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1.xml" ContentType="application/vnd.openxmlformats-officedocument.spreadsheetml.pivot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pivotTables/pivotTable2.xml" ContentType="application/vnd.openxmlformats-officedocument.spreadsheetml.pivot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7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pivotTables/pivotTable7.xml" ContentType="application/vnd.openxmlformats-officedocument.spreadsheetml.pivotTable+xml"/>
  <Override PartName="/xl/tables/table22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orktel-my.sharepoint.com/personal/moconnell_yorktel_com/Documents/My Doc Cloud/03. Management/3. Training/MS Office/Power Pivot/AMT/"/>
    </mc:Choice>
  </mc:AlternateContent>
  <xr:revisionPtr revIDLastSave="96143" documentId="8_{9A242782-5396-4045-AC25-481439810FDF}" xr6:coauthVersionLast="45" xr6:coauthVersionMax="45" xr10:uidLastSave="{335B4635-925E-47D3-BD43-2B595170E63C}"/>
  <bookViews>
    <workbookView xWindow="-32880" yWindow="8835" windowWidth="28590" windowHeight="15135" tabRatio="753" firstSheet="10" activeTab="13" xr2:uid="{8946AAC3-8D8D-440E-A46B-63868CED7982}"/>
  </bookViews>
  <sheets>
    <sheet name="AC Data" sheetId="29" r:id="rId1"/>
    <sheet name="HUBS" sheetId="7" r:id="rId2"/>
    <sheet name="PRICING" sheetId="44" r:id="rId3"/>
    <sheet name="AC $ 777" sheetId="32" r:id="rId4"/>
    <sheet name="AC $ 380" sheetId="38" r:id="rId5"/>
    <sheet name="AC $744" sheetId="5" r:id="rId6"/>
    <sheet name="AC $A359" sheetId="46" r:id="rId7"/>
    <sheet name="ICAO_CODE" sheetId="8" r:id="rId8"/>
    <sheet name="COUNT-CONT" sheetId="23" r:id="rId9"/>
    <sheet name="DEMAND" sheetId="6" r:id="rId10"/>
    <sheet name="Sheet3" sheetId="50" r:id="rId11"/>
    <sheet name="SYD" sheetId="52" r:id="rId12"/>
    <sheet name="SYD PVT 1" sheetId="53" r:id="rId13"/>
    <sheet name="SYD 168" sheetId="54" r:id="rId14"/>
    <sheet name="PAP" sheetId="45" r:id="rId15"/>
    <sheet name="PAP-PVT 1" sheetId="47" r:id="rId16"/>
    <sheet name="PAP-PVT 2" sheetId="49" r:id="rId17"/>
    <sheet name="PAP168" sheetId="48" r:id="rId18"/>
    <sheet name="PEK" sheetId="41" r:id="rId19"/>
    <sheet name="PEK-PVT" sheetId="42" r:id="rId20"/>
    <sheet name="PEK168" sheetId="43" r:id="rId21"/>
    <sheet name="BOM" sheetId="35" r:id="rId22"/>
    <sheet name="BOM 168" sheetId="36" r:id="rId23"/>
    <sheet name="Sheet1" sheetId="55" r:id="rId24"/>
    <sheet name="BOM PVT" sheetId="39" r:id="rId25"/>
    <sheet name="DME" sheetId="30" r:id="rId26"/>
    <sheet name="DME 168" sheetId="33" r:id="rId27"/>
    <sheet name="DME PVT" sheetId="31" r:id="rId28"/>
    <sheet name="GRU" sheetId="14" r:id="rId29"/>
    <sheet name="GRU 168" sheetId="26" r:id="rId30"/>
    <sheet name="GRU PVT" sheetId="27" r:id="rId31"/>
    <sheet name="CGK" sheetId="20" r:id="rId32"/>
    <sheet name="CGK 168" sheetId="21" r:id="rId33"/>
    <sheet name="MPM" sheetId="2" r:id="rId34"/>
    <sheet name="MPM 168" sheetId="3" r:id="rId35"/>
    <sheet name="SCRIPTS" sheetId="16" r:id="rId36"/>
  </sheets>
  <definedNames>
    <definedName name="_xlnm._FilterDatabase" localSheetId="22" hidden="1">'BOM 168'!#REF!</definedName>
    <definedName name="_xlnm._FilterDatabase" localSheetId="31" hidden="1">CGK!$M$2:$M$2</definedName>
    <definedName name="_xlnm._FilterDatabase" localSheetId="32" hidden="1">'CGK 168'!#REF!</definedName>
    <definedName name="_xlnm._FilterDatabase" localSheetId="9" hidden="1">DEMAND!#REF!</definedName>
    <definedName name="_xlnm._FilterDatabase" localSheetId="26" hidden="1">'DME 168'!#REF!</definedName>
    <definedName name="_xlnm._FilterDatabase" localSheetId="28" hidden="1">GRU!$B$2:$L$681</definedName>
    <definedName name="_xlnm._FilterDatabase" localSheetId="29" hidden="1">'GRU 168'!#REF!</definedName>
    <definedName name="_xlnm._FilterDatabase" localSheetId="33" hidden="1">MPM!$B$2:$L$327</definedName>
    <definedName name="_xlnm._FilterDatabase" localSheetId="34" hidden="1">'MPM 168'!#REF!</definedName>
    <definedName name="_xlnm._FilterDatabase" localSheetId="20" hidden="1">'PEK168'!#REF!</definedName>
    <definedName name="_xlnm._FilterDatabase" localSheetId="13" hidden="1">'SYD 168'!$A$1:$F$496</definedName>
    <definedName name="I8V7">SYD!$A$2:$I$817</definedName>
    <definedName name="solver_adj" localSheetId="22" hidden="1">'BOM 168'!#REF!</definedName>
    <definedName name="solver_adj" localSheetId="32" hidden="1">'CGK 168'!#REF!</definedName>
    <definedName name="solver_adj" localSheetId="9" hidden="1">DEMAND!#REF!</definedName>
    <definedName name="solver_adj" localSheetId="26" hidden="1">'DME 168'!#REF!</definedName>
    <definedName name="solver_adj" localSheetId="29" hidden="1">'GRU 168'!$D$2:$D$3</definedName>
    <definedName name="solver_adj" localSheetId="34" hidden="1">'MPM 168'!#REF!</definedName>
    <definedName name="solver_adj" localSheetId="20" hidden="1">'PEK168'!#REF!</definedName>
    <definedName name="solver_cvg" localSheetId="22" hidden="1">0.0001</definedName>
    <definedName name="solver_cvg" localSheetId="32" hidden="1">0.0001</definedName>
    <definedName name="solver_cvg" localSheetId="9" hidden="1">0.0001</definedName>
    <definedName name="solver_cvg" localSheetId="26" hidden="1">0.0001</definedName>
    <definedName name="solver_cvg" localSheetId="29" hidden="1">0.0001</definedName>
    <definedName name="solver_cvg" localSheetId="34" hidden="1">0.0001</definedName>
    <definedName name="solver_cvg" localSheetId="20" hidden="1">0.0001</definedName>
    <definedName name="solver_drv" localSheetId="22" hidden="1">2</definedName>
    <definedName name="solver_drv" localSheetId="32" hidden="1">2</definedName>
    <definedName name="solver_drv" localSheetId="9" hidden="1">2</definedName>
    <definedName name="solver_drv" localSheetId="26" hidden="1">2</definedName>
    <definedName name="solver_drv" localSheetId="29" hidden="1">2</definedName>
    <definedName name="solver_drv" localSheetId="34" hidden="1">2</definedName>
    <definedName name="solver_drv" localSheetId="20" hidden="1">2</definedName>
    <definedName name="solver_eng" localSheetId="22" hidden="1">2</definedName>
    <definedName name="solver_eng" localSheetId="32" hidden="1">2</definedName>
    <definedName name="solver_eng" localSheetId="9" hidden="1">2</definedName>
    <definedName name="solver_eng" localSheetId="26" hidden="1">2</definedName>
    <definedName name="solver_eng" localSheetId="29" hidden="1">2</definedName>
    <definedName name="solver_eng" localSheetId="34" hidden="1">2</definedName>
    <definedName name="solver_eng" localSheetId="20" hidden="1">2</definedName>
    <definedName name="solver_est" localSheetId="22" hidden="1">1</definedName>
    <definedName name="solver_est" localSheetId="32" hidden="1">1</definedName>
    <definedName name="solver_est" localSheetId="9" hidden="1">1</definedName>
    <definedName name="solver_est" localSheetId="26" hidden="1">1</definedName>
    <definedName name="solver_est" localSheetId="29" hidden="1">1</definedName>
    <definedName name="solver_est" localSheetId="34" hidden="1">1</definedName>
    <definedName name="solver_est" localSheetId="20" hidden="1">1</definedName>
    <definedName name="solver_itr" localSheetId="22" hidden="1">2147483647</definedName>
    <definedName name="solver_itr" localSheetId="32" hidden="1">2147483647</definedName>
    <definedName name="solver_itr" localSheetId="9" hidden="1">2147483647</definedName>
    <definedName name="solver_itr" localSheetId="26" hidden="1">2147483647</definedName>
    <definedName name="solver_itr" localSheetId="29" hidden="1">2147483647</definedName>
    <definedName name="solver_itr" localSheetId="34" hidden="1">2147483647</definedName>
    <definedName name="solver_itr" localSheetId="20" hidden="1">2147483647</definedName>
    <definedName name="solver_lhs1" localSheetId="22" hidden="1">'BOM 168'!#REF!</definedName>
    <definedName name="solver_lhs1" localSheetId="32" hidden="1">'CGK 168'!#REF!</definedName>
    <definedName name="solver_lhs1" localSheetId="9" hidden="1">DEMAND!#REF!</definedName>
    <definedName name="solver_lhs1" localSheetId="26" hidden="1">'DME 168'!#REF!</definedName>
    <definedName name="solver_lhs1" localSheetId="29" hidden="1">'GRU 168'!$D$2:$D$3</definedName>
    <definedName name="solver_lhs1" localSheetId="34" hidden="1">'MPM 168'!#REF!</definedName>
    <definedName name="solver_lhs1" localSheetId="20" hidden="1">'PEK168'!#REF!</definedName>
    <definedName name="solver_lhs2" localSheetId="26" hidden="1">'DME 168'!#REF!</definedName>
    <definedName name="solver_mip" localSheetId="22" hidden="1">2147483647</definedName>
    <definedName name="solver_mip" localSheetId="32" hidden="1">2147483647</definedName>
    <definedName name="solver_mip" localSheetId="9" hidden="1">2147483647</definedName>
    <definedName name="solver_mip" localSheetId="26" hidden="1">2147483647</definedName>
    <definedName name="solver_mip" localSheetId="29" hidden="1">2147483647</definedName>
    <definedName name="solver_mip" localSheetId="34" hidden="1">2147483647</definedName>
    <definedName name="solver_mip" localSheetId="20" hidden="1">2147483647</definedName>
    <definedName name="solver_mni" localSheetId="22" hidden="1">30</definedName>
    <definedName name="solver_mni" localSheetId="32" hidden="1">30</definedName>
    <definedName name="solver_mni" localSheetId="9" hidden="1">30</definedName>
    <definedName name="solver_mni" localSheetId="26" hidden="1">30</definedName>
    <definedName name="solver_mni" localSheetId="29" hidden="1">30</definedName>
    <definedName name="solver_mni" localSheetId="34" hidden="1">30</definedName>
    <definedName name="solver_mni" localSheetId="20" hidden="1">30</definedName>
    <definedName name="solver_mrt" localSheetId="22" hidden="1">0.075</definedName>
    <definedName name="solver_mrt" localSheetId="32" hidden="1">0.075</definedName>
    <definedName name="solver_mrt" localSheetId="9" hidden="1">0.075</definedName>
    <definedName name="solver_mrt" localSheetId="26" hidden="1">0.075</definedName>
    <definedName name="solver_mrt" localSheetId="29" hidden="1">0.075</definedName>
    <definedName name="solver_mrt" localSheetId="34" hidden="1">0.075</definedName>
    <definedName name="solver_mrt" localSheetId="20" hidden="1">0.075</definedName>
    <definedName name="solver_msl" localSheetId="22" hidden="1">2</definedName>
    <definedName name="solver_msl" localSheetId="32" hidden="1">2</definedName>
    <definedName name="solver_msl" localSheetId="9" hidden="1">2</definedName>
    <definedName name="solver_msl" localSheetId="26" hidden="1">2</definedName>
    <definedName name="solver_msl" localSheetId="29" hidden="1">2</definedName>
    <definedName name="solver_msl" localSheetId="34" hidden="1">2</definedName>
    <definedName name="solver_msl" localSheetId="20" hidden="1">2</definedName>
    <definedName name="solver_neg" localSheetId="22" hidden="1">1</definedName>
    <definedName name="solver_neg" localSheetId="32" hidden="1">1</definedName>
    <definedName name="solver_neg" localSheetId="9" hidden="1">1</definedName>
    <definedName name="solver_neg" localSheetId="26" hidden="1">1</definedName>
    <definedName name="solver_neg" localSheetId="29" hidden="1">1</definedName>
    <definedName name="solver_neg" localSheetId="34" hidden="1">1</definedName>
    <definedName name="solver_neg" localSheetId="20" hidden="1">1</definedName>
    <definedName name="solver_nod" localSheetId="22" hidden="1">2147483647</definedName>
    <definedName name="solver_nod" localSheetId="32" hidden="1">2147483647</definedName>
    <definedName name="solver_nod" localSheetId="9" hidden="1">2147483647</definedName>
    <definedName name="solver_nod" localSheetId="26" hidden="1">2147483647</definedName>
    <definedName name="solver_nod" localSheetId="29" hidden="1">2147483647</definedName>
    <definedName name="solver_nod" localSheetId="34" hidden="1">2147483647</definedName>
    <definedName name="solver_nod" localSheetId="20" hidden="1">2147483647</definedName>
    <definedName name="solver_num" localSheetId="22" hidden="1">1</definedName>
    <definedName name="solver_num" localSheetId="32" hidden="1">1</definedName>
    <definedName name="solver_num" localSheetId="9" hidden="1">1</definedName>
    <definedName name="solver_num" localSheetId="26" hidden="1">1</definedName>
    <definedName name="solver_num" localSheetId="29" hidden="1">1</definedName>
    <definedName name="solver_num" localSheetId="34" hidden="1">1</definedName>
    <definedName name="solver_num" localSheetId="20" hidden="1">1</definedName>
    <definedName name="solver_nwt" localSheetId="22" hidden="1">1</definedName>
    <definedName name="solver_nwt" localSheetId="32" hidden="1">1</definedName>
    <definedName name="solver_nwt" localSheetId="9" hidden="1">1</definedName>
    <definedName name="solver_nwt" localSheetId="26" hidden="1">1</definedName>
    <definedName name="solver_nwt" localSheetId="29" hidden="1">1</definedName>
    <definedName name="solver_nwt" localSheetId="34" hidden="1">1</definedName>
    <definedName name="solver_nwt" localSheetId="20" hidden="1">1</definedName>
    <definedName name="solver_opt" localSheetId="22" hidden="1">'BOM 168'!$I$9</definedName>
    <definedName name="solver_opt" localSheetId="32" hidden="1">'CGK 168'!#REF!</definedName>
    <definedName name="solver_opt" localSheetId="9" hidden="1">DEMAND!#REF!</definedName>
    <definedName name="solver_opt" localSheetId="26" hidden="1">'DME 168'!#REF!</definedName>
    <definedName name="solver_opt" localSheetId="29" hidden="1">'GRU 168'!$H$8</definedName>
    <definedName name="solver_opt" localSheetId="34" hidden="1">'MPM 168'!#REF!</definedName>
    <definedName name="solver_opt" localSheetId="20" hidden="1">'PEK168'!#REF!</definedName>
    <definedName name="solver_pre" localSheetId="22" hidden="1">0.000001</definedName>
    <definedName name="solver_pre" localSheetId="32" hidden="1">0.000001</definedName>
    <definedName name="solver_pre" localSheetId="9" hidden="1">0.000001</definedName>
    <definedName name="solver_pre" localSheetId="26" hidden="1">0.000001</definedName>
    <definedName name="solver_pre" localSheetId="29" hidden="1">0.000001</definedName>
    <definedName name="solver_pre" localSheetId="34" hidden="1">0.000001</definedName>
    <definedName name="solver_pre" localSheetId="20" hidden="1">0.000001</definedName>
    <definedName name="solver_rbv" localSheetId="22" hidden="1">2</definedName>
    <definedName name="solver_rbv" localSheetId="32" hidden="1">2</definedName>
    <definedName name="solver_rbv" localSheetId="9" hidden="1">2</definedName>
    <definedName name="solver_rbv" localSheetId="26" hidden="1">2</definedName>
    <definedName name="solver_rbv" localSheetId="29" hidden="1">2</definedName>
    <definedName name="solver_rbv" localSheetId="34" hidden="1">2</definedName>
    <definedName name="solver_rbv" localSheetId="20" hidden="1">2</definedName>
    <definedName name="solver_rel1" localSheetId="22" hidden="1">5</definedName>
    <definedName name="solver_rel1" localSheetId="32" hidden="1">5</definedName>
    <definedName name="solver_rel1" localSheetId="9" hidden="1">5</definedName>
    <definedName name="solver_rel1" localSheetId="26" hidden="1">5</definedName>
    <definedName name="solver_rel1" localSheetId="29" hidden="1">5</definedName>
    <definedName name="solver_rel1" localSheetId="34" hidden="1">5</definedName>
    <definedName name="solver_rel1" localSheetId="20" hidden="1">5</definedName>
    <definedName name="solver_rel2" localSheetId="26" hidden="1">5</definedName>
    <definedName name="solver_rhs1" localSheetId="22" hidden="1">binary</definedName>
    <definedName name="solver_rhs1" localSheetId="32" hidden="1">binary</definedName>
    <definedName name="solver_rhs1" localSheetId="9" hidden="1">binary</definedName>
    <definedName name="solver_rhs1" localSheetId="26" hidden="1">binary</definedName>
    <definedName name="solver_rhs1" localSheetId="29" hidden="1">binary</definedName>
    <definedName name="solver_rhs1" localSheetId="34" hidden="1">binary</definedName>
    <definedName name="solver_rhs1" localSheetId="20" hidden="1">binary</definedName>
    <definedName name="solver_rhs2" localSheetId="26" hidden="1">binary</definedName>
    <definedName name="solver_rlx" localSheetId="22" hidden="1">2</definedName>
    <definedName name="solver_rlx" localSheetId="32" hidden="1">2</definedName>
    <definedName name="solver_rlx" localSheetId="9" hidden="1">2</definedName>
    <definedName name="solver_rlx" localSheetId="26" hidden="1">2</definedName>
    <definedName name="solver_rlx" localSheetId="29" hidden="1">2</definedName>
    <definedName name="solver_rlx" localSheetId="34" hidden="1">2</definedName>
    <definedName name="solver_rlx" localSheetId="20" hidden="1">2</definedName>
    <definedName name="solver_rsd" localSheetId="22" hidden="1">0</definedName>
    <definedName name="solver_rsd" localSheetId="32" hidden="1">0</definedName>
    <definedName name="solver_rsd" localSheetId="9" hidden="1">0</definedName>
    <definedName name="solver_rsd" localSheetId="26" hidden="1">0</definedName>
    <definedName name="solver_rsd" localSheetId="29" hidden="1">0</definedName>
    <definedName name="solver_rsd" localSheetId="34" hidden="1">0</definedName>
    <definedName name="solver_rsd" localSheetId="20" hidden="1">0</definedName>
    <definedName name="solver_scl" localSheetId="22" hidden="1">2</definedName>
    <definedName name="solver_scl" localSheetId="32" hidden="1">2</definedName>
    <definedName name="solver_scl" localSheetId="9" hidden="1">2</definedName>
    <definedName name="solver_scl" localSheetId="26" hidden="1">2</definedName>
    <definedName name="solver_scl" localSheetId="29" hidden="1">2</definedName>
    <definedName name="solver_scl" localSheetId="34" hidden="1">2</definedName>
    <definedName name="solver_scl" localSheetId="20" hidden="1">2</definedName>
    <definedName name="solver_sho" localSheetId="22" hidden="1">2</definedName>
    <definedName name="solver_sho" localSheetId="32" hidden="1">2</definedName>
    <definedName name="solver_sho" localSheetId="9" hidden="1">2</definedName>
    <definedName name="solver_sho" localSheetId="26" hidden="1">2</definedName>
    <definedName name="solver_sho" localSheetId="29" hidden="1">2</definedName>
    <definedName name="solver_sho" localSheetId="34" hidden="1">2</definedName>
    <definedName name="solver_sho" localSheetId="20" hidden="1">2</definedName>
    <definedName name="solver_ssz" localSheetId="22" hidden="1">8</definedName>
    <definedName name="solver_ssz" localSheetId="32" hidden="1">8</definedName>
    <definedName name="solver_ssz" localSheetId="9" hidden="1">100</definedName>
    <definedName name="solver_ssz" localSheetId="26" hidden="1">8</definedName>
    <definedName name="solver_ssz" localSheetId="29" hidden="1">8</definedName>
    <definedName name="solver_ssz" localSheetId="34" hidden="1">100</definedName>
    <definedName name="solver_ssz" localSheetId="20" hidden="1">8</definedName>
    <definedName name="solver_tim" localSheetId="22" hidden="1">2147483647</definedName>
    <definedName name="solver_tim" localSheetId="32" hidden="1">2147483647</definedName>
    <definedName name="solver_tim" localSheetId="9" hidden="1">2147483647</definedName>
    <definedName name="solver_tim" localSheetId="26" hidden="1">2147483647</definedName>
    <definedName name="solver_tim" localSheetId="29" hidden="1">2147483647</definedName>
    <definedName name="solver_tim" localSheetId="34" hidden="1">2147483647</definedName>
    <definedName name="solver_tim" localSheetId="20" hidden="1">2147483647</definedName>
    <definedName name="solver_tol" localSheetId="22" hidden="1">0.01</definedName>
    <definedName name="solver_tol" localSheetId="32" hidden="1">0.01</definedName>
    <definedName name="solver_tol" localSheetId="9" hidden="1">0.01</definedName>
    <definedName name="solver_tol" localSheetId="26" hidden="1">0.01</definedName>
    <definedName name="solver_tol" localSheetId="29" hidden="1">0.01</definedName>
    <definedName name="solver_tol" localSheetId="34" hidden="1">0.01</definedName>
    <definedName name="solver_tol" localSheetId="20" hidden="1">0.01</definedName>
    <definedName name="solver_typ" localSheetId="22" hidden="1">3</definedName>
    <definedName name="solver_typ" localSheetId="32" hidden="1">3</definedName>
    <definedName name="solver_typ" localSheetId="9" hidden="1">3</definedName>
    <definedName name="solver_typ" localSheetId="26" hidden="1">3</definedName>
    <definedName name="solver_typ" localSheetId="29" hidden="1">3</definedName>
    <definedName name="solver_typ" localSheetId="34" hidden="1">3</definedName>
    <definedName name="solver_typ" localSheetId="20" hidden="1">3</definedName>
    <definedName name="solver_val" localSheetId="22" hidden="1">168</definedName>
    <definedName name="solver_val" localSheetId="32" hidden="1">168</definedName>
    <definedName name="solver_val" localSheetId="9" hidden="1">168</definedName>
    <definedName name="solver_val" localSheetId="26" hidden="1">168</definedName>
    <definedName name="solver_val" localSheetId="29" hidden="1">168</definedName>
    <definedName name="solver_val" localSheetId="34" hidden="1">168</definedName>
    <definedName name="solver_val" localSheetId="20" hidden="1">168</definedName>
    <definedName name="solver_ver" localSheetId="22" hidden="1">3</definedName>
    <definedName name="solver_ver" localSheetId="32" hidden="1">3</definedName>
    <definedName name="solver_ver" localSheetId="9" hidden="1">3</definedName>
    <definedName name="solver_ver" localSheetId="26" hidden="1">3</definedName>
    <definedName name="solver_ver" localSheetId="29" hidden="1">3</definedName>
    <definedName name="solver_ver" localSheetId="34" hidden="1">3</definedName>
    <definedName name="solver_ver" localSheetId="20" hidden="1">3</definedName>
    <definedName name="Z_0B8D8581_7A67_4FF5_8974_68A93E554911_.wvu.FilterData" localSheetId="28" hidden="1">GRU!$B$2:$L$109</definedName>
    <definedName name="Z_0B8D8581_7A67_4FF5_8974_68A93E554911_.wvu.FilterData" localSheetId="33" hidden="1">MPM!$B$2:$L$95</definedName>
  </definedNames>
  <calcPr calcId="191029"/>
  <pivotCaches>
    <pivotCache cacheId="0" r:id="rId37"/>
    <pivotCache cacheId="1" r:id="rId38"/>
    <pivotCache cacheId="2" r:id="rId39"/>
    <pivotCache cacheId="3" r:id="rId40"/>
    <pivotCache cacheId="4" r:id="rId41"/>
    <pivotCache cacheId="5" r:id="rId4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79" i="36" l="1"/>
  <c r="H279" i="36"/>
  <c r="L278" i="36"/>
  <c r="H278" i="36"/>
  <c r="L277" i="36"/>
  <c r="H277" i="36"/>
  <c r="L276" i="36"/>
  <c r="H276" i="36"/>
  <c r="L275" i="36"/>
  <c r="H275" i="36"/>
  <c r="L274" i="36"/>
  <c r="H274" i="36"/>
  <c r="L273" i="36"/>
  <c r="H273" i="36"/>
  <c r="L272" i="36"/>
  <c r="H272" i="36"/>
  <c r="L271" i="36"/>
  <c r="H271" i="36"/>
  <c r="L270" i="36"/>
  <c r="H270" i="36"/>
  <c r="L269" i="36"/>
  <c r="H269" i="36"/>
  <c r="L268" i="36"/>
  <c r="H268" i="36"/>
  <c r="L267" i="36"/>
  <c r="H267" i="36"/>
  <c r="L266" i="36"/>
  <c r="H266" i="36"/>
  <c r="L265" i="36"/>
  <c r="H265" i="36"/>
  <c r="L264" i="36"/>
  <c r="H264" i="36"/>
  <c r="L263" i="36"/>
  <c r="H263" i="36"/>
  <c r="L262" i="36"/>
  <c r="H262" i="36"/>
  <c r="L261" i="36"/>
  <c r="H261" i="36"/>
  <c r="L260" i="36"/>
  <c r="H260" i="36"/>
  <c r="L259" i="36"/>
  <c r="H259" i="36"/>
  <c r="L258" i="36"/>
  <c r="H258" i="36"/>
  <c r="L257" i="36"/>
  <c r="H257" i="36"/>
  <c r="L256" i="36"/>
  <c r="H256" i="36"/>
  <c r="L255" i="36"/>
  <c r="H255" i="36"/>
  <c r="L254" i="36"/>
  <c r="H254" i="36"/>
  <c r="L253" i="36"/>
  <c r="H253" i="36"/>
  <c r="L252" i="36"/>
  <c r="H252" i="36"/>
  <c r="L251" i="36"/>
  <c r="H251" i="36"/>
  <c r="L250" i="36"/>
  <c r="H250" i="36"/>
  <c r="L249" i="36"/>
  <c r="H249" i="36"/>
  <c r="L248" i="36"/>
  <c r="H248" i="36"/>
  <c r="L247" i="36"/>
  <c r="H247" i="36"/>
  <c r="L246" i="36"/>
  <c r="H246" i="36"/>
  <c r="L245" i="36"/>
  <c r="H245" i="36"/>
  <c r="L244" i="36"/>
  <c r="H244" i="36"/>
  <c r="L243" i="36"/>
  <c r="H243" i="36"/>
  <c r="L242" i="36"/>
  <c r="H242" i="36"/>
  <c r="L241" i="36"/>
  <c r="H241" i="36"/>
  <c r="L240" i="36"/>
  <c r="H240" i="36"/>
  <c r="L239" i="36"/>
  <c r="H239" i="36"/>
  <c r="L238" i="36"/>
  <c r="H238" i="36"/>
  <c r="L237" i="36"/>
  <c r="H237" i="36"/>
  <c r="L236" i="36"/>
  <c r="H236" i="36"/>
  <c r="L235" i="36"/>
  <c r="H235" i="36"/>
  <c r="L234" i="36"/>
  <c r="H234" i="36"/>
  <c r="L233" i="36"/>
  <c r="H233" i="36"/>
  <c r="L232" i="36"/>
  <c r="H232" i="36"/>
  <c r="L231" i="36"/>
  <c r="H231" i="36"/>
  <c r="L230" i="36"/>
  <c r="H230" i="36"/>
  <c r="L229" i="36"/>
  <c r="H229" i="36"/>
  <c r="L228" i="36"/>
  <c r="H228" i="36"/>
  <c r="L227" i="36"/>
  <c r="H227" i="36"/>
  <c r="L226" i="36"/>
  <c r="H226" i="36"/>
  <c r="L225" i="36"/>
  <c r="H225" i="36"/>
  <c r="L224" i="36"/>
  <c r="H224" i="36"/>
  <c r="L223" i="36"/>
  <c r="H223" i="36"/>
  <c r="L222" i="36"/>
  <c r="H222" i="36"/>
  <c r="L221" i="36"/>
  <c r="H221" i="36"/>
  <c r="L220" i="36"/>
  <c r="H220" i="36"/>
  <c r="L219" i="36"/>
  <c r="H219" i="36"/>
  <c r="L218" i="36"/>
  <c r="H218" i="36"/>
  <c r="L217" i="36"/>
  <c r="H217" i="36"/>
  <c r="L216" i="36"/>
  <c r="H216" i="36"/>
  <c r="L215" i="36"/>
  <c r="H215" i="36"/>
  <c r="L214" i="36"/>
  <c r="H214" i="36"/>
  <c r="L213" i="36"/>
  <c r="H213" i="36"/>
  <c r="L212" i="36"/>
  <c r="H212" i="36"/>
  <c r="L211" i="36"/>
  <c r="H211" i="36"/>
  <c r="L210" i="36"/>
  <c r="H210" i="36"/>
  <c r="L209" i="36"/>
  <c r="H209" i="36"/>
  <c r="L208" i="36"/>
  <c r="H208" i="36"/>
  <c r="L207" i="36"/>
  <c r="H207" i="36"/>
  <c r="L206" i="36"/>
  <c r="H206" i="36"/>
  <c r="L205" i="36"/>
  <c r="H205" i="36"/>
  <c r="L204" i="36"/>
  <c r="H204" i="36"/>
  <c r="L203" i="36"/>
  <c r="H203" i="36"/>
  <c r="L202" i="36"/>
  <c r="H202" i="36"/>
  <c r="L201" i="36"/>
  <c r="H201" i="36"/>
  <c r="L200" i="36"/>
  <c r="H200" i="36"/>
  <c r="L199" i="36"/>
  <c r="H199" i="36"/>
  <c r="L198" i="36"/>
  <c r="H198" i="36"/>
  <c r="L197" i="36"/>
  <c r="H197" i="36"/>
  <c r="L196" i="36"/>
  <c r="H196" i="36"/>
  <c r="L195" i="36"/>
  <c r="H195" i="36"/>
  <c r="L194" i="36"/>
  <c r="H194" i="36"/>
  <c r="L193" i="36"/>
  <c r="H193" i="36"/>
  <c r="L192" i="36"/>
  <c r="H192" i="36"/>
  <c r="L191" i="36"/>
  <c r="H191" i="36"/>
  <c r="L190" i="36"/>
  <c r="H190" i="36"/>
  <c r="L189" i="36"/>
  <c r="H189" i="36"/>
  <c r="L188" i="36"/>
  <c r="H188" i="36"/>
  <c r="L187" i="36"/>
  <c r="H187" i="36"/>
  <c r="L186" i="36"/>
  <c r="H186" i="36"/>
  <c r="L185" i="36"/>
  <c r="H185" i="36"/>
  <c r="L184" i="36"/>
  <c r="H184" i="36"/>
  <c r="L183" i="36"/>
  <c r="H183" i="36"/>
  <c r="L182" i="36"/>
  <c r="H182" i="36"/>
  <c r="L181" i="36"/>
  <c r="H181" i="36"/>
  <c r="L180" i="36"/>
  <c r="H180" i="36"/>
  <c r="L179" i="36"/>
  <c r="H179" i="36"/>
  <c r="L178" i="36"/>
  <c r="H178" i="36"/>
  <c r="L177" i="36"/>
  <c r="H177" i="36"/>
  <c r="L176" i="36"/>
  <c r="H176" i="36"/>
  <c r="L175" i="36"/>
  <c r="H175" i="36"/>
  <c r="L174" i="36"/>
  <c r="H174" i="36"/>
  <c r="L173" i="36"/>
  <c r="H173" i="36"/>
  <c r="L172" i="36"/>
  <c r="H172" i="36"/>
  <c r="L171" i="36"/>
  <c r="H171" i="36"/>
  <c r="L170" i="36"/>
  <c r="H170" i="36"/>
  <c r="L169" i="36"/>
  <c r="H169" i="36"/>
  <c r="L168" i="36"/>
  <c r="H168" i="36"/>
  <c r="L167" i="36"/>
  <c r="H167" i="36"/>
  <c r="L166" i="36"/>
  <c r="H166" i="36"/>
  <c r="L165" i="36"/>
  <c r="H165" i="36"/>
  <c r="L164" i="36"/>
  <c r="H164" i="36"/>
  <c r="L94" i="36"/>
  <c r="H94" i="36"/>
  <c r="L107" i="36"/>
  <c r="H107" i="36"/>
  <c r="L106" i="36"/>
  <c r="H106" i="36"/>
  <c r="L105" i="36"/>
  <c r="H105" i="36"/>
  <c r="L93" i="36"/>
  <c r="H93" i="36"/>
  <c r="L104" i="36"/>
  <c r="H104" i="36"/>
  <c r="L92" i="36"/>
  <c r="H92" i="36"/>
  <c r="L103" i="36"/>
  <c r="H103" i="36"/>
  <c r="L91" i="36"/>
  <c r="H91" i="36"/>
  <c r="L102" i="36"/>
  <c r="H102" i="36"/>
  <c r="L90" i="36"/>
  <c r="H90" i="36"/>
  <c r="L53" i="36"/>
  <c r="H53" i="36"/>
  <c r="L52" i="36"/>
  <c r="H52" i="36"/>
  <c r="L51" i="36"/>
  <c r="H51" i="36"/>
  <c r="L50" i="36"/>
  <c r="H50" i="36"/>
  <c r="L101" i="36"/>
  <c r="H101" i="36"/>
  <c r="L100" i="36"/>
  <c r="H100" i="36"/>
  <c r="L49" i="36"/>
  <c r="H49" i="36"/>
  <c r="L48" i="36"/>
  <c r="H48" i="36"/>
  <c r="L99" i="36"/>
  <c r="H99" i="36"/>
  <c r="L98" i="36"/>
  <c r="H98" i="36"/>
  <c r="L47" i="36"/>
  <c r="H47" i="36"/>
  <c r="L46" i="36"/>
  <c r="H46" i="36"/>
  <c r="L97" i="36"/>
  <c r="H97" i="36"/>
  <c r="L96" i="36"/>
  <c r="H96" i="36"/>
  <c r="L45" i="36"/>
  <c r="H45" i="36"/>
  <c r="L44" i="36"/>
  <c r="H44" i="36"/>
  <c r="L43" i="36"/>
  <c r="H43" i="36"/>
  <c r="L95" i="36"/>
  <c r="H95" i="36"/>
  <c r="L125" i="36"/>
  <c r="H125" i="36"/>
  <c r="L140" i="36"/>
  <c r="H140" i="36"/>
  <c r="L124" i="36"/>
  <c r="H124" i="36"/>
  <c r="L139" i="36"/>
  <c r="H139" i="36"/>
  <c r="L152" i="36"/>
  <c r="H152" i="36"/>
  <c r="L123" i="36"/>
  <c r="H123" i="36"/>
  <c r="L138" i="36"/>
  <c r="H138" i="36"/>
  <c r="L122" i="36"/>
  <c r="H122" i="36"/>
  <c r="L137" i="36"/>
  <c r="H137" i="36"/>
  <c r="L136" i="36"/>
  <c r="H136" i="36"/>
  <c r="L121" i="36"/>
  <c r="H121" i="36"/>
  <c r="L135" i="36"/>
  <c r="H135" i="36"/>
  <c r="L120" i="36"/>
  <c r="H120" i="36"/>
  <c r="L151" i="36"/>
  <c r="H151" i="36"/>
  <c r="L150" i="36"/>
  <c r="H150" i="36"/>
  <c r="L149" i="36"/>
  <c r="H149" i="36"/>
  <c r="L119" i="36"/>
  <c r="H119" i="36"/>
  <c r="L134" i="36"/>
  <c r="H134" i="36"/>
  <c r="L133" i="36"/>
  <c r="H133" i="36"/>
  <c r="L118" i="36"/>
  <c r="H118" i="36"/>
  <c r="L148" i="36"/>
  <c r="H148" i="36"/>
  <c r="L117" i="36"/>
  <c r="H117" i="36"/>
  <c r="L132" i="36"/>
  <c r="H132" i="36"/>
  <c r="L116" i="36"/>
  <c r="H116" i="36"/>
  <c r="L131" i="36"/>
  <c r="H131" i="36"/>
  <c r="L115" i="36"/>
  <c r="H115" i="36"/>
  <c r="L114" i="36"/>
  <c r="H114" i="36"/>
  <c r="L113" i="36"/>
  <c r="H113" i="36"/>
  <c r="L147" i="36"/>
  <c r="H147" i="36"/>
  <c r="L130" i="36"/>
  <c r="H130" i="36"/>
  <c r="L112" i="36"/>
  <c r="H112" i="36"/>
  <c r="L129" i="36"/>
  <c r="H129" i="36"/>
  <c r="L146" i="36"/>
  <c r="H146" i="36"/>
  <c r="L145" i="36"/>
  <c r="H145" i="36"/>
  <c r="L111" i="36"/>
  <c r="H111" i="36"/>
  <c r="L110" i="36"/>
  <c r="H110" i="36"/>
  <c r="L144" i="36"/>
  <c r="H144" i="36"/>
  <c r="L128" i="36"/>
  <c r="H128" i="36"/>
  <c r="L143" i="36"/>
  <c r="H143" i="36"/>
  <c r="L142" i="36"/>
  <c r="H142" i="36"/>
  <c r="L127" i="36"/>
  <c r="H127" i="36"/>
  <c r="L109" i="36"/>
  <c r="H109" i="36"/>
  <c r="L126" i="36"/>
  <c r="H126" i="36"/>
  <c r="L108" i="36"/>
  <c r="H108" i="36"/>
  <c r="L141" i="36"/>
  <c r="H141" i="36"/>
  <c r="L89" i="36"/>
  <c r="H89" i="36"/>
  <c r="L88" i="36"/>
  <c r="H88" i="36"/>
  <c r="L87" i="36"/>
  <c r="H87" i="36"/>
  <c r="L86" i="36"/>
  <c r="H86" i="36"/>
  <c r="L85" i="36"/>
  <c r="H85" i="36"/>
  <c r="L84" i="36"/>
  <c r="H84" i="36"/>
  <c r="L83" i="36"/>
  <c r="H83" i="36"/>
  <c r="L82" i="36"/>
  <c r="H82" i="36"/>
  <c r="L81" i="36"/>
  <c r="H81" i="36"/>
  <c r="L80" i="36"/>
  <c r="H80" i="36"/>
  <c r="L79" i="36"/>
  <c r="H79" i="36"/>
  <c r="L78" i="36"/>
  <c r="H78" i="36"/>
  <c r="L77" i="36"/>
  <c r="H77" i="36"/>
  <c r="L76" i="36"/>
  <c r="H76" i="36"/>
  <c r="L75" i="36"/>
  <c r="H75" i="36"/>
  <c r="L74" i="36"/>
  <c r="H74" i="36"/>
  <c r="L73" i="36"/>
  <c r="H73" i="36"/>
  <c r="L72" i="36"/>
  <c r="H72" i="36"/>
  <c r="L71" i="36"/>
  <c r="H71" i="36"/>
  <c r="L70" i="36"/>
  <c r="H70" i="36"/>
  <c r="L69" i="36"/>
  <c r="H69" i="36"/>
  <c r="L68" i="36"/>
  <c r="H68" i="36"/>
  <c r="L67" i="36"/>
  <c r="H67" i="36"/>
  <c r="L66" i="36"/>
  <c r="H66" i="36"/>
  <c r="L65" i="36"/>
  <c r="H65" i="36"/>
  <c r="L64" i="36"/>
  <c r="H64" i="36"/>
  <c r="L63" i="36"/>
  <c r="H63" i="36"/>
  <c r="L62" i="36"/>
  <c r="H62" i="36"/>
  <c r="L61" i="36"/>
  <c r="H61" i="36"/>
  <c r="L60" i="36"/>
  <c r="H60" i="36"/>
  <c r="L59" i="36"/>
  <c r="H59" i="36"/>
  <c r="L58" i="36"/>
  <c r="H58" i="36"/>
  <c r="L57" i="36"/>
  <c r="H57" i="36"/>
  <c r="L56" i="36"/>
  <c r="H56" i="36"/>
  <c r="L55" i="36"/>
  <c r="H55" i="36"/>
  <c r="L54" i="36"/>
  <c r="H54" i="36"/>
  <c r="L163" i="36"/>
  <c r="H163" i="36"/>
  <c r="L162" i="36"/>
  <c r="H162" i="36"/>
  <c r="L161" i="36"/>
  <c r="H161" i="36"/>
  <c r="L160" i="36"/>
  <c r="H160" i="36"/>
  <c r="L159" i="36"/>
  <c r="H159" i="36"/>
  <c r="L158" i="36"/>
  <c r="H158" i="36"/>
  <c r="L157" i="36"/>
  <c r="H157" i="36"/>
  <c r="L156" i="36"/>
  <c r="H156" i="36"/>
  <c r="L155" i="36"/>
  <c r="H155" i="36"/>
  <c r="L154" i="36"/>
  <c r="H154" i="36"/>
  <c r="L153" i="36"/>
  <c r="H153" i="36"/>
  <c r="L42" i="36"/>
  <c r="H42" i="36"/>
  <c r="L41" i="36"/>
  <c r="H41" i="36"/>
  <c r="L40" i="36"/>
  <c r="H40" i="36"/>
  <c r="L39" i="36"/>
  <c r="H39" i="36"/>
  <c r="L38" i="36"/>
  <c r="H38" i="36"/>
  <c r="L37" i="36"/>
  <c r="H37" i="36"/>
  <c r="J9" i="55"/>
  <c r="J56" i="55"/>
  <c r="J10" i="55"/>
  <c r="J20" i="55"/>
  <c r="J101" i="55"/>
  <c r="J130" i="55"/>
  <c r="J131" i="55"/>
  <c r="J228" i="55"/>
  <c r="J57" i="55"/>
  <c r="J132" i="55"/>
  <c r="J21" i="55"/>
  <c r="J102" i="55"/>
  <c r="J103" i="55"/>
  <c r="J133" i="55"/>
  <c r="J58" i="55"/>
  <c r="J104" i="55"/>
  <c r="J134" i="55"/>
  <c r="J22" i="55"/>
  <c r="J11" i="55"/>
  <c r="J59" i="55"/>
  <c r="J60" i="55"/>
  <c r="J61" i="55"/>
  <c r="J135" i="55"/>
  <c r="J136" i="55"/>
  <c r="J137" i="55"/>
  <c r="J229" i="55"/>
  <c r="J105" i="55"/>
  <c r="J106" i="55"/>
  <c r="J3" i="55"/>
  <c r="J138" i="55"/>
  <c r="J139" i="55"/>
  <c r="J140" i="55"/>
  <c r="J141" i="55"/>
  <c r="J23" i="55"/>
  <c r="J142" i="55"/>
  <c r="J143" i="55"/>
  <c r="J144" i="55"/>
  <c r="J12" i="55"/>
  <c r="J24" i="55"/>
  <c r="J145" i="55"/>
  <c r="J25" i="55"/>
  <c r="J146" i="55"/>
  <c r="J4" i="55"/>
  <c r="J147" i="55"/>
  <c r="J62" i="55"/>
  <c r="J148" i="55"/>
  <c r="J63" i="55"/>
  <c r="J64" i="55"/>
  <c r="J149" i="55"/>
  <c r="J150" i="55"/>
  <c r="J13" i="55"/>
  <c r="J26" i="55"/>
  <c r="J151" i="55"/>
  <c r="J152" i="55"/>
  <c r="J153" i="55"/>
  <c r="J154" i="55"/>
  <c r="J230" i="55"/>
  <c r="J155" i="55"/>
  <c r="J156" i="55"/>
  <c r="J27" i="55"/>
  <c r="J157" i="55"/>
  <c r="J5" i="55"/>
  <c r="J158" i="55"/>
  <c r="J107" i="55"/>
  <c r="J65" i="55"/>
  <c r="J108" i="55"/>
  <c r="J28" i="55"/>
  <c r="J231" i="55"/>
  <c r="J66" i="55"/>
  <c r="J67" i="55"/>
  <c r="J109" i="55"/>
  <c r="J6" i="55"/>
  <c r="J159" i="55"/>
  <c r="J160" i="55"/>
  <c r="J14" i="55"/>
  <c r="J29" i="55"/>
  <c r="J161" i="55"/>
  <c r="J68" i="55"/>
  <c r="J30" i="55"/>
  <c r="J69" i="55"/>
  <c r="J162" i="55"/>
  <c r="J163" i="55"/>
  <c r="J164" i="55"/>
  <c r="J165" i="55"/>
  <c r="J166" i="55"/>
  <c r="J110" i="55"/>
  <c r="J167" i="55"/>
  <c r="J168" i="55"/>
  <c r="J169" i="55"/>
  <c r="J170" i="55"/>
  <c r="J171" i="55"/>
  <c r="J31" i="55"/>
  <c r="J232" i="55"/>
  <c r="J233" i="55"/>
  <c r="J111" i="55"/>
  <c r="J112" i="55"/>
  <c r="J70" i="55"/>
  <c r="J172" i="55"/>
  <c r="J32" i="55"/>
  <c r="J173" i="55"/>
  <c r="J71" i="55"/>
  <c r="J113" i="55"/>
  <c r="J114" i="55"/>
  <c r="J33" i="55"/>
  <c r="J7" i="55"/>
  <c r="J174" i="55"/>
  <c r="J175" i="55"/>
  <c r="J72" i="55"/>
  <c r="J115" i="55"/>
  <c r="J176" i="55"/>
  <c r="J177" i="55"/>
  <c r="J73" i="55"/>
  <c r="J74" i="55"/>
  <c r="J116" i="55"/>
  <c r="J8" i="55"/>
  <c r="J178" i="55"/>
  <c r="J179" i="55"/>
  <c r="J34" i="55"/>
  <c r="J35" i="55"/>
  <c r="J117" i="55"/>
  <c r="J180" i="55"/>
  <c r="J15" i="55"/>
  <c r="J75" i="55"/>
  <c r="J36" i="55"/>
  <c r="J16" i="55"/>
  <c r="J37" i="55"/>
  <c r="J234" i="55"/>
  <c r="J76" i="55"/>
  <c r="J181" i="55"/>
  <c r="J38" i="55"/>
  <c r="J17" i="55"/>
  <c r="J39" i="55"/>
  <c r="J77" i="55"/>
  <c r="J78" i="55"/>
  <c r="J40" i="55"/>
  <c r="J79" i="55"/>
  <c r="J118" i="55"/>
  <c r="J182" i="55"/>
  <c r="J80" i="55"/>
  <c r="J183" i="55"/>
  <c r="J235" i="55"/>
  <c r="J184" i="55"/>
  <c r="J81" i="55"/>
  <c r="J185" i="55"/>
  <c r="J18" i="55"/>
  <c r="J236" i="55"/>
  <c r="J82" i="55"/>
  <c r="J237" i="55"/>
  <c r="J186" i="55"/>
  <c r="J187" i="55"/>
  <c r="J188" i="55"/>
  <c r="J189" i="55"/>
  <c r="J238" i="55"/>
  <c r="J41" i="55"/>
  <c r="J190" i="55"/>
  <c r="J83" i="55"/>
  <c r="J84" i="55"/>
  <c r="J239" i="55"/>
  <c r="J42" i="55"/>
  <c r="J191" i="55"/>
  <c r="J192" i="55"/>
  <c r="J193" i="55"/>
  <c r="J119" i="55"/>
  <c r="J85" i="55"/>
  <c r="J194" i="55"/>
  <c r="J120" i="55"/>
  <c r="J195" i="55"/>
  <c r="J196" i="55"/>
  <c r="J197" i="55"/>
  <c r="J240" i="55"/>
  <c r="J43" i="55"/>
  <c r="J86" i="55"/>
  <c r="J44" i="55"/>
  <c r="J198" i="55"/>
  <c r="J45" i="55"/>
  <c r="J199" i="55"/>
  <c r="J200" i="55"/>
  <c r="J46" i="55"/>
  <c r="J201" i="55"/>
  <c r="J241" i="55"/>
  <c r="J202" i="55"/>
  <c r="J47" i="55"/>
  <c r="J203" i="55"/>
  <c r="J204" i="55"/>
  <c r="J205" i="55"/>
  <c r="J121" i="55"/>
  <c r="J206" i="55"/>
  <c r="J207" i="55"/>
  <c r="J48" i="55"/>
  <c r="J122" i="55"/>
  <c r="J242" i="55"/>
  <c r="J208" i="55"/>
  <c r="J209" i="55"/>
  <c r="J19" i="55"/>
  <c r="J49" i="55"/>
  <c r="J87" i="55"/>
  <c r="J50" i="55"/>
  <c r="J210" i="55"/>
  <c r="J211" i="55"/>
  <c r="J212" i="55"/>
  <c r="J123" i="55"/>
  <c r="J213" i="55"/>
  <c r="J214" i="55"/>
  <c r="J124" i="55"/>
  <c r="J51" i="55"/>
  <c r="J215" i="55"/>
  <c r="J88" i="55"/>
  <c r="J89" i="55"/>
  <c r="J125" i="55"/>
  <c r="J52" i="55"/>
  <c r="J126" i="55"/>
  <c r="J90" i="55"/>
  <c r="J243" i="55"/>
  <c r="J91" i="55"/>
  <c r="J216" i="55"/>
  <c r="J53" i="55"/>
  <c r="J244" i="55"/>
  <c r="J127" i="55"/>
  <c r="J217" i="55"/>
  <c r="J92" i="55"/>
  <c r="J93" i="55"/>
  <c r="J94" i="55"/>
  <c r="J218" i="55"/>
  <c r="J95" i="55"/>
  <c r="J219" i="55"/>
  <c r="J220" i="55"/>
  <c r="J221" i="55"/>
  <c r="J222" i="55"/>
  <c r="J128" i="55"/>
  <c r="J96" i="55"/>
  <c r="J97" i="55"/>
  <c r="J98" i="55"/>
  <c r="J99" i="55"/>
  <c r="J100" i="55"/>
  <c r="J223" i="55"/>
  <c r="J54" i="55"/>
  <c r="J55" i="55"/>
  <c r="J224" i="55"/>
  <c r="J225" i="55"/>
  <c r="J226" i="55"/>
  <c r="J227" i="55"/>
  <c r="J245" i="55"/>
  <c r="J129" i="55"/>
  <c r="F56" i="55"/>
  <c r="F10" i="55"/>
  <c r="F20" i="55"/>
  <c r="F101" i="55"/>
  <c r="F130" i="55"/>
  <c r="F131" i="55"/>
  <c r="F228" i="55"/>
  <c r="F57" i="55"/>
  <c r="F132" i="55"/>
  <c r="F21" i="55"/>
  <c r="F102" i="55"/>
  <c r="F103" i="55"/>
  <c r="F133" i="55"/>
  <c r="F58" i="55"/>
  <c r="F104" i="55"/>
  <c r="F134" i="55"/>
  <c r="F22" i="55"/>
  <c r="F11" i="55"/>
  <c r="F59" i="55"/>
  <c r="F60" i="55"/>
  <c r="F61" i="55"/>
  <c r="F135" i="55"/>
  <c r="F136" i="55"/>
  <c r="F137" i="55"/>
  <c r="F229" i="55"/>
  <c r="F105" i="55"/>
  <c r="F106" i="55"/>
  <c r="F3" i="55"/>
  <c r="F138" i="55"/>
  <c r="F139" i="55"/>
  <c r="F140" i="55"/>
  <c r="F141" i="55"/>
  <c r="F23" i="55"/>
  <c r="F142" i="55"/>
  <c r="F143" i="55"/>
  <c r="F144" i="55"/>
  <c r="F12" i="55"/>
  <c r="F24" i="55"/>
  <c r="F145" i="55"/>
  <c r="F25" i="55"/>
  <c r="F146" i="55"/>
  <c r="F4" i="55"/>
  <c r="F147" i="55"/>
  <c r="F62" i="55"/>
  <c r="F148" i="55"/>
  <c r="F63" i="55"/>
  <c r="F64" i="55"/>
  <c r="F149" i="55"/>
  <c r="F150" i="55"/>
  <c r="F13" i="55"/>
  <c r="F26" i="55"/>
  <c r="F151" i="55"/>
  <c r="F152" i="55"/>
  <c r="F153" i="55"/>
  <c r="F154" i="55"/>
  <c r="F230" i="55"/>
  <c r="F155" i="55"/>
  <c r="F156" i="55"/>
  <c r="F27" i="55"/>
  <c r="F157" i="55"/>
  <c r="F5" i="55"/>
  <c r="F158" i="55"/>
  <c r="F107" i="55"/>
  <c r="F65" i="55"/>
  <c r="F108" i="55"/>
  <c r="F28" i="55"/>
  <c r="F231" i="55"/>
  <c r="F66" i="55"/>
  <c r="F67" i="55"/>
  <c r="F109" i="55"/>
  <c r="F6" i="55"/>
  <c r="F159" i="55"/>
  <c r="F160" i="55"/>
  <c r="F14" i="55"/>
  <c r="F29" i="55"/>
  <c r="F161" i="55"/>
  <c r="F68" i="55"/>
  <c r="F30" i="55"/>
  <c r="F69" i="55"/>
  <c r="F162" i="55"/>
  <c r="F163" i="55"/>
  <c r="F164" i="55"/>
  <c r="F165" i="55"/>
  <c r="F166" i="55"/>
  <c r="F110" i="55"/>
  <c r="F167" i="55"/>
  <c r="F168" i="55"/>
  <c r="F169" i="55"/>
  <c r="F170" i="55"/>
  <c r="F171" i="55"/>
  <c r="F31" i="55"/>
  <c r="F232" i="55"/>
  <c r="F233" i="55"/>
  <c r="F111" i="55"/>
  <c r="F112" i="55"/>
  <c r="F70" i="55"/>
  <c r="F172" i="55"/>
  <c r="F32" i="55"/>
  <c r="F173" i="55"/>
  <c r="F71" i="55"/>
  <c r="F113" i="55"/>
  <c r="F114" i="55"/>
  <c r="F33" i="55"/>
  <c r="F7" i="55"/>
  <c r="F174" i="55"/>
  <c r="F175" i="55"/>
  <c r="F72" i="55"/>
  <c r="F115" i="55"/>
  <c r="F176" i="55"/>
  <c r="F177" i="55"/>
  <c r="F73" i="55"/>
  <c r="F74" i="55"/>
  <c r="F116" i="55"/>
  <c r="F8" i="55"/>
  <c r="F178" i="55"/>
  <c r="F179" i="55"/>
  <c r="F34" i="55"/>
  <c r="F35" i="55"/>
  <c r="F117" i="55"/>
  <c r="F180" i="55"/>
  <c r="F15" i="55"/>
  <c r="F75" i="55"/>
  <c r="F36" i="55"/>
  <c r="F16" i="55"/>
  <c r="F37" i="55"/>
  <c r="F234" i="55"/>
  <c r="F76" i="55"/>
  <c r="F181" i="55"/>
  <c r="F38" i="55"/>
  <c r="F17" i="55"/>
  <c r="F39" i="55"/>
  <c r="F77" i="55"/>
  <c r="F78" i="55"/>
  <c r="F40" i="55"/>
  <c r="F79" i="55"/>
  <c r="F118" i="55"/>
  <c r="F182" i="55"/>
  <c r="F80" i="55"/>
  <c r="F183" i="55"/>
  <c r="F235" i="55"/>
  <c r="F184" i="55"/>
  <c r="F81" i="55"/>
  <c r="F185" i="55"/>
  <c r="F18" i="55"/>
  <c r="F236" i="55"/>
  <c r="F82" i="55"/>
  <c r="F237" i="55"/>
  <c r="F186" i="55"/>
  <c r="F187" i="55"/>
  <c r="F188" i="55"/>
  <c r="F189" i="55"/>
  <c r="F238" i="55"/>
  <c r="F41" i="55"/>
  <c r="F190" i="55"/>
  <c r="F83" i="55"/>
  <c r="F84" i="55"/>
  <c r="F239" i="55"/>
  <c r="F42" i="55"/>
  <c r="F191" i="55"/>
  <c r="F192" i="55"/>
  <c r="F193" i="55"/>
  <c r="F119" i="55"/>
  <c r="F85" i="55"/>
  <c r="F194" i="55"/>
  <c r="F120" i="55"/>
  <c r="F195" i="55"/>
  <c r="F196" i="55"/>
  <c r="F197" i="55"/>
  <c r="F240" i="55"/>
  <c r="F43" i="55"/>
  <c r="F86" i="55"/>
  <c r="F44" i="55"/>
  <c r="F198" i="55"/>
  <c r="F45" i="55"/>
  <c r="F199" i="55"/>
  <c r="F200" i="55"/>
  <c r="F46" i="55"/>
  <c r="F201" i="55"/>
  <c r="F241" i="55"/>
  <c r="F202" i="55"/>
  <c r="F47" i="55"/>
  <c r="F203" i="55"/>
  <c r="F204" i="55"/>
  <c r="F205" i="55"/>
  <c r="F121" i="55"/>
  <c r="F206" i="55"/>
  <c r="F207" i="55"/>
  <c r="F48" i="55"/>
  <c r="F122" i="55"/>
  <c r="F242" i="55"/>
  <c r="F208" i="55"/>
  <c r="F209" i="55"/>
  <c r="F19" i="55"/>
  <c r="F49" i="55"/>
  <c r="F87" i="55"/>
  <c r="F50" i="55"/>
  <c r="F210" i="55"/>
  <c r="F211" i="55"/>
  <c r="F212" i="55"/>
  <c r="F123" i="55"/>
  <c r="F213" i="55"/>
  <c r="F214" i="55"/>
  <c r="F124" i="55"/>
  <c r="F51" i="55"/>
  <c r="F215" i="55"/>
  <c r="F88" i="55"/>
  <c r="F89" i="55"/>
  <c r="F125" i="55"/>
  <c r="F52" i="55"/>
  <c r="F126" i="55"/>
  <c r="F90" i="55"/>
  <c r="F243" i="55"/>
  <c r="F91" i="55"/>
  <c r="F216" i="55"/>
  <c r="F53" i="55"/>
  <c r="F244" i="55"/>
  <c r="F127" i="55"/>
  <c r="F217" i="55"/>
  <c r="F92" i="55"/>
  <c r="F93" i="55"/>
  <c r="F94" i="55"/>
  <c r="F218" i="55"/>
  <c r="F95" i="55"/>
  <c r="F219" i="55"/>
  <c r="F220" i="55"/>
  <c r="F221" i="55"/>
  <c r="F222" i="55"/>
  <c r="F128" i="55"/>
  <c r="F96" i="55"/>
  <c r="F97" i="55"/>
  <c r="F98" i="55"/>
  <c r="F99" i="55"/>
  <c r="F100" i="55"/>
  <c r="F223" i="55"/>
  <c r="F54" i="55"/>
  <c r="F55" i="55"/>
  <c r="F224" i="55"/>
  <c r="F225" i="55"/>
  <c r="F226" i="55"/>
  <c r="F227" i="55"/>
  <c r="F245" i="55"/>
  <c r="F129" i="55"/>
  <c r="F9" i="55"/>
  <c r="AT2" i="36"/>
  <c r="AW2" i="36"/>
  <c r="AQ2" i="36"/>
  <c r="AN2" i="36"/>
  <c r="AK2" i="36"/>
  <c r="AH2" i="36"/>
  <c r="AE2" i="36"/>
  <c r="AB2" i="36"/>
  <c r="Y2" i="36"/>
  <c r="V2" i="36"/>
  <c r="S2" i="36"/>
  <c r="P2" i="36"/>
  <c r="AZ2" i="36"/>
  <c r="BC2" i="36"/>
  <c r="BF2" i="36"/>
  <c r="BI2" i="36"/>
  <c r="BO2" i="36"/>
  <c r="BR2" i="36"/>
  <c r="G1" i="36" l="1"/>
  <c r="G2" i="36" s="1"/>
  <c r="CD2" i="36"/>
  <c r="CA2" i="36"/>
  <c r="BX2" i="36"/>
  <c r="BU2" i="36"/>
  <c r="BL2" i="36"/>
  <c r="CD1" i="36"/>
  <c r="CA1" i="36"/>
  <c r="BX1" i="36"/>
  <c r="BU1" i="36"/>
  <c r="BR1" i="36"/>
  <c r="BO1" i="36"/>
  <c r="BL1" i="36"/>
  <c r="BI1" i="36"/>
  <c r="BF1" i="36"/>
  <c r="BC1" i="36"/>
  <c r="AZ1" i="36"/>
  <c r="AW1" i="36"/>
  <c r="AT1" i="36"/>
  <c r="AQ1" i="36"/>
  <c r="AN1" i="36"/>
  <c r="AK1" i="36"/>
  <c r="AH1" i="36"/>
  <c r="AE1" i="36"/>
  <c r="AB1" i="36"/>
  <c r="Y1" i="36"/>
  <c r="V1" i="36"/>
  <c r="S1" i="36"/>
  <c r="P1" i="36"/>
  <c r="A1" i="36"/>
  <c r="I20" i="36"/>
  <c r="J19" i="36"/>
  <c r="I18" i="36"/>
  <c r="J17" i="36"/>
  <c r="CG3" i="36"/>
  <c r="I7" i="36"/>
  <c r="I11" i="36" s="1"/>
  <c r="I15" i="36" l="1"/>
  <c r="I16" i="36" s="1"/>
  <c r="J15" i="36" s="1"/>
  <c r="I13" i="36"/>
  <c r="I14" i="36" s="1"/>
  <c r="J13" i="36" s="1"/>
  <c r="I12" i="36"/>
  <c r="C1" i="35"/>
  <c r="D1" i="35" s="1"/>
  <c r="E1" i="35" s="1"/>
  <c r="F1" i="35" s="1"/>
  <c r="G1" i="35" s="1"/>
  <c r="H1" i="35" s="1"/>
  <c r="I22" i="36" l="1"/>
  <c r="I21" i="36"/>
  <c r="J21" i="36" s="1"/>
  <c r="J11" i="36"/>
  <c r="K134" i="52" l="1"/>
  <c r="K9" i="52"/>
  <c r="K816" i="52"/>
  <c r="K74" i="52"/>
  <c r="K101" i="52"/>
  <c r="K37" i="52"/>
  <c r="K623" i="52"/>
  <c r="K355" i="52"/>
  <c r="K165" i="52"/>
  <c r="K549" i="52"/>
  <c r="K150" i="52"/>
  <c r="K45" i="52"/>
  <c r="K78" i="52"/>
  <c r="K766" i="52"/>
  <c r="K596" i="52"/>
  <c r="K220" i="52"/>
  <c r="K535" i="52"/>
  <c r="K195" i="52"/>
  <c r="K581" i="52"/>
  <c r="K706" i="52"/>
  <c r="K447" i="52"/>
  <c r="K7" i="52"/>
  <c r="K12" i="52"/>
  <c r="K463" i="52"/>
  <c r="K747" i="52"/>
  <c r="K218" i="52"/>
  <c r="K485" i="52"/>
  <c r="K690" i="52"/>
  <c r="K677" i="52"/>
  <c r="K792" i="52"/>
  <c r="K682" i="52"/>
  <c r="K272" i="52"/>
  <c r="K223" i="52"/>
  <c r="K295" i="52"/>
  <c r="K409" i="52"/>
  <c r="K715" i="52"/>
  <c r="K809" i="52"/>
  <c r="K678" i="52"/>
  <c r="K736" i="52"/>
  <c r="K322" i="52"/>
  <c r="K145" i="52"/>
  <c r="K141" i="52"/>
  <c r="K125" i="52"/>
  <c r="K640" i="52"/>
  <c r="K127" i="52"/>
  <c r="K15" i="52"/>
  <c r="K529" i="52"/>
  <c r="K597" i="52"/>
  <c r="K598" i="52"/>
  <c r="K507" i="52"/>
  <c r="K123" i="52"/>
  <c r="K661" i="52"/>
  <c r="K652" i="52"/>
  <c r="K375" i="52"/>
  <c r="K175" i="52"/>
  <c r="K575" i="52"/>
  <c r="K424" i="52"/>
  <c r="K426" i="52"/>
  <c r="K697" i="52"/>
  <c r="K438" i="52"/>
  <c r="K710" i="52"/>
  <c r="K184" i="52"/>
  <c r="K654" i="52"/>
  <c r="K414" i="52"/>
  <c r="K23" i="52"/>
  <c r="K580" i="52"/>
  <c r="K112" i="52"/>
  <c r="K59" i="52"/>
  <c r="K309" i="52"/>
  <c r="K450" i="52"/>
  <c r="K593" i="52"/>
  <c r="K16" i="52"/>
  <c r="K20" i="52"/>
  <c r="K190" i="52"/>
  <c r="K392" i="52"/>
  <c r="K621" i="52"/>
  <c r="K336" i="52"/>
  <c r="K318" i="52"/>
  <c r="K612" i="52"/>
  <c r="K728" i="52"/>
  <c r="K749" i="52"/>
  <c r="K723" i="52"/>
  <c r="K695" i="52"/>
  <c r="K302" i="52"/>
  <c r="K785" i="52"/>
  <c r="K378" i="52"/>
  <c r="K317" i="52"/>
  <c r="K814" i="52"/>
  <c r="K495" i="52"/>
  <c r="K754" i="52"/>
  <c r="K699" i="52"/>
  <c r="K259" i="52"/>
  <c r="K109" i="52"/>
  <c r="K132" i="52"/>
  <c r="K212" i="52"/>
  <c r="K103" i="52"/>
  <c r="K416" i="52"/>
  <c r="K411" i="52"/>
  <c r="K770" i="52"/>
  <c r="K541" i="52"/>
  <c r="K544" i="52"/>
  <c r="K547" i="52"/>
  <c r="K561" i="52"/>
  <c r="K374" i="52"/>
  <c r="K407" i="52"/>
  <c r="K303" i="52"/>
  <c r="K543" i="52"/>
  <c r="K263" i="52"/>
  <c r="K359" i="52"/>
  <c r="K323" i="52"/>
  <c r="K552" i="52"/>
  <c r="K314" i="52"/>
  <c r="K21" i="52"/>
  <c r="K737" i="52"/>
  <c r="K433" i="52"/>
  <c r="K655" i="52"/>
  <c r="K402" i="52"/>
  <c r="K158" i="52"/>
  <c r="K781" i="52"/>
  <c r="K413" i="52"/>
  <c r="K377" i="52"/>
  <c r="K366" i="52"/>
  <c r="K60" i="52"/>
  <c r="K604" i="52"/>
  <c r="K188" i="52"/>
  <c r="K315" i="52"/>
  <c r="K166" i="52"/>
  <c r="K546" i="52"/>
  <c r="K647" i="52"/>
  <c r="K142" i="52"/>
  <c r="K432" i="52"/>
  <c r="K526" i="52"/>
  <c r="K700" i="52"/>
  <c r="K3" i="52"/>
  <c r="K313" i="52"/>
  <c r="K144" i="52"/>
  <c r="K324" i="52"/>
  <c r="K780" i="52"/>
  <c r="K415" i="52"/>
  <c r="K428" i="52"/>
  <c r="K430" i="52"/>
  <c r="K227" i="52"/>
  <c r="K94" i="52"/>
  <c r="K156" i="52"/>
  <c r="K360" i="52"/>
  <c r="K793" i="52"/>
  <c r="K779" i="52"/>
  <c r="K410" i="52"/>
  <c r="K788" i="52"/>
  <c r="K280" i="52"/>
  <c r="K341" i="52"/>
  <c r="K58" i="52"/>
  <c r="K703" i="52"/>
  <c r="K810" i="52"/>
  <c r="K778" i="52"/>
  <c r="K782" i="52"/>
  <c r="K159" i="52"/>
  <c r="K316" i="52"/>
  <c r="K606" i="52"/>
  <c r="K488" i="52"/>
  <c r="K380" i="52"/>
  <c r="K798" i="52"/>
  <c r="K777" i="52"/>
  <c r="K146" i="52"/>
  <c r="K257" i="52"/>
  <c r="K178" i="52"/>
  <c r="K783" i="52"/>
  <c r="K720" i="52"/>
  <c r="K208" i="52"/>
  <c r="K196" i="52"/>
  <c r="K179" i="52"/>
  <c r="K789" i="52"/>
  <c r="K152" i="52"/>
  <c r="K204" i="52"/>
  <c r="K161" i="52"/>
  <c r="K784" i="52"/>
  <c r="K773" i="52"/>
  <c r="K797" i="52"/>
  <c r="K729" i="52"/>
  <c r="K147" i="52"/>
  <c r="K265" i="52"/>
  <c r="K656" i="52"/>
  <c r="K667" i="52"/>
  <c r="K382" i="52"/>
  <c r="K349" i="52"/>
  <c r="K738" i="52"/>
  <c r="K589" i="52"/>
  <c r="K388" i="52"/>
  <c r="K239" i="52"/>
  <c r="K711" i="52"/>
  <c r="K578" i="52"/>
  <c r="K487" i="52"/>
  <c r="K756" i="52"/>
  <c r="K383" i="52"/>
  <c r="K148" i="52"/>
  <c r="K815" i="52"/>
  <c r="K10" i="52"/>
  <c r="K5" i="52"/>
  <c r="K727" i="52"/>
  <c r="K6" i="52"/>
  <c r="K138" i="52"/>
  <c r="K119" i="52"/>
  <c r="K352" i="52"/>
  <c r="K266" i="52"/>
  <c r="K328" i="52"/>
  <c r="K771" i="52"/>
  <c r="K13" i="52"/>
  <c r="K474" i="52"/>
  <c r="K312" i="52"/>
  <c r="K453" i="52"/>
  <c r="K168" i="52"/>
  <c r="K812" i="52"/>
  <c r="K154" i="52"/>
  <c r="K350" i="52"/>
  <c r="K403" i="52"/>
  <c r="K787" i="52"/>
  <c r="K110" i="52"/>
  <c r="K137" i="52"/>
  <c r="K539" i="52"/>
  <c r="K365" i="52"/>
  <c r="K751" i="52"/>
  <c r="K361" i="52"/>
  <c r="K471" i="52"/>
  <c r="K603" i="52"/>
  <c r="K339" i="52"/>
  <c r="K363" i="52"/>
  <c r="K120" i="52"/>
  <c r="K11" i="52"/>
  <c r="K615" i="52"/>
  <c r="K262" i="52"/>
  <c r="K423" i="52"/>
  <c r="K320" i="52"/>
  <c r="K283" i="52"/>
  <c r="K533" i="52"/>
  <c r="K169" i="52"/>
  <c r="K281" i="52"/>
  <c r="K557" i="52"/>
  <c r="K274" i="52"/>
  <c r="K458" i="52"/>
  <c r="K594" i="52"/>
  <c r="K721" i="52"/>
  <c r="K214" i="52"/>
  <c r="K744" i="52"/>
  <c r="K86" i="52"/>
  <c r="K118" i="52"/>
  <c r="K649" i="52"/>
  <c r="K128" i="52"/>
  <c r="K333" i="52"/>
  <c r="K174" i="52"/>
  <c r="K367" i="52"/>
  <c r="K198" i="52"/>
  <c r="K53" i="52"/>
  <c r="K270" i="52"/>
  <c r="K755" i="52"/>
  <c r="K592" i="52"/>
  <c r="K222" i="52"/>
  <c r="K362" i="52"/>
  <c r="K371" i="52"/>
  <c r="K348" i="52"/>
  <c r="K373" i="52"/>
  <c r="K611" i="52"/>
  <c r="K99" i="52"/>
  <c r="K417" i="52"/>
  <c r="K509" i="52"/>
  <c r="K364" i="52"/>
  <c r="K522" i="52"/>
  <c r="K748" i="52"/>
  <c r="K334" i="52"/>
  <c r="K519" i="52"/>
  <c r="K71" i="52"/>
  <c r="K452" i="52"/>
  <c r="K139" i="52"/>
  <c r="K794" i="52"/>
  <c r="K338" i="52"/>
  <c r="K512" i="52"/>
  <c r="K301" i="52"/>
  <c r="K102" i="52"/>
  <c r="K93" i="52"/>
  <c r="K473" i="52"/>
  <c r="K551" i="52"/>
  <c r="K630" i="52"/>
  <c r="K694" i="52"/>
  <c r="K173" i="52"/>
  <c r="K524" i="52"/>
  <c r="K763" i="52"/>
  <c r="K435" i="52"/>
  <c r="K401" i="52"/>
  <c r="K379" i="52"/>
  <c r="K669" i="52"/>
  <c r="K404" i="52"/>
  <c r="K420" i="52"/>
  <c r="K319" i="52"/>
  <c r="K356" i="52"/>
  <c r="K600" i="52"/>
  <c r="K555" i="52"/>
  <c r="K451" i="52"/>
  <c r="K8" i="52"/>
  <c r="K582" i="52"/>
  <c r="K501" i="52"/>
  <c r="K98" i="52"/>
  <c r="K400" i="52"/>
  <c r="K753" i="52"/>
  <c r="K26" i="52"/>
  <c r="K267" i="52"/>
  <c r="K642" i="52"/>
  <c r="K741" i="52"/>
  <c r="K46" i="52"/>
  <c r="K48" i="52"/>
  <c r="K390" i="52"/>
  <c r="K329" i="52"/>
  <c r="K408" i="52"/>
  <c r="K774" i="52"/>
  <c r="K643" i="52"/>
  <c r="K126" i="52"/>
  <c r="K489" i="52"/>
  <c r="K393" i="52"/>
  <c r="K568" i="52"/>
  <c r="K460" i="52"/>
  <c r="K193" i="52"/>
  <c r="K260" i="52"/>
  <c r="K469" i="52"/>
  <c r="K498" i="52"/>
  <c r="K591" i="52"/>
  <c r="K85" i="52"/>
  <c r="K394" i="52"/>
  <c r="K278" i="52"/>
  <c r="K672" i="52"/>
  <c r="K228" i="52"/>
  <c r="K482" i="52"/>
  <c r="K531" i="52"/>
  <c r="K478" i="52"/>
  <c r="K247" i="52"/>
  <c r="K704" i="52"/>
  <c r="K55" i="52"/>
  <c r="K570" i="52"/>
  <c r="K31" i="52"/>
  <c r="K468" i="52"/>
  <c r="K525" i="52"/>
  <c r="K170" i="52"/>
  <c r="K624" i="52"/>
  <c r="K347" i="52"/>
  <c r="K668" i="52"/>
  <c r="K354" i="52"/>
  <c r="K651" i="52"/>
  <c r="K254" i="52"/>
  <c r="K310" i="52"/>
  <c r="K558" i="52"/>
  <c r="K25" i="52"/>
  <c r="K663" i="52"/>
  <c r="K384" i="52"/>
  <c r="K617" i="52"/>
  <c r="K619" i="52"/>
  <c r="K397" i="52"/>
  <c r="K657" i="52"/>
  <c r="K224" i="52"/>
  <c r="K226" i="52"/>
  <c r="K176" i="52"/>
  <c r="K641" i="52"/>
  <c r="K776" i="52"/>
  <c r="K442" i="52"/>
  <c r="K4" i="52"/>
  <c r="K114" i="52"/>
  <c r="K675" i="52"/>
  <c r="K449" i="52"/>
  <c r="K817" i="52"/>
  <c r="K91" i="52"/>
  <c r="K634" i="52"/>
  <c r="K714" i="52"/>
  <c r="K250" i="52"/>
  <c r="K297" i="52"/>
  <c r="K566" i="52"/>
  <c r="K538" i="52"/>
  <c r="K87" i="52"/>
  <c r="K496" i="52"/>
  <c r="K248" i="52"/>
  <c r="K396" i="52"/>
  <c r="K251" i="52"/>
  <c r="K599" i="52"/>
  <c r="K664" i="52"/>
  <c r="K14" i="52"/>
  <c r="K461" i="52"/>
  <c r="K622" i="52"/>
  <c r="K730" i="52"/>
  <c r="K528" i="52"/>
  <c r="K56" i="52"/>
  <c r="K499" i="52"/>
  <c r="K35" i="52"/>
  <c r="K610" i="52"/>
  <c r="K801" i="52"/>
  <c r="K564" i="52"/>
  <c r="K381" i="52"/>
  <c r="K660" i="52"/>
  <c r="K576" i="52"/>
  <c r="K376" i="52"/>
  <c r="K217" i="52"/>
  <c r="K205" i="52"/>
  <c r="K233" i="52"/>
  <c r="K701" i="52"/>
  <c r="K527" i="52"/>
  <c r="K800" i="52"/>
  <c r="K670" i="52"/>
  <c r="K440" i="52"/>
  <c r="K155" i="52"/>
  <c r="K806" i="52"/>
  <c r="K64" i="52"/>
  <c r="K648" i="52"/>
  <c r="K90" i="52"/>
  <c r="K385" i="52"/>
  <c r="K613" i="52"/>
  <c r="K605" i="52"/>
  <c r="K81" i="52"/>
  <c r="K802" i="52"/>
  <c r="K545" i="52"/>
  <c r="K632" i="52"/>
  <c r="K696" i="52"/>
  <c r="K82" i="52"/>
  <c r="K532" i="52"/>
  <c r="K75" i="52"/>
  <c r="K353" i="52"/>
  <c r="K805" i="52"/>
  <c r="K565" i="52"/>
  <c r="K585" i="52"/>
  <c r="K326" i="52"/>
  <c r="K325" i="52"/>
  <c r="K733" i="52"/>
  <c r="K554" i="52"/>
  <c r="K80" i="52"/>
  <c r="K213" i="52"/>
  <c r="K229" i="52"/>
  <c r="K412" i="52"/>
  <c r="K34" i="52"/>
  <c r="K230" i="52"/>
  <c r="K767" i="52"/>
  <c r="K269" i="52"/>
  <c r="K399" i="52"/>
  <c r="K106" i="52"/>
  <c r="K653" i="52"/>
  <c r="K268" i="52"/>
  <c r="K140" i="52"/>
  <c r="K548" i="52"/>
  <c r="K398" i="52"/>
  <c r="K775" i="52"/>
  <c r="K679" i="52"/>
  <c r="K116" i="52"/>
  <c r="K344" i="52"/>
  <c r="K202" i="52"/>
  <c r="K276" i="52"/>
  <c r="K804" i="52"/>
  <c r="K716" i="52"/>
  <c r="K67" i="52"/>
  <c r="K30" i="52"/>
  <c r="K556" i="52"/>
  <c r="K795" i="52"/>
  <c r="K735" i="52"/>
  <c r="K454" i="52"/>
  <c r="K628" i="52"/>
  <c r="K43" i="52"/>
  <c r="K271" i="52"/>
  <c r="K42" i="52"/>
  <c r="K63" i="52"/>
  <c r="K745" i="52"/>
  <c r="K505" i="52"/>
  <c r="K811" i="52"/>
  <c r="K181" i="52"/>
  <c r="K108" i="52"/>
  <c r="K345" i="52"/>
  <c r="K41" i="52"/>
  <c r="K717" i="52"/>
  <c r="K431" i="52"/>
  <c r="K97" i="52"/>
  <c r="K671" i="52"/>
  <c r="K725" i="52"/>
  <c r="K764" i="52"/>
  <c r="K77" i="52"/>
  <c r="K712" i="52"/>
  <c r="K346" i="52"/>
  <c r="K76" i="52"/>
  <c r="K718" i="52"/>
  <c r="K369" i="52"/>
  <c r="K157" i="52"/>
  <c r="K588" i="52"/>
  <c r="K237" i="52"/>
  <c r="K726" i="52"/>
  <c r="K673" i="52"/>
  <c r="K645" i="52"/>
  <c r="K69" i="52"/>
  <c r="K681" i="52"/>
  <c r="K494" i="52"/>
  <c r="K65" i="52"/>
  <c r="K122" i="52"/>
  <c r="K386" i="52"/>
  <c r="K153" i="52"/>
  <c r="K550" i="52"/>
  <c r="K225" i="52"/>
  <c r="K29" i="52"/>
  <c r="K516" i="52"/>
  <c r="K61" i="52"/>
  <c r="K343" i="52"/>
  <c r="K464" i="52"/>
  <c r="K143" i="52"/>
  <c r="K572" i="52"/>
  <c r="K182" i="52"/>
  <c r="K337" i="52"/>
  <c r="K307" i="52"/>
  <c r="K252" i="52"/>
  <c r="K133" i="52"/>
  <c r="K219" i="52"/>
  <c r="K27" i="52"/>
  <c r="K124" i="52"/>
  <c r="K47" i="52"/>
  <c r="K277" i="52"/>
  <c r="K693" i="52"/>
  <c r="K238" i="52"/>
  <c r="K521" i="52"/>
  <c r="K321" i="52"/>
  <c r="K631" i="52"/>
  <c r="K618" i="52"/>
  <c r="K713" i="52"/>
  <c r="K129" i="52"/>
  <c r="K625" i="52"/>
  <c r="K807" i="52"/>
  <c r="K135" i="52"/>
  <c r="K421" i="52"/>
  <c r="K674" i="52"/>
  <c r="K684" i="52"/>
  <c r="K294" i="52"/>
  <c r="K523" i="52"/>
  <c r="K772" i="52"/>
  <c r="K298" i="52"/>
  <c r="K292" i="52"/>
  <c r="K702" i="52"/>
  <c r="K51" i="52"/>
  <c r="K234" i="52"/>
  <c r="K308" i="52"/>
  <c r="K255" i="52"/>
  <c r="K574" i="52"/>
  <c r="K167" i="52"/>
  <c r="K724" i="52"/>
  <c r="K790" i="52"/>
  <c r="K579" i="52"/>
  <c r="K608" i="52"/>
  <c r="K372" i="52"/>
  <c r="K475" i="52"/>
  <c r="K742" i="52"/>
  <c r="K299" i="52"/>
  <c r="K296" i="52"/>
  <c r="K465" i="52"/>
  <c r="K304" i="52"/>
  <c r="K490" i="52"/>
  <c r="K289" i="52"/>
  <c r="K104" i="52"/>
  <c r="K149" i="52"/>
  <c r="K760" i="52"/>
  <c r="K602" i="52"/>
  <c r="K171" i="52"/>
  <c r="K491" i="52"/>
  <c r="K96" i="52"/>
  <c r="K665" i="52"/>
  <c r="K172" i="52"/>
  <c r="K439" i="52"/>
  <c r="K443" i="52"/>
  <c r="K577" i="52"/>
  <c r="K707" i="52"/>
  <c r="K258" i="52"/>
  <c r="K199" i="52"/>
  <c r="K658" i="52"/>
  <c r="K331" i="52"/>
  <c r="K186" i="52"/>
  <c r="K293" i="52"/>
  <c r="K52" i="52"/>
  <c r="K483" i="52"/>
  <c r="K437" i="52"/>
  <c r="K275" i="52"/>
  <c r="K429" i="52"/>
  <c r="K796" i="52"/>
  <c r="K636" i="52"/>
  <c r="K534" i="52"/>
  <c r="K633" i="52"/>
  <c r="K607" i="52"/>
  <c r="K419" i="52"/>
  <c r="K537" i="52"/>
  <c r="K89" i="52"/>
  <c r="K743" i="52"/>
  <c r="K44" i="52"/>
  <c r="K73" i="52"/>
  <c r="K761" i="52"/>
  <c r="K231" i="52"/>
  <c r="K287" i="52"/>
  <c r="K245" i="52"/>
  <c r="K425" i="52"/>
  <c r="K705" i="52"/>
  <c r="K290" i="52"/>
  <c r="K758" i="52"/>
  <c r="K803" i="52"/>
  <c r="K253" i="52"/>
  <c r="K455" i="52"/>
  <c r="K609" i="52"/>
  <c r="K680" i="52"/>
  <c r="K470" i="52"/>
  <c r="K130" i="52"/>
  <c r="K560" i="52"/>
  <c r="K441" i="52"/>
  <c r="K436" i="52"/>
  <c r="K746" i="52"/>
  <c r="K235" i="52"/>
  <c r="K422" i="52"/>
  <c r="K40" i="52"/>
  <c r="K635" i="52"/>
  <c r="K666" i="52"/>
  <c r="K201" i="52"/>
  <c r="K389" i="52"/>
  <c r="K731" i="52"/>
  <c r="K191" i="52"/>
  <c r="K590" i="52"/>
  <c r="K200" i="52"/>
  <c r="K340" i="52"/>
  <c r="K518" i="52"/>
  <c r="K164" i="52"/>
  <c r="K83" i="52"/>
  <c r="K562" i="52"/>
  <c r="K734" i="52"/>
  <c r="K511" i="52"/>
  <c r="K514" i="52"/>
  <c r="K446" i="52"/>
  <c r="K620" i="52"/>
  <c r="K242" i="52"/>
  <c r="K500" i="52"/>
  <c r="K206" i="52"/>
  <c r="K750" i="52"/>
  <c r="K342" i="52"/>
  <c r="K105" i="52"/>
  <c r="K273" i="52"/>
  <c r="K68" i="52"/>
  <c r="K689" i="52"/>
  <c r="K732" i="52"/>
  <c r="K28" i="52"/>
  <c r="K687" i="52"/>
  <c r="K241" i="52"/>
  <c r="K160" i="52"/>
  <c r="K54" i="52"/>
  <c r="K62" i="52"/>
  <c r="K330" i="52"/>
  <c r="K244" i="52"/>
  <c r="K740" i="52"/>
  <c r="K36" i="52"/>
  <c r="K659" i="52"/>
  <c r="K757" i="52"/>
  <c r="K192" i="52"/>
  <c r="K762" i="52"/>
  <c r="K708" i="52"/>
  <c r="K472" i="52"/>
  <c r="K462" i="52"/>
  <c r="K121" i="52"/>
  <c r="K50" i="52"/>
  <c r="K506" i="52"/>
  <c r="K38" i="52"/>
  <c r="K282" i="52"/>
  <c r="K300" i="52"/>
  <c r="K95" i="52"/>
  <c r="K236" i="52"/>
  <c r="K39" i="52"/>
  <c r="K187" i="52"/>
  <c r="K719" i="52"/>
  <c r="K786" i="52"/>
  <c r="K601" i="52"/>
  <c r="K88" i="52"/>
  <c r="K180" i="52"/>
  <c r="K691" i="52"/>
  <c r="K261" i="52"/>
  <c r="K563" i="52"/>
  <c r="K467" i="52"/>
  <c r="K335" i="52"/>
  <c r="K24" i="52"/>
  <c r="K418" i="52"/>
  <c r="K480" i="52"/>
  <c r="K759" i="52"/>
  <c r="K249" i="52"/>
  <c r="K520" i="52"/>
  <c r="K456" i="52"/>
  <c r="K22" i="52"/>
  <c r="K72" i="52"/>
  <c r="K32" i="52"/>
  <c r="K240" i="52"/>
  <c r="K486" i="52"/>
  <c r="K115" i="52"/>
  <c r="K698" i="52"/>
  <c r="K66" i="52"/>
  <c r="K445" i="52"/>
  <c r="K221" i="52"/>
  <c r="K368" i="52"/>
  <c r="K510" i="52"/>
  <c r="K131" i="52"/>
  <c r="K530" i="52"/>
  <c r="K285" i="52"/>
  <c r="K536" i="52"/>
  <c r="K813" i="52"/>
  <c r="K583" i="52"/>
  <c r="K211" i="52"/>
  <c r="K508" i="52"/>
  <c r="K19" i="52"/>
  <c r="K493" i="52"/>
  <c r="K92" i="52"/>
  <c r="K49" i="52"/>
  <c r="K692" i="52"/>
  <c r="K492" i="52"/>
  <c r="K246" i="52"/>
  <c r="K765" i="52"/>
  <c r="K626" i="52"/>
  <c r="K151" i="52"/>
  <c r="K444" i="52"/>
  <c r="K434" i="52"/>
  <c r="K571" i="52"/>
  <c r="K808" i="52"/>
  <c r="K688" i="52"/>
  <c r="K306" i="52"/>
  <c r="K243" i="52"/>
  <c r="K215" i="52"/>
  <c r="K177" i="52"/>
  <c r="K209" i="52"/>
  <c r="K111" i="52"/>
  <c r="K662" i="52"/>
  <c r="K466" i="52"/>
  <c r="K504" i="52"/>
  <c r="K768" i="52"/>
  <c r="K553" i="52"/>
  <c r="K586" i="52"/>
  <c r="K79" i="52"/>
  <c r="K305" i="52"/>
  <c r="K84" i="52"/>
  <c r="K232" i="52"/>
  <c r="K685" i="52"/>
  <c r="K185" i="52"/>
  <c r="K497" i="52"/>
  <c r="K100" i="52"/>
  <c r="K197" i="52"/>
  <c r="K357" i="52"/>
  <c r="K476" i="52"/>
  <c r="K542" i="52"/>
  <c r="K332" i="52"/>
  <c r="K515" i="52"/>
  <c r="K614" i="52"/>
  <c r="K203" i="52"/>
  <c r="K769" i="52"/>
  <c r="K57" i="52"/>
  <c r="K216" i="52"/>
  <c r="K113" i="52"/>
  <c r="K207" i="52"/>
  <c r="K752" i="52"/>
  <c r="K210" i="52"/>
  <c r="K567" i="52"/>
  <c r="K457" i="52"/>
  <c r="K479" i="52"/>
  <c r="K502" i="52"/>
  <c r="K683" i="52"/>
  <c r="K791" i="52"/>
  <c r="K686" i="52"/>
  <c r="K286" i="52"/>
  <c r="K587" i="52"/>
  <c r="K676" i="52"/>
  <c r="K559" i="52"/>
  <c r="K722" i="52"/>
  <c r="K616" i="52"/>
  <c r="K638" i="52"/>
  <c r="K279" i="52"/>
  <c r="K627" i="52"/>
  <c r="K391" i="52"/>
  <c r="K448" i="52"/>
  <c r="K284" i="52"/>
  <c r="K70" i="52"/>
  <c r="K477" i="52"/>
  <c r="K351" i="52"/>
  <c r="K405" i="52"/>
  <c r="K646" i="52"/>
  <c r="K540" i="52"/>
  <c r="K107" i="52"/>
  <c r="K513" i="52"/>
  <c r="K358" i="52"/>
  <c r="K629" i="52"/>
  <c r="K639" i="52"/>
  <c r="K427" i="52"/>
  <c r="K799" i="52"/>
  <c r="K18" i="52"/>
  <c r="K136" i="52"/>
  <c r="K709" i="52"/>
  <c r="K481" i="52"/>
  <c r="K406" i="52"/>
  <c r="K33" i="52"/>
  <c r="K162" i="52"/>
  <c r="K595" i="52"/>
  <c r="K163" i="52"/>
  <c r="K739" i="52"/>
  <c r="K256" i="52"/>
  <c r="K569" i="52"/>
  <c r="K395" i="52"/>
  <c r="K650" i="52"/>
  <c r="K264" i="52"/>
  <c r="K183" i="52"/>
  <c r="K288" i="52"/>
  <c r="K573" i="52"/>
  <c r="K370" i="52"/>
  <c r="K503" i="52"/>
  <c r="K189" i="52"/>
  <c r="K117" i="52"/>
  <c r="K387" i="52"/>
  <c r="K517" i="52"/>
  <c r="K584" i="52"/>
  <c r="K194" i="52"/>
  <c r="K484" i="52"/>
  <c r="K311" i="52"/>
  <c r="K17" i="52"/>
  <c r="K327" i="52"/>
  <c r="K644" i="52"/>
  <c r="K459" i="52"/>
  <c r="K291" i="52"/>
  <c r="K637" i="52"/>
  <c r="R134" i="52"/>
  <c r="R9" i="52"/>
  <c r="R816" i="52"/>
  <c r="R74" i="52"/>
  <c r="R101" i="52"/>
  <c r="R37" i="52"/>
  <c r="R623" i="52"/>
  <c r="R355" i="52"/>
  <c r="R165" i="52"/>
  <c r="R549" i="52"/>
  <c r="R150" i="52"/>
  <c r="R45" i="52"/>
  <c r="R78" i="52"/>
  <c r="R766" i="52"/>
  <c r="R596" i="52"/>
  <c r="R220" i="52"/>
  <c r="R535" i="52"/>
  <c r="R195" i="52"/>
  <c r="R581" i="52"/>
  <c r="R706" i="52"/>
  <c r="R447" i="52"/>
  <c r="R7" i="52"/>
  <c r="R12" i="52"/>
  <c r="R463" i="52"/>
  <c r="R747" i="52"/>
  <c r="R218" i="52"/>
  <c r="R485" i="52"/>
  <c r="R690" i="52"/>
  <c r="R677" i="52"/>
  <c r="R792" i="52"/>
  <c r="R682" i="52"/>
  <c r="R272" i="52"/>
  <c r="R223" i="52"/>
  <c r="R295" i="52"/>
  <c r="R409" i="52"/>
  <c r="R715" i="52"/>
  <c r="R809" i="52"/>
  <c r="R678" i="52"/>
  <c r="R736" i="52"/>
  <c r="R322" i="52"/>
  <c r="R145" i="52"/>
  <c r="R141" i="52"/>
  <c r="R125" i="52"/>
  <c r="R640" i="52"/>
  <c r="R127" i="52"/>
  <c r="R15" i="52"/>
  <c r="R529" i="52"/>
  <c r="R597" i="52"/>
  <c r="R598" i="52"/>
  <c r="R507" i="52"/>
  <c r="R123" i="52"/>
  <c r="R661" i="52"/>
  <c r="R652" i="52"/>
  <c r="R375" i="52"/>
  <c r="R175" i="52"/>
  <c r="R575" i="52"/>
  <c r="R424" i="52"/>
  <c r="R426" i="52"/>
  <c r="R697" i="52"/>
  <c r="R438" i="52"/>
  <c r="R710" i="52"/>
  <c r="R184" i="52"/>
  <c r="R654" i="52"/>
  <c r="R414" i="52"/>
  <c r="R23" i="52"/>
  <c r="R580" i="52"/>
  <c r="R112" i="52"/>
  <c r="R59" i="52"/>
  <c r="R309" i="52"/>
  <c r="R450" i="52"/>
  <c r="R593" i="52"/>
  <c r="R16" i="52"/>
  <c r="R20" i="52"/>
  <c r="R190" i="52"/>
  <c r="R392" i="52"/>
  <c r="R621" i="52"/>
  <c r="R336" i="52"/>
  <c r="R318" i="52"/>
  <c r="R612" i="52"/>
  <c r="R728" i="52"/>
  <c r="R749" i="52"/>
  <c r="R723" i="52"/>
  <c r="R695" i="52"/>
  <c r="R302" i="52"/>
  <c r="R785" i="52"/>
  <c r="R378" i="52"/>
  <c r="R317" i="52"/>
  <c r="R814" i="52"/>
  <c r="R495" i="52"/>
  <c r="R754" i="52"/>
  <c r="R699" i="52"/>
  <c r="R259" i="52"/>
  <c r="R109" i="52"/>
  <c r="R132" i="52"/>
  <c r="R212" i="52"/>
  <c r="R103" i="52"/>
  <c r="R416" i="52"/>
  <c r="R411" i="52"/>
  <c r="R770" i="52"/>
  <c r="R541" i="52"/>
  <c r="R544" i="52"/>
  <c r="R547" i="52"/>
  <c r="R561" i="52"/>
  <c r="R374" i="52"/>
  <c r="R407" i="52"/>
  <c r="R303" i="52"/>
  <c r="R543" i="52"/>
  <c r="R263" i="52"/>
  <c r="R359" i="52"/>
  <c r="R323" i="52"/>
  <c r="R552" i="52"/>
  <c r="R314" i="52"/>
  <c r="R21" i="52"/>
  <c r="R737" i="52"/>
  <c r="R433" i="52"/>
  <c r="R655" i="52"/>
  <c r="R402" i="52"/>
  <c r="R158" i="52"/>
  <c r="R781" i="52"/>
  <c r="R413" i="52"/>
  <c r="R377" i="52"/>
  <c r="R366" i="52"/>
  <c r="R60" i="52"/>
  <c r="R604" i="52"/>
  <c r="R188" i="52"/>
  <c r="R315" i="52"/>
  <c r="R166" i="52"/>
  <c r="R546" i="52"/>
  <c r="R647" i="52"/>
  <c r="R142" i="52"/>
  <c r="R432" i="52"/>
  <c r="R526" i="52"/>
  <c r="R700" i="52"/>
  <c r="R3" i="52"/>
  <c r="R313" i="52"/>
  <c r="R144" i="52"/>
  <c r="R324" i="52"/>
  <c r="R780" i="52"/>
  <c r="R415" i="52"/>
  <c r="R428" i="52"/>
  <c r="R430" i="52"/>
  <c r="R227" i="52"/>
  <c r="R94" i="52"/>
  <c r="R156" i="52"/>
  <c r="R360" i="52"/>
  <c r="R793" i="52"/>
  <c r="R779" i="52"/>
  <c r="R410" i="52"/>
  <c r="R788" i="52"/>
  <c r="R280" i="52"/>
  <c r="R341" i="52"/>
  <c r="R58" i="52"/>
  <c r="R703" i="52"/>
  <c r="R810" i="52"/>
  <c r="R778" i="52"/>
  <c r="R782" i="52"/>
  <c r="R159" i="52"/>
  <c r="R316" i="52"/>
  <c r="R606" i="52"/>
  <c r="R488" i="52"/>
  <c r="R380" i="52"/>
  <c r="R798" i="52"/>
  <c r="R777" i="52"/>
  <c r="R146" i="52"/>
  <c r="R257" i="52"/>
  <c r="R178" i="52"/>
  <c r="R783" i="52"/>
  <c r="R720" i="52"/>
  <c r="R208" i="52"/>
  <c r="R196" i="52"/>
  <c r="R179" i="52"/>
  <c r="R789" i="52"/>
  <c r="R152" i="52"/>
  <c r="R204" i="52"/>
  <c r="R161" i="52"/>
  <c r="R784" i="52"/>
  <c r="R773" i="52"/>
  <c r="R797" i="52"/>
  <c r="R729" i="52"/>
  <c r="R147" i="52"/>
  <c r="R265" i="52"/>
  <c r="R656" i="52"/>
  <c r="R667" i="52"/>
  <c r="R382" i="52"/>
  <c r="R349" i="52"/>
  <c r="R738" i="52"/>
  <c r="R589" i="52"/>
  <c r="R388" i="52"/>
  <c r="R239" i="52"/>
  <c r="R711" i="52"/>
  <c r="R578" i="52"/>
  <c r="R487" i="52"/>
  <c r="R756" i="52"/>
  <c r="R383" i="52"/>
  <c r="R148" i="52"/>
  <c r="R815" i="52"/>
  <c r="R10" i="52"/>
  <c r="R5" i="52"/>
  <c r="R727" i="52"/>
  <c r="R6" i="52"/>
  <c r="R138" i="52"/>
  <c r="R119" i="52"/>
  <c r="R352" i="52"/>
  <c r="R266" i="52"/>
  <c r="R328" i="52"/>
  <c r="R771" i="52"/>
  <c r="R13" i="52"/>
  <c r="R474" i="52"/>
  <c r="R312" i="52"/>
  <c r="R453" i="52"/>
  <c r="R168" i="52"/>
  <c r="R812" i="52"/>
  <c r="R154" i="52"/>
  <c r="R350" i="52"/>
  <c r="R403" i="52"/>
  <c r="R787" i="52"/>
  <c r="R110" i="52"/>
  <c r="R137" i="52"/>
  <c r="R539" i="52"/>
  <c r="R365" i="52"/>
  <c r="R751" i="52"/>
  <c r="R361" i="52"/>
  <c r="R471" i="52"/>
  <c r="R603" i="52"/>
  <c r="R339" i="52"/>
  <c r="R363" i="52"/>
  <c r="R120" i="52"/>
  <c r="R11" i="52"/>
  <c r="R615" i="52"/>
  <c r="R262" i="52"/>
  <c r="R423" i="52"/>
  <c r="R320" i="52"/>
  <c r="R283" i="52"/>
  <c r="R533" i="52"/>
  <c r="R169" i="52"/>
  <c r="R281" i="52"/>
  <c r="R557" i="52"/>
  <c r="R274" i="52"/>
  <c r="R458" i="52"/>
  <c r="R594" i="52"/>
  <c r="R721" i="52"/>
  <c r="R214" i="52"/>
  <c r="R744" i="52"/>
  <c r="R86" i="52"/>
  <c r="R118" i="52"/>
  <c r="R649" i="52"/>
  <c r="R128" i="52"/>
  <c r="R333" i="52"/>
  <c r="R174" i="52"/>
  <c r="R367" i="52"/>
  <c r="R198" i="52"/>
  <c r="R53" i="52"/>
  <c r="R270" i="52"/>
  <c r="R755" i="52"/>
  <c r="R592" i="52"/>
  <c r="R222" i="52"/>
  <c r="R362" i="52"/>
  <c r="R371" i="52"/>
  <c r="R348" i="52"/>
  <c r="R373" i="52"/>
  <c r="R611" i="52"/>
  <c r="R99" i="52"/>
  <c r="R417" i="52"/>
  <c r="R509" i="52"/>
  <c r="R364" i="52"/>
  <c r="R522" i="52"/>
  <c r="R748" i="52"/>
  <c r="R334" i="52"/>
  <c r="R519" i="52"/>
  <c r="R71" i="52"/>
  <c r="R452" i="52"/>
  <c r="R139" i="52"/>
  <c r="R794" i="52"/>
  <c r="R338" i="52"/>
  <c r="R512" i="52"/>
  <c r="R301" i="52"/>
  <c r="R102" i="52"/>
  <c r="R93" i="52"/>
  <c r="R473" i="52"/>
  <c r="R551" i="52"/>
  <c r="R630" i="52"/>
  <c r="R694" i="52"/>
  <c r="R173" i="52"/>
  <c r="R524" i="52"/>
  <c r="R763" i="52"/>
  <c r="R435" i="52"/>
  <c r="R401" i="52"/>
  <c r="R379" i="52"/>
  <c r="R669" i="52"/>
  <c r="R404" i="52"/>
  <c r="R420" i="52"/>
  <c r="R319" i="52"/>
  <c r="R356" i="52"/>
  <c r="R600" i="52"/>
  <c r="R555" i="52"/>
  <c r="R451" i="52"/>
  <c r="R8" i="52"/>
  <c r="R582" i="52"/>
  <c r="R501" i="52"/>
  <c r="R98" i="52"/>
  <c r="R400" i="52"/>
  <c r="R753" i="52"/>
  <c r="R26" i="52"/>
  <c r="R267" i="52"/>
  <c r="R642" i="52"/>
  <c r="R741" i="52"/>
  <c r="R46" i="52"/>
  <c r="R48" i="52"/>
  <c r="R390" i="52"/>
  <c r="R329" i="52"/>
  <c r="R408" i="52"/>
  <c r="R774" i="52"/>
  <c r="R643" i="52"/>
  <c r="R126" i="52"/>
  <c r="R489" i="52"/>
  <c r="R393" i="52"/>
  <c r="R568" i="52"/>
  <c r="R460" i="52"/>
  <c r="R193" i="52"/>
  <c r="R260" i="52"/>
  <c r="R469" i="52"/>
  <c r="R498" i="52"/>
  <c r="R591" i="52"/>
  <c r="R85" i="52"/>
  <c r="R394" i="52"/>
  <c r="R278" i="52"/>
  <c r="R672" i="52"/>
  <c r="R228" i="52"/>
  <c r="R482" i="52"/>
  <c r="R531" i="52"/>
  <c r="R478" i="52"/>
  <c r="R247" i="52"/>
  <c r="R704" i="52"/>
  <c r="R55" i="52"/>
  <c r="R570" i="52"/>
  <c r="R31" i="52"/>
  <c r="R468" i="52"/>
  <c r="R525" i="52"/>
  <c r="R170" i="52"/>
  <c r="R624" i="52"/>
  <c r="R347" i="52"/>
  <c r="R668" i="52"/>
  <c r="R354" i="52"/>
  <c r="R651" i="52"/>
  <c r="R254" i="52"/>
  <c r="R310" i="52"/>
  <c r="R558" i="52"/>
  <c r="R25" i="52"/>
  <c r="R663" i="52"/>
  <c r="R384" i="52"/>
  <c r="R617" i="52"/>
  <c r="R619" i="52"/>
  <c r="R397" i="52"/>
  <c r="R657" i="52"/>
  <c r="R224" i="52"/>
  <c r="R226" i="52"/>
  <c r="R176" i="52"/>
  <c r="R641" i="52"/>
  <c r="R776" i="52"/>
  <c r="R442" i="52"/>
  <c r="R4" i="52"/>
  <c r="R114" i="52"/>
  <c r="R675" i="52"/>
  <c r="R449" i="52"/>
  <c r="R817" i="52"/>
  <c r="R91" i="52"/>
  <c r="R634" i="52"/>
  <c r="R714" i="52"/>
  <c r="R250" i="52"/>
  <c r="R297" i="52"/>
  <c r="R566" i="52"/>
  <c r="R538" i="52"/>
  <c r="R87" i="52"/>
  <c r="R496" i="52"/>
  <c r="R248" i="52"/>
  <c r="R396" i="52"/>
  <c r="R251" i="52"/>
  <c r="R599" i="52"/>
  <c r="R664" i="52"/>
  <c r="R14" i="52"/>
  <c r="R461" i="52"/>
  <c r="R622" i="52"/>
  <c r="R730" i="52"/>
  <c r="R528" i="52"/>
  <c r="R56" i="52"/>
  <c r="R499" i="52"/>
  <c r="R35" i="52"/>
  <c r="R610" i="52"/>
  <c r="R801" i="52"/>
  <c r="R564" i="52"/>
  <c r="R381" i="52"/>
  <c r="R660" i="52"/>
  <c r="R576" i="52"/>
  <c r="R376" i="52"/>
  <c r="R217" i="52"/>
  <c r="R205" i="52"/>
  <c r="R233" i="52"/>
  <c r="R701" i="52"/>
  <c r="R527" i="52"/>
  <c r="R800" i="52"/>
  <c r="R670" i="52"/>
  <c r="R440" i="52"/>
  <c r="R155" i="52"/>
  <c r="R806" i="52"/>
  <c r="R64" i="52"/>
  <c r="R648" i="52"/>
  <c r="R90" i="52"/>
  <c r="R385" i="52"/>
  <c r="R613" i="52"/>
  <c r="R605" i="52"/>
  <c r="R81" i="52"/>
  <c r="R802" i="52"/>
  <c r="R545" i="52"/>
  <c r="R632" i="52"/>
  <c r="R696" i="52"/>
  <c r="R82" i="52"/>
  <c r="R532" i="52"/>
  <c r="R75" i="52"/>
  <c r="R353" i="52"/>
  <c r="R805" i="52"/>
  <c r="R565" i="52"/>
  <c r="R585" i="52"/>
  <c r="R326" i="52"/>
  <c r="R325" i="52"/>
  <c r="R733" i="52"/>
  <c r="R554" i="52"/>
  <c r="R80" i="52"/>
  <c r="R213" i="52"/>
  <c r="R229" i="52"/>
  <c r="R412" i="52"/>
  <c r="R34" i="52"/>
  <c r="R230" i="52"/>
  <c r="R767" i="52"/>
  <c r="R269" i="52"/>
  <c r="R399" i="52"/>
  <c r="R106" i="52"/>
  <c r="R653" i="52"/>
  <c r="R268" i="52"/>
  <c r="R140" i="52"/>
  <c r="R548" i="52"/>
  <c r="R398" i="52"/>
  <c r="R775" i="52"/>
  <c r="R679" i="52"/>
  <c r="R116" i="52"/>
  <c r="R344" i="52"/>
  <c r="R202" i="52"/>
  <c r="R276" i="52"/>
  <c r="R804" i="52"/>
  <c r="R716" i="52"/>
  <c r="R67" i="52"/>
  <c r="R30" i="52"/>
  <c r="R556" i="52"/>
  <c r="R795" i="52"/>
  <c r="R735" i="52"/>
  <c r="R454" i="52"/>
  <c r="R628" i="52"/>
  <c r="R43" i="52"/>
  <c r="R271" i="52"/>
  <c r="R42" i="52"/>
  <c r="R63" i="52"/>
  <c r="R745" i="52"/>
  <c r="R505" i="52"/>
  <c r="R811" i="52"/>
  <c r="R181" i="52"/>
  <c r="R108" i="52"/>
  <c r="R345" i="52"/>
  <c r="R41" i="52"/>
  <c r="R717" i="52"/>
  <c r="R431" i="52"/>
  <c r="R97" i="52"/>
  <c r="R671" i="52"/>
  <c r="R725" i="52"/>
  <c r="R764" i="52"/>
  <c r="R77" i="52"/>
  <c r="R712" i="52"/>
  <c r="R346" i="52"/>
  <c r="R76" i="52"/>
  <c r="R718" i="52"/>
  <c r="R369" i="52"/>
  <c r="R157" i="52"/>
  <c r="R588" i="52"/>
  <c r="R237" i="52"/>
  <c r="R726" i="52"/>
  <c r="R673" i="52"/>
  <c r="R645" i="52"/>
  <c r="R69" i="52"/>
  <c r="R681" i="52"/>
  <c r="R494" i="52"/>
  <c r="R65" i="52"/>
  <c r="R122" i="52"/>
  <c r="R386" i="52"/>
  <c r="R153" i="52"/>
  <c r="R550" i="52"/>
  <c r="R225" i="52"/>
  <c r="R29" i="52"/>
  <c r="R516" i="52"/>
  <c r="R61" i="52"/>
  <c r="R343" i="52"/>
  <c r="R464" i="52"/>
  <c r="R143" i="52"/>
  <c r="R572" i="52"/>
  <c r="R182" i="52"/>
  <c r="R337" i="52"/>
  <c r="R307" i="52"/>
  <c r="R252" i="52"/>
  <c r="R133" i="52"/>
  <c r="R219" i="52"/>
  <c r="R27" i="52"/>
  <c r="R124" i="52"/>
  <c r="R47" i="52"/>
  <c r="R277" i="52"/>
  <c r="R693" i="52"/>
  <c r="R238" i="52"/>
  <c r="R521" i="52"/>
  <c r="R321" i="52"/>
  <c r="R631" i="52"/>
  <c r="R618" i="52"/>
  <c r="R713" i="52"/>
  <c r="R129" i="52"/>
  <c r="R625" i="52"/>
  <c r="R807" i="52"/>
  <c r="R135" i="52"/>
  <c r="R421" i="52"/>
  <c r="R674" i="52"/>
  <c r="R684" i="52"/>
  <c r="R294" i="52"/>
  <c r="R523" i="52"/>
  <c r="R772" i="52"/>
  <c r="R298" i="52"/>
  <c r="R292" i="52"/>
  <c r="R702" i="52"/>
  <c r="R51" i="52"/>
  <c r="R234" i="52"/>
  <c r="R308" i="52"/>
  <c r="R255" i="52"/>
  <c r="R574" i="52"/>
  <c r="R167" i="52"/>
  <c r="R724" i="52"/>
  <c r="R790" i="52"/>
  <c r="R579" i="52"/>
  <c r="R608" i="52"/>
  <c r="R372" i="52"/>
  <c r="R475" i="52"/>
  <c r="R742" i="52"/>
  <c r="R299" i="52"/>
  <c r="R296" i="52"/>
  <c r="R465" i="52"/>
  <c r="R304" i="52"/>
  <c r="R490" i="52"/>
  <c r="R289" i="52"/>
  <c r="R104" i="52"/>
  <c r="R149" i="52"/>
  <c r="R760" i="52"/>
  <c r="R602" i="52"/>
  <c r="R171" i="52"/>
  <c r="R491" i="52"/>
  <c r="R96" i="52"/>
  <c r="R665" i="52"/>
  <c r="R172" i="52"/>
  <c r="R439" i="52"/>
  <c r="R443" i="52"/>
  <c r="R577" i="52"/>
  <c r="R707" i="52"/>
  <c r="R258" i="52"/>
  <c r="R199" i="52"/>
  <c r="R658" i="52"/>
  <c r="R331" i="52"/>
  <c r="R186" i="52"/>
  <c r="R293" i="52"/>
  <c r="R52" i="52"/>
  <c r="R483" i="52"/>
  <c r="R437" i="52"/>
  <c r="R275" i="52"/>
  <c r="R429" i="52"/>
  <c r="R796" i="52"/>
  <c r="R636" i="52"/>
  <c r="R534" i="52"/>
  <c r="R633" i="52"/>
  <c r="R607" i="52"/>
  <c r="R419" i="52"/>
  <c r="R537" i="52"/>
  <c r="R89" i="52"/>
  <c r="R743" i="52"/>
  <c r="R44" i="52"/>
  <c r="R73" i="52"/>
  <c r="R761" i="52"/>
  <c r="R231" i="52"/>
  <c r="R287" i="52"/>
  <c r="R245" i="52"/>
  <c r="R425" i="52"/>
  <c r="R705" i="52"/>
  <c r="R290" i="52"/>
  <c r="R758" i="52"/>
  <c r="R803" i="52"/>
  <c r="R253" i="52"/>
  <c r="R455" i="52"/>
  <c r="R609" i="52"/>
  <c r="R680" i="52"/>
  <c r="R470" i="52"/>
  <c r="R130" i="52"/>
  <c r="R560" i="52"/>
  <c r="R441" i="52"/>
  <c r="R436" i="52"/>
  <c r="R746" i="52"/>
  <c r="R235" i="52"/>
  <c r="R422" i="52"/>
  <c r="R40" i="52"/>
  <c r="R635" i="52"/>
  <c r="R666" i="52"/>
  <c r="R201" i="52"/>
  <c r="R389" i="52"/>
  <c r="R731" i="52"/>
  <c r="R191" i="52"/>
  <c r="R590" i="52"/>
  <c r="R200" i="52"/>
  <c r="R340" i="52"/>
  <c r="R518" i="52"/>
  <c r="R164" i="52"/>
  <c r="R83" i="52"/>
  <c r="R562" i="52"/>
  <c r="R734" i="52"/>
  <c r="R511" i="52"/>
  <c r="R514" i="52"/>
  <c r="R446" i="52"/>
  <c r="R620" i="52"/>
  <c r="R242" i="52"/>
  <c r="R500" i="52"/>
  <c r="R206" i="52"/>
  <c r="R750" i="52"/>
  <c r="R342" i="52"/>
  <c r="R105" i="52"/>
  <c r="R273" i="52"/>
  <c r="R68" i="52"/>
  <c r="R689" i="52"/>
  <c r="R732" i="52"/>
  <c r="R28" i="52"/>
  <c r="R687" i="52"/>
  <c r="R241" i="52"/>
  <c r="R160" i="52"/>
  <c r="R54" i="52"/>
  <c r="R62" i="52"/>
  <c r="R330" i="52"/>
  <c r="R244" i="52"/>
  <c r="R740" i="52"/>
  <c r="R36" i="52"/>
  <c r="R659" i="52"/>
  <c r="R757" i="52"/>
  <c r="R192" i="52"/>
  <c r="R762" i="52"/>
  <c r="R708" i="52"/>
  <c r="R472" i="52"/>
  <c r="R462" i="52"/>
  <c r="R121" i="52"/>
  <c r="R50" i="52"/>
  <c r="R506" i="52"/>
  <c r="R38" i="52"/>
  <c r="R282" i="52"/>
  <c r="R300" i="52"/>
  <c r="R95" i="52"/>
  <c r="R236" i="52"/>
  <c r="R39" i="52"/>
  <c r="R187" i="52"/>
  <c r="R719" i="52"/>
  <c r="R786" i="52"/>
  <c r="R601" i="52"/>
  <c r="R88" i="52"/>
  <c r="R180" i="52"/>
  <c r="R691" i="52"/>
  <c r="R261" i="52"/>
  <c r="R563" i="52"/>
  <c r="R467" i="52"/>
  <c r="R335" i="52"/>
  <c r="R24" i="52"/>
  <c r="R418" i="52"/>
  <c r="R480" i="52"/>
  <c r="R759" i="52"/>
  <c r="R249" i="52"/>
  <c r="R520" i="52"/>
  <c r="R456" i="52"/>
  <c r="R22" i="52"/>
  <c r="R72" i="52"/>
  <c r="R32" i="52"/>
  <c r="R240" i="52"/>
  <c r="R486" i="52"/>
  <c r="R115" i="52"/>
  <c r="R698" i="52"/>
  <c r="R66" i="52"/>
  <c r="R445" i="52"/>
  <c r="R221" i="52"/>
  <c r="R368" i="52"/>
  <c r="R510" i="52"/>
  <c r="R131" i="52"/>
  <c r="R530" i="52"/>
  <c r="R285" i="52"/>
  <c r="R536" i="52"/>
  <c r="R813" i="52"/>
  <c r="R583" i="52"/>
  <c r="R211" i="52"/>
  <c r="R508" i="52"/>
  <c r="R19" i="52"/>
  <c r="R493" i="52"/>
  <c r="R92" i="52"/>
  <c r="R49" i="52"/>
  <c r="R692" i="52"/>
  <c r="R492" i="52"/>
  <c r="R246" i="52"/>
  <c r="R765" i="52"/>
  <c r="R626" i="52"/>
  <c r="R151" i="52"/>
  <c r="R444" i="52"/>
  <c r="R434" i="52"/>
  <c r="R571" i="52"/>
  <c r="R808" i="52"/>
  <c r="R688" i="52"/>
  <c r="R306" i="52"/>
  <c r="R243" i="52"/>
  <c r="R215" i="52"/>
  <c r="R177" i="52"/>
  <c r="R209" i="52"/>
  <c r="R111" i="52"/>
  <c r="R662" i="52"/>
  <c r="R466" i="52"/>
  <c r="R504" i="52"/>
  <c r="R768" i="52"/>
  <c r="R553" i="52"/>
  <c r="R586" i="52"/>
  <c r="R79" i="52"/>
  <c r="R305" i="52"/>
  <c r="R84" i="52"/>
  <c r="R232" i="52"/>
  <c r="R685" i="52"/>
  <c r="R185" i="52"/>
  <c r="R497" i="52"/>
  <c r="R100" i="52"/>
  <c r="R197" i="52"/>
  <c r="R357" i="52"/>
  <c r="R476" i="52"/>
  <c r="R542" i="52"/>
  <c r="R332" i="52"/>
  <c r="R515" i="52"/>
  <c r="R614" i="52"/>
  <c r="R203" i="52"/>
  <c r="R769" i="52"/>
  <c r="R57" i="52"/>
  <c r="R216" i="52"/>
  <c r="R113" i="52"/>
  <c r="R207" i="52"/>
  <c r="R752" i="52"/>
  <c r="R210" i="52"/>
  <c r="R567" i="52"/>
  <c r="R457" i="52"/>
  <c r="R479" i="52"/>
  <c r="R502" i="52"/>
  <c r="R683" i="52"/>
  <c r="R791" i="52"/>
  <c r="R686" i="52"/>
  <c r="R286" i="52"/>
  <c r="R587" i="52"/>
  <c r="R676" i="52"/>
  <c r="R559" i="52"/>
  <c r="R722" i="52"/>
  <c r="R616" i="52"/>
  <c r="R638" i="52"/>
  <c r="R279" i="52"/>
  <c r="R627" i="52"/>
  <c r="R391" i="52"/>
  <c r="R448" i="52"/>
  <c r="R284" i="52"/>
  <c r="R70" i="52"/>
  <c r="R477" i="52"/>
  <c r="R351" i="52"/>
  <c r="R405" i="52"/>
  <c r="R646" i="52"/>
  <c r="R540" i="52"/>
  <c r="R107" i="52"/>
  <c r="R513" i="52"/>
  <c r="R358" i="52"/>
  <c r="R629" i="52"/>
  <c r="R639" i="52"/>
  <c r="R427" i="52"/>
  <c r="R799" i="52"/>
  <c r="R18" i="52"/>
  <c r="R136" i="52"/>
  <c r="R709" i="52"/>
  <c r="R481" i="52"/>
  <c r="R406" i="52"/>
  <c r="R33" i="52"/>
  <c r="R162" i="52"/>
  <c r="R595" i="52"/>
  <c r="R163" i="52"/>
  <c r="R739" i="52"/>
  <c r="R256" i="52"/>
  <c r="R569" i="52"/>
  <c r="R395" i="52"/>
  <c r="R650" i="52"/>
  <c r="R264" i="52"/>
  <c r="R183" i="52"/>
  <c r="R288" i="52"/>
  <c r="R573" i="52"/>
  <c r="R370" i="52"/>
  <c r="R503" i="52"/>
  <c r="R189" i="52"/>
  <c r="R117" i="52"/>
  <c r="R387" i="52"/>
  <c r="R517" i="52"/>
  <c r="R584" i="52"/>
  <c r="R194" i="52"/>
  <c r="R484" i="52"/>
  <c r="R311" i="52"/>
  <c r="R17" i="52"/>
  <c r="R327" i="52"/>
  <c r="R644" i="52"/>
  <c r="R459" i="52"/>
  <c r="R291" i="52"/>
  <c r="R637" i="52"/>
  <c r="O134" i="52"/>
  <c r="P134" i="52" s="1"/>
  <c r="Q134" i="52" s="1"/>
  <c r="O9" i="52"/>
  <c r="P9" i="52" s="1"/>
  <c r="Q9" i="52" s="1"/>
  <c r="O816" i="52"/>
  <c r="P816" i="52" s="1"/>
  <c r="Q816" i="52" s="1"/>
  <c r="O74" i="52"/>
  <c r="P74" i="52" s="1"/>
  <c r="Q74" i="52" s="1"/>
  <c r="O101" i="52"/>
  <c r="P101" i="52" s="1"/>
  <c r="Q101" i="52" s="1"/>
  <c r="O37" i="52"/>
  <c r="P37" i="52" s="1"/>
  <c r="Q37" i="52" s="1"/>
  <c r="O623" i="52"/>
  <c r="P623" i="52" s="1"/>
  <c r="Q623" i="52" s="1"/>
  <c r="O355" i="52"/>
  <c r="P355" i="52" s="1"/>
  <c r="Q355" i="52" s="1"/>
  <c r="O165" i="52"/>
  <c r="P165" i="52" s="1"/>
  <c r="Q165" i="52" s="1"/>
  <c r="O549" i="52"/>
  <c r="P549" i="52" s="1"/>
  <c r="Q549" i="52" s="1"/>
  <c r="O150" i="52"/>
  <c r="P150" i="52" s="1"/>
  <c r="Q150" i="52" s="1"/>
  <c r="O45" i="52"/>
  <c r="P45" i="52" s="1"/>
  <c r="Q45" i="52" s="1"/>
  <c r="O78" i="52"/>
  <c r="P78" i="52" s="1"/>
  <c r="Q78" i="52" s="1"/>
  <c r="O766" i="52"/>
  <c r="P766" i="52" s="1"/>
  <c r="Q766" i="52" s="1"/>
  <c r="O596" i="52"/>
  <c r="P596" i="52" s="1"/>
  <c r="Q596" i="52" s="1"/>
  <c r="O220" i="52"/>
  <c r="P220" i="52" s="1"/>
  <c r="Q220" i="52" s="1"/>
  <c r="O535" i="52"/>
  <c r="P535" i="52" s="1"/>
  <c r="Q535" i="52" s="1"/>
  <c r="O195" i="52"/>
  <c r="P195" i="52" s="1"/>
  <c r="Q195" i="52" s="1"/>
  <c r="O581" i="52"/>
  <c r="P581" i="52" s="1"/>
  <c r="Q581" i="52" s="1"/>
  <c r="O706" i="52"/>
  <c r="P706" i="52" s="1"/>
  <c r="Q706" i="52" s="1"/>
  <c r="O447" i="52"/>
  <c r="P447" i="52" s="1"/>
  <c r="Q447" i="52" s="1"/>
  <c r="O7" i="52"/>
  <c r="P7" i="52" s="1"/>
  <c r="Q7" i="52" s="1"/>
  <c r="O12" i="52"/>
  <c r="P12" i="52" s="1"/>
  <c r="Q12" i="52" s="1"/>
  <c r="O463" i="52"/>
  <c r="P463" i="52" s="1"/>
  <c r="Q463" i="52" s="1"/>
  <c r="O747" i="52"/>
  <c r="P747" i="52" s="1"/>
  <c r="Q747" i="52" s="1"/>
  <c r="O218" i="52"/>
  <c r="P218" i="52" s="1"/>
  <c r="Q218" i="52" s="1"/>
  <c r="O485" i="52"/>
  <c r="P485" i="52" s="1"/>
  <c r="Q485" i="52" s="1"/>
  <c r="O690" i="52"/>
  <c r="P690" i="52" s="1"/>
  <c r="Q690" i="52" s="1"/>
  <c r="O677" i="52"/>
  <c r="P677" i="52" s="1"/>
  <c r="Q677" i="52" s="1"/>
  <c r="O792" i="52"/>
  <c r="P792" i="52" s="1"/>
  <c r="Q792" i="52" s="1"/>
  <c r="O682" i="52"/>
  <c r="P682" i="52" s="1"/>
  <c r="Q682" i="52" s="1"/>
  <c r="O272" i="52"/>
  <c r="P272" i="52" s="1"/>
  <c r="Q272" i="52" s="1"/>
  <c r="O223" i="52"/>
  <c r="P223" i="52" s="1"/>
  <c r="Q223" i="52" s="1"/>
  <c r="O295" i="52"/>
  <c r="P295" i="52" s="1"/>
  <c r="Q295" i="52" s="1"/>
  <c r="O409" i="52"/>
  <c r="P409" i="52" s="1"/>
  <c r="Q409" i="52" s="1"/>
  <c r="O715" i="52"/>
  <c r="P715" i="52" s="1"/>
  <c r="Q715" i="52" s="1"/>
  <c r="O809" i="52"/>
  <c r="P809" i="52" s="1"/>
  <c r="Q809" i="52" s="1"/>
  <c r="O678" i="52"/>
  <c r="P678" i="52" s="1"/>
  <c r="Q678" i="52" s="1"/>
  <c r="O736" i="52"/>
  <c r="P736" i="52" s="1"/>
  <c r="Q736" i="52" s="1"/>
  <c r="O322" i="52"/>
  <c r="P322" i="52" s="1"/>
  <c r="Q322" i="52" s="1"/>
  <c r="O145" i="52"/>
  <c r="P145" i="52" s="1"/>
  <c r="Q145" i="52" s="1"/>
  <c r="O141" i="52"/>
  <c r="P141" i="52" s="1"/>
  <c r="Q141" i="52" s="1"/>
  <c r="O125" i="52"/>
  <c r="P125" i="52" s="1"/>
  <c r="Q125" i="52" s="1"/>
  <c r="O640" i="52"/>
  <c r="P640" i="52" s="1"/>
  <c r="Q640" i="52" s="1"/>
  <c r="O127" i="52"/>
  <c r="P127" i="52" s="1"/>
  <c r="Q127" i="52" s="1"/>
  <c r="O15" i="52"/>
  <c r="P15" i="52" s="1"/>
  <c r="Q15" i="52" s="1"/>
  <c r="O529" i="52"/>
  <c r="P529" i="52" s="1"/>
  <c r="Q529" i="52" s="1"/>
  <c r="O597" i="52"/>
  <c r="P597" i="52" s="1"/>
  <c r="Q597" i="52" s="1"/>
  <c r="O598" i="52"/>
  <c r="P598" i="52" s="1"/>
  <c r="Q598" i="52" s="1"/>
  <c r="O507" i="52"/>
  <c r="P507" i="52" s="1"/>
  <c r="Q507" i="52" s="1"/>
  <c r="O123" i="52"/>
  <c r="P123" i="52" s="1"/>
  <c r="Q123" i="52" s="1"/>
  <c r="O661" i="52"/>
  <c r="P661" i="52" s="1"/>
  <c r="Q661" i="52" s="1"/>
  <c r="O652" i="52"/>
  <c r="P652" i="52" s="1"/>
  <c r="Q652" i="52" s="1"/>
  <c r="O375" i="52"/>
  <c r="P375" i="52" s="1"/>
  <c r="Q375" i="52" s="1"/>
  <c r="O175" i="52"/>
  <c r="P175" i="52" s="1"/>
  <c r="Q175" i="52" s="1"/>
  <c r="O575" i="52"/>
  <c r="P575" i="52" s="1"/>
  <c r="Q575" i="52" s="1"/>
  <c r="O424" i="52"/>
  <c r="P424" i="52" s="1"/>
  <c r="Q424" i="52" s="1"/>
  <c r="O426" i="52"/>
  <c r="P426" i="52" s="1"/>
  <c r="Q426" i="52" s="1"/>
  <c r="O697" i="52"/>
  <c r="P697" i="52" s="1"/>
  <c r="Q697" i="52" s="1"/>
  <c r="O438" i="52"/>
  <c r="P438" i="52" s="1"/>
  <c r="Q438" i="52" s="1"/>
  <c r="O710" i="52"/>
  <c r="P710" i="52" s="1"/>
  <c r="Q710" i="52" s="1"/>
  <c r="O184" i="52"/>
  <c r="P184" i="52" s="1"/>
  <c r="Q184" i="52" s="1"/>
  <c r="O654" i="52"/>
  <c r="P654" i="52" s="1"/>
  <c r="Q654" i="52" s="1"/>
  <c r="O414" i="52"/>
  <c r="P414" i="52" s="1"/>
  <c r="Q414" i="52" s="1"/>
  <c r="O23" i="52"/>
  <c r="P23" i="52" s="1"/>
  <c r="Q23" i="52" s="1"/>
  <c r="O580" i="52"/>
  <c r="P580" i="52" s="1"/>
  <c r="Q580" i="52" s="1"/>
  <c r="O112" i="52"/>
  <c r="P112" i="52" s="1"/>
  <c r="Q112" i="52" s="1"/>
  <c r="O59" i="52"/>
  <c r="P59" i="52" s="1"/>
  <c r="Q59" i="52" s="1"/>
  <c r="O309" i="52"/>
  <c r="P309" i="52" s="1"/>
  <c r="Q309" i="52" s="1"/>
  <c r="O450" i="52"/>
  <c r="P450" i="52" s="1"/>
  <c r="Q450" i="52" s="1"/>
  <c r="O593" i="52"/>
  <c r="P593" i="52" s="1"/>
  <c r="Q593" i="52" s="1"/>
  <c r="O16" i="52"/>
  <c r="P16" i="52" s="1"/>
  <c r="Q16" i="52" s="1"/>
  <c r="O20" i="52"/>
  <c r="P20" i="52" s="1"/>
  <c r="Q20" i="52" s="1"/>
  <c r="O190" i="52"/>
  <c r="P190" i="52" s="1"/>
  <c r="Q190" i="52" s="1"/>
  <c r="O392" i="52"/>
  <c r="P392" i="52" s="1"/>
  <c r="Q392" i="52" s="1"/>
  <c r="O621" i="52"/>
  <c r="P621" i="52" s="1"/>
  <c r="Q621" i="52" s="1"/>
  <c r="O336" i="52"/>
  <c r="P336" i="52" s="1"/>
  <c r="Q336" i="52" s="1"/>
  <c r="O318" i="52"/>
  <c r="P318" i="52" s="1"/>
  <c r="Q318" i="52" s="1"/>
  <c r="O612" i="52"/>
  <c r="P612" i="52" s="1"/>
  <c r="Q612" i="52" s="1"/>
  <c r="O728" i="52"/>
  <c r="P728" i="52" s="1"/>
  <c r="Q728" i="52" s="1"/>
  <c r="O749" i="52"/>
  <c r="P749" i="52" s="1"/>
  <c r="Q749" i="52" s="1"/>
  <c r="O723" i="52"/>
  <c r="P723" i="52" s="1"/>
  <c r="Q723" i="52" s="1"/>
  <c r="O695" i="52"/>
  <c r="P695" i="52" s="1"/>
  <c r="Q695" i="52" s="1"/>
  <c r="O302" i="52"/>
  <c r="P302" i="52" s="1"/>
  <c r="Q302" i="52" s="1"/>
  <c r="O785" i="52"/>
  <c r="P785" i="52" s="1"/>
  <c r="Q785" i="52" s="1"/>
  <c r="O378" i="52"/>
  <c r="P378" i="52" s="1"/>
  <c r="Q378" i="52" s="1"/>
  <c r="O317" i="52"/>
  <c r="P317" i="52" s="1"/>
  <c r="Q317" i="52" s="1"/>
  <c r="O814" i="52"/>
  <c r="P814" i="52" s="1"/>
  <c r="Q814" i="52" s="1"/>
  <c r="O495" i="52"/>
  <c r="P495" i="52" s="1"/>
  <c r="Q495" i="52" s="1"/>
  <c r="O754" i="52"/>
  <c r="P754" i="52" s="1"/>
  <c r="Q754" i="52" s="1"/>
  <c r="O699" i="52"/>
  <c r="P699" i="52" s="1"/>
  <c r="Q699" i="52" s="1"/>
  <c r="O259" i="52"/>
  <c r="P259" i="52" s="1"/>
  <c r="Q259" i="52" s="1"/>
  <c r="O109" i="52"/>
  <c r="P109" i="52" s="1"/>
  <c r="Q109" i="52" s="1"/>
  <c r="O132" i="52"/>
  <c r="P132" i="52" s="1"/>
  <c r="Q132" i="52" s="1"/>
  <c r="O212" i="52"/>
  <c r="P212" i="52" s="1"/>
  <c r="Q212" i="52" s="1"/>
  <c r="O103" i="52"/>
  <c r="P103" i="52" s="1"/>
  <c r="Q103" i="52" s="1"/>
  <c r="O416" i="52"/>
  <c r="P416" i="52" s="1"/>
  <c r="Q416" i="52" s="1"/>
  <c r="O411" i="52"/>
  <c r="P411" i="52" s="1"/>
  <c r="Q411" i="52" s="1"/>
  <c r="O770" i="52"/>
  <c r="P770" i="52" s="1"/>
  <c r="Q770" i="52" s="1"/>
  <c r="O541" i="52"/>
  <c r="P541" i="52" s="1"/>
  <c r="Q541" i="52" s="1"/>
  <c r="O544" i="52"/>
  <c r="P544" i="52" s="1"/>
  <c r="Q544" i="52" s="1"/>
  <c r="O547" i="52"/>
  <c r="P547" i="52" s="1"/>
  <c r="Q547" i="52" s="1"/>
  <c r="O561" i="52"/>
  <c r="P561" i="52" s="1"/>
  <c r="Q561" i="52" s="1"/>
  <c r="O374" i="52"/>
  <c r="P374" i="52" s="1"/>
  <c r="Q374" i="52" s="1"/>
  <c r="O407" i="52"/>
  <c r="P407" i="52" s="1"/>
  <c r="Q407" i="52" s="1"/>
  <c r="O303" i="52"/>
  <c r="P303" i="52" s="1"/>
  <c r="Q303" i="52" s="1"/>
  <c r="O543" i="52"/>
  <c r="P543" i="52" s="1"/>
  <c r="Q543" i="52" s="1"/>
  <c r="O263" i="52"/>
  <c r="P263" i="52" s="1"/>
  <c r="Q263" i="52" s="1"/>
  <c r="O359" i="52"/>
  <c r="P359" i="52" s="1"/>
  <c r="Q359" i="52" s="1"/>
  <c r="O323" i="52"/>
  <c r="P323" i="52" s="1"/>
  <c r="Q323" i="52" s="1"/>
  <c r="O552" i="52"/>
  <c r="P552" i="52" s="1"/>
  <c r="Q552" i="52" s="1"/>
  <c r="O314" i="52"/>
  <c r="P314" i="52" s="1"/>
  <c r="Q314" i="52" s="1"/>
  <c r="O21" i="52"/>
  <c r="P21" i="52" s="1"/>
  <c r="Q21" i="52" s="1"/>
  <c r="O737" i="52"/>
  <c r="P737" i="52" s="1"/>
  <c r="Q737" i="52" s="1"/>
  <c r="O433" i="52"/>
  <c r="P433" i="52" s="1"/>
  <c r="Q433" i="52" s="1"/>
  <c r="O655" i="52"/>
  <c r="P655" i="52" s="1"/>
  <c r="Q655" i="52" s="1"/>
  <c r="O402" i="52"/>
  <c r="P402" i="52" s="1"/>
  <c r="Q402" i="52" s="1"/>
  <c r="O158" i="52"/>
  <c r="P158" i="52" s="1"/>
  <c r="Q158" i="52" s="1"/>
  <c r="O781" i="52"/>
  <c r="P781" i="52" s="1"/>
  <c r="Q781" i="52" s="1"/>
  <c r="O413" i="52"/>
  <c r="P413" i="52" s="1"/>
  <c r="Q413" i="52" s="1"/>
  <c r="O377" i="52"/>
  <c r="P377" i="52" s="1"/>
  <c r="Q377" i="52" s="1"/>
  <c r="O366" i="52"/>
  <c r="P366" i="52" s="1"/>
  <c r="Q366" i="52" s="1"/>
  <c r="O60" i="52"/>
  <c r="P60" i="52" s="1"/>
  <c r="Q60" i="52" s="1"/>
  <c r="O604" i="52"/>
  <c r="P604" i="52" s="1"/>
  <c r="Q604" i="52" s="1"/>
  <c r="O188" i="52"/>
  <c r="P188" i="52" s="1"/>
  <c r="Q188" i="52" s="1"/>
  <c r="O315" i="52"/>
  <c r="P315" i="52" s="1"/>
  <c r="Q315" i="52" s="1"/>
  <c r="O166" i="52"/>
  <c r="P166" i="52" s="1"/>
  <c r="Q166" i="52" s="1"/>
  <c r="O546" i="52"/>
  <c r="P546" i="52" s="1"/>
  <c r="Q546" i="52" s="1"/>
  <c r="O647" i="52"/>
  <c r="P647" i="52" s="1"/>
  <c r="Q647" i="52" s="1"/>
  <c r="O142" i="52"/>
  <c r="P142" i="52" s="1"/>
  <c r="Q142" i="52" s="1"/>
  <c r="O432" i="52"/>
  <c r="P432" i="52" s="1"/>
  <c r="Q432" i="52" s="1"/>
  <c r="O526" i="52"/>
  <c r="P526" i="52" s="1"/>
  <c r="Q526" i="52" s="1"/>
  <c r="O700" i="52"/>
  <c r="P700" i="52" s="1"/>
  <c r="Q700" i="52" s="1"/>
  <c r="O3" i="52"/>
  <c r="P3" i="52" s="1"/>
  <c r="Q3" i="52" s="1"/>
  <c r="O313" i="52"/>
  <c r="P313" i="52" s="1"/>
  <c r="Q313" i="52" s="1"/>
  <c r="O144" i="52"/>
  <c r="P144" i="52" s="1"/>
  <c r="Q144" i="52" s="1"/>
  <c r="O324" i="52"/>
  <c r="P324" i="52" s="1"/>
  <c r="Q324" i="52" s="1"/>
  <c r="O780" i="52"/>
  <c r="P780" i="52" s="1"/>
  <c r="Q780" i="52" s="1"/>
  <c r="O415" i="52"/>
  <c r="P415" i="52" s="1"/>
  <c r="Q415" i="52" s="1"/>
  <c r="O428" i="52"/>
  <c r="P428" i="52" s="1"/>
  <c r="Q428" i="52" s="1"/>
  <c r="O430" i="52"/>
  <c r="P430" i="52" s="1"/>
  <c r="Q430" i="52" s="1"/>
  <c r="O227" i="52"/>
  <c r="P227" i="52" s="1"/>
  <c r="Q227" i="52" s="1"/>
  <c r="O94" i="52"/>
  <c r="P94" i="52" s="1"/>
  <c r="Q94" i="52" s="1"/>
  <c r="O156" i="52"/>
  <c r="P156" i="52" s="1"/>
  <c r="Q156" i="52" s="1"/>
  <c r="O360" i="52"/>
  <c r="P360" i="52" s="1"/>
  <c r="Q360" i="52" s="1"/>
  <c r="O793" i="52"/>
  <c r="P793" i="52" s="1"/>
  <c r="Q793" i="52" s="1"/>
  <c r="O779" i="52"/>
  <c r="P779" i="52" s="1"/>
  <c r="Q779" i="52" s="1"/>
  <c r="O410" i="52"/>
  <c r="P410" i="52" s="1"/>
  <c r="Q410" i="52" s="1"/>
  <c r="O788" i="52"/>
  <c r="P788" i="52" s="1"/>
  <c r="Q788" i="52" s="1"/>
  <c r="O280" i="52"/>
  <c r="P280" i="52" s="1"/>
  <c r="Q280" i="52" s="1"/>
  <c r="O341" i="52"/>
  <c r="P341" i="52" s="1"/>
  <c r="Q341" i="52" s="1"/>
  <c r="O58" i="52"/>
  <c r="P58" i="52" s="1"/>
  <c r="Q58" i="52" s="1"/>
  <c r="O703" i="52"/>
  <c r="P703" i="52" s="1"/>
  <c r="Q703" i="52" s="1"/>
  <c r="O810" i="52"/>
  <c r="P810" i="52" s="1"/>
  <c r="Q810" i="52" s="1"/>
  <c r="O778" i="52"/>
  <c r="P778" i="52" s="1"/>
  <c r="Q778" i="52" s="1"/>
  <c r="O782" i="52"/>
  <c r="P782" i="52" s="1"/>
  <c r="Q782" i="52" s="1"/>
  <c r="O159" i="52"/>
  <c r="P159" i="52" s="1"/>
  <c r="Q159" i="52" s="1"/>
  <c r="O316" i="52"/>
  <c r="P316" i="52" s="1"/>
  <c r="Q316" i="52" s="1"/>
  <c r="O606" i="52"/>
  <c r="P606" i="52" s="1"/>
  <c r="Q606" i="52" s="1"/>
  <c r="O488" i="52"/>
  <c r="P488" i="52" s="1"/>
  <c r="Q488" i="52" s="1"/>
  <c r="O380" i="52"/>
  <c r="P380" i="52" s="1"/>
  <c r="Q380" i="52" s="1"/>
  <c r="O798" i="52"/>
  <c r="P798" i="52" s="1"/>
  <c r="Q798" i="52" s="1"/>
  <c r="O777" i="52"/>
  <c r="P777" i="52" s="1"/>
  <c r="Q777" i="52" s="1"/>
  <c r="O146" i="52"/>
  <c r="P146" i="52" s="1"/>
  <c r="Q146" i="52" s="1"/>
  <c r="O257" i="52"/>
  <c r="P257" i="52" s="1"/>
  <c r="Q257" i="52" s="1"/>
  <c r="O178" i="52"/>
  <c r="P178" i="52" s="1"/>
  <c r="Q178" i="52" s="1"/>
  <c r="O783" i="52"/>
  <c r="P783" i="52" s="1"/>
  <c r="Q783" i="52" s="1"/>
  <c r="O720" i="52"/>
  <c r="P720" i="52" s="1"/>
  <c r="Q720" i="52" s="1"/>
  <c r="O208" i="52"/>
  <c r="P208" i="52" s="1"/>
  <c r="Q208" i="52" s="1"/>
  <c r="O196" i="52"/>
  <c r="P196" i="52" s="1"/>
  <c r="Q196" i="52" s="1"/>
  <c r="O179" i="52"/>
  <c r="P179" i="52" s="1"/>
  <c r="Q179" i="52" s="1"/>
  <c r="O789" i="52"/>
  <c r="P789" i="52" s="1"/>
  <c r="Q789" i="52" s="1"/>
  <c r="O152" i="52"/>
  <c r="P152" i="52" s="1"/>
  <c r="Q152" i="52" s="1"/>
  <c r="O204" i="52"/>
  <c r="P204" i="52" s="1"/>
  <c r="Q204" i="52" s="1"/>
  <c r="O161" i="52"/>
  <c r="P161" i="52" s="1"/>
  <c r="Q161" i="52" s="1"/>
  <c r="O784" i="52"/>
  <c r="P784" i="52" s="1"/>
  <c r="Q784" i="52" s="1"/>
  <c r="O773" i="52"/>
  <c r="P773" i="52" s="1"/>
  <c r="Q773" i="52" s="1"/>
  <c r="O797" i="52"/>
  <c r="P797" i="52" s="1"/>
  <c r="Q797" i="52" s="1"/>
  <c r="O729" i="52"/>
  <c r="P729" i="52" s="1"/>
  <c r="Q729" i="52" s="1"/>
  <c r="O147" i="52"/>
  <c r="P147" i="52" s="1"/>
  <c r="Q147" i="52" s="1"/>
  <c r="O265" i="52"/>
  <c r="P265" i="52" s="1"/>
  <c r="Q265" i="52" s="1"/>
  <c r="O656" i="52"/>
  <c r="P656" i="52" s="1"/>
  <c r="Q656" i="52" s="1"/>
  <c r="O667" i="52"/>
  <c r="P667" i="52" s="1"/>
  <c r="Q667" i="52" s="1"/>
  <c r="O382" i="52"/>
  <c r="P382" i="52" s="1"/>
  <c r="Q382" i="52" s="1"/>
  <c r="O349" i="52"/>
  <c r="P349" i="52" s="1"/>
  <c r="Q349" i="52" s="1"/>
  <c r="O738" i="52"/>
  <c r="P738" i="52" s="1"/>
  <c r="Q738" i="52" s="1"/>
  <c r="O589" i="52"/>
  <c r="P589" i="52" s="1"/>
  <c r="Q589" i="52" s="1"/>
  <c r="O388" i="52"/>
  <c r="P388" i="52" s="1"/>
  <c r="Q388" i="52" s="1"/>
  <c r="O239" i="52"/>
  <c r="P239" i="52" s="1"/>
  <c r="Q239" i="52" s="1"/>
  <c r="O711" i="52"/>
  <c r="P711" i="52" s="1"/>
  <c r="Q711" i="52" s="1"/>
  <c r="O578" i="52"/>
  <c r="P578" i="52" s="1"/>
  <c r="Q578" i="52" s="1"/>
  <c r="O487" i="52"/>
  <c r="P487" i="52" s="1"/>
  <c r="Q487" i="52" s="1"/>
  <c r="O756" i="52"/>
  <c r="P756" i="52" s="1"/>
  <c r="Q756" i="52" s="1"/>
  <c r="O383" i="52"/>
  <c r="P383" i="52" s="1"/>
  <c r="Q383" i="52" s="1"/>
  <c r="O148" i="52"/>
  <c r="P148" i="52" s="1"/>
  <c r="Q148" i="52" s="1"/>
  <c r="O815" i="52"/>
  <c r="P815" i="52" s="1"/>
  <c r="Q815" i="52" s="1"/>
  <c r="O10" i="52"/>
  <c r="P10" i="52" s="1"/>
  <c r="Q10" i="52" s="1"/>
  <c r="O5" i="52"/>
  <c r="P5" i="52" s="1"/>
  <c r="Q5" i="52" s="1"/>
  <c r="O727" i="52"/>
  <c r="P727" i="52" s="1"/>
  <c r="Q727" i="52" s="1"/>
  <c r="O6" i="52"/>
  <c r="P6" i="52" s="1"/>
  <c r="Q6" i="52" s="1"/>
  <c r="O138" i="52"/>
  <c r="P138" i="52" s="1"/>
  <c r="Q138" i="52" s="1"/>
  <c r="O119" i="52"/>
  <c r="P119" i="52" s="1"/>
  <c r="Q119" i="52" s="1"/>
  <c r="O352" i="52"/>
  <c r="P352" i="52" s="1"/>
  <c r="Q352" i="52" s="1"/>
  <c r="O266" i="52"/>
  <c r="P266" i="52" s="1"/>
  <c r="Q266" i="52" s="1"/>
  <c r="O328" i="52"/>
  <c r="P328" i="52" s="1"/>
  <c r="Q328" i="52" s="1"/>
  <c r="O771" i="52"/>
  <c r="P771" i="52" s="1"/>
  <c r="Q771" i="52" s="1"/>
  <c r="O13" i="52"/>
  <c r="P13" i="52" s="1"/>
  <c r="Q13" i="52" s="1"/>
  <c r="O474" i="52"/>
  <c r="P474" i="52" s="1"/>
  <c r="Q474" i="52" s="1"/>
  <c r="O312" i="52"/>
  <c r="P312" i="52" s="1"/>
  <c r="Q312" i="52" s="1"/>
  <c r="O453" i="52"/>
  <c r="P453" i="52" s="1"/>
  <c r="Q453" i="52" s="1"/>
  <c r="O168" i="52"/>
  <c r="P168" i="52" s="1"/>
  <c r="Q168" i="52" s="1"/>
  <c r="O812" i="52"/>
  <c r="P812" i="52" s="1"/>
  <c r="Q812" i="52" s="1"/>
  <c r="O154" i="52"/>
  <c r="P154" i="52" s="1"/>
  <c r="Q154" i="52" s="1"/>
  <c r="O350" i="52"/>
  <c r="P350" i="52" s="1"/>
  <c r="Q350" i="52" s="1"/>
  <c r="O403" i="52"/>
  <c r="P403" i="52" s="1"/>
  <c r="Q403" i="52" s="1"/>
  <c r="O787" i="52"/>
  <c r="P787" i="52" s="1"/>
  <c r="Q787" i="52" s="1"/>
  <c r="O110" i="52"/>
  <c r="P110" i="52" s="1"/>
  <c r="Q110" i="52" s="1"/>
  <c r="O137" i="52"/>
  <c r="P137" i="52" s="1"/>
  <c r="Q137" i="52" s="1"/>
  <c r="O539" i="52"/>
  <c r="P539" i="52" s="1"/>
  <c r="Q539" i="52" s="1"/>
  <c r="O365" i="52"/>
  <c r="P365" i="52" s="1"/>
  <c r="Q365" i="52" s="1"/>
  <c r="O751" i="52"/>
  <c r="P751" i="52" s="1"/>
  <c r="Q751" i="52" s="1"/>
  <c r="O361" i="52"/>
  <c r="P361" i="52" s="1"/>
  <c r="Q361" i="52" s="1"/>
  <c r="O471" i="52"/>
  <c r="P471" i="52" s="1"/>
  <c r="Q471" i="52" s="1"/>
  <c r="O603" i="52"/>
  <c r="P603" i="52" s="1"/>
  <c r="Q603" i="52" s="1"/>
  <c r="O339" i="52"/>
  <c r="P339" i="52" s="1"/>
  <c r="Q339" i="52" s="1"/>
  <c r="O363" i="52"/>
  <c r="P363" i="52" s="1"/>
  <c r="Q363" i="52" s="1"/>
  <c r="O120" i="52"/>
  <c r="P120" i="52" s="1"/>
  <c r="Q120" i="52" s="1"/>
  <c r="O11" i="52"/>
  <c r="P11" i="52" s="1"/>
  <c r="Q11" i="52" s="1"/>
  <c r="O615" i="52"/>
  <c r="P615" i="52" s="1"/>
  <c r="Q615" i="52" s="1"/>
  <c r="O262" i="52"/>
  <c r="P262" i="52" s="1"/>
  <c r="Q262" i="52" s="1"/>
  <c r="O423" i="52"/>
  <c r="P423" i="52" s="1"/>
  <c r="Q423" i="52" s="1"/>
  <c r="O320" i="52"/>
  <c r="P320" i="52" s="1"/>
  <c r="Q320" i="52" s="1"/>
  <c r="O283" i="52"/>
  <c r="P283" i="52" s="1"/>
  <c r="Q283" i="52" s="1"/>
  <c r="O533" i="52"/>
  <c r="P533" i="52" s="1"/>
  <c r="Q533" i="52" s="1"/>
  <c r="O169" i="52"/>
  <c r="P169" i="52" s="1"/>
  <c r="Q169" i="52" s="1"/>
  <c r="O281" i="52"/>
  <c r="P281" i="52" s="1"/>
  <c r="Q281" i="52" s="1"/>
  <c r="O557" i="52"/>
  <c r="P557" i="52" s="1"/>
  <c r="Q557" i="52" s="1"/>
  <c r="O274" i="52"/>
  <c r="P274" i="52" s="1"/>
  <c r="Q274" i="52" s="1"/>
  <c r="O458" i="52"/>
  <c r="P458" i="52" s="1"/>
  <c r="Q458" i="52" s="1"/>
  <c r="O594" i="52"/>
  <c r="P594" i="52" s="1"/>
  <c r="Q594" i="52" s="1"/>
  <c r="O721" i="52"/>
  <c r="P721" i="52" s="1"/>
  <c r="Q721" i="52" s="1"/>
  <c r="O214" i="52"/>
  <c r="P214" i="52" s="1"/>
  <c r="Q214" i="52" s="1"/>
  <c r="O744" i="52"/>
  <c r="P744" i="52" s="1"/>
  <c r="Q744" i="52" s="1"/>
  <c r="O86" i="52"/>
  <c r="P86" i="52" s="1"/>
  <c r="Q86" i="52" s="1"/>
  <c r="O118" i="52"/>
  <c r="P118" i="52" s="1"/>
  <c r="Q118" i="52" s="1"/>
  <c r="O649" i="52"/>
  <c r="P649" i="52" s="1"/>
  <c r="Q649" i="52" s="1"/>
  <c r="O128" i="52"/>
  <c r="P128" i="52" s="1"/>
  <c r="Q128" i="52" s="1"/>
  <c r="O333" i="52"/>
  <c r="P333" i="52" s="1"/>
  <c r="Q333" i="52" s="1"/>
  <c r="O174" i="52"/>
  <c r="P174" i="52" s="1"/>
  <c r="Q174" i="52" s="1"/>
  <c r="O367" i="52"/>
  <c r="P367" i="52" s="1"/>
  <c r="Q367" i="52" s="1"/>
  <c r="O198" i="52"/>
  <c r="P198" i="52" s="1"/>
  <c r="Q198" i="52" s="1"/>
  <c r="O53" i="52"/>
  <c r="P53" i="52" s="1"/>
  <c r="Q53" i="52" s="1"/>
  <c r="O270" i="52"/>
  <c r="P270" i="52" s="1"/>
  <c r="Q270" i="52" s="1"/>
  <c r="O755" i="52"/>
  <c r="P755" i="52" s="1"/>
  <c r="Q755" i="52" s="1"/>
  <c r="O592" i="52"/>
  <c r="P592" i="52" s="1"/>
  <c r="Q592" i="52" s="1"/>
  <c r="O222" i="52"/>
  <c r="P222" i="52" s="1"/>
  <c r="Q222" i="52" s="1"/>
  <c r="O362" i="52"/>
  <c r="P362" i="52" s="1"/>
  <c r="Q362" i="52" s="1"/>
  <c r="O371" i="52"/>
  <c r="P371" i="52" s="1"/>
  <c r="Q371" i="52" s="1"/>
  <c r="O348" i="52"/>
  <c r="P348" i="52" s="1"/>
  <c r="Q348" i="52" s="1"/>
  <c r="O373" i="52"/>
  <c r="P373" i="52" s="1"/>
  <c r="Q373" i="52" s="1"/>
  <c r="O611" i="52"/>
  <c r="P611" i="52" s="1"/>
  <c r="Q611" i="52" s="1"/>
  <c r="O99" i="52"/>
  <c r="P99" i="52" s="1"/>
  <c r="Q99" i="52" s="1"/>
  <c r="O417" i="52"/>
  <c r="P417" i="52" s="1"/>
  <c r="Q417" i="52" s="1"/>
  <c r="O509" i="52"/>
  <c r="P509" i="52" s="1"/>
  <c r="Q509" i="52" s="1"/>
  <c r="O364" i="52"/>
  <c r="P364" i="52" s="1"/>
  <c r="Q364" i="52" s="1"/>
  <c r="O522" i="52"/>
  <c r="P522" i="52" s="1"/>
  <c r="Q522" i="52" s="1"/>
  <c r="O748" i="52"/>
  <c r="P748" i="52" s="1"/>
  <c r="Q748" i="52" s="1"/>
  <c r="O334" i="52"/>
  <c r="P334" i="52" s="1"/>
  <c r="Q334" i="52" s="1"/>
  <c r="O519" i="52"/>
  <c r="P519" i="52" s="1"/>
  <c r="Q519" i="52" s="1"/>
  <c r="O71" i="52"/>
  <c r="P71" i="52" s="1"/>
  <c r="Q71" i="52" s="1"/>
  <c r="O452" i="52"/>
  <c r="P452" i="52" s="1"/>
  <c r="Q452" i="52" s="1"/>
  <c r="O139" i="52"/>
  <c r="P139" i="52" s="1"/>
  <c r="Q139" i="52" s="1"/>
  <c r="O794" i="52"/>
  <c r="P794" i="52" s="1"/>
  <c r="Q794" i="52" s="1"/>
  <c r="O338" i="52"/>
  <c r="P338" i="52" s="1"/>
  <c r="Q338" i="52" s="1"/>
  <c r="O512" i="52"/>
  <c r="P512" i="52" s="1"/>
  <c r="Q512" i="52" s="1"/>
  <c r="O301" i="52"/>
  <c r="P301" i="52" s="1"/>
  <c r="Q301" i="52" s="1"/>
  <c r="O102" i="52"/>
  <c r="P102" i="52" s="1"/>
  <c r="Q102" i="52" s="1"/>
  <c r="O93" i="52"/>
  <c r="P93" i="52" s="1"/>
  <c r="Q93" i="52" s="1"/>
  <c r="O473" i="52"/>
  <c r="P473" i="52" s="1"/>
  <c r="Q473" i="52" s="1"/>
  <c r="O551" i="52"/>
  <c r="P551" i="52" s="1"/>
  <c r="Q551" i="52" s="1"/>
  <c r="O630" i="52"/>
  <c r="P630" i="52" s="1"/>
  <c r="Q630" i="52" s="1"/>
  <c r="O694" i="52"/>
  <c r="P694" i="52" s="1"/>
  <c r="Q694" i="52" s="1"/>
  <c r="O173" i="52"/>
  <c r="P173" i="52" s="1"/>
  <c r="Q173" i="52" s="1"/>
  <c r="O524" i="52"/>
  <c r="P524" i="52" s="1"/>
  <c r="Q524" i="52" s="1"/>
  <c r="O763" i="52"/>
  <c r="P763" i="52" s="1"/>
  <c r="Q763" i="52" s="1"/>
  <c r="O435" i="52"/>
  <c r="P435" i="52" s="1"/>
  <c r="Q435" i="52" s="1"/>
  <c r="O401" i="52"/>
  <c r="P401" i="52" s="1"/>
  <c r="Q401" i="52" s="1"/>
  <c r="O379" i="52"/>
  <c r="P379" i="52" s="1"/>
  <c r="Q379" i="52" s="1"/>
  <c r="O669" i="52"/>
  <c r="P669" i="52" s="1"/>
  <c r="Q669" i="52" s="1"/>
  <c r="O404" i="52"/>
  <c r="P404" i="52" s="1"/>
  <c r="Q404" i="52" s="1"/>
  <c r="O420" i="52"/>
  <c r="P420" i="52" s="1"/>
  <c r="Q420" i="52" s="1"/>
  <c r="O319" i="52"/>
  <c r="P319" i="52" s="1"/>
  <c r="Q319" i="52" s="1"/>
  <c r="O356" i="52"/>
  <c r="P356" i="52" s="1"/>
  <c r="Q356" i="52" s="1"/>
  <c r="O600" i="52"/>
  <c r="P600" i="52" s="1"/>
  <c r="Q600" i="52" s="1"/>
  <c r="O555" i="52"/>
  <c r="P555" i="52" s="1"/>
  <c r="Q555" i="52" s="1"/>
  <c r="O451" i="52"/>
  <c r="P451" i="52" s="1"/>
  <c r="Q451" i="52" s="1"/>
  <c r="O8" i="52"/>
  <c r="P8" i="52" s="1"/>
  <c r="Q8" i="52" s="1"/>
  <c r="O582" i="52"/>
  <c r="P582" i="52" s="1"/>
  <c r="Q582" i="52" s="1"/>
  <c r="O501" i="52"/>
  <c r="P501" i="52" s="1"/>
  <c r="Q501" i="52" s="1"/>
  <c r="O98" i="52"/>
  <c r="P98" i="52" s="1"/>
  <c r="Q98" i="52" s="1"/>
  <c r="O400" i="52"/>
  <c r="P400" i="52" s="1"/>
  <c r="Q400" i="52" s="1"/>
  <c r="O753" i="52"/>
  <c r="P753" i="52" s="1"/>
  <c r="Q753" i="52" s="1"/>
  <c r="O26" i="52"/>
  <c r="P26" i="52" s="1"/>
  <c r="Q26" i="52" s="1"/>
  <c r="O267" i="52"/>
  <c r="P267" i="52" s="1"/>
  <c r="Q267" i="52" s="1"/>
  <c r="O642" i="52"/>
  <c r="P642" i="52" s="1"/>
  <c r="Q642" i="52" s="1"/>
  <c r="O741" i="52"/>
  <c r="P741" i="52" s="1"/>
  <c r="Q741" i="52" s="1"/>
  <c r="O46" i="52"/>
  <c r="P46" i="52" s="1"/>
  <c r="Q46" i="52" s="1"/>
  <c r="O48" i="52"/>
  <c r="P48" i="52" s="1"/>
  <c r="Q48" i="52" s="1"/>
  <c r="O390" i="52"/>
  <c r="P390" i="52" s="1"/>
  <c r="Q390" i="52" s="1"/>
  <c r="O329" i="52"/>
  <c r="P329" i="52" s="1"/>
  <c r="Q329" i="52" s="1"/>
  <c r="O408" i="52"/>
  <c r="P408" i="52" s="1"/>
  <c r="Q408" i="52" s="1"/>
  <c r="O774" i="52"/>
  <c r="P774" i="52" s="1"/>
  <c r="Q774" i="52" s="1"/>
  <c r="O643" i="52"/>
  <c r="P643" i="52" s="1"/>
  <c r="Q643" i="52" s="1"/>
  <c r="O126" i="52"/>
  <c r="P126" i="52" s="1"/>
  <c r="Q126" i="52" s="1"/>
  <c r="O489" i="52"/>
  <c r="P489" i="52" s="1"/>
  <c r="Q489" i="52" s="1"/>
  <c r="O393" i="52"/>
  <c r="P393" i="52" s="1"/>
  <c r="Q393" i="52" s="1"/>
  <c r="O568" i="52"/>
  <c r="P568" i="52" s="1"/>
  <c r="Q568" i="52" s="1"/>
  <c r="O460" i="52"/>
  <c r="P460" i="52" s="1"/>
  <c r="Q460" i="52" s="1"/>
  <c r="O193" i="52"/>
  <c r="P193" i="52" s="1"/>
  <c r="Q193" i="52" s="1"/>
  <c r="O260" i="52"/>
  <c r="P260" i="52" s="1"/>
  <c r="Q260" i="52" s="1"/>
  <c r="O469" i="52"/>
  <c r="P469" i="52" s="1"/>
  <c r="Q469" i="52" s="1"/>
  <c r="O498" i="52"/>
  <c r="P498" i="52" s="1"/>
  <c r="Q498" i="52" s="1"/>
  <c r="O591" i="52"/>
  <c r="P591" i="52" s="1"/>
  <c r="Q591" i="52" s="1"/>
  <c r="O85" i="52"/>
  <c r="P85" i="52" s="1"/>
  <c r="Q85" i="52" s="1"/>
  <c r="O394" i="52"/>
  <c r="P394" i="52" s="1"/>
  <c r="Q394" i="52" s="1"/>
  <c r="O278" i="52"/>
  <c r="P278" i="52" s="1"/>
  <c r="Q278" i="52" s="1"/>
  <c r="O672" i="52"/>
  <c r="P672" i="52" s="1"/>
  <c r="Q672" i="52" s="1"/>
  <c r="O228" i="52"/>
  <c r="P228" i="52" s="1"/>
  <c r="Q228" i="52" s="1"/>
  <c r="O482" i="52"/>
  <c r="P482" i="52" s="1"/>
  <c r="Q482" i="52" s="1"/>
  <c r="O531" i="52"/>
  <c r="P531" i="52" s="1"/>
  <c r="Q531" i="52" s="1"/>
  <c r="O478" i="52"/>
  <c r="P478" i="52" s="1"/>
  <c r="Q478" i="52" s="1"/>
  <c r="O247" i="52"/>
  <c r="P247" i="52" s="1"/>
  <c r="Q247" i="52" s="1"/>
  <c r="O704" i="52"/>
  <c r="P704" i="52" s="1"/>
  <c r="Q704" i="52" s="1"/>
  <c r="O55" i="52"/>
  <c r="P55" i="52" s="1"/>
  <c r="Q55" i="52" s="1"/>
  <c r="O570" i="52"/>
  <c r="P570" i="52" s="1"/>
  <c r="Q570" i="52" s="1"/>
  <c r="O31" i="52"/>
  <c r="P31" i="52" s="1"/>
  <c r="Q31" i="52" s="1"/>
  <c r="O468" i="52"/>
  <c r="P468" i="52" s="1"/>
  <c r="Q468" i="52" s="1"/>
  <c r="O525" i="52"/>
  <c r="P525" i="52" s="1"/>
  <c r="Q525" i="52" s="1"/>
  <c r="O170" i="52"/>
  <c r="P170" i="52" s="1"/>
  <c r="Q170" i="52" s="1"/>
  <c r="O624" i="52"/>
  <c r="P624" i="52" s="1"/>
  <c r="Q624" i="52" s="1"/>
  <c r="O347" i="52"/>
  <c r="P347" i="52" s="1"/>
  <c r="Q347" i="52" s="1"/>
  <c r="O668" i="52"/>
  <c r="P668" i="52" s="1"/>
  <c r="Q668" i="52" s="1"/>
  <c r="O354" i="52"/>
  <c r="P354" i="52" s="1"/>
  <c r="Q354" i="52" s="1"/>
  <c r="O651" i="52"/>
  <c r="P651" i="52" s="1"/>
  <c r="Q651" i="52" s="1"/>
  <c r="O254" i="52"/>
  <c r="P254" i="52" s="1"/>
  <c r="Q254" i="52" s="1"/>
  <c r="O310" i="52"/>
  <c r="P310" i="52" s="1"/>
  <c r="Q310" i="52" s="1"/>
  <c r="O558" i="52"/>
  <c r="P558" i="52" s="1"/>
  <c r="Q558" i="52" s="1"/>
  <c r="O25" i="52"/>
  <c r="P25" i="52" s="1"/>
  <c r="Q25" i="52" s="1"/>
  <c r="O663" i="52"/>
  <c r="P663" i="52" s="1"/>
  <c r="Q663" i="52" s="1"/>
  <c r="O384" i="52"/>
  <c r="P384" i="52" s="1"/>
  <c r="Q384" i="52" s="1"/>
  <c r="O617" i="52"/>
  <c r="P617" i="52" s="1"/>
  <c r="Q617" i="52" s="1"/>
  <c r="O619" i="52"/>
  <c r="P619" i="52" s="1"/>
  <c r="Q619" i="52" s="1"/>
  <c r="O397" i="52"/>
  <c r="P397" i="52" s="1"/>
  <c r="Q397" i="52" s="1"/>
  <c r="O657" i="52"/>
  <c r="P657" i="52" s="1"/>
  <c r="Q657" i="52" s="1"/>
  <c r="O224" i="52"/>
  <c r="P224" i="52" s="1"/>
  <c r="Q224" i="52" s="1"/>
  <c r="O226" i="52"/>
  <c r="P226" i="52" s="1"/>
  <c r="Q226" i="52" s="1"/>
  <c r="O176" i="52"/>
  <c r="P176" i="52" s="1"/>
  <c r="Q176" i="52" s="1"/>
  <c r="O641" i="52"/>
  <c r="P641" i="52" s="1"/>
  <c r="Q641" i="52" s="1"/>
  <c r="O776" i="52"/>
  <c r="P776" i="52" s="1"/>
  <c r="Q776" i="52" s="1"/>
  <c r="O442" i="52"/>
  <c r="P442" i="52" s="1"/>
  <c r="Q442" i="52" s="1"/>
  <c r="O4" i="52"/>
  <c r="P4" i="52" s="1"/>
  <c r="Q4" i="52" s="1"/>
  <c r="O114" i="52"/>
  <c r="P114" i="52" s="1"/>
  <c r="Q114" i="52" s="1"/>
  <c r="O675" i="52"/>
  <c r="P675" i="52" s="1"/>
  <c r="Q675" i="52" s="1"/>
  <c r="O449" i="52"/>
  <c r="P449" i="52" s="1"/>
  <c r="Q449" i="52" s="1"/>
  <c r="O817" i="52"/>
  <c r="P817" i="52" s="1"/>
  <c r="Q817" i="52" s="1"/>
  <c r="O91" i="52"/>
  <c r="P91" i="52" s="1"/>
  <c r="Q91" i="52" s="1"/>
  <c r="O634" i="52"/>
  <c r="P634" i="52" s="1"/>
  <c r="Q634" i="52" s="1"/>
  <c r="O714" i="52"/>
  <c r="P714" i="52" s="1"/>
  <c r="Q714" i="52" s="1"/>
  <c r="O250" i="52"/>
  <c r="P250" i="52" s="1"/>
  <c r="Q250" i="52" s="1"/>
  <c r="O297" i="52"/>
  <c r="P297" i="52" s="1"/>
  <c r="Q297" i="52" s="1"/>
  <c r="O566" i="52"/>
  <c r="P566" i="52" s="1"/>
  <c r="Q566" i="52" s="1"/>
  <c r="O538" i="52"/>
  <c r="P538" i="52" s="1"/>
  <c r="Q538" i="52" s="1"/>
  <c r="O87" i="52"/>
  <c r="P87" i="52" s="1"/>
  <c r="Q87" i="52" s="1"/>
  <c r="O496" i="52"/>
  <c r="P496" i="52" s="1"/>
  <c r="Q496" i="52" s="1"/>
  <c r="O248" i="52"/>
  <c r="P248" i="52" s="1"/>
  <c r="Q248" i="52" s="1"/>
  <c r="O396" i="52"/>
  <c r="P396" i="52" s="1"/>
  <c r="Q396" i="52" s="1"/>
  <c r="O251" i="52"/>
  <c r="P251" i="52" s="1"/>
  <c r="Q251" i="52" s="1"/>
  <c r="O599" i="52"/>
  <c r="P599" i="52" s="1"/>
  <c r="Q599" i="52" s="1"/>
  <c r="O664" i="52"/>
  <c r="P664" i="52" s="1"/>
  <c r="Q664" i="52" s="1"/>
  <c r="O14" i="52"/>
  <c r="P14" i="52" s="1"/>
  <c r="Q14" i="52" s="1"/>
  <c r="O461" i="52"/>
  <c r="P461" i="52" s="1"/>
  <c r="Q461" i="52" s="1"/>
  <c r="O622" i="52"/>
  <c r="P622" i="52" s="1"/>
  <c r="Q622" i="52" s="1"/>
  <c r="O730" i="52"/>
  <c r="P730" i="52" s="1"/>
  <c r="Q730" i="52" s="1"/>
  <c r="O528" i="52"/>
  <c r="P528" i="52" s="1"/>
  <c r="Q528" i="52" s="1"/>
  <c r="O56" i="52"/>
  <c r="P56" i="52" s="1"/>
  <c r="Q56" i="52" s="1"/>
  <c r="O499" i="52"/>
  <c r="P499" i="52" s="1"/>
  <c r="Q499" i="52" s="1"/>
  <c r="O35" i="52"/>
  <c r="P35" i="52" s="1"/>
  <c r="Q35" i="52" s="1"/>
  <c r="O610" i="52"/>
  <c r="P610" i="52" s="1"/>
  <c r="Q610" i="52" s="1"/>
  <c r="O801" i="52"/>
  <c r="P801" i="52" s="1"/>
  <c r="Q801" i="52" s="1"/>
  <c r="O564" i="52"/>
  <c r="P564" i="52" s="1"/>
  <c r="Q564" i="52" s="1"/>
  <c r="O381" i="52"/>
  <c r="P381" i="52" s="1"/>
  <c r="Q381" i="52" s="1"/>
  <c r="O660" i="52"/>
  <c r="P660" i="52" s="1"/>
  <c r="Q660" i="52" s="1"/>
  <c r="O576" i="52"/>
  <c r="P576" i="52" s="1"/>
  <c r="Q576" i="52" s="1"/>
  <c r="O376" i="52"/>
  <c r="P376" i="52" s="1"/>
  <c r="Q376" i="52" s="1"/>
  <c r="O217" i="52"/>
  <c r="P217" i="52" s="1"/>
  <c r="Q217" i="52" s="1"/>
  <c r="O205" i="52"/>
  <c r="P205" i="52" s="1"/>
  <c r="Q205" i="52" s="1"/>
  <c r="O233" i="52"/>
  <c r="P233" i="52" s="1"/>
  <c r="Q233" i="52" s="1"/>
  <c r="O701" i="52"/>
  <c r="P701" i="52" s="1"/>
  <c r="Q701" i="52" s="1"/>
  <c r="O527" i="52"/>
  <c r="P527" i="52" s="1"/>
  <c r="Q527" i="52" s="1"/>
  <c r="O800" i="52"/>
  <c r="P800" i="52" s="1"/>
  <c r="Q800" i="52" s="1"/>
  <c r="O670" i="52"/>
  <c r="P670" i="52" s="1"/>
  <c r="Q670" i="52" s="1"/>
  <c r="O440" i="52"/>
  <c r="P440" i="52" s="1"/>
  <c r="Q440" i="52" s="1"/>
  <c r="O155" i="52"/>
  <c r="P155" i="52" s="1"/>
  <c r="Q155" i="52" s="1"/>
  <c r="O806" i="52"/>
  <c r="P806" i="52" s="1"/>
  <c r="Q806" i="52" s="1"/>
  <c r="O64" i="52"/>
  <c r="P64" i="52" s="1"/>
  <c r="Q64" i="52" s="1"/>
  <c r="O648" i="52"/>
  <c r="P648" i="52" s="1"/>
  <c r="Q648" i="52" s="1"/>
  <c r="O90" i="52"/>
  <c r="P90" i="52" s="1"/>
  <c r="Q90" i="52" s="1"/>
  <c r="O385" i="52"/>
  <c r="P385" i="52" s="1"/>
  <c r="Q385" i="52" s="1"/>
  <c r="O613" i="52"/>
  <c r="P613" i="52" s="1"/>
  <c r="Q613" i="52" s="1"/>
  <c r="O605" i="52"/>
  <c r="P605" i="52" s="1"/>
  <c r="Q605" i="52" s="1"/>
  <c r="O81" i="52"/>
  <c r="P81" i="52" s="1"/>
  <c r="Q81" i="52" s="1"/>
  <c r="O802" i="52"/>
  <c r="P802" i="52" s="1"/>
  <c r="Q802" i="52" s="1"/>
  <c r="O545" i="52"/>
  <c r="P545" i="52" s="1"/>
  <c r="Q545" i="52" s="1"/>
  <c r="O632" i="52"/>
  <c r="P632" i="52" s="1"/>
  <c r="Q632" i="52" s="1"/>
  <c r="O696" i="52"/>
  <c r="P696" i="52" s="1"/>
  <c r="Q696" i="52" s="1"/>
  <c r="O82" i="52"/>
  <c r="P82" i="52" s="1"/>
  <c r="Q82" i="52" s="1"/>
  <c r="O532" i="52"/>
  <c r="P532" i="52" s="1"/>
  <c r="Q532" i="52" s="1"/>
  <c r="O75" i="52"/>
  <c r="P75" i="52" s="1"/>
  <c r="Q75" i="52" s="1"/>
  <c r="O353" i="52"/>
  <c r="P353" i="52" s="1"/>
  <c r="Q353" i="52" s="1"/>
  <c r="O805" i="52"/>
  <c r="P805" i="52" s="1"/>
  <c r="Q805" i="52" s="1"/>
  <c r="O565" i="52"/>
  <c r="P565" i="52" s="1"/>
  <c r="Q565" i="52" s="1"/>
  <c r="O585" i="52"/>
  <c r="P585" i="52" s="1"/>
  <c r="Q585" i="52" s="1"/>
  <c r="O326" i="52"/>
  <c r="P326" i="52" s="1"/>
  <c r="Q326" i="52" s="1"/>
  <c r="O325" i="52"/>
  <c r="P325" i="52" s="1"/>
  <c r="Q325" i="52" s="1"/>
  <c r="O733" i="52"/>
  <c r="P733" i="52" s="1"/>
  <c r="Q733" i="52" s="1"/>
  <c r="O554" i="52"/>
  <c r="P554" i="52" s="1"/>
  <c r="Q554" i="52" s="1"/>
  <c r="O80" i="52"/>
  <c r="P80" i="52" s="1"/>
  <c r="Q80" i="52" s="1"/>
  <c r="O213" i="52"/>
  <c r="P213" i="52" s="1"/>
  <c r="Q213" i="52" s="1"/>
  <c r="O229" i="52"/>
  <c r="P229" i="52" s="1"/>
  <c r="Q229" i="52" s="1"/>
  <c r="O412" i="52"/>
  <c r="P412" i="52" s="1"/>
  <c r="Q412" i="52" s="1"/>
  <c r="O34" i="52"/>
  <c r="P34" i="52" s="1"/>
  <c r="O230" i="52"/>
  <c r="P230" i="52" s="1"/>
  <c r="Q230" i="52" s="1"/>
  <c r="O767" i="52"/>
  <c r="P767" i="52" s="1"/>
  <c r="Q767" i="52" s="1"/>
  <c r="O269" i="52"/>
  <c r="P269" i="52" s="1"/>
  <c r="Q269" i="52" s="1"/>
  <c r="O399" i="52"/>
  <c r="P399" i="52" s="1"/>
  <c r="Q399" i="52" s="1"/>
  <c r="O106" i="52"/>
  <c r="P106" i="52" s="1"/>
  <c r="Q106" i="52" s="1"/>
  <c r="O653" i="52"/>
  <c r="P653" i="52" s="1"/>
  <c r="Q653" i="52" s="1"/>
  <c r="O268" i="52"/>
  <c r="P268" i="52" s="1"/>
  <c r="Q268" i="52" s="1"/>
  <c r="O140" i="52"/>
  <c r="P140" i="52" s="1"/>
  <c r="Q140" i="52" s="1"/>
  <c r="O548" i="52"/>
  <c r="P548" i="52" s="1"/>
  <c r="Q548" i="52" s="1"/>
  <c r="O398" i="52"/>
  <c r="P398" i="52" s="1"/>
  <c r="Q398" i="52" s="1"/>
  <c r="O775" i="52"/>
  <c r="P775" i="52" s="1"/>
  <c r="Q775" i="52" s="1"/>
  <c r="O679" i="52"/>
  <c r="P679" i="52" s="1"/>
  <c r="Q679" i="52" s="1"/>
  <c r="O116" i="52"/>
  <c r="P116" i="52" s="1"/>
  <c r="Q116" i="52" s="1"/>
  <c r="O344" i="52"/>
  <c r="P344" i="52" s="1"/>
  <c r="Q344" i="52" s="1"/>
  <c r="O202" i="52"/>
  <c r="P202" i="52" s="1"/>
  <c r="Q202" i="52" s="1"/>
  <c r="O276" i="52"/>
  <c r="P276" i="52" s="1"/>
  <c r="Q276" i="52" s="1"/>
  <c r="O804" i="52"/>
  <c r="P804" i="52" s="1"/>
  <c r="Q804" i="52" s="1"/>
  <c r="O716" i="52"/>
  <c r="P716" i="52" s="1"/>
  <c r="Q716" i="52" s="1"/>
  <c r="O67" i="52"/>
  <c r="P67" i="52" s="1"/>
  <c r="Q67" i="52" s="1"/>
  <c r="O30" i="52"/>
  <c r="P30" i="52" s="1"/>
  <c r="Q30" i="52" s="1"/>
  <c r="O556" i="52"/>
  <c r="P556" i="52" s="1"/>
  <c r="Q556" i="52" s="1"/>
  <c r="O795" i="52"/>
  <c r="P795" i="52" s="1"/>
  <c r="Q795" i="52" s="1"/>
  <c r="O735" i="52"/>
  <c r="P735" i="52" s="1"/>
  <c r="Q735" i="52" s="1"/>
  <c r="O454" i="52"/>
  <c r="P454" i="52" s="1"/>
  <c r="Q454" i="52" s="1"/>
  <c r="O628" i="52"/>
  <c r="P628" i="52" s="1"/>
  <c r="Q628" i="52" s="1"/>
  <c r="O43" i="52"/>
  <c r="P43" i="52" s="1"/>
  <c r="Q43" i="52" s="1"/>
  <c r="O271" i="52"/>
  <c r="P271" i="52" s="1"/>
  <c r="Q271" i="52" s="1"/>
  <c r="O42" i="52"/>
  <c r="P42" i="52" s="1"/>
  <c r="Q42" i="52" s="1"/>
  <c r="O63" i="52"/>
  <c r="P63" i="52" s="1"/>
  <c r="Q63" i="52" s="1"/>
  <c r="O745" i="52"/>
  <c r="P745" i="52" s="1"/>
  <c r="Q745" i="52" s="1"/>
  <c r="O505" i="52"/>
  <c r="P505" i="52" s="1"/>
  <c r="Q505" i="52" s="1"/>
  <c r="O811" i="52"/>
  <c r="P811" i="52" s="1"/>
  <c r="Q811" i="52" s="1"/>
  <c r="O181" i="52"/>
  <c r="P181" i="52" s="1"/>
  <c r="Q181" i="52" s="1"/>
  <c r="O108" i="52"/>
  <c r="P108" i="52" s="1"/>
  <c r="Q108" i="52" s="1"/>
  <c r="O345" i="52"/>
  <c r="P345" i="52" s="1"/>
  <c r="Q345" i="52" s="1"/>
  <c r="O41" i="52"/>
  <c r="P41" i="52" s="1"/>
  <c r="Q41" i="52" s="1"/>
  <c r="O717" i="52"/>
  <c r="P717" i="52" s="1"/>
  <c r="Q717" i="52" s="1"/>
  <c r="O431" i="52"/>
  <c r="P431" i="52" s="1"/>
  <c r="Q431" i="52" s="1"/>
  <c r="O97" i="52"/>
  <c r="P97" i="52" s="1"/>
  <c r="Q97" i="52" s="1"/>
  <c r="O671" i="52"/>
  <c r="P671" i="52" s="1"/>
  <c r="Q671" i="52" s="1"/>
  <c r="O725" i="52"/>
  <c r="P725" i="52" s="1"/>
  <c r="Q725" i="52" s="1"/>
  <c r="O764" i="52"/>
  <c r="P764" i="52" s="1"/>
  <c r="Q764" i="52" s="1"/>
  <c r="O77" i="52"/>
  <c r="P77" i="52" s="1"/>
  <c r="Q77" i="52" s="1"/>
  <c r="O712" i="52"/>
  <c r="P712" i="52" s="1"/>
  <c r="Q712" i="52" s="1"/>
  <c r="O346" i="52"/>
  <c r="P346" i="52" s="1"/>
  <c r="Q346" i="52" s="1"/>
  <c r="O76" i="52"/>
  <c r="P76" i="52" s="1"/>
  <c r="Q76" i="52" s="1"/>
  <c r="O718" i="52"/>
  <c r="P718" i="52" s="1"/>
  <c r="Q718" i="52" s="1"/>
  <c r="O369" i="52"/>
  <c r="P369" i="52" s="1"/>
  <c r="Q369" i="52" s="1"/>
  <c r="O157" i="52"/>
  <c r="P157" i="52" s="1"/>
  <c r="Q157" i="52" s="1"/>
  <c r="O588" i="52"/>
  <c r="P588" i="52" s="1"/>
  <c r="Q588" i="52" s="1"/>
  <c r="O237" i="52"/>
  <c r="P237" i="52" s="1"/>
  <c r="Q237" i="52" s="1"/>
  <c r="O726" i="52"/>
  <c r="P726" i="52" s="1"/>
  <c r="Q726" i="52" s="1"/>
  <c r="O673" i="52"/>
  <c r="P673" i="52" s="1"/>
  <c r="Q673" i="52" s="1"/>
  <c r="O645" i="52"/>
  <c r="P645" i="52" s="1"/>
  <c r="Q645" i="52" s="1"/>
  <c r="O69" i="52"/>
  <c r="P69" i="52" s="1"/>
  <c r="Q69" i="52" s="1"/>
  <c r="O681" i="52"/>
  <c r="P681" i="52" s="1"/>
  <c r="Q681" i="52" s="1"/>
  <c r="O494" i="52"/>
  <c r="P494" i="52" s="1"/>
  <c r="Q494" i="52" s="1"/>
  <c r="O65" i="52"/>
  <c r="P65" i="52" s="1"/>
  <c r="Q65" i="52" s="1"/>
  <c r="O122" i="52"/>
  <c r="P122" i="52" s="1"/>
  <c r="Q122" i="52" s="1"/>
  <c r="O386" i="52"/>
  <c r="P386" i="52" s="1"/>
  <c r="Q386" i="52" s="1"/>
  <c r="O153" i="52"/>
  <c r="P153" i="52" s="1"/>
  <c r="Q153" i="52" s="1"/>
  <c r="O550" i="52"/>
  <c r="P550" i="52" s="1"/>
  <c r="Q550" i="52" s="1"/>
  <c r="O225" i="52"/>
  <c r="P225" i="52" s="1"/>
  <c r="Q225" i="52" s="1"/>
  <c r="O29" i="52"/>
  <c r="P29" i="52" s="1"/>
  <c r="Q29" i="52" s="1"/>
  <c r="O516" i="52"/>
  <c r="P516" i="52" s="1"/>
  <c r="Q516" i="52" s="1"/>
  <c r="O61" i="52"/>
  <c r="P61" i="52" s="1"/>
  <c r="Q61" i="52" s="1"/>
  <c r="O343" i="52"/>
  <c r="P343" i="52" s="1"/>
  <c r="Q343" i="52" s="1"/>
  <c r="O464" i="52"/>
  <c r="P464" i="52" s="1"/>
  <c r="Q464" i="52" s="1"/>
  <c r="O143" i="52"/>
  <c r="P143" i="52" s="1"/>
  <c r="Q143" i="52" s="1"/>
  <c r="O572" i="52"/>
  <c r="P572" i="52" s="1"/>
  <c r="Q572" i="52" s="1"/>
  <c r="O182" i="52"/>
  <c r="P182" i="52" s="1"/>
  <c r="Q182" i="52" s="1"/>
  <c r="O337" i="52"/>
  <c r="P337" i="52" s="1"/>
  <c r="Q337" i="52" s="1"/>
  <c r="O307" i="52"/>
  <c r="P307" i="52" s="1"/>
  <c r="Q307" i="52" s="1"/>
  <c r="O252" i="52"/>
  <c r="P252" i="52" s="1"/>
  <c r="Q252" i="52" s="1"/>
  <c r="O133" i="52"/>
  <c r="P133" i="52" s="1"/>
  <c r="Q133" i="52" s="1"/>
  <c r="O219" i="52"/>
  <c r="P219" i="52" s="1"/>
  <c r="Q219" i="52" s="1"/>
  <c r="O27" i="52"/>
  <c r="P27" i="52" s="1"/>
  <c r="Q27" i="52" s="1"/>
  <c r="O124" i="52"/>
  <c r="P124" i="52" s="1"/>
  <c r="Q124" i="52" s="1"/>
  <c r="O47" i="52"/>
  <c r="P47" i="52" s="1"/>
  <c r="Q47" i="52" s="1"/>
  <c r="O277" i="52"/>
  <c r="P277" i="52" s="1"/>
  <c r="Q277" i="52" s="1"/>
  <c r="O693" i="52"/>
  <c r="P693" i="52" s="1"/>
  <c r="Q693" i="52" s="1"/>
  <c r="O238" i="52"/>
  <c r="P238" i="52" s="1"/>
  <c r="Q238" i="52" s="1"/>
  <c r="O521" i="52"/>
  <c r="P521" i="52" s="1"/>
  <c r="Q521" i="52" s="1"/>
  <c r="O321" i="52"/>
  <c r="P321" i="52" s="1"/>
  <c r="Q321" i="52" s="1"/>
  <c r="O631" i="52"/>
  <c r="P631" i="52" s="1"/>
  <c r="Q631" i="52" s="1"/>
  <c r="O618" i="52"/>
  <c r="P618" i="52" s="1"/>
  <c r="Q618" i="52" s="1"/>
  <c r="O713" i="52"/>
  <c r="P713" i="52" s="1"/>
  <c r="Q713" i="52" s="1"/>
  <c r="O129" i="52"/>
  <c r="P129" i="52" s="1"/>
  <c r="Q129" i="52" s="1"/>
  <c r="O625" i="52"/>
  <c r="P625" i="52" s="1"/>
  <c r="Q625" i="52" s="1"/>
  <c r="O807" i="52"/>
  <c r="P807" i="52" s="1"/>
  <c r="Q807" i="52" s="1"/>
  <c r="O135" i="52"/>
  <c r="P135" i="52" s="1"/>
  <c r="Q135" i="52" s="1"/>
  <c r="O421" i="52"/>
  <c r="P421" i="52" s="1"/>
  <c r="Q421" i="52" s="1"/>
  <c r="O674" i="52"/>
  <c r="P674" i="52" s="1"/>
  <c r="Q674" i="52" s="1"/>
  <c r="O684" i="52"/>
  <c r="P684" i="52" s="1"/>
  <c r="Q684" i="52" s="1"/>
  <c r="O294" i="52"/>
  <c r="P294" i="52" s="1"/>
  <c r="Q294" i="52" s="1"/>
  <c r="O523" i="52"/>
  <c r="P523" i="52" s="1"/>
  <c r="Q523" i="52" s="1"/>
  <c r="O772" i="52"/>
  <c r="P772" i="52" s="1"/>
  <c r="Q772" i="52" s="1"/>
  <c r="O298" i="52"/>
  <c r="P298" i="52" s="1"/>
  <c r="Q298" i="52" s="1"/>
  <c r="O292" i="52"/>
  <c r="P292" i="52" s="1"/>
  <c r="Q292" i="52" s="1"/>
  <c r="O702" i="52"/>
  <c r="P702" i="52" s="1"/>
  <c r="Q702" i="52" s="1"/>
  <c r="O51" i="52"/>
  <c r="P51" i="52" s="1"/>
  <c r="Q51" i="52" s="1"/>
  <c r="O234" i="52"/>
  <c r="P234" i="52" s="1"/>
  <c r="Q234" i="52" s="1"/>
  <c r="O308" i="52"/>
  <c r="P308" i="52" s="1"/>
  <c r="Q308" i="52" s="1"/>
  <c r="O255" i="52"/>
  <c r="P255" i="52" s="1"/>
  <c r="Q255" i="52" s="1"/>
  <c r="O574" i="52"/>
  <c r="P574" i="52" s="1"/>
  <c r="Q574" i="52" s="1"/>
  <c r="O167" i="52"/>
  <c r="P167" i="52" s="1"/>
  <c r="Q167" i="52" s="1"/>
  <c r="O724" i="52"/>
  <c r="P724" i="52" s="1"/>
  <c r="Q724" i="52" s="1"/>
  <c r="O790" i="52"/>
  <c r="P790" i="52" s="1"/>
  <c r="Q790" i="52" s="1"/>
  <c r="O579" i="52"/>
  <c r="P579" i="52" s="1"/>
  <c r="Q579" i="52" s="1"/>
  <c r="O608" i="52"/>
  <c r="P608" i="52" s="1"/>
  <c r="Q608" i="52" s="1"/>
  <c r="O372" i="52"/>
  <c r="P372" i="52" s="1"/>
  <c r="Q372" i="52" s="1"/>
  <c r="O475" i="52"/>
  <c r="P475" i="52" s="1"/>
  <c r="Q475" i="52" s="1"/>
  <c r="O742" i="52"/>
  <c r="P742" i="52" s="1"/>
  <c r="Q742" i="52" s="1"/>
  <c r="O299" i="52"/>
  <c r="P299" i="52" s="1"/>
  <c r="Q299" i="52" s="1"/>
  <c r="O296" i="52"/>
  <c r="P296" i="52" s="1"/>
  <c r="Q296" i="52" s="1"/>
  <c r="O465" i="52"/>
  <c r="P465" i="52" s="1"/>
  <c r="Q465" i="52" s="1"/>
  <c r="O304" i="52"/>
  <c r="P304" i="52" s="1"/>
  <c r="Q304" i="52" s="1"/>
  <c r="O490" i="52"/>
  <c r="P490" i="52" s="1"/>
  <c r="Q490" i="52" s="1"/>
  <c r="O289" i="52"/>
  <c r="P289" i="52" s="1"/>
  <c r="Q289" i="52" s="1"/>
  <c r="O104" i="52"/>
  <c r="P104" i="52" s="1"/>
  <c r="Q104" i="52" s="1"/>
  <c r="O149" i="52"/>
  <c r="P149" i="52" s="1"/>
  <c r="Q149" i="52" s="1"/>
  <c r="O760" i="52"/>
  <c r="P760" i="52" s="1"/>
  <c r="Q760" i="52" s="1"/>
  <c r="O602" i="52"/>
  <c r="P602" i="52" s="1"/>
  <c r="Q602" i="52" s="1"/>
  <c r="O171" i="52"/>
  <c r="P171" i="52" s="1"/>
  <c r="Q171" i="52" s="1"/>
  <c r="O491" i="52"/>
  <c r="P491" i="52" s="1"/>
  <c r="Q491" i="52" s="1"/>
  <c r="O96" i="52"/>
  <c r="P96" i="52" s="1"/>
  <c r="Q96" i="52" s="1"/>
  <c r="O665" i="52"/>
  <c r="P665" i="52" s="1"/>
  <c r="Q665" i="52" s="1"/>
  <c r="O172" i="52"/>
  <c r="P172" i="52" s="1"/>
  <c r="Q172" i="52" s="1"/>
  <c r="O439" i="52"/>
  <c r="P439" i="52" s="1"/>
  <c r="Q439" i="52" s="1"/>
  <c r="O443" i="52"/>
  <c r="P443" i="52" s="1"/>
  <c r="Q443" i="52" s="1"/>
  <c r="O577" i="52"/>
  <c r="P577" i="52" s="1"/>
  <c r="Q577" i="52" s="1"/>
  <c r="O707" i="52"/>
  <c r="P707" i="52" s="1"/>
  <c r="Q707" i="52" s="1"/>
  <c r="O258" i="52"/>
  <c r="P258" i="52" s="1"/>
  <c r="Q258" i="52" s="1"/>
  <c r="O199" i="52"/>
  <c r="P199" i="52" s="1"/>
  <c r="Q199" i="52" s="1"/>
  <c r="O658" i="52"/>
  <c r="P658" i="52" s="1"/>
  <c r="Q658" i="52" s="1"/>
  <c r="O331" i="52"/>
  <c r="P331" i="52" s="1"/>
  <c r="Q331" i="52" s="1"/>
  <c r="O186" i="52"/>
  <c r="P186" i="52" s="1"/>
  <c r="Q186" i="52" s="1"/>
  <c r="O293" i="52"/>
  <c r="P293" i="52" s="1"/>
  <c r="Q293" i="52" s="1"/>
  <c r="O52" i="52"/>
  <c r="P52" i="52" s="1"/>
  <c r="Q52" i="52" s="1"/>
  <c r="O483" i="52"/>
  <c r="P483" i="52" s="1"/>
  <c r="Q483" i="52" s="1"/>
  <c r="O437" i="52"/>
  <c r="P437" i="52" s="1"/>
  <c r="Q437" i="52" s="1"/>
  <c r="O275" i="52"/>
  <c r="P275" i="52" s="1"/>
  <c r="Q275" i="52" s="1"/>
  <c r="O429" i="52"/>
  <c r="P429" i="52" s="1"/>
  <c r="Q429" i="52" s="1"/>
  <c r="O796" i="52"/>
  <c r="P796" i="52" s="1"/>
  <c r="Q796" i="52" s="1"/>
  <c r="O636" i="52"/>
  <c r="P636" i="52" s="1"/>
  <c r="Q636" i="52" s="1"/>
  <c r="O534" i="52"/>
  <c r="P534" i="52" s="1"/>
  <c r="Q534" i="52" s="1"/>
  <c r="O633" i="52"/>
  <c r="P633" i="52" s="1"/>
  <c r="Q633" i="52" s="1"/>
  <c r="O607" i="52"/>
  <c r="P607" i="52" s="1"/>
  <c r="Q607" i="52" s="1"/>
  <c r="O419" i="52"/>
  <c r="P419" i="52" s="1"/>
  <c r="Q419" i="52" s="1"/>
  <c r="O537" i="52"/>
  <c r="P537" i="52" s="1"/>
  <c r="Q537" i="52" s="1"/>
  <c r="O89" i="52"/>
  <c r="P89" i="52" s="1"/>
  <c r="Q89" i="52" s="1"/>
  <c r="O743" i="52"/>
  <c r="P743" i="52" s="1"/>
  <c r="Q743" i="52" s="1"/>
  <c r="O44" i="52"/>
  <c r="P44" i="52" s="1"/>
  <c r="Q44" i="52" s="1"/>
  <c r="O73" i="52"/>
  <c r="P73" i="52" s="1"/>
  <c r="Q73" i="52" s="1"/>
  <c r="O761" i="52"/>
  <c r="P761" i="52" s="1"/>
  <c r="Q761" i="52" s="1"/>
  <c r="O231" i="52"/>
  <c r="P231" i="52" s="1"/>
  <c r="Q231" i="52" s="1"/>
  <c r="O287" i="52"/>
  <c r="P287" i="52" s="1"/>
  <c r="Q287" i="52" s="1"/>
  <c r="O245" i="52"/>
  <c r="P245" i="52" s="1"/>
  <c r="Q245" i="52" s="1"/>
  <c r="O425" i="52"/>
  <c r="P425" i="52" s="1"/>
  <c r="Q425" i="52" s="1"/>
  <c r="O705" i="52"/>
  <c r="P705" i="52" s="1"/>
  <c r="Q705" i="52" s="1"/>
  <c r="O290" i="52"/>
  <c r="P290" i="52" s="1"/>
  <c r="Q290" i="52" s="1"/>
  <c r="O758" i="52"/>
  <c r="P758" i="52" s="1"/>
  <c r="Q758" i="52" s="1"/>
  <c r="O803" i="52"/>
  <c r="P803" i="52" s="1"/>
  <c r="Q803" i="52" s="1"/>
  <c r="O253" i="52"/>
  <c r="P253" i="52" s="1"/>
  <c r="Q253" i="52" s="1"/>
  <c r="O455" i="52"/>
  <c r="P455" i="52" s="1"/>
  <c r="Q455" i="52" s="1"/>
  <c r="O609" i="52"/>
  <c r="P609" i="52" s="1"/>
  <c r="Q609" i="52" s="1"/>
  <c r="O680" i="52"/>
  <c r="P680" i="52" s="1"/>
  <c r="Q680" i="52" s="1"/>
  <c r="O470" i="52"/>
  <c r="P470" i="52" s="1"/>
  <c r="Q470" i="52" s="1"/>
  <c r="O130" i="52"/>
  <c r="P130" i="52" s="1"/>
  <c r="Q130" i="52" s="1"/>
  <c r="O560" i="52"/>
  <c r="P560" i="52" s="1"/>
  <c r="Q560" i="52" s="1"/>
  <c r="O441" i="52"/>
  <c r="P441" i="52" s="1"/>
  <c r="Q441" i="52" s="1"/>
  <c r="O436" i="52"/>
  <c r="P436" i="52" s="1"/>
  <c r="Q436" i="52" s="1"/>
  <c r="O746" i="52"/>
  <c r="P746" i="52" s="1"/>
  <c r="Q746" i="52" s="1"/>
  <c r="O235" i="52"/>
  <c r="P235" i="52" s="1"/>
  <c r="Q235" i="52" s="1"/>
  <c r="O422" i="52"/>
  <c r="P422" i="52" s="1"/>
  <c r="Q422" i="52" s="1"/>
  <c r="O40" i="52"/>
  <c r="P40" i="52" s="1"/>
  <c r="Q40" i="52" s="1"/>
  <c r="O635" i="52"/>
  <c r="P635" i="52" s="1"/>
  <c r="Q635" i="52" s="1"/>
  <c r="O666" i="52"/>
  <c r="P666" i="52" s="1"/>
  <c r="Q666" i="52" s="1"/>
  <c r="O201" i="52"/>
  <c r="P201" i="52" s="1"/>
  <c r="Q201" i="52" s="1"/>
  <c r="O389" i="52"/>
  <c r="P389" i="52" s="1"/>
  <c r="Q389" i="52" s="1"/>
  <c r="O731" i="52"/>
  <c r="P731" i="52" s="1"/>
  <c r="Q731" i="52" s="1"/>
  <c r="O191" i="52"/>
  <c r="P191" i="52" s="1"/>
  <c r="Q191" i="52" s="1"/>
  <c r="O590" i="52"/>
  <c r="P590" i="52" s="1"/>
  <c r="Q590" i="52" s="1"/>
  <c r="O200" i="52"/>
  <c r="P200" i="52" s="1"/>
  <c r="Q200" i="52" s="1"/>
  <c r="O340" i="52"/>
  <c r="P340" i="52" s="1"/>
  <c r="Q340" i="52" s="1"/>
  <c r="O518" i="52"/>
  <c r="P518" i="52" s="1"/>
  <c r="Q518" i="52" s="1"/>
  <c r="O164" i="52"/>
  <c r="P164" i="52" s="1"/>
  <c r="Q164" i="52" s="1"/>
  <c r="O83" i="52"/>
  <c r="P83" i="52" s="1"/>
  <c r="Q83" i="52" s="1"/>
  <c r="O562" i="52"/>
  <c r="P562" i="52" s="1"/>
  <c r="Q562" i="52" s="1"/>
  <c r="O734" i="52"/>
  <c r="P734" i="52" s="1"/>
  <c r="Q734" i="52" s="1"/>
  <c r="O511" i="52"/>
  <c r="P511" i="52" s="1"/>
  <c r="Q511" i="52" s="1"/>
  <c r="O514" i="52"/>
  <c r="P514" i="52" s="1"/>
  <c r="Q514" i="52" s="1"/>
  <c r="O446" i="52"/>
  <c r="P446" i="52" s="1"/>
  <c r="Q446" i="52" s="1"/>
  <c r="O620" i="52"/>
  <c r="P620" i="52" s="1"/>
  <c r="Q620" i="52" s="1"/>
  <c r="O242" i="52"/>
  <c r="P242" i="52" s="1"/>
  <c r="Q242" i="52" s="1"/>
  <c r="O500" i="52"/>
  <c r="P500" i="52" s="1"/>
  <c r="Q500" i="52" s="1"/>
  <c r="O206" i="52"/>
  <c r="P206" i="52" s="1"/>
  <c r="Q206" i="52" s="1"/>
  <c r="O750" i="52"/>
  <c r="P750" i="52" s="1"/>
  <c r="Q750" i="52" s="1"/>
  <c r="O342" i="52"/>
  <c r="P342" i="52" s="1"/>
  <c r="Q342" i="52" s="1"/>
  <c r="O105" i="52"/>
  <c r="P105" i="52" s="1"/>
  <c r="Q105" i="52" s="1"/>
  <c r="O273" i="52"/>
  <c r="P273" i="52" s="1"/>
  <c r="Q273" i="52" s="1"/>
  <c r="O68" i="52"/>
  <c r="P68" i="52" s="1"/>
  <c r="Q68" i="52" s="1"/>
  <c r="O689" i="52"/>
  <c r="P689" i="52" s="1"/>
  <c r="Q689" i="52" s="1"/>
  <c r="O732" i="52"/>
  <c r="P732" i="52" s="1"/>
  <c r="Q732" i="52" s="1"/>
  <c r="O28" i="52"/>
  <c r="P28" i="52" s="1"/>
  <c r="Q28" i="52" s="1"/>
  <c r="O687" i="52"/>
  <c r="P687" i="52" s="1"/>
  <c r="Q687" i="52" s="1"/>
  <c r="O241" i="52"/>
  <c r="P241" i="52" s="1"/>
  <c r="Q241" i="52" s="1"/>
  <c r="O160" i="52"/>
  <c r="P160" i="52" s="1"/>
  <c r="Q160" i="52" s="1"/>
  <c r="O54" i="52"/>
  <c r="P54" i="52" s="1"/>
  <c r="Q54" i="52" s="1"/>
  <c r="O62" i="52"/>
  <c r="P62" i="52" s="1"/>
  <c r="Q62" i="52" s="1"/>
  <c r="O330" i="52"/>
  <c r="P330" i="52" s="1"/>
  <c r="Q330" i="52" s="1"/>
  <c r="O244" i="52"/>
  <c r="P244" i="52" s="1"/>
  <c r="Q244" i="52" s="1"/>
  <c r="O740" i="52"/>
  <c r="P740" i="52" s="1"/>
  <c r="Q740" i="52" s="1"/>
  <c r="O36" i="52"/>
  <c r="P36" i="52" s="1"/>
  <c r="Q36" i="52" s="1"/>
  <c r="O659" i="52"/>
  <c r="P659" i="52" s="1"/>
  <c r="Q659" i="52" s="1"/>
  <c r="O757" i="52"/>
  <c r="P757" i="52" s="1"/>
  <c r="Q757" i="52" s="1"/>
  <c r="O192" i="52"/>
  <c r="P192" i="52" s="1"/>
  <c r="Q192" i="52" s="1"/>
  <c r="O762" i="52"/>
  <c r="P762" i="52" s="1"/>
  <c r="Q762" i="52" s="1"/>
  <c r="O708" i="52"/>
  <c r="P708" i="52" s="1"/>
  <c r="Q708" i="52" s="1"/>
  <c r="O472" i="52"/>
  <c r="P472" i="52" s="1"/>
  <c r="Q472" i="52" s="1"/>
  <c r="O462" i="52"/>
  <c r="P462" i="52" s="1"/>
  <c r="Q462" i="52" s="1"/>
  <c r="O121" i="52"/>
  <c r="P121" i="52" s="1"/>
  <c r="Q121" i="52" s="1"/>
  <c r="O50" i="52"/>
  <c r="P50" i="52" s="1"/>
  <c r="Q50" i="52" s="1"/>
  <c r="O506" i="52"/>
  <c r="P506" i="52" s="1"/>
  <c r="Q506" i="52" s="1"/>
  <c r="O38" i="52"/>
  <c r="P38" i="52" s="1"/>
  <c r="Q38" i="52" s="1"/>
  <c r="O282" i="52"/>
  <c r="P282" i="52" s="1"/>
  <c r="Q282" i="52" s="1"/>
  <c r="O300" i="52"/>
  <c r="P300" i="52" s="1"/>
  <c r="Q300" i="52" s="1"/>
  <c r="O95" i="52"/>
  <c r="P95" i="52" s="1"/>
  <c r="Q95" i="52" s="1"/>
  <c r="O236" i="52"/>
  <c r="P236" i="52" s="1"/>
  <c r="Q236" i="52" s="1"/>
  <c r="O39" i="52"/>
  <c r="P39" i="52" s="1"/>
  <c r="Q39" i="52" s="1"/>
  <c r="O187" i="52"/>
  <c r="P187" i="52" s="1"/>
  <c r="Q187" i="52" s="1"/>
  <c r="O719" i="52"/>
  <c r="P719" i="52" s="1"/>
  <c r="Q719" i="52" s="1"/>
  <c r="O786" i="52"/>
  <c r="P786" i="52" s="1"/>
  <c r="Q786" i="52" s="1"/>
  <c r="O601" i="52"/>
  <c r="P601" i="52" s="1"/>
  <c r="Q601" i="52" s="1"/>
  <c r="O88" i="52"/>
  <c r="P88" i="52" s="1"/>
  <c r="Q88" i="52" s="1"/>
  <c r="O180" i="52"/>
  <c r="P180" i="52" s="1"/>
  <c r="Q180" i="52" s="1"/>
  <c r="O691" i="52"/>
  <c r="P691" i="52" s="1"/>
  <c r="Q691" i="52" s="1"/>
  <c r="O261" i="52"/>
  <c r="P261" i="52" s="1"/>
  <c r="Q261" i="52" s="1"/>
  <c r="O563" i="52"/>
  <c r="P563" i="52" s="1"/>
  <c r="Q563" i="52" s="1"/>
  <c r="O467" i="52"/>
  <c r="P467" i="52" s="1"/>
  <c r="Q467" i="52" s="1"/>
  <c r="O335" i="52"/>
  <c r="P335" i="52" s="1"/>
  <c r="Q335" i="52" s="1"/>
  <c r="O24" i="52"/>
  <c r="P24" i="52" s="1"/>
  <c r="Q24" i="52" s="1"/>
  <c r="O418" i="52"/>
  <c r="P418" i="52" s="1"/>
  <c r="Q418" i="52" s="1"/>
  <c r="O480" i="52"/>
  <c r="P480" i="52" s="1"/>
  <c r="Q480" i="52" s="1"/>
  <c r="O759" i="52"/>
  <c r="P759" i="52" s="1"/>
  <c r="Q759" i="52" s="1"/>
  <c r="O249" i="52"/>
  <c r="P249" i="52" s="1"/>
  <c r="Q249" i="52" s="1"/>
  <c r="O520" i="52"/>
  <c r="P520" i="52" s="1"/>
  <c r="Q520" i="52" s="1"/>
  <c r="O456" i="52"/>
  <c r="P456" i="52" s="1"/>
  <c r="Q456" i="52" s="1"/>
  <c r="O22" i="52"/>
  <c r="P22" i="52" s="1"/>
  <c r="Q22" i="52" s="1"/>
  <c r="O72" i="52"/>
  <c r="P72" i="52" s="1"/>
  <c r="Q72" i="52" s="1"/>
  <c r="O32" i="52"/>
  <c r="P32" i="52" s="1"/>
  <c r="Q32" i="52" s="1"/>
  <c r="O240" i="52"/>
  <c r="P240" i="52" s="1"/>
  <c r="Q240" i="52" s="1"/>
  <c r="O486" i="52"/>
  <c r="P486" i="52" s="1"/>
  <c r="Q486" i="52" s="1"/>
  <c r="O115" i="52"/>
  <c r="P115" i="52" s="1"/>
  <c r="Q115" i="52" s="1"/>
  <c r="O698" i="52"/>
  <c r="P698" i="52" s="1"/>
  <c r="Q698" i="52" s="1"/>
  <c r="O66" i="52"/>
  <c r="P66" i="52" s="1"/>
  <c r="Q66" i="52" s="1"/>
  <c r="O445" i="52"/>
  <c r="P445" i="52" s="1"/>
  <c r="Q445" i="52" s="1"/>
  <c r="O221" i="52"/>
  <c r="P221" i="52" s="1"/>
  <c r="Q221" i="52" s="1"/>
  <c r="O368" i="52"/>
  <c r="P368" i="52" s="1"/>
  <c r="Q368" i="52" s="1"/>
  <c r="O510" i="52"/>
  <c r="P510" i="52" s="1"/>
  <c r="Q510" i="52" s="1"/>
  <c r="O131" i="52"/>
  <c r="P131" i="52" s="1"/>
  <c r="Q131" i="52" s="1"/>
  <c r="O530" i="52"/>
  <c r="P530" i="52" s="1"/>
  <c r="Q530" i="52" s="1"/>
  <c r="O285" i="52"/>
  <c r="P285" i="52" s="1"/>
  <c r="Q285" i="52" s="1"/>
  <c r="O536" i="52"/>
  <c r="P536" i="52" s="1"/>
  <c r="Q536" i="52" s="1"/>
  <c r="O813" i="52"/>
  <c r="P813" i="52" s="1"/>
  <c r="Q813" i="52" s="1"/>
  <c r="O583" i="52"/>
  <c r="P583" i="52" s="1"/>
  <c r="Q583" i="52" s="1"/>
  <c r="O211" i="52"/>
  <c r="P211" i="52" s="1"/>
  <c r="Q211" i="52" s="1"/>
  <c r="O508" i="52"/>
  <c r="P508" i="52" s="1"/>
  <c r="Q508" i="52" s="1"/>
  <c r="O19" i="52"/>
  <c r="P19" i="52" s="1"/>
  <c r="Q19" i="52" s="1"/>
  <c r="O493" i="52"/>
  <c r="P493" i="52" s="1"/>
  <c r="Q493" i="52" s="1"/>
  <c r="O92" i="52"/>
  <c r="P92" i="52" s="1"/>
  <c r="Q92" i="52" s="1"/>
  <c r="O49" i="52"/>
  <c r="P49" i="52" s="1"/>
  <c r="Q49" i="52" s="1"/>
  <c r="O692" i="52"/>
  <c r="P692" i="52" s="1"/>
  <c r="Q692" i="52" s="1"/>
  <c r="O492" i="52"/>
  <c r="P492" i="52" s="1"/>
  <c r="Q492" i="52" s="1"/>
  <c r="O246" i="52"/>
  <c r="P246" i="52" s="1"/>
  <c r="Q246" i="52" s="1"/>
  <c r="O765" i="52"/>
  <c r="P765" i="52" s="1"/>
  <c r="Q765" i="52" s="1"/>
  <c r="O626" i="52"/>
  <c r="P626" i="52" s="1"/>
  <c r="Q626" i="52" s="1"/>
  <c r="O151" i="52"/>
  <c r="P151" i="52" s="1"/>
  <c r="Q151" i="52" s="1"/>
  <c r="O444" i="52"/>
  <c r="P444" i="52" s="1"/>
  <c r="Q444" i="52" s="1"/>
  <c r="O434" i="52"/>
  <c r="P434" i="52" s="1"/>
  <c r="Q434" i="52" s="1"/>
  <c r="O571" i="52"/>
  <c r="P571" i="52" s="1"/>
  <c r="Q571" i="52" s="1"/>
  <c r="O808" i="52"/>
  <c r="P808" i="52" s="1"/>
  <c r="Q808" i="52" s="1"/>
  <c r="O688" i="52"/>
  <c r="P688" i="52" s="1"/>
  <c r="Q688" i="52" s="1"/>
  <c r="O306" i="52"/>
  <c r="P306" i="52" s="1"/>
  <c r="Q306" i="52" s="1"/>
  <c r="O243" i="52"/>
  <c r="P243" i="52" s="1"/>
  <c r="Q243" i="52" s="1"/>
  <c r="O215" i="52"/>
  <c r="P215" i="52" s="1"/>
  <c r="Q215" i="52" s="1"/>
  <c r="O177" i="52"/>
  <c r="P177" i="52" s="1"/>
  <c r="Q177" i="52" s="1"/>
  <c r="O209" i="52"/>
  <c r="P209" i="52" s="1"/>
  <c r="Q209" i="52" s="1"/>
  <c r="O111" i="52"/>
  <c r="P111" i="52" s="1"/>
  <c r="Q111" i="52" s="1"/>
  <c r="O662" i="52"/>
  <c r="P662" i="52" s="1"/>
  <c r="Q662" i="52" s="1"/>
  <c r="O466" i="52"/>
  <c r="P466" i="52" s="1"/>
  <c r="Q466" i="52" s="1"/>
  <c r="O504" i="52"/>
  <c r="P504" i="52" s="1"/>
  <c r="Q504" i="52" s="1"/>
  <c r="O768" i="52"/>
  <c r="P768" i="52" s="1"/>
  <c r="Q768" i="52" s="1"/>
  <c r="O553" i="52"/>
  <c r="P553" i="52" s="1"/>
  <c r="Q553" i="52" s="1"/>
  <c r="O586" i="52"/>
  <c r="P586" i="52" s="1"/>
  <c r="Q586" i="52" s="1"/>
  <c r="O79" i="52"/>
  <c r="P79" i="52" s="1"/>
  <c r="Q79" i="52" s="1"/>
  <c r="O305" i="52"/>
  <c r="P305" i="52" s="1"/>
  <c r="Q305" i="52" s="1"/>
  <c r="O84" i="52"/>
  <c r="P84" i="52" s="1"/>
  <c r="Q84" i="52" s="1"/>
  <c r="O232" i="52"/>
  <c r="P232" i="52" s="1"/>
  <c r="Q232" i="52" s="1"/>
  <c r="O685" i="52"/>
  <c r="P685" i="52" s="1"/>
  <c r="Q685" i="52" s="1"/>
  <c r="O185" i="52"/>
  <c r="P185" i="52" s="1"/>
  <c r="Q185" i="52" s="1"/>
  <c r="O497" i="52"/>
  <c r="P497" i="52" s="1"/>
  <c r="Q497" i="52" s="1"/>
  <c r="O100" i="52"/>
  <c r="P100" i="52" s="1"/>
  <c r="Q100" i="52" s="1"/>
  <c r="O197" i="52"/>
  <c r="P197" i="52" s="1"/>
  <c r="Q197" i="52" s="1"/>
  <c r="O357" i="52"/>
  <c r="P357" i="52" s="1"/>
  <c r="Q357" i="52" s="1"/>
  <c r="O476" i="52"/>
  <c r="P476" i="52" s="1"/>
  <c r="Q476" i="52" s="1"/>
  <c r="O542" i="52"/>
  <c r="P542" i="52" s="1"/>
  <c r="Q542" i="52" s="1"/>
  <c r="O332" i="52"/>
  <c r="P332" i="52" s="1"/>
  <c r="Q332" i="52" s="1"/>
  <c r="O515" i="52"/>
  <c r="P515" i="52" s="1"/>
  <c r="Q515" i="52" s="1"/>
  <c r="O614" i="52"/>
  <c r="P614" i="52" s="1"/>
  <c r="Q614" i="52" s="1"/>
  <c r="O203" i="52"/>
  <c r="P203" i="52" s="1"/>
  <c r="Q203" i="52" s="1"/>
  <c r="O769" i="52"/>
  <c r="P769" i="52" s="1"/>
  <c r="Q769" i="52" s="1"/>
  <c r="O57" i="52"/>
  <c r="P57" i="52" s="1"/>
  <c r="Q57" i="52" s="1"/>
  <c r="O216" i="52"/>
  <c r="P216" i="52" s="1"/>
  <c r="Q216" i="52" s="1"/>
  <c r="O113" i="52"/>
  <c r="P113" i="52" s="1"/>
  <c r="Q113" i="52" s="1"/>
  <c r="O207" i="52"/>
  <c r="P207" i="52" s="1"/>
  <c r="Q207" i="52" s="1"/>
  <c r="O752" i="52"/>
  <c r="P752" i="52" s="1"/>
  <c r="Q752" i="52" s="1"/>
  <c r="O210" i="52"/>
  <c r="P210" i="52" s="1"/>
  <c r="Q210" i="52" s="1"/>
  <c r="O567" i="52"/>
  <c r="P567" i="52" s="1"/>
  <c r="Q567" i="52" s="1"/>
  <c r="O457" i="52"/>
  <c r="P457" i="52" s="1"/>
  <c r="Q457" i="52" s="1"/>
  <c r="O479" i="52"/>
  <c r="P479" i="52" s="1"/>
  <c r="Q479" i="52" s="1"/>
  <c r="O502" i="52"/>
  <c r="P502" i="52" s="1"/>
  <c r="Q502" i="52" s="1"/>
  <c r="O683" i="52"/>
  <c r="P683" i="52" s="1"/>
  <c r="Q683" i="52" s="1"/>
  <c r="O791" i="52"/>
  <c r="P791" i="52" s="1"/>
  <c r="Q791" i="52" s="1"/>
  <c r="O686" i="52"/>
  <c r="P686" i="52" s="1"/>
  <c r="Q686" i="52" s="1"/>
  <c r="O286" i="52"/>
  <c r="P286" i="52" s="1"/>
  <c r="Q286" i="52" s="1"/>
  <c r="O587" i="52"/>
  <c r="P587" i="52" s="1"/>
  <c r="Q587" i="52" s="1"/>
  <c r="O676" i="52"/>
  <c r="P676" i="52" s="1"/>
  <c r="Q676" i="52" s="1"/>
  <c r="O559" i="52"/>
  <c r="P559" i="52" s="1"/>
  <c r="Q559" i="52" s="1"/>
  <c r="O722" i="52"/>
  <c r="P722" i="52" s="1"/>
  <c r="Q722" i="52" s="1"/>
  <c r="O616" i="52"/>
  <c r="P616" i="52" s="1"/>
  <c r="Q616" i="52" s="1"/>
  <c r="O638" i="52"/>
  <c r="P638" i="52" s="1"/>
  <c r="Q638" i="52" s="1"/>
  <c r="O279" i="52"/>
  <c r="P279" i="52" s="1"/>
  <c r="Q279" i="52" s="1"/>
  <c r="O627" i="52"/>
  <c r="P627" i="52" s="1"/>
  <c r="Q627" i="52" s="1"/>
  <c r="O391" i="52"/>
  <c r="P391" i="52" s="1"/>
  <c r="Q391" i="52" s="1"/>
  <c r="O448" i="52"/>
  <c r="P448" i="52" s="1"/>
  <c r="Q448" i="52" s="1"/>
  <c r="O284" i="52"/>
  <c r="P284" i="52" s="1"/>
  <c r="Q284" i="52" s="1"/>
  <c r="O70" i="52"/>
  <c r="P70" i="52" s="1"/>
  <c r="Q70" i="52" s="1"/>
  <c r="O477" i="52"/>
  <c r="P477" i="52" s="1"/>
  <c r="Q477" i="52" s="1"/>
  <c r="O351" i="52"/>
  <c r="P351" i="52" s="1"/>
  <c r="Q351" i="52" s="1"/>
  <c r="O405" i="52"/>
  <c r="P405" i="52" s="1"/>
  <c r="Q405" i="52" s="1"/>
  <c r="O646" i="52"/>
  <c r="P646" i="52" s="1"/>
  <c r="Q646" i="52" s="1"/>
  <c r="O540" i="52"/>
  <c r="P540" i="52" s="1"/>
  <c r="Q540" i="52" s="1"/>
  <c r="O107" i="52"/>
  <c r="P107" i="52" s="1"/>
  <c r="Q107" i="52" s="1"/>
  <c r="O513" i="52"/>
  <c r="P513" i="52" s="1"/>
  <c r="Q513" i="52" s="1"/>
  <c r="O358" i="52"/>
  <c r="P358" i="52" s="1"/>
  <c r="Q358" i="52" s="1"/>
  <c r="O629" i="52"/>
  <c r="P629" i="52" s="1"/>
  <c r="Q629" i="52" s="1"/>
  <c r="O639" i="52"/>
  <c r="P639" i="52" s="1"/>
  <c r="Q639" i="52" s="1"/>
  <c r="O427" i="52"/>
  <c r="P427" i="52" s="1"/>
  <c r="Q427" i="52" s="1"/>
  <c r="O799" i="52"/>
  <c r="P799" i="52" s="1"/>
  <c r="Q799" i="52" s="1"/>
  <c r="O18" i="52"/>
  <c r="P18" i="52" s="1"/>
  <c r="Q18" i="52" s="1"/>
  <c r="O136" i="52"/>
  <c r="P136" i="52" s="1"/>
  <c r="Q136" i="52" s="1"/>
  <c r="O709" i="52"/>
  <c r="P709" i="52" s="1"/>
  <c r="Q709" i="52" s="1"/>
  <c r="O481" i="52"/>
  <c r="P481" i="52" s="1"/>
  <c r="Q481" i="52" s="1"/>
  <c r="O406" i="52"/>
  <c r="P406" i="52" s="1"/>
  <c r="Q406" i="52" s="1"/>
  <c r="O33" i="52"/>
  <c r="P33" i="52" s="1"/>
  <c r="Q33" i="52" s="1"/>
  <c r="O162" i="52"/>
  <c r="P162" i="52" s="1"/>
  <c r="Q162" i="52" s="1"/>
  <c r="O595" i="52"/>
  <c r="P595" i="52" s="1"/>
  <c r="Q595" i="52" s="1"/>
  <c r="O163" i="52"/>
  <c r="P163" i="52" s="1"/>
  <c r="Q163" i="52" s="1"/>
  <c r="O739" i="52"/>
  <c r="P739" i="52" s="1"/>
  <c r="Q739" i="52" s="1"/>
  <c r="O256" i="52"/>
  <c r="P256" i="52" s="1"/>
  <c r="Q256" i="52" s="1"/>
  <c r="O569" i="52"/>
  <c r="P569" i="52" s="1"/>
  <c r="Q569" i="52" s="1"/>
  <c r="O395" i="52"/>
  <c r="P395" i="52" s="1"/>
  <c r="Q395" i="52" s="1"/>
  <c r="O650" i="52"/>
  <c r="P650" i="52" s="1"/>
  <c r="Q650" i="52" s="1"/>
  <c r="O264" i="52"/>
  <c r="P264" i="52" s="1"/>
  <c r="Q264" i="52" s="1"/>
  <c r="O183" i="52"/>
  <c r="P183" i="52" s="1"/>
  <c r="Q183" i="52" s="1"/>
  <c r="O288" i="52"/>
  <c r="P288" i="52" s="1"/>
  <c r="Q288" i="52" s="1"/>
  <c r="O573" i="52"/>
  <c r="P573" i="52" s="1"/>
  <c r="Q573" i="52" s="1"/>
  <c r="O370" i="52"/>
  <c r="P370" i="52" s="1"/>
  <c r="Q370" i="52" s="1"/>
  <c r="O503" i="52"/>
  <c r="P503" i="52" s="1"/>
  <c r="Q503" i="52" s="1"/>
  <c r="O189" i="52"/>
  <c r="P189" i="52" s="1"/>
  <c r="Q189" i="52" s="1"/>
  <c r="O117" i="52"/>
  <c r="P117" i="52" s="1"/>
  <c r="Q117" i="52" s="1"/>
  <c r="O387" i="52"/>
  <c r="P387" i="52" s="1"/>
  <c r="Q387" i="52" s="1"/>
  <c r="O517" i="52"/>
  <c r="P517" i="52" s="1"/>
  <c r="Q517" i="52" s="1"/>
  <c r="O584" i="52"/>
  <c r="P584" i="52" s="1"/>
  <c r="Q584" i="52" s="1"/>
  <c r="O194" i="52"/>
  <c r="P194" i="52" s="1"/>
  <c r="Q194" i="52" s="1"/>
  <c r="O484" i="52"/>
  <c r="P484" i="52" s="1"/>
  <c r="Q484" i="52" s="1"/>
  <c r="O311" i="52"/>
  <c r="P311" i="52" s="1"/>
  <c r="Q311" i="52" s="1"/>
  <c r="O17" i="52"/>
  <c r="P17" i="52" s="1"/>
  <c r="Q17" i="52" s="1"/>
  <c r="O327" i="52"/>
  <c r="P327" i="52" s="1"/>
  <c r="Q327" i="52" s="1"/>
  <c r="O644" i="52"/>
  <c r="P644" i="52" s="1"/>
  <c r="Q644" i="52" s="1"/>
  <c r="O459" i="52"/>
  <c r="P459" i="52" s="1"/>
  <c r="Q459" i="52" s="1"/>
  <c r="O291" i="52"/>
  <c r="P291" i="52" s="1"/>
  <c r="Q291" i="52" s="1"/>
  <c r="O637" i="52"/>
  <c r="P637" i="52" s="1"/>
  <c r="Q637" i="52" s="1"/>
  <c r="N134" i="52"/>
  <c r="N9" i="52"/>
  <c r="S9" i="52" s="1"/>
  <c r="N816" i="52"/>
  <c r="N74" i="52"/>
  <c r="N101" i="52"/>
  <c r="N37" i="52"/>
  <c r="N623" i="52"/>
  <c r="S623" i="52" s="1"/>
  <c r="N355" i="52"/>
  <c r="N165" i="52"/>
  <c r="S165" i="52" s="1"/>
  <c r="N549" i="52"/>
  <c r="S549" i="52" s="1"/>
  <c r="N150" i="52"/>
  <c r="S150" i="52" s="1"/>
  <c r="N45" i="52"/>
  <c r="S45" i="52" s="1"/>
  <c r="N78" i="52"/>
  <c r="N766" i="52"/>
  <c r="S766" i="52" s="1"/>
  <c r="N596" i="52"/>
  <c r="N220" i="52"/>
  <c r="N535" i="52"/>
  <c r="N195" i="52"/>
  <c r="N581" i="52"/>
  <c r="S581" i="52" s="1"/>
  <c r="N706" i="52"/>
  <c r="N447" i="52"/>
  <c r="S447" i="52" s="1"/>
  <c r="N7" i="52"/>
  <c r="N12" i="52"/>
  <c r="S12" i="52" s="1"/>
  <c r="N463" i="52"/>
  <c r="S463" i="52" s="1"/>
  <c r="N747" i="52"/>
  <c r="N218" i="52"/>
  <c r="S218" i="52" s="1"/>
  <c r="N485" i="52"/>
  <c r="N690" i="52"/>
  <c r="N677" i="52"/>
  <c r="N792" i="52"/>
  <c r="N682" i="52"/>
  <c r="S682" i="52" s="1"/>
  <c r="N272" i="52"/>
  <c r="N223" i="52"/>
  <c r="S223" i="52" s="1"/>
  <c r="N295" i="52"/>
  <c r="N409" i="52"/>
  <c r="S409" i="52" s="1"/>
  <c r="N715" i="52"/>
  <c r="S715" i="52" s="1"/>
  <c r="N809" i="52"/>
  <c r="N678" i="52"/>
  <c r="S678" i="52" s="1"/>
  <c r="N736" i="52"/>
  <c r="N322" i="52"/>
  <c r="N145" i="52"/>
  <c r="N141" i="52"/>
  <c r="N125" i="52"/>
  <c r="S125" i="52" s="1"/>
  <c r="N640" i="52"/>
  <c r="N127" i="52"/>
  <c r="S127" i="52" s="1"/>
  <c r="N15" i="52"/>
  <c r="N529" i="52"/>
  <c r="S529" i="52" s="1"/>
  <c r="N597" i="52"/>
  <c r="S597" i="52" s="1"/>
  <c r="N598" i="52"/>
  <c r="N507" i="52"/>
  <c r="S507" i="52" s="1"/>
  <c r="N123" i="52"/>
  <c r="N661" i="52"/>
  <c r="N652" i="52"/>
  <c r="N375" i="52"/>
  <c r="N175" i="52"/>
  <c r="S175" i="52" s="1"/>
  <c r="N575" i="52"/>
  <c r="N424" i="52"/>
  <c r="S424" i="52" s="1"/>
  <c r="N426" i="52"/>
  <c r="N697" i="52"/>
  <c r="S697" i="52" s="1"/>
  <c r="N438" i="52"/>
  <c r="S438" i="52" s="1"/>
  <c r="N710" i="52"/>
  <c r="N184" i="52"/>
  <c r="S184" i="52" s="1"/>
  <c r="N654" i="52"/>
  <c r="N414" i="52"/>
  <c r="N23" i="52"/>
  <c r="N580" i="52"/>
  <c r="N112" i="52"/>
  <c r="S112" i="52" s="1"/>
  <c r="N59" i="52"/>
  <c r="N309" i="52"/>
  <c r="S309" i="52" s="1"/>
  <c r="N450" i="52"/>
  <c r="N593" i="52"/>
  <c r="S593" i="52" s="1"/>
  <c r="N16" i="52"/>
  <c r="S16" i="52" s="1"/>
  <c r="N20" i="52"/>
  <c r="N190" i="52"/>
  <c r="S190" i="52" s="1"/>
  <c r="N392" i="52"/>
  <c r="N621" i="52"/>
  <c r="N336" i="52"/>
  <c r="N318" i="52"/>
  <c r="N612" i="52"/>
  <c r="S612" i="52" s="1"/>
  <c r="N728" i="52"/>
  <c r="N749" i="52"/>
  <c r="S749" i="52" s="1"/>
  <c r="N723" i="52"/>
  <c r="N695" i="52"/>
  <c r="S695" i="52" s="1"/>
  <c r="N302" i="52"/>
  <c r="S302" i="52" s="1"/>
  <c r="N785" i="52"/>
  <c r="N378" i="52"/>
  <c r="S378" i="52" s="1"/>
  <c r="N317" i="52"/>
  <c r="N814" i="52"/>
  <c r="N495" i="52"/>
  <c r="N754" i="52"/>
  <c r="N699" i="52"/>
  <c r="S699" i="52" s="1"/>
  <c r="N259" i="52"/>
  <c r="N109" i="52"/>
  <c r="S109" i="52" s="1"/>
  <c r="N132" i="52"/>
  <c r="N212" i="52"/>
  <c r="S212" i="52" s="1"/>
  <c r="N103" i="52"/>
  <c r="S103" i="52" s="1"/>
  <c r="N416" i="52"/>
  <c r="N411" i="52"/>
  <c r="S411" i="52" s="1"/>
  <c r="N770" i="52"/>
  <c r="N541" i="52"/>
  <c r="N544" i="52"/>
  <c r="N547" i="52"/>
  <c r="N561" i="52"/>
  <c r="S561" i="52" s="1"/>
  <c r="N374" i="52"/>
  <c r="N407" i="52"/>
  <c r="S407" i="52" s="1"/>
  <c r="N303" i="52"/>
  <c r="N543" i="52"/>
  <c r="S543" i="52" s="1"/>
  <c r="N263" i="52"/>
  <c r="S263" i="52" s="1"/>
  <c r="N359" i="52"/>
  <c r="N323" i="52"/>
  <c r="S323" i="52" s="1"/>
  <c r="N552" i="52"/>
  <c r="N314" i="52"/>
  <c r="N21" i="52"/>
  <c r="N737" i="52"/>
  <c r="N433" i="52"/>
  <c r="S433" i="52" s="1"/>
  <c r="N655" i="52"/>
  <c r="N402" i="52"/>
  <c r="S402" i="52" s="1"/>
  <c r="N158" i="52"/>
  <c r="N781" i="52"/>
  <c r="S781" i="52" s="1"/>
  <c r="N413" i="52"/>
  <c r="S413" i="52" s="1"/>
  <c r="N377" i="52"/>
  <c r="N366" i="52"/>
  <c r="S366" i="52" s="1"/>
  <c r="N60" i="52"/>
  <c r="N604" i="52"/>
  <c r="N188" i="52"/>
  <c r="N315" i="52"/>
  <c r="N166" i="52"/>
  <c r="S166" i="52" s="1"/>
  <c r="N546" i="52"/>
  <c r="N647" i="52"/>
  <c r="S647" i="52" s="1"/>
  <c r="N142" i="52"/>
  <c r="N432" i="52"/>
  <c r="S432" i="52" s="1"/>
  <c r="N526" i="52"/>
  <c r="S526" i="52" s="1"/>
  <c r="N700" i="52"/>
  <c r="N3" i="52"/>
  <c r="S3" i="52" s="1"/>
  <c r="N313" i="52"/>
  <c r="N144" i="52"/>
  <c r="N324" i="52"/>
  <c r="N780" i="52"/>
  <c r="N415" i="52"/>
  <c r="N428" i="52"/>
  <c r="N430" i="52"/>
  <c r="S430" i="52" s="1"/>
  <c r="N227" i="52"/>
  <c r="N94" i="52"/>
  <c r="S94" i="52" s="1"/>
  <c r="N156" i="52"/>
  <c r="S156" i="52" s="1"/>
  <c r="N360" i="52"/>
  <c r="N793" i="52"/>
  <c r="S793" i="52" s="1"/>
  <c r="N779" i="52"/>
  <c r="N410" i="52"/>
  <c r="N788" i="52"/>
  <c r="N280" i="52"/>
  <c r="N341" i="52"/>
  <c r="S341" i="52" s="1"/>
  <c r="N58" i="52"/>
  <c r="N703" i="52"/>
  <c r="S703" i="52" s="1"/>
  <c r="N810" i="52"/>
  <c r="N778" i="52"/>
  <c r="S778" i="52" s="1"/>
  <c r="N782" i="52"/>
  <c r="S782" i="52" s="1"/>
  <c r="N159" i="52"/>
  <c r="N316" i="52"/>
  <c r="S316" i="52" s="1"/>
  <c r="N606" i="52"/>
  <c r="N488" i="52"/>
  <c r="N380" i="52"/>
  <c r="N798" i="52"/>
  <c r="N777" i="52"/>
  <c r="S777" i="52" s="1"/>
  <c r="N146" i="52"/>
  <c r="N257" i="52"/>
  <c r="S257" i="52" s="1"/>
  <c r="N178" i="52"/>
  <c r="N783" i="52"/>
  <c r="S783" i="52" s="1"/>
  <c r="N720" i="52"/>
  <c r="S720" i="52" s="1"/>
  <c r="N208" i="52"/>
  <c r="N196" i="52"/>
  <c r="S196" i="52" s="1"/>
  <c r="N179" i="52"/>
  <c r="N789" i="52"/>
  <c r="N152" i="52"/>
  <c r="N204" i="52"/>
  <c r="N161" i="52"/>
  <c r="S161" i="52" s="1"/>
  <c r="N784" i="52"/>
  <c r="N773" i="52"/>
  <c r="S773" i="52" s="1"/>
  <c r="N797" i="52"/>
  <c r="N729" i="52"/>
  <c r="S729" i="52" s="1"/>
  <c r="N147" i="52"/>
  <c r="S147" i="52" s="1"/>
  <c r="N265" i="52"/>
  <c r="N656" i="52"/>
  <c r="N667" i="52"/>
  <c r="N382" i="52"/>
  <c r="N349" i="52"/>
  <c r="N738" i="52"/>
  <c r="N589" i="52"/>
  <c r="N388" i="52"/>
  <c r="N239" i="52"/>
  <c r="N711" i="52"/>
  <c r="N578" i="52"/>
  <c r="N487" i="52"/>
  <c r="N756" i="52"/>
  <c r="N383" i="52"/>
  <c r="N148" i="52"/>
  <c r="N815" i="52"/>
  <c r="N10" i="52"/>
  <c r="N5" i="52"/>
  <c r="N727" i="52"/>
  <c r="N6" i="52"/>
  <c r="N138" i="52"/>
  <c r="N119" i="52"/>
  <c r="N352" i="52"/>
  <c r="N266" i="52"/>
  <c r="N328" i="52"/>
  <c r="N771" i="52"/>
  <c r="N13" i="52"/>
  <c r="N474" i="52"/>
  <c r="N312" i="52"/>
  <c r="N453" i="52"/>
  <c r="N168" i="52"/>
  <c r="N812" i="52"/>
  <c r="N154" i="52"/>
  <c r="N350" i="52"/>
  <c r="N403" i="52"/>
  <c r="N787" i="52"/>
  <c r="N110" i="52"/>
  <c r="N137" i="52"/>
  <c r="N539" i="52"/>
  <c r="N365" i="52"/>
  <c r="N751" i="52"/>
  <c r="N361" i="52"/>
  <c r="N471" i="52"/>
  <c r="N603" i="52"/>
  <c r="N339" i="52"/>
  <c r="N363" i="52"/>
  <c r="N120" i="52"/>
  <c r="N11" i="52"/>
  <c r="N615" i="52"/>
  <c r="N262" i="52"/>
  <c r="N423" i="52"/>
  <c r="N320" i="52"/>
  <c r="N283" i="52"/>
  <c r="N533" i="52"/>
  <c r="N169" i="52"/>
  <c r="N281" i="52"/>
  <c r="N557" i="52"/>
  <c r="N274" i="52"/>
  <c r="N458" i="52"/>
  <c r="N594" i="52"/>
  <c r="N721" i="52"/>
  <c r="N214" i="52"/>
  <c r="N744" i="52"/>
  <c r="N86" i="52"/>
  <c r="N118" i="52"/>
  <c r="N649" i="52"/>
  <c r="N128" i="52"/>
  <c r="N333" i="52"/>
  <c r="N174" i="52"/>
  <c r="N367" i="52"/>
  <c r="N198" i="52"/>
  <c r="N53" i="52"/>
  <c r="N270" i="52"/>
  <c r="N755" i="52"/>
  <c r="N592" i="52"/>
  <c r="N222" i="52"/>
  <c r="N362" i="52"/>
  <c r="N371" i="52"/>
  <c r="N348" i="52"/>
  <c r="N373" i="52"/>
  <c r="N611" i="52"/>
  <c r="N99" i="52"/>
  <c r="N417" i="52"/>
  <c r="N509" i="52"/>
  <c r="N364" i="52"/>
  <c r="N522" i="52"/>
  <c r="N748" i="52"/>
  <c r="N334" i="52"/>
  <c r="N519" i="52"/>
  <c r="N71" i="52"/>
  <c r="N452" i="52"/>
  <c r="N139" i="52"/>
  <c r="N794" i="52"/>
  <c r="N338" i="52"/>
  <c r="N512" i="52"/>
  <c r="N301" i="52"/>
  <c r="N102" i="52"/>
  <c r="N93" i="52"/>
  <c r="N473" i="52"/>
  <c r="N551" i="52"/>
  <c r="N630" i="52"/>
  <c r="N694" i="52"/>
  <c r="N173" i="52"/>
  <c r="N524" i="52"/>
  <c r="N763" i="52"/>
  <c r="N435" i="52"/>
  <c r="N401" i="52"/>
  <c r="N379" i="52"/>
  <c r="N669" i="52"/>
  <c r="N404" i="52"/>
  <c r="N420" i="52"/>
  <c r="N319" i="52"/>
  <c r="N356" i="52"/>
  <c r="N600" i="52"/>
  <c r="N555" i="52"/>
  <c r="N451" i="52"/>
  <c r="N8" i="52"/>
  <c r="N582" i="52"/>
  <c r="N501" i="52"/>
  <c r="N98" i="52"/>
  <c r="N400" i="52"/>
  <c r="N753" i="52"/>
  <c r="N26" i="52"/>
  <c r="N267" i="52"/>
  <c r="N642" i="52"/>
  <c r="N741" i="52"/>
  <c r="N46" i="52"/>
  <c r="N48" i="52"/>
  <c r="N390" i="52"/>
  <c r="N329" i="52"/>
  <c r="N408" i="52"/>
  <c r="N774" i="52"/>
  <c r="N643" i="52"/>
  <c r="N126" i="52"/>
  <c r="N489" i="52"/>
  <c r="N393" i="52"/>
  <c r="N568" i="52"/>
  <c r="N460" i="52"/>
  <c r="N193" i="52"/>
  <c r="N260" i="52"/>
  <c r="N469" i="52"/>
  <c r="N498" i="52"/>
  <c r="N591" i="52"/>
  <c r="N85" i="52"/>
  <c r="N394" i="52"/>
  <c r="N278" i="52"/>
  <c r="N672" i="52"/>
  <c r="N228" i="52"/>
  <c r="N482" i="52"/>
  <c r="N531" i="52"/>
  <c r="N478" i="52"/>
  <c r="N247" i="52"/>
  <c r="N704" i="52"/>
  <c r="N55" i="52"/>
  <c r="N570" i="52"/>
  <c r="N31" i="52"/>
  <c r="N468" i="52"/>
  <c r="N525" i="52"/>
  <c r="N170" i="52"/>
  <c r="N624" i="52"/>
  <c r="N347" i="52"/>
  <c r="N668" i="52"/>
  <c r="N354" i="52"/>
  <c r="N651" i="52"/>
  <c r="N254" i="52"/>
  <c r="N310" i="52"/>
  <c r="N558" i="52"/>
  <c r="N25" i="52"/>
  <c r="N663" i="52"/>
  <c r="N384" i="52"/>
  <c r="N617" i="52"/>
  <c r="N619" i="52"/>
  <c r="N397" i="52"/>
  <c r="N657" i="52"/>
  <c r="N224" i="52"/>
  <c r="N226" i="52"/>
  <c r="N176" i="52"/>
  <c r="N641" i="52"/>
  <c r="N776" i="52"/>
  <c r="N442" i="52"/>
  <c r="N4" i="52"/>
  <c r="N114" i="52"/>
  <c r="N675" i="52"/>
  <c r="N449" i="52"/>
  <c r="N817" i="52"/>
  <c r="N91" i="52"/>
  <c r="N634" i="52"/>
  <c r="N714" i="52"/>
  <c r="N250" i="52"/>
  <c r="N297" i="52"/>
  <c r="N566" i="52"/>
  <c r="N538" i="52"/>
  <c r="N87" i="52"/>
  <c r="N496" i="52"/>
  <c r="N248" i="52"/>
  <c r="N396" i="52"/>
  <c r="N251" i="52"/>
  <c r="N599" i="52"/>
  <c r="N664" i="52"/>
  <c r="N14" i="52"/>
  <c r="N461" i="52"/>
  <c r="N622" i="52"/>
  <c r="N730" i="52"/>
  <c r="N528" i="52"/>
  <c r="N56" i="52"/>
  <c r="N499" i="52"/>
  <c r="N35" i="52"/>
  <c r="N610" i="52"/>
  <c r="N801" i="52"/>
  <c r="N564" i="52"/>
  <c r="N381" i="52"/>
  <c r="N660" i="52"/>
  <c r="N576" i="52"/>
  <c r="N376" i="52"/>
  <c r="N217" i="52"/>
  <c r="N205" i="52"/>
  <c r="N233" i="52"/>
  <c r="N701" i="52"/>
  <c r="N527" i="52"/>
  <c r="N800" i="52"/>
  <c r="N670" i="52"/>
  <c r="N440" i="52"/>
  <c r="N155" i="52"/>
  <c r="N806" i="52"/>
  <c r="N64" i="52"/>
  <c r="N648" i="52"/>
  <c r="N90" i="52"/>
  <c r="N385" i="52"/>
  <c r="N613" i="52"/>
  <c r="N605" i="52"/>
  <c r="N81" i="52"/>
  <c r="N802" i="52"/>
  <c r="N545" i="52"/>
  <c r="N632" i="52"/>
  <c r="N696" i="52"/>
  <c r="N82" i="52"/>
  <c r="N532" i="52"/>
  <c r="N75" i="52"/>
  <c r="N353" i="52"/>
  <c r="N805" i="52"/>
  <c r="N565" i="52"/>
  <c r="N585" i="52"/>
  <c r="N326" i="52"/>
  <c r="N325" i="52"/>
  <c r="N733" i="52"/>
  <c r="N554" i="52"/>
  <c r="N80" i="52"/>
  <c r="N213" i="52"/>
  <c r="N229" i="52"/>
  <c r="N412" i="52"/>
  <c r="N34" i="52"/>
  <c r="N230" i="52"/>
  <c r="N767" i="52"/>
  <c r="N269" i="52"/>
  <c r="N399" i="52"/>
  <c r="N106" i="52"/>
  <c r="N653" i="52"/>
  <c r="N268" i="52"/>
  <c r="N140" i="52"/>
  <c r="N548" i="52"/>
  <c r="N398" i="52"/>
  <c r="N775" i="52"/>
  <c r="N679" i="52"/>
  <c r="N116" i="52"/>
  <c r="N344" i="52"/>
  <c r="N202" i="52"/>
  <c r="N276" i="52"/>
  <c r="N804" i="52"/>
  <c r="N716" i="52"/>
  <c r="N67" i="52"/>
  <c r="N30" i="52"/>
  <c r="N556" i="52"/>
  <c r="N795" i="52"/>
  <c r="N735" i="52"/>
  <c r="N454" i="52"/>
  <c r="N628" i="52"/>
  <c r="N43" i="52"/>
  <c r="N271" i="52"/>
  <c r="N42" i="52"/>
  <c r="N63" i="52"/>
  <c r="N745" i="52"/>
  <c r="N505" i="52"/>
  <c r="N811" i="52"/>
  <c r="N181" i="52"/>
  <c r="N108" i="52"/>
  <c r="N345" i="52"/>
  <c r="N41" i="52"/>
  <c r="N717" i="52"/>
  <c r="N431" i="52"/>
  <c r="N97" i="52"/>
  <c r="N671" i="52"/>
  <c r="N725" i="52"/>
  <c r="N764" i="52"/>
  <c r="N77" i="52"/>
  <c r="N712" i="52"/>
  <c r="N346" i="52"/>
  <c r="N76" i="52"/>
  <c r="N718" i="52"/>
  <c r="N369" i="52"/>
  <c r="N157" i="52"/>
  <c r="N588" i="52"/>
  <c r="N237" i="52"/>
  <c r="N726" i="52"/>
  <c r="N673" i="52"/>
  <c r="N645" i="52"/>
  <c r="N69" i="52"/>
  <c r="N681" i="52"/>
  <c r="N494" i="52"/>
  <c r="N65" i="52"/>
  <c r="N122" i="52"/>
  <c r="N386" i="52"/>
  <c r="N153" i="52"/>
  <c r="N550" i="52"/>
  <c r="N225" i="52"/>
  <c r="N29" i="52"/>
  <c r="N516" i="52"/>
  <c r="N61" i="52"/>
  <c r="N343" i="52"/>
  <c r="N464" i="52"/>
  <c r="N143" i="52"/>
  <c r="N572" i="52"/>
  <c r="N182" i="52"/>
  <c r="N337" i="52"/>
  <c r="N307" i="52"/>
  <c r="N252" i="52"/>
  <c r="N133" i="52"/>
  <c r="N219" i="52"/>
  <c r="N27" i="52"/>
  <c r="N124" i="52"/>
  <c r="N47" i="52"/>
  <c r="N277" i="52"/>
  <c r="N693" i="52"/>
  <c r="N238" i="52"/>
  <c r="N521" i="52"/>
  <c r="N321" i="52"/>
  <c r="N631" i="52"/>
  <c r="N618" i="52"/>
  <c r="N713" i="52"/>
  <c r="N129" i="52"/>
  <c r="N625" i="52"/>
  <c r="N807" i="52"/>
  <c r="N135" i="52"/>
  <c r="N421" i="52"/>
  <c r="N674" i="52"/>
  <c r="N684" i="52"/>
  <c r="N294" i="52"/>
  <c r="N523" i="52"/>
  <c r="N772" i="52"/>
  <c r="N298" i="52"/>
  <c r="N292" i="52"/>
  <c r="N702" i="52"/>
  <c r="N51" i="52"/>
  <c r="N234" i="52"/>
  <c r="N308" i="52"/>
  <c r="N255" i="52"/>
  <c r="N574" i="52"/>
  <c r="N167" i="52"/>
  <c r="N724" i="52"/>
  <c r="N790" i="52"/>
  <c r="N579" i="52"/>
  <c r="N608" i="52"/>
  <c r="N372" i="52"/>
  <c r="N475" i="52"/>
  <c r="N742" i="52"/>
  <c r="N299" i="52"/>
  <c r="N296" i="52"/>
  <c r="N465" i="52"/>
  <c r="N304" i="52"/>
  <c r="N490" i="52"/>
  <c r="N289" i="52"/>
  <c r="N104" i="52"/>
  <c r="N149" i="52"/>
  <c r="N760" i="52"/>
  <c r="N602" i="52"/>
  <c r="N171" i="52"/>
  <c r="N491" i="52"/>
  <c r="N96" i="52"/>
  <c r="N665" i="52"/>
  <c r="N172" i="52"/>
  <c r="N439" i="52"/>
  <c r="N443" i="52"/>
  <c r="N577" i="52"/>
  <c r="N707" i="52"/>
  <c r="N258" i="52"/>
  <c r="N199" i="52"/>
  <c r="N658" i="52"/>
  <c r="N331" i="52"/>
  <c r="N186" i="52"/>
  <c r="N293" i="52"/>
  <c r="N52" i="52"/>
  <c r="N483" i="52"/>
  <c r="N437" i="52"/>
  <c r="N275" i="52"/>
  <c r="N429" i="52"/>
  <c r="N796" i="52"/>
  <c r="N636" i="52"/>
  <c r="N534" i="52"/>
  <c r="N633" i="52"/>
  <c r="N607" i="52"/>
  <c r="N419" i="52"/>
  <c r="N537" i="52"/>
  <c r="N89" i="52"/>
  <c r="N743" i="52"/>
  <c r="N44" i="52"/>
  <c r="N73" i="52"/>
  <c r="N761" i="52"/>
  <c r="N231" i="52"/>
  <c r="N287" i="52"/>
  <c r="N245" i="52"/>
  <c r="N425" i="52"/>
  <c r="N705" i="52"/>
  <c r="N290" i="52"/>
  <c r="N758" i="52"/>
  <c r="N803" i="52"/>
  <c r="N253" i="52"/>
  <c r="N455" i="52"/>
  <c r="N609" i="52"/>
  <c r="N680" i="52"/>
  <c r="N470" i="52"/>
  <c r="N130" i="52"/>
  <c r="N560" i="52"/>
  <c r="N441" i="52"/>
  <c r="N436" i="52"/>
  <c r="N746" i="52"/>
  <c r="N235" i="52"/>
  <c r="N422" i="52"/>
  <c r="N40" i="52"/>
  <c r="N635" i="52"/>
  <c r="N666" i="52"/>
  <c r="N201" i="52"/>
  <c r="N389" i="52"/>
  <c r="N731" i="52"/>
  <c r="N191" i="52"/>
  <c r="N590" i="52"/>
  <c r="N200" i="52"/>
  <c r="N340" i="52"/>
  <c r="N518" i="52"/>
  <c r="N164" i="52"/>
  <c r="N83" i="52"/>
  <c r="N562" i="52"/>
  <c r="N734" i="52"/>
  <c r="N511" i="52"/>
  <c r="N514" i="52"/>
  <c r="N446" i="52"/>
  <c r="N620" i="52"/>
  <c r="N242" i="52"/>
  <c r="N500" i="52"/>
  <c r="N206" i="52"/>
  <c r="N750" i="52"/>
  <c r="N342" i="52"/>
  <c r="N105" i="52"/>
  <c r="N273" i="52"/>
  <c r="N68" i="52"/>
  <c r="N689" i="52"/>
  <c r="N732" i="52"/>
  <c r="N28" i="52"/>
  <c r="N687" i="52"/>
  <c r="N241" i="52"/>
  <c r="N160" i="52"/>
  <c r="N54" i="52"/>
  <c r="N62" i="52"/>
  <c r="N330" i="52"/>
  <c r="N244" i="52"/>
  <c r="N740" i="52"/>
  <c r="N36" i="52"/>
  <c r="N659" i="52"/>
  <c r="N757" i="52"/>
  <c r="N192" i="52"/>
  <c r="N762" i="52"/>
  <c r="N708" i="52"/>
  <c r="N472" i="52"/>
  <c r="N462" i="52"/>
  <c r="N121" i="52"/>
  <c r="N50" i="52"/>
  <c r="N506" i="52"/>
  <c r="N38" i="52"/>
  <c r="N282" i="52"/>
  <c r="N300" i="52"/>
  <c r="N95" i="52"/>
  <c r="N236" i="52"/>
  <c r="N39" i="52"/>
  <c r="N187" i="52"/>
  <c r="N719" i="52"/>
  <c r="N786" i="52"/>
  <c r="N601" i="52"/>
  <c r="N88" i="52"/>
  <c r="N180" i="52"/>
  <c r="N691" i="52"/>
  <c r="N261" i="52"/>
  <c r="N563" i="52"/>
  <c r="N467" i="52"/>
  <c r="N335" i="52"/>
  <c r="N24" i="52"/>
  <c r="N418" i="52"/>
  <c r="N480" i="52"/>
  <c r="N759" i="52"/>
  <c r="N249" i="52"/>
  <c r="N520" i="52"/>
  <c r="N456" i="52"/>
  <c r="N22" i="52"/>
  <c r="N72" i="52"/>
  <c r="N32" i="52"/>
  <c r="N240" i="52"/>
  <c r="N486" i="52"/>
  <c r="N115" i="52"/>
  <c r="N698" i="52"/>
  <c r="N66" i="52"/>
  <c r="N445" i="52"/>
  <c r="N221" i="52"/>
  <c r="N368" i="52"/>
  <c r="N510" i="52"/>
  <c r="N131" i="52"/>
  <c r="N530" i="52"/>
  <c r="N285" i="52"/>
  <c r="N536" i="52"/>
  <c r="N813" i="52"/>
  <c r="N583" i="52"/>
  <c r="N211" i="52"/>
  <c r="N508" i="52"/>
  <c r="N19" i="52"/>
  <c r="N493" i="52"/>
  <c r="N92" i="52"/>
  <c r="N49" i="52"/>
  <c r="N692" i="52"/>
  <c r="N492" i="52"/>
  <c r="N246" i="52"/>
  <c r="N765" i="52"/>
  <c r="N626" i="52"/>
  <c r="N151" i="52"/>
  <c r="N444" i="52"/>
  <c r="N434" i="52"/>
  <c r="N571" i="52"/>
  <c r="N808" i="52"/>
  <c r="N688" i="52"/>
  <c r="N306" i="52"/>
  <c r="N243" i="52"/>
  <c r="N215" i="52"/>
  <c r="N177" i="52"/>
  <c r="N209" i="52"/>
  <c r="N111" i="52"/>
  <c r="N662" i="52"/>
  <c r="N466" i="52"/>
  <c r="N504" i="52"/>
  <c r="N768" i="52"/>
  <c r="N553" i="52"/>
  <c r="N586" i="52"/>
  <c r="N79" i="52"/>
  <c r="N305" i="52"/>
  <c r="N84" i="52"/>
  <c r="N232" i="52"/>
  <c r="N685" i="52"/>
  <c r="N185" i="52"/>
  <c r="N497" i="52"/>
  <c r="N100" i="52"/>
  <c r="N197" i="52"/>
  <c r="N357" i="52"/>
  <c r="N476" i="52"/>
  <c r="N542" i="52"/>
  <c r="N332" i="52"/>
  <c r="N515" i="52"/>
  <c r="N614" i="52"/>
  <c r="N203" i="52"/>
  <c r="N769" i="52"/>
  <c r="N57" i="52"/>
  <c r="N216" i="52"/>
  <c r="N113" i="52"/>
  <c r="N207" i="52"/>
  <c r="N752" i="52"/>
  <c r="N210" i="52"/>
  <c r="N567" i="52"/>
  <c r="N457" i="52"/>
  <c r="N479" i="52"/>
  <c r="N502" i="52"/>
  <c r="N683" i="52"/>
  <c r="N791" i="52"/>
  <c r="N686" i="52"/>
  <c r="N286" i="52"/>
  <c r="N587" i="52"/>
  <c r="N676" i="52"/>
  <c r="N559" i="52"/>
  <c r="N722" i="52"/>
  <c r="N616" i="52"/>
  <c r="N638" i="52"/>
  <c r="N279" i="52"/>
  <c r="N627" i="52"/>
  <c r="N391" i="52"/>
  <c r="N448" i="52"/>
  <c r="N284" i="52"/>
  <c r="N70" i="52"/>
  <c r="N477" i="52"/>
  <c r="N351" i="52"/>
  <c r="N405" i="52"/>
  <c r="N646" i="52"/>
  <c r="N540" i="52"/>
  <c r="N107" i="52"/>
  <c r="N513" i="52"/>
  <c r="N358" i="52"/>
  <c r="N629" i="52"/>
  <c r="N639" i="52"/>
  <c r="N427" i="52"/>
  <c r="N799" i="52"/>
  <c r="N18" i="52"/>
  <c r="N136" i="52"/>
  <c r="N709" i="52"/>
  <c r="N481" i="52"/>
  <c r="N406" i="52"/>
  <c r="N33" i="52"/>
  <c r="N162" i="52"/>
  <c r="N595" i="52"/>
  <c r="N163" i="52"/>
  <c r="N739" i="52"/>
  <c r="N256" i="52"/>
  <c r="N569" i="52"/>
  <c r="N395" i="52"/>
  <c r="N650" i="52"/>
  <c r="N264" i="52"/>
  <c r="N183" i="52"/>
  <c r="N288" i="52"/>
  <c r="N573" i="52"/>
  <c r="N370" i="52"/>
  <c r="N503" i="52"/>
  <c r="N189" i="52"/>
  <c r="N117" i="52"/>
  <c r="N387" i="52"/>
  <c r="N517" i="52"/>
  <c r="N584" i="52"/>
  <c r="N194" i="52"/>
  <c r="N484" i="52"/>
  <c r="N311" i="52"/>
  <c r="N17" i="52"/>
  <c r="N327" i="52"/>
  <c r="N644" i="52"/>
  <c r="N459" i="52"/>
  <c r="N291" i="52"/>
  <c r="N637" i="52"/>
  <c r="M134" i="52"/>
  <c r="M9" i="52"/>
  <c r="M816" i="52"/>
  <c r="M74" i="52"/>
  <c r="M101" i="52"/>
  <c r="M37" i="52"/>
  <c r="M623" i="52"/>
  <c r="M355" i="52"/>
  <c r="M165" i="52"/>
  <c r="M549" i="52"/>
  <c r="M150" i="52"/>
  <c r="M45" i="52"/>
  <c r="M78" i="52"/>
  <c r="M766" i="52"/>
  <c r="M596" i="52"/>
  <c r="M220" i="52"/>
  <c r="M535" i="52"/>
  <c r="M195" i="52"/>
  <c r="M581" i="52"/>
  <c r="M706" i="52"/>
  <c r="M447" i="52"/>
  <c r="M7" i="52"/>
  <c r="M12" i="52"/>
  <c r="M463" i="52"/>
  <c r="M747" i="52"/>
  <c r="M218" i="52"/>
  <c r="M485" i="52"/>
  <c r="M690" i="52"/>
  <c r="M677" i="52"/>
  <c r="M792" i="52"/>
  <c r="M682" i="52"/>
  <c r="M272" i="52"/>
  <c r="M223" i="52"/>
  <c r="M295" i="52"/>
  <c r="M409" i="52"/>
  <c r="M715" i="52"/>
  <c r="M809" i="52"/>
  <c r="M678" i="52"/>
  <c r="M736" i="52"/>
  <c r="M322" i="52"/>
  <c r="M145" i="52"/>
  <c r="M141" i="52"/>
  <c r="M125" i="52"/>
  <c r="M640" i="52"/>
  <c r="M127" i="52"/>
  <c r="M15" i="52"/>
  <c r="M529" i="52"/>
  <c r="M597" i="52"/>
  <c r="M598" i="52"/>
  <c r="M507" i="52"/>
  <c r="M123" i="52"/>
  <c r="M661" i="52"/>
  <c r="M652" i="52"/>
  <c r="M375" i="52"/>
  <c r="M175" i="52"/>
  <c r="M575" i="52"/>
  <c r="M424" i="52"/>
  <c r="M426" i="52"/>
  <c r="M697" i="52"/>
  <c r="M438" i="52"/>
  <c r="M710" i="52"/>
  <c r="M184" i="52"/>
  <c r="M654" i="52"/>
  <c r="M414" i="52"/>
  <c r="M23" i="52"/>
  <c r="M580" i="52"/>
  <c r="M112" i="52"/>
  <c r="M59" i="52"/>
  <c r="M309" i="52"/>
  <c r="M450" i="52"/>
  <c r="M593" i="52"/>
  <c r="M16" i="52"/>
  <c r="M20" i="52"/>
  <c r="M190" i="52"/>
  <c r="M392" i="52"/>
  <c r="M621" i="52"/>
  <c r="M336" i="52"/>
  <c r="M318" i="52"/>
  <c r="M612" i="52"/>
  <c r="M728" i="52"/>
  <c r="M749" i="52"/>
  <c r="M723" i="52"/>
  <c r="M695" i="52"/>
  <c r="M302" i="52"/>
  <c r="M785" i="52"/>
  <c r="M378" i="52"/>
  <c r="M317" i="52"/>
  <c r="M814" i="52"/>
  <c r="M495" i="52"/>
  <c r="M754" i="52"/>
  <c r="M699" i="52"/>
  <c r="M259" i="52"/>
  <c r="M109" i="52"/>
  <c r="M132" i="52"/>
  <c r="M212" i="52"/>
  <c r="M103" i="52"/>
  <c r="M416" i="52"/>
  <c r="M411" i="52"/>
  <c r="M770" i="52"/>
  <c r="M541" i="52"/>
  <c r="M544" i="52"/>
  <c r="M547" i="52"/>
  <c r="M561" i="52"/>
  <c r="M374" i="52"/>
  <c r="M407" i="52"/>
  <c r="M303" i="52"/>
  <c r="M543" i="52"/>
  <c r="M263" i="52"/>
  <c r="M359" i="52"/>
  <c r="M323" i="52"/>
  <c r="M552" i="52"/>
  <c r="M314" i="52"/>
  <c r="M21" i="52"/>
  <c r="M737" i="52"/>
  <c r="M433" i="52"/>
  <c r="M655" i="52"/>
  <c r="M402" i="52"/>
  <c r="M158" i="52"/>
  <c r="M781" i="52"/>
  <c r="M413" i="52"/>
  <c r="M377" i="52"/>
  <c r="M366" i="52"/>
  <c r="M60" i="52"/>
  <c r="M604" i="52"/>
  <c r="M188" i="52"/>
  <c r="M315" i="52"/>
  <c r="M166" i="52"/>
  <c r="M546" i="52"/>
  <c r="M647" i="52"/>
  <c r="M142" i="52"/>
  <c r="M432" i="52"/>
  <c r="M526" i="52"/>
  <c r="M700" i="52"/>
  <c r="M3" i="52"/>
  <c r="M313" i="52"/>
  <c r="M144" i="52"/>
  <c r="M324" i="52"/>
  <c r="M780" i="52"/>
  <c r="M415" i="52"/>
  <c r="M428" i="52"/>
  <c r="M430" i="52"/>
  <c r="M227" i="52"/>
  <c r="M94" i="52"/>
  <c r="M156" i="52"/>
  <c r="M360" i="52"/>
  <c r="M793" i="52"/>
  <c r="M779" i="52"/>
  <c r="M410" i="52"/>
  <c r="M788" i="52"/>
  <c r="M280" i="52"/>
  <c r="M341" i="52"/>
  <c r="M58" i="52"/>
  <c r="M703" i="52"/>
  <c r="M810" i="52"/>
  <c r="M778" i="52"/>
  <c r="M782" i="52"/>
  <c r="M159" i="52"/>
  <c r="M316" i="52"/>
  <c r="M606" i="52"/>
  <c r="M488" i="52"/>
  <c r="M380" i="52"/>
  <c r="M798" i="52"/>
  <c r="M777" i="52"/>
  <c r="M146" i="52"/>
  <c r="M257" i="52"/>
  <c r="M178" i="52"/>
  <c r="M783" i="52"/>
  <c r="M720" i="52"/>
  <c r="M208" i="52"/>
  <c r="M196" i="52"/>
  <c r="M179" i="52"/>
  <c r="M789" i="52"/>
  <c r="M152" i="52"/>
  <c r="M204" i="52"/>
  <c r="M161" i="52"/>
  <c r="M784" i="52"/>
  <c r="M773" i="52"/>
  <c r="M797" i="52"/>
  <c r="M729" i="52"/>
  <c r="M147" i="52"/>
  <c r="M265" i="52"/>
  <c r="M656" i="52"/>
  <c r="M667" i="52"/>
  <c r="M382" i="52"/>
  <c r="M349" i="52"/>
  <c r="M738" i="52"/>
  <c r="M589" i="52"/>
  <c r="M388" i="52"/>
  <c r="M239" i="52"/>
  <c r="M711" i="52"/>
  <c r="M578" i="52"/>
  <c r="M487" i="52"/>
  <c r="M756" i="52"/>
  <c r="M383" i="52"/>
  <c r="M148" i="52"/>
  <c r="M815" i="52"/>
  <c r="M10" i="52"/>
  <c r="M5" i="52"/>
  <c r="M727" i="52"/>
  <c r="M6" i="52"/>
  <c r="M138" i="52"/>
  <c r="M119" i="52"/>
  <c r="M352" i="52"/>
  <c r="M266" i="52"/>
  <c r="M328" i="52"/>
  <c r="M771" i="52"/>
  <c r="M13" i="52"/>
  <c r="M474" i="52"/>
  <c r="M312" i="52"/>
  <c r="M453" i="52"/>
  <c r="M168" i="52"/>
  <c r="M812" i="52"/>
  <c r="M154" i="52"/>
  <c r="M350" i="52"/>
  <c r="M403" i="52"/>
  <c r="M787" i="52"/>
  <c r="M110" i="52"/>
  <c r="M137" i="52"/>
  <c r="M539" i="52"/>
  <c r="M365" i="52"/>
  <c r="M751" i="52"/>
  <c r="M361" i="52"/>
  <c r="M471" i="52"/>
  <c r="M603" i="52"/>
  <c r="M339" i="52"/>
  <c r="M363" i="52"/>
  <c r="M120" i="52"/>
  <c r="M11" i="52"/>
  <c r="M615" i="52"/>
  <c r="M262" i="52"/>
  <c r="M423" i="52"/>
  <c r="M320" i="52"/>
  <c r="M283" i="52"/>
  <c r="M533" i="52"/>
  <c r="M169" i="52"/>
  <c r="M281" i="52"/>
  <c r="M557" i="52"/>
  <c r="M274" i="52"/>
  <c r="M458" i="52"/>
  <c r="M594" i="52"/>
  <c r="M721" i="52"/>
  <c r="M214" i="52"/>
  <c r="M744" i="52"/>
  <c r="M86" i="52"/>
  <c r="M118" i="52"/>
  <c r="M649" i="52"/>
  <c r="M128" i="52"/>
  <c r="M333" i="52"/>
  <c r="M174" i="52"/>
  <c r="M367" i="52"/>
  <c r="M198" i="52"/>
  <c r="M53" i="52"/>
  <c r="M270" i="52"/>
  <c r="M755" i="52"/>
  <c r="M592" i="52"/>
  <c r="M222" i="52"/>
  <c r="M362" i="52"/>
  <c r="M371" i="52"/>
  <c r="M348" i="52"/>
  <c r="M373" i="52"/>
  <c r="M611" i="52"/>
  <c r="M99" i="52"/>
  <c r="M417" i="52"/>
  <c r="M509" i="52"/>
  <c r="M364" i="52"/>
  <c r="M522" i="52"/>
  <c r="M748" i="52"/>
  <c r="M334" i="52"/>
  <c r="M519" i="52"/>
  <c r="M71" i="52"/>
  <c r="M452" i="52"/>
  <c r="M139" i="52"/>
  <c r="M794" i="52"/>
  <c r="M338" i="52"/>
  <c r="M512" i="52"/>
  <c r="M301" i="52"/>
  <c r="M102" i="52"/>
  <c r="M93" i="52"/>
  <c r="M473" i="52"/>
  <c r="M551" i="52"/>
  <c r="M630" i="52"/>
  <c r="M694" i="52"/>
  <c r="M173" i="52"/>
  <c r="M524" i="52"/>
  <c r="M763" i="52"/>
  <c r="M435" i="52"/>
  <c r="M401" i="52"/>
  <c r="M379" i="52"/>
  <c r="M669" i="52"/>
  <c r="M404" i="52"/>
  <c r="M420" i="52"/>
  <c r="M319" i="52"/>
  <c r="M356" i="52"/>
  <c r="M600" i="52"/>
  <c r="M555" i="52"/>
  <c r="M451" i="52"/>
  <c r="M8" i="52"/>
  <c r="M582" i="52"/>
  <c r="M501" i="52"/>
  <c r="M98" i="52"/>
  <c r="M400" i="52"/>
  <c r="M753" i="52"/>
  <c r="M26" i="52"/>
  <c r="M267" i="52"/>
  <c r="M642" i="52"/>
  <c r="M741" i="52"/>
  <c r="M46" i="52"/>
  <c r="M48" i="52"/>
  <c r="M390" i="52"/>
  <c r="M329" i="52"/>
  <c r="M408" i="52"/>
  <c r="M774" i="52"/>
  <c r="M643" i="52"/>
  <c r="M126" i="52"/>
  <c r="M489" i="52"/>
  <c r="M393" i="52"/>
  <c r="M568" i="52"/>
  <c r="M460" i="52"/>
  <c r="M193" i="52"/>
  <c r="M260" i="52"/>
  <c r="M469" i="52"/>
  <c r="M498" i="52"/>
  <c r="M591" i="52"/>
  <c r="M85" i="52"/>
  <c r="M394" i="52"/>
  <c r="M278" i="52"/>
  <c r="M672" i="52"/>
  <c r="M228" i="52"/>
  <c r="M482" i="52"/>
  <c r="M531" i="52"/>
  <c r="M478" i="52"/>
  <c r="M247" i="52"/>
  <c r="M704" i="52"/>
  <c r="M55" i="52"/>
  <c r="M570" i="52"/>
  <c r="M31" i="52"/>
  <c r="M468" i="52"/>
  <c r="M525" i="52"/>
  <c r="M170" i="52"/>
  <c r="M624" i="52"/>
  <c r="M347" i="52"/>
  <c r="M668" i="52"/>
  <c r="M354" i="52"/>
  <c r="M651" i="52"/>
  <c r="M254" i="52"/>
  <c r="M310" i="52"/>
  <c r="M558" i="52"/>
  <c r="M25" i="52"/>
  <c r="M663" i="52"/>
  <c r="M384" i="52"/>
  <c r="M617" i="52"/>
  <c r="M619" i="52"/>
  <c r="M397" i="52"/>
  <c r="M657" i="52"/>
  <c r="M224" i="52"/>
  <c r="M226" i="52"/>
  <c r="M176" i="52"/>
  <c r="M641" i="52"/>
  <c r="M776" i="52"/>
  <c r="M442" i="52"/>
  <c r="M4" i="52"/>
  <c r="M114" i="52"/>
  <c r="M675" i="52"/>
  <c r="M449" i="52"/>
  <c r="M817" i="52"/>
  <c r="M91" i="52"/>
  <c r="M634" i="52"/>
  <c r="M714" i="52"/>
  <c r="M250" i="52"/>
  <c r="M297" i="52"/>
  <c r="M566" i="52"/>
  <c r="M538" i="52"/>
  <c r="M87" i="52"/>
  <c r="M496" i="52"/>
  <c r="M248" i="52"/>
  <c r="M396" i="52"/>
  <c r="M251" i="52"/>
  <c r="M599" i="52"/>
  <c r="M664" i="52"/>
  <c r="M14" i="52"/>
  <c r="M461" i="52"/>
  <c r="M622" i="52"/>
  <c r="M730" i="52"/>
  <c r="M528" i="52"/>
  <c r="M56" i="52"/>
  <c r="M499" i="52"/>
  <c r="M35" i="52"/>
  <c r="M610" i="52"/>
  <c r="M801" i="52"/>
  <c r="M564" i="52"/>
  <c r="M381" i="52"/>
  <c r="M660" i="52"/>
  <c r="M576" i="52"/>
  <c r="M376" i="52"/>
  <c r="M217" i="52"/>
  <c r="M205" i="52"/>
  <c r="M233" i="52"/>
  <c r="M701" i="52"/>
  <c r="M527" i="52"/>
  <c r="M800" i="52"/>
  <c r="M670" i="52"/>
  <c r="M440" i="52"/>
  <c r="M155" i="52"/>
  <c r="M806" i="52"/>
  <c r="M64" i="52"/>
  <c r="M648" i="52"/>
  <c r="M90" i="52"/>
  <c r="M385" i="52"/>
  <c r="M613" i="52"/>
  <c r="M605" i="52"/>
  <c r="M81" i="52"/>
  <c r="M802" i="52"/>
  <c r="M545" i="52"/>
  <c r="M632" i="52"/>
  <c r="M696" i="52"/>
  <c r="M82" i="52"/>
  <c r="M532" i="52"/>
  <c r="M75" i="52"/>
  <c r="M353" i="52"/>
  <c r="M805" i="52"/>
  <c r="M565" i="52"/>
  <c r="M585" i="52"/>
  <c r="M326" i="52"/>
  <c r="M325" i="52"/>
  <c r="M733" i="52"/>
  <c r="M554" i="52"/>
  <c r="M80" i="52"/>
  <c r="M213" i="52"/>
  <c r="M229" i="52"/>
  <c r="M412" i="52"/>
  <c r="M34" i="52"/>
  <c r="M230" i="52"/>
  <c r="M767" i="52"/>
  <c r="M269" i="52"/>
  <c r="M399" i="52"/>
  <c r="M106" i="52"/>
  <c r="M653" i="52"/>
  <c r="M268" i="52"/>
  <c r="M140" i="52"/>
  <c r="M548" i="52"/>
  <c r="M398" i="52"/>
  <c r="M775" i="52"/>
  <c r="M679" i="52"/>
  <c r="M116" i="52"/>
  <c r="M344" i="52"/>
  <c r="M202" i="52"/>
  <c r="M276" i="52"/>
  <c r="M804" i="52"/>
  <c r="M716" i="52"/>
  <c r="M67" i="52"/>
  <c r="M30" i="52"/>
  <c r="M556" i="52"/>
  <c r="M795" i="52"/>
  <c r="M735" i="52"/>
  <c r="M454" i="52"/>
  <c r="M628" i="52"/>
  <c r="M43" i="52"/>
  <c r="M271" i="52"/>
  <c r="M42" i="52"/>
  <c r="M63" i="52"/>
  <c r="M745" i="52"/>
  <c r="M505" i="52"/>
  <c r="M811" i="52"/>
  <c r="M181" i="52"/>
  <c r="M108" i="52"/>
  <c r="M345" i="52"/>
  <c r="M41" i="52"/>
  <c r="M717" i="52"/>
  <c r="M431" i="52"/>
  <c r="M97" i="52"/>
  <c r="M671" i="52"/>
  <c r="M725" i="52"/>
  <c r="M764" i="52"/>
  <c r="M77" i="52"/>
  <c r="M712" i="52"/>
  <c r="M346" i="52"/>
  <c r="M76" i="52"/>
  <c r="M718" i="52"/>
  <c r="M369" i="52"/>
  <c r="M157" i="52"/>
  <c r="M588" i="52"/>
  <c r="M237" i="52"/>
  <c r="M726" i="52"/>
  <c r="M673" i="52"/>
  <c r="M645" i="52"/>
  <c r="M69" i="52"/>
  <c r="M681" i="52"/>
  <c r="M494" i="52"/>
  <c r="M65" i="52"/>
  <c r="M122" i="52"/>
  <c r="M386" i="52"/>
  <c r="M153" i="52"/>
  <c r="M550" i="52"/>
  <c r="M225" i="52"/>
  <c r="M29" i="52"/>
  <c r="M516" i="52"/>
  <c r="M61" i="52"/>
  <c r="M343" i="52"/>
  <c r="M464" i="52"/>
  <c r="M143" i="52"/>
  <c r="M572" i="52"/>
  <c r="M182" i="52"/>
  <c r="M337" i="52"/>
  <c r="M307" i="52"/>
  <c r="M252" i="52"/>
  <c r="M133" i="52"/>
  <c r="M219" i="52"/>
  <c r="M27" i="52"/>
  <c r="M124" i="52"/>
  <c r="M47" i="52"/>
  <c r="M277" i="52"/>
  <c r="M693" i="52"/>
  <c r="M238" i="52"/>
  <c r="M521" i="52"/>
  <c r="M321" i="52"/>
  <c r="M631" i="52"/>
  <c r="M618" i="52"/>
  <c r="M713" i="52"/>
  <c r="M129" i="52"/>
  <c r="M625" i="52"/>
  <c r="M807" i="52"/>
  <c r="M135" i="52"/>
  <c r="M421" i="52"/>
  <c r="M674" i="52"/>
  <c r="M684" i="52"/>
  <c r="M294" i="52"/>
  <c r="M523" i="52"/>
  <c r="M772" i="52"/>
  <c r="M298" i="52"/>
  <c r="M292" i="52"/>
  <c r="M702" i="52"/>
  <c r="M51" i="52"/>
  <c r="M234" i="52"/>
  <c r="M308" i="52"/>
  <c r="M255" i="52"/>
  <c r="M574" i="52"/>
  <c r="M167" i="52"/>
  <c r="M724" i="52"/>
  <c r="M790" i="52"/>
  <c r="M579" i="52"/>
  <c r="M608" i="52"/>
  <c r="M372" i="52"/>
  <c r="M475" i="52"/>
  <c r="M742" i="52"/>
  <c r="M299" i="52"/>
  <c r="M296" i="52"/>
  <c r="M465" i="52"/>
  <c r="M304" i="52"/>
  <c r="M490" i="52"/>
  <c r="M289" i="52"/>
  <c r="M104" i="52"/>
  <c r="M149" i="52"/>
  <c r="M760" i="52"/>
  <c r="M602" i="52"/>
  <c r="M171" i="52"/>
  <c r="M491" i="52"/>
  <c r="M96" i="52"/>
  <c r="M665" i="52"/>
  <c r="M172" i="52"/>
  <c r="M439" i="52"/>
  <c r="M443" i="52"/>
  <c r="M577" i="52"/>
  <c r="M707" i="52"/>
  <c r="M258" i="52"/>
  <c r="M199" i="52"/>
  <c r="M658" i="52"/>
  <c r="M331" i="52"/>
  <c r="M186" i="52"/>
  <c r="M293" i="52"/>
  <c r="M52" i="52"/>
  <c r="M483" i="52"/>
  <c r="M437" i="52"/>
  <c r="M275" i="52"/>
  <c r="M429" i="52"/>
  <c r="M796" i="52"/>
  <c r="M636" i="52"/>
  <c r="M534" i="52"/>
  <c r="M633" i="52"/>
  <c r="M607" i="52"/>
  <c r="M419" i="52"/>
  <c r="M537" i="52"/>
  <c r="M89" i="52"/>
  <c r="M743" i="52"/>
  <c r="M44" i="52"/>
  <c r="M73" i="52"/>
  <c r="M761" i="52"/>
  <c r="M231" i="52"/>
  <c r="M287" i="52"/>
  <c r="M245" i="52"/>
  <c r="M425" i="52"/>
  <c r="M705" i="52"/>
  <c r="M290" i="52"/>
  <c r="M758" i="52"/>
  <c r="M803" i="52"/>
  <c r="M253" i="52"/>
  <c r="M455" i="52"/>
  <c r="M609" i="52"/>
  <c r="M680" i="52"/>
  <c r="M470" i="52"/>
  <c r="M130" i="52"/>
  <c r="M560" i="52"/>
  <c r="M441" i="52"/>
  <c r="M436" i="52"/>
  <c r="M746" i="52"/>
  <c r="M235" i="52"/>
  <c r="M422" i="52"/>
  <c r="M40" i="52"/>
  <c r="M635" i="52"/>
  <c r="M666" i="52"/>
  <c r="M201" i="52"/>
  <c r="M389" i="52"/>
  <c r="M731" i="52"/>
  <c r="M191" i="52"/>
  <c r="M590" i="52"/>
  <c r="M200" i="52"/>
  <c r="M340" i="52"/>
  <c r="M518" i="52"/>
  <c r="M164" i="52"/>
  <c r="M83" i="52"/>
  <c r="M562" i="52"/>
  <c r="M734" i="52"/>
  <c r="M511" i="52"/>
  <c r="M514" i="52"/>
  <c r="M446" i="52"/>
  <c r="M620" i="52"/>
  <c r="M242" i="52"/>
  <c r="M500" i="52"/>
  <c r="M206" i="52"/>
  <c r="M750" i="52"/>
  <c r="M342" i="52"/>
  <c r="M105" i="52"/>
  <c r="M273" i="52"/>
  <c r="M68" i="52"/>
  <c r="M689" i="52"/>
  <c r="M732" i="52"/>
  <c r="M28" i="52"/>
  <c r="M687" i="52"/>
  <c r="M241" i="52"/>
  <c r="M160" i="52"/>
  <c r="M54" i="52"/>
  <c r="M62" i="52"/>
  <c r="M330" i="52"/>
  <c r="M244" i="52"/>
  <c r="M740" i="52"/>
  <c r="M36" i="52"/>
  <c r="M659" i="52"/>
  <c r="M757" i="52"/>
  <c r="M192" i="52"/>
  <c r="M762" i="52"/>
  <c r="M708" i="52"/>
  <c r="M472" i="52"/>
  <c r="M462" i="52"/>
  <c r="M121" i="52"/>
  <c r="M50" i="52"/>
  <c r="M506" i="52"/>
  <c r="M38" i="52"/>
  <c r="M282" i="52"/>
  <c r="M300" i="52"/>
  <c r="M95" i="52"/>
  <c r="M236" i="52"/>
  <c r="M39" i="52"/>
  <c r="M187" i="52"/>
  <c r="M719" i="52"/>
  <c r="M786" i="52"/>
  <c r="M601" i="52"/>
  <c r="M88" i="52"/>
  <c r="M180" i="52"/>
  <c r="M691" i="52"/>
  <c r="M261" i="52"/>
  <c r="M563" i="52"/>
  <c r="M467" i="52"/>
  <c r="M335" i="52"/>
  <c r="M24" i="52"/>
  <c r="M418" i="52"/>
  <c r="M480" i="52"/>
  <c r="M759" i="52"/>
  <c r="M249" i="52"/>
  <c r="M520" i="52"/>
  <c r="M456" i="52"/>
  <c r="M22" i="52"/>
  <c r="M72" i="52"/>
  <c r="M32" i="52"/>
  <c r="M240" i="52"/>
  <c r="M486" i="52"/>
  <c r="M115" i="52"/>
  <c r="M698" i="52"/>
  <c r="M66" i="52"/>
  <c r="M445" i="52"/>
  <c r="M221" i="52"/>
  <c r="M368" i="52"/>
  <c r="M510" i="52"/>
  <c r="M131" i="52"/>
  <c r="M530" i="52"/>
  <c r="M285" i="52"/>
  <c r="M536" i="52"/>
  <c r="M813" i="52"/>
  <c r="M583" i="52"/>
  <c r="M211" i="52"/>
  <c r="M508" i="52"/>
  <c r="M19" i="52"/>
  <c r="M493" i="52"/>
  <c r="M92" i="52"/>
  <c r="M49" i="52"/>
  <c r="M692" i="52"/>
  <c r="M492" i="52"/>
  <c r="M246" i="52"/>
  <c r="M765" i="52"/>
  <c r="M626" i="52"/>
  <c r="M151" i="52"/>
  <c r="M444" i="52"/>
  <c r="M434" i="52"/>
  <c r="M571" i="52"/>
  <c r="M808" i="52"/>
  <c r="M688" i="52"/>
  <c r="M306" i="52"/>
  <c r="M243" i="52"/>
  <c r="M215" i="52"/>
  <c r="M177" i="52"/>
  <c r="M209" i="52"/>
  <c r="M111" i="52"/>
  <c r="M662" i="52"/>
  <c r="M466" i="52"/>
  <c r="M504" i="52"/>
  <c r="M768" i="52"/>
  <c r="M553" i="52"/>
  <c r="M586" i="52"/>
  <c r="M79" i="52"/>
  <c r="M305" i="52"/>
  <c r="M84" i="52"/>
  <c r="M232" i="52"/>
  <c r="M685" i="52"/>
  <c r="M185" i="52"/>
  <c r="M497" i="52"/>
  <c r="M100" i="52"/>
  <c r="M197" i="52"/>
  <c r="M357" i="52"/>
  <c r="M476" i="52"/>
  <c r="M542" i="52"/>
  <c r="M332" i="52"/>
  <c r="M515" i="52"/>
  <c r="M614" i="52"/>
  <c r="M203" i="52"/>
  <c r="M769" i="52"/>
  <c r="M57" i="52"/>
  <c r="M216" i="52"/>
  <c r="M113" i="52"/>
  <c r="M207" i="52"/>
  <c r="M752" i="52"/>
  <c r="M210" i="52"/>
  <c r="M567" i="52"/>
  <c r="M457" i="52"/>
  <c r="M479" i="52"/>
  <c r="M502" i="52"/>
  <c r="M683" i="52"/>
  <c r="M791" i="52"/>
  <c r="M686" i="52"/>
  <c r="M286" i="52"/>
  <c r="M587" i="52"/>
  <c r="M676" i="52"/>
  <c r="M559" i="52"/>
  <c r="M722" i="52"/>
  <c r="M616" i="52"/>
  <c r="M638" i="52"/>
  <c r="M279" i="52"/>
  <c r="M627" i="52"/>
  <c r="M391" i="52"/>
  <c r="M448" i="52"/>
  <c r="M284" i="52"/>
  <c r="M70" i="52"/>
  <c r="M477" i="52"/>
  <c r="M351" i="52"/>
  <c r="M405" i="52"/>
  <c r="M646" i="52"/>
  <c r="M540" i="52"/>
  <c r="M107" i="52"/>
  <c r="M513" i="52"/>
  <c r="M358" i="52"/>
  <c r="M629" i="52"/>
  <c r="M639" i="52"/>
  <c r="M427" i="52"/>
  <c r="M799" i="52"/>
  <c r="M18" i="52"/>
  <c r="M136" i="52"/>
  <c r="M709" i="52"/>
  <c r="M481" i="52"/>
  <c r="M406" i="52"/>
  <c r="M33" i="52"/>
  <c r="M162" i="52"/>
  <c r="M595" i="52"/>
  <c r="M163" i="52"/>
  <c r="M739" i="52"/>
  <c r="M256" i="52"/>
  <c r="M569" i="52"/>
  <c r="M395" i="52"/>
  <c r="M650" i="52"/>
  <c r="M264" i="52"/>
  <c r="M183" i="52"/>
  <c r="M288" i="52"/>
  <c r="M573" i="52"/>
  <c r="M370" i="52"/>
  <c r="M503" i="52"/>
  <c r="M189" i="52"/>
  <c r="M117" i="52"/>
  <c r="M387" i="52"/>
  <c r="M517" i="52"/>
  <c r="M584" i="52"/>
  <c r="M194" i="52"/>
  <c r="M484" i="52"/>
  <c r="M311" i="52"/>
  <c r="M17" i="52"/>
  <c r="M327" i="52"/>
  <c r="M644" i="52"/>
  <c r="M459" i="52"/>
  <c r="M291" i="52"/>
  <c r="M637" i="52"/>
  <c r="F310" i="52"/>
  <c r="F531" i="52"/>
  <c r="F393" i="52"/>
  <c r="F390" i="52"/>
  <c r="F12" i="52"/>
  <c r="F437" i="52"/>
  <c r="F135" i="52"/>
  <c r="F550" i="52"/>
  <c r="F645" i="52"/>
  <c r="F764" i="52"/>
  <c r="F679" i="52"/>
  <c r="F767" i="52"/>
  <c r="F345" i="52"/>
  <c r="F613" i="52"/>
  <c r="F385" i="52"/>
  <c r="F670" i="52"/>
  <c r="F610" i="52"/>
  <c r="F730" i="52"/>
  <c r="F176" i="52"/>
  <c r="F354" i="52"/>
  <c r="F624" i="52"/>
  <c r="F170" i="52"/>
  <c r="F247" i="52"/>
  <c r="F469" i="52"/>
  <c r="F489" i="52"/>
  <c r="F98" i="52"/>
  <c r="F451" i="52"/>
  <c r="F763" i="52"/>
  <c r="F551" i="52"/>
  <c r="F611" i="52"/>
  <c r="F174" i="52"/>
  <c r="F274" i="52"/>
  <c r="F262" i="52"/>
  <c r="F615" i="52"/>
  <c r="F751" i="52"/>
  <c r="F470" i="52"/>
  <c r="F245" i="52"/>
  <c r="F447" i="52"/>
  <c r="F581" i="52"/>
  <c r="F195" i="52"/>
  <c r="F220" i="52"/>
  <c r="F78" i="52"/>
  <c r="F165" i="52"/>
  <c r="F355" i="52"/>
  <c r="F623" i="52"/>
  <c r="F37" i="52"/>
  <c r="F101" i="52"/>
  <c r="F74" i="52"/>
  <c r="F816" i="52"/>
  <c r="F9" i="52"/>
  <c r="F134" i="52"/>
  <c r="F534" i="52"/>
  <c r="F429" i="52"/>
  <c r="F298" i="52"/>
  <c r="F82" i="52"/>
  <c r="F5" i="52"/>
  <c r="F815" i="52"/>
  <c r="F147" i="52"/>
  <c r="F517" i="52"/>
  <c r="F279" i="52"/>
  <c r="F772" i="52"/>
  <c r="F684" i="52"/>
  <c r="F133" i="52"/>
  <c r="F464" i="52"/>
  <c r="F681" i="52"/>
  <c r="F716" i="52"/>
  <c r="F267" i="52"/>
  <c r="F484" i="52"/>
  <c r="F595" i="52"/>
  <c r="F476" i="52"/>
  <c r="F685" i="52"/>
  <c r="F121" i="52"/>
  <c r="F164" i="52"/>
  <c r="F590" i="52"/>
  <c r="F275" i="52"/>
  <c r="F665" i="52"/>
  <c r="F760" i="52"/>
  <c r="F149" i="52"/>
  <c r="F289" i="52"/>
  <c r="F127" i="52"/>
  <c r="F117" i="52"/>
  <c r="F106" i="52"/>
  <c r="F612" i="52"/>
  <c r="F593" i="52"/>
  <c r="F284" i="52"/>
  <c r="F207" i="52"/>
  <c r="F542" i="52"/>
  <c r="F553" i="52"/>
  <c r="F808" i="52"/>
  <c r="F22" i="52"/>
  <c r="F803" i="52"/>
  <c r="F790" i="52"/>
  <c r="F807" i="52"/>
  <c r="F795" i="52"/>
  <c r="F804" i="52"/>
  <c r="F805" i="52"/>
  <c r="F802" i="52"/>
  <c r="F806" i="52"/>
  <c r="F800" i="52"/>
  <c r="F95" i="52"/>
  <c r="F540" i="52"/>
  <c r="F353" i="52"/>
  <c r="F155" i="52"/>
  <c r="F56" i="52"/>
  <c r="F642" i="52"/>
  <c r="F592" i="52"/>
  <c r="F86" i="52"/>
  <c r="F603" i="52"/>
  <c r="F352" i="52"/>
  <c r="F400" i="52"/>
  <c r="F420" i="52"/>
  <c r="F334" i="52"/>
  <c r="F748" i="52"/>
  <c r="F417" i="52"/>
  <c r="F214" i="52"/>
  <c r="F557" i="52"/>
  <c r="F283" i="52"/>
  <c r="F320" i="52"/>
  <c r="F471" i="52"/>
  <c r="F539" i="52"/>
  <c r="F787" i="52"/>
  <c r="F350" i="52"/>
  <c r="F812" i="52"/>
  <c r="F453" i="52"/>
  <c r="F312" i="52"/>
  <c r="F474" i="52"/>
  <c r="F328" i="52"/>
  <c r="F119" i="52"/>
  <c r="F148" i="52"/>
  <c r="F487" i="52"/>
  <c r="F578" i="52"/>
  <c r="F711" i="52"/>
  <c r="F239" i="52"/>
  <c r="F388" i="52"/>
  <c r="F589" i="52"/>
  <c r="F738" i="52"/>
  <c r="F382" i="52"/>
  <c r="F667" i="52"/>
  <c r="F656" i="52"/>
  <c r="F729" i="52"/>
  <c r="F797" i="52"/>
  <c r="F784" i="52"/>
  <c r="F204" i="52"/>
  <c r="F152" i="52"/>
  <c r="F789" i="52"/>
  <c r="F179" i="52"/>
  <c r="F196" i="52"/>
  <c r="F208" i="52"/>
  <c r="F720" i="52"/>
  <c r="F783" i="52"/>
  <c r="F146" i="52"/>
  <c r="F777" i="52"/>
  <c r="F798" i="52"/>
  <c r="F380" i="52"/>
  <c r="F606" i="52"/>
  <c r="F159" i="52"/>
  <c r="F782" i="52"/>
  <c r="F778" i="52"/>
  <c r="F810" i="52"/>
  <c r="F703" i="52"/>
  <c r="F788" i="52"/>
  <c r="F410" i="52"/>
  <c r="F793" i="52"/>
  <c r="F94" i="52"/>
  <c r="F227" i="52"/>
  <c r="F430" i="52"/>
  <c r="F780" i="52"/>
  <c r="F144" i="52"/>
  <c r="F313" i="52"/>
  <c r="F546" i="52"/>
  <c r="F188" i="52"/>
  <c r="F60" i="52"/>
  <c r="F377" i="52"/>
  <c r="F781" i="52"/>
  <c r="F402" i="52"/>
  <c r="F655" i="52"/>
  <c r="F433" i="52"/>
  <c r="F737" i="52"/>
  <c r="F21" i="52"/>
  <c r="F314" i="52"/>
  <c r="F374" i="52"/>
  <c r="F547" i="52"/>
  <c r="F541" i="52"/>
  <c r="F103" i="52"/>
  <c r="F132" i="52"/>
  <c r="F259" i="52"/>
  <c r="F699" i="52"/>
  <c r="F495" i="52"/>
  <c r="F814" i="52"/>
  <c r="F317" i="52"/>
  <c r="F378" i="52"/>
  <c r="F785" i="52"/>
  <c r="F302" i="52"/>
  <c r="F695" i="52"/>
  <c r="F84" i="52"/>
  <c r="F177" i="52"/>
  <c r="F246" i="52"/>
  <c r="F115" i="52"/>
  <c r="F486" i="52"/>
  <c r="F240" i="52"/>
  <c r="F160" i="52"/>
  <c r="F301" i="52"/>
  <c r="F130" i="52"/>
  <c r="F666" i="52"/>
  <c r="F455" i="52"/>
  <c r="F644" i="52"/>
  <c r="F327" i="52"/>
  <c r="F162" i="52"/>
  <c r="F136" i="52"/>
  <c r="F676" i="52"/>
  <c r="F769" i="52"/>
  <c r="F185" i="52"/>
  <c r="F305" i="52"/>
  <c r="F583" i="52"/>
  <c r="F445" i="52"/>
  <c r="F253" i="52"/>
  <c r="F255" i="52"/>
  <c r="F412" i="52"/>
  <c r="F251" i="52"/>
  <c r="F376" i="52"/>
  <c r="F743" i="52"/>
  <c r="F490" i="52"/>
  <c r="F299" i="52"/>
  <c r="F306" i="52"/>
  <c r="F131" i="52"/>
  <c r="F72" i="52"/>
  <c r="F24" i="52"/>
  <c r="F472" i="52"/>
  <c r="F708" i="52"/>
  <c r="F330" i="52"/>
  <c r="F687" i="52"/>
  <c r="F28" i="52"/>
  <c r="F68" i="52"/>
  <c r="F620" i="52"/>
  <c r="F633" i="52"/>
  <c r="F686" i="52"/>
  <c r="F65" i="52"/>
  <c r="F522" i="52"/>
  <c r="F34" i="52"/>
  <c r="F75" i="52"/>
  <c r="F205" i="52"/>
  <c r="F535" i="52"/>
  <c r="F387" i="52"/>
  <c r="F395" i="52"/>
  <c r="F569" i="52"/>
  <c r="F427" i="52"/>
  <c r="F629" i="52"/>
  <c r="F23" i="52"/>
  <c r="F598" i="52"/>
  <c r="F444" i="52"/>
  <c r="F705" i="52"/>
  <c r="F311" i="52"/>
  <c r="F616" i="52"/>
  <c r="F295" i="52"/>
  <c r="F293" i="52"/>
  <c r="F446" i="52"/>
  <c r="F635" i="52"/>
  <c r="F694" i="52"/>
  <c r="F71" i="52"/>
  <c r="F364" i="52"/>
  <c r="F99" i="52"/>
  <c r="F373" i="52"/>
  <c r="F371" i="52"/>
  <c r="F362" i="52"/>
  <c r="F53" i="52"/>
  <c r="F198" i="52"/>
  <c r="F367" i="52"/>
  <c r="F118" i="52"/>
  <c r="F594" i="52"/>
  <c r="F458" i="52"/>
  <c r="F281" i="52"/>
  <c r="F533" i="52"/>
  <c r="F363" i="52"/>
  <c r="F339" i="52"/>
  <c r="F361" i="52"/>
  <c r="F365" i="52"/>
  <c r="F137" i="52"/>
  <c r="F110" i="52"/>
  <c r="F154" i="52"/>
  <c r="F168" i="52"/>
  <c r="F771" i="52"/>
  <c r="F266" i="52"/>
  <c r="F138" i="52"/>
  <c r="F6" i="52"/>
  <c r="F727" i="52"/>
  <c r="F383" i="52"/>
  <c r="F349" i="52"/>
  <c r="F366" i="52"/>
  <c r="F414" i="52"/>
  <c r="F575" i="52"/>
  <c r="F123" i="52"/>
  <c r="F145" i="52"/>
  <c r="F322" i="52"/>
  <c r="F409" i="52"/>
  <c r="F682" i="52"/>
  <c r="F792" i="52"/>
  <c r="F677" i="52"/>
  <c r="F690" i="52"/>
  <c r="F485" i="52"/>
  <c r="F218" i="52"/>
  <c r="F747" i="52"/>
  <c r="F463" i="52"/>
  <c r="F707" i="52"/>
  <c r="F421" i="52"/>
  <c r="F76" i="52"/>
  <c r="F712" i="52"/>
  <c r="F346" i="52"/>
  <c r="F344" i="52"/>
  <c r="F696" i="52"/>
  <c r="F81" i="52"/>
  <c r="F499" i="52"/>
  <c r="F396" i="52"/>
  <c r="F114" i="52"/>
  <c r="F31" i="52"/>
  <c r="F96" i="52"/>
  <c r="F122" i="52"/>
  <c r="F719" i="52"/>
  <c r="F762" i="52"/>
  <c r="F244" i="52"/>
  <c r="F405" i="52"/>
  <c r="F479" i="52"/>
  <c r="F178" i="52"/>
  <c r="F316" i="52"/>
  <c r="F58" i="52"/>
  <c r="F647" i="52"/>
  <c r="F413" i="52"/>
  <c r="F552" i="52"/>
  <c r="F323" i="52"/>
  <c r="F359" i="52"/>
  <c r="F263" i="52"/>
  <c r="F543" i="52"/>
  <c r="F407" i="52"/>
  <c r="F561" i="52"/>
  <c r="F544" i="52"/>
  <c r="F411" i="52"/>
  <c r="F416" i="52"/>
  <c r="F20" i="52"/>
  <c r="F62" i="52"/>
  <c r="F54" i="52"/>
  <c r="F296" i="52"/>
  <c r="F47" i="52"/>
  <c r="F14" i="52"/>
  <c r="F397" i="52"/>
  <c r="F591" i="52"/>
  <c r="F48" i="52"/>
  <c r="F233" i="52"/>
  <c r="F538" i="52"/>
  <c r="F478" i="52"/>
  <c r="F431" i="52"/>
  <c r="F260" i="52"/>
  <c r="F568" i="52"/>
  <c r="F770" i="52"/>
  <c r="F88" i="52"/>
  <c r="F519" i="52"/>
  <c r="F721" i="52"/>
  <c r="F460" i="52"/>
  <c r="F450" i="52"/>
  <c r="F59" i="52"/>
  <c r="F580" i="52"/>
  <c r="F710" i="52"/>
  <c r="F697" i="52"/>
  <c r="F426" i="52"/>
  <c r="F424" i="52"/>
  <c r="F375" i="52"/>
  <c r="F529" i="52"/>
  <c r="F15" i="52"/>
  <c r="F640" i="52"/>
  <c r="F125" i="52"/>
  <c r="F736" i="52"/>
  <c r="F265" i="52"/>
  <c r="F10" i="52"/>
  <c r="F180" i="52"/>
  <c r="F187" i="52"/>
  <c r="F500" i="52"/>
  <c r="F702" i="52"/>
  <c r="F523" i="52"/>
  <c r="F337" i="52"/>
  <c r="F572" i="52"/>
  <c r="F494" i="52"/>
  <c r="F673" i="52"/>
  <c r="F157" i="52"/>
  <c r="F718" i="52"/>
  <c r="F725" i="52"/>
  <c r="F108" i="52"/>
  <c r="F181" i="52"/>
  <c r="F811" i="52"/>
  <c r="F505" i="52"/>
  <c r="F42" i="52"/>
  <c r="F30" i="52"/>
  <c r="F202" i="52"/>
  <c r="F269" i="52"/>
  <c r="F532" i="52"/>
  <c r="F605" i="52"/>
  <c r="F528" i="52"/>
  <c r="F664" i="52"/>
  <c r="F714" i="52"/>
  <c r="F406" i="52"/>
  <c r="F338" i="52"/>
  <c r="F128" i="52"/>
  <c r="F744" i="52"/>
  <c r="F169" i="52"/>
  <c r="F774" i="52"/>
  <c r="F509" i="52"/>
  <c r="F488" i="52"/>
  <c r="F3" i="52"/>
  <c r="F565" i="52"/>
  <c r="F776" i="52"/>
  <c r="F423" i="52"/>
  <c r="F549" i="52"/>
  <c r="F45" i="52"/>
  <c r="F150" i="52"/>
  <c r="F584" i="52"/>
  <c r="F799" i="52"/>
  <c r="F257" i="52"/>
  <c r="F678" i="52"/>
  <c r="F715" i="52"/>
  <c r="F457" i="52"/>
  <c r="F482" i="52"/>
  <c r="F672" i="52"/>
  <c r="F741" i="52"/>
  <c r="F582" i="52"/>
  <c r="F356" i="52"/>
  <c r="F669" i="52"/>
  <c r="F401" i="52"/>
  <c r="F524" i="52"/>
  <c r="F630" i="52"/>
  <c r="F473" i="52"/>
  <c r="F102" i="52"/>
  <c r="F452" i="52"/>
  <c r="F601" i="52"/>
  <c r="F596" i="52"/>
  <c r="F41" i="52"/>
  <c r="F67" i="52"/>
  <c r="F579" i="52"/>
  <c r="F724" i="52"/>
  <c r="F574" i="52"/>
  <c r="F182" i="52"/>
  <c r="F153" i="52"/>
  <c r="F386" i="52"/>
  <c r="F69" i="52"/>
  <c r="F726" i="52"/>
  <c r="F369" i="52"/>
  <c r="F77" i="52"/>
  <c r="F63" i="52"/>
  <c r="F454" i="52"/>
  <c r="F438" i="52"/>
  <c r="F175" i="52"/>
  <c r="F652" i="52"/>
  <c r="F507" i="52"/>
  <c r="F597" i="52"/>
  <c r="F141" i="52"/>
  <c r="F809" i="52"/>
  <c r="F223" i="52"/>
  <c r="F272" i="52"/>
  <c r="F217" i="52"/>
  <c r="F163" i="52"/>
  <c r="F448" i="52"/>
  <c r="F765" i="52"/>
  <c r="F692" i="52"/>
  <c r="F211" i="52"/>
  <c r="F813" i="52"/>
  <c r="F418" i="52"/>
  <c r="F38" i="52"/>
  <c r="F282" i="52"/>
  <c r="F689" i="52"/>
  <c r="F514" i="52"/>
  <c r="F746" i="52"/>
  <c r="F436" i="52"/>
  <c r="F560" i="52"/>
  <c r="F290" i="52"/>
  <c r="F425" i="52"/>
  <c r="F537" i="52"/>
  <c r="F483" i="52"/>
  <c r="F577" i="52"/>
  <c r="F742" i="52"/>
  <c r="F674" i="52"/>
  <c r="F693" i="52"/>
  <c r="F143" i="52"/>
  <c r="F717" i="52"/>
  <c r="F556" i="52"/>
  <c r="F548" i="52"/>
  <c r="F653" i="52"/>
  <c r="F399" i="52"/>
  <c r="F554" i="52"/>
  <c r="F545" i="52"/>
  <c r="F564" i="52"/>
  <c r="F347" i="52"/>
  <c r="F570" i="52"/>
  <c r="F85" i="52"/>
  <c r="F394" i="52"/>
  <c r="F408" i="52"/>
  <c r="F26" i="52"/>
  <c r="F501" i="52"/>
  <c r="F8" i="52"/>
  <c r="F435" i="52"/>
  <c r="F794" i="52"/>
  <c r="F348" i="52"/>
  <c r="F755" i="52"/>
  <c r="F270" i="52"/>
  <c r="F333" i="52"/>
  <c r="F11" i="52"/>
  <c r="F120" i="52"/>
  <c r="F403" i="52"/>
  <c r="F756" i="52"/>
  <c r="F773" i="52"/>
  <c r="F398" i="52"/>
  <c r="F13" i="52"/>
  <c r="F7" i="52"/>
  <c r="F750" i="52"/>
  <c r="F734" i="52"/>
  <c r="F731" i="52"/>
  <c r="F235" i="52"/>
  <c r="F44" i="52"/>
  <c r="F607" i="52"/>
  <c r="F796" i="52"/>
  <c r="F491" i="52"/>
  <c r="F304" i="52"/>
  <c r="F372" i="52"/>
  <c r="F608" i="52"/>
  <c r="F713" i="52"/>
  <c r="F238" i="52"/>
  <c r="F307" i="52"/>
  <c r="F61" i="52"/>
  <c r="F29" i="52"/>
  <c r="F225" i="52"/>
  <c r="F97" i="52"/>
  <c r="F43" i="52"/>
  <c r="F628" i="52"/>
  <c r="F276" i="52"/>
  <c r="F775" i="52"/>
  <c r="F229" i="52"/>
  <c r="F213" i="52"/>
  <c r="F326" i="52"/>
  <c r="F660" i="52"/>
  <c r="F649" i="52"/>
  <c r="F661" i="52"/>
  <c r="F87" i="52"/>
  <c r="F278" i="52"/>
  <c r="F498" i="52"/>
  <c r="F753" i="52"/>
  <c r="F555" i="52"/>
  <c r="F600" i="52"/>
  <c r="F319" i="52"/>
  <c r="F404" i="52"/>
  <c r="F379" i="52"/>
  <c r="F173" i="52"/>
  <c r="F93" i="52"/>
  <c r="F512" i="52"/>
  <c r="F222" i="52"/>
  <c r="F341" i="52"/>
  <c r="F280" i="52"/>
  <c r="F779" i="52"/>
  <c r="F156" i="52"/>
  <c r="F428" i="52"/>
  <c r="F700" i="52"/>
  <c r="F432" i="52"/>
  <c r="F526" i="52"/>
  <c r="F315" i="52"/>
  <c r="F604" i="52"/>
  <c r="F158" i="52"/>
  <c r="F161" i="52"/>
  <c r="F236" i="52"/>
  <c r="F757" i="52"/>
  <c r="F231" i="52"/>
  <c r="F419" i="52"/>
  <c r="F459" i="52"/>
  <c r="F17" i="52"/>
  <c r="F467" i="52"/>
  <c r="F50" i="52"/>
  <c r="F192" i="52"/>
  <c r="F200" i="52"/>
  <c r="F389" i="52"/>
  <c r="F723" i="52"/>
  <c r="F728" i="52"/>
  <c r="F621" i="52"/>
  <c r="F16" i="52"/>
  <c r="F228" i="52"/>
  <c r="F527" i="52"/>
  <c r="F384" i="52"/>
  <c r="F193" i="52"/>
  <c r="F142" i="52"/>
  <c r="F166" i="52"/>
  <c r="F212" i="52"/>
  <c r="F109" i="52"/>
  <c r="F754" i="52"/>
  <c r="F749" i="52"/>
  <c r="F318" i="52"/>
  <c r="F392" i="52"/>
  <c r="F309" i="52"/>
  <c r="F706" i="52"/>
  <c r="F33" i="52"/>
  <c r="F709" i="52"/>
  <c r="F358" i="52"/>
  <c r="F107" i="52"/>
  <c r="F638" i="52"/>
  <c r="F791" i="52"/>
  <c r="F210" i="52"/>
  <c r="F752" i="52"/>
  <c r="F216" i="52"/>
  <c r="F57" i="52"/>
  <c r="F357" i="52"/>
  <c r="F79" i="52"/>
  <c r="F243" i="52"/>
  <c r="F434" i="52"/>
  <c r="F536" i="52"/>
  <c r="F530" i="52"/>
  <c r="F66" i="52"/>
  <c r="F698" i="52"/>
  <c r="F32" i="52"/>
  <c r="F759" i="52"/>
  <c r="F335" i="52"/>
  <c r="F300" i="52"/>
  <c r="F506" i="52"/>
  <c r="F36" i="52"/>
  <c r="F740" i="52"/>
  <c r="F241" i="52"/>
  <c r="F206" i="52"/>
  <c r="F242" i="52"/>
  <c r="F511" i="52"/>
  <c r="F83" i="52"/>
  <c r="F518" i="52"/>
  <c r="F422" i="52"/>
  <c r="F758" i="52"/>
  <c r="F64" i="52"/>
  <c r="F745" i="52"/>
  <c r="F230" i="52"/>
  <c r="F391" i="52"/>
  <c r="F559" i="52"/>
  <c r="F662" i="52"/>
  <c r="F215" i="52"/>
  <c r="F571" i="52"/>
  <c r="F510" i="52"/>
  <c r="F4" i="52"/>
  <c r="F226" i="52"/>
  <c r="F224" i="52"/>
  <c r="F657" i="52"/>
  <c r="F619" i="52"/>
  <c r="F25" i="52"/>
  <c r="F254" i="52"/>
  <c r="F637" i="52"/>
  <c r="F291" i="52"/>
  <c r="F194" i="52"/>
  <c r="F189" i="52"/>
  <c r="F503" i="52"/>
  <c r="F370" i="52"/>
  <c r="F573" i="52"/>
  <c r="F288" i="52"/>
  <c r="F183" i="52"/>
  <c r="F264" i="52"/>
  <c r="F650" i="52"/>
  <c r="F256" i="52"/>
  <c r="F739" i="52"/>
  <c r="F481" i="52"/>
  <c r="F18" i="52"/>
  <c r="F639" i="52"/>
  <c r="F513" i="52"/>
  <c r="F646" i="52"/>
  <c r="F351" i="52"/>
  <c r="F70" i="52"/>
  <c r="F627" i="52"/>
  <c r="F722" i="52"/>
  <c r="F587" i="52"/>
  <c r="F286" i="52"/>
  <c r="F683" i="52"/>
  <c r="F502" i="52"/>
  <c r="F567" i="52"/>
  <c r="F113" i="52"/>
  <c r="F203" i="52"/>
  <c r="F614" i="52"/>
  <c r="F515" i="52"/>
  <c r="F332" i="52"/>
  <c r="F197" i="52"/>
  <c r="F100" i="52"/>
  <c r="F497" i="52"/>
  <c r="F232" i="52"/>
  <c r="F586" i="52"/>
  <c r="F768" i="52"/>
  <c r="F504" i="52"/>
  <c r="F466" i="52"/>
  <c r="F111" i="52"/>
  <c r="F209" i="52"/>
  <c r="F688" i="52"/>
  <c r="F151" i="52"/>
  <c r="F626" i="52"/>
  <c r="F492" i="52"/>
  <c r="F49" i="52"/>
  <c r="F92" i="52"/>
  <c r="F493" i="52"/>
  <c r="F19" i="52"/>
  <c r="F508" i="52"/>
  <c r="F285" i="52"/>
  <c r="F368" i="52"/>
  <c r="F221" i="52"/>
  <c r="F456" i="52"/>
  <c r="F520" i="52"/>
  <c r="F249" i="52"/>
  <c r="F480" i="52"/>
  <c r="F563" i="52"/>
  <c r="F261" i="52"/>
  <c r="F691" i="52"/>
  <c r="F786" i="52"/>
  <c r="F39" i="52"/>
  <c r="F462" i="52"/>
  <c r="F659" i="52"/>
  <c r="F732" i="52"/>
  <c r="F273" i="52"/>
  <c r="F105" i="52"/>
  <c r="F342" i="52"/>
  <c r="F562" i="52"/>
  <c r="F340" i="52"/>
  <c r="F191" i="52"/>
  <c r="F201" i="52"/>
  <c r="F40" i="52"/>
  <c r="F441" i="52"/>
  <c r="F680" i="52"/>
  <c r="F609" i="52"/>
  <c r="F287" i="52"/>
  <c r="F761" i="52"/>
  <c r="F73" i="52"/>
  <c r="F89" i="52"/>
  <c r="F636" i="52"/>
  <c r="F52" i="52"/>
  <c r="F186" i="52"/>
  <c r="F331" i="52"/>
  <c r="F658" i="52"/>
  <c r="F199" i="52"/>
  <c r="F258" i="52"/>
  <c r="F443" i="52"/>
  <c r="F439" i="52"/>
  <c r="F172" i="52"/>
  <c r="F171" i="52"/>
  <c r="F602" i="52"/>
  <c r="F104" i="52"/>
  <c r="F465" i="52"/>
  <c r="F475" i="52"/>
  <c r="F167" i="52"/>
  <c r="F308" i="52"/>
  <c r="F234" i="52"/>
  <c r="F51" i="52"/>
  <c r="F292" i="52"/>
  <c r="F294" i="52"/>
  <c r="F625" i="52"/>
  <c r="F129" i="52"/>
  <c r="F618" i="52"/>
  <c r="F631" i="52"/>
  <c r="F321" i="52"/>
  <c r="F521" i="52"/>
  <c r="F277" i="52"/>
  <c r="F124" i="52"/>
  <c r="F27" i="52"/>
  <c r="F219" i="52"/>
  <c r="F252" i="52"/>
  <c r="F343" i="52"/>
  <c r="F516" i="52"/>
  <c r="F237" i="52"/>
  <c r="F588" i="52"/>
  <c r="F671" i="52"/>
  <c r="F271" i="52"/>
  <c r="F735" i="52"/>
  <c r="F116" i="52"/>
  <c r="F140" i="52"/>
  <c r="F268" i="52"/>
  <c r="F80" i="52"/>
  <c r="F733" i="52"/>
  <c r="F585" i="52"/>
  <c r="F90" i="52"/>
  <c r="F648" i="52"/>
  <c r="F440" i="52"/>
  <c r="F576" i="52"/>
  <c r="F381" i="52"/>
  <c r="F801" i="52"/>
  <c r="F622" i="52"/>
  <c r="F461" i="52"/>
  <c r="F599" i="52"/>
  <c r="F248" i="52"/>
  <c r="F496" i="52"/>
  <c r="F566" i="52"/>
  <c r="F250" i="52"/>
  <c r="F634" i="52"/>
  <c r="F91" i="52"/>
  <c r="F449" i="52"/>
  <c r="F675" i="52"/>
  <c r="F442" i="52"/>
  <c r="F641" i="52"/>
  <c r="F663" i="52"/>
  <c r="F558" i="52"/>
  <c r="F651" i="52"/>
  <c r="F55" i="52"/>
  <c r="F46" i="52"/>
  <c r="F139" i="52"/>
  <c r="F360" i="52"/>
  <c r="F415" i="52"/>
  <c r="F324" i="52"/>
  <c r="F525" i="52"/>
  <c r="F817" i="52"/>
  <c r="F668" i="52"/>
  <c r="F704" i="52"/>
  <c r="F766" i="52"/>
  <c r="F477" i="52"/>
  <c r="F303" i="52"/>
  <c r="F336" i="52"/>
  <c r="F190" i="52"/>
  <c r="F112" i="52"/>
  <c r="F654" i="52"/>
  <c r="F184" i="52"/>
  <c r="F325" i="52"/>
  <c r="F632" i="52"/>
  <c r="F701" i="52"/>
  <c r="F35" i="52"/>
  <c r="F297" i="52"/>
  <c r="F617" i="52"/>
  <c r="F643" i="52"/>
  <c r="F468" i="52"/>
  <c r="F126" i="52"/>
  <c r="F329" i="52"/>
  <c r="M1" i="52"/>
  <c r="J1" i="52"/>
  <c r="M2" i="29"/>
  <c r="M3" i="29"/>
  <c r="M4" i="29"/>
  <c r="M7" i="29"/>
  <c r="M6" i="29"/>
  <c r="M10" i="29"/>
  <c r="M8" i="29"/>
  <c r="M9" i="29"/>
  <c r="M13" i="29"/>
  <c r="M5" i="29"/>
  <c r="M11" i="29"/>
  <c r="M12" i="29"/>
  <c r="M16" i="29"/>
  <c r="M22" i="29"/>
  <c r="M21" i="29"/>
  <c r="M19" i="29"/>
  <c r="M20" i="29"/>
  <c r="M18" i="29"/>
  <c r="M17" i="29"/>
  <c r="M14" i="29"/>
  <c r="M23" i="29"/>
  <c r="M15" i="29"/>
  <c r="M24" i="29"/>
  <c r="M26" i="29"/>
  <c r="M25" i="29"/>
  <c r="M28" i="29"/>
  <c r="M32" i="29"/>
  <c r="M30" i="29"/>
  <c r="M33" i="29"/>
  <c r="M29" i="29"/>
  <c r="M31" i="29"/>
  <c r="M27" i="29"/>
  <c r="M34" i="29"/>
  <c r="M35" i="29"/>
  <c r="M36" i="29"/>
  <c r="M37" i="29"/>
  <c r="M39" i="29"/>
  <c r="M41" i="29"/>
  <c r="M40" i="29"/>
  <c r="M38" i="29"/>
  <c r="M42" i="29"/>
  <c r="S798" i="52" l="1"/>
  <c r="S280" i="52"/>
  <c r="S780" i="52"/>
  <c r="S315" i="52"/>
  <c r="S737" i="52"/>
  <c r="T737" i="52" s="1"/>
  <c r="S547" i="52"/>
  <c r="S754" i="52"/>
  <c r="S318" i="52"/>
  <c r="S580" i="52"/>
  <c r="S375" i="52"/>
  <c r="S141" i="52"/>
  <c r="U141" i="52" s="1"/>
  <c r="S792" i="52"/>
  <c r="U792" i="52" s="1"/>
  <c r="S195" i="52"/>
  <c r="S37" i="52"/>
  <c r="S779" i="52"/>
  <c r="S317" i="52"/>
  <c r="S485" i="52"/>
  <c r="T485" i="52" s="1"/>
  <c r="S313" i="52"/>
  <c r="S392" i="52"/>
  <c r="S596" i="52"/>
  <c r="S606" i="52"/>
  <c r="S770" i="52"/>
  <c r="S123" i="52"/>
  <c r="T123" i="52" s="1"/>
  <c r="S60" i="52"/>
  <c r="U60" i="52" s="1"/>
  <c r="S654" i="52"/>
  <c r="T654" i="52" s="1"/>
  <c r="S816" i="52"/>
  <c r="S179" i="52"/>
  <c r="S552" i="52"/>
  <c r="S736" i="52"/>
  <c r="U736" i="52" s="1"/>
  <c r="S355" i="52"/>
  <c r="S204" i="52"/>
  <c r="S784" i="52"/>
  <c r="S146" i="52"/>
  <c r="S58" i="52"/>
  <c r="S428" i="52"/>
  <c r="T428" i="52" s="1"/>
  <c r="S546" i="52"/>
  <c r="U546" i="52" s="1"/>
  <c r="S655" i="52"/>
  <c r="U655" i="52" s="1"/>
  <c r="S374" i="52"/>
  <c r="T374" i="52" s="1"/>
  <c r="S259" i="52"/>
  <c r="S728" i="52"/>
  <c r="T728" i="52" s="1"/>
  <c r="S59" i="52"/>
  <c r="U59" i="52" s="1"/>
  <c r="S575" i="52"/>
  <c r="U575" i="52" s="1"/>
  <c r="S640" i="52"/>
  <c r="S272" i="52"/>
  <c r="S706" i="52"/>
  <c r="Q34" i="52"/>
  <c r="Q1" i="52" s="1"/>
  <c r="P1" i="52"/>
  <c r="S152" i="52"/>
  <c r="S380" i="52"/>
  <c r="T380" i="52" s="1"/>
  <c r="S788" i="52"/>
  <c r="T788" i="52" s="1"/>
  <c r="S324" i="52"/>
  <c r="S188" i="52"/>
  <c r="S21" i="52"/>
  <c r="U21" i="52" s="1"/>
  <c r="S544" i="52"/>
  <c r="S495" i="52"/>
  <c r="U495" i="52" s="1"/>
  <c r="S336" i="52"/>
  <c r="T336" i="52" s="1"/>
  <c r="S23" i="52"/>
  <c r="U23" i="52" s="1"/>
  <c r="S652" i="52"/>
  <c r="T652" i="52" s="1"/>
  <c r="S145" i="52"/>
  <c r="S677" i="52"/>
  <c r="S535" i="52"/>
  <c r="U535" i="52" s="1"/>
  <c r="S101" i="52"/>
  <c r="T101" i="52" s="1"/>
  <c r="S415" i="52"/>
  <c r="S388" i="52"/>
  <c r="U388" i="52" s="1"/>
  <c r="S327" i="52"/>
  <c r="U327" i="52" s="1"/>
  <c r="S107" i="52"/>
  <c r="U107" i="52" s="1"/>
  <c r="S332" i="52"/>
  <c r="U332" i="52" s="1"/>
  <c r="S306" i="52"/>
  <c r="U306" i="52" s="1"/>
  <c r="S49" i="52"/>
  <c r="T49" i="52" s="1"/>
  <c r="S510" i="52"/>
  <c r="U510" i="52" s="1"/>
  <c r="S456" i="52"/>
  <c r="U456" i="52" s="1"/>
  <c r="S180" i="52"/>
  <c r="U180" i="52" s="1"/>
  <c r="S105" i="52"/>
  <c r="U105" i="52" s="1"/>
  <c r="S83" i="52"/>
  <c r="U83" i="52" s="1"/>
  <c r="S40" i="52"/>
  <c r="S253" i="52"/>
  <c r="T253" i="52" s="1"/>
  <c r="S743" i="52"/>
  <c r="U743" i="52" s="1"/>
  <c r="S483" i="52"/>
  <c r="U483" i="52" s="1"/>
  <c r="S172" i="52"/>
  <c r="T172" i="52" s="1"/>
  <c r="S33" i="52"/>
  <c r="U33" i="52" s="1"/>
  <c r="S638" i="52"/>
  <c r="U638" i="52" s="1"/>
  <c r="S79" i="52"/>
  <c r="U79" i="52" s="1"/>
  <c r="S506" i="52"/>
  <c r="U506" i="52" s="1"/>
  <c r="S573" i="52"/>
  <c r="S457" i="52"/>
  <c r="U457" i="52" s="1"/>
  <c r="S244" i="52"/>
  <c r="T244" i="52" s="1"/>
  <c r="S465" i="52"/>
  <c r="S255" i="52"/>
  <c r="U255" i="52" s="1"/>
  <c r="S421" i="52"/>
  <c r="S277" i="52"/>
  <c r="U277" i="52" s="1"/>
  <c r="S464" i="52"/>
  <c r="U464" i="52" s="1"/>
  <c r="S681" i="52"/>
  <c r="U681" i="52" s="1"/>
  <c r="S712" i="52"/>
  <c r="T712" i="52" s="1"/>
  <c r="S811" i="52"/>
  <c r="U811" i="52" s="1"/>
  <c r="S30" i="52"/>
  <c r="U30" i="52" s="1"/>
  <c r="S140" i="52"/>
  <c r="T140" i="52" s="1"/>
  <c r="S80" i="52"/>
  <c r="U80" i="52" s="1"/>
  <c r="S696" i="52"/>
  <c r="U696" i="52" s="1"/>
  <c r="S155" i="52"/>
  <c r="S381" i="52"/>
  <c r="U381" i="52" s="1"/>
  <c r="S664" i="52"/>
  <c r="S634" i="52"/>
  <c r="T634" i="52" s="1"/>
  <c r="S224" i="52"/>
  <c r="U224" i="52" s="1"/>
  <c r="S354" i="52"/>
  <c r="U354" i="52" s="1"/>
  <c r="S478" i="52"/>
  <c r="U478" i="52" s="1"/>
  <c r="S193" i="52"/>
  <c r="U193" i="52" s="1"/>
  <c r="S46" i="52"/>
  <c r="U46" i="52" s="1"/>
  <c r="S555" i="52"/>
  <c r="T555" i="52" s="1"/>
  <c r="S173" i="52"/>
  <c r="T173" i="52" s="1"/>
  <c r="S452" i="52"/>
  <c r="U452" i="52" s="1"/>
  <c r="S348" i="52"/>
  <c r="S128" i="52"/>
  <c r="U128" i="52" s="1"/>
  <c r="S169" i="52"/>
  <c r="S471" i="52"/>
  <c r="T471" i="52" s="1"/>
  <c r="S168" i="52"/>
  <c r="T168" i="52" s="1"/>
  <c r="S727" i="52"/>
  <c r="U727" i="52" s="1"/>
  <c r="S589" i="52"/>
  <c r="T589" i="52" s="1"/>
  <c r="S738" i="52"/>
  <c r="T738" i="52" s="1"/>
  <c r="S311" i="52"/>
  <c r="U311" i="52" s="1"/>
  <c r="S183" i="52"/>
  <c r="U183" i="52" s="1"/>
  <c r="S481" i="52"/>
  <c r="U481" i="52" s="1"/>
  <c r="S646" i="52"/>
  <c r="U646" i="52" s="1"/>
  <c r="S722" i="52"/>
  <c r="S210" i="52"/>
  <c r="U210" i="52" s="1"/>
  <c r="S476" i="52"/>
  <c r="S553" i="52"/>
  <c r="U553" i="52" s="1"/>
  <c r="S808" i="52"/>
  <c r="U808" i="52" s="1"/>
  <c r="S493" i="52"/>
  <c r="U493" i="52" s="1"/>
  <c r="S221" i="52"/>
  <c r="U221" i="52" s="1"/>
  <c r="S249" i="52"/>
  <c r="T249" i="52" s="1"/>
  <c r="S601" i="52"/>
  <c r="U601" i="52" s="1"/>
  <c r="S121" i="52"/>
  <c r="U121" i="52" s="1"/>
  <c r="S62" i="52"/>
  <c r="U62" i="52" s="1"/>
  <c r="S750" i="52"/>
  <c r="U750" i="52" s="1"/>
  <c r="S518" i="52"/>
  <c r="S235" i="52"/>
  <c r="U235" i="52" s="1"/>
  <c r="S758" i="52"/>
  <c r="S537" i="52"/>
  <c r="T537" i="52" s="1"/>
  <c r="S293" i="52"/>
  <c r="U293" i="52" s="1"/>
  <c r="S96" i="52"/>
  <c r="U96" i="52" s="1"/>
  <c r="S299" i="52"/>
  <c r="U299" i="52" s="1"/>
  <c r="S234" i="52"/>
  <c r="T234" i="52" s="1"/>
  <c r="S807" i="52"/>
  <c r="U807" i="52" s="1"/>
  <c r="S124" i="52"/>
  <c r="U124" i="52" s="1"/>
  <c r="S61" i="52"/>
  <c r="U61" i="52" s="1"/>
  <c r="S645" i="52"/>
  <c r="U645" i="52" s="1"/>
  <c r="S764" i="52"/>
  <c r="S745" i="52"/>
  <c r="T745" i="52" s="1"/>
  <c r="S716" i="52"/>
  <c r="S653" i="52"/>
  <c r="T653" i="52" s="1"/>
  <c r="S733" i="52"/>
  <c r="U733" i="52" s="1"/>
  <c r="S545" i="52"/>
  <c r="U545" i="52" s="1"/>
  <c r="S670" i="52"/>
  <c r="U670" i="52" s="1"/>
  <c r="S801" i="52"/>
  <c r="T801" i="52" s="1"/>
  <c r="S251" i="52"/>
  <c r="U251" i="52" s="1"/>
  <c r="S817" i="52"/>
  <c r="U817" i="52" s="1"/>
  <c r="S397" i="52"/>
  <c r="U397" i="52" s="1"/>
  <c r="S347" i="52"/>
  <c r="U347" i="52" s="1"/>
  <c r="S482" i="52"/>
  <c r="S568" i="52"/>
  <c r="T568" i="52" s="1"/>
  <c r="S642" i="52"/>
  <c r="U642" i="52" s="1"/>
  <c r="S356" i="52"/>
  <c r="T356" i="52" s="1"/>
  <c r="S630" i="52"/>
  <c r="U630" i="52" s="1"/>
  <c r="S519" i="52"/>
  <c r="U519" i="52" s="1"/>
  <c r="S362" i="52"/>
  <c r="U362" i="52" s="1"/>
  <c r="S118" i="52"/>
  <c r="T118" i="52" s="1"/>
  <c r="S283" i="52"/>
  <c r="T283" i="52" s="1"/>
  <c r="S751" i="52"/>
  <c r="U751" i="52" s="1"/>
  <c r="S312" i="52"/>
  <c r="U312" i="52" s="1"/>
  <c r="S10" i="52"/>
  <c r="U10" i="52" s="1"/>
  <c r="S349" i="52"/>
  <c r="S709" i="52"/>
  <c r="T709" i="52" s="1"/>
  <c r="S17" i="52"/>
  <c r="S288" i="52"/>
  <c r="T288" i="52" s="1"/>
  <c r="S406" i="52"/>
  <c r="U406" i="52" s="1"/>
  <c r="S540" i="52"/>
  <c r="U540" i="52" s="1"/>
  <c r="S616" i="52"/>
  <c r="T616" i="52" s="1"/>
  <c r="S567" i="52"/>
  <c r="U567" i="52" s="1"/>
  <c r="S542" i="52"/>
  <c r="T542" i="52" s="1"/>
  <c r="S586" i="52"/>
  <c r="U586" i="52" s="1"/>
  <c r="S688" i="52"/>
  <c r="U688" i="52" s="1"/>
  <c r="S92" i="52"/>
  <c r="U92" i="52" s="1"/>
  <c r="S368" i="52"/>
  <c r="S520" i="52"/>
  <c r="U520" i="52" s="1"/>
  <c r="S88" i="52"/>
  <c r="S50" i="52"/>
  <c r="T50" i="52" s="1"/>
  <c r="S330" i="52"/>
  <c r="U330" i="52" s="1"/>
  <c r="S342" i="52"/>
  <c r="U342" i="52" s="1"/>
  <c r="S164" i="52"/>
  <c r="T164" i="52" s="1"/>
  <c r="S422" i="52"/>
  <c r="T422" i="52" s="1"/>
  <c r="S803" i="52"/>
  <c r="T803" i="52" s="1"/>
  <c r="S89" i="52"/>
  <c r="U89" i="52" s="1"/>
  <c r="S52" i="52"/>
  <c r="U52" i="52" s="1"/>
  <c r="S665" i="52"/>
  <c r="U665" i="52" s="1"/>
  <c r="S296" i="52"/>
  <c r="S308" i="52"/>
  <c r="T308" i="52" s="1"/>
  <c r="S135" i="52"/>
  <c r="S47" i="52"/>
  <c r="T47" i="52" s="1"/>
  <c r="S343" i="52"/>
  <c r="T343" i="52" s="1"/>
  <c r="S69" i="52"/>
  <c r="U69" i="52" s="1"/>
  <c r="S77" i="52"/>
  <c r="U77" i="52" s="1"/>
  <c r="S505" i="52"/>
  <c r="T505" i="52" s="1"/>
  <c r="S67" i="52"/>
  <c r="U67" i="52" s="1"/>
  <c r="S268" i="52"/>
  <c r="U268" i="52" s="1"/>
  <c r="S554" i="52"/>
  <c r="U554" i="52" s="1"/>
  <c r="S632" i="52"/>
  <c r="U632" i="52" s="1"/>
  <c r="S440" i="52"/>
  <c r="S564" i="52"/>
  <c r="U564" i="52" s="1"/>
  <c r="S599" i="52"/>
  <c r="S91" i="52"/>
  <c r="U91" i="52" s="1"/>
  <c r="S657" i="52"/>
  <c r="U657" i="52" s="1"/>
  <c r="S668" i="52"/>
  <c r="U668" i="52" s="1"/>
  <c r="S531" i="52"/>
  <c r="U531" i="52" s="1"/>
  <c r="S460" i="52"/>
  <c r="U460" i="52" s="1"/>
  <c r="S741" i="52"/>
  <c r="T741" i="52" s="1"/>
  <c r="S600" i="52"/>
  <c r="U600" i="52" s="1"/>
  <c r="S694" i="52"/>
  <c r="U694" i="52" s="1"/>
  <c r="S71" i="52"/>
  <c r="U71" i="52" s="1"/>
  <c r="S371" i="52"/>
  <c r="S649" i="52"/>
  <c r="T649" i="52" s="1"/>
  <c r="S533" i="52"/>
  <c r="U533" i="52" s="1"/>
  <c r="S361" i="52"/>
  <c r="T361" i="52" s="1"/>
  <c r="S453" i="52"/>
  <c r="U453" i="52" s="1"/>
  <c r="S5" i="52"/>
  <c r="U5" i="52" s="1"/>
  <c r="S264" i="52"/>
  <c r="U264" i="52" s="1"/>
  <c r="S405" i="52"/>
  <c r="U405" i="52" s="1"/>
  <c r="S484" i="52"/>
  <c r="U484" i="52" s="1"/>
  <c r="K1" i="52"/>
  <c r="S559" i="52"/>
  <c r="U559" i="52" s="1"/>
  <c r="S357" i="52"/>
  <c r="U357" i="52" s="1"/>
  <c r="S571" i="52"/>
  <c r="S445" i="52"/>
  <c r="U445" i="52" s="1"/>
  <c r="S786" i="52"/>
  <c r="T786" i="52" s="1"/>
  <c r="S54" i="52"/>
  <c r="T54" i="52" s="1"/>
  <c r="S340" i="52"/>
  <c r="U340" i="52" s="1"/>
  <c r="S290" i="52"/>
  <c r="U290" i="52" s="1"/>
  <c r="S186" i="52"/>
  <c r="U186" i="52" s="1"/>
  <c r="S51" i="52"/>
  <c r="U51" i="52" s="1"/>
  <c r="S27" i="52"/>
  <c r="U27" i="52" s="1"/>
  <c r="S673" i="52"/>
  <c r="U673" i="52" s="1"/>
  <c r="S63" i="52"/>
  <c r="U63" i="52" s="1"/>
  <c r="S106" i="52"/>
  <c r="U106" i="52" s="1"/>
  <c r="S802" i="52"/>
  <c r="S610" i="52"/>
  <c r="T610" i="52" s="1"/>
  <c r="S449" i="52"/>
  <c r="S624" i="52"/>
  <c r="U624" i="52" s="1"/>
  <c r="S393" i="52"/>
  <c r="U393" i="52" s="1"/>
  <c r="S319" i="52"/>
  <c r="U319" i="52" s="1"/>
  <c r="S222" i="52"/>
  <c r="U222" i="52" s="1"/>
  <c r="S320" i="52"/>
  <c r="U320" i="52" s="1"/>
  <c r="S474" i="52"/>
  <c r="T474" i="52" s="1"/>
  <c r="S382" i="52"/>
  <c r="U382" i="52" s="1"/>
  <c r="S488" i="52"/>
  <c r="U488" i="52" s="1"/>
  <c r="S144" i="52"/>
  <c r="U144" i="52" s="1"/>
  <c r="S314" i="52"/>
  <c r="S814" i="52"/>
  <c r="T814" i="52" s="1"/>
  <c r="S414" i="52"/>
  <c r="S322" i="52"/>
  <c r="U322" i="52" s="1"/>
  <c r="S220" i="52"/>
  <c r="U220" i="52" s="1"/>
  <c r="S637" i="52"/>
  <c r="T637" i="52" s="1"/>
  <c r="S117" i="52"/>
  <c r="T117" i="52" s="1"/>
  <c r="S739" i="52"/>
  <c r="U739" i="52" s="1"/>
  <c r="S639" i="52"/>
  <c r="U639" i="52" s="1"/>
  <c r="S448" i="52"/>
  <c r="U448" i="52" s="1"/>
  <c r="S791" i="52"/>
  <c r="U791" i="52" s="1"/>
  <c r="S769" i="52"/>
  <c r="U769" i="52" s="1"/>
  <c r="S685" i="52"/>
  <c r="U685" i="52" s="1"/>
  <c r="S209" i="52"/>
  <c r="U209" i="52" s="1"/>
  <c r="S765" i="52"/>
  <c r="U765" i="52" s="1"/>
  <c r="S536" i="52"/>
  <c r="U536" i="52" s="1"/>
  <c r="S240" i="52"/>
  <c r="U240" i="52" s="1"/>
  <c r="S467" i="52"/>
  <c r="T467" i="52" s="1"/>
  <c r="S95" i="52"/>
  <c r="U95" i="52" s="1"/>
  <c r="S757" i="52"/>
  <c r="T757" i="52" s="1"/>
  <c r="S732" i="52"/>
  <c r="U732" i="52" s="1"/>
  <c r="S514" i="52"/>
  <c r="U514" i="52" s="1"/>
  <c r="S389" i="52"/>
  <c r="U389" i="52" s="1"/>
  <c r="S470" i="52"/>
  <c r="U470" i="52" s="1"/>
  <c r="S231" i="52"/>
  <c r="U231" i="52" s="1"/>
  <c r="S796" i="52"/>
  <c r="U796" i="52" s="1"/>
  <c r="S707" i="52"/>
  <c r="U707" i="52" s="1"/>
  <c r="S104" i="52"/>
  <c r="T104" i="52" s="1"/>
  <c r="S790" i="52"/>
  <c r="T790" i="52" s="1"/>
  <c r="S523" i="52"/>
  <c r="T523" i="52" s="1"/>
  <c r="S321" i="52"/>
  <c r="T321" i="52" s="1"/>
  <c r="S337" i="52"/>
  <c r="T337" i="52" s="1"/>
  <c r="S386" i="52"/>
  <c r="U386" i="52" s="1"/>
  <c r="S369" i="52"/>
  <c r="U369" i="52" s="1"/>
  <c r="S41" i="52"/>
  <c r="U41" i="52" s="1"/>
  <c r="S454" i="52"/>
  <c r="U454" i="52" s="1"/>
  <c r="S679" i="52"/>
  <c r="T679" i="52" s="1"/>
  <c r="S34" i="52"/>
  <c r="U34" i="52" s="1"/>
  <c r="S353" i="52"/>
  <c r="U353" i="52" s="1"/>
  <c r="S90" i="52"/>
  <c r="U90" i="52" s="1"/>
  <c r="S217" i="52"/>
  <c r="U217" i="52" s="1"/>
  <c r="S730" i="52"/>
  <c r="T730" i="52" s="1"/>
  <c r="S566" i="52"/>
  <c r="U566" i="52" s="1"/>
  <c r="S776" i="52"/>
  <c r="T776" i="52" s="1"/>
  <c r="S558" i="52"/>
  <c r="U558" i="52" s="1"/>
  <c r="S570" i="52"/>
  <c r="U570" i="52" s="1"/>
  <c r="S591" i="52"/>
  <c r="U591" i="52" s="1"/>
  <c r="S408" i="52"/>
  <c r="U408" i="52" s="1"/>
  <c r="S501" i="52"/>
  <c r="U501" i="52" s="1"/>
  <c r="S401" i="52"/>
  <c r="T401" i="52" s="1"/>
  <c r="S512" i="52"/>
  <c r="U512" i="52" s="1"/>
  <c r="S417" i="52"/>
  <c r="U417" i="52" s="1"/>
  <c r="S198" i="52"/>
  <c r="U198" i="52" s="1"/>
  <c r="S458" i="52"/>
  <c r="T458" i="52" s="1"/>
  <c r="S120" i="52"/>
  <c r="T120" i="52" s="1"/>
  <c r="S403" i="52"/>
  <c r="U403" i="52" s="1"/>
  <c r="S352" i="52"/>
  <c r="U352" i="52" s="1"/>
  <c r="S578" i="52"/>
  <c r="U578" i="52" s="1"/>
  <c r="S239" i="52"/>
  <c r="U239" i="52" s="1"/>
  <c r="S752" i="52"/>
  <c r="U752" i="52" s="1"/>
  <c r="S768" i="52"/>
  <c r="S19" i="52"/>
  <c r="U19" i="52" s="1"/>
  <c r="S759" i="52"/>
  <c r="T759" i="52" s="1"/>
  <c r="S462" i="52"/>
  <c r="T462" i="52" s="1"/>
  <c r="S206" i="52"/>
  <c r="U206" i="52" s="1"/>
  <c r="S746" i="52"/>
  <c r="U746" i="52" s="1"/>
  <c r="S419" i="52"/>
  <c r="U419" i="52" s="1"/>
  <c r="S491" i="52"/>
  <c r="U491" i="52" s="1"/>
  <c r="S742" i="52"/>
  <c r="U742" i="52" s="1"/>
  <c r="S625" i="52"/>
  <c r="U625" i="52" s="1"/>
  <c r="S516" i="52"/>
  <c r="U516" i="52" s="1"/>
  <c r="S725" i="52"/>
  <c r="T725" i="52" s="1"/>
  <c r="S804" i="52"/>
  <c r="S325" i="52"/>
  <c r="T325" i="52" s="1"/>
  <c r="S800" i="52"/>
  <c r="U800" i="52" s="1"/>
  <c r="S396" i="52"/>
  <c r="T396" i="52" s="1"/>
  <c r="S619" i="52"/>
  <c r="U619" i="52" s="1"/>
  <c r="S228" i="52"/>
  <c r="U228" i="52" s="1"/>
  <c r="S267" i="52"/>
  <c r="U267" i="52" s="1"/>
  <c r="S551" i="52"/>
  <c r="U551" i="52" s="1"/>
  <c r="S334" i="52"/>
  <c r="U334" i="52" s="1"/>
  <c r="S86" i="52"/>
  <c r="U86" i="52" s="1"/>
  <c r="S365" i="52"/>
  <c r="U365" i="52" s="1"/>
  <c r="S815" i="52"/>
  <c r="T815" i="52" s="1"/>
  <c r="S789" i="52"/>
  <c r="S410" i="52"/>
  <c r="T410" i="52" s="1"/>
  <c r="S604" i="52"/>
  <c r="T604" i="52" s="1"/>
  <c r="S541" i="52"/>
  <c r="T541" i="52" s="1"/>
  <c r="S621" i="52"/>
  <c r="T621" i="52" s="1"/>
  <c r="S661" i="52"/>
  <c r="T661" i="52" s="1"/>
  <c r="S690" i="52"/>
  <c r="T690" i="52" s="1"/>
  <c r="S74" i="52"/>
  <c r="T74" i="52" s="1"/>
  <c r="S232" i="52"/>
  <c r="U232" i="52" s="1"/>
  <c r="S201" i="52"/>
  <c r="T201" i="52" s="1"/>
  <c r="S122" i="52"/>
  <c r="U122" i="52" s="1"/>
  <c r="S648" i="52"/>
  <c r="U648" i="52" s="1"/>
  <c r="S582" i="52"/>
  <c r="T582" i="52" s="1"/>
  <c r="S178" i="52"/>
  <c r="T178" i="52" s="1"/>
  <c r="S15" i="52"/>
  <c r="U15" i="52" s="1"/>
  <c r="S358" i="52"/>
  <c r="T358" i="52" s="1"/>
  <c r="S72" i="52"/>
  <c r="U72" i="52" s="1"/>
  <c r="S443" i="52"/>
  <c r="T443" i="52" s="1"/>
  <c r="S795" i="52"/>
  <c r="U795" i="52" s="1"/>
  <c r="S176" i="52"/>
  <c r="U176" i="52" s="1"/>
  <c r="S557" i="52"/>
  <c r="U557" i="52" s="1"/>
  <c r="S644" i="52"/>
  <c r="T644" i="52" s="1"/>
  <c r="S370" i="52"/>
  <c r="U370" i="52" s="1"/>
  <c r="S162" i="52"/>
  <c r="U162" i="52" s="1"/>
  <c r="S513" i="52"/>
  <c r="S279" i="52"/>
  <c r="T279" i="52" s="1"/>
  <c r="S479" i="52"/>
  <c r="U479" i="52" s="1"/>
  <c r="S515" i="52"/>
  <c r="U515" i="52" s="1"/>
  <c r="S305" i="52"/>
  <c r="U305" i="52" s="1"/>
  <c r="S243" i="52"/>
  <c r="T243" i="52" s="1"/>
  <c r="S692" i="52"/>
  <c r="U692" i="52" s="1"/>
  <c r="S131" i="52"/>
  <c r="T131" i="52" s="1"/>
  <c r="S22" i="52"/>
  <c r="U22" i="52" s="1"/>
  <c r="S691" i="52"/>
  <c r="U691" i="52" s="1"/>
  <c r="S38" i="52"/>
  <c r="T38" i="52" s="1"/>
  <c r="S740" i="52"/>
  <c r="U740" i="52" s="1"/>
  <c r="S273" i="52"/>
  <c r="S562" i="52"/>
  <c r="U562" i="52" s="1"/>
  <c r="S635" i="52"/>
  <c r="U635" i="52" s="1"/>
  <c r="S455" i="52"/>
  <c r="T455" i="52" s="1"/>
  <c r="S44" i="52"/>
  <c r="U44" i="52" s="1"/>
  <c r="S437" i="52"/>
  <c r="T437" i="52" s="1"/>
  <c r="S439" i="52"/>
  <c r="U439" i="52" s="1"/>
  <c r="S304" i="52"/>
  <c r="U304" i="52" s="1"/>
  <c r="S574" i="52"/>
  <c r="U574" i="52" s="1"/>
  <c r="S674" i="52"/>
  <c r="T674" i="52" s="1"/>
  <c r="S693" i="52"/>
  <c r="U693" i="52" s="1"/>
  <c r="S143" i="52"/>
  <c r="T143" i="52" s="1"/>
  <c r="S494" i="52"/>
  <c r="S346" i="52"/>
  <c r="U346" i="52" s="1"/>
  <c r="S181" i="52"/>
  <c r="U181" i="52" s="1"/>
  <c r="S556" i="52"/>
  <c r="U556" i="52" s="1"/>
  <c r="S548" i="52"/>
  <c r="U548" i="52" s="1"/>
  <c r="S213" i="52"/>
  <c r="T213" i="52" s="1"/>
  <c r="S82" i="52"/>
  <c r="U82" i="52" s="1"/>
  <c r="S806" i="52"/>
  <c r="U806" i="52" s="1"/>
  <c r="S660" i="52"/>
  <c r="U660" i="52" s="1"/>
  <c r="S14" i="52"/>
  <c r="U14" i="52" s="1"/>
  <c r="S714" i="52"/>
  <c r="U714" i="52" s="1"/>
  <c r="S226" i="52"/>
  <c r="U226" i="52" s="1"/>
  <c r="S651" i="52"/>
  <c r="S247" i="52"/>
  <c r="U247" i="52" s="1"/>
  <c r="S260" i="52"/>
  <c r="U260" i="52" s="1"/>
  <c r="S48" i="52"/>
  <c r="U48" i="52" s="1"/>
  <c r="S451" i="52"/>
  <c r="U451" i="52" s="1"/>
  <c r="S524" i="52"/>
  <c r="T524" i="52" s="1"/>
  <c r="S139" i="52"/>
  <c r="T139" i="52" s="1"/>
  <c r="S373" i="52"/>
  <c r="T373" i="52" s="1"/>
  <c r="S333" i="52"/>
  <c r="U333" i="52" s="1"/>
  <c r="S281" i="52"/>
  <c r="U281" i="52" s="1"/>
  <c r="S603" i="52"/>
  <c r="U603" i="52" s="1"/>
  <c r="S812" i="52"/>
  <c r="U812" i="52" s="1"/>
  <c r="S6" i="52"/>
  <c r="S203" i="52"/>
  <c r="T203" i="52" s="1"/>
  <c r="S689" i="52"/>
  <c r="U689" i="52" s="1"/>
  <c r="S724" i="52"/>
  <c r="U724" i="52" s="1"/>
  <c r="S412" i="52"/>
  <c r="U412" i="52" s="1"/>
  <c r="S498" i="52"/>
  <c r="U498" i="52" s="1"/>
  <c r="S350" i="52"/>
  <c r="U350" i="52" s="1"/>
  <c r="S303" i="52"/>
  <c r="U303" i="52" s="1"/>
  <c r="S627" i="52"/>
  <c r="U627" i="52" s="1"/>
  <c r="S36" i="52"/>
  <c r="U36" i="52" s="1"/>
  <c r="S167" i="52"/>
  <c r="U167" i="52" s="1"/>
  <c r="S229" i="52"/>
  <c r="U229" i="52" s="1"/>
  <c r="S704" i="52"/>
  <c r="U704" i="52" s="1"/>
  <c r="S611" i="52"/>
  <c r="U611" i="52" s="1"/>
  <c r="S683" i="52"/>
  <c r="U683" i="52" s="1"/>
  <c r="S659" i="52"/>
  <c r="U659" i="52" s="1"/>
  <c r="S521" i="52"/>
  <c r="U521" i="52" s="1"/>
  <c r="S641" i="52"/>
  <c r="U641" i="52" s="1"/>
  <c r="S274" i="52"/>
  <c r="U274" i="52" s="1"/>
  <c r="S142" i="52"/>
  <c r="T142" i="52" s="1"/>
  <c r="S295" i="52"/>
  <c r="U295" i="52" s="1"/>
  <c r="S503" i="52"/>
  <c r="U503" i="52" s="1"/>
  <c r="S282" i="52"/>
  <c r="U282" i="52" s="1"/>
  <c r="S490" i="52"/>
  <c r="U490" i="52" s="1"/>
  <c r="S532" i="52"/>
  <c r="U532" i="52" s="1"/>
  <c r="S794" i="52"/>
  <c r="U794" i="52" s="1"/>
  <c r="S629" i="52"/>
  <c r="T629" i="52" s="1"/>
  <c r="S300" i="52"/>
  <c r="U300" i="52" s="1"/>
  <c r="S294" i="52"/>
  <c r="T294" i="52" s="1"/>
  <c r="S297" i="52"/>
  <c r="U297" i="52" s="1"/>
  <c r="S367" i="52"/>
  <c r="U367" i="52" s="1"/>
  <c r="S227" i="52"/>
  <c r="U227" i="52" s="1"/>
  <c r="S7" i="52"/>
  <c r="U7" i="52" s="1"/>
  <c r="S459" i="52"/>
  <c r="T459" i="52" s="1"/>
  <c r="S492" i="52"/>
  <c r="U492" i="52" s="1"/>
  <c r="S609" i="52"/>
  <c r="T609" i="52" s="1"/>
  <c r="S76" i="52"/>
  <c r="U76" i="52" s="1"/>
  <c r="S250" i="52"/>
  <c r="U250" i="52" s="1"/>
  <c r="S763" i="52"/>
  <c r="T763" i="52" s="1"/>
  <c r="S391" i="52"/>
  <c r="T391" i="52" s="1"/>
  <c r="S563" i="52"/>
  <c r="T563" i="52" s="1"/>
  <c r="S577" i="52"/>
  <c r="U577" i="52" s="1"/>
  <c r="S735" i="52"/>
  <c r="T735" i="52" s="1"/>
  <c r="S310" i="52"/>
  <c r="U310" i="52" s="1"/>
  <c r="S435" i="52"/>
  <c r="U435" i="52" s="1"/>
  <c r="S797" i="52"/>
  <c r="U797" i="52" s="1"/>
  <c r="S450" i="52"/>
  <c r="U450" i="52" s="1"/>
  <c r="S614" i="52"/>
  <c r="U614" i="52" s="1"/>
  <c r="S68" i="52"/>
  <c r="S238" i="52"/>
  <c r="U238" i="52" s="1"/>
  <c r="S64" i="52"/>
  <c r="T64" i="52" s="1"/>
  <c r="S154" i="52"/>
  <c r="U154" i="52" s="1"/>
  <c r="S163" i="52"/>
  <c r="U163" i="52" s="1"/>
  <c r="S246" i="52"/>
  <c r="U246" i="52" s="1"/>
  <c r="S680" i="52"/>
  <c r="T680" i="52" s="1"/>
  <c r="S182" i="52"/>
  <c r="U182" i="52" s="1"/>
  <c r="S75" i="52"/>
  <c r="T75" i="52" s="1"/>
  <c r="S329" i="52"/>
  <c r="U329" i="52" s="1"/>
  <c r="S119" i="52"/>
  <c r="U119" i="52" s="1"/>
  <c r="S132" i="52"/>
  <c r="U132" i="52" s="1"/>
  <c r="S502" i="52"/>
  <c r="U502" i="52" s="1"/>
  <c r="S261" i="52"/>
  <c r="U261" i="52" s="1"/>
  <c r="S275" i="52"/>
  <c r="T275" i="52" s="1"/>
  <c r="S65" i="52"/>
  <c r="U65" i="52" s="1"/>
  <c r="S576" i="52"/>
  <c r="U576" i="52" s="1"/>
  <c r="S390" i="52"/>
  <c r="U390" i="52" s="1"/>
  <c r="S138" i="52"/>
  <c r="U138" i="52" s="1"/>
  <c r="S351" i="52"/>
  <c r="U351" i="52" s="1"/>
  <c r="S207" i="52"/>
  <c r="U207" i="52" s="1"/>
  <c r="S197" i="52"/>
  <c r="U197" i="52" s="1"/>
  <c r="S504" i="52"/>
  <c r="U504" i="52" s="1"/>
  <c r="S434" i="52"/>
  <c r="T434" i="52" s="1"/>
  <c r="S508" i="52"/>
  <c r="S66" i="52"/>
  <c r="U66" i="52" s="1"/>
  <c r="S480" i="52"/>
  <c r="T480" i="52" s="1"/>
  <c r="S500" i="52"/>
  <c r="U500" i="52" s="1"/>
  <c r="S200" i="52"/>
  <c r="U200" i="52" s="1"/>
  <c r="S436" i="52"/>
  <c r="U436" i="52" s="1"/>
  <c r="S705" i="52"/>
  <c r="U705" i="52" s="1"/>
  <c r="S607" i="52"/>
  <c r="U607" i="52" s="1"/>
  <c r="S331" i="52"/>
  <c r="T331" i="52" s="1"/>
  <c r="S171" i="52"/>
  <c r="U171" i="52" s="1"/>
  <c r="S475" i="52"/>
  <c r="U475" i="52" s="1"/>
  <c r="S702" i="52"/>
  <c r="U702" i="52" s="1"/>
  <c r="S129" i="52"/>
  <c r="U129" i="52" s="1"/>
  <c r="S219" i="52"/>
  <c r="T219" i="52" s="1"/>
  <c r="S29" i="52"/>
  <c r="U29" i="52" s="1"/>
  <c r="S189" i="52"/>
  <c r="T189" i="52" s="1"/>
  <c r="S32" i="52"/>
  <c r="U32" i="52" s="1"/>
  <c r="S429" i="52"/>
  <c r="U429" i="52" s="1"/>
  <c r="S345" i="52"/>
  <c r="U345" i="52" s="1"/>
  <c r="S376" i="52"/>
  <c r="U376" i="52" s="1"/>
  <c r="S338" i="52"/>
  <c r="T338" i="52" s="1"/>
  <c r="S711" i="52"/>
  <c r="U711" i="52" s="1"/>
  <c r="S723" i="52"/>
  <c r="T723" i="52" s="1"/>
  <c r="S215" i="52"/>
  <c r="U215" i="52" s="1"/>
  <c r="S666" i="52"/>
  <c r="U666" i="52" s="1"/>
  <c r="S572" i="52"/>
  <c r="T572" i="52" s="1"/>
  <c r="S254" i="52"/>
  <c r="T254" i="52" s="1"/>
  <c r="S339" i="52"/>
  <c r="U339" i="52" s="1"/>
  <c r="S650" i="52"/>
  <c r="U650" i="52" s="1"/>
  <c r="S472" i="52"/>
  <c r="U472" i="52" s="1"/>
  <c r="S291" i="52"/>
  <c r="U291" i="52" s="1"/>
  <c r="S285" i="52"/>
  <c r="T285" i="52" s="1"/>
  <c r="S761" i="52"/>
  <c r="U761" i="52" s="1"/>
  <c r="S718" i="52"/>
  <c r="T718" i="52" s="1"/>
  <c r="S622" i="52"/>
  <c r="T622" i="52" s="1"/>
  <c r="S99" i="52"/>
  <c r="U99" i="52" s="1"/>
  <c r="S810" i="52"/>
  <c r="U810" i="52" s="1"/>
  <c r="S426" i="52"/>
  <c r="U426" i="52" s="1"/>
  <c r="S595" i="52"/>
  <c r="T595" i="52" s="1"/>
  <c r="S530" i="52"/>
  <c r="U530" i="52" s="1"/>
  <c r="S73" i="52"/>
  <c r="U73" i="52" s="1"/>
  <c r="S108" i="52"/>
  <c r="T108" i="52" s="1"/>
  <c r="S461" i="52"/>
  <c r="T461" i="52" s="1"/>
  <c r="S8" i="52"/>
  <c r="T8" i="52" s="1"/>
  <c r="S194" i="52"/>
  <c r="U194" i="52" s="1"/>
  <c r="S676" i="52"/>
  <c r="U676" i="52" s="1"/>
  <c r="S160" i="52"/>
  <c r="T160" i="52" s="1"/>
  <c r="S177" i="52"/>
  <c r="U177" i="52" s="1"/>
  <c r="S511" i="52"/>
  <c r="U511" i="52" s="1"/>
  <c r="S289" i="52"/>
  <c r="T289" i="52" s="1"/>
  <c r="S775" i="52"/>
  <c r="U775" i="52" s="1"/>
  <c r="S55" i="52"/>
  <c r="U55" i="52" s="1"/>
  <c r="S363" i="52"/>
  <c r="U363" i="52" s="1"/>
  <c r="S158" i="52"/>
  <c r="T158" i="52" s="1"/>
  <c r="S84" i="52"/>
  <c r="T84" i="52" s="1"/>
  <c r="S734" i="52"/>
  <c r="U734" i="52" s="1"/>
  <c r="S684" i="52"/>
  <c r="U684" i="52" s="1"/>
  <c r="S398" i="52"/>
  <c r="T398" i="52" s="1"/>
  <c r="S469" i="52"/>
  <c r="U469" i="52" s="1"/>
  <c r="S174" i="52"/>
  <c r="U174" i="52" s="1"/>
  <c r="S136" i="52"/>
  <c r="S719" i="52"/>
  <c r="T719" i="52" s="1"/>
  <c r="S726" i="52"/>
  <c r="T726" i="52" s="1"/>
  <c r="S671" i="52"/>
  <c r="U671" i="52" s="1"/>
  <c r="S42" i="52"/>
  <c r="T42" i="52" s="1"/>
  <c r="S276" i="52"/>
  <c r="U276" i="52" s="1"/>
  <c r="S399" i="52"/>
  <c r="T399" i="52" s="1"/>
  <c r="S326" i="52"/>
  <c r="U326" i="52" s="1"/>
  <c r="S81" i="52"/>
  <c r="U81" i="52" s="1"/>
  <c r="S527" i="52"/>
  <c r="U527" i="52" s="1"/>
  <c r="S35" i="52"/>
  <c r="U35" i="52" s="1"/>
  <c r="S248" i="52"/>
  <c r="U248" i="52" s="1"/>
  <c r="S675" i="52"/>
  <c r="S617" i="52"/>
  <c r="T617" i="52" s="1"/>
  <c r="S170" i="52"/>
  <c r="U170" i="52" s="1"/>
  <c r="S672" i="52"/>
  <c r="U672" i="52" s="1"/>
  <c r="S489" i="52"/>
  <c r="T489" i="52" s="1"/>
  <c r="S26" i="52"/>
  <c r="U26" i="52" s="1"/>
  <c r="S420" i="52"/>
  <c r="T420" i="52" s="1"/>
  <c r="S473" i="52"/>
  <c r="T473" i="52" s="1"/>
  <c r="S748" i="52"/>
  <c r="T748" i="52" s="1"/>
  <c r="S592" i="52"/>
  <c r="U592" i="52" s="1"/>
  <c r="S744" i="52"/>
  <c r="U744" i="52" s="1"/>
  <c r="S423" i="52"/>
  <c r="U423" i="52" s="1"/>
  <c r="S539" i="52"/>
  <c r="S13" i="52"/>
  <c r="U13" i="52" s="1"/>
  <c r="S148" i="52"/>
  <c r="U148" i="52" s="1"/>
  <c r="S667" i="52"/>
  <c r="U667" i="52" s="1"/>
  <c r="S584" i="52"/>
  <c r="U584" i="52" s="1"/>
  <c r="S395" i="52"/>
  <c r="T395" i="52" s="1"/>
  <c r="S18" i="52"/>
  <c r="U18" i="52" s="1"/>
  <c r="S477" i="52"/>
  <c r="U477" i="52" s="1"/>
  <c r="S587" i="52"/>
  <c r="U587" i="52" s="1"/>
  <c r="S113" i="52"/>
  <c r="U113" i="52" s="1"/>
  <c r="S100" i="52"/>
  <c r="T100" i="52" s="1"/>
  <c r="S466" i="52"/>
  <c r="U466" i="52" s="1"/>
  <c r="S444" i="52"/>
  <c r="U444" i="52" s="1"/>
  <c r="S211" i="52"/>
  <c r="U211" i="52" s="1"/>
  <c r="S698" i="52"/>
  <c r="U698" i="52" s="1"/>
  <c r="S418" i="52"/>
  <c r="T418" i="52" s="1"/>
  <c r="S187" i="52"/>
  <c r="U187" i="52" s="1"/>
  <c r="S708" i="52"/>
  <c r="T708" i="52" s="1"/>
  <c r="S241" i="52"/>
  <c r="U241" i="52" s="1"/>
  <c r="S242" i="52"/>
  <c r="U242" i="52" s="1"/>
  <c r="S590" i="52"/>
  <c r="U590" i="52" s="1"/>
  <c r="S441" i="52"/>
  <c r="U441" i="52" s="1"/>
  <c r="S425" i="52"/>
  <c r="U425" i="52" s="1"/>
  <c r="S633" i="52"/>
  <c r="U633" i="52" s="1"/>
  <c r="S658" i="52"/>
  <c r="U658" i="52" s="1"/>
  <c r="S602" i="52"/>
  <c r="U602" i="52" s="1"/>
  <c r="S372" i="52"/>
  <c r="U372" i="52" s="1"/>
  <c r="S292" i="52"/>
  <c r="T292" i="52" s="1"/>
  <c r="S713" i="52"/>
  <c r="U713" i="52" s="1"/>
  <c r="S133" i="52"/>
  <c r="T133" i="52" s="1"/>
  <c r="S225" i="52"/>
  <c r="T225" i="52" s="1"/>
  <c r="S237" i="52"/>
  <c r="U237" i="52" s="1"/>
  <c r="S97" i="52"/>
  <c r="U97" i="52" s="1"/>
  <c r="S271" i="52"/>
  <c r="U271" i="52" s="1"/>
  <c r="S202" i="52"/>
  <c r="U202" i="52" s="1"/>
  <c r="S269" i="52"/>
  <c r="T269" i="52" s="1"/>
  <c r="S585" i="52"/>
  <c r="U585" i="52" s="1"/>
  <c r="S605" i="52"/>
  <c r="U605" i="52" s="1"/>
  <c r="S701" i="52"/>
  <c r="T701" i="52" s="1"/>
  <c r="S499" i="52"/>
  <c r="U499" i="52" s="1"/>
  <c r="S496" i="52"/>
  <c r="U496" i="52" s="1"/>
  <c r="S114" i="52"/>
  <c r="T114" i="52" s="1"/>
  <c r="S384" i="52"/>
  <c r="U384" i="52" s="1"/>
  <c r="S525" i="52"/>
  <c r="U525" i="52" s="1"/>
  <c r="S278" i="52"/>
  <c r="U278" i="52" s="1"/>
  <c r="S126" i="52"/>
  <c r="U126" i="52" s="1"/>
  <c r="S753" i="52"/>
  <c r="U753" i="52" s="1"/>
  <c r="S404" i="52"/>
  <c r="U404" i="52" s="1"/>
  <c r="S93" i="52"/>
  <c r="U93" i="52" s="1"/>
  <c r="S522" i="52"/>
  <c r="U522" i="52" s="1"/>
  <c r="S755" i="52"/>
  <c r="T755" i="52" s="1"/>
  <c r="S214" i="52"/>
  <c r="U214" i="52" s="1"/>
  <c r="S262" i="52"/>
  <c r="U262" i="52" s="1"/>
  <c r="S137" i="52"/>
  <c r="T137" i="52" s="1"/>
  <c r="S771" i="52"/>
  <c r="U771" i="52" s="1"/>
  <c r="S383" i="52"/>
  <c r="U383" i="52" s="1"/>
  <c r="S656" i="52"/>
  <c r="U656" i="52" s="1"/>
  <c r="S517" i="52"/>
  <c r="T517" i="52" s="1"/>
  <c r="S569" i="52"/>
  <c r="U569" i="52" s="1"/>
  <c r="S799" i="52"/>
  <c r="T799" i="52" s="1"/>
  <c r="S70" i="52"/>
  <c r="U70" i="52" s="1"/>
  <c r="U196" i="52"/>
  <c r="T196" i="52"/>
  <c r="U316" i="52"/>
  <c r="T316" i="52"/>
  <c r="U793" i="52"/>
  <c r="T793" i="52"/>
  <c r="U3" i="52"/>
  <c r="T3" i="52"/>
  <c r="U366" i="52"/>
  <c r="T366" i="52"/>
  <c r="U323" i="52"/>
  <c r="T323" i="52"/>
  <c r="U411" i="52"/>
  <c r="T411" i="52"/>
  <c r="U378" i="52"/>
  <c r="T378" i="52"/>
  <c r="U190" i="52"/>
  <c r="T190" i="52"/>
  <c r="U184" i="52"/>
  <c r="T184" i="52"/>
  <c r="U507" i="52"/>
  <c r="T507" i="52"/>
  <c r="U678" i="52"/>
  <c r="T678" i="52"/>
  <c r="U218" i="52"/>
  <c r="T218" i="52"/>
  <c r="U766" i="52"/>
  <c r="T766" i="52"/>
  <c r="U9" i="52"/>
  <c r="T9" i="52"/>
  <c r="U679" i="52"/>
  <c r="U729" i="52"/>
  <c r="T729" i="52"/>
  <c r="U783" i="52"/>
  <c r="T783" i="52"/>
  <c r="U778" i="52"/>
  <c r="T778" i="52"/>
  <c r="U94" i="52"/>
  <c r="T94" i="52"/>
  <c r="U432" i="52"/>
  <c r="T432" i="52"/>
  <c r="U781" i="52"/>
  <c r="T781" i="52"/>
  <c r="U543" i="52"/>
  <c r="T543" i="52"/>
  <c r="U212" i="52"/>
  <c r="T212" i="52"/>
  <c r="U695" i="52"/>
  <c r="T695" i="52"/>
  <c r="U593" i="52"/>
  <c r="T593" i="52"/>
  <c r="U697" i="52"/>
  <c r="T697" i="52"/>
  <c r="U529" i="52"/>
  <c r="T529" i="52"/>
  <c r="U409" i="52"/>
  <c r="T409" i="52"/>
  <c r="U12" i="52"/>
  <c r="T12" i="52"/>
  <c r="U150" i="52"/>
  <c r="T150" i="52"/>
  <c r="U582" i="52"/>
  <c r="U549" i="52"/>
  <c r="T549" i="52"/>
  <c r="T502" i="52"/>
  <c r="U68" i="52"/>
  <c r="T68" i="52"/>
  <c r="T666" i="52"/>
  <c r="T532" i="52"/>
  <c r="T704" i="52"/>
  <c r="U773" i="52"/>
  <c r="T773" i="52"/>
  <c r="U257" i="52"/>
  <c r="T257" i="52"/>
  <c r="U703" i="52"/>
  <c r="T703" i="52"/>
  <c r="U430" i="52"/>
  <c r="T430" i="52"/>
  <c r="U647" i="52"/>
  <c r="T647" i="52"/>
  <c r="U402" i="52"/>
  <c r="T402" i="52"/>
  <c r="U407" i="52"/>
  <c r="T407" i="52"/>
  <c r="U109" i="52"/>
  <c r="T109" i="52"/>
  <c r="U749" i="52"/>
  <c r="T749" i="52"/>
  <c r="U309" i="52"/>
  <c r="T309" i="52"/>
  <c r="U424" i="52"/>
  <c r="T424" i="52"/>
  <c r="U127" i="52"/>
  <c r="T127" i="52"/>
  <c r="U223" i="52"/>
  <c r="T223" i="52"/>
  <c r="U447" i="52"/>
  <c r="T447" i="52"/>
  <c r="U165" i="52"/>
  <c r="T165" i="52"/>
  <c r="U513" i="52"/>
  <c r="T513" i="52"/>
  <c r="U273" i="52"/>
  <c r="T273" i="52"/>
  <c r="U494" i="52"/>
  <c r="T494" i="52"/>
  <c r="U651" i="52"/>
  <c r="T651" i="52"/>
  <c r="U6" i="52"/>
  <c r="T6" i="52"/>
  <c r="U784" i="52"/>
  <c r="T784" i="52"/>
  <c r="U146" i="52"/>
  <c r="T146" i="52"/>
  <c r="U58" i="52"/>
  <c r="T58" i="52"/>
  <c r="U259" i="52"/>
  <c r="T259" i="52"/>
  <c r="U728" i="52"/>
  <c r="U640" i="52"/>
  <c r="T640" i="52"/>
  <c r="U272" i="52"/>
  <c r="T272" i="52"/>
  <c r="U706" i="52"/>
  <c r="T706" i="52"/>
  <c r="U355" i="52"/>
  <c r="T355" i="52"/>
  <c r="T327" i="52"/>
  <c r="U573" i="52"/>
  <c r="T573" i="52"/>
  <c r="U40" i="52"/>
  <c r="T40" i="52"/>
  <c r="T743" i="52"/>
  <c r="T483" i="52"/>
  <c r="U465" i="52"/>
  <c r="T465" i="52"/>
  <c r="U421" i="52"/>
  <c r="T421" i="52"/>
  <c r="T30" i="52"/>
  <c r="U155" i="52"/>
  <c r="T155" i="52"/>
  <c r="U664" i="52"/>
  <c r="T664" i="52"/>
  <c r="T348" i="52"/>
  <c r="U348" i="52"/>
  <c r="U169" i="52"/>
  <c r="T169" i="52"/>
  <c r="U161" i="52"/>
  <c r="T161" i="52"/>
  <c r="U777" i="52"/>
  <c r="T777" i="52"/>
  <c r="U341" i="52"/>
  <c r="T341" i="52"/>
  <c r="U415" i="52"/>
  <c r="T415" i="52"/>
  <c r="U166" i="52"/>
  <c r="T166" i="52"/>
  <c r="U433" i="52"/>
  <c r="T433" i="52"/>
  <c r="U561" i="52"/>
  <c r="T561" i="52"/>
  <c r="U699" i="52"/>
  <c r="T699" i="52"/>
  <c r="U612" i="52"/>
  <c r="T612" i="52"/>
  <c r="U112" i="52"/>
  <c r="T112" i="52"/>
  <c r="U175" i="52"/>
  <c r="T175" i="52"/>
  <c r="U125" i="52"/>
  <c r="T125" i="52"/>
  <c r="U682" i="52"/>
  <c r="T682" i="52"/>
  <c r="U581" i="52"/>
  <c r="T581" i="52"/>
  <c r="U623" i="52"/>
  <c r="T623" i="52"/>
  <c r="U17" i="52"/>
  <c r="T17" i="52"/>
  <c r="T540" i="52"/>
  <c r="U616" i="52"/>
  <c r="U368" i="52"/>
  <c r="T368" i="52"/>
  <c r="U88" i="52"/>
  <c r="T88" i="52"/>
  <c r="U296" i="52"/>
  <c r="T296" i="52"/>
  <c r="T135" i="52"/>
  <c r="U135" i="52"/>
  <c r="U440" i="52"/>
  <c r="T440" i="52"/>
  <c r="T599" i="52"/>
  <c r="U599" i="52"/>
  <c r="U741" i="52"/>
  <c r="T600" i="52"/>
  <c r="U371" i="52"/>
  <c r="T371" i="52"/>
  <c r="T533" i="52"/>
  <c r="U204" i="52"/>
  <c r="T204" i="52"/>
  <c r="U798" i="52"/>
  <c r="T798" i="52"/>
  <c r="U280" i="52"/>
  <c r="T280" i="52"/>
  <c r="U780" i="52"/>
  <c r="T780" i="52"/>
  <c r="U315" i="52"/>
  <c r="T315" i="52"/>
  <c r="U547" i="52"/>
  <c r="T547" i="52"/>
  <c r="U754" i="52"/>
  <c r="T754" i="52"/>
  <c r="U318" i="52"/>
  <c r="T318" i="52"/>
  <c r="U580" i="52"/>
  <c r="T580" i="52"/>
  <c r="U375" i="52"/>
  <c r="T375" i="52"/>
  <c r="U195" i="52"/>
  <c r="T195" i="52"/>
  <c r="U37" i="52"/>
  <c r="T37" i="52"/>
  <c r="T311" i="52"/>
  <c r="U722" i="52"/>
  <c r="T722" i="52"/>
  <c r="T210" i="52"/>
  <c r="U476" i="52"/>
  <c r="T476" i="52"/>
  <c r="T553" i="52"/>
  <c r="T221" i="52"/>
  <c r="U518" i="52"/>
  <c r="T518" i="52"/>
  <c r="U758" i="52"/>
  <c r="T758" i="52"/>
  <c r="U764" i="52"/>
  <c r="T764" i="52"/>
  <c r="U745" i="52"/>
  <c r="U716" i="52"/>
  <c r="T716" i="52"/>
  <c r="U482" i="52"/>
  <c r="T482" i="52"/>
  <c r="T642" i="52"/>
  <c r="U349" i="52"/>
  <c r="T349" i="52"/>
  <c r="U152" i="52"/>
  <c r="T152" i="52"/>
  <c r="U324" i="52"/>
  <c r="T324" i="52"/>
  <c r="T188" i="52"/>
  <c r="U188" i="52"/>
  <c r="T544" i="52"/>
  <c r="U544" i="52"/>
  <c r="U652" i="52"/>
  <c r="U145" i="52"/>
  <c r="T145" i="52"/>
  <c r="T677" i="52"/>
  <c r="U677" i="52"/>
  <c r="U768" i="52"/>
  <c r="T768" i="52"/>
  <c r="U571" i="52"/>
  <c r="T571" i="52"/>
  <c r="U786" i="52"/>
  <c r="U804" i="52"/>
  <c r="T804" i="52"/>
  <c r="U802" i="52"/>
  <c r="T802" i="52"/>
  <c r="U610" i="52"/>
  <c r="U449" i="52"/>
  <c r="T449" i="52"/>
  <c r="T789" i="52"/>
  <c r="U789" i="52"/>
  <c r="U410" i="52"/>
  <c r="U314" i="52"/>
  <c r="T314" i="52"/>
  <c r="U414" i="52"/>
  <c r="T414" i="52"/>
  <c r="U136" i="52"/>
  <c r="T136" i="52"/>
  <c r="U508" i="52"/>
  <c r="T508" i="52"/>
  <c r="T129" i="52"/>
  <c r="U675" i="52"/>
  <c r="T675" i="52"/>
  <c r="T539" i="52"/>
  <c r="U539" i="52"/>
  <c r="U179" i="52"/>
  <c r="T179" i="52"/>
  <c r="U606" i="52"/>
  <c r="T606" i="52"/>
  <c r="U779" i="52"/>
  <c r="T779" i="52"/>
  <c r="U313" i="52"/>
  <c r="T313" i="52"/>
  <c r="U552" i="52"/>
  <c r="T552" i="52"/>
  <c r="U770" i="52"/>
  <c r="T770" i="52"/>
  <c r="U317" i="52"/>
  <c r="T317" i="52"/>
  <c r="U392" i="52"/>
  <c r="T392" i="52"/>
  <c r="U654" i="52"/>
  <c r="U596" i="52"/>
  <c r="T596" i="52"/>
  <c r="U816" i="52"/>
  <c r="T816" i="52"/>
  <c r="S286" i="52"/>
  <c r="S216" i="52"/>
  <c r="S497" i="52"/>
  <c r="S662" i="52"/>
  <c r="S151" i="52"/>
  <c r="S583" i="52"/>
  <c r="S115" i="52"/>
  <c r="S24" i="52"/>
  <c r="S39" i="52"/>
  <c r="S762" i="52"/>
  <c r="S687" i="52"/>
  <c r="S620" i="52"/>
  <c r="S191" i="52"/>
  <c r="S560" i="52"/>
  <c r="S245" i="52"/>
  <c r="S534" i="52"/>
  <c r="S199" i="52"/>
  <c r="S760" i="52"/>
  <c r="S608" i="52"/>
  <c r="S298" i="52"/>
  <c r="S618" i="52"/>
  <c r="S252" i="52"/>
  <c r="S550" i="52"/>
  <c r="S588" i="52"/>
  <c r="S431" i="52"/>
  <c r="S43" i="52"/>
  <c r="S344" i="52"/>
  <c r="S767" i="52"/>
  <c r="S565" i="52"/>
  <c r="S613" i="52"/>
  <c r="S233" i="52"/>
  <c r="S56" i="52"/>
  <c r="S87" i="52"/>
  <c r="S4" i="52"/>
  <c r="S663" i="52"/>
  <c r="S468" i="52"/>
  <c r="S394" i="52"/>
  <c r="S643" i="52"/>
  <c r="S400" i="52"/>
  <c r="S669" i="52"/>
  <c r="S102" i="52"/>
  <c r="S364" i="52"/>
  <c r="S270" i="52"/>
  <c r="S721" i="52"/>
  <c r="S615" i="52"/>
  <c r="S110" i="52"/>
  <c r="S328" i="52"/>
  <c r="S756" i="52"/>
  <c r="S265" i="52"/>
  <c r="S208" i="52"/>
  <c r="S159" i="52"/>
  <c r="S360" i="52"/>
  <c r="S700" i="52"/>
  <c r="S377" i="52"/>
  <c r="S359" i="52"/>
  <c r="S416" i="52"/>
  <c r="S785" i="52"/>
  <c r="S20" i="52"/>
  <c r="S710" i="52"/>
  <c r="S598" i="52"/>
  <c r="S809" i="52"/>
  <c r="S747" i="52"/>
  <c r="S78" i="52"/>
  <c r="S134" i="52"/>
  <c r="S387" i="52"/>
  <c r="S256" i="52"/>
  <c r="S427" i="52"/>
  <c r="S284" i="52"/>
  <c r="S686" i="52"/>
  <c r="S57" i="52"/>
  <c r="S185" i="52"/>
  <c r="S111" i="52"/>
  <c r="S626" i="52"/>
  <c r="S813" i="52"/>
  <c r="S486" i="52"/>
  <c r="S335" i="52"/>
  <c r="S236" i="52"/>
  <c r="S192" i="52"/>
  <c r="S28" i="52"/>
  <c r="S446" i="52"/>
  <c r="S731" i="52"/>
  <c r="S130" i="52"/>
  <c r="S287" i="52"/>
  <c r="S636" i="52"/>
  <c r="S258" i="52"/>
  <c r="S149" i="52"/>
  <c r="S579" i="52"/>
  <c r="S772" i="52"/>
  <c r="S631" i="52"/>
  <c r="S307" i="52"/>
  <c r="S153" i="52"/>
  <c r="S157" i="52"/>
  <c r="S717" i="52"/>
  <c r="S628" i="52"/>
  <c r="S116" i="52"/>
  <c r="S230" i="52"/>
  <c r="S805" i="52"/>
  <c r="S385" i="52"/>
  <c r="S205" i="52"/>
  <c r="S528" i="52"/>
  <c r="S538" i="52"/>
  <c r="S442" i="52"/>
  <c r="S25" i="52"/>
  <c r="S31" i="52"/>
  <c r="S85" i="52"/>
  <c r="S774" i="52"/>
  <c r="S98" i="52"/>
  <c r="S379" i="52"/>
  <c r="S301" i="52"/>
  <c r="S509" i="52"/>
  <c r="S53" i="52"/>
  <c r="S594" i="52"/>
  <c r="S11" i="52"/>
  <c r="S787" i="52"/>
  <c r="S266" i="52"/>
  <c r="S487" i="52"/>
  <c r="U147" i="52"/>
  <c r="T147" i="52"/>
  <c r="T720" i="52"/>
  <c r="U720" i="52"/>
  <c r="U782" i="52"/>
  <c r="T782" i="52"/>
  <c r="T156" i="52"/>
  <c r="U156" i="52"/>
  <c r="U526" i="52"/>
  <c r="T526" i="52"/>
  <c r="T413" i="52"/>
  <c r="U413" i="52"/>
  <c r="U263" i="52"/>
  <c r="T263" i="52"/>
  <c r="T103" i="52"/>
  <c r="U103" i="52"/>
  <c r="U302" i="52"/>
  <c r="T302" i="52"/>
  <c r="T16" i="52"/>
  <c r="U16" i="52"/>
  <c r="U438" i="52"/>
  <c r="T438" i="52"/>
  <c r="T597" i="52"/>
  <c r="U597" i="52"/>
  <c r="U715" i="52"/>
  <c r="T715" i="52"/>
  <c r="T463" i="52"/>
  <c r="U463" i="52"/>
  <c r="U45" i="52"/>
  <c r="T45" i="52"/>
  <c r="D806" i="44"/>
  <c r="D1191" i="44"/>
  <c r="D602" i="44"/>
  <c r="D68" i="44"/>
  <c r="D1424" i="44"/>
  <c r="D1047" i="44"/>
  <c r="D1501" i="44"/>
  <c r="D28" i="44"/>
  <c r="D1616" i="44"/>
  <c r="D1020" i="44"/>
  <c r="D237" i="44"/>
  <c r="D1040" i="44"/>
  <c r="D1646" i="44"/>
  <c r="D1581" i="44"/>
  <c r="D193" i="44"/>
  <c r="D11" i="44"/>
  <c r="D184" i="44"/>
  <c r="D1332" i="44"/>
  <c r="D1718" i="44"/>
  <c r="D1190" i="44"/>
  <c r="D1260" i="44"/>
  <c r="D77" i="44"/>
  <c r="D1520" i="44"/>
  <c r="D111" i="44"/>
  <c r="D1691" i="44"/>
  <c r="D49" i="44"/>
  <c r="D1572" i="44"/>
  <c r="D1025" i="44"/>
  <c r="D1415" i="44"/>
  <c r="D330" i="44"/>
  <c r="D861" i="44"/>
  <c r="D407" i="44"/>
  <c r="D659" i="44"/>
  <c r="D1509" i="44"/>
  <c r="D1683" i="44"/>
  <c r="D471" i="44"/>
  <c r="D1174" i="44"/>
  <c r="D1261" i="44"/>
  <c r="D1428" i="44"/>
  <c r="D15" i="44"/>
  <c r="D1660" i="44"/>
  <c r="D256" i="44"/>
  <c r="D1483" i="44"/>
  <c r="D921" i="44"/>
  <c r="D826" i="44"/>
  <c r="D1568" i="44"/>
  <c r="D160" i="44"/>
  <c r="D1719" i="44"/>
  <c r="D1140" i="44"/>
  <c r="D919" i="44"/>
  <c r="D341" i="44"/>
  <c r="D942" i="44"/>
  <c r="D846" i="44"/>
  <c r="D1659" i="44"/>
  <c r="D226" i="44"/>
  <c r="D981" i="44"/>
  <c r="D1720" i="44"/>
  <c r="D1095" i="44"/>
  <c r="D1063" i="44"/>
  <c r="D44" i="44"/>
  <c r="D1381" i="44"/>
  <c r="D783" i="44"/>
  <c r="D1130" i="44"/>
  <c r="D1366" i="44"/>
  <c r="D1196" i="44"/>
  <c r="D764" i="44"/>
  <c r="D363" i="44"/>
  <c r="D933" i="44"/>
  <c r="D1638" i="44"/>
  <c r="D1473" i="44"/>
  <c r="D1251" i="44"/>
  <c r="D1647" i="44"/>
  <c r="D1527" i="44"/>
  <c r="D224" i="44"/>
  <c r="D1604" i="44"/>
  <c r="D1049" i="44"/>
  <c r="D982" i="44"/>
  <c r="D1279" i="44"/>
  <c r="D1351" i="44"/>
  <c r="D1564" i="44"/>
  <c r="D59" i="44"/>
  <c r="D997" i="44"/>
  <c r="D1596" i="44"/>
  <c r="D994" i="44"/>
  <c r="D1218" i="44"/>
  <c r="D751" i="44"/>
  <c r="D1650" i="44"/>
  <c r="D624" i="44"/>
  <c r="D654" i="44"/>
  <c r="D400" i="44"/>
  <c r="D22" i="44"/>
  <c r="D1291" i="44"/>
  <c r="D619" i="44"/>
  <c r="D121" i="44"/>
  <c r="D949" i="44"/>
  <c r="D983" i="44"/>
  <c r="D950" i="44"/>
  <c r="D1237" i="44"/>
  <c r="D756" i="44"/>
  <c r="D1376" i="44"/>
  <c r="D29" i="44"/>
  <c r="D1026" i="44"/>
  <c r="D1444" i="44"/>
  <c r="D660" i="44"/>
  <c r="D126" i="44"/>
  <c r="D1413" i="44"/>
  <c r="D1027" i="44"/>
  <c r="D102" i="44"/>
  <c r="D606" i="44"/>
  <c r="D873" i="44"/>
  <c r="D1454" i="44"/>
  <c r="D1048" i="44"/>
  <c r="D1232" i="44"/>
  <c r="D260" i="44"/>
  <c r="D1466" i="44"/>
  <c r="D1558" i="44"/>
  <c r="D674" i="44"/>
  <c r="D170" i="44"/>
  <c r="D107" i="44"/>
  <c r="D1303" i="44"/>
  <c r="D1429" i="44"/>
  <c r="D63" i="44"/>
  <c r="D37" i="44"/>
  <c r="D538" i="44"/>
  <c r="D1159" i="44"/>
  <c r="D1642" i="44"/>
  <c r="D396" i="44"/>
  <c r="D1388" i="44"/>
  <c r="D1124" i="44"/>
  <c r="D1162" i="44"/>
  <c r="D1252" i="44"/>
  <c r="D1688" i="44"/>
  <c r="D1323" i="44"/>
  <c r="D1368" i="44"/>
  <c r="D1358" i="44"/>
  <c r="D1409" i="44"/>
  <c r="D92" i="44"/>
  <c r="D1104" i="44"/>
  <c r="D357" i="44"/>
  <c r="D1382" i="44"/>
  <c r="D55" i="44"/>
  <c r="D50" i="44"/>
  <c r="D333" i="44"/>
  <c r="D408" i="44"/>
  <c r="D1298" i="44"/>
  <c r="D1721" i="44"/>
  <c r="D1722" i="44"/>
  <c r="D1723" i="44"/>
  <c r="D1724" i="44"/>
  <c r="D1725" i="44"/>
  <c r="D759" i="44"/>
  <c r="D1726" i="44"/>
  <c r="D1727" i="44"/>
  <c r="D1728" i="44"/>
  <c r="D1729" i="44"/>
  <c r="D1730" i="44"/>
  <c r="D1731" i="44"/>
  <c r="D1732" i="44"/>
  <c r="D1733" i="44"/>
  <c r="D1734" i="44"/>
  <c r="D1735" i="44"/>
  <c r="D1736" i="44"/>
  <c r="D1737" i="44"/>
  <c r="D1738" i="44"/>
  <c r="D1739" i="44"/>
  <c r="D1182" i="44"/>
  <c r="D1740" i="44"/>
  <c r="D1741" i="44"/>
  <c r="D1742" i="44"/>
  <c r="D1743" i="44"/>
  <c r="D1744" i="44"/>
  <c r="D1745" i="44"/>
  <c r="D1746" i="44"/>
  <c r="D1747" i="44"/>
  <c r="D1748" i="44"/>
  <c r="D571" i="44"/>
  <c r="D1749" i="44"/>
  <c r="D1750" i="44"/>
  <c r="D1751" i="44"/>
  <c r="D1752" i="44"/>
  <c r="D1753" i="44"/>
  <c r="D647" i="44"/>
  <c r="D1754" i="44"/>
  <c r="D675" i="44"/>
  <c r="D1280" i="44"/>
  <c r="D1755" i="44"/>
  <c r="D1756" i="44"/>
  <c r="D1757" i="44"/>
  <c r="D1758" i="44"/>
  <c r="D1759" i="44"/>
  <c r="D1760" i="44"/>
  <c r="D389" i="44"/>
  <c r="D1761" i="44"/>
  <c r="D1762" i="44"/>
  <c r="D1763" i="44"/>
  <c r="D1764" i="44"/>
  <c r="D108" i="44"/>
  <c r="D1765" i="44"/>
  <c r="D105" i="44"/>
  <c r="D1766" i="44"/>
  <c r="D85" i="44"/>
  <c r="D650" i="44"/>
  <c r="D1767" i="44"/>
  <c r="D669" i="44"/>
  <c r="D1768" i="44"/>
  <c r="D1769" i="44"/>
  <c r="D1770" i="44"/>
  <c r="D956" i="44"/>
  <c r="D1771" i="44"/>
  <c r="D1772" i="44"/>
  <c r="D1773" i="44"/>
  <c r="D1774" i="44"/>
  <c r="D1716" i="44"/>
  <c r="D1775" i="44"/>
  <c r="D1776" i="44"/>
  <c r="D1777" i="44"/>
  <c r="D1778" i="44"/>
  <c r="D1779" i="44"/>
  <c r="D1495" i="44"/>
  <c r="D1780" i="44"/>
  <c r="D1781" i="44"/>
  <c r="D1782" i="44"/>
  <c r="D1783" i="44"/>
  <c r="D1097" i="44"/>
  <c r="D1784" i="44"/>
  <c r="D1785" i="44"/>
  <c r="D1786" i="44"/>
  <c r="D1787" i="44"/>
  <c r="D1788" i="44"/>
  <c r="D1789" i="44"/>
  <c r="D1790" i="44"/>
  <c r="D1791" i="44"/>
  <c r="D1792" i="44"/>
  <c r="D1793" i="44"/>
  <c r="D1794" i="44"/>
  <c r="D1795" i="44"/>
  <c r="D1796" i="44"/>
  <c r="D1797" i="44"/>
  <c r="D1798" i="44"/>
  <c r="D1799" i="44"/>
  <c r="D1800" i="44"/>
  <c r="D1801" i="44"/>
  <c r="D1802" i="44"/>
  <c r="D1803" i="44"/>
  <c r="D737" i="44"/>
  <c r="D1804" i="44"/>
  <c r="D1626" i="44"/>
  <c r="D1805" i="44"/>
  <c r="D1806" i="44"/>
  <c r="D1807" i="44"/>
  <c r="D727" i="44"/>
  <c r="D79" i="44"/>
  <c r="D1808" i="44"/>
  <c r="D1809" i="44"/>
  <c r="D1810" i="44"/>
  <c r="D1811" i="44"/>
  <c r="D1812" i="44"/>
  <c r="D1813" i="44"/>
  <c r="D118" i="44"/>
  <c r="D1814" i="44"/>
  <c r="D1815" i="44"/>
  <c r="D1816" i="44"/>
  <c r="D1817" i="44"/>
  <c r="D1818" i="44"/>
  <c r="D1819" i="44"/>
  <c r="D1820" i="44"/>
  <c r="D1821" i="44"/>
  <c r="D1434" i="44"/>
  <c r="D1822" i="44"/>
  <c r="D1823" i="44"/>
  <c r="D354" i="44"/>
  <c r="D1824" i="44"/>
  <c r="D1825" i="44"/>
  <c r="D1272" i="44"/>
  <c r="D700" i="44"/>
  <c r="D1826" i="44"/>
  <c r="D1827" i="44"/>
  <c r="D1828" i="44"/>
  <c r="D1829" i="44"/>
  <c r="D1830" i="44"/>
  <c r="D1831" i="44"/>
  <c r="D1832" i="44"/>
  <c r="D575" i="44"/>
  <c r="D1833" i="44"/>
  <c r="D676" i="44"/>
  <c r="D1834" i="44"/>
  <c r="D1443" i="44"/>
  <c r="D1835" i="44"/>
  <c r="D1836" i="44"/>
  <c r="D1837" i="44"/>
  <c r="D1838" i="44"/>
  <c r="D1839" i="44"/>
  <c r="D1840" i="44"/>
  <c r="D1841" i="44"/>
  <c r="D1842" i="44"/>
  <c r="D1843" i="44"/>
  <c r="D1844" i="44"/>
  <c r="D1597" i="44"/>
  <c r="D1845" i="44"/>
  <c r="D1846" i="44"/>
  <c r="D1847" i="44"/>
  <c r="D1848" i="44"/>
  <c r="D1849" i="44"/>
  <c r="D1850" i="44"/>
  <c r="D1851" i="44"/>
  <c r="D1852" i="44"/>
  <c r="D1853" i="44"/>
  <c r="D1854" i="44"/>
  <c r="D1855" i="44"/>
  <c r="D1341" i="44"/>
  <c r="D1856" i="44"/>
  <c r="D1857" i="44"/>
  <c r="D1858" i="44"/>
  <c r="D1859" i="44"/>
  <c r="D1860" i="44"/>
  <c r="D1538" i="44"/>
  <c r="D1861" i="44"/>
  <c r="D1862" i="44"/>
  <c r="D1863" i="44"/>
  <c r="D1864" i="44"/>
  <c r="D1865" i="44"/>
  <c r="D979" i="44"/>
  <c r="D1866" i="44"/>
  <c r="D1867" i="44"/>
  <c r="D321" i="44"/>
  <c r="D1868" i="44"/>
  <c r="D1869" i="44"/>
  <c r="D1870" i="44"/>
  <c r="D1871" i="44"/>
  <c r="D1872" i="44"/>
  <c r="D1873" i="44"/>
  <c r="D1874" i="44"/>
  <c r="D1510" i="44"/>
  <c r="D1875" i="44"/>
  <c r="D1876" i="44"/>
  <c r="D1877" i="44"/>
  <c r="D643" i="44"/>
  <c r="D1878" i="44"/>
  <c r="D1879" i="44"/>
  <c r="D1880" i="44"/>
  <c r="D1881" i="44"/>
  <c r="D1882" i="44"/>
  <c r="D1883" i="44"/>
  <c r="D458" i="44"/>
  <c r="D132" i="44"/>
  <c r="D1884" i="44"/>
  <c r="D1885" i="44"/>
  <c r="D1886" i="44"/>
  <c r="D1887" i="44"/>
  <c r="D1888" i="44"/>
  <c r="D1889" i="44"/>
  <c r="D1419" i="44"/>
  <c r="D331" i="44"/>
  <c r="D1890" i="44"/>
  <c r="D1891" i="44"/>
  <c r="D1892" i="44"/>
  <c r="D1893" i="44"/>
  <c r="D1894" i="44"/>
  <c r="D1895" i="44"/>
  <c r="D1896" i="44"/>
  <c r="D1897" i="44"/>
  <c r="D1898" i="44"/>
  <c r="D250" i="44"/>
  <c r="D1899" i="44"/>
  <c r="D257" i="44"/>
  <c r="D1900" i="44"/>
  <c r="D1901" i="44"/>
  <c r="D781" i="44"/>
  <c r="D1902" i="44"/>
  <c r="D1903" i="44"/>
  <c r="D1904" i="44"/>
  <c r="D1905" i="44"/>
  <c r="D1906" i="44"/>
  <c r="D114" i="44"/>
  <c r="D1907" i="44"/>
  <c r="D1511" i="44"/>
  <c r="D1908" i="44"/>
  <c r="D1909" i="44"/>
  <c r="D1910" i="44"/>
  <c r="D1911" i="44"/>
  <c r="D1912" i="44"/>
  <c r="D123" i="44"/>
  <c r="D1913" i="44"/>
  <c r="D1914" i="44"/>
  <c r="D1915" i="44"/>
  <c r="D1916" i="44"/>
  <c r="D1917" i="44"/>
  <c r="D2404" i="44"/>
  <c r="D691" i="44"/>
  <c r="D1918" i="44"/>
  <c r="D317" i="44"/>
  <c r="D1919" i="44"/>
  <c r="D1920" i="44"/>
  <c r="D1921" i="44"/>
  <c r="D1922" i="44"/>
  <c r="D1560" i="44"/>
  <c r="D1923" i="44"/>
  <c r="D1924" i="44"/>
  <c r="D1925" i="44"/>
  <c r="D1926" i="44"/>
  <c r="D320" i="44"/>
  <c r="D1927" i="44"/>
  <c r="D1928" i="44"/>
  <c r="D1929" i="44"/>
  <c r="D1930" i="44"/>
  <c r="D379" i="44"/>
  <c r="D1645" i="44"/>
  <c r="D1931" i="44"/>
  <c r="D1932" i="44"/>
  <c r="D1933" i="44"/>
  <c r="D17" i="44"/>
  <c r="D1934" i="44"/>
  <c r="D1935" i="44"/>
  <c r="D1936" i="44"/>
  <c r="D1937" i="44"/>
  <c r="D312" i="44"/>
  <c r="D1938" i="44"/>
  <c r="D1939" i="44"/>
  <c r="D1940" i="44"/>
  <c r="D1941" i="44"/>
  <c r="D139" i="44"/>
  <c r="D144" i="44"/>
  <c r="D1942" i="44"/>
  <c r="D2408" i="44"/>
  <c r="D1943" i="44"/>
  <c r="D1944" i="44"/>
  <c r="D1945" i="44"/>
  <c r="D1625" i="44"/>
  <c r="D1946" i="44"/>
  <c r="D1947" i="44"/>
  <c r="D1948" i="44"/>
  <c r="D1949" i="44"/>
  <c r="D1459" i="44"/>
  <c r="D1950" i="44"/>
  <c r="D133" i="44"/>
  <c r="D1951" i="44"/>
  <c r="D1952" i="44"/>
  <c r="D1953" i="44"/>
  <c r="D1954" i="44"/>
  <c r="D1955" i="44"/>
  <c r="D1956" i="44"/>
  <c r="D1957" i="44"/>
  <c r="D1958" i="44"/>
  <c r="D1959" i="44"/>
  <c r="D1960" i="44"/>
  <c r="D1961" i="44"/>
  <c r="D1962" i="44"/>
  <c r="D1963" i="44"/>
  <c r="D1964" i="44"/>
  <c r="D1965" i="44"/>
  <c r="D1966" i="44"/>
  <c r="D1967" i="44"/>
  <c r="D1968" i="44"/>
  <c r="D1969" i="44"/>
  <c r="D1970" i="44"/>
  <c r="D1971" i="44"/>
  <c r="D784" i="44"/>
  <c r="D171" i="44"/>
  <c r="D1972" i="44"/>
  <c r="D1973" i="44"/>
  <c r="D1974" i="44"/>
  <c r="D1975" i="44"/>
  <c r="D1976" i="44"/>
  <c r="D1977" i="44"/>
  <c r="D1978" i="44"/>
  <c r="D589" i="44"/>
  <c r="D298" i="44"/>
  <c r="D885" i="44"/>
  <c r="D1979" i="44"/>
  <c r="D1980" i="44"/>
  <c r="D1981" i="44"/>
  <c r="D1982" i="44"/>
  <c r="D1983" i="44"/>
  <c r="D1984" i="44"/>
  <c r="D1985" i="44"/>
  <c r="D1986" i="44"/>
  <c r="D1987" i="44"/>
  <c r="D1988" i="44"/>
  <c r="D185" i="44"/>
  <c r="D1989" i="44"/>
  <c r="D1990" i="44"/>
  <c r="D1991" i="44"/>
  <c r="D1992" i="44"/>
  <c r="D1993" i="44"/>
  <c r="D1994" i="44"/>
  <c r="D585" i="44"/>
  <c r="D1995" i="44"/>
  <c r="D1996" i="44"/>
  <c r="D1997" i="44"/>
  <c r="D1998" i="44"/>
  <c r="D1999" i="44"/>
  <c r="D2000" i="44"/>
  <c r="D2001" i="44"/>
  <c r="D2002" i="44"/>
  <c r="D2003" i="44"/>
  <c r="D2004" i="44"/>
  <c r="D2005" i="44"/>
  <c r="D2006" i="44"/>
  <c r="D2007" i="44"/>
  <c r="D2008" i="44"/>
  <c r="D2009" i="44"/>
  <c r="D2010" i="44"/>
  <c r="D2011" i="44"/>
  <c r="D2012" i="44"/>
  <c r="D661" i="44"/>
  <c r="D2013" i="44"/>
  <c r="D1262" i="44"/>
  <c r="D1606" i="44"/>
  <c r="D490" i="44"/>
  <c r="D1441" i="44"/>
  <c r="D1254" i="44"/>
  <c r="D946" i="44"/>
  <c r="D634" i="44"/>
  <c r="D1203" i="44"/>
  <c r="D1306" i="44"/>
  <c r="D1455" i="44"/>
  <c r="D1491" i="44"/>
  <c r="D1374" i="44"/>
  <c r="D1265" i="44"/>
  <c r="D1594" i="44"/>
  <c r="D1238" i="44"/>
  <c r="D35" i="44"/>
  <c r="D1435" i="44"/>
  <c r="D412" i="44"/>
  <c r="D1610" i="44"/>
  <c r="D856" i="44"/>
  <c r="D1392" i="44"/>
  <c r="D1487" i="44"/>
  <c r="D270" i="44"/>
  <c r="D1530" i="44"/>
  <c r="D305" i="44"/>
  <c r="D238" i="44"/>
  <c r="D1400" i="44"/>
  <c r="D397" i="44"/>
  <c r="D1654" i="44"/>
  <c r="D853" i="44"/>
  <c r="D1685" i="44"/>
  <c r="D1561" i="44"/>
  <c r="D426" i="44"/>
  <c r="D886" i="44"/>
  <c r="D1552" i="44"/>
  <c r="D1542" i="44"/>
  <c r="D432" i="44"/>
  <c r="D635" i="44"/>
  <c r="D809" i="44"/>
  <c r="D984" i="44"/>
  <c r="D23" i="44"/>
  <c r="D928" i="44"/>
  <c r="D1307" i="44"/>
  <c r="D670" i="44"/>
  <c r="D1551" i="44"/>
  <c r="D84" i="44"/>
  <c r="D907" i="44"/>
  <c r="D1672" i="44"/>
  <c r="D495" i="44"/>
  <c r="D1053" i="44"/>
  <c r="D1436" i="44"/>
  <c r="D1032" i="44"/>
  <c r="D51" i="44"/>
  <c r="D1402" i="44"/>
  <c r="D271" i="44"/>
  <c r="D1058" i="44"/>
  <c r="D1496" i="44"/>
  <c r="D951" i="44"/>
  <c r="D1623" i="44"/>
  <c r="D967" i="44"/>
  <c r="D1199" i="44"/>
  <c r="D1294" i="44"/>
  <c r="D1325" i="44"/>
  <c r="D1231" i="44"/>
  <c r="D279" i="44"/>
  <c r="D560" i="44"/>
  <c r="D1134" i="44"/>
  <c r="D532" i="44"/>
  <c r="D746" i="44"/>
  <c r="D871" i="44"/>
  <c r="D1163" i="44"/>
  <c r="D1651" i="44"/>
  <c r="D403" i="44"/>
  <c r="D865" i="44"/>
  <c r="D1263" i="44"/>
  <c r="D1016" i="44"/>
  <c r="D232" i="44"/>
  <c r="D439" i="44"/>
  <c r="D938" i="44"/>
  <c r="D816" i="44"/>
  <c r="D728" i="44"/>
  <c r="D1210" i="44"/>
  <c r="D947" i="44"/>
  <c r="D287" i="44"/>
  <c r="D1394" i="44"/>
  <c r="D943" i="44"/>
  <c r="D1172" i="44"/>
  <c r="D910" i="44"/>
  <c r="D338" i="44"/>
  <c r="D1233" i="44"/>
  <c r="D814" i="44"/>
  <c r="D322" i="44"/>
  <c r="D1532" i="44"/>
  <c r="D703" i="44"/>
  <c r="D1535" i="44"/>
  <c r="D1185" i="44"/>
  <c r="D32" i="44"/>
  <c r="D1506" i="44"/>
  <c r="D701" i="44"/>
  <c r="D929" i="44"/>
  <c r="D1588" i="44"/>
  <c r="D930" i="44"/>
  <c r="D899" i="44"/>
  <c r="D485" i="44"/>
  <c r="D74" i="44"/>
  <c r="D854" i="44"/>
  <c r="D893" i="44"/>
  <c r="D398" i="44"/>
  <c r="D720" i="44"/>
  <c r="D1566" i="44"/>
  <c r="D204" i="44"/>
  <c r="D1166" i="44"/>
  <c r="D1540" i="44"/>
  <c r="D775" i="44"/>
  <c r="D644" i="44"/>
  <c r="D1460" i="44"/>
  <c r="D827" i="44"/>
  <c r="D1678" i="44"/>
  <c r="D1186" i="44"/>
  <c r="D957" i="44"/>
  <c r="D672" i="44"/>
  <c r="D1319" i="44"/>
  <c r="D622" i="44"/>
  <c r="D1125" i="44"/>
  <c r="D995" i="44"/>
  <c r="D552" i="44"/>
  <c r="D429" i="44"/>
  <c r="D1117" i="44"/>
  <c r="D1398" i="44"/>
  <c r="D1183" i="44"/>
  <c r="D563" i="44"/>
  <c r="D401" i="44"/>
  <c r="D794" i="44"/>
  <c r="D1362" i="44"/>
  <c r="D1539" i="44"/>
  <c r="D1668" i="44"/>
  <c r="D509" i="44"/>
  <c r="D614" i="44"/>
  <c r="D1177" i="44"/>
  <c r="D1420" i="44"/>
  <c r="D1211" i="44"/>
  <c r="D687" i="44"/>
  <c r="D1100" i="44"/>
  <c r="D752" i="44"/>
  <c r="D334" i="44"/>
  <c r="D1234" i="44"/>
  <c r="D541" i="44"/>
  <c r="D567" i="44"/>
  <c r="D1108" i="44"/>
  <c r="D39" i="44"/>
  <c r="D985" i="44"/>
  <c r="D1067" i="44"/>
  <c r="D787" i="44"/>
  <c r="D1292" i="44"/>
  <c r="D778" i="44"/>
  <c r="D1135" i="44"/>
  <c r="D738" i="44"/>
  <c r="D823" i="44"/>
  <c r="D1149" i="44"/>
  <c r="D242" i="44"/>
  <c r="D743" i="44"/>
  <c r="D1126" i="44"/>
  <c r="D922" i="44"/>
  <c r="D1414" i="44"/>
  <c r="D1010" i="44"/>
  <c r="D857" i="44"/>
  <c r="D197" i="44"/>
  <c r="D1042" i="44"/>
  <c r="D1295" i="44"/>
  <c r="D1600" i="44"/>
  <c r="D1204" i="44"/>
  <c r="D1559" i="44"/>
  <c r="D1445" i="44"/>
  <c r="D610" i="44"/>
  <c r="D1326" i="44"/>
  <c r="D1266" i="44"/>
  <c r="D1223" i="44"/>
  <c r="D1137" i="44"/>
  <c r="D1316" i="44"/>
  <c r="D1486" i="44"/>
  <c r="D1601" i="44"/>
  <c r="D914" i="44"/>
  <c r="D1553" i="44"/>
  <c r="D1573" i="44"/>
  <c r="D564" i="44"/>
  <c r="D795" i="44"/>
  <c r="D461" i="44"/>
  <c r="D182" i="44"/>
  <c r="D1037" i="44"/>
  <c r="D472" i="44"/>
  <c r="D1554" i="44"/>
  <c r="D7" i="44"/>
  <c r="D347" i="44"/>
  <c r="D496" i="44"/>
  <c r="D839" i="44"/>
  <c r="D887" i="44"/>
  <c r="D878" i="44"/>
  <c r="D1563" i="44"/>
  <c r="D1109" i="44"/>
  <c r="D1549" i="44"/>
  <c r="D445" i="44"/>
  <c r="D1225" i="44"/>
  <c r="D1073" i="44"/>
  <c r="D874" i="44"/>
  <c r="D1005" i="44"/>
  <c r="D1602" i="44"/>
  <c r="D20" i="44"/>
  <c r="D1480" i="44"/>
  <c r="D1128" i="44"/>
  <c r="D217" i="44"/>
  <c r="D360" i="44"/>
  <c r="D1320" i="44"/>
  <c r="D1636" i="44"/>
  <c r="D729" i="44"/>
  <c r="D1129" i="44"/>
  <c r="D1082" i="44"/>
  <c r="D1339" i="44"/>
  <c r="D1087" i="44"/>
  <c r="D576" i="44"/>
  <c r="D480" i="44"/>
  <c r="D662" i="44"/>
  <c r="D528" i="44"/>
  <c r="D607" i="44"/>
  <c r="D463" i="44"/>
  <c r="D1543" i="44"/>
  <c r="D1620" i="44"/>
  <c r="D261" i="44"/>
  <c r="D802" i="44"/>
  <c r="D335" i="44"/>
  <c r="D446" i="44"/>
  <c r="D1138" i="44"/>
  <c r="D254" i="44"/>
  <c r="D739" i="44"/>
  <c r="D435" i="44"/>
  <c r="D598" i="44"/>
  <c r="D1050" i="44"/>
  <c r="D1187" i="44"/>
  <c r="D1469" i="44"/>
  <c r="D364" i="44"/>
  <c r="D553" i="44"/>
  <c r="D677" i="44"/>
  <c r="D1655" i="44"/>
  <c r="D453" i="44"/>
  <c r="D308" i="44"/>
  <c r="D288" i="44"/>
  <c r="D1327" i="44"/>
  <c r="D1267" i="44"/>
  <c r="D697" i="44"/>
  <c r="D638" i="44"/>
  <c r="D962" i="44"/>
  <c r="D1430" i="44"/>
  <c r="D1562" i="44"/>
  <c r="D510" i="44"/>
  <c r="D1488" i="44"/>
  <c r="D603" i="44"/>
  <c r="D1278" i="44"/>
  <c r="D692" i="44"/>
  <c r="D211" i="44"/>
  <c r="D1577" i="44"/>
  <c r="D36" i="44"/>
  <c r="D815" i="44"/>
  <c r="D590" i="44"/>
  <c r="D1002" i="44"/>
  <c r="D1074" i="44"/>
  <c r="D1173" i="44"/>
  <c r="D679" i="44"/>
  <c r="D757" i="44"/>
  <c r="D817" i="44"/>
  <c r="D760" i="44"/>
  <c r="D140" i="44"/>
  <c r="D577" i="44"/>
  <c r="D1101" i="44"/>
  <c r="D1363" i="44"/>
  <c r="D939" i="44"/>
  <c r="D866" i="44"/>
  <c r="D862" i="44"/>
  <c r="D1383" i="44"/>
  <c r="D404" i="44"/>
  <c r="D1546" i="44"/>
  <c r="D1605" i="44"/>
  <c r="D449" i="44"/>
  <c r="D1353" i="44"/>
  <c r="D6" i="44"/>
  <c r="D1226" i="44"/>
  <c r="D628" i="44"/>
  <c r="D1054" i="44"/>
  <c r="D1386" i="44"/>
  <c r="D1167" i="44"/>
  <c r="D986" i="44"/>
  <c r="D1591" i="44"/>
  <c r="D207" i="44"/>
  <c r="D1517" i="44"/>
  <c r="D247" i="44"/>
  <c r="D1470" i="44"/>
  <c r="D1555" i="44"/>
  <c r="D1091" i="44"/>
  <c r="D711" i="44"/>
  <c r="D894" i="44"/>
  <c r="D175" i="44"/>
  <c r="D1192" i="44"/>
  <c r="D1304" i="44"/>
  <c r="D1518" i="44"/>
  <c r="D1607" i="44"/>
  <c r="D1144" i="44"/>
  <c r="D1335" i="44"/>
  <c r="D834" i="44"/>
  <c r="D272" i="44"/>
  <c r="D1442" i="44"/>
  <c r="D1003" i="44"/>
  <c r="D1656" i="44"/>
  <c r="D161" i="44"/>
  <c r="D1569" i="44"/>
  <c r="D904" i="44"/>
  <c r="D1154" i="44"/>
  <c r="D1110" i="44"/>
  <c r="D1693" i="44"/>
  <c r="D900" i="44"/>
  <c r="D1342" i="44"/>
  <c r="D1321" i="44"/>
  <c r="D1083" i="44"/>
  <c r="D1416" i="44"/>
  <c r="D763" i="44"/>
  <c r="D747" i="44"/>
  <c r="D1300" i="44"/>
  <c r="D1310" i="44"/>
  <c r="D431" i="44"/>
  <c r="D611" i="44"/>
  <c r="D1068" i="44"/>
  <c r="D1111" i="44"/>
  <c r="D1592" i="44"/>
  <c r="D840" i="44"/>
  <c r="D1219" i="44"/>
  <c r="D380" i="44"/>
  <c r="D1118" i="44"/>
  <c r="D183" i="44"/>
  <c r="D342" i="44"/>
  <c r="D189" i="44"/>
  <c r="D2014" i="44"/>
  <c r="D828" i="44"/>
  <c r="D2015" i="44"/>
  <c r="D2016" i="44"/>
  <c r="D1114" i="44"/>
  <c r="D2017" i="44"/>
  <c r="D269" i="44"/>
  <c r="D2018" i="44"/>
  <c r="D324" i="44"/>
  <c r="D177" i="44"/>
  <c r="D146" i="44"/>
  <c r="D2019" i="44"/>
  <c r="D201" i="44"/>
  <c r="D1448" i="44"/>
  <c r="D390" i="44"/>
  <c r="D579" i="44"/>
  <c r="D1471" i="44"/>
  <c r="D695" i="44"/>
  <c r="D2020" i="44"/>
  <c r="D1446" i="44"/>
  <c r="D2021" i="44"/>
  <c r="D64" i="44"/>
  <c r="D1043" i="44"/>
  <c r="D2022" i="44"/>
  <c r="D436" i="44"/>
  <c r="D901" i="44"/>
  <c r="D159" i="44"/>
  <c r="D427" i="44"/>
  <c r="D963" i="44"/>
  <c r="D740" i="44"/>
  <c r="D2023" i="44"/>
  <c r="D744" i="44"/>
  <c r="D782" i="44"/>
  <c r="D1550" i="44"/>
  <c r="D869" i="44"/>
  <c r="D944" i="44"/>
  <c r="D264" i="44"/>
  <c r="D753" i="44"/>
  <c r="D2024" i="44"/>
  <c r="D163" i="44"/>
  <c r="D723" i="44"/>
  <c r="D561" i="44"/>
  <c r="D306" i="44"/>
  <c r="D309" i="44"/>
  <c r="D1206" i="44"/>
  <c r="D348" i="44"/>
  <c r="D879" i="44"/>
  <c r="D2025" i="44"/>
  <c r="D952" i="44"/>
  <c r="D1667" i="44"/>
  <c r="D385" i="44"/>
  <c r="D2026" i="44"/>
  <c r="D964" i="44"/>
  <c r="D2027" i="44"/>
  <c r="D24" i="44"/>
  <c r="D895" i="44"/>
  <c r="D1410" i="44"/>
  <c r="D2028" i="44"/>
  <c r="D2029" i="44"/>
  <c r="D2030" i="44"/>
  <c r="D2031" i="44"/>
  <c r="D172" i="44"/>
  <c r="D1150" i="44"/>
  <c r="D2032" i="44"/>
  <c r="D620" i="44"/>
  <c r="D325" i="44"/>
  <c r="D1696" i="44"/>
  <c r="D222" i="44"/>
  <c r="D908" i="44"/>
  <c r="D1220" i="44"/>
  <c r="D1155" i="44"/>
  <c r="D1621" i="44"/>
  <c r="D599" i="44"/>
  <c r="D596" i="44"/>
  <c r="D1096" i="44"/>
  <c r="D2033" i="44"/>
  <c r="D2034" i="44"/>
  <c r="D530" i="44"/>
  <c r="D847" i="44"/>
  <c r="D680" i="44"/>
  <c r="D651" i="44"/>
  <c r="D2035" i="44"/>
  <c r="D391" i="44"/>
  <c r="D761" i="44"/>
  <c r="D2036" i="44"/>
  <c r="D1406" i="44"/>
  <c r="D2037" i="44"/>
  <c r="D1179" i="44"/>
  <c r="D2038" i="44"/>
  <c r="D258" i="44"/>
  <c r="D2039" i="44"/>
  <c r="D290" i="44"/>
  <c r="D241" i="44"/>
  <c r="D344" i="44"/>
  <c r="D313" i="44"/>
  <c r="D855" i="44"/>
  <c r="D702" i="44"/>
  <c r="D166" i="44"/>
  <c r="D2040" i="44"/>
  <c r="D1681" i="44"/>
  <c r="D896" i="44"/>
  <c r="D2041" i="44"/>
  <c r="D863" i="44"/>
  <c r="D2042" i="44"/>
  <c r="D522" i="44"/>
  <c r="D568" i="44"/>
  <c r="D958" i="44"/>
  <c r="D259" i="44"/>
  <c r="D965" i="44"/>
  <c r="D215" i="44"/>
  <c r="D888" i="44"/>
  <c r="D94" i="44"/>
  <c r="D294" i="44"/>
  <c r="D2043" i="44"/>
  <c r="D1359" i="44"/>
  <c r="D194" i="44"/>
  <c r="D422" i="44"/>
  <c r="D2044" i="44"/>
  <c r="D1245" i="44"/>
  <c r="D953" i="44"/>
  <c r="D2045" i="44"/>
  <c r="D2046" i="44"/>
  <c r="D2047" i="44"/>
  <c r="D1017" i="44"/>
  <c r="D2048" i="44"/>
  <c r="D2049" i="44"/>
  <c r="D1264" i="44"/>
  <c r="D1586" i="44"/>
  <c r="D2050" i="44"/>
  <c r="D1502" i="44"/>
  <c r="D2051" i="44"/>
  <c r="D2052" i="44"/>
  <c r="D281" i="44"/>
  <c r="D640" i="44"/>
  <c r="D1006" i="44"/>
  <c r="D1160" i="44"/>
  <c r="D779" i="44"/>
  <c r="D119" i="44"/>
  <c r="D2053" i="44"/>
  <c r="D423" i="44"/>
  <c r="D478" i="44"/>
  <c r="D2054" i="44"/>
  <c r="D464" i="44"/>
  <c r="D721" i="44"/>
  <c r="D220" i="44"/>
  <c r="D302" i="44"/>
  <c r="D300" i="44"/>
  <c r="D867" i="44"/>
  <c r="D2055" i="44"/>
  <c r="D2056" i="44"/>
  <c r="D2057" i="44"/>
  <c r="D2058" i="44"/>
  <c r="D2059" i="44"/>
  <c r="D1285" i="44"/>
  <c r="D417" i="44"/>
  <c r="D771" i="44"/>
  <c r="D2060" i="44"/>
  <c r="D1633" i="44"/>
  <c r="D987" i="44"/>
  <c r="D959" i="44"/>
  <c r="D395" i="44"/>
  <c r="D2061" i="44"/>
  <c r="D2062" i="44"/>
  <c r="D2063" i="44"/>
  <c r="D2064" i="44"/>
  <c r="D1421" i="44"/>
  <c r="D1084" i="44"/>
  <c r="D2065" i="44"/>
  <c r="D413" i="44"/>
  <c r="D1092" i="44"/>
  <c r="D2066" i="44"/>
  <c r="D2067" i="44"/>
  <c r="D2068" i="44"/>
  <c r="D239" i="44"/>
  <c r="D2069" i="44"/>
  <c r="D2070" i="44"/>
  <c r="D905" i="44"/>
  <c r="D1131" i="44"/>
  <c r="D433" i="44"/>
  <c r="D124" i="44"/>
  <c r="D974" i="44"/>
  <c r="D2071" i="44"/>
  <c r="D216" i="44"/>
  <c r="D2072" i="44"/>
  <c r="D1212" i="44"/>
  <c r="D713" i="44"/>
  <c r="D2073" i="44"/>
  <c r="D1583" i="44"/>
  <c r="D491" i="44"/>
  <c r="D2074" i="44"/>
  <c r="D162" i="44"/>
  <c r="D889" i="44"/>
  <c r="D2075" i="44"/>
  <c r="D1273" i="44"/>
  <c r="D1033" i="44"/>
  <c r="D310" i="44"/>
  <c r="D2076" i="44"/>
  <c r="D923" i="44"/>
  <c r="D369" i="44"/>
  <c r="D2077" i="44"/>
  <c r="D518" i="44"/>
  <c r="D2078" i="44"/>
  <c r="D722" i="44"/>
  <c r="D349" i="44"/>
  <c r="D1257" i="44"/>
  <c r="D1301" i="44"/>
  <c r="D1360" i="44"/>
  <c r="D2079" i="44"/>
  <c r="D714" i="44"/>
  <c r="D941" i="44"/>
  <c r="D2080" i="44"/>
  <c r="D2081" i="44"/>
  <c r="D2082" i="44"/>
  <c r="D1317" i="44"/>
  <c r="D1180" i="44"/>
  <c r="D112" i="44"/>
  <c r="D276" i="44"/>
  <c r="D788" i="44"/>
  <c r="D1085" i="44"/>
  <c r="D1369" i="44"/>
  <c r="D1333" i="44"/>
  <c r="D465" i="44"/>
  <c r="D502" i="44"/>
  <c r="D1622" i="44"/>
  <c r="D386" i="44"/>
  <c r="D365" i="44"/>
  <c r="D83" i="44"/>
  <c r="D248" i="44"/>
  <c r="D2083" i="44"/>
  <c r="D243" i="44"/>
  <c r="D821" i="44"/>
  <c r="D2084" i="44"/>
  <c r="D343" i="44"/>
  <c r="D1556" i="44"/>
  <c r="D71" i="44"/>
  <c r="D1371" i="44"/>
  <c r="D1156" i="44"/>
  <c r="D2085" i="44"/>
  <c r="D173" i="44"/>
  <c r="D2086" i="44"/>
  <c r="D2087" i="44"/>
  <c r="D255" i="44"/>
  <c r="D1011" i="44"/>
  <c r="D2088" i="44"/>
  <c r="D529" i="44"/>
  <c r="D1389" i="44"/>
  <c r="D1425" i="44"/>
  <c r="D2089" i="44"/>
  <c r="D218" i="44"/>
  <c r="D872" i="44"/>
  <c r="D988" i="44"/>
  <c r="D1639" i="44"/>
  <c r="D2090" i="44"/>
  <c r="D2091" i="44"/>
  <c r="D2092" i="44"/>
  <c r="D2093" i="44"/>
  <c r="D2094" i="44"/>
  <c r="D2095" i="44"/>
  <c r="D2096" i="44"/>
  <c r="D902" i="44"/>
  <c r="D297" i="44"/>
  <c r="D2097" i="44"/>
  <c r="D2098" i="44"/>
  <c r="D636" i="44"/>
  <c r="D655" i="44"/>
  <c r="D1193" i="44"/>
  <c r="D772" i="44"/>
  <c r="D2099" i="44"/>
  <c r="D336" i="44"/>
  <c r="D935" i="44"/>
  <c r="D125" i="44"/>
  <c r="D1451" i="44"/>
  <c r="D473" i="44"/>
  <c r="D2100" i="44"/>
  <c r="D1324" i="44"/>
  <c r="D858" i="44"/>
  <c r="D2101" i="44"/>
  <c r="D824" i="44"/>
  <c r="D2102" i="44"/>
  <c r="D2103" i="44"/>
  <c r="D1194" i="44"/>
  <c r="D1098" i="44"/>
  <c r="D1313" i="44"/>
  <c r="D960" i="44"/>
  <c r="D2104" i="44"/>
  <c r="D2105" i="44"/>
  <c r="D2106" i="44"/>
  <c r="D2107" i="44"/>
  <c r="D2108" i="44"/>
  <c r="D1028" i="44"/>
  <c r="D2109" i="44"/>
  <c r="D2110" i="44"/>
  <c r="D2111" i="44"/>
  <c r="D2112" i="44"/>
  <c r="D2113" i="44"/>
  <c r="D2114" i="44"/>
  <c r="D2115" i="44"/>
  <c r="D2116" i="44"/>
  <c r="D2117" i="44"/>
  <c r="D2118" i="44"/>
  <c r="D2119" i="44"/>
  <c r="D2120" i="44"/>
  <c r="D2121" i="44"/>
  <c r="D2122" i="44"/>
  <c r="D2123" i="44"/>
  <c r="D2124" i="44"/>
  <c r="D2125" i="44"/>
  <c r="D2126" i="44"/>
  <c r="D2127" i="44"/>
  <c r="D2128" i="44"/>
  <c r="D2129" i="44"/>
  <c r="D2130" i="44"/>
  <c r="D2131" i="44"/>
  <c r="D2132" i="44"/>
  <c r="D2133" i="44"/>
  <c r="D2134" i="44"/>
  <c r="D2135" i="44"/>
  <c r="D2136" i="44"/>
  <c r="D2137" i="44"/>
  <c r="D2138" i="44"/>
  <c r="D2139" i="44"/>
  <c r="D2140" i="44"/>
  <c r="D2141" i="44"/>
  <c r="D2142" i="44"/>
  <c r="D2143" i="44"/>
  <c r="D2144" i="44"/>
  <c r="D2145" i="44"/>
  <c r="D2146" i="44"/>
  <c r="D2147" i="44"/>
  <c r="D2148" i="44"/>
  <c r="D2149" i="44"/>
  <c r="D2150" i="44"/>
  <c r="D2151" i="44"/>
  <c r="D2152" i="44"/>
  <c r="D2153" i="44"/>
  <c r="D2154" i="44"/>
  <c r="D2155" i="44"/>
  <c r="D2156" i="44"/>
  <c r="D2157" i="44"/>
  <c r="D2158" i="44"/>
  <c r="D2159" i="44"/>
  <c r="D2160" i="44"/>
  <c r="D2161" i="44"/>
  <c r="D2162" i="44"/>
  <c r="D2163" i="44"/>
  <c r="D2164" i="44"/>
  <c r="D2165" i="44"/>
  <c r="D2166" i="44"/>
  <c r="D2167" i="44"/>
  <c r="D2168" i="44"/>
  <c r="D2169" i="44"/>
  <c r="D2170" i="44"/>
  <c r="D2171" i="44"/>
  <c r="D2172" i="44"/>
  <c r="D2173" i="44"/>
  <c r="D2174" i="44"/>
  <c r="D2175" i="44"/>
  <c r="D2176" i="44"/>
  <c r="D2177" i="44"/>
  <c r="D2178" i="44"/>
  <c r="D2179" i="44"/>
  <c r="D2180" i="44"/>
  <c r="D2181" i="44"/>
  <c r="D2182" i="44"/>
  <c r="D2183" i="44"/>
  <c r="D2184" i="44"/>
  <c r="D2185" i="44"/>
  <c r="D2186" i="44"/>
  <c r="D2187" i="44"/>
  <c r="D2188" i="44"/>
  <c r="D1717" i="44"/>
  <c r="D2189" i="44"/>
  <c r="D2190" i="44"/>
  <c r="D2191" i="44"/>
  <c r="D2192" i="44"/>
  <c r="D1492" i="44"/>
  <c r="D2193" i="44"/>
  <c r="D2194" i="44"/>
  <c r="D2195" i="44"/>
  <c r="D2196" i="44"/>
  <c r="D2197" i="44"/>
  <c r="D2198" i="44"/>
  <c r="D2199" i="44"/>
  <c r="D2200" i="44"/>
  <c r="D2201" i="44"/>
  <c r="D2202" i="44"/>
  <c r="D2203" i="44"/>
  <c r="D2204" i="44"/>
  <c r="D2205" i="44"/>
  <c r="D2206" i="44"/>
  <c r="D2207" i="44"/>
  <c r="D2208" i="44"/>
  <c r="D2209" i="44"/>
  <c r="D2210" i="44"/>
  <c r="D2211" i="44"/>
  <c r="D2212" i="44"/>
  <c r="D2213" i="44"/>
  <c r="D2214" i="44"/>
  <c r="D2215" i="44"/>
  <c r="D2216" i="44"/>
  <c r="D2217" i="44"/>
  <c r="D2218" i="44"/>
  <c r="D2219" i="44"/>
  <c r="D2220" i="44"/>
  <c r="D2221" i="44"/>
  <c r="D2222" i="44"/>
  <c r="D2223" i="44"/>
  <c r="D2224" i="44"/>
  <c r="D2225" i="44"/>
  <c r="D2226" i="44"/>
  <c r="D2227" i="44"/>
  <c r="D2405" i="44"/>
  <c r="D2228" i="44"/>
  <c r="D2229" i="44"/>
  <c r="D2230" i="44"/>
  <c r="D2231" i="44"/>
  <c r="D2232" i="44"/>
  <c r="D2233" i="44"/>
  <c r="D2234" i="44"/>
  <c r="D2235" i="44"/>
  <c r="D2236" i="44"/>
  <c r="D2237" i="44"/>
  <c r="D2238" i="44"/>
  <c r="D2239" i="44"/>
  <c r="D2240" i="44"/>
  <c r="D2241" i="44"/>
  <c r="D2242" i="44"/>
  <c r="D2243" i="44"/>
  <c r="D2244" i="44"/>
  <c r="D2245" i="44"/>
  <c r="D2246" i="44"/>
  <c r="D2247" i="44"/>
  <c r="D2248" i="44"/>
  <c r="D2249" i="44"/>
  <c r="D2250" i="44"/>
  <c r="D2251" i="44"/>
  <c r="D2252" i="44"/>
  <c r="D2253" i="44"/>
  <c r="D2254" i="44"/>
  <c r="D2255" i="44"/>
  <c r="D2256" i="44"/>
  <c r="D2257" i="44"/>
  <c r="D2258" i="44"/>
  <c r="D2259" i="44"/>
  <c r="D2260" i="44"/>
  <c r="D2261" i="44"/>
  <c r="D2262" i="44"/>
  <c r="D2263" i="44"/>
  <c r="D2264" i="44"/>
  <c r="D2265" i="44"/>
  <c r="D2266" i="44"/>
  <c r="D2267" i="44"/>
  <c r="D2268" i="44"/>
  <c r="D2269" i="44"/>
  <c r="D2270" i="44"/>
  <c r="D2271" i="44"/>
  <c r="D2272" i="44"/>
  <c r="D2273" i="44"/>
  <c r="D2274" i="44"/>
  <c r="D2275" i="44"/>
  <c r="D2276" i="44"/>
  <c r="D2277" i="44"/>
  <c r="D2278" i="44"/>
  <c r="D2279" i="44"/>
  <c r="D2280" i="44"/>
  <c r="D2281" i="44"/>
  <c r="D2282" i="44"/>
  <c r="D2283" i="44"/>
  <c r="D2284" i="44"/>
  <c r="D2285" i="44"/>
  <c r="D2286" i="44"/>
  <c r="D2287" i="44"/>
  <c r="D2288" i="44"/>
  <c r="D2289" i="44"/>
  <c r="D2290" i="44"/>
  <c r="D2291" i="44"/>
  <c r="D2292" i="44"/>
  <c r="D2293" i="44"/>
  <c r="D2294" i="44"/>
  <c r="D2295" i="44"/>
  <c r="D2296" i="44"/>
  <c r="D2297" i="44"/>
  <c r="D2298" i="44"/>
  <c r="D2299" i="44"/>
  <c r="D2300" i="44"/>
  <c r="D2301" i="44"/>
  <c r="D2302" i="44"/>
  <c r="D2303" i="44"/>
  <c r="D2304" i="44"/>
  <c r="D2305" i="44"/>
  <c r="D2306" i="44"/>
  <c r="D2307" i="44"/>
  <c r="D2308" i="44"/>
  <c r="D2309" i="44"/>
  <c r="D2310" i="44"/>
  <c r="D2311" i="44"/>
  <c r="D2312" i="44"/>
  <c r="D2313" i="44"/>
  <c r="D2314" i="44"/>
  <c r="D2315" i="44"/>
  <c r="D2316" i="44"/>
  <c r="D2317" i="44"/>
  <c r="D2318" i="44"/>
  <c r="D2319" i="44"/>
  <c r="D2320" i="44"/>
  <c r="D2321" i="44"/>
  <c r="D2322" i="44"/>
  <c r="D2323" i="44"/>
  <c r="D2324" i="44"/>
  <c r="D2325" i="44"/>
  <c r="D2326" i="44"/>
  <c r="D2327" i="44"/>
  <c r="D2328" i="44"/>
  <c r="D2329" i="44"/>
  <c r="D2330" i="44"/>
  <c r="D2331" i="44"/>
  <c r="D2332" i="44"/>
  <c r="D2333" i="44"/>
  <c r="D2334" i="44"/>
  <c r="D2335" i="44"/>
  <c r="D2336" i="44"/>
  <c r="D2337" i="44"/>
  <c r="D2338" i="44"/>
  <c r="D2339" i="44"/>
  <c r="D2340" i="44"/>
  <c r="D2341" i="44"/>
  <c r="D2342" i="44"/>
  <c r="D2343" i="44"/>
  <c r="D2344" i="44"/>
  <c r="D2345" i="44"/>
  <c r="D2346" i="44"/>
  <c r="D2347" i="44"/>
  <c r="D2348" i="44"/>
  <c r="D2349" i="44"/>
  <c r="D2350" i="44"/>
  <c r="D2351" i="44"/>
  <c r="D2352" i="44"/>
  <c r="D2353" i="44"/>
  <c r="D2354" i="44"/>
  <c r="D2355" i="44"/>
  <c r="D2356" i="44"/>
  <c r="D1714" i="44"/>
  <c r="D2357" i="44"/>
  <c r="D2358" i="44"/>
  <c r="D2359" i="44"/>
  <c r="D2360" i="44"/>
  <c r="D2361" i="44"/>
  <c r="D2362" i="44"/>
  <c r="D2363" i="44"/>
  <c r="D2364" i="44"/>
  <c r="D2365" i="44"/>
  <c r="D2366" i="44"/>
  <c r="D2367" i="44"/>
  <c r="D2368" i="44"/>
  <c r="D2369" i="44"/>
  <c r="D2370" i="44"/>
  <c r="D2371" i="44"/>
  <c r="D2372" i="44"/>
  <c r="D2373" i="44"/>
  <c r="D2374" i="44"/>
  <c r="D2375" i="44"/>
  <c r="D2376" i="44"/>
  <c r="D2377" i="44"/>
  <c r="D2378" i="44"/>
  <c r="D2379" i="44"/>
  <c r="D2380" i="44"/>
  <c r="D2381" i="44"/>
  <c r="D2382" i="44"/>
  <c r="D2383" i="44"/>
  <c r="D2384" i="44"/>
  <c r="D2385" i="44"/>
  <c r="D2386" i="44"/>
  <c r="D2387" i="44"/>
  <c r="D2388" i="44"/>
  <c r="D2389" i="44"/>
  <c r="D2390" i="44"/>
  <c r="D2391" i="44"/>
  <c r="D2392" i="44"/>
  <c r="D2393" i="44"/>
  <c r="D2394" i="44"/>
  <c r="D2395" i="44"/>
  <c r="D2396" i="44"/>
  <c r="D2397" i="44"/>
  <c r="D2398" i="44"/>
  <c r="D1715" i="44"/>
  <c r="D2399" i="44"/>
  <c r="D481" i="44"/>
  <c r="D1239" i="44"/>
  <c r="D1337" i="44"/>
  <c r="D790" i="44"/>
  <c r="D776" i="44"/>
  <c r="D198" i="44"/>
  <c r="D370" i="44"/>
  <c r="D991" i="44"/>
  <c r="D1367" i="44"/>
  <c r="D748" i="44"/>
  <c r="D1164" i="44"/>
  <c r="D60" i="44"/>
  <c r="D681" i="44"/>
  <c r="D179" i="44"/>
  <c r="D414" i="44"/>
  <c r="D1587" i="44"/>
  <c r="D829" i="44"/>
  <c r="D549" i="44"/>
  <c r="D289" i="44"/>
  <c r="D608" i="44"/>
  <c r="D523" i="44"/>
  <c r="D1115" i="44"/>
  <c r="D1422" i="44"/>
  <c r="D115" i="44"/>
  <c r="D97" i="44"/>
  <c r="D130" i="44"/>
  <c r="D1512" i="44"/>
  <c r="D830" i="44"/>
  <c r="D730" i="44"/>
  <c r="D1069" i="44"/>
  <c r="D1468" i="44"/>
  <c r="D996" i="44"/>
  <c r="D1661" i="44"/>
  <c r="D235" i="44"/>
  <c r="D1703" i="44"/>
  <c r="D503" i="44"/>
  <c r="D467" i="44"/>
  <c r="D836" i="44"/>
  <c r="D1318" i="44"/>
  <c r="D514" i="44"/>
  <c r="D195" i="44"/>
  <c r="D56" i="44"/>
  <c r="D1671" i="44"/>
  <c r="D88" i="44"/>
  <c r="D924" i="44"/>
  <c r="D358" i="44"/>
  <c r="D586" i="44"/>
  <c r="D849" i="44"/>
  <c r="D1467" i="44"/>
  <c r="D807" i="44"/>
  <c r="D754" i="44"/>
  <c r="D476" i="44"/>
  <c r="D1662" i="44"/>
  <c r="D545" i="44"/>
  <c r="D715" i="44"/>
  <c r="D749" i="44"/>
  <c r="D284" i="44"/>
  <c r="D442" i="44"/>
  <c r="D227" i="44"/>
  <c r="D629" i="44"/>
  <c r="D724" i="44"/>
  <c r="D263" i="44"/>
  <c r="D468" i="44"/>
  <c r="D1329" i="44"/>
  <c r="D499" i="44"/>
  <c r="D1570" i="44"/>
  <c r="D630" i="44"/>
  <c r="D1603" i="44"/>
  <c r="D213" i="44"/>
  <c r="D329" i="44"/>
  <c r="D796" i="44"/>
  <c r="D1453" i="44"/>
  <c r="D1207" i="44"/>
  <c r="D1712" i="44"/>
  <c r="D1274" i="44"/>
  <c r="D1345" i="44"/>
  <c r="D920" i="44"/>
  <c r="D550" i="44"/>
  <c r="D373" i="44"/>
  <c r="D1578" i="44"/>
  <c r="D1503" i="44"/>
  <c r="D1598" i="44"/>
  <c r="D777" i="44"/>
  <c r="D1525" i="44"/>
  <c r="D1536" i="44"/>
  <c r="D157" i="44"/>
  <c r="D1663" i="44"/>
  <c r="D86" i="44"/>
  <c r="D504" i="44"/>
  <c r="D454" i="44"/>
  <c r="D21" i="44"/>
  <c r="D81" i="44"/>
  <c r="D366" i="44"/>
  <c r="D1293" i="44"/>
  <c r="D663" i="44"/>
  <c r="D492" i="44"/>
  <c r="D1547" i="44"/>
  <c r="D1447" i="44"/>
  <c r="D1213" i="44"/>
  <c r="D1384" i="44"/>
  <c r="D486" i="44"/>
  <c r="D70" i="44"/>
  <c r="D1674" i="44"/>
  <c r="D1541" i="44"/>
  <c r="D1227" i="44"/>
  <c r="D1411" i="44"/>
  <c r="D1431" i="44"/>
  <c r="D1141" i="44"/>
  <c r="D202" i="44"/>
  <c r="D539" i="44"/>
  <c r="D483" i="44"/>
  <c r="D1705" i="44"/>
  <c r="D45" i="44"/>
  <c r="D225" i="44"/>
  <c r="D1574" i="44"/>
  <c r="D1476" i="44"/>
  <c r="D135" i="44"/>
  <c r="D1617" i="44"/>
  <c r="D527" i="44"/>
  <c r="D506" i="44"/>
  <c r="D65" i="44"/>
  <c r="D1286" i="44"/>
  <c r="D1589" i="44"/>
  <c r="D76" i="44"/>
  <c r="D664" i="44"/>
  <c r="D1120" i="44"/>
  <c r="D418" i="44"/>
  <c r="D367" i="44"/>
  <c r="D565" i="44"/>
  <c r="D371" i="44"/>
  <c r="D785" i="44"/>
  <c r="D992" i="44"/>
  <c r="D1393" i="44"/>
  <c r="D2407" i="44"/>
  <c r="D652" i="44"/>
  <c r="D1175" i="44"/>
  <c r="D625" i="44"/>
  <c r="D457" i="44"/>
  <c r="D1657" i="44"/>
  <c r="D1029" i="44"/>
  <c r="D704" i="44"/>
  <c r="D1105" i="44"/>
  <c r="D693" i="44"/>
  <c r="D249" i="44"/>
  <c r="D1640" i="44"/>
  <c r="D665" i="44"/>
  <c r="D345" i="44"/>
  <c r="D1283" i="44"/>
  <c r="D818" i="44"/>
  <c r="D1627" i="44"/>
  <c r="D1614" i="44"/>
  <c r="D1214" i="44"/>
  <c r="D1302" i="44"/>
  <c r="D591" i="44"/>
  <c r="D1643" i="44"/>
  <c r="D977" i="44"/>
  <c r="D1694" i="44"/>
  <c r="D880" i="44"/>
  <c r="D1417" i="44"/>
  <c r="D4" i="44"/>
  <c r="D1497" i="44"/>
  <c r="D1652" i="44"/>
  <c r="D1086" i="44"/>
  <c r="D831" i="44"/>
  <c r="D141" i="44"/>
  <c r="D1215" i="44"/>
  <c r="D42" i="44"/>
  <c r="D604" i="44"/>
  <c r="D1440" i="44"/>
  <c r="D1007" i="44"/>
  <c r="D710" i="44"/>
  <c r="D682" i="44"/>
  <c r="D1106" i="44"/>
  <c r="D698" i="44"/>
  <c r="D803" i="44"/>
  <c r="D33" i="44"/>
  <c r="D299" i="44"/>
  <c r="D1228" i="44"/>
  <c r="D1330" i="44"/>
  <c r="D1631" i="44"/>
  <c r="D26" i="44"/>
  <c r="D1255" i="44"/>
  <c r="D657" i="44"/>
  <c r="D1461" i="44"/>
  <c r="D1075" i="44"/>
  <c r="D1669" i="44"/>
  <c r="D326" i="44"/>
  <c r="D87" i="44"/>
  <c r="D524" i="44"/>
  <c r="D859" i="44"/>
  <c r="D311" i="44"/>
  <c r="D8" i="44"/>
  <c r="D572" i="44"/>
  <c r="D631" i="44"/>
  <c r="D151" i="44"/>
  <c r="D569" i="44"/>
  <c r="D580" i="44"/>
  <c r="D533" i="44"/>
  <c r="D38" i="44"/>
  <c r="D58" i="44"/>
  <c r="D519" i="44"/>
  <c r="D525" i="44"/>
  <c r="D1521" i="44"/>
  <c r="D1498" i="44"/>
  <c r="D897" i="44"/>
  <c r="D16" i="44"/>
  <c r="D221" i="44"/>
  <c r="D1268" i="44"/>
  <c r="D73" i="44"/>
  <c r="D399" i="44"/>
  <c r="D940" i="44"/>
  <c r="D875" i="44"/>
  <c r="D1343" i="44"/>
  <c r="D61" i="44"/>
  <c r="D1070" i="44"/>
  <c r="D19" i="44"/>
  <c r="D452" i="44"/>
  <c r="D43" i="44"/>
  <c r="D1579" i="44"/>
  <c r="D265" i="44"/>
  <c r="D1481" i="44"/>
  <c r="D437" i="44"/>
  <c r="D282" i="44"/>
  <c r="D1308" i="44"/>
  <c r="D1407" i="44"/>
  <c r="D174" i="44"/>
  <c r="D989" i="44"/>
  <c r="D520" i="44"/>
  <c r="D31" i="44"/>
  <c r="D597" i="44"/>
  <c r="D719" i="44"/>
  <c r="D1195" i="44"/>
  <c r="D716" i="44"/>
  <c r="D303" i="44"/>
  <c r="D145" i="44"/>
  <c r="D402" i="44"/>
  <c r="D1701" i="44"/>
  <c r="D158" i="44"/>
  <c r="D375" i="44"/>
  <c r="D12" i="44"/>
  <c r="D41" i="44"/>
  <c r="D25" i="44"/>
  <c r="D876" i="44"/>
  <c r="D296" i="44"/>
  <c r="D30" i="44"/>
  <c r="D1170" i="44"/>
  <c r="D187" i="44"/>
  <c r="D228" i="44"/>
  <c r="D47" i="44"/>
  <c r="D376" i="44"/>
  <c r="D934" i="44"/>
  <c r="D1489" i="44"/>
  <c r="D1276" i="44"/>
  <c r="D186" i="44"/>
  <c r="D1229" i="44"/>
  <c r="D832" i="44"/>
  <c r="D420" i="44"/>
  <c r="D765" i="44"/>
  <c r="D137" i="44"/>
  <c r="D1522" i="44"/>
  <c r="D1618" i="44"/>
  <c r="D819" i="44"/>
  <c r="D1107" i="44"/>
  <c r="D180" i="44"/>
  <c r="D477" i="44"/>
  <c r="D355" i="44"/>
  <c r="D1061" i="44"/>
  <c r="D1240" i="44"/>
  <c r="D605" i="44"/>
  <c r="D13" i="44"/>
  <c r="D971" i="44"/>
  <c r="D1030" i="44"/>
  <c r="D658" i="44"/>
  <c r="D786" i="44"/>
  <c r="D1408" i="44"/>
  <c r="D1682" i="44"/>
  <c r="D515" i="44"/>
  <c r="D1702" i="44"/>
  <c r="D1665" i="44"/>
  <c r="D98" i="44"/>
  <c r="D1385" i="44"/>
  <c r="D1689" i="44"/>
  <c r="D1418" i="44"/>
  <c r="D1474" i="44"/>
  <c r="D116" i="44"/>
  <c r="D1515" i="44"/>
  <c r="D1624" i="44"/>
  <c r="D800" i="44"/>
  <c r="D1704" i="44"/>
  <c r="D1537" i="44"/>
  <c r="D837" i="44"/>
  <c r="D1499" i="44"/>
  <c r="D712" i="44"/>
  <c r="D534" i="44"/>
  <c r="D791" i="44"/>
  <c r="D1021" i="44"/>
  <c r="D91" i="44"/>
  <c r="D1281" i="44"/>
  <c r="D1493" i="44"/>
  <c r="D1399" i="44"/>
  <c r="D968" i="44"/>
  <c r="D734" i="44"/>
  <c r="D1456" i="44"/>
  <c r="D573" i="44"/>
  <c r="D673" i="44"/>
  <c r="D120" i="44"/>
  <c r="D1544" i="44"/>
  <c r="D424" i="44"/>
  <c r="D150" i="44"/>
  <c r="D731" i="44"/>
  <c r="D1670" i="44"/>
  <c r="D1361" i="44"/>
  <c r="D190" i="44"/>
  <c r="D915" i="44"/>
  <c r="D954" i="44"/>
  <c r="D54" i="44"/>
  <c r="D285" i="44"/>
  <c r="D122" i="44"/>
  <c r="D27" i="44"/>
  <c r="D1403" i="44"/>
  <c r="D246" i="44"/>
  <c r="D368" i="44"/>
  <c r="D566" i="44"/>
  <c r="D822" i="44"/>
  <c r="D455" i="44"/>
  <c r="D381" i="44"/>
  <c r="D1197" i="44"/>
  <c r="D990" i="44"/>
  <c r="D409" i="44"/>
  <c r="D641" i="44"/>
  <c r="D72" i="44"/>
  <c r="D1038" i="44"/>
  <c r="D1370" i="44"/>
  <c r="D975" i="44"/>
  <c r="D725" i="44"/>
  <c r="D240" i="44"/>
  <c r="D1184" i="44"/>
  <c r="D1314" i="44"/>
  <c r="D1157" i="44"/>
  <c r="D1216" i="44"/>
  <c r="D1575" i="44"/>
  <c r="D1609" i="44"/>
  <c r="D1178" i="44"/>
  <c r="D1287" i="44"/>
  <c r="D1012" i="44"/>
  <c r="D434" i="44"/>
  <c r="D1595" i="44"/>
  <c r="D1426" i="44"/>
  <c r="D416" i="44"/>
  <c r="D1046" i="44"/>
  <c r="D1076" i="44"/>
  <c r="D797" i="44"/>
  <c r="D1648" i="44"/>
  <c r="D106" i="44"/>
  <c r="D1099" i="44"/>
  <c r="D1664" i="44"/>
  <c r="D1188" i="44"/>
  <c r="D428" i="44"/>
  <c r="D685" i="44"/>
  <c r="D372" i="44"/>
  <c r="D688" i="44"/>
  <c r="D1692" i="44"/>
  <c r="D1611" i="44"/>
  <c r="D1697" i="44"/>
  <c r="D798" i="44"/>
  <c r="D208" i="44"/>
  <c r="D14" i="44"/>
  <c r="D1354" i="44"/>
  <c r="D1355" i="44"/>
  <c r="D936" i="44"/>
  <c r="D1457" i="44"/>
  <c r="D735" i="44"/>
  <c r="D581" i="44"/>
  <c r="D542" i="44"/>
  <c r="D1064" i="44"/>
  <c r="D10" i="44"/>
  <c r="D1311" i="44"/>
  <c r="D291" i="44"/>
  <c r="D5" i="44"/>
  <c r="D592" i="44"/>
  <c r="D554" i="44"/>
  <c r="D1635" i="44"/>
  <c r="D1090" i="44"/>
  <c r="D387" i="44"/>
  <c r="D870" i="44"/>
  <c r="D1168" i="44"/>
  <c r="D148" i="44"/>
  <c r="D280" i="44"/>
  <c r="D1710" i="44"/>
  <c r="D1346" i="44"/>
  <c r="D350" i="44"/>
  <c r="D931" i="44"/>
  <c r="D9" i="44"/>
  <c r="D339" i="44"/>
  <c r="D500" i="44"/>
  <c r="D1372" i="44"/>
  <c r="D1198" i="44"/>
  <c r="D1352" i="44"/>
  <c r="D1612" i="44"/>
  <c r="D1707" i="44"/>
  <c r="D101" i="44"/>
  <c r="D89" i="44"/>
  <c r="D1437" i="44"/>
  <c r="D2406" i="44"/>
  <c r="D1116" i="44"/>
  <c r="D443" i="44"/>
  <c r="D209" i="44"/>
  <c r="D1275" i="44"/>
  <c r="D1151" i="44"/>
  <c r="D1379" i="44"/>
  <c r="D732" i="44"/>
  <c r="D1711" i="44"/>
  <c r="D535" i="44"/>
  <c r="D810" i="44"/>
  <c r="D1031" i="44"/>
  <c r="D578" i="44"/>
  <c r="D1071" i="44"/>
  <c r="D1513" i="44"/>
  <c r="D804" i="44"/>
  <c r="D382" i="44"/>
  <c r="D199" i="44"/>
  <c r="D251" i="44"/>
  <c r="D143" i="44"/>
  <c r="D57" i="44"/>
  <c r="D972" i="44"/>
  <c r="D1401" i="44"/>
  <c r="D1018" i="44"/>
  <c r="D1022" i="44"/>
  <c r="D1241" i="44"/>
  <c r="D244" i="44"/>
  <c r="D805" i="44"/>
  <c r="D1344" i="44"/>
  <c r="D626" i="44"/>
  <c r="D109" i="44"/>
  <c r="D1395" i="44"/>
  <c r="D1390" i="44"/>
  <c r="D1072" i="44"/>
  <c r="D1142" i="44"/>
  <c r="D750" i="44"/>
  <c r="D470" i="44"/>
  <c r="D505" i="44"/>
  <c r="D46" i="44"/>
  <c r="D773" i="44"/>
  <c r="D99" i="44"/>
  <c r="D1615" i="44"/>
  <c r="D136" i="44"/>
  <c r="D1599" i="44"/>
  <c r="D493" i="44"/>
  <c r="D582" i="44"/>
  <c r="D1356" i="44"/>
  <c r="D18" i="44"/>
  <c r="D507" i="44"/>
  <c r="D152" i="44"/>
  <c r="D774" i="44"/>
  <c r="D392" i="44"/>
  <c r="D142" i="44"/>
  <c r="D131" i="44"/>
  <c r="D1477" i="44"/>
  <c r="D286" i="44"/>
  <c r="D1121" i="44"/>
  <c r="D80" i="44"/>
  <c r="D459" i="44"/>
  <c r="D383" i="44"/>
  <c r="D969" i="44"/>
  <c r="D511" i="44"/>
  <c r="D479" i="44"/>
  <c r="D1065" i="44"/>
  <c r="D766" i="44"/>
  <c r="D540" i="44"/>
  <c r="D52" i="44"/>
  <c r="D1673" i="44"/>
  <c r="D842" i="44"/>
  <c r="D645" i="44"/>
  <c r="D3" i="44"/>
  <c r="D1458" i="44"/>
  <c r="D487" i="44"/>
  <c r="D531" i="44"/>
  <c r="D612" i="44"/>
  <c r="D155" i="44"/>
  <c r="D337" i="44"/>
  <c r="D352" i="44"/>
  <c r="D508" i="44"/>
  <c r="D277" i="44"/>
  <c r="D1102" i="44"/>
  <c r="D1582" i="44"/>
  <c r="D1077" i="44"/>
  <c r="D374" i="44"/>
  <c r="D1507" i="44"/>
  <c r="D1423" i="44"/>
  <c r="D1377" i="44"/>
  <c r="D1247" i="44"/>
  <c r="D1288" i="44"/>
  <c r="D1289" i="44"/>
  <c r="D1571" i="44"/>
  <c r="D911" i="44"/>
  <c r="D648" i="44"/>
  <c r="D196" i="44"/>
  <c r="D906" i="44"/>
  <c r="D1145" i="44"/>
  <c r="D444" i="44"/>
  <c r="D705" i="44"/>
  <c r="D801" i="44"/>
  <c r="D393" i="44"/>
  <c r="D377" i="44"/>
  <c r="D1093" i="44"/>
  <c r="D890" i="44"/>
  <c r="D351" i="44"/>
  <c r="D850" i="44"/>
  <c r="D521" i="44"/>
  <c r="D1338" i="44"/>
  <c r="D292" i="44"/>
  <c r="D394" i="44"/>
  <c r="D103" i="44"/>
  <c r="D1052" i="44"/>
  <c r="D128" i="44"/>
  <c r="D1253" i="44"/>
  <c r="D1482" i="44"/>
  <c r="D706" i="44"/>
  <c r="D1112" i="44"/>
  <c r="D833" i="44"/>
  <c r="D1132" i="44"/>
  <c r="D848" i="44"/>
  <c r="D1080" i="44"/>
  <c r="D1644" i="44"/>
  <c r="D405" i="44"/>
  <c r="D1296" i="44"/>
  <c r="D707" i="44"/>
  <c r="D346" i="44"/>
  <c r="D1081" i="44"/>
  <c r="D841" i="44"/>
  <c r="D245" i="44"/>
  <c r="D1258" i="44"/>
  <c r="D1169" i="44"/>
  <c r="D1113" i="44"/>
  <c r="D543" i="44"/>
  <c r="D891" i="44"/>
  <c r="D925" i="44"/>
  <c r="D932" i="44"/>
  <c r="D909" i="44"/>
  <c r="D164" i="44"/>
  <c r="D1205" i="44"/>
  <c r="D1387" i="44"/>
  <c r="D926" i="44"/>
  <c r="D637" i="44"/>
  <c r="D762" i="44"/>
  <c r="D110" i="44"/>
  <c r="D356" i="44"/>
  <c r="D864" i="44"/>
  <c r="D1256" i="44"/>
  <c r="D616" i="44"/>
  <c r="D1375" i="44"/>
  <c r="D1143" i="44"/>
  <c r="D314" i="44"/>
  <c r="D266" i="44"/>
  <c r="D583" i="44"/>
  <c r="D440" i="44"/>
  <c r="D1438" i="44"/>
  <c r="D1404" i="44"/>
  <c r="D555" i="44"/>
  <c r="D881" i="44"/>
  <c r="D1078" i="44"/>
  <c r="D1373" i="44"/>
  <c r="D1334" i="44"/>
  <c r="D557" i="44"/>
  <c r="D1019" i="44"/>
  <c r="D104" i="44"/>
  <c r="D488" i="44"/>
  <c r="D556" i="44"/>
  <c r="D536" i="44"/>
  <c r="D708" i="44"/>
  <c r="D736" i="44"/>
  <c r="D1465" i="44"/>
  <c r="D497" i="44"/>
  <c r="D656" i="44"/>
  <c r="D165" i="44"/>
  <c r="D1328" i="44"/>
  <c r="D149" i="44"/>
  <c r="D1034" i="44"/>
  <c r="D1658" i="44"/>
  <c r="D717" i="44"/>
  <c r="D469" i="44"/>
  <c r="D78" i="44"/>
  <c r="D274" i="44"/>
  <c r="D961" i="44"/>
  <c r="D1590" i="44"/>
  <c r="D441" i="44"/>
  <c r="D1528" i="44"/>
  <c r="D1122" i="44"/>
  <c r="D993" i="44"/>
  <c r="D1709" i="44"/>
  <c r="D1504" i="44"/>
  <c r="D811" i="44"/>
  <c r="D1679" i="44"/>
  <c r="D1628" i="44"/>
  <c r="D233" i="44"/>
  <c r="D100" i="44"/>
  <c r="D1336" i="44"/>
  <c r="D153" i="44"/>
  <c r="D460" i="44"/>
  <c r="D1284" i="44"/>
  <c r="D537" i="44"/>
  <c r="D466" i="44"/>
  <c r="D1484" i="44"/>
  <c r="D1508" i="44"/>
  <c r="D1641" i="44"/>
  <c r="D283" i="44"/>
  <c r="D1391" i="44"/>
  <c r="D53" i="44"/>
  <c r="D273" i="44"/>
  <c r="D1505" i="44"/>
  <c r="D1462" i="44"/>
  <c r="D733" i="44"/>
  <c r="D205" i="44"/>
  <c r="D755" i="44"/>
  <c r="D1523" i="44"/>
  <c r="D780" i="44"/>
  <c r="D450" i="44"/>
  <c r="D229" i="44"/>
  <c r="D843" i="44"/>
  <c r="D188" i="44"/>
  <c r="D456" i="44"/>
  <c r="D1713" i="44"/>
  <c r="D741" i="44"/>
  <c r="D1475" i="44"/>
  <c r="D998" i="44"/>
  <c r="D1269" i="44"/>
  <c r="D742" i="44"/>
  <c r="D882" i="44"/>
  <c r="D2400" i="44"/>
  <c r="D117" i="44"/>
  <c r="D167" i="44"/>
  <c r="D498" i="44"/>
  <c r="D1557" i="44"/>
  <c r="D1055" i="44"/>
  <c r="D999" i="44"/>
  <c r="D200" i="44"/>
  <c r="D293" i="44"/>
  <c r="D1000" i="44"/>
  <c r="D912" i="44"/>
  <c r="D252" i="44"/>
  <c r="D304" i="44"/>
  <c r="D206" i="44"/>
  <c r="D903" i="44"/>
  <c r="D1066" i="44"/>
  <c r="D978" i="44"/>
  <c r="D686" i="44"/>
  <c r="D411" i="44"/>
  <c r="D683" i="44"/>
  <c r="D820" i="44"/>
  <c r="D113" i="44"/>
  <c r="D792" i="44"/>
  <c r="D40" i="44"/>
  <c r="D726" i="44"/>
  <c r="D1686" i="44"/>
  <c r="D127" i="44"/>
  <c r="D745" i="44"/>
  <c r="D1576" i="44"/>
  <c r="D1632" i="44"/>
  <c r="D1041" i="44"/>
  <c r="D1580" i="44"/>
  <c r="D825" i="44"/>
  <c r="D447" i="44"/>
  <c r="D1103" i="44"/>
  <c r="D1248" i="44"/>
  <c r="D678" i="44"/>
  <c r="D562" i="44"/>
  <c r="D666" i="44"/>
  <c r="D1687" i="44"/>
  <c r="D1259" i="44"/>
  <c r="D1315" i="44"/>
  <c r="D976" i="44"/>
  <c r="D82" i="44"/>
  <c r="D1378" i="44"/>
  <c r="D1035" i="44"/>
  <c r="D1249" i="44"/>
  <c r="D1297" i="44"/>
  <c r="D584" i="44"/>
  <c r="D945" i="44"/>
  <c r="D1524" i="44"/>
  <c r="D1277" i="44"/>
  <c r="D1478" i="44"/>
  <c r="D34" i="44"/>
  <c r="D689" i="44"/>
  <c r="D1322" i="44"/>
  <c r="D1649" i="44"/>
  <c r="D489" i="44"/>
  <c r="D1593" i="44"/>
  <c r="D1666" i="44"/>
  <c r="D484" i="44"/>
  <c r="D1449" i="44"/>
  <c r="D694" i="44"/>
  <c r="D1567" i="44"/>
  <c r="D615" i="44"/>
  <c r="D129" i="44"/>
  <c r="D66" i="44"/>
  <c r="D1708" i="44"/>
  <c r="D181" i="44"/>
  <c r="D546" i="44"/>
  <c r="D214" i="44"/>
  <c r="D1619" i="44"/>
  <c r="D1146" i="44"/>
  <c r="D361" i="44"/>
  <c r="D134" i="44"/>
  <c r="D421" i="44"/>
  <c r="D1690" i="44"/>
  <c r="D1147" i="44"/>
  <c r="D1217" i="44"/>
  <c r="D512" i="44"/>
  <c r="D1432" i="44"/>
  <c r="D1243" i="44"/>
  <c r="D1608" i="44"/>
  <c r="D1613" i="44"/>
  <c r="D1139" i="44"/>
  <c r="D1516" i="44"/>
  <c r="D1450" i="44"/>
  <c r="D1181" i="44"/>
  <c r="D718" i="44"/>
  <c r="D93" i="44"/>
  <c r="D1235" i="44"/>
  <c r="D588" i="44"/>
  <c r="D230" i="44"/>
  <c r="D1088" i="44"/>
  <c r="D138" i="44"/>
  <c r="D332" i="44"/>
  <c r="D1396" i="44"/>
  <c r="D1176" i="44"/>
  <c r="D1312" i="44"/>
  <c r="D1152" i="44"/>
  <c r="D883" i="44"/>
  <c r="D178" i="44"/>
  <c r="D1531" i="44"/>
  <c r="D1364" i="44"/>
  <c r="D547" i="44"/>
  <c r="D1548" i="44"/>
  <c r="D1412" i="44"/>
  <c r="D1490" i="44"/>
  <c r="D1148" i="44"/>
  <c r="D1680" i="44"/>
  <c r="D1282" i="44"/>
  <c r="D558" i="44"/>
  <c r="D1349" i="44"/>
  <c r="D544" i="44"/>
  <c r="D1427" i="44"/>
  <c r="D1246" i="44"/>
  <c r="D1221" i="44"/>
  <c r="D789" i="44"/>
  <c r="D1677" i="44"/>
  <c r="D295" i="44"/>
  <c r="D1479" i="44"/>
  <c r="D156" i="44"/>
  <c r="D327" i="44"/>
  <c r="D328" i="44"/>
  <c r="D1242" i="44"/>
  <c r="D236" i="44"/>
  <c r="D1347" i="44"/>
  <c r="D69" i="44"/>
  <c r="D1405" i="44"/>
  <c r="D1123" i="44"/>
  <c r="D1514" i="44"/>
  <c r="D378" i="44"/>
  <c r="D955" i="44"/>
  <c r="D671" i="44"/>
  <c r="D646" i="44"/>
  <c r="D593" i="44"/>
  <c r="D2401" i="44"/>
  <c r="D384" i="44"/>
  <c r="D388" i="44"/>
  <c r="D1062" i="44"/>
  <c r="D1299" i="44"/>
  <c r="D1463" i="44"/>
  <c r="D1008" i="44"/>
  <c r="D1380" i="44"/>
  <c r="D425" i="44"/>
  <c r="D1350" i="44"/>
  <c r="D709" i="44"/>
  <c r="D1208" i="44"/>
  <c r="D613" i="44"/>
  <c r="D96" i="44"/>
  <c r="D898" i="44"/>
  <c r="D1397" i="44"/>
  <c r="D916" i="44"/>
  <c r="D623" i="44"/>
  <c r="D639" i="44"/>
  <c r="D1023" i="44"/>
  <c r="D1270" i="44"/>
  <c r="D168" i="44"/>
  <c r="D210" i="44"/>
  <c r="D600" i="44"/>
  <c r="D1094" i="44"/>
  <c r="D48" i="44"/>
  <c r="D1439" i="44"/>
  <c r="D632" i="44"/>
  <c r="D808" i="44"/>
  <c r="D307" i="44"/>
  <c r="D1127" i="44"/>
  <c r="D406" i="44"/>
  <c r="D684" i="44"/>
  <c r="D275" i="44"/>
  <c r="D482" i="44"/>
  <c r="D516" i="44"/>
  <c r="D548" i="44"/>
  <c r="D851" i="44"/>
  <c r="D1200" i="44"/>
  <c r="D937" i="44"/>
  <c r="D494" i="44"/>
  <c r="D601" i="44"/>
  <c r="D609" i="44"/>
  <c r="D649" i="44"/>
  <c r="D1013" i="44"/>
  <c r="D1059" i="44"/>
  <c r="D1629" i="44"/>
  <c r="D90" i="44"/>
  <c r="D2402" i="44"/>
  <c r="D1675" i="44"/>
  <c r="D699" i="44"/>
  <c r="D1529" i="44"/>
  <c r="D917" i="44"/>
  <c r="D1290" i="44"/>
  <c r="D690" i="44"/>
  <c r="D1533" i="44"/>
  <c r="D1433" i="44"/>
  <c r="D340" i="44"/>
  <c r="D212" i="44"/>
  <c r="D203" i="44"/>
  <c r="D587" i="44"/>
  <c r="D758" i="44"/>
  <c r="D799" i="44"/>
  <c r="D1244" i="44"/>
  <c r="D262" i="44"/>
  <c r="D191" i="44"/>
  <c r="D1485" i="44"/>
  <c r="D767" i="44"/>
  <c r="D474" i="44"/>
  <c r="D2403" i="44"/>
  <c r="D231" i="44"/>
  <c r="D667" i="44"/>
  <c r="D1189" i="44"/>
  <c r="D1222" i="44"/>
  <c r="D267" i="44"/>
  <c r="D913" i="44"/>
  <c r="D448" i="44"/>
  <c r="D1133" i="44"/>
  <c r="D1340" i="44"/>
  <c r="D318" i="44"/>
  <c r="D838" i="44"/>
  <c r="D844" i="44"/>
  <c r="D793" i="44"/>
  <c r="D253" i="44"/>
  <c r="D1698" i="44"/>
  <c r="D1695" i="44"/>
  <c r="D812" i="44"/>
  <c r="D877" i="44"/>
  <c r="D927" i="44"/>
  <c r="D1357" i="44"/>
  <c r="D1051" i="44"/>
  <c r="D1024" i="44"/>
  <c r="D852" i="44"/>
  <c r="D617" i="44"/>
  <c r="D1584" i="44"/>
  <c r="D627" i="44"/>
  <c r="D1224" i="44"/>
  <c r="D513" i="44"/>
  <c r="D1472" i="44"/>
  <c r="D574" i="44"/>
  <c r="D475" i="44"/>
  <c r="D315" i="44"/>
  <c r="D1171" i="44"/>
  <c r="D1452" i="44"/>
  <c r="D1056" i="44"/>
  <c r="D559" i="44"/>
  <c r="D75" i="44"/>
  <c r="D1585" i="44"/>
  <c r="D1158" i="44"/>
  <c r="D1230" i="44"/>
  <c r="D768" i="44"/>
  <c r="D462" i="44"/>
  <c r="D668" i="44"/>
  <c r="D1305" i="44"/>
  <c r="D1676" i="44"/>
  <c r="D1699" i="44"/>
  <c r="D1365" i="44"/>
  <c r="D62" i="44"/>
  <c r="D1136" i="44"/>
  <c r="D316" i="44"/>
  <c r="D1526" i="44"/>
  <c r="D359" i="44"/>
  <c r="D1309" i="44"/>
  <c r="D268" i="44"/>
  <c r="D1001" i="44"/>
  <c r="D278" i="44"/>
  <c r="D813" i="44"/>
  <c r="D219" i="44"/>
  <c r="D884" i="44"/>
  <c r="D570" i="44"/>
  <c r="D1209" i="44"/>
  <c r="D1236" i="44"/>
  <c r="D1044" i="44"/>
  <c r="D1079" i="44"/>
  <c r="D966" i="44"/>
  <c r="D1201" i="44"/>
  <c r="D1494" i="44"/>
  <c r="D323" i="44"/>
  <c r="D1519" i="44"/>
  <c r="D1004" i="44"/>
  <c r="D1202" i="44"/>
  <c r="D1634" i="44"/>
  <c r="D621" i="44"/>
  <c r="D1706" i="44"/>
  <c r="D1545" i="44"/>
  <c r="D860" i="44"/>
  <c r="D845" i="44"/>
  <c r="D594" i="44"/>
  <c r="D415" i="44"/>
  <c r="D438" i="44"/>
  <c r="D234" i="44"/>
  <c r="D918" i="44"/>
  <c r="D1534" i="44"/>
  <c r="D362" i="44"/>
  <c r="D1045" i="44"/>
  <c r="D501" i="44"/>
  <c r="D301" i="44"/>
  <c r="D970" i="44"/>
  <c r="D595" i="44"/>
  <c r="D176" i="44"/>
  <c r="D769" i="44"/>
  <c r="D1161" i="44"/>
  <c r="D835" i="44"/>
  <c r="D154" i="44"/>
  <c r="D517" i="44"/>
  <c r="D451" i="44"/>
  <c r="D948" i="44"/>
  <c r="D1036" i="44"/>
  <c r="D95" i="44"/>
  <c r="D1653" i="44"/>
  <c r="D1271" i="44"/>
  <c r="D1331" i="44"/>
  <c r="D1165" i="44"/>
  <c r="D892" i="44"/>
  <c r="D1119" i="44"/>
  <c r="D223" i="44"/>
  <c r="D1250" i="44"/>
  <c r="D1630" i="44"/>
  <c r="D419" i="44"/>
  <c r="D353" i="44"/>
  <c r="D1153" i="44"/>
  <c r="D653" i="44"/>
  <c r="D868" i="44"/>
  <c r="D526" i="44"/>
  <c r="D1009" i="44"/>
  <c r="D551" i="44"/>
  <c r="D147" i="44"/>
  <c r="D1464" i="44"/>
  <c r="D1348" i="44"/>
  <c r="D1637" i="44"/>
  <c r="D319" i="44"/>
  <c r="D1039" i="44"/>
  <c r="D67" i="44"/>
  <c r="D1684" i="44"/>
  <c r="D1700" i="44"/>
  <c r="D1565" i="44"/>
  <c r="D980" i="44"/>
  <c r="D618" i="44"/>
  <c r="D973" i="44"/>
  <c r="D633" i="44"/>
  <c r="D642" i="44"/>
  <c r="D192" i="44"/>
  <c r="D169" i="44"/>
  <c r="D1014" i="44"/>
  <c r="D1089" i="44"/>
  <c r="D410" i="44"/>
  <c r="D1057" i="44"/>
  <c r="D430" i="44"/>
  <c r="D770" i="44"/>
  <c r="D696" i="44"/>
  <c r="D1015" i="44"/>
  <c r="D1060" i="44"/>
  <c r="D1500" i="44"/>
  <c r="R4" i="45"/>
  <c r="R10" i="45"/>
  <c r="R856" i="45"/>
  <c r="M130" i="50"/>
  <c r="M357" i="50"/>
  <c r="M358" i="50"/>
  <c r="M6" i="50"/>
  <c r="M25" i="50"/>
  <c r="M26" i="50"/>
  <c r="M2" i="50"/>
  <c r="M131" i="50"/>
  <c r="M132" i="50"/>
  <c r="M133" i="50"/>
  <c r="M359" i="50"/>
  <c r="M27" i="50"/>
  <c r="M134" i="50"/>
  <c r="M28" i="50"/>
  <c r="M29" i="50"/>
  <c r="M475" i="50"/>
  <c r="M135" i="50"/>
  <c r="M30" i="50"/>
  <c r="M31" i="50"/>
  <c r="M136" i="50"/>
  <c r="M32" i="50"/>
  <c r="M137" i="50"/>
  <c r="M360" i="50"/>
  <c r="M361" i="50"/>
  <c r="M138" i="50"/>
  <c r="M139" i="50"/>
  <c r="M140" i="50"/>
  <c r="M141" i="50"/>
  <c r="M33" i="50"/>
  <c r="M142" i="50"/>
  <c r="M34" i="50"/>
  <c r="M143" i="50"/>
  <c r="M144" i="50"/>
  <c r="M145" i="50"/>
  <c r="M146" i="50"/>
  <c r="M147" i="50"/>
  <c r="M35" i="50"/>
  <c r="M36" i="50"/>
  <c r="M476" i="50"/>
  <c r="M7" i="50"/>
  <c r="M148" i="50"/>
  <c r="M149" i="50"/>
  <c r="M150" i="50"/>
  <c r="M362" i="50"/>
  <c r="M37" i="50"/>
  <c r="M151" i="50"/>
  <c r="M152" i="50"/>
  <c r="M153" i="50"/>
  <c r="M154" i="50"/>
  <c r="M38" i="50"/>
  <c r="M155" i="50"/>
  <c r="M477" i="50"/>
  <c r="M156" i="50"/>
  <c r="M157" i="50"/>
  <c r="M363" i="50"/>
  <c r="M39" i="50"/>
  <c r="M158" i="50"/>
  <c r="M3" i="50"/>
  <c r="M159" i="50"/>
  <c r="M364" i="50"/>
  <c r="M40" i="50"/>
  <c r="M160" i="50"/>
  <c r="M41" i="50"/>
  <c r="M365" i="50"/>
  <c r="M366" i="50"/>
  <c r="M161" i="50"/>
  <c r="M42" i="50"/>
  <c r="M162" i="50"/>
  <c r="M43" i="50"/>
  <c r="M367" i="50"/>
  <c r="M163" i="50"/>
  <c r="M164" i="50"/>
  <c r="M478" i="50"/>
  <c r="M165" i="50"/>
  <c r="M44" i="50"/>
  <c r="M368" i="50"/>
  <c r="M166" i="50"/>
  <c r="M167" i="50"/>
  <c r="M369" i="50"/>
  <c r="M370" i="50"/>
  <c r="M371" i="50"/>
  <c r="M8" i="50"/>
  <c r="M168" i="50"/>
  <c r="M169" i="50"/>
  <c r="M170" i="50"/>
  <c r="M45" i="50"/>
  <c r="M46" i="50"/>
  <c r="M171" i="50"/>
  <c r="M172" i="50"/>
  <c r="M173" i="50"/>
  <c r="M47" i="50"/>
  <c r="M48" i="50"/>
  <c r="M174" i="50"/>
  <c r="M49" i="50"/>
  <c r="M372" i="50"/>
  <c r="M479" i="50"/>
  <c r="M175" i="50"/>
  <c r="M373" i="50"/>
  <c r="M176" i="50"/>
  <c r="M50" i="50"/>
  <c r="M177" i="50"/>
  <c r="M178" i="50"/>
  <c r="M179" i="50"/>
  <c r="M51" i="50"/>
  <c r="M180" i="50"/>
  <c r="M181" i="50"/>
  <c r="M182" i="50"/>
  <c r="M9" i="50"/>
  <c r="M374" i="50"/>
  <c r="M375" i="50"/>
  <c r="M376" i="50"/>
  <c r="M52" i="50"/>
  <c r="M183" i="50"/>
  <c r="M184" i="50"/>
  <c r="M185" i="50"/>
  <c r="M53" i="50"/>
  <c r="M377" i="50"/>
  <c r="M54" i="50"/>
  <c r="M55" i="50"/>
  <c r="M4" i="50"/>
  <c r="M186" i="50"/>
  <c r="M187" i="50"/>
  <c r="M56" i="50"/>
  <c r="M188" i="50"/>
  <c r="M57" i="50"/>
  <c r="M58" i="50"/>
  <c r="M59" i="50"/>
  <c r="M189" i="50"/>
  <c r="M190" i="50"/>
  <c r="M60" i="50"/>
  <c r="M61" i="50"/>
  <c r="M191" i="50"/>
  <c r="M62" i="50"/>
  <c r="M63" i="50"/>
  <c r="M192" i="50"/>
  <c r="M10" i="50"/>
  <c r="M193" i="50"/>
  <c r="M480" i="50"/>
  <c r="M194" i="50"/>
  <c r="M195" i="50"/>
  <c r="M378" i="50"/>
  <c r="M379" i="50"/>
  <c r="M196" i="50"/>
  <c r="M481" i="50"/>
  <c r="M380" i="50"/>
  <c r="M64" i="50"/>
  <c r="M381" i="50"/>
  <c r="M197" i="50"/>
  <c r="M382" i="50"/>
  <c r="M198" i="50"/>
  <c r="M199" i="50"/>
  <c r="M65" i="50"/>
  <c r="M383" i="50"/>
  <c r="M200" i="50"/>
  <c r="M384" i="50"/>
  <c r="M66" i="50"/>
  <c r="M385" i="50"/>
  <c r="M201" i="50"/>
  <c r="M67" i="50"/>
  <c r="M386" i="50"/>
  <c r="M68" i="50"/>
  <c r="M387" i="50"/>
  <c r="M69" i="50"/>
  <c r="M388" i="50"/>
  <c r="M202" i="50"/>
  <c r="M203" i="50"/>
  <c r="M70" i="50"/>
  <c r="M204" i="50"/>
  <c r="M389" i="50"/>
  <c r="M390" i="50"/>
  <c r="M71" i="50"/>
  <c r="M205" i="50"/>
  <c r="M206" i="50"/>
  <c r="M72" i="50"/>
  <c r="M207" i="50"/>
  <c r="M391" i="50"/>
  <c r="M392" i="50"/>
  <c r="M73" i="50"/>
  <c r="M393" i="50"/>
  <c r="M394" i="50"/>
  <c r="M74" i="50"/>
  <c r="M75" i="50"/>
  <c r="M208" i="50"/>
  <c r="M209" i="50"/>
  <c r="M210" i="50"/>
  <c r="M211" i="50"/>
  <c r="M212" i="50"/>
  <c r="M213" i="50"/>
  <c r="M214" i="50"/>
  <c r="M215" i="50"/>
  <c r="M216" i="50"/>
  <c r="M217" i="50"/>
  <c r="M218" i="50"/>
  <c r="M76" i="50"/>
  <c r="M395" i="50"/>
  <c r="M396" i="50"/>
  <c r="M77" i="50"/>
  <c r="M78" i="50"/>
  <c r="M79" i="50"/>
  <c r="M80" i="50"/>
  <c r="M397" i="50"/>
  <c r="M219" i="50"/>
  <c r="M398" i="50"/>
  <c r="M11" i="50"/>
  <c r="M81" i="50"/>
  <c r="M399" i="50"/>
  <c r="M82" i="50"/>
  <c r="M220" i="50"/>
  <c r="M400" i="50"/>
  <c r="M401" i="50"/>
  <c r="M482" i="50"/>
  <c r="M12" i="50"/>
  <c r="M221" i="50"/>
  <c r="M83" i="50"/>
  <c r="M402" i="50"/>
  <c r="M84" i="50"/>
  <c r="M483" i="50"/>
  <c r="M85" i="50"/>
  <c r="M222" i="50"/>
  <c r="M86" i="50"/>
  <c r="M13" i="50"/>
  <c r="M223" i="50"/>
  <c r="M224" i="50"/>
  <c r="M403" i="50"/>
  <c r="M225" i="50"/>
  <c r="M14" i="50"/>
  <c r="M226" i="50"/>
  <c r="M87" i="50"/>
  <c r="M404" i="50"/>
  <c r="M405" i="50"/>
  <c r="M406" i="50"/>
  <c r="M15" i="50"/>
  <c r="M227" i="50"/>
  <c r="M228" i="50"/>
  <c r="M88" i="50"/>
  <c r="M5" i="50"/>
  <c r="M229" i="50"/>
  <c r="M230" i="50"/>
  <c r="M231" i="50"/>
  <c r="M232" i="50"/>
  <c r="M407" i="50"/>
  <c r="M233" i="50"/>
  <c r="M234" i="50"/>
  <c r="M235" i="50"/>
  <c r="M89" i="50"/>
  <c r="M236" i="50"/>
  <c r="M237" i="50"/>
  <c r="M90" i="50"/>
  <c r="M238" i="50"/>
  <c r="M239" i="50"/>
  <c r="M240" i="50"/>
  <c r="M408" i="50"/>
  <c r="M241" i="50"/>
  <c r="M16" i="50"/>
  <c r="M91" i="50"/>
  <c r="M92" i="50"/>
  <c r="M17" i="50"/>
  <c r="M409" i="50"/>
  <c r="M242" i="50"/>
  <c r="M410" i="50"/>
  <c r="M243" i="50"/>
  <c r="M411" i="50"/>
  <c r="M18" i="50"/>
  <c r="M244" i="50"/>
  <c r="M245" i="50"/>
  <c r="M412" i="50"/>
  <c r="M246" i="50"/>
  <c r="M93" i="50"/>
  <c r="M413" i="50"/>
  <c r="M247" i="50"/>
  <c r="M248" i="50"/>
  <c r="M249" i="50"/>
  <c r="M250" i="50"/>
  <c r="M94" i="50"/>
  <c r="M251" i="50"/>
  <c r="M252" i="50"/>
  <c r="M95" i="50"/>
  <c r="M253" i="50"/>
  <c r="M414" i="50"/>
  <c r="M484" i="50"/>
  <c r="M19" i="50"/>
  <c r="M415" i="50"/>
  <c r="M96" i="50"/>
  <c r="M97" i="50"/>
  <c r="M416" i="50"/>
  <c r="M98" i="50"/>
  <c r="M254" i="50"/>
  <c r="M417" i="50"/>
  <c r="M99" i="50"/>
  <c r="M418" i="50"/>
  <c r="M255" i="50"/>
  <c r="M419" i="50"/>
  <c r="M420" i="50"/>
  <c r="M256" i="50"/>
  <c r="M485" i="50"/>
  <c r="M100" i="50"/>
  <c r="M257" i="50"/>
  <c r="M258" i="50"/>
  <c r="M421" i="50"/>
  <c r="M259" i="50"/>
  <c r="M260" i="50"/>
  <c r="M422" i="50"/>
  <c r="M261" i="50"/>
  <c r="M262" i="50"/>
  <c r="M263" i="50"/>
  <c r="M264" i="50"/>
  <c r="M423" i="50"/>
  <c r="M265" i="50"/>
  <c r="M20" i="50"/>
  <c r="M424" i="50"/>
  <c r="M266" i="50"/>
  <c r="M267" i="50"/>
  <c r="M268" i="50"/>
  <c r="M101" i="50"/>
  <c r="M269" i="50"/>
  <c r="M102" i="50"/>
  <c r="M270" i="50"/>
  <c r="M271" i="50"/>
  <c r="M272" i="50"/>
  <c r="M425" i="50"/>
  <c r="M103" i="50"/>
  <c r="M426" i="50"/>
  <c r="M427" i="50"/>
  <c r="M428" i="50"/>
  <c r="M273" i="50"/>
  <c r="M274" i="50"/>
  <c r="M275" i="50"/>
  <c r="M276" i="50"/>
  <c r="M277" i="50"/>
  <c r="M278" i="50"/>
  <c r="M104" i="50"/>
  <c r="M279" i="50"/>
  <c r="M105" i="50"/>
  <c r="M280" i="50"/>
  <c r="M281" i="50"/>
  <c r="M429" i="50"/>
  <c r="M486" i="50"/>
  <c r="M282" i="50"/>
  <c r="M430" i="50"/>
  <c r="M283" i="50"/>
  <c r="M284" i="50"/>
  <c r="M106" i="50"/>
  <c r="M285" i="50"/>
  <c r="M286" i="50"/>
  <c r="M21" i="50"/>
  <c r="M287" i="50"/>
  <c r="M431" i="50"/>
  <c r="M288" i="50"/>
  <c r="M487" i="50"/>
  <c r="M289" i="50"/>
  <c r="M432" i="50"/>
  <c r="M488" i="50"/>
  <c r="M433" i="50"/>
  <c r="M434" i="50"/>
  <c r="M435" i="50"/>
  <c r="M290" i="50"/>
  <c r="M291" i="50"/>
  <c r="M436" i="50"/>
  <c r="M292" i="50"/>
  <c r="M437" i="50"/>
  <c r="M438" i="50"/>
  <c r="M107" i="50"/>
  <c r="M108" i="50"/>
  <c r="M293" i="50"/>
  <c r="M109" i="50"/>
  <c r="M294" i="50"/>
  <c r="M295" i="50"/>
  <c r="M439" i="50"/>
  <c r="M440" i="50"/>
  <c r="M441" i="50"/>
  <c r="M296" i="50"/>
  <c r="M442" i="50"/>
  <c r="M443" i="50"/>
  <c r="M22" i="50"/>
  <c r="M444" i="50"/>
  <c r="M110" i="50"/>
  <c r="M297" i="50"/>
  <c r="M445" i="50"/>
  <c r="M111" i="50"/>
  <c r="M298" i="50"/>
  <c r="M446" i="50"/>
  <c r="M112" i="50"/>
  <c r="M299" i="50"/>
  <c r="M300" i="50"/>
  <c r="M447" i="50"/>
  <c r="M301" i="50"/>
  <c r="M302" i="50"/>
  <c r="M113" i="50"/>
  <c r="M303" i="50"/>
  <c r="M304" i="50"/>
  <c r="M305" i="50"/>
  <c r="M448" i="50"/>
  <c r="M449" i="50"/>
  <c r="M450" i="50"/>
  <c r="M306" i="50"/>
  <c r="M307" i="50"/>
  <c r="M451" i="50"/>
  <c r="M308" i="50"/>
  <c r="M309" i="50"/>
  <c r="M452" i="50"/>
  <c r="M310" i="50"/>
  <c r="M311" i="50"/>
  <c r="M312" i="50"/>
  <c r="M313" i="50"/>
  <c r="M23" i="50"/>
  <c r="M314" i="50"/>
  <c r="M315" i="50"/>
  <c r="M316" i="50"/>
  <c r="M114" i="50"/>
  <c r="M453" i="50"/>
  <c r="M489" i="50"/>
  <c r="M115" i="50"/>
  <c r="M454" i="50"/>
  <c r="M116" i="50"/>
  <c r="M117" i="50"/>
  <c r="M317" i="50"/>
  <c r="M318" i="50"/>
  <c r="M319" i="50"/>
  <c r="M455" i="50"/>
  <c r="M456" i="50"/>
  <c r="M320" i="50"/>
  <c r="M457" i="50"/>
  <c r="M24" i="50"/>
  <c r="M458" i="50"/>
  <c r="M321" i="50"/>
  <c r="M322" i="50"/>
  <c r="M459" i="50"/>
  <c r="M460" i="50"/>
  <c r="M323" i="50"/>
  <c r="M461" i="50"/>
  <c r="M462" i="50"/>
  <c r="M118" i="50"/>
  <c r="M463" i="50"/>
  <c r="M464" i="50"/>
  <c r="M119" i="50"/>
  <c r="M324" i="50"/>
  <c r="M120" i="50"/>
  <c r="M325" i="50"/>
  <c r="M326" i="50"/>
  <c r="M327" i="50"/>
  <c r="M465" i="50"/>
  <c r="M328" i="50"/>
  <c r="M466" i="50"/>
  <c r="M329" i="50"/>
  <c r="M121" i="50"/>
  <c r="M330" i="50"/>
  <c r="M331" i="50"/>
  <c r="M122" i="50"/>
  <c r="M123" i="50"/>
  <c r="M124" i="50"/>
  <c r="M125" i="50"/>
  <c r="M467" i="50"/>
  <c r="M332" i="50"/>
  <c r="M333" i="50"/>
  <c r="M334" i="50"/>
  <c r="M335" i="50"/>
  <c r="M336" i="50"/>
  <c r="M337" i="50"/>
  <c r="M468" i="50"/>
  <c r="M126" i="50"/>
  <c r="M469" i="50"/>
  <c r="M338" i="50"/>
  <c r="M490" i="50"/>
  <c r="M339" i="50"/>
  <c r="M127" i="50"/>
  <c r="M340" i="50"/>
  <c r="M341" i="50"/>
  <c r="M342" i="50"/>
  <c r="M128" i="50"/>
  <c r="M343" i="50"/>
  <c r="M344" i="50"/>
  <c r="M470" i="50"/>
  <c r="M345" i="50"/>
  <c r="M346" i="50"/>
  <c r="M347" i="50"/>
  <c r="M471" i="50"/>
  <c r="M348" i="50"/>
  <c r="M472" i="50"/>
  <c r="M349" i="50"/>
  <c r="M350" i="50"/>
  <c r="M351" i="50"/>
  <c r="M352" i="50"/>
  <c r="M473" i="50"/>
  <c r="M353" i="50"/>
  <c r="M474" i="50"/>
  <c r="M129" i="50"/>
  <c r="M354" i="50"/>
  <c r="M355" i="50"/>
  <c r="M356" i="50"/>
  <c r="U485" i="52" l="1"/>
  <c r="T736" i="52"/>
  <c r="U737" i="52"/>
  <c r="U172" i="52"/>
  <c r="V172" i="52" s="1"/>
  <c r="T354" i="52"/>
  <c r="V354" i="52" s="1"/>
  <c r="T792" i="52"/>
  <c r="V792" i="52" s="1"/>
  <c r="T681" i="52"/>
  <c r="T322" i="52"/>
  <c r="T27" i="52"/>
  <c r="U54" i="52"/>
  <c r="V54" i="52" s="1"/>
  <c r="U140" i="52"/>
  <c r="V140" i="52" s="1"/>
  <c r="U123" i="52"/>
  <c r="V123" i="52" s="1"/>
  <c r="T406" i="52"/>
  <c r="V406" i="52" s="1"/>
  <c r="T267" i="52"/>
  <c r="V267" i="52" s="1"/>
  <c r="U443" i="52"/>
  <c r="V443" i="52" s="1"/>
  <c r="T91" i="52"/>
  <c r="U471" i="52"/>
  <c r="V471" i="52" s="1"/>
  <c r="U213" i="52"/>
  <c r="V213" i="52" s="1"/>
  <c r="U343" i="52"/>
  <c r="U168" i="52"/>
  <c r="V168" i="52" s="1"/>
  <c r="U428" i="52"/>
  <c r="T733" i="52"/>
  <c r="V733" i="52" s="1"/>
  <c r="T220" i="52"/>
  <c r="V220" i="52" s="1"/>
  <c r="T657" i="52"/>
  <c r="V657" i="52" s="1"/>
  <c r="T198" i="52"/>
  <c r="V198" i="52" s="1"/>
  <c r="T808" i="52"/>
  <c r="V808" i="52" s="1"/>
  <c r="T330" i="52"/>
  <c r="V330" i="52" s="1"/>
  <c r="T393" i="52"/>
  <c r="T340" i="52"/>
  <c r="V340" i="52" s="1"/>
  <c r="T464" i="52"/>
  <c r="V464" i="52" s="1"/>
  <c r="T332" i="52"/>
  <c r="V332" i="52" s="1"/>
  <c r="T217" i="52"/>
  <c r="T619" i="52"/>
  <c r="T206" i="52"/>
  <c r="V206" i="52" s="1"/>
  <c r="T141" i="52"/>
  <c r="V141" i="52" s="1"/>
  <c r="T453" i="52"/>
  <c r="V453" i="52" s="1"/>
  <c r="T224" i="52"/>
  <c r="V224" i="52" s="1"/>
  <c r="U621" i="52"/>
  <c r="V621" i="52" s="1"/>
  <c r="T495" i="52"/>
  <c r="V495" i="52" s="1"/>
  <c r="T630" i="52"/>
  <c r="U790" i="52"/>
  <c r="V790" i="52" s="1"/>
  <c r="T293" i="52"/>
  <c r="V293" i="52" s="1"/>
  <c r="T240" i="52"/>
  <c r="T478" i="52"/>
  <c r="V478" i="52" s="1"/>
  <c r="U399" i="52"/>
  <c r="V399" i="52" s="1"/>
  <c r="T23" i="52"/>
  <c r="V23" i="52" s="1"/>
  <c r="T299" i="52"/>
  <c r="V299" i="52" s="1"/>
  <c r="T493" i="52"/>
  <c r="V493" i="52" s="1"/>
  <c r="U164" i="52"/>
  <c r="T727" i="52"/>
  <c r="V727" i="52" s="1"/>
  <c r="U49" i="52"/>
  <c r="V49" i="52" s="1"/>
  <c r="U374" i="52"/>
  <c r="V374" i="52" s="1"/>
  <c r="U437" i="52"/>
  <c r="V437" i="52" s="1"/>
  <c r="U321" i="52"/>
  <c r="V321" i="52" s="1"/>
  <c r="U589" i="52"/>
  <c r="V589" i="52" s="1"/>
  <c r="T276" i="52"/>
  <c r="V276" i="52" s="1"/>
  <c r="T228" i="52"/>
  <c r="V228" i="52" s="1"/>
  <c r="T186" i="52"/>
  <c r="V186" i="52" s="1"/>
  <c r="T670" i="52"/>
  <c r="V670" i="52" s="1"/>
  <c r="T342" i="52"/>
  <c r="V342" i="52" s="1"/>
  <c r="T306" i="52"/>
  <c r="V306" i="52" s="1"/>
  <c r="T655" i="52"/>
  <c r="V655" i="52" s="1"/>
  <c r="T241" i="52"/>
  <c r="V241" i="52" s="1"/>
  <c r="U336" i="52"/>
  <c r="V336" i="52" s="1"/>
  <c r="T96" i="52"/>
  <c r="V96" i="52" s="1"/>
  <c r="T77" i="52"/>
  <c r="V77" i="52" s="1"/>
  <c r="T138" i="52"/>
  <c r="U120" i="52"/>
  <c r="V120" i="52" s="1"/>
  <c r="T95" i="52"/>
  <c r="V95" i="52" s="1"/>
  <c r="T264" i="52"/>
  <c r="V264" i="52" s="1"/>
  <c r="U690" i="52"/>
  <c r="V690" i="52" s="1"/>
  <c r="T419" i="52"/>
  <c r="V419" i="52" s="1"/>
  <c r="T362" i="52"/>
  <c r="V362" i="52" s="1"/>
  <c r="T545" i="52"/>
  <c r="V545" i="52" s="1"/>
  <c r="T531" i="52"/>
  <c r="V531" i="52" s="1"/>
  <c r="T546" i="52"/>
  <c r="V546" i="52" s="1"/>
  <c r="U139" i="52"/>
  <c r="T692" i="52"/>
  <c r="V692" i="52" s="1"/>
  <c r="U458" i="52"/>
  <c r="V458" i="52" s="1"/>
  <c r="T705" i="52"/>
  <c r="V705" i="52" s="1"/>
  <c r="T69" i="52"/>
  <c r="U524" i="52"/>
  <c r="T274" i="52"/>
  <c r="V274" i="52" s="1"/>
  <c r="U467" i="52"/>
  <c r="V467" i="52" s="1"/>
  <c r="T436" i="52"/>
  <c r="V436" i="52" s="1"/>
  <c r="T222" i="52"/>
  <c r="V222" i="52" s="1"/>
  <c r="T290" i="52"/>
  <c r="V290" i="52" s="1"/>
  <c r="T519" i="52"/>
  <c r="V519" i="52" s="1"/>
  <c r="T5" i="52"/>
  <c r="V5" i="52" s="1"/>
  <c r="T668" i="52"/>
  <c r="V668" i="52" s="1"/>
  <c r="T638" i="52"/>
  <c r="V638" i="52" s="1"/>
  <c r="U243" i="52"/>
  <c r="V243" i="52" s="1"/>
  <c r="T60" i="52"/>
  <c r="U420" i="52"/>
  <c r="V420" i="52" s="1"/>
  <c r="U661" i="52"/>
  <c r="V661" i="52" s="1"/>
  <c r="T795" i="52"/>
  <c r="V795" i="52" s="1"/>
  <c r="T498" i="52"/>
  <c r="V498" i="52" s="1"/>
  <c r="T566" i="52"/>
  <c r="V566" i="52" s="1"/>
  <c r="U117" i="52"/>
  <c r="V117" i="52" s="1"/>
  <c r="T26" i="52"/>
  <c r="V26" i="52" s="1"/>
  <c r="T472" i="52"/>
  <c r="V472" i="52" s="1"/>
  <c r="T319" i="52"/>
  <c r="V319" i="52" s="1"/>
  <c r="T746" i="52"/>
  <c r="V746" i="52" s="1"/>
  <c r="T33" i="52"/>
  <c r="V33" i="52" s="1"/>
  <c r="T82" i="52"/>
  <c r="V82" i="52" s="1"/>
  <c r="U680" i="52"/>
  <c r="V680" i="52" s="1"/>
  <c r="U730" i="52"/>
  <c r="V730" i="52" s="1"/>
  <c r="U712" i="52"/>
  <c r="V712" i="52" s="1"/>
  <c r="T429" i="52"/>
  <c r="V429" i="52" s="1"/>
  <c r="U101" i="52"/>
  <c r="V101" i="52" s="1"/>
  <c r="T367" i="52"/>
  <c r="V367" i="52" s="1"/>
  <c r="T575" i="52"/>
  <c r="V575" i="52" s="1"/>
  <c r="U788" i="52"/>
  <c r="V788" i="52" s="1"/>
  <c r="T810" i="52"/>
  <c r="V810" i="52" s="1"/>
  <c r="T246" i="52"/>
  <c r="V246" i="52" s="1"/>
  <c r="U380" i="52"/>
  <c r="V380" i="52" s="1"/>
  <c r="T76" i="52"/>
  <c r="V76" i="52" s="1"/>
  <c r="T59" i="52"/>
  <c r="V59" i="52" s="1"/>
  <c r="T535" i="52"/>
  <c r="V535" i="52" s="1"/>
  <c r="T439" i="52"/>
  <c r="V439" i="52" s="1"/>
  <c r="U108" i="52"/>
  <c r="V108" i="52" s="1"/>
  <c r="T350" i="52"/>
  <c r="V350" i="52" s="1"/>
  <c r="U84" i="52"/>
  <c r="V84" i="52" s="1"/>
  <c r="U461" i="52"/>
  <c r="V461" i="52" s="1"/>
  <c r="U735" i="52"/>
  <c r="V735" i="52" s="1"/>
  <c r="U757" i="52"/>
  <c r="V757" i="52" s="1"/>
  <c r="T21" i="52"/>
  <c r="V21" i="52" s="1"/>
  <c r="T707" i="52"/>
  <c r="V707" i="52" s="1"/>
  <c r="U8" i="52"/>
  <c r="V8" i="52" s="1"/>
  <c r="T310" i="52"/>
  <c r="V310" i="52" s="1"/>
  <c r="U142" i="52"/>
  <c r="V142" i="52" s="1"/>
  <c r="U118" i="52"/>
  <c r="V118" i="52" s="1"/>
  <c r="U234" i="52"/>
  <c r="V234" i="52" s="1"/>
  <c r="U249" i="52"/>
  <c r="V249" i="52" s="1"/>
  <c r="U373" i="52"/>
  <c r="V373" i="52" s="1"/>
  <c r="U776" i="52"/>
  <c r="V776" i="52" s="1"/>
  <c r="T193" i="52"/>
  <c r="V193" i="52" s="1"/>
  <c r="T304" i="52"/>
  <c r="V304" i="52" s="1"/>
  <c r="T734" i="52"/>
  <c r="V734" i="52" s="1"/>
  <c r="T227" i="52"/>
  <c r="V227" i="52" s="1"/>
  <c r="T326" i="52"/>
  <c r="V326" i="52" s="1"/>
  <c r="T405" i="52"/>
  <c r="V405" i="52" s="1"/>
  <c r="T79" i="52"/>
  <c r="V79" i="52" s="1"/>
  <c r="T176" i="52"/>
  <c r="V176" i="52" s="1"/>
  <c r="T376" i="52"/>
  <c r="V376" i="52" s="1"/>
  <c r="T320" i="52"/>
  <c r="V320" i="52" s="1"/>
  <c r="T51" i="52"/>
  <c r="V51" i="52" s="1"/>
  <c r="T811" i="52"/>
  <c r="V811" i="52" s="1"/>
  <c r="T403" i="52"/>
  <c r="V403" i="52" s="1"/>
  <c r="T477" i="52"/>
  <c r="V477" i="52" s="1"/>
  <c r="T491" i="52"/>
  <c r="V491" i="52" s="1"/>
  <c r="T806" i="52"/>
  <c r="V806" i="52" s="1"/>
  <c r="T182" i="52"/>
  <c r="V182" i="52" s="1"/>
  <c r="U473" i="52"/>
  <c r="V473" i="52" s="1"/>
  <c r="U337" i="52"/>
  <c r="V337" i="52" s="1"/>
  <c r="T739" i="52"/>
  <c r="V739" i="52" s="1"/>
  <c r="T351" i="52"/>
  <c r="V351" i="52" s="1"/>
  <c r="T551" i="52"/>
  <c r="V551" i="52" s="1"/>
  <c r="U285" i="52"/>
  <c r="V285" i="52" s="1"/>
  <c r="T607" i="52"/>
  <c r="V607" i="52" s="1"/>
  <c r="U131" i="52"/>
  <c r="V131" i="52" s="1"/>
  <c r="T303" i="52"/>
  <c r="V303" i="52" s="1"/>
  <c r="U801" i="52"/>
  <c r="V801" i="52" s="1"/>
  <c r="T383" i="52"/>
  <c r="V383" i="52" s="1"/>
  <c r="U738" i="52"/>
  <c r="T460" i="52"/>
  <c r="V460" i="52" s="1"/>
  <c r="U505" i="52"/>
  <c r="V505" i="52" s="1"/>
  <c r="U422" i="52"/>
  <c r="V422" i="52" s="1"/>
  <c r="T567" i="52"/>
  <c r="V567" i="52" s="1"/>
  <c r="T510" i="52"/>
  <c r="V510" i="52" s="1"/>
  <c r="T237" i="52"/>
  <c r="V237" i="52" s="1"/>
  <c r="U74" i="52"/>
  <c r="V74" i="52" s="1"/>
  <c r="U814" i="52"/>
  <c r="V814" i="52" s="1"/>
  <c r="U568" i="52"/>
  <c r="V568" i="52" s="1"/>
  <c r="U361" i="52"/>
  <c r="V361" i="52" s="1"/>
  <c r="U203" i="52"/>
  <c r="V203" i="52" s="1"/>
  <c r="T209" i="52"/>
  <c r="V209" i="52" s="1"/>
  <c r="U719" i="52"/>
  <c r="V719" i="52" s="1"/>
  <c r="U537" i="52"/>
  <c r="V537" i="52" s="1"/>
  <c r="U634" i="52"/>
  <c r="V634" i="52" s="1"/>
  <c r="T346" i="52"/>
  <c r="V346" i="52" s="1"/>
  <c r="T381" i="52"/>
  <c r="V381" i="52" s="1"/>
  <c r="U325" i="52"/>
  <c r="V325" i="52" s="1"/>
  <c r="T445" i="52"/>
  <c r="V445" i="52" s="1"/>
  <c r="U47" i="52"/>
  <c r="V47" i="52" s="1"/>
  <c r="T247" i="52"/>
  <c r="V247" i="52" s="1"/>
  <c r="U50" i="52"/>
  <c r="V50" i="52" s="1"/>
  <c r="T277" i="52"/>
  <c r="V277" i="52" s="1"/>
  <c r="U253" i="52"/>
  <c r="V253" i="52" s="1"/>
  <c r="U572" i="52"/>
  <c r="V572" i="52" s="1"/>
  <c r="T426" i="52"/>
  <c r="V426" i="52" s="1"/>
  <c r="U617" i="52"/>
  <c r="V617" i="52" s="1"/>
  <c r="T624" i="52"/>
  <c r="V624" i="52" s="1"/>
  <c r="T19" i="52"/>
  <c r="V19" i="52" s="1"/>
  <c r="U356" i="52"/>
  <c r="V356" i="52" s="1"/>
  <c r="T564" i="52"/>
  <c r="V564" i="52" s="1"/>
  <c r="U279" i="52"/>
  <c r="V279" i="52" s="1"/>
  <c r="T520" i="52"/>
  <c r="V520" i="52" s="1"/>
  <c r="U288" i="52"/>
  <c r="V288" i="52" s="1"/>
  <c r="T255" i="52"/>
  <c r="V255" i="52" s="1"/>
  <c r="T107" i="52"/>
  <c r="V107" i="52" s="1"/>
  <c r="T13" i="52"/>
  <c r="V13" i="52" s="1"/>
  <c r="U653" i="52"/>
  <c r="V653" i="52" s="1"/>
  <c r="T536" i="52"/>
  <c r="V536" i="52" s="1"/>
  <c r="T525" i="52"/>
  <c r="V525" i="52" s="1"/>
  <c r="U629" i="52"/>
  <c r="V629" i="52" s="1"/>
  <c r="T500" i="52"/>
  <c r="V500" i="52" s="1"/>
  <c r="T765" i="52"/>
  <c r="V765" i="52" s="1"/>
  <c r="U726" i="52"/>
  <c r="V726" i="52" s="1"/>
  <c r="T515" i="52"/>
  <c r="V515" i="52" s="1"/>
  <c r="U763" i="52"/>
  <c r="V763" i="52" s="1"/>
  <c r="T796" i="52"/>
  <c r="V796" i="52" s="1"/>
  <c r="T29" i="52"/>
  <c r="V29" i="52" s="1"/>
  <c r="T800" i="52"/>
  <c r="V800" i="52" s="1"/>
  <c r="T635" i="52"/>
  <c r="V635" i="52" s="1"/>
  <c r="T382" i="52"/>
  <c r="V382" i="52" s="1"/>
  <c r="U462" i="52"/>
  <c r="V462" i="52" s="1"/>
  <c r="T181" i="52"/>
  <c r="V181" i="52" s="1"/>
  <c r="U254" i="52"/>
  <c r="V254" i="52" s="1"/>
  <c r="U275" i="52"/>
  <c r="V275" i="52" s="1"/>
  <c r="U455" i="52"/>
  <c r="V455" i="52" s="1"/>
  <c r="U219" i="52"/>
  <c r="V219" i="52" s="1"/>
  <c r="U396" i="52"/>
  <c r="V396" i="52" s="1"/>
  <c r="U759" i="52"/>
  <c r="V759" i="52" s="1"/>
  <c r="U709" i="52"/>
  <c r="V709" i="52" s="1"/>
  <c r="U289" i="52"/>
  <c r="V289" i="52" s="1"/>
  <c r="U104" i="52"/>
  <c r="V104" i="52" s="1"/>
  <c r="T339" i="52"/>
  <c r="V339" i="52" s="1"/>
  <c r="T65" i="52"/>
  <c r="V65" i="52" s="1"/>
  <c r="T530" i="52"/>
  <c r="V530" i="52" s="1"/>
  <c r="T148" i="52"/>
  <c r="V148" i="52" s="1"/>
  <c r="T672" i="52"/>
  <c r="V672" i="52" s="1"/>
  <c r="U480" i="52"/>
  <c r="V480" i="52" s="1"/>
  <c r="T611" i="52"/>
  <c r="V611" i="52" s="1"/>
  <c r="T238" i="52"/>
  <c r="V238" i="52" s="1"/>
  <c r="T689" i="52"/>
  <c r="V689" i="52" s="1"/>
  <c r="T90" i="52"/>
  <c r="V90" i="52" s="1"/>
  <c r="U701" i="52"/>
  <c r="V701" i="52" s="1"/>
  <c r="T66" i="52"/>
  <c r="V66" i="52" s="1"/>
  <c r="U541" i="52"/>
  <c r="V541" i="52" s="1"/>
  <c r="U308" i="52"/>
  <c r="V308" i="52" s="1"/>
  <c r="T128" i="52"/>
  <c r="V128" i="52" s="1"/>
  <c r="T48" i="52"/>
  <c r="V48" i="52" s="1"/>
  <c r="U644" i="52"/>
  <c r="V644" i="52" s="1"/>
  <c r="T250" i="52"/>
  <c r="V250" i="52" s="1"/>
  <c r="T300" i="52"/>
  <c r="V300" i="52" s="1"/>
  <c r="T417" i="52"/>
  <c r="V417" i="52" s="1"/>
  <c r="T34" i="52"/>
  <c r="V34" i="52" s="1"/>
  <c r="U189" i="52"/>
  <c r="V189" i="52" s="1"/>
  <c r="T170" i="52"/>
  <c r="V170" i="52" s="1"/>
  <c r="T671" i="52"/>
  <c r="V671" i="52" s="1"/>
  <c r="T235" i="52"/>
  <c r="V235" i="52" s="1"/>
  <c r="T794" i="52"/>
  <c r="V794" i="52" s="1"/>
  <c r="U358" i="52"/>
  <c r="V358" i="52" s="1"/>
  <c r="U649" i="52"/>
  <c r="V649" i="52" s="1"/>
  <c r="T388" i="52"/>
  <c r="V388" i="52" s="1"/>
  <c r="T260" i="52"/>
  <c r="V260" i="52" s="1"/>
  <c r="T556" i="52"/>
  <c r="V556" i="52" s="1"/>
  <c r="U595" i="52"/>
  <c r="V595" i="52" s="1"/>
  <c r="U178" i="52"/>
  <c r="V178" i="52" s="1"/>
  <c r="T512" i="52"/>
  <c r="V512" i="52" s="1"/>
  <c r="T242" i="52"/>
  <c r="V242" i="52" s="1"/>
  <c r="T667" i="52"/>
  <c r="V667" i="52" s="1"/>
  <c r="U64" i="52"/>
  <c r="V64" i="52" s="1"/>
  <c r="T775" i="52"/>
  <c r="V775" i="52" s="1"/>
  <c r="U401" i="52"/>
  <c r="V401" i="52" s="1"/>
  <c r="U604" i="52"/>
  <c r="V604" i="52" s="1"/>
  <c r="T479" i="52"/>
  <c r="V479" i="52" s="1"/>
  <c r="T673" i="52"/>
  <c r="V673" i="52" s="1"/>
  <c r="T562" i="52"/>
  <c r="V562" i="52" s="1"/>
  <c r="T724" i="52"/>
  <c r="V724" i="52" s="1"/>
  <c r="T683" i="52"/>
  <c r="V683" i="52" s="1"/>
  <c r="U292" i="52"/>
  <c r="V292" i="52" s="1"/>
  <c r="T570" i="52"/>
  <c r="V570" i="52" s="1"/>
  <c r="T329" i="52"/>
  <c r="V329" i="52" s="1"/>
  <c r="T577" i="52"/>
  <c r="V577" i="52" s="1"/>
  <c r="T641" i="52"/>
  <c r="V641" i="52" s="1"/>
  <c r="T390" i="52"/>
  <c r="V390" i="52" s="1"/>
  <c r="T592" i="52"/>
  <c r="V592" i="52" s="1"/>
  <c r="T527" i="52"/>
  <c r="V527" i="52" s="1"/>
  <c r="T751" i="52"/>
  <c r="V751" i="52" s="1"/>
  <c r="T124" i="52"/>
  <c r="V124" i="52" s="1"/>
  <c r="T183" i="52"/>
  <c r="V183" i="52" s="1"/>
  <c r="T89" i="52"/>
  <c r="V89" i="52" s="1"/>
  <c r="T281" i="52"/>
  <c r="V281" i="52" s="1"/>
  <c r="T197" i="52"/>
  <c r="V197" i="52" s="1"/>
  <c r="T625" i="52"/>
  <c r="V625" i="52" s="1"/>
  <c r="T676" i="52"/>
  <c r="V676" i="52" s="1"/>
  <c r="T86" i="52"/>
  <c r="V86" i="52" s="1"/>
  <c r="T14" i="52"/>
  <c r="V14" i="52" s="1"/>
  <c r="U173" i="52"/>
  <c r="V173" i="52" s="1"/>
  <c r="T180" i="52"/>
  <c r="V180" i="52" s="1"/>
  <c r="U459" i="52"/>
  <c r="V459" i="52" s="1"/>
  <c r="T171" i="52"/>
  <c r="V171" i="52" s="1"/>
  <c r="U555" i="52"/>
  <c r="V555" i="52" s="1"/>
  <c r="U674" i="52"/>
  <c r="V674" i="52" s="1"/>
  <c r="U398" i="52"/>
  <c r="V398" i="52" s="1"/>
  <c r="T817" i="52"/>
  <c r="V817" i="52" s="1"/>
  <c r="T121" i="52"/>
  <c r="V121" i="52" s="1"/>
  <c r="T268" i="52"/>
  <c r="V268" i="52" s="1"/>
  <c r="T586" i="52"/>
  <c r="V586" i="52" s="1"/>
  <c r="T691" i="52"/>
  <c r="V691" i="52" s="1"/>
  <c r="T61" i="52"/>
  <c r="V61" i="52" s="1"/>
  <c r="T105" i="52"/>
  <c r="V105" i="52" s="1"/>
  <c r="T457" i="52"/>
  <c r="V457" i="52" s="1"/>
  <c r="T397" i="52"/>
  <c r="V397" i="52" s="1"/>
  <c r="T481" i="52"/>
  <c r="V481" i="52" s="1"/>
  <c r="U201" i="52"/>
  <c r="V201" i="52" s="1"/>
  <c r="T80" i="52"/>
  <c r="V80" i="52" s="1"/>
  <c r="T18" i="52"/>
  <c r="V18" i="52" s="1"/>
  <c r="T312" i="52"/>
  <c r="V312" i="52" s="1"/>
  <c r="T62" i="52"/>
  <c r="V62" i="52" s="1"/>
  <c r="U158" i="52"/>
  <c r="V158" i="52" s="1"/>
  <c r="U331" i="52"/>
  <c r="V331" i="52" s="1"/>
  <c r="U474" i="52"/>
  <c r="V474" i="52" s="1"/>
  <c r="U283" i="52"/>
  <c r="V283" i="52" s="1"/>
  <c r="T67" i="52"/>
  <c r="V67" i="52" s="1"/>
  <c r="T574" i="52"/>
  <c r="V574" i="52" s="1"/>
  <c r="T456" i="52"/>
  <c r="V456" i="52" s="1"/>
  <c r="T333" i="52"/>
  <c r="V333" i="52" s="1"/>
  <c r="T232" i="52"/>
  <c r="V232" i="52" s="1"/>
  <c r="T81" i="52"/>
  <c r="V81" i="52" s="1"/>
  <c r="U542" i="52"/>
  <c r="V542" i="52" s="1"/>
  <c r="T22" i="52"/>
  <c r="V22" i="52" s="1"/>
  <c r="T36" i="52"/>
  <c r="V36" i="52" s="1"/>
  <c r="T761" i="52"/>
  <c r="V761" i="52" s="1"/>
  <c r="T558" i="52"/>
  <c r="V558" i="52" s="1"/>
  <c r="T369" i="52"/>
  <c r="V369" i="52" s="1"/>
  <c r="T514" i="52"/>
  <c r="V514" i="52" s="1"/>
  <c r="T194" i="52"/>
  <c r="V194" i="52" s="1"/>
  <c r="T601" i="52"/>
  <c r="V601" i="52" s="1"/>
  <c r="T46" i="52"/>
  <c r="V46" i="52" s="1"/>
  <c r="T684" i="52"/>
  <c r="V684" i="52" s="1"/>
  <c r="T7" i="52"/>
  <c r="V7" i="52" s="1"/>
  <c r="U338" i="52"/>
  <c r="V338" i="52" s="1"/>
  <c r="U75" i="52"/>
  <c r="V75" i="52" s="1"/>
  <c r="T444" i="52"/>
  <c r="V444" i="52" s="1"/>
  <c r="T386" i="52"/>
  <c r="V386" i="52" s="1"/>
  <c r="T732" i="52"/>
  <c r="V732" i="52" s="1"/>
  <c r="T334" i="52"/>
  <c r="V334" i="52" s="1"/>
  <c r="T807" i="52"/>
  <c r="V807" i="52" s="1"/>
  <c r="U803" i="52"/>
  <c r="V803" i="52" s="1"/>
  <c r="T660" i="52"/>
  <c r="V660" i="52" s="1"/>
  <c r="T557" i="52"/>
  <c r="V557" i="52" s="1"/>
  <c r="T295" i="52"/>
  <c r="V295" i="52" s="1"/>
  <c r="T639" i="52"/>
  <c r="V639" i="52" s="1"/>
  <c r="T797" i="52"/>
  <c r="V797" i="52" s="1"/>
  <c r="U718" i="52"/>
  <c r="V718" i="52" s="1"/>
  <c r="T207" i="52"/>
  <c r="V207" i="52" s="1"/>
  <c r="T742" i="52"/>
  <c r="V742" i="52" s="1"/>
  <c r="T484" i="52"/>
  <c r="V484" i="52" s="1"/>
  <c r="T251" i="52"/>
  <c r="V251" i="52" s="1"/>
  <c r="T506" i="52"/>
  <c r="V506" i="52" s="1"/>
  <c r="U517" i="52"/>
  <c r="V517" i="52" s="1"/>
  <c r="U748" i="52"/>
  <c r="V748" i="52" s="1"/>
  <c r="T627" i="52"/>
  <c r="V627" i="52" s="1"/>
  <c r="T711" i="52"/>
  <c r="V711" i="52" s="1"/>
  <c r="T214" i="52"/>
  <c r="V214" i="52" s="1"/>
  <c r="T15" i="52"/>
  <c r="V15" i="52" s="1"/>
  <c r="T435" i="52"/>
  <c r="V435" i="52" s="1"/>
  <c r="T297" i="52"/>
  <c r="V297" i="52" s="1"/>
  <c r="T659" i="52"/>
  <c r="V659" i="52" s="1"/>
  <c r="T578" i="52"/>
  <c r="V578" i="52" s="1"/>
  <c r="U523" i="52"/>
  <c r="V523" i="52" s="1"/>
  <c r="U755" i="52"/>
  <c r="V755" i="52" s="1"/>
  <c r="T154" i="52"/>
  <c r="V154" i="52" s="1"/>
  <c r="U391" i="52"/>
  <c r="V391" i="52" s="1"/>
  <c r="T352" i="52"/>
  <c r="V352" i="52" s="1"/>
  <c r="T353" i="52"/>
  <c r="V353" i="52" s="1"/>
  <c r="U244" i="52"/>
  <c r="V244" i="52" s="1"/>
  <c r="T55" i="52"/>
  <c r="V55" i="52" s="1"/>
  <c r="U133" i="52"/>
  <c r="V133" i="52" s="1"/>
  <c r="T261" i="52"/>
  <c r="V261" i="52" s="1"/>
  <c r="T503" i="52"/>
  <c r="V503" i="52" s="1"/>
  <c r="U637" i="52"/>
  <c r="V637" i="52" s="1"/>
  <c r="T496" i="52"/>
  <c r="V496" i="52" s="1"/>
  <c r="T504" i="52"/>
  <c r="V504" i="52" s="1"/>
  <c r="T132" i="52"/>
  <c r="V132" i="52" s="1"/>
  <c r="V677" i="52"/>
  <c r="V544" i="52"/>
  <c r="T448" i="52"/>
  <c r="V448" i="52" s="1"/>
  <c r="T271" i="52"/>
  <c r="V271" i="52" s="1"/>
  <c r="U418" i="52"/>
  <c r="V418" i="52" s="1"/>
  <c r="T693" i="52"/>
  <c r="V693" i="52" s="1"/>
  <c r="T698" i="52"/>
  <c r="V698" i="52" s="1"/>
  <c r="T10" i="52"/>
  <c r="V10" i="52" s="1"/>
  <c r="T347" i="52"/>
  <c r="V347" i="52" s="1"/>
  <c r="T645" i="52"/>
  <c r="V645" i="52" s="1"/>
  <c r="T750" i="52"/>
  <c r="V750" i="52" s="1"/>
  <c r="T646" i="52"/>
  <c r="V646" i="52" s="1"/>
  <c r="T345" i="52"/>
  <c r="V345" i="52" s="1"/>
  <c r="T291" i="52"/>
  <c r="V291" i="52" s="1"/>
  <c r="T771" i="52"/>
  <c r="V771" i="52" s="1"/>
  <c r="U225" i="52"/>
  <c r="V225" i="52" s="1"/>
  <c r="T83" i="52"/>
  <c r="V83" i="52" s="1"/>
  <c r="U815" i="52"/>
  <c r="V815" i="52" s="1"/>
  <c r="T713" i="52"/>
  <c r="V713" i="52" s="1"/>
  <c r="T452" i="52"/>
  <c r="V452" i="52" s="1"/>
  <c r="T696" i="52"/>
  <c r="V696" i="52" s="1"/>
  <c r="T226" i="52"/>
  <c r="V226" i="52" s="1"/>
  <c r="T372" i="52"/>
  <c r="V372" i="52" s="1"/>
  <c r="T126" i="52"/>
  <c r="V126" i="52" s="1"/>
  <c r="T187" i="52"/>
  <c r="V187" i="52" s="1"/>
  <c r="U100" i="52"/>
  <c r="V100" i="52" s="1"/>
  <c r="V463" i="52"/>
  <c r="V103" i="52"/>
  <c r="V720" i="52"/>
  <c r="V539" i="52"/>
  <c r="T231" i="52"/>
  <c r="V231" i="52" s="1"/>
  <c r="T658" i="52"/>
  <c r="V658" i="52" s="1"/>
  <c r="T113" i="52"/>
  <c r="V113" i="52" s="1"/>
  <c r="U137" i="52"/>
  <c r="V137" i="52" s="1"/>
  <c r="T585" i="52"/>
  <c r="V585" i="52" s="1"/>
  <c r="T441" i="52"/>
  <c r="V441" i="52" s="1"/>
  <c r="V410" i="52"/>
  <c r="T501" i="52"/>
  <c r="V501" i="52" s="1"/>
  <c r="T70" i="52"/>
  <c r="V70" i="52" s="1"/>
  <c r="U269" i="52"/>
  <c r="V269" i="52" s="1"/>
  <c r="T202" i="52"/>
  <c r="V202" i="52" s="1"/>
  <c r="V597" i="52"/>
  <c r="V413" i="52"/>
  <c r="V789" i="52"/>
  <c r="V309" i="52"/>
  <c r="V430" i="52"/>
  <c r="T511" i="52"/>
  <c r="V511" i="52" s="1"/>
  <c r="T685" i="52"/>
  <c r="V685" i="52" s="1"/>
  <c r="T93" i="52"/>
  <c r="V93" i="52" s="1"/>
  <c r="T584" i="52"/>
  <c r="V584" i="52" s="1"/>
  <c r="T423" i="52"/>
  <c r="V423" i="52" s="1"/>
  <c r="T744" i="52"/>
  <c r="V744" i="52" s="1"/>
  <c r="U160" i="52"/>
  <c r="V160" i="52" s="1"/>
  <c r="U434" i="52"/>
  <c r="V434" i="52" s="1"/>
  <c r="U725" i="52"/>
  <c r="V725" i="52" s="1"/>
  <c r="V533" i="52"/>
  <c r="V741" i="52"/>
  <c r="V599" i="52"/>
  <c r="V135" i="52"/>
  <c r="U143" i="52"/>
  <c r="V143" i="52" s="1"/>
  <c r="U38" i="52"/>
  <c r="V38" i="52" s="1"/>
  <c r="U609" i="52"/>
  <c r="V609" i="52" s="1"/>
  <c r="U723" i="52"/>
  <c r="V723" i="52" s="1"/>
  <c r="U622" i="52"/>
  <c r="V622" i="52" s="1"/>
  <c r="U799" i="52"/>
  <c r="V799" i="52" s="1"/>
  <c r="T262" i="52"/>
  <c r="V262" i="52" s="1"/>
  <c r="T357" i="52"/>
  <c r="V357" i="52" s="1"/>
  <c r="T144" i="52"/>
  <c r="V144" i="52" s="1"/>
  <c r="T516" i="52"/>
  <c r="V516" i="52" s="1"/>
  <c r="T812" i="52"/>
  <c r="V812" i="52" s="1"/>
  <c r="T714" i="52"/>
  <c r="V714" i="52" s="1"/>
  <c r="T167" i="52"/>
  <c r="V167" i="52" s="1"/>
  <c r="T492" i="52"/>
  <c r="V492" i="52" s="1"/>
  <c r="T99" i="52"/>
  <c r="V99" i="52" s="1"/>
  <c r="T648" i="52"/>
  <c r="V648" i="52" s="1"/>
  <c r="T122" i="52"/>
  <c r="V122" i="52" s="1"/>
  <c r="V150" i="52"/>
  <c r="V695" i="52"/>
  <c r="V778" i="52"/>
  <c r="V679" i="52"/>
  <c r="V766" i="52"/>
  <c r="V378" i="52"/>
  <c r="V316" i="52"/>
  <c r="T384" i="52"/>
  <c r="V384" i="52" s="1"/>
  <c r="U708" i="52"/>
  <c r="V708" i="52" s="1"/>
  <c r="T365" i="52"/>
  <c r="V365" i="52" s="1"/>
  <c r="T106" i="52"/>
  <c r="V106" i="52" s="1"/>
  <c r="T71" i="52"/>
  <c r="V71" i="52" s="1"/>
  <c r="T632" i="52"/>
  <c r="V632" i="52" s="1"/>
  <c r="T665" i="52"/>
  <c r="V665" i="52" s="1"/>
  <c r="T92" i="52"/>
  <c r="V92" i="52" s="1"/>
  <c r="T603" i="52"/>
  <c r="V603" i="52" s="1"/>
  <c r="T174" i="52"/>
  <c r="V174" i="52" s="1"/>
  <c r="T469" i="52"/>
  <c r="V469" i="52" s="1"/>
  <c r="T490" i="52"/>
  <c r="V490" i="52" s="1"/>
  <c r="T215" i="52"/>
  <c r="V215" i="52" s="1"/>
  <c r="T408" i="52"/>
  <c r="V408" i="52" s="1"/>
  <c r="T454" i="52"/>
  <c r="V454" i="52" s="1"/>
  <c r="T470" i="52"/>
  <c r="V470" i="52" s="1"/>
  <c r="T769" i="52"/>
  <c r="V769" i="52" s="1"/>
  <c r="U114" i="52"/>
  <c r="V114" i="52" s="1"/>
  <c r="T633" i="52"/>
  <c r="V633" i="52" s="1"/>
  <c r="T248" i="52"/>
  <c r="V248" i="52" s="1"/>
  <c r="T702" i="52"/>
  <c r="V702" i="52" s="1"/>
  <c r="T488" i="52"/>
  <c r="V488" i="52" s="1"/>
  <c r="T752" i="52"/>
  <c r="V752" i="52" s="1"/>
  <c r="T694" i="52"/>
  <c r="V694" i="52" s="1"/>
  <c r="T554" i="52"/>
  <c r="V554" i="52" s="1"/>
  <c r="V343" i="52"/>
  <c r="T52" i="52"/>
  <c r="V52" i="52" s="1"/>
  <c r="T688" i="52"/>
  <c r="V688" i="52" s="1"/>
  <c r="V125" i="52"/>
  <c r="V433" i="52"/>
  <c r="V155" i="52"/>
  <c r="V706" i="52"/>
  <c r="V259" i="52"/>
  <c r="V146" i="52"/>
  <c r="T162" i="52"/>
  <c r="V162" i="52" s="1"/>
  <c r="T239" i="52"/>
  <c r="V239" i="52" s="1"/>
  <c r="T119" i="52"/>
  <c r="V119" i="52" s="1"/>
  <c r="T591" i="52"/>
  <c r="V591" i="52" s="1"/>
  <c r="T41" i="52"/>
  <c r="V41" i="52" s="1"/>
  <c r="T389" i="52"/>
  <c r="V389" i="52" s="1"/>
  <c r="T791" i="52"/>
  <c r="V791" i="52" s="1"/>
  <c r="T569" i="52"/>
  <c r="V569" i="52" s="1"/>
  <c r="T404" i="52"/>
  <c r="V404" i="52" s="1"/>
  <c r="T499" i="52"/>
  <c r="V499" i="52" s="1"/>
  <c r="T425" i="52"/>
  <c r="V425" i="52" s="1"/>
  <c r="U395" i="52"/>
  <c r="V395" i="52" s="1"/>
  <c r="T35" i="52"/>
  <c r="V35" i="52" s="1"/>
  <c r="T475" i="52"/>
  <c r="V475" i="52" s="1"/>
  <c r="T63" i="52"/>
  <c r="V63" i="52" s="1"/>
  <c r="T559" i="52"/>
  <c r="V559" i="52" s="1"/>
  <c r="T740" i="52"/>
  <c r="V740" i="52" s="1"/>
  <c r="T370" i="52"/>
  <c r="V370" i="52" s="1"/>
  <c r="T229" i="52"/>
  <c r="V229" i="52" s="1"/>
  <c r="T282" i="52"/>
  <c r="V282" i="52" s="1"/>
  <c r="T614" i="52"/>
  <c r="V614" i="52" s="1"/>
  <c r="T450" i="52"/>
  <c r="V450" i="52" s="1"/>
  <c r="T177" i="52"/>
  <c r="V177" i="52" s="1"/>
  <c r="T753" i="52"/>
  <c r="V753" i="52" s="1"/>
  <c r="T466" i="52"/>
  <c r="V466" i="52" s="1"/>
  <c r="U489" i="52"/>
  <c r="V489" i="52" s="1"/>
  <c r="U42" i="52"/>
  <c r="V42" i="52" s="1"/>
  <c r="U294" i="52"/>
  <c r="V294" i="52" s="1"/>
  <c r="U563" i="52"/>
  <c r="V563" i="52" s="1"/>
  <c r="T200" i="52"/>
  <c r="V200" i="52" s="1"/>
  <c r="T451" i="52"/>
  <c r="V451" i="52" s="1"/>
  <c r="T548" i="52"/>
  <c r="V548" i="52" s="1"/>
  <c r="T44" i="52"/>
  <c r="V44" i="52" s="1"/>
  <c r="T305" i="52"/>
  <c r="V305" i="52" s="1"/>
  <c r="T32" i="52"/>
  <c r="V32" i="52" s="1"/>
  <c r="V16" i="52"/>
  <c r="V156" i="52"/>
  <c r="V280" i="52"/>
  <c r="V175" i="52"/>
  <c r="V166" i="52"/>
  <c r="V681" i="52"/>
  <c r="V272" i="52"/>
  <c r="V784" i="52"/>
  <c r="V165" i="52"/>
  <c r="V749" i="52"/>
  <c r="V703" i="52"/>
  <c r="T73" i="52"/>
  <c r="V73" i="52" s="1"/>
  <c r="V12" i="52"/>
  <c r="V212" i="52"/>
  <c r="V783" i="52"/>
  <c r="V218" i="52"/>
  <c r="V411" i="52"/>
  <c r="V196" i="52"/>
  <c r="T650" i="52"/>
  <c r="V650" i="52" s="1"/>
  <c r="T412" i="52"/>
  <c r="V412" i="52" s="1"/>
  <c r="T163" i="52"/>
  <c r="V163" i="52" s="1"/>
  <c r="T656" i="52"/>
  <c r="V656" i="52" s="1"/>
  <c r="T278" i="52"/>
  <c r="V278" i="52" s="1"/>
  <c r="T97" i="52"/>
  <c r="V97" i="52" s="1"/>
  <c r="T590" i="52"/>
  <c r="V590" i="52" s="1"/>
  <c r="T587" i="52"/>
  <c r="V587" i="52" s="1"/>
  <c r="V547" i="52"/>
  <c r="V204" i="52"/>
  <c r="V623" i="52"/>
  <c r="V612" i="52"/>
  <c r="V341" i="52"/>
  <c r="V743" i="52"/>
  <c r="V573" i="52"/>
  <c r="V6" i="52"/>
  <c r="V139" i="52"/>
  <c r="V651" i="52"/>
  <c r="V494" i="52"/>
  <c r="V273" i="52"/>
  <c r="V513" i="52"/>
  <c r="V223" i="52"/>
  <c r="V407" i="52"/>
  <c r="V773" i="52"/>
  <c r="T576" i="52"/>
  <c r="V576" i="52" s="1"/>
  <c r="V666" i="52"/>
  <c r="T72" i="52"/>
  <c r="V72" i="52" s="1"/>
  <c r="V502" i="52"/>
  <c r="T363" i="52"/>
  <c r="V363" i="52" s="1"/>
  <c r="V582" i="52"/>
  <c r="T521" i="52"/>
  <c r="V521" i="52" s="1"/>
  <c r="V529" i="52"/>
  <c r="V781" i="52"/>
  <c r="V507" i="52"/>
  <c r="V366" i="52"/>
  <c r="T522" i="52"/>
  <c r="V522" i="52" s="1"/>
  <c r="T605" i="52"/>
  <c r="V605" i="52" s="1"/>
  <c r="T602" i="52"/>
  <c r="V602" i="52" s="1"/>
  <c r="T211" i="52"/>
  <c r="V211" i="52" s="1"/>
  <c r="U328" i="52"/>
  <c r="T328" i="52"/>
  <c r="U379" i="52"/>
  <c r="T379" i="52"/>
  <c r="U230" i="52"/>
  <c r="T230" i="52"/>
  <c r="U636" i="52"/>
  <c r="T636" i="52"/>
  <c r="T111" i="52"/>
  <c r="U111" i="52"/>
  <c r="U598" i="52"/>
  <c r="T598" i="52"/>
  <c r="U756" i="52"/>
  <c r="T756" i="52"/>
  <c r="U468" i="52"/>
  <c r="T468" i="52"/>
  <c r="U588" i="52"/>
  <c r="T588" i="52"/>
  <c r="U620" i="52"/>
  <c r="T620" i="52"/>
  <c r="V816" i="52"/>
  <c r="V392" i="52"/>
  <c r="V779" i="52"/>
  <c r="V675" i="52"/>
  <c r="V322" i="52"/>
  <c r="V314" i="52"/>
  <c r="V145" i="52"/>
  <c r="V349" i="52"/>
  <c r="V482" i="52"/>
  <c r="V764" i="52"/>
  <c r="V518" i="52"/>
  <c r="V221" i="52"/>
  <c r="V722" i="52"/>
  <c r="V195" i="52"/>
  <c r="V754" i="52"/>
  <c r="V798" i="52"/>
  <c r="V88" i="52"/>
  <c r="V17" i="52"/>
  <c r="V112" i="52"/>
  <c r="V415" i="52"/>
  <c r="V483" i="52"/>
  <c r="V640" i="52"/>
  <c r="V447" i="52"/>
  <c r="V109" i="52"/>
  <c r="V257" i="52"/>
  <c r="V409" i="52"/>
  <c r="V543" i="52"/>
  <c r="V729" i="52"/>
  <c r="V217" i="52"/>
  <c r="V240" i="52"/>
  <c r="V678" i="52"/>
  <c r="V323" i="52"/>
  <c r="U98" i="52"/>
  <c r="T98" i="52"/>
  <c r="U663" i="52"/>
  <c r="T663" i="52"/>
  <c r="V715" i="52"/>
  <c r="V263" i="52"/>
  <c r="V147" i="52"/>
  <c r="U774" i="52"/>
  <c r="T774" i="52"/>
  <c r="U628" i="52"/>
  <c r="T628" i="52"/>
  <c r="U130" i="52"/>
  <c r="T130" i="52"/>
  <c r="T57" i="52"/>
  <c r="U57" i="52"/>
  <c r="U20" i="52"/>
  <c r="T20" i="52"/>
  <c r="U110" i="52"/>
  <c r="T110" i="52"/>
  <c r="U4" i="52"/>
  <c r="T4" i="52"/>
  <c r="U252" i="52"/>
  <c r="T252" i="52"/>
  <c r="U762" i="52"/>
  <c r="T762" i="52"/>
  <c r="V596" i="52"/>
  <c r="V317" i="52"/>
  <c r="V606" i="52"/>
  <c r="V129" i="52"/>
  <c r="V802" i="52"/>
  <c r="V549" i="52"/>
  <c r="U85" i="52"/>
  <c r="T85" i="52"/>
  <c r="U717" i="52"/>
  <c r="T717" i="52"/>
  <c r="U731" i="52"/>
  <c r="T731" i="52"/>
  <c r="T686" i="52"/>
  <c r="U686" i="52"/>
  <c r="U785" i="52"/>
  <c r="T785" i="52"/>
  <c r="U615" i="52"/>
  <c r="T615" i="52"/>
  <c r="U87" i="52"/>
  <c r="T87" i="52"/>
  <c r="U618" i="52"/>
  <c r="T618" i="52"/>
  <c r="U39" i="52"/>
  <c r="T39" i="52"/>
  <c r="V652" i="52"/>
  <c r="V188" i="52"/>
  <c r="T185" i="52"/>
  <c r="U185" i="52"/>
  <c r="U687" i="52"/>
  <c r="T687" i="52"/>
  <c r="T487" i="52"/>
  <c r="U487" i="52"/>
  <c r="U31" i="52"/>
  <c r="T31" i="52"/>
  <c r="U157" i="52"/>
  <c r="T157" i="52"/>
  <c r="U446" i="52"/>
  <c r="T446" i="52"/>
  <c r="T284" i="52"/>
  <c r="U284" i="52"/>
  <c r="U416" i="52"/>
  <c r="T416" i="52"/>
  <c r="U721" i="52"/>
  <c r="T721" i="52"/>
  <c r="U56" i="52"/>
  <c r="T56" i="52"/>
  <c r="U298" i="52"/>
  <c r="T298" i="52"/>
  <c r="U24" i="52"/>
  <c r="T24" i="52"/>
  <c r="V485" i="52"/>
  <c r="V770" i="52"/>
  <c r="V179" i="52"/>
  <c r="V414" i="52"/>
  <c r="V619" i="52"/>
  <c r="V571" i="52"/>
  <c r="V324" i="52"/>
  <c r="V630" i="52"/>
  <c r="V737" i="52"/>
  <c r="V738" i="52"/>
  <c r="V371" i="52"/>
  <c r="V440" i="52"/>
  <c r="V296" i="52"/>
  <c r="V164" i="52"/>
  <c r="V368" i="52"/>
  <c r="V616" i="52"/>
  <c r="V581" i="52"/>
  <c r="V699" i="52"/>
  <c r="V777" i="52"/>
  <c r="V169" i="52"/>
  <c r="V664" i="52"/>
  <c r="V30" i="52"/>
  <c r="V421" i="52"/>
  <c r="V327" i="52"/>
  <c r="V428" i="52"/>
  <c r="V524" i="52"/>
  <c r="V127" i="52"/>
  <c r="V402" i="52"/>
  <c r="V704" i="52"/>
  <c r="V697" i="52"/>
  <c r="V432" i="52"/>
  <c r="V184" i="52"/>
  <c r="V3" i="52"/>
  <c r="T266" i="52"/>
  <c r="U266" i="52"/>
  <c r="U25" i="52"/>
  <c r="T25" i="52"/>
  <c r="U153" i="52"/>
  <c r="T153" i="52"/>
  <c r="T28" i="52"/>
  <c r="U28" i="52"/>
  <c r="T427" i="52"/>
  <c r="U427" i="52"/>
  <c r="U359" i="52"/>
  <c r="T359" i="52"/>
  <c r="U270" i="52"/>
  <c r="T270" i="52"/>
  <c r="U233" i="52"/>
  <c r="T233" i="52"/>
  <c r="U608" i="52"/>
  <c r="T608" i="52"/>
  <c r="T115" i="52"/>
  <c r="U115" i="52"/>
  <c r="U710" i="52"/>
  <c r="T710" i="52"/>
  <c r="V438" i="52"/>
  <c r="V526" i="52"/>
  <c r="T787" i="52"/>
  <c r="U787" i="52"/>
  <c r="U442" i="52"/>
  <c r="T442" i="52"/>
  <c r="U307" i="52"/>
  <c r="T307" i="52"/>
  <c r="T192" i="52"/>
  <c r="U192" i="52"/>
  <c r="T256" i="52"/>
  <c r="U256" i="52"/>
  <c r="U377" i="52"/>
  <c r="T377" i="52"/>
  <c r="U364" i="52"/>
  <c r="T364" i="52"/>
  <c r="U613" i="52"/>
  <c r="T613" i="52"/>
  <c r="U760" i="52"/>
  <c r="T760" i="52"/>
  <c r="U583" i="52"/>
  <c r="T583" i="52"/>
  <c r="V736" i="52"/>
  <c r="V552" i="52"/>
  <c r="V449" i="52"/>
  <c r="V27" i="52"/>
  <c r="V768" i="52"/>
  <c r="V553" i="52"/>
  <c r="V375" i="52"/>
  <c r="V315" i="52"/>
  <c r="V69" i="52"/>
  <c r="V540" i="52"/>
  <c r="V682" i="52"/>
  <c r="V561" i="52"/>
  <c r="V161" i="52"/>
  <c r="V40" i="52"/>
  <c r="V355" i="52"/>
  <c r="V728" i="52"/>
  <c r="V58" i="52"/>
  <c r="V424" i="52"/>
  <c r="V647" i="52"/>
  <c r="V138" i="52"/>
  <c r="V532" i="52"/>
  <c r="V68" i="52"/>
  <c r="V593" i="52"/>
  <c r="V94" i="52"/>
  <c r="V9" i="52"/>
  <c r="V190" i="52"/>
  <c r="V793" i="52"/>
  <c r="U116" i="52"/>
  <c r="T116" i="52"/>
  <c r="U550" i="52"/>
  <c r="T550" i="52"/>
  <c r="T11" i="52"/>
  <c r="U11" i="52"/>
  <c r="U538" i="52"/>
  <c r="T538" i="52"/>
  <c r="U631" i="52"/>
  <c r="T631" i="52"/>
  <c r="T236" i="52"/>
  <c r="U236" i="52"/>
  <c r="U387" i="52"/>
  <c r="T387" i="52"/>
  <c r="U700" i="52"/>
  <c r="T700" i="52"/>
  <c r="U102" i="52"/>
  <c r="T102" i="52"/>
  <c r="U565" i="52"/>
  <c r="T565" i="52"/>
  <c r="U199" i="52"/>
  <c r="T199" i="52"/>
  <c r="U151" i="52"/>
  <c r="T151" i="52"/>
  <c r="T594" i="52"/>
  <c r="U594" i="52"/>
  <c r="U528" i="52"/>
  <c r="T528" i="52"/>
  <c r="U772" i="52"/>
  <c r="T772" i="52"/>
  <c r="T335" i="52"/>
  <c r="U335" i="52"/>
  <c r="U134" i="52"/>
  <c r="T134" i="52"/>
  <c r="U360" i="52"/>
  <c r="T360" i="52"/>
  <c r="U669" i="52"/>
  <c r="T669" i="52"/>
  <c r="U767" i="52"/>
  <c r="T767" i="52"/>
  <c r="U534" i="52"/>
  <c r="T534" i="52"/>
  <c r="U662" i="52"/>
  <c r="T662" i="52"/>
  <c r="V60" i="52"/>
  <c r="V508" i="52"/>
  <c r="V804" i="52"/>
  <c r="V786" i="52"/>
  <c r="V642" i="52"/>
  <c r="V716" i="52"/>
  <c r="V758" i="52"/>
  <c r="V476" i="52"/>
  <c r="V311" i="52"/>
  <c r="V580" i="52"/>
  <c r="V780" i="52"/>
  <c r="V465" i="52"/>
  <c r="T53" i="52"/>
  <c r="U53" i="52"/>
  <c r="U205" i="52"/>
  <c r="T205" i="52"/>
  <c r="U579" i="52"/>
  <c r="T579" i="52"/>
  <c r="T486" i="52"/>
  <c r="U486" i="52"/>
  <c r="U78" i="52"/>
  <c r="T78" i="52"/>
  <c r="U159" i="52"/>
  <c r="T159" i="52"/>
  <c r="U400" i="52"/>
  <c r="T400" i="52"/>
  <c r="U344" i="52"/>
  <c r="T344" i="52"/>
  <c r="U245" i="52"/>
  <c r="T245" i="52"/>
  <c r="T497" i="52"/>
  <c r="U497" i="52"/>
  <c r="V348" i="52"/>
  <c r="V45" i="52"/>
  <c r="V302" i="52"/>
  <c r="V782" i="52"/>
  <c r="T509" i="52"/>
  <c r="U509" i="52"/>
  <c r="U385" i="52"/>
  <c r="T385" i="52"/>
  <c r="U149" i="52"/>
  <c r="T149" i="52"/>
  <c r="T813" i="52"/>
  <c r="U813" i="52"/>
  <c r="U747" i="52"/>
  <c r="T747" i="52"/>
  <c r="U208" i="52"/>
  <c r="T208" i="52"/>
  <c r="U643" i="52"/>
  <c r="T643" i="52"/>
  <c r="U43" i="52"/>
  <c r="T43" i="52"/>
  <c r="U560" i="52"/>
  <c r="T560" i="52"/>
  <c r="U216" i="52"/>
  <c r="T216" i="52"/>
  <c r="V654" i="52"/>
  <c r="V313" i="52"/>
  <c r="V136" i="52"/>
  <c r="V393" i="52"/>
  <c r="V610" i="52"/>
  <c r="V152" i="52"/>
  <c r="V745" i="52"/>
  <c r="V210" i="52"/>
  <c r="V37" i="52"/>
  <c r="V318" i="52"/>
  <c r="V600" i="52"/>
  <c r="V91" i="52"/>
  <c r="U287" i="52"/>
  <c r="T287" i="52"/>
  <c r="T301" i="52"/>
  <c r="U301" i="52"/>
  <c r="U805" i="52"/>
  <c r="T805" i="52"/>
  <c r="U258" i="52"/>
  <c r="T258" i="52"/>
  <c r="T626" i="52"/>
  <c r="U626" i="52"/>
  <c r="U809" i="52"/>
  <c r="T809" i="52"/>
  <c r="U265" i="52"/>
  <c r="T265" i="52"/>
  <c r="U394" i="52"/>
  <c r="T394" i="52"/>
  <c r="U431" i="52"/>
  <c r="T431" i="52"/>
  <c r="U191" i="52"/>
  <c r="T191" i="52"/>
  <c r="U286" i="52"/>
  <c r="T286" i="52"/>
  <c r="V643" i="52" l="1"/>
  <c r="V669" i="52"/>
  <c r="V387" i="52"/>
  <c r="V116" i="52"/>
  <c r="V301" i="52"/>
  <c r="V78" i="52"/>
  <c r="V785" i="52"/>
  <c r="V442" i="52"/>
  <c r="V233" i="52"/>
  <c r="V25" i="52"/>
  <c r="V98" i="52"/>
  <c r="V265" i="52"/>
  <c r="V287" i="52"/>
  <c r="V663" i="52"/>
  <c r="V431" i="52"/>
  <c r="V805" i="52"/>
  <c r="V216" i="52"/>
  <c r="V662" i="52"/>
  <c r="V565" i="52"/>
  <c r="V538" i="52"/>
  <c r="V626" i="52"/>
  <c r="V191" i="52"/>
  <c r="V258" i="52"/>
  <c r="V344" i="52"/>
  <c r="V205" i="52"/>
  <c r="V710" i="52"/>
  <c r="V400" i="52"/>
  <c r="V583" i="52"/>
  <c r="V236" i="52"/>
  <c r="V686" i="52"/>
  <c r="V809" i="52"/>
  <c r="V364" i="52"/>
  <c r="V270" i="52"/>
  <c r="V110" i="52"/>
  <c r="V756" i="52"/>
  <c r="V328" i="52"/>
  <c r="V560" i="52"/>
  <c r="V149" i="52"/>
  <c r="V534" i="52"/>
  <c r="V772" i="52"/>
  <c r="V102" i="52"/>
  <c r="V721" i="52"/>
  <c r="V87" i="52"/>
  <c r="V85" i="52"/>
  <c r="V813" i="52"/>
  <c r="V787" i="52"/>
  <c r="V266" i="52"/>
  <c r="V43" i="52"/>
  <c r="V385" i="52"/>
  <c r="V767" i="52"/>
  <c r="V528" i="52"/>
  <c r="V700" i="52"/>
  <c r="V550" i="52"/>
  <c r="V416" i="52"/>
  <c r="V687" i="52"/>
  <c r="V615" i="52"/>
  <c r="V20" i="52"/>
  <c r="V598" i="52"/>
  <c r="V427" i="52"/>
  <c r="V594" i="52"/>
  <c r="V185" i="52"/>
  <c r="V111" i="52"/>
  <c r="V284" i="52"/>
  <c r="V208" i="52"/>
  <c r="V53" i="52"/>
  <c r="V360" i="52"/>
  <c r="V151" i="52"/>
  <c r="V192" i="52"/>
  <c r="V115" i="52"/>
  <c r="V28" i="52"/>
  <c r="V24" i="52"/>
  <c r="V446" i="52"/>
  <c r="V762" i="52"/>
  <c r="V130" i="52"/>
  <c r="V620" i="52"/>
  <c r="V636" i="52"/>
  <c r="T1" i="52"/>
  <c r="V256" i="52"/>
  <c r="V509" i="52"/>
  <c r="V57" i="52"/>
  <c r="V394" i="52"/>
  <c r="V159" i="52"/>
  <c r="V760" i="52"/>
  <c r="V307" i="52"/>
  <c r="V608" i="52"/>
  <c r="V153" i="52"/>
  <c r="V747" i="52"/>
  <c r="V134" i="52"/>
  <c r="V199" i="52"/>
  <c r="V631" i="52"/>
  <c r="V298" i="52"/>
  <c r="V157" i="52"/>
  <c r="V39" i="52"/>
  <c r="V731" i="52"/>
  <c r="V252" i="52"/>
  <c r="V628" i="52"/>
  <c r="V588" i="52"/>
  <c r="V230" i="52"/>
  <c r="V613" i="52"/>
  <c r="U1" i="52"/>
  <c r="V56" i="52"/>
  <c r="V31" i="52"/>
  <c r="V618" i="52"/>
  <c r="V717" i="52"/>
  <c r="V4" i="52"/>
  <c r="V774" i="52"/>
  <c r="V468" i="52"/>
  <c r="V379" i="52"/>
  <c r="V335" i="52"/>
  <c r="V497" i="52"/>
  <c r="V486" i="52"/>
  <c r="V286" i="52"/>
  <c r="V245" i="52"/>
  <c r="V579" i="52"/>
  <c r="V11" i="52"/>
  <c r="V377" i="52"/>
  <c r="V359" i="52"/>
  <c r="V487" i="52"/>
  <c r="V1" i="52" l="1"/>
  <c r="K154" i="35" l="1"/>
  <c r="K285" i="35"/>
  <c r="K281" i="35"/>
  <c r="K264" i="35"/>
  <c r="K282" i="35"/>
  <c r="K274" i="35"/>
  <c r="K283" i="35"/>
  <c r="K271" i="35"/>
  <c r="K273" i="35"/>
  <c r="K289" i="35"/>
  <c r="K280" i="35"/>
  <c r="K287" i="35"/>
  <c r="K288" i="35"/>
  <c r="K272" i="35"/>
  <c r="K279" i="35"/>
  <c r="K269" i="35"/>
  <c r="K296" i="35"/>
  <c r="K294" i="35"/>
  <c r="K275" i="35"/>
  <c r="K295" i="35"/>
  <c r="K267" i="35"/>
  <c r="K290" i="35"/>
  <c r="K277" i="35"/>
  <c r="K265" i="35"/>
  <c r="K284" i="35"/>
  <c r="K263" i="35"/>
  <c r="K262" i="35"/>
  <c r="K270" i="35"/>
  <c r="K276" i="35"/>
  <c r="K266" i="35"/>
  <c r="K268" i="35"/>
  <c r="K278" i="35"/>
  <c r="K286" i="35"/>
  <c r="K291" i="35"/>
  <c r="K292" i="35"/>
  <c r="K293" i="35"/>
  <c r="K719" i="35"/>
  <c r="K723" i="35"/>
  <c r="K707" i="35"/>
  <c r="K825" i="35"/>
  <c r="K755" i="35"/>
  <c r="K145" i="35"/>
  <c r="K48" i="35"/>
  <c r="K448" i="35"/>
  <c r="K485" i="35"/>
  <c r="K488" i="35"/>
  <c r="K442" i="35"/>
  <c r="K486" i="35"/>
  <c r="K506" i="35"/>
  <c r="K462" i="35"/>
  <c r="K489" i="35"/>
  <c r="K471" i="35"/>
  <c r="K151" i="35"/>
  <c r="K463" i="35"/>
  <c r="K503" i="35"/>
  <c r="K458" i="35"/>
  <c r="K464" i="35"/>
  <c r="K481" i="35"/>
  <c r="K123" i="35"/>
  <c r="K504" i="35"/>
  <c r="K490" i="35"/>
  <c r="K459" i="35"/>
  <c r="K188" i="35"/>
  <c r="K468" i="35"/>
  <c r="K449" i="35"/>
  <c r="K498" i="35"/>
  <c r="K805" i="35"/>
  <c r="K378" i="35"/>
  <c r="K446" i="35"/>
  <c r="K451" i="35"/>
  <c r="K439" i="35"/>
  <c r="K465" i="35"/>
  <c r="K499" i="35"/>
  <c r="K447" i="35"/>
  <c r="K956" i="35"/>
  <c r="K738" i="35"/>
  <c r="K1087" i="35"/>
  <c r="K1072" i="35"/>
  <c r="K829" i="35"/>
  <c r="K959" i="35"/>
  <c r="K830" i="35"/>
  <c r="K831" i="35"/>
  <c r="K832" i="35"/>
  <c r="K833" i="35"/>
  <c r="K657" i="35"/>
  <c r="K653" i="35"/>
  <c r="K404" i="35"/>
  <c r="K372" i="35"/>
  <c r="K260" i="35"/>
  <c r="K297" i="35"/>
  <c r="K193" i="35"/>
  <c r="K196" i="35"/>
  <c r="K472" i="35"/>
  <c r="K452" i="35"/>
  <c r="K517" i="35"/>
  <c r="K310" i="35"/>
  <c r="K368" i="35"/>
  <c r="K733" i="35"/>
  <c r="K736" i="35"/>
  <c r="K734" i="35"/>
  <c r="K735" i="35"/>
  <c r="K246" i="35"/>
  <c r="K251" i="35"/>
  <c r="K341" i="35"/>
  <c r="K756" i="35"/>
  <c r="K857" i="35"/>
  <c r="K669" i="35"/>
  <c r="K664" i="35"/>
  <c r="K858" i="35"/>
  <c r="K753" i="35"/>
  <c r="K407" i="35"/>
  <c r="K699" i="35"/>
  <c r="K710" i="35"/>
  <c r="K713" i="35"/>
  <c r="K708" i="35"/>
  <c r="K408" i="35"/>
  <c r="K558" i="35"/>
  <c r="K968" i="35"/>
  <c r="K365" i="35"/>
  <c r="K477" i="35"/>
  <c r="K469" i="35"/>
  <c r="K757" i="35"/>
  <c r="K181" i="35"/>
  <c r="K838" i="35"/>
  <c r="K839" i="35"/>
  <c r="K970" i="35"/>
  <c r="K859" i="35"/>
  <c r="K460" i="35"/>
  <c r="K298" i="35"/>
  <c r="K1075" i="35"/>
  <c r="K356" i="35"/>
  <c r="K358" i="35"/>
  <c r="K761" i="35"/>
  <c r="K762" i="35"/>
  <c r="K763" i="35"/>
  <c r="K764" i="35"/>
  <c r="K765" i="35"/>
  <c r="K758" i="35"/>
  <c r="K759" i="35"/>
  <c r="K767" i="35"/>
  <c r="K760" i="35"/>
  <c r="K587" i="35"/>
  <c r="K574" i="35"/>
  <c r="K564" i="35"/>
  <c r="K430" i="35"/>
  <c r="K432" i="35"/>
  <c r="K560" i="35"/>
  <c r="K658" i="35"/>
  <c r="K766" i="35"/>
  <c r="K957" i="35"/>
  <c r="K770" i="35"/>
  <c r="K369" i="35"/>
  <c r="K239" i="35"/>
  <c r="K904" i="35"/>
  <c r="K167" i="35"/>
  <c r="K252" i="35"/>
  <c r="K772" i="35"/>
  <c r="K333" i="35"/>
  <c r="K768" i="35"/>
  <c r="K313" i="35"/>
  <c r="K173" i="35"/>
  <c r="K769" i="35"/>
  <c r="K238" i="35"/>
  <c r="K773" i="35"/>
  <c r="K903" i="35"/>
  <c r="K343" i="35"/>
  <c r="K771" i="35"/>
  <c r="K774" i="35"/>
  <c r="K303" i="35"/>
  <c r="K781" i="35"/>
  <c r="K782" i="35"/>
  <c r="K410" i="35"/>
  <c r="K786" i="35"/>
  <c r="K912" i="35"/>
  <c r="K791" i="35"/>
  <c r="K412" i="35"/>
  <c r="K792" i="35"/>
  <c r="K793" i="35"/>
  <c r="K419" i="35"/>
  <c r="K840" i="35"/>
  <c r="K521" i="35"/>
  <c r="K842" i="35"/>
  <c r="K223" i="35"/>
  <c r="K119" i="35"/>
  <c r="K141" i="35"/>
  <c r="K322" i="35"/>
  <c r="K45" i="35"/>
  <c r="K106" i="35"/>
  <c r="K16" i="35"/>
  <c r="K170" i="35"/>
  <c r="K129" i="35"/>
  <c r="K58" i="35"/>
  <c r="K139" i="35"/>
  <c r="K172" i="35"/>
  <c r="K79" i="35"/>
  <c r="K162" i="35"/>
  <c r="K39" i="35"/>
  <c r="K65" i="35"/>
  <c r="K107" i="35"/>
  <c r="K46" i="35"/>
  <c r="K302" i="35"/>
  <c r="K76" i="35"/>
  <c r="K179" i="35"/>
  <c r="K82" i="35"/>
  <c r="K169" i="35"/>
  <c r="K205" i="35"/>
  <c r="K71" i="35"/>
  <c r="K159" i="35"/>
  <c r="K61" i="35"/>
  <c r="K12" i="35"/>
  <c r="K128" i="35"/>
  <c r="K38" i="35"/>
  <c r="K57" i="35"/>
  <c r="K52" i="35"/>
  <c r="K67" i="35"/>
  <c r="K203" i="35"/>
  <c r="K54" i="35"/>
  <c r="K94" i="35"/>
  <c r="K55" i="35"/>
  <c r="K197" i="35"/>
  <c r="K366" i="35"/>
  <c r="K374" i="35"/>
  <c r="K133" i="35"/>
  <c r="K1077" i="35"/>
  <c r="K66" i="35"/>
  <c r="K136" i="35"/>
  <c r="K41" i="35"/>
  <c r="K351" i="35"/>
  <c r="K68" i="35"/>
  <c r="K164" i="35"/>
  <c r="K78" i="35"/>
  <c r="K80" i="35"/>
  <c r="K56" i="35"/>
  <c r="K35" i="35"/>
  <c r="K37" i="35"/>
  <c r="K118" i="35"/>
  <c r="K143" i="35"/>
  <c r="K114" i="35"/>
  <c r="K21" i="35"/>
  <c r="K59" i="35"/>
  <c r="K73" i="35"/>
  <c r="K163" i="35"/>
  <c r="K130" i="35"/>
  <c r="K184" i="35"/>
  <c r="K104" i="35"/>
  <c r="K983" i="35"/>
  <c r="K984" i="35"/>
  <c r="K985" i="35"/>
  <c r="K986" i="35"/>
  <c r="K987" i="35"/>
  <c r="K988" i="35"/>
  <c r="K989" i="35"/>
  <c r="K990" i="35"/>
  <c r="K992" i="35"/>
  <c r="K1018" i="35"/>
  <c r="K827" i="35"/>
  <c r="K1019" i="35"/>
  <c r="K828" i="35"/>
  <c r="K835" i="35"/>
  <c r="K1020" i="35"/>
  <c r="K843" i="35"/>
  <c r="K1021" i="35"/>
  <c r="K1022" i="35"/>
  <c r="K933" i="35"/>
  <c r="K934" i="35"/>
  <c r="K231" i="35"/>
  <c r="K323" i="35"/>
  <c r="K845" i="35"/>
  <c r="K592" i="35"/>
  <c r="K476" i="35"/>
  <c r="K183" i="35"/>
  <c r="K222" i="35"/>
  <c r="K150" i="35"/>
  <c r="K860" i="35"/>
  <c r="K834" i="35"/>
  <c r="K837" i="35"/>
  <c r="K841" i="35"/>
  <c r="K375" i="35"/>
  <c r="K847" i="35"/>
  <c r="K848" i="35"/>
  <c r="K962" i="35"/>
  <c r="K849" i="35"/>
  <c r="K614" i="35"/>
  <c r="K780" i="35"/>
  <c r="K861" i="35"/>
  <c r="K958" i="35"/>
  <c r="K493" i="35"/>
  <c r="K229" i="35"/>
  <c r="K364" i="35"/>
  <c r="K494" i="35"/>
  <c r="K862" i="35"/>
  <c r="K783" i="35"/>
  <c r="K666" i="35"/>
  <c r="K850" i="35"/>
  <c r="K851" i="35"/>
  <c r="K852" i="35"/>
  <c r="K853" i="35"/>
  <c r="K413" i="35"/>
  <c r="K414" i="35"/>
  <c r="K965" i="35"/>
  <c r="K626" i="35"/>
  <c r="K72" i="35"/>
  <c r="K60" i="35"/>
  <c r="K612" i="35"/>
  <c r="K5" i="35"/>
  <c r="K607" i="35"/>
  <c r="K18" i="35"/>
  <c r="K43" i="35"/>
  <c r="K62" i="35"/>
  <c r="K17" i="35"/>
  <c r="K631" i="35"/>
  <c r="K455" i="35"/>
  <c r="K645" i="35"/>
  <c r="K539" i="35"/>
  <c r="K966" i="35"/>
  <c r="K3" i="35"/>
  <c r="K10" i="35"/>
  <c r="K855" i="35"/>
  <c r="K403" i="35"/>
  <c r="K354" i="35"/>
  <c r="K542" i="35"/>
  <c r="K522" i="35"/>
  <c r="K863" i="35"/>
  <c r="K864" i="35"/>
  <c r="K865" i="35"/>
  <c r="K866" i="35"/>
  <c r="K867" i="35"/>
  <c r="K261" i="35"/>
  <c r="K250" i="35"/>
  <c r="K373" i="35"/>
  <c r="K470" i="35"/>
  <c r="K466" i="35"/>
  <c r="K487" i="35"/>
  <c r="K478" i="35"/>
  <c r="K457" i="35"/>
  <c r="K258" i="35"/>
  <c r="K235" i="35"/>
  <c r="K243" i="35"/>
  <c r="K240" i="35"/>
  <c r="K227" i="35"/>
  <c r="K254" i="35"/>
  <c r="K244" i="35"/>
  <c r="K482" i="35"/>
  <c r="K868" i="35"/>
  <c r="K785" i="35"/>
  <c r="K869" i="35"/>
  <c r="K340" i="35"/>
  <c r="K784" i="35"/>
  <c r="K456" i="35"/>
  <c r="K421" i="35"/>
  <c r="K646" i="35"/>
  <c r="K171" i="35"/>
  <c r="K518" i="35"/>
  <c r="K350" i="35"/>
  <c r="K495" i="35"/>
  <c r="K514" i="35"/>
  <c r="K306" i="35"/>
  <c r="K209" i="35"/>
  <c r="K174" i="35"/>
  <c r="K491" i="35"/>
  <c r="K511" i="35"/>
  <c r="K316" i="35"/>
  <c r="K158" i="35"/>
  <c r="K523" i="35"/>
  <c r="K370" i="35"/>
  <c r="K496" i="35"/>
  <c r="K882" i="35"/>
  <c r="K883" i="35"/>
  <c r="K788" i="35"/>
  <c r="K29" i="35"/>
  <c r="K137" i="35"/>
  <c r="K230" i="35"/>
  <c r="K562" i="35"/>
  <c r="K565" i="35"/>
  <c r="K568" i="35"/>
  <c r="K569" i="35"/>
  <c r="K257" i="35"/>
  <c r="K214" i="35"/>
  <c r="K570" i="35"/>
  <c r="K567" i="35"/>
  <c r="K972" i="35"/>
  <c r="K886" i="35"/>
  <c r="K789" i="35"/>
  <c r="K248" i="35"/>
  <c r="K854" i="35"/>
  <c r="K415" i="35"/>
  <c r="K26" i="35"/>
  <c r="K424" i="35"/>
  <c r="K401" i="35"/>
  <c r="K856" i="35"/>
  <c r="K329" i="35"/>
  <c r="K180" i="35"/>
  <c r="K148" i="35"/>
  <c r="K81" i="35"/>
  <c r="K19" i="35"/>
  <c r="K1088" i="35"/>
  <c r="K304" i="35"/>
  <c r="K160" i="35"/>
  <c r="K28" i="35"/>
  <c r="K1092" i="35"/>
  <c r="K89" i="35"/>
  <c r="K110" i="35"/>
  <c r="K1089" i="35"/>
  <c r="K70" i="35"/>
  <c r="K357" i="35"/>
  <c r="K75" i="35"/>
  <c r="K1090" i="35"/>
  <c r="K98" i="35"/>
  <c r="K960" i="35"/>
  <c r="K844" i="35"/>
  <c r="K846" i="35"/>
  <c r="K871" i="35"/>
  <c r="K775" i="35"/>
  <c r="K776" i="35"/>
  <c r="K872" i="35"/>
  <c r="K777" i="35"/>
  <c r="K963" i="35"/>
  <c r="K778" i="35"/>
  <c r="K362" i="35"/>
  <c r="K1073" i="35"/>
  <c r="K309" i="35"/>
  <c r="K1082" i="35"/>
  <c r="K873" i="35"/>
  <c r="K737" i="35"/>
  <c r="K874" i="35"/>
  <c r="K876" i="35"/>
  <c r="K779" i="35"/>
  <c r="K720" i="35"/>
  <c r="K47" i="35"/>
  <c r="K703" i="35"/>
  <c r="K715" i="35"/>
  <c r="K95" i="35"/>
  <c r="K34" i="35"/>
  <c r="K711" i="35"/>
  <c r="K86" i="35"/>
  <c r="K103" i="35"/>
  <c r="K74" i="35"/>
  <c r="K53" i="35"/>
  <c r="K11" i="35"/>
  <c r="K187" i="35"/>
  <c r="K728" i="35"/>
  <c r="K635" i="35"/>
  <c r="K628" i="35"/>
  <c r="K632" i="35"/>
  <c r="K500" i="35"/>
  <c r="K527" i="35"/>
  <c r="K1074" i="35"/>
  <c r="K206" i="35"/>
  <c r="K501" i="35"/>
  <c r="K325" i="35"/>
  <c r="K502" i="35"/>
  <c r="K355" i="35"/>
  <c r="K526" i="35"/>
  <c r="K219" i="35"/>
  <c r="K528" i="35"/>
  <c r="K215" i="35"/>
  <c r="K529" i="35"/>
  <c r="K515" i="35"/>
  <c r="K198" i="35"/>
  <c r="K512" i="35"/>
  <c r="K794" i="35"/>
  <c r="K795" i="35"/>
  <c r="K796" i="35"/>
  <c r="K15" i="35"/>
  <c r="K429" i="35"/>
  <c r="K422" i="35"/>
  <c r="K724" i="35"/>
  <c r="K473" i="35"/>
  <c r="K336" i="35"/>
  <c r="K324" i="35"/>
  <c r="K474" i="35"/>
  <c r="K331" i="35"/>
  <c r="K334" i="35"/>
  <c r="K537" i="35"/>
  <c r="K538" i="35"/>
  <c r="K353" i="35"/>
  <c r="K545" i="35"/>
  <c r="K301" i="35"/>
  <c r="K533" i="35"/>
  <c r="K348" i="35"/>
  <c r="K787" i="35"/>
  <c r="K640" i="35"/>
  <c r="K691" i="35"/>
  <c r="K655" i="35"/>
  <c r="K662" i="35"/>
  <c r="K661" i="35"/>
  <c r="K660" i="35"/>
  <c r="K604" i="35"/>
  <c r="K608" i="35"/>
  <c r="K599" i="35"/>
  <c r="K690" i="35"/>
  <c r="K693" i="35"/>
  <c r="K877" i="35"/>
  <c r="K678" i="35"/>
  <c r="K546" i="35"/>
  <c r="K629" i="35"/>
  <c r="K454" i="35"/>
  <c r="K427" i="35"/>
  <c r="K561" i="35"/>
  <c r="K532" i="35"/>
  <c r="K551" i="35"/>
  <c r="K549" i="35"/>
  <c r="K798" i="35"/>
  <c r="K484" i="35"/>
  <c r="K976" i="35"/>
  <c r="K577" i="35"/>
  <c r="K553" i="35"/>
  <c r="K97" i="35"/>
  <c r="K636" i="35"/>
  <c r="K647" i="35"/>
  <c r="K337" i="35"/>
  <c r="K670" i="35"/>
  <c r="K1070" i="35"/>
  <c r="K665" i="35"/>
  <c r="K166" i="35"/>
  <c r="K659" i="35"/>
  <c r="K648" i="35"/>
  <c r="K878" i="35"/>
  <c r="K790" i="35"/>
  <c r="K879" i="35"/>
  <c r="K880" i="35"/>
  <c r="K881" i="35"/>
  <c r="K887" i="35"/>
  <c r="K971" i="35"/>
  <c r="K540" i="35"/>
  <c r="K725" i="35"/>
  <c r="K426" i="35"/>
  <c r="K120" i="35"/>
  <c r="K870" i="35"/>
  <c r="K875" i="35"/>
  <c r="K367" i="35"/>
  <c r="K884" i="35"/>
  <c r="K726" i="35"/>
  <c r="K402" i="35"/>
  <c r="K727" i="35"/>
  <c r="K885" i="35"/>
  <c r="K732" i="35"/>
  <c r="K893" i="35"/>
  <c r="K894" i="35"/>
  <c r="K895" i="35"/>
  <c r="K896" i="35"/>
  <c r="K897" i="35"/>
  <c r="K898" i="35"/>
  <c r="K580" i="35"/>
  <c r="K176" i="35"/>
  <c r="K654" i="35"/>
  <c r="K105" i="35"/>
  <c r="K964" i="35"/>
  <c r="K911" i="35"/>
  <c r="K436" i="35"/>
  <c r="K320" i="35"/>
  <c r="K440" i="35"/>
  <c r="K111" i="35"/>
  <c r="K433" i="35"/>
  <c r="K330" i="35"/>
  <c r="K318" i="35"/>
  <c r="K153" i="35"/>
  <c r="K121" i="35"/>
  <c r="K975" i="35"/>
  <c r="K700" i="35"/>
  <c r="K701" i="35"/>
  <c r="K443" i="35"/>
  <c r="K437" i="35"/>
  <c r="K33" i="35"/>
  <c r="K311" i="35"/>
  <c r="K475" i="35"/>
  <c r="K899" i="35"/>
  <c r="K900" i="35"/>
  <c r="K411" i="35"/>
  <c r="K299" i="35"/>
  <c r="K441" i="35"/>
  <c r="K13" i="35"/>
  <c r="K69" i="35"/>
  <c r="K6" i="35"/>
  <c r="K8" i="35"/>
  <c r="K36" i="35"/>
  <c r="K93" i="35"/>
  <c r="K559" i="35"/>
  <c r="K906" i="35"/>
  <c r="K907" i="35"/>
  <c r="K156" i="35"/>
  <c r="K210" i="35"/>
  <c r="K242" i="35"/>
  <c r="K507" i="35"/>
  <c r="K87" i="35"/>
  <c r="K152" i="35"/>
  <c r="K200" i="35"/>
  <c r="K799" i="35"/>
  <c r="K977" i="35"/>
  <c r="K721" i="35"/>
  <c r="K712" i="35"/>
  <c r="K342" i="35"/>
  <c r="K24" i="35"/>
  <c r="K91" i="35"/>
  <c r="K132" i="35"/>
  <c r="K92" i="35"/>
  <c r="K888" i="35"/>
  <c r="K889" i="35"/>
  <c r="K890" i="35"/>
  <c r="K908" i="35"/>
  <c r="K973" i="35"/>
  <c r="K909" i="35"/>
  <c r="K32" i="35"/>
  <c r="K578" i="35"/>
  <c r="K109" i="35"/>
  <c r="K149" i="35"/>
  <c r="K579" i="35"/>
  <c r="K1071" i="35"/>
  <c r="K891" i="35"/>
  <c r="K969" i="35"/>
  <c r="K892" i="35"/>
  <c r="K534" i="35"/>
  <c r="K547" i="35"/>
  <c r="K554" i="35"/>
  <c r="K102" i="35"/>
  <c r="K800" i="35"/>
  <c r="K801" i="35"/>
  <c r="K371" i="35"/>
  <c r="K326" i="35"/>
  <c r="K431" i="35"/>
  <c r="K428" i="35"/>
  <c r="K423" i="35"/>
  <c r="K420" i="35"/>
  <c r="K802" i="35"/>
  <c r="K901" i="35"/>
  <c r="K345" i="35"/>
  <c r="K108" i="35"/>
  <c r="K84" i="35"/>
  <c r="K584" i="35"/>
  <c r="K96" i="35"/>
  <c r="K563" i="35"/>
  <c r="K555" i="35"/>
  <c r="K627" i="35"/>
  <c r="K621" i="35"/>
  <c r="K637" i="35"/>
  <c r="K543" i="35"/>
  <c r="K622" i="35"/>
  <c r="K232" i="35"/>
  <c r="K444" i="35"/>
  <c r="K589" i="35"/>
  <c r="K581" i="35"/>
  <c r="K483" i="35"/>
  <c r="K600" i="35"/>
  <c r="K624" i="35"/>
  <c r="K142" i="35"/>
  <c r="K609" i="35"/>
  <c r="K615" i="35"/>
  <c r="K613" i="35"/>
  <c r="K601" i="35"/>
  <c r="K88" i="35"/>
  <c r="K548" i="35"/>
  <c r="K638" i="35"/>
  <c r="K594" i="35"/>
  <c r="K550" i="35"/>
  <c r="K642" i="35"/>
  <c r="K630" i="35"/>
  <c r="K623" i="35"/>
  <c r="K602" i="35"/>
  <c r="K211" i="35"/>
  <c r="K595" i="35"/>
  <c r="K44" i="35"/>
  <c r="K611" i="35"/>
  <c r="K616" i="35"/>
  <c r="K617" i="35"/>
  <c r="K610" i="35"/>
  <c r="K596" i="35"/>
  <c r="K168" i="35"/>
  <c r="K63" i="35"/>
  <c r="K144" i="35"/>
  <c r="K505" i="35"/>
  <c r="K575" i="35"/>
  <c r="K913" i="35"/>
  <c r="K914" i="35"/>
  <c r="K573" i="35"/>
  <c r="K915" i="35"/>
  <c r="K916" i="35"/>
  <c r="K917" i="35"/>
  <c r="K979" i="35"/>
  <c r="K918" i="35"/>
  <c r="K919" i="35"/>
  <c r="K980" i="35"/>
  <c r="K566" i="35"/>
  <c r="K902" i="35"/>
  <c r="K382" i="35"/>
  <c r="K671" i="35"/>
  <c r="K20" i="35"/>
  <c r="K115" i="35"/>
  <c r="K687" i="35"/>
  <c r="K672" i="35"/>
  <c r="K113" i="35"/>
  <c r="K685" i="35"/>
  <c r="K684" i="35"/>
  <c r="K644" i="35"/>
  <c r="K680" i="35"/>
  <c r="K125" i="35"/>
  <c r="K667" i="35"/>
  <c r="K686" i="35"/>
  <c r="K697" i="35"/>
  <c r="K25" i="35"/>
  <c r="K346" i="35"/>
  <c r="K663" i="35"/>
  <c r="K675" i="35"/>
  <c r="K359" i="35"/>
  <c r="K692" i="35"/>
  <c r="K668" i="35"/>
  <c r="K656" i="35"/>
  <c r="K147" i="35"/>
  <c r="K641" i="35"/>
  <c r="K688" i="35"/>
  <c r="K649" i="35"/>
  <c r="K9" i="35"/>
  <c r="K552" i="35"/>
  <c r="K673" i="35"/>
  <c r="K425" i="35"/>
  <c r="K1086" i="35"/>
  <c r="K541" i="35"/>
  <c r="K556" i="35"/>
  <c r="K991" i="35"/>
  <c r="K535" i="35"/>
  <c r="K679" i="35"/>
  <c r="K682" i="35"/>
  <c r="K4" i="35"/>
  <c r="K22" i="35"/>
  <c r="K42" i="35"/>
  <c r="K140" i="35"/>
  <c r="K14" i="35"/>
  <c r="K157" i="35"/>
  <c r="K131" i="35"/>
  <c r="K177" i="35"/>
  <c r="K905" i="35"/>
  <c r="K978" i="35"/>
  <c r="K920" i="35"/>
  <c r="K307" i="35"/>
  <c r="K305" i="35"/>
  <c r="K204" i="35"/>
  <c r="K259" i="35"/>
  <c r="K332" i="35"/>
  <c r="K213" i="35"/>
  <c r="K974" i="35"/>
  <c r="K910" i="35"/>
  <c r="K921" i="35"/>
  <c r="K922" i="35"/>
  <c r="K185" i="35"/>
  <c r="K349" i="35"/>
  <c r="K434" i="35"/>
  <c r="K255" i="35"/>
  <c r="K221" i="35"/>
  <c r="K256" i="35"/>
  <c r="K314" i="35"/>
  <c r="K247" i="35"/>
  <c r="K217" i="35"/>
  <c r="K202" i="35"/>
  <c r="K450" i="35"/>
  <c r="K207" i="35"/>
  <c r="K438" i="35"/>
  <c r="K453" i="35"/>
  <c r="K836" i="35"/>
  <c r="K993" i="35"/>
  <c r="K722" i="35"/>
  <c r="K606" i="35"/>
  <c r="K571" i="35"/>
  <c r="K618" i="35"/>
  <c r="K572" i="35"/>
  <c r="K925" i="35"/>
  <c r="K117" i="35"/>
  <c r="K194" i="35"/>
  <c r="K245" i="35"/>
  <c r="K226" i="35"/>
  <c r="K212" i="35"/>
  <c r="K923" i="35"/>
  <c r="K924" i="35"/>
  <c r="K994" i="35"/>
  <c r="K926" i="35"/>
  <c r="K492" i="35"/>
  <c r="K51" i="35"/>
  <c r="K30" i="35"/>
  <c r="K127" i="35"/>
  <c r="K135" i="35"/>
  <c r="K116" i="35"/>
  <c r="K1081" i="35"/>
  <c r="K797" i="35"/>
  <c r="K705" i="35"/>
  <c r="K591" i="35"/>
  <c r="K597" i="35"/>
  <c r="K582" i="35"/>
  <c r="K1078" i="35"/>
  <c r="K300" i="35"/>
  <c r="K1079" i="35"/>
  <c r="K1085" i="35"/>
  <c r="K1091" i="35"/>
  <c r="K312" i="35"/>
  <c r="K361" i="35"/>
  <c r="K435" i="35"/>
  <c r="K982" i="35"/>
  <c r="K519" i="35"/>
  <c r="K508" i="35"/>
  <c r="K520" i="35"/>
  <c r="K516" i="35"/>
  <c r="K524" i="35"/>
  <c r="K509" i="35"/>
  <c r="K497" i="35"/>
  <c r="K513" i="35"/>
  <c r="K49" i="35"/>
  <c r="K99" i="35"/>
  <c r="K23" i="35"/>
  <c r="K650" i="35"/>
  <c r="K83" i="35"/>
  <c r="K85" i="35"/>
  <c r="K77" i="35"/>
  <c r="K182" i="35"/>
  <c r="K639" i="35"/>
  <c r="K643" i="35"/>
  <c r="K31" i="35"/>
  <c r="K101" i="35"/>
  <c r="K633" i="35"/>
  <c r="K605" i="35"/>
  <c r="K328" i="35"/>
  <c r="K651" i="35"/>
  <c r="K126" i="35"/>
  <c r="K634" i="35"/>
  <c r="K652" i="35"/>
  <c r="K620" i="35"/>
  <c r="K619" i="35"/>
  <c r="K50" i="35"/>
  <c r="K100" i="35"/>
  <c r="K586" i="35"/>
  <c r="K625" i="35"/>
  <c r="K598" i="35"/>
  <c r="K981" i="35"/>
  <c r="K928" i="35"/>
  <c r="K803" i="35"/>
  <c r="K804" i="35"/>
  <c r="K929" i="35"/>
  <c r="K930" i="35"/>
  <c r="K931" i="35"/>
  <c r="K695" i="35"/>
  <c r="K585" i="35"/>
  <c r="K590" i="35"/>
  <c r="K593" i="35"/>
  <c r="K576" i="35"/>
  <c r="K583" i="35"/>
  <c r="K603" i="35"/>
  <c r="K935" i="35"/>
  <c r="K961" i="35"/>
  <c r="K995" i="35"/>
  <c r="K996" i="35"/>
  <c r="K716" i="35"/>
  <c r="K709" i="35"/>
  <c r="K1080" i="35"/>
  <c r="K718" i="35"/>
  <c r="K717" i="35"/>
  <c r="K714" i="35"/>
  <c r="K199" i="35"/>
  <c r="K445" i="35"/>
  <c r="K253" i="35"/>
  <c r="K192" i="35"/>
  <c r="K321" i="35"/>
  <c r="K308" i="35"/>
  <c r="K339" i="35"/>
  <c r="K467" i="35"/>
  <c r="K233" i="35"/>
  <c r="K338" i="35"/>
  <c r="K967" i="35"/>
  <c r="K739" i="35"/>
  <c r="K740" i="35"/>
  <c r="K754" i="35"/>
  <c r="K741" i="35"/>
  <c r="K393" i="35"/>
  <c r="K936" i="35"/>
  <c r="K937" i="35"/>
  <c r="K938" i="35"/>
  <c r="K416" i="35"/>
  <c r="K317" i="35"/>
  <c r="K742" i="35"/>
  <c r="K939" i="35"/>
  <c r="K201" i="35"/>
  <c r="K399" i="35"/>
  <c r="K940" i="35"/>
  <c r="K806" i="35"/>
  <c r="K409" i="35"/>
  <c r="K674" i="35"/>
  <c r="K807" i="35"/>
  <c r="K389" i="35"/>
  <c r="K377" i="35"/>
  <c r="K743" i="35"/>
  <c r="K225" i="35"/>
  <c r="K352" i="35"/>
  <c r="K689" i="35"/>
  <c r="K360" i="35"/>
  <c r="K417" i="35"/>
  <c r="K112" i="35"/>
  <c r="K190" i="35"/>
  <c r="K808" i="35"/>
  <c r="K383" i="35"/>
  <c r="K178" i="35"/>
  <c r="K380" i="35"/>
  <c r="K941" i="35"/>
  <c r="K224" i="35"/>
  <c r="K729" i="35"/>
  <c r="K461" i="35"/>
  <c r="K395" i="35"/>
  <c r="K942" i="35"/>
  <c r="K134" i="35"/>
  <c r="K809" i="35"/>
  <c r="K810" i="35"/>
  <c r="K344" i="35"/>
  <c r="K418" i="35"/>
  <c r="K811" i="35"/>
  <c r="K536" i="35"/>
  <c r="K479" i="35"/>
  <c r="K557" i="35"/>
  <c r="K387" i="35"/>
  <c r="K997" i="35"/>
  <c r="K943" i="35"/>
  <c r="K510" i="35"/>
  <c r="K944" i="35"/>
  <c r="K234" i="35"/>
  <c r="K237" i="35"/>
  <c r="K812" i="35"/>
  <c r="K396" i="35"/>
  <c r="K945" i="35"/>
  <c r="K376" i="35"/>
  <c r="K155" i="35"/>
  <c r="K813" i="35"/>
  <c r="K363" i="35"/>
  <c r="K400" i="35"/>
  <c r="K730" i="35"/>
  <c r="K814" i="35"/>
  <c r="K189" i="35"/>
  <c r="K241" i="35"/>
  <c r="K744" i="35"/>
  <c r="K327" i="35"/>
  <c r="K228" i="35"/>
  <c r="K731" i="35"/>
  <c r="K1083" i="35"/>
  <c r="K946" i="35"/>
  <c r="K815" i="35"/>
  <c r="K386" i="35"/>
  <c r="K379" i="35"/>
  <c r="K947" i="35"/>
  <c r="K175" i="35"/>
  <c r="K392" i="35"/>
  <c r="K998" i="35"/>
  <c r="K745" i="35"/>
  <c r="K220" i="35"/>
  <c r="K195" i="35"/>
  <c r="K948" i="35"/>
  <c r="K249" i="35"/>
  <c r="K397" i="35"/>
  <c r="K394" i="35"/>
  <c r="K124" i="35"/>
  <c r="K746" i="35"/>
  <c r="K949" i="35"/>
  <c r="K236" i="35"/>
  <c r="K480" i="35"/>
  <c r="K747" i="35"/>
  <c r="K816" i="35"/>
  <c r="K208" i="35"/>
  <c r="K817" i="35"/>
  <c r="K315" i="35"/>
  <c r="K544" i="35"/>
  <c r="K405" i="35"/>
  <c r="K748" i="35"/>
  <c r="K161" i="35"/>
  <c r="K122" i="35"/>
  <c r="K1084" i="35"/>
  <c r="K384" i="35"/>
  <c r="K950" i="35"/>
  <c r="K385" i="35"/>
  <c r="K191" i="35"/>
  <c r="K525" i="35"/>
  <c r="K406" i="35"/>
  <c r="K818" i="35"/>
  <c r="K999" i="35"/>
  <c r="K186" i="35"/>
  <c r="K388" i="35"/>
  <c r="K381" i="35"/>
  <c r="K216" i="35"/>
  <c r="K951" i="35"/>
  <c r="K390" i="35"/>
  <c r="K749" i="35"/>
  <c r="K588" i="35"/>
  <c r="K750" i="35"/>
  <c r="K819" i="35"/>
  <c r="K1000" i="35"/>
  <c r="K218" i="35"/>
  <c r="K347" i="35"/>
  <c r="K820" i="35"/>
  <c r="K335" i="35"/>
  <c r="K751" i="35"/>
  <c r="K146" i="35"/>
  <c r="K952" i="35"/>
  <c r="K821" i="35"/>
  <c r="K165" i="35"/>
  <c r="K398" i="35"/>
  <c r="K391" i="35"/>
  <c r="K752" i="35"/>
  <c r="K822" i="35"/>
  <c r="K823" i="35"/>
  <c r="K1001" i="35"/>
  <c r="K953" i="35"/>
  <c r="K954" i="35"/>
  <c r="K1035" i="35"/>
  <c r="K1036" i="35"/>
  <c r="K1003" i="35"/>
  <c r="K1002" i="35"/>
  <c r="K1037" i="35"/>
  <c r="K1004" i="35"/>
  <c r="K1038" i="35"/>
  <c r="K1039" i="35"/>
  <c r="K1040" i="35"/>
  <c r="K1010" i="35"/>
  <c r="K1011" i="35"/>
  <c r="K1014" i="35"/>
  <c r="K1041" i="35"/>
  <c r="K1042" i="35"/>
  <c r="K1043" i="35"/>
  <c r="K1015" i="35"/>
  <c r="K1044" i="35"/>
  <c r="K1016" i="35"/>
  <c r="K1045" i="35"/>
  <c r="K1046" i="35"/>
  <c r="K1047" i="35"/>
  <c r="K1048" i="35"/>
  <c r="K1005" i="35"/>
  <c r="K1017" i="35"/>
  <c r="K1023" i="35"/>
  <c r="K1006" i="35"/>
  <c r="K1024" i="35"/>
  <c r="K1049" i="35"/>
  <c r="K1025" i="35"/>
  <c r="K1026" i="35"/>
  <c r="K1050" i="35"/>
  <c r="K1051" i="35"/>
  <c r="K1027" i="35"/>
  <c r="K1008" i="35"/>
  <c r="K1052" i="35"/>
  <c r="K1053" i="35"/>
  <c r="K1054" i="35"/>
  <c r="K1055" i="35"/>
  <c r="K1028" i="35"/>
  <c r="K1056" i="35"/>
  <c r="K1029" i="35"/>
  <c r="K1057" i="35"/>
  <c r="K1058" i="35"/>
  <c r="K1030" i="35"/>
  <c r="K1007" i="35"/>
  <c r="K1059" i="35"/>
  <c r="K1031" i="35"/>
  <c r="K1032" i="35"/>
  <c r="K1012" i="35"/>
  <c r="K1060" i="35"/>
  <c r="K1061" i="35"/>
  <c r="K1062" i="35"/>
  <c r="K1009" i="35"/>
  <c r="K1063" i="35"/>
  <c r="K1033" i="35"/>
  <c r="K1064" i="35"/>
  <c r="K1065" i="35"/>
  <c r="K1034" i="35"/>
  <c r="K1066" i="35"/>
  <c r="K1067" i="35"/>
  <c r="K1068" i="35"/>
  <c r="K1013" i="35"/>
  <c r="K824" i="35"/>
  <c r="K702" i="35"/>
  <c r="K704" i="35"/>
  <c r="K694" i="35"/>
  <c r="K1069" i="35"/>
  <c r="K319" i="35"/>
  <c r="K1076" i="35"/>
  <c r="K826" i="35"/>
  <c r="K955" i="35"/>
  <c r="K138" i="35"/>
  <c r="K90" i="35"/>
  <c r="K64" i="35"/>
  <c r="K27" i="35"/>
  <c r="K7" i="35"/>
  <c r="K932" i="35"/>
  <c r="K681" i="35"/>
  <c r="K698" i="35"/>
  <c r="K676" i="35"/>
  <c r="K696" i="35"/>
  <c r="K677" i="35"/>
  <c r="K706" i="35"/>
  <c r="K683" i="35"/>
  <c r="K530" i="35"/>
  <c r="K531" i="35"/>
  <c r="K927" i="35"/>
  <c r="K1094" i="35"/>
  <c r="K1096" i="35"/>
  <c r="K1099" i="35"/>
  <c r="K1097" i="35"/>
  <c r="K1093" i="35"/>
  <c r="K1098" i="35"/>
  <c r="K1095" i="35"/>
  <c r="K40" i="35"/>
  <c r="M894" i="35"/>
  <c r="M895" i="35"/>
  <c r="M1035" i="35"/>
  <c r="M1036" i="35"/>
  <c r="M422" i="35"/>
  <c r="M724" i="35"/>
  <c r="M896" i="35"/>
  <c r="M761" i="35"/>
  <c r="M762" i="35"/>
  <c r="M1003" i="35"/>
  <c r="M763" i="35"/>
  <c r="M897" i="35"/>
  <c r="M1002" i="35"/>
  <c r="M898" i="35"/>
  <c r="M1037" i="35"/>
  <c r="M965" i="35"/>
  <c r="M1004" i="35"/>
  <c r="M1038" i="35"/>
  <c r="M1039" i="35"/>
  <c r="M1040" i="35"/>
  <c r="M1010" i="35"/>
  <c r="M854" i="35"/>
  <c r="M1011" i="35"/>
  <c r="M1014" i="35"/>
  <c r="M1041" i="35"/>
  <c r="M1042" i="35"/>
  <c r="M1043" i="35"/>
  <c r="M902" i="35"/>
  <c r="M1015" i="35"/>
  <c r="M1044" i="35"/>
  <c r="M764" i="35"/>
  <c r="M1016" i="35"/>
  <c r="M738" i="35"/>
  <c r="M1045" i="35"/>
  <c r="M1046" i="35"/>
  <c r="M1047" i="35"/>
  <c r="M1048" i="35"/>
  <c r="M765" i="35"/>
  <c r="M1005" i="35"/>
  <c r="M1017" i="35"/>
  <c r="M1023" i="35"/>
  <c r="M1006" i="35"/>
  <c r="M1024" i="35"/>
  <c r="M1049" i="35"/>
  <c r="M1025" i="35"/>
  <c r="M1026" i="35"/>
  <c r="M1050" i="35"/>
  <c r="M1051" i="35"/>
  <c r="M1027" i="35"/>
  <c r="M1008" i="35"/>
  <c r="M1052" i="35"/>
  <c r="M1053" i="35"/>
  <c r="M1054" i="35"/>
  <c r="M982" i="35"/>
  <c r="M1055" i="35"/>
  <c r="M1028" i="35"/>
  <c r="M1056" i="35"/>
  <c r="M1029" i="35"/>
  <c r="M1057" i="35"/>
  <c r="M1058" i="35"/>
  <c r="M1030" i="35"/>
  <c r="M1007" i="35"/>
  <c r="M1059" i="35"/>
  <c r="M1031" i="35"/>
  <c r="M1032" i="35"/>
  <c r="M781" i="35"/>
  <c r="M1012" i="35"/>
  <c r="M1060" i="35"/>
  <c r="M1061" i="35"/>
  <c r="M782" i="35"/>
  <c r="M1062" i="35"/>
  <c r="M1009" i="35"/>
  <c r="M1063" i="35"/>
  <c r="M1033" i="35"/>
  <c r="M1064" i="35"/>
  <c r="M1065" i="35"/>
  <c r="M758" i="35"/>
  <c r="M1034" i="35"/>
  <c r="M1066" i="35"/>
  <c r="M759" i="35"/>
  <c r="M410" i="35"/>
  <c r="M1067" i="35"/>
  <c r="M767" i="35"/>
  <c r="M760" i="35"/>
  <c r="M786" i="35"/>
  <c r="M912" i="35"/>
  <c r="M791" i="35"/>
  <c r="M412" i="35"/>
  <c r="M1069" i="35"/>
  <c r="M1068" i="35"/>
  <c r="M792" i="35"/>
  <c r="M1013" i="35"/>
  <c r="M793" i="35"/>
  <c r="M733" i="35"/>
  <c r="M736" i="35"/>
  <c r="M908" i="35"/>
  <c r="M121" i="35"/>
  <c r="M887" i="35"/>
  <c r="M734" i="35"/>
  <c r="M971" i="35"/>
  <c r="M735" i="35"/>
  <c r="M802" i="35"/>
  <c r="M906" i="35"/>
  <c r="M907" i="35"/>
  <c r="M728" i="35"/>
  <c r="M967" i="35"/>
  <c r="M739" i="35"/>
  <c r="M836" i="35"/>
  <c r="M740" i="35"/>
  <c r="M805" i="35"/>
  <c r="M993" i="35"/>
  <c r="M905" i="35"/>
  <c r="M754" i="35"/>
  <c r="M956" i="35"/>
  <c r="M868" i="35"/>
  <c r="M978" i="35"/>
  <c r="M799" i="35"/>
  <c r="M785" i="35"/>
  <c r="M757" i="35"/>
  <c r="M977" i="35"/>
  <c r="M966" i="35"/>
  <c r="M920" i="35"/>
  <c r="M862" i="35"/>
  <c r="M783" i="35"/>
  <c r="M923" i="35"/>
  <c r="M957" i="35"/>
  <c r="M927" i="35"/>
  <c r="M924" i="35"/>
  <c r="M869" i="35"/>
  <c r="M787" i="35"/>
  <c r="M882" i="35"/>
  <c r="M883" i="35"/>
  <c r="M994" i="35"/>
  <c r="M788" i="35"/>
  <c r="M926" i="35"/>
  <c r="M863" i="35"/>
  <c r="M864" i="35"/>
  <c r="M756" i="35"/>
  <c r="M865" i="35"/>
  <c r="M794" i="35"/>
  <c r="M840" i="35"/>
  <c r="M857" i="35"/>
  <c r="M958" i="35"/>
  <c r="M800" i="35"/>
  <c r="M866" i="35"/>
  <c r="M795" i="35"/>
  <c r="M867" i="35"/>
  <c r="M873" i="35"/>
  <c r="M861" i="35"/>
  <c r="M983" i="35"/>
  <c r="M860" i="35"/>
  <c r="M984" i="35"/>
  <c r="M970" i="35"/>
  <c r="M801" i="35"/>
  <c r="M859" i="35"/>
  <c r="M991" i="35"/>
  <c r="M796" i="35"/>
  <c r="M974" i="35"/>
  <c r="M737" i="35"/>
  <c r="M910" i="35"/>
  <c r="M911" i="35"/>
  <c r="M921" i="35"/>
  <c r="M798" i="35"/>
  <c r="M755" i="35"/>
  <c r="M985" i="35"/>
  <c r="M922" i="35"/>
  <c r="M935" i="35"/>
  <c r="M976" i="35"/>
  <c r="M891" i="35"/>
  <c r="M975" i="35"/>
  <c r="M972" i="35"/>
  <c r="M961" i="35"/>
  <c r="M986" i="35"/>
  <c r="M987" i="35"/>
  <c r="M913" i="35"/>
  <c r="M914" i="35"/>
  <c r="M968" i="35"/>
  <c r="M878" i="35"/>
  <c r="M988" i="35"/>
  <c r="M989" i="35"/>
  <c r="M990" i="35"/>
  <c r="M874" i="35"/>
  <c r="M969" i="35"/>
  <c r="M886" i="35"/>
  <c r="M892" i="35"/>
  <c r="M797" i="35"/>
  <c r="M876" i="35"/>
  <c r="M789" i="35"/>
  <c r="M573" i="35"/>
  <c r="M964" i="35"/>
  <c r="M915" i="35"/>
  <c r="M992" i="35"/>
  <c r="M916" i="35"/>
  <c r="M790" i="35"/>
  <c r="M1018" i="35"/>
  <c r="M827" i="35"/>
  <c r="M879" i="35"/>
  <c r="M981" i="35"/>
  <c r="M1019" i="35"/>
  <c r="M995" i="35"/>
  <c r="M928" i="35"/>
  <c r="M996" i="35"/>
  <c r="M917" i="35"/>
  <c r="M828" i="35"/>
  <c r="M835" i="35"/>
  <c r="M780" i="35"/>
  <c r="M803" i="35"/>
  <c r="M979" i="35"/>
  <c r="M1020" i="35"/>
  <c r="M843" i="35"/>
  <c r="M918" i="35"/>
  <c r="M804" i="35"/>
  <c r="M1021" i="35"/>
  <c r="M929" i="35"/>
  <c r="M930" i="35"/>
  <c r="M779" i="35"/>
  <c r="M919" i="35"/>
  <c r="M932" i="35"/>
  <c r="M1022" i="35"/>
  <c r="M645" i="35"/>
  <c r="M931" i="35"/>
  <c r="M980" i="35"/>
  <c r="M855" i="35"/>
  <c r="M858" i="35"/>
  <c r="M766" i="35"/>
  <c r="M880" i="35"/>
  <c r="M933" i="35"/>
  <c r="M934" i="35"/>
  <c r="M877" i="35"/>
  <c r="M960" i="35"/>
  <c r="M844" i="35"/>
  <c r="M881" i="35"/>
  <c r="M825" i="35"/>
  <c r="M888" i="35"/>
  <c r="M846" i="35"/>
  <c r="M871" i="35"/>
  <c r="M889" i="35"/>
  <c r="M775" i="35"/>
  <c r="M890" i="35"/>
  <c r="M776" i="35"/>
  <c r="M872" i="35"/>
  <c r="M777" i="35"/>
  <c r="M963" i="35"/>
  <c r="M778" i="35"/>
  <c r="N894" i="35"/>
  <c r="T894" i="35" s="1"/>
  <c r="N895" i="35"/>
  <c r="T895" i="35" s="1"/>
  <c r="N1035" i="35"/>
  <c r="T1035" i="35" s="1"/>
  <c r="N1036" i="35"/>
  <c r="T1036" i="35" s="1"/>
  <c r="N422" i="35"/>
  <c r="T422" i="35" s="1"/>
  <c r="N724" i="35"/>
  <c r="T724" i="35" s="1"/>
  <c r="N896" i="35"/>
  <c r="T896" i="35" s="1"/>
  <c r="N761" i="35"/>
  <c r="T761" i="35" s="1"/>
  <c r="N762" i="35"/>
  <c r="T762" i="35" s="1"/>
  <c r="N1003" i="35"/>
  <c r="T1003" i="35" s="1"/>
  <c r="N763" i="35"/>
  <c r="T763" i="35" s="1"/>
  <c r="N897" i="35"/>
  <c r="T897" i="35" s="1"/>
  <c r="N1002" i="35"/>
  <c r="T1002" i="35" s="1"/>
  <c r="N898" i="35"/>
  <c r="T898" i="35" s="1"/>
  <c r="N1037" i="35"/>
  <c r="T1037" i="35" s="1"/>
  <c r="N965" i="35"/>
  <c r="T965" i="35" s="1"/>
  <c r="N1004" i="35"/>
  <c r="T1004" i="35" s="1"/>
  <c r="N1038" i="35"/>
  <c r="T1038" i="35" s="1"/>
  <c r="N1039" i="35"/>
  <c r="T1039" i="35" s="1"/>
  <c r="N1040" i="35"/>
  <c r="T1040" i="35" s="1"/>
  <c r="N1010" i="35"/>
  <c r="T1010" i="35" s="1"/>
  <c r="N854" i="35"/>
  <c r="T854" i="35" s="1"/>
  <c r="N1011" i="35"/>
  <c r="T1011" i="35" s="1"/>
  <c r="N1014" i="35"/>
  <c r="N1041" i="35"/>
  <c r="T1041" i="35" s="1"/>
  <c r="N1042" i="35"/>
  <c r="T1042" i="35" s="1"/>
  <c r="N1043" i="35"/>
  <c r="T1043" i="35" s="1"/>
  <c r="N902" i="35"/>
  <c r="T902" i="35" s="1"/>
  <c r="N1015" i="35"/>
  <c r="T1015" i="35" s="1"/>
  <c r="N1044" i="35"/>
  <c r="T1044" i="35" s="1"/>
  <c r="N764" i="35"/>
  <c r="T764" i="35" s="1"/>
  <c r="N1016" i="35"/>
  <c r="T1016" i="35" s="1"/>
  <c r="N738" i="35"/>
  <c r="T738" i="35" s="1"/>
  <c r="N1045" i="35"/>
  <c r="T1045" i="35" s="1"/>
  <c r="N1046" i="35"/>
  <c r="N1047" i="35"/>
  <c r="N1048" i="35"/>
  <c r="T1048" i="35" s="1"/>
  <c r="N765" i="35"/>
  <c r="T765" i="35" s="1"/>
  <c r="N1005" i="35"/>
  <c r="T1005" i="35" s="1"/>
  <c r="N1017" i="35"/>
  <c r="T1017" i="35" s="1"/>
  <c r="N1023" i="35"/>
  <c r="T1023" i="35" s="1"/>
  <c r="N1006" i="35"/>
  <c r="T1006" i="35" s="1"/>
  <c r="N1024" i="35"/>
  <c r="T1024" i="35" s="1"/>
  <c r="N1049" i="35"/>
  <c r="T1049" i="35" s="1"/>
  <c r="N1025" i="35"/>
  <c r="T1025" i="35" s="1"/>
  <c r="N1026" i="35"/>
  <c r="T1026" i="35" s="1"/>
  <c r="N1050" i="35"/>
  <c r="T1050" i="35" s="1"/>
  <c r="N1051" i="35"/>
  <c r="N1027" i="35"/>
  <c r="T1027" i="35" s="1"/>
  <c r="N1008" i="35"/>
  <c r="T1008" i="35" s="1"/>
  <c r="N1052" i="35"/>
  <c r="T1052" i="35" s="1"/>
  <c r="N1053" i="35"/>
  <c r="T1053" i="35" s="1"/>
  <c r="N1054" i="35"/>
  <c r="T1054" i="35" s="1"/>
  <c r="N982" i="35"/>
  <c r="T982" i="35" s="1"/>
  <c r="N1055" i="35"/>
  <c r="T1055" i="35" s="1"/>
  <c r="N1028" i="35"/>
  <c r="T1028" i="35" s="1"/>
  <c r="N1056" i="35"/>
  <c r="T1056" i="35" s="1"/>
  <c r="N1029" i="35"/>
  <c r="T1029" i="35" s="1"/>
  <c r="N1057" i="35"/>
  <c r="T1057" i="35" s="1"/>
  <c r="N1058" i="35"/>
  <c r="N1030" i="35"/>
  <c r="T1030" i="35" s="1"/>
  <c r="N1007" i="35"/>
  <c r="T1007" i="35" s="1"/>
  <c r="N1059" i="35"/>
  <c r="T1059" i="35" s="1"/>
  <c r="N1031" i="35"/>
  <c r="T1031" i="35" s="1"/>
  <c r="N1032" i="35"/>
  <c r="T1032" i="35" s="1"/>
  <c r="N781" i="35"/>
  <c r="T781" i="35" s="1"/>
  <c r="N1012" i="35"/>
  <c r="T1012" i="35" s="1"/>
  <c r="N1060" i="35"/>
  <c r="T1060" i="35" s="1"/>
  <c r="N1061" i="35"/>
  <c r="T1061" i="35" s="1"/>
  <c r="N782" i="35"/>
  <c r="T782" i="35" s="1"/>
  <c r="N1062" i="35"/>
  <c r="T1062" i="35" s="1"/>
  <c r="N1009" i="35"/>
  <c r="N1063" i="35"/>
  <c r="T1063" i="35" s="1"/>
  <c r="N1033" i="35"/>
  <c r="T1033" i="35" s="1"/>
  <c r="N1064" i="35"/>
  <c r="T1064" i="35" s="1"/>
  <c r="N1065" i="35"/>
  <c r="T1065" i="35" s="1"/>
  <c r="N758" i="35"/>
  <c r="T758" i="35" s="1"/>
  <c r="N1034" i="35"/>
  <c r="T1034" i="35" s="1"/>
  <c r="N1066" i="35"/>
  <c r="T1066" i="35" s="1"/>
  <c r="N759" i="35"/>
  <c r="T759" i="35" s="1"/>
  <c r="N410" i="35"/>
  <c r="T410" i="35" s="1"/>
  <c r="N1067" i="35"/>
  <c r="T1067" i="35" s="1"/>
  <c r="N767" i="35"/>
  <c r="T767" i="35" s="1"/>
  <c r="N760" i="35"/>
  <c r="N786" i="35"/>
  <c r="T786" i="35" s="1"/>
  <c r="N912" i="35"/>
  <c r="T912" i="35" s="1"/>
  <c r="N791" i="35"/>
  <c r="T791" i="35" s="1"/>
  <c r="N412" i="35"/>
  <c r="T412" i="35" s="1"/>
  <c r="N1069" i="35"/>
  <c r="T1069" i="35" s="1"/>
  <c r="N1068" i="35"/>
  <c r="T1068" i="35" s="1"/>
  <c r="N792" i="35"/>
  <c r="T792" i="35" s="1"/>
  <c r="N1013" i="35"/>
  <c r="T1013" i="35" s="1"/>
  <c r="N793" i="35"/>
  <c r="T793" i="35" s="1"/>
  <c r="N733" i="35"/>
  <c r="T733" i="35" s="1"/>
  <c r="N736" i="35"/>
  <c r="T736" i="35" s="1"/>
  <c r="N908" i="35"/>
  <c r="N121" i="35"/>
  <c r="T121" i="35" s="1"/>
  <c r="N887" i="35"/>
  <c r="T887" i="35" s="1"/>
  <c r="N734" i="35"/>
  <c r="T734" i="35" s="1"/>
  <c r="N971" i="35"/>
  <c r="T971" i="35" s="1"/>
  <c r="N735" i="35"/>
  <c r="T735" i="35" s="1"/>
  <c r="N802" i="35"/>
  <c r="T802" i="35" s="1"/>
  <c r="N906" i="35"/>
  <c r="T906" i="35" s="1"/>
  <c r="N907" i="35"/>
  <c r="T907" i="35" s="1"/>
  <c r="N728" i="35"/>
  <c r="T728" i="35" s="1"/>
  <c r="N967" i="35"/>
  <c r="T967" i="35" s="1"/>
  <c r="N739" i="35"/>
  <c r="T739" i="35" s="1"/>
  <c r="N836" i="35"/>
  <c r="N740" i="35"/>
  <c r="T740" i="35" s="1"/>
  <c r="N805" i="35"/>
  <c r="T805" i="35" s="1"/>
  <c r="N993" i="35"/>
  <c r="T993" i="35" s="1"/>
  <c r="N905" i="35"/>
  <c r="T905" i="35" s="1"/>
  <c r="N754" i="35"/>
  <c r="T754" i="35" s="1"/>
  <c r="N956" i="35"/>
  <c r="T956" i="35" s="1"/>
  <c r="N868" i="35"/>
  <c r="T868" i="35" s="1"/>
  <c r="N978" i="35"/>
  <c r="T978" i="35" s="1"/>
  <c r="N799" i="35"/>
  <c r="T799" i="35" s="1"/>
  <c r="N785" i="35"/>
  <c r="T785" i="35" s="1"/>
  <c r="N757" i="35"/>
  <c r="T757" i="35" s="1"/>
  <c r="N977" i="35"/>
  <c r="N966" i="35"/>
  <c r="T966" i="35" s="1"/>
  <c r="N920" i="35"/>
  <c r="T920" i="35" s="1"/>
  <c r="N862" i="35"/>
  <c r="T862" i="35" s="1"/>
  <c r="N783" i="35"/>
  <c r="T783" i="35" s="1"/>
  <c r="N923" i="35"/>
  <c r="T923" i="35" s="1"/>
  <c r="N957" i="35"/>
  <c r="T957" i="35" s="1"/>
  <c r="N927" i="35"/>
  <c r="T927" i="35" s="1"/>
  <c r="N924" i="35"/>
  <c r="T924" i="35" s="1"/>
  <c r="N869" i="35"/>
  <c r="T869" i="35" s="1"/>
  <c r="N787" i="35"/>
  <c r="T787" i="35" s="1"/>
  <c r="N882" i="35"/>
  <c r="T882" i="35" s="1"/>
  <c r="N883" i="35"/>
  <c r="N994" i="35"/>
  <c r="T994" i="35" s="1"/>
  <c r="N788" i="35"/>
  <c r="T788" i="35" s="1"/>
  <c r="N926" i="35"/>
  <c r="T926" i="35" s="1"/>
  <c r="N863" i="35"/>
  <c r="T863" i="35" s="1"/>
  <c r="N864" i="35"/>
  <c r="T864" i="35" s="1"/>
  <c r="N756" i="35"/>
  <c r="T756" i="35" s="1"/>
  <c r="N865" i="35"/>
  <c r="T865" i="35" s="1"/>
  <c r="N794" i="35"/>
  <c r="T794" i="35" s="1"/>
  <c r="N840" i="35"/>
  <c r="T840" i="35" s="1"/>
  <c r="N857" i="35"/>
  <c r="T857" i="35" s="1"/>
  <c r="N958" i="35"/>
  <c r="T958" i="35" s="1"/>
  <c r="N800" i="35"/>
  <c r="N866" i="35"/>
  <c r="T866" i="35" s="1"/>
  <c r="N795" i="35"/>
  <c r="T795" i="35" s="1"/>
  <c r="N867" i="35"/>
  <c r="T867" i="35" s="1"/>
  <c r="N873" i="35"/>
  <c r="T873" i="35" s="1"/>
  <c r="N861" i="35"/>
  <c r="T861" i="35" s="1"/>
  <c r="N983" i="35"/>
  <c r="T983" i="35" s="1"/>
  <c r="N860" i="35"/>
  <c r="T860" i="35" s="1"/>
  <c r="N984" i="35"/>
  <c r="T984" i="35" s="1"/>
  <c r="N970" i="35"/>
  <c r="T970" i="35" s="1"/>
  <c r="N801" i="35"/>
  <c r="T801" i="35" s="1"/>
  <c r="N859" i="35"/>
  <c r="T859" i="35" s="1"/>
  <c r="N991" i="35"/>
  <c r="N796" i="35"/>
  <c r="T796" i="35" s="1"/>
  <c r="N974" i="35"/>
  <c r="T974" i="35" s="1"/>
  <c r="N737" i="35"/>
  <c r="T737" i="35" s="1"/>
  <c r="N910" i="35"/>
  <c r="T910" i="35" s="1"/>
  <c r="N911" i="35"/>
  <c r="T911" i="35" s="1"/>
  <c r="N921" i="35"/>
  <c r="T921" i="35" s="1"/>
  <c r="N798" i="35"/>
  <c r="T798" i="35" s="1"/>
  <c r="N755" i="35"/>
  <c r="T755" i="35" s="1"/>
  <c r="N985" i="35"/>
  <c r="T985" i="35" s="1"/>
  <c r="N922" i="35"/>
  <c r="T922" i="35" s="1"/>
  <c r="N935" i="35"/>
  <c r="T935" i="35" s="1"/>
  <c r="N976" i="35"/>
  <c r="T976" i="35" s="1"/>
  <c r="N891" i="35"/>
  <c r="T891" i="35" s="1"/>
  <c r="N975" i="35"/>
  <c r="T975" i="35" s="1"/>
  <c r="N972" i="35"/>
  <c r="T972" i="35" s="1"/>
  <c r="N961" i="35"/>
  <c r="T961" i="35" s="1"/>
  <c r="N986" i="35"/>
  <c r="T986" i="35" s="1"/>
  <c r="N987" i="35"/>
  <c r="T987" i="35" s="1"/>
  <c r="N913" i="35"/>
  <c r="T913" i="35" s="1"/>
  <c r="N914" i="35"/>
  <c r="T914" i="35" s="1"/>
  <c r="N968" i="35"/>
  <c r="T968" i="35" s="1"/>
  <c r="N878" i="35"/>
  <c r="T878" i="35" s="1"/>
  <c r="N988" i="35"/>
  <c r="T988" i="35" s="1"/>
  <c r="N989" i="35"/>
  <c r="T989" i="35" s="1"/>
  <c r="N990" i="35"/>
  <c r="T990" i="35" s="1"/>
  <c r="N874" i="35"/>
  <c r="T874" i="35" s="1"/>
  <c r="N969" i="35"/>
  <c r="T969" i="35" s="1"/>
  <c r="N886" i="35"/>
  <c r="T886" i="35" s="1"/>
  <c r="N892" i="35"/>
  <c r="T892" i="35" s="1"/>
  <c r="N797" i="35"/>
  <c r="T797" i="35" s="1"/>
  <c r="N876" i="35"/>
  <c r="T876" i="35" s="1"/>
  <c r="N789" i="35"/>
  <c r="T789" i="35" s="1"/>
  <c r="N573" i="35"/>
  <c r="N964" i="35"/>
  <c r="T964" i="35" s="1"/>
  <c r="N915" i="35"/>
  <c r="T915" i="35" s="1"/>
  <c r="N992" i="35"/>
  <c r="T992" i="35" s="1"/>
  <c r="N916" i="35"/>
  <c r="T916" i="35" s="1"/>
  <c r="N790" i="35"/>
  <c r="T790" i="35" s="1"/>
  <c r="N1018" i="35"/>
  <c r="T1018" i="35" s="1"/>
  <c r="N827" i="35"/>
  <c r="T827" i="35" s="1"/>
  <c r="N879" i="35"/>
  <c r="T879" i="35" s="1"/>
  <c r="N981" i="35"/>
  <c r="T981" i="35" s="1"/>
  <c r="N1019" i="35"/>
  <c r="T1019" i="35" s="1"/>
  <c r="N995" i="35"/>
  <c r="T995" i="35" s="1"/>
  <c r="N928" i="35"/>
  <c r="T928" i="35" s="1"/>
  <c r="N996" i="35"/>
  <c r="T996" i="35" s="1"/>
  <c r="N917" i="35"/>
  <c r="T917" i="35" s="1"/>
  <c r="N828" i="35"/>
  <c r="T828" i="35" s="1"/>
  <c r="N835" i="35"/>
  <c r="T835" i="35" s="1"/>
  <c r="N780" i="35"/>
  <c r="T780" i="35" s="1"/>
  <c r="N803" i="35"/>
  <c r="T803" i="35" s="1"/>
  <c r="N979" i="35"/>
  <c r="T979" i="35" s="1"/>
  <c r="N1020" i="35"/>
  <c r="T1020" i="35" s="1"/>
  <c r="N843" i="35"/>
  <c r="T843" i="35" s="1"/>
  <c r="N918" i="35"/>
  <c r="T918" i="35" s="1"/>
  <c r="N804" i="35"/>
  <c r="T804" i="35" s="1"/>
  <c r="N1021" i="35"/>
  <c r="T1021" i="35" s="1"/>
  <c r="N929" i="35"/>
  <c r="T929" i="35" s="1"/>
  <c r="N930" i="35"/>
  <c r="T930" i="35" s="1"/>
  <c r="N779" i="35"/>
  <c r="T779" i="35" s="1"/>
  <c r="N919" i="35"/>
  <c r="T919" i="35" s="1"/>
  <c r="N932" i="35"/>
  <c r="T932" i="35" s="1"/>
  <c r="N1022" i="35"/>
  <c r="T1022" i="35" s="1"/>
  <c r="N645" i="35"/>
  <c r="T645" i="35" s="1"/>
  <c r="N931" i="35"/>
  <c r="T931" i="35" s="1"/>
  <c r="N980" i="35"/>
  <c r="T980" i="35" s="1"/>
  <c r="N855" i="35"/>
  <c r="T855" i="35" s="1"/>
  <c r="N858" i="35"/>
  <c r="T858" i="35" s="1"/>
  <c r="N766" i="35"/>
  <c r="T766" i="35" s="1"/>
  <c r="N880" i="35"/>
  <c r="T880" i="35" s="1"/>
  <c r="N933" i="35"/>
  <c r="T933" i="35" s="1"/>
  <c r="N934" i="35"/>
  <c r="T934" i="35" s="1"/>
  <c r="N877" i="35"/>
  <c r="T877" i="35" s="1"/>
  <c r="N960" i="35"/>
  <c r="T960" i="35" s="1"/>
  <c r="N844" i="35"/>
  <c r="T844" i="35" s="1"/>
  <c r="N881" i="35"/>
  <c r="T881" i="35" s="1"/>
  <c r="N825" i="35"/>
  <c r="T825" i="35" s="1"/>
  <c r="N888" i="35"/>
  <c r="T888" i="35" s="1"/>
  <c r="N846" i="35"/>
  <c r="T846" i="35" s="1"/>
  <c r="N871" i="35"/>
  <c r="T871" i="35" s="1"/>
  <c r="N889" i="35"/>
  <c r="T889" i="35" s="1"/>
  <c r="N775" i="35"/>
  <c r="T775" i="35" s="1"/>
  <c r="N890" i="35"/>
  <c r="T890" i="35" s="1"/>
  <c r="N776" i="35"/>
  <c r="T776" i="35" s="1"/>
  <c r="N872" i="35"/>
  <c r="T872" i="35" s="1"/>
  <c r="N777" i="35"/>
  <c r="T777" i="35" s="1"/>
  <c r="N963" i="35"/>
  <c r="T963" i="35" s="1"/>
  <c r="N778" i="35"/>
  <c r="T778" i="35" s="1"/>
  <c r="Q894" i="35"/>
  <c r="Q895" i="35"/>
  <c r="Q1035" i="35"/>
  <c r="Q1036" i="35"/>
  <c r="Q422" i="35"/>
  <c r="Q724" i="35"/>
  <c r="Q896" i="35"/>
  <c r="Q761" i="35"/>
  <c r="Q762" i="35"/>
  <c r="Q1003" i="35"/>
  <c r="Q763" i="35"/>
  <c r="Q897" i="35"/>
  <c r="Q1002" i="35"/>
  <c r="Q898" i="35"/>
  <c r="Q1037" i="35"/>
  <c r="Q965" i="35"/>
  <c r="Q1004" i="35"/>
  <c r="Q1038" i="35"/>
  <c r="Q1039" i="35"/>
  <c r="Q1040" i="35"/>
  <c r="Q1010" i="35"/>
  <c r="Q854" i="35"/>
  <c r="Q1011" i="35"/>
  <c r="Q1014" i="35"/>
  <c r="Q1041" i="35"/>
  <c r="Q1042" i="35"/>
  <c r="Q1043" i="35"/>
  <c r="Q902" i="35"/>
  <c r="Q1015" i="35"/>
  <c r="Q1044" i="35"/>
  <c r="Q764" i="35"/>
  <c r="Q1016" i="35"/>
  <c r="Q738" i="35"/>
  <c r="Q1045" i="35"/>
  <c r="Q1046" i="35"/>
  <c r="Q1047" i="35"/>
  <c r="Q1048" i="35"/>
  <c r="Q765" i="35"/>
  <c r="Q1005" i="35"/>
  <c r="Q1017" i="35"/>
  <c r="Q1023" i="35"/>
  <c r="Q1006" i="35"/>
  <c r="Q1024" i="35"/>
  <c r="Q1049" i="35"/>
  <c r="Q1025" i="35"/>
  <c r="Q1026" i="35"/>
  <c r="Q1050" i="35"/>
  <c r="Q1051" i="35"/>
  <c r="Q1027" i="35"/>
  <c r="Q1008" i="35"/>
  <c r="Q1052" i="35"/>
  <c r="Q1053" i="35"/>
  <c r="Q1054" i="35"/>
  <c r="Q982" i="35"/>
  <c r="Q1055" i="35"/>
  <c r="Q1028" i="35"/>
  <c r="Q1056" i="35"/>
  <c r="Q1029" i="35"/>
  <c r="Q1057" i="35"/>
  <c r="Q1058" i="35"/>
  <c r="Q1030" i="35"/>
  <c r="Q1007" i="35"/>
  <c r="Q1059" i="35"/>
  <c r="Q1031" i="35"/>
  <c r="Q1032" i="35"/>
  <c r="Q781" i="35"/>
  <c r="Q1012" i="35"/>
  <c r="Q1060" i="35"/>
  <c r="Q1061" i="35"/>
  <c r="Q782" i="35"/>
  <c r="Q1062" i="35"/>
  <c r="Q1009" i="35"/>
  <c r="Q1063" i="35"/>
  <c r="Q1033" i="35"/>
  <c r="Q1064" i="35"/>
  <c r="Q1065" i="35"/>
  <c r="Q758" i="35"/>
  <c r="Q1034" i="35"/>
  <c r="Q1066" i="35"/>
  <c r="Q759" i="35"/>
  <c r="Q410" i="35"/>
  <c r="Q1067" i="35"/>
  <c r="Q767" i="35"/>
  <c r="Q760" i="35"/>
  <c r="Q786" i="35"/>
  <c r="Q912" i="35"/>
  <c r="Q791" i="35"/>
  <c r="Q412" i="35"/>
  <c r="Q1069" i="35"/>
  <c r="Q1068" i="35"/>
  <c r="Q792" i="35"/>
  <c r="Q1013" i="35"/>
  <c r="Q793" i="35"/>
  <c r="Q733" i="35"/>
  <c r="Q736" i="35"/>
  <c r="Q908" i="35"/>
  <c r="Q121" i="35"/>
  <c r="Q887" i="35"/>
  <c r="Q734" i="35"/>
  <c r="Q971" i="35"/>
  <c r="Q735" i="35"/>
  <c r="Q802" i="35"/>
  <c r="Q906" i="35"/>
  <c r="Q907" i="35"/>
  <c r="Q728" i="35"/>
  <c r="Q967" i="35"/>
  <c r="Q739" i="35"/>
  <c r="Q836" i="35"/>
  <c r="Q740" i="35"/>
  <c r="Q805" i="35"/>
  <c r="Q993" i="35"/>
  <c r="Q905" i="35"/>
  <c r="Q754" i="35"/>
  <c r="Q956" i="35"/>
  <c r="Q868" i="35"/>
  <c r="Q978" i="35"/>
  <c r="Q799" i="35"/>
  <c r="Q785" i="35"/>
  <c r="Q757" i="35"/>
  <c r="Q977" i="35"/>
  <c r="Q966" i="35"/>
  <c r="Q920" i="35"/>
  <c r="Q862" i="35"/>
  <c r="Q783" i="35"/>
  <c r="Q923" i="35"/>
  <c r="Q957" i="35"/>
  <c r="Q927" i="35"/>
  <c r="Q924" i="35"/>
  <c r="Q869" i="35"/>
  <c r="Q787" i="35"/>
  <c r="Q882" i="35"/>
  <c r="Q883" i="35"/>
  <c r="Q994" i="35"/>
  <c r="Q788" i="35"/>
  <c r="Q926" i="35"/>
  <c r="Q863" i="35"/>
  <c r="Q864" i="35"/>
  <c r="Q756" i="35"/>
  <c r="Q865" i="35"/>
  <c r="Q794" i="35"/>
  <c r="Q840" i="35"/>
  <c r="Q857" i="35"/>
  <c r="Q958" i="35"/>
  <c r="Q800" i="35"/>
  <c r="Q866" i="35"/>
  <c r="Q795" i="35"/>
  <c r="Q867" i="35"/>
  <c r="Q873" i="35"/>
  <c r="Q861" i="35"/>
  <c r="Q983" i="35"/>
  <c r="Q860" i="35"/>
  <c r="Q984" i="35"/>
  <c r="Q970" i="35"/>
  <c r="Q801" i="35"/>
  <c r="Q859" i="35"/>
  <c r="Q991" i="35"/>
  <c r="Q796" i="35"/>
  <c r="Q974" i="35"/>
  <c r="Q737" i="35"/>
  <c r="Q910" i="35"/>
  <c r="Q911" i="35"/>
  <c r="Q921" i="35"/>
  <c r="Q798" i="35"/>
  <c r="Q755" i="35"/>
  <c r="Q985" i="35"/>
  <c r="Q922" i="35"/>
  <c r="Q935" i="35"/>
  <c r="Q976" i="35"/>
  <c r="Q891" i="35"/>
  <c r="Q975" i="35"/>
  <c r="Q972" i="35"/>
  <c r="Q961" i="35"/>
  <c r="Q986" i="35"/>
  <c r="Q987" i="35"/>
  <c r="Q913" i="35"/>
  <c r="Q914" i="35"/>
  <c r="Q968" i="35"/>
  <c r="Q878" i="35"/>
  <c r="Q988" i="35"/>
  <c r="Q989" i="35"/>
  <c r="Q990" i="35"/>
  <c r="Q874" i="35"/>
  <c r="Q969" i="35"/>
  <c r="Q886" i="35"/>
  <c r="Q892" i="35"/>
  <c r="Q797" i="35"/>
  <c r="Q876" i="35"/>
  <c r="Q789" i="35"/>
  <c r="Q573" i="35"/>
  <c r="Q964" i="35"/>
  <c r="Q915" i="35"/>
  <c r="Q992" i="35"/>
  <c r="Q916" i="35"/>
  <c r="Q790" i="35"/>
  <c r="Q1018" i="35"/>
  <c r="Q827" i="35"/>
  <c r="Q879" i="35"/>
  <c r="Q981" i="35"/>
  <c r="Q1019" i="35"/>
  <c r="Q995" i="35"/>
  <c r="Q928" i="35"/>
  <c r="Q996" i="35"/>
  <c r="Q917" i="35"/>
  <c r="Q828" i="35"/>
  <c r="Q835" i="35"/>
  <c r="Q780" i="35"/>
  <c r="Q803" i="35"/>
  <c r="Q979" i="35"/>
  <c r="Q1020" i="35"/>
  <c r="Q843" i="35"/>
  <c r="Q918" i="35"/>
  <c r="Q804" i="35"/>
  <c r="Q1021" i="35"/>
  <c r="Q929" i="35"/>
  <c r="Q930" i="35"/>
  <c r="Q779" i="35"/>
  <c r="Q919" i="35"/>
  <c r="Q932" i="35"/>
  <c r="Q1022" i="35"/>
  <c r="Q645" i="35"/>
  <c r="Q931" i="35"/>
  <c r="Q980" i="35"/>
  <c r="Q855" i="35"/>
  <c r="Q858" i="35"/>
  <c r="Q766" i="35"/>
  <c r="Q880" i="35"/>
  <c r="Q933" i="35"/>
  <c r="Q934" i="35"/>
  <c r="Q877" i="35"/>
  <c r="Q960" i="35"/>
  <c r="Q844" i="35"/>
  <c r="Q881" i="35"/>
  <c r="Q825" i="35"/>
  <c r="Q888" i="35"/>
  <c r="Q846" i="35"/>
  <c r="Q871" i="35"/>
  <c r="Q889" i="35"/>
  <c r="Q775" i="35"/>
  <c r="Q890" i="35"/>
  <c r="Q776" i="35"/>
  <c r="Q872" i="35"/>
  <c r="Q777" i="35"/>
  <c r="Q963" i="35"/>
  <c r="Q778" i="35"/>
  <c r="U825" i="35" l="1"/>
  <c r="U931" i="35"/>
  <c r="U1020" i="35"/>
  <c r="U879" i="35"/>
  <c r="U892" i="35"/>
  <c r="U776" i="35"/>
  <c r="U934" i="35"/>
  <c r="U779" i="35"/>
  <c r="U828" i="35"/>
  <c r="U992" i="35"/>
  <c r="U888" i="35"/>
  <c r="U980" i="35"/>
  <c r="U843" i="35"/>
  <c r="U981" i="35"/>
  <c r="U797" i="35"/>
  <c r="U775" i="35"/>
  <c r="U880" i="35"/>
  <c r="U929" i="35"/>
  <c r="U996" i="35"/>
  <c r="U964" i="35"/>
  <c r="U889" i="35"/>
  <c r="U766" i="35"/>
  <c r="U1021" i="35"/>
  <c r="U928" i="35"/>
  <c r="U846" i="35"/>
  <c r="U855" i="35"/>
  <c r="U918" i="35"/>
  <c r="U1019" i="35"/>
  <c r="U876" i="35"/>
  <c r="U913" i="35"/>
  <c r="U798" i="35"/>
  <c r="U860" i="35"/>
  <c r="U865" i="35"/>
  <c r="U927" i="35"/>
  <c r="U868" i="35"/>
  <c r="U906" i="35"/>
  <c r="U792" i="35"/>
  <c r="U1066" i="35"/>
  <c r="U1012" i="35"/>
  <c r="U1055" i="35"/>
  <c r="U1024" i="35"/>
  <c r="U764" i="35"/>
  <c r="U1039" i="35"/>
  <c r="U896" i="35"/>
  <c r="U987" i="35"/>
  <c r="U921" i="35"/>
  <c r="U983" i="35"/>
  <c r="U756" i="35"/>
  <c r="U957" i="35"/>
  <c r="U956" i="35"/>
  <c r="U802" i="35"/>
  <c r="U1068" i="35"/>
  <c r="U1034" i="35"/>
  <c r="U781" i="35"/>
  <c r="U982" i="35"/>
  <c r="U1006" i="35"/>
  <c r="U1044" i="35"/>
  <c r="U1038" i="35"/>
  <c r="U724" i="35"/>
  <c r="U986" i="35"/>
  <c r="U911" i="35"/>
  <c r="U861" i="35"/>
  <c r="U864" i="35"/>
  <c r="U923" i="35"/>
  <c r="U754" i="35"/>
  <c r="U735" i="35"/>
  <c r="U1069" i="35"/>
  <c r="U758" i="35"/>
  <c r="U1032" i="35"/>
  <c r="U1054" i="35"/>
  <c r="U1023" i="35"/>
  <c r="U1015" i="35"/>
  <c r="U1004" i="35"/>
  <c r="U422" i="35"/>
  <c r="R991" i="35"/>
  <c r="S991" i="35" s="1"/>
  <c r="T991" i="35"/>
  <c r="U991" i="35" s="1"/>
  <c r="R800" i="35"/>
  <c r="S800" i="35" s="1"/>
  <c r="T800" i="35"/>
  <c r="U800" i="35" s="1"/>
  <c r="R883" i="35"/>
  <c r="T883" i="35"/>
  <c r="U883" i="35" s="1"/>
  <c r="R977" i="35"/>
  <c r="S977" i="35" s="1"/>
  <c r="T977" i="35"/>
  <c r="U977" i="35" s="1"/>
  <c r="R836" i="35"/>
  <c r="S836" i="35" s="1"/>
  <c r="T836" i="35"/>
  <c r="U836" i="35" s="1"/>
  <c r="R908" i="35"/>
  <c r="S908" i="35" s="1"/>
  <c r="T908" i="35"/>
  <c r="U908" i="35" s="1"/>
  <c r="R760" i="35"/>
  <c r="S760" i="35" s="1"/>
  <c r="T760" i="35"/>
  <c r="U760" i="35" s="1"/>
  <c r="R1009" i="35"/>
  <c r="S1009" i="35" s="1"/>
  <c r="T1009" i="35"/>
  <c r="U1009" i="35" s="1"/>
  <c r="R1058" i="35"/>
  <c r="T1058" i="35"/>
  <c r="U1058" i="35" s="1"/>
  <c r="R1051" i="35"/>
  <c r="S1051" i="35" s="1"/>
  <c r="T1051" i="35"/>
  <c r="U1051" i="35" s="1"/>
  <c r="R1047" i="35"/>
  <c r="S1047" i="35" s="1"/>
  <c r="T1047" i="35"/>
  <c r="U1047" i="35" s="1"/>
  <c r="R1014" i="35"/>
  <c r="S1014" i="35" s="1"/>
  <c r="T1014" i="35"/>
  <c r="U1014" i="35" s="1"/>
  <c r="U778" i="35"/>
  <c r="U881" i="35"/>
  <c r="U645" i="35"/>
  <c r="U979" i="35"/>
  <c r="U827" i="35"/>
  <c r="U886" i="35"/>
  <c r="U961" i="35"/>
  <c r="U910" i="35"/>
  <c r="U873" i="35"/>
  <c r="U863" i="35"/>
  <c r="U783" i="35"/>
  <c r="U905" i="35"/>
  <c r="U971" i="35"/>
  <c r="U412" i="35"/>
  <c r="U1065" i="35"/>
  <c r="U1031" i="35"/>
  <c r="U1053" i="35"/>
  <c r="U1017" i="35"/>
  <c r="U902" i="35"/>
  <c r="U965" i="35"/>
  <c r="U1036" i="35"/>
  <c r="R1046" i="35"/>
  <c r="S1046" i="35" s="1"/>
  <c r="T1046" i="35"/>
  <c r="U1046" i="35" s="1"/>
  <c r="U963" i="35"/>
  <c r="U844" i="35"/>
  <c r="U1022" i="35"/>
  <c r="U803" i="35"/>
  <c r="U1018" i="35"/>
  <c r="U969" i="35"/>
  <c r="U972" i="35"/>
  <c r="U737" i="35"/>
  <c r="U867" i="35"/>
  <c r="U926" i="35"/>
  <c r="U862" i="35"/>
  <c r="U993" i="35"/>
  <c r="U734" i="35"/>
  <c r="U791" i="35"/>
  <c r="U1064" i="35"/>
  <c r="U1059" i="35"/>
  <c r="U1052" i="35"/>
  <c r="U1005" i="35"/>
  <c r="U1043" i="35"/>
  <c r="U1037" i="35"/>
  <c r="U1035" i="35"/>
  <c r="U777" i="35"/>
  <c r="U960" i="35"/>
  <c r="U932" i="35"/>
  <c r="U780" i="35"/>
  <c r="U790" i="35"/>
  <c r="U874" i="35"/>
  <c r="U975" i="35"/>
  <c r="U974" i="35"/>
  <c r="U795" i="35"/>
  <c r="U788" i="35"/>
  <c r="U920" i="35"/>
  <c r="U805" i="35"/>
  <c r="U887" i="35"/>
  <c r="U912" i="35"/>
  <c r="U1033" i="35"/>
  <c r="U1007" i="35"/>
  <c r="U1008" i="35"/>
  <c r="U765" i="35"/>
  <c r="U1042" i="35"/>
  <c r="U898" i="35"/>
  <c r="U895" i="35"/>
  <c r="X573" i="35"/>
  <c r="Y573" i="35" s="1"/>
  <c r="T573" i="35"/>
  <c r="U573" i="35" s="1"/>
  <c r="U872" i="35"/>
  <c r="U877" i="35"/>
  <c r="U919" i="35"/>
  <c r="U835" i="35"/>
  <c r="U916" i="35"/>
  <c r="U990" i="35"/>
  <c r="U891" i="35"/>
  <c r="U796" i="35"/>
  <c r="U866" i="35"/>
  <c r="U994" i="35"/>
  <c r="U966" i="35"/>
  <c r="U740" i="35"/>
  <c r="U121" i="35"/>
  <c r="U786" i="35"/>
  <c r="U1063" i="35"/>
  <c r="U1030" i="35"/>
  <c r="U1027" i="35"/>
  <c r="U1048" i="35"/>
  <c r="U1041" i="35"/>
  <c r="U1002" i="35"/>
  <c r="U894" i="35"/>
  <c r="U989" i="35"/>
  <c r="U976" i="35"/>
  <c r="U897" i="35"/>
  <c r="U890" i="35"/>
  <c r="U933" i="35"/>
  <c r="U930" i="35"/>
  <c r="U917" i="35"/>
  <c r="U915" i="35"/>
  <c r="U988" i="35"/>
  <c r="U935" i="35"/>
  <c r="U859" i="35"/>
  <c r="U958" i="35"/>
  <c r="U882" i="35"/>
  <c r="U757" i="35"/>
  <c r="U739" i="35"/>
  <c r="U736" i="35"/>
  <c r="U767" i="35"/>
  <c r="U1062" i="35"/>
  <c r="U1057" i="35"/>
  <c r="U1050" i="35"/>
  <c r="U1011" i="35"/>
  <c r="U763" i="35"/>
  <c r="U878" i="35"/>
  <c r="U922" i="35"/>
  <c r="U801" i="35"/>
  <c r="U857" i="35"/>
  <c r="U787" i="35"/>
  <c r="U785" i="35"/>
  <c r="U967" i="35"/>
  <c r="U733" i="35"/>
  <c r="U1067" i="35"/>
  <c r="U782" i="35"/>
  <c r="U1029" i="35"/>
  <c r="U1026" i="35"/>
  <c r="U1045" i="35"/>
  <c r="U854" i="35"/>
  <c r="U1003" i="35"/>
  <c r="U968" i="35"/>
  <c r="U985" i="35"/>
  <c r="U970" i="35"/>
  <c r="U840" i="35"/>
  <c r="U869" i="35"/>
  <c r="U799" i="35"/>
  <c r="U728" i="35"/>
  <c r="U793" i="35"/>
  <c r="U410" i="35"/>
  <c r="U1061" i="35"/>
  <c r="U1056" i="35"/>
  <c r="U1025" i="35"/>
  <c r="U738" i="35"/>
  <c r="U1010" i="35"/>
  <c r="U762" i="35"/>
  <c r="U871" i="35"/>
  <c r="U858" i="35"/>
  <c r="U804" i="35"/>
  <c r="U995" i="35"/>
  <c r="U789" i="35"/>
  <c r="U914" i="35"/>
  <c r="U755" i="35"/>
  <c r="U984" i="35"/>
  <c r="U794" i="35"/>
  <c r="U924" i="35"/>
  <c r="U978" i="35"/>
  <c r="U907" i="35"/>
  <c r="U1013" i="35"/>
  <c r="U759" i="35"/>
  <c r="U1060" i="35"/>
  <c r="U1028" i="35"/>
  <c r="U1049" i="35"/>
  <c r="U1016" i="35"/>
  <c r="U1040" i="35"/>
  <c r="U761" i="35"/>
  <c r="R857" i="35"/>
  <c r="S857" i="35" s="1"/>
  <c r="R787" i="35"/>
  <c r="S787" i="35" s="1"/>
  <c r="R785" i="35"/>
  <c r="S785" i="35" s="1"/>
  <c r="R967" i="35"/>
  <c r="S967" i="35" s="1"/>
  <c r="R733" i="35"/>
  <c r="S733" i="35" s="1"/>
  <c r="R1067" i="35"/>
  <c r="S1067" i="35" s="1"/>
  <c r="R782" i="35"/>
  <c r="S782" i="35" s="1"/>
  <c r="R1029" i="35"/>
  <c r="S1029" i="35" s="1"/>
  <c r="R1026" i="35"/>
  <c r="S1026" i="35" s="1"/>
  <c r="R1045" i="35"/>
  <c r="S1045" i="35" s="1"/>
  <c r="R854" i="35"/>
  <c r="S854" i="35" s="1"/>
  <c r="R1003" i="35"/>
  <c r="S1003" i="35" s="1"/>
  <c r="X645" i="35"/>
  <c r="Y645" i="35" s="1"/>
  <c r="R897" i="35"/>
  <c r="S897" i="35" s="1"/>
  <c r="R410" i="35"/>
  <c r="S410" i="35" s="1"/>
  <c r="R860" i="35"/>
  <c r="S860" i="35" s="1"/>
  <c r="R868" i="35"/>
  <c r="S868" i="35" s="1"/>
  <c r="R906" i="35"/>
  <c r="S906" i="35" s="1"/>
  <c r="R1066" i="35"/>
  <c r="S1066" i="35" s="1"/>
  <c r="S883" i="35"/>
  <c r="S1058" i="35"/>
  <c r="R1012" i="35"/>
  <c r="S1012" i="35" s="1"/>
  <c r="R764" i="35"/>
  <c r="S764" i="35" s="1"/>
  <c r="R1044" i="35"/>
  <c r="S1044" i="35" s="1"/>
  <c r="R957" i="35"/>
  <c r="S957" i="35" s="1"/>
  <c r="R781" i="35"/>
  <c r="S781" i="35" s="1"/>
  <c r="R835" i="35"/>
  <c r="S835" i="35" s="1"/>
  <c r="R1038" i="35"/>
  <c r="S1038" i="35" s="1"/>
  <c r="R956" i="35"/>
  <c r="S956" i="35" s="1"/>
  <c r="R724" i="35"/>
  <c r="S724" i="35" s="1"/>
  <c r="R921" i="35"/>
  <c r="S921" i="35" s="1"/>
  <c r="R871" i="35"/>
  <c r="S871" i="35" s="1"/>
  <c r="R970" i="35"/>
  <c r="S970" i="35" s="1"/>
  <c r="R738" i="35"/>
  <c r="S738" i="35" s="1"/>
  <c r="R828" i="35"/>
  <c r="S828" i="35" s="1"/>
  <c r="R880" i="35"/>
  <c r="S880" i="35" s="1"/>
  <c r="R1024" i="35"/>
  <c r="S1024" i="35" s="1"/>
  <c r="R915" i="35"/>
  <c r="S915" i="35" s="1"/>
  <c r="R728" i="35"/>
  <c r="S728" i="35" s="1"/>
  <c r="R767" i="35"/>
  <c r="S767" i="35" s="1"/>
  <c r="R762" i="35"/>
  <c r="S762" i="35" s="1"/>
  <c r="R801" i="35"/>
  <c r="S801" i="35" s="1"/>
  <c r="R799" i="35"/>
  <c r="S799" i="35" s="1"/>
  <c r="R1006" i="35"/>
  <c r="S1006" i="35" s="1"/>
  <c r="R896" i="35"/>
  <c r="S896" i="35" s="1"/>
  <c r="R778" i="35"/>
  <c r="S778" i="35" s="1"/>
  <c r="R979" i="35"/>
  <c r="S979" i="35" s="1"/>
  <c r="R879" i="35"/>
  <c r="S879" i="35" s="1"/>
  <c r="R892" i="35"/>
  <c r="S892" i="35" s="1"/>
  <c r="R929" i="35"/>
  <c r="S929" i="35" s="1"/>
  <c r="R968" i="35"/>
  <c r="S968" i="35" s="1"/>
  <c r="R775" i="35"/>
  <c r="S775" i="35" s="1"/>
  <c r="R996" i="35"/>
  <c r="S996" i="35" s="1"/>
  <c r="R913" i="35"/>
  <c r="S913" i="35" s="1"/>
  <c r="R756" i="35"/>
  <c r="S756" i="35" s="1"/>
  <c r="R1039" i="35"/>
  <c r="S1039" i="35" s="1"/>
  <c r="R958" i="35"/>
  <c r="S958" i="35" s="1"/>
  <c r="R988" i="35"/>
  <c r="S988" i="35" s="1"/>
  <c r="R573" i="35"/>
  <c r="S573" i="35" s="1"/>
  <c r="R1061" i="35"/>
  <c r="S1061" i="35" s="1"/>
  <c r="R840" i="35"/>
  <c r="S840" i="35" s="1"/>
  <c r="R736" i="35"/>
  <c r="S736" i="35" s="1"/>
  <c r="R987" i="35"/>
  <c r="S987" i="35" s="1"/>
  <c r="R793" i="35"/>
  <c r="S793" i="35" s="1"/>
  <c r="R928" i="35"/>
  <c r="S928" i="35" s="1"/>
  <c r="R985" i="35"/>
  <c r="S985" i="35" s="1"/>
  <c r="R869" i="35"/>
  <c r="S869" i="35" s="1"/>
  <c r="R792" i="35"/>
  <c r="S792" i="35" s="1"/>
  <c r="R1055" i="35"/>
  <c r="S1055" i="35" s="1"/>
  <c r="R763" i="35"/>
  <c r="S763" i="35" s="1"/>
  <c r="R846" i="35"/>
  <c r="S846" i="35" s="1"/>
  <c r="R855" i="35"/>
  <c r="S855" i="35" s="1"/>
  <c r="R918" i="35"/>
  <c r="S918" i="35" s="1"/>
  <c r="R995" i="35"/>
  <c r="S995" i="35" s="1"/>
  <c r="R789" i="35"/>
  <c r="S789" i="35" s="1"/>
  <c r="R878" i="35"/>
  <c r="S878" i="35" s="1"/>
  <c r="R865" i="35"/>
  <c r="S865" i="35" s="1"/>
  <c r="R1010" i="35"/>
  <c r="S1010" i="35" s="1"/>
  <c r="R1056" i="35"/>
  <c r="S1056" i="35" s="1"/>
  <c r="R858" i="35"/>
  <c r="S858" i="35" s="1"/>
  <c r="R804" i="35"/>
  <c r="S804" i="35" s="1"/>
  <c r="R798" i="35"/>
  <c r="S798" i="35" s="1"/>
  <c r="R927" i="35"/>
  <c r="S927" i="35" s="1"/>
  <c r="R1068" i="35"/>
  <c r="S1068" i="35" s="1"/>
  <c r="R1025" i="35"/>
  <c r="S1025" i="35" s="1"/>
  <c r="R888" i="35"/>
  <c r="S888" i="35" s="1"/>
  <c r="R980" i="35"/>
  <c r="S980" i="35" s="1"/>
  <c r="R843" i="35"/>
  <c r="S843" i="35" s="1"/>
  <c r="R1019" i="35"/>
  <c r="S1019" i="35" s="1"/>
  <c r="R876" i="35"/>
  <c r="S876" i="35" s="1"/>
  <c r="R935" i="35"/>
  <c r="S935" i="35" s="1"/>
  <c r="R1011" i="35"/>
  <c r="S1011" i="35" s="1"/>
  <c r="R922" i="35"/>
  <c r="S922" i="35" s="1"/>
  <c r="R739" i="35"/>
  <c r="S739" i="35" s="1"/>
  <c r="R982" i="35"/>
  <c r="S982" i="35" s="1"/>
  <c r="R803" i="35"/>
  <c r="S803" i="35" s="1"/>
  <c r="R917" i="35"/>
  <c r="S917" i="35" s="1"/>
  <c r="R1050" i="35"/>
  <c r="S1050" i="35" s="1"/>
  <c r="R882" i="35"/>
  <c r="S882" i="35" s="1"/>
  <c r="R1034" i="35"/>
  <c r="S1034" i="35" s="1"/>
  <c r="R1036" i="35"/>
  <c r="S1036" i="35" s="1"/>
  <c r="R890" i="35"/>
  <c r="S890" i="35" s="1"/>
  <c r="R992" i="35"/>
  <c r="S992" i="35" s="1"/>
  <c r="R1062" i="35"/>
  <c r="S1062" i="35" s="1"/>
  <c r="R859" i="35"/>
  <c r="S859" i="35" s="1"/>
  <c r="R802" i="35"/>
  <c r="S802" i="35" s="1"/>
  <c r="R965" i="35"/>
  <c r="S965" i="35" s="1"/>
  <c r="R889" i="35"/>
  <c r="S889" i="35" s="1"/>
  <c r="R766" i="35"/>
  <c r="S766" i="35" s="1"/>
  <c r="R1021" i="35"/>
  <c r="S1021" i="35" s="1"/>
  <c r="R964" i="35"/>
  <c r="S964" i="35" s="1"/>
  <c r="R757" i="35"/>
  <c r="S757" i="35" s="1"/>
  <c r="R983" i="35"/>
  <c r="S983" i="35" s="1"/>
  <c r="R1057" i="35"/>
  <c r="S1057" i="35" s="1"/>
  <c r="R825" i="35"/>
  <c r="S825" i="35" s="1"/>
  <c r="R931" i="35"/>
  <c r="S931" i="35" s="1"/>
  <c r="R1020" i="35"/>
  <c r="S1020" i="35" s="1"/>
  <c r="R981" i="35"/>
  <c r="S981" i="35" s="1"/>
  <c r="R797" i="35"/>
  <c r="S797" i="35" s="1"/>
  <c r="R1023" i="35"/>
  <c r="S1023" i="35" s="1"/>
  <c r="R863" i="35"/>
  <c r="S863" i="35" s="1"/>
  <c r="R412" i="35"/>
  <c r="S412" i="35" s="1"/>
  <c r="R1017" i="35"/>
  <c r="S1017" i="35" s="1"/>
  <c r="R791" i="35"/>
  <c r="S791" i="35" s="1"/>
  <c r="R779" i="35"/>
  <c r="S779" i="35" s="1"/>
  <c r="R920" i="35"/>
  <c r="S920" i="35" s="1"/>
  <c r="R1008" i="35"/>
  <c r="S1008" i="35" s="1"/>
  <c r="R930" i="35"/>
  <c r="S930" i="35" s="1"/>
  <c r="R796" i="35"/>
  <c r="S796" i="35" s="1"/>
  <c r="R966" i="35"/>
  <c r="S966" i="35" s="1"/>
  <c r="R121" i="35"/>
  <c r="S121" i="35" s="1"/>
  <c r="R786" i="35"/>
  <c r="S786" i="35" s="1"/>
  <c r="R1063" i="35"/>
  <c r="S1063" i="35" s="1"/>
  <c r="R1030" i="35"/>
  <c r="S1030" i="35" s="1"/>
  <c r="R1027" i="35"/>
  <c r="S1027" i="35" s="1"/>
  <c r="R1048" i="35"/>
  <c r="S1048" i="35" s="1"/>
  <c r="R1041" i="35"/>
  <c r="S1041" i="35" s="1"/>
  <c r="R1002" i="35"/>
  <c r="S1002" i="35" s="1"/>
  <c r="R894" i="35"/>
  <c r="S894" i="35" s="1"/>
  <c r="R864" i="35"/>
  <c r="S864" i="35" s="1"/>
  <c r="R1069" i="35"/>
  <c r="S1069" i="35" s="1"/>
  <c r="R1004" i="35"/>
  <c r="S1004" i="35" s="1"/>
  <c r="R910" i="35"/>
  <c r="S910" i="35" s="1"/>
  <c r="R905" i="35"/>
  <c r="S905" i="35" s="1"/>
  <c r="R1065" i="35"/>
  <c r="S1065" i="35" s="1"/>
  <c r="R1053" i="35"/>
  <c r="S1053" i="35" s="1"/>
  <c r="R919" i="35"/>
  <c r="S919" i="35" s="1"/>
  <c r="R867" i="35"/>
  <c r="S867" i="35" s="1"/>
  <c r="R734" i="35"/>
  <c r="S734" i="35" s="1"/>
  <c r="R1059" i="35"/>
  <c r="S1059" i="35" s="1"/>
  <c r="R1035" i="35"/>
  <c r="S1035" i="35" s="1"/>
  <c r="R975" i="35"/>
  <c r="S975" i="35" s="1"/>
  <c r="R1007" i="35"/>
  <c r="S1007" i="35" s="1"/>
  <c r="R844" i="35"/>
  <c r="S844" i="35" s="1"/>
  <c r="R874" i="35"/>
  <c r="S874" i="35" s="1"/>
  <c r="R866" i="35"/>
  <c r="S866" i="35" s="1"/>
  <c r="R740" i="35"/>
  <c r="S740" i="35" s="1"/>
  <c r="R877" i="35"/>
  <c r="S877" i="35" s="1"/>
  <c r="R989" i="35"/>
  <c r="S989" i="35" s="1"/>
  <c r="R976" i="35"/>
  <c r="S976" i="35" s="1"/>
  <c r="R777" i="35"/>
  <c r="S777" i="35" s="1"/>
  <c r="R960" i="35"/>
  <c r="S960" i="35" s="1"/>
  <c r="R932" i="35"/>
  <c r="S932" i="35" s="1"/>
  <c r="R780" i="35"/>
  <c r="S780" i="35" s="1"/>
  <c r="R1018" i="35"/>
  <c r="S1018" i="35" s="1"/>
  <c r="R969" i="35"/>
  <c r="S969" i="35" s="1"/>
  <c r="R645" i="35"/>
  <c r="S645" i="35" s="1"/>
  <c r="R861" i="35"/>
  <c r="S861" i="35" s="1"/>
  <c r="R735" i="35"/>
  <c r="S735" i="35" s="1"/>
  <c r="R1015" i="35"/>
  <c r="S1015" i="35" s="1"/>
  <c r="R873" i="35"/>
  <c r="S873" i="35" s="1"/>
  <c r="R1031" i="35"/>
  <c r="S1031" i="35" s="1"/>
  <c r="R862" i="35"/>
  <c r="S862" i="35" s="1"/>
  <c r="R1064" i="35"/>
  <c r="S1064" i="35" s="1"/>
  <c r="R1005" i="35"/>
  <c r="S1005" i="35" s="1"/>
  <c r="R881" i="35"/>
  <c r="S881" i="35" s="1"/>
  <c r="R795" i="35"/>
  <c r="S795" i="35" s="1"/>
  <c r="R898" i="35"/>
  <c r="S898" i="35" s="1"/>
  <c r="R891" i="35"/>
  <c r="S891" i="35" s="1"/>
  <c r="R994" i="35"/>
  <c r="S994" i="35" s="1"/>
  <c r="R934" i="35"/>
  <c r="S934" i="35" s="1"/>
  <c r="R911" i="35"/>
  <c r="S911" i="35" s="1"/>
  <c r="R754" i="35"/>
  <c r="S754" i="35" s="1"/>
  <c r="R1054" i="35"/>
  <c r="S1054" i="35" s="1"/>
  <c r="R1022" i="35"/>
  <c r="S1022" i="35" s="1"/>
  <c r="R972" i="35"/>
  <c r="S972" i="35" s="1"/>
  <c r="R993" i="35"/>
  <c r="S993" i="35" s="1"/>
  <c r="R1052" i="35"/>
  <c r="S1052" i="35" s="1"/>
  <c r="R788" i="35"/>
  <c r="S788" i="35" s="1"/>
  <c r="R912" i="35"/>
  <c r="S912" i="35" s="1"/>
  <c r="R1042" i="35"/>
  <c r="S1042" i="35" s="1"/>
  <c r="R963" i="35"/>
  <c r="S963" i="35" s="1"/>
  <c r="R827" i="35"/>
  <c r="S827" i="35" s="1"/>
  <c r="R990" i="35"/>
  <c r="S990" i="35" s="1"/>
  <c r="R758" i="35"/>
  <c r="S758" i="35" s="1"/>
  <c r="R783" i="35"/>
  <c r="S783" i="35" s="1"/>
  <c r="R737" i="35"/>
  <c r="S737" i="35" s="1"/>
  <c r="R1043" i="35"/>
  <c r="S1043" i="35" s="1"/>
  <c r="R886" i="35"/>
  <c r="S886" i="35" s="1"/>
  <c r="R974" i="35"/>
  <c r="S974" i="35" s="1"/>
  <c r="R805" i="35"/>
  <c r="S805" i="35" s="1"/>
  <c r="R1033" i="35"/>
  <c r="S1033" i="35" s="1"/>
  <c r="R765" i="35"/>
  <c r="S765" i="35" s="1"/>
  <c r="R895" i="35"/>
  <c r="S895" i="35" s="1"/>
  <c r="R872" i="35"/>
  <c r="S872" i="35" s="1"/>
  <c r="R790" i="35"/>
  <c r="S790" i="35" s="1"/>
  <c r="R986" i="35"/>
  <c r="S986" i="35" s="1"/>
  <c r="R923" i="35"/>
  <c r="S923" i="35" s="1"/>
  <c r="R1032" i="35"/>
  <c r="S1032" i="35" s="1"/>
  <c r="R422" i="35"/>
  <c r="S422" i="35" s="1"/>
  <c r="R961" i="35"/>
  <c r="S961" i="35" s="1"/>
  <c r="R971" i="35"/>
  <c r="S971" i="35" s="1"/>
  <c r="R902" i="35"/>
  <c r="S902" i="35" s="1"/>
  <c r="R926" i="35"/>
  <c r="S926" i="35" s="1"/>
  <c r="R1037" i="35"/>
  <c r="S1037" i="35" s="1"/>
  <c r="R887" i="35"/>
  <c r="S887" i="35" s="1"/>
  <c r="R933" i="35"/>
  <c r="S933" i="35" s="1"/>
  <c r="R776" i="35"/>
  <c r="S776" i="35" s="1"/>
  <c r="R916" i="35"/>
  <c r="S916" i="35" s="1"/>
  <c r="R914" i="35"/>
  <c r="S914" i="35" s="1"/>
  <c r="R755" i="35"/>
  <c r="S755" i="35" s="1"/>
  <c r="R984" i="35"/>
  <c r="S984" i="35" s="1"/>
  <c r="R794" i="35"/>
  <c r="S794" i="35" s="1"/>
  <c r="R924" i="35"/>
  <c r="S924" i="35" s="1"/>
  <c r="R978" i="35"/>
  <c r="S978" i="35" s="1"/>
  <c r="R907" i="35"/>
  <c r="S907" i="35" s="1"/>
  <c r="R1013" i="35"/>
  <c r="S1013" i="35" s="1"/>
  <c r="R759" i="35"/>
  <c r="S759" i="35" s="1"/>
  <c r="R1060" i="35"/>
  <c r="S1060" i="35" s="1"/>
  <c r="R1028" i="35"/>
  <c r="S1028" i="35" s="1"/>
  <c r="R1049" i="35"/>
  <c r="S1049" i="35" s="1"/>
  <c r="R1016" i="35"/>
  <c r="S1016" i="35" s="1"/>
  <c r="R1040" i="35"/>
  <c r="S1040" i="35" s="1"/>
  <c r="R761" i="35"/>
  <c r="S761" i="35" s="1"/>
  <c r="K628" i="45" l="1"/>
  <c r="M665" i="45"/>
  <c r="M672" i="45"/>
  <c r="M967" i="45"/>
  <c r="M872" i="45"/>
  <c r="M787" i="45"/>
  <c r="M311" i="45"/>
  <c r="M353" i="45"/>
  <c r="M287" i="45"/>
  <c r="M759" i="45"/>
  <c r="M279" i="45"/>
  <c r="M301" i="45"/>
  <c r="M322" i="45"/>
  <c r="M347" i="45"/>
  <c r="M318" i="45"/>
  <c r="M328" i="45"/>
  <c r="M337" i="45"/>
  <c r="M356" i="45"/>
  <c r="M372" i="45"/>
  <c r="M323" i="45"/>
  <c r="M276" i="45"/>
  <c r="M327" i="45"/>
  <c r="M345" i="45"/>
  <c r="M740" i="45"/>
  <c r="M712" i="45"/>
  <c r="M711" i="45"/>
  <c r="M749" i="45"/>
  <c r="M631" i="45"/>
  <c r="M663" i="45"/>
  <c r="M863" i="45"/>
  <c r="M930" i="45"/>
  <c r="M924" i="45"/>
  <c r="M845" i="45"/>
  <c r="M959" i="45"/>
  <c r="M926" i="45"/>
  <c r="M651" i="45"/>
  <c r="M777" i="45"/>
  <c r="M812" i="45"/>
  <c r="M708" i="45"/>
  <c r="M229" i="45"/>
  <c r="M234" i="45"/>
  <c r="M730" i="45"/>
  <c r="M906" i="45"/>
  <c r="M210" i="45"/>
  <c r="M228" i="45"/>
  <c r="M68" i="45"/>
  <c r="M215" i="45"/>
  <c r="M130" i="45"/>
  <c r="M154" i="45"/>
  <c r="M211" i="45"/>
  <c r="M140" i="45"/>
  <c r="M689" i="45"/>
  <c r="M880" i="45"/>
  <c r="M782" i="45"/>
  <c r="M678" i="45"/>
  <c r="M599" i="45"/>
  <c r="M1061" i="45"/>
  <c r="M819" i="45"/>
  <c r="M176" i="45"/>
  <c r="M155" i="45"/>
  <c r="M164" i="45"/>
  <c r="M191" i="45"/>
  <c r="M728" i="45"/>
  <c r="M245" i="45"/>
  <c r="M713" i="45"/>
  <c r="M101" i="45"/>
  <c r="M1012" i="45"/>
  <c r="M11" i="45"/>
  <c r="M789" i="45"/>
  <c r="M237" i="45"/>
  <c r="M374" i="45"/>
  <c r="M310" i="45"/>
  <c r="M373" i="45"/>
  <c r="M925" i="45"/>
  <c r="M334" i="45"/>
  <c r="M344" i="45"/>
  <c r="M960" i="45"/>
  <c r="M866" i="45"/>
  <c r="M949" i="45"/>
  <c r="M115" i="45"/>
  <c r="M362" i="45"/>
  <c r="M624" i="45"/>
  <c r="M855" i="45"/>
  <c r="M868" i="45"/>
  <c r="M103" i="45"/>
  <c r="M824" i="45"/>
  <c r="M858" i="45"/>
  <c r="M902" i="45"/>
  <c r="M974" i="45"/>
  <c r="M836" i="45"/>
  <c r="M955" i="45"/>
  <c r="M721" i="45"/>
  <c r="M779" i="45"/>
  <c r="M916" i="45"/>
  <c r="M1033" i="45"/>
  <c r="M7" i="45"/>
  <c r="M964" i="45"/>
  <c r="M748" i="45"/>
  <c r="M769" i="45"/>
  <c r="M814" i="45"/>
  <c r="M1018" i="45"/>
  <c r="M622" i="45"/>
  <c r="M156" i="45"/>
  <c r="M192" i="45"/>
  <c r="M312" i="45"/>
  <c r="M842" i="45"/>
  <c r="M915" i="45"/>
  <c r="M826" i="45"/>
  <c r="M654" i="45"/>
  <c r="M832" i="45"/>
  <c r="M831" i="45"/>
  <c r="M805" i="45"/>
  <c r="M131" i="45"/>
  <c r="M990" i="45"/>
  <c r="M661" i="45"/>
  <c r="M676" i="45"/>
  <c r="M88" i="45"/>
  <c r="M74" i="45"/>
  <c r="M75" i="45"/>
  <c r="M822" i="45"/>
  <c r="M677" i="45"/>
  <c r="M817" i="45"/>
  <c r="M733" i="45"/>
  <c r="M945" i="45"/>
  <c r="M750" i="45"/>
  <c r="M1027" i="45"/>
  <c r="M1035" i="45"/>
  <c r="M706" i="45"/>
  <c r="M994" i="45"/>
  <c r="M148" i="45"/>
  <c r="M200" i="45"/>
  <c r="M141" i="45"/>
  <c r="M1016" i="45"/>
  <c r="M102" i="45"/>
  <c r="M1000" i="45"/>
  <c r="M120" i="45"/>
  <c r="M300" i="45"/>
  <c r="M1008" i="45"/>
  <c r="M948" i="45"/>
  <c r="M289" i="45"/>
  <c r="M302" i="45"/>
  <c r="M286" i="45"/>
  <c r="M909" i="45"/>
  <c r="M307" i="45"/>
  <c r="M716" i="45"/>
  <c r="M124" i="45"/>
  <c r="M133" i="45"/>
  <c r="M119" i="45"/>
  <c r="M117" i="45"/>
  <c r="M920" i="45"/>
  <c r="M766" i="45"/>
  <c r="M983" i="45"/>
  <c r="M1003" i="45"/>
  <c r="M1064" i="45"/>
  <c r="M727" i="45"/>
  <c r="M10" i="45"/>
  <c r="M793" i="45"/>
  <c r="M735" i="45"/>
  <c r="M1053" i="45"/>
  <c r="M921" i="45"/>
  <c r="M635" i="45"/>
  <c r="M627" i="45"/>
  <c r="M666" i="45"/>
  <c r="M1041" i="45"/>
  <c r="M934" i="45"/>
  <c r="M802" i="45"/>
  <c r="M688" i="45"/>
  <c r="M590" i="45"/>
  <c r="M886" i="45"/>
  <c r="M618" i="45"/>
  <c r="M823" i="45"/>
  <c r="M867" i="45"/>
  <c r="M806" i="45"/>
  <c r="M885" i="45"/>
  <c r="M764" i="45"/>
  <c r="M797" i="45"/>
  <c r="M895" i="45"/>
  <c r="M737" i="45"/>
  <c r="M658" i="45"/>
  <c r="M894" i="45"/>
  <c r="M875" i="45"/>
  <c r="M700" i="45"/>
  <c r="M4" i="45"/>
  <c r="M780" i="45"/>
  <c r="M611" i="45"/>
  <c r="M809" i="45"/>
  <c r="M790" i="45"/>
  <c r="M821" i="45"/>
  <c r="M1058" i="45"/>
  <c r="M772" i="45"/>
  <c r="M742" i="45"/>
  <c r="M978" i="45"/>
  <c r="M944" i="45"/>
  <c r="M705" i="45"/>
  <c r="M968" i="45"/>
  <c r="M607" i="45"/>
  <c r="M659" i="45"/>
  <c r="M800" i="45"/>
  <c r="M629" i="45"/>
  <c r="M655" i="45"/>
  <c r="M673" i="45"/>
  <c r="M696" i="45"/>
  <c r="M850" i="45"/>
  <c r="M699" i="45"/>
  <c r="M816" i="45"/>
  <c r="M883" i="45"/>
  <c r="M605" i="45"/>
  <c r="M714" i="45"/>
  <c r="M881" i="45"/>
  <c r="M632" i="45"/>
  <c r="M729" i="45"/>
  <c r="M941" i="45"/>
  <c r="M596" i="45"/>
  <c r="M981" i="45"/>
  <c r="M957" i="45"/>
  <c r="M773" i="45"/>
  <c r="M931" i="45"/>
  <c r="M905" i="45"/>
  <c r="M901" i="45"/>
  <c r="M584" i="45"/>
  <c r="M903" i="45"/>
  <c r="M732" i="45"/>
  <c r="M1013" i="45"/>
  <c r="M771" i="45"/>
  <c r="M784" i="45"/>
  <c r="M697" i="45"/>
  <c r="M751" i="45"/>
  <c r="M606" i="45"/>
  <c r="M989" i="45"/>
  <c r="M913" i="45"/>
  <c r="M765" i="45"/>
  <c r="M873" i="45"/>
  <c r="M670" i="45"/>
  <c r="M1056" i="45"/>
  <c r="M717" i="45"/>
  <c r="M853" i="45"/>
  <c r="M657" i="45"/>
  <c r="M1006" i="45"/>
  <c r="M648" i="45"/>
  <c r="M756" i="45"/>
  <c r="M1055" i="45"/>
  <c r="M922" i="45"/>
  <c r="M640" i="45"/>
  <c r="M846" i="45"/>
  <c r="M953" i="45"/>
  <c r="M617" i="45"/>
  <c r="M1009" i="45"/>
  <c r="M725" i="45"/>
  <c r="M1025" i="45"/>
  <c r="M698" i="45"/>
  <c r="M675" i="45"/>
  <c r="M865" i="45"/>
  <c r="M996" i="45"/>
  <c r="M870" i="45"/>
  <c r="M927" i="45"/>
  <c r="M753" i="45"/>
  <c r="M722" i="45"/>
  <c r="M643" i="45"/>
  <c r="M691" i="45"/>
  <c r="M788" i="45"/>
  <c r="M621" i="45"/>
  <c r="M1046" i="45"/>
  <c r="M804" i="45"/>
  <c r="M669" i="45"/>
  <c r="M16" i="45"/>
  <c r="M15" i="45"/>
  <c r="M14" i="45"/>
  <c r="M17" i="45"/>
  <c r="M612" i="45"/>
  <c r="M18" i="45"/>
  <c r="M21" i="45"/>
  <c r="M22" i="45"/>
  <c r="M20" i="45"/>
  <c r="M29" i="45"/>
  <c r="M27" i="45"/>
  <c r="M28" i="45"/>
  <c r="M26" i="45"/>
  <c r="M33" i="45"/>
  <c r="M35" i="45"/>
  <c r="M36" i="45"/>
  <c r="M39" i="45"/>
  <c r="M38" i="45"/>
  <c r="M40" i="45"/>
  <c r="M41" i="45"/>
  <c r="M43" i="45"/>
  <c r="M49" i="45"/>
  <c r="M48" i="45"/>
  <c r="M50" i="45"/>
  <c r="M53" i="45"/>
  <c r="M56" i="45"/>
  <c r="M61" i="45"/>
  <c r="M55" i="45"/>
  <c r="M60" i="45"/>
  <c r="M57" i="45"/>
  <c r="M59" i="45"/>
  <c r="M58" i="45"/>
  <c r="M63" i="45"/>
  <c r="M66" i="45"/>
  <c r="M70" i="45"/>
  <c r="M69" i="45"/>
  <c r="M71" i="45"/>
  <c r="M72" i="45"/>
  <c r="M1040" i="45"/>
  <c r="M73" i="45"/>
  <c r="M82" i="45"/>
  <c r="M79" i="45"/>
  <c r="M80" i="45"/>
  <c r="M81" i="45"/>
  <c r="M975" i="45"/>
  <c r="M89" i="45"/>
  <c r="M954" i="45"/>
  <c r="M90" i="45"/>
  <c r="M644" i="45"/>
  <c r="M94" i="45"/>
  <c r="M96" i="45"/>
  <c r="M95" i="45"/>
  <c r="M97" i="45"/>
  <c r="M796" i="45"/>
  <c r="M100" i="45"/>
  <c r="M890" i="45"/>
  <c r="M830" i="45"/>
  <c r="M619" i="45"/>
  <c r="M113" i="45"/>
  <c r="M114" i="45"/>
  <c r="M703" i="45"/>
  <c r="M122" i="45"/>
  <c r="M121" i="45"/>
  <c r="M781" i="45"/>
  <c r="M127" i="45"/>
  <c r="M623" i="45"/>
  <c r="M132" i="45"/>
  <c r="M134" i="45"/>
  <c r="M137" i="45"/>
  <c r="M138" i="45"/>
  <c r="M139" i="45"/>
  <c r="M144" i="45"/>
  <c r="M143" i="45"/>
  <c r="M736" i="45"/>
  <c r="M160" i="45"/>
  <c r="M159" i="45"/>
  <c r="M169" i="45"/>
  <c r="M171" i="45"/>
  <c r="M172" i="45"/>
  <c r="M170" i="45"/>
  <c r="M173" i="45"/>
  <c r="M182" i="45"/>
  <c r="M181" i="45"/>
  <c r="M183" i="45"/>
  <c r="M180" i="45"/>
  <c r="M187" i="45"/>
  <c r="M188" i="45"/>
  <c r="M189" i="45"/>
  <c r="M190" i="45"/>
  <c r="M186" i="45"/>
  <c r="M199" i="45"/>
  <c r="M205" i="45"/>
  <c r="M203" i="45"/>
  <c r="M204" i="45"/>
  <c r="M208" i="45"/>
  <c r="M213" i="45"/>
  <c r="M221" i="45"/>
  <c r="M220" i="45"/>
  <c r="M19" i="45"/>
  <c r="M23" i="45"/>
  <c r="M25" i="45"/>
  <c r="M31" i="45"/>
  <c r="M32" i="45"/>
  <c r="M37" i="45"/>
  <c r="M42" i="45"/>
  <c r="M45" i="45"/>
  <c r="M44" i="45"/>
  <c r="M46" i="45"/>
  <c r="M54" i="45"/>
  <c r="M62" i="45"/>
  <c r="M67" i="45"/>
  <c r="M76" i="45"/>
  <c r="M86" i="45"/>
  <c r="M84" i="45"/>
  <c r="M85" i="45"/>
  <c r="M83" i="45"/>
  <c r="M92" i="45"/>
  <c r="M91" i="45"/>
  <c r="M109" i="45"/>
  <c r="M110" i="45"/>
  <c r="M111" i="45"/>
  <c r="M123" i="45"/>
  <c r="M128" i="45"/>
  <c r="M135" i="45"/>
  <c r="M152" i="45"/>
  <c r="M161" i="45"/>
  <c r="M162" i="45"/>
  <c r="M163" i="45"/>
  <c r="M174" i="45"/>
  <c r="M209" i="45"/>
  <c r="M218" i="45"/>
  <c r="M223" i="45"/>
  <c r="M224" i="45"/>
  <c r="M226" i="45"/>
  <c r="M13" i="45"/>
  <c r="M741" i="45"/>
  <c r="M24" i="45"/>
  <c r="M30" i="45"/>
  <c r="M34" i="45"/>
  <c r="M47" i="45"/>
  <c r="M51" i="45"/>
  <c r="M52" i="45"/>
  <c r="M64" i="45"/>
  <c r="M65" i="45"/>
  <c r="M77" i="45"/>
  <c r="M78" i="45"/>
  <c r="M87" i="45"/>
  <c r="M93" i="45"/>
  <c r="M98" i="45"/>
  <c r="M184" i="45"/>
  <c r="M982" i="45"/>
  <c r="M587" i="45"/>
  <c r="M977" i="45"/>
  <c r="M701" i="45"/>
  <c r="M586" i="45"/>
  <c r="M1037" i="45"/>
  <c r="M803" i="45"/>
  <c r="M896" i="45"/>
  <c r="M747" i="45"/>
  <c r="M585" i="45"/>
  <c r="M900" i="45"/>
  <c r="M986" i="45"/>
  <c r="M3" i="45"/>
  <c r="M891" i="45"/>
  <c r="M1020" i="45"/>
  <c r="M690" i="45"/>
  <c r="M674" i="45"/>
  <c r="M899" i="45"/>
  <c r="M854" i="45"/>
  <c r="M685" i="45"/>
  <c r="M1004" i="45"/>
  <c r="M864" i="45"/>
  <c r="M1021" i="45"/>
  <c r="M1054" i="45"/>
  <c r="M601" i="45"/>
  <c r="M795" i="45"/>
  <c r="M778" i="45"/>
  <c r="M608" i="45"/>
  <c r="M616" i="45"/>
  <c r="M827" i="45"/>
  <c r="M684" i="45"/>
  <c r="M664" i="45"/>
  <c r="M897" i="45"/>
  <c r="M718" i="45"/>
  <c r="M799" i="45"/>
  <c r="M1010" i="45"/>
  <c r="M837" i="45"/>
  <c r="M859" i="45"/>
  <c r="M785" i="45"/>
  <c r="M829" i="45"/>
  <c r="M603" i="45"/>
  <c r="M679" i="45"/>
  <c r="M656" i="45"/>
  <c r="M653" i="45"/>
  <c r="M680" i="45"/>
  <c r="M985" i="45"/>
  <c r="M625" i="45"/>
  <c r="M581" i="45"/>
  <c r="M887" i="45"/>
  <c r="M818" i="45"/>
  <c r="M1026" i="45"/>
  <c r="M129" i="45"/>
  <c r="M136" i="45"/>
  <c r="M580" i="45"/>
  <c r="M153" i="45"/>
  <c r="M175" i="45"/>
  <c r="M912" i="45"/>
  <c r="M851" i="45"/>
  <c r="M201" i="45"/>
  <c r="M588" i="45"/>
  <c r="M860" i="45"/>
  <c r="M1007" i="45"/>
  <c r="M225" i="45"/>
  <c r="M615" i="45"/>
  <c r="M861" i="45"/>
  <c r="M791" i="45"/>
  <c r="M923" i="45"/>
  <c r="M613" i="45"/>
  <c r="M1047" i="45"/>
  <c r="M825" i="45"/>
  <c r="M244" i="45"/>
  <c r="M250" i="45"/>
  <c r="M636" i="45"/>
  <c r="M972" i="45"/>
  <c r="M253" i="45"/>
  <c r="M731" i="45"/>
  <c r="M1057" i="45"/>
  <c r="M754" i="45"/>
  <c r="M813" i="45"/>
  <c r="M9" i="45"/>
  <c r="M745" i="45"/>
  <c r="M739" i="45"/>
  <c r="M595" i="45"/>
  <c r="M630" i="45"/>
  <c r="M270" i="45"/>
  <c r="M1060" i="45"/>
  <c r="M278" i="45"/>
  <c r="M1014" i="45"/>
  <c r="M976" i="45"/>
  <c r="M992" i="45"/>
  <c r="M917" i="45"/>
  <c r="M288" i="45"/>
  <c r="M294" i="45"/>
  <c r="M908" i="45"/>
  <c r="M296" i="45"/>
  <c r="M299" i="45"/>
  <c r="M298" i="45"/>
  <c r="M295" i="45"/>
  <c r="M297" i="45"/>
  <c r="M1038" i="45"/>
  <c r="M1039" i="45"/>
  <c r="M308" i="45"/>
  <c r="M309" i="45"/>
  <c r="M319" i="45"/>
  <c r="M762" i="45"/>
  <c r="M1049" i="45"/>
  <c r="M792" i="45"/>
  <c r="M907" i="45"/>
  <c r="M321" i="45"/>
  <c r="M320" i="45"/>
  <c r="M893" i="45"/>
  <c r="M839" i="45"/>
  <c r="M820" i="45"/>
  <c r="M641" i="45"/>
  <c r="M755" i="45"/>
  <c r="M338" i="45"/>
  <c r="M1030" i="45"/>
  <c r="M952" i="45"/>
  <c r="M1001" i="45"/>
  <c r="M351" i="45"/>
  <c r="M352" i="45"/>
  <c r="M357" i="45"/>
  <c r="M947" i="45"/>
  <c r="M361" i="45"/>
  <c r="M767" i="45"/>
  <c r="M365" i="45"/>
  <c r="M942" i="45"/>
  <c r="M610" i="45"/>
  <c r="M723" i="45"/>
  <c r="M807" i="45"/>
  <c r="M715" i="45"/>
  <c r="M1017" i="45"/>
  <c r="M940" i="45"/>
  <c r="M1044" i="45"/>
  <c r="M734" i="45"/>
  <c r="M99" i="45"/>
  <c r="M105" i="45"/>
  <c r="M106" i="45"/>
  <c r="M104" i="45"/>
  <c r="M107" i="45"/>
  <c r="M112" i="45"/>
  <c r="M1024" i="45"/>
  <c r="M126" i="45"/>
  <c r="M125" i="45"/>
  <c r="M958" i="45"/>
  <c r="M142" i="45"/>
  <c r="M145" i="45"/>
  <c r="M146" i="45"/>
  <c r="M147" i="45"/>
  <c r="M157" i="45"/>
  <c r="M914" i="45"/>
  <c r="M158" i="45"/>
  <c r="M165" i="45"/>
  <c r="M167" i="45"/>
  <c r="M168" i="45"/>
  <c r="M166" i="45"/>
  <c r="M177" i="45"/>
  <c r="M179" i="45"/>
  <c r="M178" i="45"/>
  <c r="M185" i="45"/>
  <c r="M198" i="45"/>
  <c r="M194" i="45"/>
  <c r="M197" i="45"/>
  <c r="M195" i="45"/>
  <c r="M196" i="45"/>
  <c r="M202" i="45"/>
  <c r="M206" i="45"/>
  <c r="M207" i="45"/>
  <c r="M212" i="45"/>
  <c r="M216" i="45"/>
  <c r="M219" i="45"/>
  <c r="M227" i="45"/>
  <c r="M230" i="45"/>
  <c r="M231" i="45"/>
  <c r="M233" i="45"/>
  <c r="M232" i="45"/>
  <c r="M238" i="45"/>
  <c r="M240" i="45"/>
  <c r="M242" i="45"/>
  <c r="M241" i="45"/>
  <c r="M247" i="45"/>
  <c r="M246" i="45"/>
  <c r="M251" i="45"/>
  <c r="M252" i="45"/>
  <c r="M856" i="45"/>
  <c r="M5" i="45"/>
  <c r="M256" i="45"/>
  <c r="M255" i="45"/>
  <c r="M260" i="45"/>
  <c r="M259" i="45"/>
  <c r="M268" i="45"/>
  <c r="M265" i="45"/>
  <c r="M267" i="45"/>
  <c r="M264" i="45"/>
  <c r="M266" i="45"/>
  <c r="M263" i="45"/>
  <c r="M272" i="45"/>
  <c r="M275" i="45"/>
  <c r="M273" i="45"/>
  <c r="M274" i="45"/>
  <c r="M284" i="45"/>
  <c r="M281" i="45"/>
  <c r="M280" i="45"/>
  <c r="M283" i="45"/>
  <c r="M285" i="45"/>
  <c r="M282" i="45"/>
  <c r="M290" i="45"/>
  <c r="M292" i="45"/>
  <c r="M291" i="45"/>
  <c r="M303" i="45"/>
  <c r="M305" i="45"/>
  <c r="M304" i="45"/>
  <c r="M306" i="45"/>
  <c r="M314" i="45"/>
  <c r="M315" i="45"/>
  <c r="M316" i="45"/>
  <c r="M313" i="45"/>
  <c r="M326" i="45"/>
  <c r="M325" i="45"/>
  <c r="M324" i="45"/>
  <c r="M331" i="45"/>
  <c r="M330" i="45"/>
  <c r="M335" i="45"/>
  <c r="M336" i="45"/>
  <c r="M339" i="45"/>
  <c r="M342" i="45"/>
  <c r="M343" i="45"/>
  <c r="M348" i="45"/>
  <c r="M349" i="45"/>
  <c r="M354" i="45"/>
  <c r="M355" i="45"/>
  <c r="M358" i="45"/>
  <c r="M363" i="45"/>
  <c r="M366" i="45"/>
  <c r="M367" i="45"/>
  <c r="M369" i="45"/>
  <c r="M376" i="45"/>
  <c r="M398" i="45"/>
  <c r="M108" i="45"/>
  <c r="M116" i="45"/>
  <c r="M118" i="45"/>
  <c r="M151" i="45"/>
  <c r="M150" i="45"/>
  <c r="M149" i="45"/>
  <c r="M193" i="45"/>
  <c r="M214" i="45"/>
  <c r="M217" i="45"/>
  <c r="M222" i="45"/>
  <c r="M236" i="45"/>
  <c r="M235" i="45"/>
  <c r="M239" i="45"/>
  <c r="M243" i="45"/>
  <c r="M248" i="45"/>
  <c r="M249" i="45"/>
  <c r="M261" i="45"/>
  <c r="M262" i="45"/>
  <c r="M269" i="45"/>
  <c r="M277" i="45"/>
  <c r="M293" i="45"/>
  <c r="M329" i="45"/>
  <c r="M341" i="45"/>
  <c r="M346" i="45"/>
  <c r="M350" i="45"/>
  <c r="M359" i="45"/>
  <c r="M360" i="45"/>
  <c r="M364" i="45"/>
  <c r="M258" i="45"/>
  <c r="M257" i="45"/>
  <c r="M332" i="45"/>
  <c r="M566" i="45"/>
  <c r="M646" i="45"/>
  <c r="M1059" i="45"/>
  <c r="M704" i="45"/>
  <c r="M991" i="45"/>
  <c r="M639" i="45"/>
  <c r="M682" i="45"/>
  <c r="M904" i="45"/>
  <c r="M8" i="45"/>
  <c r="M1015" i="45"/>
  <c r="M884" i="45"/>
  <c r="M1019" i="45"/>
  <c r="M774" i="45"/>
  <c r="M757" i="45"/>
  <c r="M1032" i="45"/>
  <c r="M848" i="45"/>
  <c r="M971" i="45"/>
  <c r="M591" i="45"/>
  <c r="M647" i="45"/>
  <c r="M929" i="45"/>
  <c r="M652" i="45"/>
  <c r="M961" i="45"/>
  <c r="M6" i="45"/>
  <c r="M758" i="45"/>
  <c r="M910" i="45"/>
  <c r="M808" i="45"/>
  <c r="M984" i="45"/>
  <c r="M962" i="45"/>
  <c r="M993" i="45"/>
  <c r="M600" i="45"/>
  <c r="M911" i="45"/>
  <c r="M843" i="45"/>
  <c r="M811" i="45"/>
  <c r="M862" i="45"/>
  <c r="M368" i="45"/>
  <c r="M378" i="45"/>
  <c r="M377" i="45"/>
  <c r="M380" i="45"/>
  <c r="M381" i="45"/>
  <c r="M395" i="45"/>
  <c r="M404" i="45"/>
  <c r="M403" i="45"/>
  <c r="M879" i="45"/>
  <c r="M427" i="45"/>
  <c r="M444" i="45"/>
  <c r="M597" i="45"/>
  <c r="M939" i="45"/>
  <c r="M445" i="45"/>
  <c r="M687" i="45"/>
  <c r="M453" i="45"/>
  <c r="M455" i="45"/>
  <c r="M454" i="45"/>
  <c r="M463" i="45"/>
  <c r="M464" i="45"/>
  <c r="M470" i="45"/>
  <c r="M471" i="45"/>
  <c r="M482" i="45"/>
  <c r="M483" i="45"/>
  <c r="M484" i="45"/>
  <c r="M490" i="45"/>
  <c r="M503" i="45"/>
  <c r="M501" i="45"/>
  <c r="M502" i="45"/>
  <c r="M500" i="45"/>
  <c r="M514" i="45"/>
  <c r="M526" i="45"/>
  <c r="M551" i="45"/>
  <c r="M553" i="45"/>
  <c r="M852" i="45"/>
  <c r="M555" i="45"/>
  <c r="M554" i="45"/>
  <c r="M561" i="45"/>
  <c r="M562" i="45"/>
  <c r="M565" i="45"/>
  <c r="M761" i="45"/>
  <c r="M567" i="45"/>
  <c r="M568" i="45"/>
  <c r="M569" i="45"/>
  <c r="M572" i="45"/>
  <c r="M571" i="45"/>
  <c r="M573" i="45"/>
  <c r="M835" i="45"/>
  <c r="M574" i="45"/>
  <c r="M576" i="45"/>
  <c r="M575" i="45"/>
  <c r="M577" i="45"/>
  <c r="M578" i="45"/>
  <c r="M448" i="45"/>
  <c r="M476" i="45"/>
  <c r="M475" i="45"/>
  <c r="M570" i="45"/>
  <c r="M637" i="45"/>
  <c r="M614" i="45"/>
  <c r="M592" i="45"/>
  <c r="M686" i="45"/>
  <c r="M709" i="45"/>
  <c r="M649" i="45"/>
  <c r="M987" i="45"/>
  <c r="M801" i="45"/>
  <c r="M882" i="45"/>
  <c r="M876" i="45"/>
  <c r="M980" i="45"/>
  <c r="M937" i="45"/>
  <c r="M871" i="45"/>
  <c r="M919" i="45"/>
  <c r="M810" i="45"/>
  <c r="M633" i="45"/>
  <c r="M752" i="45"/>
  <c r="M620" i="45"/>
  <c r="M1023" i="45"/>
  <c r="M1063" i="45"/>
  <c r="M707" i="45"/>
  <c r="M692" i="45"/>
  <c r="M598" i="45"/>
  <c r="M936" i="45"/>
  <c r="M1029" i="45"/>
  <c r="M1043" i="45"/>
  <c r="M938" i="45"/>
  <c r="M898" i="45"/>
  <c r="M389" i="45"/>
  <c r="M390" i="45"/>
  <c r="M988" i="45"/>
  <c r="M435" i="45"/>
  <c r="M946" i="45"/>
  <c r="M468" i="45"/>
  <c r="M1042" i="45"/>
  <c r="M1011" i="45"/>
  <c r="M489" i="45"/>
  <c r="M488" i="45"/>
  <c r="M499" i="45"/>
  <c r="M511" i="45"/>
  <c r="M510" i="45"/>
  <c r="M521" i="45"/>
  <c r="M522" i="45"/>
  <c r="M523" i="45"/>
  <c r="M918" i="45"/>
  <c r="M889" i="45"/>
  <c r="M892" i="45"/>
  <c r="M545" i="45"/>
  <c r="M552" i="45"/>
  <c r="M963" i="45"/>
  <c r="M560" i="45"/>
  <c r="M564" i="45"/>
  <c r="M254" i="45"/>
  <c r="M694" i="45"/>
  <c r="M271" i="45"/>
  <c r="M333" i="45"/>
  <c r="M394" i="45"/>
  <c r="M393" i="45"/>
  <c r="M397" i="45"/>
  <c r="M738" i="45"/>
  <c r="M402" i="45"/>
  <c r="M407" i="45"/>
  <c r="M423" i="45"/>
  <c r="M439" i="45"/>
  <c r="M443" i="45"/>
  <c r="M452" i="45"/>
  <c r="M462" i="45"/>
  <c r="M469" i="45"/>
  <c r="M481" i="45"/>
  <c r="M480" i="45"/>
  <c r="M969" i="45"/>
  <c r="M513" i="45"/>
  <c r="M512" i="45"/>
  <c r="M524" i="45"/>
  <c r="M525" i="45"/>
  <c r="M529" i="45"/>
  <c r="M531" i="45"/>
  <c r="M534" i="45"/>
  <c r="M538" i="45"/>
  <c r="M537" i="45"/>
  <c r="M540" i="45"/>
  <c r="M539" i="45"/>
  <c r="M746" i="45"/>
  <c r="M549" i="45"/>
  <c r="M550" i="45"/>
  <c r="M557" i="45"/>
  <c r="M558" i="45"/>
  <c r="M317" i="45"/>
  <c r="M340" i="45"/>
  <c r="M399" i="45"/>
  <c r="M400" i="45"/>
  <c r="M408" i="45"/>
  <c r="M409" i="45"/>
  <c r="M415" i="45"/>
  <c r="M416" i="45"/>
  <c r="M421" i="45"/>
  <c r="M424" i="45"/>
  <c r="M425" i="45"/>
  <c r="M426" i="45"/>
  <c r="M430" i="45"/>
  <c r="M428" i="45"/>
  <c r="M429" i="45"/>
  <c r="M446" i="45"/>
  <c r="M447" i="45"/>
  <c r="M450" i="45"/>
  <c r="M457" i="45"/>
  <c r="M460" i="45"/>
  <c r="M459" i="45"/>
  <c r="M456" i="45"/>
  <c r="M458" i="45"/>
  <c r="M472" i="45"/>
  <c r="M474" i="45"/>
  <c r="M473" i="45"/>
  <c r="M487" i="45"/>
  <c r="M486" i="45"/>
  <c r="M485" i="45"/>
  <c r="M491" i="45"/>
  <c r="M492" i="45"/>
  <c r="M493" i="45"/>
  <c r="M505" i="45"/>
  <c r="M504" i="45"/>
  <c r="M515" i="45"/>
  <c r="M527" i="45"/>
  <c r="M530" i="45"/>
  <c r="M532" i="45"/>
  <c r="M547" i="45"/>
  <c r="M546" i="45"/>
  <c r="M556" i="45"/>
  <c r="M559" i="45"/>
  <c r="M563" i="45"/>
  <c r="M382" i="45"/>
  <c r="M387" i="45"/>
  <c r="M391" i="45"/>
  <c r="M410" i="45"/>
  <c r="M411" i="45"/>
  <c r="M413" i="45"/>
  <c r="M417" i="45"/>
  <c r="M418" i="45"/>
  <c r="M419" i="45"/>
  <c r="M422" i="45"/>
  <c r="M431" i="45"/>
  <c r="M437" i="45"/>
  <c r="M438" i="45"/>
  <c r="M436" i="45"/>
  <c r="M441" i="45"/>
  <c r="M440" i="45"/>
  <c r="M451" i="45"/>
  <c r="M465" i="45"/>
  <c r="M477" i="45"/>
  <c r="M494" i="45"/>
  <c r="M507" i="45"/>
  <c r="M506" i="45"/>
  <c r="M508" i="45"/>
  <c r="M517" i="45"/>
  <c r="M518" i="45"/>
  <c r="M516" i="45"/>
  <c r="M528" i="45"/>
  <c r="M535" i="45"/>
  <c r="M371" i="45"/>
  <c r="M385" i="45"/>
  <c r="M392" i="45"/>
  <c r="M401" i="45"/>
  <c r="M412" i="45"/>
  <c r="M414" i="45"/>
  <c r="M420" i="45"/>
  <c r="M432" i="45"/>
  <c r="M433" i="45"/>
  <c r="M434" i="45"/>
  <c r="M442" i="45"/>
  <c r="M449" i="45"/>
  <c r="M461" i="45"/>
  <c r="M466" i="45"/>
  <c r="M467" i="45"/>
  <c r="M478" i="45"/>
  <c r="M479" i="45"/>
  <c r="M496" i="45"/>
  <c r="M498" i="45"/>
  <c r="M497" i="45"/>
  <c r="M495" i="45"/>
  <c r="M857" i="45"/>
  <c r="M509" i="45"/>
  <c r="M877" i="45"/>
  <c r="M519" i="45"/>
  <c r="M520" i="45"/>
  <c r="M533" i="45"/>
  <c r="M536" i="45"/>
  <c r="M544" i="45"/>
  <c r="M541" i="45"/>
  <c r="M543" i="45"/>
  <c r="M542" i="45"/>
  <c r="M548" i="45"/>
  <c r="M693" i="45"/>
  <c r="M932" i="45"/>
  <c r="M667" i="45"/>
  <c r="M626" i="45"/>
  <c r="M1028" i="45"/>
  <c r="M1052" i="45"/>
  <c r="M609" i="45"/>
  <c r="M719" i="45"/>
  <c r="M783" i="45"/>
  <c r="M720" i="45"/>
  <c r="M786" i="45"/>
  <c r="M1048" i="45"/>
  <c r="M12" i="45"/>
  <c r="M628" i="45"/>
  <c r="M1036" i="45"/>
  <c r="M965" i="45"/>
  <c r="M849" i="45"/>
  <c r="M933" i="45"/>
  <c r="M878" i="45"/>
  <c r="M935" i="45"/>
  <c r="M770" i="45"/>
  <c r="M999" i="45"/>
  <c r="M763" i="45"/>
  <c r="M995" i="45"/>
  <c r="M582" i="45"/>
  <c r="M386" i="45"/>
  <c r="M979" i="45"/>
  <c r="M396" i="45"/>
  <c r="M405" i="45"/>
  <c r="M594" i="45"/>
  <c r="M370" i="45"/>
  <c r="M375" i="45"/>
  <c r="M379" i="45"/>
  <c r="M383" i="45"/>
  <c r="M384" i="45"/>
  <c r="M388" i="45"/>
  <c r="M406" i="45"/>
  <c r="M966" i="45"/>
  <c r="M702" i="45"/>
  <c r="M997" i="45"/>
  <c r="M1022" i="45"/>
  <c r="M744" i="45"/>
  <c r="M662" i="45"/>
  <c r="M775" i="45"/>
  <c r="M760" i="45"/>
  <c r="M634" i="45"/>
  <c r="M973" i="45"/>
  <c r="M671" i="45"/>
  <c r="M951" i="45"/>
  <c r="M776" i="45"/>
  <c r="M604" i="45"/>
  <c r="M1031" i="45"/>
  <c r="M1062" i="45"/>
  <c r="M1051" i="45"/>
  <c r="M681" i="45"/>
  <c r="M593" i="45"/>
  <c r="M695" i="45"/>
  <c r="M683" i="45"/>
  <c r="M874" i="45"/>
  <c r="M1050" i="45"/>
  <c r="M794" i="45"/>
  <c r="M840" i="45"/>
  <c r="M815" i="45"/>
  <c r="M956" i="45"/>
  <c r="M798" i="45"/>
  <c r="M589" i="45"/>
  <c r="M645" i="45"/>
  <c r="M602" i="45"/>
  <c r="M660" i="45"/>
  <c r="M833" i="45"/>
  <c r="M943" i="45"/>
  <c r="M844" i="45"/>
  <c r="M1005" i="45"/>
  <c r="M998" i="45"/>
  <c r="M668" i="45"/>
  <c r="M847" i="45"/>
  <c r="M888" i="45"/>
  <c r="M834" i="45"/>
  <c r="M928" i="45"/>
  <c r="M638" i="45"/>
  <c r="M743" i="45"/>
  <c r="M768" i="45"/>
  <c r="M724" i="45"/>
  <c r="M650" i="45"/>
  <c r="M710" i="45"/>
  <c r="M828" i="45"/>
  <c r="M642" i="45"/>
  <c r="M1065" i="45"/>
  <c r="M950" i="45"/>
  <c r="M841" i="45"/>
  <c r="M970" i="45"/>
  <c r="M579" i="45"/>
  <c r="M1034" i="45"/>
  <c r="M1045" i="45"/>
  <c r="M583" i="45"/>
  <c r="M838" i="45"/>
  <c r="M1002" i="45"/>
  <c r="M869" i="45"/>
  <c r="M726" i="45"/>
  <c r="B23" i="46"/>
  <c r="B24" i="46"/>
  <c r="B25" i="46"/>
  <c r="B26" i="46"/>
  <c r="B27" i="46"/>
  <c r="B28" i="46"/>
  <c r="B29" i="46"/>
  <c r="B30" i="46"/>
  <c r="B31" i="46"/>
  <c r="B32" i="46"/>
  <c r="B33" i="46"/>
  <c r="B34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M1" i="45" l="1"/>
  <c r="F766" i="45"/>
  <c r="F983" i="45"/>
  <c r="F1003" i="45"/>
  <c r="F1064" i="45"/>
  <c r="F727" i="45"/>
  <c r="F10" i="45"/>
  <c r="F793" i="45"/>
  <c r="F735" i="45"/>
  <c r="F1053" i="45"/>
  <c r="F921" i="45"/>
  <c r="F635" i="45"/>
  <c r="F627" i="45"/>
  <c r="F666" i="45"/>
  <c r="F1041" i="45"/>
  <c r="F982" i="45"/>
  <c r="F587" i="45"/>
  <c r="F977" i="45"/>
  <c r="F701" i="45"/>
  <c r="F586" i="45"/>
  <c r="F1037" i="45"/>
  <c r="F803" i="45"/>
  <c r="F896" i="45"/>
  <c r="F747" i="45"/>
  <c r="F585" i="45"/>
  <c r="F900" i="45"/>
  <c r="F986" i="45"/>
  <c r="F3" i="45"/>
  <c r="F891" i="45"/>
  <c r="F1020" i="45"/>
  <c r="F690" i="45"/>
  <c r="F592" i="45"/>
  <c r="F686" i="45"/>
  <c r="F709" i="45"/>
  <c r="F649" i="45"/>
  <c r="F987" i="45"/>
  <c r="F801" i="45"/>
  <c r="F882" i="45"/>
  <c r="F876" i="45"/>
  <c r="F980" i="45"/>
  <c r="F937" i="45"/>
  <c r="F646" i="45"/>
  <c r="F871" i="45"/>
  <c r="F1059" i="45"/>
  <c r="F919" i="45"/>
  <c r="F810" i="45"/>
  <c r="F633" i="45"/>
  <c r="F752" i="45"/>
  <c r="F620" i="45"/>
  <c r="F1023" i="45"/>
  <c r="F1063" i="45"/>
  <c r="F707" i="45"/>
  <c r="F692" i="45"/>
  <c r="F598" i="45"/>
  <c r="F936" i="45"/>
  <c r="F1029" i="45"/>
  <c r="F934" i="45"/>
  <c r="F802" i="45"/>
  <c r="F688" i="45"/>
  <c r="F590" i="45"/>
  <c r="F886" i="45"/>
  <c r="F618" i="45"/>
  <c r="F823" i="45"/>
  <c r="F867" i="45"/>
  <c r="F806" i="45"/>
  <c r="F885" i="45"/>
  <c r="F764" i="45"/>
  <c r="F797" i="45"/>
  <c r="F895" i="45"/>
  <c r="F737" i="45"/>
  <c r="F658" i="45"/>
  <c r="F894" i="45"/>
  <c r="F875" i="45"/>
  <c r="F700" i="45"/>
  <c r="F4" i="45"/>
  <c r="F780" i="45"/>
  <c r="F611" i="45"/>
  <c r="F932" i="45"/>
  <c r="F809" i="45"/>
  <c r="F790" i="45"/>
  <c r="F821" i="45"/>
  <c r="F1058" i="45"/>
  <c r="F772" i="45"/>
  <c r="F742" i="45"/>
  <c r="F994" i="45"/>
  <c r="F11" i="45"/>
  <c r="F978" i="45"/>
  <c r="F944" i="45"/>
  <c r="F705" i="45"/>
  <c r="F968" i="45"/>
  <c r="F750" i="45"/>
  <c r="F599" i="45"/>
  <c r="F1061" i="45"/>
  <c r="F607" i="45"/>
  <c r="F819" i="45"/>
  <c r="F659" i="45"/>
  <c r="F800" i="45"/>
  <c r="F674" i="45"/>
  <c r="F899" i="45"/>
  <c r="F854" i="45"/>
  <c r="F685" i="45"/>
  <c r="F1043" i="45"/>
  <c r="F826" i="45"/>
  <c r="F1004" i="45"/>
  <c r="F864" i="45"/>
  <c r="F1021" i="45"/>
  <c r="F842" i="45"/>
  <c r="F1054" i="45"/>
  <c r="F601" i="45"/>
  <c r="F795" i="45"/>
  <c r="F778" i="45"/>
  <c r="F608" i="45"/>
  <c r="F616" i="45"/>
  <c r="F827" i="45"/>
  <c r="F684" i="45"/>
  <c r="F664" i="45"/>
  <c r="F897" i="45"/>
  <c r="F718" i="45"/>
  <c r="F799" i="45"/>
  <c r="F1010" i="45"/>
  <c r="F837" i="45"/>
  <c r="F859" i="45"/>
  <c r="F759" i="45"/>
  <c r="F785" i="45"/>
  <c r="F829" i="45"/>
  <c r="F603" i="45"/>
  <c r="F679" i="45"/>
  <c r="F656" i="45"/>
  <c r="F653" i="45"/>
  <c r="F680" i="45"/>
  <c r="F985" i="45"/>
  <c r="F1036" i="45"/>
  <c r="F625" i="45"/>
  <c r="F966" i="45"/>
  <c r="F581" i="45"/>
  <c r="F704" i="45"/>
  <c r="F702" i="45"/>
  <c r="F938" i="45"/>
  <c r="F898" i="45"/>
  <c r="F997" i="45"/>
  <c r="F991" i="45"/>
  <c r="F389" i="45"/>
  <c r="F390" i="45"/>
  <c r="F639" i="45"/>
  <c r="F1022" i="45"/>
  <c r="F988" i="45"/>
  <c r="F744" i="45"/>
  <c r="F435" i="45"/>
  <c r="F946" i="45"/>
  <c r="F662" i="45"/>
  <c r="F682" i="45"/>
  <c r="F468" i="45"/>
  <c r="F1042" i="45"/>
  <c r="F904" i="45"/>
  <c r="F8" i="45"/>
  <c r="F1011" i="45"/>
  <c r="F489" i="45"/>
  <c r="F488" i="45"/>
  <c r="F499" i="45"/>
  <c r="F511" i="45"/>
  <c r="F510" i="45"/>
  <c r="F521" i="45"/>
  <c r="F522" i="45"/>
  <c r="F523" i="45"/>
  <c r="F918" i="45"/>
  <c r="F889" i="45"/>
  <c r="F892" i="45"/>
  <c r="F545" i="45"/>
  <c r="F552" i="45"/>
  <c r="F775" i="45"/>
  <c r="F1015" i="45"/>
  <c r="F963" i="45"/>
  <c r="F560" i="45"/>
  <c r="F564" i="45"/>
  <c r="F884" i="45"/>
  <c r="F760" i="45"/>
  <c r="F1019" i="45"/>
  <c r="F629" i="45"/>
  <c r="F655" i="45"/>
  <c r="F673" i="45"/>
  <c r="F696" i="45"/>
  <c r="F850" i="45"/>
  <c r="F699" i="45"/>
  <c r="F974" i="45"/>
  <c r="F816" i="45"/>
  <c r="F883" i="45"/>
  <c r="F605" i="45"/>
  <c r="F714" i="45"/>
  <c r="F667" i="45"/>
  <c r="F805" i="45"/>
  <c r="F881" i="45"/>
  <c r="F632" i="45"/>
  <c r="F729" i="45"/>
  <c r="F941" i="45"/>
  <c r="F596" i="45"/>
  <c r="F981" i="45"/>
  <c r="F957" i="45"/>
  <c r="F773" i="45"/>
  <c r="F931" i="45"/>
  <c r="F905" i="45"/>
  <c r="F901" i="45"/>
  <c r="F584" i="45"/>
  <c r="F903" i="45"/>
  <c r="F732" i="45"/>
  <c r="F1013" i="45"/>
  <c r="F771" i="45"/>
  <c r="F784" i="45"/>
  <c r="F697" i="45"/>
  <c r="F751" i="45"/>
  <c r="F606" i="45"/>
  <c r="F989" i="45"/>
  <c r="F913" i="45"/>
  <c r="F765" i="45"/>
  <c r="F873" i="45"/>
  <c r="F626" i="45"/>
  <c r="F670" i="45"/>
  <c r="F1056" i="45"/>
  <c r="F717" i="45"/>
  <c r="F853" i="45"/>
  <c r="F657" i="45"/>
  <c r="F1006" i="45"/>
  <c r="F648" i="45"/>
  <c r="F756" i="45"/>
  <c r="F1028" i="45"/>
  <c r="F887" i="45"/>
  <c r="F1055" i="45"/>
  <c r="F922" i="45"/>
  <c r="F1000" i="45"/>
  <c r="F640" i="45"/>
  <c r="F818" i="45"/>
  <c r="F1027" i="45"/>
  <c r="F846" i="45"/>
  <c r="F953" i="45"/>
  <c r="F617" i="45"/>
  <c r="F1009" i="45"/>
  <c r="F949" i="45"/>
  <c r="F725" i="45"/>
  <c r="F1025" i="45"/>
  <c r="F698" i="45"/>
  <c r="F1026" i="45"/>
  <c r="F675" i="45"/>
  <c r="F865" i="45"/>
  <c r="F129" i="45"/>
  <c r="F136" i="45"/>
  <c r="F580" i="45"/>
  <c r="F996" i="45"/>
  <c r="F153" i="45"/>
  <c r="F175" i="45"/>
  <c r="F870" i="45"/>
  <c r="F728" i="45"/>
  <c r="F927" i="45"/>
  <c r="F753" i="45"/>
  <c r="F722" i="45"/>
  <c r="F643" i="45"/>
  <c r="F912" i="45"/>
  <c r="F691" i="45"/>
  <c r="F851" i="45"/>
  <c r="F201" i="45"/>
  <c r="F588" i="45"/>
  <c r="F788" i="45"/>
  <c r="F924" i="45"/>
  <c r="F621" i="45"/>
  <c r="F860" i="45"/>
  <c r="F1007" i="45"/>
  <c r="F1046" i="45"/>
  <c r="F804" i="45"/>
  <c r="F225" i="45"/>
  <c r="F615" i="45"/>
  <c r="F861" i="45"/>
  <c r="F791" i="45"/>
  <c r="F923" i="45"/>
  <c r="F1052" i="45"/>
  <c r="F613" i="45"/>
  <c r="F1047" i="45"/>
  <c r="F825" i="45"/>
  <c r="F244" i="45"/>
  <c r="F250" i="45"/>
  <c r="F636" i="45"/>
  <c r="F972" i="45"/>
  <c r="F253" i="45"/>
  <c r="F254" i="45"/>
  <c r="F731" i="45"/>
  <c r="F1057" i="45"/>
  <c r="F654" i="45"/>
  <c r="F694" i="45"/>
  <c r="F754" i="45"/>
  <c r="F813" i="45"/>
  <c r="F9" i="45"/>
  <c r="F855" i="45"/>
  <c r="F745" i="45"/>
  <c r="F739" i="45"/>
  <c r="F595" i="45"/>
  <c r="F630" i="45"/>
  <c r="F270" i="45"/>
  <c r="F271" i="45"/>
  <c r="F1060" i="45"/>
  <c r="F278" i="45"/>
  <c r="F1014" i="45"/>
  <c r="F909" i="45"/>
  <c r="F976" i="45"/>
  <c r="F992" i="45"/>
  <c r="F1008" i="45"/>
  <c r="F917" i="45"/>
  <c r="F288" i="45"/>
  <c r="F948" i="45"/>
  <c r="F294" i="45"/>
  <c r="F908" i="45"/>
  <c r="F296" i="45"/>
  <c r="F299" i="45"/>
  <c r="F298" i="45"/>
  <c r="F295" i="45"/>
  <c r="F297" i="45"/>
  <c r="F1038" i="45"/>
  <c r="F1039" i="45"/>
  <c r="F308" i="45"/>
  <c r="F309" i="45"/>
  <c r="F319" i="45"/>
  <c r="F762" i="45"/>
  <c r="F1049" i="45"/>
  <c r="F792" i="45"/>
  <c r="F907" i="45"/>
  <c r="F321" i="45"/>
  <c r="F320" i="45"/>
  <c r="F893" i="45"/>
  <c r="F839" i="45"/>
  <c r="F820" i="45"/>
  <c r="F641" i="45"/>
  <c r="F333" i="45"/>
  <c r="F755" i="45"/>
  <c r="F338" i="45"/>
  <c r="F1030" i="45"/>
  <c r="F952" i="45"/>
  <c r="F1001" i="45"/>
  <c r="F351" i="45"/>
  <c r="F352" i="45"/>
  <c r="F357" i="45"/>
  <c r="F947" i="45"/>
  <c r="F361" i="45"/>
  <c r="F767" i="45"/>
  <c r="F365" i="45"/>
  <c r="F942" i="45"/>
  <c r="F610" i="45"/>
  <c r="F836" i="45"/>
  <c r="F7" i="45"/>
  <c r="F723" i="45"/>
  <c r="F807" i="45"/>
  <c r="F715" i="45"/>
  <c r="F964" i="45"/>
  <c r="F1017" i="45"/>
  <c r="F634" i="45"/>
  <c r="F902" i="45"/>
  <c r="F990" i="45"/>
  <c r="F940" i="45"/>
  <c r="F1044" i="45"/>
  <c r="F774" i="45"/>
  <c r="F973" i="45"/>
  <c r="F394" i="45"/>
  <c r="F671" i="45"/>
  <c r="F951" i="45"/>
  <c r="F393" i="45"/>
  <c r="F397" i="45"/>
  <c r="F776" i="45"/>
  <c r="F734" i="45"/>
  <c r="F738" i="45"/>
  <c r="F402" i="45"/>
  <c r="F757" i="45"/>
  <c r="F407" i="45"/>
  <c r="F604" i="45"/>
  <c r="F423" i="45"/>
  <c r="F1032" i="45"/>
  <c r="F848" i="45"/>
  <c r="F1031" i="45"/>
  <c r="F439" i="45"/>
  <c r="F443" i="45"/>
  <c r="F1062" i="45"/>
  <c r="F971" i="45"/>
  <c r="F1051" i="45"/>
  <c r="F452" i="45"/>
  <c r="F462" i="45"/>
  <c r="F681" i="45"/>
  <c r="F469" i="45"/>
  <c r="F591" i="45"/>
  <c r="F481" i="45"/>
  <c r="F647" i="45"/>
  <c r="F480" i="45"/>
  <c r="F929" i="45"/>
  <c r="F969" i="45"/>
  <c r="F513" i="45"/>
  <c r="F512" i="45"/>
  <c r="F524" i="45"/>
  <c r="F525" i="45"/>
  <c r="F593" i="45"/>
  <c r="F529" i="45"/>
  <c r="F531" i="45"/>
  <c r="F534" i="45"/>
  <c r="F695" i="45"/>
  <c r="F538" i="45"/>
  <c r="F537" i="45"/>
  <c r="F540" i="45"/>
  <c r="F539" i="45"/>
  <c r="F652" i="45"/>
  <c r="F746" i="45"/>
  <c r="F961" i="45"/>
  <c r="F6" i="45"/>
  <c r="F549" i="45"/>
  <c r="F550" i="45"/>
  <c r="F683" i="45"/>
  <c r="F758" i="45"/>
  <c r="F910" i="45"/>
  <c r="F557" i="45"/>
  <c r="F558" i="45"/>
  <c r="F808" i="45"/>
  <c r="F984" i="45"/>
  <c r="F874" i="45"/>
  <c r="F962" i="45"/>
  <c r="F1050" i="45"/>
  <c r="F993" i="45"/>
  <c r="F794" i="45"/>
  <c r="F600" i="45"/>
  <c r="F911" i="45"/>
  <c r="F843" i="45"/>
  <c r="F811" i="45"/>
  <c r="F862" i="45"/>
  <c r="F669" i="45"/>
  <c r="F16" i="45"/>
  <c r="F15" i="45"/>
  <c r="F14" i="45"/>
  <c r="F17" i="45"/>
  <c r="F612" i="45"/>
  <c r="F18" i="45"/>
  <c r="F21" i="45"/>
  <c r="F22" i="45"/>
  <c r="F20" i="45"/>
  <c r="F29" i="45"/>
  <c r="F27" i="45"/>
  <c r="F28" i="45"/>
  <c r="F26" i="45"/>
  <c r="F609" i="45"/>
  <c r="F33" i="45"/>
  <c r="F661" i="45"/>
  <c r="F35" i="45"/>
  <c r="F36" i="45"/>
  <c r="F39" i="45"/>
  <c r="F719" i="45"/>
  <c r="F38" i="45"/>
  <c r="F40" i="45"/>
  <c r="F41" i="45"/>
  <c r="F868" i="45"/>
  <c r="F43" i="45"/>
  <c r="F783" i="45"/>
  <c r="F49" i="45"/>
  <c r="F48" i="45"/>
  <c r="F50" i="45"/>
  <c r="F53" i="45"/>
  <c r="F56" i="45"/>
  <c r="F61" i="45"/>
  <c r="F55" i="45"/>
  <c r="F60" i="45"/>
  <c r="F57" i="45"/>
  <c r="F59" i="45"/>
  <c r="F58" i="45"/>
  <c r="F63" i="45"/>
  <c r="F66" i="45"/>
  <c r="F68" i="45"/>
  <c r="F70" i="45"/>
  <c r="F69" i="45"/>
  <c r="F71" i="45"/>
  <c r="F72" i="45"/>
  <c r="F1040" i="45"/>
  <c r="F73" i="45"/>
  <c r="F82" i="45"/>
  <c r="F79" i="45"/>
  <c r="F80" i="45"/>
  <c r="F81" i="45"/>
  <c r="F975" i="45"/>
  <c r="F89" i="45"/>
  <c r="F954" i="45"/>
  <c r="F90" i="45"/>
  <c r="F960" i="45"/>
  <c r="F644" i="45"/>
  <c r="F88" i="45"/>
  <c r="F94" i="45"/>
  <c r="F96" i="45"/>
  <c r="F95" i="45"/>
  <c r="F97" i="45"/>
  <c r="F796" i="45"/>
  <c r="F100" i="45"/>
  <c r="F99" i="45"/>
  <c r="F689" i="45"/>
  <c r="F817" i="45"/>
  <c r="F102" i="45"/>
  <c r="F103" i="45"/>
  <c r="F105" i="45"/>
  <c r="F789" i="45"/>
  <c r="F106" i="45"/>
  <c r="F890" i="45"/>
  <c r="F104" i="45"/>
  <c r="F107" i="45"/>
  <c r="F720" i="45"/>
  <c r="F830" i="45"/>
  <c r="F619" i="45"/>
  <c r="F733" i="45"/>
  <c r="F113" i="45"/>
  <c r="F112" i="45"/>
  <c r="F1012" i="45"/>
  <c r="F822" i="45"/>
  <c r="F114" i="45"/>
  <c r="F703" i="45"/>
  <c r="F945" i="45"/>
  <c r="F117" i="45"/>
  <c r="F122" i="45"/>
  <c r="F1024" i="45"/>
  <c r="F120" i="45"/>
  <c r="F926" i="45"/>
  <c r="F119" i="45"/>
  <c r="F121" i="45"/>
  <c r="F713" i="45"/>
  <c r="F781" i="45"/>
  <c r="F127" i="45"/>
  <c r="F126" i="45"/>
  <c r="F124" i="45"/>
  <c r="F125" i="45"/>
  <c r="F958" i="45"/>
  <c r="F623" i="45"/>
  <c r="F786" i="45"/>
  <c r="F132" i="45"/>
  <c r="F130" i="45"/>
  <c r="F131" i="45"/>
  <c r="F1048" i="45"/>
  <c r="F812" i="45"/>
  <c r="F134" i="45"/>
  <c r="F137" i="45"/>
  <c r="F138" i="45"/>
  <c r="F139" i="45"/>
  <c r="F144" i="45"/>
  <c r="F143" i="45"/>
  <c r="F736" i="45"/>
  <c r="F142" i="45"/>
  <c r="F141" i="45"/>
  <c r="F145" i="45"/>
  <c r="F146" i="45"/>
  <c r="F147" i="45"/>
  <c r="F154" i="45"/>
  <c r="F160" i="45"/>
  <c r="F159" i="45"/>
  <c r="F156" i="45"/>
  <c r="F157" i="45"/>
  <c r="F914" i="45"/>
  <c r="F158" i="45"/>
  <c r="F155" i="45"/>
  <c r="F169" i="45"/>
  <c r="F165" i="45"/>
  <c r="F167" i="45"/>
  <c r="F171" i="45"/>
  <c r="F172" i="45"/>
  <c r="F170" i="45"/>
  <c r="F173" i="45"/>
  <c r="F164" i="45"/>
  <c r="F168" i="45"/>
  <c r="F166" i="45"/>
  <c r="F182" i="45"/>
  <c r="F176" i="45"/>
  <c r="F177" i="45"/>
  <c r="F181" i="45"/>
  <c r="F183" i="45"/>
  <c r="F782" i="45"/>
  <c r="F180" i="45"/>
  <c r="F179" i="45"/>
  <c r="F178" i="45"/>
  <c r="F187" i="45"/>
  <c r="F185" i="45"/>
  <c r="F188" i="45"/>
  <c r="F189" i="45"/>
  <c r="F631" i="45"/>
  <c r="F190" i="45"/>
  <c r="F186" i="45"/>
  <c r="F199" i="45"/>
  <c r="F198" i="45"/>
  <c r="F880" i="45"/>
  <c r="F194" i="45"/>
  <c r="F197" i="45"/>
  <c r="F195" i="45"/>
  <c r="F196" i="45"/>
  <c r="F205" i="45"/>
  <c r="F203" i="45"/>
  <c r="F202" i="45"/>
  <c r="F204" i="45"/>
  <c r="F206" i="45"/>
  <c r="F663" i="45"/>
  <c r="F207" i="45"/>
  <c r="F208" i="45"/>
  <c r="F678" i="45"/>
  <c r="F845" i="45"/>
  <c r="F213" i="45"/>
  <c r="F212" i="45"/>
  <c r="F210" i="45"/>
  <c r="F211" i="45"/>
  <c r="F215" i="45"/>
  <c r="F216" i="45"/>
  <c r="F219" i="45"/>
  <c r="F221" i="45"/>
  <c r="F220" i="45"/>
  <c r="F227" i="45"/>
  <c r="F230" i="45"/>
  <c r="F231" i="45"/>
  <c r="F233" i="45"/>
  <c r="F228" i="45"/>
  <c r="F229" i="45"/>
  <c r="F232" i="45"/>
  <c r="F624" i="45"/>
  <c r="F238" i="45"/>
  <c r="F237" i="45"/>
  <c r="F240" i="45"/>
  <c r="F708" i="45"/>
  <c r="F242" i="45"/>
  <c r="F241" i="45"/>
  <c r="F247" i="45"/>
  <c r="F246" i="45"/>
  <c r="F245" i="45"/>
  <c r="F251" i="45"/>
  <c r="F252" i="45"/>
  <c r="F856" i="45"/>
  <c r="F5" i="45"/>
  <c r="F256" i="45"/>
  <c r="F831" i="45"/>
  <c r="F255" i="45"/>
  <c r="F260" i="45"/>
  <c r="F259" i="45"/>
  <c r="F915" i="45"/>
  <c r="F268" i="45"/>
  <c r="F265" i="45"/>
  <c r="F267" i="45"/>
  <c r="F264" i="45"/>
  <c r="F266" i="45"/>
  <c r="F263" i="45"/>
  <c r="F272" i="45"/>
  <c r="F275" i="45"/>
  <c r="F273" i="45"/>
  <c r="F274" i="45"/>
  <c r="F279" i="45"/>
  <c r="F284" i="45"/>
  <c r="F281" i="45"/>
  <c r="F280" i="45"/>
  <c r="F283" i="45"/>
  <c r="F285" i="45"/>
  <c r="F282" i="45"/>
  <c r="F290" i="45"/>
  <c r="F292" i="45"/>
  <c r="F965" i="45"/>
  <c r="F289" i="45"/>
  <c r="F291" i="45"/>
  <c r="F300" i="45"/>
  <c r="F303" i="45"/>
  <c r="F302" i="45"/>
  <c r="F967" i="45"/>
  <c r="F305" i="45"/>
  <c r="F304" i="45"/>
  <c r="F306" i="45"/>
  <c r="F301" i="45"/>
  <c r="F314" i="45"/>
  <c r="F840" i="45"/>
  <c r="F315" i="45"/>
  <c r="F316" i="45"/>
  <c r="F317" i="45"/>
  <c r="F310" i="45"/>
  <c r="F312" i="45"/>
  <c r="F665" i="45"/>
  <c r="F311" i="45"/>
  <c r="F313" i="45"/>
  <c r="F323" i="45"/>
  <c r="F322" i="45"/>
  <c r="F849" i="45"/>
  <c r="F326" i="45"/>
  <c r="F325" i="45"/>
  <c r="F324" i="45"/>
  <c r="F331" i="45"/>
  <c r="F933" i="45"/>
  <c r="F330" i="45"/>
  <c r="F335" i="45"/>
  <c r="F651" i="45"/>
  <c r="F336" i="45"/>
  <c r="F334" i="45"/>
  <c r="F340" i="45"/>
  <c r="F339" i="45"/>
  <c r="F342" i="45"/>
  <c r="F343" i="45"/>
  <c r="F347" i="45"/>
  <c r="F348" i="45"/>
  <c r="F349" i="45"/>
  <c r="F878" i="45"/>
  <c r="F815" i="45"/>
  <c r="F354" i="45"/>
  <c r="F353" i="45"/>
  <c r="F355" i="45"/>
  <c r="F721" i="45"/>
  <c r="F358" i="45"/>
  <c r="F748" i="45"/>
  <c r="F935" i="45"/>
  <c r="F824" i="45"/>
  <c r="F363" i="45"/>
  <c r="F362" i="45"/>
  <c r="F366" i="45"/>
  <c r="F779" i="45"/>
  <c r="F367" i="45"/>
  <c r="F368" i="45"/>
  <c r="F814" i="45"/>
  <c r="F956" i="45"/>
  <c r="F1018" i="45"/>
  <c r="F769" i="45"/>
  <c r="F369" i="45"/>
  <c r="F770" i="45"/>
  <c r="F676" i="45"/>
  <c r="F999" i="45"/>
  <c r="F373" i="45"/>
  <c r="F374" i="45"/>
  <c r="F763" i="45"/>
  <c r="F378" i="45"/>
  <c r="F377" i="45"/>
  <c r="F376" i="45"/>
  <c r="F995" i="45"/>
  <c r="F582" i="45"/>
  <c r="F380" i="45"/>
  <c r="F381" i="45"/>
  <c r="F798" i="45"/>
  <c r="F386" i="45"/>
  <c r="F979" i="45"/>
  <c r="F589" i="45"/>
  <c r="F906" i="45"/>
  <c r="F645" i="45"/>
  <c r="F396" i="45"/>
  <c r="F395" i="45"/>
  <c r="F398" i="45"/>
  <c r="F602" i="45"/>
  <c r="F399" i="45"/>
  <c r="F400" i="45"/>
  <c r="F405" i="45"/>
  <c r="F404" i="45"/>
  <c r="F403" i="45"/>
  <c r="F408" i="45"/>
  <c r="F409" i="45"/>
  <c r="F660" i="45"/>
  <c r="F833" i="45"/>
  <c r="F943" i="45"/>
  <c r="F844" i="45"/>
  <c r="F879" i="45"/>
  <c r="F1005" i="45"/>
  <c r="F415" i="45"/>
  <c r="F416" i="45"/>
  <c r="F998" i="45"/>
  <c r="F668" i="45"/>
  <c r="F421" i="45"/>
  <c r="F424" i="45"/>
  <c r="F847" i="45"/>
  <c r="F425" i="45"/>
  <c r="F888" i="45"/>
  <c r="F426" i="45"/>
  <c r="F430" i="45"/>
  <c r="F834" i="45"/>
  <c r="F428" i="45"/>
  <c r="F429" i="45"/>
  <c r="F427" i="45"/>
  <c r="F928" i="45"/>
  <c r="F638" i="45"/>
  <c r="F444" i="45"/>
  <c r="F597" i="45"/>
  <c r="F939" i="45"/>
  <c r="F446" i="45"/>
  <c r="F445" i="45"/>
  <c r="F447" i="45"/>
  <c r="F687" i="45"/>
  <c r="F743" i="45"/>
  <c r="F450" i="45"/>
  <c r="F457" i="45"/>
  <c r="F460" i="45"/>
  <c r="F453" i="45"/>
  <c r="F459" i="45"/>
  <c r="F456" i="45"/>
  <c r="F458" i="45"/>
  <c r="F455" i="45"/>
  <c r="F454" i="45"/>
  <c r="F463" i="45"/>
  <c r="F464" i="45"/>
  <c r="F470" i="45"/>
  <c r="F471" i="45"/>
  <c r="F472" i="45"/>
  <c r="F474" i="45"/>
  <c r="F473" i="45"/>
  <c r="F487" i="45"/>
  <c r="F482" i="45"/>
  <c r="F768" i="45"/>
  <c r="F483" i="45"/>
  <c r="F484" i="45"/>
  <c r="F724" i="45"/>
  <c r="F486" i="45"/>
  <c r="F485" i="45"/>
  <c r="F650" i="45"/>
  <c r="F491" i="45"/>
  <c r="F492" i="45"/>
  <c r="F490" i="45"/>
  <c r="F493" i="45"/>
  <c r="F503" i="45"/>
  <c r="F501" i="45"/>
  <c r="F710" i="45"/>
  <c r="F502" i="45"/>
  <c r="F505" i="45"/>
  <c r="F504" i="45"/>
  <c r="F828" i="45"/>
  <c r="F500" i="45"/>
  <c r="F515" i="45"/>
  <c r="F514" i="45"/>
  <c r="F526" i="45"/>
  <c r="F527" i="45"/>
  <c r="F530" i="45"/>
  <c r="F642" i="45"/>
  <c r="F1065" i="45"/>
  <c r="F532" i="45"/>
  <c r="F950" i="45"/>
  <c r="F547" i="45"/>
  <c r="F546" i="45"/>
  <c r="F551" i="45"/>
  <c r="F553" i="45"/>
  <c r="F852" i="45"/>
  <c r="F555" i="45"/>
  <c r="F554" i="45"/>
  <c r="F556" i="45"/>
  <c r="F559" i="45"/>
  <c r="F841" i="45"/>
  <c r="F970" i="45"/>
  <c r="F579" i="45"/>
  <c r="F563" i="45"/>
  <c r="F561" i="45"/>
  <c r="F562" i="45"/>
  <c r="F565" i="45"/>
  <c r="F566" i="45"/>
  <c r="F761" i="45"/>
  <c r="F567" i="45"/>
  <c r="F1034" i="45"/>
  <c r="F568" i="45"/>
  <c r="F1045" i="45"/>
  <c r="F569" i="45"/>
  <c r="F572" i="45"/>
  <c r="F571" i="45"/>
  <c r="F573" i="45"/>
  <c r="F835" i="45"/>
  <c r="F574" i="45"/>
  <c r="F576" i="45"/>
  <c r="F575" i="45"/>
  <c r="F577" i="45"/>
  <c r="F578" i="45"/>
  <c r="F19" i="45"/>
  <c r="F23" i="45"/>
  <c r="F25" i="45"/>
  <c r="F31" i="45"/>
  <c r="F32" i="45"/>
  <c r="F12" i="45"/>
  <c r="F37" i="45"/>
  <c r="F42" i="45"/>
  <c r="F45" i="45"/>
  <c r="F44" i="45"/>
  <c r="F46" i="45"/>
  <c r="F54" i="45"/>
  <c r="F62" i="45"/>
  <c r="F67" i="45"/>
  <c r="F74" i="45"/>
  <c r="F75" i="45"/>
  <c r="F76" i="45"/>
  <c r="F86" i="45"/>
  <c r="F84" i="45"/>
  <c r="F85" i="45"/>
  <c r="F83" i="45"/>
  <c r="F92" i="45"/>
  <c r="F91" i="45"/>
  <c r="F622" i="45"/>
  <c r="F101" i="45"/>
  <c r="F109" i="45"/>
  <c r="F108" i="45"/>
  <c r="F110" i="45"/>
  <c r="F111" i="45"/>
  <c r="F115" i="45"/>
  <c r="F116" i="45"/>
  <c r="F866" i="45"/>
  <c r="F118" i="45"/>
  <c r="F1035" i="45"/>
  <c r="F706" i="45"/>
  <c r="F123" i="45"/>
  <c r="F128" i="45"/>
  <c r="F133" i="45"/>
  <c r="F677" i="45"/>
  <c r="F135" i="45"/>
  <c r="F140" i="45"/>
  <c r="F151" i="45"/>
  <c r="F152" i="45"/>
  <c r="F150" i="45"/>
  <c r="F149" i="45"/>
  <c r="F148" i="45"/>
  <c r="F161" i="45"/>
  <c r="F162" i="45"/>
  <c r="F163" i="45"/>
  <c r="F174" i="45"/>
  <c r="F863" i="45"/>
  <c r="F930" i="45"/>
  <c r="F193" i="45"/>
  <c r="F192" i="45"/>
  <c r="F191" i="45"/>
  <c r="F1016" i="45"/>
  <c r="F200" i="45"/>
  <c r="F959" i="45"/>
  <c r="F209" i="45"/>
  <c r="F214" i="45"/>
  <c r="F217" i="45"/>
  <c r="F218" i="45"/>
  <c r="F222" i="45"/>
  <c r="F223" i="45"/>
  <c r="F224" i="45"/>
  <c r="F226" i="45"/>
  <c r="F730" i="45"/>
  <c r="F236" i="45"/>
  <c r="F235" i="45"/>
  <c r="F234" i="45"/>
  <c r="F239" i="45"/>
  <c r="F832" i="45"/>
  <c r="F243" i="45"/>
  <c r="F248" i="45"/>
  <c r="F249" i="45"/>
  <c r="F261" i="45"/>
  <c r="F262" i="45"/>
  <c r="F628" i="45"/>
  <c r="F269" i="45"/>
  <c r="F276" i="45"/>
  <c r="F277" i="45"/>
  <c r="F286" i="45"/>
  <c r="F287" i="45"/>
  <c r="F293" i="45"/>
  <c r="F716" i="45"/>
  <c r="F307" i="45"/>
  <c r="F318" i="45"/>
  <c r="F740" i="45"/>
  <c r="F328" i="45"/>
  <c r="F327" i="45"/>
  <c r="F329" i="45"/>
  <c r="F872" i="45"/>
  <c r="F787" i="45"/>
  <c r="F337" i="45"/>
  <c r="F712" i="45"/>
  <c r="F711" i="45"/>
  <c r="F594" i="45"/>
  <c r="F341" i="45"/>
  <c r="F672" i="45"/>
  <c r="F749" i="45"/>
  <c r="F345" i="45"/>
  <c r="F344" i="45"/>
  <c r="F777" i="45"/>
  <c r="F346" i="45"/>
  <c r="F350" i="45"/>
  <c r="F858" i="45"/>
  <c r="F356" i="45"/>
  <c r="F359" i="45"/>
  <c r="F360" i="45"/>
  <c r="F916" i="45"/>
  <c r="F364" i="45"/>
  <c r="F370" i="45"/>
  <c r="F372" i="45"/>
  <c r="F583" i="45"/>
  <c r="F925" i="45"/>
  <c r="F1033" i="45"/>
  <c r="F375" i="45"/>
  <c r="F955" i="45"/>
  <c r="F379" i="45"/>
  <c r="F382" i="45"/>
  <c r="F383" i="45"/>
  <c r="F384" i="45"/>
  <c r="F387" i="45"/>
  <c r="F388" i="45"/>
  <c r="F838" i="45"/>
  <c r="F391" i="45"/>
  <c r="F406" i="45"/>
  <c r="F410" i="45"/>
  <c r="F411" i="45"/>
  <c r="F413" i="45"/>
  <c r="F417" i="45"/>
  <c r="F418" i="45"/>
  <c r="F419" i="45"/>
  <c r="F422" i="45"/>
  <c r="F431" i="45"/>
  <c r="F437" i="45"/>
  <c r="F438" i="45"/>
  <c r="F436" i="45"/>
  <c r="F441" i="45"/>
  <c r="F440" i="45"/>
  <c r="F448" i="45"/>
  <c r="F1002" i="45"/>
  <c r="F451" i="45"/>
  <c r="F869" i="45"/>
  <c r="F465" i="45"/>
  <c r="F476" i="45"/>
  <c r="F477" i="45"/>
  <c r="F475" i="45"/>
  <c r="F494" i="45"/>
  <c r="F507" i="45"/>
  <c r="F506" i="45"/>
  <c r="F508" i="45"/>
  <c r="F517" i="45"/>
  <c r="F518" i="45"/>
  <c r="F516" i="45"/>
  <c r="F528" i="45"/>
  <c r="F535" i="45"/>
  <c r="F570" i="45"/>
  <c r="F13" i="45"/>
  <c r="F741" i="45"/>
  <c r="F24" i="45"/>
  <c r="F30" i="45"/>
  <c r="F34" i="45"/>
  <c r="F47" i="45"/>
  <c r="F51" i="45"/>
  <c r="F52" i="45"/>
  <c r="F64" i="45"/>
  <c r="F65" i="45"/>
  <c r="F77" i="45"/>
  <c r="F78" i="45"/>
  <c r="F87" i="45"/>
  <c r="F93" i="45"/>
  <c r="F98" i="45"/>
  <c r="F920" i="45"/>
  <c r="F184" i="45"/>
  <c r="F258" i="45"/>
  <c r="F257" i="45"/>
  <c r="F332" i="45"/>
  <c r="F371" i="45"/>
  <c r="F385" i="45"/>
  <c r="F392" i="45"/>
  <c r="F401" i="45"/>
  <c r="F412" i="45"/>
  <c r="F414" i="45"/>
  <c r="F420" i="45"/>
  <c r="F432" i="45"/>
  <c r="F433" i="45"/>
  <c r="F434" i="45"/>
  <c r="F442" i="45"/>
  <c r="F449" i="45"/>
  <c r="F461" i="45"/>
  <c r="F466" i="45"/>
  <c r="F467" i="45"/>
  <c r="F478" i="45"/>
  <c r="F479" i="45"/>
  <c r="F496" i="45"/>
  <c r="F498" i="45"/>
  <c r="F497" i="45"/>
  <c r="F495" i="45"/>
  <c r="F857" i="45"/>
  <c r="F509" i="45"/>
  <c r="F877" i="45"/>
  <c r="F519" i="45"/>
  <c r="F726" i="45"/>
  <c r="F520" i="45"/>
  <c r="F533" i="45"/>
  <c r="F536" i="45"/>
  <c r="F544" i="45"/>
  <c r="F541" i="45"/>
  <c r="F543" i="45"/>
  <c r="F542" i="45"/>
  <c r="F548" i="45"/>
  <c r="F693" i="45"/>
  <c r="F637" i="45"/>
  <c r="F614" i="45"/>
  <c r="K629" i="45"/>
  <c r="K934" i="45"/>
  <c r="K655" i="45"/>
  <c r="K802" i="45"/>
  <c r="K13" i="45"/>
  <c r="K741" i="45"/>
  <c r="K673" i="45"/>
  <c r="K16" i="45"/>
  <c r="K688" i="45"/>
  <c r="K15" i="45"/>
  <c r="K14" i="45"/>
  <c r="K766" i="45"/>
  <c r="K696" i="45"/>
  <c r="K850" i="45"/>
  <c r="K17" i="45"/>
  <c r="K590" i="45"/>
  <c r="K699" i="45"/>
  <c r="K19" i="45"/>
  <c r="K612" i="45"/>
  <c r="K18" i="45"/>
  <c r="K974" i="45"/>
  <c r="K21" i="45"/>
  <c r="K23" i="45"/>
  <c r="K22" i="45"/>
  <c r="K816" i="45"/>
  <c r="K883" i="45"/>
  <c r="K20" i="45"/>
  <c r="K24" i="45"/>
  <c r="K605" i="45"/>
  <c r="K886" i="45"/>
  <c r="K714" i="45"/>
  <c r="K667" i="45"/>
  <c r="K25" i="45"/>
  <c r="K618" i="45"/>
  <c r="K805" i="45"/>
  <c r="K29" i="45"/>
  <c r="K30" i="45"/>
  <c r="K27" i="45"/>
  <c r="K28" i="45"/>
  <c r="K983" i="45"/>
  <c r="K26" i="45"/>
  <c r="K823" i="45"/>
  <c r="K881" i="45"/>
  <c r="K31" i="45"/>
  <c r="K32" i="45"/>
  <c r="K632" i="45"/>
  <c r="K12" i="45"/>
  <c r="K867" i="45"/>
  <c r="K609" i="45"/>
  <c r="K729" i="45"/>
  <c r="K1003" i="45"/>
  <c r="K941" i="45"/>
  <c r="K596" i="45"/>
  <c r="K1064" i="45"/>
  <c r="K727" i="45"/>
  <c r="K981" i="45"/>
  <c r="K957" i="45"/>
  <c r="K806" i="45"/>
  <c r="K33" i="45"/>
  <c r="K34" i="45"/>
  <c r="K773" i="45"/>
  <c r="K661" i="45"/>
  <c r="K885" i="45"/>
  <c r="K37" i="45"/>
  <c r="K764" i="45"/>
  <c r="K35" i="45"/>
  <c r="K36" i="45"/>
  <c r="K931" i="45"/>
  <c r="K39" i="45"/>
  <c r="K719" i="45"/>
  <c r="K905" i="45"/>
  <c r="K901" i="45"/>
  <c r="K38" i="45"/>
  <c r="K797" i="45"/>
  <c r="K42" i="45"/>
  <c r="K584" i="45"/>
  <c r="K40" i="45"/>
  <c r="K903" i="45"/>
  <c r="K10" i="45"/>
  <c r="K732" i="45"/>
  <c r="K1013" i="45"/>
  <c r="K771" i="45"/>
  <c r="K41" i="45"/>
  <c r="K895" i="45"/>
  <c r="K784" i="45"/>
  <c r="K45" i="45"/>
  <c r="K47" i="45"/>
  <c r="K44" i="45"/>
  <c r="K46" i="45"/>
  <c r="K737" i="45"/>
  <c r="K697" i="45"/>
  <c r="K751" i="45"/>
  <c r="K868" i="45"/>
  <c r="K606" i="45"/>
  <c r="K989" i="45"/>
  <c r="K43" i="45"/>
  <c r="K913" i="45"/>
  <c r="K783" i="45"/>
  <c r="K49" i="45"/>
  <c r="K658" i="45"/>
  <c r="K51" i="45"/>
  <c r="K52" i="45"/>
  <c r="K48" i="45"/>
  <c r="K50" i="45"/>
  <c r="K53" i="45"/>
  <c r="K765" i="45"/>
  <c r="K793" i="45"/>
  <c r="K873" i="45"/>
  <c r="K735" i="45"/>
  <c r="K894" i="45"/>
  <c r="K875" i="45"/>
  <c r="K700" i="45"/>
  <c r="K54" i="45"/>
  <c r="K4" i="45"/>
  <c r="K626" i="45"/>
  <c r="K62" i="45"/>
  <c r="K56" i="45"/>
  <c r="K670" i="45"/>
  <c r="K780" i="45"/>
  <c r="K1056" i="45"/>
  <c r="K61" i="45"/>
  <c r="K55" i="45"/>
  <c r="K60" i="45"/>
  <c r="K57" i="45"/>
  <c r="K59" i="45"/>
  <c r="K611" i="45"/>
  <c r="K58" i="45"/>
  <c r="K64" i="45"/>
  <c r="K932" i="45"/>
  <c r="K65" i="45"/>
  <c r="K63" i="45"/>
  <c r="K717" i="45"/>
  <c r="K66" i="45"/>
  <c r="K67" i="45"/>
  <c r="K853" i="45"/>
  <c r="K809" i="45"/>
  <c r="K1053" i="45"/>
  <c r="K68" i="45"/>
  <c r="K921" i="45"/>
  <c r="K70" i="45"/>
  <c r="K69" i="45"/>
  <c r="K71" i="45"/>
  <c r="K72" i="45"/>
  <c r="K657" i="45"/>
  <c r="K1040" i="45"/>
  <c r="K1006" i="45"/>
  <c r="K74" i="45"/>
  <c r="K77" i="45"/>
  <c r="K75" i="45"/>
  <c r="K648" i="45"/>
  <c r="K756" i="45"/>
  <c r="K76" i="45"/>
  <c r="K790" i="45"/>
  <c r="K73" i="45"/>
  <c r="K1028" i="45"/>
  <c r="K887" i="45"/>
  <c r="K78" i="45"/>
  <c r="K821" i="45"/>
  <c r="K82" i="45"/>
  <c r="K86" i="45"/>
  <c r="K79" i="45"/>
  <c r="K80" i="45"/>
  <c r="K84" i="45"/>
  <c r="K1055" i="45"/>
  <c r="K81" i="45"/>
  <c r="K85" i="45"/>
  <c r="K922" i="45"/>
  <c r="K87" i="45"/>
  <c r="K635" i="45"/>
  <c r="K975" i="45"/>
  <c r="K1058" i="45"/>
  <c r="K83" i="45"/>
  <c r="K93" i="45"/>
  <c r="K1000" i="45"/>
  <c r="K92" i="45"/>
  <c r="K89" i="45"/>
  <c r="K954" i="45"/>
  <c r="K640" i="45"/>
  <c r="K90" i="45"/>
  <c r="K960" i="45"/>
  <c r="K818" i="45"/>
  <c r="K91" i="45"/>
  <c r="K644" i="45"/>
  <c r="K88" i="45"/>
  <c r="K98" i="45"/>
  <c r="K94" i="45"/>
  <c r="K96" i="45"/>
  <c r="K772" i="45"/>
  <c r="K95" i="45"/>
  <c r="K97" i="45"/>
  <c r="K622" i="45"/>
  <c r="K796" i="45"/>
  <c r="K1027" i="45"/>
  <c r="K100" i="45"/>
  <c r="K846" i="45"/>
  <c r="K101" i="45"/>
  <c r="K742" i="45"/>
  <c r="K99" i="45"/>
  <c r="K689" i="45"/>
  <c r="K817" i="45"/>
  <c r="K109" i="45"/>
  <c r="K102" i="45"/>
  <c r="K103" i="45"/>
  <c r="K105" i="45"/>
  <c r="K789" i="45"/>
  <c r="K106" i="45"/>
  <c r="K890" i="45"/>
  <c r="K104" i="45"/>
  <c r="K953" i="45"/>
  <c r="K617" i="45"/>
  <c r="K108" i="45"/>
  <c r="K1009" i="45"/>
  <c r="K949" i="45"/>
  <c r="K107" i="45"/>
  <c r="K110" i="45"/>
  <c r="K725" i="45"/>
  <c r="K720" i="45"/>
  <c r="K830" i="45"/>
  <c r="K111" i="45"/>
  <c r="K619" i="45"/>
  <c r="K1025" i="45"/>
  <c r="K920" i="45"/>
  <c r="K733" i="45"/>
  <c r="K113" i="45"/>
  <c r="K112" i="45"/>
  <c r="K115" i="45"/>
  <c r="K994" i="45"/>
  <c r="K1012" i="45"/>
  <c r="K116" i="45"/>
  <c r="K822" i="45"/>
  <c r="K114" i="45"/>
  <c r="K703" i="45"/>
  <c r="K11" i="45"/>
  <c r="K866" i="45"/>
  <c r="K627" i="45"/>
  <c r="K118" i="45"/>
  <c r="K978" i="45"/>
  <c r="K945" i="45"/>
  <c r="K117" i="45"/>
  <c r="K1035" i="45"/>
  <c r="K698" i="45"/>
  <c r="K122" i="45"/>
  <c r="K1024" i="45"/>
  <c r="K120" i="45"/>
  <c r="K944" i="45"/>
  <c r="K1026" i="45"/>
  <c r="K706" i="45"/>
  <c r="K926" i="45"/>
  <c r="K119" i="45"/>
  <c r="K123" i="45"/>
  <c r="K675" i="45"/>
  <c r="K121" i="45"/>
  <c r="K713" i="45"/>
  <c r="K781" i="45"/>
  <c r="K127" i="45"/>
  <c r="K126" i="45"/>
  <c r="K128" i="45"/>
  <c r="K865" i="45"/>
  <c r="K124" i="45"/>
  <c r="K705" i="45"/>
  <c r="K125" i="45"/>
  <c r="K958" i="45"/>
  <c r="K623" i="45"/>
  <c r="K129" i="45"/>
  <c r="K786" i="45"/>
  <c r="K132" i="45"/>
  <c r="K133" i="45"/>
  <c r="K130" i="45"/>
  <c r="K131" i="45"/>
  <c r="K1048" i="45"/>
  <c r="K812" i="45"/>
  <c r="K134" i="45"/>
  <c r="K968" i="45"/>
  <c r="K677" i="45"/>
  <c r="K135" i="45"/>
  <c r="K137" i="45"/>
  <c r="K666" i="45"/>
  <c r="K750" i="45"/>
  <c r="K136" i="45"/>
  <c r="K138" i="45"/>
  <c r="K580" i="45"/>
  <c r="K140" i="45"/>
  <c r="K139" i="45"/>
  <c r="K144" i="45"/>
  <c r="K143" i="45"/>
  <c r="K736" i="45"/>
  <c r="K142" i="45"/>
  <c r="K141" i="45"/>
  <c r="K151" i="45"/>
  <c r="K145" i="45"/>
  <c r="K146" i="45"/>
  <c r="K152" i="45"/>
  <c r="K150" i="45"/>
  <c r="K147" i="45"/>
  <c r="K149" i="45"/>
  <c r="K148" i="45"/>
  <c r="K154" i="45"/>
  <c r="K160" i="45"/>
  <c r="K161" i="45"/>
  <c r="K996" i="45"/>
  <c r="K159" i="45"/>
  <c r="K156" i="45"/>
  <c r="K157" i="45"/>
  <c r="K914" i="45"/>
  <c r="K158" i="45"/>
  <c r="K162" i="45"/>
  <c r="K153" i="45"/>
  <c r="K155" i="45"/>
  <c r="K163" i="45"/>
  <c r="K174" i="45"/>
  <c r="K169" i="45"/>
  <c r="K165" i="45"/>
  <c r="K167" i="45"/>
  <c r="K171" i="45"/>
  <c r="K172" i="45"/>
  <c r="K170" i="45"/>
  <c r="K173" i="45"/>
  <c r="K863" i="45"/>
  <c r="K164" i="45"/>
  <c r="K168" i="45"/>
  <c r="K166" i="45"/>
  <c r="K599" i="45"/>
  <c r="K182" i="45"/>
  <c r="K176" i="45"/>
  <c r="K175" i="45"/>
  <c r="K1061" i="45"/>
  <c r="K177" i="45"/>
  <c r="K181" i="45"/>
  <c r="K184" i="45"/>
  <c r="K870" i="45"/>
  <c r="K183" i="45"/>
  <c r="K782" i="45"/>
  <c r="K180" i="45"/>
  <c r="K728" i="45"/>
  <c r="K930" i="45"/>
  <c r="K179" i="45"/>
  <c r="K927" i="45"/>
  <c r="K178" i="45"/>
  <c r="K193" i="45"/>
  <c r="K187" i="45"/>
  <c r="K192" i="45"/>
  <c r="K185" i="45"/>
  <c r="K607" i="45"/>
  <c r="K188" i="45"/>
  <c r="K753" i="45"/>
  <c r="K189" i="45"/>
  <c r="K722" i="45"/>
  <c r="K631" i="45"/>
  <c r="K191" i="45"/>
  <c r="K190" i="45"/>
  <c r="K643" i="45"/>
  <c r="K186" i="45"/>
  <c r="K199" i="45"/>
  <c r="K198" i="45"/>
  <c r="K1016" i="45"/>
  <c r="K880" i="45"/>
  <c r="K200" i="45"/>
  <c r="K194" i="45"/>
  <c r="K197" i="45"/>
  <c r="K912" i="45"/>
  <c r="K195" i="45"/>
  <c r="K959" i="45"/>
  <c r="K196" i="45"/>
  <c r="K691" i="45"/>
  <c r="K205" i="45"/>
  <c r="K819" i="45"/>
  <c r="K851" i="45"/>
  <c r="K203" i="45"/>
  <c r="K202" i="45"/>
  <c r="K204" i="45"/>
  <c r="K201" i="45"/>
  <c r="K206" i="45"/>
  <c r="K588" i="45"/>
  <c r="K663" i="45"/>
  <c r="K207" i="45"/>
  <c r="K208" i="45"/>
  <c r="K209" i="45"/>
  <c r="K678" i="45"/>
  <c r="K845" i="45"/>
  <c r="K213" i="45"/>
  <c r="K212" i="45"/>
  <c r="K210" i="45"/>
  <c r="K211" i="45"/>
  <c r="K788" i="45"/>
  <c r="K214" i="45"/>
  <c r="K215" i="45"/>
  <c r="K659" i="45"/>
  <c r="K924" i="45"/>
  <c r="K217" i="45"/>
  <c r="K218" i="45"/>
  <c r="K216" i="45"/>
  <c r="K219" i="45"/>
  <c r="K221" i="45"/>
  <c r="K220" i="45"/>
  <c r="K222" i="45"/>
  <c r="K621" i="45"/>
  <c r="K223" i="45"/>
  <c r="K860" i="45"/>
  <c r="K1007" i="45"/>
  <c r="K224" i="45"/>
  <c r="K1046" i="45"/>
  <c r="K800" i="45"/>
  <c r="K1041" i="45"/>
  <c r="K804" i="45"/>
  <c r="K225" i="45"/>
  <c r="K226" i="45"/>
  <c r="K674" i="45"/>
  <c r="K615" i="45"/>
  <c r="K861" i="45"/>
  <c r="K899" i="45"/>
  <c r="K227" i="45"/>
  <c r="K791" i="45"/>
  <c r="K923" i="45"/>
  <c r="K1052" i="45"/>
  <c r="K230" i="45"/>
  <c r="K231" i="45"/>
  <c r="K613" i="45"/>
  <c r="K730" i="45"/>
  <c r="K233" i="45"/>
  <c r="K228" i="45"/>
  <c r="K236" i="45"/>
  <c r="K854" i="45"/>
  <c r="K235" i="45"/>
  <c r="K229" i="45"/>
  <c r="K234" i="45"/>
  <c r="K232" i="45"/>
  <c r="K685" i="45"/>
  <c r="K1047" i="45"/>
  <c r="K624" i="45"/>
  <c r="K238" i="45"/>
  <c r="K239" i="45"/>
  <c r="K832" i="45"/>
  <c r="K237" i="45"/>
  <c r="K825" i="45"/>
  <c r="K240" i="45"/>
  <c r="K243" i="45"/>
  <c r="K708" i="45"/>
  <c r="K242" i="45"/>
  <c r="K241" i="45"/>
  <c r="K247" i="45"/>
  <c r="K248" i="45"/>
  <c r="K246" i="45"/>
  <c r="K245" i="45"/>
  <c r="K244" i="45"/>
  <c r="K249" i="45"/>
  <c r="K251" i="45"/>
  <c r="K1043" i="45"/>
  <c r="K250" i="45"/>
  <c r="K252" i="45"/>
  <c r="K636" i="45"/>
  <c r="K972" i="45"/>
  <c r="K856" i="45"/>
  <c r="K258" i="45"/>
  <c r="K5" i="45"/>
  <c r="K256" i="45"/>
  <c r="K831" i="45"/>
  <c r="K253" i="45"/>
  <c r="K254" i="45"/>
  <c r="K255" i="45"/>
  <c r="K257" i="45"/>
  <c r="K731" i="45"/>
  <c r="K261" i="45"/>
  <c r="K260" i="45"/>
  <c r="K262" i="45"/>
  <c r="K826" i="45"/>
  <c r="K1057" i="45"/>
  <c r="K1004" i="45"/>
  <c r="K864" i="45"/>
  <c r="K1021" i="45"/>
  <c r="K654" i="45"/>
  <c r="K694" i="45"/>
  <c r="K259" i="45"/>
  <c r="K754" i="45"/>
  <c r="K915" i="45"/>
  <c r="K269" i="45"/>
  <c r="K813" i="45"/>
  <c r="K9" i="45"/>
  <c r="K268" i="45"/>
  <c r="K265" i="45"/>
  <c r="K855" i="45"/>
  <c r="K267" i="45"/>
  <c r="K264" i="45"/>
  <c r="K266" i="45"/>
  <c r="K745" i="45"/>
  <c r="K263" i="45"/>
  <c r="K739" i="45"/>
  <c r="K982" i="45"/>
  <c r="K595" i="45"/>
  <c r="K630" i="45"/>
  <c r="K272" i="45"/>
  <c r="K275" i="45"/>
  <c r="K276" i="45"/>
  <c r="K270" i="45"/>
  <c r="K271" i="45"/>
  <c r="K273" i="45"/>
  <c r="K277" i="45"/>
  <c r="K274" i="45"/>
  <c r="K1060" i="45"/>
  <c r="K278" i="45"/>
  <c r="K1014" i="45"/>
  <c r="K279" i="45"/>
  <c r="K284" i="45"/>
  <c r="K281" i="45"/>
  <c r="K842" i="45"/>
  <c r="K280" i="45"/>
  <c r="K909" i="45"/>
  <c r="K976" i="45"/>
  <c r="K283" i="45"/>
  <c r="K286" i="45"/>
  <c r="K287" i="45"/>
  <c r="K285" i="45"/>
  <c r="K282" i="45"/>
  <c r="K992" i="45"/>
  <c r="K1008" i="45"/>
  <c r="K587" i="45"/>
  <c r="K1054" i="45"/>
  <c r="K290" i="45"/>
  <c r="K292" i="45"/>
  <c r="K965" i="45"/>
  <c r="K289" i="45"/>
  <c r="K917" i="45"/>
  <c r="K288" i="45"/>
  <c r="K601" i="45"/>
  <c r="K948" i="45"/>
  <c r="K291" i="45"/>
  <c r="K293" i="45"/>
  <c r="K795" i="45"/>
  <c r="K294" i="45"/>
  <c r="K716" i="45"/>
  <c r="K300" i="45"/>
  <c r="K303" i="45"/>
  <c r="K977" i="45"/>
  <c r="K908" i="45"/>
  <c r="K296" i="45"/>
  <c r="K299" i="45"/>
  <c r="K298" i="45"/>
  <c r="K307" i="45"/>
  <c r="K302" i="45"/>
  <c r="K967" i="45"/>
  <c r="K778" i="45"/>
  <c r="K305" i="45"/>
  <c r="K304" i="45"/>
  <c r="K295" i="45"/>
  <c r="K306" i="45"/>
  <c r="K301" i="45"/>
  <c r="K297" i="45"/>
  <c r="K1038" i="45"/>
  <c r="K314" i="45"/>
  <c r="K840" i="45"/>
  <c r="K1039" i="45"/>
  <c r="K315" i="45"/>
  <c r="K316" i="45"/>
  <c r="K608" i="45"/>
  <c r="K317" i="45"/>
  <c r="K310" i="45"/>
  <c r="K312" i="45"/>
  <c r="K665" i="45"/>
  <c r="K308" i="45"/>
  <c r="K318" i="45"/>
  <c r="K309" i="45"/>
  <c r="K311" i="45"/>
  <c r="K313" i="45"/>
  <c r="K616" i="45"/>
  <c r="K827" i="45"/>
  <c r="K684" i="45"/>
  <c r="K664" i="45"/>
  <c r="K319" i="45"/>
  <c r="K740" i="45"/>
  <c r="K762" i="45"/>
  <c r="K323" i="45"/>
  <c r="K1049" i="45"/>
  <c r="K701" i="45"/>
  <c r="K792" i="45"/>
  <c r="K322" i="45"/>
  <c r="K849" i="45"/>
  <c r="K328" i="45"/>
  <c r="K586" i="45"/>
  <c r="K907" i="45"/>
  <c r="K321" i="45"/>
  <c r="K327" i="45"/>
  <c r="K326" i="45"/>
  <c r="K325" i="45"/>
  <c r="K897" i="45"/>
  <c r="K329" i="45"/>
  <c r="K324" i="45"/>
  <c r="K320" i="45"/>
  <c r="K893" i="45"/>
  <c r="K331" i="45"/>
  <c r="K332" i="45"/>
  <c r="K718" i="45"/>
  <c r="K933" i="45"/>
  <c r="K799" i="45"/>
  <c r="K1010" i="45"/>
  <c r="K872" i="45"/>
  <c r="K330" i="45"/>
  <c r="K839" i="45"/>
  <c r="K787" i="45"/>
  <c r="K837" i="45"/>
  <c r="K335" i="45"/>
  <c r="K337" i="45"/>
  <c r="K712" i="45"/>
  <c r="K859" i="45"/>
  <c r="K651" i="45"/>
  <c r="K336" i="45"/>
  <c r="K820" i="45"/>
  <c r="K641" i="45"/>
  <c r="K333" i="45"/>
  <c r="K334" i="45"/>
  <c r="K711" i="45"/>
  <c r="K755" i="45"/>
  <c r="K759" i="45"/>
  <c r="K1037" i="45"/>
  <c r="K338" i="45"/>
  <c r="K785" i="45"/>
  <c r="K1030" i="45"/>
  <c r="K594" i="45"/>
  <c r="K341" i="45"/>
  <c r="K340" i="45"/>
  <c r="K803" i="45"/>
  <c r="K339" i="45"/>
  <c r="K342" i="45"/>
  <c r="K343" i="45"/>
  <c r="K672" i="45"/>
  <c r="K896" i="45"/>
  <c r="K747" i="45"/>
  <c r="K749" i="45"/>
  <c r="K585" i="45"/>
  <c r="K345" i="45"/>
  <c r="K344" i="45"/>
  <c r="K952" i="45"/>
  <c r="K777" i="45"/>
  <c r="K346" i="45"/>
  <c r="K829" i="45"/>
  <c r="K350" i="45"/>
  <c r="K858" i="45"/>
  <c r="K900" i="45"/>
  <c r="K347" i="45"/>
  <c r="K348" i="45"/>
  <c r="K349" i="45"/>
  <c r="K878" i="45"/>
  <c r="K603" i="45"/>
  <c r="K815" i="45"/>
  <c r="K986" i="45"/>
  <c r="K1001" i="45"/>
  <c r="K3" i="45"/>
  <c r="K354" i="45"/>
  <c r="K351" i="45"/>
  <c r="K353" i="45"/>
  <c r="K355" i="45"/>
  <c r="K352" i="45"/>
  <c r="K356" i="45"/>
  <c r="K721" i="45"/>
  <c r="K679" i="45"/>
  <c r="K357" i="45"/>
  <c r="K359" i="45"/>
  <c r="K891" i="45"/>
  <c r="K358" i="45"/>
  <c r="K656" i="45"/>
  <c r="K748" i="45"/>
  <c r="K360" i="45"/>
  <c r="K947" i="45"/>
  <c r="K653" i="45"/>
  <c r="K361" i="45"/>
  <c r="K935" i="45"/>
  <c r="K1020" i="45"/>
  <c r="K767" i="45"/>
  <c r="K824" i="45"/>
  <c r="K916" i="45"/>
  <c r="K363" i="45"/>
  <c r="K364" i="45"/>
  <c r="K680" i="45"/>
  <c r="K362" i="45"/>
  <c r="K366" i="45"/>
  <c r="K779" i="45"/>
  <c r="K365" i="45"/>
  <c r="K367" i="45"/>
  <c r="K690" i="45"/>
  <c r="K368" i="45"/>
  <c r="K814" i="45"/>
  <c r="K942" i="45"/>
  <c r="K370" i="45"/>
  <c r="K956" i="45"/>
  <c r="K1018" i="45"/>
  <c r="K371" i="45"/>
  <c r="K769" i="45"/>
  <c r="K369" i="45"/>
  <c r="K610" i="45"/>
  <c r="K836" i="45"/>
  <c r="K372" i="45"/>
  <c r="K7" i="45"/>
  <c r="K723" i="45"/>
  <c r="K807" i="45"/>
  <c r="K715" i="45"/>
  <c r="K583" i="45"/>
  <c r="K770" i="45"/>
  <c r="K676" i="45"/>
  <c r="K985" i="45"/>
  <c r="K964" i="45"/>
  <c r="K999" i="45"/>
  <c r="K373" i="45"/>
  <c r="K1017" i="45"/>
  <c r="K634" i="45"/>
  <c r="K1036" i="45"/>
  <c r="K925" i="45"/>
  <c r="K1033" i="45"/>
  <c r="K375" i="45"/>
  <c r="K374" i="45"/>
  <c r="K902" i="45"/>
  <c r="K990" i="45"/>
  <c r="K625" i="45"/>
  <c r="K763" i="45"/>
  <c r="K955" i="45"/>
  <c r="K379" i="45"/>
  <c r="K378" i="45"/>
  <c r="K377" i="45"/>
  <c r="K966" i="45"/>
  <c r="K940" i="45"/>
  <c r="K376" i="45"/>
  <c r="K581" i="45"/>
  <c r="K995" i="45"/>
  <c r="K1044" i="45"/>
  <c r="K704" i="45"/>
  <c r="K582" i="45"/>
  <c r="K380" i="45"/>
  <c r="K381" i="45"/>
  <c r="K702" i="45"/>
  <c r="K382" i="45"/>
  <c r="K592" i="45"/>
  <c r="K938" i="45"/>
  <c r="K383" i="45"/>
  <c r="K798" i="45"/>
  <c r="K774" i="45"/>
  <c r="K385" i="45"/>
  <c r="K973" i="45"/>
  <c r="K384" i="45"/>
  <c r="K387" i="45"/>
  <c r="K386" i="45"/>
  <c r="K388" i="45"/>
  <c r="K979" i="45"/>
  <c r="K686" i="45"/>
  <c r="K589" i="45"/>
  <c r="K898" i="45"/>
  <c r="K997" i="45"/>
  <c r="K838" i="45"/>
  <c r="K991" i="45"/>
  <c r="K389" i="45"/>
  <c r="K390" i="45"/>
  <c r="K906" i="45"/>
  <c r="K392" i="45"/>
  <c r="K391" i="45"/>
  <c r="K639" i="45"/>
  <c r="K645" i="45"/>
  <c r="K1022" i="45"/>
  <c r="K396" i="45"/>
  <c r="K394" i="45"/>
  <c r="K671" i="45"/>
  <c r="K951" i="45"/>
  <c r="K395" i="45"/>
  <c r="K393" i="45"/>
  <c r="K401" i="45"/>
  <c r="K398" i="45"/>
  <c r="K602" i="45"/>
  <c r="K399" i="45"/>
  <c r="K397" i="45"/>
  <c r="K400" i="45"/>
  <c r="K776" i="45"/>
  <c r="K405" i="45"/>
  <c r="K734" i="45"/>
  <c r="K709" i="45"/>
  <c r="K406" i="45"/>
  <c r="K738" i="45"/>
  <c r="K404" i="45"/>
  <c r="K402" i="45"/>
  <c r="K403" i="45"/>
  <c r="K408" i="45"/>
  <c r="K410" i="45"/>
  <c r="K409" i="45"/>
  <c r="K411" i="45"/>
  <c r="K660" i="45"/>
  <c r="K988" i="45"/>
  <c r="K757" i="45"/>
  <c r="K407" i="45"/>
  <c r="K833" i="45"/>
  <c r="K412" i="45"/>
  <c r="K744" i="45"/>
  <c r="K943" i="45"/>
  <c r="K413" i="45"/>
  <c r="K414" i="45"/>
  <c r="K649" i="45"/>
  <c r="K844" i="45"/>
  <c r="K879" i="45"/>
  <c r="K1005" i="45"/>
  <c r="K987" i="45"/>
  <c r="K415" i="45"/>
  <c r="K416" i="45"/>
  <c r="K417" i="45"/>
  <c r="K418" i="45"/>
  <c r="K604" i="45"/>
  <c r="K998" i="45"/>
  <c r="K420" i="45"/>
  <c r="K419" i="45"/>
  <c r="K422" i="45"/>
  <c r="K801" i="45"/>
  <c r="K668" i="45"/>
  <c r="K421" i="45"/>
  <c r="K424" i="45"/>
  <c r="K847" i="45"/>
  <c r="K425" i="45"/>
  <c r="K888" i="45"/>
  <c r="K423" i="45"/>
  <c r="K1032" i="45"/>
  <c r="K426" i="45"/>
  <c r="K430" i="45"/>
  <c r="K432" i="45"/>
  <c r="K433" i="45"/>
  <c r="K834" i="45"/>
  <c r="K431" i="45"/>
  <c r="K434" i="45"/>
  <c r="K428" i="45"/>
  <c r="K429" i="45"/>
  <c r="K427" i="45"/>
  <c r="K437" i="45"/>
  <c r="K438" i="45"/>
  <c r="K435" i="45"/>
  <c r="K928" i="45"/>
  <c r="K848" i="45"/>
  <c r="K882" i="45"/>
  <c r="K1031" i="45"/>
  <c r="K436" i="45"/>
  <c r="K442" i="45"/>
  <c r="K439" i="45"/>
  <c r="K946" i="45"/>
  <c r="K441" i="45"/>
  <c r="K440" i="45"/>
  <c r="K638" i="45"/>
  <c r="K444" i="45"/>
  <c r="K443" i="45"/>
  <c r="K597" i="45"/>
  <c r="K939" i="45"/>
  <c r="K446" i="45"/>
  <c r="K449" i="45"/>
  <c r="K445" i="45"/>
  <c r="K447" i="45"/>
  <c r="K1062" i="45"/>
  <c r="K687" i="45"/>
  <c r="K448" i="45"/>
  <c r="K1002" i="45"/>
  <c r="K876" i="45"/>
  <c r="K451" i="45"/>
  <c r="K743" i="45"/>
  <c r="K971" i="45"/>
  <c r="K662" i="45"/>
  <c r="K450" i="45"/>
  <c r="K1051" i="45"/>
  <c r="K457" i="45"/>
  <c r="K869" i="45"/>
  <c r="K460" i="45"/>
  <c r="K453" i="45"/>
  <c r="K459" i="45"/>
  <c r="K452" i="45"/>
  <c r="K456" i="45"/>
  <c r="K458" i="45"/>
  <c r="K461" i="45"/>
  <c r="K455" i="45"/>
  <c r="K454" i="45"/>
  <c r="K463" i="45"/>
  <c r="K465" i="45"/>
  <c r="K466" i="45"/>
  <c r="K682" i="45"/>
  <c r="K467" i="45"/>
  <c r="K462" i="45"/>
  <c r="K464" i="45"/>
  <c r="K478" i="45"/>
  <c r="K479" i="45"/>
  <c r="K681" i="45"/>
  <c r="K476" i="45"/>
  <c r="K468" i="45"/>
  <c r="K470" i="45"/>
  <c r="K471" i="45"/>
  <c r="K472" i="45"/>
  <c r="K477" i="45"/>
  <c r="K469" i="45"/>
  <c r="K474" i="45"/>
  <c r="K475" i="45"/>
  <c r="K1042" i="45"/>
  <c r="K473" i="45"/>
  <c r="K487" i="45"/>
  <c r="K482" i="45"/>
  <c r="K768" i="45"/>
  <c r="K591" i="45"/>
  <c r="K481" i="45"/>
  <c r="K483" i="45"/>
  <c r="K484" i="45"/>
  <c r="K724" i="45"/>
  <c r="K904" i="45"/>
  <c r="K980" i="45"/>
  <c r="K647" i="45"/>
  <c r="K480" i="45"/>
  <c r="K8" i="45"/>
  <c r="K486" i="45"/>
  <c r="K485" i="45"/>
  <c r="K496" i="45"/>
  <c r="K650" i="45"/>
  <c r="K491" i="45"/>
  <c r="K937" i="45"/>
  <c r="K498" i="45"/>
  <c r="K492" i="45"/>
  <c r="K1011" i="45"/>
  <c r="K489" i="45"/>
  <c r="K490" i="45"/>
  <c r="K493" i="45"/>
  <c r="K497" i="45"/>
  <c r="K495" i="45"/>
  <c r="K646" i="45"/>
  <c r="K488" i="45"/>
  <c r="K929" i="45"/>
  <c r="K494" i="45"/>
  <c r="K503" i="45"/>
  <c r="K499" i="45"/>
  <c r="K501" i="45"/>
  <c r="K871" i="45"/>
  <c r="K710" i="45"/>
  <c r="K502" i="45"/>
  <c r="K1059" i="45"/>
  <c r="K507" i="45"/>
  <c r="K506" i="45"/>
  <c r="K505" i="45"/>
  <c r="K504" i="45"/>
  <c r="K969" i="45"/>
  <c r="K828" i="45"/>
  <c r="K857" i="45"/>
  <c r="K508" i="45"/>
  <c r="K500" i="45"/>
  <c r="K509" i="45"/>
  <c r="K515" i="45"/>
  <c r="K517" i="45"/>
  <c r="K513" i="45"/>
  <c r="K511" i="45"/>
  <c r="K510" i="45"/>
  <c r="K514" i="45"/>
  <c r="K877" i="45"/>
  <c r="K519" i="45"/>
  <c r="K919" i="45"/>
  <c r="K726" i="45"/>
  <c r="K810" i="45"/>
  <c r="K520" i="45"/>
  <c r="K518" i="45"/>
  <c r="K512" i="45"/>
  <c r="K516" i="45"/>
  <c r="K524" i="45"/>
  <c r="K521" i="45"/>
  <c r="K522" i="45"/>
  <c r="K526" i="45"/>
  <c r="K527" i="45"/>
  <c r="K523" i="45"/>
  <c r="K525" i="45"/>
  <c r="K918" i="45"/>
  <c r="K528" i="45"/>
  <c r="K530" i="45"/>
  <c r="K633" i="45"/>
  <c r="K752" i="45"/>
  <c r="K593" i="45"/>
  <c r="K529" i="45"/>
  <c r="K889" i="45"/>
  <c r="K620" i="45"/>
  <c r="K642" i="45"/>
  <c r="K1065" i="45"/>
  <c r="K533" i="45"/>
  <c r="K532" i="45"/>
  <c r="K1023" i="45"/>
  <c r="K1063" i="45"/>
  <c r="K531" i="45"/>
  <c r="K535" i="45"/>
  <c r="K536" i="45"/>
  <c r="K892" i="45"/>
  <c r="K534" i="45"/>
  <c r="K695" i="45"/>
  <c r="K544" i="45"/>
  <c r="K950" i="45"/>
  <c r="K541" i="45"/>
  <c r="K543" i="45"/>
  <c r="K538" i="45"/>
  <c r="K537" i="45"/>
  <c r="K542" i="45"/>
  <c r="K540" i="45"/>
  <c r="K707" i="45"/>
  <c r="K539" i="45"/>
  <c r="K692" i="45"/>
  <c r="K545" i="45"/>
  <c r="K652" i="45"/>
  <c r="K547" i="45"/>
  <c r="K546" i="45"/>
  <c r="K548" i="45"/>
  <c r="K746" i="45"/>
  <c r="K961" i="45"/>
  <c r="K6" i="45"/>
  <c r="K549" i="45"/>
  <c r="K693" i="45"/>
  <c r="K550" i="45"/>
  <c r="K683" i="45"/>
  <c r="K551" i="45"/>
  <c r="K553" i="45"/>
  <c r="K852" i="45"/>
  <c r="K552" i="45"/>
  <c r="K758" i="45"/>
  <c r="K555" i="45"/>
  <c r="K775" i="45"/>
  <c r="K1015" i="45"/>
  <c r="K554" i="45"/>
  <c r="K910" i="45"/>
  <c r="K556" i="45"/>
  <c r="K963" i="45"/>
  <c r="K559" i="45"/>
  <c r="K637" i="45"/>
  <c r="K841" i="45"/>
  <c r="K557" i="45"/>
  <c r="K558" i="45"/>
  <c r="K598" i="45"/>
  <c r="K970" i="45"/>
  <c r="K579" i="45"/>
  <c r="K563" i="45"/>
  <c r="K561" i="45"/>
  <c r="K562" i="45"/>
  <c r="K560" i="45"/>
  <c r="K808" i="45"/>
  <c r="K984" i="45"/>
  <c r="K874" i="45"/>
  <c r="K565" i="45"/>
  <c r="K564" i="45"/>
  <c r="K962" i="45"/>
  <c r="K936" i="45"/>
  <c r="K884" i="45"/>
  <c r="K1029" i="45"/>
  <c r="K566" i="45"/>
  <c r="K761" i="45"/>
  <c r="K567" i="45"/>
  <c r="K760" i="45"/>
  <c r="K1034" i="45"/>
  <c r="K568" i="45"/>
  <c r="K1050" i="45"/>
  <c r="K570" i="45"/>
  <c r="K1045" i="45"/>
  <c r="K993" i="45"/>
  <c r="K794" i="45"/>
  <c r="K569" i="45"/>
  <c r="K572" i="45"/>
  <c r="K571" i="45"/>
  <c r="K600" i="45"/>
  <c r="K1019" i="45"/>
  <c r="K573" i="45"/>
  <c r="K911" i="45"/>
  <c r="K835" i="45"/>
  <c r="K574" i="45"/>
  <c r="K843" i="45"/>
  <c r="K811" i="45"/>
  <c r="K576" i="45"/>
  <c r="K575" i="45"/>
  <c r="K577" i="45"/>
  <c r="K862" i="45"/>
  <c r="K578" i="45"/>
  <c r="K614" i="45"/>
  <c r="N629" i="45"/>
  <c r="N934" i="45"/>
  <c r="N655" i="45"/>
  <c r="N802" i="45"/>
  <c r="N13" i="45"/>
  <c r="N741" i="45"/>
  <c r="N673" i="45"/>
  <c r="N16" i="45"/>
  <c r="N688" i="45"/>
  <c r="N15" i="45"/>
  <c r="N14" i="45"/>
  <c r="N766" i="45"/>
  <c r="N696" i="45"/>
  <c r="N850" i="45"/>
  <c r="N17" i="45"/>
  <c r="N590" i="45"/>
  <c r="N699" i="45"/>
  <c r="N19" i="45"/>
  <c r="N612" i="45"/>
  <c r="N18" i="45"/>
  <c r="N974" i="45"/>
  <c r="N21" i="45"/>
  <c r="N23" i="45"/>
  <c r="N22" i="45"/>
  <c r="N816" i="45"/>
  <c r="N883" i="45"/>
  <c r="N20" i="45"/>
  <c r="N24" i="45"/>
  <c r="N605" i="45"/>
  <c r="N886" i="45"/>
  <c r="N714" i="45"/>
  <c r="N667" i="45"/>
  <c r="N25" i="45"/>
  <c r="N618" i="45"/>
  <c r="N805" i="45"/>
  <c r="N29" i="45"/>
  <c r="N30" i="45"/>
  <c r="N27" i="45"/>
  <c r="N28" i="45"/>
  <c r="N983" i="45"/>
  <c r="N26" i="45"/>
  <c r="N823" i="45"/>
  <c r="N881" i="45"/>
  <c r="N31" i="45"/>
  <c r="N32" i="45"/>
  <c r="N632" i="45"/>
  <c r="N12" i="45"/>
  <c r="N867" i="45"/>
  <c r="N609" i="45"/>
  <c r="N729" i="45"/>
  <c r="N1003" i="45"/>
  <c r="N941" i="45"/>
  <c r="N596" i="45"/>
  <c r="N1064" i="45"/>
  <c r="N727" i="45"/>
  <c r="N981" i="45"/>
  <c r="N957" i="45"/>
  <c r="N806" i="45"/>
  <c r="N33" i="45"/>
  <c r="N34" i="45"/>
  <c r="N773" i="45"/>
  <c r="N661" i="45"/>
  <c r="N885" i="45"/>
  <c r="N37" i="45"/>
  <c r="N764" i="45"/>
  <c r="N35" i="45"/>
  <c r="N36" i="45"/>
  <c r="N931" i="45"/>
  <c r="N39" i="45"/>
  <c r="N719" i="45"/>
  <c r="N905" i="45"/>
  <c r="N901" i="45"/>
  <c r="N38" i="45"/>
  <c r="N797" i="45"/>
  <c r="N42" i="45"/>
  <c r="N584" i="45"/>
  <c r="N40" i="45"/>
  <c r="N903" i="45"/>
  <c r="N10" i="45"/>
  <c r="N732" i="45"/>
  <c r="N1013" i="45"/>
  <c r="N771" i="45"/>
  <c r="N41" i="45"/>
  <c r="N895" i="45"/>
  <c r="N784" i="45"/>
  <c r="N45" i="45"/>
  <c r="N47" i="45"/>
  <c r="N44" i="45"/>
  <c r="N46" i="45"/>
  <c r="N737" i="45"/>
  <c r="N697" i="45"/>
  <c r="N751" i="45"/>
  <c r="N868" i="45"/>
  <c r="N606" i="45"/>
  <c r="N989" i="45"/>
  <c r="N43" i="45"/>
  <c r="N913" i="45"/>
  <c r="N783" i="45"/>
  <c r="N49" i="45"/>
  <c r="N658" i="45"/>
  <c r="N51" i="45"/>
  <c r="N52" i="45"/>
  <c r="N48" i="45"/>
  <c r="N50" i="45"/>
  <c r="N53" i="45"/>
  <c r="N765" i="45"/>
  <c r="N793" i="45"/>
  <c r="N873" i="45"/>
  <c r="N735" i="45"/>
  <c r="N894" i="45"/>
  <c r="N875" i="45"/>
  <c r="N700" i="45"/>
  <c r="N54" i="45"/>
  <c r="N4" i="45"/>
  <c r="N626" i="45"/>
  <c r="N62" i="45"/>
  <c r="N56" i="45"/>
  <c r="N670" i="45"/>
  <c r="N780" i="45"/>
  <c r="N1056" i="45"/>
  <c r="N61" i="45"/>
  <c r="N55" i="45"/>
  <c r="N60" i="45"/>
  <c r="N57" i="45"/>
  <c r="N59" i="45"/>
  <c r="N611" i="45"/>
  <c r="N58" i="45"/>
  <c r="N64" i="45"/>
  <c r="N932" i="45"/>
  <c r="N65" i="45"/>
  <c r="N63" i="45"/>
  <c r="N717" i="45"/>
  <c r="N66" i="45"/>
  <c r="N67" i="45"/>
  <c r="N853" i="45"/>
  <c r="N809" i="45"/>
  <c r="N1053" i="45"/>
  <c r="N68" i="45"/>
  <c r="N921" i="45"/>
  <c r="N70" i="45"/>
  <c r="N69" i="45"/>
  <c r="N71" i="45"/>
  <c r="N72" i="45"/>
  <c r="N657" i="45"/>
  <c r="N1040" i="45"/>
  <c r="N1006" i="45"/>
  <c r="N74" i="45"/>
  <c r="N77" i="45"/>
  <c r="N75" i="45"/>
  <c r="N648" i="45"/>
  <c r="N756" i="45"/>
  <c r="N76" i="45"/>
  <c r="N790" i="45"/>
  <c r="N73" i="45"/>
  <c r="N1028" i="45"/>
  <c r="N887" i="45"/>
  <c r="N78" i="45"/>
  <c r="N821" i="45"/>
  <c r="N82" i="45"/>
  <c r="N86" i="45"/>
  <c r="N79" i="45"/>
  <c r="N80" i="45"/>
  <c r="N84" i="45"/>
  <c r="N1055" i="45"/>
  <c r="N81" i="45"/>
  <c r="N85" i="45"/>
  <c r="N922" i="45"/>
  <c r="N87" i="45"/>
  <c r="N635" i="45"/>
  <c r="N975" i="45"/>
  <c r="N1058" i="45"/>
  <c r="N83" i="45"/>
  <c r="N93" i="45"/>
  <c r="N1000" i="45"/>
  <c r="N92" i="45"/>
  <c r="N89" i="45"/>
  <c r="N954" i="45"/>
  <c r="N640" i="45"/>
  <c r="N90" i="45"/>
  <c r="N960" i="45"/>
  <c r="N818" i="45"/>
  <c r="N91" i="45"/>
  <c r="N644" i="45"/>
  <c r="N88" i="45"/>
  <c r="N98" i="45"/>
  <c r="N94" i="45"/>
  <c r="N96" i="45"/>
  <c r="N772" i="45"/>
  <c r="N95" i="45"/>
  <c r="N97" i="45"/>
  <c r="N622" i="45"/>
  <c r="N796" i="45"/>
  <c r="N1027" i="45"/>
  <c r="N100" i="45"/>
  <c r="N846" i="45"/>
  <c r="N101" i="45"/>
  <c r="N742" i="45"/>
  <c r="N99" i="45"/>
  <c r="N689" i="45"/>
  <c r="N817" i="45"/>
  <c r="N109" i="45"/>
  <c r="N102" i="45"/>
  <c r="N103" i="45"/>
  <c r="N105" i="45"/>
  <c r="N789" i="45"/>
  <c r="N106" i="45"/>
  <c r="N890" i="45"/>
  <c r="N104" i="45"/>
  <c r="N953" i="45"/>
  <c r="N617" i="45"/>
  <c r="N108" i="45"/>
  <c r="N1009" i="45"/>
  <c r="N949" i="45"/>
  <c r="N107" i="45"/>
  <c r="N110" i="45"/>
  <c r="N725" i="45"/>
  <c r="N720" i="45"/>
  <c r="N830" i="45"/>
  <c r="N111" i="45"/>
  <c r="N619" i="45"/>
  <c r="N1025" i="45"/>
  <c r="N920" i="45"/>
  <c r="N733" i="45"/>
  <c r="N113" i="45"/>
  <c r="N112" i="45"/>
  <c r="N115" i="45"/>
  <c r="N994" i="45"/>
  <c r="N1012" i="45"/>
  <c r="N116" i="45"/>
  <c r="N822" i="45"/>
  <c r="N114" i="45"/>
  <c r="N703" i="45"/>
  <c r="N11" i="45"/>
  <c r="N866" i="45"/>
  <c r="N627" i="45"/>
  <c r="N118" i="45"/>
  <c r="N978" i="45"/>
  <c r="N945" i="45"/>
  <c r="N117" i="45"/>
  <c r="N1035" i="45"/>
  <c r="N698" i="45"/>
  <c r="N122" i="45"/>
  <c r="N1024" i="45"/>
  <c r="N120" i="45"/>
  <c r="N944" i="45"/>
  <c r="N1026" i="45"/>
  <c r="N706" i="45"/>
  <c r="N926" i="45"/>
  <c r="N119" i="45"/>
  <c r="N123" i="45"/>
  <c r="N675" i="45"/>
  <c r="N121" i="45"/>
  <c r="N713" i="45"/>
  <c r="N781" i="45"/>
  <c r="N127" i="45"/>
  <c r="N126" i="45"/>
  <c r="N128" i="45"/>
  <c r="N865" i="45"/>
  <c r="N124" i="45"/>
  <c r="N705" i="45"/>
  <c r="N125" i="45"/>
  <c r="N958" i="45"/>
  <c r="N623" i="45"/>
  <c r="N129" i="45"/>
  <c r="N786" i="45"/>
  <c r="N132" i="45"/>
  <c r="N133" i="45"/>
  <c r="N130" i="45"/>
  <c r="N131" i="45"/>
  <c r="N1048" i="45"/>
  <c r="N812" i="45"/>
  <c r="N134" i="45"/>
  <c r="N968" i="45"/>
  <c r="N677" i="45"/>
  <c r="N135" i="45"/>
  <c r="N137" i="45"/>
  <c r="N666" i="45"/>
  <c r="N750" i="45"/>
  <c r="N136" i="45"/>
  <c r="N138" i="45"/>
  <c r="N580" i="45"/>
  <c r="N140" i="45"/>
  <c r="N139" i="45"/>
  <c r="N144" i="45"/>
  <c r="N143" i="45"/>
  <c r="N736" i="45"/>
  <c r="N142" i="45"/>
  <c r="N141" i="45"/>
  <c r="N151" i="45"/>
  <c r="N145" i="45"/>
  <c r="N146" i="45"/>
  <c r="N152" i="45"/>
  <c r="N150" i="45"/>
  <c r="N147" i="45"/>
  <c r="N149" i="45"/>
  <c r="N148" i="45"/>
  <c r="N154" i="45"/>
  <c r="N160" i="45"/>
  <c r="N161" i="45"/>
  <c r="N996" i="45"/>
  <c r="N159" i="45"/>
  <c r="N156" i="45"/>
  <c r="N157" i="45"/>
  <c r="N914" i="45"/>
  <c r="N158" i="45"/>
  <c r="N162" i="45"/>
  <c r="N153" i="45"/>
  <c r="N155" i="45"/>
  <c r="N163" i="45"/>
  <c r="N174" i="45"/>
  <c r="N169" i="45"/>
  <c r="N165" i="45"/>
  <c r="N167" i="45"/>
  <c r="N171" i="45"/>
  <c r="N172" i="45"/>
  <c r="N170" i="45"/>
  <c r="N173" i="45"/>
  <c r="N863" i="45"/>
  <c r="N164" i="45"/>
  <c r="N168" i="45"/>
  <c r="N166" i="45"/>
  <c r="N599" i="45"/>
  <c r="N182" i="45"/>
  <c r="N176" i="45"/>
  <c r="N175" i="45"/>
  <c r="N1061" i="45"/>
  <c r="N177" i="45"/>
  <c r="N181" i="45"/>
  <c r="N184" i="45"/>
  <c r="N870" i="45"/>
  <c r="N183" i="45"/>
  <c r="N782" i="45"/>
  <c r="N180" i="45"/>
  <c r="N728" i="45"/>
  <c r="N930" i="45"/>
  <c r="N179" i="45"/>
  <c r="N927" i="45"/>
  <c r="N178" i="45"/>
  <c r="N193" i="45"/>
  <c r="N187" i="45"/>
  <c r="N192" i="45"/>
  <c r="N185" i="45"/>
  <c r="N607" i="45"/>
  <c r="N188" i="45"/>
  <c r="N753" i="45"/>
  <c r="N189" i="45"/>
  <c r="N722" i="45"/>
  <c r="N631" i="45"/>
  <c r="N191" i="45"/>
  <c r="N190" i="45"/>
  <c r="N643" i="45"/>
  <c r="N186" i="45"/>
  <c r="N199" i="45"/>
  <c r="N198" i="45"/>
  <c r="N1016" i="45"/>
  <c r="N880" i="45"/>
  <c r="N200" i="45"/>
  <c r="N194" i="45"/>
  <c r="N197" i="45"/>
  <c r="N912" i="45"/>
  <c r="N195" i="45"/>
  <c r="N959" i="45"/>
  <c r="N196" i="45"/>
  <c r="N691" i="45"/>
  <c r="N205" i="45"/>
  <c r="N819" i="45"/>
  <c r="N851" i="45"/>
  <c r="N203" i="45"/>
  <c r="N202" i="45"/>
  <c r="N204" i="45"/>
  <c r="N201" i="45"/>
  <c r="N206" i="45"/>
  <c r="N588" i="45"/>
  <c r="N663" i="45"/>
  <c r="N207" i="45"/>
  <c r="N208" i="45"/>
  <c r="N209" i="45"/>
  <c r="N678" i="45"/>
  <c r="N845" i="45"/>
  <c r="N213" i="45"/>
  <c r="N212" i="45"/>
  <c r="N210" i="45"/>
  <c r="N211" i="45"/>
  <c r="N788" i="45"/>
  <c r="N214" i="45"/>
  <c r="N215" i="45"/>
  <c r="N659" i="45"/>
  <c r="N924" i="45"/>
  <c r="N217" i="45"/>
  <c r="N218" i="45"/>
  <c r="N216" i="45"/>
  <c r="N219" i="45"/>
  <c r="N221" i="45"/>
  <c r="N220" i="45"/>
  <c r="N222" i="45"/>
  <c r="N621" i="45"/>
  <c r="N223" i="45"/>
  <c r="N860" i="45"/>
  <c r="N1007" i="45"/>
  <c r="N224" i="45"/>
  <c r="N1046" i="45"/>
  <c r="N800" i="45"/>
  <c r="N1041" i="45"/>
  <c r="N804" i="45"/>
  <c r="N225" i="45"/>
  <c r="N226" i="45"/>
  <c r="N674" i="45"/>
  <c r="N615" i="45"/>
  <c r="N861" i="45"/>
  <c r="N899" i="45"/>
  <c r="N227" i="45"/>
  <c r="N791" i="45"/>
  <c r="N923" i="45"/>
  <c r="N1052" i="45"/>
  <c r="N230" i="45"/>
  <c r="N231" i="45"/>
  <c r="N613" i="45"/>
  <c r="N730" i="45"/>
  <c r="N233" i="45"/>
  <c r="N228" i="45"/>
  <c r="N236" i="45"/>
  <c r="N854" i="45"/>
  <c r="N235" i="45"/>
  <c r="N229" i="45"/>
  <c r="N234" i="45"/>
  <c r="N232" i="45"/>
  <c r="N685" i="45"/>
  <c r="N1047" i="45"/>
  <c r="N624" i="45"/>
  <c r="N238" i="45"/>
  <c r="N239" i="45"/>
  <c r="N832" i="45"/>
  <c r="N237" i="45"/>
  <c r="N825" i="45"/>
  <c r="N240" i="45"/>
  <c r="N243" i="45"/>
  <c r="N708" i="45"/>
  <c r="N242" i="45"/>
  <c r="N241" i="45"/>
  <c r="N247" i="45"/>
  <c r="N248" i="45"/>
  <c r="N246" i="45"/>
  <c r="N245" i="45"/>
  <c r="N244" i="45"/>
  <c r="N249" i="45"/>
  <c r="N251" i="45"/>
  <c r="N1043" i="45"/>
  <c r="N250" i="45"/>
  <c r="N252" i="45"/>
  <c r="N636" i="45"/>
  <c r="N972" i="45"/>
  <c r="N856" i="45"/>
  <c r="N258" i="45"/>
  <c r="N5" i="45"/>
  <c r="N256" i="45"/>
  <c r="N831" i="45"/>
  <c r="N253" i="45"/>
  <c r="N254" i="45"/>
  <c r="N255" i="45"/>
  <c r="N257" i="45"/>
  <c r="N731" i="45"/>
  <c r="N261" i="45"/>
  <c r="N260" i="45"/>
  <c r="N262" i="45"/>
  <c r="N826" i="45"/>
  <c r="N1057" i="45"/>
  <c r="N1004" i="45"/>
  <c r="N864" i="45"/>
  <c r="N1021" i="45"/>
  <c r="N654" i="45"/>
  <c r="N694" i="45"/>
  <c r="N259" i="45"/>
  <c r="N754" i="45"/>
  <c r="N915" i="45"/>
  <c r="N628" i="45"/>
  <c r="N269" i="45"/>
  <c r="N813" i="45"/>
  <c r="N9" i="45"/>
  <c r="N268" i="45"/>
  <c r="N265" i="45"/>
  <c r="N855" i="45"/>
  <c r="N267" i="45"/>
  <c r="N264" i="45"/>
  <c r="N266" i="45"/>
  <c r="N745" i="45"/>
  <c r="N263" i="45"/>
  <c r="N739" i="45"/>
  <c r="N982" i="45"/>
  <c r="N595" i="45"/>
  <c r="N630" i="45"/>
  <c r="N272" i="45"/>
  <c r="N275" i="45"/>
  <c r="N276" i="45"/>
  <c r="N270" i="45"/>
  <c r="N271" i="45"/>
  <c r="N273" i="45"/>
  <c r="N277" i="45"/>
  <c r="N274" i="45"/>
  <c r="N1060" i="45"/>
  <c r="N278" i="45"/>
  <c r="N1014" i="45"/>
  <c r="N279" i="45"/>
  <c r="N284" i="45"/>
  <c r="N281" i="45"/>
  <c r="N842" i="45"/>
  <c r="N280" i="45"/>
  <c r="N909" i="45"/>
  <c r="N976" i="45"/>
  <c r="N283" i="45"/>
  <c r="N286" i="45"/>
  <c r="N287" i="45"/>
  <c r="N285" i="45"/>
  <c r="N282" i="45"/>
  <c r="N992" i="45"/>
  <c r="N1008" i="45"/>
  <c r="N587" i="45"/>
  <c r="N1054" i="45"/>
  <c r="N290" i="45"/>
  <c r="N292" i="45"/>
  <c r="N965" i="45"/>
  <c r="N289" i="45"/>
  <c r="N917" i="45"/>
  <c r="N288" i="45"/>
  <c r="N601" i="45"/>
  <c r="N948" i="45"/>
  <c r="N291" i="45"/>
  <c r="N293" i="45"/>
  <c r="N795" i="45"/>
  <c r="N294" i="45"/>
  <c r="N716" i="45"/>
  <c r="N300" i="45"/>
  <c r="N303" i="45"/>
  <c r="N977" i="45"/>
  <c r="N908" i="45"/>
  <c r="N296" i="45"/>
  <c r="N299" i="45"/>
  <c r="N298" i="45"/>
  <c r="N307" i="45"/>
  <c r="N302" i="45"/>
  <c r="N967" i="45"/>
  <c r="N778" i="45"/>
  <c r="N305" i="45"/>
  <c r="N304" i="45"/>
  <c r="N295" i="45"/>
  <c r="N306" i="45"/>
  <c r="N301" i="45"/>
  <c r="N297" i="45"/>
  <c r="N1038" i="45"/>
  <c r="N314" i="45"/>
  <c r="N840" i="45"/>
  <c r="N1039" i="45"/>
  <c r="N315" i="45"/>
  <c r="N316" i="45"/>
  <c r="N608" i="45"/>
  <c r="N317" i="45"/>
  <c r="N310" i="45"/>
  <c r="N312" i="45"/>
  <c r="N665" i="45"/>
  <c r="N308" i="45"/>
  <c r="N318" i="45"/>
  <c r="N309" i="45"/>
  <c r="N311" i="45"/>
  <c r="N313" i="45"/>
  <c r="N616" i="45"/>
  <c r="N827" i="45"/>
  <c r="N684" i="45"/>
  <c r="N664" i="45"/>
  <c r="N319" i="45"/>
  <c r="N740" i="45"/>
  <c r="N762" i="45"/>
  <c r="N323" i="45"/>
  <c r="N1049" i="45"/>
  <c r="N701" i="45"/>
  <c r="N792" i="45"/>
  <c r="N322" i="45"/>
  <c r="N849" i="45"/>
  <c r="N328" i="45"/>
  <c r="N586" i="45"/>
  <c r="N907" i="45"/>
  <c r="N321" i="45"/>
  <c r="N327" i="45"/>
  <c r="N326" i="45"/>
  <c r="N325" i="45"/>
  <c r="N897" i="45"/>
  <c r="N329" i="45"/>
  <c r="N324" i="45"/>
  <c r="N320" i="45"/>
  <c r="N893" i="45"/>
  <c r="N331" i="45"/>
  <c r="N332" i="45"/>
  <c r="N718" i="45"/>
  <c r="N933" i="45"/>
  <c r="N799" i="45"/>
  <c r="N1010" i="45"/>
  <c r="N872" i="45"/>
  <c r="N330" i="45"/>
  <c r="N839" i="45"/>
  <c r="N787" i="45"/>
  <c r="N837" i="45"/>
  <c r="N335" i="45"/>
  <c r="N337" i="45"/>
  <c r="N712" i="45"/>
  <c r="N859" i="45"/>
  <c r="N651" i="45"/>
  <c r="N336" i="45"/>
  <c r="N820" i="45"/>
  <c r="N641" i="45"/>
  <c r="N333" i="45"/>
  <c r="N334" i="45"/>
  <c r="N711" i="45"/>
  <c r="N755" i="45"/>
  <c r="N759" i="45"/>
  <c r="N1037" i="45"/>
  <c r="N338" i="45"/>
  <c r="N785" i="45"/>
  <c r="N1030" i="45"/>
  <c r="N594" i="45"/>
  <c r="N341" i="45"/>
  <c r="N340" i="45"/>
  <c r="N803" i="45"/>
  <c r="N339" i="45"/>
  <c r="N342" i="45"/>
  <c r="N343" i="45"/>
  <c r="N672" i="45"/>
  <c r="N896" i="45"/>
  <c r="N747" i="45"/>
  <c r="N749" i="45"/>
  <c r="N585" i="45"/>
  <c r="N345" i="45"/>
  <c r="N344" i="45"/>
  <c r="N952" i="45"/>
  <c r="N777" i="45"/>
  <c r="N346" i="45"/>
  <c r="N829" i="45"/>
  <c r="N350" i="45"/>
  <c r="N858" i="45"/>
  <c r="N900" i="45"/>
  <c r="N347" i="45"/>
  <c r="N348" i="45"/>
  <c r="N349" i="45"/>
  <c r="N878" i="45"/>
  <c r="N603" i="45"/>
  <c r="N815" i="45"/>
  <c r="N986" i="45"/>
  <c r="N1001" i="45"/>
  <c r="N3" i="45"/>
  <c r="N354" i="45"/>
  <c r="N351" i="45"/>
  <c r="N353" i="45"/>
  <c r="N355" i="45"/>
  <c r="N352" i="45"/>
  <c r="N356" i="45"/>
  <c r="N721" i="45"/>
  <c r="N679" i="45"/>
  <c r="N357" i="45"/>
  <c r="N359" i="45"/>
  <c r="N891" i="45"/>
  <c r="N358" i="45"/>
  <c r="N656" i="45"/>
  <c r="N748" i="45"/>
  <c r="N360" i="45"/>
  <c r="N947" i="45"/>
  <c r="N653" i="45"/>
  <c r="N361" i="45"/>
  <c r="N935" i="45"/>
  <c r="N1020" i="45"/>
  <c r="N767" i="45"/>
  <c r="N824" i="45"/>
  <c r="N916" i="45"/>
  <c r="N363" i="45"/>
  <c r="N364" i="45"/>
  <c r="N680" i="45"/>
  <c r="N362" i="45"/>
  <c r="N366" i="45"/>
  <c r="N779" i="45"/>
  <c r="N365" i="45"/>
  <c r="N367" i="45"/>
  <c r="N690" i="45"/>
  <c r="N368" i="45"/>
  <c r="N814" i="45"/>
  <c r="N942" i="45"/>
  <c r="N370" i="45"/>
  <c r="N956" i="45"/>
  <c r="N1018" i="45"/>
  <c r="N371" i="45"/>
  <c r="N769" i="45"/>
  <c r="N369" i="45"/>
  <c r="N610" i="45"/>
  <c r="N836" i="45"/>
  <c r="N372" i="45"/>
  <c r="N7" i="45"/>
  <c r="N723" i="45"/>
  <c r="N807" i="45"/>
  <c r="N715" i="45"/>
  <c r="N583" i="45"/>
  <c r="N770" i="45"/>
  <c r="N676" i="45"/>
  <c r="N985" i="45"/>
  <c r="N964" i="45"/>
  <c r="N999" i="45"/>
  <c r="N373" i="45"/>
  <c r="N1017" i="45"/>
  <c r="N634" i="45"/>
  <c r="N1036" i="45"/>
  <c r="N925" i="45"/>
  <c r="N1033" i="45"/>
  <c r="N375" i="45"/>
  <c r="N374" i="45"/>
  <c r="N902" i="45"/>
  <c r="N990" i="45"/>
  <c r="N625" i="45"/>
  <c r="N763" i="45"/>
  <c r="N955" i="45"/>
  <c r="N379" i="45"/>
  <c r="N378" i="45"/>
  <c r="N377" i="45"/>
  <c r="N966" i="45"/>
  <c r="N940" i="45"/>
  <c r="N376" i="45"/>
  <c r="N581" i="45"/>
  <c r="N995" i="45"/>
  <c r="N1044" i="45"/>
  <c r="N704" i="45"/>
  <c r="N582" i="45"/>
  <c r="N380" i="45"/>
  <c r="N381" i="45"/>
  <c r="N702" i="45"/>
  <c r="N382" i="45"/>
  <c r="N592" i="45"/>
  <c r="N938" i="45"/>
  <c r="N383" i="45"/>
  <c r="N798" i="45"/>
  <c r="N774" i="45"/>
  <c r="N385" i="45"/>
  <c r="N973" i="45"/>
  <c r="N384" i="45"/>
  <c r="N387" i="45"/>
  <c r="N386" i="45"/>
  <c r="N388" i="45"/>
  <c r="N979" i="45"/>
  <c r="N686" i="45"/>
  <c r="N589" i="45"/>
  <c r="N898" i="45"/>
  <c r="N997" i="45"/>
  <c r="N838" i="45"/>
  <c r="N991" i="45"/>
  <c r="N389" i="45"/>
  <c r="N390" i="45"/>
  <c r="N906" i="45"/>
  <c r="N392" i="45"/>
  <c r="N391" i="45"/>
  <c r="N639" i="45"/>
  <c r="N645" i="45"/>
  <c r="N1022" i="45"/>
  <c r="N396" i="45"/>
  <c r="N394" i="45"/>
  <c r="N671" i="45"/>
  <c r="N951" i="45"/>
  <c r="N395" i="45"/>
  <c r="N393" i="45"/>
  <c r="N401" i="45"/>
  <c r="N398" i="45"/>
  <c r="N602" i="45"/>
  <c r="N399" i="45"/>
  <c r="N397" i="45"/>
  <c r="N400" i="45"/>
  <c r="N776" i="45"/>
  <c r="N405" i="45"/>
  <c r="N734" i="45"/>
  <c r="N709" i="45"/>
  <c r="N406" i="45"/>
  <c r="N738" i="45"/>
  <c r="N404" i="45"/>
  <c r="N402" i="45"/>
  <c r="N403" i="45"/>
  <c r="N408" i="45"/>
  <c r="N410" i="45"/>
  <c r="N409" i="45"/>
  <c r="N411" i="45"/>
  <c r="N660" i="45"/>
  <c r="N988" i="45"/>
  <c r="N757" i="45"/>
  <c r="N407" i="45"/>
  <c r="N833" i="45"/>
  <c r="N412" i="45"/>
  <c r="N744" i="45"/>
  <c r="N943" i="45"/>
  <c r="N413" i="45"/>
  <c r="N414" i="45"/>
  <c r="N649" i="45"/>
  <c r="N844" i="45"/>
  <c r="N879" i="45"/>
  <c r="N1005" i="45"/>
  <c r="N987" i="45"/>
  <c r="N415" i="45"/>
  <c r="N416" i="45"/>
  <c r="N417" i="45"/>
  <c r="N418" i="45"/>
  <c r="N604" i="45"/>
  <c r="N998" i="45"/>
  <c r="N420" i="45"/>
  <c r="N419" i="45"/>
  <c r="N422" i="45"/>
  <c r="N801" i="45"/>
  <c r="N668" i="45"/>
  <c r="N421" i="45"/>
  <c r="N424" i="45"/>
  <c r="N847" i="45"/>
  <c r="N425" i="45"/>
  <c r="N888" i="45"/>
  <c r="N423" i="45"/>
  <c r="N1032" i="45"/>
  <c r="N426" i="45"/>
  <c r="N430" i="45"/>
  <c r="N432" i="45"/>
  <c r="N433" i="45"/>
  <c r="N834" i="45"/>
  <c r="N431" i="45"/>
  <c r="N434" i="45"/>
  <c r="N428" i="45"/>
  <c r="N429" i="45"/>
  <c r="N427" i="45"/>
  <c r="N437" i="45"/>
  <c r="N438" i="45"/>
  <c r="N435" i="45"/>
  <c r="N928" i="45"/>
  <c r="N848" i="45"/>
  <c r="N882" i="45"/>
  <c r="N1031" i="45"/>
  <c r="N436" i="45"/>
  <c r="N442" i="45"/>
  <c r="N439" i="45"/>
  <c r="N946" i="45"/>
  <c r="N441" i="45"/>
  <c r="N440" i="45"/>
  <c r="N638" i="45"/>
  <c r="N444" i="45"/>
  <c r="N443" i="45"/>
  <c r="N597" i="45"/>
  <c r="N939" i="45"/>
  <c r="N446" i="45"/>
  <c r="N449" i="45"/>
  <c r="N445" i="45"/>
  <c r="N447" i="45"/>
  <c r="N1062" i="45"/>
  <c r="N687" i="45"/>
  <c r="N448" i="45"/>
  <c r="N1002" i="45"/>
  <c r="N876" i="45"/>
  <c r="N451" i="45"/>
  <c r="N743" i="45"/>
  <c r="N971" i="45"/>
  <c r="N662" i="45"/>
  <c r="N450" i="45"/>
  <c r="N1051" i="45"/>
  <c r="N457" i="45"/>
  <c r="N869" i="45"/>
  <c r="N460" i="45"/>
  <c r="N453" i="45"/>
  <c r="N459" i="45"/>
  <c r="N452" i="45"/>
  <c r="N456" i="45"/>
  <c r="N458" i="45"/>
  <c r="N461" i="45"/>
  <c r="N455" i="45"/>
  <c r="N454" i="45"/>
  <c r="N463" i="45"/>
  <c r="N465" i="45"/>
  <c r="N466" i="45"/>
  <c r="N682" i="45"/>
  <c r="N467" i="45"/>
  <c r="N462" i="45"/>
  <c r="N464" i="45"/>
  <c r="N478" i="45"/>
  <c r="N479" i="45"/>
  <c r="N681" i="45"/>
  <c r="N476" i="45"/>
  <c r="N468" i="45"/>
  <c r="N470" i="45"/>
  <c r="N471" i="45"/>
  <c r="N472" i="45"/>
  <c r="N477" i="45"/>
  <c r="N469" i="45"/>
  <c r="N474" i="45"/>
  <c r="N475" i="45"/>
  <c r="N1042" i="45"/>
  <c r="N473" i="45"/>
  <c r="N487" i="45"/>
  <c r="N482" i="45"/>
  <c r="N768" i="45"/>
  <c r="N591" i="45"/>
  <c r="N481" i="45"/>
  <c r="N483" i="45"/>
  <c r="N484" i="45"/>
  <c r="N724" i="45"/>
  <c r="N904" i="45"/>
  <c r="N980" i="45"/>
  <c r="N647" i="45"/>
  <c r="N480" i="45"/>
  <c r="N8" i="45"/>
  <c r="N486" i="45"/>
  <c r="N485" i="45"/>
  <c r="N496" i="45"/>
  <c r="N650" i="45"/>
  <c r="N491" i="45"/>
  <c r="N937" i="45"/>
  <c r="N498" i="45"/>
  <c r="N492" i="45"/>
  <c r="N1011" i="45"/>
  <c r="N489" i="45"/>
  <c r="N490" i="45"/>
  <c r="N493" i="45"/>
  <c r="N497" i="45"/>
  <c r="N495" i="45"/>
  <c r="N646" i="45"/>
  <c r="N488" i="45"/>
  <c r="N929" i="45"/>
  <c r="N494" i="45"/>
  <c r="N503" i="45"/>
  <c r="N499" i="45"/>
  <c r="N501" i="45"/>
  <c r="N871" i="45"/>
  <c r="N710" i="45"/>
  <c r="N502" i="45"/>
  <c r="N1059" i="45"/>
  <c r="N507" i="45"/>
  <c r="N506" i="45"/>
  <c r="N505" i="45"/>
  <c r="N504" i="45"/>
  <c r="N969" i="45"/>
  <c r="N828" i="45"/>
  <c r="N857" i="45"/>
  <c r="N508" i="45"/>
  <c r="N500" i="45"/>
  <c r="N509" i="45"/>
  <c r="N515" i="45"/>
  <c r="N517" i="45"/>
  <c r="N513" i="45"/>
  <c r="N511" i="45"/>
  <c r="N510" i="45"/>
  <c r="N514" i="45"/>
  <c r="N877" i="45"/>
  <c r="N519" i="45"/>
  <c r="N919" i="45"/>
  <c r="N726" i="45"/>
  <c r="N810" i="45"/>
  <c r="N520" i="45"/>
  <c r="N518" i="45"/>
  <c r="N512" i="45"/>
  <c r="N516" i="45"/>
  <c r="N524" i="45"/>
  <c r="N521" i="45"/>
  <c r="N522" i="45"/>
  <c r="N526" i="45"/>
  <c r="N527" i="45"/>
  <c r="N523" i="45"/>
  <c r="N525" i="45"/>
  <c r="N918" i="45"/>
  <c r="N528" i="45"/>
  <c r="N530" i="45"/>
  <c r="N633" i="45"/>
  <c r="N752" i="45"/>
  <c r="N593" i="45"/>
  <c r="N529" i="45"/>
  <c r="N889" i="45"/>
  <c r="N620" i="45"/>
  <c r="N642" i="45"/>
  <c r="N1065" i="45"/>
  <c r="N533" i="45"/>
  <c r="N532" i="45"/>
  <c r="N1023" i="45"/>
  <c r="N1063" i="45"/>
  <c r="N531" i="45"/>
  <c r="N535" i="45"/>
  <c r="N536" i="45"/>
  <c r="N892" i="45"/>
  <c r="N534" i="45"/>
  <c r="N695" i="45"/>
  <c r="N544" i="45"/>
  <c r="N950" i="45"/>
  <c r="N541" i="45"/>
  <c r="N543" i="45"/>
  <c r="N538" i="45"/>
  <c r="N537" i="45"/>
  <c r="N542" i="45"/>
  <c r="N540" i="45"/>
  <c r="N707" i="45"/>
  <c r="N539" i="45"/>
  <c r="N692" i="45"/>
  <c r="N545" i="45"/>
  <c r="N652" i="45"/>
  <c r="N547" i="45"/>
  <c r="N546" i="45"/>
  <c r="N548" i="45"/>
  <c r="N746" i="45"/>
  <c r="N961" i="45"/>
  <c r="N6" i="45"/>
  <c r="N549" i="45"/>
  <c r="N693" i="45"/>
  <c r="N550" i="45"/>
  <c r="N683" i="45"/>
  <c r="N551" i="45"/>
  <c r="N553" i="45"/>
  <c r="N852" i="45"/>
  <c r="N552" i="45"/>
  <c r="N758" i="45"/>
  <c r="N555" i="45"/>
  <c r="N775" i="45"/>
  <c r="N1015" i="45"/>
  <c r="N554" i="45"/>
  <c r="N910" i="45"/>
  <c r="N556" i="45"/>
  <c r="N963" i="45"/>
  <c r="N559" i="45"/>
  <c r="N637" i="45"/>
  <c r="N841" i="45"/>
  <c r="N557" i="45"/>
  <c r="N558" i="45"/>
  <c r="N598" i="45"/>
  <c r="N970" i="45"/>
  <c r="N579" i="45"/>
  <c r="N563" i="45"/>
  <c r="N561" i="45"/>
  <c r="N562" i="45"/>
  <c r="N560" i="45"/>
  <c r="N808" i="45"/>
  <c r="N984" i="45"/>
  <c r="N874" i="45"/>
  <c r="N565" i="45"/>
  <c r="N564" i="45"/>
  <c r="N962" i="45"/>
  <c r="N936" i="45"/>
  <c r="N884" i="45"/>
  <c r="N1029" i="45"/>
  <c r="N566" i="45"/>
  <c r="N761" i="45"/>
  <c r="N567" i="45"/>
  <c r="N760" i="45"/>
  <c r="N1034" i="45"/>
  <c r="N568" i="45"/>
  <c r="N1050" i="45"/>
  <c r="N570" i="45"/>
  <c r="N1045" i="45"/>
  <c r="N993" i="45"/>
  <c r="N794" i="45"/>
  <c r="N569" i="45"/>
  <c r="N572" i="45"/>
  <c r="N571" i="45"/>
  <c r="N600" i="45"/>
  <c r="N1019" i="45"/>
  <c r="N573" i="45"/>
  <c r="N911" i="45"/>
  <c r="N835" i="45"/>
  <c r="N574" i="45"/>
  <c r="N843" i="45"/>
  <c r="N811" i="45"/>
  <c r="N576" i="45"/>
  <c r="N575" i="45"/>
  <c r="N577" i="45"/>
  <c r="N862" i="45"/>
  <c r="N578" i="45"/>
  <c r="N614" i="45"/>
  <c r="O629" i="45"/>
  <c r="O934" i="45"/>
  <c r="O655" i="45"/>
  <c r="O802" i="45"/>
  <c r="P802" i="45" s="1"/>
  <c r="Q802" i="45" s="1"/>
  <c r="O13" i="45"/>
  <c r="O741" i="45"/>
  <c r="O673" i="45"/>
  <c r="O16" i="45"/>
  <c r="O688" i="45"/>
  <c r="O15" i="45"/>
  <c r="O14" i="45"/>
  <c r="O766" i="45"/>
  <c r="O696" i="45"/>
  <c r="O850" i="45"/>
  <c r="O17" i="45"/>
  <c r="O590" i="45"/>
  <c r="O699" i="45"/>
  <c r="O19" i="45"/>
  <c r="O612" i="45"/>
  <c r="O18" i="45"/>
  <c r="O974" i="45"/>
  <c r="O21" i="45"/>
  <c r="O23" i="45"/>
  <c r="O22" i="45"/>
  <c r="O816" i="45"/>
  <c r="O883" i="45"/>
  <c r="O20" i="45"/>
  <c r="O24" i="45"/>
  <c r="O605" i="45"/>
  <c r="O886" i="45"/>
  <c r="O714" i="45"/>
  <c r="O667" i="45"/>
  <c r="P667" i="45" s="1"/>
  <c r="Q667" i="45" s="1"/>
  <c r="O25" i="45"/>
  <c r="O618" i="45"/>
  <c r="O805" i="45"/>
  <c r="O29" i="45"/>
  <c r="O30" i="45"/>
  <c r="O27" i="45"/>
  <c r="O28" i="45"/>
  <c r="O983" i="45"/>
  <c r="O26" i="45"/>
  <c r="O823" i="45"/>
  <c r="O881" i="45"/>
  <c r="O31" i="45"/>
  <c r="O32" i="45"/>
  <c r="O632" i="45"/>
  <c r="O12" i="45"/>
  <c r="O867" i="45"/>
  <c r="O609" i="45"/>
  <c r="O729" i="45"/>
  <c r="P729" i="45" s="1"/>
  <c r="Q729" i="45" s="1"/>
  <c r="O1003" i="45"/>
  <c r="O941" i="45"/>
  <c r="O596" i="45"/>
  <c r="O1064" i="45"/>
  <c r="O727" i="45"/>
  <c r="O981" i="45"/>
  <c r="P981" i="45" s="1"/>
  <c r="Q981" i="45" s="1"/>
  <c r="O957" i="45"/>
  <c r="O806" i="45"/>
  <c r="O33" i="45"/>
  <c r="O34" i="45"/>
  <c r="O773" i="45"/>
  <c r="O661" i="45"/>
  <c r="O885" i="45"/>
  <c r="O37" i="45"/>
  <c r="O764" i="45"/>
  <c r="O35" i="45"/>
  <c r="O36" i="45"/>
  <c r="O931" i="45"/>
  <c r="O39" i="45"/>
  <c r="O719" i="45"/>
  <c r="O905" i="45"/>
  <c r="O901" i="45"/>
  <c r="O38" i="45"/>
  <c r="O797" i="45"/>
  <c r="O42" i="45"/>
  <c r="O584" i="45"/>
  <c r="O40" i="45"/>
  <c r="O903" i="45"/>
  <c r="P903" i="45" s="1"/>
  <c r="Q903" i="45" s="1"/>
  <c r="O10" i="45"/>
  <c r="O732" i="45"/>
  <c r="O1013" i="45"/>
  <c r="O771" i="45"/>
  <c r="O41" i="45"/>
  <c r="O895" i="45"/>
  <c r="O784" i="45"/>
  <c r="O45" i="45"/>
  <c r="O47" i="45"/>
  <c r="O44" i="45"/>
  <c r="O46" i="45"/>
  <c r="O737" i="45"/>
  <c r="P737" i="45" s="1"/>
  <c r="Q737" i="45" s="1"/>
  <c r="O697" i="45"/>
  <c r="O751" i="45"/>
  <c r="P751" i="45" s="1"/>
  <c r="Q751" i="45" s="1"/>
  <c r="O868" i="45"/>
  <c r="O606" i="45"/>
  <c r="O989" i="45"/>
  <c r="O43" i="45"/>
  <c r="O913" i="45"/>
  <c r="O783" i="45"/>
  <c r="O49" i="45"/>
  <c r="O658" i="45"/>
  <c r="O51" i="45"/>
  <c r="O52" i="45"/>
  <c r="O48" i="45"/>
  <c r="O50" i="45"/>
  <c r="P50" i="45" s="1"/>
  <c r="Q50" i="45" s="1"/>
  <c r="O53" i="45"/>
  <c r="O765" i="45"/>
  <c r="O793" i="45"/>
  <c r="O873" i="45"/>
  <c r="O735" i="45"/>
  <c r="O894" i="45"/>
  <c r="O875" i="45"/>
  <c r="O700" i="45"/>
  <c r="O54" i="45"/>
  <c r="O4" i="45"/>
  <c r="P4" i="45" s="1"/>
  <c r="Q4" i="45" s="1"/>
  <c r="O626" i="45"/>
  <c r="O62" i="45"/>
  <c r="O56" i="45"/>
  <c r="O670" i="45"/>
  <c r="O780" i="45"/>
  <c r="O1056" i="45"/>
  <c r="O61" i="45"/>
  <c r="O55" i="45"/>
  <c r="O60" i="45"/>
  <c r="O57" i="45"/>
  <c r="O59" i="45"/>
  <c r="P59" i="45" s="1"/>
  <c r="Q59" i="45" s="1"/>
  <c r="O611" i="45"/>
  <c r="O58" i="45"/>
  <c r="P58" i="45" s="1"/>
  <c r="Q58" i="45" s="1"/>
  <c r="O64" i="45"/>
  <c r="O932" i="45"/>
  <c r="O65" i="45"/>
  <c r="O63" i="45"/>
  <c r="P63" i="45" s="1"/>
  <c r="Q63" i="45" s="1"/>
  <c r="O717" i="45"/>
  <c r="O66" i="45"/>
  <c r="O67" i="45"/>
  <c r="O853" i="45"/>
  <c r="O809" i="45"/>
  <c r="O1053" i="45"/>
  <c r="O68" i="45"/>
  <c r="O921" i="45"/>
  <c r="P921" i="45" s="1"/>
  <c r="Q921" i="45" s="1"/>
  <c r="O70" i="45"/>
  <c r="P70" i="45" s="1"/>
  <c r="Q70" i="45" s="1"/>
  <c r="O69" i="45"/>
  <c r="O71" i="45"/>
  <c r="O72" i="45"/>
  <c r="O657" i="45"/>
  <c r="O1040" i="45"/>
  <c r="O1006" i="45"/>
  <c r="O74" i="45"/>
  <c r="O77" i="45"/>
  <c r="O75" i="45"/>
  <c r="P75" i="45" s="1"/>
  <c r="Q75" i="45" s="1"/>
  <c r="O648" i="45"/>
  <c r="O756" i="45"/>
  <c r="O76" i="45"/>
  <c r="O790" i="45"/>
  <c r="O73" i="45"/>
  <c r="O1028" i="45"/>
  <c r="P1028" i="45" s="1"/>
  <c r="Q1028" i="45" s="1"/>
  <c r="O887" i="45"/>
  <c r="O78" i="45"/>
  <c r="O821" i="45"/>
  <c r="O82" i="45"/>
  <c r="P82" i="45" s="1"/>
  <c r="Q82" i="45" s="1"/>
  <c r="O86" i="45"/>
  <c r="O79" i="45"/>
  <c r="O80" i="45"/>
  <c r="O84" i="45"/>
  <c r="O1055" i="45"/>
  <c r="O81" i="45"/>
  <c r="O85" i="45"/>
  <c r="O922" i="45"/>
  <c r="P922" i="45" s="1"/>
  <c r="Q922" i="45" s="1"/>
  <c r="O87" i="45"/>
  <c r="P87" i="45" s="1"/>
  <c r="Q87" i="45" s="1"/>
  <c r="O635" i="45"/>
  <c r="O975" i="45"/>
  <c r="O1058" i="45"/>
  <c r="O83" i="45"/>
  <c r="O93" i="45"/>
  <c r="O1000" i="45"/>
  <c r="O92" i="45"/>
  <c r="P92" i="45" s="1"/>
  <c r="Q92" i="45" s="1"/>
  <c r="O89" i="45"/>
  <c r="O954" i="45"/>
  <c r="O640" i="45"/>
  <c r="O90" i="45"/>
  <c r="P90" i="45" s="1"/>
  <c r="Q90" i="45" s="1"/>
  <c r="O960" i="45"/>
  <c r="O818" i="45"/>
  <c r="O91" i="45"/>
  <c r="O644" i="45"/>
  <c r="O88" i="45"/>
  <c r="O98" i="45"/>
  <c r="P98" i="45" s="1"/>
  <c r="Q98" i="45" s="1"/>
  <c r="O94" i="45"/>
  <c r="O96" i="45"/>
  <c r="P96" i="45" s="1"/>
  <c r="Q96" i="45" s="1"/>
  <c r="O772" i="45"/>
  <c r="O95" i="45"/>
  <c r="O97" i="45"/>
  <c r="O622" i="45"/>
  <c r="O796" i="45"/>
  <c r="O1027" i="45"/>
  <c r="O100" i="45"/>
  <c r="P100" i="45" s="1"/>
  <c r="Q100" i="45" s="1"/>
  <c r="O846" i="45"/>
  <c r="O101" i="45"/>
  <c r="O742" i="45"/>
  <c r="O99" i="45"/>
  <c r="P99" i="45" s="1"/>
  <c r="Q99" i="45" s="1"/>
  <c r="O689" i="45"/>
  <c r="O817" i="45"/>
  <c r="O109" i="45"/>
  <c r="O102" i="45"/>
  <c r="P102" i="45" s="1"/>
  <c r="Q102" i="45" s="1"/>
  <c r="O103" i="45"/>
  <c r="P103" i="45" s="1"/>
  <c r="Q103" i="45" s="1"/>
  <c r="O105" i="45"/>
  <c r="O789" i="45"/>
  <c r="O106" i="45"/>
  <c r="O890" i="45"/>
  <c r="O104" i="45"/>
  <c r="O953" i="45"/>
  <c r="O617" i="45"/>
  <c r="O108" i="45"/>
  <c r="O1009" i="45"/>
  <c r="O949" i="45"/>
  <c r="O107" i="45"/>
  <c r="O110" i="45"/>
  <c r="O725" i="45"/>
  <c r="O720" i="45"/>
  <c r="O830" i="45"/>
  <c r="O111" i="45"/>
  <c r="P111" i="45" s="1"/>
  <c r="Q111" i="45" s="1"/>
  <c r="O619" i="45"/>
  <c r="P619" i="45" s="1"/>
  <c r="Q619" i="45" s="1"/>
  <c r="O1025" i="45"/>
  <c r="O920" i="45"/>
  <c r="P920" i="45" s="1"/>
  <c r="Q920" i="45" s="1"/>
  <c r="O733" i="45"/>
  <c r="O113" i="45"/>
  <c r="O112" i="45"/>
  <c r="O115" i="45"/>
  <c r="O994" i="45"/>
  <c r="O1012" i="45"/>
  <c r="O116" i="45"/>
  <c r="O822" i="45"/>
  <c r="O114" i="45"/>
  <c r="O703" i="45"/>
  <c r="P703" i="45" s="1"/>
  <c r="Q703" i="45" s="1"/>
  <c r="O11" i="45"/>
  <c r="O866" i="45"/>
  <c r="P866" i="45" s="1"/>
  <c r="Q866" i="45" s="1"/>
  <c r="O627" i="45"/>
  <c r="O118" i="45"/>
  <c r="O978" i="45"/>
  <c r="O945" i="45"/>
  <c r="P945" i="45" s="1"/>
  <c r="Q945" i="45" s="1"/>
  <c r="O117" i="45"/>
  <c r="O1035" i="45"/>
  <c r="O698" i="45"/>
  <c r="O122" i="45"/>
  <c r="O1024" i="45"/>
  <c r="O120" i="45"/>
  <c r="O944" i="45"/>
  <c r="O1026" i="45"/>
  <c r="P1026" i="45" s="1"/>
  <c r="Q1026" i="45" s="1"/>
  <c r="O706" i="45"/>
  <c r="O926" i="45"/>
  <c r="O119" i="45"/>
  <c r="O123" i="45"/>
  <c r="O675" i="45"/>
  <c r="O121" i="45"/>
  <c r="O713" i="45"/>
  <c r="O781" i="45"/>
  <c r="O127" i="45"/>
  <c r="O126" i="45"/>
  <c r="P126" i="45" s="1"/>
  <c r="Q126" i="45" s="1"/>
  <c r="O128" i="45"/>
  <c r="O865" i="45"/>
  <c r="O124" i="45"/>
  <c r="P124" i="45" s="1"/>
  <c r="Q124" i="45" s="1"/>
  <c r="O705" i="45"/>
  <c r="O125" i="45"/>
  <c r="O958" i="45"/>
  <c r="P958" i="45" s="1"/>
  <c r="Q958" i="45" s="1"/>
  <c r="O623" i="45"/>
  <c r="O129" i="45"/>
  <c r="O786" i="45"/>
  <c r="O132" i="45"/>
  <c r="O133" i="45"/>
  <c r="O130" i="45"/>
  <c r="O131" i="45"/>
  <c r="O1048" i="45"/>
  <c r="P1048" i="45" s="1"/>
  <c r="Q1048" i="45" s="1"/>
  <c r="O812" i="45"/>
  <c r="O134" i="45"/>
  <c r="O968" i="45"/>
  <c r="O677" i="45"/>
  <c r="P677" i="45" s="1"/>
  <c r="Q677" i="45" s="1"/>
  <c r="O135" i="45"/>
  <c r="O137" i="45"/>
  <c r="O666" i="45"/>
  <c r="O750" i="45"/>
  <c r="O136" i="45"/>
  <c r="O138" i="45"/>
  <c r="P138" i="45" s="1"/>
  <c r="Q138" i="45" s="1"/>
  <c r="O580" i="45"/>
  <c r="O140" i="45"/>
  <c r="P140" i="45" s="1"/>
  <c r="Q140" i="45" s="1"/>
  <c r="O139" i="45"/>
  <c r="O144" i="45"/>
  <c r="O143" i="45"/>
  <c r="O736" i="45"/>
  <c r="O142" i="45"/>
  <c r="P142" i="45" s="1"/>
  <c r="Q142" i="45" s="1"/>
  <c r="O141" i="45"/>
  <c r="O151" i="45"/>
  <c r="O145" i="45"/>
  <c r="O146" i="45"/>
  <c r="O152" i="45"/>
  <c r="P152" i="45" s="1"/>
  <c r="Q152" i="45" s="1"/>
  <c r="O150" i="45"/>
  <c r="O147" i="45"/>
  <c r="O149" i="45"/>
  <c r="O148" i="45"/>
  <c r="O154" i="45"/>
  <c r="O160" i="45"/>
  <c r="P160" i="45" s="1"/>
  <c r="Q160" i="45" s="1"/>
  <c r="O161" i="45"/>
  <c r="P161" i="45" s="1"/>
  <c r="Q161" i="45" s="1"/>
  <c r="O996" i="45"/>
  <c r="O159" i="45"/>
  <c r="O156" i="45"/>
  <c r="O157" i="45"/>
  <c r="O914" i="45"/>
  <c r="O158" i="45"/>
  <c r="O162" i="45"/>
  <c r="P162" i="45" s="1"/>
  <c r="Q162" i="45" s="1"/>
  <c r="O153" i="45"/>
  <c r="O155" i="45"/>
  <c r="O163" i="45"/>
  <c r="O174" i="45"/>
  <c r="O169" i="45"/>
  <c r="O165" i="45"/>
  <c r="O167" i="45"/>
  <c r="O171" i="45"/>
  <c r="O172" i="45"/>
  <c r="P172" i="45" s="1"/>
  <c r="Q172" i="45" s="1"/>
  <c r="O170" i="45"/>
  <c r="O173" i="45"/>
  <c r="O863" i="45"/>
  <c r="O164" i="45"/>
  <c r="O168" i="45"/>
  <c r="O166" i="45"/>
  <c r="O599" i="45"/>
  <c r="P599" i="45" s="1"/>
  <c r="Q599" i="45" s="1"/>
  <c r="O182" i="45"/>
  <c r="O176" i="45"/>
  <c r="O175" i="45"/>
  <c r="O1061" i="45"/>
  <c r="O177" i="45"/>
  <c r="O181" i="45"/>
  <c r="O184" i="45"/>
  <c r="O870" i="45"/>
  <c r="P870" i="45" s="1"/>
  <c r="Q870" i="45" s="1"/>
  <c r="O183" i="45"/>
  <c r="O782" i="45"/>
  <c r="O180" i="45"/>
  <c r="O728" i="45"/>
  <c r="O930" i="45"/>
  <c r="P930" i="45" s="1"/>
  <c r="Q930" i="45" s="1"/>
  <c r="O179" i="45"/>
  <c r="O927" i="45"/>
  <c r="O178" i="45"/>
  <c r="O193" i="45"/>
  <c r="O187" i="45"/>
  <c r="P187" i="45" s="1"/>
  <c r="Q187" i="45" s="1"/>
  <c r="O192" i="45"/>
  <c r="O185" i="45"/>
  <c r="O607" i="45"/>
  <c r="O188" i="45"/>
  <c r="O753" i="45"/>
  <c r="O189" i="45"/>
  <c r="P189" i="45" s="1"/>
  <c r="Q189" i="45" s="1"/>
  <c r="O722" i="45"/>
  <c r="O631" i="45"/>
  <c r="O191" i="45"/>
  <c r="O190" i="45"/>
  <c r="O643" i="45"/>
  <c r="O186" i="45"/>
  <c r="P186" i="45" s="1"/>
  <c r="Q186" i="45" s="1"/>
  <c r="O199" i="45"/>
  <c r="O198" i="45"/>
  <c r="P198" i="45" s="1"/>
  <c r="Q198" i="45" s="1"/>
  <c r="O1016" i="45"/>
  <c r="O880" i="45"/>
  <c r="O200" i="45"/>
  <c r="O194" i="45"/>
  <c r="P194" i="45" s="1"/>
  <c r="Q194" i="45" s="1"/>
  <c r="O197" i="45"/>
  <c r="O912" i="45"/>
  <c r="O195" i="45"/>
  <c r="O959" i="45"/>
  <c r="O196" i="45"/>
  <c r="O691" i="45"/>
  <c r="O205" i="45"/>
  <c r="O819" i="45"/>
  <c r="P819" i="45" s="1"/>
  <c r="Q819" i="45" s="1"/>
  <c r="O851" i="45"/>
  <c r="O203" i="45"/>
  <c r="O202" i="45"/>
  <c r="O204" i="45"/>
  <c r="P204" i="45" s="1"/>
  <c r="Q204" i="45" s="1"/>
  <c r="O201" i="45"/>
  <c r="O206" i="45"/>
  <c r="O588" i="45"/>
  <c r="O663" i="45"/>
  <c r="O207" i="45"/>
  <c r="O208" i="45"/>
  <c r="P208" i="45" s="1"/>
  <c r="Q208" i="45" s="1"/>
  <c r="O209" i="45"/>
  <c r="O678" i="45"/>
  <c r="O845" i="45"/>
  <c r="O213" i="45"/>
  <c r="O212" i="45"/>
  <c r="O210" i="45"/>
  <c r="O211" i="45"/>
  <c r="O788" i="45"/>
  <c r="O214" i="45"/>
  <c r="O215" i="45"/>
  <c r="O659" i="45"/>
  <c r="O924" i="45"/>
  <c r="P924" i="45" s="1"/>
  <c r="Q924" i="45" s="1"/>
  <c r="O217" i="45"/>
  <c r="O218" i="45"/>
  <c r="P218" i="45" s="1"/>
  <c r="Q218" i="45" s="1"/>
  <c r="O216" i="45"/>
  <c r="O219" i="45"/>
  <c r="O221" i="45"/>
  <c r="O220" i="45"/>
  <c r="P220" i="45" s="1"/>
  <c r="Q220" i="45" s="1"/>
  <c r="O222" i="45"/>
  <c r="P222" i="45" s="1"/>
  <c r="Q222" i="45" s="1"/>
  <c r="O621" i="45"/>
  <c r="O223" i="45"/>
  <c r="O860" i="45"/>
  <c r="P860" i="45" s="1"/>
  <c r="Q860" i="45" s="1"/>
  <c r="O1007" i="45"/>
  <c r="O224" i="45"/>
  <c r="O1046" i="45"/>
  <c r="O800" i="45"/>
  <c r="O1041" i="45"/>
  <c r="O804" i="45"/>
  <c r="O225" i="45"/>
  <c r="O226" i="45"/>
  <c r="O674" i="45"/>
  <c r="O615" i="45"/>
  <c r="O861" i="45"/>
  <c r="O899" i="45"/>
  <c r="O227" i="45"/>
  <c r="P227" i="45" s="1"/>
  <c r="Q227" i="45" s="1"/>
  <c r="O791" i="45"/>
  <c r="O923" i="45"/>
  <c r="P923" i="45" s="1"/>
  <c r="Q923" i="45" s="1"/>
  <c r="O1052" i="45"/>
  <c r="O230" i="45"/>
  <c r="O231" i="45"/>
  <c r="O613" i="45"/>
  <c r="P613" i="45" s="1"/>
  <c r="Q613" i="45" s="1"/>
  <c r="O730" i="45"/>
  <c r="O233" i="45"/>
  <c r="O228" i="45"/>
  <c r="O236" i="45"/>
  <c r="O854" i="45"/>
  <c r="O235" i="45"/>
  <c r="P235" i="45" s="1"/>
  <c r="Q235" i="45" s="1"/>
  <c r="O229" i="45"/>
  <c r="O234" i="45"/>
  <c r="P234" i="45" s="1"/>
  <c r="Q234" i="45" s="1"/>
  <c r="O232" i="45"/>
  <c r="O685" i="45"/>
  <c r="O1047" i="45"/>
  <c r="O624" i="45"/>
  <c r="P624" i="45" s="1"/>
  <c r="Q624" i="45" s="1"/>
  <c r="O238" i="45"/>
  <c r="P238" i="45" s="1"/>
  <c r="Q238" i="45" s="1"/>
  <c r="O239" i="45"/>
  <c r="P239" i="45" s="1"/>
  <c r="Q239" i="45" s="1"/>
  <c r="O832" i="45"/>
  <c r="O237" i="45"/>
  <c r="O825" i="45"/>
  <c r="O240" i="45"/>
  <c r="O243" i="45"/>
  <c r="O708" i="45"/>
  <c r="P708" i="45" s="1"/>
  <c r="Q708" i="45" s="1"/>
  <c r="O242" i="45"/>
  <c r="O241" i="45"/>
  <c r="O247" i="45"/>
  <c r="O248" i="45"/>
  <c r="O246" i="45"/>
  <c r="O245" i="45"/>
  <c r="O244" i="45"/>
  <c r="O249" i="45"/>
  <c r="O251" i="45"/>
  <c r="O1043" i="45"/>
  <c r="O250" i="45"/>
  <c r="O252" i="45"/>
  <c r="P252" i="45" s="1"/>
  <c r="Q252" i="45" s="1"/>
  <c r="O636" i="45"/>
  <c r="O972" i="45"/>
  <c r="O856" i="45"/>
  <c r="O258" i="45"/>
  <c r="O5" i="45"/>
  <c r="O256" i="45"/>
  <c r="O831" i="45"/>
  <c r="O253" i="45"/>
  <c r="P253" i="45" s="1"/>
  <c r="Q253" i="45" s="1"/>
  <c r="O254" i="45"/>
  <c r="O255" i="45"/>
  <c r="O257" i="45"/>
  <c r="O731" i="45"/>
  <c r="P731" i="45" s="1"/>
  <c r="Q731" i="45" s="1"/>
  <c r="O261" i="45"/>
  <c r="O260" i="45"/>
  <c r="O262" i="45"/>
  <c r="O826" i="45"/>
  <c r="P826" i="45" s="1"/>
  <c r="Q826" i="45" s="1"/>
  <c r="O1057" i="45"/>
  <c r="O1004" i="45"/>
  <c r="O864" i="45"/>
  <c r="O1021" i="45"/>
  <c r="O654" i="45"/>
  <c r="O694" i="45"/>
  <c r="P694" i="45" s="1"/>
  <c r="Q694" i="45" s="1"/>
  <c r="O259" i="45"/>
  <c r="O754" i="45"/>
  <c r="P754" i="45" s="1"/>
  <c r="Q754" i="45" s="1"/>
  <c r="O915" i="45"/>
  <c r="O628" i="45"/>
  <c r="O269" i="45"/>
  <c r="O813" i="45"/>
  <c r="O9" i="45"/>
  <c r="O268" i="45"/>
  <c r="O265" i="45"/>
  <c r="O855" i="45"/>
  <c r="O267" i="45"/>
  <c r="O264" i="45"/>
  <c r="P264" i="45" s="1"/>
  <c r="Q264" i="45" s="1"/>
  <c r="O266" i="45"/>
  <c r="O745" i="45"/>
  <c r="P745" i="45" s="1"/>
  <c r="Q745" i="45" s="1"/>
  <c r="O263" i="45"/>
  <c r="O739" i="45"/>
  <c r="O982" i="45"/>
  <c r="O595" i="45"/>
  <c r="O630" i="45"/>
  <c r="O272" i="45"/>
  <c r="O275" i="45"/>
  <c r="O276" i="45"/>
  <c r="O270" i="45"/>
  <c r="O271" i="45"/>
  <c r="O273" i="45"/>
  <c r="O277" i="45"/>
  <c r="P277" i="45" s="1"/>
  <c r="Q277" i="45" s="1"/>
  <c r="O274" i="45"/>
  <c r="O1060" i="45"/>
  <c r="O278" i="45"/>
  <c r="O1014" i="45"/>
  <c r="P1014" i="45" s="1"/>
  <c r="Q1014" i="45" s="1"/>
  <c r="O279" i="45"/>
  <c r="O284" i="45"/>
  <c r="O281" i="45"/>
  <c r="O842" i="45"/>
  <c r="P842" i="45" s="1"/>
  <c r="Q842" i="45" s="1"/>
  <c r="O280" i="45"/>
  <c r="O909" i="45"/>
  <c r="P909" i="45" s="1"/>
  <c r="Q909" i="45" s="1"/>
  <c r="O976" i="45"/>
  <c r="O283" i="45"/>
  <c r="P283" i="45" s="1"/>
  <c r="Q283" i="45" s="1"/>
  <c r="O286" i="45"/>
  <c r="O287" i="45"/>
  <c r="O285" i="45"/>
  <c r="O282" i="45"/>
  <c r="O992" i="45"/>
  <c r="O1008" i="45"/>
  <c r="O587" i="45"/>
  <c r="O1054" i="45"/>
  <c r="O290" i="45"/>
  <c r="O292" i="45"/>
  <c r="O965" i="45"/>
  <c r="O289" i="45"/>
  <c r="O917" i="45"/>
  <c r="O288" i="45"/>
  <c r="O601" i="45"/>
  <c r="O948" i="45"/>
  <c r="P948" i="45" s="1"/>
  <c r="Q948" i="45" s="1"/>
  <c r="O291" i="45"/>
  <c r="O293" i="45"/>
  <c r="O795" i="45"/>
  <c r="O294" i="45"/>
  <c r="O716" i="45"/>
  <c r="O300" i="45"/>
  <c r="O303" i="45"/>
  <c r="O977" i="45"/>
  <c r="P977" i="45" s="1"/>
  <c r="Q977" i="45" s="1"/>
  <c r="O908" i="45"/>
  <c r="O296" i="45"/>
  <c r="O299" i="45"/>
  <c r="O298" i="45"/>
  <c r="P298" i="45" s="1"/>
  <c r="Q298" i="45" s="1"/>
  <c r="O307" i="45"/>
  <c r="O302" i="45"/>
  <c r="O967" i="45"/>
  <c r="O778" i="45"/>
  <c r="O305" i="45"/>
  <c r="O304" i="45"/>
  <c r="P304" i="45" s="1"/>
  <c r="Q304" i="45" s="1"/>
  <c r="O295" i="45"/>
  <c r="O306" i="45"/>
  <c r="P306" i="45" s="1"/>
  <c r="Q306" i="45" s="1"/>
  <c r="O301" i="45"/>
  <c r="O297" i="45"/>
  <c r="O1038" i="45"/>
  <c r="O314" i="45"/>
  <c r="P314" i="45" s="1"/>
  <c r="Q314" i="45" s="1"/>
  <c r="O840" i="45"/>
  <c r="O1039" i="45"/>
  <c r="O315" i="45"/>
  <c r="O316" i="45"/>
  <c r="O608" i="45"/>
  <c r="O317" i="45"/>
  <c r="P317" i="45" s="1"/>
  <c r="Q317" i="45" s="1"/>
  <c r="O310" i="45"/>
  <c r="O312" i="45"/>
  <c r="P312" i="45" s="1"/>
  <c r="Q312" i="45" s="1"/>
  <c r="O665" i="45"/>
  <c r="O308" i="45"/>
  <c r="O318" i="45"/>
  <c r="O309" i="45"/>
  <c r="P309" i="45" s="1"/>
  <c r="Q309" i="45" s="1"/>
  <c r="O311" i="45"/>
  <c r="O313" i="45"/>
  <c r="O616" i="45"/>
  <c r="O827" i="45"/>
  <c r="P827" i="45" s="1"/>
  <c r="Q827" i="45" s="1"/>
  <c r="O684" i="45"/>
  <c r="O664" i="45"/>
  <c r="O319" i="45"/>
  <c r="O740" i="45"/>
  <c r="O762" i="45"/>
  <c r="O323" i="45"/>
  <c r="O1049" i="45"/>
  <c r="O701" i="45"/>
  <c r="O792" i="45"/>
  <c r="O322" i="45"/>
  <c r="O849" i="45"/>
  <c r="O328" i="45"/>
  <c r="O586" i="45"/>
  <c r="O907" i="45"/>
  <c r="O321" i="45"/>
  <c r="O327" i="45"/>
  <c r="P327" i="45" s="1"/>
  <c r="Q327" i="45" s="1"/>
  <c r="O326" i="45"/>
  <c r="O325" i="45"/>
  <c r="O897" i="45"/>
  <c r="O329" i="45"/>
  <c r="P329" i="45" s="1"/>
  <c r="Q329" i="45" s="1"/>
  <c r="O324" i="45"/>
  <c r="O320" i="45"/>
  <c r="O893" i="45"/>
  <c r="O331" i="45"/>
  <c r="O332" i="45"/>
  <c r="O718" i="45"/>
  <c r="P718" i="45" s="1"/>
  <c r="Q718" i="45" s="1"/>
  <c r="O933" i="45"/>
  <c r="O799" i="45"/>
  <c r="O1010" i="45"/>
  <c r="O872" i="45"/>
  <c r="O330" i="45"/>
  <c r="O839" i="45"/>
  <c r="P839" i="45" s="1"/>
  <c r="Q839" i="45" s="1"/>
  <c r="O787" i="45"/>
  <c r="O837" i="45"/>
  <c r="O335" i="45"/>
  <c r="O337" i="45"/>
  <c r="O712" i="45"/>
  <c r="O859" i="45"/>
  <c r="O651" i="45"/>
  <c r="O336" i="45"/>
  <c r="P336" i="45" s="1"/>
  <c r="Q336" i="45" s="1"/>
  <c r="O820" i="45"/>
  <c r="O641" i="45"/>
  <c r="O333" i="45"/>
  <c r="O334" i="45"/>
  <c r="P334" i="45" s="1"/>
  <c r="Q334" i="45" s="1"/>
  <c r="O711" i="45"/>
  <c r="O755" i="45"/>
  <c r="P755" i="45" s="1"/>
  <c r="Q755" i="45" s="1"/>
  <c r="O759" i="45"/>
  <c r="O1037" i="45"/>
  <c r="O338" i="45"/>
  <c r="O785" i="45"/>
  <c r="P785" i="45" s="1"/>
  <c r="Q785" i="45" s="1"/>
  <c r="O1030" i="45"/>
  <c r="O594" i="45"/>
  <c r="P594" i="45" s="1"/>
  <c r="Q594" i="45" s="1"/>
  <c r="O341" i="45"/>
  <c r="O340" i="45"/>
  <c r="O803" i="45"/>
  <c r="O339" i="45"/>
  <c r="O342" i="45"/>
  <c r="O343" i="45"/>
  <c r="O672" i="45"/>
  <c r="O896" i="45"/>
  <c r="O747" i="45"/>
  <c r="O749" i="45"/>
  <c r="O585" i="45"/>
  <c r="O345" i="45"/>
  <c r="O344" i="45"/>
  <c r="O952" i="45"/>
  <c r="O777" i="45"/>
  <c r="O346" i="45"/>
  <c r="P346" i="45" s="1"/>
  <c r="Q346" i="45" s="1"/>
  <c r="O829" i="45"/>
  <c r="O350" i="45"/>
  <c r="O858" i="45"/>
  <c r="O900" i="45"/>
  <c r="O347" i="45"/>
  <c r="O348" i="45"/>
  <c r="O349" i="45"/>
  <c r="O878" i="45"/>
  <c r="P878" i="45" s="1"/>
  <c r="Q878" i="45" s="1"/>
  <c r="O603" i="45"/>
  <c r="O815" i="45"/>
  <c r="O986" i="45"/>
  <c r="O1001" i="45"/>
  <c r="P1001" i="45" s="1"/>
  <c r="Q1001" i="45" s="1"/>
  <c r="O3" i="45"/>
  <c r="O354" i="45"/>
  <c r="O351" i="45"/>
  <c r="O353" i="45"/>
  <c r="O355" i="45"/>
  <c r="O352" i="45"/>
  <c r="P352" i="45" s="1"/>
  <c r="Q352" i="45" s="1"/>
  <c r="O356" i="45"/>
  <c r="O721" i="45"/>
  <c r="P721" i="45" s="1"/>
  <c r="Q721" i="45" s="1"/>
  <c r="O679" i="45"/>
  <c r="O357" i="45"/>
  <c r="O359" i="45"/>
  <c r="O891" i="45"/>
  <c r="O358" i="45"/>
  <c r="O656" i="45"/>
  <c r="O748" i="45"/>
  <c r="O360" i="45"/>
  <c r="P360" i="45" s="1"/>
  <c r="Q360" i="45" s="1"/>
  <c r="O947" i="45"/>
  <c r="O653" i="45"/>
  <c r="P653" i="45" s="1"/>
  <c r="Q653" i="45" s="1"/>
  <c r="O361" i="45"/>
  <c r="O935" i="45"/>
  <c r="P935" i="45" s="1"/>
  <c r="Q935" i="45" s="1"/>
  <c r="O1020" i="45"/>
  <c r="O767" i="45"/>
  <c r="O824" i="45"/>
  <c r="O916" i="45"/>
  <c r="O363" i="45"/>
  <c r="O364" i="45"/>
  <c r="O680" i="45"/>
  <c r="O362" i="45"/>
  <c r="O366" i="45"/>
  <c r="O779" i="45"/>
  <c r="O365" i="45"/>
  <c r="O367" i="45"/>
  <c r="O690" i="45"/>
  <c r="O368" i="45"/>
  <c r="O814" i="45"/>
  <c r="O942" i="45"/>
  <c r="O370" i="45"/>
  <c r="O956" i="45"/>
  <c r="O1018" i="45"/>
  <c r="O371" i="45"/>
  <c r="P371" i="45" s="1"/>
  <c r="Q371" i="45" s="1"/>
  <c r="O769" i="45"/>
  <c r="O369" i="45"/>
  <c r="O610" i="45"/>
  <c r="O836" i="45"/>
  <c r="P836" i="45" s="1"/>
  <c r="Q836" i="45" s="1"/>
  <c r="O372" i="45"/>
  <c r="O7" i="45"/>
  <c r="O723" i="45"/>
  <c r="O807" i="45"/>
  <c r="O715" i="45"/>
  <c r="O583" i="45"/>
  <c r="O770" i="45"/>
  <c r="O676" i="45"/>
  <c r="O985" i="45"/>
  <c r="O964" i="45"/>
  <c r="O999" i="45"/>
  <c r="O373" i="45"/>
  <c r="O1017" i="45"/>
  <c r="O634" i="45"/>
  <c r="O1036" i="45"/>
  <c r="O925" i="45"/>
  <c r="O1033" i="45"/>
  <c r="O375" i="45"/>
  <c r="P375" i="45" s="1"/>
  <c r="Q375" i="45" s="1"/>
  <c r="O374" i="45"/>
  <c r="O902" i="45"/>
  <c r="O990" i="45"/>
  <c r="O625" i="45"/>
  <c r="P625" i="45" s="1"/>
  <c r="Q625" i="45" s="1"/>
  <c r="O763" i="45"/>
  <c r="O955" i="45"/>
  <c r="P955" i="45" s="1"/>
  <c r="Q955" i="45" s="1"/>
  <c r="O379" i="45"/>
  <c r="O378" i="45"/>
  <c r="O377" i="45"/>
  <c r="O966" i="45"/>
  <c r="P966" i="45" s="1"/>
  <c r="Q966" i="45" s="1"/>
  <c r="O940" i="45"/>
  <c r="O376" i="45"/>
  <c r="O581" i="45"/>
  <c r="O995" i="45"/>
  <c r="O1044" i="45"/>
  <c r="O704" i="45"/>
  <c r="P704" i="45" s="1"/>
  <c r="Q704" i="45" s="1"/>
  <c r="O582" i="45"/>
  <c r="O380" i="45"/>
  <c r="O381" i="45"/>
  <c r="O702" i="45"/>
  <c r="O382" i="45"/>
  <c r="O592" i="45"/>
  <c r="P592" i="45" s="1"/>
  <c r="Q592" i="45" s="1"/>
  <c r="O938" i="45"/>
  <c r="O383" i="45"/>
  <c r="O798" i="45"/>
  <c r="O774" i="45"/>
  <c r="O385" i="45"/>
  <c r="O973" i="45"/>
  <c r="O384" i="45"/>
  <c r="P384" i="45" s="1"/>
  <c r="Q384" i="45" s="1"/>
  <c r="O387" i="45"/>
  <c r="O386" i="45"/>
  <c r="O388" i="45"/>
  <c r="O979" i="45"/>
  <c r="O686" i="45"/>
  <c r="O589" i="45"/>
  <c r="O898" i="45"/>
  <c r="O997" i="45"/>
  <c r="O838" i="45"/>
  <c r="O991" i="45"/>
  <c r="O389" i="45"/>
  <c r="O390" i="45"/>
  <c r="P390" i="45" s="1"/>
  <c r="Q390" i="45" s="1"/>
  <c r="O906" i="45"/>
  <c r="O392" i="45"/>
  <c r="O391" i="45"/>
  <c r="O639" i="45"/>
  <c r="P639" i="45" s="1"/>
  <c r="Q639" i="45" s="1"/>
  <c r="O645" i="45"/>
  <c r="O1022" i="45"/>
  <c r="O396" i="45"/>
  <c r="P396" i="45" s="1"/>
  <c r="O394" i="45"/>
  <c r="O671" i="45"/>
  <c r="O951" i="45"/>
  <c r="O395" i="45"/>
  <c r="O393" i="45"/>
  <c r="P393" i="45" s="1"/>
  <c r="Q393" i="45" s="1"/>
  <c r="O401" i="45"/>
  <c r="O398" i="45"/>
  <c r="O602" i="45"/>
  <c r="O399" i="45"/>
  <c r="P399" i="45" s="1"/>
  <c r="Q399" i="45" s="1"/>
  <c r="O397" i="45"/>
  <c r="O400" i="45"/>
  <c r="O776" i="45"/>
  <c r="P776" i="45" s="1"/>
  <c r="O405" i="45"/>
  <c r="O734" i="45"/>
  <c r="O709" i="45"/>
  <c r="O406" i="45"/>
  <c r="O738" i="45"/>
  <c r="P738" i="45" s="1"/>
  <c r="Q738" i="45" s="1"/>
  <c r="O404" i="45"/>
  <c r="O402" i="45"/>
  <c r="O403" i="45"/>
  <c r="O408" i="45"/>
  <c r="P408" i="45" s="1"/>
  <c r="Q408" i="45" s="1"/>
  <c r="O410" i="45"/>
  <c r="O409" i="45"/>
  <c r="P409" i="45" s="1"/>
  <c r="Q409" i="45" s="1"/>
  <c r="O411" i="45"/>
  <c r="P411" i="45" s="1"/>
  <c r="O660" i="45"/>
  <c r="O988" i="45"/>
  <c r="O757" i="45"/>
  <c r="P757" i="45" s="1"/>
  <c r="Q757" i="45" s="1"/>
  <c r="O407" i="45"/>
  <c r="O833" i="45"/>
  <c r="O412" i="45"/>
  <c r="O744" i="45"/>
  <c r="O943" i="45"/>
  <c r="O413" i="45"/>
  <c r="P413" i="45" s="1"/>
  <c r="Q413" i="45" s="1"/>
  <c r="O414" i="45"/>
  <c r="O649" i="45"/>
  <c r="O844" i="45"/>
  <c r="P844" i="45" s="1"/>
  <c r="O879" i="45"/>
  <c r="O1005" i="45"/>
  <c r="O987" i="45"/>
  <c r="O415" i="45"/>
  <c r="O416" i="45"/>
  <c r="P416" i="45" s="1"/>
  <c r="Q416" i="45" s="1"/>
  <c r="O417" i="45"/>
  <c r="O418" i="45"/>
  <c r="O604" i="45"/>
  <c r="O998" i="45"/>
  <c r="O420" i="45"/>
  <c r="O419" i="45"/>
  <c r="O422" i="45"/>
  <c r="P422" i="45" s="1"/>
  <c r="O801" i="45"/>
  <c r="O668" i="45"/>
  <c r="P668" i="45" s="1"/>
  <c r="Q668" i="45" s="1"/>
  <c r="O421" i="45"/>
  <c r="O424" i="45"/>
  <c r="O847" i="45"/>
  <c r="P847" i="45" s="1"/>
  <c r="Q847" i="45" s="1"/>
  <c r="O425" i="45"/>
  <c r="O888" i="45"/>
  <c r="O423" i="45"/>
  <c r="O1032" i="45"/>
  <c r="P1032" i="45" s="1"/>
  <c r="Q1032" i="45" s="1"/>
  <c r="O426" i="45"/>
  <c r="O430" i="45"/>
  <c r="O432" i="45"/>
  <c r="P432" i="45" s="1"/>
  <c r="O433" i="45"/>
  <c r="O834" i="45"/>
  <c r="O431" i="45"/>
  <c r="P431" i="45" s="1"/>
  <c r="Q431" i="45" s="1"/>
  <c r="O434" i="45"/>
  <c r="O428" i="45"/>
  <c r="O429" i="45"/>
  <c r="O427" i="45"/>
  <c r="O437" i="45"/>
  <c r="O438" i="45"/>
  <c r="O435" i="45"/>
  <c r="O928" i="45"/>
  <c r="O848" i="45"/>
  <c r="P848" i="45" s="1"/>
  <c r="O882" i="45"/>
  <c r="P882" i="45" s="1"/>
  <c r="Q882" i="45" s="1"/>
  <c r="O1031" i="45"/>
  <c r="O436" i="45"/>
  <c r="O442" i="45"/>
  <c r="O439" i="45"/>
  <c r="P439" i="45" s="1"/>
  <c r="Q439" i="45" s="1"/>
  <c r="O946" i="45"/>
  <c r="O441" i="45"/>
  <c r="O440" i="45"/>
  <c r="O638" i="45"/>
  <c r="O444" i="45"/>
  <c r="O443" i="45"/>
  <c r="O597" i="45"/>
  <c r="P597" i="45" s="1"/>
  <c r="O939" i="45"/>
  <c r="O446" i="45"/>
  <c r="O449" i="45"/>
  <c r="P449" i="45" s="1"/>
  <c r="Q449" i="45" s="1"/>
  <c r="O445" i="45"/>
  <c r="O447" i="45"/>
  <c r="O1062" i="45"/>
  <c r="O687" i="45"/>
  <c r="O448" i="45"/>
  <c r="O1002" i="45"/>
  <c r="P1002" i="45" s="1"/>
  <c r="Q1002" i="45" s="1"/>
  <c r="O876" i="45"/>
  <c r="O451" i="45"/>
  <c r="O743" i="45"/>
  <c r="P743" i="45" s="1"/>
  <c r="O971" i="45"/>
  <c r="P971" i="45" s="1"/>
  <c r="Q971" i="45" s="1"/>
  <c r="O662" i="45"/>
  <c r="O450" i="45"/>
  <c r="O1051" i="45"/>
  <c r="O457" i="45"/>
  <c r="O869" i="45"/>
  <c r="O460" i="45"/>
  <c r="O453" i="45"/>
  <c r="O459" i="45"/>
  <c r="P459" i="45" s="1"/>
  <c r="Q459" i="45" s="1"/>
  <c r="O452" i="45"/>
  <c r="O456" i="45"/>
  <c r="O458" i="45"/>
  <c r="P458" i="45" s="1"/>
  <c r="O461" i="45"/>
  <c r="O455" i="45"/>
  <c r="O454" i="45"/>
  <c r="O463" i="45"/>
  <c r="O465" i="45"/>
  <c r="O466" i="45"/>
  <c r="O682" i="45"/>
  <c r="O467" i="45"/>
  <c r="O462" i="45"/>
  <c r="P462" i="45" s="1"/>
  <c r="Q462" i="45" s="1"/>
  <c r="O464" i="45"/>
  <c r="O478" i="45"/>
  <c r="O479" i="45"/>
  <c r="P479" i="45" s="1"/>
  <c r="O681" i="45"/>
  <c r="O476" i="45"/>
  <c r="O468" i="45"/>
  <c r="P468" i="45" s="1"/>
  <c r="Q468" i="45" s="1"/>
  <c r="O470" i="45"/>
  <c r="O471" i="45"/>
  <c r="P471" i="45" s="1"/>
  <c r="Q471" i="45" s="1"/>
  <c r="O472" i="45"/>
  <c r="O477" i="45"/>
  <c r="O469" i="45"/>
  <c r="O474" i="45"/>
  <c r="O475" i="45"/>
  <c r="O1042" i="45"/>
  <c r="O473" i="45"/>
  <c r="P473" i="45" s="1"/>
  <c r="O487" i="45"/>
  <c r="O482" i="45"/>
  <c r="O768" i="45"/>
  <c r="O591" i="45"/>
  <c r="O481" i="45"/>
  <c r="P481" i="45" s="1"/>
  <c r="Q481" i="45" s="1"/>
  <c r="O483" i="45"/>
  <c r="O484" i="45"/>
  <c r="O724" i="45"/>
  <c r="O904" i="45"/>
  <c r="O980" i="45"/>
  <c r="O647" i="45"/>
  <c r="O480" i="45"/>
  <c r="P480" i="45" s="1"/>
  <c r="O8" i="45"/>
  <c r="O486" i="45"/>
  <c r="O485" i="45"/>
  <c r="O496" i="45"/>
  <c r="O650" i="45"/>
  <c r="O491" i="45"/>
  <c r="O937" i="45"/>
  <c r="O498" i="45"/>
  <c r="O492" i="45"/>
  <c r="P492" i="45" s="1"/>
  <c r="Q492" i="45" s="1"/>
  <c r="O1011" i="45"/>
  <c r="O489" i="45"/>
  <c r="O490" i="45"/>
  <c r="P490" i="45" s="1"/>
  <c r="O493" i="45"/>
  <c r="O497" i="45"/>
  <c r="O495" i="45"/>
  <c r="O646" i="45"/>
  <c r="O488" i="45"/>
  <c r="O929" i="45"/>
  <c r="O494" i="45"/>
  <c r="O503" i="45"/>
  <c r="O499" i="45"/>
  <c r="O501" i="45"/>
  <c r="O871" i="45"/>
  <c r="O710" i="45"/>
  <c r="P710" i="45" s="1"/>
  <c r="O502" i="45"/>
  <c r="O1059" i="45"/>
  <c r="O507" i="45"/>
  <c r="O506" i="45"/>
  <c r="O505" i="45"/>
  <c r="P505" i="45" s="1"/>
  <c r="Q505" i="45" s="1"/>
  <c r="O504" i="45"/>
  <c r="O969" i="45"/>
  <c r="O828" i="45"/>
  <c r="O857" i="45"/>
  <c r="O508" i="45"/>
  <c r="O500" i="45"/>
  <c r="O509" i="45"/>
  <c r="P509" i="45" s="1"/>
  <c r="O515" i="45"/>
  <c r="O517" i="45"/>
  <c r="O513" i="45"/>
  <c r="O511" i="45"/>
  <c r="O510" i="45"/>
  <c r="P510" i="45" s="1"/>
  <c r="Q510" i="45" s="1"/>
  <c r="O514" i="45"/>
  <c r="O877" i="45"/>
  <c r="O519" i="45"/>
  <c r="O919" i="45"/>
  <c r="O726" i="45"/>
  <c r="O810" i="45"/>
  <c r="O520" i="45"/>
  <c r="P520" i="45" s="1"/>
  <c r="O518" i="45"/>
  <c r="P518" i="45" s="1"/>
  <c r="Q518" i="45" s="1"/>
  <c r="O512" i="45"/>
  <c r="O516" i="45"/>
  <c r="O524" i="45"/>
  <c r="O521" i="45"/>
  <c r="O522" i="45"/>
  <c r="O526" i="45"/>
  <c r="O527" i="45"/>
  <c r="O523" i="45"/>
  <c r="P523" i="45" s="1"/>
  <c r="Q523" i="45" s="1"/>
  <c r="O525" i="45"/>
  <c r="O918" i="45"/>
  <c r="O528" i="45"/>
  <c r="P528" i="45" s="1"/>
  <c r="O530" i="45"/>
  <c r="O633" i="45"/>
  <c r="O752" i="45"/>
  <c r="P752" i="45" s="1"/>
  <c r="Q752" i="45" s="1"/>
  <c r="O593" i="45"/>
  <c r="O529" i="45"/>
  <c r="O889" i="45"/>
  <c r="O620" i="45"/>
  <c r="O642" i="45"/>
  <c r="O1065" i="45"/>
  <c r="O533" i="45"/>
  <c r="O532" i="45"/>
  <c r="O1023" i="45"/>
  <c r="P1023" i="45" s="1"/>
  <c r="O1063" i="45"/>
  <c r="O531" i="45"/>
  <c r="O535" i="45"/>
  <c r="P535" i="45" s="1"/>
  <c r="Q535" i="45" s="1"/>
  <c r="O536" i="45"/>
  <c r="O892" i="45"/>
  <c r="P892" i="45" s="1"/>
  <c r="Q892" i="45" s="1"/>
  <c r="O534" i="45"/>
  <c r="O695" i="45"/>
  <c r="O544" i="45"/>
  <c r="O950" i="45"/>
  <c r="P950" i="45" s="1"/>
  <c r="Q950" i="45" s="1"/>
  <c r="O541" i="45"/>
  <c r="O543" i="45"/>
  <c r="O538" i="45"/>
  <c r="P538" i="45" s="1"/>
  <c r="O537" i="45"/>
  <c r="O542" i="45"/>
  <c r="O540" i="45"/>
  <c r="O707" i="45"/>
  <c r="O539" i="45"/>
  <c r="P539" i="45" s="1"/>
  <c r="Q539" i="45" s="1"/>
  <c r="O692" i="45"/>
  <c r="O545" i="45"/>
  <c r="O652" i="45"/>
  <c r="O547" i="45"/>
  <c r="O546" i="45"/>
  <c r="O548" i="45"/>
  <c r="O746" i="45"/>
  <c r="P746" i="45" s="1"/>
  <c r="O961" i="45"/>
  <c r="O6" i="45"/>
  <c r="O549" i="45"/>
  <c r="O693" i="45"/>
  <c r="O550" i="45"/>
  <c r="O683" i="45"/>
  <c r="O551" i="45"/>
  <c r="O553" i="45"/>
  <c r="O852" i="45"/>
  <c r="O552" i="45"/>
  <c r="O758" i="45"/>
  <c r="O555" i="45"/>
  <c r="P555" i="45" s="1"/>
  <c r="O775" i="45"/>
  <c r="P775" i="45" s="1"/>
  <c r="Q775" i="45" s="1"/>
  <c r="O1015" i="45"/>
  <c r="O554" i="45"/>
  <c r="P554" i="45" s="1"/>
  <c r="Q554" i="45" s="1"/>
  <c r="O910" i="45"/>
  <c r="O556" i="45"/>
  <c r="P556" i="45" s="1"/>
  <c r="Q556" i="45" s="1"/>
  <c r="O963" i="45"/>
  <c r="O559" i="45"/>
  <c r="O637" i="45"/>
  <c r="O841" i="45"/>
  <c r="O557" i="45"/>
  <c r="O558" i="45"/>
  <c r="O598" i="45"/>
  <c r="P598" i="45" s="1"/>
  <c r="O970" i="45"/>
  <c r="O579" i="45"/>
  <c r="O563" i="45"/>
  <c r="P563" i="45" s="1"/>
  <c r="Q563" i="45" s="1"/>
  <c r="O561" i="45"/>
  <c r="O562" i="45"/>
  <c r="O560" i="45"/>
  <c r="O808" i="45"/>
  <c r="O984" i="45"/>
  <c r="O874" i="45"/>
  <c r="P874" i="45" s="1"/>
  <c r="Q874" i="45" s="1"/>
  <c r="O565" i="45"/>
  <c r="O564" i="45"/>
  <c r="P564" i="45" s="1"/>
  <c r="Q564" i="45" s="1"/>
  <c r="O962" i="45"/>
  <c r="P962" i="45" s="1"/>
  <c r="O936" i="45"/>
  <c r="O884" i="45"/>
  <c r="O1029" i="45"/>
  <c r="O566" i="45"/>
  <c r="O761" i="45"/>
  <c r="O567" i="45"/>
  <c r="O760" i="45"/>
  <c r="O1034" i="45"/>
  <c r="O568" i="45"/>
  <c r="P568" i="45" s="1"/>
  <c r="Q568" i="45" s="1"/>
  <c r="O1050" i="45"/>
  <c r="O570" i="45"/>
  <c r="O1045" i="45"/>
  <c r="P1045" i="45" s="1"/>
  <c r="O993" i="45"/>
  <c r="O794" i="45"/>
  <c r="O569" i="45"/>
  <c r="P569" i="45" s="1"/>
  <c r="Q569" i="45" s="1"/>
  <c r="O572" i="45"/>
  <c r="O571" i="45"/>
  <c r="O600" i="45"/>
  <c r="O1019" i="45"/>
  <c r="O573" i="45"/>
  <c r="O911" i="45"/>
  <c r="P911" i="45" s="1"/>
  <c r="Q911" i="45" s="1"/>
  <c r="O835" i="45"/>
  <c r="O574" i="45"/>
  <c r="O843" i="45"/>
  <c r="P843" i="45" s="1"/>
  <c r="O811" i="45"/>
  <c r="P811" i="45" s="1"/>
  <c r="Q811" i="45" s="1"/>
  <c r="O576" i="45"/>
  <c r="O575" i="45"/>
  <c r="O577" i="45"/>
  <c r="O862" i="45"/>
  <c r="O578" i="45"/>
  <c r="O614" i="45"/>
  <c r="R629" i="45"/>
  <c r="R934" i="45"/>
  <c r="R655" i="45"/>
  <c r="R802" i="45"/>
  <c r="R13" i="45"/>
  <c r="R741" i="45"/>
  <c r="R673" i="45"/>
  <c r="R16" i="45"/>
  <c r="R688" i="45"/>
  <c r="R15" i="45"/>
  <c r="R14" i="45"/>
  <c r="R766" i="45"/>
  <c r="R696" i="45"/>
  <c r="R850" i="45"/>
  <c r="R17" i="45"/>
  <c r="R590" i="45"/>
  <c r="R699" i="45"/>
  <c r="R19" i="45"/>
  <c r="R612" i="45"/>
  <c r="R18" i="45"/>
  <c r="R974" i="45"/>
  <c r="R21" i="45"/>
  <c r="R23" i="45"/>
  <c r="R22" i="45"/>
  <c r="R816" i="45"/>
  <c r="R883" i="45"/>
  <c r="R20" i="45"/>
  <c r="R24" i="45"/>
  <c r="R605" i="45"/>
  <c r="R886" i="45"/>
  <c r="R714" i="45"/>
  <c r="R667" i="45"/>
  <c r="R25" i="45"/>
  <c r="R618" i="45"/>
  <c r="R805" i="45"/>
  <c r="R29" i="45"/>
  <c r="R30" i="45"/>
  <c r="R27" i="45"/>
  <c r="R28" i="45"/>
  <c r="R983" i="45"/>
  <c r="R26" i="45"/>
  <c r="R823" i="45"/>
  <c r="R881" i="45"/>
  <c r="R31" i="45"/>
  <c r="R32" i="45"/>
  <c r="R632" i="45"/>
  <c r="R12" i="45"/>
  <c r="R867" i="45"/>
  <c r="R609" i="45"/>
  <c r="R729" i="45"/>
  <c r="R1003" i="45"/>
  <c r="R941" i="45"/>
  <c r="R596" i="45"/>
  <c r="R1064" i="45"/>
  <c r="R727" i="45"/>
  <c r="R981" i="45"/>
  <c r="R957" i="45"/>
  <c r="R806" i="45"/>
  <c r="R33" i="45"/>
  <c r="R34" i="45"/>
  <c r="R773" i="45"/>
  <c r="R661" i="45"/>
  <c r="R885" i="45"/>
  <c r="R37" i="45"/>
  <c r="R764" i="45"/>
  <c r="R35" i="45"/>
  <c r="R36" i="45"/>
  <c r="R931" i="45"/>
  <c r="R39" i="45"/>
  <c r="R719" i="45"/>
  <c r="R905" i="45"/>
  <c r="R901" i="45"/>
  <c r="R38" i="45"/>
  <c r="R797" i="45"/>
  <c r="R42" i="45"/>
  <c r="R584" i="45"/>
  <c r="R40" i="45"/>
  <c r="R903" i="45"/>
  <c r="R732" i="45"/>
  <c r="R1013" i="45"/>
  <c r="R771" i="45"/>
  <c r="R41" i="45"/>
  <c r="R895" i="45"/>
  <c r="R784" i="45"/>
  <c r="R45" i="45"/>
  <c r="R47" i="45"/>
  <c r="R44" i="45"/>
  <c r="R46" i="45"/>
  <c r="R737" i="45"/>
  <c r="R697" i="45"/>
  <c r="R751" i="45"/>
  <c r="R868" i="45"/>
  <c r="R606" i="45"/>
  <c r="R989" i="45"/>
  <c r="R43" i="45"/>
  <c r="R913" i="45"/>
  <c r="R783" i="45"/>
  <c r="R49" i="45"/>
  <c r="R658" i="45"/>
  <c r="R51" i="45"/>
  <c r="R52" i="45"/>
  <c r="R48" i="45"/>
  <c r="R50" i="45"/>
  <c r="R53" i="45"/>
  <c r="R765" i="45"/>
  <c r="R793" i="45"/>
  <c r="R873" i="45"/>
  <c r="R735" i="45"/>
  <c r="R894" i="45"/>
  <c r="R875" i="45"/>
  <c r="R700" i="45"/>
  <c r="R54" i="45"/>
  <c r="R626" i="45"/>
  <c r="R62" i="45"/>
  <c r="R56" i="45"/>
  <c r="R670" i="45"/>
  <c r="R780" i="45"/>
  <c r="R1056" i="45"/>
  <c r="R61" i="45"/>
  <c r="R55" i="45"/>
  <c r="R60" i="45"/>
  <c r="R57" i="45"/>
  <c r="R59" i="45"/>
  <c r="R611" i="45"/>
  <c r="R58" i="45"/>
  <c r="R64" i="45"/>
  <c r="R932" i="45"/>
  <c r="R65" i="45"/>
  <c r="R63" i="45"/>
  <c r="R717" i="45"/>
  <c r="R66" i="45"/>
  <c r="R67" i="45"/>
  <c r="R853" i="45"/>
  <c r="R809" i="45"/>
  <c r="R1053" i="45"/>
  <c r="R68" i="45"/>
  <c r="R921" i="45"/>
  <c r="R70" i="45"/>
  <c r="R69" i="45"/>
  <c r="R71" i="45"/>
  <c r="R72" i="45"/>
  <c r="R657" i="45"/>
  <c r="R1040" i="45"/>
  <c r="R1006" i="45"/>
  <c r="R74" i="45"/>
  <c r="R77" i="45"/>
  <c r="R75" i="45"/>
  <c r="R648" i="45"/>
  <c r="R756" i="45"/>
  <c r="R76" i="45"/>
  <c r="R790" i="45"/>
  <c r="R73" i="45"/>
  <c r="R1028" i="45"/>
  <c r="R887" i="45"/>
  <c r="R78" i="45"/>
  <c r="R821" i="45"/>
  <c r="R82" i="45"/>
  <c r="R86" i="45"/>
  <c r="R79" i="45"/>
  <c r="R80" i="45"/>
  <c r="R84" i="45"/>
  <c r="R1055" i="45"/>
  <c r="R81" i="45"/>
  <c r="R85" i="45"/>
  <c r="R922" i="45"/>
  <c r="R87" i="45"/>
  <c r="R635" i="45"/>
  <c r="R975" i="45"/>
  <c r="R1058" i="45"/>
  <c r="R83" i="45"/>
  <c r="R93" i="45"/>
  <c r="R1000" i="45"/>
  <c r="R92" i="45"/>
  <c r="R89" i="45"/>
  <c r="R954" i="45"/>
  <c r="R640" i="45"/>
  <c r="R90" i="45"/>
  <c r="R960" i="45"/>
  <c r="R818" i="45"/>
  <c r="R91" i="45"/>
  <c r="R644" i="45"/>
  <c r="R88" i="45"/>
  <c r="R98" i="45"/>
  <c r="R94" i="45"/>
  <c r="R96" i="45"/>
  <c r="R772" i="45"/>
  <c r="R95" i="45"/>
  <c r="R97" i="45"/>
  <c r="R622" i="45"/>
  <c r="R796" i="45"/>
  <c r="R1027" i="45"/>
  <c r="R100" i="45"/>
  <c r="R846" i="45"/>
  <c r="R101" i="45"/>
  <c r="R742" i="45"/>
  <c r="R99" i="45"/>
  <c r="R689" i="45"/>
  <c r="R817" i="45"/>
  <c r="R109" i="45"/>
  <c r="R102" i="45"/>
  <c r="R103" i="45"/>
  <c r="R105" i="45"/>
  <c r="R789" i="45"/>
  <c r="R106" i="45"/>
  <c r="R890" i="45"/>
  <c r="R104" i="45"/>
  <c r="R953" i="45"/>
  <c r="R617" i="45"/>
  <c r="R108" i="45"/>
  <c r="R1009" i="45"/>
  <c r="R949" i="45"/>
  <c r="R107" i="45"/>
  <c r="R110" i="45"/>
  <c r="R725" i="45"/>
  <c r="R720" i="45"/>
  <c r="R830" i="45"/>
  <c r="R111" i="45"/>
  <c r="R619" i="45"/>
  <c r="R1025" i="45"/>
  <c r="R920" i="45"/>
  <c r="R733" i="45"/>
  <c r="R113" i="45"/>
  <c r="R112" i="45"/>
  <c r="R115" i="45"/>
  <c r="R994" i="45"/>
  <c r="R1012" i="45"/>
  <c r="R116" i="45"/>
  <c r="R822" i="45"/>
  <c r="R114" i="45"/>
  <c r="R703" i="45"/>
  <c r="R11" i="45"/>
  <c r="R866" i="45"/>
  <c r="R627" i="45"/>
  <c r="R118" i="45"/>
  <c r="R978" i="45"/>
  <c r="R945" i="45"/>
  <c r="R117" i="45"/>
  <c r="R1035" i="45"/>
  <c r="R698" i="45"/>
  <c r="R122" i="45"/>
  <c r="R1024" i="45"/>
  <c r="R120" i="45"/>
  <c r="R944" i="45"/>
  <c r="R1026" i="45"/>
  <c r="R706" i="45"/>
  <c r="R926" i="45"/>
  <c r="R119" i="45"/>
  <c r="R123" i="45"/>
  <c r="R675" i="45"/>
  <c r="R121" i="45"/>
  <c r="R713" i="45"/>
  <c r="R781" i="45"/>
  <c r="R127" i="45"/>
  <c r="R126" i="45"/>
  <c r="R128" i="45"/>
  <c r="R865" i="45"/>
  <c r="R124" i="45"/>
  <c r="R705" i="45"/>
  <c r="R125" i="45"/>
  <c r="R958" i="45"/>
  <c r="R623" i="45"/>
  <c r="R129" i="45"/>
  <c r="R786" i="45"/>
  <c r="R132" i="45"/>
  <c r="R133" i="45"/>
  <c r="R130" i="45"/>
  <c r="R131" i="45"/>
  <c r="R1048" i="45"/>
  <c r="R812" i="45"/>
  <c r="R134" i="45"/>
  <c r="R968" i="45"/>
  <c r="R677" i="45"/>
  <c r="R135" i="45"/>
  <c r="R137" i="45"/>
  <c r="R666" i="45"/>
  <c r="R750" i="45"/>
  <c r="R136" i="45"/>
  <c r="R138" i="45"/>
  <c r="R580" i="45"/>
  <c r="R140" i="45"/>
  <c r="R139" i="45"/>
  <c r="R144" i="45"/>
  <c r="R143" i="45"/>
  <c r="R736" i="45"/>
  <c r="R142" i="45"/>
  <c r="R141" i="45"/>
  <c r="R151" i="45"/>
  <c r="R145" i="45"/>
  <c r="R146" i="45"/>
  <c r="R152" i="45"/>
  <c r="R150" i="45"/>
  <c r="R147" i="45"/>
  <c r="R149" i="45"/>
  <c r="R148" i="45"/>
  <c r="R154" i="45"/>
  <c r="R160" i="45"/>
  <c r="R161" i="45"/>
  <c r="R996" i="45"/>
  <c r="R159" i="45"/>
  <c r="R156" i="45"/>
  <c r="R157" i="45"/>
  <c r="R914" i="45"/>
  <c r="R158" i="45"/>
  <c r="R162" i="45"/>
  <c r="R153" i="45"/>
  <c r="R155" i="45"/>
  <c r="R163" i="45"/>
  <c r="R174" i="45"/>
  <c r="R169" i="45"/>
  <c r="R165" i="45"/>
  <c r="R167" i="45"/>
  <c r="R171" i="45"/>
  <c r="R172" i="45"/>
  <c r="R170" i="45"/>
  <c r="R173" i="45"/>
  <c r="R863" i="45"/>
  <c r="R164" i="45"/>
  <c r="R168" i="45"/>
  <c r="R166" i="45"/>
  <c r="R599" i="45"/>
  <c r="R182" i="45"/>
  <c r="R176" i="45"/>
  <c r="R175" i="45"/>
  <c r="R1061" i="45"/>
  <c r="R177" i="45"/>
  <c r="R181" i="45"/>
  <c r="R184" i="45"/>
  <c r="R870" i="45"/>
  <c r="R183" i="45"/>
  <c r="R782" i="45"/>
  <c r="R180" i="45"/>
  <c r="R728" i="45"/>
  <c r="R930" i="45"/>
  <c r="R179" i="45"/>
  <c r="R927" i="45"/>
  <c r="R178" i="45"/>
  <c r="R193" i="45"/>
  <c r="R187" i="45"/>
  <c r="R192" i="45"/>
  <c r="R185" i="45"/>
  <c r="R607" i="45"/>
  <c r="R188" i="45"/>
  <c r="R753" i="45"/>
  <c r="R189" i="45"/>
  <c r="R722" i="45"/>
  <c r="R631" i="45"/>
  <c r="R191" i="45"/>
  <c r="R190" i="45"/>
  <c r="R643" i="45"/>
  <c r="R186" i="45"/>
  <c r="R199" i="45"/>
  <c r="R198" i="45"/>
  <c r="R1016" i="45"/>
  <c r="R880" i="45"/>
  <c r="R200" i="45"/>
  <c r="R194" i="45"/>
  <c r="R197" i="45"/>
  <c r="R912" i="45"/>
  <c r="R195" i="45"/>
  <c r="R959" i="45"/>
  <c r="R196" i="45"/>
  <c r="R691" i="45"/>
  <c r="R205" i="45"/>
  <c r="R819" i="45"/>
  <c r="R851" i="45"/>
  <c r="R203" i="45"/>
  <c r="R202" i="45"/>
  <c r="R204" i="45"/>
  <c r="R201" i="45"/>
  <c r="R206" i="45"/>
  <c r="R588" i="45"/>
  <c r="R663" i="45"/>
  <c r="R207" i="45"/>
  <c r="R208" i="45"/>
  <c r="R209" i="45"/>
  <c r="R678" i="45"/>
  <c r="R845" i="45"/>
  <c r="R213" i="45"/>
  <c r="R212" i="45"/>
  <c r="R210" i="45"/>
  <c r="R211" i="45"/>
  <c r="R788" i="45"/>
  <c r="R214" i="45"/>
  <c r="R215" i="45"/>
  <c r="R659" i="45"/>
  <c r="R924" i="45"/>
  <c r="R217" i="45"/>
  <c r="R218" i="45"/>
  <c r="R216" i="45"/>
  <c r="R219" i="45"/>
  <c r="R221" i="45"/>
  <c r="R220" i="45"/>
  <c r="R222" i="45"/>
  <c r="R621" i="45"/>
  <c r="R223" i="45"/>
  <c r="R860" i="45"/>
  <c r="R1007" i="45"/>
  <c r="R224" i="45"/>
  <c r="R1046" i="45"/>
  <c r="R800" i="45"/>
  <c r="R1041" i="45"/>
  <c r="R804" i="45"/>
  <c r="R225" i="45"/>
  <c r="R226" i="45"/>
  <c r="R674" i="45"/>
  <c r="R615" i="45"/>
  <c r="R861" i="45"/>
  <c r="R899" i="45"/>
  <c r="R227" i="45"/>
  <c r="R791" i="45"/>
  <c r="R923" i="45"/>
  <c r="R1052" i="45"/>
  <c r="R230" i="45"/>
  <c r="R231" i="45"/>
  <c r="R613" i="45"/>
  <c r="R730" i="45"/>
  <c r="R233" i="45"/>
  <c r="R228" i="45"/>
  <c r="R236" i="45"/>
  <c r="R854" i="45"/>
  <c r="R235" i="45"/>
  <c r="R229" i="45"/>
  <c r="R234" i="45"/>
  <c r="R232" i="45"/>
  <c r="R685" i="45"/>
  <c r="R1047" i="45"/>
  <c r="R624" i="45"/>
  <c r="R238" i="45"/>
  <c r="R239" i="45"/>
  <c r="R832" i="45"/>
  <c r="R237" i="45"/>
  <c r="R825" i="45"/>
  <c r="R240" i="45"/>
  <c r="R243" i="45"/>
  <c r="R708" i="45"/>
  <c r="R242" i="45"/>
  <c r="R241" i="45"/>
  <c r="R247" i="45"/>
  <c r="R248" i="45"/>
  <c r="R246" i="45"/>
  <c r="R245" i="45"/>
  <c r="R244" i="45"/>
  <c r="R249" i="45"/>
  <c r="R251" i="45"/>
  <c r="R1043" i="45"/>
  <c r="R250" i="45"/>
  <c r="R252" i="45"/>
  <c r="R636" i="45"/>
  <c r="R972" i="45"/>
  <c r="R258" i="45"/>
  <c r="R5" i="45"/>
  <c r="R256" i="45"/>
  <c r="R831" i="45"/>
  <c r="R253" i="45"/>
  <c r="R254" i="45"/>
  <c r="R255" i="45"/>
  <c r="R257" i="45"/>
  <c r="R731" i="45"/>
  <c r="R261" i="45"/>
  <c r="R260" i="45"/>
  <c r="R262" i="45"/>
  <c r="R826" i="45"/>
  <c r="R1057" i="45"/>
  <c r="R1004" i="45"/>
  <c r="R864" i="45"/>
  <c r="R1021" i="45"/>
  <c r="R654" i="45"/>
  <c r="R694" i="45"/>
  <c r="R259" i="45"/>
  <c r="R754" i="45"/>
  <c r="R915" i="45"/>
  <c r="R628" i="45"/>
  <c r="R269" i="45"/>
  <c r="R813" i="45"/>
  <c r="R9" i="45"/>
  <c r="R268" i="45"/>
  <c r="R265" i="45"/>
  <c r="R855" i="45"/>
  <c r="R267" i="45"/>
  <c r="R264" i="45"/>
  <c r="R266" i="45"/>
  <c r="R745" i="45"/>
  <c r="R263" i="45"/>
  <c r="R739" i="45"/>
  <c r="R982" i="45"/>
  <c r="R595" i="45"/>
  <c r="R630" i="45"/>
  <c r="R272" i="45"/>
  <c r="R275" i="45"/>
  <c r="R276" i="45"/>
  <c r="R270" i="45"/>
  <c r="R271" i="45"/>
  <c r="R273" i="45"/>
  <c r="R277" i="45"/>
  <c r="R274" i="45"/>
  <c r="R1060" i="45"/>
  <c r="R278" i="45"/>
  <c r="R1014" i="45"/>
  <c r="R279" i="45"/>
  <c r="R284" i="45"/>
  <c r="R281" i="45"/>
  <c r="R842" i="45"/>
  <c r="R280" i="45"/>
  <c r="R909" i="45"/>
  <c r="R976" i="45"/>
  <c r="R283" i="45"/>
  <c r="R286" i="45"/>
  <c r="R287" i="45"/>
  <c r="R285" i="45"/>
  <c r="R282" i="45"/>
  <c r="R992" i="45"/>
  <c r="R1008" i="45"/>
  <c r="R587" i="45"/>
  <c r="R1054" i="45"/>
  <c r="R290" i="45"/>
  <c r="R292" i="45"/>
  <c r="R965" i="45"/>
  <c r="R289" i="45"/>
  <c r="R917" i="45"/>
  <c r="R288" i="45"/>
  <c r="R601" i="45"/>
  <c r="R948" i="45"/>
  <c r="R291" i="45"/>
  <c r="R293" i="45"/>
  <c r="R795" i="45"/>
  <c r="R294" i="45"/>
  <c r="R716" i="45"/>
  <c r="R300" i="45"/>
  <c r="R303" i="45"/>
  <c r="R977" i="45"/>
  <c r="R908" i="45"/>
  <c r="R296" i="45"/>
  <c r="R299" i="45"/>
  <c r="R298" i="45"/>
  <c r="R307" i="45"/>
  <c r="R302" i="45"/>
  <c r="R967" i="45"/>
  <c r="R778" i="45"/>
  <c r="R305" i="45"/>
  <c r="R304" i="45"/>
  <c r="R295" i="45"/>
  <c r="R306" i="45"/>
  <c r="R301" i="45"/>
  <c r="R297" i="45"/>
  <c r="R1038" i="45"/>
  <c r="R314" i="45"/>
  <c r="R840" i="45"/>
  <c r="R1039" i="45"/>
  <c r="R315" i="45"/>
  <c r="R316" i="45"/>
  <c r="R608" i="45"/>
  <c r="R317" i="45"/>
  <c r="R310" i="45"/>
  <c r="R312" i="45"/>
  <c r="R665" i="45"/>
  <c r="R308" i="45"/>
  <c r="R318" i="45"/>
  <c r="R309" i="45"/>
  <c r="R311" i="45"/>
  <c r="R313" i="45"/>
  <c r="R616" i="45"/>
  <c r="R827" i="45"/>
  <c r="R684" i="45"/>
  <c r="R664" i="45"/>
  <c r="R319" i="45"/>
  <c r="R740" i="45"/>
  <c r="R762" i="45"/>
  <c r="R323" i="45"/>
  <c r="R1049" i="45"/>
  <c r="R701" i="45"/>
  <c r="R792" i="45"/>
  <c r="R322" i="45"/>
  <c r="R849" i="45"/>
  <c r="R328" i="45"/>
  <c r="R586" i="45"/>
  <c r="R907" i="45"/>
  <c r="R321" i="45"/>
  <c r="R327" i="45"/>
  <c r="R326" i="45"/>
  <c r="R325" i="45"/>
  <c r="R897" i="45"/>
  <c r="R329" i="45"/>
  <c r="R324" i="45"/>
  <c r="R320" i="45"/>
  <c r="R893" i="45"/>
  <c r="R331" i="45"/>
  <c r="R332" i="45"/>
  <c r="R718" i="45"/>
  <c r="R933" i="45"/>
  <c r="R799" i="45"/>
  <c r="R1010" i="45"/>
  <c r="R872" i="45"/>
  <c r="R330" i="45"/>
  <c r="R839" i="45"/>
  <c r="R787" i="45"/>
  <c r="R837" i="45"/>
  <c r="R335" i="45"/>
  <c r="R337" i="45"/>
  <c r="R712" i="45"/>
  <c r="R859" i="45"/>
  <c r="R651" i="45"/>
  <c r="R336" i="45"/>
  <c r="R820" i="45"/>
  <c r="R641" i="45"/>
  <c r="R333" i="45"/>
  <c r="R334" i="45"/>
  <c r="R711" i="45"/>
  <c r="R755" i="45"/>
  <c r="R759" i="45"/>
  <c r="R1037" i="45"/>
  <c r="R338" i="45"/>
  <c r="R785" i="45"/>
  <c r="R1030" i="45"/>
  <c r="R594" i="45"/>
  <c r="R341" i="45"/>
  <c r="R340" i="45"/>
  <c r="R803" i="45"/>
  <c r="R339" i="45"/>
  <c r="R342" i="45"/>
  <c r="R343" i="45"/>
  <c r="R672" i="45"/>
  <c r="R896" i="45"/>
  <c r="R747" i="45"/>
  <c r="R749" i="45"/>
  <c r="R585" i="45"/>
  <c r="R345" i="45"/>
  <c r="R344" i="45"/>
  <c r="R952" i="45"/>
  <c r="R777" i="45"/>
  <c r="R346" i="45"/>
  <c r="R829" i="45"/>
  <c r="R350" i="45"/>
  <c r="R858" i="45"/>
  <c r="R900" i="45"/>
  <c r="R347" i="45"/>
  <c r="R348" i="45"/>
  <c r="R349" i="45"/>
  <c r="R878" i="45"/>
  <c r="R603" i="45"/>
  <c r="R815" i="45"/>
  <c r="R986" i="45"/>
  <c r="R1001" i="45"/>
  <c r="R3" i="45"/>
  <c r="R354" i="45"/>
  <c r="R351" i="45"/>
  <c r="R353" i="45"/>
  <c r="R355" i="45"/>
  <c r="R352" i="45"/>
  <c r="R356" i="45"/>
  <c r="R721" i="45"/>
  <c r="R679" i="45"/>
  <c r="R357" i="45"/>
  <c r="R359" i="45"/>
  <c r="R891" i="45"/>
  <c r="R358" i="45"/>
  <c r="R656" i="45"/>
  <c r="R748" i="45"/>
  <c r="R360" i="45"/>
  <c r="R947" i="45"/>
  <c r="R653" i="45"/>
  <c r="R361" i="45"/>
  <c r="R935" i="45"/>
  <c r="R1020" i="45"/>
  <c r="R767" i="45"/>
  <c r="R824" i="45"/>
  <c r="R916" i="45"/>
  <c r="R363" i="45"/>
  <c r="R364" i="45"/>
  <c r="R680" i="45"/>
  <c r="R362" i="45"/>
  <c r="R366" i="45"/>
  <c r="R779" i="45"/>
  <c r="R365" i="45"/>
  <c r="R367" i="45"/>
  <c r="R690" i="45"/>
  <c r="R368" i="45"/>
  <c r="R814" i="45"/>
  <c r="R942" i="45"/>
  <c r="R370" i="45"/>
  <c r="R956" i="45"/>
  <c r="R1018" i="45"/>
  <c r="R371" i="45"/>
  <c r="R769" i="45"/>
  <c r="R369" i="45"/>
  <c r="R610" i="45"/>
  <c r="R836" i="45"/>
  <c r="R372" i="45"/>
  <c r="R7" i="45"/>
  <c r="R723" i="45"/>
  <c r="R807" i="45"/>
  <c r="R715" i="45"/>
  <c r="R583" i="45"/>
  <c r="R770" i="45"/>
  <c r="R676" i="45"/>
  <c r="R985" i="45"/>
  <c r="R964" i="45"/>
  <c r="R999" i="45"/>
  <c r="R373" i="45"/>
  <c r="R1017" i="45"/>
  <c r="R634" i="45"/>
  <c r="R1036" i="45"/>
  <c r="R925" i="45"/>
  <c r="R1033" i="45"/>
  <c r="R375" i="45"/>
  <c r="R374" i="45"/>
  <c r="R902" i="45"/>
  <c r="R990" i="45"/>
  <c r="R625" i="45"/>
  <c r="R763" i="45"/>
  <c r="R955" i="45"/>
  <c r="R379" i="45"/>
  <c r="R378" i="45"/>
  <c r="R377" i="45"/>
  <c r="R966" i="45"/>
  <c r="R940" i="45"/>
  <c r="R376" i="45"/>
  <c r="R581" i="45"/>
  <c r="R995" i="45"/>
  <c r="R1044" i="45"/>
  <c r="R704" i="45"/>
  <c r="R582" i="45"/>
  <c r="R380" i="45"/>
  <c r="R381" i="45"/>
  <c r="R702" i="45"/>
  <c r="R382" i="45"/>
  <c r="R592" i="45"/>
  <c r="R938" i="45"/>
  <c r="R383" i="45"/>
  <c r="R798" i="45"/>
  <c r="R774" i="45"/>
  <c r="R385" i="45"/>
  <c r="R973" i="45"/>
  <c r="R384" i="45"/>
  <c r="R387" i="45"/>
  <c r="R386" i="45"/>
  <c r="R388" i="45"/>
  <c r="R979" i="45"/>
  <c r="R686" i="45"/>
  <c r="R589" i="45"/>
  <c r="R898" i="45"/>
  <c r="R997" i="45"/>
  <c r="R838" i="45"/>
  <c r="R991" i="45"/>
  <c r="R389" i="45"/>
  <c r="R390" i="45"/>
  <c r="R906" i="45"/>
  <c r="R392" i="45"/>
  <c r="R391" i="45"/>
  <c r="R639" i="45"/>
  <c r="R645" i="45"/>
  <c r="R1022" i="45"/>
  <c r="R396" i="45"/>
  <c r="R394" i="45"/>
  <c r="R671" i="45"/>
  <c r="R951" i="45"/>
  <c r="R395" i="45"/>
  <c r="R393" i="45"/>
  <c r="R401" i="45"/>
  <c r="R398" i="45"/>
  <c r="R602" i="45"/>
  <c r="R399" i="45"/>
  <c r="R397" i="45"/>
  <c r="R400" i="45"/>
  <c r="R776" i="45"/>
  <c r="R405" i="45"/>
  <c r="R734" i="45"/>
  <c r="R709" i="45"/>
  <c r="R406" i="45"/>
  <c r="R738" i="45"/>
  <c r="R404" i="45"/>
  <c r="R402" i="45"/>
  <c r="R403" i="45"/>
  <c r="R408" i="45"/>
  <c r="R410" i="45"/>
  <c r="R409" i="45"/>
  <c r="R411" i="45"/>
  <c r="R660" i="45"/>
  <c r="R988" i="45"/>
  <c r="R757" i="45"/>
  <c r="R407" i="45"/>
  <c r="R833" i="45"/>
  <c r="R412" i="45"/>
  <c r="R744" i="45"/>
  <c r="R943" i="45"/>
  <c r="R413" i="45"/>
  <c r="R414" i="45"/>
  <c r="R649" i="45"/>
  <c r="R844" i="45"/>
  <c r="R879" i="45"/>
  <c r="R1005" i="45"/>
  <c r="R987" i="45"/>
  <c r="R415" i="45"/>
  <c r="R416" i="45"/>
  <c r="R417" i="45"/>
  <c r="R418" i="45"/>
  <c r="R604" i="45"/>
  <c r="R998" i="45"/>
  <c r="R420" i="45"/>
  <c r="R419" i="45"/>
  <c r="R422" i="45"/>
  <c r="R801" i="45"/>
  <c r="R668" i="45"/>
  <c r="R421" i="45"/>
  <c r="R424" i="45"/>
  <c r="R847" i="45"/>
  <c r="R425" i="45"/>
  <c r="R888" i="45"/>
  <c r="R423" i="45"/>
  <c r="R1032" i="45"/>
  <c r="R426" i="45"/>
  <c r="R430" i="45"/>
  <c r="R432" i="45"/>
  <c r="R433" i="45"/>
  <c r="R834" i="45"/>
  <c r="R431" i="45"/>
  <c r="R434" i="45"/>
  <c r="R428" i="45"/>
  <c r="R429" i="45"/>
  <c r="R427" i="45"/>
  <c r="R437" i="45"/>
  <c r="R438" i="45"/>
  <c r="R435" i="45"/>
  <c r="R928" i="45"/>
  <c r="R848" i="45"/>
  <c r="R882" i="45"/>
  <c r="R1031" i="45"/>
  <c r="R436" i="45"/>
  <c r="R442" i="45"/>
  <c r="R439" i="45"/>
  <c r="R946" i="45"/>
  <c r="R441" i="45"/>
  <c r="R440" i="45"/>
  <c r="R638" i="45"/>
  <c r="R444" i="45"/>
  <c r="R443" i="45"/>
  <c r="R597" i="45"/>
  <c r="R939" i="45"/>
  <c r="R446" i="45"/>
  <c r="R449" i="45"/>
  <c r="R445" i="45"/>
  <c r="R447" i="45"/>
  <c r="R1062" i="45"/>
  <c r="R687" i="45"/>
  <c r="R448" i="45"/>
  <c r="R1002" i="45"/>
  <c r="R876" i="45"/>
  <c r="R451" i="45"/>
  <c r="R743" i="45"/>
  <c r="R971" i="45"/>
  <c r="R662" i="45"/>
  <c r="R450" i="45"/>
  <c r="R1051" i="45"/>
  <c r="R457" i="45"/>
  <c r="R869" i="45"/>
  <c r="R460" i="45"/>
  <c r="R453" i="45"/>
  <c r="R459" i="45"/>
  <c r="R452" i="45"/>
  <c r="R456" i="45"/>
  <c r="R458" i="45"/>
  <c r="R461" i="45"/>
  <c r="R455" i="45"/>
  <c r="R454" i="45"/>
  <c r="R463" i="45"/>
  <c r="R465" i="45"/>
  <c r="R466" i="45"/>
  <c r="R682" i="45"/>
  <c r="R467" i="45"/>
  <c r="R462" i="45"/>
  <c r="R464" i="45"/>
  <c r="R478" i="45"/>
  <c r="R479" i="45"/>
  <c r="R681" i="45"/>
  <c r="R476" i="45"/>
  <c r="R468" i="45"/>
  <c r="R470" i="45"/>
  <c r="R471" i="45"/>
  <c r="R472" i="45"/>
  <c r="R477" i="45"/>
  <c r="R469" i="45"/>
  <c r="R474" i="45"/>
  <c r="R475" i="45"/>
  <c r="R1042" i="45"/>
  <c r="R473" i="45"/>
  <c r="R487" i="45"/>
  <c r="R482" i="45"/>
  <c r="R768" i="45"/>
  <c r="R591" i="45"/>
  <c r="R481" i="45"/>
  <c r="R483" i="45"/>
  <c r="R484" i="45"/>
  <c r="R724" i="45"/>
  <c r="R904" i="45"/>
  <c r="R980" i="45"/>
  <c r="R647" i="45"/>
  <c r="R480" i="45"/>
  <c r="R8" i="45"/>
  <c r="R486" i="45"/>
  <c r="R485" i="45"/>
  <c r="R496" i="45"/>
  <c r="R650" i="45"/>
  <c r="R491" i="45"/>
  <c r="R937" i="45"/>
  <c r="R498" i="45"/>
  <c r="R492" i="45"/>
  <c r="R1011" i="45"/>
  <c r="R489" i="45"/>
  <c r="R490" i="45"/>
  <c r="R493" i="45"/>
  <c r="R497" i="45"/>
  <c r="R495" i="45"/>
  <c r="R646" i="45"/>
  <c r="R488" i="45"/>
  <c r="R929" i="45"/>
  <c r="R494" i="45"/>
  <c r="R503" i="45"/>
  <c r="R499" i="45"/>
  <c r="R501" i="45"/>
  <c r="R871" i="45"/>
  <c r="R710" i="45"/>
  <c r="R502" i="45"/>
  <c r="R1059" i="45"/>
  <c r="R507" i="45"/>
  <c r="R506" i="45"/>
  <c r="R505" i="45"/>
  <c r="R504" i="45"/>
  <c r="R969" i="45"/>
  <c r="R828" i="45"/>
  <c r="R857" i="45"/>
  <c r="R508" i="45"/>
  <c r="R500" i="45"/>
  <c r="R509" i="45"/>
  <c r="R515" i="45"/>
  <c r="R517" i="45"/>
  <c r="R513" i="45"/>
  <c r="R511" i="45"/>
  <c r="R510" i="45"/>
  <c r="R514" i="45"/>
  <c r="R877" i="45"/>
  <c r="R519" i="45"/>
  <c r="R919" i="45"/>
  <c r="R726" i="45"/>
  <c r="R810" i="45"/>
  <c r="R520" i="45"/>
  <c r="R518" i="45"/>
  <c r="R512" i="45"/>
  <c r="R516" i="45"/>
  <c r="R524" i="45"/>
  <c r="R521" i="45"/>
  <c r="R522" i="45"/>
  <c r="R526" i="45"/>
  <c r="R527" i="45"/>
  <c r="R523" i="45"/>
  <c r="R525" i="45"/>
  <c r="R918" i="45"/>
  <c r="R528" i="45"/>
  <c r="R530" i="45"/>
  <c r="R633" i="45"/>
  <c r="R752" i="45"/>
  <c r="R593" i="45"/>
  <c r="R529" i="45"/>
  <c r="R889" i="45"/>
  <c r="R620" i="45"/>
  <c r="R642" i="45"/>
  <c r="R1065" i="45"/>
  <c r="R533" i="45"/>
  <c r="R532" i="45"/>
  <c r="R1023" i="45"/>
  <c r="R1063" i="45"/>
  <c r="R531" i="45"/>
  <c r="R535" i="45"/>
  <c r="R536" i="45"/>
  <c r="R892" i="45"/>
  <c r="R534" i="45"/>
  <c r="R695" i="45"/>
  <c r="R544" i="45"/>
  <c r="R950" i="45"/>
  <c r="R541" i="45"/>
  <c r="R543" i="45"/>
  <c r="R538" i="45"/>
  <c r="R537" i="45"/>
  <c r="R542" i="45"/>
  <c r="R540" i="45"/>
  <c r="R707" i="45"/>
  <c r="R539" i="45"/>
  <c r="R692" i="45"/>
  <c r="R545" i="45"/>
  <c r="R652" i="45"/>
  <c r="R547" i="45"/>
  <c r="R546" i="45"/>
  <c r="R548" i="45"/>
  <c r="R746" i="45"/>
  <c r="R961" i="45"/>
  <c r="R6" i="45"/>
  <c r="R549" i="45"/>
  <c r="R693" i="45"/>
  <c r="R550" i="45"/>
  <c r="R683" i="45"/>
  <c r="R551" i="45"/>
  <c r="R553" i="45"/>
  <c r="R852" i="45"/>
  <c r="R552" i="45"/>
  <c r="R758" i="45"/>
  <c r="R555" i="45"/>
  <c r="R775" i="45"/>
  <c r="R1015" i="45"/>
  <c r="R554" i="45"/>
  <c r="R910" i="45"/>
  <c r="R556" i="45"/>
  <c r="R963" i="45"/>
  <c r="R559" i="45"/>
  <c r="R637" i="45"/>
  <c r="R841" i="45"/>
  <c r="R557" i="45"/>
  <c r="R558" i="45"/>
  <c r="R598" i="45"/>
  <c r="R970" i="45"/>
  <c r="R579" i="45"/>
  <c r="R563" i="45"/>
  <c r="R561" i="45"/>
  <c r="R562" i="45"/>
  <c r="R560" i="45"/>
  <c r="R808" i="45"/>
  <c r="R984" i="45"/>
  <c r="R874" i="45"/>
  <c r="R565" i="45"/>
  <c r="R564" i="45"/>
  <c r="R962" i="45"/>
  <c r="R936" i="45"/>
  <c r="R884" i="45"/>
  <c r="R1029" i="45"/>
  <c r="R566" i="45"/>
  <c r="R761" i="45"/>
  <c r="R567" i="45"/>
  <c r="R760" i="45"/>
  <c r="R1034" i="45"/>
  <c r="R568" i="45"/>
  <c r="R1050" i="45"/>
  <c r="R570" i="45"/>
  <c r="R1045" i="45"/>
  <c r="R993" i="45"/>
  <c r="R794" i="45"/>
  <c r="R569" i="45"/>
  <c r="R572" i="45"/>
  <c r="R571" i="45"/>
  <c r="R600" i="45"/>
  <c r="R1019" i="45"/>
  <c r="R573" i="45"/>
  <c r="R911" i="45"/>
  <c r="R835" i="45"/>
  <c r="R574" i="45"/>
  <c r="R843" i="45"/>
  <c r="R811" i="45"/>
  <c r="R576" i="45"/>
  <c r="R575" i="45"/>
  <c r="R577" i="45"/>
  <c r="R862" i="45"/>
  <c r="R578" i="45"/>
  <c r="R614" i="45"/>
  <c r="G144" i="46"/>
  <c r="K144" i="46" s="1"/>
  <c r="L144" i="46" s="1"/>
  <c r="F144" i="46"/>
  <c r="F143" i="46"/>
  <c r="G143" i="46" s="1"/>
  <c r="F142" i="46"/>
  <c r="G142" i="46" s="1"/>
  <c r="K142" i="46" s="1"/>
  <c r="L142" i="46" s="1"/>
  <c r="F141" i="46"/>
  <c r="G141" i="46" s="1"/>
  <c r="F140" i="46"/>
  <c r="G140" i="46" s="1"/>
  <c r="F139" i="46"/>
  <c r="G139" i="46" s="1"/>
  <c r="K139" i="46" s="1"/>
  <c r="L139" i="46" s="1"/>
  <c r="F138" i="46"/>
  <c r="G138" i="46" s="1"/>
  <c r="F137" i="46"/>
  <c r="G137" i="46" s="1"/>
  <c r="F136" i="46"/>
  <c r="G136" i="46" s="1"/>
  <c r="K136" i="46" s="1"/>
  <c r="L136" i="46" s="1"/>
  <c r="F135" i="46"/>
  <c r="G135" i="46" s="1"/>
  <c r="K135" i="46" s="1"/>
  <c r="L135" i="46" s="1"/>
  <c r="F134" i="46"/>
  <c r="G134" i="46" s="1"/>
  <c r="H134" i="46" s="1"/>
  <c r="G133" i="46"/>
  <c r="F133" i="46"/>
  <c r="F132" i="46"/>
  <c r="G132" i="46" s="1"/>
  <c r="I131" i="46"/>
  <c r="J131" i="46" s="1"/>
  <c r="F131" i="46"/>
  <c r="G131" i="46" s="1"/>
  <c r="F130" i="46"/>
  <c r="G130" i="46" s="1"/>
  <c r="F129" i="46"/>
  <c r="G129" i="46" s="1"/>
  <c r="F128" i="46"/>
  <c r="G128" i="46" s="1"/>
  <c r="G127" i="46"/>
  <c r="K127" i="46" s="1"/>
  <c r="L127" i="46" s="1"/>
  <c r="F127" i="46"/>
  <c r="F126" i="46"/>
  <c r="G126" i="46" s="1"/>
  <c r="F125" i="46"/>
  <c r="G125" i="46" s="1"/>
  <c r="F124" i="46"/>
  <c r="G124" i="46" s="1"/>
  <c r="F123" i="46"/>
  <c r="G123" i="46" s="1"/>
  <c r="F122" i="46"/>
  <c r="G122" i="46" s="1"/>
  <c r="G121" i="46"/>
  <c r="F121" i="46"/>
  <c r="I120" i="46"/>
  <c r="J120" i="46" s="1"/>
  <c r="H120" i="46"/>
  <c r="G120" i="46"/>
  <c r="K120" i="46" s="1"/>
  <c r="L120" i="46" s="1"/>
  <c r="F120" i="46"/>
  <c r="F119" i="46"/>
  <c r="G119" i="46" s="1"/>
  <c r="F118" i="46"/>
  <c r="G118" i="46" s="1"/>
  <c r="F117" i="46"/>
  <c r="G117" i="46" s="1"/>
  <c r="F116" i="46"/>
  <c r="G116" i="46" s="1"/>
  <c r="F115" i="46"/>
  <c r="G115" i="46" s="1"/>
  <c r="F114" i="46"/>
  <c r="G114" i="46" s="1"/>
  <c r="K114" i="46" s="1"/>
  <c r="L114" i="46" s="1"/>
  <c r="K113" i="46"/>
  <c r="L113" i="46" s="1"/>
  <c r="F113" i="46"/>
  <c r="G113" i="46" s="1"/>
  <c r="H113" i="46" s="1"/>
  <c r="F112" i="46"/>
  <c r="G112" i="46" s="1"/>
  <c r="F111" i="46"/>
  <c r="G111" i="46" s="1"/>
  <c r="F110" i="46"/>
  <c r="G110" i="46" s="1"/>
  <c r="G109" i="46"/>
  <c r="F109" i="46"/>
  <c r="F108" i="46"/>
  <c r="G108" i="46" s="1"/>
  <c r="K108" i="46" s="1"/>
  <c r="L108" i="46" s="1"/>
  <c r="F107" i="46"/>
  <c r="G107" i="46" s="1"/>
  <c r="K106" i="46"/>
  <c r="L106" i="46" s="1"/>
  <c r="I106" i="46"/>
  <c r="J106" i="46" s="1"/>
  <c r="F106" i="46"/>
  <c r="G106" i="46" s="1"/>
  <c r="H106" i="46" s="1"/>
  <c r="F105" i="46"/>
  <c r="G105" i="46" s="1"/>
  <c r="F104" i="46"/>
  <c r="G104" i="46" s="1"/>
  <c r="F103" i="46"/>
  <c r="G103" i="46" s="1"/>
  <c r="K103" i="46" s="1"/>
  <c r="L103" i="46" s="1"/>
  <c r="F102" i="46"/>
  <c r="G102" i="46" s="1"/>
  <c r="F101" i="46"/>
  <c r="G101" i="46" s="1"/>
  <c r="F100" i="46"/>
  <c r="G100" i="46" s="1"/>
  <c r="K100" i="46" s="1"/>
  <c r="L100" i="46" s="1"/>
  <c r="F99" i="46"/>
  <c r="G99" i="46" s="1"/>
  <c r="F98" i="46"/>
  <c r="G98" i="46" s="1"/>
  <c r="F97" i="46"/>
  <c r="G97" i="46" s="1"/>
  <c r="F96" i="46"/>
  <c r="G96" i="46" s="1"/>
  <c r="K96" i="46" s="1"/>
  <c r="L96" i="46" s="1"/>
  <c r="F95" i="46"/>
  <c r="G95" i="46" s="1"/>
  <c r="I95" i="46" s="1"/>
  <c r="J95" i="46" s="1"/>
  <c r="F94" i="46"/>
  <c r="G94" i="46" s="1"/>
  <c r="H94" i="46" s="1"/>
  <c r="F93" i="46"/>
  <c r="G93" i="46" s="1"/>
  <c r="F92" i="46"/>
  <c r="G92" i="46" s="1"/>
  <c r="F91" i="46"/>
  <c r="G91" i="46" s="1"/>
  <c r="K91" i="46" s="1"/>
  <c r="L91" i="46" s="1"/>
  <c r="F90" i="46"/>
  <c r="G90" i="46" s="1"/>
  <c r="K90" i="46" s="1"/>
  <c r="L90" i="46" s="1"/>
  <c r="F89" i="46"/>
  <c r="G89" i="46" s="1"/>
  <c r="K89" i="46" s="1"/>
  <c r="L89" i="46" s="1"/>
  <c r="F88" i="46"/>
  <c r="G88" i="46" s="1"/>
  <c r="K88" i="46" s="1"/>
  <c r="L88" i="46" s="1"/>
  <c r="F87" i="46"/>
  <c r="G87" i="46" s="1"/>
  <c r="F86" i="46"/>
  <c r="G86" i="46" s="1"/>
  <c r="F85" i="46"/>
  <c r="G85" i="46" s="1"/>
  <c r="H85" i="46" s="1"/>
  <c r="F84" i="46"/>
  <c r="G84" i="46" s="1"/>
  <c r="F83" i="46"/>
  <c r="G83" i="46" s="1"/>
  <c r="I83" i="46" s="1"/>
  <c r="J83" i="46" s="1"/>
  <c r="K82" i="46"/>
  <c r="L82" i="46" s="1"/>
  <c r="F82" i="46"/>
  <c r="G82" i="46" s="1"/>
  <c r="H82" i="46" s="1"/>
  <c r="F81" i="46"/>
  <c r="G81" i="46" s="1"/>
  <c r="F80" i="46"/>
  <c r="G80" i="46" s="1"/>
  <c r="F79" i="46"/>
  <c r="G79" i="46" s="1"/>
  <c r="K79" i="46" s="1"/>
  <c r="L79" i="46" s="1"/>
  <c r="F78" i="46"/>
  <c r="G78" i="46" s="1"/>
  <c r="F77" i="46"/>
  <c r="G77" i="46" s="1"/>
  <c r="F76" i="46"/>
  <c r="G76" i="46" s="1"/>
  <c r="K76" i="46" s="1"/>
  <c r="L76" i="46" s="1"/>
  <c r="F75" i="46"/>
  <c r="G75" i="46" s="1"/>
  <c r="F74" i="46"/>
  <c r="G74" i="46" s="1"/>
  <c r="G73" i="46"/>
  <c r="H73" i="46" s="1"/>
  <c r="F73" i="46"/>
  <c r="F72" i="46"/>
  <c r="G72" i="46" s="1"/>
  <c r="F71" i="46"/>
  <c r="G71" i="46" s="1"/>
  <c r="F70" i="46"/>
  <c r="G70" i="46" s="1"/>
  <c r="H70" i="46" s="1"/>
  <c r="F69" i="46"/>
  <c r="G69" i="46" s="1"/>
  <c r="F68" i="46"/>
  <c r="G68" i="46" s="1"/>
  <c r="F67" i="46"/>
  <c r="G67" i="46" s="1"/>
  <c r="K67" i="46" s="1"/>
  <c r="L67" i="46" s="1"/>
  <c r="I66" i="46"/>
  <c r="J66" i="46" s="1"/>
  <c r="H66" i="46"/>
  <c r="G66" i="46"/>
  <c r="K66" i="46" s="1"/>
  <c r="L66" i="46" s="1"/>
  <c r="F66" i="46"/>
  <c r="F65" i="46"/>
  <c r="G65" i="46" s="1"/>
  <c r="F64" i="46"/>
  <c r="G64" i="46" s="1"/>
  <c r="K64" i="46" s="1"/>
  <c r="L64" i="46" s="1"/>
  <c r="F63" i="46"/>
  <c r="G63" i="46" s="1"/>
  <c r="F62" i="46"/>
  <c r="G62" i="46" s="1"/>
  <c r="F61" i="46"/>
  <c r="G61" i="46" s="1"/>
  <c r="F60" i="46"/>
  <c r="G60" i="46" s="1"/>
  <c r="F59" i="46"/>
  <c r="G59" i="46" s="1"/>
  <c r="F58" i="46"/>
  <c r="G58" i="46" s="1"/>
  <c r="F57" i="46"/>
  <c r="G57" i="46" s="1"/>
  <c r="F56" i="46"/>
  <c r="G56" i="46" s="1"/>
  <c r="K56" i="46" s="1"/>
  <c r="L56" i="46" s="1"/>
  <c r="F55" i="46"/>
  <c r="G55" i="46" s="1"/>
  <c r="K55" i="46" s="1"/>
  <c r="L55" i="46" s="1"/>
  <c r="F54" i="46"/>
  <c r="G54" i="46" s="1"/>
  <c r="K54" i="46" s="1"/>
  <c r="L54" i="46" s="1"/>
  <c r="F53" i="46"/>
  <c r="G53" i="46" s="1"/>
  <c r="F52" i="46"/>
  <c r="G52" i="46" s="1"/>
  <c r="F51" i="46"/>
  <c r="G51" i="46" s="1"/>
  <c r="F50" i="46"/>
  <c r="G50" i="46" s="1"/>
  <c r="F49" i="46"/>
  <c r="G49" i="46" s="1"/>
  <c r="F48" i="46"/>
  <c r="G48" i="46" s="1"/>
  <c r="F47" i="46"/>
  <c r="G47" i="46" s="1"/>
  <c r="F46" i="46"/>
  <c r="G46" i="46" s="1"/>
  <c r="F45" i="46"/>
  <c r="G45" i="46" s="1"/>
  <c r="F44" i="46"/>
  <c r="G44" i="46" s="1"/>
  <c r="K44" i="46" s="1"/>
  <c r="L44" i="46" s="1"/>
  <c r="F43" i="46"/>
  <c r="G43" i="46" s="1"/>
  <c r="K43" i="46" s="1"/>
  <c r="L43" i="46" s="1"/>
  <c r="F42" i="46"/>
  <c r="G42" i="46" s="1"/>
  <c r="K42" i="46" s="1"/>
  <c r="L42" i="46" s="1"/>
  <c r="F41" i="46"/>
  <c r="G41" i="46" s="1"/>
  <c r="F40" i="46"/>
  <c r="G40" i="46" s="1"/>
  <c r="F39" i="46"/>
  <c r="G39" i="46" s="1"/>
  <c r="F38" i="46"/>
  <c r="G38" i="46" s="1"/>
  <c r="I38" i="46" s="1"/>
  <c r="J38" i="46" s="1"/>
  <c r="F37" i="46"/>
  <c r="G37" i="46" s="1"/>
  <c r="G36" i="46"/>
  <c r="I36" i="46" s="1"/>
  <c r="J36" i="46" s="1"/>
  <c r="F36" i="46"/>
  <c r="F35" i="46"/>
  <c r="G35" i="46" s="1"/>
  <c r="F34" i="46"/>
  <c r="G34" i="46" s="1"/>
  <c r="F33" i="46"/>
  <c r="G33" i="46" s="1"/>
  <c r="F32" i="46"/>
  <c r="G32" i="46" s="1"/>
  <c r="F31" i="46"/>
  <c r="G31" i="46" s="1"/>
  <c r="K31" i="46" s="1"/>
  <c r="L31" i="46" s="1"/>
  <c r="G30" i="46"/>
  <c r="K30" i="46" s="1"/>
  <c r="L30" i="46" s="1"/>
  <c r="F30" i="46"/>
  <c r="F29" i="46"/>
  <c r="G29" i="46" s="1"/>
  <c r="K29" i="46" s="1"/>
  <c r="L29" i="46" s="1"/>
  <c r="F28" i="46"/>
  <c r="G28" i="46" s="1"/>
  <c r="F27" i="46"/>
  <c r="G27" i="46" s="1"/>
  <c r="F26" i="46"/>
  <c r="G26" i="46" s="1"/>
  <c r="F25" i="46"/>
  <c r="G25" i="46" s="1"/>
  <c r="G24" i="46"/>
  <c r="H24" i="46" s="1"/>
  <c r="F24" i="46"/>
  <c r="F23" i="46"/>
  <c r="G23" i="46" s="1"/>
  <c r="H23" i="46" s="1"/>
  <c r="F22" i="46"/>
  <c r="G22" i="46" s="1"/>
  <c r="F21" i="46"/>
  <c r="G21" i="46" s="1"/>
  <c r="F20" i="46"/>
  <c r="G20" i="46" s="1"/>
  <c r="F19" i="46"/>
  <c r="G19" i="46" s="1"/>
  <c r="F18" i="46"/>
  <c r="G18" i="46" s="1"/>
  <c r="F17" i="46"/>
  <c r="G17" i="46" s="1"/>
  <c r="F16" i="46"/>
  <c r="G16" i="46" s="1"/>
  <c r="K16" i="46" s="1"/>
  <c r="L16" i="46" s="1"/>
  <c r="F15" i="46"/>
  <c r="G15" i="46" s="1"/>
  <c r="F14" i="46"/>
  <c r="G14" i="46" s="1"/>
  <c r="F13" i="46"/>
  <c r="G13" i="46" s="1"/>
  <c r="K13" i="46" s="1"/>
  <c r="L13" i="46" s="1"/>
  <c r="F12" i="46"/>
  <c r="G12" i="46" s="1"/>
  <c r="C12" i="46"/>
  <c r="F11" i="46"/>
  <c r="G11" i="46" s="1"/>
  <c r="F10" i="46"/>
  <c r="G10" i="46" s="1"/>
  <c r="F9" i="46"/>
  <c r="G9" i="46" s="1"/>
  <c r="F8" i="46"/>
  <c r="G8" i="46" s="1"/>
  <c r="F7" i="46"/>
  <c r="G7" i="46" s="1"/>
  <c r="F6" i="46"/>
  <c r="G6" i="46" s="1"/>
  <c r="I5" i="46"/>
  <c r="H5" i="46"/>
  <c r="K669" i="45"/>
  <c r="R669" i="45"/>
  <c r="O669" i="45"/>
  <c r="N669" i="45"/>
  <c r="J1" i="45"/>
  <c r="S629" i="45" l="1"/>
  <c r="U629" i="45" s="1"/>
  <c r="S635" i="45"/>
  <c r="U635" i="45" s="1"/>
  <c r="S78" i="45"/>
  <c r="U78" i="45" s="1"/>
  <c r="S1040" i="45"/>
  <c r="U1040" i="45" s="1"/>
  <c r="S66" i="45"/>
  <c r="U66" i="45" s="1"/>
  <c r="S61" i="45"/>
  <c r="U61" i="45" s="1"/>
  <c r="S735" i="45"/>
  <c r="U735" i="45" s="1"/>
  <c r="S913" i="45"/>
  <c r="U913" i="45" s="1"/>
  <c r="S38" i="45"/>
  <c r="U38" i="45" s="1"/>
  <c r="S773" i="45"/>
  <c r="U773" i="45" s="1"/>
  <c r="S609" i="45"/>
  <c r="U609" i="45" s="1"/>
  <c r="S816" i="45"/>
  <c r="U816" i="45" s="1"/>
  <c r="S696" i="45"/>
  <c r="U696" i="45" s="1"/>
  <c r="S793" i="45"/>
  <c r="U793" i="45" s="1"/>
  <c r="S989" i="45"/>
  <c r="U989" i="45" s="1"/>
  <c r="S41" i="45"/>
  <c r="U41" i="45" s="1"/>
  <c r="S905" i="45"/>
  <c r="U905" i="45" s="1"/>
  <c r="S33" i="45"/>
  <c r="U33" i="45" s="1"/>
  <c r="S12" i="45"/>
  <c r="U12" i="45" s="1"/>
  <c r="S805" i="45"/>
  <c r="U805" i="45" s="1"/>
  <c r="S23" i="45"/>
  <c r="U23" i="45" s="1"/>
  <c r="S14" i="45"/>
  <c r="U14" i="45" s="1"/>
  <c r="S69" i="45"/>
  <c r="U69" i="45" s="1"/>
  <c r="S932" i="45"/>
  <c r="U932" i="45" s="1"/>
  <c r="S56" i="45"/>
  <c r="U56" i="45" s="1"/>
  <c r="S53" i="45"/>
  <c r="U53" i="45" s="1"/>
  <c r="S868" i="45"/>
  <c r="U868" i="45" s="1"/>
  <c r="S954" i="45"/>
  <c r="U954" i="45" s="1"/>
  <c r="S81" i="45"/>
  <c r="U81" i="45" s="1"/>
  <c r="S790" i="45"/>
  <c r="U790" i="45" s="1"/>
  <c r="S821" i="45"/>
  <c r="U821" i="45" s="1"/>
  <c r="S1006" i="45"/>
  <c r="U1006" i="45" s="1"/>
  <c r="S67" i="45"/>
  <c r="U67" i="45" s="1"/>
  <c r="S55" i="45"/>
  <c r="S894" i="45"/>
  <c r="S783" i="45"/>
  <c r="U783" i="45" s="1"/>
  <c r="S45" i="45"/>
  <c r="U45" i="45" s="1"/>
  <c r="S797" i="45"/>
  <c r="S661" i="45"/>
  <c r="S27" i="45"/>
  <c r="S883" i="45"/>
  <c r="S850" i="45"/>
  <c r="S934" i="45"/>
  <c r="U934" i="45" s="1"/>
  <c r="S640" i="45"/>
  <c r="S85" i="45"/>
  <c r="S73" i="45"/>
  <c r="S71" i="45"/>
  <c r="S65" i="45"/>
  <c r="S670" i="45"/>
  <c r="S765" i="45"/>
  <c r="S606" i="45"/>
  <c r="S771" i="45"/>
  <c r="S719" i="45"/>
  <c r="S806" i="45"/>
  <c r="S632" i="45"/>
  <c r="S618" i="45"/>
  <c r="S21" i="45"/>
  <c r="S15" i="45"/>
  <c r="S17" i="45"/>
  <c r="U17" i="45" s="1"/>
  <c r="S655" i="45"/>
  <c r="U655" i="45" s="1"/>
  <c r="S62" i="45"/>
  <c r="S18" i="45"/>
  <c r="S1053" i="45"/>
  <c r="S54" i="45"/>
  <c r="S51" i="45"/>
  <c r="S46" i="45"/>
  <c r="S40" i="45"/>
  <c r="S764" i="45"/>
  <c r="S596" i="45"/>
  <c r="S26" i="45"/>
  <c r="S605" i="45"/>
  <c r="S699" i="45"/>
  <c r="S13" i="45"/>
  <c r="S931" i="45"/>
  <c r="S1058" i="45"/>
  <c r="S74" i="45"/>
  <c r="S853" i="45"/>
  <c r="S60" i="45"/>
  <c r="S875" i="45"/>
  <c r="S49" i="45"/>
  <c r="U49" i="45" s="1"/>
  <c r="S47" i="45"/>
  <c r="S42" i="45"/>
  <c r="S885" i="45"/>
  <c r="S1003" i="45"/>
  <c r="S28" i="45"/>
  <c r="S20" i="45"/>
  <c r="S1013" i="45"/>
  <c r="S39" i="45"/>
  <c r="S957" i="45"/>
  <c r="S32" i="45"/>
  <c r="S25" i="45"/>
  <c r="S974" i="45"/>
  <c r="S688" i="45"/>
  <c r="S48" i="45"/>
  <c r="S697" i="45"/>
  <c r="S809" i="45"/>
  <c r="S590" i="45"/>
  <c r="S862" i="45"/>
  <c r="S93" i="45"/>
  <c r="S79" i="45"/>
  <c r="S142" i="45"/>
  <c r="S103" i="45"/>
  <c r="S556" i="45"/>
  <c r="S104" i="45"/>
  <c r="S83" i="45"/>
  <c r="S86" i="45"/>
  <c r="S77" i="45"/>
  <c r="S57" i="45"/>
  <c r="S658" i="45"/>
  <c r="S584" i="45"/>
  <c r="S37" i="45"/>
  <c r="S941" i="45"/>
  <c r="S983" i="45"/>
  <c r="S24" i="45"/>
  <c r="S593" i="45"/>
  <c r="S143" i="45"/>
  <c r="S721" i="45"/>
  <c r="S594" i="45"/>
  <c r="S226" i="45"/>
  <c r="S738" i="45"/>
  <c r="S763" i="45"/>
  <c r="S295" i="45"/>
  <c r="S187" i="45"/>
  <c r="S207" i="45"/>
  <c r="S685" i="45"/>
  <c r="S59" i="45"/>
  <c r="S70" i="45"/>
  <c r="S981" i="45"/>
  <c r="S847" i="45"/>
  <c r="S50" i="45"/>
  <c r="S751" i="45"/>
  <c r="S667" i="45"/>
  <c r="S446" i="45"/>
  <c r="S512" i="45"/>
  <c r="S1031" i="45"/>
  <c r="S756" i="45"/>
  <c r="S626" i="45"/>
  <c r="S10" i="45"/>
  <c r="S36" i="45"/>
  <c r="S727" i="45"/>
  <c r="S881" i="45"/>
  <c r="S714" i="45"/>
  <c r="S612" i="45"/>
  <c r="S673" i="45"/>
  <c r="S827" i="45"/>
  <c r="S1000" i="45"/>
  <c r="S80" i="45"/>
  <c r="S648" i="45"/>
  <c r="S68" i="45"/>
  <c r="S611" i="45"/>
  <c r="S52" i="45"/>
  <c r="S1064" i="45"/>
  <c r="S887" i="45"/>
  <c r="S657" i="45"/>
  <c r="S717" i="45"/>
  <c r="S1056" i="45"/>
  <c r="S920" i="45"/>
  <c r="S198" i="45"/>
  <c r="S732" i="45"/>
  <c r="S534" i="45"/>
  <c r="S504" i="45"/>
  <c r="S1062" i="45"/>
  <c r="S429" i="45"/>
  <c r="S380" i="45"/>
  <c r="S367" i="45"/>
  <c r="S740" i="45"/>
  <c r="S1046" i="45"/>
  <c r="S209" i="45"/>
  <c r="S199" i="45"/>
  <c r="S192" i="45"/>
  <c r="S580" i="45"/>
  <c r="S953" i="45"/>
  <c r="S540" i="45"/>
  <c r="S485" i="45"/>
  <c r="S991" i="45"/>
  <c r="S990" i="45"/>
  <c r="S985" i="45"/>
  <c r="S355" i="45"/>
  <c r="S712" i="45"/>
  <c r="S332" i="45"/>
  <c r="S586" i="45"/>
  <c r="S305" i="45"/>
  <c r="S716" i="45"/>
  <c r="S270" i="45"/>
  <c r="S654" i="45"/>
  <c r="S251" i="45"/>
  <c r="S469" i="45"/>
  <c r="S183" i="45"/>
  <c r="S153" i="45"/>
  <c r="S689" i="45"/>
  <c r="S577" i="45"/>
  <c r="S964" i="45"/>
  <c r="S255" i="45"/>
  <c r="S133" i="45"/>
  <c r="S1050" i="45"/>
  <c r="S546" i="45"/>
  <c r="S444" i="45"/>
  <c r="S180" i="45"/>
  <c r="S119" i="45"/>
  <c r="S344" i="45"/>
  <c r="S678" i="45"/>
  <c r="S863" i="45"/>
  <c r="S162" i="45"/>
  <c r="S140" i="45"/>
  <c r="S866" i="45"/>
  <c r="S938" i="45"/>
  <c r="S539" i="45"/>
  <c r="S447" i="45"/>
  <c r="S259" i="45"/>
  <c r="S845" i="45"/>
  <c r="S706" i="45"/>
  <c r="S87" i="45"/>
  <c r="S283" i="45"/>
  <c r="S910" i="45"/>
  <c r="S973" i="45"/>
  <c r="S352" i="45"/>
  <c r="S304" i="45"/>
  <c r="S694" i="45"/>
  <c r="S1007" i="45"/>
  <c r="S177" i="45"/>
  <c r="S136" i="45"/>
  <c r="S127" i="45"/>
  <c r="S114" i="45"/>
  <c r="S890" i="45"/>
  <c r="S846" i="45"/>
  <c r="S235" i="45"/>
  <c r="S884" i="45"/>
  <c r="S1015" i="45"/>
  <c r="S633" i="45"/>
  <c r="S486" i="45"/>
  <c r="S482" i="45"/>
  <c r="S476" i="45"/>
  <c r="S455" i="45"/>
  <c r="S834" i="45"/>
  <c r="S734" i="45"/>
  <c r="S671" i="45"/>
  <c r="S774" i="45"/>
  <c r="S955" i="45"/>
  <c r="S923" i="45"/>
  <c r="S341" i="45"/>
  <c r="S800" i="45"/>
  <c r="S185" i="45"/>
  <c r="S737" i="45"/>
  <c r="S1048" i="45"/>
  <c r="S909" i="45"/>
  <c r="S99" i="45"/>
  <c r="S745" i="45"/>
  <c r="S384" i="45"/>
  <c r="S878" i="45"/>
  <c r="S4" i="45"/>
  <c r="S277" i="45"/>
  <c r="S449" i="45"/>
  <c r="S1026" i="45"/>
  <c r="S92" i="45"/>
  <c r="S336" i="45"/>
  <c r="S252" i="45"/>
  <c r="S819" i="45"/>
  <c r="S836" i="45"/>
  <c r="S58" i="45"/>
  <c r="S1038" i="45"/>
  <c r="S134" i="45"/>
  <c r="S431" i="45"/>
  <c r="S89" i="45"/>
  <c r="S1055" i="45"/>
  <c r="S76" i="45"/>
  <c r="S64" i="45"/>
  <c r="S892" i="45"/>
  <c r="S443" i="45"/>
  <c r="S364" i="45"/>
  <c r="S1008" i="45"/>
  <c r="S245" i="45"/>
  <c r="S568" i="45"/>
  <c r="S950" i="45"/>
  <c r="S595" i="45"/>
  <c r="S599" i="45"/>
  <c r="S394" i="45"/>
  <c r="S729" i="45"/>
  <c r="S552" i="45"/>
  <c r="S525" i="45"/>
  <c r="S501" i="45"/>
  <c r="S980" i="45"/>
  <c r="S452" i="45"/>
  <c r="S420" i="45"/>
  <c r="S311" i="45"/>
  <c r="S307" i="45"/>
  <c r="S279" i="45"/>
  <c r="S1057" i="45"/>
  <c r="S197" i="45"/>
  <c r="S135" i="45"/>
  <c r="S117" i="45"/>
  <c r="S622" i="45"/>
  <c r="U622" i="45" s="1"/>
  <c r="S919" i="45"/>
  <c r="S499" i="45"/>
  <c r="S904" i="45"/>
  <c r="S807" i="45"/>
  <c r="S916" i="45"/>
  <c r="S258" i="45"/>
  <c r="S115" i="45"/>
  <c r="S808" i="45"/>
  <c r="S551" i="45"/>
  <c r="S484" i="45"/>
  <c r="S682" i="45"/>
  <c r="S427" i="45"/>
  <c r="U427" i="45" s="1"/>
  <c r="S744" i="45"/>
  <c r="S368" i="45"/>
  <c r="S287" i="45"/>
  <c r="S260" i="45"/>
  <c r="S219" i="45"/>
  <c r="S213" i="45"/>
  <c r="S203" i="45"/>
  <c r="S155" i="45"/>
  <c r="S578" i="45"/>
  <c r="S600" i="45"/>
  <c r="S567" i="45"/>
  <c r="S560" i="45"/>
  <c r="S963" i="45"/>
  <c r="S683" i="45"/>
  <c r="S692" i="45"/>
  <c r="S522" i="45"/>
  <c r="S514" i="45"/>
  <c r="S929" i="45"/>
  <c r="S491" i="45"/>
  <c r="S483" i="45"/>
  <c r="S472" i="45"/>
  <c r="S466" i="45"/>
  <c r="S869" i="45"/>
  <c r="S425" i="45"/>
  <c r="U425" i="45" s="1"/>
  <c r="S417" i="45"/>
  <c r="S412" i="45"/>
  <c r="S404" i="45"/>
  <c r="S401" i="45"/>
  <c r="S906" i="45"/>
  <c r="S387" i="45"/>
  <c r="S381" i="45"/>
  <c r="S379" i="45"/>
  <c r="S372" i="45"/>
  <c r="S690" i="45"/>
  <c r="S1020" i="45"/>
  <c r="S679" i="45"/>
  <c r="S603" i="45"/>
  <c r="S820" i="45"/>
  <c r="S326" i="45"/>
  <c r="S762" i="45"/>
  <c r="S665" i="45"/>
  <c r="S301" i="45"/>
  <c r="S908" i="45"/>
  <c r="S917" i="45"/>
  <c r="S286" i="45"/>
  <c r="S274" i="45"/>
  <c r="S263" i="45"/>
  <c r="S261" i="45"/>
  <c r="S636" i="45"/>
  <c r="S242" i="45"/>
  <c r="S232" i="45"/>
  <c r="S1052" i="45"/>
  <c r="S1041" i="45"/>
  <c r="S216" i="45"/>
  <c r="S851" i="45"/>
  <c r="S1016" i="45"/>
  <c r="S607" i="45"/>
  <c r="S164" i="45"/>
  <c r="S149" i="45"/>
  <c r="S139" i="45"/>
  <c r="S812" i="45"/>
  <c r="S627" i="45"/>
  <c r="S733" i="45"/>
  <c r="S772" i="45"/>
  <c r="S1029" i="45"/>
  <c r="S620" i="45"/>
  <c r="S969" i="45"/>
  <c r="S613" i="45"/>
  <c r="S413" i="45"/>
  <c r="S160" i="45"/>
  <c r="S459" i="45"/>
  <c r="S329" i="45"/>
  <c r="S911" i="45"/>
  <c r="S399" i="45"/>
  <c r="S346" i="45"/>
  <c r="S298" i="45"/>
  <c r="S550" i="45"/>
  <c r="S457" i="45"/>
  <c r="S523" i="45"/>
  <c r="S220" i="45"/>
  <c r="S63" i="45"/>
  <c r="S984" i="45"/>
  <c r="S642" i="45"/>
  <c r="S498" i="45"/>
  <c r="S448" i="45"/>
  <c r="S423" i="45"/>
  <c r="S604" i="45"/>
  <c r="S602" i="45"/>
  <c r="S391" i="45"/>
  <c r="S377" i="45"/>
  <c r="S1036" i="45"/>
  <c r="S359" i="45"/>
  <c r="S777" i="45"/>
  <c r="S803" i="45"/>
  <c r="S330" i="45"/>
  <c r="S1049" i="45"/>
  <c r="S299" i="45"/>
  <c r="S601" i="45"/>
  <c r="S285" i="45"/>
  <c r="S269" i="45"/>
  <c r="S856" i="45"/>
  <c r="S247" i="45"/>
  <c r="S231" i="45"/>
  <c r="S225" i="45"/>
  <c r="S221" i="45"/>
  <c r="S212" i="45"/>
  <c r="S753" i="45"/>
  <c r="S166" i="45"/>
  <c r="S163" i="45"/>
  <c r="S968" i="45"/>
  <c r="S125" i="45"/>
  <c r="S112" i="45"/>
  <c r="S949" i="45"/>
  <c r="S95" i="45"/>
  <c r="S516" i="45"/>
  <c r="S495" i="45"/>
  <c r="S768" i="45"/>
  <c r="S454" i="45"/>
  <c r="S450" i="45"/>
  <c r="S436" i="45"/>
  <c r="S987" i="45"/>
  <c r="S951" i="45"/>
  <c r="S369" i="45"/>
  <c r="S779" i="45"/>
  <c r="S749" i="45"/>
  <c r="S907" i="45"/>
  <c r="S292" i="45"/>
  <c r="S240" i="45"/>
  <c r="S224" i="45"/>
  <c r="S691" i="45"/>
  <c r="S181" i="45"/>
  <c r="S130" i="45"/>
  <c r="S101" i="45"/>
  <c r="S161" i="45"/>
  <c r="S572" i="45"/>
  <c r="S566" i="45"/>
  <c r="S707" i="45"/>
  <c r="S524" i="45"/>
  <c r="S506" i="45"/>
  <c r="S646" i="45"/>
  <c r="S591" i="45"/>
  <c r="S470" i="45"/>
  <c r="S463" i="45"/>
  <c r="S445" i="45"/>
  <c r="S434" i="45"/>
  <c r="S415" i="45"/>
  <c r="S407" i="45"/>
  <c r="S395" i="45"/>
  <c r="S582" i="45"/>
  <c r="S999" i="45"/>
  <c r="S365" i="45"/>
  <c r="S356" i="45"/>
  <c r="S349" i="45"/>
  <c r="S585" i="45"/>
  <c r="S1030" i="45"/>
  <c r="S651" i="45"/>
  <c r="S933" i="45"/>
  <c r="S321" i="45"/>
  <c r="S319" i="45"/>
  <c r="S303" i="45"/>
  <c r="S965" i="45"/>
  <c r="S273" i="45"/>
  <c r="S229" i="45"/>
  <c r="S217" i="45"/>
  <c r="S205" i="45"/>
  <c r="S184" i="45"/>
  <c r="S158" i="45"/>
  <c r="S150" i="45"/>
  <c r="S944" i="45"/>
  <c r="S1025" i="45"/>
  <c r="S124" i="45"/>
  <c r="S1019" i="45"/>
  <c r="S526" i="45"/>
  <c r="S494" i="45"/>
  <c r="S441" i="45"/>
  <c r="S392" i="45"/>
  <c r="S872" i="45"/>
  <c r="S325" i="45"/>
  <c r="S323" i="45"/>
  <c r="S308" i="45"/>
  <c r="S296" i="45"/>
  <c r="S288" i="45"/>
  <c r="S1060" i="45"/>
  <c r="S628" i="45"/>
  <c r="S241" i="45"/>
  <c r="S804" i="45"/>
  <c r="S148" i="45"/>
  <c r="S705" i="45"/>
  <c r="S926" i="45"/>
  <c r="S561" i="45"/>
  <c r="S693" i="45"/>
  <c r="S496" i="45"/>
  <c r="S1051" i="45"/>
  <c r="S442" i="45"/>
  <c r="S361" i="45"/>
  <c r="S576" i="45"/>
  <c r="S579" i="45"/>
  <c r="S6" i="45"/>
  <c r="S542" i="45"/>
  <c r="S1059" i="45"/>
  <c r="S662" i="45"/>
  <c r="S1005" i="45"/>
  <c r="S838" i="45"/>
  <c r="S1044" i="45"/>
  <c r="S769" i="45"/>
  <c r="S366" i="45"/>
  <c r="S347" i="45"/>
  <c r="S747" i="45"/>
  <c r="S338" i="45"/>
  <c r="S684" i="45"/>
  <c r="S290" i="45"/>
  <c r="S267" i="45"/>
  <c r="S825" i="45"/>
  <c r="S854" i="45"/>
  <c r="S899" i="45"/>
  <c r="S659" i="45"/>
  <c r="S196" i="45"/>
  <c r="S643" i="45"/>
  <c r="S193" i="45"/>
  <c r="S157" i="45"/>
  <c r="S146" i="45"/>
  <c r="S1024" i="45"/>
  <c r="S88" i="45"/>
  <c r="S537" i="45"/>
  <c r="S515" i="45"/>
  <c r="S461" i="45"/>
  <c r="S433" i="45"/>
  <c r="S879" i="45"/>
  <c r="S676" i="45"/>
  <c r="S362" i="45"/>
  <c r="S900" i="45"/>
  <c r="S896" i="45"/>
  <c r="S337" i="45"/>
  <c r="S328" i="45"/>
  <c r="S294" i="45"/>
  <c r="S1054" i="45"/>
  <c r="S276" i="45"/>
  <c r="S855" i="45"/>
  <c r="S1021" i="45"/>
  <c r="S249" i="45"/>
  <c r="S237" i="45"/>
  <c r="S215" i="45"/>
  <c r="S959" i="45"/>
  <c r="S190" i="45"/>
  <c r="S1061" i="45"/>
  <c r="S171" i="45"/>
  <c r="S132" i="45"/>
  <c r="S781" i="45"/>
  <c r="S122" i="45"/>
  <c r="S822" i="45"/>
  <c r="S106" i="45"/>
  <c r="S574" i="45"/>
  <c r="S570" i="45"/>
  <c r="S564" i="45"/>
  <c r="S558" i="45"/>
  <c r="S758" i="45"/>
  <c r="S548" i="45"/>
  <c r="S543" i="45"/>
  <c r="S532" i="45"/>
  <c r="S918" i="45"/>
  <c r="S810" i="45"/>
  <c r="S500" i="45"/>
  <c r="S871" i="45"/>
  <c r="S489" i="45"/>
  <c r="S647" i="45"/>
  <c r="S1042" i="45"/>
  <c r="S478" i="45"/>
  <c r="S456" i="45"/>
  <c r="S451" i="45"/>
  <c r="S928" i="45"/>
  <c r="S430" i="45"/>
  <c r="S419" i="45"/>
  <c r="S649" i="45"/>
  <c r="S409" i="45"/>
  <c r="S400" i="45"/>
  <c r="S1022" i="45"/>
  <c r="S589" i="45"/>
  <c r="S383" i="45"/>
  <c r="S376" i="45"/>
  <c r="S375" i="45"/>
  <c r="S583" i="45"/>
  <c r="S956" i="45"/>
  <c r="S656" i="45"/>
  <c r="S354" i="45"/>
  <c r="S350" i="45"/>
  <c r="S343" i="45"/>
  <c r="S755" i="45"/>
  <c r="S837" i="45"/>
  <c r="S320" i="45"/>
  <c r="S322" i="45"/>
  <c r="S313" i="45"/>
  <c r="S1039" i="45"/>
  <c r="S302" i="45"/>
  <c r="S293" i="45"/>
  <c r="S284" i="45"/>
  <c r="S272" i="45"/>
  <c r="S268" i="45"/>
  <c r="S1004" i="45"/>
  <c r="S256" i="45"/>
  <c r="S239" i="45"/>
  <c r="S233" i="45"/>
  <c r="S674" i="45"/>
  <c r="S621" i="45"/>
  <c r="S788" i="45"/>
  <c r="S206" i="45"/>
  <c r="S912" i="45"/>
  <c r="S631" i="45"/>
  <c r="S179" i="45"/>
  <c r="S176" i="45"/>
  <c r="S165" i="45"/>
  <c r="S996" i="45"/>
  <c r="S141" i="45"/>
  <c r="S137" i="45"/>
  <c r="S129" i="45"/>
  <c r="S121" i="45"/>
  <c r="S1035" i="45"/>
  <c r="S1012" i="45"/>
  <c r="S725" i="45"/>
  <c r="S105" i="45"/>
  <c r="S796" i="45"/>
  <c r="S835" i="45"/>
  <c r="S533" i="45"/>
  <c r="S464" i="45"/>
  <c r="S1033" i="45"/>
  <c r="S715" i="45"/>
  <c r="S370" i="45"/>
  <c r="S363" i="45"/>
  <c r="S358" i="45"/>
  <c r="S711" i="45"/>
  <c r="S324" i="45"/>
  <c r="S238" i="45"/>
  <c r="S930" i="45"/>
  <c r="S818" i="45"/>
  <c r="S547" i="45"/>
  <c r="S1065" i="45"/>
  <c r="S638" i="45"/>
  <c r="S998" i="45"/>
  <c r="S891" i="45"/>
  <c r="S701" i="45"/>
  <c r="S282" i="45"/>
  <c r="S813" i="45"/>
  <c r="S248" i="45"/>
  <c r="S210" i="45"/>
  <c r="S728" i="45"/>
  <c r="S736" i="45"/>
  <c r="S97" i="45"/>
  <c r="S477" i="45"/>
  <c r="S471" i="45"/>
  <c r="S569" i="45"/>
  <c r="S709" i="45"/>
  <c r="S536" i="45"/>
  <c r="S310" i="45"/>
  <c r="S976" i="45"/>
  <c r="S266" i="45"/>
  <c r="S257" i="45"/>
  <c r="S131" i="45"/>
  <c r="S531" i="45"/>
  <c r="S517" i="45"/>
  <c r="S961" i="45"/>
  <c r="S882" i="45"/>
  <c r="S801" i="45"/>
  <c r="S757" i="45"/>
  <c r="S785" i="45"/>
  <c r="S438" i="45"/>
  <c r="S948" i="45"/>
  <c r="S668" i="45"/>
  <c r="S966" i="45"/>
  <c r="S309" i="45"/>
  <c r="S708" i="45"/>
  <c r="S924" i="45"/>
  <c r="S172" i="45"/>
  <c r="S111" i="45"/>
  <c r="S903" i="45"/>
  <c r="S563" i="45"/>
  <c r="S614" i="45"/>
  <c r="S559" i="45"/>
  <c r="S418" i="45"/>
  <c r="S398" i="45"/>
  <c r="S386" i="45"/>
  <c r="S634" i="45"/>
  <c r="S767" i="45"/>
  <c r="S815" i="45"/>
  <c r="S952" i="45"/>
  <c r="S340" i="45"/>
  <c r="S641" i="45"/>
  <c r="S1009" i="45"/>
  <c r="S510" i="45"/>
  <c r="P72" i="45"/>
  <c r="Q72" i="45" s="1"/>
  <c r="S72" i="45"/>
  <c r="S977" i="45"/>
  <c r="S194" i="45"/>
  <c r="S958" i="45"/>
  <c r="S921" i="45"/>
  <c r="S82" i="45"/>
  <c r="S802" i="45"/>
  <c r="S571" i="45"/>
  <c r="S761" i="45"/>
  <c r="S562" i="45"/>
  <c r="S529" i="45"/>
  <c r="S521" i="45"/>
  <c r="S505" i="45"/>
  <c r="S488" i="45"/>
  <c r="S650" i="45"/>
  <c r="S481" i="45"/>
  <c r="S465" i="45"/>
  <c r="S439" i="45"/>
  <c r="S428" i="45"/>
  <c r="S416" i="45"/>
  <c r="S833" i="45"/>
  <c r="S393" i="45"/>
  <c r="S390" i="45"/>
  <c r="S373" i="45"/>
  <c r="S935" i="45"/>
  <c r="S345" i="45"/>
  <c r="S799" i="45"/>
  <c r="S327" i="45"/>
  <c r="S312" i="45"/>
  <c r="S306" i="45"/>
  <c r="S289" i="45"/>
  <c r="S754" i="45"/>
  <c r="S731" i="45"/>
  <c r="S234" i="45"/>
  <c r="S218" i="45"/>
  <c r="S870" i="45"/>
  <c r="S147" i="45"/>
  <c r="S865" i="45"/>
  <c r="S617" i="45"/>
  <c r="S96" i="45"/>
  <c r="S511" i="45"/>
  <c r="S424" i="45"/>
  <c r="S406" i="45"/>
  <c r="S389" i="45"/>
  <c r="S610" i="45"/>
  <c r="S250" i="45"/>
  <c r="S243" i="45"/>
  <c r="S791" i="45"/>
  <c r="S173" i="45"/>
  <c r="S128" i="45"/>
  <c r="S11" i="45"/>
  <c r="S742" i="45"/>
  <c r="S94" i="45"/>
  <c r="P84" i="45"/>
  <c r="Q84" i="45" s="1"/>
  <c r="S84" i="45"/>
  <c r="P31" i="45"/>
  <c r="Q31" i="45" s="1"/>
  <c r="S31" i="45"/>
  <c r="P16" i="45"/>
  <c r="Q16" i="45" s="1"/>
  <c r="S16" i="45"/>
  <c r="S704" i="45"/>
  <c r="S264" i="45"/>
  <c r="S138" i="45"/>
  <c r="S554" i="45"/>
  <c r="S794" i="45"/>
  <c r="S497" i="45"/>
  <c r="S988" i="45"/>
  <c r="S947" i="45"/>
  <c r="S608" i="45"/>
  <c r="S280" i="45"/>
  <c r="S254" i="45"/>
  <c r="S860" i="45"/>
  <c r="S970" i="45"/>
  <c r="S530" i="45"/>
  <c r="S502" i="45"/>
  <c r="S487" i="45"/>
  <c r="S997" i="45"/>
  <c r="S995" i="45"/>
  <c r="S371" i="45"/>
  <c r="S331" i="45"/>
  <c r="S156" i="45"/>
  <c r="S508" i="45"/>
  <c r="S1011" i="45"/>
  <c r="S435" i="45"/>
  <c r="S414" i="45"/>
  <c r="S410" i="45"/>
  <c r="S397" i="45"/>
  <c r="S3" i="45"/>
  <c r="S840" i="45"/>
  <c r="S630" i="45"/>
  <c r="S246" i="45"/>
  <c r="S730" i="45"/>
  <c r="S201" i="45"/>
  <c r="S169" i="45"/>
  <c r="S110" i="45"/>
  <c r="S960" i="45"/>
  <c r="S573" i="45"/>
  <c r="S1034" i="45"/>
  <c r="S637" i="45"/>
  <c r="S553" i="45"/>
  <c r="S652" i="45"/>
  <c r="S544" i="45"/>
  <c r="S527" i="45"/>
  <c r="S519" i="45"/>
  <c r="S828" i="45"/>
  <c r="S503" i="45"/>
  <c r="S724" i="45"/>
  <c r="S467" i="45"/>
  <c r="S453" i="45"/>
  <c r="S440" i="45"/>
  <c r="S437" i="45"/>
  <c r="S943" i="45"/>
  <c r="S403" i="45"/>
  <c r="S388" i="45"/>
  <c r="S382" i="45"/>
  <c r="S723" i="45"/>
  <c r="S814" i="45"/>
  <c r="S824" i="45"/>
  <c r="S986" i="45"/>
  <c r="S333" i="45"/>
  <c r="S897" i="45"/>
  <c r="S318" i="45"/>
  <c r="S278" i="45"/>
  <c r="S982" i="45"/>
  <c r="S262" i="45"/>
  <c r="S1047" i="45"/>
  <c r="S202" i="45"/>
  <c r="S200" i="45"/>
  <c r="S154" i="45"/>
  <c r="S978" i="45"/>
  <c r="S109" i="45"/>
  <c r="S889" i="45"/>
  <c r="S946" i="45"/>
  <c r="S1017" i="45"/>
  <c r="S1010" i="45"/>
  <c r="S915" i="45"/>
  <c r="S108" i="45"/>
  <c r="P700" i="45"/>
  <c r="Q700" i="45" s="1"/>
  <c r="S700" i="45"/>
  <c r="P44" i="45"/>
  <c r="Q44" i="45" s="1"/>
  <c r="S44" i="45"/>
  <c r="S557" i="45"/>
  <c r="S541" i="45"/>
  <c r="S726" i="45"/>
  <c r="S876" i="45"/>
  <c r="S426" i="45"/>
  <c r="S645" i="45"/>
  <c r="S940" i="45"/>
  <c r="S829" i="45"/>
  <c r="S342" i="45"/>
  <c r="S792" i="45"/>
  <c r="S291" i="45"/>
  <c r="S992" i="45"/>
  <c r="S9" i="45"/>
  <c r="S5" i="45"/>
  <c r="S222" i="45"/>
  <c r="S211" i="45"/>
  <c r="S722" i="45"/>
  <c r="S182" i="45"/>
  <c r="S623" i="45"/>
  <c r="S675" i="45"/>
  <c r="S994" i="45"/>
  <c r="S468" i="45"/>
  <c r="S592" i="45"/>
  <c r="S625" i="45"/>
  <c r="S839" i="45"/>
  <c r="S826" i="45"/>
  <c r="S624" i="45"/>
  <c r="S227" i="45"/>
  <c r="S208" i="45"/>
  <c r="S852" i="45"/>
  <c r="S462" i="45"/>
  <c r="S979" i="45"/>
  <c r="S334" i="45"/>
  <c r="S1014" i="45"/>
  <c r="S204" i="45"/>
  <c r="P784" i="45"/>
  <c r="Q784" i="45" s="1"/>
  <c r="S784" i="45"/>
  <c r="P30" i="45"/>
  <c r="Q30" i="45" s="1"/>
  <c r="S30" i="45"/>
  <c r="P857" i="45"/>
  <c r="Q857" i="45" s="1"/>
  <c r="S857" i="45"/>
  <c r="P474" i="45"/>
  <c r="Q474" i="45" s="1"/>
  <c r="S474" i="45"/>
  <c r="P174" i="45"/>
  <c r="Q174" i="45" s="1"/>
  <c r="S174" i="45"/>
  <c r="P107" i="45"/>
  <c r="Q107" i="45" s="1"/>
  <c r="S107" i="45"/>
  <c r="P780" i="45"/>
  <c r="Q780" i="45" s="1"/>
  <c r="S780" i="45"/>
  <c r="P895" i="45"/>
  <c r="Q895" i="45" s="1"/>
  <c r="S895" i="45"/>
  <c r="P34" i="45"/>
  <c r="Q34" i="45" s="1"/>
  <c r="S34" i="45"/>
  <c r="P29" i="45"/>
  <c r="Q29" i="45" s="1"/>
  <c r="S29" i="45"/>
  <c r="P766" i="45"/>
  <c r="Q766" i="45" s="1"/>
  <c r="S766" i="45"/>
  <c r="S760" i="45"/>
  <c r="S545" i="45"/>
  <c r="S695" i="45"/>
  <c r="S877" i="45"/>
  <c r="S937" i="45"/>
  <c r="S460" i="45"/>
  <c r="S687" i="45"/>
  <c r="S888" i="45"/>
  <c r="S402" i="45"/>
  <c r="S702" i="45"/>
  <c r="S378" i="45"/>
  <c r="S357" i="45"/>
  <c r="S297" i="45"/>
  <c r="S739" i="45"/>
  <c r="S972" i="45"/>
  <c r="S230" i="45"/>
  <c r="S880" i="45"/>
  <c r="S188" i="45"/>
  <c r="S168" i="45"/>
  <c r="S144" i="45"/>
  <c r="S118" i="45"/>
  <c r="S113" i="45"/>
  <c r="P841" i="45"/>
  <c r="Q841" i="45" s="1"/>
  <c r="S841" i="45"/>
  <c r="P925" i="45"/>
  <c r="Q925" i="45" s="1"/>
  <c r="S925" i="45"/>
  <c r="P942" i="45"/>
  <c r="Q942" i="45" s="1"/>
  <c r="S942" i="45"/>
  <c r="P339" i="45"/>
  <c r="Q339" i="45" s="1"/>
  <c r="S339" i="45"/>
  <c r="P123" i="45"/>
  <c r="Q123" i="45" s="1"/>
  <c r="S123" i="45"/>
  <c r="P873" i="45"/>
  <c r="Q873" i="45" s="1"/>
  <c r="S873" i="45"/>
  <c r="P43" i="45"/>
  <c r="Q43" i="45" s="1"/>
  <c r="S43" i="45"/>
  <c r="P901" i="45"/>
  <c r="Q901" i="45" s="1"/>
  <c r="S901" i="45"/>
  <c r="P867" i="45"/>
  <c r="Q867" i="45" s="1"/>
  <c r="S867" i="45"/>
  <c r="P22" i="45"/>
  <c r="Q22" i="45" s="1"/>
  <c r="S22" i="45"/>
  <c r="S492" i="45"/>
  <c r="S718" i="45"/>
  <c r="S317" i="45"/>
  <c r="S186" i="45"/>
  <c r="S98" i="45"/>
  <c r="S922" i="45"/>
  <c r="S752" i="45"/>
  <c r="S518" i="45"/>
  <c r="S971" i="45"/>
  <c r="S408" i="45"/>
  <c r="S1001" i="45"/>
  <c r="S677" i="45"/>
  <c r="S945" i="45"/>
  <c r="S102" i="45"/>
  <c r="S811" i="45"/>
  <c r="S1002" i="45"/>
  <c r="S1032" i="45"/>
  <c r="S653" i="45"/>
  <c r="S314" i="45"/>
  <c r="S253" i="45"/>
  <c r="S189" i="45"/>
  <c r="S152" i="45"/>
  <c r="S126" i="45"/>
  <c r="S619" i="45"/>
  <c r="S90" i="45"/>
  <c r="S75" i="45"/>
  <c r="P575" i="45"/>
  <c r="Q575" i="45" s="1"/>
  <c r="S575" i="45"/>
  <c r="P513" i="45"/>
  <c r="Q513" i="45" s="1"/>
  <c r="S513" i="45"/>
  <c r="P385" i="45"/>
  <c r="Q385" i="45" s="1"/>
  <c r="S385" i="45"/>
  <c r="P348" i="45"/>
  <c r="Q348" i="45" s="1"/>
  <c r="S348" i="45"/>
  <c r="P859" i="45"/>
  <c r="Q859" i="45" s="1"/>
  <c r="S859" i="45"/>
  <c r="P300" i="45"/>
  <c r="Q300" i="45" s="1"/>
  <c r="S300" i="45"/>
  <c r="P1043" i="45"/>
  <c r="Q1043" i="45" s="1"/>
  <c r="S1043" i="45"/>
  <c r="P914" i="45"/>
  <c r="Q914" i="45" s="1"/>
  <c r="S914" i="45"/>
  <c r="P120" i="45"/>
  <c r="Q120" i="45" s="1"/>
  <c r="S120" i="45"/>
  <c r="P35" i="45"/>
  <c r="Q35" i="45" s="1"/>
  <c r="S35" i="45"/>
  <c r="P823" i="45"/>
  <c r="Q823" i="45" s="1"/>
  <c r="S823" i="45"/>
  <c r="P19" i="45"/>
  <c r="Q19" i="45" s="1"/>
  <c r="S19" i="45"/>
  <c r="P741" i="45"/>
  <c r="Q741" i="45" s="1"/>
  <c r="S741" i="45"/>
  <c r="S993" i="45"/>
  <c r="S936" i="45"/>
  <c r="S775" i="45"/>
  <c r="S1063" i="45"/>
  <c r="S493" i="45"/>
  <c r="S8" i="45"/>
  <c r="S681" i="45"/>
  <c r="S939" i="45"/>
  <c r="S660" i="45"/>
  <c r="S405" i="45"/>
  <c r="S902" i="45"/>
  <c r="S360" i="45"/>
  <c r="S353" i="45"/>
  <c r="S1037" i="45"/>
  <c r="S316" i="45"/>
  <c r="S778" i="45"/>
  <c r="S842" i="45"/>
  <c r="S236" i="45"/>
  <c r="S861" i="45"/>
  <c r="S663" i="45"/>
  <c r="S178" i="45"/>
  <c r="S145" i="45"/>
  <c r="S750" i="45"/>
  <c r="S830" i="45"/>
  <c r="S644" i="45"/>
  <c r="P549" i="45"/>
  <c r="Q549" i="45" s="1"/>
  <c r="S549" i="45"/>
  <c r="P507" i="45"/>
  <c r="Q507" i="45" s="1"/>
  <c r="S507" i="45"/>
  <c r="P421" i="45"/>
  <c r="Q421" i="45" s="1"/>
  <c r="S421" i="45"/>
  <c r="P664" i="45"/>
  <c r="Q664" i="45" s="1"/>
  <c r="S664" i="45"/>
  <c r="P271" i="45"/>
  <c r="Q271" i="45" s="1"/>
  <c r="S271" i="45"/>
  <c r="P170" i="45"/>
  <c r="Q170" i="45" s="1"/>
  <c r="S170" i="45"/>
  <c r="P886" i="45"/>
  <c r="Q886" i="45" s="1"/>
  <c r="S886" i="45"/>
  <c r="S874" i="45"/>
  <c r="S535" i="45"/>
  <c r="S639" i="45"/>
  <c r="S703" i="45"/>
  <c r="S100" i="45"/>
  <c r="S1028" i="45"/>
  <c r="K1" i="45"/>
  <c r="P576" i="45"/>
  <c r="Q576" i="45" s="1"/>
  <c r="P794" i="45"/>
  <c r="Q794" i="45" s="1"/>
  <c r="P884" i="45"/>
  <c r="Q884" i="45" s="1"/>
  <c r="P579" i="45"/>
  <c r="Q579" i="45" s="1"/>
  <c r="P1015" i="45"/>
  <c r="Q1015" i="45" s="1"/>
  <c r="P6" i="45"/>
  <c r="Q6" i="45" s="1"/>
  <c r="P542" i="45"/>
  <c r="Q542" i="45" s="1"/>
  <c r="P531" i="45"/>
  <c r="Q531" i="45" s="1"/>
  <c r="P633" i="45"/>
  <c r="Q633" i="45" s="1"/>
  <c r="P512" i="45"/>
  <c r="Q512" i="45" s="1"/>
  <c r="P517" i="45"/>
  <c r="Q517" i="45" s="1"/>
  <c r="P1059" i="45"/>
  <c r="Q1059" i="45" s="1"/>
  <c r="P497" i="45"/>
  <c r="Q497" i="45" s="1"/>
  <c r="P486" i="45"/>
  <c r="Q486" i="45" s="1"/>
  <c r="P482" i="45"/>
  <c r="Q482" i="45" s="1"/>
  <c r="P476" i="45"/>
  <c r="Q476" i="45" s="1"/>
  <c r="P455" i="45"/>
  <c r="Q455" i="45" s="1"/>
  <c r="P662" i="45"/>
  <c r="Q662" i="45" s="1"/>
  <c r="P446" i="45"/>
  <c r="Q446" i="45" s="1"/>
  <c r="P1031" i="45"/>
  <c r="Q1031" i="45" s="1"/>
  <c r="P834" i="45"/>
  <c r="Q834" i="45" s="1"/>
  <c r="P1005" i="45"/>
  <c r="Q1005" i="45" s="1"/>
  <c r="P988" i="45"/>
  <c r="Q988" i="45" s="1"/>
  <c r="P734" i="45"/>
  <c r="Q734" i="45" s="1"/>
  <c r="P671" i="45"/>
  <c r="Q671" i="45" s="1"/>
  <c r="P838" i="45"/>
  <c r="Q838" i="45" s="1"/>
  <c r="P774" i="45"/>
  <c r="Q774" i="45" s="1"/>
  <c r="P1044" i="45"/>
  <c r="Q1044" i="45" s="1"/>
  <c r="P990" i="45"/>
  <c r="Q990" i="45" s="1"/>
  <c r="P985" i="45"/>
  <c r="Q985" i="45" s="1"/>
  <c r="P769" i="45"/>
  <c r="Q769" i="45" s="1"/>
  <c r="P366" i="45"/>
  <c r="Q366" i="45" s="1"/>
  <c r="P947" i="45"/>
  <c r="Q947" i="45" s="1"/>
  <c r="P355" i="45"/>
  <c r="Q355" i="45" s="1"/>
  <c r="P347" i="45"/>
  <c r="Q347" i="45" s="1"/>
  <c r="P747" i="45"/>
  <c r="Q747" i="45" s="1"/>
  <c r="P338" i="45"/>
  <c r="Q338" i="45" s="1"/>
  <c r="P712" i="45"/>
  <c r="Q712" i="45" s="1"/>
  <c r="P332" i="45"/>
  <c r="Q332" i="45" s="1"/>
  <c r="P586" i="45"/>
  <c r="Q586" i="45" s="1"/>
  <c r="P684" i="45"/>
  <c r="Q684" i="45" s="1"/>
  <c r="P608" i="45"/>
  <c r="Q608" i="45" s="1"/>
  <c r="P305" i="45"/>
  <c r="Q305" i="45" s="1"/>
  <c r="P716" i="45"/>
  <c r="Q716" i="45" s="1"/>
  <c r="P290" i="45"/>
  <c r="Q290" i="45" s="1"/>
  <c r="P280" i="45"/>
  <c r="Q280" i="45" s="1"/>
  <c r="P270" i="45"/>
  <c r="Q270" i="45" s="1"/>
  <c r="P267" i="45"/>
  <c r="Q267" i="45" s="1"/>
  <c r="P654" i="45"/>
  <c r="Q654" i="45" s="1"/>
  <c r="P254" i="45"/>
  <c r="Q254" i="45" s="1"/>
  <c r="P251" i="45"/>
  <c r="Q251" i="45" s="1"/>
  <c r="P825" i="45"/>
  <c r="Q825" i="45" s="1"/>
  <c r="P854" i="45"/>
  <c r="Q854" i="45" s="1"/>
  <c r="P899" i="45"/>
  <c r="Q899" i="45" s="1"/>
  <c r="P1007" i="45"/>
  <c r="Q1007" i="45" s="1"/>
  <c r="P659" i="45"/>
  <c r="Q659" i="45" s="1"/>
  <c r="P207" i="45"/>
  <c r="Q207" i="45" s="1"/>
  <c r="P196" i="45"/>
  <c r="Q196" i="45" s="1"/>
  <c r="P643" i="45"/>
  <c r="Q643" i="45" s="1"/>
  <c r="P193" i="45"/>
  <c r="Q193" i="45" s="1"/>
  <c r="P177" i="45"/>
  <c r="Q177" i="45" s="1"/>
  <c r="P157" i="45"/>
  <c r="Q157" i="45" s="1"/>
  <c r="P146" i="45"/>
  <c r="Q146" i="45" s="1"/>
  <c r="P136" i="45"/>
  <c r="Q136" i="45" s="1"/>
  <c r="P133" i="45"/>
  <c r="Q133" i="45" s="1"/>
  <c r="P127" i="45"/>
  <c r="Q127" i="45" s="1"/>
  <c r="P1024" i="45"/>
  <c r="Q1024" i="45" s="1"/>
  <c r="P114" i="45"/>
  <c r="Q114" i="45" s="1"/>
  <c r="P890" i="45"/>
  <c r="Q890" i="45" s="1"/>
  <c r="P846" i="45"/>
  <c r="Q846" i="45" s="1"/>
  <c r="P88" i="45"/>
  <c r="Q88" i="45" s="1"/>
  <c r="P83" i="45"/>
  <c r="Q83" i="45" s="1"/>
  <c r="P86" i="45"/>
  <c r="Q86" i="45" s="1"/>
  <c r="P77" i="45"/>
  <c r="Q77" i="45" s="1"/>
  <c r="P809" i="45"/>
  <c r="Q809" i="45" s="1"/>
  <c r="P57" i="45"/>
  <c r="Q57" i="45" s="1"/>
  <c r="P54" i="45"/>
  <c r="Q54" i="45" s="1"/>
  <c r="P51" i="45"/>
  <c r="Q51" i="45" s="1"/>
  <c r="P46" i="45"/>
  <c r="Q46" i="45" s="1"/>
  <c r="P40" i="45"/>
  <c r="Q40" i="45" s="1"/>
  <c r="P764" i="45"/>
  <c r="Q764" i="45" s="1"/>
  <c r="P596" i="45"/>
  <c r="Q596" i="45" s="1"/>
  <c r="P26" i="45"/>
  <c r="Q26" i="45" s="1"/>
  <c r="P605" i="45"/>
  <c r="Q605" i="45" s="1"/>
  <c r="P699" i="45"/>
  <c r="Q699" i="45" s="1"/>
  <c r="P13" i="45"/>
  <c r="Q13" i="45" s="1"/>
  <c r="P993" i="45"/>
  <c r="Q993" i="45" s="1"/>
  <c r="P936" i="45"/>
  <c r="Q936" i="45" s="1"/>
  <c r="P970" i="45"/>
  <c r="Q970" i="45" s="1"/>
  <c r="P961" i="45"/>
  <c r="Q961" i="45" s="1"/>
  <c r="P537" i="45"/>
  <c r="Q537" i="45" s="1"/>
  <c r="P1063" i="45"/>
  <c r="Q1063" i="45" s="1"/>
  <c r="P530" i="45"/>
  <c r="Q530" i="45" s="1"/>
  <c r="P515" i="45"/>
  <c r="Q515" i="45" s="1"/>
  <c r="P502" i="45"/>
  <c r="Q502" i="45" s="1"/>
  <c r="P493" i="45"/>
  <c r="Q493" i="45" s="1"/>
  <c r="P8" i="45"/>
  <c r="Q8" i="45" s="1"/>
  <c r="P487" i="45"/>
  <c r="Q487" i="45" s="1"/>
  <c r="P681" i="45"/>
  <c r="Q681" i="45" s="1"/>
  <c r="P461" i="45"/>
  <c r="Q461" i="45" s="1"/>
  <c r="P939" i="45"/>
  <c r="Q939" i="45" s="1"/>
  <c r="P433" i="45"/>
  <c r="Q433" i="45" s="1"/>
  <c r="P801" i="45"/>
  <c r="Q801" i="45" s="1"/>
  <c r="P879" i="45"/>
  <c r="Q879" i="45" s="1"/>
  <c r="P660" i="45"/>
  <c r="Q660" i="45" s="1"/>
  <c r="P405" i="45"/>
  <c r="Q405" i="45" s="1"/>
  <c r="P394" i="45"/>
  <c r="Q394" i="45" s="1"/>
  <c r="P997" i="45"/>
  <c r="Q997" i="45" s="1"/>
  <c r="P995" i="45"/>
  <c r="Q995" i="45" s="1"/>
  <c r="P902" i="45"/>
  <c r="Q902" i="45" s="1"/>
  <c r="P676" i="45"/>
  <c r="Q676" i="45" s="1"/>
  <c r="P362" i="45"/>
  <c r="Q362" i="45" s="1"/>
  <c r="P353" i="45"/>
  <c r="Q353" i="45" s="1"/>
  <c r="P900" i="45"/>
  <c r="Q900" i="45" s="1"/>
  <c r="P896" i="45"/>
  <c r="Q896" i="45" s="1"/>
  <c r="P1037" i="45"/>
  <c r="Q1037" i="45" s="1"/>
  <c r="P337" i="45"/>
  <c r="Q337" i="45" s="1"/>
  <c r="P331" i="45"/>
  <c r="Q331" i="45" s="1"/>
  <c r="P328" i="45"/>
  <c r="Q328" i="45" s="1"/>
  <c r="P316" i="45"/>
  <c r="Q316" i="45" s="1"/>
  <c r="P778" i="45"/>
  <c r="Q778" i="45" s="1"/>
  <c r="P294" i="45"/>
  <c r="Q294" i="45" s="1"/>
  <c r="P1054" i="45"/>
  <c r="Q1054" i="45" s="1"/>
  <c r="P276" i="45"/>
  <c r="Q276" i="45" s="1"/>
  <c r="P855" i="45"/>
  <c r="Q855" i="45" s="1"/>
  <c r="P1021" i="45"/>
  <c r="Q1021" i="45" s="1"/>
  <c r="P249" i="45"/>
  <c r="Q249" i="45" s="1"/>
  <c r="P237" i="45"/>
  <c r="Q237" i="45" s="1"/>
  <c r="P236" i="45"/>
  <c r="Q236" i="45" s="1"/>
  <c r="P861" i="45"/>
  <c r="Q861" i="45" s="1"/>
  <c r="P215" i="45"/>
  <c r="Q215" i="45" s="1"/>
  <c r="P663" i="45"/>
  <c r="Q663" i="45" s="1"/>
  <c r="P959" i="45"/>
  <c r="Q959" i="45" s="1"/>
  <c r="P190" i="45"/>
  <c r="Q190" i="45" s="1"/>
  <c r="P178" i="45"/>
  <c r="Q178" i="45" s="1"/>
  <c r="P1061" i="45"/>
  <c r="Q1061" i="45" s="1"/>
  <c r="P171" i="45"/>
  <c r="Q171" i="45" s="1"/>
  <c r="P156" i="45"/>
  <c r="Q156" i="45" s="1"/>
  <c r="P145" i="45"/>
  <c r="Q145" i="45" s="1"/>
  <c r="P750" i="45"/>
  <c r="Q750" i="45" s="1"/>
  <c r="P132" i="45"/>
  <c r="Q132" i="45" s="1"/>
  <c r="P781" i="45"/>
  <c r="Q781" i="45" s="1"/>
  <c r="P122" i="45"/>
  <c r="Q122" i="45" s="1"/>
  <c r="P822" i="45"/>
  <c r="Q822" i="45" s="1"/>
  <c r="P830" i="45"/>
  <c r="Q830" i="45" s="1"/>
  <c r="P106" i="45"/>
  <c r="Q106" i="45" s="1"/>
  <c r="P644" i="45"/>
  <c r="Q644" i="45" s="1"/>
  <c r="P1058" i="45"/>
  <c r="Q1058" i="45" s="1"/>
  <c r="P74" i="45"/>
  <c r="Q74" i="45" s="1"/>
  <c r="P853" i="45"/>
  <c r="Q853" i="45" s="1"/>
  <c r="P60" i="45"/>
  <c r="Q60" i="45" s="1"/>
  <c r="P658" i="45"/>
  <c r="Q658" i="45" s="1"/>
  <c r="P584" i="45"/>
  <c r="Q584" i="45" s="1"/>
  <c r="P37" i="45"/>
  <c r="Q37" i="45" s="1"/>
  <c r="P941" i="45"/>
  <c r="Q941" i="45" s="1"/>
  <c r="P983" i="45"/>
  <c r="Q983" i="45" s="1"/>
  <c r="P24" i="45"/>
  <c r="Q24" i="45" s="1"/>
  <c r="P590" i="45"/>
  <c r="Q590" i="45" s="1"/>
  <c r="P898" i="45"/>
  <c r="Q898" i="45" s="1"/>
  <c r="P798" i="45"/>
  <c r="Q798" i="45" s="1"/>
  <c r="P581" i="45"/>
  <c r="Q581" i="45" s="1"/>
  <c r="P374" i="45"/>
  <c r="Q374" i="45" s="1"/>
  <c r="P770" i="45"/>
  <c r="Q770" i="45" s="1"/>
  <c r="P1018" i="45"/>
  <c r="Q1018" i="45" s="1"/>
  <c r="P680" i="45"/>
  <c r="Q680" i="45" s="1"/>
  <c r="P748" i="45"/>
  <c r="Q748" i="45" s="1"/>
  <c r="P351" i="45"/>
  <c r="Q351" i="45" s="1"/>
  <c r="P858" i="45"/>
  <c r="Q858" i="45" s="1"/>
  <c r="P672" i="45"/>
  <c r="Q672" i="45" s="1"/>
  <c r="P759" i="45"/>
  <c r="Q759" i="45" s="1"/>
  <c r="P335" i="45"/>
  <c r="Q335" i="45" s="1"/>
  <c r="P893" i="45"/>
  <c r="Q893" i="45" s="1"/>
  <c r="P849" i="45"/>
  <c r="Q849" i="45" s="1"/>
  <c r="P616" i="45"/>
  <c r="Q616" i="45" s="1"/>
  <c r="P315" i="45"/>
  <c r="Q315" i="45" s="1"/>
  <c r="P967" i="45"/>
  <c r="Q967" i="45" s="1"/>
  <c r="P795" i="45"/>
  <c r="Q795" i="45" s="1"/>
  <c r="P587" i="45"/>
  <c r="Q587" i="45" s="1"/>
  <c r="P281" i="45"/>
  <c r="Q281" i="45" s="1"/>
  <c r="P275" i="45"/>
  <c r="Q275" i="45" s="1"/>
  <c r="P265" i="45"/>
  <c r="Q265" i="45" s="1"/>
  <c r="P864" i="45"/>
  <c r="Q864" i="45" s="1"/>
  <c r="P831" i="45"/>
  <c r="Q831" i="45" s="1"/>
  <c r="P244" i="45"/>
  <c r="Q244" i="45" s="1"/>
  <c r="P832" i="45"/>
  <c r="Q832" i="45" s="1"/>
  <c r="P228" i="45"/>
  <c r="Q228" i="45" s="1"/>
  <c r="P615" i="45"/>
  <c r="Q615" i="45" s="1"/>
  <c r="P223" i="45"/>
  <c r="Q223" i="45" s="1"/>
  <c r="P214" i="45"/>
  <c r="Q214" i="45" s="1"/>
  <c r="P588" i="45"/>
  <c r="Q588" i="45" s="1"/>
  <c r="P195" i="45"/>
  <c r="Q195" i="45" s="1"/>
  <c r="P191" i="45"/>
  <c r="Q191" i="45" s="1"/>
  <c r="P927" i="45"/>
  <c r="Q927" i="45" s="1"/>
  <c r="P175" i="45"/>
  <c r="Q175" i="45" s="1"/>
  <c r="P167" i="45"/>
  <c r="Q167" i="45" s="1"/>
  <c r="P159" i="45"/>
  <c r="Q159" i="45" s="1"/>
  <c r="P151" i="45"/>
  <c r="Q151" i="45" s="1"/>
  <c r="P666" i="45"/>
  <c r="Q666" i="45" s="1"/>
  <c r="P786" i="45"/>
  <c r="Q786" i="45" s="1"/>
  <c r="P713" i="45"/>
  <c r="Q713" i="45" s="1"/>
  <c r="P698" i="45"/>
  <c r="Q698" i="45" s="1"/>
  <c r="P116" i="45"/>
  <c r="Q116" i="45" s="1"/>
  <c r="P720" i="45"/>
  <c r="Q720" i="45" s="1"/>
  <c r="P789" i="45"/>
  <c r="Q789" i="45" s="1"/>
  <c r="P1027" i="45"/>
  <c r="Q1027" i="45" s="1"/>
  <c r="P91" i="45"/>
  <c r="Q91" i="45" s="1"/>
  <c r="P975" i="45"/>
  <c r="Q975" i="45" s="1"/>
  <c r="P821" i="45"/>
  <c r="Q821" i="45" s="1"/>
  <c r="P1006" i="45"/>
  <c r="Q1006" i="45" s="1"/>
  <c r="P67" i="45"/>
  <c r="Q67" i="45" s="1"/>
  <c r="P55" i="45"/>
  <c r="Q55" i="45" s="1"/>
  <c r="P875" i="45"/>
  <c r="Q875" i="45" s="1"/>
  <c r="P49" i="45"/>
  <c r="Q49" i="45" s="1"/>
  <c r="P47" i="45"/>
  <c r="Q47" i="45" s="1"/>
  <c r="P42" i="45"/>
  <c r="Q42" i="45" s="1"/>
  <c r="P885" i="45"/>
  <c r="Q885" i="45" s="1"/>
  <c r="P1003" i="45"/>
  <c r="Q1003" i="45" s="1"/>
  <c r="P28" i="45"/>
  <c r="Q28" i="45" s="1"/>
  <c r="P20" i="45"/>
  <c r="Q20" i="45" s="1"/>
  <c r="P17" i="45"/>
  <c r="Q17" i="45" s="1"/>
  <c r="P655" i="45"/>
  <c r="Q655" i="45" s="1"/>
  <c r="P574" i="45"/>
  <c r="Q574" i="45" s="1"/>
  <c r="P570" i="45"/>
  <c r="Q570" i="45" s="1"/>
  <c r="P558" i="45"/>
  <c r="Q558" i="45" s="1"/>
  <c r="P758" i="45"/>
  <c r="Q758" i="45" s="1"/>
  <c r="P548" i="45"/>
  <c r="Q548" i="45" s="1"/>
  <c r="P543" i="45"/>
  <c r="Q543" i="45" s="1"/>
  <c r="P532" i="45"/>
  <c r="Q532" i="45" s="1"/>
  <c r="P918" i="45"/>
  <c r="Q918" i="45" s="1"/>
  <c r="P810" i="45"/>
  <c r="Q810" i="45" s="1"/>
  <c r="P500" i="45"/>
  <c r="Q500" i="45" s="1"/>
  <c r="P871" i="45"/>
  <c r="Q871" i="45" s="1"/>
  <c r="P489" i="45"/>
  <c r="Q489" i="45" s="1"/>
  <c r="P647" i="45"/>
  <c r="Q647" i="45" s="1"/>
  <c r="P1042" i="45"/>
  <c r="Q1042" i="45" s="1"/>
  <c r="P478" i="45"/>
  <c r="Q478" i="45" s="1"/>
  <c r="P456" i="45"/>
  <c r="Q456" i="45" s="1"/>
  <c r="P451" i="45"/>
  <c r="Q451" i="45" s="1"/>
  <c r="P443" i="45"/>
  <c r="Q443" i="45" s="1"/>
  <c r="P928" i="45"/>
  <c r="Q928" i="45" s="1"/>
  <c r="P430" i="45"/>
  <c r="Q430" i="45" s="1"/>
  <c r="P419" i="45"/>
  <c r="Q419" i="45" s="1"/>
  <c r="P649" i="45"/>
  <c r="Q649" i="45" s="1"/>
  <c r="P400" i="45"/>
  <c r="Q400" i="45" s="1"/>
  <c r="P1022" i="45"/>
  <c r="Q1022" i="45" s="1"/>
  <c r="P589" i="45"/>
  <c r="Q589" i="45" s="1"/>
  <c r="P383" i="45"/>
  <c r="Q383" i="45" s="1"/>
  <c r="P376" i="45"/>
  <c r="Q376" i="45" s="1"/>
  <c r="P583" i="45"/>
  <c r="Q583" i="45" s="1"/>
  <c r="P956" i="45"/>
  <c r="Q956" i="45" s="1"/>
  <c r="P364" i="45"/>
  <c r="Q364" i="45" s="1"/>
  <c r="P656" i="45"/>
  <c r="Q656" i="45" s="1"/>
  <c r="P354" i="45"/>
  <c r="Q354" i="45" s="1"/>
  <c r="P350" i="45"/>
  <c r="Q350" i="45" s="1"/>
  <c r="P343" i="45"/>
  <c r="Q343" i="45" s="1"/>
  <c r="P837" i="45"/>
  <c r="Q837" i="45" s="1"/>
  <c r="P320" i="45"/>
  <c r="Q320" i="45" s="1"/>
  <c r="P322" i="45"/>
  <c r="Q322" i="45" s="1"/>
  <c r="P313" i="45"/>
  <c r="Q313" i="45" s="1"/>
  <c r="P1039" i="45"/>
  <c r="Q1039" i="45" s="1"/>
  <c r="P302" i="45"/>
  <c r="Q302" i="45" s="1"/>
  <c r="P293" i="45"/>
  <c r="Q293" i="45" s="1"/>
  <c r="P1008" i="45"/>
  <c r="Q1008" i="45" s="1"/>
  <c r="P284" i="45"/>
  <c r="Q284" i="45" s="1"/>
  <c r="P272" i="45"/>
  <c r="Q272" i="45" s="1"/>
  <c r="P268" i="45"/>
  <c r="Q268" i="45" s="1"/>
  <c r="P1004" i="45"/>
  <c r="Q1004" i="45" s="1"/>
  <c r="P256" i="45"/>
  <c r="Q256" i="45" s="1"/>
  <c r="P245" i="45"/>
  <c r="Q245" i="45" s="1"/>
  <c r="P233" i="45"/>
  <c r="Q233" i="45" s="1"/>
  <c r="P674" i="45"/>
  <c r="Q674" i="45" s="1"/>
  <c r="P621" i="45"/>
  <c r="Q621" i="45" s="1"/>
  <c r="P788" i="45"/>
  <c r="Q788" i="45" s="1"/>
  <c r="P206" i="45"/>
  <c r="Q206" i="45" s="1"/>
  <c r="P912" i="45"/>
  <c r="Q912" i="45" s="1"/>
  <c r="P631" i="45"/>
  <c r="Q631" i="45" s="1"/>
  <c r="P179" i="45"/>
  <c r="Q179" i="45" s="1"/>
  <c r="P176" i="45"/>
  <c r="Q176" i="45" s="1"/>
  <c r="P165" i="45"/>
  <c r="Q165" i="45" s="1"/>
  <c r="P996" i="45"/>
  <c r="Q996" i="45" s="1"/>
  <c r="P141" i="45"/>
  <c r="Q141" i="45" s="1"/>
  <c r="P137" i="45"/>
  <c r="Q137" i="45" s="1"/>
  <c r="P129" i="45"/>
  <c r="Q129" i="45" s="1"/>
  <c r="P121" i="45"/>
  <c r="Q121" i="45" s="1"/>
  <c r="P1035" i="45"/>
  <c r="Q1035" i="45" s="1"/>
  <c r="P1012" i="45"/>
  <c r="Q1012" i="45" s="1"/>
  <c r="P725" i="45"/>
  <c r="Q725" i="45" s="1"/>
  <c r="P105" i="45"/>
  <c r="Q105" i="45" s="1"/>
  <c r="P796" i="45"/>
  <c r="Q796" i="45" s="1"/>
  <c r="P818" i="45"/>
  <c r="Q818" i="45" s="1"/>
  <c r="P635" i="45"/>
  <c r="Q635" i="45" s="1"/>
  <c r="P78" i="45"/>
  <c r="Q78" i="45" s="1"/>
  <c r="P1040" i="45"/>
  <c r="Q1040" i="45" s="1"/>
  <c r="P66" i="45"/>
  <c r="Q66" i="45" s="1"/>
  <c r="P61" i="45"/>
  <c r="Q61" i="45" s="1"/>
  <c r="P894" i="45"/>
  <c r="Q894" i="45" s="1"/>
  <c r="P783" i="45"/>
  <c r="Q783" i="45" s="1"/>
  <c r="P45" i="45"/>
  <c r="Q45" i="45" s="1"/>
  <c r="P797" i="45"/>
  <c r="Q797" i="45" s="1"/>
  <c r="P661" i="45"/>
  <c r="Q661" i="45" s="1"/>
  <c r="P27" i="45"/>
  <c r="Q27" i="45" s="1"/>
  <c r="P883" i="45"/>
  <c r="Q883" i="45" s="1"/>
  <c r="P850" i="45"/>
  <c r="Q850" i="45" s="1"/>
  <c r="P934" i="45"/>
  <c r="Q934" i="45" s="1"/>
  <c r="P835" i="45"/>
  <c r="Q835" i="45" s="1"/>
  <c r="P1050" i="45"/>
  <c r="Q1050" i="45" s="1"/>
  <c r="P565" i="45"/>
  <c r="Q565" i="45" s="1"/>
  <c r="P557" i="45"/>
  <c r="Q557" i="45" s="1"/>
  <c r="P552" i="45"/>
  <c r="Q552" i="45" s="1"/>
  <c r="P546" i="45"/>
  <c r="Q546" i="45" s="1"/>
  <c r="P541" i="45"/>
  <c r="Q541" i="45" s="1"/>
  <c r="P533" i="45"/>
  <c r="Q533" i="45" s="1"/>
  <c r="P525" i="45"/>
  <c r="Q525" i="45" s="1"/>
  <c r="P726" i="45"/>
  <c r="Q726" i="45" s="1"/>
  <c r="P508" i="45"/>
  <c r="Q508" i="45" s="1"/>
  <c r="P501" i="45"/>
  <c r="Q501" i="45" s="1"/>
  <c r="P1011" i="45"/>
  <c r="Q1011" i="45" s="1"/>
  <c r="P980" i="45"/>
  <c r="Q980" i="45" s="1"/>
  <c r="P475" i="45"/>
  <c r="Q475" i="45" s="1"/>
  <c r="P464" i="45"/>
  <c r="Q464" i="45" s="1"/>
  <c r="P452" i="45"/>
  <c r="Q452" i="45" s="1"/>
  <c r="P876" i="45"/>
  <c r="Q876" i="45" s="1"/>
  <c r="P444" i="45"/>
  <c r="Q444" i="45" s="1"/>
  <c r="P435" i="45"/>
  <c r="Q435" i="45" s="1"/>
  <c r="P426" i="45"/>
  <c r="Q426" i="45" s="1"/>
  <c r="P420" i="45"/>
  <c r="Q420" i="45" s="1"/>
  <c r="P414" i="45"/>
  <c r="Q414" i="45" s="1"/>
  <c r="P410" i="45"/>
  <c r="Q410" i="45" s="1"/>
  <c r="P397" i="45"/>
  <c r="Q397" i="45" s="1"/>
  <c r="P645" i="45"/>
  <c r="Q645" i="45" s="1"/>
  <c r="P686" i="45"/>
  <c r="Q686" i="45" s="1"/>
  <c r="P938" i="45"/>
  <c r="Q938" i="45" s="1"/>
  <c r="P940" i="45"/>
  <c r="Q940" i="45" s="1"/>
  <c r="P1033" i="45"/>
  <c r="Q1033" i="45" s="1"/>
  <c r="P715" i="45"/>
  <c r="Q715" i="45" s="1"/>
  <c r="P370" i="45"/>
  <c r="Q370" i="45" s="1"/>
  <c r="P363" i="45"/>
  <c r="Q363" i="45" s="1"/>
  <c r="P358" i="45"/>
  <c r="Q358" i="45" s="1"/>
  <c r="P3" i="45"/>
  <c r="Q3" i="45" s="1"/>
  <c r="P829" i="45"/>
  <c r="Q829" i="45" s="1"/>
  <c r="P342" i="45"/>
  <c r="Q342" i="45" s="1"/>
  <c r="P711" i="45"/>
  <c r="Q711" i="45" s="1"/>
  <c r="P787" i="45"/>
  <c r="Q787" i="45" s="1"/>
  <c r="P324" i="45"/>
  <c r="Q324" i="45" s="1"/>
  <c r="P792" i="45"/>
  <c r="Q792" i="45" s="1"/>
  <c r="P311" i="45"/>
  <c r="Q311" i="45" s="1"/>
  <c r="P840" i="45"/>
  <c r="Q840" i="45" s="1"/>
  <c r="P307" i="45"/>
  <c r="Q307" i="45" s="1"/>
  <c r="P291" i="45"/>
  <c r="Q291" i="45" s="1"/>
  <c r="P992" i="45"/>
  <c r="Q992" i="45" s="1"/>
  <c r="P279" i="45"/>
  <c r="Q279" i="45" s="1"/>
  <c r="P630" i="45"/>
  <c r="Q630" i="45" s="1"/>
  <c r="P9" i="45"/>
  <c r="Q9" i="45" s="1"/>
  <c r="P1057" i="45"/>
  <c r="Q1057" i="45" s="1"/>
  <c r="P5" i="45"/>
  <c r="Q5" i="45" s="1"/>
  <c r="P246" i="45"/>
  <c r="Q246" i="45" s="1"/>
  <c r="P730" i="45"/>
  <c r="Q730" i="45" s="1"/>
  <c r="P226" i="45"/>
  <c r="Q226" i="45" s="1"/>
  <c r="P211" i="45"/>
  <c r="Q211" i="45" s="1"/>
  <c r="P201" i="45"/>
  <c r="Q201" i="45" s="1"/>
  <c r="P197" i="45"/>
  <c r="Q197" i="45" s="1"/>
  <c r="P722" i="45"/>
  <c r="Q722" i="45" s="1"/>
  <c r="P182" i="45"/>
  <c r="Q182" i="45" s="1"/>
  <c r="P169" i="45"/>
  <c r="Q169" i="45" s="1"/>
  <c r="P135" i="45"/>
  <c r="Q135" i="45" s="1"/>
  <c r="P623" i="45"/>
  <c r="Q623" i="45" s="1"/>
  <c r="P675" i="45"/>
  <c r="Q675" i="45" s="1"/>
  <c r="P117" i="45"/>
  <c r="Q117" i="45" s="1"/>
  <c r="P994" i="45"/>
  <c r="Q994" i="45" s="1"/>
  <c r="P110" i="45"/>
  <c r="Q110" i="45" s="1"/>
  <c r="P622" i="45"/>
  <c r="Q622" i="45" s="1"/>
  <c r="P960" i="45"/>
  <c r="Q960" i="45" s="1"/>
  <c r="P887" i="45"/>
  <c r="Q887" i="45" s="1"/>
  <c r="P657" i="45"/>
  <c r="Q657" i="45" s="1"/>
  <c r="P717" i="45"/>
  <c r="Q717" i="45" s="1"/>
  <c r="P1056" i="45"/>
  <c r="Q1056" i="45" s="1"/>
  <c r="P735" i="45"/>
  <c r="Q735" i="45" s="1"/>
  <c r="P913" i="45"/>
  <c r="Q913" i="45" s="1"/>
  <c r="P38" i="45"/>
  <c r="Q38" i="45" s="1"/>
  <c r="P773" i="45"/>
  <c r="Q773" i="45" s="1"/>
  <c r="P609" i="45"/>
  <c r="Q609" i="45" s="1"/>
  <c r="P816" i="45"/>
  <c r="Q816" i="45" s="1"/>
  <c r="P696" i="45"/>
  <c r="Q696" i="45" s="1"/>
  <c r="P629" i="45"/>
  <c r="Q629" i="45" s="1"/>
  <c r="P669" i="45"/>
  <c r="Q669" i="45" s="1"/>
  <c r="P852" i="45"/>
  <c r="Q852" i="45" s="1"/>
  <c r="P547" i="45"/>
  <c r="Q547" i="45" s="1"/>
  <c r="P1065" i="45"/>
  <c r="Q1065" i="45" s="1"/>
  <c r="P919" i="45"/>
  <c r="Q919" i="45" s="1"/>
  <c r="P499" i="45"/>
  <c r="Q499" i="45" s="1"/>
  <c r="P904" i="45"/>
  <c r="Q904" i="45" s="1"/>
  <c r="P638" i="45"/>
  <c r="Q638" i="45" s="1"/>
  <c r="P438" i="45"/>
  <c r="Q438" i="45" s="1"/>
  <c r="P998" i="45"/>
  <c r="Q998" i="45" s="1"/>
  <c r="P979" i="45"/>
  <c r="Q979" i="45" s="1"/>
  <c r="P807" i="45"/>
  <c r="Q807" i="45" s="1"/>
  <c r="P916" i="45"/>
  <c r="Q916" i="45" s="1"/>
  <c r="P891" i="45"/>
  <c r="Q891" i="45" s="1"/>
  <c r="P701" i="45"/>
  <c r="Q701" i="45" s="1"/>
  <c r="P282" i="45"/>
  <c r="Q282" i="45" s="1"/>
  <c r="P595" i="45"/>
  <c r="Q595" i="45" s="1"/>
  <c r="P813" i="45"/>
  <c r="Q813" i="45" s="1"/>
  <c r="P258" i="45"/>
  <c r="Q258" i="45" s="1"/>
  <c r="P248" i="45"/>
  <c r="Q248" i="45" s="1"/>
  <c r="P210" i="45"/>
  <c r="Q210" i="45" s="1"/>
  <c r="P728" i="45"/>
  <c r="Q728" i="45" s="1"/>
  <c r="P736" i="45"/>
  <c r="Q736" i="45" s="1"/>
  <c r="P115" i="45"/>
  <c r="Q115" i="45" s="1"/>
  <c r="P97" i="45"/>
  <c r="Q97" i="45" s="1"/>
  <c r="P573" i="45"/>
  <c r="Q573" i="45" s="1"/>
  <c r="P1034" i="45"/>
  <c r="Q1034" i="45" s="1"/>
  <c r="P984" i="45"/>
  <c r="Q984" i="45" s="1"/>
  <c r="P637" i="45"/>
  <c r="Q637" i="45" s="1"/>
  <c r="P553" i="45"/>
  <c r="Q553" i="45" s="1"/>
  <c r="P652" i="45"/>
  <c r="Q652" i="45" s="1"/>
  <c r="P544" i="45"/>
  <c r="Q544" i="45" s="1"/>
  <c r="P642" i="45"/>
  <c r="Q642" i="45" s="1"/>
  <c r="P527" i="45"/>
  <c r="Q527" i="45" s="1"/>
  <c r="P519" i="45"/>
  <c r="Q519" i="45" s="1"/>
  <c r="P828" i="45"/>
  <c r="Q828" i="45" s="1"/>
  <c r="P503" i="45"/>
  <c r="Q503" i="45" s="1"/>
  <c r="P498" i="45"/>
  <c r="Q498" i="45" s="1"/>
  <c r="P724" i="45"/>
  <c r="Q724" i="45" s="1"/>
  <c r="P469" i="45"/>
  <c r="Q469" i="45" s="1"/>
  <c r="P467" i="45"/>
  <c r="Q467" i="45" s="1"/>
  <c r="P453" i="45"/>
  <c r="Q453" i="45" s="1"/>
  <c r="P448" i="45"/>
  <c r="Q448" i="45" s="1"/>
  <c r="P440" i="45"/>
  <c r="Q440" i="45" s="1"/>
  <c r="P437" i="45"/>
  <c r="Q437" i="45" s="1"/>
  <c r="P423" i="45"/>
  <c r="Q423" i="45" s="1"/>
  <c r="P604" i="45"/>
  <c r="Q604" i="45" s="1"/>
  <c r="P943" i="45"/>
  <c r="Q943" i="45" s="1"/>
  <c r="P403" i="45"/>
  <c r="Q403" i="45" s="1"/>
  <c r="P602" i="45"/>
  <c r="Q602" i="45" s="1"/>
  <c r="P391" i="45"/>
  <c r="Q391" i="45" s="1"/>
  <c r="P388" i="45"/>
  <c r="Q388" i="45" s="1"/>
  <c r="P382" i="45"/>
  <c r="Q382" i="45" s="1"/>
  <c r="P377" i="45"/>
  <c r="Q377" i="45" s="1"/>
  <c r="P1036" i="45"/>
  <c r="Q1036" i="45" s="1"/>
  <c r="P723" i="45"/>
  <c r="Q723" i="45" s="1"/>
  <c r="P814" i="45"/>
  <c r="Q814" i="45" s="1"/>
  <c r="P824" i="45"/>
  <c r="Q824" i="45" s="1"/>
  <c r="P359" i="45"/>
  <c r="Q359" i="45" s="1"/>
  <c r="P986" i="45"/>
  <c r="Q986" i="45" s="1"/>
  <c r="P777" i="45"/>
  <c r="Q777" i="45" s="1"/>
  <c r="P803" i="45"/>
  <c r="Q803" i="45" s="1"/>
  <c r="P333" i="45"/>
  <c r="Q333" i="45" s="1"/>
  <c r="P330" i="45"/>
  <c r="Q330" i="45" s="1"/>
  <c r="P897" i="45"/>
  <c r="Q897" i="45" s="1"/>
  <c r="P1049" i="45"/>
  <c r="Q1049" i="45" s="1"/>
  <c r="P318" i="45"/>
  <c r="Q318" i="45" s="1"/>
  <c r="P1038" i="45"/>
  <c r="Q1038" i="45" s="1"/>
  <c r="P299" i="45"/>
  <c r="Q299" i="45" s="1"/>
  <c r="P601" i="45"/>
  <c r="Q601" i="45" s="1"/>
  <c r="P285" i="45"/>
  <c r="Q285" i="45" s="1"/>
  <c r="P278" i="45"/>
  <c r="Q278" i="45" s="1"/>
  <c r="P982" i="45"/>
  <c r="Q982" i="45" s="1"/>
  <c r="P269" i="45"/>
  <c r="Q269" i="45" s="1"/>
  <c r="P262" i="45"/>
  <c r="Q262" i="45" s="1"/>
  <c r="P856" i="45"/>
  <c r="Q856" i="45" s="1"/>
  <c r="P247" i="45"/>
  <c r="Q247" i="45" s="1"/>
  <c r="P1047" i="45"/>
  <c r="Q1047" i="45" s="1"/>
  <c r="P231" i="45"/>
  <c r="Q231" i="45" s="1"/>
  <c r="P225" i="45"/>
  <c r="Q225" i="45" s="1"/>
  <c r="P221" i="45"/>
  <c r="Q221" i="45" s="1"/>
  <c r="P212" i="45"/>
  <c r="Q212" i="45" s="1"/>
  <c r="P202" i="45"/>
  <c r="Q202" i="45" s="1"/>
  <c r="P200" i="45"/>
  <c r="Q200" i="45" s="1"/>
  <c r="P753" i="45"/>
  <c r="Q753" i="45" s="1"/>
  <c r="P180" i="45"/>
  <c r="Q180" i="45" s="1"/>
  <c r="P166" i="45"/>
  <c r="Q166" i="45" s="1"/>
  <c r="P163" i="45"/>
  <c r="Q163" i="45" s="1"/>
  <c r="P154" i="45"/>
  <c r="Q154" i="45" s="1"/>
  <c r="P143" i="45"/>
  <c r="Q143" i="45" s="1"/>
  <c r="P968" i="45"/>
  <c r="Q968" i="45" s="1"/>
  <c r="P125" i="45"/>
  <c r="Q125" i="45" s="1"/>
  <c r="P119" i="45"/>
  <c r="Q119" i="45" s="1"/>
  <c r="P978" i="45"/>
  <c r="Q978" i="45" s="1"/>
  <c r="P112" i="45"/>
  <c r="Q112" i="45" s="1"/>
  <c r="P949" i="45"/>
  <c r="Q949" i="45" s="1"/>
  <c r="P109" i="45"/>
  <c r="Q109" i="45" s="1"/>
  <c r="P95" i="45"/>
  <c r="Q95" i="45" s="1"/>
  <c r="P640" i="45"/>
  <c r="Q640" i="45" s="1"/>
  <c r="P85" i="45"/>
  <c r="Q85" i="45" s="1"/>
  <c r="P73" i="45"/>
  <c r="Q73" i="45" s="1"/>
  <c r="P71" i="45"/>
  <c r="Q71" i="45" s="1"/>
  <c r="P65" i="45"/>
  <c r="Q65" i="45" s="1"/>
  <c r="P670" i="45"/>
  <c r="Q670" i="45" s="1"/>
  <c r="P793" i="45"/>
  <c r="Q793" i="45" s="1"/>
  <c r="P989" i="45"/>
  <c r="Q989" i="45" s="1"/>
  <c r="P41" i="45"/>
  <c r="Q41" i="45" s="1"/>
  <c r="P905" i="45"/>
  <c r="Q905" i="45" s="1"/>
  <c r="P33" i="45"/>
  <c r="Q33" i="45" s="1"/>
  <c r="P12" i="45"/>
  <c r="Q12" i="45" s="1"/>
  <c r="P805" i="45"/>
  <c r="Q805" i="45" s="1"/>
  <c r="P23" i="45"/>
  <c r="Q23" i="45" s="1"/>
  <c r="P14" i="45"/>
  <c r="Q14" i="45" s="1"/>
  <c r="P614" i="45"/>
  <c r="Q614" i="45" s="1"/>
  <c r="P1019" i="45"/>
  <c r="Q1019" i="45" s="1"/>
  <c r="P760" i="45"/>
  <c r="Q760" i="45" s="1"/>
  <c r="P808" i="45"/>
  <c r="Q808" i="45" s="1"/>
  <c r="P559" i="45"/>
  <c r="Q559" i="45" s="1"/>
  <c r="P551" i="45"/>
  <c r="Q551" i="45" s="1"/>
  <c r="P545" i="45"/>
  <c r="Q545" i="45" s="1"/>
  <c r="P695" i="45"/>
  <c r="Q695" i="45" s="1"/>
  <c r="P620" i="45"/>
  <c r="Q620" i="45" s="1"/>
  <c r="P526" i="45"/>
  <c r="Q526" i="45" s="1"/>
  <c r="P877" i="45"/>
  <c r="Q877" i="45" s="1"/>
  <c r="P969" i="45"/>
  <c r="Q969" i="45" s="1"/>
  <c r="P494" i="45"/>
  <c r="Q494" i="45" s="1"/>
  <c r="P937" i="45"/>
  <c r="Q937" i="45" s="1"/>
  <c r="P484" i="45"/>
  <c r="Q484" i="45" s="1"/>
  <c r="P477" i="45"/>
  <c r="Q477" i="45" s="1"/>
  <c r="P682" i="45"/>
  <c r="Q682" i="45" s="1"/>
  <c r="P460" i="45"/>
  <c r="Q460" i="45" s="1"/>
  <c r="P687" i="45"/>
  <c r="Q687" i="45" s="1"/>
  <c r="P441" i="45"/>
  <c r="Q441" i="45" s="1"/>
  <c r="P427" i="45"/>
  <c r="Q427" i="45" s="1"/>
  <c r="P888" i="45"/>
  <c r="Q888" i="45" s="1"/>
  <c r="P418" i="45"/>
  <c r="Q418" i="45" s="1"/>
  <c r="P744" i="45"/>
  <c r="Q744" i="45" s="1"/>
  <c r="P402" i="45"/>
  <c r="Q402" i="45" s="1"/>
  <c r="P398" i="45"/>
  <c r="Q398" i="45" s="1"/>
  <c r="P392" i="45"/>
  <c r="Q392" i="45" s="1"/>
  <c r="P386" i="45"/>
  <c r="Q386" i="45" s="1"/>
  <c r="P702" i="45"/>
  <c r="Q702" i="45" s="1"/>
  <c r="P378" i="45"/>
  <c r="Q378" i="45" s="1"/>
  <c r="P634" i="45"/>
  <c r="Q634" i="45" s="1"/>
  <c r="P7" i="45"/>
  <c r="Q7" i="45" s="1"/>
  <c r="P368" i="45"/>
  <c r="Q368" i="45" s="1"/>
  <c r="P767" i="45"/>
  <c r="Q767" i="45" s="1"/>
  <c r="P357" i="45"/>
  <c r="Q357" i="45" s="1"/>
  <c r="P815" i="45"/>
  <c r="Q815" i="45" s="1"/>
  <c r="P952" i="45"/>
  <c r="Q952" i="45" s="1"/>
  <c r="P340" i="45"/>
  <c r="Q340" i="45" s="1"/>
  <c r="P641" i="45"/>
  <c r="Q641" i="45" s="1"/>
  <c r="P872" i="45"/>
  <c r="Q872" i="45" s="1"/>
  <c r="P325" i="45"/>
  <c r="Q325" i="45" s="1"/>
  <c r="P323" i="45"/>
  <c r="Q323" i="45" s="1"/>
  <c r="P308" i="45"/>
  <c r="Q308" i="45" s="1"/>
  <c r="P297" i="45"/>
  <c r="Q297" i="45" s="1"/>
  <c r="P296" i="45"/>
  <c r="Q296" i="45" s="1"/>
  <c r="P288" i="45"/>
  <c r="Q288" i="45" s="1"/>
  <c r="P287" i="45"/>
  <c r="Q287" i="45" s="1"/>
  <c r="P1060" i="45"/>
  <c r="Q1060" i="45" s="1"/>
  <c r="P739" i="45"/>
  <c r="Q739" i="45" s="1"/>
  <c r="P628" i="45"/>
  <c r="Q628" i="45" s="1"/>
  <c r="P260" i="45"/>
  <c r="Q260" i="45" s="1"/>
  <c r="P972" i="45"/>
  <c r="Q972" i="45" s="1"/>
  <c r="P241" i="45"/>
  <c r="Q241" i="45" s="1"/>
  <c r="P685" i="45"/>
  <c r="Q685" i="45" s="1"/>
  <c r="P230" i="45"/>
  <c r="Q230" i="45" s="1"/>
  <c r="P804" i="45"/>
  <c r="Q804" i="45" s="1"/>
  <c r="P219" i="45"/>
  <c r="Q219" i="45" s="1"/>
  <c r="P213" i="45"/>
  <c r="Q213" i="45" s="1"/>
  <c r="P203" i="45"/>
  <c r="Q203" i="45" s="1"/>
  <c r="P880" i="45"/>
  <c r="Q880" i="45" s="1"/>
  <c r="P188" i="45"/>
  <c r="Q188" i="45" s="1"/>
  <c r="P782" i="45"/>
  <c r="Q782" i="45" s="1"/>
  <c r="P168" i="45"/>
  <c r="Q168" i="45" s="1"/>
  <c r="P155" i="45"/>
  <c r="Q155" i="45" s="1"/>
  <c r="P148" i="45"/>
  <c r="Q148" i="45" s="1"/>
  <c r="P144" i="45"/>
  <c r="Q144" i="45" s="1"/>
  <c r="P134" i="45"/>
  <c r="Q134" i="45" s="1"/>
  <c r="P705" i="45"/>
  <c r="Q705" i="45" s="1"/>
  <c r="P926" i="45"/>
  <c r="Q926" i="45" s="1"/>
  <c r="P118" i="45"/>
  <c r="Q118" i="45" s="1"/>
  <c r="P113" i="45"/>
  <c r="Q113" i="45" s="1"/>
  <c r="P1009" i="45"/>
  <c r="Q1009" i="45" s="1"/>
  <c r="P817" i="45"/>
  <c r="Q817" i="45" s="1"/>
  <c r="P954" i="45"/>
  <c r="Q954" i="45" s="1"/>
  <c r="P81" i="45"/>
  <c r="Q81" i="45" s="1"/>
  <c r="P790" i="45"/>
  <c r="Q790" i="45" s="1"/>
  <c r="P69" i="45"/>
  <c r="Q69" i="45" s="1"/>
  <c r="P932" i="45"/>
  <c r="Q932" i="45" s="1"/>
  <c r="P56" i="45"/>
  <c r="Q56" i="45" s="1"/>
  <c r="P765" i="45"/>
  <c r="Q765" i="45" s="1"/>
  <c r="P606" i="45"/>
  <c r="Q606" i="45" s="1"/>
  <c r="P771" i="45"/>
  <c r="Q771" i="45" s="1"/>
  <c r="P719" i="45"/>
  <c r="Q719" i="45" s="1"/>
  <c r="P806" i="45"/>
  <c r="Q806" i="45" s="1"/>
  <c r="P632" i="45"/>
  <c r="Q632" i="45" s="1"/>
  <c r="P618" i="45"/>
  <c r="Q618" i="45" s="1"/>
  <c r="P21" i="45"/>
  <c r="Q21" i="45" s="1"/>
  <c r="P15" i="45"/>
  <c r="Q15" i="45" s="1"/>
  <c r="P578" i="45"/>
  <c r="Q578" i="45" s="1"/>
  <c r="P600" i="45"/>
  <c r="Q600" i="45" s="1"/>
  <c r="P567" i="45"/>
  <c r="Q567" i="45" s="1"/>
  <c r="P560" i="45"/>
  <c r="Q560" i="45" s="1"/>
  <c r="P963" i="45"/>
  <c r="Q963" i="45" s="1"/>
  <c r="P683" i="45"/>
  <c r="Q683" i="45" s="1"/>
  <c r="P692" i="45"/>
  <c r="Q692" i="45" s="1"/>
  <c r="P534" i="45"/>
  <c r="Q534" i="45" s="1"/>
  <c r="P889" i="45"/>
  <c r="Q889" i="45" s="1"/>
  <c r="P522" i="45"/>
  <c r="Q522" i="45" s="1"/>
  <c r="P514" i="45"/>
  <c r="Q514" i="45" s="1"/>
  <c r="P504" i="45"/>
  <c r="Q504" i="45" s="1"/>
  <c r="P929" i="45"/>
  <c r="Q929" i="45" s="1"/>
  <c r="P491" i="45"/>
  <c r="Q491" i="45" s="1"/>
  <c r="P483" i="45"/>
  <c r="Q483" i="45" s="1"/>
  <c r="P472" i="45"/>
  <c r="Q472" i="45" s="1"/>
  <c r="P466" i="45"/>
  <c r="Q466" i="45" s="1"/>
  <c r="P869" i="45"/>
  <c r="Q869" i="45" s="1"/>
  <c r="P1062" i="45"/>
  <c r="Q1062" i="45" s="1"/>
  <c r="P946" i="45"/>
  <c r="Q946" i="45" s="1"/>
  <c r="P429" i="45"/>
  <c r="Q429" i="45" s="1"/>
  <c r="P425" i="45"/>
  <c r="Q425" i="45" s="1"/>
  <c r="P417" i="45"/>
  <c r="Q417" i="45" s="1"/>
  <c r="P412" i="45"/>
  <c r="Q412" i="45" s="1"/>
  <c r="P404" i="45"/>
  <c r="Q404" i="45" s="1"/>
  <c r="P401" i="45"/>
  <c r="Q401" i="45" s="1"/>
  <c r="P906" i="45"/>
  <c r="Q906" i="45" s="1"/>
  <c r="P387" i="45"/>
  <c r="Q387" i="45" s="1"/>
  <c r="P381" i="45"/>
  <c r="Q381" i="45" s="1"/>
  <c r="P379" i="45"/>
  <c r="Q379" i="45" s="1"/>
  <c r="P1017" i="45"/>
  <c r="Q1017" i="45" s="1"/>
  <c r="P372" i="45"/>
  <c r="Q372" i="45" s="1"/>
  <c r="P690" i="45"/>
  <c r="Q690" i="45" s="1"/>
  <c r="P1020" i="45"/>
  <c r="Q1020" i="45" s="1"/>
  <c r="P679" i="45"/>
  <c r="Q679" i="45" s="1"/>
  <c r="P603" i="45"/>
  <c r="Q603" i="45" s="1"/>
  <c r="P344" i="45"/>
  <c r="Q344" i="45" s="1"/>
  <c r="P341" i="45"/>
  <c r="Q341" i="45" s="1"/>
  <c r="P820" i="45"/>
  <c r="Q820" i="45" s="1"/>
  <c r="P1010" i="45"/>
  <c r="Q1010" i="45" s="1"/>
  <c r="P326" i="45"/>
  <c r="Q326" i="45" s="1"/>
  <c r="P762" i="45"/>
  <c r="Q762" i="45" s="1"/>
  <c r="P665" i="45"/>
  <c r="Q665" i="45" s="1"/>
  <c r="P301" i="45"/>
  <c r="Q301" i="45" s="1"/>
  <c r="P908" i="45"/>
  <c r="Q908" i="45" s="1"/>
  <c r="P917" i="45"/>
  <c r="Q917" i="45" s="1"/>
  <c r="P286" i="45"/>
  <c r="Q286" i="45" s="1"/>
  <c r="P274" i="45"/>
  <c r="Q274" i="45" s="1"/>
  <c r="P263" i="45"/>
  <c r="Q263" i="45" s="1"/>
  <c r="P915" i="45"/>
  <c r="Q915" i="45" s="1"/>
  <c r="P261" i="45"/>
  <c r="Q261" i="45" s="1"/>
  <c r="P636" i="45"/>
  <c r="Q636" i="45" s="1"/>
  <c r="P242" i="45"/>
  <c r="Q242" i="45" s="1"/>
  <c r="P232" i="45"/>
  <c r="Q232" i="45" s="1"/>
  <c r="P1052" i="45"/>
  <c r="Q1052" i="45" s="1"/>
  <c r="P1041" i="45"/>
  <c r="Q1041" i="45" s="1"/>
  <c r="P216" i="45"/>
  <c r="Q216" i="45" s="1"/>
  <c r="P845" i="45"/>
  <c r="Q845" i="45" s="1"/>
  <c r="P851" i="45"/>
  <c r="Q851" i="45" s="1"/>
  <c r="P1016" i="45"/>
  <c r="Q1016" i="45" s="1"/>
  <c r="P607" i="45"/>
  <c r="Q607" i="45" s="1"/>
  <c r="P183" i="45"/>
  <c r="Q183" i="45" s="1"/>
  <c r="P164" i="45"/>
  <c r="Q164" i="45" s="1"/>
  <c r="P153" i="45"/>
  <c r="Q153" i="45" s="1"/>
  <c r="P149" i="45"/>
  <c r="Q149" i="45" s="1"/>
  <c r="P139" i="45"/>
  <c r="Q139" i="45" s="1"/>
  <c r="P812" i="45"/>
  <c r="Q812" i="45" s="1"/>
  <c r="P706" i="45"/>
  <c r="Q706" i="45" s="1"/>
  <c r="P627" i="45"/>
  <c r="Q627" i="45" s="1"/>
  <c r="P733" i="45"/>
  <c r="Q733" i="45" s="1"/>
  <c r="P108" i="45"/>
  <c r="Q108" i="45" s="1"/>
  <c r="P689" i="45"/>
  <c r="Q689" i="45" s="1"/>
  <c r="P772" i="45"/>
  <c r="Q772" i="45" s="1"/>
  <c r="P89" i="45"/>
  <c r="Q89" i="45" s="1"/>
  <c r="P1055" i="45"/>
  <c r="Q1055" i="45" s="1"/>
  <c r="P76" i="45"/>
  <c r="Q76" i="45" s="1"/>
  <c r="P64" i="45"/>
  <c r="Q64" i="45" s="1"/>
  <c r="P62" i="45"/>
  <c r="Q62" i="45" s="1"/>
  <c r="P53" i="45"/>
  <c r="Q53" i="45" s="1"/>
  <c r="P868" i="45"/>
  <c r="Q868" i="45" s="1"/>
  <c r="P1013" i="45"/>
  <c r="Q1013" i="45" s="1"/>
  <c r="P39" i="45"/>
  <c r="Q39" i="45" s="1"/>
  <c r="P957" i="45"/>
  <c r="Q957" i="45" s="1"/>
  <c r="P32" i="45"/>
  <c r="Q32" i="45" s="1"/>
  <c r="P25" i="45"/>
  <c r="Q25" i="45" s="1"/>
  <c r="P974" i="45"/>
  <c r="Q974" i="45" s="1"/>
  <c r="P688" i="45"/>
  <c r="Q688" i="45" s="1"/>
  <c r="P862" i="45"/>
  <c r="Q862" i="45" s="1"/>
  <c r="P571" i="45"/>
  <c r="Q571" i="45" s="1"/>
  <c r="P761" i="45"/>
  <c r="Q761" i="45" s="1"/>
  <c r="P562" i="45"/>
  <c r="Q562" i="45" s="1"/>
  <c r="P550" i="45"/>
  <c r="Q550" i="45" s="1"/>
  <c r="P529" i="45"/>
  <c r="Q529" i="45" s="1"/>
  <c r="P521" i="45"/>
  <c r="Q521" i="45" s="1"/>
  <c r="P488" i="45"/>
  <c r="Q488" i="45" s="1"/>
  <c r="P650" i="45"/>
  <c r="Q650" i="45" s="1"/>
  <c r="P465" i="45"/>
  <c r="Q465" i="45" s="1"/>
  <c r="P457" i="45"/>
  <c r="Q457" i="45" s="1"/>
  <c r="P447" i="45"/>
  <c r="Q447" i="45" s="1"/>
  <c r="P428" i="45"/>
  <c r="Q428" i="45" s="1"/>
  <c r="P833" i="45"/>
  <c r="Q833" i="45" s="1"/>
  <c r="P380" i="45"/>
  <c r="Q380" i="45" s="1"/>
  <c r="P373" i="45"/>
  <c r="Q373" i="45" s="1"/>
  <c r="P367" i="45"/>
  <c r="Q367" i="45" s="1"/>
  <c r="P345" i="45"/>
  <c r="Q345" i="45" s="1"/>
  <c r="P799" i="45"/>
  <c r="Q799" i="45" s="1"/>
  <c r="P740" i="45"/>
  <c r="Q740" i="45" s="1"/>
  <c r="P289" i="45"/>
  <c r="Q289" i="45" s="1"/>
  <c r="P800" i="45"/>
  <c r="Q800" i="45" s="1"/>
  <c r="P678" i="45"/>
  <c r="Q678" i="45" s="1"/>
  <c r="P185" i="45"/>
  <c r="Q185" i="45" s="1"/>
  <c r="P863" i="45"/>
  <c r="Q863" i="45" s="1"/>
  <c r="P147" i="45"/>
  <c r="Q147" i="45" s="1"/>
  <c r="P865" i="45"/>
  <c r="Q865" i="45" s="1"/>
  <c r="P617" i="45"/>
  <c r="Q617" i="45" s="1"/>
  <c r="P756" i="45"/>
  <c r="Q756" i="45" s="1"/>
  <c r="P732" i="45"/>
  <c r="Q732" i="45" s="1"/>
  <c r="P931" i="45"/>
  <c r="Q931" i="45" s="1"/>
  <c r="P18" i="45"/>
  <c r="Q18" i="45" s="1"/>
  <c r="P577" i="45"/>
  <c r="Q577" i="45" s="1"/>
  <c r="P572" i="45"/>
  <c r="Q572" i="45" s="1"/>
  <c r="P566" i="45"/>
  <c r="Q566" i="45" s="1"/>
  <c r="P561" i="45"/>
  <c r="Q561" i="45" s="1"/>
  <c r="P910" i="45"/>
  <c r="Q910" i="45" s="1"/>
  <c r="P693" i="45"/>
  <c r="Q693" i="45" s="1"/>
  <c r="P707" i="45"/>
  <c r="Q707" i="45" s="1"/>
  <c r="P536" i="45"/>
  <c r="Q536" i="45" s="1"/>
  <c r="P593" i="45"/>
  <c r="Q593" i="45" s="1"/>
  <c r="P524" i="45"/>
  <c r="Q524" i="45" s="1"/>
  <c r="P511" i="45"/>
  <c r="Q511" i="45" s="1"/>
  <c r="P506" i="45"/>
  <c r="Q506" i="45" s="1"/>
  <c r="P646" i="45"/>
  <c r="Q646" i="45" s="1"/>
  <c r="P496" i="45"/>
  <c r="Q496" i="45" s="1"/>
  <c r="P591" i="45"/>
  <c r="Q591" i="45" s="1"/>
  <c r="P470" i="45"/>
  <c r="Q470" i="45" s="1"/>
  <c r="P463" i="45"/>
  <c r="Q463" i="45" s="1"/>
  <c r="P1051" i="45"/>
  <c r="Q1051" i="45" s="1"/>
  <c r="P445" i="45"/>
  <c r="Q445" i="45" s="1"/>
  <c r="P442" i="45"/>
  <c r="Q442" i="45" s="1"/>
  <c r="P434" i="45"/>
  <c r="Q434" i="45" s="1"/>
  <c r="P424" i="45"/>
  <c r="Q424" i="45" s="1"/>
  <c r="P415" i="45"/>
  <c r="Q415" i="45" s="1"/>
  <c r="P407" i="45"/>
  <c r="Q407" i="45" s="1"/>
  <c r="P406" i="45"/>
  <c r="Q406" i="45" s="1"/>
  <c r="P395" i="45"/>
  <c r="Q395" i="45" s="1"/>
  <c r="P389" i="45"/>
  <c r="Q389" i="45" s="1"/>
  <c r="P973" i="45"/>
  <c r="Q973" i="45" s="1"/>
  <c r="P582" i="45"/>
  <c r="Q582" i="45" s="1"/>
  <c r="P763" i="45"/>
  <c r="Q763" i="45" s="1"/>
  <c r="P999" i="45"/>
  <c r="Q999" i="45" s="1"/>
  <c r="P610" i="45"/>
  <c r="Q610" i="45" s="1"/>
  <c r="P365" i="45"/>
  <c r="Q365" i="45" s="1"/>
  <c r="P361" i="45"/>
  <c r="Q361" i="45" s="1"/>
  <c r="P356" i="45"/>
  <c r="Q356" i="45" s="1"/>
  <c r="P349" i="45"/>
  <c r="Q349" i="45" s="1"/>
  <c r="P585" i="45"/>
  <c r="Q585" i="45" s="1"/>
  <c r="P1030" i="45"/>
  <c r="Q1030" i="45" s="1"/>
  <c r="P651" i="45"/>
  <c r="Q651" i="45" s="1"/>
  <c r="P933" i="45"/>
  <c r="Q933" i="45" s="1"/>
  <c r="P321" i="45"/>
  <c r="Q321" i="45" s="1"/>
  <c r="P319" i="45"/>
  <c r="Q319" i="45" s="1"/>
  <c r="P310" i="45"/>
  <c r="Q310" i="45" s="1"/>
  <c r="P295" i="45"/>
  <c r="Q295" i="45" s="1"/>
  <c r="P303" i="45"/>
  <c r="Q303" i="45" s="1"/>
  <c r="P965" i="45"/>
  <c r="Q965" i="45" s="1"/>
  <c r="P976" i="45"/>
  <c r="Q976" i="45" s="1"/>
  <c r="P273" i="45"/>
  <c r="Q273" i="45" s="1"/>
  <c r="P266" i="45"/>
  <c r="Q266" i="45" s="1"/>
  <c r="P259" i="45"/>
  <c r="Q259" i="45" s="1"/>
  <c r="P257" i="45"/>
  <c r="Q257" i="45" s="1"/>
  <c r="P250" i="45"/>
  <c r="Q250" i="45" s="1"/>
  <c r="P243" i="45"/>
  <c r="Q243" i="45" s="1"/>
  <c r="P229" i="45"/>
  <c r="Q229" i="45" s="1"/>
  <c r="P791" i="45"/>
  <c r="Q791" i="45" s="1"/>
  <c r="P1046" i="45"/>
  <c r="Q1046" i="45" s="1"/>
  <c r="P217" i="45"/>
  <c r="Q217" i="45" s="1"/>
  <c r="P209" i="45"/>
  <c r="Q209" i="45" s="1"/>
  <c r="P205" i="45"/>
  <c r="Q205" i="45" s="1"/>
  <c r="P199" i="45"/>
  <c r="Q199" i="45" s="1"/>
  <c r="P192" i="45"/>
  <c r="Q192" i="45" s="1"/>
  <c r="P184" i="45"/>
  <c r="Q184" i="45" s="1"/>
  <c r="P173" i="45"/>
  <c r="Q173" i="45" s="1"/>
  <c r="P158" i="45"/>
  <c r="Q158" i="45" s="1"/>
  <c r="P150" i="45"/>
  <c r="Q150" i="45" s="1"/>
  <c r="P580" i="45"/>
  <c r="Q580" i="45" s="1"/>
  <c r="P131" i="45"/>
  <c r="Q131" i="45" s="1"/>
  <c r="P128" i="45"/>
  <c r="Q128" i="45" s="1"/>
  <c r="P944" i="45"/>
  <c r="Q944" i="45" s="1"/>
  <c r="P11" i="45"/>
  <c r="Q11" i="45" s="1"/>
  <c r="P1025" i="45"/>
  <c r="Q1025" i="45" s="1"/>
  <c r="P953" i="45"/>
  <c r="Q953" i="45" s="1"/>
  <c r="P742" i="45"/>
  <c r="Q742" i="45" s="1"/>
  <c r="P94" i="45"/>
  <c r="Q94" i="45" s="1"/>
  <c r="P1000" i="45"/>
  <c r="Q1000" i="45" s="1"/>
  <c r="P80" i="45"/>
  <c r="Q80" i="45" s="1"/>
  <c r="P648" i="45"/>
  <c r="Q648" i="45" s="1"/>
  <c r="P68" i="45"/>
  <c r="Q68" i="45" s="1"/>
  <c r="P611" i="45"/>
  <c r="Q611" i="45" s="1"/>
  <c r="P626" i="45"/>
  <c r="Q626" i="45" s="1"/>
  <c r="P48" i="45"/>
  <c r="Q48" i="45" s="1"/>
  <c r="P697" i="45"/>
  <c r="Q697" i="45" s="1"/>
  <c r="P10" i="45"/>
  <c r="Q10" i="45" s="1"/>
  <c r="P36" i="45"/>
  <c r="Q36" i="45" s="1"/>
  <c r="P727" i="45"/>
  <c r="Q727" i="45" s="1"/>
  <c r="P881" i="45"/>
  <c r="Q881" i="45" s="1"/>
  <c r="P714" i="45"/>
  <c r="Q714" i="45" s="1"/>
  <c r="P612" i="45"/>
  <c r="Q612" i="45" s="1"/>
  <c r="P673" i="45"/>
  <c r="Q673" i="45" s="1"/>
  <c r="P1029" i="45"/>
  <c r="Q1029" i="45" s="1"/>
  <c r="P540" i="45"/>
  <c r="Q540" i="45" s="1"/>
  <c r="P516" i="45"/>
  <c r="Q516" i="45" s="1"/>
  <c r="P495" i="45"/>
  <c r="Q495" i="45" s="1"/>
  <c r="P485" i="45"/>
  <c r="Q485" i="45" s="1"/>
  <c r="P768" i="45"/>
  <c r="Q768" i="45" s="1"/>
  <c r="P454" i="45"/>
  <c r="Q454" i="45" s="1"/>
  <c r="P450" i="45"/>
  <c r="Q450" i="45" s="1"/>
  <c r="P436" i="45"/>
  <c r="Q436" i="45" s="1"/>
  <c r="P987" i="45"/>
  <c r="Q987" i="45" s="1"/>
  <c r="P709" i="45"/>
  <c r="Q709" i="45" s="1"/>
  <c r="P951" i="45"/>
  <c r="Q951" i="45" s="1"/>
  <c r="P991" i="45"/>
  <c r="Q991" i="45" s="1"/>
  <c r="P964" i="45"/>
  <c r="Q964" i="45" s="1"/>
  <c r="P369" i="45"/>
  <c r="Q369" i="45" s="1"/>
  <c r="P779" i="45"/>
  <c r="Q779" i="45" s="1"/>
  <c r="P749" i="45"/>
  <c r="Q749" i="45" s="1"/>
  <c r="P907" i="45"/>
  <c r="Q907" i="45" s="1"/>
  <c r="P292" i="45"/>
  <c r="Q292" i="45" s="1"/>
  <c r="P255" i="45"/>
  <c r="Q255" i="45" s="1"/>
  <c r="P240" i="45"/>
  <c r="Q240" i="45" s="1"/>
  <c r="P224" i="45"/>
  <c r="Q224" i="45" s="1"/>
  <c r="P691" i="45"/>
  <c r="Q691" i="45" s="1"/>
  <c r="P181" i="45"/>
  <c r="Q181" i="45" s="1"/>
  <c r="P130" i="45"/>
  <c r="Q130" i="45" s="1"/>
  <c r="P104" i="45"/>
  <c r="Q104" i="45" s="1"/>
  <c r="P101" i="45"/>
  <c r="Q101" i="45" s="1"/>
  <c r="P93" i="45"/>
  <c r="Q93" i="45" s="1"/>
  <c r="P79" i="45"/>
  <c r="Q79" i="45" s="1"/>
  <c r="P1053" i="45"/>
  <c r="Q1053" i="45" s="1"/>
  <c r="P52" i="45"/>
  <c r="Q52" i="45" s="1"/>
  <c r="P1064" i="45"/>
  <c r="Q1064" i="45" s="1"/>
  <c r="T622" i="45"/>
  <c r="S782" i="45"/>
  <c r="S817" i="45"/>
  <c r="S7" i="45"/>
  <c r="S565" i="45"/>
  <c r="S475" i="45"/>
  <c r="S686" i="45"/>
  <c r="S787" i="45"/>
  <c r="S844" i="45"/>
  <c r="S587" i="45"/>
  <c r="S281" i="45"/>
  <c r="S275" i="45"/>
  <c r="S265" i="45"/>
  <c r="S864" i="45"/>
  <c r="S831" i="45"/>
  <c r="S244" i="45"/>
  <c r="S832" i="45"/>
  <c r="S228" i="45"/>
  <c r="S615" i="45"/>
  <c r="S223" i="45"/>
  <c r="S214" i="45"/>
  <c r="S588" i="45"/>
  <c r="S195" i="45"/>
  <c r="S191" i="45"/>
  <c r="S927" i="45"/>
  <c r="S175" i="45"/>
  <c r="S167" i="45"/>
  <c r="S159" i="45"/>
  <c r="S151" i="45"/>
  <c r="S666" i="45"/>
  <c r="S786" i="45"/>
  <c r="S713" i="45"/>
  <c r="S698" i="45"/>
  <c r="S116" i="45"/>
  <c r="S720" i="45"/>
  <c r="S789" i="45"/>
  <c r="S1027" i="45"/>
  <c r="S91" i="45"/>
  <c r="S975" i="45"/>
  <c r="T427" i="45"/>
  <c r="T821" i="45"/>
  <c r="V821" i="45" s="1"/>
  <c r="T1006" i="45"/>
  <c r="V1006" i="45" s="1"/>
  <c r="T49" i="45"/>
  <c r="Q1045" i="45"/>
  <c r="S1045" i="45"/>
  <c r="Q962" i="45"/>
  <c r="S962" i="45"/>
  <c r="Q555" i="45"/>
  <c r="S555" i="45"/>
  <c r="Q538" i="45"/>
  <c r="S538" i="45"/>
  <c r="Q528" i="45"/>
  <c r="S528" i="45"/>
  <c r="Q509" i="45"/>
  <c r="S509" i="45"/>
  <c r="Q490" i="45"/>
  <c r="S490" i="45"/>
  <c r="Q473" i="45"/>
  <c r="S473" i="45"/>
  <c r="Q458" i="45"/>
  <c r="S458" i="45"/>
  <c r="Q597" i="45"/>
  <c r="S597" i="45"/>
  <c r="Q848" i="45"/>
  <c r="S848" i="45"/>
  <c r="Q432" i="45"/>
  <c r="S432" i="45"/>
  <c r="Q422" i="45"/>
  <c r="S422" i="45"/>
  <c r="Q411" i="45"/>
  <c r="S411" i="45"/>
  <c r="Q776" i="45"/>
  <c r="S776" i="45"/>
  <c r="Q396" i="45"/>
  <c r="S396" i="45"/>
  <c r="Q843" i="45"/>
  <c r="S843" i="45"/>
  <c r="Q598" i="45"/>
  <c r="S598" i="45"/>
  <c r="Q746" i="45"/>
  <c r="S746" i="45"/>
  <c r="Q1023" i="45"/>
  <c r="S1023" i="45"/>
  <c r="Q520" i="45"/>
  <c r="S520" i="45"/>
  <c r="Q710" i="45"/>
  <c r="S710" i="45"/>
  <c r="Q480" i="45"/>
  <c r="S480" i="45"/>
  <c r="Q479" i="45"/>
  <c r="S479" i="45"/>
  <c r="Q743" i="45"/>
  <c r="S743" i="45"/>
  <c r="S669" i="45"/>
  <c r="Q844" i="45"/>
  <c r="S898" i="45"/>
  <c r="S798" i="45"/>
  <c r="S581" i="45"/>
  <c r="S374" i="45"/>
  <c r="S770" i="45"/>
  <c r="S1018" i="45"/>
  <c r="S680" i="45"/>
  <c r="S748" i="45"/>
  <c r="S351" i="45"/>
  <c r="S858" i="45"/>
  <c r="S672" i="45"/>
  <c r="S759" i="45"/>
  <c r="S335" i="45"/>
  <c r="S893" i="45"/>
  <c r="S849" i="45"/>
  <c r="S616" i="45"/>
  <c r="S315" i="45"/>
  <c r="S967" i="45"/>
  <c r="S795" i="45"/>
  <c r="K23" i="46"/>
  <c r="L23" i="46" s="1"/>
  <c r="I67" i="46"/>
  <c r="J67" i="46" s="1"/>
  <c r="K36" i="46"/>
  <c r="L36" i="46" s="1"/>
  <c r="K125" i="46"/>
  <c r="L125" i="46" s="1"/>
  <c r="I125" i="46"/>
  <c r="J125" i="46" s="1"/>
  <c r="H125" i="46"/>
  <c r="K126" i="46"/>
  <c r="L126" i="46" s="1"/>
  <c r="I126" i="46"/>
  <c r="J126" i="46" s="1"/>
  <c r="H126" i="46"/>
  <c r="K137" i="46"/>
  <c r="L137" i="46" s="1"/>
  <c r="I137" i="46"/>
  <c r="J137" i="46" s="1"/>
  <c r="H137" i="46"/>
  <c r="K138" i="46"/>
  <c r="L138" i="46" s="1"/>
  <c r="H138" i="46"/>
  <c r="I138" i="46"/>
  <c r="J138" i="46" s="1"/>
  <c r="K115" i="46"/>
  <c r="L115" i="46" s="1"/>
  <c r="I115" i="46"/>
  <c r="J115" i="46" s="1"/>
  <c r="H115" i="46"/>
  <c r="K17" i="46"/>
  <c r="L17" i="46" s="1"/>
  <c r="I17" i="46"/>
  <c r="J17" i="46" s="1"/>
  <c r="H17" i="46"/>
  <c r="K8" i="46"/>
  <c r="L8" i="46" s="1"/>
  <c r="H8" i="46"/>
  <c r="I8" i="46"/>
  <c r="J8" i="46" s="1"/>
  <c r="K37" i="46"/>
  <c r="L37" i="46" s="1"/>
  <c r="I37" i="46"/>
  <c r="J37" i="46" s="1"/>
  <c r="H37" i="46"/>
  <c r="K49" i="46"/>
  <c r="L49" i="46" s="1"/>
  <c r="H49" i="46"/>
  <c r="I49" i="46"/>
  <c r="J49" i="46" s="1"/>
  <c r="K61" i="46"/>
  <c r="L61" i="46" s="1"/>
  <c r="I61" i="46"/>
  <c r="J61" i="46" s="1"/>
  <c r="K25" i="46"/>
  <c r="L25" i="46" s="1"/>
  <c r="I25" i="46"/>
  <c r="J25" i="46" s="1"/>
  <c r="K60" i="46"/>
  <c r="L60" i="46" s="1"/>
  <c r="I60" i="46"/>
  <c r="J60" i="46" s="1"/>
  <c r="H60" i="46"/>
  <c r="K7" i="46"/>
  <c r="L7" i="46" s="1"/>
  <c r="I7" i="46"/>
  <c r="J7" i="46" s="1"/>
  <c r="H7" i="46"/>
  <c r="K102" i="46"/>
  <c r="L102" i="46" s="1"/>
  <c r="H102" i="46"/>
  <c r="I102" i="46"/>
  <c r="J102" i="46" s="1"/>
  <c r="K18" i="46"/>
  <c r="L18" i="46" s="1"/>
  <c r="I18" i="46"/>
  <c r="J18" i="46" s="1"/>
  <c r="H18" i="46"/>
  <c r="K48" i="46"/>
  <c r="L48" i="46" s="1"/>
  <c r="I48" i="46"/>
  <c r="J48" i="46" s="1"/>
  <c r="H48" i="46"/>
  <c r="K132" i="46"/>
  <c r="L132" i="46" s="1"/>
  <c r="I132" i="46"/>
  <c r="J132" i="46" s="1"/>
  <c r="H132" i="46"/>
  <c r="H30" i="46"/>
  <c r="I30" i="46"/>
  <c r="J30" i="46" s="1"/>
  <c r="I144" i="46"/>
  <c r="J144" i="46" s="1"/>
  <c r="H43" i="46"/>
  <c r="K70" i="46"/>
  <c r="L70" i="46" s="1"/>
  <c r="H144" i="46"/>
  <c r="I43" i="46"/>
  <c r="J43" i="46" s="1"/>
  <c r="I23" i="46"/>
  <c r="J23" i="46" s="1"/>
  <c r="H29" i="46"/>
  <c r="I29" i="46"/>
  <c r="J29" i="46" s="1"/>
  <c r="I24" i="46"/>
  <c r="J24" i="46" s="1"/>
  <c r="H36" i="46"/>
  <c r="K94" i="46"/>
  <c r="L94" i="46" s="1"/>
  <c r="K24" i="46"/>
  <c r="L24" i="46" s="1"/>
  <c r="I69" i="46"/>
  <c r="J69" i="46" s="1"/>
  <c r="H69" i="46"/>
  <c r="K69" i="46"/>
  <c r="L69" i="46" s="1"/>
  <c r="K128" i="46"/>
  <c r="L128" i="46" s="1"/>
  <c r="I128" i="46"/>
  <c r="J128" i="46" s="1"/>
  <c r="H128" i="46"/>
  <c r="I21" i="46"/>
  <c r="J21" i="46" s="1"/>
  <c r="H21" i="46"/>
  <c r="K21" i="46"/>
  <c r="L21" i="46" s="1"/>
  <c r="I81" i="46"/>
  <c r="J81" i="46" s="1"/>
  <c r="H81" i="46"/>
  <c r="K81" i="46"/>
  <c r="L81" i="46" s="1"/>
  <c r="K122" i="46"/>
  <c r="L122" i="46" s="1"/>
  <c r="I122" i="46"/>
  <c r="J122" i="46" s="1"/>
  <c r="H122" i="46"/>
  <c r="H52" i="46"/>
  <c r="I52" i="46"/>
  <c r="J52" i="46" s="1"/>
  <c r="K52" i="46"/>
  <c r="L52" i="46" s="1"/>
  <c r="K14" i="46"/>
  <c r="L14" i="46" s="1"/>
  <c r="I14" i="46"/>
  <c r="J14" i="46" s="1"/>
  <c r="H14" i="46"/>
  <c r="H28" i="46"/>
  <c r="I28" i="46"/>
  <c r="J28" i="46" s="1"/>
  <c r="K28" i="46"/>
  <c r="L28" i="46" s="1"/>
  <c r="H40" i="46"/>
  <c r="I40" i="46"/>
  <c r="J40" i="46" s="1"/>
  <c r="K40" i="46"/>
  <c r="L40" i="46" s="1"/>
  <c r="K84" i="46"/>
  <c r="L84" i="46" s="1"/>
  <c r="I84" i="46"/>
  <c r="J84" i="46" s="1"/>
  <c r="H84" i="46"/>
  <c r="I105" i="46"/>
  <c r="J105" i="46" s="1"/>
  <c r="H105" i="46"/>
  <c r="K105" i="46"/>
  <c r="L105" i="46" s="1"/>
  <c r="I68" i="46"/>
  <c r="J68" i="46" s="1"/>
  <c r="H68" i="46"/>
  <c r="K68" i="46"/>
  <c r="L68" i="46" s="1"/>
  <c r="K116" i="46"/>
  <c r="L116" i="46" s="1"/>
  <c r="H116" i="46"/>
  <c r="I116" i="46"/>
  <c r="J116" i="46" s="1"/>
  <c r="I15" i="46"/>
  <c r="J15" i="46" s="1"/>
  <c r="H15" i="46"/>
  <c r="K15" i="46"/>
  <c r="L15" i="46" s="1"/>
  <c r="H22" i="46"/>
  <c r="K22" i="46"/>
  <c r="L22" i="46" s="1"/>
  <c r="H47" i="46"/>
  <c r="K47" i="46"/>
  <c r="L47" i="46" s="1"/>
  <c r="I79" i="46"/>
  <c r="J79" i="46" s="1"/>
  <c r="H11" i="46"/>
  <c r="I11" i="46"/>
  <c r="J11" i="46" s="1"/>
  <c r="K11" i="46"/>
  <c r="L11" i="46" s="1"/>
  <c r="I22" i="46"/>
  <c r="J22" i="46" s="1"/>
  <c r="H34" i="46"/>
  <c r="I34" i="46"/>
  <c r="J34" i="46" s="1"/>
  <c r="K34" i="46"/>
  <c r="L34" i="46" s="1"/>
  <c r="H42" i="46"/>
  <c r="I47" i="46"/>
  <c r="J47" i="46" s="1"/>
  <c r="K50" i="46"/>
  <c r="L50" i="46" s="1"/>
  <c r="H50" i="46"/>
  <c r="K74" i="46"/>
  <c r="L74" i="46" s="1"/>
  <c r="I74" i="46"/>
  <c r="J74" i="46" s="1"/>
  <c r="H74" i="46"/>
  <c r="I80" i="46"/>
  <c r="J80" i="46" s="1"/>
  <c r="H80" i="46"/>
  <c r="K80" i="46"/>
  <c r="L80" i="46" s="1"/>
  <c r="H91" i="46"/>
  <c r="K97" i="46"/>
  <c r="L97" i="46" s="1"/>
  <c r="I97" i="46"/>
  <c r="J97" i="46" s="1"/>
  <c r="H112" i="46"/>
  <c r="I112" i="46"/>
  <c r="J112" i="46" s="1"/>
  <c r="I117" i="46"/>
  <c r="J117" i="46" s="1"/>
  <c r="H117" i="46"/>
  <c r="K117" i="46"/>
  <c r="L117" i="46" s="1"/>
  <c r="H16" i="46"/>
  <c r="I16" i="46"/>
  <c r="J16" i="46" s="1"/>
  <c r="H35" i="46"/>
  <c r="K35" i="46"/>
  <c r="L35" i="46" s="1"/>
  <c r="I42" i="46"/>
  <c r="J42" i="46" s="1"/>
  <c r="I50" i="46"/>
  <c r="J50" i="46" s="1"/>
  <c r="H55" i="46"/>
  <c r="I65" i="46"/>
  <c r="J65" i="46" s="1"/>
  <c r="K65" i="46"/>
  <c r="L65" i="46" s="1"/>
  <c r="I91" i="46"/>
  <c r="J91" i="46" s="1"/>
  <c r="H97" i="46"/>
  <c r="K26" i="46"/>
  <c r="L26" i="46" s="1"/>
  <c r="I26" i="46"/>
  <c r="J26" i="46" s="1"/>
  <c r="H26" i="46"/>
  <c r="I35" i="46"/>
  <c r="J35" i="46" s="1"/>
  <c r="K38" i="46"/>
  <c r="L38" i="46" s="1"/>
  <c r="H38" i="46"/>
  <c r="I55" i="46"/>
  <c r="J55" i="46" s="1"/>
  <c r="H65" i="46"/>
  <c r="I75" i="46"/>
  <c r="J75" i="46" s="1"/>
  <c r="H75" i="46"/>
  <c r="K75" i="46"/>
  <c r="L75" i="46" s="1"/>
  <c r="K86" i="46"/>
  <c r="L86" i="46" s="1"/>
  <c r="I86" i="46"/>
  <c r="J86" i="46" s="1"/>
  <c r="H86" i="46"/>
  <c r="I92" i="46"/>
  <c r="J92" i="46" s="1"/>
  <c r="H92" i="46"/>
  <c r="K92" i="46"/>
  <c r="L92" i="46" s="1"/>
  <c r="K112" i="46"/>
  <c r="L112" i="46" s="1"/>
  <c r="I41" i="46"/>
  <c r="J41" i="46" s="1"/>
  <c r="K41" i="46"/>
  <c r="L41" i="46" s="1"/>
  <c r="I63" i="46"/>
  <c r="J63" i="46" s="1"/>
  <c r="H63" i="46"/>
  <c r="K63" i="46"/>
  <c r="L63" i="46" s="1"/>
  <c r="K110" i="46"/>
  <c r="L110" i="46" s="1"/>
  <c r="I110" i="46"/>
  <c r="J110" i="46" s="1"/>
  <c r="H54" i="46"/>
  <c r="H110" i="46"/>
  <c r="I12" i="46"/>
  <c r="J12" i="46" s="1"/>
  <c r="H12" i="46"/>
  <c r="I93" i="46"/>
  <c r="J93" i="46" s="1"/>
  <c r="H93" i="46"/>
  <c r="K93" i="46"/>
  <c r="L93" i="46" s="1"/>
  <c r="K19" i="46"/>
  <c r="L19" i="46" s="1"/>
  <c r="H19" i="46"/>
  <c r="H41" i="46"/>
  <c r="I51" i="46"/>
  <c r="J51" i="46" s="1"/>
  <c r="H51" i="46"/>
  <c r="K51" i="46"/>
  <c r="L51" i="46" s="1"/>
  <c r="I98" i="46"/>
  <c r="J98" i="46" s="1"/>
  <c r="K98" i="46"/>
  <c r="L98" i="46" s="1"/>
  <c r="H98" i="46"/>
  <c r="K119" i="46"/>
  <c r="L119" i="46" s="1"/>
  <c r="H119" i="46"/>
  <c r="K140" i="46"/>
  <c r="L140" i="46" s="1"/>
  <c r="I140" i="46"/>
  <c r="J140" i="46" s="1"/>
  <c r="H140" i="46"/>
  <c r="I87" i="46"/>
  <c r="J87" i="46" s="1"/>
  <c r="H87" i="46"/>
  <c r="K87" i="46"/>
  <c r="L87" i="46" s="1"/>
  <c r="I119" i="46"/>
  <c r="J119" i="46" s="1"/>
  <c r="H103" i="46"/>
  <c r="H6" i="46"/>
  <c r="K6" i="46"/>
  <c r="L6" i="46" s="1"/>
  <c r="I31" i="46"/>
  <c r="J31" i="46" s="1"/>
  <c r="I57" i="46"/>
  <c r="J57" i="46" s="1"/>
  <c r="K57" i="46"/>
  <c r="L57" i="46" s="1"/>
  <c r="H57" i="46"/>
  <c r="H77" i="46"/>
  <c r="I77" i="46"/>
  <c r="J77" i="46" s="1"/>
  <c r="I103" i="46"/>
  <c r="J103" i="46" s="1"/>
  <c r="I6" i="46"/>
  <c r="J6" i="46" s="1"/>
  <c r="I20" i="46"/>
  <c r="J20" i="46" s="1"/>
  <c r="K20" i="46"/>
  <c r="L20" i="46" s="1"/>
  <c r="H20" i="46"/>
  <c r="I32" i="46"/>
  <c r="J32" i="46" s="1"/>
  <c r="H32" i="46"/>
  <c r="K53" i="46"/>
  <c r="L53" i="46" s="1"/>
  <c r="I53" i="46"/>
  <c r="J53" i="46" s="1"/>
  <c r="K72" i="46"/>
  <c r="L72" i="46" s="1"/>
  <c r="I72" i="46"/>
  <c r="J72" i="46" s="1"/>
  <c r="H72" i="46"/>
  <c r="K77" i="46"/>
  <c r="L77" i="46" s="1"/>
  <c r="H104" i="46"/>
  <c r="I104" i="46"/>
  <c r="J104" i="46" s="1"/>
  <c r="K104" i="46"/>
  <c r="L104" i="46" s="1"/>
  <c r="K109" i="46"/>
  <c r="L109" i="46" s="1"/>
  <c r="I109" i="46"/>
  <c r="J109" i="46" s="1"/>
  <c r="I129" i="46"/>
  <c r="J129" i="46" s="1"/>
  <c r="H129" i="46"/>
  <c r="K129" i="46"/>
  <c r="L129" i="46" s="1"/>
  <c r="H59" i="46"/>
  <c r="K59" i="46"/>
  <c r="L59" i="46" s="1"/>
  <c r="I10" i="46"/>
  <c r="J10" i="46" s="1"/>
  <c r="H10" i="46"/>
  <c r="K10" i="46"/>
  <c r="L10" i="46" s="1"/>
  <c r="H46" i="46"/>
  <c r="K46" i="46"/>
  <c r="L46" i="46" s="1"/>
  <c r="I46" i="46"/>
  <c r="J46" i="46" s="1"/>
  <c r="I56" i="46"/>
  <c r="J56" i="46" s="1"/>
  <c r="H56" i="46"/>
  <c r="K12" i="46"/>
  <c r="L12" i="46" s="1"/>
  <c r="I27" i="46"/>
  <c r="J27" i="46" s="1"/>
  <c r="H27" i="46"/>
  <c r="K27" i="46"/>
  <c r="L27" i="46" s="1"/>
  <c r="I19" i="46"/>
  <c r="J19" i="46" s="1"/>
  <c r="H31" i="46"/>
  <c r="I39" i="46"/>
  <c r="J39" i="46" s="1"/>
  <c r="H39" i="46"/>
  <c r="K39" i="46"/>
  <c r="L39" i="46" s="1"/>
  <c r="I44" i="46"/>
  <c r="J44" i="46" s="1"/>
  <c r="H44" i="46"/>
  <c r="I141" i="46"/>
  <c r="J141" i="46" s="1"/>
  <c r="H141" i="46"/>
  <c r="K141" i="46"/>
  <c r="L141" i="46" s="1"/>
  <c r="K9" i="46"/>
  <c r="L9" i="46" s="1"/>
  <c r="H9" i="46"/>
  <c r="I9" i="46"/>
  <c r="J9" i="46" s="1"/>
  <c r="K32" i="46"/>
  <c r="L32" i="46" s="1"/>
  <c r="I45" i="46"/>
  <c r="J45" i="46" s="1"/>
  <c r="K45" i="46"/>
  <c r="L45" i="46" s="1"/>
  <c r="H45" i="46"/>
  <c r="H53" i="46"/>
  <c r="H58" i="46"/>
  <c r="I58" i="46"/>
  <c r="J58" i="46" s="1"/>
  <c r="K58" i="46"/>
  <c r="L58" i="46" s="1"/>
  <c r="K62" i="46"/>
  <c r="L62" i="46" s="1"/>
  <c r="I62" i="46"/>
  <c r="J62" i="46" s="1"/>
  <c r="H62" i="46"/>
  <c r="H67" i="46"/>
  <c r="K78" i="46"/>
  <c r="L78" i="46" s="1"/>
  <c r="I78" i="46"/>
  <c r="J78" i="46" s="1"/>
  <c r="H78" i="46"/>
  <c r="H89" i="46"/>
  <c r="I89" i="46"/>
  <c r="J89" i="46" s="1"/>
  <c r="H109" i="46"/>
  <c r="K134" i="46"/>
  <c r="L134" i="46" s="1"/>
  <c r="I134" i="46"/>
  <c r="J134" i="46" s="1"/>
  <c r="K73" i="46"/>
  <c r="L73" i="46" s="1"/>
  <c r="I73" i="46"/>
  <c r="J73" i="46" s="1"/>
  <c r="I101" i="46"/>
  <c r="J101" i="46" s="1"/>
  <c r="H101" i="46"/>
  <c r="I33" i="46"/>
  <c r="J33" i="46" s="1"/>
  <c r="K33" i="46"/>
  <c r="L33" i="46" s="1"/>
  <c r="H33" i="46"/>
  <c r="I59" i="46"/>
  <c r="J59" i="46" s="1"/>
  <c r="H79" i="46"/>
  <c r="K101" i="46"/>
  <c r="L101" i="46" s="1"/>
  <c r="I54" i="46"/>
  <c r="J54" i="46" s="1"/>
  <c r="K85" i="46"/>
  <c r="L85" i="46" s="1"/>
  <c r="I85" i="46"/>
  <c r="J85" i="46" s="1"/>
  <c r="K71" i="46"/>
  <c r="L71" i="46" s="1"/>
  <c r="H71" i="46"/>
  <c r="K107" i="46"/>
  <c r="L107" i="46" s="1"/>
  <c r="H107" i="46"/>
  <c r="I113" i="46"/>
  <c r="J113" i="46" s="1"/>
  <c r="I123" i="46"/>
  <c r="J123" i="46" s="1"/>
  <c r="H123" i="46"/>
  <c r="I107" i="46"/>
  <c r="J107" i="46" s="1"/>
  <c r="K123" i="46"/>
  <c r="L123" i="46" s="1"/>
  <c r="H136" i="46"/>
  <c r="I136" i="46"/>
  <c r="J136" i="46" s="1"/>
  <c r="I142" i="46"/>
  <c r="J142" i="46" s="1"/>
  <c r="H142" i="46"/>
  <c r="H124" i="46"/>
  <c r="I124" i="46"/>
  <c r="J124" i="46" s="1"/>
  <c r="H90" i="46"/>
  <c r="I99" i="46"/>
  <c r="J99" i="46" s="1"/>
  <c r="H99" i="46"/>
  <c r="I130" i="46"/>
  <c r="J130" i="46" s="1"/>
  <c r="H130" i="46"/>
  <c r="I111" i="46"/>
  <c r="J111" i="46" s="1"/>
  <c r="H111" i="46"/>
  <c r="K133" i="46"/>
  <c r="L133" i="46" s="1"/>
  <c r="I133" i="46"/>
  <c r="J133" i="46" s="1"/>
  <c r="H13" i="46"/>
  <c r="K99" i="46"/>
  <c r="L99" i="46" s="1"/>
  <c r="I118" i="46"/>
  <c r="J118" i="46" s="1"/>
  <c r="H118" i="46"/>
  <c r="K124" i="46"/>
  <c r="L124" i="46" s="1"/>
  <c r="K130" i="46"/>
  <c r="L130" i="46" s="1"/>
  <c r="H133" i="46"/>
  <c r="K143" i="46"/>
  <c r="L143" i="46" s="1"/>
  <c r="H143" i="46"/>
  <c r="I13" i="46"/>
  <c r="J13" i="46" s="1"/>
  <c r="H64" i="46"/>
  <c r="I64" i="46"/>
  <c r="J64" i="46" s="1"/>
  <c r="I108" i="46"/>
  <c r="J108" i="46" s="1"/>
  <c r="K111" i="46"/>
  <c r="L111" i="46" s="1"/>
  <c r="K121" i="46"/>
  <c r="L121" i="46" s="1"/>
  <c r="I121" i="46"/>
  <c r="J121" i="46" s="1"/>
  <c r="H127" i="46"/>
  <c r="I143" i="46"/>
  <c r="J143" i="46" s="1"/>
  <c r="H96" i="46"/>
  <c r="H114" i="46"/>
  <c r="H139" i="46"/>
  <c r="I90" i="46"/>
  <c r="J90" i="46" s="1"/>
  <c r="I96" i="46"/>
  <c r="J96" i="46" s="1"/>
  <c r="H108" i="46"/>
  <c r="I114" i="46"/>
  <c r="J114" i="46" s="1"/>
  <c r="I139" i="46"/>
  <c r="J139" i="46" s="1"/>
  <c r="H25" i="46"/>
  <c r="H61" i="46"/>
  <c r="I70" i="46"/>
  <c r="J70" i="46" s="1"/>
  <c r="H76" i="46"/>
  <c r="I76" i="46"/>
  <c r="J76" i="46" s="1"/>
  <c r="I82" i="46"/>
  <c r="J82" i="46" s="1"/>
  <c r="H88" i="46"/>
  <c r="I88" i="46"/>
  <c r="J88" i="46" s="1"/>
  <c r="I94" i="46"/>
  <c r="J94" i="46" s="1"/>
  <c r="H100" i="46"/>
  <c r="I100" i="46"/>
  <c r="J100" i="46" s="1"/>
  <c r="K118" i="46"/>
  <c r="L118" i="46" s="1"/>
  <c r="H121" i="46"/>
  <c r="I127" i="46"/>
  <c r="J127" i="46" s="1"/>
  <c r="K131" i="46"/>
  <c r="L131" i="46" s="1"/>
  <c r="H131" i="46"/>
  <c r="I135" i="46"/>
  <c r="J135" i="46" s="1"/>
  <c r="H135" i="46"/>
  <c r="K83" i="46"/>
  <c r="L83" i="46" s="1"/>
  <c r="H83" i="46"/>
  <c r="K95" i="46"/>
  <c r="L95" i="46" s="1"/>
  <c r="H95" i="46"/>
  <c r="I71" i="46"/>
  <c r="J71" i="46" s="1"/>
  <c r="F103" i="5"/>
  <c r="G103" i="5" s="1"/>
  <c r="I103" i="5"/>
  <c r="J103" i="5"/>
  <c r="F104" i="5"/>
  <c r="G104" i="5" s="1"/>
  <c r="I104" i="5"/>
  <c r="J104" i="5" s="1"/>
  <c r="F105" i="5"/>
  <c r="G105" i="5" s="1"/>
  <c r="I105" i="5"/>
  <c r="J105" i="5"/>
  <c r="F106" i="5"/>
  <c r="G106" i="5"/>
  <c r="K106" i="5" s="1"/>
  <c r="L106" i="5" s="1"/>
  <c r="I106" i="5"/>
  <c r="J106" i="5"/>
  <c r="F107" i="5"/>
  <c r="G107" i="5" s="1"/>
  <c r="I107" i="5"/>
  <c r="J107" i="5"/>
  <c r="F108" i="5"/>
  <c r="G108" i="5"/>
  <c r="H108" i="5" s="1"/>
  <c r="I108" i="5"/>
  <c r="J108" i="5"/>
  <c r="K108" i="5"/>
  <c r="L108" i="5" s="1"/>
  <c r="F109" i="5"/>
  <c r="G109" i="5"/>
  <c r="K109" i="5" s="1"/>
  <c r="L109" i="5" s="1"/>
  <c r="H109" i="5"/>
  <c r="I109" i="5"/>
  <c r="J109" i="5"/>
  <c r="F110" i="5"/>
  <c r="G110" i="5" s="1"/>
  <c r="H110" i="5" s="1"/>
  <c r="I110" i="5"/>
  <c r="J110" i="5"/>
  <c r="F111" i="5"/>
  <c r="G111" i="5" s="1"/>
  <c r="I111" i="5"/>
  <c r="J111" i="5"/>
  <c r="F112" i="5"/>
  <c r="G112" i="5" s="1"/>
  <c r="H112" i="5" s="1"/>
  <c r="I112" i="5"/>
  <c r="J112" i="5"/>
  <c r="F113" i="5"/>
  <c r="G113" i="5" s="1"/>
  <c r="I113" i="5"/>
  <c r="J113" i="5"/>
  <c r="F114" i="5"/>
  <c r="G114" i="5" s="1"/>
  <c r="I114" i="5"/>
  <c r="J114" i="5"/>
  <c r="F115" i="5"/>
  <c r="G115" i="5" s="1"/>
  <c r="I115" i="5"/>
  <c r="J115" i="5"/>
  <c r="F116" i="5"/>
  <c r="G116" i="5" s="1"/>
  <c r="I116" i="5"/>
  <c r="J116" i="5"/>
  <c r="F117" i="5"/>
  <c r="G117" i="5" s="1"/>
  <c r="I117" i="5"/>
  <c r="J117" i="5"/>
  <c r="F118" i="5"/>
  <c r="G118" i="5"/>
  <c r="K118" i="5" s="1"/>
  <c r="L118" i="5" s="1"/>
  <c r="I118" i="5"/>
  <c r="J118" i="5" s="1"/>
  <c r="F119" i="5"/>
  <c r="G119" i="5" s="1"/>
  <c r="I119" i="5"/>
  <c r="J119" i="5"/>
  <c r="F120" i="5"/>
  <c r="G120" i="5"/>
  <c r="H120" i="5" s="1"/>
  <c r="I120" i="5"/>
  <c r="J120" i="5"/>
  <c r="K120" i="5"/>
  <c r="L120" i="5" s="1"/>
  <c r="F121" i="5"/>
  <c r="G121" i="5"/>
  <c r="K121" i="5" s="1"/>
  <c r="L121" i="5" s="1"/>
  <c r="H121" i="5"/>
  <c r="I121" i="5"/>
  <c r="J121" i="5"/>
  <c r="F122" i="5"/>
  <c r="G122" i="5" s="1"/>
  <c r="H122" i="5" s="1"/>
  <c r="I122" i="5"/>
  <c r="J122" i="5"/>
  <c r="F123" i="5"/>
  <c r="G123" i="5" s="1"/>
  <c r="I123" i="5"/>
  <c r="J123" i="5"/>
  <c r="F124" i="5"/>
  <c r="G124" i="5" s="1"/>
  <c r="H124" i="5" s="1"/>
  <c r="I124" i="5"/>
  <c r="J124" i="5"/>
  <c r="F125" i="5"/>
  <c r="G125" i="5" s="1"/>
  <c r="I125" i="5"/>
  <c r="J125" i="5"/>
  <c r="F126" i="5"/>
  <c r="G126" i="5" s="1"/>
  <c r="I126" i="5"/>
  <c r="J126" i="5"/>
  <c r="F127" i="5"/>
  <c r="G127" i="5" s="1"/>
  <c r="I127" i="5"/>
  <c r="J127" i="5"/>
  <c r="F128" i="5"/>
  <c r="G128" i="5" s="1"/>
  <c r="I128" i="5"/>
  <c r="J128" i="5"/>
  <c r="F129" i="5"/>
  <c r="G129" i="5" s="1"/>
  <c r="I129" i="5"/>
  <c r="J129" i="5"/>
  <c r="F130" i="5"/>
  <c r="G130" i="5"/>
  <c r="K130" i="5" s="1"/>
  <c r="L130" i="5" s="1"/>
  <c r="I130" i="5"/>
  <c r="J130" i="5"/>
  <c r="F131" i="5"/>
  <c r="G131" i="5" s="1"/>
  <c r="I131" i="5"/>
  <c r="J131" i="5"/>
  <c r="F132" i="5"/>
  <c r="G132" i="5"/>
  <c r="H132" i="5" s="1"/>
  <c r="I132" i="5"/>
  <c r="J132" i="5" s="1"/>
  <c r="K132" i="5"/>
  <c r="L132" i="5" s="1"/>
  <c r="F133" i="5"/>
  <c r="G133" i="5"/>
  <c r="K133" i="5" s="1"/>
  <c r="L133" i="5" s="1"/>
  <c r="H133" i="5"/>
  <c r="I133" i="5"/>
  <c r="J133" i="5" s="1"/>
  <c r="F134" i="5"/>
  <c r="G134" i="5" s="1"/>
  <c r="H134" i="5" s="1"/>
  <c r="I134" i="5"/>
  <c r="J134" i="5"/>
  <c r="F135" i="5"/>
  <c r="G135" i="5" s="1"/>
  <c r="I135" i="5"/>
  <c r="J135" i="5" s="1"/>
  <c r="F136" i="5"/>
  <c r="G136" i="5" s="1"/>
  <c r="H136" i="5" s="1"/>
  <c r="I136" i="5"/>
  <c r="J136" i="5"/>
  <c r="F137" i="5"/>
  <c r="G137" i="5" s="1"/>
  <c r="I137" i="5"/>
  <c r="J137" i="5" s="1"/>
  <c r="F138" i="5"/>
  <c r="G138" i="5" s="1"/>
  <c r="I138" i="5"/>
  <c r="J138" i="5"/>
  <c r="F139" i="5"/>
  <c r="G139" i="5" s="1"/>
  <c r="I139" i="5"/>
  <c r="J139" i="5" s="1"/>
  <c r="F140" i="5"/>
  <c r="G140" i="5"/>
  <c r="H140" i="5" s="1"/>
  <c r="I140" i="5"/>
  <c r="J140" i="5"/>
  <c r="F141" i="5"/>
  <c r="G141" i="5" s="1"/>
  <c r="I141" i="5"/>
  <c r="J141" i="5"/>
  <c r="F142" i="5"/>
  <c r="G142" i="5"/>
  <c r="K142" i="5" s="1"/>
  <c r="L142" i="5" s="1"/>
  <c r="I142" i="5"/>
  <c r="J142" i="5"/>
  <c r="F143" i="5"/>
  <c r="G143" i="5" s="1"/>
  <c r="I143" i="5"/>
  <c r="J143" i="5"/>
  <c r="F144" i="5"/>
  <c r="G144" i="5"/>
  <c r="H144" i="5" s="1"/>
  <c r="I144" i="5"/>
  <c r="J144" i="5" s="1"/>
  <c r="K144" i="5"/>
  <c r="L144" i="5" s="1"/>
  <c r="T629" i="45" l="1"/>
  <c r="V629" i="45" s="1"/>
  <c r="T1040" i="45"/>
  <c r="V1040" i="45" s="1"/>
  <c r="T735" i="45"/>
  <c r="V735" i="45" s="1"/>
  <c r="T38" i="45"/>
  <c r="V38" i="45" s="1"/>
  <c r="T913" i="45"/>
  <c r="V913" i="45" s="1"/>
  <c r="T696" i="45"/>
  <c r="V696" i="45" s="1"/>
  <c r="T17" i="45"/>
  <c r="V17" i="45" s="1"/>
  <c r="T609" i="45"/>
  <c r="V609" i="45" s="1"/>
  <c r="T61" i="45"/>
  <c r="V61" i="45" s="1"/>
  <c r="T66" i="45"/>
  <c r="V66" i="45" s="1"/>
  <c r="T78" i="45"/>
  <c r="V78" i="45" s="1"/>
  <c r="T23" i="45"/>
  <c r="V23" i="45" s="1"/>
  <c r="T793" i="45"/>
  <c r="V793" i="45" s="1"/>
  <c r="T635" i="45"/>
  <c r="V635" i="45" s="1"/>
  <c r="T773" i="45"/>
  <c r="V773" i="45" s="1"/>
  <c r="T816" i="45"/>
  <c r="V816" i="45" s="1"/>
  <c r="T12" i="45"/>
  <c r="V12" i="45" s="1"/>
  <c r="T805" i="45"/>
  <c r="V805" i="45" s="1"/>
  <c r="T41" i="45"/>
  <c r="V41" i="45" s="1"/>
  <c r="T81" i="45"/>
  <c r="V81" i="45" s="1"/>
  <c r="T56" i="45"/>
  <c r="V56" i="45" s="1"/>
  <c r="T14" i="45"/>
  <c r="V14" i="45" s="1"/>
  <c r="T33" i="45"/>
  <c r="V33" i="45" s="1"/>
  <c r="T868" i="45"/>
  <c r="V868" i="45" s="1"/>
  <c r="T932" i="45"/>
  <c r="V932" i="45" s="1"/>
  <c r="T905" i="45"/>
  <c r="V905" i="45" s="1"/>
  <c r="T69" i="45"/>
  <c r="V69" i="45" s="1"/>
  <c r="T954" i="45"/>
  <c r="V954" i="45" s="1"/>
  <c r="T989" i="45"/>
  <c r="V989" i="45" s="1"/>
  <c r="T67" i="45"/>
  <c r="V67" i="45" s="1"/>
  <c r="T53" i="45"/>
  <c r="V53" i="45" s="1"/>
  <c r="T934" i="45"/>
  <c r="V934" i="45" s="1"/>
  <c r="V427" i="45"/>
  <c r="T425" i="45"/>
  <c r="V425" i="45" s="1"/>
  <c r="T45" i="45"/>
  <c r="V45" i="45" s="1"/>
  <c r="V622" i="45"/>
  <c r="V49" i="45"/>
  <c r="T798" i="45"/>
  <c r="U798" i="45"/>
  <c r="T159" i="45"/>
  <c r="U159" i="45"/>
  <c r="T901" i="45"/>
  <c r="U901" i="45"/>
  <c r="T592" i="45"/>
  <c r="U592" i="45"/>
  <c r="T730" i="45"/>
  <c r="U730" i="45"/>
  <c r="T428" i="45"/>
  <c r="U428" i="45"/>
  <c r="T701" i="45"/>
  <c r="U701" i="45"/>
  <c r="T383" i="45"/>
  <c r="U383" i="45"/>
  <c r="T361" i="45"/>
  <c r="U361" i="45"/>
  <c r="T459" i="45"/>
  <c r="U459" i="45"/>
  <c r="T596" i="45"/>
  <c r="U596" i="45"/>
  <c r="T473" i="45"/>
  <c r="U473" i="45"/>
  <c r="T175" i="45"/>
  <c r="U175" i="45"/>
  <c r="T817" i="45"/>
  <c r="U817" i="45"/>
  <c r="T743" i="45"/>
  <c r="U743" i="45"/>
  <c r="T422" i="45"/>
  <c r="U422" i="45"/>
  <c r="T1045" i="45"/>
  <c r="U1045" i="45"/>
  <c r="T191" i="45"/>
  <c r="U191" i="45"/>
  <c r="T351" i="45"/>
  <c r="U351" i="45"/>
  <c r="T720" i="45"/>
  <c r="U720" i="45"/>
  <c r="T195" i="45"/>
  <c r="U195" i="45"/>
  <c r="T281" i="45"/>
  <c r="U281" i="45"/>
  <c r="T748" i="45"/>
  <c r="U748" i="45"/>
  <c r="T479" i="45"/>
  <c r="U479" i="45"/>
  <c r="T598" i="45"/>
  <c r="U598" i="45"/>
  <c r="T432" i="45"/>
  <c r="U432" i="45"/>
  <c r="T509" i="45"/>
  <c r="U509" i="45"/>
  <c r="T655" i="45"/>
  <c r="V655" i="45" s="1"/>
  <c r="T116" i="45"/>
  <c r="U116" i="45"/>
  <c r="T588" i="45"/>
  <c r="U588" i="45"/>
  <c r="T587" i="45"/>
  <c r="U587" i="45"/>
  <c r="T1028" i="45"/>
  <c r="U1028" i="45"/>
  <c r="T145" i="45"/>
  <c r="U145" i="45"/>
  <c r="T405" i="45"/>
  <c r="U405" i="45"/>
  <c r="T19" i="45"/>
  <c r="U19" i="45"/>
  <c r="T300" i="45"/>
  <c r="U300" i="45"/>
  <c r="T75" i="45"/>
  <c r="U75" i="45"/>
  <c r="T102" i="45"/>
  <c r="U102" i="45"/>
  <c r="T718" i="45"/>
  <c r="U718" i="45"/>
  <c r="T123" i="45"/>
  <c r="U123" i="45"/>
  <c r="T144" i="45"/>
  <c r="U144" i="45"/>
  <c r="T888" i="45"/>
  <c r="U888" i="45"/>
  <c r="T34" i="45"/>
  <c r="U34" i="45"/>
  <c r="T857" i="45"/>
  <c r="U857" i="45"/>
  <c r="T208" i="45"/>
  <c r="U208" i="45"/>
  <c r="T722" i="45"/>
  <c r="U722" i="45"/>
  <c r="T426" i="45"/>
  <c r="U426" i="45"/>
  <c r="T1017" i="45"/>
  <c r="U1017" i="45"/>
  <c r="T318" i="45"/>
  <c r="U318" i="45"/>
  <c r="T440" i="45"/>
  <c r="U440" i="45"/>
  <c r="T1034" i="45"/>
  <c r="U1034" i="45"/>
  <c r="T410" i="45"/>
  <c r="U410" i="45"/>
  <c r="T530" i="45"/>
  <c r="U530" i="45"/>
  <c r="T264" i="45"/>
  <c r="U264" i="45"/>
  <c r="T173" i="45"/>
  <c r="U173" i="45"/>
  <c r="T147" i="45"/>
  <c r="U147" i="45"/>
  <c r="T935" i="45"/>
  <c r="U935" i="45"/>
  <c r="T505" i="45"/>
  <c r="U505" i="45"/>
  <c r="T72" i="45"/>
  <c r="U72" i="45"/>
  <c r="T418" i="45"/>
  <c r="U418" i="45"/>
  <c r="T948" i="45"/>
  <c r="U948" i="45"/>
  <c r="T976" i="45"/>
  <c r="U976" i="45"/>
  <c r="T736" i="45"/>
  <c r="U736" i="45"/>
  <c r="T930" i="45"/>
  <c r="U930" i="45"/>
  <c r="T796" i="45"/>
  <c r="U796" i="45"/>
  <c r="T179" i="45"/>
  <c r="U179" i="45"/>
  <c r="T272" i="45"/>
  <c r="U272" i="45"/>
  <c r="T354" i="45"/>
  <c r="U354" i="45"/>
  <c r="T419" i="45"/>
  <c r="U419" i="45"/>
  <c r="T918" i="45"/>
  <c r="U918" i="45"/>
  <c r="T781" i="45"/>
  <c r="U781" i="45"/>
  <c r="T1054" i="45"/>
  <c r="U1054" i="45"/>
  <c r="T515" i="45"/>
  <c r="U515" i="45"/>
  <c r="T825" i="45"/>
  <c r="U825" i="45"/>
  <c r="T662" i="45"/>
  <c r="U662" i="45"/>
  <c r="T926" i="45"/>
  <c r="U926" i="45"/>
  <c r="T872" i="45"/>
  <c r="U872" i="45"/>
  <c r="T319" i="45"/>
  <c r="U319" i="45"/>
  <c r="T407" i="45"/>
  <c r="U407" i="45"/>
  <c r="T572" i="45"/>
  <c r="U572" i="45"/>
  <c r="T369" i="45"/>
  <c r="U369" i="45"/>
  <c r="T125" i="45"/>
  <c r="U125" i="45"/>
  <c r="T285" i="45"/>
  <c r="U285" i="45"/>
  <c r="T604" i="45"/>
  <c r="U604" i="45"/>
  <c r="T298" i="45"/>
  <c r="U298" i="45"/>
  <c r="T969" i="45"/>
  <c r="U969" i="45"/>
  <c r="T851" i="45"/>
  <c r="U851" i="45"/>
  <c r="T908" i="45"/>
  <c r="U908" i="45"/>
  <c r="T381" i="45"/>
  <c r="U381" i="45"/>
  <c r="T491" i="45"/>
  <c r="U491" i="45"/>
  <c r="T203" i="45"/>
  <c r="U203" i="45"/>
  <c r="T115" i="45"/>
  <c r="U115" i="45"/>
  <c r="T279" i="45"/>
  <c r="U279" i="45"/>
  <c r="T595" i="45"/>
  <c r="U595" i="45"/>
  <c r="T431" i="45"/>
  <c r="U431" i="45"/>
  <c r="T4" i="45"/>
  <c r="U4" i="45"/>
  <c r="T955" i="45"/>
  <c r="U955" i="45"/>
  <c r="T235" i="45"/>
  <c r="U235" i="45"/>
  <c r="T910" i="45"/>
  <c r="U910" i="45"/>
  <c r="T162" i="45"/>
  <c r="U162" i="45"/>
  <c r="T577" i="45"/>
  <c r="U577" i="45"/>
  <c r="T712" i="45"/>
  <c r="U712" i="45"/>
  <c r="T1046" i="45"/>
  <c r="U1046" i="45"/>
  <c r="T717" i="45"/>
  <c r="U717" i="45"/>
  <c r="T827" i="45"/>
  <c r="U827" i="45"/>
  <c r="T446" i="45"/>
  <c r="U446" i="45"/>
  <c r="T763" i="45"/>
  <c r="U763" i="45"/>
  <c r="T37" i="45"/>
  <c r="U37" i="45"/>
  <c r="T93" i="45"/>
  <c r="U93" i="45"/>
  <c r="T1013" i="45"/>
  <c r="U1013" i="45"/>
  <c r="T1058" i="45"/>
  <c r="U1058" i="45"/>
  <c r="T1053" i="45"/>
  <c r="U1053" i="45"/>
  <c r="T606" i="45"/>
  <c r="U606" i="45"/>
  <c r="T661" i="45"/>
  <c r="U661" i="45"/>
  <c r="T214" i="45"/>
  <c r="U214" i="45"/>
  <c r="T664" i="45"/>
  <c r="U664" i="45"/>
  <c r="T178" i="45"/>
  <c r="U178" i="45"/>
  <c r="T660" i="45"/>
  <c r="U660" i="45"/>
  <c r="T90" i="45"/>
  <c r="U90" i="45"/>
  <c r="T945" i="45"/>
  <c r="U945" i="45"/>
  <c r="T492" i="45"/>
  <c r="U492" i="45"/>
  <c r="T168" i="45"/>
  <c r="U168" i="45"/>
  <c r="T687" i="45"/>
  <c r="U687" i="45"/>
  <c r="T227" i="45"/>
  <c r="U227" i="45"/>
  <c r="T211" i="45"/>
  <c r="U211" i="45"/>
  <c r="T876" i="45"/>
  <c r="U876" i="45"/>
  <c r="T946" i="45"/>
  <c r="U946" i="45"/>
  <c r="T897" i="45"/>
  <c r="U897" i="45"/>
  <c r="T453" i="45"/>
  <c r="U453" i="45"/>
  <c r="T573" i="45"/>
  <c r="U573" i="45"/>
  <c r="T414" i="45"/>
  <c r="U414" i="45"/>
  <c r="T970" i="45"/>
  <c r="U970" i="45"/>
  <c r="T704" i="45"/>
  <c r="U704" i="45"/>
  <c r="T791" i="45"/>
  <c r="U791" i="45"/>
  <c r="T870" i="45"/>
  <c r="U870" i="45"/>
  <c r="T373" i="45"/>
  <c r="U373" i="45"/>
  <c r="T521" i="45"/>
  <c r="U521" i="45"/>
  <c r="T559" i="45"/>
  <c r="U559" i="45"/>
  <c r="T438" i="45"/>
  <c r="U438" i="45"/>
  <c r="T310" i="45"/>
  <c r="U310" i="45"/>
  <c r="T728" i="45"/>
  <c r="U728" i="45"/>
  <c r="T238" i="45"/>
  <c r="U238" i="45"/>
  <c r="T105" i="45"/>
  <c r="U105" i="45"/>
  <c r="T631" i="45"/>
  <c r="U631" i="45"/>
  <c r="T284" i="45"/>
  <c r="U284" i="45"/>
  <c r="T656" i="45"/>
  <c r="U656" i="45"/>
  <c r="T430" i="45"/>
  <c r="U430" i="45"/>
  <c r="T532" i="45"/>
  <c r="U532" i="45"/>
  <c r="T132" i="45"/>
  <c r="U132" i="45"/>
  <c r="T294" i="45"/>
  <c r="U294" i="45"/>
  <c r="T537" i="45"/>
  <c r="U537" i="45"/>
  <c r="T267" i="45"/>
  <c r="U267" i="45"/>
  <c r="T1059" i="45"/>
  <c r="U1059" i="45"/>
  <c r="T705" i="45"/>
  <c r="U705" i="45"/>
  <c r="T392" i="45"/>
  <c r="U392" i="45"/>
  <c r="T1025" i="45"/>
  <c r="U1025" i="45"/>
  <c r="T321" i="45"/>
  <c r="U321" i="45"/>
  <c r="T415" i="45"/>
  <c r="U415" i="45"/>
  <c r="T161" i="45"/>
  <c r="U161" i="45"/>
  <c r="T951" i="45"/>
  <c r="U951" i="45"/>
  <c r="T968" i="45"/>
  <c r="U968" i="45"/>
  <c r="T601" i="45"/>
  <c r="U601" i="45"/>
  <c r="T423" i="45"/>
  <c r="U423" i="45"/>
  <c r="T346" i="45"/>
  <c r="U346" i="45"/>
  <c r="T620" i="45"/>
  <c r="U620" i="45"/>
  <c r="T216" i="45"/>
  <c r="U216" i="45"/>
  <c r="T301" i="45"/>
  <c r="U301" i="45"/>
  <c r="T387" i="45"/>
  <c r="U387" i="45"/>
  <c r="T929" i="45"/>
  <c r="U929" i="45"/>
  <c r="T213" i="45"/>
  <c r="U213" i="45"/>
  <c r="T258" i="45"/>
  <c r="U258" i="45"/>
  <c r="T307" i="45"/>
  <c r="U307" i="45"/>
  <c r="T950" i="45"/>
  <c r="U950" i="45"/>
  <c r="T134" i="45"/>
  <c r="U134" i="45"/>
  <c r="T878" i="45"/>
  <c r="U878" i="45"/>
  <c r="T774" i="45"/>
  <c r="U774" i="45"/>
  <c r="T846" i="45"/>
  <c r="U846" i="45"/>
  <c r="T283" i="45"/>
  <c r="U283" i="45"/>
  <c r="T863" i="45"/>
  <c r="U863" i="45"/>
  <c r="T689" i="45"/>
  <c r="U689" i="45"/>
  <c r="T355" i="45"/>
  <c r="U355" i="45"/>
  <c r="T740" i="45"/>
  <c r="U740" i="45"/>
  <c r="T657" i="45"/>
  <c r="U657" i="45"/>
  <c r="T673" i="45"/>
  <c r="U673" i="45"/>
  <c r="T667" i="45"/>
  <c r="U667" i="45"/>
  <c r="T738" i="45"/>
  <c r="U738" i="45"/>
  <c r="T584" i="45"/>
  <c r="U584" i="45"/>
  <c r="T862" i="45"/>
  <c r="U862" i="45"/>
  <c r="T20" i="45"/>
  <c r="U20" i="45"/>
  <c r="T931" i="45"/>
  <c r="U931" i="45"/>
  <c r="T18" i="45"/>
  <c r="U18" i="45"/>
  <c r="T765" i="45"/>
  <c r="U765" i="45"/>
  <c r="T797" i="45"/>
  <c r="U797" i="45"/>
  <c r="T967" i="45"/>
  <c r="U967" i="45"/>
  <c r="T1018" i="45"/>
  <c r="U1018" i="45"/>
  <c r="T480" i="45"/>
  <c r="U480" i="45"/>
  <c r="T843" i="45"/>
  <c r="U843" i="45"/>
  <c r="T848" i="45"/>
  <c r="U848" i="45"/>
  <c r="T528" i="45"/>
  <c r="U528" i="45"/>
  <c r="T713" i="45"/>
  <c r="U713" i="45"/>
  <c r="T223" i="45"/>
  <c r="U223" i="45"/>
  <c r="T787" i="45"/>
  <c r="U787" i="45"/>
  <c r="T100" i="45"/>
  <c r="U100" i="45"/>
  <c r="T663" i="45"/>
  <c r="U663" i="45"/>
  <c r="T939" i="45"/>
  <c r="U939" i="45"/>
  <c r="T823" i="45"/>
  <c r="U823" i="45"/>
  <c r="T859" i="45"/>
  <c r="U859" i="45"/>
  <c r="T619" i="45"/>
  <c r="U619" i="45"/>
  <c r="T677" i="45"/>
  <c r="U677" i="45"/>
  <c r="T22" i="45"/>
  <c r="U22" i="45"/>
  <c r="T339" i="45"/>
  <c r="U339" i="45"/>
  <c r="T188" i="45"/>
  <c r="U188" i="45"/>
  <c r="T460" i="45"/>
  <c r="U460" i="45"/>
  <c r="T895" i="45"/>
  <c r="U895" i="45"/>
  <c r="T30" i="45"/>
  <c r="U30" i="45"/>
  <c r="T624" i="45"/>
  <c r="U624" i="45"/>
  <c r="T222" i="45"/>
  <c r="U222" i="45"/>
  <c r="T726" i="45"/>
  <c r="U726" i="45"/>
  <c r="T889" i="45"/>
  <c r="U889" i="45"/>
  <c r="T333" i="45"/>
  <c r="U333" i="45"/>
  <c r="T467" i="45"/>
  <c r="U467" i="45"/>
  <c r="T960" i="45"/>
  <c r="U960" i="45"/>
  <c r="T435" i="45"/>
  <c r="U435" i="45"/>
  <c r="T860" i="45"/>
  <c r="U860" i="45"/>
  <c r="T16" i="45"/>
  <c r="U16" i="45"/>
  <c r="T243" i="45"/>
  <c r="U243" i="45"/>
  <c r="T218" i="45"/>
  <c r="U218" i="45"/>
  <c r="T390" i="45"/>
  <c r="U390" i="45"/>
  <c r="T529" i="45"/>
  <c r="U529" i="45"/>
  <c r="T510" i="45"/>
  <c r="U510" i="45"/>
  <c r="T614" i="45"/>
  <c r="U614" i="45"/>
  <c r="T785" i="45"/>
  <c r="U785" i="45"/>
  <c r="T536" i="45"/>
  <c r="U536" i="45"/>
  <c r="T210" i="45"/>
  <c r="U210" i="45"/>
  <c r="T324" i="45"/>
  <c r="U324" i="45"/>
  <c r="T725" i="45"/>
  <c r="U725" i="45"/>
  <c r="T912" i="45"/>
  <c r="U912" i="45"/>
  <c r="T293" i="45"/>
  <c r="U293" i="45"/>
  <c r="T956" i="45"/>
  <c r="U956" i="45"/>
  <c r="T928" i="45"/>
  <c r="U928" i="45"/>
  <c r="T543" i="45"/>
  <c r="U543" i="45"/>
  <c r="T171" i="45"/>
  <c r="U171" i="45"/>
  <c r="T328" i="45"/>
  <c r="U328" i="45"/>
  <c r="T88" i="45"/>
  <c r="U88" i="45"/>
  <c r="T290" i="45"/>
  <c r="U290" i="45"/>
  <c r="T542" i="45"/>
  <c r="U542" i="45"/>
  <c r="T148" i="45"/>
  <c r="U148" i="45"/>
  <c r="T441" i="45"/>
  <c r="U441" i="45"/>
  <c r="T944" i="45"/>
  <c r="U944" i="45"/>
  <c r="T933" i="45"/>
  <c r="U933" i="45"/>
  <c r="T434" i="45"/>
  <c r="U434" i="45"/>
  <c r="T101" i="45"/>
  <c r="U101" i="45"/>
  <c r="T987" i="45"/>
  <c r="U987" i="45"/>
  <c r="T163" i="45"/>
  <c r="U163" i="45"/>
  <c r="T299" i="45"/>
  <c r="U299" i="45"/>
  <c r="T448" i="45"/>
  <c r="U448" i="45"/>
  <c r="T399" i="45"/>
  <c r="U399" i="45"/>
  <c r="T1029" i="45"/>
  <c r="U1029" i="45"/>
  <c r="T1041" i="45"/>
  <c r="U1041" i="45"/>
  <c r="T665" i="45"/>
  <c r="U665" i="45"/>
  <c r="T906" i="45"/>
  <c r="U906" i="45"/>
  <c r="T514" i="45"/>
  <c r="U514" i="45"/>
  <c r="T219" i="45"/>
  <c r="U219" i="45"/>
  <c r="T916" i="45"/>
  <c r="U916" i="45"/>
  <c r="T311" i="45"/>
  <c r="U311" i="45"/>
  <c r="T568" i="45"/>
  <c r="U568" i="45"/>
  <c r="T1038" i="45"/>
  <c r="U1038" i="45"/>
  <c r="T384" i="45"/>
  <c r="U384" i="45"/>
  <c r="T671" i="45"/>
  <c r="U671" i="45"/>
  <c r="T890" i="45"/>
  <c r="U890" i="45"/>
  <c r="T87" i="45"/>
  <c r="U87" i="45"/>
  <c r="T678" i="45"/>
  <c r="U678" i="45"/>
  <c r="T153" i="45"/>
  <c r="U153" i="45"/>
  <c r="T985" i="45"/>
  <c r="U985" i="45"/>
  <c r="T367" i="45"/>
  <c r="U367" i="45"/>
  <c r="T887" i="45"/>
  <c r="U887" i="45"/>
  <c r="T612" i="45"/>
  <c r="U612" i="45"/>
  <c r="T751" i="45"/>
  <c r="U751" i="45"/>
  <c r="T226" i="45"/>
  <c r="U226" i="45"/>
  <c r="T658" i="45"/>
  <c r="U658" i="45"/>
  <c r="T590" i="45"/>
  <c r="U590" i="45"/>
  <c r="T28" i="45"/>
  <c r="U28" i="45"/>
  <c r="T13" i="45"/>
  <c r="U13" i="45"/>
  <c r="T62" i="45"/>
  <c r="U62" i="45"/>
  <c r="T670" i="45"/>
  <c r="U670" i="45"/>
  <c r="T615" i="45"/>
  <c r="U615" i="45"/>
  <c r="T703" i="45"/>
  <c r="U703" i="45"/>
  <c r="T861" i="45"/>
  <c r="U861" i="45"/>
  <c r="T126" i="45"/>
  <c r="U126" i="45"/>
  <c r="T880" i="45"/>
  <c r="U880" i="45"/>
  <c r="T937" i="45"/>
  <c r="U937" i="45"/>
  <c r="T5" i="45"/>
  <c r="U5" i="45"/>
  <c r="T109" i="45"/>
  <c r="U109" i="45"/>
  <c r="T724" i="45"/>
  <c r="U724" i="45"/>
  <c r="T1011" i="45"/>
  <c r="U1011" i="45"/>
  <c r="T234" i="45"/>
  <c r="U234" i="45"/>
  <c r="T562" i="45"/>
  <c r="U562" i="45"/>
  <c r="T563" i="45"/>
  <c r="U563" i="45"/>
  <c r="T709" i="45"/>
  <c r="U709" i="45"/>
  <c r="T1012" i="45"/>
  <c r="U1012" i="45"/>
  <c r="T302" i="45"/>
  <c r="U302" i="45"/>
  <c r="T451" i="45"/>
  <c r="U451" i="45"/>
  <c r="T1061" i="45"/>
  <c r="U1061" i="45"/>
  <c r="T1024" i="45"/>
  <c r="U1024" i="45"/>
  <c r="T6" i="45"/>
  <c r="U6" i="45"/>
  <c r="T150" i="45"/>
  <c r="U150" i="45"/>
  <c r="T445" i="45"/>
  <c r="U445" i="45"/>
  <c r="T436" i="45"/>
  <c r="U436" i="45"/>
  <c r="T1049" i="45"/>
  <c r="U1049" i="45"/>
  <c r="T1052" i="45"/>
  <c r="U1052" i="45"/>
  <c r="T401" i="45"/>
  <c r="U401" i="45"/>
  <c r="T260" i="45"/>
  <c r="U260" i="45"/>
  <c r="T420" i="45"/>
  <c r="U420" i="45"/>
  <c r="T58" i="45"/>
  <c r="U58" i="45"/>
  <c r="T734" i="45"/>
  <c r="U734" i="45"/>
  <c r="T114" i="45"/>
  <c r="U114" i="45"/>
  <c r="T344" i="45"/>
  <c r="U344" i="45"/>
  <c r="T990" i="45"/>
  <c r="U990" i="45"/>
  <c r="T1064" i="45"/>
  <c r="U1064" i="45"/>
  <c r="T50" i="45"/>
  <c r="U50" i="45"/>
  <c r="T57" i="45"/>
  <c r="U57" i="45"/>
  <c r="T809" i="45"/>
  <c r="U809" i="45"/>
  <c r="T699" i="45"/>
  <c r="U699" i="45"/>
  <c r="T65" i="45"/>
  <c r="U65" i="45"/>
  <c r="T374" i="45"/>
  <c r="U374" i="45"/>
  <c r="T597" i="45"/>
  <c r="U597" i="45"/>
  <c r="T666" i="45"/>
  <c r="U666" i="45"/>
  <c r="T639" i="45"/>
  <c r="U639" i="45"/>
  <c r="T236" i="45"/>
  <c r="U236" i="45"/>
  <c r="T8" i="45"/>
  <c r="U8" i="45"/>
  <c r="T35" i="45"/>
  <c r="U35" i="45"/>
  <c r="T348" i="45"/>
  <c r="U348" i="45"/>
  <c r="T152" i="45"/>
  <c r="U152" i="45"/>
  <c r="T408" i="45"/>
  <c r="U408" i="45"/>
  <c r="T867" i="45"/>
  <c r="U867" i="45"/>
  <c r="T942" i="45"/>
  <c r="U942" i="45"/>
  <c r="T230" i="45"/>
  <c r="U230" i="45"/>
  <c r="T877" i="45"/>
  <c r="U877" i="45"/>
  <c r="T780" i="45"/>
  <c r="U780" i="45"/>
  <c r="T784" i="45"/>
  <c r="U784" i="45"/>
  <c r="T839" i="45"/>
  <c r="U839" i="45"/>
  <c r="T9" i="45"/>
  <c r="U9" i="45"/>
  <c r="T557" i="45"/>
  <c r="U557" i="45"/>
  <c r="T978" i="45"/>
  <c r="U978" i="45"/>
  <c r="T824" i="45"/>
  <c r="U824" i="45"/>
  <c r="T503" i="45"/>
  <c r="U503" i="45"/>
  <c r="T169" i="45"/>
  <c r="U169" i="45"/>
  <c r="T508" i="45"/>
  <c r="U508" i="45"/>
  <c r="T280" i="45"/>
  <c r="U280" i="45"/>
  <c r="T31" i="45"/>
  <c r="U31" i="45"/>
  <c r="T610" i="45"/>
  <c r="U610" i="45"/>
  <c r="T731" i="45"/>
  <c r="U731" i="45"/>
  <c r="T833" i="45"/>
  <c r="U833" i="45"/>
  <c r="T761" i="45"/>
  <c r="U761" i="45"/>
  <c r="T641" i="45"/>
  <c r="U641" i="45"/>
  <c r="T903" i="45"/>
  <c r="U903" i="45"/>
  <c r="T801" i="45"/>
  <c r="U801" i="45"/>
  <c r="T569" i="45"/>
  <c r="U569" i="45"/>
  <c r="T813" i="45"/>
  <c r="U813" i="45"/>
  <c r="T358" i="45"/>
  <c r="U358" i="45"/>
  <c r="T1035" i="45"/>
  <c r="U1035" i="45"/>
  <c r="T788" i="45"/>
  <c r="U788" i="45"/>
  <c r="T1039" i="45"/>
  <c r="U1039" i="45"/>
  <c r="T375" i="45"/>
  <c r="U375" i="45"/>
  <c r="T456" i="45"/>
  <c r="U456" i="45"/>
  <c r="T758" i="45"/>
  <c r="U758" i="45"/>
  <c r="T190" i="45"/>
  <c r="U190" i="45"/>
  <c r="T896" i="45"/>
  <c r="U896" i="45"/>
  <c r="T146" i="45"/>
  <c r="U146" i="45"/>
  <c r="T338" i="45"/>
  <c r="U338" i="45"/>
  <c r="T579" i="45"/>
  <c r="U579" i="45"/>
  <c r="T241" i="45"/>
  <c r="U241" i="45"/>
  <c r="T526" i="45"/>
  <c r="U526" i="45"/>
  <c r="T158" i="45"/>
  <c r="U158" i="45"/>
  <c r="T1030" i="45"/>
  <c r="U1030" i="45"/>
  <c r="T463" i="45"/>
  <c r="U463" i="45"/>
  <c r="T181" i="45"/>
  <c r="U181" i="45"/>
  <c r="T450" i="45"/>
  <c r="U450" i="45"/>
  <c r="T753" i="45"/>
  <c r="U753" i="45"/>
  <c r="T330" i="45"/>
  <c r="U330" i="45"/>
  <c r="T642" i="45"/>
  <c r="U642" i="45"/>
  <c r="T911" i="45"/>
  <c r="U911" i="45"/>
  <c r="T733" i="45"/>
  <c r="U733" i="45"/>
  <c r="T232" i="45"/>
  <c r="U232" i="45"/>
  <c r="T326" i="45"/>
  <c r="U326" i="45"/>
  <c r="T404" i="45"/>
  <c r="U404" i="45"/>
  <c r="T692" i="45"/>
  <c r="U692" i="45"/>
  <c r="T287" i="45"/>
  <c r="U287" i="45"/>
  <c r="T904" i="45"/>
  <c r="U904" i="45"/>
  <c r="T452" i="45"/>
  <c r="U452" i="45"/>
  <c r="T1008" i="45"/>
  <c r="U1008" i="45"/>
  <c r="T836" i="45"/>
  <c r="U836" i="45"/>
  <c r="T99" i="45"/>
  <c r="U99" i="45"/>
  <c r="T834" i="45"/>
  <c r="U834" i="45"/>
  <c r="T127" i="45"/>
  <c r="U127" i="45"/>
  <c r="T845" i="45"/>
  <c r="U845" i="45"/>
  <c r="T119" i="45"/>
  <c r="U119" i="45"/>
  <c r="T469" i="45"/>
  <c r="U469" i="45"/>
  <c r="T991" i="45"/>
  <c r="U991" i="45"/>
  <c r="T429" i="45"/>
  <c r="U429" i="45"/>
  <c r="T52" i="45"/>
  <c r="U52" i="45"/>
  <c r="T881" i="45"/>
  <c r="U881" i="45"/>
  <c r="T847" i="45"/>
  <c r="U847" i="45"/>
  <c r="T721" i="45"/>
  <c r="U721" i="45"/>
  <c r="T77" i="45"/>
  <c r="U77" i="45"/>
  <c r="T697" i="45"/>
  <c r="U697" i="45"/>
  <c r="T885" i="45"/>
  <c r="U885" i="45"/>
  <c r="T605" i="45"/>
  <c r="U605" i="45"/>
  <c r="T71" i="45"/>
  <c r="U71" i="45"/>
  <c r="T894" i="45"/>
  <c r="U894" i="45"/>
  <c r="T421" i="45"/>
  <c r="U421" i="45"/>
  <c r="T681" i="45"/>
  <c r="U681" i="45"/>
  <c r="T1001" i="45"/>
  <c r="U1001" i="45"/>
  <c r="T826" i="45"/>
  <c r="U826" i="45"/>
  <c r="T541" i="45"/>
  <c r="U541" i="45"/>
  <c r="T986" i="45"/>
  <c r="U986" i="45"/>
  <c r="T110" i="45"/>
  <c r="U110" i="45"/>
  <c r="T254" i="45"/>
  <c r="U254" i="45"/>
  <c r="T250" i="45"/>
  <c r="U250" i="45"/>
  <c r="T393" i="45"/>
  <c r="U393" i="45"/>
  <c r="T1009" i="45"/>
  <c r="U1009" i="45"/>
  <c r="T757" i="45"/>
  <c r="U757" i="45"/>
  <c r="T248" i="45"/>
  <c r="U248" i="45"/>
  <c r="T711" i="45"/>
  <c r="U711" i="45"/>
  <c r="T206" i="45"/>
  <c r="U206" i="45"/>
  <c r="T583" i="45"/>
  <c r="U583" i="45"/>
  <c r="T548" i="45"/>
  <c r="U548" i="45"/>
  <c r="T337" i="45"/>
  <c r="U337" i="45"/>
  <c r="T684" i="45"/>
  <c r="U684" i="45"/>
  <c r="T804" i="45"/>
  <c r="U804" i="45"/>
  <c r="T494" i="45"/>
  <c r="U494" i="45"/>
  <c r="T651" i="45"/>
  <c r="U651" i="45"/>
  <c r="T130" i="45"/>
  <c r="U130" i="45"/>
  <c r="T166" i="45"/>
  <c r="U166" i="45"/>
  <c r="T498" i="45"/>
  <c r="U498" i="45"/>
  <c r="T772" i="45"/>
  <c r="U772" i="45"/>
  <c r="T762" i="45"/>
  <c r="U762" i="45"/>
  <c r="T522" i="45"/>
  <c r="U522" i="45"/>
  <c r="T807" i="45"/>
  <c r="U807" i="45"/>
  <c r="T245" i="45"/>
  <c r="U245" i="45"/>
  <c r="T745" i="45"/>
  <c r="U745" i="45"/>
  <c r="T706" i="45"/>
  <c r="U706" i="45"/>
  <c r="T183" i="45"/>
  <c r="U183" i="45"/>
  <c r="T380" i="45"/>
  <c r="U380" i="45"/>
  <c r="T714" i="45"/>
  <c r="U714" i="45"/>
  <c r="T594" i="45"/>
  <c r="U594" i="45"/>
  <c r="T1003" i="45"/>
  <c r="U1003" i="45"/>
  <c r="T616" i="45"/>
  <c r="U616" i="45"/>
  <c r="T710" i="45"/>
  <c r="U710" i="45"/>
  <c r="T396" i="45"/>
  <c r="U396" i="45"/>
  <c r="T538" i="45"/>
  <c r="U538" i="45"/>
  <c r="T228" i="45"/>
  <c r="U228" i="45"/>
  <c r="T475" i="45"/>
  <c r="U475" i="45"/>
  <c r="T849" i="45"/>
  <c r="U849" i="45"/>
  <c r="T581" i="45"/>
  <c r="U581" i="45"/>
  <c r="T151" i="45"/>
  <c r="U151" i="45"/>
  <c r="T832" i="45"/>
  <c r="U832" i="45"/>
  <c r="T565" i="45"/>
  <c r="U565" i="45"/>
  <c r="T535" i="45"/>
  <c r="U535" i="45"/>
  <c r="T507" i="45"/>
  <c r="U507" i="45"/>
  <c r="T842" i="45"/>
  <c r="U842" i="45"/>
  <c r="T493" i="45"/>
  <c r="U493" i="45"/>
  <c r="T189" i="45"/>
  <c r="U189" i="45"/>
  <c r="T971" i="45"/>
  <c r="U971" i="45"/>
  <c r="T972" i="45"/>
  <c r="U972" i="45"/>
  <c r="T695" i="45"/>
  <c r="U695" i="45"/>
  <c r="T625" i="45"/>
  <c r="U625" i="45"/>
  <c r="T992" i="45"/>
  <c r="U992" i="45"/>
  <c r="T44" i="45"/>
  <c r="U44" i="45"/>
  <c r="T154" i="45"/>
  <c r="U154" i="45"/>
  <c r="T814" i="45"/>
  <c r="U814" i="45"/>
  <c r="T828" i="45"/>
  <c r="U828" i="45"/>
  <c r="T201" i="45"/>
  <c r="U201" i="45"/>
  <c r="T156" i="45"/>
  <c r="U156" i="45"/>
  <c r="T608" i="45"/>
  <c r="U608" i="45"/>
  <c r="T389" i="45"/>
  <c r="U389" i="45"/>
  <c r="T754" i="45"/>
  <c r="U754" i="45"/>
  <c r="T416" i="45"/>
  <c r="U416" i="45"/>
  <c r="T571" i="45"/>
  <c r="U571" i="45"/>
  <c r="T340" i="45"/>
  <c r="U340" i="45"/>
  <c r="T111" i="45"/>
  <c r="U111" i="45"/>
  <c r="T882" i="45"/>
  <c r="U882" i="45"/>
  <c r="T471" i="45"/>
  <c r="U471" i="45"/>
  <c r="T282" i="45"/>
  <c r="U282" i="45"/>
  <c r="T363" i="45"/>
  <c r="U363" i="45"/>
  <c r="T121" i="45"/>
  <c r="U121" i="45"/>
  <c r="T621" i="45"/>
  <c r="U621" i="45"/>
  <c r="T313" i="45"/>
  <c r="U313" i="45"/>
  <c r="T376" i="45"/>
  <c r="U376" i="45"/>
  <c r="T478" i="45"/>
  <c r="U478" i="45"/>
  <c r="T558" i="45"/>
  <c r="U558" i="45"/>
  <c r="T959" i="45"/>
  <c r="U959" i="45"/>
  <c r="T900" i="45"/>
  <c r="U900" i="45"/>
  <c r="T157" i="45"/>
  <c r="U157" i="45"/>
  <c r="T747" i="45"/>
  <c r="U747" i="45"/>
  <c r="T576" i="45"/>
  <c r="U576" i="45"/>
  <c r="T628" i="45"/>
  <c r="U628" i="45"/>
  <c r="T1019" i="45"/>
  <c r="U1019" i="45"/>
  <c r="T184" i="45"/>
  <c r="U184" i="45"/>
  <c r="T585" i="45"/>
  <c r="U585" i="45"/>
  <c r="T470" i="45"/>
  <c r="U470" i="45"/>
  <c r="T691" i="45"/>
  <c r="U691" i="45"/>
  <c r="T454" i="45"/>
  <c r="U454" i="45"/>
  <c r="T212" i="45"/>
  <c r="U212" i="45"/>
  <c r="T803" i="45"/>
  <c r="U803" i="45"/>
  <c r="T984" i="45"/>
  <c r="U984" i="45"/>
  <c r="T329" i="45"/>
  <c r="U329" i="45"/>
  <c r="T627" i="45"/>
  <c r="U627" i="45"/>
  <c r="T242" i="45"/>
  <c r="U242" i="45"/>
  <c r="T820" i="45"/>
  <c r="U820" i="45"/>
  <c r="T412" i="45"/>
  <c r="U412" i="45"/>
  <c r="T683" i="45"/>
  <c r="U683" i="45"/>
  <c r="T368" i="45"/>
  <c r="U368" i="45"/>
  <c r="T499" i="45"/>
  <c r="U499" i="45"/>
  <c r="T980" i="45"/>
  <c r="U980" i="45"/>
  <c r="T364" i="45"/>
  <c r="U364" i="45"/>
  <c r="T819" i="45"/>
  <c r="U819" i="45"/>
  <c r="T909" i="45"/>
  <c r="U909" i="45"/>
  <c r="T455" i="45"/>
  <c r="U455" i="45"/>
  <c r="T136" i="45"/>
  <c r="U136" i="45"/>
  <c r="T790" i="45"/>
  <c r="V790" i="45" s="1"/>
  <c r="T180" i="45"/>
  <c r="U180" i="45"/>
  <c r="T251" i="45"/>
  <c r="U251" i="45"/>
  <c r="T485" i="45"/>
  <c r="U485" i="45"/>
  <c r="T1062" i="45"/>
  <c r="U1062" i="45"/>
  <c r="T611" i="45"/>
  <c r="U611" i="45"/>
  <c r="T727" i="45"/>
  <c r="U727" i="45"/>
  <c r="T981" i="45"/>
  <c r="U981" i="45"/>
  <c r="T86" i="45"/>
  <c r="U86" i="45"/>
  <c r="T48" i="45"/>
  <c r="U48" i="45"/>
  <c r="T42" i="45"/>
  <c r="U42" i="45"/>
  <c r="T26" i="45"/>
  <c r="U26" i="45"/>
  <c r="T15" i="45"/>
  <c r="U15" i="45"/>
  <c r="T73" i="45"/>
  <c r="U73" i="45"/>
  <c r="T55" i="45"/>
  <c r="U55" i="45"/>
  <c r="T680" i="45"/>
  <c r="U680" i="45"/>
  <c r="T844" i="45"/>
  <c r="U844" i="45"/>
  <c r="T458" i="45"/>
  <c r="U458" i="45"/>
  <c r="T1063" i="45"/>
  <c r="U1063" i="45"/>
  <c r="T739" i="45"/>
  <c r="U739" i="45"/>
  <c r="T291" i="45"/>
  <c r="U291" i="45"/>
  <c r="T331" i="45"/>
  <c r="U331" i="45"/>
  <c r="T802" i="45"/>
  <c r="U802" i="45"/>
  <c r="T1042" i="45"/>
  <c r="U1042" i="45"/>
  <c r="T193" i="45"/>
  <c r="U193" i="45"/>
  <c r="T124" i="45"/>
  <c r="U124" i="45"/>
  <c r="T768" i="45"/>
  <c r="U768" i="45"/>
  <c r="T63" i="45"/>
  <c r="U63" i="45"/>
  <c r="T603" i="45"/>
  <c r="U603" i="45"/>
  <c r="T919" i="45"/>
  <c r="U919" i="45"/>
  <c r="T252" i="45"/>
  <c r="U252" i="45"/>
  <c r="T444" i="45"/>
  <c r="U444" i="45"/>
  <c r="T335" i="45"/>
  <c r="U335" i="45"/>
  <c r="T898" i="45"/>
  <c r="U898" i="45"/>
  <c r="T975" i="45"/>
  <c r="U975" i="45"/>
  <c r="T167" i="45"/>
  <c r="U167" i="45"/>
  <c r="T831" i="45"/>
  <c r="U831" i="45"/>
  <c r="T7" i="45"/>
  <c r="U7" i="45"/>
  <c r="T886" i="45"/>
  <c r="U886" i="45"/>
  <c r="T549" i="45"/>
  <c r="U549" i="45"/>
  <c r="T316" i="45"/>
  <c r="U316" i="45"/>
  <c r="T775" i="45"/>
  <c r="U775" i="45"/>
  <c r="T314" i="45"/>
  <c r="U314" i="45"/>
  <c r="T752" i="45"/>
  <c r="U752" i="45"/>
  <c r="T297" i="45"/>
  <c r="U297" i="45"/>
  <c r="T760" i="45"/>
  <c r="U760" i="45"/>
  <c r="T1014" i="45"/>
  <c r="U1014" i="45"/>
  <c r="T468" i="45"/>
  <c r="U468" i="45"/>
  <c r="T792" i="45"/>
  <c r="U792" i="45"/>
  <c r="T700" i="45"/>
  <c r="U700" i="45"/>
  <c r="T202" i="45"/>
  <c r="U202" i="45"/>
  <c r="T382" i="45"/>
  <c r="U382" i="45"/>
  <c r="T527" i="45"/>
  <c r="U527" i="45"/>
  <c r="T246" i="45"/>
  <c r="U246" i="45"/>
  <c r="T371" i="45"/>
  <c r="U371" i="45"/>
  <c r="T988" i="45"/>
  <c r="U988" i="45"/>
  <c r="T424" i="45"/>
  <c r="U424" i="45"/>
  <c r="T306" i="45"/>
  <c r="U306" i="45"/>
  <c r="T439" i="45"/>
  <c r="U439" i="45"/>
  <c r="T82" i="45"/>
  <c r="U82" i="45"/>
  <c r="T815" i="45"/>
  <c r="U815" i="45"/>
  <c r="T924" i="45"/>
  <c r="U924" i="45"/>
  <c r="T517" i="45"/>
  <c r="U517" i="45"/>
  <c r="T891" i="45"/>
  <c r="U891" i="45"/>
  <c r="T715" i="45"/>
  <c r="U715" i="45"/>
  <c r="T137" i="45"/>
  <c r="U137" i="45"/>
  <c r="T233" i="45"/>
  <c r="U233" i="45"/>
  <c r="T320" i="45"/>
  <c r="U320" i="45"/>
  <c r="T589" i="45"/>
  <c r="U589" i="45"/>
  <c r="T647" i="45"/>
  <c r="U647" i="45"/>
  <c r="T570" i="45"/>
  <c r="U570" i="45"/>
  <c r="T237" i="45"/>
  <c r="U237" i="45"/>
  <c r="T676" i="45"/>
  <c r="U676" i="45"/>
  <c r="T643" i="45"/>
  <c r="U643" i="45"/>
  <c r="T366" i="45"/>
  <c r="U366" i="45"/>
  <c r="T442" i="45"/>
  <c r="U442" i="45"/>
  <c r="T288" i="45"/>
  <c r="U288" i="45"/>
  <c r="T217" i="45"/>
  <c r="U217" i="45"/>
  <c r="T356" i="45"/>
  <c r="U356" i="45"/>
  <c r="T646" i="45"/>
  <c r="U646" i="45"/>
  <c r="T240" i="45"/>
  <c r="U240" i="45"/>
  <c r="T495" i="45"/>
  <c r="U495" i="45"/>
  <c r="T225" i="45"/>
  <c r="U225" i="45"/>
  <c r="T359" i="45"/>
  <c r="U359" i="45"/>
  <c r="T220" i="45"/>
  <c r="U220" i="45"/>
  <c r="T160" i="45"/>
  <c r="U160" i="45"/>
  <c r="T139" i="45"/>
  <c r="U139" i="45"/>
  <c r="T261" i="45"/>
  <c r="U261" i="45"/>
  <c r="T679" i="45"/>
  <c r="U679" i="45"/>
  <c r="T560" i="45"/>
  <c r="U560" i="45"/>
  <c r="T525" i="45"/>
  <c r="U525" i="45"/>
  <c r="T892" i="45"/>
  <c r="U892" i="45"/>
  <c r="T336" i="45"/>
  <c r="U336" i="45"/>
  <c r="T737" i="45"/>
  <c r="U737" i="45"/>
  <c r="T482" i="45"/>
  <c r="U482" i="45"/>
  <c r="T1007" i="45"/>
  <c r="U1007" i="45"/>
  <c r="T447" i="45"/>
  <c r="U447" i="45"/>
  <c r="T546" i="45"/>
  <c r="U546" i="45"/>
  <c r="T270" i="45"/>
  <c r="U270" i="45"/>
  <c r="T953" i="45"/>
  <c r="U953" i="45"/>
  <c r="T534" i="45"/>
  <c r="U534" i="45"/>
  <c r="T648" i="45"/>
  <c r="U648" i="45"/>
  <c r="T10" i="45"/>
  <c r="U10" i="45"/>
  <c r="T59" i="45"/>
  <c r="U59" i="45"/>
  <c r="T143" i="45"/>
  <c r="U143" i="45"/>
  <c r="T104" i="45"/>
  <c r="U104" i="45"/>
  <c r="T974" i="45"/>
  <c r="U974" i="45"/>
  <c r="T764" i="45"/>
  <c r="U764" i="45"/>
  <c r="T618" i="45"/>
  <c r="U618" i="45"/>
  <c r="T640" i="45"/>
  <c r="U640" i="45"/>
  <c r="T786" i="45"/>
  <c r="U786" i="45"/>
  <c r="T520" i="45"/>
  <c r="U520" i="45"/>
  <c r="T874" i="45"/>
  <c r="U874" i="45"/>
  <c r="T120" i="45"/>
  <c r="U120" i="45"/>
  <c r="T518" i="45"/>
  <c r="U518" i="45"/>
  <c r="T545" i="45"/>
  <c r="U545" i="45"/>
  <c r="T200" i="45"/>
  <c r="U200" i="45"/>
  <c r="T84" i="45"/>
  <c r="U84" i="45"/>
  <c r="T172" i="45"/>
  <c r="U172" i="45"/>
  <c r="T129" i="45"/>
  <c r="U129" i="45"/>
  <c r="T215" i="45"/>
  <c r="U215" i="45"/>
  <c r="T205" i="45"/>
  <c r="U205" i="45"/>
  <c r="T221" i="45"/>
  <c r="U221" i="45"/>
  <c r="T812" i="45"/>
  <c r="U812" i="45"/>
  <c r="T443" i="45"/>
  <c r="U443" i="45"/>
  <c r="T688" i="45"/>
  <c r="U688" i="45"/>
  <c r="T411" i="45"/>
  <c r="U411" i="45"/>
  <c r="T864" i="45"/>
  <c r="U864" i="45"/>
  <c r="T1037" i="45"/>
  <c r="U1037" i="45"/>
  <c r="T936" i="45"/>
  <c r="U936" i="45"/>
  <c r="T914" i="45"/>
  <c r="U914" i="45"/>
  <c r="T513" i="45"/>
  <c r="U513" i="45"/>
  <c r="T653" i="45"/>
  <c r="U653" i="45"/>
  <c r="T922" i="45"/>
  <c r="U922" i="45"/>
  <c r="T43" i="45"/>
  <c r="U43" i="45"/>
  <c r="T841" i="45"/>
  <c r="U841" i="45"/>
  <c r="T357" i="45"/>
  <c r="U357" i="45"/>
  <c r="T766" i="45"/>
  <c r="U766" i="45"/>
  <c r="T174" i="45"/>
  <c r="U174" i="45"/>
  <c r="T334" i="45"/>
  <c r="U334" i="45"/>
  <c r="T994" i="45"/>
  <c r="U994" i="45"/>
  <c r="T342" i="45"/>
  <c r="U342" i="45"/>
  <c r="T1047" i="45"/>
  <c r="U1047" i="45"/>
  <c r="T388" i="45"/>
  <c r="U388" i="45"/>
  <c r="T544" i="45"/>
  <c r="U544" i="45"/>
  <c r="T630" i="45"/>
  <c r="U630" i="45"/>
  <c r="T995" i="45"/>
  <c r="U995" i="45"/>
  <c r="T497" i="45"/>
  <c r="U497" i="45"/>
  <c r="T94" i="45"/>
  <c r="U94" i="45"/>
  <c r="T511" i="45"/>
  <c r="U511" i="45"/>
  <c r="T312" i="45"/>
  <c r="U312" i="45"/>
  <c r="T465" i="45"/>
  <c r="U465" i="45"/>
  <c r="T921" i="45"/>
  <c r="U921" i="45"/>
  <c r="T767" i="45"/>
  <c r="U767" i="45"/>
  <c r="T708" i="45"/>
  <c r="U708" i="45"/>
  <c r="T531" i="45"/>
  <c r="U531" i="45"/>
  <c r="T998" i="45"/>
  <c r="U998" i="45"/>
  <c r="T1033" i="45"/>
  <c r="U1033" i="45"/>
  <c r="T141" i="45"/>
  <c r="U141" i="45"/>
  <c r="T239" i="45"/>
  <c r="U239" i="45"/>
  <c r="T837" i="45"/>
  <c r="U837" i="45"/>
  <c r="T1022" i="45"/>
  <c r="U1022" i="45"/>
  <c r="T489" i="45"/>
  <c r="U489" i="45"/>
  <c r="T574" i="45"/>
  <c r="U574" i="45"/>
  <c r="T249" i="45"/>
  <c r="U249" i="45"/>
  <c r="T879" i="45"/>
  <c r="U879" i="45"/>
  <c r="T196" i="45"/>
  <c r="U196" i="45"/>
  <c r="T769" i="45"/>
  <c r="U769" i="45"/>
  <c r="T1051" i="45"/>
  <c r="U1051" i="45"/>
  <c r="T296" i="45"/>
  <c r="U296" i="45"/>
  <c r="T229" i="45"/>
  <c r="U229" i="45"/>
  <c r="T365" i="45"/>
  <c r="U365" i="45"/>
  <c r="T506" i="45"/>
  <c r="U506" i="45"/>
  <c r="T292" i="45"/>
  <c r="U292" i="45"/>
  <c r="T516" i="45"/>
  <c r="U516" i="45"/>
  <c r="T231" i="45"/>
  <c r="U231" i="45"/>
  <c r="T1036" i="45"/>
  <c r="U1036" i="45"/>
  <c r="T413" i="45"/>
  <c r="U413" i="45"/>
  <c r="T149" i="45"/>
  <c r="U149" i="45"/>
  <c r="T263" i="45"/>
  <c r="U263" i="45"/>
  <c r="T1020" i="45"/>
  <c r="U1020" i="45"/>
  <c r="T869" i="45"/>
  <c r="U869" i="45"/>
  <c r="T567" i="45"/>
  <c r="U567" i="45"/>
  <c r="T682" i="45"/>
  <c r="U682" i="45"/>
  <c r="T117" i="45"/>
  <c r="U117" i="45"/>
  <c r="T552" i="45"/>
  <c r="U552" i="45"/>
  <c r="T64" i="45"/>
  <c r="U64" i="45"/>
  <c r="T92" i="45"/>
  <c r="U92" i="45"/>
  <c r="T185" i="45"/>
  <c r="U185" i="45"/>
  <c r="T486" i="45"/>
  <c r="U486" i="45"/>
  <c r="T694" i="45"/>
  <c r="U694" i="45"/>
  <c r="T539" i="45"/>
  <c r="U539" i="45"/>
  <c r="T1050" i="45"/>
  <c r="U1050" i="45"/>
  <c r="T716" i="45"/>
  <c r="U716" i="45"/>
  <c r="T580" i="45"/>
  <c r="U580" i="45"/>
  <c r="T732" i="45"/>
  <c r="U732" i="45"/>
  <c r="T80" i="45"/>
  <c r="U80" i="45"/>
  <c r="T626" i="45"/>
  <c r="U626" i="45"/>
  <c r="T685" i="45"/>
  <c r="U685" i="45"/>
  <c r="T593" i="45"/>
  <c r="U593" i="45"/>
  <c r="T556" i="45"/>
  <c r="U556" i="45"/>
  <c r="T25" i="45"/>
  <c r="U25" i="45"/>
  <c r="T875" i="45"/>
  <c r="U875" i="45"/>
  <c r="T40" i="45"/>
  <c r="U40" i="45"/>
  <c r="T632" i="45"/>
  <c r="U632" i="45"/>
  <c r="T893" i="45"/>
  <c r="U893" i="45"/>
  <c r="T253" i="45"/>
  <c r="U253" i="45"/>
  <c r="T204" i="45"/>
  <c r="U204" i="45"/>
  <c r="T519" i="45"/>
  <c r="U519" i="45"/>
  <c r="T289" i="45"/>
  <c r="U289" i="45"/>
  <c r="T322" i="45"/>
  <c r="U322" i="45"/>
  <c r="T347" i="45"/>
  <c r="U347" i="45"/>
  <c r="T591" i="45"/>
  <c r="U591" i="45"/>
  <c r="T963" i="45"/>
  <c r="U963" i="45"/>
  <c r="T85" i="45"/>
  <c r="U85" i="45"/>
  <c r="T759" i="45"/>
  <c r="U759" i="45"/>
  <c r="T962" i="45"/>
  <c r="U962" i="45"/>
  <c r="T672" i="45"/>
  <c r="U672" i="45"/>
  <c r="T669" i="45"/>
  <c r="U669" i="45"/>
  <c r="T1027" i="45"/>
  <c r="U1027" i="45"/>
  <c r="T927" i="45"/>
  <c r="U927" i="45"/>
  <c r="T265" i="45"/>
  <c r="U265" i="45"/>
  <c r="T782" i="45"/>
  <c r="U782" i="45"/>
  <c r="T170" i="45"/>
  <c r="U170" i="45"/>
  <c r="T644" i="45"/>
  <c r="U644" i="45"/>
  <c r="T353" i="45"/>
  <c r="U353" i="45"/>
  <c r="T993" i="45"/>
  <c r="U993" i="45"/>
  <c r="T1032" i="45"/>
  <c r="U1032" i="45"/>
  <c r="T98" i="45"/>
  <c r="U98" i="45"/>
  <c r="T378" i="45"/>
  <c r="U378" i="45"/>
  <c r="T979" i="45"/>
  <c r="U979" i="45"/>
  <c r="T675" i="45"/>
  <c r="U675" i="45"/>
  <c r="T829" i="45"/>
  <c r="U829" i="45"/>
  <c r="T108" i="45"/>
  <c r="U108" i="45"/>
  <c r="T262" i="45"/>
  <c r="U262" i="45"/>
  <c r="T403" i="45"/>
  <c r="U403" i="45"/>
  <c r="T652" i="45"/>
  <c r="U652" i="45"/>
  <c r="T840" i="45"/>
  <c r="U840" i="45"/>
  <c r="T997" i="45"/>
  <c r="U997" i="45"/>
  <c r="T794" i="45"/>
  <c r="U794" i="45"/>
  <c r="T742" i="45"/>
  <c r="U742" i="45"/>
  <c r="T96" i="45"/>
  <c r="U96" i="45"/>
  <c r="T327" i="45"/>
  <c r="U327" i="45"/>
  <c r="T481" i="45"/>
  <c r="U481" i="45"/>
  <c r="T958" i="45"/>
  <c r="U958" i="45"/>
  <c r="T634" i="45"/>
  <c r="U634" i="45"/>
  <c r="T309" i="45"/>
  <c r="U309" i="45"/>
  <c r="T131" i="45"/>
  <c r="U131" i="45"/>
  <c r="T638" i="45"/>
  <c r="U638" i="45"/>
  <c r="T464" i="45"/>
  <c r="U464" i="45"/>
  <c r="T996" i="45"/>
  <c r="U996" i="45"/>
  <c r="T256" i="45"/>
  <c r="U256" i="45"/>
  <c r="T755" i="45"/>
  <c r="U755" i="45"/>
  <c r="T400" i="45"/>
  <c r="U400" i="45"/>
  <c r="T871" i="45"/>
  <c r="U871" i="45"/>
  <c r="T106" i="45"/>
  <c r="U106" i="45"/>
  <c r="T1021" i="45"/>
  <c r="U1021" i="45"/>
  <c r="T659" i="45"/>
  <c r="U659" i="45"/>
  <c r="T1044" i="45"/>
  <c r="U1044" i="45"/>
  <c r="T496" i="45"/>
  <c r="U496" i="45"/>
  <c r="T308" i="45"/>
  <c r="U308" i="45"/>
  <c r="T273" i="45"/>
  <c r="U273" i="45"/>
  <c r="T999" i="45"/>
  <c r="U999" i="45"/>
  <c r="T524" i="45"/>
  <c r="U524" i="45"/>
  <c r="T907" i="45"/>
  <c r="U907" i="45"/>
  <c r="T95" i="45"/>
  <c r="U95" i="45"/>
  <c r="T247" i="45"/>
  <c r="U247" i="45"/>
  <c r="T377" i="45"/>
  <c r="U377" i="45"/>
  <c r="T523" i="45"/>
  <c r="U523" i="45"/>
  <c r="T164" i="45"/>
  <c r="U164" i="45"/>
  <c r="T274" i="45"/>
  <c r="U274" i="45"/>
  <c r="T690" i="45"/>
  <c r="U690" i="45"/>
  <c r="T466" i="45"/>
  <c r="U466" i="45"/>
  <c r="T600" i="45"/>
  <c r="U600" i="45"/>
  <c r="T484" i="45"/>
  <c r="U484" i="45"/>
  <c r="T135" i="45"/>
  <c r="U135" i="45"/>
  <c r="T729" i="45"/>
  <c r="U729" i="45"/>
  <c r="T76" i="45"/>
  <c r="U76" i="45"/>
  <c r="T1026" i="45"/>
  <c r="U1026" i="45"/>
  <c r="T800" i="45"/>
  <c r="U800" i="45"/>
  <c r="T633" i="45"/>
  <c r="U633" i="45"/>
  <c r="T304" i="45"/>
  <c r="U304" i="45"/>
  <c r="T938" i="45"/>
  <c r="U938" i="45"/>
  <c r="T133" i="45"/>
  <c r="U133" i="45"/>
  <c r="T305" i="45"/>
  <c r="U305" i="45"/>
  <c r="T192" i="45"/>
  <c r="U192" i="45"/>
  <c r="T198" i="45"/>
  <c r="U198" i="45"/>
  <c r="T1000" i="45"/>
  <c r="U1000" i="45"/>
  <c r="T756" i="45"/>
  <c r="U756" i="45"/>
  <c r="T207" i="45"/>
  <c r="U207" i="45"/>
  <c r="T24" i="45"/>
  <c r="U24" i="45"/>
  <c r="T103" i="45"/>
  <c r="U103" i="45"/>
  <c r="T32" i="45"/>
  <c r="U32" i="45"/>
  <c r="T60" i="45"/>
  <c r="U60" i="45"/>
  <c r="T46" i="45"/>
  <c r="U46" i="45"/>
  <c r="T806" i="45"/>
  <c r="U806" i="45"/>
  <c r="T850" i="45"/>
  <c r="U850" i="45"/>
  <c r="T795" i="45"/>
  <c r="U795" i="45"/>
  <c r="T698" i="45"/>
  <c r="U698" i="45"/>
  <c r="T315" i="45"/>
  <c r="U315" i="45"/>
  <c r="T776" i="45"/>
  <c r="U776" i="45"/>
  <c r="T244" i="45"/>
  <c r="U244" i="45"/>
  <c r="T778" i="45"/>
  <c r="U778" i="45"/>
  <c r="T925" i="45"/>
  <c r="U925" i="45"/>
  <c r="T947" i="45"/>
  <c r="U947" i="45"/>
  <c r="T952" i="45"/>
  <c r="U952" i="45"/>
  <c r="T370" i="45"/>
  <c r="U370" i="45"/>
  <c r="T564" i="45"/>
  <c r="U564" i="45"/>
  <c r="T1060" i="45"/>
  <c r="U1060" i="45"/>
  <c r="T224" i="45"/>
  <c r="U224" i="45"/>
  <c r="T777" i="45"/>
  <c r="U777" i="45"/>
  <c r="T636" i="45"/>
  <c r="U636" i="45"/>
  <c r="T744" i="45"/>
  <c r="U744" i="45"/>
  <c r="T501" i="45"/>
  <c r="U501" i="45"/>
  <c r="T1048" i="45"/>
  <c r="U1048" i="45"/>
  <c r="T476" i="45"/>
  <c r="U476" i="45"/>
  <c r="T177" i="45"/>
  <c r="U177" i="45"/>
  <c r="T259" i="45"/>
  <c r="U259" i="45"/>
  <c r="T654" i="45"/>
  <c r="U654" i="45"/>
  <c r="T540" i="45"/>
  <c r="U540" i="45"/>
  <c r="T504" i="45"/>
  <c r="U504" i="45"/>
  <c r="T68" i="45"/>
  <c r="U68" i="45"/>
  <c r="T36" i="45"/>
  <c r="U36" i="45"/>
  <c r="T70" i="45"/>
  <c r="U70" i="45"/>
  <c r="T83" i="45"/>
  <c r="U83" i="45"/>
  <c r="T47" i="45"/>
  <c r="U47" i="45"/>
  <c r="T1023" i="45"/>
  <c r="U1023" i="45"/>
  <c r="T746" i="45"/>
  <c r="U746" i="45"/>
  <c r="T789" i="45"/>
  <c r="U789" i="45"/>
  <c r="T275" i="45"/>
  <c r="U275" i="45"/>
  <c r="T830" i="45"/>
  <c r="U830" i="45"/>
  <c r="T360" i="45"/>
  <c r="U360" i="45"/>
  <c r="T741" i="45"/>
  <c r="U741" i="45"/>
  <c r="T1043" i="45"/>
  <c r="U1043" i="45"/>
  <c r="T575" i="45"/>
  <c r="U575" i="45"/>
  <c r="T1002" i="45"/>
  <c r="U1002" i="45"/>
  <c r="T186" i="45"/>
  <c r="U186" i="45"/>
  <c r="T873" i="45"/>
  <c r="U873" i="45"/>
  <c r="T113" i="45"/>
  <c r="U113" i="45"/>
  <c r="T702" i="45"/>
  <c r="U702" i="45"/>
  <c r="T29" i="45"/>
  <c r="U29" i="45"/>
  <c r="T474" i="45"/>
  <c r="U474" i="45"/>
  <c r="T462" i="45"/>
  <c r="U462" i="45"/>
  <c r="T623" i="45"/>
  <c r="U623" i="45"/>
  <c r="T940" i="45"/>
  <c r="U940" i="45"/>
  <c r="T915" i="45"/>
  <c r="U915" i="45"/>
  <c r="T982" i="45"/>
  <c r="U982" i="45"/>
  <c r="T943" i="45"/>
  <c r="U943" i="45"/>
  <c r="T553" i="45"/>
  <c r="U553" i="45"/>
  <c r="T3" i="45"/>
  <c r="U3" i="45"/>
  <c r="T487" i="45"/>
  <c r="U487" i="45"/>
  <c r="T554" i="45"/>
  <c r="U554" i="45"/>
  <c r="T11" i="45"/>
  <c r="U11" i="45"/>
  <c r="T617" i="45"/>
  <c r="U617" i="45"/>
  <c r="T799" i="45"/>
  <c r="U799" i="45"/>
  <c r="T650" i="45"/>
  <c r="U650" i="45"/>
  <c r="T194" i="45"/>
  <c r="U194" i="45"/>
  <c r="T386" i="45"/>
  <c r="U386" i="45"/>
  <c r="T966" i="45"/>
  <c r="U966" i="45"/>
  <c r="T257" i="45"/>
  <c r="U257" i="45"/>
  <c r="T477" i="45"/>
  <c r="U477" i="45"/>
  <c r="T1065" i="45"/>
  <c r="U1065" i="45"/>
  <c r="T533" i="45"/>
  <c r="U533" i="45"/>
  <c r="T165" i="45"/>
  <c r="U165" i="45"/>
  <c r="T1004" i="45"/>
  <c r="U1004" i="45"/>
  <c r="T343" i="45"/>
  <c r="U343" i="45"/>
  <c r="T409" i="45"/>
  <c r="U409" i="45"/>
  <c r="T500" i="45"/>
  <c r="U500" i="45"/>
  <c r="T822" i="45"/>
  <c r="U822" i="45"/>
  <c r="T855" i="45"/>
  <c r="U855" i="45"/>
  <c r="T433" i="45"/>
  <c r="U433" i="45"/>
  <c r="T899" i="45"/>
  <c r="U899" i="45"/>
  <c r="T838" i="45"/>
  <c r="U838" i="45"/>
  <c r="T693" i="45"/>
  <c r="U693" i="45"/>
  <c r="T323" i="45"/>
  <c r="U323" i="45"/>
  <c r="T965" i="45"/>
  <c r="U965" i="45"/>
  <c r="T582" i="45"/>
  <c r="U582" i="45"/>
  <c r="T707" i="45"/>
  <c r="U707" i="45"/>
  <c r="T749" i="45"/>
  <c r="U749" i="45"/>
  <c r="T949" i="45"/>
  <c r="U949" i="45"/>
  <c r="T856" i="45"/>
  <c r="U856" i="45"/>
  <c r="T391" i="45"/>
  <c r="U391" i="45"/>
  <c r="T457" i="45"/>
  <c r="U457" i="45"/>
  <c r="T607" i="45"/>
  <c r="U607" i="45"/>
  <c r="T286" i="45"/>
  <c r="U286" i="45"/>
  <c r="T372" i="45"/>
  <c r="U372" i="45"/>
  <c r="T472" i="45"/>
  <c r="U472" i="45"/>
  <c r="T578" i="45"/>
  <c r="U578" i="45"/>
  <c r="T551" i="45"/>
  <c r="U551" i="45"/>
  <c r="T197" i="45"/>
  <c r="U197" i="45"/>
  <c r="T394" i="45"/>
  <c r="U394" i="45"/>
  <c r="T1055" i="45"/>
  <c r="U1055" i="45"/>
  <c r="T449" i="45"/>
  <c r="U449" i="45"/>
  <c r="T341" i="45"/>
  <c r="U341" i="45"/>
  <c r="T1015" i="45"/>
  <c r="U1015" i="45"/>
  <c r="T352" i="45"/>
  <c r="U352" i="45"/>
  <c r="T866" i="45"/>
  <c r="U866" i="45"/>
  <c r="T255" i="45"/>
  <c r="U255" i="45"/>
  <c r="T586" i="45"/>
  <c r="U586" i="45"/>
  <c r="T199" i="45"/>
  <c r="U199" i="45"/>
  <c r="T920" i="45"/>
  <c r="U920" i="45"/>
  <c r="T1031" i="45"/>
  <c r="U1031" i="45"/>
  <c r="T187" i="45"/>
  <c r="U187" i="45"/>
  <c r="T983" i="45"/>
  <c r="U983" i="45"/>
  <c r="T142" i="45"/>
  <c r="U142" i="45"/>
  <c r="T957" i="45"/>
  <c r="U957" i="45"/>
  <c r="T853" i="45"/>
  <c r="U853" i="45"/>
  <c r="T51" i="45"/>
  <c r="U51" i="45"/>
  <c r="T719" i="45"/>
  <c r="U719" i="45"/>
  <c r="T883" i="45"/>
  <c r="U883" i="45"/>
  <c r="T770" i="45"/>
  <c r="U770" i="45"/>
  <c r="T686" i="45"/>
  <c r="U686" i="45"/>
  <c r="T555" i="45"/>
  <c r="U555" i="45"/>
  <c r="T385" i="45"/>
  <c r="U385" i="45"/>
  <c r="T107" i="45"/>
  <c r="U107" i="45"/>
  <c r="T723" i="45"/>
  <c r="U723" i="45"/>
  <c r="T406" i="45"/>
  <c r="U406" i="45"/>
  <c r="T961" i="45"/>
  <c r="U961" i="45"/>
  <c r="T674" i="45"/>
  <c r="U674" i="45"/>
  <c r="T362" i="45"/>
  <c r="U362" i="45"/>
  <c r="T349" i="45"/>
  <c r="U349" i="45"/>
  <c r="T417" i="45"/>
  <c r="U417" i="45"/>
  <c r="T21" i="45"/>
  <c r="U21" i="45"/>
  <c r="T91" i="45"/>
  <c r="U91" i="45"/>
  <c r="T858" i="45"/>
  <c r="U858" i="45"/>
  <c r="T490" i="45"/>
  <c r="U490" i="45"/>
  <c r="T783" i="45"/>
  <c r="V783" i="45" s="1"/>
  <c r="T271" i="45"/>
  <c r="U271" i="45"/>
  <c r="T750" i="45"/>
  <c r="U750" i="45"/>
  <c r="T902" i="45"/>
  <c r="U902" i="45"/>
  <c r="T811" i="45"/>
  <c r="U811" i="45"/>
  <c r="T317" i="45"/>
  <c r="U317" i="45"/>
  <c r="T118" i="45"/>
  <c r="U118" i="45"/>
  <c r="T402" i="45"/>
  <c r="U402" i="45"/>
  <c r="T852" i="45"/>
  <c r="U852" i="45"/>
  <c r="T182" i="45"/>
  <c r="U182" i="45"/>
  <c r="T645" i="45"/>
  <c r="U645" i="45"/>
  <c r="T1010" i="45"/>
  <c r="U1010" i="45"/>
  <c r="T278" i="45"/>
  <c r="U278" i="45"/>
  <c r="T437" i="45"/>
  <c r="U437" i="45"/>
  <c r="T637" i="45"/>
  <c r="U637" i="45"/>
  <c r="T397" i="45"/>
  <c r="U397" i="45"/>
  <c r="T502" i="45"/>
  <c r="U502" i="45"/>
  <c r="T138" i="45"/>
  <c r="U138" i="45"/>
  <c r="T128" i="45"/>
  <c r="U128" i="45"/>
  <c r="T865" i="45"/>
  <c r="U865" i="45"/>
  <c r="T345" i="45"/>
  <c r="U345" i="45"/>
  <c r="T488" i="45"/>
  <c r="U488" i="45"/>
  <c r="T977" i="45"/>
  <c r="U977" i="45"/>
  <c r="T398" i="45"/>
  <c r="U398" i="45"/>
  <c r="T668" i="45"/>
  <c r="U668" i="45"/>
  <c r="T266" i="45"/>
  <c r="U266" i="45"/>
  <c r="T97" i="45"/>
  <c r="U97" i="45"/>
  <c r="T547" i="45"/>
  <c r="U547" i="45"/>
  <c r="T818" i="45"/>
  <c r="U818" i="45"/>
  <c r="T835" i="45"/>
  <c r="U835" i="45"/>
  <c r="T176" i="45"/>
  <c r="U176" i="45"/>
  <c r="T268" i="45"/>
  <c r="U268" i="45"/>
  <c r="T350" i="45"/>
  <c r="U350" i="45"/>
  <c r="T649" i="45"/>
  <c r="U649" i="45"/>
  <c r="T810" i="45"/>
  <c r="U810" i="45"/>
  <c r="T122" i="45"/>
  <c r="U122" i="45"/>
  <c r="T276" i="45"/>
  <c r="U276" i="45"/>
  <c r="T461" i="45"/>
  <c r="U461" i="45"/>
  <c r="T854" i="45"/>
  <c r="U854" i="45"/>
  <c r="T1005" i="45"/>
  <c r="U1005" i="45"/>
  <c r="T561" i="45"/>
  <c r="U561" i="45"/>
  <c r="T325" i="45"/>
  <c r="U325" i="45"/>
  <c r="T303" i="45"/>
  <c r="U303" i="45"/>
  <c r="T395" i="45"/>
  <c r="U395" i="45"/>
  <c r="T566" i="45"/>
  <c r="U566" i="45"/>
  <c r="T779" i="45"/>
  <c r="U779" i="45"/>
  <c r="T112" i="45"/>
  <c r="U112" i="45"/>
  <c r="T269" i="45"/>
  <c r="U269" i="45"/>
  <c r="T602" i="45"/>
  <c r="U602" i="45"/>
  <c r="T550" i="45"/>
  <c r="U550" i="45"/>
  <c r="T613" i="45"/>
  <c r="U613" i="45"/>
  <c r="T1016" i="45"/>
  <c r="U1016" i="45"/>
  <c r="T917" i="45"/>
  <c r="U917" i="45"/>
  <c r="T379" i="45"/>
  <c r="U379" i="45"/>
  <c r="T483" i="45"/>
  <c r="U483" i="45"/>
  <c r="T155" i="45"/>
  <c r="U155" i="45"/>
  <c r="T808" i="45"/>
  <c r="U808" i="45"/>
  <c r="T1057" i="45"/>
  <c r="U1057" i="45"/>
  <c r="T599" i="45"/>
  <c r="U599" i="45"/>
  <c r="T89" i="45"/>
  <c r="U89" i="45"/>
  <c r="T277" i="45"/>
  <c r="U277" i="45"/>
  <c r="T923" i="45"/>
  <c r="U923" i="45"/>
  <c r="T884" i="45"/>
  <c r="U884" i="45"/>
  <c r="T973" i="45"/>
  <c r="U973" i="45"/>
  <c r="T140" i="45"/>
  <c r="U140" i="45"/>
  <c r="T964" i="45"/>
  <c r="U964" i="45"/>
  <c r="T332" i="45"/>
  <c r="U332" i="45"/>
  <c r="T209" i="45"/>
  <c r="U209" i="45"/>
  <c r="T1056" i="45"/>
  <c r="U1056" i="45"/>
  <c r="T512" i="45"/>
  <c r="U512" i="45"/>
  <c r="T295" i="45"/>
  <c r="U295" i="45"/>
  <c r="T941" i="45"/>
  <c r="U941" i="45"/>
  <c r="T79" i="45"/>
  <c r="U79" i="45"/>
  <c r="T39" i="45"/>
  <c r="U39" i="45"/>
  <c r="T74" i="45"/>
  <c r="U74" i="45"/>
  <c r="T54" i="45"/>
  <c r="U54" i="45"/>
  <c r="T771" i="45"/>
  <c r="U771" i="45"/>
  <c r="T27" i="45"/>
  <c r="U27" i="45"/>
  <c r="Q1" i="45"/>
  <c r="K123" i="5"/>
  <c r="L123" i="5" s="1"/>
  <c r="H123" i="5"/>
  <c r="K104" i="5"/>
  <c r="L104" i="5" s="1"/>
  <c r="H104" i="5"/>
  <c r="K111" i="5"/>
  <c r="L111" i="5" s="1"/>
  <c r="H111" i="5"/>
  <c r="K135" i="5"/>
  <c r="L135" i="5" s="1"/>
  <c r="H135" i="5"/>
  <c r="H128" i="5"/>
  <c r="K128" i="5"/>
  <c r="L128" i="5" s="1"/>
  <c r="H116" i="5"/>
  <c r="K116" i="5"/>
  <c r="L116" i="5" s="1"/>
  <c r="K140" i="5"/>
  <c r="L140" i="5" s="1"/>
  <c r="H103" i="5"/>
  <c r="K103" i="5"/>
  <c r="L103" i="5" s="1"/>
  <c r="H139" i="5"/>
  <c r="K139" i="5"/>
  <c r="L139" i="5" s="1"/>
  <c r="H127" i="5"/>
  <c r="K127" i="5"/>
  <c r="L127" i="5" s="1"/>
  <c r="H115" i="5"/>
  <c r="K115" i="5"/>
  <c r="L115" i="5" s="1"/>
  <c r="H141" i="5"/>
  <c r="K141" i="5"/>
  <c r="L141" i="5" s="1"/>
  <c r="K126" i="5"/>
  <c r="L126" i="5" s="1"/>
  <c r="H126" i="5"/>
  <c r="K114" i="5"/>
  <c r="L114" i="5" s="1"/>
  <c r="H114" i="5"/>
  <c r="K138" i="5"/>
  <c r="L138" i="5" s="1"/>
  <c r="H138" i="5"/>
  <c r="H129" i="5"/>
  <c r="K129" i="5"/>
  <c r="L129" i="5" s="1"/>
  <c r="H105" i="5"/>
  <c r="K105" i="5"/>
  <c r="L105" i="5" s="1"/>
  <c r="K137" i="5"/>
  <c r="L137" i="5" s="1"/>
  <c r="H137" i="5"/>
  <c r="H125" i="5"/>
  <c r="K125" i="5"/>
  <c r="L125" i="5" s="1"/>
  <c r="K113" i="5"/>
  <c r="L113" i="5" s="1"/>
  <c r="H113" i="5"/>
  <c r="H117" i="5"/>
  <c r="K117" i="5"/>
  <c r="L117" i="5" s="1"/>
  <c r="H143" i="5"/>
  <c r="K143" i="5"/>
  <c r="L143" i="5" s="1"/>
  <c r="H131" i="5"/>
  <c r="K131" i="5"/>
  <c r="L131" i="5" s="1"/>
  <c r="K119" i="5"/>
  <c r="L119" i="5" s="1"/>
  <c r="H119" i="5"/>
  <c r="K107" i="5"/>
  <c r="L107" i="5" s="1"/>
  <c r="H107" i="5"/>
  <c r="H142" i="5"/>
  <c r="H130" i="5"/>
  <c r="H118" i="5"/>
  <c r="H106" i="5"/>
  <c r="K136" i="5"/>
  <c r="L136" i="5" s="1"/>
  <c r="K124" i="5"/>
  <c r="L124" i="5" s="1"/>
  <c r="K112" i="5"/>
  <c r="L112" i="5" s="1"/>
  <c r="K134" i="5"/>
  <c r="L134" i="5" s="1"/>
  <c r="K122" i="5"/>
  <c r="L122" i="5" s="1"/>
  <c r="K110" i="5"/>
  <c r="L110" i="5" s="1"/>
  <c r="N626" i="35"/>
  <c r="N145" i="35"/>
  <c r="N716" i="35"/>
  <c r="N493" i="35"/>
  <c r="N627" i="35"/>
  <c r="N15" i="35"/>
  <c r="N741" i="35"/>
  <c r="N72" i="35"/>
  <c r="N671" i="35"/>
  <c r="N13" i="35"/>
  <c r="N29" i="35"/>
  <c r="N393" i="35"/>
  <c r="N720" i="35"/>
  <c r="N49" i="35"/>
  <c r="N3" i="35"/>
  <c r="N681" i="35"/>
  <c r="N372" i="35"/>
  <c r="N621" i="35"/>
  <c r="N936" i="35"/>
  <c r="N937" i="35"/>
  <c r="N295" i="35"/>
  <c r="N263" i="35"/>
  <c r="N973" i="35"/>
  <c r="N870" i="35"/>
  <c r="N20" i="35"/>
  <c r="N500" i="35"/>
  <c r="N115" i="35"/>
  <c r="N277" i="35"/>
  <c r="N640" i="35"/>
  <c r="N691" i="35"/>
  <c r="N185" i="35"/>
  <c r="N48" i="35"/>
  <c r="N51" i="35"/>
  <c r="N938" i="35"/>
  <c r="N148" i="35"/>
  <c r="N40" i="35"/>
  <c r="N311" i="35"/>
  <c r="N416" i="35"/>
  <c r="N527" i="35"/>
  <c r="N473" i="35"/>
  <c r="N382" i="35"/>
  <c r="N223" i="35"/>
  <c r="N687" i="35"/>
  <c r="N154" i="35"/>
  <c r="N117" i="35"/>
  <c r="N695" i="35"/>
  <c r="N429" i="35"/>
  <c r="N99" i="35"/>
  <c r="N909" i="35"/>
  <c r="N60" i="35"/>
  <c r="N137" i="35"/>
  <c r="N317" i="35"/>
  <c r="N81" i="35"/>
  <c r="N612" i="35"/>
  <c r="N404" i="35"/>
  <c r="N1095" i="35"/>
  <c r="N742" i="35"/>
  <c r="N260" i="35"/>
  <c r="N10" i="35"/>
  <c r="N47" i="35"/>
  <c r="N23" i="35"/>
  <c r="N939" i="35"/>
  <c r="N703" i="35"/>
  <c r="N448" i="35"/>
  <c r="N851" i="35"/>
  <c r="N699" i="35"/>
  <c r="N650" i="35"/>
  <c r="N231" i="35"/>
  <c r="N637" i="35"/>
  <c r="N679" i="35"/>
  <c r="N84" i="35"/>
  <c r="N349" i="35"/>
  <c r="N181" i="35"/>
  <c r="N201" i="35"/>
  <c r="N552" i="35"/>
  <c r="N298" i="35"/>
  <c r="N561" i="35"/>
  <c r="N261" i="35"/>
  <c r="N629" i="35"/>
  <c r="N399" i="35"/>
  <c r="N940" i="35"/>
  <c r="N806" i="35"/>
  <c r="N199" i="35"/>
  <c r="N408" i="35"/>
  <c r="N156" i="35"/>
  <c r="N409" i="35"/>
  <c r="N674" i="35"/>
  <c r="N1074" i="35"/>
  <c r="N672" i="35"/>
  <c r="N702" i="35"/>
  <c r="N807" i="35"/>
  <c r="N342" i="35"/>
  <c r="N119" i="35"/>
  <c r="N389" i="35"/>
  <c r="N421" i="35"/>
  <c r="N560" i="35"/>
  <c r="N83" i="35"/>
  <c r="N875" i="35"/>
  <c r="N434" i="35"/>
  <c r="N97" i="35"/>
  <c r="N1078" i="35"/>
  <c r="N485" i="35"/>
  <c r="N229" i="35"/>
  <c r="N206" i="35"/>
  <c r="N19" i="35"/>
  <c r="N377" i="35"/>
  <c r="N138" i="35"/>
  <c r="N743" i="35"/>
  <c r="N715" i="35"/>
  <c r="N297" i="35"/>
  <c r="N250" i="35"/>
  <c r="N323" i="35"/>
  <c r="N225" i="35"/>
  <c r="N574" i="35"/>
  <c r="N899" i="35"/>
  <c r="N210" i="35"/>
  <c r="N352" i="35"/>
  <c r="N430" i="35"/>
  <c r="N141" i="35"/>
  <c r="N901" i="35"/>
  <c r="N543" i="35"/>
  <c r="N365" i="35"/>
  <c r="N1075" i="35"/>
  <c r="N488" i="35"/>
  <c r="N492" i="35"/>
  <c r="N689" i="35"/>
  <c r="N272" i="35"/>
  <c r="N541" i="35"/>
  <c r="N329" i="35"/>
  <c r="N360" i="35"/>
  <c r="N587" i="35"/>
  <c r="N176" i="35"/>
  <c r="N476" i="35"/>
  <c r="N501" i="35"/>
  <c r="N5" i="35"/>
  <c r="N445" i="35"/>
  <c r="N322" i="35"/>
  <c r="N340" i="35"/>
  <c r="N442" i="35"/>
  <c r="N193" i="35"/>
  <c r="N446" i="35"/>
  <c r="N834" i="35"/>
  <c r="N1088" i="35"/>
  <c r="N319" i="35"/>
  <c r="N1096" i="35"/>
  <c r="N417" i="35"/>
  <c r="N373" i="35"/>
  <c r="N32" i="35"/>
  <c r="N300" i="35"/>
  <c r="N622" i="35"/>
  <c r="N470" i="35"/>
  <c r="N171" i="35"/>
  <c r="N45" i="35"/>
  <c r="N710" i="35"/>
  <c r="N106" i="35"/>
  <c r="N299" i="35"/>
  <c r="N230" i="35"/>
  <c r="N466" i="35"/>
  <c r="N307" i="35"/>
  <c r="N16" i="35"/>
  <c r="N26" i="35"/>
  <c r="N112" i="35"/>
  <c r="N722" i="35"/>
  <c r="N190" i="35"/>
  <c r="N267" i="35"/>
  <c r="N837" i="35"/>
  <c r="N584" i="35"/>
  <c r="N281" i="35"/>
  <c r="N196" i="35"/>
  <c r="N278" i="35"/>
  <c r="N280" i="35"/>
  <c r="N1087" i="35"/>
  <c r="N808" i="35"/>
  <c r="N364" i="35"/>
  <c r="N383" i="35"/>
  <c r="N22" i="35"/>
  <c r="N578" i="35"/>
  <c r="N336" i="35"/>
  <c r="N1094" i="35"/>
  <c r="N367" i="35"/>
  <c r="N900" i="35"/>
  <c r="N178" i="35"/>
  <c r="N90" i="35"/>
  <c r="N841" i="35"/>
  <c r="N380" i="35"/>
  <c r="N486" i="35"/>
  <c r="N170" i="35"/>
  <c r="N941" i="35"/>
  <c r="N713" i="35"/>
  <c r="N64" i="35"/>
  <c r="N30" i="35"/>
  <c r="N591" i="35"/>
  <c r="N224" i="35"/>
  <c r="N183" i="35"/>
  <c r="N472" i="35"/>
  <c r="N304" i="35"/>
  <c r="N729" i="35"/>
  <c r="N127" i="35"/>
  <c r="N291" i="35"/>
  <c r="N884" i="35"/>
  <c r="N129" i="35"/>
  <c r="N85" i="35"/>
  <c r="N519" i="35"/>
  <c r="N506" i="35"/>
  <c r="N461" i="35"/>
  <c r="N58" i="35"/>
  <c r="N395" i="35"/>
  <c r="N77" i="35"/>
  <c r="N1079" i="35"/>
  <c r="N113" i="35"/>
  <c r="N139" i="35"/>
  <c r="N593" i="35"/>
  <c r="N182" i="35"/>
  <c r="N108" i="35"/>
  <c r="N850" i="35"/>
  <c r="N279" i="35"/>
  <c r="N942" i="35"/>
  <c r="N518" i="35"/>
  <c r="N452" i="35"/>
  <c r="N253" i="35"/>
  <c r="N9" i="35"/>
  <c r="N134" i="35"/>
  <c r="N42" i="35"/>
  <c r="N350" i="35"/>
  <c r="N109" i="35"/>
  <c r="N709" i="35"/>
  <c r="N685" i="35"/>
  <c r="N1080" i="35"/>
  <c r="N232" i="35"/>
  <c r="N705" i="35"/>
  <c r="N684" i="35"/>
  <c r="N585" i="35"/>
  <c r="N606" i="35"/>
  <c r="N809" i="35"/>
  <c r="N604" i="35"/>
  <c r="N475" i="35"/>
  <c r="N644" i="35"/>
  <c r="N571" i="35"/>
  <c r="N462" i="35"/>
  <c r="N810" i="35"/>
  <c r="N680" i="35"/>
  <c r="N489" i="35"/>
  <c r="N192" i="35"/>
  <c r="N172" i="35"/>
  <c r="N639" i="35"/>
  <c r="N436" i="35"/>
  <c r="N643" i="35"/>
  <c r="N31" i="35"/>
  <c r="N635" i="35"/>
  <c r="N487" i="35"/>
  <c r="N242" i="35"/>
  <c r="N657" i="35"/>
  <c r="N344" i="35"/>
  <c r="N1072" i="35"/>
  <c r="N418" i="35"/>
  <c r="N811" i="35"/>
  <c r="N536" i="35"/>
  <c r="N325" i="35"/>
  <c r="N725" i="35"/>
  <c r="N320" i="35"/>
  <c r="N479" i="35"/>
  <c r="N718" i="35"/>
  <c r="N495" i="35"/>
  <c r="N557" i="35"/>
  <c r="N514" i="35"/>
  <c r="N425" i="35"/>
  <c r="N371" i="35"/>
  <c r="N559" i="35"/>
  <c r="N79" i="35"/>
  <c r="N753" i="35"/>
  <c r="N306" i="35"/>
  <c r="N693" i="35"/>
  <c r="N324" i="35"/>
  <c r="N387" i="35"/>
  <c r="N508" i="35"/>
  <c r="N287" i="35"/>
  <c r="N460" i="35"/>
  <c r="N534" i="35"/>
  <c r="N444" i="35"/>
  <c r="N149" i="35"/>
  <c r="N997" i="35"/>
  <c r="N471" i="35"/>
  <c r="N264" i="35"/>
  <c r="N125" i="35"/>
  <c r="N943" i="35"/>
  <c r="N682" i="35"/>
  <c r="N305" i="35"/>
  <c r="N478" i="35"/>
  <c r="N502" i="35"/>
  <c r="N160" i="35"/>
  <c r="N589" i="35"/>
  <c r="N162" i="35"/>
  <c r="N194" i="35"/>
  <c r="N510" i="35"/>
  <c r="N562" i="35"/>
  <c r="N944" i="35"/>
  <c r="N234" i="35"/>
  <c r="N356" i="35"/>
  <c r="N255" i="35"/>
  <c r="N246" i="35"/>
  <c r="N237" i="35"/>
  <c r="N812" i="35"/>
  <c r="N396" i="35"/>
  <c r="N945" i="35"/>
  <c r="N289" i="35"/>
  <c r="N655" i="35"/>
  <c r="N276" i="35"/>
  <c r="N698" i="35"/>
  <c r="N669" i="35"/>
  <c r="N101" i="35"/>
  <c r="N592" i="35"/>
  <c r="N209" i="35"/>
  <c r="N39" i="35"/>
  <c r="N174" i="35"/>
  <c r="N27" i="35"/>
  <c r="N667" i="35"/>
  <c r="N375" i="35"/>
  <c r="N607" i="35"/>
  <c r="N686" i="35"/>
  <c r="N376" i="35"/>
  <c r="N1085" i="35"/>
  <c r="N354" i="35"/>
  <c r="N65" i="35"/>
  <c r="N107" i="35"/>
  <c r="N46" i="35"/>
  <c r="N491" i="35"/>
  <c r="N474" i="35"/>
  <c r="N302" i="35"/>
  <c r="N1098" i="35"/>
  <c r="N140" i="35"/>
  <c r="N362" i="35"/>
  <c r="N151" i="35"/>
  <c r="N294" i="35"/>
  <c r="N155" i="35"/>
  <c r="N676" i="35"/>
  <c r="N697" i="35"/>
  <c r="N847" i="35"/>
  <c r="N76" i="35"/>
  <c r="N531" i="35"/>
  <c r="N18" i="35"/>
  <c r="N463" i="35"/>
  <c r="N813" i="35"/>
  <c r="N581" i="35"/>
  <c r="N179" i="35"/>
  <c r="N633" i="35"/>
  <c r="N654" i="35"/>
  <c r="N28" i="35"/>
  <c r="N363" i="35"/>
  <c r="N400" i="35"/>
  <c r="N730" i="35"/>
  <c r="N503" i="35"/>
  <c r="N221" i="35"/>
  <c r="N284" i="35"/>
  <c r="N814" i="35"/>
  <c r="N95" i="35"/>
  <c r="N829" i="35"/>
  <c r="N34" i="35"/>
  <c r="N483" i="35"/>
  <c r="N600" i="35"/>
  <c r="N82" i="35"/>
  <c r="N189" i="35"/>
  <c r="N458" i="35"/>
  <c r="N1099" i="35"/>
  <c r="N605" i="35"/>
  <c r="N328" i="35"/>
  <c r="N331" i="35"/>
  <c r="N241" i="35"/>
  <c r="N1092" i="35"/>
  <c r="N89" i="35"/>
  <c r="N110" i="35"/>
  <c r="N1089" i="35"/>
  <c r="N70" i="35"/>
  <c r="N744" i="35"/>
  <c r="N25" i="35"/>
  <c r="N327" i="35"/>
  <c r="N636" i="35"/>
  <c r="N666" i="35"/>
  <c r="N169" i="35"/>
  <c r="N14" i="35"/>
  <c r="N205" i="35"/>
  <c r="N597" i="35"/>
  <c r="N71" i="35"/>
  <c r="N135" i="35"/>
  <c r="N69" i="35"/>
  <c r="N6" i="35"/>
  <c r="N719" i="35"/>
  <c r="N576" i="35"/>
  <c r="N1091" i="35"/>
  <c r="N723" i="35"/>
  <c r="N180" i="35"/>
  <c r="N624" i="35"/>
  <c r="N711" i="35"/>
  <c r="N662" i="35"/>
  <c r="N566" i="35"/>
  <c r="N159" i="35"/>
  <c r="N268" i="35"/>
  <c r="N24" i="35"/>
  <c r="N61" i="35"/>
  <c r="N142" i="35"/>
  <c r="N157" i="35"/>
  <c r="N580" i="35"/>
  <c r="N334" i="35"/>
  <c r="N609" i="35"/>
  <c r="N1073" i="35"/>
  <c r="N565" i="35"/>
  <c r="N12" i="35"/>
  <c r="N537" i="35"/>
  <c r="N309" i="35"/>
  <c r="N228" i="35"/>
  <c r="N538" i="35"/>
  <c r="N128" i="35"/>
  <c r="N494" i="35"/>
  <c r="N615" i="35"/>
  <c r="N618" i="35"/>
  <c r="N556" i="35"/>
  <c r="N86" i="35"/>
  <c r="N651" i="35"/>
  <c r="N33" i="35"/>
  <c r="N547" i="35"/>
  <c r="N647" i="35"/>
  <c r="N613" i="35"/>
  <c r="N337" i="35"/>
  <c r="N551" i="35"/>
  <c r="N542" i="35"/>
  <c r="N568" i="35"/>
  <c r="N38" i="35"/>
  <c r="N690" i="35"/>
  <c r="N204" i="35"/>
  <c r="N57" i="35"/>
  <c r="N126" i="35"/>
  <c r="N601" i="35"/>
  <c r="N451" i="35"/>
  <c r="N579" i="35"/>
  <c r="N731" i="35"/>
  <c r="N1083" i="35"/>
  <c r="N946" i="35"/>
  <c r="N456" i="35"/>
  <c r="N614" i="35"/>
  <c r="N856" i="35"/>
  <c r="N457" i="35"/>
  <c r="N517" i="35"/>
  <c r="N88" i="35"/>
  <c r="N256" i="35"/>
  <c r="N511" i="35"/>
  <c r="N435" i="35"/>
  <c r="N815" i="35"/>
  <c r="N477" i="35"/>
  <c r="N670" i="35"/>
  <c r="N321" i="35"/>
  <c r="N265" i="35"/>
  <c r="N308" i="35"/>
  <c r="N52" i="35"/>
  <c r="N258" i="35"/>
  <c r="N326" i="35"/>
  <c r="N535" i="35"/>
  <c r="N507" i="35"/>
  <c r="N245" i="35"/>
  <c r="N553" i="35"/>
  <c r="N386" i="35"/>
  <c r="N379" i="35"/>
  <c r="N251" i="35"/>
  <c r="N464" i="35"/>
  <c r="N8" i="35"/>
  <c r="N262" i="35"/>
  <c r="N852" i="35"/>
  <c r="N116" i="35"/>
  <c r="N530" i="35"/>
  <c r="N484" i="35"/>
  <c r="N653" i="35"/>
  <c r="N67" i="35"/>
  <c r="N43" i="35"/>
  <c r="N569" i="35"/>
  <c r="N91" i="35"/>
  <c r="N235" i="35"/>
  <c r="N203" i="35"/>
  <c r="N357" i="35"/>
  <c r="N314" i="35"/>
  <c r="N947" i="35"/>
  <c r="N339" i="35"/>
  <c r="N1076" i="35"/>
  <c r="N608" i="35"/>
  <c r="N175" i="35"/>
  <c r="N292" i="35"/>
  <c r="N721" i="35"/>
  <c r="N845" i="35"/>
  <c r="N700" i="35"/>
  <c r="N392" i="35"/>
  <c r="N346" i="35"/>
  <c r="N998" i="35"/>
  <c r="N310" i="35"/>
  <c r="N745" i="35"/>
  <c r="N54" i="35"/>
  <c r="N4" i="35"/>
  <c r="N103" i="35"/>
  <c r="N220" i="35"/>
  <c r="N293" i="35"/>
  <c r="N726" i="35"/>
  <c r="N520" i="35"/>
  <c r="N548" i="35"/>
  <c r="N195" i="35"/>
  <c r="N1070" i="35"/>
  <c r="N540" i="35"/>
  <c r="N948" i="35"/>
  <c r="N243" i="35"/>
  <c r="N249" i="35"/>
  <c r="N634" i="35"/>
  <c r="N226" i="35"/>
  <c r="N1071" i="35"/>
  <c r="N131" i="35"/>
  <c r="N397" i="35"/>
  <c r="N240" i="35"/>
  <c r="N120" i="35"/>
  <c r="N638" i="35"/>
  <c r="N467" i="35"/>
  <c r="N394" i="35"/>
  <c r="N124" i="35"/>
  <c r="N558" i="35"/>
  <c r="N652" i="35"/>
  <c r="N454" i="35"/>
  <c r="N746" i="35"/>
  <c r="N949" i="35"/>
  <c r="N402" i="35"/>
  <c r="N316" i="35"/>
  <c r="N824" i="35"/>
  <c r="N259" i="35"/>
  <c r="N582" i="35"/>
  <c r="N355" i="35"/>
  <c r="N236" i="35"/>
  <c r="N620" i="35"/>
  <c r="N707" i="35"/>
  <c r="N75" i="35"/>
  <c r="N664" i="35"/>
  <c r="N403" i="35"/>
  <c r="N407" i="35"/>
  <c r="N619" i="35"/>
  <c r="N516" i="35"/>
  <c r="N599" i="35"/>
  <c r="N227" i="35"/>
  <c r="N521" i="35"/>
  <c r="N440" i="35"/>
  <c r="N94" i="35"/>
  <c r="N353" i="35"/>
  <c r="N545" i="35"/>
  <c r="N441" i="35"/>
  <c r="N594" i="35"/>
  <c r="N426" i="35"/>
  <c r="N55" i="35"/>
  <c r="N411" i="35"/>
  <c r="N301" i="35"/>
  <c r="N480" i="35"/>
  <c r="N550" i="35"/>
  <c r="N254" i="35"/>
  <c r="N212" i="35"/>
  <c r="N197" i="35"/>
  <c r="N747" i="35"/>
  <c r="N583" i="35"/>
  <c r="N481" i="35"/>
  <c r="N642" i="35"/>
  <c r="N533" i="35"/>
  <c r="N348" i="35"/>
  <c r="N816" i="35"/>
  <c r="N208" i="35"/>
  <c r="N630" i="35"/>
  <c r="N443" i="35"/>
  <c r="N817" i="35"/>
  <c r="N431" i="35"/>
  <c r="N315" i="35"/>
  <c r="N123" i="35"/>
  <c r="N273" i="35"/>
  <c r="N87" i="35"/>
  <c r="N544" i="35"/>
  <c r="N469" i="35"/>
  <c r="N96" i="35"/>
  <c r="N432" i="35"/>
  <c r="N111" i="35"/>
  <c r="N623" i="35"/>
  <c r="N424" i="35"/>
  <c r="N433" i="35"/>
  <c r="N401" i="35"/>
  <c r="N405" i="35"/>
  <c r="N748" i="35"/>
  <c r="N925" i="35"/>
  <c r="N161" i="35"/>
  <c r="N602" i="35"/>
  <c r="N366" i="35"/>
  <c r="N665" i="35"/>
  <c r="N368" i="35"/>
  <c r="N36" i="35"/>
  <c r="N122" i="35"/>
  <c r="N1084" i="35"/>
  <c r="N384" i="35"/>
  <c r="N950" i="35"/>
  <c r="N385" i="35"/>
  <c r="N233" i="35"/>
  <c r="N191" i="35"/>
  <c r="N211" i="35"/>
  <c r="N271" i="35"/>
  <c r="N661" i="35"/>
  <c r="N1097" i="35"/>
  <c r="N526" i="35"/>
  <c r="N826" i="35"/>
  <c r="N658" i="35"/>
  <c r="N358" i="35"/>
  <c r="N853" i="35"/>
  <c r="N286" i="35"/>
  <c r="N378" i="35"/>
  <c r="N784" i="35"/>
  <c r="N525" i="35"/>
  <c r="N219" i="35"/>
  <c r="N406" i="35"/>
  <c r="N818" i="35"/>
  <c r="N415" i="35"/>
  <c r="N999" i="35"/>
  <c r="N413" i="35"/>
  <c r="N842" i="35"/>
  <c r="N332" i="35"/>
  <c r="N222" i="35"/>
  <c r="N374" i="35"/>
  <c r="N257" i="35"/>
  <c r="N428" i="35"/>
  <c r="N133" i="35"/>
  <c r="N663" i="35"/>
  <c r="N675" i="35"/>
  <c r="N290" i="35"/>
  <c r="N330" i="35"/>
  <c r="N959" i="35"/>
  <c r="N186" i="35"/>
  <c r="N282" i="35"/>
  <c r="N830" i="35"/>
  <c r="N388" i="35"/>
  <c r="N831" i="35"/>
  <c r="N701" i="35"/>
  <c r="N214" i="35"/>
  <c r="N546" i="35"/>
  <c r="N696" i="35"/>
  <c r="N381" i="35"/>
  <c r="N717" i="35"/>
  <c r="N62" i="35"/>
  <c r="N528" i="35"/>
  <c r="N1081" i="35"/>
  <c r="N216" i="35"/>
  <c r="N427" i="35"/>
  <c r="N832" i="35"/>
  <c r="N951" i="35"/>
  <c r="N390" i="35"/>
  <c r="N749" i="35"/>
  <c r="N359" i="35"/>
  <c r="N588" i="35"/>
  <c r="N522" i="35"/>
  <c r="N132" i="35"/>
  <c r="N554" i="35"/>
  <c r="N677" i="35"/>
  <c r="N750" i="35"/>
  <c r="N819" i="35"/>
  <c r="N50" i="35"/>
  <c r="N166" i="35"/>
  <c r="N563" i="35"/>
  <c r="N1000" i="35"/>
  <c r="N247" i="35"/>
  <c r="N706" i="35"/>
  <c r="N848" i="35"/>
  <c r="N439" i="35"/>
  <c r="N218" i="35"/>
  <c r="N275" i="35"/>
  <c r="N414" i="35"/>
  <c r="N347" i="35"/>
  <c r="N673" i="35"/>
  <c r="N524" i="35"/>
  <c r="N820" i="35"/>
  <c r="N248" i="35"/>
  <c r="N335" i="35"/>
  <c r="N595" i="35"/>
  <c r="N7" i="35"/>
  <c r="N1077" i="35"/>
  <c r="N66" i="35"/>
  <c r="N714" i="35"/>
  <c r="N692" i="35"/>
  <c r="N419" i="35"/>
  <c r="N1086" i="35"/>
  <c r="N603" i="35"/>
  <c r="N751" i="35"/>
  <c r="N727" i="35"/>
  <c r="N345" i="35"/>
  <c r="N136" i="35"/>
  <c r="N704" i="35"/>
  <c r="N570" i="35"/>
  <c r="N146" i="35"/>
  <c r="N712" i="35"/>
  <c r="N885" i="35"/>
  <c r="N423" i="35"/>
  <c r="N187" i="35"/>
  <c r="N962" i="35"/>
  <c r="N564" i="35"/>
  <c r="N465" i="35"/>
  <c r="N952" i="35"/>
  <c r="N549" i="35"/>
  <c r="N821" i="35"/>
  <c r="N838" i="35"/>
  <c r="N274" i="35"/>
  <c r="N455" i="35"/>
  <c r="N17" i="35"/>
  <c r="N165" i="35"/>
  <c r="N338" i="35"/>
  <c r="N158" i="35"/>
  <c r="N269" i="35"/>
  <c r="N44" i="35"/>
  <c r="N217" i="35"/>
  <c r="N611" i="35"/>
  <c r="N398" i="35"/>
  <c r="N523" i="35"/>
  <c r="N1090" i="35"/>
  <c r="N285" i="35"/>
  <c r="N41" i="35"/>
  <c r="N74" i="35"/>
  <c r="N659" i="35"/>
  <c r="N100" i="35"/>
  <c r="N351" i="35"/>
  <c r="N213" i="35"/>
  <c r="N683" i="35"/>
  <c r="N68" i="35"/>
  <c r="N694" i="35"/>
  <c r="N509" i="35"/>
  <c r="N646" i="35"/>
  <c r="N53" i="35"/>
  <c r="N631" i="35"/>
  <c r="N504" i="35"/>
  <c r="N586" i="35"/>
  <c r="N420" i="35"/>
  <c r="N202" i="35"/>
  <c r="N270" i="35"/>
  <c r="N648" i="35"/>
  <c r="N490" i="35"/>
  <c r="N164" i="35"/>
  <c r="N11" i="35"/>
  <c r="N459" i="35"/>
  <c r="N668" i="35"/>
  <c r="N732" i="35"/>
  <c r="N188" i="35"/>
  <c r="N532" i="35"/>
  <c r="N616" i="35"/>
  <c r="N539" i="35"/>
  <c r="N244" i="35"/>
  <c r="N628" i="35"/>
  <c r="N468" i="35"/>
  <c r="N449" i="35"/>
  <c r="N78" i="35"/>
  <c r="N318" i="35"/>
  <c r="N577" i="35"/>
  <c r="N497" i="35"/>
  <c r="N391" i="35"/>
  <c r="N752" i="35"/>
  <c r="N1093" i="35"/>
  <c r="N152" i="35"/>
  <c r="N200" i="35"/>
  <c r="N215" i="35"/>
  <c r="N529" i="35"/>
  <c r="N288" i="35"/>
  <c r="N660" i="35"/>
  <c r="N80" i="35"/>
  <c r="N555" i="35"/>
  <c r="N656" i="35"/>
  <c r="N822" i="35"/>
  <c r="N513" i="35"/>
  <c r="N823" i="35"/>
  <c r="N147" i="35"/>
  <c r="N370" i="35"/>
  <c r="N56" i="35"/>
  <c r="N92" i="35"/>
  <c r="N617" i="35"/>
  <c r="N105" i="35"/>
  <c r="N590" i="35"/>
  <c r="N610" i="35"/>
  <c r="N296" i="35"/>
  <c r="N35" i="35"/>
  <c r="N312" i="35"/>
  <c r="N641" i="35"/>
  <c r="N833" i="35"/>
  <c r="N177" i="35"/>
  <c r="N361" i="35"/>
  <c r="N596" i="35"/>
  <c r="N168" i="35"/>
  <c r="N572" i="35"/>
  <c r="N625" i="35"/>
  <c r="N515" i="35"/>
  <c r="N198" i="35"/>
  <c r="N283" i="35"/>
  <c r="N1001" i="35"/>
  <c r="N632" i="35"/>
  <c r="N499" i="35"/>
  <c r="N341" i="35"/>
  <c r="N153" i="35"/>
  <c r="N450" i="35"/>
  <c r="N63" i="35"/>
  <c r="N207" i="35"/>
  <c r="N438" i="35"/>
  <c r="N955" i="35"/>
  <c r="N567" i="35"/>
  <c r="N447" i="35"/>
  <c r="N953" i="35"/>
  <c r="N849" i="35"/>
  <c r="N512" i="35"/>
  <c r="N678" i="35"/>
  <c r="N98" i="35"/>
  <c r="N839" i="35"/>
  <c r="N144" i="35"/>
  <c r="N498" i="35"/>
  <c r="N688" i="35"/>
  <c r="N102" i="35"/>
  <c r="N437" i="35"/>
  <c r="N37" i="35"/>
  <c r="N118" i="35"/>
  <c r="N143" i="35"/>
  <c r="N482" i="35"/>
  <c r="N114" i="35"/>
  <c r="N21" i="35"/>
  <c r="N59" i="35"/>
  <c r="N73" i="35"/>
  <c r="N163" i="35"/>
  <c r="N770" i="35"/>
  <c r="N130" i="35"/>
  <c r="N369" i="35"/>
  <c r="N598" i="35"/>
  <c r="N239" i="35"/>
  <c r="N1082" i="35"/>
  <c r="N904" i="35"/>
  <c r="N505" i="35"/>
  <c r="N649" i="35"/>
  <c r="N93" i="35"/>
  <c r="N167" i="35"/>
  <c r="N252" i="35"/>
  <c r="N772" i="35"/>
  <c r="N333" i="35"/>
  <c r="N954" i="35"/>
  <c r="N768" i="35"/>
  <c r="N313" i="35"/>
  <c r="N173" i="35"/>
  <c r="N769" i="35"/>
  <c r="N238" i="35"/>
  <c r="N773" i="35"/>
  <c r="N903" i="35"/>
  <c r="N343" i="35"/>
  <c r="N771" i="35"/>
  <c r="N774" i="35"/>
  <c r="N303" i="35"/>
  <c r="N150" i="35"/>
  <c r="N453" i="35"/>
  <c r="N893" i="35"/>
  <c r="N184" i="35"/>
  <c r="N575" i="35"/>
  <c r="N496" i="35"/>
  <c r="N266" i="35"/>
  <c r="N104" i="35"/>
  <c r="N708" i="35"/>
  <c r="M626" i="35"/>
  <c r="M145" i="35"/>
  <c r="M716" i="35"/>
  <c r="M493" i="35"/>
  <c r="M627" i="35"/>
  <c r="M15" i="35"/>
  <c r="M741" i="35"/>
  <c r="M72" i="35"/>
  <c r="M671" i="35"/>
  <c r="M13" i="35"/>
  <c r="M29" i="35"/>
  <c r="M393" i="35"/>
  <c r="M720" i="35"/>
  <c r="M49" i="35"/>
  <c r="M3" i="35"/>
  <c r="M681" i="35"/>
  <c r="M372" i="35"/>
  <c r="M621" i="35"/>
  <c r="M936" i="35"/>
  <c r="M937" i="35"/>
  <c r="M295" i="35"/>
  <c r="M263" i="35"/>
  <c r="M973" i="35"/>
  <c r="M870" i="35"/>
  <c r="M20" i="35"/>
  <c r="M500" i="35"/>
  <c r="M115" i="35"/>
  <c r="M277" i="35"/>
  <c r="M640" i="35"/>
  <c r="M691" i="35"/>
  <c r="M185" i="35"/>
  <c r="M48" i="35"/>
  <c r="M51" i="35"/>
  <c r="M938" i="35"/>
  <c r="M148" i="35"/>
  <c r="M40" i="35"/>
  <c r="M311" i="35"/>
  <c r="M416" i="35"/>
  <c r="M527" i="35"/>
  <c r="M473" i="35"/>
  <c r="M382" i="35"/>
  <c r="M223" i="35"/>
  <c r="M687" i="35"/>
  <c r="M154" i="35"/>
  <c r="M117" i="35"/>
  <c r="M695" i="35"/>
  <c r="M429" i="35"/>
  <c r="M99" i="35"/>
  <c r="M909" i="35"/>
  <c r="M60" i="35"/>
  <c r="M137" i="35"/>
  <c r="M317" i="35"/>
  <c r="M81" i="35"/>
  <c r="M612" i="35"/>
  <c r="M404" i="35"/>
  <c r="M1095" i="35"/>
  <c r="M742" i="35"/>
  <c r="M260" i="35"/>
  <c r="M10" i="35"/>
  <c r="M47" i="35"/>
  <c r="M23" i="35"/>
  <c r="M939" i="35"/>
  <c r="M703" i="35"/>
  <c r="M448" i="35"/>
  <c r="M851" i="35"/>
  <c r="M699" i="35"/>
  <c r="M650" i="35"/>
  <c r="M231" i="35"/>
  <c r="M637" i="35"/>
  <c r="M679" i="35"/>
  <c r="M84" i="35"/>
  <c r="M349" i="35"/>
  <c r="M181" i="35"/>
  <c r="M201" i="35"/>
  <c r="M552" i="35"/>
  <c r="M298" i="35"/>
  <c r="M561" i="35"/>
  <c r="M261" i="35"/>
  <c r="M629" i="35"/>
  <c r="M399" i="35"/>
  <c r="M940" i="35"/>
  <c r="M806" i="35"/>
  <c r="M199" i="35"/>
  <c r="M408" i="35"/>
  <c r="M156" i="35"/>
  <c r="M409" i="35"/>
  <c r="M674" i="35"/>
  <c r="M1074" i="35"/>
  <c r="M672" i="35"/>
  <c r="M702" i="35"/>
  <c r="M807" i="35"/>
  <c r="M342" i="35"/>
  <c r="M119" i="35"/>
  <c r="M389" i="35"/>
  <c r="M421" i="35"/>
  <c r="M560" i="35"/>
  <c r="M83" i="35"/>
  <c r="M875" i="35"/>
  <c r="M434" i="35"/>
  <c r="M97" i="35"/>
  <c r="M1078" i="35"/>
  <c r="M485" i="35"/>
  <c r="M229" i="35"/>
  <c r="M206" i="35"/>
  <c r="M19" i="35"/>
  <c r="M377" i="35"/>
  <c r="M138" i="35"/>
  <c r="M743" i="35"/>
  <c r="M715" i="35"/>
  <c r="M297" i="35"/>
  <c r="M250" i="35"/>
  <c r="M323" i="35"/>
  <c r="M225" i="35"/>
  <c r="M574" i="35"/>
  <c r="M899" i="35"/>
  <c r="M210" i="35"/>
  <c r="M352" i="35"/>
  <c r="M430" i="35"/>
  <c r="M141" i="35"/>
  <c r="M901" i="35"/>
  <c r="M543" i="35"/>
  <c r="M365" i="35"/>
  <c r="M1075" i="35"/>
  <c r="M488" i="35"/>
  <c r="M492" i="35"/>
  <c r="M689" i="35"/>
  <c r="M272" i="35"/>
  <c r="M541" i="35"/>
  <c r="M329" i="35"/>
  <c r="M360" i="35"/>
  <c r="M587" i="35"/>
  <c r="M176" i="35"/>
  <c r="M476" i="35"/>
  <c r="M501" i="35"/>
  <c r="M5" i="35"/>
  <c r="M445" i="35"/>
  <c r="M322" i="35"/>
  <c r="M340" i="35"/>
  <c r="M442" i="35"/>
  <c r="M193" i="35"/>
  <c r="M446" i="35"/>
  <c r="M834" i="35"/>
  <c r="M1088" i="35"/>
  <c r="M319" i="35"/>
  <c r="M1096" i="35"/>
  <c r="M417" i="35"/>
  <c r="M373" i="35"/>
  <c r="M32" i="35"/>
  <c r="M300" i="35"/>
  <c r="M622" i="35"/>
  <c r="M470" i="35"/>
  <c r="M171" i="35"/>
  <c r="M45" i="35"/>
  <c r="M710" i="35"/>
  <c r="M106" i="35"/>
  <c r="M299" i="35"/>
  <c r="M230" i="35"/>
  <c r="M466" i="35"/>
  <c r="M307" i="35"/>
  <c r="M16" i="35"/>
  <c r="M26" i="35"/>
  <c r="M112" i="35"/>
  <c r="M722" i="35"/>
  <c r="M190" i="35"/>
  <c r="M267" i="35"/>
  <c r="M837" i="35"/>
  <c r="M584" i="35"/>
  <c r="M281" i="35"/>
  <c r="M196" i="35"/>
  <c r="M278" i="35"/>
  <c r="M280" i="35"/>
  <c r="M1087" i="35"/>
  <c r="M808" i="35"/>
  <c r="M364" i="35"/>
  <c r="M383" i="35"/>
  <c r="M22" i="35"/>
  <c r="M578" i="35"/>
  <c r="M336" i="35"/>
  <c r="M1094" i="35"/>
  <c r="M367" i="35"/>
  <c r="M900" i="35"/>
  <c r="M178" i="35"/>
  <c r="M90" i="35"/>
  <c r="M841" i="35"/>
  <c r="M380" i="35"/>
  <c r="M486" i="35"/>
  <c r="M170" i="35"/>
  <c r="M941" i="35"/>
  <c r="M713" i="35"/>
  <c r="M64" i="35"/>
  <c r="M30" i="35"/>
  <c r="M591" i="35"/>
  <c r="M224" i="35"/>
  <c r="M183" i="35"/>
  <c r="M472" i="35"/>
  <c r="M304" i="35"/>
  <c r="M729" i="35"/>
  <c r="M127" i="35"/>
  <c r="M291" i="35"/>
  <c r="M884" i="35"/>
  <c r="M129" i="35"/>
  <c r="M85" i="35"/>
  <c r="M519" i="35"/>
  <c r="M506" i="35"/>
  <c r="M461" i="35"/>
  <c r="M58" i="35"/>
  <c r="M395" i="35"/>
  <c r="M77" i="35"/>
  <c r="M1079" i="35"/>
  <c r="M113" i="35"/>
  <c r="M139" i="35"/>
  <c r="M593" i="35"/>
  <c r="M182" i="35"/>
  <c r="M108" i="35"/>
  <c r="M850" i="35"/>
  <c r="M279" i="35"/>
  <c r="M942" i="35"/>
  <c r="M518" i="35"/>
  <c r="M452" i="35"/>
  <c r="M253" i="35"/>
  <c r="M9" i="35"/>
  <c r="M134" i="35"/>
  <c r="M42" i="35"/>
  <c r="M350" i="35"/>
  <c r="M109" i="35"/>
  <c r="M709" i="35"/>
  <c r="M685" i="35"/>
  <c r="M1080" i="35"/>
  <c r="M232" i="35"/>
  <c r="M705" i="35"/>
  <c r="M684" i="35"/>
  <c r="M585" i="35"/>
  <c r="M606" i="35"/>
  <c r="M809" i="35"/>
  <c r="M604" i="35"/>
  <c r="M475" i="35"/>
  <c r="M644" i="35"/>
  <c r="M571" i="35"/>
  <c r="M462" i="35"/>
  <c r="M810" i="35"/>
  <c r="M680" i="35"/>
  <c r="M489" i="35"/>
  <c r="M192" i="35"/>
  <c r="M172" i="35"/>
  <c r="M639" i="35"/>
  <c r="M436" i="35"/>
  <c r="M643" i="35"/>
  <c r="M31" i="35"/>
  <c r="M635" i="35"/>
  <c r="M487" i="35"/>
  <c r="M242" i="35"/>
  <c r="M657" i="35"/>
  <c r="M344" i="35"/>
  <c r="M1072" i="35"/>
  <c r="M418" i="35"/>
  <c r="M811" i="35"/>
  <c r="M536" i="35"/>
  <c r="M325" i="35"/>
  <c r="M725" i="35"/>
  <c r="M320" i="35"/>
  <c r="M479" i="35"/>
  <c r="M718" i="35"/>
  <c r="M495" i="35"/>
  <c r="M557" i="35"/>
  <c r="M514" i="35"/>
  <c r="M425" i="35"/>
  <c r="M371" i="35"/>
  <c r="M559" i="35"/>
  <c r="M79" i="35"/>
  <c r="M753" i="35"/>
  <c r="M306" i="35"/>
  <c r="M693" i="35"/>
  <c r="M324" i="35"/>
  <c r="M387" i="35"/>
  <c r="M508" i="35"/>
  <c r="M287" i="35"/>
  <c r="M460" i="35"/>
  <c r="M534" i="35"/>
  <c r="M444" i="35"/>
  <c r="M149" i="35"/>
  <c r="M997" i="35"/>
  <c r="M471" i="35"/>
  <c r="M264" i="35"/>
  <c r="M125" i="35"/>
  <c r="M943" i="35"/>
  <c r="M682" i="35"/>
  <c r="M305" i="35"/>
  <c r="M478" i="35"/>
  <c r="M502" i="35"/>
  <c r="M160" i="35"/>
  <c r="M589" i="35"/>
  <c r="M162" i="35"/>
  <c r="M194" i="35"/>
  <c r="M510" i="35"/>
  <c r="M562" i="35"/>
  <c r="M944" i="35"/>
  <c r="M234" i="35"/>
  <c r="M356" i="35"/>
  <c r="M255" i="35"/>
  <c r="M246" i="35"/>
  <c r="M237" i="35"/>
  <c r="M812" i="35"/>
  <c r="M396" i="35"/>
  <c r="M945" i="35"/>
  <c r="M289" i="35"/>
  <c r="M655" i="35"/>
  <c r="M276" i="35"/>
  <c r="M698" i="35"/>
  <c r="M669" i="35"/>
  <c r="M101" i="35"/>
  <c r="M592" i="35"/>
  <c r="M209" i="35"/>
  <c r="M39" i="35"/>
  <c r="M174" i="35"/>
  <c r="M27" i="35"/>
  <c r="M667" i="35"/>
  <c r="M375" i="35"/>
  <c r="M607" i="35"/>
  <c r="M686" i="35"/>
  <c r="M376" i="35"/>
  <c r="M1085" i="35"/>
  <c r="M354" i="35"/>
  <c r="M65" i="35"/>
  <c r="M107" i="35"/>
  <c r="M46" i="35"/>
  <c r="M491" i="35"/>
  <c r="M474" i="35"/>
  <c r="M302" i="35"/>
  <c r="M1098" i="35"/>
  <c r="M140" i="35"/>
  <c r="M362" i="35"/>
  <c r="M151" i="35"/>
  <c r="M294" i="35"/>
  <c r="M155" i="35"/>
  <c r="M676" i="35"/>
  <c r="M697" i="35"/>
  <c r="M847" i="35"/>
  <c r="M76" i="35"/>
  <c r="M531" i="35"/>
  <c r="M18" i="35"/>
  <c r="M463" i="35"/>
  <c r="M813" i="35"/>
  <c r="M581" i="35"/>
  <c r="M179" i="35"/>
  <c r="M633" i="35"/>
  <c r="M654" i="35"/>
  <c r="M28" i="35"/>
  <c r="M363" i="35"/>
  <c r="M400" i="35"/>
  <c r="M730" i="35"/>
  <c r="M503" i="35"/>
  <c r="M221" i="35"/>
  <c r="M284" i="35"/>
  <c r="M814" i="35"/>
  <c r="M95" i="35"/>
  <c r="M829" i="35"/>
  <c r="M34" i="35"/>
  <c r="M483" i="35"/>
  <c r="M600" i="35"/>
  <c r="M82" i="35"/>
  <c r="M189" i="35"/>
  <c r="M458" i="35"/>
  <c r="M1099" i="35"/>
  <c r="M605" i="35"/>
  <c r="M328" i="35"/>
  <c r="M331" i="35"/>
  <c r="M241" i="35"/>
  <c r="M1092" i="35"/>
  <c r="M89" i="35"/>
  <c r="M110" i="35"/>
  <c r="M1089" i="35"/>
  <c r="M70" i="35"/>
  <c r="M744" i="35"/>
  <c r="M25" i="35"/>
  <c r="M327" i="35"/>
  <c r="M636" i="35"/>
  <c r="M666" i="35"/>
  <c r="M169" i="35"/>
  <c r="M14" i="35"/>
  <c r="M205" i="35"/>
  <c r="M597" i="35"/>
  <c r="M71" i="35"/>
  <c r="M135" i="35"/>
  <c r="M69" i="35"/>
  <c r="M6" i="35"/>
  <c r="M719" i="35"/>
  <c r="M576" i="35"/>
  <c r="M1091" i="35"/>
  <c r="M723" i="35"/>
  <c r="M180" i="35"/>
  <c r="M624" i="35"/>
  <c r="M711" i="35"/>
  <c r="M662" i="35"/>
  <c r="M566" i="35"/>
  <c r="M159" i="35"/>
  <c r="M268" i="35"/>
  <c r="M24" i="35"/>
  <c r="M61" i="35"/>
  <c r="M142" i="35"/>
  <c r="M157" i="35"/>
  <c r="M580" i="35"/>
  <c r="M334" i="35"/>
  <c r="M609" i="35"/>
  <c r="M1073" i="35"/>
  <c r="M565" i="35"/>
  <c r="M12" i="35"/>
  <c r="M537" i="35"/>
  <c r="M309" i="35"/>
  <c r="M228" i="35"/>
  <c r="M538" i="35"/>
  <c r="M128" i="35"/>
  <c r="M494" i="35"/>
  <c r="M615" i="35"/>
  <c r="M618" i="35"/>
  <c r="M556" i="35"/>
  <c r="M86" i="35"/>
  <c r="M651" i="35"/>
  <c r="M33" i="35"/>
  <c r="M547" i="35"/>
  <c r="M647" i="35"/>
  <c r="M613" i="35"/>
  <c r="M337" i="35"/>
  <c r="M551" i="35"/>
  <c r="M542" i="35"/>
  <c r="M568" i="35"/>
  <c r="M38" i="35"/>
  <c r="M690" i="35"/>
  <c r="M204" i="35"/>
  <c r="M57" i="35"/>
  <c r="M126" i="35"/>
  <c r="M601" i="35"/>
  <c r="M451" i="35"/>
  <c r="M579" i="35"/>
  <c r="M731" i="35"/>
  <c r="M1083" i="35"/>
  <c r="M946" i="35"/>
  <c r="M456" i="35"/>
  <c r="M614" i="35"/>
  <c r="M856" i="35"/>
  <c r="M457" i="35"/>
  <c r="M517" i="35"/>
  <c r="M88" i="35"/>
  <c r="M256" i="35"/>
  <c r="M511" i="35"/>
  <c r="M435" i="35"/>
  <c r="M815" i="35"/>
  <c r="M477" i="35"/>
  <c r="M670" i="35"/>
  <c r="M321" i="35"/>
  <c r="M265" i="35"/>
  <c r="M308" i="35"/>
  <c r="M52" i="35"/>
  <c r="M258" i="35"/>
  <c r="M326" i="35"/>
  <c r="M535" i="35"/>
  <c r="M507" i="35"/>
  <c r="M245" i="35"/>
  <c r="M553" i="35"/>
  <c r="M386" i="35"/>
  <c r="M379" i="35"/>
  <c r="M251" i="35"/>
  <c r="M464" i="35"/>
  <c r="M8" i="35"/>
  <c r="M262" i="35"/>
  <c r="M852" i="35"/>
  <c r="M116" i="35"/>
  <c r="M530" i="35"/>
  <c r="M484" i="35"/>
  <c r="M653" i="35"/>
  <c r="M67" i="35"/>
  <c r="M43" i="35"/>
  <c r="M569" i="35"/>
  <c r="M91" i="35"/>
  <c r="M235" i="35"/>
  <c r="M203" i="35"/>
  <c r="M357" i="35"/>
  <c r="M314" i="35"/>
  <c r="M947" i="35"/>
  <c r="M339" i="35"/>
  <c r="M1076" i="35"/>
  <c r="M608" i="35"/>
  <c r="M175" i="35"/>
  <c r="M292" i="35"/>
  <c r="M721" i="35"/>
  <c r="M845" i="35"/>
  <c r="M700" i="35"/>
  <c r="M392" i="35"/>
  <c r="M346" i="35"/>
  <c r="M998" i="35"/>
  <c r="M310" i="35"/>
  <c r="M745" i="35"/>
  <c r="M54" i="35"/>
  <c r="M4" i="35"/>
  <c r="M103" i="35"/>
  <c r="M220" i="35"/>
  <c r="M293" i="35"/>
  <c r="M726" i="35"/>
  <c r="M520" i="35"/>
  <c r="M548" i="35"/>
  <c r="M195" i="35"/>
  <c r="M1070" i="35"/>
  <c r="M540" i="35"/>
  <c r="M948" i="35"/>
  <c r="M243" i="35"/>
  <c r="M249" i="35"/>
  <c r="M634" i="35"/>
  <c r="M226" i="35"/>
  <c r="M1071" i="35"/>
  <c r="M131" i="35"/>
  <c r="M397" i="35"/>
  <c r="M240" i="35"/>
  <c r="M120" i="35"/>
  <c r="M638" i="35"/>
  <c r="M467" i="35"/>
  <c r="M394" i="35"/>
  <c r="M124" i="35"/>
  <c r="M558" i="35"/>
  <c r="M652" i="35"/>
  <c r="M454" i="35"/>
  <c r="M746" i="35"/>
  <c r="M949" i="35"/>
  <c r="M402" i="35"/>
  <c r="M316" i="35"/>
  <c r="M824" i="35"/>
  <c r="M259" i="35"/>
  <c r="M582" i="35"/>
  <c r="M355" i="35"/>
  <c r="M236" i="35"/>
  <c r="M620" i="35"/>
  <c r="M707" i="35"/>
  <c r="M75" i="35"/>
  <c r="M664" i="35"/>
  <c r="M403" i="35"/>
  <c r="M407" i="35"/>
  <c r="M619" i="35"/>
  <c r="M516" i="35"/>
  <c r="M599" i="35"/>
  <c r="M227" i="35"/>
  <c r="M521" i="35"/>
  <c r="M440" i="35"/>
  <c r="M94" i="35"/>
  <c r="M353" i="35"/>
  <c r="M545" i="35"/>
  <c r="M441" i="35"/>
  <c r="M594" i="35"/>
  <c r="M426" i="35"/>
  <c r="M55" i="35"/>
  <c r="M411" i="35"/>
  <c r="M301" i="35"/>
  <c r="M480" i="35"/>
  <c r="M550" i="35"/>
  <c r="M254" i="35"/>
  <c r="M212" i="35"/>
  <c r="M197" i="35"/>
  <c r="M747" i="35"/>
  <c r="M583" i="35"/>
  <c r="M481" i="35"/>
  <c r="M642" i="35"/>
  <c r="M533" i="35"/>
  <c r="M348" i="35"/>
  <c r="M816" i="35"/>
  <c r="M208" i="35"/>
  <c r="M630" i="35"/>
  <c r="M443" i="35"/>
  <c r="M817" i="35"/>
  <c r="M431" i="35"/>
  <c r="M315" i="35"/>
  <c r="M123" i="35"/>
  <c r="M273" i="35"/>
  <c r="M87" i="35"/>
  <c r="M544" i="35"/>
  <c r="M469" i="35"/>
  <c r="M96" i="35"/>
  <c r="M432" i="35"/>
  <c r="M111" i="35"/>
  <c r="M623" i="35"/>
  <c r="M424" i="35"/>
  <c r="M433" i="35"/>
  <c r="M401" i="35"/>
  <c r="M405" i="35"/>
  <c r="M748" i="35"/>
  <c r="M925" i="35"/>
  <c r="M161" i="35"/>
  <c r="M602" i="35"/>
  <c r="M366" i="35"/>
  <c r="M665" i="35"/>
  <c r="M368" i="35"/>
  <c r="M36" i="35"/>
  <c r="M122" i="35"/>
  <c r="M1084" i="35"/>
  <c r="M384" i="35"/>
  <c r="M950" i="35"/>
  <c r="M385" i="35"/>
  <c r="M233" i="35"/>
  <c r="M191" i="35"/>
  <c r="M211" i="35"/>
  <c r="M271" i="35"/>
  <c r="M661" i="35"/>
  <c r="M1097" i="35"/>
  <c r="M526" i="35"/>
  <c r="M826" i="35"/>
  <c r="M658" i="35"/>
  <c r="M358" i="35"/>
  <c r="M853" i="35"/>
  <c r="M286" i="35"/>
  <c r="M378" i="35"/>
  <c r="M784" i="35"/>
  <c r="M525" i="35"/>
  <c r="M219" i="35"/>
  <c r="M406" i="35"/>
  <c r="M818" i="35"/>
  <c r="M415" i="35"/>
  <c r="M999" i="35"/>
  <c r="M413" i="35"/>
  <c r="M842" i="35"/>
  <c r="M332" i="35"/>
  <c r="M222" i="35"/>
  <c r="M374" i="35"/>
  <c r="M257" i="35"/>
  <c r="M428" i="35"/>
  <c r="M133" i="35"/>
  <c r="M663" i="35"/>
  <c r="M675" i="35"/>
  <c r="M290" i="35"/>
  <c r="M330" i="35"/>
  <c r="M959" i="35"/>
  <c r="M186" i="35"/>
  <c r="M282" i="35"/>
  <c r="M830" i="35"/>
  <c r="M388" i="35"/>
  <c r="M831" i="35"/>
  <c r="M701" i="35"/>
  <c r="M214" i="35"/>
  <c r="M546" i="35"/>
  <c r="M696" i="35"/>
  <c r="M381" i="35"/>
  <c r="M717" i="35"/>
  <c r="M62" i="35"/>
  <c r="M528" i="35"/>
  <c r="M1081" i="35"/>
  <c r="M216" i="35"/>
  <c r="M427" i="35"/>
  <c r="M832" i="35"/>
  <c r="M951" i="35"/>
  <c r="M390" i="35"/>
  <c r="M749" i="35"/>
  <c r="M359" i="35"/>
  <c r="M588" i="35"/>
  <c r="M522" i="35"/>
  <c r="M132" i="35"/>
  <c r="M554" i="35"/>
  <c r="M677" i="35"/>
  <c r="M750" i="35"/>
  <c r="M819" i="35"/>
  <c r="M50" i="35"/>
  <c r="M166" i="35"/>
  <c r="M563" i="35"/>
  <c r="M1000" i="35"/>
  <c r="M247" i="35"/>
  <c r="M706" i="35"/>
  <c r="M848" i="35"/>
  <c r="M439" i="35"/>
  <c r="M218" i="35"/>
  <c r="M275" i="35"/>
  <c r="M414" i="35"/>
  <c r="M347" i="35"/>
  <c r="M673" i="35"/>
  <c r="M524" i="35"/>
  <c r="M820" i="35"/>
  <c r="M248" i="35"/>
  <c r="M335" i="35"/>
  <c r="M595" i="35"/>
  <c r="M7" i="35"/>
  <c r="M1077" i="35"/>
  <c r="M66" i="35"/>
  <c r="M714" i="35"/>
  <c r="M692" i="35"/>
  <c r="M419" i="35"/>
  <c r="M1086" i="35"/>
  <c r="M603" i="35"/>
  <c r="M751" i="35"/>
  <c r="M727" i="35"/>
  <c r="M345" i="35"/>
  <c r="M136" i="35"/>
  <c r="M704" i="35"/>
  <c r="M570" i="35"/>
  <c r="M146" i="35"/>
  <c r="M712" i="35"/>
  <c r="M885" i="35"/>
  <c r="M423" i="35"/>
  <c r="M187" i="35"/>
  <c r="M962" i="35"/>
  <c r="M564" i="35"/>
  <c r="M465" i="35"/>
  <c r="M952" i="35"/>
  <c r="M549" i="35"/>
  <c r="M821" i="35"/>
  <c r="M838" i="35"/>
  <c r="M274" i="35"/>
  <c r="M455" i="35"/>
  <c r="M17" i="35"/>
  <c r="M165" i="35"/>
  <c r="M338" i="35"/>
  <c r="M158" i="35"/>
  <c r="M269" i="35"/>
  <c r="M44" i="35"/>
  <c r="M217" i="35"/>
  <c r="M611" i="35"/>
  <c r="M398" i="35"/>
  <c r="M523" i="35"/>
  <c r="M1090" i="35"/>
  <c r="M285" i="35"/>
  <c r="M41" i="35"/>
  <c r="M74" i="35"/>
  <c r="M659" i="35"/>
  <c r="M100" i="35"/>
  <c r="M351" i="35"/>
  <c r="M213" i="35"/>
  <c r="M683" i="35"/>
  <c r="M68" i="35"/>
  <c r="M694" i="35"/>
  <c r="M509" i="35"/>
  <c r="M646" i="35"/>
  <c r="M53" i="35"/>
  <c r="M631" i="35"/>
  <c r="M504" i="35"/>
  <c r="M586" i="35"/>
  <c r="M420" i="35"/>
  <c r="M202" i="35"/>
  <c r="M270" i="35"/>
  <c r="M648" i="35"/>
  <c r="M490" i="35"/>
  <c r="M164" i="35"/>
  <c r="M11" i="35"/>
  <c r="M459" i="35"/>
  <c r="M668" i="35"/>
  <c r="M732" i="35"/>
  <c r="M188" i="35"/>
  <c r="M532" i="35"/>
  <c r="M616" i="35"/>
  <c r="M539" i="35"/>
  <c r="M244" i="35"/>
  <c r="M628" i="35"/>
  <c r="M468" i="35"/>
  <c r="M449" i="35"/>
  <c r="M78" i="35"/>
  <c r="M318" i="35"/>
  <c r="M577" i="35"/>
  <c r="M497" i="35"/>
  <c r="M391" i="35"/>
  <c r="M752" i="35"/>
  <c r="M1093" i="35"/>
  <c r="M152" i="35"/>
  <c r="M200" i="35"/>
  <c r="M215" i="35"/>
  <c r="M529" i="35"/>
  <c r="M288" i="35"/>
  <c r="M660" i="35"/>
  <c r="M80" i="35"/>
  <c r="M555" i="35"/>
  <c r="M656" i="35"/>
  <c r="M822" i="35"/>
  <c r="M513" i="35"/>
  <c r="M823" i="35"/>
  <c r="M147" i="35"/>
  <c r="M370" i="35"/>
  <c r="M56" i="35"/>
  <c r="M92" i="35"/>
  <c r="M617" i="35"/>
  <c r="M105" i="35"/>
  <c r="M590" i="35"/>
  <c r="M610" i="35"/>
  <c r="M296" i="35"/>
  <c r="M35" i="35"/>
  <c r="M312" i="35"/>
  <c r="M641" i="35"/>
  <c r="M833" i="35"/>
  <c r="M177" i="35"/>
  <c r="M361" i="35"/>
  <c r="M596" i="35"/>
  <c r="M168" i="35"/>
  <c r="M572" i="35"/>
  <c r="M625" i="35"/>
  <c r="M515" i="35"/>
  <c r="M198" i="35"/>
  <c r="M283" i="35"/>
  <c r="M1001" i="35"/>
  <c r="M632" i="35"/>
  <c r="M499" i="35"/>
  <c r="M341" i="35"/>
  <c r="M153" i="35"/>
  <c r="M450" i="35"/>
  <c r="M63" i="35"/>
  <c r="M207" i="35"/>
  <c r="M438" i="35"/>
  <c r="M955" i="35"/>
  <c r="M567" i="35"/>
  <c r="M447" i="35"/>
  <c r="M953" i="35"/>
  <c r="M849" i="35"/>
  <c r="M512" i="35"/>
  <c r="M678" i="35"/>
  <c r="M98" i="35"/>
  <c r="M839" i="35"/>
  <c r="M144" i="35"/>
  <c r="M498" i="35"/>
  <c r="M688" i="35"/>
  <c r="M102" i="35"/>
  <c r="M437" i="35"/>
  <c r="M37" i="35"/>
  <c r="M118" i="35"/>
  <c r="M143" i="35"/>
  <c r="M482" i="35"/>
  <c r="M114" i="35"/>
  <c r="M21" i="35"/>
  <c r="M59" i="35"/>
  <c r="M73" i="35"/>
  <c r="M163" i="35"/>
  <c r="M770" i="35"/>
  <c r="M130" i="35"/>
  <c r="M369" i="35"/>
  <c r="M598" i="35"/>
  <c r="M239" i="35"/>
  <c r="M1082" i="35"/>
  <c r="M904" i="35"/>
  <c r="M505" i="35"/>
  <c r="M649" i="35"/>
  <c r="M93" i="35"/>
  <c r="M167" i="35"/>
  <c r="M252" i="35"/>
  <c r="M772" i="35"/>
  <c r="M333" i="35"/>
  <c r="M954" i="35"/>
  <c r="M768" i="35"/>
  <c r="M313" i="35"/>
  <c r="M173" i="35"/>
  <c r="M769" i="35"/>
  <c r="M238" i="35"/>
  <c r="M773" i="35"/>
  <c r="M903" i="35"/>
  <c r="M343" i="35"/>
  <c r="M771" i="35"/>
  <c r="M774" i="35"/>
  <c r="M303" i="35"/>
  <c r="M150" i="35"/>
  <c r="M453" i="35"/>
  <c r="M893" i="35"/>
  <c r="M184" i="35"/>
  <c r="M575" i="35"/>
  <c r="M496" i="35"/>
  <c r="M266" i="35"/>
  <c r="M104" i="35"/>
  <c r="M708" i="35"/>
  <c r="Q323" i="35"/>
  <c r="Q1075" i="35"/>
  <c r="Q340" i="35"/>
  <c r="Q319" i="35"/>
  <c r="Q1087" i="35"/>
  <c r="Q367" i="35"/>
  <c r="Q291" i="35"/>
  <c r="Q1072" i="35"/>
  <c r="Q356" i="35"/>
  <c r="Q375" i="35"/>
  <c r="Q1083" i="35"/>
  <c r="Q1076" i="35"/>
  <c r="Q292" i="35"/>
  <c r="Q293" i="35"/>
  <c r="Q1084" i="35"/>
  <c r="Q286" i="35"/>
  <c r="Q335" i="35"/>
  <c r="Q345" i="35"/>
  <c r="Q283" i="35"/>
  <c r="Q281" i="35"/>
  <c r="Q298" i="35"/>
  <c r="Q264" i="35"/>
  <c r="Q315" i="35"/>
  <c r="Q360" i="35"/>
  <c r="Q363" i="35"/>
  <c r="Q358" i="35"/>
  <c r="Q274" i="35"/>
  <c r="Q344" i="35"/>
  <c r="Q327" i="35"/>
  <c r="Q347" i="35"/>
  <c r="Q303" i="35"/>
  <c r="Q277" i="35"/>
  <c r="Q352" i="35"/>
  <c r="Q299" i="35"/>
  <c r="Q313" i="35"/>
  <c r="Q282" i="35"/>
  <c r="Q333" i="35"/>
  <c r="Q343" i="35"/>
  <c r="Q369" i="35"/>
  <c r="Q285" i="35"/>
  <c r="Q297" i="35"/>
  <c r="Q310" i="35"/>
  <c r="Q372" i="35"/>
  <c r="Q270" i="35"/>
  <c r="Q371" i="35"/>
  <c r="Q262" i="35"/>
  <c r="Q295" i="35"/>
  <c r="Q326" i="35"/>
  <c r="Q290" i="35"/>
  <c r="Q267" i="35"/>
  <c r="Q330" i="35"/>
  <c r="Q318" i="35"/>
  <c r="Q320" i="35"/>
  <c r="Q263" i="35"/>
  <c r="Q289" i="35"/>
  <c r="Q314" i="35"/>
  <c r="Q339" i="35"/>
  <c r="Q368" i="35"/>
  <c r="Q321" i="35"/>
  <c r="Q308" i="35"/>
  <c r="Q338" i="35"/>
  <c r="Q349" i="35"/>
  <c r="Q273" i="35"/>
  <c r="Q373" i="35"/>
  <c r="Q1097" i="35"/>
  <c r="Q311" i="35"/>
  <c r="Q365" i="35"/>
  <c r="Q336" i="35"/>
  <c r="Q301" i="35"/>
  <c r="Q275" i="35"/>
  <c r="Q350" i="35"/>
  <c r="Q276" i="35"/>
  <c r="Q294" i="35"/>
  <c r="Q306" i="35"/>
  <c r="Q1074" i="35"/>
  <c r="Q355" i="35"/>
  <c r="Q353" i="35"/>
  <c r="Q266" i="35"/>
  <c r="Q364" i="35"/>
  <c r="Q331" i="35"/>
  <c r="Q334" i="35"/>
  <c r="Q316" i="35"/>
  <c r="Q370" i="35"/>
  <c r="Q325" i="35"/>
  <c r="Q324" i="35"/>
  <c r="Q354" i="35"/>
  <c r="Q341" i="35"/>
  <c r="Q296" i="35"/>
  <c r="Q329" i="35"/>
  <c r="Q332" i="35"/>
  <c r="Q279" i="35"/>
  <c r="Q305" i="35"/>
  <c r="Q284" i="35"/>
  <c r="Q348" i="35"/>
  <c r="Q307" i="35"/>
  <c r="Q269" i="35"/>
  <c r="Q1071" i="35"/>
  <c r="Q1082" i="35"/>
  <c r="Q374" i="35"/>
  <c r="Q1077" i="35"/>
  <c r="Q1093" i="35"/>
  <c r="Q268" i="35"/>
  <c r="Q1081" i="35"/>
  <c r="Q328" i="35"/>
  <c r="Q1073" i="35"/>
  <c r="Q366" i="35"/>
  <c r="Q362" i="35"/>
  <c r="Q271" i="35"/>
  <c r="Q322" i="35"/>
  <c r="Q302" i="35"/>
  <c r="Q351" i="35"/>
  <c r="Q272" i="35"/>
  <c r="Q1086" i="35"/>
  <c r="Q337" i="35"/>
  <c r="Q346" i="35"/>
  <c r="Q1094" i="35"/>
  <c r="Q309" i="35"/>
  <c r="Q1085" i="35"/>
  <c r="Q1091" i="35"/>
  <c r="Q361" i="35"/>
  <c r="Q1078" i="35"/>
  <c r="Q1079" i="35"/>
  <c r="Q1098" i="35"/>
  <c r="Q312" i="35"/>
  <c r="Q300" i="35"/>
  <c r="Q278" i="35"/>
  <c r="Q359" i="35"/>
  <c r="Q1089" i="35"/>
  <c r="Q287" i="35"/>
  <c r="Q1095" i="35"/>
  <c r="Q1080" i="35"/>
  <c r="Q1092" i="35"/>
  <c r="Q1096" i="35"/>
  <c r="Q1099" i="35"/>
  <c r="Q1090" i="35"/>
  <c r="Q265" i="35"/>
  <c r="Q288" i="35"/>
  <c r="Q342" i="35"/>
  <c r="Q304" i="35"/>
  <c r="Q280" i="35"/>
  <c r="Q357" i="35"/>
  <c r="Q1088" i="35"/>
  <c r="Q154" i="35"/>
  <c r="Q40" i="35"/>
  <c r="Q1070" i="35"/>
  <c r="Q741" i="35"/>
  <c r="Q936" i="35"/>
  <c r="Q937" i="35"/>
  <c r="Q973" i="35"/>
  <c r="Q870" i="35"/>
  <c r="Q938" i="35"/>
  <c r="Q909" i="35"/>
  <c r="Q404" i="35"/>
  <c r="Q742" i="35"/>
  <c r="Q939" i="35"/>
  <c r="Q851" i="35"/>
  <c r="Q231" i="35"/>
  <c r="Q940" i="35"/>
  <c r="Q806" i="35"/>
  <c r="Q408" i="35"/>
  <c r="Q807" i="35"/>
  <c r="Q875" i="35"/>
  <c r="Q743" i="35"/>
  <c r="Q899" i="35"/>
  <c r="Q901" i="35"/>
  <c r="Q834" i="35"/>
  <c r="Q837" i="35"/>
  <c r="Q808" i="35"/>
  <c r="Q900" i="35"/>
  <c r="Q841" i="35"/>
  <c r="Q941" i="35"/>
  <c r="Q729" i="35"/>
  <c r="Q884" i="35"/>
  <c r="Q850" i="35"/>
  <c r="Q942" i="35"/>
  <c r="Q809" i="35"/>
  <c r="Q810" i="35"/>
  <c r="Q811" i="35"/>
  <c r="Q725" i="35"/>
  <c r="Q753" i="35"/>
  <c r="Q997" i="35"/>
  <c r="Q943" i="35"/>
  <c r="Q944" i="35"/>
  <c r="Q812" i="35"/>
  <c r="Q945" i="35"/>
  <c r="Q847" i="35"/>
  <c r="Q813" i="35"/>
  <c r="Q730" i="35"/>
  <c r="Q814" i="35"/>
  <c r="Q829" i="35"/>
  <c r="Q744" i="35"/>
  <c r="Q731" i="35"/>
  <c r="Q946" i="35"/>
  <c r="Q856" i="35"/>
  <c r="Q815" i="35"/>
  <c r="Q852" i="35"/>
  <c r="Q947" i="35"/>
  <c r="Q845" i="35"/>
  <c r="Q998" i="35"/>
  <c r="Q745" i="35"/>
  <c r="Q726" i="35"/>
  <c r="Q948" i="35"/>
  <c r="Q746" i="35"/>
  <c r="Q949" i="35"/>
  <c r="Q402" i="35"/>
  <c r="Q824" i="35"/>
  <c r="Q407" i="35"/>
  <c r="Q747" i="35"/>
  <c r="Q816" i="35"/>
  <c r="Q817" i="35"/>
  <c r="Q401" i="35"/>
  <c r="Q748" i="35"/>
  <c r="Q925" i="35"/>
  <c r="Q950" i="35"/>
  <c r="Q826" i="35"/>
  <c r="Q853" i="35"/>
  <c r="Q784" i="35"/>
  <c r="Q818" i="35"/>
  <c r="Q415" i="35"/>
  <c r="Q999" i="35"/>
  <c r="Q413" i="35"/>
  <c r="Q842" i="35"/>
  <c r="Q959" i="35"/>
  <c r="Q830" i="35"/>
  <c r="Q831" i="35"/>
  <c r="Q832" i="35"/>
  <c r="Q951" i="35"/>
  <c r="Q749" i="35"/>
  <c r="Q750" i="35"/>
  <c r="Q819" i="35"/>
  <c r="Q1000" i="35"/>
  <c r="Q848" i="35"/>
  <c r="Q414" i="35"/>
  <c r="Q820" i="35"/>
  <c r="Q751" i="35"/>
  <c r="Q727" i="35"/>
  <c r="Q885" i="35"/>
  <c r="Q962" i="35"/>
  <c r="Q952" i="35"/>
  <c r="Q821" i="35"/>
  <c r="Q838" i="35"/>
  <c r="Q732" i="35"/>
  <c r="Q752" i="35"/>
  <c r="Q822" i="35"/>
  <c r="Q823" i="35"/>
  <c r="Q833" i="35"/>
  <c r="Q1001" i="35"/>
  <c r="Q955" i="35"/>
  <c r="Q953" i="35"/>
  <c r="Q849" i="35"/>
  <c r="Q839" i="35"/>
  <c r="Q954" i="35"/>
  <c r="Q893" i="35"/>
  <c r="Q236" i="35"/>
  <c r="Q377" i="35"/>
  <c r="Q112" i="35"/>
  <c r="Q376" i="35"/>
  <c r="Q175" i="35"/>
  <c r="Q216" i="35"/>
  <c r="Q146" i="35"/>
  <c r="Q165" i="35"/>
  <c r="Q380" i="35"/>
  <c r="Q237" i="35"/>
  <c r="Q241" i="35"/>
  <c r="Q379" i="35"/>
  <c r="Q378" i="35"/>
  <c r="Q186" i="35"/>
  <c r="Q381" i="35"/>
  <c r="Q218" i="35"/>
  <c r="Q382" i="35"/>
  <c r="Q383" i="35"/>
  <c r="Q178" i="35"/>
  <c r="Q189" i="35"/>
  <c r="Q228" i="35"/>
  <c r="Q208" i="35"/>
  <c r="Q384" i="35"/>
  <c r="Q385" i="35"/>
  <c r="Q225" i="35"/>
  <c r="Q190" i="35"/>
  <c r="Q224" i="35"/>
  <c r="Q386" i="35"/>
  <c r="Q249" i="35"/>
  <c r="Q387" i="35"/>
  <c r="Q155" i="35"/>
  <c r="Q388" i="35"/>
  <c r="Q389" i="35"/>
  <c r="Q134" i="35"/>
  <c r="Q234" i="35"/>
  <c r="Q195" i="35"/>
  <c r="Q124" i="35"/>
  <c r="Q191" i="35"/>
  <c r="Q390" i="35"/>
  <c r="Q391" i="35"/>
  <c r="Q393" i="35"/>
  <c r="Q181" i="35"/>
  <c r="Q392" i="35"/>
  <c r="Q394" i="35"/>
  <c r="Q161" i="35"/>
  <c r="Q122" i="35"/>
  <c r="Q395" i="35"/>
  <c r="Q396" i="35"/>
  <c r="Q239" i="35"/>
  <c r="Q399" i="35"/>
  <c r="Q400" i="35"/>
  <c r="Q397" i="35"/>
  <c r="Q398" i="35"/>
  <c r="Q201" i="35"/>
  <c r="Q220" i="35"/>
  <c r="Q173" i="35"/>
  <c r="Q238" i="35"/>
  <c r="Q903" i="35"/>
  <c r="Q403" i="35"/>
  <c r="Q405" i="35"/>
  <c r="Q406" i="35"/>
  <c r="Q167" i="35"/>
  <c r="Q252" i="35"/>
  <c r="Q768" i="35"/>
  <c r="Q409" i="35"/>
  <c r="Q769" i="35"/>
  <c r="Q770" i="35"/>
  <c r="Q771" i="35"/>
  <c r="Q411" i="35"/>
  <c r="Q904" i="35"/>
  <c r="Q772" i="35"/>
  <c r="Q773" i="35"/>
  <c r="Q774" i="35"/>
  <c r="Q416" i="35"/>
  <c r="Q417" i="35"/>
  <c r="Q193" i="35"/>
  <c r="Q418" i="35"/>
  <c r="Q419" i="35"/>
  <c r="Q260" i="35"/>
  <c r="Q420" i="35"/>
  <c r="Q421" i="35"/>
  <c r="Q9" i="35"/>
  <c r="Q424" i="35"/>
  <c r="Q248" i="35"/>
  <c r="Q423" i="35"/>
  <c r="Q26" i="35"/>
  <c r="Q425" i="35"/>
  <c r="Q426" i="35"/>
  <c r="Q427" i="35"/>
  <c r="Q153" i="35"/>
  <c r="Q202" i="35"/>
  <c r="Q196" i="35"/>
  <c r="Q232" i="35"/>
  <c r="Q428" i="35"/>
  <c r="Q429" i="35"/>
  <c r="Q15" i="35"/>
  <c r="Q180" i="35"/>
  <c r="Q430" i="35"/>
  <c r="Q22" i="35"/>
  <c r="Q188" i="35"/>
  <c r="Q29" i="35"/>
  <c r="Q211" i="35"/>
  <c r="Q431" i="35"/>
  <c r="Q432" i="35"/>
  <c r="Q433" i="35"/>
  <c r="Q434" i="35"/>
  <c r="Q435" i="35"/>
  <c r="Q247" i="35"/>
  <c r="Q436" i="35"/>
  <c r="Q187" i="35"/>
  <c r="Q217" i="35"/>
  <c r="Q199" i="35"/>
  <c r="Q255" i="35"/>
  <c r="Q8" i="35"/>
  <c r="Q177" i="35"/>
  <c r="Q438" i="35"/>
  <c r="Q437" i="35"/>
  <c r="Q261" i="35"/>
  <c r="Q445" i="35"/>
  <c r="Q442" i="35"/>
  <c r="Q444" i="35"/>
  <c r="Q256" i="35"/>
  <c r="Q440" i="35"/>
  <c r="Q441" i="35"/>
  <c r="Q443" i="35"/>
  <c r="Q111" i="35"/>
  <c r="Q233" i="35"/>
  <c r="Q439" i="35"/>
  <c r="Q448" i="35"/>
  <c r="Q446" i="35"/>
  <c r="Q157" i="35"/>
  <c r="Q449" i="35"/>
  <c r="Q450" i="35"/>
  <c r="Q447" i="35"/>
  <c r="Q185" i="35"/>
  <c r="Q250" i="35"/>
  <c r="Q452" i="35"/>
  <c r="Q253" i="35"/>
  <c r="Q192" i="35"/>
  <c r="Q451" i="35"/>
  <c r="Q454" i="35"/>
  <c r="Q254" i="35"/>
  <c r="Q123" i="35"/>
  <c r="Q36" i="35"/>
  <c r="Q207" i="35"/>
  <c r="Q453" i="35"/>
  <c r="Q13" i="35"/>
  <c r="Q221" i="35"/>
  <c r="Q458" i="35"/>
  <c r="Q456" i="35"/>
  <c r="Q457" i="35"/>
  <c r="Q455" i="35"/>
  <c r="Q459" i="35"/>
  <c r="Q466" i="35"/>
  <c r="Q461" i="35"/>
  <c r="Q42" i="35"/>
  <c r="Q462" i="35"/>
  <c r="Q460" i="35"/>
  <c r="Q463" i="35"/>
  <c r="Q69" i="35"/>
  <c r="Q464" i="35"/>
  <c r="Q467" i="35"/>
  <c r="Q465" i="35"/>
  <c r="Q244" i="35"/>
  <c r="Q48" i="35"/>
  <c r="Q156" i="35"/>
  <c r="Q470" i="35"/>
  <c r="Q472" i="35"/>
  <c r="Q471" i="35"/>
  <c r="Q140" i="35"/>
  <c r="Q14" i="35"/>
  <c r="Q6" i="35"/>
  <c r="Q258" i="35"/>
  <c r="Q469" i="35"/>
  <c r="Q468" i="35"/>
  <c r="Q168" i="35"/>
  <c r="Q473" i="35"/>
  <c r="Q476" i="35"/>
  <c r="Q475" i="35"/>
  <c r="Q479" i="35"/>
  <c r="Q478" i="35"/>
  <c r="Q474" i="35"/>
  <c r="Q483" i="35"/>
  <c r="Q477" i="35"/>
  <c r="Q235" i="35"/>
  <c r="Q240" i="35"/>
  <c r="Q480" i="35"/>
  <c r="Q481" i="35"/>
  <c r="Q482" i="35"/>
  <c r="Q485" i="35"/>
  <c r="Q210" i="35"/>
  <c r="Q488" i="35"/>
  <c r="Q171" i="35"/>
  <c r="Q486" i="35"/>
  <c r="Q489" i="35"/>
  <c r="Q487" i="35"/>
  <c r="Q242" i="35"/>
  <c r="Q491" i="35"/>
  <c r="Q151" i="35"/>
  <c r="Q484" i="35"/>
  <c r="Q131" i="35"/>
  <c r="Q490" i="35"/>
  <c r="Q152" i="35"/>
  <c r="Q145" i="35"/>
  <c r="Q493" i="35"/>
  <c r="Q229" i="35"/>
  <c r="Q492" i="35"/>
  <c r="Q495" i="35"/>
  <c r="Q494" i="35"/>
  <c r="Q243" i="35"/>
  <c r="Q227" i="35"/>
  <c r="Q87" i="35"/>
  <c r="Q497" i="35"/>
  <c r="Q200" i="35"/>
  <c r="Q215" i="35"/>
  <c r="Q499" i="35"/>
  <c r="Q498" i="35"/>
  <c r="Q93" i="35"/>
  <c r="Q496" i="35"/>
  <c r="Q500" i="35"/>
  <c r="Q501" i="35"/>
  <c r="Q506" i="35"/>
  <c r="Q508" i="35"/>
  <c r="Q502" i="35"/>
  <c r="Q194" i="35"/>
  <c r="Q510" i="35"/>
  <c r="Q209" i="35"/>
  <c r="Q174" i="35"/>
  <c r="Q503" i="35"/>
  <c r="Q507" i="35"/>
  <c r="Q158" i="35"/>
  <c r="Q509" i="35"/>
  <c r="Q504" i="35"/>
  <c r="Q505" i="35"/>
  <c r="Q514" i="35"/>
  <c r="Q142" i="35"/>
  <c r="Q517" i="35"/>
  <c r="Q511" i="35"/>
  <c r="Q245" i="35"/>
  <c r="Q226" i="35"/>
  <c r="Q516" i="35"/>
  <c r="Q219" i="35"/>
  <c r="Q513" i="35"/>
  <c r="Q515" i="35"/>
  <c r="Q512" i="35"/>
  <c r="Q117" i="35"/>
  <c r="Q206" i="35"/>
  <c r="Q519" i="35"/>
  <c r="Q518" i="35"/>
  <c r="Q520" i="35"/>
  <c r="Q521" i="35"/>
  <c r="Q212" i="35"/>
  <c r="Q522" i="35"/>
  <c r="Q524" i="35"/>
  <c r="Q523" i="35"/>
  <c r="Q198" i="35"/>
  <c r="Q527" i="35"/>
  <c r="Q531" i="35"/>
  <c r="Q251" i="35"/>
  <c r="Q530" i="35"/>
  <c r="Q526" i="35"/>
  <c r="Q525" i="35"/>
  <c r="Q222" i="35"/>
  <c r="Q528" i="35"/>
  <c r="Q529" i="35"/>
  <c r="Q144" i="35"/>
  <c r="Q536" i="35"/>
  <c r="Q534" i="35"/>
  <c r="Q246" i="35"/>
  <c r="Q535" i="35"/>
  <c r="Q533" i="35"/>
  <c r="Q532" i="35"/>
  <c r="Q543" i="35"/>
  <c r="Q541" i="35"/>
  <c r="Q537" i="35"/>
  <c r="Q538" i="35"/>
  <c r="Q542" i="35"/>
  <c r="Q540" i="35"/>
  <c r="Q544" i="35"/>
  <c r="Q539" i="35"/>
  <c r="Q150" i="35"/>
  <c r="Q109" i="35"/>
  <c r="Q149" i="35"/>
  <c r="Q547" i="35"/>
  <c r="Q548" i="35"/>
  <c r="Q545" i="35"/>
  <c r="Q546" i="35"/>
  <c r="Q549" i="35"/>
  <c r="Q102" i="35"/>
  <c r="Q183" i="35"/>
  <c r="Q76" i="35"/>
  <c r="Q551" i="35"/>
  <c r="Q88" i="35"/>
  <c r="Q550" i="35"/>
  <c r="Q213" i="35"/>
  <c r="Q552" i="35"/>
  <c r="Q32" i="35"/>
  <c r="Q106" i="35"/>
  <c r="Q557" i="35"/>
  <c r="Q556" i="35"/>
  <c r="Q204" i="35"/>
  <c r="Q553" i="35"/>
  <c r="Q554" i="35"/>
  <c r="Q555" i="35"/>
  <c r="Q559" i="35"/>
  <c r="Q558" i="35"/>
  <c r="Q259" i="35"/>
  <c r="Q257" i="35"/>
  <c r="Q561" i="35"/>
  <c r="Q560" i="35"/>
  <c r="Q562" i="35"/>
  <c r="Q563" i="35"/>
  <c r="Q66" i="35"/>
  <c r="Q566" i="35"/>
  <c r="Q565" i="35"/>
  <c r="Q564" i="35"/>
  <c r="Q567" i="35"/>
  <c r="Q137" i="35"/>
  <c r="Q84" i="35"/>
  <c r="Q230" i="35"/>
  <c r="Q58" i="35"/>
  <c r="Q571" i="35"/>
  <c r="Q568" i="35"/>
  <c r="Q569" i="35"/>
  <c r="Q197" i="35"/>
  <c r="Q96" i="35"/>
  <c r="Q570" i="35"/>
  <c r="Q572" i="35"/>
  <c r="Q574" i="35"/>
  <c r="Q578" i="35"/>
  <c r="Q581" i="35"/>
  <c r="Q576" i="35"/>
  <c r="Q580" i="35"/>
  <c r="Q579" i="35"/>
  <c r="Q582" i="35"/>
  <c r="Q94" i="35"/>
  <c r="Q44" i="35"/>
  <c r="Q68" i="35"/>
  <c r="Q577" i="35"/>
  <c r="Q63" i="35"/>
  <c r="Q575" i="35"/>
  <c r="Q49" i="35"/>
  <c r="Q97" i="35"/>
  <c r="Q584" i="35"/>
  <c r="Q170" i="35"/>
  <c r="Q585" i="35"/>
  <c r="Q46" i="35"/>
  <c r="Q583" i="35"/>
  <c r="Q586" i="35"/>
  <c r="Q118" i="35"/>
  <c r="Q83" i="35"/>
  <c r="Q587" i="35"/>
  <c r="Q79" i="35"/>
  <c r="Q589" i="35"/>
  <c r="Q55" i="35"/>
  <c r="Q214" i="35"/>
  <c r="Q588" i="35"/>
  <c r="Q50" i="35"/>
  <c r="Q80" i="35"/>
  <c r="Q590" i="35"/>
  <c r="Q591" i="35"/>
  <c r="Q77" i="35"/>
  <c r="Q593" i="35"/>
  <c r="Q182" i="35"/>
  <c r="Q592" i="35"/>
  <c r="Q107" i="35"/>
  <c r="Q597" i="35"/>
  <c r="Q120" i="35"/>
  <c r="Q594" i="35"/>
  <c r="Q166" i="35"/>
  <c r="Q595" i="35"/>
  <c r="Q78" i="35"/>
  <c r="Q596" i="35"/>
  <c r="Q59" i="35"/>
  <c r="Q163" i="35"/>
  <c r="Q598" i="35"/>
  <c r="Q223" i="35"/>
  <c r="Q23" i="35"/>
  <c r="Q606" i="35"/>
  <c r="Q604" i="35"/>
  <c r="Q600" i="35"/>
  <c r="Q605" i="35"/>
  <c r="Q205" i="35"/>
  <c r="Q601" i="35"/>
  <c r="Q599" i="35"/>
  <c r="Q602" i="35"/>
  <c r="Q603" i="35"/>
  <c r="Q136" i="35"/>
  <c r="Q31" i="35"/>
  <c r="Q607" i="35"/>
  <c r="Q65" i="35"/>
  <c r="Q169" i="35"/>
  <c r="Q61" i="35"/>
  <c r="Q609" i="35"/>
  <c r="Q126" i="35"/>
  <c r="Q608" i="35"/>
  <c r="Q105" i="35"/>
  <c r="Q610" i="35"/>
  <c r="Q72" i="35"/>
  <c r="Q612" i="35"/>
  <c r="Q5" i="35"/>
  <c r="Q45" i="35"/>
  <c r="Q613" i="35"/>
  <c r="Q611" i="35"/>
  <c r="Q56" i="35"/>
  <c r="Q37" i="35"/>
  <c r="Q99" i="35"/>
  <c r="Q615" i="35"/>
  <c r="Q618" i="35"/>
  <c r="Q614" i="35"/>
  <c r="Q43" i="35"/>
  <c r="Q54" i="35"/>
  <c r="Q620" i="35"/>
  <c r="Q619" i="35"/>
  <c r="Q100" i="35"/>
  <c r="Q616" i="35"/>
  <c r="Q617" i="35"/>
  <c r="Q104" i="35"/>
  <c r="Q626" i="35"/>
  <c r="Q627" i="35"/>
  <c r="Q621" i="35"/>
  <c r="Q60" i="35"/>
  <c r="Q622" i="35"/>
  <c r="Q172" i="35"/>
  <c r="Q18" i="35"/>
  <c r="Q624" i="35"/>
  <c r="Q623" i="35"/>
  <c r="Q625" i="35"/>
  <c r="Q130" i="35"/>
  <c r="Q51" i="35"/>
  <c r="Q629" i="35"/>
  <c r="Q90" i="35"/>
  <c r="Q635" i="35"/>
  <c r="Q101" i="35"/>
  <c r="Q633" i="35"/>
  <c r="Q116" i="35"/>
  <c r="Q634" i="35"/>
  <c r="Q630" i="35"/>
  <c r="Q62" i="35"/>
  <c r="Q17" i="35"/>
  <c r="Q631" i="35"/>
  <c r="Q628" i="35"/>
  <c r="Q632" i="35"/>
  <c r="Q10" i="35"/>
  <c r="Q637" i="35"/>
  <c r="Q176" i="35"/>
  <c r="Q30" i="35"/>
  <c r="Q639" i="35"/>
  <c r="Q39" i="35"/>
  <c r="Q82" i="35"/>
  <c r="Q636" i="35"/>
  <c r="Q57" i="35"/>
  <c r="Q638" i="35"/>
  <c r="Q41" i="35"/>
  <c r="Q21" i="35"/>
  <c r="Q3" i="35"/>
  <c r="Q640" i="35"/>
  <c r="Q119" i="35"/>
  <c r="Q138" i="35"/>
  <c r="Q64" i="35"/>
  <c r="Q85" i="35"/>
  <c r="Q644" i="35"/>
  <c r="Q643" i="35"/>
  <c r="Q642" i="35"/>
  <c r="Q7" i="35"/>
  <c r="Q147" i="35"/>
  <c r="Q641" i="35"/>
  <c r="Q143" i="35"/>
  <c r="Q184" i="35"/>
  <c r="Q650" i="35"/>
  <c r="Q127" i="35"/>
  <c r="Q655" i="35"/>
  <c r="Q654" i="35"/>
  <c r="Q135" i="35"/>
  <c r="Q651" i="35"/>
  <c r="Q647" i="35"/>
  <c r="Q653" i="35"/>
  <c r="Q652" i="35"/>
  <c r="Q646" i="35"/>
  <c r="Q648" i="35"/>
  <c r="Q164" i="35"/>
  <c r="Q656" i="35"/>
  <c r="Q649" i="35"/>
  <c r="Q115" i="35"/>
  <c r="Q16" i="35"/>
  <c r="Q657" i="35"/>
  <c r="Q25" i="35"/>
  <c r="Q38" i="35"/>
  <c r="Q52" i="35"/>
  <c r="Q4" i="35"/>
  <c r="Q661" i="35"/>
  <c r="Q658" i="35"/>
  <c r="Q659" i="35"/>
  <c r="Q660" i="35"/>
  <c r="Q27" i="35"/>
  <c r="Q71" i="35"/>
  <c r="Q662" i="35"/>
  <c r="Q664" i="35"/>
  <c r="Q663" i="35"/>
  <c r="Q73" i="35"/>
  <c r="Q667" i="35"/>
  <c r="Q666" i="35"/>
  <c r="Q665" i="35"/>
  <c r="Q53" i="35"/>
  <c r="Q668" i="35"/>
  <c r="Q671" i="35"/>
  <c r="Q20" i="35"/>
  <c r="Q674" i="35"/>
  <c r="Q672" i="35"/>
  <c r="Q125" i="35"/>
  <c r="Q669" i="35"/>
  <c r="Q676" i="35"/>
  <c r="Q670" i="35"/>
  <c r="Q675" i="35"/>
  <c r="Q673" i="35"/>
  <c r="Q681" i="35"/>
  <c r="Q679" i="35"/>
  <c r="Q139" i="35"/>
  <c r="Q680" i="35"/>
  <c r="Q682" i="35"/>
  <c r="Q12" i="35"/>
  <c r="Q86" i="35"/>
  <c r="Q133" i="35"/>
  <c r="Q677" i="35"/>
  <c r="Q683" i="35"/>
  <c r="Q35" i="35"/>
  <c r="Q678" i="35"/>
  <c r="Q114" i="35"/>
  <c r="Q685" i="35"/>
  <c r="Q684" i="35"/>
  <c r="Q686" i="35"/>
  <c r="Q687" i="35"/>
  <c r="Q689" i="35"/>
  <c r="Q129" i="35"/>
  <c r="Q162" i="35"/>
  <c r="Q688" i="35"/>
  <c r="Q691" i="35"/>
  <c r="Q47" i="35"/>
  <c r="Q141" i="35"/>
  <c r="Q34" i="35"/>
  <c r="Q128" i="35"/>
  <c r="Q690" i="35"/>
  <c r="Q692" i="35"/>
  <c r="Q11" i="35"/>
  <c r="Q693" i="35"/>
  <c r="Q695" i="35"/>
  <c r="Q113" i="35"/>
  <c r="Q698" i="35"/>
  <c r="Q697" i="35"/>
  <c r="Q95" i="35"/>
  <c r="Q696" i="35"/>
  <c r="Q694" i="35"/>
  <c r="Q699" i="35"/>
  <c r="Q702" i="35"/>
  <c r="Q203" i="35"/>
  <c r="Q700" i="35"/>
  <c r="Q701" i="35"/>
  <c r="Q703" i="35"/>
  <c r="Q108" i="35"/>
  <c r="Q159" i="35"/>
  <c r="Q103" i="35"/>
  <c r="Q704" i="35"/>
  <c r="Q74" i="35"/>
  <c r="Q705" i="35"/>
  <c r="Q67" i="35"/>
  <c r="Q706" i="35"/>
  <c r="Q179" i="35"/>
  <c r="Q707" i="35"/>
  <c r="Q708" i="35"/>
  <c r="Q709" i="35"/>
  <c r="Q710" i="35"/>
  <c r="Q711" i="35"/>
  <c r="Q712" i="35"/>
  <c r="Q716" i="35"/>
  <c r="Q715" i="35"/>
  <c r="Q713" i="35"/>
  <c r="Q718" i="35"/>
  <c r="Q717" i="35"/>
  <c r="Q714" i="35"/>
  <c r="Q720" i="35"/>
  <c r="Q110" i="35"/>
  <c r="Q719" i="35"/>
  <c r="Q33" i="35"/>
  <c r="Q721" i="35"/>
  <c r="Q722" i="35"/>
  <c r="Q723" i="35"/>
  <c r="Q81" i="35"/>
  <c r="Q91" i="35"/>
  <c r="Q92" i="35"/>
  <c r="Q132" i="35"/>
  <c r="Q98" i="35"/>
  <c r="Q70" i="35"/>
  <c r="Q19" i="35"/>
  <c r="Q24" i="35"/>
  <c r="Q89" i="35"/>
  <c r="Q75" i="35"/>
  <c r="Q28" i="35"/>
  <c r="Q148" i="35"/>
  <c r="Q160" i="35"/>
  <c r="Q317" i="35"/>
  <c r="Q48" i="41"/>
  <c r="Q24" i="41"/>
  <c r="Q16" i="41"/>
  <c r="Q469" i="41"/>
  <c r="Q460" i="41"/>
  <c r="Q459" i="41"/>
  <c r="Q449" i="41"/>
  <c r="Q448" i="41"/>
  <c r="Q427" i="41"/>
  <c r="Q420" i="41"/>
  <c r="Q411" i="41"/>
  <c r="Q201" i="41"/>
  <c r="Q402" i="41"/>
  <c r="Q401" i="41"/>
  <c r="Q399" i="41"/>
  <c r="Q393" i="41"/>
  <c r="Q389" i="41"/>
  <c r="Q387" i="41"/>
  <c r="Q388" i="41"/>
  <c r="Q385" i="41"/>
  <c r="Q382" i="41"/>
  <c r="Q370" i="41"/>
  <c r="Q369" i="41"/>
  <c r="Q351" i="41"/>
  <c r="Q267" i="41"/>
  <c r="Q264" i="41"/>
  <c r="Q175" i="41"/>
  <c r="Q163" i="41"/>
  <c r="Q156" i="41"/>
  <c r="Q144" i="41"/>
  <c r="Q132" i="41"/>
  <c r="Q100" i="41"/>
  <c r="Q95" i="41"/>
  <c r="Q81" i="41"/>
  <c r="Q35" i="41"/>
  <c r="Q7" i="41"/>
  <c r="Q6" i="41"/>
  <c r="Q464" i="41"/>
  <c r="Q434" i="41"/>
  <c r="Q413" i="41"/>
  <c r="Q380" i="41"/>
  <c r="Q348" i="41"/>
  <c r="Q270" i="41"/>
  <c r="Q236" i="41"/>
  <c r="Q207" i="41"/>
  <c r="Q178" i="41"/>
  <c r="Q404" i="41"/>
  <c r="Q353" i="41"/>
  <c r="Q332" i="41"/>
  <c r="Q94" i="41"/>
  <c r="Q425" i="41"/>
  <c r="Q468" i="41"/>
  <c r="Q467" i="41"/>
  <c r="Q435" i="41"/>
  <c r="Q337" i="41"/>
  <c r="Q302" i="41"/>
  <c r="Q386" i="41"/>
  <c r="Q815" i="41"/>
  <c r="Q375" i="41"/>
  <c r="Q361" i="41"/>
  <c r="Q813" i="41"/>
  <c r="Q457" i="41"/>
  <c r="Q347" i="41"/>
  <c r="Q352" i="41"/>
  <c r="Q108" i="41"/>
  <c r="Q53" i="41"/>
  <c r="Q38" i="41"/>
  <c r="Q329" i="41"/>
  <c r="Q790" i="41"/>
  <c r="Q796" i="41"/>
  <c r="Q322" i="41"/>
  <c r="Q320" i="41"/>
  <c r="Q318" i="41"/>
  <c r="Q310" i="41"/>
  <c r="Q307" i="41"/>
  <c r="Q798" i="41"/>
  <c r="Q299" i="41"/>
  <c r="Q294" i="41"/>
  <c r="Q293" i="41"/>
  <c r="Q291" i="41"/>
  <c r="Q290" i="41"/>
  <c r="Q274" i="41"/>
  <c r="Q269" i="41"/>
  <c r="Q799" i="41"/>
  <c r="Q259" i="41"/>
  <c r="Q800" i="41"/>
  <c r="Q251" i="41"/>
  <c r="Q802" i="41"/>
  <c r="Q240" i="41"/>
  <c r="Q239" i="41"/>
  <c r="Q237" i="41"/>
  <c r="Q803" i="41"/>
  <c r="Q231" i="41"/>
  <c r="Q227" i="41"/>
  <c r="Q225" i="41"/>
  <c r="Q223" i="41"/>
  <c r="Q220" i="41"/>
  <c r="Q793" i="41"/>
  <c r="Q208" i="41"/>
  <c r="Q199" i="41"/>
  <c r="Q190" i="41"/>
  <c r="Q172" i="41"/>
  <c r="Q171" i="41"/>
  <c r="Q801" i="41"/>
  <c r="Q162" i="41"/>
  <c r="Q149" i="41"/>
  <c r="Q145" i="41"/>
  <c r="Q135" i="41"/>
  <c r="Q133" i="41"/>
  <c r="Q130" i="41"/>
  <c r="Q440" i="41"/>
  <c r="Q119" i="41"/>
  <c r="Q111" i="41"/>
  <c r="Q105" i="41"/>
  <c r="Q102" i="41"/>
  <c r="Q101" i="41"/>
  <c r="Q93" i="41"/>
  <c r="Q89" i="41"/>
  <c r="Q85" i="41"/>
  <c r="Q410" i="41"/>
  <c r="Q71" i="41"/>
  <c r="Q68" i="41"/>
  <c r="Q391" i="41"/>
  <c r="Q50" i="41"/>
  <c r="Q49" i="41"/>
  <c r="Q40" i="41"/>
  <c r="Q34" i="41"/>
  <c r="Q23" i="41"/>
  <c r="Q18" i="41"/>
  <c r="Q11" i="41"/>
  <c r="Q461" i="41"/>
  <c r="Q452" i="41"/>
  <c r="Q437" i="41"/>
  <c r="Q432" i="41"/>
  <c r="Q430" i="41"/>
  <c r="Q423" i="41"/>
  <c r="Q418" i="41"/>
  <c r="Q417" i="41"/>
  <c r="Q416" i="41"/>
  <c r="Q414" i="41"/>
  <c r="Q400" i="41"/>
  <c r="Q392" i="41"/>
  <c r="Q377" i="41"/>
  <c r="Q374" i="41"/>
  <c r="Q368" i="41"/>
  <c r="Q362" i="41"/>
  <c r="Q349" i="41"/>
  <c r="Q346" i="41"/>
  <c r="Q328" i="41"/>
  <c r="Q327" i="41"/>
  <c r="Q326" i="41"/>
  <c r="Q311" i="41"/>
  <c r="Q298" i="41"/>
  <c r="Q278" i="41"/>
  <c r="Q277" i="41"/>
  <c r="Q276" i="41"/>
  <c r="Q260" i="41"/>
  <c r="Q256" i="41"/>
  <c r="Q246" i="41"/>
  <c r="Q221" i="41"/>
  <c r="Q197" i="41"/>
  <c r="Q195" i="41"/>
  <c r="Q186" i="41"/>
  <c r="Q165" i="41"/>
  <c r="Q138" i="41"/>
  <c r="Q124" i="41"/>
  <c r="Q112" i="41"/>
  <c r="Q104" i="41"/>
  <c r="Q103" i="41"/>
  <c r="Q99" i="41"/>
  <c r="Q88" i="41"/>
  <c r="Q86" i="41"/>
  <c r="Q74" i="41"/>
  <c r="Q63" i="41"/>
  <c r="Q61" i="41"/>
  <c r="Q47" i="41"/>
  <c r="Q15" i="41"/>
  <c r="Q465" i="41"/>
  <c r="Q436" i="41"/>
  <c r="Q39" i="41"/>
  <c r="Q87" i="41"/>
  <c r="Q58" i="41"/>
  <c r="Q33" i="41"/>
  <c r="Q31" i="41"/>
  <c r="Q25" i="41"/>
  <c r="Q19" i="41"/>
  <c r="Q12" i="41"/>
  <c r="Q9" i="41"/>
  <c r="Q3" i="41"/>
  <c r="Q462" i="41"/>
  <c r="Q355" i="41"/>
  <c r="Q455" i="41"/>
  <c r="Q450" i="41"/>
  <c r="Q446" i="41"/>
  <c r="Q444" i="41"/>
  <c r="Q442" i="41"/>
  <c r="Q438" i="41"/>
  <c r="Q433" i="41"/>
  <c r="Q422" i="41"/>
  <c r="Q421" i="41"/>
  <c r="Q405" i="41"/>
  <c r="Q403" i="41"/>
  <c r="Q396" i="41"/>
  <c r="Q381" i="41"/>
  <c r="Q378" i="41"/>
  <c r="Q376" i="41"/>
  <c r="Q371" i="41"/>
  <c r="Q365" i="41"/>
  <c r="Q354" i="41"/>
  <c r="Q334" i="41"/>
  <c r="Q339" i="41"/>
  <c r="Q331" i="41"/>
  <c r="Q316" i="41"/>
  <c r="Q315" i="41"/>
  <c r="Q309" i="41"/>
  <c r="Q305" i="41"/>
  <c r="Q304" i="41"/>
  <c r="Q289" i="41"/>
  <c r="Q281" i="41"/>
  <c r="Q279" i="41"/>
  <c r="Q266" i="41"/>
  <c r="Q265" i="41"/>
  <c r="Q255" i="41"/>
  <c r="Q253" i="41"/>
  <c r="Q243" i="41"/>
  <c r="Q241" i="41"/>
  <c r="Q232" i="41"/>
  <c r="Q217" i="41"/>
  <c r="Q216" i="41"/>
  <c r="Q219" i="41"/>
  <c r="Q209" i="41"/>
  <c r="Q204" i="41"/>
  <c r="Q169" i="41"/>
  <c r="Q198" i="41"/>
  <c r="Q187" i="41"/>
  <c r="Q183" i="41"/>
  <c r="Q181" i="41"/>
  <c r="Q177" i="41"/>
  <c r="Q174" i="41"/>
  <c r="Q161" i="41"/>
  <c r="Q159" i="41"/>
  <c r="Q154" i="41"/>
  <c r="Q153" i="41"/>
  <c r="Q148" i="41"/>
  <c r="Q407" i="41"/>
  <c r="Q140" i="41"/>
  <c r="Q245" i="41"/>
  <c r="Q134" i="41"/>
  <c r="Q83" i="41"/>
  <c r="Q128" i="41"/>
  <c r="Q129" i="41"/>
  <c r="Q117" i="41"/>
  <c r="Q116" i="41"/>
  <c r="Q114" i="41"/>
  <c r="Q109" i="41"/>
  <c r="Q106" i="41"/>
  <c r="Q98" i="41"/>
  <c r="Q96" i="41"/>
  <c r="Q97" i="41"/>
  <c r="Q90" i="41"/>
  <c r="Q84" i="41"/>
  <c r="Q82" i="41"/>
  <c r="Q80" i="41"/>
  <c r="Q78" i="41"/>
  <c r="Q79" i="41"/>
  <c r="Q67" i="41"/>
  <c r="Q66" i="41"/>
  <c r="Q64" i="41"/>
  <c r="Q59" i="41"/>
  <c r="Q57" i="41"/>
  <c r="Q54" i="41"/>
  <c r="Q52" i="41"/>
  <c r="Q42" i="41"/>
  <c r="Q41" i="41"/>
  <c r="Q27" i="41"/>
  <c r="Q22" i="41"/>
  <c r="Q21" i="41"/>
  <c r="Q13" i="41"/>
  <c r="Q10" i="41"/>
  <c r="Q4" i="41"/>
  <c r="Q472" i="41"/>
  <c r="Q466" i="41"/>
  <c r="Q817" i="41"/>
  <c r="Q424" i="41"/>
  <c r="Q412" i="41"/>
  <c r="Q816" i="41"/>
  <c r="Q390" i="41"/>
  <c r="Q384" i="41"/>
  <c r="Q366" i="41"/>
  <c r="Q356" i="41"/>
  <c r="Q340" i="41"/>
  <c r="Q338" i="41"/>
  <c r="Q330" i="41"/>
  <c r="Q317" i="41"/>
  <c r="Q296" i="41"/>
  <c r="Q295" i="41"/>
  <c r="Q292" i="41"/>
  <c r="Q248" i="41"/>
  <c r="Q224" i="41"/>
  <c r="Q222" i="41"/>
  <c r="Q215" i="41"/>
  <c r="Q205" i="41"/>
  <c r="Q184" i="41"/>
  <c r="Q182" i="41"/>
  <c r="Q151" i="41"/>
  <c r="Q147" i="41"/>
  <c r="Q136" i="41"/>
  <c r="Q121" i="41"/>
  <c r="Q120" i="41"/>
  <c r="Q76" i="41"/>
  <c r="Q69" i="41"/>
  <c r="Q812" i="41"/>
  <c r="Q811" i="41"/>
  <c r="Q44" i="41"/>
  <c r="Q809" i="41"/>
  <c r="Q419" i="41"/>
  <c r="Q409" i="41"/>
  <c r="Q333" i="41"/>
  <c r="Q146" i="41"/>
  <c r="Q30" i="41"/>
  <c r="Q14" i="41"/>
  <c r="Q463" i="41"/>
  <c r="Q456" i="41"/>
  <c r="Q451" i="41"/>
  <c r="Q441" i="41"/>
  <c r="Q428" i="41"/>
  <c r="Q458" i="41"/>
  <c r="Q406" i="41"/>
  <c r="Q395" i="41"/>
  <c r="Q394" i="41"/>
  <c r="Q373" i="41"/>
  <c r="Q363" i="41"/>
  <c r="Q357" i="41"/>
  <c r="Q344" i="41"/>
  <c r="Q125" i="41"/>
  <c r="Q335" i="41"/>
  <c r="Q324" i="41"/>
  <c r="Q314" i="41"/>
  <c r="Q313" i="41"/>
  <c r="Q312" i="41"/>
  <c r="Q306" i="41"/>
  <c r="Q51" i="41"/>
  <c r="Q303" i="41"/>
  <c r="Q287" i="41"/>
  <c r="Q285" i="41"/>
  <c r="Q273" i="41"/>
  <c r="Q272" i="41"/>
  <c r="Q268" i="41"/>
  <c r="Q261" i="41"/>
  <c r="Q247" i="41"/>
  <c r="Q244" i="41"/>
  <c r="Q234" i="41"/>
  <c r="Q228" i="41"/>
  <c r="Q226" i="41"/>
  <c r="Q214" i="41"/>
  <c r="Q210" i="41"/>
  <c r="Q206" i="41"/>
  <c r="Q202" i="41"/>
  <c r="Q301" i="41"/>
  <c r="Q194" i="41"/>
  <c r="Q185" i="41"/>
  <c r="Q167" i="41"/>
  <c r="Q166" i="41"/>
  <c r="Q164" i="41"/>
  <c r="Q160" i="41"/>
  <c r="Q150" i="41"/>
  <c r="Q142" i="41"/>
  <c r="Q126" i="41"/>
  <c r="Q123" i="41"/>
  <c r="Q122" i="41"/>
  <c r="Q113" i="41"/>
  <c r="Q75" i="41"/>
  <c r="Q72" i="41"/>
  <c r="Q73" i="41"/>
  <c r="Q70" i="41"/>
  <c r="Q60" i="41"/>
  <c r="Q56" i="41"/>
  <c r="Q55" i="41"/>
  <c r="Q46" i="41"/>
  <c r="Q45" i="41"/>
  <c r="Q37" i="41"/>
  <c r="Q36" i="41"/>
  <c r="Q32" i="41"/>
  <c r="Q29" i="41"/>
  <c r="Q26" i="41"/>
  <c r="Q17" i="41"/>
  <c r="Q8" i="41"/>
  <c r="Q471" i="41"/>
  <c r="Q443" i="41"/>
  <c r="Q429" i="41"/>
  <c r="Q211" i="41"/>
  <c r="Q426" i="41"/>
  <c r="Q397" i="41"/>
  <c r="Q383" i="41"/>
  <c r="Q814" i="41"/>
  <c r="Q379" i="41"/>
  <c r="Q808" i="41"/>
  <c r="Q350" i="41"/>
  <c r="Q343" i="41"/>
  <c r="Q319" i="41"/>
  <c r="Q284" i="41"/>
  <c r="Q283" i="41"/>
  <c r="Q230" i="41"/>
  <c r="Q157" i="41"/>
  <c r="Q143" i="41"/>
  <c r="Q118" i="41"/>
  <c r="Q110" i="41"/>
  <c r="Q43" i="41"/>
  <c r="Q20" i="41"/>
  <c r="Q141" i="41"/>
  <c r="Q360" i="41"/>
  <c r="Q439" i="41"/>
  <c r="Q431" i="41"/>
  <c r="Q408" i="41"/>
  <c r="Q358" i="41"/>
  <c r="Q286" i="41"/>
  <c r="Q249" i="41"/>
  <c r="Q398" i="41"/>
  <c r="Q372" i="41"/>
  <c r="Q364" i="41"/>
  <c r="Q359" i="41"/>
  <c r="Q323" i="41"/>
  <c r="Q297" i="41"/>
  <c r="Q288" i="41"/>
  <c r="Q282" i="41"/>
  <c r="Q280" i="41"/>
  <c r="Q275" i="41"/>
  <c r="Q262" i="41"/>
  <c r="Q257" i="41"/>
  <c r="Q258" i="41"/>
  <c r="Q250" i="41"/>
  <c r="Q242" i="41"/>
  <c r="Q238" i="41"/>
  <c r="Q233" i="41"/>
  <c r="Q229" i="41"/>
  <c r="Q218" i="41"/>
  <c r="Q212" i="41"/>
  <c r="Q203" i="41"/>
  <c r="Q200" i="41"/>
  <c r="Q196" i="41"/>
  <c r="Q193" i="41"/>
  <c r="Q192" i="41"/>
  <c r="Q191" i="41"/>
  <c r="Q189" i="41"/>
  <c r="Q188" i="41"/>
  <c r="Q180" i="41"/>
  <c r="Q179" i="41"/>
  <c r="Q176" i="41"/>
  <c r="Q173" i="41"/>
  <c r="Q170" i="41"/>
  <c r="Q168" i="41"/>
  <c r="Q158" i="41"/>
  <c r="Q155" i="41"/>
  <c r="Q152" i="41"/>
  <c r="Q139" i="41"/>
  <c r="Q127" i="41"/>
  <c r="Q115" i="41"/>
  <c r="Q107" i="41"/>
  <c r="Q137" i="41"/>
  <c r="Q91" i="41"/>
  <c r="Q77" i="41"/>
  <c r="Q62" i="41"/>
  <c r="Q28" i="41"/>
  <c r="Q5" i="41"/>
  <c r="Q470" i="41"/>
  <c r="Q454" i="41"/>
  <c r="Q453" i="41"/>
  <c r="Q445" i="41"/>
  <c r="Q415" i="41"/>
  <c r="Q367" i="41"/>
  <c r="Q341" i="41"/>
  <c r="Q131" i="41"/>
  <c r="Q254" i="41"/>
  <c r="Q213" i="41"/>
  <c r="Q65" i="41"/>
  <c r="Q345" i="41"/>
  <c r="Q308" i="41"/>
  <c r="Q271" i="41"/>
  <c r="Q675" i="41"/>
  <c r="Q525" i="41"/>
  <c r="Q543" i="41"/>
  <c r="Q489" i="41"/>
  <c r="Q534" i="41"/>
  <c r="Q637" i="41"/>
  <c r="Q578" i="41"/>
  <c r="Q648" i="41"/>
  <c r="Q676" i="41"/>
  <c r="Q641" i="41"/>
  <c r="Q692" i="41"/>
  <c r="Q92" i="41"/>
  <c r="Q342" i="41"/>
  <c r="Q336" i="41"/>
  <c r="Q325" i="41"/>
  <c r="Q321" i="41"/>
  <c r="Q300" i="41"/>
  <c r="Q263" i="41"/>
  <c r="Q252" i="41"/>
  <c r="Q235" i="41"/>
  <c r="Q520" i="41"/>
  <c r="Q565" i="41"/>
  <c r="Q589" i="41"/>
  <c r="Q590" i="41"/>
  <c r="Q603" i="41"/>
  <c r="Q610" i="41"/>
  <c r="Q616" i="41"/>
  <c r="Q631" i="41"/>
  <c r="Q632" i="41"/>
  <c r="Q642" i="41"/>
  <c r="Q657" i="41"/>
  <c r="Q678" i="41"/>
  <c r="Q736" i="41"/>
  <c r="Q752" i="41"/>
  <c r="Q758" i="41"/>
  <c r="Q764" i="41"/>
  <c r="Q784" i="41"/>
  <c r="Q788" i="41"/>
  <c r="Q807" i="41"/>
  <c r="Q503" i="41"/>
  <c r="Q531" i="41"/>
  <c r="Q536" i="41"/>
  <c r="Q539" i="41"/>
  <c r="Q555" i="41"/>
  <c r="Q596" i="41"/>
  <c r="Q609" i="41"/>
  <c r="Q615" i="41"/>
  <c r="Q623" i="41"/>
  <c r="Q651" i="41"/>
  <c r="Q684" i="41"/>
  <c r="Q712" i="41"/>
  <c r="Q785" i="41"/>
  <c r="Q787" i="41"/>
  <c r="Q789" i="41"/>
  <c r="Q791" i="41"/>
  <c r="Q484" i="41"/>
  <c r="Q512" i="41"/>
  <c r="Q573" i="41"/>
  <c r="Q608" i="41"/>
  <c r="Q749" i="41"/>
  <c r="Q805" i="41"/>
  <c r="Q709" i="41"/>
  <c r="Q691" i="41"/>
  <c r="Q474" i="41"/>
  <c r="Q624" i="41"/>
  <c r="Q629" i="41"/>
  <c r="Q724" i="41"/>
  <c r="Q509" i="41"/>
  <c r="Q662" i="41"/>
  <c r="Q682" i="41"/>
  <c r="Q494" i="41"/>
  <c r="Q519" i="41"/>
  <c r="Q558" i="41"/>
  <c r="Q570" i="41"/>
  <c r="Q636" i="41"/>
  <c r="Q643" i="41"/>
  <c r="Q522" i="41"/>
  <c r="Q786" i="41"/>
  <c r="Q747" i="41"/>
  <c r="Q542" i="41"/>
  <c r="Q639" i="41"/>
  <c r="Q563" i="41"/>
  <c r="Q564" i="41"/>
  <c r="Q744" i="41"/>
  <c r="Q806" i="41"/>
  <c r="Q521" i="41"/>
  <c r="Q574" i="41"/>
  <c r="Q620" i="41"/>
  <c r="Q630" i="41"/>
  <c r="Q650" i="41"/>
  <c r="Q710" i="41"/>
  <c r="Q737" i="41"/>
  <c r="Q780" i="41"/>
  <c r="Q776" i="41"/>
  <c r="Q479" i="41"/>
  <c r="Q506" i="41"/>
  <c r="Q515" i="41"/>
  <c r="Q571" i="41"/>
  <c r="Q704" i="41"/>
  <c r="Q705" i="41"/>
  <c r="Q756" i="41"/>
  <c r="Q782" i="41"/>
  <c r="Q483" i="41"/>
  <c r="Q719" i="41"/>
  <c r="Q757" i="41"/>
  <c r="Q774" i="41"/>
  <c r="Q621" i="41"/>
  <c r="Q679" i="41"/>
  <c r="Q687" i="41"/>
  <c r="Q614" i="41"/>
  <c r="Q583" i="41"/>
  <c r="Q703" i="41"/>
  <c r="Q740" i="41"/>
  <c r="Q618" i="41"/>
  <c r="Q766" i="41"/>
  <c r="Q514" i="41"/>
  <c r="Q627" i="41"/>
  <c r="Q550" i="41"/>
  <c r="Q499" i="41"/>
  <c r="Q511" i="41"/>
  <c r="Q754" i="41"/>
  <c r="Q755" i="41"/>
  <c r="Q559" i="41"/>
  <c r="Q644" i="41"/>
  <c r="Q725" i="41"/>
  <c r="Q711" i="41"/>
  <c r="Q738" i="41"/>
  <c r="Q524" i="41"/>
  <c r="Q727" i="41"/>
  <c r="Q759" i="41"/>
  <c r="Q513" i="41"/>
  <c r="Q572" i="41"/>
  <c r="Q595" i="41"/>
  <c r="Q602" i="41"/>
  <c r="Q613" i="41"/>
  <c r="Q617" i="41"/>
  <c r="Q619" i="41"/>
  <c r="Q628" i="41"/>
  <c r="Q634" i="41"/>
  <c r="Q659" i="41"/>
  <c r="Q680" i="41"/>
  <c r="Q681" i="41"/>
  <c r="Q686" i="41"/>
  <c r="Q696" i="41"/>
  <c r="Q702" i="41"/>
  <c r="Q732" i="41"/>
  <c r="Q751" i="41"/>
  <c r="Q765" i="41"/>
  <c r="Q767" i="41"/>
  <c r="Q771" i="41"/>
  <c r="Q772" i="41"/>
  <c r="Q794" i="41"/>
  <c r="Q475" i="41"/>
  <c r="Q546" i="41"/>
  <c r="Q567" i="41"/>
  <c r="Q601" i="41"/>
  <c r="Q476" i="41"/>
  <c r="Q480" i="41"/>
  <c r="Q485" i="41"/>
  <c r="Q501" i="41"/>
  <c r="Q548" i="41"/>
  <c r="Q553" i="41"/>
  <c r="Q585" i="41"/>
  <c r="Q713" i="41"/>
  <c r="Q733" i="41"/>
  <c r="Q750" i="41"/>
  <c r="Q763" i="41"/>
  <c r="Q769" i="41"/>
  <c r="Q783" i="41"/>
  <c r="Q795" i="41"/>
  <c r="Q545" i="41"/>
  <c r="Q551" i="41"/>
  <c r="Q586" i="41"/>
  <c r="Q593" i="41"/>
  <c r="Q714" i="41"/>
  <c r="Q760" i="41"/>
  <c r="Q493" i="41"/>
  <c r="Q625" i="41"/>
  <c r="Q746" i="41"/>
  <c r="Q672" i="41"/>
  <c r="Q577" i="41"/>
  <c r="Q599" i="41"/>
  <c r="Q729" i="41"/>
  <c r="Q778" i="41"/>
  <c r="Q505" i="41"/>
  <c r="Q638" i="41"/>
  <c r="Q779" i="41"/>
  <c r="Q804" i="41"/>
  <c r="Q777" i="41"/>
  <c r="Q665" i="41"/>
  <c r="Q683" i="41"/>
  <c r="Q645" i="41"/>
  <c r="Q649" i="41"/>
  <c r="Q535" i="41"/>
  <c r="Q611" i="41"/>
  <c r="Q547" i="41"/>
  <c r="Q526" i="41"/>
  <c r="Q588" i="41"/>
  <c r="Q591" i="41"/>
  <c r="Q518" i="41"/>
  <c r="Q612" i="41"/>
  <c r="Q768" i="41"/>
  <c r="Q770" i="41"/>
  <c r="Q487" i="41"/>
  <c r="Q491" i="41"/>
  <c r="Q537" i="41"/>
  <c r="Q540" i="41"/>
  <c r="Q556" i="41"/>
  <c r="Q557" i="41"/>
  <c r="Q584" i="41"/>
  <c r="Q597" i="41"/>
  <c r="Q626" i="41"/>
  <c r="Q633" i="41"/>
  <c r="Q664" i="41"/>
  <c r="Q669" i="41"/>
  <c r="Q677" i="41"/>
  <c r="Q745" i="41"/>
  <c r="Q773" i="41"/>
  <c r="Q605" i="41"/>
  <c r="Q674" i="41"/>
  <c r="Q748" i="41"/>
  <c r="Q792" i="41"/>
  <c r="Q486" i="41"/>
  <c r="Q734" i="41"/>
  <c r="Q473" i="41"/>
  <c r="Q718" i="41"/>
  <c r="Q562" i="41"/>
  <c r="Q498" i="41"/>
  <c r="Q554" i="41"/>
  <c r="Q700" i="41"/>
  <c r="Q544" i="41"/>
  <c r="Q516" i="41"/>
  <c r="Q667" i="41"/>
  <c r="Q666" i="41"/>
  <c r="Q523" i="41"/>
  <c r="Q560" i="41"/>
  <c r="Q576" i="41"/>
  <c r="Q566" i="41"/>
  <c r="Q762" i="41"/>
  <c r="Q579" i="41"/>
  <c r="Q495" i="41"/>
  <c r="Q647" i="41"/>
  <c r="Q561" i="41"/>
  <c r="Q673" i="41"/>
  <c r="Q497" i="41"/>
  <c r="Q722" i="41"/>
  <c r="Q477" i="41"/>
  <c r="Q447" i="41"/>
  <c r="Q580" i="41"/>
  <c r="Q527" i="41"/>
  <c r="Q482" i="41"/>
  <c r="Q723" i="41"/>
  <c r="Q640" i="41"/>
  <c r="Q775" i="41"/>
  <c r="Q581" i="41"/>
  <c r="Q502" i="41"/>
  <c r="Q528" i="41"/>
  <c r="Q742" i="41"/>
  <c r="Q797" i="41"/>
  <c r="Q697" i="41"/>
  <c r="Q582" i="41"/>
  <c r="Q496" i="41"/>
  <c r="Q587" i="41"/>
  <c r="Q721" i="41"/>
  <c r="Q668" i="41"/>
  <c r="Q533" i="41"/>
  <c r="Q529" i="41"/>
  <c r="Q538" i="41"/>
  <c r="Q655" i="41"/>
  <c r="Q753" i="41"/>
  <c r="Q761" i="41"/>
  <c r="Q698" i="41"/>
  <c r="Q569" i="41"/>
  <c r="Q646" i="41"/>
  <c r="Q517" i="41"/>
  <c r="Q600" i="41"/>
  <c r="Q695" i="41"/>
  <c r="Q720" i="41"/>
  <c r="Q810" i="41"/>
  <c r="Q731" i="41"/>
  <c r="Q510" i="41"/>
  <c r="Q575" i="41"/>
  <c r="Q492" i="41"/>
  <c r="Q490" i="41"/>
  <c r="Q604" i="41"/>
  <c r="Q656" i="41"/>
  <c r="Q549" i="41"/>
  <c r="Q504" i="41"/>
  <c r="Q541" i="41"/>
  <c r="Q606" i="41"/>
  <c r="Q670" i="41"/>
  <c r="Q715" i="41"/>
  <c r="Q658" i="41"/>
  <c r="Q730" i="41"/>
  <c r="Q716" i="41"/>
  <c r="Q488" i="41"/>
  <c r="Q707" i="41"/>
  <c r="Q685" i="41"/>
  <c r="Q781" i="41"/>
  <c r="Q607" i="41"/>
  <c r="Q699" i="41"/>
  <c r="Q530" i="41"/>
  <c r="Q735" i="41"/>
  <c r="Q690" i="41"/>
  <c r="Q708" i="41"/>
  <c r="Q592" i="41"/>
  <c r="Q671" i="41"/>
  <c r="Q552" i="41"/>
  <c r="Q478" i="41"/>
  <c r="Q660" i="41"/>
  <c r="Q701" i="41"/>
  <c r="Q741" i="41"/>
  <c r="Q693" i="41"/>
  <c r="Q661" i="41"/>
  <c r="Q652" i="41"/>
  <c r="Q481" i="41"/>
  <c r="Q622" i="41"/>
  <c r="Q663" i="41"/>
  <c r="Q635" i="41"/>
  <c r="Q694" i="41"/>
  <c r="Q568" i="41"/>
  <c r="Q594" i="41"/>
  <c r="Q653" i="41"/>
  <c r="Q500" i="41"/>
  <c r="Q688" i="41"/>
  <c r="Q743" i="41"/>
  <c r="Q598" i="41"/>
  <c r="Q706" i="41"/>
  <c r="Q532" i="41"/>
  <c r="Q654" i="41"/>
  <c r="Q739" i="41"/>
  <c r="Q507" i="41"/>
  <c r="Q726" i="41"/>
  <c r="Q689" i="41"/>
  <c r="Q717" i="41"/>
  <c r="Q728" i="41"/>
  <c r="Q508" i="41"/>
  <c r="X1" i="41"/>
  <c r="U1" i="41"/>
  <c r="V1" i="41" s="1"/>
  <c r="W1" i="41" s="1"/>
  <c r="X266" i="35" l="1"/>
  <c r="X184" i="35"/>
  <c r="Y184" i="35" s="1"/>
  <c r="X173" i="35"/>
  <c r="Y173" i="35" s="1"/>
  <c r="X1082" i="35"/>
  <c r="Y1082" i="35" s="1"/>
  <c r="X143" i="35"/>
  <c r="Y143" i="35" s="1"/>
  <c r="X632" i="35"/>
  <c r="Y632" i="35" s="1"/>
  <c r="X641" i="35"/>
  <c r="Y641" i="35" s="1"/>
  <c r="X1093" i="35"/>
  <c r="Y1093" i="35" s="1"/>
  <c r="X616" i="35"/>
  <c r="Y616" i="35" s="1"/>
  <c r="X420" i="35"/>
  <c r="Y420" i="35" s="1"/>
  <c r="X100" i="35"/>
  <c r="Y100" i="35" s="1"/>
  <c r="X158" i="35"/>
  <c r="Y158" i="35" s="1"/>
  <c r="X603" i="35"/>
  <c r="Y603" i="35" s="1"/>
  <c r="X524" i="35"/>
  <c r="Y524" i="35" s="1"/>
  <c r="X166" i="35"/>
  <c r="Y166" i="35" s="1"/>
  <c r="X701" i="35"/>
  <c r="Y701" i="35" s="1"/>
  <c r="X428" i="35"/>
  <c r="Y428" i="35" s="1"/>
  <c r="X525" i="35"/>
  <c r="Y525" i="35" s="1"/>
  <c r="X211" i="35"/>
  <c r="Y211" i="35" s="1"/>
  <c r="X602" i="35"/>
  <c r="Y602" i="35" s="1"/>
  <c r="X469" i="35"/>
  <c r="Y469" i="35" s="1"/>
  <c r="X348" i="35"/>
  <c r="Y348" i="35" s="1"/>
  <c r="X411" i="35"/>
  <c r="Y411" i="35" s="1"/>
  <c r="X516" i="35"/>
  <c r="Y516" i="35" s="1"/>
  <c r="X120" i="35"/>
  <c r="Y120" i="35" s="1"/>
  <c r="X195" i="35"/>
  <c r="Y195" i="35" s="1"/>
  <c r="X346" i="35"/>
  <c r="Y346" i="35" s="1"/>
  <c r="X357" i="35"/>
  <c r="Y357" i="35" s="1"/>
  <c r="X262" i="35"/>
  <c r="Y262" i="35" s="1"/>
  <c r="X52" i="35"/>
  <c r="Y52" i="35" s="1"/>
  <c r="X457" i="35"/>
  <c r="Y457" i="35" s="1"/>
  <c r="X204" i="35"/>
  <c r="Y204" i="35" s="1"/>
  <c r="X86" i="35"/>
  <c r="Y86" i="35" s="1"/>
  <c r="X1073" i="35"/>
  <c r="Y1073" i="35" s="1"/>
  <c r="X711" i="35"/>
  <c r="Y711" i="35" s="1"/>
  <c r="X205" i="35"/>
  <c r="Y205" i="35" s="1"/>
  <c r="X1092" i="35"/>
  <c r="Y1092" i="35" s="1"/>
  <c r="X179" i="35"/>
  <c r="Y179" i="35" s="1"/>
  <c r="X151" i="35"/>
  <c r="Y151" i="35" s="1"/>
  <c r="X376" i="35"/>
  <c r="Y376" i="35" s="1"/>
  <c r="X698" i="35"/>
  <c r="Y698" i="35" s="1"/>
  <c r="X125" i="35"/>
  <c r="Y125" i="35" s="1"/>
  <c r="X693" i="35"/>
  <c r="Y693" i="35" s="1"/>
  <c r="X320" i="35"/>
  <c r="Y320" i="35" s="1"/>
  <c r="X31" i="35"/>
  <c r="Y31" i="35" s="1"/>
  <c r="X475" i="35"/>
  <c r="Y475" i="35" s="1"/>
  <c r="X350" i="35"/>
  <c r="Y350" i="35" s="1"/>
  <c r="X593" i="35"/>
  <c r="Y593" i="35" s="1"/>
  <c r="X22" i="35"/>
  <c r="Y22" i="35" s="1"/>
  <c r="X190" i="35"/>
  <c r="Y190" i="35" s="1"/>
  <c r="X171" i="35"/>
  <c r="Y171" i="35" s="1"/>
  <c r="X193" i="35"/>
  <c r="Y193" i="35" s="1"/>
  <c r="X541" i="35"/>
  <c r="Y541" i="35" s="1"/>
  <c r="X210" i="35"/>
  <c r="Y210" i="35" s="1"/>
  <c r="X206" i="35"/>
  <c r="Y206" i="35" s="1"/>
  <c r="X342" i="35"/>
  <c r="Y342" i="35" s="1"/>
  <c r="X399" i="35"/>
  <c r="Y399" i="35" s="1"/>
  <c r="X1095" i="35"/>
  <c r="Y1095" i="35" s="1"/>
  <c r="X154" i="35"/>
  <c r="Y154" i="35" s="1"/>
  <c r="X48" i="35"/>
  <c r="Y48" i="35" s="1"/>
  <c r="X72" i="35"/>
  <c r="Y72" i="35" s="1"/>
  <c r="X313" i="35"/>
  <c r="Y313" i="35" s="1"/>
  <c r="X239" i="35"/>
  <c r="Y239" i="35" s="1"/>
  <c r="X118" i="35"/>
  <c r="Y118" i="35" s="1"/>
  <c r="X312" i="35"/>
  <c r="Y312" i="35" s="1"/>
  <c r="X513" i="35"/>
  <c r="Y513" i="35" s="1"/>
  <c r="X532" i="35"/>
  <c r="Y532" i="35" s="1"/>
  <c r="X586" i="35"/>
  <c r="Y586" i="35" s="1"/>
  <c r="X659" i="35"/>
  <c r="Y659" i="35" s="1"/>
  <c r="X338" i="35"/>
  <c r="Y338" i="35" s="1"/>
  <c r="X187" i="35"/>
  <c r="Y187" i="35" s="1"/>
  <c r="X1086" i="35"/>
  <c r="Y1086" i="35" s="1"/>
  <c r="X673" i="35"/>
  <c r="Y673" i="35" s="1"/>
  <c r="X50" i="35"/>
  <c r="Y50" i="35" s="1"/>
  <c r="X257" i="35"/>
  <c r="Y257" i="35" s="1"/>
  <c r="X191" i="35"/>
  <c r="Y191" i="35" s="1"/>
  <c r="X161" i="35"/>
  <c r="Y161" i="35" s="1"/>
  <c r="X544" i="35"/>
  <c r="Y544" i="35" s="1"/>
  <c r="X533" i="35"/>
  <c r="Y533" i="35" s="1"/>
  <c r="X55" i="35"/>
  <c r="Y55" i="35" s="1"/>
  <c r="X619" i="35"/>
  <c r="Y619" i="35" s="1"/>
  <c r="X316" i="35"/>
  <c r="Y316" i="35" s="1"/>
  <c r="X240" i="35"/>
  <c r="Y240" i="35" s="1"/>
  <c r="X548" i="35"/>
  <c r="Y548" i="35" s="1"/>
  <c r="X392" i="35"/>
  <c r="Y392" i="35" s="1"/>
  <c r="X203" i="35"/>
  <c r="Y203" i="35" s="1"/>
  <c r="X8" i="35"/>
  <c r="Y8" i="35" s="1"/>
  <c r="X308" i="35"/>
  <c r="Y308" i="35" s="1"/>
  <c r="X690" i="35"/>
  <c r="Y690" i="35" s="1"/>
  <c r="X556" i="35"/>
  <c r="Y556" i="35" s="1"/>
  <c r="X609" i="35"/>
  <c r="Y609" i="35" s="1"/>
  <c r="X624" i="35"/>
  <c r="Y624" i="35" s="1"/>
  <c r="X14" i="35"/>
  <c r="Y14" i="35" s="1"/>
  <c r="X241" i="35"/>
  <c r="Y241" i="35" s="1"/>
  <c r="X95" i="35"/>
  <c r="Y95" i="35" s="1"/>
  <c r="X581" i="35"/>
  <c r="Y581" i="35" s="1"/>
  <c r="X362" i="35"/>
  <c r="Y362" i="35" s="1"/>
  <c r="X686" i="35"/>
  <c r="Y686" i="35" s="1"/>
  <c r="X276" i="35"/>
  <c r="Y276" i="35" s="1"/>
  <c r="X562" i="35"/>
  <c r="Y562" i="35" s="1"/>
  <c r="X264" i="35"/>
  <c r="Y264" i="35" s="1"/>
  <c r="X306" i="35"/>
  <c r="Y306" i="35" s="1"/>
  <c r="X643" i="35"/>
  <c r="Y643" i="35" s="1"/>
  <c r="X604" i="35"/>
  <c r="Y604" i="35" s="1"/>
  <c r="X42" i="35"/>
  <c r="Y42" i="35" s="1"/>
  <c r="X139" i="35"/>
  <c r="Y139" i="35" s="1"/>
  <c r="X170" i="35"/>
  <c r="Y170" i="35" s="1"/>
  <c r="X383" i="35"/>
  <c r="Y383" i="35" s="1"/>
  <c r="X722" i="35"/>
  <c r="Y722" i="35" s="1"/>
  <c r="X470" i="35"/>
  <c r="Y470" i="35" s="1"/>
  <c r="X442" i="35"/>
  <c r="Y442" i="35" s="1"/>
  <c r="X272" i="35"/>
  <c r="Y272" i="35" s="1"/>
  <c r="X229" i="35"/>
  <c r="Y229" i="35" s="1"/>
  <c r="X629" i="35"/>
  <c r="Y629" i="35" s="1"/>
  <c r="X650" i="35"/>
  <c r="Y650" i="35" s="1"/>
  <c r="X687" i="35"/>
  <c r="Y687" i="35" s="1"/>
  <c r="X185" i="35"/>
  <c r="Y185" i="35" s="1"/>
  <c r="X453" i="35"/>
  <c r="Y453" i="35" s="1"/>
  <c r="X768" i="35"/>
  <c r="Y768" i="35" s="1"/>
  <c r="X598" i="35"/>
  <c r="Y598" i="35" s="1"/>
  <c r="X37" i="35"/>
  <c r="Y37" i="35" s="1"/>
  <c r="X447" i="35"/>
  <c r="Y447" i="35" s="1"/>
  <c r="X35" i="35"/>
  <c r="Y35" i="35" s="1"/>
  <c r="X391" i="35"/>
  <c r="Y391" i="35" s="1"/>
  <c r="X188" i="35"/>
  <c r="Y188" i="35" s="1"/>
  <c r="X504" i="35"/>
  <c r="Y504" i="35" s="1"/>
  <c r="X74" i="35"/>
  <c r="Y74" i="35" s="1"/>
  <c r="X165" i="35"/>
  <c r="Y165" i="35" s="1"/>
  <c r="X423" i="35"/>
  <c r="Y423" i="35" s="1"/>
  <c r="X419" i="35"/>
  <c r="Y419" i="35" s="1"/>
  <c r="X347" i="35"/>
  <c r="Y347" i="35" s="1"/>
  <c r="X427" i="35"/>
  <c r="Y427" i="35" s="1"/>
  <c r="X388" i="35"/>
  <c r="Y388" i="35" s="1"/>
  <c r="X374" i="35"/>
  <c r="Y374" i="35" s="1"/>
  <c r="X378" i="35"/>
  <c r="Y378" i="35" s="1"/>
  <c r="X233" i="35"/>
  <c r="Y233" i="35" s="1"/>
  <c r="X87" i="35"/>
  <c r="Y87" i="35" s="1"/>
  <c r="X642" i="35"/>
  <c r="Y642" i="35" s="1"/>
  <c r="X426" i="35"/>
  <c r="Y426" i="35" s="1"/>
  <c r="X397" i="35"/>
  <c r="Y397" i="35" s="1"/>
  <c r="X520" i="35"/>
  <c r="Y520" i="35" s="1"/>
  <c r="X700" i="35"/>
  <c r="Y700" i="35" s="1"/>
  <c r="X235" i="35"/>
  <c r="Y235" i="35" s="1"/>
  <c r="X464" i="35"/>
  <c r="Y464" i="35" s="1"/>
  <c r="X265" i="35"/>
  <c r="Y265" i="35" s="1"/>
  <c r="X614" i="35"/>
  <c r="Y614" i="35" s="1"/>
  <c r="X38" i="35"/>
  <c r="Y38" i="35" s="1"/>
  <c r="X618" i="35"/>
  <c r="Y618" i="35" s="1"/>
  <c r="X334" i="35"/>
  <c r="Y334" i="35" s="1"/>
  <c r="X180" i="35"/>
  <c r="Y180" i="35" s="1"/>
  <c r="X169" i="35"/>
  <c r="Y169" i="35" s="1"/>
  <c r="X331" i="35"/>
  <c r="Y331" i="35" s="1"/>
  <c r="X140" i="35"/>
  <c r="Y140" i="35" s="1"/>
  <c r="X607" i="35"/>
  <c r="Y607" i="35" s="1"/>
  <c r="X655" i="35"/>
  <c r="Y655" i="35" s="1"/>
  <c r="X510" i="35"/>
  <c r="Y510" i="35" s="1"/>
  <c r="X471" i="35"/>
  <c r="Y471" i="35" s="1"/>
  <c r="X325" i="35"/>
  <c r="Y325" i="35" s="1"/>
  <c r="X436" i="35"/>
  <c r="Y436" i="35" s="1"/>
  <c r="X134" i="35"/>
  <c r="Y134" i="35" s="1"/>
  <c r="X113" i="35"/>
  <c r="Y113" i="35" s="1"/>
  <c r="X127" i="35"/>
  <c r="Y127" i="35" s="1"/>
  <c r="X486" i="35"/>
  <c r="Y486" i="35" s="1"/>
  <c r="X364" i="35"/>
  <c r="Y364" i="35" s="1"/>
  <c r="X112" i="35"/>
  <c r="Y112" i="35" s="1"/>
  <c r="X622" i="35"/>
  <c r="Y622" i="35" s="1"/>
  <c r="X689" i="35"/>
  <c r="Y689" i="35" s="1"/>
  <c r="X574" i="35"/>
  <c r="Y574" i="35" s="1"/>
  <c r="X485" i="35"/>
  <c r="Y485" i="35" s="1"/>
  <c r="X702" i="35"/>
  <c r="Y702" i="35" s="1"/>
  <c r="X261" i="35"/>
  <c r="Y261" i="35" s="1"/>
  <c r="X699" i="35"/>
  <c r="Y699" i="35" s="1"/>
  <c r="X612" i="35"/>
  <c r="Y612" i="35" s="1"/>
  <c r="X223" i="35"/>
  <c r="Y223" i="35" s="1"/>
  <c r="X691" i="35"/>
  <c r="Y691" i="35" s="1"/>
  <c r="X621" i="35"/>
  <c r="Y621" i="35" s="1"/>
  <c r="X15" i="35"/>
  <c r="Y15" i="35" s="1"/>
  <c r="X150" i="35"/>
  <c r="Y150" i="35" s="1"/>
  <c r="X369" i="35"/>
  <c r="Y369" i="35" s="1"/>
  <c r="X437" i="35"/>
  <c r="Y437" i="35" s="1"/>
  <c r="X567" i="35"/>
  <c r="Y567" i="35" s="1"/>
  <c r="X198" i="35"/>
  <c r="Y198" i="35" s="1"/>
  <c r="X296" i="35"/>
  <c r="Y296" i="35" s="1"/>
  <c r="X656" i="35"/>
  <c r="Y656" i="35" s="1"/>
  <c r="X497" i="35"/>
  <c r="Y497" i="35" s="1"/>
  <c r="X631" i="35"/>
  <c r="Y631" i="35" s="1"/>
  <c r="X41" i="35"/>
  <c r="Y41" i="35" s="1"/>
  <c r="X17" i="35"/>
  <c r="Y17" i="35" s="1"/>
  <c r="X692" i="35"/>
  <c r="Y692" i="35" s="1"/>
  <c r="X216" i="35"/>
  <c r="Y216" i="35" s="1"/>
  <c r="X222" i="35"/>
  <c r="Y222" i="35" s="1"/>
  <c r="X385" i="35"/>
  <c r="Y385" i="35" s="1"/>
  <c r="X273" i="35"/>
  <c r="Y273" i="35" s="1"/>
  <c r="X481" i="35"/>
  <c r="Y481" i="35" s="1"/>
  <c r="X594" i="35"/>
  <c r="Y594" i="35" s="1"/>
  <c r="X403" i="35"/>
  <c r="Y403" i="35" s="1"/>
  <c r="X131" i="35"/>
  <c r="Y131" i="35" s="1"/>
  <c r="X91" i="35"/>
  <c r="Y91" i="35" s="1"/>
  <c r="X251" i="35"/>
  <c r="Y251" i="35" s="1"/>
  <c r="X321" i="35"/>
  <c r="Y321" i="35" s="1"/>
  <c r="X456" i="35"/>
  <c r="Y456" i="35" s="1"/>
  <c r="X568" i="35"/>
  <c r="Y568" i="35" s="1"/>
  <c r="X615" i="35"/>
  <c r="Y615" i="35" s="1"/>
  <c r="X580" i="35"/>
  <c r="Y580" i="35" s="1"/>
  <c r="X723" i="35"/>
  <c r="Y723" i="35" s="1"/>
  <c r="X666" i="35"/>
  <c r="Y666" i="35" s="1"/>
  <c r="X328" i="35"/>
  <c r="Y328" i="35" s="1"/>
  <c r="X284" i="35"/>
  <c r="Y284" i="35" s="1"/>
  <c r="X463" i="35"/>
  <c r="Y463" i="35" s="1"/>
  <c r="X1098" i="35"/>
  <c r="Y1098" i="35" s="1"/>
  <c r="X289" i="35"/>
  <c r="Y289" i="35" s="1"/>
  <c r="X194" i="35"/>
  <c r="Y194" i="35" s="1"/>
  <c r="X79" i="35"/>
  <c r="Y79" i="35" s="1"/>
  <c r="X536" i="35"/>
  <c r="Y536" i="35" s="1"/>
  <c r="X639" i="35"/>
  <c r="Y639" i="35" s="1"/>
  <c r="X606" i="35"/>
  <c r="Y606" i="35" s="1"/>
  <c r="X9" i="35"/>
  <c r="Y9" i="35" s="1"/>
  <c r="X1079" i="35"/>
  <c r="Y1079" i="35" s="1"/>
  <c r="X380" i="35"/>
  <c r="Y380" i="35" s="1"/>
  <c r="X26" i="35"/>
  <c r="Y26" i="35" s="1"/>
  <c r="X300" i="35"/>
  <c r="Y300" i="35" s="1"/>
  <c r="X322" i="35"/>
  <c r="Y322" i="35" s="1"/>
  <c r="X492" i="35"/>
  <c r="Y492" i="35" s="1"/>
  <c r="X225" i="35"/>
  <c r="Y225" i="35" s="1"/>
  <c r="X1078" i="35"/>
  <c r="Y1078" i="35" s="1"/>
  <c r="X672" i="35"/>
  <c r="Y672" i="35" s="1"/>
  <c r="X561" i="35"/>
  <c r="Y561" i="35" s="1"/>
  <c r="X81" i="35"/>
  <c r="Y81" i="35" s="1"/>
  <c r="X382" i="35"/>
  <c r="Y382" i="35" s="1"/>
  <c r="X640" i="35"/>
  <c r="Y640" i="35" s="1"/>
  <c r="X372" i="35"/>
  <c r="Y372" i="35" s="1"/>
  <c r="X627" i="35"/>
  <c r="Y627" i="35" s="1"/>
  <c r="X303" i="35"/>
  <c r="Y303" i="35" s="1"/>
  <c r="X333" i="35"/>
  <c r="Y333" i="35" s="1"/>
  <c r="X130" i="35"/>
  <c r="Y130" i="35" s="1"/>
  <c r="X102" i="35"/>
  <c r="Y102" i="35" s="1"/>
  <c r="X515" i="35"/>
  <c r="Y515" i="35" s="1"/>
  <c r="X610" i="35"/>
  <c r="Y610" i="35" s="1"/>
  <c r="X555" i="35"/>
  <c r="Y555" i="35" s="1"/>
  <c r="X577" i="35"/>
  <c r="Y577" i="35" s="1"/>
  <c r="X668" i="35"/>
  <c r="Y668" i="35" s="1"/>
  <c r="X53" i="35"/>
  <c r="Y53" i="35" s="1"/>
  <c r="X285" i="35"/>
  <c r="Y285" i="35" s="1"/>
  <c r="X455" i="35"/>
  <c r="Y455" i="35" s="1"/>
  <c r="X712" i="35"/>
  <c r="Y712" i="35" s="1"/>
  <c r="X714" i="35"/>
  <c r="Y714" i="35" s="1"/>
  <c r="X275" i="35"/>
  <c r="Y275" i="35" s="1"/>
  <c r="X677" i="35"/>
  <c r="Y677" i="35" s="1"/>
  <c r="X1081" i="35"/>
  <c r="Y1081" i="35" s="1"/>
  <c r="X282" i="35"/>
  <c r="Y282" i="35" s="1"/>
  <c r="X332" i="35"/>
  <c r="Y332" i="35" s="1"/>
  <c r="X405" i="35"/>
  <c r="Y405" i="35" s="1"/>
  <c r="X123" i="35"/>
  <c r="Y123" i="35" s="1"/>
  <c r="X583" i="35"/>
  <c r="Y583" i="35" s="1"/>
  <c r="X441" i="35"/>
  <c r="Y441" i="35" s="1"/>
  <c r="X664" i="35"/>
  <c r="Y664" i="35" s="1"/>
  <c r="X1071" i="35"/>
  <c r="Y1071" i="35" s="1"/>
  <c r="X721" i="35"/>
  <c r="Y721" i="35" s="1"/>
  <c r="X569" i="35"/>
  <c r="Y569" i="35" s="1"/>
  <c r="X379" i="35"/>
  <c r="Y379" i="35" s="1"/>
  <c r="X670" i="35"/>
  <c r="Y670" i="35" s="1"/>
  <c r="X542" i="35"/>
  <c r="Y542" i="35" s="1"/>
  <c r="X494" i="35"/>
  <c r="Y494" i="35" s="1"/>
  <c r="X157" i="35"/>
  <c r="Y157" i="35" s="1"/>
  <c r="X1091" i="35"/>
  <c r="Y1091" i="35" s="1"/>
  <c r="X636" i="35"/>
  <c r="Y636" i="35" s="1"/>
  <c r="X605" i="35"/>
  <c r="Y605" i="35" s="1"/>
  <c r="X221" i="35"/>
  <c r="Y221" i="35" s="1"/>
  <c r="X18" i="35"/>
  <c r="Y18" i="35" s="1"/>
  <c r="X302" i="35"/>
  <c r="Y302" i="35" s="1"/>
  <c r="X667" i="35"/>
  <c r="Y667" i="35" s="1"/>
  <c r="X162" i="35"/>
  <c r="Y162" i="35" s="1"/>
  <c r="X149" i="35"/>
  <c r="Y149" i="35" s="1"/>
  <c r="X559" i="35"/>
  <c r="Y559" i="35" s="1"/>
  <c r="X172" i="35"/>
  <c r="Y172" i="35" s="1"/>
  <c r="X585" i="35"/>
  <c r="Y585" i="35" s="1"/>
  <c r="X253" i="35"/>
  <c r="Y253" i="35" s="1"/>
  <c r="X77" i="35"/>
  <c r="Y77" i="35" s="1"/>
  <c r="X304" i="35"/>
  <c r="Y304" i="35" s="1"/>
  <c r="X16" i="35"/>
  <c r="Y16" i="35" s="1"/>
  <c r="X32" i="35"/>
  <c r="Y32" i="35" s="1"/>
  <c r="X445" i="35"/>
  <c r="Y445" i="35" s="1"/>
  <c r="X488" i="35"/>
  <c r="Y488" i="35" s="1"/>
  <c r="X97" i="35"/>
  <c r="Y97" i="35" s="1"/>
  <c r="X1074" i="35"/>
  <c r="Y1074" i="35" s="1"/>
  <c r="X298" i="35"/>
  <c r="Y298" i="35" s="1"/>
  <c r="X448" i="35"/>
  <c r="Y448" i="35" s="1"/>
  <c r="X473" i="35"/>
  <c r="Y473" i="35" s="1"/>
  <c r="X277" i="35"/>
  <c r="Y277" i="35" s="1"/>
  <c r="X681" i="35"/>
  <c r="Y681" i="35" s="1"/>
  <c r="X493" i="35"/>
  <c r="Y493" i="35" s="1"/>
  <c r="X774" i="35"/>
  <c r="Y774" i="35" s="1"/>
  <c r="X772" i="35"/>
  <c r="Y772" i="35" s="1"/>
  <c r="X770" i="35"/>
  <c r="Y770" i="35" s="1"/>
  <c r="X688" i="35"/>
  <c r="Y688" i="35" s="1"/>
  <c r="X438" i="35"/>
  <c r="Y438" i="35" s="1"/>
  <c r="X625" i="35"/>
  <c r="Y625" i="35" s="1"/>
  <c r="X590" i="35"/>
  <c r="Y590" i="35" s="1"/>
  <c r="X80" i="35"/>
  <c r="Y80" i="35" s="1"/>
  <c r="X318" i="35"/>
  <c r="Y318" i="35" s="1"/>
  <c r="X459" i="35"/>
  <c r="Y459" i="35" s="1"/>
  <c r="X646" i="35"/>
  <c r="Y646" i="35" s="1"/>
  <c r="X1090" i="35"/>
  <c r="Y1090" i="35" s="1"/>
  <c r="X274" i="35"/>
  <c r="Y274" i="35" s="1"/>
  <c r="X146" i="35"/>
  <c r="Y146" i="35" s="1"/>
  <c r="X66" i="35"/>
  <c r="Y66" i="35" s="1"/>
  <c r="X218" i="35"/>
  <c r="Y218" i="35" s="1"/>
  <c r="X554" i="35"/>
  <c r="Y554" i="35" s="1"/>
  <c r="X528" i="35"/>
  <c r="Y528" i="35" s="1"/>
  <c r="X186" i="35"/>
  <c r="Y186" i="35" s="1"/>
  <c r="X358" i="35"/>
  <c r="Y358" i="35" s="1"/>
  <c r="X384" i="35"/>
  <c r="Y384" i="35" s="1"/>
  <c r="X315" i="35"/>
  <c r="Y315" i="35" s="1"/>
  <c r="X545" i="35"/>
  <c r="Y545" i="35" s="1"/>
  <c r="X75" i="35"/>
  <c r="Y75" i="35" s="1"/>
  <c r="X454" i="35"/>
  <c r="Y454" i="35" s="1"/>
  <c r="X226" i="35"/>
  <c r="Y226" i="35" s="1"/>
  <c r="X220" i="35"/>
  <c r="Y220" i="35" s="1"/>
  <c r="X43" i="35"/>
  <c r="Y43" i="35" s="1"/>
  <c r="X386" i="35"/>
  <c r="Y386" i="35" s="1"/>
  <c r="X477" i="35"/>
  <c r="Y477" i="35" s="1"/>
  <c r="X551" i="35"/>
  <c r="Y551" i="35" s="1"/>
  <c r="X128" i="35"/>
  <c r="Y128" i="35" s="1"/>
  <c r="X142" i="35"/>
  <c r="Y142" i="35" s="1"/>
  <c r="X576" i="35"/>
  <c r="Y576" i="35" s="1"/>
  <c r="X327" i="35"/>
  <c r="Y327" i="35" s="1"/>
  <c r="X1099" i="35"/>
  <c r="Y1099" i="35" s="1"/>
  <c r="X503" i="35"/>
  <c r="Y503" i="35" s="1"/>
  <c r="X531" i="35"/>
  <c r="Y531" i="35" s="1"/>
  <c r="X474" i="35"/>
  <c r="Y474" i="35" s="1"/>
  <c r="X27" i="35"/>
  <c r="Y27" i="35" s="1"/>
  <c r="X396" i="35"/>
  <c r="Y396" i="35" s="1"/>
  <c r="X589" i="35"/>
  <c r="Y589" i="35" s="1"/>
  <c r="X444" i="35"/>
  <c r="Y444" i="35" s="1"/>
  <c r="X371" i="35"/>
  <c r="Y371" i="35" s="1"/>
  <c r="X418" i="35"/>
  <c r="Y418" i="35" s="1"/>
  <c r="X192" i="35"/>
  <c r="Y192" i="35" s="1"/>
  <c r="X684" i="35"/>
  <c r="Y684" i="35" s="1"/>
  <c r="X452" i="35"/>
  <c r="Y452" i="35" s="1"/>
  <c r="X395" i="35"/>
  <c r="Y395" i="35" s="1"/>
  <c r="X472" i="35"/>
  <c r="Y472" i="35" s="1"/>
  <c r="X90" i="35"/>
  <c r="Y90" i="35" s="1"/>
  <c r="X280" i="35"/>
  <c r="Y280" i="35" s="1"/>
  <c r="X307" i="35"/>
  <c r="Y307" i="35" s="1"/>
  <c r="X373" i="35"/>
  <c r="Y373" i="35" s="1"/>
  <c r="X5" i="35"/>
  <c r="Y5" i="35" s="1"/>
  <c r="X250" i="35"/>
  <c r="Y250" i="35" s="1"/>
  <c r="X434" i="35"/>
  <c r="Y434" i="35" s="1"/>
  <c r="X674" i="35"/>
  <c r="Y674" i="35" s="1"/>
  <c r="X552" i="35"/>
  <c r="Y552" i="35" s="1"/>
  <c r="X703" i="35"/>
  <c r="Y703" i="35" s="1"/>
  <c r="X137" i="35"/>
  <c r="Y137" i="35" s="1"/>
  <c r="X527" i="35"/>
  <c r="Y527" i="35" s="1"/>
  <c r="X115" i="35"/>
  <c r="Y115" i="35" s="1"/>
  <c r="X3" i="35"/>
  <c r="Y3" i="35" s="1"/>
  <c r="X716" i="35"/>
  <c r="Y716" i="35" s="1"/>
  <c r="X771" i="35"/>
  <c r="Y771" i="35" s="1"/>
  <c r="X252" i="35"/>
  <c r="Y252" i="35" s="1"/>
  <c r="X163" i="35"/>
  <c r="Y163" i="35" s="1"/>
  <c r="X498" i="35"/>
  <c r="Y498" i="35" s="1"/>
  <c r="X207" i="35"/>
  <c r="Y207" i="35" s="1"/>
  <c r="X572" i="35"/>
  <c r="Y572" i="35" s="1"/>
  <c r="X105" i="35"/>
  <c r="Y105" i="35" s="1"/>
  <c r="X660" i="35"/>
  <c r="Y660" i="35" s="1"/>
  <c r="X78" i="35"/>
  <c r="Y78" i="35" s="1"/>
  <c r="X11" i="35"/>
  <c r="Y11" i="35" s="1"/>
  <c r="X509" i="35"/>
  <c r="Y509" i="35" s="1"/>
  <c r="X523" i="35"/>
  <c r="Y523" i="35" s="1"/>
  <c r="X570" i="35"/>
  <c r="Y570" i="35" s="1"/>
  <c r="X1077" i="35"/>
  <c r="Y1077" i="35" s="1"/>
  <c r="X439" i="35"/>
  <c r="Y439" i="35" s="1"/>
  <c r="X132" i="35"/>
  <c r="Y132" i="35" s="1"/>
  <c r="X62" i="35"/>
  <c r="Y62" i="35" s="1"/>
  <c r="X658" i="35"/>
  <c r="Y658" i="35" s="1"/>
  <c r="X433" i="35"/>
  <c r="Y433" i="35" s="1"/>
  <c r="X431" i="35"/>
  <c r="Y431" i="35" s="1"/>
  <c r="X197" i="35"/>
  <c r="Y197" i="35" s="1"/>
  <c r="X353" i="35"/>
  <c r="Y353" i="35" s="1"/>
  <c r="X707" i="35"/>
  <c r="Y707" i="35" s="1"/>
  <c r="X652" i="35"/>
  <c r="Y652" i="35" s="1"/>
  <c r="X634" i="35"/>
  <c r="Y634" i="35" s="1"/>
  <c r="X103" i="35"/>
  <c r="Y103" i="35" s="1"/>
  <c r="X175" i="35"/>
  <c r="Y175" i="35" s="1"/>
  <c r="X67" i="35"/>
  <c r="Y67" i="35" s="1"/>
  <c r="X553" i="35"/>
  <c r="Y553" i="35" s="1"/>
  <c r="X337" i="35"/>
  <c r="Y337" i="35" s="1"/>
  <c r="X538" i="35"/>
  <c r="Y538" i="35" s="1"/>
  <c r="X61" i="35"/>
  <c r="Y61" i="35" s="1"/>
  <c r="X719" i="35"/>
  <c r="Y719" i="35" s="1"/>
  <c r="X25" i="35"/>
  <c r="Y25" i="35" s="1"/>
  <c r="X458" i="35"/>
  <c r="Y458" i="35" s="1"/>
  <c r="X76" i="35"/>
  <c r="Y76" i="35" s="1"/>
  <c r="X491" i="35"/>
  <c r="Y491" i="35" s="1"/>
  <c r="X174" i="35"/>
  <c r="Y174" i="35" s="1"/>
  <c r="X160" i="35"/>
  <c r="Y160" i="35" s="1"/>
  <c r="X534" i="35"/>
  <c r="Y534" i="35" s="1"/>
  <c r="X425" i="35"/>
  <c r="Y425" i="35" s="1"/>
  <c r="X489" i="35"/>
  <c r="Y489" i="35" s="1"/>
  <c r="X705" i="35"/>
  <c r="Y705" i="35" s="1"/>
  <c r="X518" i="35"/>
  <c r="Y518" i="35" s="1"/>
  <c r="X58" i="35"/>
  <c r="Y58" i="35" s="1"/>
  <c r="X183" i="35"/>
  <c r="Y183" i="35" s="1"/>
  <c r="X178" i="35"/>
  <c r="Y178" i="35" s="1"/>
  <c r="X278" i="35"/>
  <c r="Y278" i="35" s="1"/>
  <c r="X466" i="35"/>
  <c r="Y466" i="35" s="1"/>
  <c r="X417" i="35"/>
  <c r="Y417" i="35" s="1"/>
  <c r="X501" i="35"/>
  <c r="Y501" i="35" s="1"/>
  <c r="X365" i="35"/>
  <c r="Y365" i="35" s="1"/>
  <c r="X297" i="35"/>
  <c r="Y297" i="35" s="1"/>
  <c r="X409" i="35"/>
  <c r="Y409" i="35" s="1"/>
  <c r="X201" i="35"/>
  <c r="Y201" i="35" s="1"/>
  <c r="X60" i="35"/>
  <c r="Y60" i="35" s="1"/>
  <c r="X416" i="35"/>
  <c r="Y416" i="35" s="1"/>
  <c r="X500" i="35"/>
  <c r="Y500" i="35" s="1"/>
  <c r="X49" i="35"/>
  <c r="Y49" i="35" s="1"/>
  <c r="X145" i="35"/>
  <c r="Y145" i="35" s="1"/>
  <c r="X708" i="35"/>
  <c r="Y708" i="35" s="1"/>
  <c r="X343" i="35"/>
  <c r="Y343" i="35" s="1"/>
  <c r="X167" i="35"/>
  <c r="Y167" i="35" s="1"/>
  <c r="X73" i="35"/>
  <c r="Y73" i="35" s="1"/>
  <c r="X144" i="35"/>
  <c r="Y144" i="35" s="1"/>
  <c r="X63" i="35"/>
  <c r="Y63" i="35" s="1"/>
  <c r="X168" i="35"/>
  <c r="Y168" i="35" s="1"/>
  <c r="X617" i="35"/>
  <c r="Y617" i="35" s="1"/>
  <c r="X288" i="35"/>
  <c r="Y288" i="35" s="1"/>
  <c r="X449" i="35"/>
  <c r="Y449" i="35" s="1"/>
  <c r="X164" i="35"/>
  <c r="Y164" i="35" s="1"/>
  <c r="X694" i="35"/>
  <c r="Y694" i="35" s="1"/>
  <c r="X398" i="35"/>
  <c r="Y398" i="35" s="1"/>
  <c r="X704" i="35"/>
  <c r="Y704" i="35" s="1"/>
  <c r="X7" i="35"/>
  <c r="Y7" i="35" s="1"/>
  <c r="X522" i="35"/>
  <c r="Y522" i="35" s="1"/>
  <c r="X717" i="35"/>
  <c r="Y717" i="35" s="1"/>
  <c r="X330" i="35"/>
  <c r="Y330" i="35" s="1"/>
  <c r="X122" i="35"/>
  <c r="Y122" i="35" s="1"/>
  <c r="X424" i="35"/>
  <c r="Y424" i="35" s="1"/>
  <c r="X212" i="35"/>
  <c r="Y212" i="35" s="1"/>
  <c r="X94" i="35"/>
  <c r="Y94" i="35" s="1"/>
  <c r="X620" i="35"/>
  <c r="Y620" i="35" s="1"/>
  <c r="X558" i="35"/>
  <c r="Y558" i="35" s="1"/>
  <c r="X249" i="35"/>
  <c r="Y249" i="35" s="1"/>
  <c r="X4" i="35"/>
  <c r="Y4" i="35" s="1"/>
  <c r="X608" i="35"/>
  <c r="Y608" i="35" s="1"/>
  <c r="X653" i="35"/>
  <c r="Y653" i="35" s="1"/>
  <c r="X245" i="35"/>
  <c r="Y245" i="35" s="1"/>
  <c r="X435" i="35"/>
  <c r="Y435" i="35" s="1"/>
  <c r="X579" i="35"/>
  <c r="Y579" i="35" s="1"/>
  <c r="X613" i="35"/>
  <c r="Y613" i="35" s="1"/>
  <c r="X228" i="35"/>
  <c r="Y228" i="35" s="1"/>
  <c r="X24" i="35"/>
  <c r="Y24" i="35" s="1"/>
  <c r="X6" i="35"/>
  <c r="Y6" i="35" s="1"/>
  <c r="X189" i="35"/>
  <c r="Y189" i="35" s="1"/>
  <c r="X400" i="35"/>
  <c r="Y400" i="35" s="1"/>
  <c r="X46" i="35"/>
  <c r="Y46" i="35" s="1"/>
  <c r="X39" i="35"/>
  <c r="Y39" i="35" s="1"/>
  <c r="X237" i="35"/>
  <c r="Y237" i="35" s="1"/>
  <c r="X502" i="35"/>
  <c r="Y502" i="35" s="1"/>
  <c r="X460" i="35"/>
  <c r="Y460" i="35" s="1"/>
  <c r="X514" i="35"/>
  <c r="Y514" i="35" s="1"/>
  <c r="X344" i="35"/>
  <c r="Y344" i="35" s="1"/>
  <c r="X680" i="35"/>
  <c r="Y680" i="35" s="1"/>
  <c r="X232" i="35"/>
  <c r="Y232" i="35" s="1"/>
  <c r="X461" i="35"/>
  <c r="Y461" i="35" s="1"/>
  <c r="X224" i="35"/>
  <c r="Y224" i="35" s="1"/>
  <c r="X196" i="35"/>
  <c r="Y196" i="35" s="1"/>
  <c r="X230" i="35"/>
  <c r="Y230" i="35" s="1"/>
  <c r="X1096" i="35"/>
  <c r="Y1096" i="35" s="1"/>
  <c r="X476" i="35"/>
  <c r="Y476" i="35" s="1"/>
  <c r="X543" i="35"/>
  <c r="Y543" i="35" s="1"/>
  <c r="X715" i="35"/>
  <c r="Y715" i="35" s="1"/>
  <c r="X83" i="35"/>
  <c r="Y83" i="35" s="1"/>
  <c r="X156" i="35"/>
  <c r="Y156" i="35" s="1"/>
  <c r="X181" i="35"/>
  <c r="Y181" i="35" s="1"/>
  <c r="X23" i="35"/>
  <c r="Y23" i="35" s="1"/>
  <c r="X311" i="35"/>
  <c r="Y311" i="35" s="1"/>
  <c r="X20" i="35"/>
  <c r="Y20" i="35" s="1"/>
  <c r="X720" i="35"/>
  <c r="Y720" i="35" s="1"/>
  <c r="X626" i="35"/>
  <c r="Y626" i="35" s="1"/>
  <c r="X104" i="35"/>
  <c r="Y104" i="35" s="1"/>
  <c r="X903" i="35"/>
  <c r="Y903" i="35" s="1"/>
  <c r="X93" i="35"/>
  <c r="Y93" i="35" s="1"/>
  <c r="X59" i="35"/>
  <c r="Y59" i="35" s="1"/>
  <c r="X450" i="35"/>
  <c r="Y450" i="35" s="1"/>
  <c r="X596" i="35"/>
  <c r="Y596" i="35" s="1"/>
  <c r="X92" i="35"/>
  <c r="Y92" i="35" s="1"/>
  <c r="X529" i="35"/>
  <c r="Y529" i="35" s="1"/>
  <c r="X468" i="35"/>
  <c r="Y468" i="35" s="1"/>
  <c r="X490" i="35"/>
  <c r="Y490" i="35" s="1"/>
  <c r="X68" i="35"/>
  <c r="Y68" i="35" s="1"/>
  <c r="X611" i="35"/>
  <c r="Y611" i="35" s="1"/>
  <c r="X549" i="35"/>
  <c r="Y549" i="35" s="1"/>
  <c r="X136" i="35"/>
  <c r="Y136" i="35" s="1"/>
  <c r="X595" i="35"/>
  <c r="Y595" i="35" s="1"/>
  <c r="X706" i="35"/>
  <c r="Y706" i="35" s="1"/>
  <c r="X588" i="35"/>
  <c r="Y588" i="35" s="1"/>
  <c r="X381" i="35"/>
  <c r="Y381" i="35" s="1"/>
  <c r="X290" i="35"/>
  <c r="Y290" i="35" s="1"/>
  <c r="X526" i="35"/>
  <c r="Y526" i="35" s="1"/>
  <c r="X36" i="35"/>
  <c r="Y36" i="35" s="1"/>
  <c r="X623" i="35"/>
  <c r="Y623" i="35" s="1"/>
  <c r="X443" i="35"/>
  <c r="Y443" i="35" s="1"/>
  <c r="X254" i="35"/>
  <c r="Y254" i="35" s="1"/>
  <c r="X440" i="35"/>
  <c r="Y440" i="35" s="1"/>
  <c r="X236" i="35"/>
  <c r="Y236" i="35" s="1"/>
  <c r="X124" i="35"/>
  <c r="Y124" i="35" s="1"/>
  <c r="X243" i="35"/>
  <c r="Y243" i="35" s="1"/>
  <c r="X54" i="35"/>
  <c r="Y54" i="35" s="1"/>
  <c r="X484" i="35"/>
  <c r="Y484" i="35" s="1"/>
  <c r="X507" i="35"/>
  <c r="Y507" i="35" s="1"/>
  <c r="X511" i="35"/>
  <c r="Y511" i="35" s="1"/>
  <c r="X451" i="35"/>
  <c r="Y451" i="35" s="1"/>
  <c r="X647" i="35"/>
  <c r="Y647" i="35" s="1"/>
  <c r="X309" i="35"/>
  <c r="Y309" i="35" s="1"/>
  <c r="X268" i="35"/>
  <c r="Y268" i="35" s="1"/>
  <c r="X69" i="35"/>
  <c r="Y69" i="35" s="1"/>
  <c r="X70" i="35"/>
  <c r="Y70" i="35" s="1"/>
  <c r="X82" i="35"/>
  <c r="Y82" i="35" s="1"/>
  <c r="X363" i="35"/>
  <c r="Y363" i="35" s="1"/>
  <c r="X697" i="35"/>
  <c r="Y697" i="35" s="1"/>
  <c r="X107" i="35"/>
  <c r="Y107" i="35" s="1"/>
  <c r="X209" i="35"/>
  <c r="Y209" i="35" s="1"/>
  <c r="X246" i="35"/>
  <c r="Y246" i="35" s="1"/>
  <c r="X478" i="35"/>
  <c r="Y478" i="35" s="1"/>
  <c r="X287" i="35"/>
  <c r="Y287" i="35" s="1"/>
  <c r="X557" i="35"/>
  <c r="Y557" i="35" s="1"/>
  <c r="X657" i="35"/>
  <c r="Y657" i="35" s="1"/>
  <c r="X1080" i="35"/>
  <c r="Y1080" i="35" s="1"/>
  <c r="X279" i="35"/>
  <c r="Y279" i="35" s="1"/>
  <c r="X506" i="35"/>
  <c r="Y506" i="35" s="1"/>
  <c r="X591" i="35"/>
  <c r="Y591" i="35" s="1"/>
  <c r="X281" i="35"/>
  <c r="Y281" i="35" s="1"/>
  <c r="X299" i="35"/>
  <c r="Y299" i="35" s="1"/>
  <c r="X176" i="35"/>
  <c r="Y176" i="35" s="1"/>
  <c r="X560" i="35"/>
  <c r="Y560" i="35" s="1"/>
  <c r="X349" i="35"/>
  <c r="Y349" i="35" s="1"/>
  <c r="X47" i="35"/>
  <c r="Y47" i="35" s="1"/>
  <c r="X99" i="35"/>
  <c r="Y99" i="35" s="1"/>
  <c r="X40" i="35"/>
  <c r="Y40" i="35" s="1"/>
  <c r="X393" i="35"/>
  <c r="Y393" i="35" s="1"/>
  <c r="X773" i="35"/>
  <c r="Y773" i="35" s="1"/>
  <c r="X649" i="35"/>
  <c r="Y649" i="35" s="1"/>
  <c r="X21" i="35"/>
  <c r="Y21" i="35" s="1"/>
  <c r="X98" i="35"/>
  <c r="Y98" i="35" s="1"/>
  <c r="X153" i="35"/>
  <c r="Y153" i="35" s="1"/>
  <c r="X361" i="35"/>
  <c r="Y361" i="35" s="1"/>
  <c r="X56" i="35"/>
  <c r="Y56" i="35" s="1"/>
  <c r="X215" i="35"/>
  <c r="Y215" i="35" s="1"/>
  <c r="X628" i="35"/>
  <c r="Y628" i="35" s="1"/>
  <c r="X648" i="35"/>
  <c r="Y648" i="35" s="1"/>
  <c r="X683" i="35"/>
  <c r="Y683" i="35" s="1"/>
  <c r="X217" i="35"/>
  <c r="Y217" i="35" s="1"/>
  <c r="X247" i="35"/>
  <c r="Y247" i="35" s="1"/>
  <c r="X359" i="35"/>
  <c r="Y359" i="35" s="1"/>
  <c r="X696" i="35"/>
  <c r="Y696" i="35" s="1"/>
  <c r="X675" i="35"/>
  <c r="Y675" i="35" s="1"/>
  <c r="X1097" i="35"/>
  <c r="Y1097" i="35" s="1"/>
  <c r="X368" i="35"/>
  <c r="Y368" i="35" s="1"/>
  <c r="X111" i="35"/>
  <c r="Y111" i="35" s="1"/>
  <c r="X630" i="35"/>
  <c r="Y630" i="35" s="1"/>
  <c r="X550" i="35"/>
  <c r="Y550" i="35" s="1"/>
  <c r="X521" i="35"/>
  <c r="Y521" i="35" s="1"/>
  <c r="X355" i="35"/>
  <c r="Y355" i="35" s="1"/>
  <c r="X394" i="35"/>
  <c r="Y394" i="35" s="1"/>
  <c r="X339" i="35"/>
  <c r="Y339" i="35" s="1"/>
  <c r="X530" i="35"/>
  <c r="Y530" i="35" s="1"/>
  <c r="X535" i="35"/>
  <c r="Y535" i="35" s="1"/>
  <c r="X256" i="35"/>
  <c r="Y256" i="35" s="1"/>
  <c r="X601" i="35"/>
  <c r="Y601" i="35" s="1"/>
  <c r="X547" i="35"/>
  <c r="Y547" i="35" s="1"/>
  <c r="X537" i="35"/>
  <c r="Y537" i="35" s="1"/>
  <c r="X159" i="35"/>
  <c r="Y159" i="35" s="1"/>
  <c r="X135" i="35"/>
  <c r="Y135" i="35" s="1"/>
  <c r="X1089" i="35"/>
  <c r="Y1089" i="35" s="1"/>
  <c r="X600" i="35"/>
  <c r="Y600" i="35" s="1"/>
  <c r="X28" i="35"/>
  <c r="Y28" i="35" s="1"/>
  <c r="X676" i="35"/>
  <c r="Y676" i="35" s="1"/>
  <c r="X65" i="35"/>
  <c r="Y65" i="35" s="1"/>
  <c r="X592" i="35"/>
  <c r="Y592" i="35" s="1"/>
  <c r="X255" i="35"/>
  <c r="Y255" i="35" s="1"/>
  <c r="X305" i="35"/>
  <c r="Y305" i="35" s="1"/>
  <c r="X508" i="35"/>
  <c r="Y508" i="35" s="1"/>
  <c r="X495" i="35"/>
  <c r="Y495" i="35" s="1"/>
  <c r="X242" i="35"/>
  <c r="Y242" i="35" s="1"/>
  <c r="X462" i="35"/>
  <c r="Y462" i="35" s="1"/>
  <c r="X685" i="35"/>
  <c r="Y685" i="35" s="1"/>
  <c r="X519" i="35"/>
  <c r="Y519" i="35" s="1"/>
  <c r="X30" i="35"/>
  <c r="Y30" i="35" s="1"/>
  <c r="X1094" i="35"/>
  <c r="Y1094" i="35" s="1"/>
  <c r="X584" i="35"/>
  <c r="Y584" i="35" s="1"/>
  <c r="X106" i="35"/>
  <c r="Y106" i="35" s="1"/>
  <c r="X1088" i="35"/>
  <c r="Y1088" i="35" s="1"/>
  <c r="X587" i="35"/>
  <c r="Y587" i="35" s="1"/>
  <c r="X141" i="35"/>
  <c r="Y141" i="35" s="1"/>
  <c r="X138" i="35"/>
  <c r="Y138" i="35" s="1"/>
  <c r="X421" i="35"/>
  <c r="Y421" i="35" s="1"/>
  <c r="X199" i="35"/>
  <c r="Y199" i="35" s="1"/>
  <c r="X84" i="35"/>
  <c r="Y84" i="35" s="1"/>
  <c r="X10" i="35"/>
  <c r="Y10" i="35" s="1"/>
  <c r="X429" i="35"/>
  <c r="Y429" i="35" s="1"/>
  <c r="X148" i="35"/>
  <c r="Y148" i="35" s="1"/>
  <c r="X29" i="35"/>
  <c r="Y29" i="35" s="1"/>
  <c r="X496" i="35"/>
  <c r="Y496" i="35" s="1"/>
  <c r="X238" i="35"/>
  <c r="Y238" i="35" s="1"/>
  <c r="X505" i="35"/>
  <c r="Y505" i="35" s="1"/>
  <c r="X114" i="35"/>
  <c r="Y114" i="35" s="1"/>
  <c r="X678" i="35"/>
  <c r="Y678" i="35" s="1"/>
  <c r="X341" i="35"/>
  <c r="Y341" i="35" s="1"/>
  <c r="X177" i="35"/>
  <c r="Y177" i="35" s="1"/>
  <c r="X370" i="35"/>
  <c r="Y370" i="35" s="1"/>
  <c r="X200" i="35"/>
  <c r="Y200" i="35" s="1"/>
  <c r="X244" i="35"/>
  <c r="Y244" i="35" s="1"/>
  <c r="X270" i="35"/>
  <c r="Y270" i="35" s="1"/>
  <c r="X213" i="35"/>
  <c r="Y213" i="35" s="1"/>
  <c r="X44" i="35"/>
  <c r="Y44" i="35" s="1"/>
  <c r="X465" i="35"/>
  <c r="Y465" i="35" s="1"/>
  <c r="X248" i="35"/>
  <c r="Y248" i="35" s="1"/>
  <c r="X546" i="35"/>
  <c r="Y546" i="35" s="1"/>
  <c r="X663" i="35"/>
  <c r="Y663" i="35" s="1"/>
  <c r="X406" i="35"/>
  <c r="Y406" i="35" s="1"/>
  <c r="X661" i="35"/>
  <c r="Y661" i="35" s="1"/>
  <c r="X665" i="35"/>
  <c r="Y665" i="35" s="1"/>
  <c r="X432" i="35"/>
  <c r="Y432" i="35" s="1"/>
  <c r="X208" i="35"/>
  <c r="Y208" i="35" s="1"/>
  <c r="X480" i="35"/>
  <c r="Y480" i="35" s="1"/>
  <c r="X227" i="35"/>
  <c r="Y227" i="35" s="1"/>
  <c r="X582" i="35"/>
  <c r="Y582" i="35" s="1"/>
  <c r="X467" i="35"/>
  <c r="Y467" i="35" s="1"/>
  <c r="X540" i="35"/>
  <c r="Y540" i="35" s="1"/>
  <c r="X310" i="35"/>
  <c r="Y310" i="35" s="1"/>
  <c r="X116" i="35"/>
  <c r="Y116" i="35" s="1"/>
  <c r="X326" i="35"/>
  <c r="Y326" i="35" s="1"/>
  <c r="X88" i="35"/>
  <c r="Y88" i="35" s="1"/>
  <c r="X126" i="35"/>
  <c r="Y126" i="35" s="1"/>
  <c r="X33" i="35"/>
  <c r="Y33" i="35" s="1"/>
  <c r="X12" i="35"/>
  <c r="Y12" i="35" s="1"/>
  <c r="X566" i="35"/>
  <c r="Y566" i="35" s="1"/>
  <c r="X71" i="35"/>
  <c r="Y71" i="35" s="1"/>
  <c r="X110" i="35"/>
  <c r="Y110" i="35" s="1"/>
  <c r="X483" i="35"/>
  <c r="Y483" i="35" s="1"/>
  <c r="X654" i="35"/>
  <c r="Y654" i="35" s="1"/>
  <c r="X155" i="35"/>
  <c r="Y155" i="35" s="1"/>
  <c r="X354" i="35"/>
  <c r="Y354" i="35" s="1"/>
  <c r="X101" i="35"/>
  <c r="Y101" i="35" s="1"/>
  <c r="X682" i="35"/>
  <c r="Y682" i="35" s="1"/>
  <c r="X387" i="35"/>
  <c r="Y387" i="35" s="1"/>
  <c r="X718" i="35"/>
  <c r="Y718" i="35" s="1"/>
  <c r="X487" i="35"/>
  <c r="Y487" i="35" s="1"/>
  <c r="X571" i="35"/>
  <c r="Y571" i="35" s="1"/>
  <c r="X709" i="35"/>
  <c r="Y709" i="35" s="1"/>
  <c r="X108" i="35"/>
  <c r="Y108" i="35" s="1"/>
  <c r="X85" i="35"/>
  <c r="Y85" i="35" s="1"/>
  <c r="X64" i="35"/>
  <c r="Y64" i="35" s="1"/>
  <c r="X336" i="35"/>
  <c r="Y336" i="35" s="1"/>
  <c r="X710" i="35"/>
  <c r="Y710" i="35" s="1"/>
  <c r="X360" i="35"/>
  <c r="Y360" i="35" s="1"/>
  <c r="X430" i="35"/>
  <c r="Y430" i="35" s="1"/>
  <c r="X377" i="35"/>
  <c r="Y377" i="35" s="1"/>
  <c r="X389" i="35"/>
  <c r="Y389" i="35" s="1"/>
  <c r="X679" i="35"/>
  <c r="Y679" i="35" s="1"/>
  <c r="X260" i="35"/>
  <c r="Y260" i="35" s="1"/>
  <c r="X695" i="35"/>
  <c r="Y695" i="35" s="1"/>
  <c r="X263" i="35"/>
  <c r="Y263" i="35" s="1"/>
  <c r="X13" i="35"/>
  <c r="Y13" i="35" s="1"/>
  <c r="X575" i="35"/>
  <c r="Y575" i="35" s="1"/>
  <c r="X769" i="35"/>
  <c r="Y769" i="35" s="1"/>
  <c r="X904" i="35"/>
  <c r="Y904" i="35" s="1"/>
  <c r="X482" i="35"/>
  <c r="Y482" i="35" s="1"/>
  <c r="X512" i="35"/>
  <c r="Y512" i="35" s="1"/>
  <c r="X499" i="35"/>
  <c r="Y499" i="35" s="1"/>
  <c r="X147" i="35"/>
  <c r="Y147" i="35" s="1"/>
  <c r="X152" i="35"/>
  <c r="Y152" i="35" s="1"/>
  <c r="X539" i="35"/>
  <c r="Y539" i="35" s="1"/>
  <c r="X202" i="35"/>
  <c r="Y202" i="35" s="1"/>
  <c r="X351" i="35"/>
  <c r="Y351" i="35" s="1"/>
  <c r="X269" i="35"/>
  <c r="Y269" i="35" s="1"/>
  <c r="X564" i="35"/>
  <c r="Y564" i="35" s="1"/>
  <c r="X563" i="35"/>
  <c r="Y563" i="35" s="1"/>
  <c r="X390" i="35"/>
  <c r="Y390" i="35" s="1"/>
  <c r="X214" i="35"/>
  <c r="Y214" i="35" s="1"/>
  <c r="X133" i="35"/>
  <c r="Y133" i="35" s="1"/>
  <c r="X219" i="35"/>
  <c r="Y219" i="35" s="1"/>
  <c r="X271" i="35"/>
  <c r="Y271" i="35" s="1"/>
  <c r="X366" i="35"/>
  <c r="Y366" i="35" s="1"/>
  <c r="X96" i="35"/>
  <c r="Y96" i="35" s="1"/>
  <c r="X301" i="35"/>
  <c r="Y301" i="35" s="1"/>
  <c r="X599" i="35"/>
  <c r="Y599" i="35" s="1"/>
  <c r="X259" i="35"/>
  <c r="Y259" i="35" s="1"/>
  <c r="X638" i="35"/>
  <c r="Y638" i="35" s="1"/>
  <c r="X314" i="35"/>
  <c r="Y314" i="35" s="1"/>
  <c r="X258" i="35"/>
  <c r="Y258" i="35" s="1"/>
  <c r="X517" i="35"/>
  <c r="Y517" i="35" s="1"/>
  <c r="X57" i="35"/>
  <c r="Y57" i="35" s="1"/>
  <c r="X651" i="35"/>
  <c r="Y651" i="35" s="1"/>
  <c r="X565" i="35"/>
  <c r="Y565" i="35" s="1"/>
  <c r="X662" i="35"/>
  <c r="Y662" i="35" s="1"/>
  <c r="X597" i="35"/>
  <c r="Y597" i="35" s="1"/>
  <c r="X89" i="35"/>
  <c r="Y89" i="35" s="1"/>
  <c r="X34" i="35"/>
  <c r="Y34" i="35" s="1"/>
  <c r="X633" i="35"/>
  <c r="Y633" i="35" s="1"/>
  <c r="X294" i="35"/>
  <c r="Y294" i="35" s="1"/>
  <c r="X1085" i="35"/>
  <c r="Y1085" i="35" s="1"/>
  <c r="X669" i="35"/>
  <c r="Y669" i="35" s="1"/>
  <c r="X234" i="35"/>
  <c r="Y234" i="35" s="1"/>
  <c r="X324" i="35"/>
  <c r="Y324" i="35" s="1"/>
  <c r="X479" i="35"/>
  <c r="Y479" i="35" s="1"/>
  <c r="X635" i="35"/>
  <c r="Y635" i="35" s="1"/>
  <c r="X644" i="35"/>
  <c r="Y644" i="35" s="1"/>
  <c r="X109" i="35"/>
  <c r="Y109" i="35" s="1"/>
  <c r="X182" i="35"/>
  <c r="Y182" i="35" s="1"/>
  <c r="X129" i="35"/>
  <c r="Y129" i="35" s="1"/>
  <c r="X713" i="35"/>
  <c r="Y713" i="35" s="1"/>
  <c r="X578" i="35"/>
  <c r="Y578" i="35" s="1"/>
  <c r="X267" i="35"/>
  <c r="Y267" i="35" s="1"/>
  <c r="X45" i="35"/>
  <c r="Y45" i="35" s="1"/>
  <c r="X446" i="35"/>
  <c r="Y446" i="35" s="1"/>
  <c r="X329" i="35"/>
  <c r="Y329" i="35" s="1"/>
  <c r="X352" i="35"/>
  <c r="Y352" i="35" s="1"/>
  <c r="X19" i="35"/>
  <c r="Y19" i="35" s="1"/>
  <c r="X119" i="35"/>
  <c r="Y119" i="35" s="1"/>
  <c r="X637" i="35"/>
  <c r="Y637" i="35" s="1"/>
  <c r="X117" i="35"/>
  <c r="Y117" i="35" s="1"/>
  <c r="X51" i="35"/>
  <c r="Y51" i="35" s="1"/>
  <c r="X295" i="35"/>
  <c r="Y295" i="35" s="1"/>
  <c r="X671" i="35"/>
  <c r="Y671" i="35" s="1"/>
  <c r="V7" i="45"/>
  <c r="V444" i="45"/>
  <c r="V124" i="45"/>
  <c r="V739" i="45"/>
  <c r="V73" i="45"/>
  <c r="V981" i="45"/>
  <c r="V180" i="45"/>
  <c r="V501" i="45"/>
  <c r="V564" i="45"/>
  <c r="V244" i="45"/>
  <c r="V806" i="45"/>
  <c r="V207" i="45"/>
  <c r="V133" i="45"/>
  <c r="V76" i="45"/>
  <c r="V690" i="45"/>
  <c r="V95" i="45"/>
  <c r="V496" i="45"/>
  <c r="V400" i="45"/>
  <c r="V131" i="45"/>
  <c r="V96" i="45"/>
  <c r="V403" i="45"/>
  <c r="V378" i="45"/>
  <c r="V170" i="45"/>
  <c r="V672" i="45"/>
  <c r="V347" i="45"/>
  <c r="V893" i="45"/>
  <c r="V593" i="45"/>
  <c r="V716" i="45"/>
  <c r="V92" i="45"/>
  <c r="V869" i="45"/>
  <c r="V231" i="45"/>
  <c r="V296" i="45"/>
  <c r="V574" i="45"/>
  <c r="V1033" i="45"/>
  <c r="V465" i="45"/>
  <c r="V630" i="45"/>
  <c r="V334" i="45"/>
  <c r="V922" i="45"/>
  <c r="V864" i="45"/>
  <c r="V205" i="45"/>
  <c r="V545" i="45"/>
  <c r="V640" i="45"/>
  <c r="V59" i="45"/>
  <c r="V546" i="45"/>
  <c r="V892" i="45"/>
  <c r="V160" i="45"/>
  <c r="V646" i="45"/>
  <c r="V643" i="45"/>
  <c r="V320" i="45"/>
  <c r="V924" i="45"/>
  <c r="V988" i="45"/>
  <c r="V700" i="45"/>
  <c r="V752" i="45"/>
  <c r="V331" i="45"/>
  <c r="V680" i="45"/>
  <c r="V48" i="45"/>
  <c r="V485" i="45"/>
  <c r="V575" i="45"/>
  <c r="V633" i="45"/>
  <c r="V927" i="45"/>
  <c r="V837" i="45"/>
  <c r="V974" i="45"/>
  <c r="V439" i="45"/>
  <c r="V1062" i="45"/>
  <c r="V947" i="45"/>
  <c r="V958" i="45"/>
  <c r="V694" i="45"/>
  <c r="V1047" i="45"/>
  <c r="V225" i="45"/>
  <c r="V975" i="45"/>
  <c r="V698" i="45"/>
  <c r="V997" i="45"/>
  <c r="V80" i="45"/>
  <c r="V94" i="45"/>
  <c r="V482" i="45"/>
  <c r="V603" i="45"/>
  <c r="V32" i="45"/>
  <c r="V829" i="45"/>
  <c r="V149" i="45"/>
  <c r="V443" i="45"/>
  <c r="V715" i="45"/>
  <c r="V1021" i="45"/>
  <c r="V506" i="45"/>
  <c r="V679" i="45"/>
  <c r="V42" i="45"/>
  <c r="V198" i="45"/>
  <c r="V993" i="45"/>
  <c r="V196" i="45"/>
  <c r="V172" i="45"/>
  <c r="V288" i="45"/>
  <c r="V844" i="45"/>
  <c r="V777" i="45"/>
  <c r="V523" i="45"/>
  <c r="V519" i="45"/>
  <c r="V357" i="45"/>
  <c r="V527" i="45"/>
  <c r="V36" i="45"/>
  <c r="V996" i="45"/>
  <c r="V117" i="45"/>
  <c r="V534" i="45"/>
  <c r="V316" i="45"/>
  <c r="V789" i="45"/>
  <c r="V484" i="45"/>
  <c r="V85" i="45"/>
  <c r="V708" i="45"/>
  <c r="V874" i="45"/>
  <c r="V570" i="45"/>
  <c r="V802" i="45"/>
  <c r="V177" i="45"/>
  <c r="V999" i="45"/>
  <c r="V875" i="45"/>
  <c r="V914" i="45"/>
  <c r="V1014" i="45"/>
  <c r="V857" i="45"/>
  <c r="V102" i="45"/>
  <c r="V1028" i="45"/>
  <c r="V246" i="45"/>
  <c r="V468" i="45"/>
  <c r="V775" i="45"/>
  <c r="V167" i="45"/>
  <c r="V919" i="45"/>
  <c r="V1042" i="45"/>
  <c r="V458" i="45"/>
  <c r="V26" i="45"/>
  <c r="V611" i="45"/>
  <c r="V899" i="45"/>
  <c r="V343" i="45"/>
  <c r="V257" i="45"/>
  <c r="V617" i="45"/>
  <c r="V943" i="45"/>
  <c r="V474" i="45"/>
  <c r="V1002" i="45"/>
  <c r="V275" i="45"/>
  <c r="V70" i="45"/>
  <c r="V259" i="45"/>
  <c r="V636" i="45"/>
  <c r="V952" i="45"/>
  <c r="V315" i="45"/>
  <c r="V60" i="45"/>
  <c r="V1000" i="45"/>
  <c r="V304" i="45"/>
  <c r="V135" i="45"/>
  <c r="V164" i="45"/>
  <c r="V524" i="45"/>
  <c r="V659" i="45"/>
  <c r="V256" i="45"/>
  <c r="V634" i="45"/>
  <c r="V794" i="45"/>
  <c r="V108" i="45"/>
  <c r="V1032" i="45"/>
  <c r="V265" i="45"/>
  <c r="V759" i="45"/>
  <c r="V289" i="45"/>
  <c r="V40" i="45"/>
  <c r="V626" i="45"/>
  <c r="V539" i="45"/>
  <c r="V552" i="45"/>
  <c r="V263" i="45"/>
  <c r="V292" i="45"/>
  <c r="V769" i="45"/>
  <c r="V1022" i="45"/>
  <c r="V531" i="45"/>
  <c r="V511" i="45"/>
  <c r="V388" i="45"/>
  <c r="V766" i="45"/>
  <c r="V513" i="45"/>
  <c r="V688" i="45"/>
  <c r="V129" i="45"/>
  <c r="V120" i="45"/>
  <c r="V764" i="45"/>
  <c r="V648" i="45"/>
  <c r="V1007" i="45"/>
  <c r="V560" i="45"/>
  <c r="V359" i="45"/>
  <c r="V217" i="45"/>
  <c r="V237" i="45"/>
  <c r="V137" i="45"/>
  <c r="V82" i="45"/>
  <c r="V25" i="45"/>
  <c r="V732" i="45"/>
  <c r="V486" i="45"/>
  <c r="V682" i="45"/>
  <c r="V413" i="45"/>
  <c r="V365" i="45"/>
  <c r="V879" i="45"/>
  <c r="V239" i="45"/>
  <c r="V767" i="45"/>
  <c r="V497" i="45"/>
  <c r="V342" i="45"/>
  <c r="V841" i="45"/>
  <c r="V936" i="45"/>
  <c r="V812" i="45"/>
  <c r="V84" i="45"/>
  <c r="V520" i="45"/>
  <c r="V104" i="45"/>
  <c r="V953" i="45"/>
  <c r="V737" i="45"/>
  <c r="V261" i="45"/>
  <c r="V495" i="45"/>
  <c r="V442" i="45"/>
  <c r="V647" i="45"/>
  <c r="V891" i="45"/>
  <c r="V306" i="45"/>
  <c r="V382" i="45"/>
  <c r="V760" i="45"/>
  <c r="V549" i="45"/>
  <c r="V898" i="45"/>
  <c r="V63" i="45"/>
  <c r="V587" i="45"/>
  <c r="V417" i="45"/>
  <c r="V723" i="45"/>
  <c r="V883" i="45"/>
  <c r="V983" i="45"/>
  <c r="V255" i="45"/>
  <c r="V1055" i="45"/>
  <c r="V372" i="45"/>
  <c r="V949" i="45"/>
  <c r="V693" i="45"/>
  <c r="V500" i="45"/>
  <c r="V1065" i="45"/>
  <c r="V650" i="45"/>
  <c r="V3" i="45"/>
  <c r="V623" i="45"/>
  <c r="V873" i="45"/>
  <c r="V360" i="45"/>
  <c r="V47" i="45"/>
  <c r="V540" i="45"/>
  <c r="V208" i="45"/>
  <c r="V718" i="45"/>
  <c r="V145" i="45"/>
  <c r="V935" i="45"/>
  <c r="V1034" i="45"/>
  <c r="V433" i="45"/>
  <c r="V1004" i="45"/>
  <c r="V966" i="45"/>
  <c r="V11" i="45"/>
  <c r="V982" i="45"/>
  <c r="V29" i="45"/>
  <c r="V736" i="45"/>
  <c r="V318" i="45"/>
  <c r="V34" i="45"/>
  <c r="V75" i="45"/>
  <c r="V54" i="45"/>
  <c r="V512" i="45"/>
  <c r="V973" i="45"/>
  <c r="V1057" i="45"/>
  <c r="V1016" i="45"/>
  <c r="V779" i="45"/>
  <c r="V748" i="45"/>
  <c r="V1045" i="45"/>
  <c r="V596" i="45"/>
  <c r="V730" i="45"/>
  <c r="V553" i="45"/>
  <c r="V462" i="45"/>
  <c r="V186" i="45"/>
  <c r="V830" i="45"/>
  <c r="V83" i="45"/>
  <c r="V654" i="45"/>
  <c r="V744" i="45"/>
  <c r="V370" i="45"/>
  <c r="V776" i="45"/>
  <c r="V46" i="45"/>
  <c r="V756" i="45"/>
  <c r="V938" i="45"/>
  <c r="V729" i="45"/>
  <c r="V274" i="45"/>
  <c r="V907" i="45"/>
  <c r="V1044" i="45"/>
  <c r="V755" i="45"/>
  <c r="V309" i="45"/>
  <c r="V742" i="45"/>
  <c r="V262" i="45"/>
  <c r="V98" i="45"/>
  <c r="V782" i="45"/>
  <c r="V962" i="45"/>
  <c r="V322" i="45"/>
  <c r="V632" i="45"/>
  <c r="V685" i="45"/>
  <c r="V1050" i="45"/>
  <c r="V64" i="45"/>
  <c r="V1020" i="45"/>
  <c r="V516" i="45"/>
  <c r="V1051" i="45"/>
  <c r="V489" i="45"/>
  <c r="V998" i="45"/>
  <c r="V312" i="45"/>
  <c r="V544" i="45"/>
  <c r="V174" i="45"/>
  <c r="V653" i="45"/>
  <c r="V411" i="45"/>
  <c r="V215" i="45"/>
  <c r="V518" i="45"/>
  <c r="V618" i="45"/>
  <c r="V10" i="45"/>
  <c r="V447" i="45"/>
  <c r="V525" i="45"/>
  <c r="V220" i="45"/>
  <c r="V356" i="45"/>
  <c r="V676" i="45"/>
  <c r="V233" i="45"/>
  <c r="V815" i="45"/>
  <c r="V371" i="45"/>
  <c r="V792" i="45"/>
  <c r="V314" i="45"/>
  <c r="V831" i="45"/>
  <c r="V252" i="45"/>
  <c r="V193" i="45"/>
  <c r="V1063" i="45"/>
  <c r="V15" i="45"/>
  <c r="V727" i="45"/>
  <c r="V79" i="45"/>
  <c r="V332" i="45"/>
  <c r="V277" i="45"/>
  <c r="V483" i="45"/>
  <c r="V602" i="45"/>
  <c r="V303" i="45"/>
  <c r="V276" i="45"/>
  <c r="V176" i="45"/>
  <c r="V668" i="45"/>
  <c r="V128" i="45"/>
  <c r="V278" i="45"/>
  <c r="V118" i="45"/>
  <c r="V408" i="45"/>
  <c r="V639" i="45"/>
  <c r="V809" i="45"/>
  <c r="V114" i="45"/>
  <c r="V1052" i="45"/>
  <c r="V1024" i="45"/>
  <c r="V563" i="45"/>
  <c r="V5" i="45"/>
  <c r="V615" i="45"/>
  <c r="V658" i="45"/>
  <c r="V985" i="45"/>
  <c r="V384" i="45"/>
  <c r="V514" i="45"/>
  <c r="V448" i="45"/>
  <c r="V933" i="45"/>
  <c r="V88" i="45"/>
  <c r="V293" i="45"/>
  <c r="V785" i="45"/>
  <c r="V243" i="45"/>
  <c r="V333" i="45"/>
  <c r="V895" i="45"/>
  <c r="V619" i="45"/>
  <c r="V787" i="45"/>
  <c r="V480" i="45"/>
  <c r="V931" i="45"/>
  <c r="V673" i="45"/>
  <c r="V283" i="45"/>
  <c r="V307" i="45"/>
  <c r="V216" i="45"/>
  <c r="V951" i="45"/>
  <c r="V705" i="45"/>
  <c r="V532" i="45"/>
  <c r="V238" i="45"/>
  <c r="V373" i="45"/>
  <c r="V573" i="45"/>
  <c r="V227" i="45"/>
  <c r="V660" i="45"/>
  <c r="V1053" i="45"/>
  <c r="V446" i="45"/>
  <c r="V162" i="45"/>
  <c r="V595" i="45"/>
  <c r="V908" i="45"/>
  <c r="V125" i="45"/>
  <c r="V926" i="45"/>
  <c r="V918" i="45"/>
  <c r="V930" i="45"/>
  <c r="V505" i="45"/>
  <c r="V410" i="45"/>
  <c r="V722" i="45"/>
  <c r="V123" i="45"/>
  <c r="V405" i="45"/>
  <c r="V398" i="45"/>
  <c r="V138" i="45"/>
  <c r="V1010" i="45"/>
  <c r="V317" i="45"/>
  <c r="V178" i="45"/>
  <c r="V1058" i="45"/>
  <c r="V827" i="45"/>
  <c r="V910" i="45"/>
  <c r="V279" i="45"/>
  <c r="V851" i="45"/>
  <c r="V369" i="45"/>
  <c r="V662" i="45"/>
  <c r="V419" i="45"/>
  <c r="V1005" i="45"/>
  <c r="V649" i="45"/>
  <c r="V547" i="45"/>
  <c r="V488" i="45"/>
  <c r="V397" i="45"/>
  <c r="V182" i="45"/>
  <c r="V902" i="45"/>
  <c r="V819" i="45"/>
  <c r="V412" i="45"/>
  <c r="V803" i="45"/>
  <c r="V184" i="45"/>
  <c r="V900" i="45"/>
  <c r="V621" i="45"/>
  <c r="V111" i="45"/>
  <c r="V608" i="45"/>
  <c r="V44" i="45"/>
  <c r="V189" i="45"/>
  <c r="V832" i="45"/>
  <c r="V538" i="45"/>
  <c r="V714" i="45"/>
  <c r="V807" i="45"/>
  <c r="V130" i="45"/>
  <c r="V548" i="45"/>
  <c r="V1009" i="45"/>
  <c r="V541" i="45"/>
  <c r="V71" i="45"/>
  <c r="V847" i="45"/>
  <c r="V119" i="45"/>
  <c r="V1008" i="45"/>
  <c r="V326" i="45"/>
  <c r="V753" i="45"/>
  <c r="V526" i="45"/>
  <c r="V190" i="45"/>
  <c r="V1035" i="45"/>
  <c r="V641" i="45"/>
  <c r="V280" i="45"/>
  <c r="V557" i="45"/>
  <c r="V230" i="45"/>
  <c r="V35" i="45"/>
  <c r="V374" i="45"/>
  <c r="V1064" i="45"/>
  <c r="V420" i="45"/>
  <c r="V445" i="45"/>
  <c r="V302" i="45"/>
  <c r="V1011" i="45"/>
  <c r="V126" i="45"/>
  <c r="V13" i="45"/>
  <c r="V612" i="45"/>
  <c r="V87" i="45"/>
  <c r="V311" i="45"/>
  <c r="V1041" i="45"/>
  <c r="V987" i="45"/>
  <c r="V148" i="45"/>
  <c r="V543" i="45"/>
  <c r="V324" i="45"/>
  <c r="V529" i="45"/>
  <c r="V435" i="45"/>
  <c r="V222" i="45"/>
  <c r="V339" i="45"/>
  <c r="V939" i="45"/>
  <c r="V528" i="45"/>
  <c r="V797" i="45"/>
  <c r="V584" i="45"/>
  <c r="V355" i="45"/>
  <c r="V878" i="45"/>
  <c r="V929" i="45"/>
  <c r="V423" i="45"/>
  <c r="V321" i="45"/>
  <c r="V537" i="45"/>
  <c r="V284" i="45"/>
  <c r="V438" i="45"/>
  <c r="V704" i="45"/>
  <c r="V946" i="45"/>
  <c r="V492" i="45"/>
  <c r="V214" i="45"/>
  <c r="V93" i="45"/>
  <c r="V1046" i="45"/>
  <c r="V955" i="45"/>
  <c r="V203" i="45"/>
  <c r="V298" i="45"/>
  <c r="V407" i="45"/>
  <c r="V515" i="45"/>
  <c r="V272" i="45"/>
  <c r="V948" i="45"/>
  <c r="V173" i="45"/>
  <c r="V473" i="45"/>
  <c r="V428" i="45"/>
  <c r="V770" i="45"/>
  <c r="V194" i="45"/>
  <c r="V850" i="45"/>
  <c r="V638" i="45"/>
  <c r="V253" i="45"/>
  <c r="V994" i="45"/>
  <c r="V139" i="45"/>
  <c r="V74" i="45"/>
  <c r="V1056" i="45"/>
  <c r="V884" i="45"/>
  <c r="V808" i="45"/>
  <c r="V613" i="45"/>
  <c r="V566" i="45"/>
  <c r="V854" i="45"/>
  <c r="V350" i="45"/>
  <c r="V97" i="45"/>
  <c r="V345" i="45"/>
  <c r="V856" i="45"/>
  <c r="V741" i="45"/>
  <c r="V305" i="45"/>
  <c r="V644" i="45"/>
  <c r="V1036" i="45"/>
  <c r="V786" i="45"/>
  <c r="V297" i="45"/>
  <c r="V251" i="45"/>
  <c r="V191" i="45"/>
  <c r="V406" i="45"/>
  <c r="V533" i="45"/>
  <c r="V778" i="45"/>
  <c r="V327" i="45"/>
  <c r="V580" i="45"/>
  <c r="V43" i="45"/>
  <c r="V336" i="45"/>
  <c r="V886" i="45"/>
  <c r="V479" i="45"/>
  <c r="V39" i="45"/>
  <c r="V209" i="45"/>
  <c r="V923" i="45"/>
  <c r="V155" i="45"/>
  <c r="V550" i="45"/>
  <c r="V395" i="45"/>
  <c r="V461" i="45"/>
  <c r="V268" i="45"/>
  <c r="V266" i="45"/>
  <c r="V865" i="45"/>
  <c r="V487" i="45"/>
  <c r="V871" i="45"/>
  <c r="V249" i="45"/>
  <c r="V517" i="45"/>
  <c r="V586" i="45"/>
  <c r="V113" i="45"/>
  <c r="V247" i="45"/>
  <c r="V185" i="45"/>
  <c r="V1037" i="45"/>
  <c r="V240" i="45"/>
  <c r="V291" i="45"/>
  <c r="V472" i="45"/>
  <c r="V940" i="45"/>
  <c r="V24" i="45"/>
  <c r="V652" i="45"/>
  <c r="V556" i="45"/>
  <c r="V995" i="45"/>
  <c r="V143" i="45"/>
  <c r="V202" i="45"/>
  <c r="V86" i="45"/>
  <c r="V490" i="45"/>
  <c r="V362" i="45"/>
  <c r="V385" i="45"/>
  <c r="V51" i="45"/>
  <c r="V1031" i="45"/>
  <c r="V352" i="45"/>
  <c r="V197" i="45"/>
  <c r="V607" i="45"/>
  <c r="V707" i="45"/>
  <c r="V449" i="45"/>
  <c r="V1023" i="45"/>
  <c r="V308" i="45"/>
  <c r="V567" i="45"/>
  <c r="V221" i="45"/>
  <c r="V366" i="45"/>
  <c r="V768" i="45"/>
  <c r="V27" i="45"/>
  <c r="V941" i="45"/>
  <c r="V964" i="45"/>
  <c r="V89" i="45"/>
  <c r="V379" i="45"/>
  <c r="V269" i="45"/>
  <c r="V325" i="45"/>
  <c r="V122" i="45"/>
  <c r="V835" i="45"/>
  <c r="V323" i="45"/>
  <c r="V504" i="45"/>
  <c r="V1026" i="45"/>
  <c r="V669" i="45"/>
  <c r="V229" i="45"/>
  <c r="V200" i="45"/>
  <c r="V424" i="45"/>
  <c r="V55" i="45"/>
  <c r="V858" i="45"/>
  <c r="V674" i="45"/>
  <c r="V555" i="45"/>
  <c r="V853" i="45"/>
  <c r="V920" i="45"/>
  <c r="V1015" i="45"/>
  <c r="V551" i="45"/>
  <c r="V457" i="45"/>
  <c r="V582" i="45"/>
  <c r="V142" i="45"/>
  <c r="V1048" i="45"/>
  <c r="V979" i="45"/>
  <c r="V141" i="45"/>
  <c r="V589" i="45"/>
  <c r="V771" i="45"/>
  <c r="V295" i="45"/>
  <c r="V140" i="45"/>
  <c r="V599" i="45"/>
  <c r="V917" i="45"/>
  <c r="V112" i="45"/>
  <c r="V561" i="45"/>
  <c r="V810" i="45"/>
  <c r="V818" i="45"/>
  <c r="V977" i="45"/>
  <c r="V502" i="45"/>
  <c r="V645" i="45"/>
  <c r="V811" i="45"/>
  <c r="V21" i="45"/>
  <c r="V822" i="45"/>
  <c r="V1060" i="45"/>
  <c r="V466" i="45"/>
  <c r="V591" i="45"/>
  <c r="V921" i="45"/>
  <c r="V270" i="45"/>
  <c r="V335" i="45"/>
  <c r="V637" i="45"/>
  <c r="V852" i="45"/>
  <c r="V750" i="45"/>
  <c r="V364" i="45"/>
  <c r="V820" i="45"/>
  <c r="V212" i="45"/>
  <c r="V1019" i="45"/>
  <c r="V959" i="45"/>
  <c r="V121" i="45"/>
  <c r="V340" i="45"/>
  <c r="V156" i="45"/>
  <c r="V992" i="45"/>
  <c r="V493" i="45"/>
  <c r="V151" i="45"/>
  <c r="V396" i="45"/>
  <c r="V380" i="45"/>
  <c r="V522" i="45"/>
  <c r="V651" i="45"/>
  <c r="V583" i="45"/>
  <c r="V393" i="45"/>
  <c r="V826" i="45"/>
  <c r="V605" i="45"/>
  <c r="V881" i="45"/>
  <c r="V845" i="45"/>
  <c r="V452" i="45"/>
  <c r="V232" i="45"/>
  <c r="V450" i="45"/>
  <c r="V241" i="45"/>
  <c r="V758" i="45"/>
  <c r="V358" i="45"/>
  <c r="V761" i="45"/>
  <c r="V508" i="45"/>
  <c r="V9" i="45"/>
  <c r="V942" i="45"/>
  <c r="V8" i="45"/>
  <c r="V65" i="45"/>
  <c r="V990" i="45"/>
  <c r="V260" i="45"/>
  <c r="V150" i="45"/>
  <c r="V1012" i="45"/>
  <c r="V724" i="45"/>
  <c r="V861" i="45"/>
  <c r="V28" i="45"/>
  <c r="V887" i="45"/>
  <c r="V890" i="45"/>
  <c r="V916" i="45"/>
  <c r="V1029" i="45"/>
  <c r="V101" i="45"/>
  <c r="V542" i="45"/>
  <c r="V928" i="45"/>
  <c r="V210" i="45"/>
  <c r="V390" i="45"/>
  <c r="V960" i="45"/>
  <c r="V624" i="45"/>
  <c r="V22" i="45"/>
  <c r="V663" i="45"/>
  <c r="V848" i="45"/>
  <c r="V765" i="45"/>
  <c r="V738" i="45"/>
  <c r="V689" i="45"/>
  <c r="V134" i="45"/>
  <c r="V387" i="45"/>
  <c r="V601" i="45"/>
  <c r="V1025" i="45"/>
  <c r="V294" i="45"/>
  <c r="V631" i="45"/>
  <c r="V559" i="45"/>
  <c r="V970" i="45"/>
  <c r="V876" i="45"/>
  <c r="V945" i="45"/>
  <c r="V661" i="45"/>
  <c r="V37" i="45"/>
  <c r="V712" i="45"/>
  <c r="V4" i="45"/>
  <c r="V491" i="45"/>
  <c r="V604" i="45"/>
  <c r="V319" i="45"/>
  <c r="V1054" i="45"/>
  <c r="V179" i="45"/>
  <c r="V418" i="45"/>
  <c r="V264" i="45"/>
  <c r="V1017" i="45"/>
  <c r="V888" i="45"/>
  <c r="V300" i="45"/>
  <c r="V588" i="45"/>
  <c r="V437" i="45"/>
  <c r="V402" i="45"/>
  <c r="V271" i="45"/>
  <c r="V980" i="45"/>
  <c r="V242" i="45"/>
  <c r="V454" i="45"/>
  <c r="V628" i="45"/>
  <c r="V558" i="45"/>
  <c r="V363" i="45"/>
  <c r="V571" i="45"/>
  <c r="V201" i="45"/>
  <c r="V625" i="45"/>
  <c r="V842" i="45"/>
  <c r="V581" i="45"/>
  <c r="V710" i="45"/>
  <c r="V183" i="45"/>
  <c r="V762" i="45"/>
  <c r="V494" i="45"/>
  <c r="V206" i="45"/>
  <c r="V250" i="45"/>
  <c r="V1001" i="45"/>
  <c r="V885" i="45"/>
  <c r="V52" i="45"/>
  <c r="V127" i="45"/>
  <c r="V904" i="45"/>
  <c r="V733" i="45"/>
  <c r="V181" i="45"/>
  <c r="V579" i="45"/>
  <c r="V456" i="45"/>
  <c r="V813" i="45"/>
  <c r="V833" i="45"/>
  <c r="V169" i="45"/>
  <c r="V839" i="45"/>
  <c r="V867" i="45"/>
  <c r="V236" i="45"/>
  <c r="V699" i="45"/>
  <c r="V344" i="45"/>
  <c r="V401" i="45"/>
  <c r="V6" i="45"/>
  <c r="V709" i="45"/>
  <c r="V109" i="45"/>
  <c r="V703" i="45"/>
  <c r="V590" i="45"/>
  <c r="V367" i="45"/>
  <c r="V671" i="45"/>
  <c r="V219" i="45"/>
  <c r="V399" i="45"/>
  <c r="V434" i="45"/>
  <c r="V290" i="45"/>
  <c r="V956" i="45"/>
  <c r="V536" i="45"/>
  <c r="V218" i="45"/>
  <c r="V467" i="45"/>
  <c r="V30" i="45"/>
  <c r="V677" i="45"/>
  <c r="V100" i="45"/>
  <c r="V843" i="45"/>
  <c r="V18" i="45"/>
  <c r="V667" i="45"/>
  <c r="V863" i="45"/>
  <c r="V950" i="45"/>
  <c r="V301" i="45"/>
  <c r="V968" i="45"/>
  <c r="V392" i="45"/>
  <c r="V132" i="45"/>
  <c r="V105" i="45"/>
  <c r="V521" i="45"/>
  <c r="V414" i="45"/>
  <c r="V211" i="45"/>
  <c r="V90" i="45"/>
  <c r="V606" i="45"/>
  <c r="V763" i="45"/>
  <c r="V577" i="45"/>
  <c r="V431" i="45"/>
  <c r="V381" i="45"/>
  <c r="V285" i="45"/>
  <c r="V872" i="45"/>
  <c r="V781" i="45"/>
  <c r="V796" i="45"/>
  <c r="V72" i="45"/>
  <c r="V530" i="45"/>
  <c r="V426" i="45"/>
  <c r="V144" i="45"/>
  <c r="V19" i="45"/>
  <c r="V116" i="45"/>
  <c r="V349" i="45"/>
  <c r="V107" i="45"/>
  <c r="V719" i="45"/>
  <c r="V187" i="45"/>
  <c r="V866" i="45"/>
  <c r="V394" i="45"/>
  <c r="V286" i="45"/>
  <c r="V749" i="45"/>
  <c r="V838" i="45"/>
  <c r="V409" i="45"/>
  <c r="V477" i="45"/>
  <c r="V799" i="45"/>
  <c r="V281" i="45"/>
  <c r="V422" i="45"/>
  <c r="V459" i="45"/>
  <c r="V592" i="45"/>
  <c r="V136" i="45"/>
  <c r="V499" i="45"/>
  <c r="V627" i="45"/>
  <c r="V691" i="45"/>
  <c r="V576" i="45"/>
  <c r="V478" i="45"/>
  <c r="V282" i="45"/>
  <c r="V416" i="45"/>
  <c r="V828" i="45"/>
  <c r="V695" i="45"/>
  <c r="V507" i="45"/>
  <c r="V849" i="45"/>
  <c r="V616" i="45"/>
  <c r="V706" i="45"/>
  <c r="V772" i="45"/>
  <c r="V804" i="45"/>
  <c r="V711" i="45"/>
  <c r="V254" i="45"/>
  <c r="V681" i="45"/>
  <c r="V697" i="45"/>
  <c r="V429" i="45"/>
  <c r="V834" i="45"/>
  <c r="V287" i="45"/>
  <c r="V911" i="45"/>
  <c r="V463" i="45"/>
  <c r="V338" i="45"/>
  <c r="V375" i="45"/>
  <c r="V569" i="45"/>
  <c r="V731" i="45"/>
  <c r="V503" i="45"/>
  <c r="V784" i="45"/>
  <c r="V509" i="45"/>
  <c r="V195" i="45"/>
  <c r="V743" i="45"/>
  <c r="V361" i="45"/>
  <c r="V901" i="45"/>
  <c r="V455" i="45"/>
  <c r="V368" i="45"/>
  <c r="V329" i="45"/>
  <c r="V470" i="45"/>
  <c r="V747" i="45"/>
  <c r="V376" i="45"/>
  <c r="V471" i="45"/>
  <c r="V754" i="45"/>
  <c r="V814" i="45"/>
  <c r="V972" i="45"/>
  <c r="V535" i="45"/>
  <c r="V475" i="45"/>
  <c r="V1003" i="45"/>
  <c r="V745" i="45"/>
  <c r="V498" i="45"/>
  <c r="V684" i="45"/>
  <c r="V248" i="45"/>
  <c r="V110" i="45"/>
  <c r="V421" i="45"/>
  <c r="V77" i="45"/>
  <c r="V991" i="45"/>
  <c r="V99" i="45"/>
  <c r="V692" i="45"/>
  <c r="V642" i="45"/>
  <c r="V1030" i="45"/>
  <c r="V146" i="45"/>
  <c r="V1039" i="45"/>
  <c r="V801" i="45"/>
  <c r="V610" i="45"/>
  <c r="V824" i="45"/>
  <c r="V780" i="45"/>
  <c r="V152" i="45"/>
  <c r="V666" i="45"/>
  <c r="V57" i="45"/>
  <c r="V734" i="45"/>
  <c r="V1049" i="45"/>
  <c r="V1061" i="45"/>
  <c r="V562" i="45"/>
  <c r="V937" i="45"/>
  <c r="V670" i="45"/>
  <c r="V226" i="45"/>
  <c r="V153" i="45"/>
  <c r="V1038" i="45"/>
  <c r="V906" i="45"/>
  <c r="V299" i="45"/>
  <c r="V944" i="45"/>
  <c r="V328" i="45"/>
  <c r="V912" i="45"/>
  <c r="V614" i="45"/>
  <c r="V16" i="45"/>
  <c r="V889" i="45"/>
  <c r="V460" i="45"/>
  <c r="V859" i="45"/>
  <c r="V223" i="45"/>
  <c r="V1018" i="45"/>
  <c r="V20" i="45"/>
  <c r="V657" i="45"/>
  <c r="V846" i="45"/>
  <c r="V258" i="45"/>
  <c r="V620" i="45"/>
  <c r="V161" i="45"/>
  <c r="V1059" i="45"/>
  <c r="V430" i="45"/>
  <c r="V728" i="45"/>
  <c r="V870" i="45"/>
  <c r="V453" i="45"/>
  <c r="V687" i="45"/>
  <c r="V432" i="45"/>
  <c r="V720" i="45"/>
  <c r="V817" i="45"/>
  <c r="V383" i="45"/>
  <c r="V159" i="45"/>
  <c r="V909" i="45"/>
  <c r="V683" i="45"/>
  <c r="V984" i="45"/>
  <c r="V585" i="45"/>
  <c r="V157" i="45"/>
  <c r="V313" i="45"/>
  <c r="V882" i="45"/>
  <c r="V389" i="45"/>
  <c r="V154" i="45"/>
  <c r="V971" i="45"/>
  <c r="V565" i="45"/>
  <c r="V228" i="45"/>
  <c r="V594" i="45"/>
  <c r="V245" i="45"/>
  <c r="V166" i="45"/>
  <c r="V337" i="45"/>
  <c r="V757" i="45"/>
  <c r="V986" i="45"/>
  <c r="V894" i="45"/>
  <c r="V721" i="45"/>
  <c r="V469" i="45"/>
  <c r="V836" i="45"/>
  <c r="V404" i="45"/>
  <c r="V330" i="45"/>
  <c r="V158" i="45"/>
  <c r="V896" i="45"/>
  <c r="V788" i="45"/>
  <c r="V903" i="45"/>
  <c r="V31" i="45"/>
  <c r="V978" i="45"/>
  <c r="V877" i="45"/>
  <c r="V348" i="45"/>
  <c r="V597" i="45"/>
  <c r="V50" i="45"/>
  <c r="V58" i="45"/>
  <c r="V436" i="45"/>
  <c r="V451" i="45"/>
  <c r="V234" i="45"/>
  <c r="V880" i="45"/>
  <c r="V62" i="45"/>
  <c r="V751" i="45"/>
  <c r="V678" i="45"/>
  <c r="V568" i="45"/>
  <c r="V665" i="45"/>
  <c r="V163" i="45"/>
  <c r="V441" i="45"/>
  <c r="V171" i="45"/>
  <c r="V725" i="45"/>
  <c r="V510" i="45"/>
  <c r="V860" i="45"/>
  <c r="V726" i="45"/>
  <c r="V188" i="45"/>
  <c r="V823" i="45"/>
  <c r="V713" i="45"/>
  <c r="V967" i="45"/>
  <c r="V862" i="45"/>
  <c r="V740" i="45"/>
  <c r="V774" i="45"/>
  <c r="V213" i="45"/>
  <c r="V346" i="45"/>
  <c r="V415" i="45"/>
  <c r="V267" i="45"/>
  <c r="V656" i="45"/>
  <c r="V310" i="45"/>
  <c r="V791" i="45"/>
  <c r="V897" i="45"/>
  <c r="V168" i="45"/>
  <c r="V664" i="45"/>
  <c r="V1013" i="45"/>
  <c r="V717" i="45"/>
  <c r="V235" i="45"/>
  <c r="V115" i="45"/>
  <c r="V969" i="45"/>
  <c r="V572" i="45"/>
  <c r="V825" i="45"/>
  <c r="V354" i="45"/>
  <c r="V976" i="45"/>
  <c r="V147" i="45"/>
  <c r="V440" i="45"/>
  <c r="V91" i="45"/>
  <c r="V961" i="45"/>
  <c r="V686" i="45"/>
  <c r="V957" i="45"/>
  <c r="V199" i="45"/>
  <c r="V341" i="45"/>
  <c r="V578" i="45"/>
  <c r="V391" i="45"/>
  <c r="V965" i="45"/>
  <c r="V855" i="45"/>
  <c r="V165" i="45"/>
  <c r="V386" i="45"/>
  <c r="V554" i="45"/>
  <c r="V915" i="45"/>
  <c r="V702" i="45"/>
  <c r="V1043" i="45"/>
  <c r="V746" i="45"/>
  <c r="V68" i="45"/>
  <c r="V476" i="45"/>
  <c r="V224" i="45"/>
  <c r="V925" i="45"/>
  <c r="V795" i="45"/>
  <c r="V103" i="45"/>
  <c r="V192" i="45"/>
  <c r="V800" i="45"/>
  <c r="V600" i="45"/>
  <c r="V377" i="45"/>
  <c r="V273" i="45"/>
  <c r="V106" i="45"/>
  <c r="V464" i="45"/>
  <c r="V481" i="45"/>
  <c r="V840" i="45"/>
  <c r="V675" i="45"/>
  <c r="V353" i="45"/>
  <c r="V1027" i="45"/>
  <c r="V963" i="45"/>
  <c r="V204" i="45"/>
  <c r="V598" i="45"/>
  <c r="V351" i="45"/>
  <c r="V175" i="45"/>
  <c r="V701" i="45"/>
  <c r="V798" i="45"/>
  <c r="T1" i="45"/>
  <c r="U1" i="45"/>
  <c r="Y266" i="35"/>
  <c r="O3" i="7"/>
  <c r="O4" i="7"/>
  <c r="O5" i="7"/>
  <c r="O6" i="7"/>
  <c r="O7" i="7"/>
  <c r="O8" i="7"/>
  <c r="O10" i="7"/>
  <c r="O9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3" i="7"/>
  <c r="O32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8" i="7"/>
  <c r="O57" i="7"/>
  <c r="O56" i="7"/>
  <c r="O59" i="7"/>
  <c r="O60" i="7"/>
  <c r="O62" i="7"/>
  <c r="O61" i="7"/>
  <c r="O63" i="7"/>
  <c r="O64" i="7"/>
  <c r="O66" i="7"/>
  <c r="O65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6" i="7"/>
  <c r="O85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4" i="7"/>
  <c r="O123" i="7"/>
  <c r="O125" i="7"/>
  <c r="O127" i="7"/>
  <c r="O126" i="7"/>
  <c r="O122" i="7"/>
  <c r="O128" i="7"/>
  <c r="O130" i="7"/>
  <c r="O129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7" i="7"/>
  <c r="O149" i="7"/>
  <c r="O145" i="7"/>
  <c r="O146" i="7"/>
  <c r="O148" i="7"/>
  <c r="O150" i="7"/>
  <c r="O151" i="7"/>
  <c r="O152" i="7"/>
  <c r="O153" i="7"/>
  <c r="O154" i="7"/>
  <c r="O155" i="7"/>
  <c r="O156" i="7"/>
  <c r="O157" i="7"/>
  <c r="O159" i="7"/>
  <c r="O158" i="7"/>
  <c r="O160" i="7"/>
  <c r="O161" i="7"/>
  <c r="O162" i="7"/>
  <c r="O164" i="7"/>
  <c r="O163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5" i="7"/>
  <c r="O184" i="7"/>
  <c r="O186" i="7"/>
  <c r="O187" i="7"/>
  <c r="O188" i="7"/>
  <c r="O189" i="7"/>
  <c r="O190" i="7"/>
  <c r="O191" i="7"/>
  <c r="O192" i="7"/>
  <c r="O193" i="7"/>
  <c r="O194" i="7"/>
  <c r="O195" i="7"/>
  <c r="O196" i="7"/>
  <c r="O198" i="7"/>
  <c r="O197" i="7"/>
  <c r="O199" i="7"/>
  <c r="O200" i="7"/>
  <c r="O201" i="7"/>
  <c r="O202" i="7"/>
  <c r="O203" i="7"/>
  <c r="O204" i="7"/>
  <c r="O205" i="7"/>
  <c r="O206" i="7"/>
  <c r="O207" i="7"/>
  <c r="O209" i="7"/>
  <c r="O208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30" i="7"/>
  <c r="O229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8" i="7"/>
  <c r="O247" i="7"/>
  <c r="O249" i="7"/>
  <c r="O250" i="7"/>
  <c r="O251" i="7"/>
  <c r="O252" i="7"/>
  <c r="O253" i="7"/>
  <c r="O255" i="7"/>
  <c r="O254" i="7"/>
  <c r="O256" i="7"/>
  <c r="O257" i="7"/>
  <c r="O258" i="7"/>
  <c r="O259" i="7"/>
  <c r="O260" i="7"/>
  <c r="O261" i="7"/>
  <c r="O262" i="7"/>
  <c r="O263" i="7"/>
  <c r="O264" i="7"/>
  <c r="O265" i="7"/>
  <c r="O266" i="7"/>
  <c r="O268" i="7"/>
  <c r="O267" i="7"/>
  <c r="O269" i="7"/>
  <c r="O270" i="7"/>
  <c r="O271" i="7"/>
  <c r="O272" i="7"/>
  <c r="O273" i="7"/>
  <c r="O274" i="7"/>
  <c r="O276" i="7"/>
  <c r="O275" i="7"/>
  <c r="O277" i="7"/>
  <c r="O278" i="7"/>
  <c r="O279" i="7"/>
  <c r="O280" i="7"/>
  <c r="O281" i="7"/>
  <c r="O282" i="7"/>
  <c r="O284" i="7"/>
  <c r="O283" i="7"/>
  <c r="O285" i="7"/>
  <c r="O286" i="7"/>
  <c r="O287" i="7"/>
  <c r="O288" i="7"/>
  <c r="O289" i="7"/>
  <c r="O290" i="7"/>
  <c r="O291" i="7"/>
  <c r="O292" i="7"/>
  <c r="O293" i="7"/>
  <c r="O296" i="7"/>
  <c r="O295" i="7"/>
  <c r="O294" i="7"/>
  <c r="O297" i="7"/>
  <c r="O298" i="7"/>
  <c r="O299" i="7"/>
  <c r="O300" i="7"/>
  <c r="O301" i="7"/>
  <c r="O302" i="7"/>
  <c r="O305" i="7"/>
  <c r="O306" i="7"/>
  <c r="O308" i="7"/>
  <c r="O303" i="7"/>
  <c r="O304" i="7"/>
  <c r="O307" i="7"/>
  <c r="O309" i="7"/>
  <c r="O310" i="7"/>
  <c r="O311" i="7"/>
  <c r="O312" i="7"/>
  <c r="O313" i="7"/>
  <c r="O315" i="7"/>
  <c r="O314" i="7"/>
  <c r="O316" i="7"/>
  <c r="O318" i="7"/>
  <c r="O317" i="7"/>
  <c r="O319" i="7"/>
  <c r="O320" i="7"/>
  <c r="O321" i="7"/>
  <c r="O322" i="7"/>
  <c r="O323" i="7"/>
  <c r="O324" i="7"/>
  <c r="O326" i="7"/>
  <c r="O325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40" i="7"/>
  <c r="O339" i="7"/>
  <c r="O341" i="7"/>
  <c r="O342" i="7"/>
  <c r="O343" i="7"/>
  <c r="O344" i="7"/>
  <c r="O345" i="7"/>
  <c r="O346" i="7"/>
  <c r="O347" i="7"/>
  <c r="O349" i="7"/>
  <c r="O348" i="7"/>
  <c r="O350" i="7"/>
  <c r="O351" i="7"/>
  <c r="O353" i="7"/>
  <c r="O352" i="7"/>
  <c r="O354" i="7"/>
  <c r="O355" i="7"/>
  <c r="O356" i="7"/>
  <c r="O358" i="7"/>
  <c r="O359" i="7"/>
  <c r="O357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6" i="7"/>
  <c r="O375" i="7"/>
  <c r="O377" i="7"/>
  <c r="O378" i="7"/>
  <c r="O379" i="7"/>
  <c r="O380" i="7"/>
  <c r="O381" i="7"/>
  <c r="O383" i="7"/>
  <c r="O382" i="7"/>
  <c r="O384" i="7"/>
  <c r="O385" i="7"/>
  <c r="O386" i="7"/>
  <c r="O387" i="7"/>
  <c r="O388" i="7"/>
  <c r="O389" i="7"/>
  <c r="O390" i="7"/>
  <c r="O391" i="7"/>
  <c r="O392" i="7"/>
  <c r="O393" i="7"/>
  <c r="O396" i="7"/>
  <c r="O395" i="7"/>
  <c r="O394" i="7"/>
  <c r="O397" i="7"/>
  <c r="O398" i="7"/>
  <c r="O399" i="7"/>
  <c r="O400" i="7"/>
  <c r="O401" i="7"/>
  <c r="O403" i="7"/>
  <c r="O402" i="7"/>
  <c r="O404" i="7"/>
  <c r="O405" i="7"/>
  <c r="O406" i="7"/>
  <c r="O407" i="7"/>
  <c r="O408" i="7"/>
  <c r="O410" i="7"/>
  <c r="O411" i="7"/>
  <c r="O409" i="7"/>
  <c r="O412" i="7"/>
  <c r="O414" i="7"/>
  <c r="O413" i="7"/>
  <c r="O415" i="7"/>
  <c r="O416" i="7"/>
  <c r="O417" i="7"/>
  <c r="O418" i="7"/>
  <c r="O420" i="7"/>
  <c r="O419" i="7"/>
  <c r="O421" i="7"/>
  <c r="O423" i="7"/>
  <c r="O422" i="7"/>
  <c r="O426" i="7"/>
  <c r="O425" i="7"/>
  <c r="O424" i="7"/>
  <c r="O427" i="7"/>
  <c r="O429" i="7"/>
  <c r="O428" i="7"/>
  <c r="O430" i="7"/>
  <c r="O432" i="7"/>
  <c r="O431" i="7"/>
  <c r="O433" i="7"/>
  <c r="O434" i="7"/>
  <c r="O436" i="7"/>
  <c r="O435" i="7"/>
  <c r="O437" i="7"/>
  <c r="O438" i="7"/>
  <c r="O439" i="7"/>
  <c r="O440" i="7"/>
  <c r="O441" i="7"/>
  <c r="O442" i="7"/>
  <c r="O444" i="7"/>
  <c r="O443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9" i="7"/>
  <c r="O458" i="7"/>
  <c r="O460" i="7"/>
  <c r="O461" i="7"/>
  <c r="O464" i="7"/>
  <c r="O462" i="7"/>
  <c r="O463" i="7"/>
  <c r="O465" i="7"/>
  <c r="O466" i="7"/>
  <c r="O467" i="7"/>
  <c r="O468" i="7"/>
  <c r="O470" i="7"/>
  <c r="O469" i="7"/>
  <c r="O471" i="7"/>
  <c r="O472" i="7"/>
  <c r="O473" i="7"/>
  <c r="O474" i="7"/>
  <c r="O475" i="7"/>
  <c r="O476" i="7"/>
  <c r="O477" i="7"/>
  <c r="O478" i="7"/>
  <c r="O480" i="7"/>
  <c r="O482" i="7"/>
  <c r="O479" i="7"/>
  <c r="O481" i="7"/>
  <c r="O483" i="7"/>
  <c r="O484" i="7"/>
  <c r="O486" i="7"/>
  <c r="O487" i="7"/>
  <c r="O485" i="7"/>
  <c r="O488" i="7"/>
  <c r="O489" i="7"/>
  <c r="O490" i="7"/>
  <c r="O491" i="7"/>
  <c r="O492" i="7"/>
  <c r="O493" i="7"/>
  <c r="O494" i="7"/>
  <c r="O497" i="7"/>
  <c r="O496" i="7"/>
  <c r="O495" i="7"/>
  <c r="O498" i="7"/>
  <c r="O499" i="7"/>
  <c r="O500" i="7"/>
  <c r="O504" i="7"/>
  <c r="O503" i="7"/>
  <c r="O502" i="7"/>
  <c r="O501" i="7"/>
  <c r="O506" i="7"/>
  <c r="O505" i="7"/>
  <c r="O508" i="7"/>
  <c r="O507" i="7"/>
  <c r="O509" i="7"/>
  <c r="O510" i="7"/>
  <c r="O514" i="7"/>
  <c r="O511" i="7"/>
  <c r="O513" i="7"/>
  <c r="O512" i="7"/>
  <c r="O515" i="7"/>
  <c r="O516" i="7"/>
  <c r="O517" i="7"/>
  <c r="O519" i="7"/>
  <c r="O518" i="7"/>
  <c r="O520" i="7"/>
  <c r="O522" i="7"/>
  <c r="O523" i="7"/>
  <c r="O521" i="7"/>
  <c r="O524" i="7"/>
  <c r="O525" i="7"/>
  <c r="O527" i="7"/>
  <c r="O526" i="7"/>
  <c r="O528" i="7"/>
  <c r="O529" i="7"/>
  <c r="O530" i="7"/>
  <c r="O535" i="7"/>
  <c r="O534" i="7"/>
  <c r="O532" i="7"/>
  <c r="O536" i="7"/>
  <c r="O533" i="7"/>
  <c r="O537" i="7"/>
  <c r="O531" i="7"/>
  <c r="O538" i="7"/>
  <c r="O540" i="7"/>
  <c r="O539" i="7"/>
  <c r="O542" i="7"/>
  <c r="O541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6" i="7"/>
  <c r="O555" i="7"/>
  <c r="O557" i="7"/>
  <c r="O558" i="7"/>
  <c r="O559" i="7"/>
  <c r="O560" i="7"/>
  <c r="O561" i="7"/>
  <c r="O563" i="7"/>
  <c r="O562" i="7"/>
  <c r="O564" i="7"/>
  <c r="O565" i="7"/>
  <c r="O566" i="7"/>
  <c r="O567" i="7"/>
  <c r="O568" i="7"/>
  <c r="O569" i="7"/>
  <c r="O572" i="7"/>
  <c r="O573" i="7"/>
  <c r="O571" i="7"/>
  <c r="O570" i="7"/>
  <c r="O574" i="7"/>
  <c r="O576" i="7"/>
  <c r="O575" i="7"/>
  <c r="O577" i="7"/>
  <c r="O578" i="7"/>
  <c r="O580" i="7"/>
  <c r="O579" i="7"/>
  <c r="O581" i="7"/>
  <c r="O582" i="7"/>
  <c r="O583" i="7"/>
  <c r="O584" i="7"/>
  <c r="O585" i="7"/>
  <c r="O587" i="7"/>
  <c r="O586" i="7"/>
  <c r="O588" i="7"/>
  <c r="O589" i="7"/>
  <c r="O591" i="7"/>
  <c r="O590" i="7"/>
  <c r="O594" i="7"/>
  <c r="O592" i="7"/>
  <c r="O593" i="7"/>
  <c r="O597" i="7"/>
  <c r="O596" i="7"/>
  <c r="O595" i="7"/>
  <c r="O598" i="7"/>
  <c r="O599" i="7"/>
  <c r="O600" i="7"/>
  <c r="O602" i="7"/>
  <c r="O603" i="7"/>
  <c r="O601" i="7"/>
  <c r="O604" i="7"/>
  <c r="O605" i="7"/>
  <c r="O606" i="7"/>
  <c r="O607" i="7"/>
  <c r="O609" i="7"/>
  <c r="O610" i="7"/>
  <c r="O608" i="7"/>
  <c r="O611" i="7"/>
  <c r="O612" i="7"/>
  <c r="O615" i="7"/>
  <c r="O613" i="7"/>
  <c r="O614" i="7"/>
  <c r="O616" i="7"/>
  <c r="O618" i="7"/>
  <c r="O619" i="7"/>
  <c r="O617" i="7"/>
  <c r="O620" i="7"/>
  <c r="O621" i="7"/>
  <c r="O622" i="7"/>
  <c r="O625" i="7"/>
  <c r="O623" i="7"/>
  <c r="O626" i="7"/>
  <c r="O624" i="7"/>
  <c r="O627" i="7"/>
  <c r="O628" i="7"/>
  <c r="O630" i="7"/>
  <c r="O629" i="7"/>
  <c r="O632" i="7"/>
  <c r="O631" i="7"/>
  <c r="O633" i="7"/>
  <c r="O634" i="7"/>
  <c r="O635" i="7"/>
  <c r="O636" i="7"/>
  <c r="O637" i="7"/>
  <c r="O638" i="7"/>
  <c r="O639" i="7"/>
  <c r="O640" i="7"/>
  <c r="O643" i="7"/>
  <c r="O641" i="7"/>
  <c r="O642" i="7"/>
  <c r="O644" i="7"/>
  <c r="O645" i="7"/>
  <c r="O646" i="7"/>
  <c r="O648" i="7"/>
  <c r="O647" i="7"/>
  <c r="O649" i="7"/>
  <c r="O650" i="7"/>
  <c r="O651" i="7"/>
  <c r="O652" i="7"/>
  <c r="O653" i="7"/>
  <c r="O654" i="7"/>
  <c r="O655" i="7"/>
  <c r="O657" i="7"/>
  <c r="O656" i="7"/>
  <c r="O658" i="7"/>
  <c r="O660" i="7"/>
  <c r="O659" i="7"/>
  <c r="O661" i="7"/>
  <c r="O662" i="7"/>
  <c r="O663" i="7"/>
  <c r="O664" i="7"/>
  <c r="O665" i="7"/>
  <c r="O666" i="7"/>
  <c r="O668" i="7"/>
  <c r="O671" i="7"/>
  <c r="O669" i="7"/>
  <c r="O667" i="7"/>
  <c r="O670" i="7"/>
  <c r="O672" i="7"/>
  <c r="O675" i="7"/>
  <c r="O676" i="7"/>
  <c r="O678" i="7"/>
  <c r="O677" i="7"/>
  <c r="O673" i="7"/>
  <c r="O674" i="7"/>
  <c r="O679" i="7"/>
  <c r="O680" i="7"/>
  <c r="O681" i="7"/>
  <c r="O682" i="7"/>
  <c r="O683" i="7"/>
  <c r="O684" i="7"/>
  <c r="O685" i="7"/>
  <c r="O688" i="7"/>
  <c r="O686" i="7"/>
  <c r="O687" i="7"/>
  <c r="O689" i="7"/>
  <c r="O690" i="7"/>
  <c r="O691" i="7"/>
  <c r="O693" i="7"/>
  <c r="O692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12" i="7"/>
  <c r="O711" i="7"/>
  <c r="O709" i="7"/>
  <c r="O710" i="7"/>
  <c r="O713" i="7"/>
  <c r="O715" i="7"/>
  <c r="O714" i="7"/>
  <c r="O717" i="7"/>
  <c r="O716" i="7"/>
  <c r="O718" i="7"/>
  <c r="O719" i="7"/>
  <c r="O721" i="7"/>
  <c r="O723" i="7"/>
  <c r="O722" i="7"/>
  <c r="O720" i="7"/>
  <c r="O724" i="7"/>
  <c r="O725" i="7"/>
  <c r="O726" i="7"/>
  <c r="O727" i="7"/>
  <c r="O728" i="7"/>
  <c r="O729" i="7"/>
  <c r="O731" i="7"/>
  <c r="O730" i="7"/>
  <c r="O732" i="7"/>
  <c r="O734" i="7"/>
  <c r="O733" i="7"/>
  <c r="O735" i="7"/>
  <c r="O736" i="7"/>
  <c r="O738" i="7"/>
  <c r="O737" i="7"/>
  <c r="O739" i="7"/>
  <c r="O741" i="7"/>
  <c r="O742" i="7"/>
  <c r="O740" i="7"/>
  <c r="O743" i="7"/>
  <c r="O745" i="7"/>
  <c r="O744" i="7"/>
  <c r="O747" i="7"/>
  <c r="O746" i="7"/>
  <c r="O749" i="7"/>
  <c r="O748" i="7"/>
  <c r="O750" i="7"/>
  <c r="O751" i="7"/>
  <c r="O752" i="7"/>
  <c r="O753" i="7"/>
  <c r="O756" i="7"/>
  <c r="O757" i="7"/>
  <c r="O754" i="7"/>
  <c r="O755" i="7"/>
  <c r="O758" i="7"/>
  <c r="O759" i="7"/>
  <c r="O760" i="7"/>
  <c r="O766" i="7"/>
  <c r="O764" i="7"/>
  <c r="O768" i="7"/>
  <c r="O765" i="7"/>
  <c r="O761" i="7"/>
  <c r="O762" i="7"/>
  <c r="O763" i="7"/>
  <c r="O767" i="7"/>
  <c r="O769" i="7"/>
  <c r="O770" i="7"/>
  <c r="O771" i="7"/>
  <c r="O773" i="7"/>
  <c r="O772" i="7"/>
  <c r="O774" i="7"/>
  <c r="O775" i="7"/>
  <c r="O776" i="7"/>
  <c r="O777" i="7"/>
  <c r="O778" i="7"/>
  <c r="O780" i="7"/>
  <c r="O781" i="7"/>
  <c r="O779" i="7"/>
  <c r="O782" i="7"/>
  <c r="O784" i="7"/>
  <c r="O783" i="7"/>
  <c r="O785" i="7"/>
  <c r="O786" i="7"/>
  <c r="O787" i="7"/>
  <c r="O788" i="7"/>
  <c r="O789" i="7"/>
  <c r="O791" i="7"/>
  <c r="O790" i="7"/>
  <c r="O792" i="7"/>
  <c r="O794" i="7"/>
  <c r="O793" i="7"/>
  <c r="O795" i="7"/>
  <c r="O796" i="7"/>
  <c r="O798" i="7"/>
  <c r="O797" i="7"/>
  <c r="O801" i="7"/>
  <c r="O800" i="7"/>
  <c r="O799" i="7"/>
  <c r="O806" i="7"/>
  <c r="O805" i="7"/>
  <c r="O804" i="7"/>
  <c r="O803" i="7"/>
  <c r="O802" i="7"/>
  <c r="O807" i="7"/>
  <c r="O809" i="7"/>
  <c r="O808" i="7"/>
  <c r="O810" i="7"/>
  <c r="O812" i="7"/>
  <c r="O813" i="7"/>
  <c r="O811" i="7"/>
  <c r="O814" i="7"/>
  <c r="O815" i="7"/>
  <c r="O817" i="7"/>
  <c r="O816" i="7"/>
  <c r="O818" i="7"/>
  <c r="O819" i="7"/>
  <c r="O823" i="7"/>
  <c r="O820" i="7"/>
  <c r="O824" i="7"/>
  <c r="O822" i="7"/>
  <c r="O821" i="7"/>
  <c r="O825" i="7"/>
  <c r="O827" i="7"/>
  <c r="O826" i="7"/>
  <c r="O829" i="7"/>
  <c r="O828" i="7"/>
  <c r="O831" i="7"/>
  <c r="O832" i="7"/>
  <c r="O830" i="7"/>
  <c r="O834" i="7"/>
  <c r="O833" i="7"/>
  <c r="O836" i="7"/>
  <c r="O835" i="7"/>
  <c r="O837" i="7"/>
  <c r="O839" i="7"/>
  <c r="O838" i="7"/>
  <c r="O840" i="7"/>
  <c r="O841" i="7"/>
  <c r="O844" i="7"/>
  <c r="O843" i="7"/>
  <c r="O842" i="7"/>
  <c r="O845" i="7"/>
  <c r="O846" i="7"/>
  <c r="O847" i="7"/>
  <c r="O851" i="7"/>
  <c r="O848" i="7"/>
  <c r="O850" i="7"/>
  <c r="O852" i="7"/>
  <c r="O849" i="7"/>
  <c r="O854" i="7"/>
  <c r="O853" i="7"/>
  <c r="O858" i="7"/>
  <c r="O859" i="7"/>
  <c r="O856" i="7"/>
  <c r="O855" i="7"/>
  <c r="O857" i="7"/>
  <c r="O861" i="7"/>
  <c r="O860" i="7"/>
  <c r="O863" i="7"/>
  <c r="O862" i="7"/>
  <c r="O864" i="7"/>
  <c r="O865" i="7"/>
  <c r="O867" i="7"/>
  <c r="O866" i="7"/>
  <c r="O868" i="7"/>
  <c r="O870" i="7"/>
  <c r="O869" i="7"/>
  <c r="O871" i="7"/>
  <c r="O872" i="7"/>
  <c r="O873" i="7"/>
  <c r="O874" i="7"/>
  <c r="O875" i="7"/>
  <c r="O876" i="7"/>
  <c r="O878" i="7"/>
  <c r="O877" i="7"/>
  <c r="O879" i="7"/>
  <c r="O880" i="7"/>
  <c r="O882" i="7"/>
  <c r="O881" i="7"/>
  <c r="O885" i="7"/>
  <c r="O884" i="7"/>
  <c r="O883" i="7"/>
  <c r="O886" i="7"/>
  <c r="O888" i="7"/>
  <c r="O887" i="7"/>
  <c r="O892" i="7"/>
  <c r="O889" i="7"/>
  <c r="O891" i="7"/>
  <c r="O890" i="7"/>
  <c r="O894" i="7"/>
  <c r="O895" i="7"/>
  <c r="O893" i="7"/>
  <c r="O896" i="7"/>
  <c r="O898" i="7"/>
  <c r="O897" i="7"/>
  <c r="O899" i="7"/>
  <c r="O900" i="7"/>
  <c r="O901" i="7"/>
  <c r="O902" i="7"/>
  <c r="O903" i="7"/>
  <c r="O904" i="7"/>
  <c r="O907" i="7"/>
  <c r="O906" i="7"/>
  <c r="O905" i="7"/>
  <c r="O908" i="7"/>
  <c r="O909" i="7"/>
  <c r="O912" i="7"/>
  <c r="O911" i="7"/>
  <c r="O910" i="7"/>
  <c r="O913" i="7"/>
  <c r="O914" i="7"/>
  <c r="O916" i="7"/>
  <c r="O917" i="7"/>
  <c r="O915" i="7"/>
  <c r="O919" i="7"/>
  <c r="O921" i="7"/>
  <c r="O920" i="7"/>
  <c r="O918" i="7"/>
  <c r="O922" i="7"/>
  <c r="O923" i="7"/>
  <c r="O925" i="7"/>
  <c r="O924" i="7"/>
  <c r="O926" i="7"/>
  <c r="O927" i="7"/>
  <c r="O929" i="7"/>
  <c r="O928" i="7"/>
  <c r="O930" i="7"/>
  <c r="O932" i="7"/>
  <c r="O931" i="7"/>
  <c r="O933" i="7"/>
  <c r="O934" i="7"/>
  <c r="O937" i="7"/>
  <c r="O936" i="7"/>
  <c r="O935" i="7"/>
  <c r="O939" i="7"/>
  <c r="O938" i="7"/>
  <c r="O940" i="7"/>
  <c r="O941" i="7"/>
  <c r="O944" i="7"/>
  <c r="O943" i="7"/>
  <c r="O942" i="7"/>
  <c r="O945" i="7"/>
  <c r="O948" i="7"/>
  <c r="O946" i="7"/>
  <c r="O947" i="7"/>
  <c r="O950" i="7"/>
  <c r="O951" i="7"/>
  <c r="O949" i="7"/>
  <c r="O952" i="7"/>
  <c r="O953" i="7"/>
  <c r="O955" i="7"/>
  <c r="O954" i="7"/>
  <c r="O956" i="7"/>
  <c r="O957" i="7"/>
  <c r="O958" i="7"/>
  <c r="O961" i="7"/>
  <c r="O959" i="7"/>
  <c r="O960" i="7"/>
  <c r="O963" i="7"/>
  <c r="O962" i="7"/>
  <c r="O964" i="7"/>
  <c r="O965" i="7"/>
  <c r="O967" i="7"/>
  <c r="O969" i="7"/>
  <c r="O966" i="7"/>
  <c r="O968" i="7"/>
  <c r="O971" i="7"/>
  <c r="O973" i="7"/>
  <c r="O970" i="7"/>
  <c r="O974" i="7"/>
  <c r="O972" i="7"/>
  <c r="O975" i="7"/>
  <c r="O976" i="7"/>
  <c r="O977" i="7"/>
  <c r="O980" i="7"/>
  <c r="O978" i="7"/>
  <c r="O979" i="7"/>
  <c r="O981" i="7"/>
  <c r="O983" i="7"/>
  <c r="O982" i="7"/>
  <c r="O985" i="7"/>
  <c r="O986" i="7"/>
  <c r="O984" i="7"/>
  <c r="O987" i="7"/>
  <c r="O989" i="7"/>
  <c r="O988" i="7"/>
  <c r="O993" i="7"/>
  <c r="O991" i="7"/>
  <c r="O994" i="7"/>
  <c r="O990" i="7"/>
  <c r="O992" i="7"/>
  <c r="O997" i="7"/>
  <c r="O995" i="7"/>
  <c r="O996" i="7"/>
  <c r="O998" i="7"/>
  <c r="O999" i="7"/>
  <c r="O1000" i="7"/>
  <c r="O1001" i="7"/>
  <c r="O1004" i="7"/>
  <c r="O1003" i="7"/>
  <c r="O1002" i="7"/>
  <c r="O1005" i="7"/>
  <c r="O1006" i="7"/>
  <c r="O1007" i="7"/>
  <c r="O1008" i="7"/>
  <c r="O1009" i="7"/>
  <c r="O1010" i="7"/>
  <c r="O1011" i="7"/>
  <c r="O1013" i="7"/>
  <c r="O1012" i="7"/>
  <c r="O1014" i="7"/>
  <c r="O1015" i="7"/>
  <c r="O1016" i="7"/>
  <c r="O1017" i="7"/>
  <c r="O1018" i="7"/>
  <c r="O1019" i="7"/>
  <c r="O1020" i="7"/>
  <c r="O1021" i="7"/>
  <c r="O1024" i="7"/>
  <c r="O1022" i="7"/>
  <c r="O1023" i="7"/>
  <c r="O1026" i="7"/>
  <c r="O1027" i="7"/>
  <c r="O1025" i="7"/>
  <c r="O1028" i="7"/>
  <c r="O1029" i="7"/>
  <c r="O1031" i="7"/>
  <c r="O1032" i="7"/>
  <c r="O1030" i="7"/>
  <c r="O1034" i="7"/>
  <c r="O1036" i="7"/>
  <c r="O1033" i="7"/>
  <c r="O1035" i="7"/>
  <c r="O1037" i="7"/>
  <c r="O1038" i="7"/>
  <c r="O1040" i="7"/>
  <c r="O1039" i="7"/>
  <c r="O1043" i="7"/>
  <c r="O1042" i="7"/>
  <c r="O1044" i="7"/>
  <c r="O1041" i="7"/>
  <c r="O1045" i="7"/>
  <c r="O1046" i="7"/>
  <c r="O1049" i="7"/>
  <c r="O1047" i="7"/>
  <c r="O1048" i="7"/>
  <c r="O1050" i="7"/>
  <c r="O1052" i="7"/>
  <c r="O1051" i="7"/>
  <c r="O1055" i="7"/>
  <c r="O1054" i="7"/>
  <c r="O1053" i="7"/>
  <c r="O1056" i="7"/>
  <c r="O1058" i="7"/>
  <c r="O1057" i="7"/>
  <c r="O1059" i="7"/>
  <c r="O1060" i="7"/>
  <c r="O1061" i="7"/>
  <c r="O1065" i="7"/>
  <c r="O1064" i="7"/>
  <c r="O1062" i="7"/>
  <c r="O1063" i="7"/>
  <c r="O1067" i="7"/>
  <c r="O1066" i="7"/>
  <c r="O1069" i="7"/>
  <c r="O1070" i="7"/>
  <c r="O1068" i="7"/>
  <c r="O1071" i="7"/>
  <c r="O1072" i="7"/>
  <c r="O1073" i="7"/>
  <c r="O1074" i="7"/>
  <c r="O1075" i="7"/>
  <c r="O1076" i="7"/>
  <c r="O1078" i="7"/>
  <c r="O1077" i="7"/>
  <c r="O1079" i="7"/>
  <c r="O1080" i="7"/>
  <c r="O1084" i="7"/>
  <c r="O1081" i="7"/>
  <c r="O1082" i="7"/>
  <c r="O1083" i="7"/>
  <c r="O1085" i="7"/>
  <c r="O1091" i="7"/>
  <c r="O1090" i="7"/>
  <c r="O1088" i="7"/>
  <c r="O1087" i="7"/>
  <c r="O1086" i="7"/>
  <c r="O1092" i="7"/>
  <c r="O1089" i="7"/>
  <c r="O1093" i="7"/>
  <c r="O1094" i="7"/>
  <c r="O1096" i="7"/>
  <c r="O1095" i="7"/>
  <c r="O1098" i="7"/>
  <c r="O1097" i="7"/>
  <c r="O1099" i="7"/>
  <c r="O1100" i="7"/>
  <c r="O1103" i="7"/>
  <c r="O1104" i="7"/>
  <c r="O1101" i="7"/>
  <c r="O1102" i="7"/>
  <c r="O1105" i="7"/>
  <c r="O1107" i="7"/>
  <c r="O1106" i="7"/>
  <c r="O1110" i="7"/>
  <c r="O1108" i="7"/>
  <c r="O1109" i="7"/>
  <c r="O1111" i="7"/>
  <c r="O1112" i="7"/>
  <c r="O1113" i="7"/>
  <c r="O1114" i="7"/>
  <c r="O1115" i="7"/>
  <c r="O1116" i="7"/>
  <c r="O1118" i="7"/>
  <c r="O1117" i="7"/>
  <c r="O1120" i="7"/>
  <c r="O1119" i="7"/>
  <c r="O1121" i="7"/>
  <c r="O1122" i="7"/>
  <c r="O1125" i="7"/>
  <c r="O1123" i="7"/>
  <c r="O1126" i="7"/>
  <c r="O1124" i="7"/>
  <c r="O1127" i="7"/>
  <c r="O1128" i="7"/>
  <c r="O1129" i="7"/>
  <c r="O1130" i="7"/>
  <c r="O1131" i="7"/>
  <c r="O1132" i="7"/>
  <c r="O1135" i="7"/>
  <c r="O1137" i="7"/>
  <c r="O1133" i="7"/>
  <c r="O1136" i="7"/>
  <c r="O1134" i="7"/>
  <c r="O1138" i="7"/>
  <c r="O1140" i="7"/>
  <c r="O1139" i="7"/>
  <c r="O1142" i="7"/>
  <c r="O1143" i="7"/>
  <c r="O1141" i="7"/>
  <c r="O1145" i="7"/>
  <c r="O1144" i="7"/>
  <c r="O1146" i="7"/>
  <c r="O1147" i="7"/>
  <c r="O1148" i="7"/>
  <c r="O1153" i="7"/>
  <c r="O1152" i="7"/>
  <c r="O1151" i="7"/>
  <c r="O1150" i="7"/>
  <c r="O1149" i="7"/>
  <c r="O1155" i="7"/>
  <c r="O1154" i="7"/>
  <c r="O1157" i="7"/>
  <c r="O1156" i="7"/>
  <c r="O1159" i="7"/>
  <c r="O1158" i="7"/>
  <c r="O1160" i="7"/>
  <c r="O1161" i="7"/>
  <c r="O1163" i="7"/>
  <c r="O1164" i="7"/>
  <c r="O1166" i="7"/>
  <c r="O1165" i="7"/>
  <c r="O1162" i="7"/>
  <c r="O1168" i="7"/>
  <c r="O1167" i="7"/>
  <c r="O1170" i="7"/>
  <c r="O1169" i="7"/>
  <c r="O1171" i="7"/>
  <c r="O1172" i="7"/>
  <c r="O1173" i="7"/>
  <c r="O1175" i="7"/>
  <c r="O1177" i="7"/>
  <c r="O1176" i="7"/>
  <c r="O1178" i="7"/>
  <c r="O1174" i="7"/>
  <c r="O1179" i="7"/>
  <c r="O1181" i="7"/>
  <c r="O1180" i="7"/>
  <c r="O1182" i="7"/>
  <c r="O1183" i="7"/>
  <c r="O1185" i="7"/>
  <c r="O1184" i="7"/>
  <c r="O1186" i="7"/>
  <c r="O1189" i="7"/>
  <c r="O1188" i="7"/>
  <c r="O1187" i="7"/>
  <c r="O1194" i="7"/>
  <c r="O1192" i="7"/>
  <c r="O1193" i="7"/>
  <c r="O1190" i="7"/>
  <c r="O1191" i="7"/>
  <c r="O1195" i="7"/>
  <c r="O1196" i="7"/>
  <c r="O1197" i="7"/>
  <c r="O1199" i="7"/>
  <c r="O1201" i="7"/>
  <c r="O1198" i="7"/>
  <c r="O1200" i="7"/>
  <c r="O1203" i="7"/>
  <c r="O1204" i="7"/>
  <c r="O1202" i="7"/>
  <c r="O1205" i="7"/>
  <c r="O1207" i="7"/>
  <c r="O1206" i="7"/>
  <c r="O1208" i="7"/>
  <c r="O1209" i="7"/>
  <c r="O1210" i="7"/>
  <c r="O1211" i="7"/>
  <c r="O1214" i="7"/>
  <c r="O1215" i="7"/>
  <c r="O1212" i="7"/>
  <c r="O1216" i="7"/>
  <c r="O1217" i="7"/>
  <c r="O1213" i="7"/>
  <c r="O1220" i="7"/>
  <c r="O1218" i="7"/>
  <c r="O1219" i="7"/>
  <c r="O1226" i="7"/>
  <c r="O1222" i="7"/>
  <c r="O1225" i="7"/>
  <c r="O1223" i="7"/>
  <c r="O1221" i="7"/>
  <c r="O1224" i="7"/>
  <c r="O1228" i="7"/>
  <c r="O1230" i="7"/>
  <c r="O1229" i="7"/>
  <c r="O1227" i="7"/>
  <c r="O1231" i="7"/>
  <c r="O1233" i="7"/>
  <c r="O1232" i="7"/>
  <c r="O1234" i="7"/>
  <c r="O1236" i="7"/>
  <c r="O1235" i="7"/>
  <c r="O1237" i="7"/>
  <c r="O1238" i="7"/>
  <c r="O1239" i="7"/>
  <c r="O1241" i="7"/>
  <c r="O1242" i="7"/>
  <c r="O1240" i="7"/>
  <c r="O1244" i="7"/>
  <c r="O1245" i="7"/>
  <c r="O1243" i="7"/>
  <c r="O1248" i="7"/>
  <c r="O1247" i="7"/>
  <c r="O1246" i="7"/>
  <c r="O1251" i="7"/>
  <c r="O1249" i="7"/>
  <c r="O1250" i="7"/>
  <c r="O1253" i="7"/>
  <c r="O1252" i="7"/>
  <c r="O1255" i="7"/>
  <c r="O1254" i="7"/>
  <c r="O1256" i="7"/>
  <c r="O1258" i="7"/>
  <c r="O1257" i="7"/>
  <c r="O1259" i="7"/>
  <c r="O1262" i="7"/>
  <c r="O1261" i="7"/>
  <c r="O1260" i="7"/>
  <c r="O1265" i="7"/>
  <c r="O1263" i="7"/>
  <c r="O1264" i="7"/>
  <c r="O1266" i="7"/>
  <c r="O1267" i="7"/>
  <c r="O1268" i="7"/>
  <c r="O1269" i="7"/>
  <c r="O1274" i="7"/>
  <c r="O1271" i="7"/>
  <c r="O1272" i="7"/>
  <c r="O1270" i="7"/>
  <c r="O1273" i="7"/>
  <c r="O1275" i="7"/>
  <c r="O1276" i="7"/>
  <c r="O1277" i="7"/>
  <c r="O1279" i="7"/>
  <c r="O1278" i="7"/>
  <c r="O1280" i="7"/>
  <c r="O1282" i="7"/>
  <c r="O1284" i="7"/>
  <c r="O1283" i="7"/>
  <c r="O1281" i="7"/>
  <c r="O1288" i="7"/>
  <c r="O1286" i="7"/>
  <c r="O1285" i="7"/>
  <c r="O1287" i="7"/>
  <c r="O1290" i="7"/>
  <c r="O1291" i="7"/>
  <c r="O1289" i="7"/>
  <c r="O1295" i="7"/>
  <c r="O1294" i="7"/>
  <c r="O1293" i="7"/>
  <c r="O1296" i="7"/>
  <c r="O1292" i="7"/>
  <c r="O1297" i="7"/>
  <c r="O1298" i="7"/>
  <c r="O1302" i="7"/>
  <c r="O1299" i="7"/>
  <c r="O1303" i="7"/>
  <c r="O1301" i="7"/>
  <c r="O1300" i="7"/>
  <c r="O1305" i="7"/>
  <c r="O1304" i="7"/>
  <c r="O1308" i="7"/>
  <c r="O1307" i="7"/>
  <c r="O1306" i="7"/>
  <c r="O1309" i="7"/>
  <c r="O1310" i="7"/>
  <c r="O1311" i="7"/>
  <c r="O1314" i="7"/>
  <c r="O1313" i="7"/>
  <c r="O1312" i="7"/>
  <c r="O1315" i="7"/>
  <c r="O1316" i="7"/>
  <c r="O1318" i="7"/>
  <c r="O1317" i="7"/>
  <c r="O1319" i="7"/>
  <c r="O1321" i="7"/>
  <c r="O1320" i="7"/>
  <c r="O1322" i="7"/>
  <c r="O1323" i="7"/>
  <c r="O1326" i="7"/>
  <c r="O1325" i="7"/>
  <c r="O1324" i="7"/>
  <c r="O1327" i="7"/>
  <c r="O1330" i="7"/>
  <c r="O1328" i="7"/>
  <c r="O1329" i="7"/>
  <c r="O1333" i="7"/>
  <c r="O1334" i="7"/>
  <c r="O1332" i="7"/>
  <c r="O1331" i="7"/>
  <c r="O1335" i="7"/>
  <c r="O1337" i="7"/>
  <c r="O1336" i="7"/>
  <c r="O1339" i="7"/>
  <c r="O1338" i="7"/>
  <c r="O1341" i="7"/>
  <c r="O1344" i="7"/>
  <c r="O1342" i="7"/>
  <c r="O1340" i="7"/>
  <c r="O1343" i="7"/>
  <c r="O1346" i="7"/>
  <c r="O1347" i="7"/>
  <c r="O1345" i="7"/>
  <c r="O1352" i="7"/>
  <c r="O1353" i="7"/>
  <c r="O1351" i="7"/>
  <c r="O1348" i="7"/>
  <c r="O1350" i="7"/>
  <c r="O1349" i="7"/>
  <c r="O1354" i="7"/>
  <c r="O1355" i="7"/>
  <c r="O1356" i="7"/>
  <c r="O1362" i="7"/>
  <c r="O1365" i="7"/>
  <c r="O1358" i="7"/>
  <c r="O1360" i="7"/>
  <c r="O1363" i="7"/>
  <c r="O1364" i="7"/>
  <c r="O1357" i="7"/>
  <c r="O1359" i="7"/>
  <c r="O1361" i="7"/>
  <c r="O1367" i="7"/>
  <c r="O1368" i="7"/>
  <c r="O1366" i="7"/>
  <c r="O1370" i="7"/>
  <c r="O1369" i="7"/>
  <c r="O1372" i="7"/>
  <c r="O1374" i="7"/>
  <c r="O1371" i="7"/>
  <c r="O1376" i="7"/>
  <c r="O1375" i="7"/>
  <c r="O1373" i="7"/>
  <c r="O1378" i="7"/>
  <c r="O1377" i="7"/>
  <c r="O1379" i="7"/>
  <c r="O1381" i="7"/>
  <c r="O1380" i="7"/>
  <c r="O1383" i="7"/>
  <c r="O1382" i="7"/>
  <c r="O1386" i="7"/>
  <c r="O1384" i="7"/>
  <c r="O1387" i="7"/>
  <c r="O1388" i="7"/>
  <c r="O1385" i="7"/>
  <c r="O1391" i="7"/>
  <c r="O1389" i="7"/>
  <c r="O1390" i="7"/>
  <c r="O1394" i="7"/>
  <c r="O1392" i="7"/>
  <c r="O1395" i="7"/>
  <c r="O1393" i="7"/>
  <c r="O1396" i="7"/>
  <c r="O1397" i="7"/>
  <c r="O1398" i="7"/>
  <c r="O1399" i="7"/>
  <c r="O1401" i="7"/>
  <c r="O1402" i="7"/>
  <c r="O1400" i="7"/>
  <c r="O1403" i="7"/>
  <c r="O1404" i="7"/>
  <c r="O1409" i="7"/>
  <c r="O1407" i="7"/>
  <c r="O1406" i="7"/>
  <c r="O1405" i="7"/>
  <c r="O1408" i="7"/>
  <c r="O1414" i="7"/>
  <c r="O1415" i="7"/>
  <c r="O1410" i="7"/>
  <c r="O1413" i="7"/>
  <c r="O1412" i="7"/>
  <c r="O1411" i="7"/>
  <c r="O1416" i="7"/>
  <c r="O1418" i="7"/>
  <c r="O1417" i="7"/>
  <c r="O1419" i="7"/>
  <c r="O1420" i="7"/>
  <c r="O1423" i="7"/>
  <c r="O1422" i="7"/>
  <c r="O1421" i="7"/>
  <c r="O1424" i="7"/>
  <c r="O1426" i="7"/>
  <c r="O1427" i="7"/>
  <c r="O1425" i="7"/>
  <c r="O1429" i="7"/>
  <c r="O1431" i="7"/>
  <c r="O1428" i="7"/>
  <c r="O1430" i="7"/>
  <c r="O1433" i="7"/>
  <c r="O1432" i="7"/>
  <c r="O1436" i="7"/>
  <c r="O1437" i="7"/>
  <c r="O1438" i="7"/>
  <c r="O1434" i="7"/>
  <c r="O1435" i="7"/>
  <c r="O1441" i="7"/>
  <c r="O1439" i="7"/>
  <c r="O1440" i="7"/>
  <c r="O1444" i="7"/>
  <c r="O1442" i="7"/>
  <c r="O1443" i="7"/>
  <c r="O1446" i="7"/>
  <c r="O1445" i="7"/>
  <c r="O1448" i="7"/>
  <c r="O1447" i="7"/>
  <c r="O1450" i="7"/>
  <c r="O1451" i="7"/>
  <c r="O1449" i="7"/>
  <c r="O1456" i="7"/>
  <c r="O1452" i="7"/>
  <c r="O1455" i="7"/>
  <c r="O1457" i="7"/>
  <c r="O1453" i="7"/>
  <c r="O1454" i="7"/>
  <c r="O1460" i="7"/>
  <c r="O1458" i="7"/>
  <c r="O1459" i="7"/>
  <c r="O1461" i="7"/>
  <c r="O1462" i="7"/>
  <c r="O1466" i="7"/>
  <c r="O1465" i="7"/>
  <c r="O1464" i="7"/>
  <c r="O1463" i="7"/>
  <c r="O1468" i="7"/>
  <c r="O1467" i="7"/>
  <c r="O1469" i="7"/>
  <c r="O1470" i="7"/>
  <c r="O1472" i="7"/>
  <c r="O1473" i="7"/>
  <c r="O1471" i="7"/>
  <c r="O1475" i="7"/>
  <c r="O1476" i="7"/>
  <c r="O1474" i="7"/>
  <c r="O1477" i="7"/>
  <c r="O1479" i="7"/>
  <c r="O1478" i="7"/>
  <c r="O1480" i="7"/>
  <c r="O1481" i="7"/>
  <c r="O1482" i="7"/>
  <c r="O1483" i="7"/>
  <c r="O1485" i="7"/>
  <c r="O1484" i="7"/>
  <c r="O1487" i="7"/>
  <c r="O1489" i="7"/>
  <c r="O1490" i="7"/>
  <c r="O1486" i="7"/>
  <c r="O1488" i="7"/>
  <c r="O1493" i="7"/>
  <c r="O1491" i="7"/>
  <c r="O1492" i="7"/>
  <c r="O1494" i="7"/>
  <c r="O1499" i="7"/>
  <c r="O1497" i="7"/>
  <c r="O1498" i="7"/>
  <c r="O1496" i="7"/>
  <c r="O1495" i="7"/>
  <c r="O1503" i="7"/>
  <c r="O1501" i="7"/>
  <c r="O1505" i="7"/>
  <c r="O1502" i="7"/>
  <c r="O1500" i="7"/>
  <c r="O1504" i="7"/>
  <c r="O1508" i="7"/>
  <c r="O1507" i="7"/>
  <c r="O1509" i="7"/>
  <c r="O1506" i="7"/>
  <c r="O1512" i="7"/>
  <c r="O1510" i="7"/>
  <c r="O1511" i="7"/>
  <c r="O1515" i="7"/>
  <c r="O1513" i="7"/>
  <c r="O1514" i="7"/>
  <c r="O1516" i="7"/>
  <c r="O1523" i="7"/>
  <c r="O1521" i="7"/>
  <c r="O1517" i="7"/>
  <c r="O1518" i="7"/>
  <c r="O1520" i="7"/>
  <c r="O1519" i="7"/>
  <c r="O1522" i="7"/>
  <c r="O1524" i="7"/>
  <c r="O1526" i="7"/>
  <c r="O1525" i="7"/>
  <c r="O1530" i="7"/>
  <c r="O1529" i="7"/>
  <c r="O1528" i="7"/>
  <c r="O1527" i="7"/>
  <c r="O1533" i="7"/>
  <c r="O1532" i="7"/>
  <c r="O1531" i="7"/>
  <c r="O1534" i="7"/>
  <c r="O1535" i="7"/>
  <c r="O1538" i="7"/>
  <c r="O1536" i="7"/>
  <c r="O1537" i="7"/>
  <c r="O1539" i="7"/>
  <c r="O1542" i="7"/>
  <c r="O1540" i="7"/>
  <c r="O1543" i="7"/>
  <c r="O1544" i="7"/>
  <c r="O1541" i="7"/>
  <c r="O1545" i="7"/>
  <c r="O1546" i="7"/>
  <c r="O1547" i="7"/>
  <c r="O1549" i="7"/>
  <c r="O1548" i="7"/>
  <c r="O1550" i="7"/>
  <c r="O1551" i="7"/>
  <c r="O1552" i="7"/>
  <c r="O1557" i="7"/>
  <c r="O1559" i="7"/>
  <c r="O1553" i="7"/>
  <c r="O1556" i="7"/>
  <c r="O1555" i="7"/>
  <c r="O1554" i="7"/>
  <c r="O1558" i="7"/>
  <c r="O1560" i="7"/>
  <c r="O1562" i="7"/>
  <c r="O1563" i="7"/>
  <c r="O1561" i="7"/>
  <c r="O1564" i="7"/>
  <c r="O1567" i="7"/>
  <c r="O1569" i="7"/>
  <c r="O1565" i="7"/>
  <c r="O1568" i="7"/>
  <c r="O1566" i="7"/>
  <c r="O1575" i="7"/>
  <c r="O1572" i="7"/>
  <c r="O1570" i="7"/>
  <c r="O1573" i="7"/>
  <c r="O1574" i="7"/>
  <c r="O1571" i="7"/>
  <c r="O1577" i="7"/>
  <c r="O1576" i="7"/>
  <c r="O1578" i="7"/>
  <c r="O1579" i="7"/>
  <c r="O1580" i="7"/>
  <c r="O1583" i="7"/>
  <c r="O1582" i="7"/>
  <c r="O1581" i="7"/>
  <c r="O1585" i="7"/>
  <c r="O1584" i="7"/>
  <c r="O1587" i="7"/>
  <c r="O1586" i="7"/>
  <c r="O1588" i="7"/>
  <c r="O1589" i="7"/>
  <c r="O1590" i="7"/>
  <c r="O1592" i="7"/>
  <c r="O1591" i="7"/>
  <c r="O1594" i="7"/>
  <c r="O1593" i="7"/>
  <c r="O1595" i="7"/>
  <c r="O1598" i="7"/>
  <c r="O1597" i="7"/>
  <c r="O1599" i="7"/>
  <c r="O1596" i="7"/>
  <c r="O1600" i="7"/>
  <c r="O1602" i="7"/>
  <c r="O1601" i="7"/>
  <c r="O1603" i="7"/>
  <c r="O1604" i="7"/>
  <c r="O1605" i="7"/>
  <c r="O1606" i="7"/>
  <c r="O1607" i="7"/>
  <c r="O1608" i="7"/>
  <c r="O1609" i="7"/>
  <c r="O1611" i="7"/>
  <c r="O1610" i="7"/>
  <c r="O1613" i="7"/>
  <c r="O1612" i="7"/>
  <c r="O1614" i="7"/>
  <c r="O1615" i="7"/>
  <c r="O1616" i="7"/>
  <c r="O1624" i="7"/>
  <c r="O1625" i="7"/>
  <c r="O1619" i="7"/>
  <c r="O1622" i="7"/>
  <c r="O1620" i="7"/>
  <c r="O1621" i="7"/>
  <c r="O1618" i="7"/>
  <c r="O1626" i="7"/>
  <c r="O1623" i="7"/>
  <c r="O1617" i="7"/>
  <c r="O1627" i="7"/>
  <c r="O1628" i="7"/>
  <c r="O1629" i="7"/>
  <c r="O1630" i="7"/>
  <c r="O1631" i="7"/>
  <c r="O1632" i="7"/>
  <c r="O1635" i="7"/>
  <c r="O1633" i="7"/>
  <c r="O1634" i="7"/>
  <c r="O1637" i="7"/>
  <c r="O1636" i="7"/>
  <c r="O1639" i="7"/>
  <c r="O1638" i="7"/>
  <c r="O1640" i="7"/>
  <c r="O1641" i="7"/>
  <c r="O1643" i="7"/>
  <c r="O1642" i="7"/>
  <c r="O1644" i="7"/>
  <c r="O1646" i="7"/>
  <c r="O1645" i="7"/>
  <c r="O1648" i="7"/>
  <c r="O1650" i="7"/>
  <c r="O1647" i="7"/>
  <c r="O1649" i="7"/>
  <c r="O1655" i="7"/>
  <c r="O1652" i="7"/>
  <c r="O1651" i="7"/>
  <c r="O1654" i="7"/>
  <c r="O1653" i="7"/>
  <c r="O1656" i="7"/>
  <c r="O1657" i="7"/>
  <c r="O1662" i="7"/>
  <c r="O1660" i="7"/>
  <c r="O1658" i="7"/>
  <c r="O1659" i="7"/>
  <c r="O1661" i="7"/>
  <c r="O1664" i="7"/>
  <c r="O1663" i="7"/>
  <c r="O1667" i="7"/>
  <c r="O1666" i="7"/>
  <c r="O1669" i="7"/>
  <c r="O1670" i="7"/>
  <c r="O1665" i="7"/>
  <c r="O1668" i="7"/>
  <c r="O1672" i="7"/>
  <c r="O1673" i="7"/>
  <c r="O1671" i="7"/>
  <c r="O1674" i="7"/>
  <c r="O1676" i="7"/>
  <c r="O1675" i="7"/>
  <c r="O1680" i="7"/>
  <c r="O1679" i="7"/>
  <c r="O1678" i="7"/>
  <c r="O1681" i="7"/>
  <c r="O1677" i="7"/>
  <c r="O1683" i="7"/>
  <c r="O1682" i="7"/>
  <c r="O1684" i="7"/>
  <c r="O1686" i="7"/>
  <c r="O1685" i="7"/>
  <c r="O1687" i="7"/>
  <c r="O1689" i="7"/>
  <c r="O1688" i="7"/>
  <c r="O1692" i="7"/>
  <c r="O1690" i="7"/>
  <c r="O1691" i="7"/>
  <c r="O1693" i="7"/>
  <c r="O1696" i="7"/>
  <c r="O1694" i="7"/>
  <c r="O1695" i="7"/>
  <c r="O1697" i="7"/>
  <c r="O1698" i="7"/>
  <c r="O1703" i="7"/>
  <c r="O1701" i="7"/>
  <c r="O1699" i="7"/>
  <c r="O1702" i="7"/>
  <c r="O1700" i="7"/>
  <c r="O1704" i="7"/>
  <c r="O1706" i="7"/>
  <c r="O1705" i="7"/>
  <c r="O1707" i="7"/>
  <c r="O1708" i="7"/>
  <c r="O1709" i="7"/>
  <c r="O1711" i="7"/>
  <c r="O1710" i="7"/>
  <c r="O1713" i="7"/>
  <c r="O1712" i="7"/>
  <c r="O1715" i="7"/>
  <c r="O1714" i="7"/>
  <c r="O1717" i="7"/>
  <c r="O1716" i="7"/>
  <c r="O1718" i="7"/>
  <c r="O1720" i="7"/>
  <c r="O1719" i="7"/>
  <c r="O1723" i="7"/>
  <c r="O1725" i="7"/>
  <c r="O1722" i="7"/>
  <c r="O1724" i="7"/>
  <c r="O1721" i="7"/>
  <c r="O1729" i="7"/>
  <c r="O1727" i="7"/>
  <c r="O1732" i="7"/>
  <c r="O1728" i="7"/>
  <c r="O1726" i="7"/>
  <c r="O1731" i="7"/>
  <c r="O1730" i="7"/>
  <c r="O1736" i="7"/>
  <c r="O1735" i="7"/>
  <c r="O1734" i="7"/>
  <c r="O1733" i="7"/>
  <c r="O1737" i="7"/>
  <c r="O1738" i="7"/>
  <c r="O1739" i="7"/>
  <c r="O1740" i="7"/>
  <c r="O1741" i="7"/>
  <c r="O1743" i="7"/>
  <c r="O1742" i="7"/>
  <c r="O1744" i="7"/>
  <c r="O1745" i="7"/>
  <c r="O1746" i="7"/>
  <c r="O1747" i="7"/>
  <c r="O1752" i="7"/>
  <c r="O1749" i="7"/>
  <c r="O1753" i="7"/>
  <c r="O1751" i="7"/>
  <c r="O1748" i="7"/>
  <c r="O1750" i="7"/>
  <c r="O1756" i="7"/>
  <c r="O1758" i="7"/>
  <c r="O1754" i="7"/>
  <c r="O1755" i="7"/>
  <c r="O1757" i="7"/>
  <c r="O1759" i="7"/>
  <c r="O1762" i="7"/>
  <c r="O1761" i="7"/>
  <c r="O1760" i="7"/>
  <c r="O1765" i="7"/>
  <c r="O1766" i="7"/>
  <c r="O1763" i="7"/>
  <c r="O1764" i="7"/>
  <c r="O1767" i="7"/>
  <c r="O1773" i="7"/>
  <c r="O1774" i="7"/>
  <c r="O1768" i="7"/>
  <c r="O1769" i="7"/>
  <c r="O1771" i="7"/>
  <c r="O1772" i="7"/>
  <c r="O1770" i="7"/>
  <c r="O1775" i="7"/>
  <c r="O1776" i="7"/>
  <c r="O1777" i="7"/>
  <c r="O1779" i="7"/>
  <c r="O1778" i="7"/>
  <c r="O1781" i="7"/>
  <c r="O1782" i="7"/>
  <c r="O1780" i="7"/>
  <c r="O1783" i="7"/>
  <c r="O1784" i="7"/>
  <c r="O1787" i="7"/>
  <c r="O1785" i="7"/>
  <c r="O1786" i="7"/>
  <c r="O1788" i="7"/>
  <c r="O1789" i="7"/>
  <c r="O1791" i="7"/>
  <c r="O1793" i="7"/>
  <c r="O1792" i="7"/>
  <c r="O1790" i="7"/>
  <c r="O1797" i="7"/>
  <c r="O1796" i="7"/>
  <c r="O1795" i="7"/>
  <c r="O1794" i="7"/>
  <c r="O1798" i="7"/>
  <c r="O1800" i="7"/>
  <c r="O1799" i="7"/>
  <c r="O1801" i="7"/>
  <c r="O1802" i="7"/>
  <c r="O1804" i="7"/>
  <c r="O1805" i="7"/>
  <c r="O1803" i="7"/>
  <c r="O1808" i="7"/>
  <c r="O1807" i="7"/>
  <c r="O1806" i="7"/>
  <c r="O1811" i="7"/>
  <c r="O1813" i="7"/>
  <c r="O1810" i="7"/>
  <c r="O1815" i="7"/>
  <c r="O1809" i="7"/>
  <c r="O1812" i="7"/>
  <c r="O1814" i="7"/>
  <c r="O1816" i="7"/>
  <c r="O1817" i="7"/>
  <c r="O1822" i="7"/>
  <c r="O1823" i="7"/>
  <c r="O1821" i="7"/>
  <c r="O1818" i="7"/>
  <c r="O1825" i="7"/>
  <c r="O1820" i="7"/>
  <c r="O1824" i="7"/>
  <c r="O1819" i="7"/>
  <c r="O1826" i="7"/>
  <c r="O1828" i="7"/>
  <c r="O1830" i="7"/>
  <c r="O1829" i="7"/>
  <c r="O1827" i="7"/>
  <c r="O1833" i="7"/>
  <c r="O1832" i="7"/>
  <c r="O1831" i="7"/>
  <c r="O1834" i="7"/>
  <c r="O1838" i="7"/>
  <c r="O1836" i="7"/>
  <c r="O1835" i="7"/>
  <c r="O1837" i="7"/>
  <c r="O1841" i="7"/>
  <c r="O1840" i="7"/>
  <c r="O1842" i="7"/>
  <c r="O1839" i="7"/>
  <c r="O1845" i="7"/>
  <c r="O1843" i="7"/>
  <c r="O1844" i="7"/>
  <c r="O1846" i="7"/>
  <c r="O1847" i="7"/>
  <c r="O1849" i="7"/>
  <c r="O1848" i="7"/>
  <c r="O1852" i="7"/>
  <c r="O1850" i="7"/>
  <c r="O1851" i="7"/>
  <c r="O1854" i="7"/>
  <c r="O1853" i="7"/>
  <c r="O1856" i="7"/>
  <c r="O1855" i="7"/>
  <c r="O1857" i="7"/>
  <c r="O1859" i="7"/>
  <c r="O1860" i="7"/>
  <c r="O1858" i="7"/>
  <c r="O1861" i="7"/>
  <c r="O1862" i="7"/>
  <c r="O1863" i="7"/>
  <c r="O1865" i="7"/>
  <c r="O1867" i="7"/>
  <c r="O1869" i="7"/>
  <c r="O1866" i="7"/>
  <c r="O1868" i="7"/>
  <c r="O1870" i="7"/>
  <c r="O1864" i="7"/>
  <c r="O1872" i="7"/>
  <c r="O1876" i="7"/>
  <c r="O1873" i="7"/>
  <c r="O1874" i="7"/>
  <c r="O1875" i="7"/>
  <c r="O1871" i="7"/>
  <c r="O1882" i="7"/>
  <c r="O1881" i="7"/>
  <c r="O1878" i="7"/>
  <c r="O1880" i="7"/>
  <c r="O1879" i="7"/>
  <c r="O1877" i="7"/>
  <c r="O1884" i="7"/>
  <c r="O1883" i="7"/>
  <c r="O1887" i="7"/>
  <c r="O1888" i="7"/>
  <c r="O1886" i="7"/>
  <c r="O1885" i="7"/>
  <c r="O1889" i="7"/>
  <c r="O1890" i="7"/>
  <c r="O1891" i="7"/>
  <c r="O1893" i="7"/>
  <c r="O1892" i="7"/>
  <c r="O1895" i="7"/>
  <c r="O1894" i="7"/>
  <c r="O1897" i="7"/>
  <c r="O1896" i="7"/>
  <c r="O1900" i="7"/>
  <c r="O1899" i="7"/>
  <c r="O1898" i="7"/>
  <c r="O1901" i="7"/>
  <c r="O1902" i="7"/>
  <c r="O1903" i="7"/>
  <c r="O1905" i="7"/>
  <c r="O1906" i="7"/>
  <c r="O1904" i="7"/>
  <c r="O1908" i="7"/>
  <c r="O1911" i="7"/>
  <c r="O1912" i="7"/>
  <c r="O1910" i="7"/>
  <c r="O1907" i="7"/>
  <c r="O1909" i="7"/>
  <c r="O1914" i="7"/>
  <c r="O1913" i="7"/>
  <c r="O1917" i="7"/>
  <c r="O1920" i="7"/>
  <c r="O1915" i="7"/>
  <c r="O1919" i="7"/>
  <c r="O1916" i="7"/>
  <c r="O1918" i="7"/>
  <c r="O1924" i="7"/>
  <c r="O1922" i="7"/>
  <c r="O1921" i="7"/>
  <c r="O1923" i="7"/>
  <c r="O1925" i="7"/>
  <c r="O1929" i="7"/>
  <c r="O1926" i="7"/>
  <c r="O1927" i="7"/>
  <c r="O1928" i="7"/>
  <c r="O1930" i="7"/>
  <c r="O1931" i="7"/>
  <c r="O1935" i="7"/>
  <c r="O1936" i="7"/>
  <c r="O1934" i="7"/>
  <c r="O1932" i="7"/>
  <c r="O1933" i="7"/>
  <c r="O1937" i="7"/>
  <c r="O1939" i="7"/>
  <c r="O1938" i="7"/>
  <c r="O1940" i="7"/>
  <c r="O1941" i="7"/>
  <c r="O1942" i="7"/>
  <c r="O1945" i="7"/>
  <c r="O1943" i="7"/>
  <c r="O1944" i="7"/>
  <c r="O1947" i="7"/>
  <c r="O1946" i="7"/>
  <c r="O1949" i="7"/>
  <c r="O1950" i="7"/>
  <c r="O1948" i="7"/>
  <c r="O1951" i="7"/>
  <c r="O1952" i="7"/>
  <c r="O1953" i="7"/>
  <c r="O1956" i="7"/>
  <c r="O1955" i="7"/>
  <c r="O1954" i="7"/>
  <c r="O1958" i="7"/>
  <c r="O1962" i="7"/>
  <c r="O1961" i="7"/>
  <c r="O1959" i="7"/>
  <c r="O1963" i="7"/>
  <c r="O1960" i="7"/>
  <c r="O1957" i="7"/>
  <c r="O1966" i="7"/>
  <c r="O1967" i="7"/>
  <c r="O1964" i="7"/>
  <c r="O1968" i="7"/>
  <c r="O1965" i="7"/>
  <c r="O1969" i="7"/>
  <c r="O1971" i="7"/>
  <c r="O1970" i="7"/>
  <c r="O1972" i="7"/>
  <c r="O1973" i="7"/>
  <c r="O1974" i="7"/>
  <c r="O1978" i="7"/>
  <c r="O1975" i="7"/>
  <c r="O1976" i="7"/>
  <c r="O1979" i="7"/>
  <c r="O1977" i="7"/>
  <c r="O1983" i="7"/>
  <c r="O1982" i="7"/>
  <c r="O1984" i="7"/>
  <c r="O1980" i="7"/>
  <c r="O1981" i="7"/>
  <c r="O1987" i="7"/>
  <c r="O1985" i="7"/>
  <c r="O1986" i="7"/>
  <c r="O1988" i="7"/>
  <c r="O1990" i="7"/>
  <c r="O1994" i="7"/>
  <c r="O1995" i="7"/>
  <c r="O1989" i="7"/>
  <c r="O1993" i="7"/>
  <c r="O1992" i="7"/>
  <c r="O1991" i="7"/>
  <c r="O2000" i="7"/>
  <c r="O1996" i="7"/>
  <c r="O1999" i="7"/>
  <c r="O1997" i="7"/>
  <c r="O2006" i="7"/>
  <c r="O2005" i="7"/>
  <c r="O2002" i="7"/>
  <c r="O2003" i="7"/>
  <c r="O1998" i="7"/>
  <c r="O2004" i="7"/>
  <c r="O2001" i="7"/>
  <c r="O2008" i="7"/>
  <c r="O2010" i="7"/>
  <c r="O2007" i="7"/>
  <c r="O2009" i="7"/>
  <c r="O2015" i="7"/>
  <c r="O2012" i="7"/>
  <c r="O2014" i="7"/>
  <c r="O2013" i="7"/>
  <c r="O2011" i="7"/>
  <c r="O2016" i="7"/>
  <c r="O2017" i="7"/>
  <c r="O2019" i="7"/>
  <c r="O2020" i="7"/>
  <c r="O2018" i="7"/>
  <c r="O2021" i="7"/>
  <c r="O2024" i="7"/>
  <c r="O2025" i="7"/>
  <c r="O2023" i="7"/>
  <c r="O2026" i="7"/>
  <c r="O2022" i="7"/>
  <c r="O2028" i="7"/>
  <c r="O2027" i="7"/>
  <c r="O2030" i="7"/>
  <c r="O2029" i="7"/>
  <c r="O2036" i="7"/>
  <c r="O2037" i="7"/>
  <c r="O2033" i="7"/>
  <c r="O2035" i="7"/>
  <c r="O2034" i="7"/>
  <c r="O2031" i="7"/>
  <c r="O2032" i="7"/>
  <c r="O2041" i="7"/>
  <c r="O2040" i="7"/>
  <c r="O2039" i="7"/>
  <c r="O2038" i="7"/>
  <c r="O2043" i="7"/>
  <c r="O2044" i="7"/>
  <c r="O2042" i="7"/>
  <c r="O2048" i="7"/>
  <c r="O2049" i="7"/>
  <c r="O2045" i="7"/>
  <c r="O2046" i="7"/>
  <c r="O2047" i="7"/>
  <c r="O2051" i="7"/>
  <c r="O2052" i="7"/>
  <c r="O2053" i="7"/>
  <c r="O2050" i="7"/>
  <c r="O2058" i="7"/>
  <c r="O2059" i="7"/>
  <c r="O2057" i="7"/>
  <c r="O2056" i="7"/>
  <c r="O2054" i="7"/>
  <c r="O2055" i="7"/>
  <c r="O2060" i="7"/>
  <c r="O2061" i="7"/>
  <c r="O2064" i="7"/>
  <c r="O2063" i="7"/>
  <c r="O2066" i="7"/>
  <c r="O2065" i="7"/>
  <c r="O2068" i="7"/>
  <c r="O2067" i="7"/>
  <c r="O2069" i="7"/>
  <c r="O2062" i="7"/>
  <c r="O2071" i="7"/>
  <c r="O2070" i="7"/>
  <c r="O2072" i="7"/>
  <c r="O2075" i="7"/>
  <c r="O2073" i="7"/>
  <c r="O2074" i="7"/>
  <c r="O2077" i="7"/>
  <c r="O2076" i="7"/>
  <c r="O2078" i="7"/>
  <c r="O2080" i="7"/>
  <c r="O2079" i="7"/>
  <c r="O2082" i="7"/>
  <c r="O2081" i="7"/>
  <c r="O2083" i="7"/>
  <c r="O2085" i="7"/>
  <c r="O2084" i="7"/>
  <c r="O2090" i="7"/>
  <c r="O2086" i="7"/>
  <c r="O2088" i="7"/>
  <c r="O2091" i="7"/>
  <c r="O2089" i="7"/>
  <c r="O2087" i="7"/>
  <c r="O2095" i="7"/>
  <c r="O2094" i="7"/>
  <c r="O2096" i="7"/>
  <c r="O2093" i="7"/>
  <c r="O2092" i="7"/>
  <c r="O2098" i="7"/>
  <c r="O2102" i="7"/>
  <c r="O2097" i="7"/>
  <c r="O2100" i="7"/>
  <c r="O2099" i="7"/>
  <c r="O2101" i="7"/>
  <c r="O2105" i="7"/>
  <c r="O2103" i="7"/>
  <c r="O2106" i="7"/>
  <c r="O2104" i="7"/>
  <c r="O2112" i="7"/>
  <c r="O2111" i="7"/>
  <c r="O2109" i="7"/>
  <c r="O2107" i="7"/>
  <c r="O2108" i="7"/>
  <c r="O2110" i="7"/>
  <c r="O2115" i="7"/>
  <c r="O2114" i="7"/>
  <c r="O2113" i="7"/>
  <c r="O2120" i="7"/>
  <c r="O2119" i="7"/>
  <c r="O2118" i="7"/>
  <c r="O2116" i="7"/>
  <c r="O2117" i="7"/>
  <c r="O2123" i="7"/>
  <c r="O2122" i="7"/>
  <c r="O2124" i="7"/>
  <c r="O2121" i="7"/>
  <c r="O2127" i="7"/>
  <c r="O2126" i="7"/>
  <c r="O2125" i="7"/>
  <c r="O2131" i="7"/>
  <c r="O2130" i="7"/>
  <c r="O2129" i="7"/>
  <c r="O2128" i="7"/>
  <c r="O2136" i="7"/>
  <c r="O2133" i="7"/>
  <c r="O2134" i="7"/>
  <c r="O2135" i="7"/>
  <c r="O2137" i="7"/>
  <c r="O2132" i="7"/>
  <c r="O2139" i="7"/>
  <c r="O2138" i="7"/>
  <c r="O2144" i="7"/>
  <c r="O2145" i="7"/>
  <c r="O2146" i="7"/>
  <c r="O2142" i="7"/>
  <c r="O2140" i="7"/>
  <c r="O2143" i="7"/>
  <c r="O2141" i="7"/>
  <c r="O2147" i="7"/>
  <c r="O2148" i="7"/>
  <c r="O2149" i="7"/>
  <c r="O2152" i="7"/>
  <c r="O2150" i="7"/>
  <c r="O2151" i="7"/>
  <c r="O2156" i="7"/>
  <c r="O2157" i="7"/>
  <c r="O2155" i="7"/>
  <c r="O2153" i="7"/>
  <c r="O2154" i="7"/>
  <c r="O2158" i="7"/>
  <c r="O2161" i="7"/>
  <c r="O2162" i="7"/>
  <c r="O2160" i="7"/>
  <c r="O2159" i="7"/>
  <c r="O2163" i="7"/>
  <c r="O2166" i="7"/>
  <c r="O2164" i="7"/>
  <c r="O2165" i="7"/>
  <c r="O2167" i="7"/>
  <c r="O2171" i="7"/>
  <c r="O2169" i="7"/>
  <c r="O2172" i="7"/>
  <c r="O2168" i="7"/>
  <c r="O2170" i="7"/>
  <c r="O2173" i="7"/>
  <c r="O2176" i="7"/>
  <c r="O2175" i="7"/>
  <c r="O2177" i="7"/>
  <c r="O2174" i="7"/>
  <c r="O2178" i="7"/>
  <c r="O2181" i="7"/>
  <c r="O2183" i="7"/>
  <c r="O2179" i="7"/>
  <c r="O2182" i="7"/>
  <c r="O2180" i="7"/>
  <c r="O2184" i="7"/>
  <c r="O2187" i="7"/>
  <c r="O2186" i="7"/>
  <c r="O2185" i="7"/>
  <c r="O2188" i="7"/>
  <c r="O2189" i="7"/>
  <c r="O2190" i="7"/>
  <c r="O2191" i="7"/>
  <c r="O2194" i="7"/>
  <c r="O2193" i="7"/>
  <c r="O2192" i="7"/>
  <c r="O2196" i="7"/>
  <c r="O2195" i="7"/>
  <c r="O2198" i="7"/>
  <c r="O2197" i="7"/>
  <c r="O2200" i="7"/>
  <c r="O2199" i="7"/>
  <c r="O2201" i="7"/>
  <c r="O2205" i="7"/>
  <c r="O2202" i="7"/>
  <c r="O2203" i="7"/>
  <c r="O2204" i="7"/>
  <c r="O2206" i="7"/>
  <c r="O2207" i="7"/>
  <c r="O2208" i="7"/>
  <c r="O2211" i="7"/>
  <c r="O2215" i="7"/>
  <c r="O2209" i="7"/>
  <c r="O2216" i="7"/>
  <c r="O2214" i="7"/>
  <c r="O2210" i="7"/>
  <c r="O2213" i="7"/>
  <c r="O2212" i="7"/>
  <c r="O2217" i="7"/>
  <c r="O2218" i="7"/>
  <c r="O2220" i="7"/>
  <c r="O2219" i="7"/>
  <c r="O2223" i="7"/>
  <c r="O2222" i="7"/>
  <c r="O2221" i="7"/>
  <c r="O2224" i="7"/>
  <c r="O2229" i="7"/>
  <c r="O2227" i="7"/>
  <c r="O2228" i="7"/>
  <c r="O2226" i="7"/>
  <c r="O2225" i="7"/>
  <c r="O2231" i="7"/>
  <c r="O2232" i="7"/>
  <c r="O2230" i="7"/>
  <c r="O2234" i="7"/>
  <c r="O2233" i="7"/>
  <c r="O2235" i="7"/>
  <c r="O2236" i="7"/>
  <c r="O2237" i="7"/>
  <c r="O2239" i="7"/>
  <c r="O2238" i="7"/>
  <c r="O2242" i="7"/>
  <c r="O2244" i="7"/>
  <c r="O2241" i="7"/>
  <c r="O2243" i="7"/>
  <c r="O2240" i="7"/>
  <c r="O2246" i="7"/>
  <c r="O2245" i="7"/>
  <c r="O2247" i="7"/>
  <c r="O2249" i="7"/>
  <c r="O2250" i="7"/>
  <c r="O2248" i="7"/>
  <c r="O2251" i="7"/>
  <c r="O2253" i="7"/>
  <c r="O2252" i="7"/>
  <c r="O2256" i="7"/>
  <c r="O2255" i="7"/>
  <c r="O2254" i="7"/>
  <c r="O2265" i="7"/>
  <c r="O2264" i="7"/>
  <c r="O2261" i="7"/>
  <c r="O2263" i="7"/>
  <c r="O2257" i="7"/>
  <c r="O2260" i="7"/>
  <c r="O2262" i="7"/>
  <c r="O2258" i="7"/>
  <c r="O2259" i="7"/>
  <c r="O2270" i="7"/>
  <c r="O2269" i="7"/>
  <c r="O2275" i="7"/>
  <c r="O2276" i="7"/>
  <c r="O2268" i="7"/>
  <c r="O2274" i="7"/>
  <c r="O2273" i="7"/>
  <c r="O2271" i="7"/>
  <c r="O2267" i="7"/>
  <c r="O2272" i="7"/>
  <c r="O2266" i="7"/>
  <c r="O2278" i="7"/>
  <c r="O2277" i="7"/>
  <c r="O2280" i="7"/>
  <c r="O2279" i="7"/>
  <c r="O2282" i="7"/>
  <c r="O2281" i="7"/>
  <c r="O2285" i="7"/>
  <c r="O2286" i="7"/>
  <c r="O2283" i="7"/>
  <c r="O2284" i="7"/>
  <c r="O2287" i="7"/>
  <c r="O2289" i="7"/>
  <c r="O2288" i="7"/>
  <c r="O2295" i="7"/>
  <c r="O2292" i="7"/>
  <c r="O2293" i="7"/>
  <c r="O2294" i="7"/>
  <c r="O2290" i="7"/>
  <c r="O2291" i="7"/>
  <c r="O2296" i="7"/>
  <c r="O2298" i="7"/>
  <c r="O2297" i="7"/>
  <c r="O2301" i="7"/>
  <c r="O2302" i="7"/>
  <c r="O2299" i="7"/>
  <c r="O2300" i="7"/>
  <c r="O2303" i="7"/>
  <c r="O2304" i="7"/>
  <c r="O2306" i="7"/>
  <c r="O2305" i="7"/>
  <c r="O2307" i="7"/>
  <c r="O2308" i="7"/>
  <c r="O2315" i="7"/>
  <c r="O2316" i="7"/>
  <c r="O2312" i="7"/>
  <c r="O2309" i="7"/>
  <c r="O2314" i="7"/>
  <c r="O2311" i="7"/>
  <c r="O2310" i="7"/>
  <c r="O2313" i="7"/>
  <c r="O2321" i="7"/>
  <c r="O2317" i="7"/>
  <c r="O2320" i="7"/>
  <c r="O2319" i="7"/>
  <c r="O2318" i="7"/>
  <c r="O2322" i="7"/>
  <c r="O2326" i="7"/>
  <c r="O2324" i="7"/>
  <c r="O2323" i="7"/>
  <c r="O2325" i="7"/>
  <c r="O2327" i="7"/>
  <c r="O2329" i="7"/>
  <c r="O2328" i="7"/>
  <c r="O2330" i="7"/>
  <c r="O2331" i="7"/>
  <c r="O2335" i="7"/>
  <c r="O2333" i="7"/>
  <c r="O2334" i="7"/>
  <c r="O2332" i="7"/>
  <c r="O2336" i="7"/>
  <c r="O2337" i="7"/>
  <c r="O2339" i="7"/>
  <c r="O2338" i="7"/>
  <c r="O2340" i="7"/>
  <c r="O2341" i="7"/>
  <c r="O2343" i="7"/>
  <c r="O2342" i="7"/>
  <c r="O2344" i="7"/>
  <c r="O2347" i="7"/>
  <c r="O2348" i="7"/>
  <c r="O2345" i="7"/>
  <c r="O2346" i="7"/>
  <c r="O2349" i="7"/>
  <c r="O2353" i="7"/>
  <c r="O2350" i="7"/>
  <c r="O2352" i="7"/>
  <c r="O2351" i="7"/>
  <c r="O2355" i="7"/>
  <c r="O2358" i="7"/>
  <c r="O2354" i="7"/>
  <c r="O2356" i="7"/>
  <c r="O2357" i="7"/>
  <c r="O2364" i="7"/>
  <c r="O2361" i="7"/>
  <c r="O2363" i="7"/>
  <c r="O2360" i="7"/>
  <c r="O2359" i="7"/>
  <c r="O2362" i="7"/>
  <c r="O2367" i="7"/>
  <c r="O2365" i="7"/>
  <c r="O2366" i="7"/>
  <c r="O2369" i="7"/>
  <c r="O2368" i="7"/>
  <c r="O2370" i="7"/>
  <c r="O2371" i="7"/>
  <c r="O2374" i="7"/>
  <c r="O2376" i="7"/>
  <c r="O2379" i="7"/>
  <c r="O2378" i="7"/>
  <c r="O2377" i="7"/>
  <c r="O2373" i="7"/>
  <c r="O2372" i="7"/>
  <c r="O2375" i="7"/>
  <c r="O2380" i="7"/>
  <c r="O2381" i="7"/>
  <c r="O2382" i="7"/>
  <c r="O2383" i="7"/>
  <c r="O2390" i="7"/>
  <c r="O2388" i="7"/>
  <c r="O2384" i="7"/>
  <c r="O2389" i="7"/>
  <c r="O2386" i="7"/>
  <c r="O2385" i="7"/>
  <c r="O2387" i="7"/>
  <c r="O2393" i="7"/>
  <c r="O2391" i="7"/>
  <c r="O2394" i="7"/>
  <c r="O2392" i="7"/>
  <c r="O2396" i="7"/>
  <c r="O2395" i="7"/>
  <c r="O2399" i="7"/>
  <c r="O2398" i="7"/>
  <c r="O2400" i="7"/>
  <c r="O2401" i="7"/>
  <c r="O2397" i="7"/>
  <c r="O2404" i="7"/>
  <c r="O2402" i="7"/>
  <c r="O2403" i="7"/>
  <c r="O2408" i="7"/>
  <c r="O2405" i="7"/>
  <c r="O2407" i="7"/>
  <c r="O2406" i="7"/>
  <c r="O2412" i="7"/>
  <c r="O2410" i="7"/>
  <c r="O2409" i="7"/>
  <c r="O2411" i="7"/>
  <c r="O2416" i="7"/>
  <c r="O2414" i="7"/>
  <c r="O2415" i="7"/>
  <c r="O2413" i="7"/>
  <c r="O2418" i="7"/>
  <c r="O2420" i="7"/>
  <c r="O2419" i="7"/>
  <c r="O2417" i="7"/>
  <c r="O2421" i="7"/>
  <c r="O2424" i="7"/>
  <c r="O2425" i="7"/>
  <c r="O2422" i="7"/>
  <c r="O2423" i="7"/>
  <c r="O2428" i="7"/>
  <c r="O2431" i="7"/>
  <c r="O2427" i="7"/>
  <c r="O2432" i="7"/>
  <c r="O2430" i="7"/>
  <c r="O2426" i="7"/>
  <c r="O2429" i="7"/>
  <c r="O2433" i="7"/>
  <c r="O2434" i="7"/>
  <c r="O2435" i="7"/>
  <c r="O2436" i="7"/>
  <c r="O2437" i="7"/>
  <c r="O2439" i="7"/>
  <c r="O2438" i="7"/>
  <c r="O2442" i="7"/>
  <c r="O2441" i="7"/>
  <c r="O2440" i="7"/>
  <c r="O2443" i="7"/>
  <c r="O2444" i="7"/>
  <c r="O2446" i="7"/>
  <c r="O2445" i="7"/>
  <c r="O2448" i="7"/>
  <c r="O2449" i="7"/>
  <c r="O2447" i="7"/>
  <c r="O2451" i="7"/>
  <c r="O2452" i="7"/>
  <c r="O2450" i="7"/>
  <c r="O2457" i="7"/>
  <c r="O2462" i="7"/>
  <c r="O2461" i="7"/>
  <c r="O2458" i="7"/>
  <c r="O2455" i="7"/>
  <c r="O2460" i="7"/>
  <c r="O2459" i="7"/>
  <c r="O2453" i="7"/>
  <c r="O2454" i="7"/>
  <c r="O2456" i="7"/>
  <c r="O2463" i="7"/>
  <c r="O2464" i="7"/>
  <c r="O2467" i="7"/>
  <c r="O2466" i="7"/>
  <c r="O2465" i="7"/>
  <c r="O2468" i="7"/>
  <c r="O2469" i="7"/>
  <c r="O2470" i="7"/>
  <c r="O2471" i="7"/>
  <c r="O2472" i="7"/>
  <c r="O2474" i="7"/>
  <c r="O2483" i="7"/>
  <c r="O2477" i="7"/>
  <c r="O2478" i="7"/>
  <c r="O2475" i="7"/>
  <c r="O2476" i="7"/>
  <c r="O2480" i="7"/>
  <c r="O2479" i="7"/>
  <c r="O2481" i="7"/>
  <c r="O2482" i="7"/>
  <c r="O2473" i="7"/>
  <c r="O2485" i="7"/>
  <c r="O2486" i="7"/>
  <c r="O2484" i="7"/>
  <c r="O2490" i="7"/>
  <c r="O2488" i="7"/>
  <c r="O2492" i="7"/>
  <c r="O2491" i="7"/>
  <c r="O2489" i="7"/>
  <c r="O2487" i="7"/>
  <c r="O2497" i="7"/>
  <c r="O2498" i="7"/>
  <c r="O2499" i="7"/>
  <c r="O2494" i="7"/>
  <c r="O2493" i="7"/>
  <c r="O2495" i="7"/>
  <c r="O2496" i="7"/>
  <c r="O2502" i="7"/>
  <c r="O2501" i="7"/>
  <c r="O2503" i="7"/>
  <c r="O2500" i="7"/>
  <c r="O2506" i="7"/>
  <c r="O2507" i="7"/>
  <c r="O2508" i="7"/>
  <c r="O2505" i="7"/>
  <c r="O2504" i="7"/>
  <c r="O2510" i="7"/>
  <c r="O2513" i="7"/>
  <c r="O2512" i="7"/>
  <c r="O2509" i="7"/>
  <c r="O2511" i="7"/>
  <c r="O2515" i="7"/>
  <c r="O2514" i="7"/>
  <c r="O2516" i="7"/>
  <c r="O2517" i="7"/>
  <c r="O2519" i="7"/>
  <c r="O2518" i="7"/>
  <c r="O2523" i="7"/>
  <c r="O2522" i="7"/>
  <c r="O2521" i="7"/>
  <c r="O2520" i="7"/>
  <c r="O2525" i="7"/>
  <c r="O2524" i="7"/>
  <c r="O2526" i="7"/>
  <c r="O2531" i="7"/>
  <c r="O2530" i="7"/>
  <c r="O2532" i="7"/>
  <c r="O2534" i="7"/>
  <c r="O2533" i="7"/>
  <c r="O2527" i="7"/>
  <c r="O2535" i="7"/>
  <c r="O2529" i="7"/>
  <c r="O2528" i="7"/>
  <c r="O2540" i="7"/>
  <c r="O2536" i="7"/>
  <c r="O2539" i="7"/>
  <c r="O2538" i="7"/>
  <c r="O2537" i="7"/>
  <c r="O2541" i="7"/>
  <c r="O2544" i="7"/>
  <c r="O2546" i="7"/>
  <c r="O2547" i="7"/>
  <c r="O2543" i="7"/>
  <c r="O2542" i="7"/>
  <c r="O2545" i="7"/>
  <c r="O2548" i="7"/>
  <c r="O2549" i="7"/>
  <c r="O2550" i="7"/>
  <c r="O2551" i="7"/>
  <c r="O2552" i="7"/>
  <c r="O2555" i="7"/>
  <c r="O2554" i="7"/>
  <c r="O2553" i="7"/>
  <c r="O2557" i="7"/>
  <c r="O2556" i="7"/>
  <c r="O2558" i="7"/>
  <c r="O2560" i="7"/>
  <c r="O2559" i="7"/>
  <c r="O2561" i="7"/>
  <c r="O2563" i="7"/>
  <c r="O2564" i="7"/>
  <c r="O2562" i="7"/>
  <c r="O2568" i="7"/>
  <c r="O2566" i="7"/>
  <c r="O2569" i="7"/>
  <c r="O2565" i="7"/>
  <c r="O2567" i="7"/>
  <c r="O2571" i="7"/>
  <c r="O2570" i="7"/>
  <c r="O2572" i="7"/>
  <c r="O2573" i="7"/>
  <c r="O2574" i="7"/>
  <c r="O2575" i="7"/>
  <c r="O2577" i="7"/>
  <c r="O2579" i="7"/>
  <c r="O2580" i="7"/>
  <c r="O2578" i="7"/>
  <c r="O2576" i="7"/>
  <c r="O2582" i="7"/>
  <c r="O2581" i="7"/>
  <c r="O2583" i="7"/>
  <c r="O2584" i="7"/>
  <c r="O2585" i="7"/>
  <c r="O2586" i="7"/>
  <c r="O2588" i="7"/>
  <c r="O2587" i="7"/>
  <c r="O2593" i="7"/>
  <c r="O2591" i="7"/>
  <c r="O2589" i="7"/>
  <c r="O2592" i="7"/>
  <c r="O2590" i="7"/>
  <c r="O2594" i="7"/>
  <c r="O2597" i="7"/>
  <c r="O2595" i="7"/>
  <c r="O2596" i="7"/>
  <c r="O2599" i="7"/>
  <c r="O2600" i="7"/>
  <c r="O2598" i="7"/>
  <c r="O2601" i="7"/>
  <c r="O2604" i="7"/>
  <c r="O2602" i="7"/>
  <c r="O2603" i="7"/>
  <c r="O2605" i="7"/>
  <c r="O2607" i="7"/>
  <c r="O2608" i="7"/>
  <c r="O2606" i="7"/>
  <c r="O2609" i="7"/>
  <c r="O2610" i="7"/>
  <c r="O2611" i="7"/>
  <c r="O2612" i="7"/>
  <c r="O2614" i="7"/>
  <c r="O2613" i="7"/>
  <c r="O2615" i="7"/>
  <c r="O2616" i="7"/>
  <c r="O2617" i="7"/>
  <c r="O2618" i="7"/>
  <c r="O2619" i="7"/>
  <c r="O2620" i="7"/>
  <c r="O2621" i="7"/>
  <c r="O2623" i="7"/>
  <c r="O2622" i="7"/>
  <c r="O2625" i="7"/>
  <c r="O2626" i="7"/>
  <c r="O2627" i="7"/>
  <c r="O2624" i="7"/>
  <c r="O2628" i="7"/>
  <c r="O2629" i="7"/>
  <c r="O2630" i="7"/>
  <c r="O2631" i="7"/>
  <c r="O2632" i="7"/>
  <c r="O2633" i="7"/>
  <c r="O2634" i="7"/>
  <c r="O2635" i="7"/>
  <c r="O2637" i="7"/>
  <c r="O2638" i="7"/>
  <c r="O2636" i="7"/>
  <c r="O2639" i="7"/>
  <c r="O2641" i="7"/>
  <c r="O2642" i="7"/>
  <c r="O2640" i="7"/>
  <c r="O2643" i="7"/>
  <c r="O2644" i="7"/>
  <c r="O2645" i="7"/>
  <c r="O2646" i="7"/>
  <c r="O2647" i="7"/>
  <c r="O2648" i="7"/>
  <c r="O2649" i="7"/>
  <c r="M1" i="7"/>
  <c r="R1" i="7"/>
  <c r="Q1" i="7"/>
  <c r="P1" i="7"/>
  <c r="N1" i="7"/>
  <c r="D127" i="7"/>
  <c r="D124" i="7"/>
  <c r="D122" i="7"/>
  <c r="D133" i="7"/>
  <c r="D153" i="7"/>
  <c r="D160" i="7"/>
  <c r="D164" i="7"/>
  <c r="D165" i="7"/>
  <c r="D169" i="7"/>
  <c r="D180" i="7"/>
  <c r="D183" i="7"/>
  <c r="D193" i="7"/>
  <c r="D209" i="7"/>
  <c r="D211" i="7"/>
  <c r="D212" i="7"/>
  <c r="D215" i="7"/>
  <c r="D237" i="7"/>
  <c r="D257" i="7"/>
  <c r="D260" i="7"/>
  <c r="D270" i="7"/>
  <c r="D271" i="7"/>
  <c r="D276" i="7"/>
  <c r="D305" i="7"/>
  <c r="D316" i="7"/>
  <c r="D318" i="7"/>
  <c r="D320" i="7"/>
  <c r="D321" i="7"/>
  <c r="D369" i="7"/>
  <c r="D383" i="7"/>
  <c r="D427" i="7"/>
  <c r="D429" i="7"/>
  <c r="D440" i="7"/>
  <c r="D449" i="7"/>
  <c r="D455" i="7"/>
  <c r="D460" i="7"/>
  <c r="D461" i="7"/>
  <c r="D466" i="7"/>
  <c r="D467" i="7"/>
  <c r="D480" i="7"/>
  <c r="D483" i="7"/>
  <c r="D489" i="7"/>
  <c r="D493" i="7"/>
  <c r="D499" i="7"/>
  <c r="D506" i="7"/>
  <c r="D515" i="7"/>
  <c r="D519" i="7"/>
  <c r="D525" i="7"/>
  <c r="D532" i="7"/>
  <c r="D535" i="7"/>
  <c r="D560" i="7"/>
  <c r="D582" i="7"/>
  <c r="D591" i="7"/>
  <c r="D600" i="7"/>
  <c r="D615" i="7"/>
  <c r="D621" i="7"/>
  <c r="D627" i="7"/>
  <c r="D628" i="7"/>
  <c r="D644" i="7"/>
  <c r="D655" i="7"/>
  <c r="D666" i="7"/>
  <c r="D668" i="7"/>
  <c r="D691" i="7"/>
  <c r="D703" i="7"/>
  <c r="D756" i="7"/>
  <c r="D766" i="7"/>
  <c r="D784" i="7"/>
  <c r="D791" i="7"/>
  <c r="D794" i="7"/>
  <c r="D801" i="7"/>
  <c r="D812" i="7"/>
  <c r="D827" i="7"/>
  <c r="D832" i="7"/>
  <c r="D831" i="7"/>
  <c r="D840" i="7"/>
  <c r="D845" i="7"/>
  <c r="D851" i="7"/>
  <c r="D848" i="7"/>
  <c r="D874" i="7"/>
  <c r="D882" i="7"/>
  <c r="D885" i="7"/>
  <c r="D894" i="7"/>
  <c r="D899" i="7"/>
  <c r="D926" i="7"/>
  <c r="D930" i="7"/>
  <c r="D957" i="7"/>
  <c r="D980" i="7"/>
  <c r="D993" i="7"/>
  <c r="D991" i="7"/>
  <c r="D1009" i="7"/>
  <c r="D1014" i="7"/>
  <c r="D1015" i="7"/>
  <c r="D1018" i="7"/>
  <c r="D1026" i="7"/>
  <c r="D1040" i="7"/>
  <c r="D1043" i="7"/>
  <c r="D1056" i="7"/>
  <c r="D1065" i="7"/>
  <c r="D1069" i="7"/>
  <c r="D1073" i="7"/>
  <c r="D1076" i="7"/>
  <c r="D1091" i="7"/>
  <c r="D1093" i="7"/>
  <c r="D1094" i="7"/>
  <c r="D1110" i="7"/>
  <c r="D1120" i="7"/>
  <c r="D1127" i="7"/>
  <c r="D1129" i="7"/>
  <c r="D1131" i="7"/>
  <c r="D1158" i="7"/>
  <c r="D1163" i="7"/>
  <c r="D1170" i="7"/>
  <c r="D1185" i="7"/>
  <c r="D1194" i="7"/>
  <c r="D1195" i="7"/>
  <c r="D1199" i="7"/>
  <c r="D1220" i="7"/>
  <c r="D1228" i="7"/>
  <c r="D1239" i="7"/>
  <c r="D1253" i="7"/>
  <c r="D1265" i="7"/>
  <c r="D1282" i="7"/>
  <c r="D1280" i="7"/>
  <c r="D1297" i="7"/>
  <c r="D1308" i="7"/>
  <c r="D1311" i="7"/>
  <c r="D1310" i="7"/>
  <c r="D1319" i="7"/>
  <c r="D1327" i="7"/>
  <c r="D1333" i="7"/>
  <c r="D1335" i="7"/>
  <c r="D1339" i="7"/>
  <c r="D1341" i="7"/>
  <c r="D1352" i="7"/>
  <c r="D1353" i="7"/>
  <c r="D1367" i="7"/>
  <c r="D1370" i="7"/>
  <c r="D1372" i="7"/>
  <c r="D1369" i="7"/>
  <c r="D1379" i="7"/>
  <c r="D1383" i="7"/>
  <c r="D1386" i="7"/>
  <c r="D1394" i="7"/>
  <c r="D1399" i="7"/>
  <c r="D1415" i="7"/>
  <c r="D1420" i="7"/>
  <c r="D1444" i="7"/>
  <c r="D1442" i="7"/>
  <c r="D1446" i="7"/>
  <c r="D1445" i="7"/>
  <c r="D1452" i="7"/>
  <c r="D1460" i="7"/>
  <c r="D1461" i="7"/>
  <c r="D1466" i="7"/>
  <c r="D1468" i="7"/>
  <c r="D1477" i="7"/>
  <c r="D1483" i="7"/>
  <c r="D1494" i="7"/>
  <c r="D1503" i="7"/>
  <c r="D1524" i="7"/>
  <c r="D1530" i="7"/>
  <c r="D1529" i="7"/>
  <c r="D1538" i="7"/>
  <c r="D1539" i="7"/>
  <c r="D1545" i="7"/>
  <c r="D1546" i="7"/>
  <c r="D1547" i="7"/>
  <c r="D1567" i="7"/>
  <c r="D1576" i="7"/>
  <c r="D1578" i="7"/>
  <c r="D1598" i="7"/>
  <c r="D1595" i="7"/>
  <c r="D1600" i="7"/>
  <c r="D1603" i="7"/>
  <c r="D1608" i="7"/>
  <c r="D1613" i="7"/>
  <c r="D1614" i="7"/>
  <c r="D1627" i="7"/>
  <c r="D1636" i="7"/>
  <c r="D1641" i="7"/>
  <c r="D1644" i="7"/>
  <c r="D1656" i="7"/>
  <c r="D1680" i="7"/>
  <c r="D1687" i="7"/>
  <c r="D1694" i="7"/>
  <c r="D1696" i="7"/>
  <c r="D1709" i="7"/>
  <c r="D1713" i="7"/>
  <c r="D1714" i="7"/>
  <c r="D1717" i="7"/>
  <c r="D1723" i="7"/>
  <c r="D1736" i="7"/>
  <c r="D1735" i="7"/>
  <c r="D1737" i="7"/>
  <c r="D1744" i="7"/>
  <c r="D1759" i="7"/>
  <c r="D1762" i="7"/>
  <c r="D1765" i="7"/>
  <c r="D1775" i="7"/>
  <c r="D1779" i="7"/>
  <c r="D1784" i="7"/>
  <c r="D1791" i="7"/>
  <c r="D1793" i="7"/>
  <c r="D1797" i="7"/>
  <c r="D1802" i="7"/>
  <c r="D1811" i="7"/>
  <c r="D1823" i="7"/>
  <c r="D1822" i="7"/>
  <c r="D1833" i="7"/>
  <c r="D1841" i="7"/>
  <c r="D1845" i="7"/>
  <c r="D1847" i="7"/>
  <c r="D1846" i="7"/>
  <c r="D1852" i="7"/>
  <c r="D1861" i="7"/>
  <c r="D1865" i="7"/>
  <c r="D1867" i="7"/>
  <c r="D1869" i="7"/>
  <c r="D1887" i="7"/>
  <c r="D1889" i="7"/>
  <c r="D1895" i="7"/>
  <c r="D1901" i="7"/>
  <c r="D1905" i="7"/>
  <c r="D1908" i="7"/>
  <c r="D1917" i="7"/>
  <c r="D1929" i="7"/>
  <c r="D1931" i="7"/>
  <c r="D1937" i="7"/>
  <c r="D1942" i="7"/>
  <c r="D1945" i="7"/>
  <c r="D1949" i="7"/>
  <c r="D1950" i="7"/>
  <c r="D1962" i="7"/>
  <c r="D1959" i="7"/>
  <c r="D1958" i="7"/>
  <c r="D1966" i="7"/>
  <c r="D1972" i="7"/>
  <c r="D1994" i="7"/>
  <c r="D2000" i="7"/>
  <c r="D1999" i="7"/>
  <c r="D1996" i="7"/>
  <c r="D2008" i="7"/>
  <c r="D2015" i="7"/>
  <c r="D2021" i="7"/>
  <c r="D2024" i="7"/>
  <c r="D2030" i="7"/>
  <c r="D2037" i="7"/>
  <c r="D2036" i="7"/>
  <c r="D2040" i="7"/>
  <c r="D2043" i="7"/>
  <c r="D2048" i="7"/>
  <c r="D2063" i="7"/>
  <c r="D2064" i="7"/>
  <c r="D2075" i="7"/>
  <c r="D2074" i="7"/>
  <c r="D2082" i="7"/>
  <c r="D2090" i="7"/>
  <c r="D2088" i="7"/>
  <c r="D2094" i="7"/>
  <c r="D2098" i="7"/>
  <c r="D2136" i="7"/>
  <c r="D2139" i="7"/>
  <c r="D2147" i="7"/>
  <c r="D2148" i="7"/>
  <c r="D2150" i="7"/>
  <c r="D2151" i="7"/>
  <c r="D2155" i="7"/>
  <c r="D2163" i="7"/>
  <c r="D2164" i="7"/>
  <c r="D2167" i="7"/>
  <c r="D2171" i="7"/>
  <c r="D2173" i="7"/>
  <c r="D2175" i="7"/>
  <c r="D2188" i="7"/>
  <c r="D2191" i="7"/>
  <c r="D2206" i="7"/>
  <c r="D2211" i="7"/>
  <c r="D2209" i="7"/>
  <c r="D2216" i="7"/>
  <c r="D2217" i="7"/>
  <c r="D2229" i="7"/>
  <c r="D2227" i="7"/>
  <c r="D2234" i="7"/>
  <c r="D2242" i="7"/>
  <c r="D2249" i="7"/>
  <c r="D2251" i="7"/>
  <c r="D2261" i="7"/>
  <c r="D2257" i="7"/>
  <c r="D2270" i="7"/>
  <c r="D2268" i="7"/>
  <c r="D2274" i="7"/>
  <c r="D2273" i="7"/>
  <c r="D2271" i="7"/>
  <c r="D2267" i="7"/>
  <c r="D2269" i="7"/>
  <c r="D2286" i="7"/>
  <c r="D2285" i="7"/>
  <c r="D2283" i="7"/>
  <c r="D2287" i="7"/>
  <c r="D2289" i="7"/>
  <c r="D2288" i="7"/>
  <c r="D2292" i="7"/>
  <c r="D2297" i="7"/>
  <c r="D2303" i="7"/>
  <c r="D2312" i="7"/>
  <c r="D2309" i="7"/>
  <c r="D2317" i="7"/>
  <c r="D2327" i="7"/>
  <c r="D2330" i="7"/>
  <c r="D2331" i="7"/>
  <c r="D2333" i="7"/>
  <c r="D2337" i="7"/>
  <c r="D2339" i="7"/>
  <c r="D2341" i="7"/>
  <c r="D2347" i="7"/>
  <c r="D2345" i="7"/>
  <c r="D2355" i="7"/>
  <c r="D2354" i="7"/>
  <c r="D2365" i="7"/>
  <c r="D2379" i="7"/>
  <c r="D2384" i="7"/>
  <c r="D2393" i="7"/>
  <c r="D2391" i="7"/>
  <c r="D2396" i="7"/>
  <c r="D2395" i="7"/>
  <c r="D2399" i="7"/>
  <c r="D2402" i="7"/>
  <c r="D2418" i="7"/>
  <c r="D2420" i="7"/>
  <c r="D2419" i="7"/>
  <c r="D2424" i="7"/>
  <c r="D2425" i="7"/>
  <c r="D2433" i="7"/>
  <c r="D2434" i="7"/>
  <c r="D2435" i="7"/>
  <c r="D2439" i="7"/>
  <c r="D2438" i="7"/>
  <c r="D2442" i="7"/>
  <c r="D2441" i="7"/>
  <c r="D2440" i="7"/>
  <c r="D2443" i="7"/>
  <c r="D2444" i="7"/>
  <c r="D2449" i="7"/>
  <c r="D2463" i="7"/>
  <c r="D2466" i="7"/>
  <c r="D2469" i="7"/>
  <c r="D2470" i="7"/>
  <c r="D2471" i="7"/>
  <c r="D2474" i="7"/>
  <c r="D2475" i="7"/>
  <c r="D2490" i="7"/>
  <c r="D2488" i="7"/>
  <c r="D2497" i="7"/>
  <c r="D2498" i="7"/>
  <c r="D2499" i="7"/>
  <c r="D2494" i="7"/>
  <c r="D2501" i="7"/>
  <c r="D2502" i="7"/>
  <c r="D2513" i="7"/>
  <c r="D2512" i="7"/>
  <c r="D2509" i="7"/>
  <c r="D2510" i="7"/>
  <c r="D2516" i="7"/>
  <c r="D2517" i="7"/>
  <c r="D2522" i="7"/>
  <c r="D2521" i="7"/>
  <c r="D2524" i="7"/>
  <c r="D2536" i="7"/>
  <c r="D2539" i="7"/>
  <c r="D2540" i="7"/>
  <c r="D2538" i="7"/>
  <c r="D2541" i="7"/>
  <c r="D2547" i="7"/>
  <c r="D2543" i="7"/>
  <c r="D2544" i="7"/>
  <c r="D2546" i="7"/>
  <c r="D2555" i="7"/>
  <c r="D2553" i="7"/>
  <c r="D2558" i="7"/>
  <c r="D2564" i="7"/>
  <c r="D2563" i="7"/>
  <c r="D2565" i="7"/>
  <c r="D2572" i="7"/>
  <c r="D2573" i="7"/>
  <c r="D2577" i="7"/>
  <c r="D2579" i="7"/>
  <c r="D2580" i="7"/>
  <c r="D2578" i="7"/>
  <c r="D2576" i="7"/>
  <c r="D2582" i="7"/>
  <c r="D2586" i="7"/>
  <c r="D2588" i="7"/>
  <c r="D2589" i="7"/>
  <c r="D2594" i="7"/>
  <c r="D2597" i="7"/>
  <c r="D2599" i="7"/>
  <c r="D2600" i="7"/>
  <c r="D2598" i="7"/>
  <c r="D2601" i="7"/>
  <c r="D2605" i="7"/>
  <c r="D2607" i="7"/>
  <c r="D2619" i="7"/>
  <c r="D2621" i="7"/>
  <c r="D2643" i="7"/>
  <c r="X1" i="35" l="1"/>
  <c r="Y1" i="35"/>
  <c r="Z1" i="35" s="1"/>
  <c r="V1" i="45"/>
  <c r="N339" i="41"/>
  <c r="K451" i="41" l="1"/>
  <c r="K12" i="41"/>
  <c r="K441" i="41"/>
  <c r="K33" i="41"/>
  <c r="K126" i="41"/>
  <c r="K113" i="41"/>
  <c r="K62" i="41"/>
  <c r="K185" i="41"/>
  <c r="K150" i="41"/>
  <c r="K70" i="41"/>
  <c r="K45" i="41"/>
  <c r="K75" i="41"/>
  <c r="K202" i="41"/>
  <c r="K29" i="41"/>
  <c r="K261" i="41"/>
  <c r="K210" i="41"/>
  <c r="K406" i="41"/>
  <c r="K206" i="41"/>
  <c r="K214" i="41"/>
  <c r="K170" i="41"/>
  <c r="K17" i="41"/>
  <c r="K244" i="41"/>
  <c r="K194" i="41"/>
  <c r="K354" i="41"/>
  <c r="K48" i="41"/>
  <c r="K164" i="41"/>
  <c r="K455" i="41"/>
  <c r="K28" i="41"/>
  <c r="K77" i="41"/>
  <c r="K367" i="41"/>
  <c r="K421" i="41"/>
  <c r="K445" i="41"/>
  <c r="K420" i="41"/>
  <c r="K26" i="41"/>
  <c r="K72" i="41"/>
  <c r="K16" i="41"/>
  <c r="K37" i="41"/>
  <c r="K471" i="41"/>
  <c r="K415" i="41"/>
  <c r="K87" i="41"/>
  <c r="K254" i="41"/>
  <c r="K230" i="41"/>
  <c r="K341" i="41"/>
  <c r="K90" i="41"/>
  <c r="K808" i="41"/>
  <c r="K10" i="41"/>
  <c r="K405" i="41"/>
  <c r="K396" i="41"/>
  <c r="K190" i="41"/>
  <c r="K299" i="41"/>
  <c r="K153" i="41"/>
  <c r="K307" i="41"/>
  <c r="K41" i="41"/>
  <c r="K231" i="41"/>
  <c r="K199" i="41"/>
  <c r="K42" i="41"/>
  <c r="K177" i="41"/>
  <c r="K330" i="41"/>
  <c r="K5" i="41"/>
  <c r="K468" i="41"/>
  <c r="K53" i="41"/>
  <c r="K108" i="41"/>
  <c r="K182" i="41"/>
  <c r="K311" i="41"/>
  <c r="K260" i="41"/>
  <c r="K38" i="41"/>
  <c r="K140" i="41"/>
  <c r="K326" i="41"/>
  <c r="K18" i="41"/>
  <c r="K27" i="41"/>
  <c r="K291" i="41"/>
  <c r="K208" i="41"/>
  <c r="K76" i="41"/>
  <c r="K269" i="41"/>
  <c r="K417" i="41"/>
  <c r="K414" i="41"/>
  <c r="K223" i="41"/>
  <c r="K24" i="41"/>
  <c r="K117" i="41"/>
  <c r="K66" i="41"/>
  <c r="K97" i="41"/>
  <c r="K183" i="41"/>
  <c r="K162" i="41"/>
  <c r="K106" i="41"/>
  <c r="K259" i="41"/>
  <c r="K281" i="41"/>
  <c r="K50" i="41"/>
  <c r="K349" i="41"/>
  <c r="K73" i="41"/>
  <c r="K346" i="41"/>
  <c r="K418" i="41"/>
  <c r="K248" i="41"/>
  <c r="K377" i="41"/>
  <c r="K295" i="41"/>
  <c r="K114" i="41"/>
  <c r="K333" i="41"/>
  <c r="K192" i="41"/>
  <c r="K409" i="41"/>
  <c r="K43" i="41"/>
  <c r="K157" i="41"/>
  <c r="K213" i="41"/>
  <c r="K228" i="41"/>
  <c r="K389" i="41"/>
  <c r="K237" i="41"/>
  <c r="K296" i="41"/>
  <c r="K143" i="41"/>
  <c r="K229" i="41"/>
  <c r="K308" i="41"/>
  <c r="K439" i="41"/>
  <c r="K345" i="41"/>
  <c r="K240" i="41"/>
  <c r="K135" i="41"/>
  <c r="K118" i="41"/>
  <c r="K239" i="41"/>
  <c r="K67" i="41"/>
  <c r="K152" i="41"/>
  <c r="K155" i="41"/>
  <c r="K130" i="41"/>
  <c r="K115" i="41"/>
  <c r="K356" i="41"/>
  <c r="K335" i="41"/>
  <c r="K467" i="41"/>
  <c r="K359" i="41"/>
  <c r="K172" i="41"/>
  <c r="K250" i="41"/>
  <c r="K258" i="41"/>
  <c r="K390" i="41"/>
  <c r="K280" i="41"/>
  <c r="K317" i="41"/>
  <c r="K176" i="41"/>
  <c r="K191" i="41"/>
  <c r="K107" i="41"/>
  <c r="K364" i="41"/>
  <c r="K293" i="41"/>
  <c r="K343" i="41"/>
  <c r="K319" i="41"/>
  <c r="K816" i="41"/>
  <c r="K180" i="41"/>
  <c r="K271" i="41"/>
  <c r="K425" i="41"/>
  <c r="K412" i="41"/>
  <c r="K302" i="41"/>
  <c r="K324" i="41"/>
  <c r="K52" i="41"/>
  <c r="K318" i="41"/>
  <c r="K310" i="41"/>
  <c r="K372" i="41"/>
  <c r="K80" i="41"/>
  <c r="K383" i="41"/>
  <c r="K225" i="41"/>
  <c r="K81" i="41"/>
  <c r="K385" i="41"/>
  <c r="K393" i="41"/>
  <c r="K181" i="41"/>
  <c r="K337" i="41"/>
  <c r="K196" i="41"/>
  <c r="K116" i="41"/>
  <c r="K459" i="41"/>
  <c r="K257" i="41"/>
  <c r="K322" i="41"/>
  <c r="K814" i="41"/>
  <c r="K329" i="41"/>
  <c r="K422" i="41"/>
  <c r="K227" i="41"/>
  <c r="K128" i="41"/>
  <c r="K91" i="41"/>
  <c r="K386" i="41"/>
  <c r="K382" i="41"/>
  <c r="K401" i="41"/>
  <c r="K139" i="41"/>
  <c r="K154" i="41"/>
  <c r="K454" i="41"/>
  <c r="K100" i="41"/>
  <c r="K35" i="41"/>
  <c r="K127" i="41"/>
  <c r="K427" i="41"/>
  <c r="K220" i="41"/>
  <c r="K294" i="41"/>
  <c r="K460" i="41"/>
  <c r="K399" i="41"/>
  <c r="K469" i="41"/>
  <c r="K95" i="41"/>
  <c r="K7" i="41"/>
  <c r="K251" i="41"/>
  <c r="K369" i="41"/>
  <c r="K370" i="41"/>
  <c r="K133" i="41"/>
  <c r="K457" i="41"/>
  <c r="K89" i="41"/>
  <c r="K323" i="41"/>
  <c r="K388" i="41"/>
  <c r="K351" i="41"/>
  <c r="K448" i="41"/>
  <c r="K119" i="41"/>
  <c r="K375" i="41"/>
  <c r="K398" i="41"/>
  <c r="K68" i="41"/>
  <c r="K423" i="41"/>
  <c r="K402" i="41"/>
  <c r="K102" i="41"/>
  <c r="K411" i="41"/>
  <c r="K111" i="41"/>
  <c r="K449" i="41"/>
  <c r="K387" i="41"/>
  <c r="K264" i="41"/>
  <c r="K297" i="41"/>
  <c r="K288" i="41"/>
  <c r="K290" i="41"/>
  <c r="K233" i="41"/>
  <c r="K189" i="41"/>
  <c r="K93" i="41"/>
  <c r="K314" i="41"/>
  <c r="K92" i="41"/>
  <c r="K200" i="41"/>
  <c r="K352" i="41"/>
  <c r="K813" i="41"/>
  <c r="K168" i="41"/>
  <c r="K267" i="41"/>
  <c r="K94" i="41"/>
  <c r="K218" i="41"/>
  <c r="K242" i="41"/>
  <c r="K96" i="41"/>
  <c r="K238" i="41"/>
  <c r="K158" i="41"/>
  <c r="K262" i="41"/>
  <c r="K275" i="41"/>
  <c r="K282" i="41"/>
  <c r="K179" i="41"/>
  <c r="K453" i="41"/>
  <c r="K105" i="41"/>
  <c r="K144" i="41"/>
  <c r="K193" i="41"/>
  <c r="K11" i="41"/>
  <c r="K71" i="41"/>
  <c r="K137" i="41"/>
  <c r="K173" i="41"/>
  <c r="K188" i="41"/>
  <c r="K265" i="41"/>
  <c r="K350" i="41"/>
  <c r="K342" i="41"/>
  <c r="K85" i="41"/>
  <c r="K283" i="41"/>
  <c r="K379" i="41"/>
  <c r="K49" i="41"/>
  <c r="K46" i="41"/>
  <c r="K332" i="41"/>
  <c r="K321" i="41"/>
  <c r="K300" i="41"/>
  <c r="K131" i="41"/>
  <c r="K336" i="41"/>
  <c r="K195" i="41"/>
  <c r="K236" i="41"/>
  <c r="K452" i="41"/>
  <c r="K6" i="41"/>
  <c r="K235" i="41"/>
  <c r="K36" i="41"/>
  <c r="K132" i="41"/>
  <c r="K203" i="41"/>
  <c r="K163" i="41"/>
  <c r="K252" i="41"/>
  <c r="K306" i="41"/>
  <c r="K156" i="41"/>
  <c r="K353" i="41"/>
  <c r="K212" i="41"/>
  <c r="K325" i="41"/>
  <c r="K141" i="41"/>
  <c r="K201" i="41"/>
  <c r="K263" i="41"/>
  <c r="K211" i="41"/>
  <c r="K407" i="41"/>
  <c r="K169" i="41"/>
  <c r="K391" i="41"/>
  <c r="K355" i="41"/>
  <c r="K178" i="41"/>
  <c r="K410" i="41"/>
  <c r="K392" i="41"/>
  <c r="K219" i="41"/>
  <c r="K165" i="41"/>
  <c r="K334" i="41"/>
  <c r="K245" i="41"/>
  <c r="K125" i="41"/>
  <c r="K83" i="41"/>
  <c r="K51" i="41"/>
  <c r="K426" i="41"/>
  <c r="K277" i="41"/>
  <c r="K69" i="41"/>
  <c r="K430" i="41"/>
  <c r="K215" i="41"/>
  <c r="K416" i="41"/>
  <c r="K197" i="41"/>
  <c r="K437" i="41"/>
  <c r="K362" i="41"/>
  <c r="K327" i="41"/>
  <c r="K256" i="41"/>
  <c r="K222" i="41"/>
  <c r="K74" i="41"/>
  <c r="K99" i="41"/>
  <c r="K224" i="41"/>
  <c r="K292" i="41"/>
  <c r="K397" i="41"/>
  <c r="K413" i="41"/>
  <c r="K221" i="41"/>
  <c r="K380" i="41"/>
  <c r="K61" i="41"/>
  <c r="K278" i="41"/>
  <c r="K136" i="41"/>
  <c r="K103" i="41"/>
  <c r="K276" i="41"/>
  <c r="K124" i="41"/>
  <c r="K246" i="41"/>
  <c r="K464" i="41"/>
  <c r="K47" i="41"/>
  <c r="K86" i="41"/>
  <c r="K249" i="41"/>
  <c r="K270" i="41"/>
  <c r="K147" i="41"/>
  <c r="K138" i="41"/>
  <c r="K88" i="41"/>
  <c r="K44" i="41"/>
  <c r="K434" i="41"/>
  <c r="K374" i="41"/>
  <c r="K348" i="41"/>
  <c r="K63" i="41"/>
  <c r="K298" i="41"/>
  <c r="K328" i="41"/>
  <c r="K112" i="41"/>
  <c r="K400" i="41"/>
  <c r="K104" i="41"/>
  <c r="K301" i="41"/>
  <c r="K207" i="41"/>
  <c r="K368" i="41"/>
  <c r="K15" i="41"/>
  <c r="K186" i="41"/>
  <c r="K440" i="41"/>
  <c r="K429" i="41"/>
  <c r="K110" i="41"/>
  <c r="K205" i="41"/>
  <c r="K286" i="41"/>
  <c r="K419" i="41"/>
  <c r="K465" i="41"/>
  <c r="K436" i="41"/>
  <c r="K408" i="41"/>
  <c r="K431" i="41"/>
  <c r="K812" i="41"/>
  <c r="K809" i="41"/>
  <c r="K458" i="41"/>
  <c r="K39" i="41"/>
  <c r="K404" i="41"/>
  <c r="K65" i="41"/>
  <c r="K470" i="41"/>
  <c r="K339" i="41"/>
  <c r="K473" i="41"/>
  <c r="K474" i="41"/>
  <c r="K475" i="41"/>
  <c r="K666" i="41"/>
  <c r="K476" i="41"/>
  <c r="K549" i="41"/>
  <c r="K4" i="41"/>
  <c r="K13" i="41"/>
  <c r="K266" i="41"/>
  <c r="K504" i="41"/>
  <c r="K541" i="41"/>
  <c r="K313" i="41"/>
  <c r="K56" i="41"/>
  <c r="K479" i="41"/>
  <c r="K480" i="41"/>
  <c r="K361" i="41"/>
  <c r="K338" i="41"/>
  <c r="K357" i="41"/>
  <c r="K84" i="41"/>
  <c r="K606" i="41"/>
  <c r="K775" i="41"/>
  <c r="K483" i="41"/>
  <c r="K484" i="41"/>
  <c r="K485" i="41"/>
  <c r="K198" i="41"/>
  <c r="K486" i="41"/>
  <c r="K487" i="41"/>
  <c r="K273" i="41"/>
  <c r="K226" i="41"/>
  <c r="K523" i="41"/>
  <c r="K489" i="41"/>
  <c r="K284" i="41"/>
  <c r="K670" i="41"/>
  <c r="K491" i="41"/>
  <c r="K22" i="41"/>
  <c r="K60" i="41"/>
  <c r="K581" i="41"/>
  <c r="K493" i="41"/>
  <c r="K494" i="41"/>
  <c r="K743" i="41"/>
  <c r="K715" i="41"/>
  <c r="K502" i="41"/>
  <c r="K498" i="41"/>
  <c r="K499" i="41"/>
  <c r="K658" i="41"/>
  <c r="K394" i="41"/>
  <c r="K501" i="41"/>
  <c r="K101" i="41"/>
  <c r="K528" i="41"/>
  <c r="K358" i="41"/>
  <c r="K503" i="41"/>
  <c r="K730" i="41"/>
  <c r="K82" i="41"/>
  <c r="K505" i="41"/>
  <c r="K25" i="41"/>
  <c r="K506" i="41"/>
  <c r="K598" i="41"/>
  <c r="K145" i="41"/>
  <c r="K560" i="41"/>
  <c r="K509" i="41"/>
  <c r="K742" i="41"/>
  <c r="K279" i="41"/>
  <c r="K511" i="41"/>
  <c r="K512" i="41"/>
  <c r="K513" i="41"/>
  <c r="K272" i="41"/>
  <c r="K19" i="41"/>
  <c r="K305" i="41"/>
  <c r="K166" i="41"/>
  <c r="K514" i="41"/>
  <c r="K515" i="41"/>
  <c r="K516" i="41"/>
  <c r="K797" i="41"/>
  <c r="K120" i="41"/>
  <c r="K518" i="41"/>
  <c r="K817" i="41"/>
  <c r="K519" i="41"/>
  <c r="K344" i="41"/>
  <c r="K520" i="41"/>
  <c r="K521" i="41"/>
  <c r="K522" i="41"/>
  <c r="K129" i="41"/>
  <c r="K576" i="41"/>
  <c r="K524" i="41"/>
  <c r="K525" i="41"/>
  <c r="K526" i="41"/>
  <c r="K697" i="41"/>
  <c r="K268" i="41"/>
  <c r="K716" i="41"/>
  <c r="K461" i="41"/>
  <c r="K566" i="41"/>
  <c r="K23" i="41"/>
  <c r="K706" i="41"/>
  <c r="K531" i="41"/>
  <c r="K488" i="41"/>
  <c r="K424" i="41"/>
  <c r="K466" i="41"/>
  <c r="K582" i="41"/>
  <c r="K371" i="41"/>
  <c r="K534" i="41"/>
  <c r="K535" i="41"/>
  <c r="K536" i="41"/>
  <c r="K537" i="41"/>
  <c r="K707" i="41"/>
  <c r="K64" i="41"/>
  <c r="K204" i="41"/>
  <c r="K539" i="41"/>
  <c r="K209" i="41"/>
  <c r="K540" i="41"/>
  <c r="K142" i="41"/>
  <c r="K685" i="41"/>
  <c r="K542" i="41"/>
  <c r="K543" i="41"/>
  <c r="K544" i="41"/>
  <c r="K247" i="41"/>
  <c r="K57" i="41"/>
  <c r="K403" i="41"/>
  <c r="K545" i="41"/>
  <c r="K546" i="41"/>
  <c r="K547" i="41"/>
  <c r="K548" i="41"/>
  <c r="K496" i="41"/>
  <c r="K550" i="41"/>
  <c r="K551" i="41"/>
  <c r="K587" i="41"/>
  <c r="K553" i="41"/>
  <c r="K554" i="41"/>
  <c r="K555" i="41"/>
  <c r="K556" i="41"/>
  <c r="K557" i="41"/>
  <c r="K472" i="41"/>
  <c r="K558" i="41"/>
  <c r="K559" i="41"/>
  <c r="K781" i="41"/>
  <c r="K721" i="41"/>
  <c r="K562" i="41"/>
  <c r="K563" i="41"/>
  <c r="K564" i="41"/>
  <c r="K232" i="41"/>
  <c r="K815" i="41"/>
  <c r="K565" i="41"/>
  <c r="K607" i="41"/>
  <c r="K376" i="41"/>
  <c r="K567" i="41"/>
  <c r="K149" i="41"/>
  <c r="K532" i="41"/>
  <c r="K360" i="41"/>
  <c r="K699" i="41"/>
  <c r="K570" i="41"/>
  <c r="K571" i="41"/>
  <c r="K572" i="41"/>
  <c r="K573" i="41"/>
  <c r="K433" i="41"/>
  <c r="K574" i="41"/>
  <c r="K530" i="41"/>
  <c r="K668" i="41"/>
  <c r="K577" i="41"/>
  <c r="K578" i="41"/>
  <c r="K533" i="41"/>
  <c r="K529" i="41"/>
  <c r="K735" i="41"/>
  <c r="K690" i="41"/>
  <c r="K583" i="41"/>
  <c r="K395" i="41"/>
  <c r="K175" i="41"/>
  <c r="K174" i="41"/>
  <c r="K584" i="41"/>
  <c r="K438" i="41"/>
  <c r="K373" i="41"/>
  <c r="K21" i="41"/>
  <c r="K585" i="41"/>
  <c r="K586" i="41"/>
  <c r="K708" i="41"/>
  <c r="K588" i="41"/>
  <c r="K312" i="41"/>
  <c r="K589" i="41"/>
  <c r="K590" i="41"/>
  <c r="K31" i="41"/>
  <c r="K591" i="41"/>
  <c r="K762" i="41"/>
  <c r="K161" i="41"/>
  <c r="K593" i="41"/>
  <c r="K538" i="41"/>
  <c r="K595" i="41"/>
  <c r="K596" i="41"/>
  <c r="K597" i="41"/>
  <c r="K654" i="41"/>
  <c r="K599" i="41"/>
  <c r="K655" i="41"/>
  <c r="K601" i="41"/>
  <c r="K602" i="41"/>
  <c r="K603" i="41"/>
  <c r="K579" i="41"/>
  <c r="K811" i="41"/>
  <c r="K605" i="41"/>
  <c r="K753" i="41"/>
  <c r="K495" i="41"/>
  <c r="K32" i="41"/>
  <c r="K608" i="41"/>
  <c r="K609" i="41"/>
  <c r="K610" i="41"/>
  <c r="K611" i="41"/>
  <c r="K98" i="41"/>
  <c r="K612" i="41"/>
  <c r="K446" i="41"/>
  <c r="K613" i="41"/>
  <c r="K614" i="41"/>
  <c r="K615" i="41"/>
  <c r="K184" i="41"/>
  <c r="K616" i="41"/>
  <c r="K617" i="41"/>
  <c r="K618" i="41"/>
  <c r="K619" i="41"/>
  <c r="K620" i="41"/>
  <c r="K621" i="41"/>
  <c r="K761" i="41"/>
  <c r="K623" i="41"/>
  <c r="K624" i="41"/>
  <c r="K253" i="41"/>
  <c r="K625" i="41"/>
  <c r="K626" i="41"/>
  <c r="K627" i="41"/>
  <c r="K316" i="41"/>
  <c r="K628" i="41"/>
  <c r="K9" i="41"/>
  <c r="K629" i="41"/>
  <c r="K630" i="41"/>
  <c r="K631" i="41"/>
  <c r="K3" i="41"/>
  <c r="K632" i="41"/>
  <c r="K633" i="41"/>
  <c r="K634" i="41"/>
  <c r="K320" i="41"/>
  <c r="K592" i="41"/>
  <c r="K381" i="41"/>
  <c r="K636" i="41"/>
  <c r="K637" i="41"/>
  <c r="K109" i="41"/>
  <c r="K638" i="41"/>
  <c r="K639" i="41"/>
  <c r="K698" i="41"/>
  <c r="K641" i="41"/>
  <c r="K121" i="41"/>
  <c r="K642" i="41"/>
  <c r="K643" i="41"/>
  <c r="K123" i="41"/>
  <c r="K442" i="41"/>
  <c r="K644" i="41"/>
  <c r="K645" i="41"/>
  <c r="K739" i="41"/>
  <c r="K671" i="41"/>
  <c r="K648" i="41"/>
  <c r="K234" i="41"/>
  <c r="K649" i="41"/>
  <c r="K58" i="41"/>
  <c r="K650" i="41"/>
  <c r="K432" i="41"/>
  <c r="K463" i="41"/>
  <c r="K651" i="41"/>
  <c r="K552" i="41"/>
  <c r="K647" i="41"/>
  <c r="K159" i="41"/>
  <c r="K151" i="41"/>
  <c r="K569" i="41"/>
  <c r="K507" i="41"/>
  <c r="K561" i="41"/>
  <c r="K657" i="41"/>
  <c r="K646" i="41"/>
  <c r="K659" i="41"/>
  <c r="K673" i="41"/>
  <c r="K243" i="41"/>
  <c r="K478" i="41"/>
  <c r="K662" i="41"/>
  <c r="K660" i="41"/>
  <c r="K664" i="41"/>
  <c r="K665" i="41"/>
  <c r="K701" i="41"/>
  <c r="K14" i="41"/>
  <c r="K347" i="41"/>
  <c r="K667" i="41"/>
  <c r="K741" i="41"/>
  <c r="K274" i="41"/>
  <c r="K669" i="41"/>
  <c r="K497" i="41"/>
  <c r="K693" i="41"/>
  <c r="K672" i="41"/>
  <c r="K287" i="41"/>
  <c r="K517" i="41"/>
  <c r="K674" i="41"/>
  <c r="K675" i="41"/>
  <c r="K676" i="41"/>
  <c r="K677" i="41"/>
  <c r="K456" i="41"/>
  <c r="K678" i="41"/>
  <c r="K679" i="41"/>
  <c r="K680" i="41"/>
  <c r="K681" i="41"/>
  <c r="K682" i="41"/>
  <c r="K683" i="41"/>
  <c r="K684" i="41"/>
  <c r="K722" i="41"/>
  <c r="K217" i="41"/>
  <c r="K686" i="41"/>
  <c r="K687" i="41"/>
  <c r="K600" i="41"/>
  <c r="K695" i="41"/>
  <c r="K366" i="41"/>
  <c r="K720" i="41"/>
  <c r="K241" i="41"/>
  <c r="K122" i="41"/>
  <c r="K691" i="41"/>
  <c r="K692" i="41"/>
  <c r="K148" i="41"/>
  <c r="K54" i="41"/>
  <c r="K661" i="41"/>
  <c r="K477" i="41"/>
  <c r="K447" i="41"/>
  <c r="K696" i="41"/>
  <c r="K652" i="41"/>
  <c r="K481" i="41"/>
  <c r="K726" i="41"/>
  <c r="K700" i="41"/>
  <c r="K580" i="41"/>
  <c r="K702" i="41"/>
  <c r="K703" i="41"/>
  <c r="K704" i="41"/>
  <c r="K160" i="41"/>
  <c r="K705" i="41"/>
  <c r="K622" i="41"/>
  <c r="K810" i="41"/>
  <c r="K689" i="41"/>
  <c r="K709" i="41"/>
  <c r="K710" i="41"/>
  <c r="K711" i="41"/>
  <c r="K712" i="41"/>
  <c r="K713" i="41"/>
  <c r="K714" i="41"/>
  <c r="K527" i="41"/>
  <c r="K663" i="41"/>
  <c r="K146" i="41"/>
  <c r="K462" i="41"/>
  <c r="K309" i="41"/>
  <c r="K78" i="41"/>
  <c r="K717" i="41"/>
  <c r="K718" i="41"/>
  <c r="K719" i="41"/>
  <c r="K731" i="41"/>
  <c r="K635" i="41"/>
  <c r="K694" i="41"/>
  <c r="K482" i="41"/>
  <c r="K724" i="41"/>
  <c r="K59" i="41"/>
  <c r="K725" i="41"/>
  <c r="K340" i="41"/>
  <c r="K510" i="41"/>
  <c r="K8" i="41"/>
  <c r="K727" i="41"/>
  <c r="K728" i="41"/>
  <c r="K729" i="41"/>
  <c r="K187" i="41"/>
  <c r="K575" i="41"/>
  <c r="K492" i="41"/>
  <c r="K732" i="41"/>
  <c r="K20" i="41"/>
  <c r="K315" i="41"/>
  <c r="K733" i="41"/>
  <c r="K734" i="41"/>
  <c r="K723" i="41"/>
  <c r="K736" i="41"/>
  <c r="K171" i="41"/>
  <c r="K737" i="41"/>
  <c r="K435" i="41"/>
  <c r="K738" i="41"/>
  <c r="K365" i="41"/>
  <c r="K216" i="41"/>
  <c r="K568" i="41"/>
  <c r="K740" i="41"/>
  <c r="K490" i="41"/>
  <c r="K640" i="41"/>
  <c r="K363" i="41"/>
  <c r="K443" i="41"/>
  <c r="K450" i="41"/>
  <c r="K79" i="41"/>
  <c r="K594" i="41"/>
  <c r="K744" i="41"/>
  <c r="K745" i="41"/>
  <c r="K746" i="41"/>
  <c r="K134" i="41"/>
  <c r="K384" i="41"/>
  <c r="K747" i="41"/>
  <c r="K748" i="41"/>
  <c r="K444" i="41"/>
  <c r="K331" i="41"/>
  <c r="K285" i="41"/>
  <c r="K749" i="41"/>
  <c r="K750" i="41"/>
  <c r="K751" i="41"/>
  <c r="K378" i="41"/>
  <c r="K30" i="41"/>
  <c r="K752" i="41"/>
  <c r="K653" i="41"/>
  <c r="K754" i="41"/>
  <c r="K755" i="41"/>
  <c r="K756" i="41"/>
  <c r="K757" i="41"/>
  <c r="K40" i="41"/>
  <c r="K758" i="41"/>
  <c r="K759" i="41"/>
  <c r="K760" i="41"/>
  <c r="K604" i="41"/>
  <c r="K656" i="41"/>
  <c r="K763" i="41"/>
  <c r="K303" i="41"/>
  <c r="K764" i="41"/>
  <c r="K34" i="41"/>
  <c r="K765" i="41"/>
  <c r="K766" i="41"/>
  <c r="K767" i="41"/>
  <c r="K768" i="41"/>
  <c r="K769" i="41"/>
  <c r="K770" i="41"/>
  <c r="K771" i="41"/>
  <c r="K772" i="41"/>
  <c r="K773" i="41"/>
  <c r="K774" i="41"/>
  <c r="K428" i="41"/>
  <c r="K508" i="41"/>
  <c r="K776" i="41"/>
  <c r="K777" i="41"/>
  <c r="K55" i="41"/>
  <c r="K778" i="41"/>
  <c r="K779" i="41"/>
  <c r="K780" i="41"/>
  <c r="K500" i="41"/>
  <c r="K782" i="41"/>
  <c r="K289" i="41"/>
  <c r="K783" i="41"/>
  <c r="K167" i="41"/>
  <c r="K784" i="41"/>
  <c r="K785" i="41"/>
  <c r="K786" i="41"/>
  <c r="K787" i="41"/>
  <c r="K788" i="41"/>
  <c r="K789" i="41"/>
  <c r="K790" i="41"/>
  <c r="K791" i="41"/>
  <c r="K792" i="41"/>
  <c r="K793" i="41"/>
  <c r="K794" i="41"/>
  <c r="K795" i="41"/>
  <c r="K796" i="41"/>
  <c r="K688" i="41"/>
  <c r="K798" i="41"/>
  <c r="K799" i="41"/>
  <c r="K800" i="41"/>
  <c r="K801" i="41"/>
  <c r="K802" i="41"/>
  <c r="K803" i="41"/>
  <c r="K304" i="41"/>
  <c r="K804" i="41"/>
  <c r="K805" i="41"/>
  <c r="K255" i="41"/>
  <c r="K806" i="41"/>
  <c r="K807" i="41"/>
  <c r="J1" i="41"/>
  <c r="N451" i="41"/>
  <c r="O451" i="41" s="1"/>
  <c r="P451" i="41" s="1"/>
  <c r="N12" i="41"/>
  <c r="O12" i="41" s="1"/>
  <c r="P12" i="41" s="1"/>
  <c r="N441" i="41"/>
  <c r="O441" i="41" s="1"/>
  <c r="P441" i="41" s="1"/>
  <c r="N33" i="41"/>
  <c r="O33" i="41" s="1"/>
  <c r="P33" i="41" s="1"/>
  <c r="N126" i="41"/>
  <c r="O126" i="41" s="1"/>
  <c r="P126" i="41" s="1"/>
  <c r="N113" i="41"/>
  <c r="O113" i="41" s="1"/>
  <c r="P113" i="41" s="1"/>
  <c r="N62" i="41"/>
  <c r="O62" i="41" s="1"/>
  <c r="P62" i="41" s="1"/>
  <c r="N185" i="41"/>
  <c r="O185" i="41" s="1"/>
  <c r="P185" i="41" s="1"/>
  <c r="N150" i="41"/>
  <c r="O150" i="41" s="1"/>
  <c r="P150" i="41" s="1"/>
  <c r="N70" i="41"/>
  <c r="O70" i="41" s="1"/>
  <c r="P70" i="41" s="1"/>
  <c r="N45" i="41"/>
  <c r="O45" i="41" s="1"/>
  <c r="P45" i="41" s="1"/>
  <c r="N75" i="41"/>
  <c r="O75" i="41" s="1"/>
  <c r="P75" i="41" s="1"/>
  <c r="N202" i="41"/>
  <c r="O202" i="41" s="1"/>
  <c r="P202" i="41" s="1"/>
  <c r="N29" i="41"/>
  <c r="O29" i="41" s="1"/>
  <c r="P29" i="41" s="1"/>
  <c r="N261" i="41"/>
  <c r="O261" i="41" s="1"/>
  <c r="P261" i="41" s="1"/>
  <c r="N210" i="41"/>
  <c r="O210" i="41" s="1"/>
  <c r="P210" i="41" s="1"/>
  <c r="N406" i="41"/>
  <c r="O406" i="41" s="1"/>
  <c r="P406" i="41" s="1"/>
  <c r="N206" i="41"/>
  <c r="O206" i="41" s="1"/>
  <c r="P206" i="41" s="1"/>
  <c r="N214" i="41"/>
  <c r="O214" i="41" s="1"/>
  <c r="P214" i="41" s="1"/>
  <c r="N170" i="41"/>
  <c r="O170" i="41" s="1"/>
  <c r="P170" i="41" s="1"/>
  <c r="N17" i="41"/>
  <c r="O17" i="41" s="1"/>
  <c r="P17" i="41" s="1"/>
  <c r="N244" i="41"/>
  <c r="O244" i="41" s="1"/>
  <c r="P244" i="41" s="1"/>
  <c r="N194" i="41"/>
  <c r="O194" i="41" s="1"/>
  <c r="P194" i="41" s="1"/>
  <c r="N354" i="41"/>
  <c r="O354" i="41" s="1"/>
  <c r="P354" i="41" s="1"/>
  <c r="N48" i="41"/>
  <c r="O48" i="41" s="1"/>
  <c r="P48" i="41" s="1"/>
  <c r="N164" i="41"/>
  <c r="O164" i="41" s="1"/>
  <c r="P164" i="41" s="1"/>
  <c r="N455" i="41"/>
  <c r="O455" i="41" s="1"/>
  <c r="P455" i="41" s="1"/>
  <c r="N28" i="41"/>
  <c r="O28" i="41" s="1"/>
  <c r="P28" i="41" s="1"/>
  <c r="N77" i="41"/>
  <c r="O77" i="41" s="1"/>
  <c r="P77" i="41" s="1"/>
  <c r="N367" i="41"/>
  <c r="O367" i="41" s="1"/>
  <c r="P367" i="41" s="1"/>
  <c r="N421" i="41"/>
  <c r="O421" i="41" s="1"/>
  <c r="P421" i="41" s="1"/>
  <c r="N445" i="41"/>
  <c r="O445" i="41" s="1"/>
  <c r="P445" i="41" s="1"/>
  <c r="N420" i="41"/>
  <c r="O420" i="41" s="1"/>
  <c r="P420" i="41" s="1"/>
  <c r="N26" i="41"/>
  <c r="O26" i="41" s="1"/>
  <c r="P26" i="41" s="1"/>
  <c r="N72" i="41"/>
  <c r="O72" i="41" s="1"/>
  <c r="P72" i="41" s="1"/>
  <c r="N16" i="41"/>
  <c r="O16" i="41" s="1"/>
  <c r="P16" i="41" s="1"/>
  <c r="N37" i="41"/>
  <c r="O37" i="41" s="1"/>
  <c r="P37" i="41" s="1"/>
  <c r="N471" i="41"/>
  <c r="O471" i="41" s="1"/>
  <c r="P471" i="41" s="1"/>
  <c r="N415" i="41"/>
  <c r="O415" i="41" s="1"/>
  <c r="P415" i="41" s="1"/>
  <c r="N87" i="41"/>
  <c r="O87" i="41" s="1"/>
  <c r="P87" i="41" s="1"/>
  <c r="N254" i="41"/>
  <c r="O254" i="41" s="1"/>
  <c r="P254" i="41" s="1"/>
  <c r="N230" i="41"/>
  <c r="O230" i="41" s="1"/>
  <c r="P230" i="41" s="1"/>
  <c r="N341" i="41"/>
  <c r="O341" i="41" s="1"/>
  <c r="P341" i="41" s="1"/>
  <c r="N90" i="41"/>
  <c r="O90" i="41" s="1"/>
  <c r="P90" i="41" s="1"/>
  <c r="N808" i="41"/>
  <c r="O808" i="41" s="1"/>
  <c r="P808" i="41" s="1"/>
  <c r="N10" i="41"/>
  <c r="O10" i="41" s="1"/>
  <c r="P10" i="41" s="1"/>
  <c r="N405" i="41"/>
  <c r="O405" i="41" s="1"/>
  <c r="P405" i="41" s="1"/>
  <c r="N396" i="41"/>
  <c r="O396" i="41" s="1"/>
  <c r="P396" i="41" s="1"/>
  <c r="N190" i="41"/>
  <c r="O190" i="41" s="1"/>
  <c r="P190" i="41" s="1"/>
  <c r="N299" i="41"/>
  <c r="O299" i="41" s="1"/>
  <c r="P299" i="41" s="1"/>
  <c r="N153" i="41"/>
  <c r="O153" i="41" s="1"/>
  <c r="P153" i="41" s="1"/>
  <c r="N307" i="41"/>
  <c r="O307" i="41" s="1"/>
  <c r="P307" i="41" s="1"/>
  <c r="N41" i="41"/>
  <c r="O41" i="41" s="1"/>
  <c r="P41" i="41" s="1"/>
  <c r="N231" i="41"/>
  <c r="O231" i="41" s="1"/>
  <c r="P231" i="41" s="1"/>
  <c r="N199" i="41"/>
  <c r="O199" i="41" s="1"/>
  <c r="P199" i="41" s="1"/>
  <c r="N42" i="41"/>
  <c r="O42" i="41" s="1"/>
  <c r="P42" i="41" s="1"/>
  <c r="N177" i="41"/>
  <c r="O177" i="41" s="1"/>
  <c r="P177" i="41" s="1"/>
  <c r="N330" i="41"/>
  <c r="O330" i="41" s="1"/>
  <c r="P330" i="41" s="1"/>
  <c r="N5" i="41"/>
  <c r="O5" i="41" s="1"/>
  <c r="P5" i="41" s="1"/>
  <c r="N468" i="41"/>
  <c r="O468" i="41" s="1"/>
  <c r="P468" i="41" s="1"/>
  <c r="N53" i="41"/>
  <c r="O53" i="41" s="1"/>
  <c r="P53" i="41" s="1"/>
  <c r="N108" i="41"/>
  <c r="O108" i="41" s="1"/>
  <c r="P108" i="41" s="1"/>
  <c r="N182" i="41"/>
  <c r="O182" i="41" s="1"/>
  <c r="P182" i="41" s="1"/>
  <c r="N311" i="41"/>
  <c r="O311" i="41" s="1"/>
  <c r="P311" i="41" s="1"/>
  <c r="N260" i="41"/>
  <c r="O260" i="41" s="1"/>
  <c r="P260" i="41" s="1"/>
  <c r="N38" i="41"/>
  <c r="O38" i="41" s="1"/>
  <c r="P38" i="41" s="1"/>
  <c r="N140" i="41"/>
  <c r="O140" i="41" s="1"/>
  <c r="P140" i="41" s="1"/>
  <c r="N326" i="41"/>
  <c r="O326" i="41" s="1"/>
  <c r="P326" i="41" s="1"/>
  <c r="N18" i="41"/>
  <c r="O18" i="41" s="1"/>
  <c r="P18" i="41" s="1"/>
  <c r="N27" i="41"/>
  <c r="O27" i="41" s="1"/>
  <c r="P27" i="41" s="1"/>
  <c r="N291" i="41"/>
  <c r="O291" i="41" s="1"/>
  <c r="P291" i="41" s="1"/>
  <c r="N208" i="41"/>
  <c r="O208" i="41" s="1"/>
  <c r="P208" i="41" s="1"/>
  <c r="N76" i="41"/>
  <c r="O76" i="41" s="1"/>
  <c r="P76" i="41" s="1"/>
  <c r="N269" i="41"/>
  <c r="O269" i="41" s="1"/>
  <c r="P269" i="41" s="1"/>
  <c r="N417" i="41"/>
  <c r="O417" i="41" s="1"/>
  <c r="P417" i="41" s="1"/>
  <c r="N414" i="41"/>
  <c r="O414" i="41" s="1"/>
  <c r="P414" i="41" s="1"/>
  <c r="N223" i="41"/>
  <c r="O223" i="41" s="1"/>
  <c r="P223" i="41" s="1"/>
  <c r="N24" i="41"/>
  <c r="O24" i="41" s="1"/>
  <c r="P24" i="41" s="1"/>
  <c r="N117" i="41"/>
  <c r="O117" i="41" s="1"/>
  <c r="P117" i="41" s="1"/>
  <c r="N66" i="41"/>
  <c r="O66" i="41" s="1"/>
  <c r="P66" i="41" s="1"/>
  <c r="N97" i="41"/>
  <c r="O97" i="41" s="1"/>
  <c r="P97" i="41" s="1"/>
  <c r="N183" i="41"/>
  <c r="O183" i="41" s="1"/>
  <c r="P183" i="41" s="1"/>
  <c r="N162" i="41"/>
  <c r="O162" i="41" s="1"/>
  <c r="P162" i="41" s="1"/>
  <c r="N106" i="41"/>
  <c r="O106" i="41" s="1"/>
  <c r="P106" i="41" s="1"/>
  <c r="N259" i="41"/>
  <c r="O259" i="41" s="1"/>
  <c r="P259" i="41" s="1"/>
  <c r="N281" i="41"/>
  <c r="O281" i="41" s="1"/>
  <c r="P281" i="41" s="1"/>
  <c r="N50" i="41"/>
  <c r="O50" i="41" s="1"/>
  <c r="P50" i="41" s="1"/>
  <c r="N349" i="41"/>
  <c r="O349" i="41" s="1"/>
  <c r="P349" i="41" s="1"/>
  <c r="N73" i="41"/>
  <c r="O73" i="41" s="1"/>
  <c r="P73" i="41" s="1"/>
  <c r="N346" i="41"/>
  <c r="O346" i="41" s="1"/>
  <c r="P346" i="41" s="1"/>
  <c r="N418" i="41"/>
  <c r="O418" i="41" s="1"/>
  <c r="P418" i="41" s="1"/>
  <c r="N248" i="41"/>
  <c r="O248" i="41" s="1"/>
  <c r="P248" i="41" s="1"/>
  <c r="N377" i="41"/>
  <c r="O377" i="41" s="1"/>
  <c r="P377" i="41" s="1"/>
  <c r="N295" i="41"/>
  <c r="O295" i="41" s="1"/>
  <c r="P295" i="41" s="1"/>
  <c r="N114" i="41"/>
  <c r="O114" i="41" s="1"/>
  <c r="P114" i="41" s="1"/>
  <c r="N333" i="41"/>
  <c r="O333" i="41" s="1"/>
  <c r="P333" i="41" s="1"/>
  <c r="N192" i="41"/>
  <c r="O192" i="41" s="1"/>
  <c r="P192" i="41" s="1"/>
  <c r="N409" i="41"/>
  <c r="O409" i="41" s="1"/>
  <c r="P409" i="41" s="1"/>
  <c r="N43" i="41"/>
  <c r="O43" i="41" s="1"/>
  <c r="P43" i="41" s="1"/>
  <c r="N157" i="41"/>
  <c r="O157" i="41" s="1"/>
  <c r="P157" i="41" s="1"/>
  <c r="N213" i="41"/>
  <c r="O213" i="41" s="1"/>
  <c r="P213" i="41" s="1"/>
  <c r="N228" i="41"/>
  <c r="O228" i="41" s="1"/>
  <c r="P228" i="41" s="1"/>
  <c r="N389" i="41"/>
  <c r="O389" i="41" s="1"/>
  <c r="P389" i="41" s="1"/>
  <c r="N237" i="41"/>
  <c r="O237" i="41" s="1"/>
  <c r="P237" i="41" s="1"/>
  <c r="N296" i="41"/>
  <c r="O296" i="41" s="1"/>
  <c r="P296" i="41" s="1"/>
  <c r="N143" i="41"/>
  <c r="O143" i="41" s="1"/>
  <c r="P143" i="41" s="1"/>
  <c r="N229" i="41"/>
  <c r="O229" i="41" s="1"/>
  <c r="P229" i="41" s="1"/>
  <c r="N308" i="41"/>
  <c r="O308" i="41" s="1"/>
  <c r="P308" i="41" s="1"/>
  <c r="N439" i="41"/>
  <c r="O439" i="41" s="1"/>
  <c r="P439" i="41" s="1"/>
  <c r="N345" i="41"/>
  <c r="O345" i="41" s="1"/>
  <c r="P345" i="41" s="1"/>
  <c r="N240" i="41"/>
  <c r="O240" i="41" s="1"/>
  <c r="P240" i="41" s="1"/>
  <c r="N135" i="41"/>
  <c r="O135" i="41" s="1"/>
  <c r="P135" i="41" s="1"/>
  <c r="N118" i="41"/>
  <c r="O118" i="41" s="1"/>
  <c r="P118" i="41" s="1"/>
  <c r="N239" i="41"/>
  <c r="O239" i="41" s="1"/>
  <c r="P239" i="41" s="1"/>
  <c r="N67" i="41"/>
  <c r="O67" i="41" s="1"/>
  <c r="P67" i="41" s="1"/>
  <c r="N152" i="41"/>
  <c r="O152" i="41" s="1"/>
  <c r="P152" i="41" s="1"/>
  <c r="N155" i="41"/>
  <c r="O155" i="41" s="1"/>
  <c r="P155" i="41" s="1"/>
  <c r="N130" i="41"/>
  <c r="O130" i="41" s="1"/>
  <c r="P130" i="41" s="1"/>
  <c r="N115" i="41"/>
  <c r="O115" i="41" s="1"/>
  <c r="P115" i="41" s="1"/>
  <c r="N356" i="41"/>
  <c r="O356" i="41" s="1"/>
  <c r="P356" i="41" s="1"/>
  <c r="N335" i="41"/>
  <c r="O335" i="41" s="1"/>
  <c r="P335" i="41" s="1"/>
  <c r="N467" i="41"/>
  <c r="O467" i="41" s="1"/>
  <c r="P467" i="41" s="1"/>
  <c r="N359" i="41"/>
  <c r="O359" i="41" s="1"/>
  <c r="P359" i="41" s="1"/>
  <c r="N172" i="41"/>
  <c r="O172" i="41" s="1"/>
  <c r="P172" i="41" s="1"/>
  <c r="N250" i="41"/>
  <c r="O250" i="41" s="1"/>
  <c r="P250" i="41" s="1"/>
  <c r="N258" i="41"/>
  <c r="O258" i="41" s="1"/>
  <c r="P258" i="41" s="1"/>
  <c r="N390" i="41"/>
  <c r="O390" i="41" s="1"/>
  <c r="P390" i="41" s="1"/>
  <c r="N280" i="41"/>
  <c r="O280" i="41" s="1"/>
  <c r="P280" i="41" s="1"/>
  <c r="N317" i="41"/>
  <c r="O317" i="41" s="1"/>
  <c r="P317" i="41" s="1"/>
  <c r="N176" i="41"/>
  <c r="O176" i="41" s="1"/>
  <c r="P176" i="41" s="1"/>
  <c r="N191" i="41"/>
  <c r="O191" i="41" s="1"/>
  <c r="P191" i="41" s="1"/>
  <c r="N107" i="41"/>
  <c r="O107" i="41" s="1"/>
  <c r="P107" i="41" s="1"/>
  <c r="N364" i="41"/>
  <c r="O364" i="41" s="1"/>
  <c r="P364" i="41" s="1"/>
  <c r="N293" i="41"/>
  <c r="O293" i="41" s="1"/>
  <c r="P293" i="41" s="1"/>
  <c r="N343" i="41"/>
  <c r="O343" i="41" s="1"/>
  <c r="P343" i="41" s="1"/>
  <c r="N319" i="41"/>
  <c r="O319" i="41" s="1"/>
  <c r="P319" i="41" s="1"/>
  <c r="N816" i="41"/>
  <c r="O816" i="41" s="1"/>
  <c r="P816" i="41" s="1"/>
  <c r="N180" i="41"/>
  <c r="O180" i="41" s="1"/>
  <c r="P180" i="41" s="1"/>
  <c r="N271" i="41"/>
  <c r="O271" i="41" s="1"/>
  <c r="P271" i="41" s="1"/>
  <c r="N425" i="41"/>
  <c r="O425" i="41" s="1"/>
  <c r="P425" i="41" s="1"/>
  <c r="N412" i="41"/>
  <c r="O412" i="41" s="1"/>
  <c r="P412" i="41" s="1"/>
  <c r="N302" i="41"/>
  <c r="O302" i="41" s="1"/>
  <c r="P302" i="41" s="1"/>
  <c r="N324" i="41"/>
  <c r="O324" i="41" s="1"/>
  <c r="P324" i="41" s="1"/>
  <c r="N52" i="41"/>
  <c r="O52" i="41" s="1"/>
  <c r="P52" i="41" s="1"/>
  <c r="N318" i="41"/>
  <c r="O318" i="41" s="1"/>
  <c r="P318" i="41" s="1"/>
  <c r="N310" i="41"/>
  <c r="O310" i="41" s="1"/>
  <c r="P310" i="41" s="1"/>
  <c r="N372" i="41"/>
  <c r="O372" i="41" s="1"/>
  <c r="P372" i="41" s="1"/>
  <c r="N80" i="41"/>
  <c r="O80" i="41" s="1"/>
  <c r="P80" i="41" s="1"/>
  <c r="N383" i="41"/>
  <c r="O383" i="41" s="1"/>
  <c r="P383" i="41" s="1"/>
  <c r="N225" i="41"/>
  <c r="O225" i="41" s="1"/>
  <c r="P225" i="41" s="1"/>
  <c r="N81" i="41"/>
  <c r="O81" i="41" s="1"/>
  <c r="P81" i="41" s="1"/>
  <c r="N385" i="41"/>
  <c r="O385" i="41" s="1"/>
  <c r="P385" i="41" s="1"/>
  <c r="N393" i="41"/>
  <c r="O393" i="41" s="1"/>
  <c r="P393" i="41" s="1"/>
  <c r="N181" i="41"/>
  <c r="O181" i="41" s="1"/>
  <c r="P181" i="41" s="1"/>
  <c r="N337" i="41"/>
  <c r="O337" i="41" s="1"/>
  <c r="P337" i="41" s="1"/>
  <c r="N196" i="41"/>
  <c r="O196" i="41" s="1"/>
  <c r="P196" i="41" s="1"/>
  <c r="N116" i="41"/>
  <c r="O116" i="41" s="1"/>
  <c r="P116" i="41" s="1"/>
  <c r="N459" i="41"/>
  <c r="O459" i="41" s="1"/>
  <c r="P459" i="41" s="1"/>
  <c r="N257" i="41"/>
  <c r="O257" i="41" s="1"/>
  <c r="P257" i="41" s="1"/>
  <c r="N322" i="41"/>
  <c r="O322" i="41" s="1"/>
  <c r="P322" i="41" s="1"/>
  <c r="N814" i="41"/>
  <c r="O814" i="41" s="1"/>
  <c r="P814" i="41" s="1"/>
  <c r="N329" i="41"/>
  <c r="O329" i="41" s="1"/>
  <c r="P329" i="41" s="1"/>
  <c r="N422" i="41"/>
  <c r="O422" i="41" s="1"/>
  <c r="P422" i="41" s="1"/>
  <c r="N227" i="41"/>
  <c r="O227" i="41" s="1"/>
  <c r="P227" i="41" s="1"/>
  <c r="N128" i="41"/>
  <c r="O128" i="41" s="1"/>
  <c r="P128" i="41" s="1"/>
  <c r="N91" i="41"/>
  <c r="O91" i="41" s="1"/>
  <c r="P91" i="41" s="1"/>
  <c r="N386" i="41"/>
  <c r="O386" i="41" s="1"/>
  <c r="P386" i="41" s="1"/>
  <c r="N382" i="41"/>
  <c r="O382" i="41" s="1"/>
  <c r="P382" i="41" s="1"/>
  <c r="N401" i="41"/>
  <c r="O401" i="41" s="1"/>
  <c r="P401" i="41" s="1"/>
  <c r="N139" i="41"/>
  <c r="O139" i="41" s="1"/>
  <c r="P139" i="41" s="1"/>
  <c r="N154" i="41"/>
  <c r="O154" i="41" s="1"/>
  <c r="P154" i="41" s="1"/>
  <c r="N454" i="41"/>
  <c r="O454" i="41" s="1"/>
  <c r="P454" i="41" s="1"/>
  <c r="N100" i="41"/>
  <c r="O100" i="41" s="1"/>
  <c r="P100" i="41" s="1"/>
  <c r="N35" i="41"/>
  <c r="O35" i="41" s="1"/>
  <c r="P35" i="41" s="1"/>
  <c r="N127" i="41"/>
  <c r="O127" i="41" s="1"/>
  <c r="P127" i="41" s="1"/>
  <c r="N427" i="41"/>
  <c r="O427" i="41" s="1"/>
  <c r="P427" i="41" s="1"/>
  <c r="N220" i="41"/>
  <c r="O220" i="41" s="1"/>
  <c r="P220" i="41" s="1"/>
  <c r="N294" i="41"/>
  <c r="O294" i="41" s="1"/>
  <c r="P294" i="41" s="1"/>
  <c r="N460" i="41"/>
  <c r="O460" i="41" s="1"/>
  <c r="P460" i="41" s="1"/>
  <c r="N399" i="41"/>
  <c r="O399" i="41" s="1"/>
  <c r="P399" i="41" s="1"/>
  <c r="N469" i="41"/>
  <c r="O469" i="41" s="1"/>
  <c r="P469" i="41" s="1"/>
  <c r="N95" i="41"/>
  <c r="O95" i="41" s="1"/>
  <c r="P95" i="41" s="1"/>
  <c r="N7" i="41"/>
  <c r="O7" i="41" s="1"/>
  <c r="P7" i="41" s="1"/>
  <c r="N251" i="41"/>
  <c r="O251" i="41" s="1"/>
  <c r="P251" i="41" s="1"/>
  <c r="N369" i="41"/>
  <c r="O369" i="41" s="1"/>
  <c r="P369" i="41" s="1"/>
  <c r="N370" i="41"/>
  <c r="O370" i="41" s="1"/>
  <c r="P370" i="41" s="1"/>
  <c r="N133" i="41"/>
  <c r="O133" i="41" s="1"/>
  <c r="P133" i="41" s="1"/>
  <c r="N457" i="41"/>
  <c r="O457" i="41" s="1"/>
  <c r="P457" i="41" s="1"/>
  <c r="N89" i="41"/>
  <c r="O89" i="41" s="1"/>
  <c r="P89" i="41" s="1"/>
  <c r="N323" i="41"/>
  <c r="O323" i="41" s="1"/>
  <c r="P323" i="41" s="1"/>
  <c r="N388" i="41"/>
  <c r="O388" i="41" s="1"/>
  <c r="P388" i="41" s="1"/>
  <c r="N351" i="41"/>
  <c r="O351" i="41" s="1"/>
  <c r="P351" i="41" s="1"/>
  <c r="N448" i="41"/>
  <c r="O448" i="41" s="1"/>
  <c r="P448" i="41" s="1"/>
  <c r="N119" i="41"/>
  <c r="O119" i="41" s="1"/>
  <c r="P119" i="41" s="1"/>
  <c r="N375" i="41"/>
  <c r="O375" i="41" s="1"/>
  <c r="P375" i="41" s="1"/>
  <c r="N398" i="41"/>
  <c r="O398" i="41" s="1"/>
  <c r="P398" i="41" s="1"/>
  <c r="N68" i="41"/>
  <c r="O68" i="41" s="1"/>
  <c r="P68" i="41" s="1"/>
  <c r="N423" i="41"/>
  <c r="O423" i="41" s="1"/>
  <c r="P423" i="41" s="1"/>
  <c r="N402" i="41"/>
  <c r="O402" i="41" s="1"/>
  <c r="P402" i="41" s="1"/>
  <c r="N102" i="41"/>
  <c r="O102" i="41" s="1"/>
  <c r="P102" i="41" s="1"/>
  <c r="N411" i="41"/>
  <c r="O411" i="41" s="1"/>
  <c r="P411" i="41" s="1"/>
  <c r="N111" i="41"/>
  <c r="O111" i="41" s="1"/>
  <c r="P111" i="41" s="1"/>
  <c r="N449" i="41"/>
  <c r="O449" i="41" s="1"/>
  <c r="P449" i="41" s="1"/>
  <c r="N387" i="41"/>
  <c r="O387" i="41" s="1"/>
  <c r="P387" i="41" s="1"/>
  <c r="N264" i="41"/>
  <c r="O264" i="41" s="1"/>
  <c r="P264" i="41" s="1"/>
  <c r="N297" i="41"/>
  <c r="O297" i="41" s="1"/>
  <c r="P297" i="41" s="1"/>
  <c r="N288" i="41"/>
  <c r="O288" i="41" s="1"/>
  <c r="P288" i="41" s="1"/>
  <c r="N290" i="41"/>
  <c r="O290" i="41" s="1"/>
  <c r="P290" i="41" s="1"/>
  <c r="N233" i="41"/>
  <c r="O233" i="41" s="1"/>
  <c r="P233" i="41" s="1"/>
  <c r="N189" i="41"/>
  <c r="O189" i="41" s="1"/>
  <c r="P189" i="41" s="1"/>
  <c r="N93" i="41"/>
  <c r="O93" i="41" s="1"/>
  <c r="P93" i="41" s="1"/>
  <c r="N314" i="41"/>
  <c r="O314" i="41" s="1"/>
  <c r="P314" i="41" s="1"/>
  <c r="N92" i="41"/>
  <c r="O92" i="41" s="1"/>
  <c r="P92" i="41" s="1"/>
  <c r="N200" i="41"/>
  <c r="O200" i="41" s="1"/>
  <c r="P200" i="41" s="1"/>
  <c r="N352" i="41"/>
  <c r="O352" i="41" s="1"/>
  <c r="P352" i="41" s="1"/>
  <c r="N813" i="41"/>
  <c r="O813" i="41" s="1"/>
  <c r="P813" i="41" s="1"/>
  <c r="N168" i="41"/>
  <c r="O168" i="41" s="1"/>
  <c r="P168" i="41" s="1"/>
  <c r="N267" i="41"/>
  <c r="O267" i="41" s="1"/>
  <c r="P267" i="41" s="1"/>
  <c r="N94" i="41"/>
  <c r="O94" i="41" s="1"/>
  <c r="P94" i="41" s="1"/>
  <c r="N218" i="41"/>
  <c r="O218" i="41" s="1"/>
  <c r="P218" i="41" s="1"/>
  <c r="N242" i="41"/>
  <c r="O242" i="41" s="1"/>
  <c r="P242" i="41" s="1"/>
  <c r="N96" i="41"/>
  <c r="O96" i="41" s="1"/>
  <c r="P96" i="41" s="1"/>
  <c r="N238" i="41"/>
  <c r="O238" i="41" s="1"/>
  <c r="P238" i="41" s="1"/>
  <c r="N158" i="41"/>
  <c r="O158" i="41" s="1"/>
  <c r="P158" i="41" s="1"/>
  <c r="N262" i="41"/>
  <c r="O262" i="41" s="1"/>
  <c r="P262" i="41" s="1"/>
  <c r="N275" i="41"/>
  <c r="O275" i="41" s="1"/>
  <c r="P275" i="41" s="1"/>
  <c r="N282" i="41"/>
  <c r="O282" i="41" s="1"/>
  <c r="P282" i="41" s="1"/>
  <c r="N179" i="41"/>
  <c r="O179" i="41" s="1"/>
  <c r="P179" i="41" s="1"/>
  <c r="N453" i="41"/>
  <c r="O453" i="41" s="1"/>
  <c r="P453" i="41" s="1"/>
  <c r="N105" i="41"/>
  <c r="O105" i="41" s="1"/>
  <c r="P105" i="41" s="1"/>
  <c r="N144" i="41"/>
  <c r="O144" i="41" s="1"/>
  <c r="P144" i="41" s="1"/>
  <c r="N193" i="41"/>
  <c r="O193" i="41" s="1"/>
  <c r="P193" i="41" s="1"/>
  <c r="N11" i="41"/>
  <c r="O11" i="41" s="1"/>
  <c r="P11" i="41" s="1"/>
  <c r="N71" i="41"/>
  <c r="O71" i="41" s="1"/>
  <c r="P71" i="41" s="1"/>
  <c r="N137" i="41"/>
  <c r="O137" i="41" s="1"/>
  <c r="P137" i="41" s="1"/>
  <c r="N173" i="41"/>
  <c r="O173" i="41" s="1"/>
  <c r="P173" i="41" s="1"/>
  <c r="N188" i="41"/>
  <c r="O188" i="41" s="1"/>
  <c r="P188" i="41" s="1"/>
  <c r="N265" i="41"/>
  <c r="O265" i="41" s="1"/>
  <c r="P265" i="41" s="1"/>
  <c r="N350" i="41"/>
  <c r="O350" i="41" s="1"/>
  <c r="P350" i="41" s="1"/>
  <c r="N342" i="41"/>
  <c r="O342" i="41" s="1"/>
  <c r="P342" i="41" s="1"/>
  <c r="N85" i="41"/>
  <c r="O85" i="41" s="1"/>
  <c r="P85" i="41" s="1"/>
  <c r="N283" i="41"/>
  <c r="O283" i="41" s="1"/>
  <c r="P283" i="41" s="1"/>
  <c r="N379" i="41"/>
  <c r="O379" i="41" s="1"/>
  <c r="P379" i="41" s="1"/>
  <c r="N49" i="41"/>
  <c r="O49" i="41" s="1"/>
  <c r="P49" i="41" s="1"/>
  <c r="N46" i="41"/>
  <c r="O46" i="41" s="1"/>
  <c r="P46" i="41" s="1"/>
  <c r="N332" i="41"/>
  <c r="O332" i="41" s="1"/>
  <c r="P332" i="41" s="1"/>
  <c r="N321" i="41"/>
  <c r="O321" i="41" s="1"/>
  <c r="P321" i="41" s="1"/>
  <c r="N300" i="41"/>
  <c r="O300" i="41" s="1"/>
  <c r="P300" i="41" s="1"/>
  <c r="N131" i="41"/>
  <c r="O131" i="41" s="1"/>
  <c r="P131" i="41" s="1"/>
  <c r="N336" i="41"/>
  <c r="O336" i="41" s="1"/>
  <c r="P336" i="41" s="1"/>
  <c r="N195" i="41"/>
  <c r="O195" i="41" s="1"/>
  <c r="P195" i="41" s="1"/>
  <c r="N236" i="41"/>
  <c r="O236" i="41" s="1"/>
  <c r="P236" i="41" s="1"/>
  <c r="N452" i="41"/>
  <c r="O452" i="41" s="1"/>
  <c r="P452" i="41" s="1"/>
  <c r="N6" i="41"/>
  <c r="O6" i="41" s="1"/>
  <c r="P6" i="41" s="1"/>
  <c r="N235" i="41"/>
  <c r="O235" i="41" s="1"/>
  <c r="P235" i="41" s="1"/>
  <c r="N36" i="41"/>
  <c r="O36" i="41" s="1"/>
  <c r="P36" i="41" s="1"/>
  <c r="N132" i="41"/>
  <c r="O132" i="41" s="1"/>
  <c r="P132" i="41" s="1"/>
  <c r="N203" i="41"/>
  <c r="O203" i="41" s="1"/>
  <c r="P203" i="41" s="1"/>
  <c r="N163" i="41"/>
  <c r="O163" i="41" s="1"/>
  <c r="P163" i="41" s="1"/>
  <c r="N252" i="41"/>
  <c r="O252" i="41" s="1"/>
  <c r="P252" i="41" s="1"/>
  <c r="N306" i="41"/>
  <c r="O306" i="41" s="1"/>
  <c r="P306" i="41" s="1"/>
  <c r="N156" i="41"/>
  <c r="O156" i="41" s="1"/>
  <c r="P156" i="41" s="1"/>
  <c r="N353" i="41"/>
  <c r="O353" i="41" s="1"/>
  <c r="P353" i="41" s="1"/>
  <c r="N212" i="41"/>
  <c r="O212" i="41" s="1"/>
  <c r="P212" i="41" s="1"/>
  <c r="N325" i="41"/>
  <c r="O325" i="41" s="1"/>
  <c r="P325" i="41" s="1"/>
  <c r="N141" i="41"/>
  <c r="O141" i="41" s="1"/>
  <c r="P141" i="41" s="1"/>
  <c r="N201" i="41"/>
  <c r="O201" i="41" s="1"/>
  <c r="P201" i="41" s="1"/>
  <c r="N263" i="41"/>
  <c r="O263" i="41" s="1"/>
  <c r="P263" i="41" s="1"/>
  <c r="N211" i="41"/>
  <c r="O211" i="41" s="1"/>
  <c r="P211" i="41" s="1"/>
  <c r="N407" i="41"/>
  <c r="O407" i="41" s="1"/>
  <c r="P407" i="41" s="1"/>
  <c r="N169" i="41"/>
  <c r="O169" i="41" s="1"/>
  <c r="P169" i="41" s="1"/>
  <c r="N391" i="41"/>
  <c r="O391" i="41" s="1"/>
  <c r="P391" i="41" s="1"/>
  <c r="N355" i="41"/>
  <c r="O355" i="41" s="1"/>
  <c r="P355" i="41" s="1"/>
  <c r="N178" i="41"/>
  <c r="O178" i="41" s="1"/>
  <c r="P178" i="41" s="1"/>
  <c r="N410" i="41"/>
  <c r="O410" i="41" s="1"/>
  <c r="P410" i="41" s="1"/>
  <c r="N392" i="41"/>
  <c r="O392" i="41" s="1"/>
  <c r="P392" i="41" s="1"/>
  <c r="N219" i="41"/>
  <c r="O219" i="41" s="1"/>
  <c r="P219" i="41" s="1"/>
  <c r="N165" i="41"/>
  <c r="O165" i="41" s="1"/>
  <c r="P165" i="41" s="1"/>
  <c r="N334" i="41"/>
  <c r="O334" i="41" s="1"/>
  <c r="P334" i="41" s="1"/>
  <c r="N245" i="41"/>
  <c r="O245" i="41" s="1"/>
  <c r="P245" i="41" s="1"/>
  <c r="N125" i="41"/>
  <c r="O125" i="41" s="1"/>
  <c r="P125" i="41" s="1"/>
  <c r="N83" i="41"/>
  <c r="O83" i="41" s="1"/>
  <c r="P83" i="41" s="1"/>
  <c r="N51" i="41"/>
  <c r="O51" i="41" s="1"/>
  <c r="P51" i="41" s="1"/>
  <c r="N426" i="41"/>
  <c r="O426" i="41" s="1"/>
  <c r="P426" i="41" s="1"/>
  <c r="N277" i="41"/>
  <c r="O277" i="41" s="1"/>
  <c r="P277" i="41" s="1"/>
  <c r="N69" i="41"/>
  <c r="O69" i="41" s="1"/>
  <c r="P69" i="41" s="1"/>
  <c r="N430" i="41"/>
  <c r="O430" i="41" s="1"/>
  <c r="P430" i="41" s="1"/>
  <c r="N215" i="41"/>
  <c r="O215" i="41" s="1"/>
  <c r="P215" i="41" s="1"/>
  <c r="N416" i="41"/>
  <c r="O416" i="41" s="1"/>
  <c r="P416" i="41" s="1"/>
  <c r="N197" i="41"/>
  <c r="O197" i="41" s="1"/>
  <c r="P197" i="41" s="1"/>
  <c r="N437" i="41"/>
  <c r="O437" i="41" s="1"/>
  <c r="P437" i="41" s="1"/>
  <c r="N362" i="41"/>
  <c r="O362" i="41" s="1"/>
  <c r="P362" i="41" s="1"/>
  <c r="N327" i="41"/>
  <c r="O327" i="41" s="1"/>
  <c r="P327" i="41" s="1"/>
  <c r="N256" i="41"/>
  <c r="O256" i="41" s="1"/>
  <c r="P256" i="41" s="1"/>
  <c r="N222" i="41"/>
  <c r="O222" i="41" s="1"/>
  <c r="P222" i="41" s="1"/>
  <c r="N74" i="41"/>
  <c r="O74" i="41" s="1"/>
  <c r="P74" i="41" s="1"/>
  <c r="N99" i="41"/>
  <c r="O99" i="41" s="1"/>
  <c r="P99" i="41" s="1"/>
  <c r="N224" i="41"/>
  <c r="O224" i="41" s="1"/>
  <c r="P224" i="41" s="1"/>
  <c r="N292" i="41"/>
  <c r="O292" i="41" s="1"/>
  <c r="P292" i="41" s="1"/>
  <c r="N397" i="41"/>
  <c r="O397" i="41" s="1"/>
  <c r="P397" i="41" s="1"/>
  <c r="N413" i="41"/>
  <c r="O413" i="41" s="1"/>
  <c r="P413" i="41" s="1"/>
  <c r="N221" i="41"/>
  <c r="O221" i="41" s="1"/>
  <c r="P221" i="41" s="1"/>
  <c r="N380" i="41"/>
  <c r="O380" i="41" s="1"/>
  <c r="P380" i="41" s="1"/>
  <c r="N61" i="41"/>
  <c r="O61" i="41" s="1"/>
  <c r="P61" i="41" s="1"/>
  <c r="N278" i="41"/>
  <c r="O278" i="41" s="1"/>
  <c r="P278" i="41" s="1"/>
  <c r="N136" i="41"/>
  <c r="O136" i="41" s="1"/>
  <c r="P136" i="41" s="1"/>
  <c r="N103" i="41"/>
  <c r="O103" i="41" s="1"/>
  <c r="P103" i="41" s="1"/>
  <c r="N276" i="41"/>
  <c r="O276" i="41" s="1"/>
  <c r="P276" i="41" s="1"/>
  <c r="N124" i="41"/>
  <c r="O124" i="41" s="1"/>
  <c r="P124" i="41" s="1"/>
  <c r="N246" i="41"/>
  <c r="O246" i="41" s="1"/>
  <c r="P246" i="41" s="1"/>
  <c r="N464" i="41"/>
  <c r="O464" i="41" s="1"/>
  <c r="P464" i="41" s="1"/>
  <c r="N47" i="41"/>
  <c r="O47" i="41" s="1"/>
  <c r="P47" i="41" s="1"/>
  <c r="N86" i="41"/>
  <c r="O86" i="41" s="1"/>
  <c r="P86" i="41" s="1"/>
  <c r="N249" i="41"/>
  <c r="O249" i="41" s="1"/>
  <c r="P249" i="41" s="1"/>
  <c r="N270" i="41"/>
  <c r="O270" i="41" s="1"/>
  <c r="P270" i="41" s="1"/>
  <c r="N147" i="41"/>
  <c r="O147" i="41" s="1"/>
  <c r="P147" i="41" s="1"/>
  <c r="N138" i="41"/>
  <c r="O138" i="41" s="1"/>
  <c r="P138" i="41" s="1"/>
  <c r="N88" i="41"/>
  <c r="O88" i="41" s="1"/>
  <c r="P88" i="41" s="1"/>
  <c r="N44" i="41"/>
  <c r="O44" i="41" s="1"/>
  <c r="P44" i="41" s="1"/>
  <c r="N434" i="41"/>
  <c r="O434" i="41" s="1"/>
  <c r="P434" i="41" s="1"/>
  <c r="N374" i="41"/>
  <c r="O374" i="41" s="1"/>
  <c r="P374" i="41" s="1"/>
  <c r="N348" i="41"/>
  <c r="O348" i="41" s="1"/>
  <c r="P348" i="41" s="1"/>
  <c r="N63" i="41"/>
  <c r="O63" i="41" s="1"/>
  <c r="P63" i="41" s="1"/>
  <c r="N298" i="41"/>
  <c r="O298" i="41" s="1"/>
  <c r="P298" i="41" s="1"/>
  <c r="N328" i="41"/>
  <c r="O328" i="41" s="1"/>
  <c r="P328" i="41" s="1"/>
  <c r="N112" i="41"/>
  <c r="O112" i="41" s="1"/>
  <c r="P112" i="41" s="1"/>
  <c r="N400" i="41"/>
  <c r="O400" i="41" s="1"/>
  <c r="P400" i="41" s="1"/>
  <c r="N104" i="41"/>
  <c r="O104" i="41" s="1"/>
  <c r="P104" i="41" s="1"/>
  <c r="N301" i="41"/>
  <c r="O301" i="41" s="1"/>
  <c r="P301" i="41" s="1"/>
  <c r="N207" i="41"/>
  <c r="O207" i="41" s="1"/>
  <c r="P207" i="41" s="1"/>
  <c r="N368" i="41"/>
  <c r="O368" i="41" s="1"/>
  <c r="P368" i="41" s="1"/>
  <c r="N15" i="41"/>
  <c r="O15" i="41" s="1"/>
  <c r="P15" i="41" s="1"/>
  <c r="N186" i="41"/>
  <c r="O186" i="41" s="1"/>
  <c r="P186" i="41" s="1"/>
  <c r="N440" i="41"/>
  <c r="O440" i="41" s="1"/>
  <c r="P440" i="41" s="1"/>
  <c r="N429" i="41"/>
  <c r="O429" i="41" s="1"/>
  <c r="P429" i="41" s="1"/>
  <c r="N110" i="41"/>
  <c r="O110" i="41" s="1"/>
  <c r="P110" i="41" s="1"/>
  <c r="N205" i="41"/>
  <c r="O205" i="41" s="1"/>
  <c r="P205" i="41" s="1"/>
  <c r="N286" i="41"/>
  <c r="O286" i="41" s="1"/>
  <c r="P286" i="41" s="1"/>
  <c r="N419" i="41"/>
  <c r="O419" i="41" s="1"/>
  <c r="P419" i="41" s="1"/>
  <c r="N465" i="41"/>
  <c r="O465" i="41" s="1"/>
  <c r="P465" i="41" s="1"/>
  <c r="N436" i="41"/>
  <c r="O436" i="41" s="1"/>
  <c r="P436" i="41" s="1"/>
  <c r="N408" i="41"/>
  <c r="O408" i="41" s="1"/>
  <c r="P408" i="41" s="1"/>
  <c r="N431" i="41"/>
  <c r="O431" i="41" s="1"/>
  <c r="P431" i="41" s="1"/>
  <c r="N812" i="41"/>
  <c r="O812" i="41" s="1"/>
  <c r="P812" i="41" s="1"/>
  <c r="N809" i="41"/>
  <c r="O809" i="41" s="1"/>
  <c r="P809" i="41" s="1"/>
  <c r="N458" i="41"/>
  <c r="O458" i="41" s="1"/>
  <c r="P458" i="41" s="1"/>
  <c r="N39" i="41"/>
  <c r="O39" i="41" s="1"/>
  <c r="P39" i="41" s="1"/>
  <c r="N404" i="41"/>
  <c r="O404" i="41" s="1"/>
  <c r="P404" i="41" s="1"/>
  <c r="N65" i="41"/>
  <c r="O65" i="41" s="1"/>
  <c r="P65" i="41" s="1"/>
  <c r="N470" i="41"/>
  <c r="O470" i="41" s="1"/>
  <c r="P470" i="41" s="1"/>
  <c r="O339" i="41"/>
  <c r="P339" i="41" s="1"/>
  <c r="N473" i="41"/>
  <c r="O473" i="41" s="1"/>
  <c r="P473" i="41" s="1"/>
  <c r="N474" i="41"/>
  <c r="O474" i="41" s="1"/>
  <c r="P474" i="41" s="1"/>
  <c r="N475" i="41"/>
  <c r="O475" i="41" s="1"/>
  <c r="P475" i="41" s="1"/>
  <c r="N666" i="41"/>
  <c r="O666" i="41" s="1"/>
  <c r="P666" i="41" s="1"/>
  <c r="N476" i="41"/>
  <c r="O476" i="41" s="1"/>
  <c r="P476" i="41" s="1"/>
  <c r="N549" i="41"/>
  <c r="O549" i="41" s="1"/>
  <c r="P549" i="41" s="1"/>
  <c r="N4" i="41"/>
  <c r="O4" i="41" s="1"/>
  <c r="P4" i="41" s="1"/>
  <c r="N13" i="41"/>
  <c r="O13" i="41" s="1"/>
  <c r="P13" i="41" s="1"/>
  <c r="N266" i="41"/>
  <c r="O266" i="41" s="1"/>
  <c r="P266" i="41" s="1"/>
  <c r="N504" i="41"/>
  <c r="O504" i="41" s="1"/>
  <c r="P504" i="41" s="1"/>
  <c r="N541" i="41"/>
  <c r="O541" i="41" s="1"/>
  <c r="P541" i="41" s="1"/>
  <c r="N313" i="41"/>
  <c r="O313" i="41" s="1"/>
  <c r="P313" i="41" s="1"/>
  <c r="N56" i="41"/>
  <c r="O56" i="41" s="1"/>
  <c r="P56" i="41" s="1"/>
  <c r="N479" i="41"/>
  <c r="O479" i="41" s="1"/>
  <c r="P479" i="41" s="1"/>
  <c r="N480" i="41"/>
  <c r="O480" i="41" s="1"/>
  <c r="P480" i="41" s="1"/>
  <c r="N361" i="41"/>
  <c r="O361" i="41" s="1"/>
  <c r="P361" i="41" s="1"/>
  <c r="N338" i="41"/>
  <c r="O338" i="41" s="1"/>
  <c r="P338" i="41" s="1"/>
  <c r="N357" i="41"/>
  <c r="O357" i="41" s="1"/>
  <c r="P357" i="41" s="1"/>
  <c r="N84" i="41"/>
  <c r="O84" i="41" s="1"/>
  <c r="P84" i="41" s="1"/>
  <c r="N606" i="41"/>
  <c r="O606" i="41" s="1"/>
  <c r="P606" i="41" s="1"/>
  <c r="N775" i="41"/>
  <c r="O775" i="41" s="1"/>
  <c r="P775" i="41" s="1"/>
  <c r="N483" i="41"/>
  <c r="O483" i="41" s="1"/>
  <c r="P483" i="41" s="1"/>
  <c r="N484" i="41"/>
  <c r="O484" i="41" s="1"/>
  <c r="P484" i="41" s="1"/>
  <c r="N485" i="41"/>
  <c r="O485" i="41" s="1"/>
  <c r="P485" i="41" s="1"/>
  <c r="N198" i="41"/>
  <c r="O198" i="41" s="1"/>
  <c r="P198" i="41" s="1"/>
  <c r="N486" i="41"/>
  <c r="O486" i="41" s="1"/>
  <c r="P486" i="41" s="1"/>
  <c r="N487" i="41"/>
  <c r="O487" i="41" s="1"/>
  <c r="P487" i="41" s="1"/>
  <c r="N273" i="41"/>
  <c r="O273" i="41" s="1"/>
  <c r="P273" i="41" s="1"/>
  <c r="N226" i="41"/>
  <c r="O226" i="41" s="1"/>
  <c r="P226" i="41" s="1"/>
  <c r="N523" i="41"/>
  <c r="O523" i="41" s="1"/>
  <c r="P523" i="41" s="1"/>
  <c r="N489" i="41"/>
  <c r="O489" i="41" s="1"/>
  <c r="P489" i="41" s="1"/>
  <c r="N284" i="41"/>
  <c r="O284" i="41" s="1"/>
  <c r="P284" i="41" s="1"/>
  <c r="N670" i="41"/>
  <c r="O670" i="41" s="1"/>
  <c r="P670" i="41" s="1"/>
  <c r="N491" i="41"/>
  <c r="O491" i="41" s="1"/>
  <c r="P491" i="41" s="1"/>
  <c r="N22" i="41"/>
  <c r="O22" i="41" s="1"/>
  <c r="P22" i="41" s="1"/>
  <c r="N60" i="41"/>
  <c r="O60" i="41" s="1"/>
  <c r="P60" i="41" s="1"/>
  <c r="N581" i="41"/>
  <c r="O581" i="41" s="1"/>
  <c r="P581" i="41" s="1"/>
  <c r="N493" i="41"/>
  <c r="O493" i="41" s="1"/>
  <c r="P493" i="41" s="1"/>
  <c r="N494" i="41"/>
  <c r="O494" i="41" s="1"/>
  <c r="P494" i="41" s="1"/>
  <c r="N743" i="41"/>
  <c r="O743" i="41" s="1"/>
  <c r="P743" i="41" s="1"/>
  <c r="N715" i="41"/>
  <c r="O715" i="41" s="1"/>
  <c r="P715" i="41" s="1"/>
  <c r="N502" i="41"/>
  <c r="O502" i="41" s="1"/>
  <c r="P502" i="41" s="1"/>
  <c r="N498" i="41"/>
  <c r="O498" i="41" s="1"/>
  <c r="P498" i="41" s="1"/>
  <c r="N499" i="41"/>
  <c r="O499" i="41" s="1"/>
  <c r="P499" i="41" s="1"/>
  <c r="N658" i="41"/>
  <c r="O658" i="41" s="1"/>
  <c r="P658" i="41" s="1"/>
  <c r="N394" i="41"/>
  <c r="O394" i="41" s="1"/>
  <c r="P394" i="41" s="1"/>
  <c r="N501" i="41"/>
  <c r="O501" i="41" s="1"/>
  <c r="P501" i="41" s="1"/>
  <c r="N101" i="41"/>
  <c r="O101" i="41" s="1"/>
  <c r="P101" i="41" s="1"/>
  <c r="N528" i="41"/>
  <c r="O528" i="41" s="1"/>
  <c r="P528" i="41" s="1"/>
  <c r="N358" i="41"/>
  <c r="O358" i="41" s="1"/>
  <c r="P358" i="41" s="1"/>
  <c r="N503" i="41"/>
  <c r="O503" i="41" s="1"/>
  <c r="P503" i="41" s="1"/>
  <c r="N730" i="41"/>
  <c r="O730" i="41" s="1"/>
  <c r="P730" i="41" s="1"/>
  <c r="N82" i="41"/>
  <c r="O82" i="41" s="1"/>
  <c r="P82" i="41" s="1"/>
  <c r="N505" i="41"/>
  <c r="O505" i="41" s="1"/>
  <c r="P505" i="41" s="1"/>
  <c r="N25" i="41"/>
  <c r="O25" i="41" s="1"/>
  <c r="P25" i="41" s="1"/>
  <c r="N506" i="41"/>
  <c r="O506" i="41" s="1"/>
  <c r="P506" i="41" s="1"/>
  <c r="N598" i="41"/>
  <c r="O598" i="41" s="1"/>
  <c r="P598" i="41" s="1"/>
  <c r="N145" i="41"/>
  <c r="O145" i="41" s="1"/>
  <c r="P145" i="41" s="1"/>
  <c r="N560" i="41"/>
  <c r="O560" i="41" s="1"/>
  <c r="P560" i="41" s="1"/>
  <c r="N509" i="41"/>
  <c r="O509" i="41" s="1"/>
  <c r="P509" i="41" s="1"/>
  <c r="N742" i="41"/>
  <c r="O742" i="41" s="1"/>
  <c r="P742" i="41" s="1"/>
  <c r="N279" i="41"/>
  <c r="O279" i="41" s="1"/>
  <c r="P279" i="41" s="1"/>
  <c r="N511" i="41"/>
  <c r="O511" i="41" s="1"/>
  <c r="P511" i="41" s="1"/>
  <c r="N512" i="41"/>
  <c r="O512" i="41" s="1"/>
  <c r="P512" i="41" s="1"/>
  <c r="N513" i="41"/>
  <c r="O513" i="41" s="1"/>
  <c r="P513" i="41" s="1"/>
  <c r="N272" i="41"/>
  <c r="O272" i="41" s="1"/>
  <c r="P272" i="41" s="1"/>
  <c r="N19" i="41"/>
  <c r="O19" i="41" s="1"/>
  <c r="P19" i="41" s="1"/>
  <c r="N305" i="41"/>
  <c r="O305" i="41" s="1"/>
  <c r="P305" i="41" s="1"/>
  <c r="N166" i="41"/>
  <c r="O166" i="41" s="1"/>
  <c r="P166" i="41" s="1"/>
  <c r="N514" i="41"/>
  <c r="O514" i="41" s="1"/>
  <c r="P514" i="41" s="1"/>
  <c r="N515" i="41"/>
  <c r="O515" i="41" s="1"/>
  <c r="P515" i="41" s="1"/>
  <c r="N516" i="41"/>
  <c r="O516" i="41" s="1"/>
  <c r="P516" i="41" s="1"/>
  <c r="N797" i="41"/>
  <c r="O797" i="41" s="1"/>
  <c r="P797" i="41" s="1"/>
  <c r="N120" i="41"/>
  <c r="O120" i="41" s="1"/>
  <c r="P120" i="41" s="1"/>
  <c r="N518" i="41"/>
  <c r="O518" i="41" s="1"/>
  <c r="P518" i="41" s="1"/>
  <c r="N817" i="41"/>
  <c r="O817" i="41" s="1"/>
  <c r="P817" i="41" s="1"/>
  <c r="N519" i="41"/>
  <c r="O519" i="41" s="1"/>
  <c r="P519" i="41" s="1"/>
  <c r="N344" i="41"/>
  <c r="O344" i="41" s="1"/>
  <c r="P344" i="41" s="1"/>
  <c r="N520" i="41"/>
  <c r="O520" i="41" s="1"/>
  <c r="P520" i="41" s="1"/>
  <c r="N521" i="41"/>
  <c r="O521" i="41" s="1"/>
  <c r="P521" i="41" s="1"/>
  <c r="N522" i="41"/>
  <c r="O522" i="41" s="1"/>
  <c r="P522" i="41" s="1"/>
  <c r="N129" i="41"/>
  <c r="O129" i="41" s="1"/>
  <c r="P129" i="41" s="1"/>
  <c r="N576" i="41"/>
  <c r="O576" i="41" s="1"/>
  <c r="P576" i="41" s="1"/>
  <c r="N524" i="41"/>
  <c r="O524" i="41" s="1"/>
  <c r="P524" i="41" s="1"/>
  <c r="N525" i="41"/>
  <c r="O525" i="41" s="1"/>
  <c r="P525" i="41" s="1"/>
  <c r="N526" i="41"/>
  <c r="O526" i="41" s="1"/>
  <c r="P526" i="41" s="1"/>
  <c r="N697" i="41"/>
  <c r="O697" i="41" s="1"/>
  <c r="P697" i="41" s="1"/>
  <c r="N268" i="41"/>
  <c r="O268" i="41" s="1"/>
  <c r="P268" i="41" s="1"/>
  <c r="N716" i="41"/>
  <c r="O716" i="41" s="1"/>
  <c r="P716" i="41" s="1"/>
  <c r="N461" i="41"/>
  <c r="O461" i="41" s="1"/>
  <c r="P461" i="41" s="1"/>
  <c r="N566" i="41"/>
  <c r="O566" i="41" s="1"/>
  <c r="P566" i="41" s="1"/>
  <c r="N23" i="41"/>
  <c r="O23" i="41" s="1"/>
  <c r="P23" i="41" s="1"/>
  <c r="N706" i="41"/>
  <c r="O706" i="41" s="1"/>
  <c r="P706" i="41" s="1"/>
  <c r="N531" i="41"/>
  <c r="O531" i="41" s="1"/>
  <c r="P531" i="41" s="1"/>
  <c r="N488" i="41"/>
  <c r="O488" i="41" s="1"/>
  <c r="P488" i="41" s="1"/>
  <c r="N424" i="41"/>
  <c r="O424" i="41" s="1"/>
  <c r="P424" i="41" s="1"/>
  <c r="N466" i="41"/>
  <c r="O466" i="41" s="1"/>
  <c r="P466" i="41" s="1"/>
  <c r="N582" i="41"/>
  <c r="O582" i="41" s="1"/>
  <c r="P582" i="41" s="1"/>
  <c r="N371" i="41"/>
  <c r="O371" i="41" s="1"/>
  <c r="P371" i="41" s="1"/>
  <c r="N534" i="41"/>
  <c r="O534" i="41" s="1"/>
  <c r="P534" i="41" s="1"/>
  <c r="N535" i="41"/>
  <c r="O535" i="41" s="1"/>
  <c r="P535" i="41" s="1"/>
  <c r="N536" i="41"/>
  <c r="O536" i="41" s="1"/>
  <c r="P536" i="41" s="1"/>
  <c r="N537" i="41"/>
  <c r="O537" i="41" s="1"/>
  <c r="P537" i="41" s="1"/>
  <c r="N707" i="41"/>
  <c r="O707" i="41" s="1"/>
  <c r="P707" i="41" s="1"/>
  <c r="N64" i="41"/>
  <c r="O64" i="41" s="1"/>
  <c r="P64" i="41" s="1"/>
  <c r="N204" i="41"/>
  <c r="O204" i="41" s="1"/>
  <c r="P204" i="41" s="1"/>
  <c r="N539" i="41"/>
  <c r="O539" i="41" s="1"/>
  <c r="P539" i="41" s="1"/>
  <c r="N209" i="41"/>
  <c r="O209" i="41" s="1"/>
  <c r="P209" i="41" s="1"/>
  <c r="N540" i="41"/>
  <c r="O540" i="41" s="1"/>
  <c r="P540" i="41" s="1"/>
  <c r="N142" i="41"/>
  <c r="O142" i="41" s="1"/>
  <c r="P142" i="41" s="1"/>
  <c r="N685" i="41"/>
  <c r="O685" i="41" s="1"/>
  <c r="P685" i="41" s="1"/>
  <c r="N542" i="41"/>
  <c r="O542" i="41" s="1"/>
  <c r="P542" i="41" s="1"/>
  <c r="N543" i="41"/>
  <c r="O543" i="41" s="1"/>
  <c r="P543" i="41" s="1"/>
  <c r="N544" i="41"/>
  <c r="O544" i="41" s="1"/>
  <c r="P544" i="41" s="1"/>
  <c r="N247" i="41"/>
  <c r="O247" i="41" s="1"/>
  <c r="P247" i="41" s="1"/>
  <c r="N57" i="41"/>
  <c r="O57" i="41" s="1"/>
  <c r="P57" i="41" s="1"/>
  <c r="N403" i="41"/>
  <c r="O403" i="41" s="1"/>
  <c r="P403" i="41" s="1"/>
  <c r="N545" i="41"/>
  <c r="O545" i="41" s="1"/>
  <c r="P545" i="41" s="1"/>
  <c r="N546" i="41"/>
  <c r="O546" i="41" s="1"/>
  <c r="P546" i="41" s="1"/>
  <c r="N547" i="41"/>
  <c r="O547" i="41" s="1"/>
  <c r="P547" i="41" s="1"/>
  <c r="N548" i="41"/>
  <c r="O548" i="41" s="1"/>
  <c r="P548" i="41" s="1"/>
  <c r="N496" i="41"/>
  <c r="O496" i="41" s="1"/>
  <c r="P496" i="41" s="1"/>
  <c r="N550" i="41"/>
  <c r="O550" i="41" s="1"/>
  <c r="P550" i="41" s="1"/>
  <c r="N551" i="41"/>
  <c r="O551" i="41" s="1"/>
  <c r="P551" i="41" s="1"/>
  <c r="N587" i="41"/>
  <c r="O587" i="41" s="1"/>
  <c r="P587" i="41" s="1"/>
  <c r="N553" i="41"/>
  <c r="O553" i="41" s="1"/>
  <c r="P553" i="41" s="1"/>
  <c r="N554" i="41"/>
  <c r="O554" i="41" s="1"/>
  <c r="P554" i="41" s="1"/>
  <c r="N555" i="41"/>
  <c r="O555" i="41" s="1"/>
  <c r="P555" i="41" s="1"/>
  <c r="N556" i="41"/>
  <c r="O556" i="41" s="1"/>
  <c r="P556" i="41" s="1"/>
  <c r="N557" i="41"/>
  <c r="O557" i="41" s="1"/>
  <c r="P557" i="41" s="1"/>
  <c r="N472" i="41"/>
  <c r="O472" i="41" s="1"/>
  <c r="P472" i="41" s="1"/>
  <c r="N558" i="41"/>
  <c r="O558" i="41" s="1"/>
  <c r="P558" i="41" s="1"/>
  <c r="N559" i="41"/>
  <c r="O559" i="41" s="1"/>
  <c r="P559" i="41" s="1"/>
  <c r="N781" i="41"/>
  <c r="O781" i="41" s="1"/>
  <c r="P781" i="41" s="1"/>
  <c r="N721" i="41"/>
  <c r="O721" i="41" s="1"/>
  <c r="P721" i="41" s="1"/>
  <c r="N562" i="41"/>
  <c r="O562" i="41" s="1"/>
  <c r="P562" i="41" s="1"/>
  <c r="N563" i="41"/>
  <c r="O563" i="41" s="1"/>
  <c r="P563" i="41" s="1"/>
  <c r="N564" i="41"/>
  <c r="O564" i="41" s="1"/>
  <c r="P564" i="41" s="1"/>
  <c r="N232" i="41"/>
  <c r="O232" i="41" s="1"/>
  <c r="P232" i="41" s="1"/>
  <c r="N815" i="41"/>
  <c r="O815" i="41" s="1"/>
  <c r="P815" i="41" s="1"/>
  <c r="N565" i="41"/>
  <c r="O565" i="41" s="1"/>
  <c r="P565" i="41" s="1"/>
  <c r="N607" i="41"/>
  <c r="O607" i="41" s="1"/>
  <c r="P607" i="41" s="1"/>
  <c r="N376" i="41"/>
  <c r="O376" i="41" s="1"/>
  <c r="P376" i="41" s="1"/>
  <c r="N567" i="41"/>
  <c r="O567" i="41" s="1"/>
  <c r="P567" i="41" s="1"/>
  <c r="N149" i="41"/>
  <c r="O149" i="41" s="1"/>
  <c r="P149" i="41" s="1"/>
  <c r="N532" i="41"/>
  <c r="O532" i="41" s="1"/>
  <c r="P532" i="41" s="1"/>
  <c r="N360" i="41"/>
  <c r="O360" i="41" s="1"/>
  <c r="P360" i="41" s="1"/>
  <c r="N699" i="41"/>
  <c r="O699" i="41" s="1"/>
  <c r="P699" i="41" s="1"/>
  <c r="N570" i="41"/>
  <c r="O570" i="41" s="1"/>
  <c r="P570" i="41" s="1"/>
  <c r="N571" i="41"/>
  <c r="O571" i="41" s="1"/>
  <c r="P571" i="41" s="1"/>
  <c r="N572" i="41"/>
  <c r="O572" i="41" s="1"/>
  <c r="P572" i="41" s="1"/>
  <c r="N573" i="41"/>
  <c r="O573" i="41" s="1"/>
  <c r="P573" i="41" s="1"/>
  <c r="N433" i="41"/>
  <c r="O433" i="41" s="1"/>
  <c r="P433" i="41" s="1"/>
  <c r="N574" i="41"/>
  <c r="O574" i="41" s="1"/>
  <c r="P574" i="41" s="1"/>
  <c r="N530" i="41"/>
  <c r="O530" i="41" s="1"/>
  <c r="P530" i="41" s="1"/>
  <c r="N668" i="41"/>
  <c r="O668" i="41" s="1"/>
  <c r="P668" i="41" s="1"/>
  <c r="N577" i="41"/>
  <c r="O577" i="41" s="1"/>
  <c r="P577" i="41" s="1"/>
  <c r="N578" i="41"/>
  <c r="O578" i="41" s="1"/>
  <c r="P578" i="41" s="1"/>
  <c r="N533" i="41"/>
  <c r="O533" i="41" s="1"/>
  <c r="P533" i="41" s="1"/>
  <c r="N529" i="41"/>
  <c r="O529" i="41" s="1"/>
  <c r="P529" i="41" s="1"/>
  <c r="N735" i="41"/>
  <c r="O735" i="41" s="1"/>
  <c r="P735" i="41" s="1"/>
  <c r="N690" i="41"/>
  <c r="O690" i="41" s="1"/>
  <c r="P690" i="41" s="1"/>
  <c r="N583" i="41"/>
  <c r="O583" i="41" s="1"/>
  <c r="P583" i="41" s="1"/>
  <c r="N395" i="41"/>
  <c r="O395" i="41" s="1"/>
  <c r="P395" i="41" s="1"/>
  <c r="N175" i="41"/>
  <c r="O175" i="41" s="1"/>
  <c r="P175" i="41" s="1"/>
  <c r="N174" i="41"/>
  <c r="O174" i="41" s="1"/>
  <c r="P174" i="41" s="1"/>
  <c r="N584" i="41"/>
  <c r="O584" i="41" s="1"/>
  <c r="P584" i="41" s="1"/>
  <c r="N438" i="41"/>
  <c r="O438" i="41" s="1"/>
  <c r="P438" i="41" s="1"/>
  <c r="N373" i="41"/>
  <c r="O373" i="41" s="1"/>
  <c r="P373" i="41" s="1"/>
  <c r="N21" i="41"/>
  <c r="O21" i="41" s="1"/>
  <c r="P21" i="41" s="1"/>
  <c r="N585" i="41"/>
  <c r="O585" i="41" s="1"/>
  <c r="P585" i="41" s="1"/>
  <c r="N586" i="41"/>
  <c r="O586" i="41" s="1"/>
  <c r="P586" i="41" s="1"/>
  <c r="N708" i="41"/>
  <c r="O708" i="41" s="1"/>
  <c r="P708" i="41" s="1"/>
  <c r="N588" i="41"/>
  <c r="O588" i="41" s="1"/>
  <c r="P588" i="41" s="1"/>
  <c r="N312" i="41"/>
  <c r="O312" i="41" s="1"/>
  <c r="P312" i="41" s="1"/>
  <c r="N589" i="41"/>
  <c r="O589" i="41" s="1"/>
  <c r="P589" i="41" s="1"/>
  <c r="N590" i="41"/>
  <c r="O590" i="41" s="1"/>
  <c r="P590" i="41" s="1"/>
  <c r="N31" i="41"/>
  <c r="O31" i="41" s="1"/>
  <c r="P31" i="41" s="1"/>
  <c r="N591" i="41"/>
  <c r="O591" i="41" s="1"/>
  <c r="P591" i="41" s="1"/>
  <c r="N762" i="41"/>
  <c r="O762" i="41" s="1"/>
  <c r="P762" i="41" s="1"/>
  <c r="N161" i="41"/>
  <c r="O161" i="41" s="1"/>
  <c r="P161" i="41" s="1"/>
  <c r="N593" i="41"/>
  <c r="O593" i="41" s="1"/>
  <c r="P593" i="41" s="1"/>
  <c r="N538" i="41"/>
  <c r="O538" i="41" s="1"/>
  <c r="P538" i="41" s="1"/>
  <c r="N595" i="41"/>
  <c r="O595" i="41" s="1"/>
  <c r="P595" i="41" s="1"/>
  <c r="N596" i="41"/>
  <c r="O596" i="41" s="1"/>
  <c r="P596" i="41" s="1"/>
  <c r="N597" i="41"/>
  <c r="O597" i="41" s="1"/>
  <c r="P597" i="41" s="1"/>
  <c r="N654" i="41"/>
  <c r="O654" i="41" s="1"/>
  <c r="P654" i="41" s="1"/>
  <c r="N599" i="41"/>
  <c r="O599" i="41" s="1"/>
  <c r="P599" i="41" s="1"/>
  <c r="N655" i="41"/>
  <c r="O655" i="41" s="1"/>
  <c r="P655" i="41" s="1"/>
  <c r="N601" i="41"/>
  <c r="O601" i="41" s="1"/>
  <c r="P601" i="41" s="1"/>
  <c r="N602" i="41"/>
  <c r="O602" i="41" s="1"/>
  <c r="P602" i="41" s="1"/>
  <c r="N603" i="41"/>
  <c r="O603" i="41" s="1"/>
  <c r="P603" i="41" s="1"/>
  <c r="N579" i="41"/>
  <c r="O579" i="41" s="1"/>
  <c r="P579" i="41" s="1"/>
  <c r="N811" i="41"/>
  <c r="O811" i="41" s="1"/>
  <c r="P811" i="41" s="1"/>
  <c r="N605" i="41"/>
  <c r="O605" i="41" s="1"/>
  <c r="P605" i="41" s="1"/>
  <c r="N753" i="41"/>
  <c r="O753" i="41" s="1"/>
  <c r="P753" i="41" s="1"/>
  <c r="N495" i="41"/>
  <c r="O495" i="41" s="1"/>
  <c r="P495" i="41" s="1"/>
  <c r="N32" i="41"/>
  <c r="O32" i="41" s="1"/>
  <c r="P32" i="41" s="1"/>
  <c r="N608" i="41"/>
  <c r="O608" i="41" s="1"/>
  <c r="P608" i="41" s="1"/>
  <c r="N609" i="41"/>
  <c r="O609" i="41" s="1"/>
  <c r="P609" i="41" s="1"/>
  <c r="N610" i="41"/>
  <c r="O610" i="41" s="1"/>
  <c r="P610" i="41" s="1"/>
  <c r="N611" i="41"/>
  <c r="O611" i="41" s="1"/>
  <c r="P611" i="41" s="1"/>
  <c r="N98" i="41"/>
  <c r="O98" i="41" s="1"/>
  <c r="P98" i="41" s="1"/>
  <c r="N612" i="41"/>
  <c r="O612" i="41" s="1"/>
  <c r="P612" i="41" s="1"/>
  <c r="N446" i="41"/>
  <c r="O446" i="41" s="1"/>
  <c r="P446" i="41" s="1"/>
  <c r="N613" i="41"/>
  <c r="O613" i="41" s="1"/>
  <c r="P613" i="41" s="1"/>
  <c r="N614" i="41"/>
  <c r="O614" i="41" s="1"/>
  <c r="P614" i="41" s="1"/>
  <c r="N615" i="41"/>
  <c r="O615" i="41" s="1"/>
  <c r="P615" i="41" s="1"/>
  <c r="N184" i="41"/>
  <c r="O184" i="41" s="1"/>
  <c r="P184" i="41" s="1"/>
  <c r="N616" i="41"/>
  <c r="O616" i="41" s="1"/>
  <c r="P616" i="41" s="1"/>
  <c r="N617" i="41"/>
  <c r="O617" i="41" s="1"/>
  <c r="P617" i="41" s="1"/>
  <c r="N618" i="41"/>
  <c r="O618" i="41" s="1"/>
  <c r="P618" i="41" s="1"/>
  <c r="N619" i="41"/>
  <c r="O619" i="41" s="1"/>
  <c r="P619" i="41" s="1"/>
  <c r="N620" i="41"/>
  <c r="O620" i="41" s="1"/>
  <c r="P620" i="41" s="1"/>
  <c r="N621" i="41"/>
  <c r="O621" i="41" s="1"/>
  <c r="P621" i="41" s="1"/>
  <c r="N761" i="41"/>
  <c r="O761" i="41" s="1"/>
  <c r="P761" i="41" s="1"/>
  <c r="N623" i="41"/>
  <c r="O623" i="41" s="1"/>
  <c r="P623" i="41" s="1"/>
  <c r="N624" i="41"/>
  <c r="O624" i="41" s="1"/>
  <c r="P624" i="41" s="1"/>
  <c r="N253" i="41"/>
  <c r="O253" i="41" s="1"/>
  <c r="P253" i="41" s="1"/>
  <c r="N625" i="41"/>
  <c r="O625" i="41" s="1"/>
  <c r="P625" i="41" s="1"/>
  <c r="N626" i="41"/>
  <c r="O626" i="41" s="1"/>
  <c r="P626" i="41" s="1"/>
  <c r="N627" i="41"/>
  <c r="O627" i="41" s="1"/>
  <c r="P627" i="41" s="1"/>
  <c r="N316" i="41"/>
  <c r="O316" i="41" s="1"/>
  <c r="P316" i="41" s="1"/>
  <c r="N628" i="41"/>
  <c r="O628" i="41" s="1"/>
  <c r="P628" i="41" s="1"/>
  <c r="N9" i="41"/>
  <c r="O9" i="41" s="1"/>
  <c r="P9" i="41" s="1"/>
  <c r="N629" i="41"/>
  <c r="O629" i="41" s="1"/>
  <c r="P629" i="41" s="1"/>
  <c r="N630" i="41"/>
  <c r="O630" i="41" s="1"/>
  <c r="P630" i="41" s="1"/>
  <c r="N631" i="41"/>
  <c r="O631" i="41" s="1"/>
  <c r="P631" i="41" s="1"/>
  <c r="N3" i="41"/>
  <c r="O3" i="41" s="1"/>
  <c r="P3" i="41" s="1"/>
  <c r="N632" i="41"/>
  <c r="O632" i="41" s="1"/>
  <c r="P632" i="41" s="1"/>
  <c r="N633" i="41"/>
  <c r="O633" i="41" s="1"/>
  <c r="P633" i="41" s="1"/>
  <c r="N634" i="41"/>
  <c r="O634" i="41" s="1"/>
  <c r="P634" i="41" s="1"/>
  <c r="N320" i="41"/>
  <c r="O320" i="41" s="1"/>
  <c r="P320" i="41" s="1"/>
  <c r="N592" i="41"/>
  <c r="O592" i="41" s="1"/>
  <c r="P592" i="41" s="1"/>
  <c r="N381" i="41"/>
  <c r="O381" i="41" s="1"/>
  <c r="P381" i="41" s="1"/>
  <c r="N636" i="41"/>
  <c r="O636" i="41" s="1"/>
  <c r="P636" i="41" s="1"/>
  <c r="N637" i="41"/>
  <c r="O637" i="41" s="1"/>
  <c r="P637" i="41" s="1"/>
  <c r="N109" i="41"/>
  <c r="O109" i="41" s="1"/>
  <c r="P109" i="41" s="1"/>
  <c r="N638" i="41"/>
  <c r="O638" i="41" s="1"/>
  <c r="P638" i="41" s="1"/>
  <c r="N639" i="41"/>
  <c r="O639" i="41" s="1"/>
  <c r="P639" i="41" s="1"/>
  <c r="N698" i="41"/>
  <c r="O698" i="41" s="1"/>
  <c r="P698" i="41" s="1"/>
  <c r="N641" i="41"/>
  <c r="O641" i="41" s="1"/>
  <c r="P641" i="41" s="1"/>
  <c r="N121" i="41"/>
  <c r="O121" i="41" s="1"/>
  <c r="P121" i="41" s="1"/>
  <c r="N642" i="41"/>
  <c r="O642" i="41" s="1"/>
  <c r="P642" i="41" s="1"/>
  <c r="N643" i="41"/>
  <c r="O643" i="41" s="1"/>
  <c r="P643" i="41" s="1"/>
  <c r="N123" i="41"/>
  <c r="O123" i="41" s="1"/>
  <c r="P123" i="41" s="1"/>
  <c r="N442" i="41"/>
  <c r="O442" i="41" s="1"/>
  <c r="P442" i="41" s="1"/>
  <c r="N644" i="41"/>
  <c r="O644" i="41" s="1"/>
  <c r="P644" i="41" s="1"/>
  <c r="N645" i="41"/>
  <c r="O645" i="41" s="1"/>
  <c r="P645" i="41" s="1"/>
  <c r="N739" i="41"/>
  <c r="O739" i="41" s="1"/>
  <c r="P739" i="41" s="1"/>
  <c r="N671" i="41"/>
  <c r="O671" i="41" s="1"/>
  <c r="P671" i="41" s="1"/>
  <c r="N648" i="41"/>
  <c r="O648" i="41" s="1"/>
  <c r="P648" i="41" s="1"/>
  <c r="N234" i="41"/>
  <c r="O234" i="41" s="1"/>
  <c r="P234" i="41" s="1"/>
  <c r="N649" i="41"/>
  <c r="O649" i="41" s="1"/>
  <c r="P649" i="41" s="1"/>
  <c r="N58" i="41"/>
  <c r="O58" i="41" s="1"/>
  <c r="P58" i="41" s="1"/>
  <c r="N650" i="41"/>
  <c r="O650" i="41" s="1"/>
  <c r="P650" i="41" s="1"/>
  <c r="N432" i="41"/>
  <c r="O432" i="41" s="1"/>
  <c r="P432" i="41" s="1"/>
  <c r="N463" i="41"/>
  <c r="O463" i="41" s="1"/>
  <c r="P463" i="41" s="1"/>
  <c r="N651" i="41"/>
  <c r="O651" i="41" s="1"/>
  <c r="P651" i="41" s="1"/>
  <c r="N552" i="41"/>
  <c r="O552" i="41" s="1"/>
  <c r="P552" i="41" s="1"/>
  <c r="N647" i="41"/>
  <c r="O647" i="41" s="1"/>
  <c r="P647" i="41" s="1"/>
  <c r="N159" i="41"/>
  <c r="O159" i="41" s="1"/>
  <c r="P159" i="41" s="1"/>
  <c r="N151" i="41"/>
  <c r="O151" i="41" s="1"/>
  <c r="P151" i="41" s="1"/>
  <c r="N569" i="41"/>
  <c r="O569" i="41" s="1"/>
  <c r="P569" i="41" s="1"/>
  <c r="N507" i="41"/>
  <c r="O507" i="41" s="1"/>
  <c r="P507" i="41" s="1"/>
  <c r="N561" i="41"/>
  <c r="O561" i="41" s="1"/>
  <c r="P561" i="41" s="1"/>
  <c r="N657" i="41"/>
  <c r="O657" i="41" s="1"/>
  <c r="P657" i="41" s="1"/>
  <c r="N646" i="41"/>
  <c r="O646" i="41" s="1"/>
  <c r="P646" i="41" s="1"/>
  <c r="N659" i="41"/>
  <c r="O659" i="41" s="1"/>
  <c r="P659" i="41" s="1"/>
  <c r="N673" i="41"/>
  <c r="O673" i="41" s="1"/>
  <c r="P673" i="41" s="1"/>
  <c r="N243" i="41"/>
  <c r="O243" i="41" s="1"/>
  <c r="P243" i="41" s="1"/>
  <c r="N478" i="41"/>
  <c r="O478" i="41" s="1"/>
  <c r="P478" i="41" s="1"/>
  <c r="N662" i="41"/>
  <c r="O662" i="41" s="1"/>
  <c r="P662" i="41" s="1"/>
  <c r="N660" i="41"/>
  <c r="O660" i="41" s="1"/>
  <c r="P660" i="41" s="1"/>
  <c r="N664" i="41"/>
  <c r="O664" i="41" s="1"/>
  <c r="P664" i="41" s="1"/>
  <c r="N665" i="41"/>
  <c r="O665" i="41" s="1"/>
  <c r="P665" i="41" s="1"/>
  <c r="N701" i="41"/>
  <c r="O701" i="41" s="1"/>
  <c r="P701" i="41" s="1"/>
  <c r="N14" i="41"/>
  <c r="O14" i="41" s="1"/>
  <c r="P14" i="41" s="1"/>
  <c r="N347" i="41"/>
  <c r="O347" i="41" s="1"/>
  <c r="P347" i="41" s="1"/>
  <c r="N667" i="41"/>
  <c r="O667" i="41" s="1"/>
  <c r="P667" i="41" s="1"/>
  <c r="N741" i="41"/>
  <c r="O741" i="41" s="1"/>
  <c r="P741" i="41" s="1"/>
  <c r="N274" i="41"/>
  <c r="O274" i="41" s="1"/>
  <c r="P274" i="41" s="1"/>
  <c r="N669" i="41"/>
  <c r="O669" i="41" s="1"/>
  <c r="P669" i="41" s="1"/>
  <c r="N497" i="41"/>
  <c r="O497" i="41" s="1"/>
  <c r="P497" i="41" s="1"/>
  <c r="N693" i="41"/>
  <c r="O693" i="41" s="1"/>
  <c r="P693" i="41" s="1"/>
  <c r="N672" i="41"/>
  <c r="O672" i="41" s="1"/>
  <c r="P672" i="41" s="1"/>
  <c r="N287" i="41"/>
  <c r="O287" i="41" s="1"/>
  <c r="P287" i="41" s="1"/>
  <c r="N517" i="41"/>
  <c r="O517" i="41" s="1"/>
  <c r="P517" i="41" s="1"/>
  <c r="N674" i="41"/>
  <c r="O674" i="41" s="1"/>
  <c r="P674" i="41" s="1"/>
  <c r="N675" i="41"/>
  <c r="O675" i="41" s="1"/>
  <c r="P675" i="41" s="1"/>
  <c r="N676" i="41"/>
  <c r="O676" i="41" s="1"/>
  <c r="P676" i="41" s="1"/>
  <c r="N677" i="41"/>
  <c r="O677" i="41" s="1"/>
  <c r="P677" i="41" s="1"/>
  <c r="N456" i="41"/>
  <c r="O456" i="41" s="1"/>
  <c r="P456" i="41" s="1"/>
  <c r="N678" i="41"/>
  <c r="O678" i="41" s="1"/>
  <c r="P678" i="41" s="1"/>
  <c r="N679" i="41"/>
  <c r="O679" i="41" s="1"/>
  <c r="P679" i="41" s="1"/>
  <c r="N680" i="41"/>
  <c r="O680" i="41" s="1"/>
  <c r="P680" i="41" s="1"/>
  <c r="N681" i="41"/>
  <c r="O681" i="41" s="1"/>
  <c r="P681" i="41" s="1"/>
  <c r="N682" i="41"/>
  <c r="O682" i="41" s="1"/>
  <c r="P682" i="41" s="1"/>
  <c r="N683" i="41"/>
  <c r="O683" i="41" s="1"/>
  <c r="P683" i="41" s="1"/>
  <c r="N684" i="41"/>
  <c r="O684" i="41" s="1"/>
  <c r="P684" i="41" s="1"/>
  <c r="N722" i="41"/>
  <c r="O722" i="41" s="1"/>
  <c r="P722" i="41" s="1"/>
  <c r="N217" i="41"/>
  <c r="O217" i="41" s="1"/>
  <c r="P217" i="41" s="1"/>
  <c r="N686" i="41"/>
  <c r="O686" i="41" s="1"/>
  <c r="P686" i="41" s="1"/>
  <c r="N687" i="41"/>
  <c r="O687" i="41" s="1"/>
  <c r="P687" i="41" s="1"/>
  <c r="N600" i="41"/>
  <c r="O600" i="41" s="1"/>
  <c r="P600" i="41" s="1"/>
  <c r="N695" i="41"/>
  <c r="O695" i="41" s="1"/>
  <c r="P695" i="41" s="1"/>
  <c r="N366" i="41"/>
  <c r="O366" i="41" s="1"/>
  <c r="P366" i="41" s="1"/>
  <c r="N720" i="41"/>
  <c r="O720" i="41" s="1"/>
  <c r="P720" i="41" s="1"/>
  <c r="N241" i="41"/>
  <c r="O241" i="41" s="1"/>
  <c r="P241" i="41" s="1"/>
  <c r="N122" i="41"/>
  <c r="O122" i="41" s="1"/>
  <c r="P122" i="41" s="1"/>
  <c r="N691" i="41"/>
  <c r="O691" i="41" s="1"/>
  <c r="P691" i="41" s="1"/>
  <c r="N692" i="41"/>
  <c r="O692" i="41" s="1"/>
  <c r="P692" i="41" s="1"/>
  <c r="N148" i="41"/>
  <c r="O148" i="41" s="1"/>
  <c r="P148" i="41" s="1"/>
  <c r="N54" i="41"/>
  <c r="O54" i="41" s="1"/>
  <c r="P54" i="41" s="1"/>
  <c r="N661" i="41"/>
  <c r="O661" i="41" s="1"/>
  <c r="P661" i="41" s="1"/>
  <c r="N477" i="41"/>
  <c r="O477" i="41" s="1"/>
  <c r="P477" i="41" s="1"/>
  <c r="N447" i="41"/>
  <c r="O447" i="41" s="1"/>
  <c r="P447" i="41" s="1"/>
  <c r="N696" i="41"/>
  <c r="O696" i="41" s="1"/>
  <c r="P696" i="41" s="1"/>
  <c r="N652" i="41"/>
  <c r="O652" i="41" s="1"/>
  <c r="P652" i="41" s="1"/>
  <c r="N481" i="41"/>
  <c r="O481" i="41" s="1"/>
  <c r="P481" i="41" s="1"/>
  <c r="N726" i="41"/>
  <c r="O726" i="41" s="1"/>
  <c r="P726" i="41" s="1"/>
  <c r="N700" i="41"/>
  <c r="O700" i="41" s="1"/>
  <c r="P700" i="41" s="1"/>
  <c r="N580" i="41"/>
  <c r="O580" i="41" s="1"/>
  <c r="P580" i="41" s="1"/>
  <c r="N702" i="41"/>
  <c r="O702" i="41" s="1"/>
  <c r="P702" i="41" s="1"/>
  <c r="N703" i="41"/>
  <c r="O703" i="41" s="1"/>
  <c r="P703" i="41" s="1"/>
  <c r="N704" i="41"/>
  <c r="O704" i="41" s="1"/>
  <c r="P704" i="41" s="1"/>
  <c r="N160" i="41"/>
  <c r="O160" i="41" s="1"/>
  <c r="P160" i="41" s="1"/>
  <c r="N705" i="41"/>
  <c r="O705" i="41" s="1"/>
  <c r="P705" i="41" s="1"/>
  <c r="N622" i="41"/>
  <c r="O622" i="41" s="1"/>
  <c r="P622" i="41" s="1"/>
  <c r="N810" i="41"/>
  <c r="O810" i="41" s="1"/>
  <c r="P810" i="41" s="1"/>
  <c r="N689" i="41"/>
  <c r="O689" i="41" s="1"/>
  <c r="P689" i="41" s="1"/>
  <c r="N709" i="41"/>
  <c r="O709" i="41" s="1"/>
  <c r="P709" i="41" s="1"/>
  <c r="N710" i="41"/>
  <c r="O710" i="41" s="1"/>
  <c r="P710" i="41" s="1"/>
  <c r="N711" i="41"/>
  <c r="O711" i="41" s="1"/>
  <c r="P711" i="41" s="1"/>
  <c r="N712" i="41"/>
  <c r="O712" i="41" s="1"/>
  <c r="P712" i="41" s="1"/>
  <c r="N713" i="41"/>
  <c r="O713" i="41" s="1"/>
  <c r="P713" i="41" s="1"/>
  <c r="N714" i="41"/>
  <c r="O714" i="41" s="1"/>
  <c r="P714" i="41" s="1"/>
  <c r="N527" i="41"/>
  <c r="O527" i="41" s="1"/>
  <c r="P527" i="41" s="1"/>
  <c r="N663" i="41"/>
  <c r="O663" i="41" s="1"/>
  <c r="P663" i="41" s="1"/>
  <c r="N146" i="41"/>
  <c r="O146" i="41" s="1"/>
  <c r="P146" i="41" s="1"/>
  <c r="N462" i="41"/>
  <c r="O462" i="41" s="1"/>
  <c r="P462" i="41" s="1"/>
  <c r="N309" i="41"/>
  <c r="O309" i="41" s="1"/>
  <c r="P309" i="41" s="1"/>
  <c r="N78" i="41"/>
  <c r="O78" i="41" s="1"/>
  <c r="P78" i="41" s="1"/>
  <c r="N717" i="41"/>
  <c r="O717" i="41" s="1"/>
  <c r="P717" i="41" s="1"/>
  <c r="N718" i="41"/>
  <c r="O718" i="41" s="1"/>
  <c r="P718" i="41" s="1"/>
  <c r="N719" i="41"/>
  <c r="O719" i="41" s="1"/>
  <c r="P719" i="41" s="1"/>
  <c r="N731" i="41"/>
  <c r="O731" i="41" s="1"/>
  <c r="P731" i="41" s="1"/>
  <c r="N635" i="41"/>
  <c r="O635" i="41" s="1"/>
  <c r="P635" i="41" s="1"/>
  <c r="N694" i="41"/>
  <c r="O694" i="41" s="1"/>
  <c r="P694" i="41" s="1"/>
  <c r="N482" i="41"/>
  <c r="O482" i="41" s="1"/>
  <c r="P482" i="41" s="1"/>
  <c r="N724" i="41"/>
  <c r="O724" i="41" s="1"/>
  <c r="P724" i="41" s="1"/>
  <c r="N59" i="41"/>
  <c r="O59" i="41" s="1"/>
  <c r="P59" i="41" s="1"/>
  <c r="N725" i="41"/>
  <c r="O725" i="41" s="1"/>
  <c r="P725" i="41" s="1"/>
  <c r="N340" i="41"/>
  <c r="O340" i="41" s="1"/>
  <c r="P340" i="41" s="1"/>
  <c r="N510" i="41"/>
  <c r="O510" i="41" s="1"/>
  <c r="P510" i="41" s="1"/>
  <c r="N8" i="41"/>
  <c r="O8" i="41" s="1"/>
  <c r="P8" i="41" s="1"/>
  <c r="N727" i="41"/>
  <c r="O727" i="41" s="1"/>
  <c r="P727" i="41" s="1"/>
  <c r="N728" i="41"/>
  <c r="O728" i="41" s="1"/>
  <c r="P728" i="41" s="1"/>
  <c r="N729" i="41"/>
  <c r="O729" i="41" s="1"/>
  <c r="P729" i="41" s="1"/>
  <c r="N187" i="41"/>
  <c r="O187" i="41" s="1"/>
  <c r="P187" i="41" s="1"/>
  <c r="N575" i="41"/>
  <c r="O575" i="41" s="1"/>
  <c r="P575" i="41" s="1"/>
  <c r="N492" i="41"/>
  <c r="O492" i="41" s="1"/>
  <c r="P492" i="41" s="1"/>
  <c r="N732" i="41"/>
  <c r="O732" i="41" s="1"/>
  <c r="P732" i="41" s="1"/>
  <c r="N20" i="41"/>
  <c r="O20" i="41" s="1"/>
  <c r="P20" i="41" s="1"/>
  <c r="N315" i="41"/>
  <c r="O315" i="41" s="1"/>
  <c r="P315" i="41" s="1"/>
  <c r="N733" i="41"/>
  <c r="O733" i="41" s="1"/>
  <c r="P733" i="41" s="1"/>
  <c r="N734" i="41"/>
  <c r="O734" i="41" s="1"/>
  <c r="P734" i="41" s="1"/>
  <c r="N723" i="41"/>
  <c r="O723" i="41" s="1"/>
  <c r="P723" i="41" s="1"/>
  <c r="N736" i="41"/>
  <c r="O736" i="41" s="1"/>
  <c r="P736" i="41" s="1"/>
  <c r="N171" i="41"/>
  <c r="O171" i="41" s="1"/>
  <c r="P171" i="41" s="1"/>
  <c r="N737" i="41"/>
  <c r="O737" i="41" s="1"/>
  <c r="P737" i="41" s="1"/>
  <c r="N435" i="41"/>
  <c r="O435" i="41" s="1"/>
  <c r="P435" i="41" s="1"/>
  <c r="N738" i="41"/>
  <c r="O738" i="41" s="1"/>
  <c r="P738" i="41" s="1"/>
  <c r="N365" i="41"/>
  <c r="O365" i="41" s="1"/>
  <c r="P365" i="41" s="1"/>
  <c r="N216" i="41"/>
  <c r="O216" i="41" s="1"/>
  <c r="P216" i="41" s="1"/>
  <c r="N568" i="41"/>
  <c r="O568" i="41" s="1"/>
  <c r="P568" i="41" s="1"/>
  <c r="N740" i="41"/>
  <c r="O740" i="41" s="1"/>
  <c r="P740" i="41" s="1"/>
  <c r="N490" i="41"/>
  <c r="O490" i="41" s="1"/>
  <c r="P490" i="41" s="1"/>
  <c r="N640" i="41"/>
  <c r="O640" i="41" s="1"/>
  <c r="P640" i="41" s="1"/>
  <c r="N363" i="41"/>
  <c r="O363" i="41" s="1"/>
  <c r="P363" i="41" s="1"/>
  <c r="N443" i="41"/>
  <c r="O443" i="41" s="1"/>
  <c r="P443" i="41" s="1"/>
  <c r="N450" i="41"/>
  <c r="O450" i="41" s="1"/>
  <c r="P450" i="41" s="1"/>
  <c r="N79" i="41"/>
  <c r="O79" i="41" s="1"/>
  <c r="P79" i="41" s="1"/>
  <c r="N594" i="41"/>
  <c r="O594" i="41" s="1"/>
  <c r="P594" i="41" s="1"/>
  <c r="N744" i="41"/>
  <c r="O744" i="41" s="1"/>
  <c r="P744" i="41" s="1"/>
  <c r="N745" i="41"/>
  <c r="O745" i="41" s="1"/>
  <c r="P745" i="41" s="1"/>
  <c r="N746" i="41"/>
  <c r="O746" i="41" s="1"/>
  <c r="P746" i="41" s="1"/>
  <c r="N134" i="41"/>
  <c r="O134" i="41" s="1"/>
  <c r="P134" i="41" s="1"/>
  <c r="N384" i="41"/>
  <c r="O384" i="41" s="1"/>
  <c r="P384" i="41" s="1"/>
  <c r="N747" i="41"/>
  <c r="O747" i="41" s="1"/>
  <c r="P747" i="41" s="1"/>
  <c r="N748" i="41"/>
  <c r="O748" i="41" s="1"/>
  <c r="P748" i="41" s="1"/>
  <c r="N444" i="41"/>
  <c r="O444" i="41" s="1"/>
  <c r="P444" i="41" s="1"/>
  <c r="N331" i="41"/>
  <c r="O331" i="41" s="1"/>
  <c r="P331" i="41" s="1"/>
  <c r="N285" i="41"/>
  <c r="O285" i="41" s="1"/>
  <c r="P285" i="41" s="1"/>
  <c r="N749" i="41"/>
  <c r="O749" i="41" s="1"/>
  <c r="P749" i="41" s="1"/>
  <c r="N750" i="41"/>
  <c r="O750" i="41" s="1"/>
  <c r="P750" i="41" s="1"/>
  <c r="N751" i="41"/>
  <c r="O751" i="41" s="1"/>
  <c r="P751" i="41" s="1"/>
  <c r="N378" i="41"/>
  <c r="O378" i="41" s="1"/>
  <c r="P378" i="41" s="1"/>
  <c r="N30" i="41"/>
  <c r="O30" i="41" s="1"/>
  <c r="P30" i="41" s="1"/>
  <c r="N752" i="41"/>
  <c r="O752" i="41" s="1"/>
  <c r="P752" i="41" s="1"/>
  <c r="N653" i="41"/>
  <c r="O653" i="41" s="1"/>
  <c r="P653" i="41" s="1"/>
  <c r="N754" i="41"/>
  <c r="O754" i="41" s="1"/>
  <c r="P754" i="41" s="1"/>
  <c r="N755" i="41"/>
  <c r="O755" i="41" s="1"/>
  <c r="P755" i="41" s="1"/>
  <c r="N756" i="41"/>
  <c r="O756" i="41" s="1"/>
  <c r="P756" i="41" s="1"/>
  <c r="N757" i="41"/>
  <c r="O757" i="41" s="1"/>
  <c r="P757" i="41" s="1"/>
  <c r="N40" i="41"/>
  <c r="O40" i="41" s="1"/>
  <c r="P40" i="41" s="1"/>
  <c r="N758" i="41"/>
  <c r="O758" i="41" s="1"/>
  <c r="P758" i="41" s="1"/>
  <c r="N759" i="41"/>
  <c r="O759" i="41" s="1"/>
  <c r="P759" i="41" s="1"/>
  <c r="N760" i="41"/>
  <c r="O760" i="41" s="1"/>
  <c r="P760" i="41" s="1"/>
  <c r="N604" i="41"/>
  <c r="O604" i="41" s="1"/>
  <c r="P604" i="41" s="1"/>
  <c r="N656" i="41"/>
  <c r="O656" i="41" s="1"/>
  <c r="P656" i="41" s="1"/>
  <c r="N763" i="41"/>
  <c r="O763" i="41" s="1"/>
  <c r="P763" i="41" s="1"/>
  <c r="N303" i="41"/>
  <c r="O303" i="41" s="1"/>
  <c r="P303" i="41" s="1"/>
  <c r="N764" i="41"/>
  <c r="O764" i="41" s="1"/>
  <c r="P764" i="41" s="1"/>
  <c r="N34" i="41"/>
  <c r="O34" i="41" s="1"/>
  <c r="P34" i="41" s="1"/>
  <c r="N765" i="41"/>
  <c r="O765" i="41" s="1"/>
  <c r="P765" i="41" s="1"/>
  <c r="N766" i="41"/>
  <c r="O766" i="41" s="1"/>
  <c r="P766" i="41" s="1"/>
  <c r="N767" i="41"/>
  <c r="O767" i="41" s="1"/>
  <c r="P767" i="41" s="1"/>
  <c r="N768" i="41"/>
  <c r="O768" i="41" s="1"/>
  <c r="P768" i="41" s="1"/>
  <c r="N769" i="41"/>
  <c r="O769" i="41" s="1"/>
  <c r="P769" i="41" s="1"/>
  <c r="N770" i="41"/>
  <c r="O770" i="41" s="1"/>
  <c r="P770" i="41" s="1"/>
  <c r="N771" i="41"/>
  <c r="O771" i="41" s="1"/>
  <c r="P771" i="41" s="1"/>
  <c r="N772" i="41"/>
  <c r="O772" i="41" s="1"/>
  <c r="P772" i="41" s="1"/>
  <c r="N773" i="41"/>
  <c r="O773" i="41" s="1"/>
  <c r="P773" i="41" s="1"/>
  <c r="N774" i="41"/>
  <c r="O774" i="41" s="1"/>
  <c r="P774" i="41" s="1"/>
  <c r="N428" i="41"/>
  <c r="O428" i="41" s="1"/>
  <c r="P428" i="41" s="1"/>
  <c r="N508" i="41"/>
  <c r="O508" i="41" s="1"/>
  <c r="P508" i="41" s="1"/>
  <c r="N776" i="41"/>
  <c r="O776" i="41" s="1"/>
  <c r="P776" i="41" s="1"/>
  <c r="N777" i="41"/>
  <c r="O777" i="41" s="1"/>
  <c r="P777" i="41" s="1"/>
  <c r="N55" i="41"/>
  <c r="O55" i="41" s="1"/>
  <c r="P55" i="41" s="1"/>
  <c r="N778" i="41"/>
  <c r="O778" i="41" s="1"/>
  <c r="P778" i="41" s="1"/>
  <c r="N779" i="41"/>
  <c r="O779" i="41" s="1"/>
  <c r="P779" i="41" s="1"/>
  <c r="N780" i="41"/>
  <c r="O780" i="41" s="1"/>
  <c r="P780" i="41" s="1"/>
  <c r="N500" i="41"/>
  <c r="O500" i="41" s="1"/>
  <c r="P500" i="41" s="1"/>
  <c r="N782" i="41"/>
  <c r="O782" i="41" s="1"/>
  <c r="P782" i="41" s="1"/>
  <c r="N289" i="41"/>
  <c r="O289" i="41" s="1"/>
  <c r="P289" i="41" s="1"/>
  <c r="N783" i="41"/>
  <c r="O783" i="41" s="1"/>
  <c r="P783" i="41" s="1"/>
  <c r="N167" i="41"/>
  <c r="O167" i="41" s="1"/>
  <c r="P167" i="41" s="1"/>
  <c r="N784" i="41"/>
  <c r="O784" i="41" s="1"/>
  <c r="P784" i="41" s="1"/>
  <c r="N785" i="41"/>
  <c r="O785" i="41" s="1"/>
  <c r="P785" i="41" s="1"/>
  <c r="N786" i="41"/>
  <c r="O786" i="41" s="1"/>
  <c r="P786" i="41" s="1"/>
  <c r="N787" i="41"/>
  <c r="O787" i="41" s="1"/>
  <c r="P787" i="41" s="1"/>
  <c r="N788" i="41"/>
  <c r="O788" i="41" s="1"/>
  <c r="P788" i="41" s="1"/>
  <c r="N789" i="41"/>
  <c r="O789" i="41" s="1"/>
  <c r="P789" i="41" s="1"/>
  <c r="N790" i="41"/>
  <c r="O790" i="41" s="1"/>
  <c r="P790" i="41" s="1"/>
  <c r="N791" i="41"/>
  <c r="O791" i="41" s="1"/>
  <c r="P791" i="41" s="1"/>
  <c r="N792" i="41"/>
  <c r="O792" i="41" s="1"/>
  <c r="P792" i="41" s="1"/>
  <c r="N793" i="41"/>
  <c r="O793" i="41" s="1"/>
  <c r="P793" i="41" s="1"/>
  <c r="N794" i="41"/>
  <c r="O794" i="41" s="1"/>
  <c r="P794" i="41" s="1"/>
  <c r="N795" i="41"/>
  <c r="O795" i="41" s="1"/>
  <c r="P795" i="41" s="1"/>
  <c r="N796" i="41"/>
  <c r="O796" i="41" s="1"/>
  <c r="P796" i="41" s="1"/>
  <c r="N688" i="41"/>
  <c r="O688" i="41" s="1"/>
  <c r="P688" i="41" s="1"/>
  <c r="N798" i="41"/>
  <c r="O798" i="41" s="1"/>
  <c r="P798" i="41" s="1"/>
  <c r="N799" i="41"/>
  <c r="O799" i="41" s="1"/>
  <c r="P799" i="41" s="1"/>
  <c r="N800" i="41"/>
  <c r="O800" i="41" s="1"/>
  <c r="P800" i="41" s="1"/>
  <c r="N801" i="41"/>
  <c r="O801" i="41" s="1"/>
  <c r="P801" i="41" s="1"/>
  <c r="N802" i="41"/>
  <c r="O802" i="41" s="1"/>
  <c r="P802" i="41" s="1"/>
  <c r="N803" i="41"/>
  <c r="O803" i="41" s="1"/>
  <c r="P803" i="41" s="1"/>
  <c r="N304" i="41"/>
  <c r="O304" i="41" s="1"/>
  <c r="P304" i="41" s="1"/>
  <c r="N804" i="41"/>
  <c r="O804" i="41" s="1"/>
  <c r="P804" i="41" s="1"/>
  <c r="N805" i="41"/>
  <c r="O805" i="41" s="1"/>
  <c r="P805" i="41" s="1"/>
  <c r="N255" i="41"/>
  <c r="O255" i="41" s="1"/>
  <c r="P255" i="41" s="1"/>
  <c r="N806" i="41"/>
  <c r="O806" i="41" s="1"/>
  <c r="P806" i="41" s="1"/>
  <c r="N807" i="41"/>
  <c r="O807" i="41" s="1"/>
  <c r="P807" i="41" s="1"/>
  <c r="M451" i="41"/>
  <c r="M12" i="41"/>
  <c r="M441" i="41"/>
  <c r="M33" i="41"/>
  <c r="M126" i="41"/>
  <c r="M113" i="41"/>
  <c r="M62" i="41"/>
  <c r="M185" i="41"/>
  <c r="M150" i="41"/>
  <c r="M70" i="41"/>
  <c r="M45" i="41"/>
  <c r="M75" i="41"/>
  <c r="M202" i="41"/>
  <c r="M29" i="41"/>
  <c r="M261" i="41"/>
  <c r="M210" i="41"/>
  <c r="M406" i="41"/>
  <c r="M206" i="41"/>
  <c r="M214" i="41"/>
  <c r="M170" i="41"/>
  <c r="M17" i="41"/>
  <c r="M244" i="41"/>
  <c r="M194" i="41"/>
  <c r="M354" i="41"/>
  <c r="M48" i="41"/>
  <c r="M164" i="41"/>
  <c r="M455" i="41"/>
  <c r="M28" i="41"/>
  <c r="M77" i="41"/>
  <c r="M367" i="41"/>
  <c r="M421" i="41"/>
  <c r="M445" i="41"/>
  <c r="M420" i="41"/>
  <c r="M26" i="41"/>
  <c r="M72" i="41"/>
  <c r="M16" i="41"/>
  <c r="M37" i="41"/>
  <c r="M471" i="41"/>
  <c r="M415" i="41"/>
  <c r="M87" i="41"/>
  <c r="M254" i="41"/>
  <c r="M230" i="41"/>
  <c r="M341" i="41"/>
  <c r="M90" i="41"/>
  <c r="M808" i="41"/>
  <c r="M10" i="41"/>
  <c r="M405" i="41"/>
  <c r="M396" i="41"/>
  <c r="M190" i="41"/>
  <c r="M299" i="41"/>
  <c r="M153" i="41"/>
  <c r="M307" i="41"/>
  <c r="M41" i="41"/>
  <c r="M231" i="41"/>
  <c r="M199" i="41"/>
  <c r="M42" i="41"/>
  <c r="M177" i="41"/>
  <c r="M330" i="41"/>
  <c r="M5" i="41"/>
  <c r="M468" i="41"/>
  <c r="M53" i="41"/>
  <c r="M108" i="41"/>
  <c r="M182" i="41"/>
  <c r="M311" i="41"/>
  <c r="M260" i="41"/>
  <c r="M38" i="41"/>
  <c r="M140" i="41"/>
  <c r="M326" i="41"/>
  <c r="M18" i="41"/>
  <c r="M27" i="41"/>
  <c r="M291" i="41"/>
  <c r="M208" i="41"/>
  <c r="M76" i="41"/>
  <c r="M269" i="41"/>
  <c r="M417" i="41"/>
  <c r="M414" i="41"/>
  <c r="M223" i="41"/>
  <c r="M24" i="41"/>
  <c r="M117" i="41"/>
  <c r="M66" i="41"/>
  <c r="M97" i="41"/>
  <c r="M183" i="41"/>
  <c r="M162" i="41"/>
  <c r="M106" i="41"/>
  <c r="M259" i="41"/>
  <c r="M281" i="41"/>
  <c r="M50" i="41"/>
  <c r="M349" i="41"/>
  <c r="M73" i="41"/>
  <c r="M346" i="41"/>
  <c r="M418" i="41"/>
  <c r="M248" i="41"/>
  <c r="M377" i="41"/>
  <c r="M295" i="41"/>
  <c r="M114" i="41"/>
  <c r="M333" i="41"/>
  <c r="M192" i="41"/>
  <c r="M409" i="41"/>
  <c r="M43" i="41"/>
  <c r="M157" i="41"/>
  <c r="M213" i="41"/>
  <c r="M228" i="41"/>
  <c r="M389" i="41"/>
  <c r="M237" i="41"/>
  <c r="M296" i="41"/>
  <c r="M143" i="41"/>
  <c r="M229" i="41"/>
  <c r="M308" i="41"/>
  <c r="M439" i="41"/>
  <c r="M345" i="41"/>
  <c r="M240" i="41"/>
  <c r="M135" i="41"/>
  <c r="M118" i="41"/>
  <c r="M239" i="41"/>
  <c r="M67" i="41"/>
  <c r="M152" i="41"/>
  <c r="M155" i="41"/>
  <c r="M130" i="41"/>
  <c r="M115" i="41"/>
  <c r="M356" i="41"/>
  <c r="M335" i="41"/>
  <c r="M467" i="41"/>
  <c r="M359" i="41"/>
  <c r="M172" i="41"/>
  <c r="M250" i="41"/>
  <c r="M258" i="41"/>
  <c r="M390" i="41"/>
  <c r="M280" i="41"/>
  <c r="M317" i="41"/>
  <c r="M176" i="41"/>
  <c r="M191" i="41"/>
  <c r="M107" i="41"/>
  <c r="M364" i="41"/>
  <c r="M293" i="41"/>
  <c r="M343" i="41"/>
  <c r="M319" i="41"/>
  <c r="M816" i="41"/>
  <c r="M180" i="41"/>
  <c r="M271" i="41"/>
  <c r="M425" i="41"/>
  <c r="M412" i="41"/>
  <c r="M302" i="41"/>
  <c r="M324" i="41"/>
  <c r="M52" i="41"/>
  <c r="M318" i="41"/>
  <c r="M310" i="41"/>
  <c r="M372" i="41"/>
  <c r="M80" i="41"/>
  <c r="M383" i="41"/>
  <c r="M225" i="41"/>
  <c r="M81" i="41"/>
  <c r="M385" i="41"/>
  <c r="M393" i="41"/>
  <c r="M181" i="41"/>
  <c r="M337" i="41"/>
  <c r="M196" i="41"/>
  <c r="M116" i="41"/>
  <c r="M459" i="41"/>
  <c r="M257" i="41"/>
  <c r="M322" i="41"/>
  <c r="M814" i="41"/>
  <c r="M329" i="41"/>
  <c r="M422" i="41"/>
  <c r="M227" i="41"/>
  <c r="M128" i="41"/>
  <c r="M91" i="41"/>
  <c r="M386" i="41"/>
  <c r="M382" i="41"/>
  <c r="M401" i="41"/>
  <c r="M139" i="41"/>
  <c r="M154" i="41"/>
  <c r="M454" i="41"/>
  <c r="M100" i="41"/>
  <c r="M35" i="41"/>
  <c r="M127" i="41"/>
  <c r="M427" i="41"/>
  <c r="M220" i="41"/>
  <c r="M294" i="41"/>
  <c r="M460" i="41"/>
  <c r="M399" i="41"/>
  <c r="M469" i="41"/>
  <c r="M95" i="41"/>
  <c r="M7" i="41"/>
  <c r="M251" i="41"/>
  <c r="M369" i="41"/>
  <c r="M370" i="41"/>
  <c r="M133" i="41"/>
  <c r="M457" i="41"/>
  <c r="M89" i="41"/>
  <c r="M323" i="41"/>
  <c r="M388" i="41"/>
  <c r="M351" i="41"/>
  <c r="M448" i="41"/>
  <c r="M119" i="41"/>
  <c r="M375" i="41"/>
  <c r="M398" i="41"/>
  <c r="M68" i="41"/>
  <c r="M423" i="41"/>
  <c r="M402" i="41"/>
  <c r="M102" i="41"/>
  <c r="M411" i="41"/>
  <c r="M111" i="41"/>
  <c r="M449" i="41"/>
  <c r="M387" i="41"/>
  <c r="M264" i="41"/>
  <c r="M297" i="41"/>
  <c r="M288" i="41"/>
  <c r="M290" i="41"/>
  <c r="M233" i="41"/>
  <c r="M189" i="41"/>
  <c r="M93" i="41"/>
  <c r="M314" i="41"/>
  <c r="M92" i="41"/>
  <c r="M200" i="41"/>
  <c r="M352" i="41"/>
  <c r="M813" i="41"/>
  <c r="M168" i="41"/>
  <c r="M267" i="41"/>
  <c r="M94" i="41"/>
  <c r="M218" i="41"/>
  <c r="M242" i="41"/>
  <c r="M96" i="41"/>
  <c r="M238" i="41"/>
  <c r="M158" i="41"/>
  <c r="M262" i="41"/>
  <c r="M275" i="41"/>
  <c r="M282" i="41"/>
  <c r="M179" i="41"/>
  <c r="M453" i="41"/>
  <c r="M105" i="41"/>
  <c r="M144" i="41"/>
  <c r="M193" i="41"/>
  <c r="M11" i="41"/>
  <c r="M71" i="41"/>
  <c r="M137" i="41"/>
  <c r="M173" i="41"/>
  <c r="M188" i="41"/>
  <c r="M265" i="41"/>
  <c r="M350" i="41"/>
  <c r="M342" i="41"/>
  <c r="M85" i="41"/>
  <c r="M283" i="41"/>
  <c r="M379" i="41"/>
  <c r="M49" i="41"/>
  <c r="M46" i="41"/>
  <c r="M332" i="41"/>
  <c r="M321" i="41"/>
  <c r="M300" i="41"/>
  <c r="M131" i="41"/>
  <c r="M336" i="41"/>
  <c r="M195" i="41"/>
  <c r="M236" i="41"/>
  <c r="M452" i="41"/>
  <c r="M6" i="41"/>
  <c r="M235" i="41"/>
  <c r="M36" i="41"/>
  <c r="M132" i="41"/>
  <c r="M203" i="41"/>
  <c r="M163" i="41"/>
  <c r="M252" i="41"/>
  <c r="M306" i="41"/>
  <c r="M156" i="41"/>
  <c r="M353" i="41"/>
  <c r="M212" i="41"/>
  <c r="M325" i="41"/>
  <c r="M141" i="41"/>
  <c r="M201" i="41"/>
  <c r="M263" i="41"/>
  <c r="M211" i="41"/>
  <c r="M407" i="41"/>
  <c r="M169" i="41"/>
  <c r="M391" i="41"/>
  <c r="M355" i="41"/>
  <c r="M178" i="41"/>
  <c r="M410" i="41"/>
  <c r="M392" i="41"/>
  <c r="M219" i="41"/>
  <c r="M165" i="41"/>
  <c r="M334" i="41"/>
  <c r="M245" i="41"/>
  <c r="M125" i="41"/>
  <c r="M83" i="41"/>
  <c r="M51" i="41"/>
  <c r="M426" i="41"/>
  <c r="M277" i="41"/>
  <c r="M69" i="41"/>
  <c r="M430" i="41"/>
  <c r="M215" i="41"/>
  <c r="M416" i="41"/>
  <c r="M197" i="41"/>
  <c r="M437" i="41"/>
  <c r="M362" i="41"/>
  <c r="M327" i="41"/>
  <c r="M256" i="41"/>
  <c r="M222" i="41"/>
  <c r="M74" i="41"/>
  <c r="M99" i="41"/>
  <c r="M224" i="41"/>
  <c r="M292" i="41"/>
  <c r="M397" i="41"/>
  <c r="M413" i="41"/>
  <c r="M221" i="41"/>
  <c r="M380" i="41"/>
  <c r="M61" i="41"/>
  <c r="M278" i="41"/>
  <c r="M136" i="41"/>
  <c r="M103" i="41"/>
  <c r="M276" i="41"/>
  <c r="M124" i="41"/>
  <c r="M246" i="41"/>
  <c r="M464" i="41"/>
  <c r="M47" i="41"/>
  <c r="M86" i="41"/>
  <c r="M249" i="41"/>
  <c r="M270" i="41"/>
  <c r="M147" i="41"/>
  <c r="M138" i="41"/>
  <c r="M88" i="41"/>
  <c r="M44" i="41"/>
  <c r="M434" i="41"/>
  <c r="M374" i="41"/>
  <c r="M348" i="41"/>
  <c r="M63" i="41"/>
  <c r="M298" i="41"/>
  <c r="M328" i="41"/>
  <c r="M112" i="41"/>
  <c r="M400" i="41"/>
  <c r="M104" i="41"/>
  <c r="M301" i="41"/>
  <c r="M207" i="41"/>
  <c r="M368" i="41"/>
  <c r="M15" i="41"/>
  <c r="M186" i="41"/>
  <c r="M440" i="41"/>
  <c r="M429" i="41"/>
  <c r="M110" i="41"/>
  <c r="M205" i="41"/>
  <c r="M286" i="41"/>
  <c r="M419" i="41"/>
  <c r="M465" i="41"/>
  <c r="M436" i="41"/>
  <c r="M408" i="41"/>
  <c r="M431" i="41"/>
  <c r="M812" i="41"/>
  <c r="M809" i="41"/>
  <c r="M458" i="41"/>
  <c r="M39" i="41"/>
  <c r="M404" i="41"/>
  <c r="M65" i="41"/>
  <c r="M470" i="41"/>
  <c r="M339" i="41"/>
  <c r="M473" i="41"/>
  <c r="M474" i="41"/>
  <c r="M475" i="41"/>
  <c r="M666" i="41"/>
  <c r="M476" i="41"/>
  <c r="M549" i="41"/>
  <c r="M4" i="41"/>
  <c r="M13" i="41"/>
  <c r="M266" i="41"/>
  <c r="M504" i="41"/>
  <c r="M541" i="41"/>
  <c r="M313" i="41"/>
  <c r="M56" i="41"/>
  <c r="M479" i="41"/>
  <c r="M480" i="41"/>
  <c r="M361" i="41"/>
  <c r="M338" i="41"/>
  <c r="M357" i="41"/>
  <c r="M84" i="41"/>
  <c r="M606" i="41"/>
  <c r="M775" i="41"/>
  <c r="M483" i="41"/>
  <c r="M484" i="41"/>
  <c r="M485" i="41"/>
  <c r="M198" i="41"/>
  <c r="M486" i="41"/>
  <c r="M487" i="41"/>
  <c r="M273" i="41"/>
  <c r="M226" i="41"/>
  <c r="M523" i="41"/>
  <c r="M489" i="41"/>
  <c r="M284" i="41"/>
  <c r="M670" i="41"/>
  <c r="M491" i="41"/>
  <c r="M22" i="41"/>
  <c r="M60" i="41"/>
  <c r="M581" i="41"/>
  <c r="M493" i="41"/>
  <c r="M494" i="41"/>
  <c r="M743" i="41"/>
  <c r="M715" i="41"/>
  <c r="M502" i="41"/>
  <c r="M498" i="41"/>
  <c r="M499" i="41"/>
  <c r="M658" i="41"/>
  <c r="M394" i="41"/>
  <c r="M501" i="41"/>
  <c r="M101" i="41"/>
  <c r="M528" i="41"/>
  <c r="M358" i="41"/>
  <c r="M503" i="41"/>
  <c r="M730" i="41"/>
  <c r="M82" i="41"/>
  <c r="M505" i="41"/>
  <c r="M25" i="41"/>
  <c r="M506" i="41"/>
  <c r="M598" i="41"/>
  <c r="M145" i="41"/>
  <c r="M560" i="41"/>
  <c r="M509" i="41"/>
  <c r="M742" i="41"/>
  <c r="M279" i="41"/>
  <c r="M511" i="41"/>
  <c r="M512" i="41"/>
  <c r="M513" i="41"/>
  <c r="M272" i="41"/>
  <c r="M19" i="41"/>
  <c r="M305" i="41"/>
  <c r="M166" i="41"/>
  <c r="M514" i="41"/>
  <c r="M515" i="41"/>
  <c r="M516" i="41"/>
  <c r="M797" i="41"/>
  <c r="M120" i="41"/>
  <c r="M518" i="41"/>
  <c r="M817" i="41"/>
  <c r="M519" i="41"/>
  <c r="M344" i="41"/>
  <c r="M520" i="41"/>
  <c r="M521" i="41"/>
  <c r="M522" i="41"/>
  <c r="M129" i="41"/>
  <c r="M576" i="41"/>
  <c r="M524" i="41"/>
  <c r="M525" i="41"/>
  <c r="M526" i="41"/>
  <c r="M697" i="41"/>
  <c r="M268" i="41"/>
  <c r="M716" i="41"/>
  <c r="M461" i="41"/>
  <c r="M566" i="41"/>
  <c r="M23" i="41"/>
  <c r="M706" i="41"/>
  <c r="M531" i="41"/>
  <c r="M488" i="41"/>
  <c r="M424" i="41"/>
  <c r="M466" i="41"/>
  <c r="M582" i="41"/>
  <c r="M371" i="41"/>
  <c r="M534" i="41"/>
  <c r="M535" i="41"/>
  <c r="M536" i="41"/>
  <c r="M537" i="41"/>
  <c r="M707" i="41"/>
  <c r="M64" i="41"/>
  <c r="M204" i="41"/>
  <c r="M539" i="41"/>
  <c r="M209" i="41"/>
  <c r="M540" i="41"/>
  <c r="M142" i="41"/>
  <c r="M685" i="41"/>
  <c r="M542" i="41"/>
  <c r="M543" i="41"/>
  <c r="M544" i="41"/>
  <c r="M247" i="41"/>
  <c r="M57" i="41"/>
  <c r="M403" i="41"/>
  <c r="M545" i="41"/>
  <c r="M546" i="41"/>
  <c r="M547" i="41"/>
  <c r="M548" i="41"/>
  <c r="M496" i="41"/>
  <c r="M550" i="41"/>
  <c r="M551" i="41"/>
  <c r="M587" i="41"/>
  <c r="M553" i="41"/>
  <c r="M554" i="41"/>
  <c r="M555" i="41"/>
  <c r="M556" i="41"/>
  <c r="M557" i="41"/>
  <c r="M472" i="41"/>
  <c r="M558" i="41"/>
  <c r="M559" i="41"/>
  <c r="M781" i="41"/>
  <c r="M721" i="41"/>
  <c r="M562" i="41"/>
  <c r="M563" i="41"/>
  <c r="M564" i="41"/>
  <c r="M232" i="41"/>
  <c r="M815" i="41"/>
  <c r="M565" i="41"/>
  <c r="M607" i="41"/>
  <c r="M376" i="41"/>
  <c r="M567" i="41"/>
  <c r="M149" i="41"/>
  <c r="M532" i="41"/>
  <c r="M360" i="41"/>
  <c r="M699" i="41"/>
  <c r="M570" i="41"/>
  <c r="M571" i="41"/>
  <c r="M572" i="41"/>
  <c r="M573" i="41"/>
  <c r="M433" i="41"/>
  <c r="M574" i="41"/>
  <c r="M530" i="41"/>
  <c r="M668" i="41"/>
  <c r="M577" i="41"/>
  <c r="M578" i="41"/>
  <c r="M533" i="41"/>
  <c r="M529" i="41"/>
  <c r="M735" i="41"/>
  <c r="M690" i="41"/>
  <c r="M583" i="41"/>
  <c r="M395" i="41"/>
  <c r="M175" i="41"/>
  <c r="M174" i="41"/>
  <c r="M584" i="41"/>
  <c r="M438" i="41"/>
  <c r="M373" i="41"/>
  <c r="M21" i="41"/>
  <c r="M585" i="41"/>
  <c r="M586" i="41"/>
  <c r="M708" i="41"/>
  <c r="M588" i="41"/>
  <c r="M312" i="41"/>
  <c r="M589" i="41"/>
  <c r="M590" i="41"/>
  <c r="M31" i="41"/>
  <c r="M591" i="41"/>
  <c r="M762" i="41"/>
  <c r="M161" i="41"/>
  <c r="M593" i="41"/>
  <c r="M538" i="41"/>
  <c r="M595" i="41"/>
  <c r="M596" i="41"/>
  <c r="M597" i="41"/>
  <c r="M654" i="41"/>
  <c r="M599" i="41"/>
  <c r="M655" i="41"/>
  <c r="M601" i="41"/>
  <c r="M602" i="41"/>
  <c r="M603" i="41"/>
  <c r="M579" i="41"/>
  <c r="M811" i="41"/>
  <c r="M605" i="41"/>
  <c r="M753" i="41"/>
  <c r="M495" i="41"/>
  <c r="M32" i="41"/>
  <c r="M608" i="41"/>
  <c r="M609" i="41"/>
  <c r="M610" i="41"/>
  <c r="M611" i="41"/>
  <c r="M98" i="41"/>
  <c r="M612" i="41"/>
  <c r="M446" i="41"/>
  <c r="M613" i="41"/>
  <c r="M614" i="41"/>
  <c r="M615" i="41"/>
  <c r="M184" i="41"/>
  <c r="M616" i="41"/>
  <c r="M617" i="41"/>
  <c r="M618" i="41"/>
  <c r="M619" i="41"/>
  <c r="M620" i="41"/>
  <c r="M621" i="41"/>
  <c r="M761" i="41"/>
  <c r="M623" i="41"/>
  <c r="M624" i="41"/>
  <c r="M253" i="41"/>
  <c r="M625" i="41"/>
  <c r="M626" i="41"/>
  <c r="M627" i="41"/>
  <c r="M316" i="41"/>
  <c r="M628" i="41"/>
  <c r="M9" i="41"/>
  <c r="M629" i="41"/>
  <c r="M630" i="41"/>
  <c r="M631" i="41"/>
  <c r="M3" i="41"/>
  <c r="M632" i="41"/>
  <c r="M633" i="41"/>
  <c r="M634" i="41"/>
  <c r="M320" i="41"/>
  <c r="M592" i="41"/>
  <c r="M381" i="41"/>
  <c r="M636" i="41"/>
  <c r="M637" i="41"/>
  <c r="M109" i="41"/>
  <c r="M638" i="41"/>
  <c r="M639" i="41"/>
  <c r="M698" i="41"/>
  <c r="M641" i="41"/>
  <c r="M121" i="41"/>
  <c r="M642" i="41"/>
  <c r="M643" i="41"/>
  <c r="M123" i="41"/>
  <c r="M442" i="41"/>
  <c r="M644" i="41"/>
  <c r="M645" i="41"/>
  <c r="M739" i="41"/>
  <c r="M671" i="41"/>
  <c r="M648" i="41"/>
  <c r="M234" i="41"/>
  <c r="M649" i="41"/>
  <c r="M58" i="41"/>
  <c r="M650" i="41"/>
  <c r="M432" i="41"/>
  <c r="M463" i="41"/>
  <c r="M651" i="41"/>
  <c r="M552" i="41"/>
  <c r="M647" i="41"/>
  <c r="M159" i="41"/>
  <c r="M151" i="41"/>
  <c r="M569" i="41"/>
  <c r="M507" i="41"/>
  <c r="M561" i="41"/>
  <c r="M657" i="41"/>
  <c r="M646" i="41"/>
  <c r="M659" i="41"/>
  <c r="M673" i="41"/>
  <c r="M243" i="41"/>
  <c r="M478" i="41"/>
  <c r="M662" i="41"/>
  <c r="M660" i="41"/>
  <c r="M664" i="41"/>
  <c r="M665" i="41"/>
  <c r="M701" i="41"/>
  <c r="M14" i="41"/>
  <c r="M347" i="41"/>
  <c r="M667" i="41"/>
  <c r="M741" i="41"/>
  <c r="M274" i="41"/>
  <c r="M669" i="41"/>
  <c r="M497" i="41"/>
  <c r="M693" i="41"/>
  <c r="M672" i="41"/>
  <c r="M287" i="41"/>
  <c r="M517" i="41"/>
  <c r="M674" i="41"/>
  <c r="M675" i="41"/>
  <c r="M676" i="41"/>
  <c r="M677" i="41"/>
  <c r="M456" i="41"/>
  <c r="M678" i="41"/>
  <c r="M679" i="41"/>
  <c r="M680" i="41"/>
  <c r="M681" i="41"/>
  <c r="M682" i="41"/>
  <c r="M683" i="41"/>
  <c r="M684" i="41"/>
  <c r="M722" i="41"/>
  <c r="M217" i="41"/>
  <c r="M686" i="41"/>
  <c r="M687" i="41"/>
  <c r="M600" i="41"/>
  <c r="M695" i="41"/>
  <c r="M366" i="41"/>
  <c r="M720" i="41"/>
  <c r="M241" i="41"/>
  <c r="M122" i="41"/>
  <c r="M691" i="41"/>
  <c r="M692" i="41"/>
  <c r="M148" i="41"/>
  <c r="M54" i="41"/>
  <c r="M661" i="41"/>
  <c r="M477" i="41"/>
  <c r="M447" i="41"/>
  <c r="M696" i="41"/>
  <c r="M652" i="41"/>
  <c r="M481" i="41"/>
  <c r="M726" i="41"/>
  <c r="M700" i="41"/>
  <c r="M580" i="41"/>
  <c r="M702" i="41"/>
  <c r="M703" i="41"/>
  <c r="M704" i="41"/>
  <c r="M160" i="41"/>
  <c r="M705" i="41"/>
  <c r="M622" i="41"/>
  <c r="M810" i="41"/>
  <c r="M689" i="41"/>
  <c r="M709" i="41"/>
  <c r="M710" i="41"/>
  <c r="M711" i="41"/>
  <c r="M712" i="41"/>
  <c r="M713" i="41"/>
  <c r="M714" i="41"/>
  <c r="M527" i="41"/>
  <c r="M663" i="41"/>
  <c r="M146" i="41"/>
  <c r="M462" i="41"/>
  <c r="M309" i="41"/>
  <c r="M78" i="41"/>
  <c r="M717" i="41"/>
  <c r="M718" i="41"/>
  <c r="M719" i="41"/>
  <c r="M731" i="41"/>
  <c r="M635" i="41"/>
  <c r="M694" i="41"/>
  <c r="M482" i="41"/>
  <c r="M724" i="41"/>
  <c r="M59" i="41"/>
  <c r="M725" i="41"/>
  <c r="M340" i="41"/>
  <c r="M510" i="41"/>
  <c r="M8" i="41"/>
  <c r="M727" i="41"/>
  <c r="M728" i="41"/>
  <c r="M729" i="41"/>
  <c r="M187" i="41"/>
  <c r="M575" i="41"/>
  <c r="M492" i="41"/>
  <c r="M732" i="41"/>
  <c r="M20" i="41"/>
  <c r="M315" i="41"/>
  <c r="M733" i="41"/>
  <c r="M734" i="41"/>
  <c r="M723" i="41"/>
  <c r="M736" i="41"/>
  <c r="M171" i="41"/>
  <c r="M737" i="41"/>
  <c r="M435" i="41"/>
  <c r="M738" i="41"/>
  <c r="M365" i="41"/>
  <c r="M216" i="41"/>
  <c r="M568" i="41"/>
  <c r="M740" i="41"/>
  <c r="M490" i="41"/>
  <c r="M640" i="41"/>
  <c r="M363" i="41"/>
  <c r="M443" i="41"/>
  <c r="M450" i="41"/>
  <c r="M79" i="41"/>
  <c r="M594" i="41"/>
  <c r="M744" i="41"/>
  <c r="M745" i="41"/>
  <c r="M746" i="41"/>
  <c r="M134" i="41"/>
  <c r="M384" i="41"/>
  <c r="M747" i="41"/>
  <c r="M748" i="41"/>
  <c r="M444" i="41"/>
  <c r="M331" i="41"/>
  <c r="M285" i="41"/>
  <c r="M749" i="41"/>
  <c r="M750" i="41"/>
  <c r="M751" i="41"/>
  <c r="M378" i="41"/>
  <c r="M30" i="41"/>
  <c r="M752" i="41"/>
  <c r="M653" i="41"/>
  <c r="M754" i="41"/>
  <c r="M755" i="41"/>
  <c r="M756" i="41"/>
  <c r="M757" i="41"/>
  <c r="M40" i="41"/>
  <c r="M758" i="41"/>
  <c r="M759" i="41"/>
  <c r="M760" i="41"/>
  <c r="M604" i="41"/>
  <c r="M656" i="41"/>
  <c r="M763" i="41"/>
  <c r="M303" i="41"/>
  <c r="M764" i="41"/>
  <c r="M34" i="41"/>
  <c r="M765" i="41"/>
  <c r="M766" i="41"/>
  <c r="M767" i="41"/>
  <c r="M768" i="41"/>
  <c r="M769" i="41"/>
  <c r="M770" i="41"/>
  <c r="M771" i="41"/>
  <c r="M772" i="41"/>
  <c r="M773" i="41"/>
  <c r="M774" i="41"/>
  <c r="M428" i="41"/>
  <c r="M508" i="41"/>
  <c r="M776" i="41"/>
  <c r="M777" i="41"/>
  <c r="M55" i="41"/>
  <c r="M778" i="41"/>
  <c r="M779" i="41"/>
  <c r="M780" i="41"/>
  <c r="M500" i="41"/>
  <c r="M782" i="41"/>
  <c r="M289" i="41"/>
  <c r="M783" i="41"/>
  <c r="M167" i="41"/>
  <c r="M784" i="41"/>
  <c r="M785" i="41"/>
  <c r="M786" i="41"/>
  <c r="M787" i="41"/>
  <c r="M788" i="41"/>
  <c r="M789" i="41"/>
  <c r="M790" i="41"/>
  <c r="M791" i="41"/>
  <c r="M792" i="41"/>
  <c r="M793" i="41"/>
  <c r="M794" i="41"/>
  <c r="M795" i="41"/>
  <c r="M796" i="41"/>
  <c r="M688" i="41"/>
  <c r="M798" i="41"/>
  <c r="M799" i="41"/>
  <c r="M800" i="41"/>
  <c r="M801" i="41"/>
  <c r="M802" i="41"/>
  <c r="M803" i="41"/>
  <c r="M304" i="41"/>
  <c r="M804" i="41"/>
  <c r="M805" i="41"/>
  <c r="M255" i="41"/>
  <c r="M806" i="41"/>
  <c r="M807" i="41"/>
  <c r="N3" i="2"/>
  <c r="O3" i="2" s="1"/>
  <c r="P3" i="2" s="1"/>
  <c r="N4" i="2"/>
  <c r="O4" i="2" s="1"/>
  <c r="P4" i="2" s="1"/>
  <c r="N5" i="2"/>
  <c r="O5" i="2" s="1"/>
  <c r="P5" i="2" s="1"/>
  <c r="N6" i="2"/>
  <c r="O6" i="2" s="1"/>
  <c r="P6" i="2" s="1"/>
  <c r="N7" i="2"/>
  <c r="O7" i="2" s="1"/>
  <c r="P7" i="2" s="1"/>
  <c r="N8" i="2"/>
  <c r="O8" i="2" s="1"/>
  <c r="P8" i="2" s="1"/>
  <c r="N9" i="2"/>
  <c r="O9" i="2" s="1"/>
  <c r="P9" i="2" s="1"/>
  <c r="N10" i="2"/>
  <c r="O10" i="2" s="1"/>
  <c r="P10" i="2" s="1"/>
  <c r="N11" i="2"/>
  <c r="O11" i="2" s="1"/>
  <c r="P11" i="2" s="1"/>
  <c r="N12" i="2"/>
  <c r="O12" i="2" s="1"/>
  <c r="P12" i="2" s="1"/>
  <c r="N13" i="2"/>
  <c r="O13" i="2" s="1"/>
  <c r="P13" i="2" s="1"/>
  <c r="N14" i="2"/>
  <c r="O14" i="2" s="1"/>
  <c r="P14" i="2" s="1"/>
  <c r="N15" i="2"/>
  <c r="O15" i="2" s="1"/>
  <c r="P15" i="2" s="1"/>
  <c r="N16" i="2"/>
  <c r="O16" i="2" s="1"/>
  <c r="P16" i="2" s="1"/>
  <c r="N17" i="2"/>
  <c r="O17" i="2" s="1"/>
  <c r="P17" i="2" s="1"/>
  <c r="N18" i="2"/>
  <c r="O18" i="2" s="1"/>
  <c r="P18" i="2" s="1"/>
  <c r="N19" i="2"/>
  <c r="O19" i="2" s="1"/>
  <c r="P19" i="2" s="1"/>
  <c r="N20" i="2"/>
  <c r="O20" i="2" s="1"/>
  <c r="P20" i="2" s="1"/>
  <c r="N21" i="2"/>
  <c r="O21" i="2" s="1"/>
  <c r="P21" i="2" s="1"/>
  <c r="N22" i="2"/>
  <c r="O22" i="2" s="1"/>
  <c r="P22" i="2" s="1"/>
  <c r="N23" i="2"/>
  <c r="O23" i="2" s="1"/>
  <c r="P23" i="2" s="1"/>
  <c r="N24" i="2"/>
  <c r="O24" i="2" s="1"/>
  <c r="P24" i="2" s="1"/>
  <c r="N25" i="2"/>
  <c r="O25" i="2" s="1"/>
  <c r="P25" i="2" s="1"/>
  <c r="N26" i="2"/>
  <c r="O26" i="2" s="1"/>
  <c r="P26" i="2" s="1"/>
  <c r="N27" i="2"/>
  <c r="O27" i="2" s="1"/>
  <c r="P27" i="2" s="1"/>
  <c r="N28" i="2"/>
  <c r="O28" i="2" s="1"/>
  <c r="P28" i="2" s="1"/>
  <c r="N29" i="2"/>
  <c r="O29" i="2" s="1"/>
  <c r="P29" i="2" s="1"/>
  <c r="N30" i="2"/>
  <c r="O30" i="2" s="1"/>
  <c r="P30" i="2" s="1"/>
  <c r="N31" i="2"/>
  <c r="O31" i="2" s="1"/>
  <c r="P31" i="2" s="1"/>
  <c r="N32" i="2"/>
  <c r="O32" i="2" s="1"/>
  <c r="P32" i="2" s="1"/>
  <c r="N33" i="2"/>
  <c r="O33" i="2" s="1"/>
  <c r="P33" i="2" s="1"/>
  <c r="N34" i="2"/>
  <c r="O34" i="2" s="1"/>
  <c r="P34" i="2" s="1"/>
  <c r="N35" i="2"/>
  <c r="O35" i="2" s="1"/>
  <c r="P35" i="2" s="1"/>
  <c r="N36" i="2"/>
  <c r="O36" i="2" s="1"/>
  <c r="P36" i="2" s="1"/>
  <c r="N37" i="2"/>
  <c r="O37" i="2" s="1"/>
  <c r="P37" i="2" s="1"/>
  <c r="N38" i="2"/>
  <c r="O38" i="2" s="1"/>
  <c r="P38" i="2" s="1"/>
  <c r="N39" i="2"/>
  <c r="O39" i="2" s="1"/>
  <c r="P39" i="2" s="1"/>
  <c r="N40" i="2"/>
  <c r="O40" i="2" s="1"/>
  <c r="P40" i="2" s="1"/>
  <c r="N41" i="2"/>
  <c r="O41" i="2" s="1"/>
  <c r="P41" i="2" s="1"/>
  <c r="N42" i="2"/>
  <c r="O42" i="2" s="1"/>
  <c r="P42" i="2" s="1"/>
  <c r="N43" i="2"/>
  <c r="O43" i="2" s="1"/>
  <c r="P43" i="2" s="1"/>
  <c r="N44" i="2"/>
  <c r="O44" i="2" s="1"/>
  <c r="P44" i="2" s="1"/>
  <c r="N45" i="2"/>
  <c r="O45" i="2" s="1"/>
  <c r="P45" i="2" s="1"/>
  <c r="N46" i="2"/>
  <c r="O46" i="2" s="1"/>
  <c r="P46" i="2" s="1"/>
  <c r="N47" i="2"/>
  <c r="O47" i="2" s="1"/>
  <c r="P47" i="2" s="1"/>
  <c r="N48" i="2"/>
  <c r="O48" i="2" s="1"/>
  <c r="P48" i="2" s="1"/>
  <c r="N49" i="2"/>
  <c r="O49" i="2" s="1"/>
  <c r="P49" i="2" s="1"/>
  <c r="N50" i="2"/>
  <c r="O50" i="2" s="1"/>
  <c r="P50" i="2" s="1"/>
  <c r="N51" i="2"/>
  <c r="O51" i="2" s="1"/>
  <c r="P51" i="2" s="1"/>
  <c r="N52" i="2"/>
  <c r="O52" i="2" s="1"/>
  <c r="P52" i="2" s="1"/>
  <c r="N53" i="2"/>
  <c r="O53" i="2" s="1"/>
  <c r="P53" i="2" s="1"/>
  <c r="N54" i="2"/>
  <c r="O54" i="2" s="1"/>
  <c r="P54" i="2" s="1"/>
  <c r="N55" i="2"/>
  <c r="O55" i="2" s="1"/>
  <c r="P55" i="2" s="1"/>
  <c r="N56" i="2"/>
  <c r="O56" i="2" s="1"/>
  <c r="P56" i="2" s="1"/>
  <c r="N57" i="2"/>
  <c r="O57" i="2" s="1"/>
  <c r="P57" i="2" s="1"/>
  <c r="N58" i="2"/>
  <c r="O58" i="2" s="1"/>
  <c r="P58" i="2" s="1"/>
  <c r="N59" i="2"/>
  <c r="O59" i="2" s="1"/>
  <c r="P59" i="2" s="1"/>
  <c r="N60" i="2"/>
  <c r="O60" i="2" s="1"/>
  <c r="P60" i="2" s="1"/>
  <c r="N61" i="2"/>
  <c r="O61" i="2" s="1"/>
  <c r="P61" i="2" s="1"/>
  <c r="N62" i="2"/>
  <c r="O62" i="2" s="1"/>
  <c r="P62" i="2" s="1"/>
  <c r="N63" i="2"/>
  <c r="O63" i="2" s="1"/>
  <c r="P63" i="2" s="1"/>
  <c r="N64" i="2"/>
  <c r="O64" i="2" s="1"/>
  <c r="P64" i="2" s="1"/>
  <c r="N65" i="2"/>
  <c r="O65" i="2" s="1"/>
  <c r="P65" i="2" s="1"/>
  <c r="N66" i="2"/>
  <c r="O66" i="2" s="1"/>
  <c r="P66" i="2" s="1"/>
  <c r="N67" i="2"/>
  <c r="O67" i="2" s="1"/>
  <c r="P67" i="2" s="1"/>
  <c r="N68" i="2"/>
  <c r="O68" i="2" s="1"/>
  <c r="P68" i="2" s="1"/>
  <c r="N69" i="2"/>
  <c r="O69" i="2" s="1"/>
  <c r="P69" i="2" s="1"/>
  <c r="N70" i="2"/>
  <c r="O70" i="2" s="1"/>
  <c r="P70" i="2" s="1"/>
  <c r="N71" i="2"/>
  <c r="O71" i="2" s="1"/>
  <c r="P71" i="2" s="1"/>
  <c r="N72" i="2"/>
  <c r="O72" i="2" s="1"/>
  <c r="P72" i="2" s="1"/>
  <c r="N73" i="2"/>
  <c r="O73" i="2" s="1"/>
  <c r="P73" i="2" s="1"/>
  <c r="N74" i="2"/>
  <c r="O74" i="2" s="1"/>
  <c r="P74" i="2" s="1"/>
  <c r="N75" i="2"/>
  <c r="O75" i="2" s="1"/>
  <c r="P75" i="2" s="1"/>
  <c r="N76" i="2"/>
  <c r="O76" i="2" s="1"/>
  <c r="P76" i="2" s="1"/>
  <c r="N77" i="2"/>
  <c r="O77" i="2" s="1"/>
  <c r="P77" i="2" s="1"/>
  <c r="N78" i="2"/>
  <c r="O78" i="2" s="1"/>
  <c r="P78" i="2" s="1"/>
  <c r="N79" i="2"/>
  <c r="O79" i="2" s="1"/>
  <c r="P79" i="2" s="1"/>
  <c r="N80" i="2"/>
  <c r="O80" i="2" s="1"/>
  <c r="P80" i="2" s="1"/>
  <c r="N81" i="2"/>
  <c r="O81" i="2" s="1"/>
  <c r="P81" i="2" s="1"/>
  <c r="N82" i="2"/>
  <c r="O82" i="2" s="1"/>
  <c r="P82" i="2" s="1"/>
  <c r="N83" i="2"/>
  <c r="O83" i="2" s="1"/>
  <c r="P83" i="2" s="1"/>
  <c r="N84" i="2"/>
  <c r="O84" i="2" s="1"/>
  <c r="P84" i="2" s="1"/>
  <c r="N85" i="2"/>
  <c r="O85" i="2" s="1"/>
  <c r="P85" i="2" s="1"/>
  <c r="N86" i="2"/>
  <c r="O86" i="2" s="1"/>
  <c r="P86" i="2" s="1"/>
  <c r="N87" i="2"/>
  <c r="O87" i="2" s="1"/>
  <c r="P87" i="2" s="1"/>
  <c r="N88" i="2"/>
  <c r="O88" i="2" s="1"/>
  <c r="P88" i="2" s="1"/>
  <c r="N89" i="2"/>
  <c r="O89" i="2" s="1"/>
  <c r="P89" i="2" s="1"/>
  <c r="N90" i="2"/>
  <c r="O90" i="2" s="1"/>
  <c r="P90" i="2" s="1"/>
  <c r="N91" i="2"/>
  <c r="O91" i="2" s="1"/>
  <c r="P91" i="2" s="1"/>
  <c r="N92" i="2"/>
  <c r="O92" i="2" s="1"/>
  <c r="P92" i="2" s="1"/>
  <c r="N93" i="2"/>
  <c r="O93" i="2" s="1"/>
  <c r="P93" i="2" s="1"/>
  <c r="N94" i="2"/>
  <c r="O94" i="2" s="1"/>
  <c r="P94" i="2" s="1"/>
  <c r="N95" i="2"/>
  <c r="O95" i="2" s="1"/>
  <c r="P95" i="2" s="1"/>
  <c r="N96" i="2"/>
  <c r="O96" i="2" s="1"/>
  <c r="P96" i="2" s="1"/>
  <c r="N97" i="2"/>
  <c r="O97" i="2" s="1"/>
  <c r="P97" i="2" s="1"/>
  <c r="N98" i="2"/>
  <c r="O98" i="2" s="1"/>
  <c r="P98" i="2" s="1"/>
  <c r="N99" i="2"/>
  <c r="O99" i="2" s="1"/>
  <c r="P99" i="2" s="1"/>
  <c r="N100" i="2"/>
  <c r="O100" i="2" s="1"/>
  <c r="P100" i="2" s="1"/>
  <c r="N101" i="2"/>
  <c r="O101" i="2" s="1"/>
  <c r="P101" i="2" s="1"/>
  <c r="N102" i="2"/>
  <c r="O102" i="2" s="1"/>
  <c r="P102" i="2" s="1"/>
  <c r="N103" i="2"/>
  <c r="O103" i="2" s="1"/>
  <c r="P103" i="2" s="1"/>
  <c r="N104" i="2"/>
  <c r="O104" i="2" s="1"/>
  <c r="P104" i="2" s="1"/>
  <c r="N105" i="2"/>
  <c r="O105" i="2" s="1"/>
  <c r="P105" i="2" s="1"/>
  <c r="N106" i="2"/>
  <c r="O106" i="2" s="1"/>
  <c r="P106" i="2" s="1"/>
  <c r="N107" i="2"/>
  <c r="O107" i="2" s="1"/>
  <c r="P107" i="2" s="1"/>
  <c r="N108" i="2"/>
  <c r="O108" i="2" s="1"/>
  <c r="P108" i="2" s="1"/>
  <c r="N109" i="2"/>
  <c r="O109" i="2" s="1"/>
  <c r="P109" i="2" s="1"/>
  <c r="N110" i="2"/>
  <c r="O110" i="2" s="1"/>
  <c r="P110" i="2" s="1"/>
  <c r="N111" i="2"/>
  <c r="O111" i="2" s="1"/>
  <c r="P111" i="2" s="1"/>
  <c r="N112" i="2"/>
  <c r="O112" i="2" s="1"/>
  <c r="P112" i="2" s="1"/>
  <c r="N113" i="2"/>
  <c r="O113" i="2" s="1"/>
  <c r="P113" i="2" s="1"/>
  <c r="N114" i="2"/>
  <c r="O114" i="2" s="1"/>
  <c r="P114" i="2" s="1"/>
  <c r="N115" i="2"/>
  <c r="O115" i="2" s="1"/>
  <c r="P115" i="2" s="1"/>
  <c r="N116" i="2"/>
  <c r="O116" i="2" s="1"/>
  <c r="P116" i="2" s="1"/>
  <c r="N117" i="2"/>
  <c r="O117" i="2" s="1"/>
  <c r="P117" i="2" s="1"/>
  <c r="N118" i="2"/>
  <c r="O118" i="2" s="1"/>
  <c r="P118" i="2" s="1"/>
  <c r="N119" i="2"/>
  <c r="O119" i="2" s="1"/>
  <c r="P119" i="2" s="1"/>
  <c r="N120" i="2"/>
  <c r="O120" i="2" s="1"/>
  <c r="P120" i="2" s="1"/>
  <c r="N121" i="2"/>
  <c r="O121" i="2" s="1"/>
  <c r="P121" i="2" s="1"/>
  <c r="N122" i="2"/>
  <c r="O122" i="2" s="1"/>
  <c r="P122" i="2" s="1"/>
  <c r="N123" i="2"/>
  <c r="O123" i="2" s="1"/>
  <c r="P123" i="2" s="1"/>
  <c r="N124" i="2"/>
  <c r="O124" i="2" s="1"/>
  <c r="P124" i="2" s="1"/>
  <c r="N125" i="2"/>
  <c r="O125" i="2" s="1"/>
  <c r="P125" i="2" s="1"/>
  <c r="N126" i="2"/>
  <c r="O126" i="2" s="1"/>
  <c r="P126" i="2" s="1"/>
  <c r="N127" i="2"/>
  <c r="O127" i="2" s="1"/>
  <c r="P127" i="2" s="1"/>
  <c r="N128" i="2"/>
  <c r="O128" i="2" s="1"/>
  <c r="P128" i="2" s="1"/>
  <c r="N129" i="2"/>
  <c r="O129" i="2" s="1"/>
  <c r="P129" i="2" s="1"/>
  <c r="N130" i="2"/>
  <c r="O130" i="2" s="1"/>
  <c r="P130" i="2" s="1"/>
  <c r="N131" i="2"/>
  <c r="O131" i="2" s="1"/>
  <c r="P131" i="2" s="1"/>
  <c r="N132" i="2"/>
  <c r="O132" i="2" s="1"/>
  <c r="P132" i="2" s="1"/>
  <c r="N133" i="2"/>
  <c r="O133" i="2" s="1"/>
  <c r="P133" i="2" s="1"/>
  <c r="N134" i="2"/>
  <c r="O134" i="2" s="1"/>
  <c r="P134" i="2" s="1"/>
  <c r="N135" i="2"/>
  <c r="O135" i="2" s="1"/>
  <c r="P135" i="2" s="1"/>
  <c r="N136" i="2"/>
  <c r="O136" i="2" s="1"/>
  <c r="P136" i="2" s="1"/>
  <c r="N137" i="2"/>
  <c r="O137" i="2" s="1"/>
  <c r="P137" i="2" s="1"/>
  <c r="N138" i="2"/>
  <c r="O138" i="2" s="1"/>
  <c r="P138" i="2" s="1"/>
  <c r="N139" i="2"/>
  <c r="O139" i="2" s="1"/>
  <c r="P139" i="2" s="1"/>
  <c r="N140" i="2"/>
  <c r="O140" i="2" s="1"/>
  <c r="P140" i="2" s="1"/>
  <c r="N141" i="2"/>
  <c r="O141" i="2" s="1"/>
  <c r="P141" i="2" s="1"/>
  <c r="N142" i="2"/>
  <c r="O142" i="2" s="1"/>
  <c r="P142" i="2" s="1"/>
  <c r="N143" i="2"/>
  <c r="O143" i="2" s="1"/>
  <c r="P143" i="2" s="1"/>
  <c r="N144" i="2"/>
  <c r="O144" i="2" s="1"/>
  <c r="P144" i="2" s="1"/>
  <c r="N145" i="2"/>
  <c r="O145" i="2" s="1"/>
  <c r="P145" i="2" s="1"/>
  <c r="N146" i="2"/>
  <c r="O146" i="2" s="1"/>
  <c r="P146" i="2" s="1"/>
  <c r="N147" i="2"/>
  <c r="O147" i="2" s="1"/>
  <c r="P147" i="2" s="1"/>
  <c r="N148" i="2"/>
  <c r="O148" i="2" s="1"/>
  <c r="P148" i="2" s="1"/>
  <c r="N149" i="2"/>
  <c r="O149" i="2" s="1"/>
  <c r="P149" i="2" s="1"/>
  <c r="N150" i="2"/>
  <c r="O150" i="2" s="1"/>
  <c r="P150" i="2" s="1"/>
  <c r="N151" i="2"/>
  <c r="O151" i="2" s="1"/>
  <c r="P151" i="2" s="1"/>
  <c r="N152" i="2"/>
  <c r="O152" i="2" s="1"/>
  <c r="P152" i="2" s="1"/>
  <c r="N153" i="2"/>
  <c r="O153" i="2" s="1"/>
  <c r="P153" i="2" s="1"/>
  <c r="N154" i="2"/>
  <c r="O154" i="2" s="1"/>
  <c r="P154" i="2" s="1"/>
  <c r="N155" i="2"/>
  <c r="O155" i="2" s="1"/>
  <c r="P155" i="2" s="1"/>
  <c r="N156" i="2"/>
  <c r="O156" i="2" s="1"/>
  <c r="P156" i="2" s="1"/>
  <c r="N157" i="2"/>
  <c r="O157" i="2" s="1"/>
  <c r="P157" i="2" s="1"/>
  <c r="N158" i="2"/>
  <c r="O158" i="2" s="1"/>
  <c r="P158" i="2" s="1"/>
  <c r="N159" i="2"/>
  <c r="O159" i="2" s="1"/>
  <c r="P159" i="2" s="1"/>
  <c r="N160" i="2"/>
  <c r="O160" i="2" s="1"/>
  <c r="P160" i="2" s="1"/>
  <c r="N161" i="2"/>
  <c r="O161" i="2" s="1"/>
  <c r="P161" i="2" s="1"/>
  <c r="N162" i="2"/>
  <c r="O162" i="2" s="1"/>
  <c r="P162" i="2" s="1"/>
  <c r="N163" i="2"/>
  <c r="O163" i="2" s="1"/>
  <c r="P163" i="2" s="1"/>
  <c r="N164" i="2"/>
  <c r="O164" i="2" s="1"/>
  <c r="P164" i="2" s="1"/>
  <c r="N165" i="2"/>
  <c r="O165" i="2" s="1"/>
  <c r="P165" i="2" s="1"/>
  <c r="N166" i="2"/>
  <c r="O166" i="2" s="1"/>
  <c r="P166" i="2" s="1"/>
  <c r="N167" i="2"/>
  <c r="O167" i="2" s="1"/>
  <c r="P167" i="2" s="1"/>
  <c r="N168" i="2"/>
  <c r="O168" i="2" s="1"/>
  <c r="P168" i="2" s="1"/>
  <c r="N169" i="2"/>
  <c r="O169" i="2" s="1"/>
  <c r="P169" i="2" s="1"/>
  <c r="N170" i="2"/>
  <c r="O170" i="2" s="1"/>
  <c r="P170" i="2" s="1"/>
  <c r="N171" i="2"/>
  <c r="O171" i="2" s="1"/>
  <c r="P171" i="2" s="1"/>
  <c r="N172" i="2"/>
  <c r="O172" i="2" s="1"/>
  <c r="P172" i="2" s="1"/>
  <c r="N173" i="2"/>
  <c r="O173" i="2" s="1"/>
  <c r="P173" i="2" s="1"/>
  <c r="N174" i="2"/>
  <c r="O174" i="2" s="1"/>
  <c r="P174" i="2" s="1"/>
  <c r="N175" i="2"/>
  <c r="O175" i="2" s="1"/>
  <c r="P175" i="2" s="1"/>
  <c r="N176" i="2"/>
  <c r="O176" i="2" s="1"/>
  <c r="P176" i="2" s="1"/>
  <c r="N177" i="2"/>
  <c r="O177" i="2" s="1"/>
  <c r="P177" i="2" s="1"/>
  <c r="N178" i="2"/>
  <c r="O178" i="2" s="1"/>
  <c r="P178" i="2" s="1"/>
  <c r="N179" i="2"/>
  <c r="O179" i="2" s="1"/>
  <c r="P179" i="2" s="1"/>
  <c r="N180" i="2"/>
  <c r="O180" i="2" s="1"/>
  <c r="P180" i="2" s="1"/>
  <c r="N181" i="2"/>
  <c r="O181" i="2" s="1"/>
  <c r="P181" i="2" s="1"/>
  <c r="N182" i="2"/>
  <c r="O182" i="2" s="1"/>
  <c r="P182" i="2" s="1"/>
  <c r="N183" i="2"/>
  <c r="O183" i="2" s="1"/>
  <c r="P183" i="2" s="1"/>
  <c r="N184" i="2"/>
  <c r="O184" i="2" s="1"/>
  <c r="P184" i="2" s="1"/>
  <c r="N185" i="2"/>
  <c r="O185" i="2" s="1"/>
  <c r="P185" i="2" s="1"/>
  <c r="N186" i="2"/>
  <c r="O186" i="2" s="1"/>
  <c r="P186" i="2" s="1"/>
  <c r="N187" i="2"/>
  <c r="O187" i="2" s="1"/>
  <c r="P187" i="2" s="1"/>
  <c r="N188" i="2"/>
  <c r="O188" i="2" s="1"/>
  <c r="P188" i="2" s="1"/>
  <c r="N189" i="2"/>
  <c r="O189" i="2" s="1"/>
  <c r="P189" i="2" s="1"/>
  <c r="N190" i="2"/>
  <c r="O190" i="2" s="1"/>
  <c r="P190" i="2" s="1"/>
  <c r="N191" i="2"/>
  <c r="O191" i="2" s="1"/>
  <c r="P191" i="2" s="1"/>
  <c r="N192" i="2"/>
  <c r="O192" i="2" s="1"/>
  <c r="P192" i="2" s="1"/>
  <c r="N193" i="2"/>
  <c r="O193" i="2" s="1"/>
  <c r="P193" i="2" s="1"/>
  <c r="N194" i="2"/>
  <c r="O194" i="2" s="1"/>
  <c r="P194" i="2" s="1"/>
  <c r="N195" i="2"/>
  <c r="O195" i="2" s="1"/>
  <c r="P195" i="2" s="1"/>
  <c r="N196" i="2"/>
  <c r="O196" i="2" s="1"/>
  <c r="P196" i="2" s="1"/>
  <c r="N197" i="2"/>
  <c r="O197" i="2" s="1"/>
  <c r="P197" i="2" s="1"/>
  <c r="N198" i="2"/>
  <c r="O198" i="2" s="1"/>
  <c r="P198" i="2" s="1"/>
  <c r="N199" i="2"/>
  <c r="O199" i="2" s="1"/>
  <c r="P199" i="2" s="1"/>
  <c r="N200" i="2"/>
  <c r="O200" i="2" s="1"/>
  <c r="P200" i="2" s="1"/>
  <c r="N201" i="2"/>
  <c r="O201" i="2" s="1"/>
  <c r="P201" i="2" s="1"/>
  <c r="N202" i="2"/>
  <c r="O202" i="2" s="1"/>
  <c r="P202" i="2" s="1"/>
  <c r="N203" i="2"/>
  <c r="O203" i="2" s="1"/>
  <c r="P203" i="2" s="1"/>
  <c r="N204" i="2"/>
  <c r="O204" i="2" s="1"/>
  <c r="P204" i="2" s="1"/>
  <c r="N205" i="2"/>
  <c r="O205" i="2" s="1"/>
  <c r="P205" i="2" s="1"/>
  <c r="N206" i="2"/>
  <c r="O206" i="2" s="1"/>
  <c r="P206" i="2" s="1"/>
  <c r="N207" i="2"/>
  <c r="O207" i="2" s="1"/>
  <c r="P207" i="2" s="1"/>
  <c r="N208" i="2"/>
  <c r="O208" i="2" s="1"/>
  <c r="P208" i="2" s="1"/>
  <c r="N209" i="2"/>
  <c r="O209" i="2" s="1"/>
  <c r="P209" i="2" s="1"/>
  <c r="N210" i="2"/>
  <c r="O210" i="2" s="1"/>
  <c r="P210" i="2" s="1"/>
  <c r="N211" i="2"/>
  <c r="O211" i="2" s="1"/>
  <c r="P211" i="2" s="1"/>
  <c r="N212" i="2"/>
  <c r="O212" i="2" s="1"/>
  <c r="P212" i="2" s="1"/>
  <c r="N213" i="2"/>
  <c r="O213" i="2" s="1"/>
  <c r="P213" i="2" s="1"/>
  <c r="N214" i="2"/>
  <c r="O214" i="2" s="1"/>
  <c r="P214" i="2" s="1"/>
  <c r="N215" i="2"/>
  <c r="O215" i="2" s="1"/>
  <c r="P215" i="2" s="1"/>
  <c r="N216" i="2"/>
  <c r="O216" i="2" s="1"/>
  <c r="P216" i="2" s="1"/>
  <c r="N217" i="2"/>
  <c r="O217" i="2" s="1"/>
  <c r="P217" i="2" s="1"/>
  <c r="N218" i="2"/>
  <c r="O218" i="2" s="1"/>
  <c r="P218" i="2" s="1"/>
  <c r="N219" i="2"/>
  <c r="O219" i="2" s="1"/>
  <c r="P219" i="2" s="1"/>
  <c r="N220" i="2"/>
  <c r="O220" i="2" s="1"/>
  <c r="P220" i="2" s="1"/>
  <c r="N221" i="2"/>
  <c r="O221" i="2" s="1"/>
  <c r="P221" i="2" s="1"/>
  <c r="N222" i="2"/>
  <c r="O222" i="2" s="1"/>
  <c r="P222" i="2" s="1"/>
  <c r="N223" i="2"/>
  <c r="O223" i="2" s="1"/>
  <c r="P223" i="2" s="1"/>
  <c r="N224" i="2"/>
  <c r="O224" i="2" s="1"/>
  <c r="P224" i="2" s="1"/>
  <c r="N225" i="2"/>
  <c r="O225" i="2" s="1"/>
  <c r="P225" i="2" s="1"/>
  <c r="N226" i="2"/>
  <c r="O226" i="2" s="1"/>
  <c r="P226" i="2" s="1"/>
  <c r="N227" i="2"/>
  <c r="O227" i="2" s="1"/>
  <c r="P227" i="2" s="1"/>
  <c r="N228" i="2"/>
  <c r="O228" i="2" s="1"/>
  <c r="P228" i="2" s="1"/>
  <c r="N229" i="2"/>
  <c r="O229" i="2" s="1"/>
  <c r="P229" i="2" s="1"/>
  <c r="N230" i="2"/>
  <c r="O230" i="2" s="1"/>
  <c r="P230" i="2" s="1"/>
  <c r="N231" i="2"/>
  <c r="O231" i="2" s="1"/>
  <c r="P231" i="2" s="1"/>
  <c r="N232" i="2"/>
  <c r="O232" i="2" s="1"/>
  <c r="P232" i="2" s="1"/>
  <c r="N233" i="2"/>
  <c r="O233" i="2" s="1"/>
  <c r="P233" i="2" s="1"/>
  <c r="N234" i="2"/>
  <c r="O234" i="2" s="1"/>
  <c r="P234" i="2" s="1"/>
  <c r="N235" i="2"/>
  <c r="O235" i="2" s="1"/>
  <c r="P235" i="2" s="1"/>
  <c r="N236" i="2"/>
  <c r="O236" i="2" s="1"/>
  <c r="P236" i="2" s="1"/>
  <c r="N237" i="2"/>
  <c r="O237" i="2" s="1"/>
  <c r="P237" i="2" s="1"/>
  <c r="N238" i="2"/>
  <c r="O238" i="2" s="1"/>
  <c r="P238" i="2" s="1"/>
  <c r="N239" i="2"/>
  <c r="O239" i="2" s="1"/>
  <c r="P239" i="2" s="1"/>
  <c r="N240" i="2"/>
  <c r="O240" i="2" s="1"/>
  <c r="P240" i="2" s="1"/>
  <c r="N241" i="2"/>
  <c r="O241" i="2" s="1"/>
  <c r="P241" i="2" s="1"/>
  <c r="N242" i="2"/>
  <c r="O242" i="2" s="1"/>
  <c r="P242" i="2" s="1"/>
  <c r="N243" i="2"/>
  <c r="O243" i="2" s="1"/>
  <c r="P243" i="2" s="1"/>
  <c r="N244" i="2"/>
  <c r="O244" i="2" s="1"/>
  <c r="P244" i="2" s="1"/>
  <c r="N245" i="2"/>
  <c r="O245" i="2" s="1"/>
  <c r="P245" i="2" s="1"/>
  <c r="N246" i="2"/>
  <c r="O246" i="2" s="1"/>
  <c r="P246" i="2" s="1"/>
  <c r="N247" i="2"/>
  <c r="O247" i="2" s="1"/>
  <c r="P247" i="2" s="1"/>
  <c r="N248" i="2"/>
  <c r="O248" i="2" s="1"/>
  <c r="P248" i="2" s="1"/>
  <c r="N249" i="2"/>
  <c r="O249" i="2" s="1"/>
  <c r="P249" i="2" s="1"/>
  <c r="N250" i="2"/>
  <c r="O250" i="2" s="1"/>
  <c r="P250" i="2" s="1"/>
  <c r="N251" i="2"/>
  <c r="O251" i="2" s="1"/>
  <c r="P251" i="2" s="1"/>
  <c r="N252" i="2"/>
  <c r="O252" i="2" s="1"/>
  <c r="P252" i="2" s="1"/>
  <c r="N253" i="2"/>
  <c r="O253" i="2" s="1"/>
  <c r="P253" i="2" s="1"/>
  <c r="N254" i="2"/>
  <c r="O254" i="2" s="1"/>
  <c r="P254" i="2" s="1"/>
  <c r="N255" i="2"/>
  <c r="O255" i="2" s="1"/>
  <c r="P255" i="2" s="1"/>
  <c r="N256" i="2"/>
  <c r="O256" i="2" s="1"/>
  <c r="P256" i="2" s="1"/>
  <c r="N257" i="2"/>
  <c r="O257" i="2" s="1"/>
  <c r="P257" i="2" s="1"/>
  <c r="N258" i="2"/>
  <c r="O258" i="2" s="1"/>
  <c r="P258" i="2" s="1"/>
  <c r="N259" i="2"/>
  <c r="O259" i="2" s="1"/>
  <c r="P259" i="2" s="1"/>
  <c r="N260" i="2"/>
  <c r="O260" i="2" s="1"/>
  <c r="P260" i="2" s="1"/>
  <c r="N261" i="2"/>
  <c r="O261" i="2" s="1"/>
  <c r="P261" i="2" s="1"/>
  <c r="N262" i="2"/>
  <c r="O262" i="2" s="1"/>
  <c r="P262" i="2" s="1"/>
  <c r="N263" i="2"/>
  <c r="O263" i="2" s="1"/>
  <c r="P263" i="2" s="1"/>
  <c r="N264" i="2"/>
  <c r="O264" i="2" s="1"/>
  <c r="P264" i="2" s="1"/>
  <c r="N265" i="2"/>
  <c r="O265" i="2" s="1"/>
  <c r="P265" i="2" s="1"/>
  <c r="N266" i="2"/>
  <c r="O266" i="2" s="1"/>
  <c r="P266" i="2" s="1"/>
  <c r="N267" i="2"/>
  <c r="O267" i="2" s="1"/>
  <c r="P267" i="2" s="1"/>
  <c r="N268" i="2"/>
  <c r="O268" i="2" s="1"/>
  <c r="P268" i="2" s="1"/>
  <c r="N269" i="2"/>
  <c r="O269" i="2" s="1"/>
  <c r="P269" i="2" s="1"/>
  <c r="N270" i="2"/>
  <c r="O270" i="2" s="1"/>
  <c r="P270" i="2" s="1"/>
  <c r="N271" i="2"/>
  <c r="O271" i="2" s="1"/>
  <c r="P271" i="2" s="1"/>
  <c r="N272" i="2"/>
  <c r="O272" i="2" s="1"/>
  <c r="P272" i="2" s="1"/>
  <c r="N273" i="2"/>
  <c r="O273" i="2" s="1"/>
  <c r="P273" i="2" s="1"/>
  <c r="N274" i="2"/>
  <c r="O274" i="2" s="1"/>
  <c r="P274" i="2" s="1"/>
  <c r="N275" i="2"/>
  <c r="O275" i="2" s="1"/>
  <c r="P275" i="2" s="1"/>
  <c r="N276" i="2"/>
  <c r="O276" i="2" s="1"/>
  <c r="P276" i="2" s="1"/>
  <c r="N277" i="2"/>
  <c r="O277" i="2" s="1"/>
  <c r="P277" i="2" s="1"/>
  <c r="N278" i="2"/>
  <c r="O278" i="2" s="1"/>
  <c r="P278" i="2" s="1"/>
  <c r="N279" i="2"/>
  <c r="O279" i="2" s="1"/>
  <c r="P279" i="2" s="1"/>
  <c r="N280" i="2"/>
  <c r="O280" i="2" s="1"/>
  <c r="P280" i="2" s="1"/>
  <c r="N281" i="2"/>
  <c r="O281" i="2" s="1"/>
  <c r="P281" i="2" s="1"/>
  <c r="N282" i="2"/>
  <c r="O282" i="2" s="1"/>
  <c r="P282" i="2" s="1"/>
  <c r="N283" i="2"/>
  <c r="O283" i="2" s="1"/>
  <c r="P283" i="2" s="1"/>
  <c r="N284" i="2"/>
  <c r="O284" i="2" s="1"/>
  <c r="P284" i="2" s="1"/>
  <c r="N285" i="2"/>
  <c r="O285" i="2" s="1"/>
  <c r="P285" i="2" s="1"/>
  <c r="N286" i="2"/>
  <c r="O286" i="2" s="1"/>
  <c r="P286" i="2" s="1"/>
  <c r="N287" i="2"/>
  <c r="O287" i="2" s="1"/>
  <c r="P287" i="2" s="1"/>
  <c r="N288" i="2"/>
  <c r="O288" i="2" s="1"/>
  <c r="P288" i="2" s="1"/>
  <c r="N289" i="2"/>
  <c r="O289" i="2" s="1"/>
  <c r="P289" i="2" s="1"/>
  <c r="N290" i="2"/>
  <c r="O290" i="2" s="1"/>
  <c r="P290" i="2" s="1"/>
  <c r="N291" i="2"/>
  <c r="O291" i="2" s="1"/>
  <c r="P291" i="2" s="1"/>
  <c r="N292" i="2"/>
  <c r="O292" i="2" s="1"/>
  <c r="P292" i="2" s="1"/>
  <c r="N293" i="2"/>
  <c r="O293" i="2" s="1"/>
  <c r="P293" i="2" s="1"/>
  <c r="N294" i="2"/>
  <c r="O294" i="2" s="1"/>
  <c r="P294" i="2" s="1"/>
  <c r="N295" i="2"/>
  <c r="O295" i="2" s="1"/>
  <c r="P295" i="2" s="1"/>
  <c r="N296" i="2"/>
  <c r="O296" i="2" s="1"/>
  <c r="P296" i="2" s="1"/>
  <c r="N297" i="2"/>
  <c r="O297" i="2" s="1"/>
  <c r="P297" i="2" s="1"/>
  <c r="N298" i="2"/>
  <c r="O298" i="2" s="1"/>
  <c r="P298" i="2" s="1"/>
  <c r="N299" i="2"/>
  <c r="O299" i="2" s="1"/>
  <c r="P299" i="2" s="1"/>
  <c r="N300" i="2"/>
  <c r="O300" i="2" s="1"/>
  <c r="P300" i="2" s="1"/>
  <c r="N301" i="2"/>
  <c r="O301" i="2" s="1"/>
  <c r="P301" i="2" s="1"/>
  <c r="N302" i="2"/>
  <c r="O302" i="2" s="1"/>
  <c r="P302" i="2" s="1"/>
  <c r="N303" i="2"/>
  <c r="O303" i="2" s="1"/>
  <c r="P303" i="2" s="1"/>
  <c r="N304" i="2"/>
  <c r="O304" i="2" s="1"/>
  <c r="P304" i="2" s="1"/>
  <c r="N305" i="2"/>
  <c r="O305" i="2" s="1"/>
  <c r="P305" i="2" s="1"/>
  <c r="N306" i="2"/>
  <c r="O306" i="2" s="1"/>
  <c r="P306" i="2" s="1"/>
  <c r="N307" i="2"/>
  <c r="O307" i="2" s="1"/>
  <c r="P307" i="2" s="1"/>
  <c r="N308" i="2"/>
  <c r="O308" i="2" s="1"/>
  <c r="P308" i="2" s="1"/>
  <c r="N309" i="2"/>
  <c r="O309" i="2" s="1"/>
  <c r="P309" i="2" s="1"/>
  <c r="N310" i="2"/>
  <c r="O310" i="2" s="1"/>
  <c r="P310" i="2" s="1"/>
  <c r="N311" i="2"/>
  <c r="O311" i="2" s="1"/>
  <c r="P311" i="2" s="1"/>
  <c r="N312" i="2"/>
  <c r="O312" i="2" s="1"/>
  <c r="P312" i="2" s="1"/>
  <c r="N313" i="2"/>
  <c r="O313" i="2" s="1"/>
  <c r="P313" i="2" s="1"/>
  <c r="N314" i="2"/>
  <c r="O314" i="2" s="1"/>
  <c r="P314" i="2" s="1"/>
  <c r="N315" i="2"/>
  <c r="O315" i="2" s="1"/>
  <c r="P315" i="2" s="1"/>
  <c r="N316" i="2"/>
  <c r="O316" i="2" s="1"/>
  <c r="P316" i="2" s="1"/>
  <c r="N317" i="2"/>
  <c r="O317" i="2" s="1"/>
  <c r="P317" i="2" s="1"/>
  <c r="N318" i="2"/>
  <c r="O318" i="2" s="1"/>
  <c r="P318" i="2" s="1"/>
  <c r="N319" i="2"/>
  <c r="O319" i="2" s="1"/>
  <c r="P319" i="2" s="1"/>
  <c r="N320" i="2"/>
  <c r="O320" i="2" s="1"/>
  <c r="P320" i="2" s="1"/>
  <c r="N321" i="2"/>
  <c r="O321" i="2" s="1"/>
  <c r="P321" i="2" s="1"/>
  <c r="N322" i="2"/>
  <c r="O322" i="2" s="1"/>
  <c r="P322" i="2" s="1"/>
  <c r="N323" i="2"/>
  <c r="O323" i="2" s="1"/>
  <c r="P323" i="2" s="1"/>
  <c r="N324" i="2"/>
  <c r="O324" i="2" s="1"/>
  <c r="P324" i="2" s="1"/>
  <c r="N325" i="2"/>
  <c r="O325" i="2" s="1"/>
  <c r="P325" i="2" s="1"/>
  <c r="N326" i="2"/>
  <c r="O326" i="2" s="1"/>
  <c r="P326" i="2" s="1"/>
  <c r="N327" i="2"/>
  <c r="O327" i="2" s="1"/>
  <c r="P327" i="2" s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N3" i="20"/>
  <c r="O3" i="20" s="1"/>
  <c r="P3" i="20" s="1"/>
  <c r="N4" i="20"/>
  <c r="O4" i="20" s="1"/>
  <c r="P4" i="20" s="1"/>
  <c r="N5" i="20"/>
  <c r="O5" i="20" s="1"/>
  <c r="P5" i="20" s="1"/>
  <c r="N6" i="20"/>
  <c r="O6" i="20" s="1"/>
  <c r="P6" i="20" s="1"/>
  <c r="N7" i="20"/>
  <c r="O7" i="20" s="1"/>
  <c r="P7" i="20" s="1"/>
  <c r="N8" i="20"/>
  <c r="O8" i="20" s="1"/>
  <c r="P8" i="20" s="1"/>
  <c r="N9" i="20"/>
  <c r="O9" i="20" s="1"/>
  <c r="P9" i="20" s="1"/>
  <c r="N10" i="20"/>
  <c r="O10" i="20" s="1"/>
  <c r="P10" i="20" s="1"/>
  <c r="N11" i="20"/>
  <c r="O11" i="20" s="1"/>
  <c r="P11" i="20" s="1"/>
  <c r="N12" i="20"/>
  <c r="O12" i="20" s="1"/>
  <c r="P12" i="20" s="1"/>
  <c r="N13" i="20"/>
  <c r="O13" i="20" s="1"/>
  <c r="P13" i="20" s="1"/>
  <c r="N14" i="20"/>
  <c r="O14" i="20" s="1"/>
  <c r="P14" i="20" s="1"/>
  <c r="N15" i="20"/>
  <c r="O15" i="20" s="1"/>
  <c r="P15" i="20" s="1"/>
  <c r="N16" i="20"/>
  <c r="O16" i="20" s="1"/>
  <c r="P16" i="20" s="1"/>
  <c r="N17" i="20"/>
  <c r="O17" i="20" s="1"/>
  <c r="P17" i="20" s="1"/>
  <c r="N18" i="20"/>
  <c r="O18" i="20" s="1"/>
  <c r="P18" i="20" s="1"/>
  <c r="N19" i="20"/>
  <c r="O19" i="20" s="1"/>
  <c r="P19" i="20" s="1"/>
  <c r="N20" i="20"/>
  <c r="O20" i="20" s="1"/>
  <c r="P20" i="20" s="1"/>
  <c r="N21" i="20"/>
  <c r="O21" i="20" s="1"/>
  <c r="P21" i="20" s="1"/>
  <c r="N22" i="20"/>
  <c r="O22" i="20" s="1"/>
  <c r="P22" i="20" s="1"/>
  <c r="N23" i="20"/>
  <c r="O23" i="20" s="1"/>
  <c r="P23" i="20" s="1"/>
  <c r="N24" i="20"/>
  <c r="O24" i="20" s="1"/>
  <c r="P24" i="20" s="1"/>
  <c r="N25" i="20"/>
  <c r="O25" i="20" s="1"/>
  <c r="P25" i="20" s="1"/>
  <c r="N26" i="20"/>
  <c r="O26" i="20" s="1"/>
  <c r="P26" i="20" s="1"/>
  <c r="N27" i="20"/>
  <c r="O27" i="20" s="1"/>
  <c r="P27" i="20" s="1"/>
  <c r="N28" i="20"/>
  <c r="O28" i="20" s="1"/>
  <c r="P28" i="20" s="1"/>
  <c r="N29" i="20"/>
  <c r="O29" i="20" s="1"/>
  <c r="P29" i="20" s="1"/>
  <c r="N30" i="20"/>
  <c r="O30" i="20" s="1"/>
  <c r="P30" i="20" s="1"/>
  <c r="N438" i="20"/>
  <c r="O438" i="20" s="1"/>
  <c r="P438" i="20" s="1"/>
  <c r="N616" i="20"/>
  <c r="O616" i="20" s="1"/>
  <c r="P616" i="20" s="1"/>
  <c r="N299" i="20"/>
  <c r="O299" i="20" s="1"/>
  <c r="P299" i="20" s="1"/>
  <c r="N283" i="20"/>
  <c r="O283" i="20" s="1"/>
  <c r="P283" i="20" s="1"/>
  <c r="N304" i="20"/>
  <c r="O304" i="20" s="1"/>
  <c r="P304" i="20" s="1"/>
  <c r="N361" i="20"/>
  <c r="O361" i="20" s="1"/>
  <c r="P361" i="20" s="1"/>
  <c r="N395" i="20"/>
  <c r="O395" i="20" s="1"/>
  <c r="P395" i="20" s="1"/>
  <c r="N584" i="20"/>
  <c r="O584" i="20" s="1"/>
  <c r="P584" i="20" s="1"/>
  <c r="N503" i="20"/>
  <c r="O503" i="20" s="1"/>
  <c r="P503" i="20" s="1"/>
  <c r="N349" i="20"/>
  <c r="O349" i="20" s="1"/>
  <c r="P349" i="20" s="1"/>
  <c r="N513" i="20"/>
  <c r="O513" i="20" s="1"/>
  <c r="P513" i="20" s="1"/>
  <c r="N595" i="20"/>
  <c r="O595" i="20" s="1"/>
  <c r="P595" i="20" s="1"/>
  <c r="N434" i="20"/>
  <c r="O434" i="20" s="1"/>
  <c r="P434" i="20" s="1"/>
  <c r="N533" i="20"/>
  <c r="O533" i="20" s="1"/>
  <c r="P533" i="20" s="1"/>
  <c r="N340" i="20"/>
  <c r="O340" i="20" s="1"/>
  <c r="P340" i="20" s="1"/>
  <c r="N351" i="20"/>
  <c r="O351" i="20" s="1"/>
  <c r="P351" i="20" s="1"/>
  <c r="N401" i="20"/>
  <c r="O401" i="20" s="1"/>
  <c r="P401" i="20" s="1"/>
  <c r="N602" i="20"/>
  <c r="O602" i="20" s="1"/>
  <c r="P602" i="20" s="1"/>
  <c r="N618" i="20"/>
  <c r="O618" i="20" s="1"/>
  <c r="P618" i="20" s="1"/>
  <c r="N529" i="20"/>
  <c r="O529" i="20" s="1"/>
  <c r="P529" i="20" s="1"/>
  <c r="N534" i="20"/>
  <c r="O534" i="20" s="1"/>
  <c r="P534" i="20" s="1"/>
  <c r="N437" i="20"/>
  <c r="O437" i="20" s="1"/>
  <c r="P437" i="20" s="1"/>
  <c r="N375" i="20"/>
  <c r="O375" i="20" s="1"/>
  <c r="P375" i="20" s="1"/>
  <c r="N483" i="20"/>
  <c r="O483" i="20" s="1"/>
  <c r="P483" i="20" s="1"/>
  <c r="N522" i="20"/>
  <c r="O522" i="20" s="1"/>
  <c r="P522" i="20" s="1"/>
  <c r="N405" i="20"/>
  <c r="O405" i="20" s="1"/>
  <c r="P405" i="20" s="1"/>
  <c r="N489" i="20"/>
  <c r="O489" i="20" s="1"/>
  <c r="P489" i="20" s="1"/>
  <c r="N637" i="20"/>
  <c r="O637" i="20" s="1"/>
  <c r="P637" i="20" s="1"/>
  <c r="N336" i="20"/>
  <c r="O336" i="20" s="1"/>
  <c r="P336" i="20" s="1"/>
  <c r="N520" i="20"/>
  <c r="O520" i="20" s="1"/>
  <c r="P520" i="20" s="1"/>
  <c r="N31" i="20"/>
  <c r="O31" i="20" s="1"/>
  <c r="P31" i="20" s="1"/>
  <c r="N32" i="20"/>
  <c r="O32" i="20" s="1"/>
  <c r="P32" i="20" s="1"/>
  <c r="N33" i="20"/>
  <c r="O33" i="20" s="1"/>
  <c r="P33" i="20" s="1"/>
  <c r="N34" i="20"/>
  <c r="O34" i="20" s="1"/>
  <c r="P34" i="20" s="1"/>
  <c r="N35" i="20"/>
  <c r="O35" i="20" s="1"/>
  <c r="P35" i="20" s="1"/>
  <c r="N36" i="20"/>
  <c r="O36" i="20" s="1"/>
  <c r="P36" i="20" s="1"/>
  <c r="N37" i="20"/>
  <c r="O37" i="20" s="1"/>
  <c r="P37" i="20" s="1"/>
  <c r="N38" i="20"/>
  <c r="O38" i="20" s="1"/>
  <c r="P38" i="20" s="1"/>
  <c r="N39" i="20"/>
  <c r="O39" i="20" s="1"/>
  <c r="P39" i="20" s="1"/>
  <c r="N40" i="20"/>
  <c r="O40" i="20" s="1"/>
  <c r="P40" i="20" s="1"/>
  <c r="N41" i="20"/>
  <c r="O41" i="20" s="1"/>
  <c r="P41" i="20" s="1"/>
  <c r="N42" i="20"/>
  <c r="O42" i="20" s="1"/>
  <c r="P42" i="20" s="1"/>
  <c r="N43" i="20"/>
  <c r="O43" i="20" s="1"/>
  <c r="P43" i="20" s="1"/>
  <c r="N44" i="20"/>
  <c r="O44" i="20" s="1"/>
  <c r="P44" i="20" s="1"/>
  <c r="N45" i="20"/>
  <c r="O45" i="20" s="1"/>
  <c r="P45" i="20" s="1"/>
  <c r="N46" i="20"/>
  <c r="O46" i="20" s="1"/>
  <c r="P46" i="20" s="1"/>
  <c r="N47" i="20"/>
  <c r="O47" i="20" s="1"/>
  <c r="P47" i="20" s="1"/>
  <c r="N48" i="20"/>
  <c r="O48" i="20" s="1"/>
  <c r="P48" i="20" s="1"/>
  <c r="N49" i="20"/>
  <c r="O49" i="20" s="1"/>
  <c r="P49" i="20" s="1"/>
  <c r="N50" i="20"/>
  <c r="O50" i="20" s="1"/>
  <c r="P50" i="20" s="1"/>
  <c r="N51" i="20"/>
  <c r="O51" i="20" s="1"/>
  <c r="P51" i="20" s="1"/>
  <c r="N52" i="20"/>
  <c r="O52" i="20" s="1"/>
  <c r="P52" i="20" s="1"/>
  <c r="N53" i="20"/>
  <c r="O53" i="20" s="1"/>
  <c r="P53" i="20" s="1"/>
  <c r="N54" i="20"/>
  <c r="O54" i="20" s="1"/>
  <c r="P54" i="20" s="1"/>
  <c r="N55" i="20"/>
  <c r="O55" i="20" s="1"/>
  <c r="P55" i="20" s="1"/>
  <c r="N56" i="20"/>
  <c r="O56" i="20" s="1"/>
  <c r="P56" i="20" s="1"/>
  <c r="N57" i="20"/>
  <c r="O57" i="20" s="1"/>
  <c r="P57" i="20" s="1"/>
  <c r="N58" i="20"/>
  <c r="O58" i="20" s="1"/>
  <c r="P58" i="20" s="1"/>
  <c r="N59" i="20"/>
  <c r="O59" i="20" s="1"/>
  <c r="P59" i="20" s="1"/>
  <c r="N60" i="20"/>
  <c r="O60" i="20" s="1"/>
  <c r="P60" i="20" s="1"/>
  <c r="N61" i="20"/>
  <c r="O61" i="20" s="1"/>
  <c r="P61" i="20" s="1"/>
  <c r="N62" i="20"/>
  <c r="O62" i="20" s="1"/>
  <c r="P62" i="20" s="1"/>
  <c r="N63" i="20"/>
  <c r="O63" i="20" s="1"/>
  <c r="P63" i="20" s="1"/>
  <c r="N64" i="20"/>
  <c r="O64" i="20" s="1"/>
  <c r="P64" i="20" s="1"/>
  <c r="N65" i="20"/>
  <c r="O65" i="20" s="1"/>
  <c r="P65" i="20" s="1"/>
  <c r="N66" i="20"/>
  <c r="O66" i="20" s="1"/>
  <c r="P66" i="20" s="1"/>
  <c r="N67" i="20"/>
  <c r="O67" i="20" s="1"/>
  <c r="P67" i="20" s="1"/>
  <c r="N68" i="20"/>
  <c r="O68" i="20" s="1"/>
  <c r="P68" i="20" s="1"/>
  <c r="N69" i="20"/>
  <c r="O69" i="20" s="1"/>
  <c r="P69" i="20" s="1"/>
  <c r="N70" i="20"/>
  <c r="O70" i="20" s="1"/>
  <c r="P70" i="20" s="1"/>
  <c r="N71" i="20"/>
  <c r="O71" i="20" s="1"/>
  <c r="P71" i="20" s="1"/>
  <c r="N72" i="20"/>
  <c r="O72" i="20" s="1"/>
  <c r="P72" i="20" s="1"/>
  <c r="N73" i="20"/>
  <c r="O73" i="20" s="1"/>
  <c r="P73" i="20" s="1"/>
  <c r="N74" i="20"/>
  <c r="O74" i="20" s="1"/>
  <c r="P74" i="20" s="1"/>
  <c r="N75" i="20"/>
  <c r="O75" i="20" s="1"/>
  <c r="P75" i="20" s="1"/>
  <c r="N76" i="20"/>
  <c r="O76" i="20" s="1"/>
  <c r="P76" i="20" s="1"/>
  <c r="N77" i="20"/>
  <c r="O77" i="20" s="1"/>
  <c r="P77" i="20" s="1"/>
  <c r="N78" i="20"/>
  <c r="O78" i="20" s="1"/>
  <c r="P78" i="20" s="1"/>
  <c r="N79" i="20"/>
  <c r="O79" i="20" s="1"/>
  <c r="P79" i="20" s="1"/>
  <c r="N80" i="20"/>
  <c r="O80" i="20" s="1"/>
  <c r="P80" i="20" s="1"/>
  <c r="N81" i="20"/>
  <c r="O81" i="20" s="1"/>
  <c r="P81" i="20" s="1"/>
  <c r="N82" i="20"/>
  <c r="O82" i="20" s="1"/>
  <c r="P82" i="20" s="1"/>
  <c r="N83" i="20"/>
  <c r="O83" i="20" s="1"/>
  <c r="P83" i="20" s="1"/>
  <c r="N84" i="20"/>
  <c r="O84" i="20" s="1"/>
  <c r="P84" i="20" s="1"/>
  <c r="N85" i="20"/>
  <c r="O85" i="20" s="1"/>
  <c r="P85" i="20" s="1"/>
  <c r="N86" i="20"/>
  <c r="O86" i="20" s="1"/>
  <c r="P86" i="20" s="1"/>
  <c r="N502" i="20"/>
  <c r="O502" i="20" s="1"/>
  <c r="P502" i="20" s="1"/>
  <c r="N416" i="20"/>
  <c r="O416" i="20" s="1"/>
  <c r="P416" i="20" s="1"/>
  <c r="N450" i="20"/>
  <c r="O450" i="20" s="1"/>
  <c r="P450" i="20" s="1"/>
  <c r="N559" i="20"/>
  <c r="O559" i="20" s="1"/>
  <c r="P559" i="20" s="1"/>
  <c r="N631" i="20"/>
  <c r="O631" i="20" s="1"/>
  <c r="P631" i="20" s="1"/>
  <c r="N543" i="20"/>
  <c r="O543" i="20" s="1"/>
  <c r="P543" i="20" s="1"/>
  <c r="N470" i="20"/>
  <c r="O470" i="20" s="1"/>
  <c r="P470" i="20" s="1"/>
  <c r="N350" i="20"/>
  <c r="O350" i="20" s="1"/>
  <c r="P350" i="20" s="1"/>
  <c r="N507" i="20"/>
  <c r="O507" i="20" s="1"/>
  <c r="P507" i="20" s="1"/>
  <c r="N468" i="20"/>
  <c r="O468" i="20" s="1"/>
  <c r="P468" i="20" s="1"/>
  <c r="N295" i="20"/>
  <c r="O295" i="20" s="1"/>
  <c r="P295" i="20" s="1"/>
  <c r="N423" i="20"/>
  <c r="O423" i="20" s="1"/>
  <c r="P423" i="20" s="1"/>
  <c r="N635" i="20"/>
  <c r="O635" i="20" s="1"/>
  <c r="P635" i="20" s="1"/>
  <c r="N303" i="20"/>
  <c r="O303" i="20" s="1"/>
  <c r="P303" i="20" s="1"/>
  <c r="N504" i="20"/>
  <c r="O504" i="20" s="1"/>
  <c r="P504" i="20" s="1"/>
  <c r="N581" i="20"/>
  <c r="O581" i="20" s="1"/>
  <c r="P581" i="20" s="1"/>
  <c r="N518" i="20"/>
  <c r="O518" i="20" s="1"/>
  <c r="P518" i="20" s="1"/>
  <c r="N284" i="20"/>
  <c r="O284" i="20" s="1"/>
  <c r="P284" i="20" s="1"/>
  <c r="N505" i="20"/>
  <c r="O505" i="20" s="1"/>
  <c r="P505" i="20" s="1"/>
  <c r="N606" i="20"/>
  <c r="O606" i="20" s="1"/>
  <c r="P606" i="20" s="1"/>
  <c r="N292" i="20"/>
  <c r="O292" i="20" s="1"/>
  <c r="P292" i="20" s="1"/>
  <c r="N511" i="20"/>
  <c r="O511" i="20" s="1"/>
  <c r="P511" i="20" s="1"/>
  <c r="N326" i="20"/>
  <c r="O326" i="20" s="1"/>
  <c r="P326" i="20" s="1"/>
  <c r="N429" i="20"/>
  <c r="O429" i="20" s="1"/>
  <c r="P429" i="20" s="1"/>
  <c r="N527" i="20"/>
  <c r="O527" i="20" s="1"/>
  <c r="P527" i="20" s="1"/>
  <c r="N549" i="20"/>
  <c r="O549" i="20" s="1"/>
  <c r="P549" i="20" s="1"/>
  <c r="N389" i="20"/>
  <c r="O389" i="20" s="1"/>
  <c r="P389" i="20" s="1"/>
  <c r="N339" i="20"/>
  <c r="O339" i="20" s="1"/>
  <c r="P339" i="20" s="1"/>
  <c r="N552" i="20"/>
  <c r="O552" i="20" s="1"/>
  <c r="P552" i="20" s="1"/>
  <c r="N329" i="20"/>
  <c r="O329" i="20" s="1"/>
  <c r="P329" i="20" s="1"/>
  <c r="N290" i="20"/>
  <c r="O290" i="20" s="1"/>
  <c r="P290" i="20" s="1"/>
  <c r="N532" i="20"/>
  <c r="O532" i="20" s="1"/>
  <c r="P532" i="20" s="1"/>
  <c r="N586" i="20"/>
  <c r="O586" i="20" s="1"/>
  <c r="P586" i="20" s="1"/>
  <c r="N358" i="20"/>
  <c r="O358" i="20" s="1"/>
  <c r="P358" i="20" s="1"/>
  <c r="N320" i="20"/>
  <c r="O320" i="20" s="1"/>
  <c r="P320" i="20" s="1"/>
  <c r="N288" i="20"/>
  <c r="O288" i="20" s="1"/>
  <c r="P288" i="20" s="1"/>
  <c r="N594" i="20"/>
  <c r="O594" i="20" s="1"/>
  <c r="P594" i="20" s="1"/>
  <c r="N460" i="20"/>
  <c r="O460" i="20" s="1"/>
  <c r="P460" i="20" s="1"/>
  <c r="N418" i="20"/>
  <c r="O418" i="20" s="1"/>
  <c r="P418" i="20" s="1"/>
  <c r="N499" i="20"/>
  <c r="O499" i="20" s="1"/>
  <c r="P499" i="20" s="1"/>
  <c r="N400" i="20"/>
  <c r="O400" i="20" s="1"/>
  <c r="P400" i="20" s="1"/>
  <c r="N285" i="20"/>
  <c r="O285" i="20" s="1"/>
  <c r="P285" i="20" s="1"/>
  <c r="N432" i="20"/>
  <c r="O432" i="20" s="1"/>
  <c r="P432" i="20" s="1"/>
  <c r="N491" i="20"/>
  <c r="O491" i="20" s="1"/>
  <c r="P491" i="20" s="1"/>
  <c r="N614" i="20"/>
  <c r="O614" i="20" s="1"/>
  <c r="P614" i="20" s="1"/>
  <c r="N335" i="20"/>
  <c r="O335" i="20" s="1"/>
  <c r="P335" i="20" s="1"/>
  <c r="N306" i="20"/>
  <c r="O306" i="20" s="1"/>
  <c r="P306" i="20" s="1"/>
  <c r="N309" i="20"/>
  <c r="O309" i="20" s="1"/>
  <c r="P309" i="20" s="1"/>
  <c r="N538" i="20"/>
  <c r="O538" i="20" s="1"/>
  <c r="P538" i="20" s="1"/>
  <c r="N305" i="20"/>
  <c r="O305" i="20" s="1"/>
  <c r="P305" i="20" s="1"/>
  <c r="N469" i="20"/>
  <c r="O469" i="20" s="1"/>
  <c r="P469" i="20" s="1"/>
  <c r="N342" i="20"/>
  <c r="O342" i="20" s="1"/>
  <c r="P342" i="20" s="1"/>
  <c r="N487" i="20"/>
  <c r="O487" i="20" s="1"/>
  <c r="P487" i="20" s="1"/>
  <c r="N319" i="20"/>
  <c r="O319" i="20" s="1"/>
  <c r="P319" i="20" s="1"/>
  <c r="N461" i="20"/>
  <c r="O461" i="20" s="1"/>
  <c r="P461" i="20" s="1"/>
  <c r="N456" i="20"/>
  <c r="O456" i="20" s="1"/>
  <c r="P456" i="20" s="1"/>
  <c r="N281" i="20"/>
  <c r="O281" i="20" s="1"/>
  <c r="P281" i="20" s="1"/>
  <c r="N510" i="20"/>
  <c r="O510" i="20" s="1"/>
  <c r="P510" i="20" s="1"/>
  <c r="N638" i="20"/>
  <c r="O638" i="20" s="1"/>
  <c r="P638" i="20" s="1"/>
  <c r="N282" i="20"/>
  <c r="O282" i="20" s="1"/>
  <c r="P282" i="20" s="1"/>
  <c r="N464" i="20"/>
  <c r="O464" i="20" s="1"/>
  <c r="P464" i="20" s="1"/>
  <c r="N396" i="20"/>
  <c r="O396" i="20" s="1"/>
  <c r="P396" i="20" s="1"/>
  <c r="N521" i="20"/>
  <c r="O521" i="20" s="1"/>
  <c r="P521" i="20" s="1"/>
  <c r="N311" i="20"/>
  <c r="O311" i="20" s="1"/>
  <c r="P311" i="20" s="1"/>
  <c r="N414" i="20"/>
  <c r="O414" i="20" s="1"/>
  <c r="P414" i="20" s="1"/>
  <c r="N410" i="20"/>
  <c r="O410" i="20" s="1"/>
  <c r="P410" i="20" s="1"/>
  <c r="N357" i="20"/>
  <c r="O357" i="20" s="1"/>
  <c r="P357" i="20" s="1"/>
  <c r="N317" i="20"/>
  <c r="O317" i="20" s="1"/>
  <c r="P317" i="20" s="1"/>
  <c r="N318" i="20"/>
  <c r="O318" i="20" s="1"/>
  <c r="P318" i="20" s="1"/>
  <c r="N548" i="20"/>
  <c r="O548" i="20" s="1"/>
  <c r="P548" i="20" s="1"/>
  <c r="N582" i="20"/>
  <c r="O582" i="20" s="1"/>
  <c r="P582" i="20" s="1"/>
  <c r="N570" i="20"/>
  <c r="O570" i="20" s="1"/>
  <c r="P570" i="20" s="1"/>
  <c r="N601" i="20"/>
  <c r="O601" i="20" s="1"/>
  <c r="P601" i="20" s="1"/>
  <c r="N457" i="20"/>
  <c r="O457" i="20" s="1"/>
  <c r="P457" i="20" s="1"/>
  <c r="N377" i="20"/>
  <c r="O377" i="20" s="1"/>
  <c r="P377" i="20" s="1"/>
  <c r="N589" i="20"/>
  <c r="O589" i="20" s="1"/>
  <c r="P589" i="20" s="1"/>
  <c r="N571" i="20"/>
  <c r="O571" i="20" s="1"/>
  <c r="P571" i="20" s="1"/>
  <c r="N564" i="20"/>
  <c r="O564" i="20" s="1"/>
  <c r="P564" i="20" s="1"/>
  <c r="N542" i="20"/>
  <c r="O542" i="20" s="1"/>
  <c r="P542" i="20" s="1"/>
  <c r="N537" i="20"/>
  <c r="O537" i="20" s="1"/>
  <c r="P537" i="20" s="1"/>
  <c r="N459" i="20"/>
  <c r="O459" i="20" s="1"/>
  <c r="P459" i="20" s="1"/>
  <c r="N380" i="20"/>
  <c r="O380" i="20" s="1"/>
  <c r="P380" i="20" s="1"/>
  <c r="N629" i="20"/>
  <c r="O629" i="20" s="1"/>
  <c r="P629" i="20" s="1"/>
  <c r="N569" i="20"/>
  <c r="O569" i="20" s="1"/>
  <c r="P569" i="20" s="1"/>
  <c r="N498" i="20"/>
  <c r="O498" i="20" s="1"/>
  <c r="P498" i="20" s="1"/>
  <c r="N323" i="20"/>
  <c r="O323" i="20" s="1"/>
  <c r="P323" i="20" s="1"/>
  <c r="N422" i="20"/>
  <c r="O422" i="20" s="1"/>
  <c r="P422" i="20" s="1"/>
  <c r="N376" i="20"/>
  <c r="O376" i="20" s="1"/>
  <c r="P376" i="20" s="1"/>
  <c r="N289" i="20"/>
  <c r="O289" i="20" s="1"/>
  <c r="P289" i="20" s="1"/>
  <c r="N322" i="20"/>
  <c r="O322" i="20" s="1"/>
  <c r="P322" i="20" s="1"/>
  <c r="N615" i="20"/>
  <c r="O615" i="20" s="1"/>
  <c r="P615" i="20" s="1"/>
  <c r="N293" i="20"/>
  <c r="O293" i="20" s="1"/>
  <c r="P293" i="20" s="1"/>
  <c r="N366" i="20"/>
  <c r="O366" i="20" s="1"/>
  <c r="P366" i="20" s="1"/>
  <c r="N393" i="20"/>
  <c r="O393" i="20" s="1"/>
  <c r="P393" i="20" s="1"/>
  <c r="N321" i="20"/>
  <c r="O321" i="20" s="1"/>
  <c r="P321" i="20" s="1"/>
  <c r="N465" i="20"/>
  <c r="O465" i="20" s="1"/>
  <c r="P465" i="20" s="1"/>
  <c r="N515" i="20"/>
  <c r="O515" i="20" s="1"/>
  <c r="P515" i="20" s="1"/>
  <c r="N600" i="20"/>
  <c r="O600" i="20" s="1"/>
  <c r="P600" i="20" s="1"/>
  <c r="N296" i="20"/>
  <c r="O296" i="20" s="1"/>
  <c r="P296" i="20" s="1"/>
  <c r="N512" i="20"/>
  <c r="O512" i="20" s="1"/>
  <c r="P512" i="20" s="1"/>
  <c r="N604" i="20"/>
  <c r="O604" i="20" s="1"/>
  <c r="P604" i="20" s="1"/>
  <c r="N596" i="20"/>
  <c r="O596" i="20" s="1"/>
  <c r="P596" i="20" s="1"/>
  <c r="N87" i="20"/>
  <c r="O87" i="20" s="1"/>
  <c r="P87" i="20" s="1"/>
  <c r="N88" i="20"/>
  <c r="O88" i="20" s="1"/>
  <c r="P88" i="20" s="1"/>
  <c r="N89" i="20"/>
  <c r="O89" i="20" s="1"/>
  <c r="P89" i="20" s="1"/>
  <c r="N90" i="20"/>
  <c r="O90" i="20" s="1"/>
  <c r="P90" i="20" s="1"/>
  <c r="N91" i="20"/>
  <c r="O91" i="20" s="1"/>
  <c r="P91" i="20" s="1"/>
  <c r="N92" i="20"/>
  <c r="O92" i="20" s="1"/>
  <c r="P92" i="20" s="1"/>
  <c r="N93" i="20"/>
  <c r="O93" i="20" s="1"/>
  <c r="P93" i="20" s="1"/>
  <c r="N94" i="20"/>
  <c r="O94" i="20" s="1"/>
  <c r="P94" i="20" s="1"/>
  <c r="N95" i="20"/>
  <c r="O95" i="20" s="1"/>
  <c r="P95" i="20" s="1"/>
  <c r="N96" i="20"/>
  <c r="O96" i="20" s="1"/>
  <c r="P96" i="20" s="1"/>
  <c r="N97" i="20"/>
  <c r="O97" i="20" s="1"/>
  <c r="P97" i="20" s="1"/>
  <c r="N98" i="20"/>
  <c r="O98" i="20" s="1"/>
  <c r="P98" i="20" s="1"/>
  <c r="N99" i="20"/>
  <c r="O99" i="20" s="1"/>
  <c r="P99" i="20" s="1"/>
  <c r="N100" i="20"/>
  <c r="O100" i="20" s="1"/>
  <c r="P100" i="20" s="1"/>
  <c r="N101" i="20"/>
  <c r="O101" i="20" s="1"/>
  <c r="P101" i="20" s="1"/>
  <c r="N102" i="20"/>
  <c r="O102" i="20" s="1"/>
  <c r="P102" i="20" s="1"/>
  <c r="N103" i="20"/>
  <c r="O103" i="20" s="1"/>
  <c r="P103" i="20" s="1"/>
  <c r="N104" i="20"/>
  <c r="O104" i="20" s="1"/>
  <c r="P104" i="20" s="1"/>
  <c r="N105" i="20"/>
  <c r="O105" i="20" s="1"/>
  <c r="P105" i="20" s="1"/>
  <c r="N106" i="20"/>
  <c r="O106" i="20" s="1"/>
  <c r="P106" i="20" s="1"/>
  <c r="N107" i="20"/>
  <c r="O107" i="20" s="1"/>
  <c r="P107" i="20" s="1"/>
  <c r="N108" i="20"/>
  <c r="O108" i="20" s="1"/>
  <c r="P108" i="20" s="1"/>
  <c r="N109" i="20"/>
  <c r="O109" i="20" s="1"/>
  <c r="P109" i="20" s="1"/>
  <c r="N110" i="20"/>
  <c r="O110" i="20" s="1"/>
  <c r="P110" i="20" s="1"/>
  <c r="N111" i="20"/>
  <c r="O111" i="20" s="1"/>
  <c r="P111" i="20" s="1"/>
  <c r="N112" i="20"/>
  <c r="O112" i="20" s="1"/>
  <c r="P112" i="20" s="1"/>
  <c r="N113" i="20"/>
  <c r="O113" i="20" s="1"/>
  <c r="P113" i="20" s="1"/>
  <c r="N114" i="20"/>
  <c r="O114" i="20" s="1"/>
  <c r="P114" i="20" s="1"/>
  <c r="N115" i="20"/>
  <c r="O115" i="20" s="1"/>
  <c r="P115" i="20" s="1"/>
  <c r="N116" i="20"/>
  <c r="O116" i="20" s="1"/>
  <c r="P116" i="20" s="1"/>
  <c r="N117" i="20"/>
  <c r="O117" i="20" s="1"/>
  <c r="P117" i="20" s="1"/>
  <c r="N118" i="20"/>
  <c r="O118" i="20" s="1"/>
  <c r="P118" i="20" s="1"/>
  <c r="N119" i="20"/>
  <c r="O119" i="20" s="1"/>
  <c r="P119" i="20" s="1"/>
  <c r="N120" i="20"/>
  <c r="O120" i="20" s="1"/>
  <c r="P120" i="20" s="1"/>
  <c r="N121" i="20"/>
  <c r="O121" i="20" s="1"/>
  <c r="P121" i="20" s="1"/>
  <c r="N122" i="20"/>
  <c r="O122" i="20" s="1"/>
  <c r="P122" i="20" s="1"/>
  <c r="N123" i="20"/>
  <c r="O123" i="20" s="1"/>
  <c r="P123" i="20" s="1"/>
  <c r="N124" i="20"/>
  <c r="O124" i="20" s="1"/>
  <c r="P124" i="20" s="1"/>
  <c r="N125" i="20"/>
  <c r="O125" i="20" s="1"/>
  <c r="P125" i="20" s="1"/>
  <c r="N126" i="20"/>
  <c r="O126" i="20" s="1"/>
  <c r="P126" i="20" s="1"/>
  <c r="N127" i="20"/>
  <c r="O127" i="20" s="1"/>
  <c r="P127" i="20" s="1"/>
  <c r="N128" i="20"/>
  <c r="O128" i="20" s="1"/>
  <c r="P128" i="20" s="1"/>
  <c r="N129" i="20"/>
  <c r="O129" i="20" s="1"/>
  <c r="P129" i="20" s="1"/>
  <c r="N130" i="20"/>
  <c r="O130" i="20" s="1"/>
  <c r="P130" i="20" s="1"/>
  <c r="N131" i="20"/>
  <c r="O131" i="20" s="1"/>
  <c r="P131" i="20" s="1"/>
  <c r="N132" i="20"/>
  <c r="O132" i="20" s="1"/>
  <c r="P132" i="20" s="1"/>
  <c r="N133" i="20"/>
  <c r="O133" i="20" s="1"/>
  <c r="P133" i="20" s="1"/>
  <c r="N134" i="20"/>
  <c r="O134" i="20" s="1"/>
  <c r="P134" i="20" s="1"/>
  <c r="N135" i="20"/>
  <c r="O135" i="20" s="1"/>
  <c r="P135" i="20" s="1"/>
  <c r="N136" i="20"/>
  <c r="O136" i="20" s="1"/>
  <c r="P136" i="20" s="1"/>
  <c r="N137" i="20"/>
  <c r="O137" i="20" s="1"/>
  <c r="P137" i="20" s="1"/>
  <c r="N138" i="20"/>
  <c r="O138" i="20" s="1"/>
  <c r="P138" i="20" s="1"/>
  <c r="N139" i="20"/>
  <c r="O139" i="20" s="1"/>
  <c r="P139" i="20" s="1"/>
  <c r="N140" i="20"/>
  <c r="O140" i="20" s="1"/>
  <c r="P140" i="20" s="1"/>
  <c r="N141" i="20"/>
  <c r="O141" i="20" s="1"/>
  <c r="P141" i="20" s="1"/>
  <c r="N142" i="20"/>
  <c r="O142" i="20" s="1"/>
  <c r="P142" i="20" s="1"/>
  <c r="N143" i="20"/>
  <c r="O143" i="20" s="1"/>
  <c r="P143" i="20" s="1"/>
  <c r="N144" i="20"/>
  <c r="O144" i="20" s="1"/>
  <c r="P144" i="20" s="1"/>
  <c r="N145" i="20"/>
  <c r="O145" i="20" s="1"/>
  <c r="P145" i="20" s="1"/>
  <c r="N146" i="20"/>
  <c r="O146" i="20" s="1"/>
  <c r="P146" i="20" s="1"/>
  <c r="N147" i="20"/>
  <c r="O147" i="20" s="1"/>
  <c r="P147" i="20" s="1"/>
  <c r="N148" i="20"/>
  <c r="O148" i="20" s="1"/>
  <c r="P148" i="20" s="1"/>
  <c r="N149" i="20"/>
  <c r="O149" i="20" s="1"/>
  <c r="P149" i="20" s="1"/>
  <c r="N150" i="20"/>
  <c r="O150" i="20" s="1"/>
  <c r="P150" i="20" s="1"/>
  <c r="N151" i="20"/>
  <c r="O151" i="20" s="1"/>
  <c r="P151" i="20" s="1"/>
  <c r="N152" i="20"/>
  <c r="O152" i="20" s="1"/>
  <c r="P152" i="20" s="1"/>
  <c r="N153" i="20"/>
  <c r="O153" i="20" s="1"/>
  <c r="P153" i="20" s="1"/>
  <c r="N154" i="20"/>
  <c r="O154" i="20" s="1"/>
  <c r="P154" i="20" s="1"/>
  <c r="N155" i="20"/>
  <c r="O155" i="20" s="1"/>
  <c r="P155" i="20" s="1"/>
  <c r="N156" i="20"/>
  <c r="O156" i="20" s="1"/>
  <c r="P156" i="20" s="1"/>
  <c r="N157" i="20"/>
  <c r="O157" i="20" s="1"/>
  <c r="P157" i="20" s="1"/>
  <c r="N158" i="20"/>
  <c r="O158" i="20" s="1"/>
  <c r="P158" i="20" s="1"/>
  <c r="N159" i="20"/>
  <c r="O159" i="20" s="1"/>
  <c r="P159" i="20" s="1"/>
  <c r="N160" i="20"/>
  <c r="O160" i="20" s="1"/>
  <c r="P160" i="20" s="1"/>
  <c r="N161" i="20"/>
  <c r="O161" i="20" s="1"/>
  <c r="P161" i="20" s="1"/>
  <c r="N162" i="20"/>
  <c r="O162" i="20" s="1"/>
  <c r="P162" i="20" s="1"/>
  <c r="N163" i="20"/>
  <c r="O163" i="20" s="1"/>
  <c r="P163" i="20" s="1"/>
  <c r="N164" i="20"/>
  <c r="O164" i="20" s="1"/>
  <c r="P164" i="20" s="1"/>
  <c r="N165" i="20"/>
  <c r="O165" i="20" s="1"/>
  <c r="P165" i="20" s="1"/>
  <c r="N166" i="20"/>
  <c r="O166" i="20" s="1"/>
  <c r="P166" i="20" s="1"/>
  <c r="N167" i="20"/>
  <c r="O167" i="20" s="1"/>
  <c r="P167" i="20" s="1"/>
  <c r="N168" i="20"/>
  <c r="O168" i="20" s="1"/>
  <c r="P168" i="20" s="1"/>
  <c r="N169" i="20"/>
  <c r="O169" i="20" s="1"/>
  <c r="P169" i="20" s="1"/>
  <c r="N170" i="20"/>
  <c r="O170" i="20" s="1"/>
  <c r="P170" i="20" s="1"/>
  <c r="N171" i="20"/>
  <c r="O171" i="20" s="1"/>
  <c r="P171" i="20" s="1"/>
  <c r="N172" i="20"/>
  <c r="O172" i="20" s="1"/>
  <c r="P172" i="20" s="1"/>
  <c r="N173" i="20"/>
  <c r="O173" i="20" s="1"/>
  <c r="P173" i="20" s="1"/>
  <c r="N174" i="20"/>
  <c r="O174" i="20" s="1"/>
  <c r="P174" i="20" s="1"/>
  <c r="N175" i="20"/>
  <c r="O175" i="20" s="1"/>
  <c r="P175" i="20" s="1"/>
  <c r="N176" i="20"/>
  <c r="O176" i="20" s="1"/>
  <c r="P176" i="20" s="1"/>
  <c r="N177" i="20"/>
  <c r="O177" i="20" s="1"/>
  <c r="P177" i="20" s="1"/>
  <c r="N178" i="20"/>
  <c r="O178" i="20" s="1"/>
  <c r="P178" i="20" s="1"/>
  <c r="N179" i="20"/>
  <c r="O179" i="20" s="1"/>
  <c r="P179" i="20" s="1"/>
  <c r="N180" i="20"/>
  <c r="O180" i="20" s="1"/>
  <c r="P180" i="20" s="1"/>
  <c r="N181" i="20"/>
  <c r="O181" i="20" s="1"/>
  <c r="P181" i="20" s="1"/>
  <c r="N182" i="20"/>
  <c r="O182" i="20" s="1"/>
  <c r="P182" i="20" s="1"/>
  <c r="N183" i="20"/>
  <c r="O183" i="20" s="1"/>
  <c r="P183" i="20" s="1"/>
  <c r="N184" i="20"/>
  <c r="O184" i="20" s="1"/>
  <c r="P184" i="20" s="1"/>
  <c r="N185" i="20"/>
  <c r="O185" i="20" s="1"/>
  <c r="P185" i="20" s="1"/>
  <c r="N186" i="20"/>
  <c r="O186" i="20" s="1"/>
  <c r="P186" i="20" s="1"/>
  <c r="N187" i="20"/>
  <c r="O187" i="20" s="1"/>
  <c r="P187" i="20" s="1"/>
  <c r="N188" i="20"/>
  <c r="O188" i="20" s="1"/>
  <c r="P188" i="20" s="1"/>
  <c r="N189" i="20"/>
  <c r="O189" i="20" s="1"/>
  <c r="P189" i="20" s="1"/>
  <c r="N190" i="20"/>
  <c r="O190" i="20" s="1"/>
  <c r="P190" i="20" s="1"/>
  <c r="N191" i="20"/>
  <c r="O191" i="20" s="1"/>
  <c r="P191" i="20" s="1"/>
  <c r="N192" i="20"/>
  <c r="O192" i="20" s="1"/>
  <c r="P192" i="20" s="1"/>
  <c r="N193" i="20"/>
  <c r="O193" i="20" s="1"/>
  <c r="P193" i="20" s="1"/>
  <c r="N194" i="20"/>
  <c r="O194" i="20" s="1"/>
  <c r="P194" i="20" s="1"/>
  <c r="N195" i="20"/>
  <c r="O195" i="20" s="1"/>
  <c r="P195" i="20" s="1"/>
  <c r="N196" i="20"/>
  <c r="O196" i="20" s="1"/>
  <c r="P196" i="20" s="1"/>
  <c r="N197" i="20"/>
  <c r="O197" i="20" s="1"/>
  <c r="P197" i="20" s="1"/>
  <c r="N198" i="20"/>
  <c r="O198" i="20" s="1"/>
  <c r="P198" i="20" s="1"/>
  <c r="N199" i="20"/>
  <c r="O199" i="20" s="1"/>
  <c r="P199" i="20" s="1"/>
  <c r="N200" i="20"/>
  <c r="O200" i="20" s="1"/>
  <c r="P200" i="20" s="1"/>
  <c r="N201" i="20"/>
  <c r="O201" i="20" s="1"/>
  <c r="P201" i="20" s="1"/>
  <c r="N202" i="20"/>
  <c r="O202" i="20" s="1"/>
  <c r="P202" i="20" s="1"/>
  <c r="N203" i="20"/>
  <c r="O203" i="20" s="1"/>
  <c r="P203" i="20" s="1"/>
  <c r="N204" i="20"/>
  <c r="O204" i="20" s="1"/>
  <c r="P204" i="20" s="1"/>
  <c r="N205" i="20"/>
  <c r="O205" i="20" s="1"/>
  <c r="P205" i="20" s="1"/>
  <c r="N206" i="20"/>
  <c r="O206" i="20" s="1"/>
  <c r="P206" i="20" s="1"/>
  <c r="N207" i="20"/>
  <c r="O207" i="20" s="1"/>
  <c r="P207" i="20" s="1"/>
  <c r="N208" i="20"/>
  <c r="O208" i="20" s="1"/>
  <c r="P208" i="20" s="1"/>
  <c r="N209" i="20"/>
  <c r="O209" i="20" s="1"/>
  <c r="P209" i="20" s="1"/>
  <c r="N210" i="20"/>
  <c r="O210" i="20" s="1"/>
  <c r="P210" i="20" s="1"/>
  <c r="N211" i="20"/>
  <c r="O211" i="20" s="1"/>
  <c r="P211" i="20" s="1"/>
  <c r="N212" i="20"/>
  <c r="O212" i="20" s="1"/>
  <c r="P212" i="20" s="1"/>
  <c r="N213" i="20"/>
  <c r="O213" i="20" s="1"/>
  <c r="P213" i="20" s="1"/>
  <c r="N214" i="20"/>
  <c r="O214" i="20" s="1"/>
  <c r="P214" i="20" s="1"/>
  <c r="N215" i="20"/>
  <c r="O215" i="20" s="1"/>
  <c r="P215" i="20" s="1"/>
  <c r="N216" i="20"/>
  <c r="O216" i="20" s="1"/>
  <c r="P216" i="20" s="1"/>
  <c r="N217" i="20"/>
  <c r="O217" i="20" s="1"/>
  <c r="P217" i="20" s="1"/>
  <c r="N218" i="20"/>
  <c r="O218" i="20" s="1"/>
  <c r="P218" i="20" s="1"/>
  <c r="N219" i="20"/>
  <c r="O219" i="20" s="1"/>
  <c r="P219" i="20" s="1"/>
  <c r="N220" i="20"/>
  <c r="O220" i="20" s="1"/>
  <c r="P220" i="20" s="1"/>
  <c r="N221" i="20"/>
  <c r="O221" i="20" s="1"/>
  <c r="P221" i="20" s="1"/>
  <c r="N544" i="20"/>
  <c r="O544" i="20" s="1"/>
  <c r="P544" i="20" s="1"/>
  <c r="N484" i="20"/>
  <c r="O484" i="20" s="1"/>
  <c r="P484" i="20" s="1"/>
  <c r="N481" i="20"/>
  <c r="O481" i="20" s="1"/>
  <c r="P481" i="20" s="1"/>
  <c r="N365" i="20"/>
  <c r="O365" i="20" s="1"/>
  <c r="P365" i="20" s="1"/>
  <c r="N222" i="20"/>
  <c r="O222" i="20" s="1"/>
  <c r="P222" i="20" s="1"/>
  <c r="N333" i="20"/>
  <c r="O333" i="20" s="1"/>
  <c r="P333" i="20" s="1"/>
  <c r="N471" i="20"/>
  <c r="O471" i="20" s="1"/>
  <c r="P471" i="20" s="1"/>
  <c r="N332" i="20"/>
  <c r="O332" i="20" s="1"/>
  <c r="P332" i="20" s="1"/>
  <c r="N447" i="20"/>
  <c r="O447" i="20" s="1"/>
  <c r="P447" i="20" s="1"/>
  <c r="N478" i="20"/>
  <c r="O478" i="20" s="1"/>
  <c r="P478" i="20" s="1"/>
  <c r="N391" i="20"/>
  <c r="O391" i="20" s="1"/>
  <c r="P391" i="20" s="1"/>
  <c r="N331" i="20"/>
  <c r="O331" i="20" s="1"/>
  <c r="P331" i="20" s="1"/>
  <c r="N286" i="20"/>
  <c r="O286" i="20" s="1"/>
  <c r="P286" i="20" s="1"/>
  <c r="N398" i="20"/>
  <c r="O398" i="20" s="1"/>
  <c r="P398" i="20" s="1"/>
  <c r="N441" i="20"/>
  <c r="O441" i="20" s="1"/>
  <c r="P441" i="20" s="1"/>
  <c r="N403" i="20"/>
  <c r="O403" i="20" s="1"/>
  <c r="P403" i="20" s="1"/>
  <c r="N561" i="20"/>
  <c r="O561" i="20" s="1"/>
  <c r="P561" i="20" s="1"/>
  <c r="N619" i="20"/>
  <c r="O619" i="20" s="1"/>
  <c r="P619" i="20" s="1"/>
  <c r="N407" i="20"/>
  <c r="O407" i="20" s="1"/>
  <c r="P407" i="20" s="1"/>
  <c r="N223" i="20"/>
  <c r="O223" i="20" s="1"/>
  <c r="P223" i="20" s="1"/>
  <c r="N354" i="20"/>
  <c r="O354" i="20" s="1"/>
  <c r="P354" i="20" s="1"/>
  <c r="N528" i="20"/>
  <c r="O528" i="20" s="1"/>
  <c r="P528" i="20" s="1"/>
  <c r="N287" i="20"/>
  <c r="O287" i="20" s="1"/>
  <c r="P287" i="20" s="1"/>
  <c r="N482" i="20"/>
  <c r="O482" i="20" s="1"/>
  <c r="P482" i="20" s="1"/>
  <c r="N572" i="20"/>
  <c r="O572" i="20" s="1"/>
  <c r="P572" i="20" s="1"/>
  <c r="N411" i="20"/>
  <c r="O411" i="20" s="1"/>
  <c r="P411" i="20" s="1"/>
  <c r="N488" i="20"/>
  <c r="O488" i="20" s="1"/>
  <c r="P488" i="20" s="1"/>
  <c r="N541" i="20"/>
  <c r="O541" i="20" s="1"/>
  <c r="P541" i="20" s="1"/>
  <c r="N312" i="20"/>
  <c r="O312" i="20" s="1"/>
  <c r="P312" i="20" s="1"/>
  <c r="N473" i="20"/>
  <c r="O473" i="20" s="1"/>
  <c r="P473" i="20" s="1"/>
  <c r="N356" i="20"/>
  <c r="O356" i="20" s="1"/>
  <c r="P356" i="20" s="1"/>
  <c r="N442" i="20"/>
  <c r="O442" i="20" s="1"/>
  <c r="P442" i="20" s="1"/>
  <c r="N379" i="20"/>
  <c r="O379" i="20" s="1"/>
  <c r="P379" i="20" s="1"/>
  <c r="N314" i="20"/>
  <c r="O314" i="20" s="1"/>
  <c r="P314" i="20" s="1"/>
  <c r="N409" i="20"/>
  <c r="O409" i="20" s="1"/>
  <c r="P409" i="20" s="1"/>
  <c r="N343" i="20"/>
  <c r="O343" i="20" s="1"/>
  <c r="P343" i="20" s="1"/>
  <c r="N279" i="20"/>
  <c r="O279" i="20" s="1"/>
  <c r="P279" i="20" s="1"/>
  <c r="N419" i="20"/>
  <c r="O419" i="20" s="1"/>
  <c r="P419" i="20" s="1"/>
  <c r="N547" i="20"/>
  <c r="O547" i="20" s="1"/>
  <c r="P547" i="20" s="1"/>
  <c r="N310" i="20"/>
  <c r="O310" i="20" s="1"/>
  <c r="P310" i="20" s="1"/>
  <c r="N387" i="20"/>
  <c r="O387" i="20" s="1"/>
  <c r="P387" i="20" s="1"/>
  <c r="N545" i="20"/>
  <c r="O545" i="20" s="1"/>
  <c r="P545" i="20" s="1"/>
  <c r="N308" i="20"/>
  <c r="O308" i="20" s="1"/>
  <c r="P308" i="20" s="1"/>
  <c r="N630" i="20"/>
  <c r="O630" i="20" s="1"/>
  <c r="P630" i="20" s="1"/>
  <c r="N462" i="20"/>
  <c r="O462" i="20" s="1"/>
  <c r="P462" i="20" s="1"/>
  <c r="N458" i="20"/>
  <c r="O458" i="20" s="1"/>
  <c r="P458" i="20" s="1"/>
  <c r="N381" i="20"/>
  <c r="O381" i="20" s="1"/>
  <c r="P381" i="20" s="1"/>
  <c r="N565" i="20"/>
  <c r="O565" i="20" s="1"/>
  <c r="P565" i="20" s="1"/>
  <c r="N610" i="20"/>
  <c r="O610" i="20" s="1"/>
  <c r="P610" i="20" s="1"/>
  <c r="N362" i="20"/>
  <c r="O362" i="20" s="1"/>
  <c r="P362" i="20" s="1"/>
  <c r="N453" i="20"/>
  <c r="O453" i="20" s="1"/>
  <c r="P453" i="20" s="1"/>
  <c r="N364" i="20"/>
  <c r="O364" i="20" s="1"/>
  <c r="P364" i="20" s="1"/>
  <c r="N526" i="20"/>
  <c r="O526" i="20" s="1"/>
  <c r="P526" i="20" s="1"/>
  <c r="N298" i="20"/>
  <c r="O298" i="20" s="1"/>
  <c r="P298" i="20" s="1"/>
  <c r="N399" i="20"/>
  <c r="O399" i="20" s="1"/>
  <c r="P399" i="20" s="1"/>
  <c r="N566" i="20"/>
  <c r="O566" i="20" s="1"/>
  <c r="P566" i="20" s="1"/>
  <c r="N636" i="20"/>
  <c r="O636" i="20" s="1"/>
  <c r="P636" i="20" s="1"/>
  <c r="N424" i="20"/>
  <c r="O424" i="20" s="1"/>
  <c r="P424" i="20" s="1"/>
  <c r="N611" i="20"/>
  <c r="O611" i="20" s="1"/>
  <c r="P611" i="20" s="1"/>
  <c r="N316" i="20"/>
  <c r="O316" i="20" s="1"/>
  <c r="P316" i="20" s="1"/>
  <c r="N612" i="20"/>
  <c r="O612" i="20" s="1"/>
  <c r="P612" i="20" s="1"/>
  <c r="N415" i="20"/>
  <c r="O415" i="20" s="1"/>
  <c r="P415" i="20" s="1"/>
  <c r="N346" i="20"/>
  <c r="O346" i="20" s="1"/>
  <c r="P346" i="20" s="1"/>
  <c r="N394" i="20"/>
  <c r="O394" i="20" s="1"/>
  <c r="P394" i="20" s="1"/>
  <c r="N479" i="20"/>
  <c r="O479" i="20" s="1"/>
  <c r="P479" i="20" s="1"/>
  <c r="N627" i="20"/>
  <c r="O627" i="20" s="1"/>
  <c r="P627" i="20" s="1"/>
  <c r="N406" i="20"/>
  <c r="O406" i="20" s="1"/>
  <c r="P406" i="20" s="1"/>
  <c r="N624" i="20"/>
  <c r="O624" i="20" s="1"/>
  <c r="P624" i="20" s="1"/>
  <c r="N574" i="20"/>
  <c r="O574" i="20" s="1"/>
  <c r="P574" i="20" s="1"/>
  <c r="N607" i="20"/>
  <c r="O607" i="20" s="1"/>
  <c r="P607" i="20" s="1"/>
  <c r="N568" i="20"/>
  <c r="O568" i="20" s="1"/>
  <c r="P568" i="20" s="1"/>
  <c r="N280" i="20"/>
  <c r="O280" i="20" s="1"/>
  <c r="P280" i="20" s="1"/>
  <c r="N334" i="20"/>
  <c r="O334" i="20" s="1"/>
  <c r="P334" i="20" s="1"/>
  <c r="N588" i="20"/>
  <c r="O588" i="20" s="1"/>
  <c r="P588" i="20" s="1"/>
  <c r="N598" i="20"/>
  <c r="O598" i="20" s="1"/>
  <c r="P598" i="20" s="1"/>
  <c r="N363" i="20"/>
  <c r="O363" i="20" s="1"/>
  <c r="P363" i="20" s="1"/>
  <c r="N567" i="20"/>
  <c r="O567" i="20" s="1"/>
  <c r="P567" i="20" s="1"/>
  <c r="N278" i="20"/>
  <c r="O278" i="20" s="1"/>
  <c r="P278" i="20" s="1"/>
  <c r="N417" i="20"/>
  <c r="O417" i="20" s="1"/>
  <c r="P417" i="20" s="1"/>
  <c r="N445" i="20"/>
  <c r="O445" i="20" s="1"/>
  <c r="P445" i="20" s="1"/>
  <c r="N397" i="20"/>
  <c r="O397" i="20" s="1"/>
  <c r="P397" i="20" s="1"/>
  <c r="N474" i="20"/>
  <c r="O474" i="20" s="1"/>
  <c r="P474" i="20" s="1"/>
  <c r="N369" i="20"/>
  <c r="O369" i="20" s="1"/>
  <c r="P369" i="20" s="1"/>
  <c r="N371" i="20"/>
  <c r="O371" i="20" s="1"/>
  <c r="P371" i="20" s="1"/>
  <c r="N599" i="20"/>
  <c r="O599" i="20" s="1"/>
  <c r="P599" i="20" s="1"/>
  <c r="N555" i="20"/>
  <c r="O555" i="20" s="1"/>
  <c r="P555" i="20" s="1"/>
  <c r="N297" i="20"/>
  <c r="O297" i="20" s="1"/>
  <c r="P297" i="20" s="1"/>
  <c r="N224" i="20"/>
  <c r="O224" i="20" s="1"/>
  <c r="P224" i="20" s="1"/>
  <c r="N573" i="20"/>
  <c r="O573" i="20" s="1"/>
  <c r="P573" i="20" s="1"/>
  <c r="N523" i="20"/>
  <c r="O523" i="20" s="1"/>
  <c r="P523" i="20" s="1"/>
  <c r="N412" i="20"/>
  <c r="O412" i="20" s="1"/>
  <c r="P412" i="20" s="1"/>
  <c r="N443" i="20"/>
  <c r="O443" i="20" s="1"/>
  <c r="P443" i="20" s="1"/>
  <c r="N597" i="20"/>
  <c r="O597" i="20" s="1"/>
  <c r="P597" i="20" s="1"/>
  <c r="N480" i="20"/>
  <c r="O480" i="20" s="1"/>
  <c r="P480" i="20" s="1"/>
  <c r="N557" i="20"/>
  <c r="O557" i="20" s="1"/>
  <c r="P557" i="20" s="1"/>
  <c r="N493" i="20"/>
  <c r="O493" i="20" s="1"/>
  <c r="P493" i="20" s="1"/>
  <c r="N302" i="20"/>
  <c r="O302" i="20" s="1"/>
  <c r="P302" i="20" s="1"/>
  <c r="N550" i="20"/>
  <c r="O550" i="20" s="1"/>
  <c r="P550" i="20" s="1"/>
  <c r="N388" i="20"/>
  <c r="O388" i="20" s="1"/>
  <c r="P388" i="20" s="1"/>
  <c r="N385" i="20"/>
  <c r="O385" i="20" s="1"/>
  <c r="P385" i="20" s="1"/>
  <c r="N291" i="20"/>
  <c r="O291" i="20" s="1"/>
  <c r="P291" i="20" s="1"/>
  <c r="N359" i="20"/>
  <c r="O359" i="20" s="1"/>
  <c r="P359" i="20" s="1"/>
  <c r="N551" i="20"/>
  <c r="O551" i="20" s="1"/>
  <c r="P551" i="20" s="1"/>
  <c r="N431" i="20"/>
  <c r="O431" i="20" s="1"/>
  <c r="P431" i="20" s="1"/>
  <c r="N609" i="20"/>
  <c r="O609" i="20" s="1"/>
  <c r="P609" i="20" s="1"/>
  <c r="N524" i="20"/>
  <c r="O524" i="20" s="1"/>
  <c r="P524" i="20" s="1"/>
  <c r="N472" i="20"/>
  <c r="O472" i="20" s="1"/>
  <c r="P472" i="20" s="1"/>
  <c r="N530" i="20"/>
  <c r="O530" i="20" s="1"/>
  <c r="P530" i="20" s="1"/>
  <c r="N449" i="20"/>
  <c r="O449" i="20" s="1"/>
  <c r="P449" i="20" s="1"/>
  <c r="N475" i="20"/>
  <c r="O475" i="20" s="1"/>
  <c r="P475" i="20" s="1"/>
  <c r="N404" i="20"/>
  <c r="O404" i="20" s="1"/>
  <c r="P404" i="20" s="1"/>
  <c r="N508" i="20"/>
  <c r="O508" i="20" s="1"/>
  <c r="P508" i="20" s="1"/>
  <c r="N378" i="20"/>
  <c r="O378" i="20" s="1"/>
  <c r="P378" i="20" s="1"/>
  <c r="N585" i="20"/>
  <c r="O585" i="20" s="1"/>
  <c r="P585" i="20" s="1"/>
  <c r="N620" i="20"/>
  <c r="O620" i="20" s="1"/>
  <c r="P620" i="20" s="1"/>
  <c r="N294" i="20"/>
  <c r="O294" i="20" s="1"/>
  <c r="P294" i="20" s="1"/>
  <c r="N386" i="20"/>
  <c r="O386" i="20" s="1"/>
  <c r="P386" i="20" s="1"/>
  <c r="N225" i="20"/>
  <c r="O225" i="20" s="1"/>
  <c r="P225" i="20" s="1"/>
  <c r="N226" i="20"/>
  <c r="O226" i="20" s="1"/>
  <c r="P226" i="20" s="1"/>
  <c r="N227" i="20"/>
  <c r="O227" i="20" s="1"/>
  <c r="P227" i="20" s="1"/>
  <c r="N228" i="20"/>
  <c r="O228" i="20" s="1"/>
  <c r="P228" i="20" s="1"/>
  <c r="N229" i="20"/>
  <c r="O229" i="20" s="1"/>
  <c r="P229" i="20" s="1"/>
  <c r="N230" i="20"/>
  <c r="O230" i="20" s="1"/>
  <c r="P230" i="20" s="1"/>
  <c r="N231" i="20"/>
  <c r="O231" i="20" s="1"/>
  <c r="P231" i="20" s="1"/>
  <c r="N232" i="20"/>
  <c r="O232" i="20" s="1"/>
  <c r="P232" i="20" s="1"/>
  <c r="N233" i="20"/>
  <c r="O233" i="20" s="1"/>
  <c r="P233" i="20" s="1"/>
  <c r="N234" i="20"/>
  <c r="O234" i="20" s="1"/>
  <c r="P234" i="20" s="1"/>
  <c r="N235" i="20"/>
  <c r="O235" i="20" s="1"/>
  <c r="P235" i="20" s="1"/>
  <c r="N236" i="20"/>
  <c r="O236" i="20" s="1"/>
  <c r="P236" i="20" s="1"/>
  <c r="N237" i="20"/>
  <c r="O237" i="20" s="1"/>
  <c r="P237" i="20" s="1"/>
  <c r="N238" i="20"/>
  <c r="O238" i="20" s="1"/>
  <c r="P238" i="20" s="1"/>
  <c r="N239" i="20"/>
  <c r="O239" i="20" s="1"/>
  <c r="P239" i="20" s="1"/>
  <c r="N240" i="20"/>
  <c r="O240" i="20" s="1"/>
  <c r="P240" i="20" s="1"/>
  <c r="N241" i="20"/>
  <c r="O241" i="20" s="1"/>
  <c r="P241" i="20" s="1"/>
  <c r="N242" i="20"/>
  <c r="O242" i="20" s="1"/>
  <c r="P242" i="20" s="1"/>
  <c r="N243" i="20"/>
  <c r="O243" i="20" s="1"/>
  <c r="P243" i="20" s="1"/>
  <c r="N244" i="20"/>
  <c r="O244" i="20" s="1"/>
  <c r="P244" i="20" s="1"/>
  <c r="N245" i="20"/>
  <c r="O245" i="20" s="1"/>
  <c r="P245" i="20" s="1"/>
  <c r="N246" i="20"/>
  <c r="O246" i="20" s="1"/>
  <c r="P246" i="20" s="1"/>
  <c r="N247" i="20"/>
  <c r="O247" i="20" s="1"/>
  <c r="P247" i="20" s="1"/>
  <c r="N248" i="20"/>
  <c r="O248" i="20" s="1"/>
  <c r="P248" i="20" s="1"/>
  <c r="N249" i="20"/>
  <c r="O249" i="20" s="1"/>
  <c r="P249" i="20" s="1"/>
  <c r="N250" i="20"/>
  <c r="O250" i="20" s="1"/>
  <c r="P250" i="20" s="1"/>
  <c r="N251" i="20"/>
  <c r="O251" i="20" s="1"/>
  <c r="P251" i="20" s="1"/>
  <c r="N252" i="20"/>
  <c r="O252" i="20" s="1"/>
  <c r="P252" i="20" s="1"/>
  <c r="N253" i="20"/>
  <c r="O253" i="20" s="1"/>
  <c r="P253" i="20" s="1"/>
  <c r="N254" i="20"/>
  <c r="O254" i="20" s="1"/>
  <c r="P254" i="20" s="1"/>
  <c r="N255" i="20"/>
  <c r="O255" i="20" s="1"/>
  <c r="P255" i="20" s="1"/>
  <c r="N256" i="20"/>
  <c r="O256" i="20" s="1"/>
  <c r="P256" i="20" s="1"/>
  <c r="N257" i="20"/>
  <c r="O257" i="20" s="1"/>
  <c r="P257" i="20" s="1"/>
  <c r="N258" i="20"/>
  <c r="O258" i="20" s="1"/>
  <c r="P258" i="20" s="1"/>
  <c r="N259" i="20"/>
  <c r="O259" i="20" s="1"/>
  <c r="P259" i="20" s="1"/>
  <c r="N260" i="20"/>
  <c r="O260" i="20" s="1"/>
  <c r="P260" i="20" s="1"/>
  <c r="N261" i="20"/>
  <c r="O261" i="20" s="1"/>
  <c r="P261" i="20" s="1"/>
  <c r="N262" i="20"/>
  <c r="O262" i="20" s="1"/>
  <c r="P262" i="20" s="1"/>
  <c r="N263" i="20"/>
  <c r="O263" i="20" s="1"/>
  <c r="P263" i="20" s="1"/>
  <c r="N264" i="20"/>
  <c r="O264" i="20" s="1"/>
  <c r="P264" i="20" s="1"/>
  <c r="N265" i="20"/>
  <c r="O265" i="20" s="1"/>
  <c r="P265" i="20" s="1"/>
  <c r="N266" i="20"/>
  <c r="O266" i="20" s="1"/>
  <c r="P266" i="20" s="1"/>
  <c r="N267" i="20"/>
  <c r="O267" i="20" s="1"/>
  <c r="P267" i="20" s="1"/>
  <c r="N268" i="20"/>
  <c r="O268" i="20" s="1"/>
  <c r="P268" i="20" s="1"/>
  <c r="N269" i="20"/>
  <c r="O269" i="20" s="1"/>
  <c r="P269" i="20" s="1"/>
  <c r="N270" i="20"/>
  <c r="O270" i="20" s="1"/>
  <c r="P270" i="20" s="1"/>
  <c r="N271" i="20"/>
  <c r="O271" i="20" s="1"/>
  <c r="P271" i="20" s="1"/>
  <c r="N272" i="20"/>
  <c r="O272" i="20" s="1"/>
  <c r="P272" i="20" s="1"/>
  <c r="N273" i="20"/>
  <c r="O273" i="20" s="1"/>
  <c r="P273" i="20" s="1"/>
  <c r="N427" i="20"/>
  <c r="O427" i="20" s="1"/>
  <c r="P427" i="20" s="1"/>
  <c r="N341" i="20"/>
  <c r="O341" i="20" s="1"/>
  <c r="P341" i="20" s="1"/>
  <c r="N452" i="20"/>
  <c r="O452" i="20" s="1"/>
  <c r="P452" i="20" s="1"/>
  <c r="N307" i="20"/>
  <c r="O307" i="20" s="1"/>
  <c r="P307" i="20" s="1"/>
  <c r="N580" i="20"/>
  <c r="O580" i="20" s="1"/>
  <c r="P580" i="20" s="1"/>
  <c r="N345" i="20"/>
  <c r="O345" i="20" s="1"/>
  <c r="P345" i="20" s="1"/>
  <c r="N466" i="20"/>
  <c r="O466" i="20" s="1"/>
  <c r="P466" i="20" s="1"/>
  <c r="N531" i="20"/>
  <c r="O531" i="20" s="1"/>
  <c r="P531" i="20" s="1"/>
  <c r="N338" i="20"/>
  <c r="O338" i="20" s="1"/>
  <c r="P338" i="20" s="1"/>
  <c r="N576" i="20"/>
  <c r="O576" i="20" s="1"/>
  <c r="P576" i="20" s="1"/>
  <c r="N525" i="20"/>
  <c r="O525" i="20" s="1"/>
  <c r="P525" i="20" s="1"/>
  <c r="N408" i="20"/>
  <c r="O408" i="20" s="1"/>
  <c r="P408" i="20" s="1"/>
  <c r="N536" i="20"/>
  <c r="O536" i="20" s="1"/>
  <c r="P536" i="20" s="1"/>
  <c r="N540" i="20"/>
  <c r="O540" i="20" s="1"/>
  <c r="P540" i="20" s="1"/>
  <c r="N563" i="20"/>
  <c r="O563" i="20" s="1"/>
  <c r="P563" i="20" s="1"/>
  <c r="N313" i="20"/>
  <c r="O313" i="20" s="1"/>
  <c r="P313" i="20" s="1"/>
  <c r="N623" i="20"/>
  <c r="O623" i="20" s="1"/>
  <c r="P623" i="20" s="1"/>
  <c r="N583" i="20"/>
  <c r="O583" i="20" s="1"/>
  <c r="P583" i="20" s="1"/>
  <c r="N325" i="20"/>
  <c r="O325" i="20" s="1"/>
  <c r="P325" i="20" s="1"/>
  <c r="N384" i="20"/>
  <c r="O384" i="20" s="1"/>
  <c r="P384" i="20" s="1"/>
  <c r="N277" i="20"/>
  <c r="O277" i="20" s="1"/>
  <c r="P277" i="20" s="1"/>
  <c r="N593" i="20"/>
  <c r="O593" i="20" s="1"/>
  <c r="P593" i="20" s="1"/>
  <c r="N433" i="20"/>
  <c r="O433" i="20" s="1"/>
  <c r="P433" i="20" s="1"/>
  <c r="N425" i="20"/>
  <c r="O425" i="20" s="1"/>
  <c r="P425" i="20" s="1"/>
  <c r="N617" i="20"/>
  <c r="O617" i="20" s="1"/>
  <c r="P617" i="20" s="1"/>
  <c r="N315" i="20"/>
  <c r="O315" i="20" s="1"/>
  <c r="P315" i="20" s="1"/>
  <c r="N372" i="20"/>
  <c r="O372" i="20" s="1"/>
  <c r="P372" i="20" s="1"/>
  <c r="N605" i="20"/>
  <c r="O605" i="20" s="1"/>
  <c r="P605" i="20" s="1"/>
  <c r="N546" i="20"/>
  <c r="O546" i="20" s="1"/>
  <c r="P546" i="20" s="1"/>
  <c r="N360" i="20"/>
  <c r="O360" i="20" s="1"/>
  <c r="P360" i="20" s="1"/>
  <c r="N355" i="20"/>
  <c r="O355" i="20" s="1"/>
  <c r="P355" i="20" s="1"/>
  <c r="N590" i="20"/>
  <c r="O590" i="20" s="1"/>
  <c r="P590" i="20" s="1"/>
  <c r="N348" i="20"/>
  <c r="O348" i="20" s="1"/>
  <c r="P348" i="20" s="1"/>
  <c r="N603" i="20"/>
  <c r="O603" i="20" s="1"/>
  <c r="P603" i="20" s="1"/>
  <c r="N591" i="20"/>
  <c r="O591" i="20" s="1"/>
  <c r="P591" i="20" s="1"/>
  <c r="N330" i="20"/>
  <c r="O330" i="20" s="1"/>
  <c r="P330" i="20" s="1"/>
  <c r="N328" i="20"/>
  <c r="O328" i="20" s="1"/>
  <c r="P328" i="20" s="1"/>
  <c r="N428" i="20"/>
  <c r="O428" i="20" s="1"/>
  <c r="P428" i="20" s="1"/>
  <c r="N486" i="20"/>
  <c r="O486" i="20" s="1"/>
  <c r="P486" i="20" s="1"/>
  <c r="N496" i="20"/>
  <c r="O496" i="20" s="1"/>
  <c r="P496" i="20" s="1"/>
  <c r="N587" i="20"/>
  <c r="O587" i="20" s="1"/>
  <c r="P587" i="20" s="1"/>
  <c r="N490" i="20"/>
  <c r="O490" i="20" s="1"/>
  <c r="P490" i="20" s="1"/>
  <c r="N420" i="20"/>
  <c r="O420" i="20" s="1"/>
  <c r="P420" i="20" s="1"/>
  <c r="N352" i="20"/>
  <c r="O352" i="20" s="1"/>
  <c r="P352" i="20" s="1"/>
  <c r="N448" i="20"/>
  <c r="O448" i="20" s="1"/>
  <c r="P448" i="20" s="1"/>
  <c r="N500" i="20"/>
  <c r="O500" i="20" s="1"/>
  <c r="P500" i="20" s="1"/>
  <c r="N367" i="20"/>
  <c r="O367" i="20" s="1"/>
  <c r="P367" i="20" s="1"/>
  <c r="N577" i="20"/>
  <c r="O577" i="20" s="1"/>
  <c r="P577" i="20" s="1"/>
  <c r="N509" i="20"/>
  <c r="O509" i="20" s="1"/>
  <c r="P509" i="20" s="1"/>
  <c r="N608" i="20"/>
  <c r="O608" i="20" s="1"/>
  <c r="P608" i="20" s="1"/>
  <c r="N368" i="20"/>
  <c r="O368" i="20" s="1"/>
  <c r="P368" i="20" s="1"/>
  <c r="N455" i="20"/>
  <c r="O455" i="20" s="1"/>
  <c r="P455" i="20" s="1"/>
  <c r="N337" i="20"/>
  <c r="O337" i="20" s="1"/>
  <c r="P337" i="20" s="1"/>
  <c r="N477" i="20"/>
  <c r="O477" i="20" s="1"/>
  <c r="P477" i="20" s="1"/>
  <c r="N301" i="20"/>
  <c r="O301" i="20" s="1"/>
  <c r="P301" i="20" s="1"/>
  <c r="N413" i="20"/>
  <c r="O413" i="20" s="1"/>
  <c r="P413" i="20" s="1"/>
  <c r="N495" i="20"/>
  <c r="O495" i="20" s="1"/>
  <c r="P495" i="20" s="1"/>
  <c r="N501" i="20"/>
  <c r="O501" i="20" s="1"/>
  <c r="P501" i="20" s="1"/>
  <c r="N553" i="20"/>
  <c r="O553" i="20" s="1"/>
  <c r="P553" i="20" s="1"/>
  <c r="N370" i="20"/>
  <c r="O370" i="20" s="1"/>
  <c r="P370" i="20" s="1"/>
  <c r="N579" i="20"/>
  <c r="O579" i="20" s="1"/>
  <c r="P579" i="20" s="1"/>
  <c r="N514" i="20"/>
  <c r="O514" i="20" s="1"/>
  <c r="P514" i="20" s="1"/>
  <c r="N436" i="20"/>
  <c r="O436" i="20" s="1"/>
  <c r="P436" i="20" s="1"/>
  <c r="N492" i="20"/>
  <c r="O492" i="20" s="1"/>
  <c r="P492" i="20" s="1"/>
  <c r="N575" i="20"/>
  <c r="O575" i="20" s="1"/>
  <c r="P575" i="20" s="1"/>
  <c r="N506" i="20"/>
  <c r="O506" i="20" s="1"/>
  <c r="P506" i="20" s="1"/>
  <c r="N485" i="20"/>
  <c r="O485" i="20" s="1"/>
  <c r="P485" i="20" s="1"/>
  <c r="N562" i="20"/>
  <c r="O562" i="20" s="1"/>
  <c r="P562" i="20" s="1"/>
  <c r="N440" i="20"/>
  <c r="O440" i="20" s="1"/>
  <c r="P440" i="20" s="1"/>
  <c r="N274" i="20"/>
  <c r="O274" i="20" s="1"/>
  <c r="P274" i="20" s="1"/>
  <c r="N275" i="20"/>
  <c r="O275" i="20" s="1"/>
  <c r="P275" i="20" s="1"/>
  <c r="N451" i="20"/>
  <c r="O451" i="20" s="1"/>
  <c r="P451" i="20" s="1"/>
  <c r="N276" i="20"/>
  <c r="O276" i="20" s="1"/>
  <c r="P276" i="20" s="1"/>
  <c r="N373" i="20"/>
  <c r="O373" i="20" s="1"/>
  <c r="P373" i="20" s="1"/>
  <c r="N519" i="20"/>
  <c r="O519" i="20" s="1"/>
  <c r="P519" i="20" s="1"/>
  <c r="N392" i="20"/>
  <c r="O392" i="20" s="1"/>
  <c r="P392" i="20" s="1"/>
  <c r="N463" i="20"/>
  <c r="O463" i="20" s="1"/>
  <c r="P463" i="20" s="1"/>
  <c r="N516" i="20"/>
  <c r="O516" i="20" s="1"/>
  <c r="P516" i="20" s="1"/>
  <c r="N554" i="20"/>
  <c r="O554" i="20" s="1"/>
  <c r="P554" i="20" s="1"/>
  <c r="N613" i="20"/>
  <c r="O613" i="20" s="1"/>
  <c r="P613" i="20" s="1"/>
  <c r="N300" i="20"/>
  <c r="O300" i="20" s="1"/>
  <c r="P300" i="20" s="1"/>
  <c r="N444" i="20"/>
  <c r="O444" i="20" s="1"/>
  <c r="P444" i="20" s="1"/>
  <c r="N374" i="20"/>
  <c r="O374" i="20" s="1"/>
  <c r="P374" i="20" s="1"/>
  <c r="N446" i="20"/>
  <c r="O446" i="20" s="1"/>
  <c r="P446" i="20" s="1"/>
  <c r="N454" i="20"/>
  <c r="O454" i="20" s="1"/>
  <c r="P454" i="20" s="1"/>
  <c r="N435" i="20"/>
  <c r="O435" i="20" s="1"/>
  <c r="P435" i="20" s="1"/>
  <c r="N539" i="20"/>
  <c r="O539" i="20" s="1"/>
  <c r="P539" i="20" s="1"/>
  <c r="N556" i="20"/>
  <c r="O556" i="20" s="1"/>
  <c r="P556" i="20" s="1"/>
  <c r="N633" i="20"/>
  <c r="O633" i="20" s="1"/>
  <c r="P633" i="20" s="1"/>
  <c r="N497" i="20"/>
  <c r="O497" i="20" s="1"/>
  <c r="P497" i="20" s="1"/>
  <c r="N426" i="20"/>
  <c r="O426" i="20" s="1"/>
  <c r="P426" i="20" s="1"/>
  <c r="N439" i="20"/>
  <c r="O439" i="20" s="1"/>
  <c r="P439" i="20" s="1"/>
  <c r="N383" i="20"/>
  <c r="O383" i="20" s="1"/>
  <c r="P383" i="20" s="1"/>
  <c r="N560" i="20"/>
  <c r="O560" i="20" s="1"/>
  <c r="P560" i="20" s="1"/>
  <c r="N625" i="20"/>
  <c r="O625" i="20" s="1"/>
  <c r="P625" i="20" s="1"/>
  <c r="N382" i="20"/>
  <c r="O382" i="20" s="1"/>
  <c r="P382" i="20" s="1"/>
  <c r="N558" i="20"/>
  <c r="O558" i="20" s="1"/>
  <c r="P558" i="20" s="1"/>
  <c r="N324" i="20"/>
  <c r="O324" i="20" s="1"/>
  <c r="P324" i="20" s="1"/>
  <c r="N535" i="20"/>
  <c r="O535" i="20" s="1"/>
  <c r="P535" i="20" s="1"/>
  <c r="N402" i="20"/>
  <c r="O402" i="20" s="1"/>
  <c r="P402" i="20" s="1"/>
  <c r="N347" i="20"/>
  <c r="O347" i="20" s="1"/>
  <c r="P347" i="20" s="1"/>
  <c r="N430" i="20"/>
  <c r="O430" i="20" s="1"/>
  <c r="P430" i="20" s="1"/>
  <c r="N390" i="20"/>
  <c r="O390" i="20" s="1"/>
  <c r="P390" i="20" s="1"/>
  <c r="N344" i="20"/>
  <c r="O344" i="20" s="1"/>
  <c r="P344" i="20" s="1"/>
  <c r="N517" i="20"/>
  <c r="O517" i="20" s="1"/>
  <c r="P517" i="20" s="1"/>
  <c r="N578" i="20"/>
  <c r="O578" i="20" s="1"/>
  <c r="P578" i="20" s="1"/>
  <c r="N353" i="20"/>
  <c r="O353" i="20" s="1"/>
  <c r="P353" i="20" s="1"/>
  <c r="N632" i="20"/>
  <c r="O632" i="20" s="1"/>
  <c r="P632" i="20" s="1"/>
  <c r="N494" i="20"/>
  <c r="O494" i="20" s="1"/>
  <c r="P494" i="20" s="1"/>
  <c r="N628" i="20"/>
  <c r="O628" i="20" s="1"/>
  <c r="P628" i="20" s="1"/>
  <c r="N626" i="20"/>
  <c r="O626" i="20" s="1"/>
  <c r="P626" i="20" s="1"/>
  <c r="N634" i="20"/>
  <c r="O634" i="20" s="1"/>
  <c r="P634" i="20" s="1"/>
  <c r="N467" i="20"/>
  <c r="O467" i="20" s="1"/>
  <c r="P467" i="20" s="1"/>
  <c r="N621" i="20"/>
  <c r="O621" i="20" s="1"/>
  <c r="P621" i="20" s="1"/>
  <c r="N622" i="20"/>
  <c r="O622" i="20" s="1"/>
  <c r="P622" i="20" s="1"/>
  <c r="N476" i="20"/>
  <c r="O476" i="20" s="1"/>
  <c r="P476" i="20" s="1"/>
  <c r="N421" i="20"/>
  <c r="O421" i="20" s="1"/>
  <c r="P421" i="20" s="1"/>
  <c r="N327" i="20"/>
  <c r="O327" i="20" s="1"/>
  <c r="P327" i="20" s="1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438" i="20"/>
  <c r="M616" i="20"/>
  <c r="M299" i="20"/>
  <c r="M283" i="20"/>
  <c r="M304" i="20"/>
  <c r="M361" i="20"/>
  <c r="M395" i="20"/>
  <c r="M584" i="20"/>
  <c r="M503" i="20"/>
  <c r="M349" i="20"/>
  <c r="M513" i="20"/>
  <c r="M595" i="20"/>
  <c r="M434" i="20"/>
  <c r="M533" i="20"/>
  <c r="M340" i="20"/>
  <c r="M351" i="20"/>
  <c r="M401" i="20"/>
  <c r="M602" i="20"/>
  <c r="M618" i="20"/>
  <c r="M529" i="20"/>
  <c r="M534" i="20"/>
  <c r="M437" i="20"/>
  <c r="M375" i="20"/>
  <c r="M483" i="20"/>
  <c r="M522" i="20"/>
  <c r="M405" i="20"/>
  <c r="M489" i="20"/>
  <c r="M637" i="20"/>
  <c r="M336" i="20"/>
  <c r="M52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502" i="20"/>
  <c r="M416" i="20"/>
  <c r="M450" i="20"/>
  <c r="M559" i="20"/>
  <c r="M631" i="20"/>
  <c r="M543" i="20"/>
  <c r="M470" i="20"/>
  <c r="M350" i="20"/>
  <c r="M507" i="20"/>
  <c r="M468" i="20"/>
  <c r="M295" i="20"/>
  <c r="M423" i="20"/>
  <c r="M635" i="20"/>
  <c r="M303" i="20"/>
  <c r="M504" i="20"/>
  <c r="M581" i="20"/>
  <c r="M518" i="20"/>
  <c r="M284" i="20"/>
  <c r="M505" i="20"/>
  <c r="M606" i="20"/>
  <c r="M292" i="20"/>
  <c r="M511" i="20"/>
  <c r="M326" i="20"/>
  <c r="M429" i="20"/>
  <c r="M527" i="20"/>
  <c r="M549" i="20"/>
  <c r="M389" i="20"/>
  <c r="M339" i="20"/>
  <c r="M552" i="20"/>
  <c r="M329" i="20"/>
  <c r="M290" i="20"/>
  <c r="M532" i="20"/>
  <c r="M586" i="20"/>
  <c r="M358" i="20"/>
  <c r="M320" i="20"/>
  <c r="M288" i="20"/>
  <c r="M594" i="20"/>
  <c r="M460" i="20"/>
  <c r="M418" i="20"/>
  <c r="M499" i="20"/>
  <c r="M400" i="20"/>
  <c r="M285" i="20"/>
  <c r="M432" i="20"/>
  <c r="M491" i="20"/>
  <c r="M614" i="20"/>
  <c r="M335" i="20"/>
  <c r="M306" i="20"/>
  <c r="M309" i="20"/>
  <c r="M538" i="20"/>
  <c r="M305" i="20"/>
  <c r="M469" i="20"/>
  <c r="M342" i="20"/>
  <c r="M487" i="20"/>
  <c r="M319" i="20"/>
  <c r="M461" i="20"/>
  <c r="M456" i="20"/>
  <c r="M281" i="20"/>
  <c r="M510" i="20"/>
  <c r="M638" i="20"/>
  <c r="M282" i="20"/>
  <c r="M464" i="20"/>
  <c r="M396" i="20"/>
  <c r="M521" i="20"/>
  <c r="M311" i="20"/>
  <c r="M414" i="20"/>
  <c r="M410" i="20"/>
  <c r="M357" i="20"/>
  <c r="M317" i="20"/>
  <c r="M318" i="20"/>
  <c r="M548" i="20"/>
  <c r="M582" i="20"/>
  <c r="M570" i="20"/>
  <c r="M601" i="20"/>
  <c r="M457" i="20"/>
  <c r="M377" i="20"/>
  <c r="M589" i="20"/>
  <c r="M571" i="20"/>
  <c r="M564" i="20"/>
  <c r="M542" i="20"/>
  <c r="M537" i="20"/>
  <c r="M459" i="20"/>
  <c r="M380" i="20"/>
  <c r="M629" i="20"/>
  <c r="M569" i="20"/>
  <c r="M498" i="20"/>
  <c r="M323" i="20"/>
  <c r="M422" i="20"/>
  <c r="M376" i="20"/>
  <c r="M289" i="20"/>
  <c r="M322" i="20"/>
  <c r="M615" i="20"/>
  <c r="M293" i="20"/>
  <c r="M366" i="20"/>
  <c r="M393" i="20"/>
  <c r="M321" i="20"/>
  <c r="M465" i="20"/>
  <c r="M515" i="20"/>
  <c r="M600" i="20"/>
  <c r="M296" i="20"/>
  <c r="M512" i="20"/>
  <c r="M604" i="20"/>
  <c r="M59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544" i="20"/>
  <c r="M484" i="20"/>
  <c r="M481" i="20"/>
  <c r="M365" i="20"/>
  <c r="M222" i="20"/>
  <c r="M333" i="20"/>
  <c r="M471" i="20"/>
  <c r="M332" i="20"/>
  <c r="M447" i="20"/>
  <c r="M478" i="20"/>
  <c r="M391" i="20"/>
  <c r="M331" i="20"/>
  <c r="M286" i="20"/>
  <c r="M398" i="20"/>
  <c r="M441" i="20"/>
  <c r="M403" i="20"/>
  <c r="M561" i="20"/>
  <c r="M619" i="20"/>
  <c r="M407" i="20"/>
  <c r="M223" i="20"/>
  <c r="M354" i="20"/>
  <c r="M528" i="20"/>
  <c r="M287" i="20"/>
  <c r="M482" i="20"/>
  <c r="M572" i="20"/>
  <c r="M411" i="20"/>
  <c r="M488" i="20"/>
  <c r="M541" i="20"/>
  <c r="M312" i="20"/>
  <c r="M473" i="20"/>
  <c r="M356" i="20"/>
  <c r="M442" i="20"/>
  <c r="M379" i="20"/>
  <c r="M314" i="20"/>
  <c r="M409" i="20"/>
  <c r="M343" i="20"/>
  <c r="M279" i="20"/>
  <c r="M419" i="20"/>
  <c r="M547" i="20"/>
  <c r="M310" i="20"/>
  <c r="M387" i="20"/>
  <c r="M545" i="20"/>
  <c r="M308" i="20"/>
  <c r="M630" i="20"/>
  <c r="M462" i="20"/>
  <c r="M458" i="20"/>
  <c r="M381" i="20"/>
  <c r="M565" i="20"/>
  <c r="M610" i="20"/>
  <c r="M362" i="20"/>
  <c r="M453" i="20"/>
  <c r="M364" i="20"/>
  <c r="M526" i="20"/>
  <c r="M298" i="20"/>
  <c r="M399" i="20"/>
  <c r="M566" i="20"/>
  <c r="M636" i="20"/>
  <c r="M424" i="20"/>
  <c r="M611" i="20"/>
  <c r="M316" i="20"/>
  <c r="M612" i="20"/>
  <c r="M415" i="20"/>
  <c r="M346" i="20"/>
  <c r="M394" i="20"/>
  <c r="M479" i="20"/>
  <c r="M627" i="20"/>
  <c r="M406" i="20"/>
  <c r="M624" i="20"/>
  <c r="M574" i="20"/>
  <c r="M607" i="20"/>
  <c r="M568" i="20"/>
  <c r="M280" i="20"/>
  <c r="M334" i="20"/>
  <c r="M588" i="20"/>
  <c r="M598" i="20"/>
  <c r="M363" i="20"/>
  <c r="M567" i="20"/>
  <c r="M278" i="20"/>
  <c r="M417" i="20"/>
  <c r="M445" i="20"/>
  <c r="M397" i="20"/>
  <c r="M474" i="20"/>
  <c r="M369" i="20"/>
  <c r="M371" i="20"/>
  <c r="M599" i="20"/>
  <c r="M555" i="20"/>
  <c r="M297" i="20"/>
  <c r="M224" i="20"/>
  <c r="M573" i="20"/>
  <c r="M523" i="20"/>
  <c r="M412" i="20"/>
  <c r="M443" i="20"/>
  <c r="M597" i="20"/>
  <c r="M480" i="20"/>
  <c r="M557" i="20"/>
  <c r="M493" i="20"/>
  <c r="M302" i="20"/>
  <c r="M550" i="20"/>
  <c r="M388" i="20"/>
  <c r="M385" i="20"/>
  <c r="M291" i="20"/>
  <c r="M359" i="20"/>
  <c r="M551" i="20"/>
  <c r="M431" i="20"/>
  <c r="M609" i="20"/>
  <c r="M524" i="20"/>
  <c r="M472" i="20"/>
  <c r="M530" i="20"/>
  <c r="M449" i="20"/>
  <c r="M475" i="20"/>
  <c r="M404" i="20"/>
  <c r="M508" i="20"/>
  <c r="M378" i="20"/>
  <c r="M585" i="20"/>
  <c r="M620" i="20"/>
  <c r="M294" i="20"/>
  <c r="M386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427" i="20"/>
  <c r="M341" i="20"/>
  <c r="M452" i="20"/>
  <c r="M307" i="20"/>
  <c r="M580" i="20"/>
  <c r="M345" i="20"/>
  <c r="M466" i="20"/>
  <c r="M531" i="20"/>
  <c r="M338" i="20"/>
  <c r="M576" i="20"/>
  <c r="M525" i="20"/>
  <c r="M408" i="20"/>
  <c r="M536" i="20"/>
  <c r="M540" i="20"/>
  <c r="M563" i="20"/>
  <c r="M313" i="20"/>
  <c r="M623" i="20"/>
  <c r="M583" i="20"/>
  <c r="M325" i="20"/>
  <c r="M384" i="20"/>
  <c r="M277" i="20"/>
  <c r="M593" i="20"/>
  <c r="M433" i="20"/>
  <c r="M425" i="20"/>
  <c r="M617" i="20"/>
  <c r="M315" i="20"/>
  <c r="M372" i="20"/>
  <c r="M605" i="20"/>
  <c r="M546" i="20"/>
  <c r="M360" i="20"/>
  <c r="M355" i="20"/>
  <c r="M590" i="20"/>
  <c r="M348" i="20"/>
  <c r="M603" i="20"/>
  <c r="M591" i="20"/>
  <c r="M330" i="20"/>
  <c r="M328" i="20"/>
  <c r="M428" i="20"/>
  <c r="M486" i="20"/>
  <c r="M496" i="20"/>
  <c r="M587" i="20"/>
  <c r="M490" i="20"/>
  <c r="M420" i="20"/>
  <c r="M352" i="20"/>
  <c r="M448" i="20"/>
  <c r="M500" i="20"/>
  <c r="M367" i="20"/>
  <c r="M577" i="20"/>
  <c r="M509" i="20"/>
  <c r="M608" i="20"/>
  <c r="M368" i="20"/>
  <c r="M455" i="20"/>
  <c r="M337" i="20"/>
  <c r="M477" i="20"/>
  <c r="M301" i="20"/>
  <c r="M413" i="20"/>
  <c r="M495" i="20"/>
  <c r="M501" i="20"/>
  <c r="M553" i="20"/>
  <c r="M370" i="20"/>
  <c r="M579" i="20"/>
  <c r="M514" i="20"/>
  <c r="M436" i="20"/>
  <c r="M492" i="20"/>
  <c r="M575" i="20"/>
  <c r="M506" i="20"/>
  <c r="M485" i="20"/>
  <c r="M562" i="20"/>
  <c r="M440" i="20"/>
  <c r="M274" i="20"/>
  <c r="M275" i="20"/>
  <c r="M451" i="20"/>
  <c r="M276" i="20"/>
  <c r="M373" i="20"/>
  <c r="M519" i="20"/>
  <c r="M392" i="20"/>
  <c r="M463" i="20"/>
  <c r="M516" i="20"/>
  <c r="M554" i="20"/>
  <c r="M613" i="20"/>
  <c r="M300" i="20"/>
  <c r="M444" i="20"/>
  <c r="M374" i="20"/>
  <c r="M446" i="20"/>
  <c r="M454" i="20"/>
  <c r="M435" i="20"/>
  <c r="M539" i="20"/>
  <c r="M556" i="20"/>
  <c r="M633" i="20"/>
  <c r="M497" i="20"/>
  <c r="M426" i="20"/>
  <c r="M439" i="20"/>
  <c r="M383" i="20"/>
  <c r="M560" i="20"/>
  <c r="M625" i="20"/>
  <c r="M382" i="20"/>
  <c r="M558" i="20"/>
  <c r="M324" i="20"/>
  <c r="M535" i="20"/>
  <c r="M402" i="20"/>
  <c r="M347" i="20"/>
  <c r="M430" i="20"/>
  <c r="M390" i="20"/>
  <c r="M344" i="20"/>
  <c r="M517" i="20"/>
  <c r="M578" i="20"/>
  <c r="M353" i="20"/>
  <c r="M632" i="20"/>
  <c r="M494" i="20"/>
  <c r="M628" i="20"/>
  <c r="M626" i="20"/>
  <c r="M634" i="20"/>
  <c r="M467" i="20"/>
  <c r="M621" i="20"/>
  <c r="M622" i="20"/>
  <c r="M476" i="20"/>
  <c r="M421" i="20"/>
  <c r="M327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438" i="20"/>
  <c r="K299" i="20"/>
  <c r="K283" i="20"/>
  <c r="K304" i="20"/>
  <c r="K361" i="20"/>
  <c r="K395" i="20"/>
  <c r="K584" i="20"/>
  <c r="K503" i="20"/>
  <c r="K349" i="20"/>
  <c r="K513" i="20"/>
  <c r="K595" i="20"/>
  <c r="K434" i="20"/>
  <c r="K533" i="20"/>
  <c r="K340" i="20"/>
  <c r="K351" i="20"/>
  <c r="K401" i="20"/>
  <c r="K602" i="20"/>
  <c r="K618" i="20"/>
  <c r="K529" i="20"/>
  <c r="K534" i="20"/>
  <c r="K437" i="20"/>
  <c r="K375" i="20"/>
  <c r="K483" i="20"/>
  <c r="K522" i="20"/>
  <c r="K405" i="20"/>
  <c r="K489" i="20"/>
  <c r="K637" i="20"/>
  <c r="K336" i="20"/>
  <c r="K52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502" i="20"/>
  <c r="K416" i="20"/>
  <c r="K450" i="20"/>
  <c r="K559" i="20"/>
  <c r="K631" i="20"/>
  <c r="K543" i="20"/>
  <c r="K470" i="20"/>
  <c r="K350" i="20"/>
  <c r="K507" i="20"/>
  <c r="K468" i="20"/>
  <c r="K295" i="20"/>
  <c r="K423" i="20"/>
  <c r="K635" i="20"/>
  <c r="K303" i="20"/>
  <c r="K504" i="20"/>
  <c r="K518" i="20"/>
  <c r="K284" i="20"/>
  <c r="K505" i="20"/>
  <c r="K606" i="20"/>
  <c r="K292" i="20"/>
  <c r="K511" i="20"/>
  <c r="K326" i="20"/>
  <c r="K429" i="20"/>
  <c r="K527" i="20"/>
  <c r="K549" i="20"/>
  <c r="K389" i="20"/>
  <c r="K339" i="20"/>
  <c r="K552" i="20"/>
  <c r="K329" i="20"/>
  <c r="K290" i="20"/>
  <c r="K532" i="20"/>
  <c r="K586" i="20"/>
  <c r="K358" i="20"/>
  <c r="K320" i="20"/>
  <c r="K288" i="20"/>
  <c r="K594" i="20"/>
  <c r="K460" i="20"/>
  <c r="K418" i="20"/>
  <c r="K499" i="20"/>
  <c r="K400" i="20"/>
  <c r="K285" i="20"/>
  <c r="K432" i="20"/>
  <c r="K491" i="20"/>
  <c r="K614" i="20"/>
  <c r="K335" i="20"/>
  <c r="K306" i="20"/>
  <c r="K309" i="20"/>
  <c r="K538" i="20"/>
  <c r="K305" i="20"/>
  <c r="K342" i="20"/>
  <c r="K487" i="20"/>
  <c r="K319" i="20"/>
  <c r="K461" i="20"/>
  <c r="K456" i="20"/>
  <c r="K281" i="20"/>
  <c r="K510" i="20"/>
  <c r="K638" i="20"/>
  <c r="K282" i="20"/>
  <c r="K464" i="20"/>
  <c r="K396" i="20"/>
  <c r="K521" i="20"/>
  <c r="K311" i="20"/>
  <c r="K414" i="20"/>
  <c r="K410" i="20"/>
  <c r="K357" i="20"/>
  <c r="K317" i="20"/>
  <c r="K318" i="20"/>
  <c r="K548" i="20"/>
  <c r="K582" i="20"/>
  <c r="K570" i="20"/>
  <c r="K601" i="20"/>
  <c r="K457" i="20"/>
  <c r="K377" i="20"/>
  <c r="K589" i="20"/>
  <c r="K571" i="20"/>
  <c r="K564" i="20"/>
  <c r="K542" i="20"/>
  <c r="K537" i="20"/>
  <c r="K459" i="20"/>
  <c r="K380" i="20"/>
  <c r="K629" i="20"/>
  <c r="K569" i="20"/>
  <c r="K498" i="20"/>
  <c r="K323" i="20"/>
  <c r="K422" i="20"/>
  <c r="K376" i="20"/>
  <c r="K289" i="20"/>
  <c r="K322" i="20"/>
  <c r="K615" i="20"/>
  <c r="K293" i="20"/>
  <c r="K366" i="20"/>
  <c r="K393" i="20"/>
  <c r="K321" i="20"/>
  <c r="K465" i="20"/>
  <c r="K515" i="20"/>
  <c r="K600" i="20"/>
  <c r="K296" i="20"/>
  <c r="K512" i="20"/>
  <c r="K604" i="20"/>
  <c r="K59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544" i="20"/>
  <c r="K484" i="20"/>
  <c r="K481" i="20"/>
  <c r="K365" i="20"/>
  <c r="K222" i="20"/>
  <c r="K333" i="20"/>
  <c r="K471" i="20"/>
  <c r="K332" i="20"/>
  <c r="K447" i="20"/>
  <c r="K478" i="20"/>
  <c r="K391" i="20"/>
  <c r="K331" i="20"/>
  <c r="K286" i="20"/>
  <c r="K398" i="20"/>
  <c r="K441" i="20"/>
  <c r="K403" i="20"/>
  <c r="K561" i="20"/>
  <c r="K619" i="20"/>
  <c r="K407" i="20"/>
  <c r="K223" i="20"/>
  <c r="K354" i="20"/>
  <c r="K528" i="20"/>
  <c r="K287" i="20"/>
  <c r="K482" i="20"/>
  <c r="K572" i="20"/>
  <c r="K411" i="20"/>
  <c r="K488" i="20"/>
  <c r="K541" i="20"/>
  <c r="K312" i="20"/>
  <c r="K473" i="20"/>
  <c r="K356" i="20"/>
  <c r="K442" i="20"/>
  <c r="K379" i="20"/>
  <c r="K314" i="20"/>
  <c r="K409" i="20"/>
  <c r="K343" i="20"/>
  <c r="K279" i="20"/>
  <c r="K419" i="20"/>
  <c r="K547" i="20"/>
  <c r="K310" i="20"/>
  <c r="K387" i="20"/>
  <c r="K545" i="20"/>
  <c r="K592" i="20"/>
  <c r="K308" i="20"/>
  <c r="K462" i="20"/>
  <c r="K458" i="20"/>
  <c r="K381" i="20"/>
  <c r="K565" i="20"/>
  <c r="K610" i="20"/>
  <c r="K362" i="20"/>
  <c r="K453" i="20"/>
  <c r="K364" i="20"/>
  <c r="K526" i="20"/>
  <c r="K298" i="20"/>
  <c r="K399" i="20"/>
  <c r="K566" i="20"/>
  <c r="K636" i="20"/>
  <c r="K424" i="20"/>
  <c r="K611" i="20"/>
  <c r="K316" i="20"/>
  <c r="K612" i="20"/>
  <c r="K415" i="20"/>
  <c r="K346" i="20"/>
  <c r="K394" i="20"/>
  <c r="K479" i="20"/>
  <c r="K627" i="20"/>
  <c r="K406" i="20"/>
  <c r="K624" i="20"/>
  <c r="K574" i="20"/>
  <c r="K607" i="20"/>
  <c r="K568" i="20"/>
  <c r="K280" i="20"/>
  <c r="K334" i="20"/>
  <c r="K588" i="20"/>
  <c r="K598" i="20"/>
  <c r="K363" i="20"/>
  <c r="K567" i="20"/>
  <c r="K278" i="20"/>
  <c r="K417" i="20"/>
  <c r="K445" i="20"/>
  <c r="K397" i="20"/>
  <c r="K474" i="20"/>
  <c r="K369" i="20"/>
  <c r="K371" i="20"/>
  <c r="K599" i="20"/>
  <c r="K555" i="20"/>
  <c r="K297" i="20"/>
  <c r="K224" i="20"/>
  <c r="K573" i="20"/>
  <c r="K523" i="20"/>
  <c r="K412" i="20"/>
  <c r="K443" i="20"/>
  <c r="K597" i="20"/>
  <c r="K480" i="20"/>
  <c r="K557" i="20"/>
  <c r="K493" i="20"/>
  <c r="K302" i="20"/>
  <c r="K550" i="20"/>
  <c r="K388" i="20"/>
  <c r="K385" i="20"/>
  <c r="K291" i="20"/>
  <c r="K359" i="20"/>
  <c r="K551" i="20"/>
  <c r="K431" i="20"/>
  <c r="K609" i="20"/>
  <c r="K524" i="20"/>
  <c r="K472" i="20"/>
  <c r="K530" i="20"/>
  <c r="K449" i="20"/>
  <c r="K475" i="20"/>
  <c r="K404" i="20"/>
  <c r="K508" i="20"/>
  <c r="K378" i="20"/>
  <c r="K585" i="20"/>
  <c r="K620" i="20"/>
  <c r="K294" i="20"/>
  <c r="K386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427" i="20"/>
  <c r="K341" i="20"/>
  <c r="K452" i="20"/>
  <c r="K307" i="20"/>
  <c r="K580" i="20"/>
  <c r="K345" i="20"/>
  <c r="K466" i="20"/>
  <c r="K531" i="20"/>
  <c r="K338" i="20"/>
  <c r="K576" i="20"/>
  <c r="K525" i="20"/>
  <c r="K408" i="20"/>
  <c r="K536" i="20"/>
  <c r="K540" i="20"/>
  <c r="K563" i="20"/>
  <c r="K313" i="20"/>
  <c r="K623" i="20"/>
  <c r="K583" i="20"/>
  <c r="K325" i="20"/>
  <c r="K384" i="20"/>
  <c r="K277" i="20"/>
  <c r="K593" i="20"/>
  <c r="K433" i="20"/>
  <c r="K425" i="20"/>
  <c r="K617" i="20"/>
  <c r="K315" i="20"/>
  <c r="K372" i="20"/>
  <c r="K605" i="20"/>
  <c r="K546" i="20"/>
  <c r="K360" i="20"/>
  <c r="K355" i="20"/>
  <c r="K590" i="20"/>
  <c r="K348" i="20"/>
  <c r="K603" i="20"/>
  <c r="K591" i="20"/>
  <c r="K330" i="20"/>
  <c r="K328" i="20"/>
  <c r="K428" i="20"/>
  <c r="K486" i="20"/>
  <c r="K496" i="20"/>
  <c r="K587" i="20"/>
  <c r="K490" i="20"/>
  <c r="K420" i="20"/>
  <c r="K352" i="20"/>
  <c r="K448" i="20"/>
  <c r="K500" i="20"/>
  <c r="K367" i="20"/>
  <c r="K577" i="20"/>
  <c r="K509" i="20"/>
  <c r="K608" i="20"/>
  <c r="K368" i="20"/>
  <c r="K455" i="20"/>
  <c r="K337" i="20"/>
  <c r="K477" i="20"/>
  <c r="K301" i="20"/>
  <c r="K413" i="20"/>
  <c r="K495" i="20"/>
  <c r="K501" i="20"/>
  <c r="K553" i="20"/>
  <c r="K370" i="20"/>
  <c r="K579" i="20"/>
  <c r="K514" i="20"/>
  <c r="K436" i="20"/>
  <c r="K492" i="20"/>
  <c r="K575" i="20"/>
  <c r="K506" i="20"/>
  <c r="K485" i="20"/>
  <c r="K562" i="20"/>
  <c r="K440" i="20"/>
  <c r="K274" i="20"/>
  <c r="K275" i="20"/>
  <c r="K451" i="20"/>
  <c r="K276" i="20"/>
  <c r="K373" i="20"/>
  <c r="K519" i="20"/>
  <c r="K392" i="20"/>
  <c r="K463" i="20"/>
  <c r="K516" i="20"/>
  <c r="K554" i="20"/>
  <c r="K613" i="20"/>
  <c r="K300" i="20"/>
  <c r="K444" i="20"/>
  <c r="K374" i="20"/>
  <c r="K446" i="20"/>
  <c r="K454" i="20"/>
  <c r="K435" i="20"/>
  <c r="K539" i="20"/>
  <c r="K556" i="20"/>
  <c r="K633" i="20"/>
  <c r="K497" i="20"/>
  <c r="K426" i="20"/>
  <c r="K439" i="20"/>
  <c r="K383" i="20"/>
  <c r="K560" i="20"/>
  <c r="K625" i="20"/>
  <c r="K382" i="20"/>
  <c r="K558" i="20"/>
  <c r="K324" i="20"/>
  <c r="K535" i="20"/>
  <c r="K402" i="20"/>
  <c r="K347" i="20"/>
  <c r="K430" i="20"/>
  <c r="K390" i="20"/>
  <c r="K344" i="20"/>
  <c r="K517" i="20"/>
  <c r="K578" i="20"/>
  <c r="K353" i="20"/>
  <c r="K632" i="20"/>
  <c r="K494" i="20"/>
  <c r="K628" i="20"/>
  <c r="K626" i="20"/>
  <c r="K634" i="20"/>
  <c r="K467" i="20"/>
  <c r="K621" i="20"/>
  <c r="K622" i="20"/>
  <c r="K476" i="20"/>
  <c r="K421" i="20"/>
  <c r="K327" i="20"/>
  <c r="N3" i="14"/>
  <c r="O3" i="14" s="1"/>
  <c r="P3" i="14" s="1"/>
  <c r="N4" i="14"/>
  <c r="O4" i="14" s="1"/>
  <c r="P4" i="14" s="1"/>
  <c r="N5" i="14"/>
  <c r="O5" i="14" s="1"/>
  <c r="P5" i="14" s="1"/>
  <c r="N6" i="14"/>
  <c r="O6" i="14" s="1"/>
  <c r="P6" i="14" s="1"/>
  <c r="N300" i="14"/>
  <c r="O300" i="14" s="1"/>
  <c r="P300" i="14" s="1"/>
  <c r="N301" i="14"/>
  <c r="O301" i="14" s="1"/>
  <c r="P301" i="14" s="1"/>
  <c r="N7" i="14"/>
  <c r="O7" i="14" s="1"/>
  <c r="P7" i="14" s="1"/>
  <c r="N8" i="14"/>
  <c r="O8" i="14" s="1"/>
  <c r="P8" i="14" s="1"/>
  <c r="N9" i="14"/>
  <c r="O9" i="14" s="1"/>
  <c r="P9" i="14" s="1"/>
  <c r="N298" i="14"/>
  <c r="O298" i="14" s="1"/>
  <c r="P298" i="14" s="1"/>
  <c r="N10" i="14"/>
  <c r="O10" i="14" s="1"/>
  <c r="P10" i="14" s="1"/>
  <c r="N11" i="14"/>
  <c r="O11" i="14" s="1"/>
  <c r="P11" i="14" s="1"/>
  <c r="N12" i="14"/>
  <c r="O12" i="14" s="1"/>
  <c r="P12" i="14" s="1"/>
  <c r="N13" i="14"/>
  <c r="O13" i="14" s="1"/>
  <c r="P13" i="14" s="1"/>
  <c r="N299" i="14"/>
  <c r="O299" i="14" s="1"/>
  <c r="P299" i="14" s="1"/>
  <c r="N14" i="14"/>
  <c r="O14" i="14" s="1"/>
  <c r="P14" i="14" s="1"/>
  <c r="N15" i="14"/>
  <c r="O15" i="14" s="1"/>
  <c r="P15" i="14" s="1"/>
  <c r="N16" i="14"/>
  <c r="O16" i="14" s="1"/>
  <c r="P16" i="14" s="1"/>
  <c r="N17" i="14"/>
  <c r="O17" i="14" s="1"/>
  <c r="P17" i="14" s="1"/>
  <c r="N18" i="14"/>
  <c r="O18" i="14" s="1"/>
  <c r="P18" i="14" s="1"/>
  <c r="N19" i="14"/>
  <c r="O19" i="14" s="1"/>
  <c r="P19" i="14" s="1"/>
  <c r="N20" i="14"/>
  <c r="O20" i="14" s="1"/>
  <c r="P20" i="14" s="1"/>
  <c r="N21" i="14"/>
  <c r="O21" i="14" s="1"/>
  <c r="P21" i="14" s="1"/>
  <c r="N22" i="14"/>
  <c r="O22" i="14" s="1"/>
  <c r="P22" i="14" s="1"/>
  <c r="N23" i="14"/>
  <c r="O23" i="14" s="1"/>
  <c r="P23" i="14" s="1"/>
  <c r="N24" i="14"/>
  <c r="O24" i="14" s="1"/>
  <c r="P24" i="14" s="1"/>
  <c r="N25" i="14"/>
  <c r="O25" i="14" s="1"/>
  <c r="P25" i="14" s="1"/>
  <c r="N26" i="14"/>
  <c r="O26" i="14" s="1"/>
  <c r="P26" i="14" s="1"/>
  <c r="N27" i="14"/>
  <c r="O27" i="14" s="1"/>
  <c r="P27" i="14" s="1"/>
  <c r="N28" i="14"/>
  <c r="O28" i="14" s="1"/>
  <c r="P28" i="14" s="1"/>
  <c r="N29" i="14"/>
  <c r="O29" i="14" s="1"/>
  <c r="P29" i="14" s="1"/>
  <c r="N30" i="14"/>
  <c r="O30" i="14" s="1"/>
  <c r="P30" i="14" s="1"/>
  <c r="N31" i="14"/>
  <c r="O31" i="14" s="1"/>
  <c r="P31" i="14" s="1"/>
  <c r="N32" i="14"/>
  <c r="O32" i="14" s="1"/>
  <c r="P32" i="14" s="1"/>
  <c r="N33" i="14"/>
  <c r="O33" i="14" s="1"/>
  <c r="P33" i="14" s="1"/>
  <c r="N34" i="14"/>
  <c r="O34" i="14" s="1"/>
  <c r="P34" i="14" s="1"/>
  <c r="N35" i="14"/>
  <c r="O35" i="14" s="1"/>
  <c r="P35" i="14" s="1"/>
  <c r="N36" i="14"/>
  <c r="O36" i="14" s="1"/>
  <c r="P36" i="14" s="1"/>
  <c r="N37" i="14"/>
  <c r="O37" i="14" s="1"/>
  <c r="P37" i="14" s="1"/>
  <c r="N38" i="14"/>
  <c r="O38" i="14" s="1"/>
  <c r="P38" i="14" s="1"/>
  <c r="N39" i="14"/>
  <c r="O39" i="14" s="1"/>
  <c r="P39" i="14" s="1"/>
  <c r="N40" i="14"/>
  <c r="O40" i="14" s="1"/>
  <c r="P40" i="14" s="1"/>
  <c r="N41" i="14"/>
  <c r="O41" i="14" s="1"/>
  <c r="P41" i="14" s="1"/>
  <c r="N42" i="14"/>
  <c r="O42" i="14" s="1"/>
  <c r="P42" i="14" s="1"/>
  <c r="N43" i="14"/>
  <c r="O43" i="14" s="1"/>
  <c r="P43" i="14" s="1"/>
  <c r="N44" i="14"/>
  <c r="O44" i="14" s="1"/>
  <c r="P44" i="14" s="1"/>
  <c r="N45" i="14"/>
  <c r="O45" i="14" s="1"/>
  <c r="P45" i="14" s="1"/>
  <c r="N46" i="14"/>
  <c r="O46" i="14" s="1"/>
  <c r="P46" i="14" s="1"/>
  <c r="N47" i="14"/>
  <c r="O47" i="14" s="1"/>
  <c r="P47" i="14" s="1"/>
  <c r="N48" i="14"/>
  <c r="O48" i="14" s="1"/>
  <c r="P48" i="14" s="1"/>
  <c r="N49" i="14"/>
  <c r="O49" i="14" s="1"/>
  <c r="P49" i="14" s="1"/>
  <c r="N50" i="14"/>
  <c r="O50" i="14" s="1"/>
  <c r="P50" i="14" s="1"/>
  <c r="N51" i="14"/>
  <c r="O51" i="14" s="1"/>
  <c r="P51" i="14" s="1"/>
  <c r="N52" i="14"/>
  <c r="O52" i="14" s="1"/>
  <c r="P52" i="14" s="1"/>
  <c r="N53" i="14"/>
  <c r="O53" i="14" s="1"/>
  <c r="P53" i="14" s="1"/>
  <c r="N54" i="14"/>
  <c r="O54" i="14" s="1"/>
  <c r="P54" i="14" s="1"/>
  <c r="N55" i="14"/>
  <c r="O55" i="14" s="1"/>
  <c r="P55" i="14" s="1"/>
  <c r="N56" i="14"/>
  <c r="O56" i="14" s="1"/>
  <c r="P56" i="14" s="1"/>
  <c r="N57" i="14"/>
  <c r="O57" i="14" s="1"/>
  <c r="P57" i="14" s="1"/>
  <c r="N58" i="14"/>
  <c r="O58" i="14" s="1"/>
  <c r="P58" i="14" s="1"/>
  <c r="N59" i="14"/>
  <c r="O59" i="14" s="1"/>
  <c r="P59" i="14" s="1"/>
  <c r="N60" i="14"/>
  <c r="O60" i="14" s="1"/>
  <c r="P60" i="14" s="1"/>
  <c r="N61" i="14"/>
  <c r="O61" i="14" s="1"/>
  <c r="P61" i="14" s="1"/>
  <c r="N62" i="14"/>
  <c r="O62" i="14" s="1"/>
  <c r="P62" i="14" s="1"/>
  <c r="N63" i="14"/>
  <c r="O63" i="14" s="1"/>
  <c r="P63" i="14" s="1"/>
  <c r="N64" i="14"/>
  <c r="O64" i="14" s="1"/>
  <c r="P64" i="14" s="1"/>
  <c r="N65" i="14"/>
  <c r="O65" i="14" s="1"/>
  <c r="P65" i="14" s="1"/>
  <c r="N66" i="14"/>
  <c r="O66" i="14" s="1"/>
  <c r="P66" i="14" s="1"/>
  <c r="N67" i="14"/>
  <c r="O67" i="14" s="1"/>
  <c r="P67" i="14" s="1"/>
  <c r="N68" i="14"/>
  <c r="O68" i="14" s="1"/>
  <c r="P68" i="14" s="1"/>
  <c r="N69" i="14"/>
  <c r="O69" i="14" s="1"/>
  <c r="P69" i="14" s="1"/>
  <c r="N70" i="14"/>
  <c r="O70" i="14" s="1"/>
  <c r="P70" i="14" s="1"/>
  <c r="N71" i="14"/>
  <c r="O71" i="14" s="1"/>
  <c r="P71" i="14" s="1"/>
  <c r="N72" i="14"/>
  <c r="O72" i="14" s="1"/>
  <c r="P72" i="14" s="1"/>
  <c r="N73" i="14"/>
  <c r="O73" i="14" s="1"/>
  <c r="P73" i="14" s="1"/>
  <c r="N74" i="14"/>
  <c r="O74" i="14" s="1"/>
  <c r="P74" i="14" s="1"/>
  <c r="N75" i="14"/>
  <c r="O75" i="14" s="1"/>
  <c r="P75" i="14" s="1"/>
  <c r="N76" i="14"/>
  <c r="O76" i="14" s="1"/>
  <c r="P76" i="14" s="1"/>
  <c r="N77" i="14"/>
  <c r="O77" i="14" s="1"/>
  <c r="P77" i="14" s="1"/>
  <c r="N78" i="14"/>
  <c r="O78" i="14" s="1"/>
  <c r="P78" i="14" s="1"/>
  <c r="N79" i="14"/>
  <c r="O79" i="14" s="1"/>
  <c r="P79" i="14" s="1"/>
  <c r="N80" i="14"/>
  <c r="O80" i="14" s="1"/>
  <c r="P80" i="14" s="1"/>
  <c r="N81" i="14"/>
  <c r="O81" i="14" s="1"/>
  <c r="P81" i="14" s="1"/>
  <c r="N82" i="14"/>
  <c r="O82" i="14" s="1"/>
  <c r="P82" i="14" s="1"/>
  <c r="N83" i="14"/>
  <c r="O83" i="14" s="1"/>
  <c r="P83" i="14" s="1"/>
  <c r="N84" i="14"/>
  <c r="O84" i="14" s="1"/>
  <c r="P84" i="14" s="1"/>
  <c r="N85" i="14"/>
  <c r="O85" i="14" s="1"/>
  <c r="P85" i="14" s="1"/>
  <c r="N86" i="14"/>
  <c r="O86" i="14" s="1"/>
  <c r="P86" i="14" s="1"/>
  <c r="N87" i="14"/>
  <c r="O87" i="14" s="1"/>
  <c r="P87" i="14" s="1"/>
  <c r="N88" i="14"/>
  <c r="O88" i="14" s="1"/>
  <c r="P88" i="14" s="1"/>
  <c r="N89" i="14"/>
  <c r="O89" i="14" s="1"/>
  <c r="P89" i="14" s="1"/>
  <c r="N90" i="14"/>
  <c r="O90" i="14" s="1"/>
  <c r="P90" i="14" s="1"/>
  <c r="N91" i="14"/>
  <c r="O91" i="14" s="1"/>
  <c r="P91" i="14" s="1"/>
  <c r="N92" i="14"/>
  <c r="O92" i="14" s="1"/>
  <c r="P92" i="14" s="1"/>
  <c r="N93" i="14"/>
  <c r="O93" i="14" s="1"/>
  <c r="P93" i="14" s="1"/>
  <c r="N94" i="14"/>
  <c r="O94" i="14" s="1"/>
  <c r="P94" i="14" s="1"/>
  <c r="N95" i="14"/>
  <c r="O95" i="14" s="1"/>
  <c r="P95" i="14" s="1"/>
  <c r="N96" i="14"/>
  <c r="O96" i="14" s="1"/>
  <c r="P96" i="14" s="1"/>
  <c r="N97" i="14"/>
  <c r="O97" i="14" s="1"/>
  <c r="P97" i="14" s="1"/>
  <c r="N98" i="14"/>
  <c r="O98" i="14" s="1"/>
  <c r="P98" i="14" s="1"/>
  <c r="N99" i="14"/>
  <c r="O99" i="14" s="1"/>
  <c r="P99" i="14" s="1"/>
  <c r="N100" i="14"/>
  <c r="O100" i="14" s="1"/>
  <c r="P100" i="14" s="1"/>
  <c r="N101" i="14"/>
  <c r="O101" i="14" s="1"/>
  <c r="P101" i="14" s="1"/>
  <c r="N102" i="14"/>
  <c r="O102" i="14" s="1"/>
  <c r="P102" i="14" s="1"/>
  <c r="N103" i="14"/>
  <c r="O103" i="14" s="1"/>
  <c r="P103" i="14" s="1"/>
  <c r="N104" i="14"/>
  <c r="O104" i="14" s="1"/>
  <c r="P104" i="14" s="1"/>
  <c r="N105" i="14"/>
  <c r="O105" i="14" s="1"/>
  <c r="P105" i="14" s="1"/>
  <c r="N106" i="14"/>
  <c r="O106" i="14" s="1"/>
  <c r="P106" i="14" s="1"/>
  <c r="N107" i="14"/>
  <c r="O107" i="14" s="1"/>
  <c r="P107" i="14" s="1"/>
  <c r="N108" i="14"/>
  <c r="O108" i="14" s="1"/>
  <c r="P108" i="14" s="1"/>
  <c r="N109" i="14"/>
  <c r="O109" i="14" s="1"/>
  <c r="P109" i="14" s="1"/>
  <c r="N110" i="14"/>
  <c r="O110" i="14" s="1"/>
  <c r="P110" i="14" s="1"/>
  <c r="N111" i="14"/>
  <c r="O111" i="14" s="1"/>
  <c r="P111" i="14" s="1"/>
  <c r="N112" i="14"/>
  <c r="O112" i="14" s="1"/>
  <c r="P112" i="14" s="1"/>
  <c r="N113" i="14"/>
  <c r="O113" i="14" s="1"/>
  <c r="P113" i="14" s="1"/>
  <c r="N114" i="14"/>
  <c r="O114" i="14" s="1"/>
  <c r="P114" i="14" s="1"/>
  <c r="N115" i="14"/>
  <c r="O115" i="14" s="1"/>
  <c r="P115" i="14" s="1"/>
  <c r="N116" i="14"/>
  <c r="O116" i="14" s="1"/>
  <c r="P116" i="14" s="1"/>
  <c r="N117" i="14"/>
  <c r="O117" i="14" s="1"/>
  <c r="P117" i="14" s="1"/>
  <c r="N118" i="14"/>
  <c r="O118" i="14" s="1"/>
  <c r="P118" i="14" s="1"/>
  <c r="N119" i="14"/>
  <c r="O119" i="14" s="1"/>
  <c r="P119" i="14" s="1"/>
  <c r="N120" i="14"/>
  <c r="O120" i="14" s="1"/>
  <c r="P120" i="14" s="1"/>
  <c r="N121" i="14"/>
  <c r="O121" i="14" s="1"/>
  <c r="P121" i="14" s="1"/>
  <c r="N122" i="14"/>
  <c r="O122" i="14" s="1"/>
  <c r="P122" i="14" s="1"/>
  <c r="N123" i="14"/>
  <c r="O123" i="14" s="1"/>
  <c r="P123" i="14" s="1"/>
  <c r="N124" i="14"/>
  <c r="O124" i="14" s="1"/>
  <c r="P124" i="14" s="1"/>
  <c r="N125" i="14"/>
  <c r="O125" i="14" s="1"/>
  <c r="P125" i="14" s="1"/>
  <c r="N126" i="14"/>
  <c r="O126" i="14" s="1"/>
  <c r="P126" i="14" s="1"/>
  <c r="N127" i="14"/>
  <c r="O127" i="14" s="1"/>
  <c r="P127" i="14" s="1"/>
  <c r="N128" i="14"/>
  <c r="O128" i="14" s="1"/>
  <c r="P128" i="14" s="1"/>
  <c r="N129" i="14"/>
  <c r="O129" i="14" s="1"/>
  <c r="P129" i="14" s="1"/>
  <c r="N130" i="14"/>
  <c r="O130" i="14" s="1"/>
  <c r="P130" i="14" s="1"/>
  <c r="N131" i="14"/>
  <c r="O131" i="14" s="1"/>
  <c r="P131" i="14" s="1"/>
  <c r="N132" i="14"/>
  <c r="O132" i="14" s="1"/>
  <c r="P132" i="14" s="1"/>
  <c r="N133" i="14"/>
  <c r="O133" i="14" s="1"/>
  <c r="P133" i="14" s="1"/>
  <c r="N134" i="14"/>
  <c r="O134" i="14" s="1"/>
  <c r="P134" i="14" s="1"/>
  <c r="N135" i="14"/>
  <c r="O135" i="14" s="1"/>
  <c r="P135" i="14" s="1"/>
  <c r="N136" i="14"/>
  <c r="O136" i="14" s="1"/>
  <c r="P136" i="14" s="1"/>
  <c r="N137" i="14"/>
  <c r="O137" i="14" s="1"/>
  <c r="P137" i="14" s="1"/>
  <c r="N138" i="14"/>
  <c r="O138" i="14" s="1"/>
  <c r="P138" i="14" s="1"/>
  <c r="N139" i="14"/>
  <c r="O139" i="14" s="1"/>
  <c r="P139" i="14" s="1"/>
  <c r="N140" i="14"/>
  <c r="O140" i="14" s="1"/>
  <c r="P140" i="14" s="1"/>
  <c r="N141" i="14"/>
  <c r="O141" i="14" s="1"/>
  <c r="P141" i="14" s="1"/>
  <c r="N142" i="14"/>
  <c r="O142" i="14" s="1"/>
  <c r="P142" i="14" s="1"/>
  <c r="N143" i="14"/>
  <c r="O143" i="14" s="1"/>
  <c r="P143" i="14" s="1"/>
  <c r="N144" i="14"/>
  <c r="O144" i="14" s="1"/>
  <c r="P144" i="14" s="1"/>
  <c r="N145" i="14"/>
  <c r="O145" i="14" s="1"/>
  <c r="P145" i="14" s="1"/>
  <c r="N146" i="14"/>
  <c r="O146" i="14" s="1"/>
  <c r="P146" i="14" s="1"/>
  <c r="N147" i="14"/>
  <c r="O147" i="14" s="1"/>
  <c r="P147" i="14" s="1"/>
  <c r="N148" i="14"/>
  <c r="O148" i="14" s="1"/>
  <c r="P148" i="14" s="1"/>
  <c r="N149" i="14"/>
  <c r="O149" i="14" s="1"/>
  <c r="P149" i="14" s="1"/>
  <c r="N150" i="14"/>
  <c r="O150" i="14" s="1"/>
  <c r="P150" i="14" s="1"/>
  <c r="N151" i="14"/>
  <c r="O151" i="14" s="1"/>
  <c r="P151" i="14" s="1"/>
  <c r="N152" i="14"/>
  <c r="O152" i="14" s="1"/>
  <c r="P152" i="14" s="1"/>
  <c r="N153" i="14"/>
  <c r="O153" i="14" s="1"/>
  <c r="P153" i="14" s="1"/>
  <c r="N154" i="14"/>
  <c r="O154" i="14" s="1"/>
  <c r="P154" i="14" s="1"/>
  <c r="N155" i="14"/>
  <c r="O155" i="14" s="1"/>
  <c r="P155" i="14" s="1"/>
  <c r="N156" i="14"/>
  <c r="O156" i="14" s="1"/>
  <c r="P156" i="14" s="1"/>
  <c r="N157" i="14"/>
  <c r="O157" i="14" s="1"/>
  <c r="P157" i="14" s="1"/>
  <c r="N158" i="14"/>
  <c r="O158" i="14" s="1"/>
  <c r="P158" i="14" s="1"/>
  <c r="N159" i="14"/>
  <c r="O159" i="14" s="1"/>
  <c r="P159" i="14" s="1"/>
  <c r="N160" i="14"/>
  <c r="O160" i="14" s="1"/>
  <c r="P160" i="14" s="1"/>
  <c r="N161" i="14"/>
  <c r="O161" i="14" s="1"/>
  <c r="P161" i="14" s="1"/>
  <c r="N162" i="14"/>
  <c r="O162" i="14" s="1"/>
  <c r="P162" i="14" s="1"/>
  <c r="N163" i="14"/>
  <c r="O163" i="14" s="1"/>
  <c r="P163" i="14" s="1"/>
  <c r="N164" i="14"/>
  <c r="O164" i="14" s="1"/>
  <c r="P164" i="14" s="1"/>
  <c r="N165" i="14"/>
  <c r="O165" i="14" s="1"/>
  <c r="P165" i="14" s="1"/>
  <c r="N166" i="14"/>
  <c r="O166" i="14" s="1"/>
  <c r="P166" i="14" s="1"/>
  <c r="N167" i="14"/>
  <c r="O167" i="14" s="1"/>
  <c r="P167" i="14" s="1"/>
  <c r="N168" i="14"/>
  <c r="O168" i="14" s="1"/>
  <c r="P168" i="14" s="1"/>
  <c r="N169" i="14"/>
  <c r="O169" i="14" s="1"/>
  <c r="P169" i="14" s="1"/>
  <c r="N170" i="14"/>
  <c r="O170" i="14" s="1"/>
  <c r="P170" i="14" s="1"/>
  <c r="N171" i="14"/>
  <c r="O171" i="14" s="1"/>
  <c r="P171" i="14" s="1"/>
  <c r="N172" i="14"/>
  <c r="O172" i="14" s="1"/>
  <c r="P172" i="14" s="1"/>
  <c r="N173" i="14"/>
  <c r="O173" i="14" s="1"/>
  <c r="P173" i="14" s="1"/>
  <c r="N174" i="14"/>
  <c r="O174" i="14" s="1"/>
  <c r="P174" i="14" s="1"/>
  <c r="N175" i="14"/>
  <c r="O175" i="14" s="1"/>
  <c r="P175" i="14" s="1"/>
  <c r="N176" i="14"/>
  <c r="O176" i="14" s="1"/>
  <c r="P176" i="14" s="1"/>
  <c r="N177" i="14"/>
  <c r="O177" i="14" s="1"/>
  <c r="P177" i="14" s="1"/>
  <c r="N178" i="14"/>
  <c r="O178" i="14" s="1"/>
  <c r="P178" i="14" s="1"/>
  <c r="N179" i="14"/>
  <c r="O179" i="14" s="1"/>
  <c r="P179" i="14" s="1"/>
  <c r="N180" i="14"/>
  <c r="O180" i="14" s="1"/>
  <c r="P180" i="14" s="1"/>
  <c r="N181" i="14"/>
  <c r="O181" i="14" s="1"/>
  <c r="P181" i="14" s="1"/>
  <c r="N182" i="14"/>
  <c r="O182" i="14" s="1"/>
  <c r="P182" i="14" s="1"/>
  <c r="N183" i="14"/>
  <c r="O183" i="14" s="1"/>
  <c r="P183" i="14" s="1"/>
  <c r="N184" i="14"/>
  <c r="O184" i="14" s="1"/>
  <c r="P184" i="14" s="1"/>
  <c r="N185" i="14"/>
  <c r="O185" i="14" s="1"/>
  <c r="P185" i="14" s="1"/>
  <c r="N186" i="14"/>
  <c r="O186" i="14" s="1"/>
  <c r="P186" i="14" s="1"/>
  <c r="N187" i="14"/>
  <c r="O187" i="14" s="1"/>
  <c r="P187" i="14" s="1"/>
  <c r="N188" i="14"/>
  <c r="O188" i="14" s="1"/>
  <c r="P188" i="14" s="1"/>
  <c r="N189" i="14"/>
  <c r="O189" i="14" s="1"/>
  <c r="P189" i="14" s="1"/>
  <c r="N190" i="14"/>
  <c r="O190" i="14" s="1"/>
  <c r="P190" i="14" s="1"/>
  <c r="N191" i="14"/>
  <c r="O191" i="14" s="1"/>
  <c r="P191" i="14" s="1"/>
  <c r="N192" i="14"/>
  <c r="O192" i="14" s="1"/>
  <c r="P192" i="14" s="1"/>
  <c r="N193" i="14"/>
  <c r="O193" i="14" s="1"/>
  <c r="P193" i="14" s="1"/>
  <c r="N194" i="14"/>
  <c r="O194" i="14" s="1"/>
  <c r="P194" i="14" s="1"/>
  <c r="N195" i="14"/>
  <c r="O195" i="14" s="1"/>
  <c r="P195" i="14" s="1"/>
  <c r="N196" i="14"/>
  <c r="O196" i="14" s="1"/>
  <c r="P196" i="14" s="1"/>
  <c r="N197" i="14"/>
  <c r="O197" i="14" s="1"/>
  <c r="P197" i="14" s="1"/>
  <c r="N198" i="14"/>
  <c r="O198" i="14" s="1"/>
  <c r="P198" i="14" s="1"/>
  <c r="N199" i="14"/>
  <c r="O199" i="14" s="1"/>
  <c r="P199" i="14" s="1"/>
  <c r="N200" i="14"/>
  <c r="O200" i="14" s="1"/>
  <c r="P200" i="14" s="1"/>
  <c r="N201" i="14"/>
  <c r="O201" i="14" s="1"/>
  <c r="P201" i="14" s="1"/>
  <c r="N202" i="14"/>
  <c r="O202" i="14" s="1"/>
  <c r="P202" i="14" s="1"/>
  <c r="N203" i="14"/>
  <c r="O203" i="14" s="1"/>
  <c r="P203" i="14" s="1"/>
  <c r="N204" i="14"/>
  <c r="O204" i="14" s="1"/>
  <c r="P204" i="14" s="1"/>
  <c r="N205" i="14"/>
  <c r="O205" i="14" s="1"/>
  <c r="P205" i="14" s="1"/>
  <c r="N206" i="14"/>
  <c r="O206" i="14" s="1"/>
  <c r="P206" i="14" s="1"/>
  <c r="N207" i="14"/>
  <c r="O207" i="14" s="1"/>
  <c r="P207" i="14" s="1"/>
  <c r="N208" i="14"/>
  <c r="O208" i="14" s="1"/>
  <c r="P208" i="14" s="1"/>
  <c r="N209" i="14"/>
  <c r="O209" i="14" s="1"/>
  <c r="P209" i="14" s="1"/>
  <c r="N210" i="14"/>
  <c r="O210" i="14" s="1"/>
  <c r="P210" i="14" s="1"/>
  <c r="N211" i="14"/>
  <c r="O211" i="14" s="1"/>
  <c r="P211" i="14" s="1"/>
  <c r="N212" i="14"/>
  <c r="O212" i="14" s="1"/>
  <c r="P212" i="14" s="1"/>
  <c r="N213" i="14"/>
  <c r="O213" i="14" s="1"/>
  <c r="P213" i="14" s="1"/>
  <c r="N214" i="14"/>
  <c r="O214" i="14" s="1"/>
  <c r="P214" i="14" s="1"/>
  <c r="N215" i="14"/>
  <c r="O215" i="14" s="1"/>
  <c r="P215" i="14" s="1"/>
  <c r="N216" i="14"/>
  <c r="O216" i="14" s="1"/>
  <c r="P216" i="14" s="1"/>
  <c r="N217" i="14"/>
  <c r="O217" i="14" s="1"/>
  <c r="P217" i="14" s="1"/>
  <c r="N218" i="14"/>
  <c r="O218" i="14" s="1"/>
  <c r="P218" i="14" s="1"/>
  <c r="N219" i="14"/>
  <c r="O219" i="14" s="1"/>
  <c r="P219" i="14" s="1"/>
  <c r="N220" i="14"/>
  <c r="O220" i="14" s="1"/>
  <c r="P220" i="14" s="1"/>
  <c r="N221" i="14"/>
  <c r="O221" i="14" s="1"/>
  <c r="P221" i="14" s="1"/>
  <c r="N222" i="14"/>
  <c r="O222" i="14" s="1"/>
  <c r="P222" i="14" s="1"/>
  <c r="N223" i="14"/>
  <c r="O223" i="14" s="1"/>
  <c r="P223" i="14" s="1"/>
  <c r="N224" i="14"/>
  <c r="O224" i="14" s="1"/>
  <c r="P224" i="14" s="1"/>
  <c r="N225" i="14"/>
  <c r="O225" i="14" s="1"/>
  <c r="P225" i="14" s="1"/>
  <c r="N226" i="14"/>
  <c r="O226" i="14" s="1"/>
  <c r="P226" i="14" s="1"/>
  <c r="N227" i="14"/>
  <c r="O227" i="14" s="1"/>
  <c r="P227" i="14" s="1"/>
  <c r="N228" i="14"/>
  <c r="O228" i="14" s="1"/>
  <c r="P228" i="14" s="1"/>
  <c r="N229" i="14"/>
  <c r="O229" i="14" s="1"/>
  <c r="P229" i="14" s="1"/>
  <c r="N230" i="14"/>
  <c r="O230" i="14" s="1"/>
  <c r="P230" i="14" s="1"/>
  <c r="N231" i="14"/>
  <c r="O231" i="14" s="1"/>
  <c r="P231" i="14" s="1"/>
  <c r="N232" i="14"/>
  <c r="O232" i="14" s="1"/>
  <c r="P232" i="14" s="1"/>
  <c r="N233" i="14"/>
  <c r="O233" i="14" s="1"/>
  <c r="P233" i="14" s="1"/>
  <c r="N234" i="14"/>
  <c r="O234" i="14" s="1"/>
  <c r="P234" i="14" s="1"/>
  <c r="N235" i="14"/>
  <c r="O235" i="14" s="1"/>
  <c r="P235" i="14" s="1"/>
  <c r="N236" i="14"/>
  <c r="O236" i="14" s="1"/>
  <c r="P236" i="14" s="1"/>
  <c r="N237" i="14"/>
  <c r="O237" i="14" s="1"/>
  <c r="P237" i="14" s="1"/>
  <c r="N238" i="14"/>
  <c r="O238" i="14" s="1"/>
  <c r="P238" i="14" s="1"/>
  <c r="N239" i="14"/>
  <c r="O239" i="14" s="1"/>
  <c r="P239" i="14" s="1"/>
  <c r="N240" i="14"/>
  <c r="O240" i="14" s="1"/>
  <c r="P240" i="14" s="1"/>
  <c r="N241" i="14"/>
  <c r="O241" i="14" s="1"/>
  <c r="P241" i="14" s="1"/>
  <c r="N242" i="14"/>
  <c r="O242" i="14" s="1"/>
  <c r="P242" i="14" s="1"/>
  <c r="N243" i="14"/>
  <c r="O243" i="14" s="1"/>
  <c r="P243" i="14" s="1"/>
  <c r="N244" i="14"/>
  <c r="O244" i="14" s="1"/>
  <c r="P244" i="14" s="1"/>
  <c r="N245" i="14"/>
  <c r="O245" i="14" s="1"/>
  <c r="P245" i="14" s="1"/>
  <c r="N246" i="14"/>
  <c r="O246" i="14" s="1"/>
  <c r="P246" i="14" s="1"/>
  <c r="N247" i="14"/>
  <c r="O247" i="14" s="1"/>
  <c r="P247" i="14" s="1"/>
  <c r="N248" i="14"/>
  <c r="O248" i="14" s="1"/>
  <c r="P248" i="14" s="1"/>
  <c r="N249" i="14"/>
  <c r="O249" i="14" s="1"/>
  <c r="P249" i="14" s="1"/>
  <c r="N250" i="14"/>
  <c r="O250" i="14" s="1"/>
  <c r="P250" i="14" s="1"/>
  <c r="N251" i="14"/>
  <c r="O251" i="14" s="1"/>
  <c r="P251" i="14" s="1"/>
  <c r="N252" i="14"/>
  <c r="O252" i="14" s="1"/>
  <c r="P252" i="14" s="1"/>
  <c r="N253" i="14"/>
  <c r="O253" i="14" s="1"/>
  <c r="P253" i="14" s="1"/>
  <c r="N254" i="14"/>
  <c r="O254" i="14" s="1"/>
  <c r="P254" i="14" s="1"/>
  <c r="N255" i="14"/>
  <c r="O255" i="14" s="1"/>
  <c r="P255" i="14" s="1"/>
  <c r="N256" i="14"/>
  <c r="O256" i="14" s="1"/>
  <c r="P256" i="14" s="1"/>
  <c r="N257" i="14"/>
  <c r="O257" i="14" s="1"/>
  <c r="P257" i="14" s="1"/>
  <c r="N258" i="14"/>
  <c r="O258" i="14" s="1"/>
  <c r="P258" i="14" s="1"/>
  <c r="N259" i="14"/>
  <c r="O259" i="14" s="1"/>
  <c r="P259" i="14" s="1"/>
  <c r="N260" i="14"/>
  <c r="O260" i="14" s="1"/>
  <c r="P260" i="14" s="1"/>
  <c r="N261" i="14"/>
  <c r="O261" i="14" s="1"/>
  <c r="P261" i="14" s="1"/>
  <c r="N262" i="14"/>
  <c r="O262" i="14" s="1"/>
  <c r="P262" i="14" s="1"/>
  <c r="N263" i="14"/>
  <c r="O263" i="14" s="1"/>
  <c r="P263" i="14" s="1"/>
  <c r="N264" i="14"/>
  <c r="O264" i="14" s="1"/>
  <c r="P264" i="14" s="1"/>
  <c r="N265" i="14"/>
  <c r="O265" i="14" s="1"/>
  <c r="P265" i="14" s="1"/>
  <c r="N266" i="14"/>
  <c r="O266" i="14" s="1"/>
  <c r="P266" i="14" s="1"/>
  <c r="N267" i="14"/>
  <c r="O267" i="14" s="1"/>
  <c r="P267" i="14" s="1"/>
  <c r="N268" i="14"/>
  <c r="O268" i="14" s="1"/>
  <c r="P268" i="14" s="1"/>
  <c r="N269" i="14"/>
  <c r="O269" i="14" s="1"/>
  <c r="P269" i="14" s="1"/>
  <c r="N270" i="14"/>
  <c r="O270" i="14" s="1"/>
  <c r="P270" i="14" s="1"/>
  <c r="N271" i="14"/>
  <c r="O271" i="14" s="1"/>
  <c r="P271" i="14" s="1"/>
  <c r="N272" i="14"/>
  <c r="O272" i="14" s="1"/>
  <c r="P272" i="14" s="1"/>
  <c r="N273" i="14"/>
  <c r="O273" i="14" s="1"/>
  <c r="P273" i="14" s="1"/>
  <c r="N274" i="14"/>
  <c r="O274" i="14" s="1"/>
  <c r="P274" i="14" s="1"/>
  <c r="N275" i="14"/>
  <c r="O275" i="14" s="1"/>
  <c r="P275" i="14" s="1"/>
  <c r="N276" i="14"/>
  <c r="O276" i="14" s="1"/>
  <c r="P276" i="14" s="1"/>
  <c r="N277" i="14"/>
  <c r="O277" i="14" s="1"/>
  <c r="P277" i="14" s="1"/>
  <c r="N278" i="14"/>
  <c r="O278" i="14" s="1"/>
  <c r="P278" i="14" s="1"/>
  <c r="N279" i="14"/>
  <c r="O279" i="14" s="1"/>
  <c r="P279" i="14" s="1"/>
  <c r="N280" i="14"/>
  <c r="O280" i="14" s="1"/>
  <c r="P280" i="14" s="1"/>
  <c r="N281" i="14"/>
  <c r="O281" i="14" s="1"/>
  <c r="P281" i="14" s="1"/>
  <c r="N282" i="14"/>
  <c r="O282" i="14" s="1"/>
  <c r="P282" i="14" s="1"/>
  <c r="N283" i="14"/>
  <c r="O283" i="14" s="1"/>
  <c r="P283" i="14" s="1"/>
  <c r="N284" i="14"/>
  <c r="O284" i="14" s="1"/>
  <c r="P284" i="14" s="1"/>
  <c r="N285" i="14"/>
  <c r="O285" i="14" s="1"/>
  <c r="P285" i="14" s="1"/>
  <c r="N286" i="14"/>
  <c r="O286" i="14" s="1"/>
  <c r="P286" i="14" s="1"/>
  <c r="N287" i="14"/>
  <c r="O287" i="14" s="1"/>
  <c r="P287" i="14" s="1"/>
  <c r="N288" i="14"/>
  <c r="O288" i="14" s="1"/>
  <c r="P288" i="14" s="1"/>
  <c r="N289" i="14"/>
  <c r="O289" i="14" s="1"/>
  <c r="P289" i="14" s="1"/>
  <c r="N290" i="14"/>
  <c r="O290" i="14" s="1"/>
  <c r="P290" i="14" s="1"/>
  <c r="N291" i="14"/>
  <c r="O291" i="14" s="1"/>
  <c r="P291" i="14" s="1"/>
  <c r="N292" i="14"/>
  <c r="O292" i="14" s="1"/>
  <c r="P292" i="14" s="1"/>
  <c r="N293" i="14"/>
  <c r="O293" i="14" s="1"/>
  <c r="P293" i="14" s="1"/>
  <c r="N294" i="14"/>
  <c r="O294" i="14" s="1"/>
  <c r="P294" i="14" s="1"/>
  <c r="N295" i="14"/>
  <c r="O295" i="14" s="1"/>
  <c r="P295" i="14" s="1"/>
  <c r="N296" i="14"/>
  <c r="O296" i="14" s="1"/>
  <c r="P296" i="14" s="1"/>
  <c r="N302" i="14"/>
  <c r="O302" i="14" s="1"/>
  <c r="P302" i="14" s="1"/>
  <c r="N303" i="14"/>
  <c r="O303" i="14" s="1"/>
  <c r="P303" i="14" s="1"/>
  <c r="N304" i="14"/>
  <c r="O304" i="14" s="1"/>
  <c r="P304" i="14" s="1"/>
  <c r="N305" i="14"/>
  <c r="O305" i="14" s="1"/>
  <c r="P305" i="14" s="1"/>
  <c r="N306" i="14"/>
  <c r="O306" i="14" s="1"/>
  <c r="P306" i="14" s="1"/>
  <c r="N307" i="14"/>
  <c r="O307" i="14" s="1"/>
  <c r="P307" i="14" s="1"/>
  <c r="N308" i="14"/>
  <c r="O308" i="14" s="1"/>
  <c r="P308" i="14" s="1"/>
  <c r="N309" i="14"/>
  <c r="O309" i="14" s="1"/>
  <c r="P309" i="14" s="1"/>
  <c r="N310" i="14"/>
  <c r="O310" i="14" s="1"/>
  <c r="P310" i="14" s="1"/>
  <c r="N311" i="14"/>
  <c r="O311" i="14" s="1"/>
  <c r="P311" i="14" s="1"/>
  <c r="N312" i="14"/>
  <c r="O312" i="14" s="1"/>
  <c r="P312" i="14" s="1"/>
  <c r="N313" i="14"/>
  <c r="O313" i="14" s="1"/>
  <c r="P313" i="14" s="1"/>
  <c r="N314" i="14"/>
  <c r="O314" i="14" s="1"/>
  <c r="P314" i="14" s="1"/>
  <c r="N315" i="14"/>
  <c r="O315" i="14" s="1"/>
  <c r="P315" i="14" s="1"/>
  <c r="N316" i="14"/>
  <c r="O316" i="14" s="1"/>
  <c r="P316" i="14" s="1"/>
  <c r="N317" i="14"/>
  <c r="O317" i="14" s="1"/>
  <c r="P317" i="14" s="1"/>
  <c r="N318" i="14"/>
  <c r="O318" i="14" s="1"/>
  <c r="P318" i="14" s="1"/>
  <c r="N319" i="14"/>
  <c r="O319" i="14" s="1"/>
  <c r="P319" i="14" s="1"/>
  <c r="N320" i="14"/>
  <c r="O320" i="14" s="1"/>
  <c r="P320" i="14" s="1"/>
  <c r="N321" i="14"/>
  <c r="O321" i="14" s="1"/>
  <c r="P321" i="14" s="1"/>
  <c r="N322" i="14"/>
  <c r="O322" i="14" s="1"/>
  <c r="P322" i="14" s="1"/>
  <c r="N323" i="14"/>
  <c r="O323" i="14" s="1"/>
  <c r="P323" i="14" s="1"/>
  <c r="N324" i="14"/>
  <c r="O324" i="14" s="1"/>
  <c r="P324" i="14" s="1"/>
  <c r="N325" i="14"/>
  <c r="O325" i="14" s="1"/>
  <c r="P325" i="14" s="1"/>
  <c r="N326" i="14"/>
  <c r="O326" i="14" s="1"/>
  <c r="P326" i="14" s="1"/>
  <c r="N327" i="14"/>
  <c r="O327" i="14" s="1"/>
  <c r="P327" i="14" s="1"/>
  <c r="N328" i="14"/>
  <c r="O328" i="14" s="1"/>
  <c r="P328" i="14" s="1"/>
  <c r="N329" i="14"/>
  <c r="O329" i="14" s="1"/>
  <c r="P329" i="14" s="1"/>
  <c r="N330" i="14"/>
  <c r="O330" i="14" s="1"/>
  <c r="P330" i="14" s="1"/>
  <c r="N331" i="14"/>
  <c r="O331" i="14" s="1"/>
  <c r="P331" i="14" s="1"/>
  <c r="N332" i="14"/>
  <c r="O332" i="14" s="1"/>
  <c r="P332" i="14" s="1"/>
  <c r="N333" i="14"/>
  <c r="O333" i="14" s="1"/>
  <c r="P333" i="14" s="1"/>
  <c r="N334" i="14"/>
  <c r="O334" i="14" s="1"/>
  <c r="P334" i="14" s="1"/>
  <c r="N335" i="14"/>
  <c r="O335" i="14" s="1"/>
  <c r="P335" i="14" s="1"/>
  <c r="N336" i="14"/>
  <c r="O336" i="14" s="1"/>
  <c r="P336" i="14" s="1"/>
  <c r="N337" i="14"/>
  <c r="O337" i="14" s="1"/>
  <c r="P337" i="14" s="1"/>
  <c r="N338" i="14"/>
  <c r="O338" i="14" s="1"/>
  <c r="P338" i="14" s="1"/>
  <c r="N339" i="14"/>
  <c r="O339" i="14" s="1"/>
  <c r="P339" i="14" s="1"/>
  <c r="N340" i="14"/>
  <c r="O340" i="14" s="1"/>
  <c r="P340" i="14" s="1"/>
  <c r="N341" i="14"/>
  <c r="O341" i="14" s="1"/>
  <c r="P341" i="14" s="1"/>
  <c r="N342" i="14"/>
  <c r="O342" i="14" s="1"/>
  <c r="P342" i="14" s="1"/>
  <c r="N343" i="14"/>
  <c r="O343" i="14" s="1"/>
  <c r="P343" i="14" s="1"/>
  <c r="N344" i="14"/>
  <c r="O344" i="14" s="1"/>
  <c r="P344" i="14" s="1"/>
  <c r="N345" i="14"/>
  <c r="O345" i="14" s="1"/>
  <c r="P345" i="14" s="1"/>
  <c r="N346" i="14"/>
  <c r="O346" i="14" s="1"/>
  <c r="P346" i="14" s="1"/>
  <c r="N347" i="14"/>
  <c r="O347" i="14" s="1"/>
  <c r="P347" i="14" s="1"/>
  <c r="N348" i="14"/>
  <c r="O348" i="14" s="1"/>
  <c r="P348" i="14" s="1"/>
  <c r="N349" i="14"/>
  <c r="O349" i="14" s="1"/>
  <c r="P349" i="14" s="1"/>
  <c r="N350" i="14"/>
  <c r="O350" i="14" s="1"/>
  <c r="P350" i="14" s="1"/>
  <c r="N351" i="14"/>
  <c r="O351" i="14" s="1"/>
  <c r="P351" i="14" s="1"/>
  <c r="N352" i="14"/>
  <c r="O352" i="14" s="1"/>
  <c r="P352" i="14" s="1"/>
  <c r="N353" i="14"/>
  <c r="O353" i="14" s="1"/>
  <c r="P353" i="14" s="1"/>
  <c r="N354" i="14"/>
  <c r="O354" i="14" s="1"/>
  <c r="P354" i="14" s="1"/>
  <c r="N355" i="14"/>
  <c r="O355" i="14" s="1"/>
  <c r="P355" i="14" s="1"/>
  <c r="N356" i="14"/>
  <c r="O356" i="14" s="1"/>
  <c r="P356" i="14" s="1"/>
  <c r="N357" i="14"/>
  <c r="O357" i="14" s="1"/>
  <c r="P357" i="14" s="1"/>
  <c r="N358" i="14"/>
  <c r="O358" i="14" s="1"/>
  <c r="P358" i="14" s="1"/>
  <c r="N359" i="14"/>
  <c r="O359" i="14" s="1"/>
  <c r="P359" i="14" s="1"/>
  <c r="N360" i="14"/>
  <c r="O360" i="14" s="1"/>
  <c r="P360" i="14" s="1"/>
  <c r="N361" i="14"/>
  <c r="O361" i="14" s="1"/>
  <c r="P361" i="14" s="1"/>
  <c r="N362" i="14"/>
  <c r="O362" i="14" s="1"/>
  <c r="P362" i="14" s="1"/>
  <c r="N363" i="14"/>
  <c r="O363" i="14" s="1"/>
  <c r="P363" i="14" s="1"/>
  <c r="N364" i="14"/>
  <c r="O364" i="14" s="1"/>
  <c r="P364" i="14" s="1"/>
  <c r="N365" i="14"/>
  <c r="O365" i="14" s="1"/>
  <c r="P365" i="14" s="1"/>
  <c r="N366" i="14"/>
  <c r="O366" i="14" s="1"/>
  <c r="P366" i="14" s="1"/>
  <c r="N367" i="14"/>
  <c r="O367" i="14" s="1"/>
  <c r="P367" i="14" s="1"/>
  <c r="N368" i="14"/>
  <c r="O368" i="14" s="1"/>
  <c r="P368" i="14" s="1"/>
  <c r="N369" i="14"/>
  <c r="O369" i="14" s="1"/>
  <c r="P369" i="14" s="1"/>
  <c r="N370" i="14"/>
  <c r="O370" i="14" s="1"/>
  <c r="P370" i="14" s="1"/>
  <c r="N371" i="14"/>
  <c r="O371" i="14" s="1"/>
  <c r="P371" i="14" s="1"/>
  <c r="N372" i="14"/>
  <c r="O372" i="14" s="1"/>
  <c r="P372" i="14" s="1"/>
  <c r="N373" i="14"/>
  <c r="O373" i="14" s="1"/>
  <c r="P373" i="14" s="1"/>
  <c r="N374" i="14"/>
  <c r="O374" i="14" s="1"/>
  <c r="P374" i="14" s="1"/>
  <c r="N375" i="14"/>
  <c r="O375" i="14" s="1"/>
  <c r="P375" i="14" s="1"/>
  <c r="N376" i="14"/>
  <c r="O376" i="14" s="1"/>
  <c r="P376" i="14" s="1"/>
  <c r="N377" i="14"/>
  <c r="O377" i="14" s="1"/>
  <c r="P377" i="14" s="1"/>
  <c r="N378" i="14"/>
  <c r="O378" i="14" s="1"/>
  <c r="P378" i="14" s="1"/>
  <c r="N379" i="14"/>
  <c r="O379" i="14" s="1"/>
  <c r="P379" i="14" s="1"/>
  <c r="N380" i="14"/>
  <c r="O380" i="14" s="1"/>
  <c r="P380" i="14" s="1"/>
  <c r="N381" i="14"/>
  <c r="O381" i="14" s="1"/>
  <c r="P381" i="14" s="1"/>
  <c r="N382" i="14"/>
  <c r="O382" i="14" s="1"/>
  <c r="P382" i="14" s="1"/>
  <c r="N383" i="14"/>
  <c r="O383" i="14" s="1"/>
  <c r="P383" i="14" s="1"/>
  <c r="N384" i="14"/>
  <c r="O384" i="14" s="1"/>
  <c r="P384" i="14" s="1"/>
  <c r="N385" i="14"/>
  <c r="O385" i="14" s="1"/>
  <c r="P385" i="14" s="1"/>
  <c r="N386" i="14"/>
  <c r="O386" i="14" s="1"/>
  <c r="P386" i="14" s="1"/>
  <c r="N387" i="14"/>
  <c r="O387" i="14" s="1"/>
  <c r="P387" i="14" s="1"/>
  <c r="N388" i="14"/>
  <c r="O388" i="14" s="1"/>
  <c r="P388" i="14" s="1"/>
  <c r="N389" i="14"/>
  <c r="O389" i="14" s="1"/>
  <c r="P389" i="14" s="1"/>
  <c r="N390" i="14"/>
  <c r="O390" i="14" s="1"/>
  <c r="P390" i="14" s="1"/>
  <c r="N391" i="14"/>
  <c r="O391" i="14" s="1"/>
  <c r="P391" i="14" s="1"/>
  <c r="N392" i="14"/>
  <c r="O392" i="14" s="1"/>
  <c r="P392" i="14" s="1"/>
  <c r="N393" i="14"/>
  <c r="O393" i="14" s="1"/>
  <c r="P393" i="14" s="1"/>
  <c r="N394" i="14"/>
  <c r="O394" i="14" s="1"/>
  <c r="P394" i="14" s="1"/>
  <c r="N395" i="14"/>
  <c r="O395" i="14" s="1"/>
  <c r="P395" i="14" s="1"/>
  <c r="N396" i="14"/>
  <c r="O396" i="14" s="1"/>
  <c r="P396" i="14" s="1"/>
  <c r="N397" i="14"/>
  <c r="O397" i="14" s="1"/>
  <c r="P397" i="14" s="1"/>
  <c r="N398" i="14"/>
  <c r="O398" i="14" s="1"/>
  <c r="P398" i="14" s="1"/>
  <c r="N399" i="14"/>
  <c r="O399" i="14" s="1"/>
  <c r="P399" i="14" s="1"/>
  <c r="N400" i="14"/>
  <c r="O400" i="14" s="1"/>
  <c r="P400" i="14" s="1"/>
  <c r="N401" i="14"/>
  <c r="O401" i="14" s="1"/>
  <c r="P401" i="14" s="1"/>
  <c r="N402" i="14"/>
  <c r="O402" i="14" s="1"/>
  <c r="P402" i="14" s="1"/>
  <c r="N403" i="14"/>
  <c r="O403" i="14" s="1"/>
  <c r="P403" i="14" s="1"/>
  <c r="N404" i="14"/>
  <c r="O404" i="14" s="1"/>
  <c r="P404" i="14" s="1"/>
  <c r="N405" i="14"/>
  <c r="O405" i="14" s="1"/>
  <c r="P405" i="14" s="1"/>
  <c r="N406" i="14"/>
  <c r="O406" i="14" s="1"/>
  <c r="P406" i="14" s="1"/>
  <c r="N407" i="14"/>
  <c r="O407" i="14" s="1"/>
  <c r="P407" i="14" s="1"/>
  <c r="N408" i="14"/>
  <c r="O408" i="14" s="1"/>
  <c r="P408" i="14" s="1"/>
  <c r="N409" i="14"/>
  <c r="O409" i="14" s="1"/>
  <c r="P409" i="14" s="1"/>
  <c r="N410" i="14"/>
  <c r="O410" i="14" s="1"/>
  <c r="P410" i="14" s="1"/>
  <c r="N411" i="14"/>
  <c r="O411" i="14" s="1"/>
  <c r="P411" i="14" s="1"/>
  <c r="N412" i="14"/>
  <c r="O412" i="14" s="1"/>
  <c r="P412" i="14" s="1"/>
  <c r="N413" i="14"/>
  <c r="O413" i="14" s="1"/>
  <c r="P413" i="14" s="1"/>
  <c r="N414" i="14"/>
  <c r="O414" i="14" s="1"/>
  <c r="P414" i="14" s="1"/>
  <c r="N415" i="14"/>
  <c r="O415" i="14" s="1"/>
  <c r="P415" i="14" s="1"/>
  <c r="N416" i="14"/>
  <c r="O416" i="14" s="1"/>
  <c r="P416" i="14" s="1"/>
  <c r="N417" i="14"/>
  <c r="O417" i="14" s="1"/>
  <c r="P417" i="14" s="1"/>
  <c r="N418" i="14"/>
  <c r="O418" i="14" s="1"/>
  <c r="P418" i="14" s="1"/>
  <c r="N419" i="14"/>
  <c r="O419" i="14" s="1"/>
  <c r="P419" i="14" s="1"/>
  <c r="N420" i="14"/>
  <c r="O420" i="14" s="1"/>
  <c r="P420" i="14" s="1"/>
  <c r="N421" i="14"/>
  <c r="O421" i="14" s="1"/>
  <c r="P421" i="14" s="1"/>
  <c r="N422" i="14"/>
  <c r="O422" i="14" s="1"/>
  <c r="P422" i="14" s="1"/>
  <c r="N423" i="14"/>
  <c r="O423" i="14" s="1"/>
  <c r="P423" i="14" s="1"/>
  <c r="N424" i="14"/>
  <c r="O424" i="14" s="1"/>
  <c r="P424" i="14" s="1"/>
  <c r="N425" i="14"/>
  <c r="O425" i="14" s="1"/>
  <c r="P425" i="14" s="1"/>
  <c r="N426" i="14"/>
  <c r="O426" i="14" s="1"/>
  <c r="P426" i="14" s="1"/>
  <c r="N427" i="14"/>
  <c r="O427" i="14" s="1"/>
  <c r="P427" i="14" s="1"/>
  <c r="N428" i="14"/>
  <c r="O428" i="14" s="1"/>
  <c r="P428" i="14" s="1"/>
  <c r="N429" i="14"/>
  <c r="O429" i="14" s="1"/>
  <c r="P429" i="14" s="1"/>
  <c r="N430" i="14"/>
  <c r="O430" i="14" s="1"/>
  <c r="P430" i="14" s="1"/>
  <c r="N431" i="14"/>
  <c r="O431" i="14" s="1"/>
  <c r="P431" i="14" s="1"/>
  <c r="N432" i="14"/>
  <c r="O432" i="14" s="1"/>
  <c r="P432" i="14" s="1"/>
  <c r="N433" i="14"/>
  <c r="O433" i="14" s="1"/>
  <c r="P433" i="14" s="1"/>
  <c r="N434" i="14"/>
  <c r="O434" i="14" s="1"/>
  <c r="P434" i="14" s="1"/>
  <c r="N435" i="14"/>
  <c r="O435" i="14" s="1"/>
  <c r="P435" i="14" s="1"/>
  <c r="N436" i="14"/>
  <c r="O436" i="14" s="1"/>
  <c r="P436" i="14" s="1"/>
  <c r="N437" i="14"/>
  <c r="O437" i="14" s="1"/>
  <c r="P437" i="14" s="1"/>
  <c r="N438" i="14"/>
  <c r="O438" i="14" s="1"/>
  <c r="P438" i="14" s="1"/>
  <c r="N439" i="14"/>
  <c r="O439" i="14" s="1"/>
  <c r="P439" i="14" s="1"/>
  <c r="N440" i="14"/>
  <c r="O440" i="14" s="1"/>
  <c r="P440" i="14" s="1"/>
  <c r="N441" i="14"/>
  <c r="O441" i="14" s="1"/>
  <c r="P441" i="14" s="1"/>
  <c r="N442" i="14"/>
  <c r="O442" i="14" s="1"/>
  <c r="P442" i="14" s="1"/>
  <c r="N443" i="14"/>
  <c r="O443" i="14" s="1"/>
  <c r="P443" i="14" s="1"/>
  <c r="N444" i="14"/>
  <c r="O444" i="14" s="1"/>
  <c r="P444" i="14" s="1"/>
  <c r="N445" i="14"/>
  <c r="O445" i="14" s="1"/>
  <c r="P445" i="14" s="1"/>
  <c r="N446" i="14"/>
  <c r="O446" i="14" s="1"/>
  <c r="P446" i="14" s="1"/>
  <c r="N447" i="14"/>
  <c r="O447" i="14" s="1"/>
  <c r="P447" i="14" s="1"/>
  <c r="N448" i="14"/>
  <c r="O448" i="14" s="1"/>
  <c r="P448" i="14" s="1"/>
  <c r="N449" i="14"/>
  <c r="O449" i="14" s="1"/>
  <c r="P449" i="14" s="1"/>
  <c r="N450" i="14"/>
  <c r="O450" i="14" s="1"/>
  <c r="P450" i="14" s="1"/>
  <c r="N451" i="14"/>
  <c r="O451" i="14" s="1"/>
  <c r="P451" i="14" s="1"/>
  <c r="N452" i="14"/>
  <c r="O452" i="14" s="1"/>
  <c r="P452" i="14" s="1"/>
  <c r="N453" i="14"/>
  <c r="O453" i="14" s="1"/>
  <c r="P453" i="14" s="1"/>
  <c r="N454" i="14"/>
  <c r="O454" i="14" s="1"/>
  <c r="P454" i="14" s="1"/>
  <c r="N455" i="14"/>
  <c r="O455" i="14" s="1"/>
  <c r="P455" i="14" s="1"/>
  <c r="N456" i="14"/>
  <c r="O456" i="14" s="1"/>
  <c r="P456" i="14" s="1"/>
  <c r="N457" i="14"/>
  <c r="O457" i="14" s="1"/>
  <c r="P457" i="14" s="1"/>
  <c r="N458" i="14"/>
  <c r="O458" i="14" s="1"/>
  <c r="P458" i="14" s="1"/>
  <c r="N459" i="14"/>
  <c r="O459" i="14" s="1"/>
  <c r="P459" i="14" s="1"/>
  <c r="N460" i="14"/>
  <c r="O460" i="14" s="1"/>
  <c r="P460" i="14" s="1"/>
  <c r="N461" i="14"/>
  <c r="O461" i="14" s="1"/>
  <c r="P461" i="14" s="1"/>
  <c r="N462" i="14"/>
  <c r="O462" i="14" s="1"/>
  <c r="P462" i="14" s="1"/>
  <c r="N463" i="14"/>
  <c r="O463" i="14" s="1"/>
  <c r="P463" i="14" s="1"/>
  <c r="N464" i="14"/>
  <c r="O464" i="14" s="1"/>
  <c r="P464" i="14" s="1"/>
  <c r="N465" i="14"/>
  <c r="O465" i="14" s="1"/>
  <c r="P465" i="14" s="1"/>
  <c r="N466" i="14"/>
  <c r="O466" i="14" s="1"/>
  <c r="P466" i="14" s="1"/>
  <c r="N467" i="14"/>
  <c r="O467" i="14" s="1"/>
  <c r="P467" i="14" s="1"/>
  <c r="N468" i="14"/>
  <c r="O468" i="14" s="1"/>
  <c r="P468" i="14" s="1"/>
  <c r="N469" i="14"/>
  <c r="O469" i="14" s="1"/>
  <c r="P469" i="14" s="1"/>
  <c r="N470" i="14"/>
  <c r="O470" i="14" s="1"/>
  <c r="P470" i="14" s="1"/>
  <c r="N471" i="14"/>
  <c r="O471" i="14" s="1"/>
  <c r="P471" i="14" s="1"/>
  <c r="N472" i="14"/>
  <c r="O472" i="14" s="1"/>
  <c r="P472" i="14" s="1"/>
  <c r="N473" i="14"/>
  <c r="O473" i="14" s="1"/>
  <c r="P473" i="14" s="1"/>
  <c r="N474" i="14"/>
  <c r="O474" i="14" s="1"/>
  <c r="P474" i="14" s="1"/>
  <c r="N475" i="14"/>
  <c r="O475" i="14" s="1"/>
  <c r="P475" i="14" s="1"/>
  <c r="N476" i="14"/>
  <c r="O476" i="14" s="1"/>
  <c r="P476" i="14" s="1"/>
  <c r="N477" i="14"/>
  <c r="O477" i="14" s="1"/>
  <c r="P477" i="14" s="1"/>
  <c r="N478" i="14"/>
  <c r="O478" i="14" s="1"/>
  <c r="P478" i="14" s="1"/>
  <c r="N479" i="14"/>
  <c r="O479" i="14" s="1"/>
  <c r="P479" i="14" s="1"/>
  <c r="N480" i="14"/>
  <c r="O480" i="14" s="1"/>
  <c r="P480" i="14" s="1"/>
  <c r="N481" i="14"/>
  <c r="O481" i="14" s="1"/>
  <c r="P481" i="14" s="1"/>
  <c r="N482" i="14"/>
  <c r="O482" i="14" s="1"/>
  <c r="P482" i="14" s="1"/>
  <c r="N483" i="14"/>
  <c r="O483" i="14" s="1"/>
  <c r="P483" i="14" s="1"/>
  <c r="N484" i="14"/>
  <c r="O484" i="14" s="1"/>
  <c r="P484" i="14" s="1"/>
  <c r="N485" i="14"/>
  <c r="O485" i="14" s="1"/>
  <c r="P485" i="14" s="1"/>
  <c r="N486" i="14"/>
  <c r="O486" i="14" s="1"/>
  <c r="P486" i="14" s="1"/>
  <c r="N487" i="14"/>
  <c r="O487" i="14" s="1"/>
  <c r="P487" i="14" s="1"/>
  <c r="N488" i="14"/>
  <c r="O488" i="14" s="1"/>
  <c r="P488" i="14" s="1"/>
  <c r="N489" i="14"/>
  <c r="O489" i="14" s="1"/>
  <c r="P489" i="14" s="1"/>
  <c r="N490" i="14"/>
  <c r="O490" i="14" s="1"/>
  <c r="P490" i="14" s="1"/>
  <c r="N491" i="14"/>
  <c r="O491" i="14" s="1"/>
  <c r="P491" i="14" s="1"/>
  <c r="N492" i="14"/>
  <c r="O492" i="14" s="1"/>
  <c r="P492" i="14" s="1"/>
  <c r="N493" i="14"/>
  <c r="O493" i="14" s="1"/>
  <c r="P493" i="14" s="1"/>
  <c r="N494" i="14"/>
  <c r="O494" i="14" s="1"/>
  <c r="P494" i="14" s="1"/>
  <c r="N495" i="14"/>
  <c r="O495" i="14" s="1"/>
  <c r="P495" i="14" s="1"/>
  <c r="N496" i="14"/>
  <c r="O496" i="14" s="1"/>
  <c r="P496" i="14" s="1"/>
  <c r="N497" i="14"/>
  <c r="O497" i="14" s="1"/>
  <c r="P497" i="14" s="1"/>
  <c r="N498" i="14"/>
  <c r="O498" i="14" s="1"/>
  <c r="P498" i="14" s="1"/>
  <c r="N499" i="14"/>
  <c r="O499" i="14" s="1"/>
  <c r="P499" i="14" s="1"/>
  <c r="N500" i="14"/>
  <c r="O500" i="14" s="1"/>
  <c r="P500" i="14" s="1"/>
  <c r="N501" i="14"/>
  <c r="O501" i="14" s="1"/>
  <c r="P501" i="14" s="1"/>
  <c r="N502" i="14"/>
  <c r="O502" i="14" s="1"/>
  <c r="P502" i="14" s="1"/>
  <c r="N503" i="14"/>
  <c r="O503" i="14" s="1"/>
  <c r="P503" i="14" s="1"/>
  <c r="N504" i="14"/>
  <c r="O504" i="14" s="1"/>
  <c r="P504" i="14" s="1"/>
  <c r="N505" i="14"/>
  <c r="O505" i="14" s="1"/>
  <c r="P505" i="14" s="1"/>
  <c r="N506" i="14"/>
  <c r="O506" i="14" s="1"/>
  <c r="P506" i="14" s="1"/>
  <c r="N507" i="14"/>
  <c r="O507" i="14" s="1"/>
  <c r="P507" i="14" s="1"/>
  <c r="N508" i="14"/>
  <c r="O508" i="14" s="1"/>
  <c r="P508" i="14" s="1"/>
  <c r="N509" i="14"/>
  <c r="O509" i="14" s="1"/>
  <c r="P509" i="14" s="1"/>
  <c r="N510" i="14"/>
  <c r="O510" i="14" s="1"/>
  <c r="P510" i="14" s="1"/>
  <c r="N511" i="14"/>
  <c r="O511" i="14" s="1"/>
  <c r="P511" i="14" s="1"/>
  <c r="N512" i="14"/>
  <c r="O512" i="14" s="1"/>
  <c r="P512" i="14" s="1"/>
  <c r="N513" i="14"/>
  <c r="O513" i="14" s="1"/>
  <c r="P513" i="14" s="1"/>
  <c r="N514" i="14"/>
  <c r="O514" i="14" s="1"/>
  <c r="P514" i="14" s="1"/>
  <c r="N515" i="14"/>
  <c r="O515" i="14" s="1"/>
  <c r="P515" i="14" s="1"/>
  <c r="N516" i="14"/>
  <c r="O516" i="14" s="1"/>
  <c r="P516" i="14" s="1"/>
  <c r="N517" i="14"/>
  <c r="O517" i="14" s="1"/>
  <c r="P517" i="14" s="1"/>
  <c r="N518" i="14"/>
  <c r="O518" i="14" s="1"/>
  <c r="P518" i="14" s="1"/>
  <c r="N519" i="14"/>
  <c r="O519" i="14" s="1"/>
  <c r="P519" i="14" s="1"/>
  <c r="N520" i="14"/>
  <c r="O520" i="14" s="1"/>
  <c r="P520" i="14" s="1"/>
  <c r="N521" i="14"/>
  <c r="O521" i="14" s="1"/>
  <c r="P521" i="14" s="1"/>
  <c r="N522" i="14"/>
  <c r="O522" i="14" s="1"/>
  <c r="P522" i="14" s="1"/>
  <c r="N523" i="14"/>
  <c r="O523" i="14" s="1"/>
  <c r="P523" i="14" s="1"/>
  <c r="N524" i="14"/>
  <c r="O524" i="14" s="1"/>
  <c r="P524" i="14" s="1"/>
  <c r="N525" i="14"/>
  <c r="O525" i="14" s="1"/>
  <c r="P525" i="14" s="1"/>
  <c r="N526" i="14"/>
  <c r="O526" i="14" s="1"/>
  <c r="P526" i="14" s="1"/>
  <c r="N527" i="14"/>
  <c r="O527" i="14" s="1"/>
  <c r="P527" i="14" s="1"/>
  <c r="N528" i="14"/>
  <c r="O528" i="14" s="1"/>
  <c r="P528" i="14" s="1"/>
  <c r="N529" i="14"/>
  <c r="O529" i="14" s="1"/>
  <c r="P529" i="14" s="1"/>
  <c r="N530" i="14"/>
  <c r="O530" i="14" s="1"/>
  <c r="P530" i="14" s="1"/>
  <c r="N531" i="14"/>
  <c r="O531" i="14" s="1"/>
  <c r="P531" i="14" s="1"/>
  <c r="N532" i="14"/>
  <c r="O532" i="14" s="1"/>
  <c r="P532" i="14" s="1"/>
  <c r="N533" i="14"/>
  <c r="O533" i="14" s="1"/>
  <c r="P533" i="14" s="1"/>
  <c r="N534" i="14"/>
  <c r="O534" i="14" s="1"/>
  <c r="P534" i="14" s="1"/>
  <c r="N535" i="14"/>
  <c r="O535" i="14" s="1"/>
  <c r="P535" i="14" s="1"/>
  <c r="N536" i="14"/>
  <c r="O536" i="14" s="1"/>
  <c r="P536" i="14" s="1"/>
  <c r="N537" i="14"/>
  <c r="O537" i="14" s="1"/>
  <c r="P537" i="14" s="1"/>
  <c r="N538" i="14"/>
  <c r="O538" i="14" s="1"/>
  <c r="P538" i="14" s="1"/>
  <c r="N539" i="14"/>
  <c r="O539" i="14" s="1"/>
  <c r="P539" i="14" s="1"/>
  <c r="N540" i="14"/>
  <c r="O540" i="14" s="1"/>
  <c r="P540" i="14" s="1"/>
  <c r="N541" i="14"/>
  <c r="O541" i="14" s="1"/>
  <c r="P541" i="14" s="1"/>
  <c r="N542" i="14"/>
  <c r="O542" i="14" s="1"/>
  <c r="P542" i="14" s="1"/>
  <c r="N543" i="14"/>
  <c r="O543" i="14" s="1"/>
  <c r="P543" i="14" s="1"/>
  <c r="N544" i="14"/>
  <c r="O544" i="14" s="1"/>
  <c r="P544" i="14" s="1"/>
  <c r="N545" i="14"/>
  <c r="O545" i="14" s="1"/>
  <c r="P545" i="14" s="1"/>
  <c r="N546" i="14"/>
  <c r="O546" i="14" s="1"/>
  <c r="P546" i="14" s="1"/>
  <c r="N547" i="14"/>
  <c r="O547" i="14" s="1"/>
  <c r="P547" i="14" s="1"/>
  <c r="N548" i="14"/>
  <c r="O548" i="14" s="1"/>
  <c r="P548" i="14" s="1"/>
  <c r="N549" i="14"/>
  <c r="O549" i="14" s="1"/>
  <c r="P549" i="14" s="1"/>
  <c r="N550" i="14"/>
  <c r="O550" i="14" s="1"/>
  <c r="P550" i="14" s="1"/>
  <c r="N551" i="14"/>
  <c r="O551" i="14" s="1"/>
  <c r="P551" i="14" s="1"/>
  <c r="N552" i="14"/>
  <c r="O552" i="14" s="1"/>
  <c r="P552" i="14" s="1"/>
  <c r="N553" i="14"/>
  <c r="O553" i="14" s="1"/>
  <c r="P553" i="14" s="1"/>
  <c r="N554" i="14"/>
  <c r="O554" i="14" s="1"/>
  <c r="P554" i="14" s="1"/>
  <c r="N555" i="14"/>
  <c r="O555" i="14" s="1"/>
  <c r="P555" i="14" s="1"/>
  <c r="N556" i="14"/>
  <c r="O556" i="14" s="1"/>
  <c r="P556" i="14" s="1"/>
  <c r="N557" i="14"/>
  <c r="O557" i="14" s="1"/>
  <c r="P557" i="14" s="1"/>
  <c r="N558" i="14"/>
  <c r="O558" i="14" s="1"/>
  <c r="P558" i="14" s="1"/>
  <c r="N559" i="14"/>
  <c r="O559" i="14" s="1"/>
  <c r="P559" i="14" s="1"/>
  <c r="N560" i="14"/>
  <c r="O560" i="14" s="1"/>
  <c r="P560" i="14" s="1"/>
  <c r="N561" i="14"/>
  <c r="O561" i="14" s="1"/>
  <c r="P561" i="14" s="1"/>
  <c r="N562" i="14"/>
  <c r="O562" i="14" s="1"/>
  <c r="P562" i="14" s="1"/>
  <c r="N563" i="14"/>
  <c r="O563" i="14" s="1"/>
  <c r="P563" i="14" s="1"/>
  <c r="N564" i="14"/>
  <c r="O564" i="14" s="1"/>
  <c r="P564" i="14" s="1"/>
  <c r="N565" i="14"/>
  <c r="O565" i="14" s="1"/>
  <c r="P565" i="14" s="1"/>
  <c r="N566" i="14"/>
  <c r="O566" i="14" s="1"/>
  <c r="P566" i="14" s="1"/>
  <c r="N567" i="14"/>
  <c r="O567" i="14" s="1"/>
  <c r="P567" i="14" s="1"/>
  <c r="N568" i="14"/>
  <c r="O568" i="14" s="1"/>
  <c r="P568" i="14" s="1"/>
  <c r="N569" i="14"/>
  <c r="O569" i="14" s="1"/>
  <c r="P569" i="14" s="1"/>
  <c r="N570" i="14"/>
  <c r="O570" i="14" s="1"/>
  <c r="P570" i="14" s="1"/>
  <c r="N571" i="14"/>
  <c r="O571" i="14" s="1"/>
  <c r="P571" i="14" s="1"/>
  <c r="N572" i="14"/>
  <c r="O572" i="14" s="1"/>
  <c r="P572" i="14" s="1"/>
  <c r="N573" i="14"/>
  <c r="O573" i="14" s="1"/>
  <c r="P573" i="14" s="1"/>
  <c r="N574" i="14"/>
  <c r="O574" i="14" s="1"/>
  <c r="P574" i="14" s="1"/>
  <c r="N575" i="14"/>
  <c r="O575" i="14" s="1"/>
  <c r="P575" i="14" s="1"/>
  <c r="N576" i="14"/>
  <c r="O576" i="14" s="1"/>
  <c r="P576" i="14" s="1"/>
  <c r="N577" i="14"/>
  <c r="O577" i="14" s="1"/>
  <c r="P577" i="14" s="1"/>
  <c r="N578" i="14"/>
  <c r="O578" i="14" s="1"/>
  <c r="P578" i="14" s="1"/>
  <c r="N579" i="14"/>
  <c r="O579" i="14" s="1"/>
  <c r="P579" i="14" s="1"/>
  <c r="N580" i="14"/>
  <c r="O580" i="14" s="1"/>
  <c r="P580" i="14" s="1"/>
  <c r="N581" i="14"/>
  <c r="O581" i="14" s="1"/>
  <c r="P581" i="14" s="1"/>
  <c r="N582" i="14"/>
  <c r="O582" i="14" s="1"/>
  <c r="P582" i="14" s="1"/>
  <c r="N583" i="14"/>
  <c r="O583" i="14" s="1"/>
  <c r="P583" i="14" s="1"/>
  <c r="N584" i="14"/>
  <c r="O584" i="14" s="1"/>
  <c r="P584" i="14" s="1"/>
  <c r="N585" i="14"/>
  <c r="O585" i="14" s="1"/>
  <c r="P585" i="14" s="1"/>
  <c r="N586" i="14"/>
  <c r="O586" i="14" s="1"/>
  <c r="P586" i="14" s="1"/>
  <c r="N587" i="14"/>
  <c r="O587" i="14" s="1"/>
  <c r="P587" i="14" s="1"/>
  <c r="N588" i="14"/>
  <c r="O588" i="14" s="1"/>
  <c r="P588" i="14" s="1"/>
  <c r="N589" i="14"/>
  <c r="O589" i="14" s="1"/>
  <c r="P589" i="14" s="1"/>
  <c r="N590" i="14"/>
  <c r="O590" i="14" s="1"/>
  <c r="P590" i="14" s="1"/>
  <c r="N591" i="14"/>
  <c r="O591" i="14" s="1"/>
  <c r="P591" i="14" s="1"/>
  <c r="N592" i="14"/>
  <c r="O592" i="14" s="1"/>
  <c r="P592" i="14" s="1"/>
  <c r="N593" i="14"/>
  <c r="O593" i="14" s="1"/>
  <c r="P593" i="14" s="1"/>
  <c r="N594" i="14"/>
  <c r="O594" i="14" s="1"/>
  <c r="P594" i="14" s="1"/>
  <c r="N595" i="14"/>
  <c r="O595" i="14" s="1"/>
  <c r="P595" i="14" s="1"/>
  <c r="N596" i="14"/>
  <c r="O596" i="14" s="1"/>
  <c r="P596" i="14" s="1"/>
  <c r="N597" i="14"/>
  <c r="O597" i="14" s="1"/>
  <c r="P597" i="14" s="1"/>
  <c r="N598" i="14"/>
  <c r="O598" i="14" s="1"/>
  <c r="P598" i="14" s="1"/>
  <c r="N599" i="14"/>
  <c r="O599" i="14" s="1"/>
  <c r="P599" i="14" s="1"/>
  <c r="N600" i="14"/>
  <c r="O600" i="14" s="1"/>
  <c r="P600" i="14" s="1"/>
  <c r="N601" i="14"/>
  <c r="O601" i="14" s="1"/>
  <c r="P601" i="14" s="1"/>
  <c r="N602" i="14"/>
  <c r="O602" i="14" s="1"/>
  <c r="P602" i="14" s="1"/>
  <c r="N603" i="14"/>
  <c r="O603" i="14" s="1"/>
  <c r="P603" i="14" s="1"/>
  <c r="N604" i="14"/>
  <c r="O604" i="14" s="1"/>
  <c r="P604" i="14" s="1"/>
  <c r="N605" i="14"/>
  <c r="O605" i="14" s="1"/>
  <c r="P605" i="14" s="1"/>
  <c r="N606" i="14"/>
  <c r="O606" i="14" s="1"/>
  <c r="P606" i="14" s="1"/>
  <c r="N607" i="14"/>
  <c r="O607" i="14" s="1"/>
  <c r="P607" i="14" s="1"/>
  <c r="N608" i="14"/>
  <c r="O608" i="14" s="1"/>
  <c r="P608" i="14" s="1"/>
  <c r="N609" i="14"/>
  <c r="O609" i="14" s="1"/>
  <c r="P609" i="14" s="1"/>
  <c r="N610" i="14"/>
  <c r="O610" i="14" s="1"/>
  <c r="P610" i="14" s="1"/>
  <c r="N611" i="14"/>
  <c r="O611" i="14" s="1"/>
  <c r="P611" i="14" s="1"/>
  <c r="N297" i="14"/>
  <c r="O297" i="14" s="1"/>
  <c r="P297" i="14" s="1"/>
  <c r="N612" i="14"/>
  <c r="O612" i="14" s="1"/>
  <c r="P612" i="14" s="1"/>
  <c r="N613" i="14"/>
  <c r="O613" i="14" s="1"/>
  <c r="P613" i="14" s="1"/>
  <c r="N614" i="14"/>
  <c r="O614" i="14" s="1"/>
  <c r="P614" i="14" s="1"/>
  <c r="N615" i="14"/>
  <c r="O615" i="14" s="1"/>
  <c r="P615" i="14" s="1"/>
  <c r="N616" i="14"/>
  <c r="O616" i="14" s="1"/>
  <c r="P616" i="14" s="1"/>
  <c r="N617" i="14"/>
  <c r="O617" i="14" s="1"/>
  <c r="P617" i="14" s="1"/>
  <c r="N618" i="14"/>
  <c r="O618" i="14" s="1"/>
  <c r="P618" i="14" s="1"/>
  <c r="N619" i="14"/>
  <c r="O619" i="14" s="1"/>
  <c r="P619" i="14" s="1"/>
  <c r="N620" i="14"/>
  <c r="O620" i="14" s="1"/>
  <c r="P620" i="14" s="1"/>
  <c r="N621" i="14"/>
  <c r="O621" i="14" s="1"/>
  <c r="P621" i="14" s="1"/>
  <c r="N622" i="14"/>
  <c r="O622" i="14" s="1"/>
  <c r="P622" i="14" s="1"/>
  <c r="N623" i="14"/>
  <c r="O623" i="14" s="1"/>
  <c r="P623" i="14" s="1"/>
  <c r="N624" i="14"/>
  <c r="O624" i="14" s="1"/>
  <c r="P624" i="14" s="1"/>
  <c r="N625" i="14"/>
  <c r="O625" i="14" s="1"/>
  <c r="P625" i="14" s="1"/>
  <c r="N626" i="14"/>
  <c r="O626" i="14" s="1"/>
  <c r="P626" i="14" s="1"/>
  <c r="N627" i="14"/>
  <c r="O627" i="14" s="1"/>
  <c r="P627" i="14" s="1"/>
  <c r="N628" i="14"/>
  <c r="O628" i="14" s="1"/>
  <c r="P628" i="14" s="1"/>
  <c r="N629" i="14"/>
  <c r="O629" i="14" s="1"/>
  <c r="P629" i="14" s="1"/>
  <c r="N630" i="14"/>
  <c r="O630" i="14" s="1"/>
  <c r="P630" i="14" s="1"/>
  <c r="N631" i="14"/>
  <c r="O631" i="14" s="1"/>
  <c r="P631" i="14" s="1"/>
  <c r="N632" i="14"/>
  <c r="O632" i="14" s="1"/>
  <c r="P632" i="14" s="1"/>
  <c r="N633" i="14"/>
  <c r="O633" i="14" s="1"/>
  <c r="P633" i="14" s="1"/>
  <c r="N634" i="14"/>
  <c r="O634" i="14" s="1"/>
  <c r="P634" i="14" s="1"/>
  <c r="N635" i="14"/>
  <c r="O635" i="14" s="1"/>
  <c r="P635" i="14" s="1"/>
  <c r="N636" i="14"/>
  <c r="O636" i="14" s="1"/>
  <c r="P636" i="14" s="1"/>
  <c r="N637" i="14"/>
  <c r="O637" i="14" s="1"/>
  <c r="P637" i="14" s="1"/>
  <c r="N638" i="14"/>
  <c r="O638" i="14" s="1"/>
  <c r="P638" i="14" s="1"/>
  <c r="N639" i="14"/>
  <c r="O639" i="14" s="1"/>
  <c r="P639" i="14" s="1"/>
  <c r="N640" i="14"/>
  <c r="O640" i="14" s="1"/>
  <c r="P640" i="14" s="1"/>
  <c r="N641" i="14"/>
  <c r="O641" i="14" s="1"/>
  <c r="P641" i="14" s="1"/>
  <c r="N642" i="14"/>
  <c r="O642" i="14" s="1"/>
  <c r="P642" i="14" s="1"/>
  <c r="N643" i="14"/>
  <c r="O643" i="14" s="1"/>
  <c r="P643" i="14" s="1"/>
  <c r="N644" i="14"/>
  <c r="O644" i="14" s="1"/>
  <c r="P644" i="14" s="1"/>
  <c r="N645" i="14"/>
  <c r="O645" i="14" s="1"/>
  <c r="P645" i="14" s="1"/>
  <c r="N646" i="14"/>
  <c r="O646" i="14" s="1"/>
  <c r="P646" i="14" s="1"/>
  <c r="N647" i="14"/>
  <c r="O647" i="14" s="1"/>
  <c r="P647" i="14" s="1"/>
  <c r="N648" i="14"/>
  <c r="O648" i="14" s="1"/>
  <c r="P648" i="14" s="1"/>
  <c r="N649" i="14"/>
  <c r="O649" i="14" s="1"/>
  <c r="P649" i="14" s="1"/>
  <c r="N650" i="14"/>
  <c r="O650" i="14" s="1"/>
  <c r="P650" i="14" s="1"/>
  <c r="N651" i="14"/>
  <c r="O651" i="14" s="1"/>
  <c r="P651" i="14" s="1"/>
  <c r="N652" i="14"/>
  <c r="O652" i="14" s="1"/>
  <c r="P652" i="14" s="1"/>
  <c r="N653" i="14"/>
  <c r="O653" i="14" s="1"/>
  <c r="P653" i="14" s="1"/>
  <c r="N654" i="14"/>
  <c r="O654" i="14" s="1"/>
  <c r="P654" i="14" s="1"/>
  <c r="N655" i="14"/>
  <c r="O655" i="14" s="1"/>
  <c r="P655" i="14" s="1"/>
  <c r="N656" i="14"/>
  <c r="O656" i="14" s="1"/>
  <c r="P656" i="14" s="1"/>
  <c r="N657" i="14"/>
  <c r="O657" i="14" s="1"/>
  <c r="P657" i="14" s="1"/>
  <c r="N658" i="14"/>
  <c r="O658" i="14" s="1"/>
  <c r="P658" i="14" s="1"/>
  <c r="N659" i="14"/>
  <c r="O659" i="14" s="1"/>
  <c r="P659" i="14" s="1"/>
  <c r="N660" i="14"/>
  <c r="O660" i="14" s="1"/>
  <c r="P660" i="14" s="1"/>
  <c r="N661" i="14"/>
  <c r="O661" i="14" s="1"/>
  <c r="P661" i="14" s="1"/>
  <c r="N662" i="14"/>
  <c r="O662" i="14" s="1"/>
  <c r="P662" i="14" s="1"/>
  <c r="N663" i="14"/>
  <c r="O663" i="14" s="1"/>
  <c r="P663" i="14" s="1"/>
  <c r="N664" i="14"/>
  <c r="O664" i="14" s="1"/>
  <c r="P664" i="14" s="1"/>
  <c r="N665" i="14"/>
  <c r="O665" i="14" s="1"/>
  <c r="P665" i="14" s="1"/>
  <c r="N666" i="14"/>
  <c r="O666" i="14" s="1"/>
  <c r="P666" i="14" s="1"/>
  <c r="N667" i="14"/>
  <c r="O667" i="14" s="1"/>
  <c r="P667" i="14" s="1"/>
  <c r="N668" i="14"/>
  <c r="O668" i="14" s="1"/>
  <c r="P668" i="14" s="1"/>
  <c r="N669" i="14"/>
  <c r="O669" i="14" s="1"/>
  <c r="P669" i="14" s="1"/>
  <c r="N670" i="14"/>
  <c r="O670" i="14" s="1"/>
  <c r="P670" i="14" s="1"/>
  <c r="N671" i="14"/>
  <c r="O671" i="14" s="1"/>
  <c r="P671" i="14" s="1"/>
  <c r="N672" i="14"/>
  <c r="O672" i="14" s="1"/>
  <c r="P672" i="14" s="1"/>
  <c r="N673" i="14"/>
  <c r="O673" i="14" s="1"/>
  <c r="P673" i="14" s="1"/>
  <c r="N674" i="14"/>
  <c r="O674" i="14" s="1"/>
  <c r="P674" i="14" s="1"/>
  <c r="N675" i="14"/>
  <c r="O675" i="14" s="1"/>
  <c r="P675" i="14" s="1"/>
  <c r="N676" i="14"/>
  <c r="O676" i="14" s="1"/>
  <c r="P676" i="14" s="1"/>
  <c r="N677" i="14"/>
  <c r="O677" i="14" s="1"/>
  <c r="P677" i="14" s="1"/>
  <c r="N678" i="14"/>
  <c r="O678" i="14" s="1"/>
  <c r="P678" i="14" s="1"/>
  <c r="N679" i="14"/>
  <c r="O679" i="14" s="1"/>
  <c r="P679" i="14" s="1"/>
  <c r="N680" i="14"/>
  <c r="O680" i="14" s="1"/>
  <c r="P680" i="14" s="1"/>
  <c r="N681" i="14"/>
  <c r="O681" i="14" s="1"/>
  <c r="P681" i="14" s="1"/>
  <c r="M3" i="14"/>
  <c r="M4" i="14"/>
  <c r="M5" i="14"/>
  <c r="M6" i="14"/>
  <c r="M300" i="14"/>
  <c r="M301" i="14"/>
  <c r="M7" i="14"/>
  <c r="M8" i="14"/>
  <c r="M9" i="14"/>
  <c r="M298" i="14"/>
  <c r="M10" i="14"/>
  <c r="M11" i="14"/>
  <c r="M12" i="14"/>
  <c r="M13" i="14"/>
  <c r="M299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297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N3" i="30"/>
  <c r="O3" i="30" s="1"/>
  <c r="P3" i="30" s="1"/>
  <c r="N333" i="30"/>
  <c r="O333" i="30" s="1"/>
  <c r="P333" i="30" s="1"/>
  <c r="N334" i="30"/>
  <c r="O334" i="30" s="1"/>
  <c r="P334" i="30" s="1"/>
  <c r="N335" i="30"/>
  <c r="O335" i="30" s="1"/>
  <c r="P335" i="30" s="1"/>
  <c r="N336" i="30"/>
  <c r="O336" i="30" s="1"/>
  <c r="P336" i="30" s="1"/>
  <c r="N337" i="30"/>
  <c r="O337" i="30" s="1"/>
  <c r="P337" i="30" s="1"/>
  <c r="N4" i="30"/>
  <c r="O4" i="30" s="1"/>
  <c r="P4" i="30" s="1"/>
  <c r="N5" i="30"/>
  <c r="O5" i="30" s="1"/>
  <c r="P5" i="30" s="1"/>
  <c r="N338" i="30"/>
  <c r="O338" i="30" s="1"/>
  <c r="P338" i="30" s="1"/>
  <c r="N6" i="30"/>
  <c r="O6" i="30" s="1"/>
  <c r="P6" i="30" s="1"/>
  <c r="N339" i="30"/>
  <c r="O339" i="30" s="1"/>
  <c r="P339" i="30" s="1"/>
  <c r="N340" i="30"/>
  <c r="O340" i="30" s="1"/>
  <c r="P340" i="30" s="1"/>
  <c r="N341" i="30"/>
  <c r="O341" i="30" s="1"/>
  <c r="P341" i="30" s="1"/>
  <c r="N342" i="30"/>
  <c r="O342" i="30" s="1"/>
  <c r="P342" i="30" s="1"/>
  <c r="N343" i="30"/>
  <c r="O343" i="30" s="1"/>
  <c r="P343" i="30" s="1"/>
  <c r="N7" i="30"/>
  <c r="O7" i="30" s="1"/>
  <c r="P7" i="30" s="1"/>
  <c r="N344" i="30"/>
  <c r="O344" i="30" s="1"/>
  <c r="P344" i="30" s="1"/>
  <c r="N8" i="30"/>
  <c r="O8" i="30" s="1"/>
  <c r="P8" i="30" s="1"/>
  <c r="N345" i="30"/>
  <c r="O345" i="30" s="1"/>
  <c r="P345" i="30" s="1"/>
  <c r="N346" i="30"/>
  <c r="O346" i="30" s="1"/>
  <c r="P346" i="30" s="1"/>
  <c r="N347" i="30"/>
  <c r="O347" i="30" s="1"/>
  <c r="P347" i="30" s="1"/>
  <c r="N9" i="30"/>
  <c r="O9" i="30" s="1"/>
  <c r="P9" i="30" s="1"/>
  <c r="N10" i="30"/>
  <c r="O10" i="30" s="1"/>
  <c r="P10" i="30" s="1"/>
  <c r="N348" i="30"/>
  <c r="O348" i="30" s="1"/>
  <c r="P348" i="30" s="1"/>
  <c r="N349" i="30"/>
  <c r="O349" i="30" s="1"/>
  <c r="P349" i="30" s="1"/>
  <c r="N11" i="30"/>
  <c r="O11" i="30" s="1"/>
  <c r="P11" i="30" s="1"/>
  <c r="N350" i="30"/>
  <c r="O350" i="30" s="1"/>
  <c r="P350" i="30" s="1"/>
  <c r="N351" i="30"/>
  <c r="O351" i="30" s="1"/>
  <c r="P351" i="30" s="1"/>
  <c r="N352" i="30"/>
  <c r="O352" i="30" s="1"/>
  <c r="P352" i="30" s="1"/>
  <c r="N353" i="30"/>
  <c r="O353" i="30" s="1"/>
  <c r="P353" i="30" s="1"/>
  <c r="N12" i="30"/>
  <c r="O12" i="30" s="1"/>
  <c r="P12" i="30" s="1"/>
  <c r="N13" i="30"/>
  <c r="O13" i="30" s="1"/>
  <c r="P13" i="30" s="1"/>
  <c r="N354" i="30"/>
  <c r="O354" i="30" s="1"/>
  <c r="P354" i="30" s="1"/>
  <c r="N355" i="30"/>
  <c r="O355" i="30" s="1"/>
  <c r="P355" i="30" s="1"/>
  <c r="N14" i="30"/>
  <c r="O14" i="30" s="1"/>
  <c r="P14" i="30" s="1"/>
  <c r="N356" i="30"/>
  <c r="O356" i="30" s="1"/>
  <c r="P356" i="30" s="1"/>
  <c r="N15" i="30"/>
  <c r="O15" i="30" s="1"/>
  <c r="P15" i="30" s="1"/>
  <c r="N357" i="30"/>
  <c r="O357" i="30" s="1"/>
  <c r="P357" i="30" s="1"/>
  <c r="N358" i="30"/>
  <c r="O358" i="30" s="1"/>
  <c r="P358" i="30" s="1"/>
  <c r="N16" i="30"/>
  <c r="O16" i="30" s="1"/>
  <c r="P16" i="30" s="1"/>
  <c r="N359" i="30"/>
  <c r="O359" i="30" s="1"/>
  <c r="P359" i="30" s="1"/>
  <c r="N360" i="30"/>
  <c r="O360" i="30" s="1"/>
  <c r="P360" i="30" s="1"/>
  <c r="N361" i="30"/>
  <c r="O361" i="30" s="1"/>
  <c r="P361" i="30" s="1"/>
  <c r="N17" i="30"/>
  <c r="O17" i="30" s="1"/>
  <c r="P17" i="30" s="1"/>
  <c r="N362" i="30"/>
  <c r="O362" i="30" s="1"/>
  <c r="P362" i="30" s="1"/>
  <c r="N363" i="30"/>
  <c r="O363" i="30" s="1"/>
  <c r="P363" i="30" s="1"/>
  <c r="N364" i="30"/>
  <c r="O364" i="30" s="1"/>
  <c r="P364" i="30" s="1"/>
  <c r="N365" i="30"/>
  <c r="O365" i="30" s="1"/>
  <c r="P365" i="30" s="1"/>
  <c r="N366" i="30"/>
  <c r="O366" i="30" s="1"/>
  <c r="P366" i="30" s="1"/>
  <c r="N18" i="30"/>
  <c r="O18" i="30" s="1"/>
  <c r="P18" i="30" s="1"/>
  <c r="N19" i="30"/>
  <c r="O19" i="30" s="1"/>
  <c r="P19" i="30" s="1"/>
  <c r="N20" i="30"/>
  <c r="O20" i="30" s="1"/>
  <c r="P20" i="30" s="1"/>
  <c r="N21" i="30"/>
  <c r="O21" i="30" s="1"/>
  <c r="P21" i="30" s="1"/>
  <c r="N22" i="30"/>
  <c r="O22" i="30" s="1"/>
  <c r="P22" i="30" s="1"/>
  <c r="N23" i="30"/>
  <c r="O23" i="30" s="1"/>
  <c r="P23" i="30" s="1"/>
  <c r="N24" i="30"/>
  <c r="O24" i="30" s="1"/>
  <c r="P24" i="30" s="1"/>
  <c r="N25" i="30"/>
  <c r="O25" i="30" s="1"/>
  <c r="P25" i="30" s="1"/>
  <c r="N26" i="30"/>
  <c r="O26" i="30" s="1"/>
  <c r="P26" i="30" s="1"/>
  <c r="N27" i="30"/>
  <c r="O27" i="30" s="1"/>
  <c r="P27" i="30" s="1"/>
  <c r="N28" i="30"/>
  <c r="O28" i="30" s="1"/>
  <c r="P28" i="30" s="1"/>
  <c r="N367" i="30"/>
  <c r="O367" i="30" s="1"/>
  <c r="P367" i="30" s="1"/>
  <c r="N29" i="30"/>
  <c r="O29" i="30" s="1"/>
  <c r="P29" i="30" s="1"/>
  <c r="N30" i="30"/>
  <c r="O30" i="30" s="1"/>
  <c r="P30" i="30" s="1"/>
  <c r="N368" i="30"/>
  <c r="O368" i="30" s="1"/>
  <c r="P368" i="30" s="1"/>
  <c r="N369" i="30"/>
  <c r="O369" i="30" s="1"/>
  <c r="P369" i="30" s="1"/>
  <c r="N370" i="30"/>
  <c r="O370" i="30" s="1"/>
  <c r="P370" i="30" s="1"/>
  <c r="N371" i="30"/>
  <c r="O371" i="30" s="1"/>
  <c r="P371" i="30" s="1"/>
  <c r="N372" i="30"/>
  <c r="O372" i="30" s="1"/>
  <c r="P372" i="30" s="1"/>
  <c r="N373" i="30"/>
  <c r="O373" i="30" s="1"/>
  <c r="P373" i="30" s="1"/>
  <c r="N31" i="30"/>
  <c r="O31" i="30" s="1"/>
  <c r="P31" i="30" s="1"/>
  <c r="N374" i="30"/>
  <c r="O374" i="30" s="1"/>
  <c r="P374" i="30" s="1"/>
  <c r="N375" i="30"/>
  <c r="O375" i="30" s="1"/>
  <c r="P375" i="30" s="1"/>
  <c r="N32" i="30"/>
  <c r="O32" i="30" s="1"/>
  <c r="P32" i="30" s="1"/>
  <c r="N33" i="30"/>
  <c r="O33" i="30" s="1"/>
  <c r="P33" i="30" s="1"/>
  <c r="N376" i="30"/>
  <c r="O376" i="30" s="1"/>
  <c r="P376" i="30" s="1"/>
  <c r="N377" i="30"/>
  <c r="O377" i="30" s="1"/>
  <c r="P377" i="30" s="1"/>
  <c r="N378" i="30"/>
  <c r="O378" i="30" s="1"/>
  <c r="P378" i="30" s="1"/>
  <c r="N34" i="30"/>
  <c r="O34" i="30" s="1"/>
  <c r="P34" i="30" s="1"/>
  <c r="N379" i="30"/>
  <c r="O379" i="30" s="1"/>
  <c r="P379" i="30" s="1"/>
  <c r="N380" i="30"/>
  <c r="O380" i="30" s="1"/>
  <c r="P380" i="30" s="1"/>
  <c r="N381" i="30"/>
  <c r="O381" i="30" s="1"/>
  <c r="P381" i="30" s="1"/>
  <c r="N382" i="30"/>
  <c r="O382" i="30" s="1"/>
  <c r="P382" i="30" s="1"/>
  <c r="N383" i="30"/>
  <c r="O383" i="30" s="1"/>
  <c r="P383" i="30" s="1"/>
  <c r="N384" i="30"/>
  <c r="O384" i="30" s="1"/>
  <c r="P384" i="30" s="1"/>
  <c r="N385" i="30"/>
  <c r="O385" i="30" s="1"/>
  <c r="P385" i="30" s="1"/>
  <c r="N35" i="30"/>
  <c r="O35" i="30" s="1"/>
  <c r="P35" i="30" s="1"/>
  <c r="N386" i="30"/>
  <c r="O386" i="30" s="1"/>
  <c r="P386" i="30" s="1"/>
  <c r="N387" i="30"/>
  <c r="O387" i="30" s="1"/>
  <c r="P387" i="30" s="1"/>
  <c r="N388" i="30"/>
  <c r="O388" i="30" s="1"/>
  <c r="P388" i="30" s="1"/>
  <c r="N36" i="30"/>
  <c r="O36" i="30" s="1"/>
  <c r="P36" i="30" s="1"/>
  <c r="N389" i="30"/>
  <c r="O389" i="30" s="1"/>
  <c r="P389" i="30" s="1"/>
  <c r="N390" i="30"/>
  <c r="O390" i="30" s="1"/>
  <c r="P390" i="30" s="1"/>
  <c r="N391" i="30"/>
  <c r="O391" i="30" s="1"/>
  <c r="P391" i="30" s="1"/>
  <c r="N37" i="30"/>
  <c r="O37" i="30" s="1"/>
  <c r="P37" i="30" s="1"/>
  <c r="N392" i="30"/>
  <c r="O392" i="30" s="1"/>
  <c r="P392" i="30" s="1"/>
  <c r="N393" i="30"/>
  <c r="O393" i="30" s="1"/>
  <c r="P393" i="30" s="1"/>
  <c r="N394" i="30"/>
  <c r="O394" i="30" s="1"/>
  <c r="P394" i="30" s="1"/>
  <c r="N395" i="30"/>
  <c r="O395" i="30" s="1"/>
  <c r="P395" i="30" s="1"/>
  <c r="N396" i="30"/>
  <c r="O396" i="30" s="1"/>
  <c r="P396" i="30" s="1"/>
  <c r="N397" i="30"/>
  <c r="O397" i="30" s="1"/>
  <c r="P397" i="30" s="1"/>
  <c r="N398" i="30"/>
  <c r="O398" i="30" s="1"/>
  <c r="P398" i="30" s="1"/>
  <c r="N38" i="30"/>
  <c r="O38" i="30" s="1"/>
  <c r="P38" i="30" s="1"/>
  <c r="N39" i="30"/>
  <c r="O39" i="30" s="1"/>
  <c r="P39" i="30" s="1"/>
  <c r="N399" i="30"/>
  <c r="O399" i="30" s="1"/>
  <c r="P399" i="30" s="1"/>
  <c r="N400" i="30"/>
  <c r="O400" i="30" s="1"/>
  <c r="P400" i="30" s="1"/>
  <c r="N401" i="30"/>
  <c r="O401" i="30" s="1"/>
  <c r="P401" i="30" s="1"/>
  <c r="N40" i="30"/>
  <c r="O40" i="30" s="1"/>
  <c r="P40" i="30" s="1"/>
  <c r="N402" i="30"/>
  <c r="O402" i="30" s="1"/>
  <c r="P402" i="30" s="1"/>
  <c r="N403" i="30"/>
  <c r="O403" i="30" s="1"/>
  <c r="P403" i="30" s="1"/>
  <c r="N331" i="30"/>
  <c r="O331" i="30" s="1"/>
  <c r="P331" i="30" s="1"/>
  <c r="N404" i="30"/>
  <c r="O404" i="30" s="1"/>
  <c r="P404" i="30" s="1"/>
  <c r="N41" i="30"/>
  <c r="O41" i="30" s="1"/>
  <c r="P41" i="30" s="1"/>
  <c r="N405" i="30"/>
  <c r="O405" i="30" s="1"/>
  <c r="P405" i="30" s="1"/>
  <c r="N42" i="30"/>
  <c r="O42" i="30" s="1"/>
  <c r="P42" i="30" s="1"/>
  <c r="N406" i="30"/>
  <c r="O406" i="30" s="1"/>
  <c r="P406" i="30" s="1"/>
  <c r="N407" i="30"/>
  <c r="O407" i="30" s="1"/>
  <c r="P407" i="30" s="1"/>
  <c r="N43" i="30"/>
  <c r="O43" i="30" s="1"/>
  <c r="P43" i="30" s="1"/>
  <c r="N408" i="30"/>
  <c r="O408" i="30" s="1"/>
  <c r="P408" i="30" s="1"/>
  <c r="N409" i="30"/>
  <c r="O409" i="30" s="1"/>
  <c r="P409" i="30" s="1"/>
  <c r="N44" i="30"/>
  <c r="O44" i="30" s="1"/>
  <c r="P44" i="30" s="1"/>
  <c r="N410" i="30"/>
  <c r="O410" i="30" s="1"/>
  <c r="P410" i="30" s="1"/>
  <c r="N411" i="30"/>
  <c r="O411" i="30" s="1"/>
  <c r="P411" i="30" s="1"/>
  <c r="N412" i="30"/>
  <c r="O412" i="30" s="1"/>
  <c r="P412" i="30" s="1"/>
  <c r="N413" i="30"/>
  <c r="O413" i="30" s="1"/>
  <c r="P413" i="30" s="1"/>
  <c r="N45" i="30"/>
  <c r="O45" i="30" s="1"/>
  <c r="P45" i="30" s="1"/>
  <c r="N46" i="30"/>
  <c r="O46" i="30" s="1"/>
  <c r="P46" i="30" s="1"/>
  <c r="N414" i="30"/>
  <c r="O414" i="30" s="1"/>
  <c r="P414" i="30" s="1"/>
  <c r="N415" i="30"/>
  <c r="O415" i="30" s="1"/>
  <c r="P415" i="30" s="1"/>
  <c r="N416" i="30"/>
  <c r="O416" i="30" s="1"/>
  <c r="P416" i="30" s="1"/>
  <c r="N47" i="30"/>
  <c r="O47" i="30" s="1"/>
  <c r="P47" i="30" s="1"/>
  <c r="N417" i="30"/>
  <c r="O417" i="30" s="1"/>
  <c r="P417" i="30" s="1"/>
  <c r="N48" i="30"/>
  <c r="O48" i="30" s="1"/>
  <c r="P48" i="30" s="1"/>
  <c r="N49" i="30"/>
  <c r="O49" i="30" s="1"/>
  <c r="P49" i="30" s="1"/>
  <c r="N332" i="30"/>
  <c r="O332" i="30" s="1"/>
  <c r="P332" i="30" s="1"/>
  <c r="N418" i="30"/>
  <c r="O418" i="30" s="1"/>
  <c r="P418" i="30" s="1"/>
  <c r="N419" i="30"/>
  <c r="O419" i="30" s="1"/>
  <c r="P419" i="30" s="1"/>
  <c r="N420" i="30"/>
  <c r="O420" i="30" s="1"/>
  <c r="P420" i="30" s="1"/>
  <c r="N50" i="30"/>
  <c r="O50" i="30" s="1"/>
  <c r="P50" i="30" s="1"/>
  <c r="N421" i="30"/>
  <c r="O421" i="30" s="1"/>
  <c r="P421" i="30" s="1"/>
  <c r="N51" i="30"/>
  <c r="O51" i="30" s="1"/>
  <c r="P51" i="30" s="1"/>
  <c r="N422" i="30"/>
  <c r="O422" i="30" s="1"/>
  <c r="P422" i="30" s="1"/>
  <c r="N423" i="30"/>
  <c r="O423" i="30" s="1"/>
  <c r="P423" i="30" s="1"/>
  <c r="N424" i="30"/>
  <c r="O424" i="30" s="1"/>
  <c r="P424" i="30" s="1"/>
  <c r="N52" i="30"/>
  <c r="O52" i="30" s="1"/>
  <c r="P52" i="30" s="1"/>
  <c r="N425" i="30"/>
  <c r="O425" i="30" s="1"/>
  <c r="P425" i="30" s="1"/>
  <c r="N426" i="30"/>
  <c r="O426" i="30" s="1"/>
  <c r="P426" i="30" s="1"/>
  <c r="N53" i="30"/>
  <c r="O53" i="30" s="1"/>
  <c r="P53" i="30" s="1"/>
  <c r="N54" i="30"/>
  <c r="O54" i="30" s="1"/>
  <c r="P54" i="30" s="1"/>
  <c r="N55" i="30"/>
  <c r="O55" i="30" s="1"/>
  <c r="P55" i="30" s="1"/>
  <c r="N427" i="30"/>
  <c r="O427" i="30" s="1"/>
  <c r="P427" i="30" s="1"/>
  <c r="N56" i="30"/>
  <c r="O56" i="30" s="1"/>
  <c r="P56" i="30" s="1"/>
  <c r="N57" i="30"/>
  <c r="O57" i="30" s="1"/>
  <c r="P57" i="30" s="1"/>
  <c r="N428" i="30"/>
  <c r="O428" i="30" s="1"/>
  <c r="P428" i="30" s="1"/>
  <c r="N429" i="30"/>
  <c r="O429" i="30" s="1"/>
  <c r="P429" i="30" s="1"/>
  <c r="N430" i="30"/>
  <c r="O430" i="30" s="1"/>
  <c r="P430" i="30" s="1"/>
  <c r="N58" i="30"/>
  <c r="O58" i="30" s="1"/>
  <c r="P58" i="30" s="1"/>
  <c r="N59" i="30"/>
  <c r="O59" i="30" s="1"/>
  <c r="P59" i="30" s="1"/>
  <c r="N60" i="30"/>
  <c r="O60" i="30" s="1"/>
  <c r="P60" i="30" s="1"/>
  <c r="N61" i="30"/>
  <c r="O61" i="30" s="1"/>
  <c r="P61" i="30" s="1"/>
  <c r="N431" i="30"/>
  <c r="O431" i="30" s="1"/>
  <c r="P431" i="30" s="1"/>
  <c r="N432" i="30"/>
  <c r="O432" i="30" s="1"/>
  <c r="P432" i="30" s="1"/>
  <c r="N433" i="30"/>
  <c r="O433" i="30" s="1"/>
  <c r="P433" i="30" s="1"/>
  <c r="N62" i="30"/>
  <c r="O62" i="30" s="1"/>
  <c r="P62" i="30" s="1"/>
  <c r="N63" i="30"/>
  <c r="O63" i="30" s="1"/>
  <c r="P63" i="30" s="1"/>
  <c r="N434" i="30"/>
  <c r="O434" i="30" s="1"/>
  <c r="P434" i="30" s="1"/>
  <c r="N64" i="30"/>
  <c r="O64" i="30" s="1"/>
  <c r="P64" i="30" s="1"/>
  <c r="N65" i="30"/>
  <c r="O65" i="30" s="1"/>
  <c r="P65" i="30" s="1"/>
  <c r="N435" i="30"/>
  <c r="O435" i="30" s="1"/>
  <c r="P435" i="30" s="1"/>
  <c r="N436" i="30"/>
  <c r="O436" i="30" s="1"/>
  <c r="P436" i="30" s="1"/>
  <c r="N66" i="30"/>
  <c r="O66" i="30" s="1"/>
  <c r="P66" i="30" s="1"/>
  <c r="N437" i="30"/>
  <c r="O437" i="30" s="1"/>
  <c r="P437" i="30" s="1"/>
  <c r="N438" i="30"/>
  <c r="O438" i="30" s="1"/>
  <c r="P438" i="30" s="1"/>
  <c r="N67" i="30"/>
  <c r="O67" i="30" s="1"/>
  <c r="P67" i="30" s="1"/>
  <c r="N68" i="30"/>
  <c r="O68" i="30" s="1"/>
  <c r="P68" i="30" s="1"/>
  <c r="N69" i="30"/>
  <c r="O69" i="30" s="1"/>
  <c r="P69" i="30" s="1"/>
  <c r="N70" i="30"/>
  <c r="O70" i="30" s="1"/>
  <c r="P70" i="30" s="1"/>
  <c r="N439" i="30"/>
  <c r="O439" i="30" s="1"/>
  <c r="P439" i="30" s="1"/>
  <c r="N440" i="30"/>
  <c r="O440" i="30" s="1"/>
  <c r="P440" i="30" s="1"/>
  <c r="N71" i="30"/>
  <c r="O71" i="30" s="1"/>
  <c r="P71" i="30" s="1"/>
  <c r="N441" i="30"/>
  <c r="O441" i="30" s="1"/>
  <c r="P441" i="30" s="1"/>
  <c r="N72" i="30"/>
  <c r="O72" i="30" s="1"/>
  <c r="P72" i="30" s="1"/>
  <c r="N442" i="30"/>
  <c r="O442" i="30" s="1"/>
  <c r="P442" i="30" s="1"/>
  <c r="N443" i="30"/>
  <c r="O443" i="30" s="1"/>
  <c r="P443" i="30" s="1"/>
  <c r="N73" i="30"/>
  <c r="O73" i="30" s="1"/>
  <c r="P73" i="30" s="1"/>
  <c r="N74" i="30"/>
  <c r="O74" i="30" s="1"/>
  <c r="P74" i="30" s="1"/>
  <c r="N75" i="30"/>
  <c r="O75" i="30" s="1"/>
  <c r="P75" i="30" s="1"/>
  <c r="N444" i="30"/>
  <c r="O444" i="30" s="1"/>
  <c r="P444" i="30" s="1"/>
  <c r="N76" i="30"/>
  <c r="O76" i="30" s="1"/>
  <c r="P76" i="30" s="1"/>
  <c r="N77" i="30"/>
  <c r="O77" i="30" s="1"/>
  <c r="P77" i="30" s="1"/>
  <c r="N445" i="30"/>
  <c r="O445" i="30" s="1"/>
  <c r="P445" i="30" s="1"/>
  <c r="N446" i="30"/>
  <c r="O446" i="30" s="1"/>
  <c r="P446" i="30" s="1"/>
  <c r="N447" i="30"/>
  <c r="O447" i="30" s="1"/>
  <c r="P447" i="30" s="1"/>
  <c r="N448" i="30"/>
  <c r="O448" i="30" s="1"/>
  <c r="P448" i="30" s="1"/>
  <c r="N449" i="30"/>
  <c r="O449" i="30" s="1"/>
  <c r="P449" i="30" s="1"/>
  <c r="N450" i="30"/>
  <c r="O450" i="30" s="1"/>
  <c r="P450" i="30" s="1"/>
  <c r="N78" i="30"/>
  <c r="O78" i="30" s="1"/>
  <c r="P78" i="30" s="1"/>
  <c r="N79" i="30"/>
  <c r="O79" i="30" s="1"/>
  <c r="P79" i="30" s="1"/>
  <c r="N451" i="30"/>
  <c r="O451" i="30" s="1"/>
  <c r="P451" i="30" s="1"/>
  <c r="N80" i="30"/>
  <c r="O80" i="30" s="1"/>
  <c r="P80" i="30" s="1"/>
  <c r="N452" i="30"/>
  <c r="O452" i="30" s="1"/>
  <c r="P452" i="30" s="1"/>
  <c r="N453" i="30"/>
  <c r="O453" i="30" s="1"/>
  <c r="P453" i="30" s="1"/>
  <c r="N454" i="30"/>
  <c r="O454" i="30" s="1"/>
  <c r="P454" i="30" s="1"/>
  <c r="N81" i="30"/>
  <c r="O81" i="30" s="1"/>
  <c r="P81" i="30" s="1"/>
  <c r="N82" i="30"/>
  <c r="O82" i="30" s="1"/>
  <c r="P82" i="30" s="1"/>
  <c r="N455" i="30"/>
  <c r="O455" i="30" s="1"/>
  <c r="P455" i="30" s="1"/>
  <c r="N83" i="30"/>
  <c r="O83" i="30" s="1"/>
  <c r="P83" i="30" s="1"/>
  <c r="N456" i="30"/>
  <c r="O456" i="30" s="1"/>
  <c r="P456" i="30" s="1"/>
  <c r="N457" i="30"/>
  <c r="O457" i="30" s="1"/>
  <c r="P457" i="30" s="1"/>
  <c r="N458" i="30"/>
  <c r="O458" i="30" s="1"/>
  <c r="P458" i="30" s="1"/>
  <c r="N84" i="30"/>
  <c r="O84" i="30" s="1"/>
  <c r="P84" i="30" s="1"/>
  <c r="N459" i="30"/>
  <c r="O459" i="30" s="1"/>
  <c r="P459" i="30" s="1"/>
  <c r="N460" i="30"/>
  <c r="O460" i="30" s="1"/>
  <c r="P460" i="30" s="1"/>
  <c r="N85" i="30"/>
  <c r="O85" i="30" s="1"/>
  <c r="P85" i="30" s="1"/>
  <c r="N461" i="30"/>
  <c r="O461" i="30" s="1"/>
  <c r="P461" i="30" s="1"/>
  <c r="N462" i="30"/>
  <c r="O462" i="30" s="1"/>
  <c r="P462" i="30" s="1"/>
  <c r="N86" i="30"/>
  <c r="O86" i="30" s="1"/>
  <c r="P86" i="30" s="1"/>
  <c r="N463" i="30"/>
  <c r="O463" i="30" s="1"/>
  <c r="P463" i="30" s="1"/>
  <c r="N464" i="30"/>
  <c r="O464" i="30" s="1"/>
  <c r="P464" i="30" s="1"/>
  <c r="N465" i="30"/>
  <c r="O465" i="30" s="1"/>
  <c r="P465" i="30" s="1"/>
  <c r="N466" i="30"/>
  <c r="O466" i="30" s="1"/>
  <c r="P466" i="30" s="1"/>
  <c r="N467" i="30"/>
  <c r="O467" i="30" s="1"/>
  <c r="P467" i="30" s="1"/>
  <c r="N468" i="30"/>
  <c r="O468" i="30" s="1"/>
  <c r="P468" i="30" s="1"/>
  <c r="N87" i="30"/>
  <c r="O87" i="30" s="1"/>
  <c r="P87" i="30" s="1"/>
  <c r="N469" i="30"/>
  <c r="O469" i="30" s="1"/>
  <c r="P469" i="30" s="1"/>
  <c r="N470" i="30"/>
  <c r="O470" i="30" s="1"/>
  <c r="P470" i="30" s="1"/>
  <c r="N88" i="30"/>
  <c r="O88" i="30" s="1"/>
  <c r="P88" i="30" s="1"/>
  <c r="N471" i="30"/>
  <c r="O471" i="30" s="1"/>
  <c r="P471" i="30" s="1"/>
  <c r="N89" i="30"/>
  <c r="O89" i="30" s="1"/>
  <c r="P89" i="30" s="1"/>
  <c r="N90" i="30"/>
  <c r="O90" i="30" s="1"/>
  <c r="P90" i="30" s="1"/>
  <c r="N91" i="30"/>
  <c r="O91" i="30" s="1"/>
  <c r="P91" i="30" s="1"/>
  <c r="N92" i="30"/>
  <c r="O92" i="30" s="1"/>
  <c r="P92" i="30" s="1"/>
  <c r="N93" i="30"/>
  <c r="O93" i="30" s="1"/>
  <c r="P93" i="30" s="1"/>
  <c r="N472" i="30"/>
  <c r="O472" i="30" s="1"/>
  <c r="P472" i="30" s="1"/>
  <c r="N473" i="30"/>
  <c r="O473" i="30" s="1"/>
  <c r="P473" i="30" s="1"/>
  <c r="N94" i="30"/>
  <c r="O94" i="30" s="1"/>
  <c r="P94" i="30" s="1"/>
  <c r="N474" i="30"/>
  <c r="O474" i="30" s="1"/>
  <c r="P474" i="30" s="1"/>
  <c r="N475" i="30"/>
  <c r="O475" i="30" s="1"/>
  <c r="P475" i="30" s="1"/>
  <c r="N476" i="30"/>
  <c r="O476" i="30" s="1"/>
  <c r="P476" i="30" s="1"/>
  <c r="N477" i="30"/>
  <c r="O477" i="30" s="1"/>
  <c r="P477" i="30" s="1"/>
  <c r="N478" i="30"/>
  <c r="O478" i="30" s="1"/>
  <c r="P478" i="30" s="1"/>
  <c r="N479" i="30"/>
  <c r="O479" i="30" s="1"/>
  <c r="P479" i="30" s="1"/>
  <c r="N480" i="30"/>
  <c r="O480" i="30" s="1"/>
  <c r="P480" i="30" s="1"/>
  <c r="N481" i="30"/>
  <c r="O481" i="30" s="1"/>
  <c r="P481" i="30" s="1"/>
  <c r="N482" i="30"/>
  <c r="O482" i="30" s="1"/>
  <c r="P482" i="30" s="1"/>
  <c r="N483" i="30"/>
  <c r="O483" i="30" s="1"/>
  <c r="P483" i="30" s="1"/>
  <c r="N484" i="30"/>
  <c r="O484" i="30" s="1"/>
  <c r="P484" i="30" s="1"/>
  <c r="N485" i="30"/>
  <c r="O485" i="30" s="1"/>
  <c r="P485" i="30" s="1"/>
  <c r="N486" i="30"/>
  <c r="O486" i="30" s="1"/>
  <c r="P486" i="30" s="1"/>
  <c r="N487" i="30"/>
  <c r="O487" i="30" s="1"/>
  <c r="P487" i="30" s="1"/>
  <c r="N488" i="30"/>
  <c r="O488" i="30" s="1"/>
  <c r="P488" i="30" s="1"/>
  <c r="N489" i="30"/>
  <c r="O489" i="30" s="1"/>
  <c r="P489" i="30" s="1"/>
  <c r="N490" i="30"/>
  <c r="O490" i="30" s="1"/>
  <c r="P490" i="30" s="1"/>
  <c r="N491" i="30"/>
  <c r="O491" i="30" s="1"/>
  <c r="P491" i="30" s="1"/>
  <c r="N492" i="30"/>
  <c r="O492" i="30" s="1"/>
  <c r="P492" i="30" s="1"/>
  <c r="N493" i="30"/>
  <c r="O493" i="30" s="1"/>
  <c r="P493" i="30" s="1"/>
  <c r="N494" i="30"/>
  <c r="O494" i="30" s="1"/>
  <c r="P494" i="30" s="1"/>
  <c r="N495" i="30"/>
  <c r="O495" i="30" s="1"/>
  <c r="P495" i="30" s="1"/>
  <c r="N496" i="30"/>
  <c r="O496" i="30" s="1"/>
  <c r="P496" i="30" s="1"/>
  <c r="N497" i="30"/>
  <c r="O497" i="30" s="1"/>
  <c r="P497" i="30" s="1"/>
  <c r="N95" i="30"/>
  <c r="O95" i="30" s="1"/>
  <c r="P95" i="30" s="1"/>
  <c r="N96" i="30"/>
  <c r="O96" i="30" s="1"/>
  <c r="P96" i="30" s="1"/>
  <c r="N498" i="30"/>
  <c r="O498" i="30" s="1"/>
  <c r="P498" i="30" s="1"/>
  <c r="N499" i="30"/>
  <c r="O499" i="30" s="1"/>
  <c r="P499" i="30" s="1"/>
  <c r="N500" i="30"/>
  <c r="O500" i="30" s="1"/>
  <c r="P500" i="30" s="1"/>
  <c r="N97" i="30"/>
  <c r="O97" i="30" s="1"/>
  <c r="P97" i="30" s="1"/>
  <c r="N98" i="30"/>
  <c r="O98" i="30" s="1"/>
  <c r="P98" i="30" s="1"/>
  <c r="N501" i="30"/>
  <c r="O501" i="30" s="1"/>
  <c r="P501" i="30" s="1"/>
  <c r="N502" i="30"/>
  <c r="O502" i="30" s="1"/>
  <c r="P502" i="30" s="1"/>
  <c r="N503" i="30"/>
  <c r="O503" i="30" s="1"/>
  <c r="P503" i="30" s="1"/>
  <c r="N504" i="30"/>
  <c r="O504" i="30" s="1"/>
  <c r="P504" i="30" s="1"/>
  <c r="N505" i="30"/>
  <c r="O505" i="30" s="1"/>
  <c r="P505" i="30" s="1"/>
  <c r="N506" i="30"/>
  <c r="O506" i="30" s="1"/>
  <c r="P506" i="30" s="1"/>
  <c r="N507" i="30"/>
  <c r="O507" i="30" s="1"/>
  <c r="P507" i="30" s="1"/>
  <c r="N508" i="30"/>
  <c r="O508" i="30" s="1"/>
  <c r="P508" i="30" s="1"/>
  <c r="N509" i="30"/>
  <c r="O509" i="30" s="1"/>
  <c r="P509" i="30" s="1"/>
  <c r="N99" i="30"/>
  <c r="O99" i="30" s="1"/>
  <c r="P99" i="30" s="1"/>
  <c r="N510" i="30"/>
  <c r="O510" i="30" s="1"/>
  <c r="P510" i="30" s="1"/>
  <c r="N100" i="30"/>
  <c r="O100" i="30" s="1"/>
  <c r="P100" i="30" s="1"/>
  <c r="N511" i="30"/>
  <c r="O511" i="30" s="1"/>
  <c r="P511" i="30" s="1"/>
  <c r="N101" i="30"/>
  <c r="O101" i="30" s="1"/>
  <c r="P101" i="30" s="1"/>
  <c r="N512" i="30"/>
  <c r="O512" i="30" s="1"/>
  <c r="P512" i="30" s="1"/>
  <c r="N513" i="30"/>
  <c r="O513" i="30" s="1"/>
  <c r="P513" i="30" s="1"/>
  <c r="N102" i="30"/>
  <c r="O102" i="30" s="1"/>
  <c r="P102" i="30" s="1"/>
  <c r="N514" i="30"/>
  <c r="O514" i="30" s="1"/>
  <c r="P514" i="30" s="1"/>
  <c r="N103" i="30"/>
  <c r="O103" i="30" s="1"/>
  <c r="P103" i="30" s="1"/>
  <c r="N515" i="30"/>
  <c r="O515" i="30" s="1"/>
  <c r="P515" i="30" s="1"/>
  <c r="N516" i="30"/>
  <c r="O516" i="30" s="1"/>
  <c r="P516" i="30" s="1"/>
  <c r="N517" i="30"/>
  <c r="O517" i="30" s="1"/>
  <c r="P517" i="30" s="1"/>
  <c r="N518" i="30"/>
  <c r="O518" i="30" s="1"/>
  <c r="P518" i="30" s="1"/>
  <c r="N519" i="30"/>
  <c r="O519" i="30" s="1"/>
  <c r="P519" i="30" s="1"/>
  <c r="N104" i="30"/>
  <c r="O104" i="30" s="1"/>
  <c r="P104" i="30" s="1"/>
  <c r="N520" i="30"/>
  <c r="O520" i="30" s="1"/>
  <c r="P520" i="30" s="1"/>
  <c r="N521" i="30"/>
  <c r="O521" i="30" s="1"/>
  <c r="P521" i="30" s="1"/>
  <c r="N522" i="30"/>
  <c r="O522" i="30" s="1"/>
  <c r="P522" i="30" s="1"/>
  <c r="N105" i="30"/>
  <c r="O105" i="30" s="1"/>
  <c r="P105" i="30" s="1"/>
  <c r="N523" i="30"/>
  <c r="O523" i="30" s="1"/>
  <c r="P523" i="30" s="1"/>
  <c r="N524" i="30"/>
  <c r="O524" i="30" s="1"/>
  <c r="P524" i="30" s="1"/>
  <c r="N106" i="30"/>
  <c r="O106" i="30" s="1"/>
  <c r="P106" i="30" s="1"/>
  <c r="N525" i="30"/>
  <c r="O525" i="30" s="1"/>
  <c r="P525" i="30" s="1"/>
  <c r="N526" i="30"/>
  <c r="O526" i="30" s="1"/>
  <c r="P526" i="30" s="1"/>
  <c r="N527" i="30"/>
  <c r="O527" i="30" s="1"/>
  <c r="P527" i="30" s="1"/>
  <c r="N528" i="30"/>
  <c r="O528" i="30" s="1"/>
  <c r="P528" i="30" s="1"/>
  <c r="N529" i="30"/>
  <c r="O529" i="30" s="1"/>
  <c r="P529" i="30" s="1"/>
  <c r="N530" i="30"/>
  <c r="O530" i="30" s="1"/>
  <c r="P530" i="30" s="1"/>
  <c r="N531" i="30"/>
  <c r="O531" i="30" s="1"/>
  <c r="P531" i="30" s="1"/>
  <c r="N532" i="30"/>
  <c r="O532" i="30" s="1"/>
  <c r="P532" i="30" s="1"/>
  <c r="N533" i="30"/>
  <c r="O533" i="30" s="1"/>
  <c r="P533" i="30" s="1"/>
  <c r="N534" i="30"/>
  <c r="O534" i="30" s="1"/>
  <c r="P534" i="30" s="1"/>
  <c r="N535" i="30"/>
  <c r="O535" i="30" s="1"/>
  <c r="P535" i="30" s="1"/>
  <c r="N536" i="30"/>
  <c r="O536" i="30" s="1"/>
  <c r="P536" i="30" s="1"/>
  <c r="N107" i="30"/>
  <c r="O107" i="30" s="1"/>
  <c r="P107" i="30" s="1"/>
  <c r="N537" i="30"/>
  <c r="O537" i="30" s="1"/>
  <c r="P537" i="30" s="1"/>
  <c r="N108" i="30"/>
  <c r="O108" i="30" s="1"/>
  <c r="P108" i="30" s="1"/>
  <c r="N538" i="30"/>
  <c r="O538" i="30" s="1"/>
  <c r="P538" i="30" s="1"/>
  <c r="N109" i="30"/>
  <c r="O109" i="30" s="1"/>
  <c r="P109" i="30" s="1"/>
  <c r="N539" i="30"/>
  <c r="O539" i="30" s="1"/>
  <c r="P539" i="30" s="1"/>
  <c r="N540" i="30"/>
  <c r="O540" i="30" s="1"/>
  <c r="P540" i="30" s="1"/>
  <c r="N110" i="30"/>
  <c r="O110" i="30" s="1"/>
  <c r="P110" i="30" s="1"/>
  <c r="N541" i="30"/>
  <c r="O541" i="30" s="1"/>
  <c r="P541" i="30" s="1"/>
  <c r="N542" i="30"/>
  <c r="O542" i="30" s="1"/>
  <c r="P542" i="30" s="1"/>
  <c r="N543" i="30"/>
  <c r="O543" i="30" s="1"/>
  <c r="P543" i="30" s="1"/>
  <c r="N111" i="30"/>
  <c r="O111" i="30" s="1"/>
  <c r="P111" i="30" s="1"/>
  <c r="N112" i="30"/>
  <c r="O112" i="30" s="1"/>
  <c r="P112" i="30" s="1"/>
  <c r="N113" i="30"/>
  <c r="O113" i="30" s="1"/>
  <c r="P113" i="30" s="1"/>
  <c r="N544" i="30"/>
  <c r="O544" i="30" s="1"/>
  <c r="P544" i="30" s="1"/>
  <c r="N114" i="30"/>
  <c r="O114" i="30" s="1"/>
  <c r="P114" i="30" s="1"/>
  <c r="N115" i="30"/>
  <c r="O115" i="30" s="1"/>
  <c r="P115" i="30" s="1"/>
  <c r="N545" i="30"/>
  <c r="O545" i="30" s="1"/>
  <c r="P545" i="30" s="1"/>
  <c r="N546" i="30"/>
  <c r="O546" i="30" s="1"/>
  <c r="P546" i="30" s="1"/>
  <c r="N116" i="30"/>
  <c r="O116" i="30" s="1"/>
  <c r="P116" i="30" s="1"/>
  <c r="N117" i="30"/>
  <c r="O117" i="30" s="1"/>
  <c r="P117" i="30" s="1"/>
  <c r="N118" i="30"/>
  <c r="O118" i="30" s="1"/>
  <c r="P118" i="30" s="1"/>
  <c r="N119" i="30"/>
  <c r="O119" i="30" s="1"/>
  <c r="P119" i="30" s="1"/>
  <c r="N120" i="30"/>
  <c r="O120" i="30" s="1"/>
  <c r="P120" i="30" s="1"/>
  <c r="N547" i="30"/>
  <c r="O547" i="30" s="1"/>
  <c r="P547" i="30" s="1"/>
  <c r="N121" i="30"/>
  <c r="O121" i="30" s="1"/>
  <c r="P121" i="30" s="1"/>
  <c r="N122" i="30"/>
  <c r="O122" i="30" s="1"/>
  <c r="P122" i="30" s="1"/>
  <c r="N123" i="30"/>
  <c r="O123" i="30" s="1"/>
  <c r="P123" i="30" s="1"/>
  <c r="N548" i="30"/>
  <c r="O548" i="30" s="1"/>
  <c r="P548" i="30" s="1"/>
  <c r="N124" i="30"/>
  <c r="O124" i="30" s="1"/>
  <c r="P124" i="30" s="1"/>
  <c r="N549" i="30"/>
  <c r="O549" i="30" s="1"/>
  <c r="P549" i="30" s="1"/>
  <c r="N125" i="30"/>
  <c r="O125" i="30" s="1"/>
  <c r="P125" i="30" s="1"/>
  <c r="N126" i="30"/>
  <c r="O126" i="30" s="1"/>
  <c r="P126" i="30" s="1"/>
  <c r="N550" i="30"/>
  <c r="O550" i="30" s="1"/>
  <c r="P550" i="30" s="1"/>
  <c r="N551" i="30"/>
  <c r="O551" i="30" s="1"/>
  <c r="P551" i="30" s="1"/>
  <c r="N552" i="30"/>
  <c r="O552" i="30" s="1"/>
  <c r="P552" i="30" s="1"/>
  <c r="N127" i="30"/>
  <c r="O127" i="30" s="1"/>
  <c r="P127" i="30" s="1"/>
  <c r="N553" i="30"/>
  <c r="O553" i="30" s="1"/>
  <c r="P553" i="30" s="1"/>
  <c r="N128" i="30"/>
  <c r="O128" i="30" s="1"/>
  <c r="P128" i="30" s="1"/>
  <c r="N554" i="30"/>
  <c r="O554" i="30" s="1"/>
  <c r="P554" i="30" s="1"/>
  <c r="N555" i="30"/>
  <c r="O555" i="30" s="1"/>
  <c r="P555" i="30" s="1"/>
  <c r="N556" i="30"/>
  <c r="O556" i="30" s="1"/>
  <c r="P556" i="30" s="1"/>
  <c r="N557" i="30"/>
  <c r="O557" i="30" s="1"/>
  <c r="P557" i="30" s="1"/>
  <c r="N558" i="30"/>
  <c r="O558" i="30" s="1"/>
  <c r="P558" i="30" s="1"/>
  <c r="N559" i="30"/>
  <c r="O559" i="30" s="1"/>
  <c r="P559" i="30" s="1"/>
  <c r="N129" i="30"/>
  <c r="O129" i="30" s="1"/>
  <c r="P129" i="30" s="1"/>
  <c r="N130" i="30"/>
  <c r="O130" i="30" s="1"/>
  <c r="P130" i="30" s="1"/>
  <c r="N560" i="30"/>
  <c r="O560" i="30" s="1"/>
  <c r="P560" i="30" s="1"/>
  <c r="N131" i="30"/>
  <c r="O131" i="30" s="1"/>
  <c r="P131" i="30" s="1"/>
  <c r="N561" i="30"/>
  <c r="O561" i="30" s="1"/>
  <c r="P561" i="30" s="1"/>
  <c r="N562" i="30"/>
  <c r="O562" i="30" s="1"/>
  <c r="P562" i="30" s="1"/>
  <c r="N132" i="30"/>
  <c r="O132" i="30" s="1"/>
  <c r="P132" i="30" s="1"/>
  <c r="N563" i="30"/>
  <c r="O563" i="30" s="1"/>
  <c r="P563" i="30" s="1"/>
  <c r="N564" i="30"/>
  <c r="O564" i="30" s="1"/>
  <c r="P564" i="30" s="1"/>
  <c r="N565" i="30"/>
  <c r="O565" i="30" s="1"/>
  <c r="P565" i="30" s="1"/>
  <c r="N566" i="30"/>
  <c r="O566" i="30" s="1"/>
  <c r="P566" i="30" s="1"/>
  <c r="N567" i="30"/>
  <c r="O567" i="30" s="1"/>
  <c r="P567" i="30" s="1"/>
  <c r="N568" i="30"/>
  <c r="O568" i="30" s="1"/>
  <c r="P568" i="30" s="1"/>
  <c r="N133" i="30"/>
  <c r="O133" i="30" s="1"/>
  <c r="P133" i="30" s="1"/>
  <c r="N569" i="30"/>
  <c r="O569" i="30" s="1"/>
  <c r="P569" i="30" s="1"/>
  <c r="N570" i="30"/>
  <c r="O570" i="30" s="1"/>
  <c r="P570" i="30" s="1"/>
  <c r="N571" i="30"/>
  <c r="O571" i="30" s="1"/>
  <c r="P571" i="30" s="1"/>
  <c r="N572" i="30"/>
  <c r="O572" i="30" s="1"/>
  <c r="P572" i="30" s="1"/>
  <c r="N134" i="30"/>
  <c r="O134" i="30" s="1"/>
  <c r="P134" i="30" s="1"/>
  <c r="N573" i="30"/>
  <c r="O573" i="30" s="1"/>
  <c r="P573" i="30" s="1"/>
  <c r="N135" i="30"/>
  <c r="O135" i="30" s="1"/>
  <c r="P135" i="30" s="1"/>
  <c r="N136" i="30"/>
  <c r="O136" i="30" s="1"/>
  <c r="P136" i="30" s="1"/>
  <c r="N137" i="30"/>
  <c r="O137" i="30" s="1"/>
  <c r="P137" i="30" s="1"/>
  <c r="N138" i="30"/>
  <c r="O138" i="30" s="1"/>
  <c r="P138" i="30" s="1"/>
  <c r="N139" i="30"/>
  <c r="O139" i="30" s="1"/>
  <c r="P139" i="30" s="1"/>
  <c r="N140" i="30"/>
  <c r="O140" i="30" s="1"/>
  <c r="P140" i="30" s="1"/>
  <c r="N141" i="30"/>
  <c r="O141" i="30" s="1"/>
  <c r="P141" i="30" s="1"/>
  <c r="N142" i="30"/>
  <c r="O142" i="30" s="1"/>
  <c r="P142" i="30" s="1"/>
  <c r="N143" i="30"/>
  <c r="O143" i="30" s="1"/>
  <c r="P143" i="30" s="1"/>
  <c r="N144" i="30"/>
  <c r="O144" i="30" s="1"/>
  <c r="P144" i="30" s="1"/>
  <c r="N145" i="30"/>
  <c r="O145" i="30" s="1"/>
  <c r="P145" i="30" s="1"/>
  <c r="N146" i="30"/>
  <c r="O146" i="30" s="1"/>
  <c r="P146" i="30" s="1"/>
  <c r="N147" i="30"/>
  <c r="O147" i="30" s="1"/>
  <c r="P147" i="30" s="1"/>
  <c r="N574" i="30"/>
  <c r="O574" i="30" s="1"/>
  <c r="P574" i="30" s="1"/>
  <c r="N575" i="30"/>
  <c r="O575" i="30" s="1"/>
  <c r="P575" i="30" s="1"/>
  <c r="N148" i="30"/>
  <c r="O148" i="30" s="1"/>
  <c r="P148" i="30" s="1"/>
  <c r="N576" i="30"/>
  <c r="O576" i="30" s="1"/>
  <c r="P576" i="30" s="1"/>
  <c r="N577" i="30"/>
  <c r="O577" i="30" s="1"/>
  <c r="P577" i="30" s="1"/>
  <c r="N578" i="30"/>
  <c r="O578" i="30" s="1"/>
  <c r="P578" i="30" s="1"/>
  <c r="N149" i="30"/>
  <c r="O149" i="30" s="1"/>
  <c r="P149" i="30" s="1"/>
  <c r="N150" i="30"/>
  <c r="O150" i="30" s="1"/>
  <c r="P150" i="30" s="1"/>
  <c r="N579" i="30"/>
  <c r="O579" i="30" s="1"/>
  <c r="P579" i="30" s="1"/>
  <c r="N580" i="30"/>
  <c r="O580" i="30" s="1"/>
  <c r="P580" i="30" s="1"/>
  <c r="N151" i="30"/>
  <c r="O151" i="30" s="1"/>
  <c r="P151" i="30" s="1"/>
  <c r="N581" i="30"/>
  <c r="O581" i="30" s="1"/>
  <c r="P581" i="30" s="1"/>
  <c r="N582" i="30"/>
  <c r="O582" i="30" s="1"/>
  <c r="P582" i="30" s="1"/>
  <c r="N583" i="30"/>
  <c r="O583" i="30" s="1"/>
  <c r="P583" i="30" s="1"/>
  <c r="N584" i="30"/>
  <c r="O584" i="30" s="1"/>
  <c r="P584" i="30" s="1"/>
  <c r="N585" i="30"/>
  <c r="O585" i="30" s="1"/>
  <c r="P585" i="30" s="1"/>
  <c r="N586" i="30"/>
  <c r="O586" i="30" s="1"/>
  <c r="P586" i="30" s="1"/>
  <c r="N587" i="30"/>
  <c r="O587" i="30" s="1"/>
  <c r="P587" i="30" s="1"/>
  <c r="N588" i="30"/>
  <c r="O588" i="30" s="1"/>
  <c r="P588" i="30" s="1"/>
  <c r="N589" i="30"/>
  <c r="O589" i="30" s="1"/>
  <c r="P589" i="30" s="1"/>
  <c r="N590" i="30"/>
  <c r="O590" i="30" s="1"/>
  <c r="P590" i="30" s="1"/>
  <c r="N152" i="30"/>
  <c r="O152" i="30" s="1"/>
  <c r="P152" i="30" s="1"/>
  <c r="N153" i="30"/>
  <c r="O153" i="30" s="1"/>
  <c r="P153" i="30" s="1"/>
  <c r="N154" i="30"/>
  <c r="O154" i="30" s="1"/>
  <c r="P154" i="30" s="1"/>
  <c r="N591" i="30"/>
  <c r="O591" i="30" s="1"/>
  <c r="P591" i="30" s="1"/>
  <c r="N592" i="30"/>
  <c r="O592" i="30" s="1"/>
  <c r="P592" i="30" s="1"/>
  <c r="N593" i="30"/>
  <c r="O593" i="30" s="1"/>
  <c r="P593" i="30" s="1"/>
  <c r="N155" i="30"/>
  <c r="O155" i="30" s="1"/>
  <c r="P155" i="30" s="1"/>
  <c r="N594" i="30"/>
  <c r="O594" i="30" s="1"/>
  <c r="P594" i="30" s="1"/>
  <c r="N595" i="30"/>
  <c r="O595" i="30" s="1"/>
  <c r="P595" i="30" s="1"/>
  <c r="N156" i="30"/>
  <c r="O156" i="30" s="1"/>
  <c r="P156" i="30" s="1"/>
  <c r="N157" i="30"/>
  <c r="O157" i="30" s="1"/>
  <c r="P157" i="30" s="1"/>
  <c r="N158" i="30"/>
  <c r="O158" i="30" s="1"/>
  <c r="P158" i="30" s="1"/>
  <c r="N159" i="30"/>
  <c r="O159" i="30" s="1"/>
  <c r="P159" i="30" s="1"/>
  <c r="N160" i="30"/>
  <c r="O160" i="30" s="1"/>
  <c r="P160" i="30" s="1"/>
  <c r="N596" i="30"/>
  <c r="O596" i="30" s="1"/>
  <c r="P596" i="30" s="1"/>
  <c r="N597" i="30"/>
  <c r="O597" i="30" s="1"/>
  <c r="P597" i="30" s="1"/>
  <c r="N598" i="30"/>
  <c r="O598" i="30" s="1"/>
  <c r="P598" i="30" s="1"/>
  <c r="N599" i="30"/>
  <c r="O599" i="30" s="1"/>
  <c r="P599" i="30" s="1"/>
  <c r="N600" i="30"/>
  <c r="O600" i="30" s="1"/>
  <c r="P600" i="30" s="1"/>
  <c r="N601" i="30"/>
  <c r="O601" i="30" s="1"/>
  <c r="P601" i="30" s="1"/>
  <c r="N602" i="30"/>
  <c r="O602" i="30" s="1"/>
  <c r="P602" i="30" s="1"/>
  <c r="N603" i="30"/>
  <c r="O603" i="30" s="1"/>
  <c r="P603" i="30" s="1"/>
  <c r="N604" i="30"/>
  <c r="O604" i="30" s="1"/>
  <c r="P604" i="30" s="1"/>
  <c r="N605" i="30"/>
  <c r="O605" i="30" s="1"/>
  <c r="P605" i="30" s="1"/>
  <c r="N606" i="30"/>
  <c r="O606" i="30" s="1"/>
  <c r="P606" i="30" s="1"/>
  <c r="N161" i="30"/>
  <c r="O161" i="30" s="1"/>
  <c r="P161" i="30" s="1"/>
  <c r="N607" i="30"/>
  <c r="O607" i="30" s="1"/>
  <c r="P607" i="30" s="1"/>
  <c r="N608" i="30"/>
  <c r="O608" i="30" s="1"/>
  <c r="P608" i="30" s="1"/>
  <c r="N609" i="30"/>
  <c r="O609" i="30" s="1"/>
  <c r="P609" i="30" s="1"/>
  <c r="N162" i="30"/>
  <c r="O162" i="30" s="1"/>
  <c r="P162" i="30" s="1"/>
  <c r="N163" i="30"/>
  <c r="O163" i="30" s="1"/>
  <c r="P163" i="30" s="1"/>
  <c r="N610" i="30"/>
  <c r="O610" i="30" s="1"/>
  <c r="P610" i="30" s="1"/>
  <c r="N164" i="30"/>
  <c r="O164" i="30" s="1"/>
  <c r="P164" i="30" s="1"/>
  <c r="N611" i="30"/>
  <c r="O611" i="30" s="1"/>
  <c r="P611" i="30" s="1"/>
  <c r="N612" i="30"/>
  <c r="O612" i="30" s="1"/>
  <c r="P612" i="30" s="1"/>
  <c r="N165" i="30"/>
  <c r="O165" i="30" s="1"/>
  <c r="P165" i="30" s="1"/>
  <c r="N613" i="30"/>
  <c r="O613" i="30" s="1"/>
  <c r="P613" i="30" s="1"/>
  <c r="N166" i="30"/>
  <c r="O166" i="30" s="1"/>
  <c r="P166" i="30" s="1"/>
  <c r="N167" i="30"/>
  <c r="O167" i="30" s="1"/>
  <c r="P167" i="30" s="1"/>
  <c r="N614" i="30"/>
  <c r="O614" i="30" s="1"/>
  <c r="P614" i="30" s="1"/>
  <c r="N615" i="30"/>
  <c r="O615" i="30" s="1"/>
  <c r="P615" i="30" s="1"/>
  <c r="N616" i="30"/>
  <c r="O616" i="30" s="1"/>
  <c r="P616" i="30" s="1"/>
  <c r="N617" i="30"/>
  <c r="O617" i="30" s="1"/>
  <c r="P617" i="30" s="1"/>
  <c r="N618" i="30"/>
  <c r="O618" i="30" s="1"/>
  <c r="P618" i="30" s="1"/>
  <c r="N619" i="30"/>
  <c r="O619" i="30" s="1"/>
  <c r="P619" i="30" s="1"/>
  <c r="N620" i="30"/>
  <c r="O620" i="30" s="1"/>
  <c r="P620" i="30" s="1"/>
  <c r="N168" i="30"/>
  <c r="O168" i="30" s="1"/>
  <c r="P168" i="30" s="1"/>
  <c r="N621" i="30"/>
  <c r="O621" i="30" s="1"/>
  <c r="P621" i="30" s="1"/>
  <c r="N622" i="30"/>
  <c r="O622" i="30" s="1"/>
  <c r="P622" i="30" s="1"/>
  <c r="N623" i="30"/>
  <c r="O623" i="30" s="1"/>
  <c r="P623" i="30" s="1"/>
  <c r="N624" i="30"/>
  <c r="O624" i="30" s="1"/>
  <c r="P624" i="30" s="1"/>
  <c r="N625" i="30"/>
  <c r="O625" i="30" s="1"/>
  <c r="P625" i="30" s="1"/>
  <c r="N169" i="30"/>
  <c r="O169" i="30" s="1"/>
  <c r="P169" i="30" s="1"/>
  <c r="N170" i="30"/>
  <c r="O170" i="30" s="1"/>
  <c r="P170" i="30" s="1"/>
  <c r="N171" i="30"/>
  <c r="O171" i="30" s="1"/>
  <c r="P171" i="30" s="1"/>
  <c r="N172" i="30"/>
  <c r="O172" i="30" s="1"/>
  <c r="P172" i="30" s="1"/>
  <c r="N626" i="30"/>
  <c r="O626" i="30" s="1"/>
  <c r="P626" i="30" s="1"/>
  <c r="N173" i="30"/>
  <c r="O173" i="30" s="1"/>
  <c r="P173" i="30" s="1"/>
  <c r="N174" i="30"/>
  <c r="O174" i="30" s="1"/>
  <c r="P174" i="30" s="1"/>
  <c r="N627" i="30"/>
  <c r="O627" i="30" s="1"/>
  <c r="P627" i="30" s="1"/>
  <c r="N628" i="30"/>
  <c r="O628" i="30" s="1"/>
  <c r="P628" i="30" s="1"/>
  <c r="N629" i="30"/>
  <c r="O629" i="30" s="1"/>
  <c r="P629" i="30" s="1"/>
  <c r="N630" i="30"/>
  <c r="O630" i="30" s="1"/>
  <c r="P630" i="30" s="1"/>
  <c r="N631" i="30"/>
  <c r="O631" i="30" s="1"/>
  <c r="P631" i="30" s="1"/>
  <c r="N632" i="30"/>
  <c r="O632" i="30" s="1"/>
  <c r="P632" i="30" s="1"/>
  <c r="N633" i="30"/>
  <c r="O633" i="30" s="1"/>
  <c r="P633" i="30" s="1"/>
  <c r="N634" i="30"/>
  <c r="O634" i="30" s="1"/>
  <c r="P634" i="30" s="1"/>
  <c r="N175" i="30"/>
  <c r="O175" i="30" s="1"/>
  <c r="P175" i="30" s="1"/>
  <c r="N176" i="30"/>
  <c r="O176" i="30" s="1"/>
  <c r="P176" i="30" s="1"/>
  <c r="N635" i="30"/>
  <c r="O635" i="30" s="1"/>
  <c r="P635" i="30" s="1"/>
  <c r="N636" i="30"/>
  <c r="O636" i="30" s="1"/>
  <c r="P636" i="30" s="1"/>
  <c r="N637" i="30"/>
  <c r="O637" i="30" s="1"/>
  <c r="P637" i="30" s="1"/>
  <c r="N638" i="30"/>
  <c r="O638" i="30" s="1"/>
  <c r="P638" i="30" s="1"/>
  <c r="N639" i="30"/>
  <c r="O639" i="30" s="1"/>
  <c r="P639" i="30" s="1"/>
  <c r="N640" i="30"/>
  <c r="O640" i="30" s="1"/>
  <c r="P640" i="30" s="1"/>
  <c r="N641" i="30"/>
  <c r="O641" i="30" s="1"/>
  <c r="P641" i="30" s="1"/>
  <c r="N177" i="30"/>
  <c r="O177" i="30" s="1"/>
  <c r="P177" i="30" s="1"/>
  <c r="N178" i="30"/>
  <c r="O178" i="30" s="1"/>
  <c r="P178" i="30" s="1"/>
  <c r="N642" i="30"/>
  <c r="O642" i="30" s="1"/>
  <c r="P642" i="30" s="1"/>
  <c r="N179" i="30"/>
  <c r="O179" i="30" s="1"/>
  <c r="P179" i="30" s="1"/>
  <c r="N180" i="30"/>
  <c r="O180" i="30" s="1"/>
  <c r="P180" i="30" s="1"/>
  <c r="N643" i="30"/>
  <c r="O643" i="30" s="1"/>
  <c r="P643" i="30" s="1"/>
  <c r="N181" i="30"/>
  <c r="O181" i="30" s="1"/>
  <c r="P181" i="30" s="1"/>
  <c r="N182" i="30"/>
  <c r="O182" i="30" s="1"/>
  <c r="P182" i="30" s="1"/>
  <c r="N644" i="30"/>
  <c r="O644" i="30" s="1"/>
  <c r="P644" i="30" s="1"/>
  <c r="N183" i="30"/>
  <c r="O183" i="30" s="1"/>
  <c r="P183" i="30" s="1"/>
  <c r="N184" i="30"/>
  <c r="O184" i="30" s="1"/>
  <c r="P184" i="30" s="1"/>
  <c r="N645" i="30"/>
  <c r="O645" i="30" s="1"/>
  <c r="P645" i="30" s="1"/>
  <c r="N185" i="30"/>
  <c r="O185" i="30" s="1"/>
  <c r="P185" i="30" s="1"/>
  <c r="N186" i="30"/>
  <c r="O186" i="30" s="1"/>
  <c r="P186" i="30" s="1"/>
  <c r="N646" i="30"/>
  <c r="O646" i="30" s="1"/>
  <c r="P646" i="30" s="1"/>
  <c r="N187" i="30"/>
  <c r="O187" i="30" s="1"/>
  <c r="P187" i="30" s="1"/>
  <c r="N188" i="30"/>
  <c r="O188" i="30" s="1"/>
  <c r="P188" i="30" s="1"/>
  <c r="N647" i="30"/>
  <c r="O647" i="30" s="1"/>
  <c r="P647" i="30" s="1"/>
  <c r="N648" i="30"/>
  <c r="O648" i="30" s="1"/>
  <c r="P648" i="30" s="1"/>
  <c r="N189" i="30"/>
  <c r="O189" i="30" s="1"/>
  <c r="P189" i="30" s="1"/>
  <c r="N190" i="30"/>
  <c r="O190" i="30" s="1"/>
  <c r="P190" i="30" s="1"/>
  <c r="N649" i="30"/>
  <c r="O649" i="30" s="1"/>
  <c r="P649" i="30" s="1"/>
  <c r="N191" i="30"/>
  <c r="O191" i="30" s="1"/>
  <c r="P191" i="30" s="1"/>
  <c r="N192" i="30"/>
  <c r="O192" i="30" s="1"/>
  <c r="P192" i="30" s="1"/>
  <c r="N193" i="30"/>
  <c r="O193" i="30" s="1"/>
  <c r="P193" i="30" s="1"/>
  <c r="N194" i="30"/>
  <c r="O194" i="30" s="1"/>
  <c r="P194" i="30" s="1"/>
  <c r="N650" i="30"/>
  <c r="O650" i="30" s="1"/>
  <c r="P650" i="30" s="1"/>
  <c r="N651" i="30"/>
  <c r="O651" i="30" s="1"/>
  <c r="P651" i="30" s="1"/>
  <c r="N652" i="30"/>
  <c r="O652" i="30" s="1"/>
  <c r="P652" i="30" s="1"/>
  <c r="N195" i="30"/>
  <c r="O195" i="30" s="1"/>
  <c r="P195" i="30" s="1"/>
  <c r="N196" i="30"/>
  <c r="O196" i="30" s="1"/>
  <c r="P196" i="30" s="1"/>
  <c r="N197" i="30"/>
  <c r="O197" i="30" s="1"/>
  <c r="P197" i="30" s="1"/>
  <c r="N653" i="30"/>
  <c r="O653" i="30" s="1"/>
  <c r="P653" i="30" s="1"/>
  <c r="N654" i="30"/>
  <c r="O654" i="30" s="1"/>
  <c r="P654" i="30" s="1"/>
  <c r="N655" i="30"/>
  <c r="O655" i="30" s="1"/>
  <c r="P655" i="30" s="1"/>
  <c r="N656" i="30"/>
  <c r="O656" i="30" s="1"/>
  <c r="P656" i="30" s="1"/>
  <c r="N657" i="30"/>
  <c r="O657" i="30" s="1"/>
  <c r="P657" i="30" s="1"/>
  <c r="N658" i="30"/>
  <c r="O658" i="30" s="1"/>
  <c r="P658" i="30" s="1"/>
  <c r="N659" i="30"/>
  <c r="O659" i="30" s="1"/>
  <c r="P659" i="30" s="1"/>
  <c r="N660" i="30"/>
  <c r="O660" i="30" s="1"/>
  <c r="P660" i="30" s="1"/>
  <c r="N661" i="30"/>
  <c r="O661" i="30" s="1"/>
  <c r="P661" i="30" s="1"/>
  <c r="N198" i="30"/>
  <c r="O198" i="30" s="1"/>
  <c r="P198" i="30" s="1"/>
  <c r="N662" i="30"/>
  <c r="O662" i="30" s="1"/>
  <c r="P662" i="30" s="1"/>
  <c r="N663" i="30"/>
  <c r="O663" i="30" s="1"/>
  <c r="P663" i="30" s="1"/>
  <c r="N199" i="30"/>
  <c r="O199" i="30" s="1"/>
  <c r="P199" i="30" s="1"/>
  <c r="N200" i="30"/>
  <c r="O200" i="30" s="1"/>
  <c r="P200" i="30" s="1"/>
  <c r="N664" i="30"/>
  <c r="O664" i="30" s="1"/>
  <c r="P664" i="30" s="1"/>
  <c r="N665" i="30"/>
  <c r="O665" i="30" s="1"/>
  <c r="P665" i="30" s="1"/>
  <c r="N666" i="30"/>
  <c r="O666" i="30" s="1"/>
  <c r="P666" i="30" s="1"/>
  <c r="N201" i="30"/>
  <c r="O201" i="30" s="1"/>
  <c r="P201" i="30" s="1"/>
  <c r="N667" i="30"/>
  <c r="O667" i="30" s="1"/>
  <c r="P667" i="30" s="1"/>
  <c r="N668" i="30"/>
  <c r="O668" i="30" s="1"/>
  <c r="P668" i="30" s="1"/>
  <c r="N202" i="30"/>
  <c r="O202" i="30" s="1"/>
  <c r="P202" i="30" s="1"/>
  <c r="N203" i="30"/>
  <c r="O203" i="30" s="1"/>
  <c r="P203" i="30" s="1"/>
  <c r="N669" i="30"/>
  <c r="O669" i="30" s="1"/>
  <c r="P669" i="30" s="1"/>
  <c r="N204" i="30"/>
  <c r="O204" i="30" s="1"/>
  <c r="P204" i="30" s="1"/>
  <c r="N205" i="30"/>
  <c r="O205" i="30" s="1"/>
  <c r="P205" i="30" s="1"/>
  <c r="N206" i="30"/>
  <c r="O206" i="30" s="1"/>
  <c r="P206" i="30" s="1"/>
  <c r="N670" i="30"/>
  <c r="O670" i="30" s="1"/>
  <c r="P670" i="30" s="1"/>
  <c r="N671" i="30"/>
  <c r="O671" i="30" s="1"/>
  <c r="P671" i="30" s="1"/>
  <c r="N207" i="30"/>
  <c r="O207" i="30" s="1"/>
  <c r="P207" i="30" s="1"/>
  <c r="N672" i="30"/>
  <c r="O672" i="30" s="1"/>
  <c r="P672" i="30" s="1"/>
  <c r="N673" i="30"/>
  <c r="O673" i="30" s="1"/>
  <c r="P673" i="30" s="1"/>
  <c r="N674" i="30"/>
  <c r="O674" i="30" s="1"/>
  <c r="P674" i="30" s="1"/>
  <c r="N208" i="30"/>
  <c r="O208" i="30" s="1"/>
  <c r="P208" i="30" s="1"/>
  <c r="N675" i="30"/>
  <c r="O675" i="30" s="1"/>
  <c r="P675" i="30" s="1"/>
  <c r="N209" i="30"/>
  <c r="O209" i="30" s="1"/>
  <c r="P209" i="30" s="1"/>
  <c r="N210" i="30"/>
  <c r="O210" i="30" s="1"/>
  <c r="P210" i="30" s="1"/>
  <c r="N676" i="30"/>
  <c r="O676" i="30" s="1"/>
  <c r="P676" i="30" s="1"/>
  <c r="N677" i="30"/>
  <c r="O677" i="30" s="1"/>
  <c r="P677" i="30" s="1"/>
  <c r="N211" i="30"/>
  <c r="O211" i="30" s="1"/>
  <c r="P211" i="30" s="1"/>
  <c r="N212" i="30"/>
  <c r="O212" i="30" s="1"/>
  <c r="P212" i="30" s="1"/>
  <c r="N678" i="30"/>
  <c r="O678" i="30" s="1"/>
  <c r="P678" i="30" s="1"/>
  <c r="N679" i="30"/>
  <c r="O679" i="30" s="1"/>
  <c r="P679" i="30" s="1"/>
  <c r="N213" i="30"/>
  <c r="O213" i="30" s="1"/>
  <c r="P213" i="30" s="1"/>
  <c r="N214" i="30"/>
  <c r="O214" i="30" s="1"/>
  <c r="P214" i="30" s="1"/>
  <c r="N215" i="30"/>
  <c r="O215" i="30" s="1"/>
  <c r="P215" i="30" s="1"/>
  <c r="N680" i="30"/>
  <c r="O680" i="30" s="1"/>
  <c r="P680" i="30" s="1"/>
  <c r="N681" i="30"/>
  <c r="O681" i="30" s="1"/>
  <c r="P681" i="30" s="1"/>
  <c r="N216" i="30"/>
  <c r="O216" i="30" s="1"/>
  <c r="P216" i="30" s="1"/>
  <c r="N217" i="30"/>
  <c r="O217" i="30" s="1"/>
  <c r="P217" i="30" s="1"/>
  <c r="N218" i="30"/>
  <c r="O218" i="30" s="1"/>
  <c r="P218" i="30" s="1"/>
  <c r="N219" i="30"/>
  <c r="O219" i="30" s="1"/>
  <c r="P219" i="30" s="1"/>
  <c r="N682" i="30"/>
  <c r="O682" i="30" s="1"/>
  <c r="P682" i="30" s="1"/>
  <c r="N683" i="30"/>
  <c r="O683" i="30" s="1"/>
  <c r="P683" i="30" s="1"/>
  <c r="N684" i="30"/>
  <c r="O684" i="30" s="1"/>
  <c r="P684" i="30" s="1"/>
  <c r="N685" i="30"/>
  <c r="O685" i="30" s="1"/>
  <c r="P685" i="30" s="1"/>
  <c r="N686" i="30"/>
  <c r="O686" i="30" s="1"/>
  <c r="P686" i="30" s="1"/>
  <c r="N220" i="30"/>
  <c r="O220" i="30" s="1"/>
  <c r="P220" i="30" s="1"/>
  <c r="N687" i="30"/>
  <c r="O687" i="30" s="1"/>
  <c r="P687" i="30" s="1"/>
  <c r="N688" i="30"/>
  <c r="O688" i="30" s="1"/>
  <c r="P688" i="30" s="1"/>
  <c r="N689" i="30"/>
  <c r="O689" i="30" s="1"/>
  <c r="P689" i="30" s="1"/>
  <c r="N221" i="30"/>
  <c r="O221" i="30" s="1"/>
  <c r="P221" i="30" s="1"/>
  <c r="N222" i="30"/>
  <c r="O222" i="30" s="1"/>
  <c r="P222" i="30" s="1"/>
  <c r="N690" i="30"/>
  <c r="O690" i="30" s="1"/>
  <c r="P690" i="30" s="1"/>
  <c r="N691" i="30"/>
  <c r="O691" i="30" s="1"/>
  <c r="P691" i="30" s="1"/>
  <c r="N692" i="30"/>
  <c r="O692" i="30" s="1"/>
  <c r="P692" i="30" s="1"/>
  <c r="N693" i="30"/>
  <c r="O693" i="30" s="1"/>
  <c r="P693" i="30" s="1"/>
  <c r="N694" i="30"/>
  <c r="O694" i="30" s="1"/>
  <c r="P694" i="30" s="1"/>
  <c r="N695" i="30"/>
  <c r="O695" i="30" s="1"/>
  <c r="P695" i="30" s="1"/>
  <c r="N223" i="30"/>
  <c r="O223" i="30" s="1"/>
  <c r="P223" i="30" s="1"/>
  <c r="N696" i="30"/>
  <c r="O696" i="30" s="1"/>
  <c r="P696" i="30" s="1"/>
  <c r="N224" i="30"/>
  <c r="O224" i="30" s="1"/>
  <c r="P224" i="30" s="1"/>
  <c r="N225" i="30"/>
  <c r="O225" i="30" s="1"/>
  <c r="P225" i="30" s="1"/>
  <c r="N697" i="30"/>
  <c r="O697" i="30" s="1"/>
  <c r="P697" i="30" s="1"/>
  <c r="N698" i="30"/>
  <c r="O698" i="30" s="1"/>
  <c r="P698" i="30" s="1"/>
  <c r="N699" i="30"/>
  <c r="O699" i="30" s="1"/>
  <c r="P699" i="30" s="1"/>
  <c r="N700" i="30"/>
  <c r="O700" i="30" s="1"/>
  <c r="P700" i="30" s="1"/>
  <c r="N701" i="30"/>
  <c r="O701" i="30" s="1"/>
  <c r="P701" i="30" s="1"/>
  <c r="N702" i="30"/>
  <c r="O702" i="30" s="1"/>
  <c r="P702" i="30" s="1"/>
  <c r="N703" i="30"/>
  <c r="O703" i="30" s="1"/>
  <c r="P703" i="30" s="1"/>
  <c r="N704" i="30"/>
  <c r="O704" i="30" s="1"/>
  <c r="P704" i="30" s="1"/>
  <c r="N226" i="30"/>
  <c r="O226" i="30" s="1"/>
  <c r="P226" i="30" s="1"/>
  <c r="N705" i="30"/>
  <c r="O705" i="30" s="1"/>
  <c r="P705" i="30" s="1"/>
  <c r="N706" i="30"/>
  <c r="O706" i="30" s="1"/>
  <c r="P706" i="30" s="1"/>
  <c r="N227" i="30"/>
  <c r="O227" i="30" s="1"/>
  <c r="P227" i="30" s="1"/>
  <c r="N707" i="30"/>
  <c r="O707" i="30" s="1"/>
  <c r="P707" i="30" s="1"/>
  <c r="N228" i="30"/>
  <c r="O228" i="30" s="1"/>
  <c r="P228" i="30" s="1"/>
  <c r="N229" i="30"/>
  <c r="O229" i="30" s="1"/>
  <c r="P229" i="30" s="1"/>
  <c r="N708" i="30"/>
  <c r="O708" i="30" s="1"/>
  <c r="P708" i="30" s="1"/>
  <c r="N230" i="30"/>
  <c r="O230" i="30" s="1"/>
  <c r="P230" i="30" s="1"/>
  <c r="N231" i="30"/>
  <c r="O231" i="30" s="1"/>
  <c r="P231" i="30" s="1"/>
  <c r="N232" i="30"/>
  <c r="O232" i="30" s="1"/>
  <c r="P232" i="30" s="1"/>
  <c r="N233" i="30"/>
  <c r="O233" i="30" s="1"/>
  <c r="P233" i="30" s="1"/>
  <c r="N709" i="30"/>
  <c r="O709" i="30" s="1"/>
  <c r="P709" i="30" s="1"/>
  <c r="N234" i="30"/>
  <c r="O234" i="30" s="1"/>
  <c r="P234" i="30" s="1"/>
  <c r="N235" i="30"/>
  <c r="O235" i="30" s="1"/>
  <c r="P235" i="30" s="1"/>
  <c r="N710" i="30"/>
  <c r="O710" i="30" s="1"/>
  <c r="P710" i="30" s="1"/>
  <c r="N711" i="30"/>
  <c r="O711" i="30" s="1"/>
  <c r="P711" i="30" s="1"/>
  <c r="N712" i="30"/>
  <c r="O712" i="30" s="1"/>
  <c r="P712" i="30" s="1"/>
  <c r="N713" i="30"/>
  <c r="O713" i="30" s="1"/>
  <c r="P713" i="30" s="1"/>
  <c r="N714" i="30"/>
  <c r="O714" i="30" s="1"/>
  <c r="P714" i="30" s="1"/>
  <c r="N715" i="30"/>
  <c r="O715" i="30" s="1"/>
  <c r="P715" i="30" s="1"/>
  <c r="N236" i="30"/>
  <c r="O236" i="30" s="1"/>
  <c r="P236" i="30" s="1"/>
  <c r="N716" i="30"/>
  <c r="O716" i="30" s="1"/>
  <c r="P716" i="30" s="1"/>
  <c r="N237" i="30"/>
  <c r="O237" i="30" s="1"/>
  <c r="P237" i="30" s="1"/>
  <c r="N717" i="30"/>
  <c r="O717" i="30" s="1"/>
  <c r="P717" i="30" s="1"/>
  <c r="N238" i="30"/>
  <c r="O238" i="30" s="1"/>
  <c r="P238" i="30" s="1"/>
  <c r="N239" i="30"/>
  <c r="O239" i="30" s="1"/>
  <c r="P239" i="30" s="1"/>
  <c r="N240" i="30"/>
  <c r="O240" i="30" s="1"/>
  <c r="P240" i="30" s="1"/>
  <c r="N718" i="30"/>
  <c r="O718" i="30" s="1"/>
  <c r="P718" i="30" s="1"/>
  <c r="N719" i="30"/>
  <c r="O719" i="30" s="1"/>
  <c r="P719" i="30" s="1"/>
  <c r="N241" i="30"/>
  <c r="O241" i="30" s="1"/>
  <c r="P241" i="30" s="1"/>
  <c r="N720" i="30"/>
  <c r="O720" i="30" s="1"/>
  <c r="P720" i="30" s="1"/>
  <c r="N721" i="30"/>
  <c r="O721" i="30" s="1"/>
  <c r="P721" i="30" s="1"/>
  <c r="N722" i="30"/>
  <c r="O722" i="30" s="1"/>
  <c r="P722" i="30" s="1"/>
  <c r="N242" i="30"/>
  <c r="O242" i="30" s="1"/>
  <c r="P242" i="30" s="1"/>
  <c r="N243" i="30"/>
  <c r="O243" i="30" s="1"/>
  <c r="P243" i="30" s="1"/>
  <c r="N723" i="30"/>
  <c r="O723" i="30" s="1"/>
  <c r="P723" i="30" s="1"/>
  <c r="N244" i="30"/>
  <c r="O244" i="30" s="1"/>
  <c r="P244" i="30" s="1"/>
  <c r="N245" i="30"/>
  <c r="O245" i="30" s="1"/>
  <c r="P245" i="30" s="1"/>
  <c r="N724" i="30"/>
  <c r="O724" i="30" s="1"/>
  <c r="P724" i="30" s="1"/>
  <c r="N246" i="30"/>
  <c r="O246" i="30" s="1"/>
  <c r="P246" i="30" s="1"/>
  <c r="N725" i="30"/>
  <c r="O725" i="30" s="1"/>
  <c r="P725" i="30" s="1"/>
  <c r="N247" i="30"/>
  <c r="O247" i="30" s="1"/>
  <c r="P247" i="30" s="1"/>
  <c r="N726" i="30"/>
  <c r="O726" i="30" s="1"/>
  <c r="P726" i="30" s="1"/>
  <c r="N727" i="30"/>
  <c r="O727" i="30" s="1"/>
  <c r="P727" i="30" s="1"/>
  <c r="N728" i="30"/>
  <c r="O728" i="30" s="1"/>
  <c r="P728" i="30" s="1"/>
  <c r="N729" i="30"/>
  <c r="O729" i="30" s="1"/>
  <c r="P729" i="30" s="1"/>
  <c r="N730" i="30"/>
  <c r="O730" i="30" s="1"/>
  <c r="P730" i="30" s="1"/>
  <c r="N731" i="30"/>
  <c r="O731" i="30" s="1"/>
  <c r="P731" i="30" s="1"/>
  <c r="N732" i="30"/>
  <c r="O732" i="30" s="1"/>
  <c r="P732" i="30" s="1"/>
  <c r="N733" i="30"/>
  <c r="O733" i="30" s="1"/>
  <c r="P733" i="30" s="1"/>
  <c r="N248" i="30"/>
  <c r="O248" i="30" s="1"/>
  <c r="P248" i="30" s="1"/>
  <c r="N734" i="30"/>
  <c r="O734" i="30" s="1"/>
  <c r="P734" i="30" s="1"/>
  <c r="N735" i="30"/>
  <c r="O735" i="30" s="1"/>
  <c r="P735" i="30" s="1"/>
  <c r="N249" i="30"/>
  <c r="O249" i="30" s="1"/>
  <c r="P249" i="30" s="1"/>
  <c r="N736" i="30"/>
  <c r="O736" i="30" s="1"/>
  <c r="P736" i="30" s="1"/>
  <c r="N737" i="30"/>
  <c r="O737" i="30" s="1"/>
  <c r="P737" i="30" s="1"/>
  <c r="N250" i="30"/>
  <c r="O250" i="30" s="1"/>
  <c r="P250" i="30" s="1"/>
  <c r="N738" i="30"/>
  <c r="O738" i="30" s="1"/>
  <c r="P738" i="30" s="1"/>
  <c r="N739" i="30"/>
  <c r="O739" i="30" s="1"/>
  <c r="P739" i="30" s="1"/>
  <c r="N251" i="30"/>
  <c r="O251" i="30" s="1"/>
  <c r="P251" i="30" s="1"/>
  <c r="N740" i="30"/>
  <c r="O740" i="30" s="1"/>
  <c r="P740" i="30" s="1"/>
  <c r="N741" i="30"/>
  <c r="O741" i="30" s="1"/>
  <c r="P741" i="30" s="1"/>
  <c r="N742" i="30"/>
  <c r="O742" i="30" s="1"/>
  <c r="P742" i="30" s="1"/>
  <c r="N743" i="30"/>
  <c r="O743" i="30" s="1"/>
  <c r="P743" i="30" s="1"/>
  <c r="N744" i="30"/>
  <c r="O744" i="30" s="1"/>
  <c r="P744" i="30" s="1"/>
  <c r="N745" i="30"/>
  <c r="O745" i="30" s="1"/>
  <c r="P745" i="30" s="1"/>
  <c r="N746" i="30"/>
  <c r="O746" i="30" s="1"/>
  <c r="P746" i="30" s="1"/>
  <c r="N252" i="30"/>
  <c r="O252" i="30" s="1"/>
  <c r="P252" i="30" s="1"/>
  <c r="N253" i="30"/>
  <c r="O253" i="30" s="1"/>
  <c r="P253" i="30" s="1"/>
  <c r="N254" i="30"/>
  <c r="O254" i="30" s="1"/>
  <c r="P254" i="30" s="1"/>
  <c r="N747" i="30"/>
  <c r="O747" i="30" s="1"/>
  <c r="P747" i="30" s="1"/>
  <c r="N255" i="30"/>
  <c r="O255" i="30" s="1"/>
  <c r="P255" i="30" s="1"/>
  <c r="N748" i="30"/>
  <c r="O748" i="30" s="1"/>
  <c r="P748" i="30" s="1"/>
  <c r="N749" i="30"/>
  <c r="O749" i="30" s="1"/>
  <c r="P749" i="30" s="1"/>
  <c r="N256" i="30"/>
  <c r="O256" i="30" s="1"/>
  <c r="P256" i="30" s="1"/>
  <c r="N257" i="30"/>
  <c r="O257" i="30" s="1"/>
  <c r="P257" i="30" s="1"/>
  <c r="N750" i="30"/>
  <c r="O750" i="30" s="1"/>
  <c r="P750" i="30" s="1"/>
  <c r="N751" i="30"/>
  <c r="O751" i="30" s="1"/>
  <c r="P751" i="30" s="1"/>
  <c r="N258" i="30"/>
  <c r="O258" i="30" s="1"/>
  <c r="P258" i="30" s="1"/>
  <c r="N752" i="30"/>
  <c r="O752" i="30" s="1"/>
  <c r="P752" i="30" s="1"/>
  <c r="N753" i="30"/>
  <c r="O753" i="30" s="1"/>
  <c r="P753" i="30" s="1"/>
  <c r="N754" i="30"/>
  <c r="O754" i="30" s="1"/>
  <c r="P754" i="30" s="1"/>
  <c r="N259" i="30"/>
  <c r="O259" i="30" s="1"/>
  <c r="P259" i="30" s="1"/>
  <c r="N755" i="30"/>
  <c r="O755" i="30" s="1"/>
  <c r="P755" i="30" s="1"/>
  <c r="N756" i="30"/>
  <c r="O756" i="30" s="1"/>
  <c r="P756" i="30" s="1"/>
  <c r="N757" i="30"/>
  <c r="O757" i="30" s="1"/>
  <c r="P757" i="30" s="1"/>
  <c r="N758" i="30"/>
  <c r="O758" i="30" s="1"/>
  <c r="P758" i="30" s="1"/>
  <c r="N759" i="30"/>
  <c r="O759" i="30" s="1"/>
  <c r="P759" i="30" s="1"/>
  <c r="N260" i="30"/>
  <c r="O260" i="30" s="1"/>
  <c r="P260" i="30" s="1"/>
  <c r="N261" i="30"/>
  <c r="O261" i="30" s="1"/>
  <c r="P261" i="30" s="1"/>
  <c r="N262" i="30"/>
  <c r="O262" i="30" s="1"/>
  <c r="P262" i="30" s="1"/>
  <c r="N760" i="30"/>
  <c r="O760" i="30" s="1"/>
  <c r="P760" i="30" s="1"/>
  <c r="N761" i="30"/>
  <c r="O761" i="30" s="1"/>
  <c r="P761" i="30" s="1"/>
  <c r="N762" i="30"/>
  <c r="O762" i="30" s="1"/>
  <c r="P762" i="30" s="1"/>
  <c r="N763" i="30"/>
  <c r="O763" i="30" s="1"/>
  <c r="P763" i="30" s="1"/>
  <c r="N263" i="30"/>
  <c r="O263" i="30" s="1"/>
  <c r="P263" i="30" s="1"/>
  <c r="N764" i="30"/>
  <c r="O764" i="30" s="1"/>
  <c r="P764" i="30" s="1"/>
  <c r="N264" i="30"/>
  <c r="O264" i="30" s="1"/>
  <c r="P264" i="30" s="1"/>
  <c r="N265" i="30"/>
  <c r="O265" i="30" s="1"/>
  <c r="P265" i="30" s="1"/>
  <c r="N266" i="30"/>
  <c r="O266" i="30" s="1"/>
  <c r="P266" i="30" s="1"/>
  <c r="N765" i="30"/>
  <c r="O765" i="30" s="1"/>
  <c r="P765" i="30" s="1"/>
  <c r="N766" i="30"/>
  <c r="O766" i="30" s="1"/>
  <c r="P766" i="30" s="1"/>
  <c r="N767" i="30"/>
  <c r="O767" i="30" s="1"/>
  <c r="P767" i="30" s="1"/>
  <c r="N267" i="30"/>
  <c r="O267" i="30" s="1"/>
  <c r="P267" i="30" s="1"/>
  <c r="N768" i="30"/>
  <c r="O768" i="30" s="1"/>
  <c r="P768" i="30" s="1"/>
  <c r="N268" i="30"/>
  <c r="O268" i="30" s="1"/>
  <c r="P268" i="30" s="1"/>
  <c r="N269" i="30"/>
  <c r="O269" i="30" s="1"/>
  <c r="P269" i="30" s="1"/>
  <c r="N270" i="30"/>
  <c r="O270" i="30" s="1"/>
  <c r="P270" i="30" s="1"/>
  <c r="N271" i="30"/>
  <c r="O271" i="30" s="1"/>
  <c r="P271" i="30" s="1"/>
  <c r="N272" i="30"/>
  <c r="O272" i="30" s="1"/>
  <c r="P272" i="30" s="1"/>
  <c r="N769" i="30"/>
  <c r="O769" i="30" s="1"/>
  <c r="P769" i="30" s="1"/>
  <c r="N770" i="30"/>
  <c r="O770" i="30" s="1"/>
  <c r="P770" i="30" s="1"/>
  <c r="N771" i="30"/>
  <c r="O771" i="30" s="1"/>
  <c r="P771" i="30" s="1"/>
  <c r="N273" i="30"/>
  <c r="O273" i="30" s="1"/>
  <c r="P273" i="30" s="1"/>
  <c r="N772" i="30"/>
  <c r="O772" i="30" s="1"/>
  <c r="P772" i="30" s="1"/>
  <c r="N773" i="30"/>
  <c r="O773" i="30" s="1"/>
  <c r="P773" i="30" s="1"/>
  <c r="N774" i="30"/>
  <c r="O774" i="30" s="1"/>
  <c r="P774" i="30" s="1"/>
  <c r="N775" i="30"/>
  <c r="O775" i="30" s="1"/>
  <c r="P775" i="30" s="1"/>
  <c r="N776" i="30"/>
  <c r="O776" i="30" s="1"/>
  <c r="P776" i="30" s="1"/>
  <c r="N777" i="30"/>
  <c r="O777" i="30" s="1"/>
  <c r="P777" i="30" s="1"/>
  <c r="N274" i="30"/>
  <c r="O274" i="30" s="1"/>
  <c r="P274" i="30" s="1"/>
  <c r="N778" i="30"/>
  <c r="O778" i="30" s="1"/>
  <c r="P778" i="30" s="1"/>
  <c r="N779" i="30"/>
  <c r="O779" i="30" s="1"/>
  <c r="P779" i="30" s="1"/>
  <c r="N780" i="30"/>
  <c r="O780" i="30" s="1"/>
  <c r="P780" i="30" s="1"/>
  <c r="N781" i="30"/>
  <c r="O781" i="30" s="1"/>
  <c r="P781" i="30" s="1"/>
  <c r="N782" i="30"/>
  <c r="O782" i="30" s="1"/>
  <c r="P782" i="30" s="1"/>
  <c r="N275" i="30"/>
  <c r="O275" i="30" s="1"/>
  <c r="P275" i="30" s="1"/>
  <c r="N783" i="30"/>
  <c r="O783" i="30" s="1"/>
  <c r="P783" i="30" s="1"/>
  <c r="N276" i="30"/>
  <c r="O276" i="30" s="1"/>
  <c r="P276" i="30" s="1"/>
  <c r="N277" i="30"/>
  <c r="O277" i="30" s="1"/>
  <c r="P277" i="30" s="1"/>
  <c r="N278" i="30"/>
  <c r="O278" i="30" s="1"/>
  <c r="P278" i="30" s="1"/>
  <c r="N279" i="30"/>
  <c r="O279" i="30" s="1"/>
  <c r="P279" i="30" s="1"/>
  <c r="N280" i="30"/>
  <c r="O280" i="30" s="1"/>
  <c r="P280" i="30" s="1"/>
  <c r="N784" i="30"/>
  <c r="O784" i="30" s="1"/>
  <c r="P784" i="30" s="1"/>
  <c r="N785" i="30"/>
  <c r="O785" i="30" s="1"/>
  <c r="P785" i="30" s="1"/>
  <c r="N786" i="30"/>
  <c r="O786" i="30" s="1"/>
  <c r="P786" i="30" s="1"/>
  <c r="N787" i="30"/>
  <c r="O787" i="30" s="1"/>
  <c r="P787" i="30" s="1"/>
  <c r="N281" i="30"/>
  <c r="O281" i="30" s="1"/>
  <c r="P281" i="30" s="1"/>
  <c r="N282" i="30"/>
  <c r="O282" i="30" s="1"/>
  <c r="P282" i="30" s="1"/>
  <c r="N283" i="30"/>
  <c r="O283" i="30" s="1"/>
  <c r="P283" i="30" s="1"/>
  <c r="N788" i="30"/>
  <c r="O788" i="30" s="1"/>
  <c r="P788" i="30" s="1"/>
  <c r="N789" i="30"/>
  <c r="O789" i="30" s="1"/>
  <c r="P789" i="30" s="1"/>
  <c r="N790" i="30"/>
  <c r="O790" i="30" s="1"/>
  <c r="P790" i="30" s="1"/>
  <c r="N284" i="30"/>
  <c r="O284" i="30" s="1"/>
  <c r="P284" i="30" s="1"/>
  <c r="N791" i="30"/>
  <c r="O791" i="30" s="1"/>
  <c r="P791" i="30" s="1"/>
  <c r="N792" i="30"/>
  <c r="O792" i="30" s="1"/>
  <c r="P792" i="30" s="1"/>
  <c r="N285" i="30"/>
  <c r="O285" i="30" s="1"/>
  <c r="P285" i="30" s="1"/>
  <c r="N793" i="30"/>
  <c r="O793" i="30" s="1"/>
  <c r="P793" i="30" s="1"/>
  <c r="N794" i="30"/>
  <c r="O794" i="30" s="1"/>
  <c r="P794" i="30" s="1"/>
  <c r="N795" i="30"/>
  <c r="O795" i="30" s="1"/>
  <c r="P795" i="30" s="1"/>
  <c r="N796" i="30"/>
  <c r="O796" i="30" s="1"/>
  <c r="P796" i="30" s="1"/>
  <c r="N286" i="30"/>
  <c r="O286" i="30" s="1"/>
  <c r="P286" i="30" s="1"/>
  <c r="N797" i="30"/>
  <c r="O797" i="30" s="1"/>
  <c r="P797" i="30" s="1"/>
  <c r="N798" i="30"/>
  <c r="O798" i="30" s="1"/>
  <c r="P798" i="30" s="1"/>
  <c r="N799" i="30"/>
  <c r="O799" i="30" s="1"/>
  <c r="P799" i="30" s="1"/>
  <c r="N287" i="30"/>
  <c r="O287" i="30" s="1"/>
  <c r="P287" i="30" s="1"/>
  <c r="N288" i="30"/>
  <c r="O288" i="30" s="1"/>
  <c r="P288" i="30" s="1"/>
  <c r="N800" i="30"/>
  <c r="O800" i="30" s="1"/>
  <c r="P800" i="30" s="1"/>
  <c r="N801" i="30"/>
  <c r="O801" i="30" s="1"/>
  <c r="P801" i="30" s="1"/>
  <c r="N802" i="30"/>
  <c r="O802" i="30" s="1"/>
  <c r="P802" i="30" s="1"/>
  <c r="N289" i="30"/>
  <c r="O289" i="30" s="1"/>
  <c r="P289" i="30" s="1"/>
  <c r="N803" i="30"/>
  <c r="O803" i="30" s="1"/>
  <c r="P803" i="30" s="1"/>
  <c r="N804" i="30"/>
  <c r="O804" i="30" s="1"/>
  <c r="P804" i="30" s="1"/>
  <c r="N290" i="30"/>
  <c r="O290" i="30" s="1"/>
  <c r="P290" i="30" s="1"/>
  <c r="N805" i="30"/>
  <c r="O805" i="30" s="1"/>
  <c r="P805" i="30" s="1"/>
  <c r="N291" i="30"/>
  <c r="O291" i="30" s="1"/>
  <c r="P291" i="30" s="1"/>
  <c r="N806" i="30"/>
  <c r="O806" i="30" s="1"/>
  <c r="P806" i="30" s="1"/>
  <c r="N807" i="30"/>
  <c r="O807" i="30" s="1"/>
  <c r="P807" i="30" s="1"/>
  <c r="N292" i="30"/>
  <c r="O292" i="30" s="1"/>
  <c r="P292" i="30" s="1"/>
  <c r="N808" i="30"/>
  <c r="O808" i="30" s="1"/>
  <c r="P808" i="30" s="1"/>
  <c r="N293" i="30"/>
  <c r="O293" i="30" s="1"/>
  <c r="P293" i="30" s="1"/>
  <c r="N294" i="30"/>
  <c r="O294" i="30" s="1"/>
  <c r="P294" i="30" s="1"/>
  <c r="N809" i="30"/>
  <c r="O809" i="30" s="1"/>
  <c r="P809" i="30" s="1"/>
  <c r="N810" i="30"/>
  <c r="O810" i="30" s="1"/>
  <c r="P810" i="30" s="1"/>
  <c r="N295" i="30"/>
  <c r="O295" i="30" s="1"/>
  <c r="P295" i="30" s="1"/>
  <c r="N811" i="30"/>
  <c r="O811" i="30" s="1"/>
  <c r="P811" i="30" s="1"/>
  <c r="N812" i="30"/>
  <c r="O812" i="30" s="1"/>
  <c r="P812" i="30" s="1"/>
  <c r="N813" i="30"/>
  <c r="O813" i="30" s="1"/>
  <c r="P813" i="30" s="1"/>
  <c r="N814" i="30"/>
  <c r="O814" i="30" s="1"/>
  <c r="P814" i="30" s="1"/>
  <c r="N296" i="30"/>
  <c r="O296" i="30" s="1"/>
  <c r="P296" i="30" s="1"/>
  <c r="N297" i="30"/>
  <c r="O297" i="30" s="1"/>
  <c r="P297" i="30" s="1"/>
  <c r="N815" i="30"/>
  <c r="O815" i="30" s="1"/>
  <c r="P815" i="30" s="1"/>
  <c r="N816" i="30"/>
  <c r="O816" i="30" s="1"/>
  <c r="P816" i="30" s="1"/>
  <c r="N817" i="30"/>
  <c r="O817" i="30" s="1"/>
  <c r="P817" i="30" s="1"/>
  <c r="N818" i="30"/>
  <c r="O818" i="30" s="1"/>
  <c r="P818" i="30" s="1"/>
  <c r="N298" i="30"/>
  <c r="O298" i="30" s="1"/>
  <c r="P298" i="30" s="1"/>
  <c r="N299" i="30"/>
  <c r="O299" i="30" s="1"/>
  <c r="P299" i="30" s="1"/>
  <c r="N819" i="30"/>
  <c r="O819" i="30" s="1"/>
  <c r="P819" i="30" s="1"/>
  <c r="N300" i="30"/>
  <c r="O300" i="30" s="1"/>
  <c r="P300" i="30" s="1"/>
  <c r="N820" i="30"/>
  <c r="O820" i="30" s="1"/>
  <c r="P820" i="30" s="1"/>
  <c r="N821" i="30"/>
  <c r="O821" i="30" s="1"/>
  <c r="P821" i="30" s="1"/>
  <c r="N822" i="30"/>
  <c r="O822" i="30" s="1"/>
  <c r="P822" i="30" s="1"/>
  <c r="N823" i="30"/>
  <c r="O823" i="30" s="1"/>
  <c r="P823" i="30" s="1"/>
  <c r="N301" i="30"/>
  <c r="O301" i="30" s="1"/>
  <c r="P301" i="30" s="1"/>
  <c r="N824" i="30"/>
  <c r="O824" i="30" s="1"/>
  <c r="P824" i="30" s="1"/>
  <c r="N825" i="30"/>
  <c r="O825" i="30" s="1"/>
  <c r="P825" i="30" s="1"/>
  <c r="N302" i="30"/>
  <c r="O302" i="30" s="1"/>
  <c r="P302" i="30" s="1"/>
  <c r="N303" i="30"/>
  <c r="O303" i="30" s="1"/>
  <c r="P303" i="30" s="1"/>
  <c r="N304" i="30"/>
  <c r="O304" i="30" s="1"/>
  <c r="P304" i="30" s="1"/>
  <c r="N826" i="30"/>
  <c r="O826" i="30" s="1"/>
  <c r="P826" i="30" s="1"/>
  <c r="N305" i="30"/>
  <c r="O305" i="30" s="1"/>
  <c r="P305" i="30" s="1"/>
  <c r="N827" i="30"/>
  <c r="O827" i="30" s="1"/>
  <c r="P827" i="30" s="1"/>
  <c r="N828" i="30"/>
  <c r="O828" i="30" s="1"/>
  <c r="P828" i="30" s="1"/>
  <c r="N829" i="30"/>
  <c r="O829" i="30" s="1"/>
  <c r="P829" i="30" s="1"/>
  <c r="N306" i="30"/>
  <c r="O306" i="30" s="1"/>
  <c r="P306" i="30" s="1"/>
  <c r="N307" i="30"/>
  <c r="O307" i="30" s="1"/>
  <c r="P307" i="30" s="1"/>
  <c r="N830" i="30"/>
  <c r="O830" i="30" s="1"/>
  <c r="P830" i="30" s="1"/>
  <c r="N831" i="30"/>
  <c r="O831" i="30" s="1"/>
  <c r="P831" i="30" s="1"/>
  <c r="N832" i="30"/>
  <c r="O832" i="30" s="1"/>
  <c r="P832" i="30" s="1"/>
  <c r="N833" i="30"/>
  <c r="O833" i="30" s="1"/>
  <c r="P833" i="30" s="1"/>
  <c r="N834" i="30"/>
  <c r="O834" i="30" s="1"/>
  <c r="P834" i="30" s="1"/>
  <c r="N308" i="30"/>
  <c r="O308" i="30" s="1"/>
  <c r="P308" i="30" s="1"/>
  <c r="N835" i="30"/>
  <c r="O835" i="30" s="1"/>
  <c r="P835" i="30" s="1"/>
  <c r="N836" i="30"/>
  <c r="O836" i="30" s="1"/>
  <c r="P836" i="30" s="1"/>
  <c r="N837" i="30"/>
  <c r="O837" i="30" s="1"/>
  <c r="P837" i="30" s="1"/>
  <c r="N309" i="30"/>
  <c r="O309" i="30" s="1"/>
  <c r="P309" i="30" s="1"/>
  <c r="N310" i="30"/>
  <c r="O310" i="30" s="1"/>
  <c r="P310" i="30" s="1"/>
  <c r="N838" i="30"/>
  <c r="O838" i="30" s="1"/>
  <c r="P838" i="30" s="1"/>
  <c r="N839" i="30"/>
  <c r="O839" i="30" s="1"/>
  <c r="P839" i="30" s="1"/>
  <c r="N840" i="30"/>
  <c r="O840" i="30" s="1"/>
  <c r="P840" i="30" s="1"/>
  <c r="N311" i="30"/>
  <c r="O311" i="30" s="1"/>
  <c r="P311" i="30" s="1"/>
  <c r="N841" i="30"/>
  <c r="O841" i="30" s="1"/>
  <c r="P841" i="30" s="1"/>
  <c r="N842" i="30"/>
  <c r="O842" i="30" s="1"/>
  <c r="P842" i="30" s="1"/>
  <c r="N843" i="30"/>
  <c r="O843" i="30" s="1"/>
  <c r="P843" i="30" s="1"/>
  <c r="N844" i="30"/>
  <c r="O844" i="30" s="1"/>
  <c r="P844" i="30" s="1"/>
  <c r="N312" i="30"/>
  <c r="O312" i="30" s="1"/>
  <c r="P312" i="30" s="1"/>
  <c r="N845" i="30"/>
  <c r="O845" i="30" s="1"/>
  <c r="P845" i="30" s="1"/>
  <c r="N846" i="30"/>
  <c r="O846" i="30" s="1"/>
  <c r="P846" i="30" s="1"/>
  <c r="N847" i="30"/>
  <c r="O847" i="30" s="1"/>
  <c r="P847" i="30" s="1"/>
  <c r="N848" i="30"/>
  <c r="O848" i="30" s="1"/>
  <c r="P848" i="30" s="1"/>
  <c r="N849" i="30"/>
  <c r="O849" i="30" s="1"/>
  <c r="P849" i="30" s="1"/>
  <c r="N850" i="30"/>
  <c r="O850" i="30" s="1"/>
  <c r="P850" i="30" s="1"/>
  <c r="N313" i="30"/>
  <c r="O313" i="30" s="1"/>
  <c r="P313" i="30" s="1"/>
  <c r="N851" i="30"/>
  <c r="O851" i="30" s="1"/>
  <c r="P851" i="30" s="1"/>
  <c r="N314" i="30"/>
  <c r="O314" i="30" s="1"/>
  <c r="P314" i="30" s="1"/>
  <c r="N852" i="30"/>
  <c r="O852" i="30" s="1"/>
  <c r="P852" i="30" s="1"/>
  <c r="N853" i="30"/>
  <c r="O853" i="30" s="1"/>
  <c r="P853" i="30" s="1"/>
  <c r="N315" i="30"/>
  <c r="O315" i="30" s="1"/>
  <c r="P315" i="30" s="1"/>
  <c r="N854" i="30"/>
  <c r="O854" i="30" s="1"/>
  <c r="P854" i="30" s="1"/>
  <c r="N316" i="30"/>
  <c r="O316" i="30" s="1"/>
  <c r="P316" i="30" s="1"/>
  <c r="N317" i="30"/>
  <c r="O317" i="30" s="1"/>
  <c r="P317" i="30" s="1"/>
  <c r="N855" i="30"/>
  <c r="O855" i="30" s="1"/>
  <c r="P855" i="30" s="1"/>
  <c r="N856" i="30"/>
  <c r="O856" i="30" s="1"/>
  <c r="P856" i="30" s="1"/>
  <c r="N857" i="30"/>
  <c r="O857" i="30" s="1"/>
  <c r="P857" i="30" s="1"/>
  <c r="N318" i="30"/>
  <c r="O318" i="30" s="1"/>
  <c r="P318" i="30" s="1"/>
  <c r="N319" i="30"/>
  <c r="O319" i="30" s="1"/>
  <c r="P319" i="30" s="1"/>
  <c r="N320" i="30"/>
  <c r="O320" i="30" s="1"/>
  <c r="P320" i="30" s="1"/>
  <c r="N858" i="30"/>
  <c r="O858" i="30" s="1"/>
  <c r="P858" i="30" s="1"/>
  <c r="N859" i="30"/>
  <c r="O859" i="30" s="1"/>
  <c r="P859" i="30" s="1"/>
  <c r="N860" i="30"/>
  <c r="O860" i="30" s="1"/>
  <c r="P860" i="30" s="1"/>
  <c r="N321" i="30"/>
  <c r="O321" i="30" s="1"/>
  <c r="P321" i="30" s="1"/>
  <c r="N861" i="30"/>
  <c r="O861" i="30" s="1"/>
  <c r="P861" i="30" s="1"/>
  <c r="N862" i="30"/>
  <c r="O862" i="30" s="1"/>
  <c r="P862" i="30" s="1"/>
  <c r="N322" i="30"/>
  <c r="O322" i="30" s="1"/>
  <c r="P322" i="30" s="1"/>
  <c r="N863" i="30"/>
  <c r="O863" i="30" s="1"/>
  <c r="P863" i="30" s="1"/>
  <c r="N864" i="30"/>
  <c r="O864" i="30" s="1"/>
  <c r="P864" i="30" s="1"/>
  <c r="N865" i="30"/>
  <c r="O865" i="30" s="1"/>
  <c r="P865" i="30" s="1"/>
  <c r="N866" i="30"/>
  <c r="O866" i="30" s="1"/>
  <c r="P866" i="30" s="1"/>
  <c r="N323" i="30"/>
  <c r="O323" i="30" s="1"/>
  <c r="P323" i="30" s="1"/>
  <c r="N867" i="30"/>
  <c r="O867" i="30" s="1"/>
  <c r="P867" i="30" s="1"/>
  <c r="N868" i="30"/>
  <c r="O868" i="30" s="1"/>
  <c r="P868" i="30" s="1"/>
  <c r="N324" i="30"/>
  <c r="O324" i="30" s="1"/>
  <c r="P324" i="30" s="1"/>
  <c r="N869" i="30"/>
  <c r="O869" i="30" s="1"/>
  <c r="P869" i="30" s="1"/>
  <c r="N870" i="30"/>
  <c r="O870" i="30" s="1"/>
  <c r="P870" i="30" s="1"/>
  <c r="N325" i="30"/>
  <c r="O325" i="30" s="1"/>
  <c r="P325" i="30" s="1"/>
  <c r="N326" i="30"/>
  <c r="O326" i="30" s="1"/>
  <c r="P326" i="30" s="1"/>
  <c r="N871" i="30"/>
  <c r="O871" i="30" s="1"/>
  <c r="P871" i="30" s="1"/>
  <c r="N872" i="30"/>
  <c r="O872" i="30" s="1"/>
  <c r="P872" i="30" s="1"/>
  <c r="N873" i="30"/>
  <c r="O873" i="30" s="1"/>
  <c r="P873" i="30" s="1"/>
  <c r="N874" i="30"/>
  <c r="O874" i="30" s="1"/>
  <c r="P874" i="30" s="1"/>
  <c r="N327" i="30"/>
  <c r="O327" i="30" s="1"/>
  <c r="P327" i="30" s="1"/>
  <c r="N875" i="30"/>
  <c r="O875" i="30" s="1"/>
  <c r="P875" i="30" s="1"/>
  <c r="N876" i="30"/>
  <c r="O876" i="30" s="1"/>
  <c r="P876" i="30" s="1"/>
  <c r="N328" i="30"/>
  <c r="O328" i="30" s="1"/>
  <c r="P328" i="30" s="1"/>
  <c r="N877" i="30"/>
  <c r="O877" i="30" s="1"/>
  <c r="P877" i="30" s="1"/>
  <c r="N878" i="30"/>
  <c r="O878" i="30" s="1"/>
  <c r="P878" i="30" s="1"/>
  <c r="N879" i="30"/>
  <c r="O879" i="30" s="1"/>
  <c r="P879" i="30" s="1"/>
  <c r="N880" i="30"/>
  <c r="O880" i="30" s="1"/>
  <c r="P880" i="30" s="1"/>
  <c r="N881" i="30"/>
  <c r="O881" i="30" s="1"/>
  <c r="P881" i="30" s="1"/>
  <c r="N882" i="30"/>
  <c r="O882" i="30" s="1"/>
  <c r="P882" i="30" s="1"/>
  <c r="N329" i="30"/>
  <c r="O329" i="30" s="1"/>
  <c r="P329" i="30" s="1"/>
  <c r="N330" i="30"/>
  <c r="O330" i="30" s="1"/>
  <c r="P330" i="30" s="1"/>
  <c r="N883" i="30"/>
  <c r="O883" i="30" s="1"/>
  <c r="P883" i="30" s="1"/>
  <c r="O1070" i="35"/>
  <c r="T1070" i="35" s="1"/>
  <c r="O741" i="35"/>
  <c r="T741" i="35" s="1"/>
  <c r="O936" i="35"/>
  <c r="T936" i="35" s="1"/>
  <c r="O937" i="35"/>
  <c r="T937" i="35" s="1"/>
  <c r="O973" i="35"/>
  <c r="T973" i="35" s="1"/>
  <c r="O870" i="35"/>
  <c r="T870" i="35" s="1"/>
  <c r="O938" i="35"/>
  <c r="T938" i="35" s="1"/>
  <c r="O909" i="35"/>
  <c r="T909" i="35" s="1"/>
  <c r="O317" i="35"/>
  <c r="O404" i="35"/>
  <c r="T404" i="35" s="1"/>
  <c r="O742" i="35"/>
  <c r="T742" i="35" s="1"/>
  <c r="O939" i="35"/>
  <c r="T939" i="35" s="1"/>
  <c r="O851" i="35"/>
  <c r="T851" i="35" s="1"/>
  <c r="O231" i="35"/>
  <c r="T231" i="35" s="1"/>
  <c r="O940" i="35"/>
  <c r="T940" i="35" s="1"/>
  <c r="O806" i="35"/>
  <c r="T806" i="35" s="1"/>
  <c r="O408" i="35"/>
  <c r="T408" i="35" s="1"/>
  <c r="O807" i="35"/>
  <c r="T807" i="35" s="1"/>
  <c r="O875" i="35"/>
  <c r="T875" i="35" s="1"/>
  <c r="O743" i="35"/>
  <c r="T743" i="35" s="1"/>
  <c r="O323" i="35"/>
  <c r="T323" i="35" s="1"/>
  <c r="O899" i="35"/>
  <c r="T899" i="35" s="1"/>
  <c r="O901" i="35"/>
  <c r="T901" i="35" s="1"/>
  <c r="O1075" i="35"/>
  <c r="T1075" i="35" s="1"/>
  <c r="O340" i="35"/>
  <c r="T340" i="35" s="1"/>
  <c r="O834" i="35"/>
  <c r="T834" i="35" s="1"/>
  <c r="O319" i="35"/>
  <c r="T319" i="35" s="1"/>
  <c r="O837" i="35"/>
  <c r="T837" i="35" s="1"/>
  <c r="O1087" i="35"/>
  <c r="T1087" i="35" s="1"/>
  <c r="O808" i="35"/>
  <c r="T808" i="35" s="1"/>
  <c r="O367" i="35"/>
  <c r="T367" i="35" s="1"/>
  <c r="O900" i="35"/>
  <c r="T900" i="35" s="1"/>
  <c r="O841" i="35"/>
  <c r="T841" i="35" s="1"/>
  <c r="O941" i="35"/>
  <c r="T941" i="35" s="1"/>
  <c r="O729" i="35"/>
  <c r="T729" i="35" s="1"/>
  <c r="O291" i="35"/>
  <c r="T291" i="35" s="1"/>
  <c r="O884" i="35"/>
  <c r="T884" i="35" s="1"/>
  <c r="O850" i="35"/>
  <c r="T850" i="35" s="1"/>
  <c r="O942" i="35"/>
  <c r="T942" i="35" s="1"/>
  <c r="O809" i="35"/>
  <c r="T809" i="35" s="1"/>
  <c r="O810" i="35"/>
  <c r="T810" i="35" s="1"/>
  <c r="O1072" i="35"/>
  <c r="T1072" i="35" s="1"/>
  <c r="O811" i="35"/>
  <c r="T811" i="35" s="1"/>
  <c r="O725" i="35"/>
  <c r="T725" i="35" s="1"/>
  <c r="O753" i="35"/>
  <c r="T753" i="35" s="1"/>
  <c r="O997" i="35"/>
  <c r="T997" i="35" s="1"/>
  <c r="O943" i="35"/>
  <c r="T943" i="35" s="1"/>
  <c r="O944" i="35"/>
  <c r="T944" i="35" s="1"/>
  <c r="O356" i="35"/>
  <c r="T356" i="35" s="1"/>
  <c r="O812" i="35"/>
  <c r="T812" i="35" s="1"/>
  <c r="O945" i="35"/>
  <c r="T945" i="35" s="1"/>
  <c r="O375" i="35"/>
  <c r="T375" i="35" s="1"/>
  <c r="O847" i="35"/>
  <c r="T847" i="35" s="1"/>
  <c r="O813" i="35"/>
  <c r="T813" i="35" s="1"/>
  <c r="O730" i="35"/>
  <c r="T730" i="35" s="1"/>
  <c r="O814" i="35"/>
  <c r="T814" i="35" s="1"/>
  <c r="O829" i="35"/>
  <c r="T829" i="35" s="1"/>
  <c r="O744" i="35"/>
  <c r="T744" i="35" s="1"/>
  <c r="O731" i="35"/>
  <c r="T731" i="35" s="1"/>
  <c r="O1083" i="35"/>
  <c r="T1083" i="35" s="1"/>
  <c r="O946" i="35"/>
  <c r="T946" i="35" s="1"/>
  <c r="O856" i="35"/>
  <c r="T856" i="35" s="1"/>
  <c r="O815" i="35"/>
  <c r="T815" i="35" s="1"/>
  <c r="O852" i="35"/>
  <c r="T852" i="35" s="1"/>
  <c r="O947" i="35"/>
  <c r="T947" i="35" s="1"/>
  <c r="O1076" i="35"/>
  <c r="T1076" i="35" s="1"/>
  <c r="O292" i="35"/>
  <c r="T292" i="35" s="1"/>
  <c r="O845" i="35"/>
  <c r="T845" i="35" s="1"/>
  <c r="O998" i="35"/>
  <c r="T998" i="35" s="1"/>
  <c r="O745" i="35"/>
  <c r="T745" i="35" s="1"/>
  <c r="O293" i="35"/>
  <c r="T293" i="35" s="1"/>
  <c r="O726" i="35"/>
  <c r="T726" i="35" s="1"/>
  <c r="O948" i="35"/>
  <c r="T948" i="35" s="1"/>
  <c r="O746" i="35"/>
  <c r="T746" i="35" s="1"/>
  <c r="O949" i="35"/>
  <c r="T949" i="35" s="1"/>
  <c r="O402" i="35"/>
  <c r="T402" i="35" s="1"/>
  <c r="O824" i="35"/>
  <c r="T824" i="35" s="1"/>
  <c r="O407" i="35"/>
  <c r="T407" i="35" s="1"/>
  <c r="O747" i="35"/>
  <c r="T747" i="35" s="1"/>
  <c r="O816" i="35"/>
  <c r="T816" i="35" s="1"/>
  <c r="O817" i="35"/>
  <c r="T817" i="35" s="1"/>
  <c r="O401" i="35"/>
  <c r="T401" i="35" s="1"/>
  <c r="O748" i="35"/>
  <c r="T748" i="35" s="1"/>
  <c r="O925" i="35"/>
  <c r="T925" i="35" s="1"/>
  <c r="O1084" i="35"/>
  <c r="T1084" i="35" s="1"/>
  <c r="O950" i="35"/>
  <c r="T950" i="35" s="1"/>
  <c r="O826" i="35"/>
  <c r="T826" i="35" s="1"/>
  <c r="O853" i="35"/>
  <c r="T853" i="35" s="1"/>
  <c r="O286" i="35"/>
  <c r="T286" i="35" s="1"/>
  <c r="O784" i="35"/>
  <c r="T784" i="35" s="1"/>
  <c r="O818" i="35"/>
  <c r="T818" i="35" s="1"/>
  <c r="O415" i="35"/>
  <c r="T415" i="35" s="1"/>
  <c r="O999" i="35"/>
  <c r="T999" i="35" s="1"/>
  <c r="O413" i="35"/>
  <c r="T413" i="35" s="1"/>
  <c r="O842" i="35"/>
  <c r="T842" i="35" s="1"/>
  <c r="O959" i="35"/>
  <c r="T959" i="35" s="1"/>
  <c r="O830" i="35"/>
  <c r="T830" i="35" s="1"/>
  <c r="O831" i="35"/>
  <c r="T831" i="35" s="1"/>
  <c r="O832" i="35"/>
  <c r="T832" i="35" s="1"/>
  <c r="O951" i="35"/>
  <c r="T951" i="35" s="1"/>
  <c r="O749" i="35"/>
  <c r="T749" i="35" s="1"/>
  <c r="O750" i="35"/>
  <c r="T750" i="35" s="1"/>
  <c r="O819" i="35"/>
  <c r="T819" i="35" s="1"/>
  <c r="O1000" i="35"/>
  <c r="T1000" i="35" s="1"/>
  <c r="O848" i="35"/>
  <c r="T848" i="35" s="1"/>
  <c r="O414" i="35"/>
  <c r="T414" i="35" s="1"/>
  <c r="O820" i="35"/>
  <c r="T820" i="35" s="1"/>
  <c r="O335" i="35"/>
  <c r="T335" i="35" s="1"/>
  <c r="O751" i="35"/>
  <c r="T751" i="35" s="1"/>
  <c r="O727" i="35"/>
  <c r="T727" i="35" s="1"/>
  <c r="O345" i="35"/>
  <c r="T345" i="35" s="1"/>
  <c r="O885" i="35"/>
  <c r="T885" i="35" s="1"/>
  <c r="O962" i="35"/>
  <c r="T962" i="35" s="1"/>
  <c r="O952" i="35"/>
  <c r="T952" i="35" s="1"/>
  <c r="O821" i="35"/>
  <c r="T821" i="35" s="1"/>
  <c r="O838" i="35"/>
  <c r="T838" i="35" s="1"/>
  <c r="O732" i="35"/>
  <c r="T732" i="35" s="1"/>
  <c r="O752" i="35"/>
  <c r="T752" i="35" s="1"/>
  <c r="O822" i="35"/>
  <c r="T822" i="35" s="1"/>
  <c r="O823" i="35"/>
  <c r="T823" i="35" s="1"/>
  <c r="O833" i="35"/>
  <c r="T833" i="35" s="1"/>
  <c r="O283" i="35"/>
  <c r="T283" i="35" s="1"/>
  <c r="O1001" i="35"/>
  <c r="T1001" i="35" s="1"/>
  <c r="O955" i="35"/>
  <c r="T955" i="35" s="1"/>
  <c r="O953" i="35"/>
  <c r="T953" i="35" s="1"/>
  <c r="O849" i="35"/>
  <c r="T849" i="35" s="1"/>
  <c r="O839" i="35"/>
  <c r="T839" i="35" s="1"/>
  <c r="O954" i="35"/>
  <c r="T954" i="35" s="1"/>
  <c r="O893" i="35"/>
  <c r="T893" i="35" s="1"/>
  <c r="O281" i="35"/>
  <c r="T281" i="35" s="1"/>
  <c r="O236" i="35"/>
  <c r="T236" i="35" s="1"/>
  <c r="O298" i="35"/>
  <c r="T298" i="35" s="1"/>
  <c r="O377" i="35"/>
  <c r="T377" i="35" s="1"/>
  <c r="O112" i="35"/>
  <c r="T112" i="35" s="1"/>
  <c r="O264" i="35"/>
  <c r="T264" i="35" s="1"/>
  <c r="O376" i="35"/>
  <c r="T376" i="35" s="1"/>
  <c r="O175" i="35"/>
  <c r="T175" i="35" s="1"/>
  <c r="O216" i="35"/>
  <c r="T216" i="35" s="1"/>
  <c r="O146" i="35"/>
  <c r="T146" i="35" s="1"/>
  <c r="O165" i="35"/>
  <c r="T165" i="35" s="1"/>
  <c r="O380" i="35"/>
  <c r="T380" i="35" s="1"/>
  <c r="O237" i="35"/>
  <c r="T237" i="35" s="1"/>
  <c r="O241" i="35"/>
  <c r="T241" i="35" s="1"/>
  <c r="O379" i="35"/>
  <c r="T379" i="35" s="1"/>
  <c r="O378" i="35"/>
  <c r="T378" i="35" s="1"/>
  <c r="O186" i="35"/>
  <c r="T186" i="35" s="1"/>
  <c r="O381" i="35"/>
  <c r="T381" i="35" s="1"/>
  <c r="O218" i="35"/>
  <c r="T218" i="35" s="1"/>
  <c r="O382" i="35"/>
  <c r="T382" i="35" s="1"/>
  <c r="O383" i="35"/>
  <c r="T383" i="35" s="1"/>
  <c r="O178" i="35"/>
  <c r="T178" i="35" s="1"/>
  <c r="O189" i="35"/>
  <c r="T189" i="35" s="1"/>
  <c r="O228" i="35"/>
  <c r="T228" i="35" s="1"/>
  <c r="O208" i="35"/>
  <c r="T208" i="35" s="1"/>
  <c r="O384" i="35"/>
  <c r="T384" i="35" s="1"/>
  <c r="O385" i="35"/>
  <c r="T385" i="35" s="1"/>
  <c r="O225" i="35"/>
  <c r="T225" i="35" s="1"/>
  <c r="O190" i="35"/>
  <c r="T190" i="35" s="1"/>
  <c r="O224" i="35"/>
  <c r="T224" i="35" s="1"/>
  <c r="O386" i="35"/>
  <c r="T386" i="35" s="1"/>
  <c r="O249" i="35"/>
  <c r="T249" i="35" s="1"/>
  <c r="O387" i="35"/>
  <c r="T387" i="35" s="1"/>
  <c r="O155" i="35"/>
  <c r="T155" i="35" s="1"/>
  <c r="O315" i="35"/>
  <c r="T315" i="35" s="1"/>
  <c r="O388" i="35"/>
  <c r="T388" i="35" s="1"/>
  <c r="O389" i="35"/>
  <c r="T389" i="35" s="1"/>
  <c r="O360" i="35"/>
  <c r="T360" i="35" s="1"/>
  <c r="O134" i="35"/>
  <c r="T134" i="35" s="1"/>
  <c r="O234" i="35"/>
  <c r="T234" i="35" s="1"/>
  <c r="O363" i="35"/>
  <c r="T363" i="35" s="1"/>
  <c r="O195" i="35"/>
  <c r="T195" i="35" s="1"/>
  <c r="O124" i="35"/>
  <c r="T124" i="35" s="1"/>
  <c r="O191" i="35"/>
  <c r="T191" i="35" s="1"/>
  <c r="O358" i="35"/>
  <c r="T358" i="35" s="1"/>
  <c r="O390" i="35"/>
  <c r="T390" i="35" s="1"/>
  <c r="O391" i="35"/>
  <c r="T391" i="35" s="1"/>
  <c r="O393" i="35"/>
  <c r="T393" i="35" s="1"/>
  <c r="O181" i="35"/>
  <c r="T181" i="35" s="1"/>
  <c r="O392" i="35"/>
  <c r="T392" i="35" s="1"/>
  <c r="O394" i="35"/>
  <c r="T394" i="35" s="1"/>
  <c r="O161" i="35"/>
  <c r="T161" i="35" s="1"/>
  <c r="O122" i="35"/>
  <c r="T122" i="35" s="1"/>
  <c r="O274" i="35"/>
  <c r="T274" i="35" s="1"/>
  <c r="O395" i="35"/>
  <c r="T395" i="35" s="1"/>
  <c r="O344" i="35"/>
  <c r="T344" i="35" s="1"/>
  <c r="O396" i="35"/>
  <c r="T396" i="35" s="1"/>
  <c r="O327" i="35"/>
  <c r="T327" i="35" s="1"/>
  <c r="O239" i="35"/>
  <c r="T239" i="35" s="1"/>
  <c r="O399" i="35"/>
  <c r="T399" i="35" s="1"/>
  <c r="O400" i="35"/>
  <c r="T400" i="35" s="1"/>
  <c r="O397" i="35"/>
  <c r="T397" i="35" s="1"/>
  <c r="O347" i="35"/>
  <c r="T347" i="35" s="1"/>
  <c r="O398" i="35"/>
  <c r="T398" i="35" s="1"/>
  <c r="O303" i="35"/>
  <c r="T303" i="35" s="1"/>
  <c r="O277" i="35"/>
  <c r="T277" i="35" s="1"/>
  <c r="O201" i="35"/>
  <c r="T201" i="35" s="1"/>
  <c r="O352" i="35"/>
  <c r="T352" i="35" s="1"/>
  <c r="O299" i="35"/>
  <c r="T299" i="35" s="1"/>
  <c r="O220" i="35"/>
  <c r="T220" i="35" s="1"/>
  <c r="O313" i="35"/>
  <c r="T313" i="35" s="1"/>
  <c r="O173" i="35"/>
  <c r="T173" i="35" s="1"/>
  <c r="O238" i="35"/>
  <c r="T238" i="35" s="1"/>
  <c r="O903" i="35"/>
  <c r="T903" i="35" s="1"/>
  <c r="O403" i="35"/>
  <c r="T403" i="35" s="1"/>
  <c r="O405" i="35"/>
  <c r="T405" i="35" s="1"/>
  <c r="O406" i="35"/>
  <c r="T406" i="35" s="1"/>
  <c r="O282" i="35"/>
  <c r="T282" i="35" s="1"/>
  <c r="O167" i="35"/>
  <c r="T167" i="35" s="1"/>
  <c r="O252" i="35"/>
  <c r="T252" i="35" s="1"/>
  <c r="O333" i="35"/>
  <c r="T333" i="35" s="1"/>
  <c r="O343" i="35"/>
  <c r="T343" i="35" s="1"/>
  <c r="O768" i="35"/>
  <c r="T768" i="35" s="1"/>
  <c r="O409" i="35"/>
  <c r="T409" i="35" s="1"/>
  <c r="O369" i="35"/>
  <c r="T369" i="35" s="1"/>
  <c r="O769" i="35"/>
  <c r="T769" i="35" s="1"/>
  <c r="O770" i="35"/>
  <c r="T770" i="35" s="1"/>
  <c r="O771" i="35"/>
  <c r="T771" i="35" s="1"/>
  <c r="O411" i="35"/>
  <c r="T411" i="35" s="1"/>
  <c r="O904" i="35"/>
  <c r="T904" i="35" s="1"/>
  <c r="O772" i="35"/>
  <c r="T772" i="35" s="1"/>
  <c r="O773" i="35"/>
  <c r="T773" i="35" s="1"/>
  <c r="O774" i="35"/>
  <c r="T774" i="35" s="1"/>
  <c r="O416" i="35"/>
  <c r="T416" i="35" s="1"/>
  <c r="O417" i="35"/>
  <c r="T417" i="35" s="1"/>
  <c r="O285" i="35"/>
  <c r="T285" i="35" s="1"/>
  <c r="O297" i="35"/>
  <c r="T297" i="35" s="1"/>
  <c r="O193" i="35"/>
  <c r="T193" i="35" s="1"/>
  <c r="O418" i="35"/>
  <c r="T418" i="35" s="1"/>
  <c r="O419" i="35"/>
  <c r="T419" i="35" s="1"/>
  <c r="O260" i="35"/>
  <c r="T260" i="35" s="1"/>
  <c r="O310" i="35"/>
  <c r="T310" i="35" s="1"/>
  <c r="O420" i="35"/>
  <c r="T420" i="35" s="1"/>
  <c r="O421" i="35"/>
  <c r="T421" i="35" s="1"/>
  <c r="O9" i="35"/>
  <c r="T9" i="35" s="1"/>
  <c r="O424" i="35"/>
  <c r="T424" i="35" s="1"/>
  <c r="O248" i="35"/>
  <c r="T248" i="35" s="1"/>
  <c r="O423" i="35"/>
  <c r="T423" i="35" s="1"/>
  <c r="O26" i="35"/>
  <c r="T26" i="35" s="1"/>
  <c r="O425" i="35"/>
  <c r="T425" i="35" s="1"/>
  <c r="O372" i="35"/>
  <c r="T372" i="35" s="1"/>
  <c r="O426" i="35"/>
  <c r="T426" i="35" s="1"/>
  <c r="O427" i="35"/>
  <c r="T427" i="35" s="1"/>
  <c r="O153" i="35"/>
  <c r="T153" i="35" s="1"/>
  <c r="O202" i="35"/>
  <c r="T202" i="35" s="1"/>
  <c r="O270" i="35"/>
  <c r="T270" i="35" s="1"/>
  <c r="O196" i="35"/>
  <c r="T196" i="35" s="1"/>
  <c r="O371" i="35"/>
  <c r="T371" i="35" s="1"/>
  <c r="O262" i="35"/>
  <c r="T262" i="35" s="1"/>
  <c r="O232" i="35"/>
  <c r="T232" i="35" s="1"/>
  <c r="O428" i="35"/>
  <c r="T428" i="35" s="1"/>
  <c r="O429" i="35"/>
  <c r="T429" i="35" s="1"/>
  <c r="O15" i="35"/>
  <c r="T15" i="35" s="1"/>
  <c r="O180" i="35"/>
  <c r="T180" i="35" s="1"/>
  <c r="O430" i="35"/>
  <c r="T430" i="35" s="1"/>
  <c r="O295" i="35"/>
  <c r="T295" i="35" s="1"/>
  <c r="O22" i="35"/>
  <c r="T22" i="35" s="1"/>
  <c r="O188" i="35"/>
  <c r="T188" i="35" s="1"/>
  <c r="O29" i="35"/>
  <c r="T29" i="35" s="1"/>
  <c r="O326" i="35"/>
  <c r="T326" i="35" s="1"/>
  <c r="O211" i="35"/>
  <c r="T211" i="35" s="1"/>
  <c r="O290" i="35"/>
  <c r="T290" i="35" s="1"/>
  <c r="O267" i="35"/>
  <c r="T267" i="35" s="1"/>
  <c r="O431" i="35"/>
  <c r="T431" i="35" s="1"/>
  <c r="O432" i="35"/>
  <c r="T432" i="35" s="1"/>
  <c r="O433" i="35"/>
  <c r="T433" i="35" s="1"/>
  <c r="O330" i="35"/>
  <c r="T330" i="35" s="1"/>
  <c r="O434" i="35"/>
  <c r="T434" i="35" s="1"/>
  <c r="O435" i="35"/>
  <c r="T435" i="35" s="1"/>
  <c r="O247" i="35"/>
  <c r="T247" i="35" s="1"/>
  <c r="O318" i="35"/>
  <c r="T318" i="35" s="1"/>
  <c r="O436" i="35"/>
  <c r="T436" i="35" s="1"/>
  <c r="O320" i="35"/>
  <c r="T320" i="35" s="1"/>
  <c r="O187" i="35"/>
  <c r="T187" i="35" s="1"/>
  <c r="O217" i="35"/>
  <c r="T217" i="35" s="1"/>
  <c r="O263" i="35"/>
  <c r="T263" i="35" s="1"/>
  <c r="O199" i="35"/>
  <c r="T199" i="35" s="1"/>
  <c r="O255" i="35"/>
  <c r="T255" i="35" s="1"/>
  <c r="O289" i="35"/>
  <c r="T289" i="35" s="1"/>
  <c r="O8" i="35"/>
  <c r="T8" i="35" s="1"/>
  <c r="O177" i="35"/>
  <c r="T177" i="35" s="1"/>
  <c r="O438" i="35"/>
  <c r="T438" i="35" s="1"/>
  <c r="O437" i="35"/>
  <c r="T437" i="35" s="1"/>
  <c r="O261" i="35"/>
  <c r="T261" i="35" s="1"/>
  <c r="O445" i="35"/>
  <c r="T445" i="35" s="1"/>
  <c r="O442" i="35"/>
  <c r="T442" i="35" s="1"/>
  <c r="O444" i="35"/>
  <c r="T444" i="35" s="1"/>
  <c r="O256" i="35"/>
  <c r="T256" i="35" s="1"/>
  <c r="O314" i="35"/>
  <c r="T314" i="35" s="1"/>
  <c r="O440" i="35"/>
  <c r="T440" i="35" s="1"/>
  <c r="O441" i="35"/>
  <c r="T441" i="35" s="1"/>
  <c r="O443" i="35"/>
  <c r="T443" i="35" s="1"/>
  <c r="O111" i="35"/>
  <c r="T111" i="35" s="1"/>
  <c r="O233" i="35"/>
  <c r="T233" i="35" s="1"/>
  <c r="O439" i="35"/>
  <c r="T439" i="35" s="1"/>
  <c r="O448" i="35"/>
  <c r="T448" i="35" s="1"/>
  <c r="O446" i="35"/>
  <c r="T446" i="35" s="1"/>
  <c r="O157" i="35"/>
  <c r="T157" i="35" s="1"/>
  <c r="O339" i="35"/>
  <c r="T339" i="35" s="1"/>
  <c r="O449" i="35"/>
  <c r="T449" i="35" s="1"/>
  <c r="O450" i="35"/>
  <c r="T450" i="35" s="1"/>
  <c r="O447" i="35"/>
  <c r="T447" i="35" s="1"/>
  <c r="O185" i="35"/>
  <c r="T185" i="35" s="1"/>
  <c r="O250" i="35"/>
  <c r="T250" i="35" s="1"/>
  <c r="O452" i="35"/>
  <c r="T452" i="35" s="1"/>
  <c r="O253" i="35"/>
  <c r="T253" i="35" s="1"/>
  <c r="O192" i="35"/>
  <c r="T192" i="35" s="1"/>
  <c r="O451" i="35"/>
  <c r="T451" i="35" s="1"/>
  <c r="O454" i="35"/>
  <c r="T454" i="35" s="1"/>
  <c r="O254" i="35"/>
  <c r="T254" i="35" s="1"/>
  <c r="O123" i="35"/>
  <c r="T123" i="35" s="1"/>
  <c r="O368" i="35"/>
  <c r="T368" i="35" s="1"/>
  <c r="O36" i="35"/>
  <c r="T36" i="35" s="1"/>
  <c r="O207" i="35"/>
  <c r="T207" i="35" s="1"/>
  <c r="O453" i="35"/>
  <c r="T453" i="35" s="1"/>
  <c r="O13" i="35"/>
  <c r="T13" i="35" s="1"/>
  <c r="O221" i="35"/>
  <c r="T221" i="35" s="1"/>
  <c r="O458" i="35"/>
  <c r="T458" i="35" s="1"/>
  <c r="O456" i="35"/>
  <c r="T456" i="35" s="1"/>
  <c r="O457" i="35"/>
  <c r="T457" i="35" s="1"/>
  <c r="O321" i="35"/>
  <c r="T321" i="35" s="1"/>
  <c r="O308" i="35"/>
  <c r="T308" i="35" s="1"/>
  <c r="O455" i="35"/>
  <c r="T455" i="35" s="1"/>
  <c r="O338" i="35"/>
  <c r="T338" i="35" s="1"/>
  <c r="O459" i="35"/>
  <c r="T459" i="35" s="1"/>
  <c r="O349" i="35"/>
  <c r="T349" i="35" s="1"/>
  <c r="O466" i="35"/>
  <c r="T466" i="35" s="1"/>
  <c r="O461" i="35"/>
  <c r="T461" i="35" s="1"/>
  <c r="O42" i="35"/>
  <c r="T42" i="35" s="1"/>
  <c r="O462" i="35"/>
  <c r="T462" i="35" s="1"/>
  <c r="O460" i="35"/>
  <c r="T460" i="35" s="1"/>
  <c r="O463" i="35"/>
  <c r="T463" i="35" s="1"/>
  <c r="O69" i="35"/>
  <c r="T69" i="35" s="1"/>
  <c r="O464" i="35"/>
  <c r="T464" i="35" s="1"/>
  <c r="O467" i="35"/>
  <c r="T467" i="35" s="1"/>
  <c r="O273" i="35"/>
  <c r="T273" i="35" s="1"/>
  <c r="O465" i="35"/>
  <c r="T465" i="35" s="1"/>
  <c r="O244" i="35"/>
  <c r="T244" i="35" s="1"/>
  <c r="O48" i="35"/>
  <c r="T48" i="35" s="1"/>
  <c r="O156" i="35"/>
  <c r="T156" i="35" s="1"/>
  <c r="O373" i="35"/>
  <c r="T373" i="35" s="1"/>
  <c r="O470" i="35"/>
  <c r="T470" i="35" s="1"/>
  <c r="O472" i="35"/>
  <c r="T472" i="35" s="1"/>
  <c r="O471" i="35"/>
  <c r="T471" i="35" s="1"/>
  <c r="O140" i="35"/>
  <c r="T140" i="35" s="1"/>
  <c r="O14" i="35"/>
  <c r="T14" i="35" s="1"/>
  <c r="O6" i="35"/>
  <c r="T6" i="35" s="1"/>
  <c r="O258" i="35"/>
  <c r="T258" i="35" s="1"/>
  <c r="O469" i="35"/>
  <c r="T469" i="35" s="1"/>
  <c r="O1097" i="35"/>
  <c r="T1097" i="35" s="1"/>
  <c r="O468" i="35"/>
  <c r="T468" i="35" s="1"/>
  <c r="O168" i="35"/>
  <c r="T168" i="35" s="1"/>
  <c r="O311" i="35"/>
  <c r="T311" i="35" s="1"/>
  <c r="O473" i="35"/>
  <c r="T473" i="35" s="1"/>
  <c r="O365" i="35"/>
  <c r="T365" i="35" s="1"/>
  <c r="O476" i="35"/>
  <c r="T476" i="35" s="1"/>
  <c r="O336" i="35"/>
  <c r="T336" i="35" s="1"/>
  <c r="O475" i="35"/>
  <c r="T475" i="35" s="1"/>
  <c r="O479" i="35"/>
  <c r="T479" i="35" s="1"/>
  <c r="O478" i="35"/>
  <c r="T478" i="35" s="1"/>
  <c r="O474" i="35"/>
  <c r="T474" i="35" s="1"/>
  <c r="O483" i="35"/>
  <c r="T483" i="35" s="1"/>
  <c r="O477" i="35"/>
  <c r="T477" i="35" s="1"/>
  <c r="O235" i="35"/>
  <c r="T235" i="35" s="1"/>
  <c r="O240" i="35"/>
  <c r="T240" i="35" s="1"/>
  <c r="O301" i="35"/>
  <c r="T301" i="35" s="1"/>
  <c r="O480" i="35"/>
  <c r="T480" i="35" s="1"/>
  <c r="O481" i="35"/>
  <c r="T481" i="35" s="1"/>
  <c r="O275" i="35"/>
  <c r="T275" i="35" s="1"/>
  <c r="O482" i="35"/>
  <c r="T482" i="35" s="1"/>
  <c r="O485" i="35"/>
  <c r="T485" i="35" s="1"/>
  <c r="O210" i="35"/>
  <c r="T210" i="35" s="1"/>
  <c r="O488" i="35"/>
  <c r="T488" i="35" s="1"/>
  <c r="O171" i="35"/>
  <c r="T171" i="35" s="1"/>
  <c r="O486" i="35"/>
  <c r="T486" i="35" s="1"/>
  <c r="O350" i="35"/>
  <c r="T350" i="35" s="1"/>
  <c r="O489" i="35"/>
  <c r="T489" i="35" s="1"/>
  <c r="O487" i="35"/>
  <c r="T487" i="35" s="1"/>
  <c r="O242" i="35"/>
  <c r="T242" i="35" s="1"/>
  <c r="O276" i="35"/>
  <c r="T276" i="35" s="1"/>
  <c r="O491" i="35"/>
  <c r="T491" i="35" s="1"/>
  <c r="O151" i="35"/>
  <c r="T151" i="35" s="1"/>
  <c r="O294" i="35"/>
  <c r="T294" i="35" s="1"/>
  <c r="O484" i="35"/>
  <c r="T484" i="35" s="1"/>
  <c r="O131" i="35"/>
  <c r="T131" i="35" s="1"/>
  <c r="O490" i="35"/>
  <c r="T490" i="35" s="1"/>
  <c r="O152" i="35"/>
  <c r="T152" i="35" s="1"/>
  <c r="O145" i="35"/>
  <c r="T145" i="35" s="1"/>
  <c r="O493" i="35"/>
  <c r="T493" i="35" s="1"/>
  <c r="O229" i="35"/>
  <c r="T229" i="35" s="1"/>
  <c r="O492" i="35"/>
  <c r="T492" i="35" s="1"/>
  <c r="O495" i="35"/>
  <c r="T495" i="35" s="1"/>
  <c r="O306" i="35"/>
  <c r="T306" i="35" s="1"/>
  <c r="O494" i="35"/>
  <c r="T494" i="35" s="1"/>
  <c r="O243" i="35"/>
  <c r="T243" i="35" s="1"/>
  <c r="O227" i="35"/>
  <c r="T227" i="35" s="1"/>
  <c r="O87" i="35"/>
  <c r="T87" i="35" s="1"/>
  <c r="O497" i="35"/>
  <c r="T497" i="35" s="1"/>
  <c r="O200" i="35"/>
  <c r="T200" i="35" s="1"/>
  <c r="O215" i="35"/>
  <c r="T215" i="35" s="1"/>
  <c r="O499" i="35"/>
  <c r="T499" i="35" s="1"/>
  <c r="O498" i="35"/>
  <c r="T498" i="35" s="1"/>
  <c r="O93" i="35"/>
  <c r="T93" i="35" s="1"/>
  <c r="O496" i="35"/>
  <c r="T496" i="35" s="1"/>
  <c r="O500" i="35"/>
  <c r="T500" i="35" s="1"/>
  <c r="O1074" i="35"/>
  <c r="T1074" i="35" s="1"/>
  <c r="O501" i="35"/>
  <c r="T501" i="35" s="1"/>
  <c r="O506" i="35"/>
  <c r="T506" i="35" s="1"/>
  <c r="O508" i="35"/>
  <c r="T508" i="35" s="1"/>
  <c r="O502" i="35"/>
  <c r="T502" i="35" s="1"/>
  <c r="O194" i="35"/>
  <c r="T194" i="35" s="1"/>
  <c r="O510" i="35"/>
  <c r="T510" i="35" s="1"/>
  <c r="O209" i="35"/>
  <c r="T209" i="35" s="1"/>
  <c r="O174" i="35"/>
  <c r="T174" i="35" s="1"/>
  <c r="O503" i="35"/>
  <c r="T503" i="35" s="1"/>
  <c r="O507" i="35"/>
  <c r="T507" i="35" s="1"/>
  <c r="O355" i="35"/>
  <c r="T355" i="35" s="1"/>
  <c r="O353" i="35"/>
  <c r="T353" i="35" s="1"/>
  <c r="O158" i="35"/>
  <c r="T158" i="35" s="1"/>
  <c r="O509" i="35"/>
  <c r="T509" i="35" s="1"/>
  <c r="O504" i="35"/>
  <c r="T504" i="35" s="1"/>
  <c r="O505" i="35"/>
  <c r="T505" i="35" s="1"/>
  <c r="O266" i="35"/>
  <c r="T266" i="35" s="1"/>
  <c r="O364" i="35"/>
  <c r="T364" i="35" s="1"/>
  <c r="O514" i="35"/>
  <c r="T514" i="35" s="1"/>
  <c r="O331" i="35"/>
  <c r="T331" i="35" s="1"/>
  <c r="O142" i="35"/>
  <c r="T142" i="35" s="1"/>
  <c r="O334" i="35"/>
  <c r="T334" i="35" s="1"/>
  <c r="O517" i="35"/>
  <c r="T517" i="35" s="1"/>
  <c r="O511" i="35"/>
  <c r="T511" i="35" s="1"/>
  <c r="O245" i="35"/>
  <c r="T245" i="35" s="1"/>
  <c r="O226" i="35"/>
  <c r="T226" i="35" s="1"/>
  <c r="O516" i="35"/>
  <c r="T516" i="35" s="1"/>
  <c r="O219" i="35"/>
  <c r="T219" i="35" s="1"/>
  <c r="O513" i="35"/>
  <c r="T513" i="35" s="1"/>
  <c r="O515" i="35"/>
  <c r="T515" i="35" s="1"/>
  <c r="O512" i="35"/>
  <c r="T512" i="35" s="1"/>
  <c r="O117" i="35"/>
  <c r="T117" i="35" s="1"/>
  <c r="O206" i="35"/>
  <c r="T206" i="35" s="1"/>
  <c r="O519" i="35"/>
  <c r="T519" i="35" s="1"/>
  <c r="O518" i="35"/>
  <c r="T518" i="35" s="1"/>
  <c r="O520" i="35"/>
  <c r="T520" i="35" s="1"/>
  <c r="O316" i="35"/>
  <c r="T316" i="35" s="1"/>
  <c r="O521" i="35"/>
  <c r="T521" i="35" s="1"/>
  <c r="O212" i="35"/>
  <c r="T212" i="35" s="1"/>
  <c r="O522" i="35"/>
  <c r="T522" i="35" s="1"/>
  <c r="O524" i="35"/>
  <c r="T524" i="35" s="1"/>
  <c r="O523" i="35"/>
  <c r="T523" i="35" s="1"/>
  <c r="O370" i="35"/>
  <c r="T370" i="35" s="1"/>
  <c r="O198" i="35"/>
  <c r="T198" i="35" s="1"/>
  <c r="O527" i="35"/>
  <c r="T527" i="35" s="1"/>
  <c r="O325" i="35"/>
  <c r="T325" i="35" s="1"/>
  <c r="O531" i="35"/>
  <c r="T531" i="35" s="1"/>
  <c r="O251" i="35"/>
  <c r="T251" i="35" s="1"/>
  <c r="O530" i="35"/>
  <c r="T530" i="35" s="1"/>
  <c r="O526" i="35"/>
  <c r="T526" i="35" s="1"/>
  <c r="O525" i="35"/>
  <c r="T525" i="35" s="1"/>
  <c r="O222" i="35"/>
  <c r="T222" i="35" s="1"/>
  <c r="O528" i="35"/>
  <c r="T528" i="35" s="1"/>
  <c r="O529" i="35"/>
  <c r="T529" i="35" s="1"/>
  <c r="O144" i="35"/>
  <c r="T144" i="35" s="1"/>
  <c r="O536" i="35"/>
  <c r="T536" i="35" s="1"/>
  <c r="O534" i="35"/>
  <c r="T534" i="35" s="1"/>
  <c r="O246" i="35"/>
  <c r="T246" i="35" s="1"/>
  <c r="O535" i="35"/>
  <c r="T535" i="35" s="1"/>
  <c r="O533" i="35"/>
  <c r="T533" i="35" s="1"/>
  <c r="O532" i="35"/>
  <c r="T532" i="35" s="1"/>
  <c r="O543" i="35"/>
  <c r="T543" i="35" s="1"/>
  <c r="O541" i="35"/>
  <c r="T541" i="35" s="1"/>
  <c r="O324" i="35"/>
  <c r="T324" i="35" s="1"/>
  <c r="O354" i="35"/>
  <c r="T354" i="35" s="1"/>
  <c r="O537" i="35"/>
  <c r="T537" i="35" s="1"/>
  <c r="O538" i="35"/>
  <c r="T538" i="35" s="1"/>
  <c r="O542" i="35"/>
  <c r="T542" i="35" s="1"/>
  <c r="O540" i="35"/>
  <c r="T540" i="35" s="1"/>
  <c r="O544" i="35"/>
  <c r="T544" i="35" s="1"/>
  <c r="O539" i="35"/>
  <c r="T539" i="35" s="1"/>
  <c r="O341" i="35"/>
  <c r="T341" i="35" s="1"/>
  <c r="O150" i="35"/>
  <c r="T150" i="35" s="1"/>
  <c r="O109" i="35"/>
  <c r="T109" i="35" s="1"/>
  <c r="O149" i="35"/>
  <c r="T149" i="35" s="1"/>
  <c r="O547" i="35"/>
  <c r="T547" i="35" s="1"/>
  <c r="O548" i="35"/>
  <c r="T548" i="35" s="1"/>
  <c r="O545" i="35"/>
  <c r="T545" i="35" s="1"/>
  <c r="O546" i="35"/>
  <c r="T546" i="35" s="1"/>
  <c r="O549" i="35"/>
  <c r="T549" i="35" s="1"/>
  <c r="O296" i="35"/>
  <c r="T296" i="35" s="1"/>
  <c r="O102" i="35"/>
  <c r="T102" i="35" s="1"/>
  <c r="O329" i="35"/>
  <c r="T329" i="35" s="1"/>
  <c r="O183" i="35"/>
  <c r="T183" i="35" s="1"/>
  <c r="O76" i="35"/>
  <c r="T76" i="35" s="1"/>
  <c r="O551" i="35"/>
  <c r="T551" i="35" s="1"/>
  <c r="O88" i="35"/>
  <c r="T88" i="35" s="1"/>
  <c r="O550" i="35"/>
  <c r="T550" i="35" s="1"/>
  <c r="O332" i="35"/>
  <c r="T332" i="35" s="1"/>
  <c r="O213" i="35"/>
  <c r="T213" i="35" s="1"/>
  <c r="O552" i="35"/>
  <c r="T552" i="35" s="1"/>
  <c r="O32" i="35"/>
  <c r="T32" i="35" s="1"/>
  <c r="O106" i="35"/>
  <c r="T106" i="35" s="1"/>
  <c r="O279" i="35"/>
  <c r="T279" i="35" s="1"/>
  <c r="O557" i="35"/>
  <c r="T557" i="35" s="1"/>
  <c r="O305" i="35"/>
  <c r="T305" i="35" s="1"/>
  <c r="O284" i="35"/>
  <c r="T284" i="35" s="1"/>
  <c r="O556" i="35"/>
  <c r="T556" i="35" s="1"/>
  <c r="O204" i="35"/>
  <c r="T204" i="35" s="1"/>
  <c r="O553" i="35"/>
  <c r="T553" i="35" s="1"/>
  <c r="O348" i="35"/>
  <c r="T348" i="35" s="1"/>
  <c r="O554" i="35"/>
  <c r="T554" i="35" s="1"/>
  <c r="O555" i="35"/>
  <c r="T555" i="35" s="1"/>
  <c r="O307" i="35"/>
  <c r="T307" i="35" s="1"/>
  <c r="O559" i="35"/>
  <c r="T559" i="35" s="1"/>
  <c r="O558" i="35"/>
  <c r="T558" i="35" s="1"/>
  <c r="O259" i="35"/>
  <c r="T259" i="35" s="1"/>
  <c r="O257" i="35"/>
  <c r="T257" i="35" s="1"/>
  <c r="O561" i="35"/>
  <c r="T561" i="35" s="1"/>
  <c r="O560" i="35"/>
  <c r="T560" i="35" s="1"/>
  <c r="O562" i="35"/>
  <c r="T562" i="35" s="1"/>
  <c r="O563" i="35"/>
  <c r="T563" i="35" s="1"/>
  <c r="O66" i="35"/>
  <c r="T66" i="35" s="1"/>
  <c r="O566" i="35"/>
  <c r="T566" i="35" s="1"/>
  <c r="O565" i="35"/>
  <c r="T565" i="35" s="1"/>
  <c r="O564" i="35"/>
  <c r="T564" i="35" s="1"/>
  <c r="O269" i="35"/>
  <c r="T269" i="35" s="1"/>
  <c r="O567" i="35"/>
  <c r="T567" i="35" s="1"/>
  <c r="O137" i="35"/>
  <c r="T137" i="35" s="1"/>
  <c r="O84" i="35"/>
  <c r="T84" i="35" s="1"/>
  <c r="O230" i="35"/>
  <c r="T230" i="35" s="1"/>
  <c r="O58" i="35"/>
  <c r="T58" i="35" s="1"/>
  <c r="O571" i="35"/>
  <c r="T571" i="35" s="1"/>
  <c r="O568" i="35"/>
  <c r="T568" i="35" s="1"/>
  <c r="O569" i="35"/>
  <c r="T569" i="35" s="1"/>
  <c r="O1071" i="35"/>
  <c r="T1071" i="35" s="1"/>
  <c r="O197" i="35"/>
  <c r="T197" i="35" s="1"/>
  <c r="O96" i="35"/>
  <c r="T96" i="35" s="1"/>
  <c r="O570" i="35"/>
  <c r="T570" i="35" s="1"/>
  <c r="O572" i="35"/>
  <c r="T572" i="35" s="1"/>
  <c r="O1082" i="35"/>
  <c r="T1082" i="35" s="1"/>
  <c r="O574" i="35"/>
  <c r="T574" i="35" s="1"/>
  <c r="O578" i="35"/>
  <c r="T578" i="35" s="1"/>
  <c r="O581" i="35"/>
  <c r="T581" i="35" s="1"/>
  <c r="O576" i="35"/>
  <c r="T576" i="35" s="1"/>
  <c r="O580" i="35"/>
  <c r="T580" i="35" s="1"/>
  <c r="O579" i="35"/>
  <c r="T579" i="35" s="1"/>
  <c r="O582" i="35"/>
  <c r="T582" i="35" s="1"/>
  <c r="O94" i="35"/>
  <c r="T94" i="35" s="1"/>
  <c r="O374" i="35"/>
  <c r="T374" i="35" s="1"/>
  <c r="O1077" i="35"/>
  <c r="T1077" i="35" s="1"/>
  <c r="O44" i="35"/>
  <c r="T44" i="35" s="1"/>
  <c r="O68" i="35"/>
  <c r="T68" i="35" s="1"/>
  <c r="O577" i="35"/>
  <c r="T577" i="35" s="1"/>
  <c r="O1093" i="35"/>
  <c r="T1093" i="35" s="1"/>
  <c r="O63" i="35"/>
  <c r="T63" i="35" s="1"/>
  <c r="O575" i="35"/>
  <c r="T575" i="35" s="1"/>
  <c r="O49" i="35"/>
  <c r="T49" i="35" s="1"/>
  <c r="O97" i="35"/>
  <c r="T97" i="35" s="1"/>
  <c r="O584" i="35"/>
  <c r="T584" i="35" s="1"/>
  <c r="O170" i="35"/>
  <c r="T170" i="35" s="1"/>
  <c r="O585" i="35"/>
  <c r="T585" i="35" s="1"/>
  <c r="O46" i="35"/>
  <c r="T46" i="35" s="1"/>
  <c r="O268" i="35"/>
  <c r="T268" i="35" s="1"/>
  <c r="O583" i="35"/>
  <c r="T583" i="35" s="1"/>
  <c r="O1081" i="35"/>
  <c r="T1081" i="35" s="1"/>
  <c r="O586" i="35"/>
  <c r="T586" i="35" s="1"/>
  <c r="O118" i="35"/>
  <c r="T118" i="35" s="1"/>
  <c r="O83" i="35"/>
  <c r="T83" i="35" s="1"/>
  <c r="O587" i="35"/>
  <c r="T587" i="35" s="1"/>
  <c r="O79" i="35"/>
  <c r="T79" i="35" s="1"/>
  <c r="O589" i="35"/>
  <c r="T589" i="35" s="1"/>
  <c r="O328" i="35"/>
  <c r="T328" i="35" s="1"/>
  <c r="O1073" i="35"/>
  <c r="T1073" i="35" s="1"/>
  <c r="O55" i="35"/>
  <c r="T55" i="35" s="1"/>
  <c r="O366" i="35"/>
  <c r="T366" i="35" s="1"/>
  <c r="O214" i="35"/>
  <c r="T214" i="35" s="1"/>
  <c r="O588" i="35"/>
  <c r="T588" i="35" s="1"/>
  <c r="O50" i="35"/>
  <c r="T50" i="35" s="1"/>
  <c r="O80" i="35"/>
  <c r="T80" i="35" s="1"/>
  <c r="O590" i="35"/>
  <c r="T590" i="35" s="1"/>
  <c r="O591" i="35"/>
  <c r="T591" i="35" s="1"/>
  <c r="O77" i="35"/>
  <c r="T77" i="35" s="1"/>
  <c r="O593" i="35"/>
  <c r="T593" i="35" s="1"/>
  <c r="O182" i="35"/>
  <c r="T182" i="35" s="1"/>
  <c r="O592" i="35"/>
  <c r="T592" i="35" s="1"/>
  <c r="O107" i="35"/>
  <c r="T107" i="35" s="1"/>
  <c r="O362" i="35"/>
  <c r="T362" i="35" s="1"/>
  <c r="O597" i="35"/>
  <c r="T597" i="35" s="1"/>
  <c r="O120" i="35"/>
  <c r="T120" i="35" s="1"/>
  <c r="O594" i="35"/>
  <c r="T594" i="35" s="1"/>
  <c r="O271" i="35"/>
  <c r="T271" i="35" s="1"/>
  <c r="O166" i="35"/>
  <c r="T166" i="35" s="1"/>
  <c r="O595" i="35"/>
  <c r="T595" i="35" s="1"/>
  <c r="O78" i="35"/>
  <c r="T78" i="35" s="1"/>
  <c r="O596" i="35"/>
  <c r="T596" i="35" s="1"/>
  <c r="O59" i="35"/>
  <c r="T59" i="35" s="1"/>
  <c r="O163" i="35"/>
  <c r="T163" i="35" s="1"/>
  <c r="O598" i="35"/>
  <c r="T598" i="35" s="1"/>
  <c r="O223" i="35"/>
  <c r="T223" i="35" s="1"/>
  <c r="O23" i="35"/>
  <c r="T23" i="35" s="1"/>
  <c r="O606" i="35"/>
  <c r="T606" i="35" s="1"/>
  <c r="O604" i="35"/>
  <c r="T604" i="35" s="1"/>
  <c r="O600" i="35"/>
  <c r="T600" i="35" s="1"/>
  <c r="O605" i="35"/>
  <c r="T605" i="35" s="1"/>
  <c r="O205" i="35"/>
  <c r="T205" i="35" s="1"/>
  <c r="O601" i="35"/>
  <c r="T601" i="35" s="1"/>
  <c r="O599" i="35"/>
  <c r="T599" i="35" s="1"/>
  <c r="O602" i="35"/>
  <c r="T602" i="35" s="1"/>
  <c r="O603" i="35"/>
  <c r="T603" i="35" s="1"/>
  <c r="O136" i="35"/>
  <c r="T136" i="35" s="1"/>
  <c r="O31" i="35"/>
  <c r="T31" i="35" s="1"/>
  <c r="O607" i="35"/>
  <c r="T607" i="35" s="1"/>
  <c r="O65" i="35"/>
  <c r="T65" i="35" s="1"/>
  <c r="O169" i="35"/>
  <c r="T169" i="35" s="1"/>
  <c r="O61" i="35"/>
  <c r="T61" i="35" s="1"/>
  <c r="O609" i="35"/>
  <c r="T609" i="35" s="1"/>
  <c r="O126" i="35"/>
  <c r="T126" i="35" s="1"/>
  <c r="O608" i="35"/>
  <c r="T608" i="35" s="1"/>
  <c r="O105" i="35"/>
  <c r="T105" i="35" s="1"/>
  <c r="O610" i="35"/>
  <c r="T610" i="35" s="1"/>
  <c r="O72" i="35"/>
  <c r="T72" i="35" s="1"/>
  <c r="O612" i="35"/>
  <c r="T612" i="35" s="1"/>
  <c r="O5" i="35"/>
  <c r="T5" i="35" s="1"/>
  <c r="O45" i="35"/>
  <c r="T45" i="35" s="1"/>
  <c r="O613" i="35"/>
  <c r="T613" i="35" s="1"/>
  <c r="O611" i="35"/>
  <c r="T611" i="35" s="1"/>
  <c r="O56" i="35"/>
  <c r="T56" i="35" s="1"/>
  <c r="O37" i="35"/>
  <c r="T37" i="35" s="1"/>
  <c r="O99" i="35"/>
  <c r="T99" i="35" s="1"/>
  <c r="O322" i="35"/>
  <c r="T322" i="35" s="1"/>
  <c r="O302" i="35"/>
  <c r="T302" i="35" s="1"/>
  <c r="O615" i="35"/>
  <c r="T615" i="35" s="1"/>
  <c r="O618" i="35"/>
  <c r="T618" i="35" s="1"/>
  <c r="O614" i="35"/>
  <c r="T614" i="35" s="1"/>
  <c r="O43" i="35"/>
  <c r="T43" i="35" s="1"/>
  <c r="O54" i="35"/>
  <c r="T54" i="35" s="1"/>
  <c r="O620" i="35"/>
  <c r="T620" i="35" s="1"/>
  <c r="O619" i="35"/>
  <c r="T619" i="35" s="1"/>
  <c r="O100" i="35"/>
  <c r="T100" i="35" s="1"/>
  <c r="O351" i="35"/>
  <c r="T351" i="35" s="1"/>
  <c r="O616" i="35"/>
  <c r="T616" i="35" s="1"/>
  <c r="O617" i="35"/>
  <c r="T617" i="35" s="1"/>
  <c r="O104" i="35"/>
  <c r="T104" i="35" s="1"/>
  <c r="O626" i="35"/>
  <c r="T626" i="35" s="1"/>
  <c r="O627" i="35"/>
  <c r="T627" i="35" s="1"/>
  <c r="O621" i="35"/>
  <c r="T621" i="35" s="1"/>
  <c r="O60" i="35"/>
  <c r="T60" i="35" s="1"/>
  <c r="O622" i="35"/>
  <c r="T622" i="35" s="1"/>
  <c r="O172" i="35"/>
  <c r="T172" i="35" s="1"/>
  <c r="O18" i="35"/>
  <c r="T18" i="35" s="1"/>
  <c r="O624" i="35"/>
  <c r="T624" i="35" s="1"/>
  <c r="O623" i="35"/>
  <c r="T623" i="35" s="1"/>
  <c r="O625" i="35"/>
  <c r="T625" i="35" s="1"/>
  <c r="O130" i="35"/>
  <c r="T130" i="35" s="1"/>
  <c r="O51" i="35"/>
  <c r="T51" i="35" s="1"/>
  <c r="O154" i="35"/>
  <c r="T154" i="35" s="1"/>
  <c r="O629" i="35"/>
  <c r="T629" i="35" s="1"/>
  <c r="O90" i="35"/>
  <c r="T90" i="35" s="1"/>
  <c r="O635" i="35"/>
  <c r="T635" i="35" s="1"/>
  <c r="O101" i="35"/>
  <c r="T101" i="35" s="1"/>
  <c r="O633" i="35"/>
  <c r="T633" i="35" s="1"/>
  <c r="O116" i="35"/>
  <c r="T116" i="35" s="1"/>
  <c r="O634" i="35"/>
  <c r="T634" i="35" s="1"/>
  <c r="O630" i="35"/>
  <c r="T630" i="35" s="1"/>
  <c r="O62" i="35"/>
  <c r="T62" i="35" s="1"/>
  <c r="O17" i="35"/>
  <c r="T17" i="35" s="1"/>
  <c r="O631" i="35"/>
  <c r="T631" i="35" s="1"/>
  <c r="O628" i="35"/>
  <c r="T628" i="35" s="1"/>
  <c r="O632" i="35"/>
  <c r="T632" i="35" s="1"/>
  <c r="O40" i="35"/>
  <c r="T40" i="35" s="1"/>
  <c r="O10" i="35"/>
  <c r="T10" i="35" s="1"/>
  <c r="O637" i="35"/>
  <c r="T637" i="35" s="1"/>
  <c r="O272" i="35"/>
  <c r="T272" i="35" s="1"/>
  <c r="O176" i="35"/>
  <c r="T176" i="35" s="1"/>
  <c r="O30" i="35"/>
  <c r="T30" i="35" s="1"/>
  <c r="O639" i="35"/>
  <c r="T639" i="35" s="1"/>
  <c r="O39" i="35"/>
  <c r="T39" i="35" s="1"/>
  <c r="O82" i="35"/>
  <c r="T82" i="35" s="1"/>
  <c r="O636" i="35"/>
  <c r="T636" i="35" s="1"/>
  <c r="O57" i="35"/>
  <c r="T57" i="35" s="1"/>
  <c r="O638" i="35"/>
  <c r="T638" i="35" s="1"/>
  <c r="O1086" i="35"/>
  <c r="T1086" i="35" s="1"/>
  <c r="O41" i="35"/>
  <c r="T41" i="35" s="1"/>
  <c r="O21" i="35"/>
  <c r="T21" i="35" s="1"/>
  <c r="O3" i="35"/>
  <c r="T3" i="35" s="1"/>
  <c r="O640" i="35"/>
  <c r="T640" i="35" s="1"/>
  <c r="O119" i="35"/>
  <c r="T119" i="35" s="1"/>
  <c r="O138" i="35"/>
  <c r="T138" i="35" s="1"/>
  <c r="O64" i="35"/>
  <c r="T64" i="35" s="1"/>
  <c r="O85" i="35"/>
  <c r="T85" i="35" s="1"/>
  <c r="O644" i="35"/>
  <c r="T644" i="35" s="1"/>
  <c r="O643" i="35"/>
  <c r="T643" i="35" s="1"/>
  <c r="O642" i="35"/>
  <c r="T642" i="35" s="1"/>
  <c r="O7" i="35"/>
  <c r="T7" i="35" s="1"/>
  <c r="O147" i="35"/>
  <c r="T147" i="35" s="1"/>
  <c r="O641" i="35"/>
  <c r="T641" i="35" s="1"/>
  <c r="O143" i="35"/>
  <c r="T143" i="35" s="1"/>
  <c r="O184" i="35"/>
  <c r="T184" i="35" s="1"/>
  <c r="O650" i="35"/>
  <c r="T650" i="35" s="1"/>
  <c r="O127" i="35"/>
  <c r="T127" i="35" s="1"/>
  <c r="O655" i="35"/>
  <c r="T655" i="35" s="1"/>
  <c r="O654" i="35"/>
  <c r="T654" i="35" s="1"/>
  <c r="O135" i="35"/>
  <c r="T135" i="35" s="1"/>
  <c r="O651" i="35"/>
  <c r="T651" i="35" s="1"/>
  <c r="O647" i="35"/>
  <c r="T647" i="35" s="1"/>
  <c r="O337" i="35"/>
  <c r="T337" i="35" s="1"/>
  <c r="O653" i="35"/>
  <c r="T653" i="35" s="1"/>
  <c r="O652" i="35"/>
  <c r="T652" i="35" s="1"/>
  <c r="O646" i="35"/>
  <c r="T646" i="35" s="1"/>
  <c r="O648" i="35"/>
  <c r="T648" i="35" s="1"/>
  <c r="O164" i="35"/>
  <c r="T164" i="35" s="1"/>
  <c r="O656" i="35"/>
  <c r="T656" i="35" s="1"/>
  <c r="O649" i="35"/>
  <c r="T649" i="35" s="1"/>
  <c r="O115" i="35"/>
  <c r="T115" i="35" s="1"/>
  <c r="O16" i="35"/>
  <c r="T16" i="35" s="1"/>
  <c r="O657" i="35"/>
  <c r="T657" i="35" s="1"/>
  <c r="O25" i="35"/>
  <c r="T25" i="35" s="1"/>
  <c r="O38" i="35"/>
  <c r="T38" i="35" s="1"/>
  <c r="O52" i="35"/>
  <c r="T52" i="35" s="1"/>
  <c r="O4" i="35"/>
  <c r="T4" i="35" s="1"/>
  <c r="O661" i="35"/>
  <c r="T661" i="35" s="1"/>
  <c r="O658" i="35"/>
  <c r="T658" i="35" s="1"/>
  <c r="O659" i="35"/>
  <c r="T659" i="35" s="1"/>
  <c r="O660" i="35"/>
  <c r="T660" i="35" s="1"/>
  <c r="O27" i="35"/>
  <c r="T27" i="35" s="1"/>
  <c r="O71" i="35"/>
  <c r="T71" i="35" s="1"/>
  <c r="O662" i="35"/>
  <c r="T662" i="35" s="1"/>
  <c r="O346" i="35"/>
  <c r="T346" i="35" s="1"/>
  <c r="O664" i="35"/>
  <c r="T664" i="35" s="1"/>
  <c r="O663" i="35"/>
  <c r="T663" i="35" s="1"/>
  <c r="O73" i="35"/>
  <c r="T73" i="35" s="1"/>
  <c r="O1094" i="35"/>
  <c r="T1094" i="35" s="1"/>
  <c r="O667" i="35"/>
  <c r="T667" i="35" s="1"/>
  <c r="O666" i="35"/>
  <c r="T666" i="35" s="1"/>
  <c r="O309" i="35"/>
  <c r="T309" i="35" s="1"/>
  <c r="O665" i="35"/>
  <c r="T665" i="35" s="1"/>
  <c r="O53" i="35"/>
  <c r="T53" i="35" s="1"/>
  <c r="O668" i="35"/>
  <c r="T668" i="35" s="1"/>
  <c r="O671" i="35"/>
  <c r="T671" i="35" s="1"/>
  <c r="O20" i="35"/>
  <c r="T20" i="35" s="1"/>
  <c r="O674" i="35"/>
  <c r="T674" i="35" s="1"/>
  <c r="O672" i="35"/>
  <c r="T672" i="35" s="1"/>
  <c r="O125" i="35"/>
  <c r="T125" i="35" s="1"/>
  <c r="O669" i="35"/>
  <c r="T669" i="35" s="1"/>
  <c r="O1085" i="35"/>
  <c r="T1085" i="35" s="1"/>
  <c r="O676" i="35"/>
  <c r="T676" i="35" s="1"/>
  <c r="O670" i="35"/>
  <c r="T670" i="35" s="1"/>
  <c r="O675" i="35"/>
  <c r="T675" i="35" s="1"/>
  <c r="O673" i="35"/>
  <c r="T673" i="35" s="1"/>
  <c r="O681" i="35"/>
  <c r="T681" i="35" s="1"/>
  <c r="O679" i="35"/>
  <c r="T679" i="35" s="1"/>
  <c r="O139" i="35"/>
  <c r="T139" i="35" s="1"/>
  <c r="O680" i="35"/>
  <c r="T680" i="35" s="1"/>
  <c r="O682" i="35"/>
  <c r="T682" i="35" s="1"/>
  <c r="O1091" i="35"/>
  <c r="T1091" i="35" s="1"/>
  <c r="O12" i="35"/>
  <c r="T12" i="35" s="1"/>
  <c r="O86" i="35"/>
  <c r="T86" i="35" s="1"/>
  <c r="O133" i="35"/>
  <c r="T133" i="35" s="1"/>
  <c r="O677" i="35"/>
  <c r="T677" i="35" s="1"/>
  <c r="O683" i="35"/>
  <c r="T683" i="35" s="1"/>
  <c r="O35" i="35"/>
  <c r="T35" i="35" s="1"/>
  <c r="O361" i="35"/>
  <c r="T361" i="35" s="1"/>
  <c r="O678" i="35"/>
  <c r="T678" i="35" s="1"/>
  <c r="O114" i="35"/>
  <c r="T114" i="35" s="1"/>
  <c r="O1078" i="35"/>
  <c r="T1078" i="35" s="1"/>
  <c r="O1079" i="35"/>
  <c r="T1079" i="35" s="1"/>
  <c r="O685" i="35"/>
  <c r="T685" i="35" s="1"/>
  <c r="O684" i="35"/>
  <c r="T684" i="35" s="1"/>
  <c r="O686" i="35"/>
  <c r="T686" i="35" s="1"/>
  <c r="O1098" i="35"/>
  <c r="T1098" i="35" s="1"/>
  <c r="O312" i="35"/>
  <c r="T312" i="35" s="1"/>
  <c r="O687" i="35"/>
  <c r="T687" i="35" s="1"/>
  <c r="O689" i="35"/>
  <c r="T689" i="35" s="1"/>
  <c r="O300" i="35"/>
  <c r="T300" i="35" s="1"/>
  <c r="O129" i="35"/>
  <c r="T129" i="35" s="1"/>
  <c r="O162" i="35"/>
  <c r="T162" i="35" s="1"/>
  <c r="O688" i="35"/>
  <c r="T688" i="35" s="1"/>
  <c r="O691" i="35"/>
  <c r="T691" i="35" s="1"/>
  <c r="O47" i="35"/>
  <c r="T47" i="35" s="1"/>
  <c r="O141" i="35"/>
  <c r="T141" i="35" s="1"/>
  <c r="O278" i="35"/>
  <c r="T278" i="35" s="1"/>
  <c r="O34" i="35"/>
  <c r="T34" i="35" s="1"/>
  <c r="O128" i="35"/>
  <c r="T128" i="35" s="1"/>
  <c r="O690" i="35"/>
  <c r="T690" i="35" s="1"/>
  <c r="O359" i="35"/>
  <c r="T359" i="35" s="1"/>
  <c r="O692" i="35"/>
  <c r="T692" i="35" s="1"/>
  <c r="O11" i="35"/>
  <c r="T11" i="35" s="1"/>
  <c r="O693" i="35"/>
  <c r="T693" i="35" s="1"/>
  <c r="O695" i="35"/>
  <c r="T695" i="35" s="1"/>
  <c r="O113" i="35"/>
  <c r="T113" i="35" s="1"/>
  <c r="O698" i="35"/>
  <c r="T698" i="35" s="1"/>
  <c r="O697" i="35"/>
  <c r="T697" i="35" s="1"/>
  <c r="O95" i="35"/>
  <c r="T95" i="35" s="1"/>
  <c r="O696" i="35"/>
  <c r="T696" i="35" s="1"/>
  <c r="O694" i="35"/>
  <c r="T694" i="35" s="1"/>
  <c r="O699" i="35"/>
  <c r="T699" i="35" s="1"/>
  <c r="O702" i="35"/>
  <c r="T702" i="35" s="1"/>
  <c r="O203" i="35"/>
  <c r="T203" i="35" s="1"/>
  <c r="O700" i="35"/>
  <c r="T700" i="35" s="1"/>
  <c r="O701" i="35"/>
  <c r="T701" i="35" s="1"/>
  <c r="O703" i="35"/>
  <c r="T703" i="35" s="1"/>
  <c r="O108" i="35"/>
  <c r="T108" i="35" s="1"/>
  <c r="O1089" i="35"/>
  <c r="T1089" i="35" s="1"/>
  <c r="O159" i="35"/>
  <c r="T159" i="35" s="1"/>
  <c r="O103" i="35"/>
  <c r="T103" i="35" s="1"/>
  <c r="O704" i="35"/>
  <c r="T704" i="35" s="1"/>
  <c r="O74" i="35"/>
  <c r="T74" i="35" s="1"/>
  <c r="O705" i="35"/>
  <c r="T705" i="35" s="1"/>
  <c r="O67" i="35"/>
  <c r="T67" i="35" s="1"/>
  <c r="O706" i="35"/>
  <c r="T706" i="35" s="1"/>
  <c r="O287" i="35"/>
  <c r="T287" i="35" s="1"/>
  <c r="O179" i="35"/>
  <c r="T179" i="35" s="1"/>
  <c r="O707" i="35"/>
  <c r="T707" i="35" s="1"/>
  <c r="O708" i="35"/>
  <c r="T708" i="35" s="1"/>
  <c r="O709" i="35"/>
  <c r="T709" i="35" s="1"/>
  <c r="O1095" i="35"/>
  <c r="T1095" i="35" s="1"/>
  <c r="O710" i="35"/>
  <c r="T710" i="35" s="1"/>
  <c r="O1080" i="35"/>
  <c r="T1080" i="35" s="1"/>
  <c r="O711" i="35"/>
  <c r="T711" i="35" s="1"/>
  <c r="O712" i="35"/>
  <c r="T712" i="35" s="1"/>
  <c r="O716" i="35"/>
  <c r="T716" i="35" s="1"/>
  <c r="O715" i="35"/>
  <c r="T715" i="35" s="1"/>
  <c r="O713" i="35"/>
  <c r="T713" i="35" s="1"/>
  <c r="O718" i="35"/>
  <c r="T718" i="35" s="1"/>
  <c r="O717" i="35"/>
  <c r="T717" i="35" s="1"/>
  <c r="O714" i="35"/>
  <c r="T714" i="35" s="1"/>
  <c r="O720" i="35"/>
  <c r="T720" i="35" s="1"/>
  <c r="O1092" i="35"/>
  <c r="T1092" i="35" s="1"/>
  <c r="O110" i="35"/>
  <c r="T110" i="35" s="1"/>
  <c r="O719" i="35"/>
  <c r="T719" i="35" s="1"/>
  <c r="O1096" i="35"/>
  <c r="T1096" i="35" s="1"/>
  <c r="O1099" i="35"/>
  <c r="T1099" i="35" s="1"/>
  <c r="O33" i="35"/>
  <c r="T33" i="35" s="1"/>
  <c r="O721" i="35"/>
  <c r="T721" i="35" s="1"/>
  <c r="O1090" i="35"/>
  <c r="T1090" i="35" s="1"/>
  <c r="O722" i="35"/>
  <c r="T722" i="35" s="1"/>
  <c r="O723" i="35"/>
  <c r="T723" i="35" s="1"/>
  <c r="O81" i="35"/>
  <c r="T81" i="35" s="1"/>
  <c r="O265" i="35"/>
  <c r="T265" i="35" s="1"/>
  <c r="O91" i="35"/>
  <c r="T91" i="35" s="1"/>
  <c r="O92" i="35"/>
  <c r="T92" i="35" s="1"/>
  <c r="O288" i="35"/>
  <c r="T288" i="35" s="1"/>
  <c r="O342" i="35"/>
  <c r="T342" i="35" s="1"/>
  <c r="O304" i="35"/>
  <c r="T304" i="35" s="1"/>
  <c r="O280" i="35"/>
  <c r="T280" i="35" s="1"/>
  <c r="O357" i="35"/>
  <c r="T357" i="35" s="1"/>
  <c r="O132" i="35"/>
  <c r="T132" i="35" s="1"/>
  <c r="O98" i="35"/>
  <c r="T98" i="35" s="1"/>
  <c r="O70" i="35"/>
  <c r="T70" i="35" s="1"/>
  <c r="O1088" i="35"/>
  <c r="T1088" i="35" s="1"/>
  <c r="O19" i="35"/>
  <c r="T19" i="35" s="1"/>
  <c r="O24" i="35"/>
  <c r="T24" i="35" s="1"/>
  <c r="O89" i="35"/>
  <c r="T89" i="35" s="1"/>
  <c r="O75" i="35"/>
  <c r="T75" i="35" s="1"/>
  <c r="O28" i="35"/>
  <c r="T28" i="35" s="1"/>
  <c r="O148" i="35"/>
  <c r="T148" i="35" s="1"/>
  <c r="O160" i="35"/>
  <c r="T160" i="35" s="1"/>
  <c r="M3" i="30"/>
  <c r="M333" i="30"/>
  <c r="M334" i="30"/>
  <c r="M335" i="30"/>
  <c r="M336" i="30"/>
  <c r="M337" i="30"/>
  <c r="M4" i="30"/>
  <c r="M5" i="30"/>
  <c r="M338" i="30"/>
  <c r="M6" i="30"/>
  <c r="M339" i="30"/>
  <c r="M340" i="30"/>
  <c r="M341" i="30"/>
  <c r="M342" i="30"/>
  <c r="M343" i="30"/>
  <c r="M7" i="30"/>
  <c r="M344" i="30"/>
  <c r="M8" i="30"/>
  <c r="M345" i="30"/>
  <c r="M346" i="30"/>
  <c r="M347" i="30"/>
  <c r="M9" i="30"/>
  <c r="M10" i="30"/>
  <c r="M348" i="30"/>
  <c r="M349" i="30"/>
  <c r="M11" i="30"/>
  <c r="M350" i="30"/>
  <c r="M351" i="30"/>
  <c r="M352" i="30"/>
  <c r="M353" i="30"/>
  <c r="M12" i="30"/>
  <c r="M13" i="30"/>
  <c r="M354" i="30"/>
  <c r="M355" i="30"/>
  <c r="M14" i="30"/>
  <c r="M356" i="30"/>
  <c r="M15" i="30"/>
  <c r="M357" i="30"/>
  <c r="M358" i="30"/>
  <c r="M16" i="30"/>
  <c r="M359" i="30"/>
  <c r="M360" i="30"/>
  <c r="M361" i="30"/>
  <c r="M17" i="30"/>
  <c r="M362" i="30"/>
  <c r="M363" i="30"/>
  <c r="M364" i="30"/>
  <c r="M365" i="30"/>
  <c r="M366" i="30"/>
  <c r="M18" i="30"/>
  <c r="M19" i="30"/>
  <c r="M20" i="30"/>
  <c r="M21" i="30"/>
  <c r="M22" i="30"/>
  <c r="M23" i="30"/>
  <c r="M24" i="30"/>
  <c r="M25" i="30"/>
  <c r="M26" i="30"/>
  <c r="M27" i="30"/>
  <c r="M28" i="30"/>
  <c r="M367" i="30"/>
  <c r="M29" i="30"/>
  <c r="M30" i="30"/>
  <c r="M368" i="30"/>
  <c r="M369" i="30"/>
  <c r="M370" i="30"/>
  <c r="M371" i="30"/>
  <c r="M372" i="30"/>
  <c r="M373" i="30"/>
  <c r="M31" i="30"/>
  <c r="M374" i="30"/>
  <c r="M375" i="30"/>
  <c r="M32" i="30"/>
  <c r="M33" i="30"/>
  <c r="M376" i="30"/>
  <c r="M377" i="30"/>
  <c r="M378" i="30"/>
  <c r="M34" i="30"/>
  <c r="M379" i="30"/>
  <c r="M380" i="30"/>
  <c r="M381" i="30"/>
  <c r="M382" i="30"/>
  <c r="M383" i="30"/>
  <c r="M384" i="30"/>
  <c r="M385" i="30"/>
  <c r="M35" i="30"/>
  <c r="M386" i="30"/>
  <c r="M387" i="30"/>
  <c r="M388" i="30"/>
  <c r="M36" i="30"/>
  <c r="M389" i="30"/>
  <c r="M390" i="30"/>
  <c r="M391" i="30"/>
  <c r="M37" i="30"/>
  <c r="M392" i="30"/>
  <c r="M393" i="30"/>
  <c r="M394" i="30"/>
  <c r="M395" i="30"/>
  <c r="M396" i="30"/>
  <c r="M397" i="30"/>
  <c r="M398" i="30"/>
  <c r="M38" i="30"/>
  <c r="M39" i="30"/>
  <c r="M399" i="30"/>
  <c r="M400" i="30"/>
  <c r="M401" i="30"/>
  <c r="M40" i="30"/>
  <c r="M402" i="30"/>
  <c r="M403" i="30"/>
  <c r="M331" i="30"/>
  <c r="M404" i="30"/>
  <c r="M41" i="30"/>
  <c r="M405" i="30"/>
  <c r="M42" i="30"/>
  <c r="M406" i="30"/>
  <c r="M407" i="30"/>
  <c r="M43" i="30"/>
  <c r="M408" i="30"/>
  <c r="M409" i="30"/>
  <c r="M44" i="30"/>
  <c r="M410" i="30"/>
  <c r="M411" i="30"/>
  <c r="M412" i="30"/>
  <c r="M413" i="30"/>
  <c r="M45" i="30"/>
  <c r="M46" i="30"/>
  <c r="M414" i="30"/>
  <c r="M415" i="30"/>
  <c r="M416" i="30"/>
  <c r="M47" i="30"/>
  <c r="M417" i="30"/>
  <c r="M48" i="30"/>
  <c r="M49" i="30"/>
  <c r="M332" i="30"/>
  <c r="M418" i="30"/>
  <c r="M419" i="30"/>
  <c r="M420" i="30"/>
  <c r="M50" i="30"/>
  <c r="M421" i="30"/>
  <c r="M51" i="30"/>
  <c r="M422" i="30"/>
  <c r="M423" i="30"/>
  <c r="M424" i="30"/>
  <c r="M52" i="30"/>
  <c r="M425" i="30"/>
  <c r="M426" i="30"/>
  <c r="M53" i="30"/>
  <c r="M54" i="30"/>
  <c r="M55" i="30"/>
  <c r="M427" i="30"/>
  <c r="M56" i="30"/>
  <c r="M57" i="30"/>
  <c r="M428" i="30"/>
  <c r="M429" i="30"/>
  <c r="M430" i="30"/>
  <c r="M58" i="30"/>
  <c r="M59" i="30"/>
  <c r="M60" i="30"/>
  <c r="M61" i="30"/>
  <c r="M431" i="30"/>
  <c r="M432" i="30"/>
  <c r="M433" i="30"/>
  <c r="M62" i="30"/>
  <c r="M63" i="30"/>
  <c r="M434" i="30"/>
  <c r="M64" i="30"/>
  <c r="M65" i="30"/>
  <c r="M435" i="30"/>
  <c r="M436" i="30"/>
  <c r="M66" i="30"/>
  <c r="M437" i="30"/>
  <c r="M438" i="30"/>
  <c r="M67" i="30"/>
  <c r="M68" i="30"/>
  <c r="M69" i="30"/>
  <c r="M70" i="30"/>
  <c r="M439" i="30"/>
  <c r="M440" i="30"/>
  <c r="M71" i="30"/>
  <c r="M441" i="30"/>
  <c r="M72" i="30"/>
  <c r="M442" i="30"/>
  <c r="M443" i="30"/>
  <c r="M73" i="30"/>
  <c r="M74" i="30"/>
  <c r="M75" i="30"/>
  <c r="M444" i="30"/>
  <c r="M76" i="30"/>
  <c r="M77" i="30"/>
  <c r="M445" i="30"/>
  <c r="M446" i="30"/>
  <c r="M447" i="30"/>
  <c r="M448" i="30"/>
  <c r="M449" i="30"/>
  <c r="M450" i="30"/>
  <c r="M78" i="30"/>
  <c r="M79" i="30"/>
  <c r="M451" i="30"/>
  <c r="M80" i="30"/>
  <c r="M452" i="30"/>
  <c r="M453" i="30"/>
  <c r="M454" i="30"/>
  <c r="M81" i="30"/>
  <c r="M82" i="30"/>
  <c r="M455" i="30"/>
  <c r="M83" i="30"/>
  <c r="M456" i="30"/>
  <c r="M457" i="30"/>
  <c r="M458" i="30"/>
  <c r="M84" i="30"/>
  <c r="M459" i="30"/>
  <c r="M460" i="30"/>
  <c r="M85" i="30"/>
  <c r="M461" i="30"/>
  <c r="M462" i="30"/>
  <c r="M86" i="30"/>
  <c r="M463" i="30"/>
  <c r="M464" i="30"/>
  <c r="M465" i="30"/>
  <c r="M466" i="30"/>
  <c r="M467" i="30"/>
  <c r="M468" i="30"/>
  <c r="M87" i="30"/>
  <c r="M469" i="30"/>
  <c r="M470" i="30"/>
  <c r="M88" i="30"/>
  <c r="M471" i="30"/>
  <c r="M89" i="30"/>
  <c r="M90" i="30"/>
  <c r="M91" i="30"/>
  <c r="M92" i="30"/>
  <c r="M93" i="30"/>
  <c r="M472" i="30"/>
  <c r="M473" i="30"/>
  <c r="M94" i="30"/>
  <c r="M474" i="30"/>
  <c r="M475" i="30"/>
  <c r="M476" i="30"/>
  <c r="M477" i="30"/>
  <c r="M478" i="30"/>
  <c r="M479" i="30"/>
  <c r="M480" i="30"/>
  <c r="M481" i="30"/>
  <c r="M482" i="30"/>
  <c r="M483" i="30"/>
  <c r="M484" i="30"/>
  <c r="M485" i="30"/>
  <c r="M486" i="30"/>
  <c r="M487" i="30"/>
  <c r="M488" i="30"/>
  <c r="M489" i="30"/>
  <c r="M490" i="30"/>
  <c r="M491" i="30"/>
  <c r="M492" i="30"/>
  <c r="M493" i="30"/>
  <c r="M494" i="30"/>
  <c r="M495" i="30"/>
  <c r="M496" i="30"/>
  <c r="M497" i="30"/>
  <c r="M95" i="30"/>
  <c r="M96" i="30"/>
  <c r="M498" i="30"/>
  <c r="M499" i="30"/>
  <c r="M500" i="30"/>
  <c r="M97" i="30"/>
  <c r="M98" i="30"/>
  <c r="M501" i="30"/>
  <c r="M502" i="30"/>
  <c r="M503" i="30"/>
  <c r="M504" i="30"/>
  <c r="M505" i="30"/>
  <c r="M506" i="30"/>
  <c r="M507" i="30"/>
  <c r="M508" i="30"/>
  <c r="M509" i="30"/>
  <c r="M99" i="30"/>
  <c r="M510" i="30"/>
  <c r="M100" i="30"/>
  <c r="M511" i="30"/>
  <c r="M101" i="30"/>
  <c r="M512" i="30"/>
  <c r="M513" i="30"/>
  <c r="M102" i="30"/>
  <c r="M514" i="30"/>
  <c r="M103" i="30"/>
  <c r="M515" i="30"/>
  <c r="M516" i="30"/>
  <c r="M517" i="30"/>
  <c r="M518" i="30"/>
  <c r="M519" i="30"/>
  <c r="M104" i="30"/>
  <c r="M520" i="30"/>
  <c r="M521" i="30"/>
  <c r="M522" i="30"/>
  <c r="M105" i="30"/>
  <c r="M523" i="30"/>
  <c r="M524" i="30"/>
  <c r="M106" i="30"/>
  <c r="M525" i="30"/>
  <c r="M526" i="30"/>
  <c r="M527" i="30"/>
  <c r="M528" i="30"/>
  <c r="M529" i="30"/>
  <c r="M530" i="30"/>
  <c r="M531" i="30"/>
  <c r="M532" i="30"/>
  <c r="M533" i="30"/>
  <c r="M534" i="30"/>
  <c r="M535" i="30"/>
  <c r="M536" i="30"/>
  <c r="M107" i="30"/>
  <c r="M537" i="30"/>
  <c r="M108" i="30"/>
  <c r="M538" i="30"/>
  <c r="M109" i="30"/>
  <c r="M539" i="30"/>
  <c r="M540" i="30"/>
  <c r="M110" i="30"/>
  <c r="M541" i="30"/>
  <c r="M542" i="30"/>
  <c r="M543" i="30"/>
  <c r="M111" i="30"/>
  <c r="M112" i="30"/>
  <c r="M113" i="30"/>
  <c r="M544" i="30"/>
  <c r="M114" i="30"/>
  <c r="M115" i="30"/>
  <c r="M545" i="30"/>
  <c r="M546" i="30"/>
  <c r="M116" i="30"/>
  <c r="M117" i="30"/>
  <c r="M118" i="30"/>
  <c r="M119" i="30"/>
  <c r="M120" i="30"/>
  <c r="M547" i="30"/>
  <c r="M121" i="30"/>
  <c r="M122" i="30"/>
  <c r="M123" i="30"/>
  <c r="M548" i="30"/>
  <c r="M124" i="30"/>
  <c r="M549" i="30"/>
  <c r="M125" i="30"/>
  <c r="M126" i="30"/>
  <c r="M550" i="30"/>
  <c r="M551" i="30"/>
  <c r="M552" i="30"/>
  <c r="M127" i="30"/>
  <c r="M553" i="30"/>
  <c r="M128" i="30"/>
  <c r="M554" i="30"/>
  <c r="M555" i="30"/>
  <c r="M556" i="30"/>
  <c r="M557" i="30"/>
  <c r="M558" i="30"/>
  <c r="M559" i="30"/>
  <c r="M129" i="30"/>
  <c r="M130" i="30"/>
  <c r="M560" i="30"/>
  <c r="M131" i="30"/>
  <c r="M561" i="30"/>
  <c r="M562" i="30"/>
  <c r="M132" i="30"/>
  <c r="M563" i="30"/>
  <c r="M564" i="30"/>
  <c r="M565" i="30"/>
  <c r="M566" i="30"/>
  <c r="M567" i="30"/>
  <c r="M568" i="30"/>
  <c r="M133" i="30"/>
  <c r="M569" i="30"/>
  <c r="M570" i="30"/>
  <c r="M571" i="30"/>
  <c r="M572" i="30"/>
  <c r="M134" i="30"/>
  <c r="M573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574" i="30"/>
  <c r="M575" i="30"/>
  <c r="M148" i="30"/>
  <c r="M576" i="30"/>
  <c r="M577" i="30"/>
  <c r="M578" i="30"/>
  <c r="M149" i="30"/>
  <c r="M150" i="30"/>
  <c r="M579" i="30"/>
  <c r="M580" i="30"/>
  <c r="M151" i="30"/>
  <c r="M581" i="30"/>
  <c r="M582" i="30"/>
  <c r="M583" i="30"/>
  <c r="M584" i="30"/>
  <c r="M585" i="30"/>
  <c r="M586" i="30"/>
  <c r="M587" i="30"/>
  <c r="M588" i="30"/>
  <c r="M589" i="30"/>
  <c r="M590" i="30"/>
  <c r="M152" i="30"/>
  <c r="M153" i="30"/>
  <c r="M154" i="30"/>
  <c r="M591" i="30"/>
  <c r="M592" i="30"/>
  <c r="M593" i="30"/>
  <c r="M155" i="30"/>
  <c r="M594" i="30"/>
  <c r="M595" i="30"/>
  <c r="M156" i="30"/>
  <c r="M157" i="30"/>
  <c r="M158" i="30"/>
  <c r="M159" i="30"/>
  <c r="M160" i="30"/>
  <c r="M596" i="30"/>
  <c r="M597" i="30"/>
  <c r="M598" i="30"/>
  <c r="M599" i="30"/>
  <c r="M600" i="30"/>
  <c r="M601" i="30"/>
  <c r="M602" i="30"/>
  <c r="M603" i="30"/>
  <c r="M604" i="30"/>
  <c r="M605" i="30"/>
  <c r="M606" i="30"/>
  <c r="M161" i="30"/>
  <c r="M607" i="30"/>
  <c r="M608" i="30"/>
  <c r="M609" i="30"/>
  <c r="M162" i="30"/>
  <c r="M163" i="30"/>
  <c r="M610" i="30"/>
  <c r="M164" i="30"/>
  <c r="M611" i="30"/>
  <c r="M612" i="30"/>
  <c r="M165" i="30"/>
  <c r="M613" i="30"/>
  <c r="M166" i="30"/>
  <c r="M167" i="30"/>
  <c r="M614" i="30"/>
  <c r="M615" i="30"/>
  <c r="M616" i="30"/>
  <c r="M617" i="30"/>
  <c r="M618" i="30"/>
  <c r="M619" i="30"/>
  <c r="M620" i="30"/>
  <c r="M168" i="30"/>
  <c r="M621" i="30"/>
  <c r="M622" i="30"/>
  <c r="M623" i="30"/>
  <c r="M624" i="30"/>
  <c r="M625" i="30"/>
  <c r="M169" i="30"/>
  <c r="M170" i="30"/>
  <c r="M171" i="30"/>
  <c r="M172" i="30"/>
  <c r="M626" i="30"/>
  <c r="M173" i="30"/>
  <c r="M174" i="30"/>
  <c r="M627" i="30"/>
  <c r="M628" i="30"/>
  <c r="M629" i="30"/>
  <c r="M630" i="30"/>
  <c r="M631" i="30"/>
  <c r="M632" i="30"/>
  <c r="M633" i="30"/>
  <c r="M634" i="30"/>
  <c r="M175" i="30"/>
  <c r="M176" i="30"/>
  <c r="M635" i="30"/>
  <c r="M636" i="30"/>
  <c r="M637" i="30"/>
  <c r="M638" i="30"/>
  <c r="M639" i="30"/>
  <c r="M640" i="30"/>
  <c r="M641" i="30"/>
  <c r="M177" i="30"/>
  <c r="M178" i="30"/>
  <c r="M642" i="30"/>
  <c r="M179" i="30"/>
  <c r="M180" i="30"/>
  <c r="M643" i="30"/>
  <c r="M181" i="30"/>
  <c r="M182" i="30"/>
  <c r="M644" i="30"/>
  <c r="M183" i="30"/>
  <c r="M184" i="30"/>
  <c r="M645" i="30"/>
  <c r="M185" i="30"/>
  <c r="M186" i="30"/>
  <c r="M646" i="30"/>
  <c r="M187" i="30"/>
  <c r="M188" i="30"/>
  <c r="M647" i="30"/>
  <c r="M648" i="30"/>
  <c r="M189" i="30"/>
  <c r="M190" i="30"/>
  <c r="M649" i="30"/>
  <c r="M191" i="30"/>
  <c r="M192" i="30"/>
  <c r="M193" i="30"/>
  <c r="M194" i="30"/>
  <c r="M650" i="30"/>
  <c r="M651" i="30"/>
  <c r="M652" i="30"/>
  <c r="M195" i="30"/>
  <c r="M196" i="30"/>
  <c r="M197" i="30"/>
  <c r="M653" i="30"/>
  <c r="M654" i="30"/>
  <c r="M655" i="30"/>
  <c r="M656" i="30"/>
  <c r="M657" i="30"/>
  <c r="M658" i="30"/>
  <c r="M659" i="30"/>
  <c r="M660" i="30"/>
  <c r="M661" i="30"/>
  <c r="M198" i="30"/>
  <c r="M662" i="30"/>
  <c r="M663" i="30"/>
  <c r="M199" i="30"/>
  <c r="M200" i="30"/>
  <c r="M664" i="30"/>
  <c r="M665" i="30"/>
  <c r="M666" i="30"/>
  <c r="M201" i="30"/>
  <c r="M667" i="30"/>
  <c r="M668" i="30"/>
  <c r="M202" i="30"/>
  <c r="M203" i="30"/>
  <c r="M669" i="30"/>
  <c r="M204" i="30"/>
  <c r="M205" i="30"/>
  <c r="M206" i="30"/>
  <c r="M670" i="30"/>
  <c r="M671" i="30"/>
  <c r="M207" i="30"/>
  <c r="M672" i="30"/>
  <c r="M673" i="30"/>
  <c r="M674" i="30"/>
  <c r="M208" i="30"/>
  <c r="M675" i="30"/>
  <c r="M209" i="30"/>
  <c r="M210" i="30"/>
  <c r="M676" i="30"/>
  <c r="M677" i="30"/>
  <c r="M211" i="30"/>
  <c r="M212" i="30"/>
  <c r="M678" i="30"/>
  <c r="M679" i="30"/>
  <c r="M213" i="30"/>
  <c r="M214" i="30"/>
  <c r="M215" i="30"/>
  <c r="M680" i="30"/>
  <c r="M681" i="30"/>
  <c r="M216" i="30"/>
  <c r="M217" i="30"/>
  <c r="M218" i="30"/>
  <c r="M219" i="30"/>
  <c r="M682" i="30"/>
  <c r="M683" i="30"/>
  <c r="M684" i="30"/>
  <c r="M685" i="30"/>
  <c r="M686" i="30"/>
  <c r="M220" i="30"/>
  <c r="M687" i="30"/>
  <c r="M688" i="30"/>
  <c r="M689" i="30"/>
  <c r="M221" i="30"/>
  <c r="M222" i="30"/>
  <c r="M690" i="30"/>
  <c r="M691" i="30"/>
  <c r="M692" i="30"/>
  <c r="M693" i="30"/>
  <c r="M694" i="30"/>
  <c r="M695" i="30"/>
  <c r="M223" i="30"/>
  <c r="M696" i="30"/>
  <c r="M224" i="30"/>
  <c r="M225" i="30"/>
  <c r="M697" i="30"/>
  <c r="M698" i="30"/>
  <c r="M699" i="30"/>
  <c r="M700" i="30"/>
  <c r="M701" i="30"/>
  <c r="M702" i="30"/>
  <c r="M703" i="30"/>
  <c r="M704" i="30"/>
  <c r="M226" i="30"/>
  <c r="M705" i="30"/>
  <c r="M706" i="30"/>
  <c r="M227" i="30"/>
  <c r="M707" i="30"/>
  <c r="M228" i="30"/>
  <c r="M229" i="30"/>
  <c r="M708" i="30"/>
  <c r="M230" i="30"/>
  <c r="M231" i="30"/>
  <c r="M232" i="30"/>
  <c r="M233" i="30"/>
  <c r="M709" i="30"/>
  <c r="M234" i="30"/>
  <c r="M235" i="30"/>
  <c r="M710" i="30"/>
  <c r="M711" i="30"/>
  <c r="M712" i="30"/>
  <c r="M713" i="30"/>
  <c r="M714" i="30"/>
  <c r="M715" i="30"/>
  <c r="M236" i="30"/>
  <c r="M716" i="30"/>
  <c r="M237" i="30"/>
  <c r="M717" i="30"/>
  <c r="M238" i="30"/>
  <c r="M239" i="30"/>
  <c r="M240" i="30"/>
  <c r="M718" i="30"/>
  <c r="M719" i="30"/>
  <c r="M241" i="30"/>
  <c r="M720" i="30"/>
  <c r="M721" i="30"/>
  <c r="M722" i="30"/>
  <c r="M242" i="30"/>
  <c r="M243" i="30"/>
  <c r="M723" i="30"/>
  <c r="M244" i="30"/>
  <c r="M245" i="30"/>
  <c r="M724" i="30"/>
  <c r="M246" i="30"/>
  <c r="M725" i="30"/>
  <c r="M247" i="30"/>
  <c r="M726" i="30"/>
  <c r="M727" i="30"/>
  <c r="M728" i="30"/>
  <c r="M729" i="30"/>
  <c r="M730" i="30"/>
  <c r="M731" i="30"/>
  <c r="M732" i="30"/>
  <c r="M733" i="30"/>
  <c r="M248" i="30"/>
  <c r="M734" i="30"/>
  <c r="M735" i="30"/>
  <c r="M249" i="30"/>
  <c r="M736" i="30"/>
  <c r="M737" i="30"/>
  <c r="M250" i="30"/>
  <c r="M738" i="30"/>
  <c r="M739" i="30"/>
  <c r="M251" i="30"/>
  <c r="M740" i="30"/>
  <c r="M741" i="30"/>
  <c r="M742" i="30"/>
  <c r="M743" i="30"/>
  <c r="M744" i="30"/>
  <c r="M745" i="30"/>
  <c r="M746" i="30"/>
  <c r="M252" i="30"/>
  <c r="M253" i="30"/>
  <c r="M254" i="30"/>
  <c r="M747" i="30"/>
  <c r="M255" i="30"/>
  <c r="M748" i="30"/>
  <c r="M749" i="30"/>
  <c r="M256" i="30"/>
  <c r="M257" i="30"/>
  <c r="M750" i="30"/>
  <c r="M751" i="30"/>
  <c r="M258" i="30"/>
  <c r="M752" i="30"/>
  <c r="M753" i="30"/>
  <c r="M754" i="30"/>
  <c r="M259" i="30"/>
  <c r="M755" i="30"/>
  <c r="M756" i="30"/>
  <c r="M757" i="30"/>
  <c r="M758" i="30"/>
  <c r="M759" i="30"/>
  <c r="M260" i="30"/>
  <c r="M261" i="30"/>
  <c r="M262" i="30"/>
  <c r="M760" i="30"/>
  <c r="M761" i="30"/>
  <c r="M762" i="30"/>
  <c r="M763" i="30"/>
  <c r="M263" i="30"/>
  <c r="M764" i="30"/>
  <c r="M264" i="30"/>
  <c r="M265" i="30"/>
  <c r="M266" i="30"/>
  <c r="M765" i="30"/>
  <c r="M766" i="30"/>
  <c r="M767" i="30"/>
  <c r="M267" i="30"/>
  <c r="M768" i="30"/>
  <c r="M268" i="30"/>
  <c r="M269" i="30"/>
  <c r="M270" i="30"/>
  <c r="M271" i="30"/>
  <c r="M272" i="30"/>
  <c r="M769" i="30"/>
  <c r="M770" i="30"/>
  <c r="M771" i="30"/>
  <c r="M273" i="30"/>
  <c r="M772" i="30"/>
  <c r="M773" i="30"/>
  <c r="M774" i="30"/>
  <c r="M775" i="30"/>
  <c r="M776" i="30"/>
  <c r="M777" i="30"/>
  <c r="M274" i="30"/>
  <c r="M778" i="30"/>
  <c r="M779" i="30"/>
  <c r="M780" i="30"/>
  <c r="M781" i="30"/>
  <c r="M782" i="30"/>
  <c r="M275" i="30"/>
  <c r="M783" i="30"/>
  <c r="M276" i="30"/>
  <c r="M277" i="30"/>
  <c r="M278" i="30"/>
  <c r="M279" i="30"/>
  <c r="M280" i="30"/>
  <c r="M784" i="30"/>
  <c r="M785" i="30"/>
  <c r="M786" i="30"/>
  <c r="M787" i="30"/>
  <c r="M281" i="30"/>
  <c r="M282" i="30"/>
  <c r="M283" i="30"/>
  <c r="M788" i="30"/>
  <c r="M789" i="30"/>
  <c r="M790" i="30"/>
  <c r="M284" i="30"/>
  <c r="M791" i="30"/>
  <c r="M792" i="30"/>
  <c r="M285" i="30"/>
  <c r="M793" i="30"/>
  <c r="M794" i="30"/>
  <c r="M795" i="30"/>
  <c r="M796" i="30"/>
  <c r="M286" i="30"/>
  <c r="M797" i="30"/>
  <c r="M798" i="30"/>
  <c r="M799" i="30"/>
  <c r="M287" i="30"/>
  <c r="M288" i="30"/>
  <c r="M800" i="30"/>
  <c r="M801" i="30"/>
  <c r="M802" i="30"/>
  <c r="M289" i="30"/>
  <c r="M803" i="30"/>
  <c r="M804" i="30"/>
  <c r="M290" i="30"/>
  <c r="M805" i="30"/>
  <c r="M291" i="30"/>
  <c r="M806" i="30"/>
  <c r="M807" i="30"/>
  <c r="M292" i="30"/>
  <c r="M808" i="30"/>
  <c r="M293" i="30"/>
  <c r="M294" i="30"/>
  <c r="M809" i="30"/>
  <c r="M810" i="30"/>
  <c r="M295" i="30"/>
  <c r="M811" i="30"/>
  <c r="M812" i="30"/>
  <c r="M813" i="30"/>
  <c r="M814" i="30"/>
  <c r="M296" i="30"/>
  <c r="M297" i="30"/>
  <c r="M815" i="30"/>
  <c r="M816" i="30"/>
  <c r="M817" i="30"/>
  <c r="M818" i="30"/>
  <c r="M298" i="30"/>
  <c r="M299" i="30"/>
  <c r="M819" i="30"/>
  <c r="M300" i="30"/>
  <c r="M820" i="30"/>
  <c r="M821" i="30"/>
  <c r="M822" i="30"/>
  <c r="M823" i="30"/>
  <c r="M301" i="30"/>
  <c r="M824" i="30"/>
  <c r="M825" i="30"/>
  <c r="M302" i="30"/>
  <c r="M303" i="30"/>
  <c r="M304" i="30"/>
  <c r="M826" i="30"/>
  <c r="M305" i="30"/>
  <c r="M827" i="30"/>
  <c r="M828" i="30"/>
  <c r="M829" i="30"/>
  <c r="M306" i="30"/>
  <c r="M307" i="30"/>
  <c r="M830" i="30"/>
  <c r="M831" i="30"/>
  <c r="M832" i="30"/>
  <c r="M833" i="30"/>
  <c r="M834" i="30"/>
  <c r="M308" i="30"/>
  <c r="M835" i="30"/>
  <c r="M836" i="30"/>
  <c r="M837" i="30"/>
  <c r="M309" i="30"/>
  <c r="M310" i="30"/>
  <c r="M838" i="30"/>
  <c r="M839" i="30"/>
  <c r="M840" i="30"/>
  <c r="M311" i="30"/>
  <c r="M841" i="30"/>
  <c r="M842" i="30"/>
  <c r="M843" i="30"/>
  <c r="M844" i="30"/>
  <c r="M312" i="30"/>
  <c r="M845" i="30"/>
  <c r="M846" i="30"/>
  <c r="M847" i="30"/>
  <c r="M848" i="30"/>
  <c r="M849" i="30"/>
  <c r="M850" i="30"/>
  <c r="M313" i="30"/>
  <c r="M851" i="30"/>
  <c r="M314" i="30"/>
  <c r="M852" i="30"/>
  <c r="M853" i="30"/>
  <c r="M315" i="30"/>
  <c r="M854" i="30"/>
  <c r="M316" i="30"/>
  <c r="M317" i="30"/>
  <c r="M855" i="30"/>
  <c r="M856" i="30"/>
  <c r="M857" i="30"/>
  <c r="M318" i="30"/>
  <c r="M319" i="30"/>
  <c r="M320" i="30"/>
  <c r="M858" i="30"/>
  <c r="M859" i="30"/>
  <c r="M860" i="30"/>
  <c r="M321" i="30"/>
  <c r="M861" i="30"/>
  <c r="M862" i="30"/>
  <c r="M322" i="30"/>
  <c r="M863" i="30"/>
  <c r="M864" i="30"/>
  <c r="M865" i="30"/>
  <c r="M866" i="30"/>
  <c r="M323" i="30"/>
  <c r="M867" i="30"/>
  <c r="M868" i="30"/>
  <c r="M324" i="30"/>
  <c r="M869" i="30"/>
  <c r="M870" i="30"/>
  <c r="M325" i="30"/>
  <c r="M326" i="30"/>
  <c r="M871" i="30"/>
  <c r="M872" i="30"/>
  <c r="M873" i="30"/>
  <c r="M874" i="30"/>
  <c r="M327" i="30"/>
  <c r="M875" i="30"/>
  <c r="M876" i="30"/>
  <c r="M328" i="30"/>
  <c r="M877" i="30"/>
  <c r="M878" i="30"/>
  <c r="M879" i="30"/>
  <c r="M880" i="30"/>
  <c r="M881" i="30"/>
  <c r="M882" i="30"/>
  <c r="M329" i="30"/>
  <c r="M330" i="30"/>
  <c r="M883" i="30"/>
  <c r="R1070" i="35"/>
  <c r="S1070" i="35" s="1"/>
  <c r="R741" i="35"/>
  <c r="S741" i="35" s="1"/>
  <c r="R936" i="35"/>
  <c r="S936" i="35" s="1"/>
  <c r="R937" i="35"/>
  <c r="S937" i="35" s="1"/>
  <c r="R973" i="35"/>
  <c r="S973" i="35" s="1"/>
  <c r="R870" i="35"/>
  <c r="S870" i="35" s="1"/>
  <c r="R938" i="35"/>
  <c r="S938" i="35" s="1"/>
  <c r="R909" i="35"/>
  <c r="S909" i="35" s="1"/>
  <c r="R404" i="35"/>
  <c r="S404" i="35" s="1"/>
  <c r="R742" i="35"/>
  <c r="S742" i="35" s="1"/>
  <c r="R939" i="35"/>
  <c r="S939" i="35" s="1"/>
  <c r="R851" i="35"/>
  <c r="S851" i="35" s="1"/>
  <c r="R231" i="35"/>
  <c r="S231" i="35" s="1"/>
  <c r="R940" i="35"/>
  <c r="S940" i="35" s="1"/>
  <c r="R806" i="35"/>
  <c r="S806" i="35" s="1"/>
  <c r="R408" i="35"/>
  <c r="S408" i="35" s="1"/>
  <c r="R807" i="35"/>
  <c r="S807" i="35" s="1"/>
  <c r="R875" i="35"/>
  <c r="S875" i="35" s="1"/>
  <c r="R743" i="35"/>
  <c r="S743" i="35" s="1"/>
  <c r="R323" i="35"/>
  <c r="S323" i="35" s="1"/>
  <c r="R899" i="35"/>
  <c r="S899" i="35" s="1"/>
  <c r="R901" i="35"/>
  <c r="S901" i="35" s="1"/>
  <c r="R1075" i="35"/>
  <c r="S1075" i="35" s="1"/>
  <c r="R340" i="35"/>
  <c r="S340" i="35" s="1"/>
  <c r="R834" i="35"/>
  <c r="S834" i="35" s="1"/>
  <c r="R319" i="35"/>
  <c r="S319" i="35" s="1"/>
  <c r="R837" i="35"/>
  <c r="S837" i="35" s="1"/>
  <c r="R1087" i="35"/>
  <c r="S1087" i="35" s="1"/>
  <c r="R808" i="35"/>
  <c r="S808" i="35" s="1"/>
  <c r="R367" i="35"/>
  <c r="S367" i="35" s="1"/>
  <c r="R900" i="35"/>
  <c r="S900" i="35" s="1"/>
  <c r="R841" i="35"/>
  <c r="S841" i="35" s="1"/>
  <c r="R941" i="35"/>
  <c r="S941" i="35" s="1"/>
  <c r="R729" i="35"/>
  <c r="S729" i="35" s="1"/>
  <c r="R291" i="35"/>
  <c r="S291" i="35" s="1"/>
  <c r="R884" i="35"/>
  <c r="S884" i="35" s="1"/>
  <c r="R850" i="35"/>
  <c r="S850" i="35" s="1"/>
  <c r="R942" i="35"/>
  <c r="S942" i="35" s="1"/>
  <c r="R809" i="35"/>
  <c r="S809" i="35" s="1"/>
  <c r="R810" i="35"/>
  <c r="S810" i="35" s="1"/>
  <c r="R1072" i="35"/>
  <c r="S1072" i="35" s="1"/>
  <c r="R811" i="35"/>
  <c r="S811" i="35" s="1"/>
  <c r="R725" i="35"/>
  <c r="S725" i="35" s="1"/>
  <c r="R753" i="35"/>
  <c r="S753" i="35" s="1"/>
  <c r="R997" i="35"/>
  <c r="S997" i="35" s="1"/>
  <c r="R943" i="35"/>
  <c r="S943" i="35" s="1"/>
  <c r="R944" i="35"/>
  <c r="S944" i="35" s="1"/>
  <c r="R356" i="35"/>
  <c r="S356" i="35" s="1"/>
  <c r="R812" i="35"/>
  <c r="S812" i="35" s="1"/>
  <c r="R945" i="35"/>
  <c r="S945" i="35" s="1"/>
  <c r="R375" i="35"/>
  <c r="S375" i="35" s="1"/>
  <c r="R847" i="35"/>
  <c r="S847" i="35" s="1"/>
  <c r="R813" i="35"/>
  <c r="S813" i="35" s="1"/>
  <c r="R730" i="35"/>
  <c r="S730" i="35" s="1"/>
  <c r="R814" i="35"/>
  <c r="S814" i="35" s="1"/>
  <c r="R829" i="35"/>
  <c r="S829" i="35" s="1"/>
  <c r="R744" i="35"/>
  <c r="S744" i="35" s="1"/>
  <c r="R731" i="35"/>
  <c r="S731" i="35" s="1"/>
  <c r="R1083" i="35"/>
  <c r="S1083" i="35" s="1"/>
  <c r="R946" i="35"/>
  <c r="S946" i="35" s="1"/>
  <c r="R856" i="35"/>
  <c r="S856" i="35" s="1"/>
  <c r="R815" i="35"/>
  <c r="S815" i="35" s="1"/>
  <c r="R852" i="35"/>
  <c r="S852" i="35" s="1"/>
  <c r="R947" i="35"/>
  <c r="S947" i="35" s="1"/>
  <c r="R1076" i="35"/>
  <c r="S1076" i="35" s="1"/>
  <c r="R292" i="35"/>
  <c r="S292" i="35" s="1"/>
  <c r="R845" i="35"/>
  <c r="S845" i="35" s="1"/>
  <c r="R998" i="35"/>
  <c r="S998" i="35" s="1"/>
  <c r="R745" i="35"/>
  <c r="S745" i="35" s="1"/>
  <c r="R293" i="35"/>
  <c r="S293" i="35" s="1"/>
  <c r="R726" i="35"/>
  <c r="S726" i="35" s="1"/>
  <c r="R948" i="35"/>
  <c r="S948" i="35" s="1"/>
  <c r="R746" i="35"/>
  <c r="S746" i="35" s="1"/>
  <c r="R949" i="35"/>
  <c r="S949" i="35" s="1"/>
  <c r="R402" i="35"/>
  <c r="S402" i="35" s="1"/>
  <c r="R824" i="35"/>
  <c r="S824" i="35" s="1"/>
  <c r="R407" i="35"/>
  <c r="S407" i="35" s="1"/>
  <c r="R747" i="35"/>
  <c r="S747" i="35" s="1"/>
  <c r="R816" i="35"/>
  <c r="S816" i="35" s="1"/>
  <c r="R817" i="35"/>
  <c r="S817" i="35" s="1"/>
  <c r="R401" i="35"/>
  <c r="S401" i="35" s="1"/>
  <c r="R748" i="35"/>
  <c r="S748" i="35" s="1"/>
  <c r="R925" i="35"/>
  <c r="S925" i="35" s="1"/>
  <c r="R1084" i="35"/>
  <c r="S1084" i="35" s="1"/>
  <c r="R950" i="35"/>
  <c r="S950" i="35" s="1"/>
  <c r="R826" i="35"/>
  <c r="S826" i="35" s="1"/>
  <c r="R853" i="35"/>
  <c r="S853" i="35" s="1"/>
  <c r="R286" i="35"/>
  <c r="S286" i="35" s="1"/>
  <c r="R784" i="35"/>
  <c r="S784" i="35" s="1"/>
  <c r="R818" i="35"/>
  <c r="S818" i="35" s="1"/>
  <c r="R415" i="35"/>
  <c r="S415" i="35" s="1"/>
  <c r="R999" i="35"/>
  <c r="S999" i="35" s="1"/>
  <c r="R413" i="35"/>
  <c r="S413" i="35" s="1"/>
  <c r="R842" i="35"/>
  <c r="S842" i="35" s="1"/>
  <c r="R959" i="35"/>
  <c r="S959" i="35" s="1"/>
  <c r="R830" i="35"/>
  <c r="S830" i="35" s="1"/>
  <c r="R831" i="35"/>
  <c r="S831" i="35" s="1"/>
  <c r="R832" i="35"/>
  <c r="S832" i="35" s="1"/>
  <c r="R951" i="35"/>
  <c r="S951" i="35" s="1"/>
  <c r="R749" i="35"/>
  <c r="S749" i="35" s="1"/>
  <c r="R750" i="35"/>
  <c r="S750" i="35" s="1"/>
  <c r="R819" i="35"/>
  <c r="S819" i="35" s="1"/>
  <c r="R1000" i="35"/>
  <c r="S1000" i="35" s="1"/>
  <c r="R848" i="35"/>
  <c r="S848" i="35" s="1"/>
  <c r="R414" i="35"/>
  <c r="S414" i="35" s="1"/>
  <c r="R820" i="35"/>
  <c r="S820" i="35" s="1"/>
  <c r="R335" i="35"/>
  <c r="S335" i="35" s="1"/>
  <c r="R751" i="35"/>
  <c r="S751" i="35" s="1"/>
  <c r="R727" i="35"/>
  <c r="S727" i="35" s="1"/>
  <c r="R345" i="35"/>
  <c r="S345" i="35" s="1"/>
  <c r="R885" i="35"/>
  <c r="S885" i="35" s="1"/>
  <c r="R962" i="35"/>
  <c r="S962" i="35" s="1"/>
  <c r="R952" i="35"/>
  <c r="S952" i="35" s="1"/>
  <c r="R821" i="35"/>
  <c r="S821" i="35" s="1"/>
  <c r="R838" i="35"/>
  <c r="S838" i="35" s="1"/>
  <c r="R732" i="35"/>
  <c r="S732" i="35" s="1"/>
  <c r="R752" i="35"/>
  <c r="S752" i="35" s="1"/>
  <c r="R822" i="35"/>
  <c r="S822" i="35" s="1"/>
  <c r="R823" i="35"/>
  <c r="S823" i="35" s="1"/>
  <c r="R833" i="35"/>
  <c r="S833" i="35" s="1"/>
  <c r="R283" i="35"/>
  <c r="S283" i="35" s="1"/>
  <c r="R1001" i="35"/>
  <c r="S1001" i="35" s="1"/>
  <c r="R955" i="35"/>
  <c r="S955" i="35" s="1"/>
  <c r="R953" i="35"/>
  <c r="S953" i="35" s="1"/>
  <c r="R849" i="35"/>
  <c r="S849" i="35" s="1"/>
  <c r="R839" i="35"/>
  <c r="S839" i="35" s="1"/>
  <c r="R954" i="35"/>
  <c r="S954" i="35" s="1"/>
  <c r="R893" i="35"/>
  <c r="S893" i="35" s="1"/>
  <c r="R281" i="35"/>
  <c r="S281" i="35" s="1"/>
  <c r="R236" i="35"/>
  <c r="S236" i="35" s="1"/>
  <c r="R298" i="35"/>
  <c r="S298" i="35" s="1"/>
  <c r="R377" i="35"/>
  <c r="S377" i="35" s="1"/>
  <c r="R112" i="35"/>
  <c r="S112" i="35" s="1"/>
  <c r="R264" i="35"/>
  <c r="S264" i="35" s="1"/>
  <c r="R376" i="35"/>
  <c r="S376" i="35" s="1"/>
  <c r="R175" i="35"/>
  <c r="S175" i="35" s="1"/>
  <c r="R216" i="35"/>
  <c r="S216" i="35" s="1"/>
  <c r="R146" i="35"/>
  <c r="S146" i="35" s="1"/>
  <c r="R165" i="35"/>
  <c r="S165" i="35" s="1"/>
  <c r="R380" i="35"/>
  <c r="S380" i="35" s="1"/>
  <c r="R237" i="35"/>
  <c r="S237" i="35" s="1"/>
  <c r="R241" i="35"/>
  <c r="S241" i="35" s="1"/>
  <c r="R379" i="35"/>
  <c r="S379" i="35" s="1"/>
  <c r="R378" i="35"/>
  <c r="S378" i="35" s="1"/>
  <c r="R186" i="35"/>
  <c r="S186" i="35" s="1"/>
  <c r="R381" i="35"/>
  <c r="S381" i="35" s="1"/>
  <c r="R218" i="35"/>
  <c r="S218" i="35" s="1"/>
  <c r="R382" i="35"/>
  <c r="S382" i="35" s="1"/>
  <c r="R383" i="35"/>
  <c r="S383" i="35" s="1"/>
  <c r="R178" i="35"/>
  <c r="S178" i="35" s="1"/>
  <c r="R189" i="35"/>
  <c r="S189" i="35" s="1"/>
  <c r="R228" i="35"/>
  <c r="S228" i="35" s="1"/>
  <c r="R208" i="35"/>
  <c r="S208" i="35" s="1"/>
  <c r="R384" i="35"/>
  <c r="S384" i="35" s="1"/>
  <c r="R385" i="35"/>
  <c r="S385" i="35" s="1"/>
  <c r="R225" i="35"/>
  <c r="S225" i="35" s="1"/>
  <c r="R190" i="35"/>
  <c r="S190" i="35" s="1"/>
  <c r="R224" i="35"/>
  <c r="S224" i="35" s="1"/>
  <c r="R386" i="35"/>
  <c r="S386" i="35" s="1"/>
  <c r="R249" i="35"/>
  <c r="S249" i="35" s="1"/>
  <c r="R387" i="35"/>
  <c r="S387" i="35" s="1"/>
  <c r="R155" i="35"/>
  <c r="S155" i="35" s="1"/>
  <c r="R315" i="35"/>
  <c r="S315" i="35" s="1"/>
  <c r="R388" i="35"/>
  <c r="S388" i="35" s="1"/>
  <c r="R389" i="35"/>
  <c r="S389" i="35" s="1"/>
  <c r="R360" i="35"/>
  <c r="S360" i="35" s="1"/>
  <c r="R134" i="35"/>
  <c r="S134" i="35" s="1"/>
  <c r="R234" i="35"/>
  <c r="S234" i="35" s="1"/>
  <c r="R363" i="35"/>
  <c r="S363" i="35" s="1"/>
  <c r="R195" i="35"/>
  <c r="S195" i="35" s="1"/>
  <c r="R124" i="35"/>
  <c r="S124" i="35" s="1"/>
  <c r="R191" i="35"/>
  <c r="S191" i="35" s="1"/>
  <c r="R358" i="35"/>
  <c r="S358" i="35" s="1"/>
  <c r="R390" i="35"/>
  <c r="S390" i="35" s="1"/>
  <c r="R391" i="35"/>
  <c r="S391" i="35" s="1"/>
  <c r="R393" i="35"/>
  <c r="S393" i="35" s="1"/>
  <c r="R181" i="35"/>
  <c r="S181" i="35" s="1"/>
  <c r="R392" i="35"/>
  <c r="S392" i="35" s="1"/>
  <c r="R394" i="35"/>
  <c r="S394" i="35" s="1"/>
  <c r="R161" i="35"/>
  <c r="S161" i="35" s="1"/>
  <c r="R122" i="35"/>
  <c r="S122" i="35" s="1"/>
  <c r="R274" i="35"/>
  <c r="S274" i="35" s="1"/>
  <c r="R395" i="35"/>
  <c r="S395" i="35" s="1"/>
  <c r="R396" i="35"/>
  <c r="S396" i="35" s="1"/>
  <c r="R327" i="35"/>
  <c r="S327" i="35" s="1"/>
  <c r="R239" i="35"/>
  <c r="S239" i="35" s="1"/>
  <c r="R399" i="35"/>
  <c r="S399" i="35" s="1"/>
  <c r="R400" i="35"/>
  <c r="S400" i="35" s="1"/>
  <c r="R347" i="35"/>
  <c r="S347" i="35" s="1"/>
  <c r="R398" i="35"/>
  <c r="S398" i="35" s="1"/>
  <c r="R303" i="35"/>
  <c r="S303" i="35" s="1"/>
  <c r="R277" i="35"/>
  <c r="S277" i="35" s="1"/>
  <c r="R201" i="35"/>
  <c r="S201" i="35" s="1"/>
  <c r="R299" i="35"/>
  <c r="S299" i="35" s="1"/>
  <c r="R220" i="35"/>
  <c r="S220" i="35" s="1"/>
  <c r="R313" i="35"/>
  <c r="S313" i="35" s="1"/>
  <c r="R173" i="35"/>
  <c r="S173" i="35" s="1"/>
  <c r="R238" i="35"/>
  <c r="S238" i="35" s="1"/>
  <c r="R403" i="35"/>
  <c r="S403" i="35" s="1"/>
  <c r="R405" i="35"/>
  <c r="S405" i="35" s="1"/>
  <c r="R406" i="35"/>
  <c r="S406" i="35" s="1"/>
  <c r="R282" i="35"/>
  <c r="S282" i="35" s="1"/>
  <c r="R167" i="35"/>
  <c r="S167" i="35" s="1"/>
  <c r="R333" i="35"/>
  <c r="S333" i="35" s="1"/>
  <c r="R343" i="35"/>
  <c r="S343" i="35" s="1"/>
  <c r="R768" i="35"/>
  <c r="S768" i="35" s="1"/>
  <c r="R409" i="35"/>
  <c r="S409" i="35" s="1"/>
  <c r="R369" i="35"/>
  <c r="S369" i="35" s="1"/>
  <c r="R770" i="35"/>
  <c r="S770" i="35" s="1"/>
  <c r="R771" i="35"/>
  <c r="S771" i="35" s="1"/>
  <c r="R411" i="35"/>
  <c r="S411" i="35" s="1"/>
  <c r="R904" i="35"/>
  <c r="S904" i="35" s="1"/>
  <c r="R772" i="35"/>
  <c r="S772" i="35" s="1"/>
  <c r="R774" i="35"/>
  <c r="S774" i="35" s="1"/>
  <c r="R416" i="35"/>
  <c r="S416" i="35" s="1"/>
  <c r="R417" i="35"/>
  <c r="S417" i="35" s="1"/>
  <c r="R285" i="35"/>
  <c r="S285" i="35" s="1"/>
  <c r="R297" i="35"/>
  <c r="S297" i="35" s="1"/>
  <c r="R418" i="35"/>
  <c r="S418" i="35" s="1"/>
  <c r="R419" i="35"/>
  <c r="S419" i="35" s="1"/>
  <c r="R260" i="35"/>
  <c r="S260" i="35" s="1"/>
  <c r="R310" i="35"/>
  <c r="S310" i="35" s="1"/>
  <c r="R420" i="35"/>
  <c r="S420" i="35" s="1"/>
  <c r="R9" i="35"/>
  <c r="S9" i="35" s="1"/>
  <c r="R424" i="35"/>
  <c r="S424" i="35" s="1"/>
  <c r="R248" i="35"/>
  <c r="S248" i="35" s="1"/>
  <c r="R423" i="35"/>
  <c r="S423" i="35" s="1"/>
  <c r="R26" i="35"/>
  <c r="S26" i="35" s="1"/>
  <c r="R372" i="35"/>
  <c r="S372" i="35" s="1"/>
  <c r="R426" i="35"/>
  <c r="S426" i="35" s="1"/>
  <c r="R427" i="35"/>
  <c r="S427" i="35" s="1"/>
  <c r="R153" i="35"/>
  <c r="S153" i="35" s="1"/>
  <c r="R202" i="35"/>
  <c r="S202" i="35" s="1"/>
  <c r="R196" i="35"/>
  <c r="S196" i="35" s="1"/>
  <c r="R371" i="35"/>
  <c r="S371" i="35" s="1"/>
  <c r="R262" i="35"/>
  <c r="S262" i="35" s="1"/>
  <c r="R232" i="35"/>
  <c r="S232" i="35" s="1"/>
  <c r="R428" i="35"/>
  <c r="S428" i="35" s="1"/>
  <c r="R15" i="35"/>
  <c r="S15" i="35" s="1"/>
  <c r="R180" i="35"/>
  <c r="S180" i="35" s="1"/>
  <c r="R430" i="35"/>
  <c r="S430" i="35" s="1"/>
  <c r="R295" i="35"/>
  <c r="S295" i="35" s="1"/>
  <c r="R22" i="35"/>
  <c r="S22" i="35" s="1"/>
  <c r="R29" i="35"/>
  <c r="S29" i="35" s="1"/>
  <c r="R326" i="35"/>
  <c r="S326" i="35" s="1"/>
  <c r="R211" i="35"/>
  <c r="S211" i="35" s="1"/>
  <c r="R290" i="35"/>
  <c r="S290" i="35" s="1"/>
  <c r="R267" i="35"/>
  <c r="S267" i="35" s="1"/>
  <c r="R432" i="35"/>
  <c r="S432" i="35" s="1"/>
  <c r="R433" i="35"/>
  <c r="S433" i="35" s="1"/>
  <c r="R330" i="35"/>
  <c r="S330" i="35" s="1"/>
  <c r="R434" i="35"/>
  <c r="S434" i="35" s="1"/>
  <c r="R435" i="35"/>
  <c r="S435" i="35" s="1"/>
  <c r="R318" i="35"/>
  <c r="S318" i="35" s="1"/>
  <c r="R436" i="35"/>
  <c r="S436" i="35" s="1"/>
  <c r="R320" i="35"/>
  <c r="S320" i="35" s="1"/>
  <c r="R187" i="35"/>
  <c r="S187" i="35" s="1"/>
  <c r="R217" i="35"/>
  <c r="S217" i="35" s="1"/>
  <c r="R199" i="35"/>
  <c r="S199" i="35" s="1"/>
  <c r="R255" i="35"/>
  <c r="S255" i="35" s="1"/>
  <c r="R289" i="35"/>
  <c r="S289" i="35" s="1"/>
  <c r="R8" i="35"/>
  <c r="S8" i="35" s="1"/>
  <c r="R177" i="35"/>
  <c r="S177" i="35" s="1"/>
  <c r="R437" i="35"/>
  <c r="S437" i="35" s="1"/>
  <c r="R261" i="35"/>
  <c r="S261" i="35" s="1"/>
  <c r="R445" i="35"/>
  <c r="S445" i="35" s="1"/>
  <c r="R442" i="35"/>
  <c r="S442" i="35" s="1"/>
  <c r="R444" i="35"/>
  <c r="S444" i="35" s="1"/>
  <c r="R314" i="35"/>
  <c r="S314" i="35" s="1"/>
  <c r="R440" i="35"/>
  <c r="S440" i="35" s="1"/>
  <c r="R441" i="35"/>
  <c r="S441" i="35" s="1"/>
  <c r="R443" i="35"/>
  <c r="S443" i="35" s="1"/>
  <c r="R111" i="35"/>
  <c r="S111" i="35" s="1"/>
  <c r="R439" i="35"/>
  <c r="S439" i="35" s="1"/>
  <c r="R448" i="35"/>
  <c r="S448" i="35" s="1"/>
  <c r="R446" i="35"/>
  <c r="S446" i="35" s="1"/>
  <c r="R157" i="35"/>
  <c r="S157" i="35" s="1"/>
  <c r="R339" i="35"/>
  <c r="S339" i="35" s="1"/>
  <c r="R450" i="35"/>
  <c r="S450" i="35" s="1"/>
  <c r="R447" i="35"/>
  <c r="S447" i="35" s="1"/>
  <c r="R185" i="35"/>
  <c r="S185" i="35" s="1"/>
  <c r="R250" i="35"/>
  <c r="S250" i="35" s="1"/>
  <c r="R452" i="35"/>
  <c r="S452" i="35" s="1"/>
  <c r="R192" i="35"/>
  <c r="S192" i="35" s="1"/>
  <c r="R451" i="35"/>
  <c r="S451" i="35" s="1"/>
  <c r="R454" i="35"/>
  <c r="S454" i="35" s="1"/>
  <c r="R254" i="35"/>
  <c r="S254" i="35" s="1"/>
  <c r="R123" i="35"/>
  <c r="S123" i="35" s="1"/>
  <c r="R36" i="35"/>
  <c r="S36" i="35" s="1"/>
  <c r="R207" i="35"/>
  <c r="S207" i="35" s="1"/>
  <c r="R453" i="35"/>
  <c r="S453" i="35" s="1"/>
  <c r="R13" i="35"/>
  <c r="S13" i="35" s="1"/>
  <c r="R221" i="35"/>
  <c r="S221" i="35" s="1"/>
  <c r="R456" i="35"/>
  <c r="S456" i="35" s="1"/>
  <c r="R457" i="35"/>
  <c r="S457" i="35" s="1"/>
  <c r="R321" i="35"/>
  <c r="S321" i="35" s="1"/>
  <c r="R308" i="35"/>
  <c r="S308" i="35" s="1"/>
  <c r="R455" i="35"/>
  <c r="S455" i="35" s="1"/>
  <c r="R459" i="35"/>
  <c r="S459" i="35" s="1"/>
  <c r="R349" i="35"/>
  <c r="S349" i="35" s="1"/>
  <c r="R466" i="35"/>
  <c r="S466" i="35" s="1"/>
  <c r="R461" i="35"/>
  <c r="S461" i="35" s="1"/>
  <c r="R42" i="35"/>
  <c r="S42" i="35" s="1"/>
  <c r="R460" i="35"/>
  <c r="S460" i="35" s="1"/>
  <c r="R463" i="35"/>
  <c r="S463" i="35" s="1"/>
  <c r="R69" i="35"/>
  <c r="S69" i="35" s="1"/>
  <c r="R464" i="35"/>
  <c r="S464" i="35" s="1"/>
  <c r="R467" i="35"/>
  <c r="S467" i="35" s="1"/>
  <c r="R465" i="35"/>
  <c r="S465" i="35" s="1"/>
  <c r="R244" i="35"/>
  <c r="S244" i="35" s="1"/>
  <c r="R48" i="35"/>
  <c r="S48" i="35" s="1"/>
  <c r="R156" i="35"/>
  <c r="S156" i="35" s="1"/>
  <c r="R373" i="35"/>
  <c r="S373" i="35" s="1"/>
  <c r="R472" i="35"/>
  <c r="S472" i="35" s="1"/>
  <c r="R471" i="35"/>
  <c r="S471" i="35" s="1"/>
  <c r="R140" i="35"/>
  <c r="S140" i="35" s="1"/>
  <c r="R14" i="35"/>
  <c r="S14" i="35" s="1"/>
  <c r="R6" i="35"/>
  <c r="S6" i="35" s="1"/>
  <c r="R469" i="35"/>
  <c r="S469" i="35" s="1"/>
  <c r="R1097" i="35"/>
  <c r="S1097" i="35" s="1"/>
  <c r="R468" i="35"/>
  <c r="S468" i="35" s="1"/>
  <c r="R168" i="35"/>
  <c r="S168" i="35" s="1"/>
  <c r="R311" i="35"/>
  <c r="S311" i="35" s="1"/>
  <c r="R365" i="35"/>
  <c r="S365" i="35" s="1"/>
  <c r="R476" i="35"/>
  <c r="S476" i="35" s="1"/>
  <c r="R336" i="35"/>
  <c r="S336" i="35" s="1"/>
  <c r="R475" i="35"/>
  <c r="S475" i="35" s="1"/>
  <c r="R479" i="35"/>
  <c r="S479" i="35" s="1"/>
  <c r="R474" i="35"/>
  <c r="S474" i="35" s="1"/>
  <c r="R483" i="35"/>
  <c r="S483" i="35" s="1"/>
  <c r="R477" i="35"/>
  <c r="S477" i="35" s="1"/>
  <c r="R235" i="35"/>
  <c r="S235" i="35" s="1"/>
  <c r="R240" i="35"/>
  <c r="S240" i="35" s="1"/>
  <c r="R480" i="35"/>
  <c r="S480" i="35" s="1"/>
  <c r="R481" i="35"/>
  <c r="S481" i="35" s="1"/>
  <c r="R275" i="35"/>
  <c r="S275" i="35" s="1"/>
  <c r="R482" i="35"/>
  <c r="S482" i="35" s="1"/>
  <c r="R485" i="35"/>
  <c r="S485" i="35" s="1"/>
  <c r="R488" i="35"/>
  <c r="S488" i="35" s="1"/>
  <c r="R171" i="35"/>
  <c r="S171" i="35" s="1"/>
  <c r="R486" i="35"/>
  <c r="S486" i="35" s="1"/>
  <c r="R350" i="35"/>
  <c r="S350" i="35" s="1"/>
  <c r="R489" i="35"/>
  <c r="S489" i="35" s="1"/>
  <c r="R242" i="35"/>
  <c r="S242" i="35" s="1"/>
  <c r="R276" i="35"/>
  <c r="S276" i="35" s="1"/>
  <c r="R491" i="35"/>
  <c r="S491" i="35" s="1"/>
  <c r="R151" i="35"/>
  <c r="S151" i="35" s="1"/>
  <c r="R294" i="35"/>
  <c r="S294" i="35" s="1"/>
  <c r="R131" i="35"/>
  <c r="S131" i="35" s="1"/>
  <c r="R490" i="35"/>
  <c r="S490" i="35" s="1"/>
  <c r="R152" i="35"/>
  <c r="S152" i="35" s="1"/>
  <c r="R145" i="35"/>
  <c r="S145" i="35" s="1"/>
  <c r="R493" i="35"/>
  <c r="S493" i="35" s="1"/>
  <c r="R492" i="35"/>
  <c r="S492" i="35" s="1"/>
  <c r="R495" i="35"/>
  <c r="S495" i="35" s="1"/>
  <c r="R306" i="35"/>
  <c r="S306" i="35" s="1"/>
  <c r="R494" i="35"/>
  <c r="S494" i="35" s="1"/>
  <c r="R243" i="35"/>
  <c r="S243" i="35" s="1"/>
  <c r="R227" i="35"/>
  <c r="S227" i="35" s="1"/>
  <c r="R87" i="35"/>
  <c r="S87" i="35" s="1"/>
  <c r="R497" i="35"/>
  <c r="S497" i="35" s="1"/>
  <c r="R200" i="35"/>
  <c r="S200" i="35" s="1"/>
  <c r="R215" i="35"/>
  <c r="S215" i="35" s="1"/>
  <c r="R498" i="35"/>
  <c r="S498" i="35" s="1"/>
  <c r="R93" i="35"/>
  <c r="S93" i="35" s="1"/>
  <c r="R496" i="35"/>
  <c r="S496" i="35" s="1"/>
  <c r="R500" i="35"/>
  <c r="S500" i="35" s="1"/>
  <c r="R1074" i="35"/>
  <c r="S1074" i="35" s="1"/>
  <c r="R506" i="35"/>
  <c r="S506" i="35" s="1"/>
  <c r="R508" i="35"/>
  <c r="S508" i="35" s="1"/>
  <c r="R502" i="35"/>
  <c r="S502" i="35" s="1"/>
  <c r="R194" i="35"/>
  <c r="S194" i="35" s="1"/>
  <c r="R510" i="35"/>
  <c r="S510" i="35" s="1"/>
  <c r="R174" i="35"/>
  <c r="S174" i="35" s="1"/>
  <c r="R503" i="35"/>
  <c r="S503" i="35" s="1"/>
  <c r="R507" i="35"/>
  <c r="S507" i="35" s="1"/>
  <c r="R355" i="35"/>
  <c r="S355" i="35" s="1"/>
  <c r="R353" i="35"/>
  <c r="S353" i="35" s="1"/>
  <c r="R509" i="35"/>
  <c r="S509" i="35" s="1"/>
  <c r="R504" i="35"/>
  <c r="S504" i="35" s="1"/>
  <c r="R505" i="35"/>
  <c r="S505" i="35" s="1"/>
  <c r="R266" i="35"/>
  <c r="S266" i="35" s="1"/>
  <c r="R364" i="35"/>
  <c r="S364" i="35" s="1"/>
  <c r="R331" i="35"/>
  <c r="S331" i="35" s="1"/>
  <c r="R142" i="35"/>
  <c r="S142" i="35" s="1"/>
  <c r="R334" i="35"/>
  <c r="S334" i="35" s="1"/>
  <c r="R517" i="35"/>
  <c r="S517" i="35" s="1"/>
  <c r="R511" i="35"/>
  <c r="S511" i="35" s="1"/>
  <c r="R226" i="35"/>
  <c r="S226" i="35" s="1"/>
  <c r="R516" i="35"/>
  <c r="S516" i="35" s="1"/>
  <c r="R219" i="35"/>
  <c r="S219" i="35" s="1"/>
  <c r="R513" i="35"/>
  <c r="S513" i="35" s="1"/>
  <c r="R515" i="35"/>
  <c r="S515" i="35" s="1"/>
  <c r="R117" i="35"/>
  <c r="S117" i="35" s="1"/>
  <c r="R206" i="35"/>
  <c r="S206" i="35" s="1"/>
  <c r="R519" i="35"/>
  <c r="S519" i="35" s="1"/>
  <c r="R518" i="35"/>
  <c r="S518" i="35" s="1"/>
  <c r="R520" i="35"/>
  <c r="S520" i="35" s="1"/>
  <c r="R521" i="35"/>
  <c r="S521" i="35" s="1"/>
  <c r="R212" i="35"/>
  <c r="S212" i="35" s="1"/>
  <c r="R522" i="35"/>
  <c r="S522" i="35" s="1"/>
  <c r="R524" i="35"/>
  <c r="S524" i="35" s="1"/>
  <c r="R523" i="35"/>
  <c r="S523" i="35" s="1"/>
  <c r="R198" i="35"/>
  <c r="S198" i="35" s="1"/>
  <c r="R527" i="35"/>
  <c r="S527" i="35" s="1"/>
  <c r="R325" i="35"/>
  <c r="S325" i="35" s="1"/>
  <c r="R531" i="35"/>
  <c r="S531" i="35" s="1"/>
  <c r="R251" i="35"/>
  <c r="S251" i="35" s="1"/>
  <c r="R526" i="35"/>
  <c r="S526" i="35" s="1"/>
  <c r="R525" i="35"/>
  <c r="S525" i="35" s="1"/>
  <c r="R222" i="35"/>
  <c r="S222" i="35" s="1"/>
  <c r="R528" i="35"/>
  <c r="S528" i="35" s="1"/>
  <c r="R529" i="35"/>
  <c r="S529" i="35" s="1"/>
  <c r="R536" i="35"/>
  <c r="S536" i="35" s="1"/>
  <c r="R534" i="35"/>
  <c r="S534" i="35" s="1"/>
  <c r="R246" i="35"/>
  <c r="S246" i="35" s="1"/>
  <c r="R535" i="35"/>
  <c r="S535" i="35" s="1"/>
  <c r="R533" i="35"/>
  <c r="S533" i="35" s="1"/>
  <c r="R543" i="35"/>
  <c r="S543" i="35" s="1"/>
  <c r="R541" i="35"/>
  <c r="S541" i="35" s="1"/>
  <c r="R324" i="35"/>
  <c r="S324" i="35" s="1"/>
  <c r="R354" i="35"/>
  <c r="S354" i="35" s="1"/>
  <c r="R537" i="35"/>
  <c r="S537" i="35" s="1"/>
  <c r="R542" i="35"/>
  <c r="S542" i="35" s="1"/>
  <c r="R540" i="35"/>
  <c r="S540" i="35" s="1"/>
  <c r="R544" i="35"/>
  <c r="S544" i="35" s="1"/>
  <c r="R539" i="35"/>
  <c r="S539" i="35" s="1"/>
  <c r="R341" i="35"/>
  <c r="S341" i="35" s="1"/>
  <c r="R109" i="35"/>
  <c r="S109" i="35" s="1"/>
  <c r="R149" i="35"/>
  <c r="S149" i="35" s="1"/>
  <c r="R547" i="35"/>
  <c r="S547" i="35" s="1"/>
  <c r="R548" i="35"/>
  <c r="S548" i="35" s="1"/>
  <c r="R545" i="35"/>
  <c r="S545" i="35" s="1"/>
  <c r="R549" i="35"/>
  <c r="S549" i="35" s="1"/>
  <c r="R296" i="35"/>
  <c r="S296" i="35" s="1"/>
  <c r="R102" i="35"/>
  <c r="S102" i="35" s="1"/>
  <c r="R329" i="35"/>
  <c r="S329" i="35" s="1"/>
  <c r="R183" i="35"/>
  <c r="S183" i="35" s="1"/>
  <c r="R551" i="35"/>
  <c r="S551" i="35" s="1"/>
  <c r="R88" i="35"/>
  <c r="S88" i="35" s="1"/>
  <c r="R550" i="35"/>
  <c r="S550" i="35" s="1"/>
  <c r="R332" i="35"/>
  <c r="S332" i="35" s="1"/>
  <c r="R213" i="35"/>
  <c r="S213" i="35" s="1"/>
  <c r="R32" i="35"/>
  <c r="S32" i="35" s="1"/>
  <c r="R106" i="35"/>
  <c r="S106" i="35" s="1"/>
  <c r="R279" i="35"/>
  <c r="S279" i="35" s="1"/>
  <c r="R557" i="35"/>
  <c r="S557" i="35" s="1"/>
  <c r="R305" i="35"/>
  <c r="S305" i="35" s="1"/>
  <c r="R556" i="35"/>
  <c r="S556" i="35" s="1"/>
  <c r="R204" i="35"/>
  <c r="S204" i="35" s="1"/>
  <c r="R553" i="35"/>
  <c r="S553" i="35" s="1"/>
  <c r="R348" i="35"/>
  <c r="S348" i="35" s="1"/>
  <c r="R554" i="35"/>
  <c r="S554" i="35" s="1"/>
  <c r="R307" i="35"/>
  <c r="S307" i="35" s="1"/>
  <c r="R559" i="35"/>
  <c r="S559" i="35" s="1"/>
  <c r="R558" i="35"/>
  <c r="S558" i="35" s="1"/>
  <c r="R259" i="35"/>
  <c r="S259" i="35" s="1"/>
  <c r="R257" i="35"/>
  <c r="S257" i="35" s="1"/>
  <c r="R560" i="35"/>
  <c r="S560" i="35" s="1"/>
  <c r="R562" i="35"/>
  <c r="S562" i="35" s="1"/>
  <c r="R563" i="35"/>
  <c r="S563" i="35" s="1"/>
  <c r="R66" i="35"/>
  <c r="S66" i="35" s="1"/>
  <c r="R566" i="35"/>
  <c r="S566" i="35" s="1"/>
  <c r="R564" i="35"/>
  <c r="S564" i="35" s="1"/>
  <c r="R269" i="35"/>
  <c r="S269" i="35" s="1"/>
  <c r="R567" i="35"/>
  <c r="S567" i="35" s="1"/>
  <c r="R137" i="35"/>
  <c r="S137" i="35" s="1"/>
  <c r="R84" i="35"/>
  <c r="S84" i="35" s="1"/>
  <c r="R58" i="35"/>
  <c r="S58" i="35" s="1"/>
  <c r="R571" i="35"/>
  <c r="S571" i="35" s="1"/>
  <c r="R568" i="35"/>
  <c r="S568" i="35" s="1"/>
  <c r="R569" i="35"/>
  <c r="S569" i="35" s="1"/>
  <c r="R1071" i="35"/>
  <c r="S1071" i="35" s="1"/>
  <c r="R96" i="35"/>
  <c r="S96" i="35" s="1"/>
  <c r="R570" i="35"/>
  <c r="S570" i="35" s="1"/>
  <c r="R572" i="35"/>
  <c r="S572" i="35" s="1"/>
  <c r="R1082" i="35"/>
  <c r="S1082" i="35" s="1"/>
  <c r="R574" i="35"/>
  <c r="S574" i="35" s="1"/>
  <c r="R581" i="35"/>
  <c r="S581" i="35" s="1"/>
  <c r="R576" i="35"/>
  <c r="S576" i="35" s="1"/>
  <c r="R580" i="35"/>
  <c r="S580" i="35" s="1"/>
  <c r="R579" i="35"/>
  <c r="S579" i="35" s="1"/>
  <c r="R582" i="35"/>
  <c r="S582" i="35" s="1"/>
  <c r="R374" i="35"/>
  <c r="S374" i="35" s="1"/>
  <c r="R1077" i="35"/>
  <c r="S1077" i="35" s="1"/>
  <c r="R44" i="35"/>
  <c r="S44" i="35" s="1"/>
  <c r="R68" i="35"/>
  <c r="S68" i="35" s="1"/>
  <c r="R577" i="35"/>
  <c r="S577" i="35" s="1"/>
  <c r="R63" i="35"/>
  <c r="S63" i="35" s="1"/>
  <c r="R575" i="35"/>
  <c r="S575" i="35" s="1"/>
  <c r="R49" i="35"/>
  <c r="S49" i="35" s="1"/>
  <c r="R97" i="35"/>
  <c r="S97" i="35" s="1"/>
  <c r="R584" i="35"/>
  <c r="S584" i="35" s="1"/>
  <c r="R585" i="35"/>
  <c r="S585" i="35" s="1"/>
  <c r="R46" i="35"/>
  <c r="S46" i="35" s="1"/>
  <c r="R268" i="35"/>
  <c r="S268" i="35" s="1"/>
  <c r="R583" i="35"/>
  <c r="S583" i="35" s="1"/>
  <c r="R1081" i="35"/>
  <c r="S1081" i="35" s="1"/>
  <c r="R118" i="35"/>
  <c r="S118" i="35" s="1"/>
  <c r="R83" i="35"/>
  <c r="S83" i="35" s="1"/>
  <c r="R587" i="35"/>
  <c r="S587" i="35" s="1"/>
  <c r="R79" i="35"/>
  <c r="S79" i="35" s="1"/>
  <c r="R589" i="35"/>
  <c r="S589" i="35" s="1"/>
  <c r="R1073" i="35"/>
  <c r="S1073" i="35" s="1"/>
  <c r="R55" i="35"/>
  <c r="S55" i="35" s="1"/>
  <c r="R366" i="35"/>
  <c r="S366" i="35" s="1"/>
  <c r="R214" i="35"/>
  <c r="S214" i="35" s="1"/>
  <c r="R588" i="35"/>
  <c r="S588" i="35" s="1"/>
  <c r="R80" i="35"/>
  <c r="S80" i="35" s="1"/>
  <c r="R590" i="35"/>
  <c r="S590" i="35" s="1"/>
  <c r="R591" i="35"/>
  <c r="S591" i="35" s="1"/>
  <c r="R77" i="35"/>
  <c r="S77" i="35" s="1"/>
  <c r="R593" i="35"/>
  <c r="S593" i="35" s="1"/>
  <c r="R592" i="35"/>
  <c r="S592" i="35" s="1"/>
  <c r="R107" i="35"/>
  <c r="S107" i="35" s="1"/>
  <c r="R362" i="35"/>
  <c r="S362" i="35" s="1"/>
  <c r="R597" i="35"/>
  <c r="S597" i="35" s="1"/>
  <c r="R120" i="35"/>
  <c r="S120" i="35" s="1"/>
  <c r="R271" i="35"/>
  <c r="S271" i="35" s="1"/>
  <c r="R166" i="35"/>
  <c r="S166" i="35" s="1"/>
  <c r="R595" i="35"/>
  <c r="S595" i="35" s="1"/>
  <c r="R78" i="35"/>
  <c r="S78" i="35" s="1"/>
  <c r="R596" i="35"/>
  <c r="S596" i="35" s="1"/>
  <c r="R163" i="35"/>
  <c r="S163" i="35" s="1"/>
  <c r="R598" i="35"/>
  <c r="S598" i="35" s="1"/>
  <c r="R223" i="35"/>
  <c r="S223" i="35" s="1"/>
  <c r="R23" i="35"/>
  <c r="S23" i="35" s="1"/>
  <c r="R606" i="35"/>
  <c r="S606" i="35" s="1"/>
  <c r="R600" i="35"/>
  <c r="S600" i="35" s="1"/>
  <c r="R605" i="35"/>
  <c r="S605" i="35" s="1"/>
  <c r="R205" i="35"/>
  <c r="S205" i="35" s="1"/>
  <c r="R601" i="35"/>
  <c r="S601" i="35" s="1"/>
  <c r="R599" i="35"/>
  <c r="S599" i="35" s="1"/>
  <c r="R603" i="35"/>
  <c r="S603" i="35" s="1"/>
  <c r="R136" i="35"/>
  <c r="S136" i="35" s="1"/>
  <c r="R31" i="35"/>
  <c r="S31" i="35" s="1"/>
  <c r="R607" i="35"/>
  <c r="S607" i="35" s="1"/>
  <c r="R65" i="35"/>
  <c r="S65" i="35" s="1"/>
  <c r="R61" i="35"/>
  <c r="S61" i="35" s="1"/>
  <c r="R609" i="35"/>
  <c r="S609" i="35" s="1"/>
  <c r="R126" i="35"/>
  <c r="S126" i="35" s="1"/>
  <c r="R608" i="35"/>
  <c r="S608" i="35" s="1"/>
  <c r="R105" i="35"/>
  <c r="S105" i="35" s="1"/>
  <c r="R72" i="35"/>
  <c r="S72" i="35" s="1"/>
  <c r="R612" i="35"/>
  <c r="S612" i="35" s="1"/>
  <c r="R5" i="35"/>
  <c r="S5" i="35" s="1"/>
  <c r="R45" i="35"/>
  <c r="S45" i="35" s="1"/>
  <c r="R613" i="35"/>
  <c r="S613" i="35" s="1"/>
  <c r="R56" i="35"/>
  <c r="S56" i="35" s="1"/>
  <c r="R37" i="35"/>
  <c r="S37" i="35" s="1"/>
  <c r="R99" i="35"/>
  <c r="S99" i="35" s="1"/>
  <c r="R322" i="35"/>
  <c r="S322" i="35" s="1"/>
  <c r="R302" i="35"/>
  <c r="S302" i="35" s="1"/>
  <c r="R618" i="35"/>
  <c r="S618" i="35" s="1"/>
  <c r="R614" i="35"/>
  <c r="S614" i="35" s="1"/>
  <c r="R43" i="35"/>
  <c r="S43" i="35" s="1"/>
  <c r="R54" i="35"/>
  <c r="S54" i="35" s="1"/>
  <c r="R620" i="35"/>
  <c r="S620" i="35" s="1"/>
  <c r="R100" i="35"/>
  <c r="S100" i="35" s="1"/>
  <c r="R351" i="35"/>
  <c r="S351" i="35" s="1"/>
  <c r="R616" i="35"/>
  <c r="S616" i="35" s="1"/>
  <c r="R617" i="35"/>
  <c r="S617" i="35" s="1"/>
  <c r="R104" i="35"/>
  <c r="S104" i="35" s="1"/>
  <c r="R627" i="35"/>
  <c r="S627" i="35" s="1"/>
  <c r="R621" i="35"/>
  <c r="S621" i="35" s="1"/>
  <c r="R60" i="35"/>
  <c r="S60" i="35" s="1"/>
  <c r="R622" i="35"/>
  <c r="S622" i="35" s="1"/>
  <c r="R172" i="35"/>
  <c r="S172" i="35" s="1"/>
  <c r="R624" i="35"/>
  <c r="S624" i="35" s="1"/>
  <c r="R623" i="35"/>
  <c r="S623" i="35" s="1"/>
  <c r="R625" i="35"/>
  <c r="S625" i="35" s="1"/>
  <c r="R130" i="35"/>
  <c r="S130" i="35" s="1"/>
  <c r="R51" i="35"/>
  <c r="S51" i="35" s="1"/>
  <c r="R629" i="35"/>
  <c r="S629" i="35" s="1"/>
  <c r="R90" i="35"/>
  <c r="S90" i="35" s="1"/>
  <c r="R635" i="35"/>
  <c r="S635" i="35" s="1"/>
  <c r="R101" i="35"/>
  <c r="S101" i="35" s="1"/>
  <c r="R633" i="35"/>
  <c r="S633" i="35" s="1"/>
  <c r="R634" i="35"/>
  <c r="S634" i="35" s="1"/>
  <c r="R630" i="35"/>
  <c r="S630" i="35" s="1"/>
  <c r="R62" i="35"/>
  <c r="S62" i="35" s="1"/>
  <c r="R17" i="35"/>
  <c r="S17" i="35" s="1"/>
  <c r="R631" i="35"/>
  <c r="S631" i="35" s="1"/>
  <c r="R632" i="35"/>
  <c r="S632" i="35" s="1"/>
  <c r="R40" i="35"/>
  <c r="S40" i="35" s="1"/>
  <c r="R10" i="35"/>
  <c r="S10" i="35" s="1"/>
  <c r="R637" i="35"/>
  <c r="S637" i="35" s="1"/>
  <c r="R272" i="35"/>
  <c r="S272" i="35" s="1"/>
  <c r="R30" i="35"/>
  <c r="S30" i="35" s="1"/>
  <c r="R639" i="35"/>
  <c r="S639" i="35" s="1"/>
  <c r="R39" i="35"/>
  <c r="S39" i="35" s="1"/>
  <c r="R82" i="35"/>
  <c r="S82" i="35" s="1"/>
  <c r="R636" i="35"/>
  <c r="S636" i="35" s="1"/>
  <c r="R638" i="35"/>
  <c r="S638" i="35" s="1"/>
  <c r="R1086" i="35"/>
  <c r="S1086" i="35" s="1"/>
  <c r="R41" i="35"/>
  <c r="S41" i="35" s="1"/>
  <c r="R21" i="35"/>
  <c r="S21" i="35" s="1"/>
  <c r="R3" i="35"/>
  <c r="S3" i="35" s="1"/>
  <c r="R119" i="35"/>
  <c r="S119" i="35" s="1"/>
  <c r="R138" i="35"/>
  <c r="S138" i="35" s="1"/>
  <c r="R64" i="35"/>
  <c r="S64" i="35" s="1"/>
  <c r="R85" i="35"/>
  <c r="S85" i="35" s="1"/>
  <c r="R644" i="35"/>
  <c r="S644" i="35" s="1"/>
  <c r="R642" i="35"/>
  <c r="S642" i="35" s="1"/>
  <c r="R7" i="35"/>
  <c r="S7" i="35" s="1"/>
  <c r="R147" i="35"/>
  <c r="S147" i="35" s="1"/>
  <c r="R641" i="35"/>
  <c r="S641" i="35" s="1"/>
  <c r="R143" i="35"/>
  <c r="S143" i="35" s="1"/>
  <c r="R650" i="35"/>
  <c r="S650" i="35" s="1"/>
  <c r="R127" i="35"/>
  <c r="S127" i="35" s="1"/>
  <c r="R655" i="35"/>
  <c r="S655" i="35" s="1"/>
  <c r="R654" i="35"/>
  <c r="S654" i="35" s="1"/>
  <c r="R135" i="35"/>
  <c r="S135" i="35" s="1"/>
  <c r="R647" i="35"/>
  <c r="S647" i="35" s="1"/>
  <c r="R337" i="35"/>
  <c r="S337" i="35" s="1"/>
  <c r="R653" i="35"/>
  <c r="S653" i="35" s="1"/>
  <c r="R652" i="35"/>
  <c r="S652" i="35" s="1"/>
  <c r="R646" i="35"/>
  <c r="S646" i="35" s="1"/>
  <c r="R164" i="35"/>
  <c r="S164" i="35" s="1"/>
  <c r="R656" i="35"/>
  <c r="S656" i="35" s="1"/>
  <c r="R649" i="35"/>
  <c r="S649" i="35" s="1"/>
  <c r="R115" i="35"/>
  <c r="S115" i="35" s="1"/>
  <c r="R16" i="35"/>
  <c r="S16" i="35" s="1"/>
  <c r="R25" i="35"/>
  <c r="S25" i="35" s="1"/>
  <c r="R38" i="35"/>
  <c r="S38" i="35" s="1"/>
  <c r="R52" i="35"/>
  <c r="S52" i="35" s="1"/>
  <c r="R4" i="35"/>
  <c r="S4" i="35" s="1"/>
  <c r="R661" i="35"/>
  <c r="S661" i="35" s="1"/>
  <c r="R659" i="35"/>
  <c r="S659" i="35" s="1"/>
  <c r="R660" i="35"/>
  <c r="S660" i="35" s="1"/>
  <c r="R27" i="35"/>
  <c r="S27" i="35" s="1"/>
  <c r="R71" i="35"/>
  <c r="S71" i="35" s="1"/>
  <c r="R662" i="35"/>
  <c r="S662" i="35" s="1"/>
  <c r="R664" i="35"/>
  <c r="S664" i="35" s="1"/>
  <c r="R663" i="35"/>
  <c r="S663" i="35" s="1"/>
  <c r="R73" i="35"/>
  <c r="S73" i="35" s="1"/>
  <c r="R1094" i="35"/>
  <c r="S1094" i="35" s="1"/>
  <c r="R667" i="35"/>
  <c r="S667" i="35" s="1"/>
  <c r="R309" i="35"/>
  <c r="S309" i="35" s="1"/>
  <c r="R665" i="35"/>
  <c r="S665" i="35" s="1"/>
  <c r="R53" i="35"/>
  <c r="S53" i="35" s="1"/>
  <c r="R668" i="35"/>
  <c r="S668" i="35" s="1"/>
  <c r="R671" i="35"/>
  <c r="S671" i="35" s="1"/>
  <c r="R674" i="35"/>
  <c r="S674" i="35" s="1"/>
  <c r="R672" i="35"/>
  <c r="S672" i="35" s="1"/>
  <c r="R125" i="35"/>
  <c r="S125" i="35" s="1"/>
  <c r="R669" i="35"/>
  <c r="S669" i="35" s="1"/>
  <c r="R1085" i="35"/>
  <c r="S1085" i="35" s="1"/>
  <c r="R670" i="35"/>
  <c r="S670" i="35" s="1"/>
  <c r="R675" i="35"/>
  <c r="S675" i="35" s="1"/>
  <c r="R673" i="35"/>
  <c r="S673" i="35" s="1"/>
  <c r="R681" i="35"/>
  <c r="S681" i="35" s="1"/>
  <c r="R679" i="35"/>
  <c r="S679" i="35" s="1"/>
  <c r="R680" i="35"/>
  <c r="S680" i="35" s="1"/>
  <c r="R682" i="35"/>
  <c r="S682" i="35" s="1"/>
  <c r="R1091" i="35"/>
  <c r="S1091" i="35" s="1"/>
  <c r="R12" i="35"/>
  <c r="S12" i="35" s="1"/>
  <c r="R86" i="35"/>
  <c r="S86" i="35" s="1"/>
  <c r="R677" i="35"/>
  <c r="S677" i="35" s="1"/>
  <c r="R683" i="35"/>
  <c r="S683" i="35" s="1"/>
  <c r="R35" i="35"/>
  <c r="S35" i="35" s="1"/>
  <c r="R361" i="35"/>
  <c r="S361" i="35" s="1"/>
  <c r="R678" i="35"/>
  <c r="S678" i="35" s="1"/>
  <c r="R1078" i="35"/>
  <c r="S1078" i="35" s="1"/>
  <c r="R1079" i="35"/>
  <c r="S1079" i="35" s="1"/>
  <c r="R685" i="35"/>
  <c r="S685" i="35" s="1"/>
  <c r="R684" i="35"/>
  <c r="S684" i="35" s="1"/>
  <c r="R686" i="35"/>
  <c r="S686" i="35" s="1"/>
  <c r="R312" i="35"/>
  <c r="S312" i="35" s="1"/>
  <c r="R687" i="35"/>
  <c r="S687" i="35" s="1"/>
  <c r="R689" i="35"/>
  <c r="S689" i="35" s="1"/>
  <c r="R300" i="35"/>
  <c r="S300" i="35" s="1"/>
  <c r="R129" i="35"/>
  <c r="S129" i="35" s="1"/>
  <c r="R688" i="35"/>
  <c r="S688" i="35" s="1"/>
  <c r="R691" i="35"/>
  <c r="S691" i="35" s="1"/>
  <c r="R47" i="35"/>
  <c r="S47" i="35" s="1"/>
  <c r="R141" i="35"/>
  <c r="S141" i="35" s="1"/>
  <c r="R278" i="35"/>
  <c r="S278" i="35" s="1"/>
  <c r="R128" i="35"/>
  <c r="S128" i="35" s="1"/>
  <c r="R690" i="35"/>
  <c r="S690" i="35" s="1"/>
  <c r="R359" i="35"/>
  <c r="S359" i="35" s="1"/>
  <c r="R692" i="35"/>
  <c r="S692" i="35" s="1"/>
  <c r="R11" i="35"/>
  <c r="S11" i="35" s="1"/>
  <c r="R695" i="35"/>
  <c r="S695" i="35" s="1"/>
  <c r="R113" i="35"/>
  <c r="S113" i="35" s="1"/>
  <c r="R698" i="35"/>
  <c r="S698" i="35" s="1"/>
  <c r="R697" i="35"/>
  <c r="S697" i="35" s="1"/>
  <c r="R95" i="35"/>
  <c r="S95" i="35" s="1"/>
  <c r="R694" i="35"/>
  <c r="S694" i="35" s="1"/>
  <c r="R699" i="35"/>
  <c r="S699" i="35" s="1"/>
  <c r="R702" i="35"/>
  <c r="S702" i="35" s="1"/>
  <c r="R203" i="35"/>
  <c r="S203" i="35" s="1"/>
  <c r="R700" i="35"/>
  <c r="S700" i="35" s="1"/>
  <c r="R703" i="35"/>
  <c r="S703" i="35" s="1"/>
  <c r="R108" i="35"/>
  <c r="S108" i="35" s="1"/>
  <c r="R1089" i="35"/>
  <c r="S1089" i="35" s="1"/>
  <c r="R159" i="35"/>
  <c r="S159" i="35" s="1"/>
  <c r="R103" i="35"/>
  <c r="S103" i="35" s="1"/>
  <c r="R74" i="35"/>
  <c r="S74" i="35" s="1"/>
  <c r="R705" i="35"/>
  <c r="S705" i="35" s="1"/>
  <c r="R67" i="35"/>
  <c r="S67" i="35" s="1"/>
  <c r="R706" i="35"/>
  <c r="S706" i="35" s="1"/>
  <c r="R287" i="35"/>
  <c r="S287" i="35" s="1"/>
  <c r="R707" i="35"/>
  <c r="S707" i="35" s="1"/>
  <c r="R708" i="35"/>
  <c r="S708" i="35" s="1"/>
  <c r="R709" i="35"/>
  <c r="S709" i="35" s="1"/>
  <c r="R1095" i="35"/>
  <c r="S1095" i="35" s="1"/>
  <c r="R710" i="35"/>
  <c r="S710" i="35" s="1"/>
  <c r="R711" i="35"/>
  <c r="S711" i="35" s="1"/>
  <c r="R712" i="35"/>
  <c r="S712" i="35" s="1"/>
  <c r="R716" i="35"/>
  <c r="S716" i="35" s="1"/>
  <c r="R715" i="35"/>
  <c r="S715" i="35" s="1"/>
  <c r="R713" i="35"/>
  <c r="S713" i="35" s="1"/>
  <c r="R717" i="35"/>
  <c r="S717" i="35" s="1"/>
  <c r="R714" i="35"/>
  <c r="S714" i="35" s="1"/>
  <c r="R720" i="35"/>
  <c r="S720" i="35" s="1"/>
  <c r="R1092" i="35"/>
  <c r="S1092" i="35" s="1"/>
  <c r="R110" i="35"/>
  <c r="S110" i="35" s="1"/>
  <c r="R1096" i="35"/>
  <c r="S1096" i="35" s="1"/>
  <c r="R1099" i="35"/>
  <c r="S1099" i="35" s="1"/>
  <c r="R33" i="35"/>
  <c r="S33" i="35" s="1"/>
  <c r="R721" i="35"/>
  <c r="S721" i="35" s="1"/>
  <c r="R1090" i="35"/>
  <c r="S1090" i="35" s="1"/>
  <c r="R723" i="35"/>
  <c r="S723" i="35" s="1"/>
  <c r="R81" i="35"/>
  <c r="S81" i="35" s="1"/>
  <c r="R265" i="35"/>
  <c r="S265" i="35" s="1"/>
  <c r="R91" i="35"/>
  <c r="S91" i="35" s="1"/>
  <c r="R92" i="35"/>
  <c r="S92" i="35" s="1"/>
  <c r="R342" i="35"/>
  <c r="S342" i="35" s="1"/>
  <c r="R304" i="35"/>
  <c r="S304" i="35" s="1"/>
  <c r="R280" i="35"/>
  <c r="S280" i="35" s="1"/>
  <c r="R357" i="35"/>
  <c r="S357" i="35" s="1"/>
  <c r="R132" i="35"/>
  <c r="S132" i="35" s="1"/>
  <c r="R70" i="35"/>
  <c r="S70" i="35" s="1"/>
  <c r="R1088" i="35"/>
  <c r="S1088" i="35" s="1"/>
  <c r="R19" i="35"/>
  <c r="S19" i="35" s="1"/>
  <c r="R24" i="35"/>
  <c r="S24" i="35" s="1"/>
  <c r="R89" i="35"/>
  <c r="S89" i="35" s="1"/>
  <c r="R28" i="35"/>
  <c r="S28" i="35" s="1"/>
  <c r="R148" i="35"/>
  <c r="S148" i="35" s="1"/>
  <c r="R160" i="35"/>
  <c r="S160" i="35" s="1"/>
  <c r="F96" i="5"/>
  <c r="G96" i="5" s="1"/>
  <c r="F97" i="5"/>
  <c r="G97" i="5" s="1"/>
  <c r="F98" i="5"/>
  <c r="G98" i="5" s="1"/>
  <c r="F99" i="5"/>
  <c r="G99" i="5" s="1"/>
  <c r="F100" i="5"/>
  <c r="G100" i="5" s="1"/>
  <c r="I100" i="5" s="1"/>
  <c r="J100" i="5" s="1"/>
  <c r="F101" i="5"/>
  <c r="G101" i="5" s="1"/>
  <c r="F102" i="5"/>
  <c r="G102" i="5" s="1"/>
  <c r="I8" i="36"/>
  <c r="F1070" i="35"/>
  <c r="F1073" i="35"/>
  <c r="F845" i="35"/>
  <c r="F323" i="35"/>
  <c r="F784" i="35"/>
  <c r="F1087" i="35"/>
  <c r="F875" i="35"/>
  <c r="F870" i="35"/>
  <c r="F838" i="35"/>
  <c r="F839" i="35"/>
  <c r="F885" i="35"/>
  <c r="F893" i="35"/>
  <c r="F727" i="35"/>
  <c r="F884" i="35"/>
  <c r="F832" i="35"/>
  <c r="F726" i="35"/>
  <c r="F231" i="35"/>
  <c r="F831" i="35"/>
  <c r="F842" i="35"/>
  <c r="F959" i="35"/>
  <c r="F830" i="35"/>
  <c r="F367" i="35"/>
  <c r="F402" i="35"/>
  <c r="F1072" i="35"/>
  <c r="F1076" i="35"/>
  <c r="F909" i="35"/>
  <c r="F833" i="35"/>
  <c r="F824" i="35"/>
  <c r="F841" i="35"/>
  <c r="F404" i="35"/>
  <c r="F955" i="35"/>
  <c r="F973" i="35"/>
  <c r="F375" i="35"/>
  <c r="F829" i="35"/>
  <c r="F900" i="35"/>
  <c r="F1001" i="35"/>
  <c r="F849" i="35"/>
  <c r="F962" i="35"/>
  <c r="F899" i="35"/>
  <c r="F319" i="35"/>
  <c r="F837" i="35"/>
  <c r="F848" i="35"/>
  <c r="F847" i="35"/>
  <c r="F742" i="35"/>
  <c r="F834" i="35"/>
  <c r="F730" i="35"/>
  <c r="F401" i="35"/>
  <c r="F810" i="35"/>
  <c r="F944" i="35"/>
  <c r="F947" i="35"/>
  <c r="F823" i="35"/>
  <c r="F746" i="35"/>
  <c r="F749" i="35"/>
  <c r="F293" i="35"/>
  <c r="F826" i="35"/>
  <c r="F821" i="35"/>
  <c r="F954" i="35"/>
  <c r="F936" i="35"/>
  <c r="F951" i="35"/>
  <c r="F732" i="35"/>
  <c r="F414" i="35"/>
  <c r="F939" i="35"/>
  <c r="F950" i="35"/>
  <c r="F750" i="35"/>
  <c r="F1084" i="35"/>
  <c r="F407" i="35"/>
  <c r="F752" i="35"/>
  <c r="F748" i="35"/>
  <c r="F997" i="35"/>
  <c r="F853" i="35"/>
  <c r="F291" i="35"/>
  <c r="F937" i="35"/>
  <c r="F806" i="35"/>
  <c r="F946" i="35"/>
  <c r="F851" i="35"/>
  <c r="F852" i="35"/>
  <c r="F753" i="35"/>
  <c r="F953" i="35"/>
  <c r="F809" i="35"/>
  <c r="F413" i="35"/>
  <c r="F818" i="35"/>
  <c r="F292" i="35"/>
  <c r="F948" i="35"/>
  <c r="F952" i="35"/>
  <c r="F815" i="35"/>
  <c r="F820" i="35"/>
  <c r="F286" i="35"/>
  <c r="F817" i="35"/>
  <c r="F1083" i="35"/>
  <c r="F741" i="35"/>
  <c r="F998" i="35"/>
  <c r="F901" i="35"/>
  <c r="F941" i="35"/>
  <c r="F938" i="35"/>
  <c r="F345" i="35"/>
  <c r="F816" i="35"/>
  <c r="F744" i="35"/>
  <c r="F940" i="35"/>
  <c r="F731" i="35"/>
  <c r="F283" i="35"/>
  <c r="F807" i="35"/>
  <c r="F942" i="35"/>
  <c r="F356" i="35"/>
  <c r="F822" i="35"/>
  <c r="F1075" i="35"/>
  <c r="F745" i="35"/>
  <c r="F725" i="35"/>
  <c r="F925" i="35"/>
  <c r="F850" i="35"/>
  <c r="F408" i="35"/>
  <c r="F819" i="35"/>
  <c r="F317" i="35"/>
  <c r="F415" i="35"/>
  <c r="F813" i="35"/>
  <c r="F811" i="35"/>
  <c r="F999" i="35"/>
  <c r="F814" i="35"/>
  <c r="F949" i="35"/>
  <c r="F945" i="35"/>
  <c r="F808" i="35"/>
  <c r="F751" i="35"/>
  <c r="F943" i="35"/>
  <c r="F335" i="35"/>
  <c r="F1000" i="35"/>
  <c r="F743" i="35"/>
  <c r="F747" i="35"/>
  <c r="F812" i="35"/>
  <c r="F340" i="35"/>
  <c r="F729" i="35"/>
  <c r="F236" i="35"/>
  <c r="F281" i="35"/>
  <c r="F264" i="35"/>
  <c r="F175" i="35"/>
  <c r="F376" i="35"/>
  <c r="F112" i="35"/>
  <c r="F216" i="35"/>
  <c r="F377" i="35"/>
  <c r="F165" i="35"/>
  <c r="F298" i="35"/>
  <c r="F146" i="35"/>
  <c r="F380" i="35"/>
  <c r="F218" i="35"/>
  <c r="F381" i="35"/>
  <c r="F379" i="35"/>
  <c r="F378" i="35"/>
  <c r="F237" i="35"/>
  <c r="F241" i="35"/>
  <c r="F186" i="35"/>
  <c r="F208" i="35"/>
  <c r="F228" i="35"/>
  <c r="F178" i="35"/>
  <c r="F384" i="35"/>
  <c r="F189" i="35"/>
  <c r="F383" i="35"/>
  <c r="F382" i="35"/>
  <c r="F385" i="35"/>
  <c r="F249" i="35"/>
  <c r="F386" i="35"/>
  <c r="F224" i="35"/>
  <c r="F225" i="35"/>
  <c r="F190" i="35"/>
  <c r="F387" i="35"/>
  <c r="F388" i="35"/>
  <c r="F315" i="35"/>
  <c r="F155" i="35"/>
  <c r="F363" i="35"/>
  <c r="F391" i="35"/>
  <c r="F390" i="35"/>
  <c r="F195" i="35"/>
  <c r="F191" i="35"/>
  <c r="F360" i="35"/>
  <c r="F358" i="35"/>
  <c r="F389" i="35"/>
  <c r="F234" i="35"/>
  <c r="F134" i="35"/>
  <c r="F124" i="35"/>
  <c r="F181" i="35"/>
  <c r="F392" i="35"/>
  <c r="F393" i="35"/>
  <c r="F122" i="35"/>
  <c r="F274" i="35"/>
  <c r="F161" i="35"/>
  <c r="F394" i="35"/>
  <c r="F396" i="35"/>
  <c r="F239" i="35"/>
  <c r="F344" i="35"/>
  <c r="F327" i="35"/>
  <c r="F395" i="35"/>
  <c r="F400" i="35"/>
  <c r="F303" i="35"/>
  <c r="F397" i="35"/>
  <c r="F398" i="35"/>
  <c r="F347" i="35"/>
  <c r="F399" i="35"/>
  <c r="F201" i="35"/>
  <c r="F277" i="35"/>
  <c r="F238" i="35"/>
  <c r="F173" i="35"/>
  <c r="F313" i="35"/>
  <c r="F352" i="35"/>
  <c r="F903" i="35"/>
  <c r="F299" i="35"/>
  <c r="F220" i="35"/>
  <c r="F343" i="35"/>
  <c r="F167" i="35"/>
  <c r="F406" i="35"/>
  <c r="F252" i="35"/>
  <c r="F282" i="35"/>
  <c r="F405" i="35"/>
  <c r="F403" i="35"/>
  <c r="F333" i="35"/>
  <c r="F768" i="35"/>
  <c r="F369" i="35"/>
  <c r="F409" i="35"/>
  <c r="F769" i="35"/>
  <c r="F770" i="35"/>
  <c r="F771" i="35"/>
  <c r="F411" i="35"/>
  <c r="F904" i="35"/>
  <c r="F772" i="35"/>
  <c r="F774" i="35"/>
  <c r="F773" i="35"/>
  <c r="F416" i="35"/>
  <c r="F417" i="35"/>
  <c r="F285" i="35"/>
  <c r="F418" i="35"/>
  <c r="F297" i="35"/>
  <c r="F193" i="35"/>
  <c r="F419" i="35"/>
  <c r="F310" i="35"/>
  <c r="F260" i="35"/>
  <c r="F420" i="35"/>
  <c r="F421" i="35"/>
  <c r="F9" i="35"/>
  <c r="F423" i="35"/>
  <c r="F424" i="35"/>
  <c r="F248" i="35"/>
  <c r="F26" i="35"/>
  <c r="F425" i="35"/>
  <c r="F426" i="35"/>
  <c r="F372" i="35"/>
  <c r="F427" i="35"/>
  <c r="F153" i="35"/>
  <c r="F270" i="35"/>
  <c r="F202" i="35"/>
  <c r="F196" i="35"/>
  <c r="F262" i="35"/>
  <c r="F371" i="35"/>
  <c r="F428" i="35"/>
  <c r="F232" i="35"/>
  <c r="F429" i="35"/>
  <c r="F15" i="35"/>
  <c r="F180" i="35"/>
  <c r="F430" i="35"/>
  <c r="F295" i="35"/>
  <c r="F22" i="35"/>
  <c r="F188" i="35"/>
  <c r="F290" i="35"/>
  <c r="F211" i="35"/>
  <c r="F29" i="35"/>
  <c r="F326" i="35"/>
  <c r="F267" i="35"/>
  <c r="F433" i="35"/>
  <c r="F432" i="35"/>
  <c r="F431" i="35"/>
  <c r="F330" i="35"/>
  <c r="F247" i="35"/>
  <c r="F435" i="35"/>
  <c r="F434" i="35"/>
  <c r="F318" i="35"/>
  <c r="F187" i="35"/>
  <c r="F217" i="35"/>
  <c r="F320" i="35"/>
  <c r="F436" i="35"/>
  <c r="F177" i="35"/>
  <c r="F263" i="35"/>
  <c r="F289" i="35"/>
  <c r="F8" i="35"/>
  <c r="F438" i="35"/>
  <c r="F199" i="35"/>
  <c r="F437" i="35"/>
  <c r="F255" i="35"/>
  <c r="F445" i="35"/>
  <c r="F440" i="35"/>
  <c r="F442" i="35"/>
  <c r="F441" i="35"/>
  <c r="F314" i="35"/>
  <c r="F439" i="35"/>
  <c r="F444" i="35"/>
  <c r="F261" i="35"/>
  <c r="F233" i="35"/>
  <c r="F256" i="35"/>
  <c r="F111" i="35"/>
  <c r="F443" i="35"/>
  <c r="F447" i="35"/>
  <c r="F450" i="35"/>
  <c r="F157" i="35"/>
  <c r="F448" i="35"/>
  <c r="F446" i="35"/>
  <c r="F449" i="35"/>
  <c r="F339" i="35"/>
  <c r="F123" i="35"/>
  <c r="F254" i="35"/>
  <c r="F36" i="35"/>
  <c r="F368" i="35"/>
  <c r="F453" i="35"/>
  <c r="F185" i="35"/>
  <c r="F192" i="35"/>
  <c r="F207" i="35"/>
  <c r="F454" i="35"/>
  <c r="F452" i="35"/>
  <c r="F253" i="35"/>
  <c r="F250" i="35"/>
  <c r="F451" i="35"/>
  <c r="F308" i="35"/>
  <c r="F456" i="35"/>
  <c r="F457" i="35"/>
  <c r="F321" i="35"/>
  <c r="F338" i="35"/>
  <c r="F458" i="35"/>
  <c r="F455" i="35"/>
  <c r="F459" i="35"/>
  <c r="F13" i="35"/>
  <c r="F221" i="35"/>
  <c r="F465" i="35"/>
  <c r="F467" i="35"/>
  <c r="F244" i="35"/>
  <c r="F462" i="35"/>
  <c r="F69" i="35"/>
  <c r="F466" i="35"/>
  <c r="F461" i="35"/>
  <c r="F349" i="35"/>
  <c r="F460" i="35"/>
  <c r="F42" i="35"/>
  <c r="F464" i="35"/>
  <c r="F273" i="35"/>
  <c r="F463" i="35"/>
  <c r="F373" i="35"/>
  <c r="F1097" i="35"/>
  <c r="F469" i="35"/>
  <c r="F140" i="35"/>
  <c r="F48" i="35"/>
  <c r="F14" i="35"/>
  <c r="F258" i="35"/>
  <c r="F471" i="35"/>
  <c r="F468" i="35"/>
  <c r="F168" i="35"/>
  <c r="F156" i="35"/>
  <c r="F470" i="35"/>
  <c r="F6" i="35"/>
  <c r="F472" i="35"/>
  <c r="F482" i="35"/>
  <c r="F336" i="35"/>
  <c r="F365" i="35"/>
  <c r="F480" i="35"/>
  <c r="F311" i="35"/>
  <c r="F483" i="35"/>
  <c r="F275" i="35"/>
  <c r="F481" i="35"/>
  <c r="F476" i="35"/>
  <c r="F475" i="35"/>
  <c r="F474" i="35"/>
  <c r="F479" i="35"/>
  <c r="F477" i="35"/>
  <c r="F235" i="35"/>
  <c r="F473" i="35"/>
  <c r="F301" i="35"/>
  <c r="F240" i="35"/>
  <c r="F478" i="35"/>
  <c r="F488" i="35"/>
  <c r="F151" i="35"/>
  <c r="F490" i="35"/>
  <c r="F152" i="35"/>
  <c r="F484" i="35"/>
  <c r="F294" i="35"/>
  <c r="F210" i="35"/>
  <c r="F487" i="35"/>
  <c r="F276" i="35"/>
  <c r="F350" i="35"/>
  <c r="F485" i="35"/>
  <c r="F131" i="35"/>
  <c r="F242" i="35"/>
  <c r="F171" i="35"/>
  <c r="F489" i="35"/>
  <c r="F486" i="35"/>
  <c r="F491" i="35"/>
  <c r="F200" i="35"/>
  <c r="F496" i="35"/>
  <c r="F494" i="35"/>
  <c r="F229" i="35"/>
  <c r="F87" i="35"/>
  <c r="F492" i="35"/>
  <c r="F243" i="35"/>
  <c r="F227" i="35"/>
  <c r="F215" i="35"/>
  <c r="F495" i="35"/>
  <c r="F93" i="35"/>
  <c r="F499" i="35"/>
  <c r="F498" i="35"/>
  <c r="F306" i="35"/>
  <c r="F145" i="35"/>
  <c r="F493" i="35"/>
  <c r="F497" i="35"/>
  <c r="F266" i="35"/>
  <c r="F504" i="35"/>
  <c r="F174" i="35"/>
  <c r="F209" i="35"/>
  <c r="F506" i="35"/>
  <c r="F500" i="35"/>
  <c r="F355" i="35"/>
  <c r="F158" i="35"/>
  <c r="F507" i="35"/>
  <c r="F194" i="35"/>
  <c r="F502" i="35"/>
  <c r="F508" i="35"/>
  <c r="F510" i="35"/>
  <c r="F353" i="35"/>
  <c r="F509" i="35"/>
  <c r="F503" i="35"/>
  <c r="F501" i="35"/>
  <c r="F505" i="35"/>
  <c r="F1074" i="35"/>
  <c r="F514" i="35"/>
  <c r="F517" i="35"/>
  <c r="F364" i="35"/>
  <c r="F142" i="35"/>
  <c r="F515" i="35"/>
  <c r="F226" i="35"/>
  <c r="F219" i="35"/>
  <c r="F513" i="35"/>
  <c r="F331" i="35"/>
  <c r="F511" i="35"/>
  <c r="F512" i="35"/>
  <c r="F245" i="35"/>
  <c r="F516" i="35"/>
  <c r="F334" i="35"/>
  <c r="F316" i="35"/>
  <c r="F524" i="35"/>
  <c r="F519" i="35"/>
  <c r="F520" i="35"/>
  <c r="F206" i="35"/>
  <c r="F370" i="35"/>
  <c r="F523" i="35"/>
  <c r="F212" i="35"/>
  <c r="F522" i="35"/>
  <c r="F117" i="35"/>
  <c r="F198" i="35"/>
  <c r="F518" i="35"/>
  <c r="F521" i="35"/>
  <c r="F325" i="35"/>
  <c r="F528" i="35"/>
  <c r="F530" i="35"/>
  <c r="F525" i="35"/>
  <c r="F531" i="35"/>
  <c r="F529" i="35"/>
  <c r="F251" i="35"/>
  <c r="F527" i="35"/>
  <c r="F144" i="35"/>
  <c r="F222" i="35"/>
  <c r="F526" i="35"/>
  <c r="F532" i="35"/>
  <c r="F535" i="35"/>
  <c r="F536" i="35"/>
  <c r="F246" i="35"/>
  <c r="F534" i="35"/>
  <c r="F533" i="35"/>
  <c r="F540" i="35"/>
  <c r="F341" i="35"/>
  <c r="F542" i="35"/>
  <c r="F150" i="35"/>
  <c r="F354" i="35"/>
  <c r="F537" i="35"/>
  <c r="F541" i="35"/>
  <c r="F538" i="35"/>
  <c r="F543" i="35"/>
  <c r="F544" i="35"/>
  <c r="F324" i="35"/>
  <c r="F539" i="35"/>
  <c r="F547" i="35"/>
  <c r="F109" i="35"/>
  <c r="F545" i="35"/>
  <c r="F149" i="35"/>
  <c r="F546" i="35"/>
  <c r="F549" i="35"/>
  <c r="F102" i="35"/>
  <c r="F296" i="35"/>
  <c r="F548" i="35"/>
  <c r="F332" i="35"/>
  <c r="F329" i="35"/>
  <c r="F213" i="35"/>
  <c r="F183" i="35"/>
  <c r="F551" i="35"/>
  <c r="F76" i="35"/>
  <c r="F550" i="35"/>
  <c r="F88" i="35"/>
  <c r="F556" i="35"/>
  <c r="F348" i="35"/>
  <c r="F554" i="35"/>
  <c r="F553" i="35"/>
  <c r="F106" i="35"/>
  <c r="F552" i="35"/>
  <c r="F305" i="35"/>
  <c r="F557" i="35"/>
  <c r="F279" i="35"/>
  <c r="F32" i="35"/>
  <c r="F204" i="35"/>
  <c r="F555" i="35"/>
  <c r="F284" i="35"/>
  <c r="F307" i="35"/>
  <c r="F259" i="35"/>
  <c r="F559" i="35"/>
  <c r="F257" i="35"/>
  <c r="F558" i="35"/>
  <c r="F561" i="35"/>
  <c r="F560" i="35"/>
  <c r="F562" i="35"/>
  <c r="F66" i="35"/>
  <c r="F563" i="35"/>
  <c r="F564" i="35"/>
  <c r="F565" i="35"/>
  <c r="F567" i="35"/>
  <c r="F269" i="35"/>
  <c r="F566" i="35"/>
  <c r="F197" i="35"/>
  <c r="F572" i="35"/>
  <c r="F568" i="35"/>
  <c r="F96" i="35"/>
  <c r="F137" i="35"/>
  <c r="F58" i="35"/>
  <c r="F84" i="35"/>
  <c r="F1071" i="35"/>
  <c r="F570" i="35"/>
  <c r="F571" i="35"/>
  <c r="F230" i="35"/>
  <c r="F1082" i="35"/>
  <c r="F569" i="35"/>
  <c r="F578" i="35"/>
  <c r="F576" i="35"/>
  <c r="F581" i="35"/>
  <c r="F374" i="35"/>
  <c r="F44" i="35"/>
  <c r="F577" i="35"/>
  <c r="F580" i="35"/>
  <c r="F63" i="35"/>
  <c r="F94" i="35"/>
  <c r="F1077" i="35"/>
  <c r="F579" i="35"/>
  <c r="F1093" i="35"/>
  <c r="F68" i="35"/>
  <c r="F575" i="35"/>
  <c r="F582" i="35"/>
  <c r="F574" i="35"/>
  <c r="F584" i="35"/>
  <c r="F1081" i="35"/>
  <c r="F118" i="35"/>
  <c r="F268" i="35"/>
  <c r="F46" i="35"/>
  <c r="F586" i="35"/>
  <c r="F97" i="35"/>
  <c r="F583" i="35"/>
  <c r="F585" i="35"/>
  <c r="F49" i="35"/>
  <c r="F170" i="35"/>
  <c r="F79" i="35"/>
  <c r="F328" i="35"/>
  <c r="F588" i="35"/>
  <c r="F587" i="35"/>
  <c r="F83" i="35"/>
  <c r="F80" i="35"/>
  <c r="F55" i="35"/>
  <c r="F589" i="35"/>
  <c r="F50" i="35"/>
  <c r="F590" i="35"/>
  <c r="F366" i="35"/>
  <c r="F214" i="35"/>
  <c r="F598" i="35"/>
  <c r="F271" i="35"/>
  <c r="F78" i="35"/>
  <c r="F596" i="35"/>
  <c r="F592" i="35"/>
  <c r="F77" i="35"/>
  <c r="F163" i="35"/>
  <c r="F595" i="35"/>
  <c r="F120" i="35"/>
  <c r="F593" i="35"/>
  <c r="F59" i="35"/>
  <c r="F591" i="35"/>
  <c r="F362" i="35"/>
  <c r="F594" i="35"/>
  <c r="F182" i="35"/>
  <c r="F597" i="35"/>
  <c r="F166" i="35"/>
  <c r="F107" i="35"/>
  <c r="F205" i="35"/>
  <c r="F223" i="35"/>
  <c r="F605" i="35"/>
  <c r="F604" i="35"/>
  <c r="F603" i="35"/>
  <c r="F606" i="35"/>
  <c r="F600" i="35"/>
  <c r="F136" i="35"/>
  <c r="F23" i="35"/>
  <c r="F599" i="35"/>
  <c r="F602" i="35"/>
  <c r="F601" i="35"/>
  <c r="F607" i="35"/>
  <c r="F61" i="35"/>
  <c r="F169" i="35"/>
  <c r="F608" i="35"/>
  <c r="F31" i="35"/>
  <c r="F609" i="35"/>
  <c r="F610" i="35"/>
  <c r="F105" i="35"/>
  <c r="F126" i="35"/>
  <c r="F65" i="35"/>
  <c r="F45" i="35"/>
  <c r="F56" i="35"/>
  <c r="F612" i="35"/>
  <c r="F5" i="35"/>
  <c r="F37" i="35"/>
  <c r="F611" i="35"/>
  <c r="F72" i="35"/>
  <c r="F613" i="35"/>
  <c r="F618" i="35"/>
  <c r="F620" i="35"/>
  <c r="F619" i="35"/>
  <c r="F616" i="35"/>
  <c r="F302" i="35"/>
  <c r="F351" i="35"/>
  <c r="F54" i="35"/>
  <c r="F615" i="35"/>
  <c r="F614" i="35"/>
  <c r="F100" i="35"/>
  <c r="F104" i="35"/>
  <c r="F322" i="35"/>
  <c r="F99" i="35"/>
  <c r="F617" i="35"/>
  <c r="F43" i="35"/>
  <c r="F624" i="35"/>
  <c r="F627" i="35"/>
  <c r="F60" i="35"/>
  <c r="F130" i="35"/>
  <c r="F622" i="35"/>
  <c r="F625" i="35"/>
  <c r="F626" i="35"/>
  <c r="F621" i="35"/>
  <c r="F623" i="35"/>
  <c r="F18" i="35"/>
  <c r="F172" i="35"/>
  <c r="F633" i="35"/>
  <c r="F628" i="35"/>
  <c r="F116" i="35"/>
  <c r="F629" i="35"/>
  <c r="F17" i="35"/>
  <c r="F631" i="35"/>
  <c r="F632" i="35"/>
  <c r="F635" i="35"/>
  <c r="F62" i="35"/>
  <c r="F630" i="35"/>
  <c r="F154" i="35"/>
  <c r="F634" i="35"/>
  <c r="F101" i="35"/>
  <c r="F90" i="35"/>
  <c r="F51" i="35"/>
  <c r="F272" i="35"/>
  <c r="F10" i="35"/>
  <c r="F176" i="35"/>
  <c r="F40" i="35"/>
  <c r="F30" i="35"/>
  <c r="F39" i="35"/>
  <c r="F638" i="35"/>
  <c r="F639" i="35"/>
  <c r="F21" i="35"/>
  <c r="F637" i="35"/>
  <c r="F1086" i="35"/>
  <c r="F57" i="35"/>
  <c r="F636" i="35"/>
  <c r="F82" i="35"/>
  <c r="F41" i="35"/>
  <c r="F3" i="35"/>
  <c r="F138" i="35"/>
  <c r="F147" i="35"/>
  <c r="F641" i="35"/>
  <c r="F643" i="35"/>
  <c r="F644" i="35"/>
  <c r="F119" i="35"/>
  <c r="F143" i="35"/>
  <c r="F85" i="35"/>
  <c r="F642" i="35"/>
  <c r="F64" i="35"/>
  <c r="F184" i="35"/>
  <c r="F7" i="35"/>
  <c r="F640" i="35"/>
  <c r="F650" i="35"/>
  <c r="F652" i="35"/>
  <c r="F647" i="35"/>
  <c r="F651" i="35"/>
  <c r="F656" i="35"/>
  <c r="F127" i="35"/>
  <c r="F164" i="35"/>
  <c r="F135" i="35"/>
  <c r="F653" i="35"/>
  <c r="F655" i="35"/>
  <c r="F646" i="35"/>
  <c r="F649" i="35"/>
  <c r="F654" i="35"/>
  <c r="F337" i="35"/>
  <c r="F648" i="35"/>
  <c r="F16" i="35"/>
  <c r="F659" i="35"/>
  <c r="F657" i="35"/>
  <c r="F52" i="35"/>
  <c r="F660" i="35"/>
  <c r="F4" i="35"/>
  <c r="F661" i="35"/>
  <c r="F38" i="35"/>
  <c r="F658" i="35"/>
  <c r="F25" i="35"/>
  <c r="F115" i="35"/>
  <c r="F346" i="35"/>
  <c r="F664" i="35"/>
  <c r="F663" i="35"/>
  <c r="F73" i="35"/>
  <c r="F27" i="35"/>
  <c r="F71" i="35"/>
  <c r="F662" i="35"/>
  <c r="F1094" i="35"/>
  <c r="F668" i="35"/>
  <c r="F665" i="35"/>
  <c r="F53" i="35"/>
  <c r="F667" i="35"/>
  <c r="F309" i="35"/>
  <c r="F666" i="35"/>
  <c r="F671" i="35"/>
  <c r="F1085" i="35"/>
  <c r="F673" i="35"/>
  <c r="F674" i="35"/>
  <c r="F670" i="35"/>
  <c r="F669" i="35"/>
  <c r="F676" i="35"/>
  <c r="F125" i="35"/>
  <c r="F675" i="35"/>
  <c r="F20" i="35"/>
  <c r="F672" i="35"/>
  <c r="F679" i="35"/>
  <c r="F139" i="35"/>
  <c r="F12" i="35"/>
  <c r="F114" i="35"/>
  <c r="F678" i="35"/>
  <c r="F683" i="35"/>
  <c r="F361" i="35"/>
  <c r="F680" i="35"/>
  <c r="F35" i="35"/>
  <c r="F133" i="35"/>
  <c r="F1091" i="35"/>
  <c r="F682" i="35"/>
  <c r="F677" i="35"/>
  <c r="F681" i="35"/>
  <c r="F86" i="35"/>
  <c r="F312" i="35"/>
  <c r="F1078" i="35"/>
  <c r="F685" i="35"/>
  <c r="F1079" i="35"/>
  <c r="F684" i="35"/>
  <c r="F1098" i="35"/>
  <c r="F686" i="35"/>
  <c r="F687" i="35"/>
  <c r="F688" i="35"/>
  <c r="F129" i="35"/>
  <c r="F162" i="35"/>
  <c r="F689" i="35"/>
  <c r="F300" i="35"/>
  <c r="F128" i="35"/>
  <c r="F11" i="35"/>
  <c r="F34" i="35"/>
  <c r="F47" i="35"/>
  <c r="F359" i="35"/>
  <c r="F690" i="35"/>
  <c r="F141" i="35"/>
  <c r="F278" i="35"/>
  <c r="F691" i="35"/>
  <c r="F692" i="35"/>
  <c r="F693" i="35"/>
  <c r="F95" i="35"/>
  <c r="F698" i="35"/>
  <c r="F696" i="35"/>
  <c r="F695" i="35"/>
  <c r="F697" i="35"/>
  <c r="F113" i="35"/>
  <c r="F694" i="35"/>
  <c r="F701" i="35"/>
  <c r="F203" i="35"/>
  <c r="F702" i="35"/>
  <c r="F700" i="35"/>
  <c r="F699" i="35"/>
  <c r="F704" i="35"/>
  <c r="F74" i="35"/>
  <c r="F703" i="35"/>
  <c r="F103" i="35"/>
  <c r="F159" i="35"/>
  <c r="F108" i="35"/>
  <c r="F1089" i="35"/>
  <c r="F705" i="35"/>
  <c r="F706" i="35"/>
  <c r="F67" i="35"/>
  <c r="F179" i="35"/>
  <c r="F287" i="35"/>
  <c r="F708" i="35"/>
  <c r="F707" i="35"/>
  <c r="F711" i="35"/>
  <c r="F710" i="35"/>
  <c r="F712" i="35"/>
  <c r="F1095" i="35"/>
  <c r="F709" i="35"/>
  <c r="F1080" i="35"/>
  <c r="F714" i="35"/>
  <c r="F715" i="35"/>
  <c r="F713" i="35"/>
  <c r="F717" i="35"/>
  <c r="F716" i="35"/>
  <c r="F718" i="35"/>
  <c r="F1092" i="35"/>
  <c r="F719" i="35"/>
  <c r="F720" i="35"/>
  <c r="F110" i="35"/>
  <c r="F1090" i="35"/>
  <c r="F1096" i="35"/>
  <c r="F1099" i="35"/>
  <c r="F33" i="35"/>
  <c r="F721" i="35"/>
  <c r="F723" i="35"/>
  <c r="F722" i="35"/>
  <c r="F81" i="35"/>
  <c r="F265" i="35"/>
  <c r="F92" i="35"/>
  <c r="F91" i="35"/>
  <c r="F288" i="35"/>
  <c r="F342" i="35"/>
  <c r="F304" i="35"/>
  <c r="F98" i="35"/>
  <c r="F132" i="35"/>
  <c r="F280" i="35"/>
  <c r="F357" i="35"/>
  <c r="F1088" i="35"/>
  <c r="F70" i="35"/>
  <c r="F24" i="35"/>
  <c r="F19" i="35"/>
  <c r="F89" i="35"/>
  <c r="F75" i="35"/>
  <c r="F28" i="35"/>
  <c r="F148" i="35"/>
  <c r="F160" i="35"/>
  <c r="F856" i="35"/>
  <c r="F95" i="38"/>
  <c r="G95" i="38"/>
  <c r="F94" i="38"/>
  <c r="G94" i="38"/>
  <c r="G93" i="38"/>
  <c r="I93" i="38"/>
  <c r="J93" i="38"/>
  <c r="F93" i="38"/>
  <c r="F92" i="38"/>
  <c r="G92" i="38"/>
  <c r="F91" i="38"/>
  <c r="G91" i="38"/>
  <c r="F90" i="38"/>
  <c r="G90" i="38"/>
  <c r="F89" i="38"/>
  <c r="G89" i="38"/>
  <c r="F88" i="38"/>
  <c r="G88" i="38"/>
  <c r="F87" i="38"/>
  <c r="G87" i="38"/>
  <c r="F86" i="38"/>
  <c r="G86" i="38"/>
  <c r="F85" i="38"/>
  <c r="G85" i="38"/>
  <c r="G84" i="38"/>
  <c r="K84" i="38"/>
  <c r="L84" i="38"/>
  <c r="F84" i="38"/>
  <c r="F83" i="38"/>
  <c r="G83" i="38"/>
  <c r="F82" i="38"/>
  <c r="G82" i="38"/>
  <c r="G81" i="38"/>
  <c r="I81" i="38"/>
  <c r="J81" i="38"/>
  <c r="F81" i="38"/>
  <c r="F80" i="38"/>
  <c r="G80" i="38"/>
  <c r="F79" i="38"/>
  <c r="G79" i="38"/>
  <c r="F78" i="38"/>
  <c r="G78" i="38"/>
  <c r="F77" i="38"/>
  <c r="G77" i="38"/>
  <c r="F76" i="38"/>
  <c r="G76" i="38"/>
  <c r="F75" i="38"/>
  <c r="G75" i="38"/>
  <c r="F74" i="38"/>
  <c r="G74" i="38"/>
  <c r="F73" i="38"/>
  <c r="G73" i="38"/>
  <c r="F72" i="38"/>
  <c r="G72" i="38"/>
  <c r="K72" i="38"/>
  <c r="L72" i="38"/>
  <c r="F71" i="38"/>
  <c r="G71" i="38"/>
  <c r="F70" i="38"/>
  <c r="G70" i="38"/>
  <c r="F69" i="38"/>
  <c r="G69" i="38"/>
  <c r="F68" i="38"/>
  <c r="G68" i="38"/>
  <c r="F67" i="38"/>
  <c r="G67" i="38"/>
  <c r="F66" i="38"/>
  <c r="G66" i="38"/>
  <c r="F65" i="38"/>
  <c r="G65" i="38"/>
  <c r="F64" i="38"/>
  <c r="G64" i="38"/>
  <c r="F63" i="38"/>
  <c r="G63" i="38"/>
  <c r="F62" i="38"/>
  <c r="G62" i="38"/>
  <c r="F61" i="38"/>
  <c r="G61" i="38"/>
  <c r="I61" i="38"/>
  <c r="J61" i="38"/>
  <c r="G60" i="38"/>
  <c r="K60" i="38"/>
  <c r="L60" i="38"/>
  <c r="F60" i="38"/>
  <c r="F59" i="38"/>
  <c r="G59" i="38"/>
  <c r="F58" i="38"/>
  <c r="G58" i="38"/>
  <c r="G57" i="38"/>
  <c r="I57" i="38"/>
  <c r="J57" i="38"/>
  <c r="F57" i="38"/>
  <c r="F56" i="38"/>
  <c r="G56" i="38"/>
  <c r="F55" i="38"/>
  <c r="G55" i="38"/>
  <c r="F54" i="38"/>
  <c r="G54" i="38"/>
  <c r="F53" i="38"/>
  <c r="G53" i="38"/>
  <c r="F52" i="38"/>
  <c r="G52" i="38"/>
  <c r="F51" i="38"/>
  <c r="G51" i="38"/>
  <c r="F50" i="38"/>
  <c r="G50" i="38"/>
  <c r="F49" i="38"/>
  <c r="G49" i="38"/>
  <c r="I49" i="38"/>
  <c r="J49" i="38"/>
  <c r="F48" i="38"/>
  <c r="G48" i="38"/>
  <c r="K48" i="38"/>
  <c r="L48" i="38"/>
  <c r="F47" i="38"/>
  <c r="G47" i="38"/>
  <c r="F46" i="38"/>
  <c r="G46" i="38"/>
  <c r="F45" i="38"/>
  <c r="G45" i="38"/>
  <c r="F44" i="38"/>
  <c r="G44" i="38"/>
  <c r="F43" i="38"/>
  <c r="G43" i="38"/>
  <c r="G42" i="38"/>
  <c r="K42" i="38"/>
  <c r="L42" i="38"/>
  <c r="F42" i="38"/>
  <c r="F41" i="38"/>
  <c r="G41" i="38"/>
  <c r="F40" i="38"/>
  <c r="G40" i="38"/>
  <c r="G39" i="38"/>
  <c r="H39" i="38"/>
  <c r="F39" i="38"/>
  <c r="F38" i="38"/>
  <c r="G38" i="38"/>
  <c r="F37" i="38"/>
  <c r="G37" i="38"/>
  <c r="I37" i="38"/>
  <c r="J37" i="38"/>
  <c r="F36" i="38"/>
  <c r="G36" i="38"/>
  <c r="K36" i="38"/>
  <c r="L36" i="38"/>
  <c r="F35" i="38"/>
  <c r="G35" i="38"/>
  <c r="F34" i="38"/>
  <c r="G34" i="38"/>
  <c r="F33" i="38"/>
  <c r="G33" i="38"/>
  <c r="F32" i="38"/>
  <c r="G32" i="38"/>
  <c r="F31" i="38"/>
  <c r="G31" i="38"/>
  <c r="F30" i="38"/>
  <c r="G30" i="38"/>
  <c r="F29" i="38"/>
  <c r="G29" i="38"/>
  <c r="F28" i="38"/>
  <c r="G28" i="38"/>
  <c r="F27" i="38"/>
  <c r="G27" i="38"/>
  <c r="F26" i="38"/>
  <c r="G26" i="38"/>
  <c r="F25" i="38"/>
  <c r="G25" i="38"/>
  <c r="I25" i="38"/>
  <c r="J25" i="38"/>
  <c r="F24" i="38"/>
  <c r="G24" i="38"/>
  <c r="K24" i="38"/>
  <c r="L24" i="38"/>
  <c r="F23" i="38"/>
  <c r="G23" i="38"/>
  <c r="F22" i="38"/>
  <c r="G22" i="38"/>
  <c r="F21" i="38"/>
  <c r="G21" i="38"/>
  <c r="F20" i="38"/>
  <c r="G20" i="38"/>
  <c r="F19" i="38"/>
  <c r="G19" i="38"/>
  <c r="F18" i="38"/>
  <c r="G18" i="38"/>
  <c r="F17" i="38"/>
  <c r="G17" i="38"/>
  <c r="F16" i="38"/>
  <c r="G16" i="38"/>
  <c r="F15" i="38"/>
  <c r="G15" i="38"/>
  <c r="F14" i="38"/>
  <c r="G14" i="38"/>
  <c r="F13" i="38"/>
  <c r="G13" i="38"/>
  <c r="I13" i="38"/>
  <c r="J13" i="38"/>
  <c r="F12" i="38"/>
  <c r="G12" i="38"/>
  <c r="K12" i="38"/>
  <c r="L12" i="38"/>
  <c r="C12" i="38"/>
  <c r="F11" i="38"/>
  <c r="G11" i="38"/>
  <c r="F10" i="38"/>
  <c r="G10" i="38"/>
  <c r="F9" i="38"/>
  <c r="G9" i="38"/>
  <c r="F8" i="38"/>
  <c r="G8" i="38"/>
  <c r="I8" i="38"/>
  <c r="J8" i="38"/>
  <c r="F7" i="38"/>
  <c r="G7" i="38"/>
  <c r="K7" i="38"/>
  <c r="L7" i="38"/>
  <c r="F6" i="38"/>
  <c r="G6" i="38"/>
  <c r="I5" i="38"/>
  <c r="H5" i="38"/>
  <c r="K18" i="38"/>
  <c r="L18" i="38"/>
  <c r="H18" i="38"/>
  <c r="I18" i="38"/>
  <c r="J18" i="38"/>
  <c r="K30" i="38"/>
  <c r="L30" i="38"/>
  <c r="I30" i="38"/>
  <c r="J30" i="38"/>
  <c r="H30" i="38"/>
  <c r="H63" i="38"/>
  <c r="K63" i="38"/>
  <c r="L63" i="38"/>
  <c r="H75" i="38"/>
  <c r="K75" i="38"/>
  <c r="L75" i="38"/>
  <c r="H85" i="38"/>
  <c r="I85" i="38"/>
  <c r="J85" i="38"/>
  <c r="H51" i="38"/>
  <c r="K51" i="38"/>
  <c r="L51" i="38"/>
  <c r="I21" i="38"/>
  <c r="J21" i="38"/>
  <c r="K21" i="38"/>
  <c r="L21" i="38"/>
  <c r="K78" i="38"/>
  <c r="L78" i="38"/>
  <c r="I78" i="38"/>
  <c r="J78" i="38"/>
  <c r="H78" i="38"/>
  <c r="K90" i="38"/>
  <c r="L90" i="38"/>
  <c r="I90" i="38"/>
  <c r="J90" i="38"/>
  <c r="H90" i="38"/>
  <c r="H73" i="38"/>
  <c r="I73" i="38"/>
  <c r="J73" i="38"/>
  <c r="K54" i="38"/>
  <c r="L54" i="38"/>
  <c r="I54" i="38"/>
  <c r="J54" i="38"/>
  <c r="H54" i="38"/>
  <c r="I33" i="38"/>
  <c r="J33" i="38"/>
  <c r="K33" i="38"/>
  <c r="L33" i="38"/>
  <c r="I66" i="38"/>
  <c r="J66" i="38"/>
  <c r="K66" i="38"/>
  <c r="L66" i="38"/>
  <c r="H66" i="38"/>
  <c r="I45" i="38"/>
  <c r="J45" i="38"/>
  <c r="K45" i="38"/>
  <c r="L45" i="38"/>
  <c r="I69" i="38"/>
  <c r="J69" i="38"/>
  <c r="K69" i="38"/>
  <c r="L69" i="38"/>
  <c r="I10" i="38"/>
  <c r="J10" i="38"/>
  <c r="K10" i="38"/>
  <c r="L10" i="38"/>
  <c r="H87" i="38"/>
  <c r="K87" i="38"/>
  <c r="L87" i="38"/>
  <c r="H15" i="38"/>
  <c r="K15" i="38"/>
  <c r="L15" i="38"/>
  <c r="H27" i="38"/>
  <c r="K27" i="38"/>
  <c r="L27" i="38"/>
  <c r="K39" i="38"/>
  <c r="L39" i="38"/>
  <c r="K57" i="38"/>
  <c r="L57" i="38"/>
  <c r="K81" i="38"/>
  <c r="L81" i="38"/>
  <c r="K93" i="38"/>
  <c r="L93" i="38"/>
  <c r="H42" i="38"/>
  <c r="I42" i="38"/>
  <c r="J42" i="38"/>
  <c r="K31" i="38"/>
  <c r="L31" i="38"/>
  <c r="I31" i="38"/>
  <c r="J31" i="38"/>
  <c r="H31" i="38"/>
  <c r="K14" i="38"/>
  <c r="L14" i="38"/>
  <c r="H14" i="38"/>
  <c r="I14" i="38"/>
  <c r="J14" i="38"/>
  <c r="H20" i="38"/>
  <c r="K20" i="38"/>
  <c r="L20" i="38"/>
  <c r="I20" i="38"/>
  <c r="J20" i="38"/>
  <c r="K52" i="38"/>
  <c r="L52" i="38"/>
  <c r="I52" i="38"/>
  <c r="J52" i="38"/>
  <c r="H52" i="38"/>
  <c r="K76" i="38"/>
  <c r="L76" i="38"/>
  <c r="I76" i="38"/>
  <c r="J76" i="38"/>
  <c r="H76" i="38"/>
  <c r="K88" i="38"/>
  <c r="L88" i="38"/>
  <c r="I88" i="38"/>
  <c r="J88" i="38"/>
  <c r="H88" i="38"/>
  <c r="K9" i="38"/>
  <c r="L9" i="38"/>
  <c r="I9" i="38"/>
  <c r="J9" i="38"/>
  <c r="H9" i="38"/>
  <c r="K40" i="38"/>
  <c r="L40" i="38"/>
  <c r="I40" i="38"/>
  <c r="J40" i="38"/>
  <c r="H40" i="38"/>
  <c r="K53" i="38"/>
  <c r="L53" i="38"/>
  <c r="I53" i="38"/>
  <c r="J53" i="38"/>
  <c r="H53" i="38"/>
  <c r="I58" i="38"/>
  <c r="J58" i="38"/>
  <c r="K58" i="38"/>
  <c r="L58" i="38"/>
  <c r="H58" i="38"/>
  <c r="K71" i="38"/>
  <c r="L71" i="38"/>
  <c r="I71" i="38"/>
  <c r="J71" i="38"/>
  <c r="H71" i="38"/>
  <c r="K77" i="38"/>
  <c r="L77" i="38"/>
  <c r="I77" i="38"/>
  <c r="J77" i="38"/>
  <c r="H77" i="38"/>
  <c r="K82" i="38"/>
  <c r="L82" i="38"/>
  <c r="H82" i="38"/>
  <c r="I82" i="38"/>
  <c r="J82" i="38"/>
  <c r="H89" i="38"/>
  <c r="K89" i="38"/>
  <c r="L89" i="38"/>
  <c r="I89" i="38"/>
  <c r="J89" i="38"/>
  <c r="I94" i="38"/>
  <c r="J94" i="38"/>
  <c r="K94" i="38"/>
  <c r="L94" i="38"/>
  <c r="H94" i="38"/>
  <c r="K28" i="38"/>
  <c r="L28" i="38"/>
  <c r="I28" i="38"/>
  <c r="J28" i="38"/>
  <c r="H28" i="38"/>
  <c r="K41" i="38"/>
  <c r="L41" i="38"/>
  <c r="I41" i="38"/>
  <c r="J41" i="38"/>
  <c r="H41" i="38"/>
  <c r="I46" i="38"/>
  <c r="J46" i="38"/>
  <c r="K46" i="38"/>
  <c r="L46" i="38"/>
  <c r="H46" i="38"/>
  <c r="K59" i="38"/>
  <c r="L59" i="38"/>
  <c r="I59" i="38"/>
  <c r="J59" i="38"/>
  <c r="H59" i="38"/>
  <c r="K83" i="38"/>
  <c r="L83" i="38"/>
  <c r="I83" i="38"/>
  <c r="J83" i="38"/>
  <c r="H83" i="38"/>
  <c r="K95" i="38"/>
  <c r="L95" i="38"/>
  <c r="I95" i="38"/>
  <c r="J95" i="38"/>
  <c r="H95" i="38"/>
  <c r="K16" i="38"/>
  <c r="L16" i="38"/>
  <c r="I16" i="38"/>
  <c r="J16" i="38"/>
  <c r="H16" i="38"/>
  <c r="I29" i="38"/>
  <c r="J29" i="38"/>
  <c r="H29" i="38"/>
  <c r="K29" i="38"/>
  <c r="L29" i="38"/>
  <c r="K34" i="38"/>
  <c r="L34" i="38"/>
  <c r="H34" i="38"/>
  <c r="I34" i="38"/>
  <c r="J34" i="38"/>
  <c r="K47" i="38"/>
  <c r="L47" i="38"/>
  <c r="I47" i="38"/>
  <c r="J47" i="38"/>
  <c r="H47" i="38"/>
  <c r="K26" i="38"/>
  <c r="L26" i="38"/>
  <c r="H26" i="38"/>
  <c r="I26" i="38"/>
  <c r="J26" i="38"/>
  <c r="I32" i="38"/>
  <c r="J32" i="38"/>
  <c r="H32" i="38"/>
  <c r="K32" i="38"/>
  <c r="L32" i="38"/>
  <c r="I70" i="38"/>
  <c r="J70" i="38"/>
  <c r="K70" i="38"/>
  <c r="L70" i="38"/>
  <c r="H70" i="38"/>
  <c r="I22" i="38"/>
  <c r="J22" i="38"/>
  <c r="K22" i="38"/>
  <c r="L22" i="38"/>
  <c r="H22" i="38"/>
  <c r="K35" i="38"/>
  <c r="L35" i="38"/>
  <c r="I35" i="38"/>
  <c r="J35" i="38"/>
  <c r="H35" i="38"/>
  <c r="K23" i="38"/>
  <c r="L23" i="38"/>
  <c r="I23" i="38"/>
  <c r="J23" i="38"/>
  <c r="H23" i="38"/>
  <c r="K62" i="38"/>
  <c r="L62" i="38"/>
  <c r="I62" i="38"/>
  <c r="J62" i="38"/>
  <c r="H62" i="38"/>
  <c r="K67" i="38"/>
  <c r="L67" i="38"/>
  <c r="I67" i="38"/>
  <c r="J67" i="38"/>
  <c r="H67" i="38"/>
  <c r="I6" i="38"/>
  <c r="J6" i="38"/>
  <c r="H6" i="38"/>
  <c r="K6" i="38"/>
  <c r="L6" i="38"/>
  <c r="K50" i="38"/>
  <c r="L50" i="38"/>
  <c r="I50" i="38"/>
  <c r="J50" i="38"/>
  <c r="H50" i="38"/>
  <c r="I55" i="38"/>
  <c r="J55" i="38"/>
  <c r="K55" i="38"/>
  <c r="L55" i="38"/>
  <c r="H55" i="38"/>
  <c r="I68" i="38"/>
  <c r="J68" i="38"/>
  <c r="H68" i="38"/>
  <c r="K68" i="38"/>
  <c r="L68" i="38"/>
  <c r="K74" i="38"/>
  <c r="L74" i="38"/>
  <c r="I74" i="38"/>
  <c r="J74" i="38"/>
  <c r="H74" i="38"/>
  <c r="K79" i="38"/>
  <c r="L79" i="38"/>
  <c r="I79" i="38"/>
  <c r="J79" i="38"/>
  <c r="H79" i="38"/>
  <c r="K86" i="38"/>
  <c r="L86" i="38"/>
  <c r="I86" i="38"/>
  <c r="J86" i="38"/>
  <c r="H86" i="38"/>
  <c r="K91" i="38"/>
  <c r="L91" i="38"/>
  <c r="I91" i="38"/>
  <c r="J91" i="38"/>
  <c r="H91" i="38"/>
  <c r="I44" i="38"/>
  <c r="J44" i="38"/>
  <c r="H44" i="38"/>
  <c r="K44" i="38"/>
  <c r="L44" i="38"/>
  <c r="I19" i="38"/>
  <c r="J19" i="38"/>
  <c r="K19" i="38"/>
  <c r="L19" i="38"/>
  <c r="H19" i="38"/>
  <c r="K64" i="38"/>
  <c r="L64" i="38"/>
  <c r="I64" i="38"/>
  <c r="J64" i="38"/>
  <c r="H64" i="38"/>
  <c r="H65" i="38"/>
  <c r="I65" i="38"/>
  <c r="J65" i="38"/>
  <c r="K65" i="38"/>
  <c r="L65" i="38"/>
  <c r="H17" i="38"/>
  <c r="K17" i="38"/>
  <c r="L17" i="38"/>
  <c r="I17" i="38"/>
  <c r="J17" i="38"/>
  <c r="K11" i="38"/>
  <c r="L11" i="38"/>
  <c r="I11" i="38"/>
  <c r="J11" i="38"/>
  <c r="H11" i="38"/>
  <c r="K38" i="38"/>
  <c r="L38" i="38"/>
  <c r="I38" i="38"/>
  <c r="J38" i="38"/>
  <c r="H38" i="38"/>
  <c r="K43" i="38"/>
  <c r="L43" i="38"/>
  <c r="I43" i="38"/>
  <c r="J43" i="38"/>
  <c r="H43" i="38"/>
  <c r="I56" i="38"/>
  <c r="J56" i="38"/>
  <c r="H56" i="38"/>
  <c r="K56" i="38"/>
  <c r="L56" i="38"/>
  <c r="I80" i="38"/>
  <c r="J80" i="38"/>
  <c r="H80" i="38"/>
  <c r="K80" i="38"/>
  <c r="L80" i="38"/>
  <c r="I92" i="38"/>
  <c r="J92" i="38"/>
  <c r="H92" i="38"/>
  <c r="K92" i="38"/>
  <c r="L92" i="38"/>
  <c r="H10" i="38"/>
  <c r="K8" i="38"/>
  <c r="L8" i="38"/>
  <c r="K13" i="38"/>
  <c r="L13" i="38"/>
  <c r="I15" i="38"/>
  <c r="J15" i="38"/>
  <c r="K25" i="38"/>
  <c r="L25" i="38"/>
  <c r="I27" i="38"/>
  <c r="J27" i="38"/>
  <c r="K37" i="38"/>
  <c r="L37" i="38"/>
  <c r="I39" i="38"/>
  <c r="J39" i="38"/>
  <c r="K49" i="38"/>
  <c r="L49" i="38"/>
  <c r="I51" i="38"/>
  <c r="J51" i="38"/>
  <c r="K61" i="38"/>
  <c r="L61" i="38"/>
  <c r="I63" i="38"/>
  <c r="J63" i="38"/>
  <c r="K73" i="38"/>
  <c r="L73" i="38"/>
  <c r="I75" i="38"/>
  <c r="J75" i="38"/>
  <c r="K85" i="38"/>
  <c r="L85" i="38"/>
  <c r="I87" i="38"/>
  <c r="J87" i="38"/>
  <c r="H12" i="38"/>
  <c r="H48" i="38"/>
  <c r="H60" i="38"/>
  <c r="H72" i="38"/>
  <c r="H84" i="38"/>
  <c r="I7" i="38"/>
  <c r="J7" i="38"/>
  <c r="I12" i="38"/>
  <c r="J12" i="38"/>
  <c r="I24" i="38"/>
  <c r="J24" i="38"/>
  <c r="I36" i="38"/>
  <c r="J36" i="38"/>
  <c r="I48" i="38"/>
  <c r="J48" i="38"/>
  <c r="I60" i="38"/>
  <c r="J60" i="38"/>
  <c r="I72" i="38"/>
  <c r="J72" i="38"/>
  <c r="I84" i="38"/>
  <c r="J84" i="38"/>
  <c r="H7" i="38"/>
  <c r="H24" i="38"/>
  <c r="H36" i="38"/>
  <c r="H21" i="38"/>
  <c r="H33" i="38"/>
  <c r="H45" i="38"/>
  <c r="H57" i="38"/>
  <c r="H69" i="38"/>
  <c r="H81" i="38"/>
  <c r="H93" i="38"/>
  <c r="H8" i="38"/>
  <c r="H13" i="38"/>
  <c r="H25" i="38"/>
  <c r="H37" i="38"/>
  <c r="H49" i="38"/>
  <c r="H61" i="38"/>
  <c r="H5" i="16"/>
  <c r="I6" i="16"/>
  <c r="I7" i="16"/>
  <c r="H7" i="16"/>
  <c r="I8" i="16"/>
  <c r="I9" i="16"/>
  <c r="I10" i="16"/>
  <c r="H6" i="16"/>
  <c r="F95" i="32"/>
  <c r="G95" i="32"/>
  <c r="F94" i="32"/>
  <c r="G94" i="32"/>
  <c r="F93" i="32"/>
  <c r="G93" i="32"/>
  <c r="F92" i="32"/>
  <c r="G92" i="32"/>
  <c r="F91" i="32"/>
  <c r="G91" i="32"/>
  <c r="F90" i="32"/>
  <c r="G90" i="32"/>
  <c r="K90" i="32"/>
  <c r="L90" i="32"/>
  <c r="F89" i="32"/>
  <c r="G89" i="32"/>
  <c r="F88" i="32"/>
  <c r="G88" i="32"/>
  <c r="F87" i="32"/>
  <c r="G87" i="32"/>
  <c r="F86" i="32"/>
  <c r="G86" i="32"/>
  <c r="F85" i="32"/>
  <c r="G85" i="32"/>
  <c r="F84" i="32"/>
  <c r="G84" i="32"/>
  <c r="K84" i="32"/>
  <c r="L84" i="32"/>
  <c r="F83" i="32"/>
  <c r="G83" i="32"/>
  <c r="F82" i="32"/>
  <c r="G82" i="32"/>
  <c r="F81" i="32"/>
  <c r="G81" i="32"/>
  <c r="F80" i="32"/>
  <c r="G80" i="32"/>
  <c r="F79" i="32"/>
  <c r="G79" i="32"/>
  <c r="F78" i="32"/>
  <c r="G78" i="32"/>
  <c r="K78" i="32"/>
  <c r="L78" i="32"/>
  <c r="F77" i="32"/>
  <c r="G77" i="32"/>
  <c r="F76" i="32"/>
  <c r="G76" i="32"/>
  <c r="F75" i="32"/>
  <c r="G75" i="32"/>
  <c r="F74" i="32"/>
  <c r="G74" i="32"/>
  <c r="F73" i="32"/>
  <c r="G73" i="32"/>
  <c r="F72" i="32"/>
  <c r="G72" i="32"/>
  <c r="K72" i="32"/>
  <c r="L72" i="32"/>
  <c r="F71" i="32"/>
  <c r="G71" i="32"/>
  <c r="F70" i="32"/>
  <c r="G70" i="32"/>
  <c r="F69" i="32"/>
  <c r="G69" i="32"/>
  <c r="F68" i="32"/>
  <c r="G68" i="32"/>
  <c r="F67" i="32"/>
  <c r="G67" i="32"/>
  <c r="F66" i="32"/>
  <c r="G66" i="32"/>
  <c r="K66" i="32"/>
  <c r="L66" i="32"/>
  <c r="F65" i="32"/>
  <c r="G65" i="32"/>
  <c r="F64" i="32"/>
  <c r="G64" i="32"/>
  <c r="F63" i="32"/>
  <c r="G63" i="32"/>
  <c r="F62" i="32"/>
  <c r="G62" i="32"/>
  <c r="F61" i="32"/>
  <c r="G61" i="32"/>
  <c r="F60" i="32"/>
  <c r="G60" i="32"/>
  <c r="K60" i="32"/>
  <c r="L60" i="32"/>
  <c r="F59" i="32"/>
  <c r="G59" i="32"/>
  <c r="F58" i="32"/>
  <c r="G58" i="32"/>
  <c r="K58" i="32"/>
  <c r="L58" i="32"/>
  <c r="F57" i="32"/>
  <c r="G57" i="32"/>
  <c r="F56" i="32"/>
  <c r="G56" i="32"/>
  <c r="F55" i="32"/>
  <c r="G55" i="32"/>
  <c r="F54" i="32"/>
  <c r="G54" i="32"/>
  <c r="I54" i="32"/>
  <c r="J54" i="32"/>
  <c r="F53" i="32"/>
  <c r="G53" i="32"/>
  <c r="F52" i="32"/>
  <c r="G52" i="32"/>
  <c r="F51" i="32"/>
  <c r="G51" i="32"/>
  <c r="F50" i="32"/>
  <c r="G50" i="32"/>
  <c r="F49" i="32"/>
  <c r="G49" i="32"/>
  <c r="G48" i="32"/>
  <c r="K48" i="32"/>
  <c r="L48" i="32"/>
  <c r="F48" i="32"/>
  <c r="F47" i="32"/>
  <c r="G47" i="32"/>
  <c r="F46" i="32"/>
  <c r="G46" i="32"/>
  <c r="F45" i="32"/>
  <c r="G45" i="32"/>
  <c r="F44" i="32"/>
  <c r="G44" i="32"/>
  <c r="F43" i="32"/>
  <c r="G43" i="32"/>
  <c r="F42" i="32"/>
  <c r="G42" i="32"/>
  <c r="I42" i="32"/>
  <c r="J42" i="32"/>
  <c r="F41" i="32"/>
  <c r="G41" i="32"/>
  <c r="F40" i="32"/>
  <c r="G40" i="32"/>
  <c r="F39" i="32"/>
  <c r="G39" i="32"/>
  <c r="F38" i="32"/>
  <c r="G38" i="32"/>
  <c r="F37" i="32"/>
  <c r="G37" i="32"/>
  <c r="F36" i="32"/>
  <c r="G36" i="32"/>
  <c r="K36" i="32"/>
  <c r="L36" i="32"/>
  <c r="F35" i="32"/>
  <c r="G35" i="32"/>
  <c r="K35" i="32"/>
  <c r="L35" i="32"/>
  <c r="F34" i="32"/>
  <c r="G34" i="32"/>
  <c r="F33" i="32"/>
  <c r="G33" i="32"/>
  <c r="F32" i="32"/>
  <c r="G32" i="32"/>
  <c r="F31" i="32"/>
  <c r="G31" i="32"/>
  <c r="F30" i="32"/>
  <c r="G30" i="32"/>
  <c r="K30" i="32"/>
  <c r="L30" i="32"/>
  <c r="F29" i="32"/>
  <c r="G29" i="32"/>
  <c r="F28" i="32"/>
  <c r="G28" i="32"/>
  <c r="F27" i="32"/>
  <c r="G27" i="32"/>
  <c r="F26" i="32"/>
  <c r="G26" i="32"/>
  <c r="F25" i="32"/>
  <c r="G25" i="32"/>
  <c r="F24" i="32"/>
  <c r="G24" i="32"/>
  <c r="K24" i="32"/>
  <c r="L24" i="32"/>
  <c r="F23" i="32"/>
  <c r="G23" i="32"/>
  <c r="F22" i="32"/>
  <c r="G22" i="32"/>
  <c r="F21" i="32"/>
  <c r="G21" i="32"/>
  <c r="F20" i="32"/>
  <c r="G20" i="32"/>
  <c r="F19" i="32"/>
  <c r="G19" i="32"/>
  <c r="G18" i="32"/>
  <c r="H18" i="32"/>
  <c r="F18" i="32"/>
  <c r="F17" i="32"/>
  <c r="G17" i="32"/>
  <c r="F16" i="32"/>
  <c r="G16" i="32"/>
  <c r="F15" i="32"/>
  <c r="G15" i="32"/>
  <c r="F14" i="32"/>
  <c r="G14" i="32"/>
  <c r="F13" i="32"/>
  <c r="G13" i="32"/>
  <c r="F12" i="32"/>
  <c r="G12" i="32"/>
  <c r="K12" i="32"/>
  <c r="L12" i="32"/>
  <c r="C12" i="32"/>
  <c r="F11" i="32"/>
  <c r="G11" i="32"/>
  <c r="F10" i="32"/>
  <c r="G10" i="32"/>
  <c r="F9" i="32"/>
  <c r="G9" i="32"/>
  <c r="F8" i="32"/>
  <c r="G8" i="32"/>
  <c r="G7" i="32"/>
  <c r="I7" i="32"/>
  <c r="J7" i="32"/>
  <c r="F7" i="32"/>
  <c r="F6" i="32"/>
  <c r="G6" i="32"/>
  <c r="I5" i="32"/>
  <c r="H5" i="32"/>
  <c r="H47" i="32"/>
  <c r="K47" i="32"/>
  <c r="L47" i="32"/>
  <c r="I47" i="32"/>
  <c r="J47" i="32"/>
  <c r="H8" i="16"/>
  <c r="H9" i="16"/>
  <c r="H95" i="32"/>
  <c r="K95" i="32"/>
  <c r="L95" i="32"/>
  <c r="I95" i="32"/>
  <c r="J95" i="32"/>
  <c r="K83" i="32"/>
  <c r="L83" i="32"/>
  <c r="I83" i="32"/>
  <c r="J83" i="32"/>
  <c r="H83" i="32"/>
  <c r="H23" i="32"/>
  <c r="K23" i="32"/>
  <c r="L23" i="32"/>
  <c r="I23" i="32"/>
  <c r="J23" i="32"/>
  <c r="K59" i="32"/>
  <c r="L59" i="32"/>
  <c r="I59" i="32"/>
  <c r="J59" i="32"/>
  <c r="H59" i="32"/>
  <c r="H46" i="32"/>
  <c r="K46" i="32"/>
  <c r="L46" i="32"/>
  <c r="I46" i="32"/>
  <c r="J46" i="32"/>
  <c r="H71" i="32"/>
  <c r="K71" i="32"/>
  <c r="L71" i="32"/>
  <c r="I71" i="32"/>
  <c r="J71" i="32"/>
  <c r="H6" i="32"/>
  <c r="K6" i="32"/>
  <c r="L6" i="32"/>
  <c r="I6" i="32"/>
  <c r="J6" i="32"/>
  <c r="I81" i="32"/>
  <c r="J81" i="32"/>
  <c r="K81" i="32"/>
  <c r="L81" i="32"/>
  <c r="H35" i="32"/>
  <c r="I35" i="32"/>
  <c r="J35" i="32"/>
  <c r="I58" i="32"/>
  <c r="J58" i="32"/>
  <c r="I22" i="32"/>
  <c r="J22" i="32"/>
  <c r="K22" i="32"/>
  <c r="L22" i="32"/>
  <c r="H22" i="32"/>
  <c r="H63" i="32"/>
  <c r="K63" i="32"/>
  <c r="L63" i="32"/>
  <c r="I63" i="32"/>
  <c r="J63" i="32"/>
  <c r="K64" i="32"/>
  <c r="L64" i="32"/>
  <c r="I64" i="32"/>
  <c r="J64" i="32"/>
  <c r="H64" i="32"/>
  <c r="I80" i="32"/>
  <c r="J80" i="32"/>
  <c r="H80" i="32"/>
  <c r="K80" i="32"/>
  <c r="L80" i="32"/>
  <c r="I13" i="32"/>
  <c r="J13" i="32"/>
  <c r="H13" i="32"/>
  <c r="K13" i="32"/>
  <c r="L13" i="32"/>
  <c r="K51" i="32"/>
  <c r="L51" i="32"/>
  <c r="I51" i="32"/>
  <c r="J51" i="32"/>
  <c r="H51" i="32"/>
  <c r="H87" i="32"/>
  <c r="K87" i="32"/>
  <c r="L87" i="32"/>
  <c r="I87" i="32"/>
  <c r="J87" i="32"/>
  <c r="H15" i="32"/>
  <c r="K15" i="32"/>
  <c r="L15" i="32"/>
  <c r="I15" i="32"/>
  <c r="J15" i="32"/>
  <c r="H32" i="32"/>
  <c r="K32" i="32"/>
  <c r="L32" i="32"/>
  <c r="I32" i="32"/>
  <c r="J32" i="32"/>
  <c r="K52" i="32"/>
  <c r="L52" i="32"/>
  <c r="I52" i="32"/>
  <c r="J52" i="32"/>
  <c r="H52" i="32"/>
  <c r="K88" i="32"/>
  <c r="L88" i="32"/>
  <c r="I88" i="32"/>
  <c r="J88" i="32"/>
  <c r="H88" i="32"/>
  <c r="K16" i="32"/>
  <c r="L16" i="32"/>
  <c r="I16" i="32"/>
  <c r="J16" i="32"/>
  <c r="H16" i="32"/>
  <c r="K33" i="32"/>
  <c r="L33" i="32"/>
  <c r="I33" i="32"/>
  <c r="J33" i="32"/>
  <c r="H33" i="32"/>
  <c r="K39" i="32"/>
  <c r="L39" i="32"/>
  <c r="I39" i="32"/>
  <c r="J39" i="32"/>
  <c r="H39" i="32"/>
  <c r="H53" i="32"/>
  <c r="K53" i="32"/>
  <c r="L53" i="32"/>
  <c r="I53" i="32"/>
  <c r="J53" i="32"/>
  <c r="K67" i="32"/>
  <c r="L67" i="32"/>
  <c r="I67" i="32"/>
  <c r="J67" i="32"/>
  <c r="H67" i="32"/>
  <c r="I73" i="32"/>
  <c r="J73" i="32"/>
  <c r="H73" i="32"/>
  <c r="K73" i="32"/>
  <c r="L73" i="32"/>
  <c r="I82" i="32"/>
  <c r="J82" i="32"/>
  <c r="K82" i="32"/>
  <c r="L82" i="32"/>
  <c r="H82" i="32"/>
  <c r="K89" i="32"/>
  <c r="L89" i="32"/>
  <c r="H89" i="32"/>
  <c r="I89" i="32"/>
  <c r="J89" i="32"/>
  <c r="H17" i="32"/>
  <c r="K17" i="32"/>
  <c r="L17" i="32"/>
  <c r="I17" i="32"/>
  <c r="J17" i="32"/>
  <c r="I34" i="32"/>
  <c r="J34" i="32"/>
  <c r="K34" i="32"/>
  <c r="L34" i="32"/>
  <c r="H34" i="32"/>
  <c r="K40" i="32"/>
  <c r="L40" i="32"/>
  <c r="I40" i="32"/>
  <c r="J40" i="32"/>
  <c r="H40" i="32"/>
  <c r="I68" i="32"/>
  <c r="J68" i="32"/>
  <c r="H68" i="32"/>
  <c r="K68" i="32"/>
  <c r="L68" i="32"/>
  <c r="K74" i="32"/>
  <c r="L74" i="32"/>
  <c r="I74" i="32"/>
  <c r="J74" i="32"/>
  <c r="H74" i="32"/>
  <c r="I85" i="32"/>
  <c r="J85" i="32"/>
  <c r="H85" i="32"/>
  <c r="K85" i="32"/>
  <c r="L85" i="32"/>
  <c r="K50" i="32"/>
  <c r="L50" i="32"/>
  <c r="I50" i="32"/>
  <c r="J50" i="32"/>
  <c r="H50" i="32"/>
  <c r="K14" i="32"/>
  <c r="L14" i="32"/>
  <c r="I14" i="32"/>
  <c r="J14" i="32"/>
  <c r="H14" i="32"/>
  <c r="K38" i="32"/>
  <c r="L38" i="32"/>
  <c r="I38" i="32"/>
  <c r="J38" i="32"/>
  <c r="H38" i="32"/>
  <c r="H41" i="32"/>
  <c r="K41" i="32"/>
  <c r="L41" i="32"/>
  <c r="I41" i="32"/>
  <c r="J41" i="32"/>
  <c r="K69" i="32"/>
  <c r="L69" i="32"/>
  <c r="I69" i="32"/>
  <c r="J69" i="32"/>
  <c r="H69" i="32"/>
  <c r="I70" i="32"/>
  <c r="J70" i="32"/>
  <c r="K70" i="32"/>
  <c r="L70" i="32"/>
  <c r="H70" i="32"/>
  <c r="K76" i="32"/>
  <c r="L76" i="32"/>
  <c r="I76" i="32"/>
  <c r="J76" i="32"/>
  <c r="H76" i="32"/>
  <c r="K91" i="32"/>
  <c r="L91" i="32"/>
  <c r="I91" i="32"/>
  <c r="J91" i="32"/>
  <c r="H91" i="32"/>
  <c r="K10" i="32"/>
  <c r="L10" i="32"/>
  <c r="I10" i="32"/>
  <c r="J10" i="32"/>
  <c r="H10" i="32"/>
  <c r="K19" i="32"/>
  <c r="L19" i="32"/>
  <c r="I19" i="32"/>
  <c r="J19" i="32"/>
  <c r="H19" i="32"/>
  <c r="K26" i="32"/>
  <c r="L26" i="32"/>
  <c r="I26" i="32"/>
  <c r="J26" i="32"/>
  <c r="H26" i="32"/>
  <c r="I56" i="32"/>
  <c r="J56" i="32"/>
  <c r="H56" i="32"/>
  <c r="K56" i="32"/>
  <c r="L56" i="32"/>
  <c r="K77" i="32"/>
  <c r="L77" i="32"/>
  <c r="I77" i="32"/>
  <c r="J77" i="32"/>
  <c r="H77" i="32"/>
  <c r="I92" i="32"/>
  <c r="J92" i="32"/>
  <c r="H92" i="32"/>
  <c r="K92" i="32"/>
  <c r="L92" i="32"/>
  <c r="H65" i="32"/>
  <c r="K65" i="32"/>
  <c r="L65" i="32"/>
  <c r="I65" i="32"/>
  <c r="J65" i="32"/>
  <c r="H29" i="32"/>
  <c r="K29" i="32"/>
  <c r="L29" i="32"/>
  <c r="I29" i="32"/>
  <c r="J29" i="32"/>
  <c r="I49" i="32"/>
  <c r="J49" i="32"/>
  <c r="H49" i="32"/>
  <c r="K49" i="32"/>
  <c r="L49" i="32"/>
  <c r="K31" i="32"/>
  <c r="L31" i="32"/>
  <c r="I31" i="32"/>
  <c r="J31" i="32"/>
  <c r="H31" i="32"/>
  <c r="I37" i="32"/>
  <c r="J37" i="32"/>
  <c r="H37" i="32"/>
  <c r="K37" i="32"/>
  <c r="L37" i="32"/>
  <c r="I8" i="32"/>
  <c r="J8" i="32"/>
  <c r="H8" i="32"/>
  <c r="K8" i="32"/>
  <c r="L8" i="32"/>
  <c r="H75" i="32"/>
  <c r="K75" i="32"/>
  <c r="L75" i="32"/>
  <c r="I75" i="32"/>
  <c r="J75" i="32"/>
  <c r="K9" i="32"/>
  <c r="L9" i="32"/>
  <c r="I9" i="32"/>
  <c r="J9" i="32"/>
  <c r="H9" i="32"/>
  <c r="I25" i="32"/>
  <c r="J25" i="32"/>
  <c r="H25" i="32"/>
  <c r="K25" i="32"/>
  <c r="L25" i="32"/>
  <c r="K55" i="32"/>
  <c r="L55" i="32"/>
  <c r="I55" i="32"/>
  <c r="J55" i="32"/>
  <c r="H55" i="32"/>
  <c r="K11" i="32"/>
  <c r="L11" i="32"/>
  <c r="H11" i="32"/>
  <c r="I11" i="32"/>
  <c r="J11" i="32"/>
  <c r="I20" i="32"/>
  <c r="J20" i="32"/>
  <c r="H20" i="32"/>
  <c r="K20" i="32"/>
  <c r="L20" i="32"/>
  <c r="K27" i="32"/>
  <c r="L27" i="32"/>
  <c r="I27" i="32"/>
  <c r="J27" i="32"/>
  <c r="H27" i="32"/>
  <c r="K43" i="32"/>
  <c r="L43" i="32"/>
  <c r="I43" i="32"/>
  <c r="J43" i="32"/>
  <c r="H43" i="32"/>
  <c r="K57" i="32"/>
  <c r="L57" i="32"/>
  <c r="I57" i="32"/>
  <c r="J57" i="32"/>
  <c r="H57" i="32"/>
  <c r="I61" i="32"/>
  <c r="J61" i="32"/>
  <c r="H61" i="32"/>
  <c r="K61" i="32"/>
  <c r="L61" i="32"/>
  <c r="K93" i="32"/>
  <c r="L93" i="32"/>
  <c r="I93" i="32"/>
  <c r="J93" i="32"/>
  <c r="H93" i="32"/>
  <c r="K21" i="32"/>
  <c r="L21" i="32"/>
  <c r="I21" i="32"/>
  <c r="J21" i="32"/>
  <c r="H21" i="32"/>
  <c r="K28" i="32"/>
  <c r="L28" i="32"/>
  <c r="I28" i="32"/>
  <c r="J28" i="32"/>
  <c r="H28" i="32"/>
  <c r="I44" i="32"/>
  <c r="J44" i="32"/>
  <c r="H44" i="32"/>
  <c r="K44" i="32"/>
  <c r="L44" i="32"/>
  <c r="K62" i="32"/>
  <c r="L62" i="32"/>
  <c r="I62" i="32"/>
  <c r="J62" i="32"/>
  <c r="H62" i="32"/>
  <c r="K94" i="32"/>
  <c r="L94" i="32"/>
  <c r="I94" i="32"/>
  <c r="J94" i="32"/>
  <c r="H94" i="32"/>
  <c r="K45" i="32"/>
  <c r="L45" i="32"/>
  <c r="I45" i="32"/>
  <c r="J45" i="32"/>
  <c r="H45" i="32"/>
  <c r="K79" i="32"/>
  <c r="L79" i="32"/>
  <c r="I79" i="32"/>
  <c r="J79" i="32"/>
  <c r="H79" i="32"/>
  <c r="K86" i="32"/>
  <c r="L86" i="32"/>
  <c r="I86" i="32"/>
  <c r="J86" i="32"/>
  <c r="H86" i="32"/>
  <c r="I18" i="32"/>
  <c r="J18" i="32"/>
  <c r="K18" i="32"/>
  <c r="L18" i="32"/>
  <c r="K42" i="32"/>
  <c r="L42" i="32"/>
  <c r="K54" i="32"/>
  <c r="L54" i="32"/>
  <c r="H58" i="32"/>
  <c r="H24" i="32"/>
  <c r="H36" i="32"/>
  <c r="H48" i="32"/>
  <c r="H60" i="32"/>
  <c r="H72" i="32"/>
  <c r="H84" i="32"/>
  <c r="H12" i="32"/>
  <c r="I24" i="32"/>
  <c r="J24" i="32"/>
  <c r="I36" i="32"/>
  <c r="J36" i="32"/>
  <c r="I48" i="32"/>
  <c r="J48" i="32"/>
  <c r="I60" i="32"/>
  <c r="J60" i="32"/>
  <c r="I72" i="32"/>
  <c r="J72" i="32"/>
  <c r="I84" i="32"/>
  <c r="J84" i="32"/>
  <c r="I12" i="32"/>
  <c r="J12" i="32"/>
  <c r="H7" i="32"/>
  <c r="K7" i="32"/>
  <c r="L7" i="32"/>
  <c r="H81" i="32"/>
  <c r="H30" i="32"/>
  <c r="H42" i="32"/>
  <c r="H54" i="32"/>
  <c r="H66" i="32"/>
  <c r="H78" i="32"/>
  <c r="H90" i="32"/>
  <c r="I30" i="32"/>
  <c r="J30" i="32"/>
  <c r="I66" i="32"/>
  <c r="J66" i="32"/>
  <c r="I78" i="32"/>
  <c r="J78" i="32"/>
  <c r="I90" i="32"/>
  <c r="J90" i="32"/>
  <c r="E3" i="26"/>
  <c r="H10" i="16"/>
  <c r="L26" i="29"/>
  <c r="J26" i="29"/>
  <c r="L7" i="29"/>
  <c r="J7" i="29"/>
  <c r="L16" i="29"/>
  <c r="J16" i="29"/>
  <c r="L6" i="29"/>
  <c r="J6" i="29"/>
  <c r="L33" i="29"/>
  <c r="J33" i="29"/>
  <c r="L17" i="29"/>
  <c r="J17" i="29"/>
  <c r="L36" i="29"/>
  <c r="J36" i="29"/>
  <c r="L35" i="29"/>
  <c r="J35" i="29"/>
  <c r="L34" i="29"/>
  <c r="J34" i="29"/>
  <c r="L28" i="29"/>
  <c r="J28" i="29"/>
  <c r="L37" i="29"/>
  <c r="J37" i="29"/>
  <c r="L22" i="29"/>
  <c r="J22" i="29"/>
  <c r="L21" i="29"/>
  <c r="J21" i="29"/>
  <c r="L19" i="29"/>
  <c r="J19" i="29"/>
  <c r="L29" i="29"/>
  <c r="J29" i="29"/>
  <c r="L31" i="29"/>
  <c r="J31" i="29"/>
  <c r="L38" i="29"/>
  <c r="J38" i="29"/>
  <c r="L23" i="29"/>
  <c r="J23" i="29"/>
  <c r="L24" i="29"/>
  <c r="J24" i="29"/>
  <c r="L25" i="29"/>
  <c r="J25" i="29"/>
  <c r="L39" i="29"/>
  <c r="J39" i="29"/>
  <c r="L13" i="29"/>
  <c r="J13" i="29"/>
  <c r="L10" i="29"/>
  <c r="J10" i="29"/>
  <c r="L20" i="29"/>
  <c r="J20" i="29"/>
  <c r="L27" i="29"/>
  <c r="J27" i="29"/>
  <c r="L11" i="29"/>
  <c r="J11" i="29"/>
  <c r="L2" i="29"/>
  <c r="J2" i="29"/>
  <c r="L30" i="29"/>
  <c r="J30" i="29"/>
  <c r="L40" i="29"/>
  <c r="J40" i="29"/>
  <c r="L18" i="29"/>
  <c r="J18" i="29"/>
  <c r="L12" i="29"/>
  <c r="J12" i="29"/>
  <c r="L14" i="29"/>
  <c r="J14" i="29"/>
  <c r="L42" i="29"/>
  <c r="J42" i="29"/>
  <c r="L9" i="29"/>
  <c r="J9" i="29"/>
  <c r="L8" i="29"/>
  <c r="J8" i="29"/>
  <c r="L5" i="29"/>
  <c r="J5" i="29"/>
  <c r="L15" i="29"/>
  <c r="J15" i="29"/>
  <c r="L4" i="29"/>
  <c r="J4" i="29"/>
  <c r="L32" i="29"/>
  <c r="J32" i="29"/>
  <c r="L41" i="29"/>
  <c r="J41" i="29"/>
  <c r="L3" i="29"/>
  <c r="J3" i="29"/>
  <c r="H17" i="26"/>
  <c r="I16" i="26"/>
  <c r="F137" i="14"/>
  <c r="K137" i="14"/>
  <c r="K223" i="14"/>
  <c r="K165" i="14"/>
  <c r="K200" i="14"/>
  <c r="K138" i="14"/>
  <c r="K50" i="14"/>
  <c r="K296" i="14"/>
  <c r="K190" i="14"/>
  <c r="K116" i="14"/>
  <c r="K158" i="14"/>
  <c r="K126" i="14"/>
  <c r="K188" i="14"/>
  <c r="K198" i="14"/>
  <c r="K196" i="14"/>
  <c r="K250" i="14"/>
  <c r="K225" i="14"/>
  <c r="K295" i="14"/>
  <c r="K199" i="14"/>
  <c r="K204" i="14"/>
  <c r="K202" i="14"/>
  <c r="K197" i="14"/>
  <c r="K189" i="14"/>
  <c r="K86" i="14"/>
  <c r="K114" i="14"/>
  <c r="K131" i="14"/>
  <c r="K156" i="14"/>
  <c r="K191" i="14"/>
  <c r="K186" i="14"/>
  <c r="K294" i="14"/>
  <c r="K224" i="14"/>
  <c r="K115" i="14"/>
  <c r="K154" i="14"/>
  <c r="K117" i="14"/>
  <c r="K132" i="14"/>
  <c r="K157" i="14"/>
  <c r="K113" i="14"/>
  <c r="K38" i="14"/>
  <c r="K112" i="14"/>
  <c r="K180" i="14"/>
  <c r="K146" i="14"/>
  <c r="K243" i="14"/>
  <c r="K87" i="14"/>
  <c r="K293" i="14"/>
  <c r="K163" i="14"/>
  <c r="K37" i="14"/>
  <c r="K203" i="14"/>
  <c r="K34" i="14"/>
  <c r="K292" i="14"/>
  <c r="K187" i="14"/>
  <c r="K195" i="14"/>
  <c r="K27" i="14"/>
  <c r="K51" i="14"/>
  <c r="K39" i="14"/>
  <c r="K251" i="14"/>
  <c r="K118" i="14"/>
  <c r="K103" i="14"/>
  <c r="K257" i="14"/>
  <c r="K155" i="14"/>
  <c r="K193" i="14"/>
  <c r="K192" i="14"/>
  <c r="K152" i="14"/>
  <c r="K41" i="14"/>
  <c r="K148" i="14"/>
  <c r="K52" i="14"/>
  <c r="K99" i="14"/>
  <c r="K211" i="14"/>
  <c r="K256" i="14"/>
  <c r="K124" i="14"/>
  <c r="K249" i="14"/>
  <c r="K97" i="14"/>
  <c r="K55" i="14"/>
  <c r="K254" i="14"/>
  <c r="K144" i="14"/>
  <c r="K255" i="14"/>
  <c r="K98" i="14"/>
  <c r="K208" i="14"/>
  <c r="K143" i="14"/>
  <c r="K59" i="14"/>
  <c r="K284" i="14"/>
  <c r="K140" i="14"/>
  <c r="K101" i="14"/>
  <c r="K57" i="14"/>
  <c r="K122" i="14"/>
  <c r="K209" i="14"/>
  <c r="K283" i="14"/>
  <c r="K248" i="14"/>
  <c r="K141" i="14"/>
  <c r="K164" i="14"/>
  <c r="K142" i="14"/>
  <c r="K273" i="14"/>
  <c r="K263" i="14"/>
  <c r="K89" i="14"/>
  <c r="K278" i="14"/>
  <c r="K264" i="14"/>
  <c r="K100" i="14"/>
  <c r="K102" i="14"/>
  <c r="K222" i="14"/>
  <c r="K56" i="14"/>
  <c r="K267" i="14"/>
  <c r="K145" i="14"/>
  <c r="K272" i="14"/>
  <c r="K281" i="14"/>
  <c r="K36" i="14"/>
  <c r="K259" i="14"/>
  <c r="K266" i="14"/>
  <c r="K270" i="14"/>
  <c r="K279" i="14"/>
  <c r="K276" i="14"/>
  <c r="K265" i="14"/>
  <c r="K121" i="14"/>
  <c r="K210" i="14"/>
  <c r="K269" i="14"/>
  <c r="K35" i="14"/>
  <c r="K212" i="14"/>
  <c r="K90" i="14"/>
  <c r="K119" i="14"/>
  <c r="K262" i="14"/>
  <c r="K58" i="14"/>
  <c r="K275" i="14"/>
  <c r="K147" i="14"/>
  <c r="K277" i="14"/>
  <c r="K274" i="14"/>
  <c r="K111" i="14"/>
  <c r="K179" i="14"/>
  <c r="K285" i="14"/>
  <c r="K213" i="14"/>
  <c r="K280" i="14"/>
  <c r="K286" i="14"/>
  <c r="K214" i="14"/>
  <c r="K260" i="14"/>
  <c r="K282" i="14"/>
  <c r="K268" i="14"/>
  <c r="K261" i="14"/>
  <c r="K247" i="14"/>
  <c r="K92" i="14"/>
  <c r="K108" i="14"/>
  <c r="K91" i="14"/>
  <c r="K93" i="14"/>
  <c r="K94" i="14"/>
  <c r="K9" i="14"/>
  <c r="K18" i="14"/>
  <c r="K130" i="14"/>
  <c r="K85" i="14"/>
  <c r="K53" i="14"/>
  <c r="K28" i="14"/>
  <c r="K29" i="14"/>
  <c r="K207" i="14"/>
  <c r="K60" i="14"/>
  <c r="K206" i="14"/>
  <c r="K227" i="14"/>
  <c r="K30" i="14"/>
  <c r="K74" i="14"/>
  <c r="K83" i="14"/>
  <c r="K129" i="14"/>
  <c r="K149" i="14"/>
  <c r="K228" i="14"/>
  <c r="K226" i="14"/>
  <c r="K150" i="14"/>
  <c r="K205" i="14"/>
  <c r="K82" i="14"/>
  <c r="K81" i="14"/>
  <c r="K216" i="14"/>
  <c r="K151" i="14"/>
  <c r="K217" i="14"/>
  <c r="K84" i="14"/>
  <c r="K19" i="14"/>
  <c r="K26" i="14"/>
  <c r="K44" i="14"/>
  <c r="K230" i="14"/>
  <c r="K229" i="14"/>
  <c r="K231" i="14"/>
  <c r="K25" i="14"/>
  <c r="K23" i="14"/>
  <c r="K32" i="14"/>
  <c r="K305" i="14"/>
  <c r="K308" i="14"/>
  <c r="K311" i="14"/>
  <c r="K312" i="14"/>
  <c r="K317" i="14"/>
  <c r="K318" i="14"/>
  <c r="K325" i="14"/>
  <c r="K331" i="14"/>
  <c r="K33" i="14"/>
  <c r="K309" i="14"/>
  <c r="K313" i="14"/>
  <c r="K319" i="14"/>
  <c r="K321" i="14"/>
  <c r="K322" i="14"/>
  <c r="K8" i="14"/>
  <c r="K570" i="14"/>
  <c r="K569" i="14"/>
  <c r="K40" i="14"/>
  <c r="K659" i="14"/>
  <c r="K362" i="14"/>
  <c r="K637" i="14"/>
  <c r="K42" i="14"/>
  <c r="K544" i="14"/>
  <c r="K545" i="14"/>
  <c r="K43" i="14"/>
  <c r="K315" i="14"/>
  <c r="K316" i="14"/>
  <c r="K314" i="14"/>
  <c r="K320" i="14"/>
  <c r="K323" i="14"/>
  <c r="K298" i="14"/>
  <c r="K139" i="14"/>
  <c r="K47" i="14"/>
  <c r="K48" i="14"/>
  <c r="K49" i="14"/>
  <c r="K302" i="14"/>
  <c r="K304" i="14"/>
  <c r="K46" i="14"/>
  <c r="K45" i="14"/>
  <c r="K310" i="14"/>
  <c r="K4" i="14"/>
  <c r="K10" i="14"/>
  <c r="K22" i="14"/>
  <c r="K24" i="14"/>
  <c r="K135" i="14"/>
  <c r="K20" i="14"/>
  <c r="K21" i="14"/>
  <c r="K134" i="14"/>
  <c r="K455" i="14"/>
  <c r="K534" i="14"/>
  <c r="K440" i="14"/>
  <c r="K453" i="14"/>
  <c r="K463" i="14"/>
  <c r="K478" i="14"/>
  <c r="K487" i="14"/>
  <c r="K578" i="14"/>
  <c r="K636" i="14"/>
  <c r="K647" i="14"/>
  <c r="K646" i="14"/>
  <c r="K667" i="14"/>
  <c r="K439" i="14"/>
  <c r="K469" i="14"/>
  <c r="K181" i="14"/>
  <c r="K61" i="14"/>
  <c r="K324" i="14"/>
  <c r="K11" i="14"/>
  <c r="K63" i="14"/>
  <c r="K62" i="14"/>
  <c r="K65" i="14"/>
  <c r="K64" i="14"/>
  <c r="K335" i="14"/>
  <c r="K338" i="14"/>
  <c r="K399" i="14"/>
  <c r="K495" i="14"/>
  <c r="K12" i="14"/>
  <c r="K68" i="14"/>
  <c r="K555" i="14"/>
  <c r="K560" i="14"/>
  <c r="K69" i="14"/>
  <c r="K347" i="14"/>
  <c r="K71" i="14"/>
  <c r="K350" i="14"/>
  <c r="K352" i="14"/>
  <c r="K356" i="14"/>
  <c r="K70" i="14"/>
  <c r="K357" i="14"/>
  <c r="K619" i="14"/>
  <c r="K72" i="14"/>
  <c r="K588" i="14"/>
  <c r="K409" i="14"/>
  <c r="K527" i="14"/>
  <c r="K66" i="14"/>
  <c r="K73" i="14"/>
  <c r="K584" i="14"/>
  <c r="K594" i="14"/>
  <c r="K595" i="14"/>
  <c r="K372" i="14"/>
  <c r="K336" i="14"/>
  <c r="K79" i="14"/>
  <c r="K78" i="14"/>
  <c r="K76" i="14"/>
  <c r="K75" i="14"/>
  <c r="K77" i="14"/>
  <c r="K333" i="14"/>
  <c r="K332" i="14"/>
  <c r="K80" i="14"/>
  <c r="K67" i="14"/>
  <c r="K452" i="14"/>
  <c r="K561" i="14"/>
  <c r="K571" i="14"/>
  <c r="K576" i="14"/>
  <c r="K575" i="14"/>
  <c r="K590" i="14"/>
  <c r="K351" i="14"/>
  <c r="K597" i="14"/>
  <c r="K13" i="14"/>
  <c r="K366" i="14"/>
  <c r="K364" i="14"/>
  <c r="K88" i="14"/>
  <c r="K655" i="14"/>
  <c r="K656" i="14"/>
  <c r="K499" i="14"/>
  <c r="K511" i="14"/>
  <c r="K536" i="14"/>
  <c r="K496" i="14"/>
  <c r="K509" i="14"/>
  <c r="K515" i="14"/>
  <c r="K522" i="14"/>
  <c r="K533" i="14"/>
  <c r="K546" i="14"/>
  <c r="K514" i="14"/>
  <c r="K528" i="14"/>
  <c r="K329" i="14"/>
  <c r="K95" i="14"/>
  <c r="K96" i="14"/>
  <c r="K345" i="14"/>
  <c r="K348" i="14"/>
  <c r="K660" i="14"/>
  <c r="K573" i="14"/>
  <c r="K579" i="14"/>
  <c r="K585" i="14"/>
  <c r="K547" i="14"/>
  <c r="K548" i="14"/>
  <c r="K557" i="14"/>
  <c r="K587" i="14"/>
  <c r="K341" i="14"/>
  <c r="K105" i="14"/>
  <c r="K106" i="14"/>
  <c r="K104" i="14"/>
  <c r="K562" i="14"/>
  <c r="K564" i="14"/>
  <c r="K563" i="14"/>
  <c r="K107" i="14"/>
  <c r="K582" i="14"/>
  <c r="K572" i="14"/>
  <c r="K577" i="14"/>
  <c r="K337" i="14"/>
  <c r="K359" i="14"/>
  <c r="K343" i="14"/>
  <c r="K532" i="14"/>
  <c r="K109" i="14"/>
  <c r="K353" i="14"/>
  <c r="K358" i="14"/>
  <c r="K110" i="14"/>
  <c r="K651" i="14"/>
  <c r="K657" i="14"/>
  <c r="K662" i="14"/>
  <c r="K661" i="14"/>
  <c r="K669" i="14"/>
  <c r="K668" i="14"/>
  <c r="K671" i="14"/>
  <c r="K678" i="14"/>
  <c r="K516" i="14"/>
  <c r="K604" i="14"/>
  <c r="K605" i="14"/>
  <c r="K125" i="14"/>
  <c r="K512" i="14"/>
  <c r="K517" i="14"/>
  <c r="K123" i="14"/>
  <c r="K529" i="14"/>
  <c r="K530" i="14"/>
  <c r="K120" i="14"/>
  <c r="K549" i="14"/>
  <c r="K535" i="14"/>
  <c r="K551" i="14"/>
  <c r="K552" i="14"/>
  <c r="K559" i="14"/>
  <c r="K471" i="14"/>
  <c r="K389" i="14"/>
  <c r="K299" i="14"/>
  <c r="K606" i="14"/>
  <c r="K127" i="14"/>
  <c r="K672" i="14"/>
  <c r="K401" i="14"/>
  <c r="K412" i="14"/>
  <c r="K419" i="14"/>
  <c r="K5" i="14"/>
  <c r="K429" i="14"/>
  <c r="K428" i="14"/>
  <c r="K360" i="14"/>
  <c r="K367" i="14"/>
  <c r="K630" i="14"/>
  <c r="K631" i="14"/>
  <c r="K136" i="14"/>
  <c r="K159" i="14"/>
  <c r="K373" i="14"/>
  <c r="K518" i="14"/>
  <c r="K334" i="14"/>
  <c r="K481" i="14"/>
  <c r="K201" i="14"/>
  <c r="K386" i="14"/>
  <c r="K388" i="14"/>
  <c r="K400" i="14"/>
  <c r="K411" i="14"/>
  <c r="K410" i="14"/>
  <c r="K418" i="14"/>
  <c r="K427" i="14"/>
  <c r="K456" i="14"/>
  <c r="K623" i="14"/>
  <c r="K339" i="14"/>
  <c r="K391" i="14"/>
  <c r="K413" i="14"/>
  <c r="K355" i="14"/>
  <c r="K492" i="14"/>
  <c r="K502" i="14"/>
  <c r="K505" i="14"/>
  <c r="K424" i="14"/>
  <c r="K378" i="14"/>
  <c r="K394" i="14"/>
  <c r="K406" i="14"/>
  <c r="K558" i="14"/>
  <c r="K303" i="14"/>
  <c r="K153" i="14"/>
  <c r="K407" i="14"/>
  <c r="K408" i="14"/>
  <c r="K425" i="14"/>
  <c r="K438" i="14"/>
  <c r="K450" i="14"/>
  <c r="K449" i="14"/>
  <c r="K161" i="14"/>
  <c r="K162" i="14"/>
  <c r="K297" i="14"/>
  <c r="K160" i="14"/>
  <c r="K6" i="14"/>
  <c r="K301" i="14"/>
  <c r="K300" i="14"/>
  <c r="K340" i="14"/>
  <c r="K307" i="14"/>
  <c r="K306" i="14"/>
  <c r="K167" i="14"/>
  <c r="K169" i="14"/>
  <c r="K168" i="14"/>
  <c r="K166" i="14"/>
  <c r="K327" i="14"/>
  <c r="K326" i="14"/>
  <c r="K171" i="14"/>
  <c r="K170" i="14"/>
  <c r="K328" i="14"/>
  <c r="K172" i="14"/>
  <c r="K174" i="14"/>
  <c r="K175" i="14"/>
  <c r="K173" i="14"/>
  <c r="K607" i="14"/>
  <c r="K177" i="14"/>
  <c r="K178" i="14"/>
  <c r="K383" i="14"/>
  <c r="K176" i="14"/>
  <c r="K380" i="14"/>
  <c r="K379" i="14"/>
  <c r="K344" i="14"/>
  <c r="K448" i="14"/>
  <c r="K184" i="14"/>
  <c r="K183" i="14"/>
  <c r="K592" i="14"/>
  <c r="K599" i="14"/>
  <c r="K182" i="14"/>
  <c r="K664" i="14"/>
  <c r="K663" i="14"/>
  <c r="K665" i="14"/>
  <c r="K673" i="14"/>
  <c r="K674" i="14"/>
  <c r="K675" i="14"/>
  <c r="K185" i="14"/>
  <c r="K679" i="14"/>
  <c r="K451" i="14"/>
  <c r="K194" i="14"/>
  <c r="K608" i="14"/>
  <c r="K609" i="14"/>
  <c r="K615" i="14"/>
  <c r="K616" i="14"/>
  <c r="K617" i="14"/>
  <c r="K621" i="14"/>
  <c r="K622" i="14"/>
  <c r="K624" i="14"/>
  <c r="K634" i="14"/>
  <c r="K633" i="14"/>
  <c r="K632" i="14"/>
  <c r="K638" i="14"/>
  <c r="K640" i="14"/>
  <c r="K639" i="14"/>
  <c r="K652" i="14"/>
  <c r="K600" i="14"/>
  <c r="K625" i="14"/>
  <c r="K641" i="14"/>
  <c r="K644" i="14"/>
  <c r="K648" i="14"/>
  <c r="K658" i="14"/>
  <c r="K461" i="14"/>
  <c r="K14" i="14"/>
  <c r="K462" i="14"/>
  <c r="K468" i="14"/>
  <c r="K586" i="14"/>
  <c r="K603" i="14"/>
  <c r="K567" i="14"/>
  <c r="K476" i="14"/>
  <c r="K477" i="14"/>
  <c r="K31" i="14"/>
  <c r="K7" i="14"/>
  <c r="K349" i="14"/>
  <c r="K54" i="14"/>
  <c r="K598" i="14"/>
  <c r="K363" i="14"/>
  <c r="K426" i="14"/>
  <c r="K442" i="14"/>
  <c r="K464" i="14"/>
  <c r="K479" i="14"/>
  <c r="K480" i="14"/>
  <c r="K441" i="14"/>
  <c r="K454" i="14"/>
  <c r="K470" i="14"/>
  <c r="K488" i="14"/>
  <c r="K490" i="14"/>
  <c r="K342" i="14"/>
  <c r="K346" i="14"/>
  <c r="K128" i="14"/>
  <c r="K133" i="14"/>
  <c r="K330" i="14"/>
  <c r="K221" i="14"/>
  <c r="K612" i="14"/>
  <c r="K220" i="14"/>
  <c r="K219" i="14"/>
  <c r="K654" i="14"/>
  <c r="K537" i="14"/>
  <c r="K626" i="14"/>
  <c r="K645" i="14"/>
  <c r="K649" i="14"/>
  <c r="K354" i="14"/>
  <c r="K402" i="14"/>
  <c r="K361" i="14"/>
  <c r="K390" i="14"/>
  <c r="K368" i="14"/>
  <c r="K381" i="14"/>
  <c r="K218" i="14"/>
  <c r="K215" i="14"/>
  <c r="K493" i="14"/>
  <c r="K242" i="14"/>
  <c r="K241" i="14"/>
  <c r="K246" i="14"/>
  <c r="K245" i="14"/>
  <c r="K244" i="14"/>
  <c r="K240" i="14"/>
  <c r="K601" i="14"/>
  <c r="K618" i="14"/>
  <c r="K627" i="14"/>
  <c r="K628" i="14"/>
  <c r="K239" i="14"/>
  <c r="K238" i="14"/>
  <c r="K236" i="14"/>
  <c r="K237" i="14"/>
  <c r="K642" i="14"/>
  <c r="K234" i="14"/>
  <c r="K650" i="14"/>
  <c r="K235" i="14"/>
  <c r="K233" i="14"/>
  <c r="K653" i="14"/>
  <c r="K232" i="14"/>
  <c r="K602" i="14"/>
  <c r="K611" i="14"/>
  <c r="K610" i="14"/>
  <c r="K635" i="14"/>
  <c r="K677" i="14"/>
  <c r="K504" i="14"/>
  <c r="K503" i="14"/>
  <c r="K17" i="14"/>
  <c r="K16" i="14"/>
  <c r="K15" i="14"/>
  <c r="K643" i="14"/>
  <c r="K666" i="14"/>
  <c r="K670" i="14"/>
  <c r="K253" i="14"/>
  <c r="K252" i="14"/>
  <c r="K550" i="14"/>
  <c r="K553" i="14"/>
  <c r="K538" i="14"/>
  <c r="K539" i="14"/>
  <c r="K258" i="14"/>
  <c r="K489" i="14"/>
  <c r="K484" i="14"/>
  <c r="K466" i="14"/>
  <c r="K459" i="14"/>
  <c r="K444" i="14"/>
  <c r="K431" i="14"/>
  <c r="K432" i="14"/>
  <c r="K433" i="14"/>
  <c r="K434" i="14"/>
  <c r="K422" i="14"/>
  <c r="K395" i="14"/>
  <c r="K392" i="14"/>
  <c r="K382" i="14"/>
  <c r="K376" i="14"/>
  <c r="K369" i="14"/>
  <c r="K365" i="14"/>
  <c r="K371" i="14"/>
  <c r="K377" i="14"/>
  <c r="K384" i="14"/>
  <c r="K385" i="14"/>
  <c r="K387" i="14"/>
  <c r="K398" i="14"/>
  <c r="K397" i="14"/>
  <c r="K396" i="14"/>
  <c r="K404" i="14"/>
  <c r="K414" i="14"/>
  <c r="K417" i="14"/>
  <c r="K416" i="14"/>
  <c r="K423" i="14"/>
  <c r="K435" i="14"/>
  <c r="K445" i="14"/>
  <c r="K474" i="14"/>
  <c r="K473" i="14"/>
  <c r="K485" i="14"/>
  <c r="K491" i="14"/>
  <c r="K500" i="14"/>
  <c r="K501" i="14"/>
  <c r="K520" i="14"/>
  <c r="K519" i="14"/>
  <c r="K556" i="14"/>
  <c r="K565" i="14"/>
  <c r="K566" i="14"/>
  <c r="K581" i="14"/>
  <c r="K591" i="14"/>
  <c r="K589" i="14"/>
  <c r="K676" i="14"/>
  <c r="K271" i="14"/>
  <c r="K681" i="14"/>
  <c r="K370" i="14"/>
  <c r="K374" i="14"/>
  <c r="K375" i="14"/>
  <c r="K393" i="14"/>
  <c r="K403" i="14"/>
  <c r="K415" i="14"/>
  <c r="K420" i="14"/>
  <c r="K421" i="14"/>
  <c r="K430" i="14"/>
  <c r="K443" i="14"/>
  <c r="K457" i="14"/>
  <c r="K460" i="14"/>
  <c r="K458" i="14"/>
  <c r="K465" i="14"/>
  <c r="K475" i="14"/>
  <c r="K472" i="14"/>
  <c r="K482" i="14"/>
  <c r="K483" i="14"/>
  <c r="K486" i="14"/>
  <c r="K494" i="14"/>
  <c r="K498" i="14"/>
  <c r="K497" i="14"/>
  <c r="K508" i="14"/>
  <c r="K506" i="14"/>
  <c r="K507" i="14"/>
  <c r="K513" i="14"/>
  <c r="K523" i="14"/>
  <c r="K525" i="14"/>
  <c r="K524" i="14"/>
  <c r="K531" i="14"/>
  <c r="K540" i="14"/>
  <c r="K543" i="14"/>
  <c r="K541" i="14"/>
  <c r="K542" i="14"/>
  <c r="K568" i="14"/>
  <c r="K580" i="14"/>
  <c r="K583" i="14"/>
  <c r="K593" i="14"/>
  <c r="K680" i="14"/>
  <c r="K405" i="14"/>
  <c r="K436" i="14"/>
  <c r="K447" i="14"/>
  <c r="K446" i="14"/>
  <c r="K467" i="14"/>
  <c r="K521" i="14"/>
  <c r="K526" i="14"/>
  <c r="K554" i="14"/>
  <c r="K574" i="14"/>
  <c r="K596" i="14"/>
  <c r="K613" i="14"/>
  <c r="K629" i="14"/>
  <c r="K3" i="14"/>
  <c r="K287" i="14"/>
  <c r="K289" i="14"/>
  <c r="K291" i="14"/>
  <c r="K290" i="14"/>
  <c r="K288" i="14"/>
  <c r="K614" i="14"/>
  <c r="K620" i="14"/>
  <c r="K510" i="14"/>
  <c r="K437" i="14"/>
  <c r="F18" i="14"/>
  <c r="F19" i="14"/>
  <c r="F399" i="14"/>
  <c r="F25" i="14"/>
  <c r="F24" i="14"/>
  <c r="F23" i="14"/>
  <c r="F22" i="14"/>
  <c r="F21" i="14"/>
  <c r="F495" i="14"/>
  <c r="F20" i="14"/>
  <c r="F378" i="14"/>
  <c r="F394" i="14"/>
  <c r="F406" i="14"/>
  <c r="F407" i="14"/>
  <c r="F408" i="14"/>
  <c r="F425" i="14"/>
  <c r="F438" i="14"/>
  <c r="F450" i="14"/>
  <c r="F449" i="14"/>
  <c r="F448" i="14"/>
  <c r="F451" i="14"/>
  <c r="F461" i="14"/>
  <c r="F462" i="14"/>
  <c r="F468" i="14"/>
  <c r="F476" i="14"/>
  <c r="F477" i="14"/>
  <c r="F26" i="14"/>
  <c r="F27" i="14"/>
  <c r="F30" i="14"/>
  <c r="F28" i="14"/>
  <c r="F29" i="14"/>
  <c r="F31" i="14"/>
  <c r="F7" i="14"/>
  <c r="F32" i="14"/>
  <c r="F305" i="14"/>
  <c r="F308" i="14"/>
  <c r="F311" i="14"/>
  <c r="F312" i="14"/>
  <c r="F317" i="14"/>
  <c r="F318" i="14"/>
  <c r="F325" i="14"/>
  <c r="F331" i="14"/>
  <c r="F33" i="14"/>
  <c r="F309" i="14"/>
  <c r="F313" i="14"/>
  <c r="F319" i="14"/>
  <c r="F321" i="14"/>
  <c r="F322" i="14"/>
  <c r="F34" i="14"/>
  <c r="F35" i="14"/>
  <c r="F8" i="14"/>
  <c r="F38" i="14"/>
  <c r="F37" i="14"/>
  <c r="F36" i="14"/>
  <c r="F9" i="14"/>
  <c r="F39" i="14"/>
  <c r="F570" i="14"/>
  <c r="F569" i="14"/>
  <c r="F40" i="14"/>
  <c r="F659" i="14"/>
  <c r="F362" i="14"/>
  <c r="F41" i="14"/>
  <c r="F637" i="14"/>
  <c r="F42" i="14"/>
  <c r="F544" i="14"/>
  <c r="F545" i="14"/>
  <c r="F43" i="14"/>
  <c r="F315" i="14"/>
  <c r="F316" i="14"/>
  <c r="F314" i="14"/>
  <c r="F320" i="14"/>
  <c r="F323" i="14"/>
  <c r="F298" i="14"/>
  <c r="F44" i="14"/>
  <c r="F47" i="14"/>
  <c r="F48" i="14"/>
  <c r="F49" i="14"/>
  <c r="F302" i="14"/>
  <c r="F304" i="14"/>
  <c r="F46" i="14"/>
  <c r="F45" i="14"/>
  <c r="F310" i="14"/>
  <c r="F4" i="14"/>
  <c r="F10" i="14"/>
  <c r="F50" i="14"/>
  <c r="F349" i="14"/>
  <c r="F51" i="14"/>
  <c r="F52" i="14"/>
  <c r="F53" i="14"/>
  <c r="F54" i="14"/>
  <c r="F58" i="14"/>
  <c r="F59" i="14"/>
  <c r="F55" i="14"/>
  <c r="F57" i="14"/>
  <c r="F56" i="14"/>
  <c r="F455" i="14"/>
  <c r="F534" i="14"/>
  <c r="F440" i="14"/>
  <c r="F453" i="14"/>
  <c r="F463" i="14"/>
  <c r="F478" i="14"/>
  <c r="F487" i="14"/>
  <c r="F578" i="14"/>
  <c r="F636" i="14"/>
  <c r="F647" i="14"/>
  <c r="F646" i="14"/>
  <c r="F667" i="14"/>
  <c r="F439" i="14"/>
  <c r="F469" i="14"/>
  <c r="F60" i="14"/>
  <c r="F409" i="14"/>
  <c r="F61" i="14"/>
  <c r="F324" i="14"/>
  <c r="F11" i="14"/>
  <c r="F63" i="14"/>
  <c r="F62" i="14"/>
  <c r="F65" i="14"/>
  <c r="F64" i="14"/>
  <c r="F335" i="14"/>
  <c r="F338" i="14"/>
  <c r="F527" i="14"/>
  <c r="F66" i="14"/>
  <c r="F12" i="14"/>
  <c r="F68" i="14"/>
  <c r="F555" i="14"/>
  <c r="F560" i="14"/>
  <c r="F69" i="14"/>
  <c r="F347" i="14"/>
  <c r="F71" i="14"/>
  <c r="F350" i="14"/>
  <c r="F352" i="14"/>
  <c r="F356" i="14"/>
  <c r="F70" i="14"/>
  <c r="F357" i="14"/>
  <c r="F619" i="14"/>
  <c r="F72" i="14"/>
  <c r="F588" i="14"/>
  <c r="F372" i="14"/>
  <c r="F67" i="14"/>
  <c r="F452" i="14"/>
  <c r="F73" i="14"/>
  <c r="F584" i="14"/>
  <c r="F594" i="14"/>
  <c r="F595" i="14"/>
  <c r="F74" i="14"/>
  <c r="F336" i="14"/>
  <c r="F79" i="14"/>
  <c r="F78" i="14"/>
  <c r="F76" i="14"/>
  <c r="F75" i="14"/>
  <c r="F77" i="14"/>
  <c r="F333" i="14"/>
  <c r="F332" i="14"/>
  <c r="F80" i="14"/>
  <c r="F83" i="14"/>
  <c r="F82" i="14"/>
  <c r="F84" i="14"/>
  <c r="F81" i="14"/>
  <c r="F561" i="14"/>
  <c r="F571" i="14"/>
  <c r="F576" i="14"/>
  <c r="F575" i="14"/>
  <c r="F590" i="14"/>
  <c r="F597" i="14"/>
  <c r="F598" i="14"/>
  <c r="F351" i="14"/>
  <c r="F366" i="14"/>
  <c r="F13" i="14"/>
  <c r="F86" i="14"/>
  <c r="F85" i="14"/>
  <c r="F87" i="14"/>
  <c r="F88" i="14"/>
  <c r="F655" i="14"/>
  <c r="F656" i="14"/>
  <c r="F89" i="14"/>
  <c r="F90" i="14"/>
  <c r="F499" i="14"/>
  <c r="F511" i="14"/>
  <c r="F536" i="14"/>
  <c r="F91" i="14"/>
  <c r="F92" i="14"/>
  <c r="F93" i="14"/>
  <c r="F496" i="14"/>
  <c r="F509" i="14"/>
  <c r="F515" i="14"/>
  <c r="F522" i="14"/>
  <c r="F533" i="14"/>
  <c r="F546" i="14"/>
  <c r="F94" i="14"/>
  <c r="F514" i="14"/>
  <c r="F528" i="14"/>
  <c r="F329" i="14"/>
  <c r="F95" i="14"/>
  <c r="F96" i="14"/>
  <c r="F364" i="14"/>
  <c r="F345" i="14"/>
  <c r="F660" i="14"/>
  <c r="F99" i="14"/>
  <c r="F97" i="14"/>
  <c r="F102" i="14"/>
  <c r="F103" i="14"/>
  <c r="F98" i="14"/>
  <c r="F101" i="14"/>
  <c r="F100" i="14"/>
  <c r="F573" i="14"/>
  <c r="F579" i="14"/>
  <c r="F585" i="14"/>
  <c r="F547" i="14"/>
  <c r="F548" i="14"/>
  <c r="F557" i="14"/>
  <c r="F587" i="14"/>
  <c r="F348" i="14"/>
  <c r="F105" i="14"/>
  <c r="F106" i="14"/>
  <c r="F104" i="14"/>
  <c r="F562" i="14"/>
  <c r="F564" i="14"/>
  <c r="F563" i="14"/>
  <c r="F107" i="14"/>
  <c r="F582" i="14"/>
  <c r="F572" i="14"/>
  <c r="F577" i="14"/>
  <c r="F108" i="14"/>
  <c r="F337" i="14"/>
  <c r="F359" i="14"/>
  <c r="F341" i="14"/>
  <c r="F342" i="14"/>
  <c r="F109" i="14"/>
  <c r="F353" i="14"/>
  <c r="F358" i="14"/>
  <c r="F110" i="14"/>
  <c r="F111" i="14"/>
  <c r="F651" i="14"/>
  <c r="F657" i="14"/>
  <c r="F116" i="14"/>
  <c r="F114" i="14"/>
  <c r="F117" i="14"/>
  <c r="F113" i="14"/>
  <c r="F115" i="14"/>
  <c r="F112" i="14"/>
  <c r="F662" i="14"/>
  <c r="F661" i="14"/>
  <c r="F669" i="14"/>
  <c r="F668" i="14"/>
  <c r="F671" i="14"/>
  <c r="F678" i="14"/>
  <c r="F516" i="14"/>
  <c r="F118" i="14"/>
  <c r="F604" i="14"/>
  <c r="F605" i="14"/>
  <c r="F124" i="14"/>
  <c r="F122" i="14"/>
  <c r="F119" i="14"/>
  <c r="F125" i="14"/>
  <c r="F512" i="14"/>
  <c r="F517" i="14"/>
  <c r="F123" i="14"/>
  <c r="F529" i="14"/>
  <c r="F530" i="14"/>
  <c r="F120" i="14"/>
  <c r="F549" i="14"/>
  <c r="F121" i="14"/>
  <c r="F535" i="14"/>
  <c r="F551" i="14"/>
  <c r="F552" i="14"/>
  <c r="F559" i="14"/>
  <c r="F126" i="14"/>
  <c r="F346" i="14"/>
  <c r="F299" i="14"/>
  <c r="F606" i="14"/>
  <c r="F127" i="14"/>
  <c r="F672" i="14"/>
  <c r="F130" i="14"/>
  <c r="F129" i="14"/>
  <c r="F128" i="14"/>
  <c r="F131" i="14"/>
  <c r="F5" i="14"/>
  <c r="F132" i="14"/>
  <c r="F133" i="14"/>
  <c r="F343" i="14"/>
  <c r="F135" i="14"/>
  <c r="F134" i="14"/>
  <c r="F630" i="14"/>
  <c r="F631" i="14"/>
  <c r="F136" i="14"/>
  <c r="F532" i="14"/>
  <c r="F471" i="14"/>
  <c r="F518" i="14"/>
  <c r="F334" i="14"/>
  <c r="F138" i="14"/>
  <c r="F139" i="14"/>
  <c r="F146" i="14"/>
  <c r="F143" i="14"/>
  <c r="F144" i="14"/>
  <c r="F148" i="14"/>
  <c r="F147" i="14"/>
  <c r="F145" i="14"/>
  <c r="F142" i="14"/>
  <c r="F141" i="14"/>
  <c r="F140" i="14"/>
  <c r="F386" i="14"/>
  <c r="F388" i="14"/>
  <c r="F400" i="14"/>
  <c r="F411" i="14"/>
  <c r="F410" i="14"/>
  <c r="F418" i="14"/>
  <c r="F427" i="14"/>
  <c r="F456" i="14"/>
  <c r="F623" i="14"/>
  <c r="F151" i="14"/>
  <c r="F150" i="14"/>
  <c r="F149" i="14"/>
  <c r="F389" i="14"/>
  <c r="F401" i="14"/>
  <c r="F412" i="14"/>
  <c r="F419" i="14"/>
  <c r="F429" i="14"/>
  <c r="F428" i="14"/>
  <c r="F354" i="14"/>
  <c r="F402" i="14"/>
  <c r="F360" i="14"/>
  <c r="F361" i="14"/>
  <c r="F152" i="14"/>
  <c r="F558" i="14"/>
  <c r="F303" i="14"/>
  <c r="F153" i="14"/>
  <c r="F154" i="14"/>
  <c r="F155" i="14"/>
  <c r="F367" i="14"/>
  <c r="F156" i="14"/>
  <c r="F158" i="14"/>
  <c r="F157" i="14"/>
  <c r="F159" i="14"/>
  <c r="F373" i="14"/>
  <c r="F390" i="14"/>
  <c r="F161" i="14"/>
  <c r="F162" i="14"/>
  <c r="F297" i="14"/>
  <c r="F160" i="14"/>
  <c r="F6" i="14"/>
  <c r="F301" i="14"/>
  <c r="F300" i="14"/>
  <c r="F163" i="14"/>
  <c r="F164" i="14"/>
  <c r="F165" i="14"/>
  <c r="F340" i="14"/>
  <c r="F307" i="14"/>
  <c r="F306" i="14"/>
  <c r="F167" i="14"/>
  <c r="F169" i="14"/>
  <c r="F168" i="14"/>
  <c r="F166" i="14"/>
  <c r="F327" i="14"/>
  <c r="F326" i="14"/>
  <c r="F171" i="14"/>
  <c r="F170" i="14"/>
  <c r="F328" i="14"/>
  <c r="F172" i="14"/>
  <c r="F174" i="14"/>
  <c r="F175" i="14"/>
  <c r="F173" i="14"/>
  <c r="F607" i="14"/>
  <c r="F177" i="14"/>
  <c r="F178" i="14"/>
  <c r="F383" i="14"/>
  <c r="F176" i="14"/>
  <c r="F380" i="14"/>
  <c r="F379" i="14"/>
  <c r="F179" i="14"/>
  <c r="F344" i="14"/>
  <c r="F180" i="14"/>
  <c r="F181" i="14"/>
  <c r="F184" i="14"/>
  <c r="F183" i="14"/>
  <c r="F592" i="14"/>
  <c r="F599" i="14"/>
  <c r="F182" i="14"/>
  <c r="F190" i="14"/>
  <c r="F188" i="14"/>
  <c r="F189" i="14"/>
  <c r="F191" i="14"/>
  <c r="F186" i="14"/>
  <c r="F187" i="14"/>
  <c r="F193" i="14"/>
  <c r="F192" i="14"/>
  <c r="F664" i="14"/>
  <c r="F663" i="14"/>
  <c r="F665" i="14"/>
  <c r="F673" i="14"/>
  <c r="F674" i="14"/>
  <c r="F675" i="14"/>
  <c r="F185" i="14"/>
  <c r="F679" i="14"/>
  <c r="F481" i="14"/>
  <c r="F194" i="14"/>
  <c r="F198" i="14"/>
  <c r="F196" i="14"/>
  <c r="F199" i="14"/>
  <c r="F197" i="14"/>
  <c r="F195" i="14"/>
  <c r="F608" i="14"/>
  <c r="F609" i="14"/>
  <c r="F615" i="14"/>
  <c r="F616" i="14"/>
  <c r="F617" i="14"/>
  <c r="F621" i="14"/>
  <c r="F622" i="14"/>
  <c r="F624" i="14"/>
  <c r="F634" i="14"/>
  <c r="F633" i="14"/>
  <c r="F632" i="14"/>
  <c r="F638" i="14"/>
  <c r="F640" i="14"/>
  <c r="F639" i="14"/>
  <c r="F652" i="14"/>
  <c r="F600" i="14"/>
  <c r="F625" i="14"/>
  <c r="F641" i="14"/>
  <c r="F644" i="14"/>
  <c r="F648" i="14"/>
  <c r="F658" i="14"/>
  <c r="F200" i="14"/>
  <c r="F14" i="14"/>
  <c r="F201" i="14"/>
  <c r="F339" i="14"/>
  <c r="F586" i="14"/>
  <c r="F603" i="14"/>
  <c r="F567" i="14"/>
  <c r="F202" i="14"/>
  <c r="F204" i="14"/>
  <c r="F203" i="14"/>
  <c r="F206" i="14"/>
  <c r="F207" i="14"/>
  <c r="F205" i="14"/>
  <c r="F391" i="14"/>
  <c r="F413" i="14"/>
  <c r="F368" i="14"/>
  <c r="F381" i="14"/>
  <c r="F208" i="14"/>
  <c r="F211" i="14"/>
  <c r="F209" i="14"/>
  <c r="F363" i="14"/>
  <c r="F426" i="14"/>
  <c r="F442" i="14"/>
  <c r="F464" i="14"/>
  <c r="F479" i="14"/>
  <c r="F480" i="14"/>
  <c r="F210" i="14"/>
  <c r="F212" i="14"/>
  <c r="F213" i="14"/>
  <c r="F214" i="14"/>
  <c r="F441" i="14"/>
  <c r="F454" i="14"/>
  <c r="F470" i="14"/>
  <c r="F488" i="14"/>
  <c r="F490" i="14"/>
  <c r="F216" i="14"/>
  <c r="F218" i="14"/>
  <c r="F217" i="14"/>
  <c r="F215" i="14"/>
  <c r="F330" i="14"/>
  <c r="F221" i="14"/>
  <c r="F612" i="14"/>
  <c r="F220" i="14"/>
  <c r="F219" i="14"/>
  <c r="F654" i="14"/>
  <c r="F222" i="14"/>
  <c r="F223" i="14"/>
  <c r="F537" i="14"/>
  <c r="F225" i="14"/>
  <c r="F224" i="14"/>
  <c r="F626" i="14"/>
  <c r="F645" i="14"/>
  <c r="F649" i="14"/>
  <c r="F227" i="14"/>
  <c r="F228" i="14"/>
  <c r="F226" i="14"/>
  <c r="F355" i="14"/>
  <c r="F231" i="14"/>
  <c r="F230" i="14"/>
  <c r="F229" i="14"/>
  <c r="F492" i="14"/>
  <c r="F502" i="14"/>
  <c r="F493" i="14"/>
  <c r="F504" i="14"/>
  <c r="F503" i="14"/>
  <c r="F243" i="14"/>
  <c r="F242" i="14"/>
  <c r="F241" i="14"/>
  <c r="F246" i="14"/>
  <c r="F245" i="14"/>
  <c r="F244" i="14"/>
  <c r="F240" i="14"/>
  <c r="F601" i="14"/>
  <c r="F618" i="14"/>
  <c r="F627" i="14"/>
  <c r="F628" i="14"/>
  <c r="F239" i="14"/>
  <c r="F238" i="14"/>
  <c r="F236" i="14"/>
  <c r="F237" i="14"/>
  <c r="F642" i="14"/>
  <c r="F234" i="14"/>
  <c r="F650" i="14"/>
  <c r="F235" i="14"/>
  <c r="F233" i="14"/>
  <c r="F653" i="14"/>
  <c r="F232" i="14"/>
  <c r="F602" i="14"/>
  <c r="F611" i="14"/>
  <c r="F610" i="14"/>
  <c r="F635" i="14"/>
  <c r="F677" i="14"/>
  <c r="F505" i="14"/>
  <c r="F510" i="14"/>
  <c r="F17" i="14"/>
  <c r="F16" i="14"/>
  <c r="F15" i="14"/>
  <c r="F643" i="14"/>
  <c r="F250" i="14"/>
  <c r="F251" i="14"/>
  <c r="F249" i="14"/>
  <c r="F247" i="14"/>
  <c r="F666" i="14"/>
  <c r="F670" i="14"/>
  <c r="F248" i="14"/>
  <c r="F257" i="14"/>
  <c r="F256" i="14"/>
  <c r="F254" i="14"/>
  <c r="F255" i="14"/>
  <c r="F253" i="14"/>
  <c r="F252" i="14"/>
  <c r="F550" i="14"/>
  <c r="F553" i="14"/>
  <c r="F538" i="14"/>
  <c r="F539" i="14"/>
  <c r="F273" i="14"/>
  <c r="F272" i="14"/>
  <c r="F263" i="14"/>
  <c r="F278" i="14"/>
  <c r="F259" i="14"/>
  <c r="F262" i="14"/>
  <c r="F286" i="14"/>
  <c r="F284" i="14"/>
  <c r="F283" i="14"/>
  <c r="F281" i="14"/>
  <c r="F264" i="14"/>
  <c r="F267" i="14"/>
  <c r="F270" i="14"/>
  <c r="F265" i="14"/>
  <c r="F266" i="14"/>
  <c r="F274" i="14"/>
  <c r="F275" i="14"/>
  <c r="F258" i="14"/>
  <c r="F276" i="14"/>
  <c r="F489" i="14"/>
  <c r="F484" i="14"/>
  <c r="F269" i="14"/>
  <c r="F466" i="14"/>
  <c r="F279" i="14"/>
  <c r="F459" i="14"/>
  <c r="F444" i="14"/>
  <c r="F277" i="14"/>
  <c r="F431" i="14"/>
  <c r="F432" i="14"/>
  <c r="F433" i="14"/>
  <c r="F434" i="14"/>
  <c r="F422" i="14"/>
  <c r="F395" i="14"/>
  <c r="F392" i="14"/>
  <c r="F382" i="14"/>
  <c r="F376" i="14"/>
  <c r="F369" i="14"/>
  <c r="F285" i="14"/>
  <c r="F365" i="14"/>
  <c r="F371" i="14"/>
  <c r="F377" i="14"/>
  <c r="F384" i="14"/>
  <c r="F385" i="14"/>
  <c r="F387" i="14"/>
  <c r="F398" i="14"/>
  <c r="F397" i="14"/>
  <c r="F396" i="14"/>
  <c r="F404" i="14"/>
  <c r="F414" i="14"/>
  <c r="F417" i="14"/>
  <c r="F416" i="14"/>
  <c r="F423" i="14"/>
  <c r="F435" i="14"/>
  <c r="F445" i="14"/>
  <c r="F474" i="14"/>
  <c r="F473" i="14"/>
  <c r="F485" i="14"/>
  <c r="F491" i="14"/>
  <c r="F500" i="14"/>
  <c r="F501" i="14"/>
  <c r="F520" i="14"/>
  <c r="F519" i="14"/>
  <c r="F556" i="14"/>
  <c r="F565" i="14"/>
  <c r="F566" i="14"/>
  <c r="F581" i="14"/>
  <c r="F591" i="14"/>
  <c r="F589" i="14"/>
  <c r="F280" i="14"/>
  <c r="F260" i="14"/>
  <c r="F268" i="14"/>
  <c r="F261" i="14"/>
  <c r="F282" i="14"/>
  <c r="F676" i="14"/>
  <c r="F271" i="14"/>
  <c r="F681" i="14"/>
  <c r="F370" i="14"/>
  <c r="F374" i="14"/>
  <c r="F375" i="14"/>
  <c r="F393" i="14"/>
  <c r="F403" i="14"/>
  <c r="F415" i="14"/>
  <c r="F420" i="14"/>
  <c r="F421" i="14"/>
  <c r="F430" i="14"/>
  <c r="F443" i="14"/>
  <c r="F457" i="14"/>
  <c r="F460" i="14"/>
  <c r="F458" i="14"/>
  <c r="F465" i="14"/>
  <c r="F475" i="14"/>
  <c r="F472" i="14"/>
  <c r="F482" i="14"/>
  <c r="F483" i="14"/>
  <c r="F486" i="14"/>
  <c r="F494" i="14"/>
  <c r="F498" i="14"/>
  <c r="F497" i="14"/>
  <c r="F508" i="14"/>
  <c r="F506" i="14"/>
  <c r="F507" i="14"/>
  <c r="F513" i="14"/>
  <c r="F523" i="14"/>
  <c r="F525" i="14"/>
  <c r="F524" i="14"/>
  <c r="F531" i="14"/>
  <c r="F540" i="14"/>
  <c r="F543" i="14"/>
  <c r="F541" i="14"/>
  <c r="F542" i="14"/>
  <c r="F568" i="14"/>
  <c r="F580" i="14"/>
  <c r="F583" i="14"/>
  <c r="F593" i="14"/>
  <c r="F680" i="14"/>
  <c r="F405" i="14"/>
  <c r="F436" i="14"/>
  <c r="F447" i="14"/>
  <c r="F446" i="14"/>
  <c r="F467" i="14"/>
  <c r="F521" i="14"/>
  <c r="F526" i="14"/>
  <c r="F554" i="14"/>
  <c r="F574" i="14"/>
  <c r="F596" i="14"/>
  <c r="F613" i="14"/>
  <c r="F629" i="14"/>
  <c r="F3" i="14"/>
  <c r="F287" i="14"/>
  <c r="F289" i="14"/>
  <c r="F291" i="14"/>
  <c r="F290" i="14"/>
  <c r="F288" i="14"/>
  <c r="F296" i="14"/>
  <c r="F295" i="14"/>
  <c r="F294" i="14"/>
  <c r="F614" i="14"/>
  <c r="F620" i="14"/>
  <c r="F293" i="14"/>
  <c r="F292" i="14"/>
  <c r="F424" i="14"/>
  <c r="F437" i="14"/>
  <c r="H6" i="26"/>
  <c r="H7" i="26" s="1"/>
  <c r="H12" i="26"/>
  <c r="H13" i="26" s="1"/>
  <c r="I12" i="26" s="1"/>
  <c r="H14" i="26"/>
  <c r="H15" i="26" s="1"/>
  <c r="H8" i="26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3" i="7"/>
  <c r="D32" i="7"/>
  <c r="D34" i="7"/>
  <c r="D35" i="7"/>
  <c r="D36" i="7"/>
  <c r="D37" i="7"/>
  <c r="D38" i="7"/>
  <c r="D39" i="7"/>
  <c r="D40" i="7"/>
  <c r="D41" i="7"/>
  <c r="D42" i="7"/>
  <c r="D43" i="7"/>
  <c r="D44" i="7"/>
  <c r="D45" i="7"/>
  <c r="D47" i="7"/>
  <c r="D46" i="7"/>
  <c r="D48" i="7"/>
  <c r="D49" i="7"/>
  <c r="D50" i="7"/>
  <c r="D51" i="7"/>
  <c r="D52" i="7"/>
  <c r="D53" i="7"/>
  <c r="D54" i="7"/>
  <c r="D55" i="7"/>
  <c r="D58" i="7"/>
  <c r="D57" i="7"/>
  <c r="D56" i="7"/>
  <c r="D59" i="7"/>
  <c r="D60" i="7"/>
  <c r="D62" i="7"/>
  <c r="D61" i="7"/>
  <c r="D63" i="7"/>
  <c r="D64" i="7"/>
  <c r="D66" i="7"/>
  <c r="D65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6" i="7"/>
  <c r="D85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3" i="7"/>
  <c r="D125" i="7"/>
  <c r="D126" i="7"/>
  <c r="D128" i="7"/>
  <c r="D130" i="7"/>
  <c r="D129" i="7"/>
  <c r="D131" i="7"/>
  <c r="D132" i="7"/>
  <c r="D134" i="7"/>
  <c r="D135" i="7"/>
  <c r="D136" i="7"/>
  <c r="D137" i="7"/>
  <c r="D138" i="7"/>
  <c r="D139" i="7"/>
  <c r="D140" i="7"/>
  <c r="D141" i="7"/>
  <c r="D142" i="7"/>
  <c r="D143" i="7"/>
  <c r="D144" i="7"/>
  <c r="D147" i="7"/>
  <c r="D146" i="7"/>
  <c r="D148" i="7"/>
  <c r="D149" i="7"/>
  <c r="D145" i="7"/>
  <c r="D150" i="7"/>
  <c r="D151" i="7"/>
  <c r="D152" i="7"/>
  <c r="D154" i="7"/>
  <c r="D155" i="7"/>
  <c r="D156" i="7"/>
  <c r="D157" i="7"/>
  <c r="D159" i="7"/>
  <c r="D158" i="7"/>
  <c r="D161" i="7"/>
  <c r="D162" i="7"/>
  <c r="D163" i="7"/>
  <c r="D166" i="7"/>
  <c r="D167" i="7"/>
  <c r="D168" i="7"/>
  <c r="D170" i="7"/>
  <c r="D171" i="7"/>
  <c r="D172" i="7"/>
  <c r="D173" i="7"/>
  <c r="D174" i="7"/>
  <c r="D175" i="7"/>
  <c r="D176" i="7"/>
  <c r="D177" i="7"/>
  <c r="D178" i="7"/>
  <c r="D179" i="7"/>
  <c r="D181" i="7"/>
  <c r="D182" i="7"/>
  <c r="D185" i="7"/>
  <c r="D184" i="7"/>
  <c r="D186" i="7"/>
  <c r="D187" i="7"/>
  <c r="D189" i="7"/>
  <c r="D188" i="7"/>
  <c r="D190" i="7"/>
  <c r="D191" i="7"/>
  <c r="D192" i="7"/>
  <c r="D194" i="7"/>
  <c r="D195" i="7"/>
  <c r="D196" i="7"/>
  <c r="D198" i="7"/>
  <c r="D197" i="7"/>
  <c r="D199" i="7"/>
  <c r="D200" i="7"/>
  <c r="D201" i="7"/>
  <c r="D202" i="7"/>
  <c r="D203" i="7"/>
  <c r="D204" i="7"/>
  <c r="D205" i="7"/>
  <c r="D206" i="7"/>
  <c r="D207" i="7"/>
  <c r="D208" i="7"/>
  <c r="D210" i="7"/>
  <c r="D213" i="7"/>
  <c r="D214" i="7"/>
  <c r="D217" i="7"/>
  <c r="D216" i="7"/>
  <c r="D218" i="7"/>
  <c r="D219" i="7"/>
  <c r="D220" i="7"/>
  <c r="D221" i="7"/>
  <c r="D222" i="7"/>
  <c r="D223" i="7"/>
  <c r="D224" i="7"/>
  <c r="D225" i="7"/>
  <c r="D226" i="7"/>
  <c r="D227" i="7"/>
  <c r="D228" i="7"/>
  <c r="D230" i="7"/>
  <c r="D229" i="7"/>
  <c r="D231" i="7"/>
  <c r="D232" i="7"/>
  <c r="D233" i="7"/>
  <c r="D234" i="7"/>
  <c r="D235" i="7"/>
  <c r="D236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5" i="7"/>
  <c r="D254" i="7"/>
  <c r="D256" i="7"/>
  <c r="D258" i="7"/>
  <c r="D259" i="7"/>
  <c r="D261" i="7"/>
  <c r="D262" i="7"/>
  <c r="D263" i="7"/>
  <c r="D264" i="7"/>
  <c r="D265" i="7"/>
  <c r="D266" i="7"/>
  <c r="D268" i="7"/>
  <c r="D267" i="7"/>
  <c r="D269" i="7"/>
  <c r="D272" i="7"/>
  <c r="D273" i="7"/>
  <c r="D274" i="7"/>
  <c r="D275" i="7"/>
  <c r="D277" i="7"/>
  <c r="D278" i="7"/>
  <c r="D279" i="7"/>
  <c r="D280" i="7"/>
  <c r="D281" i="7"/>
  <c r="D282" i="7"/>
  <c r="D284" i="7"/>
  <c r="D283" i="7"/>
  <c r="D285" i="7"/>
  <c r="D286" i="7"/>
  <c r="D287" i="7"/>
  <c r="D288" i="7"/>
  <c r="D289" i="7"/>
  <c r="D290" i="7"/>
  <c r="D291" i="7"/>
  <c r="D292" i="7"/>
  <c r="D293" i="7"/>
  <c r="D296" i="7"/>
  <c r="D294" i="7"/>
  <c r="D295" i="7"/>
  <c r="D297" i="7"/>
  <c r="D298" i="7"/>
  <c r="D299" i="7"/>
  <c r="D300" i="7"/>
  <c r="D301" i="7"/>
  <c r="D302" i="7"/>
  <c r="D306" i="7"/>
  <c r="D308" i="7"/>
  <c r="D304" i="7"/>
  <c r="D303" i="7"/>
  <c r="D307" i="7"/>
  <c r="D309" i="7"/>
  <c r="D310" i="7"/>
  <c r="D311" i="7"/>
  <c r="D312" i="7"/>
  <c r="D313" i="7"/>
  <c r="D315" i="7"/>
  <c r="D314" i="7"/>
  <c r="D317" i="7"/>
  <c r="D319" i="7"/>
  <c r="D322" i="7"/>
  <c r="D323" i="7"/>
  <c r="D324" i="7"/>
  <c r="D326" i="7"/>
  <c r="D325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40" i="7"/>
  <c r="D339" i="7"/>
  <c r="D341" i="7"/>
  <c r="D342" i="7"/>
  <c r="D343" i="7"/>
  <c r="D344" i="7"/>
  <c r="D345" i="7"/>
  <c r="D346" i="7"/>
  <c r="D347" i="7"/>
  <c r="D349" i="7"/>
  <c r="D348" i="7"/>
  <c r="D350" i="7"/>
  <c r="D351" i="7"/>
  <c r="D353" i="7"/>
  <c r="D352" i="7"/>
  <c r="D354" i="7"/>
  <c r="D355" i="7"/>
  <c r="D356" i="7"/>
  <c r="D358" i="7"/>
  <c r="D357" i="7"/>
  <c r="D359" i="7"/>
  <c r="D360" i="7"/>
  <c r="D361" i="7"/>
  <c r="D362" i="7"/>
  <c r="D363" i="7"/>
  <c r="D364" i="7"/>
  <c r="D365" i="7"/>
  <c r="D366" i="7"/>
  <c r="D367" i="7"/>
  <c r="D368" i="7"/>
  <c r="D370" i="7"/>
  <c r="D371" i="7"/>
  <c r="D372" i="7"/>
  <c r="D373" i="7"/>
  <c r="D374" i="7"/>
  <c r="D376" i="7"/>
  <c r="D375" i="7"/>
  <c r="D377" i="7"/>
  <c r="D378" i="7"/>
  <c r="D379" i="7"/>
  <c r="D380" i="7"/>
  <c r="D381" i="7"/>
  <c r="D382" i="7"/>
  <c r="D384" i="7"/>
  <c r="D385" i="7"/>
  <c r="D386" i="7"/>
  <c r="D387" i="7"/>
  <c r="D388" i="7"/>
  <c r="D389" i="7"/>
  <c r="D390" i="7"/>
  <c r="D391" i="7"/>
  <c r="D392" i="7"/>
  <c r="D393" i="7"/>
  <c r="D396" i="7"/>
  <c r="D395" i="7"/>
  <c r="D394" i="7"/>
  <c r="D397" i="7"/>
  <c r="D398" i="7"/>
  <c r="D399" i="7"/>
  <c r="D400" i="7"/>
  <c r="D401" i="7"/>
  <c r="D403" i="7"/>
  <c r="D402" i="7"/>
  <c r="D404" i="7"/>
  <c r="D405" i="7"/>
  <c r="D406" i="7"/>
  <c r="D407" i="7"/>
  <c r="D408" i="7"/>
  <c r="D410" i="7"/>
  <c r="D411" i="7"/>
  <c r="D409" i="7"/>
  <c r="D412" i="7"/>
  <c r="D414" i="7"/>
  <c r="D413" i="7"/>
  <c r="D415" i="7"/>
  <c r="D416" i="7"/>
  <c r="D417" i="7"/>
  <c r="D418" i="7"/>
  <c r="D420" i="7"/>
  <c r="D419" i="7"/>
  <c r="D421" i="7"/>
  <c r="D423" i="7"/>
  <c r="D422" i="7"/>
  <c r="D426" i="7"/>
  <c r="D425" i="7"/>
  <c r="D424" i="7"/>
  <c r="D428" i="7"/>
  <c r="D430" i="7"/>
  <c r="D432" i="7"/>
  <c r="D431" i="7"/>
  <c r="D433" i="7"/>
  <c r="D434" i="7"/>
  <c r="D436" i="7"/>
  <c r="D435" i="7"/>
  <c r="D437" i="7"/>
  <c r="D438" i="7"/>
  <c r="D439" i="7"/>
  <c r="D441" i="7"/>
  <c r="D442" i="7"/>
  <c r="D444" i="7"/>
  <c r="D443" i="7"/>
  <c r="D445" i="7"/>
  <c r="D446" i="7"/>
  <c r="D447" i="7"/>
  <c r="D448" i="7"/>
  <c r="D451" i="7"/>
  <c r="D450" i="7"/>
  <c r="D452" i="7"/>
  <c r="D453" i="7"/>
  <c r="D454" i="7"/>
  <c r="D456" i="7"/>
  <c r="D457" i="7"/>
  <c r="D459" i="7"/>
  <c r="D458" i="7"/>
  <c r="D464" i="7"/>
  <c r="D462" i="7"/>
  <c r="D463" i="7"/>
  <c r="D465" i="7"/>
  <c r="D468" i="7"/>
  <c r="D470" i="7"/>
  <c r="D469" i="7"/>
  <c r="D471" i="7"/>
  <c r="D472" i="7"/>
  <c r="D473" i="7"/>
  <c r="D474" i="7"/>
  <c r="D475" i="7"/>
  <c r="D476" i="7"/>
  <c r="D477" i="7"/>
  <c r="D478" i="7"/>
  <c r="D482" i="7"/>
  <c r="D479" i="7"/>
  <c r="D481" i="7"/>
  <c r="D484" i="7"/>
  <c r="D486" i="7"/>
  <c r="D487" i="7"/>
  <c r="D485" i="7"/>
  <c r="D488" i="7"/>
  <c r="D490" i="7"/>
  <c r="D491" i="7"/>
  <c r="D492" i="7"/>
  <c r="D494" i="7"/>
  <c r="D497" i="7"/>
  <c r="D496" i="7"/>
  <c r="D495" i="7"/>
  <c r="D498" i="7"/>
  <c r="D500" i="7"/>
  <c r="D504" i="7"/>
  <c r="D503" i="7"/>
  <c r="D502" i="7"/>
  <c r="D501" i="7"/>
  <c r="D505" i="7"/>
  <c r="D508" i="7"/>
  <c r="D507" i="7"/>
  <c r="D509" i="7"/>
  <c r="D510" i="7"/>
  <c r="D514" i="7"/>
  <c r="D511" i="7"/>
  <c r="D513" i="7"/>
  <c r="D512" i="7"/>
  <c r="D516" i="7"/>
  <c r="D517" i="7"/>
  <c r="D518" i="7"/>
  <c r="D520" i="7"/>
  <c r="D522" i="7"/>
  <c r="D523" i="7"/>
  <c r="D521" i="7"/>
  <c r="D524" i="7"/>
  <c r="D527" i="7"/>
  <c r="D526" i="7"/>
  <c r="D528" i="7"/>
  <c r="D529" i="7"/>
  <c r="D530" i="7"/>
  <c r="D534" i="7"/>
  <c r="D536" i="7"/>
  <c r="D533" i="7"/>
  <c r="D537" i="7"/>
  <c r="D531" i="7"/>
  <c r="D538" i="7"/>
  <c r="D540" i="7"/>
  <c r="D539" i="7"/>
  <c r="D542" i="7"/>
  <c r="D541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6" i="7"/>
  <c r="D555" i="7"/>
  <c r="D557" i="7"/>
  <c r="D558" i="7"/>
  <c r="D559" i="7"/>
  <c r="D561" i="7"/>
  <c r="D562" i="7"/>
  <c r="D563" i="7"/>
  <c r="D564" i="7"/>
  <c r="D565" i="7"/>
  <c r="D566" i="7"/>
  <c r="D567" i="7"/>
  <c r="D568" i="7"/>
  <c r="D569" i="7"/>
  <c r="D573" i="7"/>
  <c r="D572" i="7"/>
  <c r="D571" i="7"/>
  <c r="D570" i="7"/>
  <c r="D574" i="7"/>
  <c r="D576" i="7"/>
  <c r="D575" i="7"/>
  <c r="D577" i="7"/>
  <c r="D578" i="7"/>
  <c r="D580" i="7"/>
  <c r="D579" i="7"/>
  <c r="D581" i="7"/>
  <c r="D583" i="7"/>
  <c r="D584" i="7"/>
  <c r="D585" i="7"/>
  <c r="D587" i="7"/>
  <c r="D586" i="7"/>
  <c r="D588" i="7"/>
  <c r="D589" i="7"/>
  <c r="D590" i="7"/>
  <c r="D594" i="7"/>
  <c r="D592" i="7"/>
  <c r="D593" i="7"/>
  <c r="D597" i="7"/>
  <c r="D596" i="7"/>
  <c r="D595" i="7"/>
  <c r="D598" i="7"/>
  <c r="D599" i="7"/>
  <c r="D602" i="7"/>
  <c r="D603" i="7"/>
  <c r="D601" i="7"/>
  <c r="D604" i="7"/>
  <c r="D605" i="7"/>
  <c r="D606" i="7"/>
  <c r="D607" i="7"/>
  <c r="D609" i="7"/>
  <c r="D610" i="7"/>
  <c r="D608" i="7"/>
  <c r="D611" i="7"/>
  <c r="D612" i="7"/>
  <c r="D613" i="7"/>
  <c r="D614" i="7"/>
  <c r="D616" i="7"/>
  <c r="D618" i="7"/>
  <c r="D619" i="7"/>
  <c r="D617" i="7"/>
  <c r="D620" i="7"/>
  <c r="D622" i="7"/>
  <c r="D625" i="7"/>
  <c r="D626" i="7"/>
  <c r="D623" i="7"/>
  <c r="D624" i="7"/>
  <c r="D630" i="7"/>
  <c r="D629" i="7"/>
  <c r="D632" i="7"/>
  <c r="D631" i="7"/>
  <c r="D634" i="7"/>
  <c r="D633" i="7"/>
  <c r="D635" i="7"/>
  <c r="D636" i="7"/>
  <c r="D637" i="7"/>
  <c r="D638" i="7"/>
  <c r="D639" i="7"/>
  <c r="D640" i="7"/>
  <c r="D643" i="7"/>
  <c r="D641" i="7"/>
  <c r="D642" i="7"/>
  <c r="D645" i="7"/>
  <c r="D646" i="7"/>
  <c r="D648" i="7"/>
  <c r="D647" i="7"/>
  <c r="D649" i="7"/>
  <c r="D650" i="7"/>
  <c r="D651" i="7"/>
  <c r="D652" i="7"/>
  <c r="D653" i="7"/>
  <c r="D654" i="7"/>
  <c r="D657" i="7"/>
  <c r="D656" i="7"/>
  <c r="D658" i="7"/>
  <c r="D660" i="7"/>
  <c r="D659" i="7"/>
  <c r="D661" i="7"/>
  <c r="D662" i="7"/>
  <c r="D663" i="7"/>
  <c r="D664" i="7"/>
  <c r="D665" i="7"/>
  <c r="D671" i="7"/>
  <c r="D669" i="7"/>
  <c r="D667" i="7"/>
  <c r="D670" i="7"/>
  <c r="D672" i="7"/>
  <c r="D675" i="7"/>
  <c r="D676" i="7"/>
  <c r="D678" i="7"/>
  <c r="D673" i="7"/>
  <c r="D677" i="7"/>
  <c r="D674" i="7"/>
  <c r="D679" i="7"/>
  <c r="D680" i="7"/>
  <c r="D681" i="7"/>
  <c r="D682" i="7"/>
  <c r="D683" i="7"/>
  <c r="D684" i="7"/>
  <c r="D685" i="7"/>
  <c r="D688" i="7"/>
  <c r="D687" i="7"/>
  <c r="D686" i="7"/>
  <c r="D689" i="7"/>
  <c r="D690" i="7"/>
  <c r="D693" i="7"/>
  <c r="D692" i="7"/>
  <c r="D694" i="7"/>
  <c r="D695" i="7"/>
  <c r="D696" i="7"/>
  <c r="D697" i="7"/>
  <c r="D698" i="7"/>
  <c r="D699" i="7"/>
  <c r="D700" i="7"/>
  <c r="D701" i="7"/>
  <c r="D702" i="7"/>
  <c r="D704" i="7"/>
  <c r="D705" i="7"/>
  <c r="D706" i="7"/>
  <c r="D707" i="7"/>
  <c r="D708" i="7"/>
  <c r="D712" i="7"/>
  <c r="D711" i="7"/>
  <c r="D710" i="7"/>
  <c r="D709" i="7"/>
  <c r="D713" i="7"/>
  <c r="D715" i="7"/>
  <c r="D714" i="7"/>
  <c r="D717" i="7"/>
  <c r="D716" i="7"/>
  <c r="D718" i="7"/>
  <c r="D719" i="7"/>
  <c r="D723" i="7"/>
  <c r="D721" i="7"/>
  <c r="D722" i="7"/>
  <c r="D720" i="7"/>
  <c r="D725" i="7"/>
  <c r="D724" i="7"/>
  <c r="D726" i="7"/>
  <c r="D727" i="7"/>
  <c r="D728" i="7"/>
  <c r="D729" i="7"/>
  <c r="D731" i="7"/>
  <c r="D730" i="7"/>
  <c r="D732" i="7"/>
  <c r="D734" i="7"/>
  <c r="D733" i="7"/>
  <c r="D735" i="7"/>
  <c r="D736" i="7"/>
  <c r="D738" i="7"/>
  <c r="D737" i="7"/>
  <c r="D739" i="7"/>
  <c r="D741" i="7"/>
  <c r="D742" i="7"/>
  <c r="D740" i="7"/>
  <c r="D743" i="7"/>
  <c r="D745" i="7"/>
  <c r="D744" i="7"/>
  <c r="D746" i="7"/>
  <c r="D747" i="7"/>
  <c r="D749" i="7"/>
  <c r="D750" i="7"/>
  <c r="D748" i="7"/>
  <c r="D751" i="7"/>
  <c r="D752" i="7"/>
  <c r="D753" i="7"/>
  <c r="D757" i="7"/>
  <c r="D754" i="7"/>
  <c r="D755" i="7"/>
  <c r="D758" i="7"/>
  <c r="D759" i="7"/>
  <c r="D760" i="7"/>
  <c r="D764" i="7"/>
  <c r="D765" i="7"/>
  <c r="D768" i="7"/>
  <c r="D761" i="7"/>
  <c r="D762" i="7"/>
  <c r="D763" i="7"/>
  <c r="D767" i="7"/>
  <c r="D769" i="7"/>
  <c r="D770" i="7"/>
  <c r="D771" i="7"/>
  <c r="D773" i="7"/>
  <c r="D772" i="7"/>
  <c r="D774" i="7"/>
  <c r="D775" i="7"/>
  <c r="D776" i="7"/>
  <c r="D777" i="7"/>
  <c r="D778" i="7"/>
  <c r="D780" i="7"/>
  <c r="D781" i="7"/>
  <c r="D779" i="7"/>
  <c r="D782" i="7"/>
  <c r="D783" i="7"/>
  <c r="D785" i="7"/>
  <c r="D786" i="7"/>
  <c r="D787" i="7"/>
  <c r="D788" i="7"/>
  <c r="D789" i="7"/>
  <c r="D790" i="7"/>
  <c r="D792" i="7"/>
  <c r="D793" i="7"/>
  <c r="D795" i="7"/>
  <c r="D796" i="7"/>
  <c r="D798" i="7"/>
  <c r="D797" i="7"/>
  <c r="D800" i="7"/>
  <c r="D799" i="7"/>
  <c r="D806" i="7"/>
  <c r="D805" i="7"/>
  <c r="D804" i="7"/>
  <c r="D803" i="7"/>
  <c r="D802" i="7"/>
  <c r="D807" i="7"/>
  <c r="D809" i="7"/>
  <c r="D808" i="7"/>
  <c r="D810" i="7"/>
  <c r="D813" i="7"/>
  <c r="D811" i="7"/>
  <c r="D814" i="7"/>
  <c r="D815" i="7"/>
  <c r="D817" i="7"/>
  <c r="D816" i="7"/>
  <c r="D818" i="7"/>
  <c r="D819" i="7"/>
  <c r="D823" i="7"/>
  <c r="D820" i="7"/>
  <c r="D822" i="7"/>
  <c r="D824" i="7"/>
  <c r="D821" i="7"/>
  <c r="D825" i="7"/>
  <c r="D826" i="7"/>
  <c r="D829" i="7"/>
  <c r="D828" i="7"/>
  <c r="D830" i="7"/>
  <c r="D834" i="7"/>
  <c r="D833" i="7"/>
  <c r="D836" i="7"/>
  <c r="D835" i="7"/>
  <c r="D837" i="7"/>
  <c r="D839" i="7"/>
  <c r="D838" i="7"/>
  <c r="D841" i="7"/>
  <c r="D843" i="7"/>
  <c r="D844" i="7"/>
  <c r="D842" i="7"/>
  <c r="D846" i="7"/>
  <c r="D847" i="7"/>
  <c r="D850" i="7"/>
  <c r="D852" i="7"/>
  <c r="D849" i="7"/>
  <c r="D854" i="7"/>
  <c r="D853" i="7"/>
  <c r="D858" i="7"/>
  <c r="D859" i="7"/>
  <c r="D855" i="7"/>
  <c r="D856" i="7"/>
  <c r="D857" i="7"/>
  <c r="D861" i="7"/>
  <c r="D860" i="7"/>
  <c r="D863" i="7"/>
  <c r="D862" i="7"/>
  <c r="D864" i="7"/>
  <c r="D865" i="7"/>
  <c r="D867" i="7"/>
  <c r="D866" i="7"/>
  <c r="D868" i="7"/>
  <c r="D870" i="7"/>
  <c r="D871" i="7"/>
  <c r="D869" i="7"/>
  <c r="D872" i="7"/>
  <c r="D873" i="7"/>
  <c r="D876" i="7"/>
  <c r="D875" i="7"/>
  <c r="D878" i="7"/>
  <c r="D877" i="7"/>
  <c r="D879" i="7"/>
  <c r="D880" i="7"/>
  <c r="D881" i="7"/>
  <c r="D884" i="7"/>
  <c r="D883" i="7"/>
  <c r="D886" i="7"/>
  <c r="D887" i="7"/>
  <c r="D888" i="7"/>
  <c r="D889" i="7"/>
  <c r="D892" i="7"/>
  <c r="D891" i="7"/>
  <c r="D890" i="7"/>
  <c r="D895" i="7"/>
  <c r="D893" i="7"/>
  <c r="D896" i="7"/>
  <c r="D898" i="7"/>
  <c r="D897" i="7"/>
  <c r="D900" i="7"/>
  <c r="D901" i="7"/>
  <c r="D902" i="7"/>
  <c r="D903" i="7"/>
  <c r="D907" i="7"/>
  <c r="D904" i="7"/>
  <c r="D906" i="7"/>
  <c r="D905" i="7"/>
  <c r="D908" i="7"/>
  <c r="D909" i="7"/>
  <c r="D912" i="7"/>
  <c r="D911" i="7"/>
  <c r="D910" i="7"/>
  <c r="D913" i="7"/>
  <c r="D914" i="7"/>
  <c r="D916" i="7"/>
  <c r="D917" i="7"/>
  <c r="D915" i="7"/>
  <c r="D919" i="7"/>
  <c r="D920" i="7"/>
  <c r="D921" i="7"/>
  <c r="D918" i="7"/>
  <c r="D922" i="7"/>
  <c r="D923" i="7"/>
  <c r="D925" i="7"/>
  <c r="D924" i="7"/>
  <c r="D927" i="7"/>
  <c r="D929" i="7"/>
  <c r="D928" i="7"/>
  <c r="D932" i="7"/>
  <c r="D931" i="7"/>
  <c r="D933" i="7"/>
  <c r="D934" i="7"/>
  <c r="D937" i="7"/>
  <c r="D936" i="7"/>
  <c r="D935" i="7"/>
  <c r="D939" i="7"/>
  <c r="D938" i="7"/>
  <c r="D940" i="7"/>
  <c r="D941" i="7"/>
  <c r="D944" i="7"/>
  <c r="D943" i="7"/>
  <c r="D942" i="7"/>
  <c r="D945" i="7"/>
  <c r="D948" i="7"/>
  <c r="D946" i="7"/>
  <c r="D947" i="7"/>
  <c r="D950" i="7"/>
  <c r="D951" i="7"/>
  <c r="D949" i="7"/>
  <c r="D952" i="7"/>
  <c r="D953" i="7"/>
  <c r="D955" i="7"/>
  <c r="D954" i="7"/>
  <c r="D956" i="7"/>
  <c r="D958" i="7"/>
  <c r="D959" i="7"/>
  <c r="D961" i="7"/>
  <c r="D960" i="7"/>
  <c r="D963" i="7"/>
  <c r="D962" i="7"/>
  <c r="D964" i="7"/>
  <c r="D965" i="7"/>
  <c r="D969" i="7"/>
  <c r="D967" i="7"/>
  <c r="D966" i="7"/>
  <c r="D968" i="7"/>
  <c r="D971" i="7"/>
  <c r="D973" i="7"/>
  <c r="D974" i="7"/>
  <c r="D970" i="7"/>
  <c r="D972" i="7"/>
  <c r="D975" i="7"/>
  <c r="D976" i="7"/>
  <c r="D977" i="7"/>
  <c r="D978" i="7"/>
  <c r="D979" i="7"/>
  <c r="D981" i="7"/>
  <c r="D983" i="7"/>
  <c r="D982" i="7"/>
  <c r="D985" i="7"/>
  <c r="D986" i="7"/>
  <c r="D984" i="7"/>
  <c r="D987" i="7"/>
  <c r="D989" i="7"/>
  <c r="D988" i="7"/>
  <c r="D990" i="7"/>
  <c r="D994" i="7"/>
  <c r="D992" i="7"/>
  <c r="D995" i="7"/>
  <c r="D997" i="7"/>
  <c r="D996" i="7"/>
  <c r="D998" i="7"/>
  <c r="D999" i="7"/>
  <c r="D1000" i="7"/>
  <c r="D1001" i="7"/>
  <c r="D1004" i="7"/>
  <c r="D1003" i="7"/>
  <c r="D1002" i="7"/>
  <c r="D1005" i="7"/>
  <c r="D1006" i="7"/>
  <c r="D1007" i="7"/>
  <c r="D1008" i="7"/>
  <c r="D1010" i="7"/>
  <c r="D1011" i="7"/>
  <c r="D1013" i="7"/>
  <c r="D1012" i="7"/>
  <c r="D1016" i="7"/>
  <c r="D1017" i="7"/>
  <c r="D1019" i="7"/>
  <c r="D1020" i="7"/>
  <c r="D1021" i="7"/>
  <c r="D1024" i="7"/>
  <c r="D1022" i="7"/>
  <c r="D1023" i="7"/>
  <c r="D1027" i="7"/>
  <c r="D1025" i="7"/>
  <c r="D1029" i="7"/>
  <c r="D1028" i="7"/>
  <c r="D1032" i="7"/>
  <c r="D1030" i="7"/>
  <c r="D1031" i="7"/>
  <c r="D1036" i="7"/>
  <c r="D1033" i="7"/>
  <c r="D1034" i="7"/>
  <c r="D1035" i="7"/>
  <c r="D1037" i="7"/>
  <c r="D1038" i="7"/>
  <c r="D1039" i="7"/>
  <c r="D1042" i="7"/>
  <c r="D1044" i="7"/>
  <c r="D1041" i="7"/>
  <c r="D1045" i="7"/>
  <c r="D1046" i="7"/>
  <c r="D1049" i="7"/>
  <c r="D1047" i="7"/>
  <c r="D1048" i="7"/>
  <c r="D1050" i="7"/>
  <c r="D1052" i="7"/>
  <c r="D1051" i="7"/>
  <c r="D1055" i="7"/>
  <c r="D1053" i="7"/>
  <c r="D1054" i="7"/>
  <c r="D1058" i="7"/>
  <c r="D1057" i="7"/>
  <c r="D1059" i="7"/>
  <c r="D1060" i="7"/>
  <c r="D1061" i="7"/>
  <c r="D1064" i="7"/>
  <c r="D1062" i="7"/>
  <c r="D1063" i="7"/>
  <c r="D1067" i="7"/>
  <c r="D1066" i="7"/>
  <c r="D1070" i="7"/>
  <c r="D1068" i="7"/>
  <c r="D1071" i="7"/>
  <c r="D1072" i="7"/>
  <c r="D1074" i="7"/>
  <c r="D1075" i="7"/>
  <c r="D1077" i="7"/>
  <c r="D1078" i="7"/>
  <c r="D1080" i="7"/>
  <c r="D1079" i="7"/>
  <c r="D1084" i="7"/>
  <c r="D1081" i="7"/>
  <c r="D1083" i="7"/>
  <c r="D1082" i="7"/>
  <c r="D1085" i="7"/>
  <c r="D1086" i="7"/>
  <c r="D1088" i="7"/>
  <c r="D1090" i="7"/>
  <c r="D1092" i="7"/>
  <c r="D1087" i="7"/>
  <c r="D1089" i="7"/>
  <c r="D1096" i="7"/>
  <c r="D1095" i="7"/>
  <c r="D1098" i="7"/>
  <c r="D1097" i="7"/>
  <c r="D1099" i="7"/>
  <c r="D1100" i="7"/>
  <c r="D1103" i="7"/>
  <c r="D1102" i="7"/>
  <c r="D1101" i="7"/>
  <c r="D1104" i="7"/>
  <c r="D1105" i="7"/>
  <c r="D1107" i="7"/>
  <c r="D1106" i="7"/>
  <c r="D1108" i="7"/>
  <c r="D1109" i="7"/>
  <c r="D1111" i="7"/>
  <c r="D1112" i="7"/>
  <c r="D1113" i="7"/>
  <c r="D1115" i="7"/>
  <c r="D1114" i="7"/>
  <c r="D1116" i="7"/>
  <c r="D1118" i="7"/>
  <c r="D1117" i="7"/>
  <c r="D1119" i="7"/>
  <c r="D1121" i="7"/>
  <c r="D1122" i="7"/>
  <c r="D1123" i="7"/>
  <c r="D1125" i="7"/>
  <c r="D1126" i="7"/>
  <c r="D1124" i="7"/>
  <c r="D1128" i="7"/>
  <c r="D1130" i="7"/>
  <c r="D1132" i="7"/>
  <c r="D1136" i="7"/>
  <c r="D1137" i="7"/>
  <c r="D1133" i="7"/>
  <c r="D1134" i="7"/>
  <c r="D1135" i="7"/>
  <c r="D1138" i="7"/>
  <c r="D1140" i="7"/>
  <c r="D1139" i="7"/>
  <c r="D1142" i="7"/>
  <c r="D1143" i="7"/>
  <c r="D1141" i="7"/>
  <c r="D1145" i="7"/>
  <c r="D1144" i="7"/>
  <c r="D1147" i="7"/>
  <c r="D1146" i="7"/>
  <c r="D1148" i="7"/>
  <c r="D1153" i="7"/>
  <c r="D1152" i="7"/>
  <c r="D1151" i="7"/>
  <c r="D1150" i="7"/>
  <c r="D1149" i="7"/>
  <c r="D1155" i="7"/>
  <c r="D1154" i="7"/>
  <c r="D1156" i="7"/>
  <c r="D1157" i="7"/>
  <c r="D1159" i="7"/>
  <c r="D1160" i="7"/>
  <c r="D1161" i="7"/>
  <c r="D1166" i="7"/>
  <c r="D1164" i="7"/>
  <c r="D1165" i="7"/>
  <c r="D1162" i="7"/>
  <c r="D1168" i="7"/>
  <c r="D1167" i="7"/>
  <c r="D1169" i="7"/>
  <c r="D1171" i="7"/>
  <c r="D1172" i="7"/>
  <c r="D1173" i="7"/>
  <c r="D1175" i="7"/>
  <c r="D1176" i="7"/>
  <c r="D1177" i="7"/>
  <c r="D1178" i="7"/>
  <c r="D1174" i="7"/>
  <c r="D1179" i="7"/>
  <c r="D1181" i="7"/>
  <c r="D1180" i="7"/>
  <c r="D1182" i="7"/>
  <c r="D1183" i="7"/>
  <c r="D1184" i="7"/>
  <c r="D1186" i="7"/>
  <c r="D1189" i="7"/>
  <c r="D1188" i="7"/>
  <c r="D1187" i="7"/>
  <c r="D1192" i="7"/>
  <c r="D1193" i="7"/>
  <c r="D1191" i="7"/>
  <c r="D1190" i="7"/>
  <c r="D1196" i="7"/>
  <c r="D1197" i="7"/>
  <c r="D1201" i="7"/>
  <c r="D1200" i="7"/>
  <c r="D1198" i="7"/>
  <c r="D1203" i="7"/>
  <c r="D1204" i="7"/>
  <c r="D1202" i="7"/>
  <c r="D1205" i="7"/>
  <c r="D1207" i="7"/>
  <c r="D1206" i="7"/>
  <c r="D1208" i="7"/>
  <c r="D1209" i="7"/>
  <c r="D1210" i="7"/>
  <c r="D1211" i="7"/>
  <c r="D1215" i="7"/>
  <c r="D1214" i="7"/>
  <c r="D1212" i="7"/>
  <c r="D1217" i="7"/>
  <c r="D1216" i="7"/>
  <c r="D1213" i="7"/>
  <c r="D1218" i="7"/>
  <c r="D1219" i="7"/>
  <c r="D1226" i="7"/>
  <c r="D1222" i="7"/>
  <c r="D1225" i="7"/>
  <c r="D1221" i="7"/>
  <c r="D1223" i="7"/>
  <c r="D1224" i="7"/>
  <c r="D1230" i="7"/>
  <c r="D1229" i="7"/>
  <c r="D1227" i="7"/>
  <c r="D1231" i="7"/>
  <c r="D1233" i="7"/>
  <c r="D1232" i="7"/>
  <c r="D1234" i="7"/>
  <c r="D1236" i="7"/>
  <c r="D1235" i="7"/>
  <c r="D1237" i="7"/>
  <c r="D1238" i="7"/>
  <c r="D1241" i="7"/>
  <c r="D1240" i="7"/>
  <c r="D1242" i="7"/>
  <c r="D1245" i="7"/>
  <c r="D1243" i="7"/>
  <c r="D1244" i="7"/>
  <c r="D1248" i="7"/>
  <c r="D1247" i="7"/>
  <c r="D1246" i="7"/>
  <c r="D1251" i="7"/>
  <c r="D1250" i="7"/>
  <c r="D1249" i="7"/>
  <c r="D1252" i="7"/>
  <c r="D1255" i="7"/>
  <c r="D1254" i="7"/>
  <c r="D1256" i="7"/>
  <c r="D1258" i="7"/>
  <c r="D1257" i="7"/>
  <c r="D1259" i="7"/>
  <c r="D1262" i="7"/>
  <c r="D1261" i="7"/>
  <c r="D1260" i="7"/>
  <c r="D1263" i="7"/>
  <c r="D1264" i="7"/>
  <c r="D1267" i="7"/>
  <c r="D1266" i="7"/>
  <c r="D1268" i="7"/>
  <c r="D1269" i="7"/>
  <c r="D1274" i="7"/>
  <c r="D1271" i="7"/>
  <c r="D1272" i="7"/>
  <c r="D1270" i="7"/>
  <c r="D1273" i="7"/>
  <c r="D1275" i="7"/>
  <c r="D1276" i="7"/>
  <c r="D1277" i="7"/>
  <c r="D1279" i="7"/>
  <c r="D1278" i="7"/>
  <c r="D1284" i="7"/>
  <c r="D1283" i="7"/>
  <c r="D1281" i="7"/>
  <c r="D1288" i="7"/>
  <c r="D1286" i="7"/>
  <c r="D1285" i="7"/>
  <c r="D1287" i="7"/>
  <c r="D1290" i="7"/>
  <c r="D1291" i="7"/>
  <c r="D1289" i="7"/>
  <c r="D1295" i="7"/>
  <c r="D1294" i="7"/>
  <c r="D1293" i="7"/>
  <c r="D1296" i="7"/>
  <c r="D1292" i="7"/>
  <c r="D1298" i="7"/>
  <c r="D1303" i="7"/>
  <c r="D1302" i="7"/>
  <c r="D1299" i="7"/>
  <c r="D1301" i="7"/>
  <c r="D1300" i="7"/>
  <c r="D1305" i="7"/>
  <c r="D1304" i="7"/>
  <c r="D1307" i="7"/>
  <c r="D1306" i="7"/>
  <c r="D1309" i="7"/>
  <c r="D1314" i="7"/>
  <c r="D1313" i="7"/>
  <c r="D1312" i="7"/>
  <c r="D1315" i="7"/>
  <c r="D1316" i="7"/>
  <c r="D1318" i="7"/>
  <c r="D1317" i="7"/>
  <c r="D1321" i="7"/>
  <c r="D1320" i="7"/>
  <c r="D1322" i="7"/>
  <c r="D1323" i="7"/>
  <c r="D1326" i="7"/>
  <c r="D1325" i="7"/>
  <c r="D1324" i="7"/>
  <c r="D1329" i="7"/>
  <c r="D1328" i="7"/>
  <c r="D1330" i="7"/>
  <c r="D1332" i="7"/>
  <c r="D1334" i="7"/>
  <c r="D1331" i="7"/>
  <c r="D1336" i="7"/>
  <c r="D1337" i="7"/>
  <c r="D1338" i="7"/>
  <c r="D1344" i="7"/>
  <c r="D1342" i="7"/>
  <c r="D1343" i="7"/>
  <c r="D1340" i="7"/>
  <c r="D1347" i="7"/>
  <c r="D1346" i="7"/>
  <c r="D1345" i="7"/>
  <c r="D1351" i="7"/>
  <c r="D1348" i="7"/>
  <c r="D1350" i="7"/>
  <c r="D1349" i="7"/>
  <c r="D1354" i="7"/>
  <c r="D1355" i="7"/>
  <c r="D1356" i="7"/>
  <c r="D1362" i="7"/>
  <c r="D1365" i="7"/>
  <c r="D1358" i="7"/>
  <c r="D1364" i="7"/>
  <c r="D1361" i="7"/>
  <c r="D1363" i="7"/>
  <c r="D1360" i="7"/>
  <c r="D1359" i="7"/>
  <c r="D1357" i="7"/>
  <c r="D1368" i="7"/>
  <c r="D1366" i="7"/>
  <c r="D1374" i="7"/>
  <c r="D1375" i="7"/>
  <c r="D1376" i="7"/>
  <c r="D1373" i="7"/>
  <c r="D1371" i="7"/>
  <c r="D1378" i="7"/>
  <c r="D1377" i="7"/>
  <c r="D1381" i="7"/>
  <c r="D1380" i="7"/>
  <c r="D1382" i="7"/>
  <c r="D1384" i="7"/>
  <c r="D1387" i="7"/>
  <c r="D1388" i="7"/>
  <c r="D1385" i="7"/>
  <c r="D1391" i="7"/>
  <c r="D1389" i="7"/>
  <c r="D1390" i="7"/>
  <c r="D1392" i="7"/>
  <c r="D1395" i="7"/>
  <c r="D1393" i="7"/>
  <c r="D1396" i="7"/>
  <c r="D1397" i="7"/>
  <c r="D1398" i="7"/>
  <c r="D1402" i="7"/>
  <c r="D1400" i="7"/>
  <c r="D1401" i="7"/>
  <c r="D1403" i="7"/>
  <c r="D1404" i="7"/>
  <c r="D1409" i="7"/>
  <c r="D1407" i="7"/>
  <c r="D1406" i="7"/>
  <c r="D1405" i="7"/>
  <c r="D1408" i="7"/>
  <c r="D1414" i="7"/>
  <c r="D1410" i="7"/>
  <c r="D1413" i="7"/>
  <c r="D1412" i="7"/>
  <c r="D1411" i="7"/>
  <c r="D1416" i="7"/>
  <c r="D1418" i="7"/>
  <c r="D1417" i="7"/>
  <c r="D1419" i="7"/>
  <c r="D1423" i="7"/>
  <c r="D1421" i="7"/>
  <c r="D1422" i="7"/>
  <c r="D1424" i="7"/>
  <c r="D1426" i="7"/>
  <c r="D1427" i="7"/>
  <c r="D1425" i="7"/>
  <c r="D1431" i="7"/>
  <c r="D1429" i="7"/>
  <c r="D1428" i="7"/>
  <c r="D1430" i="7"/>
  <c r="D1433" i="7"/>
  <c r="D1432" i="7"/>
  <c r="D1436" i="7"/>
  <c r="D1437" i="7"/>
  <c r="D1438" i="7"/>
  <c r="D1434" i="7"/>
  <c r="D1435" i="7"/>
  <c r="D1441" i="7"/>
  <c r="D1439" i="7"/>
  <c r="D1440" i="7"/>
  <c r="D1443" i="7"/>
  <c r="D1448" i="7"/>
  <c r="D1447" i="7"/>
  <c r="D1450" i="7"/>
  <c r="D1451" i="7"/>
  <c r="D1449" i="7"/>
  <c r="D1456" i="7"/>
  <c r="D1455" i="7"/>
  <c r="D1457" i="7"/>
  <c r="D1453" i="7"/>
  <c r="D1454" i="7"/>
  <c r="D1458" i="7"/>
  <c r="D1459" i="7"/>
  <c r="D1462" i="7"/>
  <c r="D1465" i="7"/>
  <c r="D1464" i="7"/>
  <c r="D1463" i="7"/>
  <c r="D1467" i="7"/>
  <c r="D1469" i="7"/>
  <c r="D1470" i="7"/>
  <c r="D1472" i="7"/>
  <c r="D1473" i="7"/>
  <c r="D1471" i="7"/>
  <c r="D1475" i="7"/>
  <c r="D1474" i="7"/>
  <c r="D1476" i="7"/>
  <c r="D1479" i="7"/>
  <c r="D1478" i="7"/>
  <c r="D1480" i="7"/>
  <c r="D1482" i="7"/>
  <c r="D1481" i="7"/>
  <c r="D1485" i="7"/>
  <c r="D1484" i="7"/>
  <c r="D1486" i="7"/>
  <c r="D1489" i="7"/>
  <c r="D1490" i="7"/>
  <c r="D1487" i="7"/>
  <c r="D1488" i="7"/>
  <c r="D1491" i="7"/>
  <c r="D1493" i="7"/>
  <c r="D1492" i="7"/>
  <c r="D1499" i="7"/>
  <c r="D1497" i="7"/>
  <c r="D1495" i="7"/>
  <c r="D1498" i="7"/>
  <c r="D1496" i="7"/>
  <c r="D1501" i="7"/>
  <c r="D1505" i="7"/>
  <c r="D1502" i="7"/>
  <c r="D1500" i="7"/>
  <c r="D1504" i="7"/>
  <c r="D1508" i="7"/>
  <c r="D1507" i="7"/>
  <c r="D1506" i="7"/>
  <c r="D1509" i="7"/>
  <c r="D1512" i="7"/>
  <c r="D1510" i="7"/>
  <c r="D1511" i="7"/>
  <c r="D1515" i="7"/>
  <c r="D1513" i="7"/>
  <c r="D1514" i="7"/>
  <c r="D1516" i="7"/>
  <c r="D1523" i="7"/>
  <c r="D1521" i="7"/>
  <c r="D1518" i="7"/>
  <c r="D1517" i="7"/>
  <c r="D1519" i="7"/>
  <c r="D1520" i="7"/>
  <c r="D1522" i="7"/>
  <c r="D1526" i="7"/>
  <c r="D1525" i="7"/>
  <c r="D1528" i="7"/>
  <c r="D1527" i="7"/>
  <c r="D1533" i="7"/>
  <c r="D1531" i="7"/>
  <c r="D1532" i="7"/>
  <c r="D1534" i="7"/>
  <c r="D1535" i="7"/>
  <c r="D1537" i="7"/>
  <c r="D1536" i="7"/>
  <c r="D1542" i="7"/>
  <c r="D1540" i="7"/>
  <c r="D1544" i="7"/>
  <c r="D1543" i="7"/>
  <c r="D1541" i="7"/>
  <c r="D1548" i="7"/>
  <c r="D1549" i="7"/>
  <c r="D1550" i="7"/>
  <c r="D1552" i="7"/>
  <c r="D1551" i="7"/>
  <c r="D1557" i="7"/>
  <c r="D1559" i="7"/>
  <c r="D1555" i="7"/>
  <c r="D1553" i="7"/>
  <c r="D1554" i="7"/>
  <c r="D1556" i="7"/>
  <c r="D1558" i="7"/>
  <c r="D1560" i="7"/>
  <c r="D1562" i="7"/>
  <c r="D1563" i="7"/>
  <c r="D1561" i="7"/>
  <c r="D1564" i="7"/>
  <c r="D1569" i="7"/>
  <c r="D1568" i="7"/>
  <c r="D1565" i="7"/>
  <c r="D1566" i="7"/>
  <c r="D1575" i="7"/>
  <c r="D1570" i="7"/>
  <c r="D1573" i="7"/>
  <c r="D1572" i="7"/>
  <c r="D1571" i="7"/>
  <c r="D1574" i="7"/>
  <c r="D1577" i="7"/>
  <c r="D1579" i="7"/>
  <c r="D1580" i="7"/>
  <c r="D1583" i="7"/>
  <c r="D1582" i="7"/>
  <c r="D1581" i="7"/>
  <c r="D1584" i="7"/>
  <c r="D1585" i="7"/>
  <c r="D1587" i="7"/>
  <c r="D1586" i="7"/>
  <c r="D1588" i="7"/>
  <c r="D1589" i="7"/>
  <c r="D1590" i="7"/>
  <c r="D1591" i="7"/>
  <c r="D1592" i="7"/>
  <c r="D1594" i="7"/>
  <c r="D1593" i="7"/>
  <c r="D1597" i="7"/>
  <c r="D1599" i="7"/>
  <c r="D1596" i="7"/>
  <c r="D1602" i="7"/>
  <c r="D1601" i="7"/>
  <c r="D1605" i="7"/>
  <c r="D1604" i="7"/>
  <c r="D1606" i="7"/>
  <c r="D1607" i="7"/>
  <c r="D1609" i="7"/>
  <c r="D1611" i="7"/>
  <c r="D1610" i="7"/>
  <c r="D1612" i="7"/>
  <c r="D1615" i="7"/>
  <c r="D1616" i="7"/>
  <c r="D1624" i="7"/>
  <c r="D1625" i="7"/>
  <c r="D1621" i="7"/>
  <c r="D1619" i="7"/>
  <c r="D1622" i="7"/>
  <c r="D1618" i="7"/>
  <c r="D1620" i="7"/>
  <c r="D1626" i="7"/>
  <c r="D1617" i="7"/>
  <c r="D1623" i="7"/>
  <c r="D1628" i="7"/>
  <c r="D1629" i="7"/>
  <c r="D1630" i="7"/>
  <c r="D1631" i="7"/>
  <c r="D1632" i="7"/>
  <c r="D1635" i="7"/>
  <c r="D1633" i="7"/>
  <c r="D1634" i="7"/>
  <c r="D1637" i="7"/>
  <c r="D1639" i="7"/>
  <c r="D1638" i="7"/>
  <c r="D1640" i="7"/>
  <c r="D1642" i="7"/>
  <c r="D1643" i="7"/>
  <c r="D1646" i="7"/>
  <c r="D1645" i="7"/>
  <c r="D1648" i="7"/>
  <c r="D1650" i="7"/>
  <c r="D1649" i="7"/>
  <c r="D1647" i="7"/>
  <c r="D1655" i="7"/>
  <c r="D1654" i="7"/>
  <c r="D1652" i="7"/>
  <c r="D1653" i="7"/>
  <c r="D1651" i="7"/>
  <c r="D1657" i="7"/>
  <c r="D1662" i="7"/>
  <c r="D1660" i="7"/>
  <c r="D1659" i="7"/>
  <c r="D1658" i="7"/>
  <c r="D1661" i="7"/>
  <c r="D1664" i="7"/>
  <c r="D1663" i="7"/>
  <c r="D1667" i="7"/>
  <c r="D1666" i="7"/>
  <c r="D1670" i="7"/>
  <c r="D1668" i="7"/>
  <c r="D1665" i="7"/>
  <c r="D1669" i="7"/>
  <c r="D1672" i="7"/>
  <c r="D1673" i="7"/>
  <c r="D1671" i="7"/>
  <c r="D1674" i="7"/>
  <c r="D1676" i="7"/>
  <c r="D1675" i="7"/>
  <c r="D1678" i="7"/>
  <c r="D1679" i="7"/>
  <c r="D1681" i="7"/>
  <c r="D1677" i="7"/>
  <c r="D1683" i="7"/>
  <c r="D1682" i="7"/>
  <c r="D1685" i="7"/>
  <c r="D1684" i="7"/>
  <c r="D1686" i="7"/>
  <c r="D1689" i="7"/>
  <c r="D1688" i="7"/>
  <c r="D1692" i="7"/>
  <c r="D1691" i="7"/>
  <c r="D1690" i="7"/>
  <c r="D1693" i="7"/>
  <c r="D1695" i="7"/>
  <c r="D1697" i="7"/>
  <c r="D1698" i="7"/>
  <c r="D1703" i="7"/>
  <c r="D1701" i="7"/>
  <c r="D1699" i="7"/>
  <c r="D1702" i="7"/>
  <c r="D1700" i="7"/>
  <c r="D1704" i="7"/>
  <c r="D1706" i="7"/>
  <c r="D1705" i="7"/>
  <c r="D1707" i="7"/>
  <c r="D1708" i="7"/>
  <c r="D1711" i="7"/>
  <c r="D1710" i="7"/>
  <c r="D1712" i="7"/>
  <c r="D1715" i="7"/>
  <c r="D1716" i="7"/>
  <c r="D1718" i="7"/>
  <c r="D1720" i="7"/>
  <c r="D1719" i="7"/>
  <c r="D1725" i="7"/>
  <c r="D1722" i="7"/>
  <c r="D1724" i="7"/>
  <c r="D1721" i="7"/>
  <c r="D1729" i="7"/>
  <c r="D1732" i="7"/>
  <c r="D1727" i="7"/>
  <c r="D1731" i="7"/>
  <c r="D1730" i="7"/>
  <c r="D1728" i="7"/>
  <c r="D1726" i="7"/>
  <c r="D1734" i="7"/>
  <c r="D1733" i="7"/>
  <c r="D1738" i="7"/>
  <c r="D1739" i="7"/>
  <c r="D1740" i="7"/>
  <c r="D1743" i="7"/>
  <c r="D1741" i="7"/>
  <c r="D1742" i="7"/>
  <c r="D1746" i="7"/>
  <c r="D1747" i="7"/>
  <c r="D1745" i="7"/>
  <c r="D1749" i="7"/>
  <c r="D1752" i="7"/>
  <c r="D1753" i="7"/>
  <c r="D1748" i="7"/>
  <c r="D1750" i="7"/>
  <c r="D1751" i="7"/>
  <c r="D1756" i="7"/>
  <c r="D1758" i="7"/>
  <c r="D1757" i="7"/>
  <c r="D1755" i="7"/>
  <c r="D1754" i="7"/>
  <c r="D1761" i="7"/>
  <c r="D1760" i="7"/>
  <c r="D1766" i="7"/>
  <c r="D1763" i="7"/>
  <c r="D1764" i="7"/>
  <c r="D1767" i="7"/>
  <c r="D1768" i="7"/>
  <c r="D1773" i="7"/>
  <c r="D1769" i="7"/>
  <c r="D1771" i="7"/>
  <c r="D1772" i="7"/>
  <c r="D1774" i="7"/>
  <c r="D1770" i="7"/>
  <c r="D1776" i="7"/>
  <c r="D1777" i="7"/>
  <c r="D1778" i="7"/>
  <c r="D1781" i="7"/>
  <c r="D1780" i="7"/>
  <c r="D1783" i="7"/>
  <c r="D1782" i="7"/>
  <c r="D1787" i="7"/>
  <c r="D1785" i="7"/>
  <c r="D1786" i="7"/>
  <c r="D1788" i="7"/>
  <c r="D1789" i="7"/>
  <c r="D1792" i="7"/>
  <c r="D1790" i="7"/>
  <c r="D1796" i="7"/>
  <c r="D1794" i="7"/>
  <c r="D1795" i="7"/>
  <c r="D1798" i="7"/>
  <c r="D1800" i="7"/>
  <c r="D1799" i="7"/>
  <c r="D1801" i="7"/>
  <c r="D1804" i="7"/>
  <c r="D1805" i="7"/>
  <c r="D1803" i="7"/>
  <c r="D1807" i="7"/>
  <c r="D1808" i="7"/>
  <c r="D1806" i="7"/>
  <c r="D1813" i="7"/>
  <c r="D1815" i="7"/>
  <c r="D1810" i="7"/>
  <c r="D1812" i="7"/>
  <c r="D1814" i="7"/>
  <c r="D1809" i="7"/>
  <c r="D1816" i="7"/>
  <c r="D1817" i="7"/>
  <c r="D1821" i="7"/>
  <c r="D1818" i="7"/>
  <c r="D1825" i="7"/>
  <c r="D1824" i="7"/>
  <c r="D1820" i="7"/>
  <c r="D1819" i="7"/>
  <c r="D1826" i="7"/>
  <c r="D1830" i="7"/>
  <c r="D1828" i="7"/>
  <c r="D1829" i="7"/>
  <c r="D1827" i="7"/>
  <c r="D1832" i="7"/>
  <c r="D1831" i="7"/>
  <c r="D1834" i="7"/>
  <c r="D1838" i="7"/>
  <c r="D1835" i="7"/>
  <c r="D1836" i="7"/>
  <c r="D1837" i="7"/>
  <c r="D1839" i="7"/>
  <c r="D1842" i="7"/>
  <c r="D1840" i="7"/>
  <c r="D1843" i="7"/>
  <c r="D1844" i="7"/>
  <c r="D1848" i="7"/>
  <c r="D1849" i="7"/>
  <c r="D1850" i="7"/>
  <c r="D1851" i="7"/>
  <c r="D1853" i="7"/>
  <c r="D1854" i="7"/>
  <c r="D1856" i="7"/>
  <c r="D1855" i="7"/>
  <c r="D1857" i="7"/>
  <c r="D1859" i="7"/>
  <c r="D1860" i="7"/>
  <c r="D1858" i="7"/>
  <c r="D1862" i="7"/>
  <c r="D1863" i="7"/>
  <c r="D1866" i="7"/>
  <c r="D1864" i="7"/>
  <c r="D1870" i="7"/>
  <c r="D1868" i="7"/>
  <c r="D1872" i="7"/>
  <c r="D1876" i="7"/>
  <c r="D1873" i="7"/>
  <c r="D1874" i="7"/>
  <c r="D1875" i="7"/>
  <c r="D1871" i="7"/>
  <c r="D1881" i="7"/>
  <c r="D1882" i="7"/>
  <c r="D1878" i="7"/>
  <c r="D1880" i="7"/>
  <c r="D1879" i="7"/>
  <c r="D1877" i="7"/>
  <c r="D1884" i="7"/>
  <c r="D1883" i="7"/>
  <c r="D1888" i="7"/>
  <c r="D1885" i="7"/>
  <c r="D1886" i="7"/>
  <c r="D1892" i="7"/>
  <c r="D1893" i="7"/>
  <c r="D1891" i="7"/>
  <c r="D1890" i="7"/>
  <c r="D1894" i="7"/>
  <c r="D1897" i="7"/>
  <c r="D1896" i="7"/>
  <c r="D1900" i="7"/>
  <c r="D1899" i="7"/>
  <c r="D1898" i="7"/>
  <c r="D1902" i="7"/>
  <c r="D1903" i="7"/>
  <c r="D1906" i="7"/>
  <c r="D1904" i="7"/>
  <c r="D1912" i="7"/>
  <c r="D1911" i="7"/>
  <c r="D1910" i="7"/>
  <c r="D1907" i="7"/>
  <c r="D1909" i="7"/>
  <c r="D1913" i="7"/>
  <c r="D1914" i="7"/>
  <c r="D1920" i="7"/>
  <c r="D1915" i="7"/>
  <c r="D1916" i="7"/>
  <c r="D1919" i="7"/>
  <c r="D1918" i="7"/>
  <c r="D1924" i="7"/>
  <c r="D1922" i="7"/>
  <c r="D1921" i="7"/>
  <c r="D1923" i="7"/>
  <c r="D1925" i="7"/>
  <c r="D1926" i="7"/>
  <c r="D1927" i="7"/>
  <c r="D1928" i="7"/>
  <c r="D1930" i="7"/>
  <c r="D1936" i="7"/>
  <c r="D1935" i="7"/>
  <c r="D1934" i="7"/>
  <c r="D1932" i="7"/>
  <c r="D1933" i="7"/>
  <c r="D1939" i="7"/>
  <c r="D1940" i="7"/>
  <c r="D1941" i="7"/>
  <c r="D1938" i="7"/>
  <c r="D1943" i="7"/>
  <c r="D1944" i="7"/>
  <c r="D1947" i="7"/>
  <c r="D1946" i="7"/>
  <c r="D1948" i="7"/>
  <c r="D1951" i="7"/>
  <c r="D1952" i="7"/>
  <c r="D1953" i="7"/>
  <c r="D1956" i="7"/>
  <c r="D1954" i="7"/>
  <c r="D1955" i="7"/>
  <c r="D1963" i="7"/>
  <c r="D1961" i="7"/>
  <c r="D1960" i="7"/>
  <c r="D1957" i="7"/>
  <c r="D1964" i="7"/>
  <c r="D1967" i="7"/>
  <c r="D1968" i="7"/>
  <c r="D1965" i="7"/>
  <c r="D1971" i="7"/>
  <c r="D1969" i="7"/>
  <c r="D1970" i="7"/>
  <c r="D1973" i="7"/>
  <c r="D1974" i="7"/>
  <c r="D1978" i="7"/>
  <c r="D1976" i="7"/>
  <c r="D1975" i="7"/>
  <c r="D1979" i="7"/>
  <c r="D1977" i="7"/>
  <c r="D1984" i="7"/>
  <c r="D1982" i="7"/>
  <c r="D1983" i="7"/>
  <c r="D1980" i="7"/>
  <c r="D1981" i="7"/>
  <c r="D1987" i="7"/>
  <c r="D1986" i="7"/>
  <c r="D1985" i="7"/>
  <c r="D1988" i="7"/>
  <c r="D1990" i="7"/>
  <c r="D1995" i="7"/>
  <c r="D1989" i="7"/>
  <c r="D1992" i="7"/>
  <c r="D1991" i="7"/>
  <c r="D1993" i="7"/>
  <c r="D2005" i="7"/>
  <c r="D2006" i="7"/>
  <c r="D1997" i="7"/>
  <c r="D1998" i="7"/>
  <c r="D2002" i="7"/>
  <c r="D2003" i="7"/>
  <c r="D2001" i="7"/>
  <c r="D2004" i="7"/>
  <c r="D2007" i="7"/>
  <c r="D2010" i="7"/>
  <c r="D2009" i="7"/>
  <c r="D2012" i="7"/>
  <c r="D2014" i="7"/>
  <c r="D2013" i="7"/>
  <c r="D2011" i="7"/>
  <c r="D2017" i="7"/>
  <c r="D2016" i="7"/>
  <c r="D2020" i="7"/>
  <c r="D2019" i="7"/>
  <c r="D2018" i="7"/>
  <c r="D2025" i="7"/>
  <c r="D2026" i="7"/>
  <c r="D2022" i="7"/>
  <c r="D2023" i="7"/>
  <c r="D2027" i="7"/>
  <c r="D2028" i="7"/>
  <c r="D2029" i="7"/>
  <c r="D2034" i="7"/>
  <c r="D2033" i="7"/>
  <c r="D2031" i="7"/>
  <c r="D2035" i="7"/>
  <c r="D2032" i="7"/>
  <c r="D2041" i="7"/>
  <c r="D2039" i="7"/>
  <c r="D2038" i="7"/>
  <c r="D2044" i="7"/>
  <c r="D2042" i="7"/>
  <c r="D2049" i="7"/>
  <c r="D2046" i="7"/>
  <c r="D2045" i="7"/>
  <c r="D2047" i="7"/>
  <c r="D2053" i="7"/>
  <c r="D2052" i="7"/>
  <c r="D2051" i="7"/>
  <c r="D2050" i="7"/>
  <c r="D2058" i="7"/>
  <c r="D2059" i="7"/>
  <c r="D2057" i="7"/>
  <c r="D2056" i="7"/>
  <c r="D2054" i="7"/>
  <c r="D2055" i="7"/>
  <c r="D2061" i="7"/>
  <c r="D2060" i="7"/>
  <c r="D2066" i="7"/>
  <c r="D2065" i="7"/>
  <c r="D2067" i="7"/>
  <c r="D2068" i="7"/>
  <c r="D2069" i="7"/>
  <c r="D2062" i="7"/>
  <c r="D2071" i="7"/>
  <c r="D2070" i="7"/>
  <c r="D2072" i="7"/>
  <c r="D2073" i="7"/>
  <c r="D2076" i="7"/>
  <c r="D2077" i="7"/>
  <c r="D2078" i="7"/>
  <c r="D2079" i="7"/>
  <c r="D2080" i="7"/>
  <c r="D2083" i="7"/>
  <c r="D2081" i="7"/>
  <c r="D2085" i="7"/>
  <c r="D2084" i="7"/>
  <c r="D2086" i="7"/>
  <c r="D2091" i="7"/>
  <c r="D2089" i="7"/>
  <c r="D2087" i="7"/>
  <c r="D2096" i="7"/>
  <c r="D2095" i="7"/>
  <c r="D2093" i="7"/>
  <c r="D2092" i="7"/>
  <c r="D2102" i="7"/>
  <c r="D2097" i="7"/>
  <c r="D2100" i="7"/>
  <c r="D2101" i="7"/>
  <c r="D2099" i="7"/>
  <c r="D2106" i="7"/>
  <c r="D2105" i="7"/>
  <c r="D2103" i="7"/>
  <c r="D2104" i="7"/>
  <c r="D2111" i="7"/>
  <c r="D2112" i="7"/>
  <c r="D2109" i="7"/>
  <c r="D2107" i="7"/>
  <c r="D2108" i="7"/>
  <c r="D2110" i="7"/>
  <c r="D2115" i="7"/>
  <c r="D2114" i="7"/>
  <c r="D2113" i="7"/>
  <c r="D2119" i="7"/>
  <c r="D2118" i="7"/>
  <c r="D2120" i="7"/>
  <c r="D2116" i="7"/>
  <c r="D2117" i="7"/>
  <c r="D2124" i="7"/>
  <c r="D2123" i="7"/>
  <c r="D2122" i="7"/>
  <c r="D2121" i="7"/>
  <c r="D2127" i="7"/>
  <c r="D2126" i="7"/>
  <c r="D2125" i="7"/>
  <c r="D2131" i="7"/>
  <c r="D2130" i="7"/>
  <c r="D2128" i="7"/>
  <c r="D2129" i="7"/>
  <c r="D2135" i="7"/>
  <c r="D2134" i="7"/>
  <c r="D2133" i="7"/>
  <c r="D2132" i="7"/>
  <c r="D2137" i="7"/>
  <c r="D2138" i="7"/>
  <c r="D2140" i="7"/>
  <c r="D2146" i="7"/>
  <c r="D2145" i="7"/>
  <c r="D2144" i="7"/>
  <c r="D2142" i="7"/>
  <c r="D2141" i="7"/>
  <c r="D2143" i="7"/>
  <c r="D2149" i="7"/>
  <c r="D2152" i="7"/>
  <c r="D2157" i="7"/>
  <c r="D2156" i="7"/>
  <c r="D2154" i="7"/>
  <c r="D2153" i="7"/>
  <c r="D2162" i="7"/>
  <c r="D2161" i="7"/>
  <c r="D2160" i="7"/>
  <c r="D2158" i="7"/>
  <c r="D2159" i="7"/>
  <c r="D2166" i="7"/>
  <c r="D2165" i="7"/>
  <c r="D2172" i="7"/>
  <c r="D2168" i="7"/>
  <c r="D2169" i="7"/>
  <c r="D2170" i="7"/>
  <c r="D2177" i="7"/>
  <c r="D2176" i="7"/>
  <c r="D2174" i="7"/>
  <c r="D2178" i="7"/>
  <c r="D2183" i="7"/>
  <c r="D2181" i="7"/>
  <c r="D2179" i="7"/>
  <c r="D2182" i="7"/>
  <c r="D2180" i="7"/>
  <c r="D2184" i="7"/>
  <c r="D2187" i="7"/>
  <c r="D2186" i="7"/>
  <c r="D2185" i="7"/>
  <c r="D2189" i="7"/>
  <c r="D2190" i="7"/>
  <c r="D2194" i="7"/>
  <c r="D2193" i="7"/>
  <c r="D2192" i="7"/>
  <c r="D2195" i="7"/>
  <c r="D2196" i="7"/>
  <c r="D2197" i="7"/>
  <c r="D2198" i="7"/>
  <c r="D2200" i="7"/>
  <c r="D2199" i="7"/>
  <c r="D2205" i="7"/>
  <c r="D2201" i="7"/>
  <c r="D2203" i="7"/>
  <c r="D2202" i="7"/>
  <c r="D2204" i="7"/>
  <c r="D2208" i="7"/>
  <c r="D2207" i="7"/>
  <c r="D2210" i="7"/>
  <c r="D2214" i="7"/>
  <c r="D2215" i="7"/>
  <c r="D2212" i="7"/>
  <c r="D2213" i="7"/>
  <c r="D2218" i="7"/>
  <c r="D2219" i="7"/>
  <c r="D2220" i="7"/>
  <c r="D2224" i="7"/>
  <c r="D2221" i="7"/>
  <c r="D2222" i="7"/>
  <c r="D2223" i="7"/>
  <c r="D2225" i="7"/>
  <c r="D2226" i="7"/>
  <c r="D2228" i="7"/>
  <c r="D2231" i="7"/>
  <c r="D2232" i="7"/>
  <c r="D2230" i="7"/>
  <c r="D2233" i="7"/>
  <c r="D2235" i="7"/>
  <c r="D2236" i="7"/>
  <c r="D2237" i="7"/>
  <c r="D2239" i="7"/>
  <c r="D2238" i="7"/>
  <c r="D2244" i="7"/>
  <c r="D2241" i="7"/>
  <c r="D2243" i="7"/>
  <c r="D2240" i="7"/>
  <c r="D2247" i="7"/>
  <c r="D2246" i="7"/>
  <c r="D2245" i="7"/>
  <c r="D2248" i="7"/>
  <c r="D2250" i="7"/>
  <c r="D2253" i="7"/>
  <c r="D2252" i="7"/>
  <c r="D2255" i="7"/>
  <c r="D2254" i="7"/>
  <c r="D2256" i="7"/>
  <c r="D2263" i="7"/>
  <c r="D2264" i="7"/>
  <c r="D2265" i="7"/>
  <c r="D2260" i="7"/>
  <c r="D2258" i="7"/>
  <c r="D2262" i="7"/>
  <c r="D2259" i="7"/>
  <c r="D2276" i="7"/>
  <c r="D2275" i="7"/>
  <c r="D2272" i="7"/>
  <c r="D2266" i="7"/>
  <c r="D2278" i="7"/>
  <c r="D2277" i="7"/>
  <c r="D2280" i="7"/>
  <c r="D2279" i="7"/>
  <c r="D2281" i="7"/>
  <c r="D2282" i="7"/>
  <c r="D2284" i="7"/>
  <c r="D2293" i="7"/>
  <c r="D2294" i="7"/>
  <c r="D2295" i="7"/>
  <c r="D2290" i="7"/>
  <c r="D2291" i="7"/>
  <c r="D2296" i="7"/>
  <c r="D2298" i="7"/>
  <c r="D2301" i="7"/>
  <c r="D2302" i="7"/>
  <c r="D2300" i="7"/>
  <c r="D2299" i="7"/>
  <c r="D2304" i="7"/>
  <c r="D2306" i="7"/>
  <c r="D2305" i="7"/>
  <c r="D2307" i="7"/>
  <c r="D2308" i="7"/>
  <c r="D2314" i="7"/>
  <c r="D2315" i="7"/>
  <c r="D2316" i="7"/>
  <c r="D2311" i="7"/>
  <c r="D2310" i="7"/>
  <c r="D2313" i="7"/>
  <c r="D2319" i="7"/>
  <c r="D2320" i="7"/>
  <c r="D2321" i="7"/>
  <c r="D2318" i="7"/>
  <c r="D2326" i="7"/>
  <c r="D2322" i="7"/>
  <c r="D2323" i="7"/>
  <c r="D2324" i="7"/>
  <c r="D2325" i="7"/>
  <c r="D2329" i="7"/>
  <c r="D2328" i="7"/>
  <c r="D2335" i="7"/>
  <c r="D2334" i="7"/>
  <c r="D2332" i="7"/>
  <c r="D2336" i="7"/>
  <c r="D2340" i="7"/>
  <c r="D2338" i="7"/>
  <c r="D2343" i="7"/>
  <c r="D2342" i="7"/>
  <c r="D2344" i="7"/>
  <c r="D2348" i="7"/>
  <c r="D2346" i="7"/>
  <c r="D2349" i="7"/>
  <c r="D2350" i="7"/>
  <c r="D2353" i="7"/>
  <c r="D2351" i="7"/>
  <c r="D2352" i="7"/>
  <c r="D2356" i="7"/>
  <c r="D2357" i="7"/>
  <c r="D2358" i="7"/>
  <c r="D2364" i="7"/>
  <c r="D2361" i="7"/>
  <c r="D2360" i="7"/>
  <c r="D2363" i="7"/>
  <c r="D2362" i="7"/>
  <c r="D2359" i="7"/>
  <c r="D2367" i="7"/>
  <c r="D2366" i="7"/>
  <c r="D2368" i="7"/>
  <c r="D2369" i="7"/>
  <c r="D2370" i="7"/>
  <c r="D2371" i="7"/>
  <c r="D2372" i="7"/>
  <c r="D2377" i="7"/>
  <c r="D2378" i="7"/>
  <c r="D2374" i="7"/>
  <c r="D2376" i="7"/>
  <c r="D2375" i="7"/>
  <c r="D2373" i="7"/>
  <c r="D2380" i="7"/>
  <c r="D2381" i="7"/>
  <c r="D2382" i="7"/>
  <c r="D2383" i="7"/>
  <c r="D2389" i="7"/>
  <c r="D2388" i="7"/>
  <c r="D2390" i="7"/>
  <c r="D2387" i="7"/>
  <c r="D2386" i="7"/>
  <c r="D2385" i="7"/>
  <c r="D2394" i="7"/>
  <c r="D2392" i="7"/>
  <c r="D2398" i="7"/>
  <c r="D2397" i="7"/>
  <c r="D2401" i="7"/>
  <c r="D2400" i="7"/>
  <c r="D2404" i="7"/>
  <c r="D2403" i="7"/>
  <c r="D2406" i="7"/>
  <c r="D2407" i="7"/>
  <c r="D2405" i="7"/>
  <c r="D2408" i="7"/>
  <c r="D2412" i="7"/>
  <c r="D2409" i="7"/>
  <c r="D2410" i="7"/>
  <c r="D2411" i="7"/>
  <c r="D2414" i="7"/>
  <c r="D2415" i="7"/>
  <c r="D2416" i="7"/>
  <c r="D2413" i="7"/>
  <c r="D2417" i="7"/>
  <c r="D2421" i="7"/>
  <c r="D2423" i="7"/>
  <c r="D2422" i="7"/>
  <c r="D2432" i="7"/>
  <c r="D2430" i="7"/>
  <c r="D2427" i="7"/>
  <c r="D2431" i="7"/>
  <c r="D2428" i="7"/>
  <c r="D2429" i="7"/>
  <c r="D2426" i="7"/>
  <c r="D2436" i="7"/>
  <c r="D2437" i="7"/>
  <c r="D2446" i="7"/>
  <c r="D2445" i="7"/>
  <c r="D2452" i="7"/>
  <c r="D2447" i="7"/>
  <c r="D2448" i="7"/>
  <c r="D2451" i="7"/>
  <c r="D2450" i="7"/>
  <c r="D2459" i="7"/>
  <c r="D2460" i="7"/>
  <c r="D2458" i="7"/>
  <c r="D2461" i="7"/>
  <c r="D2462" i="7"/>
  <c r="D2457" i="7"/>
  <c r="D2455" i="7"/>
  <c r="D2453" i="7"/>
  <c r="D2456" i="7"/>
  <c r="D2454" i="7"/>
  <c r="D2464" i="7"/>
  <c r="D2467" i="7"/>
  <c r="D2465" i="7"/>
  <c r="D2468" i="7"/>
  <c r="D2472" i="7"/>
  <c r="D2482" i="7"/>
  <c r="D2481" i="7"/>
  <c r="D2479" i="7"/>
  <c r="D2480" i="7"/>
  <c r="D2476" i="7"/>
  <c r="D2478" i="7"/>
  <c r="D2477" i="7"/>
  <c r="D2483" i="7"/>
  <c r="D2473" i="7"/>
  <c r="D2486" i="7"/>
  <c r="D2484" i="7"/>
  <c r="D2485" i="7"/>
  <c r="D2492" i="7"/>
  <c r="D2491" i="7"/>
  <c r="D2487" i="7"/>
  <c r="D2489" i="7"/>
  <c r="D2493" i="7"/>
  <c r="D2495" i="7"/>
  <c r="D2496" i="7"/>
  <c r="D2503" i="7"/>
  <c r="D2500" i="7"/>
  <c r="D2508" i="7"/>
  <c r="D2507" i="7"/>
  <c r="D2506" i="7"/>
  <c r="D2505" i="7"/>
  <c r="D2504" i="7"/>
  <c r="D2515" i="7"/>
  <c r="D2514" i="7"/>
  <c r="D2511" i="7"/>
  <c r="D2519" i="7"/>
  <c r="D2518" i="7"/>
  <c r="D2523" i="7"/>
  <c r="D2520" i="7"/>
  <c r="D2525" i="7"/>
  <c r="D2526" i="7"/>
  <c r="D2535" i="7"/>
  <c r="D2532" i="7"/>
  <c r="D2534" i="7"/>
  <c r="D2533" i="7"/>
  <c r="D2531" i="7"/>
  <c r="D2529" i="7"/>
  <c r="D2530" i="7"/>
  <c r="D2527" i="7"/>
  <c r="D2528" i="7"/>
  <c r="D2537" i="7"/>
  <c r="D2542" i="7"/>
  <c r="D2545" i="7"/>
  <c r="D2548" i="7"/>
  <c r="D2549" i="7"/>
  <c r="D2550" i="7"/>
  <c r="D2551" i="7"/>
  <c r="D2552" i="7"/>
  <c r="D2554" i="7"/>
  <c r="D2556" i="7"/>
  <c r="D2557" i="7"/>
  <c r="D2560" i="7"/>
  <c r="D2559" i="7"/>
  <c r="D2561" i="7"/>
  <c r="D2562" i="7"/>
  <c r="D2570" i="7"/>
  <c r="D2571" i="7"/>
  <c r="D2567" i="7"/>
  <c r="D2569" i="7"/>
  <c r="D2566" i="7"/>
  <c r="D2568" i="7"/>
  <c r="D2574" i="7"/>
  <c r="D2575" i="7"/>
  <c r="D2581" i="7"/>
  <c r="D2584" i="7"/>
  <c r="D2583" i="7"/>
  <c r="D2585" i="7"/>
  <c r="D2587" i="7"/>
  <c r="D2592" i="7"/>
  <c r="D2591" i="7"/>
  <c r="D2593" i="7"/>
  <c r="D2590" i="7"/>
  <c r="D2596" i="7"/>
  <c r="D2595" i="7"/>
  <c r="D2603" i="7"/>
  <c r="D2602" i="7"/>
  <c r="D2604" i="7"/>
  <c r="D2608" i="7"/>
  <c r="D2606" i="7"/>
  <c r="D2609" i="7"/>
  <c r="D2610" i="7"/>
  <c r="D2611" i="7"/>
  <c r="D2614" i="7"/>
  <c r="D2613" i="7"/>
  <c r="D2612" i="7"/>
  <c r="D2615" i="7"/>
  <c r="D2616" i="7"/>
  <c r="D2617" i="7"/>
  <c r="D2618" i="7"/>
  <c r="D2620" i="7"/>
  <c r="D2623" i="7"/>
  <c r="D2622" i="7"/>
  <c r="D2627" i="7"/>
  <c r="D2626" i="7"/>
  <c r="D2625" i="7"/>
  <c r="D2624" i="7"/>
  <c r="D2628" i="7"/>
  <c r="D2629" i="7"/>
  <c r="D2630" i="7"/>
  <c r="D2631" i="7"/>
  <c r="D2632" i="7"/>
  <c r="D2633" i="7"/>
  <c r="D2634" i="7"/>
  <c r="D2635" i="7"/>
  <c r="D2638" i="7"/>
  <c r="D2637" i="7"/>
  <c r="D2636" i="7"/>
  <c r="D2639" i="7"/>
  <c r="D2641" i="7"/>
  <c r="D2642" i="7"/>
  <c r="D2640" i="7"/>
  <c r="D2644" i="7"/>
  <c r="D2645" i="7"/>
  <c r="D2646" i="7"/>
  <c r="D2647" i="7"/>
  <c r="D2648" i="7"/>
  <c r="D2649" i="7"/>
  <c r="I5" i="5"/>
  <c r="A592" i="20"/>
  <c r="N592" i="20" s="1"/>
  <c r="O592" i="20" s="1"/>
  <c r="P592" i="20" s="1"/>
  <c r="A103" i="2"/>
  <c r="K103" i="2"/>
  <c r="A37" i="2"/>
  <c r="K37" i="2"/>
  <c r="A6" i="2"/>
  <c r="A126" i="2"/>
  <c r="K6" i="2"/>
  <c r="K126" i="2"/>
  <c r="F95" i="5"/>
  <c r="G95" i="5" s="1"/>
  <c r="F94" i="5"/>
  <c r="G94" i="5" s="1"/>
  <c r="F93" i="5"/>
  <c r="G93" i="5" s="1"/>
  <c r="F92" i="5"/>
  <c r="G92" i="5" s="1"/>
  <c r="F91" i="5"/>
  <c r="G91" i="5" s="1"/>
  <c r="F90" i="5"/>
  <c r="G90" i="5" s="1"/>
  <c r="F89" i="5"/>
  <c r="G89" i="5" s="1"/>
  <c r="F88" i="5"/>
  <c r="G88" i="5" s="1"/>
  <c r="F87" i="5"/>
  <c r="G87" i="5" s="1"/>
  <c r="F86" i="5"/>
  <c r="G86" i="5" s="1"/>
  <c r="F85" i="5"/>
  <c r="G85" i="5" s="1"/>
  <c r="F84" i="5"/>
  <c r="G84" i="5" s="1"/>
  <c r="F83" i="5"/>
  <c r="G83" i="5" s="1"/>
  <c r="F82" i="5"/>
  <c r="G82" i="5" s="1"/>
  <c r="A323" i="2"/>
  <c r="K323" i="2"/>
  <c r="K289" i="2"/>
  <c r="K321" i="2"/>
  <c r="K38" i="2"/>
  <c r="K325" i="2"/>
  <c r="A316" i="2"/>
  <c r="K316" i="2"/>
  <c r="A276" i="2"/>
  <c r="K276" i="2"/>
  <c r="A248" i="2"/>
  <c r="K248" i="2"/>
  <c r="A193" i="2"/>
  <c r="K193" i="2"/>
  <c r="A63" i="2"/>
  <c r="K63" i="2"/>
  <c r="A290" i="2"/>
  <c r="K290" i="2"/>
  <c r="A192" i="2"/>
  <c r="K192" i="2"/>
  <c r="A7" i="2"/>
  <c r="K7" i="2"/>
  <c r="A228" i="2"/>
  <c r="K228" i="2"/>
  <c r="A251" i="2"/>
  <c r="K251" i="2"/>
  <c r="A272" i="2"/>
  <c r="K272" i="2"/>
  <c r="A117" i="2"/>
  <c r="K117" i="2"/>
  <c r="A170" i="2"/>
  <c r="K170" i="2"/>
  <c r="A264" i="2"/>
  <c r="K264" i="2"/>
  <c r="A275" i="2"/>
  <c r="K275" i="2"/>
  <c r="A293" i="2"/>
  <c r="K293" i="2"/>
  <c r="A8" i="2"/>
  <c r="K8" i="2"/>
  <c r="A217" i="2"/>
  <c r="K217" i="2"/>
  <c r="A270" i="2"/>
  <c r="K270" i="2"/>
  <c r="A83" i="2"/>
  <c r="K83" i="2"/>
  <c r="A206" i="2"/>
  <c r="K206" i="2"/>
  <c r="A308" i="2"/>
  <c r="K308" i="2"/>
  <c r="A75" i="2"/>
  <c r="K75" i="2"/>
  <c r="A152" i="2"/>
  <c r="K152" i="2"/>
  <c r="A161" i="2"/>
  <c r="K161" i="2"/>
  <c r="A26" i="2"/>
  <c r="K26" i="2"/>
  <c r="A166" i="2"/>
  <c r="K166" i="2"/>
  <c r="A236" i="2"/>
  <c r="K236" i="2"/>
  <c r="A234" i="2"/>
  <c r="K234" i="2"/>
  <c r="A298" i="2"/>
  <c r="K298" i="2"/>
  <c r="A88" i="2"/>
  <c r="K88" i="2"/>
  <c r="A19" i="2"/>
  <c r="K19" i="2"/>
  <c r="A22" i="2"/>
  <c r="K22" i="2"/>
  <c r="A190" i="2"/>
  <c r="K190" i="2"/>
  <c r="A207" i="2"/>
  <c r="K207" i="2"/>
  <c r="A131" i="2"/>
  <c r="K131" i="2"/>
  <c r="A303" i="2"/>
  <c r="K303" i="2"/>
  <c r="A62" i="2"/>
  <c r="K62" i="2"/>
  <c r="A233" i="2"/>
  <c r="K233" i="2"/>
  <c r="A202" i="2"/>
  <c r="K202" i="2"/>
  <c r="A243" i="2"/>
  <c r="K243" i="2"/>
  <c r="A313" i="2"/>
  <c r="K313" i="2"/>
  <c r="A29" i="2"/>
  <c r="K29" i="2"/>
  <c r="A78" i="2"/>
  <c r="K78" i="2"/>
  <c r="A246" i="2"/>
  <c r="K246" i="2"/>
  <c r="A116" i="2"/>
  <c r="K116" i="2"/>
  <c r="A118" i="2"/>
  <c r="K118" i="2"/>
  <c r="A222" i="2"/>
  <c r="K222" i="2"/>
  <c r="A52" i="2"/>
  <c r="K52" i="2"/>
  <c r="A269" i="2"/>
  <c r="K269" i="2"/>
  <c r="A80" i="2"/>
  <c r="K80" i="2"/>
  <c r="A262" i="2"/>
  <c r="K262" i="2"/>
  <c r="A64" i="2"/>
  <c r="K64" i="2"/>
  <c r="A274" i="2"/>
  <c r="K274" i="2"/>
  <c r="A90" i="2"/>
  <c r="K90" i="2"/>
  <c r="A145" i="2"/>
  <c r="K145" i="2"/>
  <c r="A314" i="2"/>
  <c r="K314" i="2"/>
  <c r="A28" i="2"/>
  <c r="K28" i="2"/>
  <c r="A247" i="2"/>
  <c r="K247" i="2"/>
  <c r="A263" i="2"/>
  <c r="K263" i="2"/>
  <c r="A194" i="2"/>
  <c r="K194" i="2"/>
  <c r="A245" i="2"/>
  <c r="K245" i="2"/>
  <c r="A210" i="2"/>
  <c r="K210" i="2"/>
  <c r="A58" i="2"/>
  <c r="K58" i="2"/>
  <c r="A320" i="2"/>
  <c r="K320" i="2"/>
  <c r="A212" i="2"/>
  <c r="K212" i="2"/>
  <c r="A179" i="2"/>
  <c r="K179" i="2"/>
  <c r="A132" i="2"/>
  <c r="K132" i="2"/>
  <c r="A20" i="2"/>
  <c r="K20" i="2"/>
  <c r="A110" i="2"/>
  <c r="K110" i="2"/>
  <c r="A96" i="2"/>
  <c r="K96" i="2"/>
  <c r="A284" i="2"/>
  <c r="K284" i="2"/>
  <c r="A42" i="2"/>
  <c r="K42" i="2"/>
  <c r="A98" i="2"/>
  <c r="K98" i="2"/>
  <c r="A3" i="2"/>
  <c r="K3" i="2"/>
  <c r="A257" i="2"/>
  <c r="K257" i="2"/>
  <c r="A27" i="2"/>
  <c r="K27" i="2"/>
  <c r="A167" i="2"/>
  <c r="K167" i="2"/>
  <c r="A95" i="2"/>
  <c r="K95" i="2"/>
  <c r="A107" i="2"/>
  <c r="K107" i="2"/>
  <c r="A127" i="2"/>
  <c r="K127" i="2"/>
  <c r="A171" i="2"/>
  <c r="K171" i="2"/>
  <c r="A300" i="2"/>
  <c r="K300" i="2"/>
  <c r="A176" i="2"/>
  <c r="K176" i="2"/>
  <c r="E5" i="16"/>
  <c r="F6" i="16"/>
  <c r="E6" i="16"/>
  <c r="F7" i="16"/>
  <c r="F8" i="16"/>
  <c r="E7" i="16"/>
  <c r="F9" i="16"/>
  <c r="E8" i="16"/>
  <c r="K113" i="2"/>
  <c r="A163" i="2"/>
  <c r="K163" i="2"/>
  <c r="A211" i="2"/>
  <c r="K211" i="2"/>
  <c r="A149" i="2"/>
  <c r="K149" i="2"/>
  <c r="A51" i="2"/>
  <c r="K51" i="2"/>
  <c r="A113" i="2"/>
  <c r="A32" i="2"/>
  <c r="K32" i="2"/>
  <c r="F10" i="16"/>
  <c r="E10" i="16"/>
  <c r="E9" i="16"/>
  <c r="A13" i="2"/>
  <c r="K13" i="2"/>
  <c r="A241" i="2"/>
  <c r="K241" i="2"/>
  <c r="A12" i="2"/>
  <c r="K12" i="2"/>
  <c r="A197" i="2"/>
  <c r="K197" i="2"/>
  <c r="A112" i="2"/>
  <c r="K112" i="2"/>
  <c r="A288" i="2"/>
  <c r="K288" i="2"/>
  <c r="A221" i="2"/>
  <c r="K221" i="2"/>
  <c r="A130" i="2"/>
  <c r="K130" i="2"/>
  <c r="A35" i="2"/>
  <c r="K35" i="2"/>
  <c r="A195" i="2"/>
  <c r="K195" i="2"/>
  <c r="A15" i="2"/>
  <c r="K15" i="2"/>
  <c r="A93" i="2"/>
  <c r="K93" i="2"/>
  <c r="A261" i="2"/>
  <c r="K261" i="2"/>
  <c r="A129" i="2"/>
  <c r="K129" i="2"/>
  <c r="A253" i="2"/>
  <c r="K253" i="2"/>
  <c r="A5" i="2"/>
  <c r="K5" i="2"/>
  <c r="A256" i="2"/>
  <c r="K256" i="2"/>
  <c r="A327" i="2"/>
  <c r="A324" i="2"/>
  <c r="A322" i="2"/>
  <c r="A319" i="2"/>
  <c r="A318" i="2"/>
  <c r="A315" i="2"/>
  <c r="A306" i="2"/>
  <c r="A301" i="2"/>
  <c r="A299" i="2"/>
  <c r="A295" i="2"/>
  <c r="A287" i="2"/>
  <c r="A285" i="2"/>
  <c r="A283" i="2"/>
  <c r="A282" i="2"/>
  <c r="A278" i="2"/>
  <c r="A267" i="2"/>
  <c r="A266" i="2"/>
  <c r="A265" i="2"/>
  <c r="A254" i="2"/>
  <c r="A252" i="2"/>
  <c r="A250" i="2"/>
  <c r="A242" i="2"/>
  <c r="A240" i="2"/>
  <c r="A235" i="2"/>
  <c r="A230" i="2"/>
  <c r="A229" i="2"/>
  <c r="A227" i="2"/>
  <c r="A226" i="2"/>
  <c r="A225" i="2"/>
  <c r="A224" i="2"/>
  <c r="A223" i="2"/>
  <c r="A215" i="2"/>
  <c r="A213" i="2"/>
  <c r="A200" i="2"/>
  <c r="A199" i="2"/>
  <c r="A196" i="2"/>
  <c r="A183" i="2"/>
  <c r="A181" i="2"/>
  <c r="A177" i="2"/>
  <c r="A175" i="2"/>
  <c r="A173" i="2"/>
  <c r="A165" i="2"/>
  <c r="A160" i="2"/>
  <c r="A155" i="2"/>
  <c r="A153" i="2"/>
  <c r="A148" i="2"/>
  <c r="A147" i="2"/>
  <c r="A146" i="2"/>
  <c r="A144" i="2"/>
  <c r="A141" i="2"/>
  <c r="A140" i="2"/>
  <c r="A139" i="2"/>
  <c r="A134" i="2"/>
  <c r="A133" i="2"/>
  <c r="A125" i="2"/>
  <c r="A124" i="2"/>
  <c r="A109" i="2"/>
  <c r="A101" i="2"/>
  <c r="A100" i="2"/>
  <c r="A99" i="2"/>
  <c r="A97" i="2"/>
  <c r="A94" i="2"/>
  <c r="A87" i="2"/>
  <c r="A86" i="2"/>
  <c r="A84" i="2"/>
  <c r="A82" i="2"/>
  <c r="A79" i="2"/>
  <c r="A77" i="2"/>
  <c r="A73" i="2"/>
  <c r="A71" i="2"/>
  <c r="A69" i="2"/>
  <c r="A67" i="2"/>
  <c r="A66" i="2"/>
  <c r="A65" i="2"/>
  <c r="A61" i="2"/>
  <c r="A60" i="2"/>
  <c r="A50" i="2"/>
  <c r="A49" i="2"/>
  <c r="A48" i="2"/>
  <c r="A46" i="2"/>
  <c r="A44" i="2"/>
  <c r="A39" i="2"/>
  <c r="A31" i="2"/>
  <c r="A30" i="2"/>
  <c r="A16" i="2"/>
  <c r="A11" i="2"/>
  <c r="A9" i="2"/>
  <c r="A4" i="2"/>
  <c r="A304" i="2"/>
  <c r="A292" i="2"/>
  <c r="A281" i="2"/>
  <c r="A244" i="2"/>
  <c r="A220" i="2"/>
  <c r="A209" i="2"/>
  <c r="A205" i="2"/>
  <c r="A203" i="2"/>
  <c r="A178" i="2"/>
  <c r="A157" i="2"/>
  <c r="A122" i="2"/>
  <c r="A120" i="2"/>
  <c r="A111" i="2"/>
  <c r="A104" i="2"/>
  <c r="A91" i="2"/>
  <c r="A72" i="2"/>
  <c r="A59" i="2"/>
  <c r="A56" i="2"/>
  <c r="A54" i="2"/>
  <c r="A24" i="2"/>
  <c r="A17" i="2"/>
  <c r="A14" i="2"/>
  <c r="A297" i="2"/>
  <c r="A279" i="2"/>
  <c r="A277" i="2"/>
  <c r="A268" i="2"/>
  <c r="A208" i="2"/>
  <c r="A201" i="2"/>
  <c r="A189" i="2"/>
  <c r="A188" i="2"/>
  <c r="A187" i="2"/>
  <c r="A185" i="2"/>
  <c r="A150" i="2"/>
  <c r="A115" i="2"/>
  <c r="A41" i="2"/>
  <c r="A326" i="2"/>
  <c r="A317" i="2"/>
  <c r="A312" i="2"/>
  <c r="A311" i="2"/>
  <c r="A310" i="2"/>
  <c r="A309" i="2"/>
  <c r="A307" i="2"/>
  <c r="A305" i="2"/>
  <c r="A302" i="2"/>
  <c r="A296" i="2"/>
  <c r="A294" i="2"/>
  <c r="A291" i="2"/>
  <c r="A286" i="2"/>
  <c r="A280" i="2"/>
  <c r="A273" i="2"/>
  <c r="A271" i="2"/>
  <c r="A260" i="2"/>
  <c r="A259" i="2"/>
  <c r="A258" i="2"/>
  <c r="A255" i="2"/>
  <c r="A249" i="2"/>
  <c r="A239" i="2"/>
  <c r="A238" i="2"/>
  <c r="A237" i="2"/>
  <c r="A232" i="2"/>
  <c r="A231" i="2"/>
  <c r="A219" i="2"/>
  <c r="A218" i="2"/>
  <c r="A216" i="2"/>
  <c r="A214" i="2"/>
  <c r="A204" i="2"/>
  <c r="A198" i="2"/>
  <c r="A191" i="2"/>
  <c r="A186" i="2"/>
  <c r="A184" i="2"/>
  <c r="A182" i="2"/>
  <c r="A180" i="2"/>
  <c r="A174" i="2"/>
  <c r="A172" i="2"/>
  <c r="A169" i="2"/>
  <c r="A168" i="2"/>
  <c r="A164" i="2"/>
  <c r="A162" i="2"/>
  <c r="A159" i="2"/>
  <c r="A158" i="2"/>
  <c r="A156" i="2"/>
  <c r="A154" i="2"/>
  <c r="A151" i="2"/>
  <c r="A143" i="2"/>
  <c r="A142" i="2"/>
  <c r="A138" i="2"/>
  <c r="A137" i="2"/>
  <c r="A136" i="2"/>
  <c r="A135" i="2"/>
  <c r="A128" i="2"/>
  <c r="A123" i="2"/>
  <c r="A121" i="2"/>
  <c r="A119" i="2"/>
  <c r="A114" i="2"/>
  <c r="A108" i="2"/>
  <c r="A106" i="2"/>
  <c r="A105" i="2"/>
  <c r="A102" i="2"/>
  <c r="A92" i="2"/>
  <c r="A89" i="2"/>
  <c r="A85" i="2"/>
  <c r="A81" i="2"/>
  <c r="A76" i="2"/>
  <c r="A74" i="2"/>
  <c r="A70" i="2"/>
  <c r="A68" i="2"/>
  <c r="A57" i="2"/>
  <c r="A55" i="2"/>
  <c r="A53" i="2"/>
  <c r="A47" i="2"/>
  <c r="A45" i="2"/>
  <c r="A43" i="2"/>
  <c r="A40" i="2"/>
  <c r="A36" i="2"/>
  <c r="A34" i="2"/>
  <c r="A33" i="2"/>
  <c r="A25" i="2"/>
  <c r="A23" i="2"/>
  <c r="A18" i="2"/>
  <c r="A10" i="2"/>
  <c r="K172" i="2"/>
  <c r="K218" i="2"/>
  <c r="K182" i="2"/>
  <c r="K286" i="2"/>
  <c r="K249" i="2"/>
  <c r="K76" i="2"/>
  <c r="K123" i="2"/>
  <c r="K10" i="2"/>
  <c r="K18" i="2"/>
  <c r="K102" i="2"/>
  <c r="K162" i="2"/>
  <c r="K312" i="2"/>
  <c r="K255" i="2"/>
  <c r="K302" i="2"/>
  <c r="K198" i="2"/>
  <c r="K45" i="2"/>
  <c r="K310" i="2"/>
  <c r="K40" i="2"/>
  <c r="K219" i="2"/>
  <c r="C12" i="5"/>
  <c r="K122" i="2"/>
  <c r="F81" i="5"/>
  <c r="G81" i="5" s="1"/>
  <c r="F80" i="5"/>
  <c r="G80" i="5" s="1"/>
  <c r="F79" i="5"/>
  <c r="G79" i="5" s="1"/>
  <c r="F78" i="5"/>
  <c r="G78" i="5" s="1"/>
  <c r="F77" i="5"/>
  <c r="G77" i="5" s="1"/>
  <c r="K77" i="5" s="1"/>
  <c r="L77" i="5" s="1"/>
  <c r="F76" i="5"/>
  <c r="G76" i="5" s="1"/>
  <c r="F75" i="5"/>
  <c r="G75" i="5" s="1"/>
  <c r="A21" i="2"/>
  <c r="H5" i="5"/>
  <c r="F6" i="5"/>
  <c r="G6" i="5" s="1"/>
  <c r="F7" i="5"/>
  <c r="G7" i="5" s="1"/>
  <c r="F8" i="5"/>
  <c r="G8" i="5" s="1"/>
  <c r="F9" i="5"/>
  <c r="G9" i="5" s="1"/>
  <c r="F10" i="5"/>
  <c r="G10" i="5" s="1"/>
  <c r="F11" i="5"/>
  <c r="G11" i="5" s="1"/>
  <c r="F12" i="5"/>
  <c r="G12" i="5" s="1"/>
  <c r="F13" i="5"/>
  <c r="G13" i="5" s="1"/>
  <c r="F14" i="5"/>
  <c r="G14" i="5" s="1"/>
  <c r="F15" i="5"/>
  <c r="G15" i="5" s="1"/>
  <c r="F16" i="5"/>
  <c r="G16" i="5" s="1"/>
  <c r="F17" i="5"/>
  <c r="G17" i="5" s="1"/>
  <c r="F18" i="5"/>
  <c r="G18" i="5" s="1"/>
  <c r="F19" i="5"/>
  <c r="G19" i="5" s="1"/>
  <c r="F20" i="5"/>
  <c r="G20" i="5" s="1"/>
  <c r="F21" i="5"/>
  <c r="G21" i="5" s="1"/>
  <c r="F22" i="5"/>
  <c r="G22" i="5" s="1"/>
  <c r="F23" i="5"/>
  <c r="G23" i="5" s="1"/>
  <c r="F24" i="5"/>
  <c r="G24" i="5" s="1"/>
  <c r="F25" i="5"/>
  <c r="G25" i="5" s="1"/>
  <c r="F26" i="5"/>
  <c r="G26" i="5" s="1"/>
  <c r="F27" i="5"/>
  <c r="G27" i="5" s="1"/>
  <c r="F28" i="5"/>
  <c r="G28" i="5" s="1"/>
  <c r="F29" i="5"/>
  <c r="G29" i="5" s="1"/>
  <c r="F30" i="5"/>
  <c r="G30" i="5" s="1"/>
  <c r="F31" i="5"/>
  <c r="G31" i="5" s="1"/>
  <c r="F32" i="5"/>
  <c r="G32" i="5" s="1"/>
  <c r="F33" i="5"/>
  <c r="G33" i="5" s="1"/>
  <c r="F34" i="5"/>
  <c r="G34" i="5" s="1"/>
  <c r="F35" i="5"/>
  <c r="G35" i="5" s="1"/>
  <c r="F36" i="5"/>
  <c r="G36" i="5" s="1"/>
  <c r="F37" i="5"/>
  <c r="G37" i="5" s="1"/>
  <c r="F38" i="5"/>
  <c r="G38" i="5" s="1"/>
  <c r="F39" i="5"/>
  <c r="G39" i="5" s="1"/>
  <c r="F40" i="5"/>
  <c r="G40" i="5" s="1"/>
  <c r="F41" i="5"/>
  <c r="G41" i="5" s="1"/>
  <c r="F42" i="5"/>
  <c r="G42" i="5" s="1"/>
  <c r="F43" i="5"/>
  <c r="G43" i="5" s="1"/>
  <c r="F44" i="5"/>
  <c r="G44" i="5" s="1"/>
  <c r="F45" i="5"/>
  <c r="G45" i="5" s="1"/>
  <c r="F46" i="5"/>
  <c r="G46" i="5" s="1"/>
  <c r="I46" i="5" s="1"/>
  <c r="J46" i="5" s="1"/>
  <c r="F47" i="5"/>
  <c r="G47" i="5" s="1"/>
  <c r="F48" i="5"/>
  <c r="G48" i="5" s="1"/>
  <c r="F49" i="5"/>
  <c r="G49" i="5" s="1"/>
  <c r="F50" i="5"/>
  <c r="G50" i="5" s="1"/>
  <c r="F51" i="5"/>
  <c r="G51" i="5" s="1"/>
  <c r="F52" i="5"/>
  <c r="G52" i="5" s="1"/>
  <c r="F53" i="5"/>
  <c r="G53" i="5" s="1"/>
  <c r="F54" i="5"/>
  <c r="G54" i="5" s="1"/>
  <c r="I54" i="5" s="1"/>
  <c r="J54" i="5" s="1"/>
  <c r="F55" i="5"/>
  <c r="G55" i="5" s="1"/>
  <c r="F56" i="5"/>
  <c r="G56" i="5" s="1"/>
  <c r="F57" i="5"/>
  <c r="G57" i="5"/>
  <c r="F58" i="5"/>
  <c r="G58" i="5" s="1"/>
  <c r="F59" i="5"/>
  <c r="G59" i="5" s="1"/>
  <c r="F60" i="5"/>
  <c r="G60" i="5" s="1"/>
  <c r="F61" i="5"/>
  <c r="G61" i="5" s="1"/>
  <c r="F62" i="5"/>
  <c r="G62" i="5" s="1"/>
  <c r="F63" i="5"/>
  <c r="G63" i="5" s="1"/>
  <c r="F64" i="5"/>
  <c r="G64" i="5" s="1"/>
  <c r="F65" i="5"/>
  <c r="G65" i="5" s="1"/>
  <c r="F66" i="5"/>
  <c r="G66" i="5" s="1"/>
  <c r="F67" i="5"/>
  <c r="G67" i="5" s="1"/>
  <c r="F68" i="5"/>
  <c r="G68" i="5" s="1"/>
  <c r="F69" i="5"/>
  <c r="G69" i="5" s="1"/>
  <c r="F70" i="5"/>
  <c r="G70" i="5" s="1"/>
  <c r="F71" i="5"/>
  <c r="G71" i="5" s="1"/>
  <c r="F72" i="5"/>
  <c r="G72" i="5" s="1"/>
  <c r="F73" i="5"/>
  <c r="G73" i="5" s="1"/>
  <c r="F74" i="5"/>
  <c r="G74" i="5" s="1"/>
  <c r="K4" i="2"/>
  <c r="K9" i="2"/>
  <c r="K11" i="2"/>
  <c r="K14" i="2"/>
  <c r="K16" i="2"/>
  <c r="K17" i="2"/>
  <c r="K21" i="2"/>
  <c r="K23" i="2"/>
  <c r="K24" i="2"/>
  <c r="K25" i="2"/>
  <c r="K30" i="2"/>
  <c r="K31" i="2"/>
  <c r="K33" i="2"/>
  <c r="K34" i="2"/>
  <c r="K36" i="2"/>
  <c r="K39" i="2"/>
  <c r="K41" i="2"/>
  <c r="K43" i="2"/>
  <c r="K44" i="2"/>
  <c r="K46" i="2"/>
  <c r="K47" i="2"/>
  <c r="K48" i="2"/>
  <c r="K49" i="2"/>
  <c r="K50" i="2"/>
  <c r="K53" i="2"/>
  <c r="K54" i="2"/>
  <c r="K55" i="2"/>
  <c r="K56" i="2"/>
  <c r="K57" i="2"/>
  <c r="K59" i="2"/>
  <c r="K60" i="2"/>
  <c r="K61" i="2"/>
  <c r="K65" i="2"/>
  <c r="K66" i="2"/>
  <c r="K67" i="2"/>
  <c r="K68" i="2"/>
  <c r="K69" i="2"/>
  <c r="K70" i="2"/>
  <c r="K71" i="2"/>
  <c r="K72" i="2"/>
  <c r="K73" i="2"/>
  <c r="K74" i="2"/>
  <c r="K77" i="2"/>
  <c r="K79" i="2"/>
  <c r="K81" i="2"/>
  <c r="K82" i="2"/>
  <c r="K84" i="2"/>
  <c r="K85" i="2"/>
  <c r="K86" i="2"/>
  <c r="K87" i="2"/>
  <c r="K89" i="2"/>
  <c r="K91" i="2"/>
  <c r="K92" i="2"/>
  <c r="K94" i="2"/>
  <c r="K97" i="2"/>
  <c r="K99" i="2"/>
  <c r="K100" i="2"/>
  <c r="K101" i="2"/>
  <c r="K104" i="2"/>
  <c r="K105" i="2"/>
  <c r="K106" i="2"/>
  <c r="K108" i="2"/>
  <c r="K109" i="2"/>
  <c r="K111" i="2"/>
  <c r="K114" i="2"/>
  <c r="K115" i="2"/>
  <c r="K119" i="2"/>
  <c r="K120" i="2"/>
  <c r="K121" i="2"/>
  <c r="K124" i="2"/>
  <c r="K125" i="2"/>
  <c r="K128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6" i="2"/>
  <c r="K147" i="2"/>
  <c r="K148" i="2"/>
  <c r="K150" i="2"/>
  <c r="K151" i="2"/>
  <c r="K153" i="2"/>
  <c r="K154" i="2"/>
  <c r="K155" i="2"/>
  <c r="K156" i="2"/>
  <c r="K157" i="2"/>
  <c r="K158" i="2"/>
  <c r="K159" i="2"/>
  <c r="K160" i="2"/>
  <c r="K164" i="2"/>
  <c r="K165" i="2"/>
  <c r="K168" i="2"/>
  <c r="K169" i="2"/>
  <c r="K173" i="2"/>
  <c r="K174" i="2"/>
  <c r="K175" i="2"/>
  <c r="K177" i="2"/>
  <c r="K178" i="2"/>
  <c r="K180" i="2"/>
  <c r="K181" i="2"/>
  <c r="K183" i="2"/>
  <c r="K184" i="2"/>
  <c r="K185" i="2"/>
  <c r="K186" i="2"/>
  <c r="K187" i="2"/>
  <c r="K188" i="2"/>
  <c r="K189" i="2"/>
  <c r="K191" i="2"/>
  <c r="K196" i="2"/>
  <c r="K199" i="2"/>
  <c r="K200" i="2"/>
  <c r="K201" i="2"/>
  <c r="K203" i="2"/>
  <c r="K204" i="2"/>
  <c r="K205" i="2"/>
  <c r="K208" i="2"/>
  <c r="K209" i="2"/>
  <c r="K213" i="2"/>
  <c r="K214" i="2"/>
  <c r="K215" i="2"/>
  <c r="K216" i="2"/>
  <c r="K220" i="2"/>
  <c r="K223" i="2"/>
  <c r="K224" i="2"/>
  <c r="K225" i="2"/>
  <c r="K226" i="2"/>
  <c r="K227" i="2"/>
  <c r="K229" i="2"/>
  <c r="K230" i="2"/>
  <c r="K231" i="2"/>
  <c r="K232" i="2"/>
  <c r="K235" i="2"/>
  <c r="K237" i="2"/>
  <c r="K238" i="2"/>
  <c r="K239" i="2"/>
  <c r="K240" i="2"/>
  <c r="K242" i="2"/>
  <c r="K244" i="2"/>
  <c r="K250" i="2"/>
  <c r="K252" i="2"/>
  <c r="K254" i="2"/>
  <c r="K258" i="2"/>
  <c r="K259" i="2"/>
  <c r="K260" i="2"/>
  <c r="K265" i="2"/>
  <c r="K266" i="2"/>
  <c r="K267" i="2"/>
  <c r="K268" i="2"/>
  <c r="K271" i="2"/>
  <c r="K273" i="2"/>
  <c r="K277" i="2"/>
  <c r="K278" i="2"/>
  <c r="K279" i="2"/>
  <c r="K280" i="2"/>
  <c r="K281" i="2"/>
  <c r="K282" i="2"/>
  <c r="K283" i="2"/>
  <c r="K285" i="2"/>
  <c r="K287" i="2"/>
  <c r="K291" i="2"/>
  <c r="K292" i="2"/>
  <c r="K294" i="2"/>
  <c r="K295" i="2"/>
  <c r="K296" i="2"/>
  <c r="K297" i="2"/>
  <c r="K299" i="2"/>
  <c r="K301" i="2"/>
  <c r="K304" i="2"/>
  <c r="K305" i="2"/>
  <c r="K306" i="2"/>
  <c r="K307" i="2"/>
  <c r="K309" i="2"/>
  <c r="K311" i="2"/>
  <c r="K315" i="2"/>
  <c r="K317" i="2"/>
  <c r="K318" i="2"/>
  <c r="K319" i="2"/>
  <c r="K322" i="2"/>
  <c r="K324" i="2"/>
  <c r="K326" i="2"/>
  <c r="K327" i="2"/>
  <c r="H57" i="5"/>
  <c r="I57" i="5"/>
  <c r="J57" i="5" s="1"/>
  <c r="K57" i="5"/>
  <c r="L57" i="5" s="1"/>
  <c r="H10" i="26" l="1"/>
  <c r="H11" i="26" s="1"/>
  <c r="I10" i="26" s="1"/>
  <c r="I14" i="26"/>
  <c r="H18" i="26"/>
  <c r="M592" i="20"/>
  <c r="I1" i="36"/>
  <c r="T317" i="35"/>
  <c r="U317" i="35" s="1"/>
  <c r="P24" i="35"/>
  <c r="U24" i="35"/>
  <c r="P91" i="35"/>
  <c r="U91" i="35"/>
  <c r="P1092" i="35"/>
  <c r="U1092" i="35"/>
  <c r="P1095" i="35"/>
  <c r="U1095" i="35"/>
  <c r="P159" i="35"/>
  <c r="U159" i="35"/>
  <c r="P697" i="35"/>
  <c r="U697" i="35"/>
  <c r="P141" i="35"/>
  <c r="U141" i="35"/>
  <c r="P684" i="35"/>
  <c r="U684" i="35"/>
  <c r="P12" i="35"/>
  <c r="U12" i="35"/>
  <c r="P669" i="35"/>
  <c r="U669" i="35"/>
  <c r="P1094" i="35"/>
  <c r="U1094" i="35"/>
  <c r="P4" i="35"/>
  <c r="U4" i="35"/>
  <c r="P652" i="35"/>
  <c r="U652" i="35"/>
  <c r="P641" i="35"/>
  <c r="U641" i="35"/>
  <c r="P21" i="35"/>
  <c r="U21" i="35"/>
  <c r="P637" i="35"/>
  <c r="U637" i="35"/>
  <c r="P101" i="35"/>
  <c r="U101" i="35"/>
  <c r="P622" i="35"/>
  <c r="U622" i="35"/>
  <c r="P54" i="35"/>
  <c r="U54" i="35"/>
  <c r="P45" i="35"/>
  <c r="U45" i="35"/>
  <c r="P607" i="35"/>
  <c r="U607" i="35"/>
  <c r="P23" i="35"/>
  <c r="U23" i="35"/>
  <c r="P597" i="35"/>
  <c r="U597" i="35"/>
  <c r="P214" i="35"/>
  <c r="U214" i="35"/>
  <c r="P583" i="35"/>
  <c r="U583" i="35"/>
  <c r="P68" i="35"/>
  <c r="U68" i="35"/>
  <c r="P1082" i="35"/>
  <c r="U1082" i="35"/>
  <c r="P137" i="35"/>
  <c r="U137" i="35"/>
  <c r="P259" i="35"/>
  <c r="U259" i="35"/>
  <c r="P557" i="35"/>
  <c r="U557" i="35"/>
  <c r="P329" i="35"/>
  <c r="U329" i="35"/>
  <c r="P539" i="35"/>
  <c r="U539" i="35"/>
  <c r="P535" i="35"/>
  <c r="U535" i="35"/>
  <c r="P531" i="35"/>
  <c r="U531" i="35"/>
  <c r="P518" i="35"/>
  <c r="U518" i="35"/>
  <c r="P517" i="35"/>
  <c r="U517" i="35"/>
  <c r="P355" i="35"/>
  <c r="U355" i="35"/>
  <c r="P500" i="35"/>
  <c r="U500" i="35"/>
  <c r="P306" i="35"/>
  <c r="U306" i="35"/>
  <c r="P491" i="35"/>
  <c r="U491" i="35"/>
  <c r="P275" i="35"/>
  <c r="U275" i="35"/>
  <c r="P336" i="35"/>
  <c r="U336" i="35"/>
  <c r="P140" i="35"/>
  <c r="U140" i="35"/>
  <c r="P69" i="35"/>
  <c r="U69" i="35"/>
  <c r="P321" i="35"/>
  <c r="U321" i="35"/>
  <c r="P454" i="35"/>
  <c r="U454" i="35"/>
  <c r="P446" i="35"/>
  <c r="U446" i="35"/>
  <c r="P445" i="35"/>
  <c r="U445" i="35"/>
  <c r="P320" i="35"/>
  <c r="U320" i="35"/>
  <c r="P211" i="35"/>
  <c r="U211" i="35"/>
  <c r="P262" i="35"/>
  <c r="U262" i="35"/>
  <c r="P248" i="35"/>
  <c r="U248" i="35"/>
  <c r="P417" i="35"/>
  <c r="U417" i="35"/>
  <c r="P768" i="35"/>
  <c r="U768" i="35"/>
  <c r="P313" i="35"/>
  <c r="U313" i="35"/>
  <c r="P239" i="35"/>
  <c r="U239" i="35"/>
  <c r="P391" i="35"/>
  <c r="U391" i="35"/>
  <c r="P315" i="35"/>
  <c r="U315" i="35"/>
  <c r="P189" i="35"/>
  <c r="U189" i="35"/>
  <c r="P165" i="35"/>
  <c r="U165" i="35"/>
  <c r="P954" i="35"/>
  <c r="U954" i="35"/>
  <c r="P838" i="35"/>
  <c r="U838" i="35"/>
  <c r="P1000" i="35"/>
  <c r="U1000" i="35"/>
  <c r="P415" i="35"/>
  <c r="U415" i="35"/>
  <c r="P816" i="35"/>
  <c r="U816" i="35"/>
  <c r="P845" i="35"/>
  <c r="U845" i="35"/>
  <c r="P814" i="35"/>
  <c r="U814" i="35"/>
  <c r="P725" i="35"/>
  <c r="U725" i="35"/>
  <c r="P900" i="35"/>
  <c r="U900" i="35"/>
  <c r="P743" i="35"/>
  <c r="U743" i="35"/>
  <c r="P909" i="35"/>
  <c r="U909" i="35"/>
  <c r="P19" i="35"/>
  <c r="U19" i="35"/>
  <c r="P265" i="35"/>
  <c r="U265" i="35"/>
  <c r="P720" i="35"/>
  <c r="U720" i="35"/>
  <c r="P709" i="35"/>
  <c r="U709" i="35"/>
  <c r="P1089" i="35"/>
  <c r="U1089" i="35"/>
  <c r="P698" i="35"/>
  <c r="U698" i="35"/>
  <c r="P47" i="35"/>
  <c r="U47" i="35"/>
  <c r="P685" i="35"/>
  <c r="U685" i="35"/>
  <c r="P1091" i="35"/>
  <c r="U1091" i="35"/>
  <c r="P125" i="35"/>
  <c r="U125" i="35"/>
  <c r="P73" i="35"/>
  <c r="U73" i="35"/>
  <c r="P52" i="35"/>
  <c r="U52" i="35"/>
  <c r="P653" i="35"/>
  <c r="U653" i="35"/>
  <c r="P147" i="35"/>
  <c r="U147" i="35"/>
  <c r="P41" i="35"/>
  <c r="U41" i="35"/>
  <c r="P10" i="35"/>
  <c r="U10" i="35"/>
  <c r="P635" i="35"/>
  <c r="U635" i="35"/>
  <c r="P60" i="35"/>
  <c r="U60" i="35"/>
  <c r="P43" i="35"/>
  <c r="U43" i="35"/>
  <c r="P5" i="35"/>
  <c r="U5" i="35"/>
  <c r="P31" i="35"/>
  <c r="U31" i="35"/>
  <c r="P223" i="35"/>
  <c r="U223" i="35"/>
  <c r="P362" i="35"/>
  <c r="U362" i="35"/>
  <c r="P366" i="35"/>
  <c r="U366" i="35"/>
  <c r="P268" i="35"/>
  <c r="U268" i="35"/>
  <c r="P44" i="35"/>
  <c r="U44" i="35"/>
  <c r="P572" i="35"/>
  <c r="U572" i="35"/>
  <c r="P567" i="35"/>
  <c r="U567" i="35"/>
  <c r="P558" i="35"/>
  <c r="U558" i="35"/>
  <c r="P279" i="35"/>
  <c r="U279" i="35"/>
  <c r="P102" i="35"/>
  <c r="U102" i="35"/>
  <c r="P544" i="35"/>
  <c r="U544" i="35"/>
  <c r="P246" i="35"/>
  <c r="U246" i="35"/>
  <c r="P325" i="35"/>
  <c r="U325" i="35"/>
  <c r="P519" i="35"/>
  <c r="U519" i="35"/>
  <c r="P334" i="35"/>
  <c r="U334" i="35"/>
  <c r="P507" i="35"/>
  <c r="U507" i="35"/>
  <c r="P496" i="35"/>
  <c r="U496" i="35"/>
  <c r="P495" i="35"/>
  <c r="U495" i="35"/>
  <c r="P276" i="35"/>
  <c r="U276" i="35"/>
  <c r="P481" i="35"/>
  <c r="U481" i="35"/>
  <c r="P476" i="35"/>
  <c r="U476" i="35"/>
  <c r="P471" i="35"/>
  <c r="U471" i="35"/>
  <c r="P463" i="35"/>
  <c r="U463" i="35"/>
  <c r="P457" i="35"/>
  <c r="U457" i="35"/>
  <c r="P451" i="35"/>
  <c r="U451" i="35"/>
  <c r="P448" i="35"/>
  <c r="U448" i="35"/>
  <c r="P261" i="35"/>
  <c r="U261" i="35"/>
  <c r="P436" i="35"/>
  <c r="U436" i="35"/>
  <c r="P326" i="35"/>
  <c r="U326" i="35"/>
  <c r="P371" i="35"/>
  <c r="U371" i="35"/>
  <c r="P424" i="35"/>
  <c r="U424" i="35"/>
  <c r="P416" i="35"/>
  <c r="U416" i="35"/>
  <c r="P343" i="35"/>
  <c r="U343" i="35"/>
  <c r="P220" i="35"/>
  <c r="U220" i="35"/>
  <c r="P327" i="35"/>
  <c r="U327" i="35"/>
  <c r="P390" i="35"/>
  <c r="U390" i="35"/>
  <c r="P155" i="35"/>
  <c r="U155" i="35"/>
  <c r="P178" i="35"/>
  <c r="U178" i="35"/>
  <c r="P146" i="35"/>
  <c r="U146" i="35"/>
  <c r="P839" i="35"/>
  <c r="U839" i="35"/>
  <c r="P821" i="35"/>
  <c r="U821" i="35"/>
  <c r="P819" i="35"/>
  <c r="U819" i="35"/>
  <c r="P818" i="35"/>
  <c r="U818" i="35"/>
  <c r="P747" i="35"/>
  <c r="U747" i="35"/>
  <c r="P292" i="35"/>
  <c r="U292" i="35"/>
  <c r="P730" i="35"/>
  <c r="U730" i="35"/>
  <c r="P811" i="35"/>
  <c r="U811" i="35"/>
  <c r="P367" i="35"/>
  <c r="U367" i="35"/>
  <c r="P875" i="35"/>
  <c r="U875" i="35"/>
  <c r="P938" i="35"/>
  <c r="U938" i="35"/>
  <c r="P1088" i="35"/>
  <c r="U1088" i="35"/>
  <c r="P81" i="35"/>
  <c r="U81" i="35"/>
  <c r="P714" i="35"/>
  <c r="U714" i="35"/>
  <c r="P708" i="35"/>
  <c r="U708" i="35"/>
  <c r="P108" i="35"/>
  <c r="U108" i="35"/>
  <c r="P113" i="35"/>
  <c r="U113" i="35"/>
  <c r="P691" i="35"/>
  <c r="U691" i="35"/>
  <c r="P1079" i="35"/>
  <c r="U1079" i="35"/>
  <c r="P682" i="35"/>
  <c r="U682" i="35"/>
  <c r="P672" i="35"/>
  <c r="U672" i="35"/>
  <c r="P663" i="35"/>
  <c r="U663" i="35"/>
  <c r="P38" i="35"/>
  <c r="U38" i="35"/>
  <c r="P337" i="35"/>
  <c r="U337" i="35"/>
  <c r="P7" i="35"/>
  <c r="U7" i="35"/>
  <c r="P1086" i="35"/>
  <c r="U1086" i="35"/>
  <c r="P40" i="35"/>
  <c r="U40" i="35"/>
  <c r="P90" i="35"/>
  <c r="U90" i="35"/>
  <c r="P621" i="35"/>
  <c r="U621" i="35"/>
  <c r="P614" i="35"/>
  <c r="U614" i="35"/>
  <c r="P612" i="35"/>
  <c r="U612" i="35"/>
  <c r="P136" i="35"/>
  <c r="U136" i="35"/>
  <c r="P598" i="35"/>
  <c r="U598" i="35"/>
  <c r="P107" i="35"/>
  <c r="U107" i="35"/>
  <c r="P55" i="35"/>
  <c r="U55" i="35"/>
  <c r="P46" i="35"/>
  <c r="U46" i="35"/>
  <c r="P1077" i="35"/>
  <c r="U1077" i="35"/>
  <c r="P570" i="35"/>
  <c r="U570" i="35"/>
  <c r="P269" i="35"/>
  <c r="U269" i="35"/>
  <c r="P559" i="35"/>
  <c r="U559" i="35"/>
  <c r="P106" i="35"/>
  <c r="U106" i="35"/>
  <c r="P296" i="35"/>
  <c r="U296" i="35"/>
  <c r="P540" i="35"/>
  <c r="U540" i="35"/>
  <c r="P534" i="35"/>
  <c r="U534" i="35"/>
  <c r="P527" i="35"/>
  <c r="U527" i="35"/>
  <c r="P206" i="35"/>
  <c r="U206" i="35"/>
  <c r="P142" i="35"/>
  <c r="U142" i="35"/>
  <c r="P503" i="35"/>
  <c r="U503" i="35"/>
  <c r="P93" i="35"/>
  <c r="U93" i="35"/>
  <c r="P492" i="35"/>
  <c r="U492" i="35"/>
  <c r="P242" i="35"/>
  <c r="U242" i="35"/>
  <c r="P480" i="35"/>
  <c r="U480" i="35"/>
  <c r="P365" i="35"/>
  <c r="U365" i="35"/>
  <c r="P472" i="35"/>
  <c r="U472" i="35"/>
  <c r="P460" i="35"/>
  <c r="U460" i="35"/>
  <c r="P456" i="35"/>
  <c r="U456" i="35"/>
  <c r="P192" i="35"/>
  <c r="U192" i="35"/>
  <c r="P439" i="35"/>
  <c r="U439" i="35"/>
  <c r="P437" i="35"/>
  <c r="U437" i="35"/>
  <c r="P318" i="35"/>
  <c r="U318" i="35"/>
  <c r="P29" i="35"/>
  <c r="U29" i="35"/>
  <c r="P196" i="35"/>
  <c r="U196" i="35"/>
  <c r="P9" i="35"/>
  <c r="U9" i="35"/>
  <c r="P774" i="35"/>
  <c r="U774" i="35"/>
  <c r="P333" i="35"/>
  <c r="U333" i="35"/>
  <c r="P299" i="35"/>
  <c r="U299" i="35"/>
  <c r="P396" i="35"/>
  <c r="U396" i="35"/>
  <c r="P358" i="35"/>
  <c r="U358" i="35"/>
  <c r="P387" i="35"/>
  <c r="U387" i="35"/>
  <c r="P383" i="35"/>
  <c r="U383" i="35"/>
  <c r="P216" i="35"/>
  <c r="U216" i="35"/>
  <c r="P849" i="35"/>
  <c r="U849" i="35"/>
  <c r="P952" i="35"/>
  <c r="U952" i="35"/>
  <c r="P750" i="35"/>
  <c r="U750" i="35"/>
  <c r="P784" i="35"/>
  <c r="U784" i="35"/>
  <c r="P407" i="35"/>
  <c r="U407" i="35"/>
  <c r="P1076" i="35"/>
  <c r="U1076" i="35"/>
  <c r="P813" i="35"/>
  <c r="U813" i="35"/>
  <c r="P1072" i="35"/>
  <c r="U1072" i="35"/>
  <c r="P808" i="35"/>
  <c r="U808" i="35"/>
  <c r="P807" i="35"/>
  <c r="U807" i="35"/>
  <c r="P870" i="35"/>
  <c r="U870" i="35"/>
  <c r="P70" i="35"/>
  <c r="U70" i="35"/>
  <c r="P723" i="35"/>
  <c r="U723" i="35"/>
  <c r="P717" i="35"/>
  <c r="U717" i="35"/>
  <c r="P707" i="35"/>
  <c r="U707" i="35"/>
  <c r="P703" i="35"/>
  <c r="U703" i="35"/>
  <c r="P695" i="35"/>
  <c r="U695" i="35"/>
  <c r="P688" i="35"/>
  <c r="U688" i="35"/>
  <c r="P1078" i="35"/>
  <c r="U1078" i="35"/>
  <c r="P680" i="35"/>
  <c r="U680" i="35"/>
  <c r="P674" i="35"/>
  <c r="U674" i="35"/>
  <c r="P664" i="35"/>
  <c r="U664" i="35"/>
  <c r="P25" i="35"/>
  <c r="U25" i="35"/>
  <c r="P647" i="35"/>
  <c r="U647" i="35"/>
  <c r="P642" i="35"/>
  <c r="U642" i="35"/>
  <c r="P638" i="35"/>
  <c r="U638" i="35"/>
  <c r="P632" i="35"/>
  <c r="U632" i="35"/>
  <c r="P629" i="35"/>
  <c r="U629" i="35"/>
  <c r="P627" i="35"/>
  <c r="U627" i="35"/>
  <c r="P618" i="35"/>
  <c r="U618" i="35"/>
  <c r="P72" i="35"/>
  <c r="U72" i="35"/>
  <c r="P603" i="35"/>
  <c r="U603" i="35"/>
  <c r="P163" i="35"/>
  <c r="U163" i="35"/>
  <c r="P592" i="35"/>
  <c r="U592" i="35"/>
  <c r="P1073" i="35"/>
  <c r="U1073" i="35"/>
  <c r="P585" i="35"/>
  <c r="U585" i="35"/>
  <c r="P374" i="35"/>
  <c r="U374" i="35"/>
  <c r="P96" i="35"/>
  <c r="U96" i="35"/>
  <c r="P564" i="35"/>
  <c r="U564" i="35"/>
  <c r="P307" i="35"/>
  <c r="U307" i="35"/>
  <c r="P32" i="35"/>
  <c r="U32" i="35"/>
  <c r="P549" i="35"/>
  <c r="U549" i="35"/>
  <c r="P542" i="35"/>
  <c r="U542" i="35"/>
  <c r="P536" i="35"/>
  <c r="U536" i="35"/>
  <c r="P198" i="35"/>
  <c r="U198" i="35"/>
  <c r="P117" i="35"/>
  <c r="U117" i="35"/>
  <c r="P331" i="35"/>
  <c r="U331" i="35"/>
  <c r="P174" i="35"/>
  <c r="U174" i="35"/>
  <c r="P498" i="35"/>
  <c r="U498" i="35"/>
  <c r="P229" i="35"/>
  <c r="U229" i="35"/>
  <c r="P487" i="35"/>
  <c r="U487" i="35"/>
  <c r="P301" i="35"/>
  <c r="U301" i="35"/>
  <c r="P473" i="35"/>
  <c r="U473" i="35"/>
  <c r="P470" i="35"/>
  <c r="U470" i="35"/>
  <c r="P462" i="35"/>
  <c r="U462" i="35"/>
  <c r="P458" i="35"/>
  <c r="U458" i="35"/>
  <c r="P253" i="35"/>
  <c r="U253" i="35"/>
  <c r="P233" i="35"/>
  <c r="U233" i="35"/>
  <c r="P438" i="35"/>
  <c r="U438" i="35"/>
  <c r="P247" i="35"/>
  <c r="U247" i="35"/>
  <c r="P188" i="35"/>
  <c r="U188" i="35"/>
  <c r="P270" i="35"/>
  <c r="U270" i="35"/>
  <c r="P421" i="35"/>
  <c r="U421" i="35"/>
  <c r="P773" i="35"/>
  <c r="U773" i="35"/>
  <c r="P252" i="35"/>
  <c r="U252" i="35"/>
  <c r="P352" i="35"/>
  <c r="U352" i="35"/>
  <c r="P344" i="35"/>
  <c r="U344" i="35"/>
  <c r="P191" i="35"/>
  <c r="U191" i="35"/>
  <c r="P249" i="35"/>
  <c r="U249" i="35"/>
  <c r="P382" i="35"/>
  <c r="U382" i="35"/>
  <c r="P175" i="35"/>
  <c r="U175" i="35"/>
  <c r="P953" i="35"/>
  <c r="U953" i="35"/>
  <c r="P962" i="35"/>
  <c r="U962" i="35"/>
  <c r="P749" i="35"/>
  <c r="U749" i="35"/>
  <c r="P286" i="35"/>
  <c r="U286" i="35"/>
  <c r="P824" i="35"/>
  <c r="U824" i="35"/>
  <c r="P947" i="35"/>
  <c r="U947" i="35"/>
  <c r="P847" i="35"/>
  <c r="U847" i="35"/>
  <c r="P810" i="35"/>
  <c r="U810" i="35"/>
  <c r="P1087" i="35"/>
  <c r="U1087" i="35"/>
  <c r="P408" i="35"/>
  <c r="U408" i="35"/>
  <c r="P973" i="35"/>
  <c r="U973" i="35"/>
  <c r="P98" i="35"/>
  <c r="U98" i="35"/>
  <c r="P722" i="35"/>
  <c r="U722" i="35"/>
  <c r="P718" i="35"/>
  <c r="U718" i="35"/>
  <c r="P179" i="35"/>
  <c r="U179" i="35"/>
  <c r="P701" i="35"/>
  <c r="U701" i="35"/>
  <c r="P693" i="35"/>
  <c r="U693" i="35"/>
  <c r="P162" i="35"/>
  <c r="U162" i="35"/>
  <c r="P114" i="35"/>
  <c r="U114" i="35"/>
  <c r="P139" i="35"/>
  <c r="U139" i="35"/>
  <c r="P20" i="35"/>
  <c r="U20" i="35"/>
  <c r="P346" i="35"/>
  <c r="U346" i="35"/>
  <c r="P657" i="35"/>
  <c r="U657" i="35"/>
  <c r="P651" i="35"/>
  <c r="U651" i="35"/>
  <c r="P643" i="35"/>
  <c r="U643" i="35"/>
  <c r="P57" i="35"/>
  <c r="U57" i="35"/>
  <c r="P628" i="35"/>
  <c r="U628" i="35"/>
  <c r="P154" i="35"/>
  <c r="U154" i="35"/>
  <c r="P626" i="35"/>
  <c r="U626" i="35"/>
  <c r="P615" i="35"/>
  <c r="U615" i="35"/>
  <c r="P610" i="35"/>
  <c r="U610" i="35"/>
  <c r="P602" i="35"/>
  <c r="U602" i="35"/>
  <c r="P59" i="35"/>
  <c r="U59" i="35"/>
  <c r="P182" i="35"/>
  <c r="U182" i="35"/>
  <c r="P328" i="35"/>
  <c r="U328" i="35"/>
  <c r="P170" i="35"/>
  <c r="U170" i="35"/>
  <c r="P94" i="35"/>
  <c r="U94" i="35"/>
  <c r="P197" i="35"/>
  <c r="U197" i="35"/>
  <c r="P565" i="35"/>
  <c r="U565" i="35"/>
  <c r="P555" i="35"/>
  <c r="U555" i="35"/>
  <c r="P552" i="35"/>
  <c r="U552" i="35"/>
  <c r="P546" i="35"/>
  <c r="U546" i="35"/>
  <c r="P538" i="35"/>
  <c r="U538" i="35"/>
  <c r="P144" i="35"/>
  <c r="U144" i="35"/>
  <c r="P370" i="35"/>
  <c r="U370" i="35"/>
  <c r="P512" i="35"/>
  <c r="U512" i="35"/>
  <c r="P514" i="35"/>
  <c r="U514" i="35"/>
  <c r="P209" i="35"/>
  <c r="U209" i="35"/>
  <c r="P499" i="35"/>
  <c r="U499" i="35"/>
  <c r="P493" i="35"/>
  <c r="U493" i="35"/>
  <c r="P489" i="35"/>
  <c r="U489" i="35"/>
  <c r="P240" i="35"/>
  <c r="U240" i="35"/>
  <c r="P311" i="35"/>
  <c r="U311" i="35"/>
  <c r="P373" i="35"/>
  <c r="U373" i="35"/>
  <c r="P42" i="35"/>
  <c r="U42" i="35"/>
  <c r="P221" i="35"/>
  <c r="U221" i="35"/>
  <c r="P452" i="35"/>
  <c r="U452" i="35"/>
  <c r="P111" i="35"/>
  <c r="U111" i="35"/>
  <c r="P177" i="35"/>
  <c r="U177" i="35"/>
  <c r="P435" i="35"/>
  <c r="U435" i="35"/>
  <c r="P22" i="35"/>
  <c r="U22" i="35"/>
  <c r="P202" i="35"/>
  <c r="U202" i="35"/>
  <c r="P420" i="35"/>
  <c r="U420" i="35"/>
  <c r="P772" i="35"/>
  <c r="U772" i="35"/>
  <c r="P167" i="35"/>
  <c r="U167" i="35"/>
  <c r="P201" i="35"/>
  <c r="U201" i="35"/>
  <c r="P395" i="35"/>
  <c r="U395" i="35"/>
  <c r="P124" i="35"/>
  <c r="U124" i="35"/>
  <c r="P386" i="35"/>
  <c r="U386" i="35"/>
  <c r="P218" i="35"/>
  <c r="U218" i="35"/>
  <c r="P376" i="35"/>
  <c r="U376" i="35"/>
  <c r="P955" i="35"/>
  <c r="U955" i="35"/>
  <c r="P885" i="35"/>
  <c r="U885" i="35"/>
  <c r="P951" i="35"/>
  <c r="U951" i="35"/>
  <c r="P853" i="35"/>
  <c r="U853" i="35"/>
  <c r="P402" i="35"/>
  <c r="U402" i="35"/>
  <c r="P852" i="35"/>
  <c r="U852" i="35"/>
  <c r="P375" i="35"/>
  <c r="U375" i="35"/>
  <c r="P809" i="35"/>
  <c r="U809" i="35"/>
  <c r="P837" i="35"/>
  <c r="U837" i="35"/>
  <c r="P806" i="35"/>
  <c r="U806" i="35"/>
  <c r="P937" i="35"/>
  <c r="U937" i="35"/>
  <c r="P132" i="35"/>
  <c r="U132" i="35"/>
  <c r="P1090" i="35"/>
  <c r="U1090" i="35"/>
  <c r="P713" i="35"/>
  <c r="U713" i="35"/>
  <c r="P287" i="35"/>
  <c r="U287" i="35"/>
  <c r="P700" i="35"/>
  <c r="U700" i="35"/>
  <c r="P11" i="35"/>
  <c r="U11" i="35"/>
  <c r="P129" i="35"/>
  <c r="U129" i="35"/>
  <c r="P678" i="35"/>
  <c r="U678" i="35"/>
  <c r="P679" i="35"/>
  <c r="U679" i="35"/>
  <c r="P671" i="35"/>
  <c r="U671" i="35"/>
  <c r="P662" i="35"/>
  <c r="U662" i="35"/>
  <c r="P16" i="35"/>
  <c r="U16" i="35"/>
  <c r="P135" i="35"/>
  <c r="U135" i="35"/>
  <c r="P644" i="35"/>
  <c r="U644" i="35"/>
  <c r="P636" i="35"/>
  <c r="U636" i="35"/>
  <c r="P631" i="35"/>
  <c r="U631" i="35"/>
  <c r="P51" i="35"/>
  <c r="U51" i="35"/>
  <c r="P104" i="35"/>
  <c r="U104" i="35"/>
  <c r="P302" i="35"/>
  <c r="U302" i="35"/>
  <c r="P105" i="35"/>
  <c r="U105" i="35"/>
  <c r="P599" i="35"/>
  <c r="U599" i="35"/>
  <c r="P596" i="35"/>
  <c r="U596" i="35"/>
  <c r="P593" i="35"/>
  <c r="U593" i="35"/>
  <c r="P589" i="35"/>
  <c r="U589" i="35"/>
  <c r="P584" i="35"/>
  <c r="U584" i="35"/>
  <c r="P582" i="35"/>
  <c r="U582" i="35"/>
  <c r="P1071" i="35"/>
  <c r="U1071" i="35"/>
  <c r="P566" i="35"/>
  <c r="U566" i="35"/>
  <c r="P554" i="35"/>
  <c r="U554" i="35"/>
  <c r="P213" i="35"/>
  <c r="U213" i="35"/>
  <c r="P545" i="35"/>
  <c r="U545" i="35"/>
  <c r="P537" i="35"/>
  <c r="U537" i="35"/>
  <c r="P529" i="35"/>
  <c r="U529" i="35"/>
  <c r="P523" i="35"/>
  <c r="U523" i="35"/>
  <c r="P515" i="35"/>
  <c r="U515" i="35"/>
  <c r="P364" i="35"/>
  <c r="U364" i="35"/>
  <c r="P510" i="35"/>
  <c r="U510" i="35"/>
  <c r="P215" i="35"/>
  <c r="U215" i="35"/>
  <c r="P145" i="35"/>
  <c r="U145" i="35"/>
  <c r="P350" i="35"/>
  <c r="U350" i="35"/>
  <c r="P235" i="35"/>
  <c r="U235" i="35"/>
  <c r="P168" i="35"/>
  <c r="U168" i="35"/>
  <c r="P156" i="35"/>
  <c r="U156" i="35"/>
  <c r="P461" i="35"/>
  <c r="U461" i="35"/>
  <c r="P13" i="35"/>
  <c r="U13" i="35"/>
  <c r="P250" i="35"/>
  <c r="U250" i="35"/>
  <c r="P443" i="35"/>
  <c r="U443" i="35"/>
  <c r="P8" i="35"/>
  <c r="U8" i="35"/>
  <c r="P434" i="35"/>
  <c r="U434" i="35"/>
  <c r="P295" i="35"/>
  <c r="U295" i="35"/>
  <c r="P153" i="35"/>
  <c r="U153" i="35"/>
  <c r="P310" i="35"/>
  <c r="U310" i="35"/>
  <c r="P904" i="35"/>
  <c r="U904" i="35"/>
  <c r="P282" i="35"/>
  <c r="U282" i="35"/>
  <c r="P277" i="35"/>
  <c r="U277" i="35"/>
  <c r="P274" i="35"/>
  <c r="U274" i="35"/>
  <c r="P195" i="35"/>
  <c r="U195" i="35"/>
  <c r="P224" i="35"/>
  <c r="U224" i="35"/>
  <c r="P381" i="35"/>
  <c r="U381" i="35"/>
  <c r="P264" i="35"/>
  <c r="U264" i="35"/>
  <c r="P1001" i="35"/>
  <c r="U1001" i="35"/>
  <c r="P345" i="35"/>
  <c r="U345" i="35"/>
  <c r="P832" i="35"/>
  <c r="U832" i="35"/>
  <c r="P826" i="35"/>
  <c r="U826" i="35"/>
  <c r="P949" i="35"/>
  <c r="U949" i="35"/>
  <c r="P815" i="35"/>
  <c r="U815" i="35"/>
  <c r="P945" i="35"/>
  <c r="U945" i="35"/>
  <c r="P942" i="35"/>
  <c r="U942" i="35"/>
  <c r="P319" i="35"/>
  <c r="U319" i="35"/>
  <c r="P940" i="35"/>
  <c r="U940" i="35"/>
  <c r="P936" i="35"/>
  <c r="U936" i="35"/>
  <c r="P357" i="35"/>
  <c r="U357" i="35"/>
  <c r="P721" i="35"/>
  <c r="U721" i="35"/>
  <c r="P715" i="35"/>
  <c r="U715" i="35"/>
  <c r="P706" i="35"/>
  <c r="U706" i="35"/>
  <c r="P203" i="35"/>
  <c r="U203" i="35"/>
  <c r="P692" i="35"/>
  <c r="U692" i="35"/>
  <c r="P300" i="35"/>
  <c r="U300" i="35"/>
  <c r="P361" i="35"/>
  <c r="U361" i="35"/>
  <c r="P681" i="35"/>
  <c r="U681" i="35"/>
  <c r="P668" i="35"/>
  <c r="U668" i="35"/>
  <c r="P71" i="35"/>
  <c r="U71" i="35"/>
  <c r="P115" i="35"/>
  <c r="U115" i="35"/>
  <c r="P654" i="35"/>
  <c r="U654" i="35"/>
  <c r="P85" i="35"/>
  <c r="U85" i="35"/>
  <c r="P82" i="35"/>
  <c r="U82" i="35"/>
  <c r="P17" i="35"/>
  <c r="U17" i="35"/>
  <c r="P130" i="35"/>
  <c r="U130" i="35"/>
  <c r="P617" i="35"/>
  <c r="U617" i="35"/>
  <c r="P322" i="35"/>
  <c r="U322" i="35"/>
  <c r="P608" i="35"/>
  <c r="U608" i="35"/>
  <c r="P601" i="35"/>
  <c r="U601" i="35"/>
  <c r="P78" i="35"/>
  <c r="U78" i="35"/>
  <c r="P77" i="35"/>
  <c r="U77" i="35"/>
  <c r="P79" i="35"/>
  <c r="U79" i="35"/>
  <c r="P97" i="35"/>
  <c r="U97" i="35"/>
  <c r="P579" i="35"/>
  <c r="U579" i="35"/>
  <c r="P569" i="35"/>
  <c r="U569" i="35"/>
  <c r="P66" i="35"/>
  <c r="U66" i="35"/>
  <c r="P348" i="35"/>
  <c r="U348" i="35"/>
  <c r="P332" i="35"/>
  <c r="U332" i="35"/>
  <c r="P548" i="35"/>
  <c r="U548" i="35"/>
  <c r="P354" i="35"/>
  <c r="U354" i="35"/>
  <c r="P528" i="35"/>
  <c r="U528" i="35"/>
  <c r="P524" i="35"/>
  <c r="U524" i="35"/>
  <c r="P513" i="35"/>
  <c r="U513" i="35"/>
  <c r="P266" i="35"/>
  <c r="U266" i="35"/>
  <c r="P194" i="35"/>
  <c r="U194" i="35"/>
  <c r="P200" i="35"/>
  <c r="U200" i="35"/>
  <c r="P152" i="35"/>
  <c r="U152" i="35"/>
  <c r="P486" i="35"/>
  <c r="U486" i="35"/>
  <c r="P477" i="35"/>
  <c r="U477" i="35"/>
  <c r="P468" i="35"/>
  <c r="U468" i="35"/>
  <c r="P48" i="35"/>
  <c r="U48" i="35"/>
  <c r="P466" i="35"/>
  <c r="U466" i="35"/>
  <c r="P453" i="35"/>
  <c r="U453" i="35"/>
  <c r="P185" i="35"/>
  <c r="U185" i="35"/>
  <c r="P441" i="35"/>
  <c r="U441" i="35"/>
  <c r="P289" i="35"/>
  <c r="U289" i="35"/>
  <c r="P330" i="35"/>
  <c r="U330" i="35"/>
  <c r="P430" i="35"/>
  <c r="U430" i="35"/>
  <c r="P427" i="35"/>
  <c r="U427" i="35"/>
  <c r="P260" i="35"/>
  <c r="U260" i="35"/>
  <c r="P411" i="35"/>
  <c r="U411" i="35"/>
  <c r="P406" i="35"/>
  <c r="U406" i="35"/>
  <c r="P303" i="35"/>
  <c r="U303" i="35"/>
  <c r="P122" i="35"/>
  <c r="U122" i="35"/>
  <c r="P363" i="35"/>
  <c r="U363" i="35"/>
  <c r="P190" i="35"/>
  <c r="U190" i="35"/>
  <c r="P186" i="35"/>
  <c r="U186" i="35"/>
  <c r="P112" i="35"/>
  <c r="U112" i="35"/>
  <c r="P283" i="35"/>
  <c r="U283" i="35"/>
  <c r="P727" i="35"/>
  <c r="U727" i="35"/>
  <c r="P831" i="35"/>
  <c r="U831" i="35"/>
  <c r="P950" i="35"/>
  <c r="U950" i="35"/>
  <c r="P746" i="35"/>
  <c r="U746" i="35"/>
  <c r="P856" i="35"/>
  <c r="U856" i="35"/>
  <c r="P812" i="35"/>
  <c r="U812" i="35"/>
  <c r="P850" i="35"/>
  <c r="U850" i="35"/>
  <c r="P834" i="35"/>
  <c r="U834" i="35"/>
  <c r="P231" i="35"/>
  <c r="U231" i="35"/>
  <c r="P741" i="35"/>
  <c r="U741" i="35"/>
  <c r="P160" i="35"/>
  <c r="U160" i="35"/>
  <c r="P280" i="35"/>
  <c r="U280" i="35"/>
  <c r="P33" i="35"/>
  <c r="U33" i="35"/>
  <c r="P716" i="35"/>
  <c r="U716" i="35"/>
  <c r="P67" i="35"/>
  <c r="U67" i="35"/>
  <c r="P702" i="35"/>
  <c r="U702" i="35"/>
  <c r="P359" i="35"/>
  <c r="U359" i="35"/>
  <c r="P689" i="35"/>
  <c r="U689" i="35"/>
  <c r="P35" i="35"/>
  <c r="U35" i="35"/>
  <c r="P673" i="35"/>
  <c r="U673" i="35"/>
  <c r="P53" i="35"/>
  <c r="U53" i="35"/>
  <c r="P27" i="35"/>
  <c r="U27" i="35"/>
  <c r="P649" i="35"/>
  <c r="U649" i="35"/>
  <c r="P655" i="35"/>
  <c r="U655" i="35"/>
  <c r="P64" i="35"/>
  <c r="U64" i="35"/>
  <c r="P39" i="35"/>
  <c r="U39" i="35"/>
  <c r="P62" i="35"/>
  <c r="U62" i="35"/>
  <c r="P625" i="35"/>
  <c r="U625" i="35"/>
  <c r="P616" i="35"/>
  <c r="U616" i="35"/>
  <c r="P99" i="35"/>
  <c r="U99" i="35"/>
  <c r="P126" i="35"/>
  <c r="U126" i="35"/>
  <c r="P205" i="35"/>
  <c r="U205" i="35"/>
  <c r="P595" i="35"/>
  <c r="U595" i="35"/>
  <c r="P591" i="35"/>
  <c r="U591" i="35"/>
  <c r="P587" i="35"/>
  <c r="U587" i="35"/>
  <c r="P49" i="35"/>
  <c r="U49" i="35"/>
  <c r="P580" i="35"/>
  <c r="U580" i="35"/>
  <c r="P568" i="35"/>
  <c r="U568" i="35"/>
  <c r="P563" i="35"/>
  <c r="U563" i="35"/>
  <c r="P553" i="35"/>
  <c r="U553" i="35"/>
  <c r="P550" i="35"/>
  <c r="U550" i="35"/>
  <c r="P547" i="35"/>
  <c r="U547" i="35"/>
  <c r="P324" i="35"/>
  <c r="U324" i="35"/>
  <c r="P222" i="35"/>
  <c r="U222" i="35"/>
  <c r="P522" i="35"/>
  <c r="U522" i="35"/>
  <c r="P219" i="35"/>
  <c r="U219" i="35"/>
  <c r="P505" i="35"/>
  <c r="U505" i="35"/>
  <c r="P502" i="35"/>
  <c r="U502" i="35"/>
  <c r="P497" i="35"/>
  <c r="U497" i="35"/>
  <c r="P490" i="35"/>
  <c r="U490" i="35"/>
  <c r="P171" i="35"/>
  <c r="U171" i="35"/>
  <c r="P483" i="35"/>
  <c r="U483" i="35"/>
  <c r="P1097" i="35"/>
  <c r="U1097" i="35"/>
  <c r="P244" i="35"/>
  <c r="U244" i="35"/>
  <c r="P349" i="35"/>
  <c r="U349" i="35"/>
  <c r="P207" i="35"/>
  <c r="U207" i="35"/>
  <c r="P447" i="35"/>
  <c r="U447" i="35"/>
  <c r="P440" i="35"/>
  <c r="U440" i="35"/>
  <c r="P255" i="35"/>
  <c r="U255" i="35"/>
  <c r="P433" i="35"/>
  <c r="U433" i="35"/>
  <c r="P180" i="35"/>
  <c r="U180" i="35"/>
  <c r="P426" i="35"/>
  <c r="U426" i="35"/>
  <c r="P419" i="35"/>
  <c r="U419" i="35"/>
  <c r="P771" i="35"/>
  <c r="U771" i="35"/>
  <c r="P405" i="35"/>
  <c r="U405" i="35"/>
  <c r="P398" i="35"/>
  <c r="U398" i="35"/>
  <c r="P161" i="35"/>
  <c r="U161" i="35"/>
  <c r="P234" i="35"/>
  <c r="U234" i="35"/>
  <c r="P225" i="35"/>
  <c r="U225" i="35"/>
  <c r="P378" i="35"/>
  <c r="U378" i="35"/>
  <c r="P377" i="35"/>
  <c r="U377" i="35"/>
  <c r="P833" i="35"/>
  <c r="U833" i="35"/>
  <c r="P751" i="35"/>
  <c r="U751" i="35"/>
  <c r="P830" i="35"/>
  <c r="U830" i="35"/>
  <c r="P1084" i="35"/>
  <c r="U1084" i="35"/>
  <c r="P948" i="35"/>
  <c r="U948" i="35"/>
  <c r="P946" i="35"/>
  <c r="U946" i="35"/>
  <c r="P356" i="35"/>
  <c r="U356" i="35"/>
  <c r="P884" i="35"/>
  <c r="U884" i="35"/>
  <c r="P340" i="35"/>
  <c r="U340" i="35"/>
  <c r="P851" i="35"/>
  <c r="U851" i="35"/>
  <c r="P1070" i="35"/>
  <c r="U1070" i="35"/>
  <c r="P148" i="35"/>
  <c r="U148" i="35"/>
  <c r="P304" i="35"/>
  <c r="U304" i="35"/>
  <c r="P1099" i="35"/>
  <c r="U1099" i="35"/>
  <c r="P712" i="35"/>
  <c r="U712" i="35"/>
  <c r="P705" i="35"/>
  <c r="U705" i="35"/>
  <c r="P699" i="35"/>
  <c r="U699" i="35"/>
  <c r="P690" i="35"/>
  <c r="U690" i="35"/>
  <c r="P687" i="35"/>
  <c r="U687" i="35"/>
  <c r="P683" i="35"/>
  <c r="U683" i="35"/>
  <c r="P675" i="35"/>
  <c r="U675" i="35"/>
  <c r="P665" i="35"/>
  <c r="U665" i="35"/>
  <c r="P660" i="35"/>
  <c r="U660" i="35"/>
  <c r="P656" i="35"/>
  <c r="U656" i="35"/>
  <c r="P127" i="35"/>
  <c r="U127" i="35"/>
  <c r="P138" i="35"/>
  <c r="U138" i="35"/>
  <c r="P639" i="35"/>
  <c r="U639" i="35"/>
  <c r="P630" i="35"/>
  <c r="U630" i="35"/>
  <c r="P623" i="35"/>
  <c r="U623" i="35"/>
  <c r="P351" i="35"/>
  <c r="U351" i="35"/>
  <c r="P37" i="35"/>
  <c r="U37" i="35"/>
  <c r="P609" i="35"/>
  <c r="U609" i="35"/>
  <c r="P605" i="35"/>
  <c r="U605" i="35"/>
  <c r="P166" i="35"/>
  <c r="U166" i="35"/>
  <c r="P590" i="35"/>
  <c r="U590" i="35"/>
  <c r="P83" i="35"/>
  <c r="U83" i="35"/>
  <c r="P575" i="35"/>
  <c r="U575" i="35"/>
  <c r="P576" i="35"/>
  <c r="U576" i="35"/>
  <c r="P571" i="35"/>
  <c r="U571" i="35"/>
  <c r="P562" i="35"/>
  <c r="U562" i="35"/>
  <c r="P204" i="35"/>
  <c r="U204" i="35"/>
  <c r="P88" i="35"/>
  <c r="U88" i="35"/>
  <c r="P149" i="35"/>
  <c r="U149" i="35"/>
  <c r="P541" i="35"/>
  <c r="U541" i="35"/>
  <c r="P525" i="35"/>
  <c r="U525" i="35"/>
  <c r="P212" i="35"/>
  <c r="U212" i="35"/>
  <c r="P516" i="35"/>
  <c r="U516" i="35"/>
  <c r="P504" i="35"/>
  <c r="U504" i="35"/>
  <c r="P508" i="35"/>
  <c r="U508" i="35"/>
  <c r="P87" i="35"/>
  <c r="U87" i="35"/>
  <c r="P131" i="35"/>
  <c r="U131" i="35"/>
  <c r="P488" i="35"/>
  <c r="U488" i="35"/>
  <c r="P474" i="35"/>
  <c r="U474" i="35"/>
  <c r="P469" i="35"/>
  <c r="U469" i="35"/>
  <c r="P465" i="35"/>
  <c r="U465" i="35"/>
  <c r="P459" i="35"/>
  <c r="U459" i="35"/>
  <c r="P36" i="35"/>
  <c r="U36" i="35"/>
  <c r="P450" i="35"/>
  <c r="U450" i="35"/>
  <c r="P314" i="35"/>
  <c r="U314" i="35"/>
  <c r="P199" i="35"/>
  <c r="U199" i="35"/>
  <c r="P432" i="35"/>
  <c r="U432" i="35"/>
  <c r="P15" i="35"/>
  <c r="U15" i="35"/>
  <c r="P372" i="35"/>
  <c r="U372" i="35"/>
  <c r="P418" i="35"/>
  <c r="U418" i="35"/>
  <c r="P770" i="35"/>
  <c r="U770" i="35"/>
  <c r="P403" i="35"/>
  <c r="U403" i="35"/>
  <c r="P347" i="35"/>
  <c r="U347" i="35"/>
  <c r="P394" i="35"/>
  <c r="U394" i="35"/>
  <c r="P134" i="35"/>
  <c r="U134" i="35"/>
  <c r="P385" i="35"/>
  <c r="U385" i="35"/>
  <c r="P379" i="35"/>
  <c r="U379" i="35"/>
  <c r="P298" i="35"/>
  <c r="U298" i="35"/>
  <c r="P823" i="35"/>
  <c r="U823" i="35"/>
  <c r="P335" i="35"/>
  <c r="U335" i="35"/>
  <c r="P959" i="35"/>
  <c r="U959" i="35"/>
  <c r="P925" i="35"/>
  <c r="U925" i="35"/>
  <c r="P726" i="35"/>
  <c r="U726" i="35"/>
  <c r="P1083" i="35"/>
  <c r="U1083" i="35"/>
  <c r="P944" i="35"/>
  <c r="U944" i="35"/>
  <c r="P291" i="35"/>
  <c r="U291" i="35"/>
  <c r="P1075" i="35"/>
  <c r="U1075" i="35"/>
  <c r="P939" i="35"/>
  <c r="U939" i="35"/>
  <c r="P28" i="35"/>
  <c r="U28" i="35"/>
  <c r="P342" i="35"/>
  <c r="U342" i="35"/>
  <c r="P1096" i="35"/>
  <c r="U1096" i="35"/>
  <c r="P711" i="35"/>
  <c r="U711" i="35"/>
  <c r="P74" i="35"/>
  <c r="U74" i="35"/>
  <c r="P694" i="35"/>
  <c r="U694" i="35"/>
  <c r="P128" i="35"/>
  <c r="U128" i="35"/>
  <c r="P312" i="35"/>
  <c r="U312" i="35"/>
  <c r="P677" i="35"/>
  <c r="U677" i="35"/>
  <c r="P670" i="35"/>
  <c r="U670" i="35"/>
  <c r="P309" i="35"/>
  <c r="U309" i="35"/>
  <c r="P659" i="35"/>
  <c r="U659" i="35"/>
  <c r="P164" i="35"/>
  <c r="U164" i="35"/>
  <c r="P650" i="35"/>
  <c r="U650" i="35"/>
  <c r="P119" i="35"/>
  <c r="U119" i="35"/>
  <c r="P30" i="35"/>
  <c r="U30" i="35"/>
  <c r="P634" i="35"/>
  <c r="U634" i="35"/>
  <c r="P624" i="35"/>
  <c r="U624" i="35"/>
  <c r="P100" i="35"/>
  <c r="U100" i="35"/>
  <c r="P56" i="35"/>
  <c r="U56" i="35"/>
  <c r="P61" i="35"/>
  <c r="U61" i="35"/>
  <c r="P600" i="35"/>
  <c r="U600" i="35"/>
  <c r="P271" i="35"/>
  <c r="U271" i="35"/>
  <c r="P80" i="35"/>
  <c r="U80" i="35"/>
  <c r="P118" i="35"/>
  <c r="U118" i="35"/>
  <c r="P63" i="35"/>
  <c r="U63" i="35"/>
  <c r="P581" i="35"/>
  <c r="U581" i="35"/>
  <c r="P58" i="35"/>
  <c r="U58" i="35"/>
  <c r="P560" i="35"/>
  <c r="U560" i="35"/>
  <c r="P556" i="35"/>
  <c r="U556" i="35"/>
  <c r="P551" i="35"/>
  <c r="U551" i="35"/>
  <c r="P109" i="35"/>
  <c r="U109" i="35"/>
  <c r="P543" i="35"/>
  <c r="U543" i="35"/>
  <c r="P526" i="35"/>
  <c r="U526" i="35"/>
  <c r="P521" i="35"/>
  <c r="U521" i="35"/>
  <c r="P226" i="35"/>
  <c r="U226" i="35"/>
  <c r="P509" i="35"/>
  <c r="U509" i="35"/>
  <c r="P506" i="35"/>
  <c r="U506" i="35"/>
  <c r="P227" i="35"/>
  <c r="U227" i="35"/>
  <c r="P484" i="35"/>
  <c r="U484" i="35"/>
  <c r="P210" i="35"/>
  <c r="U210" i="35"/>
  <c r="P478" i="35"/>
  <c r="U478" i="35"/>
  <c r="P258" i="35"/>
  <c r="U258" i="35"/>
  <c r="P273" i="35"/>
  <c r="U273" i="35"/>
  <c r="P338" i="35"/>
  <c r="U338" i="35"/>
  <c r="P368" i="35"/>
  <c r="U368" i="35"/>
  <c r="P449" i="35"/>
  <c r="U449" i="35"/>
  <c r="P256" i="35"/>
  <c r="U256" i="35"/>
  <c r="P263" i="35"/>
  <c r="U263" i="35"/>
  <c r="P431" i="35"/>
  <c r="U431" i="35"/>
  <c r="P429" i="35"/>
  <c r="U429" i="35"/>
  <c r="P425" i="35"/>
  <c r="U425" i="35"/>
  <c r="P193" i="35"/>
  <c r="U193" i="35"/>
  <c r="P769" i="35"/>
  <c r="U769" i="35"/>
  <c r="P903" i="35"/>
  <c r="U903" i="35"/>
  <c r="P397" i="35"/>
  <c r="U397" i="35"/>
  <c r="P392" i="35"/>
  <c r="U392" i="35"/>
  <c r="P360" i="35"/>
  <c r="U360" i="35"/>
  <c r="P384" i="35"/>
  <c r="U384" i="35"/>
  <c r="P241" i="35"/>
  <c r="U241" i="35"/>
  <c r="P236" i="35"/>
  <c r="U236" i="35"/>
  <c r="P822" i="35"/>
  <c r="U822" i="35"/>
  <c r="P820" i="35"/>
  <c r="U820" i="35"/>
  <c r="P842" i="35"/>
  <c r="U842" i="35"/>
  <c r="P748" i="35"/>
  <c r="U748" i="35"/>
  <c r="P293" i="35"/>
  <c r="U293" i="35"/>
  <c r="P731" i="35"/>
  <c r="U731" i="35"/>
  <c r="P943" i="35"/>
  <c r="U943" i="35"/>
  <c r="P729" i="35"/>
  <c r="U729" i="35"/>
  <c r="P901" i="35"/>
  <c r="U901" i="35"/>
  <c r="P742" i="35"/>
  <c r="U742" i="35"/>
  <c r="P75" i="35"/>
  <c r="U75" i="35"/>
  <c r="P288" i="35"/>
  <c r="U288" i="35"/>
  <c r="P719" i="35"/>
  <c r="U719" i="35"/>
  <c r="P1080" i="35"/>
  <c r="U1080" i="35"/>
  <c r="P704" i="35"/>
  <c r="U704" i="35"/>
  <c r="P696" i="35"/>
  <c r="U696" i="35"/>
  <c r="P34" i="35"/>
  <c r="U34" i="35"/>
  <c r="P1098" i="35"/>
  <c r="U1098" i="35"/>
  <c r="P133" i="35"/>
  <c r="U133" i="35"/>
  <c r="P676" i="35"/>
  <c r="U676" i="35"/>
  <c r="P666" i="35"/>
  <c r="U666" i="35"/>
  <c r="P658" i="35"/>
  <c r="U658" i="35"/>
  <c r="P648" i="35"/>
  <c r="U648" i="35"/>
  <c r="P184" i="35"/>
  <c r="U184" i="35"/>
  <c r="P640" i="35"/>
  <c r="U640" i="35"/>
  <c r="P176" i="35"/>
  <c r="U176" i="35"/>
  <c r="P116" i="35"/>
  <c r="U116" i="35"/>
  <c r="P18" i="35"/>
  <c r="U18" i="35"/>
  <c r="P619" i="35"/>
  <c r="U619" i="35"/>
  <c r="P611" i="35"/>
  <c r="U611" i="35"/>
  <c r="P169" i="35"/>
  <c r="U169" i="35"/>
  <c r="P604" i="35"/>
  <c r="U604" i="35"/>
  <c r="P594" i="35"/>
  <c r="U594" i="35"/>
  <c r="P50" i="35"/>
  <c r="U50" i="35"/>
  <c r="P586" i="35"/>
  <c r="U586" i="35"/>
  <c r="P1093" i="35"/>
  <c r="U1093" i="35"/>
  <c r="P578" i="35"/>
  <c r="U578" i="35"/>
  <c r="P230" i="35"/>
  <c r="U230" i="35"/>
  <c r="P561" i="35"/>
  <c r="U561" i="35"/>
  <c r="P284" i="35"/>
  <c r="U284" i="35"/>
  <c r="P76" i="35"/>
  <c r="U76" i="35"/>
  <c r="P150" i="35"/>
  <c r="U150" i="35"/>
  <c r="P532" i="35"/>
  <c r="U532" i="35"/>
  <c r="P530" i="35"/>
  <c r="U530" i="35"/>
  <c r="P316" i="35"/>
  <c r="U316" i="35"/>
  <c r="P245" i="35"/>
  <c r="U245" i="35"/>
  <c r="P158" i="35"/>
  <c r="U158" i="35"/>
  <c r="P501" i="35"/>
  <c r="U501" i="35"/>
  <c r="P243" i="35"/>
  <c r="U243" i="35"/>
  <c r="P294" i="35"/>
  <c r="U294" i="35"/>
  <c r="P485" i="35"/>
  <c r="U485" i="35"/>
  <c r="P479" i="35"/>
  <c r="U479" i="35"/>
  <c r="P6" i="35"/>
  <c r="U6" i="35"/>
  <c r="P467" i="35"/>
  <c r="U467" i="35"/>
  <c r="P455" i="35"/>
  <c r="U455" i="35"/>
  <c r="P123" i="35"/>
  <c r="U123" i="35"/>
  <c r="P339" i="35"/>
  <c r="U339" i="35"/>
  <c r="P444" i="35"/>
  <c r="U444" i="35"/>
  <c r="P217" i="35"/>
  <c r="U217" i="35"/>
  <c r="P267" i="35"/>
  <c r="U267" i="35"/>
  <c r="P428" i="35"/>
  <c r="U428" i="35"/>
  <c r="P26" i="35"/>
  <c r="U26" i="35"/>
  <c r="P297" i="35"/>
  <c r="U297" i="35"/>
  <c r="P369" i="35"/>
  <c r="U369" i="35"/>
  <c r="P238" i="35"/>
  <c r="U238" i="35"/>
  <c r="P400" i="35"/>
  <c r="U400" i="35"/>
  <c r="P181" i="35"/>
  <c r="U181" i="35"/>
  <c r="P389" i="35"/>
  <c r="U389" i="35"/>
  <c r="P208" i="35"/>
  <c r="U208" i="35"/>
  <c r="P237" i="35"/>
  <c r="U237" i="35"/>
  <c r="P281" i="35"/>
  <c r="U281" i="35"/>
  <c r="P752" i="35"/>
  <c r="U752" i="35"/>
  <c r="P414" i="35"/>
  <c r="U414" i="35"/>
  <c r="P413" i="35"/>
  <c r="U413" i="35"/>
  <c r="P401" i="35"/>
  <c r="U401" i="35"/>
  <c r="P745" i="35"/>
  <c r="U745" i="35"/>
  <c r="P744" i="35"/>
  <c r="U744" i="35"/>
  <c r="P997" i="35"/>
  <c r="U997" i="35"/>
  <c r="P941" i="35"/>
  <c r="U941" i="35"/>
  <c r="P899" i="35"/>
  <c r="U899" i="35"/>
  <c r="P404" i="35"/>
  <c r="U404" i="35"/>
  <c r="P89" i="35"/>
  <c r="U89" i="35"/>
  <c r="P92" i="35"/>
  <c r="U92" i="35"/>
  <c r="P110" i="35"/>
  <c r="U110" i="35"/>
  <c r="P710" i="35"/>
  <c r="U710" i="35"/>
  <c r="P103" i="35"/>
  <c r="U103" i="35"/>
  <c r="P95" i="35"/>
  <c r="U95" i="35"/>
  <c r="P278" i="35"/>
  <c r="U278" i="35"/>
  <c r="P686" i="35"/>
  <c r="U686" i="35"/>
  <c r="P86" i="35"/>
  <c r="U86" i="35"/>
  <c r="P1085" i="35"/>
  <c r="U1085" i="35"/>
  <c r="P667" i="35"/>
  <c r="U667" i="35"/>
  <c r="P661" i="35"/>
  <c r="U661" i="35"/>
  <c r="P646" i="35"/>
  <c r="U646" i="35"/>
  <c r="P143" i="35"/>
  <c r="U143" i="35"/>
  <c r="P3" i="35"/>
  <c r="U3" i="35"/>
  <c r="P272" i="35"/>
  <c r="U272" i="35"/>
  <c r="P633" i="35"/>
  <c r="U633" i="35"/>
  <c r="P172" i="35"/>
  <c r="U172" i="35"/>
  <c r="P620" i="35"/>
  <c r="U620" i="35"/>
  <c r="P613" i="35"/>
  <c r="U613" i="35"/>
  <c r="P65" i="35"/>
  <c r="U65" i="35"/>
  <c r="P606" i="35"/>
  <c r="U606" i="35"/>
  <c r="P120" i="35"/>
  <c r="U120" i="35"/>
  <c r="P588" i="35"/>
  <c r="U588" i="35"/>
  <c r="P1081" i="35"/>
  <c r="U1081" i="35"/>
  <c r="P577" i="35"/>
  <c r="U577" i="35"/>
  <c r="P574" i="35"/>
  <c r="U574" i="35"/>
  <c r="P84" i="35"/>
  <c r="U84" i="35"/>
  <c r="P257" i="35"/>
  <c r="U257" i="35"/>
  <c r="P305" i="35"/>
  <c r="U305" i="35"/>
  <c r="P183" i="35"/>
  <c r="U183" i="35"/>
  <c r="P341" i="35"/>
  <c r="U341" i="35"/>
  <c r="P533" i="35"/>
  <c r="U533" i="35"/>
  <c r="P251" i="35"/>
  <c r="U251" i="35"/>
  <c r="P520" i="35"/>
  <c r="U520" i="35"/>
  <c r="P511" i="35"/>
  <c r="U511" i="35"/>
  <c r="P353" i="35"/>
  <c r="U353" i="35"/>
  <c r="P1074" i="35"/>
  <c r="U1074" i="35"/>
  <c r="P494" i="35"/>
  <c r="U494" i="35"/>
  <c r="P151" i="35"/>
  <c r="U151" i="35"/>
  <c r="P482" i="35"/>
  <c r="U482" i="35"/>
  <c r="P475" i="35"/>
  <c r="U475" i="35"/>
  <c r="P14" i="35"/>
  <c r="U14" i="35"/>
  <c r="P464" i="35"/>
  <c r="U464" i="35"/>
  <c r="P308" i="35"/>
  <c r="U308" i="35"/>
  <c r="P254" i="35"/>
  <c r="U254" i="35"/>
  <c r="P157" i="35"/>
  <c r="U157" i="35"/>
  <c r="P442" i="35"/>
  <c r="U442" i="35"/>
  <c r="P187" i="35"/>
  <c r="U187" i="35"/>
  <c r="P290" i="35"/>
  <c r="U290" i="35"/>
  <c r="P232" i="35"/>
  <c r="U232" i="35"/>
  <c r="P423" i="35"/>
  <c r="U423" i="35"/>
  <c r="P285" i="35"/>
  <c r="U285" i="35"/>
  <c r="P409" i="35"/>
  <c r="U409" i="35"/>
  <c r="P173" i="35"/>
  <c r="U173" i="35"/>
  <c r="P399" i="35"/>
  <c r="U399" i="35"/>
  <c r="P393" i="35"/>
  <c r="U393" i="35"/>
  <c r="P388" i="35"/>
  <c r="U388" i="35"/>
  <c r="P228" i="35"/>
  <c r="U228" i="35"/>
  <c r="P380" i="35"/>
  <c r="U380" i="35"/>
  <c r="P893" i="35"/>
  <c r="U893" i="35"/>
  <c r="P732" i="35"/>
  <c r="U732" i="35"/>
  <c r="P848" i="35"/>
  <c r="U848" i="35"/>
  <c r="P999" i="35"/>
  <c r="U999" i="35"/>
  <c r="P817" i="35"/>
  <c r="U817" i="35"/>
  <c r="P998" i="35"/>
  <c r="U998" i="35"/>
  <c r="P829" i="35"/>
  <c r="U829" i="35"/>
  <c r="P753" i="35"/>
  <c r="U753" i="35"/>
  <c r="P841" i="35"/>
  <c r="U841" i="35"/>
  <c r="P323" i="35"/>
  <c r="U323" i="35"/>
  <c r="I8" i="5"/>
  <c r="J8" i="5" s="1"/>
  <c r="H8" i="5"/>
  <c r="K8" i="5"/>
  <c r="L8" i="5" s="1"/>
  <c r="K39" i="5"/>
  <c r="L39" i="5" s="1"/>
  <c r="H39" i="5"/>
  <c r="I39" i="5"/>
  <c r="J39" i="5" s="1"/>
  <c r="I66" i="5"/>
  <c r="J66" i="5" s="1"/>
  <c r="H66" i="5"/>
  <c r="K66" i="5"/>
  <c r="L66" i="5" s="1"/>
  <c r="I53" i="5"/>
  <c r="J53" i="5" s="1"/>
  <c r="K53" i="5"/>
  <c r="L53" i="5" s="1"/>
  <c r="H53" i="5"/>
  <c r="I84" i="5"/>
  <c r="J84" i="5" s="1"/>
  <c r="K84" i="5"/>
  <c r="L84" i="5" s="1"/>
  <c r="H84" i="5"/>
  <c r="I87" i="5"/>
  <c r="J87" i="5" s="1"/>
  <c r="K87" i="5"/>
  <c r="L87" i="5" s="1"/>
  <c r="H87" i="5"/>
  <c r="I49" i="5"/>
  <c r="J49" i="5" s="1"/>
  <c r="K49" i="5"/>
  <c r="L49" i="5" s="1"/>
  <c r="H49" i="5"/>
  <c r="H11" i="5"/>
  <c r="K11" i="5"/>
  <c r="L11" i="5" s="1"/>
  <c r="K45" i="5"/>
  <c r="L45" i="5" s="1"/>
  <c r="H45" i="5"/>
  <c r="I45" i="5"/>
  <c r="J45" i="5" s="1"/>
  <c r="K34" i="5"/>
  <c r="L34" i="5" s="1"/>
  <c r="I34" i="5"/>
  <c r="J34" i="5" s="1"/>
  <c r="H34" i="5"/>
  <c r="I22" i="5"/>
  <c r="J22" i="5" s="1"/>
  <c r="K22" i="5"/>
  <c r="L22" i="5" s="1"/>
  <c r="H22" i="5"/>
  <c r="I19" i="5"/>
  <c r="J19" i="5" s="1"/>
  <c r="K19" i="5"/>
  <c r="L19" i="5" s="1"/>
  <c r="I42" i="5"/>
  <c r="J42" i="5" s="1"/>
  <c r="K42" i="5"/>
  <c r="L42" i="5" s="1"/>
  <c r="H42" i="5"/>
  <c r="I10" i="5"/>
  <c r="J10" i="5" s="1"/>
  <c r="K10" i="5"/>
  <c r="L10" i="5" s="1"/>
  <c r="H10" i="5"/>
  <c r="I70" i="5"/>
  <c r="J70" i="5" s="1"/>
  <c r="K70" i="5"/>
  <c r="L70" i="5" s="1"/>
  <c r="H70" i="5"/>
  <c r="I30" i="5"/>
  <c r="J30" i="5" s="1"/>
  <c r="H30" i="5"/>
  <c r="K30" i="5"/>
  <c r="L30" i="5" s="1"/>
  <c r="H99" i="5"/>
  <c r="K99" i="5"/>
  <c r="L99" i="5" s="1"/>
  <c r="I50" i="5"/>
  <c r="J50" i="5" s="1"/>
  <c r="K50" i="5"/>
  <c r="L50" i="5" s="1"/>
  <c r="H50" i="5"/>
  <c r="K69" i="5"/>
  <c r="L69" i="5" s="1"/>
  <c r="H69" i="5"/>
  <c r="I69" i="5"/>
  <c r="J69" i="5" s="1"/>
  <c r="H58" i="5"/>
  <c r="K58" i="5"/>
  <c r="L58" i="5" s="1"/>
  <c r="I58" i="5"/>
  <c r="J58" i="5" s="1"/>
  <c r="K18" i="5"/>
  <c r="L18" i="5" s="1"/>
  <c r="H18" i="5"/>
  <c r="I18" i="5"/>
  <c r="J18" i="5" s="1"/>
  <c r="H98" i="5"/>
  <c r="I98" i="5"/>
  <c r="J98" i="5" s="1"/>
  <c r="K98" i="5"/>
  <c r="L98" i="5" s="1"/>
  <c r="H97" i="5"/>
  <c r="I97" i="5"/>
  <c r="J97" i="5" s="1"/>
  <c r="K97" i="5"/>
  <c r="L97" i="5" s="1"/>
  <c r="I26" i="5"/>
  <c r="J26" i="5" s="1"/>
  <c r="K26" i="5"/>
  <c r="L26" i="5" s="1"/>
  <c r="H26" i="5"/>
  <c r="H96" i="5"/>
  <c r="I96" i="5"/>
  <c r="J96" i="5" s="1"/>
  <c r="H35" i="5"/>
  <c r="I35" i="5"/>
  <c r="J35" i="5" s="1"/>
  <c r="K35" i="5"/>
  <c r="L35" i="5" s="1"/>
  <c r="H91" i="5"/>
  <c r="K91" i="5"/>
  <c r="L91" i="5" s="1"/>
  <c r="I91" i="5"/>
  <c r="J91" i="5" s="1"/>
  <c r="I74" i="5"/>
  <c r="J74" i="5" s="1"/>
  <c r="H74" i="5"/>
  <c r="K74" i="5"/>
  <c r="L74" i="5" s="1"/>
  <c r="I94" i="5"/>
  <c r="J94" i="5" s="1"/>
  <c r="H94" i="5"/>
  <c r="K94" i="5"/>
  <c r="L94" i="5" s="1"/>
  <c r="K15" i="5"/>
  <c r="L15" i="5" s="1"/>
  <c r="H15" i="5"/>
  <c r="I15" i="5"/>
  <c r="J15" i="5" s="1"/>
  <c r="I62" i="5"/>
  <c r="J62" i="5" s="1"/>
  <c r="H62" i="5"/>
  <c r="K62" i="5"/>
  <c r="L62" i="5" s="1"/>
  <c r="I12" i="5"/>
  <c r="J12" i="5" s="1"/>
  <c r="H12" i="5"/>
  <c r="K12" i="5"/>
  <c r="L12" i="5" s="1"/>
  <c r="H54" i="5"/>
  <c r="I11" i="5"/>
  <c r="J11" i="5" s="1"/>
  <c r="H46" i="5"/>
  <c r="H19" i="5"/>
  <c r="K54" i="5"/>
  <c r="L54" i="5" s="1"/>
  <c r="K46" i="5"/>
  <c r="L46" i="5" s="1"/>
  <c r="I41" i="5"/>
  <c r="J41" i="5" s="1"/>
  <c r="H41" i="5"/>
  <c r="K41" i="5"/>
  <c r="L41" i="5" s="1"/>
  <c r="K40" i="5"/>
  <c r="L40" i="5" s="1"/>
  <c r="H40" i="5"/>
  <c r="I40" i="5"/>
  <c r="J40" i="5" s="1"/>
  <c r="H72" i="5"/>
  <c r="I72" i="5"/>
  <c r="J72" i="5" s="1"/>
  <c r="K72" i="5"/>
  <c r="L72" i="5" s="1"/>
  <c r="H63" i="5"/>
  <c r="I63" i="5"/>
  <c r="J63" i="5" s="1"/>
  <c r="K63" i="5"/>
  <c r="L63" i="5" s="1"/>
  <c r="I38" i="5"/>
  <c r="J38" i="5" s="1"/>
  <c r="H38" i="5"/>
  <c r="K38" i="5"/>
  <c r="L38" i="5" s="1"/>
  <c r="K29" i="5"/>
  <c r="L29" i="5" s="1"/>
  <c r="H29" i="5"/>
  <c r="I29" i="5"/>
  <c r="J29" i="5" s="1"/>
  <c r="H76" i="5"/>
  <c r="I76" i="5"/>
  <c r="J76" i="5" s="1"/>
  <c r="K76" i="5"/>
  <c r="L76" i="5" s="1"/>
  <c r="H86" i="5"/>
  <c r="K86" i="5"/>
  <c r="L86" i="5" s="1"/>
  <c r="I86" i="5"/>
  <c r="J86" i="5" s="1"/>
  <c r="I102" i="5"/>
  <c r="J102" i="5" s="1"/>
  <c r="H102" i="5"/>
  <c r="K102" i="5"/>
  <c r="L102" i="5" s="1"/>
  <c r="H27" i="5"/>
  <c r="I27" i="5"/>
  <c r="J27" i="5" s="1"/>
  <c r="K27" i="5"/>
  <c r="L27" i="5" s="1"/>
  <c r="H71" i="5"/>
  <c r="I71" i="5"/>
  <c r="J71" i="5" s="1"/>
  <c r="K71" i="5"/>
  <c r="L71" i="5" s="1"/>
  <c r="K88" i="5"/>
  <c r="L88" i="5" s="1"/>
  <c r="H88" i="5"/>
  <c r="I88" i="5"/>
  <c r="J88" i="5" s="1"/>
  <c r="I60" i="5"/>
  <c r="J60" i="5" s="1"/>
  <c r="K60" i="5"/>
  <c r="L60" i="5" s="1"/>
  <c r="H60" i="5"/>
  <c r="H52" i="5"/>
  <c r="I52" i="5"/>
  <c r="J52" i="5" s="1"/>
  <c r="K52" i="5"/>
  <c r="L52" i="5" s="1"/>
  <c r="I44" i="5"/>
  <c r="J44" i="5" s="1"/>
  <c r="H44" i="5"/>
  <c r="K44" i="5"/>
  <c r="L44" i="5" s="1"/>
  <c r="I17" i="5"/>
  <c r="J17" i="5" s="1"/>
  <c r="H17" i="5"/>
  <c r="K17" i="5"/>
  <c r="L17" i="5" s="1"/>
  <c r="K9" i="5"/>
  <c r="L9" i="5" s="1"/>
  <c r="H9" i="5"/>
  <c r="I9" i="5"/>
  <c r="J9" i="5" s="1"/>
  <c r="H79" i="5"/>
  <c r="I79" i="5"/>
  <c r="J79" i="5" s="1"/>
  <c r="K79" i="5"/>
  <c r="L79" i="5" s="1"/>
  <c r="H89" i="5"/>
  <c r="K89" i="5"/>
  <c r="L89" i="5" s="1"/>
  <c r="I89" i="5"/>
  <c r="J89" i="5" s="1"/>
  <c r="H37" i="5"/>
  <c r="I37" i="5"/>
  <c r="J37" i="5" s="1"/>
  <c r="K37" i="5"/>
  <c r="L37" i="5" s="1"/>
  <c r="I101" i="5"/>
  <c r="J101" i="5" s="1"/>
  <c r="H101" i="5"/>
  <c r="K101" i="5"/>
  <c r="L101" i="5" s="1"/>
  <c r="I59" i="5"/>
  <c r="J59" i="5" s="1"/>
  <c r="K59" i="5"/>
  <c r="L59" i="5" s="1"/>
  <c r="H59" i="5"/>
  <c r="I51" i="5"/>
  <c r="J51" i="5" s="1"/>
  <c r="K51" i="5"/>
  <c r="L51" i="5" s="1"/>
  <c r="H51" i="5"/>
  <c r="H43" i="5"/>
  <c r="K43" i="5"/>
  <c r="L43" i="5" s="1"/>
  <c r="I43" i="5"/>
  <c r="J43" i="5" s="1"/>
  <c r="H25" i="5"/>
  <c r="K25" i="5"/>
  <c r="L25" i="5" s="1"/>
  <c r="I25" i="5"/>
  <c r="J25" i="5" s="1"/>
  <c r="H16" i="5"/>
  <c r="K16" i="5"/>
  <c r="L16" i="5" s="1"/>
  <c r="I16" i="5"/>
  <c r="J16" i="5" s="1"/>
  <c r="I80" i="5"/>
  <c r="J80" i="5" s="1"/>
  <c r="K80" i="5"/>
  <c r="L80" i="5" s="1"/>
  <c r="H80" i="5"/>
  <c r="K90" i="5"/>
  <c r="L90" i="5" s="1"/>
  <c r="H90" i="5"/>
  <c r="I90" i="5"/>
  <c r="J90" i="5" s="1"/>
  <c r="K68" i="5"/>
  <c r="L68" i="5" s="1"/>
  <c r="I68" i="5"/>
  <c r="J68" i="5" s="1"/>
  <c r="H68" i="5"/>
  <c r="I24" i="5"/>
  <c r="J24" i="5" s="1"/>
  <c r="H24" i="5"/>
  <c r="K24" i="5"/>
  <c r="L24" i="5" s="1"/>
  <c r="K81" i="5"/>
  <c r="L81" i="5" s="1"/>
  <c r="H81" i="5"/>
  <c r="I81" i="5"/>
  <c r="J81" i="5" s="1"/>
  <c r="K36" i="5"/>
  <c r="L36" i="5" s="1"/>
  <c r="H36" i="5"/>
  <c r="I36" i="5"/>
  <c r="J36" i="5" s="1"/>
  <c r="H61" i="5"/>
  <c r="I61" i="5"/>
  <c r="J61" i="5" s="1"/>
  <c r="K61" i="5"/>
  <c r="L61" i="5" s="1"/>
  <c r="I78" i="5"/>
  <c r="J78" i="5" s="1"/>
  <c r="H78" i="5"/>
  <c r="K78" i="5"/>
  <c r="L78" i="5" s="1"/>
  <c r="H67" i="5"/>
  <c r="K67" i="5"/>
  <c r="L67" i="5" s="1"/>
  <c r="I67" i="5"/>
  <c r="J67" i="5" s="1"/>
  <c r="H33" i="5"/>
  <c r="I33" i="5"/>
  <c r="J33" i="5" s="1"/>
  <c r="K33" i="5"/>
  <c r="L33" i="5" s="1"/>
  <c r="K23" i="5"/>
  <c r="L23" i="5" s="1"/>
  <c r="H23" i="5"/>
  <c r="I23" i="5"/>
  <c r="J23" i="5" s="1"/>
  <c r="K7" i="5"/>
  <c r="L7" i="5" s="1"/>
  <c r="I7" i="5"/>
  <c r="J7" i="5" s="1"/>
  <c r="H7" i="5"/>
  <c r="I82" i="5"/>
  <c r="J82" i="5" s="1"/>
  <c r="K82" i="5"/>
  <c r="L82" i="5" s="1"/>
  <c r="H82" i="5"/>
  <c r="H32" i="5"/>
  <c r="K32" i="5"/>
  <c r="L32" i="5" s="1"/>
  <c r="I32" i="5"/>
  <c r="J32" i="5" s="1"/>
  <c r="I14" i="5"/>
  <c r="J14" i="5" s="1"/>
  <c r="K14" i="5"/>
  <c r="L14" i="5" s="1"/>
  <c r="H14" i="5"/>
  <c r="I6" i="5"/>
  <c r="J6" i="5" s="1"/>
  <c r="H6" i="5"/>
  <c r="K6" i="5"/>
  <c r="L6" i="5" s="1"/>
  <c r="K83" i="5"/>
  <c r="L83" i="5" s="1"/>
  <c r="I83" i="5"/>
  <c r="J83" i="5" s="1"/>
  <c r="H83" i="5"/>
  <c r="K92" i="5"/>
  <c r="L92" i="5" s="1"/>
  <c r="H92" i="5"/>
  <c r="I92" i="5"/>
  <c r="J92" i="5" s="1"/>
  <c r="H31" i="5"/>
  <c r="I31" i="5"/>
  <c r="J31" i="5" s="1"/>
  <c r="K31" i="5"/>
  <c r="L31" i="5" s="1"/>
  <c r="I13" i="5"/>
  <c r="J13" i="5" s="1"/>
  <c r="H13" i="5"/>
  <c r="K13" i="5"/>
  <c r="L13" i="5" s="1"/>
  <c r="I93" i="5"/>
  <c r="J93" i="5" s="1"/>
  <c r="H93" i="5"/>
  <c r="K93" i="5"/>
  <c r="L93" i="5" s="1"/>
  <c r="I28" i="5"/>
  <c r="J28" i="5" s="1"/>
  <c r="H28" i="5"/>
  <c r="K28" i="5"/>
  <c r="L28" i="5" s="1"/>
  <c r="K95" i="5"/>
  <c r="L95" i="5" s="1"/>
  <c r="H95" i="5"/>
  <c r="I95" i="5"/>
  <c r="J95" i="5" s="1"/>
  <c r="I65" i="5"/>
  <c r="J65" i="5" s="1"/>
  <c r="K65" i="5"/>
  <c r="L65" i="5" s="1"/>
  <c r="H65" i="5"/>
  <c r="I56" i="5"/>
  <c r="J56" i="5" s="1"/>
  <c r="H56" i="5"/>
  <c r="K56" i="5"/>
  <c r="L56" i="5" s="1"/>
  <c r="I48" i="5"/>
  <c r="J48" i="5" s="1"/>
  <c r="H48" i="5"/>
  <c r="K48" i="5"/>
  <c r="L48" i="5" s="1"/>
  <c r="K21" i="5"/>
  <c r="L21" i="5" s="1"/>
  <c r="H21" i="5"/>
  <c r="I21" i="5"/>
  <c r="J21" i="5" s="1"/>
  <c r="I73" i="5"/>
  <c r="J73" i="5" s="1"/>
  <c r="H73" i="5"/>
  <c r="K73" i="5"/>
  <c r="L73" i="5" s="1"/>
  <c r="I64" i="5"/>
  <c r="J64" i="5" s="1"/>
  <c r="H64" i="5"/>
  <c r="K64" i="5"/>
  <c r="L64" i="5" s="1"/>
  <c r="H55" i="5"/>
  <c r="K55" i="5"/>
  <c r="L55" i="5" s="1"/>
  <c r="I55" i="5"/>
  <c r="J55" i="5" s="1"/>
  <c r="H47" i="5"/>
  <c r="I47" i="5"/>
  <c r="J47" i="5" s="1"/>
  <c r="K47" i="5"/>
  <c r="L47" i="5" s="1"/>
  <c r="I20" i="5"/>
  <c r="J20" i="5" s="1"/>
  <c r="H20" i="5"/>
  <c r="K20" i="5"/>
  <c r="L20" i="5" s="1"/>
  <c r="I75" i="5"/>
  <c r="J75" i="5" s="1"/>
  <c r="K75" i="5"/>
  <c r="L75" i="5" s="1"/>
  <c r="H75" i="5"/>
  <c r="H85" i="5"/>
  <c r="K85" i="5"/>
  <c r="L85" i="5" s="1"/>
  <c r="I85" i="5"/>
  <c r="J85" i="5" s="1"/>
  <c r="I77" i="5"/>
  <c r="J77" i="5" s="1"/>
  <c r="I99" i="5"/>
  <c r="J99" i="5" s="1"/>
  <c r="H77" i="5"/>
  <c r="K100" i="5"/>
  <c r="L100" i="5" s="1"/>
  <c r="H100" i="5"/>
  <c r="K96" i="5"/>
  <c r="L96" i="5" s="1"/>
  <c r="R98" i="35"/>
  <c r="S98" i="35" s="1"/>
  <c r="R722" i="35"/>
  <c r="S722" i="35" s="1"/>
  <c r="R718" i="35"/>
  <c r="S718" i="35" s="1"/>
  <c r="R179" i="35"/>
  <c r="S179" i="35" s="1"/>
  <c r="R701" i="35"/>
  <c r="S701" i="35" s="1"/>
  <c r="R693" i="35"/>
  <c r="S693" i="35" s="1"/>
  <c r="R162" i="35"/>
  <c r="S162" i="35" s="1"/>
  <c r="R114" i="35"/>
  <c r="S114" i="35" s="1"/>
  <c r="R139" i="35"/>
  <c r="S139" i="35" s="1"/>
  <c r="R20" i="35"/>
  <c r="S20" i="35" s="1"/>
  <c r="R346" i="35"/>
  <c r="S346" i="35" s="1"/>
  <c r="R657" i="35"/>
  <c r="S657" i="35" s="1"/>
  <c r="R651" i="35"/>
  <c r="S651" i="35" s="1"/>
  <c r="R643" i="35"/>
  <c r="S643" i="35" s="1"/>
  <c r="R57" i="35"/>
  <c r="S57" i="35" s="1"/>
  <c r="R628" i="35"/>
  <c r="S628" i="35" s="1"/>
  <c r="R154" i="35"/>
  <c r="S154" i="35" s="1"/>
  <c r="R626" i="35"/>
  <c r="S626" i="35" s="1"/>
  <c r="R615" i="35"/>
  <c r="S615" i="35" s="1"/>
  <c r="R610" i="35"/>
  <c r="S610" i="35" s="1"/>
  <c r="R602" i="35"/>
  <c r="S602" i="35" s="1"/>
  <c r="R59" i="35"/>
  <c r="S59" i="35" s="1"/>
  <c r="R182" i="35"/>
  <c r="S182" i="35" s="1"/>
  <c r="R328" i="35"/>
  <c r="S328" i="35" s="1"/>
  <c r="R170" i="35"/>
  <c r="S170" i="35" s="1"/>
  <c r="R94" i="35"/>
  <c r="S94" i="35" s="1"/>
  <c r="R197" i="35"/>
  <c r="S197" i="35" s="1"/>
  <c r="R565" i="35"/>
  <c r="S565" i="35" s="1"/>
  <c r="R555" i="35"/>
  <c r="S555" i="35" s="1"/>
  <c r="R552" i="35"/>
  <c r="S552" i="35" s="1"/>
  <c r="R546" i="35"/>
  <c r="S546" i="35" s="1"/>
  <c r="R538" i="35"/>
  <c r="S538" i="35" s="1"/>
  <c r="R144" i="35"/>
  <c r="S144" i="35" s="1"/>
  <c r="R370" i="35"/>
  <c r="S370" i="35" s="1"/>
  <c r="R512" i="35"/>
  <c r="S512" i="35" s="1"/>
  <c r="R514" i="35"/>
  <c r="S514" i="35" s="1"/>
  <c r="R209" i="35"/>
  <c r="S209" i="35" s="1"/>
  <c r="R499" i="35"/>
  <c r="S499" i="35" s="1"/>
  <c r="R229" i="35"/>
  <c r="S229" i="35" s="1"/>
  <c r="R487" i="35"/>
  <c r="S487" i="35" s="1"/>
  <c r="R301" i="35"/>
  <c r="S301" i="35" s="1"/>
  <c r="R473" i="35"/>
  <c r="S473" i="35" s="1"/>
  <c r="R470" i="35"/>
  <c r="S470" i="35" s="1"/>
  <c r="R462" i="35"/>
  <c r="S462" i="35" s="1"/>
  <c r="R458" i="35"/>
  <c r="S458" i="35" s="1"/>
  <c r="R253" i="35"/>
  <c r="S253" i="35" s="1"/>
  <c r="R233" i="35"/>
  <c r="S233" i="35" s="1"/>
  <c r="R438" i="35"/>
  <c r="S438" i="35" s="1"/>
  <c r="R247" i="35"/>
  <c r="S247" i="35" s="1"/>
  <c r="R188" i="35"/>
  <c r="S188" i="35" s="1"/>
  <c r="R270" i="35"/>
  <c r="S270" i="35" s="1"/>
  <c r="R421" i="35"/>
  <c r="S421" i="35" s="1"/>
  <c r="R773" i="35"/>
  <c r="S773" i="35" s="1"/>
  <c r="R252" i="35"/>
  <c r="S252" i="35" s="1"/>
  <c r="R352" i="35"/>
  <c r="S352" i="35" s="1"/>
  <c r="R344" i="35"/>
  <c r="S344" i="35" s="1"/>
  <c r="R75" i="35"/>
  <c r="S75" i="35" s="1"/>
  <c r="R288" i="35"/>
  <c r="S288" i="35" s="1"/>
  <c r="R719" i="35"/>
  <c r="S719" i="35" s="1"/>
  <c r="R1080" i="35"/>
  <c r="S1080" i="35" s="1"/>
  <c r="R704" i="35"/>
  <c r="S704" i="35" s="1"/>
  <c r="R696" i="35"/>
  <c r="S696" i="35" s="1"/>
  <c r="R34" i="35"/>
  <c r="S34" i="35" s="1"/>
  <c r="R1098" i="35"/>
  <c r="S1098" i="35" s="1"/>
  <c r="R133" i="35"/>
  <c r="S133" i="35" s="1"/>
  <c r="R676" i="35"/>
  <c r="S676" i="35" s="1"/>
  <c r="R666" i="35"/>
  <c r="S666" i="35" s="1"/>
  <c r="R658" i="35"/>
  <c r="S658" i="35" s="1"/>
  <c r="R648" i="35"/>
  <c r="S648" i="35" s="1"/>
  <c r="R184" i="35"/>
  <c r="S184" i="35" s="1"/>
  <c r="R640" i="35"/>
  <c r="S640" i="35" s="1"/>
  <c r="R176" i="35"/>
  <c r="S176" i="35" s="1"/>
  <c r="R116" i="35"/>
  <c r="S116" i="35" s="1"/>
  <c r="R18" i="35"/>
  <c r="S18" i="35" s="1"/>
  <c r="R619" i="35"/>
  <c r="S619" i="35" s="1"/>
  <c r="R611" i="35"/>
  <c r="S611" i="35" s="1"/>
  <c r="R169" i="35"/>
  <c r="S169" i="35" s="1"/>
  <c r="R604" i="35"/>
  <c r="S604" i="35" s="1"/>
  <c r="R594" i="35"/>
  <c r="S594" i="35" s="1"/>
  <c r="R50" i="35"/>
  <c r="S50" i="35" s="1"/>
  <c r="R586" i="35"/>
  <c r="S586" i="35" s="1"/>
  <c r="R1093" i="35"/>
  <c r="S1093" i="35" s="1"/>
  <c r="R578" i="35"/>
  <c r="S578" i="35" s="1"/>
  <c r="R230" i="35"/>
  <c r="S230" i="35" s="1"/>
  <c r="R561" i="35"/>
  <c r="S561" i="35" s="1"/>
  <c r="R284" i="35"/>
  <c r="S284" i="35" s="1"/>
  <c r="R76" i="35"/>
  <c r="S76" i="35" s="1"/>
  <c r="R150" i="35"/>
  <c r="S150" i="35" s="1"/>
  <c r="R532" i="35"/>
  <c r="S532" i="35" s="1"/>
  <c r="R530" i="35"/>
  <c r="S530" i="35" s="1"/>
  <c r="R316" i="35"/>
  <c r="S316" i="35" s="1"/>
  <c r="R245" i="35"/>
  <c r="S245" i="35" s="1"/>
  <c r="R158" i="35"/>
  <c r="S158" i="35" s="1"/>
  <c r="R501" i="35"/>
  <c r="S501" i="35" s="1"/>
  <c r="R484" i="35"/>
  <c r="S484" i="35" s="1"/>
  <c r="R210" i="35"/>
  <c r="S210" i="35" s="1"/>
  <c r="R478" i="35"/>
  <c r="S478" i="35" s="1"/>
  <c r="R258" i="35"/>
  <c r="S258" i="35" s="1"/>
  <c r="R273" i="35"/>
  <c r="S273" i="35" s="1"/>
  <c r="R338" i="35"/>
  <c r="S338" i="35" s="1"/>
  <c r="R368" i="35"/>
  <c r="S368" i="35" s="1"/>
  <c r="R449" i="35"/>
  <c r="S449" i="35" s="1"/>
  <c r="R256" i="35"/>
  <c r="S256" i="35" s="1"/>
  <c r="R263" i="35"/>
  <c r="S263" i="35" s="1"/>
  <c r="R431" i="35"/>
  <c r="S431" i="35" s="1"/>
  <c r="R429" i="35"/>
  <c r="S429" i="35" s="1"/>
  <c r="R425" i="35"/>
  <c r="S425" i="35" s="1"/>
  <c r="R193" i="35"/>
  <c r="S193" i="35" s="1"/>
  <c r="R769" i="35"/>
  <c r="S769" i="35" s="1"/>
  <c r="R903" i="35"/>
  <c r="S903" i="35" s="1"/>
  <c r="R397" i="35"/>
  <c r="S397" i="35" s="1"/>
  <c r="R317" i="35"/>
  <c r="S317" i="35" s="1"/>
  <c r="O1" i="35"/>
  <c r="P317" i="35"/>
  <c r="R802" i="41"/>
  <c r="S802" i="41" s="1"/>
  <c r="R790" i="41"/>
  <c r="S790" i="41" s="1"/>
  <c r="R780" i="41"/>
  <c r="S780" i="41" s="1"/>
  <c r="R770" i="41"/>
  <c r="S770" i="41" s="1"/>
  <c r="R760" i="41"/>
  <c r="S760" i="41" s="1"/>
  <c r="R751" i="41"/>
  <c r="S751" i="41" s="1"/>
  <c r="R744" i="41"/>
  <c r="S744" i="41" s="1"/>
  <c r="R738" i="41"/>
  <c r="S738" i="41" s="1"/>
  <c r="R575" i="41"/>
  <c r="S575" i="41" s="1"/>
  <c r="R694" i="41"/>
  <c r="S694" i="41" s="1"/>
  <c r="R714" i="41"/>
  <c r="S714" i="41" s="1"/>
  <c r="R703" i="41"/>
  <c r="S703" i="41" s="1"/>
  <c r="R148" i="41"/>
  <c r="S148" i="41" s="1"/>
  <c r="R722" i="41"/>
  <c r="S722" i="41" s="1"/>
  <c r="R674" i="41"/>
  <c r="S674" i="41" s="1"/>
  <c r="R701" i="41"/>
  <c r="S701" i="41" s="1"/>
  <c r="R507" i="41"/>
  <c r="S507" i="41" s="1"/>
  <c r="R234" i="41"/>
  <c r="S234" i="41" s="1"/>
  <c r="R698" i="41"/>
  <c r="S698" i="41" s="1"/>
  <c r="R3" i="41"/>
  <c r="S3" i="41" s="1"/>
  <c r="R623" i="41"/>
  <c r="S623" i="41" s="1"/>
  <c r="R446" i="41"/>
  <c r="S446" i="41" s="1"/>
  <c r="R579" i="41"/>
  <c r="S579" i="41" s="1"/>
  <c r="R161" i="41"/>
  <c r="S161" i="41" s="1"/>
  <c r="R373" i="41"/>
  <c r="S373" i="41" s="1"/>
  <c r="R577" i="41"/>
  <c r="S577" i="41" s="1"/>
  <c r="R149" i="41"/>
  <c r="S149" i="41" s="1"/>
  <c r="R559" i="41"/>
  <c r="S559" i="41" s="1"/>
  <c r="R548" i="41"/>
  <c r="S548" i="41" s="1"/>
  <c r="R540" i="41"/>
  <c r="S540" i="41" s="1"/>
  <c r="R466" i="41"/>
  <c r="S466" i="41" s="1"/>
  <c r="R525" i="41"/>
  <c r="S525" i="41" s="1"/>
  <c r="R797" i="41"/>
  <c r="S797" i="41" s="1"/>
  <c r="R742" i="41"/>
  <c r="S742" i="41" s="1"/>
  <c r="R528" i="41"/>
  <c r="S528" i="41" s="1"/>
  <c r="R581" i="41"/>
  <c r="S581" i="41" s="1"/>
  <c r="R198" i="41"/>
  <c r="S198" i="41" s="1"/>
  <c r="R56" i="41"/>
  <c r="S56" i="41" s="1"/>
  <c r="R473" i="41"/>
  <c r="S473" i="41" s="1"/>
  <c r="R465" i="41"/>
  <c r="S465" i="41" s="1"/>
  <c r="R104" i="41"/>
  <c r="S104" i="41" s="1"/>
  <c r="R147" i="41"/>
  <c r="S147" i="41" s="1"/>
  <c r="R61" i="41"/>
  <c r="S61" i="41" s="1"/>
  <c r="R362" i="41"/>
  <c r="S362" i="41" s="1"/>
  <c r="R245" i="41"/>
  <c r="S245" i="41" s="1"/>
  <c r="R263" i="41"/>
  <c r="S263" i="41" s="1"/>
  <c r="R36" i="41"/>
  <c r="S36" i="41" s="1"/>
  <c r="R49" i="41"/>
  <c r="S49" i="41" s="1"/>
  <c r="R193" i="41"/>
  <c r="S193" i="41" s="1"/>
  <c r="R218" i="41"/>
  <c r="S218" i="41" s="1"/>
  <c r="R290" i="41"/>
  <c r="S290" i="41" s="1"/>
  <c r="R398" i="41"/>
  <c r="S398" i="41" s="1"/>
  <c r="R251" i="41"/>
  <c r="S251" i="41" s="1"/>
  <c r="R454" i="41"/>
  <c r="S454" i="41" s="1"/>
  <c r="R322" i="41"/>
  <c r="S322" i="41" s="1"/>
  <c r="R80" i="41"/>
  <c r="S80" i="41" s="1"/>
  <c r="R319" i="41"/>
  <c r="S319" i="41" s="1"/>
  <c r="R172" i="41"/>
  <c r="S172" i="41" s="1"/>
  <c r="R135" i="41"/>
  <c r="S135" i="41" s="1"/>
  <c r="R157" i="41"/>
  <c r="S157" i="41" s="1"/>
  <c r="R349" i="41"/>
  <c r="S349" i="41" s="1"/>
  <c r="R414" i="41"/>
  <c r="S414" i="41" s="1"/>
  <c r="R311" i="41"/>
  <c r="S311" i="41" s="1"/>
  <c r="R307" i="41"/>
  <c r="S307" i="41" s="1"/>
  <c r="R87" i="41"/>
  <c r="S87" i="41" s="1"/>
  <c r="R28" i="41"/>
  <c r="S28" i="41" s="1"/>
  <c r="R210" i="41"/>
  <c r="S210" i="41" s="1"/>
  <c r="R33" i="41"/>
  <c r="S33" i="41" s="1"/>
  <c r="R801" i="41"/>
  <c r="S801" i="41" s="1"/>
  <c r="R789" i="41"/>
  <c r="S789" i="41" s="1"/>
  <c r="R779" i="41"/>
  <c r="S779" i="41" s="1"/>
  <c r="R769" i="41"/>
  <c r="S769" i="41" s="1"/>
  <c r="R759" i="41"/>
  <c r="S759" i="41" s="1"/>
  <c r="R750" i="41"/>
  <c r="S750" i="41" s="1"/>
  <c r="R594" i="41"/>
  <c r="S594" i="41" s="1"/>
  <c r="R435" i="41"/>
  <c r="S435" i="41" s="1"/>
  <c r="R187" i="41"/>
  <c r="S187" i="41" s="1"/>
  <c r="R635" i="41"/>
  <c r="S635" i="41" s="1"/>
  <c r="R713" i="41"/>
  <c r="S713" i="41" s="1"/>
  <c r="R702" i="41"/>
  <c r="S702" i="41" s="1"/>
  <c r="R692" i="41"/>
  <c r="S692" i="41" s="1"/>
  <c r="R684" i="41"/>
  <c r="S684" i="41" s="1"/>
  <c r="R517" i="41"/>
  <c r="S517" i="41" s="1"/>
  <c r="R665" i="41"/>
  <c r="S665" i="41" s="1"/>
  <c r="R569" i="41"/>
  <c r="S569" i="41" s="1"/>
  <c r="R648" i="41"/>
  <c r="S648" i="41" s="1"/>
  <c r="R639" i="41"/>
  <c r="S639" i="41" s="1"/>
  <c r="R631" i="41"/>
  <c r="S631" i="41" s="1"/>
  <c r="R761" i="41"/>
  <c r="S761" i="41" s="1"/>
  <c r="R612" i="41"/>
  <c r="S612" i="41" s="1"/>
  <c r="R603" i="41"/>
  <c r="S603" i="41" s="1"/>
  <c r="R762" i="41"/>
  <c r="S762" i="41" s="1"/>
  <c r="R438" i="41"/>
  <c r="S438" i="41" s="1"/>
  <c r="R668" i="41"/>
  <c r="S668" i="41" s="1"/>
  <c r="R567" i="41"/>
  <c r="S567" i="41" s="1"/>
  <c r="R558" i="41"/>
  <c r="S558" i="41" s="1"/>
  <c r="R547" i="41"/>
  <c r="S547" i="41" s="1"/>
  <c r="R209" i="41"/>
  <c r="S209" i="41" s="1"/>
  <c r="R424" i="41"/>
  <c r="S424" i="41" s="1"/>
  <c r="R524" i="41"/>
  <c r="S524" i="41" s="1"/>
  <c r="R516" i="41"/>
  <c r="S516" i="41" s="1"/>
  <c r="R509" i="41"/>
  <c r="S509" i="41" s="1"/>
  <c r="R101" i="41"/>
  <c r="S101" i="41" s="1"/>
  <c r="R60" i="41"/>
  <c r="S60" i="41" s="1"/>
  <c r="R485" i="41"/>
  <c r="S485" i="41" s="1"/>
  <c r="R313" i="41"/>
  <c r="S313" i="41" s="1"/>
  <c r="R339" i="41"/>
  <c r="S339" i="41" s="1"/>
  <c r="R419" i="41"/>
  <c r="S419" i="41" s="1"/>
  <c r="R400" i="41"/>
  <c r="S400" i="41" s="1"/>
  <c r="R270" i="41"/>
  <c r="S270" i="41" s="1"/>
  <c r="R380" i="41"/>
  <c r="S380" i="41" s="1"/>
  <c r="R437" i="41"/>
  <c r="S437" i="41" s="1"/>
  <c r="R334" i="41"/>
  <c r="S334" i="41" s="1"/>
  <c r="R201" i="41"/>
  <c r="S201" i="41" s="1"/>
  <c r="R235" i="41"/>
  <c r="S235" i="41" s="1"/>
  <c r="R379" i="41"/>
  <c r="S379" i="41" s="1"/>
  <c r="R144" i="41"/>
  <c r="S144" i="41" s="1"/>
  <c r="R94" i="41"/>
  <c r="S94" i="41" s="1"/>
  <c r="R288" i="41"/>
  <c r="S288" i="41" s="1"/>
  <c r="R375" i="41"/>
  <c r="S375" i="41" s="1"/>
  <c r="R7" i="41"/>
  <c r="S7" i="41" s="1"/>
  <c r="R154" i="41"/>
  <c r="S154" i="41" s="1"/>
  <c r="R257" i="41"/>
  <c r="S257" i="41" s="1"/>
  <c r="R372" i="41"/>
  <c r="S372" i="41" s="1"/>
  <c r="R343" i="41"/>
  <c r="S343" i="41" s="1"/>
  <c r="R359" i="41"/>
  <c r="S359" i="41" s="1"/>
  <c r="R240" i="41"/>
  <c r="S240" i="41" s="1"/>
  <c r="R43" i="41"/>
  <c r="S43" i="41" s="1"/>
  <c r="R50" i="41"/>
  <c r="S50" i="41" s="1"/>
  <c r="R417" i="41"/>
  <c r="S417" i="41" s="1"/>
  <c r="R182" i="41"/>
  <c r="S182" i="41" s="1"/>
  <c r="R153" i="41"/>
  <c r="S153" i="41" s="1"/>
  <c r="R415" i="41"/>
  <c r="S415" i="41" s="1"/>
  <c r="R455" i="41"/>
  <c r="S455" i="41" s="1"/>
  <c r="R261" i="41"/>
  <c r="S261" i="41" s="1"/>
  <c r="R441" i="41"/>
  <c r="S441" i="41" s="1"/>
  <c r="R800" i="41"/>
  <c r="S800" i="41" s="1"/>
  <c r="R788" i="41"/>
  <c r="S788" i="41" s="1"/>
  <c r="R778" i="41"/>
  <c r="S778" i="41" s="1"/>
  <c r="R768" i="41"/>
  <c r="S768" i="41" s="1"/>
  <c r="R758" i="41"/>
  <c r="S758" i="41" s="1"/>
  <c r="R749" i="41"/>
  <c r="S749" i="41" s="1"/>
  <c r="R79" i="41"/>
  <c r="S79" i="41" s="1"/>
  <c r="R737" i="41"/>
  <c r="S737" i="41" s="1"/>
  <c r="R729" i="41"/>
  <c r="S729" i="41" s="1"/>
  <c r="R731" i="41"/>
  <c r="S731" i="41" s="1"/>
  <c r="R712" i="41"/>
  <c r="S712" i="41" s="1"/>
  <c r="R580" i="41"/>
  <c r="S580" i="41" s="1"/>
  <c r="R691" i="41"/>
  <c r="S691" i="41" s="1"/>
  <c r="R683" i="41"/>
  <c r="S683" i="41" s="1"/>
  <c r="R287" i="41"/>
  <c r="S287" i="41" s="1"/>
  <c r="R664" i="41"/>
  <c r="S664" i="41" s="1"/>
  <c r="R151" i="41"/>
  <c r="S151" i="41" s="1"/>
  <c r="R671" i="41"/>
  <c r="S671" i="41" s="1"/>
  <c r="R638" i="41"/>
  <c r="S638" i="41" s="1"/>
  <c r="R630" i="41"/>
  <c r="S630" i="41" s="1"/>
  <c r="R621" i="41"/>
  <c r="S621" i="41" s="1"/>
  <c r="R98" i="41"/>
  <c r="S98" i="41" s="1"/>
  <c r="R602" i="41"/>
  <c r="S602" i="41" s="1"/>
  <c r="R591" i="41"/>
  <c r="S591" i="41" s="1"/>
  <c r="R584" i="41"/>
  <c r="S584" i="41" s="1"/>
  <c r="R530" i="41"/>
  <c r="S530" i="41" s="1"/>
  <c r="R376" i="41"/>
  <c r="S376" i="41" s="1"/>
  <c r="R472" i="41"/>
  <c r="S472" i="41" s="1"/>
  <c r="R546" i="41"/>
  <c r="S546" i="41" s="1"/>
  <c r="R539" i="41"/>
  <c r="S539" i="41" s="1"/>
  <c r="R488" i="41"/>
  <c r="S488" i="41" s="1"/>
  <c r="R576" i="41"/>
  <c r="S576" i="41" s="1"/>
  <c r="R515" i="41"/>
  <c r="S515" i="41" s="1"/>
  <c r="R560" i="41"/>
  <c r="S560" i="41" s="1"/>
  <c r="R501" i="41"/>
  <c r="S501" i="41" s="1"/>
  <c r="R22" i="41"/>
  <c r="S22" i="41" s="1"/>
  <c r="R484" i="41"/>
  <c r="S484" i="41" s="1"/>
  <c r="R541" i="41"/>
  <c r="S541" i="41" s="1"/>
  <c r="R470" i="41"/>
  <c r="S470" i="41" s="1"/>
  <c r="R286" i="41"/>
  <c r="S286" i="41" s="1"/>
  <c r="R112" i="41"/>
  <c r="S112" i="41" s="1"/>
  <c r="R249" i="41"/>
  <c r="S249" i="41" s="1"/>
  <c r="R221" i="41"/>
  <c r="S221" i="41" s="1"/>
  <c r="R197" i="41"/>
  <c r="S197" i="41" s="1"/>
  <c r="R165" i="41"/>
  <c r="S165" i="41" s="1"/>
  <c r="R141" i="41"/>
  <c r="S141" i="41" s="1"/>
  <c r="R6" i="41"/>
  <c r="S6" i="41" s="1"/>
  <c r="R283" i="41"/>
  <c r="S283" i="41" s="1"/>
  <c r="R105" i="41"/>
  <c r="S105" i="41" s="1"/>
  <c r="R267" i="41"/>
  <c r="S267" i="41" s="1"/>
  <c r="R297" i="41"/>
  <c r="S297" i="41" s="1"/>
  <c r="R119" i="41"/>
  <c r="S119" i="41" s="1"/>
  <c r="R95" i="41"/>
  <c r="S95" i="41" s="1"/>
  <c r="R139" i="41"/>
  <c r="S139" i="41" s="1"/>
  <c r="R459" i="41"/>
  <c r="S459" i="41" s="1"/>
  <c r="R310" i="41"/>
  <c r="S310" i="41" s="1"/>
  <c r="R293" i="41"/>
  <c r="S293" i="41" s="1"/>
  <c r="R467" i="41"/>
  <c r="S467" i="41" s="1"/>
  <c r="R345" i="41"/>
  <c r="S345" i="41" s="1"/>
  <c r="R409" i="41"/>
  <c r="S409" i="41" s="1"/>
  <c r="R281" i="41"/>
  <c r="S281" i="41" s="1"/>
  <c r="R269" i="41"/>
  <c r="S269" i="41" s="1"/>
  <c r="R108" i="41"/>
  <c r="S108" i="41" s="1"/>
  <c r="R299" i="41"/>
  <c r="S299" i="41" s="1"/>
  <c r="R471" i="41"/>
  <c r="S471" i="41" s="1"/>
  <c r="R164" i="41"/>
  <c r="S164" i="41" s="1"/>
  <c r="R29" i="41"/>
  <c r="S29" i="41" s="1"/>
  <c r="R12" i="41"/>
  <c r="S12" i="41" s="1"/>
  <c r="R799" i="41"/>
  <c r="S799" i="41" s="1"/>
  <c r="R787" i="41"/>
  <c r="S787" i="41" s="1"/>
  <c r="R55" i="41"/>
  <c r="S55" i="41" s="1"/>
  <c r="R767" i="41"/>
  <c r="S767" i="41" s="1"/>
  <c r="R40" i="41"/>
  <c r="S40" i="41" s="1"/>
  <c r="R285" i="41"/>
  <c r="S285" i="41" s="1"/>
  <c r="R450" i="41"/>
  <c r="S450" i="41" s="1"/>
  <c r="R171" i="41"/>
  <c r="S171" i="41" s="1"/>
  <c r="R728" i="41"/>
  <c r="S728" i="41" s="1"/>
  <c r="R719" i="41"/>
  <c r="S719" i="41" s="1"/>
  <c r="R711" i="41"/>
  <c r="S711" i="41" s="1"/>
  <c r="R700" i="41"/>
  <c r="S700" i="41" s="1"/>
  <c r="R122" i="41"/>
  <c r="S122" i="41" s="1"/>
  <c r="R682" i="41"/>
  <c r="S682" i="41" s="1"/>
  <c r="R672" i="41"/>
  <c r="S672" i="41" s="1"/>
  <c r="R660" i="41"/>
  <c r="S660" i="41" s="1"/>
  <c r="R159" i="41"/>
  <c r="S159" i="41" s="1"/>
  <c r="R739" i="41"/>
  <c r="S739" i="41" s="1"/>
  <c r="R109" i="41"/>
  <c r="S109" i="41" s="1"/>
  <c r="R629" i="41"/>
  <c r="S629" i="41" s="1"/>
  <c r="R620" i="41"/>
  <c r="S620" i="41" s="1"/>
  <c r="R611" i="41"/>
  <c r="S611" i="41" s="1"/>
  <c r="R601" i="41"/>
  <c r="S601" i="41" s="1"/>
  <c r="R31" i="41"/>
  <c r="S31" i="41" s="1"/>
  <c r="R174" i="41"/>
  <c r="S174" i="41" s="1"/>
  <c r="R574" i="41"/>
  <c r="S574" i="41" s="1"/>
  <c r="R607" i="41"/>
  <c r="S607" i="41" s="1"/>
  <c r="R557" i="41"/>
  <c r="S557" i="41" s="1"/>
  <c r="R545" i="41"/>
  <c r="S545" i="41" s="1"/>
  <c r="R204" i="41"/>
  <c r="S204" i="41" s="1"/>
  <c r="R531" i="41"/>
  <c r="S531" i="41" s="1"/>
  <c r="R129" i="41"/>
  <c r="S129" i="41" s="1"/>
  <c r="R514" i="41"/>
  <c r="S514" i="41" s="1"/>
  <c r="R145" i="41"/>
  <c r="S145" i="41" s="1"/>
  <c r="R394" i="41"/>
  <c r="S394" i="41" s="1"/>
  <c r="R491" i="41"/>
  <c r="S491" i="41" s="1"/>
  <c r="R483" i="41"/>
  <c r="S483" i="41" s="1"/>
  <c r="R504" i="41"/>
  <c r="S504" i="41" s="1"/>
  <c r="R65" i="41"/>
  <c r="S65" i="41" s="1"/>
  <c r="R205" i="41"/>
  <c r="S205" i="41" s="1"/>
  <c r="R328" i="41"/>
  <c r="S328" i="41" s="1"/>
  <c r="R86" i="41"/>
  <c r="S86" i="41" s="1"/>
  <c r="R413" i="41"/>
  <c r="S413" i="41" s="1"/>
  <c r="R416" i="41"/>
  <c r="S416" i="41" s="1"/>
  <c r="R219" i="41"/>
  <c r="S219" i="41" s="1"/>
  <c r="R325" i="41"/>
  <c r="S325" i="41" s="1"/>
  <c r="R452" i="41"/>
  <c r="S452" i="41" s="1"/>
  <c r="R85" i="41"/>
  <c r="S85" i="41" s="1"/>
  <c r="R453" i="41"/>
  <c r="S453" i="41" s="1"/>
  <c r="R168" i="41"/>
  <c r="S168" i="41" s="1"/>
  <c r="R264" i="41"/>
  <c r="S264" i="41" s="1"/>
  <c r="R448" i="41"/>
  <c r="S448" i="41" s="1"/>
  <c r="R469" i="41"/>
  <c r="S469" i="41" s="1"/>
  <c r="R401" i="41"/>
  <c r="S401" i="41" s="1"/>
  <c r="R116" i="41"/>
  <c r="S116" i="41" s="1"/>
  <c r="R318" i="41"/>
  <c r="S318" i="41" s="1"/>
  <c r="R364" i="41"/>
  <c r="S364" i="41" s="1"/>
  <c r="R335" i="41"/>
  <c r="S335" i="41" s="1"/>
  <c r="R439" i="41"/>
  <c r="S439" i="41" s="1"/>
  <c r="R192" i="41"/>
  <c r="S192" i="41" s="1"/>
  <c r="R259" i="41"/>
  <c r="S259" i="41" s="1"/>
  <c r="R76" i="41"/>
  <c r="S76" i="41" s="1"/>
  <c r="R53" i="41"/>
  <c r="S53" i="41" s="1"/>
  <c r="R190" i="41"/>
  <c r="S190" i="41" s="1"/>
  <c r="R37" i="41"/>
  <c r="S37" i="41" s="1"/>
  <c r="R48" i="41"/>
  <c r="S48" i="41" s="1"/>
  <c r="R202" i="41"/>
  <c r="S202" i="41" s="1"/>
  <c r="R451" i="41"/>
  <c r="S451" i="41" s="1"/>
  <c r="R798" i="41"/>
  <c r="S798" i="41" s="1"/>
  <c r="R786" i="41"/>
  <c r="S786" i="41" s="1"/>
  <c r="R777" i="41"/>
  <c r="S777" i="41" s="1"/>
  <c r="R766" i="41"/>
  <c r="S766" i="41" s="1"/>
  <c r="R757" i="41"/>
  <c r="S757" i="41" s="1"/>
  <c r="R331" i="41"/>
  <c r="S331" i="41" s="1"/>
  <c r="R443" i="41"/>
  <c r="S443" i="41" s="1"/>
  <c r="R736" i="41"/>
  <c r="S736" i="41" s="1"/>
  <c r="R727" i="41"/>
  <c r="S727" i="41" s="1"/>
  <c r="R718" i="41"/>
  <c r="S718" i="41" s="1"/>
  <c r="R710" i="41"/>
  <c r="S710" i="41" s="1"/>
  <c r="R726" i="41"/>
  <c r="S726" i="41" s="1"/>
  <c r="R241" i="41"/>
  <c r="S241" i="41" s="1"/>
  <c r="R681" i="41"/>
  <c r="S681" i="41" s="1"/>
  <c r="R693" i="41"/>
  <c r="S693" i="41" s="1"/>
  <c r="R662" i="41"/>
  <c r="S662" i="41" s="1"/>
  <c r="R647" i="41"/>
  <c r="S647" i="41" s="1"/>
  <c r="R645" i="41"/>
  <c r="S645" i="41" s="1"/>
  <c r="R637" i="41"/>
  <c r="S637" i="41" s="1"/>
  <c r="R9" i="41"/>
  <c r="S9" i="41" s="1"/>
  <c r="R619" i="41"/>
  <c r="S619" i="41" s="1"/>
  <c r="R610" i="41"/>
  <c r="S610" i="41" s="1"/>
  <c r="R655" i="41"/>
  <c r="S655" i="41" s="1"/>
  <c r="R590" i="41"/>
  <c r="S590" i="41" s="1"/>
  <c r="R175" i="41"/>
  <c r="S175" i="41" s="1"/>
  <c r="R433" i="41"/>
  <c r="S433" i="41" s="1"/>
  <c r="R565" i="41"/>
  <c r="S565" i="41" s="1"/>
  <c r="R556" i="41"/>
  <c r="S556" i="41" s="1"/>
  <c r="R403" i="41"/>
  <c r="S403" i="41" s="1"/>
  <c r="R64" i="41"/>
  <c r="S64" i="41" s="1"/>
  <c r="R706" i="41"/>
  <c r="S706" i="41" s="1"/>
  <c r="R522" i="41"/>
  <c r="S522" i="41" s="1"/>
  <c r="R166" i="41"/>
  <c r="S166" i="41" s="1"/>
  <c r="R598" i="41"/>
  <c r="S598" i="41" s="1"/>
  <c r="R658" i="41"/>
  <c r="S658" i="41" s="1"/>
  <c r="R670" i="41"/>
  <c r="S670" i="41" s="1"/>
  <c r="R775" i="41"/>
  <c r="S775" i="41" s="1"/>
  <c r="R266" i="41"/>
  <c r="S266" i="41" s="1"/>
  <c r="R404" i="41"/>
  <c r="S404" i="41" s="1"/>
  <c r="R110" i="41"/>
  <c r="S110" i="41" s="1"/>
  <c r="R298" i="41"/>
  <c r="S298" i="41" s="1"/>
  <c r="R47" i="41"/>
  <c r="S47" i="41" s="1"/>
  <c r="R397" i="41"/>
  <c r="S397" i="41" s="1"/>
  <c r="R215" i="41"/>
  <c r="S215" i="41" s="1"/>
  <c r="R392" i="41"/>
  <c r="S392" i="41" s="1"/>
  <c r="R212" i="41"/>
  <c r="S212" i="41" s="1"/>
  <c r="R236" i="41"/>
  <c r="S236" i="41" s="1"/>
  <c r="R342" i="41"/>
  <c r="S342" i="41" s="1"/>
  <c r="R179" i="41"/>
  <c r="S179" i="41" s="1"/>
  <c r="R813" i="41"/>
  <c r="S813" i="41" s="1"/>
  <c r="R387" i="41"/>
  <c r="S387" i="41" s="1"/>
  <c r="R351" i="41"/>
  <c r="S351" i="41" s="1"/>
  <c r="R399" i="41"/>
  <c r="S399" i="41" s="1"/>
  <c r="R382" i="41"/>
  <c r="S382" i="41" s="1"/>
  <c r="R196" i="41"/>
  <c r="S196" i="41" s="1"/>
  <c r="R52" i="41"/>
  <c r="S52" i="41" s="1"/>
  <c r="R107" i="41"/>
  <c r="S107" i="41" s="1"/>
  <c r="R356" i="41"/>
  <c r="S356" i="41" s="1"/>
  <c r="R308" i="41"/>
  <c r="S308" i="41" s="1"/>
  <c r="R333" i="41"/>
  <c r="S333" i="41" s="1"/>
  <c r="R106" i="41"/>
  <c r="S106" i="41" s="1"/>
  <c r="R208" i="41"/>
  <c r="S208" i="41" s="1"/>
  <c r="R468" i="41"/>
  <c r="S468" i="41" s="1"/>
  <c r="R396" i="41"/>
  <c r="S396" i="41" s="1"/>
  <c r="R16" i="41"/>
  <c r="S16" i="41" s="1"/>
  <c r="R354" i="41"/>
  <c r="S354" i="41" s="1"/>
  <c r="R75" i="41"/>
  <c r="S75" i="41" s="1"/>
  <c r="R807" i="41"/>
  <c r="S807" i="41" s="1"/>
  <c r="R688" i="41"/>
  <c r="S688" i="41" s="1"/>
  <c r="R785" i="41"/>
  <c r="S785" i="41" s="1"/>
  <c r="R776" i="41"/>
  <c r="S776" i="41" s="1"/>
  <c r="R765" i="41"/>
  <c r="S765" i="41" s="1"/>
  <c r="R756" i="41"/>
  <c r="S756" i="41" s="1"/>
  <c r="R444" i="41"/>
  <c r="S444" i="41" s="1"/>
  <c r="R363" i="41"/>
  <c r="S363" i="41" s="1"/>
  <c r="R723" i="41"/>
  <c r="S723" i="41" s="1"/>
  <c r="R8" i="41"/>
  <c r="S8" i="41" s="1"/>
  <c r="R717" i="41"/>
  <c r="S717" i="41" s="1"/>
  <c r="R709" i="41"/>
  <c r="S709" i="41" s="1"/>
  <c r="R481" i="41"/>
  <c r="S481" i="41" s="1"/>
  <c r="R720" i="41"/>
  <c r="S720" i="41" s="1"/>
  <c r="R680" i="41"/>
  <c r="S680" i="41" s="1"/>
  <c r="R497" i="41"/>
  <c r="S497" i="41" s="1"/>
  <c r="R478" i="41"/>
  <c r="S478" i="41" s="1"/>
  <c r="R552" i="41"/>
  <c r="S552" i="41" s="1"/>
  <c r="R644" i="41"/>
  <c r="S644" i="41" s="1"/>
  <c r="R636" i="41"/>
  <c r="S636" i="41" s="1"/>
  <c r="R628" i="41"/>
  <c r="S628" i="41" s="1"/>
  <c r="R618" i="41"/>
  <c r="S618" i="41" s="1"/>
  <c r="R609" i="41"/>
  <c r="S609" i="41" s="1"/>
  <c r="R599" i="41"/>
  <c r="S599" i="41" s="1"/>
  <c r="R589" i="41"/>
  <c r="S589" i="41" s="1"/>
  <c r="R395" i="41"/>
  <c r="S395" i="41" s="1"/>
  <c r="R573" i="41"/>
  <c r="S573" i="41" s="1"/>
  <c r="R815" i="41"/>
  <c r="S815" i="41" s="1"/>
  <c r="R555" i="41"/>
  <c r="S555" i="41" s="1"/>
  <c r="R57" i="41"/>
  <c r="S57" i="41" s="1"/>
  <c r="R707" i="41"/>
  <c r="S707" i="41" s="1"/>
  <c r="R23" i="41"/>
  <c r="S23" i="41" s="1"/>
  <c r="R521" i="41"/>
  <c r="S521" i="41" s="1"/>
  <c r="R305" i="41"/>
  <c r="S305" i="41" s="1"/>
  <c r="R506" i="41"/>
  <c r="S506" i="41" s="1"/>
  <c r="R499" i="41"/>
  <c r="S499" i="41" s="1"/>
  <c r="R284" i="41"/>
  <c r="S284" i="41" s="1"/>
  <c r="R606" i="41"/>
  <c r="S606" i="41" s="1"/>
  <c r="R13" i="41"/>
  <c r="S13" i="41" s="1"/>
  <c r="R39" i="41"/>
  <c r="S39" i="41" s="1"/>
  <c r="R429" i="41"/>
  <c r="S429" i="41" s="1"/>
  <c r="R63" i="41"/>
  <c r="S63" i="41" s="1"/>
  <c r="R464" i="41"/>
  <c r="S464" i="41" s="1"/>
  <c r="R292" i="41"/>
  <c r="S292" i="41" s="1"/>
  <c r="R430" i="41"/>
  <c r="S430" i="41" s="1"/>
  <c r="R410" i="41"/>
  <c r="S410" i="41" s="1"/>
  <c r="R353" i="41"/>
  <c r="S353" i="41" s="1"/>
  <c r="R195" i="41"/>
  <c r="S195" i="41" s="1"/>
  <c r="R350" i="41"/>
  <c r="S350" i="41" s="1"/>
  <c r="R282" i="41"/>
  <c r="S282" i="41" s="1"/>
  <c r="R352" i="41"/>
  <c r="S352" i="41" s="1"/>
  <c r="R449" i="41"/>
  <c r="S449" i="41" s="1"/>
  <c r="R388" i="41"/>
  <c r="S388" i="41" s="1"/>
  <c r="R460" i="41"/>
  <c r="S460" i="41" s="1"/>
  <c r="R386" i="41"/>
  <c r="S386" i="41" s="1"/>
  <c r="R337" i="41"/>
  <c r="S337" i="41" s="1"/>
  <c r="R324" i="41"/>
  <c r="S324" i="41" s="1"/>
  <c r="R191" i="41"/>
  <c r="S191" i="41" s="1"/>
  <c r="R115" i="41"/>
  <c r="S115" i="41" s="1"/>
  <c r="R229" i="41"/>
  <c r="S229" i="41" s="1"/>
  <c r="R114" i="41"/>
  <c r="S114" i="41" s="1"/>
  <c r="R162" i="41"/>
  <c r="S162" i="41" s="1"/>
  <c r="R291" i="41"/>
  <c r="S291" i="41" s="1"/>
  <c r="R5" i="41"/>
  <c r="S5" i="41" s="1"/>
  <c r="R405" i="41"/>
  <c r="S405" i="41" s="1"/>
  <c r="R72" i="41"/>
  <c r="S72" i="41" s="1"/>
  <c r="R194" i="41"/>
  <c r="S194" i="41" s="1"/>
  <c r="R45" i="41"/>
  <c r="S45" i="41" s="1"/>
  <c r="R806" i="41"/>
  <c r="S806" i="41" s="1"/>
  <c r="R796" i="41"/>
  <c r="S796" i="41" s="1"/>
  <c r="R784" i="41"/>
  <c r="S784" i="41" s="1"/>
  <c r="R508" i="41"/>
  <c r="S508" i="41" s="1"/>
  <c r="R34" i="41"/>
  <c r="S34" i="41" s="1"/>
  <c r="R755" i="41"/>
  <c r="S755" i="41" s="1"/>
  <c r="R748" i="41"/>
  <c r="S748" i="41" s="1"/>
  <c r="R640" i="41"/>
  <c r="S640" i="41" s="1"/>
  <c r="R734" i="41"/>
  <c r="S734" i="41" s="1"/>
  <c r="R510" i="41"/>
  <c r="S510" i="41" s="1"/>
  <c r="R78" i="41"/>
  <c r="S78" i="41" s="1"/>
  <c r="R689" i="41"/>
  <c r="S689" i="41" s="1"/>
  <c r="R652" i="41"/>
  <c r="S652" i="41" s="1"/>
  <c r="R366" i="41"/>
  <c r="S366" i="41" s="1"/>
  <c r="R679" i="41"/>
  <c r="S679" i="41" s="1"/>
  <c r="R669" i="41"/>
  <c r="S669" i="41" s="1"/>
  <c r="R243" i="41"/>
  <c r="S243" i="41" s="1"/>
  <c r="R651" i="41"/>
  <c r="S651" i="41" s="1"/>
  <c r="R442" i="41"/>
  <c r="S442" i="41" s="1"/>
  <c r="R381" i="41"/>
  <c r="S381" i="41" s="1"/>
  <c r="R316" i="41"/>
  <c r="S316" i="41" s="1"/>
  <c r="R617" i="41"/>
  <c r="S617" i="41" s="1"/>
  <c r="R608" i="41"/>
  <c r="S608" i="41" s="1"/>
  <c r="R654" i="41"/>
  <c r="S654" i="41" s="1"/>
  <c r="R312" i="41"/>
  <c r="S312" i="41" s="1"/>
  <c r="R583" i="41"/>
  <c r="S583" i="41" s="1"/>
  <c r="R572" i="41"/>
  <c r="S572" i="41" s="1"/>
  <c r="R232" i="41"/>
  <c r="S232" i="41" s="1"/>
  <c r="R554" i="41"/>
  <c r="S554" i="41" s="1"/>
  <c r="R247" i="41"/>
  <c r="S247" i="41" s="1"/>
  <c r="R537" i="41"/>
  <c r="S537" i="41" s="1"/>
  <c r="R566" i="41"/>
  <c r="S566" i="41" s="1"/>
  <c r="R520" i="41"/>
  <c r="S520" i="41" s="1"/>
  <c r="R19" i="41"/>
  <c r="S19" i="41" s="1"/>
  <c r="R25" i="41"/>
  <c r="S25" i="41" s="1"/>
  <c r="R498" i="41"/>
  <c r="S498" i="41" s="1"/>
  <c r="R489" i="41"/>
  <c r="S489" i="41" s="1"/>
  <c r="R84" i="41"/>
  <c r="S84" i="41" s="1"/>
  <c r="R4" i="41"/>
  <c r="S4" i="41" s="1"/>
  <c r="R458" i="41"/>
  <c r="S458" i="41" s="1"/>
  <c r="R440" i="41"/>
  <c r="S440" i="41" s="1"/>
  <c r="R348" i="41"/>
  <c r="S348" i="41" s="1"/>
  <c r="R246" i="41"/>
  <c r="S246" i="41" s="1"/>
  <c r="R224" i="41"/>
  <c r="S224" i="41" s="1"/>
  <c r="R69" i="41"/>
  <c r="S69" i="41" s="1"/>
  <c r="R178" i="41"/>
  <c r="S178" i="41" s="1"/>
  <c r="R156" i="41"/>
  <c r="S156" i="41" s="1"/>
  <c r="R336" i="41"/>
  <c r="S336" i="41" s="1"/>
  <c r="R265" i="41"/>
  <c r="S265" i="41" s="1"/>
  <c r="R275" i="41"/>
  <c r="S275" i="41" s="1"/>
  <c r="R200" i="41"/>
  <c r="S200" i="41" s="1"/>
  <c r="R111" i="41"/>
  <c r="S111" i="41" s="1"/>
  <c r="R323" i="41"/>
  <c r="S323" i="41" s="1"/>
  <c r="R294" i="41"/>
  <c r="S294" i="41" s="1"/>
  <c r="R91" i="41"/>
  <c r="S91" i="41" s="1"/>
  <c r="R181" i="41"/>
  <c r="S181" i="41" s="1"/>
  <c r="R302" i="41"/>
  <c r="S302" i="41" s="1"/>
  <c r="R176" i="41"/>
  <c r="S176" i="41" s="1"/>
  <c r="R130" i="41"/>
  <c r="S130" i="41" s="1"/>
  <c r="R143" i="41"/>
  <c r="S143" i="41" s="1"/>
  <c r="R295" i="41"/>
  <c r="S295" i="41" s="1"/>
  <c r="R183" i="41"/>
  <c r="S183" i="41" s="1"/>
  <c r="R27" i="41"/>
  <c r="S27" i="41" s="1"/>
  <c r="R330" i="41"/>
  <c r="S330" i="41" s="1"/>
  <c r="R10" i="41"/>
  <c r="S10" i="41" s="1"/>
  <c r="R26" i="41"/>
  <c r="S26" i="41" s="1"/>
  <c r="R244" i="41"/>
  <c r="S244" i="41" s="1"/>
  <c r="R70" i="41"/>
  <c r="S70" i="41" s="1"/>
  <c r="R255" i="41"/>
  <c r="S255" i="41" s="1"/>
  <c r="R795" i="41"/>
  <c r="S795" i="41" s="1"/>
  <c r="R167" i="41"/>
  <c r="S167" i="41" s="1"/>
  <c r="R428" i="41"/>
  <c r="S428" i="41" s="1"/>
  <c r="R764" i="41"/>
  <c r="S764" i="41" s="1"/>
  <c r="R754" i="41"/>
  <c r="S754" i="41" s="1"/>
  <c r="R747" i="41"/>
  <c r="S747" i="41" s="1"/>
  <c r="R490" i="41"/>
  <c r="S490" i="41" s="1"/>
  <c r="R733" i="41"/>
  <c r="S733" i="41" s="1"/>
  <c r="R340" i="41"/>
  <c r="S340" i="41" s="1"/>
  <c r="R309" i="41"/>
  <c r="S309" i="41" s="1"/>
  <c r="R810" i="41"/>
  <c r="S810" i="41" s="1"/>
  <c r="R696" i="41"/>
  <c r="S696" i="41" s="1"/>
  <c r="R695" i="41"/>
  <c r="S695" i="41" s="1"/>
  <c r="R678" i="41"/>
  <c r="S678" i="41" s="1"/>
  <c r="R274" i="41"/>
  <c r="S274" i="41" s="1"/>
  <c r="R673" i="41"/>
  <c r="S673" i="41" s="1"/>
  <c r="R463" i="41"/>
  <c r="S463" i="41" s="1"/>
  <c r="R123" i="41"/>
  <c r="S123" i="41" s="1"/>
  <c r="R592" i="41"/>
  <c r="S592" i="41" s="1"/>
  <c r="R627" i="41"/>
  <c r="S627" i="41" s="1"/>
  <c r="R616" i="41"/>
  <c r="S616" i="41" s="1"/>
  <c r="R32" i="41"/>
  <c r="S32" i="41" s="1"/>
  <c r="R597" i="41"/>
  <c r="S597" i="41" s="1"/>
  <c r="R588" i="41"/>
  <c r="S588" i="41" s="1"/>
  <c r="R690" i="41"/>
  <c r="S690" i="41" s="1"/>
  <c r="R571" i="41"/>
  <c r="S571" i="41" s="1"/>
  <c r="R564" i="41"/>
  <c r="S564" i="41" s="1"/>
  <c r="R553" i="41"/>
  <c r="S553" i="41" s="1"/>
  <c r="R544" i="41"/>
  <c r="S544" i="41" s="1"/>
  <c r="R536" i="41"/>
  <c r="S536" i="41" s="1"/>
  <c r="R461" i="41"/>
  <c r="S461" i="41" s="1"/>
  <c r="R344" i="41"/>
  <c r="S344" i="41" s="1"/>
  <c r="R272" i="41"/>
  <c r="S272" i="41" s="1"/>
  <c r="R505" i="41"/>
  <c r="S505" i="41" s="1"/>
  <c r="R502" i="41"/>
  <c r="S502" i="41" s="1"/>
  <c r="R523" i="41"/>
  <c r="S523" i="41" s="1"/>
  <c r="R357" i="41"/>
  <c r="S357" i="41" s="1"/>
  <c r="R549" i="41"/>
  <c r="S549" i="41" s="1"/>
  <c r="R809" i="41"/>
  <c r="S809" i="41" s="1"/>
  <c r="R186" i="41"/>
  <c r="S186" i="41" s="1"/>
  <c r="R374" i="41"/>
  <c r="S374" i="41" s="1"/>
  <c r="R124" i="41"/>
  <c r="S124" i="41" s="1"/>
  <c r="R99" i="41"/>
  <c r="S99" i="41" s="1"/>
  <c r="R277" i="41"/>
  <c r="S277" i="41" s="1"/>
  <c r="R355" i="41"/>
  <c r="S355" i="41" s="1"/>
  <c r="R306" i="41"/>
  <c r="S306" i="41" s="1"/>
  <c r="R131" i="41"/>
  <c r="S131" i="41" s="1"/>
  <c r="R188" i="41"/>
  <c r="S188" i="41" s="1"/>
  <c r="R262" i="41"/>
  <c r="S262" i="41" s="1"/>
  <c r="R92" i="41"/>
  <c r="S92" i="41" s="1"/>
  <c r="R411" i="41"/>
  <c r="S411" i="41" s="1"/>
  <c r="R89" i="41"/>
  <c r="S89" i="41" s="1"/>
  <c r="R220" i="41"/>
  <c r="S220" i="41" s="1"/>
  <c r="R128" i="41"/>
  <c r="S128" i="41" s="1"/>
  <c r="R393" i="41"/>
  <c r="S393" i="41" s="1"/>
  <c r="R412" i="41"/>
  <c r="S412" i="41" s="1"/>
  <c r="R317" i="41"/>
  <c r="S317" i="41" s="1"/>
  <c r="R155" i="41"/>
  <c r="S155" i="41" s="1"/>
  <c r="R296" i="41"/>
  <c r="S296" i="41" s="1"/>
  <c r="R377" i="41"/>
  <c r="S377" i="41" s="1"/>
  <c r="R97" i="41"/>
  <c r="S97" i="41" s="1"/>
  <c r="R18" i="41"/>
  <c r="S18" i="41" s="1"/>
  <c r="R177" i="41"/>
  <c r="S177" i="41" s="1"/>
  <c r="R808" i="41"/>
  <c r="S808" i="41" s="1"/>
  <c r="R420" i="41"/>
  <c r="S420" i="41" s="1"/>
  <c r="R17" i="41"/>
  <c r="S17" i="41" s="1"/>
  <c r="R150" i="41"/>
  <c r="S150" i="41" s="1"/>
  <c r="R794" i="41"/>
  <c r="S794" i="41" s="1"/>
  <c r="R783" i="41"/>
  <c r="S783" i="41" s="1"/>
  <c r="R774" i="41"/>
  <c r="S774" i="41" s="1"/>
  <c r="R303" i="41"/>
  <c r="S303" i="41" s="1"/>
  <c r="R653" i="41"/>
  <c r="S653" i="41" s="1"/>
  <c r="R384" i="41"/>
  <c r="S384" i="41" s="1"/>
  <c r="R740" i="41"/>
  <c r="S740" i="41" s="1"/>
  <c r="R315" i="41"/>
  <c r="S315" i="41" s="1"/>
  <c r="R725" i="41"/>
  <c r="S725" i="41" s="1"/>
  <c r="R462" i="41"/>
  <c r="S462" i="41" s="1"/>
  <c r="R622" i="41"/>
  <c r="S622" i="41" s="1"/>
  <c r="R447" i="41"/>
  <c r="S447" i="41" s="1"/>
  <c r="R600" i="41"/>
  <c r="S600" i="41" s="1"/>
  <c r="R741" i="41"/>
  <c r="S741" i="41" s="1"/>
  <c r="R659" i="41"/>
  <c r="S659" i="41" s="1"/>
  <c r="R432" i="41"/>
  <c r="S432" i="41" s="1"/>
  <c r="R643" i="41"/>
  <c r="S643" i="41" s="1"/>
  <c r="R320" i="41"/>
  <c r="S320" i="41" s="1"/>
  <c r="R626" i="41"/>
  <c r="S626" i="41" s="1"/>
  <c r="R184" i="41"/>
  <c r="S184" i="41" s="1"/>
  <c r="R495" i="41"/>
  <c r="S495" i="41" s="1"/>
  <c r="R596" i="41"/>
  <c r="S596" i="41" s="1"/>
  <c r="R708" i="41"/>
  <c r="S708" i="41" s="1"/>
  <c r="R735" i="41"/>
  <c r="S735" i="41" s="1"/>
  <c r="R570" i="41"/>
  <c r="S570" i="41" s="1"/>
  <c r="R563" i="41"/>
  <c r="S563" i="41" s="1"/>
  <c r="R587" i="41"/>
  <c r="S587" i="41" s="1"/>
  <c r="R543" i="41"/>
  <c r="S543" i="41" s="1"/>
  <c r="R535" i="41"/>
  <c r="S535" i="41" s="1"/>
  <c r="R716" i="41"/>
  <c r="S716" i="41" s="1"/>
  <c r="R519" i="41"/>
  <c r="S519" i="41" s="1"/>
  <c r="R513" i="41"/>
  <c r="S513" i="41" s="1"/>
  <c r="R82" i="41"/>
  <c r="S82" i="41" s="1"/>
  <c r="R715" i="41"/>
  <c r="S715" i="41" s="1"/>
  <c r="R226" i="41"/>
  <c r="S226" i="41" s="1"/>
  <c r="R338" i="41"/>
  <c r="S338" i="41" s="1"/>
  <c r="R476" i="41"/>
  <c r="S476" i="41" s="1"/>
  <c r="R812" i="41"/>
  <c r="S812" i="41" s="1"/>
  <c r="R15" i="41"/>
  <c r="S15" i="41" s="1"/>
  <c r="R434" i="41"/>
  <c r="S434" i="41" s="1"/>
  <c r="R276" i="41"/>
  <c r="S276" i="41" s="1"/>
  <c r="R74" i="41"/>
  <c r="S74" i="41" s="1"/>
  <c r="R426" i="41"/>
  <c r="S426" i="41" s="1"/>
  <c r="R391" i="41"/>
  <c r="S391" i="41" s="1"/>
  <c r="R252" i="41"/>
  <c r="S252" i="41" s="1"/>
  <c r="R300" i="41"/>
  <c r="S300" i="41" s="1"/>
  <c r="R173" i="41"/>
  <c r="S173" i="41" s="1"/>
  <c r="R158" i="41"/>
  <c r="S158" i="41" s="1"/>
  <c r="R314" i="41"/>
  <c r="S314" i="41" s="1"/>
  <c r="R102" i="41"/>
  <c r="S102" i="41" s="1"/>
  <c r="R457" i="41"/>
  <c r="S457" i="41" s="1"/>
  <c r="R427" i="41"/>
  <c r="S427" i="41" s="1"/>
  <c r="R227" i="41"/>
  <c r="S227" i="41" s="1"/>
  <c r="R385" i="41"/>
  <c r="S385" i="41" s="1"/>
  <c r="R425" i="41"/>
  <c r="S425" i="41" s="1"/>
  <c r="R280" i="41"/>
  <c r="S280" i="41" s="1"/>
  <c r="R152" i="41"/>
  <c r="S152" i="41" s="1"/>
  <c r="R237" i="41"/>
  <c r="S237" i="41" s="1"/>
  <c r="R248" i="41"/>
  <c r="S248" i="41" s="1"/>
  <c r="R66" i="41"/>
  <c r="S66" i="41" s="1"/>
  <c r="R326" i="41"/>
  <c r="S326" i="41" s="1"/>
  <c r="R42" i="41"/>
  <c r="S42" i="41" s="1"/>
  <c r="R90" i="41"/>
  <c r="S90" i="41" s="1"/>
  <c r="R445" i="41"/>
  <c r="S445" i="41" s="1"/>
  <c r="R170" i="41"/>
  <c r="S170" i="41" s="1"/>
  <c r="R185" i="41"/>
  <c r="S185" i="41" s="1"/>
  <c r="R805" i="41"/>
  <c r="S805" i="41" s="1"/>
  <c r="R512" i="41"/>
  <c r="S512" i="41" s="1"/>
  <c r="R456" i="41"/>
  <c r="S456" i="41" s="1"/>
  <c r="R529" i="41"/>
  <c r="S529" i="41" s="1"/>
  <c r="R699" i="41"/>
  <c r="S699" i="41" s="1"/>
  <c r="R562" i="41"/>
  <c r="S562" i="41" s="1"/>
  <c r="R551" i="41"/>
  <c r="S551" i="41" s="1"/>
  <c r="R542" i="41"/>
  <c r="S542" i="41" s="1"/>
  <c r="R534" i="41"/>
  <c r="S534" i="41" s="1"/>
  <c r="R268" i="41"/>
  <c r="S268" i="41" s="1"/>
  <c r="R817" i="41"/>
  <c r="S817" i="41" s="1"/>
  <c r="R730" i="41"/>
  <c r="S730" i="41" s="1"/>
  <c r="R743" i="41"/>
  <c r="S743" i="41" s="1"/>
  <c r="R273" i="41"/>
  <c r="S273" i="41" s="1"/>
  <c r="R361" i="41"/>
  <c r="S361" i="41" s="1"/>
  <c r="R666" i="41"/>
  <c r="S666" i="41" s="1"/>
  <c r="R431" i="41"/>
  <c r="S431" i="41" s="1"/>
  <c r="R368" i="41"/>
  <c r="S368" i="41" s="1"/>
  <c r="R44" i="41"/>
  <c r="S44" i="41" s="1"/>
  <c r="R103" i="41"/>
  <c r="S103" i="41" s="1"/>
  <c r="R222" i="41"/>
  <c r="S222" i="41" s="1"/>
  <c r="R51" i="41"/>
  <c r="S51" i="41" s="1"/>
  <c r="R169" i="41"/>
  <c r="S169" i="41" s="1"/>
  <c r="R163" i="41"/>
  <c r="S163" i="41" s="1"/>
  <c r="R321" i="41"/>
  <c r="S321" i="41" s="1"/>
  <c r="R137" i="41"/>
  <c r="S137" i="41" s="1"/>
  <c r="R238" i="41"/>
  <c r="S238" i="41" s="1"/>
  <c r="R93" i="41"/>
  <c r="S93" i="41" s="1"/>
  <c r="R402" i="41"/>
  <c r="S402" i="41" s="1"/>
  <c r="R133" i="41"/>
  <c r="S133" i="41" s="1"/>
  <c r="R127" i="41"/>
  <c r="S127" i="41" s="1"/>
  <c r="R422" i="41"/>
  <c r="S422" i="41" s="1"/>
  <c r="R81" i="41"/>
  <c r="S81" i="41" s="1"/>
  <c r="R271" i="41"/>
  <c r="S271" i="41" s="1"/>
  <c r="R390" i="41"/>
  <c r="S390" i="41" s="1"/>
  <c r="R67" i="41"/>
  <c r="S67" i="41" s="1"/>
  <c r="R389" i="41"/>
  <c r="S389" i="41" s="1"/>
  <c r="R418" i="41"/>
  <c r="S418" i="41" s="1"/>
  <c r="R117" i="41"/>
  <c r="S117" i="41" s="1"/>
  <c r="R140" i="41"/>
  <c r="S140" i="41" s="1"/>
  <c r="R199" i="41"/>
  <c r="S199" i="41" s="1"/>
  <c r="R341" i="41"/>
  <c r="S341" i="41" s="1"/>
  <c r="R421" i="41"/>
  <c r="S421" i="41" s="1"/>
  <c r="R214" i="41"/>
  <c r="S214" i="41" s="1"/>
  <c r="R62" i="41"/>
  <c r="S62" i="41" s="1"/>
  <c r="R408" i="41"/>
  <c r="S408" i="41" s="1"/>
  <c r="R207" i="41"/>
  <c r="S207" i="41" s="1"/>
  <c r="R88" i="41"/>
  <c r="S88" i="41" s="1"/>
  <c r="R136" i="41"/>
  <c r="S136" i="41" s="1"/>
  <c r="R256" i="41"/>
  <c r="S256" i="41" s="1"/>
  <c r="R83" i="41"/>
  <c r="S83" i="41" s="1"/>
  <c r="R407" i="41"/>
  <c r="S407" i="41" s="1"/>
  <c r="R203" i="41"/>
  <c r="S203" i="41" s="1"/>
  <c r="R332" i="41"/>
  <c r="S332" i="41" s="1"/>
  <c r="R71" i="41"/>
  <c r="S71" i="41" s="1"/>
  <c r="R96" i="41"/>
  <c r="S96" i="41" s="1"/>
  <c r="R189" i="41"/>
  <c r="S189" i="41" s="1"/>
  <c r="R423" i="41"/>
  <c r="S423" i="41" s="1"/>
  <c r="R370" i="41"/>
  <c r="S370" i="41" s="1"/>
  <c r="R35" i="41"/>
  <c r="S35" i="41" s="1"/>
  <c r="R329" i="41"/>
  <c r="S329" i="41" s="1"/>
  <c r="R225" i="41"/>
  <c r="S225" i="41" s="1"/>
  <c r="R180" i="41"/>
  <c r="S180" i="41" s="1"/>
  <c r="R258" i="41"/>
  <c r="S258" i="41" s="1"/>
  <c r="R239" i="41"/>
  <c r="S239" i="41" s="1"/>
  <c r="R228" i="41"/>
  <c r="S228" i="41" s="1"/>
  <c r="R346" i="41"/>
  <c r="S346" i="41" s="1"/>
  <c r="R24" i="41"/>
  <c r="S24" i="41" s="1"/>
  <c r="R38" i="41"/>
  <c r="S38" i="41" s="1"/>
  <c r="R231" i="41"/>
  <c r="S231" i="41" s="1"/>
  <c r="R230" i="41"/>
  <c r="S230" i="41" s="1"/>
  <c r="R367" i="41"/>
  <c r="S367" i="41" s="1"/>
  <c r="R206" i="41"/>
  <c r="S206" i="41" s="1"/>
  <c r="R113" i="41"/>
  <c r="S113" i="41" s="1"/>
  <c r="R803" i="41"/>
  <c r="S803" i="41" s="1"/>
  <c r="R791" i="41"/>
  <c r="S791" i="41" s="1"/>
  <c r="R500" i="41"/>
  <c r="S500" i="41" s="1"/>
  <c r="R771" i="41"/>
  <c r="S771" i="41" s="1"/>
  <c r="R604" i="41"/>
  <c r="S604" i="41" s="1"/>
  <c r="R378" i="41"/>
  <c r="S378" i="41" s="1"/>
  <c r="R745" i="41"/>
  <c r="S745" i="41" s="1"/>
  <c r="R365" i="41"/>
  <c r="S365" i="41" s="1"/>
  <c r="R492" i="41"/>
  <c r="S492" i="41" s="1"/>
  <c r="R482" i="41"/>
  <c r="S482" i="41" s="1"/>
  <c r="R527" i="41"/>
  <c r="S527" i="41" s="1"/>
  <c r="R704" i="41"/>
  <c r="S704" i="41" s="1"/>
  <c r="R54" i="41"/>
  <c r="S54" i="41" s="1"/>
  <c r="R217" i="41"/>
  <c r="S217" i="41" s="1"/>
  <c r="R675" i="41"/>
  <c r="S675" i="41" s="1"/>
  <c r="R14" i="41"/>
  <c r="S14" i="41" s="1"/>
  <c r="R561" i="41"/>
  <c r="S561" i="41" s="1"/>
  <c r="R649" i="41"/>
  <c r="S649" i="41" s="1"/>
  <c r="R641" i="41"/>
  <c r="S641" i="41" s="1"/>
  <c r="R632" i="41"/>
  <c r="S632" i="41" s="1"/>
  <c r="R624" i="41"/>
  <c r="S624" i="41" s="1"/>
  <c r="R613" i="41"/>
  <c r="S613" i="41" s="1"/>
  <c r="R811" i="41"/>
  <c r="S811" i="41" s="1"/>
  <c r="R593" i="41"/>
  <c r="S593" i="41" s="1"/>
  <c r="R21" i="41"/>
  <c r="S21" i="41" s="1"/>
  <c r="R578" i="41"/>
  <c r="S578" i="41" s="1"/>
  <c r="R532" i="41"/>
  <c r="S532" i="41" s="1"/>
  <c r="R781" i="41"/>
  <c r="S781" i="41" s="1"/>
  <c r="R496" i="41"/>
  <c r="S496" i="41" s="1"/>
  <c r="R142" i="41"/>
  <c r="S142" i="41" s="1"/>
  <c r="R582" i="41"/>
  <c r="S582" i="41" s="1"/>
  <c r="R526" i="41"/>
  <c r="S526" i="41" s="1"/>
  <c r="R120" i="41"/>
  <c r="S120" i="41" s="1"/>
  <c r="R279" i="41"/>
  <c r="S279" i="41" s="1"/>
  <c r="R358" i="41"/>
  <c r="S358" i="41" s="1"/>
  <c r="R493" i="41"/>
  <c r="S493" i="41" s="1"/>
  <c r="R486" i="41"/>
  <c r="S486" i="41" s="1"/>
  <c r="R479" i="41"/>
  <c r="S479" i="41" s="1"/>
  <c r="R474" i="41"/>
  <c r="S474" i="41" s="1"/>
  <c r="R436" i="41"/>
  <c r="S436" i="41" s="1"/>
  <c r="R301" i="41"/>
  <c r="S301" i="41" s="1"/>
  <c r="R138" i="41"/>
  <c r="S138" i="41" s="1"/>
  <c r="R278" i="41"/>
  <c r="S278" i="41" s="1"/>
  <c r="R327" i="41"/>
  <c r="S327" i="41" s="1"/>
  <c r="R125" i="41"/>
  <c r="S125" i="41" s="1"/>
  <c r="R211" i="41"/>
  <c r="S211" i="41" s="1"/>
  <c r="R132" i="41"/>
  <c r="S132" i="41" s="1"/>
  <c r="R46" i="41"/>
  <c r="S46" i="41" s="1"/>
  <c r="R11" i="41"/>
  <c r="S11" i="41" s="1"/>
  <c r="R242" i="41"/>
  <c r="S242" i="41" s="1"/>
  <c r="R233" i="41"/>
  <c r="S233" i="41" s="1"/>
  <c r="R68" i="41"/>
  <c r="S68" i="41" s="1"/>
  <c r="R369" i="41"/>
  <c r="S369" i="41" s="1"/>
  <c r="R100" i="41"/>
  <c r="S100" i="41" s="1"/>
  <c r="R814" i="41"/>
  <c r="S814" i="41" s="1"/>
  <c r="R383" i="41"/>
  <c r="S383" i="41" s="1"/>
  <c r="R816" i="41"/>
  <c r="S816" i="41" s="1"/>
  <c r="R250" i="41"/>
  <c r="S250" i="41" s="1"/>
  <c r="R118" i="41"/>
  <c r="S118" i="41" s="1"/>
  <c r="R213" i="41"/>
  <c r="S213" i="41" s="1"/>
  <c r="R73" i="41"/>
  <c r="S73" i="41" s="1"/>
  <c r="R223" i="41"/>
  <c r="S223" i="41" s="1"/>
  <c r="R260" i="41"/>
  <c r="S260" i="41" s="1"/>
  <c r="R41" i="41"/>
  <c r="S41" i="41" s="1"/>
  <c r="R254" i="41"/>
  <c r="S254" i="41" s="1"/>
  <c r="R77" i="41"/>
  <c r="S77" i="41" s="1"/>
  <c r="R406" i="41"/>
  <c r="S406" i="41" s="1"/>
  <c r="R126" i="41"/>
  <c r="S126" i="41" s="1"/>
  <c r="R793" i="41"/>
  <c r="S793" i="41" s="1"/>
  <c r="R773" i="41"/>
  <c r="S773" i="41" s="1"/>
  <c r="R752" i="41"/>
  <c r="S752" i="41" s="1"/>
  <c r="R568" i="41"/>
  <c r="S568" i="41" s="1"/>
  <c r="R59" i="41"/>
  <c r="S59" i="41" s="1"/>
  <c r="R705" i="41"/>
  <c r="S705" i="41" s="1"/>
  <c r="R687" i="41"/>
  <c r="S687" i="41" s="1"/>
  <c r="R667" i="41"/>
  <c r="S667" i="41" s="1"/>
  <c r="R650" i="41"/>
  <c r="S650" i="41" s="1"/>
  <c r="R634" i="41"/>
  <c r="S634" i="41" s="1"/>
  <c r="R615" i="41"/>
  <c r="S615" i="41" s="1"/>
  <c r="R595" i="41"/>
  <c r="S595" i="41" s="1"/>
  <c r="R804" i="41"/>
  <c r="S804" i="41" s="1"/>
  <c r="R289" i="41"/>
  <c r="S289" i="41" s="1"/>
  <c r="R763" i="41"/>
  <c r="S763" i="41" s="1"/>
  <c r="R134" i="41"/>
  <c r="S134" i="41" s="1"/>
  <c r="R20" i="41"/>
  <c r="S20" i="41" s="1"/>
  <c r="R146" i="41"/>
  <c r="S146" i="41" s="1"/>
  <c r="R477" i="41"/>
  <c r="S477" i="41" s="1"/>
  <c r="R677" i="41"/>
  <c r="S677" i="41" s="1"/>
  <c r="R646" i="41"/>
  <c r="S646" i="41" s="1"/>
  <c r="R642" i="41"/>
  <c r="S642" i="41" s="1"/>
  <c r="R625" i="41"/>
  <c r="S625" i="41" s="1"/>
  <c r="R753" i="41"/>
  <c r="S753" i="41" s="1"/>
  <c r="R586" i="41"/>
  <c r="S586" i="41" s="1"/>
  <c r="R304" i="41"/>
  <c r="S304" i="41" s="1"/>
  <c r="R792" i="41"/>
  <c r="S792" i="41" s="1"/>
  <c r="R782" i="41"/>
  <c r="S782" i="41" s="1"/>
  <c r="R772" i="41"/>
  <c r="S772" i="41" s="1"/>
  <c r="R656" i="41"/>
  <c r="S656" i="41" s="1"/>
  <c r="R30" i="41"/>
  <c r="S30" i="41" s="1"/>
  <c r="R746" i="41"/>
  <c r="S746" i="41" s="1"/>
  <c r="R216" i="41"/>
  <c r="S216" i="41" s="1"/>
  <c r="R732" i="41"/>
  <c r="S732" i="41" s="1"/>
  <c r="R724" i="41"/>
  <c r="S724" i="41" s="1"/>
  <c r="R663" i="41"/>
  <c r="S663" i="41" s="1"/>
  <c r="R160" i="41"/>
  <c r="S160" i="41" s="1"/>
  <c r="R661" i="41"/>
  <c r="S661" i="41" s="1"/>
  <c r="R686" i="41"/>
  <c r="S686" i="41" s="1"/>
  <c r="R676" i="41"/>
  <c r="S676" i="41" s="1"/>
  <c r="R347" i="41"/>
  <c r="S347" i="41" s="1"/>
  <c r="R657" i="41"/>
  <c r="S657" i="41" s="1"/>
  <c r="R58" i="41"/>
  <c r="S58" i="41" s="1"/>
  <c r="R121" i="41"/>
  <c r="S121" i="41" s="1"/>
  <c r="R633" i="41"/>
  <c r="S633" i="41" s="1"/>
  <c r="R253" i="41"/>
  <c r="S253" i="41" s="1"/>
  <c r="R614" i="41"/>
  <c r="S614" i="41" s="1"/>
  <c r="R605" i="41"/>
  <c r="S605" i="41" s="1"/>
  <c r="R538" i="41"/>
  <c r="S538" i="41" s="1"/>
  <c r="R585" i="41"/>
  <c r="S585" i="41" s="1"/>
  <c r="R533" i="41"/>
  <c r="S533" i="41" s="1"/>
  <c r="R360" i="41"/>
  <c r="S360" i="41" s="1"/>
  <c r="R721" i="41"/>
  <c r="S721" i="41" s="1"/>
  <c r="R550" i="41"/>
  <c r="S550" i="41" s="1"/>
  <c r="R685" i="41"/>
  <c r="S685" i="41" s="1"/>
  <c r="R371" i="41"/>
  <c r="S371" i="41" s="1"/>
  <c r="R697" i="41"/>
  <c r="S697" i="41" s="1"/>
  <c r="R518" i="41"/>
  <c r="S518" i="41" s="1"/>
  <c r="R511" i="41"/>
  <c r="S511" i="41" s="1"/>
  <c r="R503" i="41"/>
  <c r="S503" i="41" s="1"/>
  <c r="R494" i="41"/>
  <c r="S494" i="41" s="1"/>
  <c r="R487" i="41"/>
  <c r="S487" i="41" s="1"/>
  <c r="R480" i="41"/>
  <c r="S480" i="41" s="1"/>
  <c r="R475" i="41"/>
  <c r="S475" i="41" s="1"/>
  <c r="P1" i="41"/>
  <c r="K1" i="41"/>
  <c r="I18" i="26" l="1"/>
  <c r="H19" i="26"/>
  <c r="I9" i="36"/>
  <c r="U1" i="35"/>
  <c r="P1" i="35"/>
  <c r="S1" i="35"/>
  <c r="S1" i="41"/>
</calcChain>
</file>

<file path=xl/sharedStrings.xml><?xml version="1.0" encoding="utf-8"?>
<sst xmlns="http://schemas.openxmlformats.org/spreadsheetml/2006/main" count="78141" uniqueCount="20413">
  <si>
    <t>SYLHET</t>
  </si>
  <si>
    <t>BANGLADESH</t>
  </si>
  <si>
    <t>OPEN</t>
  </si>
  <si>
    <t>ZYL</t>
  </si>
  <si>
    <t>ZURICH</t>
  </si>
  <si>
    <t>SWITZERLAND</t>
  </si>
  <si>
    <t>ZRH</t>
  </si>
  <si>
    <t>MONTREAL</t>
  </si>
  <si>
    <t>CANADA</t>
  </si>
  <si>
    <t>YUL</t>
  </si>
  <si>
    <t>OTTAWA</t>
  </si>
  <si>
    <t>CANANDA</t>
  </si>
  <si>
    <t>YOW</t>
  </si>
  <si>
    <t>Xi'an - Xianyang Intl</t>
  </si>
  <si>
    <t>China</t>
  </si>
  <si>
    <t>XIY</t>
  </si>
  <si>
    <t>Wuhan </t>
  </si>
  <si>
    <t>CHINA</t>
  </si>
  <si>
    <t>WUH</t>
  </si>
  <si>
    <t>VLADIVOSTOK</t>
  </si>
  <si>
    <t>RUSSIA</t>
  </si>
  <si>
    <t>VVO</t>
  </si>
  <si>
    <t>VISHAKHA</t>
  </si>
  <si>
    <t>INDIA</t>
  </si>
  <si>
    <t>VTZ</t>
  </si>
  <si>
    <t>VIENNA</t>
  </si>
  <si>
    <t>AUSTRIA</t>
  </si>
  <si>
    <t>VIE</t>
  </si>
  <si>
    <t>RAYONG</t>
  </si>
  <si>
    <t>THAILAND</t>
  </si>
  <si>
    <t>UTP</t>
  </si>
  <si>
    <t>SURAT THANI</t>
  </si>
  <si>
    <t>URT</t>
  </si>
  <si>
    <t>Urumqi - Diwopu Intl</t>
  </si>
  <si>
    <t>URC</t>
  </si>
  <si>
    <t>MAKASSAR</t>
  </si>
  <si>
    <t>INDONESIA</t>
  </si>
  <si>
    <t>UPG</t>
  </si>
  <si>
    <t>ULAN BATOR</t>
  </si>
  <si>
    <t>MONGOLIA</t>
  </si>
  <si>
    <t>ULN</t>
  </si>
  <si>
    <t>TIANJIN</t>
  </si>
  <si>
    <t>TSN</t>
  </si>
  <si>
    <t>THIRUV</t>
  </si>
  <si>
    <t>TRV</t>
  </si>
  <si>
    <t>Taipei - Metropolitan Area</t>
  </si>
  <si>
    <t>Taiwan</t>
  </si>
  <si>
    <t>TPE</t>
  </si>
  <si>
    <t>TANGIER</t>
  </si>
  <si>
    <t>MOROCCO</t>
  </si>
  <si>
    <t>TNG</t>
  </si>
  <si>
    <t>JINAN</t>
  </si>
  <si>
    <t>TNA</t>
  </si>
  <si>
    <t>TEL AVIV</t>
  </si>
  <si>
    <t>ISRAEL</t>
  </si>
  <si>
    <t>TLV</t>
  </si>
  <si>
    <t>TEHRAN</t>
  </si>
  <si>
    <t>IRAN</t>
  </si>
  <si>
    <t>THR</t>
  </si>
  <si>
    <t>KUALA TERENGGANU</t>
  </si>
  <si>
    <t>MALAYSIA</t>
  </si>
  <si>
    <t>TGG</t>
  </si>
  <si>
    <t>Qingdao - Liuting Intl</t>
  </si>
  <si>
    <t>TAO</t>
  </si>
  <si>
    <t>Shenzhen </t>
  </si>
  <si>
    <t>SZX</t>
  </si>
  <si>
    <t xml:space="preserve">Sanya - Phoenix </t>
  </si>
  <si>
    <t>ROUTE ONLY</t>
  </si>
  <si>
    <t>SYX</t>
  </si>
  <si>
    <t>Sydney (NSW) </t>
  </si>
  <si>
    <t>AUSTRAILIA</t>
  </si>
  <si>
    <t>SYD</t>
  </si>
  <si>
    <t>MPM/SYD</t>
  </si>
  <si>
    <t>SIRINAGAR</t>
  </si>
  <si>
    <t>SXR</t>
  </si>
  <si>
    <t>Newburgh/Stewart Field</t>
  </si>
  <si>
    <t>SWF</t>
  </si>
  <si>
    <t>Moscow - Sheremetyevo</t>
  </si>
  <si>
    <t>Russia</t>
  </si>
  <si>
    <t>SVO</t>
  </si>
  <si>
    <t>SURABAYA</t>
  </si>
  <si>
    <t>SUB</t>
  </si>
  <si>
    <t>London - Stansted</t>
  </si>
  <si>
    <t>United Kingdom</t>
  </si>
  <si>
    <t>STN</t>
  </si>
  <si>
    <t>SHANNON</t>
  </si>
  <si>
    <t>IRELAND</t>
  </si>
  <si>
    <t>SNN</t>
  </si>
  <si>
    <t>SALALAH</t>
  </si>
  <si>
    <t>OMAN</t>
  </si>
  <si>
    <t>SLL</t>
  </si>
  <si>
    <t>Singapore - Changi</t>
  </si>
  <si>
    <t>Singapore</t>
  </si>
  <si>
    <t>SIN</t>
  </si>
  <si>
    <t>Shenyang - Taoxian Intl</t>
  </si>
  <si>
    <t>SHE</t>
  </si>
  <si>
    <t>SHANGHAI</t>
  </si>
  <si>
    <t>SHA</t>
  </si>
  <si>
    <t>Hô Chi Minh City </t>
  </si>
  <si>
    <t>VIETNAM</t>
  </si>
  <si>
    <t>SGN</t>
  </si>
  <si>
    <t>SANTIAGO</t>
  </si>
  <si>
    <t>CHILE</t>
  </si>
  <si>
    <t>SCL</t>
  </si>
  <si>
    <t>SUBANG</t>
  </si>
  <si>
    <t>SBZ</t>
  </si>
  <si>
    <t>SIBU</t>
  </si>
  <si>
    <t>SBW</t>
  </si>
  <si>
    <t>Riyadh </t>
  </si>
  <si>
    <t>SAUDI ARABIA</t>
  </si>
  <si>
    <t>RUH</t>
  </si>
  <si>
    <t>RANGOUN</t>
  </si>
  <si>
    <t>MYANMAR (BURMA)</t>
  </si>
  <si>
    <t>RGN</t>
  </si>
  <si>
    <t>PVG</t>
  </si>
  <si>
    <t>PHNOM PENH</t>
  </si>
  <si>
    <t>CAMBODIA</t>
  </si>
  <si>
    <t>PNH</t>
  </si>
  <si>
    <t>Palma de Mallorca</t>
  </si>
  <si>
    <t>Spain</t>
  </si>
  <si>
    <t>PMI</t>
  </si>
  <si>
    <t>Beijing Daxing International</t>
  </si>
  <si>
    <t>PKX</t>
  </si>
  <si>
    <t>PHILIDELPHIA</t>
  </si>
  <si>
    <t>PHL</t>
  </si>
  <si>
    <t>PERTH</t>
  </si>
  <si>
    <t>PER</t>
  </si>
  <si>
    <t>PENANG</t>
  </si>
  <si>
    <t>PEN</t>
  </si>
  <si>
    <t>BEJING</t>
  </si>
  <si>
    <t>PEK</t>
  </si>
  <si>
    <t>West Palm Beach</t>
  </si>
  <si>
    <t>PBI</t>
  </si>
  <si>
    <t>PLATTSBURG</t>
  </si>
  <si>
    <t>PBG</t>
  </si>
  <si>
    <t>PORT AU PRINCE</t>
  </si>
  <si>
    <t>HAITI</t>
  </si>
  <si>
    <t>PAP</t>
  </si>
  <si>
    <t>OSLO</t>
  </si>
  <si>
    <t>NORWAY</t>
  </si>
  <si>
    <t>OSL</t>
  </si>
  <si>
    <t>Okinawa</t>
  </si>
  <si>
    <t>Japan</t>
  </si>
  <si>
    <t>OKA</t>
  </si>
  <si>
    <t>Tokyo - Narita Intl</t>
  </si>
  <si>
    <t>NRT</t>
  </si>
  <si>
    <t>Nanjing - Lukou Intl</t>
  </si>
  <si>
    <t>NKG</t>
  </si>
  <si>
    <t>Nagoya</t>
  </si>
  <si>
    <t>NGO</t>
  </si>
  <si>
    <t>NAIROBI</t>
  </si>
  <si>
    <t>KENYA</t>
  </si>
  <si>
    <t>NBO</t>
  </si>
  <si>
    <t>NAGPUR</t>
  </si>
  <si>
    <t>NAG</t>
  </si>
  <si>
    <t>MUNICH</t>
  </si>
  <si>
    <t>GERMANY</t>
  </si>
  <si>
    <t>MUC</t>
  </si>
  <si>
    <t>PLAISANCE</t>
  </si>
  <si>
    <t>MAURITIUS</t>
  </si>
  <si>
    <t>MRU</t>
  </si>
  <si>
    <t>NELSPRUIT</t>
  </si>
  <si>
    <t>SOUTH AFRICA</t>
  </si>
  <si>
    <t>MQP</t>
  </si>
  <si>
    <t>MANILA</t>
  </si>
  <si>
    <t>PHILIPPINES</t>
  </si>
  <si>
    <t>MNL</t>
  </si>
  <si>
    <t>MIAMI</t>
  </si>
  <si>
    <t>MIA</t>
  </si>
  <si>
    <t>MELBOURNE</t>
  </si>
  <si>
    <t>MEL</t>
  </si>
  <si>
    <t>Madinah - Mohammad Bin Abdulaziz</t>
  </si>
  <si>
    <t>Saudi Arabia</t>
  </si>
  <si>
    <t>MED</t>
  </si>
  <si>
    <t>MANDALAY</t>
  </si>
  <si>
    <t>MDL</t>
  </si>
  <si>
    <t>MEDELIN</t>
  </si>
  <si>
    <t>COLOMBIA</t>
  </si>
  <si>
    <t>MDE</t>
  </si>
  <si>
    <t>MUSCAT</t>
  </si>
  <si>
    <t>MCT</t>
  </si>
  <si>
    <t>Manchester - Airport</t>
  </si>
  <si>
    <t>MAN</t>
  </si>
  <si>
    <t xml:space="preserve">MADRID </t>
  </si>
  <si>
    <t>SPAIN</t>
  </si>
  <si>
    <t>MAD</t>
  </si>
  <si>
    <t>Chennai</t>
  </si>
  <si>
    <t>MAA</t>
  </si>
  <si>
    <t>Lusaka </t>
  </si>
  <si>
    <t>ZAMBIA</t>
  </si>
  <si>
    <t>LUN</t>
  </si>
  <si>
    <t>LISBON</t>
  </si>
  <si>
    <t>PORTUGAL</t>
  </si>
  <si>
    <t>LIS</t>
  </si>
  <si>
    <t>LONDON</t>
  </si>
  <si>
    <t>LHR</t>
  </si>
  <si>
    <t>LAHORE</t>
  </si>
  <si>
    <t>Pakistan</t>
  </si>
  <si>
    <t>LHE</t>
  </si>
  <si>
    <t>LONDON GATWICK</t>
  </si>
  <si>
    <t>LGW</t>
  </si>
  <si>
    <t>LANGKAWI</t>
  </si>
  <si>
    <t>LGK</t>
  </si>
  <si>
    <t>ST PETERSBURG</t>
  </si>
  <si>
    <t>LED</t>
  </si>
  <si>
    <t>LAOAG</t>
  </si>
  <si>
    <t>LAO</t>
  </si>
  <si>
    <t>ANGOLA</t>
  </si>
  <si>
    <t>LUANDA</t>
  </si>
  <si>
    <t>LAD</t>
  </si>
  <si>
    <t>KUALA LUMPUR</t>
  </si>
  <si>
    <t>KUL</t>
  </si>
  <si>
    <t>KUANTAN</t>
  </si>
  <si>
    <t>KUA</t>
  </si>
  <si>
    <t>MEDAN</t>
  </si>
  <si>
    <t>KNO</t>
  </si>
  <si>
    <t>Kunming </t>
  </si>
  <si>
    <t>KMG</t>
  </si>
  <si>
    <t>Osaka</t>
  </si>
  <si>
    <t>KIX</t>
  </si>
  <si>
    <t>KHABAROVSK</t>
  </si>
  <si>
    <t>KHV</t>
  </si>
  <si>
    <t>KARACHI</t>
  </si>
  <si>
    <t>PAKISTAN</t>
  </si>
  <si>
    <t>KHI</t>
  </si>
  <si>
    <t>REYKJAVIK</t>
  </si>
  <si>
    <t>ICELAND</t>
  </si>
  <si>
    <t>KEF</t>
  </si>
  <si>
    <t>KRABI</t>
  </si>
  <si>
    <t>KBV</t>
  </si>
  <si>
    <t>KABUL</t>
  </si>
  <si>
    <t>AFGHANISTAN</t>
  </si>
  <si>
    <t>KBL</t>
  </si>
  <si>
    <t>Johannesburg </t>
  </si>
  <si>
    <t>JNB</t>
  </si>
  <si>
    <t>SENAI</t>
  </si>
  <si>
    <t>JHB</t>
  </si>
  <si>
    <t>NEW YORK</t>
  </si>
  <si>
    <t>JFK</t>
  </si>
  <si>
    <t>JAIPUR</t>
  </si>
  <si>
    <t>JAI</t>
  </si>
  <si>
    <t>PORT BLAIR</t>
  </si>
  <si>
    <t>IXZ</t>
  </si>
  <si>
    <t>LEH</t>
  </si>
  <si>
    <t>IXL</t>
  </si>
  <si>
    <t>MANGALORE</t>
  </si>
  <si>
    <t>IXE</t>
  </si>
  <si>
    <t>BAGDOGRA</t>
  </si>
  <si>
    <t>IXB</t>
  </si>
  <si>
    <t>ITM</t>
  </si>
  <si>
    <t>ISTANBUL</t>
  </si>
  <si>
    <t>TURKEY</t>
  </si>
  <si>
    <t>IST</t>
  </si>
  <si>
    <t>ISLAMABAD</t>
  </si>
  <si>
    <t>ISB</t>
  </si>
  <si>
    <t>EASTER ISLAND</t>
  </si>
  <si>
    <t>IPC</t>
  </si>
  <si>
    <t>Seoul - Incheon International</t>
  </si>
  <si>
    <t>South Korea</t>
  </si>
  <si>
    <t>ICN</t>
  </si>
  <si>
    <t>WASHINGTON DC</t>
  </si>
  <si>
    <t>IAD</t>
  </si>
  <si>
    <t>HYDRABAD</t>
  </si>
  <si>
    <t>HYD</t>
  </si>
  <si>
    <t>Harare </t>
  </si>
  <si>
    <t>ZIMBABWE</t>
  </si>
  <si>
    <t>HRE</t>
  </si>
  <si>
    <t>HARBIN</t>
  </si>
  <si>
    <t>HRB</t>
  </si>
  <si>
    <t>Tokyo Intl (Haneda)</t>
  </si>
  <si>
    <t>HND</t>
  </si>
  <si>
    <t>JAKARTA</t>
  </si>
  <si>
    <t>HLP</t>
  </si>
  <si>
    <t>HLA</t>
  </si>
  <si>
    <t>PHUKET</t>
  </si>
  <si>
    <t>HKT</t>
  </si>
  <si>
    <t>Hong Kong </t>
  </si>
  <si>
    <t>HKG</t>
  </si>
  <si>
    <t>Hangzhou - Xiaoshan Intl</t>
  </si>
  <si>
    <t>HGH</t>
  </si>
  <si>
    <t>HELSINKI</t>
  </si>
  <si>
    <t>FINLAND</t>
  </si>
  <si>
    <t>HEL</t>
  </si>
  <si>
    <t>HAT YAI</t>
  </si>
  <si>
    <t>HDY</t>
  </si>
  <si>
    <t>HANOI</t>
  </si>
  <si>
    <t>HAN</t>
  </si>
  <si>
    <t>HAMBURG</t>
  </si>
  <si>
    <t>HAM</t>
  </si>
  <si>
    <t>Haikou </t>
  </si>
  <si>
    <t>HAK</t>
  </si>
  <si>
    <t>COMOROS</t>
  </si>
  <si>
    <t>MORONI</t>
  </si>
  <si>
    <t>HAH</t>
  </si>
  <si>
    <t>GENEVA</t>
  </si>
  <si>
    <t>GVA</t>
  </si>
  <si>
    <t>SAO PAULO</t>
  </si>
  <si>
    <t>BRAZIL</t>
  </si>
  <si>
    <t>GRU</t>
  </si>
  <si>
    <t>GOA</t>
  </si>
  <si>
    <t>GOI</t>
  </si>
  <si>
    <t>GEN. SANTOS</t>
  </si>
  <si>
    <t>GES</t>
  </si>
  <si>
    <t>GUWAHATI</t>
  </si>
  <si>
    <t>GAU</t>
  </si>
  <si>
    <t>FRANKFURT</t>
  </si>
  <si>
    <t>FRA</t>
  </si>
  <si>
    <t>Rome - Fiumicino</t>
  </si>
  <si>
    <t>Italy</t>
  </si>
  <si>
    <t>FCO</t>
  </si>
  <si>
    <t>BUENOS AIRES</t>
  </si>
  <si>
    <t>ARGENTINA</t>
  </si>
  <si>
    <t>EZE</t>
  </si>
  <si>
    <t>Newark</t>
  </si>
  <si>
    <t>EWR</t>
  </si>
  <si>
    <t>ANKARA</t>
  </si>
  <si>
    <t>ESB</t>
  </si>
  <si>
    <t>DUBAI</t>
  </si>
  <si>
    <t>UAE</t>
  </si>
  <si>
    <t>DXB</t>
  </si>
  <si>
    <t>DWC</t>
  </si>
  <si>
    <t>DAVAO</t>
  </si>
  <si>
    <t>DVO</t>
  </si>
  <si>
    <t>DUSSELDORF</t>
  </si>
  <si>
    <t>DUS</t>
  </si>
  <si>
    <t>DURBAN</t>
  </si>
  <si>
    <t>DUR</t>
  </si>
  <si>
    <t>DENSPSAR</t>
  </si>
  <si>
    <t>DPS</t>
  </si>
  <si>
    <t>BANGKOK</t>
  </si>
  <si>
    <t>DMK </t>
  </si>
  <si>
    <t>Bangkok - Don Mueang</t>
  </si>
  <si>
    <t>Thailand</t>
  </si>
  <si>
    <t>DMK</t>
  </si>
  <si>
    <t>MOSCOU</t>
  </si>
  <si>
    <t>DME</t>
  </si>
  <si>
    <t>Dalian - Zhoushuizi Intl</t>
  </si>
  <si>
    <t>DLC</t>
  </si>
  <si>
    <t>DELHI</t>
  </si>
  <si>
    <t>DEL</t>
  </si>
  <si>
    <t>Da Nang</t>
  </si>
  <si>
    <t>DAD</t>
  </si>
  <si>
    <t>DHAKA</t>
  </si>
  <si>
    <t>DAC</t>
  </si>
  <si>
    <t>CAM RANH</t>
  </si>
  <si>
    <t>CXR</t>
  </si>
  <si>
    <t>Chengdu </t>
  </si>
  <si>
    <t>CTU</t>
  </si>
  <si>
    <t>Sapporo</t>
  </si>
  <si>
    <t>CTS</t>
  </si>
  <si>
    <t>ANGELES CITY</t>
  </si>
  <si>
    <t>CRK</t>
  </si>
  <si>
    <t>CAPE TOWN</t>
  </si>
  <si>
    <t>CPT</t>
  </si>
  <si>
    <t>COCHIN</t>
  </si>
  <si>
    <t>COK</t>
  </si>
  <si>
    <t>CHIANG MAI</t>
  </si>
  <si>
    <t>CNX</t>
  </si>
  <si>
    <t>CASABLANCA</t>
  </si>
  <si>
    <t>CMN</t>
  </si>
  <si>
    <t>CHONGQING</t>
  </si>
  <si>
    <t>CKG</t>
  </si>
  <si>
    <t>CHRISTCHURCY</t>
  </si>
  <si>
    <t>NEW ZEALAND</t>
  </si>
  <si>
    <t>CHC</t>
  </si>
  <si>
    <t>CHANGCHUN</t>
  </si>
  <si>
    <t>CGQ</t>
  </si>
  <si>
    <t>CHITTAGONG</t>
  </si>
  <si>
    <t>CGP</t>
  </si>
  <si>
    <t>CGK</t>
  </si>
  <si>
    <t>CHIANG RAI</t>
  </si>
  <si>
    <t>CEI</t>
  </si>
  <si>
    <t>CEBU</t>
  </si>
  <si>
    <t>CEB</t>
  </si>
  <si>
    <t>PARIS</t>
  </si>
  <si>
    <t>FRANCE</t>
  </si>
  <si>
    <t>CDG</t>
  </si>
  <si>
    <t>KOLKATA</t>
  </si>
  <si>
    <t>CCU</t>
  </si>
  <si>
    <t>CARACAS</t>
  </si>
  <si>
    <t>VENEZUELA</t>
  </si>
  <si>
    <t>CCS</t>
  </si>
  <si>
    <t>KOZHIKODE</t>
  </si>
  <si>
    <t>CCJ</t>
  </si>
  <si>
    <t>Guangzhou - Baiyun Intl</t>
  </si>
  <si>
    <t>CAN</t>
  </si>
  <si>
    <t>CAIRO</t>
  </si>
  <si>
    <t>EGYPT</t>
  </si>
  <si>
    <t>CAI</t>
  </si>
  <si>
    <t>BAYANKHONGOR</t>
  </si>
  <si>
    <t>BYN</t>
  </si>
  <si>
    <t>BUDAPEST</t>
  </si>
  <si>
    <t>HUNGARY</t>
  </si>
  <si>
    <t>BUD</t>
  </si>
  <si>
    <t>BATAM</t>
  </si>
  <si>
    <t>BTH</t>
  </si>
  <si>
    <t>BASEL</t>
  </si>
  <si>
    <t>BSL</t>
  </si>
  <si>
    <t>BRASILIA</t>
  </si>
  <si>
    <t>BSB</t>
  </si>
  <si>
    <t>BRUSSELS</t>
  </si>
  <si>
    <t>BELGIUM</t>
  </si>
  <si>
    <t>BRU</t>
  </si>
  <si>
    <t>BOSTON</t>
  </si>
  <si>
    <t>BOS</t>
  </si>
  <si>
    <t>MUMBAI</t>
  </si>
  <si>
    <t>BOM</t>
  </si>
  <si>
    <t>BOGOTA</t>
  </si>
  <si>
    <t>BOG</t>
  </si>
  <si>
    <t>BRISBANE</t>
  </si>
  <si>
    <t>BNE</t>
  </si>
  <si>
    <t>BUON MA THUOT</t>
  </si>
  <si>
    <t>BMV</t>
  </si>
  <si>
    <t>BANGALORE</t>
  </si>
  <si>
    <t>BLR</t>
  </si>
  <si>
    <t>BKK</t>
  </si>
  <si>
    <t>KOTA KINABALU</t>
  </si>
  <si>
    <t>BKI</t>
  </si>
  <si>
    <t>Bahawalpur</t>
  </si>
  <si>
    <t>BHV</t>
  </si>
  <si>
    <t>BAGHDAD</t>
  </si>
  <si>
    <t>IRAQ</t>
  </si>
  <si>
    <t>BGW</t>
  </si>
  <si>
    <t>BELFAST</t>
  </si>
  <si>
    <t>BFS</t>
  </si>
  <si>
    <t>BELEM</t>
  </si>
  <si>
    <t>BEL</t>
  </si>
  <si>
    <t>Hartford</t>
  </si>
  <si>
    <t>BDL</t>
  </si>
  <si>
    <t>BARCELONA</t>
  </si>
  <si>
    <t>BCN</t>
  </si>
  <si>
    <t>SOMALIA</t>
  </si>
  <si>
    <t>BERBERA</t>
  </si>
  <si>
    <t>BBO</t>
  </si>
  <si>
    <t>ABU DHABI</t>
  </si>
  <si>
    <t>AUH</t>
  </si>
  <si>
    <t>AMRITSAR</t>
  </si>
  <si>
    <t>ATQ</t>
  </si>
  <si>
    <t>ATHENS</t>
  </si>
  <si>
    <t>GREECE</t>
  </si>
  <si>
    <t>ATH</t>
  </si>
  <si>
    <t>ASUNCION</t>
  </si>
  <si>
    <t>PARAGUAY</t>
  </si>
  <si>
    <t>ASU</t>
  </si>
  <si>
    <t>AMSTERDAM</t>
  </si>
  <si>
    <t>NETHERLANDS</t>
  </si>
  <si>
    <t>AMS</t>
  </si>
  <si>
    <t>AHMEDABAD</t>
  </si>
  <si>
    <t>AMD</t>
  </si>
  <si>
    <t>ALGERIA</t>
  </si>
  <si>
    <t>ALG</t>
  </si>
  <si>
    <t>AUCKLAND</t>
  </si>
  <si>
    <t>AKL</t>
  </si>
  <si>
    <t>KKHAMIS MUSHAIT</t>
  </si>
  <si>
    <t>AHB</t>
  </si>
  <si>
    <t>ADDIS ABABA</t>
  </si>
  <si>
    <t>ETHOPIA</t>
  </si>
  <si>
    <t>ADD</t>
  </si>
  <si>
    <t>E - DEMAND</t>
  </si>
  <si>
    <t>$ PER PAX</t>
  </si>
  <si>
    <t>ROUTE $</t>
  </si>
  <si>
    <t>RT TIME (744)</t>
  </si>
  <si>
    <t>DISTANCE</t>
  </si>
  <si>
    <t>CITY</t>
  </si>
  <si>
    <t>COUNTRY</t>
  </si>
  <si>
    <t>STATUS</t>
  </si>
  <si>
    <t>ICAO</t>
  </si>
  <si>
    <t>ROUTE</t>
  </si>
  <si>
    <t>SUM OF OBJECTIVE</t>
  </si>
  <si>
    <t>DIFFERENCE</t>
  </si>
  <si>
    <t>TARGET</t>
  </si>
  <si>
    <t>OBJ</t>
  </si>
  <si>
    <t>VARIABLE</t>
  </si>
  <si>
    <t>ROUTES</t>
  </si>
  <si>
    <t>Column1</t>
  </si>
  <si>
    <t>Column2</t>
  </si>
  <si>
    <t>747-400</t>
  </si>
  <si>
    <t>PLANES</t>
  </si>
  <si>
    <t>REMAIN BALANCE</t>
  </si>
  <si>
    <t>PAY PRICE</t>
  </si>
  <si>
    <t>DISC</t>
  </si>
  <si>
    <t>QTY</t>
  </si>
  <si>
    <t>BANK BALANCE:</t>
  </si>
  <si>
    <t>YVR</t>
  </si>
  <si>
    <t>LOS</t>
  </si>
  <si>
    <t>HNL</t>
  </si>
  <si>
    <t>CARGO</t>
  </si>
  <si>
    <t>BUS</t>
  </si>
  <si>
    <t>DEST</t>
  </si>
  <si>
    <t>HUB</t>
  </si>
  <si>
    <t>Togo</t>
  </si>
  <si>
    <t>Niamtougou Airport</t>
  </si>
  <si>
    <t>LRL</t>
  </si>
  <si>
    <t>Algeria</t>
  </si>
  <si>
    <t>Ain Eddis Airport</t>
  </si>
  <si>
    <t>BUJ</t>
  </si>
  <si>
    <t>Latvia</t>
  </si>
  <si>
    <t>Liepaja Airport</t>
  </si>
  <si>
    <t>LPX</t>
  </si>
  <si>
    <t>Ivory Coast</t>
  </si>
  <si>
    <t>Yamoussoukro Airport</t>
  </si>
  <si>
    <t>ASK</t>
  </si>
  <si>
    <t>Iran</t>
  </si>
  <si>
    <t>Zabol Airport</t>
  </si>
  <si>
    <t>ACZ</t>
  </si>
  <si>
    <t>Argentina</t>
  </si>
  <si>
    <t>RÃ­o Cuarto Airport</t>
  </si>
  <si>
    <t>RCU</t>
  </si>
  <si>
    <t>Lithuania</t>
  </si>
  <si>
    <t>Siauliai Airport</t>
  </si>
  <si>
    <t>SQQ</t>
  </si>
  <si>
    <t>Cameroon</t>
  </si>
  <si>
    <t>Salak Airport</t>
  </si>
  <si>
    <t>MVR</t>
  </si>
  <si>
    <t>Canada</t>
  </si>
  <si>
    <t>Chetwynd Airport</t>
  </si>
  <si>
    <t>YCQ</t>
  </si>
  <si>
    <t>Brazil</t>
  </si>
  <si>
    <t>Botucatu Airport</t>
  </si>
  <si>
    <t>QCJ</t>
  </si>
  <si>
    <t>Estonia</t>
  </si>
  <si>
    <t>Tartu Airport</t>
  </si>
  <si>
    <t>TAY</t>
  </si>
  <si>
    <t>New Caledonia</t>
  </si>
  <si>
    <t>KonÃ© Airport</t>
  </si>
  <si>
    <t>KNQ</t>
  </si>
  <si>
    <t>Bou Chekif Airport</t>
  </si>
  <si>
    <t>TID</t>
  </si>
  <si>
    <t>Touho Airport</t>
  </si>
  <si>
    <t>TOU</t>
  </si>
  <si>
    <t>Chile</t>
  </si>
  <si>
    <t>Teniente R. Marsh Airport</t>
  </si>
  <si>
    <t>TNM</t>
  </si>
  <si>
    <t>Mongolia</t>
  </si>
  <si>
    <t>Ondorkhaan Airport</t>
  </si>
  <si>
    <t>UNR</t>
  </si>
  <si>
    <t>Bordj Mokhtar Airport</t>
  </si>
  <si>
    <t>BMW</t>
  </si>
  <si>
    <t>General Pico Airport</t>
  </si>
  <si>
    <t>GPO</t>
  </si>
  <si>
    <t>Villa Reynold Airport</t>
  </si>
  <si>
    <t>VME</t>
  </si>
  <si>
    <t>Zimbabwe</t>
  </si>
  <si>
    <t>Buffalo Range Airport</t>
  </si>
  <si>
    <t>BFO</t>
  </si>
  <si>
    <t>Uruguay</t>
  </si>
  <si>
    <t>Angel S Adami Airport</t>
  </si>
  <si>
    <t>LIU</t>
  </si>
  <si>
    <t>Rivera Airport</t>
  </si>
  <si>
    <t>RVY</t>
  </si>
  <si>
    <t>Tiga Airport</t>
  </si>
  <si>
    <t>TGJ</t>
  </si>
  <si>
    <t>Francisco Pereira Lopez Airport</t>
  </si>
  <si>
    <t>QSC</t>
  </si>
  <si>
    <t>Kariba Airport</t>
  </si>
  <si>
    <t>KAB</t>
  </si>
  <si>
    <t>Arandu Airport</t>
  </si>
  <si>
    <t>QVB</t>
  </si>
  <si>
    <t>Votuporanga Airport</t>
  </si>
  <si>
    <t>VOT</t>
  </si>
  <si>
    <t>France</t>
  </si>
  <si>
    <t>Le Touquet Cote d'Opale Airport</t>
  </si>
  <si>
    <t>LTQ</t>
  </si>
  <si>
    <t>Marshall Airport</t>
  </si>
  <si>
    <t>CBG</t>
  </si>
  <si>
    <t>Ourinhos Airport</t>
  </si>
  <si>
    <t>OUS</t>
  </si>
  <si>
    <t>Afghanistan</t>
  </si>
  <si>
    <t>Qala i Naw Airport</t>
  </si>
  <si>
    <t>LQN</t>
  </si>
  <si>
    <t>Long Beach Airport</t>
  </si>
  <si>
    <t>YAZ</t>
  </si>
  <si>
    <t>Uranium City Airport</t>
  </si>
  <si>
    <t>YBE</t>
  </si>
  <si>
    <t>Moulay Ahmed Medeghri Airport</t>
  </si>
  <si>
    <t>LOO</t>
  </si>
  <si>
    <t>Whitecourt Airport</t>
  </si>
  <si>
    <t>YZU</t>
  </si>
  <si>
    <t>Santos Dumont Airport</t>
  </si>
  <si>
    <t>PHB</t>
  </si>
  <si>
    <t>Namibia</t>
  </si>
  <si>
    <t>Keetmanshoop Airport</t>
  </si>
  <si>
    <t>KMP</t>
  </si>
  <si>
    <t>Centre Airport</t>
  </si>
  <si>
    <t>CHR</t>
  </si>
  <si>
    <t>Sweden</t>
  </si>
  <si>
    <t>Pajala Airport</t>
  </si>
  <si>
    <t>PJA</t>
  </si>
  <si>
    <t>Kazakhstan</t>
  </si>
  <si>
    <t>ATMA Atyrau Airport</t>
  </si>
  <si>
    <t>GUW</t>
  </si>
  <si>
    <t>Koumac Airport</t>
  </si>
  <si>
    <t>KOC</t>
  </si>
  <si>
    <t>Mayo Airport</t>
  </si>
  <si>
    <t>YMA</t>
  </si>
  <si>
    <t>Lydd Airport</t>
  </si>
  <si>
    <t>LYX</t>
  </si>
  <si>
    <t>Greece</t>
  </si>
  <si>
    <t>Filippos National Airport</t>
  </si>
  <si>
    <t>KZI</t>
  </si>
  <si>
    <t>Greenland</t>
  </si>
  <si>
    <t>Nerlerit Inaat Airport</t>
  </si>
  <si>
    <t>CNP</t>
  </si>
  <si>
    <t>Fryklanda Airport</t>
  </si>
  <si>
    <t>TYF</t>
  </si>
  <si>
    <t>Norway</t>
  </si>
  <si>
    <t>Notodden Airport</t>
  </si>
  <si>
    <t>NTB</t>
  </si>
  <si>
    <t>Morocco</t>
  </si>
  <si>
    <t>Tan Tan Airport</t>
  </si>
  <si>
    <t>TTA</t>
  </si>
  <si>
    <t>Senegal</t>
  </si>
  <si>
    <t>Louis Airport</t>
  </si>
  <si>
    <t>XLS</t>
  </si>
  <si>
    <t>El Golea Airport</t>
  </si>
  <si>
    <t>ELG</t>
  </si>
  <si>
    <t>Tavaux Airport</t>
  </si>
  <si>
    <t>DLE</t>
  </si>
  <si>
    <t>Maupertus Airport</t>
  </si>
  <si>
    <t>CER</t>
  </si>
  <si>
    <t>Hagfors Airport</t>
  </si>
  <si>
    <t>HFS</t>
  </si>
  <si>
    <t>Urt Airport</t>
  </si>
  <si>
    <t>UUN</t>
  </si>
  <si>
    <t>Webequie Airport</t>
  </si>
  <si>
    <t>YWP</t>
  </si>
  <si>
    <t>Daniel Jurkic Airport</t>
  </si>
  <si>
    <t>RCQ</t>
  </si>
  <si>
    <t>Paulo Afonso Airport</t>
  </si>
  <si>
    <t>PAV</t>
  </si>
  <si>
    <t>Iceland</t>
  </si>
  <si>
    <t>Grimsey Airport</t>
  </si>
  <si>
    <t>GRY</t>
  </si>
  <si>
    <t>Anahim Lake Airport</t>
  </si>
  <si>
    <t>YAA</t>
  </si>
  <si>
    <t>Cartwright Airport</t>
  </si>
  <si>
    <t>YRF</t>
  </si>
  <si>
    <t>Uganda</t>
  </si>
  <si>
    <t>Moyo Airport</t>
  </si>
  <si>
    <t>OYG</t>
  </si>
  <si>
    <t>Sachs Harbour Airport</t>
  </si>
  <si>
    <t>YSY</t>
  </si>
  <si>
    <t>Siena Airport</t>
  </si>
  <si>
    <t>SAY</t>
  </si>
  <si>
    <t>Angola</t>
  </si>
  <si>
    <t>Gen. V. Deslandes Airport</t>
  </si>
  <si>
    <t>BUG</t>
  </si>
  <si>
    <t>United States</t>
  </si>
  <si>
    <t>Adak Airport</t>
  </si>
  <si>
    <t>ADK</t>
  </si>
  <si>
    <t>Gulu Airport</t>
  </si>
  <si>
    <t>ULU</t>
  </si>
  <si>
    <t>Crooked Island Airport</t>
  </si>
  <si>
    <t>CRI</t>
  </si>
  <si>
    <t>Kuujjuaq Airport</t>
  </si>
  <si>
    <t>YVP</t>
  </si>
  <si>
    <t>Bosnia and Herzegovina</t>
  </si>
  <si>
    <t>Mostar Airport</t>
  </si>
  <si>
    <t>OMO</t>
  </si>
  <si>
    <t>Slovakia</t>
  </si>
  <si>
    <t>Piestany Airport</t>
  </si>
  <si>
    <t>PZY</t>
  </si>
  <si>
    <t>French Polynesia</t>
  </si>
  <si>
    <t>Kaukura Airport</t>
  </si>
  <si>
    <t>KKR</t>
  </si>
  <si>
    <t>VallÃ©e de Seine Airport</t>
  </si>
  <si>
    <t>URO</t>
  </si>
  <si>
    <t>Ponta PorÃ£ Airport</t>
  </si>
  <si>
    <t>PMG</t>
  </si>
  <si>
    <t>Mali</t>
  </si>
  <si>
    <t>Tombouctou Airport</t>
  </si>
  <si>
    <t>TOM</t>
  </si>
  <si>
    <t>Timimoun Airport</t>
  </si>
  <si>
    <t>TMX</t>
  </si>
  <si>
    <t>Cook Islands</t>
  </si>
  <si>
    <t>Mauke Airport</t>
  </si>
  <si>
    <t>MUK</t>
  </si>
  <si>
    <t>La MÃ´le - Saint-Tropez Airport</t>
  </si>
  <si>
    <t>LTT</t>
  </si>
  <si>
    <t>Maymana Airport</t>
  </si>
  <si>
    <t>MMZ</t>
  </si>
  <si>
    <t>Tarin Kowt Airport</t>
  </si>
  <si>
    <t>TII</t>
  </si>
  <si>
    <t>Cuba</t>
  </si>
  <si>
    <t>Orestes Acosta Airport</t>
  </si>
  <si>
    <t>MOA</t>
  </si>
  <si>
    <t>Farah Airport</t>
  </si>
  <si>
    <t>FAH</t>
  </si>
  <si>
    <t>Peawanuck Airport</t>
  </si>
  <si>
    <t>YPO</t>
  </si>
  <si>
    <t>Parnu Airport</t>
  </si>
  <si>
    <t>EPU</t>
  </si>
  <si>
    <t>Carmelo Airport</t>
  </si>
  <si>
    <t>CUI</t>
  </si>
  <si>
    <t>Paulatuk Airport</t>
  </si>
  <si>
    <t>YPC</t>
  </si>
  <si>
    <t>Roberval Airport</t>
  </si>
  <si>
    <t>YRJ</t>
  </si>
  <si>
    <t>Lynn Lake Airport</t>
  </si>
  <si>
    <t>YYL</t>
  </si>
  <si>
    <t>Turkey</t>
  </si>
  <si>
    <t>Zonguldak Airport</t>
  </si>
  <si>
    <t>ONQ</t>
  </si>
  <si>
    <t>Arthur's Town Airport</t>
  </si>
  <si>
    <t>ATC</t>
  </si>
  <si>
    <t>Aristotelis Airport</t>
  </si>
  <si>
    <t>KSO</t>
  </si>
  <si>
    <t>Angers Loire Airport</t>
  </si>
  <si>
    <t>ANE</t>
  </si>
  <si>
    <t>Malaysia</t>
  </si>
  <si>
    <t>Sultan Azlan Shah Airport</t>
  </si>
  <si>
    <t>IPH</t>
  </si>
  <si>
    <t>Anaa Airport</t>
  </si>
  <si>
    <t>AAA</t>
  </si>
  <si>
    <t>Peru</t>
  </si>
  <si>
    <t>Tnte. FAP Jaime Montreuil Morales Airport</t>
  </si>
  <si>
    <t>CHM</t>
  </si>
  <si>
    <t>Philippines</t>
  </si>
  <si>
    <t>Mindoro Airport</t>
  </si>
  <si>
    <t>VGN</t>
  </si>
  <si>
    <t>Sveg Airport</t>
  </si>
  <si>
    <t>EVG</t>
  </si>
  <si>
    <t>Ukraine</t>
  </si>
  <si>
    <t>Kryvyi Rih Airport</t>
  </si>
  <si>
    <t>KWG</t>
  </si>
  <si>
    <t>Congo - Kinshasa</t>
  </si>
  <si>
    <t>Mbandaka Airport</t>
  </si>
  <si>
    <t>MDK</t>
  </si>
  <si>
    <t>Fagernes Airport</t>
  </si>
  <si>
    <t>VDB</t>
  </si>
  <si>
    <t>New Zealand</t>
  </si>
  <si>
    <t>Hood Aerodrome Airport</t>
  </si>
  <si>
    <t>MRO</t>
  </si>
  <si>
    <t>Portugal</t>
  </si>
  <si>
    <t>BraganÃ§a Airport</t>
  </si>
  <si>
    <t>BGC</t>
  </si>
  <si>
    <t>Mayaguana Airport</t>
  </si>
  <si>
    <t>MYG</t>
  </si>
  <si>
    <t>Enua Airport</t>
  </si>
  <si>
    <t>AIU</t>
  </si>
  <si>
    <t>Katima Mulilo Airport</t>
  </si>
  <si>
    <t>MPA</t>
  </si>
  <si>
    <t>Gobernador Castello Airport</t>
  </si>
  <si>
    <t>VDM</t>
  </si>
  <si>
    <t>Saint-LÃ©onard Airport (NB)</t>
  </si>
  <si>
    <t>YSL</t>
  </si>
  <si>
    <t>Points North Landing Airport</t>
  </si>
  <si>
    <t>YNL</t>
  </si>
  <si>
    <t>Bassillac Airport</t>
  </si>
  <si>
    <t>PGX</t>
  </si>
  <si>
    <t>Muskoka Airport</t>
  </si>
  <si>
    <t>YQA</t>
  </si>
  <si>
    <t>Chokurdakh Airport</t>
  </si>
  <si>
    <t>CKH</t>
  </si>
  <si>
    <t>Sao Jorge Aerodromo Airport</t>
  </si>
  <si>
    <t>SJZ</t>
  </si>
  <si>
    <t>Thorshofn Airport</t>
  </si>
  <si>
    <t>THO</t>
  </si>
  <si>
    <t>Poland</t>
  </si>
  <si>
    <t>Babimost Airport</t>
  </si>
  <si>
    <t>IEG</t>
  </si>
  <si>
    <t>Burkina Faso</t>
  </si>
  <si>
    <t>Bobo Dioulasso Airport</t>
  </si>
  <si>
    <t>BOY</t>
  </si>
  <si>
    <t>Hermanos Ameijeiras Airport</t>
  </si>
  <si>
    <t>VTU</t>
  </si>
  <si>
    <t>Saudarkrokur Airport</t>
  </si>
  <si>
    <t>SAK</t>
  </si>
  <si>
    <t>Carlos Manuel de CÃ©spedes Airport</t>
  </si>
  <si>
    <t>BYM</t>
  </si>
  <si>
    <t>Tiree Airport</t>
  </si>
  <si>
    <t>TRE</t>
  </si>
  <si>
    <t>Orland Airport</t>
  </si>
  <si>
    <t>OLA</t>
  </si>
  <si>
    <t>Australia</t>
  </si>
  <si>
    <t>Aurukun Airport</t>
  </si>
  <si>
    <t>AUU</t>
  </si>
  <si>
    <t>Shinshu Matsumoto Airport</t>
  </si>
  <si>
    <t>MMJ</t>
  </si>
  <si>
    <t>Williamson County Regional Airport</t>
  </si>
  <si>
    <t>MWA</t>
  </si>
  <si>
    <t>Inagua Airport</t>
  </si>
  <si>
    <t>IGA</t>
  </si>
  <si>
    <t>Amos</t>
  </si>
  <si>
    <t>YEY</t>
  </si>
  <si>
    <t>Lins Airport</t>
  </si>
  <si>
    <t>LIP</t>
  </si>
  <si>
    <t>Qiemo Airport</t>
  </si>
  <si>
    <t>IQM</t>
  </si>
  <si>
    <t>Totegegie Airport</t>
  </si>
  <si>
    <t>GMR</t>
  </si>
  <si>
    <t>Ventspils Airport</t>
  </si>
  <si>
    <t>VTS</t>
  </si>
  <si>
    <t>Poplar Hil Airport</t>
  </si>
  <si>
    <t>YHP</t>
  </si>
  <si>
    <t>South Indian Lake Airport</t>
  </si>
  <si>
    <t>XSI</t>
  </si>
  <si>
    <t>North Spirit Lake Airport</t>
  </si>
  <si>
    <t>YNO</t>
  </si>
  <si>
    <t>Brochet Airport</t>
  </si>
  <si>
    <t>YBT</t>
  </si>
  <si>
    <t>Alma Airport</t>
  </si>
  <si>
    <t>YTF</t>
  </si>
  <si>
    <t>Rainbow Lake Airport</t>
  </si>
  <si>
    <t>YOP</t>
  </si>
  <si>
    <t>Santa Rosa Airport</t>
  </si>
  <si>
    <t>RSA</t>
  </si>
  <si>
    <t>Finland</t>
  </si>
  <si>
    <t>Varkaus Airport</t>
  </si>
  <si>
    <t>VRK</t>
  </si>
  <si>
    <t>Niagara Falls Airport</t>
  </si>
  <si>
    <t>IAG</t>
  </si>
  <si>
    <t>Costa Rica</t>
  </si>
  <si>
    <t>Carrillo Airport</t>
  </si>
  <si>
    <t>PLD</t>
  </si>
  <si>
    <t>Elcho Island Airport</t>
  </si>
  <si>
    <t>ELC</t>
  </si>
  <si>
    <t>Mora Airport</t>
  </si>
  <si>
    <t>MXX</t>
  </si>
  <si>
    <t>Sidi Mahdi Airport</t>
  </si>
  <si>
    <t>TGR</t>
  </si>
  <si>
    <t>Corrado Gex Airport</t>
  </si>
  <si>
    <t>AOT</t>
  </si>
  <si>
    <t>Tuvalu</t>
  </si>
  <si>
    <t>Funafuti Airport</t>
  </si>
  <si>
    <t>FUN</t>
  </si>
  <si>
    <t>Tuuta Airport</t>
  </si>
  <si>
    <t>CHT</t>
  </si>
  <si>
    <t>Mataiva Airport</t>
  </si>
  <si>
    <t>MVT</t>
  </si>
  <si>
    <t>Blackwater Airport</t>
  </si>
  <si>
    <t>BLT</t>
  </si>
  <si>
    <t>Kardla Airport</t>
  </si>
  <si>
    <t>KDL</t>
  </si>
  <si>
    <t>Geilo Airport</t>
  </si>
  <si>
    <t>DLD</t>
  </si>
  <si>
    <t>Ambodedjo Airport</t>
  </si>
  <si>
    <t>MZI</t>
  </si>
  <si>
    <t>York Landing Airport</t>
  </si>
  <si>
    <t>ZAC</t>
  </si>
  <si>
    <t>Gobernador Gregore Airport</t>
  </si>
  <si>
    <t>GGS</t>
  </si>
  <si>
    <t>Cooktown Airport</t>
  </si>
  <si>
    <t>CTN</t>
  </si>
  <si>
    <t>Assis Airport</t>
  </si>
  <si>
    <t>AIF</t>
  </si>
  <si>
    <t>Campbeltown Airport</t>
  </si>
  <si>
    <t>CAL</t>
  </si>
  <si>
    <t>Kayes Airport</t>
  </si>
  <si>
    <t>KYS</t>
  </si>
  <si>
    <t>Comodoro Ricardo SalomÃ³n Airport</t>
  </si>
  <si>
    <t>LGS</t>
  </si>
  <si>
    <t>Moulay Ali Cherif Airport</t>
  </si>
  <si>
    <t>ERH</t>
  </si>
  <si>
    <t>Luderitz Airport</t>
  </si>
  <si>
    <t>LUD</t>
  </si>
  <si>
    <t>Jolo Airport</t>
  </si>
  <si>
    <t>JOL</t>
  </si>
  <si>
    <t>Bartolomeu Lysandro Airport</t>
  </si>
  <si>
    <t>CAW</t>
  </si>
  <si>
    <t>Colombia</t>
  </si>
  <si>
    <t>Villa Garzon Airport</t>
  </si>
  <si>
    <t>VGZ</t>
  </si>
  <si>
    <t>Cochrane Airport</t>
  </si>
  <si>
    <t>YCN</t>
  </si>
  <si>
    <t>Marinduque Airport</t>
  </si>
  <si>
    <t>MRQ</t>
  </si>
  <si>
    <t>Nepal</t>
  </si>
  <si>
    <t>Dhangadhi Airport</t>
  </si>
  <si>
    <t>DHI</t>
  </si>
  <si>
    <t>Dubois Regional Airport</t>
  </si>
  <si>
    <t>DUJ</t>
  </si>
  <si>
    <t>Charlo Airport</t>
  </si>
  <si>
    <t>YCL</t>
  </si>
  <si>
    <t>Gustavo Rizo Airport</t>
  </si>
  <si>
    <t>BCA</t>
  </si>
  <si>
    <t>Denmark</t>
  </si>
  <si>
    <t>Beldringe Airport</t>
  </si>
  <si>
    <t>ODE</t>
  </si>
  <si>
    <t>NgaoundÃ©rÃ© Airport</t>
  </si>
  <si>
    <t>NGE</t>
  </si>
  <si>
    <t>Sudan</t>
  </si>
  <si>
    <t>El Obeid Airport</t>
  </si>
  <si>
    <t>EBD</t>
  </si>
  <si>
    <t>Fort Severn Airport</t>
  </si>
  <si>
    <t>YER</t>
  </si>
  <si>
    <t>Cape Verde</t>
  </si>
  <si>
    <t>Maio Airport</t>
  </si>
  <si>
    <t>MMO</t>
  </si>
  <si>
    <t>Peace River Airport</t>
  </si>
  <si>
    <t>YPE</t>
  </si>
  <si>
    <t>Fort Chipewyan Airport</t>
  </si>
  <si>
    <t>YPY</t>
  </si>
  <si>
    <t>Brantford Airport</t>
  </si>
  <si>
    <t>YFD</t>
  </si>
  <si>
    <t>Slave Lake Airport</t>
  </si>
  <si>
    <t>YZH</t>
  </si>
  <si>
    <t>Usak Airport</t>
  </si>
  <si>
    <t>USQ</t>
  </si>
  <si>
    <t>Pueblo Memorial Airport</t>
  </si>
  <si>
    <t>PUB</t>
  </si>
  <si>
    <t>Batin Domestic Airport</t>
  </si>
  <si>
    <t>HBT</t>
  </si>
  <si>
    <t>HornafjÃ¶rÃ°ur Airport</t>
  </si>
  <si>
    <t>HFN</t>
  </si>
  <si>
    <t>Mataveri Airport</t>
  </si>
  <si>
    <t>Hemavan Airport</t>
  </si>
  <si>
    <t>HMV</t>
  </si>
  <si>
    <t>Fort Dodge Regional Airport</t>
  </si>
  <si>
    <t>FOD</t>
  </si>
  <si>
    <t>Ogoki Post Airport</t>
  </si>
  <si>
    <t>YOG</t>
  </si>
  <si>
    <t>Ford Airport</t>
  </si>
  <si>
    <t>IMT</t>
  </si>
  <si>
    <t>Cedar City Regional Airport</t>
  </si>
  <si>
    <t>CDC</t>
  </si>
  <si>
    <t>Francisco Carle Airport</t>
  </si>
  <si>
    <t>JAU</t>
  </si>
  <si>
    <t>Hooper Bay Airport</t>
  </si>
  <si>
    <t>HPB</t>
  </si>
  <si>
    <t>Syros Island Airport</t>
  </si>
  <si>
    <t>JSY</t>
  </si>
  <si>
    <t>Red Sucker Lake Airport</t>
  </si>
  <si>
    <t>YRS</t>
  </si>
  <si>
    <t>Coober Pedy Airport</t>
  </si>
  <si>
    <t>CPD</t>
  </si>
  <si>
    <t>South Africa</t>
  </si>
  <si>
    <t>Pilanesberg Airport</t>
  </si>
  <si>
    <t>NTY</t>
  </si>
  <si>
    <t>Skyros Island Airport</t>
  </si>
  <si>
    <t>SKU</t>
  </si>
  <si>
    <t>Port Augusta Airport</t>
  </si>
  <si>
    <t>PUG</t>
  </si>
  <si>
    <t>Niue</t>
  </si>
  <si>
    <t>Niue Airport</t>
  </si>
  <si>
    <t>IUE</t>
  </si>
  <si>
    <t>Victoria Regional Airport</t>
  </si>
  <si>
    <t>VCT</t>
  </si>
  <si>
    <t>Madagascar</t>
  </si>
  <si>
    <t>Morondava Airport</t>
  </si>
  <si>
    <t>MOQ</t>
  </si>
  <si>
    <t>Middle Georgia Regional Airport</t>
  </si>
  <si>
    <t>MCN</t>
  </si>
  <si>
    <t>Hanzhong Airport</t>
  </si>
  <si>
    <t>HZG</t>
  </si>
  <si>
    <t>Keewaywin Airport</t>
  </si>
  <si>
    <t>KEW</t>
  </si>
  <si>
    <t>Arctic Bay Airport</t>
  </si>
  <si>
    <t>YAB</t>
  </si>
  <si>
    <t>Mala Mala Airport</t>
  </si>
  <si>
    <t>AAM</t>
  </si>
  <si>
    <t>Red Deer Regional Airport</t>
  </si>
  <si>
    <t>YQF</t>
  </si>
  <si>
    <t>Aitutaki Airport</t>
  </si>
  <si>
    <t>AIT</t>
  </si>
  <si>
    <t>Watertown Regional Airport</t>
  </si>
  <si>
    <t>ATY</t>
  </si>
  <si>
    <t>Choibalsan Airport</t>
  </si>
  <si>
    <t>COQ</t>
  </si>
  <si>
    <t>Arutua Airport</t>
  </si>
  <si>
    <t>AXR</t>
  </si>
  <si>
    <t>Oskarshamn Airport</t>
  </si>
  <si>
    <t>OSK</t>
  </si>
  <si>
    <t>Mid-Ohio Valley Airport</t>
  </si>
  <si>
    <t>PKB</t>
  </si>
  <si>
    <t>Cambridge Bay Airport</t>
  </si>
  <si>
    <t>YCB</t>
  </si>
  <si>
    <t>Ben Epps Airport</t>
  </si>
  <si>
    <t>AHN</t>
  </si>
  <si>
    <t>Andahuaylas Airport</t>
  </si>
  <si>
    <t>ANS</t>
  </si>
  <si>
    <t>Tunisia</t>
  </si>
  <si>
    <t>Ksar Airport</t>
  </si>
  <si>
    <t>GAF</t>
  </si>
  <si>
    <t>Laos</t>
  </si>
  <si>
    <t>Oudomsay Airport</t>
  </si>
  <si>
    <t>ODY</t>
  </si>
  <si>
    <t>Ban Huoeisay Airport</t>
  </si>
  <si>
    <t>OUI</t>
  </si>
  <si>
    <t>Masset Airport</t>
  </si>
  <si>
    <t>ZMT</t>
  </si>
  <si>
    <t>Savannakhet Airport</t>
  </si>
  <si>
    <t>ZVK</t>
  </si>
  <si>
    <t>Bayankhongor Airport</t>
  </si>
  <si>
    <t>Zilina Airport</t>
  </si>
  <si>
    <t>ILZ</t>
  </si>
  <si>
    <t>Ahe Airport</t>
  </si>
  <si>
    <t>AHE</t>
  </si>
  <si>
    <t>Narrandera Airport</t>
  </si>
  <si>
    <t>NRA</t>
  </si>
  <si>
    <t>Mammoth Yosemite Airport</t>
  </si>
  <si>
    <t>MMH</t>
  </si>
  <si>
    <t>Slovenia</t>
  </si>
  <si>
    <t>Edvarda Rusjana Airport</t>
  </si>
  <si>
    <t>MBX</t>
  </si>
  <si>
    <t>AlfÃ©rez FAP David Figueroa Fernandini Airport</t>
  </si>
  <si>
    <t>HUU</t>
  </si>
  <si>
    <t>Liberal Mid-America Airport</t>
  </si>
  <si>
    <t>LBL</t>
  </si>
  <si>
    <t>Mid Delta Regional Airport</t>
  </si>
  <si>
    <t>GLH</t>
  </si>
  <si>
    <t>San Luis Valley Regional Airport</t>
  </si>
  <si>
    <t>ALS</t>
  </si>
  <si>
    <t>Fort McPherson Airport</t>
  </si>
  <si>
    <t>ZFM</t>
  </si>
  <si>
    <t>Wapekeka Airport</t>
  </si>
  <si>
    <t>YAX</t>
  </si>
  <si>
    <t>Charlie Sinclair Memorial Airport</t>
  </si>
  <si>
    <t>YCR</t>
  </si>
  <si>
    <t>Quinhagak Airport</t>
  </si>
  <si>
    <t>AQH</t>
  </si>
  <si>
    <t>Bella Coola Airport</t>
  </si>
  <si>
    <t>QBC</t>
  </si>
  <si>
    <t>Elliot Lake Municipal Airport</t>
  </si>
  <si>
    <t>YEL</t>
  </si>
  <si>
    <t>Lt. Col W.G. (Billy) Barker VC Airport</t>
  </si>
  <si>
    <t>YDN</t>
  </si>
  <si>
    <t>Iliamna Airport</t>
  </si>
  <si>
    <t>ILI</t>
  </si>
  <si>
    <t>Portland Airport</t>
  </si>
  <si>
    <t>PTJ</t>
  </si>
  <si>
    <t>Bonaventure Airport</t>
  </si>
  <si>
    <t>YVB</t>
  </si>
  <si>
    <t>Timiskaming Regional Airport</t>
  </si>
  <si>
    <t>YXR</t>
  </si>
  <si>
    <t>Gral. Justo JosÃ© de Urquiza Airport</t>
  </si>
  <si>
    <t>PRA</t>
  </si>
  <si>
    <t>Burgos Airport</t>
  </si>
  <si>
    <t>RGS</t>
  </si>
  <si>
    <t>Mariana Grajales Airport</t>
  </si>
  <si>
    <t>GAO</t>
  </si>
  <si>
    <t>Deer Lake Airport</t>
  </si>
  <si>
    <t>YVZ</t>
  </si>
  <si>
    <t>Baker Lake Airport</t>
  </si>
  <si>
    <t>YBK</t>
  </si>
  <si>
    <t>Malakal Airport</t>
  </si>
  <si>
    <t>MAK</t>
  </si>
  <si>
    <t>Kiribati</t>
  </si>
  <si>
    <t>Cassidy Airport</t>
  </si>
  <si>
    <t>CXI</t>
  </si>
  <si>
    <t>Palmar Sur Airport</t>
  </si>
  <si>
    <t>PMZ</t>
  </si>
  <si>
    <t>Delta County Airport</t>
  </si>
  <si>
    <t>ESC</t>
  </si>
  <si>
    <t>Northwest Alabama Regional Airport</t>
  </si>
  <si>
    <t>MSL</t>
  </si>
  <si>
    <t>Malanje Airport</t>
  </si>
  <si>
    <t>MEG</t>
  </si>
  <si>
    <t>Kulusuk Airport</t>
  </si>
  <si>
    <t>KUS</t>
  </si>
  <si>
    <t>Raivavae Airport</t>
  </si>
  <si>
    <t>RVV</t>
  </si>
  <si>
    <t>Vilhelmina Airport</t>
  </si>
  <si>
    <t>VHM</t>
  </si>
  <si>
    <t>Imperial County Airport</t>
  </si>
  <si>
    <t>IPL</t>
  </si>
  <si>
    <t>Nea Anchialos Airport</t>
  </si>
  <si>
    <t>VOL</t>
  </si>
  <si>
    <t>Lac Brochet Airport</t>
  </si>
  <si>
    <t>XLB</t>
  </si>
  <si>
    <t>Wollaston Lake Airport</t>
  </si>
  <si>
    <t>ZWL</t>
  </si>
  <si>
    <t>Fond-du-Lac Airport</t>
  </si>
  <si>
    <t>ZFD</t>
  </si>
  <si>
    <t>Cat Lake Airport</t>
  </si>
  <si>
    <t>YAC</t>
  </si>
  <si>
    <t>Haines Airport</t>
  </si>
  <si>
    <t>HNS</t>
  </si>
  <si>
    <t>Westport Airport</t>
  </si>
  <si>
    <t>WSZ</t>
  </si>
  <si>
    <t>India</t>
  </si>
  <si>
    <t>Porbandar Airport</t>
  </si>
  <si>
    <t>PBD</t>
  </si>
  <si>
    <t>Kaitaia Airport</t>
  </si>
  <si>
    <t>KAT</t>
  </si>
  <si>
    <t>Maningrida Airport</t>
  </si>
  <si>
    <t>MNG</t>
  </si>
  <si>
    <t>Sanga Airport</t>
  </si>
  <si>
    <t>SGS</t>
  </si>
  <si>
    <t>Fayzabad Airport</t>
  </si>
  <si>
    <t>FBD</t>
  </si>
  <si>
    <t>Edson Airport</t>
  </si>
  <si>
    <t>YET</t>
  </si>
  <si>
    <t>Brandon Municipal Airport</t>
  </si>
  <si>
    <t>YBR</t>
  </si>
  <si>
    <t>Agri Airport</t>
  </si>
  <si>
    <t>AJI</t>
  </si>
  <si>
    <t>Anglesey Airport</t>
  </si>
  <si>
    <t>HLY</t>
  </si>
  <si>
    <t>Olgii Airport</t>
  </si>
  <si>
    <t>ULG</t>
  </si>
  <si>
    <t>St. Marys Airport</t>
  </si>
  <si>
    <t>KSM</t>
  </si>
  <si>
    <t>Inganoo Airport</t>
  </si>
  <si>
    <t>ABM</t>
  </si>
  <si>
    <t>Cesar Gaviria Trujillo Airport</t>
  </si>
  <si>
    <t>PDA</t>
  </si>
  <si>
    <t>Lappeenranta Airport</t>
  </si>
  <si>
    <t>LPP</t>
  </si>
  <si>
    <t>Sayak Airport</t>
  </si>
  <si>
    <t>IAO</t>
  </si>
  <si>
    <t>Dawson Creek Airport</t>
  </si>
  <si>
    <t>YDQ</t>
  </si>
  <si>
    <t>Janakpur Airport</t>
  </si>
  <si>
    <t>JKR</t>
  </si>
  <si>
    <t>Takaroa Airport</t>
  </si>
  <si>
    <t>TKX</t>
  </si>
  <si>
    <t>Aerodrom Portoroz Airport</t>
  </si>
  <si>
    <t>POW</t>
  </si>
  <si>
    <t>Shimla Airport</t>
  </si>
  <si>
    <t>SLV</t>
  </si>
  <si>
    <t>Makemo Airport</t>
  </si>
  <si>
    <t>MKP</t>
  </si>
  <si>
    <t>Charleville Airport</t>
  </si>
  <si>
    <t>CTL</t>
  </si>
  <si>
    <t>Edward G. Pitka Sr Airport</t>
  </si>
  <si>
    <t>GAL</t>
  </si>
  <si>
    <t>Croatia</t>
  </si>
  <si>
    <t>Osijek Airport</t>
  </si>
  <si>
    <t>OSI</t>
  </si>
  <si>
    <t>Jorge Enrique GonzÃ¡lez Torres Airport</t>
  </si>
  <si>
    <t>SJE</t>
  </si>
  <si>
    <t>Liping City Airport</t>
  </si>
  <si>
    <t>HZH</t>
  </si>
  <si>
    <t>Egypt</t>
  </si>
  <si>
    <t>El Arish Airport</t>
  </si>
  <si>
    <t>AAC</t>
  </si>
  <si>
    <t>Summer Beaver Airport</t>
  </si>
  <si>
    <t>SUR</t>
  </si>
  <si>
    <t>Norway House Airport</t>
  </si>
  <si>
    <t>YNE</t>
  </si>
  <si>
    <t>Kingfisher Lake Airport</t>
  </si>
  <si>
    <t>KIF</t>
  </si>
  <si>
    <t>Holman Airport</t>
  </si>
  <si>
    <t>YHI</t>
  </si>
  <si>
    <t>Comoros</t>
  </si>
  <si>
    <t>Bandar es Salam Airport</t>
  </si>
  <si>
    <t>NWA</t>
  </si>
  <si>
    <t>Narrabri Airport</t>
  </si>
  <si>
    <t>NAA</t>
  </si>
  <si>
    <t>Tacheng Airport</t>
  </si>
  <si>
    <t>TCG</t>
  </si>
  <si>
    <t>Lloydminster Airport</t>
  </si>
  <si>
    <t>YLL</t>
  </si>
  <si>
    <t>Bolivia</t>
  </si>
  <si>
    <t>CapitÃ¡n GermÃ¡n Quiroga Guardia Airport</t>
  </si>
  <si>
    <t>SRJ</t>
  </si>
  <si>
    <t>Brigadeiro Lysias Augusto Rodrigues Airport</t>
  </si>
  <si>
    <t>CLN</t>
  </si>
  <si>
    <t>Diu Airport</t>
  </si>
  <si>
    <t>DIU</t>
  </si>
  <si>
    <t>John Murtha Cambria County Airport</t>
  </si>
  <si>
    <t>JST</t>
  </si>
  <si>
    <t>Dalanzadgad Airport</t>
  </si>
  <si>
    <t>DLZ</t>
  </si>
  <si>
    <t>Alpena County Regional Airport</t>
  </si>
  <si>
    <t>APN</t>
  </si>
  <si>
    <t>Resolute Bay Airport</t>
  </si>
  <si>
    <t>YRB</t>
  </si>
  <si>
    <t>Anguilla</t>
  </si>
  <si>
    <t>Anguilla Wallblake Airport</t>
  </si>
  <si>
    <t>AXA</t>
  </si>
  <si>
    <t>Guemar Airport</t>
  </si>
  <si>
    <t>ELU</t>
  </si>
  <si>
    <t>Kuressaare Airport</t>
  </si>
  <si>
    <t>URE</t>
  </si>
  <si>
    <t>RÃ¸ros Airport</t>
  </si>
  <si>
    <t>RRS</t>
  </si>
  <si>
    <t>Tafsaout Airport</t>
  </si>
  <si>
    <t>INZ</t>
  </si>
  <si>
    <t>Nauru</t>
  </si>
  <si>
    <t>Nauru Airport</t>
  </si>
  <si>
    <t>INU</t>
  </si>
  <si>
    <t>Savonlinna Airport</t>
  </si>
  <si>
    <t>SVL</t>
  </si>
  <si>
    <t>Cocos (Keeling) Islands Airport</t>
  </si>
  <si>
    <t>CCK</t>
  </si>
  <si>
    <t>Enontekio Airport</t>
  </si>
  <si>
    <t>ENF</t>
  </si>
  <si>
    <t>Allahabad Airport</t>
  </si>
  <si>
    <t>IXD</t>
  </si>
  <si>
    <t>Sanikiluaq Airport</t>
  </si>
  <si>
    <t>YSK</t>
  </si>
  <si>
    <t>Juan Casiano SolÃ­s Airport</t>
  </si>
  <si>
    <t>GPI</t>
  </si>
  <si>
    <t>Louang Namtha Airport</t>
  </si>
  <si>
    <t>LXG</t>
  </si>
  <si>
    <t>Fabio Alberto Leon Bentley Airport</t>
  </si>
  <si>
    <t>MVP</t>
  </si>
  <si>
    <t>Kenya</t>
  </si>
  <si>
    <t>Lokichogio Airport</t>
  </si>
  <si>
    <t>LKG</t>
  </si>
  <si>
    <t>Miramichi Airport</t>
  </si>
  <si>
    <t>YCH</t>
  </si>
  <si>
    <t>Sierra Maestra Airport</t>
  </si>
  <si>
    <t>MZO</t>
  </si>
  <si>
    <t>Kamina Airport</t>
  </si>
  <si>
    <t>KMN</t>
  </si>
  <si>
    <t>Kent Airport</t>
  </si>
  <si>
    <t>MSE</t>
  </si>
  <si>
    <t>Fort Yukon Airport</t>
  </si>
  <si>
    <t>FYU</t>
  </si>
  <si>
    <t>Lebanon Municipal Airport</t>
  </si>
  <si>
    <t>LEB</t>
  </si>
  <si>
    <t>Bost Airport</t>
  </si>
  <si>
    <t>BST</t>
  </si>
  <si>
    <t>Zaranj Airport</t>
  </si>
  <si>
    <t>ZAJ</t>
  </si>
  <si>
    <t>Guangyuan Airport</t>
  </si>
  <si>
    <t>GYS</t>
  </si>
  <si>
    <t>SÃ¼leyman Demirel 461 Airport</t>
  </si>
  <si>
    <t>ISE</t>
  </si>
  <si>
    <t>Round Lake Airport</t>
  </si>
  <si>
    <t>ZRJ</t>
  </si>
  <si>
    <t>Georges River Airport</t>
  </si>
  <si>
    <t>XGR</t>
  </si>
  <si>
    <t>Israel</t>
  </si>
  <si>
    <t>Ben Yaakov Airport</t>
  </si>
  <si>
    <t>RPN</t>
  </si>
  <si>
    <t>JosÃ© Celestino Mutis Airport</t>
  </si>
  <si>
    <t>BSC</t>
  </si>
  <si>
    <t>James Gruben Airport</t>
  </si>
  <si>
    <t>YUB</t>
  </si>
  <si>
    <t>High Level Airport</t>
  </si>
  <si>
    <t>YOJ</t>
  </si>
  <si>
    <t>Shenandoah Valley Regional Airport</t>
  </si>
  <si>
    <t>SHD</t>
  </si>
  <si>
    <t>Cortez Municipal Airport</t>
  </si>
  <si>
    <t>CEZ</t>
  </si>
  <si>
    <t>Cherif Al Idrissi Airport</t>
  </si>
  <si>
    <t>AHU</t>
  </si>
  <si>
    <t>Gods River Airport</t>
  </si>
  <si>
    <t>ZGI</t>
  </si>
  <si>
    <t>Tugdan Airport</t>
  </si>
  <si>
    <t>TBH</t>
  </si>
  <si>
    <t>Hays Regional Airport</t>
  </si>
  <si>
    <t>HYS</t>
  </si>
  <si>
    <t>Sainte Marie Airport</t>
  </si>
  <si>
    <t>SMS</t>
  </si>
  <si>
    <t>Belgaum Airport</t>
  </si>
  <si>
    <t>IXG</t>
  </si>
  <si>
    <t>Fuyang Airport</t>
  </si>
  <si>
    <t>FUG</t>
  </si>
  <si>
    <t>Westerly State Airport</t>
  </si>
  <si>
    <t>WST</t>
  </si>
  <si>
    <t>Sandspit Airport</t>
  </si>
  <si>
    <t>YZP</t>
  </si>
  <si>
    <t>Kalymnos Island National Airport</t>
  </si>
  <si>
    <t>JKL</t>
  </si>
  <si>
    <t>Theodore Roosevelt Regional Airport</t>
  </si>
  <si>
    <t>DIK</t>
  </si>
  <si>
    <t>Gustavus Airport</t>
  </si>
  <si>
    <t>GST</t>
  </si>
  <si>
    <t>Range Regional Airport</t>
  </si>
  <si>
    <t>HIB</t>
  </si>
  <si>
    <t>Sachigo Lake Airport</t>
  </si>
  <si>
    <t>ZPB</t>
  </si>
  <si>
    <t>Bearskin Lake Airport</t>
  </si>
  <si>
    <t>XBE</t>
  </si>
  <si>
    <t>Fort Good Hope Airport</t>
  </si>
  <si>
    <t>YGH</t>
  </si>
  <si>
    <t>Indonesia</t>
  </si>
  <si>
    <t>Raja Haji Fisabilillah Airport</t>
  </si>
  <si>
    <t>TNJ</t>
  </si>
  <si>
    <t>German Olano Airport</t>
  </si>
  <si>
    <t>PCR</t>
  </si>
  <si>
    <t>Khovd Airport</t>
  </si>
  <si>
    <t>HVD</t>
  </si>
  <si>
    <t>Prince Salman Bin Abdulaziz Domestic Airport</t>
  </si>
  <si>
    <t>DWD</t>
  </si>
  <si>
    <t>Armenia</t>
  </si>
  <si>
    <t>Shirak Airport</t>
  </si>
  <si>
    <t>LWN</t>
  </si>
  <si>
    <t>Basco Airport</t>
  </si>
  <si>
    <t>BSO</t>
  </si>
  <si>
    <t>Clarence Valley Regional Airport</t>
  </si>
  <si>
    <t>GFN</t>
  </si>
  <si>
    <t>Ulaangom Airport</t>
  </si>
  <si>
    <t>ULO</t>
  </si>
  <si>
    <t>Amboseli Airport</t>
  </si>
  <si>
    <t>ASV</t>
  </si>
  <si>
    <t>Juan H. White Airport</t>
  </si>
  <si>
    <t>CAQ</t>
  </si>
  <si>
    <t>Nanyuki Airport</t>
  </si>
  <si>
    <t>NYK</t>
  </si>
  <si>
    <t>Flinders Island Airport</t>
  </si>
  <si>
    <t>FLS</t>
  </si>
  <si>
    <t>Bulgan Airport</t>
  </si>
  <si>
    <t>UGA</t>
  </si>
  <si>
    <t>Yemen</t>
  </si>
  <si>
    <t>Socotra Airport</t>
  </si>
  <si>
    <t>SCT</t>
  </si>
  <si>
    <t>Kasabonika Airport</t>
  </si>
  <si>
    <t>XKS</t>
  </si>
  <si>
    <t>Muskrat Dam Airport</t>
  </si>
  <si>
    <t>MSA</t>
  </si>
  <si>
    <t>Agatti Aerodrome Airport</t>
  </si>
  <si>
    <t>AGX</t>
  </si>
  <si>
    <t>Natashquan Airport</t>
  </si>
  <si>
    <t>YNA</t>
  </si>
  <si>
    <t>Pierre (QC) Airport</t>
  </si>
  <si>
    <t>YGV</t>
  </si>
  <si>
    <t>Taree Airport</t>
  </si>
  <si>
    <t>TRO</t>
  </si>
  <si>
    <t>Canakkale Airport</t>
  </si>
  <si>
    <t>CKZ</t>
  </si>
  <si>
    <t>Albacete Airport</t>
  </si>
  <si>
    <t>ABC</t>
  </si>
  <si>
    <t>Tenente Lund Presotto Estadual Airport</t>
  </si>
  <si>
    <t>FRC</t>
  </si>
  <si>
    <t>Santa Fe Municipal Airport</t>
  </si>
  <si>
    <t>SAF</t>
  </si>
  <si>
    <t>Attawapiskat Airport</t>
  </si>
  <si>
    <t>YAT</t>
  </si>
  <si>
    <t>Vietnam</t>
  </si>
  <si>
    <t>Co Ong Airport</t>
  </si>
  <si>
    <t>VCS</t>
  </si>
  <si>
    <t>Thangool Airport</t>
  </si>
  <si>
    <t>THG</t>
  </si>
  <si>
    <t>Wick Airport</t>
  </si>
  <si>
    <t>WIC</t>
  </si>
  <si>
    <t>Essaouira Mogador Airport</t>
  </si>
  <si>
    <t>ESU</t>
  </si>
  <si>
    <t>Zambia</t>
  </si>
  <si>
    <t>Mfuwe Airport</t>
  </si>
  <si>
    <t>MFU</t>
  </si>
  <si>
    <t>Garden City Regional Airport</t>
  </si>
  <si>
    <t>GCK</t>
  </si>
  <si>
    <t>Mariupol Airport</t>
  </si>
  <si>
    <t>MPW</t>
  </si>
  <si>
    <t>Decatur Airport</t>
  </si>
  <si>
    <t>DEC</t>
  </si>
  <si>
    <t>AÃ©rodrome de Hao Airport</t>
  </si>
  <si>
    <t>HOI</t>
  </si>
  <si>
    <t>Semey Airport</t>
  </si>
  <si>
    <t>PLX</t>
  </si>
  <si>
    <t>Gloucestershire Airport</t>
  </si>
  <si>
    <t>GLO</t>
  </si>
  <si>
    <t>Moruya Airport</t>
  </si>
  <si>
    <t>MYA</t>
  </si>
  <si>
    <t>Hancock County Airport</t>
  </si>
  <si>
    <t>BHB</t>
  </si>
  <si>
    <t>Kearney Regional Airport</t>
  </si>
  <si>
    <t>EAR</t>
  </si>
  <si>
    <t>Nakina Airport</t>
  </si>
  <si>
    <t>YQN</t>
  </si>
  <si>
    <t>Deline Airport</t>
  </si>
  <si>
    <t>YWJ</t>
  </si>
  <si>
    <t>Sambava Airport</t>
  </si>
  <si>
    <t>SVB</t>
  </si>
  <si>
    <t>PreguiÃ§a Airport</t>
  </si>
  <si>
    <t>SNE</t>
  </si>
  <si>
    <t>Rwanda</t>
  </si>
  <si>
    <t>Kamembe Airport</t>
  </si>
  <si>
    <t>KME</t>
  </si>
  <si>
    <t>Stony Rapids Airport</t>
  </si>
  <si>
    <t>YSF</t>
  </si>
  <si>
    <t>Qingyang Airport</t>
  </si>
  <si>
    <t>IQN</t>
  </si>
  <si>
    <t>North Central West Virginia Airport</t>
  </si>
  <si>
    <t>CKB</t>
  </si>
  <si>
    <t>North Platte Regional Airport</t>
  </si>
  <si>
    <t>LBF</t>
  </si>
  <si>
    <t>Barnes Municipal Airport</t>
  </si>
  <si>
    <t>BAF</t>
  </si>
  <si>
    <t>Mbuji Mayi Airport</t>
  </si>
  <si>
    <t>MJM</t>
  </si>
  <si>
    <t>Deadman's Cay Airport</t>
  </si>
  <si>
    <t>LGI</t>
  </si>
  <si>
    <t>Pickle Lake Airport</t>
  </si>
  <si>
    <t>YPL</t>
  </si>
  <si>
    <t>Leonora Airport</t>
  </si>
  <si>
    <t>LNO</t>
  </si>
  <si>
    <t>Sliac Airport</t>
  </si>
  <si>
    <t>SLD</t>
  </si>
  <si>
    <t>Laramie Regional Airport</t>
  </si>
  <si>
    <t>LAR</t>
  </si>
  <si>
    <t>Azerbaijan</t>
  </si>
  <si>
    <t>Nakhchivan Airport</t>
  </si>
  <si>
    <t>NAJ</t>
  </si>
  <si>
    <t>Repulse Bay Airport</t>
  </si>
  <si>
    <t>YUT</t>
  </si>
  <si>
    <t>Unalakleet Airport</t>
  </si>
  <si>
    <t>UNK</t>
  </si>
  <si>
    <t>Kunduz Airport</t>
  </si>
  <si>
    <t>UND</t>
  </si>
  <si>
    <t>Mahovljani Airport</t>
  </si>
  <si>
    <t>BNX</t>
  </si>
  <si>
    <t>Santiago Germano Airport</t>
  </si>
  <si>
    <t>AFA</t>
  </si>
  <si>
    <t>Daviess County Airport</t>
  </si>
  <si>
    <t>OWB</t>
  </si>
  <si>
    <t>Dakhla Airport</t>
  </si>
  <si>
    <t>VIL</t>
  </si>
  <si>
    <t>Bakki Airport</t>
  </si>
  <si>
    <t>BJD</t>
  </si>
  <si>
    <t>Provincetown Municipal Airport</t>
  </si>
  <si>
    <t>PVC</t>
  </si>
  <si>
    <t>Skagway Airport</t>
  </si>
  <si>
    <t>SGY</t>
  </si>
  <si>
    <t>Old Crow Airport</t>
  </si>
  <si>
    <t>YOC</t>
  </si>
  <si>
    <t>Wrangell Airport</t>
  </si>
  <si>
    <t>WRG</t>
  </si>
  <si>
    <t>Lycksele Airport</t>
  </si>
  <si>
    <t>LYC</t>
  </si>
  <si>
    <t>SollefteÃ¥ Airport</t>
  </si>
  <si>
    <t>KRF</t>
  </si>
  <si>
    <t>Four Corners Regional Airport</t>
  </si>
  <si>
    <t>FMN</t>
  </si>
  <si>
    <t>Quesnel Airport</t>
  </si>
  <si>
    <t>YQZ</t>
  </si>
  <si>
    <t>Chaoyang Airport</t>
  </si>
  <si>
    <t>CHG</t>
  </si>
  <si>
    <t>Kolhapur Airport</t>
  </si>
  <si>
    <t>KLH</t>
  </si>
  <si>
    <t>Mason City Municipal Airport</t>
  </si>
  <si>
    <t>MCW</t>
  </si>
  <si>
    <t>Inyokern County Airport</t>
  </si>
  <si>
    <t>IYK</t>
  </si>
  <si>
    <t>Romania</t>
  </si>
  <si>
    <t>Craiova Airport</t>
  </si>
  <si>
    <t>CRA</t>
  </si>
  <si>
    <t>Richard Pearse Airport</t>
  </si>
  <si>
    <t>TIU</t>
  </si>
  <si>
    <t>Stord Airport</t>
  </si>
  <si>
    <t>SRP</t>
  </si>
  <si>
    <t>Germany</t>
  </si>
  <si>
    <t>Bremerhaven Airport</t>
  </si>
  <si>
    <t>BRV</t>
  </si>
  <si>
    <t>Del Norte County Airport</t>
  </si>
  <si>
    <t>CEC</t>
  </si>
  <si>
    <t>Takhamalt Airport</t>
  </si>
  <si>
    <t>VVZ</t>
  </si>
  <si>
    <t>Sloulin Field Airport</t>
  </si>
  <si>
    <t>ISN</t>
  </si>
  <si>
    <t>Sitia Public Airport</t>
  </si>
  <si>
    <t>JSH</t>
  </si>
  <si>
    <t>Wallis and Futuna</t>
  </si>
  <si>
    <t>Mata Airport</t>
  </si>
  <si>
    <t>WLS</t>
  </si>
  <si>
    <t>Ghana</t>
  </si>
  <si>
    <t>Tamale Airport</t>
  </si>
  <si>
    <t>TML</t>
  </si>
  <si>
    <t>Aupaluk Airport</t>
  </si>
  <si>
    <t>YPJ</t>
  </si>
  <si>
    <t>South Bimini Airport</t>
  </si>
  <si>
    <t>BIM</t>
  </si>
  <si>
    <t>New Bedford Regional Airport</t>
  </si>
  <si>
    <t>EWB</t>
  </si>
  <si>
    <t>Morgantown Municipal Airport</t>
  </si>
  <si>
    <t>MGW</t>
  </si>
  <si>
    <t>Ernest A. Love Field Airport</t>
  </si>
  <si>
    <t>PRC</t>
  </si>
  <si>
    <t>Batu Berendam Airport</t>
  </si>
  <si>
    <t>MKZ</t>
  </si>
  <si>
    <t>Oman</t>
  </si>
  <si>
    <t>Khasab Airport</t>
  </si>
  <si>
    <t>KHS</t>
  </si>
  <si>
    <t>Bulgaria</t>
  </si>
  <si>
    <t>Plovdiv Airport</t>
  </si>
  <si>
    <t>PDV</t>
  </si>
  <si>
    <t>Tianshui Airport</t>
  </si>
  <si>
    <t>THQ</t>
  </si>
  <si>
    <t>Ondangwa Airport</t>
  </si>
  <si>
    <t>OND</t>
  </si>
  <si>
    <t>Tiksi Airport</t>
  </si>
  <si>
    <t>IKS</t>
  </si>
  <si>
    <t>Hiva Oa Airport</t>
  </si>
  <si>
    <t>HIX</t>
  </si>
  <si>
    <t>Bathurst Island Airport</t>
  </si>
  <si>
    <t>BRT</t>
  </si>
  <si>
    <t>Sania Ramel Airport</t>
  </si>
  <si>
    <t>TTU</t>
  </si>
  <si>
    <t>Hodeida Airport</t>
  </si>
  <si>
    <t>HOD</t>
  </si>
  <si>
    <t>Stephenville Airport</t>
  </si>
  <si>
    <t>YJT</t>
  </si>
  <si>
    <t>Batsfjord Airport</t>
  </si>
  <si>
    <t>BJF</t>
  </si>
  <si>
    <t>Tasiujaq Airport</t>
  </si>
  <si>
    <t>YTQ</t>
  </si>
  <si>
    <t>Gillam Airport</t>
  </si>
  <si>
    <t>YGX</t>
  </si>
  <si>
    <t>Arua Airport</t>
  </si>
  <si>
    <t>RUA</t>
  </si>
  <si>
    <t>Yakutat Airport</t>
  </si>
  <si>
    <t>YAK</t>
  </si>
  <si>
    <t>Fort Simpson Airport</t>
  </si>
  <si>
    <t>YFS</t>
  </si>
  <si>
    <t>Ferhat Abbas Airport</t>
  </si>
  <si>
    <t>GJL</t>
  </si>
  <si>
    <t>Kavumu Airport</t>
  </si>
  <si>
    <t>BKY</t>
  </si>
  <si>
    <t>Baia Mare Airport</t>
  </si>
  <si>
    <t>BAY</t>
  </si>
  <si>
    <t>Eastmain River Airport</t>
  </si>
  <si>
    <t>ZEM</t>
  </si>
  <si>
    <t>Wemindji Airport</t>
  </si>
  <si>
    <t>YNC</t>
  </si>
  <si>
    <t>Ceduna Airport</t>
  </si>
  <si>
    <t>CED</t>
  </si>
  <si>
    <t>El Mouafikia Aboubakr Belkaid Airport</t>
  </si>
  <si>
    <t>CFK</t>
  </si>
  <si>
    <t>Cheyenne Regional Airport</t>
  </si>
  <si>
    <t>CYS</t>
  </si>
  <si>
    <t>Yarmouth Airport</t>
  </si>
  <si>
    <t>YQI</t>
  </si>
  <si>
    <t>Yacuiba Airport</t>
  </si>
  <si>
    <t>BYC</t>
  </si>
  <si>
    <t>Pagadian Airport</t>
  </si>
  <si>
    <t>PAG</t>
  </si>
  <si>
    <t>-</t>
  </si>
  <si>
    <t>Somalia</t>
  </si>
  <si>
    <t>Bender Qassim Airport</t>
  </si>
  <si>
    <t>BSA</t>
  </si>
  <si>
    <t>Tanzania</t>
  </si>
  <si>
    <t>Kigoma Airport</t>
  </si>
  <si>
    <t>TKQ</t>
  </si>
  <si>
    <t>Hattiesburg Airport</t>
  </si>
  <si>
    <t>PIB</t>
  </si>
  <si>
    <t>Boudghene Ben Ali Lotfi Airport</t>
  </si>
  <si>
    <t>CBH</t>
  </si>
  <si>
    <t>Fort Albany Airport</t>
  </si>
  <si>
    <t>YFA</t>
  </si>
  <si>
    <t>Tubuai â€“ Mataura Airport</t>
  </si>
  <si>
    <t>TUB</t>
  </si>
  <si>
    <t>Chippewa County Airport</t>
  </si>
  <si>
    <t>CIU</t>
  </si>
  <si>
    <t>Chippewa Valley Regional Airport</t>
  </si>
  <si>
    <t>EAU</t>
  </si>
  <si>
    <t>Mozambique</t>
  </si>
  <si>
    <t>Lichinga Airport</t>
  </si>
  <si>
    <t>VXC</t>
  </si>
  <si>
    <t>Rurutu Airport</t>
  </si>
  <si>
    <t>RUR</t>
  </si>
  <si>
    <t>Plauen Airport</t>
  </si>
  <si>
    <t>HOQ</t>
  </si>
  <si>
    <t>Churchill Falls Airport</t>
  </si>
  <si>
    <t>ZUM</t>
  </si>
  <si>
    <t>Carnarvon Airport</t>
  </si>
  <si>
    <t>CVQ</t>
  </si>
  <si>
    <t>Bathurst Airport</t>
  </si>
  <si>
    <t>BHS</t>
  </si>
  <si>
    <t>Aurillac Airport</t>
  </si>
  <si>
    <t>AUR</t>
  </si>
  <si>
    <t>Del Rio Airport</t>
  </si>
  <si>
    <t>DRT</t>
  </si>
  <si>
    <t>William R. Fairchild Airport</t>
  </si>
  <si>
    <t>CLM</t>
  </si>
  <si>
    <t>Tupelo Regional Airport</t>
  </si>
  <si>
    <t>TUP</t>
  </si>
  <si>
    <t>Ouargla Airport</t>
  </si>
  <si>
    <t>OGX</t>
  </si>
  <si>
    <t>Telluride Regional Airport</t>
  </si>
  <si>
    <t>TEX</t>
  </si>
  <si>
    <t>Hagerstown Regional Airport</t>
  </si>
  <si>
    <t>HGR</t>
  </si>
  <si>
    <t>Esquel Airport</t>
  </si>
  <si>
    <t>EQS</t>
  </si>
  <si>
    <t>Jaime GonzÃ¡lez Airport</t>
  </si>
  <si>
    <t>CFG</t>
  </si>
  <si>
    <t>Manokotak Airport</t>
  </si>
  <si>
    <t>KMO</t>
  </si>
  <si>
    <t>Pikangikum Airport</t>
  </si>
  <si>
    <t>YPM</t>
  </si>
  <si>
    <t>Kounotori Tajima Airport</t>
  </si>
  <si>
    <t>TJH</t>
  </si>
  <si>
    <t>Dawson City Airport</t>
  </si>
  <si>
    <t>YDA</t>
  </si>
  <si>
    <t>Pelly Bay Townsite Airport</t>
  </si>
  <si>
    <t>YBB</t>
  </si>
  <si>
    <t>Kandla Airport</t>
  </si>
  <si>
    <t>IXY</t>
  </si>
  <si>
    <t>Northern Maine Regional Airport</t>
  </si>
  <si>
    <t>PQI</t>
  </si>
  <si>
    <t>Lipetsk Airport</t>
  </si>
  <si>
    <t>LPK</t>
  </si>
  <si>
    <t>Georgia</t>
  </si>
  <si>
    <t>Kopitnari Airport</t>
  </si>
  <si>
    <t>KUT</t>
  </si>
  <si>
    <t>Nosara Airport</t>
  </si>
  <si>
    <t>NOB</t>
  </si>
  <si>
    <t>Palm Island Airport</t>
  </si>
  <si>
    <t>PMK</t>
  </si>
  <si>
    <t>Hendrik Van Eck Airport</t>
  </si>
  <si>
    <t>PHW</t>
  </si>
  <si>
    <t>Turbat Airport</t>
  </si>
  <si>
    <t>TUK</t>
  </si>
  <si>
    <t>K. D. Matanzima Airport</t>
  </si>
  <si>
    <t>UTT</t>
  </si>
  <si>
    <t>Pierre Regional Airport</t>
  </si>
  <si>
    <t>PIR</t>
  </si>
  <si>
    <t>Satu Mare Airport</t>
  </si>
  <si>
    <t>SUJ</t>
  </si>
  <si>
    <t>Brigadier Mayor D Cesar Raul Ojeda Airport</t>
  </si>
  <si>
    <t>LUQ</t>
  </si>
  <si>
    <t>Saurimo Airport</t>
  </si>
  <si>
    <t>VHC</t>
  </si>
  <si>
    <t>Eldoret Airport</t>
  </si>
  <si>
    <t>EDL</t>
  </si>
  <si>
    <t>Vardo Airport</t>
  </si>
  <si>
    <t>VAW</t>
  </si>
  <si>
    <t>Brac Airport</t>
  </si>
  <si>
    <t>BWK</t>
  </si>
  <si>
    <t>Leros Municipal Airport</t>
  </si>
  <si>
    <t>LRS</t>
  </si>
  <si>
    <t>CorumbÃ¡ Airport</t>
  </si>
  <si>
    <t>CMG</t>
  </si>
  <si>
    <t>Riverton Regional Airport</t>
  </si>
  <si>
    <t>RIW</t>
  </si>
  <si>
    <t>Sheridan County Airport</t>
  </si>
  <si>
    <t>SHR</t>
  </si>
  <si>
    <t>Mara Serena Airport</t>
  </si>
  <si>
    <t>MRE</t>
  </si>
  <si>
    <t>Surat Airport</t>
  </si>
  <si>
    <t>STV</t>
  </si>
  <si>
    <t>Island Lake Airport</t>
  </si>
  <si>
    <t>YIV</t>
  </si>
  <si>
    <t>Xieng Khouang Airport</t>
  </si>
  <si>
    <t>XKH</t>
  </si>
  <si>
    <t>Islay Airport</t>
  </si>
  <si>
    <t>ILY</t>
  </si>
  <si>
    <t>Puerto Suarez Airport</t>
  </si>
  <si>
    <t>PSZ</t>
  </si>
  <si>
    <t>Botswana</t>
  </si>
  <si>
    <t>Kasane Airport</t>
  </si>
  <si>
    <t>BBK</t>
  </si>
  <si>
    <t>St. Cloud Regional Airport</t>
  </si>
  <si>
    <t>STC</t>
  </si>
  <si>
    <t>Rock Sound Airport</t>
  </si>
  <si>
    <t>RSD</t>
  </si>
  <si>
    <t>Buffalo Spring Airport</t>
  </si>
  <si>
    <t>UAS</t>
  </si>
  <si>
    <t>Ikaria Island National Airport</t>
  </si>
  <si>
    <t>JIK</t>
  </si>
  <si>
    <t>Kithira Island National Airport</t>
  </si>
  <si>
    <t>KIT</t>
  </si>
  <si>
    <t>Knox County Regional Airport</t>
  </si>
  <si>
    <t>RKD</t>
  </si>
  <si>
    <t>Pioneer Field Airport</t>
  </si>
  <si>
    <t>VDZ</t>
  </si>
  <si>
    <t>Hassi R'Mel Airport</t>
  </si>
  <si>
    <t>HRM</t>
  </si>
  <si>
    <t>Hami Airport</t>
  </si>
  <si>
    <t>HMI</t>
  </si>
  <si>
    <t>Tonga</t>
  </si>
  <si>
    <t>Lupepauu Airport</t>
  </si>
  <si>
    <t>VAV</t>
  </si>
  <si>
    <t>Francistown Airport</t>
  </si>
  <si>
    <t>FRW</t>
  </si>
  <si>
    <t>Octeville Airport</t>
  </si>
  <si>
    <t>Ugolny Airport</t>
  </si>
  <si>
    <t>DYR</t>
  </si>
  <si>
    <t>Syria</t>
  </si>
  <si>
    <t>Kamishly Airport</t>
  </si>
  <si>
    <t>KAC</t>
  </si>
  <si>
    <t>Gods Lake Narrows Airport</t>
  </si>
  <si>
    <t>YGO</t>
  </si>
  <si>
    <t>Shamattawa Airport</t>
  </si>
  <si>
    <t>ZTM</t>
  </si>
  <si>
    <t>Hokitika Airport</t>
  </si>
  <si>
    <t>HKK</t>
  </si>
  <si>
    <t>Kashechewan Airport</t>
  </si>
  <si>
    <t>ZKE</t>
  </si>
  <si>
    <t>Big Trout Lake Airport</t>
  </si>
  <si>
    <t>YTL</t>
  </si>
  <si>
    <t>Ekati Airport</t>
  </si>
  <si>
    <t>YOA</t>
  </si>
  <si>
    <t>Calden Airport</t>
  </si>
  <si>
    <t>KSF</t>
  </si>
  <si>
    <t>Saint Pierre and Miquelon</t>
  </si>
  <si>
    <t>Pierre Airport</t>
  </si>
  <si>
    <t>FSP</t>
  </si>
  <si>
    <t>Switzerland</t>
  </si>
  <si>
    <t>Sion Airport</t>
  </si>
  <si>
    <t>SIR</t>
  </si>
  <si>
    <t>Anqing Airport</t>
  </si>
  <si>
    <t>AQG</t>
  </si>
  <si>
    <t>Kiel Airport</t>
  </si>
  <si>
    <t>KEL</t>
  </si>
  <si>
    <t>Kuqa Airport</t>
  </si>
  <si>
    <t>KCA</t>
  </si>
  <si>
    <t>Serbia</t>
  </si>
  <si>
    <t>Nia Constantine the Great Airport</t>
  </si>
  <si>
    <t>INI</t>
  </si>
  <si>
    <t>Charlevoix Municipal Airport</t>
  </si>
  <si>
    <t>CVX</t>
  </si>
  <si>
    <t>Chris Hadfield Airport</t>
  </si>
  <si>
    <t>YZR</t>
  </si>
  <si>
    <t>Geneina Airport</t>
  </si>
  <si>
    <t>EGN</t>
  </si>
  <si>
    <t>Brainerd Lakes Regional Airport</t>
  </si>
  <si>
    <t>BRD</t>
  </si>
  <si>
    <t>Biskra Ouakda Airport</t>
  </si>
  <si>
    <t>BSK</t>
  </si>
  <si>
    <t>Merle K. (Mudhole) Smith Airport</t>
  </si>
  <si>
    <t>CDV</t>
  </si>
  <si>
    <t>Heringsdorf Airport</t>
  </si>
  <si>
    <t>HDF</t>
  </si>
  <si>
    <t>Arnold Palmer Regional Airport</t>
  </si>
  <si>
    <t>LBE</t>
  </si>
  <si>
    <t>Ahsa Domestic Airport</t>
  </si>
  <si>
    <t>HOF</t>
  </si>
  <si>
    <t>MÃ¶nchengladbach Airport</t>
  </si>
  <si>
    <t>MGL</t>
  </si>
  <si>
    <t>King Island Airport</t>
  </si>
  <si>
    <t>KNS</t>
  </si>
  <si>
    <t>Mandkalli Airport</t>
  </si>
  <si>
    <t>MYQ</t>
  </si>
  <si>
    <t>Bangladesh</t>
  </si>
  <si>
    <t>Cox's Bazar Airport</t>
  </si>
  <si>
    <t>CXB</t>
  </si>
  <si>
    <t>Cauayan Airport</t>
  </si>
  <si>
    <t>CYZ</t>
  </si>
  <si>
    <t>Dario Guarita Airport</t>
  </si>
  <si>
    <t>ARU</t>
  </si>
  <si>
    <t>Fakarava Airport</t>
  </si>
  <si>
    <t>FAV</t>
  </si>
  <si>
    <t>Muskegon County Airport</t>
  </si>
  <si>
    <t>MKG</t>
  </si>
  <si>
    <t>Falls Airport</t>
  </si>
  <si>
    <t>INL</t>
  </si>
  <si>
    <t>Moron Airport</t>
  </si>
  <si>
    <t>MXV</t>
  </si>
  <si>
    <t>Chesterfield Inlet Airport</t>
  </si>
  <si>
    <t>YCS</t>
  </si>
  <si>
    <t>Andros Town Airport</t>
  </si>
  <si>
    <t>ASD</t>
  </si>
  <si>
    <t>Moree Airport</t>
  </si>
  <si>
    <t>MRZ</t>
  </si>
  <si>
    <t>Fort Smith Airport</t>
  </si>
  <si>
    <t>YSM</t>
  </si>
  <si>
    <t>Ormoc Airport</t>
  </si>
  <si>
    <t>OMC</t>
  </si>
  <si>
    <t>Toliara Airport</t>
  </si>
  <si>
    <t>TLE</t>
  </si>
  <si>
    <t>TefÃ© Airport</t>
  </si>
  <si>
    <t>TFF</t>
  </si>
  <si>
    <t>Tolagnaro Airport</t>
  </si>
  <si>
    <t>FTU</t>
  </si>
  <si>
    <t>Ca Mau Airport</t>
  </si>
  <si>
    <t>CAH</t>
  </si>
  <si>
    <t>Medicine Hat Airport</t>
  </si>
  <si>
    <t>YXH</t>
  </si>
  <si>
    <t>Parkes Airport</t>
  </si>
  <si>
    <t>PKE</t>
  </si>
  <si>
    <t>Aniak Airport</t>
  </si>
  <si>
    <t>ANI</t>
  </si>
  <si>
    <t>Mexico</t>
  </si>
  <si>
    <t>Tepic Airport</t>
  </si>
  <si>
    <t>TPQ</t>
  </si>
  <si>
    <t>Suceava Stefan cel Mare Airport</t>
  </si>
  <si>
    <t>SCV</t>
  </si>
  <si>
    <t>Sayun Airport</t>
  </si>
  <si>
    <t>GXF</t>
  </si>
  <si>
    <t>Gwadar Airport</t>
  </si>
  <si>
    <t>GWD</t>
  </si>
  <si>
    <t>Essen Mulheim Airport</t>
  </si>
  <si>
    <t>ESS</t>
  </si>
  <si>
    <t>Benbecula Airport</t>
  </si>
  <si>
    <t>BEB</t>
  </si>
  <si>
    <t>Longreach Airport</t>
  </si>
  <si>
    <t>LRE</t>
  </si>
  <si>
    <t>Chibougamau</t>
  </si>
  <si>
    <t>YMT</t>
  </si>
  <si>
    <t>Karamay Airport</t>
  </si>
  <si>
    <t>KRY</t>
  </si>
  <si>
    <t>Garoua Airport</t>
  </si>
  <si>
    <t>GOU</t>
  </si>
  <si>
    <t>Bhuntar Airport</t>
  </si>
  <si>
    <t>KUU</t>
  </si>
  <si>
    <t>Chaghcharan Airport</t>
  </si>
  <si>
    <t>CCN</t>
  </si>
  <si>
    <t>Zaporizhia Airport</t>
  </si>
  <si>
    <t>OZH</t>
  </si>
  <si>
    <t>Milos Island National Airport</t>
  </si>
  <si>
    <t>MLO</t>
  </si>
  <si>
    <t>Meixian Airport</t>
  </si>
  <si>
    <t>MXZ</t>
  </si>
  <si>
    <t>Narsarsuaq Airport</t>
  </si>
  <si>
    <t>UAK</t>
  </si>
  <si>
    <t>Groote Eylandt Airport</t>
  </si>
  <si>
    <t>GTE</t>
  </si>
  <si>
    <t>El Salvador Bajo Airport</t>
  </si>
  <si>
    <t>ESR</t>
  </si>
  <si>
    <t>Dala Airport</t>
  </si>
  <si>
    <t>BLE</t>
  </si>
  <si>
    <t>Coral Harbour Airport</t>
  </si>
  <si>
    <t>YZS</t>
  </si>
  <si>
    <t>Seinajoki Airport</t>
  </si>
  <si>
    <t>SJY</t>
  </si>
  <si>
    <t>Gallivare Airport</t>
  </si>
  <si>
    <t>GEV</t>
  </si>
  <si>
    <t>Capitan Vicente Almandos Amonacide Airport</t>
  </si>
  <si>
    <t>IRJ</t>
  </si>
  <si>
    <t>St. Theresa Point Airport</t>
  </si>
  <si>
    <t>YST</t>
  </si>
  <si>
    <t>Kuito Airport</t>
  </si>
  <si>
    <t>SVP</t>
  </si>
  <si>
    <t>Zhaotong Airport</t>
  </si>
  <si>
    <t>ZAT</t>
  </si>
  <si>
    <t>El Embrujo Airport</t>
  </si>
  <si>
    <t>PVA</t>
  </si>
  <si>
    <t>Youngstown Airport</t>
  </si>
  <si>
    <t>YNG</t>
  </si>
  <si>
    <t>Umiujaq Airport</t>
  </si>
  <si>
    <t>YUD</t>
  </si>
  <si>
    <t>Quaqtaq Airport</t>
  </si>
  <si>
    <t>YQC</t>
  </si>
  <si>
    <t>Ivujivik Airport</t>
  </si>
  <si>
    <t>YIK</t>
  </si>
  <si>
    <t>Bharatpur Airport</t>
  </si>
  <si>
    <t>BHR</t>
  </si>
  <si>
    <t>ZBF</t>
  </si>
  <si>
    <t>CÃ´te de Granit Airport</t>
  </si>
  <si>
    <t>LAI</t>
  </si>
  <si>
    <t>La Garenne Airport</t>
  </si>
  <si>
    <t>AGF</t>
  </si>
  <si>
    <t>Turaif Domestic Airport</t>
  </si>
  <si>
    <t>TUI</t>
  </si>
  <si>
    <t>La Florida Airport</t>
  </si>
  <si>
    <t>TCO</t>
  </si>
  <si>
    <t>James A. Johnson Airport</t>
  </si>
  <si>
    <t>PSG</t>
  </si>
  <si>
    <t>MontrÃ©al Saint-Hubert Longueuil Airport</t>
  </si>
  <si>
    <t>YHU</t>
  </si>
  <si>
    <t>Coronel Felipe Vallese Airport</t>
  </si>
  <si>
    <t>CTC</t>
  </si>
  <si>
    <t>Gustavo Artunduaga Paredes Airport</t>
  </si>
  <si>
    <t>FLA</t>
  </si>
  <si>
    <t>Port Hardy Airport</t>
  </si>
  <si>
    <t>YZT</t>
  </si>
  <si>
    <t>Formosa Airport</t>
  </si>
  <si>
    <t>FMA</t>
  </si>
  <si>
    <t>Barkley Regional Airport</t>
  </si>
  <si>
    <t>PAH</t>
  </si>
  <si>
    <t>Inedbirene Tiska Airport</t>
  </si>
  <si>
    <t>DJG</t>
  </si>
  <si>
    <t>A. De Barros Estadual Airport</t>
  </si>
  <si>
    <t>PPB</t>
  </si>
  <si>
    <t>Coronel FAP Alfredo MendÃ­vil Duarte Airport</t>
  </si>
  <si>
    <t>AYP</t>
  </si>
  <si>
    <t>Rafha Domestic Airport</t>
  </si>
  <si>
    <t>RAH</t>
  </si>
  <si>
    <t>Meridian Regional Airport</t>
  </si>
  <si>
    <t>MEI</t>
  </si>
  <si>
    <t>United Arab Emirates</t>
  </si>
  <si>
    <t>Fujairah Airport</t>
  </si>
  <si>
    <t>FJR</t>
  </si>
  <si>
    <t>Upington Airport</t>
  </si>
  <si>
    <t>UTN</t>
  </si>
  <si>
    <t>Akulivik Airport</t>
  </si>
  <si>
    <t>AKV</t>
  </si>
  <si>
    <t>New Bight Airport</t>
  </si>
  <si>
    <t>TBI</t>
  </si>
  <si>
    <t>Almirante Padilla Airport</t>
  </si>
  <si>
    <t>RCH</t>
  </si>
  <si>
    <t>Ireland</t>
  </si>
  <si>
    <t>Sligo Airport</t>
  </si>
  <si>
    <t>SXL</t>
  </si>
  <si>
    <t>Taloyoak Airport</t>
  </si>
  <si>
    <t>YYH</t>
  </si>
  <si>
    <t>Whakatane Airport</t>
  </si>
  <si>
    <t>WHK</t>
  </si>
  <si>
    <t>Papua New Guinea</t>
  </si>
  <si>
    <t>Buka Airport</t>
  </si>
  <si>
    <t>BUA</t>
  </si>
  <si>
    <t>Mazamet Airport</t>
  </si>
  <si>
    <t>DCM</t>
  </si>
  <si>
    <t>Micronesia</t>
  </si>
  <si>
    <t>Pohnpei Airport</t>
  </si>
  <si>
    <t>PNI</t>
  </si>
  <si>
    <t>Donegal Airport</t>
  </si>
  <si>
    <t>CFN</t>
  </si>
  <si>
    <t>Dera Ghazi Khan Airport</t>
  </si>
  <si>
    <t>DEA</t>
  </si>
  <si>
    <t>Kristianstad Airport</t>
  </si>
  <si>
    <t>KID</t>
  </si>
  <si>
    <t>El Tehuelche Airport</t>
  </si>
  <si>
    <t>PMY</t>
  </si>
  <si>
    <t>Golmud Airport</t>
  </si>
  <si>
    <t>GOQ</t>
  </si>
  <si>
    <t>Tuticorin Airport</t>
  </si>
  <si>
    <t>TCR</t>
  </si>
  <si>
    <t>Francisco Alvares de Assis Airport</t>
  </si>
  <si>
    <t>JDF</t>
  </si>
  <si>
    <t>Ravensthorpe Airport</t>
  </si>
  <si>
    <t>RVT</t>
  </si>
  <si>
    <t>Oradea Airport</t>
  </si>
  <si>
    <t>OMR</t>
  </si>
  <si>
    <t>Fort Nelson Airport</t>
  </si>
  <si>
    <t>YYE</t>
  </si>
  <si>
    <t>General JosÃ© MarÃ­a YÃ¡Ã±ez Airport</t>
  </si>
  <si>
    <t>GYM</t>
  </si>
  <si>
    <t>St. Augustine Airport</t>
  </si>
  <si>
    <t>UST</t>
  </si>
  <si>
    <t>Sweetwater County Airport</t>
  </si>
  <si>
    <t>RKS</t>
  </si>
  <si>
    <t>Wanganui Airport</t>
  </si>
  <si>
    <t>WAG</t>
  </si>
  <si>
    <t>Avignon Airport</t>
  </si>
  <si>
    <t>AVN</t>
  </si>
  <si>
    <t>Shaikh Zayed Airport</t>
  </si>
  <si>
    <t>RYK</t>
  </si>
  <si>
    <t>Amborovy Airport</t>
  </si>
  <si>
    <t>MJN</t>
  </si>
  <si>
    <t>Matagami Airport</t>
  </si>
  <si>
    <t>YNM</t>
  </si>
  <si>
    <t>VÃ¤nersborgs Airport</t>
  </si>
  <si>
    <t>THN</t>
  </si>
  <si>
    <t>Williamsport Regional Airport</t>
  </si>
  <si>
    <t>IPT</t>
  </si>
  <si>
    <t>Colima Nacional Airport</t>
  </si>
  <si>
    <t>CLQ</t>
  </si>
  <si>
    <t>Amasya Merzifon Airport</t>
  </si>
  <si>
    <t>MZH</t>
  </si>
  <si>
    <t>Taupo Airport</t>
  </si>
  <si>
    <t>TUO</t>
  </si>
  <si>
    <t>Touat Cheikh Sidi Mohamed Belkebir Airport</t>
  </si>
  <si>
    <t>AZR</t>
  </si>
  <si>
    <t>Central Nebraska Regional Airport</t>
  </si>
  <si>
    <t>GRI</t>
  </si>
  <si>
    <t>Klamath Falls Airport</t>
  </si>
  <si>
    <t>LMT</t>
  </si>
  <si>
    <t>Moosonee Airport</t>
  </si>
  <si>
    <t>YMO</t>
  </si>
  <si>
    <t>Cape Dorset Airport</t>
  </si>
  <si>
    <t>YTE</t>
  </si>
  <si>
    <t>Bonriki Airport</t>
  </si>
  <si>
    <t>TRW</t>
  </si>
  <si>
    <t>Northern Mariana Islands</t>
  </si>
  <si>
    <t>Tinian Airport</t>
  </si>
  <si>
    <t>TIQ</t>
  </si>
  <si>
    <t>Tekirdag Corlu Airport</t>
  </si>
  <si>
    <t>TEQ</t>
  </si>
  <si>
    <t>Curtin (WA) Airport</t>
  </si>
  <si>
    <t>DCN</t>
  </si>
  <si>
    <t>Al Wajh Domestic Airport</t>
  </si>
  <si>
    <t>EJH</t>
  </si>
  <si>
    <t>Aerodromo de Sao Filipe Airport</t>
  </si>
  <si>
    <t>SFL</t>
  </si>
  <si>
    <t>Golfito Airport</t>
  </si>
  <si>
    <t>GLF</t>
  </si>
  <si>
    <t>Elko Regional Airport</t>
  </si>
  <si>
    <t>EKO</t>
  </si>
  <si>
    <t>Puerto Rico</t>
  </si>
  <si>
    <t>Antonio Rivera RodrÃ­guez Airport</t>
  </si>
  <si>
    <t>VQS</t>
  </si>
  <si>
    <t>Graciosa Airport</t>
  </si>
  <si>
    <t>GRW</t>
  </si>
  <si>
    <t>La Gomera Airport</t>
  </si>
  <si>
    <t>GMZ</t>
  </si>
  <si>
    <t>Las Las Brujas Airport</t>
  </si>
  <si>
    <t>CZU</t>
  </si>
  <si>
    <t>Moranbah Airport</t>
  </si>
  <si>
    <t>MOV</t>
  </si>
  <si>
    <t>Tres de Mayo Airport</t>
  </si>
  <si>
    <t>PUU</t>
  </si>
  <si>
    <t>Belarus</t>
  </si>
  <si>
    <t>Gomel Airport</t>
  </si>
  <si>
    <t>GME</t>
  </si>
  <si>
    <t>Xianshan Airport</t>
  </si>
  <si>
    <t>ZHY</t>
  </si>
  <si>
    <t>Menongue Airport</t>
  </si>
  <si>
    <t>SPP</t>
  </si>
  <si>
    <t>Yap Airport</t>
  </si>
  <si>
    <t>YAP</t>
  </si>
  <si>
    <t>Aberdeen Regional Airport</t>
  </si>
  <si>
    <t>ABR</t>
  </si>
  <si>
    <t>Arbon Valley Airport</t>
  </si>
  <si>
    <t>PIH</t>
  </si>
  <si>
    <t>Chisasibi Airport</t>
  </si>
  <si>
    <t>YKU</t>
  </si>
  <si>
    <t>Moises R. Espinosa Airport</t>
  </si>
  <si>
    <t>MBT</t>
  </si>
  <si>
    <t>Nemiscau Airport</t>
  </si>
  <si>
    <t>YNS</t>
  </si>
  <si>
    <t>Santa Cruz Airport</t>
  </si>
  <si>
    <t>FLW</t>
  </si>
  <si>
    <t>Virac Airport</t>
  </si>
  <si>
    <t>VRC</t>
  </si>
  <si>
    <t>Southeast Texas Regional Airport</t>
  </si>
  <si>
    <t>BPT</t>
  </si>
  <si>
    <t>Arvidsjaur Airport</t>
  </si>
  <si>
    <t>AJR</t>
  </si>
  <si>
    <t>Pori Airport</t>
  </si>
  <si>
    <t>POR</t>
  </si>
  <si>
    <t>Ta'izz Airport</t>
  </si>
  <si>
    <t>TAI</t>
  </si>
  <si>
    <t>Augustin (QC) Airport</t>
  </si>
  <si>
    <t>YIF</t>
  </si>
  <si>
    <t>Bemidji Regional Airport</t>
  </si>
  <si>
    <t>BJI</t>
  </si>
  <si>
    <t>Tabatinga Airport</t>
  </si>
  <si>
    <t>TBT</t>
  </si>
  <si>
    <t>Liancheng Airport</t>
  </si>
  <si>
    <t>LCX</t>
  </si>
  <si>
    <t>Kangirsuk Airport</t>
  </si>
  <si>
    <t>YKG</t>
  </si>
  <si>
    <t>London Southend Airport</t>
  </si>
  <si>
    <t>SEN</t>
  </si>
  <si>
    <t>Doomna Airport</t>
  </si>
  <si>
    <t>JLR</t>
  </si>
  <si>
    <t>Treasure Cay Airport</t>
  </si>
  <si>
    <t>TCB</t>
  </si>
  <si>
    <t>Galcaio Airport</t>
  </si>
  <si>
    <t>GLK</t>
  </si>
  <si>
    <t>Southwest Oregon Regional Airport</t>
  </si>
  <si>
    <t>OTH</t>
  </si>
  <si>
    <t>Waterloo Regional Airport</t>
  </si>
  <si>
    <t>ALO</t>
  </si>
  <si>
    <t>Augsburg Airport</t>
  </si>
  <si>
    <t>AGB</t>
  </si>
  <si>
    <t>Fort Frances Municipal Airport</t>
  </si>
  <si>
    <t>YAG</t>
  </si>
  <si>
    <t>Barber Field Airport</t>
  </si>
  <si>
    <t>YVC</t>
  </si>
  <si>
    <t>Oki Airport</t>
  </si>
  <si>
    <t>OKI</t>
  </si>
  <si>
    <t>Vicecomodoro Aragonez Airport</t>
  </si>
  <si>
    <t>SDE</t>
  </si>
  <si>
    <t>Guinea-Bissau</t>
  </si>
  <si>
    <t>Osvaldo Vieira Airport</t>
  </si>
  <si>
    <t>OXB</t>
  </si>
  <si>
    <t>Beni Airport</t>
  </si>
  <si>
    <t>BNC</t>
  </si>
  <si>
    <t>Manda Airport</t>
  </si>
  <si>
    <t>LAU</t>
  </si>
  <si>
    <t>Lansdowne House Airport</t>
  </si>
  <si>
    <t>YLH</t>
  </si>
  <si>
    <t>Tikehau Airport</t>
  </si>
  <si>
    <t>TIH</t>
  </si>
  <si>
    <t>Richards Bay Airport</t>
  </si>
  <si>
    <t>RCB</t>
  </si>
  <si>
    <t>Rach Gia Airport</t>
  </si>
  <si>
    <t>VKG</t>
  </si>
  <si>
    <t>Haute Airport</t>
  </si>
  <si>
    <t>NCY</t>
  </si>
  <si>
    <t>Dimapur Airport</t>
  </si>
  <si>
    <t>DMU</t>
  </si>
  <si>
    <t>Oxford House Airport</t>
  </si>
  <si>
    <t>YOH</t>
  </si>
  <si>
    <t>Arthur Siqueira Estadual Airport</t>
  </si>
  <si>
    <t>BJP</t>
  </si>
  <si>
    <t>Pond Inlet Airport</t>
  </si>
  <si>
    <t>YIO</t>
  </si>
  <si>
    <t>Fernando Luis Ribas Dominicci Airport</t>
  </si>
  <si>
    <t>SIG</t>
  </si>
  <si>
    <t>Chico Municipal Airport</t>
  </si>
  <si>
    <t>CIC</t>
  </si>
  <si>
    <t>Longvic Airport</t>
  </si>
  <si>
    <t>DIJ</t>
  </si>
  <si>
    <t>Isafjorour Airport</t>
  </si>
  <si>
    <t>IFJ</t>
  </si>
  <si>
    <t>Esperance Airport</t>
  </si>
  <si>
    <t>EPR</t>
  </si>
  <si>
    <t>Changzhoudao Airport</t>
  </si>
  <si>
    <t>WUZ</t>
  </si>
  <si>
    <t>Nigeria</t>
  </si>
  <si>
    <t>Yola Airport</t>
  </si>
  <si>
    <t>YOL</t>
  </si>
  <si>
    <t>Whale Cove Airport</t>
  </si>
  <si>
    <t>YXN</t>
  </si>
  <si>
    <t>Sinop Airport</t>
  </si>
  <si>
    <t>SIC</t>
  </si>
  <si>
    <t>Deir ez-Zor Airport</t>
  </si>
  <si>
    <t>DEZ</t>
  </si>
  <si>
    <t>Chevery Airport</t>
  </si>
  <si>
    <t>YHR</t>
  </si>
  <si>
    <t>Skien Airport</t>
  </si>
  <si>
    <t>SKE</t>
  </si>
  <si>
    <t>The Pas Airport</t>
  </si>
  <si>
    <t>YQD</t>
  </si>
  <si>
    <t>Joli (QC) Airport</t>
  </si>
  <si>
    <t>YYY</t>
  </si>
  <si>
    <t>Pellston Regional Airport</t>
  </si>
  <si>
    <t>PLN</t>
  </si>
  <si>
    <t>NoumÃ©rat Moufdi Zakaria Airport</t>
  </si>
  <si>
    <t>GHA</t>
  </si>
  <si>
    <t>Agoncillo Airport</t>
  </si>
  <si>
    <t>RJL</t>
  </si>
  <si>
    <t>Subic Bay Airport</t>
  </si>
  <si>
    <t>SFS</t>
  </si>
  <si>
    <t>Gobernador Horacio Guzman Airport</t>
  </si>
  <si>
    <t>JUJ</t>
  </si>
  <si>
    <t>Luena Airport</t>
  </si>
  <si>
    <t>LUO</t>
  </si>
  <si>
    <t>San Salvador Airport</t>
  </si>
  <si>
    <t>ZSA</t>
  </si>
  <si>
    <t>Namibe Airport</t>
  </si>
  <si>
    <t>MSZ</t>
  </si>
  <si>
    <t>Mulu Airport</t>
  </si>
  <si>
    <t>MZV</t>
  </si>
  <si>
    <t>Limbang Airport</t>
  </si>
  <si>
    <t>LMN</t>
  </si>
  <si>
    <t>Trenton Airport</t>
  </si>
  <si>
    <t>TTN</t>
  </si>
  <si>
    <t>Mariehamn Airport</t>
  </si>
  <si>
    <t>MHQ</t>
  </si>
  <si>
    <t>Kumasi Airport</t>
  </si>
  <si>
    <t>KMS</t>
  </si>
  <si>
    <t>Tindouf Airport</t>
  </si>
  <si>
    <t>TIN</t>
  </si>
  <si>
    <t>Lesotho</t>
  </si>
  <si>
    <t>Moshoeshoe Airport</t>
  </si>
  <si>
    <t>MSU</t>
  </si>
  <si>
    <t>Clyde River Airport</t>
  </si>
  <si>
    <t>YCY</t>
  </si>
  <si>
    <t>Lismore Airport</t>
  </si>
  <si>
    <t>LSY</t>
  </si>
  <si>
    <t>Houghton County Memorial Airport</t>
  </si>
  <si>
    <t>CMX</t>
  </si>
  <si>
    <t>Playa Baracoa Airport</t>
  </si>
  <si>
    <t>UPB</t>
  </si>
  <si>
    <t>TortolÃ¬ Airport</t>
  </si>
  <si>
    <t>TTB</t>
  </si>
  <si>
    <t>Wanaka Airport</t>
  </si>
  <si>
    <t>WKA</t>
  </si>
  <si>
    <t>Igloolik Airport</t>
  </si>
  <si>
    <t>YGT</t>
  </si>
  <si>
    <t>McClellan Airport</t>
  </si>
  <si>
    <t>CLD</t>
  </si>
  <si>
    <t>Gemena Airport</t>
  </si>
  <si>
    <t>GMA</t>
  </si>
  <si>
    <t>Manhattan Regional Airport</t>
  </si>
  <si>
    <t>MHK</t>
  </si>
  <si>
    <t>Andoya Airport</t>
  </si>
  <si>
    <t>ANX</t>
  </si>
  <si>
    <t>Bert Mooney Airport</t>
  </si>
  <si>
    <t>BTM</t>
  </si>
  <si>
    <t>East Texas Regional Airport</t>
  </si>
  <si>
    <t>GGG</t>
  </si>
  <si>
    <t>Nuku Hiva Airport</t>
  </si>
  <si>
    <t>NHV</t>
  </si>
  <si>
    <t>Modesto City Airport</t>
  </si>
  <si>
    <t>MOD</t>
  </si>
  <si>
    <t>Bodhgaya Airport</t>
  </si>
  <si>
    <t>GAY</t>
  </si>
  <si>
    <t>Sandy Lake Airport</t>
  </si>
  <si>
    <t>ZSJ</t>
  </si>
  <si>
    <t>Powell River Airport</t>
  </si>
  <si>
    <t>YPW</t>
  </si>
  <si>
    <t>Jolly Grant Airport</t>
  </si>
  <si>
    <t>DED</t>
  </si>
  <si>
    <t>Kingscote Airport</t>
  </si>
  <si>
    <t>KGC</t>
  </si>
  <si>
    <t>Flin Flon Airport</t>
  </si>
  <si>
    <t>YFO</t>
  </si>
  <si>
    <t>Oxford Airport</t>
  </si>
  <si>
    <t>OXF</t>
  </si>
  <si>
    <t>Merimbula Airport</t>
  </si>
  <si>
    <t>MIM</t>
  </si>
  <si>
    <t>Vatry Airport</t>
  </si>
  <si>
    <t>XCR</t>
  </si>
  <si>
    <t>RiviÃ¨res (QC) Airport</t>
  </si>
  <si>
    <t>YRQ</t>
  </si>
  <si>
    <t>Gjoa Haven Airport</t>
  </si>
  <si>
    <t>YHK</t>
  </si>
  <si>
    <t>Comeau (QC) Airport</t>
  </si>
  <si>
    <t>YBC</t>
  </si>
  <si>
    <t>Port Said Airport</t>
  </si>
  <si>
    <t>PSD</t>
  </si>
  <si>
    <t>Calbayog Airport</t>
  </si>
  <si>
    <t>CYP</t>
  </si>
  <si>
    <t>Bertram Luiz Leupolz Estadual Airport</t>
  </si>
  <si>
    <t>SOD</t>
  </si>
  <si>
    <t>Santiago PÃ©rez QuirÃ³z Airport</t>
  </si>
  <si>
    <t>AUC</t>
  </si>
  <si>
    <t>Rota Airport</t>
  </si>
  <si>
    <t>ROP</t>
  </si>
  <si>
    <t>U-Tapao Airport</t>
  </si>
  <si>
    <t>Salluit Airport</t>
  </si>
  <si>
    <t>YZG</t>
  </si>
  <si>
    <t>Coleman A. Young Airport</t>
  </si>
  <si>
    <t>DET</t>
  </si>
  <si>
    <t>Hay River Airport</t>
  </si>
  <si>
    <t>YHY</t>
  </si>
  <si>
    <t>Dien Bien Phu Airport</t>
  </si>
  <si>
    <t>DIN</t>
  </si>
  <si>
    <t>Bunia Airport</t>
  </si>
  <si>
    <t>BUX</t>
  </si>
  <si>
    <t>Inukjuak Airport</t>
  </si>
  <si>
    <t>YPH</t>
  </si>
  <si>
    <t>Dutch Harbor Airport</t>
  </si>
  <si>
    <t>DUT</t>
  </si>
  <si>
    <t>Columbia Regional Airport</t>
  </si>
  <si>
    <t>COU</t>
  </si>
  <si>
    <t>Texarkana Regional Airport</t>
  </si>
  <si>
    <t>TXK</t>
  </si>
  <si>
    <t>Oneida County Airport</t>
  </si>
  <si>
    <t>RHI</t>
  </si>
  <si>
    <t>Williams Lake Regional Airport</t>
  </si>
  <si>
    <t>YWL</t>
  </si>
  <si>
    <t>Campbell County Airport</t>
  </si>
  <si>
    <t>GCC</t>
  </si>
  <si>
    <t>Yellowstone Regional Airport</t>
  </si>
  <si>
    <t>COD</t>
  </si>
  <si>
    <t>ÃŽles-de-la-Madeleine Airport</t>
  </si>
  <si>
    <t>YGR</t>
  </si>
  <si>
    <t>Kalemie Airport</t>
  </si>
  <si>
    <t>FMI</t>
  </si>
  <si>
    <t>St. Paul the Apostle Airport</t>
  </si>
  <si>
    <t>OHD</t>
  </si>
  <si>
    <t>Magic Valley Regional Airport</t>
  </si>
  <si>
    <t>TWF</t>
  </si>
  <si>
    <t>MidAmerica St. Louis Airport</t>
  </si>
  <si>
    <t>BLV</t>
  </si>
  <si>
    <t>Fort Hope Airport</t>
  </si>
  <si>
    <t>YFH</t>
  </si>
  <si>
    <t>Kerikeri Airport</t>
  </si>
  <si>
    <t>KKE</t>
  </si>
  <si>
    <t>Vestmannaeyjar Airport</t>
  </si>
  <si>
    <t>VEY</t>
  </si>
  <si>
    <t>Ouani Airport</t>
  </si>
  <si>
    <t>AJN</t>
  </si>
  <si>
    <t>Kapuskasing Airport</t>
  </si>
  <si>
    <t>YYU</t>
  </si>
  <si>
    <t>Hall Beach Airport</t>
  </si>
  <si>
    <t>YUX</t>
  </si>
  <si>
    <t>Harry Riggs Regional Airport</t>
  </si>
  <si>
    <t>ALH</t>
  </si>
  <si>
    <t>Libertador General Jose de San Martin Airport</t>
  </si>
  <si>
    <t>PSS</t>
  </si>
  <si>
    <t>Golden Isles Airport</t>
  </si>
  <si>
    <t>BQK</t>
  </si>
  <si>
    <t>Hargeisa Airport</t>
  </si>
  <si>
    <t>HGA</t>
  </si>
  <si>
    <t>Rowriah Airport</t>
  </si>
  <si>
    <t>JRH</t>
  </si>
  <si>
    <t>Learmonth Airport</t>
  </si>
  <si>
    <t>LEA</t>
  </si>
  <si>
    <t>Arrachart Airport</t>
  </si>
  <si>
    <t>DIE</t>
  </si>
  <si>
    <t>Bacacheri Airport</t>
  </si>
  <si>
    <t>BFH</t>
  </si>
  <si>
    <t>Jorge Isaacs Airport</t>
  </si>
  <si>
    <t>MCJ</t>
  </si>
  <si>
    <t>Vilankulo Airport</t>
  </si>
  <si>
    <t>VNX</t>
  </si>
  <si>
    <t>Soyo Airport</t>
  </si>
  <si>
    <t>SZA</t>
  </si>
  <si>
    <t>Kananga Airport</t>
  </si>
  <si>
    <t>KGA</t>
  </si>
  <si>
    <t>Wenshan Airport</t>
  </si>
  <si>
    <t>WNH</t>
  </si>
  <si>
    <t>Stockton Metropolitain Airport</t>
  </si>
  <si>
    <t>SCK</t>
  </si>
  <si>
    <t>Pulau Tioman Airport</t>
  </si>
  <si>
    <t>TOD</t>
  </si>
  <si>
    <t>Jinzhou Airport</t>
  </si>
  <si>
    <t>JNZ</t>
  </si>
  <si>
    <t>Muan Airport</t>
  </si>
  <si>
    <t>MWX</t>
  </si>
  <si>
    <t>Norfolk Island</t>
  </si>
  <si>
    <t>Norfolk Island Airport</t>
  </si>
  <si>
    <t>NLK</t>
  </si>
  <si>
    <t>Aden Adde Airport</t>
  </si>
  <si>
    <t>MGQ</t>
  </si>
  <si>
    <t>Azores Airport</t>
  </si>
  <si>
    <t>PIX</t>
  </si>
  <si>
    <t>Dillingham Airport</t>
  </si>
  <si>
    <t>DLG</t>
  </si>
  <si>
    <t>San Juan Airport</t>
  </si>
  <si>
    <t>UAQ</t>
  </si>
  <si>
    <t>Lakselv Airport</t>
  </si>
  <si>
    <t>LKL</t>
  </si>
  <si>
    <t>Abakan Airport</t>
  </si>
  <si>
    <t>ABA</t>
  </si>
  <si>
    <t>Weipa Airport</t>
  </si>
  <si>
    <t>WEI</t>
  </si>
  <si>
    <t>Roma Airport</t>
  </si>
  <si>
    <t>RMA</t>
  </si>
  <si>
    <t>Hubli Airport</t>
  </si>
  <si>
    <t>HBX</t>
  </si>
  <si>
    <t>Orange Airport</t>
  </si>
  <si>
    <t>OAG</t>
  </si>
  <si>
    <t>MarÃ­lia Airport</t>
  </si>
  <si>
    <t>MII</t>
  </si>
  <si>
    <t>Kavieng Airport</t>
  </si>
  <si>
    <t>KVG</t>
  </si>
  <si>
    <t>Chandragadhi Airport</t>
  </si>
  <si>
    <t>BDP</t>
  </si>
  <si>
    <t>Salamanca Airport</t>
  </si>
  <si>
    <t>SLM</t>
  </si>
  <si>
    <t>Tatry Airport</t>
  </si>
  <si>
    <t>TAT</t>
  </si>
  <si>
    <t>Gautam Buddha Airport</t>
  </si>
  <si>
    <t>BWA</t>
  </si>
  <si>
    <t>CapitÃ¡n de Av. Emilio BeltrÃ¡n Airport</t>
  </si>
  <si>
    <t>GYA</t>
  </si>
  <si>
    <t>Page Municipal Airport</t>
  </si>
  <si>
    <t>PGA</t>
  </si>
  <si>
    <t>Ecuador</t>
  </si>
  <si>
    <t>San Cristobal Airport</t>
  </si>
  <si>
    <t>SCY</t>
  </si>
  <si>
    <t>Bhavnagar Airport</t>
  </si>
  <si>
    <t>BHU</t>
  </si>
  <si>
    <t>VallÃ©e de la Dordogne Airport</t>
  </si>
  <si>
    <t>BVE</t>
  </si>
  <si>
    <t>Dr. Fernando Piragine Niveyro Airport</t>
  </si>
  <si>
    <t>CNQ</t>
  </si>
  <si>
    <t>Shanhaiguan Airport</t>
  </si>
  <si>
    <t>SHP</t>
  </si>
  <si>
    <t>Dundee Airport</t>
  </si>
  <si>
    <t>DND</t>
  </si>
  <si>
    <t>Bolzano Airport</t>
  </si>
  <si>
    <t>BZO</t>
  </si>
  <si>
    <t>LÃ©rida Airport</t>
  </si>
  <si>
    <t>ILD</t>
  </si>
  <si>
    <t>Fort Collins Airport</t>
  </si>
  <si>
    <t>FNL</t>
  </si>
  <si>
    <t>Lushan Airport</t>
  </si>
  <si>
    <t>JIU</t>
  </si>
  <si>
    <t>Kosrae Airport</t>
  </si>
  <si>
    <t>KSA</t>
  </si>
  <si>
    <t>Prudhoe Bay Airport</t>
  </si>
  <si>
    <t>SCC</t>
  </si>
  <si>
    <t>Vinh Airport</t>
  </si>
  <si>
    <t>VII</t>
  </si>
  <si>
    <t>Jack Garland Airport</t>
  </si>
  <si>
    <t>YYB</t>
  </si>
  <si>
    <t>OuvÃ©a Airport</t>
  </si>
  <si>
    <t>UVE</t>
  </si>
  <si>
    <t>Netherlands Antilles</t>
  </si>
  <si>
    <t>F.D. Roosevelt Airport</t>
  </si>
  <si>
    <t>EUX</t>
  </si>
  <si>
    <t>Sablon (QC) Airport</t>
  </si>
  <si>
    <t>YBX</t>
  </si>
  <si>
    <t>Panama</t>
  </si>
  <si>
    <t>Bocas del Toro Airport</t>
  </si>
  <si>
    <t>BOC</t>
  </si>
  <si>
    <t>Vijayawada Airport</t>
  </si>
  <si>
    <t>VGA</t>
  </si>
  <si>
    <t>Kenora Airport</t>
  </si>
  <si>
    <t>YQK</t>
  </si>
  <si>
    <t>Nanchong Airport</t>
  </si>
  <si>
    <t>NAO</t>
  </si>
  <si>
    <t>Lethbridge County Airport</t>
  </si>
  <si>
    <t>YQL</t>
  </si>
  <si>
    <t>Jonkoping Airport</t>
  </si>
  <si>
    <t>JKG</t>
  </si>
  <si>
    <t>Broken Hill Airport</t>
  </si>
  <si>
    <t>BHQ</t>
  </si>
  <si>
    <t>Uytash Airport</t>
  </si>
  <si>
    <t>MCX</t>
  </si>
  <si>
    <t>MarÃ© Airport</t>
  </si>
  <si>
    <t>MEE</t>
  </si>
  <si>
    <t>Kuujjuarapik Airport</t>
  </si>
  <si>
    <t>YGW</t>
  </si>
  <si>
    <t>St. Anthony Airport</t>
  </si>
  <si>
    <t>YAY</t>
  </si>
  <si>
    <t>JacarepaguÃ¡ Airport</t>
  </si>
  <si>
    <t>JCR</t>
  </si>
  <si>
    <t>SÃ¸nderborg Airport</t>
  </si>
  <si>
    <t>SGD</t>
  </si>
  <si>
    <t>Fiji</t>
  </si>
  <si>
    <t>Nausori Airport</t>
  </si>
  <si>
    <t>SUV</t>
  </si>
  <si>
    <t>Pullman Airport</t>
  </si>
  <si>
    <t>PUW</t>
  </si>
  <si>
    <t>Governor's Harbour Airport</t>
  </si>
  <si>
    <t>GHB</t>
  </si>
  <si>
    <t>Eswatini</t>
  </si>
  <si>
    <t>Matsapha Airport</t>
  </si>
  <si>
    <t>MTS</t>
  </si>
  <si>
    <t>Maldives</t>
  </si>
  <si>
    <t>Kadhdhoo Island Airport</t>
  </si>
  <si>
    <t>KDO</t>
  </si>
  <si>
    <t>Haifa Airport</t>
  </si>
  <si>
    <t>HFA</t>
  </si>
  <si>
    <t>Cap. Av. Selin Zeitun Lopez Airport</t>
  </si>
  <si>
    <t>RIB</t>
  </si>
  <si>
    <t>Kimberley Airport</t>
  </si>
  <si>
    <t>KIM</t>
  </si>
  <si>
    <t>Waskaganish Airport</t>
  </si>
  <si>
    <t>YKQ</t>
  </si>
  <si>
    <t>Simara Airport</t>
  </si>
  <si>
    <t>SIF</t>
  </si>
  <si>
    <t>Trat Airport</t>
  </si>
  <si>
    <t>TDX</t>
  </si>
  <si>
    <t>Whyalla Airport</t>
  </si>
  <si>
    <t>WYA</t>
  </si>
  <si>
    <t>Tweed Regional Airport</t>
  </si>
  <si>
    <t>HVN</t>
  </si>
  <si>
    <t>Southwest Georgia Regional Airport</t>
  </si>
  <si>
    <t>ABY</t>
  </si>
  <si>
    <t>Khajuraho Airport</t>
  </si>
  <si>
    <t>HJR</t>
  </si>
  <si>
    <t>Kajaani Airport</t>
  </si>
  <si>
    <t>KAJ</t>
  </si>
  <si>
    <t>Sioux Gateway Airport</t>
  </si>
  <si>
    <t>SUX</t>
  </si>
  <si>
    <t>El Fasher Airport</t>
  </si>
  <si>
    <t>ELF</t>
  </si>
  <si>
    <t>Paraguay</t>
  </si>
  <si>
    <t>GuaranÃ­ Airport</t>
  </si>
  <si>
    <t>AGT</t>
  </si>
  <si>
    <t>Walla Walla Regional Airport</t>
  </si>
  <si>
    <t>ALW</t>
  </si>
  <si>
    <t>Sokol Airport</t>
  </si>
  <si>
    <t>GDX</t>
  </si>
  <si>
    <t>Penticton Regional Airport</t>
  </si>
  <si>
    <t>YYF</t>
  </si>
  <si>
    <t>Guillermo Leon Valencia Airport</t>
  </si>
  <si>
    <t>PPN</t>
  </si>
  <si>
    <t>Rafael Cabrera Airport</t>
  </si>
  <si>
    <t>GER</t>
  </si>
  <si>
    <t>Gasteiz Airport</t>
  </si>
  <si>
    <t>VIT</t>
  </si>
  <si>
    <t>Neuostheim Airport</t>
  </si>
  <si>
    <t>MHG</t>
  </si>
  <si>
    <t>Tianyang Airport</t>
  </si>
  <si>
    <t>AEB</t>
  </si>
  <si>
    <t>Orebro Airport</t>
  </si>
  <si>
    <t>ORB</t>
  </si>
  <si>
    <t>Griffith Airport</t>
  </si>
  <si>
    <t>GFF</t>
  </si>
  <si>
    <t>Pietermaritzburg Airport</t>
  </si>
  <si>
    <t>PZB</t>
  </si>
  <si>
    <t>CaÃ±al Bajo Carlos Hott Airport</t>
  </si>
  <si>
    <t>ZOS</t>
  </si>
  <si>
    <t>CarajÃ¡s</t>
  </si>
  <si>
    <t>CKS</t>
  </si>
  <si>
    <t>Nova Lisboa Airport</t>
  </si>
  <si>
    <t>NOV</t>
  </si>
  <si>
    <t>Kugluktuk Airport</t>
  </si>
  <si>
    <t>YCO</t>
  </si>
  <si>
    <t>Burnie Airport</t>
  </si>
  <si>
    <t>BWT</t>
  </si>
  <si>
    <t>Dryden Regional Airport</t>
  </si>
  <si>
    <t>YHD</t>
  </si>
  <si>
    <t>Batumi Airport</t>
  </si>
  <si>
    <t>Ain Draham Airport</t>
  </si>
  <si>
    <t>TBJ</t>
  </si>
  <si>
    <t>Whangarei Airport</t>
  </si>
  <si>
    <t>WRE</t>
  </si>
  <si>
    <t>Gino Lisa Airport</t>
  </si>
  <si>
    <t>FOG</t>
  </si>
  <si>
    <t>Jessore Airport</t>
  </si>
  <si>
    <t>JSR</t>
  </si>
  <si>
    <t>Czech Republic</t>
  </si>
  <si>
    <t>Pardubice Airport</t>
  </si>
  <si>
    <t>PED</t>
  </si>
  <si>
    <t>Hassan Airport</t>
  </si>
  <si>
    <t>EUN</t>
  </si>
  <si>
    <t>Olympic Dam Airport</t>
  </si>
  <si>
    <t>OLP</t>
  </si>
  <si>
    <t>Araraquara Airport</t>
  </si>
  <si>
    <t>AQA</t>
  </si>
  <si>
    <t>King County Airport</t>
  </si>
  <si>
    <t>BFI</t>
  </si>
  <si>
    <t>Pavlodar Airport</t>
  </si>
  <si>
    <t>PWQ</t>
  </si>
  <si>
    <t>Liberia</t>
  </si>
  <si>
    <t>Spriggs Payne Airport</t>
  </si>
  <si>
    <t>MLW</t>
  </si>
  <si>
    <t>Golden Triangle Regional Airport</t>
  </si>
  <si>
    <t>GTR</t>
  </si>
  <si>
    <t>Pichoy AerÃ³dromo Airport</t>
  </si>
  <si>
    <t>ZAL</t>
  </si>
  <si>
    <t>Rabil Airport</t>
  </si>
  <si>
    <t>BVC</t>
  </si>
  <si>
    <t>Zhijiang Airport</t>
  </si>
  <si>
    <t>HJJ</t>
  </si>
  <si>
    <t>Bursa Yenisehir Airport</t>
  </si>
  <si>
    <t>YEI</t>
  </si>
  <si>
    <t>Quepos Managua Airport</t>
  </si>
  <si>
    <t>XQP</t>
  </si>
  <si>
    <t>Prince Rupert Airport</t>
  </si>
  <si>
    <t>YPR</t>
  </si>
  <si>
    <t>La Grande RiviÃ¨re Airport</t>
  </si>
  <si>
    <t>YGL</t>
  </si>
  <si>
    <t>Wonju Airport</t>
  </si>
  <si>
    <t>WJU</t>
  </si>
  <si>
    <t>Thyna Airport</t>
  </si>
  <si>
    <t>SFA</t>
  </si>
  <si>
    <t>Norman Rogers Airport</t>
  </si>
  <si>
    <t>YGK</t>
  </si>
  <si>
    <t>Eros Airport</t>
  </si>
  <si>
    <t>ERS</t>
  </si>
  <si>
    <t>Jamnagar Airport</t>
  </si>
  <si>
    <t>JGA</t>
  </si>
  <si>
    <t>Abel SantamarÃ­a Airport</t>
  </si>
  <si>
    <t>SNU</t>
  </si>
  <si>
    <t>MÃ¡rio de Almeida Franco Airport</t>
  </si>
  <si>
    <t>UBA</t>
  </si>
  <si>
    <t>Dongying Airport</t>
  </si>
  <si>
    <t>DOY</t>
  </si>
  <si>
    <t>Nyala Airport</t>
  </si>
  <si>
    <t>UYL</t>
  </si>
  <si>
    <t>Arusha Airport</t>
  </si>
  <si>
    <t>ARK</t>
  </si>
  <si>
    <t>Roswell International Air Center</t>
  </si>
  <si>
    <t>ROW</t>
  </si>
  <si>
    <t>Bangda Airport</t>
  </si>
  <si>
    <t>BPX</t>
  </si>
  <si>
    <t>Homer Airport</t>
  </si>
  <si>
    <t>HOM</t>
  </si>
  <si>
    <t>Bauru Airport</t>
  </si>
  <si>
    <t>BAU</t>
  </si>
  <si>
    <t>Ulanhot Airport</t>
  </si>
  <si>
    <t>HLH</t>
  </si>
  <si>
    <t>St. George Municipal Airport</t>
  </si>
  <si>
    <t>SGU</t>
  </si>
  <si>
    <t>Cap. FAP Pedro Canga RodrÃ­guez Airport</t>
  </si>
  <si>
    <t>TBP</t>
  </si>
  <si>
    <t>Eskisehir Anadolu Airport</t>
  </si>
  <si>
    <t>AOE</t>
  </si>
  <si>
    <t>Dubuque Regional Airport</t>
  </si>
  <si>
    <t>DBQ</t>
  </si>
  <si>
    <t>Mostepha Ben Boulaid Airport</t>
  </si>
  <si>
    <t>BLJ</t>
  </si>
  <si>
    <t>Hermes Quijada Airport</t>
  </si>
  <si>
    <t>RGA</t>
  </si>
  <si>
    <t>Yonaguni Airport</t>
  </si>
  <si>
    <t>OGN</t>
  </si>
  <si>
    <t>Severny Airport</t>
  </si>
  <si>
    <t>GRV</t>
  </si>
  <si>
    <t>Ignacio Agramonte Airport</t>
  </si>
  <si>
    <t>CMW</t>
  </si>
  <si>
    <t>Wolfsburg Airport</t>
  </si>
  <si>
    <t>BWE</t>
  </si>
  <si>
    <t>Wiley Post Airport</t>
  </si>
  <si>
    <t>BRW</t>
  </si>
  <si>
    <t>Vanguardia Airport</t>
  </si>
  <si>
    <t>VVC</t>
  </si>
  <si>
    <t>Ethiopia</t>
  </si>
  <si>
    <t>Aba Tenna Dejazmach Yilma Airport</t>
  </si>
  <si>
    <t>DIR</t>
  </si>
  <si>
    <t>Catumbela Airport</t>
  </si>
  <si>
    <t>CBT</t>
  </si>
  <si>
    <t>Joshua Mqabuko Nkomo Airport</t>
  </si>
  <si>
    <t>BUQ</t>
  </si>
  <si>
    <t>Lien Khuong Airport</t>
  </si>
  <si>
    <t>DLI</t>
  </si>
  <si>
    <t>Kruunupyy Airport</t>
  </si>
  <si>
    <t>KOK</t>
  </si>
  <si>
    <t>Hanimaadhoo Island Airport</t>
  </si>
  <si>
    <t>HAQ</t>
  </si>
  <si>
    <t>Saint Kitts and Nevis</t>
  </si>
  <si>
    <t>Vance W. Amory Airport</t>
  </si>
  <si>
    <t>NEV</t>
  </si>
  <si>
    <t>West Kootenay Regional Airport</t>
  </si>
  <si>
    <t>YCG</t>
  </si>
  <si>
    <t>Kahramanmaras Airport</t>
  </si>
  <si>
    <t>KCM</t>
  </si>
  <si>
    <t>Mauritania</t>
  </si>
  <si>
    <t>Nouadhibou Airport</t>
  </si>
  <si>
    <t>NDB</t>
  </si>
  <si>
    <t>King Salmon Airport</t>
  </si>
  <si>
    <t>AKN</t>
  </si>
  <si>
    <t>Badajoz Airport</t>
  </si>
  <si>
    <t>BJZ</t>
  </si>
  <si>
    <t>Ovda Airport</t>
  </si>
  <si>
    <t>VDA</t>
  </si>
  <si>
    <t>Sharurah Domestic Airport</t>
  </si>
  <si>
    <t>SHW</t>
  </si>
  <si>
    <t>Arviat Airport</t>
  </si>
  <si>
    <t>YEK</t>
  </si>
  <si>
    <t>Altamira Airport</t>
  </si>
  <si>
    <t>ATM</t>
  </si>
  <si>
    <t>Karlovy Vary Airport</t>
  </si>
  <si>
    <t>KLV</t>
  </si>
  <si>
    <t>Comandante Espora Airport</t>
  </si>
  <si>
    <t>BHI</t>
  </si>
  <si>
    <t>Sukkur Airport</t>
  </si>
  <si>
    <t>SKZ</t>
  </si>
  <si>
    <t>Ouarzazate Airport</t>
  </si>
  <si>
    <t>OZZ</t>
  </si>
  <si>
    <t>Araxos National Airport</t>
  </si>
  <si>
    <t>GPA</t>
  </si>
  <si>
    <t>Michel Pouliot Airport</t>
  </si>
  <si>
    <t>YGP</t>
  </si>
  <si>
    <t>Valdosta Regional Airport</t>
  </si>
  <si>
    <t>VLD</t>
  </si>
  <si>
    <t>SÃ©tif - 8 Mai 1945 Airport</t>
  </si>
  <si>
    <t>QSF</t>
  </si>
  <si>
    <t>Cheikh Larbi TÃ©bessi Airport</t>
  </si>
  <si>
    <t>TEE</t>
  </si>
  <si>
    <t>Kuusamo Airport</t>
  </si>
  <si>
    <t>KAO</t>
  </si>
  <si>
    <t>Karlstad Airport</t>
  </si>
  <si>
    <t>KSD</t>
  </si>
  <si>
    <t>Smithers Regional Airport</t>
  </si>
  <si>
    <t>YYD</t>
  </si>
  <si>
    <t>Jodhpur Airport</t>
  </si>
  <si>
    <t>JDH</t>
  </si>
  <si>
    <t>Chamonate Airport</t>
  </si>
  <si>
    <t>CPO</t>
  </si>
  <si>
    <t>Marthas Vineyard Airport</t>
  </si>
  <si>
    <t>MVY</t>
  </si>
  <si>
    <t>TÃ¢rgu MureÈ™ Transilvania Airport</t>
  </si>
  <si>
    <t>TGM</t>
  </si>
  <si>
    <t>Dothan Regional Airport</t>
  </si>
  <si>
    <t>DHN</t>
  </si>
  <si>
    <t>Professor Urbano Ernesto Stumpf Estadual Airport</t>
  </si>
  <si>
    <t>SJK</t>
  </si>
  <si>
    <t>Gunnison Airport</t>
  </si>
  <si>
    <t>GUC</t>
  </si>
  <si>
    <t>Sary Arka Airport</t>
  </si>
  <si>
    <t>KGF</t>
  </si>
  <si>
    <t>Lanai Airport</t>
  </si>
  <si>
    <t>LNY</t>
  </si>
  <si>
    <t>Altay Airport</t>
  </si>
  <si>
    <t>AAT</t>
  </si>
  <si>
    <t>Heihe Airport</t>
  </si>
  <si>
    <t>HEK</t>
  </si>
  <si>
    <t>Adiyaman Airport</t>
  </si>
  <si>
    <t>ADF</t>
  </si>
  <si>
    <t>Resistencia Airport</t>
  </si>
  <si>
    <t>RES</t>
  </si>
  <si>
    <t>Burundi</t>
  </si>
  <si>
    <t>Bujumbura Airport</t>
  </si>
  <si>
    <t>BJM</t>
  </si>
  <si>
    <t>Ornskoldsvik Airport</t>
  </si>
  <si>
    <t>OER</t>
  </si>
  <si>
    <t>Yan'an Airport</t>
  </si>
  <si>
    <t>ENY</t>
  </si>
  <si>
    <t>I'lle des Pins Airport</t>
  </si>
  <si>
    <t>ILP</t>
  </si>
  <si>
    <t>Kununurra Airport</t>
  </si>
  <si>
    <t>KNX</t>
  </si>
  <si>
    <t>American Samoa</t>
  </si>
  <si>
    <t>Tafuna Airport</t>
  </si>
  <si>
    <t>PPG</t>
  </si>
  <si>
    <t>Catarman National Airport</t>
  </si>
  <si>
    <t>CRM</t>
  </si>
  <si>
    <t>Okinoerabu Airport</t>
  </si>
  <si>
    <t>OKE</t>
  </si>
  <si>
    <t>Capt G. Allan Hancock Field Airport</t>
  </si>
  <si>
    <t>SMX</t>
  </si>
  <si>
    <t>Fascene Airport</t>
  </si>
  <si>
    <t>NOS</t>
  </si>
  <si>
    <t>Wichita Falls Municipal Airport</t>
  </si>
  <si>
    <t>SPS</t>
  </si>
  <si>
    <t>Dandong Airport</t>
  </si>
  <si>
    <t>DDG</t>
  </si>
  <si>
    <t>Jyvaskyla Airport</t>
  </si>
  <si>
    <t>JYV</t>
  </si>
  <si>
    <t>Jiayuguan Airport</t>
  </si>
  <si>
    <t>JGN</t>
  </si>
  <si>
    <t>Surigao Airport</t>
  </si>
  <si>
    <t>SUG</t>
  </si>
  <si>
    <t>CapitÃ¡n AnÃ­bal Arab Airport</t>
  </si>
  <si>
    <t>CIJ</t>
  </si>
  <si>
    <t>Mar del Plata Airport</t>
  </si>
  <si>
    <t>MDQ</t>
  </si>
  <si>
    <t>Gral. y Lic. Ignacio LÃ³pez RayÃ³n Airport</t>
  </si>
  <si>
    <t>UPN</t>
  </si>
  <si>
    <t>Bagotville Airport</t>
  </si>
  <si>
    <t>YBG</t>
  </si>
  <si>
    <t>Dawasir Domestic Airport</t>
  </si>
  <si>
    <t>WAE</t>
  </si>
  <si>
    <t>Horn Island Airport</t>
  </si>
  <si>
    <t>TIS</t>
  </si>
  <si>
    <t>Pemba Airport</t>
  </si>
  <si>
    <t>POL</t>
  </si>
  <si>
    <t>Linkoping Airport</t>
  </si>
  <si>
    <t>LPI</t>
  </si>
  <si>
    <t>Walvis Bay Airport</t>
  </si>
  <si>
    <t>WVB</t>
  </si>
  <si>
    <t>Polokwane Airport</t>
  </si>
  <si>
    <t>PTG</t>
  </si>
  <si>
    <t>Nefta Airport</t>
  </si>
  <si>
    <t>TOE</t>
  </si>
  <si>
    <t>Mount Gambier Airport</t>
  </si>
  <si>
    <t>MGB</t>
  </si>
  <si>
    <t>Rangiroa Airport</t>
  </si>
  <si>
    <t>RGI</t>
  </si>
  <si>
    <t>Islas Malvinas Airport</t>
  </si>
  <si>
    <t>ROS</t>
  </si>
  <si>
    <t>Canadian Rockies Airport</t>
  </si>
  <si>
    <t>YXC</t>
  </si>
  <si>
    <t>Berlevag Airport</t>
  </si>
  <si>
    <t>BVG</t>
  </si>
  <si>
    <t>Sandnessjoen Airport</t>
  </si>
  <si>
    <t>SSJ</t>
  </si>
  <si>
    <t>Campbell River Airport</t>
  </si>
  <si>
    <t>YBL</t>
  </si>
  <si>
    <t>Vanuatu</t>
  </si>
  <si>
    <t>Santo-Pekoa Airport</t>
  </si>
  <si>
    <t>SON</t>
  </si>
  <si>
    <t>Halmstad Airport</t>
  </si>
  <si>
    <t>HAD</t>
  </si>
  <si>
    <t>Santa Maria Airport</t>
  </si>
  <si>
    <t>SMA</t>
  </si>
  <si>
    <t>YariguÃ­es Airport</t>
  </si>
  <si>
    <t>EJA</t>
  </si>
  <si>
    <t>Tongliao Airport</t>
  </si>
  <si>
    <t>TGO</t>
  </si>
  <si>
    <t>Avalon Airport</t>
  </si>
  <si>
    <t>AVV</t>
  </si>
  <si>
    <t>Tanegashima New Airport</t>
  </si>
  <si>
    <t>TNE</t>
  </si>
  <si>
    <t>Sault Ste. Marie Airport</t>
  </si>
  <si>
    <t>YAM</t>
  </si>
  <si>
    <t>J.A. Douglas McCurdy Airport</t>
  </si>
  <si>
    <t>YQY</t>
  </si>
  <si>
    <t>Tornio Airport</t>
  </si>
  <si>
    <t>KEM</t>
  </si>
  <si>
    <t>Frankivsk Airport</t>
  </si>
  <si>
    <t>IFO</t>
  </si>
  <si>
    <t>Noyabrsk Airport</t>
  </si>
  <si>
    <t>NOJ</t>
  </si>
  <si>
    <t>Egilsstadir Airport</t>
  </si>
  <si>
    <t>EGS</t>
  </si>
  <si>
    <t>Columbus Metropolitan Airport</t>
  </si>
  <si>
    <t>CSG</t>
  </si>
  <si>
    <t>Jardines del Rey Airport</t>
  </si>
  <si>
    <t>CCC</t>
  </si>
  <si>
    <t>Jordan</t>
  </si>
  <si>
    <t>King Hussein Airport</t>
  </si>
  <si>
    <t>AQJ</t>
  </si>
  <si>
    <t>Buon Ma Thuot Airport</t>
  </si>
  <si>
    <t>Noranda (QC) Airport</t>
  </si>
  <si>
    <t>YUY</t>
  </si>
  <si>
    <t>Friedman Memorial Airport</t>
  </si>
  <si>
    <t>SUN</t>
  </si>
  <si>
    <t>Lahad Datu Airport</t>
  </si>
  <si>
    <t>LDU</t>
  </si>
  <si>
    <t>North Las Vegas Airport</t>
  </si>
  <si>
    <t>VGT</t>
  </si>
  <si>
    <t>Caen Airport</t>
  </si>
  <si>
    <t>CFR</t>
  </si>
  <si>
    <t>Saint Helena Airport</t>
  </si>
  <si>
    <t>HLE</t>
  </si>
  <si>
    <t>Sukhothai Airport</t>
  </si>
  <si>
    <t>THS</t>
  </si>
  <si>
    <t>Hungary</t>
  </si>
  <si>
    <t>SarmellÃ©k Airport</t>
  </si>
  <si>
    <t>SOB</t>
  </si>
  <si>
    <t>Debrecen Airport</t>
  </si>
  <si>
    <t>DEB</t>
  </si>
  <si>
    <t>Pease Airport</t>
  </si>
  <si>
    <t>PSM</t>
  </si>
  <si>
    <t>Ulyanovsk Vostochny Airport</t>
  </si>
  <si>
    <t>ULY</t>
  </si>
  <si>
    <t>Central African Republic</t>
  </si>
  <si>
    <t>Bangui M'Poko Airport</t>
  </si>
  <si>
    <t>BGF</t>
  </si>
  <si>
    <t>San Jose Airport</t>
  </si>
  <si>
    <t>SJI</t>
  </si>
  <si>
    <t>Palanga Airport</t>
  </si>
  <si>
    <t>PLQ</t>
  </si>
  <si>
    <t>Cochstedt Airport</t>
  </si>
  <si>
    <t>CSO</t>
  </si>
  <si>
    <t>Berbera Airport</t>
  </si>
  <si>
    <t>Nepalgunj Airport</t>
  </si>
  <si>
    <t>KEP</t>
  </si>
  <si>
    <t>Pangborn Memorial Airport</t>
  </si>
  <si>
    <t>EAT</t>
  </si>
  <si>
    <t>Arad Airport</t>
  </si>
  <si>
    <t>ARW</t>
  </si>
  <si>
    <t>Geraldton Airport</t>
  </si>
  <si>
    <t>GET</t>
  </si>
  <si>
    <t>SantAnna di Crotone Airport</t>
  </si>
  <si>
    <t>CRV</t>
  </si>
  <si>
    <t>Churchill Airport</t>
  </si>
  <si>
    <t>YYQ</t>
  </si>
  <si>
    <t>Armidale Airport</t>
  </si>
  <si>
    <t>ARM</t>
  </si>
  <si>
    <t>North Peace Regional Airport</t>
  </si>
  <si>
    <t>YXJ</t>
  </si>
  <si>
    <t>Uzbekistan</t>
  </si>
  <si>
    <t>Samarkand Airport</t>
  </si>
  <si>
    <t>SKD</t>
  </si>
  <si>
    <t>ÃŽles (QC) Airport</t>
  </si>
  <si>
    <t>YZV</t>
  </si>
  <si>
    <t>Alfredo Vasquez Cobo Airport</t>
  </si>
  <si>
    <t>LET</t>
  </si>
  <si>
    <t>Waterloo Airport</t>
  </si>
  <si>
    <t>YKF</t>
  </si>
  <si>
    <t>Talagi Airport</t>
  </si>
  <si>
    <t>ARH</t>
  </si>
  <si>
    <t>Jinggangshan Airport</t>
  </si>
  <si>
    <t>JGS</t>
  </si>
  <si>
    <t>Perales Airport</t>
  </si>
  <si>
    <t>IBE</t>
  </si>
  <si>
    <t>Weifang Airport</t>
  </si>
  <si>
    <t>WEF</t>
  </si>
  <si>
    <t>Redding Municipal Airport</t>
  </si>
  <si>
    <t>RDD</t>
  </si>
  <si>
    <t>Gove Airport</t>
  </si>
  <si>
    <t>GOV</t>
  </si>
  <si>
    <t>Etienne Airport</t>
  </si>
  <si>
    <t>EBU</t>
  </si>
  <si>
    <t>Windsor Airport</t>
  </si>
  <si>
    <t>YQG</t>
  </si>
  <si>
    <t>Sawyer Airport</t>
  </si>
  <si>
    <t>MQT</t>
  </si>
  <si>
    <t>Dominican Republic</t>
  </si>
  <si>
    <t>SÃ¡nchez Airport</t>
  </si>
  <si>
    <t>AZS</t>
  </si>
  <si>
    <t>Altenrhein Airport</t>
  </si>
  <si>
    <t>ACH</t>
  </si>
  <si>
    <t>Nome Airport</t>
  </si>
  <si>
    <t>OME</t>
  </si>
  <si>
    <t>East Timor</t>
  </si>
  <si>
    <t>Presidente Nicolau Lobato Airport</t>
  </si>
  <si>
    <t>DIL</t>
  </si>
  <si>
    <t>Lake Charles Regional Airport</t>
  </si>
  <si>
    <t>LCH</t>
  </si>
  <si>
    <t>Biard Airport</t>
  </si>
  <si>
    <t>PIS</t>
  </si>
  <si>
    <t>Cap. FAP JosÃ© A. QuiÃ±ones Gonzales Airport</t>
  </si>
  <si>
    <t>CIX</t>
  </si>
  <si>
    <t>Kalamata Airport</t>
  </si>
  <si>
    <t>KLX</t>
  </si>
  <si>
    <t>Red Lake Airport</t>
  </si>
  <si>
    <t>YRL</t>
  </si>
  <si>
    <t>TobÃ­as BolaÃ±os Airport</t>
  </si>
  <si>
    <t>SYQ</t>
  </si>
  <si>
    <t>New Airport</t>
  </si>
  <si>
    <t>PZU</t>
  </si>
  <si>
    <t>Ivalo Airport</t>
  </si>
  <si>
    <t>IVL</t>
  </si>
  <si>
    <t>North Eleuthera Airport</t>
  </si>
  <si>
    <t>ELH</t>
  </si>
  <si>
    <t>Cornouaille Airport</t>
  </si>
  <si>
    <t>UIP</t>
  </si>
  <si>
    <t>Datong Airport</t>
  </si>
  <si>
    <t>DAT</t>
  </si>
  <si>
    <t>Malindi Airport</t>
  </si>
  <si>
    <t>MYD</t>
  </si>
  <si>
    <t>Presidente JoÃ£o Suassuna Airport</t>
  </si>
  <si>
    <t>CPV</t>
  </si>
  <si>
    <t>San Egidio Airport</t>
  </si>
  <si>
    <t>PEG</t>
  </si>
  <si>
    <t>Carepa Antonio RoldÃ¡n Betancourt Airport</t>
  </si>
  <si>
    <t>APO</t>
  </si>
  <si>
    <t>Ralph Wien Memorial Airport</t>
  </si>
  <si>
    <t>OTZ</t>
  </si>
  <si>
    <t>Lincang Airport</t>
  </si>
  <si>
    <t>LNJ</t>
  </si>
  <si>
    <t>Tuguegarao Airport</t>
  </si>
  <si>
    <t>TUG</t>
  </si>
  <si>
    <t>Norrkoping Airport</t>
  </si>
  <si>
    <t>NRK</t>
  </si>
  <si>
    <t>Wuhai Airport</t>
  </si>
  <si>
    <t>WUA</t>
  </si>
  <si>
    <t>Abraham Lincoln Capital Airport</t>
  </si>
  <si>
    <t>SPI</t>
  </si>
  <si>
    <t>Vilo AcuÃ±a Airport</t>
  </si>
  <si>
    <t>CYO</t>
  </si>
  <si>
    <t>Mus Airport</t>
  </si>
  <si>
    <t>MSR</t>
  </si>
  <si>
    <t>Cat Bi Airport</t>
  </si>
  <si>
    <t>HPH</t>
  </si>
  <si>
    <t>Plymouth City Airport</t>
  </si>
  <si>
    <t>PLH</t>
  </si>
  <si>
    <t>Seychelles</t>
  </si>
  <si>
    <t>Praslin Airport</t>
  </si>
  <si>
    <t>PRI</t>
  </si>
  <si>
    <t>Pittâ€“Greenville Airport</t>
  </si>
  <si>
    <t>PGV</t>
  </si>
  <si>
    <t>Altenburg Airport</t>
  </si>
  <si>
    <t>AOC</t>
  </si>
  <si>
    <t>Ocean City Wicomico Regional Airport</t>
  </si>
  <si>
    <t>SBY</t>
  </si>
  <si>
    <t>Réunion</t>
  </si>
  <si>
    <t>Pierrefonds Airport</t>
  </si>
  <si>
    <t>ZSE</t>
  </si>
  <si>
    <t>Joensuu Airport</t>
  </si>
  <si>
    <t>JOE</t>
  </si>
  <si>
    <t>Gan Airport</t>
  </si>
  <si>
    <t>GAN</t>
  </si>
  <si>
    <t>Jining Airport</t>
  </si>
  <si>
    <t>JNG</t>
  </si>
  <si>
    <t>Ignatyevo Airport</t>
  </si>
  <si>
    <t>BQS</t>
  </si>
  <si>
    <t>Al Ain Airport</t>
  </si>
  <si>
    <t>AAN</t>
  </si>
  <si>
    <t>Nelson Airport</t>
  </si>
  <si>
    <t>NSN</t>
  </si>
  <si>
    <t>Northwest Regional Airport</t>
  </si>
  <si>
    <t>YXT</t>
  </si>
  <si>
    <t>Yakima Air Terminal Airport</t>
  </si>
  <si>
    <t>YKM</t>
  </si>
  <si>
    <t>San Angelo Regional Airport</t>
  </si>
  <si>
    <t>SJT</t>
  </si>
  <si>
    <t>Sanjiazi Airport</t>
  </si>
  <si>
    <t>NDG</t>
  </si>
  <si>
    <t>Nyingchi Airport</t>
  </si>
  <si>
    <t>LZY</t>
  </si>
  <si>
    <t>Porto Santo Airport</t>
  </si>
  <si>
    <t>PXO</t>
  </si>
  <si>
    <t>Montes Claros Airport</t>
  </si>
  <si>
    <t>MOC</t>
  </si>
  <si>
    <t>Nevsehir Kapadokya Airport</t>
  </si>
  <si>
    <t>NAV</t>
  </si>
  <si>
    <t>North Korea</t>
  </si>
  <si>
    <t>Sunan Airport</t>
  </si>
  <si>
    <t>FNJ</t>
  </si>
  <si>
    <t>Rajahmundry Airport</t>
  </si>
  <si>
    <t>RJA</t>
  </si>
  <si>
    <t>Rocky Gutierrez Airport</t>
  </si>
  <si>
    <t>SIT</t>
  </si>
  <si>
    <t>Nez Perce County Airport</t>
  </si>
  <si>
    <t>LWS</t>
  </si>
  <si>
    <t>Cruzeiro do Sul Airport</t>
  </si>
  <si>
    <t>CZS</t>
  </si>
  <si>
    <t>Sivas Airport</t>
  </si>
  <si>
    <t>VAS</t>
  </si>
  <si>
    <t>Svalbard Airport</t>
  </si>
  <si>
    <t>LYR</t>
  </si>
  <si>
    <t>Kaduna Airport</t>
  </si>
  <si>
    <t>KAD</t>
  </si>
  <si>
    <t>Bhutan</t>
  </si>
  <si>
    <t>Paro Airport</t>
  </si>
  <si>
    <t>PBH</t>
  </si>
  <si>
    <t>Mayor General FAP Armando Revoredo Iglesias Airport</t>
  </si>
  <si>
    <t>CJA</t>
  </si>
  <si>
    <t>Erzincan Airport</t>
  </si>
  <si>
    <t>ERC</t>
  </si>
  <si>
    <t>Gisborne Airport</t>
  </si>
  <si>
    <t>GIS</t>
  </si>
  <si>
    <t>Quzhou Airport</t>
  </si>
  <si>
    <t>JUZ</t>
  </si>
  <si>
    <t>Charlotte County Airport</t>
  </si>
  <si>
    <t>PGD</t>
  </si>
  <si>
    <t>Lemnos Airport</t>
  </si>
  <si>
    <t>LXS</t>
  </si>
  <si>
    <t>Bronnoysund Airport</t>
  </si>
  <si>
    <t>BNN</t>
  </si>
  <si>
    <t>Kaadedhdhoo Island Airport</t>
  </si>
  <si>
    <t>KDM</t>
  </si>
  <si>
    <t>Whitsunday Airport</t>
  </si>
  <si>
    <t>WSY</t>
  </si>
  <si>
    <t>Odate Noshiro Airport</t>
  </si>
  <si>
    <t>ONJ</t>
  </si>
  <si>
    <t>Deauville - Normandie Airport</t>
  </si>
  <si>
    <t>DOL</t>
  </si>
  <si>
    <t>Lifou Airport</t>
  </si>
  <si>
    <t>LIF</t>
  </si>
  <si>
    <t>Molokai Airport</t>
  </si>
  <si>
    <t>MKK</t>
  </si>
  <si>
    <t>Xilinhot Airport</t>
  </si>
  <si>
    <t>XIL</t>
  </si>
  <si>
    <t>Stornoway Airport</t>
  </si>
  <si>
    <t>SYY</t>
  </si>
  <si>
    <t>Bundaberg Airport</t>
  </si>
  <si>
    <t>BDB</t>
  </si>
  <si>
    <t>Waco Regional Airport</t>
  </si>
  <si>
    <t>ACT</t>
  </si>
  <si>
    <t>Aguenar Hadj Bey Akhamok Airport</t>
  </si>
  <si>
    <t>TMR</t>
  </si>
  <si>
    <t>Hilton Head Airport</t>
  </si>
  <si>
    <t>HHH</t>
  </si>
  <si>
    <t>Pulliam Airport</t>
  </si>
  <si>
    <t>FLG</t>
  </si>
  <si>
    <t>Pleurtuit Airport</t>
  </si>
  <si>
    <t>DNR</t>
  </si>
  <si>
    <t>Nanyang Airport</t>
  </si>
  <si>
    <t>NNY</t>
  </si>
  <si>
    <t>Minot Airport</t>
  </si>
  <si>
    <t>MOT</t>
  </si>
  <si>
    <t>Kangerlussuaq Airport</t>
  </si>
  <si>
    <t>SFJ</t>
  </si>
  <si>
    <t>Loja J.M. Velasco Ibarra Airport</t>
  </si>
  <si>
    <t>MRR</t>
  </si>
  <si>
    <t>Kingali Airport</t>
  </si>
  <si>
    <t>KGL</t>
  </si>
  <si>
    <t>Sao Pedro Airport</t>
  </si>
  <si>
    <t>VXE</t>
  </si>
  <si>
    <t>Teniente Jorge Henrich Arauz Airport</t>
  </si>
  <si>
    <t>TDD</t>
  </si>
  <si>
    <t>Baoshan Airport</t>
  </si>
  <si>
    <t>BSD</t>
  </si>
  <si>
    <t>Xiangfan Airport</t>
  </si>
  <si>
    <t>XFN</t>
  </si>
  <si>
    <t>Bassel Al Airport</t>
  </si>
  <si>
    <t>LTK</t>
  </si>
  <si>
    <t>Val dOr RÃ©gional Airport</t>
  </si>
  <si>
    <t>YVO</t>
  </si>
  <si>
    <t>Kirkwall Airport</t>
  </si>
  <si>
    <t>KOI</t>
  </si>
  <si>
    <t>Devonport Airport</t>
  </si>
  <si>
    <t>DPO</t>
  </si>
  <si>
    <t>Nanaimo Airport</t>
  </si>
  <si>
    <t>YCD</t>
  </si>
  <si>
    <t>Ioannina National Airport</t>
  </si>
  <si>
    <t>IOA</t>
  </si>
  <si>
    <t>Kamchatsky Airport</t>
  </si>
  <si>
    <t>PKC</t>
  </si>
  <si>
    <t>Chita Kadala Airport</t>
  </si>
  <si>
    <t>HTA</t>
  </si>
  <si>
    <t>Goma Airport</t>
  </si>
  <si>
    <t>GOM</t>
  </si>
  <si>
    <t>Nanki Shirahama Airport</t>
  </si>
  <si>
    <t>SHM</t>
  </si>
  <si>
    <t>Marcillac Airport</t>
  </si>
  <si>
    <t>RDZ</t>
  </si>
  <si>
    <t>Olsztyn-Mazury Airport</t>
  </si>
  <si>
    <t>SZY</t>
  </si>
  <si>
    <t>Nampula Airport</t>
  </si>
  <si>
    <t>APL</t>
  </si>
  <si>
    <t>Chertovitskoye Airport</t>
  </si>
  <si>
    <t>VOZ</t>
  </si>
  <si>
    <t>Ganja Airport</t>
  </si>
  <si>
    <t>KVD</t>
  </si>
  <si>
    <t>Wabush Airport</t>
  </si>
  <si>
    <t>YWK</t>
  </si>
  <si>
    <t>Exuma Airport</t>
  </si>
  <si>
    <t>GGT</t>
  </si>
  <si>
    <t>Luang Prabang Airport</t>
  </si>
  <si>
    <t>LPQ</t>
  </si>
  <si>
    <t>Zarzaitine Airport</t>
  </si>
  <si>
    <t>IAM</t>
  </si>
  <si>
    <t>Lawton Airport</t>
  </si>
  <si>
    <t>LAW</t>
  </si>
  <si>
    <t>Fua'amotu Airport</t>
  </si>
  <si>
    <t>TBU</t>
  </si>
  <si>
    <t>Waterford Airport</t>
  </si>
  <si>
    <t>WAT</t>
  </si>
  <si>
    <t>Dachuan Airport</t>
  </si>
  <si>
    <t>DAX</t>
  </si>
  <si>
    <t>Plattsburgh Airport</t>
  </si>
  <si>
    <t>TÃ©maÃ© Airport</t>
  </si>
  <si>
    <t>MOZ</t>
  </si>
  <si>
    <t>Easterwood Airport</t>
  </si>
  <si>
    <t>CLL</t>
  </si>
  <si>
    <t>Bauerfield Airport</t>
  </si>
  <si>
    <t>VLI</t>
  </si>
  <si>
    <t>Manzhouli Airport</t>
  </si>
  <si>
    <t>NZH</t>
  </si>
  <si>
    <t>Iasi Airport</t>
  </si>
  <si>
    <t>IAS</t>
  </si>
  <si>
    <t>Tyler Pounds Regional Airport</t>
  </si>
  <si>
    <t>TYR</t>
  </si>
  <si>
    <t>ChachagÃ¼Ã­ Antonio NariÃ±o Airport</t>
  </si>
  <si>
    <t>PSO</t>
  </si>
  <si>
    <t>Zenata Messali El Hadj Airport</t>
  </si>
  <si>
    <t>TLM</t>
  </si>
  <si>
    <t>Natrona County Airport</t>
  </si>
  <si>
    <t>CPR</t>
  </si>
  <si>
    <t>LSC</t>
  </si>
  <si>
    <t>Victor M. Power Airport</t>
  </si>
  <si>
    <t>YTS</t>
  </si>
  <si>
    <t>VÃ¤sterÃ¥s Airport</t>
  </si>
  <si>
    <t>VST</t>
  </si>
  <si>
    <t>Shpakovskoye Airport</t>
  </si>
  <si>
    <t>STW</t>
  </si>
  <si>
    <t>Baikal Airport</t>
  </si>
  <si>
    <t>UUD</t>
  </si>
  <si>
    <t>Denizli Cardak Airport</t>
  </si>
  <si>
    <t>DNZ</t>
  </si>
  <si>
    <t>Gurayat Domestic Airport</t>
  </si>
  <si>
    <t>URY</t>
  </si>
  <si>
    <t>Huahine Airport</t>
  </si>
  <si>
    <t>HUH</t>
  </si>
  <si>
    <t>Alfonso LÃ³pez Pumarejo Airport</t>
  </si>
  <si>
    <t>VUP</t>
  </si>
  <si>
    <t>Sumburgh Airport</t>
  </si>
  <si>
    <t>LSI</t>
  </si>
  <si>
    <t>Yakushima Airport</t>
  </si>
  <si>
    <t>KUM</t>
  </si>
  <si>
    <t>Westerland Sylt Airport</t>
  </si>
  <si>
    <t>GWT</t>
  </si>
  <si>
    <t>Tamworth Airport</t>
  </si>
  <si>
    <t>TMW</t>
  </si>
  <si>
    <t>Livingstone Airport</t>
  </si>
  <si>
    <t>LVI</t>
  </si>
  <si>
    <t>Fort Smith Regional Airport</t>
  </si>
  <si>
    <t>FSM</t>
  </si>
  <si>
    <t>El AlcaravÃ¡n Airport</t>
  </si>
  <si>
    <t>EYP</t>
  </si>
  <si>
    <t>Iqaluit Airport</t>
  </si>
  <si>
    <t>YFB</t>
  </si>
  <si>
    <t>Dunhuang Airport</t>
  </si>
  <si>
    <t>DNH</t>
  </si>
  <si>
    <t>Mazar I Sharif Airport</t>
  </si>
  <si>
    <t>MZR</t>
  </si>
  <si>
    <t>Arar Domestic Airport</t>
  </si>
  <si>
    <t>RAE</t>
  </si>
  <si>
    <t>Florence Regional Airport</t>
  </si>
  <si>
    <t>FLO</t>
  </si>
  <si>
    <t>Riyan Airport</t>
  </si>
  <si>
    <t>RIY</t>
  </si>
  <si>
    <t>Niger</t>
  </si>
  <si>
    <t>Diori Hamani Airport</t>
  </si>
  <si>
    <t>NIM</t>
  </si>
  <si>
    <t>Fukue Airport</t>
  </si>
  <si>
    <t>FUJ</t>
  </si>
  <si>
    <t>Gunsan Airport</t>
  </si>
  <si>
    <t>KUV</t>
  </si>
  <si>
    <t>Agno Airport</t>
  </si>
  <si>
    <t>LUG</t>
  </si>
  <si>
    <t>Kodiak Airport</t>
  </si>
  <si>
    <t>ADQ</t>
  </si>
  <si>
    <t>Yuma Airport</t>
  </si>
  <si>
    <t>YUM</t>
  </si>
  <si>
    <t>Floro Airport</t>
  </si>
  <si>
    <t>FRO</t>
  </si>
  <si>
    <t>Silchar Airport</t>
  </si>
  <si>
    <t>IXS</t>
  </si>
  <si>
    <t>Greater Sudbury Airport</t>
  </si>
  <si>
    <t>YSB</t>
  </si>
  <si>
    <t>Hervey Bay Airport</t>
  </si>
  <si>
    <t>HVB</t>
  </si>
  <si>
    <t>Zadar Airport</t>
  </si>
  <si>
    <t>ZAD</t>
  </si>
  <si>
    <t>La Nubia Airport</t>
  </si>
  <si>
    <t>MZL</t>
  </si>
  <si>
    <t>Tokunoshima Airport</t>
  </si>
  <si>
    <t>TKN</t>
  </si>
  <si>
    <t>Juana Azurduy de Padilla Airport</t>
  </si>
  <si>
    <t>SRE</t>
  </si>
  <si>
    <t>Lanseria Airport</t>
  </si>
  <si>
    <t>Naga Airport</t>
  </si>
  <si>
    <t>WNP</t>
  </si>
  <si>
    <t>LeÃ³n Airport</t>
  </si>
  <si>
    <t>LEN</t>
  </si>
  <si>
    <t>YNZ</t>
  </si>
  <si>
    <t>South Padre Island Airport</t>
  </si>
  <si>
    <t>BRO</t>
  </si>
  <si>
    <t>Smaland Airport</t>
  </si>
  <si>
    <t>VXO</t>
  </si>
  <si>
    <t>Abilene Regional Airport</t>
  </si>
  <si>
    <t>ABI</t>
  </si>
  <si>
    <t>Cabinda Airport</t>
  </si>
  <si>
    <t>CAB</t>
  </si>
  <si>
    <t>Kenai Municipal Airport</t>
  </si>
  <si>
    <t>ENA</t>
  </si>
  <si>
    <t>Chifeng Airport</t>
  </si>
  <si>
    <t>CIF</t>
  </si>
  <si>
    <t>Montichiari Gabriele DAnnunzio Airport</t>
  </si>
  <si>
    <t>VBS</t>
  </si>
  <si>
    <t>Batman Airport</t>
  </si>
  <si>
    <t>BAL</t>
  </si>
  <si>
    <t>Pantelleria Airport</t>
  </si>
  <si>
    <t>PNL</t>
  </si>
  <si>
    <t>Emerald Airport</t>
  </si>
  <si>
    <t>EMD</t>
  </si>
  <si>
    <t>Kalmar Airport</t>
  </si>
  <si>
    <t>KLR</t>
  </si>
  <si>
    <t>Jiamusi Airport</t>
  </si>
  <si>
    <t>JMU</t>
  </si>
  <si>
    <t>Karpathos Island National Airport</t>
  </si>
  <si>
    <t>AOK</t>
  </si>
  <si>
    <t>Ras Al Khaimah Airport</t>
  </si>
  <si>
    <t>RKT</t>
  </si>
  <si>
    <t>Francisco B. Reyes Airport</t>
  </si>
  <si>
    <t>USU</t>
  </si>
  <si>
    <t>Margaret Ekpo Airport</t>
  </si>
  <si>
    <t>CBQ</t>
  </si>
  <si>
    <t>Sierra Leone</t>
  </si>
  <si>
    <t>Freetown Lungi Airport</t>
  </si>
  <si>
    <t>FNA</t>
  </si>
  <si>
    <t>Campo MourÃ£o Airport</t>
  </si>
  <si>
    <t>CBW</t>
  </si>
  <si>
    <t>Roberts Airport</t>
  </si>
  <si>
    <t>ROB</t>
  </si>
  <si>
    <t>Monroe Regional Airport</t>
  </si>
  <si>
    <t>MLU</t>
  </si>
  <si>
    <t>Aksu Airport</t>
  </si>
  <si>
    <t>AKU</t>
  </si>
  <si>
    <t>Lynchburg Regional Airport</t>
  </si>
  <si>
    <t>LYH</t>
  </si>
  <si>
    <t>Tirupati Airport</t>
  </si>
  <si>
    <t>TIR</t>
  </si>
  <si>
    <t>Akanu Ibiam Airport</t>
  </si>
  <si>
    <t>ENU</t>
  </si>
  <si>
    <t>Iraq</t>
  </si>
  <si>
    <t>Basrah Airport</t>
  </si>
  <si>
    <t>BSR</t>
  </si>
  <si>
    <t>El CaraÃ±o Airport</t>
  </si>
  <si>
    <t>UIB</t>
  </si>
  <si>
    <t>Crnl. FAP Carlos Ciriani Santa Rosa Airport</t>
  </si>
  <si>
    <t>TCQ</t>
  </si>
  <si>
    <t>Begishevo Airport</t>
  </si>
  <si>
    <t>NBC</t>
  </si>
  <si>
    <t>Laage Airport</t>
  </si>
  <si>
    <t>RLG</t>
  </si>
  <si>
    <t>Dubbo City Airport</t>
  </si>
  <si>
    <t>DBO</t>
  </si>
  <si>
    <t>Willard Airport</t>
  </si>
  <si>
    <t>CMI</t>
  </si>
  <si>
    <t>Helena Regional Airport</t>
  </si>
  <si>
    <t>HLN</t>
  </si>
  <si>
    <t>Belgium</t>
  </si>
  <si>
    <t>Antwerp Airport</t>
  </si>
  <si>
    <t>ANR</t>
  </si>
  <si>
    <t>Camilo Ponce Enriquez Airport</t>
  </si>
  <si>
    <t>LOH</t>
  </si>
  <si>
    <t>El EdÃ©n Airport</t>
  </si>
  <si>
    <t>AXM</t>
  </si>
  <si>
    <t>Laoag Airport</t>
  </si>
  <si>
    <t>Panzhihua Baoangong Airport</t>
  </si>
  <si>
    <t>PZI</t>
  </si>
  <si>
    <t>Rabaul Airport</t>
  </si>
  <si>
    <t>RAB</t>
  </si>
  <si>
    <t>Norman Wells Airport</t>
  </si>
  <si>
    <t>YVQ</t>
  </si>
  <si>
    <t>Nacional MinatitlÃ¡n</t>
  </si>
  <si>
    <t>MTT</t>
  </si>
  <si>
    <t>Dipolog Airport</t>
  </si>
  <si>
    <t>DPL</t>
  </si>
  <si>
    <t>Mercedita Airport</t>
  </si>
  <si>
    <t>PSE</t>
  </si>
  <si>
    <t>Coni-Levaldigi Airport</t>
  </si>
  <si>
    <t>CUF</t>
  </si>
  <si>
    <t>Victoria Falls Airport</t>
  </si>
  <si>
    <t>VFA</t>
  </si>
  <si>
    <t>Netherlands</t>
  </si>
  <si>
    <t>Maastricht Aachen Airport</t>
  </si>
  <si>
    <t>MST</t>
  </si>
  <si>
    <t>Charles M. Schulz Airport</t>
  </si>
  <si>
    <t>STS</t>
  </si>
  <si>
    <t>Bretagne Sud Airport</t>
  </si>
  <si>
    <t>LRT</t>
  </si>
  <si>
    <t>Bydgoszcz Ignacy Jan Paderewski Airport</t>
  </si>
  <si>
    <t>BZG</t>
  </si>
  <si>
    <t>Djibouti</t>
  </si>
  <si>
    <t>Ambouli Airport</t>
  </si>
  <si>
    <t>JIB</t>
  </si>
  <si>
    <t>Montrose Regional Airport</t>
  </si>
  <si>
    <t>MTJ</t>
  </si>
  <si>
    <t>Yanbu Domestic Airport</t>
  </si>
  <si>
    <t>YNB</t>
  </si>
  <si>
    <t>Kerry Airport</t>
  </si>
  <si>
    <t>KIR</t>
  </si>
  <si>
    <t>Toledo Express Airport</t>
  </si>
  <si>
    <t>TOL</t>
  </si>
  <si>
    <t>Padre Aldamiz Airport</t>
  </si>
  <si>
    <t>PEM</t>
  </si>
  <si>
    <t>Beira Airport</t>
  </si>
  <si>
    <t>BEW</t>
  </si>
  <si>
    <t>Marsh Harbour Airport</t>
  </si>
  <si>
    <t>MHH</t>
  </si>
  <si>
    <t>Ciudad Obregon Airport</t>
  </si>
  <si>
    <t>CEN</t>
  </si>
  <si>
    <t>Sacheon Airport</t>
  </si>
  <si>
    <t>HIN</t>
  </si>
  <si>
    <t>Hotan Airport</t>
  </si>
  <si>
    <t>HTN</t>
  </si>
  <si>
    <t>Eelde Airport</t>
  </si>
  <si>
    <t>GRQ</t>
  </si>
  <si>
    <t>Huangjin Airport</t>
  </si>
  <si>
    <t>KOW</t>
  </si>
  <si>
    <t>Akureyri Airport</t>
  </si>
  <si>
    <t>AEY</t>
  </si>
  <si>
    <t>Faisalabad Airport</t>
  </si>
  <si>
    <t>LYP</t>
  </si>
  <si>
    <t>de Tapachula Airport</t>
  </si>
  <si>
    <t>TAP</t>
  </si>
  <si>
    <t>MÃ¥lselv Airport</t>
  </si>
  <si>
    <t>BDU</t>
  </si>
  <si>
    <t>Simao Airport</t>
  </si>
  <si>
    <t>SYM</t>
  </si>
  <si>
    <t>CapitÃ¡n Oriel Lea Plaza Airport</t>
  </si>
  <si>
    <t>TJA</t>
  </si>
  <si>
    <t>L'Esperance Airport</t>
  </si>
  <si>
    <t>CCE</t>
  </si>
  <si>
    <t>Saint Vincent and the Grenadines</t>
  </si>
  <si>
    <t>E.T. Joshua Airport</t>
  </si>
  <si>
    <t>SVD</t>
  </si>
  <si>
    <t>Horta Airport</t>
  </si>
  <si>
    <t>HOR</t>
  </si>
  <si>
    <t>Inuvik Airport</t>
  </si>
  <si>
    <t>YEV</t>
  </si>
  <si>
    <t>Rotorua Airport</t>
  </si>
  <si>
    <t>ROT</t>
  </si>
  <si>
    <t>AlÃ¨s Airport</t>
  </si>
  <si>
    <t>FNI</t>
  </si>
  <si>
    <t>Kyrgyzstan</t>
  </si>
  <si>
    <t>Osh Airport</t>
  </si>
  <si>
    <t>OSS</t>
  </si>
  <si>
    <t>Erik Nielsen Airport</t>
  </si>
  <si>
    <t>YXY</t>
  </si>
  <si>
    <t>Beslan Airport</t>
  </si>
  <si>
    <t>OGZ</t>
  </si>
  <si>
    <t>Chad</t>
  </si>
  <si>
    <t>N'Djamena Airport</t>
  </si>
  <si>
    <t>NDJ</t>
  </si>
  <si>
    <t>Galway Airport</t>
  </si>
  <si>
    <t>GWY</t>
  </si>
  <si>
    <t>Cap dAgde Airport</t>
  </si>
  <si>
    <t>BZR</t>
  </si>
  <si>
    <t>Grand Forks Airport</t>
  </si>
  <si>
    <t>GFK</t>
  </si>
  <si>
    <t>Ketchikan Airport</t>
  </si>
  <si>
    <t>KTN</t>
  </si>
  <si>
    <t>Chicago Rockford Airport</t>
  </si>
  <si>
    <t>RFD</t>
  </si>
  <si>
    <t>El Hierro Airport</t>
  </si>
  <si>
    <t>VDE</t>
  </si>
  <si>
    <t>Greater Binghamton Airport</t>
  </si>
  <si>
    <t>BGM</t>
  </si>
  <si>
    <t>Georges-Enesco Airport</t>
  </si>
  <si>
    <t>BCM</t>
  </si>
  <si>
    <t>Lubango Airport</t>
  </si>
  <si>
    <t>SDD</t>
  </si>
  <si>
    <t>Malawi</t>
  </si>
  <si>
    <t>Kamuzu Airport</t>
  </si>
  <si>
    <t>LLW</t>
  </si>
  <si>
    <t>Woodbourne Airport</t>
  </si>
  <si>
    <t>BHE</t>
  </si>
  <si>
    <t>Uralsk Airport</t>
  </si>
  <si>
    <t>URA</t>
  </si>
  <si>
    <t>Esbjerg Airport</t>
  </si>
  <si>
    <t>EBJ</t>
  </si>
  <si>
    <t>Port Lincoln Airport</t>
  </si>
  <si>
    <t>PLO</t>
  </si>
  <si>
    <t>Kiruna Airport</t>
  </si>
  <si>
    <t>KRN</t>
  </si>
  <si>
    <t>Inca Manco CÃ¡pac Airport</t>
  </si>
  <si>
    <t>JUL</t>
  </si>
  <si>
    <t>Kamloops Airport</t>
  </si>
  <si>
    <t>YKA</t>
  </si>
  <si>
    <t>Ostende-Bruges Airport</t>
  </si>
  <si>
    <t>OST</t>
  </si>
  <si>
    <t>Lubumbashi Airport</t>
  </si>
  <si>
    <t>FBM</t>
  </si>
  <si>
    <t>Benito Salas Airport</t>
  </si>
  <si>
    <t>NVA</t>
  </si>
  <si>
    <t>Coca Airport</t>
  </si>
  <si>
    <t>OCC</t>
  </si>
  <si>
    <t>Yining Airport</t>
  </si>
  <si>
    <t>YIN</t>
  </si>
  <si>
    <t>Laredo Airport</t>
  </si>
  <si>
    <t>LRD</t>
  </si>
  <si>
    <t>Piloto Civil Norberto FernÃ¡ndez Airport</t>
  </si>
  <si>
    <t>RGL</t>
  </si>
  <si>
    <t>Roxas Airport</t>
  </si>
  <si>
    <t>RXS</t>
  </si>
  <si>
    <t>Luzhou Airport</t>
  </si>
  <si>
    <t>LZO</t>
  </si>
  <si>
    <t>Mwanza Airport</t>
  </si>
  <si>
    <t>MWZ</t>
  </si>
  <si>
    <t>Arcata Airport</t>
  </si>
  <si>
    <t>ACV</t>
  </si>
  <si>
    <t>Whitsunday Coast Airport</t>
  </si>
  <si>
    <t>PPP</t>
  </si>
  <si>
    <t>Paraburdoo Airport</t>
  </si>
  <si>
    <t>PBO</t>
  </si>
  <si>
    <t>Meadows Field Airport</t>
  </si>
  <si>
    <t>BFL</t>
  </si>
  <si>
    <t>Bangoka Airport</t>
  </si>
  <si>
    <t>FKI</t>
  </si>
  <si>
    <t>Ozamiz Airport</t>
  </si>
  <si>
    <t>OZC</t>
  </si>
  <si>
    <t>Mildura Airport</t>
  </si>
  <si>
    <t>MQL</t>
  </si>
  <si>
    <t>Lampedusa Airport</t>
  </si>
  <si>
    <t>LMP</t>
  </si>
  <si>
    <t>Tri-State Airport</t>
  </si>
  <si>
    <t>HTS</t>
  </si>
  <si>
    <t>Yamagata Airport</t>
  </si>
  <si>
    <t>GAJ</t>
  </si>
  <si>
    <t>Honduras</t>
  </si>
  <si>
    <t>Juan Manuel GÃ¡lvez Airport</t>
  </si>
  <si>
    <t>RTB</t>
  </si>
  <si>
    <t>Ronneby Airport</t>
  </si>
  <si>
    <t>RNB</t>
  </si>
  <si>
    <t>La Crosse Municipal Airport</t>
  </si>
  <si>
    <t>LSE</t>
  </si>
  <si>
    <t>Wuqiao Airport</t>
  </si>
  <si>
    <t>WXN</t>
  </si>
  <si>
    <t>Kruger Mpumalanga Airport</t>
  </si>
  <si>
    <t>YaoundÃ© Nsimalen Airport</t>
  </si>
  <si>
    <t>NSI</t>
  </si>
  <si>
    <t>Ramon Airport</t>
  </si>
  <si>
    <t>ETM</t>
  </si>
  <si>
    <t>Aktyubinsk Airport</t>
  </si>
  <si>
    <t>AKX</t>
  </si>
  <si>
    <t>Rijeka Airport</t>
  </si>
  <si>
    <t>RJK</t>
  </si>
  <si>
    <t>Dali Airport</t>
  </si>
  <si>
    <t>DLU</t>
  </si>
  <si>
    <t>Ondjiva Pereira Airport</t>
  </si>
  <si>
    <t>VPE</t>
  </si>
  <si>
    <t>Taba Airport</t>
  </si>
  <si>
    <t>TCP</t>
  </si>
  <si>
    <t>Awang Airport</t>
  </si>
  <si>
    <t>CBO</t>
  </si>
  <si>
    <t>CapitÃ¡n Corbeta C.A. Curbelo Airport</t>
  </si>
  <si>
    <t>PDP</t>
  </si>
  <si>
    <t>Yibin Airport</t>
  </si>
  <si>
    <t>YBP</t>
  </si>
  <si>
    <t>Hammamet Airport</t>
  </si>
  <si>
    <t>NBE</t>
  </si>
  <si>
    <t>Wagga Wagga Airport</t>
  </si>
  <si>
    <t>WGA</t>
  </si>
  <si>
    <t>Kogalym Airport</t>
  </si>
  <si>
    <t>KGP</t>
  </si>
  <si>
    <t>Osmani Airport</t>
  </si>
  <si>
    <t>Lajes Airport</t>
  </si>
  <si>
    <t>TER</t>
  </si>
  <si>
    <t>General Lucio Blanco Airport</t>
  </si>
  <si>
    <t>REX</t>
  </si>
  <si>
    <t>Laughlin</t>
  </si>
  <si>
    <t>IFP</t>
  </si>
  <si>
    <t>Kittila Airport</t>
  </si>
  <si>
    <t>KTT</t>
  </si>
  <si>
    <t>Salekhard Airport</t>
  </si>
  <si>
    <t>SLY</t>
  </si>
  <si>
    <t>Goose Bay Airport</t>
  </si>
  <si>
    <t>YYR</t>
  </si>
  <si>
    <t>Sioux Lookout Airport</t>
  </si>
  <si>
    <t>YXL</t>
  </si>
  <si>
    <t>Maquehue Airport</t>
  </si>
  <si>
    <t>ZCO</t>
  </si>
  <si>
    <t>Guyana</t>
  </si>
  <si>
    <t>Cheddi Jagan Airport</t>
  </si>
  <si>
    <t>GEO</t>
  </si>
  <si>
    <t>Port Macquarie Airport</t>
  </si>
  <si>
    <t>PQQ</t>
  </si>
  <si>
    <t>Tauranga Airport</t>
  </si>
  <si>
    <t>TRG</t>
  </si>
  <si>
    <t>Solomon Islands</t>
  </si>
  <si>
    <t>Honiara Airport</t>
  </si>
  <si>
    <t>HIR</t>
  </si>
  <si>
    <t>Mount Isa Airport</t>
  </si>
  <si>
    <t>ISA</t>
  </si>
  <si>
    <t>Cad. FAP Guillermo del Castillo Paredes Airport</t>
  </si>
  <si>
    <t>TPP</t>
  </si>
  <si>
    <t>Dominica</t>
  </si>
  <si>
    <t>Douglasâ€“Charles Airport</t>
  </si>
  <si>
    <t>DOM</t>
  </si>
  <si>
    <t>Tompkins Regional I Airport</t>
  </si>
  <si>
    <t>ITH</t>
  </si>
  <si>
    <t>Saratov Tsentralny Airport</t>
  </si>
  <si>
    <t>RTW</t>
  </si>
  <si>
    <t>Nantong Airport</t>
  </si>
  <si>
    <t>NTG</t>
  </si>
  <si>
    <t>Newman Airport</t>
  </si>
  <si>
    <t>ZNE</t>
  </si>
  <si>
    <t>Saint John Airport</t>
  </si>
  <si>
    <t>YSJ</t>
  </si>
  <si>
    <t>Sanliurfa Airport</t>
  </si>
  <si>
    <t>SFQ</t>
  </si>
  <si>
    <t>Melbourne Airport</t>
  </si>
  <si>
    <t>MLB</t>
  </si>
  <si>
    <t>Xianggelila Airport</t>
  </si>
  <si>
    <t>DIG</t>
  </si>
  <si>
    <t>Sibiu Airport</t>
  </si>
  <si>
    <t>Bornholms Airport</t>
  </si>
  <si>
    <t>RNN</t>
  </si>
  <si>
    <t>Soummam Abane Ramdane Airport</t>
  </si>
  <si>
    <t>BJA</t>
  </si>
  <si>
    <t>Cap. FAP Carlos MartÃ­nez de Pinillos Airport</t>
  </si>
  <si>
    <t>TRU</t>
  </si>
  <si>
    <t>Uturoa Airport</t>
  </si>
  <si>
    <t>RFP</t>
  </si>
  <si>
    <t>Pokhara Airport</t>
  </si>
  <si>
    <t>PKR</t>
  </si>
  <si>
    <t>Coastal Carolina Regional Airport</t>
  </si>
  <si>
    <t>EWN</t>
  </si>
  <si>
    <t>Skelleftea Airport</t>
  </si>
  <si>
    <t>SFT</t>
  </si>
  <si>
    <t>Antonio Maceo y Grajales Airport</t>
  </si>
  <si>
    <t>SCU</t>
  </si>
  <si>
    <t>Duong Dong Airport</t>
  </si>
  <si>
    <t>PQC</t>
  </si>
  <si>
    <t>Elmira</t>
  </si>
  <si>
    <t>ELM</t>
  </si>
  <si>
    <t>Ile de RÃ© Airport</t>
  </si>
  <si>
    <t>LRH</t>
  </si>
  <si>
    <t>Halim Perdanakusuma Airport</t>
  </si>
  <si>
    <t>GolosÃ³n Airport</t>
  </si>
  <si>
    <t>LCE</t>
  </si>
  <si>
    <t>Borg El Arab Airport</t>
  </si>
  <si>
    <t>HBE</t>
  </si>
  <si>
    <t>Dibrugarh Airport</t>
  </si>
  <si>
    <t>DIB</t>
  </si>
  <si>
    <t>Luoyang Airport</t>
  </si>
  <si>
    <t>LYA</t>
  </si>
  <si>
    <t>Bisha Domestic Airport</t>
  </si>
  <si>
    <t>BHH</t>
  </si>
  <si>
    <t>Imperatriz Airport</t>
  </si>
  <si>
    <t>IMP</t>
  </si>
  <si>
    <t>Rajkot Airport</t>
  </si>
  <si>
    <t>RAJ</t>
  </si>
  <si>
    <t>Kisumu Airport</t>
  </si>
  <si>
    <t>KIS</t>
  </si>
  <si>
    <t>Savoie Airport</t>
  </si>
  <si>
    <t>CMF</t>
  </si>
  <si>
    <t>Mardin Airport</t>
  </si>
  <si>
    <t>MQM</t>
  </si>
  <si>
    <t>Captain Rolden Airport</t>
  </si>
  <si>
    <t>PCL</t>
  </si>
  <si>
    <t>General Guadalupe Victoria Airport</t>
  </si>
  <si>
    <t>DGO</t>
  </si>
  <si>
    <t>Skiathos Airport</t>
  </si>
  <si>
    <t>JSI</t>
  </si>
  <si>
    <t>McChesney Field Airport</t>
  </si>
  <si>
    <t>SBP</t>
  </si>
  <si>
    <t>Wakkanai Airport</t>
  </si>
  <si>
    <t>WKJ</t>
  </si>
  <si>
    <t>Playa de Oro Airport</t>
  </si>
  <si>
    <t>ZLO</t>
  </si>
  <si>
    <t>Changde Airport</t>
  </si>
  <si>
    <t>CGD</t>
  </si>
  <si>
    <t>General Enrique Mosconi Airport</t>
  </si>
  <si>
    <t>CRD</t>
  </si>
  <si>
    <t>Baha Domestic Airport</t>
  </si>
  <si>
    <t>ABT</t>
  </si>
  <si>
    <t>Gladstone Airport</t>
  </si>
  <si>
    <t>GLT</t>
  </si>
  <si>
    <t>Albert J. Ellis Airport</t>
  </si>
  <si>
    <t>OAJ</t>
  </si>
  <si>
    <t>Chacalluta Airport</t>
  </si>
  <si>
    <t>ARI</t>
  </si>
  <si>
    <t>Vero Beach Municipal Airport</t>
  </si>
  <si>
    <t>VRB</t>
  </si>
  <si>
    <t>Comox Airport</t>
  </si>
  <si>
    <t>YQQ</t>
  </si>
  <si>
    <t>Parma Airport</t>
  </si>
  <si>
    <t>PMF</t>
  </si>
  <si>
    <t>Invercargill Airport</t>
  </si>
  <si>
    <t>IVC</t>
  </si>
  <si>
    <t>Multan Airport</t>
  </si>
  <si>
    <t>MUX</t>
  </si>
  <si>
    <t>Ouagadougou Airport</t>
  </si>
  <si>
    <t>OUA</t>
  </si>
  <si>
    <t>Mayotte</t>
  </si>
  <si>
    <t>Pamandzi Airport</t>
  </si>
  <si>
    <t>DZA</t>
  </si>
  <si>
    <t>Erie Airport</t>
  </si>
  <si>
    <t>ERI</t>
  </si>
  <si>
    <t>MarabÃ¡ Airport</t>
  </si>
  <si>
    <t>MAB</t>
  </si>
  <si>
    <t>Jingdezhen Airport</t>
  </si>
  <si>
    <t>JDZ</t>
  </si>
  <si>
    <t>Boa Vista Airport</t>
  </si>
  <si>
    <t>BVB</t>
  </si>
  <si>
    <t>Thompson Airport</t>
  </si>
  <si>
    <t>YTH</t>
  </si>
  <si>
    <t>do Cariri Regional Airport</t>
  </si>
  <si>
    <t>JDO</t>
  </si>
  <si>
    <t>Yampa Valley Airport</t>
  </si>
  <si>
    <t>HDN</t>
  </si>
  <si>
    <t>Rankin Inlet Airport</t>
  </si>
  <si>
    <t>YRT</t>
  </si>
  <si>
    <t>Guinea</t>
  </si>
  <si>
    <t>Conakry Gbessia Airport</t>
  </si>
  <si>
    <t>CKY</t>
  </si>
  <si>
    <t>Bukhara Airport</t>
  </si>
  <si>
    <t>BHK</t>
  </si>
  <si>
    <t>New Plymouth Airport</t>
  </si>
  <si>
    <t>NPL</t>
  </si>
  <si>
    <t>Aktion National Airport</t>
  </si>
  <si>
    <t>PVK</t>
  </si>
  <si>
    <t>Duluth Airport</t>
  </si>
  <si>
    <t>DLH</t>
  </si>
  <si>
    <t>Biratnagar Airport</t>
  </si>
  <si>
    <t>BIR</t>
  </si>
  <si>
    <t>Kumejima Airport</t>
  </si>
  <si>
    <t>UEO</t>
  </si>
  <si>
    <t>Kuopio Airport</t>
  </si>
  <si>
    <t>KUO</t>
  </si>
  <si>
    <t>Juazeiro Airport</t>
  </si>
  <si>
    <t>PNZ</t>
  </si>
  <si>
    <t>HÃ¤rnÃ¶sand Airport</t>
  </si>
  <si>
    <t>SDL</t>
  </si>
  <si>
    <t>Balmaceda Airport</t>
  </si>
  <si>
    <t>BBA</t>
  </si>
  <si>
    <t>Rochester Airport</t>
  </si>
  <si>
    <t>RST</t>
  </si>
  <si>
    <t>Boulder Airport</t>
  </si>
  <si>
    <t>KGI</t>
  </si>
  <si>
    <t>Hailang Airport</t>
  </si>
  <si>
    <t>MDG</t>
  </si>
  <si>
    <t>Kalamazoo</t>
  </si>
  <si>
    <t>AZO</t>
  </si>
  <si>
    <t>Federal del Valle del Fuerte Airport</t>
  </si>
  <si>
    <t>LMM</t>
  </si>
  <si>
    <t>University Park Airport</t>
  </si>
  <si>
    <t>SCE</t>
  </si>
  <si>
    <t>Kharkov Airport</t>
  </si>
  <si>
    <t>HRK</t>
  </si>
  <si>
    <t>Leh Kushok Bakula Rimpochee Airport</t>
  </si>
  <si>
    <t>Ponciano Arriaga Airport</t>
  </si>
  <si>
    <t>SLP</t>
  </si>
  <si>
    <t>MoÅ¡nov Airport</t>
  </si>
  <si>
    <t>OSR</t>
  </si>
  <si>
    <t>Chios Island National Airport</t>
  </si>
  <si>
    <t>JKH</t>
  </si>
  <si>
    <t>Bethel Airport</t>
  </si>
  <si>
    <t>BET</t>
  </si>
  <si>
    <t>Deer Lake Regional Airport</t>
  </si>
  <si>
    <t>YDF</t>
  </si>
  <si>
    <t>Chikkalthana Airport</t>
  </si>
  <si>
    <t>IXU</t>
  </si>
  <si>
    <t>Korla Airport</t>
  </si>
  <si>
    <t>KRL</t>
  </si>
  <si>
    <t>Kemerovo Airport</t>
  </si>
  <si>
    <t>KEJ</t>
  </si>
  <si>
    <t>Maun Airport</t>
  </si>
  <si>
    <t>MUB</t>
  </si>
  <si>
    <t>Fredericton Airport</t>
  </si>
  <si>
    <t>YFC</t>
  </si>
  <si>
    <t>Sultan Haji Ahmad Shah Airport</t>
  </si>
  <si>
    <t>Eloy Alfaro Airport</t>
  </si>
  <si>
    <t>MEC</t>
  </si>
  <si>
    <t>Jasionka Airport</t>
  </si>
  <si>
    <t>RZE</t>
  </si>
  <si>
    <t>Barnstable Municipal Airport</t>
  </si>
  <si>
    <t>HYA</t>
  </si>
  <si>
    <t>Capital City Airport</t>
  </si>
  <si>
    <t>LAN</t>
  </si>
  <si>
    <t>Murmansk Airport</t>
  </si>
  <si>
    <t>MMK</t>
  </si>
  <si>
    <t>Fanning Field Airport</t>
  </si>
  <si>
    <t>IDA</t>
  </si>
  <si>
    <t>Nancy Airport</t>
  </si>
  <si>
    <t>ETZ</t>
  </si>
  <si>
    <t>Nanjiao Airport</t>
  </si>
  <si>
    <t>MIG</t>
  </si>
  <si>
    <t>Kirkenes Airport</t>
  </si>
  <si>
    <t>KKN</t>
  </si>
  <si>
    <t>Charlottetown Airport</t>
  </si>
  <si>
    <t>YYG</t>
  </si>
  <si>
    <t>Nizhny Novgorod Airport</t>
  </si>
  <si>
    <t>GOJ</t>
  </si>
  <si>
    <t>Equatorial Guinea</t>
  </si>
  <si>
    <t>Santa Isabel Airport</t>
  </si>
  <si>
    <t>SSG</t>
  </si>
  <si>
    <t>Albury Airport</t>
  </si>
  <si>
    <t>ABX</t>
  </si>
  <si>
    <t>Saga Airport</t>
  </si>
  <si>
    <t>HSG</t>
  </si>
  <si>
    <t>Tunxi Airport</t>
  </si>
  <si>
    <t>TXN</t>
  </si>
  <si>
    <t>Mirny Airport</t>
  </si>
  <si>
    <t>MJZ</t>
  </si>
  <si>
    <t>Quetta Airport</t>
  </si>
  <si>
    <t>UET</t>
  </si>
  <si>
    <t>Lincoln Airport</t>
  </si>
  <si>
    <t>LNK</t>
  </si>
  <si>
    <t>Tsushima Airport</t>
  </si>
  <si>
    <t>TSJ</t>
  </si>
  <si>
    <t>Vaasa Airport</t>
  </si>
  <si>
    <t>VAA</t>
  </si>
  <si>
    <t>Teniente BenjamÃ­n Matienzo Airport</t>
  </si>
  <si>
    <t>TUC</t>
  </si>
  <si>
    <t>Zweibrucken Airport</t>
  </si>
  <si>
    <t>ZQW</t>
  </si>
  <si>
    <t>Kars Airport</t>
  </si>
  <si>
    <t>KSY</t>
  </si>
  <si>
    <t>Joinville Airport</t>
  </si>
  <si>
    <t>JOI</t>
  </si>
  <si>
    <t>Dordogne PÃ©rigord Airport</t>
  </si>
  <si>
    <t>EGC</t>
  </si>
  <si>
    <t>Central Wisconsin Airport</t>
  </si>
  <si>
    <t>CWA</t>
  </si>
  <si>
    <t>MBS Airport</t>
  </si>
  <si>
    <t>MBS</t>
  </si>
  <si>
    <t>Khartoum Airport</t>
  </si>
  <si>
    <t>KRT</t>
  </si>
  <si>
    <t>Gander Airport</t>
  </si>
  <si>
    <t>YQX</t>
  </si>
  <si>
    <t>Byron Gateway Airport</t>
  </si>
  <si>
    <t>BNK</t>
  </si>
  <si>
    <t>Lae Nadzab Airport</t>
  </si>
  <si>
    <t>LAE</t>
  </si>
  <si>
    <t>Baitabu Airport</t>
  </si>
  <si>
    <t>LYG</t>
  </si>
  <si>
    <t>Sainte Airport</t>
  </si>
  <si>
    <t>CLY</t>
  </si>
  <si>
    <t>Sultan Abdul Halim Airport</t>
  </si>
  <si>
    <t>AOR</t>
  </si>
  <si>
    <t>Karup Airport</t>
  </si>
  <si>
    <t>KRP</t>
  </si>
  <si>
    <t>Great Falls Airport</t>
  </si>
  <si>
    <t>GTF</t>
  </si>
  <si>
    <t>Kilimanjaro Airport</t>
  </si>
  <si>
    <t>JRO</t>
  </si>
  <si>
    <t>Rarotonga Airport</t>
  </si>
  <si>
    <t>RAR</t>
  </si>
  <si>
    <t>La Plata County Airport</t>
  </si>
  <si>
    <t>DRO</t>
  </si>
  <si>
    <t>Kandahar Airport</t>
  </si>
  <si>
    <t>KDH</t>
  </si>
  <si>
    <t>Yellowknife Airport</t>
  </si>
  <si>
    <t>YZF</t>
  </si>
  <si>
    <t>Tokoin GnassingbÃ© EyadÃ©ma Airport</t>
  </si>
  <si>
    <t>LFW</t>
  </si>
  <si>
    <t>George Airport</t>
  </si>
  <si>
    <t>GRJ</t>
  </si>
  <si>
    <t>Tomsk Bogashevo Airport</t>
  </si>
  <si>
    <t>TOF</t>
  </si>
  <si>
    <t>Albrook Airport</t>
  </si>
  <si>
    <t>PAC</t>
  </si>
  <si>
    <t>Linyi Airport</t>
  </si>
  <si>
    <t>LYI</t>
  </si>
  <si>
    <t>GalÃ¡pagos Seymour Airport</t>
  </si>
  <si>
    <t>GPS</t>
  </si>
  <si>
    <t>Benin</t>
  </si>
  <si>
    <t>Cadjehoun Airport</t>
  </si>
  <si>
    <t>COO</t>
  </si>
  <si>
    <t>Mohamed Boudiaf Airport</t>
  </si>
  <si>
    <t>CZL</t>
  </si>
  <si>
    <t>GoleniÃ³w Solidarnosc Airport</t>
  </si>
  <si>
    <t>SZZ</t>
  </si>
  <si>
    <t>Adisumarmo Airport</t>
  </si>
  <si>
    <t>SOC</t>
  </si>
  <si>
    <t>Konya Airport</t>
  </si>
  <si>
    <t>KYA</t>
  </si>
  <si>
    <t>Pohang Airport</t>
  </si>
  <si>
    <t>KPO</t>
  </si>
  <si>
    <t>Altai Airport</t>
  </si>
  <si>
    <t>LTI</t>
  </si>
  <si>
    <t>Nador Airport</t>
  </si>
  <si>
    <t>NDR</t>
  </si>
  <si>
    <t>Samoa</t>
  </si>
  <si>
    <t>Faleolo Airport</t>
  </si>
  <si>
    <t>APW</t>
  </si>
  <si>
    <t>Saint Lucia</t>
  </si>
  <si>
    <t>George F. L. Charles Airport</t>
  </si>
  <si>
    <t>SLU</t>
  </si>
  <si>
    <t>Visby Airport</t>
  </si>
  <si>
    <t>VBY</t>
  </si>
  <si>
    <t>Evansville Regional Airport</t>
  </si>
  <si>
    <t>EVV</t>
  </si>
  <si>
    <t>Liuzhou Airport</t>
  </si>
  <si>
    <t>LZH</t>
  </si>
  <si>
    <t>Connellan Airport</t>
  </si>
  <si>
    <t>AYQ</t>
  </si>
  <si>
    <t>Alexandria Airport</t>
  </si>
  <si>
    <t>AEX</t>
  </si>
  <si>
    <t>Rovaniemi Airport</t>
  </si>
  <si>
    <t>RVN</t>
  </si>
  <si>
    <t>Gambia</t>
  </si>
  <si>
    <t>Banjul Airport</t>
  </si>
  <si>
    <t>BJL</t>
  </si>
  <si>
    <t>Lodz Wladyslaw Reymont Airport</t>
  </si>
  <si>
    <t>LCJ</t>
  </si>
  <si>
    <t>Bora Airport</t>
  </si>
  <si>
    <t>BOB</t>
  </si>
  <si>
    <t>Melilla Airport</t>
  </si>
  <si>
    <t>MLN</t>
  </si>
  <si>
    <t>Gibraltar</t>
  </si>
  <si>
    <t>Gibraltar Airport</t>
  </si>
  <si>
    <t>GIB</t>
  </si>
  <si>
    <t>Erfurt Airport</t>
  </si>
  <si>
    <t>ERF</t>
  </si>
  <si>
    <t>El Loa Airport</t>
  </si>
  <si>
    <t>CJC</t>
  </si>
  <si>
    <t>Pula Airport</t>
  </si>
  <si>
    <t>PUY</t>
  </si>
  <si>
    <t>Angads Airport</t>
  </si>
  <si>
    <t>OUD</t>
  </si>
  <si>
    <t>Alexandroupoli Airport</t>
  </si>
  <si>
    <t>AXD</t>
  </si>
  <si>
    <t>Glacier Park Airport</t>
  </si>
  <si>
    <t>FCA</t>
  </si>
  <si>
    <t>Bhopal Airport</t>
  </si>
  <si>
    <t>BHO</t>
  </si>
  <si>
    <t>Assiut Airport</t>
  </si>
  <si>
    <t>ATZ</t>
  </si>
  <si>
    <t>Hatay Airport</t>
  </si>
  <si>
    <t>HTY</t>
  </si>
  <si>
    <t>Nizhnevartovsk Airport</t>
  </si>
  <si>
    <t>NJC</t>
  </si>
  <si>
    <t>Okadama Airport</t>
  </si>
  <si>
    <t>OKD</t>
  </si>
  <si>
    <t>Bloemfontein Airport</t>
  </si>
  <si>
    <t>BFN</t>
  </si>
  <si>
    <t>Presidente Carlos IbÃ¡Ã±ez del Campo Airport</t>
  </si>
  <si>
    <t>PUQ</t>
  </si>
  <si>
    <t>Megas Alexandros Airport</t>
  </si>
  <si>
    <t>KVA</t>
  </si>
  <si>
    <t>Montgomery Regional Airport</t>
  </si>
  <si>
    <t>MGM</t>
  </si>
  <si>
    <t>Surat Thani Airport</t>
  </si>
  <si>
    <t>Alta Airport</t>
  </si>
  <si>
    <t>ALF</t>
  </si>
  <si>
    <t>Bellegarde Airport</t>
  </si>
  <si>
    <t>LIG</t>
  </si>
  <si>
    <t>Pointe Larue Airport</t>
  </si>
  <si>
    <t>SEZ</t>
  </si>
  <si>
    <t>IsÃ¨re Airport</t>
  </si>
  <si>
    <t>GNB</t>
  </si>
  <si>
    <t>Coffs Harbour Airport</t>
  </si>
  <si>
    <t>CFS</t>
  </si>
  <si>
    <t>Humberside Airport</t>
  </si>
  <si>
    <t>HUY</t>
  </si>
  <si>
    <t>Cerro Moreno Airport</t>
  </si>
  <si>
    <t>ANF</t>
  </si>
  <si>
    <t>Wangcun Airport</t>
  </si>
  <si>
    <t>CIH</t>
  </si>
  <si>
    <t>Elazig Airport</t>
  </si>
  <si>
    <t>EZS</t>
  </si>
  <si>
    <t>Magenta Airport</t>
  </si>
  <si>
    <t>GEA</t>
  </si>
  <si>
    <t>Kristiansund Airport</t>
  </si>
  <si>
    <t>KSU</t>
  </si>
  <si>
    <t>Shahid Sadooghi Airport</t>
  </si>
  <si>
    <t>AZD</t>
  </si>
  <si>
    <t>Hermanos SerdÃ¡n Airport</t>
  </si>
  <si>
    <t>PBC</t>
  </si>
  <si>
    <t>Cherry Capital Airport</t>
  </si>
  <si>
    <t>TVC</t>
  </si>
  <si>
    <t>Grenada</t>
  </si>
  <si>
    <t>Maurice Bishop Airport</t>
  </si>
  <si>
    <t>GND</t>
  </si>
  <si>
    <t>SalÃ© Airport</t>
  </si>
  <si>
    <t>RBA</t>
  </si>
  <si>
    <t>Dr. Leite Lopes Airport</t>
  </si>
  <si>
    <t>RAO</t>
  </si>
  <si>
    <t>Nelson Mandela Airport</t>
  </si>
  <si>
    <t>RAI</t>
  </si>
  <si>
    <t>Rio Branco Airport</t>
  </si>
  <si>
    <t>RBR</t>
  </si>
  <si>
    <t>Kefalonia Airport</t>
  </si>
  <si>
    <t>EFL</t>
  </si>
  <si>
    <t>Are Ostersund Airport</t>
  </si>
  <si>
    <t>OSD</t>
  </si>
  <si>
    <t>Turku Airport</t>
  </si>
  <si>
    <t>TKU</t>
  </si>
  <si>
    <t>Novy Urengoy Airport</t>
  </si>
  <si>
    <t>NUX</t>
  </si>
  <si>
    <t>Grande Prairie Airport</t>
  </si>
  <si>
    <t>YQU</t>
  </si>
  <si>
    <t>Charlottesville Airport</t>
  </si>
  <si>
    <t>CHO</t>
  </si>
  <si>
    <t>Sibulan Airport</t>
  </si>
  <si>
    <t>DGT</t>
  </si>
  <si>
    <t>Birsa Munda Airport</t>
  </si>
  <si>
    <t>IXR</t>
  </si>
  <si>
    <t>Eagle County Regional Airport</t>
  </si>
  <si>
    <t>EGE</t>
  </si>
  <si>
    <t>Carcassonne en Pays Cathare Airport</t>
  </si>
  <si>
    <t>CCF</t>
  </si>
  <si>
    <t>Port Hedland Airport</t>
  </si>
  <si>
    <t>PHE</t>
  </si>
  <si>
    <t>Sam Ratulangi Airport</t>
  </si>
  <si>
    <t>MDC</t>
  </si>
  <si>
    <t>Bismarck Municipal Airport</t>
  </si>
  <si>
    <t>BIS</t>
  </si>
  <si>
    <t>Maharana Pratap Airport</t>
  </si>
  <si>
    <t>UDR</t>
  </si>
  <si>
    <t>Suriname</t>
  </si>
  <si>
    <t>Johan Adolf Pengel Lufthaven Airport</t>
  </si>
  <si>
    <t>PBM</t>
  </si>
  <si>
    <t>Los Garzones Airport</t>
  </si>
  <si>
    <t>MTR</t>
  </si>
  <si>
    <t>Rivesaltes Airport</t>
  </si>
  <si>
    <t>PGF</t>
  </si>
  <si>
    <t>Qingshan Airport</t>
  </si>
  <si>
    <t>XIC</t>
  </si>
  <si>
    <t>VÃ¡gar Airport</t>
  </si>
  <si>
    <t>FAE</t>
  </si>
  <si>
    <t>Helsingborg Airport</t>
  </si>
  <si>
    <t>AGH</t>
  </si>
  <si>
    <t>Concepcion Airport</t>
  </si>
  <si>
    <t>CCP</t>
  </si>
  <si>
    <t>Almirante Marco AndrÃ©s Zar Airport</t>
  </si>
  <si>
    <t>REL</t>
  </si>
  <si>
    <t>BahÃ­as de Huatulco Airport</t>
  </si>
  <si>
    <t>HUX</t>
  </si>
  <si>
    <t>Dehong Mangshi Airport</t>
  </si>
  <si>
    <t>LUM</t>
  </si>
  <si>
    <t>Herat Airport</t>
  </si>
  <si>
    <t>HEA</t>
  </si>
  <si>
    <t>Bancasi Airport</t>
  </si>
  <si>
    <t>BXU</t>
  </si>
  <si>
    <t>Husein Sastranegara Airport</t>
  </si>
  <si>
    <t>BDO</t>
  </si>
  <si>
    <t>Monterey Peninsula Airport</t>
  </si>
  <si>
    <t>MRY</t>
  </si>
  <si>
    <t>Prof. Eribelto Manoel Reino Airport</t>
  </si>
  <si>
    <t>SJP</t>
  </si>
  <si>
    <t>Madurai Airport</t>
  </si>
  <si>
    <t>IXM</t>
  </si>
  <si>
    <t>Sir Seretse Khama Airport</t>
  </si>
  <si>
    <t>GBE</t>
  </si>
  <si>
    <t>Boulder City Municipal Airport</t>
  </si>
  <si>
    <t>BLD</t>
  </si>
  <si>
    <t>Brigadeiro Lysias Rodrigues Airport</t>
  </si>
  <si>
    <t>PMW</t>
  </si>
  <si>
    <t>Molde Airport</t>
  </si>
  <si>
    <t>MOL</t>
  </si>
  <si>
    <t>Alykel Airport</t>
  </si>
  <si>
    <t>NSK</t>
  </si>
  <si>
    <t>Stewart Airport</t>
  </si>
  <si>
    <t>Zhanjiang Airport</t>
  </si>
  <si>
    <t>ZHA</t>
  </si>
  <si>
    <t>Augusta Regional Airport</t>
  </si>
  <si>
    <t>AGS</t>
  </si>
  <si>
    <t>Qassim Regional Airport</t>
  </si>
  <si>
    <t>ELQ</t>
  </si>
  <si>
    <t>Ferrand Airport</t>
  </si>
  <si>
    <t>CFE</t>
  </si>
  <si>
    <t>Vincenzo Magliocco Airport</t>
  </si>
  <si>
    <t>CIY</t>
  </si>
  <si>
    <t>La Romana Airport</t>
  </si>
  <si>
    <t>LRM</t>
  </si>
  <si>
    <t>Grand Bahama Airport</t>
  </si>
  <si>
    <t>FPO</t>
  </si>
  <si>
    <t>San SebastiÃ¡n Airport</t>
  </si>
  <si>
    <t>EAS</t>
  </si>
  <si>
    <t>SantarÃ©m Airport</t>
  </si>
  <si>
    <t>STM</t>
  </si>
  <si>
    <t>Daytona Beach Airport</t>
  </si>
  <si>
    <t>DAB</t>
  </si>
  <si>
    <t>Barre</t>
  </si>
  <si>
    <t>AVP</t>
  </si>
  <si>
    <t>Comandante Armando Tola Airport</t>
  </si>
  <si>
    <t>FTE</t>
  </si>
  <si>
    <t>Salalah Airport</t>
  </si>
  <si>
    <t>Prince George Airport</t>
  </si>
  <si>
    <t>YXS</t>
  </si>
  <si>
    <t>Ha'il Regional Airport</t>
  </si>
  <si>
    <t>HAS</t>
  </si>
  <si>
    <t>MacaÃ© Airport</t>
  </si>
  <si>
    <t>MEA</t>
  </si>
  <si>
    <t>Reykjavik Domestic Airport</t>
  </si>
  <si>
    <t>RKV</t>
  </si>
  <si>
    <t>Nantucket Memorial Airport</t>
  </si>
  <si>
    <t>ACK</t>
  </si>
  <si>
    <t>Lafayette Regional Airport</t>
  </si>
  <si>
    <t>LFT</t>
  </si>
  <si>
    <t>Austria</t>
  </si>
  <si>
    <t>KÃ¤rnten Airport</t>
  </si>
  <si>
    <t>KLU</t>
  </si>
  <si>
    <t>Jorge Amado Airport</t>
  </si>
  <si>
    <t>IOS</t>
  </si>
  <si>
    <t>Daniel Oduber QuirÃ³s Airport</t>
  </si>
  <si>
    <t>LIR</t>
  </si>
  <si>
    <t>Zanzibar Airport</t>
  </si>
  <si>
    <t>ZNZ</t>
  </si>
  <si>
    <t>Lic. JesÃºs TerÃ¡n Peredo Airport</t>
  </si>
  <si>
    <t>AGU</t>
  </si>
  <si>
    <t>Hamilton Airport</t>
  </si>
  <si>
    <t>HLZ</t>
  </si>
  <si>
    <t>Bierset Airport</t>
  </si>
  <si>
    <t>LGG</t>
  </si>
  <si>
    <t>Taâ€™if Regional Airport</t>
  </si>
  <si>
    <t>TIF</t>
  </si>
  <si>
    <t>Belp Airport</t>
  </si>
  <si>
    <t>BRN</t>
  </si>
  <si>
    <t>Mykonos Airport</t>
  </si>
  <si>
    <t>JMK</t>
  </si>
  <si>
    <t>Norwich Airport</t>
  </si>
  <si>
    <t>NWI</t>
  </si>
  <si>
    <t>Najran Domestic Airport</t>
  </si>
  <si>
    <t>EAM</t>
  </si>
  <si>
    <t>Awasa Airport</t>
  </si>
  <si>
    <t>AWA</t>
  </si>
  <si>
    <t>Rennes Saint-Jacques Airport</t>
  </si>
  <si>
    <t>RNS</t>
  </si>
  <si>
    <t>Aspen Airport</t>
  </si>
  <si>
    <t>ASE</t>
  </si>
  <si>
    <t>Turks and Caicos Islands</t>
  </si>
  <si>
    <t>Providenciales Airport</t>
  </si>
  <si>
    <t>PLS</t>
  </si>
  <si>
    <t>Aden Airport</t>
  </si>
  <si>
    <t>ADE</t>
  </si>
  <si>
    <t>Pamplona Airport</t>
  </si>
  <si>
    <t>PNA</t>
  </si>
  <si>
    <t>Legazpi Airport</t>
  </si>
  <si>
    <t>LGP</t>
  </si>
  <si>
    <t>Tri-Cities Airport</t>
  </si>
  <si>
    <t>TRI</t>
  </si>
  <si>
    <t>City of Derry Airport</t>
  </si>
  <si>
    <t>LDY</t>
  </si>
  <si>
    <t>Roberts Field Airport</t>
  </si>
  <si>
    <t>RDM</t>
  </si>
  <si>
    <t>Sud Corse Airport</t>
  </si>
  <si>
    <t>FSC</t>
  </si>
  <si>
    <t>Diego Aracena Airport</t>
  </si>
  <si>
    <t>IQQ</t>
  </si>
  <si>
    <t>Aristarchos Airport</t>
  </si>
  <si>
    <t>SMI</t>
  </si>
  <si>
    <t>Zhoushan Airport</t>
  </si>
  <si>
    <t>HSN</t>
  </si>
  <si>
    <t>Cozumel Airport</t>
  </si>
  <si>
    <t>CZM</t>
  </si>
  <si>
    <t>General Leobardo C. Ruiz Airport</t>
  </si>
  <si>
    <t>ZCL</t>
  </si>
  <si>
    <t>Napier Airport</t>
  </si>
  <si>
    <t>NPE</t>
  </si>
  <si>
    <t>Glass Field Airport</t>
  </si>
  <si>
    <t>YPA</t>
  </si>
  <si>
    <t>Belize</t>
  </si>
  <si>
    <t>Philip S. W. Goldson Airport</t>
  </si>
  <si>
    <t>BZE</t>
  </si>
  <si>
    <t>Montenegro</t>
  </si>
  <si>
    <t>Podgorica Airport</t>
  </si>
  <si>
    <t>TGD</t>
  </si>
  <si>
    <t>Oued Irara Airport</t>
  </si>
  <si>
    <t>HME</t>
  </si>
  <si>
    <t>London Airport</t>
  </si>
  <si>
    <t>YXU</t>
  </si>
  <si>
    <t>Mariscal Lamar Airport</t>
  </si>
  <si>
    <t>CUE</t>
  </si>
  <si>
    <t>Lourdes Airport</t>
  </si>
  <si>
    <t>LDE</t>
  </si>
  <si>
    <t>Rafael HernÃ¡ndez Airport</t>
  </si>
  <si>
    <t>BQN</t>
  </si>
  <si>
    <t>Robert L. Bradshaw Airport</t>
  </si>
  <si>
    <t>SKB</t>
  </si>
  <si>
    <t>Wattay Airport</t>
  </si>
  <si>
    <t>VTE</t>
  </si>
  <si>
    <t>General Santos Airport</t>
  </si>
  <si>
    <t>Kaunas Airport</t>
  </si>
  <si>
    <t>KUN</t>
  </si>
  <si>
    <t>Great Barrier Reef Airport</t>
  </si>
  <si>
    <t>HTI</t>
  </si>
  <si>
    <t>Memmingen Airport</t>
  </si>
  <si>
    <t>FMM</t>
  </si>
  <si>
    <t>Walker Field Airport</t>
  </si>
  <si>
    <t>GJT</t>
  </si>
  <si>
    <t>Fayetteville Regional Airport</t>
  </si>
  <si>
    <t>FAY</t>
  </si>
  <si>
    <t>Abruzzo Airport</t>
  </si>
  <si>
    <t>PSR</t>
  </si>
  <si>
    <t>Killeen Airport</t>
  </si>
  <si>
    <t>GRK</t>
  </si>
  <si>
    <t>Malatya ErhaÃ§ Airport</t>
  </si>
  <si>
    <t>MLX</t>
  </si>
  <si>
    <t>Newquay Cornwall Airport</t>
  </si>
  <si>
    <t>NQY</t>
  </si>
  <si>
    <t>MartÃ­n Miguel de GÃ¼emes Airport</t>
  </si>
  <si>
    <t>SLA</t>
  </si>
  <si>
    <t>Key West Airport</t>
  </si>
  <si>
    <t>EYW</t>
  </si>
  <si>
    <t>Enshi Airport</t>
  </si>
  <si>
    <t>ENH</t>
  </si>
  <si>
    <t>Dongsheng Airport</t>
  </si>
  <si>
    <t>DSN</t>
  </si>
  <si>
    <t>General Francisco Javier Mina Airport</t>
  </si>
  <si>
    <t>TAM</t>
  </si>
  <si>
    <t>Prince Said Ibrahim Airport</t>
  </si>
  <si>
    <t>Yeager Airport</t>
  </si>
  <si>
    <t>CRW</t>
  </si>
  <si>
    <t>Valladolid Airport</t>
  </si>
  <si>
    <t>VLL</t>
  </si>
  <si>
    <t>La Tontouta Airport</t>
  </si>
  <si>
    <t>NOU</t>
  </si>
  <si>
    <t>Francisco Sarabia Airport</t>
  </si>
  <si>
    <t>TRC</t>
  </si>
  <si>
    <t>General Wayne A. Downing Airport</t>
  </si>
  <si>
    <t>PIA</t>
  </si>
  <si>
    <t>Boukhalef Airport</t>
  </si>
  <si>
    <t>Central Illinois Regional Airport</t>
  </si>
  <si>
    <t>BMI</t>
  </si>
  <si>
    <t>Shreveport Regional Airport</t>
  </si>
  <si>
    <t>SHV</t>
  </si>
  <si>
    <t>Bintulu Airport</t>
  </si>
  <si>
    <t>BTU</t>
  </si>
  <si>
    <t>Sultan Mahmud Airport</t>
  </si>
  <si>
    <t>Venezuela</t>
  </si>
  <si>
    <t>Manuel Carlos Piar Airport</t>
  </si>
  <si>
    <t>PZO</t>
  </si>
  <si>
    <t>General Rodolfo SÃ¡nchez Taboada Airport</t>
  </si>
  <si>
    <t>MXL</t>
  </si>
  <si>
    <t>French Guiana</t>
  </si>
  <si>
    <t>Cayenne â€“ FÃ©lix EbouÃ© Airport</t>
  </si>
  <si>
    <t>CAY</t>
  </si>
  <si>
    <t>Rabah Bitat Airport</t>
  </si>
  <si>
    <t>AAE</t>
  </si>
  <si>
    <t>PhÃº BÃ i Airport</t>
  </si>
  <si>
    <t>HUI</t>
  </si>
  <si>
    <t>Arturo Michelena Airport</t>
  </si>
  <si>
    <t>VLN</t>
  </si>
  <si>
    <t>XoxocotlÃ¡n Airport</t>
  </si>
  <si>
    <t>OAX</t>
  </si>
  <si>
    <t>Abbotsford Airport</t>
  </si>
  <si>
    <t>YXX</t>
  </si>
  <si>
    <t>Beihai Airport</t>
  </si>
  <si>
    <t>BHY</t>
  </si>
  <si>
    <t>Butmir Airport</t>
  </si>
  <si>
    <t>SJJ</t>
  </si>
  <si>
    <t>Turany Airport</t>
  </si>
  <si>
    <t>BRQ</t>
  </si>
  <si>
    <t>Yuncheng Airport</t>
  </si>
  <si>
    <t>YCU</t>
  </si>
  <si>
    <t>Guanyin Airport</t>
  </si>
  <si>
    <t>XUZ</t>
  </si>
  <si>
    <t>Hewanorra Airport</t>
  </si>
  <si>
    <t>UVF</t>
  </si>
  <si>
    <t>Flamingo Airport</t>
  </si>
  <si>
    <t>BON</t>
  </si>
  <si>
    <t>Malvinas Argentinas Airport</t>
  </si>
  <si>
    <t>USH</t>
  </si>
  <si>
    <t>Mineralnye Vody Airport</t>
  </si>
  <si>
    <t>MRV</t>
  </si>
  <si>
    <t>Saarbrucken Airport</t>
  </si>
  <si>
    <t>SCN</t>
  </si>
  <si>
    <t>Tri-Cities (Washington) Airport</t>
  </si>
  <si>
    <t>PSC</t>
  </si>
  <si>
    <t>Coronel FAP Francisco Secada Vignetta Airport</t>
  </si>
  <si>
    <t>IQT</t>
  </si>
  <si>
    <t>Ndjili Airport</t>
  </si>
  <si>
    <t>FIH</t>
  </si>
  <si>
    <t>Manuel MÃ¡rquez de LeÃ³n Airport</t>
  </si>
  <si>
    <t>LAP</t>
  </si>
  <si>
    <t>Ancona Airport</t>
  </si>
  <si>
    <t>AOI</t>
  </si>
  <si>
    <t>Fort Wayne Airport</t>
  </si>
  <si>
    <t>FWA</t>
  </si>
  <si>
    <t>Wilson Airport</t>
  </si>
  <si>
    <t>WIL</t>
  </si>
  <si>
    <t>Camilo Daza Airport</t>
  </si>
  <si>
    <t>CUC</t>
  </si>
  <si>
    <t>El Trompillo Airport</t>
  </si>
  <si>
    <t>SRZ</t>
  </si>
  <si>
    <t>Huangyan Luqiao Airport</t>
  </si>
  <si>
    <t>HYN</t>
  </si>
  <si>
    <t>FÃ¨sâ€“SaÃ¯s Airport</t>
  </si>
  <si>
    <t>FEZ</t>
  </si>
  <si>
    <t>Yakoutsk Airport</t>
  </si>
  <si>
    <t>YKS</t>
  </si>
  <si>
    <t>Raipur Airport</t>
  </si>
  <si>
    <t>RPR</t>
  </si>
  <si>
    <t>MatecaÃ±a Airport</t>
  </si>
  <si>
    <t>PEI</t>
  </si>
  <si>
    <t>Labuan Airport</t>
  </si>
  <si>
    <t>LBU</t>
  </si>
  <si>
    <t>Dongshan Airport</t>
  </si>
  <si>
    <t>HLD</t>
  </si>
  <si>
    <t>Rapid City Regional Airport</t>
  </si>
  <si>
    <t>RAP</t>
  </si>
  <si>
    <t>Benniu Airport</t>
  </si>
  <si>
    <t>CZX</t>
  </si>
  <si>
    <t>Diosdado Macapagal Airport</t>
  </si>
  <si>
    <t>Chinggis Khaan Airport</t>
  </si>
  <si>
    <t>Nanping Wuyishan Airport</t>
  </si>
  <si>
    <t>WUS</t>
  </si>
  <si>
    <t>MacapÃ¡ Airport</t>
  </si>
  <si>
    <t>MCP</t>
  </si>
  <si>
    <t>Palmerston North Airport</t>
  </si>
  <si>
    <t>PMR</t>
  </si>
  <si>
    <t>Lubeck Blankensee Airport</t>
  </si>
  <si>
    <t>LBC</t>
  </si>
  <si>
    <t>Outagamie County Regional Airport</t>
  </si>
  <si>
    <t>ATW</t>
  </si>
  <si>
    <t>Toncontin Airport</t>
  </si>
  <si>
    <t>TGU</t>
  </si>
  <si>
    <t>Reggio Calabria Airport</t>
  </si>
  <si>
    <t>REG</t>
  </si>
  <si>
    <t>John C. Munro Airport</t>
  </si>
  <si>
    <t>YHM</t>
  </si>
  <si>
    <t>Sultan Iskandar Muda Airport</t>
  </si>
  <si>
    <t>BTJ</t>
  </si>
  <si>
    <t>Blackpool Airport</t>
  </si>
  <si>
    <t>BLK</t>
  </si>
  <si>
    <t>Narvik Airport</t>
  </si>
  <si>
    <t>EVE</t>
  </si>
  <si>
    <t>Frederico Fellini Airport</t>
  </si>
  <si>
    <t>RMI</t>
  </si>
  <si>
    <t>SimÃ³n BolÃ­var Airport</t>
  </si>
  <si>
    <t>SMR</t>
  </si>
  <si>
    <t>Varanasi Airport</t>
  </si>
  <si>
    <t>VNS</t>
  </si>
  <si>
    <t>Haugesund Airport</t>
  </si>
  <si>
    <t>HAU</t>
  </si>
  <si>
    <t>Yiwu Airport</t>
  </si>
  <si>
    <t>YIW</t>
  </si>
  <si>
    <t>Mobile Regional Airport</t>
  </si>
  <si>
    <t>MOB</t>
  </si>
  <si>
    <t>Imphal Airport</t>
  </si>
  <si>
    <t>IMF</t>
  </si>
  <si>
    <t>Missoula Airport</t>
  </si>
  <si>
    <t>MSO</t>
  </si>
  <si>
    <t>Shahid Ashrafi Esfahani Airport</t>
  </si>
  <si>
    <t>KSH</t>
  </si>
  <si>
    <t>Jackson Hole Airport</t>
  </si>
  <si>
    <t>JAC</t>
  </si>
  <si>
    <t>Aarhus Airport</t>
  </si>
  <si>
    <t>AAR</t>
  </si>
  <si>
    <t>Greater Moncton Airport</t>
  </si>
  <si>
    <t>YQM</t>
  </si>
  <si>
    <t>Tivat Airport</t>
  </si>
  <si>
    <t>TIV</t>
  </si>
  <si>
    <t>Rogue Valley Airport</t>
  </si>
  <si>
    <t>MFR</t>
  </si>
  <si>
    <t>Kashi Airport</t>
  </si>
  <si>
    <t>KHG</t>
  </si>
  <si>
    <t>HyÃ¨res Airport</t>
  </si>
  <si>
    <t>TLN</t>
  </si>
  <si>
    <t>Odysseas Elytis Airport</t>
  </si>
  <si>
    <t>MJT</t>
  </si>
  <si>
    <t>Mesa Gateway Airport</t>
  </si>
  <si>
    <t>AZA</t>
  </si>
  <si>
    <t>Veer Savarkar Airport</t>
  </si>
  <si>
    <t>Sakhalinsk Airport</t>
  </si>
  <si>
    <t>UUS</t>
  </si>
  <si>
    <t>Fort Worth Alliance Airport</t>
  </si>
  <si>
    <t>AFW</t>
  </si>
  <si>
    <t>Asheville Regional Airport</t>
  </si>
  <si>
    <t>AVL</t>
  </si>
  <si>
    <t>Koaice Airport</t>
  </si>
  <si>
    <t>KSC</t>
  </si>
  <si>
    <t>Robert Gabriel Mugabe Airport</t>
  </si>
  <si>
    <t>Roanoke Regional Airport</t>
  </si>
  <si>
    <t>ROA</t>
  </si>
  <si>
    <t>Grand Canyon National Park Airport</t>
  </si>
  <si>
    <t>GCN</t>
  </si>
  <si>
    <t>Zaragoza Airport</t>
  </si>
  <si>
    <t>ZAZ</t>
  </si>
  <si>
    <t>Harvi Civil Airport</t>
  </si>
  <si>
    <t>BDQ</t>
  </si>
  <si>
    <t>Erzurum Airport</t>
  </si>
  <si>
    <t>ERZ</t>
  </si>
  <si>
    <t>West Midlands Airport</t>
  </si>
  <si>
    <t>CVT</t>
  </si>
  <si>
    <t>Skopje Airport</t>
  </si>
  <si>
    <t>SKP</t>
  </si>
  <si>
    <t>SÃ©nou Airport</t>
  </si>
  <si>
    <t>BKO</t>
  </si>
  <si>
    <t>Lusaka Airport</t>
  </si>
  <si>
    <t>Amami Airport</t>
  </si>
  <si>
    <t>ASJ</t>
  </si>
  <si>
    <t>Belmont Governador Jorge Teixeira de Oliveira Airport</t>
  </si>
  <si>
    <t>PVH</t>
  </si>
  <si>
    <t>Ivato Airport</t>
  </si>
  <si>
    <t>TNR</t>
  </si>
  <si>
    <t>Cataratas del Iguazu Airport</t>
  </si>
  <si>
    <t>IGR</t>
  </si>
  <si>
    <t>Yeosu Airport</t>
  </si>
  <si>
    <t>RSU</t>
  </si>
  <si>
    <t>Donetsk Airport</t>
  </si>
  <si>
    <t>DOK</t>
  </si>
  <si>
    <t>East London Airport</t>
  </si>
  <si>
    <t>ELS</t>
  </si>
  <si>
    <t>Pirkkala Airport</t>
  </si>
  <si>
    <t>TMP</t>
  </si>
  <si>
    <t>Tbilisi Airport</t>
  </si>
  <si>
    <t>TBS</t>
  </si>
  <si>
    <t>Ireland West Knock Airport</t>
  </si>
  <si>
    <t>NOC</t>
  </si>
  <si>
    <t>Vityazevo Airport</t>
  </si>
  <si>
    <t>AAQ</t>
  </si>
  <si>
    <t>Abo Sumbel Airport</t>
  </si>
  <si>
    <t>ABS</t>
  </si>
  <si>
    <t>Thunder Bay Airport</t>
  </si>
  <si>
    <t>YQT</t>
  </si>
  <si>
    <t>Sandakan Airport</t>
  </si>
  <si>
    <t>SDK</t>
  </si>
  <si>
    <t>Chattanooga Metropolitan Airport</t>
  </si>
  <si>
    <t>CHA</t>
  </si>
  <si>
    <t>Zamboanga Airport</t>
  </si>
  <si>
    <t>ZAM</t>
  </si>
  <si>
    <t>Manas Airport</t>
  </si>
  <si>
    <t>FRU</t>
  </si>
  <si>
    <t>Yulin Airport</t>
  </si>
  <si>
    <t>UYN</t>
  </si>
  <si>
    <t>Presidente PerÃ³n Airport</t>
  </si>
  <si>
    <t>NQN</t>
  </si>
  <si>
    <t>Tabuk Regional Airport</t>
  </si>
  <si>
    <t>TUU</t>
  </si>
  <si>
    <t>Mt. Fuji Shizuoka Airport</t>
  </si>
  <si>
    <t>FSZ</t>
  </si>
  <si>
    <t>Forli Airport</t>
  </si>
  <si>
    <t>FRL</t>
  </si>
  <si>
    <t>Alice Springs Airport</t>
  </si>
  <si>
    <t>ASP</t>
  </si>
  <si>
    <t>South Bend Regional Airport</t>
  </si>
  <si>
    <t>SBN</t>
  </si>
  <si>
    <t>Cam Ranh Airport</t>
  </si>
  <si>
    <t>Kerman Airport</t>
  </si>
  <si>
    <t>KER</t>
  </si>
  <si>
    <t>Sde Dov Airport</t>
  </si>
  <si>
    <t>SDV</t>
  </si>
  <si>
    <t>PyrÃ©nÃ©es Airport</t>
  </si>
  <si>
    <t>PUF</t>
  </si>
  <si>
    <t>Ãngel Albino Corzo Airport</t>
  </si>
  <si>
    <t>TGZ</t>
  </si>
  <si>
    <t>Chandigarh Airport</t>
  </si>
  <si>
    <t>IXC</t>
  </si>
  <si>
    <t>General Francisco J. Mujica Airport</t>
  </si>
  <si>
    <t>MLM</t>
  </si>
  <si>
    <t>Achmad Yani Airport</t>
  </si>
  <si>
    <t>SRG</t>
  </si>
  <si>
    <t>Fort McMurray Airport</t>
  </si>
  <si>
    <t>YMM</t>
  </si>
  <si>
    <t>Bellingham Airport</t>
  </si>
  <si>
    <t>BLI</t>
  </si>
  <si>
    <t>Gustavo Rojas Pinilla Airport</t>
  </si>
  <si>
    <t>ADZ</t>
  </si>
  <si>
    <t>Sanxia Airport</t>
  </si>
  <si>
    <t>YIH</t>
  </si>
  <si>
    <t>JosÃ© MarÃ­a CÃ³rdova Airport</t>
  </si>
  <si>
    <t>SchÃ¶nefeld Airport</t>
  </si>
  <si>
    <t>SXF</t>
  </si>
  <si>
    <t>Teesside Airport</t>
  </si>
  <si>
    <t>MME</t>
  </si>
  <si>
    <t>Friedrichshafen Airport</t>
  </si>
  <si>
    <t>FDH</t>
  </si>
  <si>
    <t>Tokachi Airport</t>
  </si>
  <si>
    <t>OBO</t>
  </si>
  <si>
    <t>Joe Foss Field Airport</t>
  </si>
  <si>
    <t>FSD</t>
  </si>
  <si>
    <t>Ixtapa Airport</t>
  </si>
  <si>
    <t>ZIH</t>
  </si>
  <si>
    <t>Jorge Wilstermann Airport</t>
  </si>
  <si>
    <t>CBB</t>
  </si>
  <si>
    <t>Karratha Airport</t>
  </si>
  <si>
    <t>KTA</t>
  </si>
  <si>
    <t>Juneau Airport</t>
  </si>
  <si>
    <t>JNU</t>
  </si>
  <si>
    <t>Bagdogra Airport</t>
  </si>
  <si>
    <t>Inverness Airport</t>
  </si>
  <si>
    <t>INV</t>
  </si>
  <si>
    <t>Dashuipo Airport</t>
  </si>
  <si>
    <t>WEH</t>
  </si>
  <si>
    <t>Mahlon Sweet Field Airport</t>
  </si>
  <si>
    <t>EUG</t>
  </si>
  <si>
    <t>Tawau Airport</t>
  </si>
  <si>
    <t>TWU</t>
  </si>
  <si>
    <t>Gallatin Field Airport</t>
  </si>
  <si>
    <t>BZN</t>
  </si>
  <si>
    <t>Bolshoye Savino Airport</t>
  </si>
  <si>
    <t>PEE</t>
  </si>
  <si>
    <t>Jammu Airport</t>
  </si>
  <si>
    <t>IXJ</t>
  </si>
  <si>
    <t>Baton Rouge Metropolitan Airport</t>
  </si>
  <si>
    <t>BTR</t>
  </si>
  <si>
    <t>Corpus Christi Airport</t>
  </si>
  <si>
    <t>CRP</t>
  </si>
  <si>
    <t>Austin Straubel Airport</t>
  </si>
  <si>
    <t>GRB</t>
  </si>
  <si>
    <t>Queenstown Airport</t>
  </si>
  <si>
    <t>ZQN</t>
  </si>
  <si>
    <t>Oulu Airport</t>
  </si>
  <si>
    <t>OUL</t>
  </si>
  <si>
    <t>Hector Airport</t>
  </si>
  <si>
    <t>FAR</t>
  </si>
  <si>
    <t>Douala Airport</t>
  </si>
  <si>
    <t>DLA</t>
  </si>
  <si>
    <t>Visakhapatnam Airport</t>
  </si>
  <si>
    <t>Hosea Kutako Airport</t>
  </si>
  <si>
    <t>WDH</t>
  </si>
  <si>
    <t>City Airport</t>
  </si>
  <si>
    <t>GSE</t>
  </si>
  <si>
    <t>Pattimura Airport</t>
  </si>
  <si>
    <t>AMQ</t>
  </si>
  <si>
    <t>Rockhampton Airport</t>
  </si>
  <si>
    <t>ROK</t>
  </si>
  <si>
    <t>RamÃ³n Villeda Morales Airport</t>
  </si>
  <si>
    <t>SAP</t>
  </si>
  <si>
    <t>Eduardo Gomes Airport</t>
  </si>
  <si>
    <t>MAO</t>
  </si>
  <si>
    <t>Chiang Rai Airport</t>
  </si>
  <si>
    <t>Isle of Man Airport</t>
  </si>
  <si>
    <t>IOM</t>
  </si>
  <si>
    <t>Miller Airport</t>
  </si>
  <si>
    <t>MFE</t>
  </si>
  <si>
    <t>Tallahassee Regional Airport</t>
  </si>
  <si>
    <t>TLH</t>
  </si>
  <si>
    <t>Puerto Princesa Airport</t>
  </si>
  <si>
    <t>PPS</t>
  </si>
  <si>
    <t>Gabon</t>
  </si>
  <si>
    <t>Leon Mba Airport</t>
  </si>
  <si>
    <t>LBV</t>
  </si>
  <si>
    <t>Teniente Luis Candelaria Airport</t>
  </si>
  <si>
    <t>BRC</t>
  </si>
  <si>
    <t>Rostov on Don Airport</t>
  </si>
  <si>
    <t>ROV</t>
  </si>
  <si>
    <t>Ronchi dei Legionari Pietro Savorgnan di BrazzÃ Airport</t>
  </si>
  <si>
    <t>TRS</t>
  </si>
  <si>
    <t>Pakse Airport</t>
  </si>
  <si>
    <t>PKZ</t>
  </si>
  <si>
    <t>Londrina Airport</t>
  </si>
  <si>
    <t>LDB</t>
  </si>
  <si>
    <t>Valley Airport</t>
  </si>
  <si>
    <t>HRL</t>
  </si>
  <si>
    <t>Abraham GonzÃ¡lez Airport</t>
  </si>
  <si>
    <t>CJS</t>
  </si>
  <si>
    <t>Santorini National Airport</t>
  </si>
  <si>
    <t>JTR</t>
  </si>
  <si>
    <t>Singerbhil Airport</t>
  </si>
  <si>
    <t>IXA</t>
  </si>
  <si>
    <t>Van Ferit Melen Airport</t>
  </si>
  <si>
    <t>VAN</t>
  </si>
  <si>
    <t>Northwest Florida Regional Airport</t>
  </si>
  <si>
    <t>VPS</t>
  </si>
  <si>
    <t>Dunedin Airport</t>
  </si>
  <si>
    <t>DUD</t>
  </si>
  <si>
    <t>Cluj-Napoca Airport</t>
  </si>
  <si>
    <t>CLJ</t>
  </si>
  <si>
    <t>Lehigh Valley Airport</t>
  </si>
  <si>
    <t>ABE</t>
  </si>
  <si>
    <t>Trichy Airport</t>
  </si>
  <si>
    <t>TRZ</t>
  </si>
  <si>
    <t>Boracay Airport</t>
  </si>
  <si>
    <t>MPH</t>
  </si>
  <si>
    <t>Santa Barbara Municipal Airport</t>
  </si>
  <si>
    <t>SBA</t>
  </si>
  <si>
    <t>Fukushima Airport</t>
  </si>
  <si>
    <t>FKS</t>
  </si>
  <si>
    <t>Pampulha Airport</t>
  </si>
  <si>
    <t>PLU</t>
  </si>
  <si>
    <t>Clearwater Airport</t>
  </si>
  <si>
    <t>PIE</t>
  </si>
  <si>
    <t>Frank PaÃ­s Airport</t>
  </si>
  <si>
    <t>HOG</t>
  </si>
  <si>
    <t>UberlÃ¢ndia Airport</t>
  </si>
  <si>
    <t>UDI</t>
  </si>
  <si>
    <t>Raja Sansi Airport</t>
  </si>
  <si>
    <t>Billy Bishop Toronto City Airport</t>
  </si>
  <si>
    <t>YTZ</t>
  </si>
  <si>
    <t>Saipan Airport</t>
  </si>
  <si>
    <t>SPN</t>
  </si>
  <si>
    <t>Krabi Airport</t>
  </si>
  <si>
    <t>Silvio Pettirossi Airport</t>
  </si>
  <si>
    <t>HÃ¶rsching Airport</t>
  </si>
  <si>
    <t>LNZ</t>
  </si>
  <si>
    <t>Erkilet Airport</t>
  </si>
  <si>
    <t>ASR</t>
  </si>
  <si>
    <t>Bangor Airport</t>
  </si>
  <si>
    <t>BGR</t>
  </si>
  <si>
    <t>Mihail Kogalniceanu Airport</t>
  </si>
  <si>
    <t>CND</t>
  </si>
  <si>
    <t>Bandar Abbas Airport</t>
  </si>
  <si>
    <t>BND</t>
  </si>
  <si>
    <t>Gobernador Francisco Gabrielli El Plumerillo Airport</t>
  </si>
  <si>
    <t>MDZ</t>
  </si>
  <si>
    <t>King Abdullah Bin Abdulaziz Airport</t>
  </si>
  <si>
    <t>GIZ</t>
  </si>
  <si>
    <t>Rick Husband Airport</t>
  </si>
  <si>
    <t>AMA</t>
  </si>
  <si>
    <t>Exeter Airport</t>
  </si>
  <si>
    <t>EXT</t>
  </si>
  <si>
    <t>Springfield Airport</t>
  </si>
  <si>
    <t>SGF</t>
  </si>
  <si>
    <t>Lviv Airport</t>
  </si>
  <si>
    <t>LWO</t>
  </si>
  <si>
    <t>Billings Logan Airport</t>
  </si>
  <si>
    <t>BIL</t>
  </si>
  <si>
    <t>Teresina Airport</t>
  </si>
  <si>
    <t>THE</t>
  </si>
  <si>
    <t>Bermuda</t>
  </si>
  <si>
    <t>L.F. Wade Airport</t>
  </si>
  <si>
    <t>BDA</t>
  </si>
  <si>
    <t>Chaoyangchuan Airport</t>
  </si>
  <si>
    <t>YNJ</t>
  </si>
  <si>
    <t>El Tepual Airport</t>
  </si>
  <si>
    <t>PMC</t>
  </si>
  <si>
    <t>Moldova</t>
  </si>
  <si>
    <t>Chisinau Airport</t>
  </si>
  <si>
    <t>KIV</t>
  </si>
  <si>
    <t>Sibu Airport</t>
  </si>
  <si>
    <t>Sultan Abdul Aziz Shah Airport</t>
  </si>
  <si>
    <t>SZB</t>
  </si>
  <si>
    <t>Bucaramanga Palonegro Airport</t>
  </si>
  <si>
    <t>BGA</t>
  </si>
  <si>
    <t>Gulfport Airport</t>
  </si>
  <si>
    <t>GPT</t>
  </si>
  <si>
    <t>Marsa Alam Airport</t>
  </si>
  <si>
    <t>RMF</t>
  </si>
  <si>
    <t>Oguzeli Airport</t>
  </si>
  <si>
    <t>GZT</t>
  </si>
  <si>
    <t>Alesund Airport</t>
  </si>
  <si>
    <t>AES</t>
  </si>
  <si>
    <t>General Roberto Fierro Villalobos Airport</t>
  </si>
  <si>
    <t>CUU</t>
  </si>
  <si>
    <t>Tajikistan</t>
  </si>
  <si>
    <t>Dushanbe Airport</t>
  </si>
  <si>
    <t>DYU</t>
  </si>
  <si>
    <t>El Alto Airport</t>
  </si>
  <si>
    <t>LPB</t>
  </si>
  <si>
    <t>Lok Nayak Jayaprakash Airport</t>
  </si>
  <si>
    <t>PAT</t>
  </si>
  <si>
    <t>Kristiansand Airport</t>
  </si>
  <si>
    <t>KRS</t>
  </si>
  <si>
    <t>Bandar Udara Sentani Airport</t>
  </si>
  <si>
    <t>DJJ</t>
  </si>
  <si>
    <t>Viru Viru Airport</t>
  </si>
  <si>
    <t>VVI</t>
  </si>
  <si>
    <t>Umea Airport</t>
  </si>
  <si>
    <t>UME</t>
  </si>
  <si>
    <t>Mangalore Airport</t>
  </si>
  <si>
    <t>General Juan N. Ãlvare Airport</t>
  </si>
  <si>
    <t>ACA</t>
  </si>
  <si>
    <t>Yamaguchi Ube Airport</t>
  </si>
  <si>
    <t>UBJ</t>
  </si>
  <si>
    <t>Midland Airport</t>
  </si>
  <si>
    <t>MAF</t>
  </si>
  <si>
    <t>Fairbanks Airport</t>
  </si>
  <si>
    <t>FAI</t>
  </si>
  <si>
    <t>Simferopol Airport</t>
  </si>
  <si>
    <t>SIP</t>
  </si>
  <si>
    <t>Ministro Victor Konder Airport</t>
  </si>
  <si>
    <t>NVT</t>
  </si>
  <si>
    <t>Daniel Z. Romualdez Airport</t>
  </si>
  <si>
    <t>TAC</t>
  </si>
  <si>
    <t>Parayas Airport</t>
  </si>
  <si>
    <t>SDR</t>
  </si>
  <si>
    <t>Antigua and Barbuda</t>
  </si>
  <si>
    <t>V. C. Bird Airport</t>
  </si>
  <si>
    <t>ANU</t>
  </si>
  <si>
    <t>Ã‡arsamba Airport</t>
  </si>
  <si>
    <t>SZF</t>
  </si>
  <si>
    <t>JoÃ£o Paulo II Airport</t>
  </si>
  <si>
    <t>PDL</t>
  </si>
  <si>
    <t>Devi Ahilyabai Holkar Airport</t>
  </si>
  <si>
    <t>IDR</t>
  </si>
  <si>
    <t>Jouf Domestic Airport</t>
  </si>
  <si>
    <t>AJF</t>
  </si>
  <si>
    <t>Peshawar Airport</t>
  </si>
  <si>
    <t>PEW</t>
  </si>
  <si>
    <t>Turkmenistan</t>
  </si>
  <si>
    <t>Ashgabat Airport</t>
  </si>
  <si>
    <t>ASB</t>
  </si>
  <si>
    <t>Ioannis Kapodistrias Airport</t>
  </si>
  <si>
    <t>CFU</t>
  </si>
  <si>
    <t>Al Maktoum Airport</t>
  </si>
  <si>
    <t>Blue Grass Airport</t>
  </si>
  <si>
    <t>LEX</t>
  </si>
  <si>
    <t>Dionysios Solomos Airport</t>
  </si>
  <si>
    <t>ZTH</t>
  </si>
  <si>
    <t>General Rafael Buelna Airport</t>
  </si>
  <si>
    <t>MZT</t>
  </si>
  <si>
    <t>Roschino Airport</t>
  </si>
  <si>
    <t>TJM</t>
  </si>
  <si>
    <t>Guernsey Airport</t>
  </si>
  <si>
    <t>GCI</t>
  </si>
  <si>
    <t>Sunshine Coast Airport</t>
  </si>
  <si>
    <t>MCY</t>
  </si>
  <si>
    <t>Presidente Castro Pinto Airport</t>
  </si>
  <si>
    <t>JPA</t>
  </si>
  <si>
    <t>Quad City Airport</t>
  </si>
  <si>
    <t>MLI</t>
  </si>
  <si>
    <t>Aracaju Airport</t>
  </si>
  <si>
    <t>AJU</t>
  </si>
  <si>
    <t>The Eastern Iowa Airport</t>
  </si>
  <si>
    <t>CID</t>
  </si>
  <si>
    <t>Baghdad Airport</t>
  </si>
  <si>
    <t>Kalibo Airport</t>
  </si>
  <si>
    <t>KLO</t>
  </si>
  <si>
    <t>Capitan Carlos Rovirosa PÃ©rez Airport</t>
  </si>
  <si>
    <t>VSA</t>
  </si>
  <si>
    <t>FÃ©lix-HouphouÃ«t-Boigny Airport</t>
  </si>
  <si>
    <t>ABJ</t>
  </si>
  <si>
    <t>Kranebitten Airport</t>
  </si>
  <si>
    <t>INN</t>
  </si>
  <si>
    <t>Robin Hood Airport</t>
  </si>
  <si>
    <t>DSA</t>
  </si>
  <si>
    <t>Traian-Vuia Airport</t>
  </si>
  <si>
    <t>TSR</t>
  </si>
  <si>
    <t>Cibao Airport</t>
  </si>
  <si>
    <t>STI</t>
  </si>
  <si>
    <t>General Heriberto Jara Airport</t>
  </si>
  <si>
    <t>VER</t>
  </si>
  <si>
    <t>Bishop Airport</t>
  </si>
  <si>
    <t>FNT</t>
  </si>
  <si>
    <t>Qaisumah Domestic Airport</t>
  </si>
  <si>
    <t>AQI</t>
  </si>
  <si>
    <t>Lulea Kallax Airport</t>
  </si>
  <si>
    <t>LLA</t>
  </si>
  <si>
    <t>Congo - Brazzaville</t>
  </si>
  <si>
    <t>Maya-Maya Airport</t>
  </si>
  <si>
    <t>BZV</t>
  </si>
  <si>
    <t>Libya</t>
  </si>
  <si>
    <t>Benina Airport</t>
  </si>
  <si>
    <t>BEN</t>
  </si>
  <si>
    <t>Bretagne Airport</t>
  </si>
  <si>
    <t>BES</t>
  </si>
  <si>
    <t>Nicaragua</t>
  </si>
  <si>
    <t>Augusto C. Sandino Airport</t>
  </si>
  <si>
    <t>MGA</t>
  </si>
  <si>
    <t>Williamsburg Airport</t>
  </si>
  <si>
    <t>PHF</t>
  </si>
  <si>
    <t>Tagbilaran Airport</t>
  </si>
  <si>
    <t>TAG</t>
  </si>
  <si>
    <t>Entebbe Airport</t>
  </si>
  <si>
    <t>EBB</t>
  </si>
  <si>
    <t>Sultan Ismail Petra Airport</t>
  </si>
  <si>
    <t>KBR</t>
  </si>
  <si>
    <t>Regina Airport</t>
  </si>
  <si>
    <t>YQR</t>
  </si>
  <si>
    <t>Thalerhof Airport</t>
  </si>
  <si>
    <t>GRZ</t>
  </si>
  <si>
    <t>AmÃ­lcar Cabral Airport</t>
  </si>
  <si>
    <t>SID</t>
  </si>
  <si>
    <t>Minsk Airport</t>
  </si>
  <si>
    <t>MSQ</t>
  </si>
  <si>
    <t>Ulsan Airport</t>
  </si>
  <si>
    <t>USN</t>
  </si>
  <si>
    <t>Memanbetsu Airport</t>
  </si>
  <si>
    <t>MMB</t>
  </si>
  <si>
    <t>Enrique Olaya Herrera Airport</t>
  </si>
  <si>
    <t>EOH</t>
  </si>
  <si>
    <t>Surgut Airport</t>
  </si>
  <si>
    <t>SGC</t>
  </si>
  <si>
    <t>Irkutsk Airport</t>
  </si>
  <si>
    <t>IKT</t>
  </si>
  <si>
    <t>Poretta Airport</t>
  </si>
  <si>
    <t>BIA</t>
  </si>
  <si>
    <t>Cheongju Airport</t>
  </si>
  <si>
    <t>CJJ</t>
  </si>
  <si>
    <t>Jean Lesage Airport</t>
  </si>
  <si>
    <t>YQB</t>
  </si>
  <si>
    <t>Almeria Airport</t>
  </si>
  <si>
    <t>LEI</t>
  </si>
  <si>
    <t>Anglet Airport</t>
  </si>
  <si>
    <t>BIQ</t>
  </si>
  <si>
    <t>J G Diefenbaker Airport</t>
  </si>
  <si>
    <t>YXE</t>
  </si>
  <si>
    <t>La Palma Airport</t>
  </si>
  <si>
    <t>SPC</t>
  </si>
  <si>
    <t>Columbia Metropolitan Airport</t>
  </si>
  <si>
    <t>CAE</t>
  </si>
  <si>
    <t>Srinagar Airport</t>
  </si>
  <si>
    <t>Biju Patnaik Airport</t>
  </si>
  <si>
    <t>BBI</t>
  </si>
  <si>
    <t>Mackay Airport</t>
  </si>
  <si>
    <t>MKY</t>
  </si>
  <si>
    <t>Atlantic City Airport</t>
  </si>
  <si>
    <t>ACY</t>
  </si>
  <si>
    <t>Northwest Arkansas Regional Airport</t>
  </si>
  <si>
    <t>XNA</t>
  </si>
  <si>
    <t>Diyarbakir Airport</t>
  </si>
  <si>
    <t>DIY</t>
  </si>
  <si>
    <t>Tabriz Airport</t>
  </si>
  <si>
    <t>TBZ</t>
  </si>
  <si>
    <t>Preston Smith Airport</t>
  </si>
  <si>
    <t>LBB</t>
  </si>
  <si>
    <t>Eilat Airport</t>
  </si>
  <si>
    <t>ETH</t>
  </si>
  <si>
    <t>Abdul Rachman Saleh Airport</t>
  </si>
  <si>
    <t>MLG</t>
  </si>
  <si>
    <t>Baotou Airport</t>
  </si>
  <si>
    <t>BAV</t>
  </si>
  <si>
    <t>Hato Airport</t>
  </si>
  <si>
    <t>CUR</t>
  </si>
  <si>
    <t>Strasbourg Airport</t>
  </si>
  <si>
    <t>SXB</t>
  </si>
  <si>
    <t>Miyako Airport</t>
  </si>
  <si>
    <t>MMY</t>
  </si>
  <si>
    <t>Bournemouth Airport</t>
  </si>
  <si>
    <t>BOH</t>
  </si>
  <si>
    <t>Port Harcourt Airport</t>
  </si>
  <si>
    <t>PHC</t>
  </si>
  <si>
    <t>Kotoka Airport</t>
  </si>
  <si>
    <t>ACC</t>
  </si>
  <si>
    <t>Bachigualato Federal Airport</t>
  </si>
  <si>
    <t>CUL</t>
  </si>
  <si>
    <t>Khabarovsk Novy Airport</t>
  </si>
  <si>
    <t>Es SÃ©nia Airport</t>
  </si>
  <si>
    <t>ORN</t>
  </si>
  <si>
    <t>Del BajÃ­o Airport</t>
  </si>
  <si>
    <t>BJX</t>
  </si>
  <si>
    <t>Aswan Airport</t>
  </si>
  <si>
    <t>ASW</t>
  </si>
  <si>
    <t>Ingeniero AeronÃ¡utico Ambrosio L.V. Taravella Airport</t>
  </si>
  <si>
    <t>COR</t>
  </si>
  <si>
    <t>Moi Airport</t>
  </si>
  <si>
    <t>MBA</t>
  </si>
  <si>
    <t>Langkawi Airport</t>
  </si>
  <si>
    <t>Drake Field Airport</t>
  </si>
  <si>
    <t>FYV</t>
  </si>
  <si>
    <t>Ernesto Cortissoz Airport</t>
  </si>
  <si>
    <t>BAQ</t>
  </si>
  <si>
    <t>Dubrovnik Cilipi Airport</t>
  </si>
  <si>
    <t>DBV</t>
  </si>
  <si>
    <t>Huntsville Airport</t>
  </si>
  <si>
    <t>HSV</t>
  </si>
  <si>
    <t>Launceston Airport</t>
  </si>
  <si>
    <t>LST</t>
  </si>
  <si>
    <t>Foz do IguaÃ§u Airport</t>
  </si>
  <si>
    <t>IGU</t>
  </si>
  <si>
    <t>Rotterdam The Hague Airport</t>
  </si>
  <si>
    <t>RTM</t>
  </si>
  <si>
    <t>Baden Airport</t>
  </si>
  <si>
    <t>FKB</t>
  </si>
  <si>
    <t>Yemelyanovo Airport</t>
  </si>
  <si>
    <t>KJA</t>
  </si>
  <si>
    <t>Fresno Yosemite Airport</t>
  </si>
  <si>
    <t>FAT</t>
  </si>
  <si>
    <t>El Nouzha Airport</t>
  </si>
  <si>
    <t>ALY</t>
  </si>
  <si>
    <t>St JohnÂ´s Airport</t>
  </si>
  <si>
    <t>YYT</t>
  </si>
  <si>
    <t>Lesquin Airport</t>
  </si>
  <si>
    <t>LIL</t>
  </si>
  <si>
    <t>Newcastle Airport</t>
  </si>
  <si>
    <t>NTL</t>
  </si>
  <si>
    <t>Gregorio LuperÃ³n Airport</t>
  </si>
  <si>
    <t>POP</t>
  </si>
  <si>
    <t>Astana Airport</t>
  </si>
  <si>
    <t>TSE</t>
  </si>
  <si>
    <t>La CoruÃ±a Airport</t>
  </si>
  <si>
    <t>LCG</t>
  </si>
  <si>
    <t>NapolÃ©on Bonaparte Airport</t>
  </si>
  <si>
    <t>AJA</t>
  </si>
  <si>
    <t>Taegu Kukche Konghang Airport</t>
  </si>
  <si>
    <t>TAE</t>
  </si>
  <si>
    <t>Ufa Airport</t>
  </si>
  <si>
    <t>UFA</t>
  </si>
  <si>
    <t>Khrabrovo Airport</t>
  </si>
  <si>
    <t>KGD</t>
  </si>
  <si>
    <t>Asahikawa Airport</t>
  </si>
  <si>
    <t>AKJ</t>
  </si>
  <si>
    <t>Split Kaatela Resnik Airport</t>
  </si>
  <si>
    <t>SPU</t>
  </si>
  <si>
    <t>Zhangjiajie Airport</t>
  </si>
  <si>
    <t>DYG</t>
  </si>
  <si>
    <t>Koh Samui Airport</t>
  </si>
  <si>
    <t>USM</t>
  </si>
  <si>
    <t>Campo Grande Airport</t>
  </si>
  <si>
    <t>CGR</t>
  </si>
  <si>
    <t>Silay City Airport</t>
  </si>
  <si>
    <t>BCD</t>
  </si>
  <si>
    <t>Supadio Airport</t>
  </si>
  <si>
    <t>PNK</t>
  </si>
  <si>
    <t>Kurumoch Airport</t>
  </si>
  <si>
    <t>KUF</t>
  </si>
  <si>
    <t>Kazan Airport</t>
  </si>
  <si>
    <t>KZN</t>
  </si>
  <si>
    <t>Harrisburg Airport</t>
  </si>
  <si>
    <t>MDT</t>
  </si>
  <si>
    <t>Niigata Airport</t>
  </si>
  <si>
    <t>KIJ</t>
  </si>
  <si>
    <t>Dr. Babasaheb Ambedkar Airport</t>
  </si>
  <si>
    <t>Paderborn Lippstadt Airport</t>
  </si>
  <si>
    <t>PAD</t>
  </si>
  <si>
    <t>Coimbatore Airport</t>
  </si>
  <si>
    <t>CJB</t>
  </si>
  <si>
    <t>Julius Nyerere Airport</t>
  </si>
  <si>
    <t>DAR</t>
  </si>
  <si>
    <t>Greenville Airport</t>
  </si>
  <si>
    <t>GSP</t>
  </si>
  <si>
    <t>Vladivostok Airport</t>
  </si>
  <si>
    <t>Waisha Airport</t>
  </si>
  <si>
    <t>SWA</t>
  </si>
  <si>
    <t>Jackson Evers Airport</t>
  </si>
  <si>
    <t>JAN</t>
  </si>
  <si>
    <t>Aomori Airport</t>
  </si>
  <si>
    <t>AOJ</t>
  </si>
  <si>
    <t>Poznan Airport</t>
  </si>
  <si>
    <t>POZ</t>
  </si>
  <si>
    <t>Juan Gualberto GÃ³mez Airport</t>
  </si>
  <si>
    <t>VRA</t>
  </si>
  <si>
    <t>General Ignacio Pesqueira GarcÃ­a Airport</t>
  </si>
  <si>
    <t>HMO</t>
  </si>
  <si>
    <t>Peinador Airport</t>
  </si>
  <si>
    <t>VGO</t>
  </si>
  <si>
    <t>Manuel Crescencio RejÃ³n Airport</t>
  </si>
  <si>
    <t>MID</t>
  </si>
  <si>
    <t>Sestri Ponente Cristoforo Colombo Airport</t>
  </si>
  <si>
    <t>Alejandro Velasco Astete Airport</t>
  </si>
  <si>
    <t>CUZ</t>
  </si>
  <si>
    <t>Jerez Airport</t>
  </si>
  <si>
    <t>XRY</t>
  </si>
  <si>
    <t>Lumbia Airport</t>
  </si>
  <si>
    <t>CGY</t>
  </si>
  <si>
    <t>Hilo Airport</t>
  </si>
  <si>
    <t>ITO</t>
  </si>
  <si>
    <t>MÃ©diterranÃ©e Airport</t>
  </si>
  <si>
    <t>MPL</t>
  </si>
  <si>
    <t>Sultan Ismail Airport</t>
  </si>
  <si>
    <t>Mandalay Airport</t>
  </si>
  <si>
    <t>Daguocun Airport</t>
  </si>
  <si>
    <t>SJW</t>
  </si>
  <si>
    <t>Carrasco General CesÃ¡reo L. Berisso Airport</t>
  </si>
  <si>
    <t>MVD</t>
  </si>
  <si>
    <t>Akita Airport</t>
  </si>
  <si>
    <t>AXT</t>
  </si>
  <si>
    <t>Sana'a Airport</t>
  </si>
  <si>
    <t>SAH</t>
  </si>
  <si>
    <t>Sarasota Bradenton Airport</t>
  </si>
  <si>
    <t>SRQ</t>
  </si>
  <si>
    <t>Caojiabao Airport</t>
  </si>
  <si>
    <t>XNN</t>
  </si>
  <si>
    <t>Minangkabau Airport</t>
  </si>
  <si>
    <t>PDG</t>
  </si>
  <si>
    <t>Gwangju Airport</t>
  </si>
  <si>
    <t>KWJ</t>
  </si>
  <si>
    <t>Kelowna Airport</t>
  </si>
  <si>
    <t>YLW</t>
  </si>
  <si>
    <t>SÃ£o LuÃ­s Airport</t>
  </si>
  <si>
    <t>SLZ</t>
  </si>
  <si>
    <t>Rafael NÃºÃ±ez Airport</t>
  </si>
  <si>
    <t>CTG</t>
  </si>
  <si>
    <t>Aalborg Airport</t>
  </si>
  <si>
    <t>AAL</t>
  </si>
  <si>
    <t>Gulf Coast Regional Airport</t>
  </si>
  <si>
    <t>PNS</t>
  </si>
  <si>
    <t>Fertilia Riviera del Corallo Airport</t>
  </si>
  <si>
    <t>AHO</t>
  </si>
  <si>
    <t>Hat Yai Airport</t>
  </si>
  <si>
    <t>Zvartnots Airport</t>
  </si>
  <si>
    <t>EVN</t>
  </si>
  <si>
    <t>Sanzao Airport</t>
  </si>
  <si>
    <t>ZUH</t>
  </si>
  <si>
    <t>Burlington Airport</t>
  </si>
  <si>
    <t>BTV</t>
  </si>
  <si>
    <t>Myrtle Beach Airport</t>
  </si>
  <si>
    <t>MYR</t>
  </si>
  <si>
    <t>Rygge Airport</t>
  </si>
  <si>
    <t>RYG</t>
  </si>
  <si>
    <t>Federico GarcÃ­a Lorca Airport</t>
  </si>
  <si>
    <t>GRX</t>
  </si>
  <si>
    <t>Akron Airport</t>
  </si>
  <si>
    <t>CAK</t>
  </si>
  <si>
    <t>Zumbi dos Palmares Airport</t>
  </si>
  <si>
    <t>MCZ</t>
  </si>
  <si>
    <t>Miri Airport</t>
  </si>
  <si>
    <t>MYY</t>
  </si>
  <si>
    <t>Da Nang Airport</t>
  </si>
  <si>
    <t>Wichita Dwight D. Eisenhower Airport</t>
  </si>
  <si>
    <t>ICT</t>
  </si>
  <si>
    <t>Sultan Mahmud Badaruddin II Airport</t>
  </si>
  <si>
    <t>PLM</t>
  </si>
  <si>
    <t>Palm Springs Airport</t>
  </si>
  <si>
    <t>PSP</t>
  </si>
  <si>
    <t>Nadi Airport</t>
  </si>
  <si>
    <t>NAN</t>
  </si>
  <si>
    <t>Copernicus Airport</t>
  </si>
  <si>
    <t>WRO</t>
  </si>
  <si>
    <t>Port Elizabeth Airport</t>
  </si>
  <si>
    <t>PLZ</t>
  </si>
  <si>
    <t>Dane County Regional Airport</t>
  </si>
  <si>
    <t>MSN</t>
  </si>
  <si>
    <t>Takamatsu Airport</t>
  </si>
  <si>
    <t>TAK</t>
  </si>
  <si>
    <t>Aleppo Airport</t>
  </si>
  <si>
    <t>ALP</t>
  </si>
  <si>
    <t>Al Massira Airport</t>
  </si>
  <si>
    <t>AGA</t>
  </si>
  <si>
    <t>Jacksons Airport</t>
  </si>
  <si>
    <t>POM</t>
  </si>
  <si>
    <t>Niederrhein Airport</t>
  </si>
  <si>
    <t>NRN</t>
  </si>
  <si>
    <t>JoÅ¾e Pucnik Airport</t>
  </si>
  <si>
    <t>LJU</t>
  </si>
  <si>
    <t>Shahid Hashemi Nejad Airport</t>
  </si>
  <si>
    <t>MHD</t>
  </si>
  <si>
    <t>Varna Airport</t>
  </si>
  <si>
    <t>VAR</t>
  </si>
  <si>
    <t>Sochi Airport</t>
  </si>
  <si>
    <t>AER</t>
  </si>
  <si>
    <t>Brunei</t>
  </si>
  <si>
    <t>Brunei Airport</t>
  </si>
  <si>
    <t>BWN</t>
  </si>
  <si>
    <t>Victoria Airport</t>
  </si>
  <si>
    <t>YYJ</t>
  </si>
  <si>
    <t>Tahiti Airport</t>
  </si>
  <si>
    <t>PPT</t>
  </si>
  <si>
    <t>Mobile Downtown Airport</t>
  </si>
  <si>
    <t>BFM</t>
  </si>
  <si>
    <t>Asturias Airport</t>
  </si>
  <si>
    <t>OVD</t>
  </si>
  <si>
    <t>Amausi Chaudhary Charan Singh Airport</t>
  </si>
  <si>
    <t>LKO</t>
  </si>
  <si>
    <t>Iloilo Airport</t>
  </si>
  <si>
    <t>ILO</t>
  </si>
  <si>
    <t>Jersey Airport</t>
  </si>
  <si>
    <t>JER</t>
  </si>
  <si>
    <t>Sandefjord Airport</t>
  </si>
  <si>
    <t>TRF</t>
  </si>
  <si>
    <t>Trabzon Airport</t>
  </si>
  <si>
    <t>TZX</t>
  </si>
  <si>
    <t>Malmo Airport</t>
  </si>
  <si>
    <t>MMX</t>
  </si>
  <si>
    <t>SAV</t>
  </si>
  <si>
    <t>Cambodia</t>
  </si>
  <si>
    <t>Phnom Penh Airport</t>
  </si>
  <si>
    <t>Casale Airport</t>
  </si>
  <si>
    <t>BDS</t>
  </si>
  <si>
    <t>OsnabrÃ¼ck Airport</t>
  </si>
  <si>
    <t>FMO</t>
  </si>
  <si>
    <t>Krasnodar Airport</t>
  </si>
  <si>
    <t>KRR</t>
  </si>
  <si>
    <t>Martinique</t>
  </si>
  <si>
    <t>AimÃ© CÃ©saire Airport</t>
  </si>
  <si>
    <t>FDF</t>
  </si>
  <si>
    <t>Bodo Airport</t>
  </si>
  <si>
    <t>BOO</t>
  </si>
  <si>
    <t>McGhee Tyson Airport</t>
  </si>
  <si>
    <t>TYS</t>
  </si>
  <si>
    <t>Townsville Airport</t>
  </si>
  <si>
    <t>TSV</t>
  </si>
  <si>
    <t>Tromso Airport</t>
  </si>
  <si>
    <t>TOS</t>
  </si>
  <si>
    <t>Costa Smeralda Airport</t>
  </si>
  <si>
    <t>OLB</t>
  </si>
  <si>
    <t>Jinjiang Airport</t>
  </si>
  <si>
    <t>JJN</t>
  </si>
  <si>
    <t>Jaipur Airport</t>
  </si>
  <si>
    <t>Princess Juliana Airport</t>
  </si>
  <si>
    <t>SXM</t>
  </si>
  <si>
    <t>Orlando Sanford Airport</t>
  </si>
  <si>
    <t>SFB</t>
  </si>
  <si>
    <t>Birgi Airport</t>
  </si>
  <si>
    <t>TPS</t>
  </si>
  <si>
    <t>Darwin Airport</t>
  </si>
  <si>
    <t>DRW</t>
  </si>
  <si>
    <t>Reus Airport</t>
  </si>
  <si>
    <t>REU</t>
  </si>
  <si>
    <t>Neuenlanderfeld Airport</t>
  </si>
  <si>
    <t>BRE</t>
  </si>
  <si>
    <t>Luxembourg</t>
  </si>
  <si>
    <t>Findel Airport</t>
  </si>
  <si>
    <t>LUX</t>
  </si>
  <si>
    <t>Des Moines Airport</t>
  </si>
  <si>
    <t>DSM</t>
  </si>
  <si>
    <t>Jamaica</t>
  </si>
  <si>
    <t>Norman Manley Airport</t>
  </si>
  <si>
    <t>KIN</t>
  </si>
  <si>
    <t>Eindhoven Airport</t>
  </si>
  <si>
    <t>EIN</t>
  </si>
  <si>
    <t>Gdansk Lech Walesa Airport</t>
  </si>
  <si>
    <t>GDN</t>
  </si>
  <si>
    <t>Piedmont Triad Airport</t>
  </si>
  <si>
    <t>GSO</t>
  </si>
  <si>
    <t>Florence-Peretola Airport</t>
  </si>
  <si>
    <t>FLR</t>
  </si>
  <si>
    <t>Angkor Airport</t>
  </si>
  <si>
    <t>REP</t>
  </si>
  <si>
    <t>Portland Jetport</t>
  </si>
  <si>
    <t>PWM</t>
  </si>
  <si>
    <t>Cyprus</t>
  </si>
  <si>
    <t>Paphos Airport</t>
  </si>
  <si>
    <t>PFO</t>
  </si>
  <si>
    <t>Sultan Syarif Qasim II Airport</t>
  </si>
  <si>
    <t>PKU</t>
  </si>
  <si>
    <t>Huanglong Airport</t>
  </si>
  <si>
    <t>JZH</t>
  </si>
  <si>
    <t>Gerald R Ford Airport</t>
  </si>
  <si>
    <t>GRR</t>
  </si>
  <si>
    <t>Southampton Airport</t>
  </si>
  <si>
    <t>SOU</t>
  </si>
  <si>
    <t>El Salvador</t>
  </si>
  <si>
    <t>El Salvador Airport</t>
  </si>
  <si>
    <t>SAL</t>
  </si>
  <si>
    <t>Ioannis Daskalogiannis Airport</t>
  </si>
  <si>
    <t>CHQ</t>
  </si>
  <si>
    <t>Ishigaki Airport</t>
  </si>
  <si>
    <t>ISG</t>
  </si>
  <si>
    <t>Novosibirsk Tolmachevo Airport</t>
  </si>
  <si>
    <t>OVB</t>
  </si>
  <si>
    <t>Tallinn Lennart Meri Airport</t>
  </si>
  <si>
    <t>TLL</t>
  </si>
  <si>
    <t>Albania</t>
  </si>
  <si>
    <t>NÃ«nÃ« Tereza Airport</t>
  </si>
  <si>
    <t>TIA</t>
  </si>
  <si>
    <t>Shahid Beheshti Airport</t>
  </si>
  <si>
    <t>IFN</t>
  </si>
  <si>
    <t>Dresden Airport</t>
  </si>
  <si>
    <t>DRS</t>
  </si>
  <si>
    <t>Long Island MacArthur Airport</t>
  </si>
  <si>
    <t>ISP</t>
  </si>
  <si>
    <t>Alfredo RodrÃ­guez BallÃ³n Airport</t>
  </si>
  <si>
    <t>AQP</t>
  </si>
  <si>
    <t>Oita Airport</t>
  </si>
  <si>
    <t>OIT</t>
  </si>
  <si>
    <t>Comandante FAP GermÃ¡n Arias Graziani Airport</t>
  </si>
  <si>
    <t>ATA</t>
  </si>
  <si>
    <t>City of Colorado Springs Municipal Airport</t>
  </si>
  <si>
    <t>COS</t>
  </si>
  <si>
    <t>San Javier Airport</t>
  </si>
  <si>
    <t>MJV</t>
  </si>
  <si>
    <t>Hobart Airport</t>
  </si>
  <si>
    <t>HBA</t>
  </si>
  <si>
    <t>Lamezia Terme Airport</t>
  </si>
  <si>
    <t>SUF</t>
  </si>
  <si>
    <t>Santiago de Compostela Airport</t>
  </si>
  <si>
    <t>SCQ</t>
  </si>
  <si>
    <t>Westchester County Airport</t>
  </si>
  <si>
    <t>HPN</t>
  </si>
  <si>
    <t>Aruba</t>
  </si>
  <si>
    <t>Queen Beatrix Airport</t>
  </si>
  <si>
    <t>AUA</t>
  </si>
  <si>
    <t>Heydar Aliyev Airport</t>
  </si>
  <si>
    <t>GYD</t>
  </si>
  <si>
    <t>Ahwaz Airport</t>
  </si>
  <si>
    <t>AWZ</t>
  </si>
  <si>
    <t>Gasa Airport</t>
  </si>
  <si>
    <t>JHG</t>
  </si>
  <si>
    <t>Lokpriya Gopinath Bordoloi Airport</t>
  </si>
  <si>
    <t>Yuzhniy Airport</t>
  </si>
  <si>
    <t>TAS</t>
  </si>
  <si>
    <t>Wolfgang Amadeus Mozart Airport</t>
  </si>
  <si>
    <t>SZG</t>
  </si>
  <si>
    <t>Caribe Santiago MariÃ±o Airport</t>
  </si>
  <si>
    <t>PMV</t>
  </si>
  <si>
    <t>Burgas Airport</t>
  </si>
  <si>
    <t>BOJ</t>
  </si>
  <si>
    <t>Punta Cana Airport</t>
  </si>
  <si>
    <t>PUJ</t>
  </si>
  <si>
    <t>Roland Garros Airport</t>
  </si>
  <si>
    <t>RUN</t>
  </si>
  <si>
    <t>Cardiff Airport</t>
  </si>
  <si>
    <t>CWL</t>
  </si>
  <si>
    <t>Kitakyushu Airport</t>
  </si>
  <si>
    <t>KKJ</t>
  </si>
  <si>
    <t>Odessa Airport</t>
  </si>
  <si>
    <t>ODS</t>
  </si>
  <si>
    <t>Dnipropetrovsk Airport</t>
  </si>
  <si>
    <t>DNK</t>
  </si>
  <si>
    <t>Guadeloupe</t>
  </si>
  <si>
    <t>Pointe-Ã -Pitre Airport</t>
  </si>
  <si>
    <t>PTP</t>
  </si>
  <si>
    <t>Barbados</t>
  </si>
  <si>
    <t>Grantley Adams Airport</t>
  </si>
  <si>
    <t>BGI</t>
  </si>
  <si>
    <t>Bromma Airport</t>
  </si>
  <si>
    <t>BMA</t>
  </si>
  <si>
    <t>Hancock Airport</t>
  </si>
  <si>
    <t>SYR</t>
  </si>
  <si>
    <t>Vilnius Airport</t>
  </si>
  <si>
    <t>VNO</t>
  </si>
  <si>
    <t>Calicut Airport</t>
  </si>
  <si>
    <t>Barnaul Airport</t>
  </si>
  <si>
    <t>BAX</t>
  </si>
  <si>
    <t>Arvaikheer Airport</t>
  </si>
  <si>
    <t>AVK</t>
  </si>
  <si>
    <t>Laishan Airport</t>
  </si>
  <si>
    <t>YNT</t>
  </si>
  <si>
    <t>Hakodate Airport</t>
  </si>
  <si>
    <t>HKD</t>
  </si>
  <si>
    <t>Frankfurtâ€“Hahn Airport</t>
  </si>
  <si>
    <t>HHN</t>
  </si>
  <si>
    <t>Keflavik Airport</t>
  </si>
  <si>
    <t>CuiabÃ¡ Airport</t>
  </si>
  <si>
    <t>CGB</t>
  </si>
  <si>
    <t>Sant Angelo Airport</t>
  </si>
  <si>
    <t>TSF</t>
  </si>
  <si>
    <t>Pristina Airport</t>
  </si>
  <si>
    <t>PRN</t>
  </si>
  <si>
    <t>Luxor Airport</t>
  </si>
  <si>
    <t>LXR</t>
  </si>
  <si>
    <t>Alfonso Bonilla AragÃ³n Airport</t>
  </si>
  <si>
    <t>CLO</t>
  </si>
  <si>
    <t>Charleston Airport</t>
  </si>
  <si>
    <t>CHS</t>
  </si>
  <si>
    <t>Zagreb Pleso Airport</t>
  </si>
  <si>
    <t>ZAG</t>
  </si>
  <si>
    <t>Adams Field Airport</t>
  </si>
  <si>
    <t>LIT</t>
  </si>
  <si>
    <t>Shuofang Airport</t>
  </si>
  <si>
    <t>WUX</t>
  </si>
  <si>
    <t>Milan Rastislav Å tefÃ¡nik Airport</t>
  </si>
  <si>
    <t>BTS</t>
  </si>
  <si>
    <t>Francisco Bangoy Airport</t>
  </si>
  <si>
    <t>Khwaja Rawash Airport</t>
  </si>
  <si>
    <t>Shahid Dastghaib Airport</t>
  </si>
  <si>
    <t>SYZ</t>
  </si>
  <si>
    <t>Tribhuvan Airport</t>
  </si>
  <si>
    <t>KTM</t>
  </si>
  <si>
    <t>Enrique Malek Airport</t>
  </si>
  <si>
    <t>DAV</t>
  </si>
  <si>
    <t>Lijiang Airport</t>
  </si>
  <si>
    <t>LJG</t>
  </si>
  <si>
    <t>Hedong Airport</t>
  </si>
  <si>
    <t>INC</t>
  </si>
  <si>
    <t>Dortmund (21) Airport</t>
  </si>
  <si>
    <t>DTM</t>
  </si>
  <si>
    <t>Koltsovo Airport</t>
  </si>
  <si>
    <t>SVX</t>
  </si>
  <si>
    <t>Santa Genoveva Airport</t>
  </si>
  <si>
    <t>GYN</t>
  </si>
  <si>
    <t>Schkeuditz Airport</t>
  </si>
  <si>
    <t>LEJ</t>
  </si>
  <si>
    <t>Kochi Ryoma Airport</t>
  </si>
  <si>
    <t>KCZ</t>
  </si>
  <si>
    <t>Augusto Severo Airport</t>
  </si>
  <si>
    <t>NAT</t>
  </si>
  <si>
    <t>Glasgow Prestwick Airport</t>
  </si>
  <si>
    <t>PIK</t>
  </si>
  <si>
    <t>Minorca Airport</t>
  </si>
  <si>
    <t>MAH</t>
  </si>
  <si>
    <t>Katowice Airport</t>
  </si>
  <si>
    <t>KTW</t>
  </si>
  <si>
    <t>Quatro de Fevereiro Airport</t>
  </si>
  <si>
    <t>Madeira Santa Catarina Airport</t>
  </si>
  <si>
    <t>FNC</t>
  </si>
  <si>
    <t>Lihue Airport</t>
  </si>
  <si>
    <t>LIH</t>
  </si>
  <si>
    <t>Zarzis Airport</t>
  </si>
  <si>
    <t>DJE</t>
  </si>
  <si>
    <t>Licenciado Adolfo LÃ³pez Mateos Airport</t>
  </si>
  <si>
    <t>TLC</t>
  </si>
  <si>
    <t>Adana Sakirpasa Airport</t>
  </si>
  <si>
    <t>ADA</t>
  </si>
  <si>
    <t>James M. Cox Dayton Airport</t>
  </si>
  <si>
    <t>DAY</t>
  </si>
  <si>
    <t>Komatsu Airport</t>
  </si>
  <si>
    <t>KMQ</t>
  </si>
  <si>
    <t>Trinidad and Tobago</t>
  </si>
  <si>
    <t>Piarco Airport</t>
  </si>
  <si>
    <t>POS</t>
  </si>
  <si>
    <t>Guam</t>
  </si>
  <si>
    <t>Antonio B. Won Pat Airport</t>
  </si>
  <si>
    <t>GUM</t>
  </si>
  <si>
    <t>Skavsta Airport</t>
  </si>
  <si>
    <t>NYO</t>
  </si>
  <si>
    <t>Trivandrum Airport</t>
  </si>
  <si>
    <t>Greater Rochester Airport</t>
  </si>
  <si>
    <t>ROC</t>
  </si>
  <si>
    <t>Nouakchott Airport</t>
  </si>
  <si>
    <t>NKC</t>
  </si>
  <si>
    <t>Billund Airport</t>
  </si>
  <si>
    <t>BLL</t>
  </si>
  <si>
    <t>Adisutjipto Airport</t>
  </si>
  <si>
    <t>JOG</t>
  </si>
  <si>
    <t>Kona Airport</t>
  </si>
  <si>
    <t>KOA</t>
  </si>
  <si>
    <t>Mauritius</t>
  </si>
  <si>
    <t>Sir Seewoosagur Ramgoolam Airport</t>
  </si>
  <si>
    <t>George Best Airport</t>
  </si>
  <si>
    <t>BHD</t>
  </si>
  <si>
    <t>Albany Airport</t>
  </si>
  <si>
    <t>ALB</t>
  </si>
  <si>
    <t>Val de Cans Airport</t>
  </si>
  <si>
    <t>Velana Airport</t>
  </si>
  <si>
    <t>MLE</t>
  </si>
  <si>
    <t>Aguiar Salles Airport</t>
  </si>
  <si>
    <t>VIX</t>
  </si>
  <si>
    <t>Nagasaki Airport</t>
  </si>
  <si>
    <t>NGS</t>
  </si>
  <si>
    <t>Belgrade Nikola Tesla Airport</t>
  </si>
  <si>
    <t>BEG</t>
  </si>
  <si>
    <t>HercÃ­lio Luz Airport</t>
  </si>
  <si>
    <t>FLN</t>
  </si>
  <si>
    <t>Los Cabos Airport</t>
  </si>
  <si>
    <t>SJD</t>
  </si>
  <si>
    <t>Matsuyama Airport</t>
  </si>
  <si>
    <t>MYJ</t>
  </si>
  <si>
    <t>Kobe Airport</t>
  </si>
  <si>
    <t>UKB</t>
  </si>
  <si>
    <t>Guatemala</t>
  </si>
  <si>
    <t>La Aurora Airport</t>
  </si>
  <si>
    <t>GUA</t>
  </si>
  <si>
    <t>Cork Airport</t>
  </si>
  <si>
    <t>ORK</t>
  </si>
  <si>
    <t>Sri Lanka</t>
  </si>
  <si>
    <t>Bandaranaike Airport</t>
  </si>
  <si>
    <t>CMB</t>
  </si>
  <si>
    <t>Bodrum Airport</t>
  </si>
  <si>
    <t>BJV</t>
  </si>
  <si>
    <t>La Chinita Airport</t>
  </si>
  <si>
    <t>MAR</t>
  </si>
  <si>
    <t>Gowen Field Airport</t>
  </si>
  <si>
    <t>BOI</t>
  </si>
  <si>
    <t>Shannon Airport</t>
  </si>
  <si>
    <t>Long Beach Municipal Airport</t>
  </si>
  <si>
    <t>LGB</t>
  </si>
  <si>
    <t>Pune Airport</t>
  </si>
  <si>
    <t>PNQ</t>
  </si>
  <si>
    <t>Tulsa Airport</t>
  </si>
  <si>
    <t>TUL</t>
  </si>
  <si>
    <t>Zhongchuan Airport</t>
  </si>
  <si>
    <t>LHW</t>
  </si>
  <si>
    <t>Leeds Bradford Airport</t>
  </si>
  <si>
    <t>LBA</t>
  </si>
  <si>
    <t>Shuttlesworth Airport</t>
  </si>
  <si>
    <t>BHM</t>
  </si>
  <si>
    <t>Las AmÃ©ricas Airport</t>
  </si>
  <si>
    <t>SDQ</t>
  </si>
  <si>
    <t>Baita Airport</t>
  </si>
  <si>
    <t>HET</t>
  </si>
  <si>
    <t>Cap. FAP Guillermo Concha Iberico Airport</t>
  </si>
  <si>
    <t>PIU</t>
  </si>
  <si>
    <t>Spokane Airport</t>
  </si>
  <si>
    <t>GEG</t>
  </si>
  <si>
    <t>Menara Airport</t>
  </si>
  <si>
    <t>RAK</t>
  </si>
  <si>
    <t>El Paso Airport</t>
  </si>
  <si>
    <t>ELP</t>
  </si>
  <si>
    <t>Shyamji Krishna Verma Airport</t>
  </si>
  <si>
    <t>BHJ</t>
  </si>
  <si>
    <t>Northwest Florida Beaches Airport</t>
  </si>
  <si>
    <t>ECP</t>
  </si>
  <si>
    <t>Blaise Diagne Airport</t>
  </si>
  <si>
    <t>DSS</t>
  </si>
  <si>
    <t>Syamsudin Noor Airport</t>
  </si>
  <si>
    <t>BDJ</t>
  </si>
  <si>
    <t>Villafranca Valerio Catullo Airport</t>
  </si>
  <si>
    <t>VRN</t>
  </si>
  <si>
    <t>Balice John Paul II Airport</t>
  </si>
  <si>
    <t>KRK</t>
  </si>
  <si>
    <t>Tripoli Airport</t>
  </si>
  <si>
    <t>TIP</t>
  </si>
  <si>
    <t>Warsaw Modlin Airport</t>
  </si>
  <si>
    <t>WMI</t>
  </si>
  <si>
    <t>Miyazaki Airport</t>
  </si>
  <si>
    <t>KMI</t>
  </si>
  <si>
    <t>Chiang Mai Airport</t>
  </si>
  <si>
    <t>Allama Iqbal Airport</t>
  </si>
  <si>
    <t>Lynden Pindling Airport</t>
  </si>
  <si>
    <t>NAS</t>
  </si>
  <si>
    <t>Dabolim Airport</t>
  </si>
  <si>
    <t>Hippocrates Airport</t>
  </si>
  <si>
    <t>KGS</t>
  </si>
  <si>
    <t>Malta</t>
  </si>
  <si>
    <t>Malta Airport</t>
  </si>
  <si>
    <t>MLA</t>
  </si>
  <si>
    <t>Kumamoto Airport</t>
  </si>
  <si>
    <t>KMJ</t>
  </si>
  <si>
    <t>Penang Airport</t>
  </si>
  <si>
    <t>Sofia Airport</t>
  </si>
  <si>
    <t>SOF</t>
  </si>
  <si>
    <t>Manchester Regional Airport</t>
  </si>
  <si>
    <t>MHT</t>
  </si>
  <si>
    <t>Luogang Airport</t>
  </si>
  <si>
    <t>HFE</t>
  </si>
  <si>
    <t>Damascus Airport</t>
  </si>
  <si>
    <t>DAM</t>
  </si>
  <si>
    <t>Kuching Airport</t>
  </si>
  <si>
    <t>KCH</t>
  </si>
  <si>
    <t>Canberra Airport</t>
  </si>
  <si>
    <t>CBR</t>
  </si>
  <si>
    <t>Nantes Atlantique Airport</t>
  </si>
  <si>
    <t>NTE</t>
  </si>
  <si>
    <t>Sendai Airport</t>
  </si>
  <si>
    <t>SDJ</t>
  </si>
  <si>
    <t>Louisville Airport</t>
  </si>
  <si>
    <t>SDF</t>
  </si>
  <si>
    <t>London City Airport</t>
  </si>
  <si>
    <t>LCY</t>
  </si>
  <si>
    <t>Licenciado Gustavo DÃ­az Ordaz Airport</t>
  </si>
  <si>
    <t>PVR</t>
  </si>
  <si>
    <t>Aberdeen Airport</t>
  </si>
  <si>
    <t>ABZ</t>
  </si>
  <si>
    <t>Richmond Airport</t>
  </si>
  <si>
    <t>RIC</t>
  </si>
  <si>
    <t>Hang Nadim Airport</t>
  </si>
  <si>
    <t>Will Rogers World Airport</t>
  </si>
  <si>
    <t>OKC</t>
  </si>
  <si>
    <t>Diagoras Airport</t>
  </si>
  <si>
    <t>RHO</t>
  </si>
  <si>
    <t>Dalaman Airport</t>
  </si>
  <si>
    <t>DLM</t>
  </si>
  <si>
    <t>Sangster Airport</t>
  </si>
  <si>
    <t>MBJ</t>
  </si>
  <si>
    <t>JosÃ© JoaquÃ­n de Olmedo Airport</t>
  </si>
  <si>
    <t>GYE</t>
  </si>
  <si>
    <t>Karol Wojtyla Airport</t>
  </si>
  <si>
    <t>BRI</t>
  </si>
  <si>
    <t>Norfolk Airport</t>
  </si>
  <si>
    <t>ORF</t>
  </si>
  <si>
    <t>Elmas Mario Mameli Airport</t>
  </si>
  <si>
    <t>CAG</t>
  </si>
  <si>
    <t>Noi Bai Airport</t>
  </si>
  <si>
    <t>Trondheim Airport</t>
  </si>
  <si>
    <t>TRD</t>
  </si>
  <si>
    <t>Turin Airport</t>
  </si>
  <si>
    <t>TRN</t>
  </si>
  <si>
    <t>Robert L. Stanfield Airport</t>
  </si>
  <si>
    <t>YHZ</t>
  </si>
  <si>
    <t>James Armstrong Richardson Airport</t>
  </si>
  <si>
    <t>YWG</t>
  </si>
  <si>
    <t>Sepinggan Airport</t>
  </si>
  <si>
    <t>BPN</t>
  </si>
  <si>
    <t>Tucson Airport</t>
  </si>
  <si>
    <t>TUS</t>
  </si>
  <si>
    <t>Shah Amanat Airport</t>
  </si>
  <si>
    <t>Tahoe Airport</t>
  </si>
  <si>
    <t>RNO</t>
  </si>
  <si>
    <t>TillÃ© Airport</t>
  </si>
  <si>
    <t>BVA</t>
  </si>
  <si>
    <t>Sola Airport</t>
  </si>
  <si>
    <t>SVG</t>
  </si>
  <si>
    <t>Almaty Airport</t>
  </si>
  <si>
    <t>ALA</t>
  </si>
  <si>
    <t>Riga Airport</t>
  </si>
  <si>
    <t>RIX</t>
  </si>
  <si>
    <t>Taipei Songshan Airport</t>
  </si>
  <si>
    <t>TSA</t>
  </si>
  <si>
    <t>Sultan-Hasanuddin Airport</t>
  </si>
  <si>
    <t>King Fahd Airport</t>
  </si>
  <si>
    <t>DMM</t>
  </si>
  <si>
    <t>Cairns Airport</t>
  </si>
  <si>
    <t>CNS</t>
  </si>
  <si>
    <t>Longjia Airport</t>
  </si>
  <si>
    <t>Changbei Airport</t>
  </si>
  <si>
    <t>KHN</t>
  </si>
  <si>
    <t>Nnamdi Azikiwe Airport</t>
  </si>
  <si>
    <t>ABV</t>
  </si>
  <si>
    <t>General Abelardo L. RodrÃ­guez Airport</t>
  </si>
  <si>
    <t>TIJ</t>
  </si>
  <si>
    <t>Yangon Airport</t>
  </si>
  <si>
    <t>Lishe Airport</t>
  </si>
  <si>
    <t>NGB</t>
  </si>
  <si>
    <t>Sardar Vallabhbhai Patel Airport</t>
  </si>
  <si>
    <t>Kaohsiung Airport</t>
  </si>
  <si>
    <t>KHH</t>
  </si>
  <si>
    <t>Tenerife Norte Airport</t>
  </si>
  <si>
    <t>TFN</t>
  </si>
  <si>
    <t>Galileo Galilei Airport</t>
  </si>
  <si>
    <t>PSA</t>
  </si>
  <si>
    <t>Merignac Airport</t>
  </si>
  <si>
    <t>BOD</t>
  </si>
  <si>
    <t>Imam Khomeini Airport</t>
  </si>
  <si>
    <t>IKA</t>
  </si>
  <si>
    <t>Landvetter Airport</t>
  </si>
  <si>
    <t>GOT</t>
  </si>
  <si>
    <t>Zainuddin Abdul Madjid Airport</t>
  </si>
  <si>
    <t>LOP</t>
  </si>
  <si>
    <t>Thessaloniki Airport</t>
  </si>
  <si>
    <t>SKG</t>
  </si>
  <si>
    <t>Bilbao Airport</t>
  </si>
  <si>
    <t>BIO</t>
  </si>
  <si>
    <t>Eppley Airfield Airport</t>
  </si>
  <si>
    <t>OMA</t>
  </si>
  <si>
    <t>Carthage Airport</t>
  </si>
  <si>
    <t>TUN</t>
  </si>
  <si>
    <t>Macdonald Airport</t>
  </si>
  <si>
    <t>Juan SantamarÃ­a Airport</t>
  </si>
  <si>
    <t>SJO</t>
  </si>
  <si>
    <t>Macau Airport</t>
  </si>
  <si>
    <t>MFM</t>
  </si>
  <si>
    <t>Nurnberg Airport</t>
  </si>
  <si>
    <t>NUE</t>
  </si>
  <si>
    <t>Habib Bourguiba Airport</t>
  </si>
  <si>
    <t>MIR</t>
  </si>
  <si>
    <t>Theodore Francis Green State Airport</t>
  </si>
  <si>
    <t>PVD</t>
  </si>
  <si>
    <t>Muscat Airport</t>
  </si>
  <si>
    <t>King Shaka Airport</t>
  </si>
  <si>
    <t>Cochin Airport</t>
  </si>
  <si>
    <t>Palerme Falcone-Borsellino Airport</t>
  </si>
  <si>
    <t>PMO</t>
  </si>
  <si>
    <t>Sevilla Airport</t>
  </si>
  <si>
    <t>SVQ</t>
  </si>
  <si>
    <t>Fuerteventura Airport</t>
  </si>
  <si>
    <t>FUE</t>
  </si>
  <si>
    <t>Queen Alia Airport</t>
  </si>
  <si>
    <t>AMM</t>
  </si>
  <si>
    <t>Wuxu Airport</t>
  </si>
  <si>
    <t>NNG</t>
  </si>
  <si>
    <t>Francisco SÃ¡ Carneiro Airport</t>
  </si>
  <si>
    <t>OPO</t>
  </si>
  <si>
    <t>Tocumen Airport</t>
  </si>
  <si>
    <t>PTY</t>
  </si>
  <si>
    <t>Giovan Battista Pastine Airport</t>
  </si>
  <si>
    <t>CIA</t>
  </si>
  <si>
    <t>Ted Stevens Airport</t>
  </si>
  <si>
    <t>ANC</t>
  </si>
  <si>
    <t>Bob Hope Airport</t>
  </si>
  <si>
    <t>BUR</t>
  </si>
  <si>
    <t>Wusu Airport</t>
  </si>
  <si>
    <t>TYN</t>
  </si>
  <si>
    <t>Ibiza Airport</t>
  </si>
  <si>
    <t>IBZ</t>
  </si>
  <si>
    <t>Kota Kinabalu Airport</t>
  </si>
  <si>
    <t>Mariscal Sucre Airport</t>
  </si>
  <si>
    <t>UIO</t>
  </si>
  <si>
    <t>Benazir Bhutto Airport</t>
  </si>
  <si>
    <t>Yongqiang Airport</t>
  </si>
  <si>
    <t>WNZ</t>
  </si>
  <si>
    <t>Ontario Airport</t>
  </si>
  <si>
    <t>ONT</t>
  </si>
  <si>
    <t>Hannover Airport</t>
  </si>
  <si>
    <t>HAJ</t>
  </si>
  <si>
    <t>Kahului Airport</t>
  </si>
  <si>
    <t>OGG</t>
  </si>
  <si>
    <t>Hazrat Shahjalal Airport</t>
  </si>
  <si>
    <t>Bengbu Airport</t>
  </si>
  <si>
    <t>BFU</t>
  </si>
  <si>
    <t>Mulhouse Airport</t>
  </si>
  <si>
    <t>MLH</t>
  </si>
  <si>
    <t>Pinto Martins Airport</t>
  </si>
  <si>
    <t>FOR</t>
  </si>
  <si>
    <t>Faro Airport</t>
  </si>
  <si>
    <t>FAO</t>
  </si>
  <si>
    <t>Flesland Airport</t>
  </si>
  <si>
    <t>BGO</t>
  </si>
  <si>
    <t>Henri-Coanda Airport</t>
  </si>
  <si>
    <t>OTP</t>
  </si>
  <si>
    <t>Jomo Kenyatta Airport</t>
  </si>
  <si>
    <t>Wellington Airport</t>
  </si>
  <si>
    <t>WLG</t>
  </si>
  <si>
    <t>Charleroi Bruxelles Airport</t>
  </si>
  <si>
    <t>CRL</t>
  </si>
  <si>
    <t>Larnaca Airport</t>
  </si>
  <si>
    <t>LCA</t>
  </si>
  <si>
    <t>Windsor Locks Airport</t>
  </si>
  <si>
    <t>Belfast Airport</t>
  </si>
  <si>
    <t>Sharjah Airport</t>
  </si>
  <si>
    <t>SHJ</t>
  </si>
  <si>
    <t>Niagara Airport</t>
  </si>
  <si>
    <t>BUF</t>
  </si>
  <si>
    <t>Liangjiang Airport</t>
  </si>
  <si>
    <t>KWL</t>
  </si>
  <si>
    <t>Liverpool John Lennon Airport</t>
  </si>
  <si>
    <t>LPL</t>
  </si>
  <si>
    <t>Cold Bay Airport</t>
  </si>
  <si>
    <t>CDB</t>
  </si>
  <si>
    <t>Mactan Cebu Airport</t>
  </si>
  <si>
    <t>Viracopos Airport</t>
  </si>
  <si>
    <t>VCP</t>
  </si>
  <si>
    <t>Lanzarote Airport</t>
  </si>
  <si>
    <t>ACE</t>
  </si>
  <si>
    <t>Nikos Kazantzakis Airport</t>
  </si>
  <si>
    <t>HER</t>
  </si>
  <si>
    <t>Changle Airport</t>
  </si>
  <si>
    <t>FOC</t>
  </si>
  <si>
    <t>Gold Coast Airport</t>
  </si>
  <si>
    <t>OOL</t>
  </si>
  <si>
    <t>Costa Brava Airport</t>
  </si>
  <si>
    <t>GRO</t>
  </si>
  <si>
    <t>Guglielmo Marconi Airport</t>
  </si>
  <si>
    <t>BLQ</t>
  </si>
  <si>
    <t>Lebanon</t>
  </si>
  <si>
    <t>Rafic Hariri Airport</t>
  </si>
  <si>
    <t>BEY</t>
  </si>
  <si>
    <t>Jacksonville Airport</t>
  </si>
  <si>
    <t>JAX</t>
  </si>
  <si>
    <t>Capodichino Ugo Niutta Airport</t>
  </si>
  <si>
    <t>NAP</t>
  </si>
  <si>
    <t>East Midlands Airport</t>
  </si>
  <si>
    <t>EMA</t>
  </si>
  <si>
    <t>NCL</t>
  </si>
  <si>
    <t>Jorge Newbery Aeroparque Metropolitano Airport</t>
  </si>
  <si>
    <t>AEP</t>
  </si>
  <si>
    <t>Longdongbao Airport</t>
  </si>
  <si>
    <t>KWE</t>
  </si>
  <si>
    <t>Kagoshima Airport</t>
  </si>
  <si>
    <t>KOJ</t>
  </si>
  <si>
    <t>Jinnah Airport</t>
  </si>
  <si>
    <t>Albuquerque Airport</t>
  </si>
  <si>
    <t>ABQ</t>
  </si>
  <si>
    <t>Afonso Pena Airport</t>
  </si>
  <si>
    <t>CWB</t>
  </si>
  <si>
    <t>Phuket Airport</t>
  </si>
  <si>
    <t>Valencia Airport</t>
  </si>
  <si>
    <t>VLC</t>
  </si>
  <si>
    <t>Binhai Airport</t>
  </si>
  <si>
    <t>Boryspil Airport</t>
  </si>
  <si>
    <t>KBP</t>
  </si>
  <si>
    <t>Yaoqiang Airport</t>
  </si>
  <si>
    <t>Christchurch Airport</t>
  </si>
  <si>
    <t>Malabang Airport</t>
  </si>
  <si>
    <t>MLP</t>
  </si>
  <si>
    <t>Guararapes Gilberto Freyre Airport</t>
  </si>
  <si>
    <t>REC</t>
  </si>
  <si>
    <t>Palm Beach Airport</t>
  </si>
  <si>
    <t>Esenboga Airport</t>
  </si>
  <si>
    <t>Bahrain</t>
  </si>
  <si>
    <t>Bahrain Airport</t>
  </si>
  <si>
    <t>BAH</t>
  </si>
  <si>
    <t>Narimanovo Airport</t>
  </si>
  <si>
    <t>ASF</t>
  </si>
  <si>
    <t>Volgograd Airport</t>
  </si>
  <si>
    <t>VOG</t>
  </si>
  <si>
    <t>Tsentralny Airport</t>
  </si>
  <si>
    <t>OMS</t>
  </si>
  <si>
    <t>Chelyabinsk Balandino Airport</t>
  </si>
  <si>
    <t>CEK</t>
  </si>
  <si>
    <t>PÃ©tersbourg Airport</t>
  </si>
  <si>
    <t>Port Columbus Airport</t>
  </si>
  <si>
    <t>CMH</t>
  </si>
  <si>
    <t>Adnan Menderes Airport</t>
  </si>
  <si>
    <t>ADB</t>
  </si>
  <si>
    <t>Mohammed V Airport</t>
  </si>
  <si>
    <t>Bristol Airport</t>
  </si>
  <si>
    <t>BRS</t>
  </si>
  <si>
    <t>Murtala Muhammed Airport</t>
  </si>
  <si>
    <t>Addis Ababa Bole Airport</t>
  </si>
  <si>
    <t>Catane-Fontanarossa Airport</t>
  </si>
  <si>
    <t>CTA</t>
  </si>
  <si>
    <t>Mallam Aminu Airport</t>
  </si>
  <si>
    <t>KAN</t>
  </si>
  <si>
    <t>Edmonton Airport</t>
  </si>
  <si>
    <t>YEG</t>
  </si>
  <si>
    <t>Bali Ngurah Rai Airport</t>
  </si>
  <si>
    <t>Sabiha GÃ¶kÃ§en Airport</t>
  </si>
  <si>
    <t>SAW</t>
  </si>
  <si>
    <t>Taiping Airport</t>
  </si>
  <si>
    <t>Diwopu Airport</t>
  </si>
  <si>
    <t>Chetumal Airport</t>
  </si>
  <si>
    <t>CTM</t>
  </si>
  <si>
    <t>Mariano Escobedo Airport</t>
  </si>
  <si>
    <t>MTY</t>
  </si>
  <si>
    <t>JosÃ© MartÃ­ Airport</t>
  </si>
  <si>
    <t>HAV</t>
  </si>
  <si>
    <t>Salgado Filho Airport</t>
  </si>
  <si>
    <t>POA</t>
  </si>
  <si>
    <t>Western Nebraska Regional Airport</t>
  </si>
  <si>
    <t>BFF</t>
  </si>
  <si>
    <t>Hurghada Airport</t>
  </si>
  <si>
    <t>HRG</t>
  </si>
  <si>
    <t>Tessera Marco Polo Airport</t>
  </si>
  <si>
    <t>VCE</t>
  </si>
  <si>
    <t>Blagnac Airport</t>
  </si>
  <si>
    <t>TLS</t>
  </si>
  <si>
    <t>Haiti</t>
  </si>
  <si>
    <t>Toussaint Louverture Airport</t>
  </si>
  <si>
    <t>Houari Boumedienne Airport</t>
  </si>
  <si>
    <t>Don Miguel Hidalgo y Costilla Airport</t>
  </si>
  <si>
    <t>GDL</t>
  </si>
  <si>
    <t>Kuwait</t>
  </si>
  <si>
    <t>Kuwait Airport</t>
  </si>
  <si>
    <t>KWI</t>
  </si>
  <si>
    <t>Tancredo Neves Airport</t>
  </si>
  <si>
    <t>CNF</t>
  </si>
  <si>
    <t>Adelaide Airport</t>
  </si>
  <si>
    <t>ADL</t>
  </si>
  <si>
    <t>Xinzheng Airport</t>
  </si>
  <si>
    <t>CGO</t>
  </si>
  <si>
    <t>Southwest Florida Airport</t>
  </si>
  <si>
    <t>RSW</t>
  </si>
  <si>
    <t>Love Field Airport</t>
  </si>
  <si>
    <t>DAL</t>
  </si>
  <si>
    <t>Provence Airport</t>
  </si>
  <si>
    <t>MRS</t>
  </si>
  <si>
    <t>Gimhae Airport</t>
  </si>
  <si>
    <t>PUS</t>
  </si>
  <si>
    <t>Indianapolis Airport</t>
  </si>
  <si>
    <t>IND</t>
  </si>
  <si>
    <t>Taoxian Airport</t>
  </si>
  <si>
    <t>San Antonio Airport</t>
  </si>
  <si>
    <t>SAT</t>
  </si>
  <si>
    <t>Rajiv Gandhi Airport</t>
  </si>
  <si>
    <t>General Mitchell Airport</t>
  </si>
  <si>
    <t>MKE</t>
  </si>
  <si>
    <t>Orio al Serio Airport</t>
  </si>
  <si>
    <t>BGY</t>
  </si>
  <si>
    <t>Deputado LuÃ­s Eduardo MagalhÃ£es Airport</t>
  </si>
  <si>
    <t>SSA</t>
  </si>
  <si>
    <t>Vnukovo Airport</t>
  </si>
  <si>
    <t>VKO</t>
  </si>
  <si>
    <t>Sheikh Airport</t>
  </si>
  <si>
    <t>SSH</t>
  </si>
  <si>
    <t>SDU</t>
  </si>
  <si>
    <t>Louis Armstrong Airport</t>
  </si>
  <si>
    <t>MSY</t>
  </si>
  <si>
    <t>Phoenix Airport</t>
  </si>
  <si>
    <t>Pittsburgh Airport</t>
  </si>
  <si>
    <t>PIT</t>
  </si>
  <si>
    <t>Ezeiza Ministro Pistarini Airport</t>
  </si>
  <si>
    <t>Stinson Municipal Airport</t>
  </si>
  <si>
    <t>SSF</t>
  </si>
  <si>
    <t>Austin Airport</t>
  </si>
  <si>
    <t>AUS</t>
  </si>
  <si>
    <t>Aurel Vlaicu Airport</t>
  </si>
  <si>
    <t>BBU</t>
  </si>
  <si>
    <t>William P. Hobby Airport</t>
  </si>
  <si>
    <t>HOU</t>
  </si>
  <si>
    <t>Glasgow Airport</t>
  </si>
  <si>
    <t>GLA</t>
  </si>
  <si>
    <t>Luis MuÃ±oz MarÃ­n Airport</t>
  </si>
  <si>
    <t>SJU</t>
  </si>
  <si>
    <t>Norman Y. Mineta Airport</t>
  </si>
  <si>
    <t>SJC</t>
  </si>
  <si>
    <t>Tenerife Sur Airport</t>
  </si>
  <si>
    <t>TFS</t>
  </si>
  <si>
    <t>Linate Enrico Forlanini Airport</t>
  </si>
  <si>
    <t>LIN</t>
  </si>
  <si>
    <t>MaiquetÃ­a SimÃ³n BolÃ­var Airport</t>
  </si>
  <si>
    <t>Meilan Airport</t>
  </si>
  <si>
    <t>Budapest Ferenc Liszt Airport</t>
  </si>
  <si>
    <t>Lyon-Saint ExupÃ©ry Airport</t>
  </si>
  <si>
    <t>LYS</t>
  </si>
  <si>
    <t>Cape Town Airport</t>
  </si>
  <si>
    <t>Mehrabad Airport</t>
  </si>
  <si>
    <t>John Wayne Airport</t>
  </si>
  <si>
    <t>SNA</t>
  </si>
  <si>
    <t>Jorge ChÃ¡vez Airport</t>
  </si>
  <si>
    <t>LIM</t>
  </si>
  <si>
    <t>Nashville Airport</t>
  </si>
  <si>
    <t>BNA</t>
  </si>
  <si>
    <t>Durham Airport</t>
  </si>
  <si>
    <t>RDU</t>
  </si>
  <si>
    <t>Sacramento Airport</t>
  </si>
  <si>
    <t>SMF</t>
  </si>
  <si>
    <t>Edinburgh Airport</t>
  </si>
  <si>
    <t>EDI</t>
  </si>
  <si>
    <t>Comodoro Arturo Merino BenÃ­tez Airport</t>
  </si>
  <si>
    <t>Abu Dhabi Airport</t>
  </si>
  <si>
    <t>Birmingham Airport</t>
  </si>
  <si>
    <t>BHX</t>
  </si>
  <si>
    <t>Metropolitan Airport</t>
  </si>
  <si>
    <t>OAK</t>
  </si>
  <si>
    <t>Hopkins Airport</t>
  </si>
  <si>
    <t>CLE</t>
  </si>
  <si>
    <t>Frederic Chopin Airport</t>
  </si>
  <si>
    <t>WAW</t>
  </si>
  <si>
    <t>Zhoushuizi Airport</t>
  </si>
  <si>
    <t>Alicante Airport</t>
  </si>
  <si>
    <t>ALC</t>
  </si>
  <si>
    <t>Netaji Subhash Chandra Bose Airport</t>
  </si>
  <si>
    <t>Liuting Airport</t>
  </si>
  <si>
    <t>Kansas City Airport</t>
  </si>
  <si>
    <t>MCI</t>
  </si>
  <si>
    <t>Bahawalpur Airport</t>
  </si>
  <si>
    <t>FuhlsbÃ¼ttel Airport</t>
  </si>
  <si>
    <t>Juanda Airport</t>
  </si>
  <si>
    <t>Memphis Airport</t>
  </si>
  <si>
    <t>MEM</t>
  </si>
  <si>
    <t>London Luton Airport</t>
  </si>
  <si>
    <t>LTN</t>
  </si>
  <si>
    <t>Gran Canaria Airport</t>
  </si>
  <si>
    <t>LPA</t>
  </si>
  <si>
    <t>Echterdingen Airport</t>
  </si>
  <si>
    <t>STR</t>
  </si>
  <si>
    <t>Bonn Konrad Adenauer Airport</t>
  </si>
  <si>
    <t>CGN</t>
  </si>
  <si>
    <t>Northern Kentucky Airport</t>
  </si>
  <si>
    <t>CVG</t>
  </si>
  <si>
    <t>CÃ´te dAzur Airport</t>
  </si>
  <si>
    <t>NCE</t>
  </si>
  <si>
    <t>Lukou Airport</t>
  </si>
  <si>
    <t>Perth Airport</t>
  </si>
  <si>
    <t>Ben Gurion Airport</t>
  </si>
  <si>
    <t>Tianhe Airport</t>
  </si>
  <si>
    <t>Gaoqi Airport</t>
  </si>
  <si>
    <t>XMN</t>
  </si>
  <si>
    <t>Maputo Airport</t>
  </si>
  <si>
    <t>MPM</t>
  </si>
  <si>
    <t>Bengaluru Airport</t>
  </si>
  <si>
    <t>Vaclav Havel Airport</t>
  </si>
  <si>
    <t>PRG</t>
  </si>
  <si>
    <t>GenÃ¨ve Airport</t>
  </si>
  <si>
    <t>Chennai Airport</t>
  </si>
  <si>
    <t>Lambert Airport</t>
  </si>
  <si>
    <t>STL</t>
  </si>
  <si>
    <t>Jeju Airport</t>
  </si>
  <si>
    <t>CJU</t>
  </si>
  <si>
    <t>Chubu Centrair Airport</t>
  </si>
  <si>
    <t>GaleÃ£o Antonio Carlos Jobim Airport</t>
  </si>
  <si>
    <t>GIG</t>
  </si>
  <si>
    <t>Calgary Airport</t>
  </si>
  <si>
    <t>YYC</t>
  </si>
  <si>
    <t>Kualanamu Airport</t>
  </si>
  <si>
    <t>Cancun Airport</t>
  </si>
  <si>
    <t>CUN</t>
  </si>
  <si>
    <t>MontrÃ©alâ€“Trudeau Airport</t>
  </si>
  <si>
    <t>Malaga Airport</t>
  </si>
  <si>
    <t>AGP</t>
  </si>
  <si>
    <t>PDX</t>
  </si>
  <si>
    <t>Vantaa Airport</t>
  </si>
  <si>
    <t>Auckland Airport</t>
  </si>
  <si>
    <t>Portela Airport</t>
  </si>
  <si>
    <t>Gimpo Airport</t>
  </si>
  <si>
    <t>GMP</t>
  </si>
  <si>
    <t>Jiangbei Airport</t>
  </si>
  <si>
    <t>Abha Regional Airport</t>
  </si>
  <si>
    <t>Presidente Juscelino Kubitschek Airport</t>
  </si>
  <si>
    <t>Cairo Airport</t>
  </si>
  <si>
    <t>Tegel Otto Lilienthal Airport</t>
  </si>
  <si>
    <t>TXL</t>
  </si>
  <si>
    <t>Naha Airport</t>
  </si>
  <si>
    <t>Xiaoshan Airport</t>
  </si>
  <si>
    <t>Qatar</t>
  </si>
  <si>
    <t>Doha Airport</t>
  </si>
  <si>
    <t>DOH</t>
  </si>
  <si>
    <t>Sheremetyevo Airport</t>
  </si>
  <si>
    <t>King Abdulaziz Airport</t>
  </si>
  <si>
    <t>JED</t>
  </si>
  <si>
    <t>Xianyang Airport</t>
  </si>
  <si>
    <t>Congonhas Airport</t>
  </si>
  <si>
    <t>CGH</t>
  </si>
  <si>
    <t>ElefthÃ©rios VenizÃ©los Airport</t>
  </si>
  <si>
    <t>Midway Airport</t>
  </si>
  <si>
    <t>MDW</t>
  </si>
  <si>
    <t>Tampa Airport</t>
  </si>
  <si>
    <t>TPA</t>
  </si>
  <si>
    <t>Tan Son Nhat Airport</t>
  </si>
  <si>
    <t>Kansai Airport</t>
  </si>
  <si>
    <t>San Diego Airport</t>
  </si>
  <si>
    <t>SAN</t>
  </si>
  <si>
    <t>Arlanda Airport</t>
  </si>
  <si>
    <t>ARN</t>
  </si>
  <si>
    <t>Ronald Reagan National Airport</t>
  </si>
  <si>
    <t>DCA</t>
  </si>
  <si>
    <t>Honolulu Airport</t>
  </si>
  <si>
    <t>Kobenhavns Airport</t>
  </si>
  <si>
    <t>CPH</t>
  </si>
  <si>
    <t>Vancouver Airport</t>
  </si>
  <si>
    <t>Fukuoka Airport</t>
  </si>
  <si>
    <t>FUK</t>
  </si>
  <si>
    <t>Antalya Airport</t>
  </si>
  <si>
    <t>AYT</t>
  </si>
  <si>
    <t>Oliver Reginald Tambo Airport</t>
  </si>
  <si>
    <t>DÃ¼sseldorf Airport</t>
  </si>
  <si>
    <t>Brussels Airport</t>
  </si>
  <si>
    <t>New Chitose Airport</t>
  </si>
  <si>
    <t>Itami Airport</t>
  </si>
  <si>
    <t>El Dorado Airport</t>
  </si>
  <si>
    <t>Kunming Changshui Airport</t>
  </si>
  <si>
    <t>Malpensa CittÃ di Milano Airport</t>
  </si>
  <si>
    <t>MXP</t>
  </si>
  <si>
    <t>Gardermoen Airport</t>
  </si>
  <si>
    <t>Vienna Airport</t>
  </si>
  <si>
    <t>Salt Lake City Airport</t>
  </si>
  <si>
    <t>SLC</t>
  </si>
  <si>
    <t>Brisbane Airport</t>
  </si>
  <si>
    <t>Domodedovo Airport</t>
  </si>
  <si>
    <t>Hollywood Airport</t>
  </si>
  <si>
    <t>FLL</t>
  </si>
  <si>
    <t>Thurgood Marshall Airport</t>
  </si>
  <si>
    <t>BWI</t>
  </si>
  <si>
    <t>Kloten Airport</t>
  </si>
  <si>
    <t>King Khalid Airport</t>
  </si>
  <si>
    <t>LaGuardia Airport</t>
  </si>
  <si>
    <t>LGA</t>
  </si>
  <si>
    <t>Ninoy Aquino Airport</t>
  </si>
  <si>
    <t>Dulles Airport</t>
  </si>
  <si>
    <t>Stansted Airport</t>
  </si>
  <si>
    <t>Shuangliu Airport</t>
  </si>
  <si>
    <t>Prince Mohammad Bin Abdulaziz Airport</t>
  </si>
  <si>
    <t>Nakhon Phanom Airport</t>
  </si>
  <si>
    <t>KOP</t>
  </si>
  <si>
    <t>Palma de Mallorca Airport</t>
  </si>
  <si>
    <t>Manchester Airport</t>
  </si>
  <si>
    <t>Dublin Airport</t>
  </si>
  <si>
    <t>DUB</t>
  </si>
  <si>
    <t>Baoan Airport</t>
  </si>
  <si>
    <t>Taiwan Taoyuan Airport</t>
  </si>
  <si>
    <t>Hongqiao Airport</t>
  </si>
  <si>
    <t>General E. Lawrence Logan Airport</t>
  </si>
  <si>
    <t>Benito JuÃ¡rez Airport</t>
  </si>
  <si>
    <t>MEX</t>
  </si>
  <si>
    <t>Guarulhos Governador AndrÃ© Franco Montoro Airport</t>
  </si>
  <si>
    <t>Orly Airport</t>
  </si>
  <si>
    <t>ORY</t>
  </si>
  <si>
    <t>Kuala Lumpur Airport</t>
  </si>
  <si>
    <t>Tullamarine Airport</t>
  </si>
  <si>
    <t>Chhatrapati Shivaji Airport</t>
  </si>
  <si>
    <t>Indira Gandhi Airport</t>
  </si>
  <si>
    <t>Philadelphia Airport</t>
  </si>
  <si>
    <t>Incheon Airport</t>
  </si>
  <si>
    <t>Barcelona Airport</t>
  </si>
  <si>
    <t>Metropolitan Wayne County Airport</t>
  </si>
  <si>
    <t>DTW</t>
  </si>
  <si>
    <t>Seattleâ€“Tacoma Airport</t>
  </si>
  <si>
    <t>SEA</t>
  </si>
  <si>
    <t>Minneapolisâ€“Saint Paul Airport</t>
  </si>
  <si>
    <t>MSP</t>
  </si>
  <si>
    <t>Lester B. Pearson Airport</t>
  </si>
  <si>
    <t>YYZ</t>
  </si>
  <si>
    <t>Newark Liberty Airport</t>
  </si>
  <si>
    <t>Narita Airport</t>
  </si>
  <si>
    <t>Gatwick Airport</t>
  </si>
  <si>
    <t>Franz Josef StrauÃŸ Airport</t>
  </si>
  <si>
    <t>Orlando Airport</t>
  </si>
  <si>
    <t>MCO</t>
  </si>
  <si>
    <t>Miami Airport</t>
  </si>
  <si>
    <t>Kingsford Smith Airport</t>
  </si>
  <si>
    <t>Leonardo da Vinci Airport</t>
  </si>
  <si>
    <t>Charlotte</t>
  </si>
  <si>
    <t>CLT</t>
  </si>
  <si>
    <t>Phoenix Sky Harbor Airport</t>
  </si>
  <si>
    <t>PHX</t>
  </si>
  <si>
    <t>Don Meuang Airport</t>
  </si>
  <si>
    <t>San Francisco Airport</t>
  </si>
  <si>
    <t>SFO</t>
  </si>
  <si>
    <t>McCarran Airport</t>
  </si>
  <si>
    <t>LAS</t>
  </si>
  <si>
    <t>George Bush Intercontinental Airport</t>
  </si>
  <si>
    <t>IAH</t>
  </si>
  <si>
    <t>Pudong Airport</t>
  </si>
  <si>
    <t>Baiyun Airport</t>
  </si>
  <si>
    <t>Changi Airport</t>
  </si>
  <si>
    <t>Suvarnabhumi Airport</t>
  </si>
  <si>
    <t>Soekarno Hatta Airport</t>
  </si>
  <si>
    <t>Amsterdam Schiphol Airport</t>
  </si>
  <si>
    <t>John F. Kennedy Airport</t>
  </si>
  <si>
    <t>Dubai Airport</t>
  </si>
  <si>
    <t>Haneda Airport</t>
  </si>
  <si>
    <t>Istanbul Airport</t>
  </si>
  <si>
    <t>Hong Kong Airport</t>
  </si>
  <si>
    <t>Los Angeles Airport</t>
  </si>
  <si>
    <t>LAX</t>
  </si>
  <si>
    <t>Frankfurt am Main Airport</t>
  </si>
  <si>
    <t>Barajas Airport</t>
  </si>
  <si>
    <t>Dallas</t>
  </si>
  <si>
    <t>DFW</t>
  </si>
  <si>
    <t>Charles de Gaulle Airport</t>
  </si>
  <si>
    <t>Heathrow Airport</t>
  </si>
  <si>
    <t>OHare Airport</t>
  </si>
  <si>
    <t>ORD</t>
  </si>
  <si>
    <t>Beijing Daxing Airport</t>
  </si>
  <si>
    <t>Denver Airport</t>
  </si>
  <si>
    <t>DEN</t>
  </si>
  <si>
    <t>Beijing Capital Airport</t>
  </si>
  <si>
    <t>Hartsfield Jackson Airport</t>
  </si>
  <si>
    <t>ATL</t>
  </si>
  <si>
    <t>FIRST</t>
  </si>
  <si>
    <t>GROSS PRICE</t>
  </si>
  <si>
    <t>FLIGHT TAX</t>
  </si>
  <si>
    <t>AIRPORT NAME</t>
  </si>
  <si>
    <t xml:space="preserve"> Malawi </t>
  </si>
  <si>
    <t>Mzuzu</t>
  </si>
  <si>
    <t>ZZU</t>
  </si>
  <si>
    <t xml:space="preserve"> Belgium - Rail service </t>
  </si>
  <si>
    <t>Brussels</t>
  </si>
  <si>
    <t>ZYR</t>
  </si>
  <si>
    <t xml:space="preserve"> Bangladesh </t>
  </si>
  <si>
    <t>Sylhet</t>
  </si>
  <si>
    <t xml:space="preserve"> Norway </t>
  </si>
  <si>
    <t>Rognan</t>
  </si>
  <si>
    <t>ZXM</t>
  </si>
  <si>
    <t xml:space="preserve"> Germany - Rail service </t>
  </si>
  <si>
    <t>Stuttgart</t>
  </si>
  <si>
    <t>ZWS</t>
  </si>
  <si>
    <t xml:space="preserve"> SK </t>
  </si>
  <si>
    <t>Wollaston Lake</t>
  </si>
  <si>
    <t xml:space="preserve"> Laos </t>
  </si>
  <si>
    <t>Savannakhet</t>
  </si>
  <si>
    <t xml:space="preserve"> Madagascar </t>
  </si>
  <si>
    <t>Miandrivazo</t>
  </si>
  <si>
    <t>ZVA</t>
  </si>
  <si>
    <t xml:space="preserve"> NL </t>
  </si>
  <si>
    <t>Churchill Falls</t>
  </si>
  <si>
    <t xml:space="preserve"> China </t>
  </si>
  <si>
    <t>Zhuhai</t>
  </si>
  <si>
    <t xml:space="preserve"> MB </t>
  </si>
  <si>
    <t>Shamattawa</t>
  </si>
  <si>
    <t xml:space="preserve"> Greece </t>
  </si>
  <si>
    <t>Zakinthos Island</t>
  </si>
  <si>
    <t xml:space="preserve"> QC </t>
  </si>
  <si>
    <t>Tete-a-La Baleine</t>
  </si>
  <si>
    <t>ZTB</t>
  </si>
  <si>
    <t xml:space="preserve"> ON </t>
  </si>
  <si>
    <t>Sandy Lake</t>
  </si>
  <si>
    <t xml:space="preserve"> Reunion </t>
  </si>
  <si>
    <t>St. Pierre de la Reunion</t>
  </si>
  <si>
    <t xml:space="preserve"> Bahamas </t>
  </si>
  <si>
    <t>San Salvador</t>
  </si>
  <si>
    <t xml:space="preserve"> Indonesia </t>
  </si>
  <si>
    <t>Sarmi</t>
  </si>
  <si>
    <t>ZRM</t>
  </si>
  <si>
    <t xml:space="preserve"> IL - Van Galder Bus </t>
  </si>
  <si>
    <t>Rockford</t>
  </si>
  <si>
    <t>ZRK</t>
  </si>
  <si>
    <t>Round Lake</t>
  </si>
  <si>
    <t>Servi</t>
  </si>
  <si>
    <t>ZRI</t>
  </si>
  <si>
    <t xml:space="preserve"> Switzerland </t>
  </si>
  <si>
    <t>Zurich</t>
  </si>
  <si>
    <t xml:space="preserve"> IL - Park&amp;Ride Bus </t>
  </si>
  <si>
    <t>ZRF</t>
  </si>
  <si>
    <t xml:space="preserve"> New Zealand </t>
  </si>
  <si>
    <t>Queenstown</t>
  </si>
  <si>
    <t>Sachigo Lake</t>
  </si>
  <si>
    <t xml:space="preserve"> Tanzania - Kisauni </t>
  </si>
  <si>
    <t>Zanzibar</t>
  </si>
  <si>
    <t xml:space="preserve"> WA</t>
  </si>
  <si>
    <t>Newman</t>
  </si>
  <si>
    <t xml:space="preserve"> BC - Harbour Airport </t>
  </si>
  <si>
    <t>Nanaimo</t>
  </si>
  <si>
    <t>ZNA</t>
  </si>
  <si>
    <t>La Tabatiere</t>
  </si>
  <si>
    <t>ZLT</t>
  </si>
  <si>
    <t xml:space="preserve"> Mexico </t>
  </si>
  <si>
    <t>Manzanillo</t>
  </si>
  <si>
    <t xml:space="preserve"> France </t>
  </si>
  <si>
    <t>Le Mans</t>
  </si>
  <si>
    <t>ZLN</t>
  </si>
  <si>
    <t>Kegaska</t>
  </si>
  <si>
    <t>ZKG</t>
  </si>
  <si>
    <t>Kaschechewan</t>
  </si>
  <si>
    <t xml:space="preserve"> Zambia </t>
  </si>
  <si>
    <t>Kasaba Bay</t>
  </si>
  <si>
    <t>ZKB</t>
  </si>
  <si>
    <t>Swan River</t>
  </si>
  <si>
    <t>ZJN</t>
  </si>
  <si>
    <t>Ixtapa</t>
  </si>
  <si>
    <t xml:space="preserve"> Denmark - Bus service </t>
  </si>
  <si>
    <t>Aarhus</t>
  </si>
  <si>
    <t>ZID</t>
  </si>
  <si>
    <t xml:space="preserve"> Germany </t>
  </si>
  <si>
    <t>Halberstadt</t>
  </si>
  <si>
    <t>ZHQ</t>
  </si>
  <si>
    <t xml:space="preserve"> BC - Bus station </t>
  </si>
  <si>
    <t>Houston</t>
  </si>
  <si>
    <t>ZHO</t>
  </si>
  <si>
    <t>Zhanjiang</t>
  </si>
  <si>
    <t xml:space="preserve"> Vanuatu </t>
  </si>
  <si>
    <t>Gaua</t>
  </si>
  <si>
    <t>ZGU</t>
  </si>
  <si>
    <t>Gethsemani</t>
  </si>
  <si>
    <t>ZGS</t>
  </si>
  <si>
    <t>Gods River</t>
  </si>
  <si>
    <t>Lanzhou</t>
  </si>
  <si>
    <t>ZGC</t>
  </si>
  <si>
    <t xml:space="preserve"> NT </t>
  </si>
  <si>
    <t>Tulita/Fort Norman</t>
  </si>
  <si>
    <t>ZFN</t>
  </si>
  <si>
    <t>Fond du Lac</t>
  </si>
  <si>
    <t>East Main</t>
  </si>
  <si>
    <t xml:space="preserve"> BC </t>
  </si>
  <si>
    <t>Bella Bella</t>
  </si>
  <si>
    <t>ZEL</t>
  </si>
  <si>
    <t>Senggo</t>
  </si>
  <si>
    <t>ZEG</t>
  </si>
  <si>
    <t xml:space="preserve"> Czech Republic - Bus service </t>
  </si>
  <si>
    <t>Brno</t>
  </si>
  <si>
    <t>ZDN</t>
  </si>
  <si>
    <t xml:space="preserve"> Switzerland - Rail service </t>
  </si>
  <si>
    <t>Berne</t>
  </si>
  <si>
    <t>ZDJ</t>
  </si>
  <si>
    <t>Basel/Mulhouse Railway Station</t>
  </si>
  <si>
    <t>ZDH</t>
  </si>
  <si>
    <t xml:space="preserve"> Chile </t>
  </si>
  <si>
    <t>Temuco</t>
  </si>
  <si>
    <t>Sayaboury</t>
  </si>
  <si>
    <t>ZBY</t>
  </si>
  <si>
    <t xml:space="preserve"> CO - Van service </t>
  </si>
  <si>
    <t>Beaver Creek</t>
  </si>
  <si>
    <t>ZBV</t>
  </si>
  <si>
    <t xml:space="preserve"> Iran </t>
  </si>
  <si>
    <t>Chah-Bahar</t>
  </si>
  <si>
    <t>ZBR</t>
  </si>
  <si>
    <t xml:space="preserve"> Denmark </t>
  </si>
  <si>
    <t>Odense</t>
  </si>
  <si>
    <t>ZBQ</t>
  </si>
  <si>
    <t>Fredericia</t>
  </si>
  <si>
    <t>ZBJ</t>
  </si>
  <si>
    <t xml:space="preserve"> NB </t>
  </si>
  <si>
    <t>Bathhurst</t>
  </si>
  <si>
    <t xml:space="preserve"> Denmark - Rail service </t>
  </si>
  <si>
    <t>Esbjerg</t>
  </si>
  <si>
    <t>ZBB</t>
  </si>
  <si>
    <t xml:space="preserve"> Spain and Canary Islands </t>
  </si>
  <si>
    <t>Zaragoza</t>
  </si>
  <si>
    <t xml:space="preserve"> Belgium - Bus service </t>
  </si>
  <si>
    <t>Antwerp</t>
  </si>
  <si>
    <t>ZAY</t>
  </si>
  <si>
    <t>Zhaotong</t>
  </si>
  <si>
    <t>Nuremberg</t>
  </si>
  <si>
    <t>ZAQ</t>
  </si>
  <si>
    <t xml:space="preserve"> Philippines </t>
  </si>
  <si>
    <t>Zamboanga</t>
  </si>
  <si>
    <t>Valdivia</t>
  </si>
  <si>
    <t>Zahedan</t>
  </si>
  <si>
    <t>ZAH</t>
  </si>
  <si>
    <t xml:space="preserve"> Croatia </t>
  </si>
  <si>
    <t>Zagreb</t>
  </si>
  <si>
    <t>Zadar</t>
  </si>
  <si>
    <t>York Landing</t>
  </si>
  <si>
    <t>Sept-Iles</t>
  </si>
  <si>
    <t>Port Hardy</t>
  </si>
  <si>
    <t xml:space="preserve"> NU </t>
  </si>
  <si>
    <t>Coral Harbour</t>
  </si>
  <si>
    <t>Sarnia</t>
  </si>
  <si>
    <t>Salluit</t>
  </si>
  <si>
    <t>Yellowknife</t>
  </si>
  <si>
    <t xml:space="preserve"> ON - International </t>
  </si>
  <si>
    <t>Toronto</t>
  </si>
  <si>
    <t>Mont Joli</t>
  </si>
  <si>
    <t>Kapuskasing</t>
  </si>
  <si>
    <t>Saint Johns</t>
  </si>
  <si>
    <t>Goose Bay</t>
  </si>
  <si>
    <t>Churchill</t>
  </si>
  <si>
    <t xml:space="preserve"> BC - International </t>
  </si>
  <si>
    <t>Victoria</t>
  </si>
  <si>
    <t>Taloyoak</t>
  </si>
  <si>
    <t xml:space="preserve"> PE </t>
  </si>
  <si>
    <t>Charlottetown</t>
  </si>
  <si>
    <t>Penticton</t>
  </si>
  <si>
    <t>Fort Nelson</t>
  </si>
  <si>
    <t>Smithers</t>
  </si>
  <si>
    <t xml:space="preserve"> AB </t>
  </si>
  <si>
    <t>Calgary</t>
  </si>
  <si>
    <t>North Bay</t>
  </si>
  <si>
    <t xml:space="preserve"> YT </t>
  </si>
  <si>
    <t>Whitehorse</t>
  </si>
  <si>
    <t>Abbotsford</t>
  </si>
  <si>
    <t xml:space="preserve"> ON - Municipal Airport </t>
  </si>
  <si>
    <t>London</t>
  </si>
  <si>
    <t>Terrace</t>
  </si>
  <si>
    <t>Prince George</t>
  </si>
  <si>
    <t>Pangnirtung</t>
  </si>
  <si>
    <t>YXP</t>
  </si>
  <si>
    <t>Whale Cove</t>
  </si>
  <si>
    <t>Sioux Lookout</t>
  </si>
  <si>
    <t>Rimouski</t>
  </si>
  <si>
    <t>YXK</t>
  </si>
  <si>
    <t>Fort St John</t>
  </si>
  <si>
    <t>Medicine Hat</t>
  </si>
  <si>
    <t>Saskatoon</t>
  </si>
  <si>
    <t>Cranbrook</t>
  </si>
  <si>
    <t>White River</t>
  </si>
  <si>
    <t>YWR</t>
  </si>
  <si>
    <t>Webequie</t>
  </si>
  <si>
    <t>Williams Harbour</t>
  </si>
  <si>
    <t>YWM</t>
  </si>
  <si>
    <t>Williams Lake</t>
  </si>
  <si>
    <t>Wabush</t>
  </si>
  <si>
    <t>Deline</t>
  </si>
  <si>
    <t xml:space="preserve"> BC - Inner Harbor </t>
  </si>
  <si>
    <t>YWH</t>
  </si>
  <si>
    <t xml:space="preserve"> MB - International </t>
  </si>
  <si>
    <t>Winnipeg</t>
  </si>
  <si>
    <t>Kangiqsujuaq</t>
  </si>
  <si>
    <t>YWB</t>
  </si>
  <si>
    <t>Deer Lake</t>
  </si>
  <si>
    <t>Vancouver</t>
  </si>
  <si>
    <t>Norman Wells</t>
  </si>
  <si>
    <t>Kuujjuaq</t>
  </si>
  <si>
    <t>Val-d'Or</t>
  </si>
  <si>
    <t>Qikiqtarjuaq</t>
  </si>
  <si>
    <t>YVM</t>
  </si>
  <si>
    <t>La Ronge</t>
  </si>
  <si>
    <t>Bonaventure</t>
  </si>
  <si>
    <t>Noranda/Rouyn</t>
  </si>
  <si>
    <t>Hall Beach</t>
  </si>
  <si>
    <t>Repulse Bay</t>
  </si>
  <si>
    <t xml:space="preserve"> AZ </t>
  </si>
  <si>
    <t>Yuma</t>
  </si>
  <si>
    <t xml:space="preserve"> QC - Dorval </t>
  </si>
  <si>
    <t>Montreal</t>
  </si>
  <si>
    <t>Umiujag</t>
  </si>
  <si>
    <t>Tuktoyaktuk</t>
  </si>
  <si>
    <t xml:space="preserve"> ON - Toronto Island Airport </t>
  </si>
  <si>
    <t>Timmins</t>
  </si>
  <si>
    <t>Tasiujuaq</t>
  </si>
  <si>
    <t>Big Trout</t>
  </si>
  <si>
    <t>Thompson</t>
  </si>
  <si>
    <t>Alma</t>
  </si>
  <si>
    <t>Cape Dorset</t>
  </si>
  <si>
    <t>Thicket Portage</t>
  </si>
  <si>
    <t>YTD</t>
  </si>
  <si>
    <t>Pembroke</t>
  </si>
  <si>
    <t>YTA</t>
  </si>
  <si>
    <t>Sachs Harbour</t>
  </si>
  <si>
    <t>Ste Therese Point</t>
  </si>
  <si>
    <t>Nanisivik</t>
  </si>
  <si>
    <t>YSR</t>
  </si>
  <si>
    <t>Postville</t>
  </si>
  <si>
    <t>YSO</t>
  </si>
  <si>
    <t>Fort Smith</t>
  </si>
  <si>
    <t>Saint Leonard</t>
  </si>
  <si>
    <t>Sanikiluaq</t>
  </si>
  <si>
    <t>Saint John</t>
  </si>
  <si>
    <t>Smith Falls</t>
  </si>
  <si>
    <t>YSH</t>
  </si>
  <si>
    <t>Lutselke/Snowdrift</t>
  </si>
  <si>
    <t>YSG</t>
  </si>
  <si>
    <t>Stony Rapids</t>
  </si>
  <si>
    <t>Sudbury</t>
  </si>
  <si>
    <t>Rankin Inlet</t>
  </si>
  <si>
    <t>Red Sucker Lake</t>
  </si>
  <si>
    <t>Red Lake</t>
  </si>
  <si>
    <t>Roberval</t>
  </si>
  <si>
    <t>Rigolet</t>
  </si>
  <si>
    <t>YRG</t>
  </si>
  <si>
    <t>Cartwright</t>
  </si>
  <si>
    <t>Resolute</t>
  </si>
  <si>
    <t>Rae Lakes</t>
  </si>
  <si>
    <t>YRA</t>
  </si>
  <si>
    <t>Quesnel</t>
  </si>
  <si>
    <t xml:space="preserve"> NS </t>
  </si>
  <si>
    <t>Sydney</t>
  </si>
  <si>
    <t>Gander</t>
  </si>
  <si>
    <t>Grande Prairie</t>
  </si>
  <si>
    <t>Thunder Bay</t>
  </si>
  <si>
    <t>Regina</t>
  </si>
  <si>
    <t>Comox</t>
  </si>
  <si>
    <t>Nakina</t>
  </si>
  <si>
    <t xml:space="preserve"> NB - Airport </t>
  </si>
  <si>
    <t>Moncton</t>
  </si>
  <si>
    <t>Lethbridge</t>
  </si>
  <si>
    <t>Kenora</t>
  </si>
  <si>
    <t>Yarmouth</t>
  </si>
  <si>
    <t>Windsor</t>
  </si>
  <si>
    <t>The Pas</t>
  </si>
  <si>
    <t>Quaqtaq</t>
  </si>
  <si>
    <t xml:space="preserve"> QC - International Airport </t>
  </si>
  <si>
    <t>Quebec</t>
  </si>
  <si>
    <t>Burns Lake</t>
  </si>
  <si>
    <t>YPZ</t>
  </si>
  <si>
    <t>Fort Chipewyan</t>
  </si>
  <si>
    <t>Povungnituk</t>
  </si>
  <si>
    <t>YPX</t>
  </si>
  <si>
    <t>Powell River</t>
  </si>
  <si>
    <t xml:space="preserve"> BC - Digby Island Airport </t>
  </si>
  <si>
    <t>Prince Rupert</t>
  </si>
  <si>
    <t>Peawanuck</t>
  </si>
  <si>
    <t>Port Meiner</t>
  </si>
  <si>
    <t>YPN</t>
  </si>
  <si>
    <t>Pikangikum</t>
  </si>
  <si>
    <t>Pickle Lake</t>
  </si>
  <si>
    <t>Aupaluk</t>
  </si>
  <si>
    <t>Inukjuak</t>
  </si>
  <si>
    <t>Esquimalt</t>
  </si>
  <si>
    <t>YPF</t>
  </si>
  <si>
    <t>Peace River</t>
  </si>
  <si>
    <t>Paulatuk</t>
  </si>
  <si>
    <t>Port Alberni</t>
  </si>
  <si>
    <t>YPB</t>
  </si>
  <si>
    <t>Prince Albert</t>
  </si>
  <si>
    <t>Ottawa</t>
  </si>
  <si>
    <t>Rainbow Lake</t>
  </si>
  <si>
    <t>Oshawa</t>
  </si>
  <si>
    <t>YOO</t>
  </si>
  <si>
    <t>High Level</t>
  </si>
  <si>
    <t>Oxford House</t>
  </si>
  <si>
    <t>Ogoki</t>
  </si>
  <si>
    <t>Old Crow</t>
  </si>
  <si>
    <t>Yancheng</t>
  </si>
  <si>
    <t>Yantai</t>
  </si>
  <si>
    <t>Nemiscau</t>
  </si>
  <si>
    <t>North Spirit Lake</t>
  </si>
  <si>
    <t>Points North Landing</t>
  </si>
  <si>
    <t>Yanji</t>
  </si>
  <si>
    <t xml:space="preserve"> OH </t>
  </si>
  <si>
    <t>Youngstown</t>
  </si>
  <si>
    <t>Norway House</t>
  </si>
  <si>
    <t>Wemindji</t>
  </si>
  <si>
    <t xml:space="preserve"> Saudi Arabia </t>
  </si>
  <si>
    <t>Yanbu</t>
  </si>
  <si>
    <t>Natashquan</t>
  </si>
  <si>
    <t xml:space="preserve"> QC - Downtown Rail service </t>
  </si>
  <si>
    <t>YMY</t>
  </si>
  <si>
    <t xml:space="preserve"> QC - Mirabel </t>
  </si>
  <si>
    <t>YMX</t>
  </si>
  <si>
    <t xml:space="preserve"> QC - all airports </t>
  </si>
  <si>
    <t>YMQ</t>
  </si>
  <si>
    <t>Moosonee</t>
  </si>
  <si>
    <t>Fort Mcmurray</t>
  </si>
  <si>
    <t>Mary's Harbour</t>
  </si>
  <si>
    <t>YMH</t>
  </si>
  <si>
    <t>Kelowna</t>
  </si>
  <si>
    <t>Leaf Rapids</t>
  </si>
  <si>
    <t>YLR</t>
  </si>
  <si>
    <t>La Tuque</t>
  </si>
  <si>
    <t>YLQ</t>
  </si>
  <si>
    <t>Lloydminister</t>
  </si>
  <si>
    <t>Lansdowne House</t>
  </si>
  <si>
    <t>Wha Ti/Lac La Martre</t>
  </si>
  <si>
    <t>YLE</t>
  </si>
  <si>
    <t>Chapleau</t>
  </si>
  <si>
    <t>YLD</t>
  </si>
  <si>
    <t xml:space="preserve">Kimmirut/Lake Harbour NU </t>
  </si>
  <si>
    <t>YLC</t>
  </si>
  <si>
    <t>Chisasibi</t>
  </si>
  <si>
    <t>Klemtu</t>
  </si>
  <si>
    <t>YKT</t>
  </si>
  <si>
    <t xml:space="preserve"> Russia </t>
  </si>
  <si>
    <t>Yakutsk</t>
  </si>
  <si>
    <t>Waskaganish</t>
  </si>
  <si>
    <t xml:space="preserve"> WA </t>
  </si>
  <si>
    <t>Yakima</t>
  </si>
  <si>
    <t>Schefferville</t>
  </si>
  <si>
    <t>YKL</t>
  </si>
  <si>
    <t>Kangirsuk</t>
  </si>
  <si>
    <t>Kitchener</t>
  </si>
  <si>
    <t>Kamloops</t>
  </si>
  <si>
    <t>Stephenville</t>
  </si>
  <si>
    <t>Yiwu</t>
  </si>
  <si>
    <t xml:space="preserve">Island Lake/Garden Hill </t>
  </si>
  <si>
    <t>Pond Inlet</t>
  </si>
  <si>
    <t>Yining</t>
  </si>
  <si>
    <t>Ivujivik</t>
  </si>
  <si>
    <t>Yichang</t>
  </si>
  <si>
    <t>Pakuashipi</t>
  </si>
  <si>
    <t xml:space="preserve"> NS - International </t>
  </si>
  <si>
    <t>Halifax</t>
  </si>
  <si>
    <t>Hay River</t>
  </si>
  <si>
    <t>Chevery</t>
  </si>
  <si>
    <t>Poplar Hill</t>
  </si>
  <si>
    <t>Hopedale</t>
  </si>
  <si>
    <t>YHO</t>
  </si>
  <si>
    <t>Hamilton</t>
  </si>
  <si>
    <t>Gjoa Haven</t>
  </si>
  <si>
    <t>Holman</t>
  </si>
  <si>
    <t>YHG</t>
  </si>
  <si>
    <t>Dryden</t>
  </si>
  <si>
    <t>Hudson Bay</t>
  </si>
  <si>
    <t>YHB</t>
  </si>
  <si>
    <t>Port Hope Simpson</t>
  </si>
  <si>
    <t>YHA</t>
  </si>
  <si>
    <t>Grise Fiord</t>
  </si>
  <si>
    <t>YGZ</t>
  </si>
  <si>
    <t>Gillam</t>
  </si>
  <si>
    <t>Kuujjuarapik</t>
  </si>
  <si>
    <t>Havre St Pierre</t>
  </si>
  <si>
    <t>Igloolik</t>
  </si>
  <si>
    <t>Iles De La Madeleine</t>
  </si>
  <si>
    <t>Gaspe</t>
  </si>
  <si>
    <t>Gods Narrows</t>
  </si>
  <si>
    <t>La Grande</t>
  </si>
  <si>
    <t xml:space="preserve"> ON - Norman Rogers Airport </t>
  </si>
  <si>
    <t>Kingston</t>
  </si>
  <si>
    <t xml:space="preserve"> Japan </t>
  </si>
  <si>
    <t>Yonago</t>
  </si>
  <si>
    <t>YGJ</t>
  </si>
  <si>
    <t>Fort Good Hope</t>
  </si>
  <si>
    <t>Gillies Bay</t>
  </si>
  <si>
    <t>YGB</t>
  </si>
  <si>
    <t xml:space="preserve"> QC - Charny Rail service </t>
  </si>
  <si>
    <t>YFZ</t>
  </si>
  <si>
    <t>Fox Harbour/St Lewis</t>
  </si>
  <si>
    <t>YFX</t>
  </si>
  <si>
    <t>Fort Simpson</t>
  </si>
  <si>
    <t>Flin Flon</t>
  </si>
  <si>
    <t>Snare Lake</t>
  </si>
  <si>
    <t>YFJ</t>
  </si>
  <si>
    <t>Fort Hope</t>
  </si>
  <si>
    <t>Fredericton</t>
  </si>
  <si>
    <t>Iqaluit</t>
  </si>
  <si>
    <t>Fort Albany</t>
  </si>
  <si>
    <t>Inuvik</t>
  </si>
  <si>
    <t>Fort Severn</t>
  </si>
  <si>
    <t>Arviat</t>
  </si>
  <si>
    <t xml:space="preserve"> AB - International </t>
  </si>
  <si>
    <t>Edmonton</t>
  </si>
  <si>
    <t>Dawson Creek</t>
  </si>
  <si>
    <t>Nain</t>
  </si>
  <si>
    <t>YDP</t>
  </si>
  <si>
    <t>Dauphin</t>
  </si>
  <si>
    <t>Davis Inlet</t>
  </si>
  <si>
    <t>YDI</t>
  </si>
  <si>
    <t>Dawson City</t>
  </si>
  <si>
    <t>Clyde River</t>
  </si>
  <si>
    <t>Chesterfield Inlet</t>
  </si>
  <si>
    <t>Cross Lake</t>
  </si>
  <si>
    <t>Kugluktuk/Coppermine</t>
  </si>
  <si>
    <t>St Catharines</t>
  </si>
  <si>
    <t>YCM</t>
  </si>
  <si>
    <t>Colville Lake</t>
  </si>
  <si>
    <t>YCK</t>
  </si>
  <si>
    <t>Castlegar</t>
  </si>
  <si>
    <t xml:space="preserve"> BC - Cassidy Airport </t>
  </si>
  <si>
    <t>Cornwall</t>
  </si>
  <si>
    <t>YCC</t>
  </si>
  <si>
    <t>Cambridge Bay</t>
  </si>
  <si>
    <t>Courtenay</t>
  </si>
  <si>
    <t>YCA</t>
  </si>
  <si>
    <t xml:space="preserve"> ON - Downtown Rail service </t>
  </si>
  <si>
    <t>YBZ</t>
  </si>
  <si>
    <t>Blanc Sablon</t>
  </si>
  <si>
    <t>Berens River</t>
  </si>
  <si>
    <t>YBV</t>
  </si>
  <si>
    <t>Brochet</t>
  </si>
  <si>
    <t>Opapamiska Lake</t>
  </si>
  <si>
    <t>YBS</t>
  </si>
  <si>
    <t>Brandon</t>
  </si>
  <si>
    <t>Yibin</t>
  </si>
  <si>
    <t>Campbell River</t>
  </si>
  <si>
    <t>Baker Lake</t>
  </si>
  <si>
    <t>Black Tickle</t>
  </si>
  <si>
    <t>YBI</t>
  </si>
  <si>
    <t>Bagotville</t>
  </si>
  <si>
    <t>Uranium City</t>
  </si>
  <si>
    <t>Baie Comeau</t>
  </si>
  <si>
    <t>Kugaaruk</t>
  </si>
  <si>
    <t xml:space="preserve"> BC</t>
  </si>
  <si>
    <t>Tofino</t>
  </si>
  <si>
    <t>St Anthony</t>
  </si>
  <si>
    <t>Angling Lake</t>
  </si>
  <si>
    <t>Attawapiskat</t>
  </si>
  <si>
    <t xml:space="preserve"> Micronesia </t>
  </si>
  <si>
    <t>Yap</t>
  </si>
  <si>
    <t xml:space="preserve"> Cameroon </t>
  </si>
  <si>
    <t>Yaounde</t>
  </si>
  <si>
    <t>YAO</t>
  </si>
  <si>
    <t>Sault Ste-Marie</t>
  </si>
  <si>
    <t xml:space="preserve"> AK </t>
  </si>
  <si>
    <t>Yakutat</t>
  </si>
  <si>
    <t>Chillan</t>
  </si>
  <si>
    <t>YAI</t>
  </si>
  <si>
    <t>Fort Frances</t>
  </si>
  <si>
    <t>Cat Lake</t>
  </si>
  <si>
    <t>Arctic Bay</t>
  </si>
  <si>
    <t>Anahim Lake</t>
  </si>
  <si>
    <t xml:space="preserve"> AB - Rail service </t>
  </si>
  <si>
    <t>XZL</t>
  </si>
  <si>
    <t xml:space="preserve"> ON - Rail service </t>
  </si>
  <si>
    <t>Glencoe</t>
  </si>
  <si>
    <t>XZC</t>
  </si>
  <si>
    <t>Casselman</t>
  </si>
  <si>
    <t>XZB</t>
  </si>
  <si>
    <t xml:space="preserve"> France - Lyon Part-Dieu Rail service </t>
  </si>
  <si>
    <t>Lyon</t>
  </si>
  <si>
    <t>XYD</t>
  </si>
  <si>
    <t xml:space="preserve"> Solomon Islands </t>
  </si>
  <si>
    <t>Yandina</t>
  </si>
  <si>
    <t>XYA</t>
  </si>
  <si>
    <t>Wyoming</t>
  </si>
  <si>
    <t>XWY</t>
  </si>
  <si>
    <t>Watford</t>
  </si>
  <si>
    <t>XWA</t>
  </si>
  <si>
    <t>Belleville</t>
  </si>
  <si>
    <t>XVV</t>
  </si>
  <si>
    <t>Valenciennes</t>
  </si>
  <si>
    <t>XVS</t>
  </si>
  <si>
    <t>Xuzhou</t>
  </si>
  <si>
    <t>Strathroy</t>
  </si>
  <si>
    <t>XTY</t>
  </si>
  <si>
    <t>Tadoule Lake</t>
  </si>
  <si>
    <t>XTL</t>
  </si>
  <si>
    <t xml:space="preserve"> QL</t>
  </si>
  <si>
    <t>Thargomindah</t>
  </si>
  <si>
    <t>XTG</t>
  </si>
  <si>
    <t xml:space="preserve"> Singapore - Seletar </t>
  </si>
  <si>
    <t>XSP</t>
  </si>
  <si>
    <t>South Indian Lake</t>
  </si>
  <si>
    <t xml:space="preserve"> France - Rail service </t>
  </si>
  <si>
    <t>Tours</t>
  </si>
  <si>
    <t>XSH</t>
  </si>
  <si>
    <t xml:space="preserve"> Turks and Caicos Islands </t>
  </si>
  <si>
    <t>South Caicos</t>
  </si>
  <si>
    <t>XSC</t>
  </si>
  <si>
    <t xml:space="preserve"> Spain </t>
  </si>
  <si>
    <t>Jerez De La Frontere</t>
  </si>
  <si>
    <t xml:space="preserve"> QC - Rail service </t>
  </si>
  <si>
    <t>Riviere-a-Pierre</t>
  </si>
  <si>
    <t>XRP</t>
  </si>
  <si>
    <t>Qualicum</t>
  </si>
  <si>
    <t>XQU</t>
  </si>
  <si>
    <t xml:space="preserve"> Costa Rica </t>
  </si>
  <si>
    <t>Quepos</t>
  </si>
  <si>
    <t>Saint Tropez</t>
  </si>
  <si>
    <t>XPZ</t>
  </si>
  <si>
    <t>Pointe-aux-Trembles</t>
  </si>
  <si>
    <t>XPX</t>
  </si>
  <si>
    <t>Brampton</t>
  </si>
  <si>
    <t>XPN</t>
  </si>
  <si>
    <t xml:space="preserve"> MB - </t>
  </si>
  <si>
    <t>Pukatawagan</t>
  </si>
  <si>
    <t>XPK</t>
  </si>
  <si>
    <t xml:space="preserve"> BC - Rail service </t>
  </si>
  <si>
    <t>Parksville</t>
  </si>
  <si>
    <t>XPB</t>
  </si>
  <si>
    <t>Poitiers</t>
  </si>
  <si>
    <t>XOP</t>
  </si>
  <si>
    <t>Xining</t>
  </si>
  <si>
    <t xml:space="preserve"> United Arab Emirates - Bus Station </t>
  </si>
  <si>
    <t>Dubai</t>
  </si>
  <si>
    <t>XNB</t>
  </si>
  <si>
    <t xml:space="preserve"> AR - Northwest Arkansas Regional </t>
  </si>
  <si>
    <t>Fayetteville</t>
  </si>
  <si>
    <t>Yam Island</t>
  </si>
  <si>
    <t>XMY</t>
  </si>
  <si>
    <t xml:space="preserve"> Ecuador </t>
  </si>
  <si>
    <t>Macas</t>
  </si>
  <si>
    <t>XMS</t>
  </si>
  <si>
    <t>Xiamen</t>
  </si>
  <si>
    <t xml:space="preserve"> French Polynesia </t>
  </si>
  <si>
    <t>Manihi</t>
  </si>
  <si>
    <t>XMH</t>
  </si>
  <si>
    <t xml:space="preserve"> NS - Rail service </t>
  </si>
  <si>
    <t>Truro</t>
  </si>
  <si>
    <t>XLZ</t>
  </si>
  <si>
    <t>Aldershot</t>
  </si>
  <si>
    <t>XLY</t>
  </si>
  <si>
    <t>Niagara Falls</t>
  </si>
  <si>
    <t>XLV</t>
  </si>
  <si>
    <t xml:space="preserve"> ON - Guildwood Rail service </t>
  </si>
  <si>
    <t>XLQ</t>
  </si>
  <si>
    <t xml:space="preserve"> QC - St Lambert Rail service </t>
  </si>
  <si>
    <t>XLM</t>
  </si>
  <si>
    <t xml:space="preserve"> QC - Levis Rail service </t>
  </si>
  <si>
    <t>XLK</t>
  </si>
  <si>
    <t xml:space="preserve"> QC - Quebec Station Rail service </t>
  </si>
  <si>
    <t>XLJ</t>
  </si>
  <si>
    <t>Lac Brochet</t>
  </si>
  <si>
    <t xml:space="preserve"> NB - Rail service </t>
  </si>
  <si>
    <t>Sackville</t>
  </si>
  <si>
    <t>XKV</t>
  </si>
  <si>
    <t>Kasabonika</t>
  </si>
  <si>
    <t>Xieng Khouang</t>
  </si>
  <si>
    <t>Jonquiere</t>
  </si>
  <si>
    <t>XJQ</t>
  </si>
  <si>
    <t>Joliette</t>
  </si>
  <si>
    <t>XJL</t>
  </si>
  <si>
    <t xml:space="preserve"> China - Xianyang </t>
  </si>
  <si>
    <t>Xi An</t>
  </si>
  <si>
    <t>Woodstock</t>
  </si>
  <si>
    <t>XIP</t>
  </si>
  <si>
    <t>St Marys</t>
  </si>
  <si>
    <t>XIO</t>
  </si>
  <si>
    <t>Saint Hyacinthe</t>
  </si>
  <si>
    <t>XIM</t>
  </si>
  <si>
    <t>Xilinhot</t>
  </si>
  <si>
    <t>Prescott</t>
  </si>
  <si>
    <t>XII</t>
  </si>
  <si>
    <t>Napanee</t>
  </si>
  <si>
    <t>XIF</t>
  </si>
  <si>
    <t>Maxville</t>
  </si>
  <si>
    <t>XID</t>
  </si>
  <si>
    <t>Xichang</t>
  </si>
  <si>
    <t>Ingersoll</t>
  </si>
  <si>
    <t>XIB</t>
  </si>
  <si>
    <t>Guelph</t>
  </si>
  <si>
    <t>XIA</t>
  </si>
  <si>
    <t>Chemainus</t>
  </si>
  <si>
    <t>XHS</t>
  </si>
  <si>
    <t>Georgetown</t>
  </si>
  <si>
    <t>XHM</t>
  </si>
  <si>
    <t xml:space="preserve"> CO - Bus service </t>
  </si>
  <si>
    <t>Boulder</t>
  </si>
  <si>
    <t>XHH</t>
  </si>
  <si>
    <t>Grimsby</t>
  </si>
  <si>
    <t>XGY</t>
  </si>
  <si>
    <t>Kangiqsualujjuaq</t>
  </si>
  <si>
    <t>Coteau</t>
  </si>
  <si>
    <t>XGK</t>
  </si>
  <si>
    <t>Cobourg</t>
  </si>
  <si>
    <t>XGJ</t>
  </si>
  <si>
    <t xml:space="preserve"> QC - Sainte-Foy Rail service </t>
  </si>
  <si>
    <t>XFY</t>
  </si>
  <si>
    <t>Finkenwerder</t>
  </si>
  <si>
    <t>XFW</t>
  </si>
  <si>
    <t>Brantford</t>
  </si>
  <si>
    <t>XFV</t>
  </si>
  <si>
    <t xml:space="preserve">ON - Rail service </t>
  </si>
  <si>
    <t>Alexandria</t>
  </si>
  <si>
    <t>XFS</t>
  </si>
  <si>
    <t>Weymont</t>
  </si>
  <si>
    <t>XFQ</t>
  </si>
  <si>
    <t>Xiangfan</t>
  </si>
  <si>
    <t>Shawnigan</t>
  </si>
  <si>
    <t>XFM</t>
  </si>
  <si>
    <t>Shawinigan</t>
  </si>
  <si>
    <t>XFL</t>
  </si>
  <si>
    <t>Senneterre</t>
  </si>
  <si>
    <t>XFK</t>
  </si>
  <si>
    <t>Perce</t>
  </si>
  <si>
    <t>XFG</t>
  </si>
  <si>
    <t>Parent</t>
  </si>
  <si>
    <t>XFE</t>
  </si>
  <si>
    <t>Fredericton Junction</t>
  </si>
  <si>
    <t>XFC</t>
  </si>
  <si>
    <t>Miramichi</t>
  </si>
  <si>
    <t>XEY</t>
  </si>
  <si>
    <t xml:space="preserve"> France - Bus service </t>
  </si>
  <si>
    <t>Strasbourg</t>
  </si>
  <si>
    <t>XER</t>
  </si>
  <si>
    <t>New Richmond</t>
  </si>
  <si>
    <t>XEM</t>
  </si>
  <si>
    <t>New Carlisle</t>
  </si>
  <si>
    <t>XEL</t>
  </si>
  <si>
    <t xml:space="preserve"> SK - Rail service </t>
  </si>
  <si>
    <t>Melville</t>
  </si>
  <si>
    <t>XEK</t>
  </si>
  <si>
    <t>Langford</t>
  </si>
  <si>
    <t>XEJ</t>
  </si>
  <si>
    <t>Ladysmith</t>
  </si>
  <si>
    <t>XEH</t>
  </si>
  <si>
    <t>XEG</t>
  </si>
  <si>
    <t xml:space="preserve"> MB - Rail service </t>
  </si>
  <si>
    <t>XEF</t>
  </si>
  <si>
    <t>Lac Edouard</t>
  </si>
  <si>
    <t>XEE</t>
  </si>
  <si>
    <t>XEC</t>
  </si>
  <si>
    <t>XEA</t>
  </si>
  <si>
    <t>XDZ</t>
  </si>
  <si>
    <t>XDY</t>
  </si>
  <si>
    <t>XDX</t>
  </si>
  <si>
    <t>XDW</t>
  </si>
  <si>
    <t>XDV</t>
  </si>
  <si>
    <t>Hervey</t>
  </si>
  <si>
    <t>XDU</t>
  </si>
  <si>
    <t>XDS</t>
  </si>
  <si>
    <t>XDQ</t>
  </si>
  <si>
    <t>XDP</t>
  </si>
  <si>
    <t>Drummondville</t>
  </si>
  <si>
    <t>XDM</t>
  </si>
  <si>
    <t>Chandler</t>
  </si>
  <si>
    <t>XDL</t>
  </si>
  <si>
    <t>Jasper</t>
  </si>
  <si>
    <t>XDH</t>
  </si>
  <si>
    <t>XDG</t>
  </si>
  <si>
    <t>XDD</t>
  </si>
  <si>
    <t>Lille</t>
  </si>
  <si>
    <t>XDB</t>
  </si>
  <si>
    <t>Chatham</t>
  </si>
  <si>
    <t>XCM</t>
  </si>
  <si>
    <t>Chambord</t>
  </si>
  <si>
    <t>XCI</t>
  </si>
  <si>
    <t xml:space="preserve"> Christmas Island </t>
  </si>
  <si>
    <t>Christmas Island</t>
  </si>
  <si>
    <t>XCH</t>
  </si>
  <si>
    <t>Brockville</t>
  </si>
  <si>
    <t>XBR</t>
  </si>
  <si>
    <t>Bearskin Lake</t>
  </si>
  <si>
    <t>Campbellton</t>
  </si>
  <si>
    <t>XAZ</t>
  </si>
  <si>
    <t xml:space="preserve"> QC - Dorval Rail service </t>
  </si>
  <si>
    <t>XAX</t>
  </si>
  <si>
    <t>Capreol</t>
  </si>
  <si>
    <t>XAW</t>
  </si>
  <si>
    <t xml:space="preserve"> Brazil </t>
  </si>
  <si>
    <t>Chapeco</t>
  </si>
  <si>
    <t>XAP</t>
  </si>
  <si>
    <t>Herning</t>
  </si>
  <si>
    <t>XAK</t>
  </si>
  <si>
    <t>XAD</t>
  </si>
  <si>
    <t xml:space="preserve"> MT </t>
  </si>
  <si>
    <t>West Yellowstone</t>
  </si>
  <si>
    <t>WYS</t>
  </si>
  <si>
    <t>Wyndham</t>
  </si>
  <si>
    <t>WYN</t>
  </si>
  <si>
    <t xml:space="preserve"> SA</t>
  </si>
  <si>
    <t>Whyalla</t>
  </si>
  <si>
    <t>Wanxian</t>
  </si>
  <si>
    <t>Newtok</t>
  </si>
  <si>
    <t>WWT</t>
  </si>
  <si>
    <t>Whale Pass</t>
  </si>
  <si>
    <t>WWP</t>
  </si>
  <si>
    <t xml:space="preserve"> Papua New Guinea </t>
  </si>
  <si>
    <t>Wewak</t>
  </si>
  <si>
    <t>WWK</t>
  </si>
  <si>
    <t>Wilhelmshaven</t>
  </si>
  <si>
    <t>WVN</t>
  </si>
  <si>
    <t>Manakara</t>
  </si>
  <si>
    <t>WVK</t>
  </si>
  <si>
    <t xml:space="preserve"> Namibia </t>
  </si>
  <si>
    <t>Walvis Bay</t>
  </si>
  <si>
    <t xml:space="preserve"> Sudan </t>
  </si>
  <si>
    <t>Wau</t>
  </si>
  <si>
    <t>WUU</t>
  </si>
  <si>
    <t>Wuyishan</t>
  </si>
  <si>
    <t>Wiluna</t>
  </si>
  <si>
    <t>WUN</t>
  </si>
  <si>
    <t>Wuhan</t>
  </si>
  <si>
    <t>WUG</t>
  </si>
  <si>
    <t>Wudinna</t>
  </si>
  <si>
    <t>WUD</t>
  </si>
  <si>
    <t>Tsiroanomandidy</t>
  </si>
  <si>
    <t>WTS</t>
  </si>
  <si>
    <t xml:space="preserve"> Marshall Islands </t>
  </si>
  <si>
    <t>Wotho Island</t>
  </si>
  <si>
    <t>WTO</t>
  </si>
  <si>
    <t>Tuntutuliak</t>
  </si>
  <si>
    <t>WTL</t>
  </si>
  <si>
    <t>Noatak</t>
  </si>
  <si>
    <t>WTK</t>
  </si>
  <si>
    <t>Wotje Island</t>
  </si>
  <si>
    <t>WTE</t>
  </si>
  <si>
    <t xml:space="preserve"> Madagascar</t>
  </si>
  <si>
    <t>Tambohorano</t>
  </si>
  <si>
    <t>WTA</t>
  </si>
  <si>
    <t>Westport</t>
  </si>
  <si>
    <t>Westsound</t>
  </si>
  <si>
    <t>WSX</t>
  </si>
  <si>
    <t>Wasu</t>
  </si>
  <si>
    <t>WSU</t>
  </si>
  <si>
    <t xml:space="preserve"> RI </t>
  </si>
  <si>
    <t>Westerly</t>
  </si>
  <si>
    <t>Wasior</t>
  </si>
  <si>
    <t>WSR</t>
  </si>
  <si>
    <t>South Naknek</t>
  </si>
  <si>
    <t>WSN</t>
  </si>
  <si>
    <t xml:space="preserve"> United Kingdom </t>
  </si>
  <si>
    <t>Westray</t>
  </si>
  <si>
    <t>WRY</t>
  </si>
  <si>
    <t xml:space="preserve"> Poland </t>
  </si>
  <si>
    <t>Wroclaw</t>
  </si>
  <si>
    <t xml:space="preserve"> WY </t>
  </si>
  <si>
    <t>Worland</t>
  </si>
  <si>
    <t>WRL</t>
  </si>
  <si>
    <t>Wrangell</t>
  </si>
  <si>
    <t>Whangarei</t>
  </si>
  <si>
    <t>Port Berge</t>
  </si>
  <si>
    <t>WPB</t>
  </si>
  <si>
    <t xml:space="preserve"> Taiwan </t>
  </si>
  <si>
    <t>Wonan</t>
  </si>
  <si>
    <t>WOT</t>
  </si>
  <si>
    <t>Wenzhou</t>
  </si>
  <si>
    <t xml:space="preserve"> Pakistan </t>
  </si>
  <si>
    <t>Nawabshah</t>
  </si>
  <si>
    <t>WNS</t>
  </si>
  <si>
    <t>Windarra</t>
  </si>
  <si>
    <t>WNR</t>
  </si>
  <si>
    <t>Naga</t>
  </si>
  <si>
    <t>Wunnummin Lake</t>
  </si>
  <si>
    <t>WNN</t>
  </si>
  <si>
    <t>Napakiak</t>
  </si>
  <si>
    <t>WNA</t>
  </si>
  <si>
    <t>Wamena</t>
  </si>
  <si>
    <t>WMX</t>
  </si>
  <si>
    <t>Mananara</t>
  </si>
  <si>
    <t>WMR</t>
  </si>
  <si>
    <t>Mampikony</t>
  </si>
  <si>
    <t>WMP</t>
  </si>
  <si>
    <t>White Mountain</t>
  </si>
  <si>
    <t>WMO</t>
  </si>
  <si>
    <t>Maroantsetra</t>
  </si>
  <si>
    <t>WMN</t>
  </si>
  <si>
    <t>Meyers Chuck</t>
  </si>
  <si>
    <t>WMK</t>
  </si>
  <si>
    <t xml:space="preserve"> AR </t>
  </si>
  <si>
    <t>Mountain Home</t>
  </si>
  <si>
    <t>WMH</t>
  </si>
  <si>
    <t>Mount Keith</t>
  </si>
  <si>
    <t>WME</t>
  </si>
  <si>
    <t>Mandritsara</t>
  </si>
  <si>
    <t>WMA</t>
  </si>
  <si>
    <t xml:space="preserve"> Wallis and Futuna Islands </t>
  </si>
  <si>
    <t>Wallis Island</t>
  </si>
  <si>
    <t>Selawik</t>
  </si>
  <si>
    <t>WLK</t>
  </si>
  <si>
    <t>Walaha</t>
  </si>
  <si>
    <t>WLH</t>
  </si>
  <si>
    <t>Wellington</t>
  </si>
  <si>
    <t>Aleknagik</t>
  </si>
  <si>
    <t>WKK</t>
  </si>
  <si>
    <t>Wakkanai</t>
  </si>
  <si>
    <t>Wanaka</t>
  </si>
  <si>
    <t xml:space="preserve"> South Korea </t>
  </si>
  <si>
    <t>WonJu</t>
  </si>
  <si>
    <t>Woja</t>
  </si>
  <si>
    <t>WJA</t>
  </si>
  <si>
    <t>Winton</t>
  </si>
  <si>
    <t>WIN</t>
  </si>
  <si>
    <t xml:space="preserve"> Kenya - Wilson </t>
  </si>
  <si>
    <t>Nairobi</t>
  </si>
  <si>
    <t>Wick</t>
  </si>
  <si>
    <t>Whakatane</t>
  </si>
  <si>
    <t xml:space="preserve"> CO - Hiltons Har H </t>
  </si>
  <si>
    <t>WHH</t>
  </si>
  <si>
    <t>Wadi Halfa</t>
  </si>
  <si>
    <t>WHF</t>
  </si>
  <si>
    <t>Waingapo</t>
  </si>
  <si>
    <t>WGP</t>
  </si>
  <si>
    <t xml:space="preserve"> NS</t>
  </si>
  <si>
    <t>Walgett</t>
  </si>
  <si>
    <t>WGE</t>
  </si>
  <si>
    <t>Wagga Wagga</t>
  </si>
  <si>
    <t>Fianarantsoa</t>
  </si>
  <si>
    <t>WFI</t>
  </si>
  <si>
    <t>Wagethe</t>
  </si>
  <si>
    <t>WET</t>
  </si>
  <si>
    <t>Weipa</t>
  </si>
  <si>
    <t>Weihai</t>
  </si>
  <si>
    <t>Wedau</t>
  </si>
  <si>
    <t>WED</t>
  </si>
  <si>
    <t xml:space="preserve"> OK </t>
  </si>
  <si>
    <t>Enid</t>
  </si>
  <si>
    <t>WDG</t>
  </si>
  <si>
    <t xml:space="preserve"> CO - Municipal Airport </t>
  </si>
  <si>
    <t>WBU</t>
  </si>
  <si>
    <t>Beaver</t>
  </si>
  <si>
    <t>WBQ</t>
  </si>
  <si>
    <t>Stebbins</t>
  </si>
  <si>
    <t>WBB</t>
  </si>
  <si>
    <t>Wahai</t>
  </si>
  <si>
    <t>WBA</t>
  </si>
  <si>
    <t>Warsaw</t>
  </si>
  <si>
    <t xml:space="preserve"> Ireland </t>
  </si>
  <si>
    <t>Waterford</t>
  </si>
  <si>
    <t xml:space="preserve">Washington DC - All airports </t>
  </si>
  <si>
    <t>WAS</t>
  </si>
  <si>
    <t>Antsalova</t>
  </si>
  <si>
    <t>WAQ</t>
  </si>
  <si>
    <t>Ambatondrazaka</t>
  </si>
  <si>
    <t>WAM</t>
  </si>
  <si>
    <t>Antsohihy</t>
  </si>
  <si>
    <t>WAI</t>
  </si>
  <si>
    <t>Wanganui</t>
  </si>
  <si>
    <t>Wadi Ad Dawasir</t>
  </si>
  <si>
    <t>Wales</t>
  </si>
  <si>
    <t>WAA</t>
  </si>
  <si>
    <t xml:space="preserve"> Sweden </t>
  </si>
  <si>
    <t>Vaxjo</t>
  </si>
  <si>
    <t xml:space="preserve"> Cape Verde </t>
  </si>
  <si>
    <t>Sao Vicente</t>
  </si>
  <si>
    <t xml:space="preserve"> Mozambique </t>
  </si>
  <si>
    <t>Lichinga</t>
  </si>
  <si>
    <t>Vladivostok</t>
  </si>
  <si>
    <t xml:space="preserve"> Bolivia </t>
  </si>
  <si>
    <t>Santa Cruz</t>
  </si>
  <si>
    <t>Mahanoro</t>
  </si>
  <si>
    <t>VVB</t>
  </si>
  <si>
    <t xml:space="preserve"> Colombia </t>
  </si>
  <si>
    <t>Valledupar</t>
  </si>
  <si>
    <t xml:space="preserve"> India </t>
  </si>
  <si>
    <t>Vishakhapatnam</t>
  </si>
  <si>
    <t xml:space="preserve"> Laos - Wattay </t>
  </si>
  <si>
    <t>Vientiane</t>
  </si>
  <si>
    <t xml:space="preserve"> Belarus </t>
  </si>
  <si>
    <t>Vitebsk</t>
  </si>
  <si>
    <t>VTB</t>
  </si>
  <si>
    <t>Vasteras</t>
  </si>
  <si>
    <t xml:space="preserve"> Uganda </t>
  </si>
  <si>
    <t>Lugansk</t>
  </si>
  <si>
    <t>VSG</t>
  </si>
  <si>
    <t>Villahermosa</t>
  </si>
  <si>
    <t xml:space="preserve"> Italy </t>
  </si>
  <si>
    <t>Verona</t>
  </si>
  <si>
    <t xml:space="preserve"> Finland </t>
  </si>
  <si>
    <t>Varkaus</t>
  </si>
  <si>
    <t xml:space="preserve"> Cuba </t>
  </si>
  <si>
    <t>Varadero</t>
  </si>
  <si>
    <t xml:space="preserve"> Puerto Rico </t>
  </si>
  <si>
    <t>Vieques</t>
  </si>
  <si>
    <t xml:space="preserve"> FL </t>
  </si>
  <si>
    <t>Fort Walton Beach</t>
  </si>
  <si>
    <t xml:space="preserve"> Iceland </t>
  </si>
  <si>
    <t>Vopnafjordur</t>
  </si>
  <si>
    <t>VPN</t>
  </si>
  <si>
    <t>Voronezh</t>
  </si>
  <si>
    <t>Vohemar</t>
  </si>
  <si>
    <t>VOH</t>
  </si>
  <si>
    <t>Volgograd</t>
  </si>
  <si>
    <t>Vilanculos</t>
  </si>
  <si>
    <t>Varanasi</t>
  </si>
  <si>
    <t xml:space="preserve"> Lithuania </t>
  </si>
  <si>
    <t>Vilnius</t>
  </si>
  <si>
    <t>Baimuru</t>
  </si>
  <si>
    <t>VMU</t>
  </si>
  <si>
    <t xml:space="preserve"> SL</t>
  </si>
  <si>
    <t>Villa Mercedes</t>
  </si>
  <si>
    <t xml:space="preserve"> Venezuela </t>
  </si>
  <si>
    <t>Valera</t>
  </si>
  <si>
    <t>VLV</t>
  </si>
  <si>
    <t>Valesdir</t>
  </si>
  <si>
    <t>VLS</t>
  </si>
  <si>
    <t>Valencia</t>
  </si>
  <si>
    <t>Valladolid</t>
  </si>
  <si>
    <t>Volgodonsk</t>
  </si>
  <si>
    <t>VLK</t>
  </si>
  <si>
    <t>Port Vila</t>
  </si>
  <si>
    <t xml:space="preserve"> BA</t>
  </si>
  <si>
    <t>Villa Gesell</t>
  </si>
  <si>
    <t>VLG</t>
  </si>
  <si>
    <t xml:space="preserve"> GA </t>
  </si>
  <si>
    <t>Valdosta</t>
  </si>
  <si>
    <t>Vorkuta</t>
  </si>
  <si>
    <t>VKT</t>
  </si>
  <si>
    <t xml:space="preserve"> Russia - Vnukovo </t>
  </si>
  <si>
    <t>Moscow</t>
  </si>
  <si>
    <t xml:space="preserve"> Viet Nam </t>
  </si>
  <si>
    <t>Rach Gia</t>
  </si>
  <si>
    <t>Vivigani</t>
  </si>
  <si>
    <t>VIV</t>
  </si>
  <si>
    <t>Vitoria</t>
  </si>
  <si>
    <t xml:space="preserve"> CA </t>
  </si>
  <si>
    <t>Visalia</t>
  </si>
  <si>
    <t>VIS</t>
  </si>
  <si>
    <t xml:space="preserve"> Morocco </t>
  </si>
  <si>
    <t>Dakhla</t>
  </si>
  <si>
    <t xml:space="preserve"> British Virgin Islands </t>
  </si>
  <si>
    <t>Virgin Gorda</t>
  </si>
  <si>
    <t>VIJ</t>
  </si>
  <si>
    <t>Vinh City</t>
  </si>
  <si>
    <t>El Vigia</t>
  </si>
  <si>
    <t>VIG</t>
  </si>
  <si>
    <t xml:space="preserve"> Austria </t>
  </si>
  <si>
    <t>Vienna</t>
  </si>
  <si>
    <t>Vilhelmina</t>
  </si>
  <si>
    <t>Vigo</t>
  </si>
  <si>
    <t xml:space="preserve"> Zimbabwe </t>
  </si>
  <si>
    <t>Victoria Falls</t>
  </si>
  <si>
    <t>Vestmannaeyjar</t>
  </si>
  <si>
    <t>Veracruz</t>
  </si>
  <si>
    <t xml:space="preserve"> UT </t>
  </si>
  <si>
    <t>Vernal</t>
  </si>
  <si>
    <t>VEL</t>
  </si>
  <si>
    <t>Venetie</t>
  </si>
  <si>
    <t>VEE</t>
  </si>
  <si>
    <t>Valdez</t>
  </si>
  <si>
    <t>Vadso</t>
  </si>
  <si>
    <t>VDS</t>
  </si>
  <si>
    <t xml:space="preserve"> RN</t>
  </si>
  <si>
    <t>Viedma</t>
  </si>
  <si>
    <t xml:space="preserve"> Spain and Canary Islands - Hierro </t>
  </si>
  <si>
    <t>Valverde</t>
  </si>
  <si>
    <t>Vitoria da Conquista</t>
  </si>
  <si>
    <t>VDC</t>
  </si>
  <si>
    <t>Fagernes</t>
  </si>
  <si>
    <t xml:space="preserve"> Israel </t>
  </si>
  <si>
    <t>Ovda</t>
  </si>
  <si>
    <t xml:space="preserve"> TX </t>
  </si>
  <si>
    <t xml:space="preserve"> Brazil - Viracopos </t>
  </si>
  <si>
    <t>Sao Paulo</t>
  </si>
  <si>
    <t xml:space="preserve"> Italy - Marco Polo </t>
  </si>
  <si>
    <t>Venice</t>
  </si>
  <si>
    <t xml:space="preserve"> NT</t>
  </si>
  <si>
    <t>Victoria River Downs</t>
  </si>
  <si>
    <t>VCD</t>
  </si>
  <si>
    <t>Visby</t>
  </si>
  <si>
    <t xml:space="preserve"> Fiji </t>
  </si>
  <si>
    <t>Vanuabalavu</t>
  </si>
  <si>
    <t>VBV</t>
  </si>
  <si>
    <t>Vardoe</t>
  </si>
  <si>
    <t xml:space="preserve"> Tonga </t>
  </si>
  <si>
    <t>Vava'u</t>
  </si>
  <si>
    <t>Vatomatry</t>
  </si>
  <si>
    <t>VAT</t>
  </si>
  <si>
    <t xml:space="preserve"> Turkey </t>
  </si>
  <si>
    <t>Sivas</t>
  </si>
  <si>
    <t xml:space="preserve"> Bulgaria </t>
  </si>
  <si>
    <t>Varna</t>
  </si>
  <si>
    <t>Suavanao</t>
  </si>
  <si>
    <t>VAO</t>
  </si>
  <si>
    <t>Van</t>
  </si>
  <si>
    <t>Chevak</t>
  </si>
  <si>
    <t>VAK</t>
  </si>
  <si>
    <t>Vanimo</t>
  </si>
  <si>
    <t>VAI</t>
  </si>
  <si>
    <t xml:space="preserve"> MG</t>
  </si>
  <si>
    <t>Varginha</t>
  </si>
  <si>
    <t>VAG</t>
  </si>
  <si>
    <t>Vaasa</t>
  </si>
  <si>
    <t>Yulin</t>
  </si>
  <si>
    <t>Nyala</t>
  </si>
  <si>
    <t xml:space="preserve"> Egypt </t>
  </si>
  <si>
    <t>Kharga</t>
  </si>
  <si>
    <t>UVL</t>
  </si>
  <si>
    <t xml:space="preserve"> St. Lucia </t>
  </si>
  <si>
    <t>St. Lucia</t>
  </si>
  <si>
    <t xml:space="preserve"> New Caledonia </t>
  </si>
  <si>
    <t>Ouvea</t>
  </si>
  <si>
    <t>Yuzhno-Sakhalinsk</t>
  </si>
  <si>
    <t>Ulan-Ude</t>
  </si>
  <si>
    <t>Bugulma</t>
  </si>
  <si>
    <t>UUA</t>
  </si>
  <si>
    <t xml:space="preserve"> South Africa </t>
  </si>
  <si>
    <t>Umtata</t>
  </si>
  <si>
    <t xml:space="preserve"> Thailand </t>
  </si>
  <si>
    <t>Utapao</t>
  </si>
  <si>
    <t>Utopia Creek</t>
  </si>
  <si>
    <t>UTO</t>
  </si>
  <si>
    <t>Upington</t>
  </si>
  <si>
    <t>Utirik Island</t>
  </si>
  <si>
    <t>UTK</t>
  </si>
  <si>
    <t>Udon Thani</t>
  </si>
  <si>
    <t>UTH</t>
  </si>
  <si>
    <t>Ulsan</t>
  </si>
  <si>
    <t>Koh Samui</t>
  </si>
  <si>
    <t>Useless Loop</t>
  </si>
  <si>
    <t>USL</t>
  </si>
  <si>
    <t>Usinsk</t>
  </si>
  <si>
    <t>USK</t>
  </si>
  <si>
    <t xml:space="preserve"> TF</t>
  </si>
  <si>
    <t>Ushuaia</t>
  </si>
  <si>
    <t>Gurayat</t>
  </si>
  <si>
    <t>Uroubi</t>
  </si>
  <si>
    <t>URU</t>
  </si>
  <si>
    <t>Surat Thani</t>
  </si>
  <si>
    <t>Rouen</t>
  </si>
  <si>
    <t>Uraj</t>
  </si>
  <si>
    <t>URJ</t>
  </si>
  <si>
    <t xml:space="preserve"> RS</t>
  </si>
  <si>
    <t>Uruguaiana</t>
  </si>
  <si>
    <t>URG</t>
  </si>
  <si>
    <t>Urumqi</t>
  </si>
  <si>
    <t xml:space="preserve"> Kazakhstan </t>
  </si>
  <si>
    <t>Uralsk</t>
  </si>
  <si>
    <t>Uruapan</t>
  </si>
  <si>
    <t>Ujung Pandang</t>
  </si>
  <si>
    <t>Ranong</t>
  </si>
  <si>
    <t>UNN</t>
  </si>
  <si>
    <t>Unalakleet</t>
  </si>
  <si>
    <t>Kiunga</t>
  </si>
  <si>
    <t>UNG</t>
  </si>
  <si>
    <t>Umea</t>
  </si>
  <si>
    <t xml:space="preserve"> Greeland </t>
  </si>
  <si>
    <t>Uummannaq</t>
  </si>
  <si>
    <t>UMD</t>
  </si>
  <si>
    <t xml:space="preserve"> Mongolia </t>
  </si>
  <si>
    <t>Uliastai</t>
  </si>
  <si>
    <t>Gulu</t>
  </si>
  <si>
    <t>Quipi</t>
  </si>
  <si>
    <t>ULP</t>
  </si>
  <si>
    <t>Ulaanbaatar</t>
  </si>
  <si>
    <t>Ulithi</t>
  </si>
  <si>
    <t>ULI</t>
  </si>
  <si>
    <t>Ulundi</t>
  </si>
  <si>
    <t>ULD</t>
  </si>
  <si>
    <t>Ulei</t>
  </si>
  <si>
    <t>ULB</t>
  </si>
  <si>
    <t xml:space="preserve"> SC</t>
  </si>
  <si>
    <t>San Julian</t>
  </si>
  <si>
    <t>ULA</t>
  </si>
  <si>
    <t>Ust-Kamenogorsk</t>
  </si>
  <si>
    <t>UKK</t>
  </si>
  <si>
    <t>Ujae Island</t>
  </si>
  <si>
    <t>UJE</t>
  </si>
  <si>
    <t>Jaluit Island</t>
  </si>
  <si>
    <t>UIT</t>
  </si>
  <si>
    <t>Quimper</t>
  </si>
  <si>
    <t>Quito</t>
  </si>
  <si>
    <t xml:space="preserve"> IL </t>
  </si>
  <si>
    <t>Quincy</t>
  </si>
  <si>
    <t>UIN</t>
  </si>
  <si>
    <t>Ust-Ilimsk</t>
  </si>
  <si>
    <t>UIK</t>
  </si>
  <si>
    <t xml:space="preserve"> Honduras </t>
  </si>
  <si>
    <t>Utila</t>
  </si>
  <si>
    <t>UII</t>
  </si>
  <si>
    <t>Qui Nhon</t>
  </si>
  <si>
    <t>UIH</t>
  </si>
  <si>
    <t>Quibdo</t>
  </si>
  <si>
    <t>Zugapa</t>
  </si>
  <si>
    <t>UGU</t>
  </si>
  <si>
    <t xml:space="preserve"> Uzbekistan </t>
  </si>
  <si>
    <t>Urgench</t>
  </si>
  <si>
    <t>UGC</t>
  </si>
  <si>
    <t xml:space="preserve"> AK - Ugashnik Bay </t>
  </si>
  <si>
    <t>Pilot Point</t>
  </si>
  <si>
    <t>UGB</t>
  </si>
  <si>
    <t>Ufa</t>
  </si>
  <si>
    <t>Quetta</t>
  </si>
  <si>
    <t>Kumejima</t>
  </si>
  <si>
    <t>Quelimane</t>
  </si>
  <si>
    <t>UEL</t>
  </si>
  <si>
    <t>Udaipur</t>
  </si>
  <si>
    <t xml:space="preserve"> Ukraine </t>
  </si>
  <si>
    <t>Uzhgorod</t>
  </si>
  <si>
    <t>UDJ</t>
  </si>
  <si>
    <t>Uberlandia</t>
  </si>
  <si>
    <t>Ukhta</t>
  </si>
  <si>
    <t>UCT</t>
  </si>
  <si>
    <t xml:space="preserve"> NY </t>
  </si>
  <si>
    <t>Utica</t>
  </si>
  <si>
    <t>UCA</t>
  </si>
  <si>
    <t>Ubon Ratchathani</t>
  </si>
  <si>
    <t>UBP</t>
  </si>
  <si>
    <t>Ube</t>
  </si>
  <si>
    <t>Mabuiag Island</t>
  </si>
  <si>
    <t>UBB</t>
  </si>
  <si>
    <t>Uberaba</t>
  </si>
  <si>
    <t xml:space="preserve"> Kenya </t>
  </si>
  <si>
    <t>Samburu</t>
  </si>
  <si>
    <t xml:space="preserve"> SJ</t>
  </si>
  <si>
    <t>San Juan</t>
  </si>
  <si>
    <t xml:space="preserve"> Greenland </t>
  </si>
  <si>
    <t>Narsarsuaq</t>
  </si>
  <si>
    <t>Trabzon</t>
  </si>
  <si>
    <t>South Andros</t>
  </si>
  <si>
    <t>TZN</t>
  </si>
  <si>
    <t xml:space="preserve"> Belize - Municipal </t>
  </si>
  <si>
    <t>Belize City</t>
  </si>
  <si>
    <t>TZA</t>
  </si>
  <si>
    <t xml:space="preserve"> TN </t>
  </si>
  <si>
    <t>Knoxville</t>
  </si>
  <si>
    <t>Tyler</t>
  </si>
  <si>
    <t xml:space="preserve"> Japan - All airports </t>
  </si>
  <si>
    <t>Tokyo</t>
  </si>
  <si>
    <t>TYO</t>
  </si>
  <si>
    <t>Taiyuan</t>
  </si>
  <si>
    <t>Torsby</t>
  </si>
  <si>
    <t>Tunxi</t>
  </si>
  <si>
    <t>Teminabuan</t>
  </si>
  <si>
    <t>TXM</t>
  </si>
  <si>
    <t xml:space="preserve"> Germany - Tegel </t>
  </si>
  <si>
    <t>Berlin</t>
  </si>
  <si>
    <t>Texarkana</t>
  </si>
  <si>
    <t>Taichung</t>
  </si>
  <si>
    <t>TXG</t>
  </si>
  <si>
    <t xml:space="preserve"> Malaysia </t>
  </si>
  <si>
    <t>Tawau</t>
  </si>
  <si>
    <t xml:space="preserve"> ID </t>
  </si>
  <si>
    <t>Twin Falls</t>
  </si>
  <si>
    <t>Toowoomba</t>
  </si>
  <si>
    <t>TWB</t>
  </si>
  <si>
    <t>Twin Hills</t>
  </si>
  <si>
    <t>TWA</t>
  </si>
  <si>
    <t xml:space="preserve"> Myanmar </t>
  </si>
  <si>
    <t>Dawe</t>
  </si>
  <si>
    <t>TVY</t>
  </si>
  <si>
    <t>Taveuni</t>
  </si>
  <si>
    <t>TVU</t>
  </si>
  <si>
    <t xml:space="preserve"> MN </t>
  </si>
  <si>
    <t>Thief River Falls</t>
  </si>
  <si>
    <t>TVF</t>
  </si>
  <si>
    <t xml:space="preserve"> MI </t>
  </si>
  <si>
    <t>Traverse City</t>
  </si>
  <si>
    <t>Morafenobe</t>
  </si>
  <si>
    <t>TVA</t>
  </si>
  <si>
    <t>Tucupita</t>
  </si>
  <si>
    <t>TUV</t>
  </si>
  <si>
    <t>Tabuk</t>
  </si>
  <si>
    <t>Tucson</t>
  </si>
  <si>
    <t xml:space="preserve"> PA</t>
  </si>
  <si>
    <t>Tucurui</t>
  </si>
  <si>
    <t>TUR</t>
  </si>
  <si>
    <t xml:space="preserve"> MS </t>
  </si>
  <si>
    <t>Tupelo</t>
  </si>
  <si>
    <t>Taupo</t>
  </si>
  <si>
    <t xml:space="preserve"> Tunisia </t>
  </si>
  <si>
    <t>Tunis</t>
  </si>
  <si>
    <t>Tulsa</t>
  </si>
  <si>
    <t>Turbat</t>
  </si>
  <si>
    <t xml:space="preserve"> Ethiopia </t>
  </si>
  <si>
    <t>Tum</t>
  </si>
  <si>
    <t>TUJ</t>
  </si>
  <si>
    <t>Turaif</t>
  </si>
  <si>
    <t>Tuguegarao</t>
  </si>
  <si>
    <t>TUF</t>
  </si>
  <si>
    <t xml:space="preserve"> TU</t>
  </si>
  <si>
    <t>Tucuman</t>
  </si>
  <si>
    <t>Tubuai</t>
  </si>
  <si>
    <t>Tulcan</t>
  </si>
  <si>
    <t>TUA</t>
  </si>
  <si>
    <t>Tetuan</t>
  </si>
  <si>
    <t>Taitung</t>
  </si>
  <si>
    <t>TTT</t>
  </si>
  <si>
    <t>Tsaratanana</t>
  </si>
  <si>
    <t>TTS</t>
  </si>
  <si>
    <t>Tortuquero</t>
  </si>
  <si>
    <t>TTQ</t>
  </si>
  <si>
    <t xml:space="preserve"> PA - Trenton/Mercer NJ </t>
  </si>
  <si>
    <t>Philadelphia</t>
  </si>
  <si>
    <t>Tottori</t>
  </si>
  <si>
    <t>TTJ</t>
  </si>
  <si>
    <t>Ternate</t>
  </si>
  <si>
    <t>TTE</t>
  </si>
  <si>
    <t>Tortoli</t>
  </si>
  <si>
    <t>Townsville</t>
  </si>
  <si>
    <t>Trang</t>
  </si>
  <si>
    <t>TST</t>
  </si>
  <si>
    <t xml:space="preserve"> Romania </t>
  </si>
  <si>
    <t>Timosoara</t>
  </si>
  <si>
    <t xml:space="preserve"> United Kingdom - Tresco </t>
  </si>
  <si>
    <t>Isles of Scilly</t>
  </si>
  <si>
    <t>TSO</t>
  </si>
  <si>
    <t>Tianjn</t>
  </si>
  <si>
    <t xml:space="preserve"> NM </t>
  </si>
  <si>
    <t>Taos</t>
  </si>
  <si>
    <t>TSM</t>
  </si>
  <si>
    <t>Tsushima</t>
  </si>
  <si>
    <t xml:space="preserve"> Italy - Treviso </t>
  </si>
  <si>
    <t>Astana</t>
  </si>
  <si>
    <t>Tsumeb</t>
  </si>
  <si>
    <t>TSB</t>
  </si>
  <si>
    <t xml:space="preserve"> Taiwan - Sung Shan </t>
  </si>
  <si>
    <t>Taipei</t>
  </si>
  <si>
    <t>Tiruchirapally</t>
  </si>
  <si>
    <t xml:space="preserve"> Kiribati </t>
  </si>
  <si>
    <t>Tarawa</t>
  </si>
  <si>
    <t>Thiruvananthapuram</t>
  </si>
  <si>
    <t xml:space="preserve"> Peru </t>
  </si>
  <si>
    <t>Trujillo</t>
  </si>
  <si>
    <t>Trieste</t>
  </si>
  <si>
    <t>Taree</t>
  </si>
  <si>
    <t>Turin</t>
  </si>
  <si>
    <t>Tarakan</t>
  </si>
  <si>
    <t>TRK</t>
  </si>
  <si>
    <t>Johnson City</t>
  </si>
  <si>
    <t>Tauranga</t>
  </si>
  <si>
    <t xml:space="preserve"> Norway - Sandefjord </t>
  </si>
  <si>
    <t>Torp Airport Oslo</t>
  </si>
  <si>
    <t>Tiree</t>
  </si>
  <si>
    <t>Trondheim</t>
  </si>
  <si>
    <t>Torreon</t>
  </si>
  <si>
    <t>Taramajma</t>
  </si>
  <si>
    <t>TRA</t>
  </si>
  <si>
    <t>Trapani</t>
  </si>
  <si>
    <t>Tom Price</t>
  </si>
  <si>
    <t>TPR</t>
  </si>
  <si>
    <t>Tepic</t>
  </si>
  <si>
    <t>Tarapoto</t>
  </si>
  <si>
    <t xml:space="preserve"> Taiwan - Chiang Kai Shek </t>
  </si>
  <si>
    <t>Tampa</t>
  </si>
  <si>
    <t>Toyama</t>
  </si>
  <si>
    <t>TOY</t>
  </si>
  <si>
    <t xml:space="preserve"> PR</t>
  </si>
  <si>
    <t>Toledo</t>
  </si>
  <si>
    <t>TOW</t>
  </si>
  <si>
    <t>Tortola</t>
  </si>
  <si>
    <t>TOV</t>
  </si>
  <si>
    <t>Touho</t>
  </si>
  <si>
    <t>Tromso</t>
  </si>
  <si>
    <t xml:space="preserve"> Mali </t>
  </si>
  <si>
    <t>Tombouctou</t>
  </si>
  <si>
    <t>Torres</t>
  </si>
  <si>
    <t>TOH</t>
  </si>
  <si>
    <t>Togiak Village</t>
  </si>
  <si>
    <t>TOG</t>
  </si>
  <si>
    <t>Tomsk</t>
  </si>
  <si>
    <t>Tozeur</t>
  </si>
  <si>
    <t>Tioman</t>
  </si>
  <si>
    <t xml:space="preserve"> Libya </t>
  </si>
  <si>
    <t>Tobruk</t>
  </si>
  <si>
    <t>TOB</t>
  </si>
  <si>
    <t xml:space="preserve"> Cambodia </t>
  </si>
  <si>
    <t>Stung Treng</t>
  </si>
  <si>
    <t>TNX</t>
  </si>
  <si>
    <t xml:space="preserve"> Madgascar </t>
  </si>
  <si>
    <t>Antaninvarivo</t>
  </si>
  <si>
    <t>Tamarindo</t>
  </si>
  <si>
    <t>TNO</t>
  </si>
  <si>
    <t>Tainan</t>
  </si>
  <si>
    <t>TNN</t>
  </si>
  <si>
    <t>Tununak</t>
  </si>
  <si>
    <t>TNK</t>
  </si>
  <si>
    <t>Tangier</t>
  </si>
  <si>
    <t>Tin City</t>
  </si>
  <si>
    <t>TNC</t>
  </si>
  <si>
    <t>Jinan</t>
  </si>
  <si>
    <t xml:space="preserve"> Algeria </t>
  </si>
  <si>
    <t>Timimoun</t>
  </si>
  <si>
    <t>Tamworth</t>
  </si>
  <si>
    <t>Tambor</t>
  </si>
  <si>
    <t>TMU</t>
  </si>
  <si>
    <t>Trombetas</t>
  </si>
  <si>
    <t>TMT</t>
  </si>
  <si>
    <t xml:space="preserve"> Sao Tome and Principe </t>
  </si>
  <si>
    <t>Sao Tome Is.</t>
  </si>
  <si>
    <t>TMS</t>
  </si>
  <si>
    <t>Tamanrasset</t>
  </si>
  <si>
    <t>Tampere</t>
  </si>
  <si>
    <t>Tamatave</t>
  </si>
  <si>
    <t>TMM</t>
  </si>
  <si>
    <t>Termez</t>
  </si>
  <si>
    <t>TMJ</t>
  </si>
  <si>
    <t>Tanahmerah</t>
  </si>
  <si>
    <t>TMH</t>
  </si>
  <si>
    <t>Tomanggong</t>
  </si>
  <si>
    <t>TMG</t>
  </si>
  <si>
    <t>Tambolaka</t>
  </si>
  <si>
    <t>TMC</t>
  </si>
  <si>
    <t>Tel Aviv</t>
  </si>
  <si>
    <t>Tuluksak</t>
  </si>
  <si>
    <t>TLT</t>
  </si>
  <si>
    <t>Toulouse</t>
  </si>
  <si>
    <t>Toulon</t>
  </si>
  <si>
    <t>Tlemcen</t>
  </si>
  <si>
    <t xml:space="preserve"> Estonia </t>
  </si>
  <si>
    <t>Tallinn</t>
  </si>
  <si>
    <t>Tallahassee</t>
  </si>
  <si>
    <t>Tulear</t>
  </si>
  <si>
    <t>Toluco</t>
  </si>
  <si>
    <t>Turku</t>
  </si>
  <si>
    <t>Tokushima</t>
  </si>
  <si>
    <t>TKS</t>
  </si>
  <si>
    <t xml:space="preserve"> Tanzania </t>
  </si>
  <si>
    <t>Kigoma</t>
  </si>
  <si>
    <t>Tokunoshima</t>
  </si>
  <si>
    <t>Truk</t>
  </si>
  <si>
    <t>TKK</t>
  </si>
  <si>
    <t>Tok</t>
  </si>
  <si>
    <t>TKJ</t>
  </si>
  <si>
    <t xml:space="preserve"> Indonesia - Branti </t>
  </si>
  <si>
    <t>Bandar Lampung</t>
  </si>
  <si>
    <t>TKG</t>
  </si>
  <si>
    <t>Tenakee Springs</t>
  </si>
  <si>
    <t>TKE</t>
  </si>
  <si>
    <t>Tekadu</t>
  </si>
  <si>
    <t>TKB</t>
  </si>
  <si>
    <t>Talkeetna</t>
  </si>
  <si>
    <t>TKA</t>
  </si>
  <si>
    <t>Tanjung Selor</t>
  </si>
  <si>
    <t>TJS</t>
  </si>
  <si>
    <t>Tanjung Pandan</t>
  </si>
  <si>
    <t>TJQ</t>
  </si>
  <si>
    <t>Tyumen</t>
  </si>
  <si>
    <t>TJI</t>
  </si>
  <si>
    <t>Tarija</t>
  </si>
  <si>
    <t>Tari</t>
  </si>
  <si>
    <t>TIZ</t>
  </si>
  <si>
    <t xml:space="preserve"> Mauritania </t>
  </si>
  <si>
    <t>Tioljikja</t>
  </si>
  <si>
    <t>TIY</t>
  </si>
  <si>
    <t xml:space="preserve"> Serbia and Montenegro </t>
  </si>
  <si>
    <t>Tivat</t>
  </si>
  <si>
    <t>Timaru</t>
  </si>
  <si>
    <t>Thursday Island</t>
  </si>
  <si>
    <t>Tirupati</t>
  </si>
  <si>
    <t xml:space="preserve"> Northern Mariana Islands </t>
  </si>
  <si>
    <t>Tinian</t>
  </si>
  <si>
    <t>Tripoli</t>
  </si>
  <si>
    <t>Tindouf</t>
  </si>
  <si>
    <t>Tembagapura</t>
  </si>
  <si>
    <t>TIM</t>
  </si>
  <si>
    <t>Tijuana</t>
  </si>
  <si>
    <t>Tikehau Atoll</t>
  </si>
  <si>
    <t>Taif</t>
  </si>
  <si>
    <t>Tippi</t>
  </si>
  <si>
    <t>TIE</t>
  </si>
  <si>
    <t>Tiaret</t>
  </si>
  <si>
    <t xml:space="preserve"> Albania </t>
  </si>
  <si>
    <t>Tirana</t>
  </si>
  <si>
    <t>Pituffik</t>
  </si>
  <si>
    <t>THU</t>
  </si>
  <si>
    <t>Sukhotthai</t>
  </si>
  <si>
    <t xml:space="preserve"> Iran - Mehrabad </t>
  </si>
  <si>
    <t>Tehran</t>
  </si>
  <si>
    <t>Thorshofn</t>
  </si>
  <si>
    <t>Trollhattan</t>
  </si>
  <si>
    <t>Tachilek</t>
  </si>
  <si>
    <t>THL</t>
  </si>
  <si>
    <t>Thangool</t>
  </si>
  <si>
    <t xml:space="preserve"> Germany - Tempelhof </t>
  </si>
  <si>
    <t>THF</t>
  </si>
  <si>
    <t xml:space="preserve"> PI</t>
  </si>
  <si>
    <t>Teresina</t>
  </si>
  <si>
    <t>Tuxtla Gutierrez</t>
  </si>
  <si>
    <t>Tegucigalpa</t>
  </si>
  <si>
    <t>Tongliao</t>
  </si>
  <si>
    <t xml:space="preserve"> VI</t>
  </si>
  <si>
    <t>Traralgon</t>
  </si>
  <si>
    <t>TGN</t>
  </si>
  <si>
    <t>Tirgu Mures</t>
  </si>
  <si>
    <t>Tiga</t>
  </si>
  <si>
    <t>Tongoa</t>
  </si>
  <si>
    <t>TGH</t>
  </si>
  <si>
    <t>Kuala Terengganu</t>
  </si>
  <si>
    <t xml:space="preserve"> Serbia and Montenegro - Golubovci </t>
  </si>
  <si>
    <t>Podgoriea</t>
  </si>
  <si>
    <t xml:space="preserve"> Spain and the Canary Islands - Sur Reina Sofia </t>
  </si>
  <si>
    <t>Tenerife</t>
  </si>
  <si>
    <t xml:space="preserve"> Spain and Canary Islands - Norte Los Rodeos </t>
  </si>
  <si>
    <t>Tufi</t>
  </si>
  <si>
    <t>TFI</t>
  </si>
  <si>
    <t xml:space="preserve"> AM</t>
  </si>
  <si>
    <t>Tefe</t>
  </si>
  <si>
    <t>Tezpur</t>
  </si>
  <si>
    <t>TEZ</t>
  </si>
  <si>
    <t xml:space="preserve"> CO </t>
  </si>
  <si>
    <t>Telluride</t>
  </si>
  <si>
    <t>Te Anau</t>
  </si>
  <si>
    <t>TEU</t>
  </si>
  <si>
    <t>Tete</t>
  </si>
  <si>
    <t>TET</t>
  </si>
  <si>
    <t xml:space="preserve"> Portugal </t>
  </si>
  <si>
    <t>Terceira Island</t>
  </si>
  <si>
    <t>Tatitlek</t>
  </si>
  <si>
    <t>TEK</t>
  </si>
  <si>
    <t>Tetlin</t>
  </si>
  <si>
    <t>TEH</t>
  </si>
  <si>
    <t>Tbessa</t>
  </si>
  <si>
    <t>Trinidad</t>
  </si>
  <si>
    <t>Tetabedi</t>
  </si>
  <si>
    <t>TDB</t>
  </si>
  <si>
    <t>Takotna</t>
  </si>
  <si>
    <t>TCT</t>
  </si>
  <si>
    <t>Tacna</t>
  </si>
  <si>
    <t>Taba</t>
  </si>
  <si>
    <t>Tumaco</t>
  </si>
  <si>
    <t xml:space="preserve"> AL </t>
  </si>
  <si>
    <t>Tuscaloosa</t>
  </si>
  <si>
    <t>TCL</t>
  </si>
  <si>
    <t xml:space="preserve"> Gabon </t>
  </si>
  <si>
    <t>Tchibanga</t>
  </si>
  <si>
    <t>TCH</t>
  </si>
  <si>
    <t>Tacheng</t>
  </si>
  <si>
    <t>Treasure Cay</t>
  </si>
  <si>
    <t>Tennant Creek</t>
  </si>
  <si>
    <t>TCA</t>
  </si>
  <si>
    <t>Tabriz</t>
  </si>
  <si>
    <t>Nuku'Alofa</t>
  </si>
  <si>
    <t>Tabatinga</t>
  </si>
  <si>
    <t xml:space="preserve"> Georgia </t>
  </si>
  <si>
    <t>Tbilisi</t>
  </si>
  <si>
    <t>Tumbes</t>
  </si>
  <si>
    <t>Tabora</t>
  </si>
  <si>
    <t>TBO</t>
  </si>
  <si>
    <t xml:space="preserve"> MO </t>
  </si>
  <si>
    <t>Fort Leonard Wood</t>
  </si>
  <si>
    <t>TBN</t>
  </si>
  <si>
    <t>Tabarka</t>
  </si>
  <si>
    <t>The Bight</t>
  </si>
  <si>
    <t>Tabubil</t>
  </si>
  <si>
    <t>TBG</t>
  </si>
  <si>
    <t xml:space="preserve"> Slovakia </t>
  </si>
  <si>
    <t>Popraol/Tatry</t>
  </si>
  <si>
    <t>Tashkent</t>
  </si>
  <si>
    <t>Taranto</t>
  </si>
  <si>
    <t>TAR</t>
  </si>
  <si>
    <t>Tapachula</t>
  </si>
  <si>
    <t>Qingdao</t>
  </si>
  <si>
    <t>Tampico</t>
  </si>
  <si>
    <t>Tanana</t>
  </si>
  <si>
    <t>TAL</t>
  </si>
  <si>
    <t xml:space="preserve"> Yemen </t>
  </si>
  <si>
    <t>Taiz</t>
  </si>
  <si>
    <t>Tanna</t>
  </si>
  <si>
    <t>TAH</t>
  </si>
  <si>
    <t>Daegu</t>
  </si>
  <si>
    <t>Tacloban</t>
  </si>
  <si>
    <t xml:space="preserve"> Trinidad and Tobago </t>
  </si>
  <si>
    <t>Tobago</t>
  </si>
  <si>
    <t>TAB</t>
  </si>
  <si>
    <t>Szczecin</t>
  </si>
  <si>
    <t>Shenzhen</t>
  </si>
  <si>
    <t>S. Cristobal del Casas</t>
  </si>
  <si>
    <t>SZT</t>
  </si>
  <si>
    <t>Sesriem</t>
  </si>
  <si>
    <t>SZM</t>
  </si>
  <si>
    <t>Skukuza</t>
  </si>
  <si>
    <t>SZK</t>
  </si>
  <si>
    <t>Salzburg</t>
  </si>
  <si>
    <t>Sheffield</t>
  </si>
  <si>
    <t>SZD</t>
  </si>
  <si>
    <t>Shiraz</t>
  </si>
  <si>
    <t>Stornoway</t>
  </si>
  <si>
    <t>Sanya</t>
  </si>
  <si>
    <t>Sue Island</t>
  </si>
  <si>
    <t>SYU</t>
  </si>
  <si>
    <t>Syracuse</t>
  </si>
  <si>
    <t xml:space="preserve"> Costa Rica - Tobias Bolanos Int'l </t>
  </si>
  <si>
    <t>San Jose</t>
  </si>
  <si>
    <t>Shonai</t>
  </si>
  <si>
    <t>SYO</t>
  </si>
  <si>
    <t>Simao</t>
  </si>
  <si>
    <t xml:space="preserve"> New South Wales</t>
  </si>
  <si>
    <t>Srinagar</t>
  </si>
  <si>
    <t>Sheldon Point</t>
  </si>
  <si>
    <t>SXP</t>
  </si>
  <si>
    <t xml:space="preserve"> Netherlands Antilles </t>
  </si>
  <si>
    <t>Saint Maarten</t>
  </si>
  <si>
    <t>Sligo</t>
  </si>
  <si>
    <t>Saumlaki</t>
  </si>
  <si>
    <t>SXK</t>
  </si>
  <si>
    <t xml:space="preserve"> Germany - Schoenefeld </t>
  </si>
  <si>
    <t xml:space="preserve"> France - Entzheim </t>
  </si>
  <si>
    <t>Satwag</t>
  </si>
  <si>
    <t>SWG</t>
  </si>
  <si>
    <t>Stewart Field/Newburgh</t>
  </si>
  <si>
    <t>Seward</t>
  </si>
  <si>
    <t>SWD</t>
  </si>
  <si>
    <t>Shantou</t>
  </si>
  <si>
    <t>San Antonio</t>
  </si>
  <si>
    <t>SVZ</t>
  </si>
  <si>
    <t>Ekaterinburg</t>
  </si>
  <si>
    <t>Savusavu</t>
  </si>
  <si>
    <t>SVU</t>
  </si>
  <si>
    <t>Stevens Village</t>
  </si>
  <si>
    <t>SVS</t>
  </si>
  <si>
    <t>Sevilla</t>
  </si>
  <si>
    <t xml:space="preserve"> Russia - Sheremetyevo </t>
  </si>
  <si>
    <t>Savonlinna</t>
  </si>
  <si>
    <t>Svolvaer</t>
  </si>
  <si>
    <t>SVJ</t>
  </si>
  <si>
    <t>Stavanger</t>
  </si>
  <si>
    <t xml:space="preserve"> Saint Vincent and the Grenadines </t>
  </si>
  <si>
    <t>St Vincent</t>
  </si>
  <si>
    <t>Silver City</t>
  </si>
  <si>
    <t>SVC</t>
  </si>
  <si>
    <t>Sambaua</t>
  </si>
  <si>
    <t>Savoonga</t>
  </si>
  <si>
    <t>SVA</t>
  </si>
  <si>
    <t xml:space="preserve"> IA </t>
  </si>
  <si>
    <t>Sioux City</t>
  </si>
  <si>
    <t>Suva</t>
  </si>
  <si>
    <t>Summer Beaver</t>
  </si>
  <si>
    <t>Sun Valley</t>
  </si>
  <si>
    <t>Sui</t>
  </si>
  <si>
    <t>SUL</t>
  </si>
  <si>
    <t>Satu Mare</t>
  </si>
  <si>
    <t>Lamezia-Terme</t>
  </si>
  <si>
    <t>Surabaya</t>
  </si>
  <si>
    <t xml:space="preserve"> U.S. Virgin Islands </t>
  </si>
  <si>
    <t>St. Croix Island</t>
  </si>
  <si>
    <t>STX</t>
  </si>
  <si>
    <t>Stavropol</t>
  </si>
  <si>
    <t>St. Thomas Island</t>
  </si>
  <si>
    <t>STT</t>
  </si>
  <si>
    <t>Santa Rosa</t>
  </si>
  <si>
    <t xml:space="preserve"> Germany - Echterdingen </t>
  </si>
  <si>
    <t xml:space="preserve"> Sweden - All airports </t>
  </si>
  <si>
    <t>Stockholm</t>
  </si>
  <si>
    <t>STO</t>
  </si>
  <si>
    <t xml:space="preserve"> United Kingdom - Stansted </t>
  </si>
  <si>
    <t>Santarem</t>
  </si>
  <si>
    <t>Saint Louis</t>
  </si>
  <si>
    <t xml:space="preserve"> Dominican Republic </t>
  </si>
  <si>
    <t>Santiago</t>
  </si>
  <si>
    <t>Saint George Island</t>
  </si>
  <si>
    <t>STG</t>
  </si>
  <si>
    <t>Santo Domingo</t>
  </si>
  <si>
    <t>STD</t>
  </si>
  <si>
    <t>Saint Cloud</t>
  </si>
  <si>
    <t xml:space="preserve"> Ed</t>
  </si>
  <si>
    <t>Santa Barbara</t>
  </si>
  <si>
    <t>STB</t>
  </si>
  <si>
    <t>Sara</t>
  </si>
  <si>
    <t>SSR</t>
  </si>
  <si>
    <t>Sharm El Sheikh</t>
  </si>
  <si>
    <t xml:space="preserve"> Equatorial Guinea </t>
  </si>
  <si>
    <t>Malabo</t>
  </si>
  <si>
    <t>Salvadore</t>
  </si>
  <si>
    <t>Stony River</t>
  </si>
  <si>
    <t>SRV</t>
  </si>
  <si>
    <t>Sarasota</t>
  </si>
  <si>
    <t>Semarang</t>
  </si>
  <si>
    <t>Sucre</t>
  </si>
  <si>
    <t>Storuman</t>
  </si>
  <si>
    <t>SQO</t>
  </si>
  <si>
    <t xml:space="preserve"> Viet Nam - Na-San </t>
  </si>
  <si>
    <t>Son-La</t>
  </si>
  <si>
    <t>SQH</t>
  </si>
  <si>
    <t>Sintang</t>
  </si>
  <si>
    <t>SQG</t>
  </si>
  <si>
    <t>Split</t>
  </si>
  <si>
    <t>Wichita Falls</t>
  </si>
  <si>
    <t>Saipan</t>
  </si>
  <si>
    <t>Springfield</t>
  </si>
  <si>
    <t xml:space="preserve"> Spain and Canary Islands - La Palma </t>
  </si>
  <si>
    <t>Santa Cruz De La Palma</t>
  </si>
  <si>
    <t>Stronsay</t>
  </si>
  <si>
    <t>SOY</t>
  </si>
  <si>
    <t>South Hampton</t>
  </si>
  <si>
    <t xml:space="preserve"> NC </t>
  </si>
  <si>
    <t>Southern Pines</t>
  </si>
  <si>
    <t>SOP</t>
  </si>
  <si>
    <t>Soderham</t>
  </si>
  <si>
    <t>SOO</t>
  </si>
  <si>
    <t>Espiritu Santo</t>
  </si>
  <si>
    <t>Sorkjosen</t>
  </si>
  <si>
    <t>SOJ</t>
  </si>
  <si>
    <t>South Molle Island</t>
  </si>
  <si>
    <t>SOI</t>
  </si>
  <si>
    <t>Sognolal</t>
  </si>
  <si>
    <t>SOG</t>
  </si>
  <si>
    <t>Sofia</t>
  </si>
  <si>
    <t>Sorocaba</t>
  </si>
  <si>
    <t>Solo City</t>
  </si>
  <si>
    <t>Thandwe</t>
  </si>
  <si>
    <t>SNW</t>
  </si>
  <si>
    <t>Saint Paul Island</t>
  </si>
  <si>
    <t>SNP</t>
  </si>
  <si>
    <t>Sakon Nakhon</t>
  </si>
  <si>
    <t>SNO</t>
  </si>
  <si>
    <t>Shannon</t>
  </si>
  <si>
    <t>Sao Nicolau</t>
  </si>
  <si>
    <t>Santa Ana</t>
  </si>
  <si>
    <t>Santa Maria</t>
  </si>
  <si>
    <t>Sante Marie</t>
  </si>
  <si>
    <t>Santa Marta</t>
  </si>
  <si>
    <t>Stella Maris</t>
  </si>
  <si>
    <t>SML</t>
  </si>
  <si>
    <t>Saint Michael</t>
  </si>
  <si>
    <t>SMK</t>
  </si>
  <si>
    <t>Samos</t>
  </si>
  <si>
    <t>Sacramento</t>
  </si>
  <si>
    <t xml:space="preserve"> MA</t>
  </si>
  <si>
    <t>Sau Luiz</t>
  </si>
  <si>
    <t>Salehard</t>
  </si>
  <si>
    <t>Salt Cay</t>
  </si>
  <si>
    <t>SLX</t>
  </si>
  <si>
    <t>Saltillo</t>
  </si>
  <si>
    <t>SLW</t>
  </si>
  <si>
    <t xml:space="preserve"> ST. LUCIA </t>
  </si>
  <si>
    <t>Sleetmore</t>
  </si>
  <si>
    <t>SLQ</t>
  </si>
  <si>
    <t>San Luis Potosi</t>
  </si>
  <si>
    <t xml:space="preserve"> KS </t>
  </si>
  <si>
    <t>Salina</t>
  </si>
  <si>
    <t>SLN</t>
  </si>
  <si>
    <t>Saranac Lake</t>
  </si>
  <si>
    <t>SLK</t>
  </si>
  <si>
    <t xml:space="preserve"> OR </t>
  </si>
  <si>
    <t>Salem</t>
  </si>
  <si>
    <t>SLE</t>
  </si>
  <si>
    <t>Salt Lake City</t>
  </si>
  <si>
    <t>Shaktoolik</t>
  </si>
  <si>
    <t>SKK</t>
  </si>
  <si>
    <t>Thessaloniki</t>
  </si>
  <si>
    <t xml:space="preserve"> St Kitts and Nevis </t>
  </si>
  <si>
    <t>St Kitts</t>
  </si>
  <si>
    <t>San Angelo</t>
  </si>
  <si>
    <t xml:space="preserve"> Costa Rica - Juan Santa Maria </t>
  </si>
  <si>
    <t>Los Cabos</t>
  </si>
  <si>
    <t>Sitka</t>
  </si>
  <si>
    <t xml:space="preserve"> Singapore - Changi </t>
  </si>
  <si>
    <t>Shageluk</t>
  </si>
  <si>
    <t>SHX</t>
  </si>
  <si>
    <t xml:space="preserve"> LA </t>
  </si>
  <si>
    <t>Shreveport</t>
  </si>
  <si>
    <t>Sheridan</t>
  </si>
  <si>
    <t>Shishmaref</t>
  </si>
  <si>
    <t>SHH</t>
  </si>
  <si>
    <t>Shungnak</t>
  </si>
  <si>
    <t>SHG</t>
  </si>
  <si>
    <t xml:space="preserve"> VA </t>
  </si>
  <si>
    <t>Staunton</t>
  </si>
  <si>
    <t>Skagway</t>
  </si>
  <si>
    <t>Saint George</t>
  </si>
  <si>
    <t>Ho Chi Minh City</t>
  </si>
  <si>
    <t>San Francisco</t>
  </si>
  <si>
    <t>Sanford</t>
  </si>
  <si>
    <t xml:space="preserve"> Seychelles </t>
  </si>
  <si>
    <t>Mahe Island</t>
  </si>
  <si>
    <t xml:space="preserve"> South Korea - All Airports </t>
  </si>
  <si>
    <t>Seoul</t>
  </si>
  <si>
    <t>SEL</t>
  </si>
  <si>
    <t xml:space="preserve"> WA - Seattle/Tacoma International </t>
  </si>
  <si>
    <t>Seattle</t>
  </si>
  <si>
    <t xml:space="preserve"> Dominican Republic - Las Americas </t>
  </si>
  <si>
    <t>Sand Point</t>
  </si>
  <si>
    <t>SDP</t>
  </si>
  <si>
    <t xml:space="preserve"> KY </t>
  </si>
  <si>
    <t>Louisville</t>
  </si>
  <si>
    <t>Scammon Bay</t>
  </si>
  <si>
    <t>SCM</t>
  </si>
  <si>
    <t>Stockton</t>
  </si>
  <si>
    <t xml:space="preserve"> PA </t>
  </si>
  <si>
    <t>State College/University Park</t>
  </si>
  <si>
    <t>Prudhoe Bay/Deadhorse</t>
  </si>
  <si>
    <t xml:space="preserve"> MD </t>
  </si>
  <si>
    <t>Salisbury-Ocean City</t>
  </si>
  <si>
    <t>Steamboat Springs</t>
  </si>
  <si>
    <t>SBS</t>
  </si>
  <si>
    <t>San Luis Obispo</t>
  </si>
  <si>
    <t xml:space="preserve"> IN </t>
  </si>
  <si>
    <t>South Bend</t>
  </si>
  <si>
    <t>Savannah</t>
  </si>
  <si>
    <t>San Pedro Sula</t>
  </si>
  <si>
    <t>San Diego</t>
  </si>
  <si>
    <t xml:space="preserve"> El Salvador </t>
  </si>
  <si>
    <t xml:space="preserve"> San Marino </t>
  </si>
  <si>
    <t>San Marino</t>
  </si>
  <si>
    <t>SAI</t>
  </si>
  <si>
    <t>Sana'a</t>
  </si>
  <si>
    <t>Santa Fe</t>
  </si>
  <si>
    <t>Rovaniemi</t>
  </si>
  <si>
    <t>Roervik</t>
  </si>
  <si>
    <t>RVK</t>
  </si>
  <si>
    <t xml:space="preserve"> GO</t>
  </si>
  <si>
    <t>Rio Verde</t>
  </si>
  <si>
    <t>RVD</t>
  </si>
  <si>
    <t>Farafangana</t>
  </si>
  <si>
    <t>RVA</t>
  </si>
  <si>
    <t xml:space="preserve"> VT </t>
  </si>
  <si>
    <t>Rutland</t>
  </si>
  <si>
    <t>RUT</t>
  </si>
  <si>
    <t>Rorutu</t>
  </si>
  <si>
    <t>St Denis de la Reunion</t>
  </si>
  <si>
    <t>Riyadh</t>
  </si>
  <si>
    <t>Arua</t>
  </si>
  <si>
    <t>Saratov</t>
  </si>
  <si>
    <t xml:space="preserve"> Netherlands </t>
  </si>
  <si>
    <t>Rotterdam</t>
  </si>
  <si>
    <t>Roatan</t>
  </si>
  <si>
    <t>Fort Myers</t>
  </si>
  <si>
    <t>Yeosu</t>
  </si>
  <si>
    <t>Rochester</t>
  </si>
  <si>
    <t>Rosario</t>
  </si>
  <si>
    <t>RSJ</t>
  </si>
  <si>
    <t>Russian Mission</t>
  </si>
  <si>
    <t>RSH</t>
  </si>
  <si>
    <t>Rock Sound</t>
  </si>
  <si>
    <t xml:space="preserve"> LP</t>
  </si>
  <si>
    <t>Roros</t>
  </si>
  <si>
    <t xml:space="preserve"> Mauritius </t>
  </si>
  <si>
    <t>Rodrigues Island</t>
  </si>
  <si>
    <t>RRG</t>
  </si>
  <si>
    <t>Rosh Pina</t>
  </si>
  <si>
    <t>Ngukurr</t>
  </si>
  <si>
    <t>RPM</t>
  </si>
  <si>
    <t xml:space="preserve"> CB</t>
  </si>
  <si>
    <t>Rio Mayo</t>
  </si>
  <si>
    <t>ROY</t>
  </si>
  <si>
    <t>Roswell</t>
  </si>
  <si>
    <t>Rostov</t>
  </si>
  <si>
    <t>Rotorua</t>
  </si>
  <si>
    <t xml:space="preserve"> SF</t>
  </si>
  <si>
    <t xml:space="preserve"> Palau </t>
  </si>
  <si>
    <t>Koror</t>
  </si>
  <si>
    <t>ROR</t>
  </si>
  <si>
    <t>Rota</t>
  </si>
  <si>
    <t xml:space="preserve"> Italy - All airports </t>
  </si>
  <si>
    <t>Rome</t>
  </si>
  <si>
    <t>ROM</t>
  </si>
  <si>
    <t>Rockhampton</t>
  </si>
  <si>
    <t xml:space="preserve"> Liberia </t>
  </si>
  <si>
    <t>Monrovia</t>
  </si>
  <si>
    <t>Roanoke</t>
  </si>
  <si>
    <t>Rennes</t>
  </si>
  <si>
    <t>Rongelap Island</t>
  </si>
  <si>
    <t>RNP</t>
  </si>
  <si>
    <t xml:space="preserve"> NV </t>
  </si>
  <si>
    <t>Reno</t>
  </si>
  <si>
    <t>Bornholm</t>
  </si>
  <si>
    <t>Rennell</t>
  </si>
  <si>
    <t>RNL</t>
  </si>
  <si>
    <t>Yoronjima</t>
  </si>
  <si>
    <t>RNJ</t>
  </si>
  <si>
    <t>Roane</t>
  </si>
  <si>
    <t>RNE</t>
  </si>
  <si>
    <t>Ronneby</t>
  </si>
  <si>
    <t>Rampart</t>
  </si>
  <si>
    <t>RMP</t>
  </si>
  <si>
    <t>Rimini</t>
  </si>
  <si>
    <t>Roma</t>
  </si>
  <si>
    <t>Rostock-Laage</t>
  </si>
  <si>
    <t xml:space="preserve"> United Arab Emirates </t>
  </si>
  <si>
    <t>Ras Al Khaimah</t>
  </si>
  <si>
    <t>Rock Springs</t>
  </si>
  <si>
    <t xml:space="preserve"> ME </t>
  </si>
  <si>
    <t>Rockland</t>
  </si>
  <si>
    <t>Rafsanjan</t>
  </si>
  <si>
    <t>RJN</t>
  </si>
  <si>
    <t>Rijeka</t>
  </si>
  <si>
    <t>Rajshahi</t>
  </si>
  <si>
    <t>RJH</t>
  </si>
  <si>
    <t>Riyan Mukalla</t>
  </si>
  <si>
    <t xml:space="preserve"> Latvia </t>
  </si>
  <si>
    <t>Riga</t>
  </si>
  <si>
    <t>Riverton</t>
  </si>
  <si>
    <t>Rishiri</t>
  </si>
  <si>
    <t>RIS</t>
  </si>
  <si>
    <t>Carrillo</t>
  </si>
  <si>
    <t>RIK</t>
  </si>
  <si>
    <t>Rio Grande</t>
  </si>
  <si>
    <t>RIG</t>
  </si>
  <si>
    <t>Richmond</t>
  </si>
  <si>
    <t>Riberalta</t>
  </si>
  <si>
    <t>RIA</t>
  </si>
  <si>
    <t>Rhodes</t>
  </si>
  <si>
    <t xml:space="preserve"> WI</t>
  </si>
  <si>
    <t>Rhinelander</t>
  </si>
  <si>
    <t>Yangon</t>
  </si>
  <si>
    <t xml:space="preserve"> Argentina - Internacional </t>
  </si>
  <si>
    <t>Rio Gallegos</t>
  </si>
  <si>
    <t>Raiatea</t>
  </si>
  <si>
    <t>Reynossa</t>
  </si>
  <si>
    <t>Reus</t>
  </si>
  <si>
    <t>Rost</t>
  </si>
  <si>
    <t>RET</t>
  </si>
  <si>
    <t xml:space="preserve"> CW</t>
  </si>
  <si>
    <t>Resistencia</t>
  </si>
  <si>
    <t>Siem Reap</t>
  </si>
  <si>
    <t>Orenburg</t>
  </si>
  <si>
    <t>REN</t>
  </si>
  <si>
    <t>Trelew</t>
  </si>
  <si>
    <t>Reggio Calabria</t>
  </si>
  <si>
    <t xml:space="preserve"> PE</t>
  </si>
  <si>
    <t>Recife</t>
  </si>
  <si>
    <t>Rodez</t>
  </si>
  <si>
    <t>Red Devil</t>
  </si>
  <si>
    <t>RDV</t>
  </si>
  <si>
    <t>Durham</t>
  </si>
  <si>
    <t>Redmond</t>
  </si>
  <si>
    <t>Reading</t>
  </si>
  <si>
    <t>RDG</t>
  </si>
  <si>
    <t>Merdey</t>
  </si>
  <si>
    <t>RDE</t>
  </si>
  <si>
    <t>Redding</t>
  </si>
  <si>
    <t xml:space="preserve"> CD</t>
  </si>
  <si>
    <t>Rio Cuarto</t>
  </si>
  <si>
    <t>Reconquista</t>
  </si>
  <si>
    <t>RCM</t>
  </si>
  <si>
    <t>Riohacha</t>
  </si>
  <si>
    <t>Roche Harbor</t>
  </si>
  <si>
    <t>RCE</t>
  </si>
  <si>
    <t>Richards Bay</t>
  </si>
  <si>
    <t>Ruby</t>
  </si>
  <si>
    <t>RBY</t>
  </si>
  <si>
    <t>Ramato</t>
  </si>
  <si>
    <t>RBV</t>
  </si>
  <si>
    <t xml:space="preserve"> AC</t>
  </si>
  <si>
    <t>Rio Branco</t>
  </si>
  <si>
    <t>Rabaraba</t>
  </si>
  <si>
    <t>RBP</t>
  </si>
  <si>
    <t>Rebun</t>
  </si>
  <si>
    <t>RBJ</t>
  </si>
  <si>
    <t>Brooks Lodge</t>
  </si>
  <si>
    <t>RBH</t>
  </si>
  <si>
    <t>Ratanakiri</t>
  </si>
  <si>
    <t>RBE</t>
  </si>
  <si>
    <t>Rabat</t>
  </si>
  <si>
    <t>Rawala Kot</t>
  </si>
  <si>
    <t>RAZ</t>
  </si>
  <si>
    <t>Raduzhnyi</t>
  </si>
  <si>
    <t>RAT</t>
  </si>
  <si>
    <t>Rasht</t>
  </si>
  <si>
    <t>RAS</t>
  </si>
  <si>
    <t xml:space="preserve"> Cook Islands </t>
  </si>
  <si>
    <t>Rarotonga</t>
  </si>
  <si>
    <t xml:space="preserve"> SD </t>
  </si>
  <si>
    <t>Rapid City</t>
  </si>
  <si>
    <t xml:space="preserve"> SP</t>
  </si>
  <si>
    <t>Ribeirao Preto</t>
  </si>
  <si>
    <t>Ramingining</t>
  </si>
  <si>
    <t>RAM</t>
  </si>
  <si>
    <t>Rajkot</t>
  </si>
  <si>
    <t>Praia</t>
  </si>
  <si>
    <t>Rafha</t>
  </si>
  <si>
    <t>Arar</t>
  </si>
  <si>
    <t>Rabaul</t>
  </si>
  <si>
    <t xml:space="preserve"> France - Vieux Port </t>
  </si>
  <si>
    <t>Cannes</t>
  </si>
  <si>
    <t>QYW</t>
  </si>
  <si>
    <t>Angers</t>
  </si>
  <si>
    <t>QXG</t>
  </si>
  <si>
    <t xml:space="preserve"> OR - Bus service </t>
  </si>
  <si>
    <t>Albany</t>
  </si>
  <si>
    <t>QWY</t>
  </si>
  <si>
    <t xml:space="preserve"> CO - Longmont Bus service </t>
  </si>
  <si>
    <t>Denver</t>
  </si>
  <si>
    <t>QWM</t>
  </si>
  <si>
    <t>Fort Collins/Loveland</t>
  </si>
  <si>
    <t>QWF</t>
  </si>
  <si>
    <t>Queretaro</t>
  </si>
  <si>
    <t>QRO</t>
  </si>
  <si>
    <t xml:space="preserve"> United Kingdom - Rail service </t>
  </si>
  <si>
    <t>London-Paddington</t>
  </si>
  <si>
    <t>QQP</t>
  </si>
  <si>
    <t>Keystone</t>
  </si>
  <si>
    <t>QKS</t>
  </si>
  <si>
    <t>Cologne</t>
  </si>
  <si>
    <t>QKL</t>
  </si>
  <si>
    <t>Breckenridge</t>
  </si>
  <si>
    <t>QKB</t>
  </si>
  <si>
    <t>Nantes</t>
  </si>
  <si>
    <t>QJZ</t>
  </si>
  <si>
    <t>Kolobrzeg</t>
  </si>
  <si>
    <t>QJY</t>
  </si>
  <si>
    <t>Saarbruecken</t>
  </si>
  <si>
    <t>QFZ</t>
  </si>
  <si>
    <t>Selje</t>
  </si>
  <si>
    <t>QFK</t>
  </si>
  <si>
    <t>Dusseldorf</t>
  </si>
  <si>
    <t>QDU</t>
  </si>
  <si>
    <t>Copper Mountain</t>
  </si>
  <si>
    <t>QCE</t>
  </si>
  <si>
    <t>Vail</t>
  </si>
  <si>
    <t>QBF</t>
  </si>
  <si>
    <t>Bella Coola</t>
  </si>
  <si>
    <t>Port Sudan</t>
  </si>
  <si>
    <t>Puerto Ordaz</t>
  </si>
  <si>
    <t>Zhob</t>
  </si>
  <si>
    <t>PZH</t>
  </si>
  <si>
    <t>Penzance</t>
  </si>
  <si>
    <t>PZE</t>
  </si>
  <si>
    <t>Pietermaritzburg</t>
  </si>
  <si>
    <t>Polyarnyj</t>
  </si>
  <si>
    <t>PYJ</t>
  </si>
  <si>
    <t>Puerto Ayacucha</t>
  </si>
  <si>
    <t>PYH</t>
  </si>
  <si>
    <t>Penrhyn Island</t>
  </si>
  <si>
    <t>PYE</t>
  </si>
  <si>
    <t>Pleiku</t>
  </si>
  <si>
    <t>PXU</t>
  </si>
  <si>
    <t>Porto Santo</t>
  </si>
  <si>
    <t>Puerto Escondido</t>
  </si>
  <si>
    <t>PXM</t>
  </si>
  <si>
    <t>Pavlodar</t>
  </si>
  <si>
    <t>Portland</t>
  </si>
  <si>
    <t>Puerto Vallarta</t>
  </si>
  <si>
    <t>Portoviejo</t>
  </si>
  <si>
    <t>PVO</t>
  </si>
  <si>
    <t>Preveza/Lefkas</t>
  </si>
  <si>
    <t xml:space="preserve"> RO</t>
  </si>
  <si>
    <t>Porto Velho</t>
  </si>
  <si>
    <t>Shanghai</t>
  </si>
  <si>
    <t>Providence</t>
  </si>
  <si>
    <t xml:space="preserve"> MA </t>
  </si>
  <si>
    <t>Provincetown</t>
  </si>
  <si>
    <t>Pula</t>
  </si>
  <si>
    <t>Pullman</t>
  </si>
  <si>
    <t>Puttaparthi</t>
  </si>
  <si>
    <t>PUT</t>
  </si>
  <si>
    <t xml:space="preserve"> South Korea - Gimhae </t>
  </si>
  <si>
    <t>Busan</t>
  </si>
  <si>
    <t>Punta Arenas</t>
  </si>
  <si>
    <t>Punta Cana</t>
  </si>
  <si>
    <t>Port Augusta</t>
  </si>
  <si>
    <t>Pau</t>
  </si>
  <si>
    <t>Puerto Deseado</t>
  </si>
  <si>
    <t>PUD</t>
  </si>
  <si>
    <t>Pueblo</t>
  </si>
  <si>
    <t xml:space="preserve"> Panama - Tocumen Intl </t>
  </si>
  <si>
    <t>Panama City</t>
  </si>
  <si>
    <t>Platinum</t>
  </si>
  <si>
    <t>PTU</t>
  </si>
  <si>
    <t xml:space="preserve"> Guadeloupe </t>
  </si>
  <si>
    <t>Pointe-a-Pitre</t>
  </si>
  <si>
    <t>Port Heiden</t>
  </si>
  <si>
    <t>PTH</t>
  </si>
  <si>
    <t>Pietersburb</t>
  </si>
  <si>
    <t>Malololailai</t>
  </si>
  <si>
    <t>PTF</t>
  </si>
  <si>
    <t>Port Alsworth</t>
  </si>
  <si>
    <t>PTA</t>
  </si>
  <si>
    <t>Puerto Suarez</t>
  </si>
  <si>
    <t xml:space="preserve"> Falkland Islands </t>
  </si>
  <si>
    <t>Port Stanley</t>
  </si>
  <si>
    <t>PSY</t>
  </si>
  <si>
    <t>Putussibau</t>
  </si>
  <si>
    <t>PSU</t>
  </si>
  <si>
    <t xml:space="preserve"> MI</t>
  </si>
  <si>
    <t>Posadas</t>
  </si>
  <si>
    <t>Pescara</t>
  </si>
  <si>
    <t>Palm Springs</t>
  </si>
  <si>
    <t>Pasto</t>
  </si>
  <si>
    <t xml:space="preserve"> NH </t>
  </si>
  <si>
    <t>Portsmouth</t>
  </si>
  <si>
    <t>Pasni</t>
  </si>
  <si>
    <t>PSI</t>
  </si>
  <si>
    <t>Petersburg</t>
  </si>
  <si>
    <t>Ponce</t>
  </si>
  <si>
    <t>Pasco</t>
  </si>
  <si>
    <t xml:space="preserve"> Italy - Gal Galilei </t>
  </si>
  <si>
    <t>Florence</t>
  </si>
  <si>
    <t>Parasi</t>
  </si>
  <si>
    <t>PRS</t>
  </si>
  <si>
    <t xml:space="preserve"> CH</t>
  </si>
  <si>
    <t>Pres. Roque Saenz Pena</t>
  </si>
  <si>
    <t>PRQ</t>
  </si>
  <si>
    <t>Pristina</t>
  </si>
  <si>
    <t>Phrae</t>
  </si>
  <si>
    <t>PRH</t>
  </si>
  <si>
    <t xml:space="preserve"> Czech Republic </t>
  </si>
  <si>
    <t>Prague</t>
  </si>
  <si>
    <t xml:space="preserve"> ER</t>
  </si>
  <si>
    <t>Parana</t>
  </si>
  <si>
    <t>Pilot Station</t>
  </si>
  <si>
    <t>PQS</t>
  </si>
  <si>
    <t>Port Macquarie</t>
  </si>
  <si>
    <t>Palenque</t>
  </si>
  <si>
    <t>PQM</t>
  </si>
  <si>
    <t>Presque Isle</t>
  </si>
  <si>
    <t xml:space="preserve"> Viet Nam - Duong Dang </t>
  </si>
  <si>
    <t>Phu Quoc</t>
  </si>
  <si>
    <t>Papa Westray</t>
  </si>
  <si>
    <t>PPW</t>
  </si>
  <si>
    <t>Port Protection</t>
  </si>
  <si>
    <t>PPV</t>
  </si>
  <si>
    <t>Papeete</t>
  </si>
  <si>
    <t>Puerto Princesa</t>
  </si>
  <si>
    <t>Proserpine</t>
  </si>
  <si>
    <t xml:space="preserve"> American Samoa </t>
  </si>
  <si>
    <t>Pago Pago</t>
  </si>
  <si>
    <t>Presidente Prudente</t>
  </si>
  <si>
    <t>Poznan</t>
  </si>
  <si>
    <t>Poughkeepsie</t>
  </si>
  <si>
    <t>POU</t>
  </si>
  <si>
    <t xml:space="preserve"> Jamaica </t>
  </si>
  <si>
    <t>Port Antonio</t>
  </si>
  <si>
    <t>POT</t>
  </si>
  <si>
    <t xml:space="preserve"> Trinidad </t>
  </si>
  <si>
    <t>Port of Spain</t>
  </si>
  <si>
    <t>Pori</t>
  </si>
  <si>
    <t>Puerto Plata</t>
  </si>
  <si>
    <t>Port Moresby</t>
  </si>
  <si>
    <t>Pemba</t>
  </si>
  <si>
    <t>Port Gentil</t>
  </si>
  <si>
    <t>POG</t>
  </si>
  <si>
    <t>Porto Alegre</t>
  </si>
  <si>
    <t>Petrolina</t>
  </si>
  <si>
    <t>Pensacola</t>
  </si>
  <si>
    <t xml:space="preserve"> Congo </t>
  </si>
  <si>
    <t>Pointe Noire</t>
  </si>
  <si>
    <t>PNR</t>
  </si>
  <si>
    <t>Pune</t>
  </si>
  <si>
    <t>Popondetta</t>
  </si>
  <si>
    <t>PNP</t>
  </si>
  <si>
    <t>Pantelleria</t>
  </si>
  <si>
    <t>Pontianak</t>
  </si>
  <si>
    <t>Pohnpei</t>
  </si>
  <si>
    <t>Phnom Penh</t>
  </si>
  <si>
    <t xml:space="preserve"> Belize </t>
  </si>
  <si>
    <t>Punta Gorda</t>
  </si>
  <si>
    <t>PND</t>
  </si>
  <si>
    <t>Ponca City</t>
  </si>
  <si>
    <t>PNC</t>
  </si>
  <si>
    <t>Pamplona</t>
  </si>
  <si>
    <t>Palmar</t>
  </si>
  <si>
    <t>Puerto Madryn</t>
  </si>
  <si>
    <t xml:space="preserve"> TO</t>
  </si>
  <si>
    <t>Palmas</t>
  </si>
  <si>
    <t>Porlamar</t>
  </si>
  <si>
    <t>Palmerston North</t>
  </si>
  <si>
    <t>Perito Moreno</t>
  </si>
  <si>
    <t>PMQ</t>
  </si>
  <si>
    <t xml:space="preserve"> Sicily</t>
  </si>
  <si>
    <t>Palermo</t>
  </si>
  <si>
    <t>Port Moller</t>
  </si>
  <si>
    <t>PML</t>
  </si>
  <si>
    <t>Palma Mallorca</t>
  </si>
  <si>
    <t xml:space="preserve"> MS</t>
  </si>
  <si>
    <t>Ponta Pora</t>
  </si>
  <si>
    <t xml:space="preserve"> Italy - Parma </t>
  </si>
  <si>
    <t>Milan</t>
  </si>
  <si>
    <t>Puerto Montt</t>
  </si>
  <si>
    <t xml:space="preserve"> Tanzania - Wawi </t>
  </si>
  <si>
    <t>PMA</t>
  </si>
  <si>
    <t>Port Elizabeth</t>
  </si>
  <si>
    <t>Palu</t>
  </si>
  <si>
    <t>PLW</t>
  </si>
  <si>
    <t>Poltava</t>
  </si>
  <si>
    <t>PLV</t>
  </si>
  <si>
    <t xml:space="preserve"> Brazil - Pampulha </t>
  </si>
  <si>
    <t>Belo Horizonte</t>
  </si>
  <si>
    <t>Providenciales</t>
  </si>
  <si>
    <t>Palanga</t>
  </si>
  <si>
    <t xml:space="preserve"> Panama </t>
  </si>
  <si>
    <t>La Palma</t>
  </si>
  <si>
    <t>PLP</t>
  </si>
  <si>
    <t>Port Lincoln</t>
  </si>
  <si>
    <t>Pellston</t>
  </si>
  <si>
    <t>Palembang</t>
  </si>
  <si>
    <t>Placencia</t>
  </si>
  <si>
    <t>PLJ</t>
  </si>
  <si>
    <t>Plymouth</t>
  </si>
  <si>
    <t>Plattsburgh</t>
  </si>
  <si>
    <t>PLB</t>
  </si>
  <si>
    <t>Pakse</t>
  </si>
  <si>
    <t>Palang Karaya</t>
  </si>
  <si>
    <t>PKY</t>
  </si>
  <si>
    <t>Pekanbaru</t>
  </si>
  <si>
    <t xml:space="preserve"> Nepal </t>
  </si>
  <si>
    <t>Pokhara</t>
  </si>
  <si>
    <t>Pangkalanboun</t>
  </si>
  <si>
    <t>PKN</t>
  </si>
  <si>
    <t>Petropaulousk-Kamchats</t>
  </si>
  <si>
    <t xml:space="preserve"> OH/Parkersburg</t>
  </si>
  <si>
    <t>Marietta</t>
  </si>
  <si>
    <t>Napaskiak</t>
  </si>
  <si>
    <t>PKA</t>
  </si>
  <si>
    <t>Puerto Jimenez</t>
  </si>
  <si>
    <t>PJM</t>
  </si>
  <si>
    <t>Panjger</t>
  </si>
  <si>
    <t>PJG</t>
  </si>
  <si>
    <t>Point Lay</t>
  </si>
  <si>
    <t>PIZ</t>
  </si>
  <si>
    <t>Pico Island</t>
  </si>
  <si>
    <t>Piura</t>
  </si>
  <si>
    <t>Pittsburgh</t>
  </si>
  <si>
    <t xml:space="preserve"> France - Biard </t>
  </si>
  <si>
    <t>Pierre</t>
  </si>
  <si>
    <t>PIP</t>
  </si>
  <si>
    <t xml:space="preserve"> United Kingdom - Prestwick </t>
  </si>
  <si>
    <t>Glasgow</t>
  </si>
  <si>
    <t>Pocatello</t>
  </si>
  <si>
    <t>Pingtung</t>
  </si>
  <si>
    <t>PIF</t>
  </si>
  <si>
    <t>Clearwater/St Petersburg</t>
  </si>
  <si>
    <t>Paradise Island</t>
  </si>
  <si>
    <t>PID</t>
  </si>
  <si>
    <t>Laurel</t>
  </si>
  <si>
    <t>Peoria</t>
  </si>
  <si>
    <t>Phoenix</t>
  </si>
  <si>
    <t>Phalaborwa</t>
  </si>
  <si>
    <t>Phitsanulok</t>
  </si>
  <si>
    <t>PHS</t>
  </si>
  <si>
    <t>Point Hope</t>
  </si>
  <si>
    <t>PHO</t>
  </si>
  <si>
    <t xml:space="preserve"> PA - International </t>
  </si>
  <si>
    <t>Newport News</t>
  </si>
  <si>
    <t>Port Headland</t>
  </si>
  <si>
    <t xml:space="preserve"> Nigeria </t>
  </si>
  <si>
    <t>Port Harcourt</t>
  </si>
  <si>
    <t>Parnaiba</t>
  </si>
  <si>
    <t>Perigueux</t>
  </si>
  <si>
    <t>Greenville</t>
  </si>
  <si>
    <t>Pangkalpinang</t>
  </si>
  <si>
    <t>PGK</t>
  </si>
  <si>
    <t>Perpignan</t>
  </si>
  <si>
    <t>Page</t>
  </si>
  <si>
    <t xml:space="preserve"> Cyprus </t>
  </si>
  <si>
    <t>Paphos</t>
  </si>
  <si>
    <t>PFN</t>
  </si>
  <si>
    <t>Passo Fundo</t>
  </si>
  <si>
    <t>PFB</t>
  </si>
  <si>
    <t>Pechora</t>
  </si>
  <si>
    <t>PEX</t>
  </si>
  <si>
    <t>Peshawar</t>
  </si>
  <si>
    <t>Puerto Lempira</t>
  </si>
  <si>
    <t>PEU</t>
  </si>
  <si>
    <t>Pelotas</t>
  </si>
  <si>
    <t>PET</t>
  </si>
  <si>
    <t>Petrozavodsk</t>
  </si>
  <si>
    <t>PES</t>
  </si>
  <si>
    <t xml:space="preserve"> Western Australia</t>
  </si>
  <si>
    <t>Perth</t>
  </si>
  <si>
    <t>Penang</t>
  </si>
  <si>
    <t>Puerto Maldonado</t>
  </si>
  <si>
    <t>Beijing</t>
  </si>
  <si>
    <t>Pereira</t>
  </si>
  <si>
    <t>Perugia</t>
  </si>
  <si>
    <t>Perm</t>
  </si>
  <si>
    <t>Pelican</t>
  </si>
  <si>
    <t>PEC</t>
  </si>
  <si>
    <t>Pendleton</t>
  </si>
  <si>
    <t>PDT</t>
  </si>
  <si>
    <t>Piedras Negras</t>
  </si>
  <si>
    <t>PDS</t>
  </si>
  <si>
    <t xml:space="preserve"> Uruguay </t>
  </si>
  <si>
    <t>Punta Del Este</t>
  </si>
  <si>
    <t>Ponta Delgada</t>
  </si>
  <si>
    <t>Padang</t>
  </si>
  <si>
    <t>Pedro Bay</t>
  </si>
  <si>
    <t>PDB</t>
  </si>
  <si>
    <t>Pucallpa</t>
  </si>
  <si>
    <t>Palacios</t>
  </si>
  <si>
    <t>PCH</t>
  </si>
  <si>
    <t>Portage Creek</t>
  </si>
  <si>
    <t>PCA</t>
  </si>
  <si>
    <t>Plettenburg Bay</t>
  </si>
  <si>
    <t>PBZ</t>
  </si>
  <si>
    <t>Punta Islita</t>
  </si>
  <si>
    <t>PBP</t>
  </si>
  <si>
    <t>Paraburdoo</t>
  </si>
  <si>
    <t xml:space="preserve"> Suriname - Zanderij Intl </t>
  </si>
  <si>
    <t>Paramaribo</t>
  </si>
  <si>
    <t>Paama</t>
  </si>
  <si>
    <t>PBJ</t>
  </si>
  <si>
    <t xml:space="preserve"> Bhutan </t>
  </si>
  <si>
    <t>Paro</t>
  </si>
  <si>
    <t>Puerto Berria</t>
  </si>
  <si>
    <t>PBE</t>
  </si>
  <si>
    <t>Porbandar</t>
  </si>
  <si>
    <t>Puebla</t>
  </si>
  <si>
    <t>Poza Rico</t>
  </si>
  <si>
    <t>PAZ</t>
  </si>
  <si>
    <t>Patna</t>
  </si>
  <si>
    <t xml:space="preserve"> France - All airports </t>
  </si>
  <si>
    <t>Paris</t>
  </si>
  <si>
    <t>PAR</t>
  </si>
  <si>
    <t xml:space="preserve"> Haiti </t>
  </si>
  <si>
    <t>Port Au Prince</t>
  </si>
  <si>
    <t xml:space="preserve"> HI </t>
  </si>
  <si>
    <t>Hanapepe</t>
  </si>
  <si>
    <t>PAK</t>
  </si>
  <si>
    <t>Para Chinar</t>
  </si>
  <si>
    <t>PAJ</t>
  </si>
  <si>
    <t>Paducah</t>
  </si>
  <si>
    <t>Pakuba</t>
  </si>
  <si>
    <t>PAF</t>
  </si>
  <si>
    <t>Paderborn</t>
  </si>
  <si>
    <t xml:space="preserve"> Panama - Paitilla </t>
  </si>
  <si>
    <t>Ouarzazate</t>
  </si>
  <si>
    <t>Zaporozhye</t>
  </si>
  <si>
    <t>Oyem</t>
  </si>
  <si>
    <t>OYE</t>
  </si>
  <si>
    <t xml:space="preserve"> CR</t>
  </si>
  <si>
    <t>Goya</t>
  </si>
  <si>
    <t>OYA</t>
  </si>
  <si>
    <t>Ventura/Oxnard</t>
  </si>
  <si>
    <t>OXR</t>
  </si>
  <si>
    <t xml:space="preserve"> Guinea-Bissau </t>
  </si>
  <si>
    <t>Bissau</t>
  </si>
  <si>
    <t>Owensboro</t>
  </si>
  <si>
    <t>Asturias</t>
  </si>
  <si>
    <t xml:space="preserve"> Russia - Tolmachevo </t>
  </si>
  <si>
    <t>Novosibirsk</t>
  </si>
  <si>
    <t>Zouerate</t>
  </si>
  <si>
    <t>OUZ</t>
  </si>
  <si>
    <t>Oulu</t>
  </si>
  <si>
    <t>Oujda</t>
  </si>
  <si>
    <t xml:space="preserve"> Burkina Faso </t>
  </si>
  <si>
    <t>Ouagadougou</t>
  </si>
  <si>
    <t>Kotzebue</t>
  </si>
  <si>
    <t>Otu</t>
  </si>
  <si>
    <t>OTU</t>
  </si>
  <si>
    <t xml:space="preserve"> Romania - Otopeni International </t>
  </si>
  <si>
    <t>Bucharest</t>
  </si>
  <si>
    <t>Ottumwa</t>
  </si>
  <si>
    <t>OTM</t>
  </si>
  <si>
    <t>North Bend</t>
  </si>
  <si>
    <t>Contadora</t>
  </si>
  <si>
    <t>OTD</t>
  </si>
  <si>
    <t>Koszalin</t>
  </si>
  <si>
    <t>OSZ</t>
  </si>
  <si>
    <t>Namsos</t>
  </si>
  <si>
    <t>OSY</t>
  </si>
  <si>
    <t>Orsk</t>
  </si>
  <si>
    <t>OSW</t>
  </si>
  <si>
    <t>Ostrava</t>
  </si>
  <si>
    <t>Oslo</t>
  </si>
  <si>
    <t>Oskarshamn</t>
  </si>
  <si>
    <t>Osijek</t>
  </si>
  <si>
    <t xml:space="preserve"> WI </t>
  </si>
  <si>
    <t>Oshkosh</t>
  </si>
  <si>
    <t>OSH</t>
  </si>
  <si>
    <t>Ostersund</t>
  </si>
  <si>
    <t xml:space="preserve"> Japan - all airports </t>
  </si>
  <si>
    <t>OSA</t>
  </si>
  <si>
    <t xml:space="preserve"> France - Orly </t>
  </si>
  <si>
    <t>Ormara</t>
  </si>
  <si>
    <t>ORW</t>
  </si>
  <si>
    <t>Noorvik</t>
  </si>
  <si>
    <t>ORV</t>
  </si>
  <si>
    <t>Northway</t>
  </si>
  <si>
    <t>ORT</t>
  </si>
  <si>
    <t>Oran</t>
  </si>
  <si>
    <t xml:space="preserve"> FL - Herndon </t>
  </si>
  <si>
    <t>Orlando</t>
  </si>
  <si>
    <t>ORL</t>
  </si>
  <si>
    <t>Cork</t>
  </si>
  <si>
    <t>Worcester</t>
  </si>
  <si>
    <t>ORH</t>
  </si>
  <si>
    <t xml:space="preserve"> Suriname - Zorg En Hoop </t>
  </si>
  <si>
    <t>ORG</t>
  </si>
  <si>
    <t>Norfolk</t>
  </si>
  <si>
    <t xml:space="preserve"> IL - O'Hare </t>
  </si>
  <si>
    <t>Chicago</t>
  </si>
  <si>
    <t xml:space="preserve"> Sweeden - Obrebro-Bofors </t>
  </si>
  <si>
    <t>Orebro</t>
  </si>
  <si>
    <t>Balimo</t>
  </si>
  <si>
    <t>OPU</t>
  </si>
  <si>
    <t>Porto</t>
  </si>
  <si>
    <t>Cooma</t>
  </si>
  <si>
    <t>OOM</t>
  </si>
  <si>
    <t>Gold Coast</t>
  </si>
  <si>
    <t>Toksook Bay</t>
  </si>
  <si>
    <t>OOK</t>
  </si>
  <si>
    <t>Colon</t>
  </si>
  <si>
    <t>ONX</t>
  </si>
  <si>
    <t>Ontario</t>
  </si>
  <si>
    <t>Moanamani</t>
  </si>
  <si>
    <t>ONI</t>
  </si>
  <si>
    <t>Mornington</t>
  </si>
  <si>
    <t>ONG</t>
  </si>
  <si>
    <t>Ondangwa</t>
  </si>
  <si>
    <t>Omsk</t>
  </si>
  <si>
    <t>Oradea</t>
  </si>
  <si>
    <t xml:space="preserve"> Bosnia and Herzegovina </t>
  </si>
  <si>
    <t>Mostar</t>
  </si>
  <si>
    <t>Urmieh</t>
  </si>
  <si>
    <t>OMH</t>
  </si>
  <si>
    <t>Nome</t>
  </si>
  <si>
    <t>Oranjemund</t>
  </si>
  <si>
    <t>OMD</t>
  </si>
  <si>
    <t>Omboue</t>
  </si>
  <si>
    <t>OMB</t>
  </si>
  <si>
    <t xml:space="preserve"> NE </t>
  </si>
  <si>
    <t>Omaha</t>
  </si>
  <si>
    <t>Olympic Dam</t>
  </si>
  <si>
    <t>Olpoi</t>
  </si>
  <si>
    <t>OLJ</t>
  </si>
  <si>
    <t>Olbia</t>
  </si>
  <si>
    <t>Mokuti Lodge</t>
  </si>
  <si>
    <t>OKU</t>
  </si>
  <si>
    <t>Yorke Island</t>
  </si>
  <si>
    <t>OKR</t>
  </si>
  <si>
    <t xml:space="preserve"> Indonedia </t>
  </si>
  <si>
    <t>Okaba</t>
  </si>
  <si>
    <t>OKQ</t>
  </si>
  <si>
    <t>Oksibil</t>
  </si>
  <si>
    <t>OKL</t>
  </si>
  <si>
    <t>Okayama</t>
  </si>
  <si>
    <t>OKJ</t>
  </si>
  <si>
    <t xml:space="preserve"> Japan - Okadama </t>
  </si>
  <si>
    <t>Oklahoma City</t>
  </si>
  <si>
    <t>Oita</t>
  </si>
  <si>
    <t>Okoshiri</t>
  </si>
  <si>
    <t>OIR</t>
  </si>
  <si>
    <t>Oshima</t>
  </si>
  <si>
    <t>OIM</t>
  </si>
  <si>
    <t>Okhotsk</t>
  </si>
  <si>
    <t>OHO</t>
  </si>
  <si>
    <t xml:space="preserve"> Macedonia </t>
  </si>
  <si>
    <t>Ohrid</t>
  </si>
  <si>
    <t>Vladikavkaz</t>
  </si>
  <si>
    <t>Ouargla</t>
  </si>
  <si>
    <t>Ogdensburg</t>
  </si>
  <si>
    <t>OGS</t>
  </si>
  <si>
    <t>Yonaguni Jima</t>
  </si>
  <si>
    <t>Maui</t>
  </si>
  <si>
    <t>OFK</t>
  </si>
  <si>
    <t>San Antonio Oesta</t>
  </si>
  <si>
    <t>OES</t>
  </si>
  <si>
    <t>Ornskoldsvik</t>
  </si>
  <si>
    <t>Oudomxay</t>
  </si>
  <si>
    <t>Odessa</t>
  </si>
  <si>
    <t>Long Seridan</t>
  </si>
  <si>
    <t>ODN</t>
  </si>
  <si>
    <t>Ocho Rios</t>
  </si>
  <si>
    <t>OCJ</t>
  </si>
  <si>
    <t>Kobuk</t>
  </si>
  <si>
    <t>OBU</t>
  </si>
  <si>
    <t>Obihiro</t>
  </si>
  <si>
    <t>Obano</t>
  </si>
  <si>
    <t>OBD</t>
  </si>
  <si>
    <t>Oaxaca</t>
  </si>
  <si>
    <t>Oakland</t>
  </si>
  <si>
    <t>Jacksonville</t>
  </si>
  <si>
    <t>Orange</t>
  </si>
  <si>
    <t>Nyaung</t>
  </si>
  <si>
    <t>NYU</t>
  </si>
  <si>
    <t>Nyngan</t>
  </si>
  <si>
    <t>NYN</t>
  </si>
  <si>
    <t>Nadym</t>
  </si>
  <si>
    <t>NYM</t>
  </si>
  <si>
    <t>Nanyuki</t>
  </si>
  <si>
    <t xml:space="preserve"> NY - All airports </t>
  </si>
  <si>
    <t>New York</t>
  </si>
  <si>
    <t>NYC</t>
  </si>
  <si>
    <t>Norwich</t>
  </si>
  <si>
    <t>Navegantes</t>
  </si>
  <si>
    <t>Novgorod</t>
  </si>
  <si>
    <t>NVR</t>
  </si>
  <si>
    <t>Narvik</t>
  </si>
  <si>
    <t>NVK</t>
  </si>
  <si>
    <t>Neiva</t>
  </si>
  <si>
    <t>NayUrengoy</t>
  </si>
  <si>
    <t>Norsup</t>
  </si>
  <si>
    <t>NUS</t>
  </si>
  <si>
    <t>Nunapitchuk</t>
  </si>
  <si>
    <t>NUP</t>
  </si>
  <si>
    <t>Nulato</t>
  </si>
  <si>
    <t>NUL</t>
  </si>
  <si>
    <t>Nuiqsut</t>
  </si>
  <si>
    <t>NUI</t>
  </si>
  <si>
    <t>Numbulwar</t>
  </si>
  <si>
    <t>NUB</t>
  </si>
  <si>
    <t>Sun City</t>
  </si>
  <si>
    <t>Niuatoputapu</t>
  </si>
  <si>
    <t>NTT</t>
  </si>
  <si>
    <t>Santo Antao</t>
  </si>
  <si>
    <t>NTO</t>
  </si>
  <si>
    <t>Normanton</t>
  </si>
  <si>
    <t>NTN</t>
  </si>
  <si>
    <t>Newcastle</t>
  </si>
  <si>
    <t>Bintuni</t>
  </si>
  <si>
    <t>NTI</t>
  </si>
  <si>
    <t>Nantong</t>
  </si>
  <si>
    <t xml:space="preserve"> France - Nantes Atlantique </t>
  </si>
  <si>
    <t>Nakhon Si Thammarat</t>
  </si>
  <si>
    <t>NST</t>
  </si>
  <si>
    <t>Nelso</t>
  </si>
  <si>
    <t>Noril'sk</t>
  </si>
  <si>
    <t>Bimini</t>
  </si>
  <si>
    <t>NSB</t>
  </si>
  <si>
    <t xml:space="preserve"> Japan - Narita </t>
  </si>
  <si>
    <t>North Ronaldsay</t>
  </si>
  <si>
    <t>NRL</t>
  </si>
  <si>
    <t>Norrkoping</t>
  </si>
  <si>
    <t>Norderney</t>
  </si>
  <si>
    <t>NRD</t>
  </si>
  <si>
    <t>Newquay</t>
  </si>
  <si>
    <t xml:space="preserve"> NE</t>
  </si>
  <si>
    <t>Neuquen</t>
  </si>
  <si>
    <t>New Plymouth</t>
  </si>
  <si>
    <t>Napier-Hastings</t>
  </si>
  <si>
    <t>Novokuznetsk</t>
  </si>
  <si>
    <t>NOZ</t>
  </si>
  <si>
    <t xml:space="preserve"> New Caledonia - Tontouta </t>
  </si>
  <si>
    <t>Noumea</t>
  </si>
  <si>
    <t>Nossi-be</t>
  </si>
  <si>
    <t>Nojabrxsk</t>
  </si>
  <si>
    <t>Knock</t>
  </si>
  <si>
    <t>Nosara Beach</t>
  </si>
  <si>
    <t>Nanyang</t>
  </si>
  <si>
    <t>Nunukan</t>
  </si>
  <si>
    <t>NNX</t>
  </si>
  <si>
    <t>Nan</t>
  </si>
  <si>
    <t>NNT</t>
  </si>
  <si>
    <t>Naryan-Mar</t>
  </si>
  <si>
    <t>NNM</t>
  </si>
  <si>
    <t>Nondalton</t>
  </si>
  <si>
    <t>NNL</t>
  </si>
  <si>
    <t>Nanning</t>
  </si>
  <si>
    <t>NNB</t>
  </si>
  <si>
    <t>San Miguel</t>
  </si>
  <si>
    <t>NMG</t>
  </si>
  <si>
    <t>Nightmute</t>
  </si>
  <si>
    <t>NME</t>
  </si>
  <si>
    <t>Namangan</t>
  </si>
  <si>
    <t>NMA</t>
  </si>
  <si>
    <t>Nelspruit</t>
  </si>
  <si>
    <t>NLP</t>
  </si>
  <si>
    <t xml:space="preserve"> Norfolk Island </t>
  </si>
  <si>
    <t>Nelson Lagoon</t>
  </si>
  <si>
    <t>NLG</t>
  </si>
  <si>
    <t>Darnley Island</t>
  </si>
  <si>
    <t>NLF</t>
  </si>
  <si>
    <t>Nuevo Laredo</t>
  </si>
  <si>
    <t>NLD</t>
  </si>
  <si>
    <t>Ndola</t>
  </si>
  <si>
    <t>NLA</t>
  </si>
  <si>
    <t>Naukiti</t>
  </si>
  <si>
    <t>NKI</t>
  </si>
  <si>
    <t>Nanking/Nanjing</t>
  </si>
  <si>
    <t>Sinak</t>
  </si>
  <si>
    <t>NKD</t>
  </si>
  <si>
    <t>Nouakchott</t>
  </si>
  <si>
    <t>Nizhnevartovsk</t>
  </si>
  <si>
    <t>Nioko</t>
  </si>
  <si>
    <t>NIX</t>
  </si>
  <si>
    <t xml:space="preserve"> Niger </t>
  </si>
  <si>
    <t>Niamey</t>
  </si>
  <si>
    <t>Nicosia</t>
  </si>
  <si>
    <t>NIC</t>
  </si>
  <si>
    <t>Nikolai</t>
  </si>
  <si>
    <t>NIB</t>
  </si>
  <si>
    <t>Nuku Hiva</t>
  </si>
  <si>
    <t>Nha Trang</t>
  </si>
  <si>
    <t>NHA</t>
  </si>
  <si>
    <t>Manang</t>
  </si>
  <si>
    <t>NGX</t>
  </si>
  <si>
    <t>Nagasaki</t>
  </si>
  <si>
    <t xml:space="preserve"> Japan - Nagoya Komaki APT </t>
  </si>
  <si>
    <t>Ngau Island</t>
  </si>
  <si>
    <t>NGI</t>
  </si>
  <si>
    <t>Ngaoundere</t>
  </si>
  <si>
    <t>Ningbo</t>
  </si>
  <si>
    <t>Niuafo'ou</t>
  </si>
  <si>
    <t>NFO</t>
  </si>
  <si>
    <t>Nefteyugansk</t>
  </si>
  <si>
    <t>NFG</t>
  </si>
  <si>
    <t xml:space="preserve"> St. Kitts and Nevis </t>
  </si>
  <si>
    <t>Nevis</t>
  </si>
  <si>
    <t>Neryjungri</t>
  </si>
  <si>
    <t>NER</t>
  </si>
  <si>
    <t>Negril</t>
  </si>
  <si>
    <t>NEG</t>
  </si>
  <si>
    <t>Nordholz-Speika</t>
  </si>
  <si>
    <t>NDZ</t>
  </si>
  <si>
    <t>Sanday</t>
  </si>
  <si>
    <t>NDY</t>
  </si>
  <si>
    <t>Nadar</t>
  </si>
  <si>
    <t>Mendi</t>
  </si>
  <si>
    <t>NDM</t>
  </si>
  <si>
    <t>Namorik Island</t>
  </si>
  <si>
    <t>NDK</t>
  </si>
  <si>
    <t xml:space="preserve"> Chad </t>
  </si>
  <si>
    <t>Ndjamena</t>
  </si>
  <si>
    <t>Namudi</t>
  </si>
  <si>
    <t>NDI</t>
  </si>
  <si>
    <t>Qiqihar</t>
  </si>
  <si>
    <t>Nouadhiba</t>
  </si>
  <si>
    <t>Annecy</t>
  </si>
  <si>
    <t>Nukus</t>
  </si>
  <si>
    <t>NCU</t>
  </si>
  <si>
    <t>New Chenega</t>
  </si>
  <si>
    <t>NCN</t>
  </si>
  <si>
    <t>Nice</t>
  </si>
  <si>
    <t>North Caicos</t>
  </si>
  <si>
    <t>NCA</t>
  </si>
  <si>
    <t>Nabire</t>
  </si>
  <si>
    <t>NBX</t>
  </si>
  <si>
    <t xml:space="preserve"> Kenya - Jomo Kenyatta Intl </t>
  </si>
  <si>
    <t>Narathiwat</t>
  </si>
  <si>
    <t>NAW</t>
  </si>
  <si>
    <t>Natal</t>
  </si>
  <si>
    <t xml:space="preserve"> Bahamas - Paradise Island </t>
  </si>
  <si>
    <t>Nassau</t>
  </si>
  <si>
    <t>Naples</t>
  </si>
  <si>
    <t>Nanchong</t>
  </si>
  <si>
    <t>Nadi</t>
  </si>
  <si>
    <t>Nalchik</t>
  </si>
  <si>
    <t>NAL</t>
  </si>
  <si>
    <t>Nakhon Ratchosima</t>
  </si>
  <si>
    <t>NAK</t>
  </si>
  <si>
    <t xml:space="preserve"> Azerbaijan </t>
  </si>
  <si>
    <t>Nakhichevan</t>
  </si>
  <si>
    <t>Nagpur</t>
  </si>
  <si>
    <t>Narrabri</t>
  </si>
  <si>
    <t>Mulu</t>
  </si>
  <si>
    <t>Mazatlan</t>
  </si>
  <si>
    <t>Manizales</t>
  </si>
  <si>
    <t>Mopti</t>
  </si>
  <si>
    <t>Makung</t>
  </si>
  <si>
    <t>MZG</t>
  </si>
  <si>
    <t>Miri</t>
  </si>
  <si>
    <t>Menyamya</t>
  </si>
  <si>
    <t>MYX</t>
  </si>
  <si>
    <t>Mtwara</t>
  </si>
  <si>
    <t>MYW</t>
  </si>
  <si>
    <t>Mekoryuk</t>
  </si>
  <si>
    <t>MYU</t>
  </si>
  <si>
    <t>Myitkyina</t>
  </si>
  <si>
    <t>MYT</t>
  </si>
  <si>
    <t xml:space="preserve"> SC </t>
  </si>
  <si>
    <t>Myrtle Beach</t>
  </si>
  <si>
    <t>Matsuyama</t>
  </si>
  <si>
    <t>Murray Island</t>
  </si>
  <si>
    <t>MYI</t>
  </si>
  <si>
    <t>Mayaguana</t>
  </si>
  <si>
    <t>MiyakeJima</t>
  </si>
  <si>
    <t>MYE</t>
  </si>
  <si>
    <t>Malindi</t>
  </si>
  <si>
    <t>Maracay</t>
  </si>
  <si>
    <t>MYC</t>
  </si>
  <si>
    <t>Moruya</t>
  </si>
  <si>
    <t>Meixian</t>
  </si>
  <si>
    <t>Mora</t>
  </si>
  <si>
    <t>Maintirano</t>
  </si>
  <si>
    <t>MXT</t>
  </si>
  <si>
    <t xml:space="preserve"> Western Samoa </t>
  </si>
  <si>
    <t>Maota Savaii Is</t>
  </si>
  <si>
    <t>MXS</t>
  </si>
  <si>
    <t xml:space="preserve"> Italy - Malpensa </t>
  </si>
  <si>
    <t>Morambe</t>
  </si>
  <si>
    <t>MXM</t>
  </si>
  <si>
    <t>Mexicali</t>
  </si>
  <si>
    <t>Moro</t>
  </si>
  <si>
    <t>MXH</t>
  </si>
  <si>
    <t>Mwanza</t>
  </si>
  <si>
    <t>Moses Lake</t>
  </si>
  <si>
    <t>MWH</t>
  </si>
  <si>
    <t>Maewo</t>
  </si>
  <si>
    <t>MWF</t>
  </si>
  <si>
    <t>Merave</t>
  </si>
  <si>
    <t>MWE</t>
  </si>
  <si>
    <t>Marion</t>
  </si>
  <si>
    <t>Martha's Vineyard</t>
  </si>
  <si>
    <t>Mucuri</t>
  </si>
  <si>
    <t>MVS</t>
  </si>
  <si>
    <t>Marova</t>
  </si>
  <si>
    <t>Montevideo</t>
  </si>
  <si>
    <t>Franceville</t>
  </si>
  <si>
    <t>MVB</t>
  </si>
  <si>
    <t>Musoma</t>
  </si>
  <si>
    <t>MUZ</t>
  </si>
  <si>
    <t>Multan</t>
  </si>
  <si>
    <t>Marudi</t>
  </si>
  <si>
    <t>MUR</t>
  </si>
  <si>
    <t>Maturin</t>
  </si>
  <si>
    <t>MUN</t>
  </si>
  <si>
    <t>Mauke Island</t>
  </si>
  <si>
    <t>Mersa Matruh</t>
  </si>
  <si>
    <t>MUH</t>
  </si>
  <si>
    <t xml:space="preserve"> HI - Island of Hawaii</t>
  </si>
  <si>
    <t>Kamuela</t>
  </si>
  <si>
    <t>MUE</t>
  </si>
  <si>
    <t>Munich</t>
  </si>
  <si>
    <t xml:space="preserve"> Botswana </t>
  </si>
  <si>
    <t>Maun</t>
  </si>
  <si>
    <t>Munda</t>
  </si>
  <si>
    <t>MUA</t>
  </si>
  <si>
    <t>Monterrey</t>
  </si>
  <si>
    <t>Mota Lava</t>
  </si>
  <si>
    <t>MTV</t>
  </si>
  <si>
    <t>Minatitla</t>
  </si>
  <si>
    <t xml:space="preserve"> Swaziland </t>
  </si>
  <si>
    <t>Manzini</t>
  </si>
  <si>
    <t>Monteria</t>
  </si>
  <si>
    <t>Metlakatla</t>
  </si>
  <si>
    <t>MTM</t>
  </si>
  <si>
    <t>Montrose</t>
  </si>
  <si>
    <t>Mizan Teferi</t>
  </si>
  <si>
    <t>MTF</t>
  </si>
  <si>
    <t>New Orleans</t>
  </si>
  <si>
    <t xml:space="preserve"> Lesotho </t>
  </si>
  <si>
    <t>Maseru</t>
  </si>
  <si>
    <t>Maastricht</t>
  </si>
  <si>
    <t>Massena</t>
  </si>
  <si>
    <t>MSS</t>
  </si>
  <si>
    <t>Mus</t>
  </si>
  <si>
    <t xml:space="preserve"> Belarus - Minsk International 2 </t>
  </si>
  <si>
    <t>Minsk</t>
  </si>
  <si>
    <t>Minneapolis</t>
  </si>
  <si>
    <t>Missoula</t>
  </si>
  <si>
    <t>Madison</t>
  </si>
  <si>
    <t>Sheffield/Florence/Muscle Shoals</t>
  </si>
  <si>
    <t>Misawa</t>
  </si>
  <si>
    <t>MSJ</t>
  </si>
  <si>
    <t>Manston</t>
  </si>
  <si>
    <t>Muskrat Dam</t>
  </si>
  <si>
    <t>Moree</t>
  </si>
  <si>
    <t>Carmel</t>
  </si>
  <si>
    <t>Mineralnye Vody</t>
  </si>
  <si>
    <t>Marseille</t>
  </si>
  <si>
    <t>Mara Lodges</t>
  </si>
  <si>
    <t>Merida</t>
  </si>
  <si>
    <t>MRD</t>
  </si>
  <si>
    <t>Misurata</t>
  </si>
  <si>
    <t>MRA</t>
  </si>
  <si>
    <t>Makale</t>
  </si>
  <si>
    <t>MQX</t>
  </si>
  <si>
    <t>Marquette</t>
  </si>
  <si>
    <t>Mo I Rana</t>
  </si>
  <si>
    <t>MQN</t>
  </si>
  <si>
    <t>Mildura</t>
  </si>
  <si>
    <t>Magnitogorsk</t>
  </si>
  <si>
    <t>MQF</t>
  </si>
  <si>
    <t>Mariupol</t>
  </si>
  <si>
    <t>Mount Pleasant</t>
  </si>
  <si>
    <t>MPN</t>
  </si>
  <si>
    <t>Maputo</t>
  </si>
  <si>
    <t>Montpellier</t>
  </si>
  <si>
    <t>Mokpo</t>
  </si>
  <si>
    <t>MPK</t>
  </si>
  <si>
    <t xml:space="preserve"> FL - Sea Plane Base </t>
  </si>
  <si>
    <t>Miami</t>
  </si>
  <si>
    <t>MPB</t>
  </si>
  <si>
    <t>Mpacha</t>
  </si>
  <si>
    <t>Moorea</t>
  </si>
  <si>
    <t xml:space="preserve"> Russia - all locations </t>
  </si>
  <si>
    <t>MOW</t>
  </si>
  <si>
    <t>Moranbah</t>
  </si>
  <si>
    <t>Mountain Village</t>
  </si>
  <si>
    <t>MOU</t>
  </si>
  <si>
    <t xml:space="preserve"> ND </t>
  </si>
  <si>
    <t>Minot</t>
  </si>
  <si>
    <t>Morondava</t>
  </si>
  <si>
    <t>Mount Cook</t>
  </si>
  <si>
    <t>MON</t>
  </si>
  <si>
    <t>Molde</t>
  </si>
  <si>
    <t>Mitiaro Island</t>
  </si>
  <si>
    <t>MOI</t>
  </si>
  <si>
    <t>Maumere</t>
  </si>
  <si>
    <t>MOF</t>
  </si>
  <si>
    <t>Modesto</t>
  </si>
  <si>
    <t>Montes Claros</t>
  </si>
  <si>
    <t>Mobile</t>
  </si>
  <si>
    <t>Moa</t>
  </si>
  <si>
    <t>Mono</t>
  </si>
  <si>
    <t>MNY</t>
  </si>
  <si>
    <t>Maulmyine</t>
  </si>
  <si>
    <t>MNU</t>
  </si>
  <si>
    <t>Minto</t>
  </si>
  <si>
    <t>MNT</t>
  </si>
  <si>
    <t>Mangu</t>
  </si>
  <si>
    <t>MNR</t>
  </si>
  <si>
    <t>Manila</t>
  </si>
  <si>
    <t>Mananjary</t>
  </si>
  <si>
    <t>MNJ</t>
  </si>
  <si>
    <t xml:space="preserve"> Montserrat </t>
  </si>
  <si>
    <t>Montserrat</t>
  </si>
  <si>
    <t>MNI</t>
  </si>
  <si>
    <t>Maningrioa</t>
  </si>
  <si>
    <t>Mana Island</t>
  </si>
  <si>
    <t>MNF</t>
  </si>
  <si>
    <t>Nacala</t>
  </si>
  <si>
    <t>MNC</t>
  </si>
  <si>
    <t>Moanda</t>
  </si>
  <si>
    <t>MNB</t>
  </si>
  <si>
    <t>Miyako Jima</t>
  </si>
  <si>
    <t>Malmo</t>
  </si>
  <si>
    <t>Maio</t>
  </si>
  <si>
    <t>Murmansk</t>
  </si>
  <si>
    <t>Matsumoto</t>
  </si>
  <si>
    <t>Mount Magnet</t>
  </si>
  <si>
    <t>MMG</t>
  </si>
  <si>
    <t>Teesside</t>
  </si>
  <si>
    <t>Minami Daito</t>
  </si>
  <si>
    <t>MMD</t>
  </si>
  <si>
    <t>Memanbetsu</t>
  </si>
  <si>
    <t>Manley Hot Springs</t>
  </si>
  <si>
    <t>MLY</t>
  </si>
  <si>
    <t>Malatya</t>
  </si>
  <si>
    <t>Monroe</t>
  </si>
  <si>
    <t>Miles City</t>
  </si>
  <si>
    <t>MLS</t>
  </si>
  <si>
    <t>Melilla</t>
  </si>
  <si>
    <t>Morelia</t>
  </si>
  <si>
    <t>Marshall</t>
  </si>
  <si>
    <t>MLL</t>
  </si>
  <si>
    <t>Moline</t>
  </si>
  <si>
    <t>Mulhouse</t>
  </si>
  <si>
    <t xml:space="preserve"> Maldives </t>
  </si>
  <si>
    <t>Male</t>
  </si>
  <si>
    <t>Melbourne</t>
  </si>
  <si>
    <t xml:space="preserve"> Malta </t>
  </si>
  <si>
    <t>Malacca</t>
  </si>
  <si>
    <t>Mackay</t>
  </si>
  <si>
    <t>Manokwari</t>
  </si>
  <si>
    <t>MKW</t>
  </si>
  <si>
    <t>Makokou</t>
  </si>
  <si>
    <t>MKU</t>
  </si>
  <si>
    <t>Mankato</t>
  </si>
  <si>
    <t>MKT</t>
  </si>
  <si>
    <t>Mekane Selam</t>
  </si>
  <si>
    <t>MKS</t>
  </si>
  <si>
    <t>Meekatharra</t>
  </si>
  <si>
    <t>MKR</t>
  </si>
  <si>
    <t>Merauke</t>
  </si>
  <si>
    <t>MKQ</t>
  </si>
  <si>
    <t>Mukan</t>
  </si>
  <si>
    <t>MKM</t>
  </si>
  <si>
    <t>Jackson</t>
  </si>
  <si>
    <t>MKL</t>
  </si>
  <si>
    <t xml:space="preserve"> HI - Island of Molokai </t>
  </si>
  <si>
    <t>Hoolehua</t>
  </si>
  <si>
    <t>Muskegon</t>
  </si>
  <si>
    <t>Milwaukee</t>
  </si>
  <si>
    <t>Mirnyj</t>
  </si>
  <si>
    <t>Murcia</t>
  </si>
  <si>
    <t>Mytilene</t>
  </si>
  <si>
    <t>Majunga</t>
  </si>
  <si>
    <t>Mbuji Mayi</t>
  </si>
  <si>
    <t>Mouila</t>
  </si>
  <si>
    <t>MJL</t>
  </si>
  <si>
    <t>Monkey Mia</t>
  </si>
  <si>
    <t>MJK</t>
  </si>
  <si>
    <t>Mosjoen</t>
  </si>
  <si>
    <t>MJF</t>
  </si>
  <si>
    <t>Majkin</t>
  </si>
  <si>
    <t>MJE</t>
  </si>
  <si>
    <t>Mohenjodaro</t>
  </si>
  <si>
    <t>MJD</t>
  </si>
  <si>
    <t>Mejit Island</t>
  </si>
  <si>
    <t>MJB</t>
  </si>
  <si>
    <t>Manja</t>
  </si>
  <si>
    <t>MJA</t>
  </si>
  <si>
    <t>Misima Island</t>
  </si>
  <si>
    <t>MIS</t>
  </si>
  <si>
    <t>Monastir</t>
  </si>
  <si>
    <t>Merimbula</t>
  </si>
  <si>
    <t>Mikkeli</t>
  </si>
  <si>
    <t>MIK</t>
  </si>
  <si>
    <t>Mili Island</t>
  </si>
  <si>
    <t>MIJ</t>
  </si>
  <si>
    <t>Marilia</t>
  </si>
  <si>
    <t xml:space="preserve"> FL - International </t>
  </si>
  <si>
    <t>Manihiki Island</t>
  </si>
  <si>
    <t>MHX</t>
  </si>
  <si>
    <t>Mount Hotham</t>
  </si>
  <si>
    <t>MHU</t>
  </si>
  <si>
    <t>Manchester</t>
  </si>
  <si>
    <t>Mariehamn</t>
  </si>
  <si>
    <t xml:space="preserve"> Belarus - Minsk International 1 </t>
  </si>
  <si>
    <t>MHP</t>
  </si>
  <si>
    <t>Manhattan</t>
  </si>
  <si>
    <t>Marsh Harbour</t>
  </si>
  <si>
    <t>Mannheim</t>
  </si>
  <si>
    <t>Mashad</t>
  </si>
  <si>
    <t>Myeik</t>
  </si>
  <si>
    <t>MGZ</t>
  </si>
  <si>
    <t xml:space="preserve"> WV </t>
  </si>
  <si>
    <t>Morgantown</t>
  </si>
  <si>
    <t>Milingimbi</t>
  </si>
  <si>
    <t>MGT</t>
  </si>
  <si>
    <t>Mangaia Island</t>
  </si>
  <si>
    <t>MGS</t>
  </si>
  <si>
    <t xml:space="preserve"> Somalia </t>
  </si>
  <si>
    <t>Mogadishu</t>
  </si>
  <si>
    <t>Montgomery</t>
  </si>
  <si>
    <t xml:space="preserve"> Germany - Moenchen-Gl. </t>
  </si>
  <si>
    <t>Margate</t>
  </si>
  <si>
    <t>MGH</t>
  </si>
  <si>
    <t>Maringa</t>
  </si>
  <si>
    <t>MGF</t>
  </si>
  <si>
    <t>Mount Gambier</t>
  </si>
  <si>
    <t xml:space="preserve"> Nicaragua </t>
  </si>
  <si>
    <t>Managua</t>
  </si>
  <si>
    <t>Mfume</t>
  </si>
  <si>
    <t>Medford</t>
  </si>
  <si>
    <t>Manguna</t>
  </si>
  <si>
    <t>MFO</t>
  </si>
  <si>
    <t>Macau</t>
  </si>
  <si>
    <t>Moala</t>
  </si>
  <si>
    <t>MFJ</t>
  </si>
  <si>
    <t>Muzaffarabad</t>
  </si>
  <si>
    <t>MFG</t>
  </si>
  <si>
    <t>MFF</t>
  </si>
  <si>
    <t>Mcallen</t>
  </si>
  <si>
    <t>Mafia</t>
  </si>
  <si>
    <t>MFA</t>
  </si>
  <si>
    <t>Mexico City</t>
  </si>
  <si>
    <t>Monte Dourado</t>
  </si>
  <si>
    <t>MEU</t>
  </si>
  <si>
    <t>Medan</t>
  </si>
  <si>
    <t>MES</t>
  </si>
  <si>
    <t>Memphis</t>
  </si>
  <si>
    <t xml:space="preserve"> Victoria</t>
  </si>
  <si>
    <t>Meridian</t>
  </si>
  <si>
    <t>Mehamn</t>
  </si>
  <si>
    <t>MEH</t>
  </si>
  <si>
    <t>Mare</t>
  </si>
  <si>
    <t>Madinah</t>
  </si>
  <si>
    <t>Manta</t>
  </si>
  <si>
    <t xml:space="preserve"> MD</t>
  </si>
  <si>
    <t>Mendoza</t>
  </si>
  <si>
    <t xml:space="preserve"> US Minor Outlying Islands </t>
  </si>
  <si>
    <t>Midway Island</t>
  </si>
  <si>
    <t>MDY</t>
  </si>
  <si>
    <t xml:space="preserve"> IL - Midway </t>
  </si>
  <si>
    <t>MDU</t>
  </si>
  <si>
    <t>Harrisburg</t>
  </si>
  <si>
    <t xml:space="preserve"> Turks and Caicos </t>
  </si>
  <si>
    <t>Middle Caicos</t>
  </si>
  <si>
    <t>MDS</t>
  </si>
  <si>
    <t>Mar Del Plata</t>
  </si>
  <si>
    <t>Mindiptana</t>
  </si>
  <si>
    <t>MDP</t>
  </si>
  <si>
    <t>Mandalay</t>
  </si>
  <si>
    <t>Mbandaka</t>
  </si>
  <si>
    <t>Madras</t>
  </si>
  <si>
    <t>MDJ</t>
  </si>
  <si>
    <t>Carbondale</t>
  </si>
  <si>
    <t>MDH</t>
  </si>
  <si>
    <t>Mudanjiang</t>
  </si>
  <si>
    <t xml:space="preserve"> Colombia - Jose Marie Cordova </t>
  </si>
  <si>
    <t>Medellin</t>
  </si>
  <si>
    <t>Manado</t>
  </si>
  <si>
    <t xml:space="preserve"> AL</t>
  </si>
  <si>
    <t>Maceio</t>
  </si>
  <si>
    <t>Sunshine Coast</t>
  </si>
  <si>
    <t>Makhachkala</t>
  </si>
  <si>
    <t>Mason City</t>
  </si>
  <si>
    <t>Mcarthur River</t>
  </si>
  <si>
    <t>MCV</t>
  </si>
  <si>
    <t xml:space="preserve"> Oman </t>
  </si>
  <si>
    <t>Muscat</t>
  </si>
  <si>
    <t xml:space="preserve"> AP</t>
  </si>
  <si>
    <t>Macapa</t>
  </si>
  <si>
    <t>Macon</t>
  </si>
  <si>
    <t xml:space="preserve"> Monaco </t>
  </si>
  <si>
    <t>Monte Carlo</t>
  </si>
  <si>
    <t>MCM</t>
  </si>
  <si>
    <t>Mccook</t>
  </si>
  <si>
    <t>MCK</t>
  </si>
  <si>
    <t>Kansas City</t>
  </si>
  <si>
    <t>Machala</t>
  </si>
  <si>
    <t>MCH</t>
  </si>
  <si>
    <t>Mcgrath</t>
  </si>
  <si>
    <t>MCG</t>
  </si>
  <si>
    <t>Merced</t>
  </si>
  <si>
    <t>MCE</t>
  </si>
  <si>
    <t xml:space="preserve"> Slovenia </t>
  </si>
  <si>
    <t>Maribor</t>
  </si>
  <si>
    <t>Masbate</t>
  </si>
  <si>
    <t>Midland</t>
  </si>
  <si>
    <t>Manistee</t>
  </si>
  <si>
    <t>MBL</t>
  </si>
  <si>
    <t>Montego Bay</t>
  </si>
  <si>
    <t>Maryborough</t>
  </si>
  <si>
    <t>MBH</t>
  </si>
  <si>
    <t>Monbetsu</t>
  </si>
  <si>
    <t>MBE</t>
  </si>
  <si>
    <t>Mombasa</t>
  </si>
  <si>
    <t>Mayaguez</t>
  </si>
  <si>
    <t>MAZ</t>
  </si>
  <si>
    <t>Mangrove Cay</t>
  </si>
  <si>
    <t>MAY</t>
  </si>
  <si>
    <t>Maloelap Island</t>
  </si>
  <si>
    <t>MAV</t>
  </si>
  <si>
    <t>Maupiti</t>
  </si>
  <si>
    <t>MAU</t>
  </si>
  <si>
    <t>Natadi</t>
  </si>
  <si>
    <t>MAT</t>
  </si>
  <si>
    <t>Manus Island</t>
  </si>
  <si>
    <t>MAS</t>
  </si>
  <si>
    <t>Maracaibo</t>
  </si>
  <si>
    <t>Mae Sot</t>
  </si>
  <si>
    <t>MAQ</t>
  </si>
  <si>
    <t>Manaus</t>
  </si>
  <si>
    <t>Matamoros</t>
  </si>
  <si>
    <t>MAM</t>
  </si>
  <si>
    <t>Malakai</t>
  </si>
  <si>
    <t>Majuro</t>
  </si>
  <si>
    <t>MAJ</t>
  </si>
  <si>
    <t>Menorca</t>
  </si>
  <si>
    <t>Madang</t>
  </si>
  <si>
    <t>MAG</t>
  </si>
  <si>
    <t>Odessa/Midland</t>
  </si>
  <si>
    <t>Madrid</t>
  </si>
  <si>
    <t>Maraba</t>
  </si>
  <si>
    <t>Lizard Island</t>
  </si>
  <si>
    <t>LZR</t>
  </si>
  <si>
    <t>Luzhou</t>
  </si>
  <si>
    <t>Liuzhou</t>
  </si>
  <si>
    <t>Lozaro Cardenas</t>
  </si>
  <si>
    <t>LZC</t>
  </si>
  <si>
    <t>Ely</t>
  </si>
  <si>
    <t>LYU</t>
  </si>
  <si>
    <t xml:space="preserve"> France - Satolas </t>
  </si>
  <si>
    <t xml:space="preserve"> Svalbard &amp; Jan Mayen Island </t>
  </si>
  <si>
    <t>Longyearbyen</t>
  </si>
  <si>
    <t>Faisalabad</t>
  </si>
  <si>
    <t>Linyi</t>
  </si>
  <si>
    <t>Lianyungang</t>
  </si>
  <si>
    <t>Lyoksele</t>
  </si>
  <si>
    <t>Luoyang</t>
  </si>
  <si>
    <t>Lemnos</t>
  </si>
  <si>
    <t>Luxor</t>
  </si>
  <si>
    <t>Luang Namtha</t>
  </si>
  <si>
    <t>Lhasa</t>
  </si>
  <si>
    <t>LXA</t>
  </si>
  <si>
    <t>Lawas</t>
  </si>
  <si>
    <t>LWY</t>
  </si>
  <si>
    <t>Lewistown</t>
  </si>
  <si>
    <t>LWT</t>
  </si>
  <si>
    <t>Lewiston</t>
  </si>
  <si>
    <t>Lvov</t>
  </si>
  <si>
    <t xml:space="preserve"> Armenia </t>
  </si>
  <si>
    <t>Gyourmri</t>
  </si>
  <si>
    <t xml:space="preserve"> United Kingdom - Lerwick/Tingwall </t>
  </si>
  <si>
    <t>Shetland Islands</t>
  </si>
  <si>
    <t>LWK</t>
  </si>
  <si>
    <t>Lewisburg</t>
  </si>
  <si>
    <t>LWB</t>
  </si>
  <si>
    <t>Laverton</t>
  </si>
  <si>
    <t>LVO</t>
  </si>
  <si>
    <t>Livingstone</t>
  </si>
  <si>
    <t xml:space="preserve"> Luxembourg </t>
  </si>
  <si>
    <t>Luwuk</t>
  </si>
  <si>
    <t>LUW</t>
  </si>
  <si>
    <t>Langguri</t>
  </si>
  <si>
    <t>LUV</t>
  </si>
  <si>
    <t>Cape Lisburne</t>
  </si>
  <si>
    <t>LUR</t>
  </si>
  <si>
    <t>San Luis</t>
  </si>
  <si>
    <t xml:space="preserve"> HI - Island of Molokai</t>
  </si>
  <si>
    <t>Kalaupapa</t>
  </si>
  <si>
    <t>LUP</t>
  </si>
  <si>
    <t>Lusaka</t>
  </si>
  <si>
    <t>Luxi</t>
  </si>
  <si>
    <t>Lugano</t>
  </si>
  <si>
    <t>Luderitz</t>
  </si>
  <si>
    <t>Laucala Island</t>
  </si>
  <si>
    <t>LUC</t>
  </si>
  <si>
    <t>Lukla</t>
  </si>
  <si>
    <t>LUA</t>
  </si>
  <si>
    <t xml:space="preserve"> France - La Mole </t>
  </si>
  <si>
    <t>Le Touquet</t>
  </si>
  <si>
    <t>Loreto</t>
  </si>
  <si>
    <t>LTO</t>
  </si>
  <si>
    <t xml:space="preserve"> United Kingdom - Luton </t>
  </si>
  <si>
    <t xml:space="preserve"> Syria </t>
  </si>
  <si>
    <t>Latakia</t>
  </si>
  <si>
    <t>Ghadames</t>
  </si>
  <si>
    <t>LTD</t>
  </si>
  <si>
    <t>Lismore</t>
  </si>
  <si>
    <t xml:space="preserve"> TS</t>
  </si>
  <si>
    <t>Launceston</t>
  </si>
  <si>
    <t>Las Piedras</t>
  </si>
  <si>
    <t>LSP</t>
  </si>
  <si>
    <t xml:space="preserve"> United Kingdom - Sumburgh </t>
  </si>
  <si>
    <t>La Crosse</t>
  </si>
  <si>
    <t>La Serena</t>
  </si>
  <si>
    <t>Losuia</t>
  </si>
  <si>
    <t>LSA</t>
  </si>
  <si>
    <t>Lorient</t>
  </si>
  <si>
    <t>La Romana</t>
  </si>
  <si>
    <t>Larochelle</t>
  </si>
  <si>
    <t>Longreach</t>
  </si>
  <si>
    <t>Laredo</t>
  </si>
  <si>
    <t>Le Puy</t>
  </si>
  <si>
    <t>LPY</t>
  </si>
  <si>
    <t>Long Apung</t>
  </si>
  <si>
    <t>LPU</t>
  </si>
  <si>
    <t>Lopez Island</t>
  </si>
  <si>
    <t>LPS</t>
  </si>
  <si>
    <t>Luang Prabang</t>
  </si>
  <si>
    <t>Lappeenranta</t>
  </si>
  <si>
    <t>Lamap</t>
  </si>
  <si>
    <t>LPM</t>
  </si>
  <si>
    <t>Liverpool</t>
  </si>
  <si>
    <t>Linkoping</t>
  </si>
  <si>
    <t>La Paz</t>
  </si>
  <si>
    <t>Las Palmas</t>
  </si>
  <si>
    <t>Monclova</t>
  </si>
  <si>
    <t>LOV</t>
  </si>
  <si>
    <t>Lagos</t>
  </si>
  <si>
    <t xml:space="preserve"> United Kingdom - All airports </t>
  </si>
  <si>
    <t>LON</t>
  </si>
  <si>
    <t>Loja</t>
  </si>
  <si>
    <t>Loen</t>
  </si>
  <si>
    <t>LOF</t>
  </si>
  <si>
    <t>Longana</t>
  </si>
  <si>
    <t>LOD</t>
  </si>
  <si>
    <t>Linz</t>
  </si>
  <si>
    <t xml:space="preserve"> HI - Island of Lanai </t>
  </si>
  <si>
    <t>Lanai City</t>
  </si>
  <si>
    <t>Lihir Island</t>
  </si>
  <si>
    <t>LNV</t>
  </si>
  <si>
    <t>Lancaster</t>
  </si>
  <si>
    <t>LNS</t>
  </si>
  <si>
    <t>Leonora</t>
  </si>
  <si>
    <t>Lincoln</t>
  </si>
  <si>
    <t>Lonorore</t>
  </si>
  <si>
    <t>LNE</t>
  </si>
  <si>
    <t>Lamen Bay</t>
  </si>
  <si>
    <t>LNB</t>
  </si>
  <si>
    <t>Klamath Falls</t>
  </si>
  <si>
    <t>Lampedusa</t>
  </si>
  <si>
    <t>Limbang</t>
  </si>
  <si>
    <t>Los Mochis</t>
  </si>
  <si>
    <t>Lae Island</t>
  </si>
  <si>
    <t>LML</t>
  </si>
  <si>
    <t>Lake Minchumina</t>
  </si>
  <si>
    <t>LMA</t>
  </si>
  <si>
    <t>Lilongwe</t>
  </si>
  <si>
    <t>Lalibela</t>
  </si>
  <si>
    <t>LLI</t>
  </si>
  <si>
    <t>Lulea</t>
  </si>
  <si>
    <t>Lucknow</t>
  </si>
  <si>
    <t>Leknes</t>
  </si>
  <si>
    <t>LKN</t>
  </si>
  <si>
    <t>Lakselv</t>
  </si>
  <si>
    <t xml:space="preserve"> WA - Lake Union SPB </t>
  </si>
  <si>
    <t>LKE</t>
  </si>
  <si>
    <t>Lakeba</t>
  </si>
  <si>
    <t>LKB</t>
  </si>
  <si>
    <t>Larantuka</t>
  </si>
  <si>
    <t>LKA</t>
  </si>
  <si>
    <t>Ljubliana</t>
  </si>
  <si>
    <t>Lijiang City</t>
  </si>
  <si>
    <t>Little Rock</t>
  </si>
  <si>
    <t>Lisbon</t>
  </si>
  <si>
    <t xml:space="preserve"> Italy - Linate </t>
  </si>
  <si>
    <t>Lima</t>
  </si>
  <si>
    <t xml:space="preserve"> France - Lesquin </t>
  </si>
  <si>
    <t>Likiep Island</t>
  </si>
  <si>
    <t>LIK</t>
  </si>
  <si>
    <t>Mulia</t>
  </si>
  <si>
    <t>LII</t>
  </si>
  <si>
    <t xml:space="preserve"> HI - Island of Kaui </t>
  </si>
  <si>
    <t>Lihue</t>
  </si>
  <si>
    <t>Limoges</t>
  </si>
  <si>
    <t>Lifa</t>
  </si>
  <si>
    <t xml:space="preserve"> Guinea </t>
  </si>
  <si>
    <t>Lanzhau</t>
  </si>
  <si>
    <t xml:space="preserve"> United Kingdom - Heathrow </t>
  </si>
  <si>
    <t>Lightning Ridge</t>
  </si>
  <si>
    <t>LHG</t>
  </si>
  <si>
    <t>Lahore</t>
  </si>
  <si>
    <t xml:space="preserve"> United Kingdom - Gatwick </t>
  </si>
  <si>
    <t>Malargue</t>
  </si>
  <si>
    <t>Lago Agrio</t>
  </si>
  <si>
    <t>LGQ</t>
  </si>
  <si>
    <t>Legaspi</t>
  </si>
  <si>
    <t>Long Lellang</t>
  </si>
  <si>
    <t>LGL</t>
  </si>
  <si>
    <t>Langkawi</t>
  </si>
  <si>
    <t>Long Island/Deadmans Cay</t>
  </si>
  <si>
    <t xml:space="preserve"> Belgium </t>
  </si>
  <si>
    <t>Liege</t>
  </si>
  <si>
    <t>Long Beach</t>
  </si>
  <si>
    <t xml:space="preserve"> NY - La Guardia </t>
  </si>
  <si>
    <t xml:space="preserve"> Togo </t>
  </si>
  <si>
    <t>Lome</t>
  </si>
  <si>
    <t>Lafayette</t>
  </si>
  <si>
    <t>Lexington</t>
  </si>
  <si>
    <t>Bureta</t>
  </si>
  <si>
    <t>LEV</t>
  </si>
  <si>
    <t>Leticia</t>
  </si>
  <si>
    <t>Leinster</t>
  </si>
  <si>
    <t>LER</t>
  </si>
  <si>
    <t>Lands End</t>
  </si>
  <si>
    <t>LEQ</t>
  </si>
  <si>
    <t>Leipzig</t>
  </si>
  <si>
    <t>Almeria</t>
  </si>
  <si>
    <t>Le Havre</t>
  </si>
  <si>
    <t>St. Petersburg</t>
  </si>
  <si>
    <t>Hanover</t>
  </si>
  <si>
    <t>Learmonth</t>
  </si>
  <si>
    <t>Londonderry</t>
  </si>
  <si>
    <t>Lahadbatu</t>
  </si>
  <si>
    <t>Lindi</t>
  </si>
  <si>
    <t>LDI</t>
  </si>
  <si>
    <t>Lord Howe Island</t>
  </si>
  <si>
    <t>LDH</t>
  </si>
  <si>
    <t>Lourdes/Tarbes</t>
  </si>
  <si>
    <t>Lindeman Island</t>
  </si>
  <si>
    <t>LDC</t>
  </si>
  <si>
    <t>Londrina</t>
  </si>
  <si>
    <t xml:space="preserve"> United Kingdom - London City </t>
  </si>
  <si>
    <t>Lake Charles</t>
  </si>
  <si>
    <t>La Coruna</t>
  </si>
  <si>
    <t>La Ceiba</t>
  </si>
  <si>
    <t>Larnaca</t>
  </si>
  <si>
    <t>Long Bawan</t>
  </si>
  <si>
    <t>LBW</t>
  </si>
  <si>
    <t>Libreville</t>
  </si>
  <si>
    <t>Labuan</t>
  </si>
  <si>
    <t>Labasa</t>
  </si>
  <si>
    <t>LBS</t>
  </si>
  <si>
    <t>Long Banga</t>
  </si>
  <si>
    <t>LBP</t>
  </si>
  <si>
    <t>Liberal</t>
  </si>
  <si>
    <t>Labuan Bajo</t>
  </si>
  <si>
    <t>LBJ</t>
  </si>
  <si>
    <t>North Platte</t>
  </si>
  <si>
    <t>Latrobe</t>
  </si>
  <si>
    <t xml:space="preserve"> Tajikistan </t>
  </si>
  <si>
    <t>Khudzhand</t>
  </si>
  <si>
    <t>LBD</t>
  </si>
  <si>
    <t xml:space="preserve"> Germany - Luebeck </t>
  </si>
  <si>
    <t>Hamburg</t>
  </si>
  <si>
    <t>Lubbock</t>
  </si>
  <si>
    <t>Leeds</t>
  </si>
  <si>
    <t>Los Angeles</t>
  </si>
  <si>
    <t>Lawton</t>
  </si>
  <si>
    <t>Lamu</t>
  </si>
  <si>
    <t>Las Vegas</t>
  </si>
  <si>
    <t>Laramie</t>
  </si>
  <si>
    <t xml:space="preserve"> Libya - La Braq </t>
  </si>
  <si>
    <t>Beida</t>
  </si>
  <si>
    <t>LAQ</t>
  </si>
  <si>
    <t>Laoag</t>
  </si>
  <si>
    <t>Lansing</t>
  </si>
  <si>
    <t>Lages</t>
  </si>
  <si>
    <t>LAJ</t>
  </si>
  <si>
    <t>Lannion</t>
  </si>
  <si>
    <t>LAF</t>
  </si>
  <si>
    <t>Lae</t>
  </si>
  <si>
    <t xml:space="preserve"> Angola </t>
  </si>
  <si>
    <t>Luanda</t>
  </si>
  <si>
    <t>Lablab</t>
  </si>
  <si>
    <t>LAB</t>
  </si>
  <si>
    <t>Kazan</t>
  </si>
  <si>
    <t>Kaintiba</t>
  </si>
  <si>
    <t>KZF</t>
  </si>
  <si>
    <t>Kyzyl</t>
  </si>
  <si>
    <t>KYZ</t>
  </si>
  <si>
    <t>Yalumet</t>
  </si>
  <si>
    <t>KYX</t>
  </si>
  <si>
    <t>Koyukuk</t>
  </si>
  <si>
    <t>KYU</t>
  </si>
  <si>
    <t>Konya</t>
  </si>
  <si>
    <t>Komsomolsk Na Amure</t>
  </si>
  <si>
    <t>KXK</t>
  </si>
  <si>
    <t>Kasaan</t>
  </si>
  <si>
    <t>KXA</t>
  </si>
  <si>
    <t>Kiwayu</t>
  </si>
  <si>
    <t>KWY</t>
  </si>
  <si>
    <t>Kwethluk</t>
  </si>
  <si>
    <t>KWT</t>
  </si>
  <si>
    <t>Quinhagak</t>
  </si>
  <si>
    <t>KWN</t>
  </si>
  <si>
    <t>Kowanyama</t>
  </si>
  <si>
    <t>KWM</t>
  </si>
  <si>
    <t>Guilin</t>
  </si>
  <si>
    <t>Kwigillingok</t>
  </si>
  <si>
    <t>KWK</t>
  </si>
  <si>
    <t>Gwangju</t>
  </si>
  <si>
    <t xml:space="preserve"> Kuwait </t>
  </si>
  <si>
    <t>Krivoy Rog</t>
  </si>
  <si>
    <t>Waterfall</t>
  </si>
  <si>
    <t>KWF</t>
  </si>
  <si>
    <t>Gulyang</t>
  </si>
  <si>
    <t>Kwajalein</t>
  </si>
  <si>
    <t>KWA</t>
  </si>
  <si>
    <t>Kivalina</t>
  </si>
  <si>
    <t>KVL</t>
  </si>
  <si>
    <t>Kavieng</t>
  </si>
  <si>
    <t>Gyandzha</t>
  </si>
  <si>
    <t>King Cove</t>
  </si>
  <si>
    <t>KVC</t>
  </si>
  <si>
    <t>Skovde</t>
  </si>
  <si>
    <t>KVB</t>
  </si>
  <si>
    <t>Kavala</t>
  </si>
  <si>
    <t>Kamusi</t>
  </si>
  <si>
    <t>KUY</t>
  </si>
  <si>
    <t>Gunsan</t>
  </si>
  <si>
    <t>Kutaisi</t>
  </si>
  <si>
    <t>Kulusuk</t>
  </si>
  <si>
    <t>Kuri</t>
  </si>
  <si>
    <t>KUQ</t>
  </si>
  <si>
    <t>Kuopio</t>
  </si>
  <si>
    <t>Kaunas</t>
  </si>
  <si>
    <t>Kuala Lumpur</t>
  </si>
  <si>
    <t>Kasigluk</t>
  </si>
  <si>
    <t>KUK</t>
  </si>
  <si>
    <t>Kushiro</t>
  </si>
  <si>
    <t>KUH</t>
  </si>
  <si>
    <t>Kubin Island</t>
  </si>
  <si>
    <t>KUG</t>
  </si>
  <si>
    <t>Samara</t>
  </si>
  <si>
    <t>Kudat</t>
  </si>
  <si>
    <t>KUD</t>
  </si>
  <si>
    <t>Kuantan</t>
  </si>
  <si>
    <t>Katowice</t>
  </si>
  <si>
    <t>Kittila</t>
  </si>
  <si>
    <t>Teller Mission</t>
  </si>
  <si>
    <t>KTS</t>
  </si>
  <si>
    <t>Katherine</t>
  </si>
  <si>
    <t>KTR</t>
  </si>
  <si>
    <t xml:space="preserve"> Jamaica - Tinson </t>
  </si>
  <si>
    <t>KTP</t>
  </si>
  <si>
    <t>Ketchikan</t>
  </si>
  <si>
    <t>Kathmandu</t>
  </si>
  <si>
    <t>Kitadaito</t>
  </si>
  <si>
    <t>KTD</t>
  </si>
  <si>
    <t>Thorne Bay</t>
  </si>
  <si>
    <t>KTB</t>
  </si>
  <si>
    <t>Saint Mary's</t>
  </si>
  <si>
    <t>Krakow</t>
  </si>
  <si>
    <t>Akuton</t>
  </si>
  <si>
    <t>KQA</t>
  </si>
  <si>
    <t>Perryville</t>
  </si>
  <si>
    <t>KPV</t>
  </si>
  <si>
    <t>Kipnuk</t>
  </si>
  <si>
    <t>KPN</t>
  </si>
  <si>
    <t>Port Clarence</t>
  </si>
  <si>
    <t>KPC</t>
  </si>
  <si>
    <t>Point Baker</t>
  </si>
  <si>
    <t>KPB</t>
  </si>
  <si>
    <t>Kotlik</t>
  </si>
  <si>
    <t>KOT</t>
  </si>
  <si>
    <t xml:space="preserve"> HI - Island of Hawaii </t>
  </si>
  <si>
    <t>Kona</t>
  </si>
  <si>
    <t>New Stuyahok</t>
  </si>
  <si>
    <t>KNW</t>
  </si>
  <si>
    <t>Kakhonak</t>
  </si>
  <si>
    <t>KNK</t>
  </si>
  <si>
    <t>Manokotak</t>
  </si>
  <si>
    <t>Klawock</t>
  </si>
  <si>
    <t>KLW</t>
  </si>
  <si>
    <t>Levelock</t>
  </si>
  <si>
    <t>KLL</t>
  </si>
  <si>
    <t>Kalskag</t>
  </si>
  <si>
    <t>KLG</t>
  </si>
  <si>
    <t>Ekuk</t>
  </si>
  <si>
    <t>KKU</t>
  </si>
  <si>
    <t>Akiachak</t>
  </si>
  <si>
    <t>KKI</t>
  </si>
  <si>
    <t>Kongiganak</t>
  </si>
  <si>
    <t>KKH</t>
  </si>
  <si>
    <t xml:space="preserve"> Japan - Kansai Intl </t>
  </si>
  <si>
    <t xml:space="preserve"> Republic of Moldova </t>
  </si>
  <si>
    <t>Chisinau</t>
  </si>
  <si>
    <t xml:space="preserve"> Jamaica - Norman Manley </t>
  </si>
  <si>
    <t>Kingfisher Lake</t>
  </si>
  <si>
    <t xml:space="preserve"> Pakistan - Quaid-E-Azam International </t>
  </si>
  <si>
    <t>Karachi</t>
  </si>
  <si>
    <t>Grayling</t>
  </si>
  <si>
    <t>KGX</t>
  </si>
  <si>
    <t xml:space="preserve"> Rwanda </t>
  </si>
  <si>
    <t>Kigali</t>
  </si>
  <si>
    <t>New Koliganek</t>
  </si>
  <si>
    <t>KGK</t>
  </si>
  <si>
    <t>Kaliningrad</t>
  </si>
  <si>
    <t>Keewaywin</t>
  </si>
  <si>
    <t>Ekwok</t>
  </si>
  <si>
    <t>KEK</t>
  </si>
  <si>
    <t>Reykjavik</t>
  </si>
  <si>
    <t xml:space="preserve"> Cocos </t>
  </si>
  <si>
    <t>Cocos Islands</t>
  </si>
  <si>
    <t>Keeling</t>
  </si>
  <si>
    <t>Kadhonoo</t>
  </si>
  <si>
    <t>Kaadedhdhoo</t>
  </si>
  <si>
    <t>Kardia</t>
  </si>
  <si>
    <t>Kendari</t>
  </si>
  <si>
    <t>KDI</t>
  </si>
  <si>
    <t>Khuzdar</t>
  </si>
  <si>
    <t>KDD</t>
  </si>
  <si>
    <t>Kochi</t>
  </si>
  <si>
    <t xml:space="preserve"> AK - </t>
  </si>
  <si>
    <t>Chignik</t>
  </si>
  <si>
    <t>KCQ</t>
  </si>
  <si>
    <t>Kahramanmaras</t>
  </si>
  <si>
    <t xml:space="preserve"> AK - Lagoon </t>
  </si>
  <si>
    <t>KCL</t>
  </si>
  <si>
    <t>Kuching</t>
  </si>
  <si>
    <t xml:space="preserve"> AK - Fisheries </t>
  </si>
  <si>
    <t>KCG</t>
  </si>
  <si>
    <t>Kadanwari</t>
  </si>
  <si>
    <t>KCF</t>
  </si>
  <si>
    <t>Kamur</t>
  </si>
  <si>
    <t>KCD</t>
  </si>
  <si>
    <t>Coffman Cove</t>
  </si>
  <si>
    <t>KCC</t>
  </si>
  <si>
    <t>Kambuaya</t>
  </si>
  <si>
    <t>KBX</t>
  </si>
  <si>
    <t>Krabi</t>
  </si>
  <si>
    <t>Kaben</t>
  </si>
  <si>
    <t>KBT</t>
  </si>
  <si>
    <t>Kota Bharu</t>
  </si>
  <si>
    <t xml:space="preserve"> Ukraine - Borispol </t>
  </si>
  <si>
    <t>Kiev</t>
  </si>
  <si>
    <t>Kabwun</t>
  </si>
  <si>
    <t>KBM</t>
  </si>
  <si>
    <t xml:space="preserve"> Afghanistan </t>
  </si>
  <si>
    <t>Kabul</t>
  </si>
  <si>
    <t>Karubaga</t>
  </si>
  <si>
    <t>KBF</t>
  </si>
  <si>
    <t>Birch Creek</t>
  </si>
  <si>
    <t>KBC</t>
  </si>
  <si>
    <t xml:space="preserve"> Australia </t>
  </si>
  <si>
    <t>Kalbarri</t>
  </si>
  <si>
    <t>KAX</t>
  </si>
  <si>
    <t>Kawthaung</t>
  </si>
  <si>
    <t>KAW</t>
  </si>
  <si>
    <t>Kaitaia</t>
  </si>
  <si>
    <t>Kuusamo</t>
  </si>
  <si>
    <t>Kano</t>
  </si>
  <si>
    <t>Kaltag</t>
  </si>
  <si>
    <t>KAL</t>
  </si>
  <si>
    <t>Kajaani</t>
  </si>
  <si>
    <t>Gangneung</t>
  </si>
  <si>
    <t>KAG</t>
  </si>
  <si>
    <t>Kake</t>
  </si>
  <si>
    <t>KAE</t>
  </si>
  <si>
    <t xml:space="preserve"> Syrian Arab Republic </t>
  </si>
  <si>
    <t>Kameshli</t>
  </si>
  <si>
    <t>Kariba</t>
  </si>
  <si>
    <t>Kasama</t>
  </si>
  <si>
    <t>KAA</t>
  </si>
  <si>
    <t>Jyvaskyla</t>
  </si>
  <si>
    <t>Janesville</t>
  </si>
  <si>
    <t>JVL</t>
  </si>
  <si>
    <t>Ankavandra</t>
  </si>
  <si>
    <t>JVA</t>
  </si>
  <si>
    <t>Juzha</t>
  </si>
  <si>
    <t>Upernavik</t>
  </si>
  <si>
    <t>JUV</t>
  </si>
  <si>
    <t>Juliaca</t>
  </si>
  <si>
    <t xml:space="preserve"> Argentina </t>
  </si>
  <si>
    <t>Jujuy</t>
  </si>
  <si>
    <t>Juist</t>
  </si>
  <si>
    <t>JUI</t>
  </si>
  <si>
    <t>Thira</t>
  </si>
  <si>
    <t>Mariitsoq</t>
  </si>
  <si>
    <t>JSU</t>
  </si>
  <si>
    <t>Johnstown</t>
  </si>
  <si>
    <t>Jessore</t>
  </si>
  <si>
    <t>Jose De San Martin</t>
  </si>
  <si>
    <t>JSM</t>
  </si>
  <si>
    <t>Skiathos</t>
  </si>
  <si>
    <t>Kilimanjaro</t>
  </si>
  <si>
    <t>Jorhat</t>
  </si>
  <si>
    <t>Jaque</t>
  </si>
  <si>
    <t>JQE</t>
  </si>
  <si>
    <t>Ji-Parana</t>
  </si>
  <si>
    <t>JPR</t>
  </si>
  <si>
    <t>Joao Pessoa</t>
  </si>
  <si>
    <t>Johnston Island</t>
  </si>
  <si>
    <t>JON</t>
  </si>
  <si>
    <t>Joinville</t>
  </si>
  <si>
    <t>Yogyakarta</t>
  </si>
  <si>
    <t>Joensuu</t>
  </si>
  <si>
    <t>Jinzhou</t>
  </si>
  <si>
    <t>Juneau</t>
  </si>
  <si>
    <t>Narsaq</t>
  </si>
  <si>
    <t>JNS</t>
  </si>
  <si>
    <t>Nanortalik</t>
  </si>
  <si>
    <t>JNN</t>
  </si>
  <si>
    <t>Johannesburg</t>
  </si>
  <si>
    <t>Jiamusi</t>
  </si>
  <si>
    <t>Jamestown</t>
  </si>
  <si>
    <t>JMS</t>
  </si>
  <si>
    <t>Jomsom</t>
  </si>
  <si>
    <t>JMO</t>
  </si>
  <si>
    <t>Mikonos</t>
  </si>
  <si>
    <t>Joplin</t>
  </si>
  <si>
    <t>JLN</t>
  </si>
  <si>
    <t>Janakpur</t>
  </si>
  <si>
    <t>Jonkoping</t>
  </si>
  <si>
    <t>Qaqortoq</t>
  </si>
  <si>
    <t>JJU</t>
  </si>
  <si>
    <t>Jinjiang</t>
  </si>
  <si>
    <t>Jiwani</t>
  </si>
  <si>
    <t>JIW</t>
  </si>
  <si>
    <t>Jinja</t>
  </si>
  <si>
    <t>JIN</t>
  </si>
  <si>
    <t>Jimma</t>
  </si>
  <si>
    <t>JIM</t>
  </si>
  <si>
    <t>Jijiga</t>
  </si>
  <si>
    <t>JIJ</t>
  </si>
  <si>
    <t xml:space="preserve"> Djibouti </t>
  </si>
  <si>
    <t>JHW</t>
  </si>
  <si>
    <t>Sisimiut</t>
  </si>
  <si>
    <t>JHS</t>
  </si>
  <si>
    <t>Shute Harbor</t>
  </si>
  <si>
    <t>JHQ</t>
  </si>
  <si>
    <t xml:space="preserve"> HI - Island of Maui</t>
  </si>
  <si>
    <t>Kapalua</t>
  </si>
  <si>
    <t>JHM</t>
  </si>
  <si>
    <t>Jinghong</t>
  </si>
  <si>
    <t>Angelholm/Helsingborg</t>
  </si>
  <si>
    <t>JHE</t>
  </si>
  <si>
    <t>Johor</t>
  </si>
  <si>
    <t>Groennedal</t>
  </si>
  <si>
    <t>JGR</t>
  </si>
  <si>
    <t>Jiayuguan</t>
  </si>
  <si>
    <t xml:space="preserve"> AZ - Heliport </t>
  </si>
  <si>
    <t>Grand Canyon</t>
  </si>
  <si>
    <t>JGC</t>
  </si>
  <si>
    <t>Jamnagar</t>
  </si>
  <si>
    <t>Paamiut</t>
  </si>
  <si>
    <t>JFR</t>
  </si>
  <si>
    <t xml:space="preserve"> NY - Kennedy </t>
  </si>
  <si>
    <t>Jersey</t>
  </si>
  <si>
    <t>Jeh</t>
  </si>
  <si>
    <t>JEJ</t>
  </si>
  <si>
    <t>Aasiaat</t>
  </si>
  <si>
    <t>JEG</t>
  </si>
  <si>
    <t>Jeddah</t>
  </si>
  <si>
    <t>Jingdezhen</t>
  </si>
  <si>
    <t>Juazeiro Do Norte</t>
  </si>
  <si>
    <t>Jodhpur</t>
  </si>
  <si>
    <t>Juiz De Fora</t>
  </si>
  <si>
    <t>Ceuta</t>
  </si>
  <si>
    <t>JCU</t>
  </si>
  <si>
    <t>Jacareacanga</t>
  </si>
  <si>
    <t>Julia Creek</t>
  </si>
  <si>
    <t>JCK</t>
  </si>
  <si>
    <t xml:space="preserve"> France - Coisette Heliport </t>
  </si>
  <si>
    <t>JCA</t>
  </si>
  <si>
    <t>Jonesboro</t>
  </si>
  <si>
    <t>JBR</t>
  </si>
  <si>
    <t>Ilulissat</t>
  </si>
  <si>
    <t>JAV</t>
  </si>
  <si>
    <t>Jabor</t>
  </si>
  <si>
    <t>JAT</t>
  </si>
  <si>
    <t>Jacquinot Bay</t>
  </si>
  <si>
    <t>JAQ</t>
  </si>
  <si>
    <t>Jalapa</t>
  </si>
  <si>
    <t>JAL</t>
  </si>
  <si>
    <t>Jaipur</t>
  </si>
  <si>
    <t>Jacobabad</t>
  </si>
  <si>
    <t>JAG</t>
  </si>
  <si>
    <t>Jackson Hole</t>
  </si>
  <si>
    <t>Ixtepec</t>
  </si>
  <si>
    <t>IZT</t>
  </si>
  <si>
    <t>Izumo</t>
  </si>
  <si>
    <t>IZO</t>
  </si>
  <si>
    <t>Inyokern</t>
  </si>
  <si>
    <t>Port Blair</t>
  </si>
  <si>
    <t>Aurangabad</t>
  </si>
  <si>
    <t>Silchar</t>
  </si>
  <si>
    <t>Ranchi</t>
  </si>
  <si>
    <t>Madurai</t>
  </si>
  <si>
    <t>Leh</t>
  </si>
  <si>
    <t>Jommu</t>
  </si>
  <si>
    <t>Mangalore</t>
  </si>
  <si>
    <t>Chandigarh</t>
  </si>
  <si>
    <t>Bagdogra</t>
  </si>
  <si>
    <t>Agartala</t>
  </si>
  <si>
    <t>Iwami</t>
  </si>
  <si>
    <t>IWJ</t>
  </si>
  <si>
    <t>Ironwood</t>
  </si>
  <si>
    <t>IWD</t>
  </si>
  <si>
    <t>Inverell</t>
  </si>
  <si>
    <t>IVR</t>
  </si>
  <si>
    <t>Ivalo</t>
  </si>
  <si>
    <t>Invercargill</t>
  </si>
  <si>
    <t>Ambanja</t>
  </si>
  <si>
    <t>IVA</t>
  </si>
  <si>
    <t>Ilu</t>
  </si>
  <si>
    <t>IUL</t>
  </si>
  <si>
    <t xml:space="preserve"> Niue </t>
  </si>
  <si>
    <t>Niue Island</t>
  </si>
  <si>
    <t>Hilo</t>
  </si>
  <si>
    <t xml:space="preserve"> Japan - Itami </t>
  </si>
  <si>
    <t>Itokama</t>
  </si>
  <si>
    <t>ITK</t>
  </si>
  <si>
    <t>Ithaca</t>
  </si>
  <si>
    <t>Itaituba</t>
  </si>
  <si>
    <t>ITB</t>
  </si>
  <si>
    <t>Istanbul</t>
  </si>
  <si>
    <t>Islip</t>
  </si>
  <si>
    <t>Williston</t>
  </si>
  <si>
    <t>Ishigakij</t>
  </si>
  <si>
    <t xml:space="preserve"> United Kingdom - St Marys </t>
  </si>
  <si>
    <t>ISC</t>
  </si>
  <si>
    <t>Islamabad</t>
  </si>
  <si>
    <t>Mount Isa</t>
  </si>
  <si>
    <t>Kirksville</t>
  </si>
  <si>
    <t>IRK</t>
  </si>
  <si>
    <t>La Rioja</t>
  </si>
  <si>
    <t>Lockhart River</t>
  </si>
  <si>
    <t>IRG</t>
  </si>
  <si>
    <t>Circle</t>
  </si>
  <si>
    <t>IRC</t>
  </si>
  <si>
    <t>Kirakira</t>
  </si>
  <si>
    <t>IRA</t>
  </si>
  <si>
    <t>Iquitos</t>
  </si>
  <si>
    <t>Iquique</t>
  </si>
  <si>
    <t>Qiemo</t>
  </si>
  <si>
    <t>Williamsport</t>
  </si>
  <si>
    <t>Ipatinga</t>
  </si>
  <si>
    <t>IPN</t>
  </si>
  <si>
    <t>El Centro</t>
  </si>
  <si>
    <t>Ipiales</t>
  </si>
  <si>
    <t>IPI</t>
  </si>
  <si>
    <t>Ipoh</t>
  </si>
  <si>
    <t>Ipil</t>
  </si>
  <si>
    <t>IPE</t>
  </si>
  <si>
    <t>Ipota</t>
  </si>
  <si>
    <t>IPA</t>
  </si>
  <si>
    <t>Ilheus</t>
  </si>
  <si>
    <t>Ioma</t>
  </si>
  <si>
    <t>IOP</t>
  </si>
  <si>
    <t>Isle of Man</t>
  </si>
  <si>
    <t>Ioannina</t>
  </si>
  <si>
    <t>Inanwatan</t>
  </si>
  <si>
    <t>INX</t>
  </si>
  <si>
    <t>Inverness</t>
  </si>
  <si>
    <t xml:space="preserve"> Nauru </t>
  </si>
  <si>
    <t>Nauru Island</t>
  </si>
  <si>
    <t>Innsbruck</t>
  </si>
  <si>
    <t>International Falls</t>
  </si>
  <si>
    <t>Lago Argentina</t>
  </si>
  <si>
    <t>ING</t>
  </si>
  <si>
    <t>Indianapolis</t>
  </si>
  <si>
    <t>Yinchuan</t>
  </si>
  <si>
    <t>Inta</t>
  </si>
  <si>
    <t>INA</t>
  </si>
  <si>
    <t>Iron Mountain</t>
  </si>
  <si>
    <t>Imperatriz</t>
  </si>
  <si>
    <t>Imphal</t>
  </si>
  <si>
    <t>Islay</t>
  </si>
  <si>
    <t>Ile Des Pins</t>
  </si>
  <si>
    <t xml:space="preserve"> Philippines - Mandurriao </t>
  </si>
  <si>
    <t>Iloilo</t>
  </si>
  <si>
    <t>Wilmington</t>
  </si>
  <si>
    <t>ILM</t>
  </si>
  <si>
    <t>Iliamna</t>
  </si>
  <si>
    <t>Ilford</t>
  </si>
  <si>
    <t>ILF</t>
  </si>
  <si>
    <t>Killeen</t>
  </si>
  <si>
    <t>ILE</t>
  </si>
  <si>
    <t>Illaga</t>
  </si>
  <si>
    <t>ILA</t>
  </si>
  <si>
    <t>Irkutsk</t>
  </si>
  <si>
    <t>Tiksi</t>
  </si>
  <si>
    <t>Nikolski</t>
  </si>
  <si>
    <t>IKO</t>
  </si>
  <si>
    <t>Ihu</t>
  </si>
  <si>
    <t>IHU</t>
  </si>
  <si>
    <t>Iguassu Falls</t>
  </si>
  <si>
    <t>Iguazu</t>
  </si>
  <si>
    <t>Kingman</t>
  </si>
  <si>
    <t>IGM</t>
  </si>
  <si>
    <t>Igiugig</t>
  </si>
  <si>
    <t>IGG</t>
  </si>
  <si>
    <t>Inagua</t>
  </si>
  <si>
    <t>Bullhead City/Laughlin</t>
  </si>
  <si>
    <t>Ivano-Frankovsk</t>
  </si>
  <si>
    <t>Isfahan</t>
  </si>
  <si>
    <t>Isafjordur</t>
  </si>
  <si>
    <t xml:space="preserve"> Ukraine - Zhulhany </t>
  </si>
  <si>
    <t>IEV</t>
  </si>
  <si>
    <t>Zielana</t>
  </si>
  <si>
    <t>Indore</t>
  </si>
  <si>
    <t>Indagen</t>
  </si>
  <si>
    <t>IDN</t>
  </si>
  <si>
    <t>Idaho Falls</t>
  </si>
  <si>
    <t>Wichita</t>
  </si>
  <si>
    <t xml:space="preserve"> South Korea - Incheon International </t>
  </si>
  <si>
    <t>Cicia</t>
  </si>
  <si>
    <t>ICI</t>
  </si>
  <si>
    <t>Ibiza</t>
  </si>
  <si>
    <t>Ibague</t>
  </si>
  <si>
    <t>Iasi</t>
  </si>
  <si>
    <t>Yaroslavl</t>
  </si>
  <si>
    <t>IAR</t>
  </si>
  <si>
    <t>Kiana</t>
  </si>
  <si>
    <t>IAN</t>
  </si>
  <si>
    <t>In Amenas</t>
  </si>
  <si>
    <t xml:space="preserve"> TX - Intercontinental </t>
  </si>
  <si>
    <t xml:space="preserve">Washington DC - Dulles </t>
  </si>
  <si>
    <t>Igarka</t>
  </si>
  <si>
    <t>IAA</t>
  </si>
  <si>
    <t>Hanzhang</t>
  </si>
  <si>
    <t>Hays</t>
  </si>
  <si>
    <t>Huargyan</t>
  </si>
  <si>
    <t>Hollis</t>
  </si>
  <si>
    <t>HYL</t>
  </si>
  <si>
    <t>Hydaburg</t>
  </si>
  <si>
    <t>HYG</t>
  </si>
  <si>
    <t>Hyderabad</t>
  </si>
  <si>
    <t>Hyannis</t>
  </si>
  <si>
    <t>Hwange Nat Park</t>
  </si>
  <si>
    <t>HWN</t>
  </si>
  <si>
    <t>Havre</t>
  </si>
  <si>
    <t>HVR</t>
  </si>
  <si>
    <t xml:space="preserve"> CT </t>
  </si>
  <si>
    <t>New Haven</t>
  </si>
  <si>
    <t>Honningsvag</t>
  </si>
  <si>
    <t>HVG</t>
  </si>
  <si>
    <t>Hervey Bay</t>
  </si>
  <si>
    <t>Analalava</t>
  </si>
  <si>
    <t>HVA</t>
  </si>
  <si>
    <t>Humberside</t>
  </si>
  <si>
    <t>Huatulco</t>
  </si>
  <si>
    <t>Hudiksvall</t>
  </si>
  <si>
    <t>HUV</t>
  </si>
  <si>
    <t>Huanuco</t>
  </si>
  <si>
    <t>Hughes</t>
  </si>
  <si>
    <t>HUS</t>
  </si>
  <si>
    <t>Houn</t>
  </si>
  <si>
    <t>HUQ</t>
  </si>
  <si>
    <t xml:space="preserve"> Taiwan - Phi Bai </t>
  </si>
  <si>
    <t>Hualien</t>
  </si>
  <si>
    <t>HUN</t>
  </si>
  <si>
    <t>Hue</t>
  </si>
  <si>
    <t>Huahine</t>
  </si>
  <si>
    <t>Terre Haute</t>
  </si>
  <si>
    <t>HUF</t>
  </si>
  <si>
    <t xml:space="preserve"> KY/Huntington</t>
  </si>
  <si>
    <t>Ashland</t>
  </si>
  <si>
    <t>Hateruma</t>
  </si>
  <si>
    <t>HTR</t>
  </si>
  <si>
    <t>Hotan</t>
  </si>
  <si>
    <t>Hamilton Island</t>
  </si>
  <si>
    <t>Chita</t>
  </si>
  <si>
    <t>Huntsville</t>
  </si>
  <si>
    <t>Zhoushan</t>
  </si>
  <si>
    <t>Huslia</t>
  </si>
  <si>
    <t>HSL</t>
  </si>
  <si>
    <t>Harrison</t>
  </si>
  <si>
    <t>HRO</t>
  </si>
  <si>
    <t>Harlingen</t>
  </si>
  <si>
    <t>Kharkov</t>
  </si>
  <si>
    <t>Hurghada</t>
  </si>
  <si>
    <t>Harare</t>
  </si>
  <si>
    <t>Harbin</t>
  </si>
  <si>
    <t>Westchester County</t>
  </si>
  <si>
    <t xml:space="preserve"> Viet Nam - Catbi </t>
  </si>
  <si>
    <t>Haiphong</t>
  </si>
  <si>
    <t>Hooper Bay</t>
  </si>
  <si>
    <t>HaApa</t>
  </si>
  <si>
    <t>HPA</t>
  </si>
  <si>
    <t>Orsta-Volda</t>
  </si>
  <si>
    <t>HOV</t>
  </si>
  <si>
    <t xml:space="preserve"> TX - All airports </t>
  </si>
  <si>
    <t>Hot Springs</t>
  </si>
  <si>
    <t>HOT</t>
  </si>
  <si>
    <t>Horta</t>
  </si>
  <si>
    <t>Hof</t>
  </si>
  <si>
    <t>Huron</t>
  </si>
  <si>
    <t>HON</t>
  </si>
  <si>
    <t>Homer</t>
  </si>
  <si>
    <t>Hooker</t>
  </si>
  <si>
    <t>HOK</t>
  </si>
  <si>
    <t>Holguin</t>
  </si>
  <si>
    <t>Hofuf</t>
  </si>
  <si>
    <t>Houeisay</t>
  </si>
  <si>
    <t>HOE</t>
  </si>
  <si>
    <t>Hodeidah</t>
  </si>
  <si>
    <t>Haines</t>
  </si>
  <si>
    <t xml:space="preserve"> HI - Island of Maui </t>
  </si>
  <si>
    <t>Hana</t>
  </si>
  <si>
    <t>HNM</t>
  </si>
  <si>
    <t xml:space="preserve"> HI - Island of Oahu </t>
  </si>
  <si>
    <t>Honolulu</t>
  </si>
  <si>
    <t>Hoonah</t>
  </si>
  <si>
    <t>HNH</t>
  </si>
  <si>
    <t xml:space="preserve"> Japan - Haneda </t>
  </si>
  <si>
    <t>Morioka</t>
  </si>
  <si>
    <t>HNA</t>
  </si>
  <si>
    <t>Hermavan</t>
  </si>
  <si>
    <t>Hermosillo</t>
  </si>
  <si>
    <t>Hassi Messaoud</t>
  </si>
  <si>
    <t>Helena</t>
  </si>
  <si>
    <t>Ulanhot</t>
  </si>
  <si>
    <t>Hultsfred</t>
  </si>
  <si>
    <t>HLF</t>
  </si>
  <si>
    <t>Hailar</t>
  </si>
  <si>
    <t>Hickory</t>
  </si>
  <si>
    <t>HKY</t>
  </si>
  <si>
    <t>Phuket</t>
  </si>
  <si>
    <t>Hoskins</t>
  </si>
  <si>
    <t>HKN</t>
  </si>
  <si>
    <t>Hokitika</t>
  </si>
  <si>
    <t xml:space="preserve"> Hong Kong </t>
  </si>
  <si>
    <t>Hong Kong</t>
  </si>
  <si>
    <t>Hakodate</t>
  </si>
  <si>
    <t>Healy Lake</t>
  </si>
  <si>
    <t>HKB</t>
  </si>
  <si>
    <t>Khajuraho</t>
  </si>
  <si>
    <t xml:space="preserve"> Japan - Hiroshima West </t>
  </si>
  <si>
    <t>Hiroshima</t>
  </si>
  <si>
    <t>HIW</t>
  </si>
  <si>
    <t>Hivaro</t>
  </si>
  <si>
    <t>HIT</t>
  </si>
  <si>
    <t>Hayman Island</t>
  </si>
  <si>
    <t>HIS</t>
  </si>
  <si>
    <t>Honiara</t>
  </si>
  <si>
    <t xml:space="preserve"> South Korea - Sancheon </t>
  </si>
  <si>
    <t>Jinju</t>
  </si>
  <si>
    <t>Shillavo</t>
  </si>
  <si>
    <t>HIL</t>
  </si>
  <si>
    <t xml:space="preserve"> Japan - International </t>
  </si>
  <si>
    <t>HIJ</t>
  </si>
  <si>
    <t>Lake Havasu City</t>
  </si>
  <si>
    <t>HII</t>
  </si>
  <si>
    <t xml:space="preserve">Horn Island Australia </t>
  </si>
  <si>
    <t>HID</t>
  </si>
  <si>
    <t>Chisholm/Hibbing</t>
  </si>
  <si>
    <t>Hualtin</t>
  </si>
  <si>
    <t>HHQ</t>
  </si>
  <si>
    <t xml:space="preserve"> Germany - Hahn </t>
  </si>
  <si>
    <t>Frankfurt</t>
  </si>
  <si>
    <t>Hilton Head</t>
  </si>
  <si>
    <t>Mount Hagen</t>
  </si>
  <si>
    <t>HGU</t>
  </si>
  <si>
    <t>Hagerstown</t>
  </si>
  <si>
    <t>Mae Hong Son</t>
  </si>
  <si>
    <t>HGN</t>
  </si>
  <si>
    <t>Helgoland</t>
  </si>
  <si>
    <t>HGL</t>
  </si>
  <si>
    <t>Hangzhou</t>
  </si>
  <si>
    <t>Hughenden</t>
  </si>
  <si>
    <t>HGD</t>
  </si>
  <si>
    <t xml:space="preserve"> Somolia </t>
  </si>
  <si>
    <t>Hargeisa</t>
  </si>
  <si>
    <t>Hammerfest</t>
  </si>
  <si>
    <t>HFT</t>
  </si>
  <si>
    <t>Hagfors</t>
  </si>
  <si>
    <t>Hornafjordur</t>
  </si>
  <si>
    <t>Hefei</t>
  </si>
  <si>
    <t>Haifa</t>
  </si>
  <si>
    <t xml:space="preserve"> Dominican Republic - Herrera </t>
  </si>
  <si>
    <t>HEX</t>
  </si>
  <si>
    <t>Hohhot</t>
  </si>
  <si>
    <t>Heraklian</t>
  </si>
  <si>
    <t>Helsinki</t>
  </si>
  <si>
    <t>Heno</t>
  </si>
  <si>
    <t>HEH</t>
  </si>
  <si>
    <t>Hat Yai</t>
  </si>
  <si>
    <t>Hoedspruit</t>
  </si>
  <si>
    <t>HDS</t>
  </si>
  <si>
    <t>Hayden</t>
  </si>
  <si>
    <t>Heringsdorf</t>
  </si>
  <si>
    <t>Heidelberg</t>
  </si>
  <si>
    <t>HDB</t>
  </si>
  <si>
    <t>Holy Cross</t>
  </si>
  <si>
    <t>HCR</t>
  </si>
  <si>
    <t>Halls Creek</t>
  </si>
  <si>
    <t>HCQ</t>
  </si>
  <si>
    <t>Borg El Arab</t>
  </si>
  <si>
    <t>Hobbs</t>
  </si>
  <si>
    <t>HBB</t>
  </si>
  <si>
    <t>Hobart</t>
  </si>
  <si>
    <t>Havana</t>
  </si>
  <si>
    <t>Haugesund</t>
  </si>
  <si>
    <t>Hail</t>
  </si>
  <si>
    <t>Hanimaadhoo</t>
  </si>
  <si>
    <t>Long Island</t>
  </si>
  <si>
    <t>HAP</t>
  </si>
  <si>
    <t xml:space="preserve"> Viet Nam - Noibai </t>
  </si>
  <si>
    <t>Hanoi</t>
  </si>
  <si>
    <t xml:space="preserve"> Germany - Fuhisbuettel </t>
  </si>
  <si>
    <t>Haikou</t>
  </si>
  <si>
    <t xml:space="preserve"> Comoros </t>
  </si>
  <si>
    <t>Moroni</t>
  </si>
  <si>
    <t>Havasupai</t>
  </si>
  <si>
    <t>HAE</t>
  </si>
  <si>
    <t>Halmstad</t>
  </si>
  <si>
    <t>Hachijo Jima</t>
  </si>
  <si>
    <t>HAC</t>
  </si>
  <si>
    <t>Hasvik</t>
  </si>
  <si>
    <t>HAA</t>
  </si>
  <si>
    <t>Gaziatep</t>
  </si>
  <si>
    <t>Gizo</t>
  </si>
  <si>
    <t>GZO</t>
  </si>
  <si>
    <t>Gozo</t>
  </si>
  <si>
    <t>GZM</t>
  </si>
  <si>
    <t xml:space="preserve"> Occupied Palestinian Territory </t>
  </si>
  <si>
    <t>Gaza City</t>
  </si>
  <si>
    <t>GZA</t>
  </si>
  <si>
    <t>Gary</t>
  </si>
  <si>
    <t>GYY</t>
  </si>
  <si>
    <t>Goiania</t>
  </si>
  <si>
    <t>Guaymas</t>
  </si>
  <si>
    <t>Argyle</t>
  </si>
  <si>
    <t>GYL</t>
  </si>
  <si>
    <t>Guayaquil</t>
  </si>
  <si>
    <t>Baku</t>
  </si>
  <si>
    <t>Guayaramerin</t>
  </si>
  <si>
    <t>Seiyun</t>
  </si>
  <si>
    <t>Galway</t>
  </si>
  <si>
    <t>Westerland</t>
  </si>
  <si>
    <t>Gwalior</t>
  </si>
  <si>
    <t>GWL</t>
  </si>
  <si>
    <t>Gwadar</t>
  </si>
  <si>
    <t>Governador Valadares</t>
  </si>
  <si>
    <t>GVR</t>
  </si>
  <si>
    <t>Geneva</t>
  </si>
  <si>
    <t>Atyrau</t>
  </si>
  <si>
    <t>Alotau</t>
  </si>
  <si>
    <t>GUR</t>
  </si>
  <si>
    <t>Gallup</t>
  </si>
  <si>
    <t>GUP</t>
  </si>
  <si>
    <t xml:space="preserve">Guam </t>
  </si>
  <si>
    <t>Guiria</t>
  </si>
  <si>
    <t>GUI</t>
  </si>
  <si>
    <t>Goundam</t>
  </si>
  <si>
    <t>GUD</t>
  </si>
  <si>
    <t>Gunnison</t>
  </si>
  <si>
    <t>Guerrero Negro</t>
  </si>
  <si>
    <t>GUB</t>
  </si>
  <si>
    <t xml:space="preserve"> Guatemala </t>
  </si>
  <si>
    <t>Guatemala City</t>
  </si>
  <si>
    <t>Columbus</t>
  </si>
  <si>
    <t>Gorontalo</t>
  </si>
  <si>
    <t>GTO</t>
  </si>
  <si>
    <t>Great Falls</t>
  </si>
  <si>
    <t>Groofe Eylandt</t>
  </si>
  <si>
    <t>Gustavus</t>
  </si>
  <si>
    <t>Greenville/Spartanburg</t>
  </si>
  <si>
    <t>Greensboro</t>
  </si>
  <si>
    <t xml:space="preserve"> Sweden - Saeve </t>
  </si>
  <si>
    <t>Gothenburg</t>
  </si>
  <si>
    <t>Graz</t>
  </si>
  <si>
    <t>Grimsey</t>
  </si>
  <si>
    <t>Granada</t>
  </si>
  <si>
    <t>Graciosa Island</t>
  </si>
  <si>
    <t xml:space="preserve"> Brazil - Guarulhos Intl </t>
  </si>
  <si>
    <t>Grand Rapids</t>
  </si>
  <si>
    <t>Groningen</t>
  </si>
  <si>
    <t>Gerona</t>
  </si>
  <si>
    <t>Garasa</t>
  </si>
  <si>
    <t>GRL</t>
  </si>
  <si>
    <t>George</t>
  </si>
  <si>
    <t>Grand Island</t>
  </si>
  <si>
    <t>Green Bay</t>
  </si>
  <si>
    <t>GPZ</t>
  </si>
  <si>
    <t>Biloxi/Gulfport</t>
  </si>
  <si>
    <t>Galapagos</t>
  </si>
  <si>
    <t>Garden Point</t>
  </si>
  <si>
    <t>GPN</t>
  </si>
  <si>
    <t>Patras</t>
  </si>
  <si>
    <t>Garoua</t>
  </si>
  <si>
    <t xml:space="preserve"> Sweden - Landvetter </t>
  </si>
  <si>
    <t>Gore</t>
  </si>
  <si>
    <t>GOR</t>
  </si>
  <si>
    <t>Golmud</t>
  </si>
  <si>
    <t xml:space="preserve">New London/Groton </t>
  </si>
  <si>
    <t>GON</t>
  </si>
  <si>
    <t>Nizhniy Novgorod</t>
  </si>
  <si>
    <t>Goa</t>
  </si>
  <si>
    <t>Nuuk</t>
  </si>
  <si>
    <t>GOH</t>
  </si>
  <si>
    <t>Gonalia</t>
  </si>
  <si>
    <t>GOE</t>
  </si>
  <si>
    <t>Goba</t>
  </si>
  <si>
    <t>GOB</t>
  </si>
  <si>
    <t>Genoa</t>
  </si>
  <si>
    <t>Gainesville</t>
  </si>
  <si>
    <t>GNV</t>
  </si>
  <si>
    <t>Goodnews Bay</t>
  </si>
  <si>
    <t>GNU</t>
  </si>
  <si>
    <t xml:space="preserve"> Grenada</t>
  </si>
  <si>
    <t>Grenoble</t>
  </si>
  <si>
    <t xml:space="preserve"> South Korea - Gimpo International </t>
  </si>
  <si>
    <t>Gambela</t>
  </si>
  <si>
    <t>GMB</t>
  </si>
  <si>
    <t>Golovin</t>
  </si>
  <si>
    <t>GLV</t>
  </si>
  <si>
    <t>Gladstone</t>
  </si>
  <si>
    <t>Glen Innes</t>
  </si>
  <si>
    <t>GLI</t>
  </si>
  <si>
    <t>Golfito</t>
  </si>
  <si>
    <t xml:space="preserve"> United Kingdom - Glasgow International </t>
  </si>
  <si>
    <t>Goroka</t>
  </si>
  <si>
    <t>GKA</t>
  </si>
  <si>
    <t>Grand Junction</t>
  </si>
  <si>
    <t>Jijel</t>
  </si>
  <si>
    <t>Guanaja</t>
  </si>
  <si>
    <t>GJA</t>
  </si>
  <si>
    <t>Gizan</t>
  </si>
  <si>
    <t>Gisborne</t>
  </si>
  <si>
    <t>Gilgit</t>
  </si>
  <si>
    <t>GIL</t>
  </si>
  <si>
    <t xml:space="preserve"> RJ</t>
  </si>
  <si>
    <t>Rio De Janeiro</t>
  </si>
  <si>
    <t>Boiju Island</t>
  </si>
  <si>
    <t>GIC</t>
  </si>
  <si>
    <t xml:space="preserve"> Gibraltar </t>
  </si>
  <si>
    <t>Ghat</t>
  </si>
  <si>
    <t>GHT</t>
  </si>
  <si>
    <t>Garachine</t>
  </si>
  <si>
    <t>GHE</t>
  </si>
  <si>
    <t>Governors Harbour</t>
  </si>
  <si>
    <t>Ghardala</t>
  </si>
  <si>
    <t>GGW</t>
  </si>
  <si>
    <t>George Town</t>
  </si>
  <si>
    <t>Gobernador Gregores</t>
  </si>
  <si>
    <t xml:space="preserve"> Cote D'Ivoire </t>
  </si>
  <si>
    <t>Gagnoa</t>
  </si>
  <si>
    <t>GGN</t>
  </si>
  <si>
    <t>Gladewater/Kilgore</t>
  </si>
  <si>
    <t>Grafton</t>
  </si>
  <si>
    <t>Grand Forks</t>
  </si>
  <si>
    <t>Griffith</t>
  </si>
  <si>
    <t>Gallivare</t>
  </si>
  <si>
    <t xml:space="preserve"> Australia</t>
  </si>
  <si>
    <t>Geraldton</t>
  </si>
  <si>
    <t>General Santos</t>
  </si>
  <si>
    <t>Nueva Gerona</t>
  </si>
  <si>
    <t xml:space="preserve"> Guyana </t>
  </si>
  <si>
    <t>Santo Angelo</t>
  </si>
  <si>
    <t>GEL</t>
  </si>
  <si>
    <t>Spokane</t>
  </si>
  <si>
    <t>Gebe</t>
  </si>
  <si>
    <t>GEB</t>
  </si>
  <si>
    <t xml:space="preserve"> New Caledonia - Magenta </t>
  </si>
  <si>
    <t>Gelendzik</t>
  </si>
  <si>
    <t>GDZ</t>
  </si>
  <si>
    <t>Magadan</t>
  </si>
  <si>
    <t>Glendive</t>
  </si>
  <si>
    <t>GDV</t>
  </si>
  <si>
    <t>Grand Turk Island</t>
  </si>
  <si>
    <t>GDT</t>
  </si>
  <si>
    <t>Gondari</t>
  </si>
  <si>
    <t>GDQ</t>
  </si>
  <si>
    <t>Gdansk</t>
  </si>
  <si>
    <t>Guadalajara</t>
  </si>
  <si>
    <t xml:space="preserve"> Ethopia </t>
  </si>
  <si>
    <t>Gode/Iddidole</t>
  </si>
  <si>
    <t>GDE</t>
  </si>
  <si>
    <t xml:space="preserve"> AZ - National Park </t>
  </si>
  <si>
    <t xml:space="preserve"> Cayman Islands </t>
  </si>
  <si>
    <t>Grand Cayman</t>
  </si>
  <si>
    <t>GCM</t>
  </si>
  <si>
    <t>Garden City</t>
  </si>
  <si>
    <t>Guernsey</t>
  </si>
  <si>
    <t>Gillette</t>
  </si>
  <si>
    <t>Goulburn Island</t>
  </si>
  <si>
    <t>GBL</t>
  </si>
  <si>
    <t>Gaborone</t>
  </si>
  <si>
    <t>Gamba</t>
  </si>
  <si>
    <t>GAX</t>
  </si>
  <si>
    <t>Gawahati</t>
  </si>
  <si>
    <t>Garaina</t>
  </si>
  <si>
    <t>GAR</t>
  </si>
  <si>
    <t>Guantanamo</t>
  </si>
  <si>
    <t>Gan Island</t>
  </si>
  <si>
    <t>Yamagata</t>
  </si>
  <si>
    <t>Gafsa</t>
  </si>
  <si>
    <t>Filton</t>
  </si>
  <si>
    <t>FZO</t>
  </si>
  <si>
    <t xml:space="preserve"> AR - Municipal/Drake </t>
  </si>
  <si>
    <t>Skopie</t>
  </si>
  <si>
    <t>FYROM</t>
  </si>
  <si>
    <t>Fort Wayne</t>
  </si>
  <si>
    <t>Futuna Island</t>
  </si>
  <si>
    <t>FUT</t>
  </si>
  <si>
    <t xml:space="preserve"> Tuvalu </t>
  </si>
  <si>
    <t>Funafuti Atol</t>
  </si>
  <si>
    <t>Fukuoka</t>
  </si>
  <si>
    <t>Fukue</t>
  </si>
  <si>
    <t>Fuyang</t>
  </si>
  <si>
    <t>Fuerteventura</t>
  </si>
  <si>
    <t>Fort Dauphin</t>
  </si>
  <si>
    <t>FTA</t>
  </si>
  <si>
    <t xml:space="preserve"> St Pierre and Miquelon </t>
  </si>
  <si>
    <t>St Pierre</t>
  </si>
  <si>
    <t>Sioux Falls</t>
  </si>
  <si>
    <t>Figari</t>
  </si>
  <si>
    <t>Francistown</t>
  </si>
  <si>
    <t xml:space="preserve"> Kyrgyzstan </t>
  </si>
  <si>
    <t>Bishkek</t>
  </si>
  <si>
    <t>Flores</t>
  </si>
  <si>
    <t>FRS</t>
  </si>
  <si>
    <t>Floro</t>
  </si>
  <si>
    <t>Fera Island</t>
  </si>
  <si>
    <t>FRE</t>
  </si>
  <si>
    <t>Franca</t>
  </si>
  <si>
    <t xml:space="preserve"> Germany - International </t>
  </si>
  <si>
    <t>Freeport</t>
  </si>
  <si>
    <t>Fortaleza</t>
  </si>
  <si>
    <t>Foggia</t>
  </si>
  <si>
    <t>Topeka</t>
  </si>
  <si>
    <t>FOE</t>
  </si>
  <si>
    <t>Fort Dodge</t>
  </si>
  <si>
    <t>Fuzhou</t>
  </si>
  <si>
    <t>Flint</t>
  </si>
  <si>
    <t xml:space="preserve"> North Korea </t>
  </si>
  <si>
    <t>Pyongyang</t>
  </si>
  <si>
    <t>Nimes</t>
  </si>
  <si>
    <t>Funchal</t>
  </si>
  <si>
    <t xml:space="preserve"> Sierra Leone - Lungi Intl </t>
  </si>
  <si>
    <t>Freetown</t>
  </si>
  <si>
    <t>Muenster</t>
  </si>
  <si>
    <t>Farmington</t>
  </si>
  <si>
    <t>Formosa</t>
  </si>
  <si>
    <t>Flores Island</t>
  </si>
  <si>
    <t xml:space="preserve"> Italy - Peretola </t>
  </si>
  <si>
    <t>Florianopolis</t>
  </si>
  <si>
    <t>Fort Lauderdale</t>
  </si>
  <si>
    <t>Flagstaff</t>
  </si>
  <si>
    <t>Flensburg</t>
  </si>
  <si>
    <t>FLF</t>
  </si>
  <si>
    <t>Florencia</t>
  </si>
  <si>
    <t>Fukushima</t>
  </si>
  <si>
    <t>Fak Fak</t>
  </si>
  <si>
    <t>FKQ</t>
  </si>
  <si>
    <t>Franklin</t>
  </si>
  <si>
    <t>FKL</t>
  </si>
  <si>
    <t>Karlsruhe/Badern Baden</t>
  </si>
  <si>
    <t>Al-Fujairah</t>
  </si>
  <si>
    <t>Fitzroy Crossing</t>
  </si>
  <si>
    <t>FIZ</t>
  </si>
  <si>
    <t>Kinshasa</t>
  </si>
  <si>
    <t>Fair Isle</t>
  </si>
  <si>
    <t>FIE</t>
  </si>
  <si>
    <t>Apia</t>
  </si>
  <si>
    <t>FGI</t>
  </si>
  <si>
    <t>Fez</t>
  </si>
  <si>
    <t>Fernando De Noronha</t>
  </si>
  <si>
    <t>FEN</t>
  </si>
  <si>
    <t>Fergana</t>
  </si>
  <si>
    <t>FEG</t>
  </si>
  <si>
    <t>Friedrichshafer</t>
  </si>
  <si>
    <t xml:space="preserve"> Martinique </t>
  </si>
  <si>
    <t>Fort De France</t>
  </si>
  <si>
    <t>Forde</t>
  </si>
  <si>
    <t>FDE</t>
  </si>
  <si>
    <t xml:space="preserve"> Italy - Leonardo Da Vinci/Fiumicino </t>
  </si>
  <si>
    <t>Lumbashi</t>
  </si>
  <si>
    <t>Fakarava</t>
  </si>
  <si>
    <t>Fresno</t>
  </si>
  <si>
    <t>Fargo</t>
  </si>
  <si>
    <t>Faro</t>
  </si>
  <si>
    <t>Fajard</t>
  </si>
  <si>
    <t>FAJ</t>
  </si>
  <si>
    <t>Fairbanks</t>
  </si>
  <si>
    <t xml:space="preserve"> Faroe Islands </t>
  </si>
  <si>
    <t>Faroe Islands</t>
  </si>
  <si>
    <t>Elazig</t>
  </si>
  <si>
    <t xml:space="preserve"> Argentina - Ministro Pistarini </t>
  </si>
  <si>
    <t>Buenos Aires</t>
  </si>
  <si>
    <t>Key West</t>
  </si>
  <si>
    <t>El Yopal</t>
  </si>
  <si>
    <t>Yelimane</t>
  </si>
  <si>
    <t>EYL</t>
  </si>
  <si>
    <t>Eveter</t>
  </si>
  <si>
    <t>Exmouth Gulf</t>
  </si>
  <si>
    <t>EXM</t>
  </si>
  <si>
    <t xml:space="preserve"> NJ </t>
  </si>
  <si>
    <t>Enarotali</t>
  </si>
  <si>
    <t>EWI</t>
  </si>
  <si>
    <t>Ewer</t>
  </si>
  <si>
    <t>EWE</t>
  </si>
  <si>
    <t>Evansville</t>
  </si>
  <si>
    <t>Yerevan</t>
  </si>
  <si>
    <t>Sveg</t>
  </si>
  <si>
    <t>Harstad-Narvik</t>
  </si>
  <si>
    <t>St. Eustatius</t>
  </si>
  <si>
    <t>Laayoune</t>
  </si>
  <si>
    <t>Eugene</t>
  </si>
  <si>
    <t>Eureka</t>
  </si>
  <si>
    <t>EUE</t>
  </si>
  <si>
    <t>Metz/Nancy</t>
  </si>
  <si>
    <t>Elat</t>
  </si>
  <si>
    <t>Esmeraldas</t>
  </si>
  <si>
    <t>ESM</t>
  </si>
  <si>
    <t>Elista</t>
  </si>
  <si>
    <t>ESL</t>
  </si>
  <si>
    <t>Escanaba</t>
  </si>
  <si>
    <t xml:space="preserve"> Turkey - Esenboga </t>
  </si>
  <si>
    <t>Ankara</t>
  </si>
  <si>
    <t>Erzurum</t>
  </si>
  <si>
    <t>Erie</t>
  </si>
  <si>
    <t>Erfurt</t>
  </si>
  <si>
    <t>Erzincan</t>
  </si>
  <si>
    <t>Esquel</t>
  </si>
  <si>
    <t xml:space="preserve"> Dominician Republic - El Portillo</t>
  </si>
  <si>
    <t>El Portillo/Samana</t>
  </si>
  <si>
    <t>EPS</t>
  </si>
  <si>
    <t>Esperance</t>
  </si>
  <si>
    <t>Epinal</t>
  </si>
  <si>
    <t>EPL</t>
  </si>
  <si>
    <t>Eday</t>
  </si>
  <si>
    <t>EOI</t>
  </si>
  <si>
    <t xml:space="preserve"> Colombia - Enrique Olaya Herrera </t>
  </si>
  <si>
    <t>Yan'an</t>
  </si>
  <si>
    <t>Enugu</t>
  </si>
  <si>
    <t>Enewetak Island</t>
  </si>
  <si>
    <t>ENT</t>
  </si>
  <si>
    <t>Enshi</t>
  </si>
  <si>
    <t>Enontekio</t>
  </si>
  <si>
    <t>Ende</t>
  </si>
  <si>
    <t>ENE</t>
  </si>
  <si>
    <t>Kenai</t>
  </si>
  <si>
    <t>El Maiten</t>
  </si>
  <si>
    <t>EMX</t>
  </si>
  <si>
    <t>Embessa</t>
  </si>
  <si>
    <t>EMS</t>
  </si>
  <si>
    <t>Emo</t>
  </si>
  <si>
    <t>EMO</t>
  </si>
  <si>
    <t>Nema</t>
  </si>
  <si>
    <t>EMN</t>
  </si>
  <si>
    <t>Emmonak</t>
  </si>
  <si>
    <t>EMK</t>
  </si>
  <si>
    <t>Emerald</t>
  </si>
  <si>
    <t>Nottingham</t>
  </si>
  <si>
    <t>Elfin Cove</t>
  </si>
  <si>
    <t>ELV</t>
  </si>
  <si>
    <t>El Oved</t>
  </si>
  <si>
    <t>East London</t>
  </si>
  <si>
    <t>Gassim</t>
  </si>
  <si>
    <t>El Paso</t>
  </si>
  <si>
    <t>Elim</t>
  </si>
  <si>
    <t>ELI</t>
  </si>
  <si>
    <t>Eleuthera Island</t>
  </si>
  <si>
    <t>El Fasher</t>
  </si>
  <si>
    <t>El Real</t>
  </si>
  <si>
    <t>ELE</t>
  </si>
  <si>
    <t>El Dorado</t>
  </si>
  <si>
    <t>ELD</t>
  </si>
  <si>
    <t>Elcho Island</t>
  </si>
  <si>
    <t>Elko</t>
  </si>
  <si>
    <t>Wedjh</t>
  </si>
  <si>
    <t>Barran Cabermeja</t>
  </si>
  <si>
    <t>Beef Island</t>
  </si>
  <si>
    <t>EIS</t>
  </si>
  <si>
    <t>Eindhoven</t>
  </si>
  <si>
    <t>Eisenach</t>
  </si>
  <si>
    <t>EIB</t>
  </si>
  <si>
    <t>Cape Newenham</t>
  </si>
  <si>
    <t>EHM</t>
  </si>
  <si>
    <t>El Bolsan</t>
  </si>
  <si>
    <t>EHL</t>
  </si>
  <si>
    <t>Egilsstadir</t>
  </si>
  <si>
    <t>Belgorod</t>
  </si>
  <si>
    <t>EGO</t>
  </si>
  <si>
    <t>Geneina</t>
  </si>
  <si>
    <t>Sege</t>
  </si>
  <si>
    <t>EGM</t>
  </si>
  <si>
    <t>Neghelli</t>
  </si>
  <si>
    <t>EGL</t>
  </si>
  <si>
    <t xml:space="preserve"> CO - Eagle County Airport </t>
  </si>
  <si>
    <t>Bergerac</t>
  </si>
  <si>
    <t>Kefallinia</t>
  </si>
  <si>
    <t>Keene</t>
  </si>
  <si>
    <t>EEN</t>
  </si>
  <si>
    <t>Eek</t>
  </si>
  <si>
    <t>EEK</t>
  </si>
  <si>
    <t>Edward River</t>
  </si>
  <si>
    <t>EDR</t>
  </si>
  <si>
    <t>Edremit</t>
  </si>
  <si>
    <t>EDO</t>
  </si>
  <si>
    <t>Eldoret</t>
  </si>
  <si>
    <t>Edinburgh</t>
  </si>
  <si>
    <t>Edna Bay</t>
  </si>
  <si>
    <t>EDA</t>
  </si>
  <si>
    <t>Ercan</t>
  </si>
  <si>
    <t>ECN</t>
  </si>
  <si>
    <t>St. Etienne</t>
  </si>
  <si>
    <t>Ebon</t>
  </si>
  <si>
    <t>EBO</t>
  </si>
  <si>
    <t xml:space="preserve"> Denmark - Esbjerg Airport </t>
  </si>
  <si>
    <t>El Obeid</t>
  </si>
  <si>
    <t>Entebbe</t>
  </si>
  <si>
    <t>Elba Island</t>
  </si>
  <si>
    <t>EBA</t>
  </si>
  <si>
    <t>Eau Claire</t>
  </si>
  <si>
    <t>Wenatchee</t>
  </si>
  <si>
    <t>San Sebastian</t>
  </si>
  <si>
    <t>Kearney</t>
  </si>
  <si>
    <t>Nejran</t>
  </si>
  <si>
    <t xml:space="preserve"> Vanuata </t>
  </si>
  <si>
    <t>Emae</t>
  </si>
  <si>
    <t>EAE</t>
  </si>
  <si>
    <t xml:space="preserve"> Mayotte </t>
  </si>
  <si>
    <t>Dzaoudzi</t>
  </si>
  <si>
    <t>Dushanbe</t>
  </si>
  <si>
    <t>Anadyr</t>
  </si>
  <si>
    <t>Dayang</t>
  </si>
  <si>
    <t xml:space="preserve"> United Arab Emirates - International </t>
  </si>
  <si>
    <t>Soalala</t>
  </si>
  <si>
    <t>DWB</t>
  </si>
  <si>
    <t xml:space="preserve"> Philipines - Mati </t>
  </si>
  <si>
    <t>Davao</t>
  </si>
  <si>
    <t>Devil's Lake</t>
  </si>
  <si>
    <t>DVL</t>
  </si>
  <si>
    <t>Dutch Harbor</t>
  </si>
  <si>
    <t>Durban</t>
  </si>
  <si>
    <t>Duncan/Quam</t>
  </si>
  <si>
    <t>DUQ</t>
  </si>
  <si>
    <t>Dumai</t>
  </si>
  <si>
    <t>DUM</t>
  </si>
  <si>
    <t>Dubois</t>
  </si>
  <si>
    <t>Dunedin</t>
  </si>
  <si>
    <t>Dublin</t>
  </si>
  <si>
    <t xml:space="preserve"> MI - Metro/Wayne County </t>
  </si>
  <si>
    <t>Detroit</t>
  </si>
  <si>
    <t xml:space="preserve"> MI - All airports </t>
  </si>
  <si>
    <t>DTT</t>
  </si>
  <si>
    <t>Dortmund</t>
  </si>
  <si>
    <t>Datadawai</t>
  </si>
  <si>
    <t>DTD</t>
  </si>
  <si>
    <t>Des Moines</t>
  </si>
  <si>
    <t>Dera Ismail Khan</t>
  </si>
  <si>
    <t>DSK</t>
  </si>
  <si>
    <t>Dessie</t>
  </si>
  <si>
    <t>DSE</t>
  </si>
  <si>
    <t xml:space="preserve"> Northern Territory</t>
  </si>
  <si>
    <t>Darwin</t>
  </si>
  <si>
    <t>Del Reo</t>
  </si>
  <si>
    <t>Dresden</t>
  </si>
  <si>
    <t>Durango</t>
  </si>
  <si>
    <t>Dabra</t>
  </si>
  <si>
    <t>DRH</t>
  </si>
  <si>
    <t>Deering</t>
  </si>
  <si>
    <t>DRG</t>
  </si>
  <si>
    <t>Derby</t>
  </si>
  <si>
    <t>DRB</t>
  </si>
  <si>
    <t>Denpasar Bali</t>
  </si>
  <si>
    <t>Devonport</t>
  </si>
  <si>
    <t>Dipolog</t>
  </si>
  <si>
    <t>Dourados</t>
  </si>
  <si>
    <t>DOU</t>
  </si>
  <si>
    <t xml:space="preserve"> Dominica - Melville Hall </t>
  </si>
  <si>
    <t>Deauville</t>
  </si>
  <si>
    <t>Donetsk</t>
  </si>
  <si>
    <t xml:space="preserve"> Qatar </t>
  </si>
  <si>
    <t>Doha</t>
  </si>
  <si>
    <t>Dongola</t>
  </si>
  <si>
    <t>DOG</t>
  </si>
  <si>
    <t>Dodoma</t>
  </si>
  <si>
    <t>DOD</t>
  </si>
  <si>
    <t>Dobo</t>
  </si>
  <si>
    <t>DOB</t>
  </si>
  <si>
    <t>Denizli</t>
  </si>
  <si>
    <t>Dinard</t>
  </si>
  <si>
    <t>Denham</t>
  </si>
  <si>
    <t>DNM</t>
  </si>
  <si>
    <t>Dnepropetrovsk</t>
  </si>
  <si>
    <t>Dunhuang</t>
  </si>
  <si>
    <t>Dundee</t>
  </si>
  <si>
    <t>Dimapur</t>
  </si>
  <si>
    <t>Dammam</t>
  </si>
  <si>
    <t xml:space="preserve"> Russia - Domodedovo </t>
  </si>
  <si>
    <t>Doomadgee</t>
  </si>
  <si>
    <t>DMD</t>
  </si>
  <si>
    <t>Dillons Bay</t>
  </si>
  <si>
    <t>DLY</t>
  </si>
  <si>
    <t>Dali City</t>
  </si>
  <si>
    <t>Dalaman</t>
  </si>
  <si>
    <t>Duluth</t>
  </si>
  <si>
    <t>Dillingham</t>
  </si>
  <si>
    <t>Dalian</t>
  </si>
  <si>
    <t>Dovala</t>
  </si>
  <si>
    <t xml:space="preserve"> Senegal </t>
  </si>
  <si>
    <t>Dakar</t>
  </si>
  <si>
    <t>DKR</t>
  </si>
  <si>
    <t>Dunk Island</t>
  </si>
  <si>
    <t>DKI</t>
  </si>
  <si>
    <t>Delta Junction</t>
  </si>
  <si>
    <t>DJN</t>
  </si>
  <si>
    <t>Jayapura</t>
  </si>
  <si>
    <t>Djanet</t>
  </si>
  <si>
    <t>Djerba</t>
  </si>
  <si>
    <t xml:space="preserve">Jambi. Indonesia </t>
  </si>
  <si>
    <t>DJB</t>
  </si>
  <si>
    <t>Diyarbakir</t>
  </si>
  <si>
    <t>Div</t>
  </si>
  <si>
    <t>Dire Dawa</t>
  </si>
  <si>
    <t xml:space="preserve"> Viet Nam - Gialam </t>
  </si>
  <si>
    <t>Dien Bien Phu</t>
  </si>
  <si>
    <t>Dili</t>
  </si>
  <si>
    <t>Dickinson</t>
  </si>
  <si>
    <t>Dijon</t>
  </si>
  <si>
    <t>Antsiranana</t>
  </si>
  <si>
    <t>Dibrugarn</t>
  </si>
  <si>
    <t>Dothan</t>
  </si>
  <si>
    <t>Dumaguete</t>
  </si>
  <si>
    <t>Mudgee</t>
  </si>
  <si>
    <t>DGE</t>
  </si>
  <si>
    <t>Dangriga</t>
  </si>
  <si>
    <t>DGA</t>
  </si>
  <si>
    <t xml:space="preserve"> TX - Dallas/Ft Worth Intl. </t>
  </si>
  <si>
    <t xml:space="preserve"> Syria - Al Jafrah </t>
  </si>
  <si>
    <t>Deirezzor</t>
  </si>
  <si>
    <t>Derim</t>
  </si>
  <si>
    <t>DER</t>
  </si>
  <si>
    <t xml:space="preserve"> CO - International </t>
  </si>
  <si>
    <t>Dembidollo</t>
  </si>
  <si>
    <t>DEM</t>
  </si>
  <si>
    <t>Delhi</t>
  </si>
  <si>
    <t>Decatur</t>
  </si>
  <si>
    <t>Dera Ghazi</t>
  </si>
  <si>
    <t>Dodoima</t>
  </si>
  <si>
    <t>DDM</t>
  </si>
  <si>
    <t>Daydream Is</t>
  </si>
  <si>
    <t>DDI</t>
  </si>
  <si>
    <t>Dodge City</t>
  </si>
  <si>
    <t>DDC</t>
  </si>
  <si>
    <t>Castres</t>
  </si>
  <si>
    <t xml:space="preserve"> Dominica - Cane Field </t>
  </si>
  <si>
    <t>DCF</t>
  </si>
  <si>
    <t xml:space="preserve">Washington DC - National </t>
  </si>
  <si>
    <t>Dubrovnik</t>
  </si>
  <si>
    <t>Debra Tabor</t>
  </si>
  <si>
    <t>DBT</t>
  </si>
  <si>
    <t>Dubuque</t>
  </si>
  <si>
    <t>Dubbo</t>
  </si>
  <si>
    <t>Debra Marcos</t>
  </si>
  <si>
    <t>DBM</t>
  </si>
  <si>
    <t>Dayton</t>
  </si>
  <si>
    <t>Daxian</t>
  </si>
  <si>
    <t>David</t>
  </si>
  <si>
    <t>Daru</t>
  </si>
  <si>
    <t>DAU</t>
  </si>
  <si>
    <t>Dar Es Salaam</t>
  </si>
  <si>
    <t>Damascus</t>
  </si>
  <si>
    <t xml:space="preserve"> TX - Love Field </t>
  </si>
  <si>
    <t xml:space="preserve"> Bangledesh - Zia International </t>
  </si>
  <si>
    <t>Dhaka</t>
  </si>
  <si>
    <t>Daytona Beach</t>
  </si>
  <si>
    <t>Changzhou</t>
  </si>
  <si>
    <t>Cruzeiro Do Sul</t>
  </si>
  <si>
    <t>Chisana</t>
  </si>
  <si>
    <t>CZN</t>
  </si>
  <si>
    <t>Cozumel</t>
  </si>
  <si>
    <t>Constantine</t>
  </si>
  <si>
    <t>Corozal</t>
  </si>
  <si>
    <t>CZH</t>
  </si>
  <si>
    <t>Coro</t>
  </si>
  <si>
    <t>CZE</t>
  </si>
  <si>
    <t>Cheyenne</t>
  </si>
  <si>
    <t>Cayo Largo Del Sur</t>
  </si>
  <si>
    <t>Chiayi</t>
  </si>
  <si>
    <t>CYI</t>
  </si>
  <si>
    <t>Chefornak</t>
  </si>
  <si>
    <t>CYF</t>
  </si>
  <si>
    <t>Cayman Brac Is</t>
  </si>
  <si>
    <t>CYB</t>
  </si>
  <si>
    <t>Caxias Do Sul</t>
  </si>
  <si>
    <t>CXJ</t>
  </si>
  <si>
    <t xml:space="preserve"> BC - Coal Harbour </t>
  </si>
  <si>
    <t>CXH</t>
  </si>
  <si>
    <t>Cox's Bazar</t>
  </si>
  <si>
    <t>Cardiff</t>
  </si>
  <si>
    <t>Curitiba</t>
  </si>
  <si>
    <t>Stevens Point/Wausau</t>
  </si>
  <si>
    <t>Corvo Island</t>
  </si>
  <si>
    <t>CVU</t>
  </si>
  <si>
    <t>Carnarvon</t>
  </si>
  <si>
    <t>CVO</t>
  </si>
  <si>
    <t>Clovis</t>
  </si>
  <si>
    <t>CVN</t>
  </si>
  <si>
    <t>Ciudad Victoria</t>
  </si>
  <si>
    <t>CVM</t>
  </si>
  <si>
    <t>Cape Vogel</t>
  </si>
  <si>
    <t>CVL</t>
  </si>
  <si>
    <t>Cuernavaca</t>
  </si>
  <si>
    <t>CVJ</t>
  </si>
  <si>
    <t>Cincinnati</t>
  </si>
  <si>
    <t>Cleve</t>
  </si>
  <si>
    <t>CVC</t>
  </si>
  <si>
    <t>Cuzco</t>
  </si>
  <si>
    <t>Cube Cove</t>
  </si>
  <si>
    <t>CUW</t>
  </si>
  <si>
    <t>Chihuahua</t>
  </si>
  <si>
    <t>Curacao</t>
  </si>
  <si>
    <t>Coen</t>
  </si>
  <si>
    <t>CUQ</t>
  </si>
  <si>
    <t>Carupani</t>
  </si>
  <si>
    <t>CUP</t>
  </si>
  <si>
    <t>Cancun</t>
  </si>
  <si>
    <t>Cumana</t>
  </si>
  <si>
    <t>CUM</t>
  </si>
  <si>
    <t>Culiacan</t>
  </si>
  <si>
    <t>Cuenca</t>
  </si>
  <si>
    <t>Cucata</t>
  </si>
  <si>
    <t>Chergdu</t>
  </si>
  <si>
    <t xml:space="preserve"> Japan - Chitose </t>
  </si>
  <si>
    <t>Cooktown</t>
  </si>
  <si>
    <t>Chetumal</t>
  </si>
  <si>
    <t>Charleville</t>
  </si>
  <si>
    <t>Cartagena</t>
  </si>
  <si>
    <t>Chitre</t>
  </si>
  <si>
    <t>CTD</t>
  </si>
  <si>
    <t>Catamarca</t>
  </si>
  <si>
    <t>Catania</t>
  </si>
  <si>
    <t>Cheboksary</t>
  </si>
  <si>
    <t>CSY</t>
  </si>
  <si>
    <t>Castaway</t>
  </si>
  <si>
    <t>CST</t>
  </si>
  <si>
    <t>Casino</t>
  </si>
  <si>
    <t>CSI</t>
  </si>
  <si>
    <t>Charleston</t>
  </si>
  <si>
    <t>Crotone</t>
  </si>
  <si>
    <t>Corpus Christi</t>
  </si>
  <si>
    <t xml:space="preserve"> Belguim - Charleroi </t>
  </si>
  <si>
    <t>Crooked Island</t>
  </si>
  <si>
    <t>Camodoro</t>
  </si>
  <si>
    <t>Campina Grande</t>
  </si>
  <si>
    <t>Cape Town</t>
  </si>
  <si>
    <t>Casper</t>
  </si>
  <si>
    <t>Campinas</t>
  </si>
  <si>
    <t>CPQ</t>
  </si>
  <si>
    <t>Copiapo</t>
  </si>
  <si>
    <t>Cape Orford</t>
  </si>
  <si>
    <t>CPI</t>
  </si>
  <si>
    <t>Copenhagen</t>
  </si>
  <si>
    <t>Campeche</t>
  </si>
  <si>
    <t>CPE</t>
  </si>
  <si>
    <t>Coober Pedy</t>
  </si>
  <si>
    <t>San Martin De Los Andes</t>
  </si>
  <si>
    <t>CPC</t>
  </si>
  <si>
    <t>Columbia</t>
  </si>
  <si>
    <t>Colorado Springs</t>
  </si>
  <si>
    <t>Cordoba</t>
  </si>
  <si>
    <t>Cochin</t>
  </si>
  <si>
    <t>Condoto</t>
  </si>
  <si>
    <t>COG</t>
  </si>
  <si>
    <t>Cody/Yellowstone</t>
  </si>
  <si>
    <t>Concordia</t>
  </si>
  <si>
    <t>COC</t>
  </si>
  <si>
    <t>Moab</t>
  </si>
  <si>
    <t>CNY</t>
  </si>
  <si>
    <t>Chiang Mai</t>
  </si>
  <si>
    <t>Cairns</t>
  </si>
  <si>
    <t>Corrientes</t>
  </si>
  <si>
    <t>Neerlerit Inaat</t>
  </si>
  <si>
    <t>Carlsbad</t>
  </si>
  <si>
    <t>CNM</t>
  </si>
  <si>
    <t>CNK</t>
  </si>
  <si>
    <t>Cloncurry</t>
  </si>
  <si>
    <t>CNJ</t>
  </si>
  <si>
    <t xml:space="preserve"> Brazil - Tancredo Neves Intl. </t>
  </si>
  <si>
    <t>Constanta</t>
  </si>
  <si>
    <t>Coconut Island</t>
  </si>
  <si>
    <t>CNC</t>
  </si>
  <si>
    <t>Coonamble</t>
  </si>
  <si>
    <t>CNB</t>
  </si>
  <si>
    <t>Hancock</t>
  </si>
  <si>
    <t>Camaguey</t>
  </si>
  <si>
    <t xml:space="preserve"> Papau New Guinea </t>
  </si>
  <si>
    <t>Kundiawa</t>
  </si>
  <si>
    <t>CMU</t>
  </si>
  <si>
    <t xml:space="preserve"> Morocco - Mohamed V </t>
  </si>
  <si>
    <t>Casablanca</t>
  </si>
  <si>
    <t>Club Makokola</t>
  </si>
  <si>
    <t>CMK</t>
  </si>
  <si>
    <t>Chi Mei</t>
  </si>
  <si>
    <t>CMJ</t>
  </si>
  <si>
    <t>Champaign/Urbana</t>
  </si>
  <si>
    <t>Corumba</t>
  </si>
  <si>
    <t>Chambery</t>
  </si>
  <si>
    <t>Ciudad Del Carmen</t>
  </si>
  <si>
    <t>CME</t>
  </si>
  <si>
    <t xml:space="preserve"> Sri Lanka </t>
  </si>
  <si>
    <t>Colombo</t>
  </si>
  <si>
    <t>Cunnamulla</t>
  </si>
  <si>
    <t>CMA</t>
  </si>
  <si>
    <t>Calvi</t>
  </si>
  <si>
    <t>Colima</t>
  </si>
  <si>
    <t>Clarks Point</t>
  </si>
  <si>
    <t>CLP</t>
  </si>
  <si>
    <t>Cali</t>
  </si>
  <si>
    <t>Port Angeles</t>
  </si>
  <si>
    <t>College Station</t>
  </si>
  <si>
    <t>Cluj</t>
  </si>
  <si>
    <t>Cleveland</t>
  </si>
  <si>
    <t>Conakry</t>
  </si>
  <si>
    <t>Chicken</t>
  </si>
  <si>
    <t>CKX</t>
  </si>
  <si>
    <t>Carajas</t>
  </si>
  <si>
    <t>Crooked Creek</t>
  </si>
  <si>
    <t>CKO</t>
  </si>
  <si>
    <t>Croker Island</t>
  </si>
  <si>
    <t>CKI</t>
  </si>
  <si>
    <t>Chongqing</t>
  </si>
  <si>
    <t>Clarksburg</t>
  </si>
  <si>
    <t xml:space="preserve"> South Korea - Jeju Airport</t>
  </si>
  <si>
    <t>Jeju</t>
  </si>
  <si>
    <t>Ciudad Juarez</t>
  </si>
  <si>
    <t>Chitral</t>
  </si>
  <si>
    <t>CJL</t>
  </si>
  <si>
    <t>Cheongju</t>
  </si>
  <si>
    <t>Calama</t>
  </si>
  <si>
    <t>Coimbatore</t>
  </si>
  <si>
    <t>Cajamarca</t>
  </si>
  <si>
    <t>Chicayo</t>
  </si>
  <si>
    <t>Canouan</t>
  </si>
  <si>
    <t>CIW</t>
  </si>
  <si>
    <t>Sault Ste Marie</t>
  </si>
  <si>
    <t>Shimkent</t>
  </si>
  <si>
    <t>CIT</t>
  </si>
  <si>
    <t>Chipata</t>
  </si>
  <si>
    <t>CIP</t>
  </si>
  <si>
    <t>Chalkyitsik</t>
  </si>
  <si>
    <t>CIK</t>
  </si>
  <si>
    <t>Cobija</t>
  </si>
  <si>
    <t>Chifeng</t>
  </si>
  <si>
    <t>Cedar Rapids</t>
  </si>
  <si>
    <t>Chico</t>
  </si>
  <si>
    <t xml:space="preserve"> Italy - Ciampino </t>
  </si>
  <si>
    <t>Choiseul Bay</t>
  </si>
  <si>
    <t>CHY</t>
  </si>
  <si>
    <t>Changuinda</t>
  </si>
  <si>
    <t>CHX</t>
  </si>
  <si>
    <t>Chuathbaluk</t>
  </si>
  <si>
    <t>CHU</t>
  </si>
  <si>
    <t>Chatham Island</t>
  </si>
  <si>
    <t>Chania</t>
  </si>
  <si>
    <t>Circle Hot Springs</t>
  </si>
  <si>
    <t>CHP</t>
  </si>
  <si>
    <t>Charlottesville</t>
  </si>
  <si>
    <t xml:space="preserve"> IL - All airports </t>
  </si>
  <si>
    <t>CHI</t>
  </si>
  <si>
    <t>Chaoyang</t>
  </si>
  <si>
    <t>Christchurch</t>
  </si>
  <si>
    <t>Chattanooga</t>
  </si>
  <si>
    <t xml:space="preserve"> Philippines - Lumbia </t>
  </si>
  <si>
    <t>Cagayan De Oro</t>
  </si>
  <si>
    <t>Campo Grande</t>
  </si>
  <si>
    <t>Changchun</t>
  </si>
  <si>
    <t>Chittagong</t>
  </si>
  <si>
    <t>Zhengzha</t>
  </si>
  <si>
    <t xml:space="preserve"> Germany - Cologne/Bonn </t>
  </si>
  <si>
    <t>Jakarta</t>
  </si>
  <si>
    <t>Cape Girardeau</t>
  </si>
  <si>
    <t>CGI</t>
  </si>
  <si>
    <t xml:space="preserve"> Brazil - Congonhas </t>
  </si>
  <si>
    <t>Changde</t>
  </si>
  <si>
    <t>Cuiaba</t>
  </si>
  <si>
    <t>Craig</t>
  </si>
  <si>
    <t>CGA</t>
  </si>
  <si>
    <t>Kerkyra</t>
  </si>
  <si>
    <t>Coffs Harbor</t>
  </si>
  <si>
    <t>Caen</t>
  </si>
  <si>
    <t>Donegal</t>
  </si>
  <si>
    <t>Clermont-ferrand</t>
  </si>
  <si>
    <t>Coffee Point</t>
  </si>
  <si>
    <t>CFA</t>
  </si>
  <si>
    <t>Cortez</t>
  </si>
  <si>
    <t xml:space="preserve"> France - Mandelieu </t>
  </si>
  <si>
    <t>CEQ</t>
  </si>
  <si>
    <t>Ciudad Obregon</t>
  </si>
  <si>
    <t>Central</t>
  </si>
  <si>
    <t>CEM</t>
  </si>
  <si>
    <t>Chelybinsk</t>
  </si>
  <si>
    <t>Chiang Rai</t>
  </si>
  <si>
    <t>Chester</t>
  </si>
  <si>
    <t>CEG</t>
  </si>
  <si>
    <t>Cherepovets</t>
  </si>
  <si>
    <t>CEE</t>
  </si>
  <si>
    <t>Cedun</t>
  </si>
  <si>
    <t>Crescent City</t>
  </si>
  <si>
    <t xml:space="preserve"> Philippines - Matan International </t>
  </si>
  <si>
    <t>Cebu</t>
  </si>
  <si>
    <t>Cordova</t>
  </si>
  <si>
    <t>Chadron</t>
  </si>
  <si>
    <t>CDR</t>
  </si>
  <si>
    <t xml:space="preserve"> France - Charles Degaulle </t>
  </si>
  <si>
    <t>Cedar City</t>
  </si>
  <si>
    <t>Cold Bay</t>
  </si>
  <si>
    <t>Craig Cove</t>
  </si>
  <si>
    <t>CCV</t>
  </si>
  <si>
    <t>Calcutta</t>
  </si>
  <si>
    <t>Caracas</t>
  </si>
  <si>
    <t>Concord</t>
  </si>
  <si>
    <t>CCR</t>
  </si>
  <si>
    <t>Concepcion</t>
  </si>
  <si>
    <t>Criciuma</t>
  </si>
  <si>
    <t>CCM</t>
  </si>
  <si>
    <t>Kozhikode</t>
  </si>
  <si>
    <t>Carcassonne</t>
  </si>
  <si>
    <t>Canberra</t>
  </si>
  <si>
    <t>Calabar</t>
  </si>
  <si>
    <t>Cotabato</t>
  </si>
  <si>
    <t>Ciudad Bolivar</t>
  </si>
  <si>
    <t>CBL</t>
  </si>
  <si>
    <t>Bechar</t>
  </si>
  <si>
    <t>Cambridge</t>
  </si>
  <si>
    <t>Cumberland</t>
  </si>
  <si>
    <t>CBE</t>
  </si>
  <si>
    <t>Cochabamba</t>
  </si>
  <si>
    <t>Cobar</t>
  </si>
  <si>
    <t>CAZ</t>
  </si>
  <si>
    <t xml:space="preserve"> French Guiana </t>
  </si>
  <si>
    <t>Cayenne</t>
  </si>
  <si>
    <t>Campos</t>
  </si>
  <si>
    <t>Canaima</t>
  </si>
  <si>
    <t>CAS</t>
  </si>
  <si>
    <t>Caucasia</t>
  </si>
  <si>
    <t>Cap Haitien</t>
  </si>
  <si>
    <t>CAP</t>
  </si>
  <si>
    <t>Guangzhou</t>
  </si>
  <si>
    <t>Campbeltown</t>
  </si>
  <si>
    <t>Akron/Canton</t>
  </si>
  <si>
    <t>Cairo</t>
  </si>
  <si>
    <t>Cagliari</t>
  </si>
  <si>
    <t>Cascavel</t>
  </si>
  <si>
    <t>CAC</t>
  </si>
  <si>
    <t>Brazzaville</t>
  </si>
  <si>
    <t>Beziers</t>
  </si>
  <si>
    <t>Bolzano</t>
  </si>
  <si>
    <t>Bozeman</t>
  </si>
  <si>
    <t>Barisal</t>
  </si>
  <si>
    <t>BZL</t>
  </si>
  <si>
    <t>Balikesir</t>
  </si>
  <si>
    <t>BZI</t>
  </si>
  <si>
    <t>Bydgoszcz</t>
  </si>
  <si>
    <t xml:space="preserve"> Belize - International </t>
  </si>
  <si>
    <t>Bayreuth</t>
  </si>
  <si>
    <t>BYU</t>
  </si>
  <si>
    <t>Bayamo</t>
  </si>
  <si>
    <t>Boundary</t>
  </si>
  <si>
    <t>BYA</t>
  </si>
  <si>
    <t>Bunsil</t>
  </si>
  <si>
    <t>BXZ</t>
  </si>
  <si>
    <t>Butuan</t>
  </si>
  <si>
    <t>Bam</t>
  </si>
  <si>
    <t>BXR</t>
  </si>
  <si>
    <t>Batom</t>
  </si>
  <si>
    <t>BXM</t>
  </si>
  <si>
    <t>Bade</t>
  </si>
  <si>
    <t>BXD</t>
  </si>
  <si>
    <t>Babo</t>
  </si>
  <si>
    <t>BXB</t>
  </si>
  <si>
    <t>Burnie</t>
  </si>
  <si>
    <t>Brewarrina</t>
  </si>
  <si>
    <t>BWQ</t>
  </si>
  <si>
    <t xml:space="preserve"> Brunei </t>
  </si>
  <si>
    <t>Bandar Seri Begawan</t>
  </si>
  <si>
    <t>Bol</t>
  </si>
  <si>
    <t>Baltimore</t>
  </si>
  <si>
    <t>Bowling Green</t>
  </si>
  <si>
    <t>BWG</t>
  </si>
  <si>
    <t>Braunschweig</t>
  </si>
  <si>
    <t>Brawnwood</t>
  </si>
  <si>
    <t>BWD</t>
  </si>
  <si>
    <t>Bhairawa</t>
  </si>
  <si>
    <t>Birdsville</t>
  </si>
  <si>
    <t>BVI</t>
  </si>
  <si>
    <t>Vilhena</t>
  </si>
  <si>
    <t>BVH</t>
  </si>
  <si>
    <t>Berlevag</t>
  </si>
  <si>
    <t xml:space="preserve"> France - Laroche</t>
  </si>
  <si>
    <t>Brive-La-Gaillarde</t>
  </si>
  <si>
    <t>Boa Vista</t>
  </si>
  <si>
    <t>Boavista</t>
  </si>
  <si>
    <t xml:space="preserve"> France - Beauvais-Tille </t>
  </si>
  <si>
    <t>Bashehr</t>
  </si>
  <si>
    <t>BUZ</t>
  </si>
  <si>
    <t>Batumi</t>
  </si>
  <si>
    <t>Burbank</t>
  </si>
  <si>
    <t>Bulawayo</t>
  </si>
  <si>
    <t>Burao</t>
  </si>
  <si>
    <t>BUO</t>
  </si>
  <si>
    <t>Bokondini</t>
  </si>
  <si>
    <t>BUI</t>
  </si>
  <si>
    <t>Buffalo</t>
  </si>
  <si>
    <t xml:space="preserve"> Hungary </t>
  </si>
  <si>
    <t>Budapest</t>
  </si>
  <si>
    <t>Burketown</t>
  </si>
  <si>
    <t>BUC</t>
  </si>
  <si>
    <t>Buka</t>
  </si>
  <si>
    <t>Burlington</t>
  </si>
  <si>
    <t>Bintulu</t>
  </si>
  <si>
    <t>Bettles</t>
  </si>
  <si>
    <t>BTT</t>
  </si>
  <si>
    <t>Bratislava</t>
  </si>
  <si>
    <t>Baton Rouge</t>
  </si>
  <si>
    <t>Butte</t>
  </si>
  <si>
    <t>Bratsk</t>
  </si>
  <si>
    <t>BTK</t>
  </si>
  <si>
    <t>Banda Aceh</t>
  </si>
  <si>
    <t>Barter Island</t>
  </si>
  <si>
    <t>BTI</t>
  </si>
  <si>
    <t>Batam</t>
  </si>
  <si>
    <t>Basco</t>
  </si>
  <si>
    <t>Basel</t>
  </si>
  <si>
    <t>Biskra</t>
  </si>
  <si>
    <t>Baoshan</t>
  </si>
  <si>
    <t>Bahia Solano</t>
  </si>
  <si>
    <t xml:space="preserve"> DF</t>
  </si>
  <si>
    <t>Brasilia</t>
  </si>
  <si>
    <t>Bossaro</t>
  </si>
  <si>
    <t>Barrow</t>
  </si>
  <si>
    <t xml:space="preserve"> Belgium - National </t>
  </si>
  <si>
    <t>Bathurst Island</t>
  </si>
  <si>
    <t>Bristol</t>
  </si>
  <si>
    <t>Barra</t>
  </si>
  <si>
    <t>BRR</t>
  </si>
  <si>
    <t xml:space="preserve"> Czech Republic - Turany </t>
  </si>
  <si>
    <t>Brownsville</t>
  </si>
  <si>
    <t xml:space="preserve"> Switzerland - Belp Airport </t>
  </si>
  <si>
    <t>Barquisimeto</t>
  </si>
  <si>
    <t>BRM</t>
  </si>
  <si>
    <t>BRL</t>
  </si>
  <si>
    <t>Bourke</t>
  </si>
  <si>
    <t>BRK</t>
  </si>
  <si>
    <t>Bari</t>
  </si>
  <si>
    <t>Bremen</t>
  </si>
  <si>
    <t>Brainerd</t>
  </si>
  <si>
    <t>San Carlos</t>
  </si>
  <si>
    <t>Barreiras</t>
  </si>
  <si>
    <t>BRA</t>
  </si>
  <si>
    <t>Blagoveschensk</t>
  </si>
  <si>
    <t>Aguadilla</t>
  </si>
  <si>
    <t>Boulia</t>
  </si>
  <si>
    <t>BQL</t>
  </si>
  <si>
    <t>Brunswick</t>
  </si>
  <si>
    <t xml:space="preserve"> United Kingdom - Biggin Hill </t>
  </si>
  <si>
    <t>BQH</t>
  </si>
  <si>
    <t>Besalampy</t>
  </si>
  <si>
    <t>BPY</t>
  </si>
  <si>
    <t>Bangda</t>
  </si>
  <si>
    <t>Beaumont/Port Arthur</t>
  </si>
  <si>
    <t>Porto Seguro</t>
  </si>
  <si>
    <t>BPS</t>
  </si>
  <si>
    <t>Balikpapan</t>
  </si>
  <si>
    <t>Batuna</t>
  </si>
  <si>
    <t>BPF</t>
  </si>
  <si>
    <t>Borroloola</t>
  </si>
  <si>
    <t>BOX</t>
  </si>
  <si>
    <t>Boang</t>
  </si>
  <si>
    <t>BOV</t>
  </si>
  <si>
    <t>Boston</t>
  </si>
  <si>
    <t>Bodo</t>
  </si>
  <si>
    <t>Bonaire</t>
  </si>
  <si>
    <t>Bombay</t>
  </si>
  <si>
    <t>Bourgas</t>
  </si>
  <si>
    <t>Boise</t>
  </si>
  <si>
    <t>Bournemouth</t>
  </si>
  <si>
    <t>Bogota</t>
  </si>
  <si>
    <t>Bordeaux</t>
  </si>
  <si>
    <t>Bocas Del Toro</t>
  </si>
  <si>
    <t>Bora Bora</t>
  </si>
  <si>
    <t>Boma</t>
  </si>
  <si>
    <t>BOA</t>
  </si>
  <si>
    <t>Bellona</t>
  </si>
  <si>
    <t>BNY</t>
  </si>
  <si>
    <t xml:space="preserve"> Bosnia Herzegovina </t>
  </si>
  <si>
    <t>Banja Luka</t>
  </si>
  <si>
    <t>Barinas</t>
  </si>
  <si>
    <t>BNS</t>
  </si>
  <si>
    <t>Bannu</t>
  </si>
  <si>
    <t>BNP</t>
  </si>
  <si>
    <t>Bronnoysund</t>
  </si>
  <si>
    <t>Ballina</t>
  </si>
  <si>
    <t>Bonn</t>
  </si>
  <si>
    <t>BNJ</t>
  </si>
  <si>
    <t xml:space="preserve"> Queensland</t>
  </si>
  <si>
    <t>Brisbane</t>
  </si>
  <si>
    <t>Bandar Abbas</t>
  </si>
  <si>
    <t>Nashville</t>
  </si>
  <si>
    <t>Belep Island</t>
  </si>
  <si>
    <t>BMY</t>
  </si>
  <si>
    <t xml:space="preserve"> Viet Nam - Phung-Doc </t>
  </si>
  <si>
    <t>Banmethuot</t>
  </si>
  <si>
    <t>Bima</t>
  </si>
  <si>
    <t>BMU</t>
  </si>
  <si>
    <t>Brampton Island</t>
  </si>
  <si>
    <t>BMP</t>
  </si>
  <si>
    <t>Bhamo</t>
  </si>
  <si>
    <t>BMO</t>
  </si>
  <si>
    <t>Borkum</t>
  </si>
  <si>
    <t>BMK</t>
  </si>
  <si>
    <t>Bloomington</t>
  </si>
  <si>
    <t>Broome</t>
  </si>
  <si>
    <t>BME</t>
  </si>
  <si>
    <t>Belo</t>
  </si>
  <si>
    <t>BMD</t>
  </si>
  <si>
    <t xml:space="preserve"> Sweden - Bromma </t>
  </si>
  <si>
    <t>Blantyre</t>
  </si>
  <si>
    <t>BLZ</t>
  </si>
  <si>
    <t>Blackwater</t>
  </si>
  <si>
    <t>Bangalore</t>
  </si>
  <si>
    <t>Billund</t>
  </si>
  <si>
    <t>Blackpool</t>
  </si>
  <si>
    <t>Batna</t>
  </si>
  <si>
    <t>Bellingham</t>
  </si>
  <si>
    <t>Belaga</t>
  </si>
  <si>
    <t>BLG</t>
  </si>
  <si>
    <t>Bluefield</t>
  </si>
  <si>
    <t>BLF</t>
  </si>
  <si>
    <t>Borlange</t>
  </si>
  <si>
    <t>Barcelona</t>
  </si>
  <si>
    <t>BLA</t>
  </si>
  <si>
    <t>Bukoba</t>
  </si>
  <si>
    <t>BKZ</t>
  </si>
  <si>
    <t>Brookings</t>
  </si>
  <si>
    <t>BKX</t>
  </si>
  <si>
    <t>Beckley</t>
  </si>
  <si>
    <t>BKW</t>
  </si>
  <si>
    <t>Bengkulu</t>
  </si>
  <si>
    <t>BKS</t>
  </si>
  <si>
    <t>Blackall</t>
  </si>
  <si>
    <t>BKQ</t>
  </si>
  <si>
    <t>Bamako</t>
  </si>
  <si>
    <t>Bangkok</t>
  </si>
  <si>
    <t>Kota Kinabalu</t>
  </si>
  <si>
    <t>Buckland</t>
  </si>
  <si>
    <t>BKC</t>
  </si>
  <si>
    <t xml:space="preserve"> Russia - Bykovo </t>
  </si>
  <si>
    <t>BKA</t>
  </si>
  <si>
    <t>Badajcz</t>
  </si>
  <si>
    <t>Guanajuato</t>
  </si>
  <si>
    <t>Bodrum</t>
  </si>
  <si>
    <t>Baharpar</t>
  </si>
  <si>
    <t>BJR</t>
  </si>
  <si>
    <t xml:space="preserve"> Burundi </t>
  </si>
  <si>
    <t>Bujumbura</t>
  </si>
  <si>
    <t xml:space="preserve"> Gambia </t>
  </si>
  <si>
    <t>Banjul</t>
  </si>
  <si>
    <t>Bemidji</t>
  </si>
  <si>
    <t>Batsfijord</t>
  </si>
  <si>
    <t>Bojnord</t>
  </si>
  <si>
    <t>BJB</t>
  </si>
  <si>
    <t>Bejaia</t>
  </si>
  <si>
    <t>Bismarck</t>
  </si>
  <si>
    <t>Biratragar</t>
  </si>
  <si>
    <t>Biarritz</t>
  </si>
  <si>
    <t>Bilbao</t>
  </si>
  <si>
    <t>Billings</t>
  </si>
  <si>
    <t>Biak</t>
  </si>
  <si>
    <t>BIK</t>
  </si>
  <si>
    <t>Bikini Atoll</t>
  </si>
  <si>
    <t>BII</t>
  </si>
  <si>
    <t>Block Island</t>
  </si>
  <si>
    <t>BID</t>
  </si>
  <si>
    <t>Bastia</t>
  </si>
  <si>
    <t>Beihai</t>
  </si>
  <si>
    <t>Birmingham</t>
  </si>
  <si>
    <t>Bhavnagar</t>
  </si>
  <si>
    <t>Bathurst</t>
  </si>
  <si>
    <t>Bharatpur</t>
  </si>
  <si>
    <t>Broken Hill</t>
  </si>
  <si>
    <t>Bhopal</t>
  </si>
  <si>
    <t>Bukhara</t>
  </si>
  <si>
    <t>Bhuj</t>
  </si>
  <si>
    <t>Bahia Blanca</t>
  </si>
  <si>
    <t>Bisha</t>
  </si>
  <si>
    <t>Brus Laguna</t>
  </si>
  <si>
    <t>BHG</t>
  </si>
  <si>
    <t>Blenheim</t>
  </si>
  <si>
    <t>Belfast</t>
  </si>
  <si>
    <t>Bar Harbour</t>
  </si>
  <si>
    <t xml:space="preserve"> Italy - Orio Al Serio </t>
  </si>
  <si>
    <t>Bangor</t>
  </si>
  <si>
    <t>Bergen</t>
  </si>
  <si>
    <t>Endicott</t>
  </si>
  <si>
    <t xml:space="preserve"> Barbados </t>
  </si>
  <si>
    <t>Bridgetown</t>
  </si>
  <si>
    <t xml:space="preserve"> Central African Republic </t>
  </si>
  <si>
    <t>Banqui</t>
  </si>
  <si>
    <t>Bucaramanga</t>
  </si>
  <si>
    <t>Buri Ram</t>
  </si>
  <si>
    <t>BFV</t>
  </si>
  <si>
    <t xml:space="preserve"> Northern Ireland</t>
  </si>
  <si>
    <t>Bahia Pinas</t>
  </si>
  <si>
    <t>BFQ</t>
  </si>
  <si>
    <t>Bloemfontein</t>
  </si>
  <si>
    <t>Bakersfield</t>
  </si>
  <si>
    <t>Scottsbluff</t>
  </si>
  <si>
    <t>Bradford</t>
  </si>
  <si>
    <t>BFD</t>
  </si>
  <si>
    <t xml:space="preserve"> Lebanon </t>
  </si>
  <si>
    <t>Beirut</t>
  </si>
  <si>
    <t>Beira</t>
  </si>
  <si>
    <t>Bedourie</t>
  </si>
  <si>
    <t>BEU</t>
  </si>
  <si>
    <t>Bethel</t>
  </si>
  <si>
    <t>Brest</t>
  </si>
  <si>
    <t xml:space="preserve"> Germany - All airports </t>
  </si>
  <si>
    <t>BER</t>
  </si>
  <si>
    <t>BEO</t>
  </si>
  <si>
    <t>Benghazi</t>
  </si>
  <si>
    <t>Belem</t>
  </si>
  <si>
    <t>Berau</t>
  </si>
  <si>
    <t>BEJ</t>
  </si>
  <si>
    <t>Beica</t>
  </si>
  <si>
    <t>BEI</t>
  </si>
  <si>
    <t>Benton Harbor</t>
  </si>
  <si>
    <t>BEH</t>
  </si>
  <si>
    <t xml:space="preserve"> Serbia and Montenegro - Beograd </t>
  </si>
  <si>
    <t>Belgrade</t>
  </si>
  <si>
    <t>Bedford</t>
  </si>
  <si>
    <t>BED</t>
  </si>
  <si>
    <t>Benbecula</t>
  </si>
  <si>
    <t>Bardufoss</t>
  </si>
  <si>
    <t>Brindisi</t>
  </si>
  <si>
    <t>Vadodara</t>
  </si>
  <si>
    <t>Bhadrapur</t>
  </si>
  <si>
    <t>Bandung</t>
  </si>
  <si>
    <t>Windsor Locks</t>
  </si>
  <si>
    <t>Banjarmasin</t>
  </si>
  <si>
    <t>Bandar Lengeh</t>
  </si>
  <si>
    <t>BDH</t>
  </si>
  <si>
    <t>Badu Island</t>
  </si>
  <si>
    <t>BDD</t>
  </si>
  <si>
    <t>Bundaberg</t>
  </si>
  <si>
    <t xml:space="preserve"> Bermuda </t>
  </si>
  <si>
    <t>Brack</t>
  </si>
  <si>
    <t>BCQ</t>
  </si>
  <si>
    <t>Jinka</t>
  </si>
  <si>
    <t>BCO</t>
  </si>
  <si>
    <t>Barra Colorado</t>
  </si>
  <si>
    <t>BCL</t>
  </si>
  <si>
    <t>Barcaldine</t>
  </si>
  <si>
    <t>BCI</t>
  </si>
  <si>
    <t>Bacolod</t>
  </si>
  <si>
    <t>Baracoa</t>
  </si>
  <si>
    <t xml:space="preserve"> Romania - Baneasa </t>
  </si>
  <si>
    <t>Berbera</t>
  </si>
  <si>
    <t>Bario</t>
  </si>
  <si>
    <t>BBN</t>
  </si>
  <si>
    <t>Battambang</t>
  </si>
  <si>
    <t>BBM</t>
  </si>
  <si>
    <t>Kasane</t>
  </si>
  <si>
    <t>Bhubaneswar</t>
  </si>
  <si>
    <t>Balmaceda</t>
  </si>
  <si>
    <t>Baia Mare</t>
  </si>
  <si>
    <t>Barnaul</t>
  </si>
  <si>
    <t>Baotou</t>
  </si>
  <si>
    <t>Bauru</t>
  </si>
  <si>
    <t>Balalae</t>
  </si>
  <si>
    <t>BAS</t>
  </si>
  <si>
    <t>Barranquilla</t>
  </si>
  <si>
    <t>Batman</t>
  </si>
  <si>
    <t xml:space="preserve"> Bahrain </t>
  </si>
  <si>
    <t>Adrar</t>
  </si>
  <si>
    <t>Andizhan</t>
  </si>
  <si>
    <t>AZN</t>
  </si>
  <si>
    <t>Yazd</t>
  </si>
  <si>
    <t>Amazon Bay</t>
  </si>
  <si>
    <t>AZB</t>
  </si>
  <si>
    <t>Ayawaki</t>
  </si>
  <si>
    <t>AYW</t>
  </si>
  <si>
    <t>Antalya</t>
  </si>
  <si>
    <t>Ayers Rock</t>
  </si>
  <si>
    <t>Akita</t>
  </si>
  <si>
    <t>Spring Point</t>
  </si>
  <si>
    <t>AXP</t>
  </si>
  <si>
    <t>Ataq</t>
  </si>
  <si>
    <t>AXK</t>
  </si>
  <si>
    <t>Alexandroupolis</t>
  </si>
  <si>
    <t xml:space="preserve"> Anguilla </t>
  </si>
  <si>
    <t>Ahwaz</t>
  </si>
  <si>
    <t>Aniwa</t>
  </si>
  <si>
    <t>AWD</t>
  </si>
  <si>
    <t>Scranton</t>
  </si>
  <si>
    <t>Avignon</t>
  </si>
  <si>
    <t>Asheville</t>
  </si>
  <si>
    <t>Ciego De Avila</t>
  </si>
  <si>
    <t>AVI</t>
  </si>
  <si>
    <t>Aneityum</t>
  </si>
  <si>
    <t>AUY</t>
  </si>
  <si>
    <t>Araguaina</t>
  </si>
  <si>
    <t>AUX</t>
  </si>
  <si>
    <t>Aurukun</t>
  </si>
  <si>
    <t>Austin</t>
  </si>
  <si>
    <t>Aurillac</t>
  </si>
  <si>
    <t>Atuona</t>
  </si>
  <si>
    <t>AUQ</t>
  </si>
  <si>
    <t>Agaun</t>
  </si>
  <si>
    <t>AUP</t>
  </si>
  <si>
    <t>Aur Island</t>
  </si>
  <si>
    <t>AUL</t>
  </si>
  <si>
    <t>Alakanuk</t>
  </si>
  <si>
    <t>AUK</t>
  </si>
  <si>
    <t>Abu Dhabi</t>
  </si>
  <si>
    <t>Augusta</t>
  </si>
  <si>
    <t>AUG</t>
  </si>
  <si>
    <t>Arauca</t>
  </si>
  <si>
    <t xml:space="preserve"> Aruba </t>
  </si>
  <si>
    <t>Assiut</t>
  </si>
  <si>
    <t>Watertown</t>
  </si>
  <si>
    <t>Appleton</t>
  </si>
  <si>
    <t>Amritsar</t>
  </si>
  <si>
    <t>Namatana</t>
  </si>
  <si>
    <t>ATN</t>
  </si>
  <si>
    <t>Altamira</t>
  </si>
  <si>
    <t>Atlanta</t>
  </si>
  <si>
    <t>Atqasuk</t>
  </si>
  <si>
    <t>ATK</t>
  </si>
  <si>
    <t>Athens</t>
  </si>
  <si>
    <t>Atoifi</t>
  </si>
  <si>
    <t>ATD</t>
  </si>
  <si>
    <t>Arthur's Town</t>
  </si>
  <si>
    <t>Aswan</t>
  </si>
  <si>
    <t>Amboseli</t>
  </si>
  <si>
    <t xml:space="preserve"> Paraguay </t>
  </si>
  <si>
    <t>Asuncion</t>
  </si>
  <si>
    <t>Kayseri</t>
  </si>
  <si>
    <t>Alice Springs</t>
  </si>
  <si>
    <t>Asosa</t>
  </si>
  <si>
    <t>ASO</t>
  </si>
  <si>
    <t xml:space="preserve"> Eritrea </t>
  </si>
  <si>
    <t>Asmara</t>
  </si>
  <si>
    <t>ASM</t>
  </si>
  <si>
    <t>Amami O Shima</t>
  </si>
  <si>
    <t>Astrakhan</t>
  </si>
  <si>
    <t>Aspen</t>
  </si>
  <si>
    <t xml:space="preserve"> Turkmenistan </t>
  </si>
  <si>
    <t>Ashgabat</t>
  </si>
  <si>
    <t>Arad</t>
  </si>
  <si>
    <t>Aracatuba</t>
  </si>
  <si>
    <t>ART</t>
  </si>
  <si>
    <t>Alto Rio Senguerr</t>
  </si>
  <si>
    <t>ARR</t>
  </si>
  <si>
    <t>Aragip</t>
  </si>
  <si>
    <t>ARP</t>
  </si>
  <si>
    <t xml:space="preserve"> Sweden - Arlanda </t>
  </si>
  <si>
    <t>Armidale</t>
  </si>
  <si>
    <t>Arusha</t>
  </si>
  <si>
    <t>Arica</t>
  </si>
  <si>
    <t>Arkangelsk</t>
  </si>
  <si>
    <t>Alor Island</t>
  </si>
  <si>
    <t>ARD</t>
  </si>
  <si>
    <t>Arctic Village</t>
  </si>
  <si>
    <t>ARC</t>
  </si>
  <si>
    <t>Arequipa</t>
  </si>
  <si>
    <t xml:space="preserve"> Jordan </t>
  </si>
  <si>
    <t>Aqaba</t>
  </si>
  <si>
    <t>Qaisumah</t>
  </si>
  <si>
    <t>Anging</t>
  </si>
  <si>
    <t>Apartado</t>
  </si>
  <si>
    <t>Alpena</t>
  </si>
  <si>
    <t>Nampula</t>
  </si>
  <si>
    <t>APF</t>
  </si>
  <si>
    <t>Aosta</t>
  </si>
  <si>
    <t>Alorsetar</t>
  </si>
  <si>
    <t>Altoona</t>
  </si>
  <si>
    <t>AOO</t>
  </si>
  <si>
    <t>Paso de Los Libres</t>
  </si>
  <si>
    <t>AOL</t>
  </si>
  <si>
    <t>Karpathos</t>
  </si>
  <si>
    <t>Aomori</t>
  </si>
  <si>
    <t>Ancona</t>
  </si>
  <si>
    <t>Andenes</t>
  </si>
  <si>
    <t>Anvik</t>
  </si>
  <si>
    <t>ANV</t>
  </si>
  <si>
    <t xml:space="preserve"> Antigua and Barbuda </t>
  </si>
  <si>
    <t>Antigua</t>
  </si>
  <si>
    <t xml:space="preserve"> Belgium - Deurne Airport </t>
  </si>
  <si>
    <t>Antalaha</t>
  </si>
  <si>
    <t>ANM</t>
  </si>
  <si>
    <t xml:space="preserve"> Turkey - Etimesqut </t>
  </si>
  <si>
    <t>ANK</t>
  </si>
  <si>
    <t>Aniak</t>
  </si>
  <si>
    <t>Angouleme</t>
  </si>
  <si>
    <t>ANG</t>
  </si>
  <si>
    <t>Antofagasta</t>
  </si>
  <si>
    <t xml:space="preserve"> France - Marce </t>
  </si>
  <si>
    <t>Anchorage</t>
  </si>
  <si>
    <t>Ambatomainty</t>
  </si>
  <si>
    <t>AMY</t>
  </si>
  <si>
    <t>Amderma</t>
  </si>
  <si>
    <t>AMV</t>
  </si>
  <si>
    <t>Amsterdam</t>
  </si>
  <si>
    <t>Ambon</t>
  </si>
  <si>
    <t>Mao</t>
  </si>
  <si>
    <t>AMO</t>
  </si>
  <si>
    <t xml:space="preserve"> Jordan - Queen Alia International </t>
  </si>
  <si>
    <t>Amman</t>
  </si>
  <si>
    <t>Mataram</t>
  </si>
  <si>
    <t>AMI</t>
  </si>
  <si>
    <t>Arba Mintch</t>
  </si>
  <si>
    <t>AMH</t>
  </si>
  <si>
    <t>Ahmedabad</t>
  </si>
  <si>
    <t>Amarillo</t>
  </si>
  <si>
    <t>Walla Walla</t>
  </si>
  <si>
    <t>Alamosa</t>
  </si>
  <si>
    <t>Aleppo</t>
  </si>
  <si>
    <t>Waterloo</t>
  </si>
  <si>
    <t>Alamogordo</t>
  </si>
  <si>
    <t>ALM</t>
  </si>
  <si>
    <t>Alexander Bay</t>
  </si>
  <si>
    <t>ALJ</t>
  </si>
  <si>
    <t>Algiers</t>
  </si>
  <si>
    <t>Alta</t>
  </si>
  <si>
    <t>Alicante</t>
  </si>
  <si>
    <t>Sittwe</t>
  </si>
  <si>
    <t>AKY</t>
  </si>
  <si>
    <t>Almaty</t>
  </si>
  <si>
    <t>Akulivik</t>
  </si>
  <si>
    <t>Aksu</t>
  </si>
  <si>
    <t>Auki</t>
  </si>
  <si>
    <t>AKS</t>
  </si>
  <si>
    <t>Anaktueuk</t>
  </si>
  <si>
    <t>AKP</t>
  </si>
  <si>
    <t>King Salmon</t>
  </si>
  <si>
    <t>Auckland</t>
  </si>
  <si>
    <t>Asahikawa</t>
  </si>
  <si>
    <t>Akiak</t>
  </si>
  <si>
    <t>AKI</t>
  </si>
  <si>
    <t>Kufrah</t>
  </si>
  <si>
    <t>AKF</t>
  </si>
  <si>
    <t>Atka</t>
  </si>
  <si>
    <t>AKB</t>
  </si>
  <si>
    <t>Ankang</t>
  </si>
  <si>
    <t>AKA</t>
  </si>
  <si>
    <t>Araca</t>
  </si>
  <si>
    <t>Arvidsjaur</t>
  </si>
  <si>
    <t>Aizawl</t>
  </si>
  <si>
    <t>AJL</t>
  </si>
  <si>
    <t>Agri</t>
  </si>
  <si>
    <t>Jouf</t>
  </si>
  <si>
    <t>Ajaccio</t>
  </si>
  <si>
    <t>Atlantic City</t>
  </si>
  <si>
    <t>AIY</t>
  </si>
  <si>
    <t>Atiu Island</t>
  </si>
  <si>
    <t>Aitutaki</t>
  </si>
  <si>
    <t>Wainwright</t>
  </si>
  <si>
    <t>AIN</t>
  </si>
  <si>
    <t>Ailuk Island</t>
  </si>
  <si>
    <t>AIM</t>
  </si>
  <si>
    <t>Airok</t>
  </si>
  <si>
    <t>AIC</t>
  </si>
  <si>
    <t>Alliance</t>
  </si>
  <si>
    <t>AIA</t>
  </si>
  <si>
    <t>Al Hoceima</t>
  </si>
  <si>
    <t>Alghero</t>
  </si>
  <si>
    <t>Abha</t>
  </si>
  <si>
    <t>Acarigua</t>
  </si>
  <si>
    <t>AGV</t>
  </si>
  <si>
    <t>Aguascalientes</t>
  </si>
  <si>
    <t>Ciudad del Este</t>
  </si>
  <si>
    <t>Agra</t>
  </si>
  <si>
    <t>AGR</t>
  </si>
  <si>
    <t>Malaga</t>
  </si>
  <si>
    <t>Angoon</t>
  </si>
  <si>
    <t>AGN</t>
  </si>
  <si>
    <t>Wanigela</t>
  </si>
  <si>
    <t>AGL</t>
  </si>
  <si>
    <t>Aguni</t>
  </si>
  <si>
    <t>AGJ</t>
  </si>
  <si>
    <t>Argelholm/Helsingborg</t>
  </si>
  <si>
    <t>Agen</t>
  </si>
  <si>
    <t>Wangerooge</t>
  </si>
  <si>
    <t>AGE</t>
  </si>
  <si>
    <t>Anggi</t>
  </si>
  <si>
    <t>AGD</t>
  </si>
  <si>
    <t>Augsburg/Munich</t>
  </si>
  <si>
    <t>Agadir</t>
  </si>
  <si>
    <t xml:space="preserve"> Soloman Islands </t>
  </si>
  <si>
    <t>Afutara</t>
  </si>
  <si>
    <t>AFT</t>
  </si>
  <si>
    <t>San Rafael</t>
  </si>
  <si>
    <t>Akureyri</t>
  </si>
  <si>
    <t>Allakaket</t>
  </si>
  <si>
    <t>AET</t>
  </si>
  <si>
    <t>Aalesund</t>
  </si>
  <si>
    <t>Adler/Sochi</t>
  </si>
  <si>
    <t xml:space="preserve"> Argentina - Jorge Newbery </t>
  </si>
  <si>
    <t>Aioun El Atrouss</t>
  </si>
  <si>
    <t>AEO</t>
  </si>
  <si>
    <t>San Andres Island</t>
  </si>
  <si>
    <t>Ardabil</t>
  </si>
  <si>
    <t>ADU</t>
  </si>
  <si>
    <t>Kodiak</t>
  </si>
  <si>
    <t>Adelaide</t>
  </si>
  <si>
    <t>Adak Island</t>
  </si>
  <si>
    <t xml:space="preserve"> Jordan - Civil/Marka Airport </t>
  </si>
  <si>
    <t>ADJ</t>
  </si>
  <si>
    <t>Aden</t>
  </si>
  <si>
    <t>Addis Ababa</t>
  </si>
  <si>
    <t>Izmir</t>
  </si>
  <si>
    <t>Adana</t>
  </si>
  <si>
    <t>Eureka/Arcata</t>
  </si>
  <si>
    <t>Waco</t>
  </si>
  <si>
    <t>Nantucket</t>
  </si>
  <si>
    <t>Alderney</t>
  </si>
  <si>
    <t>ACI</t>
  </si>
  <si>
    <t>Altenrhein</t>
  </si>
  <si>
    <t>Lanzarote</t>
  </si>
  <si>
    <t xml:space="preserve"> Ghana </t>
  </si>
  <si>
    <t>Accra</t>
  </si>
  <si>
    <t>Acapulco</t>
  </si>
  <si>
    <t>Aberdeen</t>
  </si>
  <si>
    <t>Albury</t>
  </si>
  <si>
    <t>Abuja</t>
  </si>
  <si>
    <t>Al-Baha</t>
  </si>
  <si>
    <t>Abu Simbel</t>
  </si>
  <si>
    <t>Albuquerque</t>
  </si>
  <si>
    <t>Bamaga</t>
  </si>
  <si>
    <t>Ambler</t>
  </si>
  <si>
    <t>ABL</t>
  </si>
  <si>
    <t>Kabri Dar</t>
  </si>
  <si>
    <t>ABK</t>
  </si>
  <si>
    <t xml:space="preserve"> Cote d'Ivoire </t>
  </si>
  <si>
    <t>Abidjan</t>
  </si>
  <si>
    <t>Abilene</t>
  </si>
  <si>
    <t>Abadan</t>
  </si>
  <si>
    <t>ABD</t>
  </si>
  <si>
    <t>Abakan</t>
  </si>
  <si>
    <t>Al Ghaydah</t>
  </si>
  <si>
    <t>AAY</t>
  </si>
  <si>
    <t>Altay</t>
  </si>
  <si>
    <t xml:space="preserve"> Denmark - Tirstrup </t>
  </si>
  <si>
    <t>Anapa</t>
  </si>
  <si>
    <t>Al Ain</t>
  </si>
  <si>
    <t>Aalborg</t>
  </si>
  <si>
    <t>Arapoti</t>
  </si>
  <si>
    <t>AAG</t>
  </si>
  <si>
    <t>Annaba</t>
  </si>
  <si>
    <t>Al Arish</t>
  </si>
  <si>
    <t>Zurich - Airport</t>
  </si>
  <si>
    <t>Vancouver - Metropolitan Area</t>
  </si>
  <si>
    <t>Xiamen - Gaoqi Intl</t>
  </si>
  <si>
    <t>Wuhan - Tianhe Intl</t>
  </si>
  <si>
    <t>Warsaw - Frederic Chopin</t>
  </si>
  <si>
    <t>Moscow - Vnukovo</t>
  </si>
  <si>
    <t>Vienna - Schwechat Intl</t>
  </si>
  <si>
    <t>Venice - Metropolitan Area</t>
  </si>
  <si>
    <t>QUETTA</t>
  </si>
  <si>
    <t>Berlin - Tegel</t>
  </si>
  <si>
    <t>KAZAKHSTAN</t>
  </si>
  <si>
    <t>Tel Aviv - Ben Gurion Intl</t>
  </si>
  <si>
    <t>Toulouse - Blagnac</t>
  </si>
  <si>
    <t>Tehran - Metropolitan Area</t>
  </si>
  <si>
    <t>Shenzhen - Bao'an Intl</t>
  </si>
  <si>
    <t>Surabaya - Juanda</t>
  </si>
  <si>
    <t>Stuttgart - Airport</t>
  </si>
  <si>
    <t>Sharm el-Sheikh - International</t>
  </si>
  <si>
    <t>Ho Chi Minh City - Tan Son Nhat Intl</t>
  </si>
  <si>
    <t>Istanbul - Sabiha Gokcen</t>
  </si>
  <si>
    <t>Riyadh - King Khalid Intl</t>
  </si>
  <si>
    <t>Myanmar</t>
  </si>
  <si>
    <t>Busan - Gimhae Intl</t>
  </si>
  <si>
    <t>Prague - Metropolitan Area</t>
  </si>
  <si>
    <t>Czechia</t>
  </si>
  <si>
    <t>Perth - International</t>
  </si>
  <si>
    <t>Oslo - Metropolitan Area</t>
  </si>
  <si>
    <t>Paris - Orly</t>
  </si>
  <si>
    <t>Okinawa - Metropolitan Area</t>
  </si>
  <si>
    <t>Nagoya - Metropolitan Area</t>
  </si>
  <si>
    <t>Nice - Cote d'Azur</t>
  </si>
  <si>
    <t>Milan - Malpensa</t>
  </si>
  <si>
    <t>Munich - International</t>
  </si>
  <si>
    <t>Marseille - Provence</t>
  </si>
  <si>
    <t>Maputo - International</t>
  </si>
  <si>
    <t>Melbourne - Metropolitan Area</t>
  </si>
  <si>
    <t>Madrid - Metropolitan Area</t>
  </si>
  <si>
    <t>Chennai - International</t>
  </si>
  <si>
    <t>Lyon - Metropolitan Area</t>
  </si>
  <si>
    <t>Lagos - Murtala Muhammed Intl</t>
  </si>
  <si>
    <t>Lisbon - Airport</t>
  </si>
  <si>
    <t>London - Heathrow</t>
  </si>
  <si>
    <t>London - Gatwick</t>
  </si>
  <si>
    <t>Kuwait - International</t>
  </si>
  <si>
    <t>Kuala Lumpur - Metropolitan Area</t>
  </si>
  <si>
    <t>Medan - Kualanamu International Airport</t>
  </si>
  <si>
    <t>Kunming - Changshui Intl</t>
  </si>
  <si>
    <t>Osaka - Kansai International</t>
  </si>
  <si>
    <t>Kano - Mallam Aminu Kano Intl</t>
  </si>
  <si>
    <t>Johannesburg - Metropolitan Area</t>
  </si>
  <si>
    <t>Jeddah - King Abdulaziz Intl</t>
  </si>
  <si>
    <t>Osaka Intl (Itami)</t>
  </si>
  <si>
    <t>Istanbul - Metropolitan Area</t>
  </si>
  <si>
    <t>Hyderabad - Metropolitan Area</t>
  </si>
  <si>
    <t>Hurghada - International</t>
  </si>
  <si>
    <t>Honolulu - Daniel K. Inouye Intl</t>
  </si>
  <si>
    <t>Hong Kong - Metropolitan Area</t>
  </si>
  <si>
    <t>Helsinki - Metropolitan Area</t>
  </si>
  <si>
    <t>Hamburg - Airport</t>
  </si>
  <si>
    <t>Geneva - International</t>
  </si>
  <si>
    <t>Seoul - Gimpo International</t>
  </si>
  <si>
    <t>Frankfurt - International</t>
  </si>
  <si>
    <t>Dubai - International</t>
  </si>
  <si>
    <t>Duesseldorf - International</t>
  </si>
  <si>
    <t>Denpasar-Bali - Ngurah Rai</t>
  </si>
  <si>
    <t>Doha - Hamad International</t>
  </si>
  <si>
    <t>Moscow - Domodedovo</t>
  </si>
  <si>
    <t>Chengdu - Shuangliu Intl</t>
  </si>
  <si>
    <t>Sapporo - New Chitose</t>
  </si>
  <si>
    <t>Cape Town - International</t>
  </si>
  <si>
    <t>Copenhagen - Metropolitan Area</t>
  </si>
  <si>
    <t>Chongqing - Jiangbei Intl</t>
  </si>
  <si>
    <t>Jeju - International</t>
  </si>
  <si>
    <t>Zhengzhou - Xinzheng Intl</t>
  </si>
  <si>
    <t>Cologne/Bonn - Airport</t>
  </si>
  <si>
    <t>Paris - Charles de Gaulle</t>
  </si>
  <si>
    <t>Cairo - Metropolitan Area</t>
  </si>
  <si>
    <t>Budapest - Liszt Ferenc Int'l</t>
  </si>
  <si>
    <t>Brussels - Metropolitan Area</t>
  </si>
  <si>
    <t>Brisbane - International</t>
  </si>
  <si>
    <t>Bangkok - Metropolitan Area</t>
  </si>
  <si>
    <t>Milan - Bergamo/Orio al Serio</t>
  </si>
  <si>
    <t>Barcelona - Airport</t>
  </si>
  <si>
    <t>Bucharest - Baneasa - Aurel Vlaicu</t>
  </si>
  <si>
    <t>Abu Dhabi - International</t>
  </si>
  <si>
    <t>Athens - Eleftherios Venizelos</t>
  </si>
  <si>
    <t>Amsterdam - Schiphol Airport</t>
  </si>
  <si>
    <t>Algiers - Houari Boumediene</t>
  </si>
  <si>
    <t>Alicante - Airport</t>
  </si>
  <si>
    <t>ALMATY</t>
  </si>
  <si>
    <t>AKTOBE</t>
  </si>
  <si>
    <t>Auckland - Metropolitan Area</t>
  </si>
  <si>
    <t>Malaga - Airport</t>
  </si>
  <si>
    <t>Adelaide - International</t>
  </si>
  <si>
    <t>Addis Ababa - Bole Intl</t>
  </si>
  <si>
    <t>ROUTE COST</t>
  </si>
  <si>
    <t>LIST PRICE</t>
  </si>
  <si>
    <t>AUDITED</t>
  </si>
  <si>
    <t>RIO DE JANEIRO</t>
  </si>
  <si>
    <t>MILAN</t>
  </si>
  <si>
    <t>BERGANO</t>
  </si>
  <si>
    <t>VENICE</t>
  </si>
  <si>
    <t>BOLOGNA</t>
  </si>
  <si>
    <t>FAISALABAD</t>
  </si>
  <si>
    <t>RAHIM YAR KHAN</t>
  </si>
  <si>
    <t>MOSCOW - VNUKOVO</t>
  </si>
  <si>
    <t>JEDDAG</t>
  </si>
  <si>
    <t>DAMMAM</t>
  </si>
  <si>
    <t>QAISUMAH</t>
  </si>
  <si>
    <t>AL JAWF</t>
  </si>
  <si>
    <t>SEOUL - GIMPO</t>
  </si>
  <si>
    <t>JEJU</t>
  </si>
  <si>
    <t>BUSAN</t>
  </si>
  <si>
    <t>DAEGU</t>
  </si>
  <si>
    <t>GWANGIU</t>
  </si>
  <si>
    <t>MUAN</t>
  </si>
  <si>
    <t>TAIWAN</t>
  </si>
  <si>
    <t>KAOHSIUNG</t>
  </si>
  <si>
    <t>YEMEN</t>
  </si>
  <si>
    <t>SANAA</t>
  </si>
  <si>
    <t>ADEN</t>
  </si>
  <si>
    <t>RIYAN MUKALLA</t>
  </si>
  <si>
    <t>SEIYUN</t>
  </si>
  <si>
    <t>SOCOTRA</t>
  </si>
  <si>
    <t>SYRIA</t>
  </si>
  <si>
    <t>DAMASCUS</t>
  </si>
  <si>
    <t>ALEPPO</t>
  </si>
  <si>
    <t>LATAKIA</t>
  </si>
  <si>
    <t>LEBANON</t>
  </si>
  <si>
    <t>BEYROUTH</t>
  </si>
  <si>
    <t>AZERBAIJAN</t>
  </si>
  <si>
    <t>BAJU</t>
  </si>
  <si>
    <t>NAKHICHEVAN</t>
  </si>
  <si>
    <t>GEORGIA</t>
  </si>
  <si>
    <t>TBILISI</t>
  </si>
  <si>
    <t>ARMENIA</t>
  </si>
  <si>
    <t>YEREVAN</t>
  </si>
  <si>
    <t>GYUMRI</t>
  </si>
  <si>
    <t>SEMIPALATINSK</t>
  </si>
  <si>
    <t>KJT</t>
  </si>
  <si>
    <t>KERTAJATI</t>
  </si>
  <si>
    <t>BAHAMAS</t>
  </si>
  <si>
    <t>NEWARK</t>
  </si>
  <si>
    <t>MPM/AKX</t>
  </si>
  <si>
    <t>CGK/IXL</t>
  </si>
  <si>
    <t>MPM/SYX</t>
  </si>
  <si>
    <t>CGK/RGN</t>
  </si>
  <si>
    <t>CGK/PMI</t>
  </si>
  <si>
    <t>CGK/CCU</t>
  </si>
  <si>
    <t>CGK/AMD</t>
  </si>
  <si>
    <t>CGK/BLR</t>
  </si>
  <si>
    <t>CGK/LUN</t>
  </si>
  <si>
    <t>CGK/HAH</t>
  </si>
  <si>
    <t>CGK/CMN</t>
  </si>
  <si>
    <t>CGK/BGW</t>
  </si>
  <si>
    <t>CGK/NBO</t>
  </si>
  <si>
    <t>CGK/ATQ</t>
  </si>
  <si>
    <t>MPM/TNA</t>
  </si>
  <si>
    <t>CGK/VTZ</t>
  </si>
  <si>
    <t>CGK/HAN</t>
  </si>
  <si>
    <t>CGK/CXR</t>
  </si>
  <si>
    <t>CGK/SVO</t>
  </si>
  <si>
    <t>CGK/ISB</t>
  </si>
  <si>
    <t>CGK/GOI</t>
  </si>
  <si>
    <t>CGK/COK</t>
  </si>
  <si>
    <t>CGK/MAA</t>
  </si>
  <si>
    <t>CGK/CCJ</t>
  </si>
  <si>
    <t>MPM/MAA</t>
  </si>
  <si>
    <t>CGK/SHE</t>
  </si>
  <si>
    <t>CGK/XIY</t>
  </si>
  <si>
    <t>MPM/CGQ</t>
  </si>
  <si>
    <t>MPM/PKX</t>
  </si>
  <si>
    <t>CGK/TNA</t>
  </si>
  <si>
    <t>CGK/HYD</t>
  </si>
  <si>
    <t>MPM/YOW</t>
  </si>
  <si>
    <t>MPM/YUL</t>
  </si>
  <si>
    <t>MPM/ZYL</t>
  </si>
  <si>
    <t>MPM/CGP</t>
  </si>
  <si>
    <t>MPM/DAC</t>
  </si>
  <si>
    <t>MPM/OKA</t>
  </si>
  <si>
    <t>MPM/NGO</t>
  </si>
  <si>
    <t>MPM/KIX</t>
  </si>
  <si>
    <t>MPM/CTS</t>
  </si>
  <si>
    <t>MPM/HND</t>
  </si>
  <si>
    <t>CGK/TRV</t>
  </si>
  <si>
    <t>MPM/JNB</t>
  </si>
  <si>
    <t>MPM/PAP</t>
  </si>
  <si>
    <t>MPM/PEK</t>
  </si>
  <si>
    <t>MPM/SHE</t>
  </si>
  <si>
    <t>MPM/BOG</t>
  </si>
  <si>
    <t>MPM/TSN</t>
  </si>
  <si>
    <t>MPM/CMN</t>
  </si>
  <si>
    <t>CGK/PKX</t>
  </si>
  <si>
    <t>MPM/URC</t>
  </si>
  <si>
    <t>MPM/PVG</t>
  </si>
  <si>
    <t>MPM/DMK</t>
  </si>
  <si>
    <t>MPM/LAD</t>
  </si>
  <si>
    <t>MPM/HRB</t>
  </si>
  <si>
    <t>MPM/TAO</t>
  </si>
  <si>
    <t>MPM/CAN</t>
  </si>
  <si>
    <t>CGK/KMG</t>
  </si>
  <si>
    <t>CGK/WUH</t>
  </si>
  <si>
    <t>MPM/BCN</t>
  </si>
  <si>
    <t>MPM/OSL</t>
  </si>
  <si>
    <t>CGK/TPE</t>
  </si>
  <si>
    <t>CGK/KUL</t>
  </si>
  <si>
    <t>CGK/CTU</t>
  </si>
  <si>
    <t>CGK/SZX</t>
  </si>
  <si>
    <t>CGK/CAN</t>
  </si>
  <si>
    <t>CGK/HKG</t>
  </si>
  <si>
    <t>MPM/BBO</t>
  </si>
  <si>
    <t>CGK/PNH</t>
  </si>
  <si>
    <t>CGK/LED</t>
  </si>
  <si>
    <t>CGK/SHA</t>
  </si>
  <si>
    <t>MPM/CDG</t>
  </si>
  <si>
    <t>MPM/DEL</t>
  </si>
  <si>
    <t>MPM/MRU</t>
  </si>
  <si>
    <t>CGK/DME</t>
  </si>
  <si>
    <t>MPM/NBO</t>
  </si>
  <si>
    <t>MPM/AHB</t>
  </si>
  <si>
    <t>MPM/DUR</t>
  </si>
  <si>
    <t>MPM/GRU</t>
  </si>
  <si>
    <t>MPM/CCS</t>
  </si>
  <si>
    <t>MPM/HYD</t>
  </si>
  <si>
    <t>MPM/HKT</t>
  </si>
  <si>
    <t>MPM/CEB</t>
  </si>
  <si>
    <t>MPM/CTU</t>
  </si>
  <si>
    <t>MPM/SUB</t>
  </si>
  <si>
    <t>MPM/HAK</t>
  </si>
  <si>
    <t>MPM/HRE</t>
  </si>
  <si>
    <t>CGK/ICN</t>
  </si>
  <si>
    <t>CGK/RUH</t>
  </si>
  <si>
    <t>CGK/CKG</t>
  </si>
  <si>
    <t>CGK/MAD</t>
  </si>
  <si>
    <t>CGK/TSN</t>
  </si>
  <si>
    <t>CGK/NKG</t>
  </si>
  <si>
    <t>CGK/CGQ</t>
  </si>
  <si>
    <t>CGK/HGH</t>
  </si>
  <si>
    <t>CGK/TAO</t>
  </si>
  <si>
    <t>CGK/DLC</t>
  </si>
  <si>
    <t>CGK/URC</t>
  </si>
  <si>
    <t>CGK/YVR</t>
  </si>
  <si>
    <t>CGK/LIS</t>
  </si>
  <si>
    <t>MPM/KUL</t>
  </si>
  <si>
    <t>CGK/HNL</t>
  </si>
  <si>
    <t>CGK/BCN</t>
  </si>
  <si>
    <t>MPM/ISB</t>
  </si>
  <si>
    <t>CGK/MED</t>
  </si>
  <si>
    <t>MPM/CKG</t>
  </si>
  <si>
    <t>MPM/CPT</t>
  </si>
  <si>
    <t>CGK/HAK</t>
  </si>
  <si>
    <t>CGK/SYX</t>
  </si>
  <si>
    <t>CGK/VIE</t>
  </si>
  <si>
    <t>CGK/BNE</t>
  </si>
  <si>
    <t>CGK/MEL</t>
  </si>
  <si>
    <t>CGK/SYD</t>
  </si>
  <si>
    <t>CGK/SIN</t>
  </si>
  <si>
    <t>CGK/BKK</t>
  </si>
  <si>
    <t>CGK/NRT</t>
  </si>
  <si>
    <t>CGK/HND</t>
  </si>
  <si>
    <t>MPM/MAD</t>
  </si>
  <si>
    <t>MPM/PMI</t>
  </si>
  <si>
    <t>CGK/MAN</t>
  </si>
  <si>
    <t>MPM/HAH</t>
  </si>
  <si>
    <t>MPM/XIY</t>
  </si>
  <si>
    <t>MPM/ITM</t>
  </si>
  <si>
    <t>MPM/MNL</t>
  </si>
  <si>
    <t>CGK/HRB</t>
  </si>
  <si>
    <t>CGK/FCO</t>
  </si>
  <si>
    <t>CGK/PVG</t>
  </si>
  <si>
    <t>MPM/ADD</t>
  </si>
  <si>
    <t>CGK/DAC</t>
  </si>
  <si>
    <t>MPM/JAI</t>
  </si>
  <si>
    <t>MPM/COK</t>
  </si>
  <si>
    <t>CGK/DMK</t>
  </si>
  <si>
    <t>MPM/LUN</t>
  </si>
  <si>
    <t>CGK/LHR</t>
  </si>
  <si>
    <t>MPM/MEL</t>
  </si>
  <si>
    <t>MPM/KMG</t>
  </si>
  <si>
    <t>MPM/DME</t>
  </si>
  <si>
    <t>CGK/DXB</t>
  </si>
  <si>
    <t>MPM/PUS</t>
  </si>
  <si>
    <t>MPM/CJU</t>
  </si>
  <si>
    <t>MPM/GMP</t>
  </si>
  <si>
    <t>MPM/ICN</t>
  </si>
  <si>
    <t>MPM/BHV</t>
  </si>
  <si>
    <t>MPM/DMM</t>
  </si>
  <si>
    <t>MPM/JED</t>
  </si>
  <si>
    <t>MPM/MED</t>
  </si>
  <si>
    <t>MPM/RUH</t>
  </si>
  <si>
    <t>MPM/ULN</t>
  </si>
  <si>
    <t>MPM/GXF</t>
  </si>
  <si>
    <t>MPM/DXB</t>
  </si>
  <si>
    <t>MPM/DLC</t>
  </si>
  <si>
    <t>CGK/LOS</t>
  </si>
  <si>
    <t>MPM/NKG</t>
  </si>
  <si>
    <t>CGK/IST</t>
  </si>
  <si>
    <t>MPM/SGN</t>
  </si>
  <si>
    <t>MPM/BSB</t>
  </si>
  <si>
    <t>MPM/CGK</t>
  </si>
  <si>
    <t>MPM/KNO</t>
  </si>
  <si>
    <t>CGK/AKL</t>
  </si>
  <si>
    <t>MPM/VTZ</t>
  </si>
  <si>
    <t>MPM/KHI</t>
  </si>
  <si>
    <t>MPM/CCJ</t>
  </si>
  <si>
    <t>MPM/TRV</t>
  </si>
  <si>
    <t>MPM/FCO</t>
  </si>
  <si>
    <t>CGK/JAI</t>
  </si>
  <si>
    <t>CGK/BOM</t>
  </si>
  <si>
    <t>MPM/LED</t>
  </si>
  <si>
    <t>MPM/TPE</t>
  </si>
  <si>
    <t>MPM/ALP</t>
  </si>
  <si>
    <t>MPM/DAM</t>
  </si>
  <si>
    <t>MPM/SIN</t>
  </si>
  <si>
    <t>MPM/VKO</t>
  </si>
  <si>
    <t>MPM/SVO</t>
  </si>
  <si>
    <t>MPM/UET</t>
  </si>
  <si>
    <t>MPM/LHE</t>
  </si>
  <si>
    <t>MPM/ALA</t>
  </si>
  <si>
    <t>MPM/SCT</t>
  </si>
  <si>
    <t>MPM/RIY</t>
  </si>
  <si>
    <t>CGK/GAU</t>
  </si>
  <si>
    <t>CGK/PEK</t>
  </si>
  <si>
    <t>MPM/BTH</t>
  </si>
  <si>
    <t>MPM/DPS</t>
  </si>
  <si>
    <t>MPM/IXE</t>
  </si>
  <si>
    <t>MPM/NAG</t>
  </si>
  <si>
    <t>MPM/ATQ</t>
  </si>
  <si>
    <t>MPM/SXR</t>
  </si>
  <si>
    <t>MPM/GAU</t>
  </si>
  <si>
    <t>MPM/PNH</t>
  </si>
  <si>
    <t>MPM/GIG</t>
  </si>
  <si>
    <t>MPM/ALG</t>
  </si>
  <si>
    <t>MPM/AKL</t>
  </si>
  <si>
    <t>MPM/RGN</t>
  </si>
  <si>
    <t>CGK/DEL</t>
  </si>
  <si>
    <t>MPM/BYN</t>
  </si>
  <si>
    <t>MPM/BKK</t>
  </si>
  <si>
    <t>MPM/AMS</t>
  </si>
  <si>
    <t>MPM/AMD</t>
  </si>
  <si>
    <t>CGK/BHV</t>
  </si>
  <si>
    <t>CGK/LHE</t>
  </si>
  <si>
    <t>CGK/ALG</t>
  </si>
  <si>
    <t>MPM/SZX</t>
  </si>
  <si>
    <t>MPM/HKG</t>
  </si>
  <si>
    <t>CGK/KHI</t>
  </si>
  <si>
    <t>CGK/HKT</t>
  </si>
  <si>
    <t>CGK/MNL</t>
  </si>
  <si>
    <t>CGK/SGN</t>
  </si>
  <si>
    <t>MPM/THR</t>
  </si>
  <si>
    <t>MPM/MDL</t>
  </si>
  <si>
    <t>MPM/ADE</t>
  </si>
  <si>
    <t>MPM/BDA</t>
  </si>
  <si>
    <t>MPM/SAH</t>
  </si>
  <si>
    <t>CGK/LGW</t>
  </si>
  <si>
    <t>CGK/STN</t>
  </si>
  <si>
    <t>MPM/SHA</t>
  </si>
  <si>
    <t>CGK/AMS</t>
  </si>
  <si>
    <t>MPM/BNE</t>
  </si>
  <si>
    <t>MPM/NRT</t>
  </si>
  <si>
    <t>CGK/MUC</t>
  </si>
  <si>
    <t>MPM/CCU</t>
  </si>
  <si>
    <t>MPM/HGH</t>
  </si>
  <si>
    <t>MPM/EWR</t>
  </si>
  <si>
    <t>MPM/ESB</t>
  </si>
  <si>
    <t>MPM/BOS</t>
  </si>
  <si>
    <t>MPM/IAD</t>
  </si>
  <si>
    <t>MPM/MIA</t>
  </si>
  <si>
    <t>MPM/JFK</t>
  </si>
  <si>
    <t>MPM/BLR</t>
  </si>
  <si>
    <t>MPM/GOI</t>
  </si>
  <si>
    <t>MPM/CAI</t>
  </si>
  <si>
    <t>CGK/MDL</t>
  </si>
  <si>
    <t>MPM/WUH</t>
  </si>
  <si>
    <t>CGK/LAD</t>
  </si>
  <si>
    <t>CGK/SXR</t>
  </si>
  <si>
    <t>MPM/MCT</t>
  </si>
  <si>
    <t>MPM/BOM</t>
  </si>
  <si>
    <t>MPM/BLQ</t>
  </si>
  <si>
    <t>MPM/VCE</t>
  </si>
  <si>
    <t>MPM/BGY</t>
  </si>
  <si>
    <t>MPM/MXP</t>
  </si>
  <si>
    <t>MPM/KJT</t>
  </si>
  <si>
    <t>MPM/UPG</t>
  </si>
  <si>
    <t>MPM/IXZ</t>
  </si>
  <si>
    <t>MPM/IXB</t>
  </si>
  <si>
    <t>MPM/BUD</t>
  </si>
  <si>
    <t>MPM/MUC</t>
  </si>
  <si>
    <t>MPM/FRA</t>
  </si>
  <si>
    <t>MPM/TBS</t>
  </si>
  <si>
    <t>MPM/SCL</t>
  </si>
  <si>
    <t>MPM/VIE</t>
  </si>
  <si>
    <t>MPM/GYD</t>
  </si>
  <si>
    <t>NUR SULTAN</t>
  </si>
  <si>
    <t>KARAGANDA</t>
  </si>
  <si>
    <t>ALYRAU</t>
  </si>
  <si>
    <t>DEIR EZ</t>
  </si>
  <si>
    <t>KAMESHLI</t>
  </si>
  <si>
    <t>ANTALYA</t>
  </si>
  <si>
    <t>IZMIR</t>
  </si>
  <si>
    <t>DALAMAN</t>
  </si>
  <si>
    <t>MILAS</t>
  </si>
  <si>
    <t>SAMSUN</t>
  </si>
  <si>
    <t>DIYABAKIR</t>
  </si>
  <si>
    <t>ERZURUM</t>
  </si>
  <si>
    <t>KAYSERI</t>
  </si>
  <si>
    <t>HAZIANTEP</t>
  </si>
  <si>
    <t>KARS</t>
  </si>
  <si>
    <t>MAKATYA</t>
  </si>
  <si>
    <t>MPM/GZT</t>
  </si>
  <si>
    <t>MPM/DLM</t>
  </si>
  <si>
    <t>MPM/BEY</t>
  </si>
  <si>
    <t>MPM/KWJ</t>
  </si>
  <si>
    <t>MPM/SZF</t>
  </si>
  <si>
    <t>MPM/KSY</t>
  </si>
  <si>
    <t>MPM/RYK</t>
  </si>
  <si>
    <t>MPM/CHC</t>
  </si>
  <si>
    <t>MPM/KGF</t>
  </si>
  <si>
    <t>MPM/BKI</t>
  </si>
  <si>
    <t>MPM/MAN</t>
  </si>
  <si>
    <t>MPM/TSE</t>
  </si>
  <si>
    <t>MPM/LIS</t>
  </si>
  <si>
    <t>MPM/GUW</t>
  </si>
  <si>
    <t>MPM/SAW</t>
  </si>
  <si>
    <t>MPM/ERZ</t>
  </si>
  <si>
    <t>MPM/ASR</t>
  </si>
  <si>
    <t>MPM/MLX</t>
  </si>
  <si>
    <t>MPM/ADB</t>
  </si>
  <si>
    <t>MPM/KAC</t>
  </si>
  <si>
    <t>MPM/BJV</t>
  </si>
  <si>
    <t>MPM/LYP</t>
  </si>
  <si>
    <t>MPM/TAE</t>
  </si>
  <si>
    <t>MPM/AYT</t>
  </si>
  <si>
    <t>MPM/LTK</t>
  </si>
  <si>
    <t>MPM/AQI</t>
  </si>
  <si>
    <t>MPM/LHR</t>
  </si>
  <si>
    <t>MPM/CNX</t>
  </si>
  <si>
    <t>MPM/DEZ</t>
  </si>
  <si>
    <t>MPM/DIY</t>
  </si>
  <si>
    <t>MPM/IST</t>
  </si>
  <si>
    <t>MPM/KHH</t>
  </si>
  <si>
    <t>MPM/DVO</t>
  </si>
  <si>
    <t>MPM/AJF</t>
  </si>
  <si>
    <t>MPM/LGW</t>
  </si>
  <si>
    <t>MPM/PLX</t>
  </si>
  <si>
    <t>BAGOTVILLE</t>
  </si>
  <si>
    <t>UNITED STATES</t>
  </si>
  <si>
    <t>MANCHESTER</t>
  </si>
  <si>
    <t>PUERTO PLATA</t>
  </si>
  <si>
    <t>LA ROMANA</t>
  </si>
  <si>
    <t>SANTO DOMINGO</t>
  </si>
  <si>
    <t>PUNTA CANA</t>
  </si>
  <si>
    <t>EL CATEY</t>
  </si>
  <si>
    <t>DOMINICAN REPUBLIC</t>
  </si>
  <si>
    <t>CUBA</t>
  </si>
  <si>
    <t>VARADERO</t>
  </si>
  <si>
    <t>HOLGUIN</t>
  </si>
  <si>
    <t>CAYO LARGO DEL SUR</t>
  </si>
  <si>
    <t>SANTA CLARA</t>
  </si>
  <si>
    <t>CAYO COCO</t>
  </si>
  <si>
    <t>SANTIAGO DE CUBA</t>
  </si>
  <si>
    <t>CAMAGUEY</t>
  </si>
  <si>
    <t>PUERTO RICO</t>
  </si>
  <si>
    <t>SAN JUAN</t>
  </si>
  <si>
    <t>AGADILLA</t>
  </si>
  <si>
    <t>THE BAHAMAS</t>
  </si>
  <si>
    <t>NASSAU</t>
  </si>
  <si>
    <t>FREEPORT</t>
  </si>
  <si>
    <t>MARTINIQUE</t>
  </si>
  <si>
    <t>LE LAMENTIN</t>
  </si>
  <si>
    <t>PANAMA</t>
  </si>
  <si>
    <t>TOCUMEN</t>
  </si>
  <si>
    <t>BARRANQUILLA</t>
  </si>
  <si>
    <t>CALI</t>
  </si>
  <si>
    <t>BALTIMORE</t>
  </si>
  <si>
    <t>VALENCIA</t>
  </si>
  <si>
    <t>PORLAMAR</t>
  </si>
  <si>
    <t>MARCAIBO</t>
  </si>
  <si>
    <t>PARAMARIBO</t>
  </si>
  <si>
    <t>CAYENNE</t>
  </si>
  <si>
    <t>FRENCH GUIANA</t>
  </si>
  <si>
    <t>SURINAME</t>
  </si>
  <si>
    <t>ECUADOR</t>
  </si>
  <si>
    <t>QUITO</t>
  </si>
  <si>
    <t>GUAYAQUIL</t>
  </si>
  <si>
    <t>MANATA</t>
  </si>
  <si>
    <t>PERU</t>
  </si>
  <si>
    <t>LIMA</t>
  </si>
  <si>
    <t>AREQUIPA</t>
  </si>
  <si>
    <t>CUZCO</t>
  </si>
  <si>
    <t>TRUJILLO</t>
  </si>
  <si>
    <t>PUCALLPA</t>
  </si>
  <si>
    <t>PUERTO MONDONADO</t>
  </si>
  <si>
    <t>JULIACA</t>
  </si>
  <si>
    <t>AYACUCHO</t>
  </si>
  <si>
    <t>JUAJA</t>
  </si>
  <si>
    <t>IQUIQUE</t>
  </si>
  <si>
    <t>CALAMA</t>
  </si>
  <si>
    <t>USHUAIA</t>
  </si>
  <si>
    <t>MENDOZA</t>
  </si>
  <si>
    <t>CORDOBA</t>
  </si>
  <si>
    <t>SALTA</t>
  </si>
  <si>
    <t>MONTEVIDEO</t>
  </si>
  <si>
    <t>URUGUAY</t>
  </si>
  <si>
    <t>CUIDAD DEL ESTE</t>
  </si>
  <si>
    <t>BOLIVIA</t>
  </si>
  <si>
    <t>TARIJA</t>
  </si>
  <si>
    <t>SUCRE</t>
  </si>
  <si>
    <t>GREENLAND</t>
  </si>
  <si>
    <t>KANGERLUSSUAQ</t>
  </si>
  <si>
    <t>FUNCHAL</t>
  </si>
  <si>
    <t>SANTA MARIA</t>
  </si>
  <si>
    <t>PORTO SANTO</t>
  </si>
  <si>
    <t>PORTO</t>
  </si>
  <si>
    <t>MALAGA</t>
  </si>
  <si>
    <t>LAS PALMAS</t>
  </si>
  <si>
    <t>TENERIFE</t>
  </si>
  <si>
    <t>MPM/LIM</t>
  </si>
  <si>
    <t>MPM/ATA</t>
  </si>
  <si>
    <t>MPM/AQP</t>
  </si>
  <si>
    <t>MPM/CUZ</t>
  </si>
  <si>
    <t>MPM/PUQ</t>
  </si>
  <si>
    <t>MPM/IPC</t>
  </si>
  <si>
    <t>MPM/SRZ</t>
  </si>
  <si>
    <t>MPM/VVI</t>
  </si>
  <si>
    <t>MPM/CBB</t>
  </si>
  <si>
    <t>MPM/LPB</t>
  </si>
  <si>
    <t>COCHABAMBA</t>
  </si>
  <si>
    <t>SANTA CRUZ</t>
  </si>
  <si>
    <t>LA PAZ</t>
  </si>
  <si>
    <t>PUNTA ARENAS</t>
  </si>
  <si>
    <t>SANTA CRUZ DEL SIERRA</t>
  </si>
  <si>
    <t>MPM/VLN</t>
  </si>
  <si>
    <t>MPM/PMV</t>
  </si>
  <si>
    <t>MPM/MAR</t>
  </si>
  <si>
    <t>MPM/MVD</t>
  </si>
  <si>
    <t>MPM/OPO</t>
  </si>
  <si>
    <t>MPM/PTY</t>
  </si>
  <si>
    <t>MPM/UIO</t>
  </si>
  <si>
    <t>MPM/GYE</t>
  </si>
  <si>
    <t>MPM/PUJ</t>
  </si>
  <si>
    <t>MPM/SDQ</t>
  </si>
  <si>
    <t>MPM/POP</t>
  </si>
  <si>
    <t>MPM/CLO</t>
  </si>
  <si>
    <t>MPM/BWI</t>
  </si>
  <si>
    <t>MPM/PHL</t>
  </si>
  <si>
    <t>MPM/SFJ</t>
  </si>
  <si>
    <t>MPM/TER</t>
  </si>
  <si>
    <t>MPM/YKS</t>
  </si>
  <si>
    <t>MPM/BGR</t>
  </si>
  <si>
    <t>MPM/YYR</t>
  </si>
  <si>
    <t>MPM/KEF</t>
  </si>
  <si>
    <t>MPM/SJU</t>
  </si>
  <si>
    <t>MPM/MHT</t>
  </si>
  <si>
    <t>MPM/BDL</t>
  </si>
  <si>
    <t>MPM/PBI</t>
  </si>
  <si>
    <t>MPM/FPO</t>
  </si>
  <si>
    <t>MPM/NAS</t>
  </si>
  <si>
    <t>MPM/PBM</t>
  </si>
  <si>
    <t>MPM/TFS</t>
  </si>
  <si>
    <t>MPM/LPA</t>
  </si>
  <si>
    <t>MPM/AGP</t>
  </si>
  <si>
    <t>MPM/JAU</t>
  </si>
  <si>
    <t>MPM/AYP</t>
  </si>
  <si>
    <t>MPM/JUL</t>
  </si>
  <si>
    <t>MPM/PEM</t>
  </si>
  <si>
    <t>MPM/PCL</t>
  </si>
  <si>
    <t>MPM/BQN</t>
  </si>
  <si>
    <t>MPM/TRU</t>
  </si>
  <si>
    <t>MPM/HOG</t>
  </si>
  <si>
    <t>MPM/VRA</t>
  </si>
  <si>
    <t>MPM/MDE</t>
  </si>
  <si>
    <t>MPM/BAQ</t>
  </si>
  <si>
    <t>MPM/CJC</t>
  </si>
  <si>
    <t>MPM/IQQ</t>
  </si>
  <si>
    <t>MPM/YQX</t>
  </si>
  <si>
    <t>MPM/YBG</t>
  </si>
  <si>
    <t>MPM/BEL</t>
  </si>
  <si>
    <t>MPM/TJA</t>
  </si>
  <si>
    <t>MPM/SRE</t>
  </si>
  <si>
    <t>MPM/BRU</t>
  </si>
  <si>
    <t>MPM/NAJ</t>
  </si>
  <si>
    <t>MPM/PER</t>
  </si>
  <si>
    <t>MPM/EVN</t>
  </si>
  <si>
    <t>MPM/KBL</t>
  </si>
  <si>
    <t>MPM/USH</t>
  </si>
  <si>
    <t>MPM/SLA</t>
  </si>
  <si>
    <t>MPM/COR</t>
  </si>
  <si>
    <t>MPM/MDZ</t>
  </si>
  <si>
    <t>MPM/EZE</t>
  </si>
  <si>
    <t>MPM/CYO</t>
  </si>
  <si>
    <t>MPM/ADL</t>
  </si>
  <si>
    <t>MPM/AUA</t>
  </si>
  <si>
    <t>MPM/AVV</t>
  </si>
  <si>
    <t>MPM/AZS</t>
  </si>
  <si>
    <t>MPM/BGI</t>
  </si>
  <si>
    <t>MPM/BON</t>
  </si>
  <si>
    <t>MPM/CAY</t>
  </si>
  <si>
    <t>MPM/CBR</t>
  </si>
  <si>
    <t>MPM/CCC</t>
  </si>
  <si>
    <t>MPM/CMW</t>
  </si>
  <si>
    <t>MPM/CUR</t>
  </si>
  <si>
    <t>MPM/DOM</t>
  </si>
  <si>
    <t>MPM/DRW</t>
  </si>
  <si>
    <t>MPM/FDF</t>
  </si>
  <si>
    <t>MPM/GUM</t>
  </si>
  <si>
    <t>MPM/LRM</t>
  </si>
  <si>
    <t>MPM/MEC</t>
  </si>
  <si>
    <t>MPM/NOU</t>
  </si>
  <si>
    <t>MPM/POS</t>
  </si>
  <si>
    <t>MPM/PTP</t>
  </si>
  <si>
    <t>MPM/SCU</t>
  </si>
  <si>
    <t>MPM/SJO</t>
  </si>
  <si>
    <t>MPM/SNU</t>
  </si>
  <si>
    <t>MPM/FNC</t>
  </si>
  <si>
    <t>MPM/AGT</t>
  </si>
  <si>
    <t>MPM/DUS</t>
  </si>
  <si>
    <t>MPM/AUH</t>
  </si>
  <si>
    <t>MPM/CRK</t>
  </si>
  <si>
    <t>MPM/KHV</t>
  </si>
  <si>
    <t>MPM/STN</t>
  </si>
  <si>
    <t>MPM/VVO</t>
  </si>
  <si>
    <t>ADELAIDE</t>
  </si>
  <si>
    <t>GUAM</t>
  </si>
  <si>
    <t>HAGATNA</t>
  </si>
  <si>
    <t>GANDER</t>
  </si>
  <si>
    <t>GOOSE BAY</t>
  </si>
  <si>
    <t>AZORES</t>
  </si>
  <si>
    <t>LAJES</t>
  </si>
  <si>
    <t>BANGOR</t>
  </si>
  <si>
    <t>BARBADOS</t>
  </si>
  <si>
    <t>BRIDGETOWN</t>
  </si>
  <si>
    <t xml:space="preserve">DOMINICA </t>
  </si>
  <si>
    <t>DOUGLAS</t>
  </si>
  <si>
    <t>Country</t>
  </si>
  <si>
    <t>City/Airport</t>
  </si>
  <si>
    <t>Stars</t>
  </si>
  <si>
    <t>Duration</t>
  </si>
  <si>
    <t>Distance</t>
  </si>
  <si>
    <t>Punta Arenas - C.Ibanez del Campo</t>
  </si>
  <si>
    <t>Porto Santo - Airport</t>
  </si>
  <si>
    <t>Conakry - International</t>
  </si>
  <si>
    <t>Abbotsford - International</t>
  </si>
  <si>
    <t>Freetown - Metropolitan Area</t>
  </si>
  <si>
    <t>Argentines</t>
  </si>
  <si>
    <t>Ushuaia - Malvinas Argentinas</t>
  </si>
  <si>
    <t>Prince George - Airport</t>
  </si>
  <si>
    <t>Monrovia - Roberts Intl</t>
  </si>
  <si>
    <t>Kangerlussuaq</t>
  </si>
  <si>
    <t>Agadir - Al Massira</t>
  </si>
  <si>
    <t>Marrakech - Menara</t>
  </si>
  <si>
    <t>Casablanca - Mohammed V</t>
  </si>
  <si>
    <t>Porto - Francisco Sa Carneiro</t>
  </si>
  <si>
    <t>Rabat - Sale</t>
  </si>
  <si>
    <t>Yamoussoukro</t>
  </si>
  <si>
    <t>Santiago de Compostela</t>
  </si>
  <si>
    <t>Badajoz - Airport</t>
  </si>
  <si>
    <t>Tangier - Boukhalef Airport</t>
  </si>
  <si>
    <t>Reykjavik - Keflavik International</t>
  </si>
  <si>
    <t>Bobo Dioulasso</t>
  </si>
  <si>
    <t>Sevilla - Airport</t>
  </si>
  <si>
    <t>Fes - Saiss</t>
  </si>
  <si>
    <t>Errachidia - Moulay Ali Cherif</t>
  </si>
  <si>
    <t>Abidjan - Felix Houphouet-Boigny</t>
  </si>
  <si>
    <t>Shannon - International</t>
  </si>
  <si>
    <t>Valladolid - Airport</t>
  </si>
  <si>
    <t>Granada - Federico Garcia Lorca</t>
  </si>
  <si>
    <t>Nador - El Aroui</t>
  </si>
  <si>
    <t>Bechar - Boudghene B. Ali Lotfi</t>
  </si>
  <si>
    <t>Hao</t>
  </si>
  <si>
    <t>Whitehorse - Erik Nielsen Intl</t>
  </si>
  <si>
    <t>Almeria - Airport</t>
  </si>
  <si>
    <t>Oujda - Angads</t>
  </si>
  <si>
    <t>Brest - Bretagne</t>
  </si>
  <si>
    <t>Vitoria - Airport</t>
  </si>
  <si>
    <t>Belfast - Metropolitan Area</t>
  </si>
  <si>
    <t>Adrar - Touat</t>
  </si>
  <si>
    <t>Oran - Metropolitan Area</t>
  </si>
  <si>
    <t>Zaragoza - Airport</t>
  </si>
  <si>
    <t>Accra - Kotoka Intl</t>
  </si>
  <si>
    <t>Valencia - Airport</t>
  </si>
  <si>
    <t>Glasgow - Prestwick</t>
  </si>
  <si>
    <t>Nantes - Atlantique</t>
  </si>
  <si>
    <t>Bordeaux - Merignac</t>
  </si>
  <si>
    <t>Lourdes/Tarbes - Pyrenees</t>
  </si>
  <si>
    <t>Tiaret - Bou Chekif</t>
  </si>
  <si>
    <t>Lome - G. Eyadema Intl</t>
  </si>
  <si>
    <t>Nottingham - East Midlands</t>
  </si>
  <si>
    <t>Niamey - Diori Hamani Intl</t>
  </si>
  <si>
    <t>Doncaster/Sheffield - Robin Hood</t>
  </si>
  <si>
    <t>In Salah</t>
  </si>
  <si>
    <t>El Golea</t>
  </si>
  <si>
    <t>Laghouat - L'Mekrareg</t>
  </si>
  <si>
    <t>Chateauroux - Deols</t>
  </si>
  <si>
    <t>Hassi R'mel - Tilrempt</t>
  </si>
  <si>
    <t>Manston - Kent International</t>
  </si>
  <si>
    <t>Ghardaia - Noumerat</t>
  </si>
  <si>
    <t>Clermont-Ferrand - Auvergne</t>
  </si>
  <si>
    <t>Oostende/Brugge - Airport</t>
  </si>
  <si>
    <t>Lille - Lesquin</t>
  </si>
  <si>
    <t>Paris - Chalons-Vatry</t>
  </si>
  <si>
    <t>Ouargla - Ain el Beida</t>
  </si>
  <si>
    <t>Tamanrasset - Aguenar</t>
  </si>
  <si>
    <t>Biskra - Mohamed Khider</t>
  </si>
  <si>
    <t>Lyon - Grenoble-Isere</t>
  </si>
  <si>
    <t>Touggourt - Sidi Mahdi</t>
  </si>
  <si>
    <t>Hassi Messaoud - Oued Irara</t>
  </si>
  <si>
    <t>United States of America</t>
  </si>
  <si>
    <t>Fairbanks - Metropolitan Area</t>
  </si>
  <si>
    <t>Batna - Mostepha Ben Boulaid</t>
  </si>
  <si>
    <t>Liege - Airport</t>
  </si>
  <si>
    <t>Eindhoven - Airport</t>
  </si>
  <si>
    <t>Anchorage - Metropolitan Area</t>
  </si>
  <si>
    <t>Constantine - Mohamed Boudiaf</t>
  </si>
  <si>
    <t>El Oued - Guemar</t>
  </si>
  <si>
    <t>Metz/Nancy - Lorraine</t>
  </si>
  <si>
    <t>Tahiti - Faaa</t>
  </si>
  <si>
    <t>Bergen - Flesland</t>
  </si>
  <si>
    <t>Annaba - Rabah Bitat</t>
  </si>
  <si>
    <t>Turin - Caselle</t>
  </si>
  <si>
    <t>Saarbruecken - Zweibruecken</t>
  </si>
  <si>
    <t>Basel/Mulhouse - EuroAirport Swiss</t>
  </si>
  <si>
    <t>Mulhouse/Basel - EuroAirport French FR</t>
  </si>
  <si>
    <t>Tozeur - Nefta</t>
  </si>
  <si>
    <t>Tebessa - Cheikh Larbi Tebessi</t>
  </si>
  <si>
    <t>Alghero - Fertilia</t>
  </si>
  <si>
    <t>Kaduna</t>
  </si>
  <si>
    <t>Karlsruhe/Baden-Baden - Baden Airpark</t>
  </si>
  <si>
    <t>Abuja - Nnamdi Azikiwe Intl</t>
  </si>
  <si>
    <t>Port Harcourt - International</t>
  </si>
  <si>
    <t>Gafsa - Ksar</t>
  </si>
  <si>
    <t>Illizi - Takhamalt</t>
  </si>
  <si>
    <t>Tabarka - Ain Draham</t>
  </si>
  <si>
    <t>Genoa - Cristoforo Colombo</t>
  </si>
  <si>
    <t>Hilo - International</t>
  </si>
  <si>
    <t>Cagliari - Elmas</t>
  </si>
  <si>
    <t>Karup - Midtjyllands</t>
  </si>
  <si>
    <t>Hannover - Airport</t>
  </si>
  <si>
    <t>Djanet - Tiska</t>
  </si>
  <si>
    <t>In Amenas - Zarzaitine</t>
  </si>
  <si>
    <t>Kona - Keahole</t>
  </si>
  <si>
    <t>Memmingen - Allgaeu Airport</t>
  </si>
  <si>
    <t>Tunis - Carthage</t>
  </si>
  <si>
    <t>Verona - Brescia/Montichiari</t>
  </si>
  <si>
    <t>Pisa - Galileo Galilei</t>
  </si>
  <si>
    <t>Enfidha - Hammamet</t>
  </si>
  <si>
    <t>Oslo - Sandefjord-Torp</t>
  </si>
  <si>
    <t>Aarhus - Airport</t>
  </si>
  <si>
    <t>Verona - Metropolitan Area</t>
  </si>
  <si>
    <t>Sfax - Thyna</t>
  </si>
  <si>
    <t>Monastir - Habib Bourguiba Intl</t>
  </si>
  <si>
    <t>Malabo - International</t>
  </si>
  <si>
    <t>Djerba - Zarsis</t>
  </si>
  <si>
    <t>Bologna - Guglielmo Marconi</t>
  </si>
  <si>
    <t>Trondheim - Vaernes</t>
  </si>
  <si>
    <t>Leipzig/Halle - Airport</t>
  </si>
  <si>
    <t>Goteborg - Metropolitan Area</t>
  </si>
  <si>
    <t>Cameroun</t>
  </si>
  <si>
    <t>Douala - International</t>
  </si>
  <si>
    <t>Libreville - Leon M'ba Intl</t>
  </si>
  <si>
    <t>Rimini - Miramare</t>
  </si>
  <si>
    <t>Malmo - Airport</t>
  </si>
  <si>
    <t>Berlin - Schoenefeld</t>
  </si>
  <si>
    <t>Trieste - Ronchi dei Legionari</t>
  </si>
  <si>
    <t>Ancona - Falconara</t>
  </si>
  <si>
    <t>Palermo - Punta Raisi</t>
  </si>
  <si>
    <t>Dresden - Airport</t>
  </si>
  <si>
    <t>Tripoli - International</t>
  </si>
  <si>
    <t>Linz - Blue Danube</t>
  </si>
  <si>
    <t>Ljubljana - Joze Pucnik</t>
  </si>
  <si>
    <t>Harstad/Narvik - Evenes</t>
  </si>
  <si>
    <t>Yaounde - Nsimalen Intl</t>
  </si>
  <si>
    <t>Malta - Luqa International</t>
  </si>
  <si>
    <t>Graz - Airport</t>
  </si>
  <si>
    <t>Yola</t>
  </si>
  <si>
    <t>Stockholm - Skavsta</t>
  </si>
  <si>
    <t>Zagreb - Franjo Tudman</t>
  </si>
  <si>
    <t>Stockholm - Arlanda</t>
  </si>
  <si>
    <t>Garoua - International</t>
  </si>
  <si>
    <t>Bratislava - M.R. Stefanik</t>
  </si>
  <si>
    <t>Gdansk - Lech Walesa</t>
  </si>
  <si>
    <t>Ostrava - Leos Janacek</t>
  </si>
  <si>
    <t>Lulea - Kallax</t>
  </si>
  <si>
    <t>Katowice - Pyrzowice</t>
  </si>
  <si>
    <t>Lakselv - Banak</t>
  </si>
  <si>
    <t>N'Djamena - Hassan Djamous Intl</t>
  </si>
  <si>
    <t>Luanda - 4 de Fevereiro</t>
  </si>
  <si>
    <t>Catumbela</t>
  </si>
  <si>
    <t>Belgrade - Metropolitan Area</t>
  </si>
  <si>
    <t>Kosice</t>
  </si>
  <si>
    <t>Lubango - Mukanka</t>
  </si>
  <si>
    <t>Siauliai - International</t>
  </si>
  <si>
    <t>Rzeszow - Jasionka</t>
  </si>
  <si>
    <t>Tallinn - Lennart Meri</t>
  </si>
  <si>
    <t>Riga - International</t>
  </si>
  <si>
    <t>Timisoara - Traian Vuia</t>
  </si>
  <si>
    <t>Brazzaville - Maya-Maya Airport</t>
  </si>
  <si>
    <t>Kaunas - International</t>
  </si>
  <si>
    <t>Democratic Republic of the Congo</t>
  </si>
  <si>
    <t>Kinshasa - Metropolitan Area</t>
  </si>
  <si>
    <t>Preveza/Lefkada - Aktion</t>
  </si>
  <si>
    <t>Benghazi - Benina Intl</t>
  </si>
  <si>
    <t>Patrai - Araxos</t>
  </si>
  <si>
    <t>Kalamata</t>
  </si>
  <si>
    <t>Sibiu</t>
  </si>
  <si>
    <t>Volos - Nea Anchialos</t>
  </si>
  <si>
    <t>Ondjiva</t>
  </si>
  <si>
    <t>St Petersburg - Metropolitan Area</t>
  </si>
  <si>
    <t>Minsk - Metropolitan Area</t>
  </si>
  <si>
    <t>Kavala - Megas Alexandros</t>
  </si>
  <si>
    <t>Skyros</t>
  </si>
  <si>
    <t>Anadyr - Ugolny</t>
  </si>
  <si>
    <t>Bucharest - Henri Coanda</t>
  </si>
  <si>
    <t>Chania - Ioannis Daskalogiannis</t>
  </si>
  <si>
    <t>Menongue</t>
  </si>
  <si>
    <t>Limnos</t>
  </si>
  <si>
    <t>Windhoek - Metropolitan Area</t>
  </si>
  <si>
    <t>Burgas</t>
  </si>
  <si>
    <t>Chisinau - International</t>
  </si>
  <si>
    <t>Constanta - Mihail Kogalniceanu</t>
  </si>
  <si>
    <t>Kyiv - Boryspil Intl</t>
  </si>
  <si>
    <t>Tekirdag - Corlu</t>
  </si>
  <si>
    <t>Izmir - Adnan Menderes</t>
  </si>
  <si>
    <t>Saurimo</t>
  </si>
  <si>
    <t>Bodrum - Milas</t>
  </si>
  <si>
    <t>Odesa - International</t>
  </si>
  <si>
    <t>Rhodes - Diagoras</t>
  </si>
  <si>
    <t>Bursa - Yenisehir</t>
  </si>
  <si>
    <t>Denizli - Cardak</t>
  </si>
  <si>
    <t>Isparta - Suleyman Demirel</t>
  </si>
  <si>
    <t>Dnipropetrovsk - International</t>
  </si>
  <si>
    <t>Simferopol - International</t>
  </si>
  <si>
    <t>Alexandria - Borg el Arab</t>
  </si>
  <si>
    <t>Ankara - Esenboga</t>
  </si>
  <si>
    <t>Kisangani - Bangoka Intl</t>
  </si>
  <si>
    <t>Pago Pago - International</t>
  </si>
  <si>
    <t>Nizhny Novgorod - Strigino</t>
  </si>
  <si>
    <t>Apia - Metropolitan Area</t>
  </si>
  <si>
    <t>Nevsehir - Kapadokya</t>
  </si>
  <si>
    <t>Asyut</t>
  </si>
  <si>
    <t>Amasya - Merzifon</t>
  </si>
  <si>
    <t>Kimberley</t>
  </si>
  <si>
    <t>Kayseri - Erkilet</t>
  </si>
  <si>
    <t>Samsun - Carsamba</t>
  </si>
  <si>
    <t>Gaborone - Sir Seretse Khama Intl</t>
  </si>
  <si>
    <t>Krasnodar - Pashkovsky</t>
  </si>
  <si>
    <t>El Arish - International</t>
  </si>
  <si>
    <t>Luxor - International</t>
  </si>
  <si>
    <t>Lubumbashi - Luano Intl</t>
  </si>
  <si>
    <t>Hatay</t>
  </si>
  <si>
    <t>Latakia - Bassel al Assad Intl</t>
  </si>
  <si>
    <t>Eilat - Ramon Airport</t>
  </si>
  <si>
    <t>Beirut - Rafic Hariri Intl</t>
  </si>
  <si>
    <t>Aswan - International</t>
  </si>
  <si>
    <t>Sochi - International</t>
  </si>
  <si>
    <t>Kazan - International</t>
  </si>
  <si>
    <t>Maseru - Moshoeshoe I Intl</t>
  </si>
  <si>
    <t>Taba - International</t>
  </si>
  <si>
    <t>Ovda - Airport</t>
  </si>
  <si>
    <t>Gaziantep - Oguzeli</t>
  </si>
  <si>
    <t>Malatya - Erhac</t>
  </si>
  <si>
    <t>Aleppo - International</t>
  </si>
  <si>
    <t>Aqaba - King Hussein Intl</t>
  </si>
  <si>
    <t>Ulyanovsk - Vostochny</t>
  </si>
  <si>
    <t>Johannesburg - Lanseria International</t>
  </si>
  <si>
    <t>Damascus - International</t>
  </si>
  <si>
    <t>Bujumbura - International</t>
  </si>
  <si>
    <t>Amman - Metropolitan Area</t>
  </si>
  <si>
    <t>Lusaka - International</t>
  </si>
  <si>
    <t>Marsa Alam - International</t>
  </si>
  <si>
    <t>Norilsk - Alykel</t>
  </si>
  <si>
    <t>Khartoum - International</t>
  </si>
  <si>
    <t>Kigali - International</t>
  </si>
  <si>
    <t>Samara - Kurumoch Int'l</t>
  </si>
  <si>
    <t>Perm - Bolshoye Savino</t>
  </si>
  <si>
    <t>Deir ez Zor</t>
  </si>
  <si>
    <t>Kamishly</t>
  </si>
  <si>
    <t>Magadan - Sokol</t>
  </si>
  <si>
    <t>Vladikavkaz - Beslan</t>
  </si>
  <si>
    <t>Kars</t>
  </si>
  <si>
    <t>Durban - Metropolitan Area</t>
  </si>
  <si>
    <t>Harare - Robert Gabriel Mugabe Airport</t>
  </si>
  <si>
    <t>Nelspruit - Kruger Mpumalanga Intl</t>
  </si>
  <si>
    <t>Entebbe - International</t>
  </si>
  <si>
    <t>Gyumri - Shirak</t>
  </si>
  <si>
    <t>Tbilisi - International</t>
  </si>
  <si>
    <t>Petropavlovsk - Yelizovo</t>
  </si>
  <si>
    <t>Yerevan - Zvartnots Intl</t>
  </si>
  <si>
    <t>Yanbu al Bahr</t>
  </si>
  <si>
    <t>Yekaterinburg - Koltsovo</t>
  </si>
  <si>
    <t>Nakchivan</t>
  </si>
  <si>
    <t>Surgut</t>
  </si>
  <si>
    <t>Lilongwe - Kamuzu Intl</t>
  </si>
  <si>
    <t>Chelyabinsk - Balandino</t>
  </si>
  <si>
    <t>Tyumen - Roshchino</t>
  </si>
  <si>
    <t>Eldoret - International</t>
  </si>
  <si>
    <t>Tabriz - International</t>
  </si>
  <si>
    <t>Irak</t>
  </si>
  <si>
    <t>Baghdad - International</t>
  </si>
  <si>
    <t>Aktobe</t>
  </si>
  <si>
    <t>Nadi - International</t>
  </si>
  <si>
    <t>Nairobi - Metropolitan Area</t>
  </si>
  <si>
    <t>Baku - Heydar Aliyev Intl</t>
  </si>
  <si>
    <t>Kilimanjaro - International</t>
  </si>
  <si>
    <t>Awasa</t>
  </si>
  <si>
    <t>Kermanshah - Shahid AshrafiEsfahani</t>
  </si>
  <si>
    <t>Al Baha - Al-Aqiq</t>
  </si>
  <si>
    <t>Mirny</t>
  </si>
  <si>
    <t>Christchurch - International</t>
  </si>
  <si>
    <t>Dawadmi - King Salman Abdulaziz</t>
  </si>
  <si>
    <t>Hambantota - SPB</t>
  </si>
  <si>
    <t>Qaisumah - Hafar al Batin</t>
  </si>
  <si>
    <t>Basrah - International</t>
  </si>
  <si>
    <t>Omsk - Tsentralny</t>
  </si>
  <si>
    <t>Dar es Salaam - Julius Nyerere Intl</t>
  </si>
  <si>
    <t>Mombasa - Moi International</t>
  </si>
  <si>
    <t>Tehran - Imam Khomeini Intl</t>
  </si>
  <si>
    <t>Hodeidah - International</t>
  </si>
  <si>
    <t>Wadi al Dawaser</t>
  </si>
  <si>
    <t>Djibouti - Ambouli Intl</t>
  </si>
  <si>
    <t>Sana'a - International</t>
  </si>
  <si>
    <t>Taizz - International</t>
  </si>
  <si>
    <t>Esfahan - Shahid Beheshti Intl</t>
  </si>
  <si>
    <t>Nur-Sultan - Nursultan Nazarbayev</t>
  </si>
  <si>
    <t>Novosibirsk - Tolmachevo</t>
  </si>
  <si>
    <t>Aden - International</t>
  </si>
  <si>
    <t>Dammam - King Fahd Intl</t>
  </si>
  <si>
    <t>Hofuf - Al-Ahsa</t>
  </si>
  <si>
    <t>Kemerovo</t>
  </si>
  <si>
    <t>Krasnoyarsk</t>
  </si>
  <si>
    <t>Sharurah</t>
  </si>
  <si>
    <t>Bahrain - International</t>
  </si>
  <si>
    <t>Shiraz - Shahid Dastghaib Intl</t>
  </si>
  <si>
    <t>Ashgabat - International</t>
  </si>
  <si>
    <t>Karaganda - Sary-Arka</t>
  </si>
  <si>
    <t>Moroni - Prince Said Ibrahim</t>
  </si>
  <si>
    <t>Yazd - Shahid Sadooghi</t>
  </si>
  <si>
    <t>Yuzhno-Sakhalinsk - Khomutovo</t>
  </si>
  <si>
    <t>Mogadishu - Aden Adde Intl</t>
  </si>
  <si>
    <t>Sayun - Airport</t>
  </si>
  <si>
    <t>Mashhad - Shahid Hashemi Nejad</t>
  </si>
  <si>
    <t>Semey</t>
  </si>
  <si>
    <t>Galcaio</t>
  </si>
  <si>
    <t>Mukalla - Riyan</t>
  </si>
  <si>
    <t>Bukhara - International</t>
  </si>
  <si>
    <t>Khabarovsk - Novy</t>
  </si>
  <si>
    <t>Kerman</t>
  </si>
  <si>
    <t>Noumea - Metropolitan Area</t>
  </si>
  <si>
    <t>Blagoveshchensk - Ignatyevo</t>
  </si>
  <si>
    <t>Bandar Abbas - International</t>
  </si>
  <si>
    <t>Antananarivo - Ivato Intl</t>
  </si>
  <si>
    <t>Dubai - Al Maktoum International Airport</t>
  </si>
  <si>
    <t>Sharjah - International</t>
  </si>
  <si>
    <t>Samarkand - International</t>
  </si>
  <si>
    <t>Ras al Khaimah - International</t>
  </si>
  <si>
    <t>Chita - Kadala</t>
  </si>
  <si>
    <t>Tashkent - International</t>
  </si>
  <si>
    <t>Al Ain - International</t>
  </si>
  <si>
    <t>Fujairah - International</t>
  </si>
  <si>
    <t>Ulan-Ude - Mukhino</t>
  </si>
  <si>
    <t>Bishkek - Manas Intl</t>
  </si>
  <si>
    <t>Zabol</t>
  </si>
  <si>
    <t>Salalah - Airport</t>
  </si>
  <si>
    <t>Dushanbe - International</t>
  </si>
  <si>
    <t>Mazar-e Sharif</t>
  </si>
  <si>
    <t>Manzhouli - Xijiao</t>
  </si>
  <si>
    <t>Almaty - International</t>
  </si>
  <si>
    <t>Muscat - International</t>
  </si>
  <si>
    <t>Khovd</t>
  </si>
  <si>
    <t>Socotra - Airport</t>
  </si>
  <si>
    <t>Harbin - Taiping Intl</t>
  </si>
  <si>
    <t>Vladivostok - Knevichi</t>
  </si>
  <si>
    <t>Sendai</t>
  </si>
  <si>
    <t>Kandahar - International</t>
  </si>
  <si>
    <t>Ulaanbaatar - Chinggis Khaan Intl</t>
  </si>
  <si>
    <t>Kabul - International</t>
  </si>
  <si>
    <t>Kashi</t>
  </si>
  <si>
    <t>Changchun - Longjia Intl</t>
  </si>
  <si>
    <t>Quetta - International</t>
  </si>
  <si>
    <t>Bayankhongor</t>
  </si>
  <si>
    <t>St-Denis - Roland Garros</t>
  </si>
  <si>
    <t>Korla</t>
  </si>
  <si>
    <t>Mahe Island - Seychelles Intl</t>
  </si>
  <si>
    <t>Islamabad - International</t>
  </si>
  <si>
    <t>Srinagar - Sheikh ul Alam</t>
  </si>
  <si>
    <t>Sydney - Metropolitan Area</t>
  </si>
  <si>
    <t>Mauritius - Sir S. Ramgoolam Intl</t>
  </si>
  <si>
    <t>Karachi - Jinnah Intl</t>
  </si>
  <si>
    <t>Faisalabad - International</t>
  </si>
  <si>
    <t>Rahim Yar Khan - Shaikh Zayed Intl</t>
  </si>
  <si>
    <t>Leh - Kushok Bakula Rimpoche</t>
  </si>
  <si>
    <t>Pyongyang - Sunan Intl</t>
  </si>
  <si>
    <t>Lahore - Allama Iqbal Intl</t>
  </si>
  <si>
    <t>Amritsar - Sri Guru Ram Dass Jee</t>
  </si>
  <si>
    <t>Hohhot - Baita Intl</t>
  </si>
  <si>
    <t>Beijing - Capital Intl</t>
  </si>
  <si>
    <t>Daegu - International</t>
  </si>
  <si>
    <t>Melbourne - Avalon</t>
  </si>
  <si>
    <t>Tianjin - Binhai Intl</t>
  </si>
  <si>
    <t>Kumamoto</t>
  </si>
  <si>
    <t>Muan - International</t>
  </si>
  <si>
    <t>Shijiazhuang - Zhengding Intl</t>
  </si>
  <si>
    <t>Delhi - Indira Gandhi Intl</t>
  </si>
  <si>
    <t>Jaipur - International</t>
  </si>
  <si>
    <t>Yinchuan - Hedong</t>
  </si>
  <si>
    <t>Kagoshima</t>
  </si>
  <si>
    <t>Ahmedabad - S.VallabhBhai Patel</t>
  </si>
  <si>
    <t>Taiyuan - Wusu Intl</t>
  </si>
  <si>
    <t>Jinan - Yaoqiang Intl</t>
  </si>
  <si>
    <t>Zhongwei - Xiangshan</t>
  </si>
  <si>
    <t>Xining - Caojiabao</t>
  </si>
  <si>
    <t>Yan'an - Nanniwan</t>
  </si>
  <si>
    <t>Lanzhou - Zhongchuan</t>
  </si>
  <si>
    <t>Guam - Metropolitan Area</t>
  </si>
  <si>
    <t>Jining - Qufu</t>
  </si>
  <si>
    <t>Mumbai - Chhatrapati S Maharaj</t>
  </si>
  <si>
    <t>Xuzhou - Guanyin</t>
  </si>
  <si>
    <t>Yuncheng - Guangong</t>
  </si>
  <si>
    <t>Tianshui - Maijishan</t>
  </si>
  <si>
    <t>Changzhou - Benniu</t>
  </si>
  <si>
    <t>Shanghai - Pudong Intl</t>
  </si>
  <si>
    <t>Shanghai - Metropolitan Area</t>
  </si>
  <si>
    <t>Wuxi - Sunan Shuofang</t>
  </si>
  <si>
    <t>Cairns - International</t>
  </si>
  <si>
    <t>Kathmandu - Tribhuvan Intl</t>
  </si>
  <si>
    <t>Hefei - Xinqiao Intl</t>
  </si>
  <si>
    <t>Jiuzhaigou - Jiuzhai Huanglong</t>
  </si>
  <si>
    <t>Goa - Dabolim</t>
  </si>
  <si>
    <t>Ningbo - Lishe Intl</t>
  </si>
  <si>
    <t>Lhasa Gonggar</t>
  </si>
  <si>
    <t>Nagpur - Dr.Ambedkar Intl</t>
  </si>
  <si>
    <t>Anqing - Tianzhushan</t>
  </si>
  <si>
    <t>Qamdo/Changdu - Bamda/Bangda</t>
  </si>
  <si>
    <t>Nyingchi/Linzhi - Mainling/Milin</t>
  </si>
  <si>
    <t>Wanzhou - Wuqiao</t>
  </si>
  <si>
    <t>Jiujiang - Lushan</t>
  </si>
  <si>
    <t>Nanchang - Changbei Intl</t>
  </si>
  <si>
    <t>Guwahati - Gopinath Bordoloi Intl</t>
  </si>
  <si>
    <t>Kozhikode - International</t>
  </si>
  <si>
    <t>Bengaluru - Kempegowda Intl</t>
  </si>
  <si>
    <t>Deqen - Shangri-La</t>
  </si>
  <si>
    <t>Fuzhou - Changle Intl</t>
  </si>
  <si>
    <t>Xichang - Qingshan</t>
  </si>
  <si>
    <t>Sylhet - Osmani Intl</t>
  </si>
  <si>
    <t>Kochi - International</t>
  </si>
  <si>
    <t>Dhaka - Hazrat Shahjalal Intl</t>
  </si>
  <si>
    <t>Kolkata - Subhas Chandra Bose</t>
  </si>
  <si>
    <t>Thiruvananthapuram - International</t>
  </si>
  <si>
    <t>Panzhihua - Bao'angong</t>
  </si>
  <si>
    <t>Guiyang - Longdongbao Intl</t>
  </si>
  <si>
    <t>Chittagong - Shah Amanat Intl</t>
  </si>
  <si>
    <t>Kaohsiung - International</t>
  </si>
  <si>
    <t>Guilin - Liangjiang Intl</t>
  </si>
  <si>
    <t>Colombo - Metropolitan Area</t>
  </si>
  <si>
    <t>Macau - International</t>
  </si>
  <si>
    <t>Zhuhai - Sanzao Intl</t>
  </si>
  <si>
    <t>Laoag - International</t>
  </si>
  <si>
    <t>Beihai - Fucheng</t>
  </si>
  <si>
    <t>Hanoi - Noi Bai Intl</t>
  </si>
  <si>
    <t>Chiang Rai - Mae Fah Luang Intl</t>
  </si>
  <si>
    <t>Haikou - Meilan Intl</t>
  </si>
  <si>
    <t>Chiang Mai - International</t>
  </si>
  <si>
    <t>Angeles/Mabalacat - Clark Intl</t>
  </si>
  <si>
    <t>Yangon - International</t>
  </si>
  <si>
    <t>Manila - Metropolitan Area</t>
  </si>
  <si>
    <t>Darwin - International</t>
  </si>
  <si>
    <t>Sanya - Phoenix Intl</t>
  </si>
  <si>
    <t>Vientiane - Wattay Intl</t>
  </si>
  <si>
    <t>Cebu - Mactan International</t>
  </si>
  <si>
    <t>Davao - Francisco Bangoy Intl</t>
  </si>
  <si>
    <t>Port Blair - Veer Savarkar Intl</t>
  </si>
  <si>
    <t>Da Nang - International</t>
  </si>
  <si>
    <t>General Santos - International</t>
  </si>
  <si>
    <t>Bangkok - Don Mueang Int'l</t>
  </si>
  <si>
    <t>Derby - RAAF Curtin</t>
  </si>
  <si>
    <t>U-Tapao - Rayong-Pattaya Intl</t>
  </si>
  <si>
    <t>Buon Ma Thuot</t>
  </si>
  <si>
    <t>Nha Trang - Cam Ranh Intl</t>
  </si>
  <si>
    <t>Phnom Penh - International</t>
  </si>
  <si>
    <t>Phuket - International</t>
  </si>
  <si>
    <t>Kota Kinabalu - International</t>
  </si>
  <si>
    <t>Hat Yai - International</t>
  </si>
  <si>
    <t>Langkawi - International</t>
  </si>
  <si>
    <t>Bandar Seri Begawan - Brunei International</t>
  </si>
  <si>
    <t>Penang - International</t>
  </si>
  <si>
    <t>Makassar - Sultan Hasanuddin</t>
  </si>
  <si>
    <t>Kuala Terengganu - Sultan Mahmud</t>
  </si>
  <si>
    <t>Kuala Lumpur - Sultan Abdul Aziz Shah</t>
  </si>
  <si>
    <t>Kuantan - Sultan Haji Ahmad Shah</t>
  </si>
  <si>
    <t>Sibu</t>
  </si>
  <si>
    <t>Johor Bahru - Senai Intl</t>
  </si>
  <si>
    <t>Batam - Hang Nadim</t>
  </si>
  <si>
    <t>Jakarta - Halim Perdanakusuma</t>
  </si>
  <si>
    <t>CGK/TIN</t>
  </si>
  <si>
    <t>CGK/ASK</t>
  </si>
  <si>
    <t>CGK/BOY</t>
  </si>
  <si>
    <t>CGK/ERH</t>
  </si>
  <si>
    <t>CGK/CBH</t>
  </si>
  <si>
    <t>CGK/HOI</t>
  </si>
  <si>
    <t>CGK/VIT</t>
  </si>
  <si>
    <t>CGK/AZR</t>
  </si>
  <si>
    <t>CGK/CAL</t>
  </si>
  <si>
    <t>CGK/TMX</t>
  </si>
  <si>
    <t>CGK/TID</t>
  </si>
  <si>
    <t>CGK/INZ</t>
  </si>
  <si>
    <t>CGK/ELG</t>
  </si>
  <si>
    <t>CGK/LOO</t>
  </si>
  <si>
    <t>CGK/CHR</t>
  </si>
  <si>
    <t>CGK/HRM</t>
  </si>
  <si>
    <t>CGK/MSE</t>
  </si>
  <si>
    <t>CGK/GHA</t>
  </si>
  <si>
    <t>CGK/XCR</t>
  </si>
  <si>
    <t>CGK/OGX</t>
  </si>
  <si>
    <t>CGK/BSK</t>
  </si>
  <si>
    <t>CGK/TGR</t>
  </si>
  <si>
    <t>CGK/ELU</t>
  </si>
  <si>
    <t>CGK/GAF</t>
  </si>
  <si>
    <t>CGK/VVZ</t>
  </si>
  <si>
    <t>CGK/TBJ</t>
  </si>
  <si>
    <t>CGK/DJG</t>
  </si>
  <si>
    <t>CGK/SFA</t>
  </si>
  <si>
    <t>CGK/YOL</t>
  </si>
  <si>
    <t>CGK/GOU</t>
  </si>
  <si>
    <t>CGK/LKL</t>
  </si>
  <si>
    <t>CGK/SQQ</t>
  </si>
  <si>
    <t>CGK/VOL</t>
  </si>
  <si>
    <t>CGK/OND</t>
  </si>
  <si>
    <t>CGK/SKU</t>
  </si>
  <si>
    <t>CGK/DYR</t>
  </si>
  <si>
    <t>CGK/SPP</t>
  </si>
  <si>
    <t>CGK/TEQ</t>
  </si>
  <si>
    <t>CGK/VHC</t>
  </si>
  <si>
    <t>CGK/YEI</t>
  </si>
  <si>
    <t>CGK/UYL</t>
  </si>
  <si>
    <t>CGK/ELF</t>
  </si>
  <si>
    <t>CGK/ISE</t>
  </si>
  <si>
    <t>CGK/UTN</t>
  </si>
  <si>
    <t>CGK/MZH</t>
  </si>
  <si>
    <t>CGK/KIM</t>
  </si>
  <si>
    <t>CGK/IKS</t>
  </si>
  <si>
    <t>CGK/AAC</t>
  </si>
  <si>
    <t>CGK/EBD</t>
  </si>
  <si>
    <t>CGK/MSU</t>
  </si>
  <si>
    <t>CGK/EJH</t>
  </si>
  <si>
    <t>CGK/TUI</t>
  </si>
  <si>
    <t>CGK/ULU</t>
  </si>
  <si>
    <t>CGK/DEZ</t>
  </si>
  <si>
    <t>CGK/KAC</t>
  </si>
  <si>
    <t>CGK/GDX</t>
  </si>
  <si>
    <t>CGK/LWN</t>
  </si>
  <si>
    <t>CGK/NAJ</t>
  </si>
  <si>
    <t>CGK/GUW</t>
  </si>
  <si>
    <t>CGK/EDL</t>
  </si>
  <si>
    <t>CGK/RAH</t>
  </si>
  <si>
    <t>CGK/DWD</t>
  </si>
  <si>
    <t>CGK/HBT</t>
  </si>
  <si>
    <t>CGK/HOD</t>
  </si>
  <si>
    <t>CGK/TAI</t>
  </si>
  <si>
    <t>CGK/HOF</t>
  </si>
  <si>
    <t>CGK/MGQ</t>
  </si>
  <si>
    <t>CGK/GXF</t>
  </si>
  <si>
    <t>CGK/ABA</t>
  </si>
  <si>
    <t>CGK/PLX</t>
  </si>
  <si>
    <t>CGK/GLK</t>
  </si>
  <si>
    <t>CGK/FJR</t>
  </si>
  <si>
    <t>CGK/ACZ</t>
  </si>
  <si>
    <t>CGK/HVD</t>
  </si>
  <si>
    <t>CGK/SCT</t>
  </si>
  <si>
    <t>CGK/BYN</t>
  </si>
  <si>
    <t>CGK/RYK</t>
  </si>
  <si>
    <t>CGK/MWX</t>
  </si>
  <si>
    <t>CGK/GOQ</t>
  </si>
  <si>
    <t>CGK/ZHY</t>
  </si>
  <si>
    <t>CGK/THQ</t>
  </si>
  <si>
    <t>CGK/AQG</t>
  </si>
  <si>
    <t>CGK/BPX</t>
  </si>
  <si>
    <t>CGK/JIU</t>
  </si>
  <si>
    <t>CGK/DCN</t>
  </si>
  <si>
    <t>CGK/UTP</t>
  </si>
  <si>
    <t>CGK/LEA</t>
  </si>
  <si>
    <t>CGK/PUQ</t>
  </si>
  <si>
    <t>CGK/PXO</t>
  </si>
  <si>
    <t>CGK/CKY</t>
  </si>
  <si>
    <t>CGK/YXX</t>
  </si>
  <si>
    <t>CGK/FNA</t>
  </si>
  <si>
    <t>CGK/USH</t>
  </si>
  <si>
    <t>CGK/YQQ</t>
  </si>
  <si>
    <t>CGK/YXS</t>
  </si>
  <si>
    <t>CGK/ROB</t>
  </si>
  <si>
    <t>CGK/SFJ</t>
  </si>
  <si>
    <t>CGK/OZZ</t>
  </si>
  <si>
    <t>CGK/RBA</t>
  </si>
  <si>
    <t>CGK/BJZ</t>
  </si>
  <si>
    <t>CGK/TNG</t>
  </si>
  <si>
    <t>CGK/FEZ</t>
  </si>
  <si>
    <t>CGK/ABJ</t>
  </si>
  <si>
    <t>CGK/VLL</t>
  </si>
  <si>
    <t>CGK/NDR</t>
  </si>
  <si>
    <t>CGK/OUA</t>
  </si>
  <si>
    <t>CGK/YXY</t>
  </si>
  <si>
    <t>CGK/LEI</t>
  </si>
  <si>
    <t>CGK/OUD</t>
  </si>
  <si>
    <t>CGK/BES</t>
  </si>
  <si>
    <t>CGK/ORN</t>
  </si>
  <si>
    <t>CGK/ZAZ</t>
  </si>
  <si>
    <t>CGK/ACC</t>
  </si>
  <si>
    <t>CGK/LDE</t>
  </si>
  <si>
    <t>CGK/LFW</t>
  </si>
  <si>
    <t>CGK/NIM</t>
  </si>
  <si>
    <t>CGK/DSA</t>
  </si>
  <si>
    <t>CGK/CFE</t>
  </si>
  <si>
    <t>CGK/OST</t>
  </si>
  <si>
    <t>CGK/LIL</t>
  </si>
  <si>
    <t>CGK/TMR</t>
  </si>
  <si>
    <t>CGK/GNB</t>
  </si>
  <si>
    <t>CGK/HME</t>
  </si>
  <si>
    <t>CGK/FAI</t>
  </si>
  <si>
    <t>CGK/BLJ</t>
  </si>
  <si>
    <t>CGK/LGG</t>
  </si>
  <si>
    <t>CGK/CZL</t>
  </si>
  <si>
    <t>CGK/ETZ</t>
  </si>
  <si>
    <t>CGK/AAE</t>
  </si>
  <si>
    <t>CGK/ZQW</t>
  </si>
  <si>
    <t>CGK/TOE</t>
  </si>
  <si>
    <t>CGK/TEE</t>
  </si>
  <si>
    <t>CGK/KAD</t>
  </si>
  <si>
    <t>CGK/FKB</t>
  </si>
  <si>
    <t>CGK/PHC</t>
  </si>
  <si>
    <t>CGK/KRP</t>
  </si>
  <si>
    <t>CGK/IAM</t>
  </si>
  <si>
    <t>CGK/FMM</t>
  </si>
  <si>
    <t>CGK/VBS</t>
  </si>
  <si>
    <t>CGK/NBE</t>
  </si>
  <si>
    <t>CGK/AAR</t>
  </si>
  <si>
    <t>CGK/SSG</t>
  </si>
  <si>
    <t>CGK/DLA</t>
  </si>
  <si>
    <t>CGK/LBV</t>
  </si>
  <si>
    <t>CGK/RMI</t>
  </si>
  <si>
    <t>CGK/SXF</t>
  </si>
  <si>
    <t>CGK/TRS</t>
  </si>
  <si>
    <t>CGK/AOI</t>
  </si>
  <si>
    <t>CGK/PUY</t>
  </si>
  <si>
    <t>CGK/LNZ</t>
  </si>
  <si>
    <t>CGK/EVE</t>
  </si>
  <si>
    <t>CGK/NSI</t>
  </si>
  <si>
    <t>CGK/GRZ</t>
  </si>
  <si>
    <t>CGK/OSR</t>
  </si>
  <si>
    <t>CGK/LLA</t>
  </si>
  <si>
    <t>CGK/NDJ</t>
  </si>
  <si>
    <t>CGK/RVN</t>
  </si>
  <si>
    <t>CGK/CBT</t>
  </si>
  <si>
    <t>CGK/KSC</t>
  </si>
  <si>
    <t>CGK/SDD</t>
  </si>
  <si>
    <t>CGK/RZE</t>
  </si>
  <si>
    <t>CGK/TSR</t>
  </si>
  <si>
    <t>CGK/BZV</t>
  </si>
  <si>
    <t>CGK/FIH</t>
  </si>
  <si>
    <t>CGK/PVK</t>
  </si>
  <si>
    <t>CGK/KUO</t>
  </si>
  <si>
    <t>CGK/BEN</t>
  </si>
  <si>
    <t>CGK/GPA</t>
  </si>
  <si>
    <t>CGK/KLX</t>
  </si>
  <si>
    <t>CGK/SBZ</t>
  </si>
  <si>
    <t>CGK/VPE</t>
  </si>
  <si>
    <t>CGK/MSQ</t>
  </si>
  <si>
    <t>CGK/KVA</t>
  </si>
  <si>
    <t>CGK/LXS</t>
  </si>
  <si>
    <t>CGK/WDH</t>
  </si>
  <si>
    <t>CGK/KIV</t>
  </si>
  <si>
    <t>CGK/CND</t>
  </si>
  <si>
    <t>CGK/DNZ</t>
  </si>
  <si>
    <t>CGK/SIP</t>
  </si>
  <si>
    <t>CGK/HBE</t>
  </si>
  <si>
    <t>CGK/FKI</t>
  </si>
  <si>
    <t>CGK/KYA</t>
  </si>
  <si>
    <t>CGK/PPG</t>
  </si>
  <si>
    <t>CGK/GOJ</t>
  </si>
  <si>
    <t>CGK/APW</t>
  </si>
  <si>
    <t>CGK/NAV</t>
  </si>
  <si>
    <t>CGK/ATZ</t>
  </si>
  <si>
    <t>CGK/ASR</t>
  </si>
  <si>
    <t>CGK/SZF</t>
  </si>
  <si>
    <t>CGK/GBE</t>
  </si>
  <si>
    <t>CGK/VAS</t>
  </si>
  <si>
    <t>CGK/ABS</t>
  </si>
  <si>
    <t>CGK/FBM</t>
  </si>
  <si>
    <t>CGK/HTY</t>
  </si>
  <si>
    <t>CGK/LTK</t>
  </si>
  <si>
    <t>CGK/ASW</t>
  </si>
  <si>
    <t>CGK/KZN</t>
  </si>
  <si>
    <t>CGK/TCP</t>
  </si>
  <si>
    <t>CGK/VDA</t>
  </si>
  <si>
    <t>CGK/GZT</t>
  </si>
  <si>
    <t>CGK/MLX</t>
  </si>
  <si>
    <t>CGK/AQJ</t>
  </si>
  <si>
    <t>CGK/ULY</t>
  </si>
  <si>
    <t>CGK/HLA</t>
  </si>
  <si>
    <t>CGK/BJM</t>
  </si>
  <si>
    <t>CGK/ERC</t>
  </si>
  <si>
    <t>CGK/RMF</t>
  </si>
  <si>
    <t>CGK/NSK</t>
  </si>
  <si>
    <t>CGK/KRT</t>
  </si>
  <si>
    <t>CGK/KGL</t>
  </si>
  <si>
    <t>CGK/KUF</t>
  </si>
  <si>
    <t>CGK/MRV</t>
  </si>
  <si>
    <t>CGK/URY</t>
  </si>
  <si>
    <t>CGK/PEE</t>
  </si>
  <si>
    <t>CGK/ERZ</t>
  </si>
  <si>
    <t>CGK/TUU</t>
  </si>
  <si>
    <t>CGK/DIY</t>
  </si>
  <si>
    <t>CGK/BAL</t>
  </si>
  <si>
    <t>CGK/MSR</t>
  </si>
  <si>
    <t>CGK/OGZ</t>
  </si>
  <si>
    <t>CGK/KSY</t>
  </si>
  <si>
    <t>CGK/MQP</t>
  </si>
  <si>
    <t>CGK/EBB</t>
  </si>
  <si>
    <t>CGK/UFA</t>
  </si>
  <si>
    <t>CGK/TBS</t>
  </si>
  <si>
    <t>CGK/MWZ</t>
  </si>
  <si>
    <t>CGK/PKC</t>
  </si>
  <si>
    <t>CGK/YNB</t>
  </si>
  <si>
    <t>CGK/AJF</t>
  </si>
  <si>
    <t>CGK/RAE</t>
  </si>
  <si>
    <t>CGK/SGC</t>
  </si>
  <si>
    <t>CGK/LLW</t>
  </si>
  <si>
    <t>CGK/TJM</t>
  </si>
  <si>
    <t>CGK/TBZ</t>
  </si>
  <si>
    <t>CGK/NJC</t>
  </si>
  <si>
    <t>CGK/HAS</t>
  </si>
  <si>
    <t>CGK/AKX</t>
  </si>
  <si>
    <t>CGK/YKS</t>
  </si>
  <si>
    <t>CGK/TIF</t>
  </si>
  <si>
    <t>CGK/JRO</t>
  </si>
  <si>
    <t>CGK/AWA</t>
  </si>
  <si>
    <t>CGK/KSH</t>
  </si>
  <si>
    <t>CGK/ABT</t>
  </si>
  <si>
    <t>CGK/ELQ</t>
  </si>
  <si>
    <t>CGK/MJZ</t>
  </si>
  <si>
    <t>CGK/BHH</t>
  </si>
  <si>
    <t>CGK/AQI</t>
  </si>
  <si>
    <t>CGK/GIZ</t>
  </si>
  <si>
    <t>CGK/BSR</t>
  </si>
  <si>
    <t>CGK/MBA</t>
  </si>
  <si>
    <t>CGK/WAE</t>
  </si>
  <si>
    <t>CGK/EAM</t>
  </si>
  <si>
    <t>CGK/JIB</t>
  </si>
  <si>
    <t>CGK/TSE</t>
  </si>
  <si>
    <t>CGK/ADE</t>
  </si>
  <si>
    <t>CGK/KEJ</t>
  </si>
  <si>
    <t>CGK/BBO</t>
  </si>
  <si>
    <t>CGK/KJA</t>
  </si>
  <si>
    <t>CGK/SHW</t>
  </si>
  <si>
    <t>CGK/ASB</t>
  </si>
  <si>
    <t>CGK/KGF</t>
  </si>
  <si>
    <t>CGK/AZD</t>
  </si>
  <si>
    <t>CGK/UUS</t>
  </si>
  <si>
    <t>CGK/RIY</t>
  </si>
  <si>
    <t>CGK/BHK</t>
  </si>
  <si>
    <t>CGK/KHV</t>
  </si>
  <si>
    <t>CGK/KER</t>
  </si>
  <si>
    <t>CGK/NOU</t>
  </si>
  <si>
    <t>CGK/BQS</t>
  </si>
  <si>
    <t>CGK/BND</t>
  </si>
  <si>
    <t>CGK/TNR</t>
  </si>
  <si>
    <t>CGK/SKD</t>
  </si>
  <si>
    <t>CGK/RKT</t>
  </si>
  <si>
    <t>CGK/HTA</t>
  </si>
  <si>
    <t>CGK/IKT</t>
  </si>
  <si>
    <t>CGK/AAN</t>
  </si>
  <si>
    <t>CGK/UUD</t>
  </si>
  <si>
    <t>CGK/FRU</t>
  </si>
  <si>
    <t>CGK/SLL</t>
  </si>
  <si>
    <t>CGK/DYU</t>
  </si>
  <si>
    <t>CGK/MZR</t>
  </si>
  <si>
    <t>CGK/NZH</t>
  </si>
  <si>
    <t>CGK/KDH</t>
  </si>
  <si>
    <t>CGK/ULN</t>
  </si>
  <si>
    <t>CGK/KHG</t>
  </si>
  <si>
    <t>CGK/UET</t>
  </si>
  <si>
    <t>CGK/KRL</t>
  </si>
  <si>
    <t>CGK/SEZ</t>
  </si>
  <si>
    <t>CGK/HTN</t>
  </si>
  <si>
    <t>CGK/LYP</t>
  </si>
  <si>
    <t>CGK/FNJ</t>
  </si>
  <si>
    <t>CGK/DNH</t>
  </si>
  <si>
    <t>CGK/TAE</t>
  </si>
  <si>
    <t>CGK/AVV</t>
  </si>
  <si>
    <t>CGK/ENY</t>
  </si>
  <si>
    <t>CGK/JNG</t>
  </si>
  <si>
    <t>CGK/XUZ</t>
  </si>
  <si>
    <t>CGK/YCU</t>
  </si>
  <si>
    <t>CGK/CZX</t>
  </si>
  <si>
    <t>CGK/LZY</t>
  </si>
  <si>
    <t>CGK/IXB</t>
  </si>
  <si>
    <t>CGK/WXN</t>
  </si>
  <si>
    <t>CGK/IXE</t>
  </si>
  <si>
    <t>CGK/DIG</t>
  </si>
  <si>
    <t>CGK/XIC</t>
  </si>
  <si>
    <t>CGK/ZYL</t>
  </si>
  <si>
    <t>CGK/PZI</t>
  </si>
  <si>
    <t>CGK/LAO</t>
  </si>
  <si>
    <t>CGK/BHY</t>
  </si>
  <si>
    <t>CGK/CEI</t>
  </si>
  <si>
    <t>CGK/CRK</t>
  </si>
  <si>
    <t>CGK/VTE</t>
  </si>
  <si>
    <t>CGK/IXZ</t>
  </si>
  <si>
    <t>CGK/GES</t>
  </si>
  <si>
    <t>CGK/BMV</t>
  </si>
  <si>
    <t>CGK/URT</t>
  </si>
  <si>
    <t>CGK/KBV</t>
  </si>
  <si>
    <t>CGK/LGK</t>
  </si>
  <si>
    <t>CGK/TGG</t>
  </si>
  <si>
    <t>CGK/SZB</t>
  </si>
  <si>
    <t>CGK/KUA</t>
  </si>
  <si>
    <t>CGK/SBW</t>
  </si>
  <si>
    <t>CGK/HLP</t>
  </si>
  <si>
    <t>CGK/AGA</t>
  </si>
  <si>
    <t>CGK/RAK</t>
  </si>
  <si>
    <t>CGK/OPO</t>
  </si>
  <si>
    <t>CGK/SCQ</t>
  </si>
  <si>
    <t>CGK/KEF</t>
  </si>
  <si>
    <t>CGK/SVQ</t>
  </si>
  <si>
    <t>CGK/SNN</t>
  </si>
  <si>
    <t>CGK/GRX</t>
  </si>
  <si>
    <t>CGK/BFS</t>
  </si>
  <si>
    <t>CGK/VLC</t>
  </si>
  <si>
    <t>CGK/PIK</t>
  </si>
  <si>
    <t>CGK/NTE</t>
  </si>
  <si>
    <t>CGK/BOD</t>
  </si>
  <si>
    <t>CGK/IBZ</t>
  </si>
  <si>
    <t>CGK/EMA</t>
  </si>
  <si>
    <t>CGK/EIN</t>
  </si>
  <si>
    <t>CGK/ANC</t>
  </si>
  <si>
    <t>CGK/LUX</t>
  </si>
  <si>
    <t>CGK/PPT</t>
  </si>
  <si>
    <t>CGK/BGO</t>
  </si>
  <si>
    <t>CGK/TRN</t>
  </si>
  <si>
    <t>CGK/BSL</t>
  </si>
  <si>
    <t>CGK/MLH</t>
  </si>
  <si>
    <t>CGK/AHO</t>
  </si>
  <si>
    <t>CGK/ABV</t>
  </si>
  <si>
    <t>CGK/GOA</t>
  </si>
  <si>
    <t>CGK/ITO</t>
  </si>
  <si>
    <t>CGK/CAG</t>
  </si>
  <si>
    <t>CGK/BLL</t>
  </si>
  <si>
    <t>CGK/HAJ</t>
  </si>
  <si>
    <t>CGK/KOA</t>
  </si>
  <si>
    <t>CGK/TUN</t>
  </si>
  <si>
    <t>CGK/PSA</t>
  </si>
  <si>
    <t>CGK/TRF</t>
  </si>
  <si>
    <t>CGK/VRN</t>
  </si>
  <si>
    <t>CGK/MIR</t>
  </si>
  <si>
    <t>CGK/DJE</t>
  </si>
  <si>
    <t>CGK/BLQ</t>
  </si>
  <si>
    <t>CGK/TRD</t>
  </si>
  <si>
    <t>CGK/LEJ</t>
  </si>
  <si>
    <t>CGK/GOT</t>
  </si>
  <si>
    <t>CGK/MMX</t>
  </si>
  <si>
    <t>CGK/PMO</t>
  </si>
  <si>
    <t>CGK/DRS</t>
  </si>
  <si>
    <t>CGK/BOO</t>
  </si>
  <si>
    <t>CGK/TIP</t>
  </si>
  <si>
    <t>CGK/LJU</t>
  </si>
  <si>
    <t>CGK/CDB</t>
  </si>
  <si>
    <t>CGK/MLA</t>
  </si>
  <si>
    <t>CGK/NYO</t>
  </si>
  <si>
    <t>CGK/ZAG</t>
  </si>
  <si>
    <t>CGK/ARN</t>
  </si>
  <si>
    <t>CGK/BTS</t>
  </si>
  <si>
    <t>CGK/GDN</t>
  </si>
  <si>
    <t>CGK/KTW</t>
  </si>
  <si>
    <t>CGK/BEG</t>
  </si>
  <si>
    <t>CGK/TLL</t>
  </si>
  <si>
    <t>CGK/RIX</t>
  </si>
  <si>
    <t>CGK/SOF</t>
  </si>
  <si>
    <t>CGK/OTP</t>
  </si>
  <si>
    <t>CGK/CHQ</t>
  </si>
  <si>
    <t>CGK/BOJ</t>
  </si>
  <si>
    <t>CGK/KBP</t>
  </si>
  <si>
    <t>CGK/ADB</t>
  </si>
  <si>
    <t>CGK/BJV</t>
  </si>
  <si>
    <t>CGK/ODS</t>
  </si>
  <si>
    <t>CGK/RHO</t>
  </si>
  <si>
    <t>CGK/DLM</t>
  </si>
  <si>
    <t>CGK/DNK</t>
  </si>
  <si>
    <t>CGK/ESB</t>
  </si>
  <si>
    <t>CGK/LCA</t>
  </si>
  <si>
    <t>CGK/KRR</t>
  </si>
  <si>
    <t>CGK/LXR</t>
  </si>
  <si>
    <t>CGK/BEY</t>
  </si>
  <si>
    <t>CGK/AER</t>
  </si>
  <si>
    <t>CGK/ALP</t>
  </si>
  <si>
    <t>CGK/DAM</t>
  </si>
  <si>
    <t>CGK/AMM</t>
  </si>
  <si>
    <t>CGK/DUR</t>
  </si>
  <si>
    <t>CGK/EVN</t>
  </si>
  <si>
    <t>CGK/SVX</t>
  </si>
  <si>
    <t>CGK/CEK</t>
  </si>
  <si>
    <t>CGK/NAN</t>
  </si>
  <si>
    <t>CGK/GYD</t>
  </si>
  <si>
    <t>CGK/CHC</t>
  </si>
  <si>
    <t>CGK/OMS</t>
  </si>
  <si>
    <t>CGK/DAR</t>
  </si>
  <si>
    <t>CGK/AWZ</t>
  </si>
  <si>
    <t>CGK/IKA</t>
  </si>
  <si>
    <t>CGK/SAH</t>
  </si>
  <si>
    <t>CGK/IFN</t>
  </si>
  <si>
    <t>CGK/OVB</t>
  </si>
  <si>
    <t>CGK/DMM</t>
  </si>
  <si>
    <t>CGK/BAH</t>
  </si>
  <si>
    <t>CGK/SYZ</t>
  </si>
  <si>
    <t>CGK/BAX</t>
  </si>
  <si>
    <t>CGK/MHD</t>
  </si>
  <si>
    <t>CGK/SHJ</t>
  </si>
  <si>
    <t>CGK/TAS</t>
  </si>
  <si>
    <t>CGK/HKD</t>
  </si>
  <si>
    <t>CGK/AOJ</t>
  </si>
  <si>
    <t>CGK/ALA</t>
  </si>
  <si>
    <t>CGK/MCT</t>
  </si>
  <si>
    <t>CGK/VVO</t>
  </si>
  <si>
    <t>CGK/SDJ</t>
  </si>
  <si>
    <t>CGK/KBL</t>
  </si>
  <si>
    <t>CGK/RUN</t>
  </si>
  <si>
    <t>CGK/MRU</t>
  </si>
  <si>
    <t>CGK/CBR</t>
  </si>
  <si>
    <t>CGK/HET</t>
  </si>
  <si>
    <t>CGK/OIT</t>
  </si>
  <si>
    <t>CGK/KWJ</t>
  </si>
  <si>
    <t>CGK/KMJ</t>
  </si>
  <si>
    <t>CGK/SJW</t>
  </si>
  <si>
    <t>CGK/NGS</t>
  </si>
  <si>
    <t>CGK/INC</t>
  </si>
  <si>
    <t>CGK/KOJ</t>
  </si>
  <si>
    <t>CGK/TYN</t>
  </si>
  <si>
    <t>CGK/XNN</t>
  </si>
  <si>
    <t>CGK/LHW</t>
  </si>
  <si>
    <t>CGK/GUM</t>
  </si>
  <si>
    <t>CGK/WUX</t>
  </si>
  <si>
    <t>CGK/CNS</t>
  </si>
  <si>
    <t>CGK/KTM</t>
  </si>
  <si>
    <t>CGK/HFE</t>
  </si>
  <si>
    <t>CGK/JZH</t>
  </si>
  <si>
    <t>CGK/NGB</t>
  </si>
  <si>
    <t>CGK/LXA</t>
  </si>
  <si>
    <t>CGK/NAG</t>
  </si>
  <si>
    <t>CGK/KHN</t>
  </si>
  <si>
    <t>CGK/FOC</t>
  </si>
  <si>
    <t>CGK/KWE</t>
  </si>
  <si>
    <t>CGK/CGP</t>
  </si>
  <si>
    <t>CGK/KHH</t>
  </si>
  <si>
    <t>CGK/KWL</t>
  </si>
  <si>
    <t>CGK/CMB</t>
  </si>
  <si>
    <t>CGK/MFM</t>
  </si>
  <si>
    <t>CGK/ZUH</t>
  </si>
  <si>
    <t>CGK/CNX</t>
  </si>
  <si>
    <t>CGK/DRW</t>
  </si>
  <si>
    <t>CGK/CEB</t>
  </si>
  <si>
    <t>CGK/DVO</t>
  </si>
  <si>
    <t>CGK/DAD</t>
  </si>
  <si>
    <t>CGK/BKI</t>
  </si>
  <si>
    <t>CGK/HDY</t>
  </si>
  <si>
    <t>CGK/BWN</t>
  </si>
  <si>
    <t>CGK/PEN</t>
  </si>
  <si>
    <t>CGK/UPG</t>
  </si>
  <si>
    <t>CGK/JHB</t>
  </si>
  <si>
    <t>CGK/BTH</t>
  </si>
  <si>
    <t>CGK/AGP</t>
  </si>
  <si>
    <t>CGK/ALC</t>
  </si>
  <si>
    <t>CGK/TLS</t>
  </si>
  <si>
    <t>CGK/MRS</t>
  </si>
  <si>
    <t>CGK/LYS</t>
  </si>
  <si>
    <t>CGK/BRU</t>
  </si>
  <si>
    <t>CGK/GVA</t>
  </si>
  <si>
    <t>CGK/NCE</t>
  </si>
  <si>
    <t>CGK/DUS</t>
  </si>
  <si>
    <t>CGK/CGN</t>
  </si>
  <si>
    <t>CGK/MXP</t>
  </si>
  <si>
    <t>CGK/STR</t>
  </si>
  <si>
    <t>CGK/BGY</t>
  </si>
  <si>
    <t>CGK/KAN</t>
  </si>
  <si>
    <t>CGK/HAM</t>
  </si>
  <si>
    <t>CGK/OSL</t>
  </si>
  <si>
    <t>CGK/VCE</t>
  </si>
  <si>
    <t>CGK/CPH</t>
  </si>
  <si>
    <t>CGK/TXL</t>
  </si>
  <si>
    <t>CGK/PRG</t>
  </si>
  <si>
    <t>CGK/BUD</t>
  </si>
  <si>
    <t>CGK/WAW</t>
  </si>
  <si>
    <t>CGK/HEL</t>
  </si>
  <si>
    <t>CGK/ATH</t>
  </si>
  <si>
    <t>CGK/BBU</t>
  </si>
  <si>
    <t>CGK/CPT</t>
  </si>
  <si>
    <t>CGK/SAW</t>
  </si>
  <si>
    <t>CGK/VKO</t>
  </si>
  <si>
    <t>CGK/AYT</t>
  </si>
  <si>
    <t>CGK/CAI</t>
  </si>
  <si>
    <t>CGK/TLV</t>
  </si>
  <si>
    <t>CGK/HRG</t>
  </si>
  <si>
    <t>CGK/SSH</t>
  </si>
  <si>
    <t>CGK/JNB</t>
  </si>
  <si>
    <t>CGK/MPM</t>
  </si>
  <si>
    <t>CGK/JED</t>
  </si>
  <si>
    <t>CGK/ADD</t>
  </si>
  <si>
    <t>CGK/AHB</t>
  </si>
  <si>
    <t>CGK/THR</t>
  </si>
  <si>
    <t>CGK/KWI</t>
  </si>
  <si>
    <t>CGK/DOH</t>
  </si>
  <si>
    <t>CGK/AUH</t>
  </si>
  <si>
    <t>CGK/CTS</t>
  </si>
  <si>
    <t>CGK/NGO</t>
  </si>
  <si>
    <t>CGK/ITM</t>
  </si>
  <si>
    <t>CGK/KIX</t>
  </si>
  <si>
    <t>CGK/GMP</t>
  </si>
  <si>
    <t>CGK/PUS</t>
  </si>
  <si>
    <t>CGK/FUK</t>
  </si>
  <si>
    <t>CGK/CJU</t>
  </si>
  <si>
    <t>CGK/CGO</t>
  </si>
  <si>
    <t>CGK/ADL</t>
  </si>
  <si>
    <t>CGK/OKA</t>
  </si>
  <si>
    <t>CGK/XMN</t>
  </si>
  <si>
    <t>CGK/PER</t>
  </si>
  <si>
    <t>CGK/KNO</t>
  </si>
  <si>
    <t>CGK/DPS</t>
  </si>
  <si>
    <t>CGK/SUB</t>
  </si>
  <si>
    <t>CGK/ORY</t>
  </si>
  <si>
    <t>CGK/CDG</t>
  </si>
  <si>
    <t>CGK/ZRH</t>
  </si>
  <si>
    <t>CGK/FRA</t>
  </si>
  <si>
    <t>CGK/DBV</t>
  </si>
  <si>
    <t>CGK/KUN</t>
  </si>
  <si>
    <t>CGK/ETM</t>
  </si>
  <si>
    <t>CGK/HRE</t>
  </si>
  <si>
    <t>CGK/DWC</t>
  </si>
  <si>
    <t>TIME</t>
  </si>
  <si>
    <t>SUM OF TIMES</t>
  </si>
  <si>
    <t>MPM/CXR</t>
  </si>
  <si>
    <t>MPM/GVA</t>
  </si>
  <si>
    <t>MPM/ZRH</t>
  </si>
  <si>
    <t>x</t>
  </si>
  <si>
    <t>X</t>
  </si>
  <si>
    <t>$ Per Plane</t>
  </si>
  <si>
    <t>SAVINGS - Total</t>
  </si>
  <si>
    <t>Savings / Plane</t>
  </si>
  <si>
    <t>PLANES TO ORDER -</t>
  </si>
  <si>
    <t>Asia</t>
  </si>
  <si>
    <t>AS</t>
  </si>
  <si>
    <t>AF</t>
  </si>
  <si>
    <t>AFG</t>
  </si>
  <si>
    <t>Europe</t>
  </si>
  <si>
    <t>EU</t>
  </si>
  <si>
    <t>AL</t>
  </si>
  <si>
    <t>Antarctica</t>
  </si>
  <si>
    <t>AN</t>
  </si>
  <si>
    <t>AQ</t>
  </si>
  <si>
    <t>Africa</t>
  </si>
  <si>
    <t>DZ</t>
  </si>
  <si>
    <t>Oceania</t>
  </si>
  <si>
    <t>OC</t>
  </si>
  <si>
    <t>AD</t>
  </si>
  <si>
    <t>AND</t>
  </si>
  <si>
    <t>AO</t>
  </si>
  <si>
    <t>AGO</t>
  </si>
  <si>
    <t>North America</t>
  </si>
  <si>
    <t>NA</t>
  </si>
  <si>
    <t>AG</t>
  </si>
  <si>
    <t>ATG</t>
  </si>
  <si>
    <t>AZ</t>
  </si>
  <si>
    <t>AZE</t>
  </si>
  <si>
    <t>South America</t>
  </si>
  <si>
    <t>SA</t>
  </si>
  <si>
    <t>AR</t>
  </si>
  <si>
    <t>ARG</t>
  </si>
  <si>
    <t>AU</t>
  </si>
  <si>
    <t>AT</t>
  </si>
  <si>
    <t>AUT</t>
  </si>
  <si>
    <t>BS</t>
  </si>
  <si>
    <t>BH</t>
  </si>
  <si>
    <t>BD</t>
  </si>
  <si>
    <t>BGD</t>
  </si>
  <si>
    <t>AM</t>
  </si>
  <si>
    <t>BB</t>
  </si>
  <si>
    <t>BRB</t>
  </si>
  <si>
    <t>BE</t>
  </si>
  <si>
    <t>BM</t>
  </si>
  <si>
    <t>BT</t>
  </si>
  <si>
    <t>BTN</t>
  </si>
  <si>
    <t>BO</t>
  </si>
  <si>
    <t>BOL</t>
  </si>
  <si>
    <t>BA</t>
  </si>
  <si>
    <t>BIH</t>
  </si>
  <si>
    <t>BW</t>
  </si>
  <si>
    <t>BV</t>
  </si>
  <si>
    <t>BVT</t>
  </si>
  <si>
    <t>BR</t>
  </si>
  <si>
    <t>BZ</t>
  </si>
  <si>
    <t>IO</t>
  </si>
  <si>
    <t>IOT</t>
  </si>
  <si>
    <t>SB</t>
  </si>
  <si>
    <t>SLB</t>
  </si>
  <si>
    <t>British Virgin Islands</t>
  </si>
  <si>
    <t>VG</t>
  </si>
  <si>
    <t>VGB</t>
  </si>
  <si>
    <t>BN</t>
  </si>
  <si>
    <t>BG</t>
  </si>
  <si>
    <t>MM</t>
  </si>
  <si>
    <t>MMR</t>
  </si>
  <si>
    <t>BI</t>
  </si>
  <si>
    <t>BDI</t>
  </si>
  <si>
    <t>BY</t>
  </si>
  <si>
    <t>KH</t>
  </si>
  <si>
    <t>KHM</t>
  </si>
  <si>
    <t>CM</t>
  </si>
  <si>
    <t>CMR</t>
  </si>
  <si>
    <t>CA</t>
  </si>
  <si>
    <t>CV</t>
  </si>
  <si>
    <t>Cayman Islands</t>
  </si>
  <si>
    <t>KY</t>
  </si>
  <si>
    <t>CYM</t>
  </si>
  <si>
    <t>CF</t>
  </si>
  <si>
    <t>CAF</t>
  </si>
  <si>
    <t>LK</t>
  </si>
  <si>
    <t>TD</t>
  </si>
  <si>
    <t>TCD</t>
  </si>
  <si>
    <t>CL</t>
  </si>
  <si>
    <t>CHL</t>
  </si>
  <si>
    <t>CN</t>
  </si>
  <si>
    <t>CHN</t>
  </si>
  <si>
    <t>TW</t>
  </si>
  <si>
    <t>TWN</t>
  </si>
  <si>
    <t>CX</t>
  </si>
  <si>
    <t>Cocos (Keeling) Islands</t>
  </si>
  <si>
    <t>CC</t>
  </si>
  <si>
    <t>CO</t>
  </si>
  <si>
    <t>COL</t>
  </si>
  <si>
    <t>KM</t>
  </si>
  <si>
    <t>COM</t>
  </si>
  <si>
    <t>YT</t>
  </si>
  <si>
    <t>CG</t>
  </si>
  <si>
    <t>CD</t>
  </si>
  <si>
    <t>CK</t>
  </si>
  <si>
    <t>CR</t>
  </si>
  <si>
    <t>HR</t>
  </si>
  <si>
    <t>HRV</t>
  </si>
  <si>
    <t>CU</t>
  </si>
  <si>
    <t>CUB</t>
  </si>
  <si>
    <t>CY</t>
  </si>
  <si>
    <t>CZ</t>
  </si>
  <si>
    <t>BJ</t>
  </si>
  <si>
    <t>DK</t>
  </si>
  <si>
    <t>DM</t>
  </si>
  <si>
    <t>DMA</t>
  </si>
  <si>
    <t>DO</t>
  </si>
  <si>
    <t>EC</t>
  </si>
  <si>
    <t>ECU</t>
  </si>
  <si>
    <t>SV</t>
  </si>
  <si>
    <t>GQ</t>
  </si>
  <si>
    <t>GNQ</t>
  </si>
  <si>
    <t>ET</t>
  </si>
  <si>
    <t>ER</t>
  </si>
  <si>
    <t>EE</t>
  </si>
  <si>
    <t>EST</t>
  </si>
  <si>
    <t>FO</t>
  </si>
  <si>
    <t>FK</t>
  </si>
  <si>
    <t>FLK</t>
  </si>
  <si>
    <t>South Georgia and the South Sandwich Islands</t>
  </si>
  <si>
    <t>GS</t>
  </si>
  <si>
    <t>FJ</t>
  </si>
  <si>
    <t>FJI</t>
  </si>
  <si>
    <t>FI</t>
  </si>
  <si>
    <t>FIN</t>
  </si>
  <si>
    <t>Åland Islands</t>
  </si>
  <si>
    <t>AX</t>
  </si>
  <si>
    <t>FR</t>
  </si>
  <si>
    <t>GF</t>
  </si>
  <si>
    <t>GUF</t>
  </si>
  <si>
    <t>PF</t>
  </si>
  <si>
    <t>PYF</t>
  </si>
  <si>
    <t>French Southern Territories</t>
  </si>
  <si>
    <t>TF</t>
  </si>
  <si>
    <t>ATF</t>
  </si>
  <si>
    <t>DJ</t>
  </si>
  <si>
    <t>DJI</t>
  </si>
  <si>
    <t>GA</t>
  </si>
  <si>
    <t>GAB</t>
  </si>
  <si>
    <t>GE</t>
  </si>
  <si>
    <t>GM</t>
  </si>
  <si>
    <t>PS</t>
  </si>
  <si>
    <t>DE</t>
  </si>
  <si>
    <t>DEU</t>
  </si>
  <si>
    <t>GH</t>
  </si>
  <si>
    <t>GI</t>
  </si>
  <si>
    <t>KI</t>
  </si>
  <si>
    <t>GR</t>
  </si>
  <si>
    <t>GRC</t>
  </si>
  <si>
    <t>GL</t>
  </si>
  <si>
    <t>GD</t>
  </si>
  <si>
    <t>GRD</t>
  </si>
  <si>
    <t>GP</t>
  </si>
  <si>
    <t>GLP</t>
  </si>
  <si>
    <t>GU</t>
  </si>
  <si>
    <t>GT</t>
  </si>
  <si>
    <t>GTM</t>
  </si>
  <si>
    <t>GN</t>
  </si>
  <si>
    <t>GIN</t>
  </si>
  <si>
    <t>GY</t>
  </si>
  <si>
    <t>GUY</t>
  </si>
  <si>
    <t>HT</t>
  </si>
  <si>
    <t>Heard Island and McDonald Islands</t>
  </si>
  <si>
    <t>HM</t>
  </si>
  <si>
    <t>HMD</t>
  </si>
  <si>
    <t>VA</t>
  </si>
  <si>
    <t>HN</t>
  </si>
  <si>
    <t>HK</t>
  </si>
  <si>
    <t>HU</t>
  </si>
  <si>
    <t>IS</t>
  </si>
  <si>
    <t>ISL</t>
  </si>
  <si>
    <t>IN</t>
  </si>
  <si>
    <t>ID</t>
  </si>
  <si>
    <t>IR</t>
  </si>
  <si>
    <t>IRN</t>
  </si>
  <si>
    <t>IQ</t>
  </si>
  <si>
    <t>IRQ</t>
  </si>
  <si>
    <t>IE</t>
  </si>
  <si>
    <t>IRL</t>
  </si>
  <si>
    <t>IL</t>
  </si>
  <si>
    <t>ISR</t>
  </si>
  <si>
    <t>IT</t>
  </si>
  <si>
    <t>ITA</t>
  </si>
  <si>
    <t>CI</t>
  </si>
  <si>
    <t>CIV</t>
  </si>
  <si>
    <t>JM</t>
  </si>
  <si>
    <t>JAM</t>
  </si>
  <si>
    <t>JP</t>
  </si>
  <si>
    <t>JPN</t>
  </si>
  <si>
    <t>KZ</t>
  </si>
  <si>
    <t>KAZ</t>
  </si>
  <si>
    <t>JO</t>
  </si>
  <si>
    <t>JOR</t>
  </si>
  <si>
    <t>KE</t>
  </si>
  <si>
    <t>KEN</t>
  </si>
  <si>
    <t>KP</t>
  </si>
  <si>
    <t>PRK</t>
  </si>
  <si>
    <t>KR</t>
  </si>
  <si>
    <t>KOR</t>
  </si>
  <si>
    <t>KW</t>
  </si>
  <si>
    <t>Kyrgyz Republic</t>
  </si>
  <si>
    <t>KG</t>
  </si>
  <si>
    <t>KGZ</t>
  </si>
  <si>
    <t>LA</t>
  </si>
  <si>
    <t>LB</t>
  </si>
  <si>
    <t>LBN</t>
  </si>
  <si>
    <t>LS</t>
  </si>
  <si>
    <t>LSO</t>
  </si>
  <si>
    <t>LV</t>
  </si>
  <si>
    <t>LVA</t>
  </si>
  <si>
    <t>LR</t>
  </si>
  <si>
    <t>LBR</t>
  </si>
  <si>
    <t>LY</t>
  </si>
  <si>
    <t>LBY</t>
  </si>
  <si>
    <t>LI</t>
  </si>
  <si>
    <t>LIE</t>
  </si>
  <si>
    <t>LT</t>
  </si>
  <si>
    <t>LTU</t>
  </si>
  <si>
    <t>LU</t>
  </si>
  <si>
    <t>MO</t>
  </si>
  <si>
    <t>MAC</t>
  </si>
  <si>
    <t>MG</t>
  </si>
  <si>
    <t>MW</t>
  </si>
  <si>
    <t>MWI</t>
  </si>
  <si>
    <t>MY</t>
  </si>
  <si>
    <t>MYS</t>
  </si>
  <si>
    <t>MV</t>
  </si>
  <si>
    <t>MDV</t>
  </si>
  <si>
    <t>ML</t>
  </si>
  <si>
    <t>MT</t>
  </si>
  <si>
    <t>MLT</t>
  </si>
  <si>
    <t>MQ</t>
  </si>
  <si>
    <t>MTQ</t>
  </si>
  <si>
    <t>MR</t>
  </si>
  <si>
    <t>MRT</t>
  </si>
  <si>
    <t>MU</t>
  </si>
  <si>
    <t>MUS</t>
  </si>
  <si>
    <t>MX</t>
  </si>
  <si>
    <t>MC</t>
  </si>
  <si>
    <t>MN</t>
  </si>
  <si>
    <t>MD</t>
  </si>
  <si>
    <t>MDA</t>
  </si>
  <si>
    <t>ME</t>
  </si>
  <si>
    <t>MNE</t>
  </si>
  <si>
    <t>MS</t>
  </si>
  <si>
    <t>MA</t>
  </si>
  <si>
    <t>MZ</t>
  </si>
  <si>
    <t>OM</t>
  </si>
  <si>
    <t>OMN</t>
  </si>
  <si>
    <t>NAM</t>
  </si>
  <si>
    <t>NR</t>
  </si>
  <si>
    <t>NRU</t>
  </si>
  <si>
    <t>NP</t>
  </si>
  <si>
    <t>NL</t>
  </si>
  <si>
    <t>ANT</t>
  </si>
  <si>
    <t>Curaçao</t>
  </si>
  <si>
    <t>CW</t>
  </si>
  <si>
    <t>AW</t>
  </si>
  <si>
    <t>ABW</t>
  </si>
  <si>
    <t>Sint Maarten (Netherlands)</t>
  </si>
  <si>
    <t>SX</t>
  </si>
  <si>
    <t>BQ</t>
  </si>
  <si>
    <t>NC</t>
  </si>
  <si>
    <t>VU</t>
  </si>
  <si>
    <t>VUT</t>
  </si>
  <si>
    <t>NZ</t>
  </si>
  <si>
    <t>NZL</t>
  </si>
  <si>
    <t>NI</t>
  </si>
  <si>
    <t>NE</t>
  </si>
  <si>
    <t>NG</t>
  </si>
  <si>
    <t>NGA</t>
  </si>
  <si>
    <t>NU</t>
  </si>
  <si>
    <t>NIU</t>
  </si>
  <si>
    <t>NF</t>
  </si>
  <si>
    <t>NFK</t>
  </si>
  <si>
    <t>NO</t>
  </si>
  <si>
    <t>NOR</t>
  </si>
  <si>
    <t>MP</t>
  </si>
  <si>
    <t>MNP</t>
  </si>
  <si>
    <t>United States Minor Outlying Islands</t>
  </si>
  <si>
    <t>UM</t>
  </si>
  <si>
    <t>UMI</t>
  </si>
  <si>
    <t>FM</t>
  </si>
  <si>
    <t>MH</t>
  </si>
  <si>
    <t>MHL</t>
  </si>
  <si>
    <t>PW</t>
  </si>
  <si>
    <t>PK</t>
  </si>
  <si>
    <t>PA</t>
  </si>
  <si>
    <t>PAN</t>
  </si>
  <si>
    <t>PG</t>
  </si>
  <si>
    <t>PNG</t>
  </si>
  <si>
    <t>PY</t>
  </si>
  <si>
    <t>PRY</t>
  </si>
  <si>
    <t>PE</t>
  </si>
  <si>
    <t>PH</t>
  </si>
  <si>
    <t>Pitcairn Islands</t>
  </si>
  <si>
    <t>PN</t>
  </si>
  <si>
    <t>PCN</t>
  </si>
  <si>
    <t>PL</t>
  </si>
  <si>
    <t>PT</t>
  </si>
  <si>
    <t>PRT</t>
  </si>
  <si>
    <t>GW</t>
  </si>
  <si>
    <t>TL</t>
  </si>
  <si>
    <t>PR</t>
  </si>
  <si>
    <t>QA</t>
  </si>
  <si>
    <t>QAT</t>
  </si>
  <si>
    <t>Reunion</t>
  </si>
  <si>
    <t>RE</t>
  </si>
  <si>
    <t>RO</t>
  </si>
  <si>
    <t>ROU</t>
  </si>
  <si>
    <t>RU</t>
  </si>
  <si>
    <t>RUS</t>
  </si>
  <si>
    <t>RW</t>
  </si>
  <si>
    <t>RWA</t>
  </si>
  <si>
    <t>Saint Barthelemy</t>
  </si>
  <si>
    <t>BL</t>
  </si>
  <si>
    <t>BLM</t>
  </si>
  <si>
    <t>Saint Helena</t>
  </si>
  <si>
    <t>SH</t>
  </si>
  <si>
    <t>SHN</t>
  </si>
  <si>
    <t>KN</t>
  </si>
  <si>
    <t>KNA</t>
  </si>
  <si>
    <t>AI</t>
  </si>
  <si>
    <t>LC</t>
  </si>
  <si>
    <t>Saint Martin</t>
  </si>
  <si>
    <t>MF</t>
  </si>
  <si>
    <t>PM</t>
  </si>
  <si>
    <t>SPM</t>
  </si>
  <si>
    <t>VC</t>
  </si>
  <si>
    <t>SM</t>
  </si>
  <si>
    <t>ST</t>
  </si>
  <si>
    <t>STP</t>
  </si>
  <si>
    <t>SAU</t>
  </si>
  <si>
    <t>SN</t>
  </si>
  <si>
    <t>RS</t>
  </si>
  <si>
    <t>SRB</t>
  </si>
  <si>
    <t>SC</t>
  </si>
  <si>
    <t>SYC</t>
  </si>
  <si>
    <t>SL</t>
  </si>
  <si>
    <t>SG</t>
  </si>
  <si>
    <t>SGP</t>
  </si>
  <si>
    <t>SK</t>
  </si>
  <si>
    <t>SVK</t>
  </si>
  <si>
    <t>VN</t>
  </si>
  <si>
    <t>VNM</t>
  </si>
  <si>
    <t>SI</t>
  </si>
  <si>
    <t>SVN</t>
  </si>
  <si>
    <t>SO</t>
  </si>
  <si>
    <t>SOM</t>
  </si>
  <si>
    <t>ZA</t>
  </si>
  <si>
    <t>ZAF</t>
  </si>
  <si>
    <t>ZW</t>
  </si>
  <si>
    <t>ZWE</t>
  </si>
  <si>
    <t>ES</t>
  </si>
  <si>
    <t>ESP</t>
  </si>
  <si>
    <t>South Sudan</t>
  </si>
  <si>
    <t>SS</t>
  </si>
  <si>
    <t>SSD</t>
  </si>
  <si>
    <t>Western Sahara</t>
  </si>
  <si>
    <t>EH</t>
  </si>
  <si>
    <t>ESH</t>
  </si>
  <si>
    <t>SD</t>
  </si>
  <si>
    <t>SDN</t>
  </si>
  <si>
    <t>SR</t>
  </si>
  <si>
    <t>Svalbard &amp; Jan Mayen Islands</t>
  </si>
  <si>
    <t>SJ</t>
  </si>
  <si>
    <t>SJM</t>
  </si>
  <si>
    <t>SZ</t>
  </si>
  <si>
    <t>SWZ</t>
  </si>
  <si>
    <t>SE</t>
  </si>
  <si>
    <t>SWE</t>
  </si>
  <si>
    <t>CH</t>
  </si>
  <si>
    <t>CHE</t>
  </si>
  <si>
    <t>SY</t>
  </si>
  <si>
    <t>TJ</t>
  </si>
  <si>
    <t>TJK</t>
  </si>
  <si>
    <t>TH</t>
  </si>
  <si>
    <t>THA</t>
  </si>
  <si>
    <t>TG</t>
  </si>
  <si>
    <t>Tokelau</t>
  </si>
  <si>
    <t>TK</t>
  </si>
  <si>
    <t>TKL</t>
  </si>
  <si>
    <t>TO</t>
  </si>
  <si>
    <t>TON</t>
  </si>
  <si>
    <t>TT</t>
  </si>
  <si>
    <t>TTO</t>
  </si>
  <si>
    <t>AE</t>
  </si>
  <si>
    <t>ARE</t>
  </si>
  <si>
    <t>TN</t>
  </si>
  <si>
    <t>TR</t>
  </si>
  <si>
    <t>TM</t>
  </si>
  <si>
    <t>TKM</t>
  </si>
  <si>
    <t>TC</t>
  </si>
  <si>
    <t>TV</t>
  </si>
  <si>
    <t>UG</t>
  </si>
  <si>
    <t>UA</t>
  </si>
  <si>
    <t>UKR</t>
  </si>
  <si>
    <t>MK</t>
  </si>
  <si>
    <t>MKD</t>
  </si>
  <si>
    <t>EG</t>
  </si>
  <si>
    <t>EGY</t>
  </si>
  <si>
    <t>GB</t>
  </si>
  <si>
    <t>GBR</t>
  </si>
  <si>
    <t>GG</t>
  </si>
  <si>
    <t>GGY</t>
  </si>
  <si>
    <t>JE</t>
  </si>
  <si>
    <t>JEY</t>
  </si>
  <si>
    <t>IM</t>
  </si>
  <si>
    <t>IMN</t>
  </si>
  <si>
    <t>TZ</t>
  </si>
  <si>
    <t>US</t>
  </si>
  <si>
    <t>USA</t>
  </si>
  <si>
    <t>United States Virgin Islands</t>
  </si>
  <si>
    <t>VI</t>
  </si>
  <si>
    <t>VIR</t>
  </si>
  <si>
    <t>BF</t>
  </si>
  <si>
    <t>BFA</t>
  </si>
  <si>
    <t>UY</t>
  </si>
  <si>
    <t>UZ</t>
  </si>
  <si>
    <t>UZB</t>
  </si>
  <si>
    <t>VE</t>
  </si>
  <si>
    <t>VEN</t>
  </si>
  <si>
    <t>WF</t>
  </si>
  <si>
    <t>WLF</t>
  </si>
  <si>
    <t>WS</t>
  </si>
  <si>
    <t>WSM</t>
  </si>
  <si>
    <t>YE</t>
  </si>
  <si>
    <t>YEM</t>
  </si>
  <si>
    <t>ZM</t>
  </si>
  <si>
    <t>ZMB</t>
  </si>
  <si>
    <t>Disputed Territory</t>
  </si>
  <si>
    <t>XX</t>
  </si>
  <si>
    <t>Iraq-Saudi Arabia Neutral Zone</t>
  </si>
  <si>
    <t>XE</t>
  </si>
  <si>
    <t>United Nations Neutral Zone</t>
  </si>
  <si>
    <t>XD</t>
  </si>
  <si>
    <t>Spratly Islands</t>
  </si>
  <si>
    <t>XS</t>
  </si>
  <si>
    <t>CONTINENT CODE</t>
  </si>
  <si>
    <t>COUNTRY NAME</t>
  </si>
  <si>
    <t>COUNTRY CODE 2</t>
  </si>
  <si>
    <t>COUNTRY CODE 3</t>
  </si>
  <si>
    <t>COUNTRY NUMBER</t>
  </si>
  <si>
    <t>CONTINENT NAME</t>
  </si>
  <si>
    <t>CONTINENT</t>
  </si>
  <si>
    <t>Cote d'Ivoire</t>
  </si>
  <si>
    <t>Palau</t>
  </si>
  <si>
    <t>Eritrea</t>
  </si>
  <si>
    <t>Andorra</t>
  </si>
  <si>
    <t>Bahamas</t>
  </si>
  <si>
    <t>Bouvet Island</t>
  </si>
  <si>
    <t>British Indian Ocean Territory</t>
  </si>
  <si>
    <t>Falkland Islands</t>
  </si>
  <si>
    <t>Holy See</t>
  </si>
  <si>
    <t>Liechtenstein</t>
  </si>
  <si>
    <t>Macao</t>
  </si>
  <si>
    <t>Macedonia</t>
  </si>
  <si>
    <t>Marshall Islands</t>
  </si>
  <si>
    <t>Monaco</t>
  </si>
  <si>
    <t>Palestinian Territory</t>
  </si>
  <si>
    <t>Sao Tome and Principe</t>
  </si>
  <si>
    <t>Swaziland</t>
  </si>
  <si>
    <t>Timor-Leste</t>
  </si>
  <si>
    <t>Rio Gallegos - Piloto N. Fernandez</t>
  </si>
  <si>
    <t>Mendoza - El Plumerillo</t>
  </si>
  <si>
    <t>San Luis - D. Cesar Raul Ojeda</t>
  </si>
  <si>
    <t>La Rioja - Captain V.A. Almonacid</t>
  </si>
  <si>
    <t>Cordoba - A.L.V. Taravella</t>
  </si>
  <si>
    <t>Salta - Martin M. de Guemes</t>
  </si>
  <si>
    <t>Tucuman - Benjamin Matienzo</t>
  </si>
  <si>
    <t>Jujuy - Gobernador H. Guzman</t>
  </si>
  <si>
    <t>Rosario - Islas Malvinas</t>
  </si>
  <si>
    <t>Buenos Aires - Ministro Pistarini</t>
  </si>
  <si>
    <t>Iguazu - Cataratas del Iguazu</t>
  </si>
  <si>
    <t>Aruba - Reina Beatrix</t>
  </si>
  <si>
    <t>Freeport - Grand Bahama Intl</t>
  </si>
  <si>
    <t>Nassau - Lynden Pindling Intl</t>
  </si>
  <si>
    <t>Bridgetown - Grantley Adams Intl</t>
  </si>
  <si>
    <t>Bermuda - L.F Wade International</t>
  </si>
  <si>
    <t>La Paz - El Alto Intl</t>
  </si>
  <si>
    <t>Cochabamba - Jorge Wilstermann Intl</t>
  </si>
  <si>
    <t>Sucre - Alcantari</t>
  </si>
  <si>
    <t>Tarija - Cap. Oriel Lea Plaza</t>
  </si>
  <si>
    <t>Santa Cruz - Viru Viru Intl</t>
  </si>
  <si>
    <t>Santa Cruz - Metropolitan Area</t>
  </si>
  <si>
    <t>Belem - Val de Cans Intl</t>
  </si>
  <si>
    <t>Recife - Guararapes Intl</t>
  </si>
  <si>
    <t>Petrolina - Senador Nilo Coelho</t>
  </si>
  <si>
    <t>Salvador - Luis E. Magalhaes Intl</t>
  </si>
  <si>
    <t>Brasilia - J. Kubitschek Intl</t>
  </si>
  <si>
    <t>Belo Horizonte - Tancredo Neves Intl</t>
  </si>
  <si>
    <t>Rio de Janeiro - Galeao-A.C.Jobim Intl</t>
  </si>
  <si>
    <t>Sao Paulo - Viracopos-Campinas Int</t>
  </si>
  <si>
    <t>Edmonton - International</t>
  </si>
  <si>
    <t>Calgary - International</t>
  </si>
  <si>
    <t>Churchill - Airport</t>
  </si>
  <si>
    <t>Winnipeg - J.A. Richardson Intl</t>
  </si>
  <si>
    <t>Val d'Or</t>
  </si>
  <si>
    <t>North Bay - Jack Garland</t>
  </si>
  <si>
    <t>Saguenay-Bagotville</t>
  </si>
  <si>
    <t>Ottawa - Metropolitan Area</t>
  </si>
  <si>
    <t>Toronto - Lester B. Pearson Intl</t>
  </si>
  <si>
    <t>Toronto - John C. Munro Hamilton</t>
  </si>
  <si>
    <t>Montreal - Pierre E.Trudeau Intl</t>
  </si>
  <si>
    <t>Stephenville - International</t>
  </si>
  <si>
    <t>Gander - International</t>
  </si>
  <si>
    <t>Sal Island - Amilcar Cabral Intl</t>
  </si>
  <si>
    <t>Easter Island - Mataveri Intl</t>
  </si>
  <si>
    <t>Santiago - Arturo Merino Benitez</t>
  </si>
  <si>
    <t>Iquique - Diego Aracena</t>
  </si>
  <si>
    <t>Calama - El Loa</t>
  </si>
  <si>
    <t>Barranquilla - Ernesto Cortissoz Intl</t>
  </si>
  <si>
    <t>Medellin - Metropolitan Area</t>
  </si>
  <si>
    <t>Cali - Alfonso B. Aragon Intl</t>
  </si>
  <si>
    <t>Bogota - El Dorado Intl</t>
  </si>
  <si>
    <t>San Jose - Juan Santamaria Intl</t>
  </si>
  <si>
    <t>Havana - Jose Marti Intl</t>
  </si>
  <si>
    <t>Varadero - Juan G. Gomez Intl</t>
  </si>
  <si>
    <t>Cayo Largo del Sur - Vilo Acuna Intl</t>
  </si>
  <si>
    <t>Santa Clara - Abel Santamaria</t>
  </si>
  <si>
    <t>Cayo Coco - Jardines del Rey</t>
  </si>
  <si>
    <t>Camaguey - Ignacio Agramonte Intl</t>
  </si>
  <si>
    <t>Holguin - Frank Pais Intl</t>
  </si>
  <si>
    <t>Santiago de Cuba - Antonio Maceo Intl</t>
  </si>
  <si>
    <t>Dominica - Metropolitan Area</t>
  </si>
  <si>
    <t>Puerto Plata - Gregorio Luperon Intl</t>
  </si>
  <si>
    <t>Samana - El Catey Intl</t>
  </si>
  <si>
    <t>Santo Domingo - Metropolitan Area</t>
  </si>
  <si>
    <t>La Romana - Casa de Campo Intl</t>
  </si>
  <si>
    <t>Punta Cana - International</t>
  </si>
  <si>
    <t>Manta - Eloy Alfaro Intl</t>
  </si>
  <si>
    <t>Quito - Mariscal Sucre Intl</t>
  </si>
  <si>
    <t>Guayaquil - Jose Joaquin de Olmedo</t>
  </si>
  <si>
    <t>San Salvador - El Salvador Intl</t>
  </si>
  <si>
    <t>Cayenne - Félix Eboué Airport</t>
  </si>
  <si>
    <t>Banjul - International</t>
  </si>
  <si>
    <t>Pointe-a-Pitre - Le Raizet</t>
  </si>
  <si>
    <t>Guatemala City - La Aurora International Airport</t>
  </si>
  <si>
    <t>Bissau - Osvaldo Vieira Intl</t>
  </si>
  <si>
    <t>Port-au-Prince - Toussaint Louverture</t>
  </si>
  <si>
    <t>San Pedro Sula - Ramon V. Morales Intl</t>
  </si>
  <si>
    <t>La Ceiba - Goloson International</t>
  </si>
  <si>
    <t>Fort-de-France - Martinique A. Cesaire</t>
  </si>
  <si>
    <t>Tijuana - A.L. Rodriguez Intl</t>
  </si>
  <si>
    <t>San Jose del Cabo - Los Cabos Intl</t>
  </si>
  <si>
    <t>Durango - Guadalupe Victoria Int</t>
  </si>
  <si>
    <t>Puerto Vallarta - G.Diaz Ordaz Intl</t>
  </si>
  <si>
    <t>Zacatecas - Leobardo C. Ruiz Intl</t>
  </si>
  <si>
    <t>Monterrey - Metropolitan Area</t>
  </si>
  <si>
    <t>Guadalajara - Miguel Hidalgo Intl</t>
  </si>
  <si>
    <t>Aguascalientes - Jesus Teran Peredo Int</t>
  </si>
  <si>
    <t>San Luis Potosi - Ponciano Arriaga Intl</t>
  </si>
  <si>
    <t>Leon/Guanajuato - Del Bajio Intl</t>
  </si>
  <si>
    <t>Morelia - F.J. Mujica Intl</t>
  </si>
  <si>
    <t>Mexico City - Toluca-A.Lopez Mateos</t>
  </si>
  <si>
    <t>Mexico City - Metropolitan Area</t>
  </si>
  <si>
    <t>Puebla - Hermanos Serdan Intl</t>
  </si>
  <si>
    <t>Acapulco - Juan N. Alvarez Intl</t>
  </si>
  <si>
    <t>Merida - M. Crescencio Rejon</t>
  </si>
  <si>
    <t>Cancun - International</t>
  </si>
  <si>
    <t>Curacao - Hato Intl</t>
  </si>
  <si>
    <t>Bonaire - Flamingo International</t>
  </si>
  <si>
    <t>Panama City - Metropolitan Area</t>
  </si>
  <si>
    <t>Asuncion - Silvio Pettirossi Intl</t>
  </si>
  <si>
    <t>Ciudad del Este - Guarani Intl</t>
  </si>
  <si>
    <t>Trujillo - C.Martinez de Pinillos</t>
  </si>
  <si>
    <t>Huaraz - German Arias Graziani</t>
  </si>
  <si>
    <t>Lima - Jorge Chavez Intl</t>
  </si>
  <si>
    <t>Pucallpa - D.Abenzur Rengifo Intl</t>
  </si>
  <si>
    <t>Jauja - Francisco Carle</t>
  </si>
  <si>
    <t>Ayacucho - Alfredo M. Duarte</t>
  </si>
  <si>
    <t>Cusco - A.Velasco Astete Intl</t>
  </si>
  <si>
    <t>Arequipa - Rodriguez Ballon Intl</t>
  </si>
  <si>
    <t>Puerto Maldonado - Padre Aldamiz Intl</t>
  </si>
  <si>
    <t>Juliaca - Inco Mnco Capac Intl</t>
  </si>
  <si>
    <t>Terceira Island - Lajes</t>
  </si>
  <si>
    <t>Santa Maria Island - Airport</t>
  </si>
  <si>
    <t>Funchal - Madeira</t>
  </si>
  <si>
    <t>Aguadilla - Rafael Hernandez</t>
  </si>
  <si>
    <t>San Juan - Metropolitan Area</t>
  </si>
  <si>
    <t>Dakar - Metropolitan Area</t>
  </si>
  <si>
    <t>Tenerife-Norte</t>
  </si>
  <si>
    <t>Gran Canaria</t>
  </si>
  <si>
    <t>Tenerife-Sur</t>
  </si>
  <si>
    <t>Paramaribo - Metropolitan Area</t>
  </si>
  <si>
    <t>Seattle - Boeing Fld-King Co Int</t>
  </si>
  <si>
    <t>Seattle - Metropolitan Area</t>
  </si>
  <si>
    <t>Portland - International</t>
  </si>
  <si>
    <t>San Francisco - International</t>
  </si>
  <si>
    <t>Oakland - Metropolitan Area</t>
  </si>
  <si>
    <t>San Jose - Metropolitan Area</t>
  </si>
  <si>
    <t>Sacramento - Stockton Metropolitan</t>
  </si>
  <si>
    <t>Missoula - International</t>
  </si>
  <si>
    <t>Reno/Tahoe Intl</t>
  </si>
  <si>
    <t>Boise - Air Term. (Gowen Fld)</t>
  </si>
  <si>
    <t>Great Falls - Metropolitan Area</t>
  </si>
  <si>
    <t>Fresno - Metropolitan Area</t>
  </si>
  <si>
    <t>Bakersfield - Meadows Field</t>
  </si>
  <si>
    <t>Pocatello - Regional</t>
  </si>
  <si>
    <t>Los Angeles - Metropolitan Area</t>
  </si>
  <si>
    <t>Billings - Logan Intl</t>
  </si>
  <si>
    <t>Long Beach - Daugherty Field</t>
  </si>
  <si>
    <t>Los Angeles - Ontario International</t>
  </si>
  <si>
    <t>Salt Lake City - International</t>
  </si>
  <si>
    <t>Las Vegas - Metropolitan Area</t>
  </si>
  <si>
    <t>Palm Springs - Metropolitan Area</t>
  </si>
  <si>
    <t>San Diego - Metropolitan Area</t>
  </si>
  <si>
    <t>Rock Springs - Sweetwater County</t>
  </si>
  <si>
    <t>Casper - Natrona County Intl</t>
  </si>
  <si>
    <t>Yuma - Metropolitan Area</t>
  </si>
  <si>
    <t>Grand Junction - Regional</t>
  </si>
  <si>
    <t>Hayden - Yampa Valley</t>
  </si>
  <si>
    <t>Montrose - Regional</t>
  </si>
  <si>
    <t>Phoenix - Metropolitan Area</t>
  </si>
  <si>
    <t>Cheyenne - Metropolitan Area</t>
  </si>
  <si>
    <t>Phoenix - Mesa Gateway</t>
  </si>
  <si>
    <t>Gunnison-Crested Butte</t>
  </si>
  <si>
    <t>Durango - Metropolitan Area</t>
  </si>
  <si>
    <t>Denver - Metropolitan Area</t>
  </si>
  <si>
    <t>Tucson - Metropolitan Area</t>
  </si>
  <si>
    <t>Colorado Springs - Metropolitan Area</t>
  </si>
  <si>
    <t>Pueblo - Memorial</t>
  </si>
  <si>
    <t>Albuquerque - International Sunport</t>
  </si>
  <si>
    <t>Duluth - International</t>
  </si>
  <si>
    <t>Minneapolis/St Paul - Metropolitan Area</t>
  </si>
  <si>
    <t>El Paso - Metropolitan Area</t>
  </si>
  <si>
    <t>Rochester - International</t>
  </si>
  <si>
    <t>Omaha - Metropolitan Area</t>
  </si>
  <si>
    <t>Roswell - Intl Air Center</t>
  </si>
  <si>
    <t>Marquette - Sawyer International</t>
  </si>
  <si>
    <t>Amarillo - Metropolitan Area</t>
  </si>
  <si>
    <t>Lubbock - Metropolitan Area</t>
  </si>
  <si>
    <t>Wichita - Metropolitan Area</t>
  </si>
  <si>
    <t>Kansas City - International</t>
  </si>
  <si>
    <t>Midland - Metropolitan Area</t>
  </si>
  <si>
    <t>Moline - Quad City Intl</t>
  </si>
  <si>
    <t>Milwaukee - Metropolitan Area</t>
  </si>
  <si>
    <t>Chicago/Rockford Intl</t>
  </si>
  <si>
    <t>Oklahoma City - Metropolitan Area</t>
  </si>
  <si>
    <t>Chicago - O'Hare International</t>
  </si>
  <si>
    <t>Wichita Falls - Metropolitan Area</t>
  </si>
  <si>
    <t>Tulsa - Metropolitan Area</t>
  </si>
  <si>
    <t>Peoria - General Downing Intl</t>
  </si>
  <si>
    <t>Grand Rapids - Gerald R. Ford Intl</t>
  </si>
  <si>
    <t>St Louis - Metropolitan Area</t>
  </si>
  <si>
    <t>Fort Worth - Alliance</t>
  </si>
  <si>
    <t>Dallas - Metropolitan Area</t>
  </si>
  <si>
    <t>Belleville - MidAmerica St Louis</t>
  </si>
  <si>
    <t>Detroit - Metropolitan Wayne Co.</t>
  </si>
  <si>
    <t>Fort Wayne - Metropolitan Area</t>
  </si>
  <si>
    <t>Toledo - Metropolitan Area</t>
  </si>
  <si>
    <t>Killeen/Fort Hood - Regional/R.Gray AAF</t>
  </si>
  <si>
    <t>Indianapolis - International</t>
  </si>
  <si>
    <t>Niagara Falls - International</t>
  </si>
  <si>
    <t>Austin - Metropolitan Area</t>
  </si>
  <si>
    <t>Dayton - Metropolitan Area</t>
  </si>
  <si>
    <t>Plattsburgh - International</t>
  </si>
  <si>
    <t>Longview - East Texas Regional</t>
  </si>
  <si>
    <t>Cincinnati - Metropolitan Area</t>
  </si>
  <si>
    <t>Columbus - Metropolitan Area</t>
  </si>
  <si>
    <t>Louisville - Metropolitan Area</t>
  </si>
  <si>
    <t>Memphis - International</t>
  </si>
  <si>
    <t>Victoria - Regional</t>
  </si>
  <si>
    <t>Bangor - International</t>
  </si>
  <si>
    <t>Pittsburgh - Metropolitan Area</t>
  </si>
  <si>
    <t>Houston - George Bush Intercont.</t>
  </si>
  <si>
    <t>Nashville - International</t>
  </si>
  <si>
    <t>Alexandria - Metropolitan Area</t>
  </si>
  <si>
    <t>Manchester-Boston Rgnl</t>
  </si>
  <si>
    <t>Boston - Portsmouth Pease Intl</t>
  </si>
  <si>
    <t>New York - Stewart International</t>
  </si>
  <si>
    <t>Springfield - Bradley International</t>
  </si>
  <si>
    <t>Harrisburg - International</t>
  </si>
  <si>
    <t>Boston - Metropolitan Area</t>
  </si>
  <si>
    <t>Huntsville - Metropolitan Area</t>
  </si>
  <si>
    <t>New York - Newark Liberty Intl</t>
  </si>
  <si>
    <t>New York - John F Kennedy Intl</t>
  </si>
  <si>
    <t>Meridian - Regional (Key Field)</t>
  </si>
  <si>
    <t>Washington - Dulles Intl</t>
  </si>
  <si>
    <t>Philadelphia - Metropolitan Area</t>
  </si>
  <si>
    <t>Birmingham - Shuttlesworth Intl</t>
  </si>
  <si>
    <t>Washington - Baltimore/Wash. Intl</t>
  </si>
  <si>
    <t>Atlantic City - International</t>
  </si>
  <si>
    <t>New Orleans - Metropolitan Area</t>
  </si>
  <si>
    <t>Atlanta - Metropolitan Area</t>
  </si>
  <si>
    <t>Greenville/Spartanburg - Metropolitan Area</t>
  </si>
  <si>
    <t>Greensboro/High Point - Piedmont Triad Intl</t>
  </si>
  <si>
    <t>Mobile - Downtown Arpt</t>
  </si>
  <si>
    <t>Charlotte - Metropolitan Area</t>
  </si>
  <si>
    <t>Raleigh/Durham - International</t>
  </si>
  <si>
    <t>Destin/Ft Walton Beach - Metropolitan Area</t>
  </si>
  <si>
    <t>Myrtle Beach - Metropolitan Area</t>
  </si>
  <si>
    <t>Savannah - Metropolitan Area</t>
  </si>
  <si>
    <t>Jacksonville - Metropolitan Area</t>
  </si>
  <si>
    <t>Daytona Beach - International</t>
  </si>
  <si>
    <t>Tampa - St.Pete-Clearwater Int</t>
  </si>
  <si>
    <t>Tampa - Metropolitan Area</t>
  </si>
  <si>
    <t>Orlando - Sanford Intl</t>
  </si>
  <si>
    <t>Orlando - International</t>
  </si>
  <si>
    <t>Sarasota/Bradenton - International</t>
  </si>
  <si>
    <t>Melbourne - Orlando Melbourne Intl</t>
  </si>
  <si>
    <t>Fort Myers - Southwest Florida Intl</t>
  </si>
  <si>
    <t>West Palm Beach - Metropolitan Area</t>
  </si>
  <si>
    <t>Miami - Metropolitan Area</t>
  </si>
  <si>
    <t>Montevideo - Carrasco</t>
  </si>
  <si>
    <t>Maracaibo - La Chinita Intl</t>
  </si>
  <si>
    <t>Valencia - Arturo Michelena Intl</t>
  </si>
  <si>
    <t>Caracas - Simon Bolivar Intl</t>
  </si>
  <si>
    <t>Porlamar - Del Caribe Intl</t>
  </si>
  <si>
    <t>GRU/KDH</t>
  </si>
  <si>
    <t>GRU/AAE</t>
  </si>
  <si>
    <t>GRU/TEE</t>
  </si>
  <si>
    <t>GRU/CZL</t>
  </si>
  <si>
    <t>GRU/BLJ</t>
  </si>
  <si>
    <t>GRU/BSK</t>
  </si>
  <si>
    <t>GRU/ELU</t>
  </si>
  <si>
    <t>GRU/ALG</t>
  </si>
  <si>
    <t>GRU/TGR</t>
  </si>
  <si>
    <t>GRU/IAM</t>
  </si>
  <si>
    <t>GRU/HME</t>
  </si>
  <si>
    <t>GRU/OGX</t>
  </si>
  <si>
    <t>GRU/TID</t>
  </si>
  <si>
    <t>GRU/LOO</t>
  </si>
  <si>
    <t>GRU/HRM</t>
  </si>
  <si>
    <t>GRU/GHA</t>
  </si>
  <si>
    <t>GRU/ORN</t>
  </si>
  <si>
    <t>GRU/VVZ</t>
  </si>
  <si>
    <t>GRU/DJG</t>
  </si>
  <si>
    <t>GRU/ELG</t>
  </si>
  <si>
    <t>GRU/CBH</t>
  </si>
  <si>
    <t>GRU/INZ</t>
  </si>
  <si>
    <t>GRU/TMX</t>
  </si>
  <si>
    <t>GRU/TMR</t>
  </si>
  <si>
    <t>GRU/AZR</t>
  </si>
  <si>
    <t>GRU/TIN</t>
  </si>
  <si>
    <t>GRU/PPG</t>
  </si>
  <si>
    <t>GRU/VHC</t>
  </si>
  <si>
    <t>GRU/SPP</t>
  </si>
  <si>
    <t>GRU/LAD</t>
  </si>
  <si>
    <t>GRU/VPE</t>
  </si>
  <si>
    <t>GRU/CBT</t>
  </si>
  <si>
    <t>GRU/SDD</t>
  </si>
  <si>
    <t>GRU/USH</t>
  </si>
  <si>
    <t>GRU/RGL</t>
  </si>
  <si>
    <t>GRU/MDZ</t>
  </si>
  <si>
    <t>GRU/LUQ</t>
  </si>
  <si>
    <t>GRU/IRJ</t>
  </si>
  <si>
    <t>GRU/CTC</t>
  </si>
  <si>
    <t>GRU/COR</t>
  </si>
  <si>
    <t>GRU/SLA</t>
  </si>
  <si>
    <t>GRU/TUC</t>
  </si>
  <si>
    <t>GRU/JUJ</t>
  </si>
  <si>
    <t>GRU/ROS</t>
  </si>
  <si>
    <t>GRU/EZE</t>
  </si>
  <si>
    <t>GRU/RCQ</t>
  </si>
  <si>
    <t>GRU/RES</t>
  </si>
  <si>
    <t>GRU/IGR</t>
  </si>
  <si>
    <t>GRU/EVN</t>
  </si>
  <si>
    <t>GRU/LWN</t>
  </si>
  <si>
    <t>GRU/AUA</t>
  </si>
  <si>
    <t>GRU/SYD</t>
  </si>
  <si>
    <t>GRU/CBR</t>
  </si>
  <si>
    <t>GRU/MEL</t>
  </si>
  <si>
    <t>GRU/AVV</t>
  </si>
  <si>
    <t>GRU/VIE</t>
  </si>
  <si>
    <t>GRU/LNZ</t>
  </si>
  <si>
    <t>GRU/GRZ</t>
  </si>
  <si>
    <t>GRU/GYD</t>
  </si>
  <si>
    <t>GRU/NAJ</t>
  </si>
  <si>
    <t>GRU/FPO</t>
  </si>
  <si>
    <t>GRU/BAH</t>
  </si>
  <si>
    <t>GRU/MSQ</t>
  </si>
  <si>
    <t>GRU/LGG</t>
  </si>
  <si>
    <t>GRU/BRU</t>
  </si>
  <si>
    <t>GRU/OST</t>
  </si>
  <si>
    <t>GRU/BDA</t>
  </si>
  <si>
    <t>GRU/LPB</t>
  </si>
  <si>
    <t>GRU/CBB</t>
  </si>
  <si>
    <t>GRU/SRE</t>
  </si>
  <si>
    <t>GRU/TJA</t>
  </si>
  <si>
    <t>GRU/VVI</t>
  </si>
  <si>
    <t>GRU/SRZ</t>
  </si>
  <si>
    <t>GRU/GBE</t>
  </si>
  <si>
    <t>GRU/BEL</t>
  </si>
  <si>
    <t>GRU/REC</t>
  </si>
  <si>
    <t>GRU/PNZ</t>
  </si>
  <si>
    <t>GRU/SSA</t>
  </si>
  <si>
    <t>GRU/BSB</t>
  </si>
  <si>
    <t>GRU/CNF</t>
  </si>
  <si>
    <t>GRU/GIG</t>
  </si>
  <si>
    <t>GRU/VCP</t>
  </si>
  <si>
    <t>GRU/BOJ</t>
  </si>
  <si>
    <t>GRU/SOF</t>
  </si>
  <si>
    <t>GRU/OUA</t>
  </si>
  <si>
    <t>GRU/BOY</t>
  </si>
  <si>
    <t>GRU/BJM</t>
  </si>
  <si>
    <t>GRU/GOU</t>
  </si>
  <si>
    <t>GRU/NSI</t>
  </si>
  <si>
    <t>GRU/DLA</t>
  </si>
  <si>
    <t>GRU/YXY</t>
  </si>
  <si>
    <t>GRU/YXS</t>
  </si>
  <si>
    <t>GRU/YQQ</t>
  </si>
  <si>
    <t>GRU/YVR</t>
  </si>
  <si>
    <t>GRU/YXX</t>
  </si>
  <si>
    <t>GRU/YEG</t>
  </si>
  <si>
    <t>GRU/YYC</t>
  </si>
  <si>
    <t>GRU/YYQ</t>
  </si>
  <si>
    <t>GRU/YWG</t>
  </si>
  <si>
    <t>GRU/YYR</t>
  </si>
  <si>
    <t>GRU/YVO</t>
  </si>
  <si>
    <t>GRU/YYB</t>
  </si>
  <si>
    <t>GRU/YBG</t>
  </si>
  <si>
    <t>GRU/YOW</t>
  </si>
  <si>
    <t>GRU/YYZ</t>
  </si>
  <si>
    <t>GRU/YHM</t>
  </si>
  <si>
    <t>GRU/YUL</t>
  </si>
  <si>
    <t>GRU/YJT</t>
  </si>
  <si>
    <t>GRU/YQX</t>
  </si>
  <si>
    <t>GRU/SID</t>
  </si>
  <si>
    <t>GRU/NDJ</t>
  </si>
  <si>
    <t>GRU/IPC</t>
  </si>
  <si>
    <t>GRU/PUQ</t>
  </si>
  <si>
    <t>GRU/SCL</t>
  </si>
  <si>
    <t>GRU/IQQ</t>
  </si>
  <si>
    <t>GRU/CJC</t>
  </si>
  <si>
    <t>GRU/BAQ</t>
  </si>
  <si>
    <t>GRU/MDE</t>
  </si>
  <si>
    <t>GRU/CLO</t>
  </si>
  <si>
    <t>GRU/BOG</t>
  </si>
  <si>
    <t>GRU/HAH</t>
  </si>
  <si>
    <t>GRU/BZV</t>
  </si>
  <si>
    <t>GRU/SJO</t>
  </si>
  <si>
    <t>GRU/ZAG</t>
  </si>
  <si>
    <t>GRU/DBV</t>
  </si>
  <si>
    <t>GRU/PUY</t>
  </si>
  <si>
    <t>GRU/HAV</t>
  </si>
  <si>
    <t>GRU/VRA</t>
  </si>
  <si>
    <t>GRU/CYO</t>
  </si>
  <si>
    <t>GRU/SNU</t>
  </si>
  <si>
    <t>GRU/CCC</t>
  </si>
  <si>
    <t>GRU/CMW</t>
  </si>
  <si>
    <t>GRU/HOG</t>
  </si>
  <si>
    <t>GRU/SCU</t>
  </si>
  <si>
    <t>GRU/LCA</t>
  </si>
  <si>
    <t>GRU/OSR</t>
  </si>
  <si>
    <t>GRU/PRG</t>
  </si>
  <si>
    <t>GRU/FKI</t>
  </si>
  <si>
    <t>GRU/FBM</t>
  </si>
  <si>
    <t>GRU/FIH</t>
  </si>
  <si>
    <t>GRU/CPH</t>
  </si>
  <si>
    <t>GRU/AAR</t>
  </si>
  <si>
    <t>GRU/KRP</t>
  </si>
  <si>
    <t>GRU/BLL</t>
  </si>
  <si>
    <t>GRU/JIB</t>
  </si>
  <si>
    <t>GRU/DOM</t>
  </si>
  <si>
    <t>GRU/POP</t>
  </si>
  <si>
    <t>GRU/AZS</t>
  </si>
  <si>
    <t>GRU/SDQ</t>
  </si>
  <si>
    <t>GRU/LRM</t>
  </si>
  <si>
    <t>GRU/PUJ</t>
  </si>
  <si>
    <t>GRU/MEC</t>
  </si>
  <si>
    <t>GRU/UIO</t>
  </si>
  <si>
    <t>GRU/GYE</t>
  </si>
  <si>
    <t>GRU/TCP</t>
  </si>
  <si>
    <t>GRU/AAC</t>
  </si>
  <si>
    <t>GRU/SSH</t>
  </si>
  <si>
    <t>GRU/HRG</t>
  </si>
  <si>
    <t>GRU/RMF</t>
  </si>
  <si>
    <t>GRU/CAI</t>
  </si>
  <si>
    <t>GRU/LXR</t>
  </si>
  <si>
    <t>GRU/HBE</t>
  </si>
  <si>
    <t>GRU/ASW</t>
  </si>
  <si>
    <t>GRU/ATZ</t>
  </si>
  <si>
    <t>GRU/ABS</t>
  </si>
  <si>
    <t>GRU/SAL</t>
  </si>
  <si>
    <t>GRU/SSG</t>
  </si>
  <si>
    <t>GRU/TLL</t>
  </si>
  <si>
    <t>GRU/ADD</t>
  </si>
  <si>
    <t>GRU/AWA</t>
  </si>
  <si>
    <t>GRU/NAN</t>
  </si>
  <si>
    <t>GRU/RVN</t>
  </si>
  <si>
    <t>GRU/KUO</t>
  </si>
  <si>
    <t>GRU/HEL</t>
  </si>
  <si>
    <t>GRU/ETZ</t>
  </si>
  <si>
    <t>GRU/MLH</t>
  </si>
  <si>
    <t>GRU/LIL</t>
  </si>
  <si>
    <t>GRU/XCR</t>
  </si>
  <si>
    <t>GRU/CDG</t>
  </si>
  <si>
    <t>GRU/ORY</t>
  </si>
  <si>
    <t>GRU/LYS</t>
  </si>
  <si>
    <t>GRU/GNB</t>
  </si>
  <si>
    <t>GRU/NCE</t>
  </si>
  <si>
    <t>GRU/CHR</t>
  </si>
  <si>
    <t>GRU/CFE</t>
  </si>
  <si>
    <t>GRU/MRS</t>
  </si>
  <si>
    <t>GRU/NTE</t>
  </si>
  <si>
    <t>GRU/BES</t>
  </si>
  <si>
    <t>GRU/TLS</t>
  </si>
  <si>
    <t>GRU/BOD</t>
  </si>
  <si>
    <t>GRU/LDE</t>
  </si>
  <si>
    <t>GRU/CAY</t>
  </si>
  <si>
    <t>GRU/PPT</t>
  </si>
  <si>
    <t>GRU/HOI</t>
  </si>
  <si>
    <t>GRU/LBV</t>
  </si>
  <si>
    <t>GRU/BJL</t>
  </si>
  <si>
    <t>GRU/TBS</t>
  </si>
  <si>
    <t>GRU/SXF</t>
  </si>
  <si>
    <t>GRU/TXL</t>
  </si>
  <si>
    <t>GRU/DRS</t>
  </si>
  <si>
    <t>GRU/HAM</t>
  </si>
  <si>
    <t>GRU/LEJ</t>
  </si>
  <si>
    <t>GRU/HAJ</t>
  </si>
  <si>
    <t>GRU/MUC</t>
  </si>
  <si>
    <t>GRU/FRA</t>
  </si>
  <si>
    <t>GRU/DUS</t>
  </si>
  <si>
    <t>GRU/CGN</t>
  </si>
  <si>
    <t>GRU/FMM</t>
  </si>
  <si>
    <t>GRU/STR</t>
  </si>
  <si>
    <t>GRU/FKB</t>
  </si>
  <si>
    <t>GRU/ZQW</t>
  </si>
  <si>
    <t>GRU/ACC</t>
  </si>
  <si>
    <t>GRU/RHO</t>
  </si>
  <si>
    <t>GRU/KVA</t>
  </si>
  <si>
    <t>GRU/LXS</t>
  </si>
  <si>
    <t>GRU/SKU</t>
  </si>
  <si>
    <t>GRU/ATH</t>
  </si>
  <si>
    <t>GRU/VOL</t>
  </si>
  <si>
    <t>GRU/CHQ</t>
  </si>
  <si>
    <t>GRU/GPA</t>
  </si>
  <si>
    <t>GRU/PVK</t>
  </si>
  <si>
    <t>GRU/KLX</t>
  </si>
  <si>
    <t>GRU/SFJ</t>
  </si>
  <si>
    <t>GRU/PTP</t>
  </si>
  <si>
    <t>GRU/GUA</t>
  </si>
  <si>
    <t>GRU/CKY</t>
  </si>
  <si>
    <t>GRU/OXB</t>
  </si>
  <si>
    <t>GRU/PAP</t>
  </si>
  <si>
    <t>GRU/SAP</t>
  </si>
  <si>
    <t>GRU/LCE</t>
  </si>
  <si>
    <t>GRU/BUD</t>
  </si>
  <si>
    <t>GRU/KEF</t>
  </si>
  <si>
    <t>GRU/BSR</t>
  </si>
  <si>
    <t>GRU/BGW</t>
  </si>
  <si>
    <t>GRU/ACZ</t>
  </si>
  <si>
    <t>GRU/MHD</t>
  </si>
  <si>
    <t>GRU/KER</t>
  </si>
  <si>
    <t>GRU/BND</t>
  </si>
  <si>
    <t>GRU/AZD</t>
  </si>
  <si>
    <t>GRU/THR</t>
  </si>
  <si>
    <t>GRU/IKA</t>
  </si>
  <si>
    <t>GRU/IFN</t>
  </si>
  <si>
    <t>GRU/SYZ</t>
  </si>
  <si>
    <t>GRU/TBZ</t>
  </si>
  <si>
    <t>GRU/AWZ</t>
  </si>
  <si>
    <t>GRU/KSH</t>
  </si>
  <si>
    <t>GRU/SNN</t>
  </si>
  <si>
    <t>GRU/TLV</t>
  </si>
  <si>
    <t>GRU/ETM</t>
  </si>
  <si>
    <t>GRU/VDA</t>
  </si>
  <si>
    <t>GRU/TRS</t>
  </si>
  <si>
    <t>GRU/VCE</t>
  </si>
  <si>
    <t>GRU/AOI</t>
  </si>
  <si>
    <t>GRU/RMI</t>
  </si>
  <si>
    <t>GRU/VRN</t>
  </si>
  <si>
    <t>GRU/VBS</t>
  </si>
  <si>
    <t>GRU/BLQ</t>
  </si>
  <si>
    <t>GRU/BGY</t>
  </si>
  <si>
    <t>GRU/MXP</t>
  </si>
  <si>
    <t>GRU/PSA</t>
  </si>
  <si>
    <t>GRU/FCO</t>
  </si>
  <si>
    <t>GRU/GOA</t>
  </si>
  <si>
    <t>GRU/TRN</t>
  </si>
  <si>
    <t>GRU/PMO</t>
  </si>
  <si>
    <t>GRU/AHO</t>
  </si>
  <si>
    <t>GRU/CAG</t>
  </si>
  <si>
    <t>GRU/ABJ</t>
  </si>
  <si>
    <t>GRU/ASK</t>
  </si>
  <si>
    <t>GRU/AMM</t>
  </si>
  <si>
    <t>GRU/AQJ</t>
  </si>
  <si>
    <t>GRU/AKX</t>
  </si>
  <si>
    <t>GRU/GUW</t>
  </si>
  <si>
    <t>GRU/MBA</t>
  </si>
  <si>
    <t>GRU/NBO</t>
  </si>
  <si>
    <t>GRU/EDL</t>
  </si>
  <si>
    <t>GRU/KWI</t>
  </si>
  <si>
    <t>GRU/RIX</t>
  </si>
  <si>
    <t>GRU/BEY</t>
  </si>
  <si>
    <t>GRU/MSU</t>
  </si>
  <si>
    <t>GRU/ROB</t>
  </si>
  <si>
    <t>GRU/BEN</t>
  </si>
  <si>
    <t>GRU/TIP</t>
  </si>
  <si>
    <t>GRU/SQQ</t>
  </si>
  <si>
    <t>GRU/KUN</t>
  </si>
  <si>
    <t>GRU/LUX</t>
  </si>
  <si>
    <t>GRU/TNR</t>
  </si>
  <si>
    <t>GRU/LLW</t>
  </si>
  <si>
    <t>GRU/MLA</t>
  </si>
  <si>
    <t>GRU/FDF</t>
  </si>
  <si>
    <t>GRU/NKC</t>
  </si>
  <si>
    <t>GRU/MRU</t>
  </si>
  <si>
    <t>GRU/TIJ</t>
  </si>
  <si>
    <t>GRU/SJD</t>
  </si>
  <si>
    <t>GRU/DGO</t>
  </si>
  <si>
    <t>GRU/PVR</t>
  </si>
  <si>
    <t>GRU/ZCL</t>
  </si>
  <si>
    <t>GRU/MTY</t>
  </si>
  <si>
    <t>GRU/GDL</t>
  </si>
  <si>
    <t>GRU/AGU</t>
  </si>
  <si>
    <t>GRU/SLP</t>
  </si>
  <si>
    <t>GRU/BJX</t>
  </si>
  <si>
    <t>GRU/MLM</t>
  </si>
  <si>
    <t>GRU/TLC</t>
  </si>
  <si>
    <t>GRU/MEX</t>
  </si>
  <si>
    <t>GRU/PBC</t>
  </si>
  <si>
    <t>GRU/ACA</t>
  </si>
  <si>
    <t>GRU/MID</t>
  </si>
  <si>
    <t>GRU/CUN</t>
  </si>
  <si>
    <t>GRU/KIV</t>
  </si>
  <si>
    <t>GRU/OUD</t>
  </si>
  <si>
    <t>GRU/NDR</t>
  </si>
  <si>
    <t>GRU/TNG</t>
  </si>
  <si>
    <t>GRU/FEZ</t>
  </si>
  <si>
    <t>GRU/RBA</t>
  </si>
  <si>
    <t>GRU/ERH</t>
  </si>
  <si>
    <t>GRU/CMN</t>
  </si>
  <si>
    <t>GRU/OZZ</t>
  </si>
  <si>
    <t>GRU/RAK</t>
  </si>
  <si>
    <t>GRU/AGA</t>
  </si>
  <si>
    <t>GRU/VIL</t>
  </si>
  <si>
    <t>GRU/WDH</t>
  </si>
  <si>
    <t>GRU/OND</t>
  </si>
  <si>
    <t>GRU/AMS</t>
  </si>
  <si>
    <t>GRU/EIN</t>
  </si>
  <si>
    <t>GRU/CUR</t>
  </si>
  <si>
    <t>GRU/BON</t>
  </si>
  <si>
    <t>GRU/AKL</t>
  </si>
  <si>
    <t>GRU/CHC</t>
  </si>
  <si>
    <t>GRU/NIM</t>
  </si>
  <si>
    <t>GRU/YOL</t>
  </si>
  <si>
    <t>GRU/KAN</t>
  </si>
  <si>
    <t>GRU/KAD</t>
  </si>
  <si>
    <t>GRU/ABV</t>
  </si>
  <si>
    <t>GRU/PHC</t>
  </si>
  <si>
    <t>GRU/LOS</t>
  </si>
  <si>
    <t>GRU/LKL</t>
  </si>
  <si>
    <t>GRU/EVE</t>
  </si>
  <si>
    <t>GRU/BOO</t>
  </si>
  <si>
    <t>GRU/TRD</t>
  </si>
  <si>
    <t>GRU/OSL</t>
  </si>
  <si>
    <t>GRU/TRF</t>
  </si>
  <si>
    <t>GRU/BGO</t>
  </si>
  <si>
    <t>GRU/MCT</t>
  </si>
  <si>
    <t>GRU/SLL</t>
  </si>
  <si>
    <t>GRU/KHI</t>
  </si>
  <si>
    <t>GRU/PTY</t>
  </si>
  <si>
    <t>GRU/ASU</t>
  </si>
  <si>
    <t>GRU/AGT</t>
  </si>
  <si>
    <t>GRU/TRU</t>
  </si>
  <si>
    <t>GRU/ATA</t>
  </si>
  <si>
    <t>GRU/LIM</t>
  </si>
  <si>
    <t>GRU/PCL</t>
  </si>
  <si>
    <t>GRU/JAU</t>
  </si>
  <si>
    <t>GRU/AYP</t>
  </si>
  <si>
    <t>GRU/CUZ</t>
  </si>
  <si>
    <t>GRU/AQP</t>
  </si>
  <si>
    <t>GRU/PEM</t>
  </si>
  <si>
    <t>GRU/JUL</t>
  </si>
  <si>
    <t>GRU/WAW</t>
  </si>
  <si>
    <t>GRU/GDN</t>
  </si>
  <si>
    <t>GRU/RZE</t>
  </si>
  <si>
    <t>GRU/KTW</t>
  </si>
  <si>
    <t>GRU/OPO</t>
  </si>
  <si>
    <t>GRU/LIS</t>
  </si>
  <si>
    <t>GRU/TER</t>
  </si>
  <si>
    <t>GRU/SMA</t>
  </si>
  <si>
    <t>GRU/PXO</t>
  </si>
  <si>
    <t>GRU/FNC</t>
  </si>
  <si>
    <t>GRU/BQN</t>
  </si>
  <si>
    <t>GRU/SJU</t>
  </si>
  <si>
    <t>GRU/DOH</t>
  </si>
  <si>
    <t>GRU/CND</t>
  </si>
  <si>
    <t>GRU/OTP</t>
  </si>
  <si>
    <t>GRU/BBU</t>
  </si>
  <si>
    <t>GRU/SBZ</t>
  </si>
  <si>
    <t>GRU/TSR</t>
  </si>
  <si>
    <t>GRU/CEK</t>
  </si>
  <si>
    <t>GRU/SVX</t>
  </si>
  <si>
    <t>GRU/PEE</t>
  </si>
  <si>
    <t>GRU/UFA</t>
  </si>
  <si>
    <t>GRU/KUF</t>
  </si>
  <si>
    <t>GRU/KZN</t>
  </si>
  <si>
    <t>GRU/ULY</t>
  </si>
  <si>
    <t>GRU/GOJ</t>
  </si>
  <si>
    <t>GRU/OGZ</t>
  </si>
  <si>
    <t>GRU/DME</t>
  </si>
  <si>
    <t>GRU/SVO</t>
  </si>
  <si>
    <t>GRU/MRV</t>
  </si>
  <si>
    <t>GRU/VKO</t>
  </si>
  <si>
    <t>GRU/LED</t>
  </si>
  <si>
    <t>GRU/KRR</t>
  </si>
  <si>
    <t>GRU/AER</t>
  </si>
  <si>
    <t>GRU/KGL</t>
  </si>
  <si>
    <t>GRU/RUN</t>
  </si>
  <si>
    <t>GRU/APW</t>
  </si>
  <si>
    <t>GRU/DMM</t>
  </si>
  <si>
    <t>GRU/HOF</t>
  </si>
  <si>
    <t>GRU/AQI</t>
  </si>
  <si>
    <t>GRU/HBT</t>
  </si>
  <si>
    <t>GRU/RUH</t>
  </si>
  <si>
    <t>GRU/RAH</t>
  </si>
  <si>
    <t>GRU/ELQ</t>
  </si>
  <si>
    <t>GRU/SHW</t>
  </si>
  <si>
    <t>GRU/DWD</t>
  </si>
  <si>
    <t>GRU/RAE</t>
  </si>
  <si>
    <t>GRU/WAE</t>
  </si>
  <si>
    <t>GRU/HAS</t>
  </si>
  <si>
    <t>GRU/AJF</t>
  </si>
  <si>
    <t>GRU/TUI</t>
  </si>
  <si>
    <t>GRU/EAM</t>
  </si>
  <si>
    <t>GRU/BHH</t>
  </si>
  <si>
    <t>GRU/URY</t>
  </si>
  <si>
    <t>GRU/AHB</t>
  </si>
  <si>
    <t>GRU/MED</t>
  </si>
  <si>
    <t>GRU/ABT</t>
  </si>
  <si>
    <t>GRU/GIZ</t>
  </si>
  <si>
    <t>GRU/TIF</t>
  </si>
  <si>
    <t>GRU/TUU</t>
  </si>
  <si>
    <t>GRU/YNB</t>
  </si>
  <si>
    <t>GRU/JED</t>
  </si>
  <si>
    <t>GRU/EJH</t>
  </si>
  <si>
    <t>GRU/DSS</t>
  </si>
  <si>
    <t>GRU/BEG</t>
  </si>
  <si>
    <t>GRU/SEZ</t>
  </si>
  <si>
    <t>GRU/FNA</t>
  </si>
  <si>
    <t>GRU/KSC</t>
  </si>
  <si>
    <t>GRU/BTS</t>
  </si>
  <si>
    <t>GRU/LJU</t>
  </si>
  <si>
    <t>GRU/GLK</t>
  </si>
  <si>
    <t>GRU/BBO</t>
  </si>
  <si>
    <t>GRU/MGQ</t>
  </si>
  <si>
    <t>GRU/MQP</t>
  </si>
  <si>
    <t>GRU/DUR</t>
  </si>
  <si>
    <t>GRU/JNB</t>
  </si>
  <si>
    <t>GRU/HLA</t>
  </si>
  <si>
    <t>GRU/KIM</t>
  </si>
  <si>
    <t>GRU/UTN</t>
  </si>
  <si>
    <t>GRU/CPT</t>
  </si>
  <si>
    <t>GRU/BCN</t>
  </si>
  <si>
    <t>GRU/PMI</t>
  </si>
  <si>
    <t>GRU/VIT</t>
  </si>
  <si>
    <t>GRU/ZAZ</t>
  </si>
  <si>
    <t>GRU/IBZ</t>
  </si>
  <si>
    <t>GRU/VLC</t>
  </si>
  <si>
    <t>GRU/VLL</t>
  </si>
  <si>
    <t>GRU/MAD</t>
  </si>
  <si>
    <t>GRU/ALC</t>
  </si>
  <si>
    <t>GRU/SCQ</t>
  </si>
  <si>
    <t>GRU/LEI</t>
  </si>
  <si>
    <t>GRU/GRX</t>
  </si>
  <si>
    <t>GRU/BJZ</t>
  </si>
  <si>
    <t>GRU/AGP</t>
  </si>
  <si>
    <t>GRU/SVQ</t>
  </si>
  <si>
    <t>GRU/TFN</t>
  </si>
  <si>
    <t>GRU/LPA</t>
  </si>
  <si>
    <t>GRU/TFS</t>
  </si>
  <si>
    <t>GRU/KRT</t>
  </si>
  <si>
    <t>GRU/EBD</t>
  </si>
  <si>
    <t>GRU/ELF</t>
  </si>
  <si>
    <t>GRU/UYL</t>
  </si>
  <si>
    <t>GRU/PBM</t>
  </si>
  <si>
    <t>GRU/LLA</t>
  </si>
  <si>
    <t>GRU/ARN</t>
  </si>
  <si>
    <t>GRU/NYO</t>
  </si>
  <si>
    <t>GRU/GOT</t>
  </si>
  <si>
    <t>GRU/MMX</t>
  </si>
  <si>
    <t>GRU/ZRH</t>
  </si>
  <si>
    <t>GRU/BSL</t>
  </si>
  <si>
    <t>GRU/GVA</t>
  </si>
  <si>
    <t>GRU/KAC</t>
  </si>
  <si>
    <t>GRU/DEZ</t>
  </si>
  <si>
    <t>GRU/ALP</t>
  </si>
  <si>
    <t>GRU/LTK</t>
  </si>
  <si>
    <t>GRU/DAM</t>
  </si>
  <si>
    <t>GRU/DAR</t>
  </si>
  <si>
    <t>GRU/JRO</t>
  </si>
  <si>
    <t>GRU/MWZ</t>
  </si>
  <si>
    <t>GRU/LFW</t>
  </si>
  <si>
    <t>GRU/TUN</t>
  </si>
  <si>
    <t>GRU/NBE</t>
  </si>
  <si>
    <t>GRU/MIR</t>
  </si>
  <si>
    <t>GRU/TBJ</t>
  </si>
  <si>
    <t>GRU/SFA</t>
  </si>
  <si>
    <t>GRU/DJE</t>
  </si>
  <si>
    <t>GRU/GAF</t>
  </si>
  <si>
    <t>GRU/TOE</t>
  </si>
  <si>
    <t>GRU/KSY</t>
  </si>
  <si>
    <t>GRU/ERZ</t>
  </si>
  <si>
    <t>GRU/MSR</t>
  </si>
  <si>
    <t>GRU/BAL</t>
  </si>
  <si>
    <t>GRU/ERC</t>
  </si>
  <si>
    <t>GRU/DIY</t>
  </si>
  <si>
    <t>GRU/MLX</t>
  </si>
  <si>
    <t>GRU/SZF</t>
  </si>
  <si>
    <t>GRU/VAS</t>
  </si>
  <si>
    <t>GRU/MZH</t>
  </si>
  <si>
    <t>GRU/GZT</t>
  </si>
  <si>
    <t>GRU/ASR</t>
  </si>
  <si>
    <t>GRU/HTY</t>
  </si>
  <si>
    <t>GRU/NAV</t>
  </si>
  <si>
    <t>GRU/ESB</t>
  </si>
  <si>
    <t>GRU/KYA</t>
  </si>
  <si>
    <t>GRU/SAW</t>
  </si>
  <si>
    <t>GRU/YEI</t>
  </si>
  <si>
    <t>GRU/IST</t>
  </si>
  <si>
    <t>GRU/ISE</t>
  </si>
  <si>
    <t>GRU/AYT</t>
  </si>
  <si>
    <t>GRU/TEQ</t>
  </si>
  <si>
    <t>GRU/DNZ</t>
  </si>
  <si>
    <t>GRU/DLM</t>
  </si>
  <si>
    <t>GRU/ADB</t>
  </si>
  <si>
    <t>GRU/BJV</t>
  </si>
  <si>
    <t>GRU/ASB</t>
  </si>
  <si>
    <t>GRU/ULU</t>
  </si>
  <si>
    <t>GRU/EBB</t>
  </si>
  <si>
    <t>GRU/DNK</t>
  </si>
  <si>
    <t>GRU/KBP</t>
  </si>
  <si>
    <t>GRU/SIP</t>
  </si>
  <si>
    <t>GRU/ODS</t>
  </si>
  <si>
    <t>GRU/FJR</t>
  </si>
  <si>
    <t>GRU/RKT</t>
  </si>
  <si>
    <t>GRU/SHJ</t>
  </si>
  <si>
    <t>GRU/DXB</t>
  </si>
  <si>
    <t>GRU/AAN</t>
  </si>
  <si>
    <t>GRU/DWC</t>
  </si>
  <si>
    <t>GRU/AUH</t>
  </si>
  <si>
    <t>GRU/PIK</t>
  </si>
  <si>
    <t>GRU/DSA</t>
  </si>
  <si>
    <t>GRU/CAL</t>
  </si>
  <si>
    <t>GRU/MAN</t>
  </si>
  <si>
    <t>GRU/EMA</t>
  </si>
  <si>
    <t>GRU/MSE</t>
  </si>
  <si>
    <t>GRU/STN</t>
  </si>
  <si>
    <t>GRU/BFS</t>
  </si>
  <si>
    <t>GRU/LHR</t>
  </si>
  <si>
    <t>GRU/LGW</t>
  </si>
  <si>
    <t>GRU/HNL</t>
  </si>
  <si>
    <t>GRU/ANC</t>
  </si>
  <si>
    <t>GRU/FAI</t>
  </si>
  <si>
    <t>GRU/KOA</t>
  </si>
  <si>
    <t>GRU/ITO</t>
  </si>
  <si>
    <t>GRU/BFI</t>
  </si>
  <si>
    <t>GRU/SEA</t>
  </si>
  <si>
    <t>GRU/PDX</t>
  </si>
  <si>
    <t>GRU/LMT</t>
  </si>
  <si>
    <t>GRU/SFO</t>
  </si>
  <si>
    <t>GRU/OAK</t>
  </si>
  <si>
    <t>GRU/SJC</t>
  </si>
  <si>
    <t>GRU/SCK</t>
  </si>
  <si>
    <t>GRU/MSO</t>
  </si>
  <si>
    <t>GRU/RNO</t>
  </si>
  <si>
    <t>GRU/BOI</t>
  </si>
  <si>
    <t>GRU/GTF</t>
  </si>
  <si>
    <t>GRU/FAT</t>
  </si>
  <si>
    <t>GRU/BFL</t>
  </si>
  <si>
    <t>GRU/PIH</t>
  </si>
  <si>
    <t>GRU/LAX</t>
  </si>
  <si>
    <t>GRU/BIL</t>
  </si>
  <si>
    <t>GRU/LGB</t>
  </si>
  <si>
    <t>GRU/ONT</t>
  </si>
  <si>
    <t>GRU/SLC</t>
  </si>
  <si>
    <t>GRU/LAS</t>
  </si>
  <si>
    <t>GRU/PSP</t>
  </si>
  <si>
    <t>GRU/SAN</t>
  </si>
  <si>
    <t>GRU/RKS</t>
  </si>
  <si>
    <t>GRU/CPR</t>
  </si>
  <si>
    <t>GRU/YUM</t>
  </si>
  <si>
    <t>GRU/GJT</t>
  </si>
  <si>
    <t>GRU/HDN</t>
  </si>
  <si>
    <t>GRU/MTJ</t>
  </si>
  <si>
    <t>GRU/PHX</t>
  </si>
  <si>
    <t>GRU/CYS</t>
  </si>
  <si>
    <t>GRU/AZA</t>
  </si>
  <si>
    <t>GRU/GUC</t>
  </si>
  <si>
    <t>GRU/DRO</t>
  </si>
  <si>
    <t>GRU/DEN</t>
  </si>
  <si>
    <t>GRU/TUS</t>
  </si>
  <si>
    <t>GRU/COS</t>
  </si>
  <si>
    <t>GRU/PUB</t>
  </si>
  <si>
    <t>GRU/ABQ</t>
  </si>
  <si>
    <t>GRU/DLH</t>
  </si>
  <si>
    <t>GRU/MSP</t>
  </si>
  <si>
    <t>GRU/ELP</t>
  </si>
  <si>
    <t>GRU/RST</t>
  </si>
  <si>
    <t>GRU/LNK</t>
  </si>
  <si>
    <t>GRU/OMA</t>
  </si>
  <si>
    <t>GRU/ROW</t>
  </si>
  <si>
    <t>GRU/MQT</t>
  </si>
  <si>
    <t>GRU/AMA</t>
  </si>
  <si>
    <t>GRU/LBB</t>
  </si>
  <si>
    <t>GRU/ICT</t>
  </si>
  <si>
    <t>GRU/MCI</t>
  </si>
  <si>
    <t>GRU/MAF</t>
  </si>
  <si>
    <t>GRU/MLI</t>
  </si>
  <si>
    <t>GRU/MKE</t>
  </si>
  <si>
    <t>GRU/RFD</t>
  </si>
  <si>
    <t>GRU/OKC</t>
  </si>
  <si>
    <t>GRU/ORD</t>
  </si>
  <si>
    <t>GRU/SPS</t>
  </si>
  <si>
    <t>GRU/TUL</t>
  </si>
  <si>
    <t>GRU/PIA</t>
  </si>
  <si>
    <t>GRU/GRR</t>
  </si>
  <si>
    <t>GRU/STL</t>
  </si>
  <si>
    <t>GRU/AFW</t>
  </si>
  <si>
    <t>GRU/DFW</t>
  </si>
  <si>
    <t>GRU/BLV</t>
  </si>
  <si>
    <t>GRU/DTW</t>
  </si>
  <si>
    <t>GRU/FWA</t>
  </si>
  <si>
    <t>GRU/TOL</t>
  </si>
  <si>
    <t>GRU/GRK</t>
  </si>
  <si>
    <t>GRU/IND</t>
  </si>
  <si>
    <t>GRU/IAG</t>
  </si>
  <si>
    <t>GRU/AUS</t>
  </si>
  <si>
    <t>GRU/DAY</t>
  </si>
  <si>
    <t>GRU/PBG</t>
  </si>
  <si>
    <t>GRU/GGG</t>
  </si>
  <si>
    <t>GRU/CVG</t>
  </si>
  <si>
    <t>GRU/CMH</t>
  </si>
  <si>
    <t>GRU/SDF</t>
  </si>
  <si>
    <t>GRU/MEM</t>
  </si>
  <si>
    <t>GRU/VCT</t>
  </si>
  <si>
    <t>GRU/BGR</t>
  </si>
  <si>
    <t>GRU/PIT</t>
  </si>
  <si>
    <t>GRU/IAH</t>
  </si>
  <si>
    <t>GRU/BNA</t>
  </si>
  <si>
    <t>GRU/AEX</t>
  </si>
  <si>
    <t>GRU/MHT</t>
  </si>
  <si>
    <t>GRU/PSM</t>
  </si>
  <si>
    <t>GRU/SWF</t>
  </si>
  <si>
    <t>GRU/BDL</t>
  </si>
  <si>
    <t>GRU/MDT</t>
  </si>
  <si>
    <t>GRU/BOS</t>
  </si>
  <si>
    <t>GRU/HSV</t>
  </si>
  <si>
    <t>GRU/EWR</t>
  </si>
  <si>
    <t>GRU/JFK</t>
  </si>
  <si>
    <t>GRU/MEI</t>
  </si>
  <si>
    <t>GRU/IAD</t>
  </si>
  <si>
    <t>GRU/PHL</t>
  </si>
  <si>
    <t>GRU/BHM</t>
  </si>
  <si>
    <t>GRU/BWI</t>
  </si>
  <si>
    <t>GRU/ACY</t>
  </si>
  <si>
    <t>GRU/MSY</t>
  </si>
  <si>
    <t>GRU/ATL</t>
  </si>
  <si>
    <t>GRU/GSP</t>
  </si>
  <si>
    <t>GRU/GSO</t>
  </si>
  <si>
    <t>GRU/BFM</t>
  </si>
  <si>
    <t>GRU/CLT</t>
  </si>
  <si>
    <t>GRU/RDU</t>
  </si>
  <si>
    <t>GRU/VPS</t>
  </si>
  <si>
    <t>GRU/ECP</t>
  </si>
  <si>
    <t>GRU/MYR</t>
  </si>
  <si>
    <t>GRU/SAV</t>
  </si>
  <si>
    <t>GRU/JAX</t>
  </si>
  <si>
    <t>GRU/DAB</t>
  </si>
  <si>
    <t>GRU/PIE</t>
  </si>
  <si>
    <t>GRU/TPA</t>
  </si>
  <si>
    <t>GRU/SFB</t>
  </si>
  <si>
    <t>GRU/MCO</t>
  </si>
  <si>
    <t>GRU/SRQ</t>
  </si>
  <si>
    <t>GRU/MLB</t>
  </si>
  <si>
    <t>GRU/RSW</t>
  </si>
  <si>
    <t>GRU/PBI</t>
  </si>
  <si>
    <t>GRU/MIA</t>
  </si>
  <si>
    <t>GRU/MVD</t>
  </si>
  <si>
    <t>GRU/BHK</t>
  </si>
  <si>
    <t>GRU/MAR</t>
  </si>
  <si>
    <t>GRU/VLN</t>
  </si>
  <si>
    <t>GRU/CCS</t>
  </si>
  <si>
    <t>GRU/PMV</t>
  </si>
  <si>
    <t>GRU/SCT</t>
  </si>
  <si>
    <t>GRU/RIY</t>
  </si>
  <si>
    <t>GRU/GXF</t>
  </si>
  <si>
    <t>GRU/SAH</t>
  </si>
  <si>
    <t>GRU/ADE</t>
  </si>
  <si>
    <t>GRU/TAI</t>
  </si>
  <si>
    <t>GRU/HOD</t>
  </si>
  <si>
    <t>GRU/LUN</t>
  </si>
  <si>
    <t>GRU/HRE</t>
  </si>
  <si>
    <t>STARS</t>
  </si>
  <si>
    <t>Row Labels</t>
  </si>
  <si>
    <t>Grand Total</t>
  </si>
  <si>
    <t>Count of ROUTE</t>
  </si>
  <si>
    <t>Average of RT TIME (744)</t>
  </si>
  <si>
    <t>CGK/KJT</t>
  </si>
  <si>
    <t>(Multiple Items)</t>
  </si>
  <si>
    <t>(All)</t>
  </si>
  <si>
    <t>Average of ROUTE $</t>
  </si>
  <si>
    <t>Sum of E - DEMAND</t>
  </si>
  <si>
    <t>Average of $ PER PAX</t>
  </si>
  <si>
    <t>Average of E - DEMAND2</t>
  </si>
  <si>
    <t>Sum of DISTANCE</t>
  </si>
  <si>
    <t>Sum of ROUTE $</t>
  </si>
  <si>
    <t>GRU/MLE</t>
  </si>
  <si>
    <t>MALDIVES</t>
  </si>
  <si>
    <t>Malé International Airport</t>
  </si>
  <si>
    <t>PLANES / SETS ON ORDER-</t>
  </si>
  <si>
    <t>SCHEDULED SETS / PLANES -</t>
  </si>
  <si>
    <t>READY TO SCHEDULE SETS / PLANES -</t>
  </si>
  <si>
    <t>POTENTIAL SETS / PLANES -</t>
  </si>
  <si>
    <t>(blank)</t>
  </si>
  <si>
    <t>MODEL</t>
  </si>
  <si>
    <t>MANUFACTURER</t>
  </si>
  <si>
    <t>INTRO</t>
  </si>
  <si>
    <t>CONSUM.</t>
  </si>
  <si>
    <t>WEAR</t>
  </si>
  <si>
    <t>SEATS</t>
  </si>
  <si>
    <t>TONNAGE</t>
  </si>
  <si>
    <t>SPEED</t>
  </si>
  <si>
    <t>PRICE</t>
  </si>
  <si>
    <t>Price.m</t>
  </si>
  <si>
    <t>RANGE</t>
  </si>
  <si>
    <t>SxR</t>
  </si>
  <si>
    <t>TYPE</t>
  </si>
  <si>
    <t>CAT</t>
  </si>
  <si>
    <t>757-200</t>
  </si>
  <si>
    <t>Boeing</t>
  </si>
  <si>
    <t> 2.4 L/100km/pax</t>
  </si>
  <si>
    <t>2.5 %/100h</t>
  </si>
  <si>
    <t>850 km/h </t>
  </si>
  <si>
    <t>PAX</t>
  </si>
  <si>
    <t>A340-500</t>
  </si>
  <si>
    <t>Airbus</t>
  </si>
  <si>
    <t> 2.82 L/100km/pax</t>
  </si>
  <si>
    <t>1.8 %/100h</t>
  </si>
  <si>
    <t>881 km/h </t>
  </si>
  <si>
    <t>A350-1000</t>
  </si>
  <si>
    <t> 2.06 L/100km/pax</t>
  </si>
  <si>
    <t>1.2 %/100h</t>
  </si>
  <si>
    <t>911 km/h </t>
  </si>
  <si>
    <t>737-700ER</t>
  </si>
  <si>
    <t> 3 L/100km/pax</t>
  </si>
  <si>
    <t>1.7 %/100h</t>
  </si>
  <si>
    <t>834 km/h </t>
  </si>
  <si>
    <t>DC8-55</t>
  </si>
  <si>
    <t> 4.64 L/100km/pax</t>
  </si>
  <si>
    <t>3.2 %/100h</t>
  </si>
  <si>
    <t>876 km/h </t>
  </si>
  <si>
    <t>Il-96-300</t>
  </si>
  <si>
    <t>Ilyushin</t>
  </si>
  <si>
    <t> 4.42 L/100km/pax</t>
  </si>
  <si>
    <t>2.3 %/100h</t>
  </si>
  <si>
    <t>870 km/h </t>
  </si>
  <si>
    <t>A310-300F</t>
  </si>
  <si>
    <t> 3.55 L/100km/pax</t>
  </si>
  <si>
    <t>2.4 %/100h</t>
  </si>
  <si>
    <t>MD-11CF</t>
  </si>
  <si>
    <t> 3.95 L/100km/pax</t>
  </si>
  <si>
    <t>707-320C</t>
  </si>
  <si>
    <t> 4.16 L/100km/pax</t>
  </si>
  <si>
    <t>890 km/h </t>
  </si>
  <si>
    <t>DC8-73</t>
  </si>
  <si>
    <t> 3.32 L/100km/pax</t>
  </si>
  <si>
    <t>2.6 %/100h</t>
  </si>
  <si>
    <t>940 km/h </t>
  </si>
  <si>
    <t>A310-300</t>
  </si>
  <si>
    <t> 2.85 L/100km/pax</t>
  </si>
  <si>
    <t>A330-200</t>
  </si>
  <si>
    <t> 2.55 L/100km/pax</t>
  </si>
  <si>
    <t>2 %/100h</t>
  </si>
  <si>
    <t>871 km/h </t>
  </si>
  <si>
    <t>MD-11</t>
  </si>
  <si>
    <t> 2.91 L/100km/pax</t>
  </si>
  <si>
    <t>777-200ER</t>
  </si>
  <si>
    <t> 2.72 L/100km/pax</t>
  </si>
  <si>
    <t>892 km/h </t>
  </si>
  <si>
    <t>A319-100LR</t>
  </si>
  <si>
    <t> 2.77 L/100km/pax</t>
  </si>
  <si>
    <t>2.1 %/100h</t>
  </si>
  <si>
    <t>828 km/h </t>
  </si>
  <si>
    <t>767-200ER</t>
  </si>
  <si>
    <t> 2.65 L/100km/pax</t>
  </si>
  <si>
    <t>787-8</t>
  </si>
  <si>
    <t> 2.23 L/100km/pax</t>
  </si>
  <si>
    <t>1.5 %/100h</t>
  </si>
  <si>
    <t>A340-300</t>
  </si>
  <si>
    <t> 2.45 L/100km/pax</t>
  </si>
  <si>
    <t>777-200</t>
  </si>
  <si>
    <t> 2.75 L/100km/pax</t>
  </si>
  <si>
    <t>A330-900</t>
  </si>
  <si>
    <t> 1.88 L/100km/pax</t>
  </si>
  <si>
    <t>1.3 %/100h</t>
  </si>
  <si>
    <t>883 km/h </t>
  </si>
  <si>
    <t>A340-600</t>
  </si>
  <si>
    <t> 2.64 L/100km/pax</t>
  </si>
  <si>
    <t> 2.57 L/100km/pax</t>
  </si>
  <si>
    <t>903 km/h </t>
  </si>
  <si>
    <t>777-200F</t>
  </si>
  <si>
    <t> 3.14 L/100km/pax</t>
  </si>
  <si>
    <t>1.6 %/100h</t>
  </si>
  <si>
    <t>A350-900ULR</t>
  </si>
  <si>
    <t> 3.5 L/100km/pax</t>
  </si>
  <si>
    <t>767-400ER</t>
  </si>
  <si>
    <t> 2.32 L/100km/pax</t>
  </si>
  <si>
    <t>1.9 %/100h</t>
  </si>
  <si>
    <t>787-9</t>
  </si>
  <si>
    <t> 2.12 L/100km/pax</t>
  </si>
  <si>
    <t>1.4 %/100h</t>
  </si>
  <si>
    <t>Il-96M</t>
  </si>
  <si>
    <t> 2.73 L/100km/pax</t>
  </si>
  <si>
    <t>A330-300</t>
  </si>
  <si>
    <t> 2.05 L/100km/pax</t>
  </si>
  <si>
    <t>787-10</t>
  </si>
  <si>
    <t> 2.07 L/100km/pax</t>
  </si>
  <si>
    <t>A350-900XWB</t>
  </si>
  <si>
    <t> 2.11 L/100km/pax</t>
  </si>
  <si>
    <t>777-300</t>
  </si>
  <si>
    <t> 2.8 L/100km/pax</t>
  </si>
  <si>
    <t>777-300ER</t>
  </si>
  <si>
    <t> 2.28 L/100km/pax</t>
  </si>
  <si>
    <t>747-8I</t>
  </si>
  <si>
    <t> 2.24 L/100km/pax</t>
  </si>
  <si>
    <t>B747-400ERF</t>
  </si>
  <si>
    <t> 3.29 L/100km/pax</t>
  </si>
  <si>
    <t>747-8F</t>
  </si>
  <si>
    <t> 3.21 L/100km/pax</t>
  </si>
  <si>
    <t>767-300ER</t>
  </si>
  <si>
    <t> 2.33 L/100km/pax</t>
  </si>
  <si>
    <t>777-200LR</t>
  </si>
  <si>
    <t>747-100B</t>
  </si>
  <si>
    <t> 3.56 L/100km/pax</t>
  </si>
  <si>
    <t>3 %/100h</t>
  </si>
  <si>
    <t>907 km/h </t>
  </si>
  <si>
    <t>747-200B</t>
  </si>
  <si>
    <t> 2.56 L/100km/pax</t>
  </si>
  <si>
    <t>2.9 %/100h</t>
  </si>
  <si>
    <t>747-300</t>
  </si>
  <si>
    <t> 2.43 L/100km/pax</t>
  </si>
  <si>
    <t>916 km/h </t>
  </si>
  <si>
    <t>A380-800</t>
  </si>
  <si>
    <t> 2.44 L/100km/pax</t>
  </si>
  <si>
    <t>$ PER PAX
(550/1100 PAX)</t>
  </si>
  <si>
    <t>Yogyakarta Airport</t>
  </si>
  <si>
    <t>YIA</t>
  </si>
  <si>
    <t>RMQ</t>
  </si>
  <si>
    <t>Taichung Airport</t>
  </si>
  <si>
    <t>Frankfurt-Hahn Airport</t>
  </si>
  <si>
    <t>Moscow Oblast - Zhukovsky Airport</t>
  </si>
  <si>
    <t>ZIA</t>
  </si>
  <si>
    <t>DME/RES</t>
  </si>
  <si>
    <t>DME/JUJ</t>
  </si>
  <si>
    <t>DME/RCQ</t>
  </si>
  <si>
    <t>DME/SLA</t>
  </si>
  <si>
    <t>DME/TUC</t>
  </si>
  <si>
    <t>DME/CTC</t>
  </si>
  <si>
    <t>DME/ROS</t>
  </si>
  <si>
    <t>DME/IRJ</t>
  </si>
  <si>
    <t>DME/COR</t>
  </si>
  <si>
    <t>DME/EZE</t>
  </si>
  <si>
    <t>DME/LUQ</t>
  </si>
  <si>
    <t>DME/MDZ</t>
  </si>
  <si>
    <t>DME/IGR</t>
  </si>
  <si>
    <t>DME/SRZ</t>
  </si>
  <si>
    <t>DME/VVI</t>
  </si>
  <si>
    <t>DME/CBB</t>
  </si>
  <si>
    <t>DME/SRE</t>
  </si>
  <si>
    <t>DME/LPB</t>
  </si>
  <si>
    <t>DME/TJA</t>
  </si>
  <si>
    <t>DME/REC</t>
  </si>
  <si>
    <t>DME/BEL</t>
  </si>
  <si>
    <t>DME/PNZ</t>
  </si>
  <si>
    <t>DME/SSA</t>
  </si>
  <si>
    <t>DME/BSB</t>
  </si>
  <si>
    <t>DME/CNF</t>
  </si>
  <si>
    <t>DME/GIG</t>
  </si>
  <si>
    <t>DME/VCP</t>
  </si>
  <si>
    <t>DME/IQQ</t>
  </si>
  <si>
    <t>DME/CJC</t>
  </si>
  <si>
    <t>DME/SCL</t>
  </si>
  <si>
    <t>DME/BAQ</t>
  </si>
  <si>
    <t>DME/MDE</t>
  </si>
  <si>
    <t>DME/BOG</t>
  </si>
  <si>
    <t>DME/CLO</t>
  </si>
  <si>
    <t>DME/UIO</t>
  </si>
  <si>
    <t>DME/MEC</t>
  </si>
  <si>
    <t>DME/GYE</t>
  </si>
  <si>
    <t>DME/CAY</t>
  </si>
  <si>
    <t>DME/AGT</t>
  </si>
  <si>
    <t>DME/ASU</t>
  </si>
  <si>
    <t>DME/PEM</t>
  </si>
  <si>
    <t>DME/PCL</t>
  </si>
  <si>
    <t>DME/TRU</t>
  </si>
  <si>
    <t>DME/ATA</t>
  </si>
  <si>
    <t>DME/JAU</t>
  </si>
  <si>
    <t>DME/JUL</t>
  </si>
  <si>
    <t>DME/CUZ</t>
  </si>
  <si>
    <t>DME/AYP</t>
  </si>
  <si>
    <t>DME/LIM</t>
  </si>
  <si>
    <t>DME/AQP</t>
  </si>
  <si>
    <t>DME/PBM</t>
  </si>
  <si>
    <t>DME/MVD</t>
  </si>
  <si>
    <t>DME/PMV</t>
  </si>
  <si>
    <t>DME/CCS</t>
  </si>
  <si>
    <t>DME/VLN</t>
  </si>
  <si>
    <t>DME/MAR</t>
  </si>
  <si>
    <t>DME/LEA</t>
  </si>
  <si>
    <t>DME/DCN</t>
  </si>
  <si>
    <t>DME/DRW</t>
  </si>
  <si>
    <t>DME/PER</t>
  </si>
  <si>
    <t>DME/ADL</t>
  </si>
  <si>
    <t>DME/BNE</t>
  </si>
  <si>
    <t>DME/AVV</t>
  </si>
  <si>
    <t>DME/CBR</t>
  </si>
  <si>
    <t>DME/SYD</t>
  </si>
  <si>
    <t>DME/MEL</t>
  </si>
  <si>
    <t>DME/CNS</t>
  </si>
  <si>
    <t>DME/NAN</t>
  </si>
  <si>
    <t>DME/GUM</t>
  </si>
  <si>
    <t>DME/NOU</t>
  </si>
  <si>
    <t>DME/FAI</t>
  </si>
  <si>
    <t>DME/BGR</t>
  </si>
  <si>
    <t>DME/ANC</t>
  </si>
  <si>
    <t>DME/PSM</t>
  </si>
  <si>
    <t>DME/PBG</t>
  </si>
  <si>
    <t>DME/MHT</t>
  </si>
  <si>
    <t>DME/BOS</t>
  </si>
  <si>
    <t>DME/BDL</t>
  </si>
  <si>
    <t>DME/IAG</t>
  </si>
  <si>
    <t>DME/SWF</t>
  </si>
  <si>
    <t>DME/CDB</t>
  </si>
  <si>
    <t>DME/EWR</t>
  </si>
  <si>
    <t>DME/JFK</t>
  </si>
  <si>
    <t>DME/ACY</t>
  </si>
  <si>
    <t>DME/MQT</t>
  </si>
  <si>
    <t>DME/PHL</t>
  </si>
  <si>
    <t>DME/DLH</t>
  </si>
  <si>
    <t>DME/MDT</t>
  </si>
  <si>
    <t>DME/TOL</t>
  </si>
  <si>
    <t>DME/GRR</t>
  </si>
  <si>
    <t>DME/PIT</t>
  </si>
  <si>
    <t>DME/IAD</t>
  </si>
  <si>
    <t>DME/DTW</t>
  </si>
  <si>
    <t>DME/BWI</t>
  </si>
  <si>
    <t>DME/CMH</t>
  </si>
  <si>
    <t>DME/MKE</t>
  </si>
  <si>
    <t>DME/MSP</t>
  </si>
  <si>
    <t>DME/RFD</t>
  </si>
  <si>
    <t>DME/FWA</t>
  </si>
  <si>
    <t>DME/RST</t>
  </si>
  <si>
    <t>DME/DAY</t>
  </si>
  <si>
    <t>DME/ORD</t>
  </si>
  <si>
    <t>DME/PIA</t>
  </si>
  <si>
    <t>DME/GTF</t>
  </si>
  <si>
    <t>DME/MLI</t>
  </si>
  <si>
    <t>DME/RDU</t>
  </si>
  <si>
    <t>DME/IND</t>
  </si>
  <si>
    <t>DME/CVG</t>
  </si>
  <si>
    <t>DME/MSO</t>
  </si>
  <si>
    <t>DME/BIL</t>
  </si>
  <si>
    <t>DME/SDF</t>
  </si>
  <si>
    <t>DME/GSO</t>
  </si>
  <si>
    <t>DME/BLV</t>
  </si>
  <si>
    <t>DME/BFI</t>
  </si>
  <si>
    <t>DME/MYR</t>
  </si>
  <si>
    <t>DME/OMA</t>
  </si>
  <si>
    <t>DME/STL</t>
  </si>
  <si>
    <t>DME/SEA</t>
  </si>
  <si>
    <t>DME/CLT</t>
  </si>
  <si>
    <t>DME/CPR</t>
  </si>
  <si>
    <t>DME/LNK</t>
  </si>
  <si>
    <t>DME/GSP</t>
  </si>
  <si>
    <t>DME/MCI</t>
  </si>
  <si>
    <t>DME/BNA</t>
  </si>
  <si>
    <t>DME/PDX</t>
  </si>
  <si>
    <t>DME/RKS</t>
  </si>
  <si>
    <t>DME/PIH</t>
  </si>
  <si>
    <t>DME/CYS</t>
  </si>
  <si>
    <t>DME/BOI</t>
  </si>
  <si>
    <t>DME/HSV</t>
  </si>
  <si>
    <t>DME/SAV</t>
  </si>
  <si>
    <t>DME/ATL</t>
  </si>
  <si>
    <t>DME/HDN</t>
  </si>
  <si>
    <t>DME/ICT</t>
  </si>
  <si>
    <t>DME/BHM</t>
  </si>
  <si>
    <t>DME/JAX</t>
  </si>
  <si>
    <t>DME/MEM</t>
  </si>
  <si>
    <t>DME/DEN</t>
  </si>
  <si>
    <t>DME/MEI</t>
  </si>
  <si>
    <t>DME/PUB</t>
  </si>
  <si>
    <t>DME/LMT</t>
  </si>
  <si>
    <t>DME/DAB</t>
  </si>
  <si>
    <t>DME/SFB</t>
  </si>
  <si>
    <t>DME/COS</t>
  </si>
  <si>
    <t>DME/TUL</t>
  </si>
  <si>
    <t>DME/SLC</t>
  </si>
  <si>
    <t>DME/VPS</t>
  </si>
  <si>
    <t>DME/MTJ</t>
  </si>
  <si>
    <t>DME/MLB</t>
  </si>
  <si>
    <t>DME/GUC</t>
  </si>
  <si>
    <t>DME/GJT</t>
  </si>
  <si>
    <t>DME/ECP</t>
  </si>
  <si>
    <t>DME/OKC</t>
  </si>
  <si>
    <t>DME/MCO</t>
  </si>
  <si>
    <t>DME/SPS</t>
  </si>
  <si>
    <t>DME/AMA</t>
  </si>
  <si>
    <t>DME/DRO</t>
  </si>
  <si>
    <t>DME/PIE</t>
  </si>
  <si>
    <t>DME/RNO</t>
  </si>
  <si>
    <t>DME/SRQ</t>
  </si>
  <si>
    <t>DME/BFM</t>
  </si>
  <si>
    <t>DME/PBI</t>
  </si>
  <si>
    <t>DME/TPA</t>
  </si>
  <si>
    <t>DME/GGG</t>
  </si>
  <si>
    <t>DME/AFW</t>
  </si>
  <si>
    <t>DME/AEX</t>
  </si>
  <si>
    <t>DME/MSY</t>
  </si>
  <si>
    <t>DME/RSW</t>
  </si>
  <si>
    <t>DME/DFW</t>
  </si>
  <si>
    <t>DME/MIA</t>
  </si>
  <si>
    <t>DME/SCK</t>
  </si>
  <si>
    <t>DME/LBB</t>
  </si>
  <si>
    <t>DME/ABQ</t>
  </si>
  <si>
    <t>DME/ROW</t>
  </si>
  <si>
    <t>DME/GRK</t>
  </si>
  <si>
    <t>DME/FAT</t>
  </si>
  <si>
    <t>DME/SJC</t>
  </si>
  <si>
    <t>DME/OAK</t>
  </si>
  <si>
    <t>DME/IAH</t>
  </si>
  <si>
    <t>DME/LAS</t>
  </si>
  <si>
    <t>DME/SFO</t>
  </si>
  <si>
    <t>DME/BFL</t>
  </si>
  <si>
    <t>DME/MAF</t>
  </si>
  <si>
    <t>DME/AUS</t>
  </si>
  <si>
    <t>DME/VCT</t>
  </si>
  <si>
    <t>DME/AZA</t>
  </si>
  <si>
    <t>DME/ONT</t>
  </si>
  <si>
    <t>DME/PSP</t>
  </si>
  <si>
    <t>DME/ELP</t>
  </si>
  <si>
    <t>DME/PHX</t>
  </si>
  <si>
    <t>DME/YUM</t>
  </si>
  <si>
    <t>DME/TUS</t>
  </si>
  <si>
    <t>DME/LGB</t>
  </si>
  <si>
    <t>DME/LAX</t>
  </si>
  <si>
    <t>DME/SAN</t>
  </si>
  <si>
    <t>DME/HNL</t>
  </si>
  <si>
    <t>DME/ITO</t>
  </si>
  <si>
    <t>DME/KOA</t>
  </si>
  <si>
    <t>DME/AUA</t>
  </si>
  <si>
    <t>DME/FPO</t>
  </si>
  <si>
    <t>DME/NAS</t>
  </si>
  <si>
    <t>DME/BGI</t>
  </si>
  <si>
    <t>DME/BDA</t>
  </si>
  <si>
    <t>DME/YYQ</t>
  </si>
  <si>
    <t>DME/YBG</t>
  </si>
  <si>
    <t>DME/YXY</t>
  </si>
  <si>
    <t>DME/YVO</t>
  </si>
  <si>
    <t>DME/YUL</t>
  </si>
  <si>
    <t>DME/YOW</t>
  </si>
  <si>
    <t>DME/YYB</t>
  </si>
  <si>
    <t>DME/YYZ</t>
  </si>
  <si>
    <t>DME/YHM</t>
  </si>
  <si>
    <t>DME/YWG</t>
  </si>
  <si>
    <t>DME/YEG</t>
  </si>
  <si>
    <t>DME/YXS</t>
  </si>
  <si>
    <t>DME/YYC</t>
  </si>
  <si>
    <t>DME/YQQ</t>
  </si>
  <si>
    <t>DME/YXX</t>
  </si>
  <si>
    <t>DME/YVR</t>
  </si>
  <si>
    <t>DME/YQX</t>
  </si>
  <si>
    <t>DME/YYR</t>
  </si>
  <si>
    <t>DME/YJT</t>
  </si>
  <si>
    <t>DME/SJO</t>
  </si>
  <si>
    <t>DME/SNU</t>
  </si>
  <si>
    <t>DME/VRA</t>
  </si>
  <si>
    <t>DME/SCU</t>
  </si>
  <si>
    <t>DME/CMW</t>
  </si>
  <si>
    <t>DME/HOG</t>
  </si>
  <si>
    <t>DME/CCC</t>
  </si>
  <si>
    <t>DME/HAV</t>
  </si>
  <si>
    <t>DME/CYO</t>
  </si>
  <si>
    <t>DME/DOM</t>
  </si>
  <si>
    <t>DME/LRM</t>
  </si>
  <si>
    <t>DME/POP</t>
  </si>
  <si>
    <t>DME/AZS</t>
  </si>
  <si>
    <t>DME/PUJ</t>
  </si>
  <si>
    <t>DME/SDQ</t>
  </si>
  <si>
    <t>DME/SAL</t>
  </si>
  <si>
    <t>DME/SFJ</t>
  </si>
  <si>
    <t>DME/PTP</t>
  </si>
  <si>
    <t>DME/GUA</t>
  </si>
  <si>
    <t>DME/PAP</t>
  </si>
  <si>
    <t>DME/LCE</t>
  </si>
  <si>
    <t>DME/SAP</t>
  </si>
  <si>
    <t>DME/FDF</t>
  </si>
  <si>
    <t>DME/TIJ</t>
  </si>
  <si>
    <t>DME/CUN</t>
  </si>
  <si>
    <t>DME/MID</t>
  </si>
  <si>
    <t>DME/MTY</t>
  </si>
  <si>
    <t>DME/SLP</t>
  </si>
  <si>
    <t>DME/ZCL</t>
  </si>
  <si>
    <t>DME/DGO</t>
  </si>
  <si>
    <t>DME/BJX</t>
  </si>
  <si>
    <t>DME/AGU</t>
  </si>
  <si>
    <t>DME/MLM</t>
  </si>
  <si>
    <t>DME/PBC</t>
  </si>
  <si>
    <t>DME/TLC</t>
  </si>
  <si>
    <t>DME/SJD</t>
  </si>
  <si>
    <t>DME/GDL</t>
  </si>
  <si>
    <t>DME/MEX</t>
  </si>
  <si>
    <t>DME/PVR</t>
  </si>
  <si>
    <t>DME/ACA</t>
  </si>
  <si>
    <t>DME/BON</t>
  </si>
  <si>
    <t>DME/CUR</t>
  </si>
  <si>
    <t>DME/PTY</t>
  </si>
  <si>
    <t>DME/BQN</t>
  </si>
  <si>
    <t>DME/SJU</t>
  </si>
  <si>
    <t>DME/RMQ</t>
  </si>
  <si>
    <t>DME/OSR</t>
  </si>
  <si>
    <t>DME/PRG</t>
  </si>
  <si>
    <t>DME/VIE</t>
  </si>
  <si>
    <t>DME/GRZ</t>
  </si>
  <si>
    <t>DME/LNZ</t>
  </si>
  <si>
    <t>DME/NAJ</t>
  </si>
  <si>
    <t>DME/GYD</t>
  </si>
  <si>
    <t>DME/MSQ</t>
  </si>
  <si>
    <t>DME/LGG</t>
  </si>
  <si>
    <t>DME/BRU</t>
  </si>
  <si>
    <t>DME/OST</t>
  </si>
  <si>
    <t>DME/BOJ</t>
  </si>
  <si>
    <t>DME/SOF</t>
  </si>
  <si>
    <t>DME/ZAG</t>
  </si>
  <si>
    <t>DME/PUY</t>
  </si>
  <si>
    <t>DME/DBV</t>
  </si>
  <si>
    <t>DME/LCA</t>
  </si>
  <si>
    <t>DME/CPH</t>
  </si>
  <si>
    <t>DME/AAR</t>
  </si>
  <si>
    <t>DME/KRP</t>
  </si>
  <si>
    <t>DME/BLL</t>
  </si>
  <si>
    <t>DME/TLL</t>
  </si>
  <si>
    <t>DME/HEL</t>
  </si>
  <si>
    <t>DME/KUO</t>
  </si>
  <si>
    <t>DME/RVN</t>
  </si>
  <si>
    <t>DME/ETZ</t>
  </si>
  <si>
    <t>DME/MLH</t>
  </si>
  <si>
    <t>DME/XCR</t>
  </si>
  <si>
    <t>DME/LIL</t>
  </si>
  <si>
    <t>DME/GNB</t>
  </si>
  <si>
    <t>DME/NCE</t>
  </si>
  <si>
    <t>DME/LYS</t>
  </si>
  <si>
    <t>DME/ORY</t>
  </si>
  <si>
    <t>DME/CDG</t>
  </si>
  <si>
    <t>DME/CHR</t>
  </si>
  <si>
    <t>DME/CFE</t>
  </si>
  <si>
    <t>DME/MRS</t>
  </si>
  <si>
    <t>DME/NTE</t>
  </si>
  <si>
    <t>DME/BES</t>
  </si>
  <si>
    <t>DME/BOD</t>
  </si>
  <si>
    <t>DME/TLS</t>
  </si>
  <si>
    <t>DME/LDE</t>
  </si>
  <si>
    <t>DME/TBS</t>
  </si>
  <si>
    <t>DME/SXF</t>
  </si>
  <si>
    <t>DME/DRS</t>
  </si>
  <si>
    <t>DME/TXL</t>
  </si>
  <si>
    <t>DME/LEJ</t>
  </si>
  <si>
    <t>DME/HAJ</t>
  </si>
  <si>
    <t>DME/HAM</t>
  </si>
  <si>
    <t>DME/MUC</t>
  </si>
  <si>
    <t>DME/FMM</t>
  </si>
  <si>
    <t>DME/DUS</t>
  </si>
  <si>
    <t>DME/CGN</t>
  </si>
  <si>
    <t>DME/STR</t>
  </si>
  <si>
    <t>DME/FRA</t>
  </si>
  <si>
    <t>DME/ZQW</t>
  </si>
  <si>
    <t>DME/FKB</t>
  </si>
  <si>
    <t>DME/HHN</t>
  </si>
  <si>
    <t>DME/KVA</t>
  </si>
  <si>
    <t>DME/LXS</t>
  </si>
  <si>
    <t>DME/SKU</t>
  </si>
  <si>
    <t>DME/VOL</t>
  </si>
  <si>
    <t>DME/ATH</t>
  </si>
  <si>
    <t>DME/GPA</t>
  </si>
  <si>
    <t>DME/PVK</t>
  </si>
  <si>
    <t>DME/RHO</t>
  </si>
  <si>
    <t>DME/KLX</t>
  </si>
  <si>
    <t>DME/CHQ</t>
  </si>
  <si>
    <t>DME/BUD</t>
  </si>
  <si>
    <t>DME/KEF</t>
  </si>
  <si>
    <t>DME/SNN</t>
  </si>
  <si>
    <t>DME/TRS</t>
  </si>
  <si>
    <t>DME/VCE</t>
  </si>
  <si>
    <t>DME/VBS</t>
  </si>
  <si>
    <t>DME/RMI</t>
  </si>
  <si>
    <t>DME/AOI</t>
  </si>
  <si>
    <t>DME/VRN</t>
  </si>
  <si>
    <t>DME/BLQ</t>
  </si>
  <si>
    <t>DME/MXP</t>
  </si>
  <si>
    <t>DME/BGY</t>
  </si>
  <si>
    <t>DME/TRN</t>
  </si>
  <si>
    <t>DME/GOA</t>
  </si>
  <si>
    <t>DME/PSA</t>
  </si>
  <si>
    <t>DME/FCO</t>
  </si>
  <si>
    <t>DME/PMO</t>
  </si>
  <si>
    <t>DME/CAG</t>
  </si>
  <si>
    <t>DME/AHO</t>
  </si>
  <si>
    <t>DME/GUW</t>
  </si>
  <si>
    <t>DME/AKX</t>
  </si>
  <si>
    <t>DME/TSE</t>
  </si>
  <si>
    <t>DME/KGF</t>
  </si>
  <si>
    <t>DME/PLX</t>
  </si>
  <si>
    <t>DME/ALA</t>
  </si>
  <si>
    <t>DME/RIX</t>
  </si>
  <si>
    <t>DME/KUN</t>
  </si>
  <si>
    <t>DME/SQQ</t>
  </si>
  <si>
    <t>DME/LUX</t>
  </si>
  <si>
    <t>DME/MLA</t>
  </si>
  <si>
    <t>DME/KIV</t>
  </si>
  <si>
    <t>DME/EIN</t>
  </si>
  <si>
    <t>DME/AMS</t>
  </si>
  <si>
    <t>DME/OSL</t>
  </si>
  <si>
    <t>DME/LKL</t>
  </si>
  <si>
    <t>DME/TRD</t>
  </si>
  <si>
    <t>DME/TRF</t>
  </si>
  <si>
    <t>DME/EVE</t>
  </si>
  <si>
    <t>DME/BOO</t>
  </si>
  <si>
    <t>DME/BGO</t>
  </si>
  <si>
    <t>DME/RZE</t>
  </si>
  <si>
    <t>DME/WAW</t>
  </si>
  <si>
    <t>DME/GDN</t>
  </si>
  <si>
    <t>DME/KTW</t>
  </si>
  <si>
    <t>DME/OPO</t>
  </si>
  <si>
    <t>DME/LIS</t>
  </si>
  <si>
    <t>DME/PXO</t>
  </si>
  <si>
    <t>DME/FNC</t>
  </si>
  <si>
    <t>DME/SMA</t>
  </si>
  <si>
    <t>DME/TER</t>
  </si>
  <si>
    <t>DME/SBZ</t>
  </si>
  <si>
    <t>DME/CND</t>
  </si>
  <si>
    <t>DME/OTP</t>
  </si>
  <si>
    <t>DME/BBU</t>
  </si>
  <si>
    <t>DME/TSR</t>
  </si>
  <si>
    <t>DME/ZIA</t>
  </si>
  <si>
    <t>DME/GOJ</t>
  </si>
  <si>
    <t>DME/LED</t>
  </si>
  <si>
    <t>DME/KZN</t>
  </si>
  <si>
    <t>DME/ULY</t>
  </si>
  <si>
    <t>DME/KUF</t>
  </si>
  <si>
    <t>DME/UFA</t>
  </si>
  <si>
    <t>DME/PEE</t>
  </si>
  <si>
    <t>DME/KRR</t>
  </si>
  <si>
    <t>DME/MRV</t>
  </si>
  <si>
    <t>DME/AER</t>
  </si>
  <si>
    <t>DME/OGZ</t>
  </si>
  <si>
    <t>DME/SVX</t>
  </si>
  <si>
    <t>DME/CEK</t>
  </si>
  <si>
    <t>DME/TJM</t>
  </si>
  <si>
    <t>DME/SGC</t>
  </si>
  <si>
    <t>DME/OMS</t>
  </si>
  <si>
    <t>DME/NJC</t>
  </si>
  <si>
    <t>DME/NSK</t>
  </si>
  <si>
    <t>DME/OVB</t>
  </si>
  <si>
    <t>DME/KEJ</t>
  </si>
  <si>
    <t>DME/BAX</t>
  </si>
  <si>
    <t>DME/KJA</t>
  </si>
  <si>
    <t>DME/ABA</t>
  </si>
  <si>
    <t>DME/IKT</t>
  </si>
  <si>
    <t>DME/MJZ</t>
  </si>
  <si>
    <t>DME/IKS</t>
  </si>
  <si>
    <t>DME/UUD</t>
  </si>
  <si>
    <t>DME/HTA</t>
  </si>
  <si>
    <t>DME/YKS</t>
  </si>
  <si>
    <t>DME/BQS</t>
  </si>
  <si>
    <t>DME/DYR</t>
  </si>
  <si>
    <t>DME/KHV</t>
  </si>
  <si>
    <t>DME/VVO</t>
  </si>
  <si>
    <t>DME/UUS</t>
  </si>
  <si>
    <t>DME/PKC</t>
  </si>
  <si>
    <t>DME/GDX</t>
  </si>
  <si>
    <t>DME/BEG</t>
  </si>
  <si>
    <t>DME/KSC</t>
  </si>
  <si>
    <t>DME/BTS</t>
  </si>
  <si>
    <t>DME/LJU</t>
  </si>
  <si>
    <t>DME/BCN</t>
  </si>
  <si>
    <t>DME/VIT</t>
  </si>
  <si>
    <t>DME/ZAZ</t>
  </si>
  <si>
    <t>DME/PMI</t>
  </si>
  <si>
    <t>DME/VLC</t>
  </si>
  <si>
    <t>DME/IBZ</t>
  </si>
  <si>
    <t>DME/VLL</t>
  </si>
  <si>
    <t>DME/ALC</t>
  </si>
  <si>
    <t>DME/MAD</t>
  </si>
  <si>
    <t>DME/SCQ</t>
  </si>
  <si>
    <t>DME/LEI</t>
  </si>
  <si>
    <t>DME/BJZ</t>
  </si>
  <si>
    <t>DME/GRX</t>
  </si>
  <si>
    <t>DME/SVQ</t>
  </si>
  <si>
    <t>DME/AGP</t>
  </si>
  <si>
    <t>DME/TFN</t>
  </si>
  <si>
    <t>DME/LPA</t>
  </si>
  <si>
    <t>DME/TFS</t>
  </si>
  <si>
    <t>DME/NYO</t>
  </si>
  <si>
    <t>DME/ARN</t>
  </si>
  <si>
    <t>DME/LLA</t>
  </si>
  <si>
    <t>DME/MMX</t>
  </si>
  <si>
    <t>DME/GOT</t>
  </si>
  <si>
    <t>DME/ZRH</t>
  </si>
  <si>
    <t>DME/BSL</t>
  </si>
  <si>
    <t>DME/GVA</t>
  </si>
  <si>
    <t>DME/KBP</t>
  </si>
  <si>
    <t>DME/DNK</t>
  </si>
  <si>
    <t>DME/SIP</t>
  </si>
  <si>
    <t>DME/ODS</t>
  </si>
  <si>
    <t>DME/MSE</t>
  </si>
  <si>
    <t>DME/DSA</t>
  </si>
  <si>
    <t>DME/EMA</t>
  </si>
  <si>
    <t>DME/LHR</t>
  </si>
  <si>
    <t>DME/LGW</t>
  </si>
  <si>
    <t>DME/STN</t>
  </si>
  <si>
    <t>DME/PIK</t>
  </si>
  <si>
    <t>DME/MAN</t>
  </si>
  <si>
    <t>DME/CAL</t>
  </si>
  <si>
    <t>DME/BFS</t>
  </si>
  <si>
    <t>DME/BGW</t>
  </si>
  <si>
    <t>DME/BSR</t>
  </si>
  <si>
    <t>DME/MZR</t>
  </si>
  <si>
    <t>DME/KBL</t>
  </si>
  <si>
    <t>DME/KDH</t>
  </si>
  <si>
    <t>DME/LWN</t>
  </si>
  <si>
    <t>DME/EVN</t>
  </si>
  <si>
    <t>DME/BAH</t>
  </si>
  <si>
    <t>DME/ZYL</t>
  </si>
  <si>
    <t>DME/DAC</t>
  </si>
  <si>
    <t>DME/CGP</t>
  </si>
  <si>
    <t>DME/BWN</t>
  </si>
  <si>
    <t>DME/PNH</t>
  </si>
  <si>
    <t>DME/KHG</t>
  </si>
  <si>
    <t>DME/KRL</t>
  </si>
  <si>
    <t>DME/HTN</t>
  </si>
  <si>
    <t>DME/URC</t>
  </si>
  <si>
    <t>DME/DNH</t>
  </si>
  <si>
    <t>DME/GOQ</t>
  </si>
  <si>
    <t>DME/NZH</t>
  </si>
  <si>
    <t>DME/LXA</t>
  </si>
  <si>
    <t>DME/XNN</t>
  </si>
  <si>
    <t>DME/BPX</t>
  </si>
  <si>
    <t>DME/ZHY</t>
  </si>
  <si>
    <t>DME/LZY</t>
  </si>
  <si>
    <t>DME/INC</t>
  </si>
  <si>
    <t>DME/LHW</t>
  </si>
  <si>
    <t>DME/HET</t>
  </si>
  <si>
    <t>DME/THQ</t>
  </si>
  <si>
    <t>DME/JZH</t>
  </si>
  <si>
    <t>DME/ENY</t>
  </si>
  <si>
    <t>DME/JNG</t>
  </si>
  <si>
    <t>DME/KMG</t>
  </si>
  <si>
    <t>DME/DLC</t>
  </si>
  <si>
    <t>DME/XUZ</t>
  </si>
  <si>
    <t>DME/KWE</t>
  </si>
  <si>
    <t>DME/TAO</t>
  </si>
  <si>
    <t>DME/WUH</t>
  </si>
  <si>
    <t>DME/HFE</t>
  </si>
  <si>
    <t>DME/JIU</t>
  </si>
  <si>
    <t>DME/AQG</t>
  </si>
  <si>
    <t>DME/CZX</t>
  </si>
  <si>
    <t>DME/KHN</t>
  </si>
  <si>
    <t>DME/KWL</t>
  </si>
  <si>
    <t>DME/NKG</t>
  </si>
  <si>
    <t>DME/WUX</t>
  </si>
  <si>
    <t>DME/BHY</t>
  </si>
  <si>
    <t>DME/HGH</t>
  </si>
  <si>
    <t>DME/PVG</t>
  </si>
  <si>
    <t>DME/SHA</t>
  </si>
  <si>
    <t>DME/NGB</t>
  </si>
  <si>
    <t>DME/CAN</t>
  </si>
  <si>
    <t>DME/MFM</t>
  </si>
  <si>
    <t>DME/ZUH</t>
  </si>
  <si>
    <t>DME/HAK</t>
  </si>
  <si>
    <t>DME/HKG</t>
  </si>
  <si>
    <t>DME/SZX</t>
  </si>
  <si>
    <t>DME/FOC</t>
  </si>
  <si>
    <t>DME/SYX</t>
  </si>
  <si>
    <t>DME/XMN</t>
  </si>
  <si>
    <t>DME/DIG</t>
  </si>
  <si>
    <t>DME/TYN</t>
  </si>
  <si>
    <t>DME/XIY</t>
  </si>
  <si>
    <t>DME/PEK</t>
  </si>
  <si>
    <t>DME/CTU</t>
  </si>
  <si>
    <t>DME/XIC</t>
  </si>
  <si>
    <t>DME/YCU</t>
  </si>
  <si>
    <t>DME/TSN</t>
  </si>
  <si>
    <t>DME/SJW</t>
  </si>
  <si>
    <t>DME/PKX</t>
  </si>
  <si>
    <t>DME/PZI</t>
  </si>
  <si>
    <t>DME/CGQ</t>
  </si>
  <si>
    <t>DME/CKG</t>
  </si>
  <si>
    <t>DME/HRB</t>
  </si>
  <si>
    <t>DME/WXN</t>
  </si>
  <si>
    <t>DME/TNA</t>
  </si>
  <si>
    <t>DME/SHE</t>
  </si>
  <si>
    <t>DME/CGO</t>
  </si>
  <si>
    <t>DME/SXR</t>
  </si>
  <si>
    <t>DME/ATQ</t>
  </si>
  <si>
    <t>DME/IXL</t>
  </si>
  <si>
    <t>DME/DEL</t>
  </si>
  <si>
    <t>DME/JAI</t>
  </si>
  <si>
    <t>DME/AMD</t>
  </si>
  <si>
    <t>DME/BOM</t>
  </si>
  <si>
    <t>DME/NAG</t>
  </si>
  <si>
    <t>DME/IXB</t>
  </si>
  <si>
    <t>DME/GOI</t>
  </si>
  <si>
    <t>DME/GAU</t>
  </si>
  <si>
    <t>DME/HYD</t>
  </si>
  <si>
    <t>DME/CCU</t>
  </si>
  <si>
    <t>DME/VTZ</t>
  </si>
  <si>
    <t>DME/TRV</t>
  </si>
  <si>
    <t>DME/IXZ</t>
  </si>
  <si>
    <t>DME/IXE</t>
  </si>
  <si>
    <t>DME/BLR</t>
  </si>
  <si>
    <t>DME/CCJ</t>
  </si>
  <si>
    <t>DME/MAA</t>
  </si>
  <si>
    <t>DME/COK</t>
  </si>
  <si>
    <t>DME/KNO</t>
  </si>
  <si>
    <t>DME/BTH</t>
  </si>
  <si>
    <t>DME/HLP</t>
  </si>
  <si>
    <t>DME/YIA</t>
  </si>
  <si>
    <t>DME/SUB</t>
  </si>
  <si>
    <t>DME/UPG</t>
  </si>
  <si>
    <t>DME/DPS</t>
  </si>
  <si>
    <t>DME/TBZ</t>
  </si>
  <si>
    <t>DME/KSH</t>
  </si>
  <si>
    <t>DME/IKA</t>
  </si>
  <si>
    <t>DME/THR</t>
  </si>
  <si>
    <t>DME/IFN</t>
  </si>
  <si>
    <t>DME/MHD</t>
  </si>
  <si>
    <t>DME/AWZ</t>
  </si>
  <si>
    <t>DME/AZD</t>
  </si>
  <si>
    <t>DME/SYZ</t>
  </si>
  <si>
    <t>DME/KER</t>
  </si>
  <si>
    <t>DME/ACZ</t>
  </si>
  <si>
    <t>DME/BND</t>
  </si>
  <si>
    <t>DME/TLV</t>
  </si>
  <si>
    <t>DME/ETM</t>
  </si>
  <si>
    <t>DME/VDA</t>
  </si>
  <si>
    <t>DME/HKD</t>
  </si>
  <si>
    <t>DME/CTS</t>
  </si>
  <si>
    <t>DME/AOJ</t>
  </si>
  <si>
    <t>DME/KMJ</t>
  </si>
  <si>
    <t>DME/OIT</t>
  </si>
  <si>
    <t>DME/NGS</t>
  </si>
  <si>
    <t>DME/FUK</t>
  </si>
  <si>
    <t>DME/SDJ</t>
  </si>
  <si>
    <t>DME/KOJ</t>
  </si>
  <si>
    <t>DME/KIX</t>
  </si>
  <si>
    <t>DME/ITM</t>
  </si>
  <si>
    <t>DME/NGO</t>
  </si>
  <si>
    <t>DME/NRT</t>
  </si>
  <si>
    <t>DME/HND</t>
  </si>
  <si>
    <t>DME/OKA</t>
  </si>
  <si>
    <t>DME/AMM</t>
  </si>
  <si>
    <t>DME/AQJ</t>
  </si>
  <si>
    <t>DME/KWI</t>
  </si>
  <si>
    <t>DME/FRU</t>
  </si>
  <si>
    <t>DME/VTE</t>
  </si>
  <si>
    <t>DME/BEY</t>
  </si>
  <si>
    <t>DME/LGK</t>
  </si>
  <si>
    <t>DME/PEN</t>
  </si>
  <si>
    <t>DME/TGG</t>
  </si>
  <si>
    <t>DME/KUA</t>
  </si>
  <si>
    <t>DME/SZB</t>
  </si>
  <si>
    <t>DME/KUL</t>
  </si>
  <si>
    <t>DME/JHB</t>
  </si>
  <si>
    <t>DME/SBW</t>
  </si>
  <si>
    <t>DME/BKI</t>
  </si>
  <si>
    <t>DME/HVD</t>
  </si>
  <si>
    <t>DME/BYN</t>
  </si>
  <si>
    <t>DME/ULN</t>
  </si>
  <si>
    <t>DME/RGN</t>
  </si>
  <si>
    <t>DME/MDL</t>
  </si>
  <si>
    <t>DME/KTM</t>
  </si>
  <si>
    <t>DME/FNJ</t>
  </si>
  <si>
    <t>DME/MCT</t>
  </si>
  <si>
    <t>DME/SLL</t>
  </si>
  <si>
    <t>DME/UET</t>
  </si>
  <si>
    <t>DME/ISB</t>
  </si>
  <si>
    <t>DME/LYP</t>
  </si>
  <si>
    <t>DME/LHE</t>
  </si>
  <si>
    <t>DME/RYK</t>
  </si>
  <si>
    <t>DME/BHV</t>
  </si>
  <si>
    <t>DME/KHI</t>
  </si>
  <si>
    <t>DME/LAO</t>
  </si>
  <si>
    <t>DME/CRK</t>
  </si>
  <si>
    <t>DME/MNL</t>
  </si>
  <si>
    <t>DME/CEB</t>
  </si>
  <si>
    <t>DME/DVO</t>
  </si>
  <si>
    <t>DME/GES</t>
  </si>
  <si>
    <t>DME/DOH</t>
  </si>
  <si>
    <t>DME/TUI</t>
  </si>
  <si>
    <t>DME/URY</t>
  </si>
  <si>
    <t>DME/RAE</t>
  </si>
  <si>
    <t>DME/AJF</t>
  </si>
  <si>
    <t>DME/RAH</t>
  </si>
  <si>
    <t>DME/TUU</t>
  </si>
  <si>
    <t>DME/HBT</t>
  </si>
  <si>
    <t>DME/AQI</t>
  </si>
  <si>
    <t>DME/HAS</t>
  </si>
  <si>
    <t>DME/EJH</t>
  </si>
  <si>
    <t>DME/ELQ</t>
  </si>
  <si>
    <t>DME/DMM</t>
  </si>
  <si>
    <t>DME/MED</t>
  </si>
  <si>
    <t>DME/DWD</t>
  </si>
  <si>
    <t>DME/HOF</t>
  </si>
  <si>
    <t>DME/YNB</t>
  </si>
  <si>
    <t>DME/RUH</t>
  </si>
  <si>
    <t>DME/TIF</t>
  </si>
  <si>
    <t>DME/JED</t>
  </si>
  <si>
    <t>DME/BHH</t>
  </si>
  <si>
    <t>DME/WAE</t>
  </si>
  <si>
    <t>DME/ABT</t>
  </si>
  <si>
    <t>DME/AHB</t>
  </si>
  <si>
    <t>DME/GIZ</t>
  </si>
  <si>
    <t>DME/SHW</t>
  </si>
  <si>
    <t>DME/EAM</t>
  </si>
  <si>
    <t>DME/SIN</t>
  </si>
  <si>
    <t>DME/GMP</t>
  </si>
  <si>
    <t>DME/ICN</t>
  </si>
  <si>
    <t>DME/MWX</t>
  </si>
  <si>
    <t>DME/KWJ</t>
  </si>
  <si>
    <t>DME/TAE</t>
  </si>
  <si>
    <t>DME/PUS</t>
  </si>
  <si>
    <t>DME/CJU</t>
  </si>
  <si>
    <t>DME/CMB</t>
  </si>
  <si>
    <t>DME/KAC</t>
  </si>
  <si>
    <t>DME/LTK</t>
  </si>
  <si>
    <t>DME/ALP</t>
  </si>
  <si>
    <t>DME/DEZ</t>
  </si>
  <si>
    <t>DME/DAM</t>
  </si>
  <si>
    <t>DME/TPE</t>
  </si>
  <si>
    <t>DME/KHH</t>
  </si>
  <si>
    <t>DME/DYU</t>
  </si>
  <si>
    <t>DME/CEI</t>
  </si>
  <si>
    <t>DME/CNX</t>
  </si>
  <si>
    <t>DME/BKK</t>
  </si>
  <si>
    <t>DME/DMK</t>
  </si>
  <si>
    <t>DME/UTP</t>
  </si>
  <si>
    <t>DME/URT</t>
  </si>
  <si>
    <t>DME/HKT</t>
  </si>
  <si>
    <t>DME/KBV</t>
  </si>
  <si>
    <t>DME/HDY</t>
  </si>
  <si>
    <t>DME/MZH</t>
  </si>
  <si>
    <t>DME/SZF</t>
  </si>
  <si>
    <t>DME/TEQ</t>
  </si>
  <si>
    <t>DME/ERC</t>
  </si>
  <si>
    <t>DME/VAS</t>
  </si>
  <si>
    <t>DME/ERZ</t>
  </si>
  <si>
    <t>DME/KSY</t>
  </si>
  <si>
    <t>DME/ESB</t>
  </si>
  <si>
    <t>DME/SAW</t>
  </si>
  <si>
    <t>DME/IST</t>
  </si>
  <si>
    <t>DME/YEI</t>
  </si>
  <si>
    <t>DME/MLX</t>
  </si>
  <si>
    <t>DME/MSR</t>
  </si>
  <si>
    <t>DME/NAV</t>
  </si>
  <si>
    <t>DME/ASR</t>
  </si>
  <si>
    <t>DME/KYA</t>
  </si>
  <si>
    <t>DME/BAL</t>
  </si>
  <si>
    <t>DME/DIY</t>
  </si>
  <si>
    <t>DME/ISE</t>
  </si>
  <si>
    <t>DME/DNZ</t>
  </si>
  <si>
    <t>DME/GZT</t>
  </si>
  <si>
    <t>DME/ADB</t>
  </si>
  <si>
    <t>DME/HTY</t>
  </si>
  <si>
    <t>DME/DLM</t>
  </si>
  <si>
    <t>DME/BJV</t>
  </si>
  <si>
    <t>DME/AYT</t>
  </si>
  <si>
    <t>DME/ASB</t>
  </si>
  <si>
    <t>DME/RKT</t>
  </si>
  <si>
    <t>DME/SHJ</t>
  </si>
  <si>
    <t>DME/DXB</t>
  </si>
  <si>
    <t>DME/DWC</t>
  </si>
  <si>
    <t>DME/FJR</t>
  </si>
  <si>
    <t>DME/AAN</t>
  </si>
  <si>
    <t>DME/AUH</t>
  </si>
  <si>
    <t>DME/BHK</t>
  </si>
  <si>
    <t>DME/SKD</t>
  </si>
  <si>
    <t>DME/TAS</t>
  </si>
  <si>
    <t>DME/HAN</t>
  </si>
  <si>
    <t>DME/DAD</t>
  </si>
  <si>
    <t>DME/BMV</t>
  </si>
  <si>
    <t>DME/SGN</t>
  </si>
  <si>
    <t>DME/CXR</t>
  </si>
  <si>
    <t>DME/HOD</t>
  </si>
  <si>
    <t>DME/GXF</t>
  </si>
  <si>
    <t>DME/SAH</t>
  </si>
  <si>
    <t>DME/TAI</t>
  </si>
  <si>
    <t>DME/RIY</t>
  </si>
  <si>
    <t>DME/ADE</t>
  </si>
  <si>
    <t>DME/SCT</t>
  </si>
  <si>
    <t>DME/GOU</t>
  </si>
  <si>
    <t>DME/NSI</t>
  </si>
  <si>
    <t>DME/DLA</t>
  </si>
  <si>
    <t>DME/FKI</t>
  </si>
  <si>
    <t>DME/FIH</t>
  </si>
  <si>
    <t>DME/FBM</t>
  </si>
  <si>
    <t>DME/RUN</t>
  </si>
  <si>
    <t>DME/AAE</t>
  </si>
  <si>
    <t>DME/CZL</t>
  </si>
  <si>
    <t>DME/TEE</t>
  </si>
  <si>
    <t>DME/BLJ</t>
  </si>
  <si>
    <t>DME/ALG</t>
  </si>
  <si>
    <t>DME/ELU</t>
  </si>
  <si>
    <t>DME/BSK</t>
  </si>
  <si>
    <t>DME/TID</t>
  </si>
  <si>
    <t>DME/TGR</t>
  </si>
  <si>
    <t>DME/GHA</t>
  </si>
  <si>
    <t>DME/HRM</t>
  </si>
  <si>
    <t>DME/OGX</t>
  </si>
  <si>
    <t>DME/LOO</t>
  </si>
  <si>
    <t>DME/ORN</t>
  </si>
  <si>
    <t>DME/HME</t>
  </si>
  <si>
    <t>DME/IAM</t>
  </si>
  <si>
    <t>DME/ELG</t>
  </si>
  <si>
    <t>DME/VVZ</t>
  </si>
  <si>
    <t>DME/CBH</t>
  </si>
  <si>
    <t>DME/INZ</t>
  </si>
  <si>
    <t>DME/DJG</t>
  </si>
  <si>
    <t>DME/TMX</t>
  </si>
  <si>
    <t>DME/AZR</t>
  </si>
  <si>
    <t>DME/TMR</t>
  </si>
  <si>
    <t>DME/TIN</t>
  </si>
  <si>
    <t>DME/VHC</t>
  </si>
  <si>
    <t>DME/LAD</t>
  </si>
  <si>
    <t>DME/CBT</t>
  </si>
  <si>
    <t>DME/SPP</t>
  </si>
  <si>
    <t>DME/SDD</t>
  </si>
  <si>
    <t>DME/VPE</t>
  </si>
  <si>
    <t>DME/GBE</t>
  </si>
  <si>
    <t>DME/OUA</t>
  </si>
  <si>
    <t>DME/BOY</t>
  </si>
  <si>
    <t>DME/BJM</t>
  </si>
  <si>
    <t>DME/SID</t>
  </si>
  <si>
    <t>DME/NDJ</t>
  </si>
  <si>
    <t>DME/HAH</t>
  </si>
  <si>
    <t>DME/BZV</t>
  </si>
  <si>
    <t>DME/JIB</t>
  </si>
  <si>
    <t>DME/AAC</t>
  </si>
  <si>
    <t>DME/TCP</t>
  </si>
  <si>
    <t>DME/HBE</t>
  </si>
  <si>
    <t>DME/CAI</t>
  </si>
  <si>
    <t>DME/SSH</t>
  </si>
  <si>
    <t>DME/ATZ</t>
  </si>
  <si>
    <t>DME/HRG</t>
  </si>
  <si>
    <t>DME/RMF</t>
  </si>
  <si>
    <t>DME/LXR</t>
  </si>
  <si>
    <t>DME/ASW</t>
  </si>
  <si>
    <t>DME/ABS</t>
  </si>
  <si>
    <t>DME/SSG</t>
  </si>
  <si>
    <t>DME/ADD</t>
  </si>
  <si>
    <t>DME/AWA</t>
  </si>
  <si>
    <t>DME/LBV</t>
  </si>
  <si>
    <t>DME/BJL</t>
  </si>
  <si>
    <t>DME/ACC</t>
  </si>
  <si>
    <t>DME/CKY</t>
  </si>
  <si>
    <t>DME/OXB</t>
  </si>
  <si>
    <t>DME/ASK</t>
  </si>
  <si>
    <t>DME/ABJ</t>
  </si>
  <si>
    <t>DME/NBO</t>
  </si>
  <si>
    <t>DME/MBA</t>
  </si>
  <si>
    <t>DME/EDL</t>
  </si>
  <si>
    <t>DME/MSU</t>
  </si>
  <si>
    <t>DME/ROB</t>
  </si>
  <si>
    <t>DME/BEN</t>
  </si>
  <si>
    <t>DME/TIP</t>
  </si>
  <si>
    <t>DME/TNR</t>
  </si>
  <si>
    <t>DME/LLW</t>
  </si>
  <si>
    <t>DME/NKC</t>
  </si>
  <si>
    <t>DME/MRU</t>
  </si>
  <si>
    <t>DME/NDR</t>
  </si>
  <si>
    <t>DME/OUD</t>
  </si>
  <si>
    <t>DME/TNG</t>
  </si>
  <si>
    <t>DME/FEZ</t>
  </si>
  <si>
    <t>DME/ERH</t>
  </si>
  <si>
    <t>DME/RBA</t>
  </si>
  <si>
    <t>DME/CMN</t>
  </si>
  <si>
    <t>DME/OZZ</t>
  </si>
  <si>
    <t>DME/RAK</t>
  </si>
  <si>
    <t>DME/AGA</t>
  </si>
  <si>
    <t>DME/VIL</t>
  </si>
  <si>
    <t>DME/OND</t>
  </si>
  <si>
    <t>DME/WDH</t>
  </si>
  <si>
    <t>DME/NIM</t>
  </si>
  <si>
    <t>DME/KAN</t>
  </si>
  <si>
    <t>DME/YOL</t>
  </si>
  <si>
    <t>DME/KAD</t>
  </si>
  <si>
    <t>DME/LOS</t>
  </si>
  <si>
    <t>DME/PHC</t>
  </si>
  <si>
    <t>DME/ABV</t>
  </si>
  <si>
    <t>DME/KGL</t>
  </si>
  <si>
    <t>DME/DSS</t>
  </si>
  <si>
    <t>DME/SEZ</t>
  </si>
  <si>
    <t>DME/FNA</t>
  </si>
  <si>
    <t>DME/BBO</t>
  </si>
  <si>
    <t>DME/GLK</t>
  </si>
  <si>
    <t>DME/MGQ</t>
  </si>
  <si>
    <t>DME/MQP</t>
  </si>
  <si>
    <t>DME/HLA</t>
  </si>
  <si>
    <t>DME/JNB</t>
  </si>
  <si>
    <t>DME/UTN</t>
  </si>
  <si>
    <t>DME/KIM</t>
  </si>
  <si>
    <t>DME/DUR</t>
  </si>
  <si>
    <t>DME/CPT</t>
  </si>
  <si>
    <t>DME/KRT</t>
  </si>
  <si>
    <t>DME/ELF</t>
  </si>
  <si>
    <t>DME/EBD</t>
  </si>
  <si>
    <t>DME/UYL</t>
  </si>
  <si>
    <t>DME/MWZ</t>
  </si>
  <si>
    <t>DME/JRO</t>
  </si>
  <si>
    <t>DME/DAR</t>
  </si>
  <si>
    <t>DME/LFW</t>
  </si>
  <si>
    <t>DME/TBJ</t>
  </si>
  <si>
    <t>DME/NBE</t>
  </si>
  <si>
    <t>DME/MIR</t>
  </si>
  <si>
    <t>DME/TUN</t>
  </si>
  <si>
    <t>DME/SFA</t>
  </si>
  <si>
    <t>DME/GAF</t>
  </si>
  <si>
    <t>DME/DJE</t>
  </si>
  <si>
    <t>DME/TOE</t>
  </si>
  <si>
    <t>DME/EBB</t>
  </si>
  <si>
    <t>DME/ULU</t>
  </si>
  <si>
    <t>DME/LUN</t>
  </si>
  <si>
    <t>DME/HRE</t>
  </si>
  <si>
    <t>CONT.</t>
  </si>
  <si>
    <t>RT TIME 
(777-500ER)</t>
  </si>
  <si>
    <t>Count of ICAO</t>
  </si>
  <si>
    <t>ECO DELTA</t>
  </si>
  <si>
    <t>Column Labels</t>
  </si>
  <si>
    <t>Average of E - DEMAND</t>
  </si>
  <si>
    <t xml:space="preserve">Average of RT TIME </t>
  </si>
  <si>
    <t>1X</t>
  </si>
  <si>
    <t>2X</t>
  </si>
  <si>
    <t>3X</t>
  </si>
  <si>
    <t>4X</t>
  </si>
  <si>
    <t>R-DEM</t>
  </si>
  <si>
    <t>PENDING</t>
  </si>
  <si>
    <t>Sao Paulo - Guarulhos Intl</t>
  </si>
  <si>
    <t>RT TIME 
(380-800)</t>
  </si>
  <si>
    <t>BOM/LCE</t>
  </si>
  <si>
    <t>BOM/MDE</t>
  </si>
  <si>
    <t>BOM/BOG</t>
  </si>
  <si>
    <t>BOM/PPT</t>
  </si>
  <si>
    <t>BOM/COR</t>
  </si>
  <si>
    <t>BOM/BJX</t>
  </si>
  <si>
    <t>BOM/AGU</t>
  </si>
  <si>
    <t>BOM/SRZ</t>
  </si>
  <si>
    <t>BOM/VVI</t>
  </si>
  <si>
    <t>BOM/SLP</t>
  </si>
  <si>
    <t>BOM/ZCL</t>
  </si>
  <si>
    <t>BOM/SJD</t>
  </si>
  <si>
    <t>BOM/DGO</t>
  </si>
  <si>
    <t>BOM/ROS</t>
  </si>
  <si>
    <t>BOM/MID</t>
  </si>
  <si>
    <t>BOM/BAQ</t>
  </si>
  <si>
    <t>BOM/RGL</t>
  </si>
  <si>
    <t>BOM/PUQ</t>
  </si>
  <si>
    <t>BOM/RCQ</t>
  </si>
  <si>
    <t>BOM/RES</t>
  </si>
  <si>
    <t>BOM/CUN</t>
  </si>
  <si>
    <t>BOM/MTY</t>
  </si>
  <si>
    <t>BOM/EZE</t>
  </si>
  <si>
    <t>BOM/MAR</t>
  </si>
  <si>
    <t>BOM/ASU</t>
  </si>
  <si>
    <t>BOM/USH</t>
  </si>
  <si>
    <t>BOM/MVD</t>
  </si>
  <si>
    <t>BOM/CYO</t>
  </si>
  <si>
    <t>BOM/AUA</t>
  </si>
  <si>
    <t>BOM/VLN</t>
  </si>
  <si>
    <t>BOM/AGT</t>
  </si>
  <si>
    <t>BOM/HAV</t>
  </si>
  <si>
    <t>BOM/IGR</t>
  </si>
  <si>
    <t>BOM/CUR</t>
  </si>
  <si>
    <t>BOM/VCT</t>
  </si>
  <si>
    <t>BOM/VRA</t>
  </si>
  <si>
    <t>BOM/SNU</t>
  </si>
  <si>
    <t>BOM/BON</t>
  </si>
  <si>
    <t>BOM/CCS</t>
  </si>
  <si>
    <t>BOM/CMW</t>
  </si>
  <si>
    <t>BOM/SCU</t>
  </si>
  <si>
    <t>BOM/HOG</t>
  </si>
  <si>
    <t>BOM/AUS</t>
  </si>
  <si>
    <t>BOM/CCC</t>
  </si>
  <si>
    <t>BOM/IAH</t>
  </si>
  <si>
    <t>BOM/PAP</t>
  </si>
  <si>
    <t>BOM/ELP</t>
  </si>
  <si>
    <t>BOM/GRK</t>
  </si>
  <si>
    <t>BOM/MAF</t>
  </si>
  <si>
    <t>BOM/TUS</t>
  </si>
  <si>
    <t>BOM/MSY</t>
  </si>
  <si>
    <t>BOM/RSW</t>
  </si>
  <si>
    <t>BOM/MIA</t>
  </si>
  <si>
    <t>BOM/PMV</t>
  </si>
  <si>
    <t>BOM/SRQ</t>
  </si>
  <si>
    <t>BOM/YUM</t>
  </si>
  <si>
    <t>BOM/AEX</t>
  </si>
  <si>
    <t>BOM/ROW</t>
  </si>
  <si>
    <t>BOM/TIJ</t>
  </si>
  <si>
    <t>BOM/SDQ</t>
  </si>
  <si>
    <t>BOM/AZA</t>
  </si>
  <si>
    <t>BOM/PIE</t>
  </si>
  <si>
    <t>BOM/SAN</t>
  </si>
  <si>
    <t>BOM/PHX</t>
  </si>
  <si>
    <t>BOM/NAS</t>
  </si>
  <si>
    <t>BOM/TPA</t>
  </si>
  <si>
    <t>BOM/PBI</t>
  </si>
  <si>
    <t>BOM/GGG</t>
  </si>
  <si>
    <t>BOM/POP</t>
  </si>
  <si>
    <t>BOM/DFW</t>
  </si>
  <si>
    <t>BOM/AFW</t>
  </si>
  <si>
    <t>BOM/BFM</t>
  </si>
  <si>
    <t>BOM/LBB</t>
  </si>
  <si>
    <t>BOM/AZS</t>
  </si>
  <si>
    <t>BOM/LRM</t>
  </si>
  <si>
    <t>BOM/FPO</t>
  </si>
  <si>
    <t>BOM/VPS</t>
  </si>
  <si>
    <t>BOM/ECP</t>
  </si>
  <si>
    <t>BOM/PUJ</t>
  </si>
  <si>
    <t>BOM/PSP</t>
  </si>
  <si>
    <t>BOM/MCO</t>
  </si>
  <si>
    <t>BOM/MLB</t>
  </si>
  <si>
    <t>BOM/SPS</t>
  </si>
  <si>
    <t>BOM/LGB</t>
  </si>
  <si>
    <t>BOM/SFB</t>
  </si>
  <si>
    <t>BOM/POS</t>
  </si>
  <si>
    <t>BOM/ONT</t>
  </si>
  <si>
    <t>BOM/LAX</t>
  </si>
  <si>
    <t>BOM/ABQ</t>
  </si>
  <si>
    <t>BOM/MEI</t>
  </si>
  <si>
    <t>BOM/BQN</t>
  </si>
  <si>
    <t>BOM/DAB</t>
  </si>
  <si>
    <t>BOM/AMA</t>
  </si>
  <si>
    <t>BOM/SJU</t>
  </si>
  <si>
    <t>BOM/OKC</t>
  </si>
  <si>
    <t>BOM/JAX</t>
  </si>
  <si>
    <t>BOM/BFL</t>
  </si>
  <si>
    <t>BOM/LAS</t>
  </si>
  <si>
    <t>BOM/VCP</t>
  </si>
  <si>
    <t>BOM/BHM</t>
  </si>
  <si>
    <t>BOM/DRO</t>
  </si>
  <si>
    <t>BOM/GRU</t>
  </si>
  <si>
    <t>BOM/TUL</t>
  </si>
  <si>
    <t>BOM/BSB</t>
  </si>
  <si>
    <t>BOM/MEM</t>
  </si>
  <si>
    <t>BOM/FDF</t>
  </si>
  <si>
    <t>BOM/PBM</t>
  </si>
  <si>
    <t>BOM/DOM</t>
  </si>
  <si>
    <t>BOM/BGI</t>
  </si>
  <si>
    <t>BOM/SAV</t>
  </si>
  <si>
    <t>BOM/ATL</t>
  </si>
  <si>
    <t>BOM/PTP</t>
  </si>
  <si>
    <t>BOM/HSV</t>
  </si>
  <si>
    <t>BOM/FAT</t>
  </si>
  <si>
    <t>BOM/PUB</t>
  </si>
  <si>
    <t>BOM/ICT</t>
  </si>
  <si>
    <t>BOM/MTJ</t>
  </si>
  <si>
    <t>BOM/GUC</t>
  </si>
  <si>
    <t>BOM/COS</t>
  </si>
  <si>
    <t>BOM/SJC</t>
  </si>
  <si>
    <t>BOM/GJT</t>
  </si>
  <si>
    <t>BOM/SFO</t>
  </si>
  <si>
    <t>BOM/SCK</t>
  </si>
  <si>
    <t>BOM/BNA</t>
  </si>
  <si>
    <t>BOM/OAK</t>
  </si>
  <si>
    <t>BOM/GSP</t>
  </si>
  <si>
    <t>BOM/CAY</t>
  </si>
  <si>
    <t>BOM/DEN</t>
  </si>
  <si>
    <t>BOM/MYR</t>
  </si>
  <si>
    <t>BOM/CNF</t>
  </si>
  <si>
    <t>BOM/GIG</t>
  </si>
  <si>
    <t>BOM/MCI</t>
  </si>
  <si>
    <t>BOM/HDN</t>
  </si>
  <si>
    <t>BOM/CLT</t>
  </si>
  <si>
    <t>BOM/RNO</t>
  </si>
  <si>
    <t>BOM/BLV</t>
  </si>
  <si>
    <t>BOM/STL</t>
  </si>
  <si>
    <t>BOM/BEL</t>
  </si>
  <si>
    <t>BOM/SLC</t>
  </si>
  <si>
    <t>BOM/CYS</t>
  </si>
  <si>
    <t>BOM/SDF</t>
  </si>
  <si>
    <t>BOM/RKS</t>
  </si>
  <si>
    <t>BOM/LNK</t>
  </si>
  <si>
    <t>BOM/PPG</t>
  </si>
  <si>
    <t>BOM/GSO</t>
  </si>
  <si>
    <t>BOM/ITO</t>
  </si>
  <si>
    <t>BOM/RDU</t>
  </si>
  <si>
    <t>BOM/OMA</t>
  </si>
  <si>
    <t>BOM/KOA</t>
  </si>
  <si>
    <t>BOM/CVG</t>
  </si>
  <si>
    <t>BOM/PIA</t>
  </si>
  <si>
    <t>BOM/IND</t>
  </si>
  <si>
    <t>BOM/CPR</t>
  </si>
  <si>
    <t>BOM/APW</t>
  </si>
  <si>
    <t>BOM/PIH</t>
  </si>
  <si>
    <t>BOM/MLI</t>
  </si>
  <si>
    <t>BOM/LMT</t>
  </si>
  <si>
    <t>BOM/DAY</t>
  </si>
  <si>
    <t>BOM/BOI</t>
  </si>
  <si>
    <t>BOM/CMH</t>
  </si>
  <si>
    <t>BOM/FWA</t>
  </si>
  <si>
    <t>BOM/RFD</t>
  </si>
  <si>
    <t>BOM/ORD</t>
  </si>
  <si>
    <t>BOM/HNL</t>
  </si>
  <si>
    <t>BOM/IAD</t>
  </si>
  <si>
    <t>BOM/TOL</t>
  </si>
  <si>
    <t>BOM/RST</t>
  </si>
  <si>
    <t>BOM/MKE</t>
  </si>
  <si>
    <t>BOM/PIT</t>
  </si>
  <si>
    <t>BOM/BWI</t>
  </si>
  <si>
    <t>BOM/PNZ</t>
  </si>
  <si>
    <t>BOM/BIL</t>
  </si>
  <si>
    <t>BOM/GRR</t>
  </si>
  <si>
    <t>BOM/DTW</t>
  </si>
  <si>
    <t>BOM/MSP</t>
  </si>
  <si>
    <t>BOM/BDA</t>
  </si>
  <si>
    <t>BOM/MDT</t>
  </si>
  <si>
    <t>BOM/ACY</t>
  </si>
  <si>
    <t>BOM/PHL</t>
  </si>
  <si>
    <t>BOM/SSA</t>
  </si>
  <si>
    <t>BOM/PDX</t>
  </si>
  <si>
    <t>BOM/MSO</t>
  </si>
  <si>
    <t>BOM/GTF</t>
  </si>
  <si>
    <t>BOM/YHM</t>
  </si>
  <si>
    <t>BOM/EWR</t>
  </si>
  <si>
    <t>BOM/JFK</t>
  </si>
  <si>
    <t>BOM/DLH</t>
  </si>
  <si>
    <t>BOM/IAG</t>
  </si>
  <si>
    <t>BOM/YYZ</t>
  </si>
  <si>
    <t>BOM/MQT</t>
  </si>
  <si>
    <t>BOM/SWF</t>
  </si>
  <si>
    <t>BOM/SEA</t>
  </si>
  <si>
    <t>BOM/BFI</t>
  </si>
  <si>
    <t>BOM/BDL</t>
  </si>
  <si>
    <t>BOM/AKL</t>
  </si>
  <si>
    <t>BOM/YXX</t>
  </si>
  <si>
    <t>BOM/YWG</t>
  </si>
  <si>
    <t>BOM/YVR</t>
  </si>
  <si>
    <t>BOM/BOS</t>
  </si>
  <si>
    <t>BOM/YYB</t>
  </si>
  <si>
    <t>BOM/CHC</t>
  </si>
  <si>
    <t>BOM/MHT</t>
  </si>
  <si>
    <t>BOM/YYC</t>
  </si>
  <si>
    <t>BOM/YOW</t>
  </si>
  <si>
    <t>BOM/PSM</t>
  </si>
  <si>
    <t>BOM/YQQ</t>
  </si>
  <si>
    <t>BOM/REC</t>
  </si>
  <si>
    <t>BOM/PBG</t>
  </si>
  <si>
    <t>BOM/NAN</t>
  </si>
  <si>
    <t>BOM/YUL</t>
  </si>
  <si>
    <t>BOM/YVO</t>
  </si>
  <si>
    <t>BOM/YEG</t>
  </si>
  <si>
    <t>BOM/BGR</t>
  </si>
  <si>
    <t>BOM/YXS</t>
  </si>
  <si>
    <t>BOM/YBG</t>
  </si>
  <si>
    <t>BOM/YYQ</t>
  </si>
  <si>
    <t>BOM/NOU</t>
  </si>
  <si>
    <t>BOM/YJT</t>
  </si>
  <si>
    <t>BOM/YQX</t>
  </si>
  <si>
    <t>BOM/YYR</t>
  </si>
  <si>
    <t>BOM/YXY</t>
  </si>
  <si>
    <t>BOM/ANC</t>
  </si>
  <si>
    <t>BOM/CDB</t>
  </si>
  <si>
    <t>BOM/SYD</t>
  </si>
  <si>
    <t>BOM/FAI</t>
  </si>
  <si>
    <t>BOM/BNE</t>
  </si>
  <si>
    <t>BOM/CBR</t>
  </si>
  <si>
    <t>BOM/SID</t>
  </si>
  <si>
    <t>BOM/MEL</t>
  </si>
  <si>
    <t>BOM/AVV</t>
  </si>
  <si>
    <t>BOM/TER</t>
  </si>
  <si>
    <t>BOM/BJL</t>
  </si>
  <si>
    <t>BOM/DSS</t>
  </si>
  <si>
    <t>BOM/SMA</t>
  </si>
  <si>
    <t>BOM/OXB</t>
  </si>
  <si>
    <t>BOM/SFJ</t>
  </si>
  <si>
    <t>BOM/CKY</t>
  </si>
  <si>
    <t>BOM/FNA</t>
  </si>
  <si>
    <t>BOM/NKC</t>
  </si>
  <si>
    <t>BOM/ADL</t>
  </si>
  <si>
    <t>BOM/ROB</t>
  </si>
  <si>
    <t>BOM/VIL</t>
  </si>
  <si>
    <t>BOM/TFS</t>
  </si>
  <si>
    <t>BOM/TFN</t>
  </si>
  <si>
    <t>BOM/CNS</t>
  </si>
  <si>
    <t>BOM/LPA</t>
  </si>
  <si>
    <t>BOM/FNC</t>
  </si>
  <si>
    <t>BOM/PXO</t>
  </si>
  <si>
    <t>BOM/DYR</t>
  </si>
  <si>
    <t>BOM/ASK</t>
  </si>
  <si>
    <t>BOM/ABJ</t>
  </si>
  <si>
    <t>BOM/KEF</t>
  </si>
  <si>
    <t>BOM/BOY</t>
  </si>
  <si>
    <t>BOM/AGA</t>
  </si>
  <si>
    <t>BOM/CPT</t>
  </si>
  <si>
    <t>BOM/TIN</t>
  </si>
  <si>
    <t>BOM/RAK</t>
  </si>
  <si>
    <t>BOM/PKC</t>
  </si>
  <si>
    <t>BOM/ACC</t>
  </si>
  <si>
    <t>BOM/LIS</t>
  </si>
  <si>
    <t>BOM/CMN</t>
  </si>
  <si>
    <t>BOM/OZZ</t>
  </si>
  <si>
    <t>BOM/OUA</t>
  </si>
  <si>
    <t>BOM/OPO</t>
  </si>
  <si>
    <t>BOM/RBA</t>
  </si>
  <si>
    <t>BOM/SCQ</t>
  </si>
  <si>
    <t>BOM/LFW</t>
  </si>
  <si>
    <t>BOM/BJZ</t>
  </si>
  <si>
    <t>BOM/TNG</t>
  </si>
  <si>
    <t>BOM/SNN</t>
  </si>
  <si>
    <t>BOM/SVQ</t>
  </si>
  <si>
    <t>BOM/FEZ</t>
  </si>
  <si>
    <t>BOM/ERH</t>
  </si>
  <si>
    <t>BOM/UTN</t>
  </si>
  <si>
    <t>BOM/AGP</t>
  </si>
  <si>
    <t>BOM/GUM</t>
  </si>
  <si>
    <t>BOM/LOS</t>
  </si>
  <si>
    <t>BOM/VLL</t>
  </si>
  <si>
    <t>BOM/BFS</t>
  </si>
  <si>
    <t>BOM/WDH</t>
  </si>
  <si>
    <t>BOM/GRX</t>
  </si>
  <si>
    <t>BOM/CAL</t>
  </si>
  <si>
    <t>BOM/NDR</t>
  </si>
  <si>
    <t>BOM/CBH</t>
  </si>
  <si>
    <t>BOM/NIM</t>
  </si>
  <si>
    <t>BOM/MAD</t>
  </si>
  <si>
    <t>BOM/SDD</t>
  </si>
  <si>
    <t>BOM/GDX</t>
  </si>
  <si>
    <t>BOM/BES</t>
  </si>
  <si>
    <t>BOM/PIK</t>
  </si>
  <si>
    <t>BOM/LEI</t>
  </si>
  <si>
    <t>BOM/OUD</t>
  </si>
  <si>
    <t>BOM/OND</t>
  </si>
  <si>
    <t>BOM/VPE</t>
  </si>
  <si>
    <t>BOM/VIT</t>
  </si>
  <si>
    <t>BOM/KIM</t>
  </si>
  <si>
    <t>BOM/AZR</t>
  </si>
  <si>
    <t>BOM/CBT</t>
  </si>
  <si>
    <t>BOM/TMX</t>
  </si>
  <si>
    <t>BOM/MAN</t>
  </si>
  <si>
    <t>BOM/ORN</t>
  </si>
  <si>
    <t>BOM/NTE</t>
  </si>
  <si>
    <t>BOM/PHC</t>
  </si>
  <si>
    <t>BOM/PER</t>
  </si>
  <si>
    <t>BOM/ZAZ</t>
  </si>
  <si>
    <t>BOM/ALC</t>
  </si>
  <si>
    <t>BOM/EMA</t>
  </si>
  <si>
    <t>BOM/VLC</t>
  </si>
  <si>
    <t>BOM/MSU</t>
  </si>
  <si>
    <t>BOM/DRW</t>
  </si>
  <si>
    <t>BOM/DSA</t>
  </si>
  <si>
    <t>BOM/BOD</t>
  </si>
  <si>
    <t>BOM/LAD</t>
  </si>
  <si>
    <t>BOM/LHR</t>
  </si>
  <si>
    <t>BOM/LBV</t>
  </si>
  <si>
    <t>BOM/LDE</t>
  </si>
  <si>
    <t>BOM/LGW</t>
  </si>
  <si>
    <t>BOM/STN</t>
  </si>
  <si>
    <t>BOM/INZ</t>
  </si>
  <si>
    <t>BOM/SSG</t>
  </si>
  <si>
    <t>BOM/TID</t>
  </si>
  <si>
    <t>BOM/ABV</t>
  </si>
  <si>
    <t>BOM/IBZ</t>
  </si>
  <si>
    <t>BOM/SPP</t>
  </si>
  <si>
    <t>BOM/MSE</t>
  </si>
  <si>
    <t>BOM/TLS</t>
  </si>
  <si>
    <t>BOM/ELG</t>
  </si>
  <si>
    <t>BOM/KAD</t>
  </si>
  <si>
    <t>BOM/CHR</t>
  </si>
  <si>
    <t>BOM/DLA</t>
  </si>
  <si>
    <t>BOM/BCN</t>
  </si>
  <si>
    <t>BOM/GBE</t>
  </si>
  <si>
    <t>BOM/DUR</t>
  </si>
  <si>
    <t>BOM/LOO</t>
  </si>
  <si>
    <t>BOM/ORY</t>
  </si>
  <si>
    <t>BOM/HRM</t>
  </si>
  <si>
    <t>BOM/CDG</t>
  </si>
  <si>
    <t>BOM/PMI</t>
  </si>
  <si>
    <t>BOM/OST</t>
  </si>
  <si>
    <t>BOM/HLA</t>
  </si>
  <si>
    <t>BOM/ALG</t>
  </si>
  <si>
    <t>BOM/JNB</t>
  </si>
  <si>
    <t>BOM/LIL</t>
  </si>
  <si>
    <t>BOM/GHA</t>
  </si>
  <si>
    <t>BOM/TMR</t>
  </si>
  <si>
    <t>BOM/UUS</t>
  </si>
  <si>
    <t>BOM/BGO</t>
  </si>
  <si>
    <t>BOM/CFE</t>
  </si>
  <si>
    <t>BOM/KAN</t>
  </si>
  <si>
    <t>BOM/DCN</t>
  </si>
  <si>
    <t>BOM/XCR</t>
  </si>
  <si>
    <t>BOM/CTS</t>
  </si>
  <si>
    <t>BOM/BRU</t>
  </si>
  <si>
    <t>BOM/NSI</t>
  </si>
  <si>
    <t>BOM/AMS</t>
  </si>
  <si>
    <t>BOM/IKS</t>
  </si>
  <si>
    <t>BOM/SDJ</t>
  </si>
  <si>
    <t>BOM/OGX</t>
  </si>
  <si>
    <t>BOM/BZV</t>
  </si>
  <si>
    <t>BOM/EIN</t>
  </si>
  <si>
    <t>BOM/HKD</t>
  </si>
  <si>
    <t>BOM/FIH</t>
  </si>
  <si>
    <t>BOM/LGG</t>
  </si>
  <si>
    <t>BOM/LYS</t>
  </si>
  <si>
    <t>BOM/AOJ</t>
  </si>
  <si>
    <t>BOM/NRT</t>
  </si>
  <si>
    <t>BOM/MRS</t>
  </si>
  <si>
    <t>BOM/GNB</t>
  </si>
  <si>
    <t>BOM/BSK</t>
  </si>
  <si>
    <t>BOM/HME</t>
  </si>
  <si>
    <t>BOM/TGR</t>
  </si>
  <si>
    <t>BOM/TRD</t>
  </si>
  <si>
    <t>BOM/LUX</t>
  </si>
  <si>
    <t>BOM/HND</t>
  </si>
  <si>
    <t>BOM/BOO</t>
  </si>
  <si>
    <t>BOM/ETZ</t>
  </si>
  <si>
    <t>BOM/GVA</t>
  </si>
  <si>
    <t>BOM/DUS</t>
  </si>
  <si>
    <t>BOM/BLJ</t>
  </si>
  <si>
    <t>BOM/MQP</t>
  </si>
  <si>
    <t>BOM/EVE</t>
  </si>
  <si>
    <t>BOM/CGN</t>
  </si>
  <si>
    <t>BOM/ELU</t>
  </si>
  <si>
    <t>BOM/CZL</t>
  </si>
  <si>
    <t>BOM/HHN</t>
  </si>
  <si>
    <t>BOM/TRF</t>
  </si>
  <si>
    <t>BOM/ZQW</t>
  </si>
  <si>
    <t>BOM/KRP</t>
  </si>
  <si>
    <t>BOM/BLL</t>
  </si>
  <si>
    <t>BOM/OSL</t>
  </si>
  <si>
    <t>BOM/BSL</t>
  </si>
  <si>
    <t>BOM/MLH</t>
  </si>
  <si>
    <t>BOM/NCE</t>
  </si>
  <si>
    <t>BOM/TRN</t>
  </si>
  <si>
    <t>BOM/FKB</t>
  </si>
  <si>
    <t>BOM/YOL</t>
  </si>
  <si>
    <t>BOM/VHC</t>
  </si>
  <si>
    <t>BOM/VVZ</t>
  </si>
  <si>
    <t>BOM/FRA</t>
  </si>
  <si>
    <t>BOM/AAE</t>
  </si>
  <si>
    <t>BOM/AAR</t>
  </si>
  <si>
    <t>BOM/TOE</t>
  </si>
  <si>
    <t>BOM/ZRH</t>
  </si>
  <si>
    <t>BOM/TEE</t>
  </si>
  <si>
    <t>BOM/HAM</t>
  </si>
  <si>
    <t>BOM/HAJ</t>
  </si>
  <si>
    <t>BOM/DJG</t>
  </si>
  <si>
    <t>BOM/AHO</t>
  </si>
  <si>
    <t>BOM/MXP</t>
  </si>
  <si>
    <t>BOM/STR</t>
  </si>
  <si>
    <t>BOM/LKL</t>
  </si>
  <si>
    <t>BOM/GOT</t>
  </si>
  <si>
    <t>BOM/GOA</t>
  </si>
  <si>
    <t>BOM/GAF</t>
  </si>
  <si>
    <t>BOM/GOU</t>
  </si>
  <si>
    <t>BOM/NGO</t>
  </si>
  <si>
    <t>BOM/TBJ</t>
  </si>
  <si>
    <t>BOM/IAM</t>
  </si>
  <si>
    <t>BOM/CAG</t>
  </si>
  <si>
    <t>BOM/YKS</t>
  </si>
  <si>
    <t>BOM/BGY</t>
  </si>
  <si>
    <t>BOM/FMM</t>
  </si>
  <si>
    <t>BOM/LEA</t>
  </si>
  <si>
    <t>BOM/CPH</t>
  </si>
  <si>
    <t>BOM/KHV</t>
  </si>
  <si>
    <t>BOM/VBS</t>
  </si>
  <si>
    <t>BOM/MMX</t>
  </si>
  <si>
    <t>BOM/PSA</t>
  </si>
  <si>
    <t>BOM/TUN</t>
  </si>
  <si>
    <t>BOM/ITM</t>
  </si>
  <si>
    <t>BOM/LEJ</t>
  </si>
  <si>
    <t>BOM/VRN</t>
  </si>
  <si>
    <t>BOM/LLA</t>
  </si>
  <si>
    <t>BOM/NBE</t>
  </si>
  <si>
    <t>BOM/KIX</t>
  </si>
  <si>
    <t>BOM/MUC</t>
  </si>
  <si>
    <t>BOM/SFA</t>
  </si>
  <si>
    <t>BOM/DJE</t>
  </si>
  <si>
    <t>BOM/MIR</t>
  </si>
  <si>
    <t>BOM/BLQ</t>
  </si>
  <si>
    <t>BOM/TXL</t>
  </si>
  <si>
    <t>BOM/SXF</t>
  </si>
  <si>
    <t>BOM/NYO</t>
  </si>
  <si>
    <t>BOM/RVN</t>
  </si>
  <si>
    <t>BOM/ARN</t>
  </si>
  <si>
    <t>BOM/VCE</t>
  </si>
  <si>
    <t>BOM/DRS</t>
  </si>
  <si>
    <t>BOM/NDJ</t>
  </si>
  <si>
    <t>BOM/FCO</t>
  </si>
  <si>
    <t>BOM/RMI</t>
  </si>
  <si>
    <t>BOM/LUN</t>
  </si>
  <si>
    <t>BOM/PRG</t>
  </si>
  <si>
    <t>BOM/HRE</t>
  </si>
  <si>
    <t>BOM/TRS</t>
  </si>
  <si>
    <t>BOM/LNZ</t>
  </si>
  <si>
    <t>BOM/AOI</t>
  </si>
  <si>
    <t>BOM/VVO</t>
  </si>
  <si>
    <t>BOM/PUY</t>
  </si>
  <si>
    <t>BOM/PMO</t>
  </si>
  <si>
    <t>BOM/TIP</t>
  </si>
  <si>
    <t>BOM/LJU</t>
  </si>
  <si>
    <t>BOM/FBM</t>
  </si>
  <si>
    <t>BOM/GRZ</t>
  </si>
  <si>
    <t>BOM/GDN</t>
  </si>
  <si>
    <t>BOM/OIT</t>
  </si>
  <si>
    <t>BOM/MLA</t>
  </si>
  <si>
    <t>BOM/VIE</t>
  </si>
  <si>
    <t>BOM/KUO</t>
  </si>
  <si>
    <t>BOM/ZAG</t>
  </si>
  <si>
    <t>BOM/HEL</t>
  </si>
  <si>
    <t>BOM/KMJ</t>
  </si>
  <si>
    <t>BOM/BTS</t>
  </si>
  <si>
    <t>BOM/KOJ</t>
  </si>
  <si>
    <t>BOM/BQS</t>
  </si>
  <si>
    <t>BOM/OSR</t>
  </si>
  <si>
    <t>BOM/FUK</t>
  </si>
  <si>
    <t>BOM/TLL</t>
  </si>
  <si>
    <t>BOM/KTW</t>
  </si>
  <si>
    <t>BOM/DVO</t>
  </si>
  <si>
    <t>BOM/NGS</t>
  </si>
  <si>
    <t>BOM/GES</t>
  </si>
  <si>
    <t>BOM/RIX</t>
  </si>
  <si>
    <t>BOM/SQQ</t>
  </si>
  <si>
    <t>BOM/WAW</t>
  </si>
  <si>
    <t>BOM/UPG</t>
  </si>
  <si>
    <t>BOM/MJZ</t>
  </si>
  <si>
    <t>BOM/PUS</t>
  </si>
  <si>
    <t>BOM/BUD</t>
  </si>
  <si>
    <t>BOM/TAE</t>
  </si>
  <si>
    <t>BOM/DBV</t>
  </si>
  <si>
    <t>BOM/KUN</t>
  </si>
  <si>
    <t>BOM/HRB</t>
  </si>
  <si>
    <t>BOM/NSK</t>
  </si>
  <si>
    <t>BOM/LED</t>
  </si>
  <si>
    <t>BOM/KSC</t>
  </si>
  <si>
    <t>BOM/OKA</t>
  </si>
  <si>
    <t>BOM/RZE</t>
  </si>
  <si>
    <t>BOM/LLW</t>
  </si>
  <si>
    <t>BOM/CGQ</t>
  </si>
  <si>
    <t>BOM/BEG</t>
  </si>
  <si>
    <t>BOM/GMP</t>
  </si>
  <si>
    <t>BOM/FKI</t>
  </si>
  <si>
    <t>BOM/DPS</t>
  </si>
  <si>
    <t>BOM/CEB</t>
  </si>
  <si>
    <t>BOM/KWJ</t>
  </si>
  <si>
    <t>BOM/TSR</t>
  </si>
  <si>
    <t>BOM/ICN</t>
  </si>
  <si>
    <t>BOM/CJU</t>
  </si>
  <si>
    <t>BOM/MWX</t>
  </si>
  <si>
    <t>BOM/FNJ</t>
  </si>
  <si>
    <t>BOM/PVK</t>
  </si>
  <si>
    <t>BOM/MSQ</t>
  </si>
  <si>
    <t>BOM/BEN</t>
  </si>
  <si>
    <t>BOM/BJM</t>
  </si>
  <si>
    <t>BOM/GPA</t>
  </si>
  <si>
    <t>BOM/SHE</t>
  </si>
  <si>
    <t>BOM/SBZ</t>
  </si>
  <si>
    <t>BOM/SOF</t>
  </si>
  <si>
    <t>BOM/KLX</t>
  </si>
  <si>
    <t>BOM/VOL</t>
  </si>
  <si>
    <t>BOM/SUB</t>
  </si>
  <si>
    <t>BOM/KGL</t>
  </si>
  <si>
    <t>BOM/NZH</t>
  </si>
  <si>
    <t>BOM/UYL</t>
  </si>
  <si>
    <t>BOM/KVA</t>
  </si>
  <si>
    <t>BOM/OTP</t>
  </si>
  <si>
    <t>BOM/ATH</t>
  </si>
  <si>
    <t>BOM/DLC</t>
  </si>
  <si>
    <t>BOM/BBU</t>
  </si>
  <si>
    <t>BOM/MNL</t>
  </si>
  <si>
    <t>BOM/SKU</t>
  </si>
  <si>
    <t>BOM/ELF</t>
  </si>
  <si>
    <t>BOM/CHQ</t>
  </si>
  <si>
    <t>BOM/YIA</t>
  </si>
  <si>
    <t>BOM/LXS</t>
  </si>
  <si>
    <t>BOM/CRK</t>
  </si>
  <si>
    <t>BOM/KBP</t>
  </si>
  <si>
    <t>BOM/HTA</t>
  </si>
  <si>
    <t>BOM/PVG</t>
  </si>
  <si>
    <t>BOM/SVO</t>
  </si>
  <si>
    <t>BOM/TNR</t>
  </si>
  <si>
    <t>BOM/KIV</t>
  </si>
  <si>
    <t>BOM/VKO</t>
  </si>
  <si>
    <t>BOM/NGB</t>
  </si>
  <si>
    <t>BOM/SHA</t>
  </si>
  <si>
    <t>BOM/LAO</t>
  </si>
  <si>
    <t>BOM/TPE</t>
  </si>
  <si>
    <t>BOM/TAO</t>
  </si>
  <si>
    <t>BOM/ZIA</t>
  </si>
  <si>
    <t>BOM/MWZ</t>
  </si>
  <si>
    <t>BOM/BOJ</t>
  </si>
  <si>
    <t>BOM/CND</t>
  </si>
  <si>
    <t>BOM/RMQ</t>
  </si>
  <si>
    <t>BOM/WUX</t>
  </si>
  <si>
    <t>BOM/KHH</t>
  </si>
  <si>
    <t>BOM/HGH</t>
  </si>
  <si>
    <t>BOM/TEQ</t>
  </si>
  <si>
    <t>BOM/BKI</t>
  </si>
  <si>
    <t>BOM/ODS</t>
  </si>
  <si>
    <t>BOM/EBB</t>
  </si>
  <si>
    <t>BOM/ADB</t>
  </si>
  <si>
    <t>BOM/CZX</t>
  </si>
  <si>
    <t>BOM/FOC</t>
  </si>
  <si>
    <t>BOM/IST</t>
  </si>
  <si>
    <t>BOM/RUN</t>
  </si>
  <si>
    <t>BOM/BWN</t>
  </si>
  <si>
    <t>BOM/BJV</t>
  </si>
  <si>
    <t>BOM/TSN</t>
  </si>
  <si>
    <t>BOM/NKG</t>
  </si>
  <si>
    <t>BOM/GOJ</t>
  </si>
  <si>
    <t>BOM/SAW</t>
  </si>
  <si>
    <t>BOM/ULU</t>
  </si>
  <si>
    <t>BOM/PEK</t>
  </si>
  <si>
    <t>BOM/RHO</t>
  </si>
  <si>
    <t>BOM/YEI</t>
  </si>
  <si>
    <t>BOM/PKX</t>
  </si>
  <si>
    <t>BOM/TNA</t>
  </si>
  <si>
    <t>BOM/UUD</t>
  </si>
  <si>
    <t>BOM/HAH</t>
  </si>
  <si>
    <t>BOM/DLM</t>
  </si>
  <si>
    <t>BOM/XUZ</t>
  </si>
  <si>
    <t>BOM/SGC</t>
  </si>
  <si>
    <t>BOM/MRU</t>
  </si>
  <si>
    <t>BOM/DNK</t>
  </si>
  <si>
    <t>BOM/XMN</t>
  </si>
  <si>
    <t>BOM/DAR</t>
  </si>
  <si>
    <t>BOM/HLP</t>
  </si>
  <si>
    <t>BOM/NJC</t>
  </si>
  <si>
    <t>BOM/DNZ</t>
  </si>
  <si>
    <t>BOM/JRO</t>
  </si>
  <si>
    <t>BOM/SBW</t>
  </si>
  <si>
    <t>BOM/HFE</t>
  </si>
  <si>
    <t>BOM/JNG</t>
  </si>
  <si>
    <t>BOM/AQG</t>
  </si>
  <si>
    <t>BOM/ISE</t>
  </si>
  <si>
    <t>BOM/EDL</t>
  </si>
  <si>
    <t>BOM/SIP</t>
  </si>
  <si>
    <t>BOM/EBD</t>
  </si>
  <si>
    <t>BOM/IKT</t>
  </si>
  <si>
    <t>BOM/SJW</t>
  </si>
  <si>
    <t>BOM/AYT</t>
  </si>
  <si>
    <t>BOM/NBO</t>
  </si>
  <si>
    <t>BOM/PEE</t>
  </si>
  <si>
    <t>BOM/KZN</t>
  </si>
  <si>
    <t>BOM/HBE</t>
  </si>
  <si>
    <t>BOM/KHN</t>
  </si>
  <si>
    <t>BOM/JIU</t>
  </si>
  <si>
    <t>BOM/MBA</t>
  </si>
  <si>
    <t>BOM/ESB</t>
  </si>
  <si>
    <t>BOM/KJA</t>
  </si>
  <si>
    <t>BOM/ULY</t>
  </si>
  <si>
    <t>BOM/ULN</t>
  </si>
  <si>
    <t>BOM/KYA</t>
  </si>
  <si>
    <t>BOM/HET</t>
  </si>
  <si>
    <t>BOM/CGO</t>
  </si>
  <si>
    <t>BOM/TYN</t>
  </si>
  <si>
    <t>BOM/ATZ</t>
  </si>
  <si>
    <t>BOM/CAI</t>
  </si>
  <si>
    <t>BOM/WUH</t>
  </si>
  <si>
    <t>BOM/SVX</t>
  </si>
  <si>
    <t>BOM/ABS</t>
  </si>
  <si>
    <t>BOM/KUF</t>
  </si>
  <si>
    <t>BOM/KRT</t>
  </si>
  <si>
    <t>BOM/MZH</t>
  </si>
  <si>
    <t>BOM/NAV</t>
  </si>
  <si>
    <t>BOM/TJM</t>
  </si>
  <si>
    <t>BOM/HKG</t>
  </si>
  <si>
    <t>BOM/SZX</t>
  </si>
  <si>
    <t>BOM/MFM</t>
  </si>
  <si>
    <t>BOM/KRR</t>
  </si>
  <si>
    <t>BOM/LCA</t>
  </si>
  <si>
    <t>BOM/SZF</t>
  </si>
  <si>
    <t>BOM/ZUH</t>
  </si>
  <si>
    <t>BOM/CAN</t>
  </si>
  <si>
    <t>BOM/ASR</t>
  </si>
  <si>
    <t>BOM/UFA</t>
  </si>
  <si>
    <t>BOM/LXR</t>
  </si>
  <si>
    <t>BOM/KEJ</t>
  </si>
  <si>
    <t>BOM/ABA</t>
  </si>
  <si>
    <t>BOM/ASW</t>
  </si>
  <si>
    <t>BOM/YCU</t>
  </si>
  <si>
    <t>BOM/CEK</t>
  </si>
  <si>
    <t>BOM/VAS</t>
  </si>
  <si>
    <t>BOM/AAC</t>
  </si>
  <si>
    <t>BOM/AER</t>
  </si>
  <si>
    <t>BOM/OVB</t>
  </si>
  <si>
    <t>BOM/HRG</t>
  </si>
  <si>
    <t>BOM/ENY</t>
  </si>
  <si>
    <t>BOM/HTY</t>
  </si>
  <si>
    <t>BOM/TLV</t>
  </si>
  <si>
    <t>BOM/LTK</t>
  </si>
  <si>
    <t>BOM/BEY</t>
  </si>
  <si>
    <t>BOM/SSH</t>
  </si>
  <si>
    <t>BOM/TCP</t>
  </si>
  <si>
    <t>BOM/VDA</t>
  </si>
  <si>
    <t>BOM/ETM</t>
  </si>
  <si>
    <t>BOM/RMF</t>
  </si>
  <si>
    <t>BOM/OMS</t>
  </si>
  <si>
    <t>BOM/AQJ</t>
  </si>
  <si>
    <t>BOM/MLX</t>
  </si>
  <si>
    <t>BOM/GZT</t>
  </si>
  <si>
    <t>BOM/CXR</t>
  </si>
  <si>
    <t>BOM/ALP</t>
  </si>
  <si>
    <t>BOM/BTH</t>
  </si>
  <si>
    <t>BOM/AWA</t>
  </si>
  <si>
    <t>BOM/BYN</t>
  </si>
  <si>
    <t>BOM/AMM</t>
  </si>
  <si>
    <t>BOM/DAM</t>
  </si>
  <si>
    <t>BOM/HAK</t>
  </si>
  <si>
    <t>BOM/MRV</t>
  </si>
  <si>
    <t>BOM/ERC</t>
  </si>
  <si>
    <t>BOM/XIY</t>
  </si>
  <si>
    <t>BOM/BAX</t>
  </si>
  <si>
    <t>BOM/SIN</t>
  </si>
  <si>
    <t>BOM/KWL</t>
  </si>
  <si>
    <t>BOM/JHB</t>
  </si>
  <si>
    <t>BOM/INC</t>
  </si>
  <si>
    <t>BOM/SYX</t>
  </si>
  <si>
    <t>BOM/ADD</t>
  </si>
  <si>
    <t>BOM/BMV</t>
  </si>
  <si>
    <t>BOM/TUU</t>
  </si>
  <si>
    <t>BOM/URY</t>
  </si>
  <si>
    <t>BOM/ERZ</t>
  </si>
  <si>
    <t>BOM/EJH</t>
  </si>
  <si>
    <t>BOM/BHY</t>
  </si>
  <si>
    <t>BOM/WXN</t>
  </si>
  <si>
    <t>BOM/DIY</t>
  </si>
  <si>
    <t>BOM/OGZ</t>
  </si>
  <si>
    <t>BOM/DAD</t>
  </si>
  <si>
    <t>BOM/ZHY</t>
  </si>
  <si>
    <t>BOM/SGN</t>
  </si>
  <si>
    <t>BOM/AKX</t>
  </si>
  <si>
    <t>BOM/BAL</t>
  </si>
  <si>
    <t>BOM/MSR</t>
  </si>
  <si>
    <t>BOM/KUA</t>
  </si>
  <si>
    <t>BOM/KSY</t>
  </si>
  <si>
    <t>BOM/TUI</t>
  </si>
  <si>
    <t>BOM/DEZ</t>
  </si>
  <si>
    <t>BOM/THQ</t>
  </si>
  <si>
    <t>BOM/KAC</t>
  </si>
  <si>
    <t>BOM/LWN</t>
  </si>
  <si>
    <t>BOM/GUW</t>
  </si>
  <si>
    <t>BOM/TBS</t>
  </si>
  <si>
    <t>BOM/YNB</t>
  </si>
  <si>
    <t>BOM/HVD</t>
  </si>
  <si>
    <t>BOM/KUL</t>
  </si>
  <si>
    <t>BOM/TGG</t>
  </si>
  <si>
    <t>BOM/CKG</t>
  </si>
  <si>
    <t>BOM/SZB</t>
  </si>
  <si>
    <t>BOM/EVN</t>
  </si>
  <si>
    <t>BOM/LHW</t>
  </si>
  <si>
    <t>BOM/TSE</t>
  </si>
  <si>
    <t>BOM/MGQ</t>
  </si>
  <si>
    <t>BOM/PLX</t>
  </si>
  <si>
    <t>BOM/KWE</t>
  </si>
  <si>
    <t>BOM/PNH</t>
  </si>
  <si>
    <t>BOM/JED</t>
  </si>
  <si>
    <t>BOM/AJF</t>
  </si>
  <si>
    <t>BOM/MED</t>
  </si>
  <si>
    <t>BOM/NAJ</t>
  </si>
  <si>
    <t>BOM/RAE</t>
  </si>
  <si>
    <t>BOM/XNN</t>
  </si>
  <si>
    <t>BOM/HAN</t>
  </si>
  <si>
    <t>BOM/JZH</t>
  </si>
  <si>
    <t>BOM/KGF</t>
  </si>
  <si>
    <t>BOM/CTU</t>
  </si>
  <si>
    <t>BOM/TIF</t>
  </si>
  <si>
    <t>BOM/PEN</t>
  </si>
  <si>
    <t>BOM/TBZ</t>
  </si>
  <si>
    <t>BOM/HAS</t>
  </si>
  <si>
    <t>BOM/KNO</t>
  </si>
  <si>
    <t>BOM/JIB</t>
  </si>
  <si>
    <t>BOM/ABT</t>
  </si>
  <si>
    <t>BOM/HDY</t>
  </si>
  <si>
    <t>BOM/SEZ</t>
  </si>
  <si>
    <t>BOM/BGW</t>
  </si>
  <si>
    <t>BOM/LGK</t>
  </si>
  <si>
    <t>BOM/GYD</t>
  </si>
  <si>
    <t>BOM/HOD</t>
  </si>
  <si>
    <t>BOM/GIZ</t>
  </si>
  <si>
    <t>BOM/RAH</t>
  </si>
  <si>
    <t>BOM/AHB</t>
  </si>
  <si>
    <t>BOM/BHH</t>
  </si>
  <si>
    <t>BOM/BBO</t>
  </si>
  <si>
    <t>BOM/DNH</t>
  </si>
  <si>
    <t>BOM/KMG</t>
  </si>
  <si>
    <t>BOM/XIC</t>
  </si>
  <si>
    <t>BOM/VTE</t>
  </si>
  <si>
    <t>BOM/TAI</t>
  </si>
  <si>
    <t>BOM/UTP</t>
  </si>
  <si>
    <t>BOM/ELQ</t>
  </si>
  <si>
    <t>BOM/URC</t>
  </si>
  <si>
    <t>BOM/PZI</t>
  </si>
  <si>
    <t>BOM/KBV</t>
  </si>
  <si>
    <t>BOM/GLK</t>
  </si>
  <si>
    <t>BOM/SAH</t>
  </si>
  <si>
    <t>BOM/ADE</t>
  </si>
  <si>
    <t>BOM/KSH</t>
  </si>
  <si>
    <t>BOM/URT</t>
  </si>
  <si>
    <t>BOM/BKK</t>
  </si>
  <si>
    <t>BOM/DWD</t>
  </si>
  <si>
    <t>BOM/DMK</t>
  </si>
  <si>
    <t>BOM/EAM</t>
  </si>
  <si>
    <t>BOM/HKT</t>
  </si>
  <si>
    <t>BOM/HBT</t>
  </si>
  <si>
    <t>BOM/AQI</t>
  </si>
  <si>
    <t>BOM/WAE</t>
  </si>
  <si>
    <t>BOM/DIG</t>
  </si>
  <si>
    <t>BOM/GOQ</t>
  </si>
  <si>
    <t>BOM/BSR</t>
  </si>
  <si>
    <t>BOM/CEI</t>
  </si>
  <si>
    <t>BOM/KRL</t>
  </si>
  <si>
    <t>BOM/THR</t>
  </si>
  <si>
    <t>BOM/IKA</t>
  </si>
  <si>
    <t>BOM/AWZ</t>
  </si>
  <si>
    <t>BOM/RUH</t>
  </si>
  <si>
    <t>BOM/KWI</t>
  </si>
  <si>
    <t>BOM/BPX</t>
  </si>
  <si>
    <t>BOM/CNX</t>
  </si>
  <si>
    <t>BOM/ALA</t>
  </si>
  <si>
    <t>BOM/SHW</t>
  </si>
  <si>
    <t>BOM/FRU</t>
  </si>
  <si>
    <t>BOM/IFN</t>
  </si>
  <si>
    <t>BOM/GXF</t>
  </si>
  <si>
    <t>BOM/RIY</t>
  </si>
  <si>
    <t>BOM/ASB</t>
  </si>
  <si>
    <t>BOM/HOF</t>
  </si>
  <si>
    <t>BOM/DMM</t>
  </si>
  <si>
    <t>BOM/TAS</t>
  </si>
  <si>
    <t>BOM/RGN</t>
  </si>
  <si>
    <t>BOM/LZY</t>
  </si>
  <si>
    <t>BOM/BHK</t>
  </si>
  <si>
    <t>BOM/MDL</t>
  </si>
  <si>
    <t>BOM/BAH</t>
  </si>
  <si>
    <t>BOM/SKD</t>
  </si>
  <si>
    <t>BOM/SYZ</t>
  </si>
  <si>
    <t>BOM/AZD</t>
  </si>
  <si>
    <t>BOM/MHD</t>
  </si>
  <si>
    <t>BOM/KHG</t>
  </si>
  <si>
    <t>BOM/DOH</t>
  </si>
  <si>
    <t>BOM/IXZ</t>
  </si>
  <si>
    <t>BOM/DYU</t>
  </si>
  <si>
    <t>BOM/SCT</t>
  </si>
  <si>
    <t>BOM/LXA</t>
  </si>
  <si>
    <t>BOM/HTN</t>
  </si>
  <si>
    <t>BOM/GAU</t>
  </si>
  <si>
    <t>BOM/ZYL</t>
  </si>
  <si>
    <t>BOM/MZR</t>
  </si>
  <si>
    <t>BOM/KER</t>
  </si>
  <si>
    <t>BOM/CGP</t>
  </si>
  <si>
    <t>BOM/SLL</t>
  </si>
  <si>
    <t>BOM/AUH</t>
  </si>
  <si>
    <t>BOM/DWC</t>
  </si>
  <si>
    <t>BOM/DXB</t>
  </si>
  <si>
    <t>BOM/SHJ</t>
  </si>
  <si>
    <t>BOM/BND</t>
  </si>
  <si>
    <t>BOM/DAC</t>
  </si>
  <si>
    <t>BOM/RKT</t>
  </si>
  <si>
    <t>BOM/AAN</t>
  </si>
  <si>
    <t>BOM/FJR</t>
  </si>
  <si>
    <t>BOM/IXB</t>
  </si>
  <si>
    <t>BOM/KBL</t>
  </si>
  <si>
    <t>BOM/ACZ</t>
  </si>
  <si>
    <t>BOM/IXL</t>
  </si>
  <si>
    <t>BOM/SXR</t>
  </si>
  <si>
    <t>BOM/CCU</t>
  </si>
  <si>
    <t>BOM/ISB</t>
  </si>
  <si>
    <t>BOM/KTM</t>
  </si>
  <si>
    <t>BOM/MCT</t>
  </si>
  <si>
    <t>BOM/KDH</t>
  </si>
  <si>
    <t>BOM/CMB</t>
  </si>
  <si>
    <t>BOM/ATQ</t>
  </si>
  <si>
    <t>BOM/LHE</t>
  </si>
  <si>
    <t>BOM/UET</t>
  </si>
  <si>
    <t>BOM/LYP</t>
  </si>
  <si>
    <t>BOM/TRV</t>
  </si>
  <si>
    <t>BOM/BHV</t>
  </si>
  <si>
    <t>BOM/DEL</t>
  </si>
  <si>
    <t>BOM/VTZ</t>
  </si>
  <si>
    <t>BOM/RYK</t>
  </si>
  <si>
    <t>BOM/COK</t>
  </si>
  <si>
    <t>BOM/MAA</t>
  </si>
  <si>
    <t>BOM/CCJ</t>
  </si>
  <si>
    <t>BOM/JAI</t>
  </si>
  <si>
    <t>BOM/KHI</t>
  </si>
  <si>
    <t>BOM/BLR</t>
  </si>
  <si>
    <t>BOM/IXE</t>
  </si>
  <si>
    <t>BOM/NAG</t>
  </si>
  <si>
    <t>BOM/HYD</t>
  </si>
  <si>
    <t>BOM/AMD</t>
  </si>
  <si>
    <t>BOM/GOI</t>
  </si>
  <si>
    <t>Kertajati - Kertajati Airport</t>
  </si>
  <si>
    <t>BOM/KJT</t>
  </si>
  <si>
    <t>BOM/MKZ</t>
  </si>
  <si>
    <t>Malacca - Batu Berendam Airport</t>
  </si>
  <si>
    <t>Kertajati Airport</t>
  </si>
  <si>
    <t>Duration
(747-400)</t>
  </si>
  <si>
    <t>NA - US</t>
  </si>
  <si>
    <t>PEK/PAP</t>
  </si>
  <si>
    <t>PEK/AZS</t>
  </si>
  <si>
    <t>PEK/LCE</t>
  </si>
  <si>
    <t>PEK/SAP</t>
  </si>
  <si>
    <t>PEK/GUA</t>
  </si>
  <si>
    <t>PEK/POP</t>
  </si>
  <si>
    <t>PEK/SCU</t>
  </si>
  <si>
    <t>PEK/HOG</t>
  </si>
  <si>
    <t>PEK/CMW</t>
  </si>
  <si>
    <t>PEK/CPT</t>
  </si>
  <si>
    <t>PEK/CYO</t>
  </si>
  <si>
    <t>PEK/CCC</t>
  </si>
  <si>
    <t>PEK/SNU</t>
  </si>
  <si>
    <t>PEK/CUN</t>
  </si>
  <si>
    <t>PEK/VRA</t>
  </si>
  <si>
    <t>PEK/HAV</t>
  </si>
  <si>
    <t>PEK/MID</t>
  </si>
  <si>
    <t>PEK/ACA</t>
  </si>
  <si>
    <t>PEK/NAS</t>
  </si>
  <si>
    <t>PEK/FNA</t>
  </si>
  <si>
    <t>PEK/ROB</t>
  </si>
  <si>
    <t>PEK/PBC</t>
  </si>
  <si>
    <t>PEK/CKY</t>
  </si>
  <si>
    <t>PEK/MIA</t>
  </si>
  <si>
    <t>PEK/FPO</t>
  </si>
  <si>
    <t>PEK/MEX</t>
  </si>
  <si>
    <t>PEK/SID</t>
  </si>
  <si>
    <t>PEK/OXB</t>
  </si>
  <si>
    <t>PEK/TLC</t>
  </si>
  <si>
    <t>PEK/UTN</t>
  </si>
  <si>
    <t>PEK/PBI</t>
  </si>
  <si>
    <t>PEK/RSW</t>
  </si>
  <si>
    <t>PEK/BJL</t>
  </si>
  <si>
    <t>PEK/WDH</t>
  </si>
  <si>
    <t>PEK/HOI</t>
  </si>
  <si>
    <t>PEK/MLM</t>
  </si>
  <si>
    <t>PEK/DSS</t>
  </si>
  <si>
    <t>PEK/SRQ</t>
  </si>
  <si>
    <t>PEK/MLB</t>
  </si>
  <si>
    <t>PEK/PIE</t>
  </si>
  <si>
    <t>PEK/TPA</t>
  </si>
  <si>
    <t>PEK/MCO</t>
  </si>
  <si>
    <t>PEK/SDD</t>
  </si>
  <si>
    <t>PEK/OND</t>
  </si>
  <si>
    <t>PEK/BJX</t>
  </si>
  <si>
    <t>PEK/KIM</t>
  </si>
  <si>
    <t>PEK/SFB</t>
  </si>
  <si>
    <t>PEK/ABJ</t>
  </si>
  <si>
    <t>PEK/VPE</t>
  </si>
  <si>
    <t>PEK/ASK</t>
  </si>
  <si>
    <t>PEK/GDL</t>
  </si>
  <si>
    <t>PEK/DAB</t>
  </si>
  <si>
    <t>PEK/SLP</t>
  </si>
  <si>
    <t>PEK/AGU</t>
  </si>
  <si>
    <t>PEK/CBT</t>
  </si>
  <si>
    <t>PEK/PVR</t>
  </si>
  <si>
    <t>PEK/MSU</t>
  </si>
  <si>
    <t>PEK/BDA</t>
  </si>
  <si>
    <t>PEK/JAX</t>
  </si>
  <si>
    <t>PEK/ZCL</t>
  </si>
  <si>
    <t>PEK/NKC</t>
  </si>
  <si>
    <t>PEK/ECP</t>
  </si>
  <si>
    <t>PEK/ACC</t>
  </si>
  <si>
    <t>PEK/VPS</t>
  </si>
  <si>
    <t>PEK/SPP</t>
  </si>
  <si>
    <t>PEK/GBE</t>
  </si>
  <si>
    <t>PEK/SAV</t>
  </si>
  <si>
    <t>PEK/LAD</t>
  </si>
  <si>
    <t>PEK/MTY</t>
  </si>
  <si>
    <t>PEK/BFM</t>
  </si>
  <si>
    <t>PEK/MSY</t>
  </si>
  <si>
    <t>PEK/DUR</t>
  </si>
  <si>
    <t>PEK/HLA</t>
  </si>
  <si>
    <t>PEK/JNB</t>
  </si>
  <si>
    <t>PEK/DGO</t>
  </si>
  <si>
    <t>PEK/BOY</t>
  </si>
  <si>
    <t>PEK/MYR</t>
  </si>
  <si>
    <t>PEK/LFW</t>
  </si>
  <si>
    <t>PEK/VCT</t>
  </si>
  <si>
    <t>PEK/PPT</t>
  </si>
  <si>
    <t>PEK/IAH</t>
  </si>
  <si>
    <t>PEK/MEI</t>
  </si>
  <si>
    <t>PEK/ATL</t>
  </si>
  <si>
    <t>PEK/AEX</t>
  </si>
  <si>
    <t>PEK/SJD</t>
  </si>
  <si>
    <t>PEK/BHM</t>
  </si>
  <si>
    <t>PEK/LOS</t>
  </si>
  <si>
    <t>PEK/GSP</t>
  </si>
  <si>
    <t>PEK/CLT</t>
  </si>
  <si>
    <t>PEK/AUS</t>
  </si>
  <si>
    <t>PEK/MQP</t>
  </si>
  <si>
    <t>PEK/LBV</t>
  </si>
  <si>
    <t>PEK/RDU</t>
  </si>
  <si>
    <t>PEK/VIL</t>
  </si>
  <si>
    <t>PEK/OUA</t>
  </si>
  <si>
    <t>PEK/GSO</t>
  </si>
  <si>
    <t>PEK/HSV</t>
  </si>
  <si>
    <t>PEK/GRK</t>
  </si>
  <si>
    <t>PEK/GGG</t>
  </si>
  <si>
    <t>PEK/PHC</t>
  </si>
  <si>
    <t>PEK/BZV</t>
  </si>
  <si>
    <t>PEK/FIH</t>
  </si>
  <si>
    <t>PEK/SSG</t>
  </si>
  <si>
    <t>PEK/MEM</t>
  </si>
  <si>
    <t>PEK/VHC</t>
  </si>
  <si>
    <t>PEK/BNA</t>
  </si>
  <si>
    <t>PEK/DFW</t>
  </si>
  <si>
    <t>PEK/AFW</t>
  </si>
  <si>
    <t>PEK/DLA</t>
  </si>
  <si>
    <t>PEK/IAD</t>
  </si>
  <si>
    <t>PEK/BWI</t>
  </si>
  <si>
    <t>PEK/ACY</t>
  </si>
  <si>
    <t>PEK/MAF</t>
  </si>
  <si>
    <t>PEK/PHL</t>
  </si>
  <si>
    <t>PEK/SPS</t>
  </si>
  <si>
    <t>PEK/TFS</t>
  </si>
  <si>
    <t>PEK/SDF</t>
  </si>
  <si>
    <t>PEK/NIM</t>
  </si>
  <si>
    <t>PEK/NSI</t>
  </si>
  <si>
    <t>PEK/MDT</t>
  </si>
  <si>
    <t>PEK/JFK</t>
  </si>
  <si>
    <t>PEK/TFN</t>
  </si>
  <si>
    <t>PEK/LPA</t>
  </si>
  <si>
    <t>PEK/EWR</t>
  </si>
  <si>
    <t>PEK/ABV</t>
  </si>
  <si>
    <t>PEK/CVG</t>
  </si>
  <si>
    <t>PEK/LUN</t>
  </si>
  <si>
    <t>PEK/OKC</t>
  </si>
  <si>
    <t>PEK/LBB</t>
  </si>
  <si>
    <t>PEK/HRE</t>
  </si>
  <si>
    <t>PEK/TUL</t>
  </si>
  <si>
    <t>PEK/PIT</t>
  </si>
  <si>
    <t>PEK/CMH</t>
  </si>
  <si>
    <t>PEK/ELP</t>
  </si>
  <si>
    <t>PEK/SWF</t>
  </si>
  <si>
    <t>PEK/DAY</t>
  </si>
  <si>
    <t>PEK/BLV</t>
  </si>
  <si>
    <t>PEK/CHC</t>
  </si>
  <si>
    <t>PEK/BDL</t>
  </si>
  <si>
    <t>PEK/IND</t>
  </si>
  <si>
    <t>PEK/STL</t>
  </si>
  <si>
    <t>PEK/KAD</t>
  </si>
  <si>
    <t>PEK/ROW</t>
  </si>
  <si>
    <t>PEK/BOS</t>
  </si>
  <si>
    <t>PEK/AMA</t>
  </si>
  <si>
    <t>PEK/FBM</t>
  </si>
  <si>
    <t>PEK/MHT</t>
  </si>
  <si>
    <t>PEK/PSM</t>
  </si>
  <si>
    <t>PEK/FWA</t>
  </si>
  <si>
    <t>PEK/TOL</t>
  </si>
  <si>
    <t>PEK/ICT</t>
  </si>
  <si>
    <t>PEK/PIA</t>
  </si>
  <si>
    <t>PEK/DTW</t>
  </si>
  <si>
    <t>PEK/IAG</t>
  </si>
  <si>
    <t>PEK/MCI</t>
  </si>
  <si>
    <t>PEK/KAN</t>
  </si>
  <si>
    <t>PEK/TUS</t>
  </si>
  <si>
    <t>PEK/YHM</t>
  </si>
  <si>
    <t>PEK/FNC</t>
  </si>
  <si>
    <t>PEK/SMA</t>
  </si>
  <si>
    <t>PEK/ORD</t>
  </si>
  <si>
    <t>PEK/ABQ</t>
  </si>
  <si>
    <t>PEK/TIN</t>
  </si>
  <si>
    <t>PEK/YYZ</t>
  </si>
  <si>
    <t>PEK/BGR</t>
  </si>
  <si>
    <t>PEK/PXO</t>
  </si>
  <si>
    <t>PEK/MLI</t>
  </si>
  <si>
    <t>PEK/PBG</t>
  </si>
  <si>
    <t>PEK/GRR</t>
  </si>
  <si>
    <t>PEK/YOL</t>
  </si>
  <si>
    <t>PEK/RFD</t>
  </si>
  <si>
    <t>PEK/TER</t>
  </si>
  <si>
    <t>PEK/AZA</t>
  </si>
  <si>
    <t>PEK/MKE</t>
  </si>
  <si>
    <t>PEK/YUL</t>
  </si>
  <si>
    <t>PEK/GOU</t>
  </si>
  <si>
    <t>PEK/YOW</t>
  </si>
  <si>
    <t>PEK/PHX</t>
  </si>
  <si>
    <t>PEK/AKL</t>
  </si>
  <si>
    <t>PEK/AGA</t>
  </si>
  <si>
    <t>PEK/LNK</t>
  </si>
  <si>
    <t>PEK/LLW</t>
  </si>
  <si>
    <t>PEK/OMA</t>
  </si>
  <si>
    <t>PEK/YUM</t>
  </si>
  <si>
    <t>PEK/PUB</t>
  </si>
  <si>
    <t>PEK/DRO</t>
  </si>
  <si>
    <t>PEK/COS</t>
  </si>
  <si>
    <t>PEK/YYB</t>
  </si>
  <si>
    <t>PEK/TIJ</t>
  </si>
  <si>
    <t>PEK/RST</t>
  </si>
  <si>
    <t>PEK/GUC</t>
  </si>
  <si>
    <t>PEK/RAK</t>
  </si>
  <si>
    <t>PEK/SAN</t>
  </si>
  <si>
    <t>PEK/OZZ</t>
  </si>
  <si>
    <t>PEK/DEN</t>
  </si>
  <si>
    <t>PEK/MTJ</t>
  </si>
  <si>
    <t>PEK/YBG</t>
  </si>
  <si>
    <t>PEK/PSP</t>
  </si>
  <si>
    <t>PEK/YJT</t>
  </si>
  <si>
    <t>PEK/MQT</t>
  </si>
  <si>
    <t>PEK/YVO</t>
  </si>
  <si>
    <t>PEK/MSP</t>
  </si>
  <si>
    <t>PEK/NDJ</t>
  </si>
  <si>
    <t>PEK/GJT</t>
  </si>
  <si>
    <t>PEK/YQX</t>
  </si>
  <si>
    <t>PEK/FKI</t>
  </si>
  <si>
    <t>PEK/ONT</t>
  </si>
  <si>
    <t>PEK/CYS</t>
  </si>
  <si>
    <t>PEK/LGB</t>
  </si>
  <si>
    <t>PEK/TMR</t>
  </si>
  <si>
    <t>PEK/LAX</t>
  </si>
  <si>
    <t>PEK/CMN</t>
  </si>
  <si>
    <t>PEK/AZR</t>
  </si>
  <si>
    <t>PEK/LAS</t>
  </si>
  <si>
    <t>PEK/HDN</t>
  </si>
  <si>
    <t>PEK/BJM</t>
  </si>
  <si>
    <t>PEK/ERH</t>
  </si>
  <si>
    <t>PEK/DLH</t>
  </si>
  <si>
    <t>PEK/RBA</t>
  </si>
  <si>
    <t>PEK/INZ</t>
  </si>
  <si>
    <t>PEK/TMX</t>
  </si>
  <si>
    <t>PEK/BFL</t>
  </si>
  <si>
    <t>PEK/CBH</t>
  </si>
  <si>
    <t>PEK/KGL</t>
  </si>
  <si>
    <t>PEK/FEZ</t>
  </si>
  <si>
    <t>PEK/RKS</t>
  </si>
  <si>
    <t>PEK/CPR</t>
  </si>
  <si>
    <t>PEK/SLC</t>
  </si>
  <si>
    <t>PEK/TNG</t>
  </si>
  <si>
    <t>PEK/FAT</t>
  </si>
  <si>
    <t>PEK/TNR</t>
  </si>
  <si>
    <t>PEK/LIS</t>
  </si>
  <si>
    <t>PEK/MWZ</t>
  </si>
  <si>
    <t>PEK/NDR</t>
  </si>
  <si>
    <t>PEK/DJG</t>
  </si>
  <si>
    <t>PEK/YYR</t>
  </si>
  <si>
    <t>PEK/PPG</t>
  </si>
  <si>
    <t>PEK/ELG</t>
  </si>
  <si>
    <t>PEK/SVQ</t>
  </si>
  <si>
    <t>PEK/OUD</t>
  </si>
  <si>
    <t>PEK/AGP</t>
  </si>
  <si>
    <t>PEK/PIH</t>
  </si>
  <si>
    <t>PEK/SJC</t>
  </si>
  <si>
    <t>PEK/SCK</t>
  </si>
  <si>
    <t>PEK/BJZ</t>
  </si>
  <si>
    <t>PEK/EBB</t>
  </si>
  <si>
    <t>PEK/VVZ</t>
  </si>
  <si>
    <t>PEK/OAK</t>
  </si>
  <si>
    <t>PEK/SFO</t>
  </si>
  <si>
    <t>PEK/GRX</t>
  </si>
  <si>
    <t>PEK/RNO</t>
  </si>
  <si>
    <t>PEK/APW</t>
  </si>
  <si>
    <t>PEK/YWG</t>
  </si>
  <si>
    <t>PEK/BIL</t>
  </si>
  <si>
    <t>PEK/HAH</t>
  </si>
  <si>
    <t>PEK/DAR</t>
  </si>
  <si>
    <t>PEK/LEI</t>
  </si>
  <si>
    <t>PEK/ORN</t>
  </si>
  <si>
    <t>PEK/OPO</t>
  </si>
  <si>
    <t>PEK/GHA</t>
  </si>
  <si>
    <t>PEK/HRM</t>
  </si>
  <si>
    <t>PEK/JRO</t>
  </si>
  <si>
    <t>PEK/LOO</t>
  </si>
  <si>
    <t>PEK/IAM</t>
  </si>
  <si>
    <t>PEK/OGX</t>
  </si>
  <si>
    <t>PEK/ULU</t>
  </si>
  <si>
    <t>PEK/TID</t>
  </si>
  <si>
    <t>PEK/BOI</t>
  </si>
  <si>
    <t>PEK/HME</t>
  </si>
  <si>
    <t>PEK/UYL</t>
  </si>
  <si>
    <t>PEK/RUN</t>
  </si>
  <si>
    <t>PEK/SCQ</t>
  </si>
  <si>
    <t>PEK/EDL</t>
  </si>
  <si>
    <t>PEK/NBO</t>
  </si>
  <si>
    <t>PEK/ALC</t>
  </si>
  <si>
    <t>PEK/MAD</t>
  </si>
  <si>
    <t>PEK/MBA</t>
  </si>
  <si>
    <t>PEK/TGR</t>
  </si>
  <si>
    <t>PEK/GTF</t>
  </si>
  <si>
    <t>PEK/VLL</t>
  </si>
  <si>
    <t>PEK/LMT</t>
  </si>
  <si>
    <t>PEK/ELF</t>
  </si>
  <si>
    <t>PEK/AVV</t>
  </si>
  <si>
    <t>PEK/MSO</t>
  </si>
  <si>
    <t>PEK/ELU</t>
  </si>
  <si>
    <t>PEK/MEL</t>
  </si>
  <si>
    <t>PEK/VLC</t>
  </si>
  <si>
    <t>PEK/ALG</t>
  </si>
  <si>
    <t>PEK/BSK</t>
  </si>
  <si>
    <t>PEK/MRU</t>
  </si>
  <si>
    <t>PEK/IBZ</t>
  </si>
  <si>
    <t>PEK/CBR</t>
  </si>
  <si>
    <t>PEK/TOE</t>
  </si>
  <si>
    <t>PEK/NAN</t>
  </si>
  <si>
    <t>PEK/BLJ</t>
  </si>
  <si>
    <t>PEK/ZAZ</t>
  </si>
  <si>
    <t>PEK/SYD</t>
  </si>
  <si>
    <t>PEK/VIT</t>
  </si>
  <si>
    <t>PEK/CZL</t>
  </si>
  <si>
    <t>PEK/GAF</t>
  </si>
  <si>
    <t>PEK/PMI</t>
  </si>
  <si>
    <t>PEK/TEE</t>
  </si>
  <si>
    <t>PEK/PDX</t>
  </si>
  <si>
    <t>PEK/DJE</t>
  </si>
  <si>
    <t>PEK/BCN</t>
  </si>
  <si>
    <t>PEK/AAE</t>
  </si>
  <si>
    <t>PEK/LDE</t>
  </si>
  <si>
    <t>PEK/EBD</t>
  </si>
  <si>
    <t>PEK/SFA</t>
  </si>
  <si>
    <t>PEK/YYC</t>
  </si>
  <si>
    <t>PEK/TIP</t>
  </si>
  <si>
    <t>PEK/TBJ</t>
  </si>
  <si>
    <t>PEK/BOD</t>
  </si>
  <si>
    <t>PEK/MIR</t>
  </si>
  <si>
    <t>PEK/SEA</t>
  </si>
  <si>
    <t>PEK/NBE</t>
  </si>
  <si>
    <t>PEK/BFI</t>
  </si>
  <si>
    <t>PEK/TLS</t>
  </si>
  <si>
    <t>PEK/YYQ</t>
  </si>
  <si>
    <t>PEK/ADL</t>
  </si>
  <si>
    <t>PEK/TUN</t>
  </si>
  <si>
    <t>PEK/NOU</t>
  </si>
  <si>
    <t>PEK/BES</t>
  </si>
  <si>
    <t>PEK/YEG</t>
  </si>
  <si>
    <t>PEK/NTE</t>
  </si>
  <si>
    <t>PEK/YXX</t>
  </si>
  <si>
    <t>PEK/CAG</t>
  </si>
  <si>
    <t>PEK/YVR</t>
  </si>
  <si>
    <t>PEK/AWA</t>
  </si>
  <si>
    <t>PEK/AHO</t>
  </si>
  <si>
    <t>PEK/ITO</t>
  </si>
  <si>
    <t>PEK/MRS</t>
  </si>
  <si>
    <t>PEK/SNN</t>
  </si>
  <si>
    <t>PEK/MLA</t>
  </si>
  <si>
    <t>PEK/CFE</t>
  </si>
  <si>
    <t>PEK/KRT</t>
  </si>
  <si>
    <t>PEK/BNE</t>
  </si>
  <si>
    <t>PEK/CHR</t>
  </si>
  <si>
    <t>PEK/KOA</t>
  </si>
  <si>
    <t>PEK/YQQ</t>
  </si>
  <si>
    <t>PEK/PMO</t>
  </si>
  <si>
    <t>PEK/ADD</t>
  </si>
  <si>
    <t>PEK/NCE</t>
  </si>
  <si>
    <t>PEK/GNB</t>
  </si>
  <si>
    <t>PEK/LYS</t>
  </si>
  <si>
    <t>PEK/MGQ</t>
  </si>
  <si>
    <t>PEK/BEN</t>
  </si>
  <si>
    <t>PEK/ORY</t>
  </si>
  <si>
    <t>PEK/GVA</t>
  </si>
  <si>
    <t>PEK/CDG</t>
  </si>
  <si>
    <t>PEK/TRN</t>
  </si>
  <si>
    <t>PEK/GOA</t>
  </si>
  <si>
    <t>PEK/LGW</t>
  </si>
  <si>
    <t>PEK/BFS</t>
  </si>
  <si>
    <t>PEK/LHR</t>
  </si>
  <si>
    <t>PEK/FCO</t>
  </si>
  <si>
    <t>PEK/YXS</t>
  </si>
  <si>
    <t>PEK/HNL</t>
  </si>
  <si>
    <t>PEK/PSA</t>
  </si>
  <si>
    <t>PEK/XCR</t>
  </si>
  <si>
    <t>PEK/MAN</t>
  </si>
  <si>
    <t>PEK/MXP</t>
  </si>
  <si>
    <t>PEK/EMA</t>
  </si>
  <si>
    <t>PEK/STN</t>
  </si>
  <si>
    <t>PEK/CAL</t>
  </si>
  <si>
    <t>PEK/MSE</t>
  </si>
  <si>
    <t>PEK/SFJ</t>
  </si>
  <si>
    <t>PEK/LIL</t>
  </si>
  <si>
    <t>PEK/BGY</t>
  </si>
  <si>
    <t>PEK/PIK</t>
  </si>
  <si>
    <t>PEK/DSA</t>
  </si>
  <si>
    <t>PEK/ABS</t>
  </si>
  <si>
    <t>PEK/BSL</t>
  </si>
  <si>
    <t>PEK/MLH</t>
  </si>
  <si>
    <t>PEK/BLQ</t>
  </si>
  <si>
    <t>PEK/VBS</t>
  </si>
  <si>
    <t>PEK/PER</t>
  </si>
  <si>
    <t>PEK/OST</t>
  </si>
  <si>
    <t>PEK/ETZ</t>
  </si>
  <si>
    <t>PEK/VRN</t>
  </si>
  <si>
    <t>PEK/ZRH</t>
  </si>
  <si>
    <t>PEK/RMI</t>
  </si>
  <si>
    <t>PEK/SEZ</t>
  </si>
  <si>
    <t>PEK/AOI</t>
  </si>
  <si>
    <t>PEK/LUX</t>
  </si>
  <si>
    <t>PEK/BRU</t>
  </si>
  <si>
    <t>PEK/LGG</t>
  </si>
  <si>
    <t>PEK/ZQW</t>
  </si>
  <si>
    <t>PEK/FKB</t>
  </si>
  <si>
    <t>PEK/KEF</t>
  </si>
  <si>
    <t>PEK/VCE</t>
  </si>
  <si>
    <t>PEK/HHN</t>
  </si>
  <si>
    <t>PEK/EIN</t>
  </si>
  <si>
    <t>PEK/STR</t>
  </si>
  <si>
    <t>PEK/FMM</t>
  </si>
  <si>
    <t>PEK/PUY</t>
  </si>
  <si>
    <t>PEK/AMS</t>
  </si>
  <si>
    <t>PEK/ASW</t>
  </si>
  <si>
    <t>PEK/CGN</t>
  </si>
  <si>
    <t>PEK/KLX</t>
  </si>
  <si>
    <t>PEK/DUS</t>
  </si>
  <si>
    <t>PEK/TRS</t>
  </si>
  <si>
    <t>PEK/FRA</t>
  </si>
  <si>
    <t>PEK/JIB</t>
  </si>
  <si>
    <t>PEK/GPA</t>
  </si>
  <si>
    <t>PEK/PVK</t>
  </si>
  <si>
    <t>PEK/ATZ</t>
  </si>
  <si>
    <t>PEK/GLK</t>
  </si>
  <si>
    <t>PEK/CHQ</t>
  </si>
  <si>
    <t>PEK/MUC</t>
  </si>
  <si>
    <t>PEK/LXR</t>
  </si>
  <si>
    <t>PEK/BBO</t>
  </si>
  <si>
    <t>PEK/LJU</t>
  </si>
  <si>
    <t>PEK/DBV</t>
  </si>
  <si>
    <t>PEK/ZAG</t>
  </si>
  <si>
    <t>PEK/HBE</t>
  </si>
  <si>
    <t>PEK/VOL</t>
  </si>
  <si>
    <t>PEK/ATH</t>
  </si>
  <si>
    <t>PEK/GRZ</t>
  </si>
  <si>
    <t>PEK/LNZ</t>
  </si>
  <si>
    <t>PEK/HOD</t>
  </si>
  <si>
    <t>PEK/RMF</t>
  </si>
  <si>
    <t>PEK/HAJ</t>
  </si>
  <si>
    <t>PEK/TAI</t>
  </si>
  <si>
    <t>PEK/CAI</t>
  </si>
  <si>
    <t>PEK/ADE</t>
  </si>
  <si>
    <t>PEK/HRG</t>
  </si>
  <si>
    <t>PEK/SKU</t>
  </si>
  <si>
    <t>PEK/LEJ</t>
  </si>
  <si>
    <t>PEK/HAM</t>
  </si>
  <si>
    <t>PEK/GIZ</t>
  </si>
  <si>
    <t>PEK/PRG</t>
  </si>
  <si>
    <t>PEK/VIE</t>
  </si>
  <si>
    <t>PEK/JED</t>
  </si>
  <si>
    <t>PEK/SSH</t>
  </si>
  <si>
    <t>PEK/BEG</t>
  </si>
  <si>
    <t>PEK/DRS</t>
  </si>
  <si>
    <t>PEK/SAH</t>
  </si>
  <si>
    <t>PEK/BTS</t>
  </si>
  <si>
    <t>PEK/RHO</t>
  </si>
  <si>
    <t>PEK/LXS</t>
  </si>
  <si>
    <t>PEK/BJV</t>
  </si>
  <si>
    <t>PEK/KVA</t>
  </si>
  <si>
    <t>PEK/EJH</t>
  </si>
  <si>
    <t>PEK/YNB</t>
  </si>
  <si>
    <t>PEK/AHB</t>
  </si>
  <si>
    <t>PEK/BLL</t>
  </si>
  <si>
    <t>PEK/TXL</t>
  </si>
  <si>
    <t>PEK/SXF</t>
  </si>
  <si>
    <t>PEK/ADB</t>
  </si>
  <si>
    <t>PEK/SOF</t>
  </si>
  <si>
    <t>PEK/TIF</t>
  </si>
  <si>
    <t>PEK/BUD</t>
  </si>
  <si>
    <t>PEK/KRP</t>
  </si>
  <si>
    <t>PEK/DLM</t>
  </si>
  <si>
    <t>PEK/ABT</t>
  </si>
  <si>
    <t>PEK/TCP</t>
  </si>
  <si>
    <t>PEK/TSR</t>
  </si>
  <si>
    <t>PEK/AAC</t>
  </si>
  <si>
    <t>PEK/AQJ</t>
  </si>
  <si>
    <t>PEK/ETM</t>
  </si>
  <si>
    <t>PEK/VDA</t>
  </si>
  <si>
    <t>PEK/OSR</t>
  </si>
  <si>
    <t>PEK/EAM</t>
  </si>
  <si>
    <t>PEK/BHH</t>
  </si>
  <si>
    <t>PEK/AAR</t>
  </si>
  <si>
    <t>PEK/BGO</t>
  </si>
  <si>
    <t>PEK/TUU</t>
  </si>
  <si>
    <t>PEK/MED</t>
  </si>
  <si>
    <t>PEK/DNZ</t>
  </si>
  <si>
    <t>PEK/CPH</t>
  </si>
  <si>
    <t>PEK/AYT</t>
  </si>
  <si>
    <t>PEK/MMX</t>
  </si>
  <si>
    <t>PEK/KTW</t>
  </si>
  <si>
    <t>PEK/TLV</t>
  </si>
  <si>
    <t>PEK/ISE</t>
  </si>
  <si>
    <t>PEK/KSC</t>
  </si>
  <si>
    <t>PEK/TEQ</t>
  </si>
  <si>
    <t>PEK/SBZ</t>
  </si>
  <si>
    <t>PEK/TRF</t>
  </si>
  <si>
    <t>PEK/GOT</t>
  </si>
  <si>
    <t>PEK/YXY</t>
  </si>
  <si>
    <t>PEK/BOJ</t>
  </si>
  <si>
    <t>PEK/AMM</t>
  </si>
  <si>
    <t>PEK/LCA</t>
  </si>
  <si>
    <t>PEK/IST</t>
  </si>
  <si>
    <t>PEK/YEI</t>
  </si>
  <si>
    <t>PEK/BBU</t>
  </si>
  <si>
    <t>PEK/OTP</t>
  </si>
  <si>
    <t>PEK/SAW</t>
  </si>
  <si>
    <t>PEK/SHW</t>
  </si>
  <si>
    <t>PEK/RIY</t>
  </si>
  <si>
    <t>PEK/CNS</t>
  </si>
  <si>
    <t>PEK/WAE</t>
  </si>
  <si>
    <t>PEK/RZE</t>
  </si>
  <si>
    <t>PEK/GXF</t>
  </si>
  <si>
    <t>PEK/URY</t>
  </si>
  <si>
    <t>PEK/BEY</t>
  </si>
  <si>
    <t>PEK/OSL</t>
  </si>
  <si>
    <t>PEK/KYA</t>
  </si>
  <si>
    <t>PEK/GDN</t>
  </si>
  <si>
    <t>PEK/WAW</t>
  </si>
  <si>
    <t>PEK/LEA</t>
  </si>
  <si>
    <t>PEK/DAM</t>
  </si>
  <si>
    <t>PEK/CND</t>
  </si>
  <si>
    <t>PEK/HAS</t>
  </si>
  <si>
    <t>PEK/LTK</t>
  </si>
  <si>
    <t>PEK/AJF</t>
  </si>
  <si>
    <t>PEK/TUI</t>
  </si>
  <si>
    <t>PEK/DWD</t>
  </si>
  <si>
    <t>PEK/ESB</t>
  </si>
  <si>
    <t>PEK/SCT</t>
  </si>
  <si>
    <t>PEK/TRD</t>
  </si>
  <si>
    <t>PEK/NYO</t>
  </si>
  <si>
    <t>PEK/NAV</t>
  </si>
  <si>
    <t>PEK/HTY</t>
  </si>
  <si>
    <t>PEK/ELQ</t>
  </si>
  <si>
    <t>PEK/KIV</t>
  </si>
  <si>
    <t>PEK/ALP</t>
  </si>
  <si>
    <t>PEK/ASR</t>
  </si>
  <si>
    <t>PEK/RAE</t>
  </si>
  <si>
    <t>PEK/ARN</t>
  </si>
  <si>
    <t>PEK/GZT</t>
  </si>
  <si>
    <t>PEK/ODS</t>
  </si>
  <si>
    <t>PEK/KUN</t>
  </si>
  <si>
    <t>PEK/SQQ</t>
  </si>
  <si>
    <t>PEK/RUH</t>
  </si>
  <si>
    <t>PEK/MZH</t>
  </si>
  <si>
    <t>PEK/RAH</t>
  </si>
  <si>
    <t>PEK/VAS</t>
  </si>
  <si>
    <t>PEK/DEZ</t>
  </si>
  <si>
    <t>PEK/MLX</t>
  </si>
  <si>
    <t>PEK/RIX</t>
  </si>
  <si>
    <t>PEK/HBT</t>
  </si>
  <si>
    <t>PEK/SZF</t>
  </si>
  <si>
    <t>PEK/SIP</t>
  </si>
  <si>
    <t>PEK/SLL</t>
  </si>
  <si>
    <t>PEK/DCN</t>
  </si>
  <si>
    <t>PEK/AQI</t>
  </si>
  <si>
    <t>PEK/BOO</t>
  </si>
  <si>
    <t>PEK/MSQ</t>
  </si>
  <si>
    <t>PEK/KBP</t>
  </si>
  <si>
    <t>PEK/DIY</t>
  </si>
  <si>
    <t>PEK/KAC</t>
  </si>
  <si>
    <t>PEK/ANC</t>
  </si>
  <si>
    <t>PEK/TLL</t>
  </si>
  <si>
    <t>PEK/ERC</t>
  </si>
  <si>
    <t>PEK/HOF</t>
  </si>
  <si>
    <t>PEK/BAL</t>
  </si>
  <si>
    <t>PEK/BGW</t>
  </si>
  <si>
    <t>PEK/HEL</t>
  </si>
  <si>
    <t>PEK/EVE</t>
  </si>
  <si>
    <t>PEK/FAI</t>
  </si>
  <si>
    <t>PEK/DNK</t>
  </si>
  <si>
    <t>PEK/DMM</t>
  </si>
  <si>
    <t>PEK/KWI</t>
  </si>
  <si>
    <t>PEK/MSR</t>
  </si>
  <si>
    <t>PEK/ERZ</t>
  </si>
  <si>
    <t>PEK/LLA</t>
  </si>
  <si>
    <t>PEK/BSR</t>
  </si>
  <si>
    <t>PEK/BAH</t>
  </si>
  <si>
    <t>PEK/DOH</t>
  </si>
  <si>
    <t>PEK/AER</t>
  </si>
  <si>
    <t>PEK/KRR</t>
  </si>
  <si>
    <t>PEK/KUO</t>
  </si>
  <si>
    <t>PEK/LED</t>
  </si>
  <si>
    <t>PEK/AWZ</t>
  </si>
  <si>
    <t>PEK/KSY</t>
  </si>
  <si>
    <t>PEK/KSH</t>
  </si>
  <si>
    <t>PEK/DRW</t>
  </si>
  <si>
    <t>PEK/RVN</t>
  </si>
  <si>
    <t>PEK/LWN</t>
  </si>
  <si>
    <t>PEK/AUH</t>
  </si>
  <si>
    <t>PEK/EVN</t>
  </si>
  <si>
    <t>PEK/LKL</t>
  </si>
  <si>
    <t>PEK/NAJ</t>
  </si>
  <si>
    <t>PEK/CDB</t>
  </si>
  <si>
    <t>PEK/TBZ</t>
  </si>
  <si>
    <t>PEK/DWC</t>
  </si>
  <si>
    <t>PEK/AAN</t>
  </si>
  <si>
    <t>PEK/MRV</t>
  </si>
  <si>
    <t>PEK/DXB</t>
  </si>
  <si>
    <t>PEK/TBS</t>
  </si>
  <si>
    <t>PEK/SYZ</t>
  </si>
  <si>
    <t>PEK/SHJ</t>
  </si>
  <si>
    <t>PEK/VKO</t>
  </si>
  <si>
    <t>PEK/OGZ</t>
  </si>
  <si>
    <t>PEK/SVO</t>
  </si>
  <si>
    <t>PEK/RKT</t>
  </si>
  <si>
    <t>PEK/FJR</t>
  </si>
  <si>
    <t>PEK/ZIA</t>
  </si>
  <si>
    <t>PEK/IFN</t>
  </si>
  <si>
    <t>PEK/MCT</t>
  </si>
  <si>
    <t>PEK/IKA</t>
  </si>
  <si>
    <t>PEK/BND</t>
  </si>
  <si>
    <t>PEK/THR</t>
  </si>
  <si>
    <t>PEK/AZD</t>
  </si>
  <si>
    <t>PEK/GYD</t>
  </si>
  <si>
    <t>PEK/DPS</t>
  </si>
  <si>
    <t>PEK/KER</t>
  </si>
  <si>
    <t>PEK/GOJ</t>
  </si>
  <si>
    <t>PEK/YIA</t>
  </si>
  <si>
    <t>PEK/SUB</t>
  </si>
  <si>
    <t>PEK/KJT</t>
  </si>
  <si>
    <t>PEK/TRV</t>
  </si>
  <si>
    <t>PEK/HLP</t>
  </si>
  <si>
    <t>PEK/COK</t>
  </si>
  <si>
    <t>PEK/CMB</t>
  </si>
  <si>
    <t>PEK/ULY</t>
  </si>
  <si>
    <t>PEK/GUW</t>
  </si>
  <si>
    <t>PEK/CCJ</t>
  </si>
  <si>
    <t>PEK/KZN</t>
  </si>
  <si>
    <t>PEK/KUF</t>
  </si>
  <si>
    <t>PEK/IXE</t>
  </si>
  <si>
    <t>PEK/UPG</t>
  </si>
  <si>
    <t>PEK/ACZ</t>
  </si>
  <si>
    <t>PEK/GOI</t>
  </si>
  <si>
    <t>PEK/ASB</t>
  </si>
  <si>
    <t>PEK/MHD</t>
  </si>
  <si>
    <t>PEK/KHI</t>
  </si>
  <si>
    <t>PEK/BLR</t>
  </si>
  <si>
    <t>PEK/DYR</t>
  </si>
  <si>
    <t>PEK/UFA</t>
  </si>
  <si>
    <t>PEK/AKX</t>
  </si>
  <si>
    <t>PEK/MAA</t>
  </si>
  <si>
    <t>PEK/PEE</t>
  </si>
  <si>
    <t>PEK/KDH</t>
  </si>
  <si>
    <t>PEK/UET</t>
  </si>
  <si>
    <t>PEK/AMD</t>
  </si>
  <si>
    <t>PEK/BTH</t>
  </si>
  <si>
    <t>PEK/SIN</t>
  </si>
  <si>
    <t>PEK/JHB</t>
  </si>
  <si>
    <t>PEK/HYD</t>
  </si>
  <si>
    <t>PEK/KNO</t>
  </si>
  <si>
    <t>PEK/KUL</t>
  </si>
  <si>
    <t>PEK/RYK</t>
  </si>
  <si>
    <t>PEK/SZB</t>
  </si>
  <si>
    <t>PEK/BHK</t>
  </si>
  <si>
    <t>PEK/SVX</t>
  </si>
  <si>
    <t>PEK/CEK</t>
  </si>
  <si>
    <t>PEK/MZR</t>
  </si>
  <si>
    <t>PEK/KUA</t>
  </si>
  <si>
    <t>PEK/SBW</t>
  </si>
  <si>
    <t>PEK/BHV</t>
  </si>
  <si>
    <t>PEK/PEN</t>
  </si>
  <si>
    <t>PEK/KBL</t>
  </si>
  <si>
    <t>PEK/SKD</t>
  </si>
  <si>
    <t>PEK/NAG</t>
  </si>
  <si>
    <t>PEK/LGK</t>
  </si>
  <si>
    <t>PEK/TJM</t>
  </si>
  <si>
    <t>PEK/TGG</t>
  </si>
  <si>
    <t>PEK/DYU</t>
  </si>
  <si>
    <t>PEK/VTZ</t>
  </si>
  <si>
    <t>PEK/GUM</t>
  </si>
  <si>
    <t>PEK/HDY</t>
  </si>
  <si>
    <t>PEK/JAI</t>
  </si>
  <si>
    <t>PEK/LYP</t>
  </si>
  <si>
    <t>PEK/HKT</t>
  </si>
  <si>
    <t>PEK/KBV</t>
  </si>
  <si>
    <t>PEK/TAS</t>
  </si>
  <si>
    <t>PEK/IXZ</t>
  </si>
  <si>
    <t>PEK/BWN</t>
  </si>
  <si>
    <t>PEK/ISB</t>
  </si>
  <si>
    <t>PEK/LHE</t>
  </si>
  <si>
    <t>PEK/GES</t>
  </si>
  <si>
    <t>PEK/URT</t>
  </si>
  <si>
    <t>PEK/ATQ</t>
  </si>
  <si>
    <t>PEK/DEL</t>
  </si>
  <si>
    <t>PEK/BKI</t>
  </si>
  <si>
    <t>PEK/DVO</t>
  </si>
  <si>
    <t>PEK/SGC</t>
  </si>
  <si>
    <t>PEK/SXR</t>
  </si>
  <si>
    <t>PEK/NSK</t>
  </si>
  <si>
    <t>PEK/TSE</t>
  </si>
  <si>
    <t>PEK/IKS</t>
  </si>
  <si>
    <t>PEK/NJC</t>
  </si>
  <si>
    <t>PEK/OMS</t>
  </si>
  <si>
    <t>PEK/KGF</t>
  </si>
  <si>
    <t>PEK/IXL</t>
  </si>
  <si>
    <t>PEK/FRU</t>
  </si>
  <si>
    <t>PEK/PKC</t>
  </si>
  <si>
    <t>PEK/KHG</t>
  </si>
  <si>
    <t>PEK/UTP</t>
  </si>
  <si>
    <t>PEK/SGN</t>
  </si>
  <si>
    <t>PEK/CEB</t>
  </si>
  <si>
    <t>PEK/PNH</t>
  </si>
  <si>
    <t>PEK/BKK</t>
  </si>
  <si>
    <t>PEK/DMK</t>
  </si>
  <si>
    <t>PEK/CCU</t>
  </si>
  <si>
    <t>PEK/ALA</t>
  </si>
  <si>
    <t>PEK/RGN</t>
  </si>
  <si>
    <t>PEK/GDX</t>
  </si>
  <si>
    <t>PEK/CXR</t>
  </si>
  <si>
    <t>PEK/HTN</t>
  </si>
  <si>
    <t>PEK/KTM</t>
  </si>
  <si>
    <t>PEK/BMV</t>
  </si>
  <si>
    <t>PEK/CGP</t>
  </si>
  <si>
    <t>PEK/DAC</t>
  </si>
  <si>
    <t>PEK/PLX</t>
  </si>
  <si>
    <t>PEK/IXB</t>
  </si>
  <si>
    <t>PEK/OVB</t>
  </si>
  <si>
    <t>PEK/CNX</t>
  </si>
  <si>
    <t>PEK/BAX</t>
  </si>
  <si>
    <t>PEK/MNL</t>
  </si>
  <si>
    <t>PEK/ZYL</t>
  </si>
  <si>
    <t>PEK/MDL</t>
  </si>
  <si>
    <t>PEK/KEJ</t>
  </si>
  <si>
    <t>PEK/VTE</t>
  </si>
  <si>
    <t>PEK/CRK</t>
  </si>
  <si>
    <t>PEK/DAD</t>
  </si>
  <si>
    <t>PEK/GAU</t>
  </si>
  <si>
    <t>PEK/CEI</t>
  </si>
  <si>
    <t>PEK/LXA</t>
  </si>
  <si>
    <t>PEK/YKS</t>
  </si>
  <si>
    <t>PEK/KRL</t>
  </si>
  <si>
    <t>PEK/SYX</t>
  </si>
  <si>
    <t>PEK/KJA</t>
  </si>
  <si>
    <t>PEK/MJZ</t>
  </si>
  <si>
    <t>PEK/LAO</t>
  </si>
  <si>
    <t>PEK/URC</t>
  </si>
  <si>
    <t>PEK/ABA</t>
  </si>
  <si>
    <t>PEK/LZY</t>
  </si>
  <si>
    <t>PEK/HAN</t>
  </si>
  <si>
    <t>PEK/HAK</t>
  </si>
  <si>
    <t>PEK/UUS</t>
  </si>
  <si>
    <t>PEK/BHY</t>
  </si>
  <si>
    <t>PEK/HVD</t>
  </si>
  <si>
    <t>PEK/NRT</t>
  </si>
  <si>
    <t>PEK/KMG</t>
  </si>
  <si>
    <t>PEK/CTS</t>
  </si>
  <si>
    <t>PEK/SDJ</t>
  </si>
  <si>
    <t>PEK/HND</t>
  </si>
  <si>
    <t>PEK/DIG</t>
  </si>
  <si>
    <t>PEK/BPX</t>
  </si>
  <si>
    <t>PEK/HKD</t>
  </si>
  <si>
    <t>PEK/AOJ</t>
  </si>
  <si>
    <t>PEK/PZI</t>
  </si>
  <si>
    <t>PEK/ZUH</t>
  </si>
  <si>
    <t>Hong Kong - Hong Kong Airport</t>
  </si>
  <si>
    <t>1,992 </t>
  </si>
  <si>
    <t>PEK/HKG</t>
  </si>
  <si>
    <t>JAPAN</t>
  </si>
  <si>
    <t>Osaka - Itami Airpor</t>
  </si>
  <si>
    <t>PEK/ITM</t>
  </si>
  <si>
    <t>Osaka - Kansai Airport</t>
  </si>
  <si>
    <t>Okinawa - Naha Airport </t>
  </si>
  <si>
    <t>Fukuoka - Fukuoka Airport</t>
  </si>
  <si>
    <t> Nagoya - Chubu Centrair Airport</t>
  </si>
  <si>
    <t>Kirishima - Kagoshima Airport</t>
  </si>
  <si>
    <t>PEK/KIX</t>
  </si>
  <si>
    <t>PEK/OKA</t>
  </si>
  <si>
    <t>PEK/FUK</t>
  </si>
  <si>
    <t>PEK/NGO</t>
  </si>
  <si>
    <t>PEK/KOJ</t>
  </si>
  <si>
    <t>PEK/TSN</t>
  </si>
  <si>
    <t>PEK/SJW</t>
  </si>
  <si>
    <t>PEK/DLC</t>
  </si>
  <si>
    <t>PEK/TYN</t>
  </si>
  <si>
    <t>PEK/HET</t>
  </si>
  <si>
    <t>PEK/TNA</t>
  </si>
  <si>
    <t>PEK/TAO</t>
  </si>
  <si>
    <t>PEK/JNG</t>
  </si>
  <si>
    <t>PEK/XUZ</t>
  </si>
  <si>
    <t>PEK/CGO</t>
  </si>
  <si>
    <t>PEK/SHE</t>
  </si>
  <si>
    <t>PEK/FNJ</t>
  </si>
  <si>
    <t>PEK/YCU</t>
  </si>
  <si>
    <t>PEK/ENY</t>
  </si>
  <si>
    <t>PEK/ICN</t>
  </si>
  <si>
    <t>PEK/INC</t>
  </si>
  <si>
    <t>PEK/CGQ</t>
  </si>
  <si>
    <t>PEK/WUX</t>
  </si>
  <si>
    <t>PEK/HRB</t>
  </si>
  <si>
    <t>PEK/CZX</t>
  </si>
  <si>
    <t>PEK/XIY</t>
  </si>
  <si>
    <t>PEK/GMP</t>
  </si>
  <si>
    <t>PEK/HFE</t>
  </si>
  <si>
    <t>PEK/NKG</t>
  </si>
  <si>
    <t>PEK/THQ</t>
  </si>
  <si>
    <t>PEK/PVG</t>
  </si>
  <si>
    <t>PEK/SHA</t>
  </si>
  <si>
    <t>PEK/AQG</t>
  </si>
  <si>
    <t>PEK/NZH</t>
  </si>
  <si>
    <t>PEK/WUH</t>
  </si>
  <si>
    <t>PEK/KWJ</t>
  </si>
  <si>
    <t>PEK/MWX</t>
  </si>
  <si>
    <t>PEK/ZHY</t>
  </si>
  <si>
    <t>PEK/NGB</t>
  </si>
  <si>
    <t>PEK/PUS</t>
  </si>
  <si>
    <t>PEK/LHW</t>
  </si>
  <si>
    <t>PEK/JIU</t>
  </si>
  <si>
    <t>PEK/ULN</t>
  </si>
  <si>
    <t>PEK/TAE</t>
  </si>
  <si>
    <t>PEK/HGH</t>
  </si>
  <si>
    <t>PEK/CJU</t>
  </si>
  <si>
    <t>PEK/HTA</t>
  </si>
  <si>
    <t>PEK/VVO</t>
  </si>
  <si>
    <t>PEK/XNN</t>
  </si>
  <si>
    <t>PEK/WXN</t>
  </si>
  <si>
    <t>PEK/KHN</t>
  </si>
  <si>
    <t>PEK/CKG</t>
  </si>
  <si>
    <t>PEK/BYN</t>
  </si>
  <si>
    <t>PEK/NGS</t>
  </si>
  <si>
    <t>PEK/BQS</t>
  </si>
  <si>
    <t>PEK/JZH</t>
  </si>
  <si>
    <t>PEK/CTU</t>
  </si>
  <si>
    <t>PEK/OIT</t>
  </si>
  <si>
    <t>PEK/KMJ</t>
  </si>
  <si>
    <t>PEK/UUD</t>
  </si>
  <si>
    <t>PEK/IKT</t>
  </si>
  <si>
    <t>PEK/FOC</t>
  </si>
  <si>
    <t>PEK/RMQ</t>
  </si>
  <si>
    <t>PEK/KWE</t>
  </si>
  <si>
    <t>PEK/KWL</t>
  </si>
  <si>
    <t>PEK/KHV</t>
  </si>
  <si>
    <t>PEK/XMN</t>
  </si>
  <si>
    <t>PEK/TPE</t>
  </si>
  <si>
    <t>PEK/XIC</t>
  </si>
  <si>
    <t>PEK/CAN</t>
  </si>
  <si>
    <t>PEK/DNH</t>
  </si>
  <si>
    <t>PEK/MFM</t>
  </si>
  <si>
    <t>PEK/KHH</t>
  </si>
  <si>
    <t>PEK/SZX</t>
  </si>
  <si>
    <t>PEK/GOQ</t>
  </si>
  <si>
    <t>O - DEMAND</t>
  </si>
  <si>
    <t>C_DEMAND</t>
  </si>
  <si>
    <t>R-DEMAND</t>
  </si>
  <si>
    <t>ADD ACC</t>
  </si>
  <si>
    <t>ADD TIME</t>
  </si>
  <si>
    <t>AVAILABLE ROUTES BY CONTINENT / BY STARS</t>
  </si>
  <si>
    <t>PROFIT</t>
  </si>
  <si>
    <t>AC</t>
  </si>
  <si>
    <t>ECO</t>
  </si>
  <si>
    <t>Code</t>
  </si>
  <si>
    <t>ECO SEAT</t>
  </si>
  <si>
    <t>SEATS SOLD</t>
  </si>
  <si>
    <t>SEAT REV</t>
  </si>
  <si>
    <t>Total Count of ICAO</t>
  </si>
  <si>
    <t>Total Average of Duration</t>
  </si>
  <si>
    <t>Average of Duration</t>
  </si>
  <si>
    <t>Duration
(A359)</t>
  </si>
  <si>
    <t>Quanzhou - Jinjiang</t>
  </si>
  <si>
    <t>Taipei - Songshan</t>
  </si>
  <si>
    <t>Ji'an - Jinggangshan</t>
  </si>
  <si>
    <t>Jorhat - Rowriah</t>
  </si>
  <si>
    <t>Ranchi - Birsa Munda</t>
  </si>
  <si>
    <t>Changde - Taohuayuan</t>
  </si>
  <si>
    <t>Zhangjiajie - Hehua</t>
  </si>
  <si>
    <t>Yichang - Sanxia</t>
  </si>
  <si>
    <t>Huangshan - Tunxi Intl</t>
  </si>
  <si>
    <t>Pune - Lohegaon</t>
  </si>
  <si>
    <t>Tinian - International</t>
  </si>
  <si>
    <t>Saipan - Francisco C. Ada Intl</t>
  </si>
  <si>
    <t>Bengbu</t>
  </si>
  <si>
    <t>Lucknow - Chaudhary Charan Singh</t>
  </si>
  <si>
    <t>Changzhi - Wangcun</t>
  </si>
  <si>
    <t>Jamnagar - Govardhanpur</t>
  </si>
  <si>
    <t>Bhuj - Shyamji Krishna Verma</t>
  </si>
  <si>
    <t>Weifang</t>
  </si>
  <si>
    <t>Jinju - Sacheon</t>
  </si>
  <si>
    <t>Port Vila - Bauerfield Intl</t>
  </si>
  <si>
    <t>Weihai - Dashuibo</t>
  </si>
  <si>
    <t>Yantai - Penglai Intl</t>
  </si>
  <si>
    <t>Cheongju - International</t>
  </si>
  <si>
    <t>Wonju</t>
  </si>
  <si>
    <t>Sukkur</t>
  </si>
  <si>
    <t>Multan - International</t>
  </si>
  <si>
    <t>Dandong - Langtou</t>
  </si>
  <si>
    <t>Jinzhouwan</t>
  </si>
  <si>
    <t>Komatsu</t>
  </si>
  <si>
    <t>Peshawar - Bacha Khan Intl</t>
  </si>
  <si>
    <t>Yanji - Chaoyangchuan</t>
  </si>
  <si>
    <t>Mudanjiang - Hailang</t>
  </si>
  <si>
    <t>Choibalsan</t>
  </si>
  <si>
    <t>Karamay - Airport</t>
  </si>
  <si>
    <t>Qiqihar - Sanjiazi</t>
  </si>
  <si>
    <t>Osh</t>
  </si>
  <si>
    <t>Herat</t>
  </si>
  <si>
    <t>Hailar - Dongshan</t>
  </si>
  <si>
    <t>Manzini - Matsapha International</t>
  </si>
  <si>
    <t>Dire Dawa - Aba Tenna D Yilma Intl</t>
  </si>
  <si>
    <t>Kyzyl Airport</t>
  </si>
  <si>
    <t>Nuku'alofa - Fua'amotu Intl</t>
  </si>
  <si>
    <t>Polokwane - International</t>
  </si>
  <si>
    <t>Bloemfontein - International</t>
  </si>
  <si>
    <t>Bulawayo - Joshua M. Nkomo Intl</t>
  </si>
  <si>
    <t>Sun City - Pilanesberg Intl</t>
  </si>
  <si>
    <t>Asmara Airport</t>
  </si>
  <si>
    <t>Kamina-Ville</t>
  </si>
  <si>
    <t>Ganja</t>
  </si>
  <si>
    <t>Makhachkala - Uytash</t>
  </si>
  <si>
    <t>Van - Ferit Melen</t>
  </si>
  <si>
    <t>Grozny</t>
  </si>
  <si>
    <t>Mardin</t>
  </si>
  <si>
    <t>Kogalym</t>
  </si>
  <si>
    <t>Noyabrsk</t>
  </si>
  <si>
    <t>Adiyaman</t>
  </si>
  <si>
    <t>Stavropol - Shpakovskoye</t>
  </si>
  <si>
    <t>Nizhnekamsk - Begishevo</t>
  </si>
  <si>
    <t>Huambo - Albano Machado</t>
  </si>
  <si>
    <t>Novy Urengoy</t>
  </si>
  <si>
    <t>Adana - Sakirpasa</t>
  </si>
  <si>
    <t>Paphos - International</t>
  </si>
  <si>
    <t>Salekhard</t>
  </si>
  <si>
    <t>Bangui - Mpoko Intl</t>
  </si>
  <si>
    <t>Mariupol - International</t>
  </si>
  <si>
    <t>Eskisehir - Anadolu</t>
  </si>
  <si>
    <t>Zaporizhzhia - Mokraya Intl</t>
  </si>
  <si>
    <t>Usak</t>
  </si>
  <si>
    <t>Irakleion - Nikos Kazantzakis</t>
  </si>
  <si>
    <t>Alexandroupolis - Dimokritos</t>
  </si>
  <si>
    <t>Gomel</t>
  </si>
  <si>
    <t>Kastoria - Aristotelis</t>
  </si>
  <si>
    <t>Ivano-Frankivsk - International</t>
  </si>
  <si>
    <t>Ohrid - St.Paul the Apostle</t>
  </si>
  <si>
    <t>Lviv - International</t>
  </si>
  <si>
    <t>Tirana - Nene Tereza Intl</t>
  </si>
  <si>
    <t>Vilnius - International</t>
  </si>
  <si>
    <t>Brindisi - Casale</t>
  </si>
  <si>
    <t>Sarajevo - International</t>
  </si>
  <si>
    <t>Poprad - Tatry</t>
  </si>
  <si>
    <t>Krakow - John Paul II - Balice</t>
  </si>
  <si>
    <t>Banja Luka - International</t>
  </si>
  <si>
    <t>Tampere-Pirkkala</t>
  </si>
  <si>
    <t>Kemi/Tornio</t>
  </si>
  <si>
    <t>Naples - Capodichino</t>
  </si>
  <si>
    <t>Brno - Turany</t>
  </si>
  <si>
    <t>Poznan - Lawica</t>
  </si>
  <si>
    <t>Trapani - Birgi</t>
  </si>
  <si>
    <t>Klagenfurt - Airport</t>
  </si>
  <si>
    <t>Kiruna</t>
  </si>
  <si>
    <t>Stockholm - Vasteras</t>
  </si>
  <si>
    <t>Salzburg - W.A. Mozart</t>
  </si>
  <si>
    <t>Orebro - Airport</t>
  </si>
  <si>
    <t>Rostock - Laage</t>
  </si>
  <si>
    <t>Karlstad</t>
  </si>
  <si>
    <t>Nuremberg - Airport</t>
  </si>
  <si>
    <t>Bastia - Poretta</t>
  </si>
  <si>
    <t>Erfurt-Weimar</t>
  </si>
  <si>
    <t>Aalborg - Airport</t>
  </si>
  <si>
    <t>Orland</t>
  </si>
  <si>
    <t>Esbjerg - Airport</t>
  </si>
  <si>
    <t>El Calafate - Comandante A. Tola</t>
  </si>
  <si>
    <t>Stavanger - Sola</t>
  </si>
  <si>
    <t>Montpellier - Mediterranee</t>
  </si>
  <si>
    <t>Brussels S. Charleroi</t>
  </si>
  <si>
    <t>Mopti - Ambodedjo</t>
  </si>
  <si>
    <t>Deauville - St Gatien</t>
  </si>
  <si>
    <t>Comodoro Rivadavia - General E. Mosconi</t>
  </si>
  <si>
    <t>Tlemcen - Zenata-Messali El Hadj</t>
  </si>
  <si>
    <t>Birmingham - Airport</t>
  </si>
  <si>
    <t>Albacete - Airport</t>
  </si>
  <si>
    <t>Edinburgh - Airport</t>
  </si>
  <si>
    <t>Bilbao - Airport</t>
  </si>
  <si>
    <t>Glasgow - Metropolitan Area</t>
  </si>
  <si>
    <t>Trelew - Almirante M.A. Zar</t>
  </si>
  <si>
    <t>Bamako - Senou Intl</t>
  </si>
  <si>
    <t>Newquay - Cornwall</t>
  </si>
  <si>
    <t>Dublin - International</t>
  </si>
  <si>
    <t>Viedma - Gobernador E. Castello</t>
  </si>
  <si>
    <t>Puerto Montt - El Tepual</t>
  </si>
  <si>
    <t>Juneau - International</t>
  </si>
  <si>
    <t>Faro - Airport</t>
  </si>
  <si>
    <t>Bahia Blanca - Comandante Espora</t>
  </si>
  <si>
    <t>Neuquen - Presidente Peron</t>
  </si>
  <si>
    <t>Laayoune - Hassan I</t>
  </si>
  <si>
    <t>Malargue - Comodoro D.R. Salomon</t>
  </si>
  <si>
    <t>Sao Jose dos Campos - U.E. Stumpf Intl</t>
  </si>
  <si>
    <t>Kelowna - International</t>
  </si>
  <si>
    <t>Medford - Rogue Valley Intl</t>
  </si>
  <si>
    <t>Belo Horizonte - Pampulha</t>
  </si>
  <si>
    <t>Sacramento - International</t>
  </si>
  <si>
    <t>Spokane - Metropolitan Area</t>
  </si>
  <si>
    <t>Maceio - Zumbi dos Palmares Int</t>
  </si>
  <si>
    <t>Kalispell - Glacier Park Intl</t>
  </si>
  <si>
    <t>Joao Pessoa - Castro Pinto Intl</t>
  </si>
  <si>
    <t>Natal - International</t>
  </si>
  <si>
    <t>Saskatoon - J.G. Diefenbaker Intl</t>
  </si>
  <si>
    <t>Butte - Bert Mooney</t>
  </si>
  <si>
    <t>Helena - Regional</t>
  </si>
  <si>
    <t>Twin Falls - Magic Valley Regional</t>
  </si>
  <si>
    <t>Campo Grande - International</t>
  </si>
  <si>
    <t>Antofagasta - Cerro Moreno</t>
  </si>
  <si>
    <t>Bozeman - Yellowstone Intl</t>
  </si>
  <si>
    <t>Idaho Falls - Regional</t>
  </si>
  <si>
    <t>Mexicali - R.Sanchez Taboada Int</t>
  </si>
  <si>
    <t>Cedar City - Regional</t>
  </si>
  <si>
    <t>Cody - Yellowstone Regional</t>
  </si>
  <si>
    <t>Fortaleza - Pinto Martins Intl</t>
  </si>
  <si>
    <t>Grand Canyon - Metropolitan Area</t>
  </si>
  <si>
    <t>Sheridan County</t>
  </si>
  <si>
    <t>Bismarck - Municipal</t>
  </si>
  <si>
    <t>Vail/Eagle - Eagle County Regional</t>
  </si>
  <si>
    <t>Laramie - Regional</t>
  </si>
  <si>
    <t>Rapid City - Metropolitan Area</t>
  </si>
  <si>
    <t>Fort Collins/Loveland - Municipal</t>
  </si>
  <si>
    <t>Scottsbluff - Western Nebraska Rgnl</t>
  </si>
  <si>
    <t>Alamosa - San Luis Valley Rgnl</t>
  </si>
  <si>
    <t>Fargo - Hector Intl</t>
  </si>
  <si>
    <t>Santa Fe - Municipal</t>
  </si>
  <si>
    <t>Ciudad Juarez - Abraham Gonzalez Intl</t>
  </si>
  <si>
    <t>St John's - International</t>
  </si>
  <si>
    <t>Sioux Falls - Joe Foss Field</t>
  </si>
  <si>
    <t>Chihuahua - R. Fierro Villalobos</t>
  </si>
  <si>
    <t>Mazatlan - Rafael Buelna Intl</t>
  </si>
  <si>
    <t>Sioux City - Sioux Gateway</t>
  </si>
  <si>
    <t>La Crosse - Regional</t>
  </si>
  <si>
    <t>Torreon - Francisco Sarabia Intl</t>
  </si>
  <si>
    <t>Waterloo - Regional</t>
  </si>
  <si>
    <t>Des Moines - International</t>
  </si>
  <si>
    <t>Green Bay - Austin Straubel Intl</t>
  </si>
  <si>
    <t>Cedar Rapids - The Eastern Iowa</t>
  </si>
  <si>
    <t>Madison - Dane County Regional</t>
  </si>
  <si>
    <t>Quebec - Jean Lesage Intl</t>
  </si>
  <si>
    <t>Lawton/Fort Sill - Regional</t>
  </si>
  <si>
    <t>Alpena County Regional</t>
  </si>
  <si>
    <t>Trois-Rivieres</t>
  </si>
  <si>
    <t>Halifax - Metropolitan Area</t>
  </si>
  <si>
    <t>Laredo - International</t>
  </si>
  <si>
    <t>Chiclayo - J.A. Quinones Gonzalez</t>
  </si>
  <si>
    <t>Fayetteville/Springd. - Northwest Arkansas Rgn</t>
  </si>
  <si>
    <t>Dallas - Love Field</t>
  </si>
  <si>
    <t>San Antonio - Metropolitan Area</t>
  </si>
  <si>
    <t>South Bend - International</t>
  </si>
  <si>
    <t>Burlington - International</t>
  </si>
  <si>
    <t>London - International</t>
  </si>
  <si>
    <t>Tarapoto - G.del Castillo Paredes</t>
  </si>
  <si>
    <t>Windsor - Airport</t>
  </si>
  <si>
    <t>Buffalo - Niagara International</t>
  </si>
  <si>
    <t>Manaus - Eduardo Gomes Intl</t>
  </si>
  <si>
    <t>Syracuse - Hancock Intl</t>
  </si>
  <si>
    <t>Harlingen - Valley International</t>
  </si>
  <si>
    <t>Cleveland - Metropolitan Area</t>
  </si>
  <si>
    <t>Tampico - F. Javier Mina Intl</t>
  </si>
  <si>
    <t>Albany - International</t>
  </si>
  <si>
    <t>Little Rock - B. &amp; H. Clinton Natl</t>
  </si>
  <si>
    <t>Shreveport - Metropolitan Area</t>
  </si>
  <si>
    <t>Youngstown/Warren - Regional</t>
  </si>
  <si>
    <t>Springfield - Westfield-Barnes Rgnl</t>
  </si>
  <si>
    <t>Huatulco - Bahias de Huatulco Int</t>
  </si>
  <si>
    <t>Latrobe - Arnold Palmer Regional</t>
  </si>
  <si>
    <t>Jackson - Metropolitan Area</t>
  </si>
  <si>
    <t>Knoxville - McGhee Tyson</t>
  </si>
  <si>
    <t>Richmond - International</t>
  </si>
  <si>
    <t>Boa Vista - A.B. Cantanhede Intl</t>
  </si>
  <si>
    <t>Gulfport/Biloxi - International</t>
  </si>
  <si>
    <t>Mobile - Metropolitan Area</t>
  </si>
  <si>
    <t>Montgomery - Metropolitan Area</t>
  </si>
  <si>
    <t>Norfolk - Metropolitan Area</t>
  </si>
  <si>
    <t>Dothan - Regional</t>
  </si>
  <si>
    <t>Columbia - Metropolitan Area</t>
  </si>
  <si>
    <t>Charleston - International/AFB</t>
  </si>
  <si>
    <t>Liberia - D. Oduber Quiros Intl</t>
  </si>
  <si>
    <t>Cozumel - International</t>
  </si>
  <si>
    <t>Yopal - El Alcaravan</t>
  </si>
  <si>
    <t>Medellin - Enrique Olaya Herrera</t>
  </si>
  <si>
    <t>Grenada - Maurice Bishop Intl</t>
  </si>
  <si>
    <t>St Lucia - Hewanorra Intl</t>
  </si>
  <si>
    <t>Fort Lauderdale - Metropolitan Area</t>
  </si>
  <si>
    <t>Antigua - V.C. Bird Intl</t>
  </si>
  <si>
    <t>Cartagena - Rafael Nunez Intl</t>
  </si>
  <si>
    <t>Montego Bay - Sangster Intl</t>
  </si>
  <si>
    <t>Kingston - Metropolitan Area</t>
  </si>
  <si>
    <t>Santiago - Cibao Intl</t>
  </si>
  <si>
    <t>ADD ACC
(475/950)</t>
  </si>
  <si>
    <t>INIT PLANES</t>
  </si>
  <si>
    <t>PAP/AAE</t>
  </si>
  <si>
    <t>PAP/AGA</t>
  </si>
  <si>
    <t>PAP/AKL</t>
  </si>
  <si>
    <t>PAP/APW</t>
  </si>
  <si>
    <t>PAP/ASM</t>
  </si>
  <si>
    <t>PAP/ATZ</t>
  </si>
  <si>
    <t>PAP/BKO</t>
  </si>
  <si>
    <t>PAP/CHC</t>
  </si>
  <si>
    <t>PAP/CMN</t>
  </si>
  <si>
    <t>PAP/DLA</t>
  </si>
  <si>
    <t>PAP/ELG</t>
  </si>
  <si>
    <t>PAP/ERH</t>
  </si>
  <si>
    <t>PAP/EUN</t>
  </si>
  <si>
    <t>PAP/FEZ</t>
  </si>
  <si>
    <t>PAP/FNA</t>
  </si>
  <si>
    <t>PAP/GAF</t>
  </si>
  <si>
    <t>PAP/GHA</t>
  </si>
  <si>
    <t>PAP/GUM</t>
  </si>
  <si>
    <t>PAP/HBE</t>
  </si>
  <si>
    <t>PAP/HLA</t>
  </si>
  <si>
    <t>PAP/HOI</t>
  </si>
  <si>
    <t>PAP/INZ</t>
  </si>
  <si>
    <t>PAP/JIB</t>
  </si>
  <si>
    <t>PAP/JNB</t>
  </si>
  <si>
    <t>PAP/KAD</t>
  </si>
  <si>
    <t>PAP/LOO</t>
  </si>
  <si>
    <t>PAP/LOS</t>
  </si>
  <si>
    <t>PAP/MRU</t>
  </si>
  <si>
    <t>PAP/MZI</t>
  </si>
  <si>
    <t>PAP/NAN</t>
  </si>
  <si>
    <t>PAP/NDR</t>
  </si>
  <si>
    <t>PAP/NGE</t>
  </si>
  <si>
    <t>PAP/NOU</t>
  </si>
  <si>
    <t>PAP/OUD</t>
  </si>
  <si>
    <t>PAP/OXB</t>
  </si>
  <si>
    <t>PAP/OZZ</t>
  </si>
  <si>
    <t>PAP/PPG</t>
  </si>
  <si>
    <t>PAP/PPT</t>
  </si>
  <si>
    <t>PAP/RAK</t>
  </si>
  <si>
    <t>PAP/RBA</t>
  </si>
  <si>
    <t>PAP/SDD</t>
  </si>
  <si>
    <t>PAP/SID</t>
  </si>
  <si>
    <t>PAP/SPN</t>
  </si>
  <si>
    <t>PAP/TBU</t>
  </si>
  <si>
    <t>PAP/TCP</t>
  </si>
  <si>
    <t>PAP/TGR</t>
  </si>
  <si>
    <t>PAP/TID</t>
  </si>
  <si>
    <t>PAP/TIQ</t>
  </si>
  <si>
    <t>PAP/TMR</t>
  </si>
  <si>
    <t>PAP/TMX</t>
  </si>
  <si>
    <t>PAP/TNG</t>
  </si>
  <si>
    <t>PAP/TNR</t>
  </si>
  <si>
    <t>PAP/UTN</t>
  </si>
  <si>
    <t>PAP/UYL</t>
  </si>
  <si>
    <t>PAP/VHC</t>
  </si>
  <si>
    <t>PAP/VIL</t>
  </si>
  <si>
    <t>PAP/VLI</t>
  </si>
  <si>
    <t>PAP/VPE</t>
  </si>
  <si>
    <t>PAP/VXC</t>
  </si>
  <si>
    <t>PAP/HME</t>
  </si>
  <si>
    <t>PAP/TLM</t>
  </si>
  <si>
    <t>PAP/VVZ</t>
  </si>
  <si>
    <t>PAP/ALG</t>
  </si>
  <si>
    <t>PAP/IAM</t>
  </si>
  <si>
    <t>PAP/TEE</t>
  </si>
  <si>
    <t>PAP/BLJ</t>
  </si>
  <si>
    <t>PAP/ORN</t>
  </si>
  <si>
    <t>PAP/ELU</t>
  </si>
  <si>
    <t>PAP/OGX</t>
  </si>
  <si>
    <t>PAP/HRM</t>
  </si>
  <si>
    <t>PAP/CBH</t>
  </si>
  <si>
    <t>PAP/TIN</t>
  </si>
  <si>
    <t>PAP/CZL</t>
  </si>
  <si>
    <t>PAP/DJG</t>
  </si>
  <si>
    <t>PAP/BSK</t>
  </si>
  <si>
    <t>PAP/AZR</t>
  </si>
  <si>
    <t>PAP/SPP</t>
  </si>
  <si>
    <t>PAP/LAD</t>
  </si>
  <si>
    <t>PAP/CBT</t>
  </si>
  <si>
    <t>PAP/NOV</t>
  </si>
  <si>
    <t>PAP/GBE</t>
  </si>
  <si>
    <t>PAP/OUA</t>
  </si>
  <si>
    <t>PAP/BOY</t>
  </si>
  <si>
    <t>PAP/BJM</t>
  </si>
  <si>
    <t>PAP/NSI</t>
  </si>
  <si>
    <t>PAP/GOU</t>
  </si>
  <si>
    <t>PAP/BGF</t>
  </si>
  <si>
    <t>PAP/NDJ</t>
  </si>
  <si>
    <t>PAP/HAH</t>
  </si>
  <si>
    <t>PAP/BZV</t>
  </si>
  <si>
    <t>PAP/FBM</t>
  </si>
  <si>
    <t>PAP/FKI</t>
  </si>
  <si>
    <t>PAP/FIH</t>
  </si>
  <si>
    <t>PAP/KMN</t>
  </si>
  <si>
    <t>PAP/SSH</t>
  </si>
  <si>
    <t>PAP/HRG</t>
  </si>
  <si>
    <t>PAP/CAI</t>
  </si>
  <si>
    <t>PAP/ABS</t>
  </si>
  <si>
    <t>PAP/RMF</t>
  </si>
  <si>
    <t>PAP/ASW</t>
  </si>
  <si>
    <t>PAP/AAC</t>
  </si>
  <si>
    <t>PAP/LXR</t>
  </si>
  <si>
    <t>PAP/SSG</t>
  </si>
  <si>
    <t>PAP/MTS</t>
  </si>
  <si>
    <t>PAP/AWA</t>
  </si>
  <si>
    <t>PAP/ADD</t>
  </si>
  <si>
    <t>PAP/DIR</t>
  </si>
  <si>
    <t>PAP/LBV</t>
  </si>
  <si>
    <t>PAP/BJL</t>
  </si>
  <si>
    <t>PAP/ACC</t>
  </si>
  <si>
    <t>PAP/CKY</t>
  </si>
  <si>
    <t>PAP/ABJ</t>
  </si>
  <si>
    <t>PAP/ASK</t>
  </si>
  <si>
    <t>PAP/MBA</t>
  </si>
  <si>
    <t>PAP/EDL</t>
  </si>
  <si>
    <t>PAP/NBO</t>
  </si>
  <si>
    <t>PAP/MSU</t>
  </si>
  <si>
    <t>PAP/ROB</t>
  </si>
  <si>
    <t>PAP/BEN</t>
  </si>
  <si>
    <t>PAP/TIP</t>
  </si>
  <si>
    <t>PAP/LLW</t>
  </si>
  <si>
    <t>PAP/NKC</t>
  </si>
  <si>
    <t>PAP/WDH</t>
  </si>
  <si>
    <t>PAP/OND</t>
  </si>
  <si>
    <t>PAP/NIM</t>
  </si>
  <si>
    <t>PAP/KAN</t>
  </si>
  <si>
    <t>PAP/ABV</t>
  </si>
  <si>
    <t>PAP/YOL</t>
  </si>
  <si>
    <t>PAP/PHC</t>
  </si>
  <si>
    <t>PAP/RUN</t>
  </si>
  <si>
    <t>PAP/KGL</t>
  </si>
  <si>
    <t>PAP/DSS</t>
  </si>
  <si>
    <t>PAP/SEZ</t>
  </si>
  <si>
    <t>PAP/BBO</t>
  </si>
  <si>
    <t>PAP/GLK</t>
  </si>
  <si>
    <t>PAP/MGQ</t>
  </si>
  <si>
    <t>PAP/MQP</t>
  </si>
  <si>
    <t>PAP/PTG</t>
  </si>
  <si>
    <t>PAP/BFN</t>
  </si>
  <si>
    <t>PAP/CPT</t>
  </si>
  <si>
    <t>PAP/DUR</t>
  </si>
  <si>
    <t>PAP/NTY</t>
  </si>
  <si>
    <t>PAP/KIM</t>
  </si>
  <si>
    <t>PAP/EBD</t>
  </si>
  <si>
    <t>PAP/ELF</t>
  </si>
  <si>
    <t>PAP/KRT</t>
  </si>
  <si>
    <t>PAP/JRO</t>
  </si>
  <si>
    <t>PAP/DAR</t>
  </si>
  <si>
    <t>PAP/MWZ</t>
  </si>
  <si>
    <t>PAP/LFW</t>
  </si>
  <si>
    <t>PAP/MIR</t>
  </si>
  <si>
    <t>PAP/TUN</t>
  </si>
  <si>
    <t>PAP/NBE</t>
  </si>
  <si>
    <t>PAP/TOE</t>
  </si>
  <si>
    <t>PAP/SFA</t>
  </si>
  <si>
    <t>PAP/DJE</t>
  </si>
  <si>
    <t>PAP/TBJ</t>
  </si>
  <si>
    <t>PAP/EBB</t>
  </si>
  <si>
    <t>PAP/ULU</t>
  </si>
  <si>
    <t>PAP/LUN</t>
  </si>
  <si>
    <t>PAP/BUQ</t>
  </si>
  <si>
    <t>PAP/HRE</t>
  </si>
  <si>
    <t>PAP/TPE</t>
  </si>
  <si>
    <t>PAP/CTU</t>
  </si>
  <si>
    <t>PAP/BOM</t>
  </si>
  <si>
    <t>PAP/SHA</t>
  </si>
  <si>
    <t>PAP/PVG</t>
  </si>
  <si>
    <t>PAP/DEL</t>
  </si>
  <si>
    <t>PAP/PKX</t>
  </si>
  <si>
    <t>PAP/ICN</t>
  </si>
  <si>
    <t>PAP/HND</t>
  </si>
  <si>
    <t>PAP/NRT</t>
  </si>
  <si>
    <t>PAP/DXB</t>
  </si>
  <si>
    <t>PAP/RUH</t>
  </si>
  <si>
    <t>PAP/MED</t>
  </si>
  <si>
    <t>PAP/IST</t>
  </si>
  <si>
    <t>PAP/KMG</t>
  </si>
  <si>
    <t>PAP/XMN</t>
  </si>
  <si>
    <t>PAP/CCU</t>
  </si>
  <si>
    <t>PAP/HYD</t>
  </si>
  <si>
    <t>PAP/CKG</t>
  </si>
  <si>
    <t>PAP/OKA</t>
  </si>
  <si>
    <t>PAP/WUH</t>
  </si>
  <si>
    <t>PAP/HGH</t>
  </si>
  <si>
    <t>PAP/NKG</t>
  </si>
  <si>
    <t>PAP/XIY</t>
  </si>
  <si>
    <t>PAP/CGO</t>
  </si>
  <si>
    <t>PAP/CJU</t>
  </si>
  <si>
    <t>PAP/TAO</t>
  </si>
  <si>
    <t>PAP/FUK</t>
  </si>
  <si>
    <t>PAP/PUS</t>
  </si>
  <si>
    <t>PAP/GMP</t>
  </si>
  <si>
    <t>PAP/DLC</t>
  </si>
  <si>
    <t>PAP/KIX</t>
  </si>
  <si>
    <t>PAP/BHV</t>
  </si>
  <si>
    <t>PAP/ITM</t>
  </si>
  <si>
    <t>PAP/NGO</t>
  </si>
  <si>
    <t>PAP/SHE</t>
  </si>
  <si>
    <t>PAP/URC</t>
  </si>
  <si>
    <t>PAP/HRB</t>
  </si>
  <si>
    <t>PAP/AUH</t>
  </si>
  <si>
    <t>PAP/CTS</t>
  </si>
  <si>
    <t>PAP/DOH</t>
  </si>
  <si>
    <t>PAP/AHB</t>
  </si>
  <si>
    <t>PAP/KWI</t>
  </si>
  <si>
    <t>PAP/THR</t>
  </si>
  <si>
    <t>PAP/JED</t>
  </si>
  <si>
    <t>PAP/TLV</t>
  </si>
  <si>
    <t>PAP/AYT</t>
  </si>
  <si>
    <t>PAP/SAW</t>
  </si>
  <si>
    <t>PAP/CGP</t>
  </si>
  <si>
    <t>PAP/KWL</t>
  </si>
  <si>
    <t>PAP/KWE</t>
  </si>
  <si>
    <t>PAP/DAC</t>
  </si>
  <si>
    <t>PAP/TSA</t>
  </si>
  <si>
    <t>PAP/FOC</t>
  </si>
  <si>
    <t>PAP/GAU</t>
  </si>
  <si>
    <t>PAP/GOI</t>
  </si>
  <si>
    <t>PAP/KHN</t>
  </si>
  <si>
    <t>PAP/NAG</t>
  </si>
  <si>
    <t>PAP/PNQ</t>
  </si>
  <si>
    <t>PAP/NGB</t>
  </si>
  <si>
    <t>PAP/LXA</t>
  </si>
  <si>
    <t>PAP/KTM</t>
  </si>
  <si>
    <t>PAP/HFE</t>
  </si>
  <si>
    <t>PAP/WUX</t>
  </si>
  <si>
    <t>PAP/JZH</t>
  </si>
  <si>
    <t>PAP/LKO</t>
  </si>
  <si>
    <t>PAP/AMD</t>
  </si>
  <si>
    <t>PAP/JAI</t>
  </si>
  <si>
    <t>PAP/KOJ</t>
  </si>
  <si>
    <t>PAP/LHW</t>
  </si>
  <si>
    <t>PAP/XNN</t>
  </si>
  <si>
    <t>PAP/NGS</t>
  </si>
  <si>
    <t>PAP/BHJ</t>
  </si>
  <si>
    <t>PAP/KMJ</t>
  </si>
  <si>
    <t>PAP/TNA</t>
  </si>
  <si>
    <t>PAP/TYN</t>
  </si>
  <si>
    <t>PAP/KWJ</t>
  </si>
  <si>
    <t>PAP/OIT</t>
  </si>
  <si>
    <t>PAP/INC</t>
  </si>
  <si>
    <t>PAP/SJW</t>
  </si>
  <si>
    <t>PAP/TSN</t>
  </si>
  <si>
    <t>PAP/KHI</t>
  </si>
  <si>
    <t>PAP/LHE</t>
  </si>
  <si>
    <t>PAP/HET</t>
  </si>
  <si>
    <t>PAP/KMQ</t>
  </si>
  <si>
    <t>PAP/ISB</t>
  </si>
  <si>
    <t>PAP/MCT</t>
  </si>
  <si>
    <t>PAP/KBL</t>
  </si>
  <si>
    <t>PAP/CGQ</t>
  </si>
  <si>
    <t>PAP/SDJ</t>
  </si>
  <si>
    <t>PAP/AOJ</t>
  </si>
  <si>
    <t>PAP/SHJ</t>
  </si>
  <si>
    <t>PAP/HKD</t>
  </si>
  <si>
    <t>PAP/TAS</t>
  </si>
  <si>
    <t>PAP/SAH</t>
  </si>
  <si>
    <t>PAP/MHD</t>
  </si>
  <si>
    <t>PAP/BAH</t>
  </si>
  <si>
    <t>PAP/SYZ</t>
  </si>
  <si>
    <t>PAP/DMM</t>
  </si>
  <si>
    <t>PAP/IFN</t>
  </si>
  <si>
    <t>PAP/AWZ</t>
  </si>
  <si>
    <t>PAP/IKA</t>
  </si>
  <si>
    <t>PAP/EVN</t>
  </si>
  <si>
    <t>PAP/AMM</t>
  </si>
  <si>
    <t>PAP/DAM</t>
  </si>
  <si>
    <t>PAP/ALP</t>
  </si>
  <si>
    <t>PAP/BEY</t>
  </si>
  <si>
    <t>PAP/TZX</t>
  </si>
  <si>
    <t>PAP/ADA</t>
  </si>
  <si>
    <t>PAP/ESB</t>
  </si>
  <si>
    <t>PAP/DLM</t>
  </si>
  <si>
    <t>PAP/BJV</t>
  </si>
  <si>
    <t>PAP/ADB</t>
  </si>
  <si>
    <t>PAP/VTZ</t>
  </si>
  <si>
    <t>PAP/IXE</t>
  </si>
  <si>
    <t>PAP/IMF</t>
  </si>
  <si>
    <t>PAP/PZI</t>
  </si>
  <si>
    <t>PAP/JGS</t>
  </si>
  <si>
    <t>PAP/ZYL</t>
  </si>
  <si>
    <t>PAP/XIC</t>
  </si>
  <si>
    <t>PAP/DIG</t>
  </si>
  <si>
    <t>PAP/IXR</t>
  </si>
  <si>
    <t>PAP/CGD</t>
  </si>
  <si>
    <t>PAP/IXB</t>
  </si>
  <si>
    <t>PAP/TXN</t>
  </si>
  <si>
    <t>PAP/WXN</t>
  </si>
  <si>
    <t>PAP/LZY</t>
  </si>
  <si>
    <t>PAP/CZX</t>
  </si>
  <si>
    <t>PAP/XUZ</t>
  </si>
  <si>
    <t>PAP/YCU</t>
  </si>
  <si>
    <t>PAP/JNG</t>
  </si>
  <si>
    <t>PAP/CIH</t>
  </si>
  <si>
    <t>PAP/ENY</t>
  </si>
  <si>
    <t>PAP/JDH</t>
  </si>
  <si>
    <t>PAP/HIN</t>
  </si>
  <si>
    <t>PAP/KUV</t>
  </si>
  <si>
    <t>PAP/IXC</t>
  </si>
  <si>
    <t>PAP/TAE</t>
  </si>
  <si>
    <t>PAP/CJJ</t>
  </si>
  <si>
    <t>PAP/ATQ</t>
  </si>
  <si>
    <t>PAP/SKZ</t>
  </si>
  <si>
    <t>PAP/DNH</t>
  </si>
  <si>
    <t>PAP/MUX</t>
  </si>
  <si>
    <t>PAP/IXL</t>
  </si>
  <si>
    <t>PAP/LYP</t>
  </si>
  <si>
    <t>PAP/FNJ</t>
  </si>
  <si>
    <t>PAP/SXR</t>
  </si>
  <si>
    <t>PAP/HTN</t>
  </si>
  <si>
    <t>PAP/UET</t>
  </si>
  <si>
    <t>PAP/PEW</t>
  </si>
  <si>
    <t>PAP/KRL</t>
  </si>
  <si>
    <t>PAP/SLL</t>
  </si>
  <si>
    <t>PAP/KDH</t>
  </si>
  <si>
    <t>PAP/KHG</t>
  </si>
  <si>
    <t>PAP/RIY</t>
  </si>
  <si>
    <t>PAP/ULN</t>
  </si>
  <si>
    <t>PAP/AAN</t>
  </si>
  <si>
    <t>PAP/RKT</t>
  </si>
  <si>
    <t>PAP/MZR</t>
  </si>
  <si>
    <t>PAP/OSS</t>
  </si>
  <si>
    <t>PAP/BND</t>
  </si>
  <si>
    <t>PAP/DYU</t>
  </si>
  <si>
    <t>PAP/HEA</t>
  </si>
  <si>
    <t>PAP/NZH</t>
  </si>
  <si>
    <t>PAP/FRU</t>
  </si>
  <si>
    <t>PAP/KER</t>
  </si>
  <si>
    <t>PAP/ADE</t>
  </si>
  <si>
    <t>PAP/SKD</t>
  </si>
  <si>
    <t>PAP/SHW</t>
  </si>
  <si>
    <t>PAP/BHK</t>
  </si>
  <si>
    <t>PAP/AZD</t>
  </si>
  <si>
    <t>PAP/EAM</t>
  </si>
  <si>
    <t>PAP/WAE</t>
  </si>
  <si>
    <t>PAP/ASB</t>
  </si>
  <si>
    <t>PAP/GIZ</t>
  </si>
  <si>
    <t>PAP/BHH</t>
  </si>
  <si>
    <t>PAP/ABT</t>
  </si>
  <si>
    <t>PAP/AQI</t>
  </si>
  <si>
    <t>PAP/BSR</t>
  </si>
  <si>
    <t>PAP/ELQ</t>
  </si>
  <si>
    <t>PAP/TIF</t>
  </si>
  <si>
    <t>PAP/KSH</t>
  </si>
  <si>
    <t>PAP/HAS</t>
  </si>
  <si>
    <t>PAP/BGW</t>
  </si>
  <si>
    <t>PAP/YNB</t>
  </si>
  <si>
    <t>PAP/RAE</t>
  </si>
  <si>
    <t>PAP/TBZ</t>
  </si>
  <si>
    <t>PAP/AJF</t>
  </si>
  <si>
    <t>PAP/VAN</t>
  </si>
  <si>
    <t>PAP/TUU</t>
  </si>
  <si>
    <t>PAP/URY</t>
  </si>
  <si>
    <t>PAP/KSY</t>
  </si>
  <si>
    <t>PAP/MQM</t>
  </si>
  <si>
    <t>PAP/BAL</t>
  </si>
  <si>
    <t>PAP/MSR</t>
  </si>
  <si>
    <t>PAP/DIY</t>
  </si>
  <si>
    <t>PAP/AQJ</t>
  </si>
  <si>
    <t>PAP/ERZ</t>
  </si>
  <si>
    <t>PAP/VDA</t>
  </si>
  <si>
    <t>PAP/ADF</t>
  </si>
  <si>
    <t>PAP/ERC</t>
  </si>
  <si>
    <t>PAP/GZT</t>
  </si>
  <si>
    <t>PAP/MLX</t>
  </si>
  <si>
    <t>PAP/LTK</t>
  </si>
  <si>
    <t>PAP/HTY</t>
  </si>
  <si>
    <t>PAP/VAS</t>
  </si>
  <si>
    <t>PAP/ASR</t>
  </si>
  <si>
    <t>PAP/SZF</t>
  </si>
  <si>
    <t>PAP/NAV</t>
  </si>
  <si>
    <t>PAP/KYA</t>
  </si>
  <si>
    <t>PAP/DNZ</t>
  </si>
  <si>
    <t>PAP/AOE</t>
  </si>
  <si>
    <t>PAP/ZAT</t>
  </si>
  <si>
    <t>PAP/JRH</t>
  </si>
  <si>
    <t>PAP/JIU</t>
  </si>
  <si>
    <t>PAP/AQG</t>
  </si>
  <si>
    <t>PAP/BPX</t>
  </si>
  <si>
    <t>PAP/THQ</t>
  </si>
  <si>
    <t>PAP/JGA</t>
  </si>
  <si>
    <t>PAP/ZHY</t>
  </si>
  <si>
    <t>PAP/GOQ</t>
  </si>
  <si>
    <t>PAP/MWX</t>
  </si>
  <si>
    <t>PAP/WJU</t>
  </si>
  <si>
    <t>PAP/RYK</t>
  </si>
  <si>
    <t>PAP/SCT</t>
  </si>
  <si>
    <t>PAP/BYN</t>
  </si>
  <si>
    <t>PAP/FJR</t>
  </si>
  <si>
    <t>PAP/ACZ</t>
  </si>
  <si>
    <t>PAP/COQ</t>
  </si>
  <si>
    <t>PAP/KRY</t>
  </si>
  <si>
    <t>PAP/GXF</t>
  </si>
  <si>
    <t>PAP/HVD</t>
  </si>
  <si>
    <t>PAP/TAI</t>
  </si>
  <si>
    <t>PAP/HOF</t>
  </si>
  <si>
    <t>PAP/HOD</t>
  </si>
  <si>
    <t>PAP/DWD</t>
  </si>
  <si>
    <t>PAP/HBT</t>
  </si>
  <si>
    <t>PAP/RAH</t>
  </si>
  <si>
    <t>PAP/EJH</t>
  </si>
  <si>
    <t>PAP/TUI</t>
  </si>
  <si>
    <t>PAP/DEZ</t>
  </si>
  <si>
    <t>PAP/KAC</t>
  </si>
  <si>
    <t>PAP/LWN</t>
  </si>
  <si>
    <t>PAP/MZH</t>
  </si>
  <si>
    <t>PAP/ISE</t>
  </si>
  <si>
    <t>PAP/USQ</t>
  </si>
  <si>
    <t>PAP/YEI</t>
  </si>
  <si>
    <t>PAP/TEQ</t>
  </si>
  <si>
    <t>PAP/JJN</t>
  </si>
  <si>
    <t>PAP/RMQ</t>
  </si>
  <si>
    <t>PAP/DYG</t>
  </si>
  <si>
    <t>PAP/YIH</t>
  </si>
  <si>
    <t>PAP/BFU</t>
  </si>
  <si>
    <t>PAP/WEF</t>
  </si>
  <si>
    <t>PAP/WEH</t>
  </si>
  <si>
    <t>PAP/YNT</t>
  </si>
  <si>
    <t>PAP/DDG</t>
  </si>
  <si>
    <t>PAP/JNZ</t>
  </si>
  <si>
    <t>PAP/YNJ</t>
  </si>
  <si>
    <t>PAP/MDG</t>
  </si>
  <si>
    <t>PAP/DWC</t>
  </si>
  <si>
    <t>PAP/NDG</t>
  </si>
  <si>
    <t>PAP/HLD</t>
  </si>
  <si>
    <t>PAP/ETM</t>
  </si>
  <si>
    <t>PAP/VIE</t>
  </si>
  <si>
    <t>PAP/FCO</t>
  </si>
  <si>
    <t>PAP/MUC</t>
  </si>
  <si>
    <t>PAP/ZRH</t>
  </si>
  <si>
    <t>PAP/FRA</t>
  </si>
  <si>
    <t>PAP/AMS</t>
  </si>
  <si>
    <t>PAP/PMI</t>
  </si>
  <si>
    <t>PAP/BCN</t>
  </si>
  <si>
    <t>PAP/CDG</t>
  </si>
  <si>
    <t>PAP/ORY</t>
  </si>
  <si>
    <t>PAP/STN</t>
  </si>
  <si>
    <t>PAP/LGW</t>
  </si>
  <si>
    <t>PAP/LHR</t>
  </si>
  <si>
    <t>PAP/MAN</t>
  </si>
  <si>
    <t>PAP/MAD</t>
  </si>
  <si>
    <t>PAP/DUB</t>
  </si>
  <si>
    <t>PAP/VKO</t>
  </si>
  <si>
    <t>PAP/SVO</t>
  </si>
  <si>
    <t>PAP/ATH</t>
  </si>
  <si>
    <t>PAP/BBU</t>
  </si>
  <si>
    <t>PAP/BUD</t>
  </si>
  <si>
    <t>PAP/HEL</t>
  </si>
  <si>
    <t>PAP/WAW</t>
  </si>
  <si>
    <t>PAP/PRG</t>
  </si>
  <si>
    <t>PAP/VCE</t>
  </si>
  <si>
    <t>PAP/TXL</t>
  </si>
  <si>
    <t>PAP/CPH</t>
  </si>
  <si>
    <t>PAP/BGY</t>
  </si>
  <si>
    <t>PAP/OSL</t>
  </si>
  <si>
    <t>PAP/MXP</t>
  </si>
  <si>
    <t>PAP/STR</t>
  </si>
  <si>
    <t>PAP/HAM</t>
  </si>
  <si>
    <t>PAP/NCE</t>
  </si>
  <si>
    <t>PAP/CGN</t>
  </si>
  <si>
    <t>PAP/DUS</t>
  </si>
  <si>
    <t>PAP/GVA</t>
  </si>
  <si>
    <t>PAP/MRS</t>
  </si>
  <si>
    <t>PAP/LYS</t>
  </si>
  <si>
    <t>PAP/BRU</t>
  </si>
  <si>
    <t>PAP/TLS</t>
  </si>
  <si>
    <t>PAP/ALC</t>
  </si>
  <si>
    <t>PAP/BHX</t>
  </si>
  <si>
    <t>PAP/EDI</t>
  </si>
  <si>
    <t>PAP/GLA</t>
  </si>
  <si>
    <t>PAP/AGP</t>
  </si>
  <si>
    <t>PAP/LIS</t>
  </si>
  <si>
    <t>PAP/LPA</t>
  </si>
  <si>
    <t>PAP/TFS</t>
  </si>
  <si>
    <t>PAP/VVO</t>
  </si>
  <si>
    <t>PAP/ALA</t>
  </si>
  <si>
    <t>PAP/BAX</t>
  </si>
  <si>
    <t>PAP/OVB</t>
  </si>
  <si>
    <t>PAP/OMS</t>
  </si>
  <si>
    <t>PAP/GYD</t>
  </si>
  <si>
    <t>PAP/CEK</t>
  </si>
  <si>
    <t>PAP/SVX</t>
  </si>
  <si>
    <t>PAP/AER</t>
  </si>
  <si>
    <t>PAP/LCA</t>
  </si>
  <si>
    <t>PAP/KRR</t>
  </si>
  <si>
    <t>PAP/PFO</t>
  </si>
  <si>
    <t>PAP/DNK</t>
  </si>
  <si>
    <t>PAP/RHO</t>
  </si>
  <si>
    <t>PAP/ZIA</t>
  </si>
  <si>
    <t>PAP/HER</t>
  </si>
  <si>
    <t>PAP/ODS</t>
  </si>
  <si>
    <t>PAP/BOJ</t>
  </si>
  <si>
    <t>PAP/CHQ</t>
  </si>
  <si>
    <t>PAP/KBP</t>
  </si>
  <si>
    <t>PAP/OTP</t>
  </si>
  <si>
    <t>PAP/SOF</t>
  </si>
  <si>
    <t>PAP/LED</t>
  </si>
  <si>
    <t>PAP/TIA</t>
  </si>
  <si>
    <t>PAP/VNO</t>
  </si>
  <si>
    <t>PAP/BEG</t>
  </si>
  <si>
    <t>PAP/BDS</t>
  </si>
  <si>
    <t>PAP/RIX</t>
  </si>
  <si>
    <t>PAP/TLL</t>
  </si>
  <si>
    <t>PAP/KRK</t>
  </si>
  <si>
    <t>PAP/MLA</t>
  </si>
  <si>
    <t>PAP/KTW</t>
  </si>
  <si>
    <t>PAP/BTS</t>
  </si>
  <si>
    <t>PAP/ZAG</t>
  </si>
  <si>
    <t>PAP/NAP</t>
  </si>
  <si>
    <t>PAP/GDN</t>
  </si>
  <si>
    <t>PAP/PMO</t>
  </si>
  <si>
    <t>PAP/POZ</t>
  </si>
  <si>
    <t>PAP/TPS</t>
  </si>
  <si>
    <t>PAP/LJU</t>
  </si>
  <si>
    <t>PAP/ARN</t>
  </si>
  <si>
    <t>PAP/NYO</t>
  </si>
  <si>
    <t>PAP/SZG</t>
  </si>
  <si>
    <t>PAP/DRS</t>
  </si>
  <si>
    <t>PAP/BLQ</t>
  </si>
  <si>
    <t>PAP/MMX</t>
  </si>
  <si>
    <t>PAP/LEJ</t>
  </si>
  <si>
    <t>PAP/VRN</t>
  </si>
  <si>
    <t>PAP/PSA</t>
  </si>
  <si>
    <t>PAP/CAG</t>
  </si>
  <si>
    <t>PAP/NUE</t>
  </si>
  <si>
    <t>PAP/BOO</t>
  </si>
  <si>
    <t>PAP/GOT</t>
  </si>
  <si>
    <t>PAP/AHO</t>
  </si>
  <si>
    <t>PAP/GOA</t>
  </si>
  <si>
    <t>PAP/HAJ</t>
  </si>
  <si>
    <t>PAP/TRD</t>
  </si>
  <si>
    <t>PAP/TRF</t>
  </si>
  <si>
    <t>PAP/AAL</t>
  </si>
  <si>
    <t>PAP/BLL</t>
  </si>
  <si>
    <t>PAP/TRN</t>
  </si>
  <si>
    <t>PAP/MLH</t>
  </si>
  <si>
    <t>PAP/BSL</t>
  </si>
  <si>
    <t>PAP/LUX</t>
  </si>
  <si>
    <t>PAP/EIN</t>
  </si>
  <si>
    <t>PAP/SVG</t>
  </si>
  <si>
    <t>PAP/BGO</t>
  </si>
  <si>
    <t>PAP/MPL</t>
  </si>
  <si>
    <t>PAP/CRL</t>
  </si>
  <si>
    <t>PAP/IBZ</t>
  </si>
  <si>
    <t>PAP/VLC</t>
  </si>
  <si>
    <t>PAP/BOD</t>
  </si>
  <si>
    <t>PAP/EMA</t>
  </si>
  <si>
    <t>PAP/NTE</t>
  </si>
  <si>
    <t>PAP/BIO</t>
  </si>
  <si>
    <t>PAP/PIK</t>
  </si>
  <si>
    <t>PAP/GRX</t>
  </si>
  <si>
    <t>PAP/BFS</t>
  </si>
  <si>
    <t>PAP/SVQ</t>
  </si>
  <si>
    <t>PAP/SNN</t>
  </si>
  <si>
    <t>PAP/FAO</t>
  </si>
  <si>
    <t>PAP/SCQ</t>
  </si>
  <si>
    <t>PAP/OPO</t>
  </si>
  <si>
    <t>PAP/KEF</t>
  </si>
  <si>
    <t>PAP/TFN</t>
  </si>
  <si>
    <t>PAP/FNC</t>
  </si>
  <si>
    <t>PAP/TER</t>
  </si>
  <si>
    <t>PAP/UUD</t>
  </si>
  <si>
    <t>PAP/HTA</t>
  </si>
  <si>
    <t>PAP/IKT</t>
  </si>
  <si>
    <t>PAP/BQS</t>
  </si>
  <si>
    <t>PAP/KHV</t>
  </si>
  <si>
    <t>PAP/UUS</t>
  </si>
  <si>
    <t>PAP/KGF</t>
  </si>
  <si>
    <t>PAP/KJA</t>
  </si>
  <si>
    <t>PAP/KEJ</t>
  </si>
  <si>
    <t>PAP/TSE</t>
  </si>
  <si>
    <t>PAP/MJZ</t>
  </si>
  <si>
    <t>PAP/AKX</t>
  </si>
  <si>
    <t>PAP/KVD</t>
  </si>
  <si>
    <t>PAP/YKS</t>
  </si>
  <si>
    <t>PAP/NJC</t>
  </si>
  <si>
    <t>PAP/TBS</t>
  </si>
  <si>
    <t>PAP/TJM</t>
  </si>
  <si>
    <t>PAP/GRV</t>
  </si>
  <si>
    <t>PAP/PKC</t>
  </si>
  <si>
    <t>PAP/SGC</t>
  </si>
  <si>
    <t>PAP/OGZ</t>
  </si>
  <si>
    <t>PAP/KGP</t>
  </si>
  <si>
    <t>PAP/UFA</t>
  </si>
  <si>
    <t>PAP/NOJ</t>
  </si>
  <si>
    <t>PAP/MRV</t>
  </si>
  <si>
    <t>PAP/STW</t>
  </si>
  <si>
    <t>PAP/KUF</t>
  </si>
  <si>
    <t>PAP/PEE</t>
  </si>
  <si>
    <t>PAP/NBC</t>
  </si>
  <si>
    <t>PAP/NUX</t>
  </si>
  <si>
    <t>PAP/ULY</t>
  </si>
  <si>
    <t>PAP/KZN</t>
  </si>
  <si>
    <t>PAP/NSK</t>
  </si>
  <si>
    <t>PAP/SLY</t>
  </si>
  <si>
    <t>PAP/GOJ</t>
  </si>
  <si>
    <t>PAP/SIP</t>
  </si>
  <si>
    <t>PAP/CND</t>
  </si>
  <si>
    <t>PAP/AXD</t>
  </si>
  <si>
    <t>PAP/KIV</t>
  </si>
  <si>
    <t>PAP/LXS</t>
  </si>
  <si>
    <t>PAP/KVA</t>
  </si>
  <si>
    <t>PAP/KLX</t>
  </si>
  <si>
    <t>PAP/GPA</t>
  </si>
  <si>
    <t>PAP/SBZ</t>
  </si>
  <si>
    <t>PAP/MSQ</t>
  </si>
  <si>
    <t>PAP/PVK</t>
  </si>
  <si>
    <t>PAP/IFO</t>
  </si>
  <si>
    <t>PAP/LWO</t>
  </si>
  <si>
    <t>PAP/TSR</t>
  </si>
  <si>
    <t>PAP/RZE</t>
  </si>
  <si>
    <t>PAP/KSC</t>
  </si>
  <si>
    <t>PAP/TIV</t>
  </si>
  <si>
    <t>PAP/KUO</t>
  </si>
  <si>
    <t>PAP/SJJ</t>
  </si>
  <si>
    <t>PAP/JYV</t>
  </si>
  <si>
    <t>PAP/TMP</t>
  </si>
  <si>
    <t>PAP/OUL</t>
  </si>
  <si>
    <t>PAP/SPU</t>
  </si>
  <si>
    <t>PAP/OSR</t>
  </si>
  <si>
    <t>PAP/RVN</t>
  </si>
  <si>
    <t>PAP/KEM</t>
  </si>
  <si>
    <t>PAP/BRQ</t>
  </si>
  <si>
    <t>PAP/VAA</t>
  </si>
  <si>
    <t>PAP/GRZ</t>
  </si>
  <si>
    <t>PAP/LLA</t>
  </si>
  <si>
    <t>PAP/PUY</t>
  </si>
  <si>
    <t>PAP/KLU</t>
  </si>
  <si>
    <t>PAP/AOI</t>
  </si>
  <si>
    <t>PAP/LNZ</t>
  </si>
  <si>
    <t>PAP/TRS</t>
  </si>
  <si>
    <t>PAP/KRN</t>
  </si>
  <si>
    <t>PAP/RMI</t>
  </si>
  <si>
    <t>PAP/VST</t>
  </si>
  <si>
    <t>PAP/SXF</t>
  </si>
  <si>
    <t>PAP/EVE</t>
  </si>
  <si>
    <t>PAP/RLG</t>
  </si>
  <si>
    <t>PAP/KSD</t>
  </si>
  <si>
    <t>PAP/VBS</t>
  </si>
  <si>
    <t>PAP/BIA</t>
  </si>
  <si>
    <t>PAP/ERF</t>
  </si>
  <si>
    <t>PAP/FMM</t>
  </si>
  <si>
    <t>PAP/AAR</t>
  </si>
  <si>
    <t>PAP/KRP</t>
  </si>
  <si>
    <t>PAP/FKB</t>
  </si>
  <si>
    <t>PAP/EBJ</t>
  </si>
  <si>
    <t>PAP/ZQW</t>
  </si>
  <si>
    <t>PAP/ETZ</t>
  </si>
  <si>
    <t>PAP/GNB</t>
  </si>
  <si>
    <t>PAP/LGG</t>
  </si>
  <si>
    <t>PAP/CFE</t>
  </si>
  <si>
    <t>PAP/LIL</t>
  </si>
  <si>
    <t>PAP/OST</t>
  </si>
  <si>
    <t>PAP/DOL</t>
  </si>
  <si>
    <t>PAP/LDE</t>
  </si>
  <si>
    <t>PAP/DSA</t>
  </si>
  <si>
    <t>PAP/ZAZ</t>
  </si>
  <si>
    <t>PAP/LEI</t>
  </si>
  <si>
    <t>PAP/BES</t>
  </si>
  <si>
    <t>PAP/NQY</t>
  </si>
  <si>
    <t>PAP/VLL</t>
  </si>
  <si>
    <t>PAP/BJZ</t>
  </si>
  <si>
    <t>PAP/PXO</t>
  </si>
  <si>
    <t>PAP/SMA</t>
  </si>
  <si>
    <t>PAP/KYZ</t>
  </si>
  <si>
    <t>PAP/PLX</t>
  </si>
  <si>
    <t>PAP/ABA</t>
  </si>
  <si>
    <t>PAP/NAJ</t>
  </si>
  <si>
    <t>PAP/MCX</t>
  </si>
  <si>
    <t>PAP/GUW</t>
  </si>
  <si>
    <t>PAP/GDX</t>
  </si>
  <si>
    <t>PAP/MPW</t>
  </si>
  <si>
    <t>PAP/IKS</t>
  </si>
  <si>
    <t>PAP/OZH</t>
  </si>
  <si>
    <t>PAP/SKU</t>
  </si>
  <si>
    <t>PAP/GME</t>
  </si>
  <si>
    <t>PAP/VOL</t>
  </si>
  <si>
    <t>PAP/DYR</t>
  </si>
  <si>
    <t>PAP/KSO</t>
  </si>
  <si>
    <t>PAP/OHD</t>
  </si>
  <si>
    <t>PAP/SQQ</t>
  </si>
  <si>
    <t>PAP/TAT</t>
  </si>
  <si>
    <t>PAP/BNX</t>
  </si>
  <si>
    <t>PAP/LKL</t>
  </si>
  <si>
    <t>PAP/ORB</t>
  </si>
  <si>
    <t>PAP/OLA</t>
  </si>
  <si>
    <t>PAP/XCR</t>
  </si>
  <si>
    <t>PAP/CHR</t>
  </si>
  <si>
    <t>PAP/MSE</t>
  </si>
  <si>
    <t>PAP/ABC</t>
  </si>
  <si>
    <t>PAP/VIT</t>
  </si>
  <si>
    <t>PAP/CAL</t>
  </si>
  <si>
    <t>PAP/KUN</t>
  </si>
  <si>
    <t>PAP/DBV</t>
  </si>
  <si>
    <t>PAP/HHN</t>
  </si>
  <si>
    <t>PAP/ANU</t>
  </si>
  <si>
    <t>PAP/YYZ</t>
  </si>
  <si>
    <t>PAP/MEX</t>
  </si>
  <si>
    <t>PAP/YVR</t>
  </si>
  <si>
    <t>PAP/YEG</t>
  </si>
  <si>
    <t>PAP/YYC</t>
  </si>
  <si>
    <t>PAP/GDL</t>
  </si>
  <si>
    <t>PAP/YUL</t>
  </si>
  <si>
    <t>PAP/MTY</t>
  </si>
  <si>
    <t>PAP/CUN</t>
  </si>
  <si>
    <t>PAP/HAV</t>
  </si>
  <si>
    <t>PAP/SJU</t>
  </si>
  <si>
    <t>PAP/YLW</t>
  </si>
  <si>
    <t>PAP/TIJ</t>
  </si>
  <si>
    <t>PAP/YWG</t>
  </si>
  <si>
    <t>PAP/SJD</t>
  </si>
  <si>
    <t>PAP/PVR</t>
  </si>
  <si>
    <t>PAP/YHZ</t>
  </si>
  <si>
    <t>PAP/YOW</t>
  </si>
  <si>
    <t>PAP/TLC</t>
  </si>
  <si>
    <t>PAP/GUA</t>
  </si>
  <si>
    <t>PAP/SAL</t>
  </si>
  <si>
    <t>PAP/MID</t>
  </si>
  <si>
    <t>PAP/SJO</t>
  </si>
  <si>
    <t>PAP/BGI</t>
  </si>
  <si>
    <t>PAP/PTY</t>
  </si>
  <si>
    <t>PAP/FDF</t>
  </si>
  <si>
    <t>PAP/PTP</t>
  </si>
  <si>
    <t>PAP/NAS</t>
  </si>
  <si>
    <t>PAP/AUA</t>
  </si>
  <si>
    <t>PAP/MBJ</t>
  </si>
  <si>
    <t>PAP/KIN</t>
  </si>
  <si>
    <t>PAP/PUJ</t>
  </si>
  <si>
    <t>PAP/SDQ</t>
  </si>
  <si>
    <t>PAP/YXY</t>
  </si>
  <si>
    <t>PAP/YXS</t>
  </si>
  <si>
    <t>PAP/YQQ</t>
  </si>
  <si>
    <t>PAP/SFJ</t>
  </si>
  <si>
    <t>PAP/YXX</t>
  </si>
  <si>
    <t>PAP/YFB</t>
  </si>
  <si>
    <t>PAP/YYQ</t>
  </si>
  <si>
    <t>PAP/YXE</t>
  </si>
  <si>
    <t>PAP/MXL</t>
  </si>
  <si>
    <t>PAP/YYR</t>
  </si>
  <si>
    <t>PAP/YQX</t>
  </si>
  <si>
    <t>PAP/CJS</t>
  </si>
  <si>
    <t>PAP/YYT</t>
  </si>
  <si>
    <t>PAP/CUU</t>
  </si>
  <si>
    <t>PAP/MZT</t>
  </si>
  <si>
    <t>PAP/DGO</t>
  </si>
  <si>
    <t>PAP/YVO</t>
  </si>
  <si>
    <t>PAP/YBG</t>
  </si>
  <si>
    <t>PAP/TRC</t>
  </si>
  <si>
    <t>PAP/ZCL</t>
  </si>
  <si>
    <t>PAP/AGU</t>
  </si>
  <si>
    <t>PAP/YQB</t>
  </si>
  <si>
    <t>PAP/BJX</t>
  </si>
  <si>
    <t>PAP/MLM</t>
  </si>
  <si>
    <t>PAP/SLP</t>
  </si>
  <si>
    <t>PAP/ACA</t>
  </si>
  <si>
    <t>PAP/YXU</t>
  </si>
  <si>
    <t>PAP/YHM</t>
  </si>
  <si>
    <t>PAP/YQG</t>
  </si>
  <si>
    <t>PAP/PBC</t>
  </si>
  <si>
    <t>PAP/TAM</t>
  </si>
  <si>
    <t>PAP/HUX</t>
  </si>
  <si>
    <t>PAP/BDA</t>
  </si>
  <si>
    <t>PAP/SAP</t>
  </si>
  <si>
    <t>PAP/LIR</t>
  </si>
  <si>
    <t>PAP/LCE</t>
  </si>
  <si>
    <t>PAP/CZM</t>
  </si>
  <si>
    <t>PAP/GND</t>
  </si>
  <si>
    <t>PAP/UVF</t>
  </si>
  <si>
    <t>PAP/DOM</t>
  </si>
  <si>
    <t>PAP/FPO</t>
  </si>
  <si>
    <t>PAP/VRA</t>
  </si>
  <si>
    <t>PAP/CYO</t>
  </si>
  <si>
    <t>PAP/BON</t>
  </si>
  <si>
    <t>PAP/CUR</t>
  </si>
  <si>
    <t>PAP/CCC</t>
  </si>
  <si>
    <t>PAP/CMW</t>
  </si>
  <si>
    <t>PAP/BQN</t>
  </si>
  <si>
    <t>PAP/HOG</t>
  </si>
  <si>
    <t>PAP/SCU</t>
  </si>
  <si>
    <t>PAP/LRM</t>
  </si>
  <si>
    <t>PAP/AZS</t>
  </si>
  <si>
    <t>PAP/POP</t>
  </si>
  <si>
    <t>PAP/YJT</t>
  </si>
  <si>
    <t>PAP/YYB</t>
  </si>
  <si>
    <t>PAP/YRQ</t>
  </si>
  <si>
    <t>PAP/SNU</t>
  </si>
  <si>
    <t>PAP/POS</t>
  </si>
  <si>
    <t>PAP/STI</t>
  </si>
  <si>
    <t>PAP/SEA</t>
  </si>
  <si>
    <t>PAP/SFO</t>
  </si>
  <si>
    <t>PAP/LAX</t>
  </si>
  <si>
    <t>PAP/LAS</t>
  </si>
  <si>
    <t>PAP/SLC</t>
  </si>
  <si>
    <t>PAP/PHX</t>
  </si>
  <si>
    <t>PAP/DEN</t>
  </si>
  <si>
    <t>PAP/MSP</t>
  </si>
  <si>
    <t>PAP/ORD</t>
  </si>
  <si>
    <t>PAP/DFW</t>
  </si>
  <si>
    <t>PAP/DTW</t>
  </si>
  <si>
    <t>PAP/IAH</t>
  </si>
  <si>
    <t>PAP/BOS</t>
  </si>
  <si>
    <t>PAP/EWR</t>
  </si>
  <si>
    <t>PAP/JFK</t>
  </si>
  <si>
    <t>PAP/PHL</t>
  </si>
  <si>
    <t>PAP/BWI</t>
  </si>
  <si>
    <t>PAP/IAD</t>
  </si>
  <si>
    <t>PAP/ATL</t>
  </si>
  <si>
    <t>PAP/CLT</t>
  </si>
  <si>
    <t>PAP/MCO</t>
  </si>
  <si>
    <t>PAP/FLL</t>
  </si>
  <si>
    <t>PAP/MIA</t>
  </si>
  <si>
    <t>PAP/HNL</t>
  </si>
  <si>
    <t>PAP/PDX</t>
  </si>
  <si>
    <t>PAP/OAK</t>
  </si>
  <si>
    <t>PAP/SJC</t>
  </si>
  <si>
    <t>PAP/SMF</t>
  </si>
  <si>
    <t>PAP/SAN</t>
  </si>
  <si>
    <t>PAP/BFF</t>
  </si>
  <si>
    <t>PAP/ABQ</t>
  </si>
  <si>
    <t>PAP/MCI</t>
  </si>
  <si>
    <t>PAP/MKE</t>
  </si>
  <si>
    <t>PAP/DAL</t>
  </si>
  <si>
    <t>PAP/SAT</t>
  </si>
  <si>
    <t>PAP/AUS</t>
  </si>
  <si>
    <t>PAP/STL</t>
  </si>
  <si>
    <t>PAP/IND</t>
  </si>
  <si>
    <t>PAP/CLE</t>
  </si>
  <si>
    <t>PAP/CMH</t>
  </si>
  <si>
    <t>PAP/CVG</t>
  </si>
  <si>
    <t>PAP/PIT</t>
  </si>
  <si>
    <t>PAP/MEM</t>
  </si>
  <si>
    <t>PAP/BNA</t>
  </si>
  <si>
    <t>PAP/MSY</t>
  </si>
  <si>
    <t>PAP/RDU</t>
  </si>
  <si>
    <t>PAP/JAX</t>
  </si>
  <si>
    <t>PAP/TPA</t>
  </si>
  <si>
    <t>PAP/RSW</t>
  </si>
  <si>
    <t>PAP/PBI</t>
  </si>
  <si>
    <t>PAP/KOA</t>
  </si>
  <si>
    <t>PAP/ITO</t>
  </si>
  <si>
    <t>PAP/CDB</t>
  </si>
  <si>
    <t>PAP/ANC</t>
  </si>
  <si>
    <t>PAP/RNO</t>
  </si>
  <si>
    <t>PAP/FAT</t>
  </si>
  <si>
    <t>PAP/BOI</t>
  </si>
  <si>
    <t>PAP/LGB</t>
  </si>
  <si>
    <t>PAP/ONT</t>
  </si>
  <si>
    <t>PAP/PSP</t>
  </si>
  <si>
    <t>PAP/TUS</t>
  </si>
  <si>
    <t>PAP/COS</t>
  </si>
  <si>
    <t>PAP/ELP</t>
  </si>
  <si>
    <t>PAP/OMA</t>
  </si>
  <si>
    <t>PAP/ICT</t>
  </si>
  <si>
    <t>PAP/OKC</t>
  </si>
  <si>
    <t>PAP/TUL</t>
  </si>
  <si>
    <t>PAP/GRR</t>
  </si>
  <si>
    <t>PAP/BUF</t>
  </si>
  <si>
    <t>PAP/MHT</t>
  </si>
  <si>
    <t>PAP/DAY</t>
  </si>
  <si>
    <t>PAP/BDL</t>
  </si>
  <si>
    <t>PAP/SDF</t>
  </si>
  <si>
    <t>PAP/MDT</t>
  </si>
  <si>
    <t>PAP/HSV</t>
  </si>
  <si>
    <t>PAP/BHM</t>
  </si>
  <si>
    <t>PAP/GSO</t>
  </si>
  <si>
    <t>PAP/BFM</t>
  </si>
  <si>
    <t>PAP/ORF</t>
  </si>
  <si>
    <t>PAP/GSP</t>
  </si>
  <si>
    <t>PAP/ECP</t>
  </si>
  <si>
    <t>PAP/MYR</t>
  </si>
  <si>
    <t>PAP/SAV</t>
  </si>
  <si>
    <t>PAP/SFB</t>
  </si>
  <si>
    <t>PAP/SRQ</t>
  </si>
  <si>
    <t>PAP/AKN</t>
  </si>
  <si>
    <t>PAP/FAI</t>
  </si>
  <si>
    <t>PAP/BFL</t>
  </si>
  <si>
    <t>PAP/MSO</t>
  </si>
  <si>
    <t>PAP/GTF</t>
  </si>
  <si>
    <t>PAP/HLN</t>
  </si>
  <si>
    <t>PAP/BIL</t>
  </si>
  <si>
    <t>PAP/YUM</t>
  </si>
  <si>
    <t>PAP/AZA</t>
  </si>
  <si>
    <t>PAP/CPR</t>
  </si>
  <si>
    <t>PAP/GJT</t>
  </si>
  <si>
    <t>PAP/HDN</t>
  </si>
  <si>
    <t>PAP/MTJ</t>
  </si>
  <si>
    <t>PAP/DRO</t>
  </si>
  <si>
    <t>PAP/GUC</t>
  </si>
  <si>
    <t>PAP/DLH</t>
  </si>
  <si>
    <t>PAP/ROW</t>
  </si>
  <si>
    <t>PAP/AMA</t>
  </si>
  <si>
    <t>PAP/LNK</t>
  </si>
  <si>
    <t>PAP/RST</t>
  </si>
  <si>
    <t>PAP/MQT</t>
  </si>
  <si>
    <t>PAP/LBB</t>
  </si>
  <si>
    <t>PAP/MAF</t>
  </si>
  <si>
    <t>PAP/LAW</t>
  </si>
  <si>
    <t>PAP/SPS</t>
  </si>
  <si>
    <t>PAP/MLI</t>
  </si>
  <si>
    <t>PAP/RFD</t>
  </si>
  <si>
    <t>PAP/PIA</t>
  </si>
  <si>
    <t>PAP/AFW</t>
  </si>
  <si>
    <t>PAP/BGR</t>
  </si>
  <si>
    <t>PAP/GRK</t>
  </si>
  <si>
    <t>PAP/PBG</t>
  </si>
  <si>
    <t>PAP/TOL</t>
  </si>
  <si>
    <t>PAP/FWA</t>
  </si>
  <si>
    <t>PAP/PSM</t>
  </si>
  <si>
    <t>PAP/SWF</t>
  </si>
  <si>
    <t>PAP/AEX</t>
  </si>
  <si>
    <t>PAP/ACY</t>
  </si>
  <si>
    <t>PAP/VPS</t>
  </si>
  <si>
    <t>PAP/DHN</t>
  </si>
  <si>
    <t>PAP/PIE</t>
  </si>
  <si>
    <t>PAP/DAB</t>
  </si>
  <si>
    <t>PAP/MLB</t>
  </si>
  <si>
    <t>PAP/BFI</t>
  </si>
  <si>
    <t>PAP/LMT</t>
  </si>
  <si>
    <t>PAP/SCK</t>
  </si>
  <si>
    <t>PAP/BTM</t>
  </si>
  <si>
    <t>PAP/TWF</t>
  </si>
  <si>
    <t>PAP/PIH</t>
  </si>
  <si>
    <t>PAP/CDC</t>
  </si>
  <si>
    <t>PAP/COD</t>
  </si>
  <si>
    <t>PAP/SHR</t>
  </si>
  <si>
    <t>PAP/RKS</t>
  </si>
  <si>
    <t>PAP/LAR</t>
  </si>
  <si>
    <t>PAP/CYS</t>
  </si>
  <si>
    <t>PAP/FNL</t>
  </si>
  <si>
    <t>PAP/ALS</t>
  </si>
  <si>
    <t>PAP/SAF</t>
  </si>
  <si>
    <t>PAP/PUB</t>
  </si>
  <si>
    <t>PAP/SUX</t>
  </si>
  <si>
    <t>PAP/ALO</t>
  </si>
  <si>
    <t>PAP/APN</t>
  </si>
  <si>
    <t>PAP/DEC</t>
  </si>
  <si>
    <t>PAP/IAG</t>
  </si>
  <si>
    <t>PAP/BLV</t>
  </si>
  <si>
    <t>PAP/VCT</t>
  </si>
  <si>
    <t>PAP/GGG</t>
  </si>
  <si>
    <t>PAP/YNG</t>
  </si>
  <si>
    <t>PAP/BAF</t>
  </si>
  <si>
    <t>PAP/LBE</t>
  </si>
  <si>
    <t>PAP/MEI</t>
  </si>
  <si>
    <t>PAP/JNU</t>
  </si>
  <si>
    <t>PAP/MFR</t>
  </si>
  <si>
    <t>PAP/GEG</t>
  </si>
  <si>
    <t>PAP/FCA</t>
  </si>
  <si>
    <t>PAP/BZN</t>
  </si>
  <si>
    <t>PAP/IDA</t>
  </si>
  <si>
    <t>PAP/GCN</t>
  </si>
  <si>
    <t>PAP/BIS</t>
  </si>
  <si>
    <t>PAP/EGE</t>
  </si>
  <si>
    <t>PAP/RAP</t>
  </si>
  <si>
    <t>PAP/FAR</t>
  </si>
  <si>
    <t>PAP/FSD</t>
  </si>
  <si>
    <t>PAP/LSE</t>
  </si>
  <si>
    <t>PAP/DSM</t>
  </si>
  <si>
    <t>PAP/GRB</t>
  </si>
  <si>
    <t>PAP/CID</t>
  </si>
  <si>
    <t>PAP/MSN</t>
  </si>
  <si>
    <t>PAP/LRD</t>
  </si>
  <si>
    <t>PAP/XNA</t>
  </si>
  <si>
    <t>PAP/SBN</t>
  </si>
  <si>
    <t>PAP/BTV</t>
  </si>
  <si>
    <t>PAP/SYR</t>
  </si>
  <si>
    <t>PAP/HRL</t>
  </si>
  <si>
    <t>PAP/ALB</t>
  </si>
  <si>
    <t>PAP/LIT</t>
  </si>
  <si>
    <t>PAP/SHV</t>
  </si>
  <si>
    <t>PAP/JAN</t>
  </si>
  <si>
    <t>PAP/TYS</t>
  </si>
  <si>
    <t>PAP/RIC</t>
  </si>
  <si>
    <t>PAP/GPT</t>
  </si>
  <si>
    <t>PAP/MOB</t>
  </si>
  <si>
    <t>PAP/MGM</t>
  </si>
  <si>
    <t>PAP/CAE</t>
  </si>
  <si>
    <t>PAP/CHS</t>
  </si>
  <si>
    <t>PAP/EZE</t>
  </si>
  <si>
    <t>PAP/USH</t>
  </si>
  <si>
    <t>PAP/RGL</t>
  </si>
  <si>
    <t>PAP/FTE</t>
  </si>
  <si>
    <t>PAP/CRD</t>
  </si>
  <si>
    <t>PAP/REL</t>
  </si>
  <si>
    <t>PAP/BHI</t>
  </si>
  <si>
    <t>PAP/NQN</t>
  </si>
  <si>
    <t>PAP/ROS</t>
  </si>
  <si>
    <t>PAP/MDZ</t>
  </si>
  <si>
    <t>PAP/COR</t>
  </si>
  <si>
    <t>PAP/RES</t>
  </si>
  <si>
    <t>PAP/IGR</t>
  </si>
  <si>
    <t>PAP/TUC</t>
  </si>
  <si>
    <t>PAP/SLA</t>
  </si>
  <si>
    <t>PAP/GGS</t>
  </si>
  <si>
    <t>PAP/VDM</t>
  </si>
  <si>
    <t>PAP/LGS</t>
  </si>
  <si>
    <t>PAP/LUQ</t>
  </si>
  <si>
    <t>PAP/RCQ</t>
  </si>
  <si>
    <t>PAP/IRJ</t>
  </si>
  <si>
    <t>PAP/CTC</t>
  </si>
  <si>
    <t>PAP/JUJ</t>
  </si>
  <si>
    <t>PAP/SCL</t>
  </si>
  <si>
    <t>PAP/GIG</t>
  </si>
  <si>
    <t>PAP/CNF</t>
  </si>
  <si>
    <t>PAP/SSA</t>
  </si>
  <si>
    <t>PAP/BSB</t>
  </si>
  <si>
    <t>PAP/LIM</t>
  </si>
  <si>
    <t>PAP/BOG</t>
  </si>
  <si>
    <t>PAP/CCS</t>
  </si>
  <si>
    <t>PAP/MVD</t>
  </si>
  <si>
    <t>PAP/VCP</t>
  </si>
  <si>
    <t>PAP/MCZ</t>
  </si>
  <si>
    <t>PAP/REC</t>
  </si>
  <si>
    <t>PAP/NAT</t>
  </si>
  <si>
    <t>PAP/FOR</t>
  </si>
  <si>
    <t>PAP/AQP</t>
  </si>
  <si>
    <t>PAP/CUZ</t>
  </si>
  <si>
    <t>PAP/BEL</t>
  </si>
  <si>
    <t>PAP/ATA</t>
  </si>
  <si>
    <t>PAP/GYE</t>
  </si>
  <si>
    <t>PAP/UIO</t>
  </si>
  <si>
    <t>PAP/CLO</t>
  </si>
  <si>
    <t>PAP/PMV</t>
  </si>
  <si>
    <t>PAP/CTG</t>
  </si>
  <si>
    <t>PAP/MAR</t>
  </si>
  <si>
    <t>PAP/PUQ</t>
  </si>
  <si>
    <t>PAP/BBA</t>
  </si>
  <si>
    <t>PAP/PMC</t>
  </si>
  <si>
    <t>PAP/SJK</t>
  </si>
  <si>
    <t>PAP/PLU</t>
  </si>
  <si>
    <t>PAP/ASU</t>
  </si>
  <si>
    <t>PAP/JPA</t>
  </si>
  <si>
    <t>PAP/CGR</t>
  </si>
  <si>
    <t>PAP/ANF</t>
  </si>
  <si>
    <t>PAP/PNZ</t>
  </si>
  <si>
    <t>PAP/CJC</t>
  </si>
  <si>
    <t>PAP/TJA</t>
  </si>
  <si>
    <t>PAP/IQQ</t>
  </si>
  <si>
    <t>PAP/SRE</t>
  </si>
  <si>
    <t>PAP/SRZ</t>
  </si>
  <si>
    <t>PAP/VVI</t>
  </si>
  <si>
    <t>PAP/CBB</t>
  </si>
  <si>
    <t>PAP/LPB</t>
  </si>
  <si>
    <t>PAP/JUL</t>
  </si>
  <si>
    <t>PAP/PEM</t>
  </si>
  <si>
    <t>PAP/TRU</t>
  </si>
  <si>
    <t>PAP/PCL</t>
  </si>
  <si>
    <t>PAP/CIX</t>
  </si>
  <si>
    <t>PAP/TPP</t>
  </si>
  <si>
    <t>PAP/MAO</t>
  </si>
  <si>
    <t>PAP/PBM</t>
  </si>
  <si>
    <t>PAP/MEC</t>
  </si>
  <si>
    <t>PAP/BVB</t>
  </si>
  <si>
    <t>PAP/EYP</t>
  </si>
  <si>
    <t>PAP/MDE</t>
  </si>
  <si>
    <t>PAP/EOH</t>
  </si>
  <si>
    <t>PAP/VLN</t>
  </si>
  <si>
    <t>PAP/BAQ</t>
  </si>
  <si>
    <t>PAP/IPC</t>
  </si>
  <si>
    <t>PAP/AGT</t>
  </si>
  <si>
    <t>PAP/AYP</t>
  </si>
  <si>
    <t>PAP/JAU</t>
  </si>
  <si>
    <t>PAP/CAY</t>
  </si>
  <si>
    <t>PLANES / SETS
IDLE / TO SCHEDULE</t>
  </si>
  <si>
    <t>PLANES / SETS
TO ORDER</t>
  </si>
  <si>
    <t>SETS / PLANES
READY TO SCHEDULE</t>
  </si>
  <si>
    <t>SETS / PLANES
SCHEDULED</t>
  </si>
  <si>
    <t>SETS / PLANES
POTENTIAL</t>
  </si>
  <si>
    <t>Port Moresby - Jacksons International</t>
  </si>
  <si>
    <t>Ayers Rock - Connellan</t>
  </si>
  <si>
    <t>Manado - Sam Ratulangi</t>
  </si>
  <si>
    <t>Lombok - Zainuddin Abdul Madjid Airport</t>
  </si>
  <si>
    <t>Zamboanga - International</t>
  </si>
  <si>
    <t>Surakarta (Solo) - Adi Sumarmo</t>
  </si>
  <si>
    <t>Subic Bay - International</t>
  </si>
  <si>
    <t>Puerto Princesa - International</t>
  </si>
  <si>
    <t>Semarang - Ahmad Yani</t>
  </si>
  <si>
    <t>Padang - Minangkabau</t>
  </si>
  <si>
    <t>Hue - Phu Bai Intl</t>
  </si>
  <si>
    <t>Nanning - Wuxu Intl</t>
  </si>
  <si>
    <t>Siem Reap - Angkor Intl</t>
  </si>
  <si>
    <t>Alor Setar - Sultan Abdul Halim</t>
  </si>
  <si>
    <t>Gan Island - International</t>
  </si>
  <si>
    <t>Coimbatore - International</t>
  </si>
  <si>
    <t>BOM/CZM</t>
  </si>
  <si>
    <t>BOM/TRC</t>
  </si>
  <si>
    <t>BOM/HRL</t>
  </si>
  <si>
    <t>BOM/LRD</t>
  </si>
  <si>
    <t>BOM/MBJ</t>
  </si>
  <si>
    <t>BOM/KIN</t>
  </si>
  <si>
    <t>BOM/CUU</t>
  </si>
  <si>
    <t>BOM/MAO</t>
  </si>
  <si>
    <t>BOM/CGR</t>
  </si>
  <si>
    <t>BOM/SAT</t>
  </si>
  <si>
    <t>BOM/BVB</t>
  </si>
  <si>
    <t>BOM/CJS</t>
  </si>
  <si>
    <t>BOM/FLL</t>
  </si>
  <si>
    <t>BOM/MXL</t>
  </si>
  <si>
    <t>BOM/GPT</t>
  </si>
  <si>
    <t>BOM/STI</t>
  </si>
  <si>
    <t>BOM/DAL</t>
  </si>
  <si>
    <t>BOM/MOB</t>
  </si>
  <si>
    <t>BOM/SHV</t>
  </si>
  <si>
    <t>BOM/JAN</t>
  </si>
  <si>
    <t>BOM/LAW</t>
  </si>
  <si>
    <t>BOM/GND</t>
  </si>
  <si>
    <t>BOM/DHN</t>
  </si>
  <si>
    <t>BOM/SAF</t>
  </si>
  <si>
    <t>BOM/MGM</t>
  </si>
  <si>
    <t>BOM/GCN</t>
  </si>
  <si>
    <t>BOM/LIT</t>
  </si>
  <si>
    <t>BOM/UVF</t>
  </si>
  <si>
    <t>BOM/ALS</t>
  </si>
  <si>
    <t>BOM/XNA</t>
  </si>
  <si>
    <t>BOM/SJK</t>
  </si>
  <si>
    <t>BOM/CDC</t>
  </si>
  <si>
    <t>BOM/ANU</t>
  </si>
  <si>
    <t>BOM/CHS</t>
  </si>
  <si>
    <t>BOM/CAE</t>
  </si>
  <si>
    <t>BOM/EGE</t>
  </si>
  <si>
    <t>BOM/TYS</t>
  </si>
  <si>
    <t>BOM/PLU</t>
  </si>
  <si>
    <t>BOM/SMF</t>
  </si>
  <si>
    <t>BOM/FNL</t>
  </si>
  <si>
    <t>BOM/LAR</t>
  </si>
  <si>
    <t>BOM/BFF</t>
  </si>
  <si>
    <t>BOM/DEC</t>
  </si>
  <si>
    <t>BOM/DSM</t>
  </si>
  <si>
    <t>BOM/TWF</t>
  </si>
  <si>
    <t>BOM/SUX</t>
  </si>
  <si>
    <t>BOM/CID</t>
  </si>
  <si>
    <t>BOM/IDA</t>
  </si>
  <si>
    <t>BOM/ALO</t>
  </si>
  <si>
    <t>BOM/ORF</t>
  </si>
  <si>
    <t>BOM/MFR</t>
  </si>
  <si>
    <t>BOM/RIC</t>
  </si>
  <si>
    <t>BOM/RAP</t>
  </si>
  <si>
    <t>BOM/TBU</t>
  </si>
  <si>
    <t>BOM/FSD</t>
  </si>
  <si>
    <t>BOM/COD</t>
  </si>
  <si>
    <t>BOM/SBN</t>
  </si>
  <si>
    <t>BOM/SHR</t>
  </si>
  <si>
    <t>BOM/MSN</t>
  </si>
  <si>
    <t>BOM/LSE</t>
  </si>
  <si>
    <t>BOM/LBE</t>
  </si>
  <si>
    <t>BOM/CLE</t>
  </si>
  <si>
    <t>BOM/BZN</t>
  </si>
  <si>
    <t>BOM/YNG</t>
  </si>
  <si>
    <t>BOM/BTM</t>
  </si>
  <si>
    <t>BOM/YQG</t>
  </si>
  <si>
    <t>BOM/HLN</t>
  </si>
  <si>
    <t>BOM/GRB</t>
  </si>
  <si>
    <t>BOM/BIS</t>
  </si>
  <si>
    <t>BOM/YXU</t>
  </si>
  <si>
    <t>BOM/FAR</t>
  </si>
  <si>
    <t>BOM/BUF</t>
  </si>
  <si>
    <t>BOM/GEG</t>
  </si>
  <si>
    <t>BOM/APN</t>
  </si>
  <si>
    <t>BOM/FCA</t>
  </si>
  <si>
    <t>BOM/SYR</t>
  </si>
  <si>
    <t>BOM/FOR</t>
  </si>
  <si>
    <t>BOM/BAF</t>
  </si>
  <si>
    <t>BOM/ALB</t>
  </si>
  <si>
    <t>BOM/MCZ</t>
  </si>
  <si>
    <t>BOM/YLW</t>
  </si>
  <si>
    <t>BOM/BTV</t>
  </si>
  <si>
    <t>BOM/JPA</t>
  </si>
  <si>
    <t>BOM/NAT</t>
  </si>
  <si>
    <t>BOM/YXE</t>
  </si>
  <si>
    <t>BOM/YRQ</t>
  </si>
  <si>
    <t>BOM/YQB</t>
  </si>
  <si>
    <t>BOM/YHZ</t>
  </si>
  <si>
    <t>BOM/VLI</t>
  </si>
  <si>
    <t>BOM/JNU</t>
  </si>
  <si>
    <t>BOM/YYT</t>
  </si>
  <si>
    <t>BOM/AKN</t>
  </si>
  <si>
    <t>BOM/YFB</t>
  </si>
  <si>
    <t>BOM/ROK</t>
  </si>
  <si>
    <t>BOM/BHQ</t>
  </si>
  <si>
    <t>BOM/POM</t>
  </si>
  <si>
    <t>BOM/EUN</t>
  </si>
  <si>
    <t>BOM/BKO</t>
  </si>
  <si>
    <t>BOM/ISA</t>
  </si>
  <si>
    <t>BOM/MZI</t>
  </si>
  <si>
    <t>BOM/AYQ</t>
  </si>
  <si>
    <t>BOM/FAO</t>
  </si>
  <si>
    <t>BOM/SPN</t>
  </si>
  <si>
    <t>BOM/TIQ</t>
  </si>
  <si>
    <t>BOM/DUB</t>
  </si>
  <si>
    <t>BOM/NQY</t>
  </si>
  <si>
    <t>BOM/GLA</t>
  </si>
  <si>
    <t>BOM/BIO</t>
  </si>
  <si>
    <t>BOM/EDI</t>
  </si>
  <si>
    <t>BOM/TLM</t>
  </si>
  <si>
    <t>BOM/ABC</t>
  </si>
  <si>
    <t>BOM/BFN</t>
  </si>
  <si>
    <t>BOM/BHX</t>
  </si>
  <si>
    <t>BOM/NOV</t>
  </si>
  <si>
    <t>BOM/DOL</t>
  </si>
  <si>
    <t>BOM/NTY</t>
  </si>
  <si>
    <t>BOM/SVG</t>
  </si>
  <si>
    <t>BOM/MPL</t>
  </si>
  <si>
    <t>BOM/CRL</t>
  </si>
  <si>
    <t>BOM/OLA</t>
  </si>
  <si>
    <t>BOM/MTS</t>
  </si>
  <si>
    <t>BOM/PTG</t>
  </si>
  <si>
    <t>BOM/EBJ</t>
  </si>
  <si>
    <t>BOM/AAL</t>
  </si>
  <si>
    <t>BOM/KRN</t>
  </si>
  <si>
    <t>BOM/NGE</t>
  </si>
  <si>
    <t>BOM/BUQ</t>
  </si>
  <si>
    <t>BOM/KSD</t>
  </si>
  <si>
    <t>BOM/BIA</t>
  </si>
  <si>
    <t>BOM/KMQ</t>
  </si>
  <si>
    <t>BOM/ERF</t>
  </si>
  <si>
    <t>BOM/RLG</t>
  </si>
  <si>
    <t>BOM/ORB</t>
  </si>
  <si>
    <t>BOM/NUE</t>
  </si>
  <si>
    <t>BOM/VST</t>
  </si>
  <si>
    <t>BOM/KEM</t>
  </si>
  <si>
    <t>BOM/VAA</t>
  </si>
  <si>
    <t>BOM/SZG</t>
  </si>
  <si>
    <t>BOM/OUL</t>
  </si>
  <si>
    <t>BOM/TPS</t>
  </si>
  <si>
    <t>BOM/BGF</t>
  </si>
  <si>
    <t>BOM/KLU</t>
  </si>
  <si>
    <t>BOM/KMN</t>
  </si>
  <si>
    <t>BOM/POZ</t>
  </si>
  <si>
    <t>BOM/TMP</t>
  </si>
  <si>
    <t>BOM/NAP</t>
  </si>
  <si>
    <t>BOM/JYV</t>
  </si>
  <si>
    <t>BOM/MDC</t>
  </si>
  <si>
    <t>BOM/BRQ</t>
  </si>
  <si>
    <t>BOM/MDG</t>
  </si>
  <si>
    <t>BOM/SPU</t>
  </si>
  <si>
    <t>BOM/YNJ</t>
  </si>
  <si>
    <t>BOM/BNX</t>
  </si>
  <si>
    <t>BOM/KRK</t>
  </si>
  <si>
    <t>BOM/SJJ</t>
  </si>
  <si>
    <t>BOM/TAT</t>
  </si>
  <si>
    <t>BOM/BDS</t>
  </si>
  <si>
    <t>BOM/WJU</t>
  </si>
  <si>
    <t>BOM/LOP</t>
  </si>
  <si>
    <t>BOM/HIN</t>
  </si>
  <si>
    <t>BOM/TIV</t>
  </si>
  <si>
    <t>BOM/CJJ</t>
  </si>
  <si>
    <t>BOM/VNO</t>
  </si>
  <si>
    <t>BOM/TIA</t>
  </si>
  <si>
    <t>BOM/NDG</t>
  </si>
  <si>
    <t>BOM/KUV</t>
  </si>
  <si>
    <t>BOM/LWO</t>
  </si>
  <si>
    <t>BOM/OHD</t>
  </si>
  <si>
    <t>BOM/ZAM</t>
  </si>
  <si>
    <t>BOM/VXC</t>
  </si>
  <si>
    <t>BOM/KSO</t>
  </si>
  <si>
    <t>BOM/IFO</t>
  </si>
  <si>
    <t>BOM/DDG</t>
  </si>
  <si>
    <t>BOM/HLD</t>
  </si>
  <si>
    <t>BOM/SLY</t>
  </si>
  <si>
    <t>BOM/NUX</t>
  </si>
  <si>
    <t>BOM/GME</t>
  </si>
  <si>
    <t>BOM/TWU</t>
  </si>
  <si>
    <t>BOM/WEH</t>
  </si>
  <si>
    <t>BOM/JNZ</t>
  </si>
  <si>
    <t>BOM/YNT</t>
  </si>
  <si>
    <t>BOM/SOC</t>
  </si>
  <si>
    <t>BOM/SFS</t>
  </si>
  <si>
    <t>BOM/AXD</t>
  </si>
  <si>
    <t>BOM/PPS</t>
  </si>
  <si>
    <t>BOM/TSA</t>
  </si>
  <si>
    <t>BOM/SRG</t>
  </si>
  <si>
    <t>BOM/HER</t>
  </si>
  <si>
    <t>BOM/DME</t>
  </si>
  <si>
    <t>BOM/COQ</t>
  </si>
  <si>
    <t>BOM/NOJ</t>
  </si>
  <si>
    <t>BOM/WEF</t>
  </si>
  <si>
    <t>BOM/KGP</t>
  </si>
  <si>
    <t>BOM/MYY</t>
  </si>
  <si>
    <t>BOM/JJN</t>
  </si>
  <si>
    <t>BOM/TXN</t>
  </si>
  <si>
    <t>BOM/BTU</t>
  </si>
  <si>
    <t>BOM/USQ</t>
  </si>
  <si>
    <t>BOM/BFU</t>
  </si>
  <si>
    <t>BOM/OZH</t>
  </si>
  <si>
    <t>BOM/AOE</t>
  </si>
  <si>
    <t>BOM/MPW</t>
  </si>
  <si>
    <t>BOM/NBC</t>
  </si>
  <si>
    <t>BOM/CIH</t>
  </si>
  <si>
    <t>BOM/JGS</t>
  </si>
  <si>
    <t>BOM/PFO</t>
  </si>
  <si>
    <t>BOM/ADA</t>
  </si>
  <si>
    <t>BOM/KYZ</t>
  </si>
  <si>
    <t>BOM/YIH</t>
  </si>
  <si>
    <t>BOM/CGD</t>
  </si>
  <si>
    <t>BOM/STW</t>
  </si>
  <si>
    <t>BOM/TZX</t>
  </si>
  <si>
    <t>BOM/DYG</t>
  </si>
  <si>
    <t>BOM/ADF</t>
  </si>
  <si>
    <t>BOM/MQM</t>
  </si>
  <si>
    <t>BOM/PDG</t>
  </si>
  <si>
    <t>BOM/GRV</t>
  </si>
  <si>
    <t>BOM/HUI</t>
  </si>
  <si>
    <t>BOM/NNG</t>
  </si>
  <si>
    <t>BOM/ASM</t>
  </si>
  <si>
    <t>BOM/VAN</t>
  </si>
  <si>
    <t>BOM/MCX</t>
  </si>
  <si>
    <t>BOM/DIR</t>
  </si>
  <si>
    <t>BOM/KVD</t>
  </si>
  <si>
    <t>BOM/REP</t>
  </si>
  <si>
    <t>BOM/AOR</t>
  </si>
  <si>
    <t>BOM/ZAT</t>
  </si>
  <si>
    <t>BOM/KRY</t>
  </si>
  <si>
    <t>BOM/OSS</t>
  </si>
  <si>
    <t>BOM/JRH</t>
  </si>
  <si>
    <t>BOM/IMF</t>
  </si>
  <si>
    <t>BOM/GAN</t>
  </si>
  <si>
    <t>BOM/HEA</t>
  </si>
  <si>
    <t>BOM/PEW</t>
  </si>
  <si>
    <t>BOM/IXR</t>
  </si>
  <si>
    <t>BOM/IXC</t>
  </si>
  <si>
    <t>BOM/MUX</t>
  </si>
  <si>
    <t>BOM/LKO</t>
  </si>
  <si>
    <t>BOM/SKZ</t>
  </si>
  <si>
    <t>BOM/CJB</t>
  </si>
  <si>
    <t>BOM/JDH</t>
  </si>
  <si>
    <t>BOM/BHJ</t>
  </si>
  <si>
    <t>BOM/JGA</t>
  </si>
  <si>
    <t>BOM/PNQ</t>
  </si>
  <si>
    <t>ADD TIME 
(350)</t>
  </si>
  <si>
    <t xml:space="preserve"> </t>
  </si>
  <si>
    <t>Route PAP / AAE - Annaba - Rabah Bitat Airport dz</t>
  </si>
  <si>
    <t>Route PAP / AAL - Aalborg - Aalborg Airport dk</t>
  </si>
  <si>
    <t>Route PAP / ABQ - Albuquerque (NM) - Albuquerque Airport us</t>
  </si>
  <si>
    <t>Route PAP / ABV - Abuja - Nnamdi Azikiwe Airport ng</t>
  </si>
  <si>
    <t>Route PAP / ADA - Adana - Adana Sakirpasa Airport tr</t>
  </si>
  <si>
    <t>Route PAP / ADB - Izmir - Adnan Menderes Airport tr</t>
  </si>
  <si>
    <t>Route PAP / ADD - Addis Ababa - Addis Ababa Bole Airport et</t>
  </si>
  <si>
    <t>Route PAP / AER - Sochi - Sochi Airport ru</t>
  </si>
  <si>
    <t>Route PAP / AGA - Agadir - Al Massira Airport ma</t>
  </si>
  <si>
    <t>Route PAP / AGP - Málaga - Malaga Airport es</t>
  </si>
  <si>
    <t>Route PAP / AGT - Ciudad del Este - Guaraní Airport py</t>
  </si>
  <si>
    <t>Route PAP / AHB - Khamis Mushait - Abha Airport sa</t>
  </si>
  <si>
    <t>Route PAP / AJF - Al Jawf - Al Jawf Airport sa</t>
  </si>
  <si>
    <t>Route PAP / AKL - Auckland - Auckland Airport nz</t>
  </si>
  <si>
    <t>Route PAP / ALA - Almaty - Almaty Airport kz</t>
  </si>
  <si>
    <t>Route PAP / ALB - Albany (NY) - Albany Airport us</t>
  </si>
  <si>
    <t>Route PAP / ALC - Alicante - Alicante Airport es</t>
  </si>
  <si>
    <t>Route PAP / ALG - Algiers - Houari Boumedienne Airport dz</t>
  </si>
  <si>
    <t>Route PAP / ALP - Aleppo - Aleppo Airport sy</t>
  </si>
  <si>
    <t>Route PAP / AMD - Ahmedabad - Sardar Vallabhbhai Patel Airport in</t>
  </si>
  <si>
    <t>Route PAP / AMM - Amman - Queen Alia Airport jo</t>
  </si>
  <si>
    <t>Route PAP / AMS - Amsterdam - Amsterdam Schiphol Airport nl</t>
  </si>
  <si>
    <t>Route PAP / ANF - Antofagasta - Cerro Moreno Airport cl</t>
  </si>
  <si>
    <t>Route PAP / AOJ - Aomori - Aomori Airport jp</t>
  </si>
  <si>
    <t>Route PAP / APW - Apia - Faleolo Airport ws</t>
  </si>
  <si>
    <t>Route PAP / AQI - Qaisumah - Qaisumah Airport sa</t>
  </si>
  <si>
    <t>Route PAP / AQP - Arequipa - Alfredo Rodríguez Ballón Airport pe</t>
  </si>
  <si>
    <t>Route PAP / ARN - Stockholm - Arlanda Airport se</t>
  </si>
  <si>
    <t>Route PAP / ASM - Asmara - Asmara Airport er</t>
  </si>
  <si>
    <t>Route PAP / ASU - Asunción - Silvio Pettirossi Airport py</t>
  </si>
  <si>
    <t>Route PAP / ATA - Anta - Comandante FAP Germán Arias Graziani Airport pe</t>
  </si>
  <si>
    <t>Route PAP / ATH - Athens - Elefthérios Venizélos Airport gr</t>
  </si>
  <si>
    <t>Route PAP / ATL - Atlanta (GA) - Hartsfield Jackson Airport us</t>
  </si>
  <si>
    <t>Route PAP / ATZ - Assiut - Assiut Airport eg</t>
  </si>
  <si>
    <t>Route PAP / AUA - Oranjestad - Queen Beatrix Airport aw</t>
  </si>
  <si>
    <t>Route PAP / AUH - Abu Dhabi - Abu Dhabi Airport ae</t>
  </si>
  <si>
    <t>Route PAP / AWA - Awasa - Awasa Airport et</t>
  </si>
  <si>
    <t>Route PAP / AWZ - Ahwaz - Ahwaz Airport ir</t>
  </si>
  <si>
    <t>Route PAP / AYP - Ayacucho - Coronel FAP Alfredo Mendívil Duarte Airport pe</t>
  </si>
  <si>
    <t>Route PAP / AYT - Antalya - Antalya Airport tr</t>
  </si>
  <si>
    <t>Route PAP / AZD - Yazd - Shahid Sadooghi Airport ir</t>
  </si>
  <si>
    <t>Route PAP / BAH - Al Muharraq - Bahrain Airport bh</t>
  </si>
  <si>
    <t>Route PAP / BAX - Barnaul - Barnaul Airport ru</t>
  </si>
  <si>
    <t>Route PAP / BBA - Balmaceda - Balmaceda Airport cl</t>
  </si>
  <si>
    <t>Route PAP / BBU - Bucharest - Aurel Vlaicu Airport ro</t>
  </si>
  <si>
    <t>Route PAP / BCN - Barcelona - Barcelona Airport es</t>
  </si>
  <si>
    <t>Route PAP / BEG - Belgrade - Belgrade Nikola Tesla Airport rs</t>
  </si>
  <si>
    <t>Route PAP / BEL - Belém (PA) - Val de Cans Airport br</t>
  </si>
  <si>
    <t>Route PAP / BEN - Benghazi - Benina Airport ly</t>
  </si>
  <si>
    <t>Route PAP / BEY - Beyrouth - Rafic Hariri Airport lb</t>
  </si>
  <si>
    <t>Route PAP / BFN - Bloemfontein - Bloemfontein Airport za</t>
  </si>
  <si>
    <t>Route PAP / BGI - Bridgetown - Grantley Adams Airport bb</t>
  </si>
  <si>
    <t>Route PAP / BGO - Bergen - Flesland Airport no</t>
  </si>
  <si>
    <t>Route PAP / BGY - Bergamo - Orio al Serio Airport it</t>
  </si>
  <si>
    <t>Route PAP / BHI - Bahía Blanca - Comandante Espora Airport ar</t>
  </si>
  <si>
    <t>Route PAP / BHJ - Bhuj - Shyamji Krishna Verma Airport in</t>
  </si>
  <si>
    <t>Route PAP / BHK - Bukhara - Bukhara Airport uz</t>
  </si>
  <si>
    <t>Route PAP / BHV - Bahawalpur - Bahawalpur Airport pk</t>
  </si>
  <si>
    <t>Route PAP / BHX - Birmingham - Birmingham Airport gb</t>
  </si>
  <si>
    <t>Route PAP / BIO - Bilbao - Bilbao Airport es</t>
  </si>
  <si>
    <t>Route PAP / BJM - Bujumbura - Bujumbura Airport bi</t>
  </si>
  <si>
    <t>Route PAP / BJV - Milas - Bodrum Airport tr</t>
  </si>
  <si>
    <t>Route PAP / BKO - Bamako - Sénou Airport ml</t>
  </si>
  <si>
    <t>Route PAP / BLL - Billund - Billund Airport dk</t>
  </si>
  <si>
    <t>Route PAP / BNA - Nashville (TN) - Nashville Airport us</t>
  </si>
  <si>
    <t>Route PAP / BND - Bandar Abbas - Bandar Abbas Airport ir</t>
  </si>
  <si>
    <t>Route PAP / BOG - Bogotá - El Dorado Airport co</t>
  </si>
  <si>
    <t>Route PAP / BOJ - Bourgas - Burgas Airport bg</t>
  </si>
  <si>
    <t>Route PAP / BOM - Mumbai - Chhatrapati Shivaji Airport in</t>
  </si>
  <si>
    <t>Route PAP / BOO - Bodø - Bodo Airport no</t>
  </si>
  <si>
    <t>Route PAP / BOS - Boston (MA) - General E. Lawrence Logan Airport us</t>
  </si>
  <si>
    <t>Route PAP / BOY - Bobo-Dioulasso - Bobo Dioulasso Airport bf</t>
  </si>
  <si>
    <t>Route PAP / BQN - Aguadilla - Rafael Hernández Airport pr</t>
  </si>
  <si>
    <t>Route PAP / BRU - Brussels - Brussels Airport be</t>
  </si>
  <si>
    <t>Route PAP / BSB - Brasília (DF) - Presidente Juscelino Kubitschek Airport br</t>
  </si>
  <si>
    <t>Route PAP / BSL - Basel - Mulhouse Airport ch</t>
  </si>
  <si>
    <t>Route PAP / BTS - Bratislava - Milan Rastislav Štefánik Airport sk</t>
  </si>
  <si>
    <t>Route PAP / BUD - Budapest - Budapest Ferenc Liszt Airport hu</t>
  </si>
  <si>
    <t>Route PAP / BUF - Buffalo (NY) - Niagara Airport us</t>
  </si>
  <si>
    <t>Route PAP / BVB - Boa Vista (RR) - Boa Vista Airport br</t>
  </si>
  <si>
    <t>Route PAP / BWI - Baltimore (MD) - Thurgood Marshall Airport us</t>
  </si>
  <si>
    <t>Route PAP / CAI - Cairo - Cairo Airport eg</t>
  </si>
  <si>
    <t>Route PAP / CAY - Cayenne - Cayenne – Félix Eboué Airport gf</t>
  </si>
  <si>
    <t>Route PAP / CBB - Cochabamba - Jorge Wilstermann Airport bo</t>
  </si>
  <si>
    <t>Route PAP / CBT - Catumbela - Catumbela Airport ao</t>
  </si>
  <si>
    <t>Route PAP / CCS - Caracas - Maiquetía Simón Bolívar Airport ve</t>
  </si>
  <si>
    <t>Route PAP / CCU - Kolkata - Netaji Subhash Chandra Bose Airport in</t>
  </si>
  <si>
    <t>Route PAP / CDG - Paris - Charles de Gaulle Airport fr</t>
  </si>
  <si>
    <t>Route PAP / CGN - Köln - Bonn Konrad Adenauer Airport de</t>
  </si>
  <si>
    <t>Route PAP / CGO - Zhengzhou - Xinzheng Airport cn</t>
  </si>
  <si>
    <t>Route PAP / CGP - Chittagong - Shah Amanat Airport bd</t>
  </si>
  <si>
    <t>Route PAP / CGQ - Changchun - Longjia Airport cn</t>
  </si>
  <si>
    <t>Route PAP / CGR - Campo Grande (MS) - Campo Grande Airport br</t>
  </si>
  <si>
    <t>Route PAP / CHC - Christchurch - Christchurch Airport nz</t>
  </si>
  <si>
    <t>Route PAP / CHQ - Chania - Ioannis Daskalogiannis Airport gr</t>
  </si>
  <si>
    <t>Route PAP / CHS - Charleston (SC) - Charleston Airport us</t>
  </si>
  <si>
    <t>Route PAP / CIX - Chiclayo - Cap. FAP José A. Quiñones Gonzales Airport pe</t>
  </si>
  <si>
    <t>Route PAP / CJC - Calama - El Loa Airport cl</t>
  </si>
  <si>
    <t>Route PAP / CJS - Ciudad Juárez - Abraham González Airport mx</t>
  </si>
  <si>
    <t>Route PAP / CJU - Jeju - Jeju Airport kr</t>
  </si>
  <si>
    <t>Route PAP / CKG - Chongqing - Jiangbei Airport cn</t>
  </si>
  <si>
    <t>Route PAP / CLO - Cali - Alfonso Bonilla Aragón Airport co</t>
  </si>
  <si>
    <t>Route PAP / CLT - Charlotte (NC) - Charlotte/Douglas Airport us</t>
  </si>
  <si>
    <t>Route PAP / CMN - Casablanca - Mohammed V Airport ma</t>
  </si>
  <si>
    <t>Route PAP / CNF - Belo Horizonte (MG) - Tancredo Neves Airport br</t>
  </si>
  <si>
    <t>Route PAP / COR - Córdoba - Ingeniero Aeronáutico Ambrosio L.V. Taravella Airport ar</t>
  </si>
  <si>
    <t>Route PAP / CPH - Copenhagen - Kobenhavns Airport dk</t>
  </si>
  <si>
    <t>Route PAP / CPT - Cape Town - Cape Town Airport za</t>
  </si>
  <si>
    <t>Route PAP / CRD - Comodoro Rivadavia - General Enrique Mosconi Airport ar</t>
  </si>
  <si>
    <t>Route PAP / CRL - Charleroi - Charleroi Bruxelles Airport be</t>
  </si>
  <si>
    <t>Route PAP / CTG - Carthagène des Indes - Rafael Núñez Airport co</t>
  </si>
  <si>
    <t>Route PAP / CTS - Sapporo - New Chitose Airport jp</t>
  </si>
  <si>
    <t>Route PAP / CTU - Chengdu - Shuangliu Airport cn</t>
  </si>
  <si>
    <t>Route PAP / CUN - Cancún - Cancun Airport mx</t>
  </si>
  <si>
    <t>Route PAP / CUZ - Cuzco - Alejandro Velasco Astete Airport pe</t>
  </si>
  <si>
    <t>Route PAP / DAC - Dhaka - Hazrat Shahjalal Airport bd</t>
  </si>
  <si>
    <t>Route PAP / DAL - Dallas (TX) - Love Field Airport us</t>
  </si>
  <si>
    <t>Route PAP / DAM - Damascus - Damascus Airport sy</t>
  </si>
  <si>
    <t>Route PAP / DAR - Dar es Salaam - Julius Nyerere Airport tz</t>
  </si>
  <si>
    <t>Route PAP / DEL - Delhi - Indira Gandhi Airport in</t>
  </si>
  <si>
    <t>Route PAP / DEN - Denver (CO) - Denver Airport us</t>
  </si>
  <si>
    <t>Route PAP / DFW - Dallas/Fort Worth (TX) - Dallas/Fort Worth Airport us</t>
  </si>
  <si>
    <t>Route PAP / DIR - Dire Dawa - Aba Tenna Dejazmach Yilma Airport et</t>
  </si>
  <si>
    <t>Route PAP / DJE - Djerba - Zarzis Airport tn</t>
  </si>
  <si>
    <t>Route PAP / DLA - Douala - Douala Airport cm</t>
  </si>
  <si>
    <t>Route PAP / DLC - Dalian - Zhoushuizi Airport cn</t>
  </si>
  <si>
    <t>Route PAP / DLM - Dalaman - Dalaman Airport tr</t>
  </si>
  <si>
    <t>Route PAP / DMM - Dammam - King Fahd Airport sa</t>
  </si>
  <si>
    <t>Route PAP / DNK - Dnipro - Dnipropetrovsk Airport ua</t>
  </si>
  <si>
    <t>Route PAP / DOH - Doha - Hamad Airport qa</t>
  </si>
  <si>
    <t>Route PAP / DSS - Dakar - Blaise Diagne Airport sn</t>
  </si>
  <si>
    <t>Route PAP / DTW - Detroit (MI) - Metropolitan Wayne County Airport us</t>
  </si>
  <si>
    <t>Route PAP / DUB - Dublin - Dublin Airport ie</t>
  </si>
  <si>
    <t>Route PAP / DUR - Durban - King Shaka Airport za</t>
  </si>
  <si>
    <t>Route PAP / DUS - Düsseldorf - Düsseldorf Airport de</t>
  </si>
  <si>
    <t>Route PAP / DXB - Dubai - Dubai Airport ae</t>
  </si>
  <si>
    <t>Route PAP / EAM - Najran - Najran Airport sa</t>
  </si>
  <si>
    <t>Route PAP / ECP - Panama City (FL) - Northwest Florida Beaches Airport us</t>
  </si>
  <si>
    <t>Route PAP / EDI - Edinburgh - Edinburgh Airport gb</t>
  </si>
  <si>
    <t>Route PAP / EDL - Eldoret - Eldoret Airport ke</t>
  </si>
  <si>
    <t>Route PAP / EIN - Eindhoven - Eindhoven Airport nl</t>
  </si>
  <si>
    <t>Route PAP / ELG - El Golea - El Golea Airport dz</t>
  </si>
  <si>
    <t>Route PAP / ELQ - Al-Qassim - Al-Qassim Airport sa</t>
  </si>
  <si>
    <t>Route PAP / EOH - Medellin - Enrique Olaya Herrera Airport co</t>
  </si>
  <si>
    <t>Route PAP / ERH - Errachidia - Moulay Ali Cherif Airport ma</t>
  </si>
  <si>
    <t>Route PAP / ESB - Ankara - Esenboga Airport tr</t>
  </si>
  <si>
    <t>Route PAP / EUN - Laayoune - Hassan Airport ma</t>
  </si>
  <si>
    <t>Route PAP / EVN - Yerevan - Zvartnots Airport am</t>
  </si>
  <si>
    <t>Route PAP / EWR - Newark (NJ) - Newark Liberty Airport us</t>
  </si>
  <si>
    <t>Route PAP / EZE - Buenos Aires - Ezeiza Ministro Pistarini Airport ar</t>
  </si>
  <si>
    <t>Route PAP / FAO - Faro - Faro Airport pt</t>
  </si>
  <si>
    <t>Route PAP / FCO - Fiumicino - Leonardo da Vinci Airport it</t>
  </si>
  <si>
    <t>Route PAP / FDF - Le Lamentin - Aimé Césaire Airport mq</t>
  </si>
  <si>
    <t>Route PAP / FEZ - Fès - Fès–Saïs Airport ma</t>
  </si>
  <si>
    <t>Route PAP / FLL - Fort Lauderdale (FL) - Hollywood Airport us</t>
  </si>
  <si>
    <t>Route PAP / FNA - Freetown - Freetown Lungi Airport sl</t>
  </si>
  <si>
    <t>Route PAP / FNC - Funchal - Madeira Santa Catarina Airport pt</t>
  </si>
  <si>
    <t>Route PAP / FOC - Fuzhou - Changle Airport cn</t>
  </si>
  <si>
    <t>Route PAP / FOR - Fortaleza (CE) - Pinto Martins Airport br</t>
  </si>
  <si>
    <t>Route PAP / FPO - Freeport - Grand Bahama Airport bs</t>
  </si>
  <si>
    <t>Route PAP / FRA - Frankfurt - Frankfurt am Main Airport de</t>
  </si>
  <si>
    <t>Route PAP / FTE - El Calafate - Comandante Armando Tola Airport ar</t>
  </si>
  <si>
    <t>Route PAP / FUK - Fukuoka - Fukuoka Airport jp</t>
  </si>
  <si>
    <t>Route PAP / GAF - Gafsa - Ksar Airport tn</t>
  </si>
  <si>
    <t>Route PAP / GAU - Guwahati - Lokpriya Gopinath Bordoloi Airport in</t>
  </si>
  <si>
    <t>Route PAP / GBE - Gaborone - Sir Seretse Khama Airport bw</t>
  </si>
  <si>
    <t>Route PAP / GDL - Guadalajara - Don Miguel Hidalgo y Costilla Airport mx</t>
  </si>
  <si>
    <t>Route PAP / GDN - Gdansk - Gdansk Lech Walesa Airport pl</t>
  </si>
  <si>
    <t>Route PAP / GGS - Gobernador Gregores - Gobernador Gregore Airport ar</t>
  </si>
  <si>
    <t>Route PAP / GHA - Ghardaia - Noumérat Moufdi Zakaria Airport dz</t>
  </si>
  <si>
    <t>Route PAP / GIG - Rio De Janeiro (RJ) - Galeão Antonio Carlos Jobim Airport br</t>
  </si>
  <si>
    <t>Route PAP / GIZ - Jizan - Jizan Airport sa</t>
  </si>
  <si>
    <t>Route PAP / GLA - Glasgow - Glasgow Airport gb</t>
  </si>
  <si>
    <t>Route PAP / GMP - Seoul - Gimpo Airport kr</t>
  </si>
  <si>
    <t>Route PAP / GOI - Goa - Dabolim Airport in</t>
  </si>
  <si>
    <t>Route PAP / GOT - Göteborg - Landvetter Airport se</t>
  </si>
  <si>
    <t>Route PAP / GRX - Granada - Federico García Lorca Airport es</t>
  </si>
  <si>
    <t>Route PAP / GUA - Guatemala - La Aurora Airport gt</t>
  </si>
  <si>
    <t>Route PAP / GUM - Agana - Antonio B. Won Pat Airport gu</t>
  </si>
  <si>
    <t>Route PAP / GVA - Geneva - Geneva Airport ch</t>
  </si>
  <si>
    <t>Route PAP / GYD - Baku - Heydar Aliyev Airport az</t>
  </si>
  <si>
    <t>Route PAP / GYE - Guayaquil - José Joaquín de Olmedo Airport ec</t>
  </si>
  <si>
    <t>Route PAP / HAM - Hamburg - Fuhlsbüttel Airport de</t>
  </si>
  <si>
    <t>Route PAP / HAV - Havana - José Martí Airport cu</t>
  </si>
  <si>
    <t>Route PAP / HBE - Alexandria - Borg El Arab Airport eg</t>
  </si>
  <si>
    <t>Route PAP / HEA - Herat - Herat Airport af</t>
  </si>
  <si>
    <t>Route PAP / HEL - Helsinki - Vantaa Airport fi</t>
  </si>
  <si>
    <t>Route PAP / HER - Heraklion - Nikos Kazantzakis Airport gr</t>
  </si>
  <si>
    <t>Route PAP / HET - Hohhot - Baita Airport cn</t>
  </si>
  <si>
    <t>Route PAP / HFE - Hefei - Luogang Airport cn</t>
  </si>
  <si>
    <t>Route PAP / HGH - Hangzhou - Xiaoshan Airport cn</t>
  </si>
  <si>
    <t>Route PAP / HKD - Hakodate - Hakodate Airport jp</t>
  </si>
  <si>
    <t>Route PAP / HLA - Johannesburg - Lanseria Airport za</t>
  </si>
  <si>
    <t>Route PAP / HND - Tokyo - Haneda Airport jp</t>
  </si>
  <si>
    <t>Route PAP / HNL - Honolulu (HI) - Honolulu Airport us</t>
  </si>
  <si>
    <t>Route PAP / HOI - Hao - Hao Airport pf</t>
  </si>
  <si>
    <t>Route PAP / HRB - Harbin - Taiping Airport cn</t>
  </si>
  <si>
    <t>Route PAP / HRE - Harare - Robert Gabriel Mugabe Airport zw</t>
  </si>
  <si>
    <t>Route PAP / HRG - Hurghada - Hurghada Airport eg</t>
  </si>
  <si>
    <t>Route PAP / HYD - Hyderabad - Rajiv Gandhi Airport in</t>
  </si>
  <si>
    <t>Route PAP / IAD - Washington D.C. (VA) - Dulles Airport us</t>
  </si>
  <si>
    <t>Route PAP / IAH - Houston (TX) - George Bush Airport us</t>
  </si>
  <si>
    <t>Route PAP / IBZ - Ibiza - Ibiza Airport es</t>
  </si>
  <si>
    <t>Route PAP / ICN - Seoul - Incheon Airport kr</t>
  </si>
  <si>
    <t>Route PAP / IFN - Esfahan - Shahid Beheshti Airport ir</t>
  </si>
  <si>
    <t>Route PAP / IGR - Iguazu - Cataratas del Iguazu Airport ar</t>
  </si>
  <si>
    <t>Route PAP / IKA - Tehran - Imam Khomeini Airport ir</t>
  </si>
  <si>
    <t>Route PAP / INC - Yinchuan - Hedong Airport cn</t>
  </si>
  <si>
    <t>Route PAP / INZ - In Salah - Tafsaout Airport dz</t>
  </si>
  <si>
    <t>Route PAP / IPC - Easter Island - Mataveri Airport cl</t>
  </si>
  <si>
    <t>Route PAP / IQQ - Iquique - Diego Aracena Airport cl</t>
  </si>
  <si>
    <t>Route PAP / ISB - Islamabad - Benazir Bhutto Airport pk</t>
  </si>
  <si>
    <t>Route PAP / IST - Istanbul - Istanbul Airport tr</t>
  </si>
  <si>
    <t>Route PAP / ITM - Osaka - Itami Airport jp</t>
  </si>
  <si>
    <t>Route PAP / ITO - Hilo (HI) - Hilo Airport us</t>
  </si>
  <si>
    <t>Route PAP / JAI - Jaipur - Jaipur Airport in</t>
  </si>
  <si>
    <t>Route PAP / JAU - Jauja - Francisco Carle Airport pe</t>
  </si>
  <si>
    <t>Route PAP / JED - Jeddah - King Abdulaziz Airport sa</t>
  </si>
  <si>
    <t>Route PAP / JFK - New York City - John F. Kennedy Airport us</t>
  </si>
  <si>
    <t>Route PAP / JIB - Djibouti - Ambouli Airport dj</t>
  </si>
  <si>
    <t>Route PAP / JNB - Johannesburg - Oliver Reginald Tambo Airport za</t>
  </si>
  <si>
    <t>Route PAP / JPA - João Pessoa - Presidente Castro Pinto Airport br</t>
  </si>
  <si>
    <t>Route PAP / JUL - Juliaca - Inca Manco Cápac Airport pe</t>
  </si>
  <si>
    <t>Route PAP / JZH - Jiuzhaigou - Huanglong Airport cn</t>
  </si>
  <si>
    <t>Route PAP / KAD - Kaduna - Kaduna Airport ng</t>
  </si>
  <si>
    <t>Route PAP / KAN - Kano - Mallam Aminu Airport ng</t>
  </si>
  <si>
    <t>Route PAP / KBL - Kabul - Khwaja Rawash Airport af</t>
  </si>
  <si>
    <t>Route PAP / KBP - Kiev - Boryspil Airport ua</t>
  </si>
  <si>
    <t>Route PAP / KDH - Kandahar - Kandahar Airport af</t>
  </si>
  <si>
    <t>Route PAP / KEF - Reykjavík - Keflavik Airport is</t>
  </si>
  <si>
    <t>Route PAP / KGF - Karaganda - Sary Arka Airport kz</t>
  </si>
  <si>
    <t>Route PAP / KHI - Karachi - Jinnah Airport pk</t>
  </si>
  <si>
    <t>Route PAP / KHN - Nanchang - Changbei Airport cn</t>
  </si>
  <si>
    <t>Route PAP / KIM - Kimberley - Kimberley Airport za</t>
  </si>
  <si>
    <t>Route PAP / KIX - Osaka - Kansai Airport jp</t>
  </si>
  <si>
    <t>Route PAP / KMG - Kunming - Kunming Changshui Airport cn</t>
  </si>
  <si>
    <t>Route PAP / KMJ - Mashiki - Kumamoto Airport jp</t>
  </si>
  <si>
    <t>Route PAP / KMQ - Komatsu - Komatsu Airport jp</t>
  </si>
  <si>
    <t>Route PAP / KOJ - Kirishima - Kagoshima Airport jp</t>
  </si>
  <si>
    <t>Route PAP / KRK - Kraków - Balice John Paul II Airport pl</t>
  </si>
  <si>
    <t>Route PAP / KSC - Kosice - Koaice Airport sk</t>
  </si>
  <si>
    <t>Route PAP / KTM - Kathmandu - Tribhuvan Airport np</t>
  </si>
  <si>
    <t>Route PAP / KTW - Katowice - Katowice Airport pl</t>
  </si>
  <si>
    <t>Route PAP / KWE - Guiyang - Longdongbao Airport cn</t>
  </si>
  <si>
    <t>Route PAP / KWI - Kuwait - Kuwait Airport kw</t>
  </si>
  <si>
    <t>Route PAP / KWJ - Gwangju - Gwangju Airport kr</t>
  </si>
  <si>
    <t>Route PAP / KWL - Guilin - Liangjiang Airport cn</t>
  </si>
  <si>
    <t>Route PAP / LAD - Luanda - Quatro de Fevereiro Airport ao</t>
  </si>
  <si>
    <t>Route PAP / LAS - Las Vegas (NV) - McCarran Airport us</t>
  </si>
  <si>
    <t>Route PAP / LAX - Los Angeles (CA) - Los Angeles Airport us</t>
  </si>
  <si>
    <t>Route PAP / LCA - Larnaca - Larnaca Airport cy</t>
  </si>
  <si>
    <t>Route PAP / LGB - Long Beach (CA) - Long Beach Municipal Airport us</t>
  </si>
  <si>
    <t>Route PAP / LGW - London - Gatwick Airport gb</t>
  </si>
  <si>
    <t>Route PAP / LHE - Lahore - Allama Iqbal Airport pk</t>
  </si>
  <si>
    <t>Route PAP / LHR - London - Heathrow Airport gb</t>
  </si>
  <si>
    <t>Route PAP / LHW - Lanzhou - Zhongchuan Airport cn</t>
  </si>
  <si>
    <t>Route PAP / LIM - Lima - Jorge Chávez Airport pe</t>
  </si>
  <si>
    <t>Route PAP / LIR - Liberia - Daniel Oduber Quirós Airport cr</t>
  </si>
  <si>
    <t>Route PAP / LIS - Lisbon - Portela Airport pt</t>
  </si>
  <si>
    <t>Route PAP / LJU - Ljubljana - Jože Pucnik Airport si</t>
  </si>
  <si>
    <t>Route PAP / LKO - Lucknow - Amausi Chaudhary Charan Singh Airport in</t>
  </si>
  <si>
    <t>Route PAP / LOO - Laghouat - Moulay Ahmed Medeghri Airport dz</t>
  </si>
  <si>
    <t>Route PAP / LOS - Lagos - Murtala Muhammed Airport ng</t>
  </si>
  <si>
    <t>Route PAP / LPA - Las Palmas - Gran Canaria Airport es</t>
  </si>
  <si>
    <t>Route PAP / LPB - La Paz - El Alto Airport bo</t>
  </si>
  <si>
    <t>Route PAP / LUX - Luxembourg - Findel Airport lu</t>
  </si>
  <si>
    <t>Route PAP / LXA - Lhasa - Lhasa Gonggar Airport cn</t>
  </si>
  <si>
    <t>Route PAP / LXR - Luxor - Luxor Airport eg</t>
  </si>
  <si>
    <t>Route PAP / LYS - Lyon - Lyon-Saint Exupéry Airport fr</t>
  </si>
  <si>
    <t>Route PAP / MAD - Madrid - Adolfo Suárez Madrid–Barajas Airport es</t>
  </si>
  <si>
    <t>Route PAP / MAN - Manchester - Manchester Airport gb</t>
  </si>
  <si>
    <t>Route PAP / MAO - Manaus (AM) - Eduardo Gomes Airport br</t>
  </si>
  <si>
    <t>Route PAP / MAR - Maracaibo - La Chinita Airport ve</t>
  </si>
  <si>
    <t>Route PAP / MBA - Mombasa - Moi Airport ke</t>
  </si>
  <si>
    <t>Route PAP / MBJ - Montego Bay - Sangster Airport jm</t>
  </si>
  <si>
    <t>Route PAP / MCO - Orlando (FL) - Orlando Airport us</t>
  </si>
  <si>
    <t>Route PAP / MCT - Muscat - Muscat Airport om</t>
  </si>
  <si>
    <t>Route PAP / MCZ - Maceió (AL) - Zumbi dos Palmares Airport br</t>
  </si>
  <si>
    <t>Route PAP / MDZ - Mendoza - Gobernador Francisco Gabrielli El Plumerillo Airport ar</t>
  </si>
  <si>
    <t>Route PAP / MEC - Manta - Eloy Alfaro Airport ec</t>
  </si>
  <si>
    <t>Route PAP / MED - Medina - Prince Mohammad bin Abdulaziz Airport sa</t>
  </si>
  <si>
    <t>Route PAP / MEM - Memphis (TN) - Memphis Airport us</t>
  </si>
  <si>
    <t>Route PAP / MEX - Mexico City - Benito Juárez Airport mx</t>
  </si>
  <si>
    <t>Route PAP / MHD - Mashad - Shahid Hashemi Nejad Airport ir</t>
  </si>
  <si>
    <t>Route PAP / MIA - Miami (FL) - Miami Airport us</t>
  </si>
  <si>
    <t>Route PAP / MID - Mérida - Manuel Crescencio Rejón Airport mx</t>
  </si>
  <si>
    <t>Route PAP / MIR - Monastir - Habib Bourguiba Airport tn</t>
  </si>
  <si>
    <t>Route PAP / MKE - Milwaukee (WI) - General Mitchell Airport us</t>
  </si>
  <si>
    <t>Route PAP / MLA - Malta - Malta Airport mt</t>
  </si>
  <si>
    <t>Route PAP / MMX - Malmo - Malmo Airport se</t>
  </si>
  <si>
    <t>Route PAP / MQP - Nelspruit - Kruger Mpumalanga Airport za</t>
  </si>
  <si>
    <t>Route PAP / MRS - Marseille - Provence Airport fr</t>
  </si>
  <si>
    <t>Route PAP / MRU - Plaisance - Sir Seewoosagur Ramgoolam Airport mu</t>
  </si>
  <si>
    <t>Route PAP / MSP - Minneapolis (MN) - Minneapolis–Saint Paul Airport us</t>
  </si>
  <si>
    <t>Route PAP / MSY - New Orleans (LA) - Louis Armstrong Airport us</t>
  </si>
  <si>
    <t>Route PAP / MTY - Monterrey - Mariano Escobedo Airport mx</t>
  </si>
  <si>
    <t>Route PAP / MUC - Munich - Franz Josef Strauß Airport de</t>
  </si>
  <si>
    <t>Route PAP / MVD - Montevideo - Carrasco General Cesáreo L. Berisso Airport uy</t>
  </si>
  <si>
    <t>Route PAP / MXL - Mexicali - General Rodolfo Sánchez Taboada Airport mx</t>
  </si>
  <si>
    <t>Route PAP / MXP - Milan - Malpensa Città di Milano Airport it</t>
  </si>
  <si>
    <t>Route PAP / MZI - Mopti - Ambodedjo Airport ml</t>
  </si>
  <si>
    <t>Route PAP / MZR - Mazar I Sharif - Mazar I Sharif Airport af</t>
  </si>
  <si>
    <t>Route PAP / MZT - Mazatlán - General Rafael Buelna Airport mx</t>
  </si>
  <si>
    <t>Route PAP / NAG - Nagpur - Dr. Babasaheb Ambedkar Airport in</t>
  </si>
  <si>
    <t>Route PAP / NAN - Nadi - Nadi Airport fj</t>
  </si>
  <si>
    <t>Route PAP / NAP - Naples - Capodichino Ugo Niutta Airport it</t>
  </si>
  <si>
    <t>Route PAP / NAS - Nassau - Lynden Pindling Airport bs</t>
  </si>
  <si>
    <t>Route PAP / NAT - Natal (RN) - Augusto Severo Airport br</t>
  </si>
  <si>
    <t>Route PAP / NBO - Nairobi - Jomo Kenyatta Airport ke</t>
  </si>
  <si>
    <t>Route PAP / NCE - Nice - Côte dAzur Airport fr</t>
  </si>
  <si>
    <t>Route PAP / NDR - Nador - Nador Airport ma</t>
  </si>
  <si>
    <t>Route PAP / NGB - Ningbo - Lishe Airport cn</t>
  </si>
  <si>
    <t>Route PAP / NGE - Ngaoundere - Ngaoundéré Airport cm</t>
  </si>
  <si>
    <t>Route PAP / NGO - Nagoya - Chubu Centrair Airport jp</t>
  </si>
  <si>
    <t>Route PAP / NGS - Nagasaki - Nagasaki Airport jp</t>
  </si>
  <si>
    <t>Route PAP / NKC - Nouakchott - Nouakchott Airport mr</t>
  </si>
  <si>
    <t>Route PAP / NKG - Nanjing - Lukou Airport cn</t>
  </si>
  <si>
    <t>Route PAP / NOU - Nouméa - La Tontouta Airport nc</t>
  </si>
  <si>
    <t>Route PAP / NOV - Huambo - Nova Lisboa Airport ao</t>
  </si>
  <si>
    <t>Route PAP / NQN - Neuquén - Presidente Perón Airport ar</t>
  </si>
  <si>
    <t>Route PAP / NRT - Tokyo - Narita Airport jp</t>
  </si>
  <si>
    <t>Route PAP / NTY - Pilanesberg - Pilanesberg Airport za</t>
  </si>
  <si>
    <t>Route PAP / NYO - Stockholm - Skavsta Airport se</t>
  </si>
  <si>
    <t>Route PAP / OAK - Oakland (CA) - Metropolitan Airport us</t>
  </si>
  <si>
    <t>Route PAP / ODS - Odessa - Odessa Airport ua</t>
  </si>
  <si>
    <t>Route PAP / OIT - Oita - Oita Airport jp</t>
  </si>
  <si>
    <t>Route PAP / OKA - Okinawa - Naha Airport jp</t>
  </si>
  <si>
    <t>Route PAP / OPO - Porto - Francisco Sá Carneiro Airport pt</t>
  </si>
  <si>
    <t>Route PAP / ORD - Chicago (IL) - OHare Airport us</t>
  </si>
  <si>
    <t>Route PAP / ORY - Paris - Orly Airport fr</t>
  </si>
  <si>
    <t>Route PAP / OSL - Oslo - Gardermoen Airport no</t>
  </si>
  <si>
    <t>Route PAP / OTP - Bucharest - Henri-Coanda Airport ro</t>
  </si>
  <si>
    <t>Route PAP / OUA - Ouagadougou - Ouagadougou Airport bf</t>
  </si>
  <si>
    <t>Route PAP / OUD - Oujda - Angads Airport ma</t>
  </si>
  <si>
    <t>Route PAP / OXB - Bissau - Osvaldo Vieira Airport gw</t>
  </si>
  <si>
    <t>Route PAP / OZZ - Ouarzazate - Ouarzazate Airport ma</t>
  </si>
  <si>
    <t>Route PAP / PBM - Paramaribo - Johan Adolf Pengel Lufthaven Airport sr</t>
  </si>
  <si>
    <t>Route PAP / PCL - Pucallpa - Captain Rolden Airport pe</t>
  </si>
  <si>
    <t>Route PAP / PDX - Portland (OR) - Portland Airport us</t>
  </si>
  <si>
    <t>Route PAP / PEM - Puerto Maldonado - Padre Aldamiz Airport pe</t>
  </si>
  <si>
    <t>Route PAP / PFO - Paphos - Paphos Airport cy</t>
  </si>
  <si>
    <t>Route PAP / PHC - Port Harcourt - Port Harcourt Airport ng</t>
  </si>
  <si>
    <t>Route PAP / PHL - Philadelphia (PA) - Philadelphia Airport us</t>
  </si>
  <si>
    <t>Route PAP / PHX - Phoenix (AZ) - Phoenix Sky Harbor Airport us</t>
  </si>
  <si>
    <t>Route PAP / PKX - Beijing - Beijing Daxing Airport cn</t>
  </si>
  <si>
    <t>Route PAP / PLU - Belo Horizonte (MG) - Pampulha Airport br</t>
  </si>
  <si>
    <t>Route PAP / PMC - Puerto Montt - El Tepual Airport cl</t>
  </si>
  <si>
    <t>Route PAP / PMI - Palma Mallorca - Palma de Mallorca Airport es</t>
  </si>
  <si>
    <t>Route PAP / PMV - Porlamar - Caribe Santiago Mariño Airport ve</t>
  </si>
  <si>
    <t>Route PAP / PNQ - Pune - Pune Airport in</t>
  </si>
  <si>
    <t>Route PAP / PNZ - Petrolina (PE) - Juazeiro Airport br</t>
  </si>
  <si>
    <t>Route PAP / POS - Piarco - Piarco Airport tt</t>
  </si>
  <si>
    <t>Route PAP / POZ - Poznan - Poznan Airport pl</t>
  </si>
  <si>
    <t>Route PAP / PPG - Pago Pago - Tafuna Airport as</t>
  </si>
  <si>
    <t>Route PAP / PPT - Faaa - Tahiti Airport pf</t>
  </si>
  <si>
    <t>Route PAP / PRG - Prague - Vaclav Havel Airport cz</t>
  </si>
  <si>
    <t>Route PAP / PTG - Pietersburg - Polokwane Airport za</t>
  </si>
  <si>
    <t>Route PAP / PTP - Pointe-à-Pitre - Pointe-à-Pitre Airport gp</t>
  </si>
  <si>
    <t>Route PAP / PTY - Panama - Tocumen Airport pa</t>
  </si>
  <si>
    <t>Route PAP / PUJ - Punta Cana - Punta Cana Airport do</t>
  </si>
  <si>
    <t>Route PAP / PUQ - Punta Arenas - Presidente Carlos Ibáñez del Campo Airport cl</t>
  </si>
  <si>
    <t>Route PAP / PUS - Busan - Gimhae Airport kr</t>
  </si>
  <si>
    <t>Route PAP / PVG - Shanghai - Pudong Airport cn</t>
  </si>
  <si>
    <t>Route PAP / PVR - Puerto Vallarta - Licenciado Gustavo Díaz Ordaz Airport mx</t>
  </si>
  <si>
    <t>Route PAP / RAK - Marrakech - Menara Airport ma</t>
  </si>
  <si>
    <t>Route PAP / RBA - Rabat - Salé Airport ma</t>
  </si>
  <si>
    <t>Route PAP / REC - Recife (PE) - Guararapes Gilberto Freyre Airport br</t>
  </si>
  <si>
    <t>Route PAP / REL - Trelew - Almirante Marco Andrés Zar Airport ar</t>
  </si>
  <si>
    <t>Route PAP / RGL - Rio Gallegos - Piloto Civil Norberto Fernández Airport ar</t>
  </si>
  <si>
    <t>Route PAP / RHO - Rhodes - Diagoras Airport gr</t>
  </si>
  <si>
    <t>Route PAP / RIX - Riga - Riga Airport lv</t>
  </si>
  <si>
    <t>Route PAP / RMQ - Taichung - Taichung Airport tw</t>
  </si>
  <si>
    <t>Route PAP / ROS - Rosario - Islas Malvinas Airport ar</t>
  </si>
  <si>
    <t>Route PAP / RUH - Riyadh - King Khalid Airport sa</t>
  </si>
  <si>
    <t>Route PAP / RUN - Saint-Denis - Roland Garros Airport re</t>
  </si>
  <si>
    <t>Route PAP / SAH - Sanaa - Sana'a Airport ye</t>
  </si>
  <si>
    <t>Route PAP / SAL - Salvador - El Salvador Airport sv</t>
  </si>
  <si>
    <t>Route PAP / SAN - San Diego (CA) - San Diego Airport us</t>
  </si>
  <si>
    <t>Route PAP / SAW - Istanbul - Sabiha Gökçen Airport tr</t>
  </si>
  <si>
    <t>Route PAP / SCL - Santiago - Comodoro Arturo Merino Benítez Airport cl</t>
  </si>
  <si>
    <t>Route PAP / SCQ - Santiago De Compostela - Santiago de Compostela Airport es</t>
  </si>
  <si>
    <t>Route PAP / SDD - Lubango - Lubango Airport ao</t>
  </si>
  <si>
    <t>Route PAP / SDJ - Sendai - Sendai Airport jp</t>
  </si>
  <si>
    <t>Route PAP / SEA - Seattle (WA) - Seattle–Tacoma Airport us</t>
  </si>
  <si>
    <t>Route PAP / SEZ - Victoria - Pointe Larue Airport sc</t>
  </si>
  <si>
    <t>Route PAP / SFO - San Francisco (CA) - San Francisco Airport us</t>
  </si>
  <si>
    <t>Route PAP / SHA - Shanghai - Hongqiao Airport cn</t>
  </si>
  <si>
    <t>Route PAP / SHE - Shenyang - Taoxian Airport cn</t>
  </si>
  <si>
    <t>Route PAP / SHJ - Sharjah - Sharjah Airport ae</t>
  </si>
  <si>
    <t>Route PAP / SID - Sal - Amílcar Cabral Airport cv</t>
  </si>
  <si>
    <t>Route PAP / SJD - San José del Cabo - Los Cabos Airport mx</t>
  </si>
  <si>
    <t>Route PAP / SJK - São José dos Campos (SP) - Professor Urbano Ernesto Stumpf Estadual Airport br</t>
  </si>
  <si>
    <t>Route PAP / SJO - San José - Juan Santamaría Airport cr</t>
  </si>
  <si>
    <t>Route PAP / SJU - San Juan - Luis Muñoz Marín Airport pr</t>
  </si>
  <si>
    <t>Route PAP / SJW - Shijiazhuang - Daguocun Airport cn</t>
  </si>
  <si>
    <t>Route PAP / SKD - Samarkand - Samarkand Airport uz</t>
  </si>
  <si>
    <t>Route PAP / SLC - Salt Lake City (UT) - Salt Lake City Airport us</t>
  </si>
  <si>
    <t>Route PAP / SNN - Shannon - Shannon Airport ie</t>
  </si>
  <si>
    <t>Route PAP / SOF - Sofia - Sofia Airport bg</t>
  </si>
  <si>
    <t>Route PAP / SPN - Saipan Island - Saipan Airport mp</t>
  </si>
  <si>
    <t>Route PAP / SPP - Menongue - Menongue Airport ao</t>
  </si>
  <si>
    <t>Route PAP / SRE - Sucre - Juana Azurduy de Padilla Airport bo</t>
  </si>
  <si>
    <t>Route PAP / SRZ - Santa Cruz de la Sierra - El Trompillo Airport bo</t>
  </si>
  <si>
    <t>Route PAP / SSA - Salvador (BA) - Deputado Luís Eduardo Magalhães Airport br</t>
  </si>
  <si>
    <t>Route PAP / SSH - Sharm El Sheikh - Sheikh Airport eg</t>
  </si>
  <si>
    <t>Route PAP / STN - London - Stansted Airport gb</t>
  </si>
  <si>
    <t>Route PAP / STR - Stuttgart - Echterdingen Airport de</t>
  </si>
  <si>
    <t>Route PAP / SVG - Stavanger - Sola Airport no</t>
  </si>
  <si>
    <t>Route PAP / SVO - Moscow - Sheremetyevo Airport ru</t>
  </si>
  <si>
    <t>Route PAP / SVQ - Seville - Sevilla Airport es</t>
  </si>
  <si>
    <t>Route PAP / SYR - Syracuse (NY) - Hancock Airport us</t>
  </si>
  <si>
    <t>Route PAP / SYZ - Shiraz - Shahid Dastghaib Airport ir</t>
  </si>
  <si>
    <t>Route PAP / SZG - Salzburg - Wolfgang Amadeus Mozart Airport at</t>
  </si>
  <si>
    <t>Route PAP / TAO - Qingdao - Liuting Airport cn</t>
  </si>
  <si>
    <t>Route PAP / TAS - Tashkent - Yuzhniy Airport uz</t>
  </si>
  <si>
    <t>Route PAP / TBS - Tbilisi - Tbilisi Airport ge</t>
  </si>
  <si>
    <t>Route PAP / TBU - Fuaamotu - Fua'amotu Airport to</t>
  </si>
  <si>
    <t>Route PAP / TCP - Taba - Taba Airport eg</t>
  </si>
  <si>
    <t>Route PAP / TER - Terceira - Lajes Airport pt</t>
  </si>
  <si>
    <t>Route PAP / TFN - Tenerife - Tenerife Norte Airport es</t>
  </si>
  <si>
    <t>Route PAP / TFS - Tenerife - Tenerife Sur Airport es</t>
  </si>
  <si>
    <t>Route PAP / TGR - Touggourt - Sidi Mahdi Airport dz</t>
  </si>
  <si>
    <t>Route PAP / THR - Tehran - Mehrabad Airport ir</t>
  </si>
  <si>
    <t>Route PAP / TID - Tiaret - Bou Chekif Airport dz</t>
  </si>
  <si>
    <t>Route PAP / TIJ - Tijuana - General Abelardo L. Rodríguez Airport mx</t>
  </si>
  <si>
    <t>Route PAP / TIP - Tripoli - Tripoli Airport ly</t>
  </si>
  <si>
    <t>Route PAP / TIQ - Tinian Island - Tinian Airport mp</t>
  </si>
  <si>
    <t>Route PAP / TJA - Tarija - Capitán Oriel Lea Plaza Airport bo</t>
  </si>
  <si>
    <t>Route PAP / TLC - Toluca - Licenciado Adolfo López Mateos Airport mx</t>
  </si>
  <si>
    <t>Route PAP / TLL - Tallinn - Tallinn Lennart Meri Airport ee</t>
  </si>
  <si>
    <t>Route PAP / TLS - Toulouse - Blagnac Airport fr</t>
  </si>
  <si>
    <t>Route PAP / TLV - Tel Aviv - Ben Gurion Airport il</t>
  </si>
  <si>
    <t>Route PAP / TMR - Tamanrasset - Aguenar Hadj Bey Akhamok Airport dz</t>
  </si>
  <si>
    <t>Route PAP / TMX - Timimoun - Timimoun Airport dz</t>
  </si>
  <si>
    <t>Route PAP / TNA - Jinan - Yaoqiang Airport cn</t>
  </si>
  <si>
    <t>Route PAP / TNG - Tangier - Boukhalef Airport ma</t>
  </si>
  <si>
    <t>Route PAP / TNR - Antananarivo - Ivato Airport mg</t>
  </si>
  <si>
    <t>Route PAP / TPE - Taipei - Taiwan Taoyuan Airport tw</t>
  </si>
  <si>
    <t>Route PAP / TPP - Tarapoto - Cad. FAP Guillermo del Castillo Paredes Airport pe</t>
  </si>
  <si>
    <t>Route PAP / TRD - Trondheim - Trondheim Airport no</t>
  </si>
  <si>
    <t>Route PAP / TRF - Oslo - Sandefjord Airport no</t>
  </si>
  <si>
    <t>Route PAP / TRU - Trujillo - Cap. FAP Carlos Martínez de Pinillos Airport pe</t>
  </si>
  <si>
    <t>Route PAP / TSA - Taipei - Taipei Songshan Airport tw</t>
  </si>
  <si>
    <t>Route PAP / TSE - Nur-Sultan - Nursultan Nazarbayev Airport kz</t>
  </si>
  <si>
    <t>Route PAP / TSN - Tianjin - Binhai Airport cn</t>
  </si>
  <si>
    <t>Route PAP / TUN - Tunis - Carthage Airport tn</t>
  </si>
  <si>
    <t>Route PAP / TXL - Berlin - Tegel Otto Lilienthal Airport de</t>
  </si>
  <si>
    <t>Route PAP / TYN - Taiyuan - Wusu Airport cn</t>
  </si>
  <si>
    <t>Route PAP / TZX - Trabzon - Trabzon Airport tr</t>
  </si>
  <si>
    <t>Route PAP / UIO - Quito - Mariscal Sucre Airport ec</t>
  </si>
  <si>
    <t>Route PAP / URC - Urumqi - Diwopu Airport cn</t>
  </si>
  <si>
    <t>Route PAP / USH - Ushuaia - Malvinas Argentinas Airport ar</t>
  </si>
  <si>
    <t>Route PAP / UTN - Upington - Upington Airport za</t>
  </si>
  <si>
    <t>Route PAP / UYL - Nyala - Nyala Airport sd</t>
  </si>
  <si>
    <t>Route PAP / VCE - Venice - Tessera Marco Polo Airport it</t>
  </si>
  <si>
    <t>Route PAP / VCP - Campinas (SP) - Viracopos Airport br</t>
  </si>
  <si>
    <t>Route PAP / VHC - Saurimo - Saurimo Airport ao</t>
  </si>
  <si>
    <t>Route PAP / VIE - Vienna - Vienna Airport at</t>
  </si>
  <si>
    <t>Route PAP / VIL - Dakhla - Dakhla Airport ma</t>
  </si>
  <si>
    <t>Route PAP / VKO - Moscow - Vnukovo Airport ru</t>
  </si>
  <si>
    <t>Route PAP / VLC - Valencia - Valencia Airport es</t>
  </si>
  <si>
    <t>Route PAP / VLI - Port Vila - Bauerfield Airport vu</t>
  </si>
  <si>
    <t>Route PAP / VLN - Valencia - Arturo Michelena Airport ve</t>
  </si>
  <si>
    <t>Route PAP / VNO - Vilnius - Vilnius Airport lt</t>
  </si>
  <si>
    <t>Route PAP / VPE - Ongiva - Ondjiva Pereira Airport ao</t>
  </si>
  <si>
    <t>Route PAP / VTZ - Vishakhapatnam - Visakhapatnam Airport in</t>
  </si>
  <si>
    <t>Route PAP / VVI - Santa Cruz - Viru Viru Airport bo</t>
  </si>
  <si>
    <t>Route PAP / VVO - Vladivostok - Vladivostok Airport ru</t>
  </si>
  <si>
    <t>Route PAP / VXC - Lichinga - Lichinga Airport mz</t>
  </si>
  <si>
    <t>Route PAP / WAW - Warsaw - Frederic Chopin Airport pl</t>
  </si>
  <si>
    <t>Route PAP / WUH - Wuhan - Tianhe Airport cn</t>
  </si>
  <si>
    <t>Route PAP / WUX - Wuxi - Shuofang Airport cn</t>
  </si>
  <si>
    <t>Route PAP / XIY - Xian - Xianyang Airport cn</t>
  </si>
  <si>
    <t>Route PAP / XMN - Xiamen - Gaoqi Airport cn</t>
  </si>
  <si>
    <t>Route PAP / XNN - Xining - Caojiabao Airport cn</t>
  </si>
  <si>
    <t>Route PAP / YEG - Edmonton (AB) - Edmonton Airport ca</t>
  </si>
  <si>
    <t>Route PAP / YHZ - Halifax (NS) - Robert L. Stanfield Airport ca</t>
  </si>
  <si>
    <t>Route PAP / YLW - Kelowna (BC) - Kelowna Airport ca</t>
  </si>
  <si>
    <t>Route PAP / YOL - Yola - Yola Airport ng</t>
  </si>
  <si>
    <t>Route PAP / YOW - Ottawa (ON) - Macdonald Airport ca</t>
  </si>
  <si>
    <t>Route PAP / YUL - Montreal (QC) - Montréal–Trudeau Airport ca</t>
  </si>
  <si>
    <t>Route PAP / YVR - Vancouver (BC) - Vancouver Airport ca</t>
  </si>
  <si>
    <t>Route PAP / YWG - Winnipeg (MB) - James Armstrong Richardson Airport ca</t>
  </si>
  <si>
    <t>Route PAP / YYC - Calgary (AB) - Calgary Airport ca</t>
  </si>
  <si>
    <t>Route PAP / YYT - St John´s (NL) - St John´s Airport ca</t>
  </si>
  <si>
    <t>Route PAP / YYZ - Toronto (ON) - Lester B. Pearson Airport ca</t>
  </si>
  <si>
    <t>Route PAP / ZAG - Zagreb - Zagreb Pleso Airport hr</t>
  </si>
  <si>
    <t>Route PAP / ZRH - Zürich - Kloten Airport ch</t>
  </si>
  <si>
    <t>Route PAP / ZYL - Sylhet - Osmani Airport bd</t>
  </si>
  <si>
    <t>A</t>
  </si>
  <si>
    <t xml:space="preserve">ABC </t>
  </si>
  <si>
    <t>#</t>
  </si>
  <si>
    <t>INFO</t>
  </si>
  <si>
    <t>AIRCRAFT</t>
  </si>
  <si>
    <t>DIV</t>
  </si>
  <si>
    <t>CURRENT</t>
  </si>
  <si>
    <t>IDEAL</t>
  </si>
  <si>
    <t>SEAT REV
(IF IDEAL $)</t>
  </si>
  <si>
    <t>$ DELTA</t>
  </si>
  <si>
    <t>DELTA</t>
  </si>
  <si>
    <t>  BOM in</t>
  </si>
  <si>
    <t>  CGK id</t>
  </si>
  <si>
    <t>  DME ru</t>
  </si>
  <si>
    <t>  GRU br</t>
  </si>
  <si>
    <t>  MPM mz</t>
  </si>
  <si>
    <t>  PAP ht</t>
  </si>
  <si>
    <t>  PEK cn</t>
  </si>
  <si>
    <t>$ / Seat</t>
  </si>
  <si>
    <t>Boeing - P</t>
  </si>
  <si>
    <t>Country ▾</t>
  </si>
  <si>
    <t>Hub</t>
  </si>
  <si>
    <t>Category</t>
  </si>
  <si>
    <t>Cat.7</t>
  </si>
  <si>
    <t>★★</t>
  </si>
  <si>
    <t>28h30</t>
  </si>
  <si>
    <t>Cat.9</t>
  </si>
  <si>
    <t>27h45</t>
  </si>
  <si>
    <t>27h30</t>
  </si>
  <si>
    <t>Cat.10</t>
  </si>
  <si>
    <t>★★★</t>
  </si>
  <si>
    <t>27h15</t>
  </si>
  <si>
    <t>11h45</t>
  </si>
  <si>
    <t>31h45</t>
  </si>
  <si>
    <t>31h00</t>
  </si>
  <si>
    <t>★</t>
  </si>
  <si>
    <t>30h45</t>
  </si>
  <si>
    <t>Cat.8</t>
  </si>
  <si>
    <t>30h30</t>
  </si>
  <si>
    <t>30h00</t>
  </si>
  <si>
    <t>30h15</t>
  </si>
  <si>
    <t>29h30</t>
  </si>
  <si>
    <t>29h00</t>
  </si>
  <si>
    <t>28h15</t>
  </si>
  <si>
    <t>★★★★</t>
  </si>
  <si>
    <t>28h00</t>
  </si>
  <si>
    <t>26h45</t>
  </si>
  <si>
    <t>26h15</t>
  </si>
  <si>
    <t>25h30</t>
  </si>
  <si>
    <t>24h45</t>
  </si>
  <si>
    <t>24h00</t>
  </si>
  <si>
    <t>23h30</t>
  </si>
  <si>
    <t>22h45</t>
  </si>
  <si>
    <t>32h15</t>
  </si>
  <si>
    <t>10h30</t>
  </si>
  <si>
    <t>9h15</t>
  </si>
  <si>
    <t>9h00</t>
  </si>
  <si>
    <t>7h00</t>
  </si>
  <si>
    <t>6h30</t>
  </si>
  <si>
    <t>6h15</t>
  </si>
  <si>
    <t>4h45</t>
  </si>
  <si>
    <t>4h15</t>
  </si>
  <si>
    <t>3h45</t>
  </si>
  <si>
    <t>★★★★★</t>
  </si>
  <si>
    <t>2h45</t>
  </si>
  <si>
    <t>31h15</t>
  </si>
  <si>
    <t>22h00</t>
  </si>
  <si>
    <t>21h30</t>
  </si>
  <si>
    <t>35h15</t>
  </si>
  <si>
    <t>35h00</t>
  </si>
  <si>
    <t>27h00</t>
  </si>
  <si>
    <t>34h30</t>
  </si>
  <si>
    <t>33h15</t>
  </si>
  <si>
    <t>32h30</t>
  </si>
  <si>
    <t>31h30</t>
  </si>
  <si>
    <t>14h45</t>
  </si>
  <si>
    <t>18h00</t>
  </si>
  <si>
    <t>17h30</t>
  </si>
  <si>
    <t>34h45</t>
  </si>
  <si>
    <t>34h15</t>
  </si>
  <si>
    <t>33h30</t>
  </si>
  <si>
    <t>29h45</t>
  </si>
  <si>
    <t>25h15</t>
  </si>
  <si>
    <t>24h30</t>
  </si>
  <si>
    <t>23h00</t>
  </si>
  <si>
    <t>22h15</t>
  </si>
  <si>
    <t>26h30</t>
  </si>
  <si>
    <t>25h45</t>
  </si>
  <si>
    <t>24h15</t>
  </si>
  <si>
    <t>23h45</t>
  </si>
  <si>
    <t>22h30</t>
  </si>
  <si>
    <t>21h45</t>
  </si>
  <si>
    <t>21h15</t>
  </si>
  <si>
    <t>21h00</t>
  </si>
  <si>
    <t>20h45</t>
  </si>
  <si>
    <t>20h30</t>
  </si>
  <si>
    <t>20h15</t>
  </si>
  <si>
    <t>20h00</t>
  </si>
  <si>
    <t>19h45</t>
  </si>
  <si>
    <t>19h30</t>
  </si>
  <si>
    <t>19h15</t>
  </si>
  <si>
    <t>18h45</t>
  </si>
  <si>
    <t>18h30</t>
  </si>
  <si>
    <t>18h15</t>
  </si>
  <si>
    <t>34h00</t>
  </si>
  <si>
    <t>33h00</t>
  </si>
  <si>
    <t>26h00</t>
  </si>
  <si>
    <t>35h30</t>
  </si>
  <si>
    <t>33h45</t>
  </si>
  <si>
    <t>29h15</t>
  </si>
  <si>
    <t>32h00</t>
  </si>
  <si>
    <t>32h45</t>
  </si>
  <si>
    <t>17h15</t>
  </si>
  <si>
    <t>15h30</t>
  </si>
  <si>
    <t>13h45</t>
  </si>
  <si>
    <t>25h00</t>
  </si>
  <si>
    <t>23h15</t>
  </si>
  <si>
    <t>16h15</t>
  </si>
  <si>
    <t>16h00</t>
  </si>
  <si>
    <t>Jakarta - Soekarno-Hatta Intl</t>
  </si>
  <si>
    <t>14h15</t>
  </si>
  <si>
    <t>14h00</t>
  </si>
  <si>
    <t>13h30</t>
  </si>
  <si>
    <t>13h15</t>
  </si>
  <si>
    <t>13h00</t>
  </si>
  <si>
    <t>12h45</t>
  </si>
  <si>
    <t>12h15</t>
  </si>
  <si>
    <t>12h00</t>
  </si>
  <si>
    <t>28h45</t>
  </si>
  <si>
    <t>19h00</t>
  </si>
  <si>
    <t>17h45</t>
  </si>
  <si>
    <t>16h45</t>
  </si>
  <si>
    <t>16h30</t>
  </si>
  <si>
    <t>6h45</t>
  </si>
  <si>
    <t>8h15</t>
  </si>
  <si>
    <t>15h15</t>
  </si>
  <si>
    <t>11h30</t>
  </si>
  <si>
    <t>10h00</t>
  </si>
  <si>
    <t>7h30</t>
  </si>
  <si>
    <t>17h00</t>
  </si>
  <si>
    <t>SYD/CBR</t>
  </si>
  <si>
    <t>SYD/MEL</t>
  </si>
  <si>
    <t>SYD/BNE</t>
  </si>
  <si>
    <t>SYD/AVV</t>
  </si>
  <si>
    <t>SYD/BHQ</t>
  </si>
  <si>
    <t>SYD/ADL</t>
  </si>
  <si>
    <t>SYD/ROK</t>
  </si>
  <si>
    <t>SYD/ISA</t>
  </si>
  <si>
    <t>SYD/CNS</t>
  </si>
  <si>
    <t>SYD/NOU</t>
  </si>
  <si>
    <t>SYD/CHC</t>
  </si>
  <si>
    <t>SYD/AKL</t>
  </si>
  <si>
    <t>SYD/AYQ</t>
  </si>
  <si>
    <t>SYD/VLI</t>
  </si>
  <si>
    <t>SYD/POM</t>
  </si>
  <si>
    <t>SYD/DRW</t>
  </si>
  <si>
    <t>SYD/NAN</t>
  </si>
  <si>
    <t>SYD/DCN</t>
  </si>
  <si>
    <t>SYD/PER</t>
  </si>
  <si>
    <t>SYD/TBU</t>
  </si>
  <si>
    <t>SYD/LEA</t>
  </si>
  <si>
    <t>SYD/APW</t>
  </si>
  <si>
    <t>SYD/PPG</t>
  </si>
  <si>
    <t>SYD/LOP</t>
  </si>
  <si>
    <t>SYD/UPG</t>
  </si>
  <si>
    <t>SYD/DPS</t>
  </si>
  <si>
    <t>SYD/MDC</t>
  </si>
  <si>
    <t>SYD/SUB</t>
  </si>
  <si>
    <t>SYD/SOC</t>
  </si>
  <si>
    <t>SYD/YIA</t>
  </si>
  <si>
    <t>SYD/SRG</t>
  </si>
  <si>
    <t>SYD/GES</t>
  </si>
  <si>
    <t>SYD/DVO</t>
  </si>
  <si>
    <t>SYD/GUM</t>
  </si>
  <si>
    <t>SYD/KJT</t>
  </si>
  <si>
    <t>SYD/TIQ</t>
  </si>
  <si>
    <t>SYD/ZAM</t>
  </si>
  <si>
    <t>SYD/SPN</t>
  </si>
  <si>
    <t>SYD/TWU</t>
  </si>
  <si>
    <t>SYD/HLP</t>
  </si>
  <si>
    <t>SYD/CGK</t>
  </si>
  <si>
    <t>SYD/CEB</t>
  </si>
  <si>
    <t>SYD/BTU</t>
  </si>
  <si>
    <t>SYD/SBW</t>
  </si>
  <si>
    <t>SYD/BWN</t>
  </si>
  <si>
    <t>SYD/BKI</t>
  </si>
  <si>
    <t>SYD/MYY</t>
  </si>
  <si>
    <t>SYD/PPS</t>
  </si>
  <si>
    <t>SYD/PPT</t>
  </si>
  <si>
    <t>SYD/MNL</t>
  </si>
  <si>
    <t>SYD/BTH</t>
  </si>
  <si>
    <t>SYD/SIN</t>
  </si>
  <si>
    <t>SYD/SFS</t>
  </si>
  <si>
    <t>SYD/JHB</t>
  </si>
  <si>
    <t>SYD/CRK</t>
  </si>
  <si>
    <t>SYD/PDG</t>
  </si>
  <si>
    <t>SYD/KUA</t>
  </si>
  <si>
    <t>SYD/KUL</t>
  </si>
  <si>
    <t>SYD/SZB</t>
  </si>
  <si>
    <t>SYD/LAO</t>
  </si>
  <si>
    <t>SYD/TGG</t>
  </si>
  <si>
    <t>SYD/CXR</t>
  </si>
  <si>
    <t>SYD/SGN</t>
  </si>
  <si>
    <t>SYD/KNO</t>
  </si>
  <si>
    <t>SYD/HOI</t>
  </si>
  <si>
    <t>SYD/PEN</t>
  </si>
  <si>
    <t>SYD/BMV</t>
  </si>
  <si>
    <t>SYD/AOR</t>
  </si>
  <si>
    <t>SYD/HDY</t>
  </si>
  <si>
    <t>SYD/LGK</t>
  </si>
  <si>
    <t>SYD/PNH</t>
  </si>
  <si>
    <t>SYD/KHH</t>
  </si>
  <si>
    <t>SYD/OKA</t>
  </si>
  <si>
    <t>SYD/DAD</t>
  </si>
  <si>
    <t>SYD/KBV</t>
  </si>
  <si>
    <t>SYD/RMQ</t>
  </si>
  <si>
    <t>SYD/HUI</t>
  </si>
  <si>
    <t>SYD/HKT</t>
  </si>
  <si>
    <t>SYD/REP</t>
  </si>
  <si>
    <t>SYD/TSA</t>
  </si>
  <si>
    <t>SYD/URT</t>
  </si>
  <si>
    <t>SYD/TPE</t>
  </si>
  <si>
    <t>SYD/SYX</t>
  </si>
  <si>
    <t>SYD/HAK</t>
  </si>
  <si>
    <t>SYD/XMN</t>
  </si>
  <si>
    <t>SYD/JJN</t>
  </si>
  <si>
    <t>SYD/HKG</t>
  </si>
  <si>
    <t>SYD/ZUH</t>
  </si>
  <si>
    <t>SYD/MFM</t>
  </si>
  <si>
    <t>SYD/UTP</t>
  </si>
  <si>
    <t>SYD/SZX</t>
  </si>
  <si>
    <t>SYD/FOC</t>
  </si>
  <si>
    <t>SYD/BKK</t>
  </si>
  <si>
    <t>SYD/CAN</t>
  </si>
  <si>
    <t>SYD/DMK</t>
  </si>
  <si>
    <t>SYD/BHY</t>
  </si>
  <si>
    <t>SYD/KOJ</t>
  </si>
  <si>
    <t>SYD/KMJ</t>
  </si>
  <si>
    <t>SYD/VTE</t>
  </si>
  <si>
    <t>SYD/NGB</t>
  </si>
  <si>
    <t>SYD/NGS</t>
  </si>
  <si>
    <t>SYD/NNG</t>
  </si>
  <si>
    <t>SYD/OIT</t>
  </si>
  <si>
    <t>SYD/JGS</t>
  </si>
  <si>
    <t>SYD/KIX</t>
  </si>
  <si>
    <t>SYD/HAN</t>
  </si>
  <si>
    <t>SYD/NGO</t>
  </si>
  <si>
    <t>SYD/FUK</t>
  </si>
  <si>
    <t>SYD/ITM</t>
  </si>
  <si>
    <t>SYD/HND</t>
  </si>
  <si>
    <t>SYD/NRT</t>
  </si>
  <si>
    <t>SYD/HGH</t>
  </si>
  <si>
    <t>SYD/PVG</t>
  </si>
  <si>
    <t>SYD/TXN</t>
  </si>
  <si>
    <t>SYD/KWL</t>
  </si>
  <si>
    <t>SYD/SHA</t>
  </si>
  <si>
    <t>SYD/KHN</t>
  </si>
  <si>
    <t>SYD/CJU</t>
  </si>
  <si>
    <t>SYD/WUX</t>
  </si>
  <si>
    <t>SYD/KMQ</t>
  </si>
  <si>
    <t>SYD/JIU</t>
  </si>
  <si>
    <t>SYD/IXZ</t>
  </si>
  <si>
    <t>SYD/AQG</t>
  </si>
  <si>
    <t>SYD/PUS</t>
  </si>
  <si>
    <t>SYD/CZX</t>
  </si>
  <si>
    <t>SYD/HIN</t>
  </si>
  <si>
    <t>SYD/CNX</t>
  </si>
  <si>
    <t>SYD/NKG</t>
  </si>
  <si>
    <t>SYD/SDJ</t>
  </si>
  <si>
    <t>SYD/CEI</t>
  </si>
  <si>
    <t>SYD/KWJ</t>
  </si>
  <si>
    <t>SYD/MWX</t>
  </si>
  <si>
    <t>SYD/TAE</t>
  </si>
  <si>
    <t>SYD/RGN</t>
  </si>
  <si>
    <t>SYD/HFE</t>
  </si>
  <si>
    <t>SYD/CGD</t>
  </si>
  <si>
    <t>SYD/HNL</t>
  </si>
  <si>
    <t>SYD/WUH</t>
  </si>
  <si>
    <t>SYD/KOA</t>
  </si>
  <si>
    <t>SYD/KUV</t>
  </si>
  <si>
    <t>SYD/KWE</t>
  </si>
  <si>
    <t>SYD/DYG</t>
  </si>
  <si>
    <t>SYD/BFU</t>
  </si>
  <si>
    <t>SYD/CJJ</t>
  </si>
  <si>
    <t>SYD/ITO</t>
  </si>
  <si>
    <t>SYD/YIH</t>
  </si>
  <si>
    <t>SYD/WJU</t>
  </si>
  <si>
    <t>SYD/KMG</t>
  </si>
  <si>
    <t>SYD/XUZ</t>
  </si>
  <si>
    <t>SYD/GMP</t>
  </si>
  <si>
    <t>SYD/ICN</t>
  </si>
  <si>
    <t>SYD/AOJ</t>
  </si>
  <si>
    <t>SYD/TAO</t>
  </si>
  <si>
    <t>SYD/ZAT</t>
  </si>
  <si>
    <t>SYD/WEH</t>
  </si>
  <si>
    <t>SYD/WXN</t>
  </si>
  <si>
    <t>SYD/CKG</t>
  </si>
  <si>
    <t>SYD/HKD</t>
  </si>
  <si>
    <t>SYD/PZI</t>
  </si>
  <si>
    <t>SYD/MDL</t>
  </si>
  <si>
    <t>SYD/JNG</t>
  </si>
  <si>
    <t>SYD/YNT</t>
  </si>
  <si>
    <t>SYD/WEF</t>
  </si>
  <si>
    <t>SYD/CGO</t>
  </si>
  <si>
    <t>SYD/FNJ</t>
  </si>
  <si>
    <t>SYD/CTS</t>
  </si>
  <si>
    <t>SYD/XIC</t>
  </si>
  <si>
    <t>SYD/TNA</t>
  </si>
  <si>
    <t>SYD/DLC</t>
  </si>
  <si>
    <t>SYD/DDG</t>
  </si>
  <si>
    <t>SYD/CTU</t>
  </si>
  <si>
    <t>SYD/YCU</t>
  </si>
  <si>
    <t>SYD/CIH</t>
  </si>
  <si>
    <t>SYD/DIG</t>
  </si>
  <si>
    <t>SYD/CMB</t>
  </si>
  <si>
    <t>SYD/XIY</t>
  </si>
  <si>
    <t>SYD/VVO</t>
  </si>
  <si>
    <t>SYD/YNJ</t>
  </si>
  <si>
    <t>SYD/TSN</t>
  </si>
  <si>
    <t>SYD/CGP</t>
  </si>
  <si>
    <t>SYD/GAN</t>
  </si>
  <si>
    <t>SYD/SHE</t>
  </si>
  <si>
    <t>SYD/SJW</t>
  </si>
  <si>
    <t>SYD/JNZ</t>
  </si>
  <si>
    <t>SYD/IMF</t>
  </si>
  <si>
    <t>SYD/TYN</t>
  </si>
  <si>
    <t>SYD/PKX</t>
  </si>
  <si>
    <t>SYD/JZH</t>
  </si>
  <si>
    <t>SYD/ENY</t>
  </si>
  <si>
    <t>SYD/THQ</t>
  </si>
  <si>
    <t>SYD/PEK</t>
  </si>
  <si>
    <t>SYD/MDG</t>
  </si>
  <si>
    <t>SYD/UUS</t>
  </si>
  <si>
    <t>SYD/JRH</t>
  </si>
  <si>
    <t>SYD/CGQ</t>
  </si>
  <si>
    <t>SYD/ZYL</t>
  </si>
  <si>
    <t>SYD/MRU</t>
  </si>
  <si>
    <t>SYD/DAC</t>
  </si>
  <si>
    <t>SYD/TRV</t>
  </si>
  <si>
    <t>SYD/MAA</t>
  </si>
  <si>
    <t>SYD/CCU</t>
  </si>
  <si>
    <t>SYD/BPX</t>
  </si>
  <si>
    <t>SYD/IPC</t>
  </si>
  <si>
    <t>SYD/GAU</t>
  </si>
  <si>
    <t>SYD/HRB</t>
  </si>
  <si>
    <t>SYD/VTZ</t>
  </si>
  <si>
    <t>SYD/RUN</t>
  </si>
  <si>
    <t>SYD/LZY</t>
  </si>
  <si>
    <t>SYD/HET</t>
  </si>
  <si>
    <t>SYD/LHW</t>
  </si>
  <si>
    <t>SYD/COK</t>
  </si>
  <si>
    <t>SYD/ZHY</t>
  </si>
  <si>
    <t>SYD/CJB</t>
  </si>
  <si>
    <t>SYD/INC</t>
  </si>
  <si>
    <t>SYD/KHV</t>
  </si>
  <si>
    <t>SYD/XNN</t>
  </si>
  <si>
    <t>SYD/BLR</t>
  </si>
  <si>
    <t>SYD/CCJ</t>
  </si>
  <si>
    <t>SYD/NDG</t>
  </si>
  <si>
    <t>SYD/IXR</t>
  </si>
  <si>
    <t>SYD/USH</t>
  </si>
  <si>
    <t>SYD/IXB</t>
  </si>
  <si>
    <t>SYD/LXA</t>
  </si>
  <si>
    <t>SYD/PUQ</t>
  </si>
  <si>
    <t>SYD/HYD</t>
  </si>
  <si>
    <t>SYD/IXE</t>
  </si>
  <si>
    <t>SYD/BQS</t>
  </si>
  <si>
    <t>SYD/PKC</t>
  </si>
  <si>
    <t>SYD/RGL</t>
  </si>
  <si>
    <t>SYD/FTE</t>
  </si>
  <si>
    <t>SYD/KTM</t>
  </si>
  <si>
    <t>SYD/HLD</t>
  </si>
  <si>
    <t>SYD/GOQ</t>
  </si>
  <si>
    <t>SYD/NAG</t>
  </si>
  <si>
    <t>SYD/COQ</t>
  </si>
  <si>
    <t>SYD/GOI</t>
  </si>
  <si>
    <t>SYD/NZH</t>
  </si>
  <si>
    <t>SYD/GGS</t>
  </si>
  <si>
    <t>SYD/LKO</t>
  </si>
  <si>
    <t>SYD/PNQ</t>
  </si>
  <si>
    <t>SYD/TNR</t>
  </si>
  <si>
    <t>SYD/DNH</t>
  </si>
  <si>
    <t>SYD/ULN</t>
  </si>
  <si>
    <t>SYD/BBA</t>
  </si>
  <si>
    <t>SYD/BOM</t>
  </si>
  <si>
    <t>SYD/SEZ</t>
  </si>
  <si>
    <t>SYD/BYN</t>
  </si>
  <si>
    <t>SYD/HTA</t>
  </si>
  <si>
    <t>SYD/CRD</t>
  </si>
  <si>
    <t>SYD/JAI</t>
  </si>
  <si>
    <t>SYD/DEL</t>
  </si>
  <si>
    <t>SYD/AMD</t>
  </si>
  <si>
    <t>SYD/GDX</t>
  </si>
  <si>
    <t>SYD/UUD</t>
  </si>
  <si>
    <t>SYD/PMC</t>
  </si>
  <si>
    <t>SYD/DUR</t>
  </si>
  <si>
    <t>SYD/IXC</t>
  </si>
  <si>
    <t>SYD/JDH</t>
  </si>
  <si>
    <t>SYD/IKT</t>
  </si>
  <si>
    <t>SYD/JGA</t>
  </si>
  <si>
    <t>SYD/REL</t>
  </si>
  <si>
    <t>SYD/BHJ</t>
  </si>
  <si>
    <t>SYD/KRL</t>
  </si>
  <si>
    <t>SYD/MPM</t>
  </si>
  <si>
    <t>SYD/IXL</t>
  </si>
  <si>
    <t>SYD/MTS</t>
  </si>
  <si>
    <t>SYD/URC</t>
  </si>
  <si>
    <t>SYD/HTN</t>
  </si>
  <si>
    <t>SYD/MSU</t>
  </si>
  <si>
    <t>SYD/ATQ</t>
  </si>
  <si>
    <t>SYD/LHE</t>
  </si>
  <si>
    <t>SYD/CDB</t>
  </si>
  <si>
    <t>SYD/YKS</t>
  </si>
  <si>
    <t>SYD/HVD</t>
  </si>
  <si>
    <t>SYD/MQP</t>
  </si>
  <si>
    <t>SYD/HAH</t>
  </si>
  <si>
    <t>SYD/BHV</t>
  </si>
  <si>
    <t>SYD/BFN</t>
  </si>
  <si>
    <t>SYD/LYP</t>
  </si>
  <si>
    <t>SYD/NQN</t>
  </si>
  <si>
    <t>SYD/RYK</t>
  </si>
  <si>
    <t>SYD/SXR</t>
  </si>
  <si>
    <t>SYD/CPT</t>
  </si>
  <si>
    <t>SYD/MUX</t>
  </si>
  <si>
    <t>SYD/VDM</t>
  </si>
  <si>
    <t>SYD/KYZ</t>
  </si>
  <si>
    <t>SYD/KHI</t>
  </si>
  <si>
    <t>SYD/JNB</t>
  </si>
  <si>
    <t>SYD/SKZ</t>
  </si>
  <si>
    <t>SYD/KIM</t>
  </si>
  <si>
    <t>SYD/KRY</t>
  </si>
  <si>
    <t>SYD/HLA</t>
  </si>
  <si>
    <t>SYD/ISB</t>
  </si>
  <si>
    <t>SYD/PTG</t>
  </si>
  <si>
    <t>SYD/NTY</t>
  </si>
  <si>
    <t>SYD/LGS</t>
  </si>
  <si>
    <t>SYD/DYR</t>
  </si>
  <si>
    <t>SYD/PEW</t>
  </si>
  <si>
    <t>SYD/MJZ</t>
  </si>
  <si>
    <t>SYD/BHI</t>
  </si>
  <si>
    <t>SYD/KHG</t>
  </si>
  <si>
    <t>SYD/UTN</t>
  </si>
  <si>
    <t>SYD/ABA</t>
  </si>
  <si>
    <t>SYD/GBE</t>
  </si>
  <si>
    <t>SYD/SCL</t>
  </si>
  <si>
    <t>SYD/UET</t>
  </si>
  <si>
    <t>SYD/AKN</t>
  </si>
  <si>
    <t>SYD/ALA</t>
  </si>
  <si>
    <t>SYD/KBL</t>
  </si>
  <si>
    <t>SYD/HRE</t>
  </si>
  <si>
    <t>SYD/KJA</t>
  </si>
  <si>
    <t>SYD/VXC</t>
  </si>
  <si>
    <t>SYD/SCT</t>
  </si>
  <si>
    <t>SYD/BUQ</t>
  </si>
  <si>
    <t>SYD/MDZ</t>
  </si>
  <si>
    <t>SYD/KDH</t>
  </si>
  <si>
    <t>SYD/OSS</t>
  </si>
  <si>
    <t>SYD/LLW</t>
  </si>
  <si>
    <t>SYD/DAR</t>
  </si>
  <si>
    <t>SYD/FRU</t>
  </si>
  <si>
    <t>SYD/LUQ</t>
  </si>
  <si>
    <t>SYD/MGQ</t>
  </si>
  <si>
    <t>SYD/PLX</t>
  </si>
  <si>
    <t>SYD/BAX</t>
  </si>
  <si>
    <t>SYD/KEJ</t>
  </si>
  <si>
    <t>SYD/GLK</t>
  </si>
  <si>
    <t>SYD/SLL</t>
  </si>
  <si>
    <t>SYD/DYU</t>
  </si>
  <si>
    <t>SYD/MCT</t>
  </si>
  <si>
    <t>SYD/MZR</t>
  </si>
  <si>
    <t>SYD/MBA</t>
  </si>
  <si>
    <t>SYD/EZE</t>
  </si>
  <si>
    <t>SYD/TAS</t>
  </si>
  <si>
    <t>SYD/ANC</t>
  </si>
  <si>
    <t>SYD/OVB</t>
  </si>
  <si>
    <t>SYD/ACZ</t>
  </si>
  <si>
    <t>SYD/LUN</t>
  </si>
  <si>
    <t>SYD/MVD</t>
  </si>
  <si>
    <t>SYD/COR</t>
  </si>
  <si>
    <t>SYD/ROS</t>
  </si>
  <si>
    <t>SYD/IKS</t>
  </si>
  <si>
    <t>SYD/SKD</t>
  </si>
  <si>
    <t>SYD/IRJ</t>
  </si>
  <si>
    <t>SYD/SFO</t>
  </si>
  <si>
    <t>SYD/FJR</t>
  </si>
  <si>
    <t>SYD/HEA</t>
  </si>
  <si>
    <t>SYD/OAK</t>
  </si>
  <si>
    <t>SYD/AAN</t>
  </si>
  <si>
    <t>SYD/SJC</t>
  </si>
  <si>
    <t>SYD/JRO</t>
  </si>
  <si>
    <t>SYD/RIY</t>
  </si>
  <si>
    <t>SYD/RKT</t>
  </si>
  <si>
    <t>SYD/KGF</t>
  </si>
  <si>
    <t>SYD/SHJ</t>
  </si>
  <si>
    <t>SYD/DWC</t>
  </si>
  <si>
    <t>SYD/DXB</t>
  </si>
  <si>
    <t>SYD/CTC</t>
  </si>
  <si>
    <t>SYD/SCK</t>
  </si>
  <si>
    <t>SYD/WDH</t>
  </si>
  <si>
    <t>SYD/LAX</t>
  </si>
  <si>
    <t>SYD/AUH</t>
  </si>
  <si>
    <t>SYD/BND</t>
  </si>
  <si>
    <t>SYD/SMF</t>
  </si>
  <si>
    <t>SYD/LGB</t>
  </si>
  <si>
    <t>SYD/BHK</t>
  </si>
  <si>
    <t>SYD/BFL</t>
  </si>
  <si>
    <t>SYD/SAN</t>
  </si>
  <si>
    <t>SYD/TIJ</t>
  </si>
  <si>
    <t>SYD/FAT</t>
  </si>
  <si>
    <t>SYD/GXF</t>
  </si>
  <si>
    <t>SYD/ONT</t>
  </si>
  <si>
    <t>SYD/NBO</t>
  </si>
  <si>
    <t>SYD/BBO</t>
  </si>
  <si>
    <t>SYD/MFR</t>
  </si>
  <si>
    <t>SYD/FAI</t>
  </si>
  <si>
    <t>SYD/KER</t>
  </si>
  <si>
    <t>SYD/FBM</t>
  </si>
  <si>
    <t>SYD/PSP</t>
  </si>
  <si>
    <t>SYD/SJD</t>
  </si>
  <si>
    <t>SYD/TSE</t>
  </si>
  <si>
    <t>SYD/LMT</t>
  </si>
  <si>
    <t>SYD/RNO</t>
  </si>
  <si>
    <t>SYD/TUC</t>
  </si>
  <si>
    <t>SYD/MXL</t>
  </si>
  <si>
    <t>SYD/ANF</t>
  </si>
  <si>
    <t>SYD/MHD</t>
  </si>
  <si>
    <t>SYD/ADE</t>
  </si>
  <si>
    <t>SYD/RCQ</t>
  </si>
  <si>
    <t>SYD/YUM</t>
  </si>
  <si>
    <t>SYD/OMS</t>
  </si>
  <si>
    <t>SYD/JNU</t>
  </si>
  <si>
    <t>SYD/SHW</t>
  </si>
  <si>
    <t>SYD/PDX</t>
  </si>
  <si>
    <t>SYD/JIB</t>
  </si>
  <si>
    <t>SYD/DOH</t>
  </si>
  <si>
    <t>SYD/DIR</t>
  </si>
  <si>
    <t>SYD/EDL</t>
  </si>
  <si>
    <t>SYD/TAI</t>
  </si>
  <si>
    <t>SYD/MWZ</t>
  </si>
  <si>
    <t>SYD/YQQ</t>
  </si>
  <si>
    <t>SYD/SLA</t>
  </si>
  <si>
    <t>SYD/LAS</t>
  </si>
  <si>
    <t>SYD/CJC</t>
  </si>
  <si>
    <t>SYD/YXY</t>
  </si>
  <si>
    <t>SYD/ASB</t>
  </si>
  <si>
    <t>SYD/SEA</t>
  </si>
  <si>
    <t>SYD/BFI</t>
  </si>
  <si>
    <t>SYD/JUJ</t>
  </si>
  <si>
    <t>SYD/RES</t>
  </si>
  <si>
    <t>SYD/PVR</t>
  </si>
  <si>
    <t>SYD/AZD</t>
  </si>
  <si>
    <t>SYD/YVR</t>
  </si>
  <si>
    <t>SYD/NJC</t>
  </si>
  <si>
    <t>SYD/SAH</t>
  </si>
  <si>
    <t>SYD/SYZ</t>
  </si>
  <si>
    <t>SYD/BAH</t>
  </si>
  <si>
    <t>SYD/MZT</t>
  </si>
  <si>
    <t>SYD/AWA</t>
  </si>
  <si>
    <t>SYD/IQQ</t>
  </si>
  <si>
    <t>SYD/YXX</t>
  </si>
  <si>
    <t>SYD/OND</t>
  </si>
  <si>
    <t>SYD/PHX</t>
  </si>
  <si>
    <t>SYD/HOF</t>
  </si>
  <si>
    <t>SYD/HOD</t>
  </si>
  <si>
    <t>SYD/TUS</t>
  </si>
  <si>
    <t>SYD/NSK</t>
  </si>
  <si>
    <t>SYD/AZA</t>
  </si>
  <si>
    <t>SYD/DMM</t>
  </si>
  <si>
    <t>SYD/EAM</t>
  </si>
  <si>
    <t>SYD/KMN</t>
  </si>
  <si>
    <t>SYD/ADD</t>
  </si>
  <si>
    <t>SYD/EBB</t>
  </si>
  <si>
    <t>SYD/VPE</t>
  </si>
  <si>
    <t>SYD/GDL</t>
  </si>
  <si>
    <t>SYD/KGP</t>
  </si>
  <si>
    <t>SYD/BJM</t>
  </si>
  <si>
    <t>SYD/SGC</t>
  </si>
  <si>
    <t>SYD/GCN</t>
  </si>
  <si>
    <t>SYD/CDC</t>
  </si>
  <si>
    <t>SYD/NOJ</t>
  </si>
  <si>
    <t>SYD/KGL</t>
  </si>
  <si>
    <t>SYD/WAE</t>
  </si>
  <si>
    <t>SYD/SPP</t>
  </si>
  <si>
    <t>SYD/BOI</t>
  </si>
  <si>
    <t>SYD/IFN</t>
  </si>
  <si>
    <t>SYD/DGO</t>
  </si>
  <si>
    <t>SYD/GIZ</t>
  </si>
  <si>
    <t>SYD/YXS</t>
  </si>
  <si>
    <t>SYD/TJA</t>
  </si>
  <si>
    <t>SYD/ASU</t>
  </si>
  <si>
    <t>SYD/ACA</t>
  </si>
  <si>
    <t>SYD/NUX</t>
  </si>
  <si>
    <t>SYD/YLW</t>
  </si>
  <si>
    <t>SYD/TWF</t>
  </si>
  <si>
    <t>SYD/LIM</t>
  </si>
  <si>
    <t>SYD/RUH</t>
  </si>
  <si>
    <t>SYD/AHB</t>
  </si>
  <si>
    <t>SYD/GEG</t>
  </si>
  <si>
    <t>SYD/AGU</t>
  </si>
  <si>
    <t>SYD/AQP</t>
  </si>
  <si>
    <t>SYD/ULU</t>
  </si>
  <si>
    <t>SYD/MLM</t>
  </si>
  <si>
    <t>SYD/ZCL</t>
  </si>
  <si>
    <t>SYD/CUU</t>
  </si>
  <si>
    <t>SYD/BJX</t>
  </si>
  <si>
    <t>SYD/IGR</t>
  </si>
  <si>
    <t>SYD/AGT</t>
  </si>
  <si>
    <t>SYD/TJM</t>
  </si>
  <si>
    <t>SYD/KWI</t>
  </si>
  <si>
    <t>SYD/BHH</t>
  </si>
  <si>
    <t>SYD/SLC</t>
  </si>
  <si>
    <t>SYD/TRC</t>
  </si>
  <si>
    <t>SYD/VHC</t>
  </si>
  <si>
    <t>SYD/AYP</t>
  </si>
  <si>
    <t>SYD/THR</t>
  </si>
  <si>
    <t>SYD/IKA</t>
  </si>
  <si>
    <t>SYD/AWZ</t>
  </si>
  <si>
    <t>SYD/TLC</t>
  </si>
  <si>
    <t>SYD/JAU</t>
  </si>
  <si>
    <t>SYD/CJS</t>
  </si>
  <si>
    <t>SYD/PIH</t>
  </si>
  <si>
    <t>SYD/ELP</t>
  </si>
  <si>
    <t>SYD/TRU</t>
  </si>
  <si>
    <t>SYD/SLP</t>
  </si>
  <si>
    <t>SYD/SDD</t>
  </si>
  <si>
    <t>SYD/ATA</t>
  </si>
  <si>
    <t>SYD/SRE</t>
  </si>
  <si>
    <t>SYD/MEX</t>
  </si>
  <si>
    <t>SYD/ASM</t>
  </si>
  <si>
    <t>SYD/BSR</t>
  </si>
  <si>
    <t>SYD/JUL</t>
  </si>
  <si>
    <t>SYD/CIX</t>
  </si>
  <si>
    <t>SYD/NOV</t>
  </si>
  <si>
    <t>SYD/DWD</t>
  </si>
  <si>
    <t>SYD/ABT</t>
  </si>
  <si>
    <t>SYD/MSO</t>
  </si>
  <si>
    <t>SYD/AQI</t>
  </si>
  <si>
    <t>SYD/IDA</t>
  </si>
  <si>
    <t>SYD/LPB</t>
  </si>
  <si>
    <t>SYD/CEK</t>
  </si>
  <si>
    <t>SYD/PBC</t>
  </si>
  <si>
    <t>SYD/CUZ</t>
  </si>
  <si>
    <t>SYD/HUX</t>
  </si>
  <si>
    <t>SYD/HBT</t>
  </si>
  <si>
    <t>SYD/FCA</t>
  </si>
  <si>
    <t>SYD/CBB</t>
  </si>
  <si>
    <t>SYD/DRO</t>
  </si>
  <si>
    <t>SYD/ABQ</t>
  </si>
  <si>
    <t>SYD/BTM</t>
  </si>
  <si>
    <t>SYD/AKX</t>
  </si>
  <si>
    <t>SYD/GJT</t>
  </si>
  <si>
    <t>SYD/SVX</t>
  </si>
  <si>
    <t>SYD/ELQ</t>
  </si>
  <si>
    <t>SYD/MTJ</t>
  </si>
  <si>
    <t>SYD/HLN</t>
  </si>
  <si>
    <t>SYD/SAF</t>
  </si>
  <si>
    <t>SYD/RKS</t>
  </si>
  <si>
    <t>SYD/TIF</t>
  </si>
  <si>
    <t>SYD/BZN</t>
  </si>
  <si>
    <t>SYD/ROW</t>
  </si>
  <si>
    <t>SYD/YYC</t>
  </si>
  <si>
    <t>SYD/CBT</t>
  </si>
  <si>
    <t>SYD/KSH</t>
  </si>
  <si>
    <t>SYD/SLY</t>
  </si>
  <si>
    <t>SYD/SRZ</t>
  </si>
  <si>
    <t>SYD/GUC</t>
  </si>
  <si>
    <t>SYD/MTY</t>
  </si>
  <si>
    <t>SYD/VVI</t>
  </si>
  <si>
    <t>SYD/GYD</t>
  </si>
  <si>
    <t>SYD/GTF</t>
  </si>
  <si>
    <t>SYD/TAM</t>
  </si>
  <si>
    <t>SYD/ALS</t>
  </si>
  <si>
    <t>SYD/EGE</t>
  </si>
  <si>
    <t>SYD/HDN</t>
  </si>
  <si>
    <t>SYD/FKI</t>
  </si>
  <si>
    <t>SYD/PCL</t>
  </si>
  <si>
    <t>SYD/COD</t>
  </si>
  <si>
    <t>SYD/TPP</t>
  </si>
  <si>
    <t>SYD/YEG</t>
  </si>
  <si>
    <t>SYD/PEM</t>
  </si>
  <si>
    <t>SYD/RAH</t>
  </si>
  <si>
    <t>SYD/JED</t>
  </si>
  <si>
    <t>SYD/MAF</t>
  </si>
  <si>
    <t>SYD/UFA</t>
  </si>
  <si>
    <t>SYD/GYE</t>
  </si>
  <si>
    <t>SYD/GUW</t>
  </si>
  <si>
    <t>SYD/LRD</t>
  </si>
  <si>
    <t>SYD/HAS</t>
  </si>
  <si>
    <t>SYD/MEC</t>
  </si>
  <si>
    <t>SYD/GRU</t>
  </si>
  <si>
    <t>SYD/BIL</t>
  </si>
  <si>
    <t>SYD/CGR</t>
  </si>
  <si>
    <t>SYD/VCP</t>
  </si>
  <si>
    <t>SYD/PUB</t>
  </si>
  <si>
    <t>SYD/COS</t>
  </si>
  <si>
    <t>SYD/MED</t>
  </si>
  <si>
    <t>SYD/BGW</t>
  </si>
  <si>
    <t>SYD/SJK</t>
  </si>
  <si>
    <t>SYD/CPR</t>
  </si>
  <si>
    <t>SYD/LAR</t>
  </si>
  <si>
    <t>SYD/LBB</t>
  </si>
  <si>
    <t>SYD/PEE</t>
  </si>
  <si>
    <t>SYD/TBZ</t>
  </si>
  <si>
    <t>SYD/FNL</t>
  </si>
  <si>
    <t>SYD/DEN</t>
  </si>
  <si>
    <t>SYD/SHR</t>
  </si>
  <si>
    <t>SYD/HRL</t>
  </si>
  <si>
    <t>SYD/CYS</t>
  </si>
  <si>
    <t>SYD/GUA</t>
  </si>
  <si>
    <t>SYD/AMA</t>
  </si>
  <si>
    <t>SYD/MCX</t>
  </si>
  <si>
    <t>SYD/LAD</t>
  </si>
  <si>
    <t>SYD/GIG</t>
  </si>
  <si>
    <t>SYD/KVD</t>
  </si>
  <si>
    <t>SYD/YNB</t>
  </si>
  <si>
    <t>SYD/SAT</t>
  </si>
  <si>
    <t>SYD/NAJ</t>
  </si>
  <si>
    <t>SYD/SAL</t>
  </si>
  <si>
    <t>SYD/RAE</t>
  </si>
  <si>
    <t>SYD/KRT</t>
  </si>
  <si>
    <t>SYD/NBC</t>
  </si>
  <si>
    <t>SYD/BFF</t>
  </si>
  <si>
    <t>SYD/UIO</t>
  </si>
  <si>
    <t>SYD/AJF</t>
  </si>
  <si>
    <t>SYD/AUS</t>
  </si>
  <si>
    <t>SYD/VCT</t>
  </si>
  <si>
    <t>SYD/EBD</t>
  </si>
  <si>
    <t>SYD/GRK</t>
  </si>
  <si>
    <t>SYD/EVN</t>
  </si>
  <si>
    <t>SYD/KUF</t>
  </si>
  <si>
    <t>SYD/TBS</t>
  </si>
  <si>
    <t>SYD/GRV</t>
  </si>
  <si>
    <t>SYD/VAN</t>
  </si>
  <si>
    <t>SYD/YXE</t>
  </si>
  <si>
    <t>SYD/FIH</t>
  </si>
  <si>
    <t>SYD/LIR</t>
  </si>
  <si>
    <t>SYD/RAP</t>
  </si>
  <si>
    <t>SYD/SPS</t>
  </si>
  <si>
    <t>SYD/LWN</t>
  </si>
  <si>
    <t>SYD/BZV</t>
  </si>
  <si>
    <t>SYD/OGZ</t>
  </si>
  <si>
    <t>SYD/LAW</t>
  </si>
  <si>
    <t>SYD/KZN</t>
  </si>
  <si>
    <t>SYD/ULY</t>
  </si>
  <si>
    <t>SYD/EJH</t>
  </si>
  <si>
    <t>SYD/KSY</t>
  </si>
  <si>
    <t>SYD/AFW</t>
  </si>
  <si>
    <t>SYD/SAP</t>
  </si>
  <si>
    <t>SYD/SJO</t>
  </si>
  <si>
    <t>SYD/DFW</t>
  </si>
  <si>
    <t>SYD/KAC</t>
  </si>
  <si>
    <t>SYD/TUI</t>
  </si>
  <si>
    <t>SYD/DAL</t>
  </si>
  <si>
    <t>SYD/PLU</t>
  </si>
  <si>
    <t>SYD/DEZ</t>
  </si>
  <si>
    <t>SYD/IAH</t>
  </si>
  <si>
    <t>SYD/MSR</t>
  </si>
  <si>
    <t>SYD/CNF</t>
  </si>
  <si>
    <t>SYD/BAL</t>
  </si>
  <si>
    <t>SYD/OKC</t>
  </si>
  <si>
    <t>SYD/TUU</t>
  </si>
  <si>
    <t>SYD/MQM</t>
  </si>
  <si>
    <t>SYD/MRV</t>
  </si>
  <si>
    <t>SYD/LCE</t>
  </si>
  <si>
    <t>SYD/RMF</t>
  </si>
  <si>
    <t>SYD/ERZ</t>
  </si>
  <si>
    <t>SYD/MID</t>
  </si>
  <si>
    <t>SYD/DIY</t>
  </si>
  <si>
    <t>SYD/URY</t>
  </si>
  <si>
    <t>SYD/ICT</t>
  </si>
  <si>
    <t>SYD/BIS</t>
  </si>
  <si>
    <t>SYD/GGG</t>
  </si>
  <si>
    <t>SYD/ASW</t>
  </si>
  <si>
    <t>SYD/STW</t>
  </si>
  <si>
    <t>SYD/TUL</t>
  </si>
  <si>
    <t>SYD/ABS</t>
  </si>
  <si>
    <t>SYD/SSH</t>
  </si>
  <si>
    <t>SYD/ERC</t>
  </si>
  <si>
    <t>SYD/CLO</t>
  </si>
  <si>
    <t>SYD/AMM</t>
  </si>
  <si>
    <t>SYD/AQJ</t>
  </si>
  <si>
    <t>SYD/HRG</t>
  </si>
  <si>
    <t>SYD/ETM</t>
  </si>
  <si>
    <t>SYD/TZX</t>
  </si>
  <si>
    <t>SYD/ADF</t>
  </si>
  <si>
    <t>SYD/SHV</t>
  </si>
  <si>
    <t>SYD/UYL</t>
  </si>
  <si>
    <t>SYD/DAM</t>
  </si>
  <si>
    <t>SYD/VDA</t>
  </si>
  <si>
    <t>SYD/TCP</t>
  </si>
  <si>
    <t>SYD/LXR</t>
  </si>
  <si>
    <t>SYD/LNK</t>
  </si>
  <si>
    <t>SYD/BSB</t>
  </si>
  <si>
    <t>SYD/ALP</t>
  </si>
  <si>
    <t>SYD/MLX</t>
  </si>
  <si>
    <t>SYD/AER</t>
  </si>
  <si>
    <t>SYD/GOJ</t>
  </si>
  <si>
    <t>SYD/GZT</t>
  </si>
  <si>
    <t>SYD/BGF</t>
  </si>
  <si>
    <t>SYD/ELF</t>
  </si>
  <si>
    <t>SYD/AEX</t>
  </si>
  <si>
    <t>SYD/CZM</t>
  </si>
  <si>
    <t>SYD/TLV</t>
  </si>
  <si>
    <t>SYD/XNA</t>
  </si>
  <si>
    <t>SYD/PTY</t>
  </si>
  <si>
    <t>SYD/BEY</t>
  </si>
  <si>
    <t>SYD/CUN</t>
  </si>
  <si>
    <t>SYD/SUX</t>
  </si>
  <si>
    <t>SYD/FSD</t>
  </si>
  <si>
    <t>SYD/OMA</t>
  </si>
  <si>
    <t>SYD/LTK</t>
  </si>
  <si>
    <t>SYD/HTY</t>
  </si>
  <si>
    <t>SYD/AAC</t>
  </si>
  <si>
    <t>SYD/KRR</t>
  </si>
  <si>
    <t>SYD/MCI</t>
  </si>
  <si>
    <t>SYD/VAS</t>
  </si>
  <si>
    <t>SYD/FAR</t>
  </si>
  <si>
    <t>SYD/MSY</t>
  </si>
  <si>
    <t>SYD/LIT</t>
  </si>
  <si>
    <t>SYD/YWG</t>
  </si>
  <si>
    <t>SYD/ATZ</t>
  </si>
  <si>
    <t>SYD/ADA</t>
  </si>
  <si>
    <t>SYD/EOH</t>
  </si>
  <si>
    <t>SYD/MDE</t>
  </si>
  <si>
    <t>SYD/BOG</t>
  </si>
  <si>
    <t>SYD/SZF</t>
  </si>
  <si>
    <t>SYD/ASR</t>
  </si>
  <si>
    <t>SYD/LCA</t>
  </si>
  <si>
    <t>SYD/DSM</t>
  </si>
  <si>
    <t>SYD/JAN</t>
  </si>
  <si>
    <t>SYD/MPW</t>
  </si>
  <si>
    <t>SYD/CAI</t>
  </si>
  <si>
    <t>SYD/MZH</t>
  </si>
  <si>
    <t>SYD/GPT</t>
  </si>
  <si>
    <t>SYD/NAV</t>
  </si>
  <si>
    <t>SYD/ZIA</t>
  </si>
  <si>
    <t>SYD/PFO</t>
  </si>
  <si>
    <t>SYD/DME</t>
  </si>
  <si>
    <t>SYD/MOB</t>
  </si>
  <si>
    <t>SYD/MSP</t>
  </si>
  <si>
    <t>SYD/MEM</t>
  </si>
  <si>
    <t>SYD/BFM</t>
  </si>
  <si>
    <t>SYD/ALO</t>
  </si>
  <si>
    <t>SYD/SVO</t>
  </si>
  <si>
    <t>SYD/MEI</t>
  </si>
  <si>
    <t>SYD/EYP</t>
  </si>
  <si>
    <t>SYD/VKO</t>
  </si>
  <si>
    <t>SYD/RST</t>
  </si>
  <si>
    <t>SYD/CID</t>
  </si>
  <si>
    <t>SYD/LBV</t>
  </si>
  <si>
    <t>SYD/KYA</t>
  </si>
  <si>
    <t>SYD/OZH</t>
  </si>
  <si>
    <t>SYD/YYQ</t>
  </si>
  <si>
    <t>SYD/STL</t>
  </si>
  <si>
    <t>SYD/HBE</t>
  </si>
  <si>
    <t>SYD/ESB</t>
  </si>
  <si>
    <t>SYD/DNK</t>
  </si>
  <si>
    <t>SYD/CTG</t>
  </si>
  <si>
    <t>SYD/DLH</t>
  </si>
  <si>
    <t>SYD/BLV</t>
  </si>
  <si>
    <t>SYD/SIP</t>
  </si>
  <si>
    <t>SYD/LSE</t>
  </si>
  <si>
    <t>SYD/MLI</t>
  </si>
  <si>
    <t>SYD/VPS</t>
  </si>
  <si>
    <t>SYD/NSI</t>
  </si>
  <si>
    <t>SYD/PIA</t>
  </si>
  <si>
    <t>SYD/AYT</t>
  </si>
  <si>
    <t>SYD/HAV</t>
  </si>
  <si>
    <t>SYD/BAQ</t>
  </si>
  <si>
    <t>SYD/ECP</t>
  </si>
  <si>
    <t>SYD/SSA</t>
  </si>
  <si>
    <t>SYD/CYO</t>
  </si>
  <si>
    <t>SYD/MGM</t>
  </si>
  <si>
    <t>SYD/BHM</t>
  </si>
  <si>
    <t>SYD/DEC</t>
  </si>
  <si>
    <t>SYD/ISE</t>
  </si>
  <si>
    <t>SYD/MAO</t>
  </si>
  <si>
    <t>SYD/NGE</t>
  </si>
  <si>
    <t>SYD/HSV</t>
  </si>
  <si>
    <t>SYD/MSN</t>
  </si>
  <si>
    <t>SYD/RFD</t>
  </si>
  <si>
    <t>SYD/DHN</t>
  </si>
  <si>
    <t>SYD/VRA</t>
  </si>
  <si>
    <t>SYD/AOE</t>
  </si>
  <si>
    <t>SYD/DNZ</t>
  </si>
  <si>
    <t>SYD/BNA</t>
  </si>
  <si>
    <t>SYD/DLA</t>
  </si>
  <si>
    <t>SYD/USQ</t>
  </si>
  <si>
    <t>SYD/DLM</t>
  </si>
  <si>
    <t>SYD/ORD</t>
  </si>
  <si>
    <t>SYD/LKL</t>
  </si>
  <si>
    <t>SYD/MBJ</t>
  </si>
  <si>
    <t>SYD/MKE</t>
  </si>
  <si>
    <t>SYD/SRQ</t>
  </si>
  <si>
    <t>SYD/YEI</t>
  </si>
  <si>
    <t>SYD/SSG</t>
  </si>
  <si>
    <t>SYD/GRB</t>
  </si>
  <si>
    <t>SYD/PIE</t>
  </si>
  <si>
    <t>SYD/SNU</t>
  </si>
  <si>
    <t>SYD/ODS</t>
  </si>
  <si>
    <t>SYD/TPA</t>
  </si>
  <si>
    <t>SYD/RHO</t>
  </si>
  <si>
    <t>SYD/SAW</t>
  </si>
  <si>
    <t>SYD/GME</t>
  </si>
  <si>
    <t>SYD/RSW</t>
  </si>
  <si>
    <t>SYD/KBP</t>
  </si>
  <si>
    <t>SYD/LED</t>
  </si>
  <si>
    <t>SYD/GOU</t>
  </si>
  <si>
    <t>SYD/ATL</t>
  </si>
  <si>
    <t>SYD/MAR</t>
  </si>
  <si>
    <t>SYD/IND</t>
  </si>
  <si>
    <t>SYD/KIN</t>
  </si>
  <si>
    <t>SYD/SDF</t>
  </si>
  <si>
    <t>SYD/NDJ</t>
  </si>
  <si>
    <t>SYD/BJV</t>
  </si>
  <si>
    <t>SYD/MQT</t>
  </si>
  <si>
    <t>SYD/IST</t>
  </si>
  <si>
    <t>SYD/RVN</t>
  </si>
  <si>
    <t>SYD/SBN</t>
  </si>
  <si>
    <t>SYD/KUO</t>
  </si>
  <si>
    <t>SYD/YOL</t>
  </si>
  <si>
    <t>SYD/MIA</t>
  </si>
  <si>
    <t>SYD/CCC</t>
  </si>
  <si>
    <t>SYD/TEQ</t>
  </si>
  <si>
    <t>SYD/MCO</t>
  </si>
  <si>
    <t>SYD/KIV</t>
  </si>
  <si>
    <t>SYD/ADB</t>
  </si>
  <si>
    <t>SYD/CMW</t>
  </si>
  <si>
    <t>SYD/PNZ</t>
  </si>
  <si>
    <t>SYD/CND</t>
  </si>
  <si>
    <t>SYD/TYS</t>
  </si>
  <si>
    <t>SYD/FLL</t>
  </si>
  <si>
    <t>SYD/OUL</t>
  </si>
  <si>
    <t>SYD/KEM</t>
  </si>
  <si>
    <t>SYD/SFB</t>
  </si>
  <si>
    <t>SYD/FWA</t>
  </si>
  <si>
    <t>SYD/CVG</t>
  </si>
  <si>
    <t>SYD/GRR</t>
  </si>
  <si>
    <t>SYD/PBI</t>
  </si>
  <si>
    <t>SYD/JAX</t>
  </si>
  <si>
    <t>SYD/MLB</t>
  </si>
  <si>
    <t>SYD/DAB</t>
  </si>
  <si>
    <t>SYD/BOJ</t>
  </si>
  <si>
    <t>SYD/JYV</t>
  </si>
  <si>
    <t>SYD/MSQ</t>
  </si>
  <si>
    <t>SYD/PHC</t>
  </si>
  <si>
    <t>SYD/DAY</t>
  </si>
  <si>
    <t>SYD/MCZ</t>
  </si>
  <si>
    <t>SYD/HER</t>
  </si>
  <si>
    <t>SYD/KRN</t>
  </si>
  <si>
    <t>SYD/HOG</t>
  </si>
  <si>
    <t>SYD/SCU</t>
  </si>
  <si>
    <t>SYD/LLA</t>
  </si>
  <si>
    <t>SYD/GSP</t>
  </si>
  <si>
    <t>SYD/SAV</t>
  </si>
  <si>
    <t>route</t>
  </si>
  <si>
    <t>dist</t>
  </si>
  <si>
    <t>dem</t>
  </si>
  <si>
    <t>rdem</t>
  </si>
  <si>
    <t>Column3</t>
  </si>
  <si>
    <t>SYD/CAB</t>
  </si>
  <si>
    <t>SYD/SBA</t>
  </si>
  <si>
    <t>R1</t>
  </si>
  <si>
    <t>Duration
(B744)</t>
  </si>
  <si>
    <t>ADD ACC
(660/1320)</t>
  </si>
  <si>
    <t>BOM/AHU</t>
  </si>
  <si>
    <t>BOM/ESU</t>
  </si>
  <si>
    <t>BOM/CAH</t>
  </si>
  <si>
    <t>BOM/HPH</t>
  </si>
  <si>
    <t>REMAIN</t>
  </si>
  <si>
    <t>SUM                        PARTIAL</t>
  </si>
  <si>
    <t>R2</t>
  </si>
  <si>
    <t>AICRAFT</t>
  </si>
  <si>
    <t xml:space="preserve">HUB </t>
  </si>
  <si>
    <t>MIX</t>
  </si>
  <si>
    <t>MPM 168 HOUR ROUTES - USING B747-400</t>
  </si>
  <si>
    <t>CGK 168 HR ROUTES - USING B744</t>
  </si>
  <si>
    <t>Column4</t>
  </si>
  <si>
    <t>Column5</t>
  </si>
  <si>
    <t>GRU 168 HOUR ROUTES - USING B747-400</t>
  </si>
  <si>
    <t>DME 168 HOUR ROUTES - USING B777-300ER</t>
  </si>
  <si>
    <t>PEK 168 HOUR ROUTES - USING B747-400</t>
  </si>
  <si>
    <t>DURATION</t>
  </si>
  <si>
    <t>PATH</t>
  </si>
  <si>
    <t>LEG</t>
  </si>
  <si>
    <t>CGQ CTS DAD DRW HKD HUI KMG MDL TPE</t>
  </si>
  <si>
    <t>CEI CNX FUK HNL PER SDJ TAO TNA TSA</t>
  </si>
  <si>
    <t>CRK HAN HND ITM KIX NGO NGS NRT PEN</t>
  </si>
  <si>
    <t>BKI IPC KHH KMG KMJ MCO MDL OKA</t>
  </si>
  <si>
    <t>ADD ADD ADD ADD ADD HAN</t>
  </si>
  <si>
    <t>CZM HND KMJ OUL PVG TAO TNA</t>
  </si>
  <si>
    <t>DAC MAA BLR RGN DAC MAA BLR KJT</t>
  </si>
  <si>
    <t>RGN DAC PVG RGN DAC MAA RGN MAA</t>
  </si>
  <si>
    <t>AWA CPT FBM FIH FKI SHA</t>
  </si>
  <si>
    <t>FKI FIH AWA FBM CPT SHA</t>
  </si>
  <si>
    <t>AWA CPT FBM FIH FKI PVG</t>
  </si>
  <si>
    <t>BBO DAR GLK ISB LUN NBO</t>
  </si>
  <si>
    <t>BBO NBO LUN GLK DAR ISB</t>
  </si>
  <si>
    <t>AMD BHV DEL JNB KHI LHE POM BNE</t>
  </si>
  <si>
    <t>JNB KHI BHV LHE AMD DEL POM MEL</t>
  </si>
  <si>
    <t>ALA BTH GYD JED MTY SVX</t>
  </si>
  <si>
    <t>GYD JED MTY SVX ALA BTH</t>
  </si>
  <si>
    <t>ADE ASM BSR CBB CEK MNL</t>
  </si>
  <si>
    <t>ASM BSR CBB CEK ADE MNL</t>
  </si>
  <si>
    <t>ATA CUZ EZE LPB MEX SGN</t>
  </si>
  <si>
    <t>CUZ LPB MEX ATA EZE SGN</t>
  </si>
  <si>
    <t>AHB AWZ IKA KNO THR TSE</t>
  </si>
  <si>
    <t>AWZ IKA THR AHB TSE KNO</t>
  </si>
  <si>
    <t>AQP GDL LIM OMS REP RUH</t>
  </si>
  <si>
    <t>AQP LIM RUH GDL OMS REP</t>
  </si>
  <si>
    <t>ASW DAM KRR NOU TLV TUC</t>
  </si>
  <si>
    <t>KRR TLV ASW DAM TUC NOU</t>
  </si>
  <si>
    <t>CHC CJC HRG LXR MRV SSH</t>
  </si>
  <si>
    <t>HRG LXR SSH MRV CJC CHC</t>
  </si>
  <si>
    <t>AKL DEN DFW KUF KZN SJO</t>
  </si>
  <si>
    <t>DFW SJO KUF KZN DEN AKL</t>
  </si>
  <si>
    <t>AKX GUW KDH KJT KVD LIR</t>
  </si>
  <si>
    <t>MEC UFA YYC TLC KHG LAO</t>
  </si>
  <si>
    <t>KHG LAO MEC TLC UFA YYC</t>
  </si>
  <si>
    <t>ASU IGR IQQ KMQ LAS LAX</t>
  </si>
  <si>
    <t>ASU IGR IQQ LAS LAX KMQ</t>
  </si>
  <si>
    <t>COR OAK PDX PUQ SEA YVR</t>
  </si>
  <si>
    <t>SEA YVR PDX OAK COR PUQ</t>
  </si>
  <si>
    <t>UET BHJ GOI HKG JAI PNQ TNR</t>
  </si>
  <si>
    <t>UET BHJ JAI PNQ TNR GOI HKG</t>
  </si>
  <si>
    <t>BKK CGP DMK HYD LXA SZX ULN WUH</t>
  </si>
  <si>
    <t>ULN HYD LXA CGP WUH BKK DMK SZX</t>
  </si>
  <si>
    <t>CGO CKG CTU DLC HGH SHE TSN XIY</t>
  </si>
  <si>
    <t>SHE TSN XIY CTU DLC CGO CKG HGH</t>
  </si>
  <si>
    <t>ADB ATL BOJ CND MDZ</t>
  </si>
  <si>
    <t>ADB BOJ CND ATL MDZ</t>
  </si>
  <si>
    <t>IST KBL KIV MCZ MSQ</t>
  </si>
  <si>
    <t>KIV MCZ MSQ IST KBL</t>
  </si>
  <si>
    <t>DLM KBP KIN LED SFO</t>
  </si>
  <si>
    <t>KBP KIN LED DLM SFO</t>
  </si>
  <si>
    <t>HEA MAR ODS ORD SAW</t>
  </si>
  <si>
    <t>MAR SAW ODS ORD HEA</t>
  </si>
  <si>
    <t>AER AYT HAV SSA YEG</t>
  </si>
  <si>
    <t>AYT HAV SSA AER YEG</t>
  </si>
  <si>
    <t>AMM DNK ESB NSI OGZ</t>
  </si>
  <si>
    <t>DNK ESB NSI AMM OGZ</t>
  </si>
  <si>
    <t>ALP LBV MID SVO VKO</t>
  </si>
  <si>
    <t>LBV SVO VKO ALP MID</t>
  </si>
  <si>
    <t>BSB CUN ELF KOJ PPT ZIA</t>
  </si>
  <si>
    <t>ZIA BSB CUN ELF KOJ PPT</t>
  </si>
  <si>
    <t>BLR CXR FTE HVD MVD MZR USH</t>
  </si>
  <si>
    <t>MVD MZR HVD FTE BLR USH CXR</t>
  </si>
  <si>
    <t>CAI CNF DLA KRT NDJ</t>
  </si>
  <si>
    <t>NDJ DLA CAI CNF KRT</t>
  </si>
  <si>
    <t>BZV DMM EVN NAN SAP TBS</t>
  </si>
  <si>
    <t>SAP BZV EVN TBS DMM NAN</t>
  </si>
  <si>
    <t>BGW CEB GIG SXR TBZ UIO</t>
  </si>
  <si>
    <t>UIO GIG TBZ BGW SXR CEB</t>
  </si>
  <si>
    <t>GYE KUL MED URC VCP VVI</t>
  </si>
  <si>
    <t>VCP MED GYE VVI URC KUL</t>
  </si>
  <si>
    <t>ASB AUH BHK CCU MWZ SAH</t>
  </si>
  <si>
    <t>ASB MWZ SAH BHK AUH CCU</t>
  </si>
  <si>
    <t>JRO RIY WDH TAS MBA PEW</t>
  </si>
  <si>
    <t>BUQ JRO MBA PEW RIY TAS</t>
  </si>
  <si>
    <t>MCT FRU LLW BUQ PKX CAN PNH</t>
  </si>
  <si>
    <t>GBE HKT HRE NKG SCL TYN VXC</t>
  </si>
  <si>
    <t>HRE VXC GBE SCL TYN NKG HKT</t>
  </si>
  <si>
    <t>ROUTE NUM 1 / LEG NUM 1 / SYD to BKI - 14.75 HOURS</t>
  </si>
  <si>
    <t>ROUTE NUM 1 / LEG NUM 2 / SYD to IPC - 22.25 HOURS</t>
  </si>
  <si>
    <t>ROUTE NUM 1 / LEG NUM 3 / SYD to KHH - 17.75 HOURS</t>
  </si>
  <si>
    <t>ROUTE NUM 1 / LEG NUM 4 / SYD to KMG - 20.5 HOURS</t>
  </si>
  <si>
    <t>ROUTE NUM 1 / LEG NUM 5 / SYD to KMJ - 19 HOURS</t>
  </si>
  <si>
    <t>ROUTE NUM 1 / LEG NUM 6 / SYD to MCO - 35.25 HOURS</t>
  </si>
  <si>
    <t>ROUTE NUM 1 / LEG NUM 7 / SYD to MDL - 20.75 HOURS</t>
  </si>
  <si>
    <t>ROUTE NUM 1 / LEG NUM 8 / SYD to OKA - 17.75 HOURS</t>
  </si>
  <si>
    <t>ROUTE NUM 2 / LEG NUM 1 / SYD to ADD - 29.75 HOURS</t>
  </si>
  <si>
    <t>ROUTE NUM 2 / LEG NUM 2 / SYD to ADD - 29.75 HOURS</t>
  </si>
  <si>
    <t>ROUTE NUM 2 / LEG NUM 3 / SYD to ADD - 29.75 HOURS</t>
  </si>
  <si>
    <t>ROUTE NUM 2 / LEG NUM 4 / SYD to ADD - 29.75 HOURS</t>
  </si>
  <si>
    <t>ROUTE NUM 2 / LEG NUM 5 / SYD to ADD - 29.75 HOURS</t>
  </si>
  <si>
    <t>ROUTE NUM 2 / LEG NUM 6 / SYD to HAN - 19.25 HOURS</t>
  </si>
  <si>
    <t>ROUTE NUM 3 / LEG NUM 1 / SYD to CZM - 33.25 HOURS</t>
  </si>
  <si>
    <t>ROUTE NUM 3 / LEG NUM 2 / SYD to HND - 19.25 HOURS</t>
  </si>
  <si>
    <t>ROUTE NUM 3 / LEG NUM 3 / SYD to KMJ - 19 HOURS</t>
  </si>
  <si>
    <t>ROUTE NUM 3 / LEG NUM 4 / SYD to OUL - 35.25 HOURS</t>
  </si>
  <si>
    <t>ROUTE NUM 3 / LEG NUM 5 / SYD to PVG - 19.5 HOURS</t>
  </si>
  <si>
    <t>ROUTE NUM 3 / LEG NUM 6 / SYD to TAO - 20.75 HOURS</t>
  </si>
  <si>
    <t>ROUTE NUM 3 / LEG NUM 7 / SYD to TNA - 21 HOURS</t>
  </si>
  <si>
    <t>ROUTE NUM 4 / LEG NUM 1 / SYD to DAC - 22 HOURS</t>
  </si>
  <si>
    <t>ROUTE NUM 4 / LEG NUM 2 / SYD to MAA - 22.25 HOURS</t>
  </si>
  <si>
    <t>ROUTE NUM 4 / LEG NUM 3 / SYD to BLR - 22.75 HOURS</t>
  </si>
  <si>
    <t>ROUTE NUM 4 / LEG NUM 4 / SYD to RGN - 20 HOURS</t>
  </si>
  <si>
    <t>ROUTE NUM 4 / LEG NUM 5 / SYD to DAC - 22 HOURS</t>
  </si>
  <si>
    <t>ROUTE NUM 4 / LEG NUM 6 / SYD to MAA - 22.25 HOURS</t>
  </si>
  <si>
    <t>ROUTE NUM 4 / LEG NUM 7 / SYD to BLR - 22.75 HOURS</t>
  </si>
  <si>
    <t>ROUTE NUM 4 / LEG NUM 8 / SYD to KJT - 14 HOURS</t>
  </si>
  <si>
    <t>ROUTE NUM 5 / LEG NUM 1 / SYD to RGN - 20 HOURS</t>
  </si>
  <si>
    <t>ROUTE NUM 5 / LEG NUM 2 / SYD to DAC - 22 HOURS</t>
  </si>
  <si>
    <t>ROUTE NUM 5 / LEG NUM 3 / SYD to PVG - 19.5 HOURS</t>
  </si>
  <si>
    <t>ROUTE NUM 5 / LEG NUM 4 / SYD to RGN - 20 HOURS</t>
  </si>
  <si>
    <t>ROUTE NUM 5 / LEG NUM 5 / SYD to DAC - 22 HOURS</t>
  </si>
  <si>
    <t>ROUTE NUM 5 / LEG NUM 6 / SYD to MAA - 22.25 HOURS</t>
  </si>
  <si>
    <t>ROUTE NUM 5 / LEG NUM 7 / SYD to RGN - 20 HOURS</t>
  </si>
  <si>
    <t>ROUTE NUM 5 / LEG NUM 8 / SYD to MAA - 22.25 HOURS</t>
  </si>
  <si>
    <t>ROUTE NUM 6 / LEG NUM 1 / SYD to AWA - 29.75 HOURS</t>
  </si>
  <si>
    <t>ROUTE NUM 6 / LEG NUM 2 / SYD to CPT - 26.25 HOURS</t>
  </si>
  <si>
    <t>ROUTE NUM 6 / LEG NUM 3 / SYD to FBM - 29 HOURS</t>
  </si>
  <si>
    <t>ROUTE NUM 6 / LEG NUM 4 / SYD to FIH - 32.25 HOURS</t>
  </si>
  <si>
    <t>ROUTE NUM 6 / LEG NUM 5 / SYD to FKI - 31.25 HOURS</t>
  </si>
  <si>
    <t>ROUTE NUM 6 / LEG NUM 6 / SYD to SHA - 19.5 HOURS</t>
  </si>
  <si>
    <t>ROUTE NUM 8 / LEG NUM 1 / SYD to FKI - 31.25 HOURS</t>
  </si>
  <si>
    <t>ROUTE NUM 8 / LEG NUM 2 / SYD to FIH - 32.25 HOURS</t>
  </si>
  <si>
    <t>ROUTE NUM 8 / LEG NUM 3 / SYD to AWA - 29.75 HOURS</t>
  </si>
  <si>
    <t>ROUTE NUM 8 / LEG NUM 4 / SYD to FBM - 29 HOURS</t>
  </si>
  <si>
    <t>ROUTE NUM 8 / LEG NUM 5 / SYD to CPT - 26.25 HOURS</t>
  </si>
  <si>
    <t>ROUTE NUM 8 / LEG NUM 6 / SYD to SHA - 19.5 HOURS</t>
  </si>
  <si>
    <t>ROUTE NUM 9 / LEG NUM 1 / SYD to AWA - 29.75 HOURS</t>
  </si>
  <si>
    <t>ROUTE NUM 9 / LEG NUM 2 / SYD to CPT - 26.25 HOURS</t>
  </si>
  <si>
    <t>ROUTE NUM 9 / LEG NUM 3 / SYD to FBM - 29 HOURS</t>
  </si>
  <si>
    <t>ROUTE NUM 9 / LEG NUM 4 / SYD to FIH - 32.25 HOURS</t>
  </si>
  <si>
    <t>ROUTE NUM 9 / LEG NUM 5 / SYD to FKI - 31.25 HOURS</t>
  </si>
  <si>
    <t>ROUTE NUM 9 / LEG NUM 6 / SYD to PVG - 19.5 HOURS</t>
  </si>
  <si>
    <t>ROUTE NUM 10 / LEG NUM 1 / SYD to BBO - 28.75 HOURS</t>
  </si>
  <si>
    <t>ROUTE NUM 10 / LEG NUM 2 / SYD to DAR - 27.5 HOURS</t>
  </si>
  <si>
    <t>ROUTE NUM 10 / LEG NUM 3 / SYD to GLK - 27.75 HOURS</t>
  </si>
  <si>
    <t>ROUTE NUM 10 / LEG NUM 4 / SYD to ISB - 26.5 HOURS</t>
  </si>
  <si>
    <t>ROUTE NUM 10 / LEG NUM 5 / SYD to LUN - 28.25 HOURS</t>
  </si>
  <si>
    <t>ROUTE NUM 10 / LEG NUM 6 / SYD to NBO - 28.75 HOURS</t>
  </si>
  <si>
    <t>ROUTE NUM 13 / LEG NUM 1 / SYD to BBO - 28.75 HOURS</t>
  </si>
  <si>
    <t>ROUTE NUM 13 / LEG NUM 2 / SYD to NBO - 28.75 HOURS</t>
  </si>
  <si>
    <t>ROUTE NUM 13 / LEG NUM 3 / SYD to LUN - 28.25 HOURS</t>
  </si>
  <si>
    <t>ROUTE NUM 13 / LEG NUM 4 / SYD to GLK - 27.75 HOURS</t>
  </si>
  <si>
    <t>ROUTE NUM 13 / LEG NUM 5 / SYD to DAR - 27.5 HOURS</t>
  </si>
  <si>
    <t>ROUTE NUM 13 / LEG NUM 6 / SYD to ISB - 26.5 HOURS</t>
  </si>
  <si>
    <t>ROUTE NUM 14 / LEG NUM 1 / SYD to AMD - 25 HOURS</t>
  </si>
  <si>
    <t>ROUTE NUM 14 / LEG NUM 2 / SYD to BHV - 26 HOURS</t>
  </si>
  <si>
    <t>ROUTE NUM 14 / LEG NUM 3 / SYD to DEL - 25 HOURS</t>
  </si>
  <si>
    <t>ROUTE NUM 14 / LEG NUM 4 / SYD to JNB - 26.25 HOURS</t>
  </si>
  <si>
    <t>ROUTE NUM 14 / LEG NUM 5 / SYD to KHI - 26.25 HOURS</t>
  </si>
  <si>
    <t>ROUTE NUM 14 / LEG NUM 6 / SYD to LHE - 26 HOURS</t>
  </si>
  <si>
    <t>ROUTE NUM 14 / LEG NUM 7 / SYD to POM - 8.25 HOURS</t>
  </si>
  <si>
    <t>ROUTE NUM 14 / LEG NUM 8 / SYD to BNE - 3.75 HOURS</t>
  </si>
  <si>
    <t>ROUTE NUM 15 / LEG NUM 1 / SYD to JNB - 26.25 HOURS</t>
  </si>
  <si>
    <t>ROUTE NUM 15 / LEG NUM 2 / SYD to KHI - 26.25 HOURS</t>
  </si>
  <si>
    <t>ROUTE NUM 15 / LEG NUM 3 / SYD to BHV - 26 HOURS</t>
  </si>
  <si>
    <t>ROUTE NUM 15 / LEG NUM 4 / SYD to LHE - 26 HOURS</t>
  </si>
  <si>
    <t>ROUTE NUM 15 / LEG NUM 5 / SYD to AMD - 25 HOURS</t>
  </si>
  <si>
    <t>ROUTE NUM 15 / LEG NUM 6 / SYD to DEL - 25 HOURS</t>
  </si>
  <si>
    <t>ROUTE NUM 15 / LEG NUM 7 / SYD to POM - 8.25 HOURS</t>
  </si>
  <si>
    <t>ROUTE NUM 17 / LEG NUM 1 / SYD to JNB - 26.25 HOURS</t>
  </si>
  <si>
    <t>ROUTE NUM 17 / LEG NUM 2 / SYD to KHI - 26.25 HOURS</t>
  </si>
  <si>
    <t>ROUTE NUM 17 / LEG NUM 3 / SYD to BHV - 26 HOURS</t>
  </si>
  <si>
    <t>ROUTE NUM 17 / LEG NUM 4 / SYD to LHE - 26 HOURS</t>
  </si>
  <si>
    <t>ROUTE NUM 17 / LEG NUM 5 / SYD to AMD - 25 HOURS</t>
  </si>
  <si>
    <t>ROUTE NUM 17 / LEG NUM 6 / SYD to DEL - 25 HOURS</t>
  </si>
  <si>
    <t>ROUTE NUM 17 / LEG NUM 7 / SYD to POM - 8.25 HOURS</t>
  </si>
  <si>
    <t>ROUTE NUM 17 / LEG NUM 8 / SYD to MEL - 3.75 HOURS</t>
  </si>
  <si>
    <t>ROUTE NUM 18 / LEG NUM 1 / SYD to ALA - 27.25 HOURS</t>
  </si>
  <si>
    <t>ROUTE NUM 18 / LEG NUM 2 / SYD to BTH - 16 HOURS</t>
  </si>
  <si>
    <t>ROUTE NUM 18 / LEG NUM 3 / SYD to GYD - 31.25 HOURS</t>
  </si>
  <si>
    <t>ROUTE NUM 18 / LEG NUM 4 / SYD to JED - 31.25 HOURS</t>
  </si>
  <si>
    <t>ROUTE NUM 18 / LEG NUM 5 / SYD to MTY - 31.25 HOURS</t>
  </si>
  <si>
    <t>ROUTE NUM 18 / LEG NUM 6 / SYD to SVX - 31 HOURS</t>
  </si>
  <si>
    <t>ROUTE NUM 20 / LEG NUM 1 / SYD to GYD - 31.25 HOURS</t>
  </si>
  <si>
    <t>ROUTE NUM 20 / LEG NUM 2 / SYD to JED - 31.25 HOURS</t>
  </si>
  <si>
    <t>ROUTE NUM 20 / LEG NUM 3 / SYD to MTY - 31.25 HOURS</t>
  </si>
  <si>
    <t>ROUTE NUM 20 / LEG NUM 4 / SYD to SVX - 31 HOURS</t>
  </si>
  <si>
    <t>ROUTE NUM 20 / LEG NUM 5 / SYD to ALA - 27.25 HOURS</t>
  </si>
  <si>
    <t>ROUTE NUM 20 / LEG NUM 6 / SYD to BTH - 16 HOURS</t>
  </si>
  <si>
    <t>ROUTE NUM 21 / LEG NUM 1 / SYD to ADE - 29 HOURS</t>
  </si>
  <si>
    <t>ROUTE NUM 21 / LEG NUM 2 / SYD to ASM - 30.75 HOURS</t>
  </si>
  <si>
    <t>ROUTE NUM 21 / LEG NUM 3 / SYD to BSR - 30.75 HOURS</t>
  </si>
  <si>
    <t>ROUTE NUM 21 / LEG NUM 4 / SYD to CBB - 30.75 HOURS</t>
  </si>
  <si>
    <t>ROUTE NUM 21 / LEG NUM 5 / SYD to CEK - 30.75 HOURS</t>
  </si>
  <si>
    <t>ROUTE NUM 21 / LEG NUM 6 / SYD to MNL - 16 HOURS</t>
  </si>
  <si>
    <t>ROUTE NUM 23 / LEG NUM 1 / SYD to ASM - 30.75 HOURS</t>
  </si>
  <si>
    <t>ROUTE NUM 23 / LEG NUM 2 / SYD to BSR - 30.75 HOURS</t>
  </si>
  <si>
    <t>ROUTE NUM 23 / LEG NUM 3 / SYD to CBB - 30.75 HOURS</t>
  </si>
  <si>
    <t>ROUTE NUM 23 / LEG NUM 4 / SYD to CEK - 30.75 HOURS</t>
  </si>
  <si>
    <t>ROUTE NUM 23 / LEG NUM 5 / SYD to ADE - 29 HOURS</t>
  </si>
  <si>
    <t>ROUTE NUM 23 / LEG NUM 6 / SYD to MNL - 16 HOURS</t>
  </si>
  <si>
    <t>ROUTE NUM 24 / LEG NUM 1 / SYD to ATA - 30.5 HOURS</t>
  </si>
  <si>
    <t>ROUTE NUM 24 / LEG NUM 2 / SYD to CUZ - 30.75 HOURS</t>
  </si>
  <si>
    <t>ROUTE NUM 24 / LEG NUM 3 / SYD to EZE - 28 HOURS</t>
  </si>
  <si>
    <t>ROUTE NUM 24 / LEG NUM 4 / SYD to LPB - 30.75 HOURS</t>
  </si>
  <si>
    <t>ROUTE NUM 24 / LEG NUM 5 / SYD to MEX - 30.75 HOURS</t>
  </si>
  <si>
    <t>ROUTE NUM 24 / LEG NUM 6 / SYD to SGN - 17.25 HOURS</t>
  </si>
  <si>
    <t>ROUTE NUM 26 / LEG NUM 1 / SYD to CUZ - 30.75 HOURS</t>
  </si>
  <si>
    <t>ROUTE NUM 26 / LEG NUM 2 / SYD to LPB - 30.75 HOURS</t>
  </si>
  <si>
    <t>ROUTE NUM 26 / LEG NUM 3 / SYD to MEX - 30.75 HOURS</t>
  </si>
  <si>
    <t>ROUTE NUM 26 / LEG NUM 4 / SYD to ATA - 30.5 HOURS</t>
  </si>
  <si>
    <t>ROUTE NUM 26 / LEG NUM 5 / SYD to EZE - 28 HOURS</t>
  </si>
  <si>
    <t>ROUTE NUM 26 / LEG NUM 6 / SYD to SGN - 17.25 HOURS</t>
  </si>
  <si>
    <t>ROUTE NUM 27 / LEG NUM 1 / SYD to AHB - 30.25 HOURS</t>
  </si>
  <si>
    <t>ROUTE NUM 27 / LEG NUM 2 / SYD to AWZ - 30.5 HOURS</t>
  </si>
  <si>
    <t>ROUTE NUM 27 / LEG NUM 3 / SYD to IKA - 30.5 HOURS</t>
  </si>
  <si>
    <t>ROUTE NUM 27 / LEG NUM 4 / SYD to KNO - 17.25 HOURS</t>
  </si>
  <si>
    <t>ROUTE NUM 27 / LEG NUM 5 / SYD to THR - 30.5 HOURS</t>
  </si>
  <si>
    <t>ROUTE NUM 27 / LEG NUM 6 / SYD to TSE - 29 HOURS</t>
  </si>
  <si>
    <t>ROUTE NUM 29 / LEG NUM 1 / SYD to AWZ - 30.5 HOURS</t>
  </si>
  <si>
    <t>ROUTE NUM 29 / LEG NUM 2 / SYD to IKA - 30.5 HOURS</t>
  </si>
  <si>
    <t>ROUTE NUM 29 / LEG NUM 3 / SYD to THR - 30.5 HOURS</t>
  </si>
  <si>
    <t>ROUTE NUM 29 / LEG NUM 4 / SYD to AHB - 30.25 HOURS</t>
  </si>
  <si>
    <t>ROUTE NUM 29 / LEG NUM 5 / SYD to TSE - 29 HOURS</t>
  </si>
  <si>
    <t>ROUTE NUM 29 / LEG NUM 6 / SYD to KNO - 17.25 HOURS</t>
  </si>
  <si>
    <t>ROUTE NUM 30 / LEG NUM 1 / SYD to AQP - 30.25 HOURS</t>
  </si>
  <si>
    <t>ROUTE NUM 30 / LEG NUM 2 / SYD to GDL - 30 HOURS</t>
  </si>
  <si>
    <t>ROUTE NUM 30 / LEG NUM 3 / SYD to LIM - 30.25 HOURS</t>
  </si>
  <si>
    <t>ROUTE NUM 30 / LEG NUM 4 / SYD to OMS - 29.25 HOURS</t>
  </si>
  <si>
    <t>ROUTE NUM 30 / LEG NUM 5 / SYD to REP - 18 HOURS</t>
  </si>
  <si>
    <t>ROUTE NUM 30 / LEG NUM 6 / SYD to RUH - 30.25 HOURS</t>
  </si>
  <si>
    <t>ROUTE NUM 32 / LEG NUM 1 / SYD to AQP - 30.25 HOURS</t>
  </si>
  <si>
    <t>ROUTE NUM 32 / LEG NUM 2 / SYD to LIM - 30.25 HOURS</t>
  </si>
  <si>
    <t>ROUTE NUM 32 / LEG NUM 3 / SYD to RUH - 30.25 HOURS</t>
  </si>
  <si>
    <t>ROUTE NUM 32 / LEG NUM 4 / SYD to GDL - 30 HOURS</t>
  </si>
  <si>
    <t>ROUTE NUM 32 / LEG NUM 5 / SYD to OMS - 29.25 HOURS</t>
  </si>
  <si>
    <t>ROUTE NUM 32 / LEG NUM 6 / SYD to REP - 18 HOURS</t>
  </si>
  <si>
    <t>ROUTE NUM 33 / LEG NUM 1 / SYD to ASW - 33 HOURS</t>
  </si>
  <si>
    <t>ROUTE NUM 33 / LEG NUM 2 / SYD to DAM - 33 HOURS</t>
  </si>
  <si>
    <t>ROUTE NUM 33 / LEG NUM 3 / SYD to KRR - 33.25 HOURS</t>
  </si>
  <si>
    <t>ROUTE NUM 33 / LEG NUM 4 / SYD to NOU - 6.5 HOURS</t>
  </si>
  <si>
    <t>ROUTE NUM 33 / LEG NUM 5 / SYD to TLV - 33.25 HOURS</t>
  </si>
  <si>
    <t>ROUTE NUM 33 / LEG NUM 6 / SYD to TUC - 29 HOURS</t>
  </si>
  <si>
    <t>ROUTE NUM 34 / LEG NUM 1 / SYD to KRR - 33.25 HOURS</t>
  </si>
  <si>
    <t>ROUTE NUM 34 / LEG NUM 2 / SYD to TLV - 33.25 HOURS</t>
  </si>
  <si>
    <t>ROUTE NUM 34 / LEG NUM 3 / SYD to ASW - 33 HOURS</t>
  </si>
  <si>
    <t>ROUTE NUM 34 / LEG NUM 4 / SYD to DAM - 33 HOURS</t>
  </si>
  <si>
    <t>ROUTE NUM 34 / LEG NUM 5 / SYD to TUC - 29 HOURS</t>
  </si>
  <si>
    <t>ROUTE NUM 34 / LEG NUM 6 / SYD to NOU - 6.5 HOURS</t>
  </si>
  <si>
    <t>ROUTE NUM 35 / LEG NUM 1 / SYD to CHC - 6.75 HOURS</t>
  </si>
  <si>
    <t>ROUTE NUM 35 / LEG NUM 2 / SYD to CJC - 29.5 HOURS</t>
  </si>
  <si>
    <t>ROUTE NUM 35 / LEG NUM 3 / SYD to HRG - 33 HOURS</t>
  </si>
  <si>
    <t>ROUTE NUM 35 / LEG NUM 4 / SYD to LXR - 33 HOURS</t>
  </si>
  <si>
    <t>ROUTE NUM 35 / LEG NUM 5 / SYD to MRV - 32.75 HOURS</t>
  </si>
  <si>
    <t>ROUTE NUM 35 / LEG NUM 6 / SYD to SSH - 33 HOURS</t>
  </si>
  <si>
    <t>ROUTE NUM 36 / LEG NUM 1 / SYD to HRG - 33 HOURS</t>
  </si>
  <si>
    <t>ROUTE NUM 36 / LEG NUM 2 / SYD to LXR - 33 HOURS</t>
  </si>
  <si>
    <t>ROUTE NUM 36 / LEG NUM 3 / SYD to SSH - 33 HOURS</t>
  </si>
  <si>
    <t>ROUTE NUM 36 / LEG NUM 4 / SYD to MRV - 32.75 HOURS</t>
  </si>
  <si>
    <t>ROUTE NUM 36 / LEG NUM 5 / SYD to CJC - 29.5 HOURS</t>
  </si>
  <si>
    <t>ROUTE NUM 36 / LEG NUM 6 / SYD to CHC - 6.75 HOURS</t>
  </si>
  <si>
    <t>ROUTE NUM 37 / LEG NUM 1 / SYD to AKL - 6.75 HOURS</t>
  </si>
  <si>
    <t>ROUTE NUM 37 / LEG NUM 2 / SYD to DEN - 31.75 HOURS</t>
  </si>
  <si>
    <t>ROUTE NUM 37 / LEG NUM 3 / SYD to DFW - 32.5 HOURS</t>
  </si>
  <si>
    <t>ROUTE NUM 37 / LEG NUM 4 / SYD to KUF - 32.25 HOURS</t>
  </si>
  <si>
    <t>ROUTE NUM 37 / LEG NUM 5 / SYD to KZN - 32.25 HOURS</t>
  </si>
  <si>
    <t>ROUTE NUM 37 / LEG NUM 6 / SYD to SJO - 32.5 HOURS</t>
  </si>
  <si>
    <t>ROUTE NUM 38 / LEG NUM 1 / SYD to DFW - 32.5 HOURS</t>
  </si>
  <si>
    <t>ROUTE NUM 38 / LEG NUM 2 / SYD to SJO - 32.5 HOURS</t>
  </si>
  <si>
    <t>ROUTE NUM 38 / LEG NUM 3 / SYD to KUF - 32.25 HOURS</t>
  </si>
  <si>
    <t>ROUTE NUM 38 / LEG NUM 4 / SYD to KZN - 32.25 HOURS</t>
  </si>
  <si>
    <t>ROUTE NUM 38 / LEG NUM 5 / SYD to DEN - 31.75 HOURS</t>
  </si>
  <si>
    <t>ROUTE NUM 38 / LEG NUM 6 / SYD to AKL - 6.75 HOURS</t>
  </si>
  <si>
    <t>ROUTE NUM 39 / LEG NUM 1 / SYD to AKX - 31 HOURS</t>
  </si>
  <si>
    <t>ROUTE NUM 39 / LEG NUM 2 / SYD to GUW - 31.5 HOURS</t>
  </si>
  <si>
    <t>ROUTE NUM 39 / LEG NUM 3 / SYD to KDH - 27.5 HOURS</t>
  </si>
  <si>
    <t>ROUTE NUM 39 / LEG NUM 4 / SYD to KJT - 14 HOURS</t>
  </si>
  <si>
    <t>ROUTE NUM 39 / LEG NUM 5 / SYD to KVD - 31.75 HOURS</t>
  </si>
  <si>
    <t>ROUTE NUM 39 / LEG NUM 6 / SYD to LIR - 32.25 HOURS</t>
  </si>
  <si>
    <t>ROUTE NUM 40 / LEG NUM 1 / SYD to MEC - 31.5 HOURS</t>
  </si>
  <si>
    <t>ROUTE NUM 40 / LEG NUM 2 / SYD to UFA - 31.5 HOURS</t>
  </si>
  <si>
    <t>ROUTE NUM 40 / LEG NUM 3 / SYD to YYC - 31 HOURS</t>
  </si>
  <si>
    <t>ROUTE NUM 40 / LEG NUM 4 / SYD to TLC - 30.5 HOURS</t>
  </si>
  <si>
    <t>ROUTE NUM 40 / LEG NUM 5 / SYD to KHG - 26.75 HOURS</t>
  </si>
  <si>
    <t>ROUTE NUM 40 / LEG NUM 6 / SYD to LAO - 16.75 HOURS</t>
  </si>
  <si>
    <t>ROUTE NUM 41 / LEG NUM 1 / SYD to KHG - 26.75 HOURS</t>
  </si>
  <si>
    <t>ROUTE NUM 41 / LEG NUM 2 / SYD to LAO - 16.75 HOURS</t>
  </si>
  <si>
    <t>ROUTE NUM 41 / LEG NUM 3 / SYD to MEC - 31.5 HOURS</t>
  </si>
  <si>
    <t>ROUTE NUM 41 / LEG NUM 4 / SYD to TLC - 30.5 HOURS</t>
  </si>
  <si>
    <t>ROUTE NUM 41 / LEG NUM 5 / SYD to UFA - 31.5 HOURS</t>
  </si>
  <si>
    <t>ROUTE NUM 41 / LEG NUM 6 / SYD to YYC - 31 HOURS</t>
  </si>
  <si>
    <t>ROUTE NUM 43 / LEG NUM 1 / SYD to ASU - 30.25 HOURS</t>
  </si>
  <si>
    <t>ROUTE NUM 43 / LEG NUM 2 / SYD to IGR - 30.25 HOURS</t>
  </si>
  <si>
    <t>ROUTE NUM 43 / LEG NUM 3 / SYD to IQQ - 29.75 HOURS</t>
  </si>
  <si>
    <t>ROUTE NUM 43 / LEG NUM 4 / SYD to KMQ - 19.75 HOURS</t>
  </si>
  <si>
    <t>ROUTE NUM 43 / LEG NUM 5 / SYD to LAS - 29.5 HOURS</t>
  </si>
  <si>
    <t>ROUTE NUM 43 / LEG NUM 6 / SYD to LAX - 28.5 HOURS</t>
  </si>
  <si>
    <t>ROUTE NUM 44 / LEG NUM 1 / SYD to ASU - 30.25 HOURS</t>
  </si>
  <si>
    <t>ROUTE NUM 44 / LEG NUM 2 / SYD to IGR - 30.25 HOURS</t>
  </si>
  <si>
    <t>ROUTE NUM 44 / LEG NUM 3 / SYD to IQQ - 29.75 HOURS</t>
  </si>
  <si>
    <t>ROUTE NUM 44 / LEG NUM 4 / SYD to LAS - 29.5 HOURS</t>
  </si>
  <si>
    <t>ROUTE NUM 44 / LEG NUM 5 / SYD to LAX - 28.5 HOURS</t>
  </si>
  <si>
    <t>ROUTE NUM 44 / LEG NUM 6 / SYD to KMQ - 19.75 HOURS</t>
  </si>
  <si>
    <t>ROUTE NUM 45 / LEG NUM 1 / SYD to COR - 28.25 HOURS</t>
  </si>
  <si>
    <t>ROUTE NUM 45 / LEG NUM 2 / SYD to OAK - 28.5 HOURS</t>
  </si>
  <si>
    <t>ROUTE NUM 45 / LEG NUM 3 / SYD to PDX - 29.25 HOURS</t>
  </si>
  <si>
    <t>ROUTE NUM 45 / LEG NUM 4 / SYD to PUQ - 23 HOURS</t>
  </si>
  <si>
    <t>ROUTE NUM 45 / LEG NUM 5 / SYD to SEA - 29.5 HOURS</t>
  </si>
  <si>
    <t>ROUTE NUM 45 / LEG NUM 6 / SYD to YVR - 29.5 HOURS</t>
  </si>
  <si>
    <t>ROUTE NUM 46 / LEG NUM 1 / SYD to SEA - 29.5 HOURS</t>
  </si>
  <si>
    <t>ROUTE NUM 46 / LEG NUM 2 / SYD to YVR - 29.5 HOURS</t>
  </si>
  <si>
    <t>ROUTE NUM 46 / LEG NUM 3 / SYD to PDX - 29.25 HOURS</t>
  </si>
  <si>
    <t>ROUTE NUM 46 / LEG NUM 4 / SYD to OAK - 28.5 HOURS</t>
  </si>
  <si>
    <t>ROUTE NUM 46 / LEG NUM 5 / SYD to COR - 28.25 HOURS</t>
  </si>
  <si>
    <t>ROUTE NUM 46 / LEG NUM 6 / SYD to PUQ - 23 HOURS</t>
  </si>
  <si>
    <t>ROUTE NUM 47 / LEG NUM 1 / SYD to UET - 27 HOURS</t>
  </si>
  <si>
    <t>ROUTE NUM 47 / LEG NUM 2 / SYD to BHJ - 25.5 HOURS</t>
  </si>
  <si>
    <t>ROUTE NUM 47 / LEG NUM 3 / SYD to GOI - 23.75 HOURS</t>
  </si>
  <si>
    <t>ROUTE NUM 47 / LEG NUM 4 / SYD to HKG - 18.25 HOURS</t>
  </si>
  <si>
    <t>ROUTE NUM 47 / LEG NUM 5 / SYD to JAI - 25 HOURS</t>
  </si>
  <si>
    <t>ROUTE NUM 47 / LEG NUM 6 / SYD to PNQ - 24.25 HOURS</t>
  </si>
  <si>
    <t>ROUTE NUM 47 / LEG NUM 7 / SYD to TNR - 24.25 HOURS</t>
  </si>
  <si>
    <t>ROUTE NUM 49 / LEG NUM 1 / SYD to UET - 27 HOURS</t>
  </si>
  <si>
    <t>ROUTE NUM 49 / LEG NUM 2 / SYD to BHJ - 25.5 HOURS</t>
  </si>
  <si>
    <t>ROUTE NUM 49 / LEG NUM 3 / SYD to JAI - 25 HOURS</t>
  </si>
  <si>
    <t>ROUTE NUM 49 / LEG NUM 4 / SYD to PNQ - 24.25 HOURS</t>
  </si>
  <si>
    <t>ROUTE NUM 49 / LEG NUM 5 / SYD to TNR - 24.25 HOURS</t>
  </si>
  <si>
    <t>ROUTE NUM 49 / LEG NUM 6 / SYD to GOI - 23.75 HOURS</t>
  </si>
  <si>
    <t>ROUTE NUM 49 / LEG NUM 7 / SYD to HKG - 18.25 HOURS</t>
  </si>
  <si>
    <t>ROUTE NUM 50 / LEG NUM 1 / SYD to BKK - 18.75 HOURS</t>
  </si>
  <si>
    <t>ROUTE NUM 50 / LEG NUM 2 / SYD to CGP - 21.5 HOURS</t>
  </si>
  <si>
    <t>ROUTE NUM 50 / LEG NUM 3 / SYD to DMK - 18.75 HOURS</t>
  </si>
  <si>
    <t>ROUTE NUM 50 / LEG NUM 4 / SYD to HYD - 23.25 HOURS</t>
  </si>
  <si>
    <t>ROUTE NUM 50 / LEG NUM 5 / SYD to LXA - 23 HOURS</t>
  </si>
  <si>
    <t>ROUTE NUM 50 / LEG NUM 6 / SYD to SZX - 18.5 HOURS</t>
  </si>
  <si>
    <t>ROUTE NUM 50 / LEG NUM 7 / SYD to ULN - 24.25 HOURS</t>
  </si>
  <si>
    <t>ROUTE NUM 50 / LEG NUM 8 / SYD to WUH - 20 HOURS</t>
  </si>
  <si>
    <t>ROUTE NUM 52 / LEG NUM 1 / SYD to ULN - 24.25 HOURS</t>
  </si>
  <si>
    <t>ROUTE NUM 52 / LEG NUM 2 / SYD to HYD - 23.25 HOURS</t>
  </si>
  <si>
    <t>ROUTE NUM 52 / LEG NUM 3 / SYD to LXA - 23 HOURS</t>
  </si>
  <si>
    <t>ROUTE NUM 52 / LEG NUM 4 / SYD to CGP - 21.5 HOURS</t>
  </si>
  <si>
    <t>ROUTE NUM 52 / LEG NUM 5 / SYD to WUH - 20 HOURS</t>
  </si>
  <si>
    <t>ROUTE NUM 52 / LEG NUM 6 / SYD to BKK - 18.75 HOURS</t>
  </si>
  <si>
    <t>ROUTE NUM 52 / LEG NUM 7 / SYD to DMK - 18.75 HOURS</t>
  </si>
  <si>
    <t>ROUTE NUM 52 / LEG NUM 8 / SYD to SZX - 18.5 HOURS</t>
  </si>
  <si>
    <t>ROUTE NUM 53 / LEG NUM 1 / SYD to CGO - 21 HOURS</t>
  </si>
  <si>
    <t>ROUTE NUM 53 / LEG NUM 2 / SYD to CKG - 20.75 HOURS</t>
  </si>
  <si>
    <t>ROUTE NUM 53 / LEG NUM 3 / SYD to CTU - 21.25 HOURS</t>
  </si>
  <si>
    <t>ROUTE NUM 53 / LEG NUM 4 / SYD to DLC - 21.25 HOURS</t>
  </si>
  <si>
    <t>ROUTE NUM 53 / LEG NUM 5 / SYD to HGH - 19.25 HOURS</t>
  </si>
  <si>
    <t>ROUTE NUM 53 / LEG NUM 6 / SYD to SHE - 21.5 HOURS</t>
  </si>
  <si>
    <t>ROUTE NUM 53 / LEG NUM 7 / SYD to TSN - 21.5 HOURS</t>
  </si>
  <si>
    <t>ROUTE NUM 53 / LEG NUM 8 / SYD to XIY - 21.5 HOURS</t>
  </si>
  <si>
    <t>ROUTE NUM 55 / LEG NUM 1 / SYD to SHE - 21.5 HOURS</t>
  </si>
  <si>
    <t>ROUTE NUM 55 / LEG NUM 2 / SYD to TSN - 21.5 HOURS</t>
  </si>
  <si>
    <t>ROUTE NUM 55 / LEG NUM 3 / SYD to XIY - 21.5 HOURS</t>
  </si>
  <si>
    <t>ROUTE NUM 55 / LEG NUM 4 / SYD to CTU - 21.25 HOURS</t>
  </si>
  <si>
    <t>ROUTE NUM 55 / LEG NUM 5 / SYD to DLC - 21.25 HOURS</t>
  </si>
  <si>
    <t>ROUTE NUM 55 / LEG NUM 6 / SYD to CGO - 21 HOURS</t>
  </si>
  <si>
    <t>ROUTE NUM 55 / LEG NUM 7 / SYD to CKG - 20.75 HOURS</t>
  </si>
  <si>
    <t>ROUTE NUM 55 / LEG NUM 8 / SYD to HGH - 19.25 HOURS</t>
  </si>
  <si>
    <t>ROUTE NUM 56 / LEG NUM 1 / SYD to ADB - 35.25 HOURS</t>
  </si>
  <si>
    <t>ROUTE NUM 56 / LEG NUM 2 / SYD to ATL - 35 HOURS</t>
  </si>
  <si>
    <t>ROUTE NUM 56 / LEG NUM 3 / SYD to BOJ - 35.25 HOURS</t>
  </si>
  <si>
    <t>ROUTE NUM 56 / LEG NUM 4 / SYD to CND - 35.25 HOURS</t>
  </si>
  <si>
    <t>ROUTE NUM 56 / LEG NUM 5 / SYD to MDZ - 27.25 HOURS</t>
  </si>
  <si>
    <t>ROUTE NUM 57 / LEG NUM 1 / SYD to ADB - 35.25 HOURS</t>
  </si>
  <si>
    <t>ROUTE NUM 57 / LEG NUM 2 / SYD to BOJ - 35.25 HOURS</t>
  </si>
  <si>
    <t>ROUTE NUM 57 / LEG NUM 3 / SYD to CND - 35.25 HOURS</t>
  </si>
  <si>
    <t>ROUTE NUM 57 / LEG NUM 4 / SYD to ATL - 35 HOURS</t>
  </si>
  <si>
    <t>ROUTE NUM 57 / LEG NUM 5 / SYD to MDZ - 27.25 HOURS</t>
  </si>
  <si>
    <t>ROUTE NUM 58 / LEG NUM 1 / SYD to IST - 35 HOURS</t>
  </si>
  <si>
    <t>ROUTE NUM 58 / LEG NUM 2 / SYD to KBL - 27.25 HOURS</t>
  </si>
  <si>
    <t>ROUTE NUM 58 / LEG NUM 3 / SYD to KIV - 35.25 HOURS</t>
  </si>
  <si>
    <t>ROUTE NUM 58 / LEG NUM 4 / SYD to MCZ - 35.25 HOURS</t>
  </si>
  <si>
    <t>ROUTE NUM 58 / LEG NUM 5 / SYD to MSQ - 35.25 HOURS</t>
  </si>
  <si>
    <t>ROUTE NUM 59 / LEG NUM 1 / SYD to KIV - 35.25 HOURS</t>
  </si>
  <si>
    <t>ROUTE NUM 59 / LEG NUM 2 / SYD to MCZ - 35.25 HOURS</t>
  </si>
  <si>
    <t>ROUTE NUM 59 / LEG NUM 3 / SYD to MSQ - 35.25 HOURS</t>
  </si>
  <si>
    <t>ROUTE NUM 59 / LEG NUM 4 / SYD to IST - 35 HOURS</t>
  </si>
  <si>
    <t>ROUTE NUM 59 / LEG NUM 5 / SYD to KBL - 27.25 HOURS</t>
  </si>
  <si>
    <t>ROUTE NUM 60 / LEG NUM 1 / SYD to DLM - 34.75 HOURS</t>
  </si>
  <si>
    <t>ROUTE NUM 60 / LEG NUM 2 / SYD to KBP - 35 HOURS</t>
  </si>
  <si>
    <t>ROUTE NUM 60 / LEG NUM 3 / SYD to KIN - 35 HOURS</t>
  </si>
  <si>
    <t>ROUTE NUM 60 / LEG NUM 4 / SYD to LED - 35 HOURS</t>
  </si>
  <si>
    <t>ROUTE NUM 60 / LEG NUM 5 / SYD to SFO - 28.25 HOURS</t>
  </si>
  <si>
    <t>ROUTE NUM 61 / LEG NUM 1 / SYD to KBP - 35 HOURS</t>
  </si>
  <si>
    <t>ROUTE NUM 61 / LEG NUM 2 / SYD to KIN - 35 HOURS</t>
  </si>
  <si>
    <t>ROUTE NUM 61 / LEG NUM 3 / SYD to LED - 35 HOURS</t>
  </si>
  <si>
    <t>ROUTE NUM 61 / LEG NUM 4 / SYD to DLM - 34.75 HOURS</t>
  </si>
  <si>
    <t>ROUTE NUM 61 / LEG NUM 5 / SYD to SFO - 28.25 HOURS</t>
  </si>
  <si>
    <t>ROUTE NUM 62 / LEG NUM 1 / SYD to HEA - 28.5 HOURS</t>
  </si>
  <si>
    <t>ROUTE NUM 62 / LEG NUM 2 / SYD to MAR - 35 HOURS</t>
  </si>
  <si>
    <t>ROUTE NUM 62 / LEG NUM 3 / SYD to ODS - 34.75 HOURS</t>
  </si>
  <si>
    <t>ROUTE NUM 62 / LEG NUM 4 / SYD to ORD - 34.75 HOURS</t>
  </si>
  <si>
    <t>ROUTE NUM 62 / LEG NUM 5 / SYD to SAW - 35 HOURS</t>
  </si>
  <si>
    <t>ROUTE NUM 63 / LEG NUM 1 / SYD to MAR - 35 HOURS</t>
  </si>
  <si>
    <t>ROUTE NUM 63 / LEG NUM 2 / SYD to SAW - 35 HOURS</t>
  </si>
  <si>
    <t>ROUTE NUM 63 / LEG NUM 3 / SYD to ODS - 34.75 HOURS</t>
  </si>
  <si>
    <t>ROUTE NUM 63 / LEG NUM 4 / SYD to ORD - 34.75 HOURS</t>
  </si>
  <si>
    <t>ROUTE NUM 63 / LEG NUM 5 / SYD to HEA - 28.5 HOURS</t>
  </si>
  <si>
    <t>ROUTE NUM 64 / LEG NUM 1 / SYD to AER - 33.25 HOURS</t>
  </si>
  <si>
    <t>ROUTE NUM 64 / LEG NUM 2 / SYD to AYT - 34.5 HOURS</t>
  </si>
  <si>
    <t>ROUTE NUM 64 / LEG NUM 3 / SYD to HAV - 34.5 HOURS</t>
  </si>
  <si>
    <t>ROUTE NUM 64 / LEG NUM 4 / SYD to SSA - 34.5 HOURS</t>
  </si>
  <si>
    <t>ROUTE NUM 64 / LEG NUM 5 / SYD to YEG - 31.25 HOURS</t>
  </si>
  <si>
    <t>ROUTE NUM 65 / LEG NUM 1 / SYD to AYT - 34.5 HOURS</t>
  </si>
  <si>
    <t>ROUTE NUM 65 / LEG NUM 2 / SYD to HAV - 34.5 HOURS</t>
  </si>
  <si>
    <t>ROUTE NUM 65 / LEG NUM 3 / SYD to SSA - 34.5 HOURS</t>
  </si>
  <si>
    <t>ROUTE NUM 65 / LEG NUM 4 / SYD to AER - 33.25 HOURS</t>
  </si>
  <si>
    <t>ROUTE NUM 65 / LEG NUM 5 / SYD to YEG - 31.25 HOURS</t>
  </si>
  <si>
    <t>ROUTE NUM 66 / LEG NUM 1 / SYD to AMM - 33 HOURS</t>
  </si>
  <si>
    <t>ROUTE NUM 66 / LEG NUM 2 / SYD to DNK - 34.25 HOURS</t>
  </si>
  <si>
    <t>ROUTE NUM 66 / LEG NUM 3 / SYD to ESB - 34.25 HOURS</t>
  </si>
  <si>
    <t>ROUTE NUM 66 / LEG NUM 4 / SYD to NSI - 34.25 HOURS</t>
  </si>
  <si>
    <t>ROUTE NUM 66 / LEG NUM 5 / SYD to OGZ - 32.25 HOURS</t>
  </si>
  <si>
    <t>ROUTE NUM 67 / LEG NUM 1 / SYD to DNK - 34.25 HOURS</t>
  </si>
  <si>
    <t>ROUTE NUM 67 / LEG NUM 2 / SYD to ESB - 34.25 HOURS</t>
  </si>
  <si>
    <t>ROUTE NUM 67 / LEG NUM 3 / SYD to NSI - 34.25 HOURS</t>
  </si>
  <si>
    <t>ROUTE NUM 67 / LEG NUM 4 / SYD to AMM - 33 HOURS</t>
  </si>
  <si>
    <t>ROUTE NUM 67 / LEG NUM 5 / SYD to OGZ - 32.25 HOURS</t>
  </si>
  <si>
    <t>ROUTE NUM 68 / LEG NUM 1 / SYD to ALP - 33.25 HOURS</t>
  </si>
  <si>
    <t>ROUTE NUM 68 / LEG NUM 2 / SYD to LBV - 34 HOURS</t>
  </si>
  <si>
    <t>ROUTE NUM 68 / LEG NUM 3 / SYD to MID - 32.75 HOURS</t>
  </si>
  <si>
    <t>ROUTE NUM 68 / LEG NUM 4 / SYD to SVO - 34 HOURS</t>
  </si>
  <si>
    <t>ROUTE NUM 68 / LEG NUM 5 / SYD to VKO - 34 HOURS</t>
  </si>
  <si>
    <t>ROUTE NUM 69 / LEG NUM 1 / SYD to LBV - 34 HOURS</t>
  </si>
  <si>
    <t>ROUTE NUM 69 / LEG NUM 2 / SYD to SVO - 34 HOURS</t>
  </si>
  <si>
    <t>ROUTE NUM 69 / LEG NUM 3 / SYD to VKO - 34 HOURS</t>
  </si>
  <si>
    <t>ROUTE NUM 69 / LEG NUM 4 / SYD to ALP - 33.25 HOURS</t>
  </si>
  <si>
    <t>ROUTE NUM 69 / LEG NUM 5 / SYD to MID - 32.75 HOURS</t>
  </si>
  <si>
    <t>ROUTE NUM 70 / LEG NUM 1 / SYD to BSB - 33.25 HOURS</t>
  </si>
  <si>
    <t>ROUTE NUM 70 / LEG NUM 2 / SYD to CUN - 33.25 HOURS</t>
  </si>
  <si>
    <t>ROUTE NUM 70 / LEG NUM 3 / SYD to ELF - 33.25 HOURS</t>
  </si>
  <si>
    <t>ROUTE NUM 70 / LEG NUM 4 / SYD to KOJ - 18.75 HOURS</t>
  </si>
  <si>
    <t>ROUTE NUM 70 / LEG NUM 5 / SYD to PPT - 15.5 HOURS</t>
  </si>
  <si>
    <t>ROUTE NUM 70 / LEG NUM 6 / SYD to ZIA - 34 HOURS</t>
  </si>
  <si>
    <t>ROUTE NUM 71 / LEG NUM 1 / SYD to ZIA - 34 HOURS</t>
  </si>
  <si>
    <t>ROUTE NUM 71 / LEG NUM 2 / SYD to BSB - 33.25 HOURS</t>
  </si>
  <si>
    <t>ROUTE NUM 71 / LEG NUM 3 / SYD to CUN - 33.25 HOURS</t>
  </si>
  <si>
    <t>ROUTE NUM 71 / LEG NUM 4 / SYD to ELF - 33.25 HOURS</t>
  </si>
  <si>
    <t>ROUTE NUM 71 / LEG NUM 5 / SYD to KOJ - 18.75 HOURS</t>
  </si>
  <si>
    <t>ROUTE NUM 71 / LEG NUM 6 / SYD to PPT - 15.5 HOURS</t>
  </si>
  <si>
    <t>ROUTE NUM 72 / LEG NUM 1 / SYD to BLR - 22.75 HOURS</t>
  </si>
  <si>
    <t>ROUTE NUM 72 / LEG NUM 2 / SYD to CXR - 17 HOURS</t>
  </si>
  <si>
    <t>ROUTE NUM 72 / LEG NUM 3 / SYD to FTE - 23.5 HOURS</t>
  </si>
  <si>
    <t>ROUTE NUM 72 / LEG NUM 4 / SYD to HVD - 26 HOURS</t>
  </si>
  <si>
    <t>ROUTE NUM 72 / LEG NUM 5 / SYD to MVD - 28.25 HOURS</t>
  </si>
  <si>
    <t>ROUTE NUM 72 / LEG NUM 6 / SYD to MZR - 27.75 HOURS</t>
  </si>
  <si>
    <t>ROUTE NUM 72 / LEG NUM 7 / SYD to USH - 22.75 HOURS</t>
  </si>
  <si>
    <t>ROUTE NUM 73 / LEG NUM 1 / SYD to MVD - 28.25 HOURS</t>
  </si>
  <si>
    <t>ROUTE NUM 73 / LEG NUM 2 / SYD to MZR - 27.75 HOURS</t>
  </si>
  <si>
    <t>ROUTE NUM 73 / LEG NUM 3 / SYD to HVD - 26 HOURS</t>
  </si>
  <si>
    <t>ROUTE NUM 73 / LEG NUM 4 / SYD to FTE - 23.5 HOURS</t>
  </si>
  <si>
    <t>ROUTE NUM 73 / LEG NUM 5 / SYD to BLR - 22.75 HOURS</t>
  </si>
  <si>
    <t>ROUTE NUM 73 / LEG NUM 6 / SYD to USH - 22.75 HOURS</t>
  </si>
  <si>
    <t>ROUTE NUM 73 / LEG NUM 7 / SYD to CXR - 17 HOURS</t>
  </si>
  <si>
    <t>ROUTE NUM 75 / LEG NUM 1 / SYD to CGQ - 22 HOURS</t>
  </si>
  <si>
    <t>ROUTE NUM 75 / LEG NUM 2 / SYD to CTS - 21 HOURS</t>
  </si>
  <si>
    <t>ROUTE NUM 75 / LEG NUM 3 / SYD to DAD - 18 HOURS</t>
  </si>
  <si>
    <t>ROUTE NUM 75 / LEG NUM 4 / SYD to DRW - 9 HOURS</t>
  </si>
  <si>
    <t>ROUTE NUM 75 / LEG NUM 5 / SYD to HKD - 20.75 HOURS</t>
  </si>
  <si>
    <t>ROUTE NUM 75 / LEG NUM 6 / SYD to HUI - 18 HOURS</t>
  </si>
  <si>
    <t>ROUTE NUM 75 / LEG NUM 7 / SYD to KMG - 20.5 HOURS</t>
  </si>
  <si>
    <t>ROUTE NUM 75 / LEG NUM 8 / SYD to MDL - 20.75 HOURS</t>
  </si>
  <si>
    <t>ROUTE NUM 75 / LEG NUM 9 / SYD to TPE - 18 HOURS</t>
  </si>
  <si>
    <t>ROUTE NUM 77 / LEG NUM 1 / SYD to CEI - 20 HOURS</t>
  </si>
  <si>
    <t>ROUTE NUM 77 / LEG NUM 2 / SYD to CNX - 19.75 HOURS</t>
  </si>
  <si>
    <t>ROUTE NUM 77 / LEG NUM 3 / SYD to FUK - 19.25 HOURS</t>
  </si>
  <si>
    <t>ROUTE NUM 77 / LEG NUM 4 / SYD to HNL - 20 HOURS</t>
  </si>
  <si>
    <t>ROUTE NUM 77 / LEG NUM 5 / SYD to PER - 9.25 HOURS</t>
  </si>
  <si>
    <t>ROUTE NUM 77 / LEG NUM 6 / SYD to SDJ - 20 HOURS</t>
  </si>
  <si>
    <t>ROUTE NUM 77 / LEG NUM 7 / SYD to TAO - 20.75 HOURS</t>
  </si>
  <si>
    <t>ROUTE NUM 77 / LEG NUM 8 / SYD to TNA - 21 HOURS</t>
  </si>
  <si>
    <t>ROUTE NUM 77 / LEG NUM 9 / SYD to TSA - 18 HOURS</t>
  </si>
  <si>
    <t>ROUTE NUM 79 / LEG NUM 1 / SYD to CRK - 16 HOURS</t>
  </si>
  <si>
    <t>ROUTE NUM 79 / LEG NUM 2 / SYD to HAN - 19.25 HOURS</t>
  </si>
  <si>
    <t>ROUTE NUM 79 / LEG NUM 3 / SYD to HND - 19.25 HOURS</t>
  </si>
  <si>
    <t>ROUTE NUM 79 / LEG NUM 4 / SYD to ITM - 19.25 HOURS</t>
  </si>
  <si>
    <t>ROUTE NUM 79 / LEG NUM 5 / SYD to KIX - 19.25 HOURS</t>
  </si>
  <si>
    <t>ROUTE NUM 79 / LEG NUM 6 / SYD to NGO - 19.25 HOURS</t>
  </si>
  <si>
    <t>ROUTE NUM 79 / LEG NUM 7 / SYD to NGS - 19.25 HOURS</t>
  </si>
  <si>
    <t>ROUTE NUM 79 / LEG NUM 8 / SYD to NRT - 19.25 HOURS</t>
  </si>
  <si>
    <t>ROUTE NUM 79 / LEG NUM 9 / SYD to PEN - 17.25 HOURS</t>
  </si>
  <si>
    <t>ROUTE NUM 80 / LEG NUM 1 / SYD to CAI - 33.75 HOURS</t>
  </si>
  <si>
    <t>ROUTE NUM 80 / LEG NUM 2 / SYD to CNF - 32.5 HOURS</t>
  </si>
  <si>
    <t>ROUTE NUM 80 / LEG NUM 3 / SYD to DLA - 34.75 HOURS</t>
  </si>
  <si>
    <t>ROUTE NUM 80 / LEG NUM 4 / SYD to KRT - 32 HOURS</t>
  </si>
  <si>
    <t>ROUTE NUM 80 / LEG NUM 5 / SYD to NDJ - 35 HOURS</t>
  </si>
  <si>
    <t>ROUTE NUM 82 / LEG NUM 1 / SYD to NDJ - 35 HOURS</t>
  </si>
  <si>
    <t>ROUTE NUM 82 / LEG NUM 2 / SYD to DLA - 34.75 HOURS</t>
  </si>
  <si>
    <t>ROUTE NUM 82 / LEG NUM 3 / SYD to CAI - 33.75 HOURS</t>
  </si>
  <si>
    <t>ROUTE NUM 82 / LEG NUM 4 / SYD to CNF - 32.5 HOURS</t>
  </si>
  <si>
    <t>ROUTE NUM 82 / LEG NUM 5 / SYD to KRT - 32 HOURS</t>
  </si>
  <si>
    <t>ROUTE NUM 83 / LEG NUM 1 / SYD to BZV - 32.25 HOURS</t>
  </si>
  <si>
    <t>ROUTE NUM 83 / LEG NUM 2 / SYD to DMM - 29.75 HOURS</t>
  </si>
  <si>
    <t>ROUTE NUM 83 / LEG NUM 3 / SYD to EVN - 32.25 HOURS</t>
  </si>
  <si>
    <t>ROUTE NUM 83 / LEG NUM 4 / SYD to NAN - 9 HOURS</t>
  </si>
  <si>
    <t>ROUTE NUM 83 / LEG NUM 5 / SYD to SAP - 32.5 HOURS</t>
  </si>
  <si>
    <t>ROUTE NUM 83 / LEG NUM 6 / SYD to TBS - 32.25 HOURS</t>
  </si>
  <si>
    <t>ROUTE NUM 85 / LEG NUM 1 / SYD to SAP - 32.5 HOURS</t>
  </si>
  <si>
    <t>ROUTE NUM 85 / LEG NUM 2 / SYD to BZV - 32.25 HOURS</t>
  </si>
  <si>
    <t>ROUTE NUM 85 / LEG NUM 3 / SYD to EVN - 32.25 HOURS</t>
  </si>
  <si>
    <t>ROUTE NUM 85 / LEG NUM 4 / SYD to TBS - 32.25 HOURS</t>
  </si>
  <si>
    <t>ROUTE NUM 85 / LEG NUM 5 / SYD to DMM - 29.75 HOURS</t>
  </si>
  <si>
    <t>ROUTE NUM 85 / LEG NUM 6 / SYD to NAN - 9 HOURS</t>
  </si>
  <si>
    <t>ROUTE NUM 86 / LEG NUM 1 / SYD to BGW - 31.5 HOURS</t>
  </si>
  <si>
    <t>ROUTE NUM 86 / LEG NUM 2 / SYD to CEB - 14.75 HOURS</t>
  </si>
  <si>
    <t>ROUTE NUM 86 / LEG NUM 3 / SYD to GIG - 31.75 HOURS</t>
  </si>
  <si>
    <t>ROUTE NUM 86 / LEG NUM 4 / SYD to SXR - 26.25 HOURS</t>
  </si>
  <si>
    <t>ROUTE NUM 86 / LEG NUM 5 / SYD to TBZ - 31.75 HOURS</t>
  </si>
  <si>
    <t>ROUTE NUM 86 / LEG NUM 6 / SYD to UIO - 32 HOURS</t>
  </si>
  <si>
    <t>ROUTE NUM 88 / LEG NUM 1 / SYD to UIO - 32 HOURS</t>
  </si>
  <si>
    <t>ROUTE NUM 88 / LEG NUM 2 / SYD to GIG - 31.75 HOURS</t>
  </si>
  <si>
    <t>ROUTE NUM 88 / LEG NUM 3 / SYD to TBZ - 31.75 HOURS</t>
  </si>
  <si>
    <t>ROUTE NUM 88 / LEG NUM 4 / SYD to BGW - 31.5 HOURS</t>
  </si>
  <si>
    <t>ROUTE NUM 88 / LEG NUM 5 / SYD to SXR - 26.25 HOURS</t>
  </si>
  <si>
    <t>ROUTE NUM 88 / LEG NUM 6 / SYD to CEB - 14.75 HOURS</t>
  </si>
  <si>
    <t>ROUTE NUM 89 / LEG NUM 1 / SYD to GYE - 31.5 HOURS</t>
  </si>
  <si>
    <t>ROUTE NUM 89 / LEG NUM 2 / SYD to KUL - 16.5 HOURS</t>
  </si>
  <si>
    <t>ROUTE NUM 89 / LEG NUM 3 / SYD to MED - 31.5 HOURS</t>
  </si>
  <si>
    <t>ROUTE NUM 89 / LEG NUM 4 / SYD to URC - 25.75 HOURS</t>
  </si>
  <si>
    <t>ROUTE NUM 89 / LEG NUM 5 / SYD to VCP - 31.5 HOURS</t>
  </si>
  <si>
    <t>ROUTE NUM 89 / LEG NUM 6 / SYD to VVI - 31.25 HOURS</t>
  </si>
  <si>
    <t>ROUTE NUM 91 / LEG NUM 1 / SYD to VCP - 31.5 HOURS</t>
  </si>
  <si>
    <t>ROUTE NUM 91 / LEG NUM 2 / SYD to MED - 31.5 HOURS</t>
  </si>
  <si>
    <t>ROUTE NUM 91 / LEG NUM 3 / SYD to GYE - 31.5 HOURS</t>
  </si>
  <si>
    <t>ROUTE NUM 91 / LEG NUM 4 / SYD to VVI - 31.25 HOURS</t>
  </si>
  <si>
    <t>ROUTE NUM 91 / LEG NUM 5 / SYD to URC - 25.75 HOURS</t>
  </si>
  <si>
    <t>ROUTE NUM 91 / LEG NUM 6 / SYD to KUL - 16.5 HOURS</t>
  </si>
  <si>
    <t>ROUTE NUM 92 / LEG NUM 1 / SYD to ASB - 29.5 HOURS</t>
  </si>
  <si>
    <t>ROUTE NUM 92 / LEG NUM 2 / SYD to AUH - 28.5 HOURS</t>
  </si>
  <si>
    <t>ROUTE NUM 92 / LEG NUM 3 / SYD to BHK - 28.75 HOURS</t>
  </si>
  <si>
    <t>ROUTE NUM 92 / LEG NUM 4 / SYD to CCU - 22.25 HOURS</t>
  </si>
  <si>
    <t>ROUTE NUM 92 / LEG NUM 5 / SYD to MWZ - 29.5 HOURS</t>
  </si>
  <si>
    <t>ROUTE NUM 92 / LEG NUM 6 / SYD to SAH - 29.5 HOURS</t>
  </si>
  <si>
    <t>ROUTE NUM 94 / LEG NUM 1 / SYD to ASB - 29.5 HOURS</t>
  </si>
  <si>
    <t>ROUTE NUM 94 / LEG NUM 2 / SYD to MWZ - 29.5 HOURS</t>
  </si>
  <si>
    <t>ROUTE NUM 94 / LEG NUM 3 / SYD to SAH - 29.5 HOURS</t>
  </si>
  <si>
    <t>ROUTE NUM 94 / LEG NUM 4 / SYD to BHK - 28.75 HOURS</t>
  </si>
  <si>
    <t>ROUTE NUM 94 / LEG NUM 5 / SYD to AUH - 28.5 HOURS</t>
  </si>
  <si>
    <t>ROUTE NUM 94 / LEG NUM 6 / SYD to CCU - 22.25 HOURS</t>
  </si>
  <si>
    <t>ROUTE NUM 96 / LEG NUM 1 / SYD to JRO - 28.5 HOURS</t>
  </si>
  <si>
    <t>ROUTE NUM 96 / LEG NUM 2 / SYD to RIY - 28.5 HOURS</t>
  </si>
  <si>
    <t>ROUTE NUM 96 / LEG NUM 3 / SYD to WDH - 28.5 HOURS</t>
  </si>
  <si>
    <t>ROUTE NUM 96 / LEG NUM 4 / SYD to TAS - 28 HOURS</t>
  </si>
  <si>
    <t>ROUTE NUM 96 / LEG NUM 5 / SYD to MBA - 27.75 HOURS</t>
  </si>
  <si>
    <t>ROUTE NUM 96 / LEG NUM 6 / SYD to PEW - 26.75 HOURS</t>
  </si>
  <si>
    <t>ROUTE NUM 98 / LEG NUM 1 / SYD to BUQ - 27.25 HOURS</t>
  </si>
  <si>
    <t>ROUTE NUM 98 / LEG NUM 2 / SYD to JRO - 28.5 HOURS</t>
  </si>
  <si>
    <t>ROUTE NUM 98 / LEG NUM 3 / SYD to MBA - 27.75 HOURS</t>
  </si>
  <si>
    <t>ROUTE NUM 98 / LEG NUM 4 / SYD to PEW - 26.75 HOURS</t>
  </si>
  <si>
    <t>ROUTE NUM 98 / LEG NUM 5 / SYD to RIY - 28.5 HOURS</t>
  </si>
  <si>
    <t>ROUTE NUM 98 / LEG NUM 6 / SYD to TAS - 28 HOURS</t>
  </si>
  <si>
    <t>ROUTE NUM 98 / LEG NUM 6 / SYD to WDH - 28.5 HOURS</t>
  </si>
  <si>
    <t>ROUTE NUM 98 / LEG NUM 7 / SYD to CAN - 18.75 HOURS</t>
  </si>
  <si>
    <t>ROUTE NUM 98 / LEG NUM 8 / SYD to FRU - 27.5 HOURS</t>
  </si>
  <si>
    <t>ROUTE NUM 98 / LEG NUM 9 / SYD to LLW - 27.5 HOURS</t>
  </si>
  <si>
    <t>ROUTE NUM 98 / LEG NUM 10 / SYD to MCT - 27.75 HOURS</t>
  </si>
  <si>
    <t>ROUTE NUM 98 / LEG NUM 11 / SYD to PKX - 21.75 HOURS</t>
  </si>
  <si>
    <t>ROUTE NUM 98 / LEG NUM 12 / SYD to PNH - 17.5 HOURS</t>
  </si>
  <si>
    <t>ROUTE NUM 100 / LEG NUM 1 / SYD to MCT - 27.75 HOURS</t>
  </si>
  <si>
    <t>ROUTE NUM 100 / LEG NUM 2 / SYD to FRU - 27.5 HOURS</t>
  </si>
  <si>
    <t>ROUTE NUM 100 / LEG NUM 3 / SYD to LLW - 27.5 HOURS</t>
  </si>
  <si>
    <t>ROUTE NUM 100 / LEG NUM 4 / SYD to BUQ - 27.25 HOURS</t>
  </si>
  <si>
    <t>ROUTE NUM 100 / LEG NUM 5 / SYD to PKX - 21.75 HOURS</t>
  </si>
  <si>
    <t>ROUTE NUM 100 / LEG NUM 6 / SYD to CAN - 18.75 HOURS</t>
  </si>
  <si>
    <t>ROUTE NUM 100 / LEG NUM 7 / SYD to PNH - 17.5 HOURS</t>
  </si>
  <si>
    <t>ROUTE NUM 101 / LEG NUM 1 / SYD to GBE - 27 HOURS</t>
  </si>
  <si>
    <t>ROUTE NUM 101 / LEG NUM 2 / SYD to HKT - 18 HOURS</t>
  </si>
  <si>
    <t>ROUTE NUM 101 / LEG NUM 3 / SYD to HRE - 27.25 HOURS</t>
  </si>
  <si>
    <t>ROUTE NUM 101 / LEG NUM 4 / SYD to NKG - 19.75 HOURS</t>
  </si>
  <si>
    <t>ROUTE NUM 101 / LEG NUM 5 / SYD to SCL - 27 HOURS</t>
  </si>
  <si>
    <t>ROUTE NUM 101 / LEG NUM 6 / SYD to TYN - 21.75 HOURS</t>
  </si>
  <si>
    <t>ROUTE NUM 101 / LEG NUM 7 / SYD to VXC - 27.25 HOURS</t>
  </si>
  <si>
    <t>ROUTE NUM 103 / LEG NUM 1 / SYD to HRE - 27.25 HOURS</t>
  </si>
  <si>
    <t>ROUTE NUM 103 / LEG NUM 2 / SYD to VXC - 27.25 HOURS</t>
  </si>
  <si>
    <t>ROUTE NUM 103 / LEG NUM 3 / SYD to GBE - 27 HOURS</t>
  </si>
  <si>
    <t>ROUTE NUM 103 / LEG NUM 4 / SYD to SCL - 27 HOURS</t>
  </si>
  <si>
    <t>ROUTE NUM 103 / LEG NUM 5 / SYD to TYN - 21.75 HOURS</t>
  </si>
  <si>
    <t>ROUTE NUM 103 / LEG NUM 6 / SYD to NKG - 19.75 HOURS</t>
  </si>
  <si>
    <t>ROUTE NUM 103 / LEG NUM 7 / SYD to HKT - 18 HOURS</t>
  </si>
  <si>
    <t>JNB KHI BHV LHE AMD DEL POM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</si>
</sst>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_);[Red]\(0\)"/>
    <numFmt numFmtId="165" formatCode="_(* #,##0_);_(* \(#,##0\);_(* &quot;-&quot;??_);_(@_)"/>
    <numFmt numFmtId="166" formatCode="&quot;$&quot;#,##0.000_);[Red]\(&quot;$&quot;#,##0.000\)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trike/>
      <sz val="11"/>
      <color rgb="FF000000"/>
      <name val="Calibri"/>
      <family val="2"/>
    </font>
    <font>
      <b/>
      <sz val="16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trike/>
      <sz val="11"/>
      <name val="Calibri"/>
      <family val="2"/>
      <scheme val="minor"/>
    </font>
    <font>
      <sz val="11"/>
      <name val="Calibri"/>
      <family val="2"/>
    </font>
    <font>
      <strike/>
      <sz val="11"/>
      <name val="Calibri"/>
      <family val="2"/>
    </font>
    <font>
      <b/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rgb="FF000000"/>
      <name val="Calibri"/>
      <family val="2"/>
    </font>
    <font>
      <b/>
      <sz val="12"/>
      <color rgb="FF000000"/>
      <name val="Calibri"/>
      <family val="2"/>
    </font>
    <font>
      <b/>
      <sz val="18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</font>
    <font>
      <sz val="14"/>
      <color theme="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theme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theme="1"/>
      </top>
      <bottom/>
      <diagonal/>
    </border>
  </borders>
  <cellStyleXfs count="9">
    <xf numFmtId="0" fontId="0" fillId="0" borderId="0"/>
    <xf numFmtId="0" fontId="2" fillId="0" borderId="0"/>
    <xf numFmtId="0" fontId="6" fillId="0" borderId="0" applyNumberForma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05">
    <xf numFmtId="0" fontId="0" fillId="0" borderId="0" xfId="0"/>
    <xf numFmtId="0" fontId="2" fillId="0" borderId="0" xfId="1"/>
    <xf numFmtId="3" fontId="2" fillId="0" borderId="0" xfId="1" applyNumberFormat="1"/>
    <xf numFmtId="0" fontId="3" fillId="0" borderId="0" xfId="1" applyFont="1" applyAlignment="1">
      <alignment horizontal="center"/>
    </xf>
    <xf numFmtId="0" fontId="2" fillId="0" borderId="0" xfId="1" applyAlignment="1">
      <alignment horizontal="center"/>
    </xf>
    <xf numFmtId="3" fontId="2" fillId="0" borderId="0" xfId="1" applyNumberFormat="1" applyAlignment="1">
      <alignment horizontal="center"/>
    </xf>
    <xf numFmtId="44" fontId="2" fillId="0" borderId="0" xfId="1" applyNumberFormat="1" applyAlignment="1">
      <alignment horizontal="center"/>
    </xf>
    <xf numFmtId="2" fontId="2" fillId="0" borderId="0" xfId="1" applyNumberFormat="1" applyAlignment="1">
      <alignment horizontal="center"/>
    </xf>
    <xf numFmtId="1" fontId="2" fillId="0" borderId="0" xfId="1" applyNumberFormat="1" applyAlignment="1">
      <alignment horizontal="center"/>
    </xf>
    <xf numFmtId="0" fontId="1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3" fontId="2" fillId="0" borderId="0" xfId="1" applyNumberFormat="1" applyAlignment="1">
      <alignment horizontal="center" vertical="top" wrapText="1"/>
    </xf>
    <xf numFmtId="44" fontId="2" fillId="0" borderId="0" xfId="1" applyNumberFormat="1" applyAlignment="1">
      <alignment horizontal="center" vertical="top" wrapText="1"/>
    </xf>
    <xf numFmtId="2" fontId="2" fillId="0" borderId="0" xfId="1" applyNumberFormat="1" applyAlignment="1">
      <alignment horizontal="center" vertical="top" wrapText="1"/>
    </xf>
    <xf numFmtId="1" fontId="2" fillId="0" borderId="0" xfId="1" applyNumberFormat="1" applyAlignment="1">
      <alignment horizontal="center" vertical="top" wrapText="1"/>
    </xf>
    <xf numFmtId="0" fontId="2" fillId="0" borderId="0" xfId="1" applyAlignment="1">
      <alignment horizontal="center"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4" fontId="2" fillId="0" borderId="5" xfId="1" applyNumberFormat="1" applyBorder="1"/>
    <xf numFmtId="44" fontId="0" fillId="0" borderId="10" xfId="3" applyFont="1" applyBorder="1" applyAlignment="1">
      <alignment horizontal="center"/>
    </xf>
    <xf numFmtId="1" fontId="0" fillId="0" borderId="0" xfId="3" applyNumberFormat="1" applyFont="1" applyAlignment="1">
      <alignment horizontal="center"/>
    </xf>
    <xf numFmtId="44" fontId="2" fillId="0" borderId="0" xfId="1" applyNumberFormat="1"/>
    <xf numFmtId="44" fontId="0" fillId="0" borderId="11" xfId="3" applyFont="1" applyBorder="1" applyAlignment="1">
      <alignment horizontal="center"/>
    </xf>
    <xf numFmtId="44" fontId="2" fillId="0" borderId="12" xfId="1" applyNumberFormat="1" applyBorder="1"/>
    <xf numFmtId="44" fontId="0" fillId="0" borderId="0" xfId="3" applyFont="1" applyAlignment="1">
      <alignment horizontal="center"/>
    </xf>
    <xf numFmtId="44" fontId="0" fillId="3" borderId="0" xfId="3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7" fillId="0" borderId="0" xfId="0" applyFont="1"/>
    <xf numFmtId="6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3" fontId="4" fillId="0" borderId="0" xfId="1" applyNumberFormat="1" applyFont="1" applyAlignment="1">
      <alignment horizontal="center" vertical="center" wrapText="1"/>
    </xf>
    <xf numFmtId="2" fontId="4" fillId="0" borderId="0" xfId="1" applyNumberFormat="1" applyFont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44" fontId="2" fillId="0" borderId="11" xfId="3" applyFont="1" applyBorder="1" applyAlignment="1">
      <alignment horizontal="center"/>
    </xf>
    <xf numFmtId="44" fontId="2" fillId="0" borderId="0" xfId="1" applyNumberFormat="1" applyBorder="1"/>
    <xf numFmtId="0" fontId="2" fillId="0" borderId="0" xfId="1" applyBorder="1"/>
    <xf numFmtId="0" fontId="2" fillId="0" borderId="0" xfId="1" applyNumberFormat="1" applyFill="1"/>
    <xf numFmtId="0" fontId="2" fillId="0" borderId="0" xfId="1" applyFill="1" applyAlignment="1">
      <alignment horizontal="center"/>
    </xf>
    <xf numFmtId="1" fontId="2" fillId="0" borderId="0" xfId="1" applyNumberFormat="1" applyFill="1" applyAlignment="1">
      <alignment horizontal="center"/>
    </xf>
    <xf numFmtId="2" fontId="2" fillId="0" borderId="0" xfId="1" applyNumberFormat="1" applyFill="1" applyAlignment="1">
      <alignment horizontal="center"/>
    </xf>
    <xf numFmtId="44" fontId="2" fillId="0" borderId="0" xfId="1" applyNumberFormat="1" applyFill="1" applyAlignment="1">
      <alignment horizontal="center"/>
    </xf>
    <xf numFmtId="3" fontId="2" fillId="0" borderId="0" xfId="1" applyNumberFormat="1" applyFill="1" applyAlignment="1">
      <alignment horizontal="center"/>
    </xf>
    <xf numFmtId="0" fontId="2" fillId="0" borderId="0" xfId="1" applyFill="1"/>
    <xf numFmtId="0" fontId="1" fillId="0" borderId="0" xfId="1" applyFont="1" applyFill="1" applyAlignment="1">
      <alignment horizontal="center"/>
    </xf>
    <xf numFmtId="0" fontId="11" fillId="0" borderId="0" xfId="1" applyFont="1" applyAlignment="1">
      <alignment horizontal="center" vertical="center"/>
    </xf>
    <xf numFmtId="0" fontId="2" fillId="0" borderId="0" xfId="1" applyFill="1" applyAlignment="1">
      <alignment horizontal="center" vertical="center"/>
    </xf>
    <xf numFmtId="0" fontId="2" fillId="0" borderId="0" xfId="1" applyBorder="1" applyAlignment="1">
      <alignment horizontal="center"/>
    </xf>
    <xf numFmtId="3" fontId="2" fillId="0" borderId="0" xfId="1" applyNumberFormat="1" applyBorder="1" applyAlignment="1">
      <alignment horizontal="center"/>
    </xf>
    <xf numFmtId="0" fontId="2" fillId="0" borderId="0" xfId="1" applyFill="1" applyAlignment="1">
      <alignment horizontal="center" vertical="top" wrapText="1"/>
    </xf>
    <xf numFmtId="0" fontId="2" fillId="0" borderId="0" xfId="1" applyNumberFormat="1" applyFont="1" applyFill="1" applyBorder="1" applyAlignment="1">
      <alignment horizontal="center"/>
    </xf>
    <xf numFmtId="2" fontId="2" fillId="0" borderId="0" xfId="1" applyNumberFormat="1" applyFont="1" applyFill="1" applyBorder="1" applyAlignment="1">
      <alignment horizontal="center"/>
    </xf>
    <xf numFmtId="0" fontId="2" fillId="0" borderId="0" xfId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1" applyNumberFormat="1" applyFill="1" applyAlignment="1">
      <alignment horizont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3" fontId="0" fillId="2" borderId="0" xfId="0" applyNumberFormat="1" applyFont="1" applyFill="1" applyAlignment="1">
      <alignment horizontal="center" vertical="center"/>
    </xf>
    <xf numFmtId="164" fontId="2" fillId="0" borderId="0" xfId="1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4" fontId="2" fillId="0" borderId="21" xfId="3" applyFont="1" applyBorder="1" applyAlignment="1">
      <alignment horizontal="center"/>
    </xf>
    <xf numFmtId="44" fontId="2" fillId="0" borderId="9" xfId="1" applyNumberFormat="1" applyBorder="1"/>
    <xf numFmtId="0" fontId="2" fillId="0" borderId="8" xfId="1" applyBorder="1"/>
    <xf numFmtId="0" fontId="2" fillId="0" borderId="7" xfId="1" applyBorder="1"/>
    <xf numFmtId="44" fontId="2" fillId="0" borderId="10" xfId="3" applyFont="1" applyBorder="1" applyAlignment="1">
      <alignment horizontal="center"/>
    </xf>
    <xf numFmtId="0" fontId="2" fillId="0" borderId="4" xfId="1" applyBorder="1"/>
    <xf numFmtId="44" fontId="0" fillId="0" borderId="21" xfId="3" applyFont="1" applyBorder="1" applyAlignment="1">
      <alignment horizontal="center"/>
    </xf>
    <xf numFmtId="0" fontId="2" fillId="0" borderId="9" xfId="1" applyBorder="1"/>
    <xf numFmtId="10" fontId="0" fillId="0" borderId="15" xfId="4" applyNumberFormat="1" applyFont="1" applyBorder="1" applyAlignment="1">
      <alignment horizontal="center"/>
    </xf>
    <xf numFmtId="10" fontId="0" fillId="0" borderId="13" xfId="4" applyNumberFormat="1" applyFont="1" applyBorder="1" applyAlignment="1">
      <alignment horizontal="center"/>
    </xf>
    <xf numFmtId="10" fontId="0" fillId="0" borderId="14" xfId="4" applyNumberFormat="1" applyFont="1" applyBorder="1" applyAlignment="1">
      <alignment horizontal="center"/>
    </xf>
    <xf numFmtId="10" fontId="2" fillId="0" borderId="15" xfId="4" applyNumberFormat="1" applyFont="1" applyBorder="1" applyAlignment="1">
      <alignment horizontal="center"/>
    </xf>
    <xf numFmtId="10" fontId="2" fillId="0" borderId="13" xfId="4" applyNumberFormat="1" applyFont="1" applyBorder="1" applyAlignment="1">
      <alignment horizontal="center"/>
    </xf>
    <xf numFmtId="10" fontId="2" fillId="0" borderId="14" xfId="4" applyNumberFormat="1" applyFont="1" applyBorder="1" applyAlignment="1">
      <alignment horizontal="center"/>
    </xf>
    <xf numFmtId="1" fontId="2" fillId="0" borderId="8" xfId="1" applyNumberFormat="1" applyBorder="1" applyAlignment="1">
      <alignment horizontal="center"/>
    </xf>
    <xf numFmtId="1" fontId="0" fillId="0" borderId="7" xfId="3" applyNumberFormat="1" applyFont="1" applyBorder="1" applyAlignment="1">
      <alignment horizontal="center"/>
    </xf>
    <xf numFmtId="1" fontId="2" fillId="0" borderId="7" xfId="1" applyNumberFormat="1" applyBorder="1" applyAlignment="1">
      <alignment horizontal="center"/>
    </xf>
    <xf numFmtId="1" fontId="0" fillId="0" borderId="4" xfId="3" applyNumberFormat="1" applyFont="1" applyBorder="1" applyAlignment="1">
      <alignment horizontal="center"/>
    </xf>
    <xf numFmtId="1" fontId="0" fillId="0" borderId="8" xfId="3" applyNumberFormat="1" applyFont="1" applyBorder="1" applyAlignment="1">
      <alignment horizontal="center"/>
    </xf>
    <xf numFmtId="1" fontId="0" fillId="2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2" fillId="0" borderId="0" xfId="1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7" fillId="0" borderId="1" xfId="1" applyNumberFormat="1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17" fillId="0" borderId="6" xfId="1" applyNumberFormat="1" applyFont="1" applyFill="1" applyBorder="1" applyAlignment="1">
      <alignment horizontal="center" vertical="center"/>
    </xf>
    <xf numFmtId="2" fontId="16" fillId="0" borderId="0" xfId="1" applyNumberFormat="1" applyFont="1" applyFill="1" applyBorder="1" applyAlignment="1">
      <alignment horizontal="center"/>
    </xf>
    <xf numFmtId="0" fontId="16" fillId="0" borderId="2" xfId="0" applyFont="1" applyFill="1" applyBorder="1" applyAlignment="1">
      <alignment horizontal="center" vertical="center"/>
    </xf>
    <xf numFmtId="2" fontId="16" fillId="0" borderId="9" xfId="1" applyNumberFormat="1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0" fontId="16" fillId="0" borderId="0" xfId="1" applyFont="1" applyFill="1" applyAlignment="1">
      <alignment horizontal="center" vertical="center"/>
    </xf>
    <xf numFmtId="0" fontId="16" fillId="0" borderId="0" xfId="1" applyFont="1" applyFill="1" applyBorder="1" applyAlignment="1">
      <alignment horizontal="center" vertical="center"/>
    </xf>
    <xf numFmtId="44" fontId="0" fillId="0" borderId="0" xfId="7" applyFont="1"/>
    <xf numFmtId="44" fontId="0" fillId="0" borderId="0" xfId="0" applyNumberFormat="1"/>
    <xf numFmtId="0" fontId="0" fillId="0" borderId="0" xfId="0" applyFill="1"/>
    <xf numFmtId="3" fontId="2" fillId="0" borderId="0" xfId="1" applyNumberFormat="1" applyFill="1" applyBorder="1" applyAlignment="1">
      <alignment horizontal="center"/>
    </xf>
    <xf numFmtId="0" fontId="5" fillId="0" borderId="7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3" fontId="18" fillId="0" borderId="0" xfId="1" applyNumberFormat="1" applyFont="1" applyFill="1" applyBorder="1" applyAlignment="1">
      <alignment horizontal="center" vertical="center" wrapText="1"/>
    </xf>
    <xf numFmtId="0" fontId="18" fillId="0" borderId="0" xfId="1" applyNumberFormat="1" applyFont="1" applyFill="1" applyBorder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44" fontId="0" fillId="0" borderId="0" xfId="7" applyFont="1" applyFill="1" applyBorder="1" applyAlignment="1">
      <alignment horizontal="center" vertical="center"/>
    </xf>
    <xf numFmtId="44" fontId="12" fillId="0" borderId="0" xfId="7" applyFont="1" applyFill="1" applyBorder="1" applyAlignment="1">
      <alignment horizontal="center" vertical="center" wrapText="1"/>
    </xf>
    <xf numFmtId="44" fontId="18" fillId="0" borderId="0" xfId="7" applyFont="1" applyFill="1" applyBorder="1" applyAlignment="1">
      <alignment horizontal="center" vertical="center" wrapText="1"/>
    </xf>
    <xf numFmtId="0" fontId="0" fillId="0" borderId="0" xfId="1" applyNumberFormat="1" applyFont="1" applyFill="1" applyBorder="1" applyAlignment="1">
      <alignment horizontal="center" vertical="center" wrapText="1"/>
    </xf>
    <xf numFmtId="0" fontId="0" fillId="0" borderId="0" xfId="1" applyFont="1" applyFill="1" applyAlignment="1">
      <alignment horizontal="center" vertical="center" wrapText="1"/>
    </xf>
    <xf numFmtId="0" fontId="0" fillId="0" borderId="0" xfId="1" applyFont="1" applyFill="1" applyAlignment="1">
      <alignment horizontal="center" vertical="center"/>
    </xf>
    <xf numFmtId="3" fontId="0" fillId="0" borderId="0" xfId="1" applyNumberFormat="1" applyFont="1" applyFill="1" applyAlignment="1">
      <alignment horizontal="center" vertical="center" wrapText="1"/>
    </xf>
    <xf numFmtId="2" fontId="0" fillId="0" borderId="0" xfId="1" applyNumberFormat="1" applyFont="1" applyFill="1" applyAlignment="1">
      <alignment horizontal="center" vertical="center"/>
    </xf>
    <xf numFmtId="44" fontId="0" fillId="0" borderId="0" xfId="7" applyFont="1" applyFill="1" applyAlignment="1">
      <alignment horizontal="center" vertical="center"/>
    </xf>
    <xf numFmtId="2" fontId="2" fillId="0" borderId="0" xfId="1" applyNumberFormat="1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2" fillId="0" borderId="2" xfId="1" applyNumberFormat="1" applyFont="1" applyFill="1" applyBorder="1" applyAlignment="1">
      <alignment horizontal="center" vertical="center"/>
    </xf>
    <xf numFmtId="2" fontId="2" fillId="0" borderId="9" xfId="1" applyNumberFormat="1" applyFont="1" applyFill="1" applyBorder="1" applyAlignment="1">
      <alignment horizontal="center" vertical="center"/>
    </xf>
    <xf numFmtId="0" fontId="2" fillId="0" borderId="0" xfId="1" applyFill="1" applyAlignment="1">
      <alignment horizontal="center" vertical="center" wrapText="1"/>
    </xf>
    <xf numFmtId="0" fontId="10" fillId="0" borderId="0" xfId="1" applyFont="1" applyFill="1" applyAlignment="1">
      <alignment horizontal="center" vertical="center"/>
    </xf>
    <xf numFmtId="44" fontId="0" fillId="0" borderId="9" xfId="3" applyFont="1" applyBorder="1" applyAlignment="1">
      <alignment horizontal="center"/>
    </xf>
    <xf numFmtId="44" fontId="0" fillId="0" borderId="0" xfId="3" applyFont="1" applyBorder="1" applyAlignment="1">
      <alignment horizontal="center"/>
    </xf>
    <xf numFmtId="44" fontId="0" fillId="0" borderId="12" xfId="3" applyFont="1" applyBorder="1" applyAlignment="1">
      <alignment horizontal="center"/>
    </xf>
    <xf numFmtId="44" fontId="0" fillId="0" borderId="5" xfId="3" applyFont="1" applyBorder="1" applyAlignment="1">
      <alignment horizontal="center"/>
    </xf>
    <xf numFmtId="44" fontId="2" fillId="0" borderId="9" xfId="3" applyFont="1" applyBorder="1" applyAlignment="1">
      <alignment horizontal="center"/>
    </xf>
    <xf numFmtId="44" fontId="2" fillId="0" borderId="0" xfId="3" applyFont="1" applyBorder="1" applyAlignment="1">
      <alignment horizontal="center"/>
    </xf>
    <xf numFmtId="44" fontId="2" fillId="0" borderId="5" xfId="3" applyFont="1" applyBorder="1" applyAlignment="1">
      <alignment horizontal="center"/>
    </xf>
    <xf numFmtId="2" fontId="2" fillId="0" borderId="0" xfId="1" applyNumberFormat="1" applyFont="1" applyFill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44" fontId="2" fillId="0" borderId="0" xfId="1" applyNumberFormat="1" applyFill="1" applyBorder="1" applyAlignment="1">
      <alignment horizontal="center" vertical="center"/>
    </xf>
    <xf numFmtId="44" fontId="19" fillId="0" borderId="0" xfId="7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 wrapText="1"/>
    </xf>
    <xf numFmtId="44" fontId="0" fillId="0" borderId="0" xfId="3" applyFont="1"/>
    <xf numFmtId="1" fontId="0" fillId="0" borderId="0" xfId="3" applyNumberFormat="1" applyFont="1"/>
    <xf numFmtId="1" fontId="0" fillId="0" borderId="0" xfId="0" applyNumberFormat="1"/>
    <xf numFmtId="44" fontId="0" fillId="0" borderId="0" xfId="3" applyFont="1" applyAlignment="1">
      <alignment horizontal="center" vertical="center" wrapText="1"/>
    </xf>
    <xf numFmtId="44" fontId="0" fillId="0" borderId="0" xfId="3" applyFont="1" applyAlignment="1">
      <alignment wrapText="1"/>
    </xf>
    <xf numFmtId="44" fontId="2" fillId="0" borderId="0" xfId="7" applyFont="1" applyAlignment="1">
      <alignment horizontal="center" vertical="top" wrapText="1"/>
    </xf>
    <xf numFmtId="44" fontId="2" fillId="0" borderId="0" xfId="7" applyFont="1" applyAlignment="1">
      <alignment horizontal="center"/>
    </xf>
    <xf numFmtId="2" fontId="2" fillId="0" borderId="0" xfId="1" applyNumberFormat="1"/>
    <xf numFmtId="1" fontId="2" fillId="0" borderId="0" xfId="1" applyNumberFormat="1"/>
    <xf numFmtId="0" fontId="0" fillId="0" borderId="0" xfId="0" pivotButton="1"/>
    <xf numFmtId="0" fontId="0" fillId="0" borderId="0" xfId="0" applyNumberFormat="1"/>
    <xf numFmtId="0" fontId="2" fillId="0" borderId="0" xfId="1" applyAlignment="1">
      <alignment horizontal="left" vertical="top" wrapText="1"/>
    </xf>
    <xf numFmtId="0" fontId="1" fillId="0" borderId="0" xfId="1" applyFont="1" applyFill="1" applyAlignment="1">
      <alignment horizontal="left"/>
    </xf>
    <xf numFmtId="0" fontId="2" fillId="0" borderId="0" xfId="1" applyAlignment="1">
      <alignment horizontal="left"/>
    </xf>
    <xf numFmtId="44" fontId="2" fillId="0" borderId="0" xfId="7" applyFont="1" applyFill="1" applyAlignment="1">
      <alignment horizontal="center"/>
    </xf>
    <xf numFmtId="44" fontId="2" fillId="0" borderId="0" xfId="7" applyFont="1"/>
    <xf numFmtId="0" fontId="4" fillId="0" borderId="0" xfId="1" applyFont="1" applyAlignment="1">
      <alignment horizontal="left"/>
    </xf>
    <xf numFmtId="0" fontId="2" fillId="0" borderId="0" xfId="1" applyFill="1" applyAlignment="1">
      <alignment horizontal="left"/>
    </xf>
    <xf numFmtId="0" fontId="3" fillId="0" borderId="0" xfId="1" applyFont="1" applyAlignment="1">
      <alignment horizontal="left"/>
    </xf>
    <xf numFmtId="0" fontId="1" fillId="0" borderId="0" xfId="1" applyFont="1" applyAlignment="1">
      <alignment horizontal="left"/>
    </xf>
    <xf numFmtId="2" fontId="0" fillId="0" borderId="0" xfId="0" applyNumberFormat="1"/>
    <xf numFmtId="0" fontId="2" fillId="0" borderId="6" xfId="1" applyNumberFormat="1" applyFont="1" applyFill="1" applyBorder="1" applyAlignment="1">
      <alignment horizontal="center" vertical="center"/>
    </xf>
    <xf numFmtId="165" fontId="0" fillId="0" borderId="0" xfId="0" applyNumberFormat="1"/>
    <xf numFmtId="0" fontId="3" fillId="0" borderId="0" xfId="1" applyFont="1" applyFill="1" applyAlignment="1">
      <alignment horizontal="left"/>
    </xf>
    <xf numFmtId="0" fontId="2" fillId="0" borderId="3" xfId="1" applyBorder="1" applyAlignment="1">
      <alignment horizontal="center"/>
    </xf>
    <xf numFmtId="3" fontId="2" fillId="0" borderId="3" xfId="1" applyNumberFormat="1" applyBorder="1" applyAlignment="1">
      <alignment horizontal="center"/>
    </xf>
    <xf numFmtId="0" fontId="10" fillId="0" borderId="0" xfId="1" applyFont="1" applyFill="1" applyBorder="1" applyAlignment="1">
      <alignment horizontal="center" vertical="center"/>
    </xf>
    <xf numFmtId="0" fontId="2" fillId="0" borderId="26" xfId="1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" fontId="2" fillId="0" borderId="8" xfId="1" applyNumberFormat="1" applyFont="1" applyFill="1" applyBorder="1" applyAlignment="1">
      <alignment horizontal="center" vertical="center"/>
    </xf>
    <xf numFmtId="2" fontId="2" fillId="0" borderId="7" xfId="1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6" fontId="7" fillId="0" borderId="0" xfId="0" applyNumberFormat="1" applyFont="1" applyFill="1" applyAlignment="1">
      <alignment horizontal="center" vertical="center" wrapText="1"/>
    </xf>
    <xf numFmtId="0" fontId="0" fillId="0" borderId="0" xfId="0" applyAlignmen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3" fontId="0" fillId="0" borderId="0" xfId="8" applyFont="1" applyAlignment="1">
      <alignment horizontal="center"/>
    </xf>
    <xf numFmtId="0" fontId="18" fillId="0" borderId="0" xfId="1" applyFont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1" fontId="12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3" fontId="0" fillId="0" borderId="0" xfId="8" applyNumberFormat="1" applyFont="1" applyFill="1" applyBorder="1" applyAlignment="1">
      <alignment horizontal="center" vertical="center"/>
    </xf>
    <xf numFmtId="3" fontId="0" fillId="0" borderId="0" xfId="8" applyNumberFormat="1" applyFont="1" applyFill="1" applyBorder="1" applyAlignment="1">
      <alignment horizontal="center" vertical="center" wrapText="1"/>
    </xf>
    <xf numFmtId="2" fontId="2" fillId="0" borderId="4" xfId="1" applyNumberFormat="1" applyFont="1" applyFill="1" applyBorder="1" applyAlignment="1">
      <alignment horizontal="center" vertical="center"/>
    </xf>
    <xf numFmtId="0" fontId="0" fillId="0" borderId="0" xfId="0" applyAlignment="1">
      <alignment horizontal="left" indent="1"/>
    </xf>
    <xf numFmtId="1" fontId="0" fillId="0" borderId="0" xfId="0" pivotButton="1" applyNumberFormat="1"/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left" indent="1"/>
    </xf>
    <xf numFmtId="1" fontId="0" fillId="0" borderId="0" xfId="0" applyNumberFormat="1" applyAlignment="1">
      <alignment horizontal="left" indent="2"/>
    </xf>
    <xf numFmtId="0" fontId="0" fillId="0" borderId="0" xfId="0" applyFill="1" applyAlignment="1">
      <alignment horizontal="center"/>
    </xf>
    <xf numFmtId="0" fontId="18" fillId="0" borderId="0" xfId="1" applyNumberFormat="1" applyFont="1" applyBorder="1" applyAlignment="1">
      <alignment horizontal="center" vertical="center"/>
    </xf>
    <xf numFmtId="0" fontId="18" fillId="0" borderId="0" xfId="1" applyNumberFormat="1" applyFont="1" applyBorder="1" applyAlignment="1">
      <alignment horizontal="center" vertical="center" wrapText="1"/>
    </xf>
    <xf numFmtId="1" fontId="18" fillId="0" borderId="0" xfId="1" applyNumberFormat="1" applyFont="1" applyBorder="1" applyAlignment="1">
      <alignment horizontal="center" vertical="center" wrapText="1"/>
    </xf>
    <xf numFmtId="2" fontId="18" fillId="0" borderId="0" xfId="1" applyNumberFormat="1" applyFont="1" applyBorder="1" applyAlignment="1">
      <alignment horizontal="center" vertical="center" wrapText="1"/>
    </xf>
    <xf numFmtId="44" fontId="18" fillId="0" borderId="0" xfId="7" applyNumberFormat="1" applyFont="1" applyBorder="1" applyAlignment="1">
      <alignment horizontal="center" vertical="center" wrapText="1"/>
    </xf>
    <xf numFmtId="43" fontId="18" fillId="0" borderId="0" xfId="8" applyNumberFormat="1" applyFont="1" applyBorder="1" applyAlignment="1">
      <alignment horizontal="center" vertical="center" wrapText="1"/>
    </xf>
    <xf numFmtId="3" fontId="18" fillId="0" borderId="0" xfId="1" applyNumberFormat="1" applyFont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/>
    <xf numFmtId="3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43" fontId="0" fillId="0" borderId="0" xfId="8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43" fontId="0" fillId="0" borderId="0" xfId="8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2" fillId="0" borderId="5" xfId="1" applyFill="1" applyBorder="1" applyAlignment="1">
      <alignment horizontal="center" vertical="center"/>
    </xf>
    <xf numFmtId="0" fontId="18" fillId="0" borderId="0" xfId="1" applyNumberFormat="1" applyFont="1" applyFill="1" applyBorder="1" applyAlignment="1">
      <alignment horizontal="center" vertical="center" wrapText="1"/>
    </xf>
    <xf numFmtId="1" fontId="18" fillId="0" borderId="0" xfId="1" applyNumberFormat="1" applyFont="1" applyFill="1" applyBorder="1" applyAlignment="1">
      <alignment horizontal="center" vertical="center" wrapText="1"/>
    </xf>
    <xf numFmtId="0" fontId="18" fillId="0" borderId="0" xfId="1" applyNumberFormat="1" applyFont="1" applyFill="1" applyBorder="1" applyAlignment="1">
      <alignment vertical="center" wrapText="1"/>
    </xf>
    <xf numFmtId="2" fontId="18" fillId="0" borderId="0" xfId="1" applyNumberFormat="1" applyFont="1" applyFill="1" applyBorder="1" applyAlignment="1">
      <alignment horizontal="center" vertical="center" wrapText="1"/>
    </xf>
    <xf numFmtId="44" fontId="18" fillId="0" borderId="0" xfId="7" applyNumberFormat="1" applyFont="1" applyFill="1" applyBorder="1" applyAlignment="1">
      <alignment horizontal="center" vertical="center" wrapText="1"/>
    </xf>
    <xf numFmtId="43" fontId="18" fillId="0" borderId="0" xfId="8" applyNumberFormat="1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/>
    </xf>
    <xf numFmtId="1" fontId="0" fillId="0" borderId="22" xfId="0" applyNumberFormat="1" applyFont="1" applyFill="1" applyBorder="1" applyAlignment="1">
      <alignment horizontal="center"/>
    </xf>
    <xf numFmtId="0" fontId="0" fillId="0" borderId="22" xfId="0" applyFont="1" applyFill="1" applyBorder="1" applyAlignment="1"/>
    <xf numFmtId="3" fontId="0" fillId="0" borderId="22" xfId="0" applyNumberFormat="1" applyFont="1" applyFill="1" applyBorder="1" applyAlignment="1">
      <alignment horizontal="center"/>
    </xf>
    <xf numFmtId="2" fontId="0" fillId="0" borderId="22" xfId="0" applyNumberFormat="1" applyFont="1" applyFill="1" applyBorder="1" applyAlignment="1">
      <alignment horizontal="center"/>
    </xf>
    <xf numFmtId="43" fontId="0" fillId="0" borderId="22" xfId="8" applyNumberFormat="1" applyFont="1" applyFill="1" applyBorder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Fill="1" applyAlignment="1"/>
    <xf numFmtId="3" fontId="0" fillId="0" borderId="0" xfId="0" applyNumberFormat="1" applyFont="1" applyFill="1" applyAlignment="1">
      <alignment horizontal="center"/>
    </xf>
    <xf numFmtId="44" fontId="0" fillId="0" borderId="0" xfId="3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/>
    <xf numFmtId="43" fontId="0" fillId="0" borderId="0" xfId="8" applyFont="1" applyFill="1" applyAlignment="1">
      <alignment horizontal="center"/>
    </xf>
    <xf numFmtId="0" fontId="0" fillId="0" borderId="0" xfId="0" applyFont="1" applyFill="1" applyAlignment="1">
      <alignment horizontal="left"/>
    </xf>
    <xf numFmtId="2" fontId="0" fillId="0" borderId="0" xfId="0" applyNumberFormat="1" applyFont="1" applyFill="1" applyAlignment="1">
      <alignment horizontal="center"/>
    </xf>
    <xf numFmtId="0" fontId="0" fillId="0" borderId="0" xfId="0" applyNumberFormat="1" applyFont="1" applyFill="1" applyAlignment="1">
      <alignment horizontal="center"/>
    </xf>
    <xf numFmtId="1" fontId="0" fillId="0" borderId="0" xfId="8" applyNumberFormat="1" applyFont="1" applyFill="1" applyBorder="1" applyAlignment="1">
      <alignment horizontal="center"/>
    </xf>
    <xf numFmtId="0" fontId="10" fillId="0" borderId="2" xfId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3" fontId="18" fillId="0" borderId="3" xfId="1" applyNumberFormat="1" applyFont="1" applyBorder="1" applyAlignment="1">
      <alignment horizontal="center" vertical="center" wrapText="1"/>
    </xf>
    <xf numFmtId="0" fontId="0" fillId="0" borderId="0" xfId="3" applyNumberFormat="1" applyFont="1" applyAlignment="1">
      <alignment horizontal="center"/>
    </xf>
    <xf numFmtId="0" fontId="0" fillId="2" borderId="0" xfId="3" applyNumberFormat="1" applyFont="1" applyFill="1" applyAlignment="1">
      <alignment horizontal="center"/>
    </xf>
    <xf numFmtId="44" fontId="12" fillId="0" borderId="3" xfId="7" applyFont="1" applyBorder="1" applyAlignment="1">
      <alignment horizontal="center" vertical="center" wrapText="1"/>
    </xf>
    <xf numFmtId="44" fontId="18" fillId="0" borderId="3" xfId="7" applyFont="1" applyBorder="1" applyAlignment="1">
      <alignment horizontal="center" vertical="center" wrapText="1"/>
    </xf>
    <xf numFmtId="0" fontId="2" fillId="2" borderId="29" xfId="1" applyNumberFormat="1" applyFont="1" applyFill="1" applyBorder="1" applyAlignment="1">
      <alignment horizontal="center" vertical="center"/>
    </xf>
    <xf numFmtId="44" fontId="2" fillId="0" borderId="7" xfId="1" applyNumberFormat="1" applyBorder="1"/>
    <xf numFmtId="44" fontId="2" fillId="0" borderId="0" xfId="3" applyNumberFormat="1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2" fillId="3" borderId="1" xfId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/>
    <xf numFmtId="44" fontId="0" fillId="0" borderId="0" xfId="7" applyNumberFormat="1" applyFont="1"/>
    <xf numFmtId="165" fontId="0" fillId="0" borderId="0" xfId="8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3" xfId="0" applyBorder="1"/>
    <xf numFmtId="0" fontId="12" fillId="0" borderId="29" xfId="0" applyFont="1" applyBorder="1" applyAlignment="1">
      <alignment horizontal="center" vertical="center"/>
    </xf>
    <xf numFmtId="0" fontId="12" fillId="0" borderId="29" xfId="0" applyFont="1" applyBorder="1" applyAlignment="1">
      <alignment vertical="center"/>
    </xf>
    <xf numFmtId="0" fontId="12" fillId="0" borderId="29" xfId="0" applyFont="1" applyBorder="1" applyAlignment="1">
      <alignment horizontal="center" vertical="center" wrapText="1"/>
    </xf>
    <xf numFmtId="44" fontId="12" fillId="0" borderId="29" xfId="7" applyNumberFormat="1" applyFont="1" applyBorder="1" applyAlignment="1">
      <alignment horizontal="center" vertical="center" wrapText="1"/>
    </xf>
    <xf numFmtId="44" fontId="18" fillId="0" borderId="29" xfId="7" applyNumberFormat="1" applyFont="1" applyBorder="1" applyAlignment="1">
      <alignment horizontal="center" vertical="center" wrapText="1"/>
    </xf>
    <xf numFmtId="3" fontId="18" fillId="0" borderId="29" xfId="1" applyNumberFormat="1" applyFont="1" applyBorder="1" applyAlignment="1">
      <alignment horizontal="center" vertical="center" wrapText="1"/>
    </xf>
    <xf numFmtId="0" fontId="0" fillId="0" borderId="3" xfId="0" applyFill="1" applyBorder="1"/>
    <xf numFmtId="2" fontId="0" fillId="0" borderId="0" xfId="0" applyNumberFormat="1" applyFill="1" applyAlignment="1">
      <alignment horizontal="center"/>
    </xf>
    <xf numFmtId="44" fontId="20" fillId="0" borderId="0" xfId="7" applyFont="1"/>
    <xf numFmtId="0" fontId="12" fillId="0" borderId="0" xfId="0" applyFont="1"/>
    <xf numFmtId="0" fontId="7" fillId="0" borderId="0" xfId="0" applyFont="1" applyAlignment="1">
      <alignment horizontal="center"/>
    </xf>
    <xf numFmtId="3" fontId="7" fillId="0" borderId="0" xfId="0" applyNumberFormat="1" applyFont="1" applyAlignment="1">
      <alignment horizontal="center"/>
    </xf>
    <xf numFmtId="44" fontId="7" fillId="0" borderId="0" xfId="7" applyFont="1"/>
    <xf numFmtId="9" fontId="7" fillId="0" borderId="0" xfId="6" applyFont="1" applyAlignment="1">
      <alignment horizontal="center"/>
    </xf>
    <xf numFmtId="9" fontId="7" fillId="0" borderId="0" xfId="0" applyNumberFormat="1" applyFont="1" applyFill="1" applyAlignment="1">
      <alignment horizontal="center" vertical="center" wrapText="1"/>
    </xf>
    <xf numFmtId="9" fontId="7" fillId="0" borderId="0" xfId="7" applyNumberFormat="1" applyFont="1" applyAlignment="1">
      <alignment horizontal="center"/>
    </xf>
    <xf numFmtId="0" fontId="9" fillId="0" borderId="0" xfId="0" applyFont="1" applyAlignment="1">
      <alignment horizontal="center" vertical="top" wrapText="1"/>
    </xf>
    <xf numFmtId="0" fontId="9" fillId="0" borderId="0" xfId="0" applyFont="1" applyFill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0" fillId="0" borderId="0" xfId="0" applyAlignment="1">
      <alignment horizontal="left" wrapText="1"/>
    </xf>
    <xf numFmtId="0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0" fontId="0" fillId="0" borderId="0" xfId="1" applyFont="1" applyFill="1" applyBorder="1" applyAlignment="1">
      <alignment horizontal="center" vertical="center"/>
    </xf>
    <xf numFmtId="4" fontId="20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Border="1" applyAlignment="1">
      <alignment wrapText="1"/>
    </xf>
    <xf numFmtId="44" fontId="0" fillId="0" borderId="0" xfId="7" applyFont="1" applyAlignment="1">
      <alignment horizontal="center" vertical="center"/>
    </xf>
    <xf numFmtId="0" fontId="12" fillId="0" borderId="3" xfId="0" applyFont="1" applyBorder="1" applyAlignment="1">
      <alignment vertical="center" wrapText="1"/>
    </xf>
    <xf numFmtId="0" fontId="0" fillId="0" borderId="3" xfId="0" applyBorder="1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3" fontId="20" fillId="0" borderId="0" xfId="0" applyNumberFormat="1" applyFont="1" applyAlignment="1">
      <alignment horizontal="center" vertical="center"/>
    </xf>
    <xf numFmtId="1" fontId="2" fillId="0" borderId="8" xfId="3" applyNumberFormat="1" applyFont="1" applyBorder="1" applyAlignment="1">
      <alignment horizontal="center"/>
    </xf>
    <xf numFmtId="1" fontId="2" fillId="0" borderId="7" xfId="3" applyNumberFormat="1" applyFont="1" applyBorder="1" applyAlignment="1">
      <alignment horizontal="center"/>
    </xf>
    <xf numFmtId="1" fontId="2" fillId="0" borderId="4" xfId="3" applyNumberFormat="1" applyFont="1" applyBorder="1" applyAlignment="1">
      <alignment horizontal="center"/>
    </xf>
    <xf numFmtId="10" fontId="2" fillId="0" borderId="11" xfId="4" applyNumberFormat="1" applyFont="1" applyBorder="1" applyAlignment="1">
      <alignment horizontal="center"/>
    </xf>
    <xf numFmtId="44" fontId="2" fillId="0" borderId="9" xfId="3" applyNumberFormat="1" applyFont="1" applyBorder="1" applyAlignment="1">
      <alignment horizontal="center"/>
    </xf>
    <xf numFmtId="44" fontId="2" fillId="0" borderId="5" xfId="3" applyNumberFormat="1" applyFont="1" applyBorder="1" applyAlignment="1">
      <alignment horizontal="center"/>
    </xf>
    <xf numFmtId="10" fontId="2" fillId="0" borderId="30" xfId="4" applyNumberFormat="1" applyFont="1" applyBorder="1" applyAlignment="1">
      <alignment horizontal="center"/>
    </xf>
    <xf numFmtId="44" fontId="2" fillId="0" borderId="30" xfId="3" applyFont="1" applyBorder="1" applyAlignment="1">
      <alignment horizontal="center"/>
    </xf>
    <xf numFmtId="0" fontId="2" fillId="4" borderId="1" xfId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2" fontId="0" fillId="5" borderId="0" xfId="0" applyNumberFormat="1" applyFill="1" applyAlignment="1">
      <alignment horizontal="center"/>
    </xf>
    <xf numFmtId="0" fontId="0" fillId="0" borderId="0" xfId="0" applyFont="1" applyAlignment="1"/>
    <xf numFmtId="0" fontId="0" fillId="2" borderId="0" xfId="0" applyFont="1" applyFill="1" applyAlignment="1">
      <alignment horizontal="center"/>
    </xf>
    <xf numFmtId="0" fontId="0" fillId="2" borderId="3" xfId="0" applyFont="1" applyFill="1" applyBorder="1" applyAlignment="1">
      <alignment horizontal="center"/>
    </xf>
    <xf numFmtId="10" fontId="0" fillId="3" borderId="13" xfId="4" applyNumberFormat="1" applyFont="1" applyFill="1" applyBorder="1" applyAlignment="1">
      <alignment horizontal="center"/>
    </xf>
    <xf numFmtId="10" fontId="0" fillId="3" borderId="14" xfId="4" applyNumberFormat="1" applyFont="1" applyFill="1" applyBorder="1" applyAlignment="1">
      <alignment horizontal="center"/>
    </xf>
    <xf numFmtId="10" fontId="0" fillId="3" borderId="15" xfId="4" applyNumberFormat="1" applyFont="1" applyFill="1" applyBorder="1" applyAlignment="1">
      <alignment horizontal="center"/>
    </xf>
    <xf numFmtId="0" fontId="7" fillId="0" borderId="0" xfId="0" applyFont="1" applyFill="1" applyAlignment="1">
      <alignment horizontal="center" vertical="center"/>
    </xf>
    <xf numFmtId="44" fontId="7" fillId="0" borderId="0" xfId="7" applyFont="1" applyFill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/>
    </xf>
    <xf numFmtId="165" fontId="7" fillId="0" borderId="0" xfId="8" applyNumberFormat="1" applyFont="1" applyFill="1" applyAlignment="1">
      <alignment horizontal="center" vertical="center"/>
    </xf>
    <xf numFmtId="2" fontId="7" fillId="0" borderId="0" xfId="0" applyNumberFormat="1" applyFont="1" applyFill="1" applyAlignment="1">
      <alignment horizontal="center" vertical="center"/>
    </xf>
    <xf numFmtId="10" fontId="2" fillId="0" borderId="0" xfId="1" applyNumberFormat="1"/>
    <xf numFmtId="0" fontId="7" fillId="0" borderId="0" xfId="0" applyFont="1" applyFill="1" applyAlignment="1">
      <alignment horizontal="left" vertical="center"/>
    </xf>
    <xf numFmtId="44" fontId="21" fillId="0" borderId="0" xfId="7" applyFont="1" applyAlignment="1">
      <alignment horizontal="center"/>
    </xf>
    <xf numFmtId="44" fontId="20" fillId="0" borderId="0" xfId="7" applyFont="1" applyAlignment="1">
      <alignment horizontal="center"/>
    </xf>
    <xf numFmtId="2" fontId="20" fillId="0" borderId="0" xfId="7" applyNumberFormat="1" applyFont="1" applyAlignment="1">
      <alignment horizontal="center"/>
    </xf>
    <xf numFmtId="44" fontId="0" fillId="0" borderId="0" xfId="7" applyFont="1" applyAlignment="1">
      <alignment horizontal="center"/>
    </xf>
    <xf numFmtId="44" fontId="0" fillId="0" borderId="3" xfId="7" applyFont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0" fillId="0" borderId="33" xfId="1" applyFont="1" applyFill="1" applyBorder="1" applyAlignment="1">
      <alignment horizontal="center" vertical="center"/>
    </xf>
    <xf numFmtId="0" fontId="10" fillId="0" borderId="34" xfId="1" applyFont="1" applyFill="1" applyBorder="1" applyAlignment="1">
      <alignment horizontal="center" vertical="center"/>
    </xf>
    <xf numFmtId="0" fontId="10" fillId="0" borderId="31" xfId="1" applyFont="1" applyFill="1" applyBorder="1" applyAlignment="1">
      <alignment horizontal="center" vertical="center"/>
    </xf>
    <xf numFmtId="0" fontId="10" fillId="0" borderId="32" xfId="1" applyFont="1" applyFill="1" applyBorder="1" applyAlignment="1">
      <alignment horizontal="center" vertical="center"/>
    </xf>
    <xf numFmtId="0" fontId="2" fillId="0" borderId="35" xfId="1" applyFill="1" applyBorder="1" applyAlignment="1">
      <alignment horizontal="center" vertical="center"/>
    </xf>
    <xf numFmtId="0" fontId="2" fillId="0" borderId="35" xfId="1" applyNumberFormat="1" applyFont="1" applyFill="1" applyBorder="1" applyAlignment="1">
      <alignment horizontal="center" vertical="center"/>
    </xf>
    <xf numFmtId="0" fontId="2" fillId="5" borderId="35" xfId="1" applyFill="1" applyBorder="1" applyAlignment="1">
      <alignment horizontal="center" vertical="center"/>
    </xf>
    <xf numFmtId="0" fontId="2" fillId="4" borderId="0" xfId="1" applyFill="1" applyBorder="1" applyAlignment="1">
      <alignment horizontal="center" vertical="center"/>
    </xf>
    <xf numFmtId="0" fontId="18" fillId="3" borderId="0" xfId="1" applyNumberFormat="1" applyFont="1" applyFill="1" applyBorder="1" applyAlignment="1">
      <alignment horizontal="center" vertical="center"/>
    </xf>
    <xf numFmtId="0" fontId="7" fillId="0" borderId="0" xfId="0" pivotButton="1" applyFont="1"/>
    <xf numFmtId="0" fontId="7" fillId="0" borderId="0" xfId="0" pivotButton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0" fontId="7" fillId="0" borderId="0" xfId="0" applyNumberFormat="1" applyFont="1" applyAlignment="1">
      <alignment horizontal="center" vertical="center"/>
    </xf>
    <xf numFmtId="3" fontId="7" fillId="0" borderId="0" xfId="0" applyNumberFormat="1" applyFont="1"/>
    <xf numFmtId="0" fontId="7" fillId="0" borderId="0" xfId="0" applyFont="1" applyAlignment="1">
      <alignment horizontal="left" indent="1"/>
    </xf>
    <xf numFmtId="3" fontId="0" fillId="0" borderId="0" xfId="0" applyNumberForma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0" fillId="5" borderId="0" xfId="0" applyFont="1" applyFill="1" applyAlignment="1">
      <alignment horizontal="left"/>
    </xf>
    <xf numFmtId="2" fontId="0" fillId="10" borderId="0" xfId="0" applyNumberFormat="1" applyFont="1" applyFill="1" applyAlignment="1">
      <alignment horizontal="center"/>
    </xf>
    <xf numFmtId="3" fontId="0" fillId="0" borderId="0" xfId="8" applyNumberFormat="1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44" fontId="0" fillId="0" borderId="0" xfId="7" applyFont="1" applyFill="1" applyBorder="1" applyAlignment="1">
      <alignment horizontal="center"/>
    </xf>
    <xf numFmtId="44" fontId="0" fillId="0" borderId="0" xfId="7" applyFont="1" applyFill="1" applyAlignment="1">
      <alignment horizontal="center"/>
    </xf>
    <xf numFmtId="0" fontId="6" fillId="0" borderId="0" xfId="2" applyNumberFormat="1" applyAlignment="1">
      <alignment horizontal="center"/>
    </xf>
    <xf numFmtId="0" fontId="7" fillId="0" borderId="0" xfId="0" applyFont="1" applyAlignment="1">
      <alignment horizontal="left" indent="2"/>
    </xf>
    <xf numFmtId="0" fontId="0" fillId="10" borderId="0" xfId="0" applyNumberForma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10" fillId="0" borderId="8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/>
    </xf>
    <xf numFmtId="0" fontId="17" fillId="0" borderId="7" xfId="1" applyNumberFormat="1" applyFont="1" applyFill="1" applyBorder="1" applyAlignment="1">
      <alignment horizontal="center" vertical="center"/>
    </xf>
    <xf numFmtId="0" fontId="17" fillId="0" borderId="4" xfId="1" applyNumberFormat="1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17" fillId="0" borderId="2" xfId="1" applyNumberFormat="1" applyFont="1" applyFill="1" applyBorder="1" applyAlignment="1">
      <alignment horizontal="center" vertical="center"/>
    </xf>
    <xf numFmtId="0" fontId="17" fillId="0" borderId="8" xfId="1" applyNumberFormat="1" applyFont="1" applyFill="1" applyBorder="1" applyAlignment="1">
      <alignment horizontal="center" vertical="center"/>
    </xf>
    <xf numFmtId="44" fontId="7" fillId="2" borderId="0" xfId="7" applyNumberFormat="1" applyFont="1" applyFill="1" applyAlignment="1">
      <alignment horizontal="center" vertical="center"/>
    </xf>
    <xf numFmtId="6" fontId="7" fillId="0" borderId="0" xfId="0" applyNumberFormat="1" applyFont="1"/>
    <xf numFmtId="44" fontId="9" fillId="0" borderId="0" xfId="7" applyFont="1" applyFill="1" applyAlignment="1">
      <alignment horizontal="center" vertical="top" wrapText="1"/>
    </xf>
    <xf numFmtId="44" fontId="7" fillId="0" borderId="0" xfId="7" applyFont="1" applyAlignment="1">
      <alignment horizontal="center"/>
    </xf>
    <xf numFmtId="44" fontId="7" fillId="0" borderId="0" xfId="7" applyFont="1" applyFill="1" applyAlignment="1">
      <alignment horizontal="center" vertical="center" wrapText="1"/>
    </xf>
    <xf numFmtId="4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12" fillId="0" borderId="5" xfId="0" applyFont="1" applyBorder="1" applyAlignment="1">
      <alignment horizontal="center" vertical="center" wrapText="1"/>
    </xf>
    <xf numFmtId="44" fontId="12" fillId="0" borderId="5" xfId="7" applyFont="1" applyBorder="1" applyAlignment="1">
      <alignment horizontal="center" vertical="center" wrapText="1"/>
    </xf>
    <xf numFmtId="44" fontId="18" fillId="0" borderId="5" xfId="7" applyFont="1" applyBorder="1" applyAlignment="1">
      <alignment horizontal="center" vertical="center" wrapText="1"/>
    </xf>
    <xf numFmtId="3" fontId="18" fillId="0" borderId="5" xfId="1" applyNumberFormat="1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44" fontId="22" fillId="0" borderId="0" xfId="7" applyFont="1" applyBorder="1" applyAlignment="1">
      <alignment horizontal="center" vertical="center"/>
    </xf>
    <xf numFmtId="44" fontId="23" fillId="0" borderId="0" xfId="7" applyFont="1" applyBorder="1" applyAlignment="1">
      <alignment horizontal="center" vertical="center"/>
    </xf>
    <xf numFmtId="2" fontId="23" fillId="0" borderId="0" xfId="7" applyNumberFormat="1" applyFont="1" applyBorder="1" applyAlignment="1">
      <alignment horizontal="center" vertical="center"/>
    </xf>
    <xf numFmtId="4" fontId="23" fillId="0" borderId="0" xfId="0" applyNumberFormat="1" applyFont="1" applyBorder="1" applyAlignment="1">
      <alignment horizontal="center" vertical="center"/>
    </xf>
    <xf numFmtId="44" fontId="12" fillId="0" borderId="0" xfId="7" applyFont="1" applyBorder="1" applyAlignment="1">
      <alignment horizontal="center" vertical="center"/>
    </xf>
    <xf numFmtId="0" fontId="12" fillId="0" borderId="5" xfId="0" applyFont="1" applyFill="1" applyBorder="1" applyAlignment="1">
      <alignment horizontal="center" vertical="center"/>
    </xf>
    <xf numFmtId="1" fontId="12" fillId="0" borderId="0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44" fontId="9" fillId="2" borderId="0" xfId="7" applyFont="1" applyFill="1" applyBorder="1" applyAlignment="1">
      <alignment horizontal="center" vertical="center"/>
    </xf>
    <xf numFmtId="0" fontId="16" fillId="0" borderId="0" xfId="1" applyNumberFormat="1" applyFont="1" applyFill="1" applyBorder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6" borderId="5" xfId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16" fillId="0" borderId="2" xfId="1" applyNumberFormat="1" applyFont="1" applyFill="1" applyBorder="1" applyAlignment="1">
      <alignment horizontal="center" vertical="center"/>
    </xf>
    <xf numFmtId="0" fontId="2" fillId="0" borderId="8" xfId="1" applyNumberFormat="1" applyFont="1" applyFill="1" applyBorder="1" applyAlignment="1">
      <alignment horizontal="center" vertical="center"/>
    </xf>
    <xf numFmtId="0" fontId="16" fillId="0" borderId="1" xfId="1" applyNumberFormat="1" applyFont="1" applyFill="1" applyBorder="1" applyAlignment="1">
      <alignment horizontal="center" vertical="center"/>
    </xf>
    <xf numFmtId="0" fontId="2" fillId="0" borderId="7" xfId="1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44" fontId="12" fillId="0" borderId="0" xfId="7" applyFont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1" fontId="0" fillId="0" borderId="0" xfId="0" applyNumberFormat="1" applyFont="1" applyFill="1" applyAlignment="1">
      <alignment horizontal="left"/>
    </xf>
    <xf numFmtId="44" fontId="0" fillId="0" borderId="0" xfId="0" applyNumberFormat="1" applyFill="1"/>
    <xf numFmtId="0" fontId="0" fillId="0" borderId="3" xfId="0" applyFill="1" applyBorder="1" applyAlignment="1">
      <alignment wrapText="1"/>
    </xf>
    <xf numFmtId="0" fontId="0" fillId="0" borderId="38" xfId="0" applyFill="1" applyBorder="1" applyAlignment="1">
      <alignment wrapText="1"/>
    </xf>
    <xf numFmtId="44" fontId="0" fillId="0" borderId="28" xfId="7" applyFont="1" applyFill="1" applyBorder="1" applyAlignment="1">
      <alignment horizontal="center"/>
    </xf>
    <xf numFmtId="0" fontId="0" fillId="0" borderId="0" xfId="0" applyNumberFormat="1" applyFill="1" applyAlignment="1">
      <alignment horizontal="center"/>
    </xf>
    <xf numFmtId="44" fontId="0" fillId="0" borderId="28" xfId="0" applyNumberFormat="1" applyFill="1" applyBorder="1" applyAlignment="1">
      <alignment horizontal="center"/>
    </xf>
    <xf numFmtId="0" fontId="0" fillId="0" borderId="39" xfId="0" applyBorder="1"/>
    <xf numFmtId="0" fontId="0" fillId="0" borderId="27" xfId="0" applyFont="1" applyFill="1" applyBorder="1" applyAlignment="1">
      <alignment horizontal="center"/>
    </xf>
    <xf numFmtId="0" fontId="0" fillId="0" borderId="27" xfId="0" applyNumberFormat="1" applyFont="1" applyFill="1" applyBorder="1" applyAlignment="1">
      <alignment horizontal="center"/>
    </xf>
    <xf numFmtId="0" fontId="0" fillId="0" borderId="27" xfId="0" applyBorder="1"/>
    <xf numFmtId="44" fontId="0" fillId="0" borderId="27" xfId="7" applyFont="1" applyFill="1" applyBorder="1" applyAlignment="1">
      <alignment horizontal="center"/>
    </xf>
    <xf numFmtId="0" fontId="0" fillId="0" borderId="27" xfId="0" applyNumberFormat="1" applyFill="1" applyBorder="1" applyAlignment="1">
      <alignment horizontal="center"/>
    </xf>
    <xf numFmtId="0" fontId="0" fillId="0" borderId="0" xfId="0" applyNumberFormat="1" applyFill="1"/>
    <xf numFmtId="0" fontId="0" fillId="0" borderId="3" xfId="0" applyNumberFormat="1" applyFill="1" applyBorder="1" applyAlignment="1">
      <alignment wrapText="1"/>
    </xf>
    <xf numFmtId="0" fontId="0" fillId="0" borderId="0" xfId="7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44" fontId="0" fillId="0" borderId="40" xfId="7" applyFont="1" applyFill="1" applyBorder="1" applyAlignment="1">
      <alignment horizontal="center"/>
    </xf>
    <xf numFmtId="0" fontId="10" fillId="3" borderId="1" xfId="1" applyFont="1" applyFill="1" applyBorder="1" applyAlignment="1">
      <alignment horizontal="center" vertical="center"/>
    </xf>
    <xf numFmtId="0" fontId="10" fillId="3" borderId="7" xfId="1" applyFont="1" applyFill="1" applyBorder="1" applyAlignment="1">
      <alignment horizontal="center" vertical="center"/>
    </xf>
    <xf numFmtId="0" fontId="10" fillId="0" borderId="8" xfId="1" applyFont="1" applyFill="1" applyBorder="1" applyAlignment="1">
      <alignment horizontal="center" vertical="center"/>
    </xf>
    <xf numFmtId="0" fontId="10" fillId="0" borderId="7" xfId="1" applyFont="1" applyFill="1" applyBorder="1" applyAlignment="1">
      <alignment horizontal="center" vertical="center"/>
    </xf>
    <xf numFmtId="0" fontId="10" fillId="0" borderId="4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10" fillId="0" borderId="6" xfId="1" applyFont="1" applyFill="1" applyBorder="1" applyAlignment="1">
      <alignment horizontal="center" vertical="center"/>
    </xf>
    <xf numFmtId="0" fontId="2" fillId="0" borderId="1" xfId="1" applyFill="1" applyBorder="1" applyAlignment="1">
      <alignment horizontal="center" vertical="center"/>
    </xf>
    <xf numFmtId="0" fontId="2" fillId="0" borderId="6" xfId="1" applyFill="1" applyBorder="1" applyAlignment="1">
      <alignment horizontal="center" vertical="center"/>
    </xf>
    <xf numFmtId="0" fontId="2" fillId="0" borderId="8" xfId="1" applyFill="1" applyBorder="1" applyAlignment="1">
      <alignment horizontal="center" vertical="center"/>
    </xf>
    <xf numFmtId="0" fontId="2" fillId="0" borderId="7" xfId="1" applyFill="1" applyBorder="1" applyAlignment="1">
      <alignment horizontal="center" vertical="center"/>
    </xf>
    <xf numFmtId="0" fontId="2" fillId="0" borderId="4" xfId="1" applyFill="1" applyBorder="1" applyAlignment="1">
      <alignment horizontal="center" vertical="center"/>
    </xf>
    <xf numFmtId="0" fontId="2" fillId="0" borderId="2" xfId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0" fillId="0" borderId="7" xfId="1" applyFont="1" applyBorder="1" applyAlignment="1">
      <alignment horizontal="center" vertical="center"/>
    </xf>
    <xf numFmtId="0" fontId="10" fillId="0" borderId="4" xfId="1" applyFont="1" applyBorder="1" applyAlignment="1">
      <alignment horizontal="center" vertical="center"/>
    </xf>
    <xf numFmtId="0" fontId="11" fillId="3" borderId="0" xfId="1" applyFont="1" applyFill="1" applyBorder="1" applyAlignment="1">
      <alignment horizontal="center" vertical="center"/>
    </xf>
    <xf numFmtId="0" fontId="23" fillId="3" borderId="0" xfId="1" applyFont="1" applyFill="1" applyBorder="1" applyAlignment="1">
      <alignment horizontal="center" vertical="center"/>
    </xf>
    <xf numFmtId="0" fontId="24" fillId="3" borderId="0" xfId="1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/>
    <xf numFmtId="0" fontId="0" fillId="5" borderId="0" xfId="0" applyFill="1"/>
    <xf numFmtId="0" fontId="2" fillId="5" borderId="2" xfId="1" applyFill="1" applyBorder="1" applyAlignment="1">
      <alignment horizontal="center" vertical="center"/>
    </xf>
    <xf numFmtId="0" fontId="2" fillId="5" borderId="1" xfId="1" applyFill="1" applyBorder="1" applyAlignment="1">
      <alignment horizontal="center" vertical="center"/>
    </xf>
    <xf numFmtId="0" fontId="2" fillId="5" borderId="6" xfId="1" applyFill="1" applyBorder="1" applyAlignment="1">
      <alignment horizontal="center" vertical="center"/>
    </xf>
    <xf numFmtId="0" fontId="0" fillId="6" borderId="0" xfId="0" applyFill="1"/>
    <xf numFmtId="0" fontId="2" fillId="6" borderId="2" xfId="1" applyFill="1" applyBorder="1" applyAlignment="1">
      <alignment horizontal="center" vertical="center"/>
    </xf>
    <xf numFmtId="0" fontId="2" fillId="6" borderId="1" xfId="1" applyFill="1" applyBorder="1" applyAlignment="1">
      <alignment horizontal="center" vertical="center"/>
    </xf>
    <xf numFmtId="0" fontId="2" fillId="6" borderId="6" xfId="1" applyFill="1" applyBorder="1" applyAlignment="1">
      <alignment horizontal="center" vertical="center"/>
    </xf>
    <xf numFmtId="0" fontId="0" fillId="4" borderId="0" xfId="0" applyFill="1"/>
    <xf numFmtId="0" fontId="2" fillId="4" borderId="2" xfId="1" applyFill="1" applyBorder="1" applyAlignment="1">
      <alignment horizontal="center" vertical="center"/>
    </xf>
    <xf numFmtId="0" fontId="2" fillId="4" borderId="6" xfId="1" applyFill="1" applyBorder="1" applyAlignment="1">
      <alignment horizontal="center" vertical="center"/>
    </xf>
    <xf numFmtId="0" fontId="0" fillId="11" borderId="0" xfId="0" applyFill="1"/>
    <xf numFmtId="0" fontId="2" fillId="11" borderId="2" xfId="1" applyFill="1" applyBorder="1" applyAlignment="1">
      <alignment horizontal="center" vertical="center"/>
    </xf>
    <xf numFmtId="0" fontId="2" fillId="11" borderId="1" xfId="1" applyFill="1" applyBorder="1" applyAlignment="1">
      <alignment horizontal="center" vertical="center"/>
    </xf>
    <xf numFmtId="0" fontId="2" fillId="11" borderId="6" xfId="1" applyFill="1" applyBorder="1" applyAlignment="1">
      <alignment horizontal="center" vertical="center"/>
    </xf>
    <xf numFmtId="0" fontId="0" fillId="12" borderId="0" xfId="0" applyFill="1"/>
    <xf numFmtId="0" fontId="2" fillId="12" borderId="2" xfId="1" applyFill="1" applyBorder="1" applyAlignment="1">
      <alignment horizontal="center" vertical="center"/>
    </xf>
    <xf numFmtId="0" fontId="2" fillId="12" borderId="1" xfId="1" applyFill="1" applyBorder="1" applyAlignment="1">
      <alignment horizontal="center" vertical="center"/>
    </xf>
    <xf numFmtId="0" fontId="2" fillId="12" borderId="6" xfId="1" applyFill="1" applyBorder="1" applyAlignment="1">
      <alignment horizontal="center" vertical="center"/>
    </xf>
    <xf numFmtId="0" fontId="10" fillId="0" borderId="8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/>
    </xf>
    <xf numFmtId="0" fontId="2" fillId="0" borderId="16" xfId="1" applyFont="1" applyFill="1" applyBorder="1" applyAlignment="1">
      <alignment horizontal="center" vertical="center"/>
    </xf>
    <xf numFmtId="0" fontId="2" fillId="0" borderId="17" xfId="1" applyFont="1" applyFill="1" applyBorder="1" applyAlignment="1">
      <alignment horizontal="center" vertical="center"/>
    </xf>
    <xf numFmtId="0" fontId="2" fillId="0" borderId="18" xfId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1" applyFont="1" applyFill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16" fillId="0" borderId="2" xfId="1" applyNumberFormat="1" applyFont="1" applyFill="1" applyBorder="1" applyAlignment="1">
      <alignment horizontal="center"/>
    </xf>
    <xf numFmtId="2" fontId="16" fillId="0" borderId="8" xfId="1" applyNumberFormat="1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6" fillId="0" borderId="1" xfId="1" applyNumberFormat="1" applyFont="1" applyFill="1" applyBorder="1" applyAlignment="1">
      <alignment horizontal="center"/>
    </xf>
    <xf numFmtId="2" fontId="16" fillId="0" borderId="7" xfId="1" applyNumberFormat="1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 vertical="center"/>
    </xf>
    <xf numFmtId="2" fontId="2" fillId="0" borderId="7" xfId="1" applyNumberFormat="1" applyFont="1" applyFill="1" applyBorder="1" applyAlignment="1">
      <alignment horizontal="center"/>
    </xf>
    <xf numFmtId="0" fontId="7" fillId="0" borderId="7" xfId="0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2" fontId="1" fillId="0" borderId="4" xfId="0" applyNumberFormat="1" applyFont="1" applyFill="1" applyBorder="1" applyAlignment="1">
      <alignment horizontal="center" vertical="center"/>
    </xf>
    <xf numFmtId="0" fontId="2" fillId="0" borderId="2" xfId="1" applyNumberFormat="1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vertical="center"/>
    </xf>
    <xf numFmtId="2" fontId="7" fillId="0" borderId="5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2" fontId="16" fillId="0" borderId="4" xfId="1" applyNumberFormat="1" applyFont="1" applyFill="1" applyBorder="1" applyAlignment="1">
      <alignment horizontal="center"/>
    </xf>
    <xf numFmtId="0" fontId="4" fillId="0" borderId="6" xfId="1" applyNumberFormat="1" applyFont="1" applyFill="1" applyBorder="1" applyAlignment="1">
      <alignment horizontal="center" vertical="center"/>
    </xf>
    <xf numFmtId="2" fontId="2" fillId="0" borderId="5" xfId="1" applyNumberFormat="1" applyFont="1" applyFill="1" applyBorder="1" applyAlignment="1">
      <alignment horizontal="center"/>
    </xf>
    <xf numFmtId="2" fontId="16" fillId="0" borderId="7" xfId="1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2" fontId="1" fillId="0" borderId="9" xfId="0" applyNumberFormat="1" applyFont="1" applyFill="1" applyBorder="1" applyAlignment="1">
      <alignment horizontal="center" vertical="center"/>
    </xf>
    <xf numFmtId="2" fontId="1" fillId="0" borderId="0" xfId="0" applyNumberFormat="1" applyFont="1" applyFill="1" applyBorder="1" applyAlignment="1">
      <alignment horizontal="center" vertical="center"/>
    </xf>
    <xf numFmtId="0" fontId="16" fillId="0" borderId="6" xfId="1" applyNumberFormat="1" applyFont="1" applyFill="1" applyBorder="1" applyAlignment="1">
      <alignment horizontal="center" vertical="center"/>
    </xf>
    <xf numFmtId="2" fontId="1" fillId="0" borderId="5" xfId="0" applyNumberFormat="1" applyFont="1" applyFill="1" applyBorder="1" applyAlignment="1">
      <alignment horizontal="center" vertical="center"/>
    </xf>
    <xf numFmtId="0" fontId="16" fillId="0" borderId="6" xfId="1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7" fillId="0" borderId="1" xfId="1" applyNumberFormat="1" applyFont="1" applyFill="1" applyBorder="1" applyAlignment="1">
      <alignment horizontal="center" vertical="center"/>
    </xf>
    <xf numFmtId="2" fontId="2" fillId="0" borderId="8" xfId="1" applyNumberFormat="1" applyFont="1" applyFill="1" applyBorder="1" applyAlignment="1">
      <alignment horizontal="center"/>
    </xf>
    <xf numFmtId="0" fontId="4" fillId="0" borderId="1" xfId="1" applyNumberFormat="1" applyFont="1" applyFill="1" applyBorder="1" applyAlignment="1">
      <alignment horizontal="center"/>
    </xf>
    <xf numFmtId="2" fontId="1" fillId="0" borderId="7" xfId="0" applyNumberFormat="1" applyFont="1" applyFill="1" applyBorder="1" applyAlignment="1">
      <alignment horizontal="center" vertical="center"/>
    </xf>
    <xf numFmtId="0" fontId="2" fillId="0" borderId="6" xfId="1" applyNumberFormat="1" applyFont="1" applyFill="1" applyBorder="1" applyAlignment="1">
      <alignment horizontal="center"/>
    </xf>
    <xf numFmtId="2" fontId="2" fillId="0" borderId="4" xfId="1" applyNumberFormat="1" applyFont="1" applyFill="1" applyBorder="1" applyAlignment="1">
      <alignment horizontal="center"/>
    </xf>
    <xf numFmtId="0" fontId="16" fillId="0" borderId="5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2" fontId="1" fillId="0" borderId="8" xfId="0" applyNumberFormat="1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2" fillId="0" borderId="0" xfId="1" applyFont="1" applyFill="1" applyAlignment="1">
      <alignment horizontal="center"/>
    </xf>
    <xf numFmtId="0" fontId="2" fillId="0" borderId="0" xfId="1" applyFont="1" applyFill="1"/>
    <xf numFmtId="44" fontId="2" fillId="0" borderId="0" xfId="1" applyNumberFormat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right" vertical="center"/>
    </xf>
    <xf numFmtId="0" fontId="2" fillId="0" borderId="0" xfId="1" quotePrefix="1" applyFont="1" applyFill="1" applyBorder="1" applyAlignment="1">
      <alignment horizontal="left" vertical="center"/>
    </xf>
    <xf numFmtId="164" fontId="2" fillId="0" borderId="0" xfId="1" applyNumberFormat="1" applyFont="1" applyFill="1" applyAlignment="1">
      <alignment horizontal="center" vertical="center"/>
    </xf>
    <xf numFmtId="2" fontId="2" fillId="0" borderId="5" xfId="1" applyNumberFormat="1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2" fillId="0" borderId="5" xfId="1" applyNumberFormat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/>
    </xf>
    <xf numFmtId="0" fontId="2" fillId="0" borderId="0" xfId="1" applyFont="1" applyFill="1" applyAlignment="1">
      <alignment horizontal="center" vertical="center" wrapText="1"/>
    </xf>
    <xf numFmtId="0" fontId="2" fillId="0" borderId="0" xfId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center" vertical="center"/>
    </xf>
    <xf numFmtId="0" fontId="2" fillId="0" borderId="26" xfId="1" applyFont="1" applyFill="1" applyBorder="1" applyAlignment="1">
      <alignment horizontal="center" vertical="center"/>
    </xf>
    <xf numFmtId="0" fontId="2" fillId="0" borderId="24" xfId="1" applyFont="1" applyFill="1" applyBorder="1" applyAlignment="1">
      <alignment horizontal="center" vertical="center"/>
    </xf>
    <xf numFmtId="0" fontId="2" fillId="0" borderId="0" xfId="1" applyFont="1" applyFill="1" applyAlignment="1">
      <alignment horizontal="right" vertical="center"/>
    </xf>
    <xf numFmtId="0" fontId="2" fillId="0" borderId="9" xfId="1" applyNumberFormat="1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2" fontId="1" fillId="0" borderId="4" xfId="0" applyNumberFormat="1" applyFont="1" applyBorder="1" applyAlignment="1">
      <alignment horizontal="center" vertical="center"/>
    </xf>
    <xf numFmtId="0" fontId="2" fillId="0" borderId="8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7" xfId="1" applyFont="1" applyFill="1" applyBorder="1" applyAlignment="1">
      <alignment horizontal="center" vertical="center"/>
    </xf>
    <xf numFmtId="0" fontId="2" fillId="0" borderId="6" xfId="1" applyFont="1" applyFill="1" applyBorder="1" applyAlignment="1">
      <alignment horizontal="center" vertical="center"/>
    </xf>
    <xf numFmtId="0" fontId="2" fillId="0" borderId="4" xfId="1" applyFont="1" applyFill="1" applyBorder="1" applyAlignment="1">
      <alignment horizontal="center" vertical="center"/>
    </xf>
    <xf numFmtId="0" fontId="2" fillId="0" borderId="9" xfId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 vertical="center"/>
    </xf>
    <xf numFmtId="0" fontId="11" fillId="0" borderId="16" xfId="1" applyFont="1" applyBorder="1" applyAlignment="1">
      <alignment horizontal="center" vertical="center"/>
    </xf>
    <xf numFmtId="0" fontId="11" fillId="0" borderId="17" xfId="1" applyFont="1" applyBorder="1" applyAlignment="1">
      <alignment horizontal="center" vertical="center"/>
    </xf>
    <xf numFmtId="0" fontId="11" fillId="0" borderId="18" xfId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0" borderId="16" xfId="1" applyFill="1" applyBorder="1" applyAlignment="1">
      <alignment horizontal="center" vertical="center"/>
    </xf>
    <xf numFmtId="0" fontId="2" fillId="0" borderId="17" xfId="1" applyFill="1" applyBorder="1" applyAlignment="1">
      <alignment horizontal="center" vertical="center"/>
    </xf>
    <xf numFmtId="0" fontId="2" fillId="0" borderId="18" xfId="1" applyFill="1" applyBorder="1" applyAlignment="1">
      <alignment horizontal="center" vertical="center"/>
    </xf>
    <xf numFmtId="0" fontId="2" fillId="0" borderId="16" xfId="1" applyNumberFormat="1" applyFont="1" applyFill="1" applyBorder="1" applyAlignment="1">
      <alignment horizontal="center" vertical="center"/>
    </xf>
    <xf numFmtId="0" fontId="2" fillId="0" borderId="17" xfId="1" applyNumberFormat="1" applyFont="1" applyFill="1" applyBorder="1" applyAlignment="1">
      <alignment horizontal="center" vertical="center"/>
    </xf>
    <xf numFmtId="0" fontId="2" fillId="0" borderId="18" xfId="1" applyNumberFormat="1" applyFont="1" applyFill="1" applyBorder="1" applyAlignment="1">
      <alignment horizontal="center" vertical="center"/>
    </xf>
    <xf numFmtId="0" fontId="2" fillId="6" borderId="36" xfId="1" applyNumberFormat="1" applyFont="1" applyFill="1" applyBorder="1" applyAlignment="1">
      <alignment horizontal="center" vertical="center" wrapText="1"/>
    </xf>
    <xf numFmtId="0" fontId="2" fillId="6" borderId="37" xfId="1" applyNumberFormat="1" applyFont="1" applyFill="1" applyBorder="1" applyAlignment="1">
      <alignment horizontal="center" vertical="center" wrapText="1"/>
    </xf>
    <xf numFmtId="44" fontId="2" fillId="0" borderId="8" xfId="1" applyNumberFormat="1" applyFill="1" applyBorder="1" applyAlignment="1">
      <alignment horizontal="center" vertical="center"/>
    </xf>
    <xf numFmtId="44" fontId="2" fillId="0" borderId="4" xfId="1" applyNumberFormat="1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 wrapText="1"/>
    </xf>
    <xf numFmtId="0" fontId="0" fillId="4" borderId="37" xfId="0" applyFill="1" applyBorder="1" applyAlignment="1">
      <alignment horizontal="center" vertical="center" wrapText="1"/>
    </xf>
    <xf numFmtId="0" fontId="2" fillId="3" borderId="36" xfId="1" quotePrefix="1" applyFill="1" applyBorder="1" applyAlignment="1">
      <alignment horizontal="center" vertical="center" wrapText="1"/>
    </xf>
    <xf numFmtId="0" fontId="2" fillId="3" borderId="37" xfId="1" quotePrefix="1" applyFill="1" applyBorder="1" applyAlignment="1">
      <alignment horizontal="center" vertical="center" wrapText="1"/>
    </xf>
    <xf numFmtId="0" fontId="2" fillId="9" borderId="36" xfId="1" applyFill="1" applyBorder="1" applyAlignment="1">
      <alignment horizontal="center" vertical="center" wrapText="1"/>
    </xf>
    <xf numFmtId="0" fontId="2" fillId="9" borderId="37" xfId="1" applyFill="1" applyBorder="1" applyAlignment="1">
      <alignment horizontal="center" vertical="center" wrapText="1"/>
    </xf>
    <xf numFmtId="0" fontId="2" fillId="7" borderId="36" xfId="1" applyFill="1" applyBorder="1" applyAlignment="1">
      <alignment horizontal="center" vertical="center" wrapText="1"/>
    </xf>
    <xf numFmtId="0" fontId="2" fillId="7" borderId="37" xfId="1" applyFill="1" applyBorder="1" applyAlignment="1">
      <alignment horizontal="center" vertical="center" wrapText="1"/>
    </xf>
    <xf numFmtId="0" fontId="2" fillId="8" borderId="36" xfId="1" applyFill="1" applyBorder="1" applyAlignment="1">
      <alignment horizontal="center" vertical="center" wrapText="1"/>
    </xf>
    <xf numFmtId="0" fontId="2" fillId="8" borderId="37" xfId="1" applyFill="1" applyBorder="1" applyAlignment="1">
      <alignment horizontal="center" vertical="center" wrapText="1"/>
    </xf>
    <xf numFmtId="0" fontId="10" fillId="0" borderId="16" xfId="1" applyFont="1" applyFill="1" applyBorder="1" applyAlignment="1">
      <alignment horizontal="center" vertical="center"/>
    </xf>
    <xf numFmtId="0" fontId="10" fillId="0" borderId="17" xfId="1" applyFont="1" applyFill="1" applyBorder="1" applyAlignment="1">
      <alignment horizontal="center" vertical="center"/>
    </xf>
    <xf numFmtId="0" fontId="10" fillId="0" borderId="18" xfId="1" applyFont="1" applyFill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10" fillId="0" borderId="8" xfId="1" applyFont="1" applyFill="1" applyBorder="1" applyAlignment="1">
      <alignment horizontal="center" vertical="center"/>
    </xf>
    <xf numFmtId="0" fontId="10" fillId="0" borderId="7" xfId="1" applyFont="1" applyFill="1" applyBorder="1" applyAlignment="1">
      <alignment horizontal="center" vertical="center"/>
    </xf>
    <xf numFmtId="0" fontId="10" fillId="0" borderId="4" xfId="1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17" fillId="0" borderId="16" xfId="1" applyNumberFormat="1" applyFont="1" applyFill="1" applyBorder="1" applyAlignment="1">
      <alignment horizontal="center" vertical="center"/>
    </xf>
    <xf numFmtId="0" fontId="17" fillId="0" borderId="17" xfId="1" applyNumberFormat="1" applyFont="1" applyFill="1" applyBorder="1" applyAlignment="1">
      <alignment horizontal="center" vertical="center"/>
    </xf>
    <xf numFmtId="0" fontId="17" fillId="0" borderId="18" xfId="1" applyNumberFormat="1" applyFont="1" applyFill="1" applyBorder="1" applyAlignment="1">
      <alignment horizontal="center" vertical="center"/>
    </xf>
    <xf numFmtId="0" fontId="2" fillId="0" borderId="2" xfId="1" applyFill="1" applyBorder="1" applyAlignment="1">
      <alignment horizontal="center" vertical="center"/>
    </xf>
    <xf numFmtId="0" fontId="2" fillId="0" borderId="1" xfId="1" applyFill="1" applyBorder="1" applyAlignment="1">
      <alignment horizontal="center" vertical="center"/>
    </xf>
    <xf numFmtId="0" fontId="2" fillId="0" borderId="6" xfId="1" applyFill="1" applyBorder="1" applyAlignment="1">
      <alignment horizontal="center" vertical="center"/>
    </xf>
    <xf numFmtId="0" fontId="10" fillId="0" borderId="16" xfId="1" applyFont="1" applyBorder="1" applyAlignment="1">
      <alignment horizontal="center" vertical="center"/>
    </xf>
    <xf numFmtId="0" fontId="10" fillId="0" borderId="17" xfId="1" applyFont="1" applyBorder="1" applyAlignment="1">
      <alignment horizontal="center" vertical="center"/>
    </xf>
    <xf numFmtId="0" fontId="10" fillId="0" borderId="18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0" fillId="0" borderId="7" xfId="1" applyFont="1" applyBorder="1" applyAlignment="1">
      <alignment horizontal="center" vertical="center"/>
    </xf>
    <xf numFmtId="0" fontId="10" fillId="0" borderId="4" xfId="1" applyFont="1" applyBorder="1" applyAlignment="1">
      <alignment horizontal="center" vertical="center"/>
    </xf>
    <xf numFmtId="0" fontId="2" fillId="0" borderId="16" xfId="1" applyFont="1" applyFill="1" applyBorder="1" applyAlignment="1">
      <alignment horizontal="center" vertical="center"/>
    </xf>
    <xf numFmtId="0" fontId="2" fillId="0" borderId="17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6" xfId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0" fontId="2" fillId="0" borderId="18" xfId="1" applyFont="1" applyFill="1" applyBorder="1" applyAlignment="1">
      <alignment horizontal="center" vertical="center"/>
    </xf>
    <xf numFmtId="0" fontId="2" fillId="0" borderId="8" xfId="1" applyFont="1" applyFill="1" applyBorder="1" applyAlignment="1">
      <alignment horizontal="center" vertical="center"/>
    </xf>
    <xf numFmtId="0" fontId="2" fillId="0" borderId="7" xfId="1" applyFont="1" applyFill="1" applyBorder="1" applyAlignment="1">
      <alignment horizontal="center" vertical="center"/>
    </xf>
    <xf numFmtId="0" fontId="2" fillId="0" borderId="4" xfId="1" applyFont="1" applyFill="1" applyBorder="1" applyAlignment="1">
      <alignment horizontal="center" vertical="center"/>
    </xf>
    <xf numFmtId="0" fontId="2" fillId="0" borderId="20" xfId="1" quotePrefix="1" applyFont="1" applyFill="1" applyBorder="1" applyAlignment="1">
      <alignment horizontal="right" vertical="center" wrapText="1"/>
    </xf>
    <xf numFmtId="0" fontId="2" fillId="0" borderId="19" xfId="1" quotePrefix="1" applyFont="1" applyFill="1" applyBorder="1" applyAlignment="1">
      <alignment horizontal="right" vertical="center" wrapText="1"/>
    </xf>
    <xf numFmtId="44" fontId="2" fillId="0" borderId="23" xfId="1" applyNumberFormat="1" applyFont="1" applyFill="1" applyBorder="1" applyAlignment="1">
      <alignment horizontal="center" vertical="center"/>
    </xf>
    <xf numFmtId="44" fontId="2" fillId="0" borderId="25" xfId="1" applyNumberFormat="1" applyFont="1" applyFill="1" applyBorder="1" applyAlignment="1">
      <alignment horizontal="center" vertical="center"/>
    </xf>
    <xf numFmtId="0" fontId="2" fillId="0" borderId="20" xfId="1" applyNumberFormat="1" applyFont="1" applyFill="1" applyBorder="1" applyAlignment="1">
      <alignment horizontal="right" vertical="center" wrapText="1"/>
    </xf>
    <xf numFmtId="0" fontId="2" fillId="0" borderId="19" xfId="1" applyNumberFormat="1" applyFont="1" applyFill="1" applyBorder="1" applyAlignment="1">
      <alignment horizontal="right" vertical="center" wrapText="1"/>
    </xf>
    <xf numFmtId="0" fontId="2" fillId="0" borderId="20" xfId="1" applyFont="1" applyFill="1" applyBorder="1" applyAlignment="1">
      <alignment horizontal="right" vertical="center" wrapText="1"/>
    </xf>
    <xf numFmtId="0" fontId="2" fillId="0" borderId="19" xfId="1" applyFont="1" applyFill="1" applyBorder="1" applyAlignment="1">
      <alignment horizontal="right" vertical="center" wrapText="1"/>
    </xf>
    <xf numFmtId="0" fontId="1" fillId="0" borderId="20" xfId="0" applyFont="1" applyFill="1" applyBorder="1" applyAlignment="1">
      <alignment horizontal="right" vertical="center" wrapText="1"/>
    </xf>
    <xf numFmtId="0" fontId="1" fillId="0" borderId="19" xfId="0" applyFont="1" applyFill="1" applyBorder="1" applyAlignment="1">
      <alignment horizontal="right" vertical="center" wrapText="1"/>
    </xf>
    <xf numFmtId="0" fontId="2" fillId="0" borderId="27" xfId="1" applyFont="1" applyFill="1" applyBorder="1" applyAlignment="1">
      <alignment horizontal="right" vertical="center" wrapText="1"/>
    </xf>
    <xf numFmtId="44" fontId="2" fillId="0" borderId="28" xfId="1" applyNumberFormat="1" applyFont="1" applyFill="1" applyBorder="1" applyAlignment="1">
      <alignment horizontal="center" vertical="center"/>
    </xf>
    <xf numFmtId="0" fontId="2" fillId="0" borderId="16" xfId="1" applyFont="1" applyFill="1" applyBorder="1" applyAlignment="1">
      <alignment horizontal="center" vertical="center" wrapText="1"/>
    </xf>
    <xf numFmtId="0" fontId="2" fillId="0" borderId="17" xfId="1" applyFont="1" applyFill="1" applyBorder="1" applyAlignment="1">
      <alignment horizontal="center" vertical="center" wrapText="1"/>
    </xf>
    <xf numFmtId="0" fontId="2" fillId="0" borderId="18" xfId="1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 vertical="center"/>
    </xf>
    <xf numFmtId="0" fontId="1" fillId="0" borderId="17" xfId="0" applyFont="1" applyFill="1" applyBorder="1" applyAlignment="1">
      <alignment horizontal="center" vertical="center"/>
    </xf>
    <xf numFmtId="0" fontId="1" fillId="0" borderId="18" xfId="0" applyFont="1" applyFill="1" applyBorder="1" applyAlignment="1">
      <alignment horizontal="center" vertical="center"/>
    </xf>
    <xf numFmtId="2" fontId="1" fillId="0" borderId="16" xfId="0" applyNumberFormat="1" applyFont="1" applyFill="1" applyBorder="1" applyAlignment="1">
      <alignment horizontal="center" vertical="center"/>
    </xf>
    <xf numFmtId="2" fontId="1" fillId="0" borderId="17" xfId="0" applyNumberFormat="1" applyFont="1" applyFill="1" applyBorder="1" applyAlignment="1">
      <alignment horizontal="center" vertical="center"/>
    </xf>
    <xf numFmtId="2" fontId="1" fillId="0" borderId="18" xfId="0" applyNumberFormat="1" applyFont="1" applyFill="1" applyBorder="1" applyAlignment="1">
      <alignment horizontal="center" vertical="center"/>
    </xf>
    <xf numFmtId="0" fontId="16" fillId="0" borderId="16" xfId="1" applyFont="1" applyFill="1" applyBorder="1" applyAlignment="1">
      <alignment horizontal="center" vertical="center"/>
    </xf>
    <xf numFmtId="0" fontId="16" fillId="0" borderId="17" xfId="1" applyFont="1" applyFill="1" applyBorder="1" applyAlignment="1">
      <alignment horizontal="center" vertical="center"/>
    </xf>
    <xf numFmtId="0" fontId="16" fillId="0" borderId="18" xfId="1" applyFont="1" applyFill="1" applyBorder="1" applyAlignment="1">
      <alignment horizontal="center" vertical="center"/>
    </xf>
    <xf numFmtId="2" fontId="16" fillId="0" borderId="17" xfId="1" applyNumberFormat="1" applyFont="1" applyFill="1" applyBorder="1" applyAlignment="1">
      <alignment horizontal="center" vertical="center"/>
    </xf>
    <xf numFmtId="2" fontId="16" fillId="0" borderId="18" xfId="1" applyNumberFormat="1" applyFont="1" applyFill="1" applyBorder="1" applyAlignment="1">
      <alignment horizontal="center" vertical="center"/>
    </xf>
    <xf numFmtId="0" fontId="16" fillId="0" borderId="8" xfId="1" applyFont="1" applyFill="1" applyBorder="1" applyAlignment="1">
      <alignment horizontal="center" vertical="center"/>
    </xf>
    <xf numFmtId="0" fontId="16" fillId="0" borderId="7" xfId="1" applyFont="1" applyFill="1" applyBorder="1" applyAlignment="1">
      <alignment horizontal="center" vertical="center"/>
    </xf>
    <xf numFmtId="0" fontId="16" fillId="0" borderId="4" xfId="1" applyFont="1" applyFill="1" applyBorder="1" applyAlignment="1">
      <alignment horizontal="center" vertical="center"/>
    </xf>
    <xf numFmtId="2" fontId="16" fillId="0" borderId="16" xfId="1" applyNumberFormat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/>
    </xf>
    <xf numFmtId="2" fontId="3" fillId="0" borderId="0" xfId="1" applyNumberFormat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16" fillId="0" borderId="0" xfId="1" applyFont="1" applyFill="1" applyBorder="1" applyAlignment="1">
      <alignment horizontal="center" vertical="center"/>
    </xf>
    <xf numFmtId="0" fontId="2" fillId="0" borderId="0" xfId="1" applyNumberFormat="1" applyFont="1" applyFill="1" applyBorder="1" applyAlignment="1">
      <alignment horizontal="center" vertical="center"/>
    </xf>
    <xf numFmtId="2" fontId="16" fillId="0" borderId="0" xfId="1" applyNumberFormat="1" applyFont="1" applyFill="1" applyBorder="1" applyAlignment="1">
      <alignment horizontal="center" vertical="center"/>
    </xf>
    <xf numFmtId="16" fontId="16" fillId="0" borderId="0" xfId="1" applyNumberFormat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2" fontId="3" fillId="0" borderId="9" xfId="1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/>
    </xf>
    <xf numFmtId="0" fontId="3" fillId="0" borderId="6" xfId="1" applyFont="1" applyFill="1" applyBorder="1" applyAlignment="1">
      <alignment horizontal="center" vertical="center"/>
    </xf>
    <xf numFmtId="2" fontId="3" fillId="0" borderId="5" xfId="1" applyNumberFormat="1" applyFont="1" applyFill="1" applyBorder="1" applyAlignment="1">
      <alignment horizontal="center" vertical="center"/>
    </xf>
    <xf numFmtId="0" fontId="1" fillId="0" borderId="2" xfId="1" applyFont="1" applyFill="1" applyBorder="1" applyAlignment="1">
      <alignment horizontal="center" vertical="center"/>
    </xf>
    <xf numFmtId="0" fontId="1" fillId="0" borderId="6" xfId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 vertical="center"/>
    </xf>
    <xf numFmtId="0" fontId="2" fillId="0" borderId="9" xfId="1" applyNumberFormat="1" applyFont="1" applyFill="1" applyBorder="1" applyAlignment="1">
      <alignment horizontal="center" vertical="center"/>
    </xf>
    <xf numFmtId="0" fontId="2" fillId="0" borderId="5" xfId="1" applyNumberFormat="1" applyFont="1" applyFill="1" applyBorder="1" applyAlignment="1">
      <alignment horizontal="center" vertical="center"/>
    </xf>
    <xf numFmtId="0" fontId="2" fillId="0" borderId="9" xfId="1" applyFont="1" applyFill="1" applyBorder="1" applyAlignment="1">
      <alignment horizontal="center" vertical="center"/>
    </xf>
    <xf numFmtId="0" fontId="16" fillId="0" borderId="9" xfId="1" applyFont="1" applyFill="1" applyBorder="1" applyAlignment="1">
      <alignment horizontal="center" vertical="center"/>
    </xf>
    <xf numFmtId="0" fontId="16" fillId="0" borderId="5" xfId="1" applyFont="1" applyFill="1" applyBorder="1" applyAlignment="1">
      <alignment horizontal="center" vertical="center"/>
    </xf>
    <xf numFmtId="2" fontId="3" fillId="0" borderId="8" xfId="1" applyNumberFormat="1" applyFont="1" applyFill="1" applyBorder="1" applyAlignment="1">
      <alignment horizontal="center" vertical="center"/>
    </xf>
    <xf numFmtId="2" fontId="3" fillId="0" borderId="7" xfId="1" applyNumberFormat="1" applyFont="1" applyFill="1" applyBorder="1" applyAlignment="1">
      <alignment horizontal="center" vertical="center"/>
    </xf>
    <xf numFmtId="2" fontId="3" fillId="0" borderId="4" xfId="1" applyNumberFormat="1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2" fontId="7" fillId="0" borderId="7" xfId="0" applyNumberFormat="1" applyFont="1" applyFill="1" applyBorder="1" applyAlignment="1">
      <alignment horizontal="center" vertical="center"/>
    </xf>
    <xf numFmtId="2" fontId="7" fillId="0" borderId="4" xfId="0" applyNumberFormat="1" applyFont="1" applyFill="1" applyBorder="1" applyAlignment="1">
      <alignment horizontal="center" vertical="center"/>
    </xf>
    <xf numFmtId="2" fontId="7" fillId="0" borderId="8" xfId="0" applyNumberFormat="1" applyFont="1" applyFill="1" applyBorder="1" applyAlignment="1">
      <alignment horizontal="center" vertical="center"/>
    </xf>
    <xf numFmtId="16" fontId="16" fillId="0" borderId="9" xfId="1" quotePrefix="1" applyNumberFormat="1" applyFont="1" applyFill="1" applyBorder="1" applyAlignment="1">
      <alignment horizontal="center" vertical="center"/>
    </xf>
    <xf numFmtId="2" fontId="16" fillId="0" borderId="9" xfId="1" applyNumberFormat="1" applyFont="1" applyFill="1" applyBorder="1" applyAlignment="1">
      <alignment horizontal="center" vertical="center"/>
    </xf>
    <xf numFmtId="2" fontId="16" fillId="0" borderId="5" xfId="1" applyNumberFormat="1" applyFont="1" applyFill="1" applyBorder="1" applyAlignment="1">
      <alignment horizontal="center" vertical="center"/>
    </xf>
    <xf numFmtId="2" fontId="2" fillId="0" borderId="8" xfId="1" applyNumberFormat="1" applyFont="1" applyFill="1" applyBorder="1" applyAlignment="1">
      <alignment horizontal="center" vertical="center"/>
    </xf>
    <xf numFmtId="2" fontId="2" fillId="0" borderId="7" xfId="1" applyNumberFormat="1" applyFont="1" applyFill="1" applyBorder="1" applyAlignment="1">
      <alignment horizontal="center" vertical="center"/>
    </xf>
    <xf numFmtId="2" fontId="2" fillId="0" borderId="4" xfId="1" applyNumberFormat="1" applyFont="1" applyFill="1" applyBorder="1" applyAlignment="1">
      <alignment horizontal="center" vertical="center"/>
    </xf>
    <xf numFmtId="0" fontId="3" fillId="0" borderId="2" xfId="1" applyNumberFormat="1" applyFont="1" applyFill="1" applyBorder="1" applyAlignment="1">
      <alignment horizontal="center" vertical="center"/>
    </xf>
    <xf numFmtId="0" fontId="3" fillId="0" borderId="6" xfId="1" applyNumberFormat="1" applyFont="1" applyFill="1" applyBorder="1" applyAlignment="1">
      <alignment horizontal="center" vertical="center"/>
    </xf>
    <xf numFmtId="0" fontId="3" fillId="0" borderId="5" xfId="1" applyFont="1" applyFill="1" applyBorder="1" applyAlignment="1">
      <alignment horizontal="center" vertical="center"/>
    </xf>
    <xf numFmtId="0" fontId="3" fillId="0" borderId="16" xfId="1" applyFont="1" applyFill="1" applyBorder="1" applyAlignment="1">
      <alignment horizontal="center" vertical="center"/>
    </xf>
    <xf numFmtId="0" fontId="3" fillId="0" borderId="17" xfId="1" applyFont="1" applyFill="1" applyBorder="1" applyAlignment="1">
      <alignment horizontal="center" vertical="center"/>
    </xf>
    <xf numFmtId="0" fontId="3" fillId="0" borderId="18" xfId="1" applyFont="1" applyFill="1" applyBorder="1" applyAlignment="1">
      <alignment horizontal="center" vertical="center"/>
    </xf>
    <xf numFmtId="0" fontId="18" fillId="0" borderId="5" xfId="1" applyFont="1" applyFill="1" applyBorder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26" fillId="0" borderId="0" xfId="1" applyFont="1" applyFill="1" applyAlignment="1">
      <alignment horizontal="center" vertical="center"/>
    </xf>
    <xf numFmtId="0" fontId="26" fillId="0" borderId="5" xfId="1" applyFont="1" applyFill="1" applyBorder="1" applyAlignment="1">
      <alignment horizontal="center" vertical="center"/>
    </xf>
    <xf numFmtId="0" fontId="18" fillId="0" borderId="0" xfId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0" fillId="0" borderId="0" xfId="0" quotePrefix="1" applyBorder="1" applyAlignment="1">
      <alignment horizontal="center" vertical="center"/>
    </xf>
    <xf numFmtId="0" fontId="25" fillId="0" borderId="11" xfId="1" applyFont="1" applyFill="1" applyBorder="1" applyAlignment="1">
      <alignment horizontal="center" vertical="center"/>
    </xf>
    <xf numFmtId="0" fontId="28" fillId="0" borderId="11" xfId="1" applyNumberFormat="1" applyFont="1" applyFill="1" applyBorder="1" applyAlignment="1">
      <alignment horizontal="center" vertical="center"/>
    </xf>
    <xf numFmtId="0" fontId="25" fillId="0" borderId="11" xfId="1" applyNumberFormat="1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29" fillId="0" borderId="0" xfId="1" applyFont="1" applyFill="1" applyBorder="1" applyAlignment="1">
      <alignment horizontal="center" vertical="center"/>
    </xf>
  </cellXfs>
  <cellStyles count="9">
    <cellStyle name="Comma" xfId="8" builtinId="3"/>
    <cellStyle name="Currency" xfId="7" builtinId="4"/>
    <cellStyle name="Currency 2" xfId="3" xr:uid="{E35B3E7E-9D2F-461C-9E84-3ABB8EE7C592}"/>
    <cellStyle name="Hyperlink" xfId="2" builtinId="8"/>
    <cellStyle name="Normal" xfId="0" builtinId="0"/>
    <cellStyle name="Normal 2" xfId="1" xr:uid="{886FAE84-6849-40E6-B305-C22723B53B91}"/>
    <cellStyle name="Normal 3" xfId="5" xr:uid="{5BDF541F-5AE5-4E48-9F28-1D2370936FF3}"/>
    <cellStyle name="Percent" xfId="6" builtinId="5"/>
    <cellStyle name="Percent 2" xfId="4" xr:uid="{0D8D9003-7589-43F2-A70D-043942704EF8}"/>
  </cellStyles>
  <dxfs count="489">
    <dxf>
      <font>
        <strike val="0"/>
        <outline val="0"/>
        <shadow val="0"/>
        <u val="none"/>
        <vertAlign val="baseline"/>
        <sz val="14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D965"/>
          <bgColor rgb="FFFFD96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92D050"/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D965"/>
          <bgColor rgb="FFFFD96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92D050"/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fill>
        <patternFill patternType="none">
          <bgColor auto="1"/>
        </patternFill>
      </fill>
      <alignment horizontal="center" vertical="center" textRotation="0" indent="0" justifyLastLine="0" shrinkToFit="0" readingOrder="0"/>
    </dxf>
    <dxf>
      <numFmt numFmtId="165" formatCode="_(* #,##0_);_(* \(#,##0\);_(* &quot;-&quot;??_);_(@_)"/>
    </dxf>
    <dxf>
      <numFmt numFmtId="34" formatCode="_(&quot;$&quot;* #,##0.00_);_(&quot;$&quot;* \(#,##0.00\);_(&quot;$&quot;* &quot;-&quot;??_);_(@_)"/>
    </dxf>
    <dxf>
      <numFmt numFmtId="165" formatCode="_(* #,##0_);_(* \(#,##0\);_(* &quot;-&quot;??_);_(@_)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font>
        <b val="0"/>
        <i val="0"/>
        <strike val="0"/>
        <outline val="0"/>
        <shadow val="0"/>
        <u val="none"/>
        <vertAlign val="baseline"/>
        <sz val="11"/>
        <name val="Calibri"/>
        <family val="2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name val="Calibri"/>
        <family val="2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rgb="FF000000"/>
        <name val="Calibri"/>
        <family val="2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name val="Calibri"/>
        <family val="2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name val="Calibri"/>
        <family val="2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theme="1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rgb="FFD9E2F3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theme="1"/>
        </top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theme="1"/>
        </top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34" formatCode="_(&quot;$&quot;* #,##0.00_);_(&quot;$&quot;* \(#,##0.00\);_(&quot;$&quot;* &quot;-&quot;??_);_(@_)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34" formatCode="_(&quot;$&quot;* #,##0.00_);_(&quot;$&quot;* \(#,##0.00\);_(&quot;$&quot;* &quot;-&quot;??_);_(@_)"/>
    </dxf>
    <dxf>
      <numFmt numFmtId="2" formatCode="0.00"/>
      <alignment horizontal="center" textRotation="0" indent="0" justifyLastLine="0" shrinkToFit="0" readingOrder="0"/>
    </dxf>
    <dxf>
      <numFmt numFmtId="165" formatCode="_(* #,##0_);_(* \(#,##0\);_(* &quot;-&quot;??_);_(@_)"/>
      <alignment horizontal="center" textRotation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alignment textRotation="0" wrapText="1" indent="0" justifyLastLine="0" shrinkToFit="0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1"/>
        </bottom>
      </border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0" formatCode="&quot;$&quot;#,##0_);[Red]\(&quot;$&quot;#,##0\)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0" formatCode="&quot;$&quot;#,##0_);[Red]\(&quot;$&quot;#,##0\)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$&quot;#,##0_);[Red]\(&quot;$&quot;#,##0\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$&quot;#,##0_);[Red]\(&quot;$&quot;#,##0\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$&quot;#,##0_);[Red]\(&quot;$&quot;#,##0\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$&quot;#,##0_);[Red]\(&quot;$&quot;#,##0\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RANGE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8829429-1E5B-4F1E-8A92-200225E010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9E4-4528-B9B8-511F0E482E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36D88A5-9BB2-4DAF-BEC9-BCA3EAB56D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9E4-4528-B9B8-511F0E482E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8886ECB-579C-44C0-926E-4350BCE78B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9E4-4528-B9B8-511F0E482E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05F9EF6-1B45-4B66-A112-BE5F25F968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9E4-4528-B9B8-511F0E482E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8CFDEE6-23C6-468C-A283-81F29EF115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9E4-4528-B9B8-511F0E482E3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D69EEE4-B66A-4A66-952C-1C088D7256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9E4-4528-B9B8-511F0E482E3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DFBD23F-EAF9-41C4-A2CE-8BFFE1B808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9E4-4528-B9B8-511F0E482E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657C888-9E1B-4AFC-8584-AAD0E80895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9E4-4528-B9B8-511F0E482E3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56C34E2-D042-46B7-88E7-6809C69EFC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9E4-4528-B9B8-511F0E482E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C7C8438-E821-4118-ABE4-7C0F601103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9E4-4528-B9B8-511F0E482E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C32948E-FE71-404E-9D39-3DF884D8A0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9E4-4528-B9B8-511F0E482E3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A2C7798-0C91-4563-B41A-994A772590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9E4-4528-B9B8-511F0E482E3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D841715-06A9-407B-A131-563893AB98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9E4-4528-B9B8-511F0E482E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97F551D-8BC6-4A82-B884-CAF9B570A7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9E4-4528-B9B8-511F0E482E3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675C172-FCD2-4E48-B787-4E587B86E6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9E4-4528-B9B8-511F0E482E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99CA877-9F7C-4A47-960E-BF9A9D2687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9E4-4528-B9B8-511F0E482E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7ED5B6F-5A49-4C79-976D-F79CF3CFF0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9E4-4528-B9B8-511F0E482E3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3603E14-C545-49F3-BD70-FEB4899871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79E4-4528-B9B8-511F0E482E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F38C573-B6BB-4061-AD75-2BA2EDB7B8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9E4-4528-B9B8-511F0E482E3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796DDC5-93AE-4E28-8D3D-D7D27D2372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79E4-4528-B9B8-511F0E482E3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0D4DE6E-4EC9-49DC-A047-D6B776A15C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9E4-4528-B9B8-511F0E482E3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2887835-189D-45F8-9D7C-A673D95D6C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79E4-4528-B9B8-511F0E482E3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FADCA4D-BD43-419C-9F47-3A8112D71E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0AC-4F53-9620-9F0EBDD399C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042D839-1DBA-4964-9EA6-3CEBF6F0FF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0AC-4F53-9620-9F0EBDD399C8}"/>
                </c:ext>
              </c:extLst>
            </c:dLbl>
            <c:dLbl>
              <c:idx val="24"/>
              <c:layout>
                <c:manualLayout>
                  <c:x val="1.0621681142819292E-3"/>
                  <c:y val="-4.3158592889525831E-2"/>
                </c:manualLayout>
              </c:layout>
              <c:tx>
                <c:rich>
                  <a:bodyPr/>
                  <a:lstStyle/>
                  <a:p>
                    <a:fld id="{3687B4DC-4414-4911-87AF-952AE42B7E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213510510780753E-2"/>
                      <c:h val="2.1435331489240234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0AC-4F53-9620-9F0EBDD399C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2DEF380-81AA-4726-A8A1-87E4D6AA7D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0AC-4F53-9620-9F0EBDD399C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E137E6B-2423-46B8-9129-75E4E8E7BA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0AC-4F53-9620-9F0EBDD399C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FA685CA-B761-4ACB-943F-AD6AE07490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0AC-4F53-9620-9F0EBDD399C8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8F084D3-D31D-47BA-A6F0-36DA0351CB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0AC-4F53-9620-9F0EBDD399C8}"/>
                </c:ext>
              </c:extLst>
            </c:dLbl>
            <c:dLbl>
              <c:idx val="29"/>
              <c:layout>
                <c:manualLayout>
                  <c:x val="3.1865043428457875E-3"/>
                  <c:y val="2.242004825429909E-2"/>
                </c:manualLayout>
              </c:layout>
              <c:tx>
                <c:rich>
                  <a:bodyPr/>
                  <a:lstStyle/>
                  <a:p>
                    <a:fld id="{2FB6B4CB-0965-4377-B47E-A43522AC18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50AC-4F53-9620-9F0EBDD399C8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C0E671E-25BB-4987-A2F7-FC72573E9C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0AC-4F53-9620-9F0EBDD399C8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64E8E5B-9966-4185-B1AA-9809421B41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0AC-4F53-9620-9F0EBDD399C8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E560A59-41F8-4050-B056-C5098A3625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0AC-4F53-9620-9F0EBDD399C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'AC Data'!$J$2:$J$42</c:f>
              <c:numCache>
                <c:formatCode>"$"#,##0.000_);[Red]\("$"#,##0.000\)</c:formatCode>
                <c:ptCount val="33"/>
                <c:pt idx="0">
                  <c:v>0.85799999999999998</c:v>
                </c:pt>
                <c:pt idx="1">
                  <c:v>1.1160000000000001</c:v>
                </c:pt>
                <c:pt idx="2">
                  <c:v>0.81300000000000006</c:v>
                </c:pt>
                <c:pt idx="3">
                  <c:v>1.1000000000000001</c:v>
                </c:pt>
                <c:pt idx="4">
                  <c:v>1.6020000000000001</c:v>
                </c:pt>
                <c:pt idx="5">
                  <c:v>1.573</c:v>
                </c:pt>
                <c:pt idx="6">
                  <c:v>2.63</c:v>
                </c:pt>
                <c:pt idx="7">
                  <c:v>1.052</c:v>
                </c:pt>
                <c:pt idx="8">
                  <c:v>0.77500000000000002</c:v>
                </c:pt>
                <c:pt idx="9">
                  <c:v>2.65</c:v>
                </c:pt>
                <c:pt idx="10">
                  <c:v>1.8280000000000001</c:v>
                </c:pt>
                <c:pt idx="11">
                  <c:v>2.161</c:v>
                </c:pt>
                <c:pt idx="12">
                  <c:v>2.3940000000000001</c:v>
                </c:pt>
                <c:pt idx="13">
                  <c:v>2.5460000000000003</c:v>
                </c:pt>
                <c:pt idx="14">
                  <c:v>2.57</c:v>
                </c:pt>
                <c:pt idx="15">
                  <c:v>2.952</c:v>
                </c:pt>
                <c:pt idx="16">
                  <c:v>3.04</c:v>
                </c:pt>
                <c:pt idx="17">
                  <c:v>2.9630000000000001</c:v>
                </c:pt>
                <c:pt idx="18">
                  <c:v>4.03</c:v>
                </c:pt>
                <c:pt idx="19">
                  <c:v>2.0680000000000001</c:v>
                </c:pt>
                <c:pt idx="20">
                  <c:v>3.15</c:v>
                </c:pt>
                <c:pt idx="21">
                  <c:v>2.5</c:v>
                </c:pt>
                <c:pt idx="22">
                  <c:v>2.5880000000000001</c:v>
                </c:pt>
                <c:pt idx="23">
                  <c:v>2.4950000000000001</c:v>
                </c:pt>
                <c:pt idx="24">
                  <c:v>3.35</c:v>
                </c:pt>
                <c:pt idx="25">
                  <c:v>2.9119999999999999</c:v>
                </c:pt>
                <c:pt idx="26">
                  <c:v>3.528</c:v>
                </c:pt>
                <c:pt idx="27">
                  <c:v>2.847</c:v>
                </c:pt>
                <c:pt idx="28">
                  <c:v>2.008</c:v>
                </c:pt>
                <c:pt idx="29">
                  <c:v>2.9460000000000002</c:v>
                </c:pt>
                <c:pt idx="30">
                  <c:v>2.3199999999999998</c:v>
                </c:pt>
                <c:pt idx="31">
                  <c:v>2.8010000000000002</c:v>
                </c:pt>
                <c:pt idx="32">
                  <c:v>1.25</c:v>
                </c:pt>
              </c:numCache>
            </c:numRef>
          </c:xVal>
          <c:yVal>
            <c:numRef>
              <c:f>'AC Data'!$K$2:$K$42</c:f>
              <c:numCache>
                <c:formatCode>#,##0</c:formatCode>
                <c:ptCount val="33"/>
                <c:pt idx="0">
                  <c:v>9250</c:v>
                </c:pt>
                <c:pt idx="1">
                  <c:v>7593</c:v>
                </c:pt>
                <c:pt idx="2">
                  <c:v>9080</c:v>
                </c:pt>
                <c:pt idx="3">
                  <c:v>11500</c:v>
                </c:pt>
                <c:pt idx="4">
                  <c:v>11832</c:v>
                </c:pt>
                <c:pt idx="5">
                  <c:v>9630</c:v>
                </c:pt>
                <c:pt idx="6">
                  <c:v>11100</c:v>
                </c:pt>
                <c:pt idx="7">
                  <c:v>10700</c:v>
                </c:pt>
                <c:pt idx="8">
                  <c:v>10100</c:v>
                </c:pt>
                <c:pt idx="9">
                  <c:v>13010</c:v>
                </c:pt>
                <c:pt idx="10">
                  <c:v>11100</c:v>
                </c:pt>
                <c:pt idx="11">
                  <c:v>13435</c:v>
                </c:pt>
                <c:pt idx="12">
                  <c:v>10804</c:v>
                </c:pt>
                <c:pt idx="13">
                  <c:v>13704</c:v>
                </c:pt>
                <c:pt idx="14">
                  <c:v>10467</c:v>
                </c:pt>
                <c:pt idx="15">
                  <c:v>15186</c:v>
                </c:pt>
                <c:pt idx="16">
                  <c:v>18000</c:v>
                </c:pt>
                <c:pt idx="17">
                  <c:v>13454</c:v>
                </c:pt>
                <c:pt idx="18">
                  <c:v>15556</c:v>
                </c:pt>
                <c:pt idx="19">
                  <c:v>15196</c:v>
                </c:pt>
                <c:pt idx="20">
                  <c:v>14695</c:v>
                </c:pt>
                <c:pt idx="21">
                  <c:v>12800</c:v>
                </c:pt>
                <c:pt idx="22">
                  <c:v>14315</c:v>
                </c:pt>
                <c:pt idx="23">
                  <c:v>15556</c:v>
                </c:pt>
                <c:pt idx="24">
                  <c:v>14750</c:v>
                </c:pt>
                <c:pt idx="25">
                  <c:v>17512</c:v>
                </c:pt>
                <c:pt idx="26">
                  <c:v>14825</c:v>
                </c:pt>
                <c:pt idx="27">
                  <c:v>11119</c:v>
                </c:pt>
                <c:pt idx="28">
                  <c:v>10424</c:v>
                </c:pt>
                <c:pt idx="29">
                  <c:v>14640</c:v>
                </c:pt>
                <c:pt idx="30">
                  <c:v>12270</c:v>
                </c:pt>
                <c:pt idx="31">
                  <c:v>16678</c:v>
                </c:pt>
                <c:pt idx="32">
                  <c:v>9917</c:v>
                </c:pt>
              </c:numCache>
            </c:numRef>
          </c:yVal>
          <c:smooth val="0"/>
          <c:extLst xmlns:c15="http://schemas.microsoft.com/office/drawing/2012/chart">
            <c:ext xmlns:c15="http://schemas.microsoft.com/office/drawing/2012/chart" uri="{02D57815-91ED-43cb-92C2-25804820EDAC}">
              <c15:datalabelsRange>
                <c15:f>'AC Data'!$A$2:$A$42</c15:f>
                <c15:dlblRangeCache>
                  <c:ptCount val="33"/>
                  <c:pt idx="0">
                    <c:v>A319-100LR</c:v>
                  </c:pt>
                  <c:pt idx="1">
                    <c:v>757-200</c:v>
                  </c:pt>
                  <c:pt idx="2">
                    <c:v>737-700ER</c:v>
                  </c:pt>
                  <c:pt idx="3">
                    <c:v>Il-96-300</c:v>
                  </c:pt>
                  <c:pt idx="4">
                    <c:v>767-200ER</c:v>
                  </c:pt>
                  <c:pt idx="5">
                    <c:v>A310-300</c:v>
                  </c:pt>
                  <c:pt idx="6">
                    <c:v>A330-900</c:v>
                  </c:pt>
                  <c:pt idx="7">
                    <c:v>DC8-73</c:v>
                  </c:pt>
                  <c:pt idx="8">
                    <c:v>DC8-55</c:v>
                  </c:pt>
                  <c:pt idx="9">
                    <c:v>747-200B</c:v>
                  </c:pt>
                  <c:pt idx="10">
                    <c:v>767-300ER</c:v>
                  </c:pt>
                  <c:pt idx="11">
                    <c:v>A330-200</c:v>
                  </c:pt>
                  <c:pt idx="12">
                    <c:v>A330-300</c:v>
                  </c:pt>
                  <c:pt idx="13">
                    <c:v>A340-300</c:v>
                  </c:pt>
                  <c:pt idx="14">
                    <c:v>787-10</c:v>
                  </c:pt>
                  <c:pt idx="15">
                    <c:v>A350-900XWB</c:v>
                  </c:pt>
                  <c:pt idx="16">
                    <c:v>A350-900ULR</c:v>
                  </c:pt>
                  <c:pt idx="17">
                    <c:v>747-400</c:v>
                  </c:pt>
                  <c:pt idx="18">
                    <c:v>A380-800</c:v>
                  </c:pt>
                  <c:pt idx="19">
                    <c:v>787-8</c:v>
                  </c:pt>
                  <c:pt idx="20">
                    <c:v>777-300ER</c:v>
                  </c:pt>
                  <c:pt idx="21">
                    <c:v>Il-96M</c:v>
                  </c:pt>
                  <c:pt idx="22">
                    <c:v>777-200ER</c:v>
                  </c:pt>
                  <c:pt idx="23">
                    <c:v>787-9</c:v>
                  </c:pt>
                  <c:pt idx="24">
                    <c:v>A350-1000</c:v>
                  </c:pt>
                  <c:pt idx="25">
                    <c:v>777-200LR</c:v>
                  </c:pt>
                  <c:pt idx="26">
                    <c:v>747-8I</c:v>
                  </c:pt>
                  <c:pt idx="27">
                    <c:v>777-300</c:v>
                  </c:pt>
                  <c:pt idx="28">
                    <c:v>767-400ER</c:v>
                  </c:pt>
                  <c:pt idx="29">
                    <c:v>A340-600</c:v>
                  </c:pt>
                  <c:pt idx="30">
                    <c:v>MD-11</c:v>
                  </c:pt>
                  <c:pt idx="31">
                    <c:v>A340-500</c:v>
                  </c:pt>
                  <c:pt idx="32">
                    <c:v>707-320C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5-79E4-4528-B9B8-511F0E482E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50100224"/>
        <c:axId val="1524481344"/>
        <c:extLst/>
      </c:scatterChart>
      <c:scatterChart>
        <c:scatterStyle val="lineMarker"/>
        <c:varyColors val="0"/>
        <c:ser>
          <c:idx val="0"/>
          <c:order val="0"/>
          <c:tx>
            <c:v>SEATS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25400">
                <a:solidFill>
                  <a:schemeClr val="accent1"/>
                </a:solidFill>
              </a:ln>
              <a:effectLst/>
            </c:spPr>
          </c:marker>
          <c:dPt>
            <c:idx val="25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50AC-4F53-9620-9F0EBDD399C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AF50B5A-234E-4E0F-B05F-86A982236A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9E4-4528-B9B8-511F0E482E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278992-2523-486C-B22E-D82A731268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9E4-4528-B9B8-511F0E482E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34EC6DC-EF01-4AE3-A704-A6FEF37BFD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9E4-4528-B9B8-511F0E482E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CD46591-9352-4D60-8978-50DA490BBE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9E4-4528-B9B8-511F0E482E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6337D59-282C-4308-A849-F83B43ADAF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9E4-4528-B9B8-511F0E482E3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B765D4F-17F4-4EE8-BCA7-2FA5C455C3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9E4-4528-B9B8-511F0E482E36}"/>
                </c:ext>
              </c:extLst>
            </c:dLbl>
            <c:dLbl>
              <c:idx val="6"/>
              <c:layout>
                <c:manualLayout>
                  <c:x val="1.1683849257101222E-2"/>
                  <c:y val="-1.6815036190724431E-2"/>
                </c:manualLayout>
              </c:layout>
              <c:tx>
                <c:rich>
                  <a:bodyPr/>
                  <a:lstStyle/>
                  <a:p>
                    <a:fld id="{083DE8EB-ED67-4772-B84A-4C4C2C063C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79E4-4528-B9B8-511F0E482E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BE09F9A-BD0E-41D6-8C94-004B1244E6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9E4-4528-B9B8-511F0E482E3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E380BBC-0757-4753-AA9B-7EA4D78B8B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9E4-4528-B9B8-511F0E482E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30274B2-09F6-4949-88C0-BBFC56983A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9E4-4528-B9B8-511F0E482E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3905957-89AF-47BA-9547-1097901FBD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9E4-4528-B9B8-511F0E482E36}"/>
                </c:ext>
              </c:extLst>
            </c:dLbl>
            <c:dLbl>
              <c:idx val="11"/>
              <c:layout>
                <c:manualLayout>
                  <c:x val="-4.885973325696874E-2"/>
                  <c:y val="-1.4573031365294436E-2"/>
                </c:manualLayout>
              </c:layout>
              <c:tx>
                <c:rich>
                  <a:bodyPr/>
                  <a:lstStyle/>
                  <a:p>
                    <a:fld id="{A79E7C79-8DD8-4B44-8081-E1560BC286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79E4-4528-B9B8-511F0E482E36}"/>
                </c:ext>
              </c:extLst>
            </c:dLbl>
            <c:dLbl>
              <c:idx val="12"/>
              <c:layout>
                <c:manualLayout>
                  <c:x val="-2.3367698514202444E-2"/>
                  <c:y val="-3.3630072381448696E-2"/>
                </c:manualLayout>
              </c:layout>
              <c:tx>
                <c:rich>
                  <a:bodyPr/>
                  <a:lstStyle/>
                  <a:p>
                    <a:fld id="{937C31D2-CEF5-4CE8-A5AD-FA2997AE5F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79E4-4528-B9B8-511F0E482E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BF6B420-AE8B-4F84-986E-DCF25ED899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9E4-4528-B9B8-511F0E482E36}"/>
                </c:ext>
              </c:extLst>
            </c:dLbl>
            <c:dLbl>
              <c:idx val="14"/>
              <c:layout>
                <c:manualLayout>
                  <c:x val="5.3108405714097241E-3"/>
                  <c:y val="2.2420048254299132E-2"/>
                </c:manualLayout>
              </c:layout>
              <c:tx>
                <c:rich>
                  <a:bodyPr/>
                  <a:lstStyle/>
                  <a:p>
                    <a:fld id="{E4BBB5ED-27D2-4E35-AD90-8CCD4B28CC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79E4-4528-B9B8-511F0E482E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91FEA4A-DE30-42C0-8F70-CC7A2B217F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9E4-4528-B9B8-511F0E482E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CD16061-C492-455D-855A-424340310D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9E4-4528-B9B8-511F0E482E36}"/>
                </c:ext>
              </c:extLst>
            </c:dLbl>
            <c:dLbl>
              <c:idx val="17"/>
              <c:layout>
                <c:manualLayout>
                  <c:x val="-6.6916591199761538E-2"/>
                  <c:y val="-1.7936038603439307E-2"/>
                </c:manualLayout>
              </c:layout>
              <c:tx>
                <c:rich>
                  <a:bodyPr/>
                  <a:lstStyle/>
                  <a:p>
                    <a:fld id="{F278A9CA-EEC1-481B-BE01-A698F168F6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79E4-4528-B9B8-511F0E482E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1C20EA6-B063-41CD-A582-A0D97B4291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9E4-4528-B9B8-511F0E482E3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9235303-0EBD-4F7C-AFFD-8F77016CDF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9E4-4528-B9B8-511F0E482E3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685470B-196F-423F-BC91-82E1E1BB64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9E4-4528-B9B8-511F0E482E3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CF9EE62-6480-4BC7-9D04-AB14848013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9E4-4528-B9B8-511F0E482E3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6B420C5-E3EC-4D29-95F3-C6D9BD170F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0AC-4F53-9620-9F0EBDD399C8}"/>
                </c:ext>
              </c:extLst>
            </c:dLbl>
            <c:dLbl>
              <c:idx val="23"/>
              <c:layout>
                <c:manualLayout>
                  <c:x val="-1.0621681142820071E-3"/>
                  <c:y val="2.0178043428869218E-2"/>
                </c:manualLayout>
              </c:layout>
              <c:tx>
                <c:rich>
                  <a:bodyPr/>
                  <a:lstStyle/>
                  <a:p>
                    <a:fld id="{7B0A8F18-36D7-4B3A-87C5-85C0CA9CC1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50AC-4F53-9620-9F0EBDD399C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4ECBF2B-4E4F-483D-BB7A-72DEA3D562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0AC-4F53-9620-9F0EBDD399C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AD70E12-F727-404C-B8ED-B759B30CAD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0AC-4F53-9620-9F0EBDD399C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39430AC-427F-4872-A599-4C2AC7D54B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0AC-4F53-9620-9F0EBDD399C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5A7875B-237A-4A45-9E44-EA02C1C70B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0AC-4F53-9620-9F0EBDD399C8}"/>
                </c:ext>
              </c:extLst>
            </c:dLbl>
            <c:dLbl>
              <c:idx val="28"/>
              <c:layout>
                <c:manualLayout>
                  <c:x val="-5.9481414399788116E-2"/>
                  <c:y val="-1.345202895257948E-2"/>
                </c:manualLayout>
              </c:layout>
              <c:tx>
                <c:rich>
                  <a:bodyPr/>
                  <a:lstStyle/>
                  <a:p>
                    <a:fld id="{5FBDE409-1DDB-4701-8A0C-471674158E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50AC-4F53-9620-9F0EBDD399C8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3FF3197-86BB-4994-89B0-157193C0DC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50AC-4F53-9620-9F0EBDD399C8}"/>
                </c:ext>
              </c:extLst>
            </c:dLbl>
            <c:dLbl>
              <c:idx val="30"/>
              <c:layout>
                <c:manualLayout>
                  <c:x val="-5.310840571409646E-3"/>
                  <c:y val="2.2420048254299132E-2"/>
                </c:manualLayout>
              </c:layout>
              <c:tx>
                <c:rich>
                  <a:bodyPr/>
                  <a:lstStyle/>
                  <a:p>
                    <a:fld id="{1E41E324-DBC2-4F2B-ABAF-4F8B5D7900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50AC-4F53-9620-9F0EBDD399C8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2C0849E-E125-4439-9111-5E838AB227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50AC-4F53-9620-9F0EBDD399C8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06A751C-64A7-42C5-8696-999387CB84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9E4-4528-B9B8-511F0E482E3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'AC Data'!$J$2:$J$42</c:f>
              <c:numCache>
                <c:formatCode>"$"#,##0.000_);[Red]\("$"#,##0.000\)</c:formatCode>
                <c:ptCount val="33"/>
                <c:pt idx="0">
                  <c:v>0.85799999999999998</c:v>
                </c:pt>
                <c:pt idx="1">
                  <c:v>1.1160000000000001</c:v>
                </c:pt>
                <c:pt idx="2">
                  <c:v>0.81300000000000006</c:v>
                </c:pt>
                <c:pt idx="3">
                  <c:v>1.1000000000000001</c:v>
                </c:pt>
                <c:pt idx="4">
                  <c:v>1.6020000000000001</c:v>
                </c:pt>
                <c:pt idx="5">
                  <c:v>1.573</c:v>
                </c:pt>
                <c:pt idx="6">
                  <c:v>2.63</c:v>
                </c:pt>
                <c:pt idx="7">
                  <c:v>1.052</c:v>
                </c:pt>
                <c:pt idx="8">
                  <c:v>0.77500000000000002</c:v>
                </c:pt>
                <c:pt idx="9">
                  <c:v>2.65</c:v>
                </c:pt>
                <c:pt idx="10">
                  <c:v>1.8280000000000001</c:v>
                </c:pt>
                <c:pt idx="11">
                  <c:v>2.161</c:v>
                </c:pt>
                <c:pt idx="12">
                  <c:v>2.3940000000000001</c:v>
                </c:pt>
                <c:pt idx="13">
                  <c:v>2.5460000000000003</c:v>
                </c:pt>
                <c:pt idx="14">
                  <c:v>2.57</c:v>
                </c:pt>
                <c:pt idx="15">
                  <c:v>2.952</c:v>
                </c:pt>
                <c:pt idx="16">
                  <c:v>3.04</c:v>
                </c:pt>
                <c:pt idx="17">
                  <c:v>2.9630000000000001</c:v>
                </c:pt>
                <c:pt idx="18">
                  <c:v>4.03</c:v>
                </c:pt>
                <c:pt idx="19">
                  <c:v>2.0680000000000001</c:v>
                </c:pt>
                <c:pt idx="20">
                  <c:v>3.15</c:v>
                </c:pt>
                <c:pt idx="21">
                  <c:v>2.5</c:v>
                </c:pt>
                <c:pt idx="22">
                  <c:v>2.5880000000000001</c:v>
                </c:pt>
                <c:pt idx="23">
                  <c:v>2.4950000000000001</c:v>
                </c:pt>
                <c:pt idx="24">
                  <c:v>3.35</c:v>
                </c:pt>
                <c:pt idx="25">
                  <c:v>2.9119999999999999</c:v>
                </c:pt>
                <c:pt idx="26">
                  <c:v>3.528</c:v>
                </c:pt>
                <c:pt idx="27">
                  <c:v>2.847</c:v>
                </c:pt>
                <c:pt idx="28">
                  <c:v>2.008</c:v>
                </c:pt>
                <c:pt idx="29">
                  <c:v>2.9460000000000002</c:v>
                </c:pt>
                <c:pt idx="30">
                  <c:v>2.3199999999999998</c:v>
                </c:pt>
                <c:pt idx="31">
                  <c:v>2.8010000000000002</c:v>
                </c:pt>
                <c:pt idx="32">
                  <c:v>1.25</c:v>
                </c:pt>
              </c:numCache>
            </c:numRef>
          </c:xVal>
          <c:yVal>
            <c:numRef>
              <c:f>'AC Data'!$F$2:$F$42</c:f>
              <c:numCache>
                <c:formatCode>0</c:formatCode>
                <c:ptCount val="33"/>
                <c:pt idx="0">
                  <c:v>160</c:v>
                </c:pt>
                <c:pt idx="1">
                  <c:v>239</c:v>
                </c:pt>
                <c:pt idx="2">
                  <c:v>149</c:v>
                </c:pt>
                <c:pt idx="3">
                  <c:v>300</c:v>
                </c:pt>
                <c:pt idx="4">
                  <c:v>290</c:v>
                </c:pt>
                <c:pt idx="5">
                  <c:v>275</c:v>
                </c:pt>
                <c:pt idx="6">
                  <c:v>440</c:v>
                </c:pt>
                <c:pt idx="7">
                  <c:v>259</c:v>
                </c:pt>
                <c:pt idx="8">
                  <c:v>189</c:v>
                </c:pt>
                <c:pt idx="9">
                  <c:v>595</c:v>
                </c:pt>
                <c:pt idx="10">
                  <c:v>351</c:v>
                </c:pt>
                <c:pt idx="11">
                  <c:v>406</c:v>
                </c:pt>
                <c:pt idx="12">
                  <c:v>440</c:v>
                </c:pt>
                <c:pt idx="13">
                  <c:v>440</c:v>
                </c:pt>
                <c:pt idx="14">
                  <c:v>440</c:v>
                </c:pt>
                <c:pt idx="15">
                  <c:v>475</c:v>
                </c:pt>
                <c:pt idx="16">
                  <c:v>252</c:v>
                </c:pt>
                <c:pt idx="17">
                  <c:v>660</c:v>
                </c:pt>
                <c:pt idx="18">
                  <c:v>843</c:v>
                </c:pt>
                <c:pt idx="19">
                  <c:v>381</c:v>
                </c:pt>
                <c:pt idx="20">
                  <c:v>550</c:v>
                </c:pt>
                <c:pt idx="21">
                  <c:v>436</c:v>
                </c:pt>
                <c:pt idx="22">
                  <c:v>440</c:v>
                </c:pt>
                <c:pt idx="23">
                  <c:v>420</c:v>
                </c:pt>
                <c:pt idx="24">
                  <c:v>522</c:v>
                </c:pt>
                <c:pt idx="25">
                  <c:v>440</c:v>
                </c:pt>
                <c:pt idx="26">
                  <c:v>730</c:v>
                </c:pt>
                <c:pt idx="27">
                  <c:v>550</c:v>
                </c:pt>
                <c:pt idx="28">
                  <c:v>375</c:v>
                </c:pt>
                <c:pt idx="29">
                  <c:v>530</c:v>
                </c:pt>
                <c:pt idx="30">
                  <c:v>410</c:v>
                </c:pt>
                <c:pt idx="31">
                  <c:v>475</c:v>
                </c:pt>
                <c:pt idx="32">
                  <c:v>219</c:v>
                </c:pt>
              </c:numCache>
            </c:numRef>
          </c:yVal>
          <c:smooth val="0"/>
          <c:extLst xmlns:c15="http://schemas.microsoft.com/office/drawing/2012/chart">
            <c:ext xmlns:c15="http://schemas.microsoft.com/office/drawing/2012/chart" uri="{02D57815-91ED-43cb-92C2-25804820EDAC}">
              <c15:datalabelsRange>
                <c15:f>'AC Data'!$A$2:$A$42</c15:f>
                <c15:dlblRangeCache>
                  <c:ptCount val="33"/>
                  <c:pt idx="0">
                    <c:v>A319-100LR</c:v>
                  </c:pt>
                  <c:pt idx="1">
                    <c:v>757-200</c:v>
                  </c:pt>
                  <c:pt idx="2">
                    <c:v>737-700ER</c:v>
                  </c:pt>
                  <c:pt idx="3">
                    <c:v>Il-96-300</c:v>
                  </c:pt>
                  <c:pt idx="4">
                    <c:v>767-200ER</c:v>
                  </c:pt>
                  <c:pt idx="5">
                    <c:v>A310-300</c:v>
                  </c:pt>
                  <c:pt idx="6">
                    <c:v>A330-900</c:v>
                  </c:pt>
                  <c:pt idx="7">
                    <c:v>DC8-73</c:v>
                  </c:pt>
                  <c:pt idx="8">
                    <c:v>DC8-55</c:v>
                  </c:pt>
                  <c:pt idx="9">
                    <c:v>747-200B</c:v>
                  </c:pt>
                  <c:pt idx="10">
                    <c:v>767-300ER</c:v>
                  </c:pt>
                  <c:pt idx="11">
                    <c:v>A330-200</c:v>
                  </c:pt>
                  <c:pt idx="12">
                    <c:v>A330-300</c:v>
                  </c:pt>
                  <c:pt idx="13">
                    <c:v>A340-300</c:v>
                  </c:pt>
                  <c:pt idx="14">
                    <c:v>787-10</c:v>
                  </c:pt>
                  <c:pt idx="15">
                    <c:v>A350-900XWB</c:v>
                  </c:pt>
                  <c:pt idx="16">
                    <c:v>A350-900ULR</c:v>
                  </c:pt>
                  <c:pt idx="17">
                    <c:v>747-400</c:v>
                  </c:pt>
                  <c:pt idx="18">
                    <c:v>A380-800</c:v>
                  </c:pt>
                  <c:pt idx="19">
                    <c:v>787-8</c:v>
                  </c:pt>
                  <c:pt idx="20">
                    <c:v>777-300ER</c:v>
                  </c:pt>
                  <c:pt idx="21">
                    <c:v>Il-96M</c:v>
                  </c:pt>
                  <c:pt idx="22">
                    <c:v>777-200ER</c:v>
                  </c:pt>
                  <c:pt idx="23">
                    <c:v>787-9</c:v>
                  </c:pt>
                  <c:pt idx="24">
                    <c:v>A350-1000</c:v>
                  </c:pt>
                  <c:pt idx="25">
                    <c:v>777-200LR</c:v>
                  </c:pt>
                  <c:pt idx="26">
                    <c:v>747-8I</c:v>
                  </c:pt>
                  <c:pt idx="27">
                    <c:v>777-300</c:v>
                  </c:pt>
                  <c:pt idx="28">
                    <c:v>767-400ER</c:v>
                  </c:pt>
                  <c:pt idx="29">
                    <c:v>A340-600</c:v>
                  </c:pt>
                  <c:pt idx="30">
                    <c:v>MD-11</c:v>
                  </c:pt>
                  <c:pt idx="31">
                    <c:v>A340-500</c:v>
                  </c:pt>
                  <c:pt idx="32">
                    <c:v>707-320C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E-79E4-4528-B9B8-511F0E482E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852869264"/>
        <c:axId val="185286760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SxR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80E8A2F7-4664-4A53-A90C-A598865E31F7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79E4-4528-B9B8-511F0E482E36}"/>
                      </c:ext>
                    </c:extLst>
                  </c:dLbl>
                  <c:dLbl>
                    <c:idx val="1"/>
                    <c:tx>
                      <c:rich>
                        <a:bodyPr/>
                        <a:lstStyle/>
                        <a:p>
                          <a:fld id="{5959DF13-DA56-4694-A4F0-8EDA7E81C5D3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79E4-4528-B9B8-511F0E482E36}"/>
                      </c:ext>
                    </c:extLst>
                  </c:dLbl>
                  <c:dLbl>
                    <c:idx val="2"/>
                    <c:tx>
                      <c:rich>
                        <a:bodyPr/>
                        <a:lstStyle/>
                        <a:p>
                          <a:fld id="{D834AB3C-C16E-4FAA-8E4F-876F368F2BB4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2-79E4-4528-B9B8-511F0E482E36}"/>
                      </c:ext>
                    </c:extLst>
                  </c:dLbl>
                  <c:dLbl>
                    <c:idx val="3"/>
                    <c:tx>
                      <c:rich>
                        <a:bodyPr/>
                        <a:lstStyle/>
                        <a:p>
                          <a:fld id="{C327E3E1-3742-4995-BECA-A57BDFEB70B0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3-79E4-4528-B9B8-511F0E482E36}"/>
                      </c:ext>
                    </c:extLst>
                  </c:dLbl>
                  <c:dLbl>
                    <c:idx val="4"/>
                    <c:tx>
                      <c:rich>
                        <a:bodyPr/>
                        <a:lstStyle/>
                        <a:p>
                          <a:fld id="{6E84F39D-BF14-4FAA-A44C-65DA45200A2D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4-79E4-4528-B9B8-511F0E482E36}"/>
                      </c:ext>
                    </c:extLst>
                  </c:dLbl>
                  <c:dLbl>
                    <c:idx val="5"/>
                    <c:tx>
                      <c:rich>
                        <a:bodyPr/>
                        <a:lstStyle/>
                        <a:p>
                          <a:fld id="{CE33EF02-22BF-4B46-920D-B3C7852FD0D2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5-79E4-4528-B9B8-511F0E482E36}"/>
                      </c:ext>
                    </c:extLst>
                  </c:dLbl>
                  <c:dLbl>
                    <c:idx val="6"/>
                    <c:tx>
                      <c:rich>
                        <a:bodyPr/>
                        <a:lstStyle/>
                        <a:p>
                          <a:fld id="{599AFC6E-D4D8-480F-B31A-75F455381FF4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6-79E4-4528-B9B8-511F0E482E36}"/>
                      </c:ext>
                    </c:extLst>
                  </c:dLbl>
                  <c:dLbl>
                    <c:idx val="7"/>
                    <c:tx>
                      <c:rich>
                        <a:bodyPr/>
                        <a:lstStyle/>
                        <a:p>
                          <a:fld id="{FC8444D5-2A8D-4D12-9172-61D26B3B9E31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7-79E4-4528-B9B8-511F0E482E36}"/>
                      </c:ext>
                    </c:extLst>
                  </c:dLbl>
                  <c:dLbl>
                    <c:idx val="8"/>
                    <c:tx>
                      <c:rich>
                        <a:bodyPr/>
                        <a:lstStyle/>
                        <a:p>
                          <a:fld id="{3725CBB6-7BA8-43AD-8FCD-B7257DA04BB4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8-79E4-4528-B9B8-511F0E482E36}"/>
                      </c:ext>
                    </c:extLst>
                  </c:dLbl>
                  <c:dLbl>
                    <c:idx val="9"/>
                    <c:tx>
                      <c:rich>
                        <a:bodyPr/>
                        <a:lstStyle/>
                        <a:p>
                          <a:fld id="{9F3326F6-8FFA-47EE-9D84-F32EFCF991F9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9-79E4-4528-B9B8-511F0E482E36}"/>
                      </c:ext>
                    </c:extLst>
                  </c:dLbl>
                  <c:dLbl>
                    <c:idx val="10"/>
                    <c:tx>
                      <c:rich>
                        <a:bodyPr/>
                        <a:lstStyle/>
                        <a:p>
                          <a:fld id="{7E876DBA-E1BC-461B-BDE6-BDCB81744EB9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A-79E4-4528-B9B8-511F0E482E36}"/>
                      </c:ext>
                    </c:extLst>
                  </c:dLbl>
                  <c:dLbl>
                    <c:idx val="11"/>
                    <c:tx>
                      <c:rich>
                        <a:bodyPr/>
                        <a:lstStyle/>
                        <a:p>
                          <a:fld id="{E7FE19BD-88E9-4455-B63E-CE9CDF4CB55A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B-79E4-4528-B9B8-511F0E482E36}"/>
                      </c:ext>
                    </c:extLst>
                  </c:dLbl>
                  <c:dLbl>
                    <c:idx val="12"/>
                    <c:tx>
                      <c:rich>
                        <a:bodyPr/>
                        <a:lstStyle/>
                        <a:p>
                          <a:fld id="{C4752CC7-F928-4F72-9C45-C9A05F638503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C-79E4-4528-B9B8-511F0E482E36}"/>
                      </c:ext>
                    </c:extLst>
                  </c:dLbl>
                  <c:dLbl>
                    <c:idx val="13"/>
                    <c:tx>
                      <c:rich>
                        <a:bodyPr/>
                        <a:lstStyle/>
                        <a:p>
                          <a:fld id="{FE0221D6-0784-4917-B968-7947494BD236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D-79E4-4528-B9B8-511F0E482E36}"/>
                      </c:ext>
                    </c:extLst>
                  </c:dLbl>
                  <c:dLbl>
                    <c:idx val="14"/>
                    <c:tx>
                      <c:rich>
                        <a:bodyPr/>
                        <a:lstStyle/>
                        <a:p>
                          <a:fld id="{37720154-ECDE-4578-8F58-E83D31E485A4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E-79E4-4528-B9B8-511F0E482E36}"/>
                      </c:ext>
                    </c:extLst>
                  </c:dLbl>
                  <c:dLbl>
                    <c:idx val="15"/>
                    <c:tx>
                      <c:rich>
                        <a:bodyPr/>
                        <a:lstStyle/>
                        <a:p>
                          <a:fld id="{423BFF8C-3998-4F96-AD2C-5DDE562EBB7A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F-79E4-4528-B9B8-511F0E482E36}"/>
                      </c:ext>
                    </c:extLst>
                  </c:dLbl>
                  <c:dLbl>
                    <c:idx val="16"/>
                    <c:tx>
                      <c:rich>
                        <a:bodyPr/>
                        <a:lstStyle/>
                        <a:p>
                          <a:fld id="{4B010975-57E5-4699-A35F-1B50AC27E91D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0-79E4-4528-B9B8-511F0E482E36}"/>
                      </c:ext>
                    </c:extLst>
                  </c:dLbl>
                  <c:dLbl>
                    <c:idx val="17"/>
                    <c:tx>
                      <c:rich>
                        <a:bodyPr/>
                        <a:lstStyle/>
                        <a:p>
                          <a:fld id="{DA99EEE0-CBD1-41AC-B260-6F4764A1EC1D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1-79E4-4528-B9B8-511F0E482E36}"/>
                      </c:ext>
                    </c:extLst>
                  </c:dLbl>
                  <c:dLbl>
                    <c:idx val="18"/>
                    <c:tx>
                      <c:rich>
                        <a:bodyPr/>
                        <a:lstStyle/>
                        <a:p>
                          <a:fld id="{80F7314B-5389-439A-B1CF-C09E730C655B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2-79E4-4528-B9B8-511F0E482E36}"/>
                      </c:ext>
                    </c:extLst>
                  </c:dLbl>
                  <c:dLbl>
                    <c:idx val="19"/>
                    <c:tx>
                      <c:rich>
                        <a:bodyPr/>
                        <a:lstStyle/>
                        <a:p>
                          <a:fld id="{16BEF22C-085E-4E2B-8474-6F941E3EC53C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3-79E4-4528-B9B8-511F0E482E36}"/>
                      </c:ext>
                    </c:extLst>
                  </c:dLbl>
                  <c:dLbl>
                    <c:idx val="20"/>
                    <c:tx>
                      <c:rich>
                        <a:bodyPr/>
                        <a:lstStyle/>
                        <a:p>
                          <a:fld id="{132CA72B-D6C0-4F0B-85A2-C79F103ABD88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4-79E4-4528-B9B8-511F0E482E36}"/>
                      </c:ext>
                    </c:extLst>
                  </c:dLbl>
                  <c:dLbl>
                    <c:idx val="21"/>
                    <c:tx>
                      <c:rich>
                        <a:bodyPr/>
                        <a:lstStyle/>
                        <a:p>
                          <a:fld id="{E17B9E5B-C4B6-430E-9DDF-5CE61B09D182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5-79E4-4528-B9B8-511F0E482E36}"/>
                      </c:ext>
                    </c:extLst>
                  </c:dLbl>
                  <c:dLbl>
                    <c:idx val="22"/>
                    <c:tx>
                      <c:rich>
                        <a:bodyPr/>
                        <a:lstStyle/>
                        <a:p>
                          <a:fld id="{B2352824-1F5E-4C86-8EA1-163B11CE7B3B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E-50AC-4F53-9620-9F0EBDD399C8}"/>
                      </c:ext>
                    </c:extLst>
                  </c:dLbl>
                  <c:dLbl>
                    <c:idx val="23"/>
                    <c:tx>
                      <c:rich>
                        <a:bodyPr/>
                        <a:lstStyle/>
                        <a:p>
                          <a:fld id="{4AD02991-6C63-4A5D-82E1-174AB80003FD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F-50AC-4F53-9620-9F0EBDD399C8}"/>
                      </c:ext>
                    </c:extLst>
                  </c:dLbl>
                  <c:dLbl>
                    <c:idx val="24"/>
                    <c:tx>
                      <c:rich>
                        <a:bodyPr/>
                        <a:lstStyle/>
                        <a:p>
                          <a:fld id="{2F254922-2A7C-47C7-9057-38A188AD1EF6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0-50AC-4F53-9620-9F0EBDD399C8}"/>
                      </c:ext>
                    </c:extLst>
                  </c:dLbl>
                  <c:dLbl>
                    <c:idx val="25"/>
                    <c:tx>
                      <c:rich>
                        <a:bodyPr/>
                        <a:lstStyle/>
                        <a:p>
                          <a:fld id="{4C05CAC5-9D38-444F-8ECF-10D707715FDD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1-50AC-4F53-9620-9F0EBDD399C8}"/>
                      </c:ext>
                    </c:extLst>
                  </c:dLbl>
                  <c:dLbl>
                    <c:idx val="26"/>
                    <c:tx>
                      <c:rich>
                        <a:bodyPr/>
                        <a:lstStyle/>
                        <a:p>
                          <a:fld id="{18DAD98E-CC95-40CD-9F92-6B48AED0A92E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2-50AC-4F53-9620-9F0EBDD399C8}"/>
                      </c:ext>
                    </c:extLst>
                  </c:dLbl>
                  <c:dLbl>
                    <c:idx val="27"/>
                    <c:tx>
                      <c:rich>
                        <a:bodyPr/>
                        <a:lstStyle/>
                        <a:p>
                          <a:fld id="{F45C3517-8472-4686-BAC7-364AA77E37AC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3-50AC-4F53-9620-9F0EBDD399C8}"/>
                      </c:ext>
                    </c:extLst>
                  </c:dLbl>
                  <c:dLbl>
                    <c:idx val="28"/>
                    <c:tx>
                      <c:rich>
                        <a:bodyPr/>
                        <a:lstStyle/>
                        <a:p>
                          <a:fld id="{CE5E5485-E80C-4F86-B2C1-EBD09ECA419F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4-50AC-4F53-9620-9F0EBDD399C8}"/>
                      </c:ext>
                    </c:extLst>
                  </c:dLbl>
                  <c:dLbl>
                    <c:idx val="29"/>
                    <c:tx>
                      <c:rich>
                        <a:bodyPr/>
                        <a:lstStyle/>
                        <a:p>
                          <a:fld id="{1FA72A80-EEB9-42BB-8FC8-612267F95D01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5-50AC-4F53-9620-9F0EBDD399C8}"/>
                      </c:ext>
                    </c:extLst>
                  </c:dLbl>
                  <c:dLbl>
                    <c:idx val="30"/>
                    <c:tx>
                      <c:rich>
                        <a:bodyPr/>
                        <a:lstStyle/>
                        <a:p>
                          <a:fld id="{75534FD5-5316-4646-A8FC-D2E363AFC68E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6-50AC-4F53-9620-9F0EBDD399C8}"/>
                      </c:ext>
                    </c:extLst>
                  </c:dLbl>
                  <c:dLbl>
                    <c:idx val="31"/>
                    <c:tx>
                      <c:rich>
                        <a:bodyPr/>
                        <a:lstStyle/>
                        <a:p>
                          <a:fld id="{CDC83255-F183-416D-9BF1-2D96B086089C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7-50AC-4F53-9620-9F0EBDD399C8}"/>
                      </c:ext>
                    </c:extLst>
                  </c:dLbl>
                  <c:dLbl>
                    <c:idx val="32"/>
                    <c:tx>
                      <c:rich>
                        <a:bodyPr/>
                        <a:lstStyle/>
                        <a:p>
                          <a:fld id="{A3FA8B92-3178-4C5D-9AC8-B919A757EC65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8-50AC-4F53-9620-9F0EBDD399C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DataLabelsRange val="1"/>
                      <c15:showLeaderLines val="0"/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'AC Data'!$I$2:$I$42</c15:sqref>
                        </c15:formulaRef>
                      </c:ext>
                    </c:extLst>
                    <c:numCache>
                      <c:formatCode>"$"#,##0_);[Red]\("$"#,##0\)</c:formatCode>
                      <c:ptCount val="33"/>
                      <c:pt idx="0">
                        <c:v>85800000</c:v>
                      </c:pt>
                      <c:pt idx="1">
                        <c:v>111600000</c:v>
                      </c:pt>
                      <c:pt idx="2">
                        <c:v>81300000</c:v>
                      </c:pt>
                      <c:pt idx="3">
                        <c:v>110000000</c:v>
                      </c:pt>
                      <c:pt idx="4">
                        <c:v>160200000</c:v>
                      </c:pt>
                      <c:pt idx="5">
                        <c:v>157300000</c:v>
                      </c:pt>
                      <c:pt idx="6">
                        <c:v>263000000</c:v>
                      </c:pt>
                      <c:pt idx="7">
                        <c:v>105200000</c:v>
                      </c:pt>
                      <c:pt idx="8">
                        <c:v>77500000</c:v>
                      </c:pt>
                      <c:pt idx="9">
                        <c:v>265000000</c:v>
                      </c:pt>
                      <c:pt idx="10">
                        <c:v>182800000</c:v>
                      </c:pt>
                      <c:pt idx="11">
                        <c:v>216100000</c:v>
                      </c:pt>
                      <c:pt idx="12">
                        <c:v>239400000</c:v>
                      </c:pt>
                      <c:pt idx="13">
                        <c:v>254600000</c:v>
                      </c:pt>
                      <c:pt idx="14">
                        <c:v>257000000</c:v>
                      </c:pt>
                      <c:pt idx="15">
                        <c:v>295200000</c:v>
                      </c:pt>
                      <c:pt idx="16">
                        <c:v>304000000</c:v>
                      </c:pt>
                      <c:pt idx="17">
                        <c:v>296300000</c:v>
                      </c:pt>
                      <c:pt idx="18">
                        <c:v>403000000</c:v>
                      </c:pt>
                      <c:pt idx="19">
                        <c:v>206800000</c:v>
                      </c:pt>
                      <c:pt idx="20">
                        <c:v>315000000</c:v>
                      </c:pt>
                      <c:pt idx="21">
                        <c:v>250000000</c:v>
                      </c:pt>
                      <c:pt idx="22">
                        <c:v>258800000</c:v>
                      </c:pt>
                      <c:pt idx="23">
                        <c:v>249500000</c:v>
                      </c:pt>
                      <c:pt idx="24">
                        <c:v>335000000</c:v>
                      </c:pt>
                      <c:pt idx="25">
                        <c:v>291200000</c:v>
                      </c:pt>
                      <c:pt idx="26">
                        <c:v>352800000</c:v>
                      </c:pt>
                      <c:pt idx="27">
                        <c:v>284700000</c:v>
                      </c:pt>
                      <c:pt idx="28">
                        <c:v>200800000</c:v>
                      </c:pt>
                      <c:pt idx="29">
                        <c:v>294600000</c:v>
                      </c:pt>
                      <c:pt idx="30">
                        <c:v>232000000</c:v>
                      </c:pt>
                      <c:pt idx="31">
                        <c:v>280100000</c:v>
                      </c:pt>
                      <c:pt idx="32">
                        <c:v>125000000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'AC Data'!$L$2:$L$42</c15:sqref>
                        </c15:formulaRef>
                      </c:ext>
                    </c:extLst>
                    <c:numCache>
                      <c:formatCode>#,##0</c:formatCode>
                      <c:ptCount val="33"/>
                      <c:pt idx="0">
                        <c:v>14800</c:v>
                      </c:pt>
                      <c:pt idx="1">
                        <c:v>18147.27</c:v>
                      </c:pt>
                      <c:pt idx="2">
                        <c:v>13529.2</c:v>
                      </c:pt>
                      <c:pt idx="3">
                        <c:v>34500</c:v>
                      </c:pt>
                      <c:pt idx="4">
                        <c:v>34312.800000000003</c:v>
                      </c:pt>
                      <c:pt idx="5">
                        <c:v>26482.5</c:v>
                      </c:pt>
                      <c:pt idx="6">
                        <c:v>48840</c:v>
                      </c:pt>
                      <c:pt idx="7">
                        <c:v>27713</c:v>
                      </c:pt>
                      <c:pt idx="8">
                        <c:v>19089</c:v>
                      </c:pt>
                      <c:pt idx="9">
                        <c:v>77409.5</c:v>
                      </c:pt>
                      <c:pt idx="10">
                        <c:v>38961</c:v>
                      </c:pt>
                      <c:pt idx="11">
                        <c:v>54546.1</c:v>
                      </c:pt>
                      <c:pt idx="12">
                        <c:v>47537.599999999999</c:v>
                      </c:pt>
                      <c:pt idx="13">
                        <c:v>60297.599999999999</c:v>
                      </c:pt>
                      <c:pt idx="14">
                        <c:v>46054.8</c:v>
                      </c:pt>
                      <c:pt idx="15">
                        <c:v>72133.5</c:v>
                      </c:pt>
                      <c:pt idx="16">
                        <c:v>45360</c:v>
                      </c:pt>
                      <c:pt idx="17">
                        <c:v>88796.400000000009</c:v>
                      </c:pt>
                      <c:pt idx="18">
                        <c:v>131137.08000000002</c:v>
                      </c:pt>
                      <c:pt idx="19">
                        <c:v>57896.76</c:v>
                      </c:pt>
                      <c:pt idx="20">
                        <c:v>80822.5</c:v>
                      </c:pt>
                      <c:pt idx="21">
                        <c:v>55808</c:v>
                      </c:pt>
                      <c:pt idx="22">
                        <c:v>62986</c:v>
                      </c:pt>
                      <c:pt idx="23">
                        <c:v>65335.200000000004</c:v>
                      </c:pt>
                      <c:pt idx="24">
                        <c:v>76995</c:v>
                      </c:pt>
                      <c:pt idx="25">
                        <c:v>77052.800000000003</c:v>
                      </c:pt>
                      <c:pt idx="26">
                        <c:v>108222.5</c:v>
                      </c:pt>
                      <c:pt idx="27">
                        <c:v>61154.5</c:v>
                      </c:pt>
                      <c:pt idx="28">
                        <c:v>39090</c:v>
                      </c:pt>
                      <c:pt idx="29">
                        <c:v>77592</c:v>
                      </c:pt>
                      <c:pt idx="30">
                        <c:v>50307</c:v>
                      </c:pt>
                      <c:pt idx="31">
                        <c:v>79220.5</c:v>
                      </c:pt>
                      <c:pt idx="32">
                        <c:v>21718.23</c:v>
                      </c:pt>
                    </c:numCache>
                  </c:numRef>
                </c:yVal>
                <c:smooth val="0"/>
                <c:extLst>
                  <c:ext uri="{02D57815-91ED-43cb-92C2-25804820EDAC}">
                    <c15:datalabelsRange>
                      <c15:f>'AC Data'!$A$2:$A$42</c15:f>
                      <c15:dlblRangeCache>
                        <c:ptCount val="33"/>
                        <c:pt idx="0">
                          <c:v>A319-100LR</c:v>
                        </c:pt>
                        <c:pt idx="1">
                          <c:v>757-200</c:v>
                        </c:pt>
                        <c:pt idx="2">
                          <c:v>737-700ER</c:v>
                        </c:pt>
                        <c:pt idx="3">
                          <c:v>Il-96-300</c:v>
                        </c:pt>
                        <c:pt idx="4">
                          <c:v>767-200ER</c:v>
                        </c:pt>
                        <c:pt idx="5">
                          <c:v>A310-300</c:v>
                        </c:pt>
                        <c:pt idx="6">
                          <c:v>A330-900</c:v>
                        </c:pt>
                        <c:pt idx="7">
                          <c:v>DC8-73</c:v>
                        </c:pt>
                        <c:pt idx="8">
                          <c:v>DC8-55</c:v>
                        </c:pt>
                        <c:pt idx="9">
                          <c:v>747-200B</c:v>
                        </c:pt>
                        <c:pt idx="10">
                          <c:v>767-300ER</c:v>
                        </c:pt>
                        <c:pt idx="11">
                          <c:v>A330-200</c:v>
                        </c:pt>
                        <c:pt idx="12">
                          <c:v>A330-300</c:v>
                        </c:pt>
                        <c:pt idx="13">
                          <c:v>A340-300</c:v>
                        </c:pt>
                        <c:pt idx="14">
                          <c:v>787-10</c:v>
                        </c:pt>
                        <c:pt idx="15">
                          <c:v>A350-900XWB</c:v>
                        </c:pt>
                        <c:pt idx="16">
                          <c:v>A350-900ULR</c:v>
                        </c:pt>
                        <c:pt idx="17">
                          <c:v>747-400</c:v>
                        </c:pt>
                        <c:pt idx="18">
                          <c:v>A380-800</c:v>
                        </c:pt>
                        <c:pt idx="19">
                          <c:v>787-8</c:v>
                        </c:pt>
                        <c:pt idx="20">
                          <c:v>777-300ER</c:v>
                        </c:pt>
                        <c:pt idx="21">
                          <c:v>Il-96M</c:v>
                        </c:pt>
                        <c:pt idx="22">
                          <c:v>777-200ER</c:v>
                        </c:pt>
                        <c:pt idx="23">
                          <c:v>787-9</c:v>
                        </c:pt>
                        <c:pt idx="24">
                          <c:v>A350-1000</c:v>
                        </c:pt>
                        <c:pt idx="25">
                          <c:v>777-200LR</c:v>
                        </c:pt>
                        <c:pt idx="26">
                          <c:v>747-8I</c:v>
                        </c:pt>
                        <c:pt idx="27">
                          <c:v>777-300</c:v>
                        </c:pt>
                        <c:pt idx="28">
                          <c:v>767-400ER</c:v>
                        </c:pt>
                        <c:pt idx="29">
                          <c:v>A340-600</c:v>
                        </c:pt>
                        <c:pt idx="30">
                          <c:v>MD-11</c:v>
                        </c:pt>
                        <c:pt idx="31">
                          <c:v>A340-500</c:v>
                        </c:pt>
                        <c:pt idx="32">
                          <c:v>707-320C</c:v>
                        </c:pt>
                      </c15:dlblRangeCache>
                    </c15:datalabelsRange>
                  </c:ext>
                  <c:ext xmlns:c16="http://schemas.microsoft.com/office/drawing/2014/chart" uri="{C3380CC4-5D6E-409C-BE32-E72D297353CC}">
                    <c16:uniqueId val="{00000016-79E4-4528-B9B8-511F0E482E36}"/>
                  </c:ext>
                </c:extLst>
              </c15:ser>
            </c15:filteredScatterSeries>
          </c:ext>
        </c:extLst>
      </c:scatterChart>
      <c:valAx>
        <c:axId val="135010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"PRICE"</c:f>
              <c:strCache>
                <c:ptCount val="1"/>
                <c:pt idx="0">
                  <c:v>PRICE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0_);[Red]\(&quot;$&quot;#,##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81344"/>
        <c:crosses val="autoZero"/>
        <c:crossBetween val="midCat"/>
      </c:valAx>
      <c:valAx>
        <c:axId val="1524481344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"RANGE"</c:f>
              <c:strCache>
                <c:ptCount val="1"/>
                <c:pt idx="0">
                  <c:v>RANGE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00224"/>
        <c:crosses val="autoZero"/>
        <c:crossBetween val="midCat"/>
      </c:valAx>
      <c:valAx>
        <c:axId val="1852867600"/>
        <c:scaling>
          <c:orientation val="minMax"/>
        </c:scaling>
        <c:delete val="0"/>
        <c:axPos val="r"/>
        <c:title>
          <c:tx>
            <c:strRef>
              <c:f>"SEATS"</c:f>
              <c:strCache>
                <c:ptCount val="1"/>
                <c:pt idx="0">
                  <c:v>SEATS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869264"/>
        <c:crosses val="max"/>
        <c:crossBetween val="midCat"/>
      </c:valAx>
      <c:valAx>
        <c:axId val="1852869264"/>
        <c:scaling>
          <c:orientation val="minMax"/>
        </c:scaling>
        <c:delete val="1"/>
        <c:axPos val="b"/>
        <c:numFmt formatCode="&quot;$&quot;#,##0.000_);[Red]\(&quot;$&quot;#,##0.000\)" sourceLinked="1"/>
        <c:majorTickMark val="out"/>
        <c:minorTickMark val="none"/>
        <c:tickLblPos val="nextTo"/>
        <c:crossAx val="185286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224117</xdr:colOff>
      <xdr:row>0</xdr:row>
      <xdr:rowOff>112060</xdr:rowOff>
    </xdr:from>
    <xdr:to>
      <xdr:col>35</xdr:col>
      <xdr:colOff>560293</xdr:colOff>
      <xdr:row>65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F67AA-1BF5-4AFE-9AEE-951D71CF8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AMT_MASTER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microsoft.com/office/2006/relationships/xlExternalLinkPath/xlPathMissing" Target="AMT_MASTER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'Connell" refreshedDate="44029.705426967594" createdVersion="6" refreshedVersion="6" minRefreshableVersion="3" recordCount="681" xr:uid="{24760694-2871-40EC-8246-8D20BCD326FB}">
  <cacheSource type="worksheet">
    <worksheetSource name="Table215"/>
  </cacheSource>
  <cacheFields count="14">
    <cacheField name="ROUTE" numFmtId="0">
      <sharedItems/>
    </cacheField>
    <cacheField name="ICAO" numFmtId="0">
      <sharedItems/>
    </cacheField>
    <cacheField name="STATUS" numFmtId="0">
      <sharedItems containsBlank="1" count="4">
        <s v="OPEN"/>
        <m/>
        <s v="ROUTE ONLY"/>
        <s v="AUDITED" u="1"/>
      </sharedItems>
    </cacheField>
    <cacheField name="STARS" numFmtId="0">
      <sharedItems containsSemiMixedTypes="0" containsString="0" containsNumber="1" containsInteger="1" minValue="0" maxValue="5" count="6">
        <n v="2"/>
        <n v="3"/>
        <n v="4"/>
        <n v="1"/>
        <n v="5"/>
        <n v="0"/>
      </sharedItems>
    </cacheField>
    <cacheField name="COUNTRY" numFmtId="0">
      <sharedItems count="153">
        <s v="Ivory Coast"/>
        <s v="Peru"/>
        <s v="Dominican Republic"/>
        <s v="Brazil"/>
        <s v="Colombia"/>
        <s v="Venezuela"/>
        <s v="Netherlands Antilles"/>
        <s v="Cameroon"/>
        <s v="Senegal"/>
        <s v="Argentina"/>
        <s v="Portugal"/>
        <s v="Nigeria"/>
        <s v="Mexico"/>
        <s v="Mauritania"/>
        <s v="Angola"/>
        <s v="Cape Verde"/>
        <s v="Cuba"/>
        <s v="Egypt"/>
        <s v="Algeria"/>
        <s v="United Arab Emirates"/>
        <s v="Denmark"/>
        <s v="United States"/>
        <s v="Saudi Arabia"/>
        <s v="Ghana"/>
        <s v="Iran"/>
        <s v="Turkey"/>
        <s v="Ethiopia"/>
        <s v="Yemen"/>
        <s v="Russia"/>
        <s v="Morocco"/>
        <s v="Spain"/>
        <s v="Paraguay"/>
        <s v="Italy"/>
        <s v="New Zealand"/>
        <s v="Kazakhstan"/>
        <s v="Syria"/>
        <s v="Jordan"/>
        <s v="Netherlands"/>
        <s v="Samoa"/>
        <s v="Sweden"/>
        <s v="Turkmenistan"/>
        <s v="Greece"/>
        <s v="Aruba"/>
        <s v="Australia"/>
        <s v="Bahrain"/>
        <s v="Somalia"/>
        <s v="Romania"/>
        <s v="Bermuda"/>
        <s v="Serbia"/>
        <s v="Libya"/>
        <s v="France"/>
        <s v="Lebanon"/>
        <s v="United Kingdom"/>
        <s v="Barbados"/>
        <s v="Norway"/>
        <s v="IRAQ"/>
        <s v="Uzbekistan"/>
        <s v="Gambia"/>
        <s v="Burundi"/>
        <s v="Bulgaria"/>
        <s v="Burkina Faso"/>
        <s v="Puerto Rico"/>
        <s v="Belgium"/>
        <s v="Switzerland"/>
        <s v="Slovakia"/>
        <s v="Hungary"/>
        <s v="Congo - Brazzaville"/>
        <s v="French Guiana"/>
        <s v="Bolivia"/>
        <s v="Germany"/>
        <s v="Chile"/>
        <s v="Guinea"/>
        <s v="South Africa"/>
        <s v="Tanzania"/>
        <s v="Croatia"/>
        <s v="Tunisia"/>
        <s v="Ukraine"/>
        <s v="Qatar"/>
        <s v="Dominica"/>
        <s v="Uganda"/>
        <s v="Sudan"/>
        <s v="Kenya"/>
        <s v="Israel"/>
        <s v="Armenia"/>
        <s v="Congo - Kinshasa"/>
        <s v="Martinique"/>
        <s v="Sierra Leone"/>
        <s v="Bahamas"/>
        <s v="Botswana"/>
        <s v="Poland"/>
        <s v="Austria"/>
        <s v="Guatemala"/>
        <s v="Azerbaijan"/>
        <s v="Ecuador"/>
        <s v="Comoros"/>
        <s v="Finland"/>
        <s v="French Polynesia"/>
        <s v="Zimbabwe"/>
        <s v="Djibouti"/>
        <s v="Afghanistan"/>
        <s v="Iceland"/>
        <s v="Rwanda"/>
        <s v="Pakistan"/>
        <s v="Moldova"/>
        <s v="Lithuania"/>
        <s v="Kuwait"/>
        <s v="Gabon"/>
        <s v="Cyprus"/>
        <s v="Honduras"/>
        <s v="Togo"/>
        <s v="Slovenia"/>
        <s v="Malawi"/>
        <s v="Zambia"/>
        <s v="Luxembourg"/>
        <s v="Oman"/>
        <s v="Malta"/>
        <s v="MALDIVES"/>
        <s v="Mauritius"/>
        <s v="Belarus"/>
        <s v="Lesotho"/>
        <s v="Uruguay"/>
        <s v="Fiji"/>
        <s v="Chad"/>
        <s v="Niger"/>
        <s v="Namibia"/>
        <s v="Czech Republic"/>
        <s v="Guinea-Bissau"/>
        <s v="Haiti"/>
        <s v="Suriname"/>
        <s v="American Samoa"/>
        <s v="Guadeloupe"/>
        <s v="Panama"/>
        <s v="Latvia"/>
        <s v="Liberia"/>
        <s v="Reunion"/>
        <s v="El Salvador"/>
        <s v="Seychelles"/>
        <s v="Greenland"/>
        <s v="Costa Rica"/>
        <s v="Ireland"/>
        <s v="Equatorial Guinea"/>
        <s v="Georgia"/>
        <s v="Estonia"/>
        <s v="Madagascar"/>
        <s v="Canada"/>
        <s v="Irak" u="1"/>
        <s v="Czechia" u="1"/>
        <s v="Argentines" u="1"/>
        <s v="Mozambique" u="1"/>
        <s v="Réunion" u="1"/>
        <s v="United States of America" u="1"/>
        <s v="Cameroun" u="1"/>
        <s v="Democratic Republic of the Congo" u="1"/>
      </sharedItems>
    </cacheField>
    <cacheField name="CONTINENT" numFmtId="0">
      <sharedItems count="6">
        <s v="AF"/>
        <s v="SA"/>
        <s v="NA"/>
        <s v="EU"/>
        <s v="AS"/>
        <s v="OC"/>
      </sharedItems>
    </cacheField>
    <cacheField name="CITY" numFmtId="0">
      <sharedItems/>
    </cacheField>
    <cacheField name="DISTANCE" numFmtId="1">
      <sharedItems containsSemiMixedTypes="0" containsString="0" containsNumber="1" containsInteger="1" minValue="83" maxValue="13408"/>
    </cacheField>
    <cacheField name="RT TIME (744)" numFmtId="2">
      <sharedItems containsSemiMixedTypes="0" containsString="0" containsNumber="1" minValue="2.25" maxValue="31.75"/>
    </cacheField>
    <cacheField name="ROUTE $" numFmtId="44">
      <sharedItems containsString="0" containsBlank="1" containsNumber="1" containsInteger="1" minValue="152961694" maxValue="306345854"/>
    </cacheField>
    <cacheField name="$ PER PAX" numFmtId="44">
      <sharedItems containsSemiMixedTypes="0" containsString="0" containsNumber="1" minValue="0" maxValue="120114.6572815534"/>
    </cacheField>
    <cacheField name="E - DEMAND" numFmtId="0">
      <sharedItems containsString="0" containsBlank="1" containsNumber="1" containsInteger="1" minValue="2060" maxValue="5054"/>
    </cacheField>
    <cacheField name="AC" numFmtId="2">
      <sharedItems containsSemiMixedTypes="0" containsString="0" containsNumber="1" containsInteger="1" minValue="0" maxValue="3"/>
    </cacheField>
    <cacheField name="TOTAL HRS" numFmtId="0">
      <sharedItems containsSemiMixedTypes="0" containsString="0" containsNumber="1" minValue="0" maxValue="95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'Connell" refreshedDate="44040.78076238426" createdVersion="6" refreshedVersion="6" minRefreshableVersion="3" recordCount="881" xr:uid="{9988C4DB-BF1A-4DDD-B70A-09E208468B85}">
  <cacheSource type="worksheet">
    <worksheetSource ref="A2:L883" sheet="DME" r:id="rId2"/>
  </cacheSource>
  <cacheFields count="15">
    <cacheField name="ROUTE" numFmtId="0">
      <sharedItems/>
    </cacheField>
    <cacheField name="ICAO" numFmtId="0">
      <sharedItems/>
    </cacheField>
    <cacheField name="STATUS" numFmtId="0">
      <sharedItems containsBlank="1" count="5">
        <s v="ROUTE ONLY"/>
        <s v="PENDING"/>
        <s v="OPEN"/>
        <s v="AUDITED"/>
        <m/>
      </sharedItems>
    </cacheField>
    <cacheField name="STARS" numFmtId="1">
      <sharedItems containsBlank="1" containsMixedTypes="1" containsNumber="1" containsInteger="1" minValue="1" maxValue="5" count="10">
        <n v="2"/>
        <n v="1"/>
        <n v="4"/>
        <n v="3"/>
        <n v="5"/>
        <s v="3X"/>
        <m/>
        <s v="2X"/>
        <s v="1X"/>
        <s v="4X"/>
      </sharedItems>
    </cacheField>
    <cacheField name="COUNTRY" numFmtId="0">
      <sharedItems count="165">
        <s v="Egypt"/>
        <s v="United States"/>
        <s v="Brunei"/>
        <s v="Canada"/>
        <s v="Taiwan"/>
        <s v="Japan"/>
        <s v="Spain"/>
        <s v="Saudi Arabia"/>
        <s v="United Arab Emirates"/>
        <s v="Libya"/>
        <s v="Tunisia"/>
        <s v="Kuwait"/>
        <s v="France"/>
        <s v="Israel"/>
        <s v="Iran"/>
        <s v="Switzerland"/>
        <s v="Italy"/>
        <s v="Greece"/>
        <s v="Netherlands"/>
        <s v="Germany"/>
        <s v="Czech Republic"/>
        <s v="Norway"/>
        <s v="Denmark"/>
        <s v="Poland"/>
        <s v="Finland"/>
        <s v="Myanmar"/>
        <s v="China"/>
        <s v="Mauritania"/>
        <s v="Nigeria"/>
        <s v="Ethiopia"/>
        <s v="Pakistan"/>
        <s v="Algeria"/>
        <s v="United Kingdom"/>
        <s v="Fiji"/>
        <s v="Australia"/>
        <s v="New Caledonia"/>
        <s v="Chile"/>
        <s v="Argentina"/>
        <s v="Uruguay"/>
        <s v="Peru"/>
        <s v="Ecuador"/>
        <s v="Brazil"/>
        <s v="Colombia"/>
        <s v="El Salvador"/>
        <s v="Mexico"/>
        <s v="Panama"/>
        <s v="Guatemala"/>
        <s v="Venezuela"/>
        <s v="South Africa"/>
        <s v="Indonesia"/>
        <s v="Aruba"/>
        <s v="Guam"/>
        <s v="Trinidad and Tobago"/>
        <s v="Cuba"/>
        <s v="Haiti"/>
        <s v="Lesotho"/>
        <s v="Dominican Republic"/>
        <s v="Barbados"/>
        <s v="Puerto Rico"/>
        <s v="Bahamas"/>
        <s v="Philippines"/>
        <s v="Guadeloupe"/>
        <s v="Malaysia"/>
        <s v="Mauritius"/>
        <s v="Reunion"/>
        <s v="Singapore"/>
        <s v="Angola"/>
        <s v="Vietnam"/>
        <s v="Thailand"/>
        <s v="Cambodia"/>
        <s v="South Korea"/>
        <s v="Tanzania"/>
        <s v="India"/>
        <s v="Russia"/>
        <s v="Senegal"/>
        <s v="Kenya"/>
        <s v="Bangladesh"/>
        <s v="Yemen"/>
        <s v="Morocco"/>
        <s v="Portugal"/>
        <s v="Belgium"/>
        <s v="Turkey"/>
        <s v="Austria"/>
        <s v="Hungary"/>
        <s v="Romania"/>
        <s v="Zimbabwe"/>
        <s v="Costa Rica"/>
        <s v="Martinique"/>
        <s v="Qatar"/>
        <s v="Bolivia"/>
        <s v="Paraguay"/>
        <s v="Honduras"/>
        <s v="Netherlands Antilles"/>
        <s v="Suriname"/>
        <s v="French Guiana"/>
        <s v="Dominica"/>
        <s v="Botswana"/>
        <s v="Namibia"/>
        <s v="Madagascar"/>
        <s v="Zambia"/>
        <s v="Bermuda"/>
        <s v="Malawi"/>
        <s v="Congo - Kinshasa"/>
        <s v="Comoros"/>
        <s v="Liberia"/>
        <s v="Congo - Brazzaville"/>
        <s v="Seychelles"/>
        <s v="Sierra Leone"/>
        <s v="Laos"/>
        <s v="Guinea"/>
        <s v="Ivory Coast"/>
        <s v="Cape Verde"/>
        <s v="Guinea-Bissau"/>
        <s v="Gabon"/>
        <s v="Burundi"/>
        <s v="Gambia"/>
        <s v="Sri Lanka"/>
        <s v="Ghana"/>
        <s v="Togo"/>
        <s v="Rwanda"/>
        <s v="North Korea"/>
        <s v="Equatorial Guinea"/>
        <s v="Cameroon"/>
        <s v="Uganda"/>
        <s v="Burkina Faso"/>
        <s v="Somalia"/>
        <s v="Niger"/>
        <s v="Chad"/>
        <s v="Sudan"/>
        <s v="Nepal"/>
        <s v="Djibouti"/>
        <s v="Mongolia"/>
        <s v="Oman"/>
        <s v="Greenland"/>
        <s v="Iceland"/>
        <s v="Afghanistan"/>
        <s v="Bahrain"/>
        <s v="Ireland"/>
        <s v="Kazakhstan"/>
        <s v="Kyrgyzstan"/>
        <s v="Tajikistan"/>
        <s v="Malta"/>
        <s v="Iraq"/>
        <s v="Jordan"/>
        <s v="Uzbekistan"/>
        <s v="Turkmenistan"/>
        <s v="Syria"/>
        <s v="Lebanon"/>
        <s v="Cyprus"/>
        <s v="Luxembourg"/>
        <s v="Croatia"/>
        <s v="Slovenia"/>
        <s v="Azerbaijan"/>
        <s v="Bulgaria"/>
        <s v="Armenia"/>
        <s v="Serbia"/>
        <s v="Georgia"/>
        <s v="Sweden"/>
        <s v="Slovakia"/>
        <s v="Ukraine"/>
        <s v="Moldova"/>
        <s v="Estonia"/>
        <s v="Lithuania"/>
        <s v="Latvia"/>
        <s v="Belarus"/>
      </sharedItems>
    </cacheField>
    <cacheField name="CONT." numFmtId="0">
      <sharedItems count="6">
        <s v="AF"/>
        <s v="NA"/>
        <s v="AS"/>
        <s v="EU"/>
        <s v="OC"/>
        <s v="SA"/>
      </sharedItems>
    </cacheField>
    <cacheField name="CITY" numFmtId="0">
      <sharedItems/>
    </cacheField>
    <cacheField name="DISTANCE" numFmtId="0">
      <sharedItems containsSemiMixedTypes="0" containsString="0" containsNumber="1" containsInteger="1" minValue="21" maxValue="14624"/>
    </cacheField>
    <cacheField name="RT TIME _x000a_(777-500ER)" numFmtId="2">
      <sharedItems containsSemiMixedTypes="0" containsString="0" containsNumber="1" minValue="2.25" maxValue="35"/>
    </cacheField>
    <cacheField name="ROUTE $" numFmtId="43">
      <sharedItems containsString="0" containsBlank="1" containsNumber="1" containsInteger="1" minValue="132478488" maxValue="307480851"/>
    </cacheField>
    <cacheField name="$ PER PAX_x000a_(550/1100 PAX)" numFmtId="43">
      <sharedItems containsSemiMixedTypes="0" containsString="0" containsNumber="1" minValue="0" maxValue="170527.69420386408"/>
    </cacheField>
    <cacheField name="E - DEMAND" numFmtId="0">
      <sharedItems containsString="0" containsBlank="1" containsNumber="1" containsInteger="1" minValue="1501" maxValue="5103"/>
    </cacheField>
    <cacheField name="AC" numFmtId="0">
      <sharedItems containsSemiMixedTypes="0" containsString="0" containsNumber="1" containsInteger="1" minValue="0" maxValue="4"/>
    </cacheField>
    <cacheField name="SPEED" numFmtId="2">
      <sharedItems containsSemiMixedTypes="0" containsString="0" containsNumber="1" minValue="9.3333333333333339" maxValue="419.82608695652175"/>
    </cacheField>
    <cacheField name="HOURS BAL" numFmtId="0">
      <sharedItems containsSemiMixedTypes="0" containsString="0" containsNumber="1" minValue="0" maxValue="9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'Connell" refreshedDate="44062.632879166667" createdVersion="6" refreshedVersion="6" minRefreshableVersion="3" recordCount="815" xr:uid="{91A06FF7-CD30-48AA-96E3-6F06D8F4BBEA}">
  <cacheSource type="worksheet">
    <worksheetSource name="Table21"/>
  </cacheSource>
  <cacheFields count="19">
    <cacheField name="ROUTE" numFmtId="0">
      <sharedItems/>
    </cacheField>
    <cacheField name="ICAO" numFmtId="0">
      <sharedItems/>
    </cacheField>
    <cacheField name="STATUS" numFmtId="0">
      <sharedItems containsBlank="1" count="5">
        <s v="OPEN"/>
        <m/>
        <s v="AUDITED" u="1"/>
        <s v="PENDING" u="1"/>
        <s v="ROUTE ONLY" u="1"/>
      </sharedItems>
    </cacheField>
    <cacheField name="Stars" numFmtId="0">
      <sharedItems containsSemiMixedTypes="0" containsString="0" containsNumber="1" containsInteger="1" minValue="0" maxValue="5" count="6">
        <n v="3"/>
        <n v="4"/>
        <n v="2"/>
        <n v="1"/>
        <n v="5"/>
        <n v="0" u="1"/>
      </sharedItems>
    </cacheField>
    <cacheField name="Country" numFmtId="0">
      <sharedItems count="146">
        <s v="Myanmar"/>
        <s v="Uzbekistan"/>
        <s v="Russia"/>
        <s v="Philippines"/>
        <s v="Vietnam"/>
        <s v="Kazakhstan"/>
        <s v="Jordan"/>
        <s v="Syria"/>
        <s v="Pakistan"/>
        <s v="Japan"/>
        <s v="Canada"/>
        <s v="Algeria"/>
        <s v="United States of America"/>
        <s v="Morocco"/>
        <s v="Egypt"/>
        <s v="Turkey"/>
        <s v="Saudi Arabia"/>
        <s v="Yemen"/>
        <s v="Democratic Republic of the Congo"/>
        <s v="Rwanda"/>
        <s v="Malawi"/>
        <s v="Kenya"/>
        <s v="Chad"/>
        <s v="United Arab Emirates"/>
        <s v="Romania"/>
        <s v="Bulgaria"/>
        <s v="North Korea"/>
        <s v="Poland"/>
        <s v="Sweden"/>
        <s v="Cyprus"/>
        <s v="China"/>
        <s v="South Korea"/>
        <s v="Iran"/>
        <s v="Denmark"/>
        <s v="Switzerland"/>
        <s v="Germany"/>
        <s v="Lithuania"/>
        <s v="Luxembourg"/>
        <s v="France"/>
        <s v="Indonesia"/>
        <s v="Bahrain"/>
        <s v="Spain"/>
        <s v="Iraq"/>
        <s v="Australia"/>
        <s v="Armenia"/>
        <s v="Mongolia"/>
        <s v="India"/>
        <s v="Afghanistan"/>
        <s v="Taiwan"/>
        <s v="Malaysia"/>
        <s v="Mauritius"/>
        <s v="Fiji"/>
        <s v="Réunion"/>
        <s v="Singapore"/>
        <s v="Tunisia"/>
        <s v="Bermuda"/>
        <s v="Mexico"/>
        <s v="Botswana"/>
        <s v="Ivory Coast"/>
        <s v="Nigeria"/>
        <s v="Ghana"/>
        <s v="Ethiopia"/>
        <s v="New Zealand"/>
        <s v="Netherlands"/>
        <s v="Samoa"/>
        <s v="Dominican Republic"/>
        <s v="Somalia"/>
        <s v="Libya"/>
        <s v="Lebanon"/>
        <s v="Gambia"/>
        <s v="Burundi"/>
        <s v="Thailand"/>
        <s v="Burkina Faso"/>
        <s v="Brunei"/>
        <s v="Congo - Brazzaville"/>
        <s v="Angola"/>
        <s v="Cuba"/>
        <s v="Bangladesh"/>
        <s v="Guinea"/>
        <s v="South Africa"/>
        <s v="Tanzania"/>
        <s v="Cameroun"/>
        <s v="Senegal"/>
        <s v="Uganda"/>
        <s v="Sudan"/>
        <s v="Italy"/>
        <s v="Sierra Leone"/>
        <s v="Bahamas"/>
        <s v="Kyrgyzstan"/>
        <s v="Guatemala"/>
        <s v="Guam"/>
        <s v="Comoros"/>
        <s v="Zimbabwe"/>
        <s v="Djibouti"/>
        <s v="Kuwait"/>
        <s v="Gabon"/>
        <s v="Honduras"/>
        <s v="Togo"/>
        <s v="United Kingdom"/>
        <s v="Zambia"/>
        <s v="Lesotho"/>
        <s v="Niger"/>
        <s v="Mauritania"/>
        <s v="New Caledonia"/>
        <s v="Namibia"/>
        <s v="Guinea-Bissau"/>
        <s v="Haiti"/>
        <s v="Cambodia"/>
        <s v="American Samoa"/>
        <s v="French Polynesia"/>
        <s v="Liberia"/>
        <s v="Seychelles"/>
        <s v="Cape Verde"/>
        <s v="Equatorial Guinea"/>
        <s v="Israel"/>
        <s v="Madagascar"/>
        <s v="Austria"/>
        <s v="Laos"/>
        <s v="Greece"/>
        <s v="Belgium"/>
        <s v="Slovakia"/>
        <s v="Hungary"/>
        <s v="Sri Lanka"/>
        <s v="Croatia"/>
        <s v="Ukraine"/>
        <s v="Qatar"/>
        <s v="Portugal"/>
        <s v="Azerbaijan"/>
        <s v="Finland"/>
        <s v="Iceland"/>
        <s v="Slovenia"/>
        <s v="Oman"/>
        <s v="Malta"/>
        <s v="Belarus"/>
        <s v="Norway"/>
        <s v="Czechia"/>
        <s v="Latvia"/>
        <s v="Ireland"/>
        <s v="Estonia"/>
        <s v="Greenland"/>
        <s v="Turkmenistan"/>
        <s v="Serbia"/>
        <s v="Tajikistan"/>
        <s v="Moldova"/>
        <s v="Nepal"/>
        <s v="Georgia"/>
      </sharedItems>
    </cacheField>
    <cacheField name="CONTINENT" numFmtId="0">
      <sharedItems containsBlank="1" count="8">
        <s v="AS"/>
        <s v="EU"/>
        <s v="NA"/>
        <s v="AF"/>
        <s v="NA - US"/>
        <s v="OC"/>
        <m u="1"/>
        <s v="SA" u="1"/>
      </sharedItems>
    </cacheField>
    <cacheField name="City/Airport" numFmtId="0">
      <sharedItems count="815">
        <s v="Yangon - International"/>
        <s v="Tashkent - International"/>
        <s v="Omsk - Tsentralny"/>
        <s v="Cebu - Mactan International"/>
        <s v="Ho Chi Minh City - Tan Son Nhat Intl"/>
        <s v="Almaty - International"/>
        <s v="Da Nang - International"/>
        <s v="Angeles/Mabalacat - Clark Intl"/>
        <s v="Aqaba - King Hussein Intl"/>
        <s v="Amman - Metropolitan Area"/>
        <s v="Damascus - International"/>
        <s v="Chelyabinsk - Balandino"/>
        <s v="Islamabad - International"/>
        <s v="Lahore - Allama Iqbal Intl"/>
        <s v="Aomori"/>
        <s v="Ottawa - Metropolitan Area"/>
        <s v="Bahawalpur"/>
        <s v="Montreal - Pierre E.Trudeau Intl"/>
        <s v="Adrar - Touat"/>
        <s v="Denver - Metropolitan Area"/>
        <s v="Ouarzazate"/>
        <s v="Marsa Alam - International"/>
        <s v="San Diego - Metropolitan Area"/>
        <s v="Antalya"/>
        <s v="Karachi - Jinnah Intl"/>
        <s v="Faisalabad - International"/>
        <s v="Mandalay Airport"/>
        <s v="Riyadh - King Khalid Intl"/>
        <s v="Sana'a - International"/>
        <s v="Moscow - Sheremetyevo"/>
        <s v="Ankara - Esenboga"/>
        <s v="Kisangani - Bangoka Intl"/>
        <s v="Kigali - International"/>
        <s v="Lilongwe - Kamuzu Intl"/>
        <s v="Mombasa - Moi International"/>
        <s v="Nairobi - Metropolitan Area"/>
        <s v="N'Djamena - Hassan Djamous Intl"/>
        <s v="Marrakech - Menara"/>
        <s v="Manila - Metropolitan Area"/>
        <s v="Aktobe"/>
        <s v="Abu Dhabi - International"/>
        <s v="Bucharest - Baneasa - Aurel Vlaicu"/>
        <s v="Bukhara - International"/>
        <s v="Buon Ma Thuot"/>
        <s v="Burgas"/>
        <s v="Nha Trang - Cam Ranh Intl"/>
        <s v="Davao - Francisco Bangoy Intl"/>
        <s v="Dubai - Al Maktoum International Airport"/>
        <s v="Pyongyang - Sunan Intl"/>
        <s v="Gdansk - Lech Walesa"/>
        <s v="General Santos - International"/>
        <s v="Goteborg - Metropolitan Area"/>
        <s v="Sayun - Airport"/>
        <s v="Hanoi - Noi Bai Intl"/>
        <s v="Katowice - Pyrzowice"/>
        <s v="Laoag - International"/>
        <s v="Larnaca"/>
        <s v="Mineralnye Vody"/>
        <s v="Nanjing - Lukou Intl"/>
        <s v="Bucharest - Henri Coanda"/>
        <s v="Novosibirsk - Tolmachevo"/>
        <s v="Busan - Gimhae Intl"/>
        <s v="Mukalla - Riyan"/>
        <s v="Rahim Yar Khan - Shaikh Zayed Intl"/>
        <s v="Samarkand - International"/>
        <s v="Yekaterinburg - Koltsovo"/>
        <s v="Qingdao - Liuting Intl"/>
        <s v="Nur-Sultan - Nursultan Nazarbayev"/>
        <s v="Quetta - International"/>
        <s v="Moscow - Vnukovo"/>
        <s v="Vladivostok - Knevichi"/>
        <s v="Wuhan - Tianhe Intl"/>
        <s v="Xi'an - Xianyang Intl"/>
        <s v="Moscow Oblast - Zhukovsky Airport"/>
        <s v="Harbin - Taiping Intl"/>
        <s v="Zabol"/>
        <s v="Billund"/>
        <s v="Basel/Mulhouse - EuroAirport Swiss"/>
        <s v="Frankfurt-Hahn Airport"/>
        <s v="Kaunas - International"/>
        <s v="Gwangju"/>
        <s v="Luxembourg"/>
        <s v="Marseille - Provence"/>
        <s v="Sanya - Phoenix Intl"/>
        <s v="Toulouse - Blagnac"/>
        <s v="Yogyakarta Airport"/>
        <s v="Annaba - Rabah Bitat"/>
        <s v="Ahwaz"/>
        <s v="Bahrain - International"/>
        <s v="Barcelona - Airport"/>
        <s v="Batna - Mostepha Ben Boulaid"/>
        <s v="Bandar Abbas - International"/>
        <s v="Biskra - Mohamed Khider"/>
        <s v="Basrah - International"/>
        <s v="Batam - Hang Nadim"/>
        <s v="Canberra"/>
        <s v="Zhengzhou - Xinzheng Intl"/>
        <s v="Sapporo - New Chitose"/>
        <s v="Constantine - Mohamed Boudiaf"/>
        <s v="Djanet - Tiska"/>
        <s v="El Oued - Guemar"/>
        <s v="Yerevan - Zvartnots Intl"/>
        <s v="Fes - Saiss"/>
        <s v="Fukuoka - Fukuoka Airport"/>
        <s v="Haikou - Meilan Intl"/>
        <s v="Hakodate"/>
        <s v="Jakarta - Halim Perdanakusuma"/>
        <s v="Tokyo Intl (Haneda)"/>
        <s v="Khovd"/>
        <s v="Esfahan - Shahid Beheshti Intl"/>
        <s v="Tehran - Imam Khomeini Intl"/>
        <s v="In Salah"/>
        <s v="Osaka - Itami Airpor"/>
        <s v="Mangalore"/>
        <s v="Kabul - International"/>
        <s v="Kandahar - International"/>
        <s v="Kaohsiung - International"/>
        <s v="Osaka - Kansai Airport"/>
        <s v="Kirishima - Kagoshima Airport"/>
        <s v="Kermanshah - Shahid AshrafiEsfahani"/>
        <s v="Kuantan - Sultan Haji Ahmad Shah"/>
        <s v="Madrid - Metropolitan Area"/>
        <s v="Melbourne - Metropolitan Area"/>
        <s v="Mauritius - Sir S. Ramgoolam Intl"/>
        <s v="Nadi - International"/>
        <s v=" Nagoya - Chubu Centrair Airport"/>
        <s v="Tokyo - Narita Intl"/>
        <s v="Okinawa - Naha Airport "/>
        <s v="Rabat - Sale"/>
        <s v="St-Denis - Roland Garros"/>
        <s v="Sendai"/>
        <s v="Shenyang - Taoxian Intl"/>
        <s v="Singapore - Changi"/>
        <s v="Sydney - Metropolitan Area"/>
        <s v="Kuala Lumpur - Sultan Abdul Aziz Shah"/>
        <s v="Tabriz - International"/>
        <s v="Touggourt - Sidi Mahdi"/>
        <s v="Timimoun"/>
        <s v="Tangier - Boukhalef Airport"/>
        <s v="Tozeur - Nefta"/>
        <s v="Taipei - Metropolitan Area"/>
        <s v="Makassar - Sultan Hasanuddin"/>
        <s v="Urumqi - Diwopu Intl"/>
        <s v="Xiamen - Gaoqi Intl"/>
        <s v="Yazd - Shahid Sadooghi"/>
        <s v="Bermuda - L.F Wade International"/>
        <s v="Boston - Metropolitan Area"/>
        <s v="Durango - Guadalupe Victoria Int"/>
        <s v="Detroit - Metropolitan Wayne Co."/>
        <s v="New York - Newark Liberty Intl"/>
        <s v="Gaborone - Sir Seretse Khama Intl"/>
        <s v="Monterrey - Metropolitan Area"/>
        <s v="Chicago - O'Hare International"/>
        <s v="Phoenix - Metropolitan Area"/>
        <s v="Tindouf"/>
        <s v="Toronto - Lester B. Pearson Intl"/>
        <s v="Zacatecas - Leobardo C. Ruiz Intl"/>
        <s v="Ahmedabad - S.VallabhBhai Patel"/>
        <s v="Bengaluru - Kempegowda Intl"/>
        <s v="El Arish - International"/>
        <s v="Abidjan - Felix Houphouet-Boigny"/>
        <s v="Abu Simbel"/>
        <s v="Abuja - Nnamdi Azikiwe Intl"/>
        <s v="Acapulco - Juan N. Alvarez Intl"/>
        <s v="Accra - Kotoka Intl"/>
        <s v="Addis Ababa - Bole Intl"/>
        <s v="Adelaide - International"/>
        <s v="Agadir - Al Massira"/>
        <s v="Aguascalientes - Jesus Teran Peredo Int"/>
        <s v="Auckland - Metropolitan Area"/>
        <s v="Algiers - Houari Boumediene"/>
        <s v="Amsterdam - Schiphol Airport"/>
        <s v="Apia - Metropolitan Area"/>
        <s v="Yamoussoukro"/>
        <s v="Aswan - International"/>
        <s v="Atlanta - Metropolitan Area"/>
        <s v="Amritsar - Sri Guru Ram Dass Jee"/>
        <s v="Asyut"/>
        <s v="Awasa"/>
        <s v="Samana - El Catey Intl"/>
        <s v="Berbera"/>
        <s v="Benghazi - Benina Intl"/>
        <s v="Beirut - Rafic Hariri Intl"/>
        <s v="Baghdad - International"/>
        <s v="Banjul - International"/>
        <s v="Bujumbura - International"/>
        <s v="Leon/Guanajuato - Del Bajio Intl"/>
        <s v="Kota Kinabalu - International"/>
        <s v="Bangkok - Metropolitan Area"/>
        <s v="Brisbane - International"/>
        <s v="Bobo Dioulasso"/>
        <s v="Washington - Baltimore/Wash. Intl"/>
        <s v="Bandar Seri Begawan - Brunei International"/>
        <s v="Brazzaville - Maya-Maya Airport"/>
        <s v="Cairo - Metropolitan Area"/>
        <s v="Guangzhou - Baiyun Intl"/>
        <s v="Bechar - Boudghene B. Ali Lotfi"/>
        <s v="Catumbela"/>
        <s v="Cayo Coco - Jardines del Rey"/>
        <s v="Kozhikode - International"/>
        <s v="Kolkata - Subhas Chandra Bose"/>
        <s v="Paris - Charles de Gaulle"/>
        <s v="Chittagong - Shah Amanat Intl"/>
        <s v="Christchurch - International"/>
        <s v="Jeju - International"/>
        <s v="Chongqing - Jiangbei Intl"/>
        <s v="Conakry - International"/>
        <s v="Charlotte - Metropolitan Area"/>
        <s v="Casablanca - Mohammed V"/>
        <s v="Camaguey - Ignacio Agramonte Intl"/>
        <s v="Kochi - International"/>
        <s v="Cape Town - International"/>
        <s v="Chengdu - Shuangliu Intl"/>
        <s v="Cancun - International"/>
        <s v="Cayo Largo del Sur - Vilo Acuna Intl"/>
        <s v="Dhaka - Hazrat Shahjalal Intl"/>
        <s v="Dar es Salaam - Julius Nyerere Intl"/>
        <s v="Delhi - Indira Gandhi Intl"/>
        <s v="Dallas - Metropolitan Area"/>
        <s v="Djerba - Zarsis"/>
        <s v="Douala - International"/>
        <s v="Dalian - Zhoushuizi Intl"/>
        <s v="Bangkok - Don Mueang Int'l"/>
        <s v="Denpasar-Bali - Ngurah Rai"/>
        <s v="Dakar - Metropolitan Area"/>
        <s v="Durban - Metropolitan Area"/>
        <s v="Dubai - International"/>
        <s v="Entebbe - International"/>
        <s v="El Obeid"/>
        <s v="Eldoret - International"/>
        <s v="El Fasher"/>
        <s v="El Golea"/>
        <s v="Errachidia - Moulay Ali Cherif"/>
        <s v="Lubumbashi - Luano Intl"/>
        <s v="Rome - Fiumicino"/>
        <s v="Kinshasa - Metropolitan Area"/>
        <s v="Freetown - Metropolitan Area"/>
        <s v="Freeport - Grand Bahama Intl"/>
        <s v="Frankfurt - International"/>
        <s v="Bishkek - Manas Intl"/>
        <s v="Gafsa - Ksar"/>
        <s v="Guwahati - Gopinath Bordoloi Intl"/>
        <s v="Guadalajara - Miguel Hidalgo Intl"/>
        <s v="Ghardaia - Noumerat"/>
        <s v="Galcaio"/>
        <s v="Seoul - Gimpo International"/>
        <s v="Goa - Dabolim"/>
        <s v="Garoua - International"/>
        <s v="Guatemala City - La Aurora International Airport"/>
        <s v="Guam - Metropolitan Area"/>
        <s v="Moroni - Prince Said Ibrahim"/>
        <s v="Havana - Jose Marti Intl"/>
        <s v="Alexandria - Borg el Arab"/>
        <s v="Hangzhou - Xiaoshan Intl"/>
        <s v="Hong Kong - Hong Kong Airport"/>
        <s v="Johannesburg - Lanseria International"/>
        <s v="Hassi Messaoud - Oued Irara"/>
        <s v="Holguin - Frank Pais Intl"/>
        <s v="Harare - Robert Gabriel Mugabe Airport"/>
        <s v="Hurghada - International"/>
        <s v="Hassi R'mel - Tilrempt"/>
        <s v="Hyderabad - Metropolitan Area"/>
        <s v="Washington - Dulles Intl"/>
        <s v="Houston - George Bush Intercont."/>
        <s v="In Amenas - Zarzaitine"/>
        <s v="Istanbul - Metropolitan Area"/>
        <s v="Bagdogra"/>
        <s v="Leh - Kushok Bakula Rimpoche"/>
        <s v="Port Blair - Veer Savarkar Intl"/>
        <s v="Jaipur - International"/>
        <s v="New York - John F Kennedy Intl"/>
        <s v="Johor Bahru - Senai Intl"/>
        <s v="Djibouti - Ambouli Intl"/>
        <s v="Johannesburg - Metropolitan Area"/>
        <s v="Kilimanjaro - International"/>
        <s v="Kaduna"/>
        <s v="Kano - Mallam Aminu Kano Intl"/>
        <s v="Kerman"/>
        <s v="Kimberley"/>
        <s v="Kertajati Airport"/>
        <s v="Kunming - Changshui Intl"/>
        <s v="Medan - Kualanamu International Airport"/>
        <s v="Khartoum - International"/>
        <s v="Kuala Lumpur - Metropolitan Area"/>
        <s v="Kuwait - International"/>
        <s v="Luanda - 4 de Fevereiro"/>
        <s v="Las Vegas - Metropolitan Area"/>
        <s v="Los Angeles - Metropolitan Area"/>
        <s v="Libreville - Leon M'ba Intl"/>
        <s v="La Ceiba - Goloson International"/>
        <s v="Lome - G. Eyadema Intl"/>
        <s v="Langkawi - International"/>
        <s v="London - Gatwick"/>
        <s v="London - Heathrow"/>
        <s v="Laghouat - L'Mekrareg"/>
        <s v="Lagos - Murtala Muhammed Intl"/>
        <s v="Lusaka - International"/>
        <s v="Lhasa Gonggar"/>
        <s v="Luxor - International"/>
        <s v="Chennai - International"/>
        <s v="Manchester - Airport"/>
        <s v="Orlando - International"/>
        <s v="Madinah - Mohammad Bin Abdulaziz"/>
        <s v="Mexico City - Metropolitan Area"/>
        <s v="Mogadishu - Aden Adde Intl"/>
        <s v="Mashhad - Shahid Hashemi Nejad"/>
        <s v="Miami - Metropolitan Area"/>
        <s v="Merida - M. Crescencio Rejon"/>
        <s v="Monastir - Habib Bourguiba Intl"/>
        <s v="Morelia - F.J. Mujica Intl"/>
        <s v="Nelspruit - Kruger Mpumalanga Intl"/>
        <s v="Minneapolis/St Paul - Metropolitan Area"/>
        <s v="Maseru - Moshoeshoe I Intl"/>
        <s v="Munich - International"/>
        <s v="Mwanza"/>
        <s v="Nagpur - Dr.Ambedkar Intl"/>
        <s v="Nassau - Lynden Pindling Intl"/>
        <s v="Enfidha - Hammamet"/>
        <s v="Nador - El Aroui"/>
        <s v="Niamey - Diori Hamani Intl"/>
        <s v="Nouakchott"/>
        <s v="Noumea - Metropolitan Area"/>
        <s v="Yaounde - Nsimalen Intl"/>
        <s v="Ouargla - Ain el Beida"/>
        <s v="Ondangwa"/>
        <s v="Oran - Metropolitan Area"/>
        <s v="Paris - Orly"/>
        <s v="Ouagadougou"/>
        <s v="Oujda - Angads"/>
        <s v="Bissau - Osvaldo Vieira Intl"/>
        <s v="Port-au-Prince - Toussaint Louverture"/>
        <s v="Puebla - Hermanos Serdan Intl"/>
        <s v="Penang - International"/>
        <s v="Perth - International"/>
        <s v="Port Harcourt - International"/>
        <s v="Philadelphia - Metropolitan Area"/>
        <s v="Palma de Mallorca"/>
        <s v="Phnom Penh - International"/>
        <s v="Puerto Plata - Gregorio Luperon Intl"/>
        <s v="Pago Pago - International"/>
        <s v="Tahiti - Faaa"/>
        <s v="Shanghai - Pudong Intl"/>
        <s v="Puerto Vallarta - G.Diaz Ordaz Intl"/>
        <s v="Monrovia - Roberts Intl"/>
        <s v="San Pedro Sula - Ramon V. Morales Intl"/>
        <s v="Sibu"/>
        <s v="Santiago de Cuba - Antonio Maceo Intl"/>
        <s v="Lubango - Mukanka"/>
        <s v="Seattle - Metropolitan Area"/>
        <s v="Mahe Island - Seychelles Intl"/>
        <s v="Sfax - Thyna"/>
        <s v="San Francisco - International"/>
        <s v="Shanghai - Metropolitan Area"/>
        <s v="Sal Island - Amilcar Cabral Intl"/>
        <s v="San Jose del Cabo - Los Cabos Intl"/>
        <s v="Salt Lake City - International"/>
        <s v="San Luis Potosi - Ponciano Arriaga Intl"/>
        <s v="Santa Clara - Abel Santamaria"/>
        <s v="Menongue"/>
        <s v="Malabo - International"/>
        <s v="Sharm el-Sheikh - International"/>
        <s v="London - Stansted"/>
        <s v="Surabaya - Juanda"/>
        <s v="Srinagar - Sheikh ul Alam"/>
        <s v="Shiraz - Shahid Dastghaib Intl"/>
        <s v="Shenzhen - Bao'an Intl"/>
        <s v="Tabarka - Ain Draham"/>
        <s v="Taba - International"/>
        <s v="Tebessa - Cheikh Larbi Tebessi"/>
        <s v="Kuala Terengganu - Sultan Mahmud"/>
        <s v="Tehran - Metropolitan Area"/>
        <s v="Tiaret - Bou Chekif"/>
        <s v="Tijuana - A.L. Rodriguez Intl"/>
        <s v="Tripoli - International"/>
        <s v="Mexico City - Toluca-A.Lopez Mateos"/>
        <s v="Tel Aviv - Ben Gurion Intl"/>
        <s v="Tamanrasset - Aguenar"/>
        <s v="Antananarivo - Ivato Intl"/>
        <s v="Tampa - Metropolitan Area"/>
        <s v="Thiruvananthapuram - International"/>
        <s v="Tunis - Carthage"/>
        <s v="Gulu"/>
        <s v="Upington"/>
        <s v="Nyala"/>
        <s v="Saurimo"/>
        <s v="Vienna - Schwechat Intl"/>
        <s v="Dakhla"/>
        <s v="Ondjiva"/>
        <s v="Varadero - Juan G. Gomez Intl"/>
        <s v="Vientiane - Wattay Intl"/>
        <s v="Vishakhapatnam"/>
        <s v="Illizi - Takhamalt"/>
        <s v="Windhoek - Metropolitan Area"/>
        <s v="Edmonton - International"/>
        <s v="Yola"/>
        <s v="Vancouver - Metropolitan Area"/>
        <s v="Winnipeg - J.A. Richardson Intl"/>
        <s v="Calgary - International"/>
        <s v="Zurich - Airport"/>
        <s v="Sylhet - Osmani Intl"/>
        <s v="Izmir - Adnan Menderes"/>
        <s v="Aden - International"/>
        <s v="Sochi - International"/>
        <s v="Malaga - Airport"/>
        <s v="Abha"/>
        <s v="Alicante - Airport"/>
        <s v="Aleppo - International"/>
        <s v="Stockholm - Arlanda"/>
        <s v="Athens - Eleftherios Venizelos"/>
        <s v="Barnaul"/>
        <s v="Milan - Bergamo/Orio al Serio"/>
        <s v="Bodrum - Milas"/>
        <s v="Brussels - Metropolitan Area"/>
        <s v="Bratislava - M.R. Stefanik"/>
        <s v="Budapest - Liszt Ferenc Int'l"/>
        <s v="Cologne/Bonn - Airport"/>
        <s v="Colombo - Metropolitan Area"/>
        <s v="Copenhagen - Metropolitan Area"/>
        <s v="Dubrovnik"/>
        <s v="Dalaman"/>
        <s v="Dammam - King Fahd Intl"/>
        <s v="Dnipropetrovsk - International"/>
        <s v="Doha - Hamad International"/>
        <s v="Duesseldorf - International"/>
        <s v="Funchal - Madeira"/>
        <s v="Geneva - International"/>
        <s v="Baku - Heydar Aliyev Intl"/>
        <s v="Hannover - Airport"/>
        <s v="Hamburg - Airport"/>
        <s v="Helsinki - Metropolitan Area"/>
        <s v="Hodeidah - International"/>
        <s v="Seoul - Incheon International"/>
        <s v="Jeddah - King Abdulaziz Intl"/>
        <s v="Kyiv - Boryspil Intl"/>
        <s v="Reykjavik - Keflavik International"/>
        <s v="Krasnodar - Pashkovsky"/>
        <s v="St Petersburg - Metropolitan Area"/>
        <s v="Lisbon - Airport"/>
        <s v="Ljubljana - Joze Pucnik"/>
        <s v="Gran Canaria"/>
        <s v="Lyon - Metropolitan Area"/>
        <s v="Muscat - International"/>
        <s v="Malta - Luqa International"/>
        <s v="Minsk - Metropolitan Area"/>
        <s v="Milan - Malpensa"/>
        <s v="Nice - Cote d'Azur"/>
        <s v="Odesa - International"/>
        <s v="Porto - Francisco Sa Carneiro"/>
        <s v="Oslo - Metropolitan Area"/>
        <s v="Prague - Metropolitan Area"/>
        <s v="Rhodes - Diagoras"/>
        <s v="Riga - International"/>
        <s v="Istanbul - Sabiha Gokcen"/>
        <s v="Socotra - Airport"/>
        <s v="Sharjah - International"/>
        <s v="Salalah - Airport"/>
        <s v="Shannon - International"/>
        <s v="Sofia"/>
        <s v="Stuttgart - Airport"/>
        <s v="Sevilla - Airport"/>
        <s v="Taizz - International"/>
        <s v="Terceira Island - Lajes"/>
        <s v="Tenerife-Norte"/>
        <s v="Tenerife-Sur"/>
        <s v="Tallinn - Lennart Meri"/>
        <s v="Berlin - Tegel"/>
        <s v="Venice - Metropolitan Area"/>
        <s v="Warsaw - Frederic Chopin"/>
        <s v="Zagreb - Franjo Tudman"/>
        <s v="Gizan"/>
        <s v="Eilat - Ramon Airport"/>
        <s v="Hao"/>
        <s v="Gyumri - Shirak"/>
        <s v="Taichung Airport"/>
        <s v="Kangerlussuaq"/>
        <s v="Toronto - John C. Munro Hamilton"/>
        <s v="Gander - International"/>
        <s v="Val d'Or"/>
        <s v="Al Ain - International"/>
        <s v="Aarhus - Airport"/>
        <s v="Abakan"/>
        <s v="Albuquerque - International Sunport"/>
        <s v="Al Baha - Al-Aqiq"/>
        <s v="Atlantic City - International"/>
        <s v="Alexandria - Metropolitan Area"/>
        <s v="Fort Worth - Alliance"/>
        <s v="Alghero - Fertilia"/>
        <s v="Jouf"/>
        <s v="Amarillo - Metropolitan Area"/>
        <s v="Anchorage - Metropolitan Area"/>
        <s v="Ancona - Falconara"/>
        <s v="Anqing - Tianzhushan"/>
        <s v="Qaisumah - Hafar al Batin"/>
        <s v="Ashgabat - International"/>
        <s v="Kayseri - Erkilet"/>
        <s v="Austin - Metropolitan Area"/>
        <s v="Melbourne - Avalon"/>
        <s v="Phoenix - Mesa Gateway"/>
        <s v="Batman"/>
        <s v="Springfield - Bradley International"/>
        <s v="Belgrade - Metropolitan Area"/>
        <s v="Brest - Bretagne"/>
        <s v="Seattle - Boeing Fld-King Co Int"/>
        <s v="Bakersfield - Meadows Field"/>
        <s v="Mobile - Downtown Arpt"/>
        <s v="Belfast - Metropolitan Area"/>
        <s v="Bergen - Flesland"/>
        <s v="Bangor - International"/>
        <s v="Bisha"/>
        <s v="Birmingham - Shuttlesworth Intl"/>
        <s v="Beihai - Fucheng"/>
        <s v="Billings - Logan Intl"/>
        <s v="Badajoz - Airport"/>
        <s v="Bologna - Guglielmo Marconi"/>
        <s v="Belleville - MidAmerica St Louis"/>
        <s v="Nashville - International"/>
        <s v="Bordeaux - Merignac"/>
        <s v="Boise - Air Term. (Gowen Fld)"/>
        <s v="Bodo"/>
        <s v="Qamdo/Changdu - Bamda/Bangda"/>
        <s v="Blagoveshchensk - Ignatyevo"/>
        <s v="Bayankhongor"/>
        <s v="Cagliari - Elmas"/>
        <s v="Campbeltown"/>
        <s v="Cold Bay"/>
        <s v="Chiang Rai - Mae Fah Luang Intl"/>
        <s v="Clermont-Ferrand - Auvergne"/>
        <s v="Changchun - Longjia Intl"/>
        <s v="Chania - Ioannis Daskalogiannis"/>
        <s v="Chateauroux - Deols"/>
        <s v="Columbus - Metropolitan Area"/>
        <s v="Constanta - Mihail Kogalniceanu"/>
        <s v="Cairns - International"/>
        <s v="Chiang Mai - International"/>
        <s v="Colorado Springs - Metropolitan Area"/>
        <s v="Casper - Natrona County Intl"/>
        <s v="Cincinnati - Metropolitan Area"/>
        <s v="Cheyenne - Metropolitan Area"/>
        <s v="Changzhou - Benniu"/>
        <s v="Daytona Beach - International"/>
        <s v="Dayton - Metropolitan Area"/>
        <s v="Derby - RAAF Curtin"/>
        <s v="Deir ez Zor"/>
        <s v="Deqen - Shangri-La"/>
        <s v="Diyarbakir"/>
        <s v="Duluth - International"/>
        <s v="Dunhuang"/>
        <s v="Denizli - Cardak"/>
        <s v="Durango - Metropolitan Area"/>
        <s v="Dresden - Airport"/>
        <s v="Darwin - International"/>
        <s v="Doncaster/Sheffield - Robin Hood"/>
        <s v="Dawadmi - King Salman Abdulaziz"/>
        <s v="Anadyr - Ugolny"/>
        <s v="Dushanbe - International"/>
        <s v="Nejran"/>
        <s v="Panama City - Metropolitan Area"/>
        <s v="Eindhoven - Airport"/>
        <s v="Wedjh"/>
        <s v="El Paso - Metropolitan Area"/>
        <s v="Gassim"/>
        <s v="Nottingham - East Midlands"/>
        <s v="Yan'an - Nanniwan"/>
        <s v="Erzincan"/>
        <s v="Erzurum"/>
        <s v="Metz/Nancy - Lorraine"/>
        <s v="Harstad/Narvik - Evenes"/>
        <s v="Fairbanks - Metropolitan Area"/>
        <s v="Fresno - Metropolitan Area"/>
        <s v="Fujairah - International"/>
        <s v="Karlsruhe/Baden-Baden - Baden Airpark"/>
        <s v="Memmingen - Allgaeu Airport"/>
        <s v="Fuzhou - Changle Intl"/>
        <s v="Fort Wayne - Metropolitan Area"/>
        <s v="Magadan - Sokol"/>
        <s v="Longview - East Texas Regional"/>
        <s v="Grand Junction - Regional"/>
        <s v="Lyon - Grenoble-Isere"/>
        <s v="Genoa - Cristoforo Colombo"/>
        <s v="Nizhny Novgorod - Strigino"/>
        <s v="Golmud"/>
        <s v="Patrai - Araxos"/>
        <s v="Killeen/Fort Hood - Regional/R.Gray AAF"/>
        <s v="Grand Rapids - Gerald R. Ford Intl"/>
        <s v="Granada - Federico Garcia Lorca"/>
        <s v="Graz - Airport"/>
        <s v="Greensboro/High Point - Piedmont Triad Intl"/>
        <s v="Greenville/Spartanburg - Metropolitan Area"/>
        <s v="Great Falls - Metropolitan Area"/>
        <s v="Gunnison-Crested Butte"/>
        <s v="Atyrau"/>
        <s v="Gaziantep - Oguzeli"/>
        <s v="Hail"/>
        <s v="Hambantota - SPB"/>
        <s v="Hayden - Yampa Valley"/>
        <s v="Hat Yai - International"/>
        <s v="Hohhot - Baita Intl"/>
        <s v="Hefei - Xinqiao Intl"/>
        <s v="Phuket - International"/>
        <s v="Honolulu - Daniel K. Inouye Intl"/>
        <s v="Hofuf - Al-Ahsa"/>
        <s v="Huntsville - Metropolitan Area"/>
        <s v="Chita - Kadala"/>
        <s v="Hotan"/>
        <s v="Hatay"/>
        <s v="Niagara Falls - International"/>
        <s v="Ibiza"/>
        <s v="Wichita - Metropolitan Area"/>
        <s v="Tiksi"/>
        <s v="Irkutsk"/>
        <s v="Yinchuan - Hedong"/>
        <s v="Indianapolis - International"/>
        <s v="Isparta - Suleyman Demirel"/>
        <s v="Hilo - International"/>
        <s v="Jacksonville - Metropolitan Area"/>
        <s v="Jiujiang - Lushan"/>
        <s v="Jining - Qufu"/>
        <s v="Jiuzhaigou - Jiuzhai Huanglong"/>
        <s v="Kamishly"/>
        <s v="Krabi"/>
        <s v="Kemerovo"/>
        <s v="Karaganda - Sary-Arka"/>
        <s v="Kashi"/>
        <s v="Nanchang - Changbei Intl"/>
        <s v="Khabarovsk - Novy"/>
        <s v="Chisinau - International"/>
        <s v="Krasnoyarsk"/>
        <s v="Kalamata"/>
        <s v="Kumamoto"/>
        <s v="Kona - Keahole"/>
        <s v="Korla"/>
        <s v="Karup - Midtjyllands"/>
        <s v="Kosice"/>
        <s v="Kars"/>
        <s v="Kathmandu - Tribhuvan Intl"/>
        <s v="Samara - Kurumoch Int'l"/>
        <s v="Kuopio"/>
        <s v="Kavala - Megas Alexandros"/>
        <s v="Guiyang - Longdongbao Intl"/>
        <s v="Guilin - Liangjiang Intl"/>
        <s v="Konya"/>
        <s v="Kazan - International"/>
        <s v="Lubbock - Metropolitan Area"/>
        <s v="Lourdes/Tarbes - Pyrenees"/>
        <s v="Learmonth"/>
        <s v="Almeria - Airport"/>
        <s v="Leipzig/Halle - Airport"/>
        <s v="Long Beach - Daugherty Field"/>
        <s v="Liege - Airport"/>
        <s v="Lanzhou - Zhongchuan"/>
        <s v="Lille - Lesquin"/>
        <s v="Lakselv - Banak"/>
        <s v="Lulea - Kallax"/>
        <s v="Klamath Falls"/>
        <s v="Lincoln"/>
        <s v="Linz - Blue Danube"/>
        <s v="Latakia - Bassel al Assad Intl"/>
        <s v="Limnos"/>
        <s v="Nyingchi/Linzhi - Mainling/Milin"/>
        <s v="Midland - Metropolitan Area"/>
        <s v="Kansas City - International"/>
        <s v="Harrisburg - International"/>
        <s v="Meridian - Regional (Key Field)"/>
        <s v="Memphis - International"/>
        <s v="Macau - International"/>
        <s v="Manchester-Boston Rgnl"/>
        <s v="Mirny"/>
        <s v="Milwaukee - Metropolitan Area"/>
        <s v="Melbourne - Orlando Melbourne Intl"/>
        <s v="Mulhouse/Basel - EuroAirport French FR"/>
        <s v="Moline - Quad City Intl"/>
        <s v="Malatya - Erhac"/>
        <s v="Malmo - Airport"/>
        <s v="Marquette - Sawyer International"/>
        <s v="Manston - Kent International"/>
        <s v="Missoula - International"/>
        <s v="Mus"/>
        <s v="New Orleans - Metropolitan Area"/>
        <s v="Montrose - Regional"/>
        <s v="Muan - International"/>
        <s v="Myrtle Beach - Metropolitan Area"/>
        <s v="Amasya - Merzifon"/>
        <s v="Mazar-e Sharif"/>
        <s v="Nakchivan"/>
        <s v="Nevsehir - Kapadokya"/>
        <s v="Ningbo - Lishe Intl"/>
        <s v="Nagasaki Airport"/>
        <s v="Nizhnevartovsk"/>
        <s v="Norilsk - Alykel"/>
        <s v="Nantes - Atlantique"/>
        <s v="Stockholm - Skavsta"/>
        <s v="Manzhouli - Xijiao"/>
        <s v="Oakland - Metropolitan Area"/>
        <s v="Vladikavkaz - Beslan"/>
        <s v="Oita"/>
        <s v="Oklahoma City - Metropolitan Area"/>
        <s v="Omaha - Metropolitan Area"/>
        <s v="Los Angeles - Ontario International"/>
        <s v="Ostrava - Leos Janacek"/>
        <s v="Oostende/Brugge - Airport"/>
        <s v="Plattsburgh - International"/>
        <s v="West Palm Beach - Metropolitan Area"/>
        <s v="Portland - International"/>
        <s v="Perm - Bolshoye Savino"/>
        <s v="Peoria - General Downing Intl"/>
        <s v="Tampa - St.Pete-Clearwater Int"/>
        <s v="Pocatello - Regional"/>
        <s v="Glasgow - Prestwick"/>
        <s v="Pittsburgh - Metropolitan Area"/>
        <s v="Petropavlovsk - Yelizovo"/>
        <s v="Semey"/>
        <s v="Palermo - Punta Raisi"/>
        <s v="Pisa - Galileo Galilei"/>
        <s v="Boston - Portsmouth Pease Intl"/>
        <s v="Palm Springs - Metropolitan Area"/>
        <s v="Pueblo - Memorial"/>
        <s v="Pula"/>
        <s v="Preveza/Lefkada - Aktion"/>
        <s v="Porto Santo - Airport"/>
        <s v="Panzhihua - Bao'angong"/>
        <s v="Arar"/>
        <s v="Rafha"/>
        <s v="Raleigh/Durham - International"/>
        <s v="Chicago/Rockford Intl"/>
        <s v="Rock Springs - Sweetwater County"/>
        <s v="Ras al Khaimah - International"/>
        <s v="Rimini - Miramare"/>
        <s v="Reno/Tahoe Intl"/>
        <s v="Roswell - Intl Air Center"/>
        <s v="Rochester - International"/>
        <s v="Fort Myers - Southwest Florida Intl"/>
        <s v="Rovaniemi"/>
        <s v="Rzeszow - Jasionka"/>
        <s v="Savannah - Metropolitan Area"/>
        <s v="Sibiu"/>
        <s v="Sacramento - Stockton Metropolitan"/>
        <s v="Santiago de Compostela"/>
        <s v="Louisville - Metropolitan Area"/>
        <s v="Orlando - Sanford Intl"/>
        <s v="Surgut"/>
        <s v="Sharurah"/>
        <s v="Simferopol - International"/>
        <s v="San Jose - Metropolitan Area"/>
        <s v="Shijiazhuang - Zhengding Intl"/>
        <s v="Skyros"/>
        <s v="Santa Maria Island - Airport"/>
        <s v="Wichita Falls - Metropolitan Area"/>
        <s v="Siauliai - International"/>
        <s v="Sarasota/Bradenton - International"/>
        <s v="St Louis - Metropolitan Area"/>
        <s v="New York - Stewart International"/>
        <s v="Berlin - Schoenefeld"/>
        <s v="Samsun - Carsamba"/>
        <s v="Daegu - International"/>
        <s v="Tbilisi - International"/>
        <s v="Tekirdag - Corlu"/>
        <s v="Tianshui - Maijishan"/>
        <s v="Taif"/>
        <s v="Tyumen - Roshchino"/>
        <s v="Jinan - Yaoqiang Intl"/>
        <s v="Toledo - Metropolitan Area"/>
        <s v="Trondheim - Vaernes"/>
        <s v="Oslo - Sandefjord-Torp"/>
        <s v="Turin - Caselle"/>
        <s v="Trieste - Ronchi dei Legionari"/>
        <s v="Tianjin - Binhai Intl"/>
        <s v="Timisoara - Traian Vuia"/>
        <s v="Turaif"/>
        <s v="Tulsa - Metropolitan Area"/>
        <s v="Tucson - Metropolitan Area"/>
        <s v="Tabuk"/>
        <s v="Taiyuan - Wusu Intl"/>
        <s v="Ufa"/>
        <s v="Ulaanbaatar - Chinggis Khaan Intl"/>
        <s v="Ulyanovsk - Vostochny"/>
        <s v="Surat Thani"/>
        <s v="Gurayat"/>
        <s v="U-Tapao - Rayong-Pattaya Intl"/>
        <s v="Ulan-Ude - Mukhino"/>
        <s v="Yuzhno-Sakhalinsk - Khomutovo"/>
        <s v="Sivas"/>
        <s v="Verona - Brescia/Montichiari"/>
        <s v="Victoria - Regional"/>
        <s v="Ovda - Airport"/>
        <s v="Vitoria - Airport"/>
        <s v="Valencia - Airport"/>
        <s v="Valladolid - Airport"/>
        <s v="Volos - Nea Anchialos"/>
        <s v="Destin/Ft Walton Beach - Metropolitan Area"/>
        <s v="Verona - Metropolitan Area"/>
        <s v="Wadi al Dawaser"/>
        <s v="Wuxi - Sunan Shuofang"/>
        <s v="Wanzhou - Wuqiao"/>
        <s v="Paris - Chalons-Vatry"/>
        <s v="Xichang - Qingshan"/>
        <s v="Xining - Caojiabao"/>
        <s v="Xuzhou - Guanyin"/>
        <s v="Saguenay-Bagotville"/>
        <s v="Yuncheng - Guangong"/>
        <s v="Bursa - Yenisehir"/>
        <s v="Stephenville - International"/>
        <s v="Yakutsk"/>
        <s v="Yanbu al Bahr"/>
        <s v="Comox"/>
        <s v="Yuma - Metropolitan Area"/>
        <s v="Prince George - Airport"/>
        <s v="Abbotsford - International"/>
        <s v="Whitehorse - Erik Nielsen Intl"/>
        <s v="North Bay - Jack Garland"/>
        <s v="Churchill - Airport"/>
        <s v="Goose Bay"/>
        <s v="Zaragoza - Airport"/>
        <s v="Zhongwei - Xiangshan"/>
        <s v="Saarbruecken - Zweibruecken"/>
        <s v="Zhuhai - Sanzao Intl"/>
      </sharedItems>
    </cacheField>
    <cacheField name="Distance" numFmtId="165">
      <sharedItems containsMixedTypes="1" containsNumber="1" containsInteger="1" minValue="124" maxValue="18552"/>
    </cacheField>
    <cacheField name="Duration_x000a_(747-400)" numFmtId="2">
      <sharedItems containsSemiMixedTypes="0" containsString="0" containsNumber="1" minValue="2.5" maxValue="31.75" count="118">
        <n v="9.25"/>
        <n v="10.75"/>
        <n v="10"/>
        <n v="9.75"/>
        <n v="8.25"/>
        <n v="18.25"/>
        <n v="17.75"/>
        <n v="17.5"/>
        <n v="11.75"/>
        <n v="6.75"/>
        <n v="25.25"/>
        <n v="11.5"/>
        <n v="24.25"/>
        <n v="24.75"/>
        <n v="19"/>
        <n v="18"/>
        <n v="13"/>
        <n v="11"/>
        <n v="8.5"/>
        <n v="16.75"/>
        <n v="18.5"/>
        <n v="15"/>
        <n v="17.25"/>
        <n v="24.5"/>
        <n v="24"/>
        <n v="22.5"/>
        <n v="12.5"/>
        <n v="15.25"/>
        <n v="9"/>
        <n v="10.5"/>
        <n v="3.75"/>
        <n v="7.25"/>
        <n v="7.5"/>
        <n v="4.25"/>
        <n v="8.75"/>
        <n v="4.75"/>
        <n v="11.25"/>
        <n v="3.25"/>
        <n v="10.25"/>
        <n v="12.25"/>
        <n v="5"/>
        <n v="4.5"/>
        <n v="13.25"/>
        <n v="20"/>
        <n v="19.5"/>
        <n v="19.75"/>
        <n v="20.75"/>
        <n v="7.75"/>
        <n v="21.25"/>
        <n v="14"/>
        <n v="21.5"/>
        <n v="15.5"/>
        <n v="15.75"/>
        <n v="21.75"/>
        <n v="22"/>
        <n v="14.75"/>
        <n v="22.25"/>
        <n v="12"/>
        <n v="3.5"/>
        <n v="23.5"/>
        <n v="5.25"/>
        <n v="13.75"/>
        <n v="7"/>
        <n v="6"/>
        <n v="6.5"/>
        <n v="5.5"/>
        <n v="6.25"/>
        <n v="22.75"/>
        <n v="23.75"/>
        <n v="14.5"/>
        <n v="28.5"/>
        <n v="26"/>
        <n v="28"/>
        <n v="25.75"/>
        <n v="26.5"/>
        <n v="28.25"/>
        <n v="25.5"/>
        <n v="12.75"/>
        <n v="29"/>
        <n v="30.25"/>
        <n v="20.5"/>
        <n v="28.75"/>
        <n v="23"/>
        <n v="27.75"/>
        <n v="19.25"/>
        <n v="21"/>
        <n v="31.75"/>
        <n v="16"/>
        <n v="29.5"/>
        <n v="9.5"/>
        <n v="26.75"/>
        <n v="27"/>
        <n v="18.75"/>
        <n v="30.75"/>
        <n v="13.5"/>
        <n v="20.25"/>
        <n v="26.25"/>
        <n v="29.75"/>
        <n v="27.5"/>
        <n v="31"/>
        <n v="30.5"/>
        <n v="3"/>
        <n v="14.25"/>
        <n v="29.25"/>
        <n v="23.25"/>
        <n v="30"/>
        <n v="31.25"/>
        <n v="8"/>
        <n v="27.25"/>
        <n v="31.5"/>
        <n v="17"/>
        <n v="4"/>
        <n v="16.25"/>
        <n v="16.5"/>
        <n v="25"/>
        <n v="5.75"/>
        <n v="2.75"/>
        <n v="2.5"/>
      </sharedItems>
    </cacheField>
    <cacheField name="ROUTE COST" numFmtId="44">
      <sharedItems containsString="0" containsBlank="1" containsNumber="1" containsInteger="1" minValue="135767829" maxValue="308527315"/>
    </cacheField>
    <cacheField name="$ PER PAX" numFmtId="44">
      <sharedItems containsSemiMixedTypes="0" containsString="0" containsNumber="1" minValue="0" maxValue="102802.24753804834"/>
    </cacheField>
    <cacheField name="O - DEMAND" numFmtId="0">
      <sharedItems containsString="0" containsBlank="1" containsNumber="1" containsInteger="1" minValue="2229" maxValue="5770"/>
    </cacheField>
    <cacheField name="C_DEMAND" numFmtId="0">
      <sharedItems containsSemiMixedTypes="0" containsString="0" containsNumber="1" containsInteger="1" minValue="0" maxValue="6135"/>
    </cacheField>
    <cacheField name="R-DEMAND" numFmtId="0">
      <sharedItems containsSemiMixedTypes="0" containsString="0" containsNumber="1" containsInteger="1" minValue="-3959" maxValue="4100"/>
    </cacheField>
    <cacheField name="ADD ACC" numFmtId="0">
      <sharedItems containsSemiMixedTypes="0" containsString="0" containsNumber="1" containsInteger="1" minValue="-2" maxValue="3"/>
    </cacheField>
    <cacheField name="ADD TIME" numFmtId="0">
      <sharedItems containsSemiMixedTypes="0" containsString="0" containsNumber="1" minValue="-34.5" maxValue="52.5"/>
    </cacheField>
    <cacheField name="ECO SEAT" numFmtId="44">
      <sharedItems containsSemiMixedTypes="0" containsString="0" containsNumber="1" containsInteger="1" minValue="0" maxValue="4283"/>
    </cacheField>
    <cacheField name="SEATS SOLD" numFmtId="0">
      <sharedItems containsSemiMixedTypes="0" containsString="0" containsNumber="1" containsInteger="1" minValue="0" maxValue="7920"/>
    </cacheField>
    <cacheField name="SEAT REV" numFmtId="44">
      <sharedItems containsSemiMixedTypes="0" containsString="0" containsNumber="1" containsInteger="1" minValue="0" maxValue="226142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'Connell" refreshedDate="44090.793491898148" createdVersion="6" refreshedVersion="6" minRefreshableVersion="3" recordCount="1063" xr:uid="{9053E17D-C085-4EC1-9068-6B8C4F7FE684}">
  <cacheSource type="worksheet">
    <worksheetSource name="Table24"/>
  </cacheSource>
  <cacheFields count="22">
    <cacheField name="ROUTE" numFmtId="0">
      <sharedItems/>
    </cacheField>
    <cacheField name="ICAO" numFmtId="0">
      <sharedItems/>
    </cacheField>
    <cacheField name="STATUS" numFmtId="0">
      <sharedItems containsBlank="1" count="4">
        <s v="OPEN"/>
        <s v="ROUTE"/>
        <m/>
        <s v="PENDING" u="1"/>
      </sharedItems>
    </cacheField>
    <cacheField name="STARS" numFmtId="0">
      <sharedItems containsString="0" containsBlank="1" containsNumber="1" containsInteger="1" minValue="1" maxValue="5" count="6">
        <n v="3"/>
        <n v="2"/>
        <n v="4"/>
        <n v="5"/>
        <n v="1"/>
        <m/>
      </sharedItems>
    </cacheField>
    <cacheField name="Country" numFmtId="0">
      <sharedItems count="172">
        <s v="Peru"/>
        <s v="Brazil"/>
        <s v="Canada"/>
        <s v="Venezuela"/>
        <s v="Dominican Republic"/>
        <s v="Poland"/>
        <s v="Jamaica"/>
        <s v="Trinidad and Tobago"/>
        <s v="Colombia"/>
        <s v="United States of America"/>
        <s v="Costa Rica"/>
        <s v="Suriname"/>
        <s v="China"/>
        <s v="Ecuador"/>
        <s v="Egypt"/>
        <s v="Mexico"/>
        <s v="United Arab Emirates"/>
        <s v="Estonia"/>
        <s v="Japan"/>
        <s v="Czechia"/>
        <s v="French Polynesia"/>
        <s v="American Samoa"/>
        <s v="Norway"/>
        <s v="Romania"/>
        <s v="Turkey"/>
        <s v="Portugal"/>
        <s v="Afghanistan"/>
        <s v="Sweden"/>
        <s v="Netherlands"/>
        <s v="South Africa"/>
        <s v="Argentines"/>
        <s v="Morocco"/>
        <s v="Belgium"/>
        <s v="Fiji"/>
        <s v="Russia"/>
        <s v="Saudi Arabia"/>
        <s v="Kazakhstan"/>
        <s v="Spain"/>
        <s v="Puerto Rico"/>
        <s v="Iceland"/>
        <s v="Sudan"/>
        <s v="Slovenia"/>
        <s v="India"/>
        <s v="Ethiopia"/>
        <s v="Switzerland"/>
        <s v="Bahrain"/>
        <s v="Tunisia"/>
        <s v="Greece"/>
        <s v="Hungary"/>
        <s v="Bolivia"/>
        <s v="Tanzania"/>
        <s v="Chile"/>
        <s v="Armenia"/>
        <s v="Bahamas"/>
        <s v="Senegal"/>
        <s v="United Kingdom"/>
        <s v="Martinique"/>
        <s v="Austria"/>
        <s v="Germany"/>
        <s v="Mauritius"/>
        <s v="Serbia"/>
        <s v="Algeria"/>
        <s v="Guadeloupe"/>
        <s v="Kenya"/>
        <s v="El Salvador"/>
        <s v="Angola"/>
        <s v="Iran"/>
        <s v="Yemen"/>
        <s v="Kuwait"/>
        <s v="Nepal"/>
        <s v="New Zealand"/>
        <s v="Syria"/>
        <s v="Botswana"/>
        <s v="Guinea-Bissau"/>
        <s v="Zimbabwe"/>
        <s v="Nigeria"/>
        <s v="Georgia"/>
        <s v="Barbados"/>
        <s v="Denmark"/>
        <s v="Cape Verde"/>
        <s v="Mauritania"/>
        <s v="France"/>
        <s v="South Korea"/>
        <s v="Uzbekistan"/>
        <s v="Cuba"/>
        <s v="Pakistan"/>
        <s v="Jordan"/>
        <s v="Madagascar"/>
        <s v="Finland"/>
        <s v="Ukraine"/>
        <s v="Mali"/>
        <s v="Libya"/>
        <s v="Cyprus"/>
        <s v="Taiwan"/>
        <s v="Luxembourg"/>
        <s v="Paraguay"/>
        <s v="Italy"/>
        <s v="Bulgaria"/>
        <s v="Burundi"/>
        <s v="Malta"/>
        <s v="Panama"/>
        <s v="Réunion"/>
        <s v="Samoa"/>
        <s v="Vanuatu"/>
        <s v="Burkina Faso"/>
        <s v="Slovakia"/>
        <s v="Qatar"/>
        <s v="Croatia"/>
        <s v="Latvia"/>
        <s v="Cameroun"/>
        <s v="French Guiana"/>
        <s v="Lebanon"/>
        <s v="Tonga"/>
        <s v="New Caledonia"/>
        <s v="Eritrea"/>
        <s v="Bangladesh"/>
        <s v="Ireland"/>
        <s v="Djibouti"/>
        <s v="Sierra Leone"/>
        <s v="Guam"/>
        <s v="Seychelles"/>
        <s v="Oman"/>
        <s v="Guatemala"/>
        <s v="Lithuania"/>
        <s v="Uruguay"/>
        <s v="Mozambique"/>
        <s v="Northern Mariana Islands"/>
        <s v="Israel"/>
        <s v="Aruba"/>
        <s v="Azerbaijan"/>
        <s v="North Korea"/>
        <s v="Comoros"/>
        <s v="Somalia"/>
        <s v="Mongolia"/>
        <s v="Kyrgyzstan"/>
        <s v="Tajikistan"/>
        <s v="Eswatini"/>
        <s v="Malawi"/>
        <s v="Turkmenistan"/>
        <s v="Lesotho"/>
        <s v="Zambia"/>
        <s v="Uganda"/>
        <s v="Iraq"/>
        <s v="Democratic Republic of the Congo"/>
        <s v="Rwanda"/>
        <s v="Namibia"/>
        <s v="Central African Republic"/>
        <s v="Congo - Brazzaville"/>
        <s v="Chad"/>
        <s v="Moldova"/>
        <s v="Belarus"/>
        <s v="Gabon"/>
        <s v="Equatorial Guinea"/>
        <s v="Macedonia"/>
        <s v="Albania"/>
        <s v="Montenegro"/>
        <s v="Bosnia and Herzegovina"/>
        <s v="Togo"/>
        <s v="Ghana"/>
        <s v="Niger"/>
        <s v="Ivory Coast"/>
        <s v="Liberia"/>
        <s v="Guinea"/>
        <s v="Gambia"/>
        <s v="Greenland"/>
        <s v="Bermuda"/>
        <s v="Honduras"/>
        <s v="Grenada"/>
        <s v="Saint Lucia"/>
        <s v="Dominica"/>
        <s v="Antigua"/>
        <s v="Netherlands Antilles"/>
      </sharedItems>
    </cacheField>
    <cacheField name="CONTINENT" numFmtId="0">
      <sharedItems count="7">
        <s v="SA"/>
        <s v="NA"/>
        <s v="EU"/>
        <s v="NA - US"/>
        <s v="AS"/>
        <s v="AF"/>
        <s v="OC"/>
      </sharedItems>
    </cacheField>
    <cacheField name="City/Airport" numFmtId="0">
      <sharedItems/>
    </cacheField>
    <cacheField name="Distance" numFmtId="165">
      <sharedItems containsSemiMixedTypes="0" containsString="0" containsNumber="1" containsInteger="1" minValue="199" maxValue="15176"/>
    </cacheField>
    <cacheField name="Duration_x000a_(A359)" numFmtId="2">
      <sharedItems containsSemiMixedTypes="0" containsString="0" containsNumber="1" minValue="2.5" maxValue="35.5"/>
    </cacheField>
    <cacheField name="ROUTE COST" numFmtId="44">
      <sharedItems containsString="0" containsBlank="1" containsNumber="1" containsInteger="1" minValue="111962494" maxValue="298414613"/>
    </cacheField>
    <cacheField name="$ PER PAX" numFmtId="44">
      <sharedItems containsSemiMixedTypes="0" containsString="0" containsNumber="1" minValue="0" maxValue="158748.90438247012"/>
    </cacheField>
    <cacheField name="O - DEMAND" numFmtId="0">
      <sharedItems containsString="0" containsBlank="1" containsNumber="1" containsInteger="1" minValue="1410" maxValue="6085"/>
    </cacheField>
    <cacheField name="INIT PLANES" numFmtId="2">
      <sharedItems containsSemiMixedTypes="0" containsString="0" containsNumber="1" minValue="0" maxValue="6.405263157894737"/>
    </cacheField>
    <cacheField name="C_DEMAND" numFmtId="0">
      <sharedItems containsSemiMixedTypes="0" containsString="0" containsNumber="1" containsInteger="1" minValue="0" maxValue="6431"/>
    </cacheField>
    <cacheField name="R-DEMAND" numFmtId="0">
      <sharedItems containsSemiMixedTypes="0" containsString="0" containsNumber="1" containsInteger="1" minValue="-1818" maxValue="3995"/>
    </cacheField>
    <cacheField name="ADD ACC_x000a_(475/950)" numFmtId="0">
      <sharedItems containsSemiMixedTypes="0" containsString="0" containsNumber="1" containsInteger="1" minValue="-1" maxValue="4"/>
    </cacheField>
    <cacheField name="ADD TIME" numFmtId="0">
      <sharedItems containsSemiMixedTypes="0" containsString="0" containsNumber="1" minValue="-21.25" maxValue="42.5"/>
    </cacheField>
    <cacheField name="ECO SEAT" numFmtId="44">
      <sharedItems containsSemiMixedTypes="0" containsString="0" containsNumber="1" containsInteger="1" minValue="0" maxValue="0"/>
    </cacheField>
    <cacheField name="SEATS SOLD" numFmtId="0">
      <sharedItems containsSemiMixedTypes="0" containsString="0" containsNumber="1" containsInteger="1" minValue="0" maxValue="6650"/>
    </cacheField>
    <cacheField name="SEAT REV" numFmtId="44">
      <sharedItems containsSemiMixedTypes="0" containsString="0" containsNumber="1" containsInteger="1" minValue="0" maxValue="0"/>
    </cacheField>
    <cacheField name="PENDING" numFmtId="0">
      <sharedItems containsSemiMixedTypes="0" containsString="0" containsNumber="1" containsInteger="1" minValue="0" maxValue="3"/>
    </cacheField>
    <cacheField name="BOOKED" numFmtId="0">
      <sharedItems containsSemiMixedTypes="0" containsString="0" containsNumber="1" containsInteg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'Connell" refreshedDate="44092.754348958333" createdVersion="6" refreshedVersion="6" minRefreshableVersion="3" recordCount="815" xr:uid="{9C021983-0FA1-4DEB-85B8-7F465F0DD832}">
  <cacheSource type="worksheet">
    <worksheetSource name="Table28"/>
  </cacheSource>
  <cacheFields count="22">
    <cacheField name="ROUTE" numFmtId="0">
      <sharedItems/>
    </cacheField>
    <cacheField name="ICAO" numFmtId="0">
      <sharedItems/>
    </cacheField>
    <cacheField name="STATUS" numFmtId="0">
      <sharedItems containsBlank="1" count="2">
        <s v="ROUTE"/>
        <m/>
      </sharedItems>
    </cacheField>
    <cacheField name="STARS" numFmtId="0">
      <sharedItems containsString="0" containsBlank="1" containsNumber="1" containsInteger="1" minValue="1" maxValue="5" count="6">
        <n v="4"/>
        <n v="5"/>
        <n v="2"/>
        <n v="3"/>
        <n v="1"/>
        <m/>
      </sharedItems>
    </cacheField>
    <cacheField name="Country" numFmtId="0">
      <sharedItems count="122">
        <s v="Ethiopia"/>
        <s v="India"/>
        <s v="Pakistan"/>
        <s v="Somalia"/>
        <s v="Kenya"/>
        <s v="Democratic Republic of the Congo"/>
        <s v="South Africa"/>
        <s v="Myanmar"/>
        <s v="Bangladesh"/>
        <s v="Papua New Guinea"/>
        <s v="Tanzania"/>
        <s v="Zambia"/>
        <s v="Yemen"/>
        <s v="Thailand"/>
        <s v="Iraq"/>
        <s v="Eritrea"/>
        <s v="Zimbabwe"/>
        <s v="Malawi"/>
        <s v="Mozambique"/>
        <s v="Sudan"/>
        <s v="Iran"/>
        <s v="Peru"/>
        <s v="Congo - Brazzaville"/>
        <s v="China"/>
        <s v="Saudi Arabia"/>
        <s v="Uzbekistan"/>
        <s v="Vietnam"/>
        <s v="Mexico"/>
        <s v="Madagascar"/>
        <s v="Cambodia"/>
        <s v="Brazil"/>
        <s v="Ecuador"/>
        <s v="Indonesia"/>
        <s v="Kazakhstan"/>
        <s v="Philippines"/>
        <s v="Russia"/>
        <s v="Namibia"/>
        <s v="Malaysia"/>
        <s v="Turkmenistan"/>
        <s v="Kyrgyzstan"/>
        <s v="Argentines"/>
        <s v="Fiji"/>
        <s v="Azerbaijan"/>
        <s v="Bolivia"/>
        <s v="Botswana"/>
        <s v="Chile"/>
        <s v="Armenia"/>
        <s v="Chad"/>
        <s v="Oman"/>
        <s v="Honduras"/>
        <s v="Japan"/>
        <s v="Mongolia"/>
        <s v="United Arab Emirates"/>
        <s v="Egypt"/>
        <s v="Georgia"/>
        <s v="Cameroun"/>
        <s v="Turkey"/>
        <s v="Afghanistan"/>
        <s v="Costa Rica"/>
        <s v="Paraguay"/>
        <s v="New Zealand"/>
        <s v="Australia"/>
        <s v="Taiwan"/>
        <s v="Canada"/>
        <s v="Uruguay"/>
        <s v="United States of America"/>
        <s v="Syria"/>
        <s v="Jordan"/>
        <s v="Ukraine"/>
        <s v="New Caledonia"/>
        <s v="Moldova"/>
        <s v="Cuba"/>
        <s v="Gabon"/>
        <s v="Jamaica"/>
        <s v="Venezuela"/>
        <s v="French Polynesia"/>
        <s v="Israel"/>
        <s v="Belarus"/>
        <s v="Bulgaria"/>
        <s v="Romania"/>
        <s v="Finland"/>
        <s v="Sweden"/>
        <s v="Mauritius"/>
        <s v="Réunion"/>
        <s v="Seychelles"/>
        <s v="Eswatini"/>
        <s v="Lesotho"/>
        <s v="Comoros"/>
        <s v="Djibouti"/>
        <s v="Uganda"/>
        <s v="Angola"/>
        <s v="Burundi"/>
        <s v="Rwanda"/>
        <s v="Central African Republic"/>
        <s v="Equatorial Guinea"/>
        <s v="Nigeria"/>
        <s v="Brunei"/>
        <s v="Singapore"/>
        <s v="Laos"/>
        <s v="South Korea"/>
        <s v="North Korea"/>
        <s v="Sri Lanka"/>
        <s v="Maldives"/>
        <s v="Nepal"/>
        <s v="Tajikistan"/>
        <s v="Qatar"/>
        <s v="Bahrain"/>
        <s v="Kuwait"/>
        <s v="Lebanon"/>
        <s v="Cyprus"/>
        <s v="Norway"/>
        <s v="Greece"/>
        <s v="Guatemala"/>
        <s v="El Salvador"/>
        <s v="Panama"/>
        <s v="Vanuatu"/>
        <s v="Tonga"/>
        <s v="Samoa"/>
        <s v="American Samoa"/>
        <s v="Guam"/>
        <s v="Northern Mariana Islands"/>
        <s v="Colombia"/>
      </sharedItems>
    </cacheField>
    <cacheField name="CONTINENT" numFmtId="0">
      <sharedItems count="7">
        <s v="AF"/>
        <s v="AS"/>
        <s v="OC"/>
        <s v="SA"/>
        <s v="NA"/>
        <s v="EU"/>
        <s v="NA - US"/>
      </sharedItems>
    </cacheField>
    <cacheField name="City/Airport" numFmtId="0">
      <sharedItems count="814">
        <s v="Addis Ababa - Bole Intl"/>
        <s v="Delhi - Indira Gandhi Intl"/>
        <s v="Bahawalpur"/>
        <s v="Berbera"/>
        <s v="Nairobi - Metropolitan Area"/>
        <s v="Kinshasa - Metropolitan Area"/>
        <s v="Johannesburg - Metropolitan Area"/>
        <s v="Karachi - Jinnah Intl"/>
        <s v="Galcaio"/>
        <s v="Islamabad - International"/>
        <s v="Yangon - International"/>
        <s v="Kisangani - Bangoka Intl"/>
        <s v="Awasa"/>
        <s v="Lubumbashi - Luano Intl"/>
        <s v="Dhaka - Hazrat Shahjalal Intl"/>
        <s v="Lahore - Allama Iqbal Intl"/>
        <s v="Port Moresby - Jacksons International"/>
        <s v="Cape Town - International"/>
        <s v="Dar es Salaam - Julius Nyerere Intl"/>
        <s v="Chennai - International"/>
        <s v="Lusaka - International"/>
        <s v="Bengaluru - Kempegowda Intl"/>
        <s v="Ahmedabad - S.VallabhBhai Patel"/>
        <s v="Kolkata - Subhas Chandra Bose"/>
        <s v="Chittagong - Shah Amanat Intl"/>
        <s v="Sana'a - International"/>
        <s v="Mombasa - Moi International"/>
        <s v="Bangkok - Metropolitan Area"/>
        <s v="Bhuj - Shyamji Krishna Verma"/>
        <s v="Baghdad - International"/>
        <s v="Asmara Airport"/>
        <s v="Harare - Robert Gabriel Mugabe Airport"/>
        <s v="Hyderabad - Metropolitan Area"/>
        <s v="Lilongwe - Kamuzu Intl"/>
        <s v="Lichinga"/>
        <s v="Jaipur - International"/>
        <s v="Bangkok - Don Mueang Int'l"/>
        <s v="Khartoum - International"/>
        <s v="Peshawar - Bacha Khan Intl"/>
        <s v="Kilimanjaro - International"/>
        <s v="Tehran - Metropolitan Area"/>
        <s v="Lima - Jorge Chavez Intl"/>
        <s v="Mwanza"/>
        <s v="Srinagar - Sheikh ul Alam"/>
        <s v="Brazzaville - Maya-Maya Airport"/>
        <s v="Guangzhou - Baiyun Intl"/>
        <s v="Beijing Daxing International"/>
        <s v="Madinah - Mohammad Bin Abdulaziz"/>
        <s v="Hong Kong - Metropolitan Area"/>
        <s v="Pune - Lohegaon"/>
        <s v="Goa - Dabolim"/>
        <s v="Tashkent - International"/>
        <s v="Quetta - International"/>
        <s v="Aden - International"/>
        <s v="Ho Chi Minh City - Tan Son Nhat Intl"/>
        <s v="Riyadh - King Khalid Intl"/>
        <s v="Mexico City - Metropolitan Area"/>
        <s v="Antananarivo - Ivato Intl"/>
        <s v="Siem Reap - Angkor Intl"/>
        <s v="Shanghai - Pudong Intl"/>
        <s v="Chengdu - Shuangliu Intl"/>
        <s v="Phnom Penh - International"/>
        <s v="Rio de Janeiro - Galeao-A.C.Jobim Intl"/>
        <s v="Bulawayo - Joshua M. Nkomo Intl"/>
        <s v="Basrah - International"/>
        <s v="Jeddah - King Abdulaziz Intl"/>
        <s v="Tehran - Imam Khomeini Intl"/>
        <s v="Mukalla - Riyan"/>
        <s v="Quito - Mariscal Sucre Intl"/>
        <s v="Mandalay Airport"/>
        <s v="Urumqi - Diwopu Intl"/>
        <s v="Kertajati Airport"/>
        <s v="Shenzhen - Bao'an Intl"/>
        <s v="Abha"/>
        <s v="Xi'an - Xianyang Intl"/>
        <s v="Almaty - International"/>
        <s v="Shanghai - Metropolitan Area"/>
        <s v="Manila - Metropolitan Area"/>
        <s v="Kunming - Changshui Intl"/>
        <s v="Medan - Kualanamu International Airport"/>
        <s v="Omsk - Tsentralny"/>
        <s v="Belo Horizonte - Tancredo Neves Intl"/>
        <s v="Windhoek - Metropolitan Area"/>
        <s v="Kuala Lumpur - Metropolitan Area"/>
        <s v="Cebu - Mactan International"/>
        <s v="Chelyabinsk - Balandino"/>
        <s v="Guayaquil - Jose Joaquin de Olmedo"/>
        <s v="Ashgabat - International"/>
        <s v="Bishkek - Manas Intl"/>
        <s v="Ahwaz"/>
        <s v="Chongqing - Jiangbei Intl"/>
        <s v="Wuhan - Tianhe Intl"/>
        <s v="Buenos Aires - Ministro Pistarini"/>
        <s v="Sao Paulo - Viracopos-Campinas Int"/>
        <s v="Nadi - International"/>
        <s v="Hangzhou - Xiaoshan Intl"/>
        <s v="Huaraz - German Arias Graziani"/>
        <s v="Arequipa - Rodriguez Ballon Intl"/>
        <s v="Baku - Heydar Aliyev Intl"/>
        <s v="Qingdao - Liuting Intl"/>
        <s v="Dalian - Zhoushuizi Intl"/>
        <s v="La Paz - El Alto Intl"/>
        <s v="Santa Cruz - Viru Viru Intl"/>
        <s v="Shenyang - Taoxian Intl"/>
        <s v="Gaborone - Sir Seretse Khama Intl"/>
        <s v="Batam - Hang Nadim"/>
        <s v="Santiago - Arturo Merino Benitez"/>
        <s v="Zhengzhou - Xinzheng Intl"/>
        <s v="Cochabamba - Jorge Wilstermann Intl"/>
        <s v="Nanjing - Lukou Intl"/>
        <s v="Yerevan - Zvartnots Intl"/>
        <s v="N'Djamena - Hassan Djamous Intl"/>
        <s v="Muscat - International"/>
        <s v="Phuket - International"/>
        <s v="San Pedro Sula - Ramon V. Morales Intl"/>
        <s v="Lhasa Gonggar"/>
        <s v="Tabriz - International"/>
        <s v="Bukhara - International"/>
        <s v="Guadalajara - Miguel Hidalgo Intl"/>
        <s v="Jinan - Yaoqiang Intl"/>
        <s v="Dammam - King Fahd Intl"/>
        <s v="Cusco - A.Velasco Astete Intl"/>
        <s v="Yekaterinburg - Koltsovo"/>
        <s v="Monterrey - Metropolitan Area"/>
        <s v="Hanoi - Noi Bai Intl"/>
        <s v="Tokyo Intl (Haneda)"/>
        <s v="Ulaanbaatar - Chinggis Khaan Intl"/>
        <s v="Abu Dhabi - International"/>
        <s v="Tianjin - Binhai Intl"/>
        <s v="Taiyuan - Wusu Intl"/>
        <s v="Cairo - Metropolitan Area"/>
        <s v="Tbilisi - International"/>
        <s v="Nur-Sultan - Nursultan Nazarbayev"/>
        <s v="Douala - International"/>
        <s v="Changchun - Longjia Intl"/>
        <s v="Chiang Mai - International"/>
        <s v="Antalya"/>
        <s v="Kazan - International"/>
        <s v="Samara - Kurumoch Int'l"/>
        <s v="Kabul - International"/>
        <s v="San Jose - Juan Santamaria Intl"/>
        <s v="Asuncion - Silvio Pettirossi Intl"/>
        <s v="Tokyo - Narita Intl"/>
        <s v="Auckland - Metropolitan Area"/>
        <s v="Ufa"/>
        <s v="Hurghada - International"/>
        <s v="Da Nang - International"/>
        <s v="Sharm el-Sheikh - International"/>
        <s v="Kota Kinabalu - International"/>
        <s v="Mexico City - Toluca-A.Lopez Mateos"/>
        <s v="Kashi"/>
        <s v="Perth - International"/>
        <s v="Angeles/Mabalacat - Clark Intl"/>
        <s v="Manta - Eloy Alfaro Intl"/>
        <s v="Sapporo - New Chitose"/>
        <s v="Taipei - Metropolitan Area"/>
        <s v="Aktobe"/>
        <s v="Yaounde - Nsimalen Intl"/>
        <s v="Vancouver - Metropolitan Area"/>
        <s v="Montevideo - Carrasco"/>
        <s v="Cordoba - A.L.V. Taravella"/>
        <s v="Penang - International"/>
        <s v="Mineralnye Vody"/>
        <s v="Merida - M. Crescencio Rejon"/>
        <s v="San Francisco - International"/>
        <s v="Istanbul - Sabiha Gokcen"/>
        <s v="Los Angeles - Metropolitan Area"/>
        <s v="Moscow - Sheremetyevo"/>
        <s v="Las Vegas - Metropolitan Area"/>
        <s v="Dallas - Metropolitan Area"/>
        <s v="Nha Trang - Cam Ranh Intl"/>
        <s v="Ganja"/>
        <s v="Denver - Metropolitan Area"/>
        <s v="Damascus - International"/>
        <s v="Osaka Intl (Itami)"/>
        <s v="Hue - Phu Bai Intl"/>
        <s v="Calgary - International"/>
        <s v="Mendoza - El Plumerillo"/>
        <s v="Brasilia - J. Kubitschek Intl"/>
        <s v="Ankara - Esenboga"/>
        <s v="Fukuoka"/>
        <s v="Izmir - Adnan Menderes"/>
        <s v="Christchurch - International"/>
        <s v="Iguazu - Cataratas del Iguazu"/>
        <s v="Osaka - Kansai International"/>
        <s v="Seattle - Metropolitan Area"/>
        <s v="Khovd"/>
        <s v="Okinawa - Metropolitan Area"/>
        <s v="Chiang Rai - Mae Fah Luang Intl"/>
        <s v="El Fasher"/>
        <s v="Melbourne - Metropolitan Area"/>
        <s v="Luxor - International"/>
        <s v="Nagoya - Metropolitan Area"/>
        <s v="Amman - Metropolitan Area"/>
        <s v="Vladikavkaz - Beslan"/>
        <s v="Salvador - Luis E. Magalhaes Intl"/>
        <s v="Herat"/>
        <s v="Moscow - Vnukovo"/>
        <s v="Kyiv - Boryspil Intl"/>
        <s v="Dalaman"/>
        <s v="Brisbane - International"/>
        <s v="Iquique - Diego Aracena"/>
        <s v="Liberia - D. Oduber Quiros Intl"/>
        <s v="Kandahar - International"/>
        <s v="St Petersburg - Metropolitan Area"/>
        <s v="Aleppo - International"/>
        <s v="Edmonton - International"/>
        <s v="Calama - El Loa"/>
        <s v="Tucuman - Benjamin Matienzo"/>
        <s v="Laoag - International"/>
        <s v="Cancun - International"/>
        <s v="Noumea - Metropolitan Area"/>
        <s v="Chisinau - International"/>
        <s v="Aswan - International"/>
        <s v="Darwin - International"/>
        <s v="Portland - International"/>
        <s v="Havana - Jose Marti Intl"/>
        <s v="Ushuaia - Malvinas Argentinas"/>
        <s v="Mazar-e Sharif"/>
        <s v="Libreville - Leon M'ba Intl"/>
        <s v="Kingston - Metropolitan Area"/>
        <s v="El Calafate - Comandante A. Tola"/>
        <s v="Kagoshima"/>
        <s v="Maracaibo - La Chinita Intl"/>
        <s v="Oakland - Metropolitan Area"/>
        <s v="Odesa - International"/>
        <s v="Atyrau"/>
        <s v="Tahiti - Faaa"/>
        <s v="Istanbul - Metropolitan Area"/>
        <s v="Kaohsiung - International"/>
        <s v="Taipei - Songshan"/>
        <s v="Dnipropetrovsk - International"/>
        <s v="Hakodate"/>
        <s v="Sendai"/>
        <s v="Honolulu - Daniel K. Inouye Intl"/>
        <s v="Punta Arenas - C.Ibanez del Campo"/>
        <s v="Tel Aviv - Ben Gurion Intl"/>
        <s v="Kumamoto"/>
        <s v="Komatsu"/>
        <s v="Nagasaki Airport"/>
        <s v="Krasnodar - Pashkovsky"/>
        <s v="Moscow Oblast - Zhukovsky Airport"/>
        <s v="Sochi - International"/>
        <s v="Maceio - Zumbi dos Palmares Int"/>
        <s v="Minsk - Metropolitan Area"/>
        <s v="Burgas"/>
        <s v="Constanta - Mihail Kogalniceanu"/>
        <s v="Chicago - O'Hare International"/>
        <s v="Atlanta - Metropolitan Area"/>
        <s v="Orlando - International"/>
        <s v="Easter Island - Mataveri Intl"/>
        <s v="Miami - Metropolitan Area"/>
        <s v="Minneapolis/St Paul - Metropolitan Area"/>
        <s v="Cozumel - International"/>
        <s v="Winnipeg - J.A. Richardson Intl"/>
        <s v="Oulu"/>
        <s v="Kiruna"/>
        <s v="Mauritius - Sir S. Ramgoolam Intl"/>
        <s v="St-Denis - Roland Garros"/>
        <s v="Mahe Island - Seychelles Intl"/>
        <s v="Durban - Metropolitan Area"/>
        <s v="Maputo - International"/>
        <s v="Manzini - Matsapha International"/>
        <s v="Maseru - Moshoeshoe I Intl"/>
        <s v="Nelspruit - Kruger Mpumalanga Intl"/>
        <s v="Moroni - Prince Said Ibrahim"/>
        <s v="Bloemfontein - International"/>
        <s v="Kimberley"/>
        <s v="Johannesburg - Lanseria International"/>
        <s v="Polokwane - International"/>
        <s v="Sun City - Pilanesberg Intl"/>
        <s v="Upington"/>
        <s v="Mogadishu - Aden Adde Intl"/>
        <s v="Djibouti - Ambouli Intl"/>
        <s v="Dire Dawa - Aba Tenna D Yilma Intl"/>
        <s v="Eldoret - International"/>
        <s v="Ondangwa"/>
        <s v="Kamina-Ville"/>
        <s v="Entebbe - International"/>
        <s v="Ondjiva"/>
        <s v="Bujumbura - International"/>
        <s v="Kigali - International"/>
        <s v="Menongue"/>
        <s v="Gulu"/>
        <s v="Saurimo"/>
        <s v="Lubango - Mukanka"/>
        <s v="Huambo - Albano Machado"/>
        <s v="Catumbela"/>
        <s v="Luanda - 4 de Fevereiro"/>
        <s v="El Obeid"/>
        <s v="Marsa Alam - International"/>
        <s v="Abu Simbel"/>
        <s v="Nyala"/>
        <s v="Taba - International"/>
        <s v="Bangui - Mpoko Intl"/>
        <s v="El Arish - International"/>
        <s v="Asyut"/>
        <s v="Alexandria - Borg el Arab"/>
        <s v="Ngaoundere"/>
        <s v="Malabo - International"/>
        <s v="Garoua - International"/>
        <s v="Yola"/>
        <s v="Port Harcourt - International"/>
        <s v="Lombok - Zainuddin Abdul Madjid Airport"/>
        <s v="Makassar - Sultan Hasanuddin"/>
        <s v="Denpasar-Bali - Ngurah Rai"/>
        <s v="Manado - Sam Ratulangi"/>
        <s v="Surabaya - Juanda"/>
        <s v="Surakarta (Solo) - Adi Sumarmo"/>
        <s v="Yogyakarta Airport"/>
        <s v="Semarang - Ahmad Yani"/>
        <s v="General Santos - International"/>
        <s v="Davao - Francisco Bangoy Intl"/>
        <s v="Zamboanga - International"/>
        <s v="Tawau"/>
        <s v="Jakarta - Halim Perdanakusuma"/>
        <s v="Jakarta - Soekarno-Hatta Intl"/>
        <s v="Bintulu Airport"/>
        <s v="Sibu"/>
        <s v="Bandar Seri Begawan - Brunei International"/>
        <s v="Miri"/>
        <s v="Puerto Princesa - International"/>
        <s v="Singapore - Changi"/>
        <s v="Subic Bay - International"/>
        <s v="Johor Bahru - Senai Intl"/>
        <s v="Padang - Minangkabau"/>
        <s v="Kuantan - Sultan Haji Ahmad Shah"/>
        <s v="Kuala Lumpur - Sultan Abdul Aziz Shah"/>
        <s v="Kuala Terengganu - Sultan Mahmud"/>
        <s v="Buon Ma Thuot"/>
        <s v="Alor Setar - Sultan Abdul Halim"/>
        <s v="Hat Yai - International"/>
        <s v="Langkawi - International"/>
        <s v="Krabi"/>
        <s v="Taichung Airport"/>
        <s v="Surat Thani"/>
        <s v="Sanya - Phoenix Intl"/>
        <s v="Haikou - Meilan Intl"/>
        <s v="Xiamen - Gaoqi Intl"/>
        <s v="Quanzhou - Jinjiang"/>
        <s v="Zhuhai - Sanzao Intl"/>
        <s v="Macau - International"/>
        <s v="U-Tapao - Rayong-Pattaya Intl"/>
        <s v="Fuzhou - Changle Intl"/>
        <s v="Beihai - Fucheng"/>
        <s v="Vientiane - Wattay Intl"/>
        <s v="Ningbo - Lishe Intl"/>
        <s v="Nanning - Wuxu Intl"/>
        <s v="Oita"/>
        <s v="Ji'an - Jinggangshan"/>
        <s v="Huangshan - Tunxi Intl"/>
        <s v="Guilin - Liangjiang Intl"/>
        <s v="Nanchang - Changbei Intl"/>
        <s v="Jeju - International"/>
        <s v="Wuxi - Sunan Shuofang"/>
        <s v="Jiujiang - Lushan"/>
        <s v="Port Blair - Veer Savarkar Intl"/>
        <s v="Anqing - Tianzhushan"/>
        <s v="Busan - Gimhae Intl"/>
        <s v="Changzhou - Benniu"/>
        <s v="Jinju - Sacheon"/>
        <s v="Gwangju"/>
        <s v="Muan - International"/>
        <s v="Daegu - International"/>
        <s v="Hefei - Xinqiao Intl"/>
        <s v="Changde - Taohuayuan"/>
        <s v="Gunsan"/>
        <s v="Guiyang - Longdongbao Intl"/>
        <s v="Zhangjiajie - Hehua"/>
        <s v="Bengbu"/>
        <s v="Cheongju - International"/>
        <s v="Yichang - Sanxia"/>
        <s v="Wonju"/>
        <s v="Xuzhou - Guanyin"/>
        <s v="Seoul - Gimpo International"/>
        <s v="Seoul - Incheon International"/>
        <s v="Aomori"/>
        <s v="Zhaotong"/>
        <s v="Weihai - Dashuibo"/>
        <s v="Wanzhou - Wuqiao"/>
        <s v="Panzhihua - Bao'angong"/>
        <s v="Jining - Qufu"/>
        <s v="Yantai - Penglai Intl"/>
        <s v="Weifang"/>
        <s v="Pyongyang - Sunan Intl"/>
        <s v="Xichang - Qingshan"/>
        <s v="Dandong - Langtou"/>
        <s v="Yuncheng - Guangong"/>
        <s v="Changzhi - Wangcun"/>
        <s v="Deqen - Shangri-La"/>
        <s v="Colombo - Metropolitan Area"/>
        <s v="Yanji - Chaoyangchuan"/>
        <s v="Gan Island - International"/>
        <s v="Shijiazhuang - Zhengding Intl"/>
        <s v="Jinzhouwan"/>
        <s v="Imphal"/>
        <s v="Jiuzhaigou - Jiuzhai Huanglong"/>
        <s v="Yan'an - Nanniwan"/>
        <s v="Tianshui - Maijishan"/>
        <s v="Beijing - Capital Intl"/>
        <s v="Mudanjiang - Hailang"/>
        <s v="Jorhat - Rowriah"/>
        <s v="Sylhet - Osmani Intl"/>
        <s v="Thiruvananthapuram - International"/>
        <s v="Qamdo/Changdu - Bamda/Bangda"/>
        <s v="Guwahati - Gopinath Bordoloi Intl"/>
        <s v="Harbin - Taiping Intl"/>
        <s v="Vishakhapatnam"/>
        <s v="Nyingchi/Linzhi - Mainling/Milin"/>
        <s v="Hohhot - Baita Intl"/>
        <s v="Lanzhou - Zhongchuan"/>
        <s v="Kochi - International"/>
        <s v="Zhongwei - Xiangshan"/>
        <s v="Coimbatore - International"/>
        <s v="Yinchuan - Hedong"/>
        <s v="Xining - Caojiabao"/>
        <s v="Kozhikode - International"/>
        <s v="Qiqihar - Sanjiazi"/>
        <s v="Ranchi - Birsa Munda"/>
        <s v="Bagdogra"/>
        <s v="Mangalore"/>
        <s v="Kathmandu - Tribhuvan Intl"/>
        <s v="Hailar - Dongshan"/>
        <s v="Golmud"/>
        <s v="Nagpur - Dr.Ambedkar Intl"/>
        <s v="Choibalsan"/>
        <s v="Manzhouli - Xijiao"/>
        <s v="Lucknow - Chaudhary Charan Singh"/>
        <s v="Dunhuang"/>
        <s v="Mumbai - Chhatrapati S Maharaj"/>
        <s v="Bayankhongor"/>
        <s v="Chandigarh"/>
        <s v="Jodhpur"/>
        <s v="Jamnagar - Govardhanpur"/>
        <s v="Korla"/>
        <s v="Leh - Kushok Bakula Rimpoche"/>
        <s v="Hotan"/>
        <s v="Amritsar - Sri Guru Ram Dass Jee"/>
        <s v="Faisalabad - International"/>
        <s v="Rahim Yar Khan - Shaikh Zayed Intl"/>
        <s v="Multan - International"/>
        <s v="Sukkur"/>
        <s v="Karamay - Airport"/>
        <s v="Socotra - Airport"/>
        <s v="Osh"/>
        <s v="Salalah - Airport"/>
        <s v="Dushanbe - International"/>
        <s v="Zabol"/>
        <s v="Samarkand - International"/>
        <s v="Fujairah - International"/>
        <s v="Al Ain - International"/>
        <s v="Ras al Khaimah - International"/>
        <s v="Sharjah - International"/>
        <s v="Dubai - Al Maktoum International Airport"/>
        <s v="Dubai - International"/>
        <s v="Bandar Abbas - International"/>
        <s v="Sayun - Airport"/>
        <s v="Kerman"/>
        <s v="Mashhad - Shahid Hashemi Nejad"/>
        <s v="Sharurah"/>
        <s v="Doha - Hamad International"/>
        <s v="Taizz - International"/>
        <s v="Yazd - Shahid Sadooghi"/>
        <s v="Shiraz - Shahid Dastghaib Intl"/>
        <s v="Bahrain - International"/>
        <s v="Hofuf - Al-Ahsa"/>
        <s v="Hodeidah - International"/>
        <s v="Nejran"/>
        <s v="Wadi al Dawaser"/>
        <s v="Esfahan - Shahid Beheshti Intl"/>
        <s v="Gizan"/>
        <s v="Kuwait - International"/>
        <s v="Bisha"/>
        <s v="Dawadmi - King Salman Abdulaziz"/>
        <s v="Al Baha - Al-Aqiq"/>
        <s v="Qaisumah - Hafar al Batin"/>
        <s v="Hambantota - SPB"/>
        <s v="Gassim"/>
        <s v="Taif"/>
        <s v="Kermanshah - Shahid AshrafiEsfahani"/>
        <s v="Rafha"/>
        <s v="Hail"/>
        <s v="Yanbu al Bahr"/>
        <s v="Arar"/>
        <s v="Jouf"/>
        <s v="Van - Ferit Melen"/>
        <s v="Gyumri - Shirak"/>
        <s v="Wedjh"/>
        <s v="Kars"/>
        <s v="Kamishly"/>
        <s v="Turaif"/>
        <s v="Deir ez Zor"/>
        <s v="Mus"/>
        <s v="Batman"/>
        <s v="Tabuk"/>
        <s v="Mardin"/>
        <s v="Erzurum"/>
        <s v="Diyarbakir"/>
        <s v="Gurayat"/>
        <s v="Erzincan"/>
        <s v="Aqaba - King Hussein Intl"/>
        <s v="Eilat - Ramon Airport"/>
        <s v="Trabzon"/>
        <s v="Adiyaman"/>
        <s v="Ovda - Airport"/>
        <s v="Malatya - Erhac"/>
        <s v="Gaziantep - Oguzeli"/>
        <s v="Beirut - Rafic Hariri Intl"/>
        <s v="Latakia - Bassel al Assad Intl"/>
        <s v="Hatay"/>
        <s v="Sivas"/>
        <s v="Adana - Sakirpasa"/>
        <s v="Samsun - Carsamba"/>
        <s v="Kayseri - Erkilet"/>
        <s v="Amasya - Merzifon"/>
        <s v="Nevsehir - Kapadokya"/>
        <s v="Konya"/>
        <s v="Isparta - Suleyman Demirel"/>
        <s v="Eskisehir - Anadolu"/>
        <s v="Denizli - Cardak"/>
        <s v="Usak"/>
        <s v="Bursa - Yenisehir"/>
        <s v="Bodrum - Milas"/>
        <s v="Tekirdag - Corlu"/>
        <s v="Vladivostok - Knevichi"/>
        <s v="Yuzhno-Sakhalinsk - Khomutovo"/>
        <s v="Khabarovsk - Novy"/>
        <s v="Blagoveshchensk - Ignatyevo"/>
        <s v="Petropavlovsk - Yelizovo"/>
        <s v="Chita - Kadala"/>
        <s v="Magadan - Sokol"/>
        <s v="Ulan-Ude - Mukhino"/>
        <s v="Irkutsk"/>
        <s v="Yakutsk"/>
        <s v="Kyzyl Airport"/>
        <s v="Anadyr - Ugolny"/>
        <s v="Mirny"/>
        <s v="Abakan"/>
        <s v="Krasnoyarsk"/>
        <s v="Semey"/>
        <s v="Barnaul"/>
        <s v="Kemerovo"/>
        <s v="Novosibirsk - Tolmachevo"/>
        <s v="Tiksi"/>
        <s v="Karaganda - Sary-Arka"/>
        <s v="Nizhnevartovsk"/>
        <s v="Norilsk - Alykel"/>
        <s v="Kogalym"/>
        <s v="Surgut"/>
        <s v="Noyabrsk"/>
        <s v="Novy Urengoy"/>
        <s v="Tyumen - Roshchino"/>
        <s v="Salekhard"/>
        <s v="Perm - Bolshoye Savino"/>
        <s v="Makhachkala - Uytash"/>
        <s v="Nakchivan"/>
        <s v="Nizhnekamsk - Begishevo"/>
        <s v="Grozny"/>
        <s v="Ulyanovsk - Vostochny"/>
        <s v="Stavropol - Shpakovskoye"/>
        <s v="Nizhny Novgorod - Strigino"/>
        <s v="Larnaca"/>
        <s v="Mariupol - International"/>
        <s v="Paphos - International"/>
        <s v="Moscow - Domodedovo"/>
        <s v="Zaporizhzhia - Mokraya Intl"/>
        <s v="Simferopol - International"/>
        <s v="Lakselv - Banak"/>
        <s v="Rhodes - Diagoras"/>
        <s v="Gomel"/>
        <s v="Rovaniemi"/>
        <s v="Kuopio"/>
        <s v="Kemi/Tornio"/>
        <s v="Jyvaskyla"/>
        <s v="Irakleion - Nikos Kazantzakis"/>
        <s v="Lulea - Kallax"/>
        <s v="Tijuana - A.L. Rodriguez Intl"/>
        <s v="San Jose del Cabo - Los Cabos Intl"/>
        <s v="Mexicali - R.Sanchez Taboada Int"/>
        <s v="Comox"/>
        <s v="Whitehorse - Erik Nielsen Intl"/>
        <s v="Puerto Vallarta - G.Diaz Ordaz Intl"/>
        <s v="Mazatlan - Rafael Buelna Intl"/>
        <s v="Abbotsford - International"/>
        <s v="Durango - Guadalupe Victoria Int"/>
        <s v="Prince George - Airport"/>
        <s v="Acapulco - Juan N. Alvarez Intl"/>
        <s v="Kelowna - International"/>
        <s v="Aguascalientes - Jesus Teran Peredo Int"/>
        <s v="Morelia - F.J. Mujica Intl"/>
        <s v="Zacatecas - Leobardo C. Ruiz Intl"/>
        <s v="Chihuahua - R. Fierro Villalobos"/>
        <s v="Leon/Guanajuato - Del Bajio Intl"/>
        <s v="Torreon - Francisco Sarabia Intl"/>
        <s v="Ciudad Juarez - Abraham Gonzalez Intl"/>
        <s v="San Luis Potosi - Ponciano Arriaga Intl"/>
        <s v="Puebla - Hermanos Serdan Intl"/>
        <s v="Huatulco - Bahias de Huatulco Int"/>
        <s v="Tampico - F. Javier Mina Intl"/>
        <s v="Guatemala City - La Aurora International Airport"/>
        <s v="San Salvador - El Salvador Intl"/>
        <s v="Saskatoon - J.G. Diefenbaker Intl"/>
        <s v="La Ceiba - Goloson International"/>
        <s v="Panama City - Metropolitan Area"/>
        <s v="Churchill - Airport"/>
        <s v="Cayo Largo del Sur - Vilo Acuna Intl"/>
        <s v="Varadero - Juan G. Gomez Intl"/>
        <s v="Montego Bay - Sangster Intl"/>
        <s v="Santa Clara - Abel Santamaria"/>
        <s v="Cayo Coco - Jardines del Rey"/>
        <s v="Camaguey - Ignacio Agramonte Intl"/>
        <s v="Holguin - Frank Pais Intl"/>
        <s v="Santiago de Cuba - Antonio Maceo Intl"/>
        <s v="Phoenix - Metropolitan Area"/>
        <s v="Salt Lake City - International"/>
        <s v="Houston - George Bush Intercont."/>
        <s v="Fort Lauderdale - Metropolitan Area"/>
        <s v="San Jose - Metropolitan Area"/>
        <s v="Sacramento - International"/>
        <s v="San Diego - Metropolitan Area"/>
        <s v="Albuquerque - International Sunport"/>
        <s v="San Antonio - Metropolitan Area"/>
        <s v="Scottsbluff - Western Nebraska Rgnl"/>
        <s v="Austin - Metropolitan Area"/>
        <s v="Dallas - Love Field"/>
        <s v="Kansas City - International"/>
        <s v="New Orleans - Metropolitan Area"/>
        <s v="Memphis - International"/>
        <s v="St Louis - Metropolitan Area"/>
        <s v="Nashville - International"/>
        <s v="Milwaukee - Metropolitan Area"/>
        <s v="Tampa - Metropolitan Area"/>
        <s v="Fort Myers - Southwest Florida Intl"/>
        <s v="Indianapolis - International"/>
        <s v="Cincinnati - Metropolitan Area"/>
        <s v="West Palm Beach - Metropolitan Area"/>
        <s v="Jacksonville - Metropolitan Area"/>
        <s v="Kona - Keahole"/>
        <s v="Hilo - International"/>
        <s v="Cold Bay"/>
        <s v="Anchorage - Metropolitan Area"/>
        <s v="Long Beach - Daugherty Field"/>
        <s v="Fresno - Metropolitan Area"/>
        <s v="Los Angeles - Ontario International"/>
        <s v="Palm Springs - Metropolitan Area"/>
        <s v="Reno/Tahoe Intl"/>
        <s v="Tucson - Metropolitan Area"/>
        <s v="Boise - Air Term. (Gowen Fld)"/>
        <s v="El Paso - Metropolitan Area"/>
        <s v="Colorado Springs - Metropolitan Area"/>
        <s v="Oklahoma City - Metropolitan Area"/>
        <s v="Wichita - Metropolitan Area"/>
        <s v="Tulsa - Metropolitan Area"/>
        <s v="Omaha - Metropolitan Area"/>
        <s v="Mobile - Downtown Arpt"/>
        <s v="Birmingham - Shuttlesworth Intl"/>
        <s v="Huntsville - Metropolitan Area"/>
        <s v="Sarasota/Bradenton - International"/>
        <s v="Louisville - Metropolitan Area"/>
        <s v="Orlando - Sanford Intl"/>
        <s v="Grand Rapids - Gerald R. Ford Intl"/>
        <s v="Dayton - Metropolitan Area"/>
        <s v="Greenville/Spartanburg - Metropolitan Area"/>
        <s v="Savannah - Metropolitan Area"/>
        <s v="King Salmon"/>
        <s v="Bakersfield - Meadows Field"/>
        <s v="Fairbanks - Metropolitan Area"/>
        <s v="Yuma - Metropolitan Area"/>
        <s v="Phoenix - Mesa Gateway"/>
        <s v="Missoula - International"/>
        <s v="Durango - Metropolitan Area"/>
        <s v="Grand Junction - Regional"/>
        <s v="Montrose - Regional"/>
        <s v="Helena - Regional"/>
        <s v="Roswell - Intl Air Center"/>
        <s v="Gunnison-Crested Butte"/>
        <s v="Great Falls - Metropolitan Area"/>
        <s v="Hayden - Yampa Valley"/>
        <s v="Midland - Metropolitan Area"/>
        <s v="Billings - Logan Intl"/>
        <s v="Casper - Natrona County Intl"/>
        <s v="Lubbock - Metropolitan Area"/>
        <s v="Amarillo - Metropolitan Area"/>
        <s v="Killeen/Fort Hood - Regional/R.Gray AAF"/>
        <s v="Wichita Falls - Metropolitan Area"/>
        <s v="Lawton/Fort Sill - Regional"/>
        <s v="Fort Worth - Alliance"/>
        <s v="Lincoln"/>
        <s v="Alexandria - Metropolitan Area"/>
        <s v="Rochester - International"/>
        <s v="Duluth - International"/>
        <s v="Moline - Quad City Intl"/>
        <s v="Destin/Ft Walton Beach - Metropolitan Area"/>
        <s v="Peoria - General Downing Intl"/>
        <s v="Chicago/Rockford Intl"/>
        <s v="Dothan - Regional"/>
        <s v="Tampa - St.Pete-Clearwater Int"/>
        <s v="Marquette - Sawyer International"/>
        <s v="Fort Wayne - Metropolitan Area"/>
        <s v="Melbourne - Orlando Melbourne Intl"/>
        <s v="Daytona Beach - International"/>
        <s v="Sacramento - Stockton Metropolitan"/>
        <s v="Klamath Falls"/>
        <s v="Seattle - Boeing Fld-King Co Int"/>
        <s v="Cedar City - Regional"/>
        <s v="Twin Falls - Magic Valley Regional"/>
        <s v="Pocatello - Regional"/>
        <s v="Butte - Bert Mooney"/>
        <s v="Santa Fe - Municipal"/>
        <s v="Rock Springs - Sweetwater County"/>
        <s v="Alamosa - San Luis Valley Rgnl"/>
        <s v="Cody - Yellowstone Regional"/>
        <s v="Pueblo - Memorial"/>
        <s v="Laramie - Regional"/>
        <s v="Fort Collins/Loveland - Municipal"/>
        <s v="Sheridan County"/>
        <s v="Cheyenne - Metropolitan Area"/>
        <s v="Victoria - Regional"/>
        <s v="Longview - East Texas Regional"/>
        <s v="Sioux City - Sioux Gateway"/>
        <s v="Waterloo - Regional"/>
        <s v="Meridian - Regional (Key Field)"/>
        <s v="Belleville - MidAmerica St Louis"/>
        <s v="Decatur"/>
        <s v="Medford - Rogue Valley Intl"/>
        <s v="Juneau - International"/>
        <s v="Grand Canyon - Metropolitan Area"/>
        <s v="Spokane - Metropolitan Area"/>
        <s v="Idaho Falls - Regional"/>
        <s v="Kalispell - Glacier Park Intl"/>
        <s v="Bozeman - Yellowstone Intl"/>
        <s v="Vail/Eagle - Eagle County Regional"/>
        <s v="Laredo - International"/>
        <s v="Harlingen - Valley International"/>
        <s v="Rapid City - Metropolitan Area"/>
        <s v="Bismarck - Municipal"/>
        <s v="Shreveport - Metropolitan Area"/>
        <s v="Fayetteville/Springd. - Northwest Arkansas Rgn"/>
        <s v="Sioux Falls - Joe Foss Field"/>
        <s v="Fargo - Hector Intl"/>
        <s v="Little Rock - B. &amp; H. Clinton Natl"/>
        <s v="Des Moines - International"/>
        <s v="Jackson - Metropolitan Area"/>
        <s v="Gulfport/Biloxi - International"/>
        <s v="Mobile - Metropolitan Area"/>
        <s v="Cedar Rapids - The Eastern Iowa"/>
        <s v="La Crosse - Regional"/>
        <s v="Montgomery - Metropolitan Area"/>
        <s v="Madison - Dane County Regional"/>
        <s v="Green Bay - Austin Straubel Intl"/>
        <s v="South Bend - International"/>
        <s v="Knoxville - McGhee Tyson"/>
        <s v="Canberra"/>
        <s v="Melbourne - Avalon"/>
        <s v="Broken Hill"/>
        <s v="Adelaide - International"/>
        <s v="Rockhampton"/>
        <s v="Mount Isa"/>
        <s v="Cairns - International"/>
        <s v="Ayers Rock - Connellan"/>
        <s v="Port Vila - Bauerfield Intl"/>
        <s v="Derby - RAAF Curtin"/>
        <s v="Nuku'alofa - Fua'amotu Intl"/>
        <s v="Learmonth"/>
        <s v="Apia - Metropolitan Area"/>
        <s v="Pago Pago - International"/>
        <s v="Guam - Metropolitan Area"/>
        <s v="Tinian - International"/>
        <s v="Saipan - Francisco C. Ada Intl"/>
        <s v="Hao"/>
        <s v="Rio Gallegos - Piloto N. Fernandez"/>
        <s v="Gobernador Gregores"/>
        <s v="Balmaceda"/>
        <s v="Comodoro Rivadavia - General E. Mosconi"/>
        <s v="Puerto Montt - El Tepual"/>
        <s v="Trelew - Almirante M.A. Zar"/>
        <s v="Neuquen - Presidente Peron"/>
        <s v="Viedma - Gobernador E. Castello"/>
        <s v="Malargue - Comodoro D.R. Salomon"/>
        <s v="Bahia Blanca - Comandante Espora"/>
        <s v="San Luis - D. Cesar Raul Ojeda"/>
        <s v="Rosario - Islas Malvinas"/>
        <s v="La Rioja - Captain V.A. Almonacid"/>
        <s v="Catamarca"/>
        <s v="Antofagasta - Cerro Moreno"/>
        <s v="Reconquista"/>
        <s v="Salta - Martin M. de Guemes"/>
        <s v="Jujuy - Gobernador H. Guzman"/>
        <s v="Resistencia"/>
        <s v="Tarija - Cap. Oriel Lea Plaza"/>
        <s v="Ciudad del Este - Guarani Intl"/>
        <s v="Ayacucho - Alfredo M. Duarte"/>
        <s v="Jauja - Francisco Carle"/>
        <s v="Trujillo - C.Martinez de Pinillos"/>
        <s v="Sucre - Alcantari"/>
        <s v="Juliaca - Inco Mnco Capac Intl"/>
        <s v="Chiclayo - J.A. Quinones Gonzalez"/>
        <s v="Santa Cruz - Metropolitan Area"/>
        <s v="Pucallpa - D.Abenzur Rengifo Intl"/>
        <s v="Tarapoto - G.del Castillo Paredes"/>
        <s v="Puerto Maldonado - Padre Aldamiz Intl"/>
        <s v="Sao Paulo - Guarulhos Intl"/>
        <s v="Campo Grande - International"/>
        <s v="Sao Jose dos Campos - U.E. Stumpf Intl"/>
        <s v="Belo Horizonte - Pampulha"/>
        <s v="Cali - Alfonso B. Aragon Intl"/>
        <s v="Medellin - Enrique Olaya Herrera"/>
        <s v="Medellin - Metropolitan Area"/>
        <s v="Bogota - El Dorado Intl"/>
        <s v="Yopal - El Alcaravan"/>
        <s v="Cartagena - Rafael Nunez Intl"/>
        <s v="Barranquilla - Ernesto Cortissoz Intl"/>
        <s v="Manaus - Eduardo Gomes Intl"/>
        <s v="Petrolina - Senador Nilo Coelho"/>
      </sharedItems>
    </cacheField>
    <cacheField name="Distance" numFmtId="1">
      <sharedItems containsSemiMixedTypes="0" containsString="0" containsNumber="1" containsInteger="1" minValue="236" maxValue="15186"/>
    </cacheField>
    <cacheField name="Duration_x000a_(A359)" numFmtId="2">
      <sharedItems containsSemiMixedTypes="0" containsString="0" containsNumber="1" minValue="2.75" maxValue="35.5"/>
    </cacheField>
    <cacheField name="ROUTE COST" numFmtId="44">
      <sharedItems containsString="0" containsBlank="1" containsNumber="1" containsInteger="1" minValue="300626071" maxValue="305480388"/>
    </cacheField>
    <cacheField name="$ PER PAX" numFmtId="44">
      <sharedItems containsSemiMixedTypes="0" containsString="0" containsNumber="1" minValue="0" maxValue="123460.39876796714"/>
    </cacheField>
    <cacheField name="O - DEMAND" numFmtId="0">
      <sharedItems containsString="0" containsBlank="1" containsNumber="1" containsInteger="1" minValue="2435" maxValue="2486"/>
    </cacheField>
    <cacheField name="INIT PLANES" numFmtId="0">
      <sharedItems containsSemiMixedTypes="0" containsString="0" containsNumber="1" minValue="0" maxValue="2.6168421052631579"/>
    </cacheField>
    <cacheField name="C_DEMAND" numFmtId="0">
      <sharedItems containsSemiMixedTypes="0" containsString="0" containsNumber="1" containsInteger="1" minValue="0" maxValue="4920"/>
    </cacheField>
    <cacheField name="R-DEMAND" numFmtId="0">
      <sharedItems containsSemiMixedTypes="0" containsString="0" containsNumber="1" containsInteger="1" minValue="0" maxValue="4920"/>
    </cacheField>
    <cacheField name="ADD ACC_x000a_(475/950)" numFmtId="0">
      <sharedItems containsSemiMixedTypes="0" containsString="0" containsNumber="1" containsInteger="1" minValue="0" maxValue="5"/>
    </cacheField>
    <cacheField name="ADD TIME" numFmtId="0">
      <sharedItems containsSemiMixedTypes="0" containsString="0" containsNumber="1" minValue="0" maxValue="148.75"/>
    </cacheField>
    <cacheField name="ECO SEAT" numFmtId="0">
      <sharedItems containsSemiMixedTypes="0" containsString="0" containsNumber="1" containsInteger="1" minValue="0" maxValue="0"/>
    </cacheField>
    <cacheField name="SEATS SOLD" numFmtId="0">
      <sharedItems containsSemiMixedTypes="0" containsString="0" containsNumber="1" containsInteger="1" minValue="0" maxValue="0"/>
    </cacheField>
    <cacheField name="SEAT REV" numFmtId="44">
      <sharedItems containsSemiMixedTypes="0" containsString="0" containsNumber="1" containsInteger="1" minValue="0" maxValue="0"/>
    </cacheField>
    <cacheField name="SEAT REV_x000a_(IF IDEAL $)" numFmtId="44">
      <sharedItems containsSemiMixedTypes="0" containsString="0" containsNumber="1" containsInteger="1" minValue="0" maxValue="0"/>
    </cacheField>
    <cacheField name="$ DELTA" numFmtId="4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'Connell" refreshedDate="44102.733241319445" createdVersion="6" refreshedVersion="6" minRefreshableVersion="3" recordCount="1097" xr:uid="{5025F402-A959-4CD9-A30E-387349A1BA78}">
  <cacheSource type="worksheet">
    <worksheetSource ref="A2:M1099" sheet="BOM" r:id="rId2"/>
  </cacheSource>
  <cacheFields count="13">
    <cacheField name="ROUTE" numFmtId="0">
      <sharedItems/>
    </cacheField>
    <cacheField name="ICAO" numFmtId="0">
      <sharedItems count="1098">
        <s v="MGQ"/>
        <s v="CAI"/>
        <s v="KAN"/>
        <s v="SGN"/>
        <s v="LOS"/>
        <s v="DSS"/>
        <s v="AWA"/>
        <s v="KMG"/>
        <s v="ABV"/>
        <s v="JNB"/>
        <s v="ABJ"/>
        <s v="CKG"/>
        <s v="SSH"/>
        <s v="HRG"/>
        <s v="AHB"/>
        <s v="XIY"/>
        <s v="CPT"/>
        <s v="AYT"/>
        <s v="JED"/>
        <s v="CKY"/>
        <s v="HAN"/>
        <s v="ACC"/>
        <s v="DAM"/>
        <s v="ESB"/>
        <s v="CEB"/>
        <s v="KTM"/>
        <s v="IKA"/>
        <s v="URC"/>
        <s v="PHC"/>
        <s v="WUH"/>
        <s v="KWE"/>
        <s v="HAK"/>
        <s v="AMM"/>
        <s v="SYX"/>
        <s v="DUR"/>
        <s v="LXR"/>
        <s v="SVO"/>
        <s v="CGO"/>
        <s v="HGH"/>
        <s v="AWZ"/>
        <s v="ALG"/>
        <s v="ADB"/>
        <s v="SAW"/>
        <s v="ALP"/>
        <s v="LHW"/>
        <s v="TBZ"/>
        <s v="MFM"/>
        <s v="NKG"/>
        <s v="TYN"/>
        <s v="KWL"/>
        <s v="DLC"/>
        <s v="XMN"/>
        <s v="ASW"/>
        <s v="KHN"/>
        <s v="RMF"/>
        <s v="VKO"/>
        <s v="DAD"/>
        <s v="HET"/>
        <s v="SHE"/>
        <s v="TAO"/>
        <s v="KAD"/>
        <s v="JZH"/>
        <s v="ABS"/>
        <s v="XNN"/>
        <s v="SYZ"/>
        <s v="NAG"/>
        <s v="HRB"/>
        <s v="DLM"/>
        <s v="TNA"/>
        <s v="FOC"/>
        <s v="TSN"/>
        <s v="INC"/>
        <s v="BJV"/>
        <s v="BBU"/>
        <s v="DIY"/>
        <s v="KSH"/>
        <s v="OSL"/>
        <s v="LED"/>
        <s v="CXR"/>
        <s v="UET"/>
        <s v="YOL"/>
        <s v="NGB"/>
        <s v="IFN"/>
        <s v="OTP"/>
        <s v="BKI"/>
        <s v="ASR"/>
        <s v="SZF"/>
        <s v="GZT"/>
        <s v="WAW"/>
        <s v="ZUH"/>
        <s v="ULN"/>
        <s v="CGQ"/>
        <s v="HFE"/>
        <s v="DVO"/>
        <s v="ADD"/>
        <s v="GIG"/>
        <s v="CMN"/>
        <s v="SUB"/>
        <s v="PKX"/>
        <s v="BTH"/>
        <s v="SSA"/>
        <s v="AKL"/>
        <s v="CNX"/>
        <s v="DPS"/>
        <s v="LPA"/>
        <s v="AGP"/>
        <s v="ZRH"/>
        <s v="TFS"/>
        <s v="ORY"/>
        <s v="SDJ"/>
        <s v="GVA"/>
        <s v="THR"/>
        <s v="BLR"/>
        <s v="KHI"/>
        <s v="HYD"/>
        <s v="HKG"/>
        <s v="DEL"/>
        <s v="KNO"/>
        <s v="CAN"/>
        <s v="KUL"/>
        <s v="MED"/>
        <s v="BKK"/>
        <s v="DMK"/>
        <s v="CTU"/>
        <s v="CNF"/>
        <s v="REC"/>
        <s v="VCP"/>
        <s v="ICN"/>
        <s v="SYD"/>
        <s v="GAU"/>
        <s v="RAK"/>
        <s v="HND"/>
        <s v="AGA"/>
        <s v="UPG"/>
        <s v="BNE"/>
        <s v="BEL"/>
        <s v="CHC"/>
        <s v="CEI"/>
        <s v="NRT"/>
        <s v="YYZ"/>
        <s v="GMP"/>
        <s v="FRA"/>
        <s v="CJU"/>
        <s v="LHR"/>
        <s v="SZX"/>
        <s v="GRU"/>
        <s v="RUH"/>
        <s v="PEK"/>
        <s v="PVG"/>
        <s v="MNL"/>
        <s v="KJT"/>
        <s v="BSB"/>
        <s v="SHA"/>
        <s v="DXB"/>
        <s v="YIA"/>
        <s v="HDY"/>
        <s v="SIN"/>
        <s v="CCJ"/>
        <s v="IXZ"/>
        <s v="SXR"/>
        <s v="KBV"/>
        <s v="IXB"/>
        <s v="TPE"/>
        <s v="POS"/>
        <s v="GUM"/>
        <s v="DFW"/>
        <s v="MCO"/>
        <s v="MIA"/>
        <s v="MEL"/>
        <s v="AMS"/>
        <s v="URT"/>
        <s v="YVR"/>
        <s v="MAD"/>
        <s v="ORD"/>
        <s v="MUC"/>
        <s v="ATL"/>
        <s v="TNG"/>
        <s v="CCS"/>
        <s v="FEZ"/>
        <s v="LGW"/>
        <s v="BOG"/>
        <s v="FUK"/>
        <s v="FCO"/>
        <s v="LIS"/>
        <s v="JFK"/>
        <s v="IST"/>
        <s v="BUD"/>
        <s v="RBA"/>
        <s v="ITM"/>
        <s v="PUS"/>
        <s v="YUL"/>
        <s v="KIX"/>
        <s v="SFO"/>
        <s v="CTS"/>
        <s v="STN"/>
        <s v="MAN"/>
        <s v="CAY"/>
        <s v="VIE"/>
        <s v="YYC"/>
        <s v="EWR"/>
        <s v="SJU"/>
        <s v="SEA"/>
        <s v="OKA"/>
        <s v="BCN"/>
        <s v="DUS"/>
        <s v="BOS"/>
        <s v="NGO"/>
        <s v="HEL"/>
        <s v="MXP"/>
        <s v="PNZ"/>
        <s v="BWI"/>
        <s v="UTP"/>
        <s v="HLP"/>
        <s v="IAD"/>
        <s v="CPH"/>
        <s v="BRU"/>
        <s v="CUN"/>
        <s v="PER"/>
        <s v="YEG"/>
        <s v="TXL"/>
        <s v="FNC"/>
        <s v="ADL"/>
        <s v="CDG"/>
        <s v="HAV"/>
        <s v="EZE"/>
        <s v="BGY"/>
        <s v="MAR"/>
        <s v="RMQ"/>
        <s v="LAX"/>
        <s v="PHX"/>
        <s v="COR"/>
        <s v="AUH"/>
        <s v="LXA"/>
        <s v="JAI"/>
        <s v="ATQ"/>
        <s v="IXE"/>
        <s v="LYP"/>
        <s v="VTZ"/>
        <s v="MHD"/>
        <s v="DOH"/>
        <s v="IXL"/>
        <s v="OUD"/>
        <s v="CLT"/>
        <s v="DMM"/>
        <s v="XIC"/>
        <s v="AJF"/>
        <s v="LTK"/>
        <s v="ARN"/>
        <s v="WUX"/>
        <s v="BHY"/>
        <s v="MRU"/>
        <s v="EUN"/>
        <s v="PHL"/>
        <s v="ORN"/>
        <s v="MSP"/>
        <s v="GIZ"/>
        <s v="KYA"/>
        <s v="DEZ"/>
        <s v="KRL"/>
        <s v="DIG"/>
        <s v="YCU"/>
        <s v="MQP"/>
        <s v="RYK"/>
        <s v="PZI"/>
        <s v="DTW"/>
        <s v="KAC"/>
        <s v="SJW"/>
        <s v="ATH"/>
        <s v="BMV"/>
        <s v="DNH"/>
        <s v="HLA"/>
        <s v="BPX"/>
        <s v="KHV"/>
        <s v="WXN"/>
        <s v="VVO"/>
        <s v="AAE"/>
        <s v="SLC"/>
        <s v="TUU"/>
        <s v="AMD"/>
        <s v="GES"/>
        <s v="ZAG"/>
        <s v="HME"/>
        <s v="TRD"/>
        <s v="VIL"/>
        <s v="AQJ"/>
        <s v="HNL"/>
        <s v="BGO"/>
        <s v="KIM"/>
        <s v="STR"/>
        <s v="KHG"/>
        <s v="GOI"/>
        <s v="PDX"/>
        <s v="GOQ"/>
        <s v="XUZ"/>
        <s v="THQ"/>
        <s v="STL"/>
        <s v="SBW"/>
        <s v="YOW"/>
        <s v="UUS"/>
        <s v="JIU"/>
        <s v="CZX"/>
        <s v="CGN"/>
        <s v="ENY"/>
        <s v="YWG"/>
        <s v="HAM"/>
        <s v="MCI"/>
        <s v="BYN"/>
        <s v="UTN"/>
        <s v="CVG"/>
        <s v="HTN"/>
        <s v="KEF"/>
        <s v="BDA"/>
        <s v="DNZ"/>
        <s v="DBV"/>
        <s v="ZHY"/>
        <s v="ALC"/>
        <s v="RDU"/>
        <s v="SNN"/>
        <s v="TIN"/>
        <s v="IND"/>
        <s v="CMH"/>
        <s v="PIT"/>
        <s v="EMA"/>
        <s v="CBR"/>
        <s v="GOT"/>
        <s v="MKE"/>
        <s v="CNS"/>
        <s v="NZH"/>
        <s v="VCE"/>
        <s v="BFS"/>
        <s v="TRF"/>
        <s v="BDL"/>
        <s v="TFN"/>
        <s v="LZY"/>
        <s v="KWJ"/>
        <s v="JNG"/>
        <s v="BLQ"/>
        <s v="VLC"/>
        <s v="OMA"/>
        <s v="HAJ"/>
        <s v="BOO"/>
        <s v="PKC"/>
        <s v="NYO"/>
        <s v="TAE"/>
        <s v="RHO"/>
        <s v="TRN"/>
        <s v="RNO"/>
        <s v="SVQ"/>
        <s v="SDF"/>
        <s v="PSA"/>
        <s v="MHT"/>
        <s v="IBZ"/>
        <s v="PUY"/>
        <s v="AQG"/>
        <s v="DAY"/>
        <s v="BOI"/>
        <s v="MMX"/>
        <s v="NCE"/>
        <s v="KOA"/>
        <s v="BLL"/>
        <s v="CHQ"/>
        <s v="BAQ"/>
        <s v="DYR"/>
        <s v="PIK"/>
        <s v="GRR"/>
        <s v="LYS"/>
        <s v="MYR"/>
        <s v="GSO"/>
        <s v="YXX"/>
        <s v="YHM"/>
        <s v="MRS"/>
        <s v="ITO"/>
        <s v="EVE"/>
        <s v="MLH"/>
        <s v="TLS"/>
        <s v="LLA"/>
        <s v="GRZ"/>
        <s v="SCQ"/>
        <s v="SFJ"/>
        <s v="MLI"/>
        <s v="BOD"/>
        <s v="LNZ"/>
        <s v="YQQ"/>
        <s v="DSA"/>
        <s v="NTE"/>
        <s v="GRX"/>
        <s v="LEI"/>
        <s v="PVK"/>
        <s v="LIL"/>
        <s v="MWX"/>
        <s v="AVV"/>
        <s v="BES"/>
        <s v="LHE"/>
        <s v="KHH"/>
        <s v="COK"/>
        <s v="TRV"/>
        <s v="BHV"/>
        <s v="MAA"/>
        <s v="HDN"/>
        <s v="BLV"/>
        <s v="PPG"/>
        <s v="LNK"/>
        <s v="CYS"/>
        <s v="RKS"/>
        <s v="APW"/>
        <s v="CPR"/>
        <s v="PIA"/>
        <s v="PIH"/>
        <s v="LMT"/>
        <s v="FWA"/>
        <s v="RFD"/>
        <s v="BIL"/>
        <s v="RST"/>
        <s v="TOL"/>
        <s v="MDT"/>
        <s v="ACY"/>
        <s v="MSO"/>
        <s v="DLH"/>
        <s v="GTF"/>
        <s v="MQT"/>
        <s v="SWF"/>
        <s v="BFI"/>
        <s v="IAG"/>
        <s v="PAP"/>
        <s v="MTY"/>
        <s v="NAN"/>
        <s v="AUA"/>
        <s v="PBG"/>
        <s v="PSM"/>
        <s v="NAS"/>
        <s v="BGI"/>
        <s v="BGR"/>
        <s v="YLW"/>
        <s v="NOU"/>
        <s v="YHZ"/>
        <s v="PUJ"/>
        <s v="SDQ"/>
        <s v="PTP"/>
        <s v="ANC"/>
        <s v="CDB"/>
        <s v="FAI"/>
        <s v="SID"/>
        <s v="TER"/>
        <s v="BJL"/>
        <s v="MBJ"/>
        <s v="SMA"/>
        <s v="OXB"/>
        <s v="FNA"/>
        <s v="NKC"/>
        <s v="ROB"/>
        <s v="PXO"/>
        <s v="ASK"/>
        <s v="BOY"/>
        <s v="OPO"/>
        <s v="OUA"/>
        <s v="OZZ"/>
        <s v="BJZ"/>
        <s v="LFW"/>
        <s v="ERH"/>
        <s v="WDH"/>
        <s v="VLL"/>
        <s v="SDD"/>
        <s v="NDR"/>
        <s v="NIM"/>
        <s v="CBH"/>
        <s v="OND"/>
        <s v="GDX"/>
        <s v="CAL"/>
        <s v="CBT"/>
        <s v="VPE"/>
        <s v="AZR"/>
        <s v="TMX"/>
        <s v="VIT"/>
        <s v="LAD"/>
        <s v="DRW"/>
        <s v="ZAZ"/>
        <s v="MSU"/>
        <s v="SSG"/>
        <s v="LBV"/>
        <s v="LDE"/>
        <s v="INZ"/>
        <s v="TID"/>
        <s v="GBE"/>
        <s v="DLA"/>
        <s v="ELG"/>
        <s v="HRM"/>
        <s v="LOO"/>
        <s v="SPP"/>
        <s v="CHR"/>
        <s v="MSE"/>
        <s v="TMR"/>
        <s v="OST"/>
        <s v="CFE"/>
        <s v="GHA"/>
        <s v="DCN"/>
        <s v="AOJ"/>
        <s v="HKD"/>
        <s v="EIN"/>
        <s v="BZV"/>
        <s v="LGG"/>
        <s v="GNB"/>
        <s v="FIH"/>
        <s v="NSI"/>
        <s v="OGX"/>
        <s v="XCR"/>
        <s v="IKS"/>
        <s v="LUX"/>
        <s v="BLJ"/>
        <s v="CZL"/>
        <s v="ETZ"/>
        <s v="BSK"/>
        <s v="ELU"/>
        <s v="TGR"/>
        <s v="HHN"/>
        <s v="BSL"/>
        <s v="AAR"/>
        <s v="KRP"/>
        <s v="FKB"/>
        <s v="ZQW"/>
        <s v="TOE"/>
        <s v="VVZ"/>
        <s v="VHC"/>
        <s v="AHO"/>
        <s v="CAG"/>
        <s v="GOA"/>
        <s v="IAM"/>
        <s v="TEE"/>
        <s v="YKS"/>
        <s v="DJG"/>
        <s v="LKL"/>
        <s v="GAF"/>
        <s v="TBJ"/>
        <s v="GOU"/>
        <s v="LEJ"/>
        <s v="VRN"/>
        <s v="TUN"/>
        <s v="FMM"/>
        <s v="VBS"/>
        <s v="NBE"/>
        <s v="LEA"/>
        <s v="DRS"/>
        <s v="DJE"/>
        <s v="MIR"/>
        <s v="NDJ"/>
        <s v="RVN"/>
        <s v="SXF"/>
        <s v="SFA"/>
        <s v="PRG"/>
        <s v="PMO"/>
        <s v="AOI"/>
        <s v="RMI"/>
        <s v="TRS"/>
        <s v="LUN"/>
        <s v="HRE"/>
        <s v="TIP"/>
        <s v="OIT"/>
        <s v="GDN"/>
        <s v="LJU"/>
        <s v="FBM"/>
        <s v="KMJ"/>
        <s v="KOJ"/>
        <s v="TLL"/>
        <s v="MLA"/>
        <s v="BTS"/>
        <s v="KUO"/>
        <s v="BQS"/>
        <s v="OSR"/>
        <s v="NGS"/>
        <s v="RIX"/>
        <s v="KTW"/>
        <s v="MJZ"/>
        <s v="SQQ"/>
        <s v="NSK"/>
        <s v="KUN"/>
        <s v="BEG"/>
        <s v="LLW"/>
        <s v="RZE"/>
        <s v="TSR"/>
        <s v="KSC"/>
        <s v="FKI"/>
        <s v="MSQ"/>
        <s v="FNJ"/>
        <s v="BJM"/>
        <s v="BEN"/>
        <s v="GPA"/>
        <s v="SBZ"/>
        <s v="SOF"/>
        <s v="KLX"/>
        <s v="KGL"/>
        <s v="VOL"/>
        <s v="KVA"/>
        <s v="LXS"/>
        <s v="SKU"/>
        <s v="ELF"/>
        <s v="UYL"/>
        <s v="DME"/>
        <s v="BOJ"/>
        <s v="ZIA"/>
        <s v="KBP"/>
        <s v="TNR"/>
        <s v="CRK"/>
        <s v="LAO"/>
        <s v="KIV"/>
        <s v="HTA"/>
        <s v="MWZ"/>
        <s v="ODS"/>
        <s v="CND"/>
        <s v="EBB"/>
        <s v="TEQ"/>
        <s v="BWN"/>
        <s v="RUN"/>
        <s v="GOJ"/>
        <s v="ULU"/>
        <s v="DAR"/>
        <s v="HAH"/>
        <s v="DNK"/>
        <s v="NJC"/>
        <s v="SGC"/>
        <s v="UUD"/>
        <s v="JRO"/>
        <s v="YEI"/>
        <s v="NBO"/>
        <s v="IKT"/>
        <s v="KZN"/>
        <s v="PEE"/>
        <s v="SIP"/>
        <s v="EDL"/>
        <s v="ISE"/>
        <s v="EBD"/>
        <s v="HBE"/>
        <s v="MBA"/>
        <s v="KJA"/>
        <s v="ULY"/>
        <s v="SVX"/>
        <s v="ATZ"/>
        <s v="KUF"/>
        <s v="LCA"/>
        <s v="KRR"/>
        <s v="TJM"/>
        <s v="UFA"/>
        <s v="KRT"/>
        <s v="NAV"/>
        <s v="MZH"/>
        <s v="AER"/>
        <s v="CEK"/>
        <s v="OVB"/>
        <s v="KEJ"/>
        <s v="VAS"/>
        <s v="AAC"/>
        <s v="ABA"/>
        <s v="TLV"/>
        <s v="BEY"/>
        <s v="OMS"/>
        <s v="TCP"/>
        <s v="VDA"/>
        <s v="HTY"/>
        <s v="MLX"/>
        <s v="ETM"/>
        <s v="JHB"/>
        <s v="BAX"/>
        <s v="MRV"/>
        <s v="ERC"/>
        <s v="AKX"/>
        <s v="URY"/>
        <s v="OGZ"/>
        <s v="ERZ"/>
        <s v="EJH"/>
        <s v="ASM"/>
        <s v="TBS"/>
        <s v="KUA"/>
        <s v="TGG"/>
        <s v="YNB"/>
        <s v="BAL"/>
        <s v="KSY"/>
        <s v="MSR"/>
        <s v="LWN"/>
        <s v="HVD"/>
        <s v="GUW"/>
        <s v="TUI"/>
        <s v="EVN"/>
        <s v="PNH"/>
        <s v="SZB"/>
        <s v="TSE"/>
        <s v="PLX"/>
        <s v="KGF"/>
        <s v="RAE"/>
        <s v="NAJ"/>
        <s v="PEN"/>
        <s v="JIB"/>
        <s v="HAS"/>
        <s v="TIF"/>
        <s v="GYD"/>
        <s v="LGK"/>
        <s v="ABT"/>
        <s v="BHH"/>
        <s v="SEZ"/>
        <s v="BGW"/>
        <s v="RAH"/>
        <s v="HOD"/>
        <s v="SAH"/>
        <s v="VTE"/>
        <s v="BBO"/>
        <s v="ELQ"/>
        <s v="ADE"/>
        <s v="GLK"/>
        <s v="TAI"/>
        <s v="EAM"/>
        <s v="DWD"/>
        <s v="HBT"/>
        <s v="AQI"/>
        <s v="WAE"/>
        <s v="BSR"/>
        <s v="KWI"/>
        <s v="ALA"/>
        <s v="SHW"/>
        <s v="FRU"/>
        <s v="TAS"/>
        <s v="ASB"/>
        <s v="RIY"/>
        <s v="HOF"/>
        <s v="GXF"/>
        <s v="BAH"/>
        <s v="MDL"/>
        <s v="RGN"/>
        <s v="BHK"/>
        <s v="AZD"/>
        <s v="SKD"/>
        <s v="DYU"/>
        <s v="SCT"/>
        <s v="MZR"/>
        <s v="ZYL"/>
        <s v="DWC"/>
        <s v="CGP"/>
        <s v="KER"/>
        <s v="SLL"/>
        <s v="DAC"/>
        <s v="SHJ"/>
        <s v="BND"/>
        <s v="AAN"/>
        <s v="RKT"/>
        <s v="FJR"/>
        <s v="KBL"/>
        <s v="ACZ"/>
        <s v="MCT"/>
        <s v="CMB"/>
        <s v="KDH"/>
        <s v="KIN"/>
        <s v="FDF"/>
        <s v="MID"/>
        <s v="SJD"/>
        <s v="DUB"/>
        <s v="DEN"/>
        <s v="IAH"/>
        <s v="LAS"/>
        <s v="TIJ"/>
        <s v="ROK"/>
        <s v="ISA"/>
        <s v="AYQ"/>
        <s v="BHQ"/>
        <s v="LOP"/>
        <s v="ANU"/>
        <s v="GLA"/>
        <s v="EDI"/>
        <s v="ABQ"/>
        <s v="AUS"/>
        <s v="BNA"/>
        <s v="JAX"/>
        <s v="MEM"/>
        <s v="MSY"/>
        <s v="OAK"/>
        <s v="PBI"/>
        <s v="RSW"/>
        <s v="SAN"/>
        <s v="SJC"/>
        <s v="TPA"/>
        <s v="FPO"/>
        <s v="BHX"/>
        <s v="TIA"/>
        <s v="SZG"/>
        <s v="CRL"/>
        <s v="FOR"/>
        <s v="MCZ"/>
        <s v="NAT"/>
        <s v="MAO"/>
        <s v="CGR"/>
        <s v="BVB"/>
        <s v="SJK"/>
        <s v="PLU"/>
        <s v="REP"/>
        <s v="JPA"/>
        <s v="YVO"/>
        <s v="YXS"/>
        <s v="YBG"/>
        <s v="YYQ"/>
        <s v="YQX"/>
        <s v="YXY"/>
        <s v="YYR"/>
        <s v="LKO"/>
        <s v="CJB"/>
        <s v="BHJ"/>
        <s v="PNQ"/>
        <s v="PDG"/>
        <s v="PFO"/>
        <s v="YQG"/>
        <s v="YXU"/>
        <s v="AAL"/>
        <s v="PPT"/>
        <s v="MPL"/>
        <s v="YXE"/>
        <s v="KMQ"/>
        <s v="NUE"/>
        <s v="HER"/>
        <s v="MYY"/>
        <s v="YQB"/>
        <s v="YYT"/>
        <s v="YFB"/>
        <s v="TPS"/>
        <s v="NAP"/>
        <s v="BDS"/>
        <s v="TSA"/>
        <s v="VNO"/>
        <s v="SVG"/>
        <s v="POZ"/>
        <s v="KRK"/>
        <s v="FAO"/>
        <s v="ADA"/>
        <s v="TZX"/>
        <s v="TLM"/>
        <s v="BFM"/>
        <s v="BHM"/>
        <s v="COS"/>
        <s v="ECP"/>
        <s v="ELP"/>
        <s v="FAT"/>
        <s v="GSP"/>
        <s v="HSV"/>
        <s v="ICT"/>
        <s v="LGB"/>
        <s v="OKC"/>
        <s v="ONT"/>
        <s v="PSP"/>
        <s v="SAV"/>
        <s v="SFB"/>
        <s v="SRQ"/>
        <s v="TUL"/>
        <s v="TUS"/>
        <s v="MVD"/>
        <s v="HEA"/>
        <s v="PMV"/>
        <s v="TXN"/>
        <s v="CIH"/>
        <s v="IGR"/>
        <s v="RES"/>
        <s v="RGL"/>
        <s v="ROS"/>
        <s v="USH"/>
        <s v="CCC"/>
        <s v="JGS"/>
        <s v="BIO"/>
        <s v="CMW"/>
        <s v="SRZ"/>
        <s v="VVI"/>
        <s v="BGF"/>
        <s v="CYO"/>
        <s v="PUQ"/>
        <s v="CGD"/>
        <s v="IMF"/>
        <s v="MDE"/>
        <s v="IXR"/>
        <s v="HOG"/>
        <s v="SCU"/>
        <s v="VRA"/>
        <s v="DOM"/>
        <s v="AZS"/>
        <s v="LRM"/>
        <s v="POP"/>
        <s v="GND"/>
        <s v="DIR"/>
        <s v="LCE"/>
        <s v="KLU"/>
        <s v="KVD"/>
        <s v="SJJ"/>
        <s v="SPU"/>
        <s v="BRQ"/>
        <s v="EBJ"/>
        <s v="KEM"/>
        <s v="VAA"/>
        <s v="OUL"/>
        <s v="TMP"/>
        <s v="JYV"/>
        <s v="DOL"/>
        <s v="BIA"/>
        <s v="AGU"/>
        <s v="IXC"/>
        <s v="JDH"/>
        <s v="MDC"/>
        <s v="SOC"/>
        <s v="BJX"/>
        <s v="SRG"/>
        <s v="OSS"/>
        <s v="TWU"/>
        <s v="BTU"/>
        <s v="AOR"/>
        <s v="GAN"/>
        <s v="ERF"/>
        <s v="RLG"/>
        <s v="DGO"/>
        <s v="SLP"/>
        <s v="AXD"/>
        <s v="BKO"/>
        <s v="PEW"/>
        <s v="MUX"/>
        <s v="SKZ"/>
        <s v="ZAM"/>
        <s v="PPS"/>
        <s v="ZCL"/>
        <s v="CZM"/>
        <s v="TRC"/>
        <s v="CUU"/>
        <s v="CJS"/>
        <s v="MXL"/>
        <s v="BON"/>
        <s v="CUR"/>
        <s v="BQN"/>
        <s v="UVF"/>
        <s v="YYB"/>
        <s v="YJT"/>
        <s v="BFN"/>
        <s v="SPN"/>
        <s v="TIQ"/>
        <s v="POM"/>
        <s v="ASU"/>
        <s v="HIN"/>
        <s v="TIV"/>
        <s v="YRQ"/>
        <s v="SLY"/>
        <s v="NUX"/>
        <s v="NOJ"/>
        <s v="KGP"/>
        <s v="NBC"/>
        <s v="STW"/>
        <s v="GRV"/>
        <s v="PTG"/>
        <s v="CJJ"/>
        <s v="KUV"/>
        <s v="KRN"/>
        <s v="KSD"/>
        <s v="PBM"/>
        <s v="VST"/>
        <s v="BUQ"/>
        <s v="AOE"/>
        <s v="ADF"/>
        <s v="MQM"/>
        <s v="VAN"/>
        <s v="HUI"/>
        <s v="ZAT"/>
        <s v="KRY"/>
        <s v="LWO"/>
        <s v="AEX"/>
        <s v="AFW"/>
        <s v="AMA"/>
        <s v="AZA"/>
        <s v="BFL"/>
        <s v="DAB"/>
        <s v="DRO"/>
        <s v="GJT"/>
        <s v="GRK"/>
        <s v="GUC"/>
        <s v="LBB"/>
        <s v="MAF"/>
        <s v="MLB"/>
        <s v="MTJ"/>
        <s v="PIE"/>
        <s v="ROW"/>
        <s v="SPS"/>
        <s v="VPS"/>
        <s v="YUM"/>
        <s v="VLN"/>
        <s v="NOV"/>
        <s v="NGE"/>
        <s v="KMN"/>
        <s v="RCQ"/>
        <s v="JRH"/>
        <s v="IFO"/>
        <s v="SNU"/>
        <s v="JGA"/>
        <s v="COQ"/>
        <s v="STI"/>
        <s v="MTS"/>
        <s v="NQY"/>
        <s v="GME"/>
        <s v="SFS"/>
        <s v="BNX"/>
        <s v="MZI"/>
        <s v="KSO"/>
        <s v="AGT"/>
        <s v="WJU"/>
        <s v="VXC"/>
        <s v="OHD"/>
        <s v="OLA"/>
        <s v="NTY"/>
        <s v="KYZ"/>
        <s v="MCX"/>
        <s v="USQ"/>
        <s v="TBU"/>
        <s v="MDG"/>
        <s v="YNJ"/>
        <s v="NDG"/>
        <s v="DDG"/>
        <s v="HLD"/>
        <s v="WEH"/>
        <s v="JNZ"/>
        <s v="YNT"/>
        <s v="TAT"/>
        <s v="WEF"/>
        <s v="ABC"/>
        <s v="ORB"/>
        <s v="OZH"/>
        <s v="MPW"/>
        <s v="GGG"/>
        <s v="MEI"/>
        <s v="PUB"/>
        <s v="SCK"/>
        <s v="VCT"/>
        <s v="FLL"/>
        <s v="SAT"/>
        <s v="DAL"/>
        <s v="SMF"/>
        <s v="BFF"/>
        <s v="CLE"/>
        <s v="ORF"/>
        <s v="BUF"/>
        <s v="LAW"/>
        <s v="DHN"/>
        <s v="HLN"/>
        <s v="AKN"/>
        <s v="SAF"/>
        <s v="ALS"/>
        <s v="CDC"/>
        <s v="FNL"/>
        <s v="JJN"/>
        <s v="BFU"/>
        <s v="YIH"/>
        <s v="DYG"/>
        <s v="NNG"/>
        <s v="LAR"/>
        <s v="DEC"/>
        <s v="TWF"/>
        <s v="SUX"/>
        <s v="ALO"/>
        <s v="COD"/>
        <s v="SHR"/>
        <s v="LBE"/>
        <s v="YNG"/>
        <s v="BTM"/>
        <s v="APN"/>
        <s v="BAF"/>
        <s v="HRL"/>
        <s v="LRD"/>
        <s v="GPT"/>
        <s v="MOB"/>
        <s v="SHV"/>
        <s v="JAN"/>
        <s v="MGM"/>
        <s v="GCN"/>
        <s v="LIT"/>
        <s v="XNA"/>
        <s v="CHS"/>
        <s v="CAE"/>
        <s v="EGE"/>
        <s v="TYS"/>
        <s v="DSM"/>
        <s v="CID"/>
        <s v="IDA"/>
        <s v="MFR"/>
        <s v="RIC"/>
        <s v="RAP"/>
        <s v="FSD"/>
        <s v="SBN"/>
        <s v="MSN"/>
        <s v="LSE"/>
        <s v="BZN"/>
        <s v="GRB"/>
        <s v="BIS"/>
        <s v="FAR"/>
        <s v="GEG"/>
        <s v="FCA"/>
        <s v="SYR"/>
        <s v="ALB"/>
        <s v="BTV"/>
        <s v="JNU"/>
        <s v="VLI"/>
        <s v="MKZ"/>
        <s v="CCU"/>
        <s v="HKT"/>
        <s v="ISB"/>
        <s v="PMI"/>
        <s v="MPM" u="1"/>
      </sharedItems>
    </cacheField>
    <cacheField name="STATUS" numFmtId="0">
      <sharedItems containsBlank="1" count="5">
        <s v="OPRN"/>
        <s v="ROUTE ONLY"/>
        <s v="OPEN"/>
        <s v="AUDITED"/>
        <m/>
      </sharedItems>
    </cacheField>
    <cacheField name="STARS" numFmtId="1">
      <sharedItems containsString="0" containsBlank="1" containsNumber="1" containsInteger="1" minValue="0" maxValue="5" count="7">
        <n v="1"/>
        <n v="4"/>
        <n v="3"/>
        <n v="2"/>
        <n v="5"/>
        <n v="0"/>
        <m/>
      </sharedItems>
    </cacheField>
    <cacheField name="COUNTRY" numFmtId="0">
      <sharedItems count="181">
        <s v="Somalia"/>
        <s v="Egypt"/>
        <s v="Nigeria"/>
        <s v="Vietnam"/>
        <s v="Senegal"/>
        <s v="Ethiopia"/>
        <s v="China"/>
        <s v="South Africa"/>
        <s v="Ivory Coast"/>
        <s v="Saudi Arabia"/>
        <s v="Turkey"/>
        <s v="Guinea"/>
        <s v="Ghana"/>
        <s v="Syria"/>
        <s v="Philippines"/>
        <s v="Nepal"/>
        <s v="Iran"/>
        <s v="Jordan"/>
        <s v="Russia"/>
        <s v="Algeria"/>
        <s v="India"/>
        <s v="Romania"/>
        <s v="Norway"/>
        <s v="Pakistan"/>
        <s v="Malaysia"/>
        <s v="Poland"/>
        <s v="Mongolia"/>
        <s v="Brazil"/>
        <s v="Morocco"/>
        <s v="Indonesia"/>
        <s v="New Zealand"/>
        <s v="Thailand"/>
        <s v="Spain"/>
        <s v="Switzerland"/>
        <s v="France"/>
        <s v="Japan"/>
        <s v="South Korea"/>
        <s v="Australia"/>
        <s v="Canada"/>
        <s v="Germany"/>
        <s v="United Kingdom"/>
        <s v="United Arab Emirates"/>
        <s v="Singapore"/>
        <s v="Taiwan"/>
        <s v="Trinidad and Tobago"/>
        <s v="Guam"/>
        <s v="United States of America"/>
        <s v="Netherlands"/>
        <s v="Venezuela"/>
        <s v="Colombia"/>
        <s v="Italy"/>
        <s v="Portugal"/>
        <s v="Hungary"/>
        <s v="French Guiana"/>
        <s v="Austria"/>
        <s v="Puerto Rico"/>
        <s v="Finland"/>
        <s v="Denmark"/>
        <s v="Belgium"/>
        <s v="Mexico"/>
        <s v="Cuba"/>
        <s v="Argentines"/>
        <s v="Qatar"/>
        <s v="Sweden"/>
        <s v="Mauritius"/>
        <s v="Greece"/>
        <s v="Croatia"/>
        <s v="Iceland"/>
        <s v="Bermuda"/>
        <s v="Ireland"/>
        <s v="Greenland"/>
        <s v="American Samoa"/>
        <s v="Samoa"/>
        <s v="Haiti"/>
        <s v="Fiji"/>
        <s v="Aruba"/>
        <s v="Bahamas"/>
        <s v="Barbados"/>
        <s v="New Caledonia"/>
        <s v="Dominican Republic"/>
        <s v="Guadeloupe"/>
        <s v="Cape Verde"/>
        <s v="Gambia"/>
        <s v="Jamaica"/>
        <s v="Guinea-Bissau"/>
        <s v="Sierra Leone"/>
        <s v="Mauritania"/>
        <s v="Liberia"/>
        <s v="Burkina Faso"/>
        <s v="Togo"/>
        <s v="Namibia"/>
        <s v="Angola"/>
        <s v="Niger"/>
        <s v="Lesotho"/>
        <s v="Equatorial Guinea"/>
        <s v="Gabon"/>
        <s v="Botswana"/>
        <s v="Congo - Brazzaville"/>
        <s v="Luxembourg"/>
        <s v="Tunisia"/>
        <s v="Chad"/>
        <s v="Zambia"/>
        <s v="Zimbabwe"/>
        <s v="Libya"/>
        <s v="Slovenia"/>
        <s v="Estonia"/>
        <s v="Malta"/>
        <s v="Slovakia"/>
        <s v="Latvia"/>
        <s v="Lithuania"/>
        <s v="Serbia"/>
        <s v="Malawi"/>
        <s v="Belarus"/>
        <s v="North Korea"/>
        <s v="Burundi"/>
        <s v="Bulgaria"/>
        <s v="Rwanda"/>
        <s v="Sudan"/>
        <s v="Ukraine"/>
        <s v="Madagascar"/>
        <s v="Moldova"/>
        <s v="Tanzania"/>
        <s v="Uganda"/>
        <s v="Brunei"/>
        <s v="Comoros"/>
        <s v="Kenya"/>
        <s v="Cyprus"/>
        <s v="Israel"/>
        <s v="Lebanon"/>
        <s v="Kazakhstan"/>
        <s v="Eritrea"/>
        <s v="Georgia"/>
        <s v="Armenia"/>
        <s v="Cambodia"/>
        <s v="Azerbaijan"/>
        <s v="Djibouti"/>
        <s v="Seychelles"/>
        <s v="Yemen"/>
        <s v="Laos"/>
        <s v="Kuwait"/>
        <s v="Kyrgyzstan"/>
        <s v="Uzbekistan"/>
        <s v="Turkmenistan"/>
        <s v="Bahrain"/>
        <s v="Myanmar"/>
        <s v="Tajikistan"/>
        <s v="Afghanistan"/>
        <s v="Bangladesh"/>
        <s v="Oman"/>
        <s v="Sri Lanka"/>
        <s v="Martinique"/>
        <s v="Antigua"/>
        <s v="Albania"/>
        <s v="French Polynesia"/>
        <s v="Uruguay"/>
        <s v="Bolivia"/>
        <s v="Central African Republic"/>
        <s v="Chile"/>
        <s v="Dominica"/>
        <s v="Grenada"/>
        <s v="Honduras"/>
        <s v="Bosnia and Herzegovina"/>
        <s v="Czechia"/>
        <s v="Maldives"/>
        <s v="Mali"/>
        <s v="Netherlands Antilles"/>
        <s v="Saint Lucia"/>
        <s v="Northern Mariana Islands"/>
        <s v="Papua New Guinea"/>
        <s v="Paraguay"/>
        <s v="Montenegro"/>
        <s v="Suriname"/>
        <s v="Cameroun"/>
        <s v="Democratic Republic of the Congo"/>
        <s v="Eswatini"/>
        <s v="Mozambique"/>
        <s v="Macedonia"/>
        <s v="Tonga"/>
        <s v="Vanuatu"/>
        <s v="United States" u="1"/>
        <s v="Argentina" u="1"/>
      </sharedItems>
    </cacheField>
    <cacheField name="CONT." numFmtId="0">
      <sharedItems count="7">
        <s v="AF"/>
        <s v="AS"/>
        <s v="EU"/>
        <s v="SA"/>
        <s v="OC"/>
        <s v="NA"/>
        <s v="NA - US"/>
      </sharedItems>
    </cacheField>
    <cacheField name="CITY" numFmtId="0">
      <sharedItems count="1098">
        <s v="Mogadishu - Aden Adde Intl"/>
        <s v="Cairo - Metropolitan Area"/>
        <s v="Kano - Mallam Aminu Kano Intl"/>
        <s v="Ho Chi Minh City - Tan Son Nhat Intl"/>
        <s v="Lagos - Murtala Muhammed Intl"/>
        <s v="Dakar - Metropolitan Area"/>
        <s v="Awasa"/>
        <s v="Kunming - Changshui Intl"/>
        <s v="Abuja - Nnamdi Azikiwe Intl"/>
        <s v="Johannesburg - Metropolitan Area"/>
        <s v="Abidjan - Felix Houphouet-Boigny"/>
        <s v="Chongqing - Jiangbei Intl"/>
        <s v="Sharm el-Sheikh - International"/>
        <s v="Hurghada - International"/>
        <s v="Abha"/>
        <s v="Xi'an - Xianyang Intl"/>
        <s v="Cape Town - International"/>
        <s v="Antalya"/>
        <s v="Jeddah - King Abdulaziz Intl"/>
        <s v="Conakry - International"/>
        <s v="Hanoi - Noi Bai Intl"/>
        <s v="Accra - Kotoka Intl"/>
        <s v="Damascus - International"/>
        <s v="Ankara - Esenboga"/>
        <s v="Cebu - Mactan International"/>
        <s v="Kathmandu - Tribhuvan Intl"/>
        <s v="Tehran - Imam Khomeini Intl"/>
        <s v="Urumqi - Diwopu Intl"/>
        <s v="Port Harcourt - International"/>
        <s v="Wuhan - Tianhe Intl"/>
        <s v="Guiyang - Longdongbao Intl"/>
        <s v="Haikou - Meilan Intl"/>
        <s v="Amman - Metropolitan Area"/>
        <s v="Sanya - Phoenix Intl"/>
        <s v="Durban - Metropolitan Area"/>
        <s v="Luxor - International"/>
        <s v="Moscow - Sheremetyevo"/>
        <s v="Zhengzhou - Xinzheng Intl"/>
        <s v="Hangzhou - Xiaoshan Intl"/>
        <s v="Ahwaz"/>
        <s v="Algiers - Houari Boumediene"/>
        <s v="Izmir - Adnan Menderes"/>
        <s v="Istanbul - Sabiha Gokcen"/>
        <s v="Aleppo - International"/>
        <s v="Lanzhou - Zhongchuan"/>
        <s v="Tabriz - International"/>
        <s v="Macau - International"/>
        <s v="Nanjing - Lukou Intl"/>
        <s v="Taiyuan - Wusu Intl"/>
        <s v="Guilin - Liangjiang Intl"/>
        <s v="Dalian - Zhoushuizi Intl"/>
        <s v="Xiamen - Gaoqi Intl"/>
        <s v="Aswan - International"/>
        <s v="Nanchang - Changbei Intl"/>
        <s v="Marsa Alam - International"/>
        <s v="Moscow - Vnukovo"/>
        <s v="Da Nang - International"/>
        <s v="Hohhot - Baita Intl"/>
        <s v="Shenyang - Taoxian Intl"/>
        <s v="Qingdao - Liuting Intl"/>
        <s v="Kaduna"/>
        <s v="Jiuzhaigou - Jiuzhai Huanglong"/>
        <s v="Abu Simbel"/>
        <s v="Xining - Caojiabao"/>
        <s v="Shiraz - Shahid Dastghaib Intl"/>
        <s v="Nagpur - Dr.Ambedkar Intl"/>
        <s v="Harbin - Taiping Intl"/>
        <s v="Dalaman"/>
        <s v="Jinan - Yaoqiang Intl"/>
        <s v="Fuzhou - Changle Intl"/>
        <s v="Tianjin - Binhai Intl"/>
        <s v="Yinchuan - Hedong"/>
        <s v="Bodrum - Milas"/>
        <s v="Bucharest - Baneasa - Aurel Vlaicu"/>
        <s v="Diyarbakir"/>
        <s v="Kermanshah - Shahid AshrafiEsfahani"/>
        <s v="Oslo - Metropolitan Area"/>
        <s v="St Petersburg - Metropolitan Area"/>
        <s v="Nha Trang - Cam Ranh Intl"/>
        <s v="Quetta - International"/>
        <s v="Yola"/>
        <s v="Ningbo - Lishe Intl"/>
        <s v="Esfahan - Shahid Beheshti Intl"/>
        <s v="Bucharest - Henri Coanda"/>
        <s v="Kota Kinabalu - International"/>
        <s v="Kayseri - Erkilet"/>
        <s v="Samsun - Carsamba"/>
        <s v="Gaziantep - Oguzeli"/>
        <s v="Warsaw - Frederic Chopin"/>
        <s v="Zhuhai - Sanzao Intl"/>
        <s v="Ulaanbaatar - Chinggis Khaan Intl"/>
        <s v="Changchun - Longjia Intl"/>
        <s v="Hefei - Xinqiao Intl"/>
        <s v="Davao - Francisco Bangoy Intl"/>
        <s v="Addis Ababa - Bole Intl"/>
        <s v="Rio de Janeiro - Galeao-A.C.Jobim Intl"/>
        <s v="Casablanca - Mohammed V"/>
        <s v="Surabaya - Juanda"/>
        <s v="Beijing Daxing International"/>
        <s v="Batam - Hang Nadim"/>
        <s v="Salvador - Luis E. Magalhaes Intl"/>
        <s v="Auckland - Metropolitan Area"/>
        <s v="Chiang Mai - International"/>
        <s v="Denpasar-Bali - Ngurah Rai"/>
        <s v="Gran Canaria"/>
        <s v="Malaga - Airport"/>
        <s v="Zurich - Airport"/>
        <s v="Tenerife-Sur"/>
        <s v="Paris - Orly"/>
        <s v="Sendai"/>
        <s v="Geneva - International"/>
        <s v="Tehran - Metropolitan Area"/>
        <s v="Bengaluru - Kempegowda Intl"/>
        <s v="Karachi - Jinnah Intl"/>
        <s v="Hyderabad - Metropolitan Area"/>
        <s v="Hong Kong - Metropolitan Area"/>
        <s v="Delhi - Indira Gandhi Intl"/>
        <s v="Medan - Kualanamu International Airport"/>
        <s v="Guangzhou - Baiyun Intl"/>
        <s v="Kuala Lumpur - Metropolitan Area"/>
        <s v="Madinah - Mohammad Bin Abdulaziz"/>
        <s v="Bangkok - Metropolitan Area"/>
        <s v="Bangkok - Don Mueang Int'l"/>
        <s v="Chengdu - Shuangliu Intl"/>
        <s v="Belo Horizonte - Tancredo Neves Intl"/>
        <s v="Recife - Guararapes Intl"/>
        <s v="Sao Paulo - Viracopos-Campinas Int"/>
        <s v="Seoul - Incheon International"/>
        <s v="Sydney - Metropolitan Area"/>
        <s v="Guwahati - Gopinath Bordoloi Intl"/>
        <s v="Marrakech - Menara"/>
        <s v="Tokyo Intl (Haneda)"/>
        <s v="Agadir - Al Massira"/>
        <s v="Makassar - Sultan Hasanuddin"/>
        <s v="Brisbane - International"/>
        <s v="Belem - Val de Cans Intl"/>
        <s v="Christchurch - International"/>
        <s v="Chiang Rai - Mae Fah Luang Intl"/>
        <s v="Tokyo - Narita Intl"/>
        <s v="Toronto - Lester B. Pearson Intl"/>
        <s v="Seoul - Gimpo International"/>
        <s v="Frankfurt - International"/>
        <s v="Jeju - International"/>
        <s v="London - Heathrow"/>
        <s v="Shenzhen - Bao'an Intl"/>
        <s v="Sao Paulo - Guarulhos Intl"/>
        <s v="Riyadh - King Khalid Intl"/>
        <s v="Beijing - Capital Intl"/>
        <s v="Shanghai - Pudong Intl"/>
        <s v="Manila - Metropolitan Area"/>
        <s v="Kertajati - Kertajati Airport"/>
        <s v="Brasilia - J. Kubitschek Intl"/>
        <s v="Shanghai - Metropolitan Area"/>
        <s v="Dubai - International"/>
        <s v="Yogyakarta Airport"/>
        <s v="Hat Yai - International"/>
        <s v="Singapore - Changi"/>
        <s v="Kozhikode - International"/>
        <s v="Port Blair - Veer Savarkar Intl"/>
        <s v="Srinagar - Sheikh ul Alam"/>
        <s v="Krabi"/>
        <s v="Bagdogra"/>
        <s v="Taipei - Metropolitan Area"/>
        <s v="Piarco Airport"/>
        <s v="Guam - Metropolitan Area"/>
        <s v="Dallas - Metropolitan Area"/>
        <s v="Orlando - International"/>
        <s v="Miami - Metropolitan Area"/>
        <s v="Melbourne - Metropolitan Area"/>
        <s v="Amsterdam - Schiphol Airport"/>
        <s v="Surat Thani"/>
        <s v="Vancouver - Metropolitan Area"/>
        <s v="Madrid - Metropolitan Area"/>
        <s v="Chicago - O'Hare International"/>
        <s v="Munich - International"/>
        <s v="Atlanta - Metropolitan Area"/>
        <s v="Tangier - Boukhalef Airport"/>
        <s v="Caracas - Simon Bolivar Intl"/>
        <s v="Fes - Saiss"/>
        <s v="London - Gatwick"/>
        <s v="Bogota - El Dorado Intl"/>
        <s v="Fukuoka"/>
        <s v="Rome - Fiumicino"/>
        <s v="Lisbon - Airport"/>
        <s v="New York - John F Kennedy Intl"/>
        <s v="Istanbul - Metropolitan Area"/>
        <s v="Budapest - Liszt Ferenc Int'l"/>
        <s v="Rabat - Sale"/>
        <s v="Osaka Intl (Itami)"/>
        <s v="Busan - Gimhae Intl"/>
        <s v="Montreal - Pierre E.Trudeau Intl"/>
        <s v="Osaka - Kansai International"/>
        <s v="San Francisco - International"/>
        <s v="Sapporo - New Chitose"/>
        <s v="London - Stansted"/>
        <s v="Manchester - Airport"/>
        <s v="Cayenne - Félix Eboué Airport"/>
        <s v="Vienna - Schwechat Intl"/>
        <s v="Calgary - International"/>
        <s v="New York - Newark Liberty Intl"/>
        <s v="San Juan - Metropolitan Area"/>
        <s v="Seattle - Metropolitan Area"/>
        <s v="Okinawa - Metropolitan Area"/>
        <s v="Barcelona - Airport"/>
        <s v="Duesseldorf - International"/>
        <s v="Boston - Metropolitan Area"/>
        <s v="Nagoya - Metropolitan Area"/>
        <s v="Helsinki - Metropolitan Area"/>
        <s v="Milan - Malpensa"/>
        <s v="Petrolina - Senador Nilo Coelho"/>
        <s v="Washington - Baltimore/Wash. Intl"/>
        <s v="U-Tapao - Rayong-Pattaya Intl"/>
        <s v="Jakarta - Halim Perdanakusuma"/>
        <s v="Washington - Dulles Intl"/>
        <s v="Copenhagen - Metropolitan Area"/>
        <s v="Brussels - Metropolitan Area"/>
        <s v="Cancun - International"/>
        <s v="Perth - International"/>
        <s v="Edmonton - International"/>
        <s v="Berlin - Tegel"/>
        <s v="Funchal - Madeira"/>
        <s v="Adelaide - International"/>
        <s v="Paris - Charles de Gaulle"/>
        <s v="Havana - Jose Marti Intl"/>
        <s v="Buenos Aires - Ministro Pistarini"/>
        <s v="Milan - Bergamo/Orio al Serio"/>
        <s v="Maracaibo - La Chinita Intl"/>
        <s v="Taichung Airport"/>
        <s v="Los Angeles - Metropolitan Area"/>
        <s v="Phoenix - Metropolitan Area"/>
        <s v="Cordoba - A.L.V. Taravella"/>
        <s v="Abu Dhabi - International"/>
        <s v="Lhasa Gonggar"/>
        <s v="Jaipur - International"/>
        <s v="Amritsar - Sri Guru Ram Dass Jee"/>
        <s v="Mangalore"/>
        <s v="Faisalabad - International"/>
        <s v="Vishakhapatnam"/>
        <s v="Mashhad - Shahid Hashemi Nejad"/>
        <s v="Doha - Hamad International"/>
        <s v="Leh - Kushok Bakula Rimpoche"/>
        <s v="Oujda - Angads"/>
        <s v="Charlotte - Metropolitan Area"/>
        <s v="Dammam - King Fahd Intl"/>
        <s v="Xichang - Qingshan"/>
        <s v="Jouf"/>
        <s v="Latakia - Bassel al Assad Intl"/>
        <s v="Stockholm - Arlanda"/>
        <s v="Wuxi - Sunan Shuofang"/>
        <s v="Beihai - Fucheng"/>
        <s v="Mauritius - Sir S. Ramgoolam Intl"/>
        <s v="Laayoune - Hassan I"/>
        <s v="Philadelphia - Metropolitan Area"/>
        <s v="Oran - Metropolitan Area"/>
        <s v="Minneapolis/St Paul - Metropolitan Area"/>
        <s v="Gizan"/>
        <s v="Konya"/>
        <s v="Deir ez Zor"/>
        <s v="Korla"/>
        <s v="Deqen - Shangri-La"/>
        <s v="Yuncheng - Guangong"/>
        <s v="Nelspruit - Kruger Mpumalanga Intl"/>
        <s v="Rahim Yar Khan - Shaikh Zayed Intl"/>
        <s v="Panzhihua - Bao'angong"/>
        <s v="Detroit - Metropolitan Wayne Co."/>
        <s v="Kamishly"/>
        <s v="Shijiazhuang - Zhengding Intl"/>
        <s v="Athens - Eleftherios Venizelos"/>
        <s v="Buon Ma Thuot"/>
        <s v="Dunhuang"/>
        <s v="Johannesburg - Lanseria International"/>
        <s v="Qamdo/Changdu - Bamda/Bangda"/>
        <s v="Khabarovsk - Novy"/>
        <s v="Wanzhou - Wuqiao"/>
        <s v="Vladivostok - Knevichi"/>
        <s v="Annaba - Rabah Bitat"/>
        <s v="Salt Lake City - International"/>
        <s v="Tabuk"/>
        <s v="Ahmedabad - S.VallabhBhai Patel"/>
        <s v="General Santos - International"/>
        <s v="Zagreb - Franjo Tudman"/>
        <s v="Hassi Messaoud - Oued Irara"/>
        <s v="Trondheim - Vaernes"/>
        <s v="Dakhla"/>
        <s v="Aqaba - King Hussein Intl"/>
        <s v="Honolulu - Daniel K. Inouye Intl"/>
        <s v="Bergen - Flesland"/>
        <s v="Kimberley"/>
        <s v="Stuttgart - Airport"/>
        <s v="Kashi"/>
        <s v="Goa - Dabolim"/>
        <s v="Portland - International"/>
        <s v="Golmud"/>
        <s v="Xuzhou - Guanyin"/>
        <s v="Tianshui - Maijishan"/>
        <s v="St Louis - Metropolitan Area"/>
        <s v="Sibu"/>
        <s v="Ottawa - Metropolitan Area"/>
        <s v="Yuzhno-Sakhalinsk - Khomutovo"/>
        <s v="Jiujiang - Lushan"/>
        <s v="Changzhou - Benniu"/>
        <s v="Cologne/Bonn - Airport"/>
        <s v="Yan'an - Nanniwan"/>
        <s v="Winnipeg - J.A. Richardson Intl"/>
        <s v="Hamburg - Airport"/>
        <s v="Kansas City - International"/>
        <s v="Bayankhongor"/>
        <s v="Upington"/>
        <s v="Cincinnati - Metropolitan Area"/>
        <s v="Hotan"/>
        <s v="Reykjavik - Keflavik International"/>
        <s v="Bermuda - L.F Wade International"/>
        <s v="Denizli - Cardak"/>
        <s v="Dubrovnik"/>
        <s v="Zhongwei - Xiangshan"/>
        <s v="Alicante - Airport"/>
        <s v="Raleigh/Durham - International"/>
        <s v="Shannon - International"/>
        <s v="Tindouf"/>
        <s v="Indianapolis - International"/>
        <s v="Columbus - Metropolitan Area"/>
        <s v="Pittsburgh - Metropolitan Area"/>
        <s v="Nottingham - East Midlands"/>
        <s v="Canberra"/>
        <s v="Goteborg - Metropolitan Area"/>
        <s v="Milwaukee - Metropolitan Area"/>
        <s v="Cairns - International"/>
        <s v="Manzhouli - Xijiao"/>
        <s v="Venice - Metropolitan Area"/>
        <s v="Belfast - Metropolitan Area"/>
        <s v="Oslo - Sandefjord-Torp"/>
        <s v="Springfield - Bradley International"/>
        <s v="Tenerife-Norte"/>
        <s v="Nyingchi/Linzhi - Mainling/Milin"/>
        <s v="Gwangju"/>
        <s v="Jining - Qufu"/>
        <s v="Bologna - Guglielmo Marconi"/>
        <s v="Valencia - Airport"/>
        <s v="Omaha - Metropolitan Area"/>
        <s v="Hannover - Airport"/>
        <s v="Bodo"/>
        <s v="Petropavlovsk - Yelizovo"/>
        <s v="Stockholm - Skavsta"/>
        <s v="Daegu - International"/>
        <s v="Rhodes - Diagoras"/>
        <s v="Turin - Caselle"/>
        <s v="Reno/Tahoe Intl"/>
        <s v="Sevilla - Airport"/>
        <s v="Louisville - Metropolitan Area"/>
        <s v="Pisa - Galileo Galilei"/>
        <s v="Manchester-Boston Rgnl"/>
        <s v="Ibiza"/>
        <s v="Pula"/>
        <s v="Anqing - Tianzhushan"/>
        <s v="Dayton - Metropolitan Area"/>
        <s v="Boise - Air Term. (Gowen Fld)"/>
        <s v="Malmo - Airport"/>
        <s v="Nice - Cote d'Azur"/>
        <s v="Kona - Keahole"/>
        <s v="Billund"/>
        <s v="Chania - Ioannis Daskalogiannis"/>
        <s v="Barranquilla - Ernesto Cortissoz Intl"/>
        <s v="Anadyr - Ugolny"/>
        <s v="Glasgow - Prestwick"/>
        <s v="Grand Rapids - Gerald R. Ford Intl"/>
        <s v="Lyon - Metropolitan Area"/>
        <s v="Myrtle Beach - Metropolitan Area"/>
        <s v="Greensboro/High Point - Piedmont Triad Intl"/>
        <s v="Abbotsford - International"/>
        <s v="Toronto - John C. Munro Hamilton"/>
        <s v="Marseille - Provence"/>
        <s v="Hilo - International"/>
        <s v="Harstad/Narvik - Evenes"/>
        <s v="Mulhouse/Basel - EuroAirport French FR"/>
        <s v="Toulouse - Blagnac"/>
        <s v="Lulea - Kallax"/>
        <s v="Graz - Airport"/>
        <s v="Santiago de Compostela"/>
        <s v="Kangerlussuaq"/>
        <s v="Moline - Quad City Intl"/>
        <s v="Bordeaux - Merignac"/>
        <s v="Linz - Blue Danube"/>
        <s v="Comox"/>
        <s v="Doncaster/Sheffield - Robin Hood"/>
        <s v="Nantes - Atlantique"/>
        <s v="Granada - Federico Garcia Lorca"/>
        <s v="Almeria - Airport"/>
        <s v="Preveza/Lefkada - Aktion"/>
        <s v="Lille - Lesquin"/>
        <s v="Muan - International"/>
        <s v="Melbourne - Avalon"/>
        <s v="Brest - Bretagne"/>
        <s v="Lahore - Allama Iqbal Intl"/>
        <s v="Kaohsiung - International"/>
        <s v="Kochi - International"/>
        <s v="Thiruvananthapuram - International"/>
        <s v="Bahawalpur"/>
        <s v="Chennai - International"/>
        <s v="Hayden - Yampa Valley"/>
        <s v="Belleville - MidAmerica St Louis"/>
        <s v="Pago Pago - International"/>
        <s v="Lincoln"/>
        <s v="Cheyenne - Metropolitan Area"/>
        <s v="Rock Springs - Sweetwater County"/>
        <s v="Apia - Metropolitan Area"/>
        <s v="Casper - Natrona County Intl"/>
        <s v="Peoria - General Downing Intl"/>
        <s v="Pocatello - Regional"/>
        <s v="Klamath Falls"/>
        <s v="Fort Wayne - Metropolitan Area"/>
        <s v="Chicago/Rockford Intl"/>
        <s v="Billings - Logan Intl"/>
        <s v="Rochester - International"/>
        <s v="Toledo - Metropolitan Area"/>
        <s v="Harrisburg - International"/>
        <s v="Atlantic City - International"/>
        <s v="Missoula - International"/>
        <s v="Duluth - International"/>
        <s v="Great Falls - Metropolitan Area"/>
        <s v="Marquette - Sawyer International"/>
        <s v="New York - Stewart International"/>
        <s v="Seattle - Boeing Fld-King Co Int"/>
        <s v="Niagara Falls - International"/>
        <s v="Port-au-Prince - Toussaint Louverture"/>
        <s v="Monterrey - Metropolitan Area"/>
        <s v="Nadi - International"/>
        <s v="Aruba - Reina Beatrix"/>
        <s v="Plattsburgh - International"/>
        <s v="Boston - Portsmouth Pease Intl"/>
        <s v="Nassau - Lynden Pindling Intl"/>
        <s v="Bridgetown - Grantley Adams Intl"/>
        <s v="Bangor - International"/>
        <s v="Kelowna - International"/>
        <s v="Noumea - Metropolitan Area"/>
        <s v="Halifax - Metropolitan Area"/>
        <s v="Punta Cana - International"/>
        <s v="Santo Domingo - Metropolitan Area"/>
        <s v="Pointe-a-Pitre - Le Raizet"/>
        <s v="Anchorage - Metropolitan Area"/>
        <s v="Cold Bay"/>
        <s v="Fairbanks - Metropolitan Area"/>
        <s v="Sal Island - Amilcar Cabral Intl"/>
        <s v="Terceira Island - Lajes"/>
        <s v="Banjul - International"/>
        <s v="Montego Bay - Sangster Intl"/>
        <s v="Santa Maria Island - Airport"/>
        <s v="Bissau - Osvaldo Vieira Intl"/>
        <s v="Freetown - Metropolitan Area"/>
        <s v="Nouakchott"/>
        <s v="Monrovia - Roberts Intl"/>
        <s v="Porto Santo - Airport"/>
        <s v="Yamoussoukro"/>
        <s v="Bobo Dioulasso"/>
        <s v="Porto - Francisco Sa Carneiro"/>
        <s v="Ouagadougou"/>
        <s v="Ouarzazate"/>
        <s v="Badajoz - Airport"/>
        <s v="Lome - G. Eyadema Intl"/>
        <s v="Errachidia - Moulay Ali Cherif"/>
        <s v="Windhoek - Metropolitan Area"/>
        <s v="Valladolid - Airport"/>
        <s v="Lubango - Mukanka"/>
        <s v="Nador - El Aroui"/>
        <s v="Niamey - Diori Hamani Intl"/>
        <s v="Bechar - Boudghene B. Ali Lotfi"/>
        <s v="Ondangwa"/>
        <s v="Magadan - Sokol"/>
        <s v="Campbeltown"/>
        <s v="Catumbela"/>
        <s v="Ondjiva"/>
        <s v="Adrar - Touat"/>
        <s v="Timimoun"/>
        <s v="Vitoria - Airport"/>
        <s v="Luanda - 4 de Fevereiro"/>
        <s v="Darwin - International"/>
        <s v="Zaragoza - Airport"/>
        <s v="Maseru - Moshoeshoe I Intl"/>
        <s v="Malabo - International"/>
        <s v="Libreville - Leon M'ba Intl"/>
        <s v="Lourdes/Tarbes - Pyrenees"/>
        <s v="In Salah"/>
        <s v="Tiaret - Bou Chekif"/>
        <s v="Gaborone - Sir Seretse Khama Intl"/>
        <s v="Douala - International"/>
        <s v="El Golea"/>
        <s v="Hassi R'mel - Tilrempt"/>
        <s v="Laghouat - L'Mekrareg"/>
        <s v="Menongue"/>
        <s v="Chateauroux - Deols"/>
        <s v="Manston - Kent International"/>
        <s v="Tamanrasset - Aguenar"/>
        <s v="Oostende/Brugge - Airport"/>
        <s v="Clermont-Ferrand - Auvergne"/>
        <s v="Ghardaia - Noumerat"/>
        <s v="Derby - RAAF Curtin"/>
        <s v="Aomori"/>
        <s v="Hakodate"/>
        <s v="Eindhoven - Airport"/>
        <s v="Brazzaville - Maya-Maya Airport"/>
        <s v="Liege - Airport"/>
        <s v="Lyon - Grenoble-Isere"/>
        <s v="Kinshasa - Metropolitan Area"/>
        <s v="Yaounde - Nsimalen Intl"/>
        <s v="Ouargla - Ain el Beida"/>
        <s v="Paris - Chalons-Vatry"/>
        <s v="Tiksi"/>
        <s v="Luxembourg"/>
        <s v="Batna - Mostepha Ben Boulaid"/>
        <s v="Constantine - Mohamed Boudiaf"/>
        <s v="Metz/Nancy - Lorraine"/>
        <s v="Biskra - Mohamed Khider"/>
        <s v="El Oued - Guemar"/>
        <s v="Touggourt - Sidi Mahdi"/>
        <s v="Frankfurt-Hahn Airport"/>
        <s v="Basel/Mulhouse - EuroAirport Swiss"/>
        <s v="Aarhus - Airport"/>
        <s v="Karup - Midtjyllands"/>
        <s v="Karlsruhe/Baden-Baden - Baden Airpark"/>
        <s v="Saarbruecken - Zweibruecken"/>
        <s v="Tozeur - Nefta"/>
        <s v="Illizi - Takhamalt"/>
        <s v="Saurimo"/>
        <s v="Alghero - Fertilia"/>
        <s v="Cagliari - Elmas"/>
        <s v="Genoa - Cristoforo Colombo"/>
        <s v="In Amenas - Zarzaitine"/>
        <s v="Tebessa - Cheikh Larbi Tebessi"/>
        <s v="Yakutsk"/>
        <s v="Djanet - Tiska"/>
        <s v="Lakselv - Banak"/>
        <s v="Gafsa - Ksar"/>
        <s v="Tabarka - Ain Draham"/>
        <s v="Garoua - International"/>
        <s v="Leipzig/Halle - Airport"/>
        <s v="Verona - Metropolitan Area"/>
        <s v="Tunis - Carthage"/>
        <s v="Memmingen - Allgaeu Airport"/>
        <s v="Verona - Brescia/Montichiari"/>
        <s v="Enfidha - Hammamet"/>
        <s v="Learmonth"/>
        <s v="Dresden - Airport"/>
        <s v="Djerba - Zarsis"/>
        <s v="Monastir - Habib Bourguiba Intl"/>
        <s v="N'Djamena - Hassan Djamous Intl"/>
        <s v="Rovaniemi"/>
        <s v="Berlin - Schoenefeld"/>
        <s v="Sfax - Thyna"/>
        <s v="Prague - Metropolitan Area"/>
        <s v="Palermo - Punta Raisi"/>
        <s v="Ancona - Falconara"/>
        <s v="Rimini - Miramare"/>
        <s v="Trieste - Ronchi dei Legionari"/>
        <s v="Lusaka - International"/>
        <s v="Harare - Robert Gabriel Mugabe Airport"/>
        <s v="Tripoli - International"/>
        <s v="Oita"/>
        <s v="Gdansk - Lech Walesa"/>
        <s v="Ljubljana - Joze Pucnik"/>
        <s v="Lubumbashi - Luano Intl"/>
        <s v="Kumamoto"/>
        <s v="Kagoshima"/>
        <s v="Tallinn - Lennart Meri"/>
        <s v="Malta - Luqa International"/>
        <s v="Bratislava - M.R. Stefanik"/>
        <s v="Kuopio"/>
        <s v="Blagoveshchensk - Ignatyevo"/>
        <s v="Ostrava - Leos Janacek"/>
        <s v="Nagasaki Airport"/>
        <s v="Riga - International"/>
        <s v="Katowice - Pyrzowice"/>
        <s v="Mirny"/>
        <s v="Siauliai - International"/>
        <s v="Norilsk - Alykel"/>
        <s v="Kaunas - International"/>
        <s v="Belgrade - Metropolitan Area"/>
        <s v="Lilongwe - Kamuzu Intl"/>
        <s v="Rzeszow - Jasionka"/>
        <s v="Timisoara - Traian Vuia"/>
        <s v="Kosice"/>
        <s v="Kisangani - Bangoka Intl"/>
        <s v="Minsk - Metropolitan Area"/>
        <s v="Pyongyang - Sunan Intl"/>
        <s v="Bujumbura - International"/>
        <s v="Benghazi - Benina Intl"/>
        <s v="Patrai - Araxos"/>
        <s v="Sibiu"/>
        <s v="Sofia"/>
        <s v="Kalamata"/>
        <s v="Kigali - International"/>
        <s v="Volos - Nea Anchialos"/>
        <s v="Kavala - Megas Alexandros"/>
        <s v="Limnos"/>
        <s v="Skyros"/>
        <s v="El Fasher"/>
        <s v="Nyala"/>
        <s v="Moscow - Domodedovo"/>
        <s v="Burgas"/>
        <s v="Moscow Oblast - Zhukovsky Airport"/>
        <s v="Kyiv - Boryspil Intl"/>
        <s v="Antananarivo - Ivato Intl"/>
        <s v="Angeles/Mabalacat - Clark Intl"/>
        <s v="Laoag - International"/>
        <s v="Chisinau - International"/>
        <s v="Chita - Kadala"/>
        <s v="Mwanza"/>
        <s v="Odesa - International"/>
        <s v="Constanta - Mihail Kogalniceanu"/>
        <s v="Entebbe - International"/>
        <s v="Tekirdag - Corlu"/>
        <s v="Bandar Seri Begawan - Brunei International"/>
        <s v="St-Denis - Roland Garros"/>
        <s v="Nizhny Novgorod - Strigino"/>
        <s v="Gulu"/>
        <s v="Dar es Salaam - Julius Nyerere Intl"/>
        <s v="Moroni - Prince Said Ibrahim"/>
        <s v="Dnipropetrovsk - International"/>
        <s v="Nizhnevartovsk"/>
        <s v="Surgut"/>
        <s v="Ulan-Ude - Mukhino"/>
        <s v="Kilimanjaro - International"/>
        <s v="Bursa - Yenisehir"/>
        <s v="Nairobi - Metropolitan Area"/>
        <s v="Irkutsk"/>
        <s v="Kazan - International"/>
        <s v="Perm - Bolshoye Savino"/>
        <s v="Simferopol - International"/>
        <s v="Eldoret - International"/>
        <s v="Isparta - Suleyman Demirel"/>
        <s v="El Obeid"/>
        <s v="Alexandria - Borg el Arab"/>
        <s v="Mombasa - Moi International"/>
        <s v="Krasnoyarsk"/>
        <s v="Ulyanovsk - Vostochny"/>
        <s v="Yekaterinburg - Koltsovo"/>
        <s v="Asyut"/>
        <s v="Samara - Kurumoch Int'l"/>
        <s v="Larnaca"/>
        <s v="Krasnodar - Pashkovsky"/>
        <s v="Tyumen - Roshchino"/>
        <s v="Ufa"/>
        <s v="Khartoum - International"/>
        <s v="Nevsehir - Kapadokya"/>
        <s v="Amasya - Merzifon"/>
        <s v="Sochi - International"/>
        <s v="Chelyabinsk - Balandino"/>
        <s v="Novosibirsk - Tolmachevo"/>
        <s v="Kemerovo"/>
        <s v="Sivas"/>
        <s v="El Arish - International"/>
        <s v="Abakan"/>
        <s v="Tel Aviv - Ben Gurion Intl"/>
        <s v="Beirut - Rafic Hariri Intl"/>
        <s v="Omsk - Tsentralny"/>
        <s v="Taba - International"/>
        <s v="Ovda - Airport"/>
        <s v="Hatay"/>
        <s v="Malatya - Erhac"/>
        <s v="Eilat - Ramon Airport"/>
        <s v="Johor Bahru - Senai Intl"/>
        <s v="Barnaul"/>
        <s v="Mineralnye Vody"/>
        <s v="Erzincan"/>
        <s v="Aktobe"/>
        <s v="Gurayat"/>
        <s v="Vladikavkaz - Beslan"/>
        <s v="Erzurum"/>
        <s v="Wedjh"/>
        <s v="Asmara Airport"/>
        <s v="Tbilisi - International"/>
        <s v="Kuantan - Sultan Haji Ahmad Shah"/>
        <s v="Kuala Terengganu - Sultan Mahmud"/>
        <s v="Yanbu al Bahr"/>
        <s v="Batman"/>
        <s v="Kars"/>
        <s v="Mus"/>
        <s v="Gyumri - Shirak"/>
        <s v="Khovd"/>
        <s v="Atyrau"/>
        <s v="Turaif"/>
        <s v="Yerevan - Zvartnots Intl"/>
        <s v="Phnom Penh - International"/>
        <s v="Kuala Lumpur - Sultan Abdul Aziz Shah"/>
        <s v="Nur-Sultan - Nursultan Nazarbayev"/>
        <s v="Semey"/>
        <s v="Karaganda - Sary-Arka"/>
        <s v="Arar"/>
        <s v="Nakchivan"/>
        <s v="Penang - International"/>
        <s v="Djibouti - Ambouli Intl"/>
        <s v="Hail"/>
        <s v="Taif"/>
        <s v="Baku - Heydar Aliyev Intl"/>
        <s v="Langkawi - International"/>
        <s v="Al Baha - Al-Aqiq"/>
        <s v="Bisha"/>
        <s v="Mahe Island - Seychelles Intl"/>
        <s v="Baghdad - International"/>
        <s v="Rafha"/>
        <s v="Hodeidah - International"/>
        <s v="Sana'a - International"/>
        <s v="Vientiane - Wattay Intl"/>
        <s v="Berbera"/>
        <s v="Gassim"/>
        <s v="Aden - International"/>
        <s v="Galcaio"/>
        <s v="Taizz - International"/>
        <s v="Nejran"/>
        <s v="Dawadmi - King Salman Abdulaziz"/>
        <s v="Hambantota - SPB"/>
        <s v="Qaisumah - Hafar al Batin"/>
        <s v="Wadi al Dawaser"/>
        <s v="Basrah - International"/>
        <s v="Kuwait - International"/>
        <s v="Almaty - International"/>
        <s v="Sharurah"/>
        <s v="Bishkek - Manas Intl"/>
        <s v="Tashkent - International"/>
        <s v="Ashgabat - International"/>
        <s v="Mukalla - Riyan"/>
        <s v="Hofuf - Al-Ahsa"/>
        <s v="Sayun - Airport"/>
        <s v="Bahrain - International"/>
        <s v="Mandalay Airport"/>
        <s v="Yangon - International"/>
        <s v="Bukhara - International"/>
        <s v="Yazd - Shahid Sadooghi"/>
        <s v="Samarkand - International"/>
        <s v="Dushanbe - International"/>
        <s v="Socotra - Airport"/>
        <s v="Mazar-e Sharif"/>
        <s v="Sylhet - Osmani Intl"/>
        <s v="Dubai - Al Maktoum International Airport"/>
        <s v="Chittagong - Shah Amanat Intl"/>
        <s v="Kerman"/>
        <s v="Salalah - Airport"/>
        <s v="Dhaka - Hazrat Shahjalal Intl"/>
        <s v="Sharjah - International"/>
        <s v="Bandar Abbas - International"/>
        <s v="Al Ain - International"/>
        <s v="Ras al Khaimah - International"/>
        <s v="Fujairah - International"/>
        <s v="Kabul - International"/>
        <s v="Zabol"/>
        <s v="Muscat - International"/>
        <s v="Colombo - Metropolitan Area"/>
        <s v="Kandahar - International"/>
        <s v="Kingston - Metropolitan Area"/>
        <s v="Fort-de-France - Martinique A. Cesaire"/>
        <s v="Merida - M. Crescencio Rejon"/>
        <s v="San Jose del Cabo - Los Cabos Intl"/>
        <s v="Dublin - International"/>
        <s v="Denver - Metropolitan Area"/>
        <s v="Houston - George Bush Intercont."/>
        <s v="Las Vegas - Metropolitan Area"/>
        <s v="Tijuana - A.L. Rodriguez Intl"/>
        <s v="Rockhampton"/>
        <s v="Mount Isa"/>
        <s v="Ayers Rock - Connellan"/>
        <s v="Broken Hill"/>
        <s v="Lombok - Zainuddin Abdul Madjid Airport"/>
        <s v="Antigua - V.C. Bird Intl"/>
        <s v="Glasgow - Metropolitan Area"/>
        <s v="Edinburgh - Airport"/>
        <s v="Albuquerque - International Sunport"/>
        <s v="Austin - Metropolitan Area"/>
        <s v="Nashville - International"/>
        <s v="Jacksonville - Metropolitan Area"/>
        <s v="Memphis - International"/>
        <s v="New Orleans - Metropolitan Area"/>
        <s v="Oakland - Metropolitan Area"/>
        <s v="West Palm Beach - Metropolitan Area"/>
        <s v="Fort Myers - Southwest Florida Intl"/>
        <s v="San Diego - Metropolitan Area"/>
        <s v="San Jose - Metropolitan Area"/>
        <s v="Tampa - Metropolitan Area"/>
        <s v="Freeport - Grand Bahama Intl"/>
        <s v="Birmingham - Airport"/>
        <s v="Tirana - Nene Tereza Intl"/>
        <s v="Salzburg - W.A. Mozart"/>
        <s v="Brussels S. Charleroi"/>
        <s v="Fortaleza - Pinto Martins Intl"/>
        <s v="Maceio - Zumbi dos Palmares Int"/>
        <s v="Natal - International"/>
        <s v="Manaus - Eduardo Gomes Intl"/>
        <s v="Campo Grande - International"/>
        <s v="Boa Vista - A.B. Cantanhede Intl"/>
        <s v="Sao Jose dos Campos - U.E. Stumpf Intl"/>
        <s v="Belo Horizonte - Pampulha"/>
        <s v="Siem Reap - Angkor Intl"/>
        <s v="Joao Pessoa - Castro Pinto Intl"/>
        <s v="Val d'Or"/>
        <s v="Prince George - Airport"/>
        <s v="Saguenay-Bagotville"/>
        <s v="Churchill - Airport"/>
        <s v="Gander - International"/>
        <s v="Whitehorse - Erik Nielsen Intl"/>
        <s v="Goose Bay"/>
        <s v="Lucknow - Chaudhary Charan Singh"/>
        <s v="Coimbatore - International"/>
        <s v="Bhuj - Shyamji Krishna Verma"/>
        <s v="Pune - Lohegaon"/>
        <s v="Padang - Minangkabau"/>
        <s v="Paphos - International"/>
        <s v="Windsor - Airport"/>
        <s v="London - International"/>
        <s v="Aalborg - Airport"/>
        <s v="Tahiti - Faaa"/>
        <s v="Montpellier - Mediterranee"/>
        <s v="Saskatoon - J.G. Diefenbaker Intl"/>
        <s v="Komatsu"/>
        <s v="Nuremberg - Airport"/>
        <s v="Irakleion - Nikos Kazantzakis"/>
        <s v="Miri"/>
        <s v="Quebec - Jean Lesage Intl"/>
        <s v="St John's - International"/>
        <s v="Iqaluit"/>
        <s v="Trapani - Birgi"/>
        <s v="Naples - Capodichino"/>
        <s v="Brindisi - Casale"/>
        <s v="Taipei - Songshan"/>
        <s v="Vilnius - International"/>
        <s v="Stavanger - Sola"/>
        <s v="Poznan - Lawica"/>
        <s v="Krakow - John Paul II - Balice"/>
        <s v="Faro - Airport"/>
        <s v="Adana - Sakirpasa"/>
        <s v="Trabzon"/>
        <s v="Tlemcen - Zenata-Messali El Hadj"/>
        <s v="Mobile - Downtown Arpt"/>
        <s v="Birmingham - Shuttlesworth Intl"/>
        <s v="Colorado Springs - Metropolitan Area"/>
        <s v="Panama City - Metropolitan Area"/>
        <s v="El Paso - Metropolitan Area"/>
        <s v="Fresno - Metropolitan Area"/>
        <s v="Greenville/Spartanburg - Metropolitan Area"/>
        <s v="Huntsville - Metropolitan Area"/>
        <s v="Wichita - Metropolitan Area"/>
        <s v="Long Beach - Daugherty Field"/>
        <s v="Oklahoma City - Metropolitan Area"/>
        <s v="Los Angeles - Ontario International"/>
        <s v="Palm Springs - Metropolitan Area"/>
        <s v="Savannah - Metropolitan Area"/>
        <s v="Orlando - Sanford Intl"/>
        <s v="Sarasota/Bradenton - International"/>
        <s v="Tulsa - Metropolitan Area"/>
        <s v="Tucson - Metropolitan Area"/>
        <s v="Montevideo - Carrasco"/>
        <s v="Herat"/>
        <s v="Porlamar - Del Caribe Intl"/>
        <s v="Huangshan - Tunxi Intl"/>
        <s v="Changzhi - Wangcun"/>
        <s v="Iguazu - Cataratas del Iguazu"/>
        <s v="Resistencia"/>
        <s v="Rio Gallegos - Piloto N. Fernandez"/>
        <s v="Rosario - Islas Malvinas"/>
        <s v="Ushuaia - Malvinas Argentinas"/>
        <s v="Cayo Coco - Jardines del Rey"/>
        <s v="Ji'an - Jinggangshan"/>
        <s v="Bilbao - Airport"/>
        <s v="Camaguey - Ignacio Agramonte Intl"/>
        <s v="Santa Cruz - Metropolitan Area"/>
        <s v="Santa Cruz - Viru Viru Intl"/>
        <s v="Bangui - Mpoko Intl"/>
        <s v="Cayo Largo del Sur - Vilo Acuna Intl"/>
        <s v="Punta Arenas - C.Ibanez del Campo"/>
        <s v="Changde - Taohuayuan"/>
        <s v="Imphal"/>
        <s v="Medellin - Metropolitan Area"/>
        <s v="Ranchi - Birsa Munda"/>
        <s v="Holguin - Frank Pais Intl"/>
        <s v="Santiago de Cuba - Antonio Maceo Intl"/>
        <s v="Varadero - Juan G. Gomez Intl"/>
        <s v="Dominica - Metropolitan Area"/>
        <s v="Samana - El Catey Intl"/>
        <s v="La Romana - Casa de Campo Intl"/>
        <s v="Puerto Plata - Gregorio Luperon Intl"/>
        <s v="Grenada - Maurice Bishop Intl"/>
        <s v="Dire Dawa - Aba Tenna D Yilma Intl"/>
        <s v="La Ceiba - Goloson International"/>
        <s v="Klagenfurt - Airport"/>
        <s v="Ganja"/>
        <s v="Sarajevo - International"/>
        <s v="Split"/>
        <s v="Brno - Turany"/>
        <s v="Esbjerg - Airport"/>
        <s v="Kemi/Tornio"/>
        <s v="Vaasa"/>
        <s v="Oulu"/>
        <s v="Tampere-Pirkkala"/>
        <s v="Jyvaskyla"/>
        <s v="Deauville - St Gatien"/>
        <s v="Bastia - Poretta"/>
        <s v="Aguascalientes - Jesus Teran Peredo Int"/>
        <s v="Chandigarh"/>
        <s v="Jodhpur"/>
        <s v="Manado - Sam Ratulangi"/>
        <s v="Surakarta (Solo) - Adi Sumarmo"/>
        <s v="Leon/Guanajuato - Del Bajio Intl"/>
        <s v="Semarang - Ahmad Yani"/>
        <s v="Osh"/>
        <s v="Tawau"/>
        <s v="Bintulu Airport"/>
        <s v="Alor Setar - Sultan Abdul Halim"/>
        <s v="Gan Island - International"/>
        <s v="Erfurt-Weimar"/>
        <s v="Rostock - Laage"/>
        <s v="Durango - Guadalupe Victoria Int"/>
        <s v="San Luis Potosi - Ponciano Arriaga Intl"/>
        <s v="Alexandroupolis - Dimokritos"/>
        <s v="Bamako - Senou Intl"/>
        <s v="Peshawar - Bacha Khan Intl"/>
        <s v="Multan - International"/>
        <s v="Sukkur"/>
        <s v="Zamboanga - International"/>
        <s v="Puerto Princesa - International"/>
        <s v="Zacatecas - Leobardo C. Ruiz Intl"/>
        <s v="Cozumel - International"/>
        <s v="Torreon - Francisco Sarabia Intl"/>
        <s v="Chihuahua - R. Fierro Villalobos"/>
        <s v="Ciudad Juarez - Abraham Gonzalez Intl"/>
        <s v="Mexicali - R.Sanchez Taboada Int"/>
        <s v="Bonaire - Flamingo International"/>
        <s v="Curacao - Hato Intl"/>
        <s v="Aguadilla - Rafael Hernandez"/>
        <s v="St Lucia - Hewanorra Intl"/>
        <s v="North Bay - Jack Garland"/>
        <s v="Stephenville - International"/>
        <s v="Bloemfontein - International"/>
        <s v="Saipan - Francisco C. Ada Intl"/>
        <s v="Tinian - International"/>
        <s v="Port Moresby - Jacksons International"/>
        <s v="Asuncion - Silvio Pettirossi Intl"/>
        <s v="Jinju - Sacheon"/>
        <s v="Tivat"/>
        <s v="Trois-Rivieres"/>
        <s v="Salekhard"/>
        <s v="Novy Urengoy"/>
        <s v="Noyabrsk"/>
        <s v="Kogalym"/>
        <s v="Nizhnekamsk - Begishevo"/>
        <s v="Stavropol - Shpakovskoye"/>
        <s v="Grozny"/>
        <s v="Polokwane - International"/>
        <s v="Cheongju - International"/>
        <s v="Gunsan"/>
        <s v="Kiruna"/>
        <s v="Karlstad"/>
        <s v="Paramaribo - Metropolitan Area"/>
        <s v="Stockholm - Vasteras"/>
        <s v="Bulawayo - Joshua M. Nkomo Intl"/>
        <s v="Eskisehir - Anadolu"/>
        <s v="Adiyaman"/>
        <s v="Mardin"/>
        <s v="Van - Ferit Melen"/>
        <s v="Hue - Phu Bai Intl"/>
        <s v="Zhaotong"/>
        <s v="Karamay - Airport"/>
        <s v="Lviv - International"/>
        <s v="Alexandria - Metropolitan Area"/>
        <s v="Fort Worth - Alliance"/>
        <s v="Amarillo - Metropolitan Area"/>
        <s v="Phoenix - Mesa Gateway"/>
        <s v="Bakersfield - Meadows Field"/>
        <s v="Daytona Beach - International"/>
        <s v="Durango - Metropolitan Area"/>
        <s v="Grand Junction - Regional"/>
        <s v="Killeen/Fort Hood - Regional/R.Gray AAF"/>
        <s v="Gunnison-Crested Butte"/>
        <s v="Lubbock - Metropolitan Area"/>
        <s v="Midland - Metropolitan Area"/>
        <s v="Melbourne - Orlando Melbourne Intl"/>
        <s v="Montrose - Regional"/>
        <s v="Tampa - St.Pete-Clearwater Int"/>
        <s v="Roswell - Intl Air Center"/>
        <s v="Wichita Falls - Metropolitan Area"/>
        <s v="Destin/Ft Walton Beach - Metropolitan Area"/>
        <s v="Yuma - Metropolitan Area"/>
        <s v="Valencia - Arturo Michelena Intl"/>
        <s v="Huambo - Albano Machado"/>
        <s v="Ngaoundere"/>
        <s v="Kamina-Ville"/>
        <s v="Reconquista"/>
        <s v="Jorhat - Rowriah"/>
        <s v="Ivano-Frankivsk - International"/>
        <s v="Santa Clara - Abel Santamaria"/>
        <s v="Jamnagar - Govardhanpur"/>
        <s v="Choibalsan"/>
        <s v="Santiago - Cibao Intl"/>
        <s v="Manzini - Matsapha International"/>
        <s v="Newquay - Cornwall"/>
        <s v="Gomel"/>
        <s v="Subic Bay - International"/>
        <s v="Banja Luka - International"/>
        <s v="Mopti - Ambodedjo"/>
        <s v="Kastoria - Aristotelis"/>
        <s v="Ciudad del Este - Guarani Intl"/>
        <s v="Wonju"/>
        <s v="Lichinga"/>
        <s v="Ohrid - St.Paul the Apostle"/>
        <s v="Orland"/>
        <s v="Sun City - Pilanesberg Intl"/>
        <s v="Kyzyl Airport"/>
        <s v="Makhachkala - Uytash"/>
        <s v="Usak"/>
        <s v="Nuku'alofa - Fua'amotu Intl"/>
        <s v="Mudanjiang - Hailang"/>
        <s v="Yanji - Chaoyangchuan"/>
        <s v="Qiqihar - Sanjiazi"/>
        <s v="Dandong - Langtou"/>
        <s v="Hailar - Dongshan"/>
        <s v="Weihai - Dashuibo"/>
        <s v="Jinzhouwan"/>
        <s v="Yantai - Penglai Intl"/>
        <s v="Poprad - Tatry"/>
        <s v="Weifang"/>
        <s v="Albacete - Airport"/>
        <s v="Orebro - Airport"/>
        <s v="Zaporizhzhia - Mokraya Intl"/>
        <s v="Mariupol - International"/>
        <s v="Longview - East Texas Regional"/>
        <s v="Meridian - Regional (Key Field)"/>
        <s v="Pueblo - Memorial"/>
        <s v="Sacramento - Stockton Metropolitan"/>
        <s v="Victoria - Regional"/>
        <s v="Fort Lauderdale - Metropolitan Area"/>
        <s v="San Antonio - Metropolitan Area"/>
        <s v="Dallas - Love Field"/>
        <s v="Sacramento - International"/>
        <s v="Scottsbluff - Western Nebraska Rgnl"/>
        <s v="Cleveland - Metropolitan Area"/>
        <s v="Norfolk - Metropolitan Area"/>
        <s v="Buffalo - Niagara International"/>
        <s v="Lawton/Fort Sill - Regional"/>
        <s v="Dothan - Regional"/>
        <s v="Helena - Regional"/>
        <s v="King Salmon"/>
        <s v="Santa Fe - Municipal"/>
        <s v="Alamosa - San Luis Valley Rgnl"/>
        <s v="Cedar City - Regional"/>
        <s v="Fort Collins/Loveland - Municipal"/>
        <s v="Quanzhou - Jinjiang"/>
        <s v="Bengbu"/>
        <s v="Yichang - Sanxia"/>
        <s v="Zhangjiajie - Hehua"/>
        <s v="Nanning - Wuxu Intl"/>
        <s v="Laramie - Regional"/>
        <s v="Decatur"/>
        <s v="Twin Falls - Magic Valley Regional"/>
        <s v="Sioux City - Sioux Gateway"/>
        <s v="Waterloo - Regional"/>
        <s v="Cody - Yellowstone Regional"/>
        <s v="Sheridan County"/>
        <s v="Latrobe - Arnold Palmer Regional"/>
        <s v="Youngstown/Warren - Regional"/>
        <s v="Butte - Bert Mooney"/>
        <s v="Alpena County Regional"/>
        <s v="Springfield - Westfield-Barnes Rgnl"/>
        <s v="Harlingen - Valley International"/>
        <s v="Laredo - International"/>
        <s v="Gulfport/Biloxi - International"/>
        <s v="Mobile - Metropolitan Area"/>
        <s v="Shreveport - Metropolitan Area"/>
        <s v="Jackson - Metropolitan Area"/>
        <s v="Montgomery - Metropolitan Area"/>
        <s v="Grand Canyon - Metropolitan Area"/>
        <s v="Little Rock - B. &amp; H. Clinton Natl"/>
        <s v="Fayetteville/Springd. - Northwest Arkansas Rgn"/>
        <s v="Charleston - International/AFB"/>
        <s v="Columbia - Metropolitan Area"/>
        <s v="Vail/Eagle - Eagle County Regional"/>
        <s v="Knoxville - McGhee Tyson"/>
        <s v="Des Moines - International"/>
        <s v="Cedar Rapids - The Eastern Iowa"/>
        <s v="Idaho Falls - Regional"/>
        <s v="Medford - Rogue Valley Intl"/>
        <s v="Richmond - International"/>
        <s v="Rapid City - Metropolitan Area"/>
        <s v="Sioux Falls - Joe Foss Field"/>
        <s v="South Bend - International"/>
        <s v="Madison - Dane County Regional"/>
        <s v="La Crosse - Regional"/>
        <s v="Bozeman - Yellowstone Intl"/>
        <s v="Green Bay - Austin Straubel Intl"/>
        <s v="Bismarck - Municipal"/>
        <s v="Fargo - Hector Intl"/>
        <s v="Spokane - Metropolitan Area"/>
        <s v="Kalispell - Glacier Park Intl"/>
        <s v="Syracuse - Hancock Intl"/>
        <s v="Albany - International"/>
        <s v="Burlington - International"/>
        <s v="Juneau - International"/>
        <s v="Port Vila - Bauerfield Intl"/>
        <s v="Malacca - Batu Berendam Airport"/>
        <s v="Kolkata - Subhas Chandra Bose"/>
        <s v="Phuket - International"/>
        <s v="Islamabad - International"/>
        <s v="Palma de Mallorca"/>
        <s v="Maputo - International" u="1"/>
      </sharedItems>
    </cacheField>
    <cacheField name="DISTANCE" numFmtId="0">
      <sharedItems containsString="0" containsBlank="1" containsNumber="1" containsInteger="1" minValue="124" maxValue="15556"/>
    </cacheField>
    <cacheField name="RT TIME _x000a_(380-800)" numFmtId="2">
      <sharedItems containsString="0" containsBlank="1" containsNumber="1" minValue="3" maxValue="36.5"/>
    </cacheField>
    <cacheField name="ROUTE $" numFmtId="44">
      <sharedItems containsString="0" containsBlank="1" containsNumber="1" containsInteger="1" minValue="144861512" maxValue="322334581"/>
    </cacheField>
    <cacheField name="$ PER PAX_x000a_(550/1100 PAX)" numFmtId="44">
      <sharedItems containsSemiMixedTypes="0" containsString="0" containsNumber="1" minValue="0" maxValue="119046.12284644195"/>
    </cacheField>
    <cacheField name="E - DEMAND" numFmtId="0">
      <sharedItems containsString="0" containsBlank="1" containsNumber="1" containsInteger="1" minValue="2663" maxValue="6303"/>
    </cacheField>
    <cacheField name="C_DEMAND" numFmtId="0">
      <sharedItems containsSemiMixedTypes="0" containsString="0" containsNumber="1" containsInteger="1" minValue="0" maxValue="68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s v="GRU/ABJ"/>
    <s v="ABJ"/>
    <x v="0"/>
    <x v="0"/>
    <x v="0"/>
    <x v="0"/>
    <s v="Abidjan - Felix Houphouet-Boigny"/>
    <n v="5611"/>
    <n v="14.5"/>
    <n v="187340959"/>
    <n v="47913.288746803068"/>
    <n v="3910"/>
    <n v="2"/>
    <n v="29"/>
  </r>
  <r>
    <s v="GRU/ATA"/>
    <s v="ATA"/>
    <x v="0"/>
    <x v="1"/>
    <x v="1"/>
    <x v="1"/>
    <s v="Huaraz - German Arias Graziani"/>
    <n v="3660"/>
    <n v="10.25"/>
    <n v="171734585"/>
    <n v="48581.21216407355"/>
    <n v="3535"/>
    <n v="2"/>
    <n v="20.5"/>
  </r>
  <r>
    <s v="GRU/AZS"/>
    <s v="AZS"/>
    <x v="0"/>
    <x v="0"/>
    <x v="2"/>
    <x v="2"/>
    <s v="Samana - El Catey Intl"/>
    <n v="5378"/>
    <n v="14"/>
    <n v="170158438"/>
    <n v="68890.055870445343"/>
    <n v="2470"/>
    <n v="1"/>
    <n v="14"/>
  </r>
  <r>
    <s v="GRU/BEL"/>
    <s v="BEL"/>
    <x v="0"/>
    <x v="1"/>
    <x v="3"/>
    <x v="1"/>
    <s v="Belem - Val de Cans Intl"/>
    <n v="2462"/>
    <n v="7.5"/>
    <n v="161814652"/>
    <n v="54391.479663865546"/>
    <n v="2975"/>
    <n v="2"/>
    <n v="15"/>
  </r>
  <r>
    <s v="GRU/BOG"/>
    <s v="BOG"/>
    <x v="0"/>
    <x v="2"/>
    <x v="4"/>
    <x v="1"/>
    <s v="Bogota - El Dorado Intl"/>
    <n v="4337"/>
    <n v="11.75"/>
    <n v="204557853"/>
    <n v="52383.57311139565"/>
    <n v="3905"/>
    <n v="2"/>
    <n v="23.5"/>
  </r>
  <r>
    <s v="GRU/BSB"/>
    <s v="BSB"/>
    <x v="0"/>
    <x v="2"/>
    <x v="3"/>
    <x v="1"/>
    <s v="Brasilia - J. Kubitschek Intl"/>
    <n v="854"/>
    <n v="4"/>
    <n v="165378940"/>
    <n v="49723.072760072158"/>
    <n v="3326"/>
    <n v="2"/>
    <n v="8"/>
  </r>
  <r>
    <s v="GRU/CCS"/>
    <s v="CCS"/>
    <x v="0"/>
    <x v="2"/>
    <x v="5"/>
    <x v="1"/>
    <s v="Caracas - Simon Bolivar Intl"/>
    <n v="4395"/>
    <n v="11.75"/>
    <n v="195337981"/>
    <n v="49780.321355759428"/>
    <n v="3924"/>
    <n v="2"/>
    <n v="23.5"/>
  </r>
  <r>
    <s v="GRU/CLO"/>
    <s v="CLO"/>
    <x v="0"/>
    <x v="1"/>
    <x v="4"/>
    <x v="1"/>
    <s v="Cali - Alfonso B. Aragon Intl"/>
    <n v="4417"/>
    <n v="12"/>
    <n v="179615502"/>
    <n v="57129.612595419851"/>
    <n v="3144"/>
    <n v="2"/>
    <n v="24"/>
  </r>
  <r>
    <s v="GRU/CUR"/>
    <s v="CUR"/>
    <x v="0"/>
    <x v="0"/>
    <x v="6"/>
    <x v="2"/>
    <s v="Curacao - Hato Intl"/>
    <n v="4657"/>
    <n v="12.5"/>
    <n v="176514201"/>
    <n v="75854.834980661792"/>
    <n v="2327"/>
    <n v="1"/>
    <n v="12.5"/>
  </r>
  <r>
    <s v="GRU/DLA"/>
    <s v="DLA"/>
    <x v="0"/>
    <x v="0"/>
    <x v="7"/>
    <x v="0"/>
    <s v="Douala - International"/>
    <n v="6808"/>
    <n v="17.25"/>
    <n v="196894234"/>
    <n v="52617.37947621593"/>
    <n v="3742"/>
    <n v="2"/>
    <n v="34.5"/>
  </r>
  <r>
    <s v="GRU/DSS"/>
    <s v="DSS"/>
    <x v="0"/>
    <x v="1"/>
    <x v="8"/>
    <x v="0"/>
    <s v="Dakar - Metropolitan Area"/>
    <n v="5308"/>
    <n v="14"/>
    <n v="192601517"/>
    <n v="45543.040198628514"/>
    <n v="4229"/>
    <n v="3"/>
    <n v="42"/>
  </r>
  <r>
    <s v="GRU/EZE"/>
    <s v="EZE"/>
    <x v="0"/>
    <x v="2"/>
    <x v="9"/>
    <x v="1"/>
    <s v="Buenos Aires - Ministro Pistarini"/>
    <n v="1723"/>
    <n v="6"/>
    <n v="166234203"/>
    <n v="53314.369146889032"/>
    <n v="3118"/>
    <n v="2"/>
    <n v="12"/>
  </r>
  <r>
    <s v="GRU/FNC"/>
    <s v="FNC"/>
    <x v="0"/>
    <x v="1"/>
    <x v="10"/>
    <x v="3"/>
    <s v="Funchal - Madeira"/>
    <n v="6993"/>
    <n v="17.5"/>
    <n v="206931672"/>
    <n v="81405.063729346977"/>
    <n v="2542"/>
    <n v="1"/>
    <n v="17.5"/>
  </r>
  <r>
    <s v="GRU/KAN"/>
    <s v="KAN"/>
    <x v="0"/>
    <x v="2"/>
    <x v="11"/>
    <x v="0"/>
    <s v="Kano - Mallam Aminu Kano Intl"/>
    <n v="7164"/>
    <n v="18"/>
    <n v="219888901"/>
    <n v="49591.542850699145"/>
    <n v="4434"/>
    <n v="3"/>
    <n v="54"/>
  </r>
  <r>
    <s v="GRU/LOS"/>
    <s v="LOS"/>
    <x v="0"/>
    <x v="2"/>
    <x v="11"/>
    <x v="0"/>
    <s v="Lagos - Murtala Muhammed Intl"/>
    <n v="6352"/>
    <n v="16.25"/>
    <n v="211835935"/>
    <n v="47872.527683615823"/>
    <n v="4425"/>
    <n v="3"/>
    <n v="48.75"/>
  </r>
  <r>
    <s v="GRU/LRM"/>
    <s v="LRM"/>
    <x v="0"/>
    <x v="0"/>
    <x v="2"/>
    <x v="2"/>
    <s v="La Romana - Casa de Campo Intl"/>
    <n v="5257"/>
    <n v="13.75"/>
    <n v="175621064"/>
    <n v="66172.217030896762"/>
    <n v="2654"/>
    <n v="2"/>
    <n v="27.5"/>
  </r>
  <r>
    <s v="GRU/MAR"/>
    <s v="MAR"/>
    <x v="0"/>
    <x v="1"/>
    <x v="5"/>
    <x v="1"/>
    <s v="Maracaibo - La Chinita Intl"/>
    <n v="4674"/>
    <n v="12.5"/>
    <n v="184741160"/>
    <n v="61931.330874958097"/>
    <n v="2983"/>
    <n v="2"/>
    <n v="25"/>
  </r>
  <r>
    <s v="GRU/MID"/>
    <s v="MID"/>
    <x v="0"/>
    <x v="1"/>
    <x v="12"/>
    <x v="2"/>
    <s v="Merida - M. Crescencio Rejon"/>
    <n v="6800"/>
    <n v="17.25"/>
    <n v="199006508"/>
    <n v="78072.384464495874"/>
    <n v="2549"/>
    <n v="1"/>
    <n v="17.25"/>
  </r>
  <r>
    <s v="GRU/NKC"/>
    <s v="NKC"/>
    <x v="0"/>
    <x v="1"/>
    <x v="13"/>
    <x v="0"/>
    <s v="Nouakchott"/>
    <n v="5684"/>
    <n v="14.75"/>
    <n v="195632901"/>
    <n v="47692.077279375917"/>
    <n v="4102"/>
    <n v="3"/>
    <n v="44.25"/>
  </r>
  <r>
    <s v="GRU/NSI"/>
    <s v="NSI"/>
    <x v="0"/>
    <x v="0"/>
    <x v="7"/>
    <x v="0"/>
    <s v="Yaounde - Nsimalen Intl"/>
    <n v="6970"/>
    <n v="17.5"/>
    <n v="191217456"/>
    <n v="54947.544827586207"/>
    <n v="3480"/>
    <n v="2"/>
    <n v="35"/>
  </r>
  <r>
    <s v="GRU/POP"/>
    <s v="POP"/>
    <x v="0"/>
    <x v="0"/>
    <x v="2"/>
    <x v="2"/>
    <s v="Puerto Plata - Gregorio Luperon Intl"/>
    <n v="5469"/>
    <n v="14.25"/>
    <n v="185011339"/>
    <n v="64711.905911157744"/>
    <n v="2859"/>
    <n v="2"/>
    <n v="28.5"/>
  </r>
  <r>
    <s v="GRU/PUJ"/>
    <s v="PUJ"/>
    <x v="0"/>
    <x v="1"/>
    <x v="2"/>
    <x v="2"/>
    <s v="Punta Cana - International"/>
    <n v="5240"/>
    <n v="13.75"/>
    <n v="186941220"/>
    <n v="62816.270161290326"/>
    <n v="2976"/>
    <n v="2"/>
    <n v="27.5"/>
  </r>
  <r>
    <s v="GRU/REC"/>
    <s v="REC"/>
    <x v="0"/>
    <x v="1"/>
    <x v="3"/>
    <x v="1"/>
    <s v="Recife - Guararapes Intl"/>
    <n v="2100"/>
    <n v="6.75"/>
    <n v="166698109"/>
    <n v="51801.77408328154"/>
    <n v="3218"/>
    <n v="2"/>
    <n v="13.5"/>
  </r>
  <r>
    <s v="GRU/SDD"/>
    <s v="SDD"/>
    <x v="0"/>
    <x v="0"/>
    <x v="14"/>
    <x v="0"/>
    <s v="Lubango - Mukanka"/>
    <n v="6335"/>
    <n v="16.25"/>
    <n v="184266718"/>
    <n v="55186.19886193471"/>
    <n v="3339"/>
    <n v="2"/>
    <n v="32.5"/>
  </r>
  <r>
    <s v="GRU/SDQ"/>
    <s v="SDQ"/>
    <x v="0"/>
    <x v="1"/>
    <x v="2"/>
    <x v="2"/>
    <s v="Santo Domingo - Metropolitan Area"/>
    <n v="5293"/>
    <n v="13.75"/>
    <n v="190577768"/>
    <n v="61976.509918699187"/>
    <n v="3075"/>
    <n v="2"/>
    <n v="27.5"/>
  </r>
  <r>
    <s v="GRU/SID"/>
    <s v="SID"/>
    <x v="0"/>
    <x v="0"/>
    <x v="15"/>
    <x v="0"/>
    <s v="Sal Island - Amilcar Cabral Intl"/>
    <n v="5147"/>
    <n v="13.5"/>
    <n v="182152024"/>
    <n v="56498.766749379654"/>
    <n v="3224"/>
    <n v="2"/>
    <n v="27"/>
  </r>
  <r>
    <s v="GRU/SSA"/>
    <s v="SSA"/>
    <x v="0"/>
    <x v="2"/>
    <x v="3"/>
    <x v="1"/>
    <s v="Salvador - Luis E. Magalhaes Intl"/>
    <n v="1451"/>
    <n v="5.25"/>
    <n v="163141049"/>
    <n v="50949.734228607122"/>
    <n v="3202"/>
    <n v="2"/>
    <n v="10.5"/>
  </r>
  <r>
    <s v="GRU/USH"/>
    <s v="USH"/>
    <x v="0"/>
    <x v="0"/>
    <x v="9"/>
    <x v="1"/>
    <s v="Ushuaia - Malvinas Argentinas"/>
    <n v="3933"/>
    <n v="10.75"/>
    <n v="163919977"/>
    <n v="61693.630786601432"/>
    <n v="2657"/>
    <n v="2"/>
    <n v="21.5"/>
  </r>
  <r>
    <s v="GRU/VLN"/>
    <s v="VLN"/>
    <x v="0"/>
    <x v="0"/>
    <x v="5"/>
    <x v="1"/>
    <s v="Valencia - Arturo Michelena Intl"/>
    <n v="4405"/>
    <n v="12"/>
    <n v="170247593"/>
    <n v="58144.669740437159"/>
    <n v="2928"/>
    <n v="2"/>
    <n v="24"/>
  </r>
  <r>
    <s v="GRU/VPE"/>
    <s v="VPE"/>
    <x v="0"/>
    <x v="0"/>
    <x v="14"/>
    <x v="0"/>
    <s v="Ondjiva"/>
    <n v="6477"/>
    <n v="16.5"/>
    <n v="186003276"/>
    <n v="55490.237470167063"/>
    <n v="3352"/>
    <n v="2"/>
    <n v="33"/>
  </r>
  <r>
    <s v="GRU/VRA"/>
    <s v="VRA"/>
    <x v="0"/>
    <x v="0"/>
    <x v="16"/>
    <x v="2"/>
    <s v="Varadero - Juan G. Gomez Intl"/>
    <n v="6402"/>
    <n v="16.25"/>
    <n v="194262413"/>
    <n v="73584.247348484845"/>
    <n v="2640"/>
    <n v="2"/>
    <n v="32.5"/>
  </r>
  <r>
    <s v="GRU/AAC"/>
    <s v="AAC"/>
    <x v="1"/>
    <x v="3"/>
    <x v="17"/>
    <x v="0"/>
    <s v="El Arish - International"/>
    <n v="10474"/>
    <n v="25.25"/>
    <m/>
    <n v="0"/>
    <m/>
    <n v="0"/>
    <n v="0"/>
  </r>
  <r>
    <s v="GRU/AAE"/>
    <s v="AAE"/>
    <x v="1"/>
    <x v="0"/>
    <x v="18"/>
    <x v="0"/>
    <s v="Annaba - Rabah Bitat"/>
    <n v="8788"/>
    <n v="21.5"/>
    <m/>
    <n v="0"/>
    <m/>
    <n v="0"/>
    <n v="0"/>
  </r>
  <r>
    <s v="GRU/AAN"/>
    <s v="AAN"/>
    <x v="1"/>
    <x v="0"/>
    <x v="19"/>
    <x v="4"/>
    <s v="Al Ain - International"/>
    <n v="12210"/>
    <n v="29.25"/>
    <m/>
    <n v="0"/>
    <m/>
    <n v="0"/>
    <n v="0"/>
  </r>
  <r>
    <s v="GRU/AAR"/>
    <s v="AAR"/>
    <x v="1"/>
    <x v="0"/>
    <x v="20"/>
    <x v="3"/>
    <s v="Aarhus - Airport"/>
    <n v="10355"/>
    <n v="25"/>
    <m/>
    <n v="0"/>
    <m/>
    <n v="0"/>
    <n v="0"/>
  </r>
  <r>
    <s v="GRU/ABQ"/>
    <s v="ABQ"/>
    <x v="0"/>
    <x v="2"/>
    <x v="21"/>
    <x v="2"/>
    <s v="Albuquerque - International Sunport"/>
    <n v="9078"/>
    <n v="22.25"/>
    <n v="238431622"/>
    <n v="106872.08516360377"/>
    <n v="2231"/>
    <n v="1"/>
    <n v="22.25"/>
  </r>
  <r>
    <s v="GRU/ABS"/>
    <s v="ABS"/>
    <x v="1"/>
    <x v="0"/>
    <x v="17"/>
    <x v="0"/>
    <s v="Abu Simbel"/>
    <n v="9857"/>
    <n v="24"/>
    <m/>
    <n v="0"/>
    <m/>
    <n v="0"/>
    <n v="0"/>
  </r>
  <r>
    <s v="GRU/ABT"/>
    <s v="ABT"/>
    <x v="1"/>
    <x v="0"/>
    <x v="22"/>
    <x v="4"/>
    <s v="Al Baha - Al-Aqiq"/>
    <n v="10708"/>
    <n v="25.75"/>
    <m/>
    <n v="0"/>
    <m/>
    <n v="0"/>
    <n v="0"/>
  </r>
  <r>
    <s v="GRU/ABV"/>
    <s v="ABV"/>
    <x v="0"/>
    <x v="1"/>
    <x v="11"/>
    <x v="0"/>
    <s v="Abuja - Nnamdi Azikiwe Intl"/>
    <n v="6864"/>
    <n v="17.25"/>
    <n v="211858689"/>
    <n v="49943.11386138614"/>
    <n v="4242"/>
    <n v="3"/>
    <n v="51.75"/>
  </r>
  <r>
    <s v="GRU/ACA"/>
    <s v="ACA"/>
    <x v="1"/>
    <x v="0"/>
    <x v="12"/>
    <x v="2"/>
    <s v="Acapulco - Juan N. Alvarez Intl"/>
    <n v="7314"/>
    <n v="18.25"/>
    <m/>
    <n v="0"/>
    <m/>
    <n v="0"/>
    <n v="0"/>
  </r>
  <r>
    <s v="GRU/ACC"/>
    <s v="ACC"/>
    <x v="1"/>
    <x v="0"/>
    <x v="23"/>
    <x v="0"/>
    <s v="Accra - Kotoka Intl"/>
    <n v="5972"/>
    <n v="15.25"/>
    <m/>
    <n v="0"/>
    <m/>
    <n v="0"/>
    <n v="0"/>
  </r>
  <r>
    <s v="GRU/ACY"/>
    <s v="ACY"/>
    <x v="1"/>
    <x v="0"/>
    <x v="21"/>
    <x v="2"/>
    <s v="Atlantic City - International"/>
    <n v="7580"/>
    <n v="19"/>
    <m/>
    <n v="0"/>
    <m/>
    <n v="0"/>
    <n v="0"/>
  </r>
  <r>
    <s v="GRU/ACZ"/>
    <s v="ACZ"/>
    <x v="1"/>
    <x v="3"/>
    <x v="24"/>
    <x v="4"/>
    <s v="Zabol"/>
    <n v="12972"/>
    <n v="30.75"/>
    <m/>
    <n v="0"/>
    <m/>
    <n v="0"/>
    <n v="0"/>
  </r>
  <r>
    <s v="GRU/ADB"/>
    <s v="ADB"/>
    <x v="0"/>
    <x v="1"/>
    <x v="25"/>
    <x v="4"/>
    <s v="Izmir - Adnan Menderes"/>
    <n v="10286"/>
    <n v="25"/>
    <n v="249154892"/>
    <n v="62933.794392523363"/>
    <n v="3959"/>
    <n v="2"/>
    <n v="50"/>
  </r>
  <r>
    <s v="GRU/ADD"/>
    <s v="ADD"/>
    <x v="0"/>
    <x v="2"/>
    <x v="26"/>
    <x v="0"/>
    <s v="Addis Ababa - Bole Intl"/>
    <n v="9928"/>
    <n v="24"/>
    <n v="249380308"/>
    <n v="49343.1555203799"/>
    <n v="5054"/>
    <n v="3"/>
    <n v="72"/>
  </r>
  <r>
    <s v="GRU/ADE"/>
    <s v="ADE"/>
    <x v="0"/>
    <x v="0"/>
    <x v="27"/>
    <x v="4"/>
    <s v="Aden - International"/>
    <n v="10723"/>
    <n v="25.75"/>
    <n v="231209771"/>
    <n v="59330.195278419298"/>
    <n v="3897"/>
    <n v="2"/>
    <n v="51.5"/>
  </r>
  <r>
    <s v="GRU/AER"/>
    <s v="AER"/>
    <x v="0"/>
    <x v="1"/>
    <x v="28"/>
    <x v="3"/>
    <s v="Sochi - International"/>
    <n v="11501"/>
    <n v="27.5"/>
    <n v="247477293"/>
    <n v="76951.894589552234"/>
    <n v="3216"/>
    <n v="2"/>
    <n v="55"/>
  </r>
  <r>
    <s v="GRU/AEX"/>
    <s v="AEX"/>
    <x v="1"/>
    <x v="0"/>
    <x v="21"/>
    <x v="2"/>
    <s v="Alexandria - Metropolitan Area"/>
    <n v="7820"/>
    <n v="19.5"/>
    <m/>
    <n v="0"/>
    <m/>
    <n v="0"/>
    <n v="0"/>
  </r>
  <r>
    <s v="GRU/AFW"/>
    <s v="AFW"/>
    <x v="1"/>
    <x v="0"/>
    <x v="21"/>
    <x v="2"/>
    <s v="Fort Worth - Alliance"/>
    <n v="8272"/>
    <n v="20.5"/>
    <m/>
    <n v="0"/>
    <m/>
    <n v="0"/>
    <n v="0"/>
  </r>
  <r>
    <s v="GRU/AGA"/>
    <s v="AGA"/>
    <x v="0"/>
    <x v="1"/>
    <x v="29"/>
    <x v="0"/>
    <s v="Agadir - Al Massira"/>
    <n v="7168"/>
    <n v="18"/>
    <n v="204412412"/>
    <n v="60334.24203069658"/>
    <n v="3388"/>
    <n v="2"/>
    <n v="36"/>
  </r>
  <r>
    <s v="GRU/AGP"/>
    <s v="AGP"/>
    <x v="0"/>
    <x v="2"/>
    <x v="30"/>
    <x v="3"/>
    <s v="Malaga - Airport"/>
    <n v="8004"/>
    <n v="19.75"/>
    <n v="251209049"/>
    <n v="97405.602559131439"/>
    <n v="2579"/>
    <n v="1"/>
    <n v="19.75"/>
  </r>
  <r>
    <s v="GRU/AGT"/>
    <s v="AGT"/>
    <x v="1"/>
    <x v="3"/>
    <x v="31"/>
    <x v="1"/>
    <s v="Ciudad del Este - Guarani Intl"/>
    <n v="877"/>
    <n v="4"/>
    <m/>
    <n v="0"/>
    <m/>
    <n v="0"/>
    <n v="0"/>
  </r>
  <r>
    <s v="GRU/AGU"/>
    <s v="AGU"/>
    <x v="1"/>
    <x v="0"/>
    <x v="12"/>
    <x v="2"/>
    <s v="Aguascalientes - Jesus Teran Peredo Int"/>
    <n v="7857"/>
    <n v="19.5"/>
    <m/>
    <n v="0"/>
    <m/>
    <n v="0"/>
    <n v="0"/>
  </r>
  <r>
    <s v="GRU/AHB"/>
    <s v="AHB"/>
    <x v="0"/>
    <x v="2"/>
    <x v="22"/>
    <x v="4"/>
    <s v="Abha"/>
    <n v="10719"/>
    <n v="25.75"/>
    <n v="263675890"/>
    <n v="69097.45545073376"/>
    <n v="3816"/>
    <n v="2"/>
    <n v="51.5"/>
  </r>
  <r>
    <s v="GRU/AHO"/>
    <s v="AHO"/>
    <x v="0"/>
    <x v="1"/>
    <x v="32"/>
    <x v="3"/>
    <s v="Alghero - Fertilia"/>
    <n v="9096"/>
    <n v="22.25"/>
    <n v="223668159"/>
    <n v="100887.75778078484"/>
    <n v="2217"/>
    <n v="1"/>
    <n v="22.25"/>
  </r>
  <r>
    <s v="GRU/AJF"/>
    <s v="AJF"/>
    <x v="1"/>
    <x v="0"/>
    <x v="22"/>
    <x v="4"/>
    <s v="Jouf"/>
    <n v="10968"/>
    <n v="26.5"/>
    <m/>
    <n v="0"/>
    <m/>
    <n v="0"/>
    <n v="0"/>
  </r>
  <r>
    <s v="GRU/AKL"/>
    <s v="AKL"/>
    <x v="0"/>
    <x v="2"/>
    <x v="33"/>
    <x v="5"/>
    <s v="Auckland - Metropolitan Area"/>
    <n v="12028"/>
    <n v="28.75"/>
    <n v="277208395"/>
    <n v="76260.906464924352"/>
    <n v="3635"/>
    <n v="2"/>
    <n v="57.5"/>
  </r>
  <r>
    <s v="GRU/AKX"/>
    <s v="AKX"/>
    <x v="0"/>
    <x v="0"/>
    <x v="34"/>
    <x v="3"/>
    <s v="Aktobe"/>
    <n v="12944"/>
    <n v="30.75"/>
    <m/>
    <n v="0"/>
    <m/>
    <n v="0"/>
    <n v="0"/>
  </r>
  <r>
    <s v="GRU/ALC"/>
    <s v="ALC"/>
    <x v="0"/>
    <x v="2"/>
    <x v="30"/>
    <x v="3"/>
    <s v="Alicante - Airport"/>
    <n v="8368"/>
    <n v="20.75"/>
    <n v="235857025"/>
    <n v="90749.143901500574"/>
    <n v="2599"/>
    <n v="1"/>
    <n v="20.75"/>
  </r>
  <r>
    <s v="GRU/ALG"/>
    <s v="ALG"/>
    <x v="0"/>
    <x v="2"/>
    <x v="18"/>
    <x v="0"/>
    <s v="Algiers - Houari Boumediene"/>
    <n v="8476"/>
    <n v="21"/>
    <n v="232631640"/>
    <n v="63421.93020719738"/>
    <n v="3668"/>
    <n v="2"/>
    <n v="42"/>
  </r>
  <r>
    <s v="GRU/ALP"/>
    <s v="ALP"/>
    <x v="0"/>
    <x v="1"/>
    <x v="35"/>
    <x v="4"/>
    <s v="Aleppo - International"/>
    <n v="10991"/>
    <n v="26.5"/>
    <n v="243718381"/>
    <n v="66444.487731733912"/>
    <n v="3668"/>
    <n v="2"/>
    <n v="53"/>
  </r>
  <r>
    <s v="GRU/AMA"/>
    <s v="AMA"/>
    <x v="1"/>
    <x v="0"/>
    <x v="21"/>
    <x v="2"/>
    <s v="Amarillo - Metropolitan Area"/>
    <n v="8740"/>
    <n v="21.5"/>
    <m/>
    <n v="0"/>
    <m/>
    <n v="0"/>
    <n v="0"/>
  </r>
  <r>
    <s v="GRU/AMM"/>
    <s v="AMM"/>
    <x v="1"/>
    <x v="1"/>
    <x v="36"/>
    <x v="4"/>
    <s v="Amman - Metropolitan Area"/>
    <n v="10691"/>
    <n v="25.75"/>
    <m/>
    <n v="0"/>
    <m/>
    <n v="0"/>
    <n v="0"/>
  </r>
  <r>
    <s v="GRU/AMS"/>
    <s v="AMS"/>
    <x v="0"/>
    <x v="4"/>
    <x v="37"/>
    <x v="3"/>
    <s v="Amsterdam - Schiphol Airport"/>
    <n v="9777"/>
    <n v="23.75"/>
    <n v="274521919"/>
    <n v="85467.596201743465"/>
    <n v="3212"/>
    <n v="2"/>
    <n v="47.5"/>
  </r>
  <r>
    <s v="GRU/ANC"/>
    <s v="ANC"/>
    <x v="1"/>
    <x v="1"/>
    <x v="21"/>
    <x v="2"/>
    <s v="Anchorage - Metropolitan Area"/>
    <n v="12998"/>
    <n v="31"/>
    <m/>
    <n v="0"/>
    <m/>
    <n v="0"/>
    <n v="0"/>
  </r>
  <r>
    <s v="GRU/AOI"/>
    <s v="AOI"/>
    <x v="1"/>
    <x v="0"/>
    <x v="32"/>
    <x v="3"/>
    <s v="Ancona - Falconara"/>
    <n v="9630"/>
    <n v="23.5"/>
    <m/>
    <n v="0"/>
    <m/>
    <n v="0"/>
    <n v="0"/>
  </r>
  <r>
    <s v="GRU/APW"/>
    <s v="APW"/>
    <x v="0"/>
    <x v="0"/>
    <x v="38"/>
    <x v="5"/>
    <s v="Apia - Metropolitan Area"/>
    <n v="12791"/>
    <n v="30.5"/>
    <n v="249551015"/>
    <n v="81873.692585301833"/>
    <n v="3048"/>
    <n v="2"/>
    <n v="61"/>
  </r>
  <r>
    <s v="GRU/AQI"/>
    <s v="AQI"/>
    <x v="1"/>
    <x v="0"/>
    <x v="22"/>
    <x v="4"/>
    <s v="Qaisumah - Hafar al Batin"/>
    <n v="11458"/>
    <n v="27.5"/>
    <m/>
    <n v="0"/>
    <m/>
    <n v="0"/>
    <n v="0"/>
  </r>
  <r>
    <s v="GRU/AQJ"/>
    <s v="AQJ"/>
    <x v="1"/>
    <x v="0"/>
    <x v="36"/>
    <x v="4"/>
    <s v="Aqaba - King Hussein Intl"/>
    <n v="10510"/>
    <n v="25.5"/>
    <m/>
    <n v="0"/>
    <m/>
    <n v="0"/>
    <n v="0"/>
  </r>
  <r>
    <s v="GRU/AQP"/>
    <s v="AQP"/>
    <x v="0"/>
    <x v="1"/>
    <x v="1"/>
    <x v="1"/>
    <s v="Arequipa - Rodriguez Ballon Intl"/>
    <n v="2738"/>
    <n v="8.25"/>
    <n v="162521139"/>
    <n v="45974.86251768034"/>
    <n v="3535"/>
    <n v="2"/>
    <n v="16.5"/>
  </r>
  <r>
    <s v="GRU/ARN"/>
    <s v="ARN"/>
    <x v="0"/>
    <x v="1"/>
    <x v="39"/>
    <x v="3"/>
    <s v="Stockholm - Arlanda"/>
    <n v="10923"/>
    <n v="26.25"/>
    <n v="269238976"/>
    <n v="81267.424086930274"/>
    <n v="3313"/>
    <n v="2"/>
    <n v="52.5"/>
  </r>
  <r>
    <s v="GRU/ASB"/>
    <s v="ASB"/>
    <x v="1"/>
    <x v="0"/>
    <x v="40"/>
    <x v="4"/>
    <s v="Ashgabat - International"/>
    <n v="12841"/>
    <n v="30.5"/>
    <m/>
    <n v="0"/>
    <m/>
    <n v="0"/>
    <n v="0"/>
  </r>
  <r>
    <s v="GRU/ASK"/>
    <s v="ASK"/>
    <x v="1"/>
    <x v="3"/>
    <x v="0"/>
    <x v="0"/>
    <s v="Yamoussoukro"/>
    <n v="5595"/>
    <n v="14.5"/>
    <m/>
    <n v="0"/>
    <m/>
    <n v="0"/>
    <n v="0"/>
  </r>
  <r>
    <s v="GRU/ASR"/>
    <s v="ASR"/>
    <x v="0"/>
    <x v="0"/>
    <x v="25"/>
    <x v="4"/>
    <s v="Kayseri - Erkilet"/>
    <n v="10963"/>
    <n v="26.5"/>
    <n v="237266017"/>
    <n v="72359.26105519975"/>
    <n v="3279"/>
    <n v="2"/>
    <n v="53"/>
  </r>
  <r>
    <s v="GRU/ASU"/>
    <s v="ASU"/>
    <x v="1"/>
    <x v="0"/>
    <x v="31"/>
    <x v="1"/>
    <s v="Asuncion - Silvio Pettirossi Intl"/>
    <n v="1137"/>
    <n v="4.75"/>
    <m/>
    <n v="0"/>
    <m/>
    <n v="0"/>
    <n v="0"/>
  </r>
  <r>
    <s v="GRU/ASW"/>
    <s v="ASW"/>
    <x v="1"/>
    <x v="0"/>
    <x v="17"/>
    <x v="0"/>
    <s v="Aswan - International"/>
    <n v="10046"/>
    <n v="24.5"/>
    <m/>
    <n v="0"/>
    <m/>
    <n v="0"/>
    <n v="0"/>
  </r>
  <r>
    <s v="GRU/ATH"/>
    <s v="ATH"/>
    <x v="0"/>
    <x v="2"/>
    <x v="41"/>
    <x v="3"/>
    <s v="Athens - Eleftherios Venizelos"/>
    <n v="10022"/>
    <n v="24.25"/>
    <n v="260049859"/>
    <n v="87002.294747407155"/>
    <n v="2989"/>
    <n v="2"/>
    <n v="48.5"/>
  </r>
  <r>
    <s v="GRU/ATL"/>
    <s v="ATL"/>
    <x v="0"/>
    <x v="4"/>
    <x v="21"/>
    <x v="2"/>
    <s v="Atlanta - Metropolitan Area"/>
    <n v="7512"/>
    <n v="18.75"/>
    <n v="253630687"/>
    <n v="96218.014795144161"/>
    <n v="2636"/>
    <n v="1"/>
    <n v="18.75"/>
  </r>
  <r>
    <s v="GRU/ATZ"/>
    <s v="ATZ"/>
    <x v="1"/>
    <x v="0"/>
    <x v="17"/>
    <x v="0"/>
    <s v="Asyut"/>
    <n v="10033"/>
    <n v="24.25"/>
    <m/>
    <n v="0"/>
    <m/>
    <n v="0"/>
    <n v="0"/>
  </r>
  <r>
    <s v="GRU/AUA"/>
    <s v="AUA"/>
    <x v="1"/>
    <x v="1"/>
    <x v="42"/>
    <x v="2"/>
    <s v="Aruba - Reina Beatrix"/>
    <n v="4747"/>
    <n v="12.75"/>
    <m/>
    <n v="0"/>
    <m/>
    <n v="0"/>
    <n v="0"/>
  </r>
  <r>
    <s v="GRU/AUH"/>
    <s v="AUH"/>
    <x v="0"/>
    <x v="2"/>
    <x v="19"/>
    <x v="4"/>
    <s v="Abu Dhabi - International"/>
    <n v="12122"/>
    <n v="29"/>
    <n v="272398564"/>
    <n v="82947.187576126671"/>
    <n v="3284"/>
    <n v="2"/>
    <n v="58"/>
  </r>
  <r>
    <s v="GRU/AUS"/>
    <s v="AUS"/>
    <x v="1"/>
    <x v="2"/>
    <x v="21"/>
    <x v="2"/>
    <s v="Austin - Metropolitan Area"/>
    <n v="8089"/>
    <n v="20"/>
    <m/>
    <n v="0"/>
    <m/>
    <n v="0"/>
    <n v="0"/>
  </r>
  <r>
    <s v="GRU/AVV"/>
    <s v="AVV"/>
    <x v="2"/>
    <x v="0"/>
    <x v="43"/>
    <x v="5"/>
    <s v="Melbourne - Avalon"/>
    <n v="13088"/>
    <n v="31"/>
    <n v="247436194"/>
    <n v="120114.6572815534"/>
    <n v="2060"/>
    <n v="1"/>
    <n v="31"/>
  </r>
  <r>
    <s v="GRU/AWA"/>
    <s v="AWA"/>
    <x v="0"/>
    <x v="0"/>
    <x v="26"/>
    <x v="0"/>
    <s v="Awasa"/>
    <n v="9811"/>
    <n v="23.75"/>
    <n v="225386394"/>
    <n v="54506.987666263602"/>
    <n v="4135"/>
    <n v="3"/>
    <n v="71.25"/>
  </r>
  <r>
    <s v="GRU/AWZ"/>
    <s v="AWZ"/>
    <x v="0"/>
    <x v="1"/>
    <x v="24"/>
    <x v="4"/>
    <s v="Ahwaz"/>
    <n v="11807"/>
    <n v="28.25"/>
    <n v="253662394"/>
    <n v="70638.372041214141"/>
    <n v="3591"/>
    <n v="2"/>
    <n v="56.5"/>
  </r>
  <r>
    <s v="GRU/AYP"/>
    <s v="AYP"/>
    <x v="1"/>
    <x v="3"/>
    <x v="1"/>
    <x v="1"/>
    <s v="Ayacucho - Alfredo M. Duarte"/>
    <n v="3136"/>
    <n v="9"/>
    <m/>
    <n v="0"/>
    <m/>
    <n v="0"/>
    <n v="0"/>
  </r>
  <r>
    <s v="GRU/AYT"/>
    <s v="AYT"/>
    <x v="0"/>
    <x v="2"/>
    <x v="25"/>
    <x v="4"/>
    <s v="Antalya"/>
    <n v="10501"/>
    <n v="25.5"/>
    <n v="265485971"/>
    <n v="59313.219615728332"/>
    <n v="4476"/>
    <n v="3"/>
    <n v="76.5"/>
  </r>
  <r>
    <s v="GRU/AZA"/>
    <s v="AZA"/>
    <x v="1"/>
    <x v="0"/>
    <x v="21"/>
    <x v="2"/>
    <s v="Phoenix - Mesa Gateway"/>
    <n v="9350"/>
    <n v="22.75"/>
    <m/>
    <n v="0"/>
    <m/>
    <n v="0"/>
    <n v="0"/>
  </r>
  <r>
    <s v="GRU/AZD"/>
    <s v="AZD"/>
    <x v="1"/>
    <x v="0"/>
    <x v="24"/>
    <x v="4"/>
    <s v="Yazd - Shahid Sadooghi"/>
    <n v="12325"/>
    <n v="29.5"/>
    <m/>
    <n v="0"/>
    <m/>
    <n v="0"/>
    <n v="0"/>
  </r>
  <r>
    <s v="GRU/AZR"/>
    <s v="AZR"/>
    <x v="1"/>
    <x v="3"/>
    <x v="18"/>
    <x v="0"/>
    <s v="Adrar - Touat"/>
    <n v="7560"/>
    <n v="18.75"/>
    <m/>
    <n v="0"/>
    <m/>
    <n v="0"/>
    <n v="0"/>
  </r>
  <r>
    <s v="GRU/BAH"/>
    <s v="BAH"/>
    <x v="0"/>
    <x v="1"/>
    <x v="44"/>
    <x v="4"/>
    <s v="Bahrain - International"/>
    <n v="11803"/>
    <n v="28.25"/>
    <n v="264431112"/>
    <n v="83285.389606299213"/>
    <n v="3175"/>
    <n v="2"/>
    <n v="56.5"/>
  </r>
  <r>
    <s v="GRU/BAL"/>
    <s v="BAL"/>
    <x v="0"/>
    <x v="0"/>
    <x v="25"/>
    <x v="4"/>
    <s v="Batman"/>
    <n v="11384"/>
    <n v="27.25"/>
    <n v="232417713"/>
    <n v="78678.982058226131"/>
    <n v="2954"/>
    <n v="2"/>
    <n v="54.5"/>
  </r>
  <r>
    <s v="GRU/BAQ"/>
    <s v="BAQ"/>
    <x v="1"/>
    <x v="0"/>
    <x v="4"/>
    <x v="1"/>
    <s v="Barranquilla - Ernesto Cortissoz Intl"/>
    <n v="4905"/>
    <n v="13"/>
    <m/>
    <n v="0"/>
    <m/>
    <n v="0"/>
    <n v="0"/>
  </r>
  <r>
    <s v="GRU/BBO"/>
    <s v="BBO"/>
    <x v="0"/>
    <x v="0"/>
    <x v="45"/>
    <x v="0"/>
    <s v="Berbera"/>
    <n v="10609"/>
    <n v="25.5"/>
    <n v="227265817"/>
    <n v="48937.514427217917"/>
    <n v="4644"/>
    <n v="3"/>
    <n v="76.5"/>
  </r>
  <r>
    <s v="GRU/BBU"/>
    <s v="BBU"/>
    <x v="0"/>
    <x v="2"/>
    <x v="46"/>
    <x v="3"/>
    <s v="Bucharest - Baneasa - Aurel Vlaicu"/>
    <n v="10537"/>
    <n v="25.5"/>
    <n v="254588214"/>
    <n v="68400.917248790967"/>
    <n v="3722"/>
    <n v="2"/>
    <n v="51"/>
  </r>
  <r>
    <s v="GRU/BCN"/>
    <s v="BCN"/>
    <x v="0"/>
    <x v="4"/>
    <x v="30"/>
    <x v="3"/>
    <s v="Barcelona - Airport"/>
    <n v="8766"/>
    <n v="21.5"/>
    <n v="256928195"/>
    <n v="86770.751435325903"/>
    <n v="2961"/>
    <n v="2"/>
    <n v="43"/>
  </r>
  <r>
    <s v="GRU/BDA"/>
    <s v="BDA"/>
    <x v="0"/>
    <x v="0"/>
    <x v="47"/>
    <x v="2"/>
    <s v="Bermuda - L.F Wade International"/>
    <n v="6500"/>
    <n v="16.5"/>
    <m/>
    <n v="0"/>
    <m/>
    <n v="0"/>
    <n v="0"/>
  </r>
  <r>
    <s v="GRU/BDL"/>
    <s v="BDL"/>
    <x v="1"/>
    <x v="1"/>
    <x v="21"/>
    <x v="2"/>
    <s v="Springfield - Bradley International"/>
    <n v="7755"/>
    <n v="19.25"/>
    <m/>
    <n v="0"/>
    <m/>
    <n v="0"/>
    <n v="0"/>
  </r>
  <r>
    <s v="GRU/BEG"/>
    <s v="BEG"/>
    <x v="1"/>
    <x v="1"/>
    <x v="48"/>
    <x v="3"/>
    <s v="Belgrade - Metropolitan Area"/>
    <n v="10160"/>
    <n v="24.75"/>
    <m/>
    <n v="0"/>
    <m/>
    <n v="0"/>
    <n v="0"/>
  </r>
  <r>
    <s v="GRU/BEN"/>
    <s v="BEN"/>
    <x v="0"/>
    <x v="0"/>
    <x v="49"/>
    <x v="0"/>
    <s v="Benghazi - Benina Intl"/>
    <n v="9399"/>
    <n v="23"/>
    <n v="223092837"/>
    <n v="83057.645941921073"/>
    <n v="2686"/>
    <n v="2"/>
    <n v="46"/>
  </r>
  <r>
    <s v="GRU/BES"/>
    <s v="BES"/>
    <x v="1"/>
    <x v="0"/>
    <x v="50"/>
    <x v="3"/>
    <s v="Brest - Bretagne"/>
    <n v="9022"/>
    <n v="22"/>
    <m/>
    <n v="0"/>
    <m/>
    <n v="0"/>
    <n v="0"/>
  </r>
  <r>
    <s v="GRU/BEY"/>
    <s v="BEY"/>
    <x v="0"/>
    <x v="1"/>
    <x v="51"/>
    <x v="4"/>
    <s v="Beirut - Rafic Hariri Intl"/>
    <n v="10742"/>
    <n v="26"/>
    <n v="252289148"/>
    <n v="70255.958785853523"/>
    <n v="3591"/>
    <n v="2"/>
    <n v="52"/>
  </r>
  <r>
    <s v="GRU/BFI"/>
    <s v="BFI"/>
    <x v="1"/>
    <x v="3"/>
    <x v="21"/>
    <x v="2"/>
    <s v="Seattle - Boeing Fld-King Co Int"/>
    <n v="10916"/>
    <n v="26.25"/>
    <m/>
    <n v="0"/>
    <m/>
    <n v="0"/>
    <n v="0"/>
  </r>
  <r>
    <s v="GRU/BFL"/>
    <s v="BFL"/>
    <x v="1"/>
    <x v="0"/>
    <x v="21"/>
    <x v="2"/>
    <s v="Bakersfield - Meadows Field"/>
    <n v="10054"/>
    <n v="24.5"/>
    <m/>
    <n v="0"/>
    <m/>
    <n v="0"/>
    <n v="0"/>
  </r>
  <r>
    <s v="GRU/BFM"/>
    <s v="BFM"/>
    <x v="1"/>
    <x v="1"/>
    <x v="21"/>
    <x v="2"/>
    <s v="Mobile - Downtown Arpt"/>
    <n v="7472"/>
    <n v="18.75"/>
    <m/>
    <n v="0"/>
    <m/>
    <n v="0"/>
    <n v="0"/>
  </r>
  <r>
    <s v="GRU/BFS"/>
    <s v="BFS"/>
    <x v="0"/>
    <x v="1"/>
    <x v="52"/>
    <x v="3"/>
    <s v="Belfast - Metropolitan Area"/>
    <n v="9495"/>
    <n v="23.25"/>
    <n v="239999154"/>
    <n v="94376.387731026349"/>
    <n v="2543"/>
    <n v="1"/>
    <n v="23.25"/>
  </r>
  <r>
    <s v="GRU/BGI"/>
    <s v="BGI"/>
    <x v="1"/>
    <x v="1"/>
    <x v="53"/>
    <x v="2"/>
    <s v="Bridgetown - Grantley Adams Intl"/>
    <n v="4300"/>
    <n v="11.75"/>
    <m/>
    <n v="0"/>
    <m/>
    <n v="0"/>
    <n v="0"/>
  </r>
  <r>
    <s v="GRU/BGO"/>
    <s v="BGO"/>
    <x v="0"/>
    <x v="1"/>
    <x v="54"/>
    <x v="3"/>
    <s v="Bergen - Flesland"/>
    <n v="10415"/>
    <n v="25.25"/>
    <n v="249102706"/>
    <n v="82896.075207986694"/>
    <n v="3005"/>
    <n v="2"/>
    <n v="50.5"/>
  </r>
  <r>
    <s v="GRU/BGR"/>
    <s v="BGR"/>
    <x v="1"/>
    <x v="0"/>
    <x v="21"/>
    <x v="2"/>
    <s v="Bangor - International"/>
    <n v="7922"/>
    <n v="19.75"/>
    <m/>
    <n v="0"/>
    <m/>
    <n v="0"/>
    <n v="0"/>
  </r>
  <r>
    <s v="GRU/BGW"/>
    <s v="BGW"/>
    <x v="1"/>
    <x v="0"/>
    <x v="55"/>
    <x v="4"/>
    <s v="Baghdad - International"/>
    <n v="11472"/>
    <n v="27.5"/>
    <m/>
    <n v="0"/>
    <m/>
    <n v="0"/>
    <n v="0"/>
  </r>
  <r>
    <s v="GRU/BGY"/>
    <s v="BGY"/>
    <x v="0"/>
    <x v="2"/>
    <x v="32"/>
    <x v="3"/>
    <s v="Milan - Bergamo/Orio al Serio"/>
    <n v="9548"/>
    <n v="23.25"/>
    <n v="244945938"/>
    <n v="94101.39761813292"/>
    <n v="2603"/>
    <n v="1"/>
    <n v="23.25"/>
  </r>
  <r>
    <s v="GRU/BHH"/>
    <s v="BHH"/>
    <x v="1"/>
    <x v="0"/>
    <x v="22"/>
    <x v="4"/>
    <s v="Bisha"/>
    <n v="10790"/>
    <n v="26"/>
    <m/>
    <n v="0"/>
    <m/>
    <n v="0"/>
    <n v="0"/>
  </r>
  <r>
    <s v="GRU/BHK"/>
    <s v="BHK"/>
    <x v="0"/>
    <x v="0"/>
    <x v="56"/>
    <x v="4"/>
    <s v="Bukhara - International"/>
    <n v="13395"/>
    <n v="31.75"/>
    <m/>
    <n v="0"/>
    <m/>
    <n v="0"/>
    <n v="0"/>
  </r>
  <r>
    <s v="GRU/BHM"/>
    <s v="BHM"/>
    <x v="1"/>
    <x v="1"/>
    <x v="21"/>
    <x v="2"/>
    <s v="Birmingham - Shuttlesworth Intl"/>
    <n v="7640"/>
    <n v="19"/>
    <m/>
    <n v="0"/>
    <m/>
    <n v="0"/>
    <n v="0"/>
  </r>
  <r>
    <s v="GRU/BIL"/>
    <s v="BIL"/>
    <x v="1"/>
    <x v="0"/>
    <x v="21"/>
    <x v="2"/>
    <s v="Billings - Logan Intl"/>
    <n v="9918"/>
    <n v="24"/>
    <m/>
    <n v="0"/>
    <m/>
    <n v="0"/>
    <n v="0"/>
  </r>
  <r>
    <s v="GRU/BJL"/>
    <s v="BJL"/>
    <x v="1"/>
    <x v="0"/>
    <x v="57"/>
    <x v="0"/>
    <s v="Banjul - International"/>
    <n v="5219"/>
    <n v="13.75"/>
    <m/>
    <n v="0"/>
    <m/>
    <n v="0"/>
    <n v="0"/>
  </r>
  <r>
    <s v="GRU/BJM"/>
    <s v="BJM"/>
    <x v="0"/>
    <x v="0"/>
    <x v="58"/>
    <x v="0"/>
    <s v="Bujumbura - International"/>
    <n v="8413"/>
    <n v="20.75"/>
    <n v="203664834"/>
    <n v="52261.953810623556"/>
    <n v="3897"/>
    <n v="2"/>
    <n v="41.5"/>
  </r>
  <r>
    <s v="GRU/BJV"/>
    <s v="BJV"/>
    <x v="0"/>
    <x v="1"/>
    <x v="25"/>
    <x v="4"/>
    <s v="Bodrum - Milas"/>
    <n v="10271"/>
    <n v="24.75"/>
    <n v="240712077"/>
    <n v="65858.297400820797"/>
    <n v="3655"/>
    <n v="2"/>
    <n v="49.5"/>
  </r>
  <r>
    <s v="GRU/BJX"/>
    <s v="BJX"/>
    <x v="1"/>
    <x v="0"/>
    <x v="12"/>
    <x v="2"/>
    <s v="Leon/Guanajuato - Del Bajio Intl"/>
    <n v="7740"/>
    <n v="19.25"/>
    <m/>
    <n v="0"/>
    <m/>
    <n v="0"/>
    <n v="0"/>
  </r>
  <r>
    <s v="GRU/BJZ"/>
    <s v="BJZ"/>
    <x v="1"/>
    <x v="0"/>
    <x v="30"/>
    <x v="3"/>
    <s v="Badajoz - Airport"/>
    <n v="8066"/>
    <n v="20"/>
    <m/>
    <n v="0"/>
    <m/>
    <n v="0"/>
    <n v="0"/>
  </r>
  <r>
    <s v="GRU/BLJ"/>
    <s v="BLJ"/>
    <x v="0"/>
    <x v="0"/>
    <x v="18"/>
    <x v="0"/>
    <s v="Batna - Mostepha Ben Boulaid"/>
    <n v="8610"/>
    <n v="21.25"/>
    <n v="203107640"/>
    <n v="77670.225621414909"/>
    <n v="2615"/>
    <n v="1"/>
    <n v="21.25"/>
  </r>
  <r>
    <s v="GRU/BLL"/>
    <s v="BLL"/>
    <x v="1"/>
    <x v="1"/>
    <x v="20"/>
    <x v="3"/>
    <s v="Billund"/>
    <n v="10246"/>
    <n v="24.75"/>
    <m/>
    <n v="0"/>
    <m/>
    <n v="0"/>
    <n v="0"/>
  </r>
  <r>
    <s v="GRU/BLQ"/>
    <s v="BLQ"/>
    <x v="0"/>
    <x v="1"/>
    <x v="32"/>
    <x v="3"/>
    <s v="Bologna - Guglielmo Marconi"/>
    <n v="9564"/>
    <n v="23.25"/>
    <n v="241335570"/>
    <n v="95920.33783783784"/>
    <n v="2516"/>
    <n v="1"/>
    <n v="23.25"/>
  </r>
  <r>
    <s v="GRU/BLV"/>
    <s v="BLV"/>
    <x v="1"/>
    <x v="3"/>
    <x v="21"/>
    <x v="2"/>
    <s v="Belleville - MidAmerica St Louis"/>
    <n v="8242"/>
    <n v="20.5"/>
    <m/>
    <n v="0"/>
    <m/>
    <n v="0"/>
    <n v="0"/>
  </r>
  <r>
    <s v="GRU/BNA"/>
    <s v="BNA"/>
    <x v="1"/>
    <x v="2"/>
    <x v="21"/>
    <x v="2"/>
    <s v="Nashville - International"/>
    <n v="7857"/>
    <n v="19.5"/>
    <m/>
    <n v="0"/>
    <m/>
    <n v="0"/>
    <n v="0"/>
  </r>
  <r>
    <s v="GRU/BND"/>
    <s v="BND"/>
    <x v="1"/>
    <x v="0"/>
    <x v="24"/>
    <x v="4"/>
    <s v="Bandar Abbas - International"/>
    <n v="12379"/>
    <n v="29.5"/>
    <m/>
    <n v="0"/>
    <m/>
    <n v="0"/>
    <n v="0"/>
  </r>
  <r>
    <s v="GRU/BOD"/>
    <s v="BOD"/>
    <x v="1"/>
    <x v="1"/>
    <x v="50"/>
    <x v="3"/>
    <s v="Bordeaux - Merignac"/>
    <n v="8897"/>
    <n v="21.75"/>
    <m/>
    <n v="0"/>
    <m/>
    <n v="0"/>
    <n v="0"/>
  </r>
  <r>
    <s v="GRU/BOI"/>
    <s v="BOI"/>
    <x v="1"/>
    <x v="1"/>
    <x v="21"/>
    <x v="2"/>
    <s v="Boise - Air Term. (Gowen Fld)"/>
    <n v="10291"/>
    <n v="25"/>
    <m/>
    <n v="0"/>
    <m/>
    <n v="0"/>
    <n v="0"/>
  </r>
  <r>
    <s v="GRU/BOJ"/>
    <s v="BOJ"/>
    <x v="1"/>
    <x v="1"/>
    <x v="59"/>
    <x v="3"/>
    <s v="Burgas"/>
    <n v="10536"/>
    <n v="25.5"/>
    <m/>
    <n v="0"/>
    <m/>
    <n v="0"/>
    <n v="0"/>
  </r>
  <r>
    <s v="GRU/BON"/>
    <s v="BON"/>
    <x v="2"/>
    <x v="0"/>
    <x v="6"/>
    <x v="2"/>
    <s v="Bonaire - Flamingo International"/>
    <n v="4612"/>
    <n v="12.25"/>
    <n v="171013203"/>
    <n v="77486.725419120979"/>
    <n v="2207"/>
    <n v="1"/>
    <n v="12.25"/>
  </r>
  <r>
    <s v="GRU/BOO"/>
    <s v="BOO"/>
    <x v="1"/>
    <x v="1"/>
    <x v="54"/>
    <x v="3"/>
    <s v="Bodo"/>
    <n v="11254"/>
    <n v="27"/>
    <m/>
    <n v="0"/>
    <m/>
    <n v="0"/>
    <n v="0"/>
  </r>
  <r>
    <s v="GRU/BOS"/>
    <s v="BOS"/>
    <x v="0"/>
    <x v="4"/>
    <x v="21"/>
    <x v="2"/>
    <s v="Boston - Metropolitan Area"/>
    <n v="7740"/>
    <n v="19.25"/>
    <n v="244460173"/>
    <n v="99374.054065040647"/>
    <n v="2460"/>
    <n v="1"/>
    <n v="19.25"/>
  </r>
  <r>
    <s v="GRU/BOY"/>
    <s v="BOY"/>
    <x v="1"/>
    <x v="3"/>
    <x v="60"/>
    <x v="0"/>
    <s v="Bobo Dioulasso"/>
    <n v="5984"/>
    <n v="15.5"/>
    <m/>
    <n v="0"/>
    <m/>
    <n v="0"/>
    <n v="0"/>
  </r>
  <r>
    <s v="GRU/BQN"/>
    <s v="BQN"/>
    <x v="1"/>
    <x v="0"/>
    <x v="61"/>
    <x v="2"/>
    <s v="Aguadilla - Rafael Hernandez"/>
    <n v="5175"/>
    <n v="13.5"/>
    <m/>
    <n v="0"/>
    <m/>
    <n v="0"/>
    <n v="0"/>
  </r>
  <r>
    <s v="GRU/BRU"/>
    <s v="BRU"/>
    <x v="0"/>
    <x v="2"/>
    <x v="62"/>
    <x v="3"/>
    <s v="Brussels - Metropolitan Area"/>
    <n v="9653"/>
    <n v="23.5"/>
    <n v="258026155"/>
    <n v="89810.704838148275"/>
    <n v="2873"/>
    <n v="2"/>
    <n v="47"/>
  </r>
  <r>
    <s v="GRU/BSK"/>
    <s v="BSK"/>
    <x v="1"/>
    <x v="3"/>
    <x v="18"/>
    <x v="0"/>
    <s v="Biskra - Mohamed Khider"/>
    <n v="8499"/>
    <n v="21"/>
    <m/>
    <n v="0"/>
    <m/>
    <n v="0"/>
    <n v="0"/>
  </r>
  <r>
    <s v="GRU/BSL"/>
    <s v="BSL"/>
    <x v="1"/>
    <x v="1"/>
    <x v="63"/>
    <x v="3"/>
    <s v="Basel/Mulhouse - EuroAirport Swiss"/>
    <n v="9563"/>
    <n v="23.25"/>
    <m/>
    <n v="0"/>
    <m/>
    <n v="0"/>
    <n v="0"/>
  </r>
  <r>
    <s v="GRU/BSR"/>
    <s v="BSR"/>
    <x v="1"/>
    <x v="0"/>
    <x v="55"/>
    <x v="4"/>
    <s v="Basrah - International"/>
    <n v="11679"/>
    <n v="28"/>
    <m/>
    <n v="0"/>
    <m/>
    <n v="0"/>
    <n v="0"/>
  </r>
  <r>
    <s v="GRU/BTS"/>
    <s v="BTS"/>
    <x v="1"/>
    <x v="1"/>
    <x v="64"/>
    <x v="3"/>
    <s v="Bratislava - M.R. Stefanik"/>
    <n v="10169"/>
    <n v="24.75"/>
    <m/>
    <n v="0"/>
    <m/>
    <n v="0"/>
    <n v="0"/>
  </r>
  <r>
    <s v="GRU/BUD"/>
    <s v="BUD"/>
    <x v="0"/>
    <x v="2"/>
    <x v="65"/>
    <x v="3"/>
    <s v="Budapest - Liszt Ferenc Int'l"/>
    <n v="10251"/>
    <n v="24.75"/>
    <n v="252472471"/>
    <n v="73757.660239555946"/>
    <n v="3423"/>
    <n v="2"/>
    <n v="49.5"/>
  </r>
  <r>
    <s v="GRU/BWI"/>
    <s v="BWI"/>
    <x v="0"/>
    <x v="4"/>
    <x v="21"/>
    <x v="2"/>
    <s v="Washington - Baltimore/Wash. Intl"/>
    <n v="7639"/>
    <n v="19"/>
    <n v="240367942"/>
    <n v="99655.033996683254"/>
    <n v="2412"/>
    <n v="1"/>
    <n v="19"/>
  </r>
  <r>
    <s v="GRU/BZV"/>
    <s v="BZV"/>
    <x v="0"/>
    <x v="0"/>
    <x v="66"/>
    <x v="0"/>
    <s v="Brazzaville - Maya-Maya Airport"/>
    <n v="6942"/>
    <n v="17.5"/>
    <m/>
    <n v="0"/>
    <m/>
    <n v="0"/>
    <n v="0"/>
  </r>
  <r>
    <s v="GRU/CAG"/>
    <s v="CAG"/>
    <x v="1"/>
    <x v="1"/>
    <x v="32"/>
    <x v="3"/>
    <s v="Cagliari - Elmas"/>
    <n v="9046"/>
    <n v="22.25"/>
    <m/>
    <n v="0"/>
    <m/>
    <n v="0"/>
    <n v="0"/>
  </r>
  <r>
    <s v="GRU/CAI"/>
    <s v="CAI"/>
    <x v="0"/>
    <x v="2"/>
    <x v="17"/>
    <x v="0"/>
    <s v="Cairo - Metropolitan Area"/>
    <n v="10219"/>
    <n v="24.75"/>
    <n v="259299330"/>
    <n v="57545.346205059919"/>
    <n v="4506"/>
    <n v="3"/>
    <n v="74.25"/>
  </r>
  <r>
    <s v="GRU/CAL"/>
    <s v="CAL"/>
    <x v="1"/>
    <x v="3"/>
    <x v="52"/>
    <x v="3"/>
    <s v="Campbeltown"/>
    <n v="9585"/>
    <n v="23.25"/>
    <m/>
    <n v="0"/>
    <m/>
    <n v="0"/>
    <n v="0"/>
  </r>
  <r>
    <s v="GRU/CAY"/>
    <s v="CAY"/>
    <x v="1"/>
    <x v="5"/>
    <x v="67"/>
    <x v="1"/>
    <s v="Cayenne - Félix Eboué Airport"/>
    <n v="3206"/>
    <n v="9.25"/>
    <m/>
    <n v="0"/>
    <m/>
    <n v="0"/>
    <n v="0"/>
  </r>
  <r>
    <s v="GRU/CBB"/>
    <s v="CBB"/>
    <x v="1"/>
    <x v="0"/>
    <x v="68"/>
    <x v="1"/>
    <s v="Cochabamba - Jorge Wilstermann Intl"/>
    <n v="2158"/>
    <n v="7"/>
    <m/>
    <n v="0"/>
    <m/>
    <n v="0"/>
    <n v="0"/>
  </r>
  <r>
    <s v="GRU/CBH"/>
    <s v="CBH"/>
    <x v="1"/>
    <x v="3"/>
    <x v="18"/>
    <x v="0"/>
    <s v="Bechar - Boudghene B. Ali Lotfi"/>
    <n v="7722"/>
    <n v="19.25"/>
    <m/>
    <n v="0"/>
    <m/>
    <n v="0"/>
    <n v="0"/>
  </r>
  <r>
    <s v="GRU/CBR"/>
    <s v="CBR"/>
    <x v="0"/>
    <x v="1"/>
    <x v="43"/>
    <x v="5"/>
    <s v="Canberra"/>
    <n v="13282"/>
    <n v="31.5"/>
    <n v="272796656"/>
    <n v="102018.19596110696"/>
    <n v="2674"/>
    <n v="2"/>
    <n v="63"/>
  </r>
  <r>
    <s v="GRU/CBT"/>
    <s v="CBT"/>
    <x v="0"/>
    <x v="0"/>
    <x v="14"/>
    <x v="0"/>
    <s v="Catumbela"/>
    <n v="6416"/>
    <n v="16.25"/>
    <n v="181041812"/>
    <n v="56646.374217772216"/>
    <n v="3196"/>
    <n v="2"/>
    <n v="32.5"/>
  </r>
  <r>
    <s v="GRU/CCC"/>
    <s v="CCC"/>
    <x v="1"/>
    <x v="0"/>
    <x v="16"/>
    <x v="2"/>
    <s v="Cayo Coco - Jardines del Rey"/>
    <n v="6174"/>
    <n v="15.75"/>
    <m/>
    <n v="0"/>
    <m/>
    <n v="0"/>
    <n v="0"/>
  </r>
  <r>
    <s v="GRU/CDG"/>
    <s v="CDG"/>
    <x v="0"/>
    <x v="4"/>
    <x v="50"/>
    <x v="3"/>
    <s v="Paris - Charles de Gaulle"/>
    <n v="9406"/>
    <n v="23"/>
    <n v="273269370"/>
    <n v="99660.601750547052"/>
    <n v="2742"/>
    <n v="2"/>
    <n v="46"/>
  </r>
  <r>
    <s v="GRU/CEK"/>
    <s v="CEK"/>
    <x v="0"/>
    <x v="1"/>
    <x v="28"/>
    <x v="3"/>
    <s v="Chelyabinsk - Balandino"/>
    <n v="13259"/>
    <n v="31.5"/>
    <n v="278471145"/>
    <n v="75795.085737615678"/>
    <n v="3674"/>
    <n v="2"/>
    <n v="63"/>
  </r>
  <r>
    <s v="GRU/CFE"/>
    <s v="CFE"/>
    <x v="1"/>
    <x v="0"/>
    <x v="50"/>
    <x v="3"/>
    <s v="Clermont-Ferrand - Auvergne"/>
    <n v="9183"/>
    <n v="22.5"/>
    <m/>
    <n v="0"/>
    <m/>
    <n v="0"/>
    <n v="0"/>
  </r>
  <r>
    <s v="GRU/CGN"/>
    <s v="CGN"/>
    <x v="0"/>
    <x v="2"/>
    <x v="69"/>
    <x v="3"/>
    <s v="Cologne/Bonn - Airport"/>
    <n v="9786"/>
    <n v="23.75"/>
    <n v="251195227"/>
    <n v="92080.361803519059"/>
    <n v="2728"/>
    <n v="2"/>
    <n v="47.5"/>
  </r>
  <r>
    <s v="GRU/CHC"/>
    <s v="CHC"/>
    <x v="0"/>
    <x v="1"/>
    <x v="33"/>
    <x v="5"/>
    <s v="Christchurch - International"/>
    <n v="11579"/>
    <n v="27.75"/>
    <n v="262600532"/>
    <n v="80158.892551892553"/>
    <n v="3276"/>
    <n v="2"/>
    <n v="55.5"/>
  </r>
  <r>
    <s v="GRU/CHQ"/>
    <s v="CHQ"/>
    <x v="0"/>
    <x v="1"/>
    <x v="41"/>
    <x v="3"/>
    <s v="Chania - Ioannis Daskalogiannis"/>
    <n v="9903"/>
    <n v="24"/>
    <n v="233781154"/>
    <n v="100811.19189305736"/>
    <n v="2319"/>
    <n v="1"/>
    <n v="24"/>
  </r>
  <r>
    <s v="GRU/CHR"/>
    <s v="CHR"/>
    <x v="1"/>
    <x v="3"/>
    <x v="50"/>
    <x v="3"/>
    <s v="Chateauroux - Deols"/>
    <n v="9191"/>
    <n v="22.5"/>
    <m/>
    <n v="0"/>
    <m/>
    <n v="0"/>
    <n v="0"/>
  </r>
  <r>
    <s v="GRU/CJC"/>
    <s v="CJC"/>
    <x v="1"/>
    <x v="0"/>
    <x v="70"/>
    <x v="1"/>
    <s v="Calama - El Loa"/>
    <n v="2298"/>
    <n v="7.25"/>
    <m/>
    <n v="0"/>
    <m/>
    <n v="0"/>
    <n v="0"/>
  </r>
  <r>
    <s v="GRU/CKY"/>
    <s v="CKY"/>
    <x v="1"/>
    <x v="0"/>
    <x v="71"/>
    <x v="0"/>
    <s v="Conakry - International"/>
    <n v="5123"/>
    <n v="13.5"/>
    <m/>
    <n v="0"/>
    <m/>
    <n v="0"/>
    <n v="0"/>
  </r>
  <r>
    <s v="GRU/CLT"/>
    <s v="CLT"/>
    <x v="0"/>
    <x v="4"/>
    <x v="21"/>
    <x v="2"/>
    <s v="Charlotte - Metropolitan Area"/>
    <n v="7466"/>
    <n v="18.75"/>
    <n v="248921530"/>
    <n v="96818.953714507967"/>
    <n v="2571"/>
    <n v="1"/>
    <n v="18.75"/>
  </r>
  <r>
    <s v="GRU/CMH"/>
    <s v="CMH"/>
    <x v="1"/>
    <x v="2"/>
    <x v="21"/>
    <x v="2"/>
    <s v="Columbus - Metropolitan Area"/>
    <n v="8002"/>
    <n v="19.75"/>
    <m/>
    <n v="0"/>
    <m/>
    <n v="0"/>
    <n v="0"/>
  </r>
  <r>
    <s v="GRU/CMN"/>
    <s v="CMN"/>
    <x v="0"/>
    <x v="1"/>
    <x v="29"/>
    <x v="0"/>
    <s v="Casablanca - Mohammed V"/>
    <n v="7541"/>
    <n v="18.75"/>
    <n v="222024321"/>
    <n v="57939.540970772439"/>
    <n v="3832"/>
    <n v="2"/>
    <n v="37.5"/>
  </r>
  <r>
    <s v="GRU/CMW"/>
    <s v="CMW"/>
    <x v="1"/>
    <x v="0"/>
    <x v="16"/>
    <x v="2"/>
    <s v="Camaguey - Ignacio Agramonte Intl"/>
    <n v="6036"/>
    <n v="15.5"/>
    <m/>
    <n v="0"/>
    <m/>
    <n v="0"/>
    <n v="0"/>
  </r>
  <r>
    <s v="GRU/CND"/>
    <s v="CND"/>
    <x v="0"/>
    <x v="0"/>
    <x v="46"/>
    <x v="3"/>
    <s v="Constanta - Mihail Kogalniceanu"/>
    <n v="10698"/>
    <n v="25.75"/>
    <n v="234314513"/>
    <n v="78471.035833891496"/>
    <n v="2986"/>
    <n v="2"/>
    <n v="51.5"/>
  </r>
  <r>
    <s v="GRU/CNF"/>
    <s v="CNF"/>
    <x v="0"/>
    <x v="2"/>
    <x v="3"/>
    <x v="1"/>
    <s v="Belo Horizonte - Tancredo Neves Intl"/>
    <n v="495"/>
    <n v="3.25"/>
    <n v="152961694"/>
    <n v="66274.564124783356"/>
    <n v="2308"/>
    <n v="1"/>
    <n v="3.25"/>
  </r>
  <r>
    <s v="GRU/COR"/>
    <s v="COR"/>
    <x v="1"/>
    <x v="0"/>
    <x v="9"/>
    <x v="1"/>
    <s v="Cordoba - A.L.V. Taravella"/>
    <n v="1956"/>
    <n v="6.5"/>
    <m/>
    <n v="0"/>
    <m/>
    <n v="0"/>
    <n v="0"/>
  </r>
  <r>
    <s v="GRU/COS"/>
    <s v="COS"/>
    <x v="1"/>
    <x v="1"/>
    <x v="21"/>
    <x v="2"/>
    <s v="Colorado Springs - Metropolitan Area"/>
    <n v="9197"/>
    <n v="22.5"/>
    <m/>
    <n v="0"/>
    <m/>
    <n v="0"/>
    <n v="0"/>
  </r>
  <r>
    <s v="GRU/CPH"/>
    <s v="CPH"/>
    <x v="0"/>
    <x v="2"/>
    <x v="20"/>
    <x v="3"/>
    <s v="Copenhagen - Metropolitan Area"/>
    <n v="10407"/>
    <n v="25.25"/>
    <n v="264473719"/>
    <n v="84496.395846645362"/>
    <n v="3130"/>
    <n v="2"/>
    <n v="50.5"/>
  </r>
  <r>
    <s v="GRU/CPR"/>
    <s v="CPR"/>
    <x v="1"/>
    <x v="0"/>
    <x v="21"/>
    <x v="2"/>
    <s v="Casper - Natrona County Intl"/>
    <n v="9593"/>
    <n v="23.25"/>
    <m/>
    <n v="0"/>
    <m/>
    <n v="0"/>
    <n v="0"/>
  </r>
  <r>
    <s v="GRU/CPT"/>
    <s v="CPT"/>
    <x v="0"/>
    <x v="2"/>
    <x v="72"/>
    <x v="0"/>
    <s v="Cape Town - International"/>
    <n v="6352"/>
    <n v="16.25"/>
    <n v="213648565"/>
    <n v="55637.647135416664"/>
    <n v="3840"/>
    <n v="2"/>
    <n v="32.5"/>
  </r>
  <r>
    <s v="GRU/CTC"/>
    <s v="CTC"/>
    <x v="1"/>
    <x v="3"/>
    <x v="9"/>
    <x v="1"/>
    <s v="Catamarca"/>
    <n v="2008"/>
    <n v="6.5"/>
    <m/>
    <n v="0"/>
    <m/>
    <n v="0"/>
    <n v="0"/>
  </r>
  <r>
    <s v="GRU/CUN"/>
    <s v="CUN"/>
    <x v="0"/>
    <x v="2"/>
    <x v="12"/>
    <x v="2"/>
    <s v="Cancun - International"/>
    <n v="6604"/>
    <n v="16.75"/>
    <n v="220975587"/>
    <n v="69598.610078740152"/>
    <n v="3175"/>
    <n v="2"/>
    <n v="33.5"/>
  </r>
  <r>
    <s v="GRU/CUZ"/>
    <s v="CUZ"/>
    <x v="0"/>
    <x v="1"/>
    <x v="1"/>
    <x v="1"/>
    <s v="Cusco - A.Velasco Astete Intl"/>
    <n v="2898"/>
    <n v="8.5"/>
    <m/>
    <n v="0"/>
    <m/>
    <n v="0"/>
    <n v="0"/>
  </r>
  <r>
    <s v="GRU/CVG"/>
    <s v="CVG"/>
    <x v="1"/>
    <x v="2"/>
    <x v="21"/>
    <x v="2"/>
    <s v="Cincinnati - Metropolitan Area"/>
    <n v="8005"/>
    <n v="19.75"/>
    <m/>
    <n v="0"/>
    <m/>
    <n v="0"/>
    <n v="0"/>
  </r>
  <r>
    <s v="GRU/CYO"/>
    <s v="CYO"/>
    <x v="1"/>
    <x v="0"/>
    <x v="16"/>
    <x v="2"/>
    <s v="Cayo Largo del Sur - Vilo Acuna Intl"/>
    <n v="6287"/>
    <n v="16"/>
    <m/>
    <n v="0"/>
    <m/>
    <n v="0"/>
    <n v="0"/>
  </r>
  <r>
    <s v="GRU/CYS"/>
    <s v="CYS"/>
    <x v="1"/>
    <x v="3"/>
    <x v="21"/>
    <x v="2"/>
    <s v="Cheyenne - Metropolitan Area"/>
    <n v="9365"/>
    <n v="22.75"/>
    <m/>
    <n v="0"/>
    <m/>
    <n v="0"/>
    <n v="0"/>
  </r>
  <r>
    <s v="GRU/CZL"/>
    <s v="CZL"/>
    <x v="0"/>
    <x v="0"/>
    <x v="18"/>
    <x v="0"/>
    <s v="Constantine - Mohamed Boudiaf"/>
    <n v="8669"/>
    <n v="21.25"/>
    <n v="209029640"/>
    <n v="74176.593328601841"/>
    <n v="2818"/>
    <n v="2"/>
    <n v="42.5"/>
  </r>
  <r>
    <s v="GRU/DAB"/>
    <s v="DAB"/>
    <x v="1"/>
    <x v="0"/>
    <x v="21"/>
    <x v="2"/>
    <s v="Daytona Beach - International"/>
    <n v="6924"/>
    <n v="17.5"/>
    <m/>
    <n v="0"/>
    <m/>
    <n v="0"/>
    <n v="0"/>
  </r>
  <r>
    <s v="GRU/DAM"/>
    <s v="DAM"/>
    <x v="0"/>
    <x v="1"/>
    <x v="35"/>
    <x v="4"/>
    <s v="Damascus - International"/>
    <n v="10811"/>
    <n v="26"/>
    <n v="248721980"/>
    <n v="63143.432343234323"/>
    <n v="3939"/>
    <n v="2"/>
    <n v="52"/>
  </r>
  <r>
    <s v="GRU/DAR"/>
    <s v="DAR"/>
    <x v="0"/>
    <x v="1"/>
    <x v="73"/>
    <x v="0"/>
    <s v="Dar es Salaam - Julius Nyerere Intl"/>
    <n v="9266"/>
    <n v="22.75"/>
    <n v="225294568"/>
    <n v="56521.467134972401"/>
    <n v="3986"/>
    <n v="3"/>
    <n v="68.25"/>
  </r>
  <r>
    <s v="GRU/DAY"/>
    <s v="DAY"/>
    <x v="1"/>
    <x v="1"/>
    <x v="21"/>
    <x v="2"/>
    <s v="Dayton - Metropolitan Area"/>
    <n v="8059"/>
    <n v="20"/>
    <m/>
    <n v="0"/>
    <m/>
    <n v="0"/>
    <n v="0"/>
  </r>
  <r>
    <s v="GRU/DBV"/>
    <s v="DBV"/>
    <x v="1"/>
    <x v="5"/>
    <x v="74"/>
    <x v="3"/>
    <s v="Dubrovnik"/>
    <n v="9886"/>
    <n v="24"/>
    <m/>
    <n v="0"/>
    <m/>
    <n v="0"/>
    <n v="0"/>
  </r>
  <r>
    <s v="GRU/DEN"/>
    <s v="DEN"/>
    <x v="0"/>
    <x v="4"/>
    <x v="21"/>
    <x v="2"/>
    <s v="Denver - Metropolitan Area"/>
    <n v="9268"/>
    <n v="22.75"/>
    <n v="272512887"/>
    <n v="99384.714442013123"/>
    <n v="2742"/>
    <n v="2"/>
    <n v="45.5"/>
  </r>
  <r>
    <s v="GRU/DEZ"/>
    <s v="DEZ"/>
    <x v="1"/>
    <x v="3"/>
    <x v="35"/>
    <x v="4"/>
    <s v="Deir ez Zor"/>
    <n v="11201"/>
    <n v="27"/>
    <m/>
    <n v="0"/>
    <m/>
    <n v="0"/>
    <n v="0"/>
  </r>
  <r>
    <s v="GRU/DFW"/>
    <s v="DFW"/>
    <x v="0"/>
    <x v="4"/>
    <x v="21"/>
    <x v="2"/>
    <s v="Dallas - Metropolitan Area"/>
    <n v="8246"/>
    <n v="20.5"/>
    <n v="261569699"/>
    <n v="95393.76331145149"/>
    <n v="2742"/>
    <n v="2"/>
    <n v="41"/>
  </r>
  <r>
    <s v="GRU/DGO"/>
    <s v="DGO"/>
    <x v="1"/>
    <x v="0"/>
    <x v="12"/>
    <x v="2"/>
    <s v="Durango - Guadalupe Victoria Int"/>
    <n v="8198"/>
    <n v="20.25"/>
    <m/>
    <n v="0"/>
    <m/>
    <n v="0"/>
    <n v="0"/>
  </r>
  <r>
    <s v="GRU/DIY"/>
    <s v="DIY"/>
    <x v="0"/>
    <x v="0"/>
    <x v="25"/>
    <x v="4"/>
    <s v="Diyarbakir"/>
    <n v="11307"/>
    <n v="27.25"/>
    <n v="242955729"/>
    <n v="72286.738768223746"/>
    <n v="3361"/>
    <n v="2"/>
    <n v="54.5"/>
  </r>
  <r>
    <s v="GRU/DJE"/>
    <s v="DJE"/>
    <x v="0"/>
    <x v="1"/>
    <x v="75"/>
    <x v="0"/>
    <s v="Djerba - Zarsis"/>
    <n v="8788"/>
    <n v="21.5"/>
    <n v="224476448"/>
    <n v="71126.884664131809"/>
    <n v="3156"/>
    <n v="2"/>
    <n v="43"/>
  </r>
  <r>
    <s v="GRU/DJG"/>
    <s v="DJG"/>
    <x v="1"/>
    <x v="3"/>
    <x v="18"/>
    <x v="0"/>
    <s v="Djanet - Tiska"/>
    <n v="8034"/>
    <n v="20"/>
    <m/>
    <n v="0"/>
    <m/>
    <n v="0"/>
    <n v="0"/>
  </r>
  <r>
    <s v="GRU/DLH"/>
    <s v="DLH"/>
    <x v="1"/>
    <x v="0"/>
    <x v="21"/>
    <x v="2"/>
    <s v="Duluth - International"/>
    <n v="9063"/>
    <n v="22.25"/>
    <m/>
    <n v="0"/>
    <m/>
    <n v="0"/>
    <n v="0"/>
  </r>
  <r>
    <s v="GRU/DLM"/>
    <s v="DLM"/>
    <x v="0"/>
    <x v="1"/>
    <x v="25"/>
    <x v="4"/>
    <s v="Dalaman"/>
    <n v="10332"/>
    <n v="25"/>
    <n v="243093264"/>
    <n v="65347.651612903224"/>
    <n v="3720"/>
    <n v="2"/>
    <n v="50"/>
  </r>
  <r>
    <s v="GRU/DME"/>
    <s v="DME"/>
    <x v="0"/>
    <x v="4"/>
    <x v="28"/>
    <x v="3"/>
    <s v="Moscow - Domodedovo"/>
    <n v="11794"/>
    <n v="28.25"/>
    <n v="279981154"/>
    <n v="66424.94756820878"/>
    <n v="4215"/>
    <n v="3"/>
    <n v="84.75"/>
  </r>
  <r>
    <s v="GRU/DMM"/>
    <s v="DMM"/>
    <x v="0"/>
    <x v="1"/>
    <x v="22"/>
    <x v="4"/>
    <s v="Dammam - King Fahd Intl"/>
    <n v="11731"/>
    <n v="28"/>
    <n v="258397812"/>
    <n v="77877.580470162749"/>
    <n v="3318"/>
    <n v="2"/>
    <n v="56"/>
  </r>
  <r>
    <s v="GRU/DNK"/>
    <s v="DNK"/>
    <x v="1"/>
    <x v="1"/>
    <x v="76"/>
    <x v="3"/>
    <s v="Dnipropetrovsk - International"/>
    <n v="11343"/>
    <n v="27.25"/>
    <m/>
    <n v="0"/>
    <m/>
    <n v="0"/>
    <n v="0"/>
  </r>
  <r>
    <s v="GRU/DNZ"/>
    <s v="DNZ"/>
    <x v="1"/>
    <x v="0"/>
    <x v="25"/>
    <x v="4"/>
    <s v="Denizli - Cardak"/>
    <n v="10458"/>
    <n v="25.25"/>
    <m/>
    <n v="0"/>
    <m/>
    <n v="0"/>
    <n v="0"/>
  </r>
  <r>
    <s v="GRU/DOH"/>
    <s v="DOH"/>
    <x v="0"/>
    <x v="2"/>
    <x v="77"/>
    <x v="4"/>
    <s v="Doha - Hamad International"/>
    <n v="11856"/>
    <n v="28.5"/>
    <n v="277068800"/>
    <n v="79823.912417170839"/>
    <n v="3471"/>
    <n v="2"/>
    <n v="57"/>
  </r>
  <r>
    <s v="GRU/DOM"/>
    <s v="DOM"/>
    <x v="1"/>
    <x v="0"/>
    <x v="78"/>
    <x v="2"/>
    <s v="Dominica - Metropolitan Area"/>
    <n v="4625"/>
    <n v="12.25"/>
    <m/>
    <n v="0"/>
    <m/>
    <n v="0"/>
    <n v="0"/>
  </r>
  <r>
    <s v="GRU/DRO"/>
    <s v="DRO"/>
    <x v="1"/>
    <x v="0"/>
    <x v="21"/>
    <x v="2"/>
    <s v="Durango - Metropolitan Area"/>
    <n v="9300"/>
    <n v="22.75"/>
    <m/>
    <n v="0"/>
    <m/>
    <n v="0"/>
    <n v="0"/>
  </r>
  <r>
    <s v="GRU/DRS"/>
    <s v="DRS"/>
    <x v="1"/>
    <x v="1"/>
    <x v="69"/>
    <x v="3"/>
    <s v="Dresden - Airport"/>
    <n v="10161"/>
    <n v="24.75"/>
    <m/>
    <n v="0"/>
    <m/>
    <n v="0"/>
    <n v="0"/>
  </r>
  <r>
    <s v="GRU/DSA"/>
    <s v="DSA"/>
    <x v="1"/>
    <x v="0"/>
    <x v="52"/>
    <x v="3"/>
    <s v="Doncaster/Sheffield - Robin Hood"/>
    <n v="9605"/>
    <n v="23.5"/>
    <m/>
    <n v="0"/>
    <m/>
    <n v="0"/>
    <n v="0"/>
  </r>
  <r>
    <s v="GRU/DTW"/>
    <s v="DTW"/>
    <x v="0"/>
    <x v="4"/>
    <x v="21"/>
    <x v="2"/>
    <s v="Detroit - Metropolitan Wayne Co."/>
    <n v="8226"/>
    <n v="20.25"/>
    <n v="252790185"/>
    <n v="96928.751917177913"/>
    <n v="2608"/>
    <n v="1"/>
    <n v="20.25"/>
  </r>
  <r>
    <s v="GRU/DUR"/>
    <s v="DUR"/>
    <x v="0"/>
    <x v="1"/>
    <x v="72"/>
    <x v="0"/>
    <s v="Durban - Metropolitan Area"/>
    <n v="7608"/>
    <n v="19"/>
    <n v="219138867"/>
    <n v="59532.427872860637"/>
    <n v="3681"/>
    <n v="2"/>
    <n v="38"/>
  </r>
  <r>
    <s v="GRU/DUS"/>
    <s v="DUS"/>
    <x v="0"/>
    <x v="2"/>
    <x v="69"/>
    <x v="3"/>
    <s v="Duesseldorf - International"/>
    <n v="9798"/>
    <n v="23.75"/>
    <n v="258989958"/>
    <n v="88938.859203296699"/>
    <n v="2912"/>
    <n v="2"/>
    <n v="47.5"/>
  </r>
  <r>
    <s v="GRU/DWC"/>
    <s v="DWC"/>
    <x v="0"/>
    <x v="5"/>
    <x v="19"/>
    <x v="4"/>
    <s v="Dubai - Al Maktoum International Airport"/>
    <n v="12187"/>
    <n v="29"/>
    <n v="250575190"/>
    <n v="88667.795470629862"/>
    <n v="2826"/>
    <n v="2"/>
    <n v="58"/>
  </r>
  <r>
    <s v="GRU/DWD"/>
    <s v="DWD"/>
    <x v="1"/>
    <x v="3"/>
    <x v="22"/>
    <x v="4"/>
    <s v="Dawadmi - King Salman Abdulaziz"/>
    <n v="11119"/>
    <n v="26.75"/>
    <m/>
    <n v="0"/>
    <m/>
    <n v="0"/>
    <n v="0"/>
  </r>
  <r>
    <s v="GRU/DXB"/>
    <s v="DXB"/>
    <x v="0"/>
    <x v="4"/>
    <x v="19"/>
    <x v="4"/>
    <s v="Dubai - International"/>
    <n v="12219"/>
    <n v="29.25"/>
    <n v="299545742"/>
    <n v="74774.274088866703"/>
    <n v="4006"/>
    <n v="3"/>
    <n v="87.75"/>
  </r>
  <r>
    <s v="GRU/EAM"/>
    <s v="EAM"/>
    <x v="1"/>
    <x v="0"/>
    <x v="22"/>
    <x v="4"/>
    <s v="Nejran"/>
    <n v="10865"/>
    <n v="26.25"/>
    <m/>
    <n v="0"/>
    <m/>
    <n v="0"/>
    <n v="0"/>
  </r>
  <r>
    <s v="GRU/EBB"/>
    <s v="EBB"/>
    <x v="1"/>
    <x v="0"/>
    <x v="79"/>
    <x v="0"/>
    <s v="Entebbe - International"/>
    <n v="8881"/>
    <n v="21.75"/>
    <m/>
    <n v="0"/>
    <m/>
    <n v="0"/>
    <n v="0"/>
  </r>
  <r>
    <s v="GRU/EBD"/>
    <s v="EBD"/>
    <x v="0"/>
    <x v="3"/>
    <x v="80"/>
    <x v="0"/>
    <s v="El Obeid"/>
    <n v="9275"/>
    <n v="22.75"/>
    <n v="203289864"/>
    <n v="64169.780303030304"/>
    <n v="3168"/>
    <n v="2"/>
    <n v="45.5"/>
  </r>
  <r>
    <s v="GRU/ECP"/>
    <s v="ECP"/>
    <x v="1"/>
    <x v="1"/>
    <x v="21"/>
    <x v="2"/>
    <s v="Panama City - Metropolitan Area"/>
    <n v="7308"/>
    <n v="18.25"/>
    <m/>
    <n v="0"/>
    <m/>
    <n v="0"/>
    <n v="0"/>
  </r>
  <r>
    <s v="GRU/EDL"/>
    <s v="EDL"/>
    <x v="0"/>
    <x v="3"/>
    <x v="81"/>
    <x v="0"/>
    <s v="Eldoret - International"/>
    <n v="9182"/>
    <n v="22.5"/>
    <n v="204904014"/>
    <n v="63555.835607940448"/>
    <n v="3224"/>
    <n v="2"/>
    <n v="45"/>
  </r>
  <r>
    <s v="GRU/EIN"/>
    <s v="EIN"/>
    <x v="1"/>
    <x v="1"/>
    <x v="37"/>
    <x v="3"/>
    <s v="Eindhoven - Airport"/>
    <n v="9741"/>
    <n v="23.75"/>
    <m/>
    <n v="0"/>
    <m/>
    <n v="0"/>
    <n v="0"/>
  </r>
  <r>
    <s v="GRU/EJH"/>
    <s v="EJH"/>
    <x v="1"/>
    <x v="3"/>
    <x v="22"/>
    <x v="4"/>
    <s v="Wedjh"/>
    <n v="10484"/>
    <n v="25.25"/>
    <m/>
    <n v="0"/>
    <m/>
    <n v="0"/>
    <n v="0"/>
  </r>
  <r>
    <s v="GRU/ELF"/>
    <s v="ELF"/>
    <x v="0"/>
    <x v="3"/>
    <x v="80"/>
    <x v="0"/>
    <s v="El Fasher"/>
    <n v="8824"/>
    <n v="21.75"/>
    <n v="204535677"/>
    <n v="60495.615794143741"/>
    <n v="3381"/>
    <n v="2"/>
    <n v="43.5"/>
  </r>
  <r>
    <s v="GRU/ELG"/>
    <s v="ELG"/>
    <x v="1"/>
    <x v="3"/>
    <x v="18"/>
    <x v="0"/>
    <s v="El Golea"/>
    <n v="7984"/>
    <n v="19.75"/>
    <m/>
    <n v="0"/>
    <m/>
    <n v="0"/>
    <n v="0"/>
  </r>
  <r>
    <s v="GRU/ELP"/>
    <s v="ELP"/>
    <x v="1"/>
    <x v="1"/>
    <x v="21"/>
    <x v="2"/>
    <s v="El Paso - Metropolitan Area"/>
    <n v="8848"/>
    <n v="21.75"/>
    <m/>
    <n v="0"/>
    <m/>
    <n v="0"/>
    <n v="0"/>
  </r>
  <r>
    <s v="GRU/ELQ"/>
    <s v="ELQ"/>
    <x v="1"/>
    <x v="0"/>
    <x v="22"/>
    <x v="4"/>
    <s v="Gassim"/>
    <n v="11161"/>
    <n v="26.75"/>
    <m/>
    <n v="0"/>
    <m/>
    <n v="0"/>
    <n v="0"/>
  </r>
  <r>
    <s v="GRU/ELU"/>
    <s v="ELU"/>
    <x v="1"/>
    <x v="3"/>
    <x v="18"/>
    <x v="0"/>
    <s v="El Oued - Guemar"/>
    <n v="8477"/>
    <n v="21"/>
    <m/>
    <n v="0"/>
    <m/>
    <n v="0"/>
    <n v="0"/>
  </r>
  <r>
    <s v="GRU/EMA"/>
    <s v="EMA"/>
    <x v="0"/>
    <x v="1"/>
    <x v="52"/>
    <x v="3"/>
    <s v="Nottingham - East Midlands"/>
    <n v="9537"/>
    <n v="23.25"/>
    <n v="241121813"/>
    <n v="94225.0148495506"/>
    <n v="2559"/>
    <n v="1"/>
    <n v="23.25"/>
  </r>
  <r>
    <s v="GRU/ERC"/>
    <s v="ERC"/>
    <x v="1"/>
    <x v="0"/>
    <x v="25"/>
    <x v="4"/>
    <s v="Erzincan"/>
    <n v="11324"/>
    <n v="27.25"/>
    <m/>
    <n v="0"/>
    <m/>
    <n v="0"/>
    <n v="0"/>
  </r>
  <r>
    <s v="GRU/ERH"/>
    <s v="ERH"/>
    <x v="1"/>
    <x v="3"/>
    <x v="29"/>
    <x v="0"/>
    <s v="Errachidia - Moulay Ali Cherif"/>
    <n v="7611"/>
    <n v="19"/>
    <m/>
    <n v="0"/>
    <m/>
    <n v="0"/>
    <n v="0"/>
  </r>
  <r>
    <s v="GRU/ERZ"/>
    <s v="ERZ"/>
    <x v="0"/>
    <x v="0"/>
    <x v="25"/>
    <x v="4"/>
    <s v="Erzurum"/>
    <n v="11465"/>
    <n v="27.5"/>
    <n v="240567646"/>
    <n v="74803.372512437811"/>
    <n v="3216"/>
    <n v="2"/>
    <n v="55"/>
  </r>
  <r>
    <s v="GRU/ESB"/>
    <s v="ESB"/>
    <x v="0"/>
    <x v="1"/>
    <x v="25"/>
    <x v="4"/>
    <s v="Ankara - Esenboga"/>
    <n v="10828"/>
    <n v="26"/>
    <n v="254527748"/>
    <n v="64421.095418881298"/>
    <n v="3951"/>
    <n v="2"/>
    <n v="52"/>
  </r>
  <r>
    <s v="GRU/ETM"/>
    <s v="ETM"/>
    <x v="1"/>
    <x v="5"/>
    <x v="82"/>
    <x v="4"/>
    <s v="Eilat - Ramon Airport"/>
    <n v="10608"/>
    <n v="25.5"/>
    <m/>
    <n v="0"/>
    <m/>
    <n v="0"/>
    <n v="0"/>
  </r>
  <r>
    <s v="GRU/ETZ"/>
    <s v="ETZ"/>
    <x v="1"/>
    <x v="0"/>
    <x v="50"/>
    <x v="3"/>
    <s v="Metz/Nancy - Lorraine"/>
    <n v="9597"/>
    <n v="23.5"/>
    <m/>
    <n v="0"/>
    <m/>
    <n v="0"/>
    <n v="0"/>
  </r>
  <r>
    <s v="GRU/EVE"/>
    <s v="EVE"/>
    <x v="1"/>
    <x v="0"/>
    <x v="54"/>
    <x v="3"/>
    <s v="Harstad/Narvik - Evenes"/>
    <n v="11410"/>
    <n v="27.5"/>
    <m/>
    <n v="0"/>
    <m/>
    <n v="0"/>
    <n v="0"/>
  </r>
  <r>
    <s v="GRU/EVN"/>
    <s v="EVN"/>
    <x v="0"/>
    <x v="1"/>
    <x v="83"/>
    <x v="4"/>
    <s v="Yerevan - Zvartnots Intl"/>
    <n v="11732"/>
    <n v="28"/>
    <n v="249525800"/>
    <n v="74153.283803863305"/>
    <n v="3365"/>
    <n v="2"/>
    <n v="56"/>
  </r>
  <r>
    <s v="GRU/EWR"/>
    <s v="EWR"/>
    <x v="0"/>
    <x v="4"/>
    <x v="21"/>
    <x v="2"/>
    <s v="New York - Newark Liberty Intl"/>
    <n v="7686"/>
    <n v="19.25"/>
    <n v="248749268"/>
    <n v="94473.706038739081"/>
    <n v="2633"/>
    <n v="1"/>
    <n v="19.25"/>
  </r>
  <r>
    <s v="GRU/FAI"/>
    <s v="FAI"/>
    <x v="1"/>
    <x v="0"/>
    <x v="21"/>
    <x v="2"/>
    <s v="Fairbanks - Metropolitan Area"/>
    <n v="12892"/>
    <n v="30.75"/>
    <m/>
    <n v="0"/>
    <m/>
    <n v="0"/>
    <n v="0"/>
  </r>
  <r>
    <s v="GRU/FAT"/>
    <s v="FAT"/>
    <x v="1"/>
    <x v="1"/>
    <x v="21"/>
    <x v="2"/>
    <s v="Fresno - Metropolitan Area"/>
    <n v="10178"/>
    <n v="24.75"/>
    <m/>
    <n v="0"/>
    <m/>
    <n v="0"/>
    <n v="0"/>
  </r>
  <r>
    <s v="GRU/FBM"/>
    <s v="FBM"/>
    <x v="0"/>
    <x v="0"/>
    <x v="84"/>
    <x v="0"/>
    <s v="Lubumbashi - Luano Intl"/>
    <n v="7882"/>
    <n v="19.5"/>
    <m/>
    <n v="0"/>
    <m/>
    <n v="0"/>
    <n v="0"/>
  </r>
  <r>
    <s v="GRU/FCO"/>
    <s v="FCO"/>
    <x v="0"/>
    <x v="4"/>
    <x v="32"/>
    <x v="3"/>
    <s v="Rome - Fiumicino"/>
    <n v="9434"/>
    <n v="23"/>
    <n v="267070743"/>
    <n v="85544.760730301088"/>
    <n v="3122"/>
    <n v="2"/>
    <n v="46"/>
  </r>
  <r>
    <s v="GRU/FDF"/>
    <s v="FDF"/>
    <x v="1"/>
    <x v="1"/>
    <x v="85"/>
    <x v="2"/>
    <s v="Fort-de-France - Martinique A. Cesaire"/>
    <n v="4515"/>
    <n v="12"/>
    <m/>
    <n v="0"/>
    <m/>
    <n v="0"/>
    <n v="0"/>
  </r>
  <r>
    <s v="GRU/FEZ"/>
    <s v="FEZ"/>
    <x v="1"/>
    <x v="0"/>
    <x v="29"/>
    <x v="0"/>
    <s v="Fes - Saiss"/>
    <n v="7742"/>
    <n v="19.25"/>
    <m/>
    <n v="0"/>
    <m/>
    <n v="0"/>
    <n v="0"/>
  </r>
  <r>
    <s v="GRU/FIH"/>
    <s v="FIH"/>
    <x v="1"/>
    <x v="0"/>
    <x v="84"/>
    <x v="0"/>
    <s v="Kinshasa - Metropolitan Area"/>
    <n v="6955"/>
    <n v="17.5"/>
    <m/>
    <n v="0"/>
    <m/>
    <n v="0"/>
    <n v="0"/>
  </r>
  <r>
    <s v="GRU/FJR"/>
    <s v="FJR"/>
    <x v="1"/>
    <x v="3"/>
    <x v="19"/>
    <x v="4"/>
    <s v="Fujairah - International"/>
    <n v="12307"/>
    <n v="29.5"/>
    <m/>
    <n v="0"/>
    <m/>
    <n v="0"/>
    <n v="0"/>
  </r>
  <r>
    <s v="GRU/FKB"/>
    <s v="FKB"/>
    <x v="1"/>
    <x v="0"/>
    <x v="69"/>
    <x v="3"/>
    <s v="Karlsruhe/Baden-Baden - Baden Airpark"/>
    <n v="9681"/>
    <n v="23.5"/>
    <m/>
    <n v="0"/>
    <m/>
    <n v="0"/>
    <n v="0"/>
  </r>
  <r>
    <s v="GRU/FKI"/>
    <s v="FKI"/>
    <x v="1"/>
    <x v="0"/>
    <x v="84"/>
    <x v="0"/>
    <s v="Kisangani - Bangoka Intl"/>
    <n v="8180"/>
    <n v="20.25"/>
    <m/>
    <n v="0"/>
    <m/>
    <n v="0"/>
    <n v="0"/>
  </r>
  <r>
    <s v="GRU/FMM"/>
    <s v="FMM"/>
    <x v="1"/>
    <x v="0"/>
    <x v="69"/>
    <x v="3"/>
    <s v="Memmingen - Allgaeu Airport"/>
    <n v="9744"/>
    <n v="23.75"/>
    <m/>
    <n v="0"/>
    <m/>
    <n v="0"/>
    <n v="0"/>
  </r>
  <r>
    <s v="GRU/FNA"/>
    <s v="FNA"/>
    <x v="1"/>
    <x v="0"/>
    <x v="86"/>
    <x v="0"/>
    <s v="Freetown - Metropolitan Area"/>
    <n v="5078"/>
    <n v="13.25"/>
    <m/>
    <n v="0"/>
    <m/>
    <n v="0"/>
    <n v="0"/>
  </r>
  <r>
    <s v="GRU/FPO"/>
    <s v="FPO"/>
    <x v="1"/>
    <x v="0"/>
    <x v="87"/>
    <x v="2"/>
    <s v="Freeport - Grand Bahama Intl"/>
    <n v="6551"/>
    <n v="16.75"/>
    <m/>
    <n v="0"/>
    <m/>
    <n v="0"/>
    <n v="0"/>
  </r>
  <r>
    <s v="GRU/FRA"/>
    <s v="FRA"/>
    <x v="0"/>
    <x v="4"/>
    <x v="69"/>
    <x v="3"/>
    <s v="Frankfurt - International"/>
    <n v="9799"/>
    <n v="23.75"/>
    <n v="275864725"/>
    <n v="84182.094903875492"/>
    <n v="3277"/>
    <n v="2"/>
    <n v="47.5"/>
  </r>
  <r>
    <s v="GRU/FWA"/>
    <s v="FWA"/>
    <x v="1"/>
    <x v="0"/>
    <x v="21"/>
    <x v="2"/>
    <s v="Fort Wayne - Metropolitan Area"/>
    <n v="8204"/>
    <n v="20.25"/>
    <m/>
    <n v="0"/>
    <m/>
    <n v="0"/>
    <n v="0"/>
  </r>
  <r>
    <s v="GRU/GAF"/>
    <s v="GAF"/>
    <x v="1"/>
    <x v="3"/>
    <x v="75"/>
    <x v="0"/>
    <s v="Gafsa - Ksar"/>
    <n v="8686"/>
    <n v="21.25"/>
    <m/>
    <n v="0"/>
    <m/>
    <n v="0"/>
    <n v="0"/>
  </r>
  <r>
    <s v="GRU/GBE"/>
    <s v="GBE"/>
    <x v="0"/>
    <x v="0"/>
    <x v="88"/>
    <x v="0"/>
    <s v="Gaborone - Sir Seretse Khama Intl"/>
    <n v="7263"/>
    <n v="18.25"/>
    <n v="196327593"/>
    <n v="66282.104321404462"/>
    <n v="2962"/>
    <n v="2"/>
    <n v="36.5"/>
  </r>
  <r>
    <s v="GRU/GDL"/>
    <s v="GDL"/>
    <x v="0"/>
    <x v="2"/>
    <x v="12"/>
    <x v="2"/>
    <s v="Guadalajara - Miguel Hidalgo Intl"/>
    <n v="7863"/>
    <n v="19.5"/>
    <n v="226632627"/>
    <n v="75898.401540522435"/>
    <n v="2986"/>
    <n v="2"/>
    <n v="39"/>
  </r>
  <r>
    <s v="GRU/GDN"/>
    <s v="GDN"/>
    <x v="0"/>
    <x v="1"/>
    <x v="89"/>
    <x v="3"/>
    <s v="Gdansk - Lech Walesa"/>
    <n v="10628"/>
    <n v="25.75"/>
    <n v="239878207"/>
    <n v="82065.75675675676"/>
    <n v="2923"/>
    <n v="2"/>
    <n v="51.5"/>
  </r>
  <r>
    <s v="GRU/GGG"/>
    <s v="GGG"/>
    <x v="1"/>
    <x v="3"/>
    <x v="21"/>
    <x v="2"/>
    <s v="Longview - East Texas Regional"/>
    <n v="8048"/>
    <n v="20"/>
    <m/>
    <n v="0"/>
    <m/>
    <n v="0"/>
    <n v="0"/>
  </r>
  <r>
    <s v="GRU/GHA"/>
    <s v="GHA"/>
    <x v="1"/>
    <x v="3"/>
    <x v="18"/>
    <x v="0"/>
    <s v="Ghardaia - Noumerat"/>
    <n v="8186"/>
    <n v="20.25"/>
    <m/>
    <n v="0"/>
    <m/>
    <n v="0"/>
    <n v="0"/>
  </r>
  <r>
    <s v="GRU/GIG"/>
    <s v="GIG"/>
    <x v="2"/>
    <x v="2"/>
    <x v="3"/>
    <x v="1"/>
    <s v="Rio de Janeiro - Galeao-A.C.Jobim Intl"/>
    <n v="336"/>
    <n v="2.75"/>
    <n v="158463897"/>
    <n v="64837.928396072013"/>
    <n v="2444"/>
    <n v="1"/>
    <n v="2.75"/>
  </r>
  <r>
    <s v="GRU/GIZ"/>
    <s v="GIZ"/>
    <x v="1"/>
    <x v="0"/>
    <x v="22"/>
    <x v="4"/>
    <s v="Gizan"/>
    <n v="10655"/>
    <n v="25.75"/>
    <m/>
    <n v="0"/>
    <m/>
    <n v="0"/>
    <n v="0"/>
  </r>
  <r>
    <s v="GRU/GJT"/>
    <s v="GJT"/>
    <x v="1"/>
    <x v="0"/>
    <x v="21"/>
    <x v="2"/>
    <s v="Grand Junction - Regional"/>
    <n v="9483"/>
    <n v="23.25"/>
    <m/>
    <n v="0"/>
    <m/>
    <n v="0"/>
    <n v="0"/>
  </r>
  <r>
    <s v="GRU/GLK"/>
    <s v="GLK"/>
    <x v="0"/>
    <x v="3"/>
    <x v="45"/>
    <x v="0"/>
    <s v="Galcaio"/>
    <n v="10707"/>
    <n v="25.75"/>
    <n v="225341771"/>
    <n v="50031.476687388989"/>
    <n v="4504"/>
    <n v="3"/>
    <n v="77.25"/>
  </r>
  <r>
    <s v="GRU/GNB"/>
    <s v="GNB"/>
    <x v="1"/>
    <x v="0"/>
    <x v="50"/>
    <x v="3"/>
    <s v="Lyon - Grenoble-Isere"/>
    <n v="9271"/>
    <n v="22.75"/>
    <m/>
    <n v="0"/>
    <m/>
    <n v="0"/>
    <n v="0"/>
  </r>
  <r>
    <s v="GRU/GOA"/>
    <s v="GOA"/>
    <x v="1"/>
    <x v="1"/>
    <x v="32"/>
    <x v="3"/>
    <s v="Genoa - Cristoforo Colombo"/>
    <n v="9405"/>
    <n v="23"/>
    <m/>
    <n v="0"/>
    <m/>
    <n v="0"/>
    <n v="0"/>
  </r>
  <r>
    <s v="GRU/GOJ"/>
    <s v="GOJ"/>
    <x v="1"/>
    <x v="0"/>
    <x v="28"/>
    <x v="3"/>
    <s v="Nizhny Novgorod - Strigino"/>
    <n v="12172"/>
    <n v="29"/>
    <m/>
    <n v="0"/>
    <m/>
    <n v="0"/>
    <n v="0"/>
  </r>
  <r>
    <s v="GRU/GOT"/>
    <s v="GOT"/>
    <x v="1"/>
    <x v="1"/>
    <x v="39"/>
    <x v="3"/>
    <s v="Goteborg - Metropolitan Area"/>
    <n v="10529"/>
    <n v="25.5"/>
    <m/>
    <n v="0"/>
    <m/>
    <n v="0"/>
    <n v="0"/>
  </r>
  <r>
    <s v="GRU/GOU"/>
    <s v="GOU"/>
    <x v="0"/>
    <x v="3"/>
    <x v="7"/>
    <x v="0"/>
    <s v="Garoua - International"/>
    <n v="7454"/>
    <n v="18.75"/>
    <n v="187652547"/>
    <n v="58531.674048658766"/>
    <n v="3206"/>
    <n v="2"/>
    <n v="37.5"/>
  </r>
  <r>
    <s v="GRU/GPA"/>
    <s v="GPA"/>
    <x v="1"/>
    <x v="0"/>
    <x v="41"/>
    <x v="3"/>
    <s v="Patrai - Araxos"/>
    <n v="9845"/>
    <n v="24"/>
    <m/>
    <n v="0"/>
    <m/>
    <n v="0"/>
    <n v="0"/>
  </r>
  <r>
    <s v="GRU/GRK"/>
    <s v="GRK"/>
    <x v="1"/>
    <x v="0"/>
    <x v="21"/>
    <x v="2"/>
    <s v="Killeen/Fort Hood - Regional/R.Gray AAF"/>
    <n v="8165"/>
    <n v="20.25"/>
    <m/>
    <n v="0"/>
    <m/>
    <n v="0"/>
    <n v="0"/>
  </r>
  <r>
    <s v="GRU/GRR"/>
    <s v="GRR"/>
    <x v="1"/>
    <x v="1"/>
    <x v="21"/>
    <x v="2"/>
    <s v="Grand Rapids - Gerald R. Ford Intl"/>
    <n v="8390"/>
    <n v="20.75"/>
    <m/>
    <n v="0"/>
    <m/>
    <n v="0"/>
    <n v="0"/>
  </r>
  <r>
    <s v="GRU/GRX"/>
    <s v="GRX"/>
    <x v="1"/>
    <x v="1"/>
    <x v="30"/>
    <x v="3"/>
    <s v="Granada - Federico Garcia Lorca"/>
    <n v="8089"/>
    <n v="20"/>
    <m/>
    <n v="0"/>
    <m/>
    <n v="0"/>
    <n v="0"/>
  </r>
  <r>
    <s v="GRU/GRZ"/>
    <s v="GRZ"/>
    <x v="1"/>
    <x v="0"/>
    <x v="90"/>
    <x v="3"/>
    <s v="Graz - Airport"/>
    <n v="9985"/>
    <n v="24.25"/>
    <m/>
    <n v="0"/>
    <m/>
    <n v="0"/>
    <n v="0"/>
  </r>
  <r>
    <s v="GRU/GSO"/>
    <s v="GSO"/>
    <x v="1"/>
    <x v="1"/>
    <x v="21"/>
    <x v="2"/>
    <s v="Greensboro/High Point - Piedmont Triad Intl"/>
    <n v="7497"/>
    <n v="18.75"/>
    <m/>
    <n v="0"/>
    <m/>
    <n v="0"/>
    <n v="0"/>
  </r>
  <r>
    <s v="GRU/GSP"/>
    <s v="GSP"/>
    <x v="1"/>
    <x v="1"/>
    <x v="21"/>
    <x v="2"/>
    <s v="Greenville/Spartanburg - Metropolitan Area"/>
    <n v="7504"/>
    <n v="18.75"/>
    <m/>
    <n v="0"/>
    <m/>
    <n v="0"/>
    <n v="0"/>
  </r>
  <r>
    <s v="GRU/GTF"/>
    <s v="GTF"/>
    <x v="1"/>
    <x v="0"/>
    <x v="21"/>
    <x v="2"/>
    <s v="Great Falls - Metropolitan Area"/>
    <n v="10202"/>
    <n v="24.75"/>
    <m/>
    <n v="0"/>
    <m/>
    <n v="0"/>
    <n v="0"/>
  </r>
  <r>
    <s v="GRU/GUA"/>
    <s v="GUA"/>
    <x v="1"/>
    <x v="1"/>
    <x v="91"/>
    <x v="2"/>
    <s v="Guatemala City - La Aurora International Airport"/>
    <n v="6390"/>
    <n v="16.25"/>
    <m/>
    <n v="0"/>
    <m/>
    <n v="0"/>
    <n v="0"/>
  </r>
  <r>
    <s v="GRU/GUC"/>
    <s v="GUC"/>
    <x v="1"/>
    <x v="0"/>
    <x v="21"/>
    <x v="2"/>
    <s v="Gunnison-Crested Butte"/>
    <n v="9333"/>
    <n v="22.75"/>
    <m/>
    <n v="0"/>
    <m/>
    <n v="0"/>
    <n v="0"/>
  </r>
  <r>
    <s v="GRU/GUW"/>
    <s v="GUW"/>
    <x v="1"/>
    <x v="3"/>
    <x v="34"/>
    <x v="3"/>
    <s v="Atyrau"/>
    <n v="12503"/>
    <n v="29.75"/>
    <m/>
    <n v="0"/>
    <m/>
    <n v="0"/>
    <n v="0"/>
  </r>
  <r>
    <s v="GRU/GVA"/>
    <s v="GVA"/>
    <x v="0"/>
    <x v="2"/>
    <x v="63"/>
    <x v="3"/>
    <s v="Geneva - International"/>
    <n v="9381"/>
    <n v="23"/>
    <n v="249152744"/>
    <n v="98014.454760031469"/>
    <n v="2542"/>
    <n v="1"/>
    <n v="23"/>
  </r>
  <r>
    <s v="GRU/GXF"/>
    <s v="GXF"/>
    <x v="0"/>
    <x v="3"/>
    <x v="27"/>
    <x v="4"/>
    <s v="Sayun - Airport"/>
    <n v="11229"/>
    <n v="27"/>
    <n v="225924206"/>
    <n v="65944.018096906017"/>
    <n v="3426"/>
    <n v="2"/>
    <n v="54"/>
  </r>
  <r>
    <s v="GRU/GYD"/>
    <s v="GYD"/>
    <x v="0"/>
    <x v="1"/>
    <x v="92"/>
    <x v="3"/>
    <s v="Baku - Heydar Aliyev Intl"/>
    <n v="12202"/>
    <n v="29.25"/>
    <n v="256726353"/>
    <n v="74760.149388468257"/>
    <n v="3434"/>
    <n v="2"/>
    <n v="58.5"/>
  </r>
  <r>
    <s v="GRU/GYE"/>
    <s v="GYE"/>
    <x v="1"/>
    <x v="1"/>
    <x v="93"/>
    <x v="1"/>
    <s v="Guayaquil - Jose Joaquin de Olmedo"/>
    <n v="4306"/>
    <n v="11.75"/>
    <m/>
    <n v="0"/>
    <m/>
    <n v="0"/>
    <n v="0"/>
  </r>
  <r>
    <s v="GRU/GZT"/>
    <s v="GZT"/>
    <x v="0"/>
    <x v="0"/>
    <x v="25"/>
    <x v="4"/>
    <s v="Gaziantep - Oguzeli"/>
    <n v="11045"/>
    <n v="26.5"/>
    <n v="238555941"/>
    <n v="72377.409283980582"/>
    <n v="3296"/>
    <n v="2"/>
    <n v="53"/>
  </r>
  <r>
    <s v="GRU/HAH"/>
    <s v="HAH"/>
    <x v="1"/>
    <x v="0"/>
    <x v="94"/>
    <x v="0"/>
    <s v="Moroni - Prince Said Ibrahim"/>
    <n v="9476"/>
    <n v="23"/>
    <m/>
    <n v="0"/>
    <m/>
    <n v="0"/>
    <n v="0"/>
  </r>
  <r>
    <s v="GRU/HAJ"/>
    <s v="HAJ"/>
    <x v="1"/>
    <x v="1"/>
    <x v="69"/>
    <x v="3"/>
    <s v="Hannover - Airport"/>
    <n v="10035"/>
    <n v="24.25"/>
    <m/>
    <n v="0"/>
    <m/>
    <n v="0"/>
    <n v="0"/>
  </r>
  <r>
    <s v="GRU/HAM"/>
    <s v="HAM"/>
    <x v="0"/>
    <x v="2"/>
    <x v="69"/>
    <x v="3"/>
    <s v="Hamburg - Airport"/>
    <n v="10135"/>
    <n v="24.5"/>
    <n v="254033578"/>
    <n v="85389.437983193275"/>
    <n v="2975"/>
    <n v="2"/>
    <n v="49"/>
  </r>
  <r>
    <s v="GRU/HAS"/>
    <s v="HAS"/>
    <x v="1"/>
    <x v="0"/>
    <x v="22"/>
    <x v="4"/>
    <s v="Hail"/>
    <n v="11014"/>
    <n v="26.5"/>
    <m/>
    <n v="0"/>
    <m/>
    <n v="0"/>
    <n v="0"/>
  </r>
  <r>
    <s v="GRU/HAV"/>
    <s v="HAV"/>
    <x v="0"/>
    <x v="2"/>
    <x v="16"/>
    <x v="2"/>
    <s v="Havana - Jose Marti Intl"/>
    <n v="6461"/>
    <n v="16.5"/>
    <n v="211652373"/>
    <n v="68296.990319457895"/>
    <n v="3099"/>
    <n v="2"/>
    <n v="33"/>
  </r>
  <r>
    <s v="GRU/HBE"/>
    <s v="HBE"/>
    <x v="1"/>
    <x v="0"/>
    <x v="17"/>
    <x v="0"/>
    <s v="Alexandria - Borg el Arab"/>
    <n v="10112"/>
    <n v="24.5"/>
    <m/>
    <n v="0"/>
    <m/>
    <n v="0"/>
    <n v="0"/>
  </r>
  <r>
    <s v="GRU/HBT"/>
    <s v="HBT"/>
    <x v="1"/>
    <x v="3"/>
    <x v="22"/>
    <x v="4"/>
    <s v="Hambantota - SPB"/>
    <n v="11386"/>
    <n v="27.25"/>
    <m/>
    <n v="0"/>
    <m/>
    <n v="0"/>
    <n v="0"/>
  </r>
  <r>
    <s v="GRU/HDN"/>
    <s v="HDN"/>
    <x v="1"/>
    <x v="0"/>
    <x v="21"/>
    <x v="2"/>
    <s v="Hayden - Yampa Valley"/>
    <n v="9482"/>
    <n v="23.25"/>
    <m/>
    <n v="0"/>
    <m/>
    <n v="0"/>
    <n v="0"/>
  </r>
  <r>
    <s v="GRU/HEL"/>
    <s v="HEL"/>
    <x v="0"/>
    <x v="2"/>
    <x v="95"/>
    <x v="3"/>
    <s v="Helsinki - Metropolitan Area"/>
    <n v="11298"/>
    <n v="27.25"/>
    <n v="269179415"/>
    <n v="86164.985595390521"/>
    <n v="3124"/>
    <n v="2"/>
    <n v="54.5"/>
  </r>
  <r>
    <s v="GRU/HLA"/>
    <s v="HLA"/>
    <x v="1"/>
    <x v="0"/>
    <x v="72"/>
    <x v="0"/>
    <s v="Johannesburg - Lanseria International"/>
    <n v="7415"/>
    <n v="18.5"/>
    <m/>
    <n v="0"/>
    <m/>
    <n v="0"/>
    <n v="0"/>
  </r>
  <r>
    <s v="GRU/HME"/>
    <s v="HME"/>
    <x v="0"/>
    <x v="0"/>
    <x v="18"/>
    <x v="0"/>
    <s v="Hassi Messaoud - Oued Irara"/>
    <n v="8298"/>
    <n v="20.5"/>
    <n v="207216211"/>
    <n v="71651.525242047021"/>
    <n v="2892"/>
    <n v="2"/>
    <n v="41"/>
  </r>
  <r>
    <s v="GRU/HNL"/>
    <s v="HNL"/>
    <x v="0"/>
    <x v="2"/>
    <x v="21"/>
    <x v="2"/>
    <s v="Honolulu - Daniel K. Inouye Intl"/>
    <n v="13037"/>
    <n v="31"/>
    <n v="292129339"/>
    <n v="108115.96558105107"/>
    <n v="2702"/>
    <n v="2"/>
    <n v="62"/>
  </r>
  <r>
    <s v="GRU/HOD"/>
    <s v="HOD"/>
    <x v="1"/>
    <x v="3"/>
    <x v="27"/>
    <x v="4"/>
    <s v="Hodeidah - International"/>
    <n v="10601"/>
    <n v="25.5"/>
    <m/>
    <n v="0"/>
    <m/>
    <n v="0"/>
    <n v="0"/>
  </r>
  <r>
    <s v="GRU/HOF"/>
    <s v="HOF"/>
    <x v="1"/>
    <x v="3"/>
    <x v="22"/>
    <x v="4"/>
    <s v="Hofuf - Al-Ahsa"/>
    <n v="11659"/>
    <n v="28"/>
    <m/>
    <n v="0"/>
    <m/>
    <n v="0"/>
    <n v="0"/>
  </r>
  <r>
    <s v="GRU/HOG"/>
    <s v="HOG"/>
    <x v="0"/>
    <x v="0"/>
    <x v="16"/>
    <x v="2"/>
    <s v="Holguin - Frank Pais Intl"/>
    <n v="5886"/>
    <n v="15.25"/>
    <n v="186018899"/>
    <n v="73525.256521739124"/>
    <n v="2530"/>
    <n v="1"/>
    <n v="15.25"/>
  </r>
  <r>
    <s v="GRU/HOI"/>
    <s v="HOI"/>
    <x v="0"/>
    <x v="3"/>
    <x v="96"/>
    <x v="5"/>
    <s v="Hao"/>
    <n v="9658"/>
    <n v="23.5"/>
    <m/>
    <n v="0"/>
    <m/>
    <n v="0"/>
    <n v="0"/>
  </r>
  <r>
    <s v="GRU/HRE"/>
    <s v="HRE"/>
    <x v="1"/>
    <x v="5"/>
    <x v="97"/>
    <x v="0"/>
    <s v="Harare - Robert Gabriel Mugabe Airport"/>
    <n v="7998"/>
    <n v="19.75"/>
    <m/>
    <n v="0"/>
    <m/>
    <n v="0"/>
    <n v="0"/>
  </r>
  <r>
    <s v="GRU/HRG"/>
    <s v="HRG"/>
    <x v="0"/>
    <x v="2"/>
    <x v="17"/>
    <x v="0"/>
    <s v="Hurghada - International"/>
    <n v="10288"/>
    <n v="25"/>
    <n v="250284367"/>
    <n v="60106.716378482226"/>
    <n v="4164"/>
    <n v="3"/>
    <n v="75"/>
  </r>
  <r>
    <s v="GRU/HRM"/>
    <s v="HRM"/>
    <x v="1"/>
    <x v="3"/>
    <x v="18"/>
    <x v="0"/>
    <s v="Hassi R'mel - Tilrempt"/>
    <n v="8194"/>
    <n v="20.25"/>
    <m/>
    <n v="0"/>
    <m/>
    <n v="0"/>
    <n v="0"/>
  </r>
  <r>
    <s v="GRU/HSV"/>
    <s v="HSV"/>
    <x v="1"/>
    <x v="1"/>
    <x v="21"/>
    <x v="2"/>
    <s v="Huntsville - Metropolitan Area"/>
    <n v="7734"/>
    <n v="19.25"/>
    <m/>
    <n v="0"/>
    <m/>
    <n v="0"/>
    <n v="0"/>
  </r>
  <r>
    <s v="GRU/HTY"/>
    <s v="HTY"/>
    <x v="1"/>
    <x v="0"/>
    <x v="25"/>
    <x v="4"/>
    <s v="Hatay"/>
    <n v="10921"/>
    <n v="26.25"/>
    <m/>
    <n v="0"/>
    <m/>
    <n v="0"/>
    <n v="0"/>
  </r>
  <r>
    <s v="GRU/IAD"/>
    <s v="IAD"/>
    <x v="0"/>
    <x v="4"/>
    <x v="21"/>
    <x v="2"/>
    <s v="Washington - Dulles Intl"/>
    <n v="7651"/>
    <n v="19"/>
    <n v="241812164"/>
    <n v="99511.178600823041"/>
    <n v="2430"/>
    <n v="1"/>
    <n v="19"/>
  </r>
  <r>
    <s v="GRU/IAG"/>
    <s v="IAG"/>
    <x v="1"/>
    <x v="3"/>
    <x v="21"/>
    <x v="2"/>
    <s v="Niagara Falls - International"/>
    <n v="8113"/>
    <n v="20"/>
    <m/>
    <n v="0"/>
    <m/>
    <n v="0"/>
    <n v="0"/>
  </r>
  <r>
    <s v="GRU/IAH"/>
    <s v="IAH"/>
    <x v="0"/>
    <x v="4"/>
    <x v="21"/>
    <x v="2"/>
    <s v="Houston - George Bush Intercont."/>
    <n v="7908"/>
    <n v="19.75"/>
    <n v="254697943"/>
    <n v="98453.012369540011"/>
    <n v="2587"/>
    <n v="1"/>
    <n v="19.75"/>
  </r>
  <r>
    <s v="GRU/IAM"/>
    <s v="IAM"/>
    <x v="0"/>
    <x v="0"/>
    <x v="18"/>
    <x v="0"/>
    <s v="In Amenas - Zarzaitine"/>
    <n v="8304"/>
    <n v="20.5"/>
    <n v="201555640"/>
    <n v="74733.274008157212"/>
    <n v="2697"/>
    <n v="2"/>
    <n v="41"/>
  </r>
  <r>
    <s v="GRU/IBZ"/>
    <s v="IBZ"/>
    <x v="1"/>
    <x v="1"/>
    <x v="30"/>
    <x v="3"/>
    <s v="Ibiza"/>
    <n v="8531"/>
    <n v="21"/>
    <m/>
    <n v="0"/>
    <m/>
    <n v="0"/>
    <n v="0"/>
  </r>
  <r>
    <s v="GRU/ICT"/>
    <s v="ICT"/>
    <x v="1"/>
    <x v="1"/>
    <x v="21"/>
    <x v="2"/>
    <s v="Wichita - Metropolitan Area"/>
    <n v="8632"/>
    <n v="21.25"/>
    <m/>
    <n v="0"/>
    <m/>
    <n v="0"/>
    <n v="0"/>
  </r>
  <r>
    <s v="GRU/IFN"/>
    <s v="IFN"/>
    <x v="0"/>
    <x v="1"/>
    <x v="24"/>
    <x v="4"/>
    <s v="Esfahan - Shahid Beheshti Intl"/>
    <n v="12132"/>
    <n v="29"/>
    <n v="255555860"/>
    <n v="71564.228507420892"/>
    <n v="3571"/>
    <n v="2"/>
    <n v="58"/>
  </r>
  <r>
    <s v="GRU/IGR"/>
    <s v="IGR"/>
    <x v="1"/>
    <x v="0"/>
    <x v="9"/>
    <x v="1"/>
    <s v="Iguazu - Cataratas del Iguazu"/>
    <n v="849"/>
    <n v="4"/>
    <m/>
    <n v="0"/>
    <m/>
    <n v="0"/>
    <n v="0"/>
  </r>
  <r>
    <s v="GRU/IKA"/>
    <s v="IKA"/>
    <x v="0"/>
    <x v="1"/>
    <x v="24"/>
    <x v="4"/>
    <s v="Tehran - Imam Khomeini Intl"/>
    <n v="12150"/>
    <n v="29"/>
    <n v="263616796"/>
    <n v="70241.618971489472"/>
    <n v="3753"/>
    <n v="2"/>
    <n v="58"/>
  </r>
  <r>
    <s v="GRU/IND"/>
    <s v="IND"/>
    <x v="1"/>
    <x v="2"/>
    <x v="21"/>
    <x v="2"/>
    <s v="Indianapolis - International"/>
    <n v="8149"/>
    <n v="20.25"/>
    <m/>
    <n v="0"/>
    <m/>
    <n v="0"/>
    <n v="0"/>
  </r>
  <r>
    <s v="GRU/INZ"/>
    <s v="INZ"/>
    <x v="1"/>
    <x v="3"/>
    <x v="18"/>
    <x v="0"/>
    <s v="In Salah"/>
    <n v="7709"/>
    <n v="19.25"/>
    <m/>
    <n v="0"/>
    <m/>
    <n v="0"/>
    <n v="0"/>
  </r>
  <r>
    <s v="GRU/IPC"/>
    <s v="IPC"/>
    <x v="0"/>
    <x v="3"/>
    <x v="70"/>
    <x v="1"/>
    <s v="Easter Island - Mataveri Intl"/>
    <n v="6278"/>
    <n v="16"/>
    <m/>
    <n v="0"/>
    <m/>
    <n v="0"/>
    <n v="0"/>
  </r>
  <r>
    <s v="GRU/IQQ"/>
    <s v="IQQ"/>
    <x v="1"/>
    <x v="0"/>
    <x v="70"/>
    <x v="1"/>
    <s v="Iquique - Diego Aracena"/>
    <n v="2464"/>
    <n v="7.5"/>
    <m/>
    <n v="0"/>
    <m/>
    <n v="0"/>
    <n v="0"/>
  </r>
  <r>
    <s v="GRU/IRJ"/>
    <s v="IRJ"/>
    <x v="1"/>
    <x v="3"/>
    <x v="9"/>
    <x v="1"/>
    <s v="La Rioja - Captain V.A. Almonacid"/>
    <n v="2127"/>
    <n v="6.75"/>
    <m/>
    <n v="0"/>
    <m/>
    <n v="0"/>
    <n v="0"/>
  </r>
  <r>
    <s v="GRU/ISE"/>
    <s v="ISE"/>
    <x v="1"/>
    <x v="3"/>
    <x v="25"/>
    <x v="4"/>
    <s v="Isparta - Suleyman Demirel"/>
    <n v="10514"/>
    <n v="25.5"/>
    <m/>
    <n v="0"/>
    <m/>
    <n v="0"/>
    <n v="0"/>
  </r>
  <r>
    <s v="GRU/IST"/>
    <s v="IST"/>
    <x v="0"/>
    <x v="4"/>
    <x v="25"/>
    <x v="4"/>
    <s v="Istanbul - Metropolitan Area"/>
    <n v="10559"/>
    <n v="25.5"/>
    <n v="283063828"/>
    <n v="82309.923815062517"/>
    <n v="3439"/>
    <n v="2"/>
    <n v="51"/>
  </r>
  <r>
    <s v="GRU/ITO"/>
    <s v="ITO"/>
    <x v="1"/>
    <x v="1"/>
    <x v="21"/>
    <x v="2"/>
    <s v="Hilo - International"/>
    <n v="12698"/>
    <n v="30.25"/>
    <m/>
    <n v="0"/>
    <m/>
    <n v="0"/>
    <n v="0"/>
  </r>
  <r>
    <s v="GRU/JAU"/>
    <s v="JAU"/>
    <x v="0"/>
    <x v="3"/>
    <x v="1"/>
    <x v="1"/>
    <s v="Jauja - Francisco Carle"/>
    <n v="3327"/>
    <n v="9.5"/>
    <m/>
    <n v="0"/>
    <m/>
    <n v="0"/>
    <n v="0"/>
  </r>
  <r>
    <s v="GRU/JAX"/>
    <s v="JAX"/>
    <x v="1"/>
    <x v="2"/>
    <x v="21"/>
    <x v="2"/>
    <s v="Jacksonville - Metropolitan Area"/>
    <n v="7077"/>
    <n v="17.75"/>
    <m/>
    <n v="0"/>
    <m/>
    <n v="0"/>
    <n v="0"/>
  </r>
  <r>
    <s v="GRU/JED"/>
    <s v="JED"/>
    <x v="0"/>
    <x v="2"/>
    <x v="22"/>
    <x v="4"/>
    <s v="Jeddah - King Abdulaziz Intl"/>
    <n v="10532"/>
    <n v="25.5"/>
    <n v="263012815"/>
    <n v="68386.067342693714"/>
    <n v="3846"/>
    <n v="2"/>
    <n v="51"/>
  </r>
  <r>
    <s v="GRU/JFK"/>
    <s v="JFK"/>
    <x v="0"/>
    <x v="4"/>
    <x v="21"/>
    <x v="2"/>
    <s v="New York - John F Kennedy Intl"/>
    <n v="7666"/>
    <n v="19"/>
    <n v="255530551"/>
    <n v="97270.860677578981"/>
    <n v="2627"/>
    <n v="1"/>
    <n v="19"/>
  </r>
  <r>
    <s v="GRU/JIB"/>
    <s v="JIB"/>
    <x v="0"/>
    <x v="0"/>
    <x v="98"/>
    <x v="0"/>
    <s v="Djibouti - Ambouli Intl"/>
    <n v="10480"/>
    <n v="25.25"/>
    <n v="225937105"/>
    <n v="57126.954487989889"/>
    <n v="3955"/>
    <n v="2"/>
    <n v="50.5"/>
  </r>
  <r>
    <s v="GRU/JNB"/>
    <s v="JNB"/>
    <x v="0"/>
    <x v="2"/>
    <x v="72"/>
    <x v="0"/>
    <s v="Johannesburg - Metropolitan Area"/>
    <n v="7440"/>
    <n v="18.5"/>
    <n v="235520723"/>
    <n v="56520.451883849295"/>
    <n v="4167"/>
    <n v="3"/>
    <n v="55.5"/>
  </r>
  <r>
    <s v="GRU/JRO"/>
    <s v="JRO"/>
    <x v="0"/>
    <x v="0"/>
    <x v="73"/>
    <x v="0"/>
    <s v="Kilimanjaro - International"/>
    <n v="9199"/>
    <n v="22.5"/>
    <n v="215059185"/>
    <n v="59244.954545454544"/>
    <n v="3630"/>
    <n v="2"/>
    <n v="45"/>
  </r>
  <r>
    <s v="GRU/JUJ"/>
    <s v="JUJ"/>
    <x v="1"/>
    <x v="3"/>
    <x v="9"/>
    <x v="1"/>
    <s v="Jujuy - Gobernador H. Guzman"/>
    <n v="1896"/>
    <n v="6.25"/>
    <m/>
    <n v="0"/>
    <m/>
    <n v="0"/>
    <n v="0"/>
  </r>
  <r>
    <s v="GRU/JUL"/>
    <s v="JUL"/>
    <x v="1"/>
    <x v="0"/>
    <x v="1"/>
    <x v="1"/>
    <s v="Juliaca - Inco Mnco Capac Intl"/>
    <n v="2633"/>
    <n v="8"/>
    <m/>
    <n v="0"/>
    <m/>
    <n v="0"/>
    <n v="0"/>
  </r>
  <r>
    <s v="GRU/KAC"/>
    <s v="KAC"/>
    <x v="1"/>
    <x v="3"/>
    <x v="35"/>
    <x v="4"/>
    <s v="Kamishly"/>
    <n v="11355"/>
    <n v="27.25"/>
    <m/>
    <n v="0"/>
    <m/>
    <n v="0"/>
    <n v="0"/>
  </r>
  <r>
    <s v="GRU/KAD"/>
    <s v="KAD"/>
    <x v="1"/>
    <x v="0"/>
    <x v="11"/>
    <x v="0"/>
    <s v="Kaduna"/>
    <n v="6972"/>
    <n v="17.5"/>
    <m/>
    <n v="0"/>
    <m/>
    <n v="0"/>
    <n v="0"/>
  </r>
  <r>
    <s v="GRU/KBP"/>
    <s v="KBP"/>
    <x v="1"/>
    <x v="1"/>
    <x v="76"/>
    <x v="3"/>
    <s v="Kyiv - Boryspil Intl"/>
    <n v="11150"/>
    <n v="26.75"/>
    <m/>
    <n v="0"/>
    <m/>
    <n v="0"/>
    <n v="0"/>
  </r>
  <r>
    <s v="GRU/KDH"/>
    <s v="KDH"/>
    <x v="0"/>
    <x v="0"/>
    <x v="99"/>
    <x v="4"/>
    <s v="Kandahar - International"/>
    <n v="13383"/>
    <n v="31.75"/>
    <m/>
    <n v="0"/>
    <m/>
    <n v="0"/>
    <n v="0"/>
  </r>
  <r>
    <s v="GRU/KEF"/>
    <s v="KEF"/>
    <x v="0"/>
    <x v="1"/>
    <x v="100"/>
    <x v="3"/>
    <s v="Reykjavik - Keflavik International"/>
    <n v="9942"/>
    <n v="24.25"/>
    <n v="235739165"/>
    <n v="93251.251977848107"/>
    <n v="2528"/>
    <n v="1"/>
    <n v="24.25"/>
  </r>
  <r>
    <s v="GRU/KER"/>
    <s v="KER"/>
    <x v="1"/>
    <x v="0"/>
    <x v="24"/>
    <x v="4"/>
    <s v="Kerman"/>
    <n v="12524"/>
    <n v="29.75"/>
    <m/>
    <n v="0"/>
    <m/>
    <n v="0"/>
    <n v="0"/>
  </r>
  <r>
    <s v="GRU/KGL"/>
    <s v="KGL"/>
    <x v="1"/>
    <x v="0"/>
    <x v="101"/>
    <x v="0"/>
    <s v="Kigali - International"/>
    <n v="8556"/>
    <n v="21"/>
    <m/>
    <n v="0"/>
    <m/>
    <n v="0"/>
    <n v="0"/>
  </r>
  <r>
    <s v="GRU/KHI"/>
    <s v="KHI"/>
    <x v="0"/>
    <x v="1"/>
    <x v="102"/>
    <x v="4"/>
    <s v="Karachi - Jinnah Intl"/>
    <n v="13353"/>
    <n v="31.75"/>
    <n v="279751923"/>
    <n v="59031.847014138002"/>
    <n v="4739"/>
    <n v="3"/>
    <n v="95.25"/>
  </r>
  <r>
    <s v="GRU/KIM"/>
    <s v="KIM"/>
    <x v="1"/>
    <x v="3"/>
    <x v="72"/>
    <x v="0"/>
    <s v="Kimberley"/>
    <n v="7033"/>
    <n v="17.75"/>
    <m/>
    <n v="0"/>
    <m/>
    <n v="0"/>
    <n v="0"/>
  </r>
  <r>
    <s v="GRU/KIV"/>
    <s v="KIV"/>
    <x v="1"/>
    <x v="0"/>
    <x v="103"/>
    <x v="3"/>
    <s v="Chisinau - International"/>
    <n v="10857"/>
    <n v="26.25"/>
    <m/>
    <n v="0"/>
    <m/>
    <n v="0"/>
    <n v="0"/>
  </r>
  <r>
    <s v="GRU/KLX"/>
    <s v="KLX"/>
    <x v="1"/>
    <x v="0"/>
    <x v="41"/>
    <x v="3"/>
    <s v="Kalamata"/>
    <n v="9827"/>
    <n v="24"/>
    <m/>
    <n v="0"/>
    <m/>
    <n v="0"/>
    <n v="0"/>
  </r>
  <r>
    <s v="GRU/KOA"/>
    <s v="KOA"/>
    <x v="0"/>
    <x v="1"/>
    <x v="21"/>
    <x v="2"/>
    <s v="Kona - Keahole"/>
    <n v="12798"/>
    <n v="30.5"/>
    <n v="267014703"/>
    <n v="116244.97300827166"/>
    <n v="2297"/>
    <n v="1"/>
    <n v="30.5"/>
  </r>
  <r>
    <s v="GRU/KRP"/>
    <s v="KRP"/>
    <x v="1"/>
    <x v="0"/>
    <x v="20"/>
    <x v="3"/>
    <s v="Karup - Midtjyllands"/>
    <n v="10285"/>
    <n v="25"/>
    <m/>
    <n v="0"/>
    <m/>
    <n v="0"/>
    <n v="0"/>
  </r>
  <r>
    <s v="GRU/KRR"/>
    <s v="KRR"/>
    <x v="0"/>
    <x v="1"/>
    <x v="28"/>
    <x v="3"/>
    <s v="Krasnodar - Pashkovsky"/>
    <n v="11502"/>
    <n v="27.5"/>
    <n v="247887674"/>
    <n v="76745.409907120746"/>
    <n v="3230"/>
    <n v="2"/>
    <n v="55"/>
  </r>
  <r>
    <s v="GRU/KRT"/>
    <s v="KRT"/>
    <x v="0"/>
    <x v="0"/>
    <x v="80"/>
    <x v="0"/>
    <s v="Khartoum - International"/>
    <n v="9618"/>
    <n v="23.5"/>
    <n v="219308003"/>
    <n v="60332.32544704264"/>
    <n v="3635"/>
    <n v="2"/>
    <n v="47"/>
  </r>
  <r>
    <s v="GRU/KSC"/>
    <s v="KSC"/>
    <x v="1"/>
    <x v="0"/>
    <x v="64"/>
    <x v="3"/>
    <s v="Kosice"/>
    <n v="10448"/>
    <n v="25.25"/>
    <m/>
    <n v="0"/>
    <m/>
    <n v="0"/>
    <n v="0"/>
  </r>
  <r>
    <s v="GRU/KSH"/>
    <s v="KSH"/>
    <x v="1"/>
    <x v="0"/>
    <x v="24"/>
    <x v="4"/>
    <s v="Kermanshah - Shahid AshrafiEsfahani"/>
    <n v="11767"/>
    <n v="28.25"/>
    <m/>
    <n v="0"/>
    <m/>
    <n v="0"/>
    <n v="0"/>
  </r>
  <r>
    <s v="GRU/KSY"/>
    <s v="KSY"/>
    <x v="0"/>
    <x v="0"/>
    <x v="25"/>
    <x v="4"/>
    <s v="Kars"/>
    <n v="11643"/>
    <n v="28"/>
    <n v="237857003"/>
    <n v="77807.328426561988"/>
    <n v="3057"/>
    <n v="2"/>
    <n v="56"/>
  </r>
  <r>
    <s v="GRU/KTW"/>
    <s v="KTW"/>
    <x v="0"/>
    <x v="1"/>
    <x v="89"/>
    <x v="3"/>
    <s v="Katowice - Pyrzowice"/>
    <n v="10424"/>
    <n v="25.25"/>
    <n v="240848936"/>
    <n v="79883.560862354891"/>
    <n v="3015"/>
    <n v="2"/>
    <n v="50.5"/>
  </r>
  <r>
    <s v="GRU/KUF"/>
    <s v="KUF"/>
    <x v="1"/>
    <x v="0"/>
    <x v="28"/>
    <x v="3"/>
    <s v="Samara - Kurumoch Int'l"/>
    <n v="12512"/>
    <n v="29.75"/>
    <m/>
    <n v="0"/>
    <m/>
    <n v="0"/>
    <n v="0"/>
  </r>
  <r>
    <s v="GRU/KUN"/>
    <s v="KUN"/>
    <x v="1"/>
    <x v="5"/>
    <x v="104"/>
    <x v="3"/>
    <s v="Kaunas - International"/>
    <n v="10971"/>
    <n v="26.5"/>
    <m/>
    <n v="0"/>
    <m/>
    <n v="0"/>
    <n v="0"/>
  </r>
  <r>
    <s v="GRU/KUO"/>
    <s v="KUO"/>
    <x v="1"/>
    <x v="0"/>
    <x v="95"/>
    <x v="3"/>
    <s v="Kuopio"/>
    <n v="11563"/>
    <n v="27.75"/>
    <m/>
    <n v="0"/>
    <m/>
    <n v="0"/>
    <n v="0"/>
  </r>
  <r>
    <s v="GRU/KVA"/>
    <s v="KVA"/>
    <x v="0"/>
    <x v="0"/>
    <x v="41"/>
    <x v="3"/>
    <s v="Kavala - Megas Alexandros"/>
    <n v="10237"/>
    <n v="24.75"/>
    <n v="225151608"/>
    <n v="100559.00312639571"/>
    <n v="2239"/>
    <n v="1"/>
    <n v="24.75"/>
  </r>
  <r>
    <s v="GRU/KWI"/>
    <s v="KWI"/>
    <x v="0"/>
    <x v="2"/>
    <x v="105"/>
    <x v="4"/>
    <s v="Kuwait - International"/>
    <n v="11660"/>
    <n v="28"/>
    <n v="266544250"/>
    <n v="72195.083965330443"/>
    <n v="3692"/>
    <n v="2"/>
    <n v="56"/>
  </r>
  <r>
    <s v="GRU/KYA"/>
    <s v="KYA"/>
    <x v="1"/>
    <x v="0"/>
    <x v="25"/>
    <x v="4"/>
    <s v="Konya"/>
    <n v="10693"/>
    <n v="25.75"/>
    <m/>
    <n v="0"/>
    <m/>
    <n v="0"/>
    <n v="0"/>
  </r>
  <r>
    <s v="GRU/KZN"/>
    <s v="KZN"/>
    <x v="1"/>
    <x v="0"/>
    <x v="28"/>
    <x v="3"/>
    <s v="Kazan - International"/>
    <n v="12494"/>
    <n v="29.75"/>
    <m/>
    <n v="0"/>
    <m/>
    <n v="0"/>
    <n v="0"/>
  </r>
  <r>
    <s v="GRU/LAD"/>
    <s v="LAD"/>
    <x v="0"/>
    <x v="1"/>
    <x v="14"/>
    <x v="0"/>
    <s v="Luanda - 4 de Fevereiro"/>
    <n v="6535"/>
    <n v="16.5"/>
    <n v="203922752"/>
    <n v="51495.644444444442"/>
    <n v="3960"/>
    <n v="3"/>
    <n v="49.5"/>
  </r>
  <r>
    <s v="GRU/LAS"/>
    <s v="LAS"/>
    <x v="0"/>
    <x v="4"/>
    <x v="21"/>
    <x v="2"/>
    <s v="Las Vegas - Metropolitan Area"/>
    <n v="9785"/>
    <n v="23.75"/>
    <n v="273729724"/>
    <n v="101947.75567970205"/>
    <n v="2685"/>
    <n v="2"/>
    <n v="47.5"/>
  </r>
  <r>
    <s v="GRU/LAX"/>
    <s v="LAX"/>
    <x v="0"/>
    <x v="4"/>
    <x v="21"/>
    <x v="2"/>
    <s v="Los Angeles - Metropolitan Area"/>
    <n v="9921"/>
    <n v="24"/>
    <n v="277969813"/>
    <n v="101374.84062727935"/>
    <n v="2742"/>
    <n v="2"/>
    <n v="48"/>
  </r>
  <r>
    <s v="GRU/LBB"/>
    <s v="LBB"/>
    <x v="1"/>
    <x v="0"/>
    <x v="21"/>
    <x v="2"/>
    <s v="Lubbock - Metropolitan Area"/>
    <n v="8638"/>
    <n v="21.25"/>
    <m/>
    <n v="0"/>
    <m/>
    <n v="0"/>
    <n v="0"/>
  </r>
  <r>
    <s v="GRU/LBV"/>
    <s v="LBV"/>
    <x v="1"/>
    <x v="0"/>
    <x v="106"/>
    <x v="0"/>
    <s v="Libreville - Leon M'ba Intl"/>
    <n v="6588"/>
    <n v="16.75"/>
    <m/>
    <n v="0"/>
    <m/>
    <n v="0"/>
    <n v="0"/>
  </r>
  <r>
    <s v="GRU/LCA"/>
    <s v="LCA"/>
    <x v="1"/>
    <x v="1"/>
    <x v="107"/>
    <x v="3"/>
    <s v="Larnaca"/>
    <n v="10634"/>
    <n v="25.75"/>
    <m/>
    <n v="0"/>
    <m/>
    <n v="0"/>
    <n v="0"/>
  </r>
  <r>
    <s v="GRU/LCE"/>
    <s v="LCE"/>
    <x v="1"/>
    <x v="0"/>
    <x v="108"/>
    <x v="2"/>
    <s v="La Ceiba - Goloson International"/>
    <n v="6185"/>
    <n v="15.75"/>
    <m/>
    <n v="0"/>
    <m/>
    <n v="0"/>
    <n v="0"/>
  </r>
  <r>
    <s v="GRU/LDE"/>
    <s v="LDE"/>
    <x v="1"/>
    <x v="0"/>
    <x v="50"/>
    <x v="3"/>
    <s v="Lourdes/Tarbes - Pyrenees"/>
    <n v="8800"/>
    <n v="21.5"/>
    <m/>
    <n v="0"/>
    <m/>
    <n v="0"/>
    <n v="0"/>
  </r>
  <r>
    <s v="GRU/LED"/>
    <s v="LED"/>
    <x v="0"/>
    <x v="1"/>
    <x v="28"/>
    <x v="3"/>
    <s v="St Petersburg - Metropolitan Area"/>
    <n v="11539"/>
    <n v="27.75"/>
    <n v="261457693"/>
    <n v="71164.314915623298"/>
    <n v="3674"/>
    <n v="2"/>
    <n v="55.5"/>
  </r>
  <r>
    <s v="GRU/LEI"/>
    <s v="LEI"/>
    <x v="1"/>
    <x v="0"/>
    <x v="30"/>
    <x v="3"/>
    <s v="Almeria - Airport"/>
    <n v="8142"/>
    <n v="20.25"/>
    <m/>
    <n v="0"/>
    <m/>
    <n v="0"/>
    <n v="0"/>
  </r>
  <r>
    <s v="GRU/LEJ"/>
    <s v="LEJ"/>
    <x v="1"/>
    <x v="1"/>
    <x v="69"/>
    <x v="3"/>
    <s v="Leipzig/Halle - Airport"/>
    <n v="10096"/>
    <n v="24.5"/>
    <m/>
    <n v="0"/>
    <m/>
    <n v="0"/>
    <n v="0"/>
  </r>
  <r>
    <s v="GRU/LFW"/>
    <s v="LFW"/>
    <x v="1"/>
    <x v="0"/>
    <x v="109"/>
    <x v="0"/>
    <s v="Lome - G. Eyadema Intl"/>
    <n v="6137"/>
    <n v="15.75"/>
    <m/>
    <n v="0"/>
    <m/>
    <n v="0"/>
    <n v="0"/>
  </r>
  <r>
    <s v="GRU/LGB"/>
    <s v="LGB"/>
    <x v="1"/>
    <x v="1"/>
    <x v="21"/>
    <x v="2"/>
    <s v="Long Beach - Daugherty Field"/>
    <n v="9894"/>
    <n v="24"/>
    <m/>
    <n v="0"/>
    <m/>
    <n v="0"/>
    <n v="0"/>
  </r>
  <r>
    <s v="GRU/LGG"/>
    <s v="LGG"/>
    <x v="1"/>
    <x v="0"/>
    <x v="62"/>
    <x v="3"/>
    <s v="Liege - Airport"/>
    <n v="9681"/>
    <n v="23.5"/>
    <m/>
    <n v="0"/>
    <m/>
    <n v="0"/>
    <n v="0"/>
  </r>
  <r>
    <s v="GRU/LGW"/>
    <s v="LGW"/>
    <x v="0"/>
    <x v="4"/>
    <x v="52"/>
    <x v="3"/>
    <s v="London - Gatwick"/>
    <n v="9447"/>
    <n v="23"/>
    <n v="265611210"/>
    <n v="84643.470363288725"/>
    <n v="3138"/>
    <n v="2"/>
    <n v="46"/>
  </r>
  <r>
    <s v="GRU/LHR"/>
    <s v="LHR"/>
    <x v="0"/>
    <x v="4"/>
    <x v="52"/>
    <x v="3"/>
    <s v="London - Heathrow"/>
    <n v="9462"/>
    <n v="23"/>
    <n v="272304567"/>
    <n v="83095.687213915167"/>
    <n v="3277"/>
    <n v="2"/>
    <n v="46"/>
  </r>
  <r>
    <s v="GRU/LIL"/>
    <s v="LIL"/>
    <x v="1"/>
    <x v="0"/>
    <x v="50"/>
    <x v="3"/>
    <s v="Lille - Lesquin"/>
    <n v="9557"/>
    <n v="23.25"/>
    <m/>
    <n v="0"/>
    <m/>
    <n v="0"/>
    <n v="0"/>
  </r>
  <r>
    <s v="GRU/LIM"/>
    <s v="LIM"/>
    <x v="0"/>
    <x v="2"/>
    <x v="1"/>
    <x v="1"/>
    <s v="Lima - Jorge Chavez Intl"/>
    <n v="3476"/>
    <n v="9.75"/>
    <m/>
    <n v="0"/>
    <m/>
    <n v="0"/>
    <n v="0"/>
  </r>
  <r>
    <s v="GRU/LIS"/>
    <s v="LIS"/>
    <x v="0"/>
    <x v="2"/>
    <x v="10"/>
    <x v="3"/>
    <s v="Lisbon - Airport"/>
    <n v="7936"/>
    <n v="19.75"/>
    <n v="235678265"/>
    <n v="83901.126735493061"/>
    <n v="2809"/>
    <n v="2"/>
    <n v="39.5"/>
  </r>
  <r>
    <s v="GRU/LJU"/>
    <s v="LJU"/>
    <x v="1"/>
    <x v="1"/>
    <x v="110"/>
    <x v="3"/>
    <s v="Ljubljana - Joze Pucnik"/>
    <n v="9874"/>
    <n v="24"/>
    <m/>
    <n v="0"/>
    <m/>
    <n v="0"/>
    <n v="0"/>
  </r>
  <r>
    <s v="GRU/LKL"/>
    <s v="LKL"/>
    <x v="1"/>
    <x v="3"/>
    <x v="54"/>
    <x v="3"/>
    <s v="Lakselv - Banak"/>
    <n v="11780"/>
    <n v="28.25"/>
    <m/>
    <n v="0"/>
    <m/>
    <n v="0"/>
    <n v="0"/>
  </r>
  <r>
    <s v="GRU/LLA"/>
    <s v="LLA"/>
    <x v="1"/>
    <x v="0"/>
    <x v="39"/>
    <x v="3"/>
    <s v="Lulea - Kallax"/>
    <n v="11445"/>
    <n v="27.5"/>
    <m/>
    <n v="0"/>
    <m/>
    <n v="0"/>
    <n v="0"/>
  </r>
  <r>
    <s v="GRU/LLW"/>
    <s v="LLW"/>
    <x v="1"/>
    <x v="0"/>
    <x v="111"/>
    <x v="0"/>
    <s v="Lilongwe - Kamuzu Intl"/>
    <n v="8428"/>
    <n v="20.75"/>
    <m/>
    <n v="0"/>
    <m/>
    <n v="0"/>
    <n v="0"/>
  </r>
  <r>
    <s v="GRU/LMT"/>
    <s v="LMT"/>
    <x v="1"/>
    <x v="3"/>
    <x v="21"/>
    <x v="2"/>
    <s v="Klamath Falls"/>
    <n v="10609"/>
    <n v="25.5"/>
    <m/>
    <n v="0"/>
    <m/>
    <n v="0"/>
    <n v="0"/>
  </r>
  <r>
    <s v="GRU/LNK"/>
    <s v="LNK"/>
    <x v="1"/>
    <x v="0"/>
    <x v="21"/>
    <x v="2"/>
    <s v="Lincoln"/>
    <n v="8835"/>
    <n v="21.75"/>
    <m/>
    <n v="0"/>
    <m/>
    <n v="0"/>
    <n v="0"/>
  </r>
  <r>
    <s v="GRU/LNZ"/>
    <s v="LNZ"/>
    <x v="1"/>
    <x v="0"/>
    <x v="90"/>
    <x v="3"/>
    <s v="Linz - Blue Danube"/>
    <n v="9991"/>
    <n v="24.25"/>
    <m/>
    <n v="0"/>
    <m/>
    <n v="0"/>
    <n v="0"/>
  </r>
  <r>
    <s v="GRU/LOO"/>
    <s v="LOO"/>
    <x v="1"/>
    <x v="3"/>
    <x v="18"/>
    <x v="0"/>
    <s v="Laghouat - L'Mekrareg"/>
    <n v="8231"/>
    <n v="20.25"/>
    <m/>
    <n v="0"/>
    <m/>
    <n v="0"/>
    <n v="0"/>
  </r>
  <r>
    <s v="GRU/LPA"/>
    <s v="LPA"/>
    <x v="0"/>
    <x v="2"/>
    <x v="30"/>
    <x v="3"/>
    <s v="Gran Canaria"/>
    <n v="6614"/>
    <n v="16.75"/>
    <n v="219181060"/>
    <n v="87114.888712241649"/>
    <n v="2516"/>
    <n v="1"/>
    <n v="16.75"/>
  </r>
  <r>
    <s v="GRU/LPB"/>
    <s v="LPB"/>
    <x v="1"/>
    <x v="0"/>
    <x v="68"/>
    <x v="1"/>
    <s v="La Paz - El Alto Intl"/>
    <n v="2394"/>
    <n v="7.5"/>
    <m/>
    <n v="0"/>
    <m/>
    <n v="0"/>
    <n v="0"/>
  </r>
  <r>
    <s v="GRU/LTK"/>
    <s v="LTK"/>
    <x v="1"/>
    <x v="0"/>
    <x v="35"/>
    <x v="4"/>
    <s v="Latakia - Bassel al Assad Intl"/>
    <n v="10851"/>
    <n v="26.25"/>
    <m/>
    <n v="0"/>
    <m/>
    <n v="0"/>
    <n v="0"/>
  </r>
  <r>
    <s v="GRU/LUN"/>
    <s v="LUN"/>
    <x v="1"/>
    <x v="0"/>
    <x v="112"/>
    <x v="0"/>
    <s v="Lusaka - International"/>
    <n v="7830"/>
    <n v="19.5"/>
    <m/>
    <n v="0"/>
    <m/>
    <n v="0"/>
    <n v="0"/>
  </r>
  <r>
    <s v="GRU/LUQ"/>
    <s v="LUQ"/>
    <x v="1"/>
    <x v="3"/>
    <x v="9"/>
    <x v="1"/>
    <s v="San Luis - D. Cesar Raul Ojeda"/>
    <n v="2227"/>
    <n v="7"/>
    <m/>
    <n v="0"/>
    <m/>
    <n v="0"/>
    <n v="0"/>
  </r>
  <r>
    <s v="GRU/LUX"/>
    <s v="LUX"/>
    <x v="0"/>
    <x v="1"/>
    <x v="113"/>
    <x v="3"/>
    <s v="Luxembourg"/>
    <n v="9644"/>
    <n v="23.5"/>
    <n v="230952777"/>
    <n v="102418.08292682927"/>
    <n v="2255"/>
    <n v="1"/>
    <n v="23.5"/>
  </r>
  <r>
    <s v="GRU/LWN"/>
    <s v="LWN"/>
    <x v="0"/>
    <x v="3"/>
    <x v="83"/>
    <x v="4"/>
    <s v="Gyumri - Shirak"/>
    <n v="11709"/>
    <n v="28"/>
    <n v="227666609"/>
    <n v="88072.189168278535"/>
    <n v="2585"/>
    <n v="1"/>
    <n v="28"/>
  </r>
  <r>
    <s v="GRU/LXR"/>
    <s v="LXR"/>
    <x v="0"/>
    <x v="1"/>
    <x v="17"/>
    <x v="0"/>
    <s v="Luxor - International"/>
    <n v="10118"/>
    <n v="24.5"/>
    <n v="236760475"/>
    <n v="63085.658140154541"/>
    <n v="3753"/>
    <n v="2"/>
    <n v="49"/>
  </r>
  <r>
    <s v="GRU/LXS"/>
    <s v="LXS"/>
    <x v="1"/>
    <x v="0"/>
    <x v="41"/>
    <x v="3"/>
    <s v="Limnos"/>
    <n v="10228"/>
    <n v="24.75"/>
    <m/>
    <n v="0"/>
    <m/>
    <n v="0"/>
    <n v="0"/>
  </r>
  <r>
    <s v="GRU/LYS"/>
    <s v="LYS"/>
    <x v="0"/>
    <x v="2"/>
    <x v="50"/>
    <x v="3"/>
    <s v="Lyon - Metropolitan Area"/>
    <n v="9284"/>
    <n v="22.75"/>
    <n v="244915062"/>
    <n v="106253.8229934924"/>
    <n v="2305"/>
    <n v="1"/>
    <n v="22.75"/>
  </r>
  <r>
    <s v="GRU/MAD"/>
    <s v="MAD"/>
    <x v="0"/>
    <x v="4"/>
    <x v="30"/>
    <x v="3"/>
    <s v="Madrid - Metropolitan Area"/>
    <n v="8380"/>
    <n v="20.75"/>
    <n v="262148535"/>
    <n v="83540.004780114716"/>
    <n v="3138"/>
    <n v="2"/>
    <n v="41.5"/>
  </r>
  <r>
    <s v="GRU/MAF"/>
    <s v="MAF"/>
    <x v="1"/>
    <x v="0"/>
    <x v="21"/>
    <x v="2"/>
    <s v="Midland - Metropolitan Area"/>
    <n v="8544"/>
    <n v="21"/>
    <m/>
    <n v="0"/>
    <m/>
    <n v="0"/>
    <n v="0"/>
  </r>
  <r>
    <s v="GRU/MAN"/>
    <s v="MAN"/>
    <x v="0"/>
    <x v="4"/>
    <x v="52"/>
    <x v="3"/>
    <s v="Manchester - Airport"/>
    <n v="9540"/>
    <n v="23.25"/>
    <n v="259830763"/>
    <n v="86958.086680053544"/>
    <n v="2988"/>
    <n v="2"/>
    <n v="46.5"/>
  </r>
  <r>
    <s v="GRU/MBA"/>
    <s v="MBA"/>
    <x v="0"/>
    <x v="0"/>
    <x v="81"/>
    <x v="0"/>
    <s v="Mombasa - Moi International"/>
    <n v="9430"/>
    <n v="23"/>
    <n v="226022285"/>
    <n v="57761.892409915665"/>
    <n v="3913"/>
    <n v="2"/>
    <n v="46"/>
  </r>
  <r>
    <s v="GRU/MCI"/>
    <s v="MCI"/>
    <x v="1"/>
    <x v="2"/>
    <x v="21"/>
    <x v="2"/>
    <s v="Kansas City - International"/>
    <n v="8590"/>
    <n v="21.25"/>
    <m/>
    <n v="0"/>
    <m/>
    <n v="0"/>
    <n v="0"/>
  </r>
  <r>
    <s v="GRU/MCO"/>
    <s v="MCO"/>
    <x v="0"/>
    <x v="4"/>
    <x v="21"/>
    <x v="2"/>
    <s v="Orlando - International"/>
    <n v="6871"/>
    <n v="17.25"/>
    <n v="241625991"/>
    <n v="94941.450294695474"/>
    <n v="2545"/>
    <n v="1"/>
    <n v="17.25"/>
  </r>
  <r>
    <s v="GRU/MCT"/>
    <s v="MCT"/>
    <x v="0"/>
    <x v="1"/>
    <x v="114"/>
    <x v="4"/>
    <s v="Muscat - International"/>
    <n v="12447"/>
    <n v="29.75"/>
    <n v="266570774"/>
    <n v="78035.940866510544"/>
    <n v="3416"/>
    <n v="2"/>
    <n v="59.5"/>
  </r>
  <r>
    <s v="GRU/MDE"/>
    <s v="MDE"/>
    <x v="1"/>
    <x v="0"/>
    <x v="4"/>
    <x v="1"/>
    <s v="Medellin - Metropolitan Area"/>
    <n v="4553"/>
    <n v="12.25"/>
    <m/>
    <n v="0"/>
    <m/>
    <n v="0"/>
    <n v="0"/>
  </r>
  <r>
    <s v="GRU/MDT"/>
    <s v="MDT"/>
    <x v="1"/>
    <x v="1"/>
    <x v="21"/>
    <x v="2"/>
    <s v="Harrisburg - International"/>
    <n v="7741"/>
    <n v="19.25"/>
    <m/>
    <n v="0"/>
    <m/>
    <n v="0"/>
    <n v="0"/>
  </r>
  <r>
    <s v="GRU/MDZ"/>
    <s v="MDZ"/>
    <x v="1"/>
    <x v="0"/>
    <x v="9"/>
    <x v="1"/>
    <s v="Mendoza - El Plumerillo"/>
    <n v="2419"/>
    <n v="7.5"/>
    <m/>
    <n v="0"/>
    <m/>
    <n v="0"/>
    <n v="0"/>
  </r>
  <r>
    <s v="GRU/MEC"/>
    <s v="MEC"/>
    <x v="0"/>
    <x v="0"/>
    <x v="93"/>
    <x v="1"/>
    <s v="Manta - Eloy Alfaro Intl"/>
    <n v="4457"/>
    <n v="12"/>
    <m/>
    <n v="0"/>
    <m/>
    <n v="0"/>
    <n v="0"/>
  </r>
  <r>
    <s v="GRU/MED"/>
    <s v="MED"/>
    <x v="0"/>
    <x v="4"/>
    <x v="22"/>
    <x v="4"/>
    <s v="Madinah - Mohammad Bin Abdulaziz"/>
    <n v="10709"/>
    <n v="25.75"/>
    <n v="272245885"/>
    <n v="67454.381813676911"/>
    <n v="4036"/>
    <n v="3"/>
    <n v="77.25"/>
  </r>
  <r>
    <s v="GRU/MEI"/>
    <s v="MEI"/>
    <x v="1"/>
    <x v="3"/>
    <x v="21"/>
    <x v="2"/>
    <s v="Meridian - Regional (Key Field)"/>
    <n v="7657"/>
    <n v="19"/>
    <m/>
    <n v="0"/>
    <m/>
    <n v="0"/>
    <n v="0"/>
  </r>
  <r>
    <s v="GRU/MEL"/>
    <s v="MEL"/>
    <x v="0"/>
    <x v="4"/>
    <x v="43"/>
    <x v="5"/>
    <s v="Melbourne - Metropolitan Area"/>
    <n v="13122"/>
    <n v="31.25"/>
    <n v="299354976"/>
    <n v="87916.29251101322"/>
    <n v="3405"/>
    <n v="2"/>
    <n v="62.5"/>
  </r>
  <r>
    <s v="GRU/MEM"/>
    <s v="MEM"/>
    <x v="1"/>
    <x v="2"/>
    <x v="21"/>
    <x v="2"/>
    <s v="Memphis - International"/>
    <n v="7958"/>
    <n v="19.75"/>
    <m/>
    <n v="0"/>
    <m/>
    <n v="0"/>
    <n v="0"/>
  </r>
  <r>
    <s v="GRU/MEX"/>
    <s v="MEX"/>
    <x v="0"/>
    <x v="4"/>
    <x v="12"/>
    <x v="2"/>
    <s v="Mexico City - Metropolitan Area"/>
    <n v="7435"/>
    <n v="18.5"/>
    <n v="240480843"/>
    <n v="69563.44894417125"/>
    <n v="3457"/>
    <n v="2"/>
    <n v="37"/>
  </r>
  <r>
    <s v="GRU/MGQ"/>
    <s v="MGQ"/>
    <x v="0"/>
    <x v="3"/>
    <x v="45"/>
    <x v="0"/>
    <s v="Mogadishu - Aden Adde Intl"/>
    <n v="10279"/>
    <n v="25"/>
    <n v="221391775"/>
    <n v="48711.061606160612"/>
    <n v="4545"/>
    <n v="3"/>
    <n v="75"/>
  </r>
  <r>
    <s v="GRU/MHD"/>
    <s v="MHD"/>
    <x v="0"/>
    <x v="1"/>
    <x v="24"/>
    <x v="4"/>
    <s v="Mashhad - Shahid Hashemi Nejad"/>
    <n v="12916"/>
    <n v="30.75"/>
    <n v="262906619"/>
    <n v="74816.909220261805"/>
    <n v="3514"/>
    <n v="2"/>
    <n v="61.5"/>
  </r>
  <r>
    <s v="GRU/MHT"/>
    <s v="MHT"/>
    <x v="1"/>
    <x v="1"/>
    <x v="21"/>
    <x v="2"/>
    <s v="Manchester-Boston Rgnl"/>
    <n v="7812"/>
    <n v="19.5"/>
    <m/>
    <n v="0"/>
    <m/>
    <n v="0"/>
    <n v="0"/>
  </r>
  <r>
    <s v="GRU/MIA"/>
    <s v="MIA"/>
    <x v="0"/>
    <x v="4"/>
    <x v="21"/>
    <x v="2"/>
    <s v="Miami - Metropolitan Area"/>
    <n v="6575"/>
    <n v="16.75"/>
    <n v="239308266"/>
    <n v="93772.83150470219"/>
    <n v="2552"/>
    <n v="1"/>
    <n v="16.75"/>
  </r>
  <r>
    <s v="GRU/MIR"/>
    <s v="MIR"/>
    <x v="0"/>
    <x v="1"/>
    <x v="75"/>
    <x v="0"/>
    <s v="Monastir - Habib Bourguiba Intl"/>
    <n v="8916"/>
    <n v="21.75"/>
    <n v="231112513"/>
    <n v="69738.23566686784"/>
    <n v="3314"/>
    <n v="2"/>
    <n v="43.5"/>
  </r>
  <r>
    <s v="GRU/MKE"/>
    <s v="MKE"/>
    <x v="1"/>
    <x v="2"/>
    <x v="21"/>
    <x v="2"/>
    <s v="Milwaukee - Metropolitan Area"/>
    <n v="8514"/>
    <n v="21"/>
    <m/>
    <n v="0"/>
    <m/>
    <n v="0"/>
    <n v="0"/>
  </r>
  <r>
    <s v="GRU/MLA"/>
    <s v="MLA"/>
    <x v="1"/>
    <x v="1"/>
    <x v="115"/>
    <x v="3"/>
    <s v="Malta - Luqa International"/>
    <n v="9190"/>
    <n v="22.5"/>
    <m/>
    <n v="0"/>
    <m/>
    <n v="0"/>
    <n v="0"/>
  </r>
  <r>
    <s v="GRU/MLB"/>
    <s v="MLB"/>
    <x v="1"/>
    <x v="0"/>
    <x v="21"/>
    <x v="2"/>
    <s v="Melbourne - Orlando Melbourne Intl"/>
    <n v="6803"/>
    <n v="17.25"/>
    <m/>
    <n v="0"/>
    <m/>
    <n v="0"/>
    <n v="0"/>
  </r>
  <r>
    <s v="GRU/MLE"/>
    <s v="MLE"/>
    <x v="0"/>
    <x v="3"/>
    <x v="116"/>
    <x v="4"/>
    <s v="Malé International Airport"/>
    <n v="13248"/>
    <n v="31.5"/>
    <m/>
    <n v="0"/>
    <n v="3521"/>
    <n v="2"/>
    <n v="63"/>
  </r>
  <r>
    <s v="GRU/MLH"/>
    <s v="MLH"/>
    <x v="1"/>
    <x v="1"/>
    <x v="50"/>
    <x v="3"/>
    <s v="Mulhouse/Basel - EuroAirport French FR"/>
    <n v="9563"/>
    <n v="23.25"/>
    <m/>
    <n v="0"/>
    <m/>
    <n v="0"/>
    <n v="0"/>
  </r>
  <r>
    <s v="GRU/MLI"/>
    <s v="MLI"/>
    <x v="1"/>
    <x v="0"/>
    <x v="21"/>
    <x v="2"/>
    <s v="Moline - Quad City Intl"/>
    <n v="8523"/>
    <n v="21"/>
    <m/>
    <n v="0"/>
    <m/>
    <n v="0"/>
    <n v="0"/>
  </r>
  <r>
    <s v="GRU/MLM"/>
    <s v="MLM"/>
    <x v="1"/>
    <x v="0"/>
    <x v="12"/>
    <x v="2"/>
    <s v="Morelia - F.J. Mujica Intl"/>
    <n v="7626"/>
    <n v="19"/>
    <m/>
    <n v="0"/>
    <m/>
    <n v="0"/>
    <n v="0"/>
  </r>
  <r>
    <s v="GRU/MLX"/>
    <s v="MLX"/>
    <x v="0"/>
    <x v="0"/>
    <x v="25"/>
    <x v="4"/>
    <s v="Malatya - Erhac"/>
    <n v="11157"/>
    <n v="26.75"/>
    <n v="235755037"/>
    <n v="74700.582065906216"/>
    <n v="3156"/>
    <n v="2"/>
    <n v="53.5"/>
  </r>
  <r>
    <s v="GRU/MMX"/>
    <s v="MMX"/>
    <x v="0"/>
    <x v="1"/>
    <x v="39"/>
    <x v="3"/>
    <s v="Malmo - Airport"/>
    <n v="10437"/>
    <n v="25.25"/>
    <n v="238266564"/>
    <n v="92782.929906542049"/>
    <n v="2568"/>
    <n v="1"/>
    <n v="25.25"/>
  </r>
  <r>
    <s v="GRU/MQP"/>
    <s v="MQP"/>
    <x v="1"/>
    <x v="0"/>
    <x v="72"/>
    <x v="0"/>
    <s v="Nelspruit - Kruger Mpumalanga Intl"/>
    <n v="7739"/>
    <n v="19.25"/>
    <m/>
    <n v="0"/>
    <m/>
    <n v="0"/>
    <n v="0"/>
  </r>
  <r>
    <s v="GRU/MQT"/>
    <s v="MQT"/>
    <x v="1"/>
    <x v="0"/>
    <x v="21"/>
    <x v="2"/>
    <s v="Marquette - Sawyer International"/>
    <n v="8787"/>
    <n v="21.5"/>
    <m/>
    <n v="0"/>
    <m/>
    <n v="0"/>
    <n v="0"/>
  </r>
  <r>
    <s v="GRU/MRS"/>
    <s v="MRS"/>
    <x v="0"/>
    <x v="2"/>
    <x v="50"/>
    <x v="3"/>
    <s v="Marseille - Provence"/>
    <n v="9117"/>
    <n v="22.25"/>
    <n v="241328041"/>
    <n v="105938.56057945566"/>
    <n v="2278"/>
    <n v="1"/>
    <n v="22.25"/>
  </r>
  <r>
    <s v="GRU/MRU"/>
    <s v="MRU"/>
    <x v="0"/>
    <x v="1"/>
    <x v="117"/>
    <x v="0"/>
    <s v="Mauritius - Sir S. Ramgoolam Intl"/>
    <n v="10465"/>
    <n v="25.25"/>
    <n v="241602783"/>
    <n v="73502.5199269851"/>
    <n v="3287"/>
    <n v="2"/>
    <n v="50.5"/>
  </r>
  <r>
    <s v="GRU/MRV"/>
    <s v="MRV"/>
    <x v="1"/>
    <x v="0"/>
    <x v="28"/>
    <x v="3"/>
    <s v="Mineralnye Vody"/>
    <n v="11766"/>
    <n v="28.25"/>
    <m/>
    <n v="0"/>
    <m/>
    <n v="0"/>
    <n v="0"/>
  </r>
  <r>
    <s v="GRU/MSE"/>
    <s v="MSE"/>
    <x v="1"/>
    <x v="3"/>
    <x v="52"/>
    <x v="3"/>
    <s v="Manston - Kent International"/>
    <n v="9535"/>
    <n v="23.25"/>
    <m/>
    <n v="0"/>
    <m/>
    <n v="0"/>
    <n v="0"/>
  </r>
  <r>
    <s v="GRU/MSO"/>
    <s v="MSO"/>
    <x v="1"/>
    <x v="0"/>
    <x v="21"/>
    <x v="2"/>
    <s v="Missoula - International"/>
    <n v="10341"/>
    <n v="25"/>
    <m/>
    <n v="0"/>
    <m/>
    <n v="0"/>
    <n v="0"/>
  </r>
  <r>
    <s v="GRU/MSP"/>
    <s v="MSP"/>
    <x v="0"/>
    <x v="4"/>
    <x v="21"/>
    <x v="2"/>
    <s v="Minneapolis/St Paul - Metropolitan Area"/>
    <n v="8955"/>
    <n v="22"/>
    <n v="260243957"/>
    <n v="99519.677629063095"/>
    <n v="2615"/>
    <n v="1"/>
    <n v="22"/>
  </r>
  <r>
    <s v="GRU/MSQ"/>
    <s v="MSQ"/>
    <x v="1"/>
    <x v="0"/>
    <x v="118"/>
    <x v="3"/>
    <s v="Minsk - Metropolitan Area"/>
    <n v="11142"/>
    <n v="26.75"/>
    <m/>
    <n v="0"/>
    <m/>
    <n v="0"/>
    <n v="0"/>
  </r>
  <r>
    <s v="GRU/MSR"/>
    <s v="MSR"/>
    <x v="1"/>
    <x v="0"/>
    <x v="25"/>
    <x v="4"/>
    <s v="Mus"/>
    <n v="11459"/>
    <n v="27.5"/>
    <m/>
    <n v="0"/>
    <m/>
    <n v="0"/>
    <n v="0"/>
  </r>
  <r>
    <s v="GRU/MSU"/>
    <s v="MSU"/>
    <x v="0"/>
    <x v="3"/>
    <x v="119"/>
    <x v="0"/>
    <s v="Maseru - Moshoeshoe I Intl"/>
    <n v="7279"/>
    <n v="18.25"/>
    <m/>
    <n v="0"/>
    <m/>
    <n v="0"/>
    <n v="0"/>
  </r>
  <r>
    <s v="GRU/MSY"/>
    <s v="MSY"/>
    <x v="1"/>
    <x v="2"/>
    <x v="21"/>
    <x v="2"/>
    <s v="New Orleans - Metropolitan Area"/>
    <n v="7561"/>
    <n v="18.75"/>
    <m/>
    <n v="0"/>
    <m/>
    <n v="0"/>
    <n v="0"/>
  </r>
  <r>
    <s v="GRU/MTJ"/>
    <s v="MTJ"/>
    <x v="1"/>
    <x v="0"/>
    <x v="21"/>
    <x v="2"/>
    <s v="Montrose - Regional"/>
    <n v="9399"/>
    <n v="23"/>
    <m/>
    <n v="0"/>
    <m/>
    <n v="0"/>
    <n v="0"/>
  </r>
  <r>
    <s v="GRU/MTY"/>
    <s v="MTY"/>
    <x v="0"/>
    <x v="2"/>
    <x v="12"/>
    <x v="2"/>
    <s v="Monterrey - Metropolitan Area"/>
    <n v="7955"/>
    <n v="19.75"/>
    <n v="226199876"/>
    <n v="76418.877027027032"/>
    <n v="2960"/>
    <n v="2"/>
    <n v="39.5"/>
  </r>
  <r>
    <s v="GRU/MUC"/>
    <s v="MUC"/>
    <x v="0"/>
    <x v="4"/>
    <x v="69"/>
    <x v="3"/>
    <s v="Munich - International"/>
    <n v="9859"/>
    <n v="24"/>
    <n v="270482527"/>
    <n v="86031.338104325696"/>
    <n v="3144"/>
    <n v="2"/>
    <n v="48"/>
  </r>
  <r>
    <s v="GRU/MVD"/>
    <s v="MVD"/>
    <x v="1"/>
    <x v="1"/>
    <x v="120"/>
    <x v="1"/>
    <s v="Montevideo - Carrasco"/>
    <n v="1570"/>
    <n v="5.5"/>
    <m/>
    <n v="0"/>
    <m/>
    <n v="0"/>
    <n v="0"/>
  </r>
  <r>
    <s v="GRU/MWZ"/>
    <s v="MWZ"/>
    <x v="0"/>
    <x v="0"/>
    <x v="73"/>
    <x v="0"/>
    <s v="Mwanza"/>
    <n v="8820"/>
    <n v="21.75"/>
    <n v="209276898"/>
    <n v="58835.225752038234"/>
    <n v="3557"/>
    <n v="2"/>
    <n v="43.5"/>
  </r>
  <r>
    <s v="GRU/MXP"/>
    <s v="MXP"/>
    <x v="0"/>
    <x v="2"/>
    <x v="32"/>
    <x v="3"/>
    <s v="Milan - Malpensa"/>
    <n v="9487"/>
    <n v="23.25"/>
    <n v="256892779"/>
    <n v="89167.920513710516"/>
    <n v="2881"/>
    <n v="2"/>
    <n v="46.5"/>
  </r>
  <r>
    <s v="GRU/MYR"/>
    <s v="MYR"/>
    <x v="1"/>
    <x v="1"/>
    <x v="21"/>
    <x v="2"/>
    <s v="Myrtle Beach - Metropolitan Area"/>
    <n v="7222"/>
    <n v="18"/>
    <m/>
    <n v="0"/>
    <m/>
    <n v="0"/>
    <n v="0"/>
  </r>
  <r>
    <s v="GRU/MZH"/>
    <s v="MZH"/>
    <x v="1"/>
    <x v="3"/>
    <x v="25"/>
    <x v="4"/>
    <s v="Amasya - Merzifon"/>
    <n v="11055"/>
    <n v="26.5"/>
    <m/>
    <n v="0"/>
    <m/>
    <n v="0"/>
    <n v="0"/>
  </r>
  <r>
    <s v="GRU/NAJ"/>
    <s v="NAJ"/>
    <x v="1"/>
    <x v="3"/>
    <x v="92"/>
    <x v="3"/>
    <s v="Nakchivan"/>
    <n v="11786"/>
    <n v="28.25"/>
    <m/>
    <n v="0"/>
    <m/>
    <n v="0"/>
    <n v="0"/>
  </r>
  <r>
    <s v="GRU/NAN"/>
    <s v="NAN"/>
    <x v="0"/>
    <x v="1"/>
    <x v="121"/>
    <x v="5"/>
    <s v="Nadi - International"/>
    <n v="13408"/>
    <n v="31.75"/>
    <n v="266286640"/>
    <n v="77589.347319347318"/>
    <n v="3432"/>
    <n v="2"/>
    <n v="63.5"/>
  </r>
  <r>
    <s v="GRU/NAS"/>
    <s v="NAS"/>
    <x v="1"/>
    <x v="1"/>
    <x v="87"/>
    <x v="2"/>
    <s v="Nassau - Lynden Pindling Intl"/>
    <n v="6342"/>
    <n v="16.25"/>
    <m/>
    <n v="0"/>
    <m/>
    <n v="0"/>
    <n v="0"/>
  </r>
  <r>
    <s v="GRU/NAV"/>
    <s v="NAV"/>
    <x v="1"/>
    <x v="0"/>
    <x v="25"/>
    <x v="4"/>
    <s v="Nevsehir - Kapadokya"/>
    <n v="10886"/>
    <n v="26.25"/>
    <m/>
    <n v="0"/>
    <m/>
    <n v="0"/>
    <n v="0"/>
  </r>
  <r>
    <s v="GRU/NBE"/>
    <s v="NBE"/>
    <x v="1"/>
    <x v="0"/>
    <x v="75"/>
    <x v="0"/>
    <s v="Enfidha - Hammamet"/>
    <n v="8916"/>
    <n v="21.75"/>
    <m/>
    <n v="0"/>
    <m/>
    <n v="0"/>
    <n v="0"/>
  </r>
  <r>
    <s v="GRU/NBO"/>
    <s v="NBO"/>
    <x v="0"/>
    <x v="1"/>
    <x v="81"/>
    <x v="0"/>
    <s v="Nairobi - Metropolitan Area"/>
    <n v="9277"/>
    <n v="22.75"/>
    <n v="238727819"/>
    <n v="53864.580099277977"/>
    <n v="4432"/>
    <n v="3"/>
    <n v="68.25"/>
  </r>
  <r>
    <s v="GRU/NCE"/>
    <s v="NCE"/>
    <x v="0"/>
    <x v="2"/>
    <x v="50"/>
    <x v="3"/>
    <s v="Nice - Cote d'Azur"/>
    <n v="9252"/>
    <n v="22.5"/>
    <n v="246889415"/>
    <n v="105104.05065985526"/>
    <n v="2349"/>
    <n v="1"/>
    <n v="22.5"/>
  </r>
  <r>
    <s v="GRU/NDJ"/>
    <s v="NDJ"/>
    <x v="1"/>
    <x v="0"/>
    <x v="122"/>
    <x v="0"/>
    <s v="N'Djamena - Hassan Djamous Intl"/>
    <n v="7769"/>
    <n v="19.25"/>
    <m/>
    <n v="0"/>
    <m/>
    <n v="0"/>
    <n v="0"/>
  </r>
  <r>
    <s v="GRU/NDR"/>
    <s v="NDR"/>
    <x v="1"/>
    <x v="0"/>
    <x v="29"/>
    <x v="0"/>
    <s v="Nador - El Aroui"/>
    <n v="7949"/>
    <n v="19.75"/>
    <m/>
    <n v="0"/>
    <m/>
    <n v="0"/>
    <n v="0"/>
  </r>
  <r>
    <s v="GRU/NIM"/>
    <s v="NIM"/>
    <x v="1"/>
    <x v="0"/>
    <x v="123"/>
    <x v="0"/>
    <s v="Niamey - Diori Hamani Intl"/>
    <n v="6696"/>
    <n v="17"/>
    <m/>
    <n v="0"/>
    <m/>
    <n v="0"/>
    <n v="0"/>
  </r>
  <r>
    <s v="GRU/NTE"/>
    <s v="NTE"/>
    <x v="1"/>
    <x v="1"/>
    <x v="50"/>
    <x v="3"/>
    <s v="Nantes - Atlantique"/>
    <n v="9046"/>
    <n v="22.25"/>
    <m/>
    <n v="0"/>
    <m/>
    <n v="0"/>
    <n v="0"/>
  </r>
  <r>
    <s v="GRU/NYO"/>
    <s v="NYO"/>
    <x v="0"/>
    <x v="1"/>
    <x v="39"/>
    <x v="3"/>
    <s v="Stockholm - Skavsta"/>
    <n v="10822"/>
    <n v="26"/>
    <n v="246016938"/>
    <n v="91831.630459126536"/>
    <n v="2679"/>
    <n v="2"/>
    <n v="52"/>
  </r>
  <r>
    <s v="GRU/OAK"/>
    <s v="OAK"/>
    <x v="0"/>
    <x v="2"/>
    <x v="21"/>
    <x v="2"/>
    <s v="Oakland - Metropolitan Area"/>
    <n v="10423"/>
    <n v="25.25"/>
    <n v="257001757"/>
    <n v="100943.34524744698"/>
    <n v="2546"/>
    <n v="1"/>
    <n v="25.25"/>
  </r>
  <r>
    <s v="GRU/ODS"/>
    <s v="ODS"/>
    <x v="1"/>
    <x v="1"/>
    <x v="76"/>
    <x v="3"/>
    <s v="Odesa - International"/>
    <n v="10952"/>
    <n v="26.5"/>
    <m/>
    <n v="0"/>
    <m/>
    <n v="0"/>
    <n v="0"/>
  </r>
  <r>
    <s v="GRU/OGX"/>
    <s v="OGX"/>
    <x v="1"/>
    <x v="3"/>
    <x v="18"/>
    <x v="0"/>
    <s v="Ouargla - Ain el Beida"/>
    <n v="8265"/>
    <n v="20.5"/>
    <m/>
    <n v="0"/>
    <m/>
    <n v="0"/>
    <n v="0"/>
  </r>
  <r>
    <s v="GRU/OGZ"/>
    <s v="OGZ"/>
    <x v="1"/>
    <x v="0"/>
    <x v="28"/>
    <x v="3"/>
    <s v="Vladikavkaz - Beslan"/>
    <n v="11850"/>
    <n v="28.25"/>
    <m/>
    <n v="0"/>
    <m/>
    <n v="0"/>
    <n v="0"/>
  </r>
  <r>
    <s v="GRU/OKC"/>
    <s v="OKC"/>
    <x v="1"/>
    <x v="1"/>
    <x v="21"/>
    <x v="2"/>
    <s v="Oklahoma City - Metropolitan Area"/>
    <n v="8472"/>
    <n v="21"/>
    <m/>
    <n v="0"/>
    <m/>
    <n v="0"/>
    <n v="0"/>
  </r>
  <r>
    <s v="GRU/OMA"/>
    <s v="OMA"/>
    <x v="1"/>
    <x v="1"/>
    <x v="21"/>
    <x v="2"/>
    <s v="Omaha - Metropolitan Area"/>
    <n v="8819"/>
    <n v="21.75"/>
    <m/>
    <n v="0"/>
    <m/>
    <n v="0"/>
    <n v="0"/>
  </r>
  <r>
    <s v="GRU/OND"/>
    <s v="OND"/>
    <x v="1"/>
    <x v="3"/>
    <x v="124"/>
    <x v="0"/>
    <s v="Ondangwa"/>
    <n v="6477"/>
    <n v="16.5"/>
    <m/>
    <n v="0"/>
    <m/>
    <n v="0"/>
    <n v="0"/>
  </r>
  <r>
    <s v="GRU/ONT"/>
    <s v="ONT"/>
    <x v="1"/>
    <x v="1"/>
    <x v="21"/>
    <x v="2"/>
    <s v="Los Angeles - Ontario International"/>
    <n v="9863"/>
    <n v="24"/>
    <m/>
    <n v="0"/>
    <m/>
    <n v="0"/>
    <n v="0"/>
  </r>
  <r>
    <s v="GRU/OPO"/>
    <s v="OPO"/>
    <x v="0"/>
    <x v="1"/>
    <x v="10"/>
    <x v="3"/>
    <s v="Porto - Francisco Sa Carneiro"/>
    <n v="8181"/>
    <n v="20.25"/>
    <n v="224894313"/>
    <n v="73856.917241379313"/>
    <n v="3045"/>
    <n v="2"/>
    <n v="40.5"/>
  </r>
  <r>
    <s v="GRU/ORD"/>
    <s v="ORD"/>
    <x v="0"/>
    <x v="4"/>
    <x v="21"/>
    <x v="2"/>
    <s v="Chicago - O'Hare International"/>
    <n v="8430"/>
    <n v="20.75"/>
    <n v="263229136"/>
    <n v="95998.955506929255"/>
    <n v="2742"/>
    <n v="2"/>
    <n v="41.5"/>
  </r>
  <r>
    <s v="GRU/ORN"/>
    <s v="ORN"/>
    <x v="0"/>
    <x v="0"/>
    <x v="18"/>
    <x v="0"/>
    <s v="Oran - Metropolitan Area"/>
    <n v="8149"/>
    <n v="20.25"/>
    <n v="211920307"/>
    <n v="71305.621467025572"/>
    <n v="2972"/>
    <n v="2"/>
    <n v="40.5"/>
  </r>
  <r>
    <s v="GRU/ORY"/>
    <s v="ORY"/>
    <x v="0"/>
    <x v="4"/>
    <x v="50"/>
    <x v="3"/>
    <s v="Paris - Orly"/>
    <n v="9374"/>
    <n v="23"/>
    <n v="262383204"/>
    <n v="101777.81380915438"/>
    <n v="2578"/>
    <n v="1"/>
    <n v="23"/>
  </r>
  <r>
    <s v="GRU/OSL"/>
    <s v="OSL"/>
    <x v="0"/>
    <x v="2"/>
    <x v="54"/>
    <x v="3"/>
    <s v="Oslo - Metropolitan Area"/>
    <n v="10651"/>
    <n v="25.75"/>
    <n v="268590519"/>
    <n v="75637.994649394532"/>
    <n v="3551"/>
    <n v="2"/>
    <n v="51.5"/>
  </r>
  <r>
    <s v="GRU/OSR"/>
    <s v="OSR"/>
    <x v="1"/>
    <x v="0"/>
    <x v="125"/>
    <x v="3"/>
    <s v="Ostrava - Leos Janacek"/>
    <n v="10319"/>
    <n v="25"/>
    <m/>
    <n v="0"/>
    <m/>
    <n v="0"/>
    <n v="0"/>
  </r>
  <r>
    <s v="GRU/OST"/>
    <s v="OST"/>
    <x v="1"/>
    <x v="0"/>
    <x v="62"/>
    <x v="3"/>
    <s v="Oostende/Brugge - Airport"/>
    <n v="9597"/>
    <n v="23.5"/>
    <m/>
    <n v="0"/>
    <m/>
    <n v="0"/>
    <n v="0"/>
  </r>
  <r>
    <s v="GRU/OTP"/>
    <s v="OTP"/>
    <x v="0"/>
    <x v="1"/>
    <x v="46"/>
    <x v="3"/>
    <s v="Bucharest - Henri Coanda"/>
    <n v="10541"/>
    <n v="25.5"/>
    <n v="249224260"/>
    <n v="70462.04693242861"/>
    <n v="3537"/>
    <n v="2"/>
    <n v="51"/>
  </r>
  <r>
    <s v="GRU/OUA"/>
    <s v="OUA"/>
    <x v="0"/>
    <x v="0"/>
    <x v="60"/>
    <x v="0"/>
    <s v="Ouagadougou"/>
    <n v="6304"/>
    <n v="16"/>
    <n v="186975869"/>
    <n v="47832.148631363518"/>
    <n v="3909"/>
    <n v="2"/>
    <n v="32"/>
  </r>
  <r>
    <s v="GRU/OUD"/>
    <s v="OUD"/>
    <x v="1"/>
    <x v="0"/>
    <x v="29"/>
    <x v="0"/>
    <s v="Oujda - Angads"/>
    <n v="8000"/>
    <n v="19.75"/>
    <m/>
    <n v="0"/>
    <m/>
    <n v="0"/>
    <n v="0"/>
  </r>
  <r>
    <s v="GRU/OXB"/>
    <s v="OXB"/>
    <x v="1"/>
    <x v="3"/>
    <x v="126"/>
    <x v="0"/>
    <s v="Bissau - Osvaldo Vieira Intl"/>
    <n v="5165"/>
    <n v="13.5"/>
    <m/>
    <n v="0"/>
    <m/>
    <n v="0"/>
    <n v="0"/>
  </r>
  <r>
    <s v="GRU/OZZ"/>
    <s v="OZZ"/>
    <x v="1"/>
    <x v="0"/>
    <x v="29"/>
    <x v="0"/>
    <s v="Ouarzazate"/>
    <n v="7371"/>
    <n v="18.5"/>
    <m/>
    <n v="0"/>
    <m/>
    <n v="0"/>
    <n v="0"/>
  </r>
  <r>
    <s v="GRU/PAP"/>
    <s v="PAP"/>
    <x v="0"/>
    <x v="2"/>
    <x v="127"/>
    <x v="2"/>
    <s v="Port-au-Prince - Toussaint Louverture"/>
    <n v="5449"/>
    <n v="14.25"/>
    <m/>
    <n v="0"/>
    <m/>
    <n v="0"/>
    <n v="0"/>
  </r>
  <r>
    <s v="GRU/PBC"/>
    <s v="PBC"/>
    <x v="1"/>
    <x v="0"/>
    <x v="12"/>
    <x v="2"/>
    <s v="Puebla - Hermanos Serdan Intl"/>
    <n v="7358"/>
    <n v="18.5"/>
    <m/>
    <n v="0"/>
    <m/>
    <n v="0"/>
    <n v="0"/>
  </r>
  <r>
    <s v="GRU/PBG"/>
    <s v="PBG"/>
    <x v="1"/>
    <x v="0"/>
    <x v="21"/>
    <x v="2"/>
    <s v="Plattsburgh - International"/>
    <n v="8054"/>
    <n v="20"/>
    <m/>
    <n v="0"/>
    <m/>
    <n v="0"/>
    <n v="0"/>
  </r>
  <r>
    <s v="GRU/PBI"/>
    <s v="PBI"/>
    <x v="1"/>
    <x v="2"/>
    <x v="21"/>
    <x v="2"/>
    <s v="West Palm Beach - Metropolitan Area"/>
    <n v="6643"/>
    <n v="16.75"/>
    <m/>
    <n v="0"/>
    <m/>
    <n v="0"/>
    <n v="0"/>
  </r>
  <r>
    <s v="GRU/PBM"/>
    <s v="PBM"/>
    <x v="1"/>
    <x v="0"/>
    <x v="128"/>
    <x v="1"/>
    <s v="Paramaribo - Metropolitan Area"/>
    <n v="3349"/>
    <n v="9.5"/>
    <m/>
    <n v="0"/>
    <m/>
    <n v="0"/>
    <n v="0"/>
  </r>
  <r>
    <s v="GRU/PCL"/>
    <s v="PCL"/>
    <x v="0"/>
    <x v="0"/>
    <x v="1"/>
    <x v="1"/>
    <s v="Pucallpa - D.Abenzur Rengifo Intl"/>
    <n v="3430"/>
    <n v="9.75"/>
    <n v="155426342"/>
    <n v="52069.126298157455"/>
    <n v="2985"/>
    <n v="2"/>
    <n v="19.5"/>
  </r>
  <r>
    <s v="GRU/PDX"/>
    <s v="PDX"/>
    <x v="0"/>
    <x v="2"/>
    <x v="21"/>
    <x v="2"/>
    <s v="Portland - International"/>
    <n v="10842"/>
    <n v="26.25"/>
    <n v="265616016"/>
    <n v="101225.61585365854"/>
    <n v="2624"/>
    <n v="1"/>
    <n v="26.25"/>
  </r>
  <r>
    <s v="GRU/PEE"/>
    <s v="PEE"/>
    <x v="0"/>
    <x v="0"/>
    <x v="28"/>
    <x v="3"/>
    <s v="Perm - Bolshoye Savino"/>
    <n v="12930"/>
    <n v="30.75"/>
    <m/>
    <n v="0"/>
    <m/>
    <n v="0"/>
    <n v="0"/>
  </r>
  <r>
    <s v="GRU/PEM"/>
    <s v="PEM"/>
    <x v="1"/>
    <x v="0"/>
    <x v="1"/>
    <x v="1"/>
    <s v="Puerto Maldonado - Padre Aldamiz Intl"/>
    <n v="2686"/>
    <n v="8"/>
    <m/>
    <n v="0"/>
    <m/>
    <n v="0"/>
    <n v="0"/>
  </r>
  <r>
    <s v="GRU/PHC"/>
    <s v="PHC"/>
    <x v="0"/>
    <x v="0"/>
    <x v="11"/>
    <x v="0"/>
    <s v="Port Harcourt - International"/>
    <n v="6599"/>
    <n v="16.75"/>
    <m/>
    <n v="0"/>
    <m/>
    <n v="0"/>
    <n v="0"/>
  </r>
  <r>
    <s v="GRU/PHL"/>
    <s v="PHL"/>
    <x v="0"/>
    <x v="4"/>
    <x v="21"/>
    <x v="2"/>
    <s v="Philadelphia - Metropolitan Area"/>
    <n v="7647"/>
    <n v="19"/>
    <n v="246457149"/>
    <n v="98386.087425149701"/>
    <n v="2505"/>
    <n v="1"/>
    <n v="19"/>
  </r>
  <r>
    <s v="GRU/PHX"/>
    <s v="PHX"/>
    <x v="0"/>
    <x v="4"/>
    <x v="21"/>
    <x v="2"/>
    <s v="Phoenix - Metropolitan Area"/>
    <n v="9385"/>
    <n v="23"/>
    <n v="268457367"/>
    <n v="100320.39125560538"/>
    <n v="2676"/>
    <n v="2"/>
    <n v="46"/>
  </r>
  <r>
    <s v="GRU/PIA"/>
    <s v="PIA"/>
    <x v="1"/>
    <x v="0"/>
    <x v="21"/>
    <x v="2"/>
    <s v="Peoria - General Downing Intl"/>
    <n v="8413"/>
    <n v="20.75"/>
    <m/>
    <n v="0"/>
    <m/>
    <n v="0"/>
    <n v="0"/>
  </r>
  <r>
    <s v="GRU/PIE"/>
    <s v="PIE"/>
    <x v="1"/>
    <x v="0"/>
    <x v="21"/>
    <x v="2"/>
    <s v="Tampa - St.Pete-Clearwater Int"/>
    <n v="6906"/>
    <n v="17.5"/>
    <m/>
    <n v="0"/>
    <m/>
    <n v="0"/>
    <n v="0"/>
  </r>
  <r>
    <s v="GRU/PIH"/>
    <s v="PIH"/>
    <x v="1"/>
    <x v="3"/>
    <x v="21"/>
    <x v="2"/>
    <s v="Pocatello - Regional"/>
    <n v="10002"/>
    <n v="24.25"/>
    <m/>
    <n v="0"/>
    <m/>
    <n v="0"/>
    <n v="0"/>
  </r>
  <r>
    <s v="GRU/PIK"/>
    <s v="PIK"/>
    <x v="1"/>
    <x v="1"/>
    <x v="52"/>
    <x v="3"/>
    <s v="Glasgow - Prestwick"/>
    <n v="9633"/>
    <n v="23.5"/>
    <m/>
    <n v="0"/>
    <m/>
    <n v="0"/>
    <n v="0"/>
  </r>
  <r>
    <s v="GRU/PIT"/>
    <s v="PIT"/>
    <x v="1"/>
    <x v="2"/>
    <x v="21"/>
    <x v="2"/>
    <s v="Pittsburgh - Metropolitan Area"/>
    <n v="7922"/>
    <n v="19.75"/>
    <m/>
    <n v="0"/>
    <m/>
    <n v="0"/>
    <n v="0"/>
  </r>
  <r>
    <s v="GRU/PMI"/>
    <s v="PMI"/>
    <x v="0"/>
    <x v="4"/>
    <x v="30"/>
    <x v="3"/>
    <s v="Palma de Mallorca"/>
    <n v="8668"/>
    <n v="21.25"/>
    <n v="251209049"/>
    <n v="87712.656773743016"/>
    <n v="2864"/>
    <n v="2"/>
    <n v="42.5"/>
  </r>
  <r>
    <s v="GRU/PMO"/>
    <s v="PMO"/>
    <x v="1"/>
    <x v="1"/>
    <x v="32"/>
    <x v="3"/>
    <s v="Palermo - Punta Raisi"/>
    <n v="9246"/>
    <n v="22.5"/>
    <m/>
    <n v="0"/>
    <m/>
    <n v="0"/>
    <n v="0"/>
  </r>
  <r>
    <s v="GRU/PMV"/>
    <s v="PMV"/>
    <x v="0"/>
    <x v="1"/>
    <x v="5"/>
    <x v="1"/>
    <s v="Porlamar - Del Caribe Intl"/>
    <n v="4268"/>
    <n v="11.5"/>
    <n v="178947727"/>
    <n v="53818.865263157895"/>
    <n v="3325"/>
    <n v="2"/>
    <n v="23"/>
  </r>
  <r>
    <s v="GRU/PNZ"/>
    <s v="PNZ"/>
    <x v="1"/>
    <x v="0"/>
    <x v="3"/>
    <x v="1"/>
    <s v="Petrolina - Senador Nilo Coelho"/>
    <n v="1685"/>
    <n v="5.75"/>
    <m/>
    <n v="0"/>
    <m/>
    <n v="0"/>
    <n v="0"/>
  </r>
  <r>
    <s v="GRU/PPG"/>
    <s v="PPG"/>
    <x v="0"/>
    <x v="0"/>
    <x v="129"/>
    <x v="5"/>
    <s v="Pago Pago - International"/>
    <n v="12645"/>
    <n v="30.25"/>
    <m/>
    <n v="0"/>
    <m/>
    <n v="0"/>
    <n v="0"/>
  </r>
  <r>
    <s v="GRU/PPT"/>
    <s v="PPT"/>
    <x v="0"/>
    <x v="1"/>
    <x v="96"/>
    <x v="5"/>
    <s v="Tahiti - Faaa"/>
    <n v="10514"/>
    <n v="25.5"/>
    <n v="237775002"/>
    <n v="83989.756976333447"/>
    <n v="2831"/>
    <n v="2"/>
    <n v="51"/>
  </r>
  <r>
    <s v="GRU/PRG"/>
    <s v="PRG"/>
    <x v="0"/>
    <x v="2"/>
    <x v="125"/>
    <x v="3"/>
    <s v="Prague - Metropolitan Area"/>
    <n v="10120"/>
    <n v="24.5"/>
    <n v="255323927"/>
    <n v="73899.834153400865"/>
    <n v="3455"/>
    <n v="2"/>
    <n v="49"/>
  </r>
  <r>
    <s v="GRU/PSA"/>
    <s v="PSA"/>
    <x v="0"/>
    <x v="1"/>
    <x v="32"/>
    <x v="3"/>
    <s v="Pisa - Galileo Galilei"/>
    <n v="9448"/>
    <n v="23"/>
    <n v="236950732"/>
    <n v="97071.172470299061"/>
    <n v="2441"/>
    <n v="1"/>
    <n v="23"/>
  </r>
  <r>
    <s v="GRU/PSM"/>
    <s v="PSM"/>
    <x v="1"/>
    <x v="0"/>
    <x v="21"/>
    <x v="2"/>
    <s v="Boston - Portsmouth Pease Intl"/>
    <n v="7806"/>
    <n v="19.5"/>
    <m/>
    <n v="0"/>
    <m/>
    <n v="0"/>
    <n v="0"/>
  </r>
  <r>
    <s v="GRU/PSP"/>
    <s v="PSP"/>
    <x v="1"/>
    <x v="1"/>
    <x v="21"/>
    <x v="2"/>
    <s v="Palm Springs - Metropolitan Area"/>
    <n v="9763"/>
    <n v="23.75"/>
    <m/>
    <n v="0"/>
    <m/>
    <n v="0"/>
    <n v="0"/>
  </r>
  <r>
    <s v="GRU/PTP"/>
    <s v="PTP"/>
    <x v="1"/>
    <x v="1"/>
    <x v="130"/>
    <x v="2"/>
    <s v="Pointe-a-Pitre - Le Raizet"/>
    <n v="4709"/>
    <n v="12.5"/>
    <m/>
    <n v="0"/>
    <m/>
    <n v="0"/>
    <n v="0"/>
  </r>
  <r>
    <s v="GRU/PTY"/>
    <s v="PTY"/>
    <x v="1"/>
    <x v="1"/>
    <x v="131"/>
    <x v="2"/>
    <s v="Panama City - Metropolitan Area"/>
    <n v="5087"/>
    <n v="13.5"/>
    <m/>
    <n v="0"/>
    <m/>
    <n v="0"/>
    <n v="0"/>
  </r>
  <r>
    <s v="GRU/PUB"/>
    <s v="PUB"/>
    <x v="1"/>
    <x v="3"/>
    <x v="21"/>
    <x v="2"/>
    <s v="Pueblo - Memorial"/>
    <n v="9148"/>
    <n v="22.5"/>
    <m/>
    <n v="0"/>
    <m/>
    <n v="0"/>
    <n v="0"/>
  </r>
  <r>
    <s v="GRU/PUQ"/>
    <s v="PUQ"/>
    <x v="0"/>
    <x v="0"/>
    <x v="70"/>
    <x v="1"/>
    <s v="Punta Arenas - C.Ibanez del Campo"/>
    <n v="3878"/>
    <n v="10.75"/>
    <m/>
    <n v="0"/>
    <m/>
    <n v="0"/>
    <n v="0"/>
  </r>
  <r>
    <s v="GRU/PUY"/>
    <s v="PUY"/>
    <x v="1"/>
    <x v="0"/>
    <x v="74"/>
    <x v="3"/>
    <s v="Pula"/>
    <n v="9752"/>
    <n v="23.75"/>
    <m/>
    <n v="0"/>
    <m/>
    <n v="0"/>
    <n v="0"/>
  </r>
  <r>
    <s v="GRU/PVK"/>
    <s v="PVK"/>
    <x v="1"/>
    <x v="0"/>
    <x v="41"/>
    <x v="3"/>
    <s v="Preveza/Lefkada - Aktion"/>
    <n v="9842"/>
    <n v="24"/>
    <m/>
    <n v="0"/>
    <m/>
    <n v="0"/>
    <n v="0"/>
  </r>
  <r>
    <s v="GRU/PVR"/>
    <s v="PVR"/>
    <x v="0"/>
    <x v="1"/>
    <x v="12"/>
    <x v="2"/>
    <s v="Puerto Vallarta - G.Diaz Ordaz Intl"/>
    <n v="8039"/>
    <n v="20"/>
    <n v="219671385"/>
    <n v="79447.155515370701"/>
    <n v="2765"/>
    <n v="2"/>
    <n v="40"/>
  </r>
  <r>
    <s v="GRU/PXO"/>
    <s v="PXO"/>
    <x v="1"/>
    <x v="0"/>
    <x v="10"/>
    <x v="3"/>
    <s v="Porto Santo - Airport"/>
    <n v="7049"/>
    <n v="17.75"/>
    <m/>
    <n v="0"/>
    <m/>
    <n v="0"/>
    <n v="0"/>
  </r>
  <r>
    <s v="GRU/RAE"/>
    <s v="RAE"/>
    <x v="1"/>
    <x v="0"/>
    <x v="22"/>
    <x v="4"/>
    <s v="Arar"/>
    <n v="11107"/>
    <n v="26.75"/>
    <m/>
    <n v="0"/>
    <m/>
    <n v="0"/>
    <n v="0"/>
  </r>
  <r>
    <s v="GRU/RAH"/>
    <s v="RAH"/>
    <x v="1"/>
    <x v="3"/>
    <x v="22"/>
    <x v="4"/>
    <s v="Rafha"/>
    <n v="11267"/>
    <n v="27"/>
    <m/>
    <n v="0"/>
    <m/>
    <n v="0"/>
    <n v="0"/>
  </r>
  <r>
    <s v="GRU/RAK"/>
    <s v="RAK"/>
    <x v="0"/>
    <x v="1"/>
    <x v="29"/>
    <x v="0"/>
    <s v="Marrakech - Menara"/>
    <n v="7361"/>
    <n v="18.5"/>
    <n v="212406191"/>
    <n v="59281.660898688249"/>
    <n v="3583"/>
    <n v="2"/>
    <n v="37"/>
  </r>
  <r>
    <s v="GRU/RBA"/>
    <s v="RBA"/>
    <x v="1"/>
    <x v="0"/>
    <x v="29"/>
    <x v="0"/>
    <s v="Rabat - Sale"/>
    <n v="7648"/>
    <n v="19"/>
    <m/>
    <n v="0"/>
    <m/>
    <n v="0"/>
    <n v="0"/>
  </r>
  <r>
    <s v="GRU/RCQ"/>
    <s v="RCQ"/>
    <x v="1"/>
    <x v="3"/>
    <x v="9"/>
    <x v="1"/>
    <s v="Reconquista"/>
    <n v="1464"/>
    <n v="5.25"/>
    <m/>
    <n v="0"/>
    <m/>
    <n v="0"/>
    <n v="0"/>
  </r>
  <r>
    <s v="GRU/RDU"/>
    <s v="RDU"/>
    <x v="1"/>
    <x v="2"/>
    <x v="21"/>
    <x v="2"/>
    <s v="Raleigh/Durham - International"/>
    <n v="7421"/>
    <n v="18.5"/>
    <m/>
    <n v="0"/>
    <m/>
    <n v="0"/>
    <n v="0"/>
  </r>
  <r>
    <s v="GRU/RES"/>
    <s v="RES"/>
    <x v="1"/>
    <x v="0"/>
    <x v="9"/>
    <x v="1"/>
    <s v="Resistencia"/>
    <n v="1340"/>
    <n v="5"/>
    <m/>
    <n v="0"/>
    <m/>
    <n v="0"/>
    <n v="0"/>
  </r>
  <r>
    <s v="GRU/RFD"/>
    <s v="RFD"/>
    <x v="1"/>
    <x v="0"/>
    <x v="21"/>
    <x v="2"/>
    <s v="Chicago/Rockford Intl"/>
    <n v="8511"/>
    <n v="21"/>
    <m/>
    <n v="0"/>
    <m/>
    <n v="0"/>
    <n v="0"/>
  </r>
  <r>
    <s v="GRU/RGL"/>
    <s v="RGL"/>
    <x v="1"/>
    <x v="0"/>
    <x v="9"/>
    <x v="1"/>
    <s v="Rio Gallegos - Piloto N. Fernandez"/>
    <n v="3692"/>
    <n v="10.25"/>
    <m/>
    <n v="0"/>
    <m/>
    <n v="0"/>
    <n v="0"/>
  </r>
  <r>
    <s v="GRU/RHO"/>
    <s v="RHO"/>
    <x v="0"/>
    <x v="1"/>
    <x v="41"/>
    <x v="3"/>
    <s v="Rhodes - Diagoras"/>
    <n v="10260"/>
    <n v="24.75"/>
    <n v="242947195"/>
    <n v="90449.43968726731"/>
    <n v="2686"/>
    <n v="2"/>
    <n v="49.5"/>
  </r>
  <r>
    <s v="GRU/RIX"/>
    <s v="RIX"/>
    <x v="1"/>
    <x v="1"/>
    <x v="132"/>
    <x v="3"/>
    <s v="Riga - International"/>
    <n v="11070"/>
    <n v="26.75"/>
    <m/>
    <n v="0"/>
    <m/>
    <n v="0"/>
    <n v="0"/>
  </r>
  <r>
    <s v="GRU/RIY"/>
    <s v="RIY"/>
    <x v="0"/>
    <x v="0"/>
    <x v="27"/>
    <x v="4"/>
    <s v="Mukalla - Riyan"/>
    <n v="11234"/>
    <n v="27"/>
    <n v="232108601"/>
    <n v="63193.193846991562"/>
    <n v="3673"/>
    <n v="2"/>
    <n v="54"/>
  </r>
  <r>
    <s v="GRU/RKS"/>
    <s v="RKS"/>
    <x v="1"/>
    <x v="3"/>
    <x v="21"/>
    <x v="2"/>
    <s v="Rock Springs - Sweetwater County"/>
    <n v="9680"/>
    <n v="23.5"/>
    <m/>
    <n v="0"/>
    <m/>
    <n v="0"/>
    <n v="0"/>
  </r>
  <r>
    <s v="GRU/RKT"/>
    <s v="RKT"/>
    <x v="0"/>
    <x v="0"/>
    <x v="19"/>
    <x v="4"/>
    <s v="Ras al Khaimah - International"/>
    <n v="12286"/>
    <n v="29.25"/>
    <n v="241520191"/>
    <n v="101649.91203703704"/>
    <n v="2376"/>
    <n v="1"/>
    <n v="29.25"/>
  </r>
  <r>
    <s v="GRU/RMF"/>
    <s v="RMF"/>
    <x v="1"/>
    <x v="0"/>
    <x v="17"/>
    <x v="0"/>
    <s v="Marsa Alam - International"/>
    <n v="10282"/>
    <n v="25"/>
    <m/>
    <n v="0"/>
    <m/>
    <n v="0"/>
    <n v="0"/>
  </r>
  <r>
    <s v="GRU/RMI"/>
    <s v="RMI"/>
    <x v="1"/>
    <x v="0"/>
    <x v="32"/>
    <x v="3"/>
    <s v="Rimini - Miramare"/>
    <n v="9610"/>
    <n v="23.5"/>
    <m/>
    <n v="0"/>
    <m/>
    <n v="0"/>
    <n v="0"/>
  </r>
  <r>
    <s v="GRU/RNO"/>
    <s v="RNO"/>
    <x v="1"/>
    <x v="1"/>
    <x v="21"/>
    <x v="2"/>
    <s v="Reno/Tahoe Intl"/>
    <n v="10326"/>
    <n v="25"/>
    <m/>
    <n v="0"/>
    <m/>
    <n v="0"/>
    <n v="0"/>
  </r>
  <r>
    <s v="GRU/ROB"/>
    <s v="ROB"/>
    <x v="1"/>
    <x v="0"/>
    <x v="133"/>
    <x v="0"/>
    <s v="Monrovia - Roberts Intl"/>
    <n v="5124"/>
    <n v="13.5"/>
    <m/>
    <n v="0"/>
    <m/>
    <n v="0"/>
    <n v="0"/>
  </r>
  <r>
    <s v="GRU/ROS"/>
    <s v="ROS"/>
    <x v="1"/>
    <x v="0"/>
    <x v="9"/>
    <x v="1"/>
    <s v="Rosario - Islas Malvinas"/>
    <n v="1752"/>
    <n v="6"/>
    <m/>
    <n v="0"/>
    <m/>
    <n v="0"/>
    <n v="0"/>
  </r>
  <r>
    <s v="GRU/ROW"/>
    <s v="ROW"/>
    <x v="1"/>
    <x v="0"/>
    <x v="21"/>
    <x v="2"/>
    <s v="Roswell - Intl Air Center"/>
    <n v="8809"/>
    <n v="21.75"/>
    <m/>
    <n v="0"/>
    <m/>
    <n v="0"/>
    <n v="0"/>
  </r>
  <r>
    <s v="GRU/RST"/>
    <s v="RST"/>
    <x v="1"/>
    <x v="0"/>
    <x v="21"/>
    <x v="2"/>
    <s v="Rochester - International"/>
    <n v="8836"/>
    <n v="21.75"/>
    <m/>
    <n v="0"/>
    <m/>
    <n v="0"/>
    <n v="0"/>
  </r>
  <r>
    <s v="GRU/RSW"/>
    <s v="RSW"/>
    <x v="1"/>
    <x v="2"/>
    <x v="21"/>
    <x v="2"/>
    <s v="Fort Myers - Southwest Florida Intl"/>
    <n v="6729"/>
    <n v="17"/>
    <m/>
    <n v="0"/>
    <m/>
    <n v="0"/>
    <n v="0"/>
  </r>
  <r>
    <s v="GRU/RUH"/>
    <s v="RUH"/>
    <x v="0"/>
    <x v="4"/>
    <x v="22"/>
    <x v="4"/>
    <s v="Riyadh - King Khalid Intl"/>
    <n v="11382"/>
    <n v="27.25"/>
    <n v="277395723"/>
    <n v="68969.597961213323"/>
    <n v="4022"/>
    <n v="3"/>
    <n v="81.75"/>
  </r>
  <r>
    <s v="GRU/RUN"/>
    <s v="RUN"/>
    <x v="0"/>
    <x v="1"/>
    <x v="134"/>
    <x v="0"/>
    <s v="St-Denis - Roland Garros"/>
    <n v="10240"/>
    <n v="24.75"/>
    <n v="237126231"/>
    <n v="83436.393736805068"/>
    <n v="2842"/>
    <n v="2"/>
    <n v="49.5"/>
  </r>
  <r>
    <s v="GRU/RVN"/>
    <s v="RVN"/>
    <x v="1"/>
    <x v="0"/>
    <x v="95"/>
    <x v="3"/>
    <s v="Rovaniemi"/>
    <n v="11646"/>
    <n v="28"/>
    <m/>
    <n v="0"/>
    <m/>
    <n v="0"/>
    <n v="0"/>
  </r>
  <r>
    <s v="GRU/RZE"/>
    <s v="RZE"/>
    <x v="1"/>
    <x v="0"/>
    <x v="89"/>
    <x v="3"/>
    <s v="Rzeszow - Jasionka"/>
    <n v="10580"/>
    <n v="25.5"/>
    <m/>
    <n v="0"/>
    <m/>
    <n v="0"/>
    <n v="0"/>
  </r>
  <r>
    <s v="GRU/SAH"/>
    <s v="SAH"/>
    <x v="0"/>
    <x v="1"/>
    <x v="27"/>
    <x v="4"/>
    <s v="Sana'a - International"/>
    <n v="10755"/>
    <n v="26"/>
    <n v="239803235"/>
    <n v="56825.411137440758"/>
    <n v="4220"/>
    <n v="3"/>
    <n v="78"/>
  </r>
  <r>
    <s v="GRU/SAL"/>
    <s v="SAL"/>
    <x v="1"/>
    <x v="1"/>
    <x v="135"/>
    <x v="2"/>
    <s v="San Salvador - El Salvador Intl"/>
    <n v="6187"/>
    <n v="15.75"/>
    <m/>
    <n v="0"/>
    <m/>
    <n v="0"/>
    <n v="0"/>
  </r>
  <r>
    <s v="GRU/SAN"/>
    <s v="SAN"/>
    <x v="0"/>
    <x v="2"/>
    <x v="21"/>
    <x v="2"/>
    <s v="San Diego - Metropolitan Area"/>
    <n v="9756"/>
    <n v="23.75"/>
    <n v="258399925"/>
    <n v="105126.08828315703"/>
    <n v="2458"/>
    <n v="1"/>
    <n v="23.75"/>
  </r>
  <r>
    <s v="GRU/SAP"/>
    <s v="SAP"/>
    <x v="1"/>
    <x v="0"/>
    <x v="108"/>
    <x v="2"/>
    <s v="San Pedro Sula - Ramon V. Morales Intl"/>
    <n v="6246"/>
    <n v="16"/>
    <m/>
    <n v="0"/>
    <m/>
    <n v="0"/>
    <n v="0"/>
  </r>
  <r>
    <s v="GRU/SAV"/>
    <s v="SAV"/>
    <x v="1"/>
    <x v="1"/>
    <x v="21"/>
    <x v="2"/>
    <s v="Savannah - Metropolitan Area"/>
    <n v="7198"/>
    <n v="18"/>
    <m/>
    <n v="0"/>
    <m/>
    <n v="0"/>
    <n v="0"/>
  </r>
  <r>
    <s v="GRU/SAW"/>
    <s v="SAW"/>
    <x v="0"/>
    <x v="2"/>
    <x v="25"/>
    <x v="4"/>
    <s v="Istanbul - Sabiha Gokcen"/>
    <n v="10582"/>
    <n v="25.5"/>
    <n v="252649759"/>
    <n v="63479.838944723619"/>
    <n v="3980"/>
    <n v="3"/>
    <n v="76.5"/>
  </r>
  <r>
    <s v="GRU/SBZ"/>
    <s v="SBZ"/>
    <x v="1"/>
    <x v="0"/>
    <x v="46"/>
    <x v="3"/>
    <s v="Sibiu"/>
    <n v="10469"/>
    <n v="25.25"/>
    <m/>
    <n v="0"/>
    <m/>
    <n v="0"/>
    <n v="0"/>
  </r>
  <r>
    <s v="GRU/SCK"/>
    <s v="SCK"/>
    <x v="1"/>
    <x v="3"/>
    <x v="21"/>
    <x v="2"/>
    <s v="Sacramento - Stockton Metropolitan"/>
    <n v="10355"/>
    <n v="25"/>
    <m/>
    <n v="0"/>
    <m/>
    <n v="0"/>
    <n v="0"/>
  </r>
  <r>
    <s v="GRU/SCL"/>
    <s v="SCL"/>
    <x v="0"/>
    <x v="2"/>
    <x v="70"/>
    <x v="1"/>
    <s v="Santiago - Arturo Merino Benitez"/>
    <n v="2615"/>
    <n v="8"/>
    <m/>
    <n v="0"/>
    <m/>
    <n v="0"/>
    <n v="0"/>
  </r>
  <r>
    <s v="GRU/SCQ"/>
    <s v="SCQ"/>
    <x v="1"/>
    <x v="1"/>
    <x v="30"/>
    <x v="3"/>
    <s v="Santiago de Compostela"/>
    <n v="8343"/>
    <n v="20.5"/>
    <m/>
    <n v="0"/>
    <m/>
    <n v="0"/>
    <n v="0"/>
  </r>
  <r>
    <s v="GRU/SCT"/>
    <s v="SCT"/>
    <x v="0"/>
    <x v="3"/>
    <x v="27"/>
    <x v="4"/>
    <s v="Socotra - Airport"/>
    <n v="11608"/>
    <n v="27.75"/>
    <n v="228067946"/>
    <n v="67857.16929485272"/>
    <n v="3361"/>
    <n v="2"/>
    <n v="55.5"/>
  </r>
  <r>
    <s v="GRU/SCU"/>
    <s v="SCU"/>
    <x v="1"/>
    <x v="0"/>
    <x v="16"/>
    <x v="2"/>
    <s v="Santiago de Cuba - Antonio Maceo Intl"/>
    <n v="5783"/>
    <n v="15"/>
    <m/>
    <n v="0"/>
    <m/>
    <n v="0"/>
    <n v="0"/>
  </r>
  <r>
    <s v="GRU/SDF"/>
    <s v="SDF"/>
    <x v="1"/>
    <x v="1"/>
    <x v="21"/>
    <x v="2"/>
    <s v="Louisville - Metropolitan Area"/>
    <n v="7984"/>
    <n v="19.75"/>
    <m/>
    <n v="0"/>
    <m/>
    <n v="0"/>
    <n v="0"/>
  </r>
  <r>
    <s v="GRU/SEA"/>
    <s v="SEA"/>
    <x v="0"/>
    <x v="4"/>
    <x v="21"/>
    <x v="2"/>
    <s v="Seattle - Metropolitan Area"/>
    <n v="10913"/>
    <n v="26.25"/>
    <n v="279699154"/>
    <n v="97796.906993006996"/>
    <n v="2860"/>
    <n v="2"/>
    <n v="52.5"/>
  </r>
  <r>
    <s v="GRU/SEZ"/>
    <s v="SEZ"/>
    <x v="0"/>
    <x v="0"/>
    <x v="136"/>
    <x v="0"/>
    <s v="Mahe Island - Seychelles Intl"/>
    <n v="11018"/>
    <n v="26.5"/>
    <m/>
    <n v="0"/>
    <m/>
    <n v="0"/>
    <n v="0"/>
  </r>
  <r>
    <s v="GRU/SFA"/>
    <s v="SFA"/>
    <x v="1"/>
    <x v="3"/>
    <x v="75"/>
    <x v="0"/>
    <s v="Sfax - Thyna"/>
    <n v="8840"/>
    <n v="21.75"/>
    <m/>
    <n v="0"/>
    <m/>
    <n v="0"/>
    <n v="0"/>
  </r>
  <r>
    <s v="GRU/SFB"/>
    <s v="SFB"/>
    <x v="1"/>
    <x v="1"/>
    <x v="21"/>
    <x v="2"/>
    <s v="Orlando - Sanford Intl"/>
    <n v="6898"/>
    <n v="17.5"/>
    <m/>
    <n v="0"/>
    <m/>
    <n v="0"/>
    <n v="0"/>
  </r>
  <r>
    <s v="GRU/SFJ"/>
    <s v="SFJ"/>
    <x v="0"/>
    <x v="0"/>
    <x v="137"/>
    <x v="2"/>
    <s v="Kangerlussuaq"/>
    <n v="10066"/>
    <n v="24.5"/>
    <n v="218749342"/>
    <n v="93964.493986254296"/>
    <n v="2328"/>
    <n v="1"/>
    <n v="24.5"/>
  </r>
  <r>
    <s v="GRU/SFO"/>
    <s v="SFO"/>
    <x v="0"/>
    <x v="4"/>
    <x v="21"/>
    <x v="2"/>
    <s v="San Francisco - International"/>
    <n v="10430"/>
    <n v="25.25"/>
    <n v="279315497"/>
    <n v="95069.944520081684"/>
    <n v="2938"/>
    <n v="2"/>
    <n v="50.5"/>
  </r>
  <r>
    <s v="GRU/SHJ"/>
    <s v="SHJ"/>
    <x v="0"/>
    <x v="1"/>
    <x v="19"/>
    <x v="4"/>
    <s v="Sharjah - International"/>
    <n v="12236"/>
    <n v="29.25"/>
    <n v="267156479"/>
    <n v="86013.032517707659"/>
    <n v="3106"/>
    <n v="2"/>
    <n v="58.5"/>
  </r>
  <r>
    <s v="GRU/SHW"/>
    <s v="SHW"/>
    <x v="1"/>
    <x v="0"/>
    <x v="22"/>
    <x v="4"/>
    <s v="Sharurah"/>
    <n v="11125"/>
    <n v="26.75"/>
    <m/>
    <n v="0"/>
    <m/>
    <n v="0"/>
    <n v="0"/>
  </r>
  <r>
    <s v="GRU/SIP"/>
    <s v="SIP"/>
    <x v="1"/>
    <x v="0"/>
    <x v="76"/>
    <x v="3"/>
    <s v="Simferopol - International"/>
    <n v="11123"/>
    <n v="26.75"/>
    <m/>
    <n v="0"/>
    <m/>
    <n v="0"/>
    <n v="0"/>
  </r>
  <r>
    <s v="GRU/SJC"/>
    <s v="SJC"/>
    <x v="0"/>
    <x v="2"/>
    <x v="21"/>
    <x v="2"/>
    <s v="San Jose - Metropolitan Area"/>
    <n v="10382"/>
    <n v="25"/>
    <n v="255243815"/>
    <n v="101287.22817460318"/>
    <n v="2520"/>
    <n v="1"/>
    <n v="25"/>
  </r>
  <r>
    <s v="GRU/SJD"/>
    <s v="SJD"/>
    <x v="0"/>
    <x v="1"/>
    <x v="12"/>
    <x v="2"/>
    <s v="San Jose del Cabo - Los Cabos Intl"/>
    <n v="8575"/>
    <n v="21"/>
    <n v="223068673"/>
    <n v="79046.305102764003"/>
    <n v="2822"/>
    <n v="2"/>
    <n v="42"/>
  </r>
  <r>
    <s v="GRU/SJO"/>
    <s v="SJO"/>
    <x v="1"/>
    <x v="1"/>
    <x v="138"/>
    <x v="2"/>
    <s v="San Jose - Juan Santamaria Intl"/>
    <n v="5538"/>
    <n v="14.5"/>
    <m/>
    <n v="0"/>
    <m/>
    <n v="0"/>
    <n v="0"/>
  </r>
  <r>
    <s v="GRU/SJU"/>
    <s v="SJU"/>
    <x v="0"/>
    <x v="2"/>
    <x v="61"/>
    <x v="2"/>
    <s v="San Juan - Metropolitan Area"/>
    <n v="5117"/>
    <n v="13.5"/>
    <n v="201434351"/>
    <n v="79902.558905196347"/>
    <n v="2521"/>
    <n v="1"/>
    <n v="13.5"/>
  </r>
  <r>
    <s v="GRU/SKU"/>
    <s v="SKU"/>
    <x v="1"/>
    <x v="3"/>
    <x v="41"/>
    <x v="3"/>
    <s v="Skyros"/>
    <n v="10120"/>
    <n v="24.5"/>
    <m/>
    <n v="0"/>
    <m/>
    <n v="0"/>
    <n v="0"/>
  </r>
  <r>
    <s v="GRU/SLA"/>
    <s v="SLA"/>
    <x v="1"/>
    <x v="0"/>
    <x v="9"/>
    <x v="1"/>
    <s v="Salta - Martin M. de Guemes"/>
    <n v="1934"/>
    <n v="6.5"/>
    <m/>
    <n v="0"/>
    <m/>
    <n v="0"/>
    <n v="0"/>
  </r>
  <r>
    <s v="GRU/SLC"/>
    <s v="SLC"/>
    <x v="0"/>
    <x v="4"/>
    <x v="21"/>
    <x v="2"/>
    <s v="Salt Lake City - International"/>
    <n v="9830"/>
    <n v="24"/>
    <n v="261880000"/>
    <n v="104877.85342410894"/>
    <n v="2497"/>
    <n v="1"/>
    <n v="24"/>
  </r>
  <r>
    <s v="GRU/SLL"/>
    <s v="SLL"/>
    <x v="0"/>
    <x v="0"/>
    <x v="114"/>
    <x v="4"/>
    <s v="Salalah - Airport"/>
    <n v="11800"/>
    <n v="28.25"/>
    <n v="241109780"/>
    <n v="86326.451843895455"/>
    <n v="2793"/>
    <n v="2"/>
    <n v="56.5"/>
  </r>
  <r>
    <s v="GRU/SLP"/>
    <s v="SLP"/>
    <x v="1"/>
    <x v="0"/>
    <x v="12"/>
    <x v="2"/>
    <s v="San Luis Potosi - Ponciano Arriaga Intl"/>
    <n v="7779"/>
    <n v="19.25"/>
    <m/>
    <n v="0"/>
    <m/>
    <n v="0"/>
    <n v="0"/>
  </r>
  <r>
    <s v="GRU/SMA"/>
    <s v="SMA"/>
    <x v="1"/>
    <x v="0"/>
    <x v="10"/>
    <x v="3"/>
    <s v="Santa Maria Island - Airport"/>
    <n v="7079"/>
    <n v="17.75"/>
    <m/>
    <n v="0"/>
    <m/>
    <n v="0"/>
    <n v="0"/>
  </r>
  <r>
    <s v="GRU/SNN"/>
    <s v="SNN"/>
    <x v="1"/>
    <x v="1"/>
    <x v="139"/>
    <x v="3"/>
    <s v="Shannon - International"/>
    <n v="9214"/>
    <n v="22.5"/>
    <m/>
    <n v="0"/>
    <m/>
    <n v="0"/>
    <n v="0"/>
  </r>
  <r>
    <s v="GRU/SNU"/>
    <s v="SNU"/>
    <x v="1"/>
    <x v="3"/>
    <x v="16"/>
    <x v="2"/>
    <s v="Santa Clara - Abel Santamaria"/>
    <n v="6261"/>
    <n v="16"/>
    <m/>
    <n v="0"/>
    <m/>
    <n v="0"/>
    <n v="0"/>
  </r>
  <r>
    <s v="GRU/SOF"/>
    <s v="SOF"/>
    <x v="1"/>
    <x v="1"/>
    <x v="59"/>
    <x v="3"/>
    <s v="Sofia"/>
    <n v="10250"/>
    <n v="24.75"/>
    <m/>
    <n v="0"/>
    <m/>
    <n v="0"/>
    <n v="0"/>
  </r>
  <r>
    <s v="GRU/SPP"/>
    <s v="SPP"/>
    <x v="0"/>
    <x v="3"/>
    <x v="14"/>
    <x v="0"/>
    <s v="Menongue"/>
    <n v="6767"/>
    <n v="17"/>
    <m/>
    <n v="0"/>
    <m/>
    <n v="0"/>
    <n v="0"/>
  </r>
  <r>
    <s v="GRU/SPS"/>
    <s v="SPS"/>
    <x v="1"/>
    <x v="0"/>
    <x v="21"/>
    <x v="2"/>
    <s v="Wichita Falls - Metropolitan Area"/>
    <n v="8427"/>
    <n v="20.75"/>
    <m/>
    <n v="0"/>
    <m/>
    <n v="0"/>
    <n v="0"/>
  </r>
  <r>
    <s v="GRU/SQQ"/>
    <s v="SQQ"/>
    <x v="1"/>
    <x v="3"/>
    <x v="104"/>
    <x v="3"/>
    <s v="Siauliai - International"/>
    <n v="10983"/>
    <n v="26.5"/>
    <m/>
    <n v="0"/>
    <m/>
    <n v="0"/>
    <n v="0"/>
  </r>
  <r>
    <s v="GRU/SRE"/>
    <s v="SRE"/>
    <x v="1"/>
    <x v="0"/>
    <x v="68"/>
    <x v="1"/>
    <s v="Sucre - Alcantari"/>
    <n v="2011"/>
    <n v="6.5"/>
    <m/>
    <n v="0"/>
    <m/>
    <n v="0"/>
    <n v="0"/>
  </r>
  <r>
    <s v="GRU/SRQ"/>
    <s v="SRQ"/>
    <x v="1"/>
    <x v="1"/>
    <x v="21"/>
    <x v="2"/>
    <s v="Sarasota/Bradenton - International"/>
    <n v="6853"/>
    <n v="17.25"/>
    <m/>
    <n v="0"/>
    <m/>
    <n v="0"/>
    <n v="0"/>
  </r>
  <r>
    <s v="GRU/SRZ"/>
    <s v="SRZ"/>
    <x v="1"/>
    <x v="0"/>
    <x v="68"/>
    <x v="1"/>
    <s v="Santa Cruz - Metropolitan Area"/>
    <n v="1846"/>
    <n v="6.25"/>
    <m/>
    <n v="0"/>
    <m/>
    <n v="0"/>
    <n v="0"/>
  </r>
  <r>
    <s v="GRU/SSG"/>
    <s v="SSG"/>
    <x v="1"/>
    <x v="0"/>
    <x v="140"/>
    <x v="0"/>
    <s v="Malabo - International"/>
    <n v="6696"/>
    <n v="17"/>
    <m/>
    <n v="0"/>
    <m/>
    <n v="0"/>
    <n v="0"/>
  </r>
  <r>
    <s v="GRU/SSH"/>
    <s v="SSH"/>
    <x v="0"/>
    <x v="2"/>
    <x v="17"/>
    <x v="0"/>
    <s v="Sharm el-Sheikh - International"/>
    <n v="10379"/>
    <n v="25"/>
    <n v="252513537"/>
    <n v="59808.985551871148"/>
    <n v="4222"/>
    <n v="3"/>
    <n v="75"/>
  </r>
  <r>
    <s v="GRU/STL"/>
    <s v="STL"/>
    <x v="1"/>
    <x v="2"/>
    <x v="21"/>
    <x v="2"/>
    <s v="St Louis - Metropolitan Area"/>
    <n v="8289"/>
    <n v="20.5"/>
    <m/>
    <n v="0"/>
    <m/>
    <n v="0"/>
    <n v="0"/>
  </r>
  <r>
    <s v="GRU/STN"/>
    <s v="STN"/>
    <x v="0"/>
    <x v="4"/>
    <x v="52"/>
    <x v="3"/>
    <s v="London - Stansted"/>
    <n v="9528"/>
    <n v="23.25"/>
    <n v="259270741"/>
    <n v="87062.035258562799"/>
    <n v="2978"/>
    <n v="2"/>
    <n v="46.5"/>
  </r>
  <r>
    <s v="GRU/STR"/>
    <s v="STR"/>
    <x v="0"/>
    <x v="2"/>
    <x v="69"/>
    <x v="3"/>
    <s v="Stuttgart - Airport"/>
    <n v="9737"/>
    <n v="23.75"/>
    <n v="250462306"/>
    <n v="91845.363403006966"/>
    <n v="2727"/>
    <n v="2"/>
    <n v="47.5"/>
  </r>
  <r>
    <s v="GRU/SVO"/>
    <s v="SVO"/>
    <x v="0"/>
    <x v="2"/>
    <x v="28"/>
    <x v="3"/>
    <s v="Moscow - Sheremetyevo"/>
    <n v="11784"/>
    <n v="28.25"/>
    <n v="275444889"/>
    <n v="67693.509216023594"/>
    <n v="4069"/>
    <n v="3"/>
    <n v="84.75"/>
  </r>
  <r>
    <s v="GRU/SVQ"/>
    <s v="SVQ"/>
    <x v="1"/>
    <x v="1"/>
    <x v="30"/>
    <x v="3"/>
    <s v="Sevilla - Airport"/>
    <n v="7988"/>
    <n v="19.75"/>
    <m/>
    <n v="0"/>
    <m/>
    <n v="0"/>
    <n v="0"/>
  </r>
  <r>
    <s v="GRU/SVX"/>
    <s v="SVX"/>
    <x v="0"/>
    <x v="1"/>
    <x v="28"/>
    <x v="3"/>
    <s v="Yekaterinburg - Koltsovo"/>
    <n v="13214"/>
    <n v="31.5"/>
    <n v="268259955"/>
    <n v="80317.35179640718"/>
    <n v="3340"/>
    <n v="2"/>
    <n v="63"/>
  </r>
  <r>
    <s v="GRU/SWF"/>
    <s v="SWF"/>
    <x v="1"/>
    <x v="0"/>
    <x v="21"/>
    <x v="2"/>
    <s v="New York - Stewart International"/>
    <n v="7764"/>
    <n v="19.25"/>
    <m/>
    <n v="0"/>
    <m/>
    <n v="0"/>
    <n v="0"/>
  </r>
  <r>
    <s v="GRU/SXF"/>
    <s v="SXF"/>
    <x v="1"/>
    <x v="0"/>
    <x v="69"/>
    <x v="3"/>
    <s v="Berlin - Schoenefeld"/>
    <n v="10232"/>
    <n v="24.75"/>
    <m/>
    <n v="0"/>
    <m/>
    <n v="0"/>
    <n v="0"/>
  </r>
  <r>
    <s v="GRU/SYD"/>
    <s v="SYD"/>
    <x v="0"/>
    <x v="4"/>
    <x v="43"/>
    <x v="5"/>
    <s v="Sydney - Metropolitan Area"/>
    <n v="13371"/>
    <n v="31.75"/>
    <n v="306345854"/>
    <n v="87079.549175667998"/>
    <n v="3518"/>
    <n v="2"/>
    <n v="63.5"/>
  </r>
  <r>
    <s v="GRU/SYZ"/>
    <s v="SYZ"/>
    <x v="0"/>
    <x v="1"/>
    <x v="24"/>
    <x v="4"/>
    <s v="Shiraz - Shahid Dastghaib Intl"/>
    <n v="12097"/>
    <n v="29"/>
    <n v="258043909"/>
    <n v="70793.939368998632"/>
    <n v="3645"/>
    <n v="2"/>
    <n v="58"/>
  </r>
  <r>
    <s v="GRU/SZF"/>
    <s v="SZF"/>
    <x v="0"/>
    <x v="0"/>
    <x v="25"/>
    <x v="4"/>
    <s v="Samsun - Carsamba"/>
    <n v="11153"/>
    <n v="26.75"/>
    <n v="239918368"/>
    <n v="72548.644693075301"/>
    <n v="3307"/>
    <n v="2"/>
    <n v="53.5"/>
  </r>
  <r>
    <s v="GRU/TAI"/>
    <s v="TAI"/>
    <x v="1"/>
    <x v="3"/>
    <x v="27"/>
    <x v="4"/>
    <s v="Taizz - International"/>
    <n v="10671"/>
    <n v="25.75"/>
    <m/>
    <n v="0"/>
    <m/>
    <n v="0"/>
    <n v="0"/>
  </r>
  <r>
    <s v="GRU/TBJ"/>
    <s v="TBJ"/>
    <x v="1"/>
    <x v="3"/>
    <x v="75"/>
    <x v="0"/>
    <s v="Tabarka - Ain Draham"/>
    <n v="8872"/>
    <n v="21.75"/>
    <m/>
    <n v="0"/>
    <m/>
    <n v="0"/>
    <n v="0"/>
  </r>
  <r>
    <s v="GRU/TBS"/>
    <s v="TBS"/>
    <x v="1"/>
    <x v="0"/>
    <x v="141"/>
    <x v="3"/>
    <s v="Tbilisi - International"/>
    <n v="11827"/>
    <n v="28.25"/>
    <m/>
    <n v="0"/>
    <m/>
    <n v="0"/>
    <n v="0"/>
  </r>
  <r>
    <s v="GRU/TBZ"/>
    <s v="TBZ"/>
    <x v="1"/>
    <x v="0"/>
    <x v="24"/>
    <x v="4"/>
    <s v="Tabriz - International"/>
    <n v="11815"/>
    <n v="28.25"/>
    <m/>
    <n v="0"/>
    <m/>
    <n v="0"/>
    <n v="0"/>
  </r>
  <r>
    <s v="GRU/TCP"/>
    <s v="TCP"/>
    <x v="1"/>
    <x v="0"/>
    <x v="17"/>
    <x v="0"/>
    <s v="Taba - International"/>
    <n v="10487"/>
    <n v="25.25"/>
    <m/>
    <n v="0"/>
    <m/>
    <n v="0"/>
    <n v="0"/>
  </r>
  <r>
    <s v="GRU/TEE"/>
    <s v="TEE"/>
    <x v="0"/>
    <x v="0"/>
    <x v="18"/>
    <x v="0"/>
    <s v="Tebessa - Cheikh Larbi Tebessi"/>
    <n v="8709"/>
    <n v="21.5"/>
    <n v="203221640"/>
    <n v="77506.346300533944"/>
    <n v="2622"/>
    <n v="1"/>
    <n v="21.5"/>
  </r>
  <r>
    <s v="GRU/TEQ"/>
    <s v="TEQ"/>
    <x v="1"/>
    <x v="3"/>
    <x v="25"/>
    <x v="4"/>
    <s v="Tekirdag - Corlu"/>
    <n v="10492"/>
    <n v="25.25"/>
    <m/>
    <n v="0"/>
    <m/>
    <n v="0"/>
    <n v="0"/>
  </r>
  <r>
    <s v="GRU/TER"/>
    <s v="TER"/>
    <x v="1"/>
    <x v="1"/>
    <x v="10"/>
    <x v="3"/>
    <s v="Terceira Island - Lajes"/>
    <n v="7206"/>
    <n v="18"/>
    <m/>
    <n v="0"/>
    <m/>
    <n v="0"/>
    <n v="0"/>
  </r>
  <r>
    <s v="GRU/TFN"/>
    <s v="TFN"/>
    <x v="1"/>
    <x v="1"/>
    <x v="30"/>
    <x v="3"/>
    <s v="Tenerife-Norte"/>
    <n v="6615"/>
    <n v="16.75"/>
    <m/>
    <n v="0"/>
    <m/>
    <n v="0"/>
    <n v="0"/>
  </r>
  <r>
    <s v="GRU/TFS"/>
    <s v="TFS"/>
    <x v="0"/>
    <x v="2"/>
    <x v="30"/>
    <x v="3"/>
    <s v="Tenerife-Sur"/>
    <n v="6561"/>
    <n v="16.75"/>
    <n v="215998614"/>
    <n v="87804.314634146343"/>
    <n v="2460"/>
    <n v="1"/>
    <n v="16.75"/>
  </r>
  <r>
    <s v="GRU/TGR"/>
    <s v="TGR"/>
    <x v="1"/>
    <x v="3"/>
    <x v="18"/>
    <x v="0"/>
    <s v="Touggourt - Sidi Mahdi"/>
    <n v="8396"/>
    <n v="20.75"/>
    <m/>
    <n v="0"/>
    <m/>
    <n v="0"/>
    <n v="0"/>
  </r>
  <r>
    <s v="GRU/THR"/>
    <s v="THR"/>
    <x v="0"/>
    <x v="2"/>
    <x v="24"/>
    <x v="4"/>
    <s v="Tehran - Metropolitan Area"/>
    <n v="12172"/>
    <n v="29"/>
    <n v="273096040"/>
    <n v="65022.866666666669"/>
    <n v="4200"/>
    <n v="3"/>
    <n v="87"/>
  </r>
  <r>
    <s v="GRU/TID"/>
    <s v="TID"/>
    <x v="1"/>
    <x v="3"/>
    <x v="18"/>
    <x v="0"/>
    <s v="Tiaret - Bou Chekif"/>
    <n v="8258"/>
    <n v="20.5"/>
    <m/>
    <n v="0"/>
    <m/>
    <n v="0"/>
    <n v="0"/>
  </r>
  <r>
    <s v="GRU/TIF"/>
    <s v="TIF"/>
    <x v="1"/>
    <x v="0"/>
    <x v="22"/>
    <x v="4"/>
    <s v="Taif"/>
    <n v="10655"/>
    <n v="25.75"/>
    <m/>
    <n v="0"/>
    <m/>
    <n v="0"/>
    <n v="0"/>
  </r>
  <r>
    <s v="GRU/TIJ"/>
    <s v="TIJ"/>
    <x v="0"/>
    <x v="1"/>
    <x v="12"/>
    <x v="2"/>
    <s v="Tijuana - A.L. Rodriguez Intl"/>
    <n v="9728"/>
    <n v="23.75"/>
    <n v="238458201"/>
    <n v="81468.466347796377"/>
    <n v="2927"/>
    <n v="2"/>
    <n v="47.5"/>
  </r>
  <r>
    <s v="GRU/TIN"/>
    <s v="TIN"/>
    <x v="1"/>
    <x v="3"/>
    <x v="18"/>
    <x v="0"/>
    <s v="Tindouf"/>
    <n v="7016"/>
    <n v="17.75"/>
    <m/>
    <n v="0"/>
    <m/>
    <n v="0"/>
    <n v="0"/>
  </r>
  <r>
    <s v="GRU/TIP"/>
    <s v="TIP"/>
    <x v="0"/>
    <x v="1"/>
    <x v="49"/>
    <x v="0"/>
    <s v="Tripoli - International"/>
    <n v="8883"/>
    <n v="21.75"/>
    <n v="227667958"/>
    <n v="76527.044705882348"/>
    <n v="2975"/>
    <n v="2"/>
    <n v="43.5"/>
  </r>
  <r>
    <s v="GRU/TJA"/>
    <s v="TJA"/>
    <x v="1"/>
    <x v="0"/>
    <x v="68"/>
    <x v="1"/>
    <s v="Tarija - Cap. Oriel Lea Plaza"/>
    <n v="1884"/>
    <n v="6.25"/>
    <m/>
    <n v="0"/>
    <m/>
    <n v="0"/>
    <n v="0"/>
  </r>
  <r>
    <s v="GRU/TLC"/>
    <s v="TLC"/>
    <x v="0"/>
    <x v="1"/>
    <x v="12"/>
    <x v="2"/>
    <s v="Mexico City - Toluca-A.Lopez Mateos"/>
    <n v="7470"/>
    <n v="18.75"/>
    <n v="211355805"/>
    <n v="78454.270601336306"/>
    <n v="2694"/>
    <n v="2"/>
    <n v="37.5"/>
  </r>
  <r>
    <s v="GRU/TLL"/>
    <s v="TLL"/>
    <x v="1"/>
    <x v="1"/>
    <x v="142"/>
    <x v="3"/>
    <s v="Tallinn - Lennart Meri"/>
    <n v="11244"/>
    <n v="27"/>
    <m/>
    <n v="0"/>
    <m/>
    <n v="0"/>
    <n v="0"/>
  </r>
  <r>
    <s v="GRU/TLS"/>
    <s v="TLS"/>
    <x v="0"/>
    <x v="2"/>
    <x v="50"/>
    <x v="3"/>
    <s v="Toulouse - Blagnac"/>
    <n v="8912"/>
    <n v="21.75"/>
    <n v="238723381"/>
    <n v="105257.22266313933"/>
    <n v="2268"/>
    <n v="1"/>
    <n v="21.75"/>
  </r>
  <r>
    <s v="GRU/TLV"/>
    <s v="TLV"/>
    <x v="0"/>
    <x v="2"/>
    <x v="82"/>
    <x v="4"/>
    <s v="Tel Aviv - Ben Gurion Intl"/>
    <n v="10609"/>
    <n v="25.5"/>
    <n v="259955164"/>
    <n v="79278.793534614219"/>
    <n v="3279"/>
    <n v="2"/>
    <n v="51"/>
  </r>
  <r>
    <s v="GRU/TMR"/>
    <s v="TMR"/>
    <x v="1"/>
    <x v="0"/>
    <x v="18"/>
    <x v="0"/>
    <s v="Tamanrasset - Aguenar"/>
    <n v="7611"/>
    <n v="19"/>
    <m/>
    <n v="0"/>
    <m/>
    <n v="0"/>
    <n v="0"/>
  </r>
  <r>
    <s v="GRU/TMX"/>
    <s v="TMX"/>
    <x v="1"/>
    <x v="3"/>
    <x v="18"/>
    <x v="0"/>
    <s v="Timimoun"/>
    <n v="7701"/>
    <n v="19.25"/>
    <m/>
    <n v="0"/>
    <m/>
    <n v="0"/>
    <n v="0"/>
  </r>
  <r>
    <s v="GRU/TNG"/>
    <s v="TNG"/>
    <x v="1"/>
    <x v="0"/>
    <x v="29"/>
    <x v="0"/>
    <s v="Tangier - Boukhalef Airport"/>
    <n v="7841"/>
    <n v="19.5"/>
    <m/>
    <n v="0"/>
    <m/>
    <n v="0"/>
    <n v="0"/>
  </r>
  <r>
    <s v="GRU/TNR"/>
    <s v="TNR"/>
    <x v="1"/>
    <x v="0"/>
    <x v="143"/>
    <x v="0"/>
    <s v="Antananarivo - Ivato Intl"/>
    <n v="9574"/>
    <n v="23.25"/>
    <m/>
    <n v="0"/>
    <m/>
    <n v="0"/>
    <n v="0"/>
  </r>
  <r>
    <s v="GRU/TOE"/>
    <s v="TOE"/>
    <x v="1"/>
    <x v="0"/>
    <x v="75"/>
    <x v="0"/>
    <s v="Tozeur - Nefta"/>
    <n v="8602"/>
    <n v="21.25"/>
    <m/>
    <n v="0"/>
    <m/>
    <n v="0"/>
    <n v="0"/>
  </r>
  <r>
    <s v="GRU/TOL"/>
    <s v="TOL"/>
    <x v="1"/>
    <x v="0"/>
    <x v="21"/>
    <x v="2"/>
    <s v="Toledo - Metropolitan Area"/>
    <n v="8190"/>
    <n v="20.25"/>
    <m/>
    <n v="0"/>
    <m/>
    <n v="0"/>
    <n v="0"/>
  </r>
  <r>
    <s v="GRU/TPA"/>
    <s v="TPA"/>
    <x v="1"/>
    <x v="2"/>
    <x v="21"/>
    <x v="2"/>
    <s v="Tampa - Metropolitan Area"/>
    <n v="6903"/>
    <n v="17.5"/>
    <m/>
    <n v="0"/>
    <m/>
    <n v="0"/>
    <n v="0"/>
  </r>
  <r>
    <s v="GRU/TRD"/>
    <s v="TRD"/>
    <x v="0"/>
    <x v="1"/>
    <x v="54"/>
    <x v="3"/>
    <s v="Trondheim - Vaernes"/>
    <n v="10872"/>
    <n v="26.25"/>
    <n v="250072984"/>
    <n v="82915.445623342181"/>
    <n v="3016"/>
    <n v="2"/>
    <n v="52.5"/>
  </r>
  <r>
    <s v="GRU/TRF"/>
    <s v="TRF"/>
    <x v="1"/>
    <x v="1"/>
    <x v="54"/>
    <x v="3"/>
    <s v="Oslo - Sandefjord-Torp"/>
    <n v="10544"/>
    <n v="25.5"/>
    <m/>
    <n v="0"/>
    <m/>
    <n v="0"/>
    <n v="0"/>
  </r>
  <r>
    <s v="GRU/TRN"/>
    <s v="TRN"/>
    <x v="1"/>
    <x v="1"/>
    <x v="32"/>
    <x v="3"/>
    <s v="Turin - Caselle"/>
    <n v="9392"/>
    <n v="23"/>
    <m/>
    <n v="0"/>
    <m/>
    <n v="0"/>
    <n v="0"/>
  </r>
  <r>
    <s v="GRU/TRS"/>
    <s v="TRS"/>
    <x v="1"/>
    <x v="0"/>
    <x v="32"/>
    <x v="3"/>
    <s v="Trieste - Ronchi dei Legionari"/>
    <n v="9785"/>
    <n v="23.75"/>
    <m/>
    <n v="0"/>
    <m/>
    <n v="0"/>
    <n v="0"/>
  </r>
  <r>
    <s v="GRU/TRU"/>
    <s v="TRU"/>
    <x v="0"/>
    <x v="0"/>
    <x v="1"/>
    <x v="1"/>
    <s v="Trujillo - C.Martinez de Pinillos"/>
    <n v="3874"/>
    <n v="10.75"/>
    <m/>
    <n v="0"/>
    <m/>
    <n v="0"/>
    <n v="0"/>
  </r>
  <r>
    <s v="GRU/TSR"/>
    <s v="TSR"/>
    <x v="1"/>
    <x v="0"/>
    <x v="46"/>
    <x v="3"/>
    <s v="Timisoara - Traian Vuia"/>
    <n v="10287"/>
    <n v="25"/>
    <m/>
    <n v="0"/>
    <m/>
    <n v="0"/>
    <n v="0"/>
  </r>
  <r>
    <s v="GRU/TUC"/>
    <s v="TUC"/>
    <x v="1"/>
    <x v="0"/>
    <x v="9"/>
    <x v="1"/>
    <s v="Tucuman - Benjamin Matienzo"/>
    <n v="1912"/>
    <n v="6.25"/>
    <m/>
    <n v="0"/>
    <m/>
    <n v="0"/>
    <n v="0"/>
  </r>
  <r>
    <s v="GRU/TUI"/>
    <s v="TUI"/>
    <x v="1"/>
    <x v="3"/>
    <x v="22"/>
    <x v="4"/>
    <s v="Turaif"/>
    <n v="10928"/>
    <n v="26.25"/>
    <m/>
    <n v="0"/>
    <m/>
    <n v="0"/>
    <n v="0"/>
  </r>
  <r>
    <s v="GRU/TUL"/>
    <s v="TUL"/>
    <x v="1"/>
    <x v="1"/>
    <x v="21"/>
    <x v="2"/>
    <s v="Tulsa - Metropolitan Area"/>
    <n v="8421"/>
    <n v="20.75"/>
    <m/>
    <n v="0"/>
    <m/>
    <n v="0"/>
    <n v="0"/>
  </r>
  <r>
    <s v="GRU/TUN"/>
    <s v="TUN"/>
    <x v="0"/>
    <x v="1"/>
    <x v="75"/>
    <x v="0"/>
    <s v="Tunis - Carthage"/>
    <n v="8956"/>
    <n v="22"/>
    <n v="231297980"/>
    <n v="69941.935288781373"/>
    <n v="3307"/>
    <n v="2"/>
    <n v="44"/>
  </r>
  <r>
    <s v="GRU/TUS"/>
    <s v="TUS"/>
    <x v="1"/>
    <x v="1"/>
    <x v="21"/>
    <x v="2"/>
    <s v="Tucson - Metropolitan Area"/>
    <n v="9221"/>
    <n v="22.5"/>
    <m/>
    <n v="0"/>
    <m/>
    <n v="0"/>
    <n v="0"/>
  </r>
  <r>
    <s v="GRU/TUU"/>
    <s v="TUU"/>
    <x v="1"/>
    <x v="0"/>
    <x v="22"/>
    <x v="4"/>
    <s v="Tabuk"/>
    <n v="10595"/>
    <n v="25.5"/>
    <m/>
    <n v="0"/>
    <m/>
    <n v="0"/>
    <n v="0"/>
  </r>
  <r>
    <s v="GRU/TXL"/>
    <s v="TXL"/>
    <x v="0"/>
    <x v="2"/>
    <x v="69"/>
    <x v="3"/>
    <s v="Berlin - Tegel"/>
    <n v="10231"/>
    <n v="24.75"/>
    <n v="259806769"/>
    <n v="83754.599935525461"/>
    <n v="3102"/>
    <n v="2"/>
    <n v="49.5"/>
  </r>
  <r>
    <s v="GRU/UFA"/>
    <s v="UFA"/>
    <x v="1"/>
    <x v="0"/>
    <x v="28"/>
    <x v="3"/>
    <s v="Ufa"/>
    <n v="12897"/>
    <n v="30.75"/>
    <m/>
    <n v="0"/>
    <m/>
    <n v="0"/>
    <n v="0"/>
  </r>
  <r>
    <s v="GRU/UIO"/>
    <s v="UIO"/>
    <x v="1"/>
    <x v="1"/>
    <x v="93"/>
    <x v="1"/>
    <s v="Quito - Mariscal Sucre Intl"/>
    <n v="4320"/>
    <n v="11.75"/>
    <m/>
    <n v="0"/>
    <m/>
    <n v="0"/>
    <n v="0"/>
  </r>
  <r>
    <s v="GRU/ULU"/>
    <s v="ULU"/>
    <x v="1"/>
    <x v="3"/>
    <x v="79"/>
    <x v="0"/>
    <s v="Gulu"/>
    <n v="8989"/>
    <n v="22"/>
    <m/>
    <n v="0"/>
    <m/>
    <n v="0"/>
    <n v="0"/>
  </r>
  <r>
    <s v="GRU/ULY"/>
    <s v="ULY"/>
    <x v="1"/>
    <x v="0"/>
    <x v="28"/>
    <x v="3"/>
    <s v="Ulyanovsk - Vostochny"/>
    <n v="12442"/>
    <n v="29.75"/>
    <m/>
    <n v="0"/>
    <m/>
    <n v="0"/>
    <n v="0"/>
  </r>
  <r>
    <s v="GRU/URY"/>
    <s v="URY"/>
    <x v="1"/>
    <x v="0"/>
    <x v="22"/>
    <x v="4"/>
    <s v="Gurayat"/>
    <n v="10789"/>
    <n v="26"/>
    <m/>
    <n v="0"/>
    <m/>
    <n v="0"/>
    <n v="0"/>
  </r>
  <r>
    <s v="GRU/UTN"/>
    <s v="UTN"/>
    <x v="1"/>
    <x v="3"/>
    <x v="72"/>
    <x v="0"/>
    <s v="Upington"/>
    <n v="6709"/>
    <n v="17"/>
    <m/>
    <n v="0"/>
    <m/>
    <n v="0"/>
    <n v="0"/>
  </r>
  <r>
    <s v="GRU/UYL"/>
    <s v="UYL"/>
    <x v="0"/>
    <x v="3"/>
    <x v="80"/>
    <x v="0"/>
    <s v="Nyala"/>
    <n v="8708"/>
    <n v="21.5"/>
    <n v="203876206"/>
    <n v="59963.59"/>
    <n v="3400"/>
    <n v="2"/>
    <n v="43"/>
  </r>
  <r>
    <s v="GRU/VAS"/>
    <s v="VAS"/>
    <x v="1"/>
    <x v="0"/>
    <x v="25"/>
    <x v="4"/>
    <s v="Sivas"/>
    <n v="11119"/>
    <n v="26.75"/>
    <m/>
    <n v="0"/>
    <m/>
    <n v="0"/>
    <n v="0"/>
  </r>
  <r>
    <s v="GRU/VBS"/>
    <s v="VBS"/>
    <x v="1"/>
    <x v="0"/>
    <x v="32"/>
    <x v="3"/>
    <s v="Verona - Brescia/Montichiari"/>
    <n v="9568"/>
    <n v="23.25"/>
    <m/>
    <n v="0"/>
    <m/>
    <n v="0"/>
    <n v="0"/>
  </r>
  <r>
    <s v="GRU/VCE"/>
    <s v="VCE"/>
    <x v="0"/>
    <x v="2"/>
    <x v="32"/>
    <x v="3"/>
    <s v="Venice - Metropolitan Area"/>
    <n v="9696"/>
    <n v="23.5"/>
    <n v="245200450"/>
    <n v="95297.49319860086"/>
    <n v="2573"/>
    <n v="1"/>
    <n v="23.5"/>
  </r>
  <r>
    <s v="GRU/VCP"/>
    <s v="VCP"/>
    <x v="1"/>
    <x v="1"/>
    <x v="3"/>
    <x v="1"/>
    <s v="Sao Paulo - Viracopos-Campinas Int"/>
    <n v="83"/>
    <n v="2.25"/>
    <m/>
    <n v="0"/>
    <m/>
    <n v="0"/>
    <n v="0"/>
  </r>
  <r>
    <s v="GRU/VCT"/>
    <s v="VCT"/>
    <x v="1"/>
    <x v="3"/>
    <x v="21"/>
    <x v="2"/>
    <s v="Victoria - Regional"/>
    <n v="7936"/>
    <n v="19.75"/>
    <m/>
    <n v="0"/>
    <m/>
    <n v="0"/>
    <n v="0"/>
  </r>
  <r>
    <s v="GRU/VDA"/>
    <s v="VDA"/>
    <x v="1"/>
    <x v="0"/>
    <x v="82"/>
    <x v="4"/>
    <s v="Ovda - Airport"/>
    <n v="10518"/>
    <n v="25.5"/>
    <m/>
    <n v="0"/>
    <m/>
    <n v="0"/>
    <n v="0"/>
  </r>
  <r>
    <s v="GRU/VHC"/>
    <s v="VHC"/>
    <x v="2"/>
    <x v="3"/>
    <x v="14"/>
    <x v="0"/>
    <s v="Saurimo"/>
    <n v="7235"/>
    <n v="18.25"/>
    <n v="185442183"/>
    <n v="60522.905678851173"/>
    <n v="3064"/>
    <n v="2"/>
    <n v="36.5"/>
  </r>
  <r>
    <s v="GRU/VIE"/>
    <s v="VIE"/>
    <x v="0"/>
    <x v="4"/>
    <x v="90"/>
    <x v="3"/>
    <s v="Vienna - Schwechat Intl"/>
    <n v="10126"/>
    <n v="24.5"/>
    <n v="263708787"/>
    <n v="80154.646504559278"/>
    <n v="3290"/>
    <n v="2"/>
    <n v="49"/>
  </r>
  <r>
    <s v="GRU/VIL"/>
    <s v="VIL"/>
    <x v="1"/>
    <x v="3"/>
    <x v="29"/>
    <x v="0"/>
    <s v="Dakhla"/>
    <n v="6194"/>
    <n v="15.75"/>
    <m/>
    <n v="0"/>
    <m/>
    <n v="0"/>
    <n v="0"/>
  </r>
  <r>
    <s v="GRU/VIT"/>
    <s v="VIT"/>
    <x v="1"/>
    <x v="3"/>
    <x v="30"/>
    <x v="3"/>
    <s v="Vitoria - Airport"/>
    <n v="8628"/>
    <n v="21.25"/>
    <m/>
    <n v="0"/>
    <m/>
    <n v="0"/>
    <n v="0"/>
  </r>
  <r>
    <s v="GRU/VKO"/>
    <s v="VKO"/>
    <x v="0"/>
    <x v="2"/>
    <x v="28"/>
    <x v="3"/>
    <s v="Moscow - Vnukovo"/>
    <n v="11762"/>
    <n v="28.25"/>
    <n v="266265669"/>
    <n v="70702.514338821027"/>
    <n v="3766"/>
    <n v="2"/>
    <n v="56.5"/>
  </r>
  <r>
    <s v="GRU/VLC"/>
    <s v="VLC"/>
    <x v="1"/>
    <x v="1"/>
    <x v="30"/>
    <x v="3"/>
    <s v="Valencia - Airport"/>
    <n v="8472"/>
    <n v="21"/>
    <m/>
    <n v="0"/>
    <m/>
    <n v="0"/>
    <n v="0"/>
  </r>
  <r>
    <s v="GRU/VLL"/>
    <s v="VLL"/>
    <x v="1"/>
    <x v="0"/>
    <x v="30"/>
    <x v="3"/>
    <s v="Valladolid - Airport"/>
    <n v="8416"/>
    <n v="20.75"/>
    <m/>
    <n v="0"/>
    <m/>
    <n v="0"/>
    <n v="0"/>
  </r>
  <r>
    <s v="GRU/VOL"/>
    <s v="VOL"/>
    <x v="1"/>
    <x v="3"/>
    <x v="41"/>
    <x v="3"/>
    <s v="Volos - Nea Anchialos"/>
    <n v="10008"/>
    <n v="24.25"/>
    <m/>
    <n v="0"/>
    <m/>
    <n v="0"/>
    <n v="0"/>
  </r>
  <r>
    <s v="GRU/VPS"/>
    <s v="VPS"/>
    <x v="1"/>
    <x v="0"/>
    <x v="21"/>
    <x v="2"/>
    <s v="Destin/Ft Walton Beach - Metropolitan Area"/>
    <n v="7363"/>
    <n v="18.5"/>
    <m/>
    <n v="0"/>
    <m/>
    <n v="0"/>
    <n v="0"/>
  </r>
  <r>
    <s v="GRU/VRN"/>
    <s v="VRN"/>
    <x v="1"/>
    <x v="1"/>
    <x v="32"/>
    <x v="3"/>
    <s v="Verona - Metropolitan Area"/>
    <n v="9599"/>
    <n v="23.5"/>
    <m/>
    <n v="0"/>
    <m/>
    <n v="0"/>
    <n v="0"/>
  </r>
  <r>
    <s v="GRU/VVI"/>
    <s v="VVI"/>
    <x v="1"/>
    <x v="0"/>
    <x v="68"/>
    <x v="1"/>
    <s v="Santa Cruz - Viru Viru Intl"/>
    <n v="1850"/>
    <n v="6.25"/>
    <m/>
    <n v="0"/>
    <m/>
    <n v="0"/>
    <n v="0"/>
  </r>
  <r>
    <s v="GRU/VVZ"/>
    <s v="VVZ"/>
    <x v="1"/>
    <x v="3"/>
    <x v="18"/>
    <x v="0"/>
    <s v="Illizi - Takhamalt"/>
    <n v="8133"/>
    <n v="20.25"/>
    <m/>
    <n v="0"/>
    <m/>
    <n v="0"/>
    <n v="0"/>
  </r>
  <r>
    <s v="GRU/WAE"/>
    <s v="WAE"/>
    <x v="1"/>
    <x v="0"/>
    <x v="22"/>
    <x v="4"/>
    <s v="Wadi al Dawaser"/>
    <n v="11061"/>
    <n v="26.5"/>
    <m/>
    <n v="0"/>
    <m/>
    <n v="0"/>
    <n v="0"/>
  </r>
  <r>
    <s v="GRU/WAW"/>
    <s v="WAW"/>
    <x v="0"/>
    <x v="2"/>
    <x v="89"/>
    <x v="3"/>
    <s v="Warsaw - Frederic Chopin"/>
    <n v="10636"/>
    <n v="25.75"/>
    <n v="257697195"/>
    <n v="74371.484848484848"/>
    <n v="3465"/>
    <n v="2"/>
    <n v="51.5"/>
  </r>
  <r>
    <s v="GRU/WDH"/>
    <s v="WDH"/>
    <x v="1"/>
    <x v="0"/>
    <x v="124"/>
    <x v="0"/>
    <s v="Windhoek - Metropolitan Area"/>
    <n v="6490"/>
    <n v="16.5"/>
    <m/>
    <n v="0"/>
    <m/>
    <n v="0"/>
    <n v="0"/>
  </r>
  <r>
    <s v="GRU/XCR"/>
    <s v="XCR"/>
    <x v="1"/>
    <x v="3"/>
    <x v="50"/>
    <x v="3"/>
    <s v="Paris - Chalons-Vatry"/>
    <n v="9473"/>
    <n v="23"/>
    <m/>
    <n v="0"/>
    <m/>
    <n v="0"/>
    <n v="0"/>
  </r>
  <r>
    <s v="GRU/YBG"/>
    <s v="YBG"/>
    <x v="1"/>
    <x v="0"/>
    <x v="144"/>
    <x v="2"/>
    <s v="Saguenay-Bagotville"/>
    <n v="8348"/>
    <n v="20.5"/>
    <m/>
    <n v="0"/>
    <m/>
    <n v="0"/>
    <n v="0"/>
  </r>
  <r>
    <s v="GRU/YEG"/>
    <s v="YEG"/>
    <x v="0"/>
    <x v="2"/>
    <x v="144"/>
    <x v="2"/>
    <s v="Edmonton - International"/>
    <n v="10685"/>
    <n v="25.75"/>
    <n v="254347160"/>
    <n v="93785.825958702058"/>
    <n v="2712"/>
    <n v="2"/>
    <n v="51.5"/>
  </r>
  <r>
    <s v="GRU/YEI"/>
    <s v="YEI"/>
    <x v="1"/>
    <x v="3"/>
    <x v="25"/>
    <x v="4"/>
    <s v="Bursa - Yenisehir"/>
    <n v="10571"/>
    <n v="25.5"/>
    <m/>
    <n v="0"/>
    <m/>
    <n v="0"/>
    <n v="0"/>
  </r>
  <r>
    <s v="GRU/YHM"/>
    <s v="YHM"/>
    <x v="1"/>
    <x v="0"/>
    <x v="144"/>
    <x v="2"/>
    <s v="Toronto - John C. Munro Hamilton"/>
    <n v="8161"/>
    <n v="20.25"/>
    <m/>
    <n v="0"/>
    <m/>
    <n v="0"/>
    <n v="0"/>
  </r>
  <r>
    <s v="GRU/YJT"/>
    <s v="YJT"/>
    <x v="1"/>
    <x v="3"/>
    <x v="144"/>
    <x v="2"/>
    <s v="Stephenville - International"/>
    <n v="8095"/>
    <n v="20"/>
    <m/>
    <n v="0"/>
    <m/>
    <n v="0"/>
    <n v="0"/>
  </r>
  <r>
    <s v="GRU/YNB"/>
    <s v="YNB"/>
    <x v="1"/>
    <x v="0"/>
    <x v="22"/>
    <x v="4"/>
    <s v="Yanbu al Bahr"/>
    <n v="10538"/>
    <n v="25.5"/>
    <m/>
    <n v="0"/>
    <m/>
    <n v="0"/>
    <n v="0"/>
  </r>
  <r>
    <s v="GRU/YOL"/>
    <s v="YOL"/>
    <x v="1"/>
    <x v="3"/>
    <x v="11"/>
    <x v="0"/>
    <s v="Yola"/>
    <n v="7361"/>
    <n v="18.5"/>
    <m/>
    <n v="0"/>
    <m/>
    <n v="0"/>
    <n v="0"/>
  </r>
  <r>
    <s v="GRU/YOW"/>
    <s v="YOW"/>
    <x v="1"/>
    <x v="1"/>
    <x v="144"/>
    <x v="2"/>
    <s v="Ottawa - Metropolitan Area"/>
    <n v="8199"/>
    <n v="20.25"/>
    <m/>
    <n v="0"/>
    <m/>
    <n v="0"/>
    <n v="0"/>
  </r>
  <r>
    <s v="GRU/YQQ"/>
    <s v="YQQ"/>
    <x v="1"/>
    <x v="0"/>
    <x v="144"/>
    <x v="2"/>
    <s v="Comox"/>
    <n v="11191"/>
    <n v="27"/>
    <m/>
    <n v="0"/>
    <m/>
    <n v="0"/>
    <n v="0"/>
  </r>
  <r>
    <s v="GRU/YQX"/>
    <s v="YQX"/>
    <x v="1"/>
    <x v="0"/>
    <x v="144"/>
    <x v="2"/>
    <s v="Gander - International"/>
    <n v="8089"/>
    <n v="20"/>
    <m/>
    <n v="0"/>
    <m/>
    <n v="0"/>
    <n v="0"/>
  </r>
  <r>
    <s v="GRU/YUL"/>
    <s v="YUL"/>
    <x v="0"/>
    <x v="2"/>
    <x v="144"/>
    <x v="2"/>
    <s v="Montreal - Pierre E.Trudeau Intl"/>
    <n v="8145"/>
    <n v="20.25"/>
    <n v="237535016"/>
    <n v="92932.322378716752"/>
    <n v="2556"/>
    <n v="1"/>
    <n v="20.25"/>
  </r>
  <r>
    <s v="GRU/YUM"/>
    <s v="YUM"/>
    <x v="1"/>
    <x v="0"/>
    <x v="21"/>
    <x v="2"/>
    <s v="Yuma - Metropolitan Area"/>
    <n v="9544"/>
    <n v="23.25"/>
    <m/>
    <n v="0"/>
    <m/>
    <n v="0"/>
    <n v="0"/>
  </r>
  <r>
    <s v="GRU/YVO"/>
    <s v="YVO"/>
    <x v="1"/>
    <x v="0"/>
    <x v="144"/>
    <x v="2"/>
    <s v="Val d'Or"/>
    <n v="8543"/>
    <n v="21"/>
    <m/>
    <n v="0"/>
    <m/>
    <n v="0"/>
    <n v="0"/>
  </r>
  <r>
    <s v="GRU/YVR"/>
    <s v="YVR"/>
    <x v="0"/>
    <x v="2"/>
    <x v="144"/>
    <x v="2"/>
    <s v="Vancouver - Metropolitan Area"/>
    <n v="11055"/>
    <n v="26.5"/>
    <n v="271422345"/>
    <n v="89845.198609731873"/>
    <n v="3021"/>
    <n v="2"/>
    <n v="53"/>
  </r>
  <r>
    <s v="GRU/YWG"/>
    <s v="YWG"/>
    <x v="1"/>
    <x v="1"/>
    <x v="144"/>
    <x v="2"/>
    <s v="Winnipeg - J.A. Richardson Intl"/>
    <n v="9567"/>
    <n v="23.25"/>
    <m/>
    <n v="0"/>
    <m/>
    <n v="0"/>
    <n v="0"/>
  </r>
  <r>
    <s v="GRU/YXS"/>
    <s v="YXS"/>
    <x v="1"/>
    <x v="0"/>
    <x v="144"/>
    <x v="2"/>
    <s v="Prince George - Airport"/>
    <n v="11243"/>
    <n v="27"/>
    <m/>
    <n v="0"/>
    <m/>
    <n v="0"/>
    <n v="0"/>
  </r>
  <r>
    <s v="GRU/YXX"/>
    <s v="YXX"/>
    <x v="1"/>
    <x v="0"/>
    <x v="144"/>
    <x v="2"/>
    <s v="Abbotsford - International"/>
    <n v="10993"/>
    <n v="26.5"/>
    <m/>
    <n v="0"/>
    <m/>
    <n v="0"/>
    <n v="0"/>
  </r>
  <r>
    <s v="GRU/YXY"/>
    <s v="YXY"/>
    <x v="1"/>
    <x v="0"/>
    <x v="144"/>
    <x v="2"/>
    <s v="Whitehorse - Erik Nielsen Intl"/>
    <n v="12193"/>
    <n v="29.25"/>
    <m/>
    <n v="0"/>
    <m/>
    <n v="0"/>
    <n v="0"/>
  </r>
  <r>
    <s v="GRU/YYB"/>
    <s v="YYB"/>
    <x v="1"/>
    <x v="3"/>
    <x v="144"/>
    <x v="2"/>
    <s v="North Bay - Jack Garland"/>
    <n v="8443"/>
    <n v="20.75"/>
    <m/>
    <n v="0"/>
    <m/>
    <n v="0"/>
    <n v="0"/>
  </r>
  <r>
    <s v="GRU/YYC"/>
    <s v="YYC"/>
    <x v="0"/>
    <x v="2"/>
    <x v="144"/>
    <x v="2"/>
    <s v="Calgary - International"/>
    <n v="10582"/>
    <n v="25.5"/>
    <n v="261842799"/>
    <n v="90135.214802065399"/>
    <n v="2905"/>
    <n v="2"/>
    <n v="51"/>
  </r>
  <r>
    <s v="GRU/YYQ"/>
    <s v="YYQ"/>
    <x v="1"/>
    <x v="0"/>
    <x v="144"/>
    <x v="2"/>
    <s v="Churchill - Airport"/>
    <n v="10130"/>
    <n v="24.5"/>
    <m/>
    <n v="0"/>
    <m/>
    <n v="0"/>
    <n v="0"/>
  </r>
  <r>
    <s v="GRU/YYR"/>
    <s v="YYR"/>
    <x v="1"/>
    <x v="0"/>
    <x v="144"/>
    <x v="2"/>
    <s v="Goose Bay"/>
    <n v="8642"/>
    <n v="21.25"/>
    <m/>
    <n v="0"/>
    <m/>
    <n v="0"/>
    <n v="0"/>
  </r>
  <r>
    <s v="GRU/YYZ"/>
    <s v="YYZ"/>
    <x v="0"/>
    <x v="4"/>
    <x v="144"/>
    <x v="2"/>
    <s v="Toronto - Lester B. Pearson Intl"/>
    <n v="8196"/>
    <n v="20.25"/>
    <n v="252301345"/>
    <n v="85352.281799729361"/>
    <n v="2956"/>
    <n v="2"/>
    <n v="40.5"/>
  </r>
  <r>
    <s v="GRU/ZAG"/>
    <s v="ZAG"/>
    <x v="0"/>
    <x v="1"/>
    <x v="74"/>
    <x v="3"/>
    <s v="Zagreb - Franjo Tudman"/>
    <n v="9943"/>
    <n v="24.25"/>
    <n v="234955007"/>
    <n v="83554.41216216216"/>
    <n v="2812"/>
    <n v="2"/>
    <n v="48.5"/>
  </r>
  <r>
    <s v="GRU/ZAZ"/>
    <s v="ZAZ"/>
    <x v="1"/>
    <x v="0"/>
    <x v="30"/>
    <x v="3"/>
    <s v="Zaragoza - Airport"/>
    <n v="8618"/>
    <n v="21.25"/>
    <m/>
    <n v="0"/>
    <m/>
    <n v="0"/>
    <n v="0"/>
  </r>
  <r>
    <s v="GRU/ZCL"/>
    <s v="ZCL"/>
    <x v="1"/>
    <x v="0"/>
    <x v="12"/>
    <x v="2"/>
    <s v="Zacatecas - Leobardo C. Ruiz Intl"/>
    <n v="7966"/>
    <n v="19.75"/>
    <m/>
    <n v="0"/>
    <m/>
    <n v="0"/>
    <n v="0"/>
  </r>
  <r>
    <s v="GRU/ZQW"/>
    <s v="ZQW"/>
    <x v="1"/>
    <x v="0"/>
    <x v="69"/>
    <x v="3"/>
    <s v="Saarbruecken - Zweibruecken"/>
    <n v="9676"/>
    <n v="23.5"/>
    <m/>
    <n v="0"/>
    <m/>
    <n v="0"/>
    <n v="0"/>
  </r>
  <r>
    <s v="GRU/ZRH"/>
    <s v="ZRH"/>
    <x v="0"/>
    <x v="4"/>
    <x v="63"/>
    <x v="3"/>
    <s v="Zurich - Airport"/>
    <n v="9610"/>
    <n v="23.5"/>
    <n v="260350106"/>
    <n v="95857.918262150226"/>
    <n v="2716"/>
    <n v="2"/>
    <n v="4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1">
  <r>
    <s v="DME/ABS"/>
    <s v="ABS"/>
    <x v="0"/>
    <x v="0"/>
    <x v="0"/>
    <x v="0"/>
    <s v="Abu Simbel"/>
    <n v="3710"/>
    <n v="10.5"/>
    <n v="158533329"/>
    <n v="48749.486162361623"/>
    <n v="3252"/>
    <n v="2"/>
    <n v="353.33333333333331"/>
    <n v="21"/>
  </r>
  <r>
    <s v="DME/RMF"/>
    <s v="RMF"/>
    <x v="0"/>
    <x v="0"/>
    <x v="0"/>
    <x v="0"/>
    <s v="Marsa Alam - International"/>
    <n v="3331"/>
    <n v="9.5"/>
    <n v="156642049"/>
    <n v="44857.40234822451"/>
    <n v="3492"/>
    <n v="3"/>
    <n v="350.63157894736844"/>
    <n v="28.5"/>
  </r>
  <r>
    <s v="DME/ATZ"/>
    <s v="ATZ"/>
    <x v="0"/>
    <x v="0"/>
    <x v="0"/>
    <x v="0"/>
    <s v="Asyut"/>
    <n v="3203"/>
    <n v="9.25"/>
    <n v="149454078"/>
    <n v="45482.068776628119"/>
    <n v="3286"/>
    <n v="2"/>
    <n v="346.27027027027026"/>
    <n v="18.5"/>
  </r>
  <r>
    <s v="DME/TCP"/>
    <s v="TCP"/>
    <x v="0"/>
    <x v="0"/>
    <x v="0"/>
    <x v="0"/>
    <s v="Taba - International"/>
    <n v="2882"/>
    <n v="8.5"/>
    <n v="144011577"/>
    <n v="44933.409360374419"/>
    <n v="3205"/>
    <n v="2"/>
    <n v="339.05882352941177"/>
    <n v="17"/>
  </r>
  <r>
    <s v="DME/HBE"/>
    <s v="HBE"/>
    <x v="0"/>
    <x v="0"/>
    <x v="0"/>
    <x v="0"/>
    <s v="Alexandria - Borg el Arab"/>
    <n v="2799"/>
    <n v="8.5"/>
    <n v="143538403"/>
    <n v="44563.304253337476"/>
    <n v="3221"/>
    <n v="2"/>
    <n v="329.29411764705884"/>
    <n v="17"/>
  </r>
  <r>
    <s v="DME/AAC"/>
    <s v="AAC"/>
    <x v="0"/>
    <x v="1"/>
    <x v="0"/>
    <x v="0"/>
    <s v="El Arish - International"/>
    <n v="2725"/>
    <n v="8.25"/>
    <n v="132478488"/>
    <n v="46256.455307262571"/>
    <n v="2864"/>
    <n v="2"/>
    <n v="330.30303030303031"/>
    <n v="16.5"/>
  </r>
  <r>
    <s v="DME/RSW"/>
    <s v="RSW"/>
    <x v="1"/>
    <x v="2"/>
    <x v="1"/>
    <x v="1"/>
    <s v="Fort Myers - Southwest Florida Intl"/>
    <n v="9266"/>
    <n v="23"/>
    <n v="238333852"/>
    <n v="106067.57988429017"/>
    <n v="2247"/>
    <n v="2"/>
    <n v="402.86956521739131"/>
    <n v="46"/>
  </r>
  <r>
    <s v="DME/TPA"/>
    <s v="TPA"/>
    <x v="1"/>
    <x v="2"/>
    <x v="1"/>
    <x v="1"/>
    <s v="Tampa - Metropolitan Area"/>
    <n v="9165"/>
    <n v="22.75"/>
    <n v="247856713"/>
    <n v="102462.46920214964"/>
    <n v="2419"/>
    <n v="2"/>
    <n v="402.85714285714283"/>
    <n v="45.5"/>
  </r>
  <r>
    <s v="DME/MEM"/>
    <s v="MEM"/>
    <x v="1"/>
    <x v="2"/>
    <x v="1"/>
    <x v="1"/>
    <s v="Memphis - International"/>
    <n v="8809"/>
    <n v="22"/>
    <n v="237613124"/>
    <n v="102818.31414971873"/>
    <n v="2311"/>
    <n v="2"/>
    <n v="400.40909090909093"/>
    <n v="44"/>
  </r>
  <r>
    <s v="DME/BWN"/>
    <s v="BWN"/>
    <x v="1"/>
    <x v="3"/>
    <x v="2"/>
    <x v="2"/>
    <s v="Bandar Seri Begawan - Brunei International"/>
    <n v="8740"/>
    <n v="21.75"/>
    <n v="216002206"/>
    <n v="93588.477469670717"/>
    <n v="2308"/>
    <n v="2"/>
    <n v="401.83908045977012"/>
    <n v="43.5"/>
  </r>
  <r>
    <s v="DME/PDX"/>
    <s v="PDX"/>
    <x v="1"/>
    <x v="2"/>
    <x v="1"/>
    <x v="1"/>
    <s v="Portland - International"/>
    <n v="8638"/>
    <n v="21.5"/>
    <n v="239061891"/>
    <n v="101211.63886536834"/>
    <n v="2362"/>
    <n v="2"/>
    <n v="401.76744186046511"/>
    <n v="43"/>
  </r>
  <r>
    <s v="DME/MCI"/>
    <s v="MCI"/>
    <x v="1"/>
    <x v="2"/>
    <x v="1"/>
    <x v="1"/>
    <s v="Kansas City - International"/>
    <n v="8571"/>
    <n v="21.25"/>
    <n v="234792494"/>
    <n v="101862.25336225597"/>
    <n v="2305"/>
    <n v="2"/>
    <n v="403.34117647058821"/>
    <n v="42.5"/>
  </r>
  <r>
    <s v="DME/BNA"/>
    <s v="BNA"/>
    <x v="1"/>
    <x v="2"/>
    <x v="1"/>
    <x v="1"/>
    <s v="Nashville - International"/>
    <n v="8563"/>
    <n v="21.25"/>
    <n v="233359514"/>
    <n v="102260.96143733567"/>
    <n v="2282"/>
    <n v="2"/>
    <n v="402.96470588235292"/>
    <n v="42.5"/>
  </r>
  <r>
    <s v="DME/STL"/>
    <s v="STL"/>
    <x v="1"/>
    <x v="2"/>
    <x v="1"/>
    <x v="1"/>
    <s v="St Louis - Metropolitan Area"/>
    <n v="8459"/>
    <n v="21"/>
    <n v="236518333"/>
    <n v="100646.09914893618"/>
    <n v="2350"/>
    <n v="2"/>
    <n v="402.8095238095238"/>
    <n v="42"/>
  </r>
  <r>
    <s v="DME/CVG"/>
    <s v="CVG"/>
    <x v="1"/>
    <x v="2"/>
    <x v="1"/>
    <x v="1"/>
    <s v="Cincinnati - Metropolitan Area"/>
    <n v="8193"/>
    <n v="20.5"/>
    <n v="231917588"/>
    <n v="100137.12780656305"/>
    <n v="2316"/>
    <n v="2"/>
    <n v="399.65853658536588"/>
    <n v="41"/>
  </r>
  <r>
    <s v="DME/YWG"/>
    <s v="YWG"/>
    <x v="1"/>
    <x v="3"/>
    <x v="3"/>
    <x v="1"/>
    <s v="Winnipeg - J.A. Richardson Intl"/>
    <n v="7591"/>
    <n v="19.25"/>
    <n v="212590195"/>
    <n v="95718.232778027916"/>
    <n v="2221"/>
    <n v="2"/>
    <n v="394.33766233766232"/>
    <n v="38.5"/>
  </r>
  <r>
    <s v="DME/KHH"/>
    <s v="KHH"/>
    <x v="1"/>
    <x v="3"/>
    <x v="4"/>
    <x v="2"/>
    <s v="Kaohsiung - International"/>
    <n v="7491"/>
    <n v="19"/>
    <n v="212680028"/>
    <n v="85516.698029754727"/>
    <n v="2487"/>
    <n v="2"/>
    <n v="394.26315789473682"/>
    <n v="38"/>
  </r>
  <r>
    <s v="DME/SDJ"/>
    <s v="SDJ"/>
    <x v="1"/>
    <x v="3"/>
    <x v="5"/>
    <x v="2"/>
    <s v="Sendai"/>
    <n v="7332"/>
    <n v="18.5"/>
    <n v="209023982"/>
    <n v="87275.149060542797"/>
    <n v="2395"/>
    <n v="2"/>
    <n v="396.32432432432432"/>
    <n v="37"/>
  </r>
  <r>
    <s v="DME/YOW"/>
    <s v="YOW"/>
    <x v="1"/>
    <x v="3"/>
    <x v="3"/>
    <x v="1"/>
    <s v="Ottawa - Metropolitan Area"/>
    <n v="7207"/>
    <n v="18.25"/>
    <n v="210439692"/>
    <n v="93321.371175166292"/>
    <n v="2255"/>
    <n v="2"/>
    <n v="394.90410958904107"/>
    <n v="36.5"/>
  </r>
  <r>
    <s v="DME/OIT"/>
    <s v="OIT"/>
    <x v="1"/>
    <x v="3"/>
    <x v="5"/>
    <x v="2"/>
    <s v="Oita"/>
    <n v="7230"/>
    <n v="18.25"/>
    <n v="202939774"/>
    <n v="89440.18245923314"/>
    <n v="2269"/>
    <n v="2"/>
    <n v="396.16438356164383"/>
    <n v="36.5"/>
  </r>
  <r>
    <s v="DME/NGS"/>
    <s v="NGS"/>
    <x v="1"/>
    <x v="3"/>
    <x v="5"/>
    <x v="2"/>
    <s v="Nagasaki Airport"/>
    <n v="7173"/>
    <n v="18.25"/>
    <n v="205462049"/>
    <n v="87617.078464818769"/>
    <n v="2345"/>
    <n v="2"/>
    <n v="393.04109589041099"/>
    <n v="36.5"/>
  </r>
  <r>
    <s v="DME/KMJ"/>
    <s v="KMJ"/>
    <x v="1"/>
    <x v="3"/>
    <x v="5"/>
    <x v="2"/>
    <s v="Kumamoto"/>
    <n v="7235"/>
    <n v="18.25"/>
    <n v="207733853"/>
    <n v="87063.64333612741"/>
    <n v="2386"/>
    <n v="2"/>
    <n v="396.43835616438355"/>
    <n v="36.5"/>
  </r>
  <r>
    <s v="DME/AOJ"/>
    <s v="AOJ"/>
    <x v="1"/>
    <x v="3"/>
    <x v="5"/>
    <x v="2"/>
    <s v="Aomori"/>
    <n v="7092"/>
    <n v="18"/>
    <n v="198399172"/>
    <n v="90551.881332724777"/>
    <n v="2191"/>
    <n v="1"/>
    <n v="394"/>
    <n v="18"/>
  </r>
  <r>
    <s v="DME/HKD"/>
    <s v="HKD"/>
    <x v="1"/>
    <x v="3"/>
    <x v="5"/>
    <x v="2"/>
    <s v="Hakodate"/>
    <n v="7009"/>
    <n v="17.75"/>
    <n v="201748077"/>
    <n v="87945.979511769838"/>
    <n v="2294"/>
    <n v="2"/>
    <n v="394.87323943661971"/>
    <n v="35.5"/>
  </r>
  <r>
    <s v="DME/TFS"/>
    <s v="TFS"/>
    <x v="1"/>
    <x v="2"/>
    <x v="6"/>
    <x v="3"/>
    <s v="Tenerife-Sur"/>
    <n v="5261"/>
    <n v="14"/>
    <n v="198484489"/>
    <n v="81815.535449299263"/>
    <n v="2426"/>
    <n v="2"/>
    <n v="375.78571428571428"/>
    <n v="28"/>
  </r>
  <r>
    <s v="DME/TFN"/>
    <s v="TFN"/>
    <x v="1"/>
    <x v="3"/>
    <x v="6"/>
    <x v="3"/>
    <s v="Tenerife-Norte"/>
    <n v="5208"/>
    <n v="13.75"/>
    <n v="190036934"/>
    <n v="83975.666813963762"/>
    <n v="2263"/>
    <n v="2"/>
    <n v="378.76363636363635"/>
    <n v="27.5"/>
  </r>
  <r>
    <s v="DME/LPA"/>
    <s v="LPA"/>
    <x v="1"/>
    <x v="2"/>
    <x v="6"/>
    <x v="3"/>
    <s v="Gran Canaria"/>
    <n v="5197"/>
    <n v="13.75"/>
    <n v="200496934"/>
    <n v="80845.537903225806"/>
    <n v="2480"/>
    <n v="2"/>
    <n v="377.96363636363634"/>
    <n v="27.5"/>
  </r>
  <r>
    <s v="DME/JED"/>
    <s v="JED"/>
    <x v="1"/>
    <x v="2"/>
    <x v="7"/>
    <x v="2"/>
    <s v="Jeddah - King Abdulaziz Intl"/>
    <n v="3752"/>
    <n v="10.5"/>
    <n v="190698689"/>
    <n v="52146.209734755263"/>
    <n v="3657"/>
    <n v="3"/>
    <n v="357.33333333333331"/>
    <n v="31.5"/>
  </r>
  <r>
    <s v="DME/AUH"/>
    <s v="AUH"/>
    <x v="1"/>
    <x v="2"/>
    <x v="8"/>
    <x v="2"/>
    <s v="Abu Dhabi - International"/>
    <n v="3708"/>
    <n v="10.5"/>
    <n v="183744438"/>
    <n v="58817.041613316258"/>
    <n v="3124"/>
    <n v="2"/>
    <n v="353.14285714285717"/>
    <n v="21"/>
  </r>
  <r>
    <s v="DME/LEI"/>
    <s v="LEI"/>
    <x v="1"/>
    <x v="0"/>
    <x v="6"/>
    <x v="3"/>
    <s v="Almeria - Airport"/>
    <n v="3651"/>
    <n v="10.25"/>
    <n v="162352028"/>
    <n v="69470.272999572102"/>
    <n v="2337"/>
    <n v="2"/>
    <n v="356.19512195121951"/>
    <n v="20.5"/>
  </r>
  <r>
    <s v="DME/TIP"/>
    <s v="TIP"/>
    <x v="1"/>
    <x v="3"/>
    <x v="9"/>
    <x v="0"/>
    <s v="Tripoli - International"/>
    <n v="3175"/>
    <n v="9.25"/>
    <n v="166073833"/>
    <n v="50818.186352509183"/>
    <n v="3268"/>
    <n v="2"/>
    <n v="343.24324324324323"/>
    <n v="18.5"/>
  </r>
  <r>
    <s v="DME/DJE"/>
    <s v="DJE"/>
    <x v="1"/>
    <x v="3"/>
    <x v="10"/>
    <x v="0"/>
    <s v="Djerba - Zarsis"/>
    <n v="3176"/>
    <n v="9.25"/>
    <n v="163842323"/>
    <n v="47244.037773933102"/>
    <n v="3468"/>
    <n v="3"/>
    <n v="343.35135135135135"/>
    <n v="27.75"/>
  </r>
  <r>
    <s v="DME/KWI"/>
    <s v="KWI"/>
    <x v="1"/>
    <x v="2"/>
    <x v="11"/>
    <x v="2"/>
    <s v="Kuwait - International"/>
    <n v="3020"/>
    <n v="9"/>
    <n v="175630124"/>
    <n v="47518.972943722947"/>
    <n v="3696"/>
    <n v="3"/>
    <n v="335.55555555555554"/>
    <n v="27"/>
  </r>
  <r>
    <s v="DME/BCN"/>
    <s v="BCN"/>
    <x v="1"/>
    <x v="4"/>
    <x v="6"/>
    <x v="3"/>
    <s v="Barcelona - Airport"/>
    <n v="3029"/>
    <n v="9"/>
    <n v="195044070"/>
    <n v="60032.03139427516"/>
    <n v="3249"/>
    <n v="2"/>
    <n v="336.55555555555554"/>
    <n v="18"/>
  </r>
  <r>
    <s v="DME/TUN"/>
    <s v="TUN"/>
    <x v="1"/>
    <x v="3"/>
    <x v="10"/>
    <x v="0"/>
    <s v="Tunis - Carthage"/>
    <n v="2931"/>
    <n v="8.75"/>
    <n v="166533854"/>
    <n v="45839.211120286265"/>
    <n v="3633"/>
    <n v="3"/>
    <n v="334.97142857142859"/>
    <n v="26.25"/>
  </r>
  <r>
    <s v="DME/TLS"/>
    <s v="TLS"/>
    <x v="1"/>
    <x v="2"/>
    <x v="12"/>
    <x v="3"/>
    <s v="Toulouse - Blagnac"/>
    <n v="2900"/>
    <n v="8.75"/>
    <n v="174089256"/>
    <n v="69859.252006420546"/>
    <n v="2492"/>
    <n v="2"/>
    <n v="331.42857142857144"/>
    <n v="17.5"/>
  </r>
  <r>
    <s v="DME/MIR"/>
    <s v="MIR"/>
    <x v="1"/>
    <x v="3"/>
    <x v="10"/>
    <x v="0"/>
    <s v="Monastir - Habib Bourguiba Intl"/>
    <n v="3003"/>
    <n v="8.75"/>
    <n v="167468388"/>
    <n v="46007.798901098904"/>
    <n v="3640"/>
    <n v="3"/>
    <n v="343.2"/>
    <n v="26.25"/>
  </r>
  <r>
    <s v="DME/MRS"/>
    <s v="MRS"/>
    <x v="1"/>
    <x v="2"/>
    <x v="12"/>
    <x v="3"/>
    <s v="Marseille - Provence"/>
    <n v="2678"/>
    <n v="8.25"/>
    <n v="172423916"/>
    <n v="68859.391373801918"/>
    <n v="2504"/>
    <n v="2"/>
    <n v="324.60606060606062"/>
    <n v="16.5"/>
  </r>
  <r>
    <s v="DME/TLV"/>
    <s v="TLV"/>
    <x v="1"/>
    <x v="2"/>
    <x v="13"/>
    <x v="2"/>
    <s v="Tel Aviv - Ben Gurion Intl"/>
    <n v="2613"/>
    <n v="8"/>
    <n v="175481038"/>
    <n v="53451.427962229667"/>
    <n v="3283"/>
    <n v="2"/>
    <n v="326.625"/>
    <n v="16"/>
  </r>
  <r>
    <s v="DME/ORY"/>
    <s v="ORY"/>
    <x v="1"/>
    <x v="4"/>
    <x v="12"/>
    <x v="3"/>
    <s v="Paris - Orly"/>
    <n v="2509"/>
    <n v="7.75"/>
    <n v="189219079"/>
    <n v="76390.423496164716"/>
    <n v="2477"/>
    <n v="2"/>
    <n v="323.74193548387098"/>
    <n v="15.5"/>
  </r>
  <r>
    <s v="DME/NCE"/>
    <s v="NCE"/>
    <x v="1"/>
    <x v="2"/>
    <x v="12"/>
    <x v="3"/>
    <s v="Nice - Cote d'Azur"/>
    <n v="2541"/>
    <n v="7.75"/>
    <n v="175265289"/>
    <n v="77619.70283436669"/>
    <n v="2258"/>
    <n v="2"/>
    <n v="327.87096774193549"/>
    <n v="15.5"/>
  </r>
  <r>
    <s v="DME/LYS"/>
    <s v="LYS"/>
    <x v="1"/>
    <x v="2"/>
    <x v="12"/>
    <x v="3"/>
    <s v="Lyon - Metropolitan Area"/>
    <n v="2526"/>
    <n v="7.75"/>
    <n v="172820936"/>
    <n v="77987.787003610109"/>
    <n v="2216"/>
    <n v="2"/>
    <n v="325.93548387096774"/>
    <n v="15.5"/>
  </r>
  <r>
    <s v="DME/THR"/>
    <s v="THR"/>
    <x v="1"/>
    <x v="2"/>
    <x v="14"/>
    <x v="2"/>
    <s v="Tehran - Metropolitan Area"/>
    <n v="2419"/>
    <n v="7.5"/>
    <n v="171051914"/>
    <n v="46468.870958978536"/>
    <n v="3681"/>
    <n v="3"/>
    <n v="322.53333333333336"/>
    <n v="22.5"/>
  </r>
  <r>
    <s v="DME/GVA"/>
    <s v="GVA"/>
    <x v="1"/>
    <x v="2"/>
    <x v="15"/>
    <x v="3"/>
    <s v="Geneva - International"/>
    <n v="2428"/>
    <n v="7.5"/>
    <n v="175108619"/>
    <n v="71707.051187551187"/>
    <n v="2442"/>
    <n v="2"/>
    <n v="323.73333333333335"/>
    <n v="15"/>
  </r>
  <r>
    <s v="DME/BGY"/>
    <s v="BGY"/>
    <x v="1"/>
    <x v="2"/>
    <x v="16"/>
    <x v="3"/>
    <s v="Milan - Bergamo/Orio al Serio"/>
    <n v="2246"/>
    <n v="7.25"/>
    <n v="167411813"/>
    <n v="66937.950019992"/>
    <n v="2501"/>
    <n v="2"/>
    <n v="309.79310344827587"/>
    <n v="14.5"/>
  </r>
  <r>
    <s v="DME/ZRH"/>
    <s v="ZRH"/>
    <x v="1"/>
    <x v="4"/>
    <x v="15"/>
    <x v="3"/>
    <s v="Zurich - Airport"/>
    <n v="2197"/>
    <n v="7"/>
    <n v="181705980"/>
    <n v="66534.595386305387"/>
    <n v="2731"/>
    <n v="2"/>
    <n v="313.85714285714283"/>
    <n v="14"/>
  </r>
  <r>
    <s v="DME/ATH"/>
    <s v="ATH"/>
    <x v="1"/>
    <x v="2"/>
    <x v="17"/>
    <x v="3"/>
    <s v="Athens - Eleftherios Venizelos"/>
    <n v="2206"/>
    <n v="7"/>
    <n v="177375733"/>
    <n v="63735.441250449156"/>
    <n v="2783"/>
    <n v="2"/>
    <n v="315.14285714285717"/>
    <n v="14"/>
  </r>
  <r>
    <s v="DME/AMS"/>
    <s v="AMS"/>
    <x v="1"/>
    <x v="4"/>
    <x v="18"/>
    <x v="3"/>
    <s v="Amsterdam - Schiphol Airport"/>
    <n v="2179"/>
    <n v="7"/>
    <n v="194027793"/>
    <n v="62934.736620175157"/>
    <n v="3083"/>
    <n v="2"/>
    <n v="311.28571428571428"/>
    <n v="14"/>
  </r>
  <r>
    <s v="DME/STR"/>
    <s v="STR"/>
    <x v="1"/>
    <x v="2"/>
    <x v="19"/>
    <x v="3"/>
    <s v="Stuttgart - Airport"/>
    <n v="2081"/>
    <n v="6.75"/>
    <n v="169388180"/>
    <n v="64651.977099236639"/>
    <n v="2620"/>
    <n v="2"/>
    <n v="308.2962962962963"/>
    <n v="13.5"/>
  </r>
  <r>
    <s v="DME/DUS"/>
    <s v="DUS"/>
    <x v="1"/>
    <x v="2"/>
    <x v="19"/>
    <x v="3"/>
    <s v="Duesseldorf - International"/>
    <n v="2098"/>
    <n v="6.75"/>
    <n v="177475833"/>
    <n v="63452.210582767249"/>
    <n v="2797"/>
    <n v="2"/>
    <n v="310.81481481481484"/>
    <n v="13.5"/>
  </r>
  <r>
    <s v="DME/CGN"/>
    <s v="CGN"/>
    <x v="1"/>
    <x v="2"/>
    <x v="19"/>
    <x v="3"/>
    <s v="Cologne/Bonn - Airport"/>
    <n v="2095"/>
    <n v="6.75"/>
    <n v="169771102"/>
    <n v="64798.130534351149"/>
    <n v="2620"/>
    <n v="2"/>
    <n v="310.37037037037038"/>
    <n v="13.5"/>
  </r>
  <r>
    <s v="DME/PRG"/>
    <s v="PRG"/>
    <x v="1"/>
    <x v="2"/>
    <x v="20"/>
    <x v="3"/>
    <s v="Prague - Metropolitan Area"/>
    <n v="1687"/>
    <n v="6"/>
    <n v="166479802"/>
    <n v="56722.249403747868"/>
    <n v="2935"/>
    <n v="2"/>
    <n v="281.16666666666669"/>
    <n v="12"/>
  </r>
  <r>
    <s v="DME/TXL"/>
    <s v="TXL"/>
    <x v="1"/>
    <x v="2"/>
    <x v="19"/>
    <x v="3"/>
    <s v="Berlin - Tegel"/>
    <n v="1631"/>
    <n v="5.75"/>
    <n v="169292644"/>
    <n v="64223.309559939305"/>
    <n v="2636"/>
    <n v="2"/>
    <n v="283.6521739130435"/>
    <n v="11.5"/>
  </r>
  <r>
    <s v="DME/OSL"/>
    <s v="OSL"/>
    <x v="1"/>
    <x v="2"/>
    <x v="21"/>
    <x v="3"/>
    <s v="Oslo - Metropolitan Area"/>
    <n v="1661"/>
    <n v="5.75"/>
    <n v="174176394"/>
    <n v="57769.94825870647"/>
    <n v="3015"/>
    <n v="2"/>
    <n v="288.86956521739131"/>
    <n v="11.5"/>
  </r>
  <r>
    <s v="DME/CPH"/>
    <s v="CPH"/>
    <x v="1"/>
    <x v="2"/>
    <x v="22"/>
    <x v="3"/>
    <s v="Copenhagen - Metropolitan Area"/>
    <n v="1581"/>
    <n v="5.75"/>
    <n v="171699593"/>
    <n v="64572.994734862732"/>
    <n v="2659"/>
    <n v="2"/>
    <n v="274.95652173913044"/>
    <n v="11.5"/>
  </r>
  <r>
    <s v="DME/WAW"/>
    <s v="WAW"/>
    <x v="1"/>
    <x v="2"/>
    <x v="23"/>
    <x v="3"/>
    <s v="Warsaw - Frederic Chopin"/>
    <n v="1166"/>
    <n v="4.75"/>
    <n v="158483070"/>
    <n v="55452.438768369488"/>
    <n v="2858"/>
    <n v="2"/>
    <n v="245.47368421052633"/>
    <n v="9.5"/>
  </r>
  <r>
    <s v="DME/HEL"/>
    <s v="HEL"/>
    <x v="1"/>
    <x v="2"/>
    <x v="24"/>
    <x v="3"/>
    <s v="Helsinki - Metropolitan Area"/>
    <n v="937"/>
    <n v="4.25"/>
    <n v="161055289"/>
    <n v="62545.743300970877"/>
    <n v="2575"/>
    <n v="2"/>
    <n v="220.47058823529412"/>
    <n v="8.5"/>
  </r>
  <r>
    <s v="DME/YYC"/>
    <s v="YYC"/>
    <x v="2"/>
    <x v="2"/>
    <x v="3"/>
    <x v="1"/>
    <s v="Calgary - International"/>
    <n v="7891"/>
    <n v="19.75"/>
    <n v="230418673"/>
    <n v="91727.178742038217"/>
    <n v="2512"/>
    <n v="2"/>
    <n v="399.54430379746833"/>
    <n v="39.5"/>
  </r>
  <r>
    <s v="DME/YEG"/>
    <s v="YEG"/>
    <x v="2"/>
    <x v="2"/>
    <x v="3"/>
    <x v="1"/>
    <s v="Edmonton - International"/>
    <n v="7649"/>
    <n v="19.25"/>
    <n v="219473035"/>
    <n v="93512.158074137202"/>
    <n v="2347"/>
    <n v="2"/>
    <n v="397.35064935064935"/>
    <n v="38.5"/>
  </r>
  <r>
    <s v="DME/YUL"/>
    <s v="YUL"/>
    <x v="2"/>
    <x v="2"/>
    <x v="3"/>
    <x v="1"/>
    <s v="Montreal - Pierre E.Trudeau Intl"/>
    <n v="7106"/>
    <n v="18"/>
    <n v="222630891"/>
    <n v="88380.663358475591"/>
    <n v="2519"/>
    <n v="2"/>
    <n v="394.77777777777777"/>
    <n v="36"/>
  </r>
  <r>
    <s v="DME/RGN"/>
    <s v="RGN"/>
    <x v="2"/>
    <x v="3"/>
    <x v="25"/>
    <x v="2"/>
    <s v="Yangon - International"/>
    <n v="6484"/>
    <n v="16.75"/>
    <n v="204941902"/>
    <n v="45401.396101019054"/>
    <n v="4514"/>
    <n v="4"/>
    <n v="387.1044776119403"/>
    <n v="67"/>
  </r>
  <r>
    <s v="DME/KMG"/>
    <s v="KMG"/>
    <x v="2"/>
    <x v="2"/>
    <x v="26"/>
    <x v="2"/>
    <s v="Kunming - Changshui Intl"/>
    <n v="6171"/>
    <n v="16"/>
    <n v="218091952"/>
    <n v="60817.610708310094"/>
    <n v="3586"/>
    <n v="3"/>
    <n v="385.6875"/>
    <n v="48"/>
  </r>
  <r>
    <s v="DME/NKC"/>
    <s v="NKC"/>
    <x v="2"/>
    <x v="3"/>
    <x v="27"/>
    <x v="0"/>
    <s v="Nouakchott"/>
    <n v="6113"/>
    <n v="15.75"/>
    <n v="195408776"/>
    <n v="48272.918972332016"/>
    <n v="4048"/>
    <n v="3"/>
    <n v="388.12698412698415"/>
    <n v="47.25"/>
  </r>
  <r>
    <s v="DME/XIY"/>
    <s v="XIY"/>
    <x v="2"/>
    <x v="2"/>
    <x v="26"/>
    <x v="2"/>
    <s v="Xi'an - Xianyang Intl"/>
    <n v="5754"/>
    <n v="15"/>
    <n v="210381854"/>
    <n v="60040.483447488587"/>
    <n v="3504"/>
    <n v="3"/>
    <n v="383.6"/>
    <n v="45"/>
  </r>
  <r>
    <s v="DME/CTU"/>
    <s v="CTU"/>
    <x v="2"/>
    <x v="4"/>
    <x v="26"/>
    <x v="2"/>
    <s v="Chengdu - Shuangliu Intl"/>
    <n v="5760"/>
    <n v="15"/>
    <n v="216604861"/>
    <n v="59214.013395297974"/>
    <n v="3658"/>
    <n v="3"/>
    <n v="384"/>
    <n v="45"/>
  </r>
  <r>
    <s v="DME/KAN"/>
    <s v="KAN"/>
    <x v="2"/>
    <x v="2"/>
    <x v="28"/>
    <x v="0"/>
    <s v="Kano - Mallam Aminu Kano Intl"/>
    <n v="5453"/>
    <n v="14.25"/>
    <n v="198264776"/>
    <n v="45338.389206494394"/>
    <n v="4373"/>
    <n v="3"/>
    <n v="382.66666666666669"/>
    <n v="42.75"/>
  </r>
  <r>
    <s v="DME/ADD"/>
    <s v="ADD"/>
    <x v="2"/>
    <x v="2"/>
    <x v="29"/>
    <x v="0"/>
    <s v="Addis Ababa - Bole Intl"/>
    <n v="5164"/>
    <n v="13.75"/>
    <n v="197226182"/>
    <n v="41140.213183145599"/>
    <n v="4794"/>
    <n v="4"/>
    <n v="375.56363636363636"/>
    <n v="55"/>
  </r>
  <r>
    <s v="DME/KHI"/>
    <s v="KHI"/>
    <x v="2"/>
    <x v="3"/>
    <x v="30"/>
    <x v="2"/>
    <s v="Karachi - Jinnah Intl"/>
    <n v="4144"/>
    <n v="11.5"/>
    <n v="183147797"/>
    <n v="40600.265351363334"/>
    <n v="4511"/>
    <n v="4"/>
    <n v="360.3478260869565"/>
    <n v="46"/>
  </r>
  <r>
    <s v="DME/BHV"/>
    <s v="BHV"/>
    <x v="2"/>
    <x v="2"/>
    <x v="30"/>
    <x v="2"/>
    <s v="Bahawalpur"/>
    <n v="3942"/>
    <n v="11"/>
    <n v="187927585"/>
    <n v="39472.292585591262"/>
    <n v="4761"/>
    <n v="4"/>
    <n v="358.36363636363637"/>
    <n v="44"/>
  </r>
  <r>
    <s v="DME/ISB"/>
    <s v="ISB"/>
    <x v="2"/>
    <x v="3"/>
    <x v="30"/>
    <x v="2"/>
    <s v="Islamabad - International"/>
    <n v="3629"/>
    <n v="10.25"/>
    <n v="176461093"/>
    <n v="37753.764013692766"/>
    <n v="4674"/>
    <n v="4"/>
    <n v="354.04878048780489"/>
    <n v="41"/>
  </r>
  <r>
    <s v="DME/RUH"/>
    <s v="RUH"/>
    <x v="2"/>
    <x v="4"/>
    <x v="7"/>
    <x v="2"/>
    <s v="Riyadh - King Khalid Intl"/>
    <n v="3462"/>
    <n v="10"/>
    <n v="193681598"/>
    <n v="48083.812810327705"/>
    <n v="4028"/>
    <n v="3"/>
    <n v="346.2"/>
    <n v="30"/>
  </r>
  <r>
    <s v="DME/ASW"/>
    <s v="ASW"/>
    <x v="2"/>
    <x v="0"/>
    <x v="0"/>
    <x v="0"/>
    <s v="Aswan - International"/>
    <n v="3522"/>
    <n v="10"/>
    <n v="160749762"/>
    <n v="45040.560941440177"/>
    <n v="3569"/>
    <n v="3"/>
    <n v="352.2"/>
    <n v="30"/>
  </r>
  <r>
    <s v="DME/MED"/>
    <s v="MED"/>
    <x v="2"/>
    <x v="4"/>
    <x v="7"/>
    <x v="2"/>
    <s v="Madinah - Mohammad Bin Abdulaziz"/>
    <n v="3435"/>
    <n v="9.75"/>
    <n v="194991759"/>
    <n v="48241.404997525977"/>
    <n v="4042"/>
    <n v="3"/>
    <n v="352.30769230769232"/>
    <n v="29.25"/>
  </r>
  <r>
    <s v="DME/MAD"/>
    <s v="MAD"/>
    <x v="2"/>
    <x v="4"/>
    <x v="6"/>
    <x v="3"/>
    <s v="Madrid - Metropolitan Area"/>
    <n v="3436"/>
    <n v="9.75"/>
    <n v="208194410"/>
    <n v="60486.464264962233"/>
    <n v="3442"/>
    <n v="3"/>
    <n v="352.41025641025641"/>
    <n v="29.25"/>
  </r>
  <r>
    <s v="DME/ALG"/>
    <s v="ALG"/>
    <x v="2"/>
    <x v="2"/>
    <x v="31"/>
    <x v="0"/>
    <s v="Algiers - Houari Boumediene"/>
    <n v="3334"/>
    <n v="9.5"/>
    <n v="176697514"/>
    <n v="43878.200645641919"/>
    <n v="4027"/>
    <n v="3"/>
    <n v="350.94736842105266"/>
    <n v="28.5"/>
  </r>
  <r>
    <s v="DME/CAI"/>
    <s v="CAI"/>
    <x v="2"/>
    <x v="2"/>
    <x v="0"/>
    <x v="0"/>
    <s v="Cairo - Metropolitan Area"/>
    <n v="2859"/>
    <n v="8.5"/>
    <n v="181185204"/>
    <n v="40138.50332299513"/>
    <n v="4514"/>
    <n v="4"/>
    <n v="336.35294117647061"/>
    <n v="34"/>
  </r>
  <r>
    <s v="DME/STN"/>
    <s v="STN"/>
    <x v="2"/>
    <x v="4"/>
    <x v="32"/>
    <x v="3"/>
    <s v="London - Stansted"/>
    <n v="2482"/>
    <n v="7.75"/>
    <n v="184296616"/>
    <n v="64439.37622377622"/>
    <n v="2860"/>
    <n v="2"/>
    <n v="320.25806451612902"/>
    <n v="15.5"/>
  </r>
  <r>
    <s v="DME/NAN"/>
    <s v="NAN"/>
    <x v="2"/>
    <x v="2"/>
    <x v="33"/>
    <x v="4"/>
    <s v="Nadi - International"/>
    <n v="14624"/>
    <n v="35"/>
    <n v="273932514"/>
    <n v="109616.85234093637"/>
    <n v="2499"/>
    <n v="2"/>
    <n v="417.82857142857142"/>
    <n v="70"/>
  </r>
  <r>
    <s v="DME/SYD"/>
    <s v="SYD"/>
    <x v="2"/>
    <x v="4"/>
    <x v="34"/>
    <x v="4"/>
    <s v="Sydney - Metropolitan Area"/>
    <n v="14484"/>
    <n v="34.5"/>
    <m/>
    <n v="0"/>
    <m/>
    <n v="0"/>
    <n v="419.82608695652175"/>
    <n v="0"/>
  </r>
  <r>
    <s v="DME/NOU"/>
    <s v="NOU"/>
    <x v="2"/>
    <x v="0"/>
    <x v="35"/>
    <x v="4"/>
    <s v="Noumea - Metropolitan Area"/>
    <n v="14393"/>
    <n v="34.5"/>
    <m/>
    <n v="0"/>
    <m/>
    <n v="0"/>
    <n v="417.18840579710144"/>
    <n v="0"/>
  </r>
  <r>
    <s v="DME/MEL"/>
    <s v="MEL"/>
    <x v="2"/>
    <x v="4"/>
    <x v="34"/>
    <x v="4"/>
    <s v="Melbourne - Metropolitan Area"/>
    <n v="14386"/>
    <n v="34.5"/>
    <n v="307480851"/>
    <n v="124234.68727272727"/>
    <n v="2475"/>
    <n v="2"/>
    <n v="416.98550724637681"/>
    <n v="69"/>
  </r>
  <r>
    <s v="DME/CBR"/>
    <s v="CBR"/>
    <x v="2"/>
    <x v="3"/>
    <x v="34"/>
    <x v="4"/>
    <s v="Canberra"/>
    <n v="14469"/>
    <n v="34.5"/>
    <n v="280152531"/>
    <n v="144037.29100257068"/>
    <n v="1945"/>
    <n v="1"/>
    <n v="419.39130434782606"/>
    <n v="34.5"/>
  </r>
  <r>
    <s v="DME/AVV"/>
    <s v="AVV"/>
    <x v="2"/>
    <x v="0"/>
    <x v="34"/>
    <x v="4"/>
    <s v="Melbourne - Avalon"/>
    <n v="14392"/>
    <n v="34.5"/>
    <n v="255962069"/>
    <n v="170527.69420386408"/>
    <n v="1501"/>
    <n v="1"/>
    <n v="417.15942028985506"/>
    <n v="34.5"/>
  </r>
  <r>
    <s v="DME/SCL"/>
    <s v="SCL"/>
    <x v="2"/>
    <x v="2"/>
    <x v="36"/>
    <x v="5"/>
    <s v="Santiago - Arturo Merino Benitez"/>
    <n v="14151"/>
    <n v="33.75"/>
    <m/>
    <n v="0"/>
    <m/>
    <n v="0"/>
    <n v="419.28888888888889"/>
    <n v="0"/>
  </r>
  <r>
    <s v="DME/BNE"/>
    <s v="BNE"/>
    <x v="2"/>
    <x v="4"/>
    <x v="34"/>
    <x v="4"/>
    <s v="Brisbane - International"/>
    <n v="14058"/>
    <n v="33.75"/>
    <n v="298708040"/>
    <n v="125877.80868099452"/>
    <n v="2373"/>
    <n v="2"/>
    <n v="416.53333333333336"/>
    <n v="67.5"/>
  </r>
  <r>
    <s v="DME/ADL"/>
    <s v="ADL"/>
    <x v="2"/>
    <x v="2"/>
    <x v="34"/>
    <x v="4"/>
    <s v="Adelaide - International"/>
    <n v="13777"/>
    <n v="33"/>
    <n v="282141000"/>
    <n v="98512.918994413412"/>
    <n v="2864"/>
    <n v="2"/>
    <n v="417.4848484848485"/>
    <n v="66"/>
  </r>
  <r>
    <s v="DME/EZE"/>
    <s v="EZE"/>
    <x v="2"/>
    <x v="2"/>
    <x v="37"/>
    <x v="5"/>
    <s v="Buenos Aires - Ministro Pistarini"/>
    <n v="13513"/>
    <n v="32.5"/>
    <n v="279620078"/>
    <n v="78127.990500139698"/>
    <n v="3579"/>
    <n v="3"/>
    <n v="415.78461538461539"/>
    <n v="97.5"/>
  </r>
  <r>
    <s v="DME/MVD"/>
    <s v="MVD"/>
    <x v="2"/>
    <x v="3"/>
    <x v="38"/>
    <x v="5"/>
    <s v="Montevideo - Carrasco"/>
    <n v="13363"/>
    <n v="32"/>
    <n v="260224095"/>
    <n v="88602.007150153222"/>
    <n v="2937"/>
    <n v="2"/>
    <n v="417.59375"/>
    <n v="64"/>
  </r>
  <r>
    <s v="DME/AQP"/>
    <s v="AQP"/>
    <x v="2"/>
    <x v="3"/>
    <x v="39"/>
    <x v="5"/>
    <s v="Arequipa - Rodriguez Ballon Intl"/>
    <n v="12726"/>
    <n v="30.75"/>
    <n v="257887013"/>
    <n v="75207.64450277049"/>
    <n v="3429"/>
    <n v="3"/>
    <n v="413.85365853658539"/>
    <n v="92.25"/>
  </r>
  <r>
    <s v="DME/LIM"/>
    <s v="LIM"/>
    <x v="2"/>
    <x v="2"/>
    <x v="39"/>
    <x v="5"/>
    <s v="Lima - Jorge Chavez Intl"/>
    <n v="12676"/>
    <n v="30.5"/>
    <n v="273417461"/>
    <n v="67711.109707776122"/>
    <n v="4038"/>
    <n v="3"/>
    <n v="415.60655737704917"/>
    <n v="91.5"/>
  </r>
  <r>
    <s v="DME/CNS"/>
    <s v="CNS"/>
    <x v="2"/>
    <x v="3"/>
    <x v="34"/>
    <x v="4"/>
    <s v="Cairns - International"/>
    <n v="12670"/>
    <n v="30.5"/>
    <n v="264162629"/>
    <n v="98494.641685309471"/>
    <n v="2682"/>
    <n v="2"/>
    <n v="415.40983606557376"/>
    <n v="61"/>
  </r>
  <r>
    <s v="DME/AYP"/>
    <s v="AYP"/>
    <x v="2"/>
    <x v="1"/>
    <x v="39"/>
    <x v="5"/>
    <s v="Ayacucho - Alfredo M. Duarte"/>
    <n v="12601"/>
    <n v="30.5"/>
    <n v="234887686"/>
    <n v="89926.37289433385"/>
    <n v="2612"/>
    <n v="2"/>
    <n v="413.14754098360658"/>
    <n v="61"/>
  </r>
  <r>
    <s v="DME/JUL"/>
    <s v="JUL"/>
    <x v="2"/>
    <x v="0"/>
    <x v="39"/>
    <x v="5"/>
    <s v="Juliaca - Inco Mnco Capac Intl"/>
    <n v="12558"/>
    <n v="30.25"/>
    <n v="241487578"/>
    <n v="84171.341233879401"/>
    <n v="2869"/>
    <n v="2"/>
    <n v="415.14049586776861"/>
    <n v="60.5"/>
  </r>
  <r>
    <s v="DME/JAU"/>
    <s v="JAU"/>
    <x v="2"/>
    <x v="1"/>
    <x v="39"/>
    <x v="5"/>
    <s v="Jauja - Francisco Carle"/>
    <n v="12554"/>
    <n v="30.25"/>
    <n v="230867321"/>
    <n v="93091.661693548391"/>
    <n v="2480"/>
    <n v="2"/>
    <n v="415.0082644628099"/>
    <n v="60.5"/>
  </r>
  <r>
    <s v="DME/CUZ"/>
    <s v="CUZ"/>
    <x v="2"/>
    <x v="3"/>
    <x v="39"/>
    <x v="5"/>
    <s v="Cusco - A.Velasco Astete Intl"/>
    <n v="12495"/>
    <n v="30.25"/>
    <n v="252550492"/>
    <n v="76184.160482654595"/>
    <n v="3315"/>
    <n v="3"/>
    <n v="413.05785123966945"/>
    <n v="90.75"/>
  </r>
  <r>
    <s v="DME/TRU"/>
    <s v="TRU"/>
    <x v="2"/>
    <x v="0"/>
    <x v="39"/>
    <x v="5"/>
    <s v="Trujillo - C.Martinez de Pinillos"/>
    <n v="12432"/>
    <n v="30"/>
    <n v="240631111"/>
    <n v="83263.360207612452"/>
    <n v="2890"/>
    <n v="2"/>
    <n v="414.4"/>
    <n v="60"/>
  </r>
  <r>
    <s v="DME/ATA"/>
    <s v="ATA"/>
    <x v="2"/>
    <x v="3"/>
    <x v="39"/>
    <x v="5"/>
    <s v="Huaraz - German Arias Graziani"/>
    <n v="12459"/>
    <n v="30"/>
    <n v="255210459"/>
    <n v="74427.080489938759"/>
    <n v="3429"/>
    <n v="3"/>
    <n v="415.3"/>
    <n v="90"/>
  </r>
  <r>
    <s v="DME/PEM"/>
    <s v="PEM"/>
    <x v="2"/>
    <x v="0"/>
    <x v="39"/>
    <x v="5"/>
    <s v="Puerto Maldonado - Padre Aldamiz Intl"/>
    <n v="12241"/>
    <n v="29.5"/>
    <n v="237802374"/>
    <n v="83234.992649632477"/>
    <n v="2857"/>
    <n v="2"/>
    <n v="414.94915254237287"/>
    <n v="59"/>
  </r>
  <r>
    <s v="DME/PCL"/>
    <s v="PCL"/>
    <x v="2"/>
    <x v="0"/>
    <x v="39"/>
    <x v="5"/>
    <s v="Pucallpa - D.Abenzur Rengifo Intl"/>
    <n v="12185"/>
    <n v="29.5"/>
    <n v="238462217"/>
    <n v="82256.715074163498"/>
    <n v="2899"/>
    <n v="2"/>
    <n v="413.05084745762713"/>
    <n v="59"/>
  </r>
  <r>
    <s v="DME/PER"/>
    <s v="PER"/>
    <x v="2"/>
    <x v="2"/>
    <x v="34"/>
    <x v="4"/>
    <s v="Perth - International"/>
    <n v="12192"/>
    <n v="29.5"/>
    <n v="271478756"/>
    <n v="90674.267201068811"/>
    <n v="2994"/>
    <n v="2"/>
    <n v="413.28813559322032"/>
    <n v="59"/>
  </r>
  <r>
    <s v="DME/MEC"/>
    <s v="MEC"/>
    <x v="2"/>
    <x v="0"/>
    <x v="40"/>
    <x v="5"/>
    <s v="Manta - Eloy Alfaro Intl"/>
    <n v="11853"/>
    <n v="28.75"/>
    <n v="235960698"/>
    <n v="80505.185261003076"/>
    <n v="2931"/>
    <n v="2"/>
    <n v="412.2782608695652"/>
    <n v="57.5"/>
  </r>
  <r>
    <s v="DME/GYE"/>
    <s v="GYE"/>
    <x v="2"/>
    <x v="3"/>
    <x v="40"/>
    <x v="5"/>
    <s v="Guayaquil - Jose Joaquin de Olmedo"/>
    <n v="11922"/>
    <n v="28.75"/>
    <n v="255123858"/>
    <n v="70127.503573391979"/>
    <n v="3638"/>
    <n v="3"/>
    <n v="414.67826086956524"/>
    <n v="86.25"/>
  </r>
  <r>
    <s v="DME/VCP"/>
    <s v="VCP"/>
    <x v="2"/>
    <x v="3"/>
    <x v="41"/>
    <x v="5"/>
    <s v="Sao Paulo - Viracopos-Campinas Int"/>
    <n v="11796"/>
    <n v="28.5"/>
    <n v="258549843"/>
    <n v="73139.983875530408"/>
    <n v="3535"/>
    <n v="3"/>
    <n v="413.89473684210526"/>
    <n v="85.5"/>
  </r>
  <r>
    <s v="DME/UIO"/>
    <s v="UIO"/>
    <x v="2"/>
    <x v="3"/>
    <x v="40"/>
    <x v="5"/>
    <s v="Quito - Mariscal Sucre Intl"/>
    <n v="11649"/>
    <n v="28.25"/>
    <n v="256177099"/>
    <n v="67951.485145888597"/>
    <n v="3770"/>
    <n v="3"/>
    <n v="412.35398230088498"/>
    <n v="84.75"/>
  </r>
  <r>
    <s v="DME/KOA"/>
    <s v="KOA"/>
    <x v="2"/>
    <x v="5"/>
    <x v="1"/>
    <x v="1"/>
    <s v="Kona - Keahole"/>
    <n v="11558"/>
    <n v="28"/>
    <m/>
    <n v="0"/>
    <m/>
    <n v="0"/>
    <n v="412.78571428571428"/>
    <n v="0"/>
  </r>
  <r>
    <s v="DME/ITO"/>
    <s v="ITO"/>
    <x v="2"/>
    <x v="5"/>
    <x v="1"/>
    <x v="1"/>
    <s v="Hilo - International"/>
    <n v="11574"/>
    <n v="28"/>
    <m/>
    <n v="0"/>
    <m/>
    <n v="0"/>
    <n v="413.35714285714283"/>
    <n v="0"/>
  </r>
  <r>
    <s v="DME/GIG"/>
    <s v="GIG"/>
    <x v="2"/>
    <x v="2"/>
    <x v="41"/>
    <x v="5"/>
    <s v="Rio de Janeiro - Galeao-A.C.Jobim Intl"/>
    <n v="11545"/>
    <n v="28"/>
    <n v="266039771"/>
    <n v="69083.295507660354"/>
    <n v="3851"/>
    <n v="3"/>
    <n v="412.32142857142856"/>
    <n v="84"/>
  </r>
  <r>
    <s v="DME/HNL"/>
    <s v="HNL"/>
    <x v="2"/>
    <x v="2"/>
    <x v="1"/>
    <x v="1"/>
    <s v="Honolulu - Daniel K. Inouye Intl"/>
    <n v="11355"/>
    <n v="27.5"/>
    <m/>
    <n v="0"/>
    <m/>
    <n v="0"/>
    <n v="412.90909090909093"/>
    <n v="0"/>
  </r>
  <r>
    <s v="DME/DRW"/>
    <s v="DRW"/>
    <x v="2"/>
    <x v="3"/>
    <x v="34"/>
    <x v="4"/>
    <s v="Darwin - International"/>
    <n v="11330"/>
    <n v="27.5"/>
    <n v="243080663"/>
    <n v="97937.414585012084"/>
    <n v="2482"/>
    <n v="2"/>
    <n v="412"/>
    <n v="55"/>
  </r>
  <r>
    <s v="DME/CNF"/>
    <s v="CNF"/>
    <x v="2"/>
    <x v="2"/>
    <x v="41"/>
    <x v="5"/>
    <s v="Belo Horizonte - Tancredo Neves Intl"/>
    <n v="11300"/>
    <n v="27.5"/>
    <n v="256497569"/>
    <n v="70485.729321242106"/>
    <n v="3639"/>
    <n v="3"/>
    <n v="410.90909090909093"/>
    <n v="82.5"/>
  </r>
  <r>
    <s v="DME/CLO"/>
    <s v="CLO"/>
    <x v="2"/>
    <x v="3"/>
    <x v="42"/>
    <x v="5"/>
    <s v="Cali - Alfonso B. Aragon Intl"/>
    <n v="11177"/>
    <n v="27.25"/>
    <n v="242701376"/>
    <n v="75490.319129082432"/>
    <n v="3215"/>
    <n v="2"/>
    <n v="410.16513761467888"/>
    <n v="54.5"/>
  </r>
  <r>
    <s v="DME/BSB"/>
    <s v="BSB"/>
    <x v="2"/>
    <x v="2"/>
    <x v="41"/>
    <x v="5"/>
    <s v="Brasilia - J. Kubitschek Intl"/>
    <n v="11198"/>
    <n v="27.25"/>
    <n v="264304815"/>
    <n v="67476.337758488633"/>
    <n v="3917"/>
    <n v="3"/>
    <n v="410.93577981651379"/>
    <n v="81.75"/>
  </r>
  <r>
    <s v="DME/BOG"/>
    <s v="BOG"/>
    <x v="2"/>
    <x v="2"/>
    <x v="42"/>
    <x v="5"/>
    <s v="Bogota - El Dorado Intl"/>
    <n v="10937"/>
    <n v="26.75"/>
    <n v="266043728"/>
    <n v="66727.797341359415"/>
    <n v="3987"/>
    <n v="3"/>
    <n v="408.85981308411215"/>
    <n v="80.25"/>
  </r>
  <r>
    <s v="DME/MDE"/>
    <s v="MDE"/>
    <x v="2"/>
    <x v="0"/>
    <x v="42"/>
    <x v="5"/>
    <s v="Medellin - Metropolitan Area"/>
    <n v="10874"/>
    <n v="26.5"/>
    <n v="230403970"/>
    <n v="78582.527285129603"/>
    <n v="2932"/>
    <n v="2"/>
    <n v="410.33962264150944"/>
    <n v="53"/>
  </r>
  <r>
    <s v="DME/SAL"/>
    <s v="SAL"/>
    <x v="2"/>
    <x v="3"/>
    <x v="43"/>
    <x v="1"/>
    <s v="San Salvador - El Salvador Intl"/>
    <n v="10909"/>
    <n v="26.5"/>
    <n v="239232291"/>
    <n v="66214.306947135337"/>
    <n v="3613"/>
    <n v="3"/>
    <n v="411.66037735849056"/>
    <n v="79.5"/>
  </r>
  <r>
    <s v="DME/PVR"/>
    <s v="PVR"/>
    <x v="2"/>
    <x v="3"/>
    <x v="44"/>
    <x v="1"/>
    <s v="Puerto Vallarta - G.Diaz Ordaz Intl"/>
    <n v="10869"/>
    <n v="26.5"/>
    <n v="243457260"/>
    <n v="78357.663340843254"/>
    <n v="3107"/>
    <n v="2"/>
    <n v="410.15094339622641"/>
    <n v="53"/>
  </r>
  <r>
    <s v="DME/PTY"/>
    <s v="PTY"/>
    <x v="2"/>
    <x v="3"/>
    <x v="45"/>
    <x v="1"/>
    <s v="Panama City - Metropolitan Area"/>
    <n v="10823"/>
    <n v="26.5"/>
    <n v="246306342"/>
    <n v="74865.149544072949"/>
    <n v="3290"/>
    <n v="2"/>
    <n v="408.41509433962267"/>
    <n v="53"/>
  </r>
  <r>
    <s v="DME/GUA"/>
    <s v="GUA"/>
    <x v="2"/>
    <x v="3"/>
    <x v="46"/>
    <x v="1"/>
    <s v="Guatemala City - La Aurora International Airport"/>
    <n v="10868"/>
    <n v="26.5"/>
    <n v="241941548"/>
    <n v="60621.786018541716"/>
    <n v="3991"/>
    <n v="3"/>
    <n v="410.11320754716979"/>
    <n v="79.5"/>
  </r>
  <r>
    <s v="DME/SJD"/>
    <s v="SJD"/>
    <x v="2"/>
    <x v="3"/>
    <x v="44"/>
    <x v="1"/>
    <s v="San Jose del Cabo - Los Cabos Intl"/>
    <n v="10759"/>
    <n v="26.25"/>
    <n v="240394548"/>
    <n v="78843.734995080347"/>
    <n v="3049"/>
    <n v="2"/>
    <n v="409.86666666666667"/>
    <n v="52.5"/>
  </r>
  <r>
    <s v="DME/TLC"/>
    <s v="TLC"/>
    <x v="2"/>
    <x v="3"/>
    <x v="44"/>
    <x v="1"/>
    <s v="Mexico City - Toluca-A.Lopez Mateos"/>
    <n v="10791"/>
    <n v="26.25"/>
    <n v="240051679"/>
    <n v="79277.304821664467"/>
    <n v="3028"/>
    <n v="2"/>
    <n v="411.08571428571429"/>
    <n v="52.5"/>
  </r>
  <r>
    <s v="DME/MEX"/>
    <s v="MEX"/>
    <x v="2"/>
    <x v="4"/>
    <x v="44"/>
    <x v="1"/>
    <s v="Mexico City - Metropolitan Area"/>
    <n v="10760"/>
    <n v="26.25"/>
    <n v="269216717"/>
    <n v="69385.751804123705"/>
    <n v="3880"/>
    <n v="3"/>
    <n v="409.90476190476193"/>
    <n v="78.75"/>
  </r>
  <r>
    <s v="DME/GDL"/>
    <s v="GDL"/>
    <x v="2"/>
    <x v="2"/>
    <x v="44"/>
    <x v="1"/>
    <s v="Guadalajara - Miguel Hidalgo Intl"/>
    <n v="10813"/>
    <n v="26.25"/>
    <n v="251618502"/>
    <n v="75020.423971377459"/>
    <n v="3354"/>
    <n v="3"/>
    <n v="411.9238095238095"/>
    <n v="78.75"/>
  </r>
  <r>
    <s v="DME/BAQ"/>
    <s v="BAQ"/>
    <x v="2"/>
    <x v="0"/>
    <x v="42"/>
    <x v="5"/>
    <s v="Barranquilla - Ernesto Cortissoz Intl"/>
    <n v="10389"/>
    <n v="25.5"/>
    <n v="229493790"/>
    <n v="75169.927939731409"/>
    <n v="3053"/>
    <n v="2"/>
    <n v="407.41176470588238"/>
    <n v="51"/>
  </r>
  <r>
    <s v="DME/SSA"/>
    <s v="SSA"/>
    <x v="2"/>
    <x v="2"/>
    <x v="41"/>
    <x v="5"/>
    <s v="Salvador - Luis E. Magalhaes Intl"/>
    <n v="10343"/>
    <n v="25.25"/>
    <n v="247546923"/>
    <n v="67617.296640262226"/>
    <n v="3661"/>
    <n v="3"/>
    <n v="409.62376237623761"/>
    <n v="75.75"/>
  </r>
  <r>
    <s v="DME/PNZ"/>
    <s v="PNZ"/>
    <x v="2"/>
    <x v="0"/>
    <x v="41"/>
    <x v="5"/>
    <s v="Petrolina - Senador Nilo Coelho"/>
    <n v="10150"/>
    <n v="25"/>
    <n v="217437346"/>
    <n v="78243.017632241812"/>
    <n v="2779"/>
    <n v="2"/>
    <n v="406"/>
    <n v="50"/>
  </r>
  <r>
    <s v="DME/MID"/>
    <s v="MID"/>
    <x v="2"/>
    <x v="3"/>
    <x v="44"/>
    <x v="1"/>
    <s v="Merida - M. Crescencio Rejon"/>
    <n v="10195"/>
    <n v="25"/>
    <n v="228442383"/>
    <n v="79679.938262992669"/>
    <n v="2867"/>
    <n v="2"/>
    <n v="407.8"/>
    <n v="50"/>
  </r>
  <r>
    <s v="DME/MAR"/>
    <s v="MAR"/>
    <x v="2"/>
    <x v="3"/>
    <x v="47"/>
    <x v="5"/>
    <s v="Maracaibo - La Chinita Intl"/>
    <n v="10244"/>
    <n v="25"/>
    <n v="235927034"/>
    <n v="70404.963891375708"/>
    <n v="3351"/>
    <n v="3"/>
    <n v="409.76"/>
    <n v="75"/>
  </r>
  <r>
    <s v="DME/MTY"/>
    <s v="MTY"/>
    <x v="2"/>
    <x v="2"/>
    <x v="44"/>
    <x v="1"/>
    <s v="Monterrey - Metropolitan Area"/>
    <n v="10150"/>
    <n v="25"/>
    <n v="243635751"/>
    <n v="73273.910075187974"/>
    <n v="3325"/>
    <n v="3"/>
    <n v="406"/>
    <n v="75"/>
  </r>
  <r>
    <s v="DME/VLN"/>
    <s v="VLN"/>
    <x v="2"/>
    <x v="0"/>
    <x v="47"/>
    <x v="5"/>
    <s v="Valencia - Arturo Michelena Intl"/>
    <n v="10057"/>
    <n v="24.75"/>
    <n v="222253468"/>
    <n v="81351.928257686683"/>
    <n v="2732"/>
    <n v="2"/>
    <n v="406.34343434343435"/>
    <n v="49.5"/>
  </r>
  <r>
    <s v="DME/CUN"/>
    <s v="CUN"/>
    <x v="2"/>
    <x v="2"/>
    <x v="44"/>
    <x v="1"/>
    <s v="Cancun - International"/>
    <n v="10053"/>
    <n v="24.75"/>
    <n v="250951462"/>
    <n v="77144.624039348288"/>
    <n v="3253"/>
    <n v="2"/>
    <n v="406.18181818181819"/>
    <n v="49.5"/>
  </r>
  <r>
    <s v="DME/CPT"/>
    <s v="CPT"/>
    <x v="2"/>
    <x v="2"/>
    <x v="48"/>
    <x v="0"/>
    <s v="Cape Town - International"/>
    <n v="10109"/>
    <n v="24.75"/>
    <n v="246704440"/>
    <n v="57200.194760027822"/>
    <n v="4313"/>
    <n v="3"/>
    <n v="408.44444444444446"/>
    <n v="74.25"/>
  </r>
  <r>
    <s v="DME/UPG"/>
    <s v="UPG"/>
    <x v="2"/>
    <x v="3"/>
    <x v="49"/>
    <x v="2"/>
    <s v="Makassar - Sultan Hasanuddin"/>
    <n v="9949"/>
    <n v="24.5"/>
    <n v="235954066"/>
    <n v="67666.781187266984"/>
    <n v="3487"/>
    <n v="3"/>
    <n v="406.08163265306121"/>
    <n v="73.5"/>
  </r>
  <r>
    <s v="DME/TIJ"/>
    <s v="TIJ"/>
    <x v="2"/>
    <x v="3"/>
    <x v="44"/>
    <x v="1"/>
    <s v="Tijuana - A.L. Rodriguez Intl"/>
    <n v="9949"/>
    <n v="24.5"/>
    <n v="236154076"/>
    <n v="81799.125736058195"/>
    <n v="2887"/>
    <n v="2"/>
    <n v="406.08163265306121"/>
    <n v="49"/>
  </r>
  <r>
    <s v="DME/AUA"/>
    <s v="AUA"/>
    <x v="2"/>
    <x v="3"/>
    <x v="50"/>
    <x v="1"/>
    <s v="Aruba - Reina Beatrix"/>
    <n v="9961"/>
    <n v="24.5"/>
    <n v="229771310"/>
    <n v="80339.618881118877"/>
    <n v="2860"/>
    <n v="2"/>
    <n v="406.57142857142856"/>
    <n v="49"/>
  </r>
  <r>
    <s v="DME/SAN"/>
    <s v="SAN"/>
    <x v="2"/>
    <x v="2"/>
    <x v="1"/>
    <x v="1"/>
    <s v="San Diego - Metropolitan Area"/>
    <n v="9933"/>
    <n v="24.5"/>
    <n v="255655799"/>
    <n v="105512.09203466777"/>
    <n v="2423"/>
    <n v="2"/>
    <n v="405.42857142857144"/>
    <n v="49"/>
  </r>
  <r>
    <s v="DME/DPS"/>
    <s v="DPS"/>
    <x v="2"/>
    <x v="2"/>
    <x v="49"/>
    <x v="2"/>
    <s v="Denpasar-Bali - Ngurah Rai"/>
    <n v="10019"/>
    <n v="24.5"/>
    <n v="242774952"/>
    <n v="64999.98714859438"/>
    <n v="3735"/>
    <n v="3"/>
    <n v="408.9387755102041"/>
    <n v="73.5"/>
  </r>
  <r>
    <s v="DME/CCS"/>
    <s v="CCS"/>
    <x v="2"/>
    <x v="2"/>
    <x v="47"/>
    <x v="5"/>
    <s v="Caracas - Simon Bolivar Intl"/>
    <n v="9959"/>
    <n v="24.5"/>
    <n v="246463856"/>
    <n v="67413.527352297591"/>
    <n v="3656"/>
    <n v="3"/>
    <n v="406.48979591836735"/>
    <n v="73.5"/>
  </r>
  <r>
    <s v="DME/BEL"/>
    <s v="BEL"/>
    <x v="2"/>
    <x v="3"/>
    <x v="41"/>
    <x v="5"/>
    <s v="Belem - Val de Cans Intl"/>
    <n v="9908"/>
    <n v="24.25"/>
    <n v="231760526"/>
    <n v="76971.280637661912"/>
    <n v="3011"/>
    <n v="2"/>
    <n v="408.57731958762889"/>
    <n v="48.5"/>
  </r>
  <r>
    <s v="DME/LAX"/>
    <s v="LAX"/>
    <x v="2"/>
    <x v="4"/>
    <x v="1"/>
    <x v="1"/>
    <s v="Los Angeles - Metropolitan Area"/>
    <n v="9829"/>
    <n v="24.25"/>
    <n v="272535688"/>
    <n v="100901.77267678638"/>
    <n v="2701"/>
    <n v="2"/>
    <n v="405.31958762886597"/>
    <n v="48.5"/>
  </r>
  <r>
    <s v="DME/PMV"/>
    <s v="PMV"/>
    <x v="2"/>
    <x v="3"/>
    <x v="47"/>
    <x v="5"/>
    <s v="Porlamar - Del Caribe Intl"/>
    <n v="9748"/>
    <n v="24"/>
    <n v="229233601"/>
    <n v="73922.476942921639"/>
    <n v="3101"/>
    <n v="2"/>
    <n v="406.16666666666669"/>
    <n v="48"/>
  </r>
  <r>
    <s v="DME/SUB"/>
    <s v="SUB"/>
    <x v="2"/>
    <x v="2"/>
    <x v="49"/>
    <x v="2"/>
    <s v="Surabaya - Juanda"/>
    <n v="9748"/>
    <n v="24"/>
    <n v="245270570"/>
    <n v="62745.093374264521"/>
    <n v="3909"/>
    <n v="3"/>
    <n v="406.16666666666669"/>
    <n v="72"/>
  </r>
  <r>
    <s v="DME/PHX"/>
    <s v="PHX"/>
    <x v="2"/>
    <x v="4"/>
    <x v="1"/>
    <x v="1"/>
    <s v="Phoenix - Metropolitan Area"/>
    <n v="9732"/>
    <n v="24"/>
    <n v="267413242"/>
    <n v="101369.68991660349"/>
    <n v="2638"/>
    <n v="2"/>
    <n v="405.5"/>
    <n v="48"/>
  </r>
  <r>
    <s v="DME/GUM"/>
    <s v="GUM"/>
    <x v="2"/>
    <x v="3"/>
    <x v="51"/>
    <x v="4"/>
    <s v="Guam - Metropolitan Area"/>
    <n v="9809"/>
    <n v="24"/>
    <n v="230879347"/>
    <n v="98750.789991445679"/>
    <n v="2338"/>
    <n v="2"/>
    <n v="408.70833333333331"/>
    <n v="48"/>
  </r>
  <r>
    <s v="DME/YIA"/>
    <s v="YIA"/>
    <x v="2"/>
    <x v="3"/>
    <x v="49"/>
    <x v="2"/>
    <s v="Yogyakarta Airport"/>
    <n v="9644"/>
    <n v="23.75"/>
    <n v="238767952"/>
    <n v="64953.196953210012"/>
    <n v="3676"/>
    <n v="3"/>
    <n v="406.06315789473683"/>
    <n v="71.25"/>
  </r>
  <r>
    <s v="DME/REC"/>
    <s v="REC"/>
    <x v="2"/>
    <x v="3"/>
    <x v="41"/>
    <x v="5"/>
    <s v="Recife - Guararapes Intl"/>
    <n v="9694"/>
    <n v="23.75"/>
    <n v="238123983"/>
    <n v="73156.369585253458"/>
    <n v="3255"/>
    <n v="2"/>
    <n v="408.16842105263157"/>
    <n v="47.5"/>
  </r>
  <r>
    <s v="DME/RMQ"/>
    <s v="POS"/>
    <x v="2"/>
    <x v="6"/>
    <x v="52"/>
    <x v="1"/>
    <s v="Piarco Airport"/>
    <n v="9616"/>
    <n v="23.75"/>
    <m/>
    <n v="0"/>
    <m/>
    <n v="0"/>
    <n v="404.88421052631577"/>
    <n v="0"/>
  </r>
  <r>
    <s v="DME/HAV"/>
    <s v="HAV"/>
    <x v="2"/>
    <x v="2"/>
    <x v="53"/>
    <x v="1"/>
    <s v="Havana - Jose Marti Intl"/>
    <n v="9642"/>
    <n v="23.75"/>
    <n v="238948247"/>
    <n v="75235.594143576833"/>
    <n v="3176"/>
    <n v="2"/>
    <n v="405.97894736842107"/>
    <n v="47.5"/>
  </r>
  <r>
    <s v="DME/AUS"/>
    <s v="AUS"/>
    <x v="2"/>
    <x v="2"/>
    <x v="1"/>
    <x v="1"/>
    <s v="Austin - Metropolitan Area"/>
    <n v="9604"/>
    <n v="23.75"/>
    <n v="242872420"/>
    <n v="107228.44150110375"/>
    <n v="2265"/>
    <n v="2"/>
    <n v="404.37894736842105"/>
    <n v="47.5"/>
  </r>
  <r>
    <s v="DME/SJC"/>
    <s v="SJC"/>
    <x v="2"/>
    <x v="2"/>
    <x v="1"/>
    <x v="1"/>
    <s v="San Jose - Metropolitan Area"/>
    <n v="9525"/>
    <n v="23.5"/>
    <n v="242159689"/>
    <n v="106772.34964726631"/>
    <n v="2268"/>
    <n v="2"/>
    <n v="405.31914893617022"/>
    <n v="47"/>
  </r>
  <r>
    <s v="DME/PAP"/>
    <s v="PAP"/>
    <x v="2"/>
    <x v="2"/>
    <x v="54"/>
    <x v="1"/>
    <s v="Port-au-Prince - Toussaint Louverture"/>
    <n v="9522"/>
    <n v="23.5"/>
    <n v="238969078"/>
    <n v="54212.585753176041"/>
    <n v="4408"/>
    <n v="4"/>
    <n v="405.19148936170211"/>
    <n v="94"/>
  </r>
  <r>
    <s v="DME/OAK"/>
    <s v="OAK"/>
    <x v="2"/>
    <x v="2"/>
    <x v="1"/>
    <x v="1"/>
    <s v="Oakland - Metropolitan Area"/>
    <n v="9491"/>
    <n v="23.5"/>
    <n v="243167632"/>
    <n v="106094.0802792321"/>
    <n v="2292"/>
    <n v="2"/>
    <n v="403.87234042553189"/>
    <n v="47"/>
  </r>
  <r>
    <s v="DME/SFO"/>
    <s v="SFO"/>
    <x v="2"/>
    <x v="4"/>
    <x v="1"/>
    <x v="1"/>
    <s v="San Francisco - International"/>
    <n v="9505"/>
    <n v="23.5"/>
    <n v="265551371"/>
    <n v="100511.49545798637"/>
    <n v="2642"/>
    <n v="2"/>
    <n v="404.468085106383"/>
    <n v="47"/>
  </r>
  <r>
    <s v="DME/MSU"/>
    <s v="MSU"/>
    <x v="2"/>
    <x v="1"/>
    <x v="55"/>
    <x v="0"/>
    <s v="Maseru - Moshoeshoe I Intl"/>
    <n v="9491"/>
    <n v="23.5"/>
    <m/>
    <n v="0"/>
    <m/>
    <n v="0"/>
    <n v="403.87234042553189"/>
    <n v="0"/>
  </r>
  <r>
    <s v="DME/LAS"/>
    <s v="LAS"/>
    <x v="2"/>
    <x v="4"/>
    <x v="1"/>
    <x v="1"/>
    <s v="Las Vegas - Metropolitan Area"/>
    <n v="9527"/>
    <n v="23.5"/>
    <n v="266635599"/>
    <n v="100769.31179138322"/>
    <n v="2646"/>
    <n v="2"/>
    <n v="405.40425531914894"/>
    <n v="47"/>
  </r>
  <r>
    <s v="DME/IAH"/>
    <s v="IAH"/>
    <x v="2"/>
    <x v="4"/>
    <x v="1"/>
    <x v="1"/>
    <s v="Houston - George Bush Intercont."/>
    <n v="9535"/>
    <n v="23.5"/>
    <n v="266453817"/>
    <n v="100510.68162957375"/>
    <n v="2651"/>
    <n v="2"/>
    <n v="405.74468085106383"/>
    <n v="47"/>
  </r>
  <r>
    <s v="DME/DUR"/>
    <s v="DUR"/>
    <x v="2"/>
    <x v="3"/>
    <x v="48"/>
    <x v="0"/>
    <s v="Durban - Metropolitan Area"/>
    <n v="9478"/>
    <n v="23.5"/>
    <n v="233324741"/>
    <n v="61807.878410596029"/>
    <n v="3775"/>
    <n v="3"/>
    <n v="403.31914893617022"/>
    <n v="70.5"/>
  </r>
  <r>
    <s v="DME/ABQ"/>
    <s v="ABQ"/>
    <x v="2"/>
    <x v="2"/>
    <x v="1"/>
    <x v="1"/>
    <s v="Albuquerque - International Sunport"/>
    <n v="9409"/>
    <n v="23.25"/>
    <n v="237227496"/>
    <n v="107732.74114441416"/>
    <n v="2202"/>
    <n v="2"/>
    <n v="404.68817204301075"/>
    <n v="46.5"/>
  </r>
  <r>
    <s v="DME/SDQ"/>
    <s v="SDQ"/>
    <x v="2"/>
    <x v="3"/>
    <x v="56"/>
    <x v="1"/>
    <s v="Santo Domingo - Metropolitan Area"/>
    <n v="9387"/>
    <n v="23.25"/>
    <n v="227003642"/>
    <n v="71950.441204437404"/>
    <n v="3155"/>
    <n v="2"/>
    <n v="403.74193548387098"/>
    <n v="46.5"/>
  </r>
  <r>
    <s v="DME/MSY"/>
    <s v="MSY"/>
    <x v="2"/>
    <x v="2"/>
    <x v="1"/>
    <x v="1"/>
    <s v="New Orleans - Metropolitan Area"/>
    <n v="9322"/>
    <n v="23"/>
    <n v="239484202"/>
    <n v="105966.4610619469"/>
    <n v="2260"/>
    <n v="2"/>
    <n v="405.30434782608694"/>
    <n v="46"/>
  </r>
  <r>
    <s v="DME/HLP"/>
    <s v="HLP"/>
    <x v="2"/>
    <x v="0"/>
    <x v="49"/>
    <x v="2"/>
    <s v="Jakarta - Halim Perdanakusuma"/>
    <n v="9291"/>
    <n v="23"/>
    <n v="208902318"/>
    <n v="73350.533005617981"/>
    <n v="2848"/>
    <n v="2"/>
    <n v="403.95652173913044"/>
    <n v="46"/>
  </r>
  <r>
    <s v="DME/BGI"/>
    <s v="BGI"/>
    <x v="2"/>
    <x v="3"/>
    <x v="57"/>
    <x v="1"/>
    <s v="Bridgetown - Grantley Adams Intl"/>
    <n v="9275"/>
    <n v="23"/>
    <n v="223372478"/>
    <n v="91098.074225122342"/>
    <n v="2452"/>
    <n v="2"/>
    <n v="403.26086956521738"/>
    <n v="46"/>
  </r>
  <r>
    <s v="DME/PUJ"/>
    <s v="PUJ"/>
    <x v="2"/>
    <x v="3"/>
    <x v="56"/>
    <x v="1"/>
    <s v="Punta Cana - International"/>
    <n v="9298"/>
    <n v="23"/>
    <n v="223007094"/>
    <n v="73021.314341846752"/>
    <n v="3054"/>
    <n v="2"/>
    <n v="404.26086956521738"/>
    <n v="46"/>
  </r>
  <r>
    <s v="DME/MIA"/>
    <s v="MIA"/>
    <x v="2"/>
    <x v="4"/>
    <x v="1"/>
    <x v="1"/>
    <s v="Miami - Metropolitan Area"/>
    <n v="9265"/>
    <n v="23"/>
    <n v="261694141"/>
    <n v="100035.98662079511"/>
    <n v="2616"/>
    <n v="2"/>
    <n v="402.82608695652175"/>
    <n v="46"/>
  </r>
  <r>
    <s v="DME/DFW"/>
    <s v="DFW"/>
    <x v="2"/>
    <x v="4"/>
    <x v="1"/>
    <x v="1"/>
    <s v="Dallas - Metropolitan Area"/>
    <n v="9305"/>
    <n v="23"/>
    <n v="267645573"/>
    <n v="99091.289522399107"/>
    <n v="2701"/>
    <n v="2"/>
    <n v="404.56521739130437"/>
    <n v="46"/>
  </r>
  <r>
    <s v="DME/PBI"/>
    <s v="PBI"/>
    <x v="2"/>
    <x v="2"/>
    <x v="1"/>
    <x v="1"/>
    <s v="West Palm Beach - Metropolitan Area"/>
    <n v="9169"/>
    <n v="22.75"/>
    <n v="234914834"/>
    <n v="106296.30497737556"/>
    <n v="2210"/>
    <n v="2"/>
    <n v="403.03296703296701"/>
    <n v="45.5"/>
  </r>
  <r>
    <s v="DME/SJU"/>
    <s v="SJU"/>
    <x v="2"/>
    <x v="2"/>
    <x v="58"/>
    <x v="1"/>
    <s v="San Juan - Metropolitan Area"/>
    <n v="9173"/>
    <n v="22.75"/>
    <n v="237480226"/>
    <n v="91904.11222910216"/>
    <n v="2584"/>
    <n v="2"/>
    <n v="403.20879120879118"/>
    <n v="45.5"/>
  </r>
  <r>
    <s v="DME/NAS"/>
    <s v="NAS"/>
    <x v="2"/>
    <x v="3"/>
    <x v="59"/>
    <x v="1"/>
    <s v="Nassau - Lynden Pindling Intl"/>
    <n v="9192"/>
    <n v="22.75"/>
    <n v="226105069"/>
    <n v="85194.072720422002"/>
    <n v="2654"/>
    <n v="2"/>
    <n v="404.04395604395603"/>
    <n v="45.5"/>
  </r>
  <r>
    <s v="DME/DVO"/>
    <s v="DVO"/>
    <x v="2"/>
    <x v="3"/>
    <x v="60"/>
    <x v="2"/>
    <s v="Davao - Francisco Bangoy Intl"/>
    <n v="9215"/>
    <n v="22.75"/>
    <n v="223280641"/>
    <n v="71267.360676667726"/>
    <n v="3133"/>
    <n v="2"/>
    <n v="405.05494505494505"/>
    <n v="45.5"/>
  </r>
  <r>
    <s v="DME/PTP"/>
    <s v="PTP"/>
    <x v="2"/>
    <x v="3"/>
    <x v="61"/>
    <x v="1"/>
    <s v="Pointe-a-Pitre - Le Raizet"/>
    <n v="9107"/>
    <n v="22.5"/>
    <n v="221533099"/>
    <n v="84911.1149865849"/>
    <n v="2609"/>
    <n v="2"/>
    <n v="404.75555555555553"/>
    <n v="45"/>
  </r>
  <r>
    <s v="DME/MCO"/>
    <s v="MCO"/>
    <x v="2"/>
    <x v="4"/>
    <x v="1"/>
    <x v="1"/>
    <s v="Orlando - International"/>
    <n v="9061"/>
    <n v="22.5"/>
    <n v="259011865"/>
    <n v="99314.365414110434"/>
    <n v="2608"/>
    <n v="2"/>
    <n v="402.71111111111111"/>
    <n v="45"/>
  </r>
  <r>
    <s v="DME/JNB"/>
    <s v="JNB"/>
    <x v="2"/>
    <x v="2"/>
    <x v="48"/>
    <x v="0"/>
    <s v="Johannesburg - Metropolitan Area"/>
    <n v="9116"/>
    <n v="22.5"/>
    <n v="247766598"/>
    <n v="58038.556570625442"/>
    <n v="4269"/>
    <n v="3"/>
    <n v="405.15555555555557"/>
    <n v="67.5"/>
  </r>
  <r>
    <s v="DME/SLC"/>
    <s v="SLC"/>
    <x v="2"/>
    <x v="4"/>
    <x v="1"/>
    <x v="1"/>
    <s v="Salt Lake City - International"/>
    <n v="8947"/>
    <n v="22.25"/>
    <n v="248535874"/>
    <n v="100948.77091795289"/>
    <n v="2462"/>
    <n v="2"/>
    <n v="402.11235955056179"/>
    <n v="44.5"/>
  </r>
  <r>
    <s v="DME/DEN"/>
    <s v="DEN"/>
    <x v="2"/>
    <x v="4"/>
    <x v="1"/>
    <x v="1"/>
    <s v="Denver - Metropolitan Area"/>
    <n v="8847"/>
    <n v="22"/>
    <n v="263788762"/>
    <n v="97663.369863013693"/>
    <n v="2701"/>
    <n v="2"/>
    <n v="402.13636363636363"/>
    <n v="44"/>
  </r>
  <r>
    <s v="DME/CEB"/>
    <s v="CEB"/>
    <x v="2"/>
    <x v="3"/>
    <x v="60"/>
    <x v="2"/>
    <s v="Cebu - Mactan International"/>
    <n v="8821"/>
    <n v="22"/>
    <n v="230438422"/>
    <n v="60088.245632333768"/>
    <n v="3835"/>
    <n v="3"/>
    <n v="400.95454545454544"/>
    <n v="66"/>
  </r>
  <r>
    <s v="DME/BKI"/>
    <s v="BKI"/>
    <x v="2"/>
    <x v="3"/>
    <x v="62"/>
    <x v="2"/>
    <s v="Kota Kinabalu - International"/>
    <n v="8719"/>
    <n v="21.75"/>
    <n v="225797455"/>
    <n v="69884.69668833178"/>
    <n v="3231"/>
    <n v="2"/>
    <n v="400.87356321839081"/>
    <n v="43.5"/>
  </r>
  <r>
    <s v="DME/ATL"/>
    <s v="ATL"/>
    <x v="2"/>
    <x v="4"/>
    <x v="1"/>
    <x v="1"/>
    <s v="Atlanta - Metropolitan Area"/>
    <n v="8706"/>
    <n v="21.75"/>
    <n v="261056562"/>
    <n v="96651.818585708999"/>
    <n v="2701"/>
    <n v="2"/>
    <n v="400.27586206896552"/>
    <n v="43.5"/>
  </r>
  <r>
    <s v="DME/MRU"/>
    <s v="MRU"/>
    <x v="2"/>
    <x v="3"/>
    <x v="63"/>
    <x v="0"/>
    <s v="Mauritius - Sir S. Ramgoolam Intl"/>
    <n v="8640"/>
    <n v="21.5"/>
    <n v="218838657"/>
    <n v="73931.97871621621"/>
    <n v="2960"/>
    <n v="2"/>
    <n v="401.86046511627904"/>
    <n v="43"/>
  </r>
  <r>
    <s v="DME/RUN"/>
    <s v="RUN"/>
    <x v="2"/>
    <x v="3"/>
    <x v="64"/>
    <x v="0"/>
    <s v="St-Denis - Roland Garros"/>
    <n v="8648"/>
    <n v="21.5"/>
    <n v="216692106"/>
    <n v="84645.353906250006"/>
    <n v="2560"/>
    <n v="2"/>
    <n v="402.23255813953489"/>
    <n v="43"/>
  </r>
  <r>
    <s v="DME/SIN"/>
    <s v="SIN"/>
    <x v="2"/>
    <x v="4"/>
    <x v="65"/>
    <x v="2"/>
    <s v="Singapore - Changi"/>
    <n v="8402"/>
    <n v="21"/>
    <n v="254883979"/>
    <n v="79576.640337183897"/>
    <n v="3203"/>
    <n v="2"/>
    <n v="400.09523809523807"/>
    <n v="42"/>
  </r>
  <r>
    <s v="DME/SEA"/>
    <s v="SEA"/>
    <x v="2"/>
    <x v="4"/>
    <x v="1"/>
    <x v="1"/>
    <s v="Seattle - Metropolitan Area"/>
    <n v="8431"/>
    <n v="21"/>
    <n v="250365029"/>
    <n v="97342.546267496116"/>
    <n v="2572"/>
    <n v="2"/>
    <n v="401.47619047619048"/>
    <n v="42"/>
  </r>
  <r>
    <s v="DME/CLT"/>
    <s v="CLT"/>
    <x v="2"/>
    <x v="4"/>
    <x v="1"/>
    <x v="1"/>
    <s v="Charlotte - Metropolitan Area"/>
    <n v="8394"/>
    <n v="21"/>
    <n v="253687404"/>
    <n v="96276.054648956357"/>
    <n v="2635"/>
    <n v="2"/>
    <n v="399.71428571428572"/>
    <n v="42"/>
  </r>
  <r>
    <s v="DME/BTH"/>
    <s v="BTH"/>
    <x v="2"/>
    <x v="3"/>
    <x v="49"/>
    <x v="2"/>
    <s v="Batam - Hang Nadim"/>
    <n v="8432"/>
    <n v="21"/>
    <n v="219984288"/>
    <n v="62978.610936158031"/>
    <n v="3493"/>
    <n v="3"/>
    <n v="401.52380952380952"/>
    <n v="63"/>
  </r>
  <r>
    <s v="DME/YVR"/>
    <s v="YVR"/>
    <x v="2"/>
    <x v="2"/>
    <x v="3"/>
    <x v="1"/>
    <s v="Vancouver - Metropolitan Area"/>
    <n v="8253"/>
    <n v="20.75"/>
    <n v="238888220"/>
    <n v="87923.525947736474"/>
    <n v="2717"/>
    <n v="2"/>
    <n v="397.73493975903614"/>
    <n v="41.5"/>
  </r>
  <r>
    <s v="DME/MNL"/>
    <s v="MNL"/>
    <x v="2"/>
    <x v="4"/>
    <x v="60"/>
    <x v="2"/>
    <s v="Manila - Metropolitan Area"/>
    <n v="8253"/>
    <n v="20.75"/>
    <n v="241346776"/>
    <n v="61867.925147398106"/>
    <n v="3901"/>
    <n v="3"/>
    <n v="397.73493975903614"/>
    <n v="62.25"/>
  </r>
  <r>
    <s v="DME/JHB"/>
    <s v="JHB"/>
    <x v="2"/>
    <x v="3"/>
    <x v="62"/>
    <x v="2"/>
    <s v="Johor Bahru - Senai Intl"/>
    <n v="8357"/>
    <n v="20.75"/>
    <n v="210288769"/>
    <n v="75998.832309360325"/>
    <n v="2767"/>
    <n v="2"/>
    <n v="402.74698795180723"/>
    <n v="41.5"/>
  </r>
  <r>
    <s v="DME/ORD"/>
    <s v="ORD"/>
    <x v="2"/>
    <x v="4"/>
    <x v="1"/>
    <x v="1"/>
    <s v="Chicago - O'Hare International"/>
    <n v="8044"/>
    <n v="20.25"/>
    <n v="254855011"/>
    <n v="98096.617013086987"/>
    <n v="2598"/>
    <n v="2"/>
    <n v="397.23456790123458"/>
    <n v="40.5"/>
  </r>
  <r>
    <s v="DME/KUL"/>
    <s v="KUL"/>
    <x v="2"/>
    <x v="4"/>
    <x v="62"/>
    <x v="2"/>
    <s v="Kuala Lumpur - Metropolitan Area"/>
    <n v="8136"/>
    <n v="20.25"/>
    <m/>
    <n v="0"/>
    <m/>
    <n v="0"/>
    <n v="401.77777777777777"/>
    <n v="0"/>
  </r>
  <r>
    <s v="DME/SPP"/>
    <s v="SPP"/>
    <x v="2"/>
    <x v="1"/>
    <x v="66"/>
    <x v="0"/>
    <s v="Menongue"/>
    <n v="8020"/>
    <n v="20"/>
    <m/>
    <n v="0"/>
    <m/>
    <n v="0"/>
    <n v="401"/>
    <n v="0"/>
  </r>
  <r>
    <s v="DME/MSP"/>
    <s v="MSP"/>
    <x v="2"/>
    <x v="4"/>
    <x v="1"/>
    <x v="1"/>
    <s v="Minneapolis/St Paul - Metropolitan Area"/>
    <n v="7959"/>
    <n v="20"/>
    <n v="245769832"/>
    <n v="99140.714804356598"/>
    <n v="2479"/>
    <n v="2"/>
    <n v="397.95"/>
    <n v="40"/>
  </r>
  <r>
    <s v="DME/PEN"/>
    <s v="PEN"/>
    <x v="2"/>
    <x v="3"/>
    <x v="62"/>
    <x v="2"/>
    <s v="Penang - International"/>
    <n v="7812"/>
    <n v="19.75"/>
    <n v="212628101"/>
    <n v="71279.953402614818"/>
    <n v="2983"/>
    <n v="2"/>
    <n v="395.54430379746833"/>
    <n v="39.5"/>
  </r>
  <r>
    <s v="DME/KNO"/>
    <s v="KNO"/>
    <x v="2"/>
    <x v="2"/>
    <x v="49"/>
    <x v="2"/>
    <s v="Medan - Kualanamu International Airport"/>
    <n v="7886"/>
    <n v="19.75"/>
    <n v="229256662"/>
    <n v="61595.019344438471"/>
    <n v="3722"/>
    <n v="3"/>
    <n v="399.29113924050631"/>
    <n v="59.25"/>
  </r>
  <r>
    <s v="DME/IAD"/>
    <s v="IAD"/>
    <x v="2"/>
    <x v="4"/>
    <x v="1"/>
    <x v="1"/>
    <s v="Washington - Dulles Intl"/>
    <n v="7878"/>
    <n v="19.75"/>
    <n v="239568039"/>
    <n v="100028.40876826723"/>
    <n v="2395"/>
    <n v="2"/>
    <n v="398.88607594936707"/>
    <n v="39.5"/>
  </r>
  <r>
    <s v="DME/DTW"/>
    <s v="DTW"/>
    <x v="2"/>
    <x v="4"/>
    <x v="1"/>
    <x v="1"/>
    <s v="Detroit - Metropolitan Wayne Co."/>
    <n v="7833"/>
    <n v="19.75"/>
    <n v="244346060"/>
    <n v="98805.523655479177"/>
    <n v="2473"/>
    <n v="2"/>
    <n v="396.60759493670884"/>
    <n v="39.5"/>
  </r>
  <r>
    <s v="DME/BWI"/>
    <s v="BWI"/>
    <x v="2"/>
    <x v="4"/>
    <x v="1"/>
    <x v="1"/>
    <s v="Washington - Baltimore/Wash. Intl"/>
    <n v="7819"/>
    <n v="19.75"/>
    <n v="237653817"/>
    <n v="99938.526913372581"/>
    <n v="2378"/>
    <n v="2"/>
    <n v="395.8987341772152"/>
    <n v="39.5"/>
  </r>
  <r>
    <s v="DME/SGN"/>
    <s v="SGN"/>
    <x v="2"/>
    <x v="2"/>
    <x v="67"/>
    <x v="2"/>
    <s v="Ho Chi Minh City - Tan Son Nhat Intl"/>
    <n v="7686"/>
    <n v="19.25"/>
    <n v="231512444"/>
    <n v="60289.698958333334"/>
    <n v="3840"/>
    <n v="3"/>
    <n v="399.27272727272725"/>
    <n v="57.75"/>
  </r>
  <r>
    <s v="DME/PHL"/>
    <s v="PHL"/>
    <x v="2"/>
    <x v="4"/>
    <x v="1"/>
    <x v="1"/>
    <s v="Philadelphia - Metropolitan Area"/>
    <n v="7687"/>
    <n v="19.25"/>
    <n v="242343023"/>
    <n v="98154.322802754148"/>
    <n v="2469"/>
    <n v="2"/>
    <n v="399.3246753246753"/>
    <n v="38.5"/>
  </r>
  <r>
    <s v="DME/OKA"/>
    <s v="OKA"/>
    <x v="2"/>
    <x v="2"/>
    <x v="5"/>
    <x v="2"/>
    <s v="Okinawa - Metropolitan Area"/>
    <n v="7624"/>
    <n v="19.25"/>
    <n v="229380534"/>
    <n v="80967.361101306029"/>
    <n v="2833"/>
    <n v="2"/>
    <n v="396.05194805194805"/>
    <n v="38.5"/>
  </r>
  <r>
    <s v="DME/HDY"/>
    <s v="HDY"/>
    <x v="2"/>
    <x v="3"/>
    <x v="68"/>
    <x v="2"/>
    <s v="Hat Yai - International"/>
    <n v="7665"/>
    <n v="19.25"/>
    <n v="204179324"/>
    <n v="69496.025867937366"/>
    <n v="2938"/>
    <n v="2"/>
    <n v="398.18181818181819"/>
    <n v="38.5"/>
  </r>
  <r>
    <s v="DME/YYZ"/>
    <s v="YYZ"/>
    <x v="2"/>
    <x v="4"/>
    <x v="3"/>
    <x v="1"/>
    <s v="Toronto - Lester B. Pearson Intl"/>
    <n v="7535"/>
    <n v="19"/>
    <n v="241177219"/>
    <n v="86103.969653695109"/>
    <n v="2801"/>
    <n v="2"/>
    <n v="396.57894736842104"/>
    <n v="38"/>
  </r>
  <r>
    <s v="DME/PNH"/>
    <s v="PNH"/>
    <x v="2"/>
    <x v="3"/>
    <x v="69"/>
    <x v="2"/>
    <s v="Phnom Penh - International"/>
    <n v="7507"/>
    <n v="19"/>
    <n v="205611549"/>
    <n v="55450.795307443368"/>
    <n v="3708"/>
    <n v="3"/>
    <n v="395.10526315789474"/>
    <n v="57"/>
  </r>
  <r>
    <s v="DME/NRT"/>
    <s v="NRT"/>
    <x v="2"/>
    <x v="4"/>
    <x v="5"/>
    <x v="2"/>
    <s v="Tokyo - Narita Intl"/>
    <n v="7515"/>
    <n v="19"/>
    <n v="242013305"/>
    <n v="76707.862123613319"/>
    <n v="3155"/>
    <n v="2"/>
    <n v="395.5263157894737"/>
    <n v="38"/>
  </r>
  <r>
    <s v="DME/LAD"/>
    <s v="LAD"/>
    <x v="2"/>
    <x v="3"/>
    <x v="66"/>
    <x v="0"/>
    <s v="Luanda - 4 de Fevereiro"/>
    <n v="7505"/>
    <n v="19"/>
    <n v="209108626"/>
    <n v="53521.532121832606"/>
    <n v="3907"/>
    <n v="3"/>
    <n v="395"/>
    <n v="57"/>
  </r>
  <r>
    <s v="DME/JFK"/>
    <s v="JFK"/>
    <x v="2"/>
    <x v="4"/>
    <x v="1"/>
    <x v="1"/>
    <s v="New York - John F Kennedy Intl"/>
    <n v="7547"/>
    <n v="19"/>
    <n v="249826426"/>
    <n v="96495.336423329471"/>
    <n v="2589"/>
    <n v="2"/>
    <n v="397.21052631578948"/>
    <n v="38"/>
  </r>
  <r>
    <s v="DME/HND"/>
    <s v="HND"/>
    <x v="2"/>
    <x v="4"/>
    <x v="5"/>
    <x v="2"/>
    <s v="Tokyo Intl (Haneda)"/>
    <n v="7501"/>
    <n v="19"/>
    <m/>
    <n v="0"/>
    <m/>
    <n v="0"/>
    <n v="394.78947368421052"/>
    <n v="0"/>
  </r>
  <r>
    <s v="DME/EWR"/>
    <s v="EWR"/>
    <x v="2"/>
    <x v="4"/>
    <x v="1"/>
    <x v="1"/>
    <s v="New York - Newark Liberty Intl"/>
    <n v="7560"/>
    <n v="19"/>
    <n v="242975142"/>
    <n v="97306.824989987988"/>
    <n v="2497"/>
    <n v="2"/>
    <n v="397.89473684210526"/>
    <n v="38"/>
  </r>
  <r>
    <s v="DME/RMQ"/>
    <s v="RMQ"/>
    <x v="2"/>
    <x v="6"/>
    <x v="4"/>
    <x v="2"/>
    <s v="Taichung Airport"/>
    <n v="7360"/>
    <n v="18.75"/>
    <m/>
    <n v="0"/>
    <m/>
    <n v="0"/>
    <n v="392.53333333333336"/>
    <n v="0"/>
  </r>
  <r>
    <s v="DME/NGO"/>
    <s v="NGO"/>
    <x v="2"/>
    <x v="2"/>
    <x v="5"/>
    <x v="2"/>
    <s v="Nagoya - Metropolitan Area"/>
    <n v="7398"/>
    <n v="18.75"/>
    <n v="225133289"/>
    <n v="81041.5007199424"/>
    <n v="2778"/>
    <n v="2"/>
    <n v="394.56"/>
    <n v="37.5"/>
  </r>
  <r>
    <s v="DME/HKT"/>
    <s v="HKT"/>
    <x v="2"/>
    <x v="3"/>
    <x v="68"/>
    <x v="2"/>
    <s v="Phuket - International"/>
    <n v="7431"/>
    <n v="18.75"/>
    <n v="215636372"/>
    <n v="64120.241451085341"/>
    <n v="3363"/>
    <n v="3"/>
    <n v="396.32"/>
    <n v="56.25"/>
  </r>
  <r>
    <s v="DME/TPE"/>
    <s v="TPE"/>
    <x v="2"/>
    <x v="4"/>
    <x v="4"/>
    <x v="2"/>
    <s v="Taipei - Metropolitan Area"/>
    <n v="7327"/>
    <n v="18.5"/>
    <n v="234980194"/>
    <n v="76441.182173064415"/>
    <n v="3074"/>
    <n v="2"/>
    <n v="396.05405405405406"/>
    <n v="37"/>
  </r>
  <r>
    <s v="DME/KOJ"/>
    <s v="KOJ"/>
    <x v="2"/>
    <x v="3"/>
    <x v="5"/>
    <x v="2"/>
    <s v="Kagoshima"/>
    <n v="7317"/>
    <n v="18.5"/>
    <n v="214758620"/>
    <n v="84484.114870180958"/>
    <n v="2542"/>
    <n v="2"/>
    <n v="395.51351351351349"/>
    <n v="37"/>
  </r>
  <r>
    <s v="DME/KIX"/>
    <s v="KIX"/>
    <x v="2"/>
    <x v="2"/>
    <x v="5"/>
    <x v="2"/>
    <s v="Osaka - Kansai International"/>
    <n v="7348"/>
    <n v="18.5"/>
    <n v="229144418"/>
    <n v="79481.241068331597"/>
    <n v="2883"/>
    <n v="2"/>
    <n v="397.18918918918916"/>
    <n v="37"/>
  </r>
  <r>
    <s v="DME/ITM"/>
    <s v="ITM"/>
    <x v="2"/>
    <x v="2"/>
    <x v="5"/>
    <x v="2"/>
    <s v="Osaka Intl (Itami)"/>
    <n v="7328"/>
    <n v="18.5"/>
    <n v="230287389"/>
    <n v="78623.212359166952"/>
    <n v="2929"/>
    <n v="2"/>
    <n v="396.10810810810813"/>
    <n v="37"/>
  </r>
  <r>
    <s v="DME/DAD"/>
    <s v="DAD"/>
    <x v="2"/>
    <x v="3"/>
    <x v="67"/>
    <x v="2"/>
    <s v="Da Nang - International"/>
    <n v="7307"/>
    <n v="18.5"/>
    <n v="200564919"/>
    <n v="65845.344386080105"/>
    <n v="3046"/>
    <n v="2"/>
    <n v="394.97297297297297"/>
    <n v="37"/>
  </r>
  <r>
    <s v="DME/BOS"/>
    <s v="BOS"/>
    <x v="2"/>
    <x v="4"/>
    <x v="1"/>
    <x v="1"/>
    <s v="Boston - Metropolitan Area"/>
    <n v="7256"/>
    <n v="18.5"/>
    <n v="235106048"/>
    <n v="96950.947628865979"/>
    <n v="2425"/>
    <n v="2"/>
    <n v="392.2162162162162"/>
    <n v="37"/>
  </r>
  <r>
    <s v="DME/XMN"/>
    <s v="XMN"/>
    <x v="2"/>
    <x v="2"/>
    <x v="26"/>
    <x v="2"/>
    <s v="Xiamen - Gaoqi Intl"/>
    <n v="7180"/>
    <n v="18.25"/>
    <n v="220693074"/>
    <n v="65024.476723629938"/>
    <n v="3394"/>
    <n v="3"/>
    <n v="393.42465753424659"/>
    <n v="54.75"/>
  </r>
  <r>
    <s v="DME/SYX"/>
    <s v="SYX"/>
    <x v="2"/>
    <x v="2"/>
    <x v="26"/>
    <x v="2"/>
    <s v="Sanya - Phoenix Intl"/>
    <n v="7181"/>
    <n v="18.25"/>
    <n v="216226412"/>
    <n v="66003.178266178264"/>
    <n v="3276"/>
    <n v="2"/>
    <n v="393.47945205479454"/>
    <n v="36.5"/>
  </r>
  <r>
    <s v="DME/FUK"/>
    <s v="FUK"/>
    <x v="2"/>
    <x v="2"/>
    <x v="5"/>
    <x v="2"/>
    <s v="Fukuoka"/>
    <n v="7146"/>
    <n v="18.25"/>
    <n v="227849855"/>
    <n v="78191.439601921753"/>
    <n v="2914"/>
    <n v="2"/>
    <n v="391.56164383561645"/>
    <n v="36.5"/>
  </r>
  <r>
    <s v="DME/FOC"/>
    <s v="FOC"/>
    <x v="2"/>
    <x v="3"/>
    <x v="26"/>
    <x v="2"/>
    <s v="Fuzhou - Changle Intl"/>
    <n v="7154"/>
    <n v="18.25"/>
    <n v="211683944"/>
    <n v="66988.589873417717"/>
    <n v="3160"/>
    <n v="2"/>
    <n v="392"/>
    <n v="36.5"/>
  </r>
  <r>
    <s v="DME/ZUH"/>
    <s v="ZUH"/>
    <x v="2"/>
    <x v="3"/>
    <x v="26"/>
    <x v="2"/>
    <s v="Zhuhai - Sanzao Intl"/>
    <n v="7103"/>
    <n v="18"/>
    <n v="198368667"/>
    <n v="70368.452288045402"/>
    <n v="2819"/>
    <n v="2"/>
    <n v="394.61111111111109"/>
    <n v="36"/>
  </r>
  <r>
    <s v="DME/SZX"/>
    <s v="SZX"/>
    <x v="2"/>
    <x v="4"/>
    <x v="26"/>
    <x v="2"/>
    <s v="Shenzhen - Bao'an Intl"/>
    <n v="7075"/>
    <n v="18"/>
    <n v="230884231"/>
    <n v="62553.300189650501"/>
    <n v="3691"/>
    <n v="3"/>
    <n v="393.05555555555554"/>
    <n v="54"/>
  </r>
  <r>
    <s v="DME/MFM"/>
    <s v="MFM"/>
    <x v="2"/>
    <x v="3"/>
    <x v="26"/>
    <x v="2"/>
    <s v="Macau - International"/>
    <n v="7104"/>
    <n v="18"/>
    <n v="208357825"/>
    <n v="67429.716828478966"/>
    <n v="3090"/>
    <n v="2"/>
    <n v="394.66666666666669"/>
    <n v="36"/>
  </r>
  <r>
    <s v="DME/HKG"/>
    <s v="HKG"/>
    <x v="2"/>
    <x v="4"/>
    <x v="26"/>
    <x v="2"/>
    <s v="Hong Kong - Metropolitan Area"/>
    <n v="7110"/>
    <n v="18"/>
    <n v="243425868"/>
    <n v="60886.910455227611"/>
    <n v="3998"/>
    <n v="3"/>
    <n v="395"/>
    <n v="54"/>
  </r>
  <r>
    <s v="DME/HAK"/>
    <s v="HAK"/>
    <x v="2"/>
    <x v="2"/>
    <x v="26"/>
    <x v="2"/>
    <s v="Haikou - Meilan Intl"/>
    <n v="7101"/>
    <n v="18"/>
    <n v="216185637"/>
    <n v="65630.126593806926"/>
    <n v="3294"/>
    <n v="2"/>
    <n v="394.5"/>
    <n v="36"/>
  </r>
  <r>
    <s v="DME/DMK"/>
    <s v="DMK"/>
    <x v="2"/>
    <x v="4"/>
    <x v="68"/>
    <x v="2"/>
    <s v="Bangkok - Don Mueang Int'l"/>
    <n v="7030"/>
    <n v="18"/>
    <n v="238938562"/>
    <n v="56660.792506521226"/>
    <n v="4217"/>
    <n v="3"/>
    <n v="390.55555555555554"/>
    <n v="54"/>
  </r>
  <r>
    <s v="DME/BKK"/>
    <s v="BKK"/>
    <x v="2"/>
    <x v="4"/>
    <x v="68"/>
    <x v="2"/>
    <s v="Bangkok - Metropolitan Area"/>
    <n v="7060"/>
    <n v="18"/>
    <n v="241205847"/>
    <n v="56501.721011946589"/>
    <n v="4269"/>
    <n v="3"/>
    <n v="392.22222222222223"/>
    <n v="54"/>
  </r>
  <r>
    <s v="DME/PUS"/>
    <s v="PUS"/>
    <x v="2"/>
    <x v="2"/>
    <x v="70"/>
    <x v="2"/>
    <s v="Busan - Gimhae Intl"/>
    <n v="6921"/>
    <n v="17.75"/>
    <n v="213487298"/>
    <n v="74437.691073919108"/>
    <n v="2868"/>
    <n v="2"/>
    <n v="389.91549295774649"/>
    <n v="35.5"/>
  </r>
  <r>
    <s v="DME/NGB"/>
    <s v="NGB"/>
    <x v="2"/>
    <x v="3"/>
    <x v="26"/>
    <x v="2"/>
    <s v="Ningbo - Lishe Intl"/>
    <n v="6930"/>
    <n v="17.75"/>
    <n v="206127786"/>
    <n v="67033.426341463419"/>
    <n v="3075"/>
    <n v="2"/>
    <n v="390.42253521126759"/>
    <n v="35.5"/>
  </r>
  <r>
    <s v="DME/DAR"/>
    <s v="DAR"/>
    <x v="2"/>
    <x v="3"/>
    <x v="71"/>
    <x v="0"/>
    <s v="Dar es Salaam - Julius Nyerere Intl"/>
    <n v="6928"/>
    <n v="17.75"/>
    <n v="197400442"/>
    <n v="52180.925720327781"/>
    <n v="3783"/>
    <n v="3"/>
    <n v="390.3098591549296"/>
    <n v="53.25"/>
  </r>
  <r>
    <s v="DME/CTS"/>
    <s v="CTS"/>
    <x v="2"/>
    <x v="2"/>
    <x v="5"/>
    <x v="2"/>
    <s v="Sapporo - New Chitose"/>
    <n v="6965"/>
    <n v="17.75"/>
    <n v="226325644"/>
    <n v="77508.782191780818"/>
    <n v="2920"/>
    <n v="2"/>
    <n v="392.3943661971831"/>
    <n v="35.5"/>
  </r>
  <r>
    <s v="DME/CJU"/>
    <s v="CJU"/>
    <x v="2"/>
    <x v="2"/>
    <x v="70"/>
    <x v="2"/>
    <s v="Jeju - International"/>
    <n v="6919"/>
    <n v="17.75"/>
    <n v="219794164"/>
    <n v="72016.436435124502"/>
    <n v="3052"/>
    <n v="2"/>
    <n v="389.80281690140845"/>
    <n v="35.5"/>
  </r>
  <r>
    <s v="DME/CAN"/>
    <s v="CAN"/>
    <x v="2"/>
    <x v="4"/>
    <x v="26"/>
    <x v="2"/>
    <s v="Guangzhou - Baiyun Intl"/>
    <n v="6976"/>
    <n v="17.75"/>
    <n v="239103049"/>
    <n v="60980.119612343791"/>
    <n v="3921"/>
    <n v="3"/>
    <n v="393.01408450704224"/>
    <n v="53.25"/>
  </r>
  <r>
    <s v="DME/SHA"/>
    <s v="SHA"/>
    <x v="2"/>
    <x v="4"/>
    <x v="26"/>
    <x v="2"/>
    <s v="Shanghai - Metropolitan Area"/>
    <n v="6805"/>
    <n v="17.5"/>
    <n v="228565364"/>
    <n v="61757.731423939476"/>
    <n v="3701"/>
    <n v="3"/>
    <n v="388.85714285714283"/>
    <n v="52.5"/>
  </r>
  <r>
    <s v="DME/PVG"/>
    <s v="PVG"/>
    <x v="2"/>
    <x v="4"/>
    <x v="26"/>
    <x v="2"/>
    <s v="Shanghai - Pudong Intl"/>
    <n v="6838"/>
    <n v="17.5"/>
    <n v="237692563"/>
    <n v="60682.298442685729"/>
    <n v="3917"/>
    <n v="3"/>
    <n v="390.74285714285713"/>
    <n v="52.5"/>
  </r>
  <r>
    <s v="DME/HGH"/>
    <s v="HGH"/>
    <x v="2"/>
    <x v="2"/>
    <x v="26"/>
    <x v="2"/>
    <s v="Hangzhou - Xiaoshan Intl"/>
    <n v="6832"/>
    <n v="17.5"/>
    <n v="221096964"/>
    <n v="63279.039496279336"/>
    <n v="3494"/>
    <n v="3"/>
    <n v="390.4"/>
    <n v="52.5"/>
  </r>
  <r>
    <s v="DME/WUX"/>
    <s v="WUX"/>
    <x v="2"/>
    <x v="3"/>
    <x v="26"/>
    <x v="2"/>
    <s v="Wuxi - Sunan Shuofang"/>
    <n v="6724"/>
    <n v="17.25"/>
    <n v="198352171"/>
    <n v="67859.10742387957"/>
    <n v="2923"/>
    <n v="2"/>
    <n v="389.79710144927537"/>
    <n v="34.5"/>
  </r>
  <r>
    <s v="DME/IXZ"/>
    <s v="IXZ"/>
    <x v="2"/>
    <x v="0"/>
    <x v="72"/>
    <x v="2"/>
    <s v="Port Blair - Veer Savarkar Intl"/>
    <n v="6772"/>
    <n v="17.25"/>
    <n v="189264776"/>
    <n v="58110.155357691125"/>
    <n v="3257"/>
    <n v="2"/>
    <n v="392.57971014492756"/>
    <n v="34.5"/>
  </r>
  <r>
    <s v="DME/HAN"/>
    <s v="HAN"/>
    <x v="2"/>
    <x v="3"/>
    <x v="67"/>
    <x v="2"/>
    <s v="Hanoi - Noi Bai Intl"/>
    <n v="6695"/>
    <n v="17.25"/>
    <n v="202504956"/>
    <n v="61758.144556267158"/>
    <n v="3279"/>
    <n v="2"/>
    <n v="388.1159420289855"/>
    <n v="34.5"/>
  </r>
  <r>
    <s v="DME/UUS"/>
    <s v="UUS"/>
    <x v="2"/>
    <x v="0"/>
    <x v="73"/>
    <x v="3"/>
    <s v="Yuzhno-Sakhalinsk - Khomutovo"/>
    <n v="6660"/>
    <n v="17"/>
    <n v="187425418"/>
    <n v="72701.868890612881"/>
    <n v="2578"/>
    <n v="2"/>
    <n v="391.76470588235293"/>
    <n v="34"/>
  </r>
  <r>
    <s v="DME/NKG"/>
    <s v="NKG"/>
    <x v="2"/>
    <x v="2"/>
    <x v="26"/>
    <x v="2"/>
    <s v="Nanjing - Lukou Intl"/>
    <n v="6582"/>
    <n v="17"/>
    <n v="214226919"/>
    <n v="63399.50251553714"/>
    <n v="3379"/>
    <n v="3"/>
    <n v="387.1764705882353"/>
    <n v="51"/>
  </r>
  <r>
    <s v="DME/KWL"/>
    <s v="KWL"/>
    <x v="2"/>
    <x v="3"/>
    <x v="26"/>
    <x v="2"/>
    <s v="Guilin - Liangjiang Intl"/>
    <n v="6612"/>
    <n v="17"/>
    <n v="205860324"/>
    <n v="65290.302568981919"/>
    <n v="3153"/>
    <n v="2"/>
    <n v="388.94117647058823"/>
    <n v="34"/>
  </r>
  <r>
    <s v="DME/KHN"/>
    <s v="KHN"/>
    <x v="2"/>
    <x v="3"/>
    <x v="26"/>
    <x v="2"/>
    <s v="Nanchang - Changbei Intl"/>
    <n v="6667"/>
    <n v="17"/>
    <n v="203256485"/>
    <n v="66250.484028683175"/>
    <n v="3068"/>
    <n v="2"/>
    <n v="392.1764705882353"/>
    <n v="34"/>
  </r>
  <r>
    <s v="DME/ICN"/>
    <s v="ICN"/>
    <x v="2"/>
    <x v="4"/>
    <x v="70"/>
    <x v="2"/>
    <s v="Seoul - Incheon International"/>
    <n v="6583"/>
    <n v="17"/>
    <n v="230587168"/>
    <n v="67109.187427240977"/>
    <n v="3436"/>
    <n v="3"/>
    <n v="387.23529411764707"/>
    <n v="51"/>
  </r>
  <r>
    <s v="DME/GMP"/>
    <s v="GMP"/>
    <x v="2"/>
    <x v="2"/>
    <x v="70"/>
    <x v="2"/>
    <s v="Seoul - Gimpo International"/>
    <n v="6595"/>
    <n v="17"/>
    <n v="218368531"/>
    <n v="70509.696803358092"/>
    <n v="3097"/>
    <n v="2"/>
    <n v="387.94117647058823"/>
    <n v="34"/>
  </r>
  <r>
    <s v="DME/HFE"/>
    <s v="HFE"/>
    <x v="2"/>
    <x v="3"/>
    <x v="26"/>
    <x v="2"/>
    <s v="Hefei - Xinqiao Intl"/>
    <n v="6507"/>
    <n v="16.75"/>
    <n v="199602135"/>
    <n v="66224.995023224954"/>
    <n v="3014"/>
    <n v="2"/>
    <n v="388.47761194029852"/>
    <n v="33.5"/>
  </r>
  <r>
    <s v="DME/DSS"/>
    <s v="DSS"/>
    <x v="2"/>
    <x v="3"/>
    <x v="74"/>
    <x v="0"/>
    <s v="Dakar - Metropolitan Area"/>
    <n v="6497"/>
    <n v="16.75"/>
    <n v="199977392"/>
    <n v="47921.73304577043"/>
    <n v="4173"/>
    <n v="3"/>
    <n v="387.8805970149254"/>
    <n v="50.25"/>
  </r>
  <r>
    <s v="DME/CNX"/>
    <s v="CNX"/>
    <x v="2"/>
    <x v="3"/>
    <x v="68"/>
    <x v="2"/>
    <s v="Chiang Mai - International"/>
    <n v="6488"/>
    <n v="16.75"/>
    <n v="199492878"/>
    <n v="63190.648717136522"/>
    <n v="3157"/>
    <n v="2"/>
    <n v="387.34328358208955"/>
    <n v="33.5"/>
  </r>
  <r>
    <s v="DME/WUH"/>
    <s v="WUH"/>
    <x v="2"/>
    <x v="2"/>
    <x v="26"/>
    <x v="2"/>
    <s v="Wuhan - Tianhe Intl"/>
    <n v="6399"/>
    <n v="16.5"/>
    <n v="212868868"/>
    <n v="62719.171479080731"/>
    <n v="3394"/>
    <n v="3"/>
    <n v="387.81818181818181"/>
    <n v="49.5"/>
  </r>
  <r>
    <s v="DME/VVO"/>
    <s v="VVO"/>
    <x v="2"/>
    <x v="3"/>
    <x v="73"/>
    <x v="3"/>
    <s v="Vladivostok - Knevichi"/>
    <n v="6412"/>
    <n v="16.5"/>
    <n v="190527980"/>
    <n v="69561.146403797"/>
    <n v="2739"/>
    <n v="2"/>
    <n v="388.60606060606062"/>
    <n v="33"/>
  </r>
  <r>
    <s v="DME/TAO"/>
    <s v="TAO"/>
    <x v="2"/>
    <x v="2"/>
    <x v="26"/>
    <x v="2"/>
    <s v="Qingdao - Liuting Intl"/>
    <n v="6322"/>
    <n v="16.25"/>
    <n v="210056778"/>
    <n v="62910.086253369271"/>
    <n v="3339"/>
    <n v="3"/>
    <n v="389.04615384615386"/>
    <n v="48.75"/>
  </r>
  <r>
    <s v="DME/NBO"/>
    <s v="NBO"/>
    <x v="2"/>
    <x v="3"/>
    <x v="75"/>
    <x v="0"/>
    <s v="Nairobi - Metropolitan Area"/>
    <n v="6310"/>
    <n v="16.25"/>
    <n v="204543694"/>
    <n v="48642.971224732464"/>
    <n v="4205"/>
    <n v="3"/>
    <n v="388.30769230769232"/>
    <n v="48.75"/>
  </r>
  <r>
    <s v="DME/KWE"/>
    <s v="KWE"/>
    <x v="2"/>
    <x v="3"/>
    <x v="26"/>
    <x v="2"/>
    <s v="Guiyang - Longdongbao Intl"/>
    <n v="6287"/>
    <n v="16.25"/>
    <n v="203373721"/>
    <n v="64115.296658259773"/>
    <n v="3172"/>
    <n v="2"/>
    <n v="386.89230769230767"/>
    <n v="32.5"/>
  </r>
  <r>
    <s v="DME/TRV"/>
    <s v="TRV"/>
    <x v="2"/>
    <x v="3"/>
    <x v="72"/>
    <x v="2"/>
    <s v="Thiruvananthapuram - International"/>
    <n v="6240"/>
    <n v="16"/>
    <n v="195473892"/>
    <n v="53879.242557883132"/>
    <n v="3628"/>
    <n v="3"/>
    <n v="390"/>
    <n v="48"/>
  </r>
  <r>
    <s v="DME/LOS"/>
    <s v="LOS"/>
    <x v="2"/>
    <x v="2"/>
    <x v="28"/>
    <x v="0"/>
    <s v="Lagos - Murtala Muhammed Intl"/>
    <n v="6233"/>
    <n v="16"/>
    <n v="206131809"/>
    <n v="47234.60334555454"/>
    <n v="4364"/>
    <n v="3"/>
    <n v="389.5625"/>
    <n v="48"/>
  </r>
  <r>
    <s v="DME/DLC"/>
    <s v="DLC"/>
    <x v="2"/>
    <x v="2"/>
    <x v="26"/>
    <x v="2"/>
    <s v="Dalian - Zhoushuizi Intl"/>
    <n v="6171"/>
    <n v="16"/>
    <n v="208375301"/>
    <n v="62462.62020383693"/>
    <n v="3336"/>
    <n v="3"/>
    <n v="385.6875"/>
    <n v="48"/>
  </r>
  <r>
    <s v="DME/TNA"/>
    <s v="TNA"/>
    <x v="2"/>
    <x v="3"/>
    <x v="26"/>
    <x v="2"/>
    <s v="Jinan - Yaoqiang Intl"/>
    <n v="6082"/>
    <n v="15.75"/>
    <n v="201753628"/>
    <n v="63424.592266582833"/>
    <n v="3181"/>
    <n v="2"/>
    <n v="386.15873015873018"/>
    <n v="31.5"/>
  </r>
  <r>
    <s v="DME/SHE"/>
    <s v="SHE"/>
    <x v="2"/>
    <x v="2"/>
    <x v="26"/>
    <x v="2"/>
    <s v="Shenyang - Taoxian Intl"/>
    <n v="6069"/>
    <n v="15.75"/>
    <n v="204383628"/>
    <n v="62752.111759287691"/>
    <n v="3257"/>
    <n v="2"/>
    <n v="385.33333333333331"/>
    <n v="31.5"/>
  </r>
  <r>
    <s v="DME/MDL"/>
    <s v="MDL"/>
    <x v="2"/>
    <x v="3"/>
    <x v="25"/>
    <x v="2"/>
    <s v="Mandalay Airport"/>
    <n v="6040"/>
    <n v="15.75"/>
    <n v="187708626"/>
    <n v="53326.314204545452"/>
    <n v="3520"/>
    <n v="3"/>
    <n v="383.49206349206349"/>
    <n v="47.25"/>
  </r>
  <r>
    <s v="DME/COK"/>
    <s v="COK"/>
    <x v="2"/>
    <x v="3"/>
    <x v="72"/>
    <x v="2"/>
    <s v="Kochi - International"/>
    <n v="6047"/>
    <n v="15.75"/>
    <n v="199080424"/>
    <n v="52375.802157327016"/>
    <n v="3801"/>
    <n v="3"/>
    <n v="383.93650793650795"/>
    <n v="47.25"/>
  </r>
  <r>
    <s v="DME/CGO"/>
    <s v="CGO"/>
    <x v="2"/>
    <x v="2"/>
    <x v="26"/>
    <x v="2"/>
    <s v="Zhengzhou - Xinzheng Intl"/>
    <n v="6065"/>
    <n v="15.75"/>
    <n v="204127405"/>
    <n v="62808.43230769231"/>
    <n v="3250"/>
    <n v="2"/>
    <n v="385.07936507936506"/>
    <n v="31.5"/>
  </r>
  <r>
    <s v="DME/CKG"/>
    <s v="CKG"/>
    <x v="2"/>
    <x v="2"/>
    <x v="26"/>
    <x v="2"/>
    <s v="Chongqing - Jiangbei Intl"/>
    <n v="6012"/>
    <n v="15.5"/>
    <n v="211830694"/>
    <n v="61011.14458525346"/>
    <n v="3472"/>
    <n v="3"/>
    <n v="387.87096774193549"/>
    <n v="46.5"/>
  </r>
  <r>
    <s v="DME/MAA"/>
    <s v="MAA"/>
    <x v="2"/>
    <x v="2"/>
    <x v="72"/>
    <x v="2"/>
    <s v="Chennai - International"/>
    <n v="5953"/>
    <n v="15.5"/>
    <n v="210214251"/>
    <n v="50098.72521448999"/>
    <n v="4196"/>
    <n v="3"/>
    <n v="384.06451612903226"/>
    <n v="46.5"/>
  </r>
  <r>
    <s v="DME/HRB"/>
    <s v="HRB"/>
    <x v="2"/>
    <x v="2"/>
    <x v="26"/>
    <x v="2"/>
    <s v="Harbin - Taiping Intl"/>
    <n v="5910"/>
    <n v="15.5"/>
    <n v="201206983"/>
    <n v="62583.820528771386"/>
    <n v="3215"/>
    <n v="2"/>
    <n v="381.29032258064518"/>
    <n v="31"/>
  </r>
  <r>
    <s v="DME/CGQ"/>
    <s v="CGQ"/>
    <x v="2"/>
    <x v="3"/>
    <x v="26"/>
    <x v="2"/>
    <s v="Changchun - Longjia Intl"/>
    <n v="6007"/>
    <n v="15.5"/>
    <n v="196502005"/>
    <n v="64132.508159268931"/>
    <n v="3064"/>
    <n v="2"/>
    <n v="387.54838709677421"/>
    <n v="31"/>
  </r>
  <r>
    <s v="DME/CCJ"/>
    <s v="CCJ"/>
    <x v="2"/>
    <x v="3"/>
    <x v="72"/>
    <x v="2"/>
    <s v="Kozhikode - International"/>
    <n v="5928"/>
    <n v="15.5"/>
    <n v="190704361"/>
    <n v="53448.531670403587"/>
    <n v="3568"/>
    <n v="3"/>
    <n v="382.45161290322579"/>
    <n v="46.5"/>
  </r>
  <r>
    <s v="DME/ABV"/>
    <s v="ABV"/>
    <x v="2"/>
    <x v="3"/>
    <x v="28"/>
    <x v="0"/>
    <s v="Abuja - Nnamdi Azikiwe Intl"/>
    <n v="5819"/>
    <n v="15.25"/>
    <n v="196894564"/>
    <n v="47058.930210325045"/>
    <n v="4184"/>
    <n v="3"/>
    <n v="381.57377049180326"/>
    <n v="45.75"/>
  </r>
  <r>
    <s v="DME/TSN"/>
    <s v="TSN"/>
    <x v="2"/>
    <x v="3"/>
    <x v="26"/>
    <x v="2"/>
    <s v="Tianjin - Binhai Intl"/>
    <n v="5908"/>
    <n v="15.25"/>
    <n v="199876382"/>
    <n v="62913.560591753223"/>
    <n v="3177"/>
    <n v="2"/>
    <n v="387.40983606557376"/>
    <n v="30.5"/>
  </r>
  <r>
    <s v="DME/SJW"/>
    <s v="SJW"/>
    <x v="2"/>
    <x v="3"/>
    <x v="26"/>
    <x v="2"/>
    <s v="Shijiazhuang - Zhengding Intl"/>
    <n v="5814"/>
    <n v="15.25"/>
    <n v="184894039"/>
    <n v="65822.014595941611"/>
    <n v="2809"/>
    <n v="2"/>
    <n v="381.24590163934425"/>
    <n v="30.5"/>
  </r>
  <r>
    <s v="DME/PKX"/>
    <s v="PKX"/>
    <x v="2"/>
    <x v="4"/>
    <x v="26"/>
    <x v="2"/>
    <s v="Beijing Daxing International"/>
    <n v="5821"/>
    <n v="15.25"/>
    <n v="230352462"/>
    <n v="60939.804761904765"/>
    <n v="3780"/>
    <n v="3"/>
    <n v="381.70491803278691"/>
    <n v="45.75"/>
  </r>
  <r>
    <s v="DME/BLR"/>
    <s v="BLR"/>
    <x v="2"/>
    <x v="2"/>
    <x v="72"/>
    <x v="2"/>
    <s v="Bengaluru - Kempegowda Intl"/>
    <n v="5808"/>
    <n v="15.25"/>
    <n v="208351367"/>
    <n v="49844.824641148327"/>
    <n v="4180"/>
    <n v="3"/>
    <n v="380.85245901639342"/>
    <n v="45.75"/>
  </r>
  <r>
    <s v="DME/IXE"/>
    <s v="IXE"/>
    <x v="2"/>
    <x v="0"/>
    <x v="72"/>
    <x v="2"/>
    <s v="Mangalore"/>
    <n v="5694"/>
    <n v="15"/>
    <n v="181177077"/>
    <n v="54244.633832335327"/>
    <n v="3340"/>
    <n v="3"/>
    <n v="379.6"/>
    <n v="45"/>
  </r>
  <r>
    <s v="DME/CGP"/>
    <s v="CGP"/>
    <x v="2"/>
    <x v="3"/>
    <x v="76"/>
    <x v="2"/>
    <s v="Chittagong - Shah Amanat Intl"/>
    <n v="5738"/>
    <n v="15"/>
    <n v="195083897"/>
    <n v="47627.904541015625"/>
    <n v="4096"/>
    <n v="3"/>
    <n v="382.53333333333336"/>
    <n v="45"/>
  </r>
  <r>
    <s v="DME/TYN"/>
    <s v="TYN"/>
    <x v="2"/>
    <x v="3"/>
    <x v="26"/>
    <x v="2"/>
    <s v="Taiyuan - Wusu Intl"/>
    <n v="5730"/>
    <n v="15"/>
    <n v="195573792"/>
    <n v="62824.860905878573"/>
    <n v="3113"/>
    <n v="2"/>
    <n v="382"/>
    <n v="30"/>
  </r>
  <r>
    <s v="DME/PEK"/>
    <s v="PEK"/>
    <x v="2"/>
    <x v="4"/>
    <x v="26"/>
    <x v="2"/>
    <s v="Beijing - Capital Intl"/>
    <n v="5786"/>
    <n v="15"/>
    <n v="229990203"/>
    <n v="57526.313906953474"/>
    <n v="3998"/>
    <n v="3"/>
    <n v="385.73333333333335"/>
    <n v="45"/>
  </r>
  <r>
    <s v="DME/VTZ"/>
    <s v="VTZ"/>
    <x v="2"/>
    <x v="0"/>
    <x v="72"/>
    <x v="2"/>
    <s v="Vishakhapatnam"/>
    <n v="5660"/>
    <n v="14.75"/>
    <n v="179591748"/>
    <n v="54405.255377158435"/>
    <n v="3301"/>
    <n v="3"/>
    <n v="383.72881355932202"/>
    <n v="44.25"/>
  </r>
  <r>
    <s v="DME/JZH"/>
    <s v="JZH"/>
    <x v="2"/>
    <x v="3"/>
    <x v="26"/>
    <x v="2"/>
    <s v="Jiuzhaigou - Jiuzhai Huanglong"/>
    <n v="5565"/>
    <n v="14.5"/>
    <n v="184690525"/>
    <n v="64374.529452770999"/>
    <n v="2869"/>
    <n v="2"/>
    <n v="383.79310344827587"/>
    <n v="29"/>
  </r>
  <r>
    <s v="DME/DAC"/>
    <s v="DAC"/>
    <x v="2"/>
    <x v="3"/>
    <x v="76"/>
    <x v="2"/>
    <s v="Dhaka - Hazrat Shahjalal Intl"/>
    <n v="5510"/>
    <n v="14.5"/>
    <n v="196143659"/>
    <n v="46523.638282732449"/>
    <n v="4216"/>
    <n v="3"/>
    <n v="380"/>
    <n v="43.5"/>
  </r>
  <r>
    <s v="DME/CCU"/>
    <s v="CCU"/>
    <x v="2"/>
    <x v="2"/>
    <x v="72"/>
    <x v="2"/>
    <s v="Kolkata - Subhas Chandra Bose"/>
    <n v="5500"/>
    <n v="14.5"/>
    <n v="203297434"/>
    <n v="49572.649109973179"/>
    <n v="4101"/>
    <n v="3"/>
    <n v="379.31034482758622"/>
    <n v="43.5"/>
  </r>
  <r>
    <s v="DME/HYD"/>
    <s v="HYD"/>
    <x v="2"/>
    <x v="2"/>
    <x v="72"/>
    <x v="2"/>
    <s v="Hyderabad - Metropolitan Area"/>
    <n v="5449"/>
    <n v="14.25"/>
    <n v="199143590"/>
    <n v="49711.330504243633"/>
    <n v="4006"/>
    <n v="3"/>
    <n v="382.38596491228071"/>
    <n v="42.75"/>
  </r>
  <r>
    <s v="DME/HET"/>
    <s v="HET"/>
    <x v="2"/>
    <x v="3"/>
    <x v="26"/>
    <x v="2"/>
    <s v="Hohhot - Baita Intl"/>
    <n v="5438"/>
    <n v="14.25"/>
    <n v="188023093"/>
    <n v="62905.016058882567"/>
    <n v="2989"/>
    <n v="2"/>
    <n v="381.61403508771929"/>
    <n v="28.5"/>
  </r>
  <r>
    <s v="DME/GOI"/>
    <s v="GOI"/>
    <x v="2"/>
    <x v="3"/>
    <x v="72"/>
    <x v="2"/>
    <s v="Goa - Dabolim"/>
    <n v="5403"/>
    <n v="14.25"/>
    <n v="188302504"/>
    <n v="51044.322038492814"/>
    <n v="3689"/>
    <n v="3"/>
    <n v="379.15789473684208"/>
    <n v="42.75"/>
  </r>
  <r>
    <s v="DME/GAU"/>
    <s v="GAU"/>
    <x v="2"/>
    <x v="3"/>
    <x v="72"/>
    <x v="2"/>
    <s v="Guwahati - Gopinath Bordoloi Intl"/>
    <n v="5381"/>
    <n v="14.25"/>
    <n v="184702919"/>
    <n v="52028.991267605634"/>
    <n v="3550"/>
    <n v="3"/>
    <n v="377.61403508771929"/>
    <n v="42.75"/>
  </r>
  <r>
    <s v="DME/AWA"/>
    <s v="AWA"/>
    <x v="2"/>
    <x v="0"/>
    <x v="29"/>
    <x v="0"/>
    <s v="Awasa"/>
    <n v="5377"/>
    <n v="14.25"/>
    <n v="176532268"/>
    <n v="44942.023421588594"/>
    <n v="3928"/>
    <n v="3"/>
    <n v="377.33333333333331"/>
    <n v="42.75"/>
  </r>
  <r>
    <s v="DME/LHW"/>
    <s v="LHW"/>
    <x v="2"/>
    <x v="3"/>
    <x v="26"/>
    <x v="2"/>
    <s v="Lanzhou - Zhongchuan"/>
    <n v="5266"/>
    <n v="14"/>
    <n v="186183813"/>
    <n v="62373.136683417084"/>
    <n v="2985"/>
    <n v="2"/>
    <n v="376.14285714285717"/>
    <n v="28"/>
  </r>
  <r>
    <s v="DME/INC"/>
    <s v="INC"/>
    <x v="2"/>
    <x v="3"/>
    <x v="26"/>
    <x v="2"/>
    <s v="Yinchuan - Hedong"/>
    <n v="5298"/>
    <n v="14"/>
    <n v="184430606"/>
    <n v="62902.662346521145"/>
    <n v="2932"/>
    <n v="2"/>
    <n v="378.42857142857144"/>
    <n v="28"/>
  </r>
  <r>
    <s v="DME/XNN"/>
    <s v="XNN"/>
    <x v="2"/>
    <x v="3"/>
    <x v="26"/>
    <x v="2"/>
    <s v="Xining - Caojiabao"/>
    <n v="5166"/>
    <n v="13.75"/>
    <n v="178602367"/>
    <n v="63491.776395307497"/>
    <n v="2813"/>
    <n v="2"/>
    <n v="375.70909090909089"/>
    <n v="27.5"/>
  </r>
  <r>
    <s v="DME/IXB"/>
    <s v="IXB"/>
    <x v="2"/>
    <x v="0"/>
    <x v="72"/>
    <x v="2"/>
    <s v="Bagdogra"/>
    <n v="5132"/>
    <n v="13.75"/>
    <n v="174027810"/>
    <n v="52912.073578595315"/>
    <n v="3289"/>
    <n v="2"/>
    <n v="373.23636363636365"/>
    <n v="27.5"/>
  </r>
  <r>
    <s v="DME/NAG"/>
    <s v="NAG"/>
    <x v="2"/>
    <x v="3"/>
    <x v="72"/>
    <x v="2"/>
    <s v="Nagpur - Dr.Ambedkar Intl"/>
    <n v="5112"/>
    <n v="13.5"/>
    <n v="178164117"/>
    <n v="51927.751967356453"/>
    <n v="3431"/>
    <n v="3"/>
    <n v="378.66666666666669"/>
    <n v="40.5"/>
  </r>
  <r>
    <s v="DME/LXA"/>
    <s v="LXA"/>
    <x v="2"/>
    <x v="3"/>
    <x v="26"/>
    <x v="2"/>
    <s v="Lhasa Gonggar"/>
    <n v="5061"/>
    <n v="13.5"/>
    <n v="188491888"/>
    <n v="58903.714999999997"/>
    <n v="3200"/>
    <n v="2"/>
    <n v="374.88888888888891"/>
    <n v="27"/>
  </r>
  <r>
    <s v="DME/BOM"/>
    <s v="BOM"/>
    <x v="2"/>
    <x v="4"/>
    <x v="72"/>
    <x v="2"/>
    <s v="Mumbai - Chhatrapati S Maharaj"/>
    <n v="4989"/>
    <n v="13.25"/>
    <n v="213766036"/>
    <n v="46219.683459459462"/>
    <n v="4625"/>
    <n v="4"/>
    <n v="376.52830188679246"/>
    <n v="53"/>
  </r>
  <r>
    <s v="DME/RIY"/>
    <s v="RIY"/>
    <x v="2"/>
    <x v="0"/>
    <x v="77"/>
    <x v="2"/>
    <s v="Mukalla - Riyan"/>
    <n v="4638"/>
    <n v="12.5"/>
    <m/>
    <n v="0"/>
    <m/>
    <n v="0"/>
    <n v="371.04"/>
    <n v="0"/>
  </r>
  <r>
    <s v="DME/AMD"/>
    <s v="AMD"/>
    <x v="2"/>
    <x v="3"/>
    <x v="72"/>
    <x v="2"/>
    <s v="Ahmedabad - S.VallabhBhai Patel"/>
    <n v="4587"/>
    <n v="12.5"/>
    <n v="183035502"/>
    <n v="48460.551231135825"/>
    <n v="3777"/>
    <n v="3"/>
    <n v="366.96"/>
    <n v="37.5"/>
  </r>
  <r>
    <s v="DME/AGA"/>
    <s v="AGA"/>
    <x v="2"/>
    <x v="3"/>
    <x v="78"/>
    <x v="0"/>
    <s v="Agadir - Al Massira"/>
    <n v="4626"/>
    <n v="12.5"/>
    <n v="174478286"/>
    <n v="52192.12862698175"/>
    <n v="3343"/>
    <n v="3"/>
    <n v="370.08"/>
    <n v="37.5"/>
  </r>
  <r>
    <s v="DME/JAI"/>
    <s v="JAI"/>
    <x v="2"/>
    <x v="3"/>
    <x v="72"/>
    <x v="2"/>
    <s v="Jaipur - International"/>
    <n v="4397"/>
    <n v="12"/>
    <n v="173521099"/>
    <n v="44988.61783769769"/>
    <n v="3857"/>
    <n v="3"/>
    <n v="366.41666666666669"/>
    <n v="36"/>
  </r>
  <r>
    <s v="DME/DEL"/>
    <s v="DEL"/>
    <x v="2"/>
    <x v="4"/>
    <x v="72"/>
    <x v="2"/>
    <s v="Delhi - Indira Gandhi Intl"/>
    <n v="4308"/>
    <n v="11.75"/>
    <n v="208195152"/>
    <n v="40798.579659024101"/>
    <n v="5103"/>
    <n v="4"/>
    <n v="366.63829787234044"/>
    <n v="47"/>
  </r>
  <r>
    <s v="DME/CMN"/>
    <s v="CMN"/>
    <x v="2"/>
    <x v="3"/>
    <x v="78"/>
    <x v="0"/>
    <s v="Casablanca - Mohammed V"/>
    <n v="4256"/>
    <n v="11.75"/>
    <n v="184660195"/>
    <n v="44453.585700529613"/>
    <n v="4154"/>
    <n v="3"/>
    <n v="362.21276595744683"/>
    <n v="35.25"/>
  </r>
  <r>
    <s v="DME/AHB"/>
    <s v="AHB"/>
    <x v="2"/>
    <x v="2"/>
    <x v="7"/>
    <x v="2"/>
    <s v="Abha"/>
    <n v="4153"/>
    <n v="11.5"/>
    <n v="193501765"/>
    <n v="53335.657386990075"/>
    <n v="3628"/>
    <n v="3"/>
    <n v="361.13043478260869"/>
    <n v="34.5"/>
  </r>
  <r>
    <s v="DME/RYK"/>
    <s v="RYK"/>
    <x v="2"/>
    <x v="1"/>
    <x v="30"/>
    <x v="2"/>
    <s v="Rahim Yar Khan - Shaikh Zayed Intl"/>
    <n v="3958"/>
    <n v="11"/>
    <n v="149037645"/>
    <n v="45424.457482474856"/>
    <n v="3281"/>
    <n v="2"/>
    <n v="359.81818181818181"/>
    <n v="22"/>
  </r>
  <r>
    <s v="DME/LIS"/>
    <s v="LIS"/>
    <x v="2"/>
    <x v="2"/>
    <x v="79"/>
    <x v="3"/>
    <s v="Lisbon - Airport"/>
    <n v="3914"/>
    <n v="11"/>
    <n v="190944140"/>
    <n v="57896.949666464527"/>
    <n v="3298"/>
    <n v="2"/>
    <n v="355.81818181818181"/>
    <n v="22"/>
  </r>
  <r>
    <s v="DME/LYP"/>
    <s v="LYP"/>
    <x v="2"/>
    <x v="0"/>
    <x v="30"/>
    <x v="2"/>
    <s v="Faisalabad - International"/>
    <n v="3825"/>
    <n v="10.75"/>
    <n v="154239055"/>
    <n v="43805.46861687021"/>
    <n v="3521"/>
    <n v="3"/>
    <n v="355.81395348837208"/>
    <n v="32.25"/>
  </r>
  <r>
    <s v="DME/LHE"/>
    <s v="LHE"/>
    <x v="2"/>
    <x v="3"/>
    <x v="30"/>
    <x v="2"/>
    <s v="Lahore - Allama Iqbal Intl"/>
    <n v="3889"/>
    <n v="10.75"/>
    <n v="174587297"/>
    <n v="40925.292311298639"/>
    <n v="4266"/>
    <n v="3"/>
    <n v="361.76744186046511"/>
    <n v="32.25"/>
  </r>
  <r>
    <s v="DME/IXL"/>
    <s v="IXL"/>
    <x v="2"/>
    <x v="0"/>
    <x v="72"/>
    <x v="2"/>
    <s v="Leh - Kushok Bakula Rimpoche"/>
    <n v="3840"/>
    <n v="10.75"/>
    <n v="155350504"/>
    <n v="45517.288016407852"/>
    <n v="3413"/>
    <n v="3"/>
    <n v="357.2093023255814"/>
    <n v="32.25"/>
  </r>
  <r>
    <s v="DME/ATQ"/>
    <s v="ATQ"/>
    <x v="2"/>
    <x v="0"/>
    <x v="72"/>
    <x v="2"/>
    <s v="Amritsar - Sri Guru Ram Dass Jee"/>
    <n v="3895"/>
    <n v="10.75"/>
    <n v="161632681"/>
    <n v="44319.353166986562"/>
    <n v="3647"/>
    <n v="3"/>
    <n v="362.32558139534882"/>
    <n v="32.25"/>
  </r>
  <r>
    <s v="DME/AGP"/>
    <s v="AGP"/>
    <x v="2"/>
    <x v="2"/>
    <x v="6"/>
    <x v="3"/>
    <s v="Malaga - Airport"/>
    <n v="3794"/>
    <n v="10.75"/>
    <n v="189465547"/>
    <n v="67811.577308518259"/>
    <n v="2794"/>
    <n v="2"/>
    <n v="352.93023255813955"/>
    <n v="21.5"/>
  </r>
  <r>
    <s v="DME/URC"/>
    <s v="URC"/>
    <x v="2"/>
    <x v="2"/>
    <x v="26"/>
    <x v="2"/>
    <s v="Urumqi - Diwopu Intl"/>
    <n v="3699"/>
    <n v="10.5"/>
    <n v="179247561"/>
    <n v="48133.072234156818"/>
    <n v="3724"/>
    <n v="3"/>
    <n v="352.28571428571428"/>
    <n v="31.5"/>
  </r>
  <r>
    <s v="DME/SXR"/>
    <s v="SXR"/>
    <x v="2"/>
    <x v="0"/>
    <x v="72"/>
    <x v="2"/>
    <s v="Srinagar - Sheikh ul Alam"/>
    <n v="3692"/>
    <n v="10.5"/>
    <n v="162666629"/>
    <n v="41454.28873598369"/>
    <n v="3924"/>
    <n v="3"/>
    <n v="351.61904761904759"/>
    <n v="31.5"/>
  </r>
  <r>
    <s v="DME/UET"/>
    <s v="UET"/>
    <x v="2"/>
    <x v="0"/>
    <x v="30"/>
    <x v="2"/>
    <s v="Quetta - International"/>
    <n v="3613"/>
    <n v="10.25"/>
    <n v="154203687"/>
    <n v="40644.092514496573"/>
    <n v="3794"/>
    <n v="3"/>
    <n v="352.48780487804879"/>
    <n v="30.75"/>
  </r>
  <r>
    <s v="DME/DXB"/>
    <s v="DXB"/>
    <x v="2"/>
    <x v="4"/>
    <x v="8"/>
    <x v="2"/>
    <s v="Dubai - International"/>
    <n v="3643"/>
    <n v="10.25"/>
    <n v="209271617"/>
    <n v="52187.435660847877"/>
    <n v="4010"/>
    <n v="3"/>
    <n v="355.41463414634148"/>
    <n v="30.75"/>
  </r>
  <r>
    <s v="DME/ALC"/>
    <s v="ALC"/>
    <x v="2"/>
    <x v="2"/>
    <x v="6"/>
    <x v="3"/>
    <s v="Alicante - Airport"/>
    <n v="3425"/>
    <n v="9.75"/>
    <n v="181912900"/>
    <n v="63761.969856291624"/>
    <n v="2853"/>
    <n v="2"/>
    <n v="351.28205128205127"/>
    <n v="19.5"/>
  </r>
  <r>
    <s v="DME/LXR"/>
    <s v="LXR"/>
    <x v="2"/>
    <x v="3"/>
    <x v="0"/>
    <x v="0"/>
    <s v="Luxor - International"/>
    <n v="3334"/>
    <n v="9.5"/>
    <n v="164406350"/>
    <n v="43678.626461211476"/>
    <n v="3764"/>
    <n v="3"/>
    <n v="350.94736842105266"/>
    <n v="28.5"/>
  </r>
  <r>
    <s v="DME/PMI"/>
    <s v="PMI"/>
    <x v="2"/>
    <x v="4"/>
    <x v="6"/>
    <x v="3"/>
    <s v="Palma de Mallorca"/>
    <n v="3126"/>
    <n v="9.25"/>
    <n v="191274924"/>
    <n v="60876.805856142586"/>
    <n v="3142"/>
    <n v="2"/>
    <n v="337.94594594594594"/>
    <n v="18.5"/>
  </r>
  <r>
    <s v="DME/HRG"/>
    <s v="HRG"/>
    <x v="2"/>
    <x v="2"/>
    <x v="0"/>
    <x v="0"/>
    <s v="Hurghada - International"/>
    <n v="3157"/>
    <n v="9.25"/>
    <n v="174460242"/>
    <n v="41806.911574406899"/>
    <n v="4173"/>
    <n v="3"/>
    <n v="341.29729729729729"/>
    <n v="27.75"/>
  </r>
  <r>
    <s v="DME/SSH"/>
    <s v="SSH"/>
    <x v="2"/>
    <x v="2"/>
    <x v="0"/>
    <x v="0"/>
    <s v="Sharm el-Sheikh - International"/>
    <n v="3064"/>
    <n v="9"/>
    <n v="174849411"/>
    <n v="41316.023393194708"/>
    <n v="4232"/>
    <n v="3"/>
    <n v="340.44444444444446"/>
    <n v="27"/>
  </r>
  <r>
    <s v="DME/MAN"/>
    <s v="MAN"/>
    <x v="2"/>
    <x v="4"/>
    <x v="32"/>
    <x v="3"/>
    <s v="Manchester - Airport"/>
    <n v="2576"/>
    <n v="8"/>
    <n v="185676638"/>
    <n v="64718.242593238065"/>
    <n v="2869"/>
    <n v="2"/>
    <n v="322"/>
    <n v="16"/>
  </r>
  <r>
    <s v="DME/LHR"/>
    <s v="LHR"/>
    <x v="2"/>
    <x v="4"/>
    <x v="32"/>
    <x v="3"/>
    <s v="London - Heathrow"/>
    <n v="2545"/>
    <n v="7.75"/>
    <n v="198620442"/>
    <n v="63154.353577106522"/>
    <n v="3145"/>
    <n v="2"/>
    <n v="328.38709677419354"/>
    <n v="15.5"/>
  </r>
  <r>
    <s v="DME/LGW"/>
    <s v="LGW"/>
    <x v="2"/>
    <x v="4"/>
    <x v="32"/>
    <x v="3"/>
    <s v="London - Gatwick"/>
    <n v="2544"/>
    <n v="7.75"/>
    <n v="192067084"/>
    <n v="63577.320092684538"/>
    <n v="3021"/>
    <n v="2"/>
    <n v="328.25806451612902"/>
    <n v="15.5"/>
  </r>
  <r>
    <s v="DME/CDG"/>
    <s v="CDG"/>
    <x v="2"/>
    <x v="4"/>
    <x v="12"/>
    <x v="3"/>
    <s v="Paris - Charles de Gaulle"/>
    <n v="2481"/>
    <n v="7.75"/>
    <n v="199505245"/>
    <n v="75771.076718571974"/>
    <n v="2633"/>
    <n v="2"/>
    <n v="320.12903225806451"/>
    <n v="15.5"/>
  </r>
  <r>
    <s v="DME/FCO"/>
    <s v="FCO"/>
    <x v="2"/>
    <x v="4"/>
    <x v="16"/>
    <x v="3"/>
    <s v="Rome - Fiumicino"/>
    <n v="2395"/>
    <n v="7.5"/>
    <n v="192166618"/>
    <n v="64119.658992325662"/>
    <n v="2997"/>
    <n v="2"/>
    <n v="319.33333333333331"/>
    <n v="15"/>
  </r>
  <r>
    <s v="DME/MXP"/>
    <s v="MXP"/>
    <x v="2"/>
    <x v="2"/>
    <x v="16"/>
    <x v="3"/>
    <s v="Milan - Malpensa"/>
    <n v="2308"/>
    <n v="7.25"/>
    <n v="180588653"/>
    <n v="65265.143838091797"/>
    <n v="2767"/>
    <n v="2"/>
    <n v="318.34482758620692"/>
    <n v="14.5"/>
  </r>
  <r>
    <s v="DME/BRU"/>
    <s v="BRU"/>
    <x v="2"/>
    <x v="2"/>
    <x v="80"/>
    <x v="3"/>
    <s v="Brussels - Metropolitan Area"/>
    <n v="2260"/>
    <n v="7.25"/>
    <n v="179582029"/>
    <n v="65089.535701341068"/>
    <n v="2759"/>
    <n v="2"/>
    <n v="311.72413793103448"/>
    <n v="14.5"/>
  </r>
  <r>
    <s v="DME/AYT"/>
    <s v="AYT"/>
    <x v="2"/>
    <x v="2"/>
    <x v="81"/>
    <x v="2"/>
    <s v="Antalya"/>
    <n v="2127"/>
    <n v="7"/>
    <n v="177231845"/>
    <n v="45189.149668536462"/>
    <n v="3922"/>
    <n v="3"/>
    <n v="303.85714285714283"/>
    <n v="21"/>
  </r>
  <r>
    <s v="DME/VCE"/>
    <s v="VCE"/>
    <x v="2"/>
    <x v="2"/>
    <x v="16"/>
    <x v="3"/>
    <s v="Venice - Metropolitan Area"/>
    <n v="2100"/>
    <n v="6.75"/>
    <n v="164726324"/>
    <n v="66636.86245954693"/>
    <n v="2472"/>
    <n v="2"/>
    <n v="311.11111111111109"/>
    <n v="13.5"/>
  </r>
  <r>
    <s v="DME/FRA"/>
    <s v="FRA"/>
    <x v="2"/>
    <x v="4"/>
    <x v="19"/>
    <x v="3"/>
    <s v="Frankfurt - International"/>
    <n v="2047"/>
    <n v="6.75"/>
    <n v="193830599"/>
    <n v="61631.351033386331"/>
    <n v="3145"/>
    <n v="2"/>
    <n v="303.25925925925924"/>
    <n v="13.5"/>
  </r>
  <r>
    <s v="DME/MUC"/>
    <s v="MUC"/>
    <x v="2"/>
    <x v="4"/>
    <x v="19"/>
    <x v="3"/>
    <s v="Munich - International"/>
    <n v="1942"/>
    <n v="6.5"/>
    <n v="186798401"/>
    <n v="61894.765076209413"/>
    <n v="3018"/>
    <n v="2"/>
    <n v="298.76923076923077"/>
    <n v="13"/>
  </r>
  <r>
    <s v="DME/HAM"/>
    <s v="HAM"/>
    <x v="2"/>
    <x v="2"/>
    <x v="19"/>
    <x v="3"/>
    <s v="Hamburg - Airport"/>
    <n v="1800"/>
    <n v="6.25"/>
    <n v="166169453"/>
    <n v="65731.587420886077"/>
    <n v="2528"/>
    <n v="2"/>
    <n v="288"/>
    <n v="12.5"/>
  </r>
  <r>
    <s v="DME/SAW"/>
    <s v="SAW"/>
    <x v="2"/>
    <x v="2"/>
    <x v="81"/>
    <x v="2"/>
    <s v="Istanbul - Sabiha Gokcen"/>
    <n v="1734"/>
    <n v="6"/>
    <n v="159655634"/>
    <n v="47193.506946497189"/>
    <n v="3383"/>
    <n v="3"/>
    <n v="289"/>
    <n v="18"/>
  </r>
  <r>
    <s v="DME/IST"/>
    <s v="IST"/>
    <x v="2"/>
    <x v="4"/>
    <x v="81"/>
    <x v="2"/>
    <s v="Istanbul - Metropolitan Area"/>
    <n v="1709"/>
    <n v="6"/>
    <n v="190049703"/>
    <n v="62764.102708058126"/>
    <n v="3028"/>
    <n v="2"/>
    <n v="284.83333333333331"/>
    <n v="12"/>
  </r>
  <r>
    <s v="DME/VIE"/>
    <s v="VIE"/>
    <x v="2"/>
    <x v="4"/>
    <x v="82"/>
    <x v="3"/>
    <s v="Vienna - Schwechat Intl"/>
    <n v="1668"/>
    <n v="5.75"/>
    <n v="174614661"/>
    <n v="62496.299570508228"/>
    <n v="2794"/>
    <n v="2"/>
    <n v="290.08695652173913"/>
    <n v="11.5"/>
  </r>
  <r>
    <s v="DME/BUD"/>
    <s v="BUD"/>
    <x v="2"/>
    <x v="2"/>
    <x v="83"/>
    <x v="3"/>
    <s v="Budapest - Liszt Ferenc Int'l"/>
    <n v="1559"/>
    <n v="5.5"/>
    <n v="161038346"/>
    <n v="55358.661395668612"/>
    <n v="2909"/>
    <n v="2"/>
    <n v="283.45454545454544"/>
    <n v="11"/>
  </r>
  <r>
    <s v="DME/BBU"/>
    <s v="BBU"/>
    <x v="2"/>
    <x v="2"/>
    <x v="84"/>
    <x v="3"/>
    <s v="Bucharest - Baneasa - Aurel Vlaicu"/>
    <n v="1473"/>
    <n v="5.5"/>
    <n v="159434089"/>
    <n v="50405.971862156184"/>
    <n v="3163"/>
    <n v="2"/>
    <n v="267.81818181818181"/>
    <n v="11"/>
  </r>
  <r>
    <s v="DME/JAX"/>
    <s v="JAX"/>
    <x v="3"/>
    <x v="2"/>
    <x v="1"/>
    <x v="1"/>
    <s v="Jacksonville - Metropolitan Area"/>
    <n v="8881"/>
    <n v="22"/>
    <n v="231135789"/>
    <n v="105301.04282460136"/>
    <n v="2195"/>
    <n v="1"/>
    <n v="403.68181818181819"/>
    <n v="22"/>
  </r>
  <r>
    <s v="DME/HRE"/>
    <s v="HRE"/>
    <x v="3"/>
    <x v="6"/>
    <x v="85"/>
    <x v="0"/>
    <s v="Harare - Robert Gabriel Mugabe Airport"/>
    <n v="8182"/>
    <n v="20.5"/>
    <n v="205034151"/>
    <n v="54284.922160444796"/>
    <n v="3777"/>
    <n v="3"/>
    <n v="399.1219512195122"/>
    <n v="61.5"/>
  </r>
  <r>
    <s v="DME/FEZ"/>
    <s v="FEZ"/>
    <x v="3"/>
    <x v="0"/>
    <x v="78"/>
    <x v="0"/>
    <s v="Fes - Saiss"/>
    <n v="4051"/>
    <n v="11.25"/>
    <n v="160722346"/>
    <n v="47876.778671432825"/>
    <n v="3357"/>
    <n v="3"/>
    <n v="360.0888888888889"/>
    <n v="33.75"/>
  </r>
  <r>
    <s v="DME/SJO"/>
    <s v="SJO"/>
    <x v="3"/>
    <x v="3"/>
    <x v="86"/>
    <x v="1"/>
    <s v="San Jose - Juan Santamaria Intl"/>
    <n v="10998"/>
    <n v="26.75"/>
    <n v="247325161"/>
    <n v="77677.500314070348"/>
    <n v="3184"/>
    <n v="2"/>
    <n v="411.14018691588785"/>
    <n v="53.5"/>
  </r>
  <r>
    <s v="DME/FDF"/>
    <s v="FDF"/>
    <x v="3"/>
    <x v="3"/>
    <x v="87"/>
    <x v="1"/>
    <s v="Fort-de-France - Martinique A. Cesaire"/>
    <n v="9229"/>
    <n v="22.75"/>
    <n v="220757818"/>
    <n v="86233.522656250003"/>
    <n v="2560"/>
    <n v="2"/>
    <n v="405.67032967032969"/>
    <n v="45.5"/>
  </r>
  <r>
    <s v="DME/RAK"/>
    <s v="RAK"/>
    <x v="3"/>
    <x v="3"/>
    <x v="78"/>
    <x v="0"/>
    <s v="Marrakech - Menara"/>
    <n v="4433"/>
    <n v="12"/>
    <n v="178612066"/>
    <n v="45951.136094674555"/>
    <n v="3887"/>
    <n v="3"/>
    <n v="369.41666666666669"/>
    <n v="36"/>
  </r>
  <r>
    <s v="DME/DOH"/>
    <s v="DOH"/>
    <x v="4"/>
    <x v="2"/>
    <x v="88"/>
    <x v="2"/>
    <s v="Doha - Hamad International"/>
    <n v="3533"/>
    <n v="10"/>
    <m/>
    <n v="0"/>
    <m/>
    <n v="0"/>
    <n v="353.3"/>
    <n v="0"/>
  </r>
  <r>
    <s v="DME/MDZ"/>
    <s v="MDZ"/>
    <x v="4"/>
    <x v="0"/>
    <x v="37"/>
    <x v="5"/>
    <s v="Mendoza - El Plumerillo"/>
    <n v="13980"/>
    <n v="33.5"/>
    <m/>
    <n v="0"/>
    <m/>
    <n v="0"/>
    <n v="417.31343283582089"/>
    <n v="0"/>
  </r>
  <r>
    <s v="DME/LUQ"/>
    <s v="LUQ"/>
    <x v="4"/>
    <x v="1"/>
    <x v="37"/>
    <x v="5"/>
    <s v="San Luis - D. Cesar Raul Ojeda"/>
    <n v="13864"/>
    <n v="33.25"/>
    <m/>
    <n v="0"/>
    <m/>
    <n v="0"/>
    <n v="416.96240601503757"/>
    <n v="0"/>
  </r>
  <r>
    <s v="DME/IRJ"/>
    <s v="IRJ"/>
    <x v="4"/>
    <x v="1"/>
    <x v="37"/>
    <x v="5"/>
    <s v="La Rioja - Captain V.A. Almonacid"/>
    <n v="13566"/>
    <n v="32.5"/>
    <m/>
    <n v="0"/>
    <m/>
    <n v="0"/>
    <n v="417.4153846153846"/>
    <n v="0"/>
  </r>
  <r>
    <s v="DME/COR"/>
    <s v="COR"/>
    <x v="4"/>
    <x v="0"/>
    <x v="37"/>
    <x v="5"/>
    <s v="Cordoba - A.L.V. Taravella"/>
    <n v="13568"/>
    <n v="32.5"/>
    <m/>
    <n v="0"/>
    <m/>
    <n v="0"/>
    <n v="417.47692307692307"/>
    <n v="0"/>
  </r>
  <r>
    <s v="DME/ROS"/>
    <s v="ROS"/>
    <x v="4"/>
    <x v="0"/>
    <x v="37"/>
    <x v="5"/>
    <s v="Rosario - Islas Malvinas"/>
    <n v="13489"/>
    <n v="32.25"/>
    <m/>
    <n v="0"/>
    <m/>
    <n v="0"/>
    <n v="418.26356589147287"/>
    <n v="0"/>
  </r>
  <r>
    <s v="DME/CTC"/>
    <s v="CTC"/>
    <x v="4"/>
    <x v="1"/>
    <x v="37"/>
    <x v="5"/>
    <s v="Catamarca"/>
    <n v="13433"/>
    <n v="32.25"/>
    <m/>
    <n v="0"/>
    <m/>
    <n v="0"/>
    <n v="416.52713178294573"/>
    <n v="0"/>
  </r>
  <r>
    <s v="DME/TUC"/>
    <s v="TUC"/>
    <x v="4"/>
    <x v="0"/>
    <x v="37"/>
    <x v="5"/>
    <s v="Tucuman - Benjamin Matienzo"/>
    <n v="13242"/>
    <n v="31.75"/>
    <m/>
    <n v="0"/>
    <m/>
    <n v="0"/>
    <n v="417.07086614173227"/>
    <n v="0"/>
  </r>
  <r>
    <s v="DME/SLA"/>
    <s v="SLA"/>
    <x v="4"/>
    <x v="0"/>
    <x v="37"/>
    <x v="5"/>
    <s v="Salta - Martin M. de Guemes"/>
    <n v="13093"/>
    <n v="31.5"/>
    <m/>
    <n v="0"/>
    <m/>
    <n v="0"/>
    <n v="415.65079365079367"/>
    <n v="0"/>
  </r>
  <r>
    <s v="DME/RCQ"/>
    <s v="RCQ"/>
    <x v="4"/>
    <x v="1"/>
    <x v="37"/>
    <x v="5"/>
    <s v="Reconquista"/>
    <n v="13108"/>
    <n v="31.5"/>
    <m/>
    <n v="0"/>
    <m/>
    <n v="0"/>
    <n v="416.12698412698415"/>
    <n v="0"/>
  </r>
  <r>
    <s v="DME/CJC"/>
    <s v="CJC"/>
    <x v="4"/>
    <x v="0"/>
    <x v="36"/>
    <x v="5"/>
    <s v="Calama - El Loa"/>
    <n v="13104"/>
    <n v="31.5"/>
    <m/>
    <n v="0"/>
    <m/>
    <n v="0"/>
    <n v="416"/>
    <n v="0"/>
  </r>
  <r>
    <s v="DME/JUJ"/>
    <s v="JUJ"/>
    <x v="4"/>
    <x v="1"/>
    <x v="37"/>
    <x v="5"/>
    <s v="Jujuy - Gobernador H. Guzman"/>
    <n v="13030"/>
    <n v="31.25"/>
    <m/>
    <n v="0"/>
    <m/>
    <n v="0"/>
    <n v="416.96"/>
    <n v="0"/>
  </r>
  <r>
    <s v="DME/IQQ"/>
    <s v="IQQ"/>
    <x v="4"/>
    <x v="0"/>
    <x v="36"/>
    <x v="5"/>
    <s v="Iquique - Diego Aracena"/>
    <n v="13012"/>
    <n v="31.25"/>
    <m/>
    <n v="0"/>
    <m/>
    <n v="0"/>
    <n v="416.38400000000001"/>
    <n v="0"/>
  </r>
  <r>
    <s v="DME/RES"/>
    <s v="RES"/>
    <x v="4"/>
    <x v="0"/>
    <x v="37"/>
    <x v="5"/>
    <s v="Resistencia"/>
    <n v="12917"/>
    <n v="31"/>
    <m/>
    <n v="0"/>
    <m/>
    <n v="0"/>
    <n v="416.67741935483872"/>
    <n v="0"/>
  </r>
  <r>
    <s v="DME/TJA"/>
    <s v="TJA"/>
    <x v="4"/>
    <x v="0"/>
    <x v="89"/>
    <x v="5"/>
    <s v="Tarija - Cap. Oriel Lea Plaza"/>
    <n v="12756"/>
    <n v="30.75"/>
    <m/>
    <n v="0"/>
    <m/>
    <n v="0"/>
    <n v="414.82926829268291"/>
    <n v="0"/>
  </r>
  <r>
    <s v="DME/ASU"/>
    <s v="ASU"/>
    <x v="4"/>
    <x v="0"/>
    <x v="90"/>
    <x v="5"/>
    <s v="Asuncion - Silvio Pettirossi Intl"/>
    <n v="12629"/>
    <n v="30.5"/>
    <m/>
    <n v="0"/>
    <m/>
    <n v="0"/>
    <n v="414.06557377049182"/>
    <n v="0"/>
  </r>
  <r>
    <s v="DME/SRE"/>
    <s v="SRE"/>
    <x v="4"/>
    <x v="0"/>
    <x v="89"/>
    <x v="5"/>
    <s v="Sucre - Alcantari"/>
    <n v="12567"/>
    <n v="30.25"/>
    <m/>
    <n v="0"/>
    <m/>
    <n v="0"/>
    <n v="415.43801652892563"/>
    <n v="0"/>
  </r>
  <r>
    <s v="DME/LPB"/>
    <s v="LPB"/>
    <x v="4"/>
    <x v="0"/>
    <x v="89"/>
    <x v="5"/>
    <s v="La Paz - El Alto Intl"/>
    <n v="12528"/>
    <n v="30.25"/>
    <m/>
    <n v="0"/>
    <m/>
    <n v="0"/>
    <n v="414.14876033057851"/>
    <n v="0"/>
  </r>
  <r>
    <s v="DME/IGR"/>
    <s v="IGR"/>
    <x v="4"/>
    <x v="0"/>
    <x v="37"/>
    <x v="5"/>
    <s v="Iguazu - Cataratas del Iguazu"/>
    <n v="12485"/>
    <n v="30"/>
    <m/>
    <n v="0"/>
    <m/>
    <n v="0"/>
    <n v="416.16666666666669"/>
    <n v="0"/>
  </r>
  <r>
    <s v="DME/CBB"/>
    <s v="CBB"/>
    <x v="4"/>
    <x v="0"/>
    <x v="89"/>
    <x v="5"/>
    <s v="Cochabamba - Jorge Wilstermann Intl"/>
    <n v="12482"/>
    <n v="30"/>
    <m/>
    <n v="0"/>
    <m/>
    <n v="0"/>
    <n v="416.06666666666666"/>
    <n v="0"/>
  </r>
  <r>
    <s v="DME/AGT"/>
    <s v="AGT"/>
    <x v="4"/>
    <x v="1"/>
    <x v="90"/>
    <x v="5"/>
    <s v="Ciudad del Este - Guarani Intl"/>
    <n v="12483"/>
    <n v="30"/>
    <m/>
    <n v="0"/>
    <m/>
    <n v="0"/>
    <n v="416.1"/>
    <n v="0"/>
  </r>
  <r>
    <s v="DME/VVI"/>
    <s v="VVI"/>
    <x v="4"/>
    <x v="0"/>
    <x v="89"/>
    <x v="5"/>
    <s v="Santa Cruz - Viru Viru Intl"/>
    <n v="12310"/>
    <n v="29.75"/>
    <m/>
    <n v="0"/>
    <m/>
    <n v="0"/>
    <n v="413.781512605042"/>
    <n v="0"/>
  </r>
  <r>
    <s v="DME/SRZ"/>
    <s v="SRZ"/>
    <x v="4"/>
    <x v="0"/>
    <x v="89"/>
    <x v="5"/>
    <s v="Santa Cruz - Metropolitan Area"/>
    <n v="12327"/>
    <n v="29.75"/>
    <m/>
    <n v="0"/>
    <m/>
    <n v="0"/>
    <n v="414.35294117647061"/>
    <n v="0"/>
  </r>
  <r>
    <s v="DME/DCN"/>
    <s v="DCN"/>
    <x v="4"/>
    <x v="1"/>
    <x v="34"/>
    <x v="4"/>
    <s v="Derby - RAAF Curtin"/>
    <n v="11359"/>
    <n v="27.5"/>
    <m/>
    <n v="0"/>
    <m/>
    <n v="0"/>
    <n v="413.05454545454546"/>
    <n v="0"/>
  </r>
  <r>
    <s v="DME/LEA"/>
    <s v="LEA"/>
    <x v="4"/>
    <x v="1"/>
    <x v="34"/>
    <x v="4"/>
    <s v="Learmonth"/>
    <n v="11202"/>
    <n v="27.25"/>
    <m/>
    <n v="0"/>
    <m/>
    <n v="0"/>
    <n v="411.08256880733944"/>
    <n v="0"/>
  </r>
  <r>
    <s v="DME/ACA"/>
    <s v="ACA"/>
    <x v="4"/>
    <x v="0"/>
    <x v="44"/>
    <x v="1"/>
    <s v="Acapulco - Juan N. Alvarez Intl"/>
    <n v="11063"/>
    <n v="27"/>
    <m/>
    <n v="0"/>
    <m/>
    <n v="0"/>
    <n v="409.74074074074076"/>
    <n v="0"/>
  </r>
  <r>
    <s v="DME/PBC"/>
    <s v="PBC"/>
    <x v="4"/>
    <x v="0"/>
    <x v="44"/>
    <x v="1"/>
    <s v="Puebla - Hermanos Serdan Intl"/>
    <n v="10760"/>
    <n v="26.25"/>
    <m/>
    <n v="0"/>
    <m/>
    <n v="0"/>
    <n v="409.90476190476193"/>
    <n v="0"/>
  </r>
  <r>
    <s v="DME/MLM"/>
    <s v="MLM"/>
    <x v="4"/>
    <x v="0"/>
    <x v="44"/>
    <x v="1"/>
    <s v="Morelia - F.J. Mujica Intl"/>
    <n v="10796"/>
    <n v="26.25"/>
    <m/>
    <n v="0"/>
    <m/>
    <n v="0"/>
    <n v="411.27619047619049"/>
    <n v="0"/>
  </r>
  <r>
    <s v="DME/SAP"/>
    <s v="SAP"/>
    <x v="4"/>
    <x v="0"/>
    <x v="91"/>
    <x v="1"/>
    <s v="San Pedro Sula - Ramon V. Morales Intl"/>
    <n v="10654"/>
    <n v="26"/>
    <m/>
    <n v="0"/>
    <m/>
    <n v="0"/>
    <n v="409.76923076923077"/>
    <n v="0"/>
  </r>
  <r>
    <s v="DME/BJX"/>
    <s v="BJX"/>
    <x v="4"/>
    <x v="0"/>
    <x v="44"/>
    <x v="1"/>
    <s v="Leon/Guanajuato - Del Bajio Intl"/>
    <n v="10696"/>
    <n v="26"/>
    <m/>
    <n v="0"/>
    <m/>
    <n v="0"/>
    <n v="411.38461538461536"/>
    <n v="0"/>
  </r>
  <r>
    <s v="DME/AGU"/>
    <s v="AGU"/>
    <x v="4"/>
    <x v="0"/>
    <x v="44"/>
    <x v="1"/>
    <s v="Aguascalientes - Jesus Teran Peredo Int"/>
    <n v="10654"/>
    <n v="26"/>
    <m/>
    <n v="0"/>
    <m/>
    <n v="0"/>
    <n v="409.76923076923077"/>
    <n v="0"/>
  </r>
  <r>
    <s v="DME/ZCL"/>
    <s v="ZCL"/>
    <x v="4"/>
    <x v="0"/>
    <x v="44"/>
    <x v="1"/>
    <s v="Zacatecas - Leobardo C. Ruiz Intl"/>
    <n v="10544"/>
    <n v="25.75"/>
    <m/>
    <n v="0"/>
    <m/>
    <n v="0"/>
    <n v="409.47572815533982"/>
    <n v="0"/>
  </r>
  <r>
    <s v="DME/SLP"/>
    <s v="SLP"/>
    <x v="4"/>
    <x v="0"/>
    <x v="44"/>
    <x v="1"/>
    <s v="San Luis Potosi - Ponciano Arriaga Intl"/>
    <n v="10545"/>
    <n v="25.75"/>
    <m/>
    <n v="0"/>
    <m/>
    <n v="0"/>
    <n v="409.51456310679612"/>
    <n v="0"/>
  </r>
  <r>
    <s v="DME/LCE"/>
    <s v="LCE"/>
    <x v="4"/>
    <x v="0"/>
    <x v="91"/>
    <x v="1"/>
    <s v="La Ceiba - Goloson International"/>
    <n v="10573"/>
    <n v="25.75"/>
    <m/>
    <n v="0"/>
    <m/>
    <n v="0"/>
    <n v="410.60194174757282"/>
    <n v="0"/>
  </r>
  <r>
    <s v="DME/DGO"/>
    <s v="DGO"/>
    <x v="4"/>
    <x v="0"/>
    <x v="44"/>
    <x v="1"/>
    <s v="Durango - Guadalupe Victoria Int"/>
    <n v="10483"/>
    <n v="25.75"/>
    <m/>
    <n v="0"/>
    <m/>
    <n v="0"/>
    <n v="407.10679611650488"/>
    <n v="0"/>
  </r>
  <r>
    <s v="DME/CUR"/>
    <s v="CUR"/>
    <x v="4"/>
    <x v="0"/>
    <x v="92"/>
    <x v="1"/>
    <s v="Curacao - Hato Intl"/>
    <n v="9928"/>
    <n v="24.5"/>
    <m/>
    <n v="0"/>
    <m/>
    <n v="0"/>
    <n v="405.22448979591837"/>
    <n v="0"/>
  </r>
  <r>
    <s v="DME/YUM"/>
    <s v="YUM"/>
    <x v="4"/>
    <x v="7"/>
    <x v="1"/>
    <x v="1"/>
    <s v="Yuma - Metropolitan Area"/>
    <n v="9881"/>
    <n v="24.25"/>
    <m/>
    <n v="0"/>
    <m/>
    <n v="0"/>
    <n v="407.46391752577318"/>
    <n v="0"/>
  </r>
  <r>
    <s v="DME/TUS"/>
    <s v="TUS"/>
    <x v="4"/>
    <x v="5"/>
    <x v="1"/>
    <x v="1"/>
    <s v="Tucson - Metropolitan Area"/>
    <n v="9843"/>
    <n v="24.25"/>
    <m/>
    <n v="0"/>
    <m/>
    <n v="0"/>
    <n v="405.89690721649487"/>
    <n v="0"/>
  </r>
  <r>
    <s v="DME/LGB"/>
    <s v="LGB"/>
    <x v="4"/>
    <x v="5"/>
    <x v="1"/>
    <x v="1"/>
    <s v="Long Beach - Daugherty Field"/>
    <n v="9837"/>
    <n v="24.25"/>
    <m/>
    <n v="0"/>
    <m/>
    <n v="0"/>
    <n v="405.64948453608247"/>
    <n v="0"/>
  </r>
  <r>
    <s v="DME/BON"/>
    <s v="BON"/>
    <x v="4"/>
    <x v="0"/>
    <x v="92"/>
    <x v="1"/>
    <s v="Bonaire - Flamingo International"/>
    <n v="9893"/>
    <n v="24.25"/>
    <m/>
    <n v="0"/>
    <m/>
    <n v="0"/>
    <n v="407.95876288659792"/>
    <n v="0"/>
  </r>
  <r>
    <s v="DME/VCT"/>
    <s v="VCT"/>
    <x v="4"/>
    <x v="8"/>
    <x v="1"/>
    <x v="1"/>
    <s v="Victoria - Regional"/>
    <n v="9712"/>
    <n v="24"/>
    <m/>
    <n v="0"/>
    <m/>
    <n v="0"/>
    <n v="404.66666666666669"/>
    <n v="0"/>
  </r>
  <r>
    <s v="DME/PSP"/>
    <s v="PSP"/>
    <x v="4"/>
    <x v="5"/>
    <x v="1"/>
    <x v="1"/>
    <s v="Palm Springs - Metropolitan Area"/>
    <n v="9800"/>
    <n v="24"/>
    <m/>
    <n v="0"/>
    <m/>
    <n v="0"/>
    <n v="408.33333333333331"/>
    <n v="0"/>
  </r>
  <r>
    <s v="DME/PBM"/>
    <s v="PBM"/>
    <x v="4"/>
    <x v="0"/>
    <x v="93"/>
    <x v="5"/>
    <s v="Paramaribo - Metropolitan Area"/>
    <n v="9706"/>
    <n v="24"/>
    <m/>
    <n v="0"/>
    <m/>
    <n v="0"/>
    <n v="404.41666666666669"/>
    <n v="0"/>
  </r>
  <r>
    <s v="DME/ONT"/>
    <s v="ONT"/>
    <x v="4"/>
    <x v="5"/>
    <x v="1"/>
    <x v="1"/>
    <s v="Los Angeles - Ontario International"/>
    <n v="9800"/>
    <n v="24"/>
    <m/>
    <n v="0"/>
    <m/>
    <n v="0"/>
    <n v="408.33333333333331"/>
    <n v="0"/>
  </r>
  <r>
    <s v="DME/ELP"/>
    <s v="ELP"/>
    <x v="4"/>
    <x v="5"/>
    <x v="1"/>
    <x v="1"/>
    <s v="El Paso - Metropolitan Area"/>
    <n v="9741"/>
    <n v="24"/>
    <m/>
    <n v="0"/>
    <m/>
    <n v="0"/>
    <n v="405.875"/>
    <n v="0"/>
  </r>
  <r>
    <s v="DME/CYO"/>
    <s v="CYO"/>
    <x v="4"/>
    <x v="0"/>
    <x v="53"/>
    <x v="1"/>
    <s v="Cayo Largo del Sur - Vilo Acuna Intl"/>
    <n v="9731"/>
    <n v="24"/>
    <m/>
    <n v="0"/>
    <m/>
    <n v="0"/>
    <n v="405.45833333333331"/>
    <n v="0"/>
  </r>
  <r>
    <s v="DME/AZA"/>
    <s v="AZA"/>
    <x v="4"/>
    <x v="7"/>
    <x v="1"/>
    <x v="1"/>
    <s v="Phoenix - Mesa Gateway"/>
    <n v="9736"/>
    <n v="24"/>
    <m/>
    <n v="0"/>
    <m/>
    <n v="0"/>
    <n v="405.66666666666669"/>
    <n v="0"/>
  </r>
  <r>
    <s v="DME/MAF"/>
    <s v="MAF"/>
    <x v="4"/>
    <x v="7"/>
    <x v="1"/>
    <x v="1"/>
    <s v="Midland - Metropolitan Area"/>
    <n v="9590"/>
    <n v="23.75"/>
    <m/>
    <n v="0"/>
    <m/>
    <n v="0"/>
    <n v="403.78947368421052"/>
    <n v="0"/>
  </r>
  <r>
    <s v="DME/BFL"/>
    <s v="BFL"/>
    <x v="4"/>
    <x v="7"/>
    <x v="1"/>
    <x v="1"/>
    <s v="Bakersfield - Meadows Field"/>
    <n v="9681"/>
    <n v="23.75"/>
    <m/>
    <n v="0"/>
    <m/>
    <n v="0"/>
    <n v="407.62105263157895"/>
    <n v="0"/>
  </r>
  <r>
    <s v="DME/VRA"/>
    <s v="VRA"/>
    <x v="4"/>
    <x v="0"/>
    <x v="53"/>
    <x v="1"/>
    <s v="Varadero - Juan G. Gomez Intl"/>
    <n v="9588"/>
    <n v="23.5"/>
    <m/>
    <n v="0"/>
    <m/>
    <n v="0"/>
    <n v="408"/>
    <n v="0"/>
  </r>
  <r>
    <s v="DME/SNU"/>
    <s v="SNU"/>
    <x v="4"/>
    <x v="1"/>
    <x v="53"/>
    <x v="1"/>
    <s v="Santa Clara - Abel Santamaria"/>
    <n v="9564"/>
    <n v="23.5"/>
    <m/>
    <n v="0"/>
    <m/>
    <n v="0"/>
    <n v="406.97872340425533"/>
    <n v="0"/>
  </r>
  <r>
    <s v="DME/SCU"/>
    <s v="SCU"/>
    <x v="4"/>
    <x v="0"/>
    <x v="53"/>
    <x v="1"/>
    <s v="Santiago de Cuba - Antonio Maceo Intl"/>
    <n v="9587"/>
    <n v="23.5"/>
    <m/>
    <n v="0"/>
    <m/>
    <n v="0"/>
    <n v="407.95744680851061"/>
    <n v="0"/>
  </r>
  <r>
    <s v="DME/ROW"/>
    <s v="ROW"/>
    <x v="4"/>
    <x v="7"/>
    <x v="1"/>
    <x v="1"/>
    <s v="Roswell - Intl Air Center"/>
    <n v="9526"/>
    <n v="23.5"/>
    <m/>
    <n v="0"/>
    <m/>
    <n v="0"/>
    <n v="405.36170212765956"/>
    <n v="0"/>
  </r>
  <r>
    <s v="DME/HOG"/>
    <s v="HOG"/>
    <x v="4"/>
    <x v="0"/>
    <x v="53"/>
    <x v="1"/>
    <s v="Holguin - Frank Pais Intl"/>
    <n v="9535"/>
    <n v="23.5"/>
    <m/>
    <n v="0"/>
    <m/>
    <n v="0"/>
    <n v="405.74468085106383"/>
    <n v="0"/>
  </r>
  <r>
    <s v="DME/GRK"/>
    <s v="GRK"/>
    <x v="4"/>
    <x v="7"/>
    <x v="1"/>
    <x v="1"/>
    <s v="Killeen/Fort Hood - Regional/R.Gray AAF"/>
    <n v="9521"/>
    <n v="23.5"/>
    <m/>
    <n v="0"/>
    <m/>
    <n v="0"/>
    <n v="405.14893617021278"/>
    <n v="0"/>
  </r>
  <r>
    <s v="DME/FAT"/>
    <s v="FAT"/>
    <x v="4"/>
    <x v="5"/>
    <x v="1"/>
    <x v="1"/>
    <s v="Fresno - Metropolitan Area"/>
    <n v="9548"/>
    <n v="23.5"/>
    <m/>
    <n v="0"/>
    <m/>
    <n v="0"/>
    <n v="406.29787234042556"/>
    <n v="0"/>
  </r>
  <r>
    <s v="DME/CMW"/>
    <s v="CMW"/>
    <x v="4"/>
    <x v="0"/>
    <x v="53"/>
    <x v="1"/>
    <s v="Camaguey - Ignacio Agramonte Intl"/>
    <n v="9557"/>
    <n v="23.5"/>
    <m/>
    <n v="0"/>
    <m/>
    <n v="0"/>
    <n v="406.68085106382978"/>
    <n v="0"/>
  </r>
  <r>
    <s v="DME/CCC"/>
    <s v="CCC"/>
    <x v="4"/>
    <x v="0"/>
    <x v="53"/>
    <x v="1"/>
    <s v="Cayo Coco - Jardines del Rey"/>
    <n v="9487"/>
    <n v="23.5"/>
    <m/>
    <n v="0"/>
    <m/>
    <n v="0"/>
    <n v="403.70212765957444"/>
    <n v="0"/>
  </r>
  <r>
    <s v="DME/CAY"/>
    <s v="CAY"/>
    <x v="4"/>
    <x v="6"/>
    <x v="94"/>
    <x v="5"/>
    <s v="Cayenne - Félix Eboué Airport"/>
    <n v="9585"/>
    <n v="23.5"/>
    <m/>
    <n v="0"/>
    <m/>
    <n v="0"/>
    <n v="407.87234042553189"/>
    <n v="0"/>
  </r>
  <r>
    <s v="DME/UTN"/>
    <s v="UTN"/>
    <x v="4"/>
    <x v="1"/>
    <x v="48"/>
    <x v="0"/>
    <s v="Upington"/>
    <n v="9455"/>
    <n v="23.25"/>
    <m/>
    <n v="0"/>
    <m/>
    <n v="0"/>
    <n v="406.66666666666669"/>
    <n v="0"/>
  </r>
  <r>
    <s v="DME/SCK"/>
    <s v="SCK"/>
    <x v="4"/>
    <x v="8"/>
    <x v="1"/>
    <x v="1"/>
    <s v="Sacramento - Stockton Metropolitan"/>
    <n v="9455"/>
    <n v="23.25"/>
    <m/>
    <n v="0"/>
    <m/>
    <n v="0"/>
    <n v="406.66666666666669"/>
    <n v="0"/>
  </r>
  <r>
    <s v="DME/LBB"/>
    <s v="LBB"/>
    <x v="4"/>
    <x v="7"/>
    <x v="1"/>
    <x v="1"/>
    <s v="Lubbock - Metropolitan Area"/>
    <n v="9398"/>
    <n v="23.25"/>
    <m/>
    <n v="0"/>
    <m/>
    <n v="0"/>
    <n v="404.21505376344084"/>
    <n v="0"/>
  </r>
  <r>
    <s v="DME/KIM"/>
    <s v="KIM"/>
    <x v="4"/>
    <x v="1"/>
    <x v="48"/>
    <x v="0"/>
    <s v="Kimberley"/>
    <n v="9449"/>
    <n v="23.25"/>
    <m/>
    <n v="0"/>
    <m/>
    <n v="0"/>
    <n v="406.40860215053766"/>
    <n v="0"/>
  </r>
  <r>
    <s v="DME/POP"/>
    <s v="POP"/>
    <x v="4"/>
    <x v="0"/>
    <x v="56"/>
    <x v="1"/>
    <s v="Puerto Plata - Gregorio Luperon Intl"/>
    <n v="9314"/>
    <n v="23"/>
    <m/>
    <n v="0"/>
    <m/>
    <n v="0"/>
    <n v="404.95652173913044"/>
    <n v="0"/>
  </r>
  <r>
    <s v="DME/LRM"/>
    <s v="LRM"/>
    <x v="4"/>
    <x v="0"/>
    <x v="56"/>
    <x v="1"/>
    <s v="La Romana - Casa de Campo Intl"/>
    <n v="9341"/>
    <n v="23"/>
    <m/>
    <n v="0"/>
    <m/>
    <n v="0"/>
    <n v="406.13043478260869"/>
    <n v="0"/>
  </r>
  <r>
    <s v="DME/GGG"/>
    <s v="GGG"/>
    <x v="4"/>
    <x v="8"/>
    <x v="1"/>
    <x v="1"/>
    <s v="Longview - East Texas Regional"/>
    <n v="9267"/>
    <n v="23"/>
    <m/>
    <n v="0"/>
    <m/>
    <n v="0"/>
    <n v="402.91304347826087"/>
    <n v="0"/>
  </r>
  <r>
    <s v="DME/GES"/>
    <s v="GES"/>
    <x v="4"/>
    <x v="0"/>
    <x v="60"/>
    <x v="2"/>
    <s v="General Santos - International"/>
    <n v="9278"/>
    <n v="23"/>
    <m/>
    <n v="0"/>
    <m/>
    <n v="0"/>
    <n v="403.39130434782606"/>
    <n v="0"/>
  </r>
  <r>
    <s v="DME/AZS"/>
    <s v="AZS"/>
    <x v="4"/>
    <x v="0"/>
    <x v="56"/>
    <x v="1"/>
    <s v="Samana - El Catey Intl"/>
    <n v="9313"/>
    <n v="23"/>
    <m/>
    <n v="0"/>
    <m/>
    <n v="0"/>
    <n v="404.91304347826087"/>
    <n v="0"/>
  </r>
  <r>
    <s v="DME/AFW"/>
    <s v="AFW"/>
    <x v="4"/>
    <x v="7"/>
    <x v="1"/>
    <x v="1"/>
    <s v="Fort Worth - Alliance"/>
    <n v="9306"/>
    <n v="23"/>
    <m/>
    <n v="0"/>
    <m/>
    <n v="0"/>
    <n v="404.60869565217394"/>
    <n v="0"/>
  </r>
  <r>
    <s v="DME/AEX"/>
    <s v="AEX"/>
    <x v="4"/>
    <x v="7"/>
    <x v="1"/>
    <x v="1"/>
    <s v="Alexandria - Metropolitan Area"/>
    <n v="9286"/>
    <n v="23"/>
    <m/>
    <n v="0"/>
    <m/>
    <n v="0"/>
    <n v="403.73913043478262"/>
    <n v="0"/>
  </r>
  <r>
    <s v="DME/SRQ"/>
    <s v="SRQ"/>
    <x v="4"/>
    <x v="5"/>
    <x v="1"/>
    <x v="1"/>
    <s v="Sarasota/Bradenton - International"/>
    <n v="9222"/>
    <n v="22.75"/>
    <m/>
    <n v="0"/>
    <m/>
    <n v="0"/>
    <n v="405.36263736263737"/>
    <n v="0"/>
  </r>
  <r>
    <s v="DME/SPS"/>
    <s v="SPS"/>
    <x v="4"/>
    <x v="7"/>
    <x v="1"/>
    <x v="1"/>
    <s v="Wichita Falls - Metropolitan Area"/>
    <n v="9248"/>
    <n v="22.75"/>
    <m/>
    <n v="0"/>
    <m/>
    <n v="0"/>
    <n v="406.50549450549448"/>
    <n v="0"/>
  </r>
  <r>
    <s v="DME/RNO"/>
    <s v="RNO"/>
    <x v="4"/>
    <x v="5"/>
    <x v="1"/>
    <x v="1"/>
    <s v="Reno/Tahoe Intl"/>
    <n v="9254"/>
    <n v="22.75"/>
    <m/>
    <n v="0"/>
    <m/>
    <n v="0"/>
    <n v="406.76923076923077"/>
    <n v="0"/>
  </r>
  <r>
    <s v="DME/PIE"/>
    <s v="PIE"/>
    <x v="4"/>
    <x v="7"/>
    <x v="1"/>
    <x v="1"/>
    <s v="Tampa - St.Pete-Clearwater Int"/>
    <n v="9179"/>
    <n v="22.75"/>
    <m/>
    <n v="0"/>
    <m/>
    <n v="0"/>
    <n v="403.47252747252747"/>
    <n v="0"/>
  </r>
  <r>
    <s v="DME/DRO"/>
    <s v="DRO"/>
    <x v="4"/>
    <x v="7"/>
    <x v="1"/>
    <x v="1"/>
    <s v="Durango - Metropolitan Area"/>
    <n v="9221"/>
    <n v="22.75"/>
    <m/>
    <n v="0"/>
    <m/>
    <n v="0"/>
    <n v="405.31868131868134"/>
    <n v="0"/>
  </r>
  <r>
    <s v="DME/DOM"/>
    <s v="DOM"/>
    <x v="4"/>
    <x v="0"/>
    <x v="95"/>
    <x v="1"/>
    <s v="Dominica - Metropolitan Area"/>
    <n v="9159"/>
    <n v="22.75"/>
    <m/>
    <n v="0"/>
    <m/>
    <n v="0"/>
    <n v="402.5934065934066"/>
    <n v="0"/>
  </r>
  <r>
    <s v="DME/BQN"/>
    <s v="BQN"/>
    <x v="4"/>
    <x v="0"/>
    <x v="58"/>
    <x v="1"/>
    <s v="Aguadilla - Rafael Hernandez"/>
    <n v="9234"/>
    <n v="22.75"/>
    <m/>
    <n v="0"/>
    <m/>
    <n v="0"/>
    <n v="405.8901098901099"/>
    <n v="0"/>
  </r>
  <r>
    <s v="DME/BFM"/>
    <s v="BFM"/>
    <x v="4"/>
    <x v="5"/>
    <x v="1"/>
    <x v="1"/>
    <s v="Mobile - Downtown Arpt"/>
    <n v="9164"/>
    <n v="22.75"/>
    <m/>
    <n v="0"/>
    <m/>
    <n v="0"/>
    <n v="402.8131868131868"/>
    <n v="0"/>
  </r>
  <r>
    <s v="DME/AMA"/>
    <s v="AMA"/>
    <x v="4"/>
    <x v="7"/>
    <x v="1"/>
    <x v="1"/>
    <s v="Amarillo - Metropolitan Area"/>
    <n v="9234"/>
    <n v="22.75"/>
    <m/>
    <n v="0"/>
    <m/>
    <n v="0"/>
    <n v="405.8901098901099"/>
    <n v="0"/>
  </r>
  <r>
    <s v="DME/VPS"/>
    <s v="VPS"/>
    <x v="4"/>
    <x v="7"/>
    <x v="1"/>
    <x v="1"/>
    <s v="Destin/Ft Walton Beach - Metropolitan Area"/>
    <n v="9108"/>
    <n v="22.5"/>
    <m/>
    <n v="0"/>
    <m/>
    <n v="0"/>
    <n v="404.8"/>
    <n v="0"/>
  </r>
  <r>
    <s v="DME/OKC"/>
    <s v="OKC"/>
    <x v="4"/>
    <x v="5"/>
    <x v="1"/>
    <x v="1"/>
    <s v="Oklahoma City - Metropolitan Area"/>
    <n v="9072"/>
    <n v="22.5"/>
    <m/>
    <n v="0"/>
    <m/>
    <n v="0"/>
    <n v="403.2"/>
    <n v="0"/>
  </r>
  <r>
    <s v="DME/MTJ"/>
    <s v="MTJ"/>
    <x v="4"/>
    <x v="7"/>
    <x v="1"/>
    <x v="1"/>
    <s v="Montrose - Regional"/>
    <n v="9082"/>
    <n v="22.5"/>
    <m/>
    <n v="0"/>
    <m/>
    <n v="0"/>
    <n v="403.64444444444445"/>
    <n v="0"/>
  </r>
  <r>
    <s v="DME/MLB"/>
    <s v="MLB"/>
    <x v="4"/>
    <x v="7"/>
    <x v="1"/>
    <x v="1"/>
    <s v="Melbourne - Orlando Melbourne Intl"/>
    <n v="9060"/>
    <n v="22.5"/>
    <m/>
    <n v="0"/>
    <m/>
    <n v="0"/>
    <n v="402.66666666666669"/>
    <n v="0"/>
  </r>
  <r>
    <s v="DME/HLA"/>
    <s v="HLA"/>
    <x v="4"/>
    <x v="0"/>
    <x v="48"/>
    <x v="0"/>
    <s v="Johannesburg - Lanseria International"/>
    <n v="9097"/>
    <n v="22.5"/>
    <m/>
    <n v="0"/>
    <m/>
    <n v="0"/>
    <n v="404.31111111111113"/>
    <n v="0"/>
  </r>
  <r>
    <s v="DME/GUC"/>
    <s v="GUC"/>
    <x v="4"/>
    <x v="7"/>
    <x v="1"/>
    <x v="1"/>
    <s v="Gunnison-Crested Butte"/>
    <n v="9052"/>
    <n v="22.5"/>
    <m/>
    <n v="0"/>
    <m/>
    <n v="0"/>
    <n v="402.31111111111113"/>
    <n v="0"/>
  </r>
  <r>
    <s v="DME/GJT"/>
    <s v="GJT"/>
    <x v="4"/>
    <x v="7"/>
    <x v="1"/>
    <x v="1"/>
    <s v="Grand Junction - Regional"/>
    <n v="9035"/>
    <n v="22.5"/>
    <m/>
    <n v="0"/>
    <m/>
    <n v="0"/>
    <n v="401.55555555555554"/>
    <n v="0"/>
  </r>
  <r>
    <s v="DME/FPO"/>
    <s v="FPO"/>
    <x v="4"/>
    <x v="0"/>
    <x v="59"/>
    <x v="1"/>
    <s v="Freeport - Grand Bahama Intl"/>
    <n v="9110"/>
    <n v="22.5"/>
    <m/>
    <n v="0"/>
    <m/>
    <n v="0"/>
    <n v="404.88888888888891"/>
    <n v="0"/>
  </r>
  <r>
    <s v="DME/ECP"/>
    <s v="ECP"/>
    <x v="4"/>
    <x v="5"/>
    <x v="1"/>
    <x v="1"/>
    <s v="Panama City - Metropolitan Area"/>
    <n v="9087"/>
    <n v="22.5"/>
    <m/>
    <n v="0"/>
    <m/>
    <n v="0"/>
    <n v="403.86666666666667"/>
    <n v="0"/>
  </r>
  <r>
    <s v="DME/TUL"/>
    <s v="TUL"/>
    <x v="4"/>
    <x v="5"/>
    <x v="1"/>
    <x v="1"/>
    <s v="Tulsa - Metropolitan Area"/>
    <n v="8927"/>
    <n v="22.25"/>
    <m/>
    <n v="0"/>
    <m/>
    <n v="0"/>
    <n v="401.2134831460674"/>
    <n v="0"/>
  </r>
  <r>
    <s v="DME/SFB"/>
    <s v="SFB"/>
    <x v="4"/>
    <x v="5"/>
    <x v="1"/>
    <x v="1"/>
    <s v="Orlando - Sanford Intl"/>
    <n v="9025"/>
    <n v="22.25"/>
    <m/>
    <n v="0"/>
    <m/>
    <n v="0"/>
    <n v="405.61797752808991"/>
    <n v="0"/>
  </r>
  <r>
    <s v="DME/PUB"/>
    <s v="PUB"/>
    <x v="4"/>
    <x v="8"/>
    <x v="1"/>
    <x v="1"/>
    <s v="Pueblo - Memorial"/>
    <n v="9005"/>
    <n v="22.25"/>
    <m/>
    <n v="0"/>
    <m/>
    <n v="0"/>
    <n v="404.71910112359552"/>
    <n v="0"/>
  </r>
  <r>
    <s v="DME/MQP"/>
    <s v="MQP"/>
    <x v="4"/>
    <x v="0"/>
    <x v="48"/>
    <x v="0"/>
    <s v="Nelspruit - Kruger Mpumalanga Intl"/>
    <n v="9009"/>
    <n v="22.25"/>
    <m/>
    <n v="0"/>
    <m/>
    <n v="0"/>
    <n v="404.89887640449439"/>
    <n v="0"/>
  </r>
  <r>
    <s v="DME/MEI"/>
    <s v="MEI"/>
    <x v="4"/>
    <x v="8"/>
    <x v="1"/>
    <x v="1"/>
    <s v="Meridian - Regional (Key Field)"/>
    <n v="9025"/>
    <n v="22.25"/>
    <m/>
    <n v="0"/>
    <m/>
    <n v="0"/>
    <n v="405.61797752808991"/>
    <n v="0"/>
  </r>
  <r>
    <s v="DME/LMT"/>
    <s v="LMT"/>
    <x v="4"/>
    <x v="8"/>
    <x v="1"/>
    <x v="1"/>
    <s v="Klamath Falls"/>
    <n v="8999"/>
    <n v="22.25"/>
    <m/>
    <n v="0"/>
    <m/>
    <n v="0"/>
    <n v="404.44943820224717"/>
    <n v="0"/>
  </r>
  <r>
    <s v="DME/GBE"/>
    <s v="GBE"/>
    <x v="4"/>
    <x v="0"/>
    <x v="96"/>
    <x v="0"/>
    <s v="Gaborone - Sir Seretse Khama Intl"/>
    <n v="8966"/>
    <n v="22.25"/>
    <m/>
    <n v="0"/>
    <m/>
    <n v="0"/>
    <n v="402.96629213483146"/>
    <n v="0"/>
  </r>
  <r>
    <s v="DME/DAB"/>
    <s v="DAB"/>
    <x v="4"/>
    <x v="7"/>
    <x v="1"/>
    <x v="1"/>
    <s v="Daytona Beach - International"/>
    <n v="8977"/>
    <n v="22.25"/>
    <m/>
    <n v="0"/>
    <m/>
    <n v="0"/>
    <n v="403.46067415730334"/>
    <n v="0"/>
  </r>
  <r>
    <s v="DME/COS"/>
    <s v="COS"/>
    <x v="4"/>
    <x v="5"/>
    <x v="1"/>
    <x v="1"/>
    <s v="Colorado Springs - Metropolitan Area"/>
    <n v="8957"/>
    <n v="22.25"/>
    <m/>
    <n v="0"/>
    <m/>
    <n v="0"/>
    <n v="402.56179775280901"/>
    <n v="0"/>
  </r>
  <r>
    <s v="DME/WDH"/>
    <s v="WDH"/>
    <x v="4"/>
    <x v="0"/>
    <x v="97"/>
    <x v="0"/>
    <s v="Windhoek - Metropolitan Area"/>
    <n v="8878"/>
    <n v="22"/>
    <m/>
    <n v="0"/>
    <m/>
    <n v="0"/>
    <n v="403.54545454545456"/>
    <n v="0"/>
  </r>
  <r>
    <s v="DME/ICT"/>
    <s v="ICT"/>
    <x v="4"/>
    <x v="5"/>
    <x v="1"/>
    <x v="1"/>
    <s v="Wichita - Metropolitan Area"/>
    <n v="8836"/>
    <n v="22"/>
    <m/>
    <n v="0"/>
    <m/>
    <n v="0"/>
    <n v="401.63636363636363"/>
    <n v="0"/>
  </r>
  <r>
    <s v="DME/HDN"/>
    <s v="HDN"/>
    <x v="4"/>
    <x v="7"/>
    <x v="1"/>
    <x v="1"/>
    <s v="Hayden - Yampa Valley"/>
    <n v="8855"/>
    <n v="22"/>
    <m/>
    <n v="0"/>
    <m/>
    <n v="0"/>
    <n v="402.5"/>
    <n v="0"/>
  </r>
  <r>
    <s v="DME/BHM"/>
    <s v="BHM"/>
    <x v="4"/>
    <x v="5"/>
    <x v="1"/>
    <x v="1"/>
    <s v="Birmingham - Shuttlesworth Intl"/>
    <n v="8817"/>
    <n v="22"/>
    <m/>
    <n v="0"/>
    <m/>
    <n v="0"/>
    <n v="400.77272727272725"/>
    <n v="0"/>
  </r>
  <r>
    <s v="DME/SBW"/>
    <s v="SBW"/>
    <x v="4"/>
    <x v="0"/>
    <x v="62"/>
    <x v="2"/>
    <s v="Sibu"/>
    <n v="8804"/>
    <n v="21.75"/>
    <m/>
    <n v="0"/>
    <m/>
    <n v="0"/>
    <n v="404.78160919540232"/>
    <n v="0"/>
  </r>
  <r>
    <s v="DME/SAV"/>
    <s v="SAV"/>
    <x v="4"/>
    <x v="5"/>
    <x v="1"/>
    <x v="1"/>
    <s v="Savannah - Metropolitan Area"/>
    <n v="8701"/>
    <n v="21.75"/>
    <m/>
    <n v="0"/>
    <m/>
    <n v="0"/>
    <n v="400.04597701149424"/>
    <n v="0"/>
  </r>
  <r>
    <s v="DME/RKS"/>
    <s v="RKS"/>
    <x v="4"/>
    <x v="8"/>
    <x v="1"/>
    <x v="1"/>
    <s v="Rock Springs - Sweetwater County"/>
    <n v="8788"/>
    <n v="21.75"/>
    <m/>
    <n v="0"/>
    <m/>
    <n v="0"/>
    <n v="404.04597701149424"/>
    <n v="0"/>
  </r>
  <r>
    <s v="DME/PIH"/>
    <s v="PIH"/>
    <x v="4"/>
    <x v="8"/>
    <x v="1"/>
    <x v="1"/>
    <s v="Pocatello - Regional"/>
    <n v="8736"/>
    <n v="21.75"/>
    <m/>
    <n v="0"/>
    <m/>
    <n v="0"/>
    <n v="401.65517241379308"/>
    <n v="0"/>
  </r>
  <r>
    <s v="DME/HSV"/>
    <s v="HSV"/>
    <x v="4"/>
    <x v="5"/>
    <x v="1"/>
    <x v="1"/>
    <s v="Huntsville - Metropolitan Area"/>
    <n v="8713"/>
    <n v="21.75"/>
    <m/>
    <n v="0"/>
    <m/>
    <n v="0"/>
    <n v="400.59770114942529"/>
    <n v="0"/>
  </r>
  <r>
    <s v="DME/CYS"/>
    <s v="CYS"/>
    <x v="4"/>
    <x v="8"/>
    <x v="1"/>
    <x v="1"/>
    <s v="Cheyenne - Metropolitan Area"/>
    <n v="8717"/>
    <n v="21.75"/>
    <m/>
    <n v="0"/>
    <m/>
    <n v="0"/>
    <n v="400.78160919540232"/>
    <n v="0"/>
  </r>
  <r>
    <s v="DME/BOI"/>
    <s v="BOI"/>
    <x v="4"/>
    <x v="5"/>
    <x v="1"/>
    <x v="1"/>
    <s v="Boise - Air Term. (Gowen Fld)"/>
    <n v="8745"/>
    <n v="21.75"/>
    <m/>
    <n v="0"/>
    <m/>
    <n v="0"/>
    <n v="402.06896551724139"/>
    <n v="0"/>
  </r>
  <r>
    <s v="DME/LNK"/>
    <s v="LNK"/>
    <x v="4"/>
    <x v="7"/>
    <x v="1"/>
    <x v="1"/>
    <s v="Lincoln"/>
    <n v="8488"/>
    <n v="21.25"/>
    <m/>
    <n v="0"/>
    <m/>
    <n v="0"/>
    <n v="399.43529411764706"/>
    <n v="0"/>
  </r>
  <r>
    <s v="DME/GSP"/>
    <s v="GSP"/>
    <x v="4"/>
    <x v="5"/>
    <x v="1"/>
    <x v="1"/>
    <s v="Greenville/Spartanburg - Metropolitan Area"/>
    <n v="8483"/>
    <n v="21.25"/>
    <m/>
    <n v="0"/>
    <m/>
    <n v="0"/>
    <n v="399.2"/>
    <n v="0"/>
  </r>
  <r>
    <s v="DME/CPR"/>
    <s v="CPR"/>
    <x v="4"/>
    <x v="7"/>
    <x v="1"/>
    <x v="1"/>
    <s v="Casper - Natrona County Intl"/>
    <n v="8580"/>
    <n v="21.25"/>
    <m/>
    <n v="0"/>
    <m/>
    <n v="0"/>
    <n v="403.76470588235293"/>
    <n v="0"/>
  </r>
  <r>
    <s v="DME/OND"/>
    <s v="OND"/>
    <x v="4"/>
    <x v="1"/>
    <x v="97"/>
    <x v="0"/>
    <s v="Ondangwa"/>
    <n v="8410"/>
    <n v="21"/>
    <m/>
    <n v="0"/>
    <m/>
    <n v="0"/>
    <n v="400.47619047619048"/>
    <n v="0"/>
  </r>
  <r>
    <s v="DME/OMA"/>
    <s v="OMA"/>
    <x v="4"/>
    <x v="5"/>
    <x v="1"/>
    <x v="1"/>
    <s v="Omaha - Metropolitan Area"/>
    <n v="8412"/>
    <n v="21"/>
    <m/>
    <n v="0"/>
    <m/>
    <n v="0"/>
    <n v="400.57142857142856"/>
    <n v="0"/>
  </r>
  <r>
    <s v="DME/MYR"/>
    <s v="MYR"/>
    <x v="4"/>
    <x v="5"/>
    <x v="1"/>
    <x v="1"/>
    <s v="Myrtle Beach - Metropolitan Area"/>
    <n v="8444"/>
    <n v="21"/>
    <m/>
    <n v="0"/>
    <m/>
    <n v="0"/>
    <n v="402.09523809523807"/>
    <n v="0"/>
  </r>
  <r>
    <s v="DME/BLV"/>
    <s v="BLV"/>
    <x v="4"/>
    <x v="8"/>
    <x v="1"/>
    <x v="1"/>
    <s v="Belleville - MidAmerica St Louis"/>
    <n v="8458"/>
    <n v="21"/>
    <m/>
    <n v="0"/>
    <m/>
    <n v="0"/>
    <n v="402.76190476190476"/>
    <n v="0"/>
  </r>
  <r>
    <s v="DME/BFI"/>
    <s v="BFI"/>
    <x v="4"/>
    <x v="8"/>
    <x v="1"/>
    <x v="1"/>
    <s v="Seattle - Boeing Fld-King Co Int"/>
    <n v="8422"/>
    <n v="21"/>
    <m/>
    <n v="0"/>
    <m/>
    <n v="0"/>
    <n v="401.04761904761904"/>
    <n v="0"/>
  </r>
  <r>
    <s v="DME/YXX"/>
    <s v="YXX"/>
    <x v="4"/>
    <x v="0"/>
    <x v="3"/>
    <x v="1"/>
    <s v="Abbotsford - International"/>
    <n v="8260"/>
    <n v="20.75"/>
    <m/>
    <n v="0"/>
    <m/>
    <n v="0"/>
    <n v="398.07228915662648"/>
    <n v="0"/>
  </r>
  <r>
    <s v="DME/VPE"/>
    <s v="VPE"/>
    <x v="4"/>
    <x v="0"/>
    <x v="66"/>
    <x v="0"/>
    <s v="Ondjiva"/>
    <n v="8326"/>
    <n v="20.75"/>
    <m/>
    <n v="0"/>
    <m/>
    <n v="0"/>
    <n v="401.25301204819277"/>
    <n v="0"/>
  </r>
  <r>
    <s v="DME/TNR"/>
    <s v="TNR"/>
    <x v="4"/>
    <x v="0"/>
    <x v="98"/>
    <x v="0"/>
    <s v="Antananarivo - Ivato Intl"/>
    <n v="8303"/>
    <n v="20.75"/>
    <m/>
    <n v="0"/>
    <m/>
    <n v="0"/>
    <n v="400.14457831325302"/>
    <n v="0"/>
  </r>
  <r>
    <s v="DME/SDF"/>
    <s v="SDF"/>
    <x v="4"/>
    <x v="5"/>
    <x v="1"/>
    <x v="1"/>
    <s v="Louisville - Metropolitan Area"/>
    <n v="8323"/>
    <n v="20.75"/>
    <m/>
    <n v="0"/>
    <m/>
    <n v="0"/>
    <n v="401.10843373493975"/>
    <n v="0"/>
  </r>
  <r>
    <s v="DME/MSO"/>
    <s v="MSO"/>
    <x v="4"/>
    <x v="7"/>
    <x v="1"/>
    <x v="1"/>
    <s v="Missoula - International"/>
    <n v="8341"/>
    <n v="20.75"/>
    <m/>
    <n v="0"/>
    <m/>
    <n v="0"/>
    <n v="401.97590361445782"/>
    <n v="0"/>
  </r>
  <r>
    <s v="DME/GSO"/>
    <s v="GSO"/>
    <x v="4"/>
    <x v="5"/>
    <x v="1"/>
    <x v="1"/>
    <s v="Greensboro/High Point - Piedmont Triad Intl"/>
    <n v="8263"/>
    <n v="20.75"/>
    <m/>
    <n v="0"/>
    <m/>
    <n v="0"/>
    <n v="398.2168674698795"/>
    <n v="0"/>
  </r>
  <r>
    <s v="DME/BIL"/>
    <s v="BIL"/>
    <x v="4"/>
    <x v="7"/>
    <x v="1"/>
    <x v="1"/>
    <s v="Billings - Logan Intl"/>
    <n v="8331"/>
    <n v="20.75"/>
    <m/>
    <n v="0"/>
    <m/>
    <n v="0"/>
    <n v="401.49397590361446"/>
    <n v="0"/>
  </r>
  <r>
    <s v="DME/YQQ"/>
    <s v="YQQ"/>
    <x v="4"/>
    <x v="0"/>
    <x v="3"/>
    <x v="1"/>
    <s v="Comox"/>
    <n v="8219"/>
    <n v="20.5"/>
    <m/>
    <n v="0"/>
    <m/>
    <n v="0"/>
    <n v="400.92682926829269"/>
    <n v="0"/>
  </r>
  <r>
    <s v="DME/SDD"/>
    <s v="SDD"/>
    <x v="4"/>
    <x v="0"/>
    <x v="66"/>
    <x v="0"/>
    <s v="Lubango - Mukanka"/>
    <n v="8149"/>
    <n v="20.5"/>
    <m/>
    <n v="0"/>
    <m/>
    <n v="0"/>
    <n v="397.51219512195121"/>
    <n v="0"/>
  </r>
  <r>
    <s v="DME/CRK"/>
    <s v="CRK"/>
    <x v="4"/>
    <x v="0"/>
    <x v="60"/>
    <x v="2"/>
    <s v="Angeles/Mabalacat - Clark Intl"/>
    <n v="8163"/>
    <n v="20.5"/>
    <m/>
    <n v="0"/>
    <m/>
    <n v="0"/>
    <n v="398.19512195121951"/>
    <n v="0"/>
  </r>
  <r>
    <s v="DME/PIA"/>
    <s v="PIA"/>
    <x v="4"/>
    <x v="7"/>
    <x v="1"/>
    <x v="1"/>
    <s v="Peoria - General Downing Intl"/>
    <n v="8243"/>
    <n v="20.5"/>
    <m/>
    <n v="0"/>
    <m/>
    <n v="0"/>
    <n v="402.09756097560978"/>
    <n v="0"/>
  </r>
  <r>
    <s v="DME/MLI"/>
    <s v="MLI"/>
    <x v="4"/>
    <x v="7"/>
    <x v="1"/>
    <x v="1"/>
    <s v="Moline - Quad City Intl"/>
    <n v="8198"/>
    <n v="20.5"/>
    <m/>
    <n v="0"/>
    <m/>
    <n v="0"/>
    <n v="399.90243902439022"/>
    <n v="0"/>
  </r>
  <r>
    <s v="DME/GTF"/>
    <s v="GTF"/>
    <x v="4"/>
    <x v="7"/>
    <x v="1"/>
    <x v="1"/>
    <s v="Great Falls - Metropolitan Area"/>
    <n v="8222"/>
    <n v="20.5"/>
    <m/>
    <n v="0"/>
    <m/>
    <n v="0"/>
    <n v="401.07317073170731"/>
    <n v="0"/>
  </r>
  <r>
    <s v="DME/RDU"/>
    <s v="RDU"/>
    <x v="4"/>
    <x v="9"/>
    <x v="1"/>
    <x v="1"/>
    <s v="Raleigh/Durham - International"/>
    <n v="8229"/>
    <n v="20.5"/>
    <m/>
    <n v="0"/>
    <m/>
    <n v="0"/>
    <n v="401.41463414634148"/>
    <n v="0"/>
  </r>
  <r>
    <s v="DME/IND"/>
    <s v="IND"/>
    <x v="4"/>
    <x v="9"/>
    <x v="1"/>
    <x v="1"/>
    <s v="Indianapolis - International"/>
    <n v="8197"/>
    <n v="20.5"/>
    <m/>
    <n v="0"/>
    <m/>
    <n v="0"/>
    <n v="399.85365853658539"/>
    <n v="0"/>
  </r>
  <r>
    <s v="DME/SZB"/>
    <s v="SZB"/>
    <x v="4"/>
    <x v="0"/>
    <x v="62"/>
    <x v="2"/>
    <s v="Kuala Lumpur - Sultan Abdul Aziz Shah"/>
    <n v="8091"/>
    <n v="20.25"/>
    <m/>
    <n v="0"/>
    <m/>
    <n v="0"/>
    <n v="399.55555555555554"/>
    <n v="0"/>
  </r>
  <r>
    <s v="DME/RST"/>
    <s v="RST"/>
    <x v="4"/>
    <x v="7"/>
    <x v="1"/>
    <x v="1"/>
    <s v="Rochester - International"/>
    <n v="8029"/>
    <n v="20.25"/>
    <m/>
    <n v="0"/>
    <m/>
    <n v="0"/>
    <n v="396.49382716049382"/>
    <n v="0"/>
  </r>
  <r>
    <s v="DME/RFD"/>
    <s v="RFD"/>
    <x v="4"/>
    <x v="7"/>
    <x v="1"/>
    <x v="1"/>
    <s v="Chicago/Rockford Intl"/>
    <n v="8070"/>
    <n v="20.25"/>
    <m/>
    <n v="0"/>
    <m/>
    <n v="0"/>
    <n v="398.51851851851853"/>
    <n v="0"/>
  </r>
  <r>
    <s v="DME/KUA"/>
    <s v="KUA"/>
    <x v="4"/>
    <x v="0"/>
    <x v="62"/>
    <x v="2"/>
    <s v="Kuantan - Sultan Haji Ahmad Shah"/>
    <n v="8129"/>
    <n v="20.25"/>
    <m/>
    <n v="0"/>
    <m/>
    <n v="0"/>
    <n v="401.4320987654321"/>
    <n v="0"/>
  </r>
  <r>
    <s v="DME/FWA"/>
    <s v="FWA"/>
    <x v="4"/>
    <x v="7"/>
    <x v="1"/>
    <x v="1"/>
    <s v="Fort Wayne - Metropolitan Area"/>
    <n v="8029"/>
    <n v="20.25"/>
    <m/>
    <n v="0"/>
    <m/>
    <n v="0"/>
    <n v="396.49382716049382"/>
    <n v="0"/>
  </r>
  <r>
    <s v="DME/DAY"/>
    <s v="DAY"/>
    <x v="4"/>
    <x v="5"/>
    <x v="1"/>
    <x v="1"/>
    <s v="Dayton - Metropolitan Area"/>
    <n v="8092"/>
    <n v="20.25"/>
    <m/>
    <n v="0"/>
    <m/>
    <n v="0"/>
    <n v="399.60493827160496"/>
    <n v="0"/>
  </r>
  <r>
    <s v="DME/TGG"/>
    <s v="TGG"/>
    <x v="4"/>
    <x v="0"/>
    <x v="62"/>
    <x v="2"/>
    <s v="Kuala Terengganu - Sultan Mahmud"/>
    <n v="7972"/>
    <n v="20"/>
    <m/>
    <n v="0"/>
    <m/>
    <n v="0"/>
    <n v="398.6"/>
    <n v="0"/>
  </r>
  <r>
    <s v="DME/MKE"/>
    <s v="MKE"/>
    <x v="4"/>
    <x v="9"/>
    <x v="1"/>
    <x v="1"/>
    <s v="Milwaukee - Metropolitan Area"/>
    <n v="7949"/>
    <n v="20"/>
    <m/>
    <n v="0"/>
    <m/>
    <n v="0"/>
    <n v="397.45"/>
    <n v="0"/>
  </r>
  <r>
    <s v="DME/LUN"/>
    <s v="LUN"/>
    <x v="4"/>
    <x v="0"/>
    <x v="99"/>
    <x v="0"/>
    <s v="Lusaka - International"/>
    <n v="7918"/>
    <n v="20"/>
    <m/>
    <n v="0"/>
    <m/>
    <n v="0"/>
    <n v="395.9"/>
    <n v="0"/>
  </r>
  <r>
    <s v="DME/CMH"/>
    <s v="CMH"/>
    <x v="4"/>
    <x v="9"/>
    <x v="1"/>
    <x v="1"/>
    <s v="Columbus - Metropolitan Area"/>
    <n v="8025"/>
    <n v="20"/>
    <m/>
    <n v="0"/>
    <m/>
    <n v="0"/>
    <n v="401.25"/>
    <n v="0"/>
  </r>
  <r>
    <s v="DME/TOL"/>
    <s v="TOL"/>
    <x v="4"/>
    <x v="7"/>
    <x v="1"/>
    <x v="1"/>
    <s v="Toledo - Metropolitan Area"/>
    <n v="7913"/>
    <n v="19.75"/>
    <m/>
    <n v="0"/>
    <m/>
    <n v="0"/>
    <n v="400.65822784810126"/>
    <n v="0"/>
  </r>
  <r>
    <s v="DME/PIT"/>
    <s v="PIT"/>
    <x v="4"/>
    <x v="9"/>
    <x v="1"/>
    <x v="1"/>
    <s v="Pittsburgh - Metropolitan Area"/>
    <n v="7860"/>
    <n v="19.75"/>
    <m/>
    <n v="0"/>
    <m/>
    <n v="0"/>
    <n v="397.97468354430379"/>
    <n v="0"/>
  </r>
  <r>
    <s v="DME/LAO"/>
    <s v="LAO"/>
    <x v="4"/>
    <x v="0"/>
    <x v="60"/>
    <x v="2"/>
    <s v="Laoag - International"/>
    <n v="7893"/>
    <n v="19.75"/>
    <m/>
    <n v="0"/>
    <m/>
    <n v="0"/>
    <n v="399.64556962025318"/>
    <n v="0"/>
  </r>
  <r>
    <s v="DME/GRR"/>
    <s v="GRR"/>
    <x v="4"/>
    <x v="5"/>
    <x v="1"/>
    <x v="1"/>
    <s v="Grand Rapids - Gerald R. Ford Intl"/>
    <n v="7860"/>
    <n v="19.75"/>
    <m/>
    <n v="0"/>
    <m/>
    <n v="0"/>
    <n v="397.97468354430379"/>
    <n v="0"/>
  </r>
  <r>
    <s v="DME/CBT"/>
    <s v="CBT"/>
    <x v="4"/>
    <x v="0"/>
    <x v="66"/>
    <x v="0"/>
    <s v="Catumbela"/>
    <n v="7888"/>
    <n v="19.75"/>
    <m/>
    <n v="0"/>
    <m/>
    <n v="0"/>
    <n v="399.39240506329116"/>
    <n v="0"/>
  </r>
  <r>
    <s v="DME/BDA"/>
    <s v="BDA"/>
    <x v="4"/>
    <x v="0"/>
    <x v="100"/>
    <x v="1"/>
    <s v="Bermuda - L.F Wade International"/>
    <n v="7825"/>
    <n v="19.75"/>
    <m/>
    <n v="0"/>
    <m/>
    <n v="0"/>
    <n v="396.20253164556959"/>
    <n v="0"/>
  </r>
  <r>
    <s v="DME/YXS"/>
    <s v="YXS"/>
    <x v="4"/>
    <x v="0"/>
    <x v="3"/>
    <x v="1"/>
    <s v="Prince George - Airport"/>
    <n v="7735"/>
    <n v="19.5"/>
    <m/>
    <n v="0"/>
    <m/>
    <n v="0"/>
    <n v="396.66666666666669"/>
    <n v="0"/>
  </r>
  <r>
    <s v="DME/MDT"/>
    <s v="MDT"/>
    <x v="4"/>
    <x v="5"/>
    <x v="1"/>
    <x v="1"/>
    <s v="Harrisburg - International"/>
    <n v="7729"/>
    <n v="19.5"/>
    <m/>
    <n v="0"/>
    <m/>
    <n v="0"/>
    <n v="396.35897435897436"/>
    <n v="0"/>
  </r>
  <r>
    <s v="DME/LLW"/>
    <s v="LLW"/>
    <x v="4"/>
    <x v="0"/>
    <x v="101"/>
    <x v="0"/>
    <s v="Lilongwe - Kamuzu Intl"/>
    <n v="7706"/>
    <n v="19.5"/>
    <m/>
    <n v="0"/>
    <m/>
    <n v="0"/>
    <n v="395.17948717948718"/>
    <n v="0"/>
  </r>
  <r>
    <s v="DME/DLH"/>
    <s v="DLH"/>
    <x v="4"/>
    <x v="7"/>
    <x v="1"/>
    <x v="1"/>
    <s v="Duluth - International"/>
    <n v="7728"/>
    <n v="19.5"/>
    <m/>
    <n v="0"/>
    <m/>
    <n v="0"/>
    <n v="396.30769230769232"/>
    <n v="0"/>
  </r>
  <r>
    <s v="DME/CXR"/>
    <s v="CXR"/>
    <x v="4"/>
    <x v="0"/>
    <x v="67"/>
    <x v="2"/>
    <s v="Nha Trang - Cam Ranh Intl"/>
    <n v="7738"/>
    <n v="19.5"/>
    <m/>
    <n v="0"/>
    <m/>
    <n v="0"/>
    <n v="396.82051282051282"/>
    <n v="0"/>
  </r>
  <r>
    <s v="DME/YHM"/>
    <s v="YHM"/>
    <x v="4"/>
    <x v="0"/>
    <x v="3"/>
    <x v="1"/>
    <s v="Toronto - John C. Munro Hamilton"/>
    <n v="7595"/>
    <n v="19.25"/>
    <m/>
    <n v="0"/>
    <m/>
    <n v="0"/>
    <n v="394.54545454545456"/>
    <n v="0"/>
  </r>
  <r>
    <s v="DME/MQT"/>
    <s v="MQT"/>
    <x v="4"/>
    <x v="7"/>
    <x v="1"/>
    <x v="1"/>
    <s v="Marquette - Sawyer International"/>
    <n v="7600"/>
    <n v="19.25"/>
    <m/>
    <n v="0"/>
    <m/>
    <n v="0"/>
    <n v="394.80519480519479"/>
    <n v="0"/>
  </r>
  <r>
    <s v="DME/LGK"/>
    <s v="LGK"/>
    <x v="4"/>
    <x v="0"/>
    <x v="62"/>
    <x v="2"/>
    <s v="Langkawi - International"/>
    <n v="7682"/>
    <n v="19.25"/>
    <m/>
    <n v="0"/>
    <m/>
    <n v="0"/>
    <n v="399.06493506493507"/>
    <n v="0"/>
  </r>
  <r>
    <s v="DME/BMV"/>
    <s v="BMV"/>
    <x v="4"/>
    <x v="0"/>
    <x v="67"/>
    <x v="2"/>
    <s v="Buon Ma Thuot"/>
    <n v="7608"/>
    <n v="19.25"/>
    <m/>
    <n v="0"/>
    <m/>
    <n v="0"/>
    <n v="395.22077922077921"/>
    <n v="0"/>
  </r>
  <r>
    <s v="DME/ACY"/>
    <s v="ACY"/>
    <x v="4"/>
    <x v="7"/>
    <x v="1"/>
    <x v="1"/>
    <s v="Atlantic City - International"/>
    <n v="7693"/>
    <n v="19.25"/>
    <m/>
    <n v="0"/>
    <m/>
    <n v="0"/>
    <n v="399.63636363636363"/>
    <n v="0"/>
  </r>
  <r>
    <s v="DME/SWF"/>
    <s v="SWF"/>
    <x v="4"/>
    <x v="7"/>
    <x v="1"/>
    <x v="1"/>
    <s v="New York - Stewart International"/>
    <n v="7483"/>
    <n v="19"/>
    <m/>
    <n v="0"/>
    <m/>
    <n v="0"/>
    <n v="393.84210526315792"/>
    <n v="0"/>
  </r>
  <r>
    <s v="DME/KBV"/>
    <s v="KBV"/>
    <x v="4"/>
    <x v="0"/>
    <x v="68"/>
    <x v="2"/>
    <s v="Krabi"/>
    <n v="7472"/>
    <n v="19"/>
    <m/>
    <n v="0"/>
    <m/>
    <n v="0"/>
    <n v="393.26315789473682"/>
    <n v="0"/>
  </r>
  <r>
    <s v="DME/IAG"/>
    <s v="IAG"/>
    <x v="4"/>
    <x v="8"/>
    <x v="1"/>
    <x v="1"/>
    <s v="Niagara Falls - International"/>
    <n v="7558"/>
    <n v="19"/>
    <m/>
    <n v="0"/>
    <m/>
    <n v="0"/>
    <n v="397.78947368421052"/>
    <n v="0"/>
  </r>
  <r>
    <s v="DME/FBM"/>
    <s v="FBM"/>
    <x v="4"/>
    <x v="0"/>
    <x v="102"/>
    <x v="0"/>
    <s v="Lubumbashi - Luano Intl"/>
    <n v="7514"/>
    <n v="19"/>
    <m/>
    <n v="0"/>
    <m/>
    <n v="0"/>
    <n v="395.4736842105263"/>
    <n v="0"/>
  </r>
  <r>
    <s v="DME/CDB"/>
    <s v="CDB"/>
    <x v="4"/>
    <x v="5"/>
    <x v="1"/>
    <x v="1"/>
    <s v="Cold Bay"/>
    <n v="7575"/>
    <n v="19"/>
    <m/>
    <n v="0"/>
    <m/>
    <n v="0"/>
    <n v="398.68421052631578"/>
    <n v="0"/>
  </r>
  <r>
    <s v="DME/VHC"/>
    <s v="VHC"/>
    <x v="4"/>
    <x v="1"/>
    <x v="66"/>
    <x v="0"/>
    <s v="Saurimo"/>
    <n v="7420"/>
    <n v="18.75"/>
    <m/>
    <n v="0"/>
    <m/>
    <n v="0"/>
    <n v="395.73333333333335"/>
    <n v="0"/>
  </r>
  <r>
    <s v="DME/URT"/>
    <s v="URT"/>
    <x v="4"/>
    <x v="0"/>
    <x v="68"/>
    <x v="2"/>
    <s v="Surat Thani"/>
    <n v="7384"/>
    <n v="18.75"/>
    <m/>
    <n v="0"/>
    <m/>
    <n v="0"/>
    <n v="393.81333333333333"/>
    <n v="0"/>
  </r>
  <r>
    <s v="DME/HAH"/>
    <s v="HAH"/>
    <x v="4"/>
    <x v="0"/>
    <x v="103"/>
    <x v="0"/>
    <s v="Moroni - Prince Said Ibrahim"/>
    <n v="7462"/>
    <n v="18.75"/>
    <m/>
    <n v="0"/>
    <m/>
    <n v="0"/>
    <n v="397.97333333333336"/>
    <n v="0"/>
  </r>
  <r>
    <s v="DME/BDL"/>
    <s v="BDL"/>
    <x v="4"/>
    <x v="5"/>
    <x v="1"/>
    <x v="1"/>
    <s v="Springfield - Bradley International"/>
    <n v="7376"/>
    <n v="18.75"/>
    <m/>
    <n v="0"/>
    <m/>
    <n v="0"/>
    <n v="393.38666666666666"/>
    <n v="0"/>
  </r>
  <r>
    <s v="DME/YYB"/>
    <s v="YYB"/>
    <x v="4"/>
    <x v="1"/>
    <x v="3"/>
    <x v="1"/>
    <s v="North Bay - Jack Garland"/>
    <n v="7276"/>
    <n v="18.5"/>
    <m/>
    <n v="0"/>
    <m/>
    <n v="0"/>
    <n v="393.29729729729729"/>
    <n v="0"/>
  </r>
  <r>
    <s v="DME/UTP"/>
    <s v="UTP"/>
    <x v="4"/>
    <x v="1"/>
    <x v="68"/>
    <x v="2"/>
    <s v="U-Tapao - Rayong-Pattaya Intl"/>
    <n v="7168"/>
    <n v="18.25"/>
    <m/>
    <n v="0"/>
    <m/>
    <n v="0"/>
    <n v="392.76712328767121"/>
    <n v="0"/>
  </r>
  <r>
    <s v="DME/PSM"/>
    <s v="PSM"/>
    <x v="4"/>
    <x v="7"/>
    <x v="1"/>
    <x v="1"/>
    <s v="Boston - Portsmouth Pease Intl"/>
    <n v="7184"/>
    <n v="18.25"/>
    <m/>
    <n v="0"/>
    <m/>
    <n v="0"/>
    <n v="393.64383561643837"/>
    <n v="0"/>
  </r>
  <r>
    <s v="DME/PBG"/>
    <s v="PBG"/>
    <x v="4"/>
    <x v="7"/>
    <x v="1"/>
    <x v="1"/>
    <s v="Plattsburgh - International"/>
    <n v="7168"/>
    <n v="18.25"/>
    <m/>
    <n v="0"/>
    <m/>
    <n v="0"/>
    <n v="392.76712328767121"/>
    <n v="0"/>
  </r>
  <r>
    <s v="DME/MHT"/>
    <s v="MHT"/>
    <x v="4"/>
    <x v="5"/>
    <x v="1"/>
    <x v="1"/>
    <s v="Manchester-Boston Rgnl"/>
    <n v="7226"/>
    <n v="18.25"/>
    <m/>
    <n v="0"/>
    <m/>
    <n v="0"/>
    <n v="395.94520547945206"/>
    <n v="0"/>
  </r>
  <r>
    <s v="DME/YXY"/>
    <s v="YXY"/>
    <x v="4"/>
    <x v="0"/>
    <x v="3"/>
    <x v="1"/>
    <s v="Whitehorse - Erik Nielsen Intl"/>
    <n v="7090"/>
    <n v="18"/>
    <m/>
    <n v="0"/>
    <m/>
    <n v="0"/>
    <n v="393.88888888888891"/>
    <n v="0"/>
  </r>
  <r>
    <s v="DME/YVO"/>
    <s v="YVO"/>
    <x v="4"/>
    <x v="0"/>
    <x v="3"/>
    <x v="1"/>
    <s v="Val d'Or"/>
    <n v="7051"/>
    <n v="18"/>
    <m/>
    <n v="0"/>
    <m/>
    <n v="0"/>
    <n v="391.72222222222223"/>
    <n v="0"/>
  </r>
  <r>
    <s v="DME/ANC"/>
    <s v="ANC"/>
    <x v="4"/>
    <x v="5"/>
    <x v="1"/>
    <x v="1"/>
    <s v="Anchorage - Metropolitan Area"/>
    <n v="7035"/>
    <n v="18"/>
    <m/>
    <n v="0"/>
    <m/>
    <n v="0"/>
    <n v="390.83333333333331"/>
    <n v="0"/>
  </r>
  <r>
    <s v="DME/ROB"/>
    <s v="ROB"/>
    <x v="4"/>
    <x v="0"/>
    <x v="104"/>
    <x v="0"/>
    <s v="Monrovia - Roberts Intl"/>
    <n v="6927"/>
    <n v="17.75"/>
    <m/>
    <n v="0"/>
    <m/>
    <n v="0"/>
    <n v="390.25352112676057"/>
    <n v="0"/>
  </r>
  <r>
    <s v="DME/FIH"/>
    <s v="FIH"/>
    <x v="4"/>
    <x v="0"/>
    <x v="102"/>
    <x v="0"/>
    <s v="Kinshasa - Metropolitan Area"/>
    <n v="6963"/>
    <n v="17.75"/>
    <m/>
    <n v="0"/>
    <m/>
    <n v="0"/>
    <n v="392.28169014084506"/>
    <n v="0"/>
  </r>
  <r>
    <s v="DME/BZV"/>
    <s v="BZV"/>
    <x v="4"/>
    <x v="0"/>
    <x v="105"/>
    <x v="0"/>
    <s v="Brazzaville - Maya-Maya Airport"/>
    <n v="6953"/>
    <n v="17.75"/>
    <m/>
    <n v="0"/>
    <m/>
    <n v="0"/>
    <n v="391.71830985915494"/>
    <n v="0"/>
  </r>
  <r>
    <s v="DME/BGR"/>
    <s v="BGR"/>
    <x v="4"/>
    <x v="7"/>
    <x v="1"/>
    <x v="1"/>
    <s v="Bangor - International"/>
    <n v="6934"/>
    <n v="17.75"/>
    <m/>
    <n v="0"/>
    <m/>
    <n v="0"/>
    <n v="390.64788732394368"/>
    <n v="0"/>
  </r>
  <r>
    <s v="DME/TAE"/>
    <s v="TAE"/>
    <x v="4"/>
    <x v="0"/>
    <x v="70"/>
    <x v="2"/>
    <s v="Daegu - International"/>
    <n v="6844"/>
    <n v="17.5"/>
    <m/>
    <n v="0"/>
    <m/>
    <n v="0"/>
    <n v="391.08571428571429"/>
    <n v="0"/>
  </r>
  <r>
    <s v="DME/SEZ"/>
    <s v="SEZ"/>
    <x v="4"/>
    <x v="0"/>
    <x v="106"/>
    <x v="0"/>
    <s v="Mahe Island - Seychelles Intl"/>
    <n v="6876"/>
    <n v="17.5"/>
    <m/>
    <n v="0"/>
    <m/>
    <n v="0"/>
    <n v="392.91428571428571"/>
    <n v="0"/>
  </r>
  <r>
    <s v="DME/FNA"/>
    <s v="FNA"/>
    <x v="4"/>
    <x v="0"/>
    <x v="107"/>
    <x v="0"/>
    <s v="Freetown - Metropolitan Area"/>
    <n v="6850"/>
    <n v="17.5"/>
    <m/>
    <n v="0"/>
    <m/>
    <n v="0"/>
    <n v="391.42857142857144"/>
    <n v="0"/>
  </r>
  <r>
    <s v="DME/BHY"/>
    <s v="BHY"/>
    <x v="4"/>
    <x v="0"/>
    <x v="26"/>
    <x v="2"/>
    <s v="Beihai - Fucheng"/>
    <n v="6886"/>
    <n v="17.5"/>
    <m/>
    <n v="0"/>
    <m/>
    <n v="0"/>
    <n v="393.48571428571427"/>
    <n v="0"/>
  </r>
  <r>
    <s v="DME/YBG"/>
    <s v="YBG"/>
    <x v="4"/>
    <x v="0"/>
    <x v="3"/>
    <x v="1"/>
    <s v="Saguenay-Bagotville"/>
    <n v="6727"/>
    <n v="17.25"/>
    <m/>
    <n v="0"/>
    <m/>
    <n v="0"/>
    <n v="389.97101449275362"/>
    <n v="0"/>
  </r>
  <r>
    <s v="DME/VTE"/>
    <s v="VTE"/>
    <x v="4"/>
    <x v="0"/>
    <x v="108"/>
    <x v="2"/>
    <s v="Vientiane - Wattay Intl"/>
    <n v="6780"/>
    <n v="17.25"/>
    <m/>
    <n v="0"/>
    <m/>
    <n v="0"/>
    <n v="393.04347826086956"/>
    <n v="0"/>
  </r>
  <r>
    <s v="DME/PKC"/>
    <s v="PKC"/>
    <x v="4"/>
    <x v="0"/>
    <x v="73"/>
    <x v="3"/>
    <s v="Petropavlovsk - Yelizovo"/>
    <n v="6776"/>
    <n v="17.25"/>
    <m/>
    <n v="0"/>
    <m/>
    <n v="0"/>
    <n v="392.81159420289856"/>
    <n v="0"/>
  </r>
  <r>
    <s v="DME/MWX"/>
    <s v="MWX"/>
    <x v="4"/>
    <x v="1"/>
    <x v="70"/>
    <x v="2"/>
    <s v="Muan - International"/>
    <n v="6787"/>
    <n v="17.25"/>
    <m/>
    <n v="0"/>
    <m/>
    <n v="0"/>
    <n v="393.44927536231882"/>
    <n v="0"/>
  </r>
  <r>
    <s v="DME/KWJ"/>
    <s v="KWJ"/>
    <x v="4"/>
    <x v="3"/>
    <x v="70"/>
    <x v="2"/>
    <s v="Gwangju"/>
    <n v="6801"/>
    <n v="17.25"/>
    <m/>
    <n v="0"/>
    <m/>
    <n v="0"/>
    <n v="394.26086956521738"/>
    <n v="0"/>
  </r>
  <r>
    <s v="DME/CKY"/>
    <s v="CKY"/>
    <x v="4"/>
    <x v="0"/>
    <x v="109"/>
    <x v="0"/>
    <s v="Conakry - International"/>
    <n v="6781"/>
    <n v="17.25"/>
    <m/>
    <n v="0"/>
    <m/>
    <n v="0"/>
    <n v="393.10144927536231"/>
    <n v="0"/>
  </r>
  <r>
    <s v="DME/ABJ"/>
    <s v="ABJ"/>
    <x v="4"/>
    <x v="0"/>
    <x v="110"/>
    <x v="0"/>
    <s v="Abidjan - Felix Houphouet-Boigny"/>
    <n v="6697"/>
    <n v="17.25"/>
    <m/>
    <n v="0"/>
    <m/>
    <n v="0"/>
    <n v="388.231884057971"/>
    <n v="0"/>
  </r>
  <r>
    <s v="DME/YYQ"/>
    <s v="YYQ"/>
    <x v="4"/>
    <x v="0"/>
    <x v="3"/>
    <x v="1"/>
    <s v="Churchill - Airport"/>
    <n v="6624"/>
    <n v="17"/>
    <m/>
    <n v="0"/>
    <m/>
    <n v="0"/>
    <n v="389.64705882352939"/>
    <n v="0"/>
  </r>
  <r>
    <s v="DME/SID"/>
    <s v="SID"/>
    <x v="4"/>
    <x v="0"/>
    <x v="111"/>
    <x v="0"/>
    <s v="Sal Island - Amilcar Cabral Intl"/>
    <n v="6659"/>
    <n v="17"/>
    <m/>
    <n v="0"/>
    <m/>
    <n v="0"/>
    <n v="391.70588235294116"/>
    <n v="0"/>
  </r>
  <r>
    <s v="DME/OXB"/>
    <s v="OXB"/>
    <x v="4"/>
    <x v="1"/>
    <x v="112"/>
    <x v="0"/>
    <s v="Bissau - Osvaldo Vieira Intl"/>
    <n v="6676"/>
    <n v="17"/>
    <m/>
    <n v="0"/>
    <m/>
    <n v="0"/>
    <n v="392.70588235294116"/>
    <n v="0"/>
  </r>
  <r>
    <s v="DME/MBA"/>
    <s v="MBA"/>
    <x v="4"/>
    <x v="0"/>
    <x v="75"/>
    <x v="0"/>
    <s v="Mombasa - Moi International"/>
    <n v="6613"/>
    <n v="17"/>
    <m/>
    <n v="0"/>
    <m/>
    <n v="0"/>
    <n v="389"/>
    <n v="0"/>
  </r>
  <r>
    <s v="DME/LBV"/>
    <s v="LBV"/>
    <x v="4"/>
    <x v="0"/>
    <x v="113"/>
    <x v="0"/>
    <s v="Libreville - Leon M'ba Intl"/>
    <n v="6632"/>
    <n v="17"/>
    <m/>
    <n v="0"/>
    <m/>
    <n v="0"/>
    <n v="390.11764705882354"/>
    <n v="0"/>
  </r>
  <r>
    <s v="DME/JIU"/>
    <s v="JIU"/>
    <x v="4"/>
    <x v="1"/>
    <x v="26"/>
    <x v="2"/>
    <s v="Jiujiang - Lushan"/>
    <n v="6609"/>
    <n v="17"/>
    <m/>
    <n v="0"/>
    <m/>
    <n v="0"/>
    <n v="388.76470588235293"/>
    <n v="0"/>
  </r>
  <r>
    <s v="DME/FAI"/>
    <s v="FAI"/>
    <x v="4"/>
    <x v="7"/>
    <x v="1"/>
    <x v="1"/>
    <s v="Fairbanks - Metropolitan Area"/>
    <n v="6639"/>
    <n v="17"/>
    <m/>
    <n v="0"/>
    <m/>
    <n v="0"/>
    <n v="390.52941176470586"/>
    <n v="0"/>
  </r>
  <r>
    <s v="DME/CZX"/>
    <s v="CZX"/>
    <x v="4"/>
    <x v="0"/>
    <x v="26"/>
    <x v="2"/>
    <s v="Changzhou - Benniu"/>
    <n v="6648"/>
    <n v="17"/>
    <m/>
    <n v="0"/>
    <m/>
    <n v="0"/>
    <n v="391.05882352941177"/>
    <n v="0"/>
  </r>
  <r>
    <s v="DME/BJM"/>
    <s v="BJM"/>
    <x v="4"/>
    <x v="0"/>
    <x v="114"/>
    <x v="0"/>
    <s v="Bujumbura - International"/>
    <n v="6579"/>
    <n v="17"/>
    <m/>
    <n v="0"/>
    <m/>
    <n v="0"/>
    <n v="387"/>
    <n v="0"/>
  </r>
  <r>
    <s v="DME/BJL"/>
    <s v="BJL"/>
    <x v="4"/>
    <x v="0"/>
    <x v="115"/>
    <x v="0"/>
    <s v="Banjul - International"/>
    <n v="6597"/>
    <n v="17"/>
    <m/>
    <n v="0"/>
    <m/>
    <n v="0"/>
    <n v="388.05882352941177"/>
    <n v="0"/>
  </r>
  <r>
    <s v="DME/ASK"/>
    <s v="ASK"/>
    <x v="4"/>
    <x v="1"/>
    <x v="110"/>
    <x v="0"/>
    <s v="Yamoussoukro"/>
    <n v="6604"/>
    <n v="17"/>
    <m/>
    <n v="0"/>
    <m/>
    <n v="0"/>
    <n v="388.47058823529414"/>
    <n v="0"/>
  </r>
  <r>
    <s v="DME/AQG"/>
    <s v="AQG"/>
    <x v="4"/>
    <x v="1"/>
    <x v="26"/>
    <x v="2"/>
    <s v="Anqing - Tianzhushan"/>
    <n v="6593"/>
    <n v="17"/>
    <m/>
    <n v="0"/>
    <m/>
    <n v="0"/>
    <n v="387.8235294117647"/>
    <n v="0"/>
  </r>
  <r>
    <s v="DME/JRO"/>
    <s v="JRO"/>
    <x v="4"/>
    <x v="0"/>
    <x v="71"/>
    <x v="0"/>
    <s v="Kilimanjaro - International"/>
    <n v="6544"/>
    <n v="16.75"/>
    <m/>
    <n v="0"/>
    <m/>
    <n v="0"/>
    <n v="390.68656716417911"/>
    <n v="0"/>
  </r>
  <r>
    <s v="DME/CMB"/>
    <s v="CMB"/>
    <x v="4"/>
    <x v="3"/>
    <x v="116"/>
    <x v="2"/>
    <s v="Colombo - Metropolitan Area"/>
    <n v="6513"/>
    <n v="16.75"/>
    <m/>
    <n v="0"/>
    <m/>
    <n v="0"/>
    <n v="388.83582089552237"/>
    <n v="0"/>
  </r>
  <r>
    <s v="DME/ACC"/>
    <s v="ACC"/>
    <x v="4"/>
    <x v="0"/>
    <x v="117"/>
    <x v="0"/>
    <s v="Accra - Kotoka Intl"/>
    <n v="6486"/>
    <n v="16.75"/>
    <m/>
    <n v="0"/>
    <m/>
    <n v="0"/>
    <n v="387.2238805970149"/>
    <n v="0"/>
  </r>
  <r>
    <s v="DME/MWZ"/>
    <s v="MWZ"/>
    <x v="4"/>
    <x v="0"/>
    <x v="71"/>
    <x v="0"/>
    <s v="Mwanza"/>
    <n v="6450"/>
    <n v="16.5"/>
    <m/>
    <n v="0"/>
    <m/>
    <n v="0"/>
    <n v="390.90909090909093"/>
    <n v="0"/>
  </r>
  <r>
    <s v="DME/LFW"/>
    <s v="LFW"/>
    <x v="4"/>
    <x v="0"/>
    <x v="118"/>
    <x v="0"/>
    <s v="Lome - G. Eyadema Intl"/>
    <n v="6365"/>
    <n v="16.5"/>
    <m/>
    <n v="0"/>
    <m/>
    <n v="0"/>
    <n v="385.75757575757575"/>
    <n v="0"/>
  </r>
  <r>
    <s v="DME/KGL"/>
    <s v="KGL"/>
    <x v="4"/>
    <x v="0"/>
    <x v="119"/>
    <x v="0"/>
    <s v="Kigali - International"/>
    <n v="6420"/>
    <n v="16.5"/>
    <m/>
    <n v="0"/>
    <m/>
    <n v="0"/>
    <n v="389.09090909090907"/>
    <n v="0"/>
  </r>
  <r>
    <s v="DME/FNJ"/>
    <s v="FNJ"/>
    <x v="4"/>
    <x v="0"/>
    <x v="120"/>
    <x v="2"/>
    <s v="Pyongyang - Sunan Intl"/>
    <n v="6392"/>
    <n v="16.5"/>
    <m/>
    <n v="0"/>
    <m/>
    <n v="0"/>
    <n v="387.39393939393938"/>
    <n v="0"/>
  </r>
  <r>
    <s v="DME/CEI"/>
    <s v="CEI"/>
    <x v="4"/>
    <x v="0"/>
    <x v="68"/>
    <x v="2"/>
    <s v="Chiang Rai - Mae Fah Luang Intl"/>
    <n v="6438"/>
    <n v="16.5"/>
    <m/>
    <n v="0"/>
    <m/>
    <n v="0"/>
    <n v="390.18181818181819"/>
    <n v="0"/>
  </r>
  <r>
    <s v="DME/XUZ"/>
    <s v="XUZ"/>
    <x v="4"/>
    <x v="0"/>
    <x v="26"/>
    <x v="2"/>
    <s v="Xuzhou - Guanyin"/>
    <n v="6333"/>
    <n v="16.25"/>
    <m/>
    <n v="0"/>
    <m/>
    <n v="0"/>
    <n v="389.72307692307692"/>
    <n v="0"/>
  </r>
  <r>
    <s v="DME/SSG"/>
    <s v="SSG"/>
    <x v="4"/>
    <x v="0"/>
    <x v="121"/>
    <x v="0"/>
    <s v="Malabo - International"/>
    <n v="6311"/>
    <n v="16.25"/>
    <m/>
    <n v="0"/>
    <m/>
    <n v="0"/>
    <n v="388.3692307692308"/>
    <n v="0"/>
  </r>
  <r>
    <s v="DME/PHC"/>
    <s v="PHC"/>
    <x v="4"/>
    <x v="0"/>
    <x v="28"/>
    <x v="0"/>
    <s v="Port Harcourt - International"/>
    <n v="6245"/>
    <n v="16.25"/>
    <m/>
    <n v="0"/>
    <m/>
    <n v="0"/>
    <n v="384.30769230769232"/>
    <n v="0"/>
  </r>
  <r>
    <s v="DME/DLA"/>
    <s v="DLA"/>
    <x v="4"/>
    <x v="0"/>
    <x v="122"/>
    <x v="0"/>
    <s v="Douala - International"/>
    <n v="6247"/>
    <n v="16.25"/>
    <m/>
    <n v="0"/>
    <m/>
    <n v="0"/>
    <n v="384.43076923076922"/>
    <n v="0"/>
  </r>
  <r>
    <s v="DME/NSI"/>
    <s v="NSI"/>
    <x v="4"/>
    <x v="0"/>
    <x v="122"/>
    <x v="0"/>
    <s v="Yaounde - Nsimalen Intl"/>
    <n v="6213"/>
    <n v="16"/>
    <m/>
    <n v="0"/>
    <m/>
    <n v="0"/>
    <n v="388.3125"/>
    <n v="0"/>
  </r>
  <r>
    <s v="DME/KHV"/>
    <s v="KHV"/>
    <x v="4"/>
    <x v="0"/>
    <x v="73"/>
    <x v="3"/>
    <s v="Khabarovsk - Novy"/>
    <n v="6151"/>
    <n v="16"/>
    <m/>
    <n v="0"/>
    <m/>
    <n v="0"/>
    <n v="384.4375"/>
    <n v="0"/>
  </r>
  <r>
    <s v="DME/JNG"/>
    <s v="JNG"/>
    <x v="4"/>
    <x v="0"/>
    <x v="26"/>
    <x v="2"/>
    <s v="Jining - Qufu"/>
    <n v="6157"/>
    <n v="16"/>
    <m/>
    <n v="0"/>
    <m/>
    <n v="0"/>
    <n v="384.8125"/>
    <n v="0"/>
  </r>
  <r>
    <s v="DME/FKI"/>
    <s v="FKI"/>
    <x v="4"/>
    <x v="0"/>
    <x v="102"/>
    <x v="0"/>
    <s v="Kisangani - Bangoka Intl"/>
    <n v="6214"/>
    <n v="16"/>
    <m/>
    <n v="0"/>
    <m/>
    <n v="0"/>
    <n v="388.375"/>
    <n v="0"/>
  </r>
  <r>
    <s v="DME/EBB"/>
    <s v="EBB"/>
    <x v="4"/>
    <x v="0"/>
    <x v="123"/>
    <x v="0"/>
    <s v="Entebbe - International"/>
    <n v="6177"/>
    <n v="16"/>
    <m/>
    <n v="0"/>
    <m/>
    <n v="0"/>
    <n v="386.0625"/>
    <n v="0"/>
  </r>
  <r>
    <s v="DME/DYR"/>
    <s v="DYR"/>
    <x v="4"/>
    <x v="1"/>
    <x v="73"/>
    <x v="3"/>
    <s v="Anadyr - Ugolny"/>
    <n v="6227"/>
    <n v="16"/>
    <m/>
    <n v="0"/>
    <m/>
    <n v="0"/>
    <n v="389.1875"/>
    <n v="0"/>
  </r>
  <r>
    <s v="DME/YJT"/>
    <s v="YJT"/>
    <x v="4"/>
    <x v="1"/>
    <x v="3"/>
    <x v="1"/>
    <s v="Stephenville - International"/>
    <n v="6108"/>
    <n v="15.75"/>
    <m/>
    <n v="0"/>
    <m/>
    <n v="0"/>
    <n v="387.8095238095238"/>
    <n v="0"/>
  </r>
  <r>
    <s v="DME/WXN"/>
    <s v="WXN"/>
    <x v="4"/>
    <x v="0"/>
    <x v="26"/>
    <x v="2"/>
    <s v="Wanzhou - Wuqiao"/>
    <n v="6035"/>
    <n v="15.75"/>
    <m/>
    <n v="0"/>
    <m/>
    <n v="0"/>
    <n v="383.17460317460319"/>
    <n v="0"/>
  </r>
  <r>
    <s v="DME/EDL"/>
    <s v="EDL"/>
    <x v="4"/>
    <x v="1"/>
    <x v="75"/>
    <x v="0"/>
    <s v="Eldoret - International"/>
    <n v="6122"/>
    <n v="15.75"/>
    <m/>
    <n v="0"/>
    <m/>
    <n v="0"/>
    <n v="388.69841269841271"/>
    <n v="0"/>
  </r>
  <r>
    <s v="DME/BOY"/>
    <s v="BOY"/>
    <x v="4"/>
    <x v="1"/>
    <x v="124"/>
    <x v="0"/>
    <s v="Bobo Dioulasso"/>
    <n v="6131"/>
    <n v="15.75"/>
    <m/>
    <n v="0"/>
    <m/>
    <n v="0"/>
    <n v="389.26984126984127"/>
    <n v="0"/>
  </r>
  <r>
    <s v="DME/PZI"/>
    <s v="PZI"/>
    <x v="4"/>
    <x v="0"/>
    <x v="26"/>
    <x v="2"/>
    <s v="Panzhihua - Bao'angong"/>
    <n v="5978"/>
    <n v="15.5"/>
    <m/>
    <n v="0"/>
    <m/>
    <n v="0"/>
    <n v="385.67741935483872"/>
    <n v="0"/>
  </r>
  <r>
    <s v="DME/MGQ"/>
    <s v="MGQ"/>
    <x v="4"/>
    <x v="1"/>
    <x v="125"/>
    <x v="0"/>
    <s v="Mogadishu - Aden Adde Intl"/>
    <n v="5976"/>
    <n v="15.5"/>
    <m/>
    <n v="0"/>
    <m/>
    <n v="0"/>
    <n v="385.54838709677421"/>
    <n v="0"/>
  </r>
  <r>
    <s v="DME/YYR"/>
    <s v="YYR"/>
    <x v="4"/>
    <x v="0"/>
    <x v="3"/>
    <x v="1"/>
    <s v="Goose Bay"/>
    <n v="5820"/>
    <n v="15.25"/>
    <m/>
    <n v="0"/>
    <m/>
    <n v="0"/>
    <n v="381.63934426229508"/>
    <n v="0"/>
  </r>
  <r>
    <s v="DME/YQX"/>
    <s v="YQX"/>
    <x v="4"/>
    <x v="0"/>
    <x v="3"/>
    <x v="1"/>
    <s v="Gander - International"/>
    <n v="5872"/>
    <n v="15.25"/>
    <m/>
    <n v="0"/>
    <m/>
    <n v="0"/>
    <n v="385.04918032786884"/>
    <n v="0"/>
  </r>
  <r>
    <s v="DME/YCU"/>
    <s v="YCU"/>
    <x v="4"/>
    <x v="0"/>
    <x v="26"/>
    <x v="2"/>
    <s v="Yuncheng - Guangong"/>
    <n v="5843"/>
    <n v="15.25"/>
    <m/>
    <n v="0"/>
    <m/>
    <n v="0"/>
    <n v="383.14754098360658"/>
    <n v="0"/>
  </r>
  <r>
    <s v="DME/XIC"/>
    <s v="XIC"/>
    <x v="4"/>
    <x v="0"/>
    <x v="26"/>
    <x v="2"/>
    <s v="Xichang - Qingshan"/>
    <n v="5878"/>
    <n v="15.25"/>
    <m/>
    <n v="0"/>
    <m/>
    <n v="0"/>
    <n v="385.44262295081967"/>
    <n v="0"/>
  </r>
  <r>
    <s v="DME/ULU"/>
    <s v="ULU"/>
    <x v="4"/>
    <x v="1"/>
    <x v="123"/>
    <x v="0"/>
    <s v="Gulu"/>
    <n v="5872"/>
    <n v="15.25"/>
    <m/>
    <n v="0"/>
    <m/>
    <n v="0"/>
    <n v="385.04918032786884"/>
    <n v="0"/>
  </r>
  <r>
    <s v="DME/OUA"/>
    <s v="OUA"/>
    <x v="4"/>
    <x v="0"/>
    <x v="124"/>
    <x v="0"/>
    <s v="Ouagadougou"/>
    <n v="5873"/>
    <n v="15.25"/>
    <m/>
    <n v="0"/>
    <m/>
    <n v="0"/>
    <n v="385.11475409836066"/>
    <n v="0"/>
  </r>
  <r>
    <s v="DME/GDX"/>
    <s v="GDX"/>
    <x v="4"/>
    <x v="1"/>
    <x v="73"/>
    <x v="3"/>
    <s v="Magadan - Sokol"/>
    <n v="5894"/>
    <n v="15.25"/>
    <m/>
    <n v="0"/>
    <m/>
    <n v="0"/>
    <n v="386.49180327868851"/>
    <n v="0"/>
  </r>
  <r>
    <s v="DME/DIG"/>
    <s v="DIG"/>
    <x v="4"/>
    <x v="0"/>
    <x v="26"/>
    <x v="2"/>
    <s v="Deqen - Shangri-La"/>
    <n v="5737"/>
    <n v="15"/>
    <m/>
    <n v="0"/>
    <m/>
    <n v="0"/>
    <n v="382.46666666666664"/>
    <n v="0"/>
  </r>
  <r>
    <s v="DME/YOL"/>
    <s v="YOL"/>
    <x v="4"/>
    <x v="1"/>
    <x v="28"/>
    <x v="0"/>
    <s v="Yola"/>
    <n v="5598"/>
    <n v="14.75"/>
    <m/>
    <n v="0"/>
    <m/>
    <n v="0"/>
    <n v="379.52542372881356"/>
    <n v="0"/>
  </r>
  <r>
    <s v="DME/VIL"/>
    <s v="VIL"/>
    <x v="4"/>
    <x v="1"/>
    <x v="78"/>
    <x v="0"/>
    <s v="Dakhla"/>
    <n v="5602"/>
    <n v="14.75"/>
    <m/>
    <n v="0"/>
    <m/>
    <n v="0"/>
    <n v="379.79661016949154"/>
    <n v="0"/>
  </r>
  <r>
    <s v="DME/NIM"/>
    <s v="NIM"/>
    <x v="4"/>
    <x v="0"/>
    <x v="126"/>
    <x v="0"/>
    <s v="Niamey - Diori Hamani Intl"/>
    <n v="5584"/>
    <n v="14.75"/>
    <m/>
    <n v="0"/>
    <m/>
    <n v="0"/>
    <n v="378.57627118644069"/>
    <n v="0"/>
  </r>
  <r>
    <s v="DME/KAD"/>
    <s v="KAD"/>
    <x v="4"/>
    <x v="0"/>
    <x v="28"/>
    <x v="0"/>
    <s v="Kaduna"/>
    <n v="5642"/>
    <n v="14.75"/>
    <m/>
    <n v="0"/>
    <m/>
    <n v="0"/>
    <n v="382.50847457627117"/>
    <n v="0"/>
  </r>
  <r>
    <s v="DME/ENY"/>
    <s v="ENY"/>
    <x v="4"/>
    <x v="0"/>
    <x v="26"/>
    <x v="2"/>
    <s v="Yan'an - Nanniwan"/>
    <n v="5628"/>
    <n v="14.75"/>
    <m/>
    <n v="0"/>
    <m/>
    <n v="0"/>
    <n v="381.5593220338983"/>
    <n v="0"/>
  </r>
  <r>
    <s v="DME/BQS"/>
    <s v="BQS"/>
    <x v="4"/>
    <x v="0"/>
    <x v="73"/>
    <x v="3"/>
    <s v="Blagoveshchensk - Ignatyevo"/>
    <n v="5603"/>
    <n v="14.75"/>
    <m/>
    <n v="0"/>
    <m/>
    <n v="0"/>
    <n v="379.86440677966101"/>
    <n v="0"/>
  </r>
  <r>
    <s v="DME/ZYL"/>
    <s v="ZYL"/>
    <x v="4"/>
    <x v="0"/>
    <x v="76"/>
    <x v="2"/>
    <s v="Sylhet - Osmani Intl"/>
    <n v="5499"/>
    <n v="14.5"/>
    <m/>
    <n v="0"/>
    <m/>
    <n v="0"/>
    <n v="379.24137931034483"/>
    <n v="0"/>
  </r>
  <r>
    <s v="DME/THQ"/>
    <s v="THQ"/>
    <x v="4"/>
    <x v="1"/>
    <x v="26"/>
    <x v="2"/>
    <s v="Tianshui - Maijishan"/>
    <n v="5564"/>
    <n v="14.5"/>
    <m/>
    <n v="0"/>
    <m/>
    <n v="0"/>
    <n v="383.72413793103448"/>
    <n v="0"/>
  </r>
  <r>
    <s v="DME/GOU"/>
    <s v="GOU"/>
    <x v="4"/>
    <x v="1"/>
    <x v="122"/>
    <x v="0"/>
    <s v="Garoua - International"/>
    <n v="5558"/>
    <n v="14.5"/>
    <m/>
    <n v="0"/>
    <m/>
    <n v="0"/>
    <n v="383.31034482758622"/>
    <n v="0"/>
  </r>
  <r>
    <s v="DME/GLK"/>
    <s v="GLK"/>
    <x v="4"/>
    <x v="1"/>
    <x v="125"/>
    <x v="0"/>
    <s v="Galcaio"/>
    <n v="5474"/>
    <n v="14.5"/>
    <m/>
    <n v="0"/>
    <m/>
    <n v="0"/>
    <n v="377.51724137931035"/>
    <n v="0"/>
  </r>
  <r>
    <s v="DME/ZHY"/>
    <s v="ZHY"/>
    <x v="4"/>
    <x v="1"/>
    <x v="26"/>
    <x v="2"/>
    <s v="Zhongwei - Xiangshan"/>
    <n v="5279"/>
    <n v="14"/>
    <m/>
    <n v="0"/>
    <m/>
    <n v="0"/>
    <n v="377.07142857142856"/>
    <n v="0"/>
  </r>
  <r>
    <s v="DME/LZY"/>
    <s v="LZY"/>
    <x v="4"/>
    <x v="0"/>
    <x v="26"/>
    <x v="2"/>
    <s v="Nyingchi/Linzhi - Mainling/Milin"/>
    <n v="5273"/>
    <n v="14"/>
    <m/>
    <n v="0"/>
    <m/>
    <n v="0"/>
    <n v="376.64285714285717"/>
    <n v="0"/>
  </r>
  <r>
    <s v="DME/BPX"/>
    <s v="BPX"/>
    <x v="4"/>
    <x v="1"/>
    <x v="26"/>
    <x v="2"/>
    <s v="Qamdo/Changdu - Bamda/Bangda"/>
    <n v="5341"/>
    <n v="14"/>
    <m/>
    <n v="0"/>
    <m/>
    <n v="0"/>
    <n v="381.5"/>
    <n v="0"/>
  </r>
  <r>
    <s v="DME/NDJ"/>
    <s v="NDJ"/>
    <x v="4"/>
    <x v="0"/>
    <x v="127"/>
    <x v="0"/>
    <s v="N'Djamena - Hassan Djamous Intl"/>
    <n v="5206"/>
    <n v="13.75"/>
    <m/>
    <n v="0"/>
    <m/>
    <n v="0"/>
    <n v="378.61818181818182"/>
    <n v="0"/>
  </r>
  <r>
    <s v="DME/TER"/>
    <s v="TER"/>
    <x v="4"/>
    <x v="3"/>
    <x v="79"/>
    <x v="3"/>
    <s v="Terceira Island - Lajes"/>
    <n v="5046"/>
    <n v="13.5"/>
    <m/>
    <n v="0"/>
    <m/>
    <n v="0"/>
    <n v="373.77777777777777"/>
    <n v="0"/>
  </r>
  <r>
    <s v="DME/SMA"/>
    <s v="SMA"/>
    <x v="4"/>
    <x v="0"/>
    <x v="79"/>
    <x v="3"/>
    <s v="Santa Maria Island - Airport"/>
    <n v="5064"/>
    <n v="13.5"/>
    <m/>
    <n v="0"/>
    <m/>
    <n v="0"/>
    <n v="375.11111111111109"/>
    <n v="0"/>
  </r>
  <r>
    <s v="DME/NZH"/>
    <s v="NZH"/>
    <x v="4"/>
    <x v="0"/>
    <x v="26"/>
    <x v="2"/>
    <s v="Manzhouli - Xijiao"/>
    <n v="5120"/>
    <n v="13.5"/>
    <m/>
    <n v="0"/>
    <m/>
    <n v="0"/>
    <n v="379.25925925925924"/>
    <n v="0"/>
  </r>
  <r>
    <s v="DME/BBO"/>
    <s v="BBO"/>
    <x v="4"/>
    <x v="0"/>
    <x v="125"/>
    <x v="0"/>
    <s v="Berbera"/>
    <n v="5045"/>
    <n v="13.5"/>
    <m/>
    <n v="0"/>
    <m/>
    <n v="0"/>
    <n v="373.7037037037037"/>
    <n v="0"/>
  </r>
  <r>
    <s v="DME/UYL"/>
    <s v="UYL"/>
    <x v="4"/>
    <x v="1"/>
    <x v="128"/>
    <x v="0"/>
    <s v="Nyala"/>
    <n v="4951"/>
    <n v="13.25"/>
    <m/>
    <n v="0"/>
    <m/>
    <n v="0"/>
    <n v="373.66037735849056"/>
    <n v="0"/>
  </r>
  <r>
    <s v="DME/SCT"/>
    <s v="SCT"/>
    <x v="4"/>
    <x v="1"/>
    <x v="77"/>
    <x v="2"/>
    <s v="Socotra - Airport"/>
    <n v="4956"/>
    <n v="13.25"/>
    <m/>
    <n v="0"/>
    <m/>
    <n v="0"/>
    <n v="374.03773584905662"/>
    <n v="0"/>
  </r>
  <r>
    <s v="DME/YKS"/>
    <s v="YKS"/>
    <x v="4"/>
    <x v="0"/>
    <x v="73"/>
    <x v="3"/>
    <s v="Yakutsk"/>
    <n v="4898"/>
    <n v="13"/>
    <m/>
    <n v="0"/>
    <m/>
    <n v="0"/>
    <n v="376.76923076923077"/>
    <n v="0"/>
  </r>
  <r>
    <s v="DME/PXO"/>
    <s v="PXO"/>
    <x v="4"/>
    <x v="0"/>
    <x v="79"/>
    <x v="3"/>
    <s v="Porto Santo - Airport"/>
    <n v="4821"/>
    <n v="13"/>
    <m/>
    <n v="0"/>
    <m/>
    <n v="0"/>
    <n v="370.84615384615387"/>
    <n v="0"/>
  </r>
  <r>
    <s v="DME/KTM"/>
    <s v="KTM"/>
    <x v="4"/>
    <x v="3"/>
    <x v="129"/>
    <x v="2"/>
    <s v="Kathmandu - Tribhuvan Intl"/>
    <n v="4864"/>
    <n v="13"/>
    <m/>
    <n v="0"/>
    <m/>
    <n v="0"/>
    <n v="374.15384615384613"/>
    <n v="0"/>
  </r>
  <r>
    <s v="DME/JIB"/>
    <s v="JIB"/>
    <x v="4"/>
    <x v="0"/>
    <x v="130"/>
    <x v="0"/>
    <s v="Djibouti - Ambouli Intl"/>
    <n v="4899"/>
    <n v="13"/>
    <m/>
    <n v="0"/>
    <m/>
    <n v="0"/>
    <n v="376.84615384615387"/>
    <n v="0"/>
  </r>
  <r>
    <s v="DME/FNC"/>
    <s v="FNC"/>
    <x v="4"/>
    <x v="3"/>
    <x v="79"/>
    <x v="3"/>
    <s v="Funchal - Madeira"/>
    <n v="4879"/>
    <n v="13"/>
    <m/>
    <n v="0"/>
    <m/>
    <n v="0"/>
    <n v="375.30769230769232"/>
    <n v="0"/>
  </r>
  <r>
    <s v="DME/TIN"/>
    <s v="TIN"/>
    <x v="4"/>
    <x v="1"/>
    <x v="31"/>
    <x v="0"/>
    <s v="Tindouf"/>
    <n v="4782"/>
    <n v="12.75"/>
    <m/>
    <n v="0"/>
    <m/>
    <n v="0"/>
    <n v="375.05882352941177"/>
    <n v="0"/>
  </r>
  <r>
    <s v="DME/HTA"/>
    <s v="HTA"/>
    <x v="4"/>
    <x v="0"/>
    <x v="73"/>
    <x v="3"/>
    <s v="Chita - Kadala"/>
    <n v="4729"/>
    <n v="12.75"/>
    <m/>
    <n v="0"/>
    <m/>
    <n v="0"/>
    <n v="370.9019607843137"/>
    <n v="0"/>
  </r>
  <r>
    <s v="DME/GOQ"/>
    <s v="GOQ"/>
    <x v="4"/>
    <x v="1"/>
    <x v="26"/>
    <x v="2"/>
    <s v="Golmud"/>
    <n v="4718"/>
    <n v="12.75"/>
    <m/>
    <n v="0"/>
    <m/>
    <n v="0"/>
    <n v="370.03921568627453"/>
    <n v="0"/>
  </r>
  <r>
    <s v="DME/ELF"/>
    <s v="ELF"/>
    <x v="4"/>
    <x v="1"/>
    <x v="128"/>
    <x v="0"/>
    <s v="El Fasher"/>
    <n v="4773"/>
    <n v="12.75"/>
    <m/>
    <n v="0"/>
    <m/>
    <n v="0"/>
    <n v="374.35294117647061"/>
    <n v="0"/>
  </r>
  <r>
    <s v="DME/EBD"/>
    <s v="EBD"/>
    <x v="4"/>
    <x v="1"/>
    <x v="128"/>
    <x v="0"/>
    <s v="El Obeid"/>
    <n v="4746"/>
    <n v="12.75"/>
    <m/>
    <n v="0"/>
    <m/>
    <n v="0"/>
    <n v="372.23529411764707"/>
    <n v="0"/>
  </r>
  <r>
    <s v="DME/ADE"/>
    <s v="ADE"/>
    <x v="4"/>
    <x v="0"/>
    <x v="77"/>
    <x v="2"/>
    <s v="Aden - International"/>
    <n v="4776"/>
    <n v="12.75"/>
    <m/>
    <n v="0"/>
    <m/>
    <n v="0"/>
    <n v="374.58823529411762"/>
    <n v="0"/>
  </r>
  <r>
    <s v="DME/ULN"/>
    <s v="ULN"/>
    <x v="4"/>
    <x v="0"/>
    <x v="131"/>
    <x v="2"/>
    <s v="Ulaanbaatar - Chinggis Khaan Intl"/>
    <n v="4628"/>
    <n v="12.5"/>
    <m/>
    <n v="0"/>
    <m/>
    <n v="0"/>
    <n v="370.24"/>
    <n v="0"/>
  </r>
  <r>
    <s v="DME/TAI"/>
    <s v="TAI"/>
    <x v="4"/>
    <x v="1"/>
    <x v="77"/>
    <x v="2"/>
    <s v="Taizz - International"/>
    <n v="4671"/>
    <n v="12.5"/>
    <m/>
    <n v="0"/>
    <m/>
    <n v="0"/>
    <n v="373.68"/>
    <n v="0"/>
  </r>
  <r>
    <s v="DME/TMR"/>
    <s v="TMR"/>
    <x v="4"/>
    <x v="0"/>
    <x v="31"/>
    <x v="0"/>
    <s v="Tamanrasset - Aguenar"/>
    <n v="4501"/>
    <n v="12.25"/>
    <m/>
    <n v="0"/>
    <m/>
    <n v="0"/>
    <n v="367.42857142857144"/>
    <n v="0"/>
  </r>
  <r>
    <s v="DME/SLL"/>
    <s v="SLL"/>
    <x v="4"/>
    <x v="0"/>
    <x v="132"/>
    <x v="2"/>
    <s v="Salalah - Airport"/>
    <n v="4484"/>
    <n v="12.25"/>
    <m/>
    <n v="0"/>
    <m/>
    <n v="0"/>
    <n v="366.0408163265306"/>
    <n v="0"/>
  </r>
  <r>
    <s v="DME/SFJ"/>
    <s v="SFJ"/>
    <x v="4"/>
    <x v="0"/>
    <x v="133"/>
    <x v="1"/>
    <s v="Kangerlussuaq"/>
    <n v="4476"/>
    <n v="12.25"/>
    <m/>
    <n v="0"/>
    <m/>
    <n v="0"/>
    <n v="365.38775510204084"/>
    <n v="0"/>
  </r>
  <r>
    <s v="DME/SAH"/>
    <s v="SAH"/>
    <x v="4"/>
    <x v="3"/>
    <x v="77"/>
    <x v="2"/>
    <s v="Sana'a - International"/>
    <n v="4474"/>
    <n v="12.25"/>
    <m/>
    <n v="0"/>
    <m/>
    <n v="0"/>
    <n v="365.22448979591837"/>
    <n v="0"/>
  </r>
  <r>
    <s v="DME/HOD"/>
    <s v="HOD"/>
    <x v="4"/>
    <x v="1"/>
    <x v="77"/>
    <x v="2"/>
    <s v="Hodeidah - International"/>
    <n v="4542"/>
    <n v="12.25"/>
    <m/>
    <n v="0"/>
    <m/>
    <n v="0"/>
    <n v="370.77551020408163"/>
    <n v="0"/>
  </r>
  <r>
    <s v="DME/GXF"/>
    <s v="GXF"/>
    <x v="4"/>
    <x v="1"/>
    <x v="77"/>
    <x v="2"/>
    <s v="Sayun - Airport"/>
    <n v="4484"/>
    <n v="12.25"/>
    <m/>
    <n v="0"/>
    <m/>
    <n v="0"/>
    <n v="366.0408163265306"/>
    <n v="0"/>
  </r>
  <r>
    <s v="DME/UUD"/>
    <s v="UUD"/>
    <x v="4"/>
    <x v="0"/>
    <x v="73"/>
    <x v="3"/>
    <s v="Ulan-Ude - Mukhino"/>
    <n v="4412"/>
    <n v="12"/>
    <m/>
    <n v="0"/>
    <m/>
    <n v="0"/>
    <n v="367.66666666666669"/>
    <n v="0"/>
  </r>
  <r>
    <s v="DME/OZZ"/>
    <s v="OZZ"/>
    <x v="4"/>
    <x v="0"/>
    <x v="78"/>
    <x v="0"/>
    <s v="Ouarzazate"/>
    <n v="4422"/>
    <n v="12"/>
    <m/>
    <n v="0"/>
    <m/>
    <n v="0"/>
    <n v="368.5"/>
    <n v="0"/>
  </r>
  <r>
    <s v="DME/KRT"/>
    <s v="KRT"/>
    <x v="4"/>
    <x v="0"/>
    <x v="128"/>
    <x v="0"/>
    <s v="Khartoum - International"/>
    <n v="4452"/>
    <n v="12"/>
    <m/>
    <n v="0"/>
    <m/>
    <n v="0"/>
    <n v="371"/>
    <n v="0"/>
  </r>
  <r>
    <s v="DME/DNH"/>
    <s v="DNH"/>
    <x v="4"/>
    <x v="0"/>
    <x v="26"/>
    <x v="2"/>
    <s v="Dunhuang"/>
    <n v="4431"/>
    <n v="12"/>
    <m/>
    <n v="0"/>
    <m/>
    <n v="0"/>
    <n v="369.25"/>
    <n v="0"/>
  </r>
  <r>
    <s v="DME/BYN"/>
    <s v="BYN"/>
    <x v="4"/>
    <x v="1"/>
    <x v="131"/>
    <x v="2"/>
    <s v="Bayankhongor"/>
    <n v="4374"/>
    <n v="12"/>
    <m/>
    <n v="0"/>
    <m/>
    <n v="0"/>
    <n v="364.5"/>
    <n v="0"/>
  </r>
  <r>
    <s v="DME/SHW"/>
    <s v="SHW"/>
    <x v="4"/>
    <x v="0"/>
    <x v="7"/>
    <x v="2"/>
    <s v="Sharurah"/>
    <n v="4292"/>
    <n v="11.75"/>
    <m/>
    <n v="0"/>
    <m/>
    <n v="0"/>
    <n v="365.27659574468083"/>
    <n v="0"/>
  </r>
  <r>
    <s v="DME/IKS"/>
    <s v="IKS"/>
    <x v="4"/>
    <x v="1"/>
    <x v="73"/>
    <x v="3"/>
    <s v="Tiksi"/>
    <n v="4324"/>
    <n v="11.75"/>
    <m/>
    <n v="0"/>
    <m/>
    <n v="0"/>
    <n v="368"/>
    <n v="0"/>
  </r>
  <r>
    <s v="DME/GIZ"/>
    <s v="GIZ"/>
    <x v="4"/>
    <x v="0"/>
    <x v="7"/>
    <x v="2"/>
    <s v="Gizan"/>
    <n v="4301"/>
    <n v="11.75"/>
    <m/>
    <n v="0"/>
    <m/>
    <n v="0"/>
    <n v="366.04255319148939"/>
    <n v="0"/>
  </r>
  <r>
    <s v="DME/EAM"/>
    <s v="EAM"/>
    <x v="4"/>
    <x v="0"/>
    <x v="7"/>
    <x v="2"/>
    <s v="Nejran"/>
    <n v="4240"/>
    <n v="11.75"/>
    <m/>
    <n v="0"/>
    <m/>
    <n v="0"/>
    <n v="360.85106382978722"/>
    <n v="0"/>
  </r>
  <r>
    <s v="DME/AZR"/>
    <s v="AZR"/>
    <x v="4"/>
    <x v="1"/>
    <x v="31"/>
    <x v="0"/>
    <s v="Adrar - Touat"/>
    <n v="4313"/>
    <n v="11.75"/>
    <m/>
    <n v="0"/>
    <m/>
    <n v="0"/>
    <n v="367.06382978723406"/>
    <n v="0"/>
  </r>
  <r>
    <s v="DME/TMX"/>
    <s v="TMX"/>
    <x v="4"/>
    <x v="1"/>
    <x v="31"/>
    <x v="0"/>
    <s v="Timimoun"/>
    <n v="4159"/>
    <n v="11.5"/>
    <m/>
    <n v="0"/>
    <m/>
    <n v="0"/>
    <n v="361.6521739130435"/>
    <n v="0"/>
  </r>
  <r>
    <s v="DME/RBA"/>
    <s v="RBA"/>
    <x v="4"/>
    <x v="0"/>
    <x v="78"/>
    <x v="0"/>
    <s v="Rabat - Sale"/>
    <n v="4148"/>
    <n v="11.5"/>
    <m/>
    <n v="0"/>
    <m/>
    <n v="0"/>
    <n v="360.69565217391306"/>
    <n v="0"/>
  </r>
  <r>
    <s v="DME/MJZ"/>
    <s v="MJZ"/>
    <x v="4"/>
    <x v="0"/>
    <x v="73"/>
    <x v="3"/>
    <s v="Mirny"/>
    <n v="4172"/>
    <n v="11.5"/>
    <m/>
    <n v="0"/>
    <m/>
    <n v="0"/>
    <n v="362.78260869565219"/>
    <n v="0"/>
  </r>
  <r>
    <s v="DME/INZ"/>
    <s v="INZ"/>
    <x v="4"/>
    <x v="1"/>
    <x v="31"/>
    <x v="0"/>
    <s v="In Salah"/>
    <n v="4222"/>
    <n v="11.5"/>
    <m/>
    <n v="0"/>
    <m/>
    <n v="0"/>
    <n v="367.13043478260869"/>
    <n v="0"/>
  </r>
  <r>
    <s v="DME/IKT"/>
    <s v="IKT"/>
    <x v="4"/>
    <x v="0"/>
    <x v="73"/>
    <x v="3"/>
    <s v="Irkutsk"/>
    <n v="4209"/>
    <n v="11.5"/>
    <m/>
    <n v="0"/>
    <m/>
    <n v="0"/>
    <n v="366"/>
    <n v="0"/>
  </r>
  <r>
    <s v="DME/ERH"/>
    <s v="ERH"/>
    <x v="4"/>
    <x v="1"/>
    <x v="78"/>
    <x v="0"/>
    <s v="Errachidia - Moulay Ali Cherif"/>
    <n v="4186"/>
    <n v="11.5"/>
    <m/>
    <n v="0"/>
    <m/>
    <n v="0"/>
    <n v="364"/>
    <n v="0"/>
  </r>
  <r>
    <s v="DME/DJG"/>
    <s v="DJG"/>
    <x v="4"/>
    <x v="1"/>
    <x v="31"/>
    <x v="0"/>
    <s v="Djanet - Tiska"/>
    <n v="4168"/>
    <n v="11.5"/>
    <m/>
    <n v="0"/>
    <m/>
    <n v="0"/>
    <n v="362.43478260869563"/>
    <n v="0"/>
  </r>
  <r>
    <s v="DME/CBH"/>
    <s v="CBH"/>
    <x v="4"/>
    <x v="1"/>
    <x v="31"/>
    <x v="0"/>
    <s v="Bechar - Boudghene B. Ali Lotfi"/>
    <n v="4088"/>
    <n v="11.25"/>
    <n v="150249514"/>
    <n v="57655.224098234845"/>
    <n v="2606"/>
    <n v="2"/>
    <n v="363.37777777777779"/>
    <n v="22.5"/>
  </r>
  <r>
    <s v="DME/WAE"/>
    <s v="WAE"/>
    <x v="4"/>
    <x v="0"/>
    <x v="7"/>
    <x v="2"/>
    <s v="Wadi al Dawaser"/>
    <n v="3929"/>
    <n v="11"/>
    <m/>
    <n v="0"/>
    <m/>
    <n v="0"/>
    <n v="357.18181818181819"/>
    <n v="0"/>
  </r>
  <r>
    <s v="DME/VVZ"/>
    <s v="VVZ"/>
    <x v="4"/>
    <x v="1"/>
    <x v="31"/>
    <x v="0"/>
    <s v="Illizi - Takhamalt"/>
    <n v="3966"/>
    <n v="11"/>
    <m/>
    <n v="0"/>
    <m/>
    <n v="0"/>
    <n v="360.54545454545456"/>
    <n v="0"/>
  </r>
  <r>
    <s v="DME/TNG"/>
    <s v="TNG"/>
    <x v="4"/>
    <x v="0"/>
    <x v="78"/>
    <x v="0"/>
    <s v="Tangier - Boukhalef Airport"/>
    <n v="3958"/>
    <n v="11"/>
    <m/>
    <n v="0"/>
    <m/>
    <n v="0"/>
    <n v="359.81818181818181"/>
    <n v="0"/>
  </r>
  <r>
    <s v="DME/MCT"/>
    <s v="MCT"/>
    <x v="4"/>
    <x v="3"/>
    <x v="132"/>
    <x v="2"/>
    <s v="Muscat - International"/>
    <n v="3914"/>
    <n v="11"/>
    <m/>
    <n v="0"/>
    <m/>
    <n v="0"/>
    <n v="355.81818181818181"/>
    <n v="0"/>
  </r>
  <r>
    <s v="DME/BHH"/>
    <s v="BHH"/>
    <x v="4"/>
    <x v="0"/>
    <x v="7"/>
    <x v="2"/>
    <s v="Bisha"/>
    <n v="3959"/>
    <n v="11"/>
    <m/>
    <n v="0"/>
    <m/>
    <n v="0"/>
    <n v="359.90909090909093"/>
    <n v="0"/>
  </r>
  <r>
    <s v="DME/ABT"/>
    <s v="ABT"/>
    <x v="4"/>
    <x v="0"/>
    <x v="7"/>
    <x v="2"/>
    <s v="Al Baha - Al-Aqiq"/>
    <n v="3917"/>
    <n v="11"/>
    <m/>
    <n v="0"/>
    <m/>
    <n v="0"/>
    <n v="356.09090909090907"/>
    <n v="0"/>
  </r>
  <r>
    <s v="DME/SVQ"/>
    <s v="SVQ"/>
    <x v="4"/>
    <x v="3"/>
    <x v="6"/>
    <x v="3"/>
    <s v="Sevilla - Airport"/>
    <n v="3820"/>
    <n v="10.75"/>
    <m/>
    <n v="0"/>
    <m/>
    <n v="0"/>
    <n v="355.3488372093023"/>
    <n v="0"/>
  </r>
  <r>
    <s v="DME/OUD"/>
    <s v="OUD"/>
    <x v="4"/>
    <x v="0"/>
    <x v="78"/>
    <x v="0"/>
    <s v="Oujda - Angads"/>
    <n v="3796"/>
    <n v="10.75"/>
    <m/>
    <n v="0"/>
    <m/>
    <n v="0"/>
    <n v="353.11627906976742"/>
    <n v="0"/>
  </r>
  <r>
    <s v="DME/NDR"/>
    <s v="NDR"/>
    <x v="4"/>
    <x v="0"/>
    <x v="78"/>
    <x v="0"/>
    <s v="Nador - El Aroui"/>
    <n v="3845"/>
    <n v="10.75"/>
    <m/>
    <n v="0"/>
    <m/>
    <n v="0"/>
    <n v="357.67441860465118"/>
    <n v="0"/>
  </r>
  <r>
    <s v="DME/ELG"/>
    <s v="ELG"/>
    <x v="4"/>
    <x v="1"/>
    <x v="31"/>
    <x v="0"/>
    <s v="El Golea"/>
    <n v="3895"/>
    <n v="10.75"/>
    <m/>
    <n v="0"/>
    <m/>
    <n v="0"/>
    <n v="362.32558139534882"/>
    <n v="0"/>
  </r>
  <r>
    <s v="DME/TIF"/>
    <s v="TIF"/>
    <x v="4"/>
    <x v="0"/>
    <x v="7"/>
    <x v="2"/>
    <s v="Taif"/>
    <n v="3779"/>
    <n v="10.5"/>
    <m/>
    <n v="0"/>
    <m/>
    <n v="0"/>
    <n v="359.90476190476193"/>
    <n v="0"/>
  </r>
  <r>
    <s v="DME/OPO"/>
    <s v="OPO"/>
    <x v="4"/>
    <x v="3"/>
    <x v="79"/>
    <x v="3"/>
    <s v="Porto - Francisco Sa Carneiro"/>
    <n v="3700"/>
    <n v="10.5"/>
    <m/>
    <n v="0"/>
    <m/>
    <n v="0"/>
    <n v="352.38095238095241"/>
    <n v="0"/>
  </r>
  <r>
    <s v="DME/KRL"/>
    <s v="KRL"/>
    <x v="4"/>
    <x v="0"/>
    <x v="26"/>
    <x v="2"/>
    <s v="Korla"/>
    <n v="3770"/>
    <n v="10.5"/>
    <m/>
    <n v="0"/>
    <m/>
    <n v="0"/>
    <n v="359.04761904761904"/>
    <n v="0"/>
  </r>
  <r>
    <s v="DME/IAM"/>
    <s v="IAM"/>
    <x v="4"/>
    <x v="0"/>
    <x v="31"/>
    <x v="0"/>
    <s v="In Amenas - Zarzaitine"/>
    <n v="3788"/>
    <n v="10.5"/>
    <m/>
    <n v="0"/>
    <m/>
    <n v="0"/>
    <n v="360.76190476190476"/>
    <n v="0"/>
  </r>
  <r>
    <s v="DME/HVD"/>
    <s v="HVD"/>
    <x v="4"/>
    <x v="1"/>
    <x v="131"/>
    <x v="2"/>
    <s v="Khovd"/>
    <n v="3697"/>
    <n v="10.5"/>
    <m/>
    <n v="0"/>
    <m/>
    <n v="0"/>
    <n v="352.09523809523807"/>
    <n v="0"/>
  </r>
  <r>
    <s v="DME/HTN"/>
    <s v="HTN"/>
    <x v="4"/>
    <x v="0"/>
    <x v="26"/>
    <x v="2"/>
    <s v="Hotan"/>
    <n v="3737"/>
    <n v="10.5"/>
    <m/>
    <n v="0"/>
    <m/>
    <n v="0"/>
    <n v="355.90476190476193"/>
    <n v="0"/>
  </r>
  <r>
    <s v="DME/GRX"/>
    <s v="GRX"/>
    <x v="4"/>
    <x v="3"/>
    <x v="6"/>
    <x v="3"/>
    <s v="Granada - Federico Garcia Lorca"/>
    <n v="3709"/>
    <n v="10.5"/>
    <m/>
    <n v="0"/>
    <m/>
    <n v="0"/>
    <n v="353.23809523809524"/>
    <n v="0"/>
  </r>
  <r>
    <s v="DME/FJR"/>
    <s v="FJR"/>
    <x v="4"/>
    <x v="1"/>
    <x v="8"/>
    <x v="2"/>
    <s v="Fujairah - International"/>
    <n v="3688"/>
    <n v="10.5"/>
    <m/>
    <n v="0"/>
    <m/>
    <n v="0"/>
    <n v="351.23809523809524"/>
    <n v="0"/>
  </r>
  <r>
    <s v="DME/BJZ"/>
    <s v="BJZ"/>
    <x v="4"/>
    <x v="0"/>
    <x v="6"/>
    <x v="3"/>
    <s v="Badajoz - Airport"/>
    <n v="3761"/>
    <n v="10.5"/>
    <m/>
    <n v="0"/>
    <m/>
    <n v="0"/>
    <n v="358.1904761904762"/>
    <n v="0"/>
  </r>
  <r>
    <s v="DME/AAN"/>
    <s v="AAN"/>
    <x v="4"/>
    <x v="0"/>
    <x v="8"/>
    <x v="2"/>
    <s v="Al Ain - International"/>
    <n v="3755"/>
    <n v="10.5"/>
    <m/>
    <n v="0"/>
    <m/>
    <n v="0"/>
    <n v="357.61904761904759"/>
    <n v="0"/>
  </r>
  <r>
    <s v="DME/SHJ"/>
    <s v="SHJ"/>
    <x v="4"/>
    <x v="3"/>
    <x v="8"/>
    <x v="2"/>
    <s v="Sharjah - International"/>
    <n v="3639"/>
    <n v="10.25"/>
    <m/>
    <n v="0"/>
    <m/>
    <n v="0"/>
    <n v="355.02439024390242"/>
    <n v="0"/>
  </r>
  <r>
    <s v="DME/RKT"/>
    <s v="RKT"/>
    <x v="4"/>
    <x v="0"/>
    <x v="8"/>
    <x v="2"/>
    <s v="Ras al Khaimah - International"/>
    <n v="3623"/>
    <n v="10.25"/>
    <m/>
    <n v="0"/>
    <m/>
    <n v="0"/>
    <n v="353.46341463414632"/>
    <n v="0"/>
  </r>
  <r>
    <s v="DME/ORN"/>
    <s v="ORN"/>
    <x v="4"/>
    <x v="0"/>
    <x v="31"/>
    <x v="0"/>
    <s v="Oran - Metropolitan Area"/>
    <n v="3647"/>
    <n v="10.25"/>
    <m/>
    <n v="0"/>
    <m/>
    <n v="0"/>
    <n v="355.80487804878049"/>
    <n v="0"/>
  </r>
  <r>
    <s v="DME/OGX"/>
    <s v="OGX"/>
    <x v="4"/>
    <x v="1"/>
    <x v="31"/>
    <x v="0"/>
    <s v="Ouargla - Ain el Beida"/>
    <n v="3634"/>
    <n v="10.25"/>
    <m/>
    <n v="0"/>
    <m/>
    <n v="0"/>
    <n v="354.53658536585368"/>
    <n v="0"/>
  </r>
  <r>
    <s v="DME/LOO"/>
    <s v="LOO"/>
    <x v="4"/>
    <x v="1"/>
    <x v="31"/>
    <x v="0"/>
    <s v="Laghouat - L'Mekrareg"/>
    <n v="3604"/>
    <n v="10.25"/>
    <m/>
    <n v="0"/>
    <m/>
    <n v="0"/>
    <n v="351.60975609756099"/>
    <n v="0"/>
  </r>
  <r>
    <s v="DME/HRM"/>
    <s v="HRM"/>
    <x v="4"/>
    <x v="1"/>
    <x v="31"/>
    <x v="0"/>
    <s v="Hassi R'mel - Tilrempt"/>
    <n v="3657"/>
    <n v="10.25"/>
    <m/>
    <n v="0"/>
    <m/>
    <n v="0"/>
    <n v="356.78048780487802"/>
    <n v="0"/>
  </r>
  <r>
    <s v="DME/HME"/>
    <s v="HME"/>
    <x v="4"/>
    <x v="0"/>
    <x v="31"/>
    <x v="0"/>
    <s v="Hassi Messaoud - Oued Irara"/>
    <n v="3618"/>
    <n v="10.25"/>
    <m/>
    <n v="0"/>
    <m/>
    <n v="0"/>
    <n v="352.97560975609758"/>
    <n v="0"/>
  </r>
  <r>
    <s v="DME/GHA"/>
    <s v="GHA"/>
    <x v="4"/>
    <x v="1"/>
    <x v="31"/>
    <x v="0"/>
    <s v="Ghardaia - Noumerat"/>
    <n v="3679"/>
    <n v="10.25"/>
    <m/>
    <n v="0"/>
    <m/>
    <n v="0"/>
    <n v="358.92682926829269"/>
    <n v="0"/>
  </r>
  <r>
    <s v="DME/DWC"/>
    <s v="DWC"/>
    <x v="4"/>
    <x v="6"/>
    <x v="8"/>
    <x v="2"/>
    <s v="Dubai - Al Maktoum International Airport"/>
    <n v="3675"/>
    <n v="10.25"/>
    <m/>
    <n v="0"/>
    <m/>
    <n v="0"/>
    <n v="358.53658536585368"/>
    <n v="0"/>
  </r>
  <r>
    <s v="DME/YNB"/>
    <s v="YNB"/>
    <x v="4"/>
    <x v="0"/>
    <x v="7"/>
    <x v="2"/>
    <s v="Yanbu al Bahr"/>
    <n v="3477"/>
    <n v="10"/>
    <m/>
    <n v="0"/>
    <m/>
    <n v="0"/>
    <n v="347.7"/>
    <n v="0"/>
  </r>
  <r>
    <s v="DME/TID"/>
    <s v="TID"/>
    <x v="4"/>
    <x v="1"/>
    <x v="31"/>
    <x v="0"/>
    <s v="Tiaret - Bou Chekif"/>
    <n v="3551"/>
    <n v="10"/>
    <m/>
    <n v="0"/>
    <m/>
    <n v="0"/>
    <n v="355.1"/>
    <n v="0"/>
  </r>
  <r>
    <s v="DME/TGR"/>
    <s v="TGR"/>
    <x v="4"/>
    <x v="1"/>
    <x v="31"/>
    <x v="0"/>
    <s v="Touggourt - Sidi Mahdi"/>
    <n v="3493"/>
    <n v="10"/>
    <m/>
    <n v="0"/>
    <m/>
    <n v="0"/>
    <n v="349.3"/>
    <n v="0"/>
  </r>
  <r>
    <s v="DME/SCQ"/>
    <s v="SCQ"/>
    <x v="4"/>
    <x v="3"/>
    <x v="6"/>
    <x v="3"/>
    <s v="Santiago de Compostela"/>
    <n v="3565"/>
    <n v="10"/>
    <m/>
    <n v="0"/>
    <m/>
    <n v="0"/>
    <n v="356.5"/>
    <n v="0"/>
  </r>
  <r>
    <s v="DME/HOF"/>
    <s v="HOF"/>
    <x v="4"/>
    <x v="1"/>
    <x v="7"/>
    <x v="2"/>
    <s v="Hofuf - Al-Ahsa"/>
    <n v="3480"/>
    <n v="10"/>
    <m/>
    <n v="0"/>
    <m/>
    <n v="0"/>
    <n v="348"/>
    <n v="0"/>
  </r>
  <r>
    <s v="DME/DWD"/>
    <s v="DWD"/>
    <x v="4"/>
    <x v="1"/>
    <x v="7"/>
    <x v="2"/>
    <s v="Dawadmi - King Salman Abdulaziz"/>
    <n v="3480"/>
    <n v="10"/>
    <m/>
    <n v="0"/>
    <m/>
    <n v="0"/>
    <n v="348"/>
    <n v="0"/>
  </r>
  <r>
    <s v="DME/BND"/>
    <s v="BND"/>
    <x v="4"/>
    <x v="0"/>
    <x v="14"/>
    <x v="2"/>
    <s v="Bandar Abbas - International"/>
    <n v="3470"/>
    <n v="10"/>
    <m/>
    <n v="0"/>
    <m/>
    <n v="0"/>
    <n v="347"/>
    <n v="0"/>
  </r>
  <r>
    <s v="DME/VLL"/>
    <s v="VLL"/>
    <x v="4"/>
    <x v="0"/>
    <x v="6"/>
    <x v="3"/>
    <s v="Valladolid - Airport"/>
    <n v="3426"/>
    <n v="9.75"/>
    <m/>
    <n v="0"/>
    <m/>
    <n v="0"/>
    <n v="351.38461538461536"/>
    <n v="0"/>
  </r>
  <r>
    <s v="DME/KEF"/>
    <s v="KEF"/>
    <x v="4"/>
    <x v="3"/>
    <x v="134"/>
    <x v="3"/>
    <s v="Reykjavik - Keflavik International"/>
    <n v="3382"/>
    <n v="9.75"/>
    <m/>
    <n v="0"/>
    <m/>
    <n v="0"/>
    <n v="346.87179487179486"/>
    <n v="0"/>
  </r>
  <r>
    <s v="DME/KDH"/>
    <s v="KDH"/>
    <x v="4"/>
    <x v="0"/>
    <x v="135"/>
    <x v="2"/>
    <s v="Kandahar - International"/>
    <n v="3439"/>
    <n v="9.75"/>
    <m/>
    <n v="0"/>
    <m/>
    <n v="0"/>
    <n v="352.71794871794873"/>
    <n v="0"/>
  </r>
  <r>
    <s v="DME/ELU"/>
    <s v="ELU"/>
    <x v="4"/>
    <x v="1"/>
    <x v="31"/>
    <x v="0"/>
    <s v="El Oued - Guemar"/>
    <n v="3416"/>
    <n v="9.75"/>
    <m/>
    <n v="0"/>
    <m/>
    <n v="0"/>
    <n v="350.35897435897436"/>
    <n v="0"/>
  </r>
  <r>
    <s v="DME/DMM"/>
    <s v="DMM"/>
    <x v="4"/>
    <x v="3"/>
    <x v="7"/>
    <x v="2"/>
    <s v="Dammam - King Fahd Intl"/>
    <n v="3359"/>
    <n v="9.75"/>
    <m/>
    <n v="0"/>
    <m/>
    <n v="0"/>
    <n v="344.5128205128205"/>
    <n v="0"/>
  </r>
  <r>
    <s v="DME/BSK"/>
    <s v="BSK"/>
    <x v="4"/>
    <x v="1"/>
    <x v="31"/>
    <x v="0"/>
    <s v="Biskra - Mohamed Khider"/>
    <n v="3357"/>
    <n v="9.75"/>
    <m/>
    <n v="0"/>
    <m/>
    <n v="0"/>
    <n v="344.30769230769232"/>
    <n v="0"/>
  </r>
  <r>
    <s v="DME/BAH"/>
    <s v="BAH"/>
    <x v="4"/>
    <x v="3"/>
    <x v="136"/>
    <x v="2"/>
    <s v="Bahrain - International"/>
    <n v="3401"/>
    <n v="9.75"/>
    <m/>
    <n v="0"/>
    <m/>
    <n v="0"/>
    <n v="348.82051282051282"/>
    <n v="0"/>
  </r>
  <r>
    <s v="DME/ABA"/>
    <s v="ABA"/>
    <x v="4"/>
    <x v="1"/>
    <x v="73"/>
    <x v="3"/>
    <s v="Abakan"/>
    <n v="3367"/>
    <n v="9.75"/>
    <m/>
    <n v="0"/>
    <m/>
    <n v="0"/>
    <n v="345.33333333333331"/>
    <n v="0"/>
  </r>
  <r>
    <s v="DME/VLC"/>
    <s v="VLC"/>
    <x v="4"/>
    <x v="3"/>
    <x v="6"/>
    <x v="3"/>
    <s v="Valencia - Airport"/>
    <n v="3324"/>
    <n v="9.5"/>
    <m/>
    <n v="0"/>
    <m/>
    <n v="0"/>
    <n v="349.89473684210526"/>
    <n v="0"/>
  </r>
  <r>
    <s v="DME/TOE"/>
    <s v="TOE"/>
    <x v="4"/>
    <x v="0"/>
    <x v="10"/>
    <x v="0"/>
    <s v="Tozeur - Nefta"/>
    <n v="3307"/>
    <n v="9.5"/>
    <m/>
    <n v="0"/>
    <m/>
    <n v="0"/>
    <n v="348.10526315789474"/>
    <n v="0"/>
  </r>
  <r>
    <s v="DME/KJA"/>
    <s v="KJA"/>
    <x v="4"/>
    <x v="0"/>
    <x v="73"/>
    <x v="3"/>
    <s v="Krasnoyarsk"/>
    <n v="3324"/>
    <n v="9.5"/>
    <m/>
    <n v="0"/>
    <m/>
    <n v="0"/>
    <n v="349.89473684210526"/>
    <n v="0"/>
  </r>
  <r>
    <s v="DME/KHG"/>
    <s v="KHG"/>
    <x v="4"/>
    <x v="0"/>
    <x v="26"/>
    <x v="2"/>
    <s v="Kashi"/>
    <n v="3304"/>
    <n v="9.5"/>
    <m/>
    <n v="0"/>
    <m/>
    <n v="0"/>
    <n v="347.78947368421052"/>
    <n v="0"/>
  </r>
  <r>
    <s v="DME/KBL"/>
    <s v="KBL"/>
    <x v="4"/>
    <x v="3"/>
    <x v="135"/>
    <x v="2"/>
    <s v="Kabul - International"/>
    <n v="3330"/>
    <n v="9.5"/>
    <m/>
    <n v="0"/>
    <m/>
    <n v="0"/>
    <n v="350.5263157894737"/>
    <n v="0"/>
  </r>
  <r>
    <s v="DME/IBZ"/>
    <s v="IBZ"/>
    <x v="4"/>
    <x v="3"/>
    <x v="6"/>
    <x v="3"/>
    <s v="Ibiza"/>
    <n v="3262"/>
    <n v="9.5"/>
    <m/>
    <n v="0"/>
    <m/>
    <n v="0"/>
    <n v="343.36842105263156"/>
    <n v="0"/>
  </r>
  <r>
    <s v="DME/ELQ"/>
    <s v="ELQ"/>
    <x v="4"/>
    <x v="0"/>
    <x v="7"/>
    <x v="2"/>
    <s v="Gassim"/>
    <n v="3272"/>
    <n v="9.5"/>
    <m/>
    <n v="0"/>
    <m/>
    <n v="0"/>
    <n v="344.42105263157896"/>
    <n v="0"/>
  </r>
  <r>
    <s v="DME/EJH"/>
    <s v="EJH"/>
    <x v="4"/>
    <x v="1"/>
    <x v="7"/>
    <x v="2"/>
    <s v="Wedjh"/>
    <n v="3250"/>
    <n v="9.5"/>
    <m/>
    <n v="0"/>
    <m/>
    <n v="0"/>
    <n v="342.10526315789474"/>
    <n v="0"/>
  </r>
  <r>
    <s v="DME/BLJ"/>
    <s v="BLJ"/>
    <x v="4"/>
    <x v="0"/>
    <x v="31"/>
    <x v="0"/>
    <s v="Batna - Mostepha Ben Boulaid"/>
    <n v="3239"/>
    <n v="9.5"/>
    <m/>
    <n v="0"/>
    <m/>
    <n v="0"/>
    <n v="340.94736842105266"/>
    <n v="0"/>
  </r>
  <r>
    <s v="DME/ACZ"/>
    <s v="ACZ"/>
    <x v="4"/>
    <x v="1"/>
    <x v="14"/>
    <x v="2"/>
    <s v="Zabol"/>
    <n v="3278"/>
    <n v="9.5"/>
    <m/>
    <n v="0"/>
    <m/>
    <n v="0"/>
    <n v="345.05263157894734"/>
    <n v="0"/>
  </r>
  <r>
    <s v="DME/ZAZ"/>
    <s v="ZAZ"/>
    <x v="4"/>
    <x v="0"/>
    <x v="6"/>
    <x v="3"/>
    <s v="Zaragoza - Airport"/>
    <n v="3192"/>
    <n v="9.25"/>
    <m/>
    <n v="0"/>
    <m/>
    <n v="0"/>
    <n v="345.08108108108109"/>
    <n v="0"/>
  </r>
  <r>
    <s v="DME/VIT"/>
    <s v="VIT"/>
    <x v="4"/>
    <x v="1"/>
    <x v="6"/>
    <x v="3"/>
    <s v="Vitoria - Airport"/>
    <n v="3208"/>
    <n v="9.25"/>
    <m/>
    <n v="0"/>
    <m/>
    <n v="0"/>
    <n v="346.81081081081084"/>
    <n v="0"/>
  </r>
  <r>
    <s v="DME/TEE"/>
    <s v="TEE"/>
    <x v="4"/>
    <x v="0"/>
    <x v="31"/>
    <x v="0"/>
    <s v="Tebessa - Cheikh Larbi Tebessi"/>
    <n v="3170"/>
    <n v="9.25"/>
    <m/>
    <n v="0"/>
    <m/>
    <n v="0"/>
    <n v="342.70270270270271"/>
    <n v="0"/>
  </r>
  <r>
    <s v="DME/KER"/>
    <s v="KER"/>
    <x v="4"/>
    <x v="0"/>
    <x v="14"/>
    <x v="2"/>
    <s v="Kerman"/>
    <n v="3174"/>
    <n v="9.25"/>
    <m/>
    <n v="0"/>
    <m/>
    <n v="0"/>
    <n v="343.13513513513516"/>
    <n v="0"/>
  </r>
  <r>
    <s v="DME/HAS"/>
    <s v="HAS"/>
    <x v="4"/>
    <x v="0"/>
    <x v="7"/>
    <x v="2"/>
    <s v="Hail"/>
    <n v="3125"/>
    <n v="9.25"/>
    <m/>
    <n v="0"/>
    <m/>
    <n v="0"/>
    <n v="337.83783783783781"/>
    <n v="0"/>
  </r>
  <r>
    <s v="DME/GAF"/>
    <s v="GAF"/>
    <x v="4"/>
    <x v="1"/>
    <x v="10"/>
    <x v="0"/>
    <s v="Gafsa - Ksar"/>
    <n v="3226"/>
    <n v="9.25"/>
    <m/>
    <n v="0"/>
    <m/>
    <n v="0"/>
    <n v="348.75675675675677"/>
    <n v="0"/>
  </r>
  <r>
    <s v="DME/CZL"/>
    <s v="CZL"/>
    <x v="4"/>
    <x v="0"/>
    <x v="31"/>
    <x v="0"/>
    <s v="Constantine - Mohamed Boudiaf"/>
    <n v="3177"/>
    <n v="9.25"/>
    <m/>
    <n v="0"/>
    <m/>
    <n v="0"/>
    <n v="343.45945945945948"/>
    <n v="0"/>
  </r>
  <r>
    <s v="DME/SYZ"/>
    <s v="SYZ"/>
    <x v="4"/>
    <x v="3"/>
    <x v="14"/>
    <x v="2"/>
    <s v="Shiraz - Shahid Dastghaib Intl"/>
    <n v="3104"/>
    <n v="9"/>
    <m/>
    <n v="0"/>
    <m/>
    <n v="0"/>
    <n v="344.88888888888891"/>
    <n v="0"/>
  </r>
  <r>
    <s v="DME/SNN"/>
    <s v="SNN"/>
    <x v="4"/>
    <x v="3"/>
    <x v="137"/>
    <x v="3"/>
    <s v="Shannon - International"/>
    <n v="3014"/>
    <n v="9"/>
    <m/>
    <n v="0"/>
    <m/>
    <n v="0"/>
    <n v="334.88888888888891"/>
    <n v="0"/>
  </r>
  <r>
    <s v="DME/SFA"/>
    <s v="SFA"/>
    <x v="4"/>
    <x v="1"/>
    <x v="10"/>
    <x v="0"/>
    <s v="Sfax - Thyna"/>
    <n v="3102"/>
    <n v="9"/>
    <m/>
    <n v="0"/>
    <m/>
    <n v="0"/>
    <n v="344.66666666666669"/>
    <n v="0"/>
  </r>
  <r>
    <s v="DME/MZR"/>
    <s v="MZR"/>
    <x v="4"/>
    <x v="0"/>
    <x v="135"/>
    <x v="2"/>
    <s v="Mazar-e Sharif"/>
    <n v="3031"/>
    <n v="9"/>
    <m/>
    <n v="0"/>
    <m/>
    <n v="0"/>
    <n v="336.77777777777777"/>
    <n v="0"/>
  </r>
  <r>
    <s v="DME/LDE"/>
    <s v="LDE"/>
    <x v="4"/>
    <x v="0"/>
    <x v="12"/>
    <x v="3"/>
    <s v="Lourdes/Tarbes - Pyrenees"/>
    <n v="3017"/>
    <n v="9"/>
    <m/>
    <n v="0"/>
    <m/>
    <n v="0"/>
    <n v="335.22222222222223"/>
    <n v="0"/>
  </r>
  <r>
    <s v="DME/HBT"/>
    <s v="HBT"/>
    <x v="4"/>
    <x v="1"/>
    <x v="7"/>
    <x v="2"/>
    <s v="Hambantota - SPB"/>
    <n v="3120"/>
    <n v="9"/>
    <m/>
    <n v="0"/>
    <m/>
    <n v="0"/>
    <n v="346.66666666666669"/>
    <n v="0"/>
  </r>
  <r>
    <s v="DME/AQI"/>
    <s v="AQI"/>
    <x v="4"/>
    <x v="0"/>
    <x v="7"/>
    <x v="2"/>
    <s v="Qaisumah - Hafar al Batin"/>
    <n v="3082"/>
    <n v="9"/>
    <m/>
    <n v="0"/>
    <m/>
    <n v="0"/>
    <n v="342.44444444444446"/>
    <n v="0"/>
  </r>
  <r>
    <s v="DME/ALA"/>
    <s v="ALA"/>
    <x v="4"/>
    <x v="3"/>
    <x v="138"/>
    <x v="3"/>
    <s v="Almaty - International"/>
    <n v="3081"/>
    <n v="9"/>
    <m/>
    <n v="0"/>
    <m/>
    <n v="0"/>
    <n v="342.33333333333331"/>
    <n v="0"/>
  </r>
  <r>
    <s v="DME/AAE"/>
    <s v="AAE"/>
    <x v="4"/>
    <x v="0"/>
    <x v="31"/>
    <x v="0"/>
    <s v="Annaba - Rabah Bitat"/>
    <n v="3064"/>
    <n v="9"/>
    <m/>
    <n v="0"/>
    <m/>
    <n v="0"/>
    <n v="340.44444444444446"/>
    <n v="0"/>
  </r>
  <r>
    <s v="DME/TUU"/>
    <s v="TUU"/>
    <x v="4"/>
    <x v="0"/>
    <x v="7"/>
    <x v="2"/>
    <s v="Tabuk"/>
    <n v="3009"/>
    <n v="8.75"/>
    <m/>
    <n v="0"/>
    <m/>
    <n v="0"/>
    <n v="343.8857142857143"/>
    <n v="0"/>
  </r>
  <r>
    <s v="DME/TBJ"/>
    <s v="TBJ"/>
    <x v="4"/>
    <x v="1"/>
    <x v="10"/>
    <x v="0"/>
    <s v="Tabarka - Ain Draham"/>
    <n v="2992"/>
    <n v="8.75"/>
    <m/>
    <n v="0"/>
    <m/>
    <n v="0"/>
    <n v="341.94285714285712"/>
    <n v="0"/>
  </r>
  <r>
    <s v="DME/RAH"/>
    <s v="RAH"/>
    <x v="4"/>
    <x v="1"/>
    <x v="7"/>
    <x v="2"/>
    <s v="Rafha"/>
    <n v="2901"/>
    <n v="8.75"/>
    <m/>
    <n v="0"/>
    <m/>
    <n v="0"/>
    <n v="331.54285714285714"/>
    <n v="0"/>
  </r>
  <r>
    <s v="DME/NBE"/>
    <s v="NBE"/>
    <x v="4"/>
    <x v="0"/>
    <x v="10"/>
    <x v="0"/>
    <s v="Enfidha - Hammamet"/>
    <n v="2990"/>
    <n v="8.75"/>
    <m/>
    <n v="0"/>
    <m/>
    <n v="0"/>
    <n v="341.71428571428572"/>
    <n v="0"/>
  </r>
  <r>
    <s v="DME/KEJ"/>
    <s v="KEJ"/>
    <x v="4"/>
    <x v="0"/>
    <x v="73"/>
    <x v="3"/>
    <s v="Kemerovo"/>
    <n v="2987"/>
    <n v="8.75"/>
    <m/>
    <n v="0"/>
    <m/>
    <n v="0"/>
    <n v="341.37142857142857"/>
    <n v="0"/>
  </r>
  <r>
    <s v="DME/FRU"/>
    <s v="FRU"/>
    <x v="4"/>
    <x v="0"/>
    <x v="139"/>
    <x v="2"/>
    <s v="Bishkek - Manas Intl"/>
    <n v="2943"/>
    <n v="8.75"/>
    <m/>
    <n v="0"/>
    <m/>
    <n v="0"/>
    <n v="336.34285714285716"/>
    <n v="0"/>
  </r>
  <r>
    <s v="DME/DYU"/>
    <s v="DYU"/>
    <x v="4"/>
    <x v="0"/>
    <x v="140"/>
    <x v="2"/>
    <s v="Dushanbe - International"/>
    <n v="2962"/>
    <n v="8.75"/>
    <m/>
    <n v="0"/>
    <m/>
    <n v="0"/>
    <n v="338.51428571428573"/>
    <n v="0"/>
  </r>
  <r>
    <s v="DME/BOD"/>
    <s v="BOD"/>
    <x v="4"/>
    <x v="3"/>
    <x v="12"/>
    <x v="3"/>
    <s v="Bordeaux - Merignac"/>
    <n v="2947"/>
    <n v="8.75"/>
    <m/>
    <n v="0"/>
    <m/>
    <n v="0"/>
    <n v="336.8"/>
    <n v="0"/>
  </r>
  <r>
    <s v="DME/BES"/>
    <s v="BES"/>
    <x v="4"/>
    <x v="0"/>
    <x v="12"/>
    <x v="3"/>
    <s v="Brest - Bretagne"/>
    <n v="2954"/>
    <n v="8.75"/>
    <m/>
    <n v="0"/>
    <m/>
    <n v="0"/>
    <n v="337.6"/>
    <n v="0"/>
  </r>
  <r>
    <s v="DME/BEN"/>
    <s v="BEN"/>
    <x v="4"/>
    <x v="0"/>
    <x v="9"/>
    <x v="0"/>
    <s v="Benghazi - Benina Intl"/>
    <n v="2935"/>
    <n v="8.75"/>
    <m/>
    <n v="0"/>
    <m/>
    <n v="0"/>
    <n v="335.42857142857144"/>
    <n v="0"/>
  </r>
  <r>
    <s v="DME/BAX"/>
    <s v="BAX"/>
    <x v="4"/>
    <x v="3"/>
    <x v="73"/>
    <x v="3"/>
    <s v="Barnaul"/>
    <n v="2911"/>
    <n v="8.75"/>
    <m/>
    <n v="0"/>
    <m/>
    <n v="0"/>
    <n v="332.68571428571431"/>
    <n v="0"/>
  </r>
  <r>
    <s v="DME/AZD"/>
    <s v="AZD"/>
    <x v="4"/>
    <x v="0"/>
    <x v="14"/>
    <x v="2"/>
    <s v="Yazd - Shahid Sadooghi"/>
    <n v="2910"/>
    <n v="8.75"/>
    <m/>
    <n v="0"/>
    <m/>
    <n v="0"/>
    <n v="332.57142857142856"/>
    <n v="0"/>
  </r>
  <r>
    <s v="DME/VDA"/>
    <s v="VDA"/>
    <x v="4"/>
    <x v="0"/>
    <x v="13"/>
    <x v="2"/>
    <s v="Ovda - Airport"/>
    <n v="2842"/>
    <n v="8.5"/>
    <m/>
    <n v="0"/>
    <m/>
    <n v="0"/>
    <n v="334.35294117647061"/>
    <n v="0"/>
  </r>
  <r>
    <s v="DME/PLX"/>
    <s v="PLX"/>
    <x v="4"/>
    <x v="1"/>
    <x v="138"/>
    <x v="3"/>
    <s v="Semey"/>
    <n v="2849"/>
    <n v="8.5"/>
    <m/>
    <n v="0"/>
    <m/>
    <n v="0"/>
    <n v="335.1764705882353"/>
    <n v="0"/>
  </r>
  <r>
    <s v="DME/OVB"/>
    <s v="OVB"/>
    <x v="4"/>
    <x v="3"/>
    <x v="73"/>
    <x v="3"/>
    <s v="Novosibirsk - Tolmachevo"/>
    <n v="2790"/>
    <n v="8.5"/>
    <m/>
    <n v="0"/>
    <m/>
    <n v="0"/>
    <n v="328.23529411764707"/>
    <n v="0"/>
  </r>
  <r>
    <s v="DME/NTE"/>
    <s v="NTE"/>
    <x v="4"/>
    <x v="3"/>
    <x v="12"/>
    <x v="3"/>
    <s v="Nantes - Atlantique"/>
    <n v="2853"/>
    <n v="8.5"/>
    <m/>
    <n v="0"/>
    <m/>
    <n v="0"/>
    <n v="335.64705882352939"/>
    <n v="0"/>
  </r>
  <r>
    <s v="DME/NSK"/>
    <s v="NSK"/>
    <x v="4"/>
    <x v="0"/>
    <x v="73"/>
    <x v="3"/>
    <s v="Norilsk - Alykel"/>
    <n v="2865"/>
    <n v="8.5"/>
    <m/>
    <n v="0"/>
    <m/>
    <n v="0"/>
    <n v="337.05882352941177"/>
    <n v="0"/>
  </r>
  <r>
    <s v="DME/MLA"/>
    <s v="MLA"/>
    <x v="4"/>
    <x v="3"/>
    <x v="141"/>
    <x v="3"/>
    <s v="Malta - Luqa International"/>
    <n v="2809"/>
    <n v="8.5"/>
    <m/>
    <n v="0"/>
    <m/>
    <n v="0"/>
    <n v="330.47058823529414"/>
    <n v="0"/>
  </r>
  <r>
    <s v="DME/BSR"/>
    <s v="BSR"/>
    <x v="4"/>
    <x v="0"/>
    <x v="142"/>
    <x v="2"/>
    <s v="Basrah - International"/>
    <n v="2870"/>
    <n v="8.5"/>
    <m/>
    <n v="0"/>
    <m/>
    <n v="0"/>
    <n v="337.64705882352939"/>
    <n v="0"/>
  </r>
  <r>
    <s v="DME/AWZ"/>
    <s v="AWZ"/>
    <x v="4"/>
    <x v="3"/>
    <x v="14"/>
    <x v="2"/>
    <s v="Ahwaz"/>
    <n v="2809"/>
    <n v="8.5"/>
    <m/>
    <n v="0"/>
    <m/>
    <n v="0"/>
    <n v="330.47058823529414"/>
    <n v="0"/>
  </r>
  <r>
    <s v="DME/AQJ"/>
    <s v="AQJ"/>
    <x v="4"/>
    <x v="0"/>
    <x v="143"/>
    <x v="2"/>
    <s v="Aqaba - King Hussein Intl"/>
    <n v="2878"/>
    <n v="8.5"/>
    <m/>
    <n v="0"/>
    <m/>
    <n v="0"/>
    <n v="338.58823529411762"/>
    <n v="0"/>
  </r>
  <r>
    <s v="DME/AJF"/>
    <s v="AJF"/>
    <x v="4"/>
    <x v="0"/>
    <x v="7"/>
    <x v="2"/>
    <s v="Jouf"/>
    <n v="2855"/>
    <n v="8.5"/>
    <m/>
    <n v="0"/>
    <m/>
    <n v="0"/>
    <n v="335.88235294117646"/>
    <n v="0"/>
  </r>
  <r>
    <s v="DME/TAS"/>
    <s v="TAS"/>
    <x v="4"/>
    <x v="3"/>
    <x v="144"/>
    <x v="2"/>
    <s v="Tashkent - International"/>
    <n v="2766"/>
    <n v="8.25"/>
    <m/>
    <n v="0"/>
    <m/>
    <n v="0"/>
    <n v="335.27272727272725"/>
    <n v="0"/>
  </r>
  <r>
    <s v="DME/SKD"/>
    <s v="SKD"/>
    <x v="4"/>
    <x v="0"/>
    <x v="144"/>
    <x v="2"/>
    <s v="Samarkand - International"/>
    <n v="2761"/>
    <n v="8.25"/>
    <m/>
    <n v="0"/>
    <m/>
    <n v="0"/>
    <n v="334.66666666666669"/>
    <n v="0"/>
  </r>
  <r>
    <s v="DME/RAE"/>
    <s v="RAE"/>
    <x v="4"/>
    <x v="0"/>
    <x v="7"/>
    <x v="2"/>
    <s v="Arar"/>
    <n v="2737"/>
    <n v="8.25"/>
    <m/>
    <n v="0"/>
    <m/>
    <n v="0"/>
    <n v="331.75757575757575"/>
    <n v="0"/>
  </r>
  <r>
    <s v="DME/MHD"/>
    <s v="MHD"/>
    <x v="4"/>
    <x v="3"/>
    <x v="14"/>
    <x v="2"/>
    <s v="Mashhad - Shahid Hashemi Nejad"/>
    <n v="2693"/>
    <n v="8.25"/>
    <m/>
    <n v="0"/>
    <m/>
    <n v="0"/>
    <n v="326.42424242424244"/>
    <n v="0"/>
  </r>
  <r>
    <s v="DME/IFN"/>
    <s v="IFN"/>
    <x v="4"/>
    <x v="3"/>
    <x v="14"/>
    <x v="2"/>
    <s v="Esfahan - Shahid Beheshti Intl"/>
    <n v="2743"/>
    <n v="8.25"/>
    <m/>
    <n v="0"/>
    <m/>
    <n v="0"/>
    <n v="332.4848484848485"/>
    <n v="0"/>
  </r>
  <r>
    <s v="DME/CAL"/>
    <s v="CAL"/>
    <x v="4"/>
    <x v="1"/>
    <x v="32"/>
    <x v="3"/>
    <s v="Campbeltown"/>
    <n v="2706"/>
    <n v="8.25"/>
    <m/>
    <n v="0"/>
    <m/>
    <n v="0"/>
    <n v="328"/>
    <n v="0"/>
  </r>
  <r>
    <s v="DME/CAG"/>
    <s v="CAG"/>
    <x v="4"/>
    <x v="3"/>
    <x v="16"/>
    <x v="3"/>
    <s v="Cagliari - Elmas"/>
    <n v="2786"/>
    <n v="8.25"/>
    <m/>
    <n v="0"/>
    <m/>
    <n v="0"/>
    <n v="337.69696969696969"/>
    <n v="0"/>
  </r>
  <r>
    <s v="DME/BFS"/>
    <s v="BFS"/>
    <x v="4"/>
    <x v="3"/>
    <x v="32"/>
    <x v="3"/>
    <s v="Belfast - Metropolitan Area"/>
    <n v="2766"/>
    <n v="8.25"/>
    <m/>
    <n v="0"/>
    <m/>
    <n v="0"/>
    <n v="335.27272727272725"/>
    <n v="0"/>
  </r>
  <r>
    <s v="DME/AHO"/>
    <s v="AHO"/>
    <x v="4"/>
    <x v="3"/>
    <x v="16"/>
    <x v="3"/>
    <s v="Alghero - Fertilia"/>
    <n v="2714"/>
    <n v="8.25"/>
    <m/>
    <n v="0"/>
    <m/>
    <n v="0"/>
    <n v="328.969696969697"/>
    <n v="0"/>
  </r>
  <r>
    <s v="DME/URY"/>
    <s v="URY"/>
    <x v="4"/>
    <x v="0"/>
    <x v="7"/>
    <x v="2"/>
    <s v="Gurayat"/>
    <n v="2669"/>
    <n v="8"/>
    <m/>
    <n v="0"/>
    <m/>
    <n v="0"/>
    <n v="333.625"/>
    <n v="0"/>
  </r>
  <r>
    <s v="DME/TUI"/>
    <s v="TUI"/>
    <x v="4"/>
    <x v="1"/>
    <x v="7"/>
    <x v="2"/>
    <s v="Turaif"/>
    <n v="2638"/>
    <n v="8"/>
    <m/>
    <n v="0"/>
    <m/>
    <n v="0"/>
    <n v="329.75"/>
    <n v="0"/>
  </r>
  <r>
    <s v="DME/PMO"/>
    <s v="PMO"/>
    <x v="4"/>
    <x v="3"/>
    <x v="16"/>
    <x v="3"/>
    <s v="Palermo - Punta Raisi"/>
    <n v="2662"/>
    <n v="8"/>
    <m/>
    <n v="0"/>
    <m/>
    <n v="0"/>
    <n v="332.75"/>
    <n v="0"/>
  </r>
  <r>
    <s v="DME/PIK"/>
    <s v="PIK"/>
    <x v="4"/>
    <x v="3"/>
    <x v="32"/>
    <x v="3"/>
    <s v="Glasgow - Prestwick"/>
    <n v="2638"/>
    <n v="8"/>
    <m/>
    <n v="0"/>
    <m/>
    <n v="0"/>
    <n v="329.75"/>
    <n v="0"/>
  </r>
  <r>
    <s v="DME/ETM"/>
    <s v="ETM"/>
    <x v="4"/>
    <x v="6"/>
    <x v="13"/>
    <x v="2"/>
    <s v="Eilat - Ramon Airport"/>
    <n v="2613"/>
    <n v="8"/>
    <m/>
    <n v="0"/>
    <m/>
    <n v="0"/>
    <n v="326.625"/>
    <n v="0"/>
  </r>
  <r>
    <s v="DME/CHR"/>
    <s v="CHR"/>
    <x v="4"/>
    <x v="1"/>
    <x v="12"/>
    <x v="3"/>
    <s v="Chateauroux - Deols"/>
    <n v="2662"/>
    <n v="8"/>
    <m/>
    <n v="0"/>
    <m/>
    <n v="0"/>
    <n v="332.75"/>
    <n v="0"/>
  </r>
  <r>
    <s v="DME/CFE"/>
    <s v="CFE"/>
    <x v="4"/>
    <x v="0"/>
    <x v="12"/>
    <x v="3"/>
    <s v="Clermont-Ferrand - Auvergne"/>
    <n v="2641"/>
    <n v="8"/>
    <m/>
    <n v="0"/>
    <m/>
    <n v="0"/>
    <n v="330.125"/>
    <n v="0"/>
  </r>
  <r>
    <s v="DME/BHK"/>
    <s v="BHK"/>
    <x v="4"/>
    <x v="0"/>
    <x v="144"/>
    <x v="2"/>
    <s v="Bukhara - International"/>
    <n v="2616"/>
    <n v="8"/>
    <m/>
    <n v="0"/>
    <m/>
    <n v="0"/>
    <n v="327"/>
    <n v="0"/>
  </r>
  <r>
    <s v="DME/AMM"/>
    <s v="AMM"/>
    <x v="4"/>
    <x v="3"/>
    <x v="143"/>
    <x v="2"/>
    <s v="Amman - Metropolitan Area"/>
    <n v="2638"/>
    <n v="8"/>
    <m/>
    <n v="0"/>
    <m/>
    <n v="0"/>
    <n v="329.75"/>
    <n v="0"/>
  </r>
  <r>
    <s v="DME/GNB"/>
    <s v="GNB"/>
    <x v="4"/>
    <x v="0"/>
    <x v="12"/>
    <x v="3"/>
    <s v="Lyon - Grenoble-Isere"/>
    <n v="2535"/>
    <n v="7.75"/>
    <m/>
    <n v="0"/>
    <m/>
    <n v="0"/>
    <n v="327.09677419354841"/>
    <n v="0"/>
  </r>
  <r>
    <s v="DME/EMA"/>
    <s v="EMA"/>
    <x v="4"/>
    <x v="3"/>
    <x v="32"/>
    <x v="3"/>
    <s v="Nottingham - East Midlands"/>
    <n v="2539"/>
    <n v="7.75"/>
    <m/>
    <n v="0"/>
    <m/>
    <n v="0"/>
    <n v="327.61290322580646"/>
    <n v="0"/>
  </r>
  <r>
    <s v="DME/DSA"/>
    <s v="DSA"/>
    <x v="4"/>
    <x v="0"/>
    <x v="32"/>
    <x v="3"/>
    <s v="Doncaster/Sheffield - Robin Hood"/>
    <n v="2492"/>
    <n v="7.75"/>
    <m/>
    <n v="0"/>
    <m/>
    <n v="0"/>
    <n v="321.54838709677421"/>
    <n v="0"/>
  </r>
  <r>
    <s v="DME/BGW"/>
    <s v="BGW"/>
    <x v="4"/>
    <x v="0"/>
    <x v="142"/>
    <x v="2"/>
    <s v="Baghdad - International"/>
    <n v="2511"/>
    <n v="7.75"/>
    <m/>
    <n v="0"/>
    <m/>
    <n v="0"/>
    <n v="324"/>
    <n v="0"/>
  </r>
  <r>
    <s v="DME/ASB"/>
    <s v="ASB"/>
    <x v="4"/>
    <x v="0"/>
    <x v="145"/>
    <x v="2"/>
    <s v="Ashgabat - International"/>
    <n v="2468"/>
    <n v="7.75"/>
    <m/>
    <n v="0"/>
    <m/>
    <n v="0"/>
    <n v="318.45161290322579"/>
    <n v="0"/>
  </r>
  <r>
    <s v="DME/XCR"/>
    <s v="XCR"/>
    <x v="4"/>
    <x v="1"/>
    <x v="12"/>
    <x v="3"/>
    <s v="Paris - Chalons-Vatry"/>
    <n v="2391"/>
    <n v="7.5"/>
    <m/>
    <n v="0"/>
    <m/>
    <n v="0"/>
    <n v="318.8"/>
    <n v="0"/>
  </r>
  <r>
    <s v="DME/TRN"/>
    <s v="TRN"/>
    <x v="4"/>
    <x v="3"/>
    <x v="16"/>
    <x v="3"/>
    <s v="Turin - Caselle"/>
    <n v="2404"/>
    <n v="7.5"/>
    <m/>
    <n v="0"/>
    <m/>
    <n v="0"/>
    <n v="320.53333333333336"/>
    <n v="0"/>
  </r>
  <r>
    <s v="DME/PSA"/>
    <s v="PSA"/>
    <x v="4"/>
    <x v="3"/>
    <x v="16"/>
    <x v="3"/>
    <s v="Pisa - Galileo Galilei"/>
    <n v="2351"/>
    <n v="7.5"/>
    <m/>
    <n v="0"/>
    <m/>
    <n v="0"/>
    <n v="313.46666666666664"/>
    <n v="0"/>
  </r>
  <r>
    <s v="DME/OST"/>
    <s v="OST"/>
    <x v="4"/>
    <x v="0"/>
    <x v="80"/>
    <x v="3"/>
    <s v="Oostende/Brugge - Airport"/>
    <n v="2348"/>
    <n v="7.5"/>
    <m/>
    <n v="0"/>
    <m/>
    <n v="0"/>
    <n v="313.06666666666666"/>
    <n v="0"/>
  </r>
  <r>
    <s v="DME/MSE"/>
    <s v="MSE"/>
    <x v="4"/>
    <x v="1"/>
    <x v="32"/>
    <x v="3"/>
    <s v="Manston - Kent International"/>
    <n v="2438"/>
    <n v="7.5"/>
    <m/>
    <n v="0"/>
    <m/>
    <n v="0"/>
    <n v="325.06666666666666"/>
    <n v="0"/>
  </r>
  <r>
    <s v="DME/LIL"/>
    <s v="LIL"/>
    <x v="4"/>
    <x v="0"/>
    <x v="12"/>
    <x v="3"/>
    <s v="Lille - Lesquin"/>
    <n v="2366"/>
    <n v="7.5"/>
    <m/>
    <n v="0"/>
    <m/>
    <n v="0"/>
    <n v="315.46666666666664"/>
    <n v="0"/>
  </r>
  <r>
    <s v="DME/KSH"/>
    <s v="KSH"/>
    <x v="4"/>
    <x v="0"/>
    <x v="14"/>
    <x v="2"/>
    <s v="Kermanshah - Shahid AshrafiEsfahani"/>
    <n v="2448"/>
    <n v="7.5"/>
    <m/>
    <n v="0"/>
    <m/>
    <n v="0"/>
    <n v="326.39999999999998"/>
    <n v="0"/>
  </r>
  <r>
    <s v="DME/KLX"/>
    <s v="KLX"/>
    <x v="4"/>
    <x v="0"/>
    <x v="17"/>
    <x v="3"/>
    <s v="Kalamata"/>
    <n v="2365"/>
    <n v="7.5"/>
    <m/>
    <n v="0"/>
    <m/>
    <n v="0"/>
    <n v="315.33333333333331"/>
    <n v="0"/>
  </r>
  <r>
    <s v="DME/KGF"/>
    <s v="KGF"/>
    <x v="4"/>
    <x v="0"/>
    <x v="138"/>
    <x v="3"/>
    <s v="Karaganda - Sary-Arka"/>
    <n v="2450"/>
    <n v="7.5"/>
    <m/>
    <n v="0"/>
    <m/>
    <n v="0"/>
    <n v="326.66666666666669"/>
    <n v="0"/>
  </r>
  <r>
    <s v="DME/IKA"/>
    <s v="IKA"/>
    <x v="4"/>
    <x v="3"/>
    <x v="14"/>
    <x v="2"/>
    <s v="Tehran - Imam Khomeini Intl"/>
    <n v="2442"/>
    <n v="7.5"/>
    <m/>
    <n v="0"/>
    <m/>
    <n v="0"/>
    <n v="325.60000000000002"/>
    <n v="0"/>
  </r>
  <r>
    <s v="DME/GOA"/>
    <s v="GOA"/>
    <x v="4"/>
    <x v="3"/>
    <x v="16"/>
    <x v="3"/>
    <s v="Genoa - Cristoforo Colombo"/>
    <n v="2388"/>
    <n v="7.5"/>
    <m/>
    <n v="0"/>
    <m/>
    <n v="0"/>
    <n v="318.39999999999998"/>
    <n v="0"/>
  </r>
  <r>
    <s v="DME/DAM"/>
    <s v="DAM"/>
    <x v="4"/>
    <x v="3"/>
    <x v="146"/>
    <x v="2"/>
    <s v="Damascus - International"/>
    <n v="2449"/>
    <n v="7.5"/>
    <m/>
    <n v="0"/>
    <m/>
    <n v="0"/>
    <n v="326.53333333333336"/>
    <n v="0"/>
  </r>
  <r>
    <s v="DME/CHQ"/>
    <s v="CHQ"/>
    <x v="4"/>
    <x v="3"/>
    <x v="17"/>
    <x v="3"/>
    <s v="Chania - Ioannis Daskalogiannis"/>
    <n v="2447"/>
    <n v="7.5"/>
    <m/>
    <n v="0"/>
    <m/>
    <n v="0"/>
    <n v="326.26666666666665"/>
    <n v="0"/>
  </r>
  <r>
    <s v="DME/BEY"/>
    <s v="BEY"/>
    <x v="4"/>
    <x v="3"/>
    <x v="147"/>
    <x v="2"/>
    <s v="Beirut - Rafic Hariri Intl"/>
    <n v="2408"/>
    <n v="7.5"/>
    <m/>
    <n v="0"/>
    <m/>
    <n v="0"/>
    <n v="321.06666666666666"/>
    <n v="0"/>
  </r>
  <r>
    <s v="DME/TSE"/>
    <s v="TSE"/>
    <x v="4"/>
    <x v="0"/>
    <x v="138"/>
    <x v="3"/>
    <s v="Nur-Sultan - Nursultan Nazarbayev"/>
    <n v="2264"/>
    <n v="7.25"/>
    <m/>
    <n v="0"/>
    <m/>
    <n v="0"/>
    <n v="312.27586206896552"/>
    <n v="0"/>
  </r>
  <r>
    <s v="DME/RHO"/>
    <s v="RHO"/>
    <x v="4"/>
    <x v="3"/>
    <x v="17"/>
    <x v="3"/>
    <s v="Rhodes - Diagoras"/>
    <n v="2240"/>
    <n v="7.25"/>
    <m/>
    <n v="0"/>
    <m/>
    <n v="0"/>
    <n v="308.9655172413793"/>
    <n v="0"/>
  </r>
  <r>
    <s v="DME/PVK"/>
    <s v="PVK"/>
    <x v="4"/>
    <x v="0"/>
    <x v="17"/>
    <x v="3"/>
    <s v="Preveza/Lefkada - Aktion"/>
    <n v="2231"/>
    <n v="7.25"/>
    <m/>
    <n v="0"/>
    <m/>
    <n v="0"/>
    <n v="307.72413793103448"/>
    <n v="0"/>
  </r>
  <r>
    <s v="DME/NJC"/>
    <s v="NJC"/>
    <x v="4"/>
    <x v="0"/>
    <x v="73"/>
    <x v="3"/>
    <s v="Nizhnevartovsk"/>
    <n v="2307"/>
    <n v="7.25"/>
    <m/>
    <n v="0"/>
    <m/>
    <n v="0"/>
    <n v="318.20689655172413"/>
    <n v="0"/>
  </r>
  <r>
    <s v="DME/MLH"/>
    <s v="MLH"/>
    <x v="4"/>
    <x v="3"/>
    <x v="12"/>
    <x v="3"/>
    <s v="Mulhouse/Basel - EuroAirport French FR"/>
    <n v="2252"/>
    <n v="7.25"/>
    <m/>
    <n v="0"/>
    <m/>
    <n v="0"/>
    <n v="310.62068965517244"/>
    <n v="0"/>
  </r>
  <r>
    <s v="DME/LCA"/>
    <s v="LCA"/>
    <x v="4"/>
    <x v="3"/>
    <x v="148"/>
    <x v="3"/>
    <s v="Larnaca"/>
    <n v="2307"/>
    <n v="7.25"/>
    <m/>
    <n v="0"/>
    <m/>
    <n v="0"/>
    <n v="318.20689655172413"/>
    <n v="0"/>
  </r>
  <r>
    <s v="DME/GPA"/>
    <s v="GPA"/>
    <x v="4"/>
    <x v="0"/>
    <x v="17"/>
    <x v="3"/>
    <s v="Patrai - Araxos"/>
    <n v="2280"/>
    <n v="7.25"/>
    <m/>
    <n v="0"/>
    <m/>
    <n v="0"/>
    <n v="314.48275862068965"/>
    <n v="0"/>
  </r>
  <r>
    <s v="DME/ETZ"/>
    <s v="ETZ"/>
    <x v="4"/>
    <x v="0"/>
    <x v="12"/>
    <x v="3"/>
    <s v="Metz/Nancy - Lorraine"/>
    <n v="2251"/>
    <n v="7.25"/>
    <m/>
    <n v="0"/>
    <m/>
    <n v="0"/>
    <n v="310.48275862068965"/>
    <n v="0"/>
  </r>
  <r>
    <s v="DME/DEZ"/>
    <s v="DEZ"/>
    <x v="4"/>
    <x v="1"/>
    <x v="146"/>
    <x v="2"/>
    <s v="Deir ez Zor"/>
    <n v="2244"/>
    <n v="7.25"/>
    <m/>
    <n v="0"/>
    <m/>
    <n v="0"/>
    <n v="309.51724137931035"/>
    <n v="0"/>
  </r>
  <r>
    <s v="DME/BSL"/>
    <s v="BSL"/>
    <x v="4"/>
    <x v="3"/>
    <x v="15"/>
    <x v="3"/>
    <s v="Basel/Mulhouse - EuroAirport Swiss"/>
    <n v="2252"/>
    <n v="7.25"/>
    <m/>
    <n v="0"/>
    <m/>
    <n v="0"/>
    <n v="310.62068965517244"/>
    <n v="0"/>
  </r>
  <r>
    <s v="DME/BLQ"/>
    <s v="BLQ"/>
    <x v="4"/>
    <x v="3"/>
    <x v="16"/>
    <x v="3"/>
    <s v="Bologna - Guglielmo Marconi"/>
    <n v="2233"/>
    <n v="7.25"/>
    <m/>
    <n v="0"/>
    <m/>
    <n v="0"/>
    <n v="308"/>
    <n v="0"/>
  </r>
  <r>
    <s v="DME/ZQW"/>
    <s v="ZQW"/>
    <x v="4"/>
    <x v="0"/>
    <x v="19"/>
    <x v="3"/>
    <s v="Saarbruecken - Zweibruecken"/>
    <n v="2165"/>
    <n v="7"/>
    <m/>
    <n v="0"/>
    <m/>
    <n v="0"/>
    <n v="309.28571428571428"/>
    <n v="0"/>
  </r>
  <r>
    <s v="DME/VRN"/>
    <s v="VRN"/>
    <x v="4"/>
    <x v="3"/>
    <x v="16"/>
    <x v="3"/>
    <s v="Verona - Metropolitan Area"/>
    <n v="2195"/>
    <n v="7"/>
    <m/>
    <n v="0"/>
    <m/>
    <n v="0"/>
    <n v="313.57142857142856"/>
    <n v="0"/>
  </r>
  <r>
    <s v="DME/VOL"/>
    <s v="VOL"/>
    <x v="4"/>
    <x v="1"/>
    <x v="17"/>
    <x v="3"/>
    <s v="Volos - Nea Anchialos"/>
    <n v="2120"/>
    <n v="7"/>
    <m/>
    <n v="0"/>
    <m/>
    <n v="0"/>
    <n v="302.85714285714283"/>
    <n v="0"/>
  </r>
  <r>
    <s v="DME/VBS"/>
    <s v="VBS"/>
    <x v="4"/>
    <x v="0"/>
    <x v="16"/>
    <x v="3"/>
    <s v="Verona - Brescia/Montichiari"/>
    <n v="2226"/>
    <n v="7"/>
    <m/>
    <n v="0"/>
    <m/>
    <n v="0"/>
    <n v="318"/>
    <n v="0"/>
  </r>
  <r>
    <s v="DME/SGC"/>
    <s v="SGC"/>
    <x v="4"/>
    <x v="0"/>
    <x v="73"/>
    <x v="3"/>
    <s v="Surgut"/>
    <n v="2142"/>
    <n v="7"/>
    <m/>
    <n v="0"/>
    <m/>
    <n v="0"/>
    <n v="306"/>
    <n v="0"/>
  </r>
  <r>
    <s v="DME/RMI"/>
    <s v="RMI"/>
    <x v="4"/>
    <x v="0"/>
    <x v="16"/>
    <x v="3"/>
    <s v="Rimini - Miramare"/>
    <n v="2196"/>
    <n v="7"/>
    <m/>
    <n v="0"/>
    <m/>
    <n v="0"/>
    <n v="313.71428571428572"/>
    <n v="0"/>
  </r>
  <r>
    <s v="DME/OMS"/>
    <s v="OMS"/>
    <x v="4"/>
    <x v="3"/>
    <x v="73"/>
    <x v="3"/>
    <s v="Omsk - Tsentralny"/>
    <n v="2224"/>
    <n v="7"/>
    <m/>
    <n v="0"/>
    <m/>
    <n v="0"/>
    <n v="317.71428571428572"/>
    <n v="0"/>
  </r>
  <r>
    <s v="DME/LUX"/>
    <s v="LUX"/>
    <x v="4"/>
    <x v="3"/>
    <x v="149"/>
    <x v="3"/>
    <s v="Luxembourg"/>
    <n v="2217"/>
    <n v="7"/>
    <m/>
    <n v="0"/>
    <m/>
    <n v="0"/>
    <n v="316.71428571428572"/>
    <n v="0"/>
  </r>
  <r>
    <s v="DME/LTK"/>
    <s v="LTK"/>
    <x v="4"/>
    <x v="0"/>
    <x v="146"/>
    <x v="2"/>
    <s v="Latakia - Bassel al Assad Intl"/>
    <n v="2230"/>
    <n v="7"/>
    <m/>
    <n v="0"/>
    <m/>
    <n v="0"/>
    <n v="318.57142857142856"/>
    <n v="0"/>
  </r>
  <r>
    <s v="DME/LGG"/>
    <s v="LGG"/>
    <x v="4"/>
    <x v="0"/>
    <x v="80"/>
    <x v="3"/>
    <s v="Liege - Airport"/>
    <n v="2213"/>
    <n v="7"/>
    <m/>
    <n v="0"/>
    <m/>
    <n v="0"/>
    <n v="316.14285714285717"/>
    <n v="0"/>
  </r>
  <r>
    <s v="DME/HTY"/>
    <s v="HTY"/>
    <x v="4"/>
    <x v="0"/>
    <x v="81"/>
    <x v="2"/>
    <s v="Hatay"/>
    <n v="2122"/>
    <n v="7"/>
    <m/>
    <n v="0"/>
    <m/>
    <n v="0"/>
    <n v="303.14285714285717"/>
    <n v="0"/>
  </r>
  <r>
    <s v="DME/HHN"/>
    <s v="HHN"/>
    <x v="4"/>
    <x v="6"/>
    <x v="19"/>
    <x v="3"/>
    <s v="Frankfurt-Hahn Airport"/>
    <n v="2134"/>
    <n v="7"/>
    <m/>
    <n v="0"/>
    <m/>
    <n v="0"/>
    <n v="304.85714285714283"/>
    <n v="0"/>
  </r>
  <r>
    <s v="DME/FKB"/>
    <s v="FKB"/>
    <x v="4"/>
    <x v="0"/>
    <x v="19"/>
    <x v="3"/>
    <s v="Karlsruhe/Baden-Baden - Baden Airpark"/>
    <n v="2147"/>
    <n v="7"/>
    <m/>
    <n v="0"/>
    <m/>
    <n v="0"/>
    <n v="306.71428571428572"/>
    <n v="0"/>
  </r>
  <r>
    <s v="DME/EIN"/>
    <s v="EIN"/>
    <x v="4"/>
    <x v="3"/>
    <x v="18"/>
    <x v="3"/>
    <s v="Eindhoven - Airport"/>
    <n v="2178"/>
    <n v="7"/>
    <m/>
    <n v="0"/>
    <m/>
    <n v="0"/>
    <n v="311.14285714285717"/>
    <n v="0"/>
  </r>
  <r>
    <s v="DME/DLM"/>
    <s v="DLM"/>
    <x v="4"/>
    <x v="3"/>
    <x v="81"/>
    <x v="2"/>
    <s v="Dalaman"/>
    <n v="2190"/>
    <n v="7"/>
    <m/>
    <n v="0"/>
    <m/>
    <n v="0"/>
    <n v="312.85714285714283"/>
    <n v="0"/>
  </r>
  <r>
    <s v="DME/BJV"/>
    <s v="BJV"/>
    <x v="4"/>
    <x v="3"/>
    <x v="81"/>
    <x v="2"/>
    <s v="Bodrum - Milas"/>
    <n v="2162"/>
    <n v="7"/>
    <m/>
    <n v="0"/>
    <m/>
    <n v="0"/>
    <n v="308.85714285714283"/>
    <n v="0"/>
  </r>
  <r>
    <s v="DME/AOI"/>
    <s v="AOI"/>
    <x v="4"/>
    <x v="0"/>
    <x v="16"/>
    <x v="3"/>
    <s v="Ancona - Falconara"/>
    <n v="2185"/>
    <n v="7"/>
    <m/>
    <n v="0"/>
    <m/>
    <n v="0"/>
    <n v="312.14285714285717"/>
    <n v="0"/>
  </r>
  <r>
    <s v="DME/ALP"/>
    <s v="ALP"/>
    <x v="4"/>
    <x v="3"/>
    <x v="146"/>
    <x v="2"/>
    <s v="Aleppo - International"/>
    <n v="2139"/>
    <n v="7"/>
    <m/>
    <n v="0"/>
    <m/>
    <n v="0"/>
    <n v="305.57142857142856"/>
    <n v="0"/>
  </r>
  <r>
    <s v="DME/TRS"/>
    <s v="TRS"/>
    <x v="4"/>
    <x v="0"/>
    <x v="16"/>
    <x v="3"/>
    <s v="Trieste - Ronchi dei Legionari"/>
    <n v="2012"/>
    <n v="6.75"/>
    <m/>
    <n v="0"/>
    <m/>
    <n v="0"/>
    <n v="298.07407407407408"/>
    <n v="0"/>
  </r>
  <r>
    <s v="DME/TBZ"/>
    <s v="TBZ"/>
    <x v="4"/>
    <x v="0"/>
    <x v="14"/>
    <x v="2"/>
    <s v="Tabriz - International"/>
    <n v="2020"/>
    <n v="6.75"/>
    <m/>
    <n v="0"/>
    <m/>
    <n v="0"/>
    <n v="299.25925925925924"/>
    <n v="0"/>
  </r>
  <r>
    <s v="DME/SKU"/>
    <s v="SKU"/>
    <x v="4"/>
    <x v="1"/>
    <x v="17"/>
    <x v="3"/>
    <s v="Skyros"/>
    <n v="2082"/>
    <n v="6.75"/>
    <m/>
    <n v="0"/>
    <m/>
    <n v="0"/>
    <n v="308.44444444444446"/>
    <n v="0"/>
  </r>
  <r>
    <s v="DME/PUY"/>
    <s v="PUY"/>
    <x v="4"/>
    <x v="0"/>
    <x v="150"/>
    <x v="3"/>
    <s v="Pula"/>
    <n v="2054"/>
    <n v="6.75"/>
    <m/>
    <n v="0"/>
    <m/>
    <n v="0"/>
    <n v="304.2962962962963"/>
    <n v="0"/>
  </r>
  <r>
    <s v="DME/KAC"/>
    <s v="KAC"/>
    <x v="4"/>
    <x v="1"/>
    <x v="146"/>
    <x v="2"/>
    <s v="Kamishly"/>
    <n v="2060"/>
    <n v="6.75"/>
    <m/>
    <n v="0"/>
    <m/>
    <n v="0"/>
    <n v="305.18518518518516"/>
    <n v="0"/>
  </r>
  <r>
    <s v="DME/ISE"/>
    <s v="ISE"/>
    <x v="4"/>
    <x v="1"/>
    <x v="81"/>
    <x v="2"/>
    <s v="Isparta - Suleyman Demirel"/>
    <n v="2032"/>
    <n v="6.75"/>
    <m/>
    <n v="0"/>
    <m/>
    <n v="0"/>
    <n v="301.03703703703701"/>
    <n v="0"/>
  </r>
  <r>
    <s v="DME/GZT"/>
    <s v="GZT"/>
    <x v="4"/>
    <x v="0"/>
    <x v="81"/>
    <x v="2"/>
    <s v="Gaziantep - Oguzeli"/>
    <n v="2053"/>
    <n v="6.75"/>
    <m/>
    <n v="0"/>
    <m/>
    <n v="0"/>
    <n v="304.14814814814815"/>
    <n v="0"/>
  </r>
  <r>
    <s v="DME/FMM"/>
    <s v="FMM"/>
    <x v="4"/>
    <x v="0"/>
    <x v="19"/>
    <x v="3"/>
    <s v="Memmingen - Allgaeu Airport"/>
    <n v="2060"/>
    <n v="6.75"/>
    <m/>
    <n v="0"/>
    <m/>
    <n v="0"/>
    <n v="305.18518518518516"/>
    <n v="0"/>
  </r>
  <r>
    <s v="DME/DNZ"/>
    <s v="DNZ"/>
    <x v="4"/>
    <x v="0"/>
    <x v="81"/>
    <x v="2"/>
    <s v="Denizli - Cardak"/>
    <n v="2054"/>
    <n v="6.75"/>
    <m/>
    <n v="0"/>
    <m/>
    <n v="0"/>
    <n v="304.2962962962963"/>
    <n v="0"/>
  </r>
  <r>
    <s v="DME/DBV"/>
    <s v="DBV"/>
    <x v="4"/>
    <x v="6"/>
    <x v="150"/>
    <x v="3"/>
    <s v="Dubrovnik"/>
    <n v="2010"/>
    <n v="6.75"/>
    <m/>
    <n v="0"/>
    <m/>
    <n v="0"/>
    <n v="297.77777777777777"/>
    <n v="0"/>
  </r>
  <r>
    <s v="DME/ADB"/>
    <s v="ADB"/>
    <x v="4"/>
    <x v="3"/>
    <x v="81"/>
    <x v="2"/>
    <s v="Izmir - Adnan Menderes"/>
    <n v="2066"/>
    <n v="6.75"/>
    <m/>
    <n v="0"/>
    <m/>
    <n v="0"/>
    <n v="306.07407407407408"/>
    <n v="0"/>
  </r>
  <r>
    <s v="DME/LXS"/>
    <s v="LXS"/>
    <x v="4"/>
    <x v="0"/>
    <x v="17"/>
    <x v="3"/>
    <s v="Limnos"/>
    <n v="1960"/>
    <n v="6.5"/>
    <m/>
    <n v="0"/>
    <m/>
    <n v="0"/>
    <n v="301.53846153846155"/>
    <n v="0"/>
  </r>
  <r>
    <s v="DME/LJU"/>
    <s v="LJU"/>
    <x v="4"/>
    <x v="3"/>
    <x v="151"/>
    <x v="3"/>
    <s v="Ljubljana - Joze Pucnik"/>
    <n v="1924"/>
    <n v="6.5"/>
    <m/>
    <n v="0"/>
    <m/>
    <n v="0"/>
    <n v="296"/>
    <n v="0"/>
  </r>
  <r>
    <s v="DME/KYA"/>
    <s v="KYA"/>
    <x v="4"/>
    <x v="0"/>
    <x v="81"/>
    <x v="2"/>
    <s v="Konya"/>
    <n v="1979"/>
    <n v="6.5"/>
    <m/>
    <n v="0"/>
    <m/>
    <n v="0"/>
    <n v="304.46153846153845"/>
    <n v="0"/>
  </r>
  <r>
    <s v="DME/DIY"/>
    <s v="DIY"/>
    <x v="4"/>
    <x v="0"/>
    <x v="81"/>
    <x v="2"/>
    <s v="Diyarbakir"/>
    <n v="1955"/>
    <n v="6.5"/>
    <m/>
    <n v="0"/>
    <m/>
    <n v="0"/>
    <n v="300.76923076923077"/>
    <n v="0"/>
  </r>
  <r>
    <s v="DME/BGO"/>
    <s v="BGO"/>
    <x v="4"/>
    <x v="3"/>
    <x v="21"/>
    <x v="3"/>
    <s v="Bergen - Flesland"/>
    <n v="1986"/>
    <n v="6.5"/>
    <m/>
    <n v="0"/>
    <m/>
    <n v="0"/>
    <n v="305.53846153846155"/>
    <n v="0"/>
  </r>
  <r>
    <s v="DME/BAL"/>
    <s v="BAL"/>
    <x v="4"/>
    <x v="0"/>
    <x v="81"/>
    <x v="2"/>
    <s v="Batman"/>
    <n v="1959"/>
    <n v="6.5"/>
    <m/>
    <n v="0"/>
    <m/>
    <n v="0"/>
    <n v="301.38461538461536"/>
    <n v="0"/>
  </r>
  <r>
    <s v="DME/ZAG"/>
    <s v="ZAG"/>
    <x v="4"/>
    <x v="3"/>
    <x v="150"/>
    <x v="3"/>
    <s v="Zagreb - Franjo Tudman"/>
    <n v="1867"/>
    <n v="6.25"/>
    <m/>
    <n v="0"/>
    <m/>
    <n v="0"/>
    <n v="298.72000000000003"/>
    <n v="0"/>
  </r>
  <r>
    <s v="DME/YEI"/>
    <s v="YEI"/>
    <x v="4"/>
    <x v="1"/>
    <x v="81"/>
    <x v="2"/>
    <s v="Bursa - Yenisehir"/>
    <n v="1793"/>
    <n v="6.25"/>
    <m/>
    <n v="0"/>
    <m/>
    <n v="0"/>
    <n v="286.88"/>
    <n v="0"/>
  </r>
  <r>
    <s v="DME/NAV"/>
    <s v="NAV"/>
    <x v="4"/>
    <x v="0"/>
    <x v="81"/>
    <x v="2"/>
    <s v="Nevsehir - Kapadokya"/>
    <n v="1867"/>
    <n v="6.25"/>
    <m/>
    <n v="0"/>
    <m/>
    <n v="0"/>
    <n v="298.72000000000003"/>
    <n v="0"/>
  </r>
  <r>
    <s v="DME/NAJ"/>
    <s v="NAJ"/>
    <x v="4"/>
    <x v="1"/>
    <x v="152"/>
    <x v="3"/>
    <s v="Nakchivan"/>
    <n v="1889"/>
    <n v="6.25"/>
    <m/>
    <n v="0"/>
    <m/>
    <n v="0"/>
    <n v="302.24"/>
    <n v="0"/>
  </r>
  <r>
    <s v="DME/MSR"/>
    <s v="MSR"/>
    <x v="4"/>
    <x v="0"/>
    <x v="81"/>
    <x v="2"/>
    <s v="Mus"/>
    <n v="1874"/>
    <n v="6.25"/>
    <m/>
    <n v="0"/>
    <m/>
    <n v="0"/>
    <n v="299.83999999999997"/>
    <n v="0"/>
  </r>
  <r>
    <s v="DME/MLX"/>
    <s v="MLX"/>
    <x v="4"/>
    <x v="0"/>
    <x v="81"/>
    <x v="2"/>
    <s v="Malatya - Erhac"/>
    <n v="1887"/>
    <n v="6.25"/>
    <m/>
    <n v="0"/>
    <m/>
    <n v="0"/>
    <n v="301.92"/>
    <n v="0"/>
  </r>
  <r>
    <s v="DME/LNZ"/>
    <s v="LNZ"/>
    <x v="4"/>
    <x v="0"/>
    <x v="82"/>
    <x v="3"/>
    <s v="Linz - Blue Danube"/>
    <n v="1803"/>
    <n v="6.25"/>
    <m/>
    <n v="0"/>
    <m/>
    <n v="0"/>
    <n v="288.48"/>
    <n v="0"/>
  </r>
  <r>
    <s v="DME/KVA"/>
    <s v="KVA"/>
    <x v="4"/>
    <x v="0"/>
    <x v="17"/>
    <x v="3"/>
    <s v="Kavala - Megas Alexandros"/>
    <n v="1882"/>
    <n v="6.25"/>
    <m/>
    <n v="0"/>
    <m/>
    <n v="0"/>
    <n v="301.12"/>
    <n v="0"/>
  </r>
  <r>
    <s v="DME/KRP"/>
    <s v="KRP"/>
    <x v="4"/>
    <x v="0"/>
    <x v="22"/>
    <x v="3"/>
    <s v="Karup - Midtjyllands"/>
    <n v="1786"/>
    <n v="6.25"/>
    <m/>
    <n v="0"/>
    <m/>
    <n v="0"/>
    <n v="285.76"/>
    <n v="0"/>
  </r>
  <r>
    <s v="DME/HAJ"/>
    <s v="HAJ"/>
    <x v="4"/>
    <x v="3"/>
    <x v="19"/>
    <x v="3"/>
    <s v="Hannover - Airport"/>
    <n v="1862"/>
    <n v="6.25"/>
    <m/>
    <n v="0"/>
    <m/>
    <n v="0"/>
    <n v="297.92"/>
    <n v="0"/>
  </r>
  <r>
    <s v="DME/GYD"/>
    <s v="GYD"/>
    <x v="4"/>
    <x v="3"/>
    <x v="152"/>
    <x v="3"/>
    <s v="Baku - Heydar Aliyev Intl"/>
    <n v="1885"/>
    <n v="6.25"/>
    <m/>
    <n v="0"/>
    <m/>
    <n v="0"/>
    <n v="301.60000000000002"/>
    <n v="0"/>
  </r>
  <r>
    <s v="DME/GRZ"/>
    <s v="GRZ"/>
    <x v="4"/>
    <x v="0"/>
    <x v="82"/>
    <x v="3"/>
    <s v="Graz - Airport"/>
    <n v="1812"/>
    <n v="6.25"/>
    <m/>
    <n v="0"/>
    <m/>
    <n v="0"/>
    <n v="289.92"/>
    <n v="0"/>
  </r>
  <r>
    <s v="DME/EVE"/>
    <s v="EVE"/>
    <x v="4"/>
    <x v="0"/>
    <x v="21"/>
    <x v="3"/>
    <s v="Harstad/Narvik - Evenes"/>
    <n v="1810"/>
    <n v="6.25"/>
    <m/>
    <n v="0"/>
    <m/>
    <n v="0"/>
    <n v="289.60000000000002"/>
    <n v="0"/>
  </r>
  <r>
    <s v="DME/BOO"/>
    <s v="BOO"/>
    <x v="4"/>
    <x v="3"/>
    <x v="21"/>
    <x v="3"/>
    <s v="Bodo"/>
    <n v="1799"/>
    <n v="6.25"/>
    <m/>
    <n v="0"/>
    <m/>
    <n v="0"/>
    <n v="287.83999999999997"/>
    <n v="0"/>
  </r>
  <r>
    <s v="DME/BLL"/>
    <s v="BLL"/>
    <x v="4"/>
    <x v="3"/>
    <x v="22"/>
    <x v="3"/>
    <s v="Billund"/>
    <n v="1795"/>
    <n v="6.25"/>
    <m/>
    <n v="0"/>
    <m/>
    <n v="0"/>
    <n v="287.2"/>
    <n v="0"/>
  </r>
  <r>
    <s v="DME/ASR"/>
    <s v="ASR"/>
    <x v="4"/>
    <x v="0"/>
    <x v="81"/>
    <x v="2"/>
    <s v="Kayseri - Erkilet"/>
    <n v="1859"/>
    <n v="6.25"/>
    <m/>
    <n v="0"/>
    <m/>
    <n v="0"/>
    <n v="297.44"/>
    <n v="0"/>
  </r>
  <r>
    <s v="DME/VAS"/>
    <s v="VAS"/>
    <x v="4"/>
    <x v="0"/>
    <x v="81"/>
    <x v="2"/>
    <s v="Sivas"/>
    <n v="1736"/>
    <n v="6"/>
    <m/>
    <n v="0"/>
    <m/>
    <n v="0"/>
    <n v="289.33333333333331"/>
    <n v="0"/>
  </r>
  <r>
    <s v="DME/TRF"/>
    <s v="TRF"/>
    <x v="4"/>
    <x v="3"/>
    <x v="21"/>
    <x v="3"/>
    <s v="Oslo - Sandefjord-Torp"/>
    <n v="1700"/>
    <n v="6"/>
    <m/>
    <n v="0"/>
    <m/>
    <n v="0"/>
    <n v="283.33333333333331"/>
    <n v="0"/>
  </r>
  <r>
    <s v="DME/TRD"/>
    <s v="TRD"/>
    <x v="4"/>
    <x v="3"/>
    <x v="21"/>
    <x v="3"/>
    <s v="Trondheim - Vaernes"/>
    <n v="1749"/>
    <n v="6"/>
    <m/>
    <n v="0"/>
    <m/>
    <n v="0"/>
    <n v="291.5"/>
    <n v="0"/>
  </r>
  <r>
    <s v="DME/TJM"/>
    <s v="TJM"/>
    <x v="4"/>
    <x v="0"/>
    <x v="73"/>
    <x v="3"/>
    <s v="Tyumen - Roshchino"/>
    <n v="1691"/>
    <n v="6"/>
    <m/>
    <n v="0"/>
    <m/>
    <n v="0"/>
    <n v="281.83333333333331"/>
    <n v="0"/>
  </r>
  <r>
    <s v="DME/TEQ"/>
    <s v="TEQ"/>
    <x v="4"/>
    <x v="1"/>
    <x v="81"/>
    <x v="2"/>
    <s v="Tekirdag - Corlu"/>
    <n v="1746"/>
    <n v="6"/>
    <m/>
    <n v="0"/>
    <m/>
    <n v="0"/>
    <n v="291"/>
    <n v="0"/>
  </r>
  <r>
    <s v="DME/SOF"/>
    <s v="SOF"/>
    <x v="4"/>
    <x v="3"/>
    <x v="153"/>
    <x v="3"/>
    <s v="Sofia"/>
    <n v="1757"/>
    <n v="6"/>
    <m/>
    <n v="0"/>
    <m/>
    <n v="0"/>
    <n v="292.83333333333331"/>
    <n v="0"/>
  </r>
  <r>
    <s v="DME/LWN"/>
    <s v="LWN"/>
    <x v="4"/>
    <x v="1"/>
    <x v="154"/>
    <x v="2"/>
    <s v="Gyumri - Shirak"/>
    <n v="1687"/>
    <n v="6"/>
    <m/>
    <n v="0"/>
    <m/>
    <n v="0"/>
    <n v="281.16666666666669"/>
    <n v="0"/>
  </r>
  <r>
    <s v="DME/LKL"/>
    <s v="LKL"/>
    <x v="4"/>
    <x v="1"/>
    <x v="21"/>
    <x v="3"/>
    <s v="Lakselv - Banak"/>
    <n v="1749"/>
    <n v="6"/>
    <m/>
    <n v="0"/>
    <m/>
    <n v="0"/>
    <n v="291.5"/>
    <n v="0"/>
  </r>
  <r>
    <s v="DME/LEJ"/>
    <s v="LEJ"/>
    <x v="4"/>
    <x v="3"/>
    <x v="19"/>
    <x v="3"/>
    <s v="Leipzig/Halle - Airport"/>
    <n v="1748"/>
    <n v="6"/>
    <m/>
    <n v="0"/>
    <m/>
    <n v="0"/>
    <n v="291.33333333333331"/>
    <n v="0"/>
  </r>
  <r>
    <s v="DME/KSY"/>
    <s v="KSY"/>
    <x v="4"/>
    <x v="0"/>
    <x v="81"/>
    <x v="2"/>
    <s v="Kars"/>
    <n v="1695"/>
    <n v="6"/>
    <m/>
    <n v="0"/>
    <m/>
    <n v="0"/>
    <n v="282.5"/>
    <n v="0"/>
  </r>
  <r>
    <s v="DME/EVN"/>
    <s v="EVN"/>
    <x v="4"/>
    <x v="3"/>
    <x v="154"/>
    <x v="2"/>
    <s v="Yerevan - Zvartnots Intl"/>
    <n v="1763"/>
    <n v="6"/>
    <m/>
    <n v="0"/>
    <m/>
    <n v="0"/>
    <n v="293.83333333333331"/>
    <n v="0"/>
  </r>
  <r>
    <s v="DME/ESB"/>
    <s v="ESB"/>
    <x v="4"/>
    <x v="3"/>
    <x v="81"/>
    <x v="2"/>
    <s v="Ankara - Esenboga"/>
    <n v="1737"/>
    <n v="6"/>
    <m/>
    <n v="0"/>
    <m/>
    <n v="0"/>
    <n v="289.5"/>
    <n v="0"/>
  </r>
  <r>
    <s v="DME/ERZ"/>
    <s v="ERZ"/>
    <x v="4"/>
    <x v="0"/>
    <x v="81"/>
    <x v="2"/>
    <s v="Erzurum"/>
    <n v="1735"/>
    <n v="6"/>
    <m/>
    <n v="0"/>
    <m/>
    <n v="0"/>
    <n v="289.16666666666669"/>
    <n v="0"/>
  </r>
  <r>
    <s v="DME/ERC"/>
    <s v="ERC"/>
    <x v="4"/>
    <x v="0"/>
    <x v="81"/>
    <x v="2"/>
    <s v="Erzincan"/>
    <n v="1750"/>
    <n v="6"/>
    <m/>
    <n v="0"/>
    <m/>
    <n v="0"/>
    <n v="291.66666666666669"/>
    <n v="0"/>
  </r>
  <r>
    <s v="DME/BEG"/>
    <s v="BEG"/>
    <x v="4"/>
    <x v="3"/>
    <x v="155"/>
    <x v="3"/>
    <s v="Belgrade - Metropolitan Area"/>
    <n v="1712"/>
    <n v="6"/>
    <m/>
    <n v="0"/>
    <m/>
    <n v="0"/>
    <n v="285.33333333333331"/>
    <n v="0"/>
  </r>
  <r>
    <s v="DME/AAR"/>
    <s v="AAR"/>
    <x v="4"/>
    <x v="0"/>
    <x v="22"/>
    <x v="3"/>
    <s v="Aarhus - Airport"/>
    <n v="1695"/>
    <n v="6"/>
    <m/>
    <n v="0"/>
    <m/>
    <n v="0"/>
    <n v="282.5"/>
    <n v="0"/>
  </r>
  <r>
    <s v="DME/TSR"/>
    <s v="TSR"/>
    <x v="4"/>
    <x v="0"/>
    <x v="84"/>
    <x v="3"/>
    <s v="Timisoara - Traian Vuia"/>
    <n v="1576"/>
    <n v="5.75"/>
    <m/>
    <n v="0"/>
    <m/>
    <n v="0"/>
    <n v="274.08695652173913"/>
    <n v="0"/>
  </r>
  <r>
    <s v="DME/TBS"/>
    <s v="TBS"/>
    <x v="4"/>
    <x v="0"/>
    <x v="156"/>
    <x v="3"/>
    <s v="Tbilisi - International"/>
    <n v="1611"/>
    <n v="5.75"/>
    <m/>
    <n v="0"/>
    <m/>
    <n v="0"/>
    <n v="280.17391304347825"/>
    <n v="0"/>
  </r>
  <r>
    <s v="DME/SZF"/>
    <s v="SZF"/>
    <x v="4"/>
    <x v="0"/>
    <x v="81"/>
    <x v="2"/>
    <s v="Samsun - Carsamba"/>
    <n v="1576"/>
    <n v="5.75"/>
    <m/>
    <n v="0"/>
    <m/>
    <n v="0"/>
    <n v="274.08695652173913"/>
    <n v="0"/>
  </r>
  <r>
    <s v="DME/SXF"/>
    <s v="SXF"/>
    <x v="4"/>
    <x v="0"/>
    <x v="19"/>
    <x v="3"/>
    <s v="Berlin - Schoenefeld"/>
    <n v="1624"/>
    <n v="5.75"/>
    <m/>
    <n v="0"/>
    <m/>
    <n v="0"/>
    <n v="282.43478260869563"/>
    <n v="0"/>
  </r>
  <r>
    <s v="DME/MZH"/>
    <s v="MZH"/>
    <x v="4"/>
    <x v="1"/>
    <x v="81"/>
    <x v="2"/>
    <s v="Amasya - Merzifon"/>
    <n v="1630"/>
    <n v="5.75"/>
    <m/>
    <n v="0"/>
    <m/>
    <n v="0"/>
    <n v="283.47826086956519"/>
    <n v="0"/>
  </r>
  <r>
    <s v="DME/GOT"/>
    <s v="GOT"/>
    <x v="4"/>
    <x v="3"/>
    <x v="157"/>
    <x v="3"/>
    <s v="Goteborg - Metropolitan Area"/>
    <n v="1581"/>
    <n v="5.75"/>
    <m/>
    <n v="0"/>
    <m/>
    <n v="0"/>
    <n v="274.95652173913044"/>
    <n v="0"/>
  </r>
  <r>
    <s v="DME/DRS"/>
    <s v="DRS"/>
    <x v="4"/>
    <x v="3"/>
    <x v="19"/>
    <x v="3"/>
    <s v="Dresden - Airport"/>
    <n v="1664"/>
    <n v="5.75"/>
    <m/>
    <n v="0"/>
    <m/>
    <n v="0"/>
    <n v="289.39130434782606"/>
    <n v="0"/>
  </r>
  <r>
    <s v="DME/BTS"/>
    <s v="BTS"/>
    <x v="4"/>
    <x v="3"/>
    <x v="158"/>
    <x v="3"/>
    <s v="Bratislava - M.R. Stefanik"/>
    <n v="1626"/>
    <n v="5.75"/>
    <m/>
    <n v="0"/>
    <m/>
    <n v="0"/>
    <n v="282.78260869565219"/>
    <n v="0"/>
  </r>
  <r>
    <s v="DME/BOJ"/>
    <s v="BOJ"/>
    <x v="4"/>
    <x v="3"/>
    <x v="153"/>
    <x v="3"/>
    <s v="Burgas"/>
    <n v="1612"/>
    <n v="5.75"/>
    <m/>
    <n v="0"/>
    <m/>
    <n v="0"/>
    <n v="280.3478260869565"/>
    <n v="0"/>
  </r>
  <r>
    <s v="DME/OTP"/>
    <s v="OTP"/>
    <x v="4"/>
    <x v="3"/>
    <x v="84"/>
    <x v="3"/>
    <s v="Bucharest - Henri Coanda"/>
    <n v="1467"/>
    <n v="5.5"/>
    <m/>
    <n v="0"/>
    <m/>
    <n v="0"/>
    <n v="266.72727272727275"/>
    <n v="0"/>
  </r>
  <r>
    <s v="DME/OSR"/>
    <s v="OSR"/>
    <x v="4"/>
    <x v="0"/>
    <x v="20"/>
    <x v="3"/>
    <s v="Ostrava - Leos Janacek"/>
    <n v="1474"/>
    <n v="5.5"/>
    <m/>
    <n v="0"/>
    <m/>
    <n v="0"/>
    <n v="268"/>
    <n v="0"/>
  </r>
  <r>
    <s v="DME/MMX"/>
    <s v="MMX"/>
    <x v="4"/>
    <x v="3"/>
    <x v="157"/>
    <x v="3"/>
    <s v="Malmo - Airport"/>
    <n v="1538"/>
    <n v="5.5"/>
    <m/>
    <n v="0"/>
    <m/>
    <n v="0"/>
    <n v="279.63636363636363"/>
    <n v="0"/>
  </r>
  <r>
    <s v="DME/CEK"/>
    <s v="CEK"/>
    <x v="4"/>
    <x v="3"/>
    <x v="73"/>
    <x v="3"/>
    <s v="Chelyabinsk - Balandino"/>
    <n v="1484"/>
    <n v="5.5"/>
    <m/>
    <n v="0"/>
    <m/>
    <n v="0"/>
    <n v="269.81818181818181"/>
    <n v="0"/>
  </r>
  <r>
    <s v="DME/SVX"/>
    <s v="SVX"/>
    <x v="4"/>
    <x v="3"/>
    <x v="73"/>
    <x v="3"/>
    <s v="Yekaterinburg - Koltsovo"/>
    <n v="1422"/>
    <n v="5.25"/>
    <m/>
    <n v="0"/>
    <m/>
    <n v="0"/>
    <n v="270.85714285714283"/>
    <n v="0"/>
  </r>
  <r>
    <s v="DME/SBZ"/>
    <s v="SBZ"/>
    <x v="4"/>
    <x v="0"/>
    <x v="84"/>
    <x v="3"/>
    <s v="Sibiu"/>
    <n v="1442"/>
    <n v="5.25"/>
    <m/>
    <n v="0"/>
    <m/>
    <n v="0"/>
    <n v="274.66666666666669"/>
    <n v="0"/>
  </r>
  <r>
    <s v="DME/RVN"/>
    <s v="RVN"/>
    <x v="4"/>
    <x v="0"/>
    <x v="24"/>
    <x v="3"/>
    <s v="Rovaniemi"/>
    <n v="1395"/>
    <n v="5.25"/>
    <m/>
    <n v="0"/>
    <m/>
    <n v="0"/>
    <n v="265.71428571428572"/>
    <n v="0"/>
  </r>
  <r>
    <s v="DME/OGZ"/>
    <s v="OGZ"/>
    <x v="4"/>
    <x v="0"/>
    <x v="73"/>
    <x v="3"/>
    <s v="Vladikavkaz - Beslan"/>
    <n v="1440"/>
    <n v="5.25"/>
    <m/>
    <n v="0"/>
    <m/>
    <n v="0"/>
    <n v="274.28571428571428"/>
    <n v="0"/>
  </r>
  <r>
    <s v="DME/LLA"/>
    <s v="LLA"/>
    <x v="4"/>
    <x v="0"/>
    <x v="157"/>
    <x v="3"/>
    <s v="Lulea - Kallax"/>
    <n v="1412"/>
    <n v="5.25"/>
    <m/>
    <n v="0"/>
    <m/>
    <n v="0"/>
    <n v="268.95238095238096"/>
    <n v="0"/>
  </r>
  <r>
    <s v="DME/KTW"/>
    <s v="KTW"/>
    <x v="4"/>
    <x v="3"/>
    <x v="23"/>
    <x v="3"/>
    <s v="Katowice - Pyrzowice"/>
    <n v="1370"/>
    <n v="5.25"/>
    <m/>
    <n v="0"/>
    <m/>
    <n v="0"/>
    <n v="260.95238095238096"/>
    <n v="0"/>
  </r>
  <r>
    <s v="DME/KSC"/>
    <s v="KSC"/>
    <x v="4"/>
    <x v="0"/>
    <x v="158"/>
    <x v="3"/>
    <s v="Kosice"/>
    <n v="1359"/>
    <n v="5.25"/>
    <m/>
    <n v="0"/>
    <m/>
    <n v="0"/>
    <n v="258.85714285714283"/>
    <n v="0"/>
  </r>
  <r>
    <s v="DME/CND"/>
    <s v="CND"/>
    <x v="4"/>
    <x v="0"/>
    <x v="84"/>
    <x v="3"/>
    <s v="Constanta - Mihail Kogalniceanu"/>
    <n v="1398"/>
    <n v="5.25"/>
    <m/>
    <n v="0"/>
    <m/>
    <n v="0"/>
    <n v="266.28571428571428"/>
    <n v="0"/>
  </r>
  <r>
    <s v="DME/AKX"/>
    <s v="AKX"/>
    <x v="4"/>
    <x v="0"/>
    <x v="138"/>
    <x v="3"/>
    <s v="Aktobe"/>
    <n v="1412"/>
    <n v="5.25"/>
    <m/>
    <n v="0"/>
    <m/>
    <n v="0"/>
    <n v="268.95238095238096"/>
    <n v="0"/>
  </r>
  <r>
    <s v="DME/NYO"/>
    <s v="NYO"/>
    <x v="4"/>
    <x v="3"/>
    <x v="157"/>
    <x v="3"/>
    <s v="Stockholm - Skavsta"/>
    <n v="1316"/>
    <n v="5"/>
    <m/>
    <n v="0"/>
    <m/>
    <n v="0"/>
    <n v="263.2"/>
    <n v="0"/>
  </r>
  <r>
    <s v="DME/MRV"/>
    <s v="MRV"/>
    <x v="4"/>
    <x v="0"/>
    <x v="73"/>
    <x v="3"/>
    <s v="Mineralnye Vody"/>
    <n v="1297"/>
    <n v="5"/>
    <m/>
    <n v="0"/>
    <m/>
    <n v="0"/>
    <n v="259.39999999999998"/>
    <n v="0"/>
  </r>
  <r>
    <s v="DME/GUW"/>
    <s v="GUW"/>
    <x v="4"/>
    <x v="1"/>
    <x v="138"/>
    <x v="3"/>
    <s v="Atyrau"/>
    <n v="1332"/>
    <n v="5"/>
    <m/>
    <n v="0"/>
    <m/>
    <n v="0"/>
    <n v="266.39999999999998"/>
    <n v="0"/>
  </r>
  <r>
    <s v="DME/GDN"/>
    <s v="GDN"/>
    <x v="4"/>
    <x v="3"/>
    <x v="23"/>
    <x v="3"/>
    <s v="Gdansk - Lech Walesa"/>
    <n v="1244"/>
    <n v="5"/>
    <m/>
    <n v="0"/>
    <m/>
    <n v="0"/>
    <n v="248.8"/>
    <n v="0"/>
  </r>
  <r>
    <s v="DME/ARN"/>
    <s v="ARN"/>
    <x v="4"/>
    <x v="3"/>
    <x v="157"/>
    <x v="3"/>
    <s v="Stockholm - Arlanda"/>
    <n v="1277"/>
    <n v="5"/>
    <m/>
    <n v="0"/>
    <m/>
    <n v="0"/>
    <n v="255.4"/>
    <n v="0"/>
  </r>
  <r>
    <s v="DME/AER"/>
    <s v="AER"/>
    <x v="4"/>
    <x v="3"/>
    <x v="73"/>
    <x v="3"/>
    <s v="Sochi - International"/>
    <n v="1338"/>
    <n v="5"/>
    <m/>
    <n v="0"/>
    <m/>
    <n v="0"/>
    <n v="267.60000000000002"/>
    <n v="0"/>
  </r>
  <r>
    <s v="DME/UFA"/>
    <s v="UFA"/>
    <x v="4"/>
    <x v="0"/>
    <x v="73"/>
    <x v="3"/>
    <s v="Ufa"/>
    <n v="1147"/>
    <n v="4.75"/>
    <m/>
    <n v="0"/>
    <m/>
    <n v="0"/>
    <n v="241.47368421052633"/>
    <n v="0"/>
  </r>
  <r>
    <s v="DME/SIP"/>
    <s v="SIP"/>
    <x v="4"/>
    <x v="0"/>
    <x v="159"/>
    <x v="3"/>
    <s v="Simferopol - International"/>
    <n v="1184"/>
    <n v="4.75"/>
    <m/>
    <n v="0"/>
    <m/>
    <n v="0"/>
    <n v="249.26315789473685"/>
    <n v="0"/>
  </r>
  <r>
    <s v="DME/RZE"/>
    <s v="RZE"/>
    <x v="4"/>
    <x v="0"/>
    <x v="23"/>
    <x v="3"/>
    <s v="Rzeszow - Jasionka"/>
    <n v="1217"/>
    <n v="4.75"/>
    <m/>
    <n v="0"/>
    <m/>
    <n v="0"/>
    <n v="256.21052631578948"/>
    <n v="0"/>
  </r>
  <r>
    <s v="DME/PEE"/>
    <s v="PEE"/>
    <x v="4"/>
    <x v="0"/>
    <x v="73"/>
    <x v="3"/>
    <s v="Perm - Bolshoye Savino"/>
    <n v="1138"/>
    <n v="4.75"/>
    <m/>
    <n v="0"/>
    <m/>
    <n v="0"/>
    <n v="239.57894736842104"/>
    <n v="0"/>
  </r>
  <r>
    <s v="DME/ODS"/>
    <s v="ODS"/>
    <x v="4"/>
    <x v="3"/>
    <x v="159"/>
    <x v="3"/>
    <s v="Odesa - International"/>
    <n v="1118"/>
    <n v="4.75"/>
    <m/>
    <n v="0"/>
    <m/>
    <n v="0"/>
    <n v="235.36842105263159"/>
    <n v="0"/>
  </r>
  <r>
    <s v="DME/KRR"/>
    <s v="KRR"/>
    <x v="4"/>
    <x v="3"/>
    <x v="73"/>
    <x v="3"/>
    <s v="Krasnodar - Pashkovsky"/>
    <n v="1157"/>
    <n v="4.75"/>
    <m/>
    <n v="0"/>
    <m/>
    <n v="0"/>
    <n v="243.57894736842104"/>
    <n v="0"/>
  </r>
  <r>
    <s v="DME/KIV"/>
    <s v="KIV"/>
    <x v="4"/>
    <x v="0"/>
    <x v="160"/>
    <x v="3"/>
    <s v="Chisinau - International"/>
    <n v="1130"/>
    <n v="4.75"/>
    <m/>
    <n v="0"/>
    <m/>
    <n v="0"/>
    <n v="237.89473684210526"/>
    <n v="0"/>
  </r>
  <r>
    <s v="DME/KUO"/>
    <s v="KUO"/>
    <x v="4"/>
    <x v="0"/>
    <x v="24"/>
    <x v="3"/>
    <s v="Kuopio"/>
    <n v="1020"/>
    <n v="4.5"/>
    <m/>
    <n v="0"/>
    <m/>
    <n v="0"/>
    <n v="226.66666666666666"/>
    <n v="0"/>
  </r>
  <r>
    <s v="DME/TLL"/>
    <s v="TLL"/>
    <x v="4"/>
    <x v="3"/>
    <x v="161"/>
    <x v="3"/>
    <s v="Tallinn - Lennart Meri"/>
    <n v="900"/>
    <n v="4.25"/>
    <m/>
    <n v="0"/>
    <m/>
    <n v="0"/>
    <n v="211.76470588235293"/>
    <n v="0"/>
  </r>
  <r>
    <s v="DME/SQQ"/>
    <s v="SQQ"/>
    <x v="4"/>
    <x v="1"/>
    <x v="162"/>
    <x v="3"/>
    <s v="Siauliai - International"/>
    <n v="910"/>
    <n v="4.25"/>
    <m/>
    <n v="0"/>
    <m/>
    <n v="0"/>
    <n v="214.11764705882354"/>
    <n v="0"/>
  </r>
  <r>
    <s v="DME/RIX"/>
    <s v="RIX"/>
    <x v="4"/>
    <x v="3"/>
    <x v="163"/>
    <x v="3"/>
    <s v="Riga - International"/>
    <n v="877"/>
    <n v="4"/>
    <m/>
    <n v="0"/>
    <m/>
    <n v="0"/>
    <n v="219.25"/>
    <n v="0"/>
  </r>
  <r>
    <s v="DME/KUN"/>
    <s v="KUN"/>
    <x v="4"/>
    <x v="6"/>
    <x v="162"/>
    <x v="3"/>
    <s v="Kaunas - International"/>
    <n v="877"/>
    <n v="4"/>
    <m/>
    <n v="0"/>
    <m/>
    <n v="0"/>
    <n v="219.25"/>
    <n v="0"/>
  </r>
  <r>
    <s v="DME/KUF"/>
    <s v="KUF"/>
    <x v="4"/>
    <x v="0"/>
    <x v="73"/>
    <x v="3"/>
    <s v="Samara - Kurumoch Int'l"/>
    <n v="818"/>
    <n v="4"/>
    <m/>
    <n v="0"/>
    <m/>
    <n v="0"/>
    <n v="204.5"/>
    <n v="0"/>
  </r>
  <r>
    <s v="DME/DNK"/>
    <s v="DNK"/>
    <x v="4"/>
    <x v="3"/>
    <x v="159"/>
    <x v="3"/>
    <s v="Dnipropetrovsk - International"/>
    <n v="807"/>
    <n v="4"/>
    <m/>
    <n v="0"/>
    <m/>
    <n v="0"/>
    <n v="201.75"/>
    <n v="0"/>
  </r>
  <r>
    <s v="DME/ULY"/>
    <s v="ULY"/>
    <x v="4"/>
    <x v="0"/>
    <x v="73"/>
    <x v="3"/>
    <s v="Ulyanovsk - Vostochny"/>
    <n v="705"/>
    <n v="3.75"/>
    <m/>
    <n v="0"/>
    <m/>
    <n v="0"/>
    <n v="188"/>
    <n v="0"/>
  </r>
  <r>
    <s v="DME/KZN"/>
    <s v="KZN"/>
    <x v="4"/>
    <x v="0"/>
    <x v="73"/>
    <x v="3"/>
    <s v="Kazan - International"/>
    <n v="716"/>
    <n v="3.75"/>
    <m/>
    <n v="0"/>
    <m/>
    <n v="0"/>
    <n v="190.93333333333334"/>
    <n v="0"/>
  </r>
  <r>
    <s v="DME/KBP"/>
    <s v="KBP"/>
    <x v="4"/>
    <x v="3"/>
    <x v="159"/>
    <x v="3"/>
    <s v="Kyiv - Boryspil Intl"/>
    <n v="733"/>
    <n v="3.75"/>
    <m/>
    <n v="0"/>
    <m/>
    <n v="0"/>
    <n v="195.46666666666667"/>
    <n v="0"/>
  </r>
  <r>
    <s v="DME/MSQ"/>
    <s v="MSQ"/>
    <x v="4"/>
    <x v="0"/>
    <x v="164"/>
    <x v="3"/>
    <s v="Minsk - Metropolitan Area"/>
    <n v="657"/>
    <n v="3.5"/>
    <m/>
    <n v="0"/>
    <m/>
    <n v="0"/>
    <n v="187.71428571428572"/>
    <n v="0"/>
  </r>
  <r>
    <s v="DME/LED"/>
    <s v="LED"/>
    <x v="4"/>
    <x v="3"/>
    <x v="73"/>
    <x v="3"/>
    <s v="St Petersburg - Metropolitan Area"/>
    <n v="667"/>
    <n v="3.5"/>
    <m/>
    <n v="0"/>
    <m/>
    <n v="0"/>
    <n v="190.57142857142858"/>
    <n v="0"/>
  </r>
  <r>
    <s v="DME/GOJ"/>
    <s v="GOJ"/>
    <x v="4"/>
    <x v="0"/>
    <x v="73"/>
    <x v="3"/>
    <s v="Nizhny Novgorod - Strigino"/>
    <n v="378"/>
    <n v="3"/>
    <m/>
    <n v="0"/>
    <m/>
    <n v="0"/>
    <n v="126"/>
    <n v="0"/>
  </r>
  <r>
    <s v="DME/ZIA"/>
    <s v="ZIA"/>
    <x v="4"/>
    <x v="3"/>
    <x v="73"/>
    <x v="3"/>
    <s v="Moscow Oblast - Zhukovsky Airport"/>
    <n v="21"/>
    <n v="2.25"/>
    <m/>
    <n v="0"/>
    <m/>
    <n v="0"/>
    <n v="9.3333333333333339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5">
  <r>
    <s v="PEK/RGN"/>
    <s v="RGN"/>
    <x v="0"/>
    <x v="0"/>
    <x v="0"/>
    <x v="0"/>
    <x v="0"/>
    <n v="3244"/>
    <x v="0"/>
    <n v="187145076"/>
    <n v="32434.155285961871"/>
    <n v="5770"/>
    <n v="6135"/>
    <n v="2175"/>
    <n v="1"/>
    <n v="9.25"/>
    <n v="911"/>
    <n v="3960"/>
    <n v="3607560"/>
  </r>
  <r>
    <s v="PEK/TAS"/>
    <s v="TAS"/>
    <x v="0"/>
    <x v="0"/>
    <x v="1"/>
    <x v="0"/>
    <x v="1"/>
    <n v="3942"/>
    <x v="1"/>
    <n v="185633937"/>
    <n v="45576.709305180455"/>
    <n v="4073"/>
    <n v="4210"/>
    <n v="1570"/>
    <n v="1"/>
    <n v="10.75"/>
    <n v="1207"/>
    <n v="2640"/>
    <n v="3186480"/>
  </r>
  <r>
    <s v="PEK/OMS"/>
    <s v="OMS"/>
    <x v="0"/>
    <x v="0"/>
    <x v="2"/>
    <x v="1"/>
    <x v="2"/>
    <n v="3571"/>
    <x v="2"/>
    <n v="191644646"/>
    <n v="47331.35243269943"/>
    <n v="4049"/>
    <n v="4252"/>
    <n v="1612"/>
    <n v="1"/>
    <n v="10"/>
    <n v="1042"/>
    <n v="2640"/>
    <n v="2750880"/>
  </r>
  <r>
    <s v="PEK/CEB"/>
    <s v="CEB"/>
    <x v="0"/>
    <x v="0"/>
    <x v="3"/>
    <x v="0"/>
    <x v="3"/>
    <n v="3390"/>
    <x v="3"/>
    <n v="190731597"/>
    <n v="40615.757453151622"/>
    <n v="4696"/>
    <n v="4885"/>
    <n v="2245"/>
    <n v="1"/>
    <n v="9.75"/>
    <n v="1029"/>
    <n v="2640"/>
    <n v="2716560"/>
  </r>
  <r>
    <s v="PEK/SGN"/>
    <s v="SGN"/>
    <x v="0"/>
    <x v="1"/>
    <x v="4"/>
    <x v="0"/>
    <x v="4"/>
    <n v="3398"/>
    <x v="3"/>
    <n v="203235618"/>
    <n v="41578.481587561371"/>
    <n v="4888"/>
    <n v="5214"/>
    <n v="2574"/>
    <n v="1"/>
    <n v="9.75"/>
    <n v="938"/>
    <n v="2640"/>
    <n v="2476320"/>
  </r>
  <r>
    <s v="PEK/ALA"/>
    <s v="ALA"/>
    <x v="0"/>
    <x v="0"/>
    <x v="5"/>
    <x v="1"/>
    <x v="5"/>
    <n v="3272"/>
    <x v="0"/>
    <n v="184884689"/>
    <n v="45071.840321794247"/>
    <n v="4102"/>
    <n v="4293"/>
    <n v="1653"/>
    <n v="1"/>
    <n v="9.25"/>
    <n v="975"/>
    <n v="2640"/>
    <n v="2574000"/>
  </r>
  <r>
    <s v="PEK/DAD"/>
    <s v="DAD"/>
    <x v="0"/>
    <x v="0"/>
    <x v="4"/>
    <x v="0"/>
    <x v="6"/>
    <n v="2793"/>
    <x v="4"/>
    <n v="170028094"/>
    <n v="43697.78822924698"/>
    <n v="3891"/>
    <n v="4113"/>
    <n v="1473"/>
    <n v="1"/>
    <n v="8.25"/>
    <n v="817"/>
    <n v="2640"/>
    <n v="2156880"/>
  </r>
  <r>
    <s v="PEK/CRK"/>
    <s v="CRK"/>
    <x v="0"/>
    <x v="2"/>
    <x v="3"/>
    <x v="0"/>
    <x v="7"/>
    <n v="2795"/>
    <x v="4"/>
    <n v="165073080"/>
    <n v="43497.517786561264"/>
    <n v="3795"/>
    <n v="3998"/>
    <n v="1358"/>
    <n v="1"/>
    <n v="8.25"/>
    <n v="828"/>
    <n v="2640"/>
    <n v="2185920"/>
  </r>
  <r>
    <s v="PEK/AQJ"/>
    <s v="AQJ"/>
    <x v="0"/>
    <x v="0"/>
    <x v="6"/>
    <x v="0"/>
    <x v="8"/>
    <n v="7278"/>
    <x v="5"/>
    <n v="199053904"/>
    <n v="72304.360334180892"/>
    <n v="2753"/>
    <n v="2845"/>
    <n v="2845"/>
    <n v="2"/>
    <n v="36.5"/>
    <n v="0"/>
    <n v="0"/>
    <n v="0"/>
  </r>
  <r>
    <s v="PEK/AMM"/>
    <s v="AMM"/>
    <x v="0"/>
    <x v="1"/>
    <x v="6"/>
    <x v="0"/>
    <x v="9"/>
    <n v="7071"/>
    <x v="6"/>
    <n v="223651691"/>
    <n v="61341.659626988483"/>
    <n v="3646"/>
    <n v="3840"/>
    <n v="3840"/>
    <n v="2"/>
    <n v="35.5"/>
    <n v="0"/>
    <n v="0"/>
    <n v="0"/>
  </r>
  <r>
    <s v="PEK/DAM"/>
    <s v="DAM"/>
    <x v="0"/>
    <x v="0"/>
    <x v="7"/>
    <x v="0"/>
    <x v="10"/>
    <n v="6930"/>
    <x v="7"/>
    <n v="220001029"/>
    <n v="58651.300719808052"/>
    <n v="3751"/>
    <n v="3977"/>
    <n v="3977"/>
    <n v="3"/>
    <n v="52.5"/>
    <n v="1859"/>
    <n v="0"/>
    <n v="0"/>
  </r>
  <r>
    <s v="PEK/CEK"/>
    <s v="CEK"/>
    <x v="0"/>
    <x v="0"/>
    <x v="2"/>
    <x v="1"/>
    <x v="11"/>
    <n v="4322"/>
    <x v="8"/>
    <n v="199190194"/>
    <n v="51831.952641165757"/>
    <n v="3843"/>
    <n v="4100"/>
    <n v="4100"/>
    <n v="3"/>
    <n v="35.25"/>
    <n v="1167"/>
    <n v="0"/>
    <n v="0"/>
  </r>
  <r>
    <s v="PEK/ISB"/>
    <s v="ISB"/>
    <x v="0"/>
    <x v="0"/>
    <x v="8"/>
    <x v="0"/>
    <x v="12"/>
    <n v="3897"/>
    <x v="1"/>
    <n v="193744268"/>
    <n v="39636.716039279869"/>
    <n v="4888"/>
    <n v="5116"/>
    <n v="2476"/>
    <n v="1"/>
    <n v="10.75"/>
    <n v="1142"/>
    <n v="2640"/>
    <n v="3014880"/>
  </r>
  <r>
    <s v="PEK/LHE"/>
    <s v="LHE"/>
    <x v="0"/>
    <x v="0"/>
    <x v="8"/>
    <x v="0"/>
    <x v="13"/>
    <n v="3884"/>
    <x v="1"/>
    <n v="189140471"/>
    <n v="40225.536154827736"/>
    <n v="4702"/>
    <n v="4875"/>
    <n v="2235"/>
    <n v="1"/>
    <n v="10.75"/>
    <n v="1178"/>
    <n v="2640"/>
    <n v="3109920"/>
  </r>
  <r>
    <s v="PEK/AOJ"/>
    <s v="AOJ"/>
    <x v="0"/>
    <x v="0"/>
    <x v="9"/>
    <x v="0"/>
    <x v="14"/>
    <n v="2036"/>
    <x v="9"/>
    <n v="162442347"/>
    <n v="66384.285655905187"/>
    <n v="2447"/>
    <n v="2537"/>
    <n v="2537"/>
    <n v="1"/>
    <n v="6.75"/>
    <n v="668"/>
    <n v="0"/>
    <n v="0"/>
  </r>
  <r>
    <s v="PEK/YOW"/>
    <s v="YOW"/>
    <x v="0"/>
    <x v="0"/>
    <x v="10"/>
    <x v="2"/>
    <x v="15"/>
    <n v="10443"/>
    <x v="10"/>
    <n v="257402866"/>
    <n v="90955.076325088346"/>
    <n v="2830"/>
    <n v="2953"/>
    <n v="-2327"/>
    <n v="-1"/>
    <n v="-25.25"/>
    <n v="2920"/>
    <n v="5280"/>
    <n v="15417600"/>
  </r>
  <r>
    <s v="PEK/BHV"/>
    <s v="BHV"/>
    <x v="0"/>
    <x v="1"/>
    <x v="8"/>
    <x v="0"/>
    <x v="16"/>
    <n v="4224"/>
    <x v="11"/>
    <n v="205350760"/>
    <n v="39211.525682642736"/>
    <n v="5237"/>
    <n v="5587"/>
    <n v="307"/>
    <n v="0"/>
    <n v="0"/>
    <n v="1143"/>
    <n v="5280"/>
    <n v="6035040"/>
  </r>
  <r>
    <s v="PEK/YUL"/>
    <s v="YUL"/>
    <x v="0"/>
    <x v="1"/>
    <x v="10"/>
    <x v="2"/>
    <x v="17"/>
    <n v="10449"/>
    <x v="10"/>
    <n v="270664065"/>
    <n v="85788.927099841516"/>
    <n v="3155"/>
    <n v="3355"/>
    <n v="715"/>
    <n v="0"/>
    <n v="0"/>
    <n v="2720"/>
    <n v="2640"/>
    <n v="7180800"/>
  </r>
  <r>
    <s v="PEK/AZR"/>
    <s v="AZR"/>
    <x v="0"/>
    <x v="3"/>
    <x v="11"/>
    <x v="3"/>
    <x v="18"/>
    <n v="10036"/>
    <x v="12"/>
    <n v="224992689"/>
    <n v="80961.744872256211"/>
    <n v="2779"/>
    <n v="2881"/>
    <n v="241"/>
    <n v="0"/>
    <n v="0"/>
    <n v="2875"/>
    <n v="2640"/>
    <n v="7590000"/>
  </r>
  <r>
    <s v="PEK/DEN"/>
    <s v="DEN"/>
    <x v="0"/>
    <x v="4"/>
    <x v="12"/>
    <x v="4"/>
    <x v="19"/>
    <n v="10194"/>
    <x v="13"/>
    <n v="291861936"/>
    <n v="89720.853366123585"/>
    <n v="3253"/>
    <n v="3383"/>
    <n v="743"/>
    <n v="0"/>
    <n v="0"/>
    <n v="2886"/>
    <n v="2640"/>
    <n v="7619040"/>
  </r>
  <r>
    <s v="PEK/OZZ"/>
    <s v="OZZ"/>
    <x v="0"/>
    <x v="2"/>
    <x v="13"/>
    <x v="3"/>
    <x v="20"/>
    <n v="10208"/>
    <x v="13"/>
    <n v="227329073"/>
    <n v="64914.069960022847"/>
    <n v="3502"/>
    <n v="3678"/>
    <n v="1038"/>
    <n v="0"/>
    <n v="0"/>
    <n v="2791"/>
    <n v="2640"/>
    <n v="7368240"/>
  </r>
  <r>
    <s v="PEK/RMF"/>
    <s v="RMF"/>
    <x v="0"/>
    <x v="2"/>
    <x v="14"/>
    <x v="3"/>
    <x v="21"/>
    <n v="7568"/>
    <x v="14"/>
    <n v="213615224"/>
    <n v="64167.985581255634"/>
    <n v="3329"/>
    <n v="3529"/>
    <n v="889"/>
    <n v="0"/>
    <n v="0"/>
    <n v="2022"/>
    <n v="2640"/>
    <n v="5338080"/>
  </r>
  <r>
    <s v="PEK/SAN"/>
    <s v="SAN"/>
    <x v="0"/>
    <x v="1"/>
    <x v="12"/>
    <x v="4"/>
    <x v="22"/>
    <n v="10215"/>
    <x v="13"/>
    <n v="273078974"/>
    <n v="93424.212795073559"/>
    <n v="2923"/>
    <n v="3070"/>
    <n v="430"/>
    <n v="0"/>
    <n v="0"/>
    <n v="2793"/>
    <n v="2640"/>
    <n v="7373520"/>
  </r>
  <r>
    <s v="PEK/AYT"/>
    <s v="AYT"/>
    <x v="0"/>
    <x v="1"/>
    <x v="15"/>
    <x v="0"/>
    <x v="23"/>
    <n v="7167"/>
    <x v="15"/>
    <n v="242235020"/>
    <n v="57023.309792843691"/>
    <n v="4248"/>
    <n v="4461"/>
    <n v="501"/>
    <n v="0"/>
    <n v="0"/>
    <n v="1989"/>
    <n v="3960"/>
    <n v="7876440"/>
  </r>
  <r>
    <s v="PEK/KHI"/>
    <s v="KHI"/>
    <x v="0"/>
    <x v="0"/>
    <x v="8"/>
    <x v="0"/>
    <x v="24"/>
    <n v="4865"/>
    <x v="16"/>
    <n v="204960972"/>
    <n v="45375.464246181094"/>
    <n v="4517"/>
    <n v="4713"/>
    <n v="753"/>
    <n v="0"/>
    <n v="0"/>
    <n v="1416"/>
    <n v="3960"/>
    <n v="5607360"/>
  </r>
  <r>
    <s v="PEK/LYP"/>
    <s v="LYP"/>
    <x v="0"/>
    <x v="2"/>
    <x v="8"/>
    <x v="0"/>
    <x v="25"/>
    <n v="4011"/>
    <x v="17"/>
    <n v="170702230"/>
    <n v="43814.740759753593"/>
    <n v="3896"/>
    <n v="4091"/>
    <n v="131"/>
    <n v="0"/>
    <n v="0"/>
    <n v="1158"/>
    <n v="3960"/>
    <n v="4585680"/>
  </r>
  <r>
    <s v="PEK/MDL"/>
    <s v="MDL"/>
    <x v="0"/>
    <x v="0"/>
    <x v="0"/>
    <x v="0"/>
    <x v="26"/>
    <n v="2822"/>
    <x v="18"/>
    <n v="170131801"/>
    <n v="37790.271212794316"/>
    <n v="4502"/>
    <n v="4802"/>
    <n v="842"/>
    <n v="0"/>
    <n v="0"/>
    <n v="795"/>
    <n v="3960"/>
    <n v="3148200"/>
  </r>
  <r>
    <s v="PEK/RUH"/>
    <s v="RUH"/>
    <x v="0"/>
    <x v="4"/>
    <x v="16"/>
    <x v="0"/>
    <x v="27"/>
    <n v="6598"/>
    <x v="19"/>
    <n v="239644772"/>
    <n v="62783.539952842548"/>
    <n v="3817"/>
    <n v="3969"/>
    <n v="9"/>
    <n v="0"/>
    <n v="0"/>
    <n v="1905"/>
    <n v="3960"/>
    <n v="7543800"/>
  </r>
  <r>
    <s v="PEK/SAH"/>
    <s v="SAH"/>
    <x v="0"/>
    <x v="0"/>
    <x v="17"/>
    <x v="0"/>
    <x v="28"/>
    <n v="7421"/>
    <x v="20"/>
    <n v="216552284"/>
    <n v="53681.775904809125"/>
    <n v="4034"/>
    <n v="4289"/>
    <n v="329"/>
    <n v="0"/>
    <n v="0"/>
    <n v="1960"/>
    <n v="3960"/>
    <n v="7761600"/>
  </r>
  <r>
    <s v="PEK/SVO"/>
    <s v="SVO"/>
    <x v="0"/>
    <x v="1"/>
    <x v="2"/>
    <x v="1"/>
    <x v="29"/>
    <n v="5796"/>
    <x v="21"/>
    <n v="225653938"/>
    <n v="58414.169816205023"/>
    <n v="3863"/>
    <n v="4069"/>
    <n v="109"/>
    <n v="0"/>
    <n v="0"/>
    <n v="1609"/>
    <n v="3960"/>
    <n v="6371640"/>
  </r>
  <r>
    <s v="PEK/ESB"/>
    <s v="ESB"/>
    <x v="0"/>
    <x v="0"/>
    <x v="15"/>
    <x v="0"/>
    <x v="30"/>
    <n v="6817"/>
    <x v="22"/>
    <n v="224506797"/>
    <n v="59709.254521276598"/>
    <n v="3760"/>
    <n v="3961"/>
    <n v="-3959"/>
    <n v="-2"/>
    <n v="-34.5"/>
    <n v="1875"/>
    <n v="7920"/>
    <n v="14850000"/>
  </r>
  <r>
    <s v="PEK/FKI"/>
    <s v="FKI"/>
    <x v="0"/>
    <x v="2"/>
    <x v="18"/>
    <x v="3"/>
    <x v="31"/>
    <n v="10081"/>
    <x v="23"/>
    <n v="234116034"/>
    <n v="48351.101610904581"/>
    <n v="4842"/>
    <n v="5036"/>
    <n v="1076"/>
    <n v="0"/>
    <n v="0"/>
    <n v="2855"/>
    <n v="3960"/>
    <n v="11305800"/>
  </r>
  <r>
    <s v="PEK/KGL"/>
    <s v="KGL"/>
    <x v="0"/>
    <x v="2"/>
    <x v="19"/>
    <x v="3"/>
    <x v="32"/>
    <n v="9849"/>
    <x v="24"/>
    <n v="228892371"/>
    <n v="56156.126349362123"/>
    <n v="4076"/>
    <n v="4348"/>
    <n v="388"/>
    <n v="0"/>
    <n v="0"/>
    <n v="2538"/>
    <n v="3960"/>
    <n v="10050480"/>
  </r>
  <r>
    <s v="PEK/LLW"/>
    <s v="LLW"/>
    <x v="0"/>
    <x v="2"/>
    <x v="20"/>
    <x v="3"/>
    <x v="33"/>
    <n v="10395"/>
    <x v="10"/>
    <n v="235540557"/>
    <n v="53241.536392405062"/>
    <n v="4424"/>
    <n v="4616"/>
    <n v="656"/>
    <n v="0"/>
    <n v="0"/>
    <n v="2907"/>
    <n v="3960"/>
    <n v="11511720"/>
  </r>
  <r>
    <s v="PEK/MBA"/>
    <s v="MBA"/>
    <x v="0"/>
    <x v="2"/>
    <x v="21"/>
    <x v="3"/>
    <x v="34"/>
    <n v="9201"/>
    <x v="25"/>
    <n v="233821334"/>
    <n v="54823.290504103163"/>
    <n v="4265"/>
    <n v="4479"/>
    <n v="519"/>
    <n v="0"/>
    <n v="0"/>
    <n v="2526"/>
    <n v="3960"/>
    <n v="10002960"/>
  </r>
  <r>
    <s v="PEK/NBO"/>
    <s v="NBO"/>
    <x v="0"/>
    <x v="0"/>
    <x v="21"/>
    <x v="3"/>
    <x v="35"/>
    <n v="9227"/>
    <x v="25"/>
    <n v="248316868"/>
    <n v="51571.519833852544"/>
    <n v="4815"/>
    <n v="5056"/>
    <n v="1096"/>
    <n v="0"/>
    <n v="0"/>
    <n v="2533"/>
    <n v="3960"/>
    <n v="10030680"/>
  </r>
  <r>
    <s v="PEK/NDJ"/>
    <s v="NDJ"/>
    <x v="0"/>
    <x v="2"/>
    <x v="22"/>
    <x v="3"/>
    <x v="36"/>
    <n v="10102"/>
    <x v="23"/>
    <n v="233060635"/>
    <n v="48272.708160729082"/>
    <n v="4828"/>
    <n v="4989"/>
    <n v="1029"/>
    <n v="0"/>
    <n v="0"/>
    <n v="2925"/>
    <n v="3960"/>
    <n v="11583000"/>
  </r>
  <r>
    <s v="PEK/RAK"/>
    <s v="RAK"/>
    <x v="0"/>
    <x v="0"/>
    <x v="13"/>
    <x v="3"/>
    <x v="37"/>
    <n v="10219"/>
    <x v="13"/>
    <n v="251075240"/>
    <n v="56548.477477477478"/>
    <n v="4440"/>
    <n v="4603"/>
    <n v="643"/>
    <n v="0"/>
    <n v="0"/>
    <n v="2925"/>
    <n v="3960"/>
    <n v="11583000"/>
  </r>
  <r>
    <s v="PEK/MNL"/>
    <s v="MNL"/>
    <x v="0"/>
    <x v="4"/>
    <x v="3"/>
    <x v="0"/>
    <x v="38"/>
    <n v="2876"/>
    <x v="18"/>
    <n v="202179951"/>
    <n v="42350.220150816924"/>
    <n v="4774"/>
    <n v="5061"/>
    <n v="1101"/>
    <n v="0"/>
    <n v="0"/>
    <n v="829"/>
    <n v="3960"/>
    <n v="3282840"/>
  </r>
  <r>
    <s v="PEK/AKX"/>
    <s v="AKX"/>
    <x v="0"/>
    <x v="2"/>
    <x v="5"/>
    <x v="1"/>
    <x v="39"/>
    <n v="4661"/>
    <x v="26"/>
    <n v="176515765"/>
    <n v="63267.29928315412"/>
    <n v="2790"/>
    <n v="2939"/>
    <n v="299"/>
    <n v="0"/>
    <n v="0"/>
    <n v="1313"/>
    <n v="2640"/>
    <n v="3466320"/>
  </r>
  <r>
    <s v="PEK/AUH"/>
    <s v="AUH"/>
    <x v="0"/>
    <x v="1"/>
    <x v="23"/>
    <x v="0"/>
    <x v="40"/>
    <n v="5957"/>
    <x v="27"/>
    <n v="220837613"/>
    <n v="70690.657170294493"/>
    <n v="3124"/>
    <n v="3281"/>
    <n v="641"/>
    <n v="0"/>
    <n v="0"/>
    <n v="1671"/>
    <n v="2640"/>
    <n v="4411440"/>
  </r>
  <r>
    <s v="PEK/BBU"/>
    <s v="BBU"/>
    <x v="0"/>
    <x v="1"/>
    <x v="24"/>
    <x v="1"/>
    <x v="41"/>
    <n v="7059"/>
    <x v="6"/>
    <n v="229897263"/>
    <n v="64961.08024865781"/>
    <n v="3539"/>
    <n v="3764"/>
    <n v="1124"/>
    <n v="0"/>
    <n v="0"/>
    <n v="1869"/>
    <n v="2640"/>
    <n v="4934160"/>
  </r>
  <r>
    <s v="PEK/BHK"/>
    <s v="BHK"/>
    <x v="0"/>
    <x v="2"/>
    <x v="1"/>
    <x v="0"/>
    <x v="42"/>
    <n v="4378"/>
    <x v="8"/>
    <n v="173839623"/>
    <n v="49696.86192109777"/>
    <n v="3498"/>
    <n v="3662"/>
    <n v="1022"/>
    <n v="0"/>
    <n v="0"/>
    <n v="1270"/>
    <n v="2640"/>
    <n v="3352800"/>
  </r>
  <r>
    <s v="PEK/BMV"/>
    <s v="BMV"/>
    <x v="0"/>
    <x v="2"/>
    <x v="4"/>
    <x v="0"/>
    <x v="43"/>
    <n v="3159"/>
    <x v="28"/>
    <n v="157595904"/>
    <n v="47756.334545454549"/>
    <n v="3300"/>
    <n v="3509"/>
    <n v="869"/>
    <n v="0"/>
    <n v="0"/>
    <n v="890"/>
    <n v="2640"/>
    <n v="2349600"/>
  </r>
  <r>
    <s v="PEK/BOJ"/>
    <s v="BOJ"/>
    <x v="0"/>
    <x v="0"/>
    <x v="25"/>
    <x v="1"/>
    <x v="44"/>
    <n v="7073"/>
    <x v="6"/>
    <n v="215301901"/>
    <n v="71386.571949602119"/>
    <n v="3016"/>
    <n v="3157"/>
    <n v="517"/>
    <n v="0"/>
    <n v="0"/>
    <n v="1988"/>
    <n v="2640"/>
    <n v="5248320"/>
  </r>
  <r>
    <s v="PEK/CXR"/>
    <s v="CXR"/>
    <x v="0"/>
    <x v="2"/>
    <x v="4"/>
    <x v="0"/>
    <x v="45"/>
    <n v="3206"/>
    <x v="0"/>
    <n v="168098943"/>
    <n v="45828.501363140676"/>
    <n v="3668"/>
    <n v="3888"/>
    <n v="1248"/>
    <n v="0"/>
    <n v="0"/>
    <n v="912"/>
    <n v="2640"/>
    <n v="2407680"/>
  </r>
  <r>
    <s v="PEK/DVO"/>
    <s v="DVO"/>
    <x v="0"/>
    <x v="0"/>
    <x v="3"/>
    <x v="0"/>
    <x v="46"/>
    <n v="3774"/>
    <x v="29"/>
    <n v="183473816"/>
    <n v="50211.772304324026"/>
    <n v="3654"/>
    <n v="3775"/>
    <n v="1135"/>
    <n v="0"/>
    <n v="0"/>
    <n v="1160"/>
    <n v="2640"/>
    <n v="3062400"/>
  </r>
  <r>
    <s v="PEK/DWC"/>
    <s v="DWC"/>
    <x v="0"/>
    <x v="0"/>
    <x v="23"/>
    <x v="0"/>
    <x v="47"/>
    <n v="5885"/>
    <x v="27"/>
    <n v="197644239"/>
    <n v="73174.468345057379"/>
    <n v="2701"/>
    <n v="2846"/>
    <n v="206"/>
    <n v="0"/>
    <n v="0"/>
    <n v="1632"/>
    <n v="2640"/>
    <n v="4308480"/>
  </r>
  <r>
    <s v="PEK/FNJ"/>
    <s v="FNJ"/>
    <x v="0"/>
    <x v="2"/>
    <x v="26"/>
    <x v="0"/>
    <x v="48"/>
    <n v="783"/>
    <x v="30"/>
    <n v="135767829"/>
    <n v="49478.071793002913"/>
    <n v="2744"/>
    <n v="2891"/>
    <n v="-1069"/>
    <n v="0"/>
    <n v="0"/>
    <n v="304"/>
    <n v="3960"/>
    <n v="1203840"/>
  </r>
  <r>
    <s v="PEK/GDN"/>
    <s v="GDN"/>
    <x v="0"/>
    <x v="0"/>
    <x v="27"/>
    <x v="1"/>
    <x v="49"/>
    <n v="6961"/>
    <x v="7"/>
    <n v="213297256"/>
    <n v="76478.040874865546"/>
    <n v="2789"/>
    <n v="2910"/>
    <n v="270"/>
    <n v="0"/>
    <n v="0"/>
    <n v="1980"/>
    <n v="2640"/>
    <n v="5227200"/>
  </r>
  <r>
    <s v="PEK/GES"/>
    <s v="GES"/>
    <x v="0"/>
    <x v="2"/>
    <x v="3"/>
    <x v="0"/>
    <x v="50"/>
    <n v="3878"/>
    <x v="1"/>
    <n v="172673956"/>
    <n v="52660.5538273864"/>
    <n v="3279"/>
    <n v="3487"/>
    <n v="847"/>
    <n v="0"/>
    <n v="0"/>
    <n v="1070"/>
    <n v="2640"/>
    <n v="2824800"/>
  </r>
  <r>
    <s v="PEK/GOT"/>
    <s v="GOT"/>
    <x v="0"/>
    <x v="0"/>
    <x v="28"/>
    <x v="1"/>
    <x v="51"/>
    <n v="7086"/>
    <x v="6"/>
    <n v="223600052"/>
    <n v="83370.638329604772"/>
    <n v="2682"/>
    <n v="2771"/>
    <n v="131"/>
    <n v="0"/>
    <n v="0"/>
    <n v="2084"/>
    <n v="2640"/>
    <n v="5501760"/>
  </r>
  <r>
    <s v="PEK/GXF"/>
    <s v="GXF"/>
    <x v="0"/>
    <x v="3"/>
    <x v="17"/>
    <x v="0"/>
    <x v="52"/>
    <n v="6999"/>
    <x v="6"/>
    <n v="193713255"/>
    <n v="58790.062215477999"/>
    <n v="3295"/>
    <n v="3416"/>
    <n v="776"/>
    <n v="0"/>
    <n v="0"/>
    <n v="2037"/>
    <n v="2640"/>
    <n v="5377680"/>
  </r>
  <r>
    <s v="PEK/HAN"/>
    <s v="HAN"/>
    <x v="0"/>
    <x v="0"/>
    <x v="4"/>
    <x v="0"/>
    <x v="53"/>
    <n v="2332"/>
    <x v="31"/>
    <n v="173478130"/>
    <n v="47372.509557618789"/>
    <n v="3662"/>
    <n v="3894"/>
    <n v="1254"/>
    <n v="0"/>
    <n v="0"/>
    <n v="682"/>
    <n v="2640"/>
    <n v="1800480"/>
  </r>
  <r>
    <s v="PEK/KTW"/>
    <s v="KTW"/>
    <x v="0"/>
    <x v="0"/>
    <x v="27"/>
    <x v="1"/>
    <x v="54"/>
    <n v="7156"/>
    <x v="15"/>
    <n v="218257985"/>
    <n v="75942.235560194851"/>
    <n v="2874"/>
    <n v="3066"/>
    <n v="426"/>
    <n v="0"/>
    <n v="0"/>
    <n v="1870"/>
    <n v="2640"/>
    <n v="4936800"/>
  </r>
  <r>
    <s v="PEK/LAO"/>
    <s v="LAO"/>
    <x v="0"/>
    <x v="2"/>
    <x v="3"/>
    <x v="0"/>
    <x v="55"/>
    <n v="2465"/>
    <x v="32"/>
    <n v="153427463"/>
    <n v="53421.818593314762"/>
    <n v="2872"/>
    <n v="3045"/>
    <n v="405"/>
    <n v="0"/>
    <n v="0"/>
    <n v="724"/>
    <n v="2640"/>
    <n v="1911360"/>
  </r>
  <r>
    <s v="PEK/LCA"/>
    <s v="LCA"/>
    <x v="0"/>
    <x v="0"/>
    <x v="29"/>
    <x v="1"/>
    <x v="56"/>
    <n v="7070"/>
    <x v="6"/>
    <n v="225443547"/>
    <n v="80688.456335003575"/>
    <n v="2794"/>
    <n v="2896"/>
    <n v="256"/>
    <n v="0"/>
    <n v="0"/>
    <n v="2056"/>
    <n v="2640"/>
    <n v="5427840"/>
  </r>
  <r>
    <s v="PEK/MRV"/>
    <s v="MRV"/>
    <x v="0"/>
    <x v="2"/>
    <x v="2"/>
    <x v="1"/>
    <x v="57"/>
    <n v="5871"/>
    <x v="27"/>
    <n v="193431147"/>
    <n v="68568.290322580651"/>
    <n v="2821"/>
    <n v="2962"/>
    <n v="322"/>
    <n v="0"/>
    <n v="0"/>
    <n v="1649"/>
    <n v="2640"/>
    <n v="4353360"/>
  </r>
  <r>
    <s v="PEK/NKG"/>
    <s v="NKG"/>
    <x v="0"/>
    <x v="1"/>
    <x v="30"/>
    <x v="0"/>
    <x v="58"/>
    <n v="921"/>
    <x v="33"/>
    <n v="172220093"/>
    <n v="48594.834367945827"/>
    <n v="3544"/>
    <n v="3734"/>
    <n v="1094"/>
    <n v="0"/>
    <n v="0"/>
    <n v="340"/>
    <n v="2640"/>
    <n v="897600"/>
  </r>
  <r>
    <s v="PEK/OTP"/>
    <s v="OTP"/>
    <x v="0"/>
    <x v="0"/>
    <x v="24"/>
    <x v="1"/>
    <x v="59"/>
    <n v="7055"/>
    <x v="6"/>
    <n v="224453309"/>
    <n v="66662.69943569944"/>
    <n v="3367"/>
    <n v="3490"/>
    <n v="850"/>
    <n v="0"/>
    <n v="0"/>
    <n v="2053"/>
    <n v="2640"/>
    <n v="5419920"/>
  </r>
  <r>
    <s v="PEK/OVB"/>
    <s v="OVB"/>
    <x v="0"/>
    <x v="0"/>
    <x v="2"/>
    <x v="1"/>
    <x v="60"/>
    <n v="2996"/>
    <x v="34"/>
    <n v="173879007"/>
    <n v="48232.734257975033"/>
    <n v="3605"/>
    <n v="3786"/>
    <n v="1146"/>
    <n v="0"/>
    <n v="0"/>
    <n v="890"/>
    <n v="2640"/>
    <n v="2349600"/>
  </r>
  <r>
    <s v="PEK/PUS"/>
    <s v="PUS"/>
    <x v="0"/>
    <x v="1"/>
    <x v="31"/>
    <x v="0"/>
    <x v="61"/>
    <n v="1215"/>
    <x v="35"/>
    <n v="171030473"/>
    <n v="55278.110213316097"/>
    <n v="3094"/>
    <n v="3198"/>
    <n v="558"/>
    <n v="0"/>
    <n v="0"/>
    <n v="446"/>
    <n v="2640"/>
    <n v="1177440"/>
  </r>
  <r>
    <s v="PEK/RIY"/>
    <s v="RIY"/>
    <x v="0"/>
    <x v="0"/>
    <x v="17"/>
    <x v="0"/>
    <x v="62"/>
    <n v="7037"/>
    <x v="6"/>
    <n v="200227650"/>
    <n v="56818.288876276958"/>
    <n v="3524"/>
    <n v="3713"/>
    <n v="1073"/>
    <n v="0"/>
    <n v="0"/>
    <n v="1932"/>
    <n v="2640"/>
    <n v="5100480"/>
  </r>
  <r>
    <s v="PEK/RYK"/>
    <s v="RYK"/>
    <x v="0"/>
    <x v="0"/>
    <x v="8"/>
    <x v="0"/>
    <x v="63"/>
    <n v="4398"/>
    <x v="8"/>
    <n v="168040820"/>
    <n v="46215.847084708468"/>
    <n v="3636"/>
    <n v="3770"/>
    <n v="1130"/>
    <n v="0"/>
    <n v="0"/>
    <n v="1319"/>
    <n v="2640"/>
    <n v="3482160"/>
  </r>
  <r>
    <s v="PEK/SKD"/>
    <s v="SKD"/>
    <x v="0"/>
    <x v="2"/>
    <x v="1"/>
    <x v="0"/>
    <x v="64"/>
    <n v="4176"/>
    <x v="36"/>
    <n v="169539899"/>
    <n v="50897.598018613025"/>
    <n v="3331"/>
    <n v="3443"/>
    <n v="803"/>
    <n v="0"/>
    <n v="0"/>
    <n v="1272"/>
    <n v="2640"/>
    <n v="3358080"/>
  </r>
  <r>
    <s v="PEK/SVX"/>
    <s v="SVX"/>
    <x v="0"/>
    <x v="0"/>
    <x v="2"/>
    <x v="1"/>
    <x v="65"/>
    <n v="4365"/>
    <x v="8"/>
    <n v="189859004"/>
    <n v="54214.450028555111"/>
    <n v="3502"/>
    <n v="3713"/>
    <n v="1073"/>
    <n v="0"/>
    <n v="0"/>
    <n v="1207"/>
    <n v="2640"/>
    <n v="3186480"/>
  </r>
  <r>
    <s v="PEK/TAO"/>
    <s v="TAO"/>
    <x v="0"/>
    <x v="1"/>
    <x v="30"/>
    <x v="0"/>
    <x v="66"/>
    <n v="538"/>
    <x v="37"/>
    <n v="166819952"/>
    <n v="63720.378915202447"/>
    <n v="2618"/>
    <n v="2758"/>
    <n v="118"/>
    <n v="0"/>
    <n v="0"/>
    <n v="240"/>
    <n v="2640"/>
    <n v="633600"/>
  </r>
  <r>
    <s v="PEK/TSE"/>
    <s v="TSE"/>
    <x v="0"/>
    <x v="2"/>
    <x v="5"/>
    <x v="1"/>
    <x v="67"/>
    <n v="3653"/>
    <x v="38"/>
    <n v="177413333"/>
    <n v="49009.208011049726"/>
    <n v="3620"/>
    <n v="3837"/>
    <n v="1197"/>
    <n v="0"/>
    <n v="0"/>
    <n v="1026"/>
    <n v="2640"/>
    <n v="2708640"/>
  </r>
  <r>
    <s v="PEK/UET"/>
    <s v="UET"/>
    <x v="0"/>
    <x v="2"/>
    <x v="8"/>
    <x v="0"/>
    <x v="68"/>
    <n v="4583"/>
    <x v="39"/>
    <n v="178506861"/>
    <n v="49270.455699696387"/>
    <n v="3623"/>
    <n v="3853"/>
    <n v="1213"/>
    <n v="0"/>
    <n v="0"/>
    <n v="1247"/>
    <n v="2640"/>
    <n v="3292080"/>
  </r>
  <r>
    <s v="PEK/VKO"/>
    <s v="VKO"/>
    <x v="0"/>
    <x v="1"/>
    <x v="2"/>
    <x v="1"/>
    <x v="69"/>
    <n v="5818"/>
    <x v="21"/>
    <n v="216914718"/>
    <n v="60556.872696817423"/>
    <n v="3582"/>
    <n v="3785"/>
    <n v="1145"/>
    <n v="0"/>
    <n v="0"/>
    <n v="1596"/>
    <n v="2640"/>
    <n v="4213440"/>
  </r>
  <r>
    <s v="PEK/VVO"/>
    <s v="VVO"/>
    <x v="0"/>
    <x v="0"/>
    <x v="2"/>
    <x v="1"/>
    <x v="70"/>
    <n v="1341"/>
    <x v="40"/>
    <n v="154421155"/>
    <n v="52028.691037735851"/>
    <n v="2968"/>
    <n v="3136"/>
    <n v="496"/>
    <n v="0"/>
    <n v="0"/>
    <n v="444"/>
    <n v="2640"/>
    <n v="1172160"/>
  </r>
  <r>
    <s v="PEK/WUH"/>
    <s v="WUH"/>
    <x v="0"/>
    <x v="1"/>
    <x v="30"/>
    <x v="0"/>
    <x v="71"/>
    <n v="1056"/>
    <x v="41"/>
    <n v="174042042"/>
    <n v="48888.214044943823"/>
    <n v="3560"/>
    <n v="3716"/>
    <n v="1076"/>
    <n v="0"/>
    <n v="0"/>
    <n v="388"/>
    <n v="2640"/>
    <n v="1024320"/>
  </r>
  <r>
    <s v="PEK/XIY"/>
    <s v="XIY"/>
    <x v="0"/>
    <x v="1"/>
    <x v="30"/>
    <x v="0"/>
    <x v="72"/>
    <n v="933"/>
    <x v="33"/>
    <n v="176775028"/>
    <n v="48128.240675197383"/>
    <n v="3673"/>
    <n v="3823"/>
    <n v="1183"/>
    <n v="0"/>
    <n v="0"/>
    <n v="359"/>
    <n v="2640"/>
    <n v="947760"/>
  </r>
  <r>
    <s v="PEK/ZIA"/>
    <s v="ZIA"/>
    <x v="0"/>
    <x v="0"/>
    <x v="2"/>
    <x v="1"/>
    <x v="73"/>
    <n v="5768"/>
    <x v="21"/>
    <n v="199921895"/>
    <n v="65959.054767403504"/>
    <n v="3031"/>
    <n v="3203"/>
    <n v="563"/>
    <n v="0"/>
    <n v="0"/>
    <n v="1583"/>
    <n v="2640"/>
    <n v="4179120"/>
  </r>
  <r>
    <s v="PEK/HRB"/>
    <s v="HRB"/>
    <x v="0"/>
    <x v="1"/>
    <x v="30"/>
    <x v="0"/>
    <x v="74"/>
    <n v="999"/>
    <x v="33"/>
    <n v="166700158"/>
    <n v="49392.639407407405"/>
    <n v="3375"/>
    <n v="3487"/>
    <n v="847"/>
    <n v="0"/>
    <n v="0"/>
    <n v="386"/>
    <n v="2640"/>
    <n v="1019040"/>
  </r>
  <r>
    <s v="PEK/ACZ"/>
    <s v="ACZ"/>
    <x v="0"/>
    <x v="3"/>
    <x v="32"/>
    <x v="0"/>
    <x v="75"/>
    <n v="4997"/>
    <x v="42"/>
    <n v="163729544"/>
    <n v="69850.488054607515"/>
    <n v="2344"/>
    <n v="2485"/>
    <n v="1165"/>
    <n v="0"/>
    <n v="0"/>
    <n v="1368"/>
    <n v="1320"/>
    <n v="1805760"/>
  </r>
  <r>
    <s v="PEK/BLL"/>
    <s v="BLL"/>
    <x v="0"/>
    <x v="0"/>
    <x v="33"/>
    <x v="1"/>
    <x v="76"/>
    <n v="7366"/>
    <x v="20"/>
    <n v="221671913"/>
    <n v="90774.739148239154"/>
    <n v="2442"/>
    <n v="2564"/>
    <n v="1244"/>
    <n v="0"/>
    <n v="0"/>
    <n v="2042"/>
    <n v="1320"/>
    <n v="2695440"/>
  </r>
  <r>
    <s v="PEK/BSL"/>
    <s v="BSL"/>
    <x v="0"/>
    <x v="0"/>
    <x v="34"/>
    <x v="1"/>
    <x v="77"/>
    <n v="8021"/>
    <x v="43"/>
    <n v="235359900"/>
    <n v="96222.363041700737"/>
    <n v="2446"/>
    <n v="2577"/>
    <n v="1257"/>
    <n v="0"/>
    <n v="0"/>
    <n v="2189"/>
    <n v="1320"/>
    <n v="2889480"/>
  </r>
  <r>
    <s v="PEK/HHN"/>
    <s v="HHN"/>
    <x v="0"/>
    <x v="0"/>
    <x v="35"/>
    <x v="1"/>
    <x v="78"/>
    <n v="7867"/>
    <x v="44"/>
    <n v="224889911"/>
    <n v="93899.754070981217"/>
    <n v="2395"/>
    <n v="2547"/>
    <n v="1227"/>
    <n v="0"/>
    <n v="0"/>
    <n v="2071"/>
    <n v="1320"/>
    <n v="2733720"/>
  </r>
  <r>
    <s v="PEK/KUN"/>
    <s v="KUN"/>
    <x v="0"/>
    <x v="0"/>
    <x v="36"/>
    <x v="1"/>
    <x v="79"/>
    <n v="6614"/>
    <x v="19"/>
    <n v="200041948"/>
    <n v="79539.541948310143"/>
    <n v="2515"/>
    <n v="2616"/>
    <n v="1296"/>
    <n v="0"/>
    <n v="0"/>
    <n v="1909"/>
    <n v="1320"/>
    <n v="2519880"/>
  </r>
  <r>
    <s v="PEK/KWJ"/>
    <s v="KWJ"/>
    <x v="0"/>
    <x v="0"/>
    <x v="31"/>
    <x v="0"/>
    <x v="80"/>
    <n v="1055"/>
    <x v="41"/>
    <n v="152940246"/>
    <n v="60787.061208267092"/>
    <n v="2516"/>
    <n v="2635"/>
    <n v="1315"/>
    <n v="0"/>
    <n v="0"/>
    <n v="384"/>
    <n v="1320"/>
    <n v="506880"/>
  </r>
  <r>
    <s v="PEK/LUX"/>
    <s v="LUX"/>
    <x v="0"/>
    <x v="0"/>
    <x v="37"/>
    <x v="1"/>
    <x v="81"/>
    <n v="7948"/>
    <x v="45"/>
    <n v="224081826"/>
    <n v="94990.176345909291"/>
    <n v="2359"/>
    <n v="2453"/>
    <n v="1133"/>
    <n v="0"/>
    <n v="0"/>
    <n v="2273"/>
    <n v="1320"/>
    <n v="3000360"/>
  </r>
  <r>
    <s v="PEK/MRS"/>
    <s v="MRS"/>
    <x v="0"/>
    <x v="1"/>
    <x v="38"/>
    <x v="1"/>
    <x v="82"/>
    <n v="8464"/>
    <x v="46"/>
    <n v="244887090"/>
    <n v="98824.491525423728"/>
    <n v="2478"/>
    <n v="2594"/>
    <n v="1274"/>
    <n v="0"/>
    <n v="0"/>
    <n v="2358"/>
    <n v="1320"/>
    <n v="3112560"/>
  </r>
  <r>
    <s v="PEK/SYX"/>
    <s v="SYX"/>
    <x v="0"/>
    <x v="1"/>
    <x v="30"/>
    <x v="0"/>
    <x v="83"/>
    <n v="2518"/>
    <x v="47"/>
    <n v="184199587"/>
    <n v="50410.396004378767"/>
    <n v="3654"/>
    <n v="3848"/>
    <n v="1208"/>
    <n v="0"/>
    <n v="0"/>
    <n v="756"/>
    <n v="2640"/>
    <n v="1995840"/>
  </r>
  <r>
    <s v="PEK/TLS"/>
    <s v="TLS"/>
    <x v="0"/>
    <x v="1"/>
    <x v="38"/>
    <x v="1"/>
    <x v="84"/>
    <n v="8673"/>
    <x v="48"/>
    <n v="246422430"/>
    <n v="99887.486826104578"/>
    <n v="2467"/>
    <n v="2549"/>
    <n v="1229"/>
    <n v="0"/>
    <n v="0"/>
    <n v="2527"/>
    <n v="1320"/>
    <n v="3335640"/>
  </r>
  <r>
    <s v="PEK/YIA"/>
    <s v="YIA"/>
    <x v="0"/>
    <x v="0"/>
    <x v="39"/>
    <x v="0"/>
    <x v="85"/>
    <n v="5361"/>
    <x v="49"/>
    <n v="210541127"/>
    <n v="54123.683033419024"/>
    <n v="3890"/>
    <n v="4137"/>
    <n v="177"/>
    <n v="0"/>
    <n v="0"/>
    <n v="1442"/>
    <n v="3960"/>
    <n v="5710320"/>
  </r>
  <r>
    <s v="PEK/AAE"/>
    <s v="AAE"/>
    <x v="0"/>
    <x v="2"/>
    <x v="11"/>
    <x v="3"/>
    <x v="86"/>
    <n v="8800"/>
    <x v="50"/>
    <n v="222997260"/>
    <n v="70191.142587346549"/>
    <n v="3177"/>
    <n v="3283"/>
    <n v="643"/>
    <n v="0"/>
    <n v="0"/>
    <n v="2563"/>
    <n v="2640"/>
    <n v="6766320"/>
  </r>
  <r>
    <s v="PEK/AWZ"/>
    <s v="AWZ"/>
    <x v="0"/>
    <x v="0"/>
    <x v="32"/>
    <x v="0"/>
    <x v="87"/>
    <n v="6055"/>
    <x v="51"/>
    <n v="206231443"/>
    <n v="60231.145735981307"/>
    <n v="3424"/>
    <n v="3629"/>
    <n v="989"/>
    <n v="0"/>
    <n v="0"/>
    <n v="1637"/>
    <n v="2640"/>
    <n v="4321680"/>
  </r>
  <r>
    <s v="PEK/BAH"/>
    <s v="BAH"/>
    <x v="0"/>
    <x v="0"/>
    <x v="40"/>
    <x v="0"/>
    <x v="88"/>
    <n v="6187"/>
    <x v="52"/>
    <n v="218360161"/>
    <n v="72256.836863004632"/>
    <n v="3022"/>
    <n v="3153"/>
    <n v="513"/>
    <n v="0"/>
    <n v="0"/>
    <n v="1772"/>
    <n v="2640"/>
    <n v="4678080"/>
  </r>
  <r>
    <s v="PEK/BCN"/>
    <s v="BCN"/>
    <x v="0"/>
    <x v="4"/>
    <x v="41"/>
    <x v="1"/>
    <x v="89"/>
    <n v="8814"/>
    <x v="53"/>
    <n v="267497245"/>
    <n v="83566.774445485789"/>
    <n v="3201"/>
    <n v="3351"/>
    <n v="711"/>
    <n v="0"/>
    <n v="0"/>
    <n v="2452"/>
    <n v="2640"/>
    <n v="6473280"/>
  </r>
  <r>
    <s v="PEK/BLJ"/>
    <s v="BLJ"/>
    <x v="0"/>
    <x v="2"/>
    <x v="11"/>
    <x v="3"/>
    <x v="90"/>
    <n v="8978"/>
    <x v="54"/>
    <n v="216876689"/>
    <n v="75831.01013986014"/>
    <n v="2860"/>
    <n v="3013"/>
    <n v="373"/>
    <n v="0"/>
    <n v="0"/>
    <n v="2438"/>
    <n v="2640"/>
    <n v="6436320"/>
  </r>
  <r>
    <s v="PEK/BND"/>
    <s v="BND"/>
    <x v="0"/>
    <x v="2"/>
    <x v="32"/>
    <x v="0"/>
    <x v="91"/>
    <n v="5645"/>
    <x v="55"/>
    <n v="195085779"/>
    <n v="61619.007896399242"/>
    <n v="3166"/>
    <n v="3293"/>
    <n v="653"/>
    <n v="0"/>
    <n v="0"/>
    <n v="1644"/>
    <n v="2640"/>
    <n v="4340160"/>
  </r>
  <r>
    <s v="PEK/BSK"/>
    <s v="BSK"/>
    <x v="0"/>
    <x v="3"/>
    <x v="11"/>
    <x v="3"/>
    <x v="92"/>
    <n v="9091"/>
    <x v="56"/>
    <n v="214546689"/>
    <n v="78045.357948344856"/>
    <n v="2749"/>
    <n v="2896"/>
    <n v="256"/>
    <n v="0"/>
    <n v="0"/>
    <n v="2467"/>
    <n v="2640"/>
    <n v="6512880"/>
  </r>
  <r>
    <s v="PEK/BSR"/>
    <s v="BSR"/>
    <x v="0"/>
    <x v="2"/>
    <x v="42"/>
    <x v="0"/>
    <x v="93"/>
    <n v="6189"/>
    <x v="52"/>
    <n v="191617180"/>
    <n v="53794.82874789444"/>
    <n v="3562"/>
    <n v="3800"/>
    <n v="1160"/>
    <n v="0"/>
    <n v="0"/>
    <n v="1630"/>
    <n v="2640"/>
    <n v="4303200"/>
  </r>
  <r>
    <s v="PEK/BTH"/>
    <s v="BTH"/>
    <x v="0"/>
    <x v="0"/>
    <x v="39"/>
    <x v="0"/>
    <x v="94"/>
    <n v="4512"/>
    <x v="57"/>
    <n v="195387463"/>
    <n v="52821.69856718032"/>
    <n v="3699"/>
    <n v="3835"/>
    <n v="1195"/>
    <n v="0"/>
    <n v="0"/>
    <n v="1351"/>
    <n v="2640"/>
    <n v="3566640"/>
  </r>
  <r>
    <s v="PEK/CBR"/>
    <s v="CBR"/>
    <x v="0"/>
    <x v="0"/>
    <x v="43"/>
    <x v="5"/>
    <x v="95"/>
    <n v="9025"/>
    <x v="54"/>
    <n v="240315705"/>
    <n v="90719.405436013592"/>
    <n v="2649"/>
    <n v="2800"/>
    <n v="160"/>
    <n v="0"/>
    <n v="0"/>
    <n v="2421"/>
    <n v="2640"/>
    <n v="6391440"/>
  </r>
  <r>
    <s v="PEK/CGO"/>
    <s v="CGO"/>
    <x v="0"/>
    <x v="1"/>
    <x v="30"/>
    <x v="0"/>
    <x v="96"/>
    <n v="664"/>
    <x v="58"/>
    <n v="164720579"/>
    <n v="48276.840269636574"/>
    <n v="3412"/>
    <n v="3548"/>
    <n v="908"/>
    <n v="0"/>
    <n v="0"/>
    <n v="286"/>
    <n v="2640"/>
    <n v="755040"/>
  </r>
  <r>
    <s v="PEK/CTS"/>
    <s v="CTS"/>
    <x v="0"/>
    <x v="1"/>
    <x v="9"/>
    <x v="0"/>
    <x v="97"/>
    <n v="2107"/>
    <x v="9"/>
    <n v="192348819"/>
    <n v="59238.934093008931"/>
    <n v="3247"/>
    <n v="3453"/>
    <n v="813"/>
    <n v="0"/>
    <n v="0"/>
    <n v="626"/>
    <n v="2640"/>
    <n v="1652640"/>
  </r>
  <r>
    <s v="PEK/CZL"/>
    <s v="CZL"/>
    <x v="0"/>
    <x v="2"/>
    <x v="11"/>
    <x v="3"/>
    <x v="98"/>
    <n v="8918"/>
    <x v="54"/>
    <n v="221608689"/>
    <n v="72044.437256176854"/>
    <n v="3076"/>
    <n v="3281"/>
    <n v="641"/>
    <n v="0"/>
    <n v="0"/>
    <n v="2307"/>
    <n v="2640"/>
    <n v="6090480"/>
  </r>
  <r>
    <s v="PEK/DJG"/>
    <s v="DJG"/>
    <x v="0"/>
    <x v="3"/>
    <x v="11"/>
    <x v="3"/>
    <x v="99"/>
    <n v="9631"/>
    <x v="59"/>
    <n v="220670689"/>
    <n v="79693.278801011198"/>
    <n v="2769"/>
    <n v="2954"/>
    <n v="314"/>
    <n v="0"/>
    <n v="0"/>
    <n v="2484"/>
    <n v="2640"/>
    <n v="6557760"/>
  </r>
  <r>
    <s v="PEK/ELU"/>
    <s v="ELU"/>
    <x v="0"/>
    <x v="3"/>
    <x v="11"/>
    <x v="3"/>
    <x v="100"/>
    <n v="9119"/>
    <x v="56"/>
    <n v="212942689"/>
    <n v="79367.383153186733"/>
    <n v="2683"/>
    <n v="2853"/>
    <n v="213"/>
    <n v="0"/>
    <n v="0"/>
    <n v="2386"/>
    <n v="2640"/>
    <n v="6299040"/>
  </r>
  <r>
    <s v="PEK/EVN"/>
    <s v="EVN"/>
    <x v="0"/>
    <x v="0"/>
    <x v="44"/>
    <x v="0"/>
    <x v="101"/>
    <n v="5956"/>
    <x v="27"/>
    <n v="201854849"/>
    <n v="62843.975404732257"/>
    <n v="3212"/>
    <n v="3394"/>
    <n v="754"/>
    <n v="0"/>
    <n v="0"/>
    <n v="1631"/>
    <n v="2640"/>
    <n v="4305840"/>
  </r>
  <r>
    <s v="PEK/FEZ"/>
    <s v="FEZ"/>
    <x v="0"/>
    <x v="2"/>
    <x v="13"/>
    <x v="3"/>
    <x v="102"/>
    <n v="9837"/>
    <x v="24"/>
    <n v="233185520"/>
    <n v="66453.553719008269"/>
    <n v="3509"/>
    <n v="3650"/>
    <n v="1010"/>
    <n v="0"/>
    <n v="0"/>
    <n v="2788"/>
    <n v="2640"/>
    <n v="7360320"/>
  </r>
  <r>
    <s v="PEK/FUK"/>
    <s v="FUK"/>
    <x v="0"/>
    <x v="1"/>
    <x v="9"/>
    <x v="0"/>
    <x v="103"/>
    <n v="1427"/>
    <x v="60"/>
    <n v="185263029"/>
    <n v="58982.180515759312"/>
    <n v="3141"/>
    <n v="3320"/>
    <n v="680"/>
    <n v="0"/>
    <n v="0"/>
    <n v="466"/>
    <n v="2640"/>
    <n v="1230240"/>
  </r>
  <r>
    <s v="PEK/HAK"/>
    <s v="HAK"/>
    <x v="0"/>
    <x v="1"/>
    <x v="30"/>
    <x v="0"/>
    <x v="104"/>
    <n v="2315"/>
    <x v="31"/>
    <n v="182928812"/>
    <n v="49790.09580838323"/>
    <n v="3674"/>
    <n v="3883"/>
    <n v="1243"/>
    <n v="0"/>
    <n v="0"/>
    <n v="694"/>
    <n v="2640"/>
    <n v="1832160"/>
  </r>
  <r>
    <s v="PEK/HKD"/>
    <s v="HKD"/>
    <x v="0"/>
    <x v="0"/>
    <x v="9"/>
    <x v="0"/>
    <x v="105"/>
    <n v="2038"/>
    <x v="9"/>
    <n v="166641252"/>
    <n v="65094.239062499997"/>
    <n v="2560"/>
    <n v="2689"/>
    <n v="49"/>
    <n v="0"/>
    <n v="0"/>
    <n v="638"/>
    <n v="2640"/>
    <n v="1684320"/>
  </r>
  <r>
    <s v="PEK/HLP"/>
    <s v="HLP"/>
    <x v="0"/>
    <x v="2"/>
    <x v="39"/>
    <x v="0"/>
    <x v="106"/>
    <n v="5249"/>
    <x v="61"/>
    <n v="183085492"/>
    <n v="60464.165125495376"/>
    <n v="3028"/>
    <n v="3129"/>
    <n v="489"/>
    <n v="0"/>
    <n v="0"/>
    <n v="1572"/>
    <n v="2640"/>
    <n v="4150080"/>
  </r>
  <r>
    <s v="PEK/HND"/>
    <s v="HND"/>
    <x v="0"/>
    <x v="4"/>
    <x v="9"/>
    <x v="0"/>
    <x v="107"/>
    <n v="2092"/>
    <x v="9"/>
    <n v="208139492"/>
    <n v="56559.644565217393"/>
    <n v="3680"/>
    <n v="3877"/>
    <n v="1237"/>
    <n v="0"/>
    <n v="0"/>
    <n v="645"/>
    <n v="2640"/>
    <n v="1702800"/>
  </r>
  <r>
    <s v="PEK/HVD"/>
    <s v="HVD"/>
    <x v="0"/>
    <x v="3"/>
    <x v="45"/>
    <x v="0"/>
    <x v="108"/>
    <n v="2167"/>
    <x v="62"/>
    <n v="141942280"/>
    <n v="52786.269988843436"/>
    <n v="2689"/>
    <n v="2806"/>
    <n v="166"/>
    <n v="0"/>
    <n v="0"/>
    <n v="688"/>
    <n v="2640"/>
    <n v="1816320"/>
  </r>
  <r>
    <s v="PEK/IFN"/>
    <s v="IFN"/>
    <x v="0"/>
    <x v="0"/>
    <x v="32"/>
    <x v="0"/>
    <x v="109"/>
    <n v="5723"/>
    <x v="55"/>
    <n v="201554909"/>
    <n v="59193.805873715122"/>
    <n v="3405"/>
    <n v="3575"/>
    <n v="935"/>
    <n v="0"/>
    <n v="0"/>
    <n v="1609"/>
    <n v="2640"/>
    <n v="4247760"/>
  </r>
  <r>
    <s v="PEK/IKA"/>
    <s v="IKA"/>
    <x v="0"/>
    <x v="0"/>
    <x v="32"/>
    <x v="0"/>
    <x v="110"/>
    <n v="5647"/>
    <x v="55"/>
    <n v="208675845"/>
    <n v="58387.197817571352"/>
    <n v="3574"/>
    <n v="3741"/>
    <n v="1101"/>
    <n v="0"/>
    <n v="0"/>
    <n v="1608"/>
    <n v="2640"/>
    <n v="4245120"/>
  </r>
  <r>
    <s v="PEK/INZ"/>
    <s v="INZ"/>
    <x v="0"/>
    <x v="3"/>
    <x v="11"/>
    <x v="3"/>
    <x v="111"/>
    <n v="9899"/>
    <x v="24"/>
    <n v="220774689"/>
    <n v="82286.503540812526"/>
    <n v="2683"/>
    <n v="2818"/>
    <n v="178"/>
    <n v="0"/>
    <n v="0"/>
    <n v="2709"/>
    <n v="2640"/>
    <n v="7151760"/>
  </r>
  <r>
    <s v="PEK/ITM"/>
    <s v="ITM"/>
    <x v="0"/>
    <x v="1"/>
    <x v="9"/>
    <x v="0"/>
    <x v="112"/>
    <n v="1762"/>
    <x v="63"/>
    <n v="189230564"/>
    <n v="59939.994931897374"/>
    <n v="3157"/>
    <n v="3326"/>
    <n v="686"/>
    <n v="0"/>
    <n v="0"/>
    <n v="559"/>
    <n v="2640"/>
    <n v="1475760"/>
  </r>
  <r>
    <s v="PEK/IXE"/>
    <s v="IXE"/>
    <x v="0"/>
    <x v="2"/>
    <x v="46"/>
    <x v="0"/>
    <x v="113"/>
    <n v="5058"/>
    <x v="42"/>
    <n v="189420252"/>
    <n v="51347.316888045541"/>
    <n v="3689"/>
    <n v="3898"/>
    <n v="1258"/>
    <n v="0"/>
    <n v="0"/>
    <n v="1400"/>
    <n v="2640"/>
    <n v="3696000"/>
  </r>
  <r>
    <s v="PEK/KBL"/>
    <s v="KBL"/>
    <x v="0"/>
    <x v="0"/>
    <x v="47"/>
    <x v="0"/>
    <x v="114"/>
    <n v="4185"/>
    <x v="11"/>
    <n v="187870730"/>
    <n v="56621.67872212176"/>
    <n v="3318"/>
    <n v="3473"/>
    <n v="833"/>
    <n v="0"/>
    <n v="0"/>
    <n v="1218"/>
    <n v="2640"/>
    <n v="3215520"/>
  </r>
  <r>
    <s v="PEK/KDH"/>
    <s v="KDH"/>
    <x v="0"/>
    <x v="2"/>
    <x v="47"/>
    <x v="0"/>
    <x v="115"/>
    <n v="4610"/>
    <x v="39"/>
    <n v="178213820"/>
    <n v="70495.973101265816"/>
    <n v="2528"/>
    <n v="2655"/>
    <n v="15"/>
    <n v="0"/>
    <n v="0"/>
    <n v="1316"/>
    <n v="2640"/>
    <n v="3474240"/>
  </r>
  <r>
    <s v="PEK/KHH"/>
    <s v="KHH"/>
    <x v="0"/>
    <x v="0"/>
    <x v="48"/>
    <x v="0"/>
    <x v="116"/>
    <n v="1978"/>
    <x v="64"/>
    <n v="172153203"/>
    <n v="62081.934006491167"/>
    <n v="2773"/>
    <n v="2950"/>
    <n v="310"/>
    <n v="0"/>
    <n v="0"/>
    <n v="593"/>
    <n v="2640"/>
    <n v="1565520"/>
  </r>
  <r>
    <s v="PEK/KIX"/>
    <s v="KIX"/>
    <x v="0"/>
    <x v="1"/>
    <x v="9"/>
    <x v="0"/>
    <x v="117"/>
    <n v="1763"/>
    <x v="63"/>
    <n v="187897593"/>
    <n v="60475.569037656904"/>
    <n v="3107"/>
    <n v="3315"/>
    <n v="675"/>
    <n v="0"/>
    <n v="0"/>
    <n v="532"/>
    <n v="2640"/>
    <n v="1404480"/>
  </r>
  <r>
    <s v="PEK/KOJ"/>
    <s v="KOJ"/>
    <x v="0"/>
    <x v="1"/>
    <x v="9"/>
    <x v="0"/>
    <x v="118"/>
    <n v="1567"/>
    <x v="65"/>
    <n v="171861794"/>
    <n v="62586.232337946101"/>
    <n v="2746"/>
    <n v="2838"/>
    <n v="198"/>
    <n v="0"/>
    <n v="0"/>
    <n v="544"/>
    <n v="2640"/>
    <n v="1436160"/>
  </r>
  <r>
    <s v="PEK/KSH"/>
    <s v="KSH"/>
    <x v="0"/>
    <x v="2"/>
    <x v="32"/>
    <x v="0"/>
    <x v="119"/>
    <n v="6026"/>
    <x v="51"/>
    <n v="196685371"/>
    <n v="63714.081956592163"/>
    <n v="3087"/>
    <n v="3201"/>
    <n v="561"/>
    <n v="0"/>
    <n v="0"/>
    <n v="1769"/>
    <n v="2640"/>
    <n v="4670160"/>
  </r>
  <r>
    <s v="PEK/KUA"/>
    <s v="KUA"/>
    <x v="0"/>
    <x v="2"/>
    <x v="49"/>
    <x v="0"/>
    <x v="120"/>
    <n v="4255"/>
    <x v="11"/>
    <n v="173702405"/>
    <n v="58683.244932432433"/>
    <n v="2960"/>
    <n v="3089"/>
    <n v="449"/>
    <n v="0"/>
    <n v="0"/>
    <n v="1251"/>
    <n v="2640"/>
    <n v="3302640"/>
  </r>
  <r>
    <s v="PEK/MAD"/>
    <s v="MAD"/>
    <x v="0"/>
    <x v="4"/>
    <x v="41"/>
    <x v="1"/>
    <x v="121"/>
    <n v="9206"/>
    <x v="25"/>
    <n v="280497584"/>
    <n v="82742.650147492619"/>
    <n v="3390"/>
    <n v="3548"/>
    <n v="908"/>
    <n v="0"/>
    <n v="0"/>
    <n v="2556"/>
    <n v="2640"/>
    <n v="6747840"/>
  </r>
  <r>
    <s v="PEK/MEL"/>
    <s v="MEL"/>
    <x v="0"/>
    <x v="4"/>
    <x v="43"/>
    <x v="5"/>
    <x v="122"/>
    <n v="9115"/>
    <x v="56"/>
    <n v="269374025"/>
    <n v="80242.485850461715"/>
    <n v="3357"/>
    <n v="3525"/>
    <n v="885"/>
    <n v="0"/>
    <n v="0"/>
    <n v="2503"/>
    <n v="2640"/>
    <n v="6607920"/>
  </r>
  <r>
    <s v="PEK/MRU"/>
    <s v="MRU"/>
    <x v="0"/>
    <x v="0"/>
    <x v="50"/>
    <x v="3"/>
    <x v="123"/>
    <n v="9079"/>
    <x v="56"/>
    <n v="237831832"/>
    <n v="72887.475329451423"/>
    <n v="3263"/>
    <n v="3470"/>
    <n v="830"/>
    <n v="0"/>
    <n v="0"/>
    <n v="2376"/>
    <n v="2640"/>
    <n v="6272640"/>
  </r>
  <r>
    <s v="PEK/NAN"/>
    <s v="NAN"/>
    <x v="0"/>
    <x v="0"/>
    <x v="51"/>
    <x v="5"/>
    <x v="124"/>
    <n v="8995"/>
    <x v="54"/>
    <n v="232245689"/>
    <n v="68107.240175953077"/>
    <n v="3410"/>
    <n v="3547"/>
    <n v="907"/>
    <n v="0"/>
    <n v="0"/>
    <n v="2559"/>
    <n v="2640"/>
    <n v="6755760"/>
  </r>
  <r>
    <s v="PEK/NGO"/>
    <s v="NGO"/>
    <x v="0"/>
    <x v="1"/>
    <x v="9"/>
    <x v="0"/>
    <x v="125"/>
    <n v="1872"/>
    <x v="66"/>
    <n v="184476464"/>
    <n v="59681.80653510191"/>
    <n v="3091"/>
    <n v="3236"/>
    <n v="596"/>
    <n v="0"/>
    <n v="0"/>
    <n v="602"/>
    <n v="2640"/>
    <n v="1589280"/>
  </r>
  <r>
    <s v="PEK/NRT"/>
    <s v="NRT"/>
    <x v="0"/>
    <x v="4"/>
    <x v="9"/>
    <x v="0"/>
    <x v="126"/>
    <n v="2135"/>
    <x v="9"/>
    <n v="202816480"/>
    <n v="57881.415525114156"/>
    <n v="3504"/>
    <n v="3715"/>
    <n v="1075"/>
    <n v="0"/>
    <n v="0"/>
    <n v="640"/>
    <n v="2640"/>
    <n v="1689600"/>
  </r>
  <r>
    <s v="PEK/OKA"/>
    <s v="OKA"/>
    <x v="0"/>
    <x v="1"/>
    <x v="9"/>
    <x v="0"/>
    <x v="127"/>
    <n v="18552"/>
    <x v="66"/>
    <n v="186263708"/>
    <n v="59112.569977784828"/>
    <n v="3151"/>
    <n v="3361"/>
    <n v="721"/>
    <n v="0"/>
    <n v="0"/>
    <n v="555"/>
    <n v="2640"/>
    <n v="1465200"/>
  </r>
  <r>
    <s v="PEK/RBA"/>
    <s v="RBA"/>
    <x v="0"/>
    <x v="2"/>
    <x v="13"/>
    <x v="3"/>
    <x v="128"/>
    <n v="9933"/>
    <x v="24"/>
    <n v="232140243"/>
    <n v="66687.803217466251"/>
    <n v="3481"/>
    <n v="3609"/>
    <n v="969"/>
    <n v="0"/>
    <n v="0"/>
    <n v="2847"/>
    <n v="2640"/>
    <n v="7516080"/>
  </r>
  <r>
    <s v="PEK/RUN"/>
    <s v="RUN"/>
    <x v="0"/>
    <x v="0"/>
    <x v="52"/>
    <x v="3"/>
    <x v="129"/>
    <n v="9267"/>
    <x v="67"/>
    <n v="237485281"/>
    <n v="84154.954287739194"/>
    <n v="2822"/>
    <n v="2973"/>
    <n v="333"/>
    <n v="0"/>
    <n v="0"/>
    <n v="2513"/>
    <n v="2640"/>
    <n v="6634320"/>
  </r>
  <r>
    <s v="PEK/SDJ"/>
    <s v="SDJ"/>
    <x v="0"/>
    <x v="0"/>
    <x v="9"/>
    <x v="0"/>
    <x v="130"/>
    <n v="2104"/>
    <x v="9"/>
    <n v="171347156"/>
    <n v="64150.938225383754"/>
    <n v="2671"/>
    <n v="2804"/>
    <n v="164"/>
    <n v="0"/>
    <n v="0"/>
    <n v="656"/>
    <n v="2640"/>
    <n v="1731840"/>
  </r>
  <r>
    <s v="PEK/SHE"/>
    <s v="SHE"/>
    <x v="0"/>
    <x v="1"/>
    <x v="30"/>
    <x v="0"/>
    <x v="131"/>
    <n v="605"/>
    <x v="58"/>
    <n v="164346803"/>
    <n v="48068.675928634104"/>
    <n v="3419"/>
    <n v="3604"/>
    <n v="964"/>
    <n v="0"/>
    <n v="0"/>
    <n v="257"/>
    <n v="2640"/>
    <n v="678480"/>
  </r>
  <r>
    <s v="PEK/SIN"/>
    <s v="SIN"/>
    <x v="0"/>
    <x v="4"/>
    <x v="53"/>
    <x v="0"/>
    <x v="132"/>
    <n v="4491"/>
    <x v="57"/>
    <n v="230377153"/>
    <n v="62029.389606892837"/>
    <n v="3714"/>
    <n v="3950"/>
    <n v="1310"/>
    <n v="0"/>
    <n v="0"/>
    <n v="1224"/>
    <n v="2640"/>
    <n v="3231360"/>
  </r>
  <r>
    <s v="PEK/SYD"/>
    <s v="SYD"/>
    <x v="0"/>
    <x v="4"/>
    <x v="43"/>
    <x v="5"/>
    <x v="133"/>
    <n v="8967"/>
    <x v="54"/>
    <n v="272394903"/>
    <n v="78590.566358915181"/>
    <n v="3466"/>
    <n v="3686"/>
    <n v="1046"/>
    <n v="0"/>
    <n v="0"/>
    <n v="2348"/>
    <n v="2640"/>
    <n v="6198720"/>
  </r>
  <r>
    <s v="PEK/SZB"/>
    <s v="SZB"/>
    <x v="0"/>
    <x v="2"/>
    <x v="49"/>
    <x v="0"/>
    <x v="134"/>
    <n v="4379"/>
    <x v="8"/>
    <n v="181553499"/>
    <n v="57672.648983481573"/>
    <n v="3148"/>
    <n v="3337"/>
    <n v="697"/>
    <n v="0"/>
    <n v="0"/>
    <n v="1211"/>
    <n v="2640"/>
    <n v="3197040"/>
  </r>
  <r>
    <s v="PEK/TBZ"/>
    <s v="TBZ"/>
    <x v="0"/>
    <x v="2"/>
    <x v="32"/>
    <x v="0"/>
    <x v="135"/>
    <n v="5909"/>
    <x v="27"/>
    <n v="199990533"/>
    <n v="61573.439963054188"/>
    <n v="3248"/>
    <n v="3454"/>
    <n v="814"/>
    <n v="0"/>
    <n v="0"/>
    <n v="1580"/>
    <n v="2640"/>
    <n v="4171200"/>
  </r>
  <r>
    <s v="PEK/TGR"/>
    <s v="TGR"/>
    <x v="0"/>
    <x v="3"/>
    <x v="11"/>
    <x v="3"/>
    <x v="136"/>
    <n v="9200"/>
    <x v="25"/>
    <n v="214002022"/>
    <n v="81369.590114068444"/>
    <n v="2630"/>
    <n v="2788"/>
    <n v="148"/>
    <n v="0"/>
    <n v="0"/>
    <n v="2437"/>
    <n v="2640"/>
    <n v="6433680"/>
  </r>
  <r>
    <s v="PEK/TMX"/>
    <s v="TMX"/>
    <x v="0"/>
    <x v="3"/>
    <x v="11"/>
    <x v="3"/>
    <x v="137"/>
    <n v="9892"/>
    <x v="24"/>
    <n v="219642022"/>
    <n v="84935.04331013147"/>
    <n v="2586"/>
    <n v="2716"/>
    <n v="76"/>
    <n v="0"/>
    <n v="0"/>
    <n v="2708"/>
    <n v="2640"/>
    <n v="7149120"/>
  </r>
  <r>
    <s v="PEK/TNG"/>
    <s v="TNG"/>
    <x v="0"/>
    <x v="2"/>
    <x v="13"/>
    <x v="3"/>
    <x v="138"/>
    <n v="9741"/>
    <x v="68"/>
    <n v="232131346"/>
    <n v="65425.971251409246"/>
    <n v="3548"/>
    <n v="3738"/>
    <n v="1098"/>
    <n v="0"/>
    <n v="0"/>
    <n v="2636"/>
    <n v="2640"/>
    <n v="6959040"/>
  </r>
  <r>
    <s v="PEK/TOE"/>
    <s v="TOE"/>
    <x v="0"/>
    <x v="2"/>
    <x v="54"/>
    <x v="3"/>
    <x v="139"/>
    <n v="8997"/>
    <x v="54"/>
    <n v="215659703"/>
    <n v="77408.364321608038"/>
    <n v="2786"/>
    <n v="2889"/>
    <n v="249"/>
    <n v="0"/>
    <n v="0"/>
    <n v="2589"/>
    <n v="2640"/>
    <n v="6834960"/>
  </r>
  <r>
    <s v="PEK/TPE"/>
    <s v="TPE"/>
    <x v="0"/>
    <x v="4"/>
    <x v="48"/>
    <x v="0"/>
    <x v="140"/>
    <n v="1723"/>
    <x v="63"/>
    <n v="193543369"/>
    <n v="58437.007548309179"/>
    <n v="3312"/>
    <n v="3445"/>
    <n v="805"/>
    <n v="0"/>
    <n v="0"/>
    <n v="575"/>
    <n v="2640"/>
    <n v="1518000"/>
  </r>
  <r>
    <s v="PEK/UPG"/>
    <s v="UPG"/>
    <x v="0"/>
    <x v="0"/>
    <x v="39"/>
    <x v="0"/>
    <x v="141"/>
    <n v="5030"/>
    <x v="42"/>
    <n v="201367240"/>
    <n v="54526.73707013268"/>
    <n v="3693"/>
    <n v="3878"/>
    <n v="1238"/>
    <n v="0"/>
    <n v="0"/>
    <n v="1427"/>
    <n v="2640"/>
    <n v="3767280"/>
  </r>
  <r>
    <s v="PEK/URC"/>
    <s v="URC"/>
    <x v="0"/>
    <x v="1"/>
    <x v="30"/>
    <x v="0"/>
    <x v="142"/>
    <n v="2430"/>
    <x v="32"/>
    <n v="181160736"/>
    <n v="50476.66090833101"/>
    <n v="3589"/>
    <n v="3722"/>
    <n v="1082"/>
    <n v="0"/>
    <n v="0"/>
    <n v="776"/>
    <n v="2640"/>
    <n v="2048640"/>
  </r>
  <r>
    <s v="PEK/XMN"/>
    <s v="XMN"/>
    <x v="0"/>
    <x v="1"/>
    <x v="30"/>
    <x v="0"/>
    <x v="143"/>
    <n v="1734"/>
    <x v="63"/>
    <n v="180836249"/>
    <n v="49301.049345692474"/>
    <n v="3668"/>
    <n v="3901"/>
    <n v="1261"/>
    <n v="0"/>
    <n v="0"/>
    <n v="532"/>
    <n v="2640"/>
    <n v="1404480"/>
  </r>
  <r>
    <s v="PEK/AZD"/>
    <s v="AZD"/>
    <x v="0"/>
    <x v="2"/>
    <x v="32"/>
    <x v="0"/>
    <x v="144"/>
    <n v="5566"/>
    <x v="69"/>
    <n v="187818087"/>
    <n v="63005.061053337806"/>
    <n v="2981"/>
    <n v="3170"/>
    <n v="530"/>
    <n v="0"/>
    <n v="0"/>
    <n v="1494"/>
    <n v="2640"/>
    <n v="3944160"/>
  </r>
  <r>
    <s v="PEK/BDA"/>
    <s v="BDA"/>
    <x v="0"/>
    <x v="2"/>
    <x v="55"/>
    <x v="2"/>
    <x v="145"/>
    <n v="11961"/>
    <x v="70"/>
    <n v="257559804"/>
    <n v="91074.895332390384"/>
    <n v="2828"/>
    <n v="2998"/>
    <n v="358"/>
    <n v="0"/>
    <n v="0"/>
    <n v="3138"/>
    <n v="2640"/>
    <n v="8284320"/>
  </r>
  <r>
    <s v="PEK/BOS"/>
    <s v="BOS"/>
    <x v="0"/>
    <x v="4"/>
    <x v="12"/>
    <x v="4"/>
    <x v="146"/>
    <n v="10819"/>
    <x v="71"/>
    <n v="285339222"/>
    <n v="93892.471865745305"/>
    <n v="3039"/>
    <n v="3242"/>
    <n v="602"/>
    <n v="0"/>
    <n v="0"/>
    <n v="2778"/>
    <n v="2640"/>
    <n v="7333920"/>
  </r>
  <r>
    <s v="PEK/DGO"/>
    <s v="DGO"/>
    <x v="0"/>
    <x v="2"/>
    <x v="56"/>
    <x v="2"/>
    <x v="147"/>
    <n v="11706"/>
    <x v="72"/>
    <n v="247190733"/>
    <n v="87718.5"/>
    <n v="2818"/>
    <n v="2968"/>
    <n v="328"/>
    <n v="0"/>
    <n v="0"/>
    <n v="3148"/>
    <n v="2640"/>
    <n v="8310720"/>
  </r>
  <r>
    <s v="PEK/DTW"/>
    <s v="DTW"/>
    <x v="0"/>
    <x v="4"/>
    <x v="12"/>
    <x v="4"/>
    <x v="148"/>
    <n v="10649"/>
    <x v="73"/>
    <n v="287109234"/>
    <n v="92645.767666989355"/>
    <n v="3099"/>
    <n v="3306"/>
    <n v="666"/>
    <n v="0"/>
    <n v="0"/>
    <n v="2736"/>
    <n v="2640"/>
    <n v="7223040"/>
  </r>
  <r>
    <s v="PEK/EWR"/>
    <s v="EWR"/>
    <x v="0"/>
    <x v="4"/>
    <x v="12"/>
    <x v="4"/>
    <x v="149"/>
    <n v="10970"/>
    <x v="74"/>
    <n v="291678317"/>
    <n v="93277.36392708667"/>
    <n v="3127"/>
    <n v="3253"/>
    <n v="613"/>
    <n v="0"/>
    <n v="0"/>
    <n v="3097"/>
    <n v="2640"/>
    <n v="8176080"/>
  </r>
  <r>
    <s v="PEK/GBE"/>
    <s v="GBE"/>
    <x v="0"/>
    <x v="2"/>
    <x v="57"/>
    <x v="3"/>
    <x v="150"/>
    <n v="11790"/>
    <x v="75"/>
    <n v="251686642"/>
    <n v="68355.959261271055"/>
    <n v="3682"/>
    <n v="3805"/>
    <n v="1165"/>
    <n v="0"/>
    <n v="0"/>
    <n v="3396"/>
    <n v="2640"/>
    <n v="8965440"/>
  </r>
  <r>
    <s v="PEK/MTY"/>
    <s v="MTY"/>
    <x v="0"/>
    <x v="1"/>
    <x v="56"/>
    <x v="2"/>
    <x v="151"/>
    <n v="11769"/>
    <x v="75"/>
    <n v="274428925"/>
    <n v="75021.575997813008"/>
    <n v="3658"/>
    <n v="3817"/>
    <n v="1177"/>
    <n v="0"/>
    <n v="0"/>
    <n v="3278"/>
    <n v="2640"/>
    <n v="8653920"/>
  </r>
  <r>
    <s v="PEK/ORD"/>
    <s v="ORD"/>
    <x v="0"/>
    <x v="4"/>
    <x v="12"/>
    <x v="4"/>
    <x v="152"/>
    <n v="10565"/>
    <x v="76"/>
    <n v="294668185"/>
    <n v="90583.518290808483"/>
    <n v="3253"/>
    <n v="3448"/>
    <n v="808"/>
    <n v="0"/>
    <n v="0"/>
    <n v="2783"/>
    <n v="2640"/>
    <n v="7347120"/>
  </r>
  <r>
    <s v="PEK/PHX"/>
    <s v="PHX"/>
    <x v="0"/>
    <x v="4"/>
    <x v="12"/>
    <x v="4"/>
    <x v="153"/>
    <n v="10441"/>
    <x v="10"/>
    <n v="289106416"/>
    <n v="90999.816178785011"/>
    <n v="3177"/>
    <n v="3336"/>
    <n v="696"/>
    <n v="0"/>
    <n v="0"/>
    <n v="2852"/>
    <n v="2640"/>
    <n v="7529280"/>
  </r>
  <r>
    <s v="PEK/TIN"/>
    <s v="TIN"/>
    <x v="0"/>
    <x v="3"/>
    <x v="11"/>
    <x v="3"/>
    <x v="154"/>
    <n v="10564"/>
    <x v="76"/>
    <n v="230959689"/>
    <n v="75255.682306940376"/>
    <n v="3069"/>
    <n v="3172"/>
    <n v="532"/>
    <n v="0"/>
    <n v="0"/>
    <n v="3054"/>
    <n v="2640"/>
    <n v="8062560"/>
  </r>
  <r>
    <s v="PEK/YYZ"/>
    <s v="YYZ"/>
    <x v="0"/>
    <x v="4"/>
    <x v="10"/>
    <x v="2"/>
    <x v="155"/>
    <n v="10563"/>
    <x v="76"/>
    <n v="286060394"/>
    <n v="81684.864077669903"/>
    <n v="3502"/>
    <n v="3678"/>
    <n v="1038"/>
    <n v="0"/>
    <n v="0"/>
    <n v="2884"/>
    <n v="2640"/>
    <n v="7613760"/>
  </r>
  <r>
    <s v="PEK/ZCL"/>
    <s v="ZCL"/>
    <x v="0"/>
    <x v="2"/>
    <x v="56"/>
    <x v="2"/>
    <x v="156"/>
    <n v="11919"/>
    <x v="70"/>
    <n v="252997925"/>
    <n v="86259.09478349812"/>
    <n v="2933"/>
    <n v="3041"/>
    <n v="401"/>
    <n v="0"/>
    <n v="0"/>
    <n v="3394"/>
    <n v="2640"/>
    <n v="8960160"/>
  </r>
  <r>
    <s v="PEK/AMD"/>
    <s v="AMD"/>
    <x v="0"/>
    <x v="0"/>
    <x v="46"/>
    <x v="0"/>
    <x v="157"/>
    <n v="4516"/>
    <x v="39"/>
    <n v="196928676"/>
    <n v="47327.247296322996"/>
    <n v="4161"/>
    <n v="4425"/>
    <n v="465"/>
    <n v="0"/>
    <n v="0"/>
    <n v="1230"/>
    <n v="3960"/>
    <n v="4870800"/>
  </r>
  <r>
    <s v="PEK/BLR"/>
    <s v="BLR"/>
    <x v="0"/>
    <x v="1"/>
    <x v="46"/>
    <x v="0"/>
    <x v="158"/>
    <n v="4823"/>
    <x v="77"/>
    <n v="213104541"/>
    <n v="46347.225097868635"/>
    <n v="4598"/>
    <n v="4889"/>
    <n v="929"/>
    <n v="0"/>
    <n v="0"/>
    <n v="1308"/>
    <n v="3960"/>
    <n v="5179680"/>
  </r>
  <r>
    <s v="PEK/AAC"/>
    <s v="AAC"/>
    <x v="0"/>
    <x v="3"/>
    <x v="14"/>
    <x v="3"/>
    <x v="159"/>
    <n v="7282"/>
    <x v="5"/>
    <n v="192651663"/>
    <n v="70259.541575492345"/>
    <n v="2742"/>
    <n v="2880"/>
    <n v="240"/>
    <n v="0"/>
    <n v="0"/>
    <n v="2020"/>
    <n v="2640"/>
    <n v="5332800"/>
  </r>
  <r>
    <s v="PEK/ABJ"/>
    <s v="ABJ"/>
    <x v="0"/>
    <x v="2"/>
    <x v="58"/>
    <x v="3"/>
    <x v="160"/>
    <n v="12138"/>
    <x v="78"/>
    <n v="262700008"/>
    <n v="54075.752984767394"/>
    <n v="4858"/>
    <n v="5068"/>
    <n v="1108"/>
    <n v="0"/>
    <n v="0"/>
    <n v="3377"/>
    <n v="3960"/>
    <n v="13372920"/>
  </r>
  <r>
    <s v="PEK/ABS"/>
    <s v="ABS"/>
    <x v="0"/>
    <x v="2"/>
    <x v="14"/>
    <x v="3"/>
    <x v="161"/>
    <n v="8021"/>
    <x v="43"/>
    <n v="216246503"/>
    <n v="66191.154882154879"/>
    <n v="3267"/>
    <n v="3441"/>
    <n v="801"/>
    <n v="0"/>
    <n v="0"/>
    <n v="2189"/>
    <n v="2640"/>
    <n v="5778960"/>
  </r>
  <r>
    <s v="PEK/ABV"/>
    <s v="ABV"/>
    <x v="0"/>
    <x v="0"/>
    <x v="59"/>
    <x v="3"/>
    <x v="162"/>
    <n v="10965"/>
    <x v="74"/>
    <n v="262957738"/>
    <n v="50049.055576703468"/>
    <n v="5254"/>
    <n v="5448"/>
    <n v="168"/>
    <n v="0"/>
    <n v="0"/>
    <n v="3131"/>
    <n v="5280"/>
    <n v="16531680"/>
  </r>
  <r>
    <s v="PEK/ACA"/>
    <s v="ACA"/>
    <x v="0"/>
    <x v="2"/>
    <x v="56"/>
    <x v="2"/>
    <x v="163"/>
    <n v="12664"/>
    <x v="79"/>
    <n v="264585751"/>
    <n v="86353.051892950389"/>
    <n v="3064"/>
    <n v="3197"/>
    <n v="557"/>
    <n v="0"/>
    <n v="0"/>
    <n v="3519"/>
    <n v="2640"/>
    <n v="9290160"/>
  </r>
  <r>
    <s v="PEK/ACC"/>
    <s v="ACC"/>
    <x v="0"/>
    <x v="2"/>
    <x v="60"/>
    <x v="3"/>
    <x v="164"/>
    <n v="11818"/>
    <x v="75"/>
    <n v="260556469"/>
    <n v="54430.012325046999"/>
    <n v="4787"/>
    <n v="5010"/>
    <n v="1050"/>
    <n v="0"/>
    <n v="0"/>
    <n v="3253"/>
    <n v="3960"/>
    <n v="12881880"/>
  </r>
  <r>
    <s v="PEK/ADD"/>
    <s v="ADD"/>
    <x v="0"/>
    <x v="1"/>
    <x v="61"/>
    <x v="3"/>
    <x v="165"/>
    <n v="8331"/>
    <x v="80"/>
    <n v="243499357"/>
    <n v="44345.175195774907"/>
    <n v="5491"/>
    <n v="5857"/>
    <n v="577"/>
    <n v="0"/>
    <n v="0"/>
    <n v="2161"/>
    <n v="5280"/>
    <n v="11410080"/>
  </r>
  <r>
    <s v="PEK/ADL"/>
    <s v="ADL"/>
    <x v="0"/>
    <x v="1"/>
    <x v="43"/>
    <x v="5"/>
    <x v="166"/>
    <n v="8642"/>
    <x v="48"/>
    <n v="245394175"/>
    <n v="85413.914027149323"/>
    <n v="2873"/>
    <n v="3036"/>
    <n v="396"/>
    <n v="0"/>
    <n v="0"/>
    <n v="2323"/>
    <n v="2640"/>
    <n v="6132720"/>
  </r>
  <r>
    <s v="PEK/AGA"/>
    <s v="AGA"/>
    <x v="0"/>
    <x v="0"/>
    <x v="13"/>
    <x v="3"/>
    <x v="167"/>
    <n v="10412"/>
    <x v="10"/>
    <n v="246941461"/>
    <n v="58753.619081608376"/>
    <n v="4203"/>
    <n v="4441"/>
    <n v="481"/>
    <n v="0"/>
    <n v="0"/>
    <n v="2778"/>
    <n v="3960"/>
    <n v="11000880"/>
  </r>
  <r>
    <s v="PEK/AGU"/>
    <s v="AGU"/>
    <x v="0"/>
    <x v="2"/>
    <x v="56"/>
    <x v="2"/>
    <x v="168"/>
    <n v="12053"/>
    <x v="81"/>
    <n v="253959751"/>
    <n v="86942.742553919888"/>
    <n v="2921"/>
    <n v="3097"/>
    <n v="457"/>
    <n v="0"/>
    <n v="0"/>
    <n v="3161"/>
    <n v="2640"/>
    <n v="8345040"/>
  </r>
  <r>
    <s v="PEK/AKL"/>
    <s v="AKL"/>
    <x v="0"/>
    <x v="1"/>
    <x v="62"/>
    <x v="5"/>
    <x v="169"/>
    <n v="10429"/>
    <x v="10"/>
    <n v="271307444"/>
    <n v="69175.788883222849"/>
    <n v="3922"/>
    <n v="4184"/>
    <n v="224"/>
    <n v="0"/>
    <n v="0"/>
    <n v="2681"/>
    <n v="3960"/>
    <n v="10616760"/>
  </r>
  <r>
    <s v="PEK/ALG"/>
    <s v="ALG"/>
    <x v="0"/>
    <x v="1"/>
    <x v="11"/>
    <x v="3"/>
    <x v="170"/>
    <n v="9106"/>
    <x v="56"/>
    <n v="249020689"/>
    <n v="62630.957997987927"/>
    <n v="3976"/>
    <n v="4109"/>
    <n v="149"/>
    <n v="0"/>
    <n v="0"/>
    <n v="2647"/>
    <n v="3960"/>
    <n v="10482120"/>
  </r>
  <r>
    <s v="PEK/AMS"/>
    <s v="AMS"/>
    <x v="0"/>
    <x v="4"/>
    <x v="63"/>
    <x v="1"/>
    <x v="171"/>
    <n v="7828"/>
    <x v="44"/>
    <n v="265120968"/>
    <n v="79496.542128935529"/>
    <n v="3335"/>
    <n v="3468"/>
    <n v="828"/>
    <n v="0"/>
    <n v="0"/>
    <n v="2240"/>
    <n v="2640"/>
    <n v="5913600"/>
  </r>
  <r>
    <s v="PEK/APW"/>
    <s v="APW"/>
    <x v="0"/>
    <x v="2"/>
    <x v="64"/>
    <x v="5"/>
    <x v="172"/>
    <n v="9481"/>
    <x v="82"/>
    <n v="226540064"/>
    <n v="74642.525205930811"/>
    <n v="3035"/>
    <n v="3208"/>
    <n v="568"/>
    <n v="0"/>
    <n v="0"/>
    <n v="2538"/>
    <n v="2640"/>
    <n v="6700320"/>
  </r>
  <r>
    <s v="PEK/ASK"/>
    <s v="ASK"/>
    <x v="0"/>
    <x v="3"/>
    <x v="58"/>
    <x v="3"/>
    <x v="173"/>
    <n v="12117"/>
    <x v="78"/>
    <n v="236401814"/>
    <n v="62639.590355060944"/>
    <n v="3774"/>
    <n v="3950"/>
    <n v="1310"/>
    <n v="0"/>
    <n v="0"/>
    <n v="3333"/>
    <n v="2640"/>
    <n v="8799120"/>
  </r>
  <r>
    <s v="PEK/ASW"/>
    <s v="ASW"/>
    <x v="0"/>
    <x v="2"/>
    <x v="14"/>
    <x v="3"/>
    <x v="174"/>
    <n v="7816"/>
    <x v="44"/>
    <n v="218292937"/>
    <n v="64166.060258671372"/>
    <n v="3402"/>
    <n v="3538"/>
    <n v="898"/>
    <n v="0"/>
    <n v="0"/>
    <n v="2236"/>
    <n v="2640"/>
    <n v="5903040"/>
  </r>
  <r>
    <s v="PEK/ATL"/>
    <s v="ATL"/>
    <x v="0"/>
    <x v="4"/>
    <x v="12"/>
    <x v="4"/>
    <x v="175"/>
    <n v="11541"/>
    <x v="83"/>
    <n v="304009736"/>
    <n v="93455.190900707035"/>
    <n v="3253"/>
    <n v="3426"/>
    <n v="786"/>
    <n v="0"/>
    <n v="0"/>
    <n v="3105"/>
    <n v="2640"/>
    <n v="8197200"/>
  </r>
  <r>
    <s v="PEK/ATQ"/>
    <s v="ATQ"/>
    <x v="0"/>
    <x v="2"/>
    <x v="46"/>
    <x v="0"/>
    <x v="176"/>
    <n v="3841"/>
    <x v="1"/>
    <n v="175695856"/>
    <n v="43618.633565044685"/>
    <n v="4028"/>
    <n v="4284"/>
    <n v="324"/>
    <n v="0"/>
    <n v="0"/>
    <n v="1061"/>
    <n v="3960"/>
    <n v="4201560"/>
  </r>
  <r>
    <s v="PEK/ATZ"/>
    <s v="ATZ"/>
    <x v="0"/>
    <x v="2"/>
    <x v="14"/>
    <x v="3"/>
    <x v="177"/>
    <n v="7763"/>
    <x v="84"/>
    <n v="209657253"/>
    <n v="66833.679630219951"/>
    <n v="3137"/>
    <n v="3252"/>
    <n v="612"/>
    <n v="0"/>
    <n v="0"/>
    <n v="2248"/>
    <n v="2640"/>
    <n v="5934720"/>
  </r>
  <r>
    <s v="PEK/AWA"/>
    <s v="AWA"/>
    <x v="0"/>
    <x v="2"/>
    <x v="61"/>
    <x v="3"/>
    <x v="178"/>
    <n v="8492"/>
    <x v="85"/>
    <n v="222285443"/>
    <n v="49221.754428697961"/>
    <n v="4516"/>
    <n v="4772"/>
    <n v="812"/>
    <n v="0"/>
    <n v="0"/>
    <n v="2284"/>
    <n v="3960"/>
    <n v="9044640"/>
  </r>
  <r>
    <s v="PEK/AZS"/>
    <s v="AZS"/>
    <x v="0"/>
    <x v="2"/>
    <x v="65"/>
    <x v="2"/>
    <x v="179"/>
    <n v="13387"/>
    <x v="86"/>
    <n v="260337487"/>
    <n v="84552.61026307242"/>
    <n v="3079"/>
    <n v="3233"/>
    <n v="593"/>
    <n v="0"/>
    <n v="0"/>
    <n v="3628"/>
    <n v="2640"/>
    <n v="9577920"/>
  </r>
  <r>
    <s v="PEK/BBO"/>
    <s v="BBO"/>
    <x v="0"/>
    <x v="2"/>
    <x v="66"/>
    <x v="3"/>
    <x v="180"/>
    <n v="7710"/>
    <x v="84"/>
    <n v="208364866"/>
    <n v="46666.263381858902"/>
    <n v="4465"/>
    <n v="4673"/>
    <n v="713"/>
    <n v="0"/>
    <n v="0"/>
    <n v="2158"/>
    <n v="3960"/>
    <n v="8545680"/>
  </r>
  <r>
    <s v="PEK/BEN"/>
    <s v="BEN"/>
    <x v="0"/>
    <x v="2"/>
    <x v="67"/>
    <x v="3"/>
    <x v="181"/>
    <n v="8262"/>
    <x v="80"/>
    <n v="221811886"/>
    <n v="75885.010605542251"/>
    <n v="2923"/>
    <n v="3118"/>
    <n v="478"/>
    <n v="0"/>
    <n v="0"/>
    <n v="2144"/>
    <n v="2640"/>
    <n v="5660160"/>
  </r>
  <r>
    <s v="PEK/BEY"/>
    <s v="BEY"/>
    <x v="0"/>
    <x v="0"/>
    <x v="68"/>
    <x v="0"/>
    <x v="182"/>
    <n v="6987"/>
    <x v="7"/>
    <n v="224828198"/>
    <n v="65739.239181286554"/>
    <n v="3420"/>
    <n v="3602"/>
    <n v="962"/>
    <n v="0"/>
    <n v="0"/>
    <n v="1919"/>
    <n v="2640"/>
    <n v="5066160"/>
  </r>
  <r>
    <s v="PEK/BGW"/>
    <s v="BGW"/>
    <x v="0"/>
    <x v="2"/>
    <x v="42"/>
    <x v="0"/>
    <x v="183"/>
    <n v="6320"/>
    <x v="87"/>
    <n v="203575751"/>
    <n v="51446.992923932274"/>
    <n v="3957"/>
    <n v="4115"/>
    <n v="155"/>
    <n v="0"/>
    <n v="0"/>
    <n v="1829"/>
    <n v="3960"/>
    <n v="7242840"/>
  </r>
  <r>
    <s v="PEK/BJL"/>
    <s v="BJL"/>
    <x v="0"/>
    <x v="2"/>
    <x v="69"/>
    <x v="3"/>
    <x v="184"/>
    <n v="12367"/>
    <x v="88"/>
    <n v="258478512"/>
    <n v="54913.641810070105"/>
    <n v="4707"/>
    <n v="4927"/>
    <n v="967"/>
    <n v="0"/>
    <n v="0"/>
    <n v="3399"/>
    <n v="3960"/>
    <n v="13460040"/>
  </r>
  <r>
    <s v="PEK/BJM"/>
    <s v="BJM"/>
    <x v="0"/>
    <x v="2"/>
    <x v="70"/>
    <x v="3"/>
    <x v="185"/>
    <n v="10016"/>
    <x v="12"/>
    <n v="229783883"/>
    <n v="53851.390438247014"/>
    <n v="4267"/>
    <n v="4523"/>
    <n v="563"/>
    <n v="0"/>
    <n v="0"/>
    <n v="2643"/>
    <n v="3960"/>
    <n v="10466280"/>
  </r>
  <r>
    <s v="PEK/BJX"/>
    <s v="BJX"/>
    <x v="0"/>
    <x v="2"/>
    <x v="56"/>
    <x v="2"/>
    <x v="186"/>
    <n v="12165"/>
    <x v="78"/>
    <n v="261614253"/>
    <n v="83689.780230326302"/>
    <n v="3126"/>
    <n v="3261"/>
    <n v="621"/>
    <n v="0"/>
    <n v="0"/>
    <n v="3385"/>
    <n v="2640"/>
    <n v="8936400"/>
  </r>
  <r>
    <s v="PEK/BKI"/>
    <s v="BKI"/>
    <x v="0"/>
    <x v="0"/>
    <x v="49"/>
    <x v="0"/>
    <x v="187"/>
    <n v="3797"/>
    <x v="29"/>
    <n v="191180630"/>
    <n v="50886.513175405911"/>
    <n v="3757"/>
    <n v="3933"/>
    <n v="1293"/>
    <n v="0"/>
    <n v="0"/>
    <n v="1115"/>
    <n v="2640"/>
    <n v="2943600"/>
  </r>
  <r>
    <s v="PEK/BKK"/>
    <s v="BKK"/>
    <x v="0"/>
    <x v="4"/>
    <x v="71"/>
    <x v="0"/>
    <x v="188"/>
    <n v="3317"/>
    <x v="89"/>
    <n v="218379021"/>
    <n v="40298.767484775788"/>
    <n v="5419"/>
    <n v="5728"/>
    <n v="448"/>
    <n v="0"/>
    <n v="0"/>
    <n v="952"/>
    <n v="5280"/>
    <n v="5026560"/>
  </r>
  <r>
    <s v="PEK/BNE"/>
    <s v="BNE"/>
    <x v="0"/>
    <x v="4"/>
    <x v="43"/>
    <x v="5"/>
    <x v="189"/>
    <n v="8401"/>
    <x v="46"/>
    <n v="256741215"/>
    <n v="79733.296583850926"/>
    <n v="3220"/>
    <n v="3403"/>
    <n v="763"/>
    <n v="0"/>
    <n v="0"/>
    <n v="2260"/>
    <n v="2640"/>
    <n v="5966400"/>
  </r>
  <r>
    <s v="PEK/BOY"/>
    <s v="BOY"/>
    <x v="0"/>
    <x v="3"/>
    <x v="72"/>
    <x v="3"/>
    <x v="190"/>
    <n v="11693"/>
    <x v="72"/>
    <n v="238367013"/>
    <n v="55395.541017894495"/>
    <n v="4303"/>
    <n v="4490"/>
    <n v="530"/>
    <n v="0"/>
    <n v="0"/>
    <n v="3257"/>
    <n v="3960"/>
    <n v="12897720"/>
  </r>
  <r>
    <s v="PEK/BWI"/>
    <s v="BWI"/>
    <x v="0"/>
    <x v="4"/>
    <x v="12"/>
    <x v="4"/>
    <x v="191"/>
    <n v="11103"/>
    <x v="90"/>
    <n v="285096991"/>
    <n v="95638.037906742698"/>
    <n v="2981"/>
    <n v="3160"/>
    <n v="520"/>
    <n v="0"/>
    <n v="0"/>
    <n v="2920"/>
    <n v="2640"/>
    <n v="7708800"/>
  </r>
  <r>
    <s v="PEK/BWN"/>
    <s v="BWN"/>
    <x v="0"/>
    <x v="0"/>
    <x v="73"/>
    <x v="0"/>
    <x v="192"/>
    <n v="3911"/>
    <x v="1"/>
    <n v="182315380"/>
    <n v="67724.881129271918"/>
    <n v="2692"/>
    <n v="2845"/>
    <n v="205"/>
    <n v="0"/>
    <n v="0"/>
    <n v="1105"/>
    <n v="2640"/>
    <n v="2917200"/>
  </r>
  <r>
    <s v="PEK/BZV"/>
    <s v="BZV"/>
    <x v="0"/>
    <x v="2"/>
    <x v="74"/>
    <x v="3"/>
    <x v="193"/>
    <n v="11278"/>
    <x v="91"/>
    <n v="252644900"/>
    <n v="58836.725663716818"/>
    <n v="4294"/>
    <n v="4551"/>
    <n v="591"/>
    <n v="0"/>
    <n v="0"/>
    <n v="2965"/>
    <n v="3960"/>
    <n v="11741400"/>
  </r>
  <r>
    <s v="PEK/CAI"/>
    <s v="CAI"/>
    <x v="0"/>
    <x v="1"/>
    <x v="14"/>
    <x v="3"/>
    <x v="194"/>
    <n v="7534"/>
    <x v="92"/>
    <n v="242538379"/>
    <n v="56614.934407096174"/>
    <n v="4284"/>
    <n v="4470"/>
    <n v="510"/>
    <n v="0"/>
    <n v="0"/>
    <n v="2135"/>
    <n v="3960"/>
    <n v="8454600"/>
  </r>
  <r>
    <s v="PEK/CAN"/>
    <s v="CAN"/>
    <x v="0"/>
    <x v="4"/>
    <x v="30"/>
    <x v="0"/>
    <x v="195"/>
    <n v="1881"/>
    <x v="66"/>
    <n v="202756223"/>
    <n v="46482.398670334711"/>
    <n v="4362"/>
    <n v="4524"/>
    <n v="564"/>
    <n v="0"/>
    <n v="0"/>
    <n v="625"/>
    <n v="3960"/>
    <n v="2475000"/>
  </r>
  <r>
    <s v="PEK/CBH"/>
    <s v="CBH"/>
    <x v="0"/>
    <x v="3"/>
    <x v="11"/>
    <x v="3"/>
    <x v="196"/>
    <n v="9860"/>
    <x v="24"/>
    <n v="222572689"/>
    <n v="81468.773426061496"/>
    <n v="2732"/>
    <n v="2851"/>
    <n v="211"/>
    <n v="0"/>
    <n v="0"/>
    <n v="2763"/>
    <n v="2640"/>
    <n v="7294320"/>
  </r>
  <r>
    <s v="PEK/CBT"/>
    <s v="CBT"/>
    <x v="0"/>
    <x v="2"/>
    <x v="75"/>
    <x v="3"/>
    <x v="197"/>
    <n v="12008"/>
    <x v="81"/>
    <n v="247050861"/>
    <n v="61979.644004014051"/>
    <n v="3986"/>
    <n v="4238"/>
    <n v="278"/>
    <n v="0"/>
    <n v="0"/>
    <n v="3112"/>
    <n v="3960"/>
    <n v="12323520"/>
  </r>
  <r>
    <s v="PEK/CCC"/>
    <s v="CCC"/>
    <x v="0"/>
    <x v="2"/>
    <x v="76"/>
    <x v="2"/>
    <x v="198"/>
    <n v="12884"/>
    <x v="93"/>
    <n v="254829904"/>
    <n v="92699.128410331032"/>
    <n v="2749"/>
    <n v="2877"/>
    <n v="237"/>
    <n v="0"/>
    <n v="0"/>
    <n v="3538"/>
    <n v="2640"/>
    <n v="9340320"/>
  </r>
  <r>
    <s v="PEK/CCJ"/>
    <s v="CCJ"/>
    <x v="0"/>
    <x v="0"/>
    <x v="46"/>
    <x v="0"/>
    <x v="199"/>
    <n v="5121"/>
    <x v="94"/>
    <n v="197237535"/>
    <n v="50123.897077509529"/>
    <n v="3935"/>
    <n v="4198"/>
    <n v="238"/>
    <n v="0"/>
    <n v="0"/>
    <n v="1365"/>
    <n v="3960"/>
    <n v="5405400"/>
  </r>
  <r>
    <s v="PEK/CCU"/>
    <s v="CCU"/>
    <x v="0"/>
    <x v="1"/>
    <x v="46"/>
    <x v="0"/>
    <x v="200"/>
    <n v="3277"/>
    <x v="89"/>
    <n v="195670609"/>
    <n v="37441.754496747031"/>
    <n v="5226"/>
    <n v="5401"/>
    <n v="121"/>
    <n v="0"/>
    <n v="0"/>
    <n v="1021"/>
    <n v="5280"/>
    <n v="5390880"/>
  </r>
  <r>
    <s v="PEK/CDG"/>
    <s v="CDG"/>
    <x v="0"/>
    <x v="4"/>
    <x v="38"/>
    <x v="1"/>
    <x v="201"/>
    <n v="8191"/>
    <x v="95"/>
    <n v="271208419"/>
    <n v="91377.499663072769"/>
    <n v="2968"/>
    <n v="3157"/>
    <n v="517"/>
    <n v="0"/>
    <n v="0"/>
    <n v="2153"/>
    <n v="2640"/>
    <n v="5683920"/>
  </r>
  <r>
    <s v="PEK/CGP"/>
    <s v="CGP"/>
    <x v="0"/>
    <x v="0"/>
    <x v="77"/>
    <x v="0"/>
    <x v="202"/>
    <n v="3061"/>
    <x v="28"/>
    <n v="182917072"/>
    <n v="34987.963274674825"/>
    <n v="5228"/>
    <n v="5472"/>
    <n v="192"/>
    <n v="0"/>
    <n v="0"/>
    <n v="918"/>
    <n v="5280"/>
    <n v="4847040"/>
  </r>
  <r>
    <s v="PEK/CHC"/>
    <s v="CHC"/>
    <x v="0"/>
    <x v="0"/>
    <x v="62"/>
    <x v="5"/>
    <x v="203"/>
    <n v="10855"/>
    <x v="96"/>
    <n v="265449581"/>
    <n v="74964.580909347642"/>
    <n v="3541"/>
    <n v="3671"/>
    <n v="1031"/>
    <n v="0"/>
    <n v="0"/>
    <n v="3101"/>
    <n v="2640"/>
    <n v="8186640"/>
  </r>
  <r>
    <s v="PEK/CJU"/>
    <s v="CJU"/>
    <x v="0"/>
    <x v="1"/>
    <x v="31"/>
    <x v="0"/>
    <x v="204"/>
    <n v="1144"/>
    <x v="35"/>
    <n v="176647338"/>
    <n v="55323.312871907299"/>
    <n v="3193"/>
    <n v="3332"/>
    <n v="692"/>
    <n v="0"/>
    <n v="0"/>
    <n v="412"/>
    <n v="2640"/>
    <n v="1087680"/>
  </r>
  <r>
    <s v="PEK/CKG"/>
    <s v="CKG"/>
    <x v="0"/>
    <x v="1"/>
    <x v="30"/>
    <x v="0"/>
    <x v="205"/>
    <n v="1464"/>
    <x v="60"/>
    <n v="180953869"/>
    <n v="48254.365066666665"/>
    <n v="3750"/>
    <n v="3964"/>
    <n v="4"/>
    <n v="0"/>
    <n v="0"/>
    <n v="475"/>
    <n v="3960"/>
    <n v="1881000"/>
  </r>
  <r>
    <s v="PEK/CKY"/>
    <s v="CKY"/>
    <x v="0"/>
    <x v="2"/>
    <x v="78"/>
    <x v="3"/>
    <x v="206"/>
    <n v="12493"/>
    <x v="97"/>
    <n v="257483619"/>
    <n v="54493.887619047622"/>
    <n v="4725"/>
    <n v="4961"/>
    <n v="1001"/>
    <n v="0"/>
    <n v="0"/>
    <n v="3393"/>
    <n v="3960"/>
    <n v="13436280"/>
  </r>
  <r>
    <s v="PEK/CLT"/>
    <s v="CLT"/>
    <x v="0"/>
    <x v="4"/>
    <x v="12"/>
    <x v="4"/>
    <x v="207"/>
    <n v="11455"/>
    <x v="98"/>
    <n v="298900579"/>
    <n v="94171.57498424701"/>
    <n v="3174"/>
    <n v="3375"/>
    <n v="735"/>
    <n v="0"/>
    <n v="0"/>
    <n v="2973"/>
    <n v="2640"/>
    <n v="7848720"/>
  </r>
  <r>
    <s v="PEK/CMN"/>
    <s v="CMN"/>
    <x v="0"/>
    <x v="0"/>
    <x v="13"/>
    <x v="3"/>
    <x v="208"/>
    <n v="10040"/>
    <x v="12"/>
    <n v="257103370"/>
    <n v="59432.124364308831"/>
    <n v="4326"/>
    <n v="4615"/>
    <n v="655"/>
    <n v="0"/>
    <n v="0"/>
    <n v="2585"/>
    <n v="3960"/>
    <n v="10236600"/>
  </r>
  <r>
    <s v="PEK/CMW"/>
    <s v="CMW"/>
    <x v="0"/>
    <x v="2"/>
    <x v="76"/>
    <x v="2"/>
    <x v="209"/>
    <n v="13018"/>
    <x v="99"/>
    <n v="255277535"/>
    <n v="93921.09455481972"/>
    <n v="2718"/>
    <n v="2827"/>
    <n v="187"/>
    <n v="0"/>
    <n v="0"/>
    <n v="3656"/>
    <n v="2640"/>
    <n v="9651840"/>
  </r>
  <r>
    <s v="PEK/COK"/>
    <s v="COK"/>
    <x v="0"/>
    <x v="0"/>
    <x v="46"/>
    <x v="0"/>
    <x v="210"/>
    <n v="5167"/>
    <x v="94"/>
    <n v="204883598"/>
    <n v="48933.269166467639"/>
    <n v="4187"/>
    <n v="4383"/>
    <n v="423"/>
    <n v="0"/>
    <n v="0"/>
    <n v="1480"/>
    <n v="3960"/>
    <n v="5860800"/>
  </r>
  <r>
    <s v="PEK/CPT"/>
    <s v="CPT"/>
    <x v="0"/>
    <x v="1"/>
    <x v="79"/>
    <x v="3"/>
    <x v="211"/>
    <n v="12970"/>
    <x v="93"/>
    <n v="289917614"/>
    <n v="61086.728613569321"/>
    <n v="4746"/>
    <n v="4936"/>
    <n v="976"/>
    <n v="0"/>
    <n v="0"/>
    <n v="3643"/>
    <n v="3960"/>
    <n v="14426280"/>
  </r>
  <r>
    <s v="PEK/CTU"/>
    <s v="CTU"/>
    <x v="0"/>
    <x v="4"/>
    <x v="30"/>
    <x v="0"/>
    <x v="212"/>
    <n v="1545"/>
    <x v="65"/>
    <n v="189058035"/>
    <n v="47874.913902253735"/>
    <n v="3949"/>
    <n v="4134"/>
    <n v="174"/>
    <n v="0"/>
    <n v="0"/>
    <n v="514"/>
    <n v="3960"/>
    <n v="2035440"/>
  </r>
  <r>
    <s v="PEK/CUN"/>
    <s v="CUN"/>
    <x v="0"/>
    <x v="1"/>
    <x v="56"/>
    <x v="2"/>
    <x v="213"/>
    <n v="12800"/>
    <x v="100"/>
    <n v="293024636"/>
    <n v="74808.434005616538"/>
    <n v="3917"/>
    <n v="4100"/>
    <n v="140"/>
    <n v="0"/>
    <n v="0"/>
    <n v="3515"/>
    <n v="3960"/>
    <n v="13919400"/>
  </r>
  <r>
    <s v="PEK/CYO"/>
    <s v="CYO"/>
    <x v="0"/>
    <x v="2"/>
    <x v="76"/>
    <x v="2"/>
    <x v="214"/>
    <n v="12905"/>
    <x v="93"/>
    <n v="255802650"/>
    <n v="92181.135135135133"/>
    <n v="2775"/>
    <n v="2950"/>
    <n v="310"/>
    <n v="0"/>
    <n v="0"/>
    <n v="3337"/>
    <n v="2640"/>
    <n v="8809680"/>
  </r>
  <r>
    <s v="PEK/DAC"/>
    <s v="DAC"/>
    <x v="0"/>
    <x v="0"/>
    <x v="77"/>
    <x v="0"/>
    <x v="215"/>
    <n v="3040"/>
    <x v="34"/>
    <n v="186046833"/>
    <n v="34594.055968761619"/>
    <n v="5378"/>
    <n v="5630"/>
    <n v="350"/>
    <n v="0"/>
    <n v="0"/>
    <n v="913"/>
    <n v="5280"/>
    <n v="4820640"/>
  </r>
  <r>
    <s v="PEK/DAR"/>
    <s v="DAR"/>
    <x v="0"/>
    <x v="0"/>
    <x v="80"/>
    <x v="3"/>
    <x v="216"/>
    <n v="9443"/>
    <x v="82"/>
    <n v="237153617"/>
    <n v="54605.944508404325"/>
    <n v="4343"/>
    <n v="4633"/>
    <n v="673"/>
    <n v="0"/>
    <n v="0"/>
    <n v="2437"/>
    <n v="3960"/>
    <n v="9650520"/>
  </r>
  <r>
    <s v="PEK/DEL"/>
    <s v="DEL"/>
    <x v="0"/>
    <x v="4"/>
    <x v="46"/>
    <x v="0"/>
    <x v="217"/>
    <n v="3809"/>
    <x v="29"/>
    <n v="217808326"/>
    <n v="38873.518829198641"/>
    <n v="5603"/>
    <n v="5809"/>
    <n v="529"/>
    <n v="0"/>
    <n v="0"/>
    <n v="1157"/>
    <n v="5280"/>
    <n v="6108960"/>
  </r>
  <r>
    <s v="PEK/DFW"/>
    <s v="DFW"/>
    <x v="0"/>
    <x v="4"/>
    <x v="12"/>
    <x v="4"/>
    <x v="218"/>
    <n v="11197"/>
    <x v="91"/>
    <n v="301168748"/>
    <n v="92581.846910544118"/>
    <n v="3253"/>
    <n v="3405"/>
    <n v="765"/>
    <n v="0"/>
    <n v="0"/>
    <n v="3088"/>
    <n v="2640"/>
    <n v="8152320"/>
  </r>
  <r>
    <s v="PEK/DJE"/>
    <s v="DJE"/>
    <x v="0"/>
    <x v="0"/>
    <x v="54"/>
    <x v="3"/>
    <x v="219"/>
    <n v="8819"/>
    <x v="53"/>
    <n v="234875497"/>
    <n v="68436.916375291374"/>
    <n v="3432"/>
    <n v="3581"/>
    <n v="941"/>
    <n v="0"/>
    <n v="0"/>
    <n v="2482"/>
    <n v="2640"/>
    <n v="6552480"/>
  </r>
  <r>
    <s v="PEK/DLA"/>
    <s v="DLA"/>
    <x v="0"/>
    <x v="2"/>
    <x v="81"/>
    <x v="3"/>
    <x v="220"/>
    <n v="11140"/>
    <x v="90"/>
    <n v="250303283"/>
    <n v="53817.089443130506"/>
    <n v="4651"/>
    <n v="4869"/>
    <n v="909"/>
    <n v="0"/>
    <n v="0"/>
    <n v="3072"/>
    <n v="3960"/>
    <n v="12165120"/>
  </r>
  <r>
    <s v="PEK/DLC"/>
    <s v="DLC"/>
    <x v="0"/>
    <x v="1"/>
    <x v="30"/>
    <x v="0"/>
    <x v="221"/>
    <n v="442"/>
    <x v="101"/>
    <n v="165688476"/>
    <n v="63360.793881453152"/>
    <n v="2615"/>
    <n v="2703"/>
    <n v="63"/>
    <n v="0"/>
    <n v="0"/>
    <n v="231"/>
    <n v="2640"/>
    <n v="609840"/>
  </r>
  <r>
    <s v="PEK/DMK"/>
    <s v="DMK"/>
    <x v="0"/>
    <x v="4"/>
    <x v="71"/>
    <x v="0"/>
    <x v="222"/>
    <n v="3301"/>
    <x v="89"/>
    <n v="216251736"/>
    <n v="40390.686589465819"/>
    <n v="5354"/>
    <n v="5605"/>
    <n v="325"/>
    <n v="0"/>
    <n v="0"/>
    <n v="982"/>
    <n v="5280"/>
    <n v="5184960"/>
  </r>
  <r>
    <s v="PEK/DPS"/>
    <s v="DPS"/>
    <x v="0"/>
    <x v="1"/>
    <x v="39"/>
    <x v="0"/>
    <x v="223"/>
    <n v="5432"/>
    <x v="102"/>
    <n v="211508127"/>
    <n v="53532.808656036446"/>
    <n v="3951"/>
    <n v="4215"/>
    <n v="255"/>
    <n v="0"/>
    <n v="0"/>
    <n v="1442"/>
    <n v="3960"/>
    <n v="5710320"/>
  </r>
  <r>
    <s v="PEK/DSS"/>
    <s v="DSS"/>
    <x v="0"/>
    <x v="0"/>
    <x v="82"/>
    <x v="3"/>
    <x v="224"/>
    <n v="12274"/>
    <x v="103"/>
    <n v="272350567"/>
    <n v="51905.959024204305"/>
    <n v="5247"/>
    <n v="5247"/>
    <n v="-33"/>
    <n v="0"/>
    <n v="0"/>
    <n v="3924"/>
    <n v="5280"/>
    <n v="20718720"/>
  </r>
  <r>
    <s v="PEK/DUR"/>
    <s v="DUR"/>
    <x v="0"/>
    <x v="0"/>
    <x v="79"/>
    <x v="3"/>
    <x v="225"/>
    <n v="11723"/>
    <x v="72"/>
    <n v="270377916"/>
    <n v="59371.523056653488"/>
    <n v="4554"/>
    <n v="4813"/>
    <n v="853"/>
    <n v="0"/>
    <n v="0"/>
    <n v="3115"/>
    <n v="3960"/>
    <n v="12335400"/>
  </r>
  <r>
    <s v="PEK/DXB"/>
    <s v="DXB"/>
    <x v="0"/>
    <x v="4"/>
    <x v="23"/>
    <x v="0"/>
    <x v="226"/>
    <n v="5846"/>
    <x v="21"/>
    <n v="245904792"/>
    <n v="64779.976817702845"/>
    <n v="3796"/>
    <n v="4012"/>
    <n v="52"/>
    <n v="0"/>
    <n v="0"/>
    <n v="1603"/>
    <n v="3960"/>
    <n v="6347880"/>
  </r>
  <r>
    <s v="PEK/EBB"/>
    <s v="EBB"/>
    <x v="0"/>
    <x v="2"/>
    <x v="83"/>
    <x v="3"/>
    <x v="227"/>
    <n v="9509"/>
    <x v="104"/>
    <n v="236758382"/>
    <n v="54153.33531564501"/>
    <n v="4372"/>
    <n v="4663"/>
    <n v="703"/>
    <n v="0"/>
    <n v="0"/>
    <n v="2453"/>
    <n v="3960"/>
    <n v="9713880"/>
  </r>
  <r>
    <s v="PEK/EBD"/>
    <s v="EBD"/>
    <x v="0"/>
    <x v="3"/>
    <x v="84"/>
    <x v="3"/>
    <x v="228"/>
    <n v="8766"/>
    <x v="50"/>
    <n v="208288913"/>
    <n v="59922.011795166858"/>
    <n v="3476"/>
    <n v="3708"/>
    <n v="1068"/>
    <n v="0"/>
    <n v="0"/>
    <n v="2269"/>
    <n v="2640"/>
    <n v="5990160"/>
  </r>
  <r>
    <s v="PEK/EDL"/>
    <s v="EDL"/>
    <x v="0"/>
    <x v="3"/>
    <x v="21"/>
    <x v="3"/>
    <x v="229"/>
    <n v="9245"/>
    <x v="25"/>
    <n v="215623063"/>
    <n v="60996.623196605375"/>
    <n v="3535"/>
    <n v="3664"/>
    <n v="1024"/>
    <n v="0"/>
    <n v="0"/>
    <n v="2656"/>
    <n v="2640"/>
    <n v="7011840"/>
  </r>
  <r>
    <s v="PEK/ELF"/>
    <s v="ELF"/>
    <x v="0"/>
    <x v="3"/>
    <x v="84"/>
    <x v="3"/>
    <x v="230"/>
    <n v="9146"/>
    <x v="25"/>
    <n v="217844726"/>
    <n v="58845.144786601835"/>
    <n v="3702"/>
    <n v="3851"/>
    <n v="1211"/>
    <n v="0"/>
    <n v="0"/>
    <n v="2600"/>
    <n v="2640"/>
    <n v="6864000"/>
  </r>
  <r>
    <s v="PEK/ELG"/>
    <s v="ELG"/>
    <x v="0"/>
    <x v="3"/>
    <x v="11"/>
    <x v="3"/>
    <x v="231"/>
    <n v="9611"/>
    <x v="59"/>
    <n v="216224022"/>
    <n v="84265.012470771631"/>
    <n v="2566"/>
    <n v="2729"/>
    <n v="89"/>
    <n v="0"/>
    <n v="0"/>
    <n v="2510"/>
    <n v="2640"/>
    <n v="6626400"/>
  </r>
  <r>
    <s v="PEK/ERH"/>
    <s v="ERH"/>
    <x v="0"/>
    <x v="3"/>
    <x v="13"/>
    <x v="3"/>
    <x v="232"/>
    <n v="9969"/>
    <x v="12"/>
    <n v="218598042"/>
    <n v="72938.952952952954"/>
    <n v="2997"/>
    <n v="3187"/>
    <n v="547"/>
    <n v="0"/>
    <n v="0"/>
    <n v="2600"/>
    <n v="2640"/>
    <n v="6864000"/>
  </r>
  <r>
    <s v="PEK/FBM"/>
    <s v="FBM"/>
    <x v="0"/>
    <x v="2"/>
    <x v="18"/>
    <x v="3"/>
    <x v="233"/>
    <n v="10757"/>
    <x v="71"/>
    <n v="240754494"/>
    <n v="49783.807692307695"/>
    <n v="4836"/>
    <n v="5079"/>
    <n v="1119"/>
    <n v="0"/>
    <n v="0"/>
    <n v="2935"/>
    <n v="3960"/>
    <n v="11622600"/>
  </r>
  <r>
    <s v="PEK/FCO"/>
    <s v="FCO"/>
    <x v="0"/>
    <x v="4"/>
    <x v="85"/>
    <x v="1"/>
    <x v="234"/>
    <n v="8149"/>
    <x v="95"/>
    <n v="264309792"/>
    <n v="81526.771128932756"/>
    <n v="3242"/>
    <n v="3416"/>
    <n v="776"/>
    <n v="0"/>
    <n v="0"/>
    <n v="2222"/>
    <n v="2640"/>
    <n v="5866080"/>
  </r>
  <r>
    <s v="PEK/FIH"/>
    <s v="FIH"/>
    <x v="0"/>
    <x v="2"/>
    <x v="18"/>
    <x v="3"/>
    <x v="235"/>
    <n v="11271"/>
    <x v="91"/>
    <n v="251711767"/>
    <n v="49520.316151878811"/>
    <n v="5083"/>
    <n v="5405"/>
    <n v="125"/>
    <n v="0"/>
    <n v="0"/>
    <n v="2927"/>
    <n v="5280"/>
    <n v="15454560"/>
  </r>
  <r>
    <s v="PEK/FNA"/>
    <s v="FNA"/>
    <x v="0"/>
    <x v="2"/>
    <x v="86"/>
    <x v="3"/>
    <x v="236"/>
    <n v="12546"/>
    <x v="105"/>
    <n v="257669386"/>
    <n v="52585.588979591834"/>
    <n v="4900"/>
    <n v="5227"/>
    <n v="1267"/>
    <n v="0"/>
    <n v="0"/>
    <n v="3207"/>
    <n v="3960"/>
    <n v="12699720"/>
  </r>
  <r>
    <s v="PEK/FPO"/>
    <s v="FPO"/>
    <x v="0"/>
    <x v="2"/>
    <x v="87"/>
    <x v="2"/>
    <x v="237"/>
    <n v="12441"/>
    <x v="97"/>
    <n v="257498950"/>
    <n v="92161.39942734431"/>
    <n v="2794"/>
    <n v="2952"/>
    <n v="312"/>
    <n v="0"/>
    <n v="0"/>
    <n v="3300"/>
    <n v="2640"/>
    <n v="8712000"/>
  </r>
  <r>
    <s v="PEK/FRA"/>
    <s v="FRA"/>
    <x v="0"/>
    <x v="4"/>
    <x v="35"/>
    <x v="1"/>
    <x v="238"/>
    <n v="7789"/>
    <x v="44"/>
    <n v="265853774"/>
    <n v="78146.318048206944"/>
    <n v="3402"/>
    <n v="3584"/>
    <n v="944"/>
    <n v="0"/>
    <n v="0"/>
    <n v="2128"/>
    <n v="2640"/>
    <n v="5617920"/>
  </r>
  <r>
    <s v="PEK/FRU"/>
    <s v="FRU"/>
    <x v="0"/>
    <x v="2"/>
    <x v="88"/>
    <x v="0"/>
    <x v="239"/>
    <n v="3482"/>
    <x v="3"/>
    <n v="173341752"/>
    <n v="43335.438000000002"/>
    <n v="4000"/>
    <n v="4133"/>
    <n v="173"/>
    <n v="0"/>
    <n v="0"/>
    <n v="1079"/>
    <n v="3960"/>
    <n v="4272840"/>
  </r>
  <r>
    <s v="PEK/GAF"/>
    <s v="GAF"/>
    <x v="0"/>
    <x v="3"/>
    <x v="54"/>
    <x v="3"/>
    <x v="240"/>
    <n v="8913"/>
    <x v="53"/>
    <n v="208219178"/>
    <n v="80549.00502901354"/>
    <n v="2585"/>
    <n v="2680"/>
    <n v="40"/>
    <n v="0"/>
    <n v="0"/>
    <n v="2565"/>
    <n v="2640"/>
    <n v="6771600"/>
  </r>
  <r>
    <s v="PEK/GAU"/>
    <s v="GAU"/>
    <x v="0"/>
    <x v="0"/>
    <x v="46"/>
    <x v="0"/>
    <x v="241"/>
    <n v="2784"/>
    <x v="4"/>
    <n v="173336094"/>
    <n v="38213.424603174601"/>
    <n v="4536"/>
    <n v="4718"/>
    <n v="758"/>
    <n v="0"/>
    <n v="0"/>
    <n v="865"/>
    <n v="3960"/>
    <n v="3425400"/>
  </r>
  <r>
    <s v="PEK/GDL"/>
    <s v="GDL"/>
    <x v="0"/>
    <x v="1"/>
    <x v="56"/>
    <x v="2"/>
    <x v="242"/>
    <n v="12113"/>
    <x v="78"/>
    <n v="279221676"/>
    <n v="75669.830894308936"/>
    <n v="3690"/>
    <n v="3850"/>
    <n v="1210"/>
    <n v="0"/>
    <n v="0"/>
    <n v="3371"/>
    <n v="2640"/>
    <n v="8899440"/>
  </r>
  <r>
    <s v="PEK/GHA"/>
    <s v="GHA"/>
    <x v="0"/>
    <x v="3"/>
    <x v="11"/>
    <x v="3"/>
    <x v="243"/>
    <n v="9406"/>
    <x v="82"/>
    <n v="219468689"/>
    <n v="78437.701572551829"/>
    <n v="2798"/>
    <n v="2929"/>
    <n v="289"/>
    <n v="0"/>
    <n v="0"/>
    <n v="2610"/>
    <n v="2640"/>
    <n v="6890400"/>
  </r>
  <r>
    <s v="PEK/GLK"/>
    <s v="GLK"/>
    <x v="0"/>
    <x v="3"/>
    <x v="66"/>
    <x v="3"/>
    <x v="244"/>
    <n v="7754"/>
    <x v="84"/>
    <n v="205900820"/>
    <n v="47508.264882325799"/>
    <n v="4334"/>
    <n v="4580"/>
    <n v="620"/>
    <n v="0"/>
    <n v="0"/>
    <n v="2094"/>
    <n v="3960"/>
    <n v="8292240"/>
  </r>
  <r>
    <s v="PEK/GMP"/>
    <s v="GMP"/>
    <x v="0"/>
    <x v="1"/>
    <x v="31"/>
    <x v="0"/>
    <x v="245"/>
    <n v="927"/>
    <x v="33"/>
    <n v="176291705"/>
    <n v="54427.818771225684"/>
    <n v="3239"/>
    <n v="3391"/>
    <n v="751"/>
    <n v="0"/>
    <n v="0"/>
    <n v="350"/>
    <n v="2640"/>
    <n v="924000"/>
  </r>
  <r>
    <s v="PEK/GOI"/>
    <s v="GOI"/>
    <x v="0"/>
    <x v="0"/>
    <x v="46"/>
    <x v="0"/>
    <x v="246"/>
    <n v="4956"/>
    <x v="16"/>
    <n v="198435679"/>
    <n v="48803.659370388588"/>
    <n v="4066"/>
    <n v="4270"/>
    <n v="310"/>
    <n v="0"/>
    <n v="0"/>
    <n v="1407"/>
    <n v="3960"/>
    <n v="5571720"/>
  </r>
  <r>
    <s v="PEK/GOU"/>
    <s v="GOU"/>
    <x v="0"/>
    <x v="3"/>
    <x v="81"/>
    <x v="3"/>
    <x v="247"/>
    <n v="10444"/>
    <x v="10"/>
    <n v="227641596"/>
    <n v="56867.748188858357"/>
    <n v="4003"/>
    <n v="4137"/>
    <n v="177"/>
    <n v="0"/>
    <n v="0"/>
    <n v="3021"/>
    <n v="3960"/>
    <n v="11963160"/>
  </r>
  <r>
    <s v="PEK/GUA"/>
    <s v="GUA"/>
    <x v="0"/>
    <x v="0"/>
    <x v="89"/>
    <x v="2"/>
    <x v="248"/>
    <n v="13325"/>
    <x v="86"/>
    <n v="281114722"/>
    <n v="63889.709545454549"/>
    <n v="4400"/>
    <n v="4650"/>
    <n v="690"/>
    <n v="0"/>
    <n v="0"/>
    <n v="3527"/>
    <n v="3960"/>
    <n v="13966920"/>
  </r>
  <r>
    <s v="PEK/GUM"/>
    <s v="GUM"/>
    <x v="0"/>
    <x v="0"/>
    <x v="90"/>
    <x v="5"/>
    <x v="249"/>
    <n v="4038"/>
    <x v="17"/>
    <n v="187772522"/>
    <n v="68806.347379992672"/>
    <n v="2729"/>
    <n v="2866"/>
    <n v="226"/>
    <n v="0"/>
    <n v="0"/>
    <n v="1165"/>
    <n v="2640"/>
    <n v="3075600"/>
  </r>
  <r>
    <s v="PEK/HAH"/>
    <s v="HAH"/>
    <x v="0"/>
    <x v="2"/>
    <x v="91"/>
    <x v="3"/>
    <x v="250"/>
    <n v="9458"/>
    <x v="82"/>
    <n v="231008926"/>
    <n v="58676.384556769117"/>
    <n v="3937"/>
    <n v="4134"/>
    <n v="174"/>
    <n v="0"/>
    <n v="0"/>
    <n v="2593"/>
    <n v="3960"/>
    <n v="10268280"/>
  </r>
  <r>
    <s v="PEK/HAV"/>
    <s v="HAV"/>
    <x v="0"/>
    <x v="1"/>
    <x v="76"/>
    <x v="2"/>
    <x v="251"/>
    <n v="12734"/>
    <x v="79"/>
    <n v="284471422"/>
    <n v="74352.175117616309"/>
    <n v="3826"/>
    <n v="4081"/>
    <n v="121"/>
    <n v="0"/>
    <n v="0"/>
    <n v="3253"/>
    <n v="3960"/>
    <n v="12881880"/>
  </r>
  <r>
    <s v="PEK/HBE"/>
    <s v="HBE"/>
    <x v="0"/>
    <x v="2"/>
    <x v="14"/>
    <x v="3"/>
    <x v="252"/>
    <n v="7619"/>
    <x v="14"/>
    <n v="206341577"/>
    <n v="67081.136866059824"/>
    <n v="3076"/>
    <n v="3251"/>
    <n v="611"/>
    <n v="0"/>
    <n v="0"/>
    <n v="2059"/>
    <n v="2640"/>
    <n v="5435760"/>
  </r>
  <r>
    <s v="PEK/HGH"/>
    <s v="HGH"/>
    <x v="0"/>
    <x v="1"/>
    <x v="30"/>
    <x v="0"/>
    <x v="253"/>
    <n v="1149"/>
    <x v="35"/>
    <n v="178870138"/>
    <n v="48831.596505596506"/>
    <n v="3663"/>
    <n v="3871"/>
    <n v="1231"/>
    <n v="0"/>
    <n v="0"/>
    <n v="395"/>
    <n v="2640"/>
    <n v="1042800"/>
  </r>
  <r>
    <s v="PEK/HKG"/>
    <s v="HKG"/>
    <x v="0"/>
    <x v="1"/>
    <x v="30"/>
    <x v="0"/>
    <x v="254"/>
    <s v="1,992 "/>
    <x v="64"/>
    <n v="206849043"/>
    <n v="46514.288958848665"/>
    <n v="4447"/>
    <n v="4595"/>
    <n v="635"/>
    <n v="0"/>
    <n v="0"/>
    <n v="663"/>
    <n v="3960"/>
    <n v="2625480"/>
  </r>
  <r>
    <s v="PEK/HLA"/>
    <s v="HLA"/>
    <x v="0"/>
    <x v="2"/>
    <x v="79"/>
    <x v="3"/>
    <x v="255"/>
    <n v="11723"/>
    <x v="72"/>
    <n v="245767102"/>
    <n v="69386.533596837951"/>
    <n v="3542"/>
    <n v="3695"/>
    <n v="1055"/>
    <n v="0"/>
    <n v="0"/>
    <n v="3265"/>
    <n v="2640"/>
    <n v="8619600"/>
  </r>
  <r>
    <s v="PEK/HME"/>
    <s v="HME"/>
    <x v="0"/>
    <x v="2"/>
    <x v="11"/>
    <x v="3"/>
    <x v="256"/>
    <n v="9303"/>
    <x v="67"/>
    <n v="227355260"/>
    <n v="72061.889064976232"/>
    <n v="3155"/>
    <n v="3302"/>
    <n v="662"/>
    <n v="0"/>
    <n v="0"/>
    <n v="2582"/>
    <n v="2640"/>
    <n v="6816480"/>
  </r>
  <r>
    <s v="PEK/HOG"/>
    <s v="HOG"/>
    <x v="0"/>
    <x v="2"/>
    <x v="76"/>
    <x v="2"/>
    <x v="257"/>
    <n v="13119"/>
    <x v="106"/>
    <n v="268437948"/>
    <n v="85544.279158699806"/>
    <n v="3138"/>
    <n v="3306"/>
    <n v="666"/>
    <n v="0"/>
    <n v="0"/>
    <n v="3516"/>
    <n v="2640"/>
    <n v="9282240"/>
  </r>
  <r>
    <s v="PEK/HRE"/>
    <s v="HRE"/>
    <x v="0"/>
    <x v="0"/>
    <x v="92"/>
    <x v="3"/>
    <x v="258"/>
    <n v="10912"/>
    <x v="96"/>
    <n v="246937326"/>
    <n v="53987.172278093574"/>
    <n v="4574"/>
    <n v="4849"/>
    <n v="889"/>
    <n v="0"/>
    <n v="0"/>
    <n v="2871"/>
    <n v="3960"/>
    <n v="11369160"/>
  </r>
  <r>
    <s v="PEK/HRG"/>
    <s v="HRG"/>
    <x v="0"/>
    <x v="1"/>
    <x v="14"/>
    <x v="3"/>
    <x v="259"/>
    <n v="7529"/>
    <x v="92"/>
    <n v="232783417"/>
    <n v="58709.562925598992"/>
    <n v="3965"/>
    <n v="4217"/>
    <n v="257"/>
    <n v="0"/>
    <n v="0"/>
    <n v="1986"/>
    <n v="3960"/>
    <n v="7864560"/>
  </r>
  <r>
    <s v="PEK/HRM"/>
    <s v="HRM"/>
    <x v="0"/>
    <x v="3"/>
    <x v="11"/>
    <x v="3"/>
    <x v="260"/>
    <n v="9395"/>
    <x v="82"/>
    <n v="217476689"/>
    <n v="79313.161560904453"/>
    <n v="2742"/>
    <n v="2925"/>
    <n v="285"/>
    <n v="0"/>
    <n v="0"/>
    <n v="2425"/>
    <n v="2640"/>
    <n v="6402000"/>
  </r>
  <r>
    <s v="PEK/HYD"/>
    <s v="HYD"/>
    <x v="0"/>
    <x v="1"/>
    <x v="46"/>
    <x v="0"/>
    <x v="261"/>
    <n v="4454"/>
    <x v="57"/>
    <n v="203796764"/>
    <n v="42037.286303630361"/>
    <n v="4848"/>
    <n v="5155"/>
    <n v="1195"/>
    <n v="0"/>
    <n v="0"/>
    <n v="1215"/>
    <n v="3960"/>
    <n v="4811400"/>
  </r>
  <r>
    <s v="PEK/IAD"/>
    <s v="IAD"/>
    <x v="0"/>
    <x v="4"/>
    <x v="12"/>
    <x v="4"/>
    <x v="262"/>
    <n v="11115"/>
    <x v="90"/>
    <n v="286541214"/>
    <n v="95418.319680319677"/>
    <n v="3003"/>
    <n v="3153"/>
    <n v="513"/>
    <n v="0"/>
    <n v="0"/>
    <n v="3030"/>
    <n v="2640"/>
    <n v="7999200"/>
  </r>
  <r>
    <s v="PEK/IAH"/>
    <s v="IAH"/>
    <x v="0"/>
    <x v="4"/>
    <x v="12"/>
    <x v="4"/>
    <x v="263"/>
    <n v="11559"/>
    <x v="83"/>
    <n v="301296992"/>
    <n v="94361.726276229252"/>
    <n v="3193"/>
    <n v="3385"/>
    <n v="745"/>
    <n v="0"/>
    <n v="0"/>
    <n v="3036"/>
    <n v="2640"/>
    <n v="8015040"/>
  </r>
  <r>
    <s v="PEK/IAM"/>
    <s v="IAM"/>
    <x v="0"/>
    <x v="2"/>
    <x v="11"/>
    <x v="3"/>
    <x v="264"/>
    <n v="9333"/>
    <x v="67"/>
    <n v="221934689"/>
    <n v="75283.137381275446"/>
    <n v="2948"/>
    <n v="3115"/>
    <n v="475"/>
    <n v="0"/>
    <n v="0"/>
    <n v="2500"/>
    <n v="2640"/>
    <n v="6600000"/>
  </r>
  <r>
    <s v="PEK/IST"/>
    <s v="IST"/>
    <x v="0"/>
    <x v="4"/>
    <x v="15"/>
    <x v="0"/>
    <x v="265"/>
    <n v="7062"/>
    <x v="6"/>
    <n v="258182877"/>
    <n v="79197.201533742336"/>
    <n v="3260"/>
    <n v="3379"/>
    <n v="739"/>
    <n v="0"/>
    <n v="0"/>
    <n v="2055"/>
    <n v="2640"/>
    <n v="5425200"/>
  </r>
  <r>
    <s v="PEK/IXB"/>
    <s v="IXB"/>
    <x v="0"/>
    <x v="2"/>
    <x v="46"/>
    <x v="0"/>
    <x v="266"/>
    <n v="2998"/>
    <x v="34"/>
    <n v="167290984"/>
    <n v="39746.016631028746"/>
    <n v="4209"/>
    <n v="4349"/>
    <n v="389"/>
    <n v="0"/>
    <n v="0"/>
    <n v="944"/>
    <n v="3960"/>
    <n v="3738240"/>
  </r>
  <r>
    <s v="PEK/IXL"/>
    <s v="IXL"/>
    <x v="0"/>
    <x v="2"/>
    <x v="46"/>
    <x v="0"/>
    <x v="267"/>
    <n v="3496"/>
    <x v="3"/>
    <n v="166513679"/>
    <n v="41869.167462911741"/>
    <n v="3977"/>
    <n v="4137"/>
    <n v="177"/>
    <n v="0"/>
    <n v="0"/>
    <n v="1058"/>
    <n v="3960"/>
    <n v="4189680"/>
  </r>
  <r>
    <s v="PEK/IXZ"/>
    <s v="IXZ"/>
    <x v="0"/>
    <x v="2"/>
    <x v="46"/>
    <x v="0"/>
    <x v="268"/>
    <n v="3935"/>
    <x v="1"/>
    <n v="175497950"/>
    <n v="44351.263583522872"/>
    <n v="3957"/>
    <n v="4129"/>
    <n v="169"/>
    <n v="0"/>
    <n v="0"/>
    <n v="1164"/>
    <n v="3960"/>
    <n v="4609440"/>
  </r>
  <r>
    <s v="PEK/JAI"/>
    <s v="JAI"/>
    <x v="0"/>
    <x v="0"/>
    <x v="46"/>
    <x v="0"/>
    <x v="269"/>
    <n v="4019"/>
    <x v="17"/>
    <n v="184344274"/>
    <n v="43324.153701527612"/>
    <n v="4255"/>
    <n v="4539"/>
    <n v="579"/>
    <n v="0"/>
    <n v="0"/>
    <n v="1092"/>
    <n v="3960"/>
    <n v="4324320"/>
  </r>
  <r>
    <s v="PEK/JFK"/>
    <s v="JFK"/>
    <x v="0"/>
    <x v="4"/>
    <x v="12"/>
    <x v="4"/>
    <x v="270"/>
    <n v="10981"/>
    <x v="74"/>
    <n v="298769600"/>
    <n v="92155.953115360884"/>
    <n v="3242"/>
    <n v="3458"/>
    <n v="818"/>
    <n v="0"/>
    <n v="0"/>
    <n v="2819"/>
    <n v="2640"/>
    <n v="7442160"/>
  </r>
  <r>
    <s v="PEK/JHB"/>
    <s v="JHB"/>
    <x v="0"/>
    <x v="0"/>
    <x v="49"/>
    <x v="0"/>
    <x v="271"/>
    <n v="4470"/>
    <x v="57"/>
    <n v="186021943"/>
    <n v="57663.342529448229"/>
    <n v="3226"/>
    <n v="3409"/>
    <n v="769"/>
    <n v="0"/>
    <n v="0"/>
    <n v="1249"/>
    <n v="2640"/>
    <n v="3297360"/>
  </r>
  <r>
    <s v="PEK/JIB"/>
    <s v="JIB"/>
    <x v="0"/>
    <x v="2"/>
    <x v="93"/>
    <x v="3"/>
    <x v="272"/>
    <n v="7780"/>
    <x v="84"/>
    <n v="209026154"/>
    <n v="55079.355467720685"/>
    <n v="3795"/>
    <n v="4023"/>
    <n v="63"/>
    <n v="0"/>
    <n v="0"/>
    <n v="2075"/>
    <n v="3960"/>
    <n v="8217000"/>
  </r>
  <r>
    <s v="PEK/JNB"/>
    <s v="JNB"/>
    <x v="0"/>
    <x v="1"/>
    <x v="79"/>
    <x v="3"/>
    <x v="273"/>
    <n v="11711"/>
    <x v="72"/>
    <n v="288319772"/>
    <n v="56093.340856031129"/>
    <n v="5140"/>
    <n v="5414"/>
    <n v="134"/>
    <n v="0"/>
    <n v="0"/>
    <n v="3150"/>
    <n v="5280"/>
    <n v="16632000"/>
  </r>
  <r>
    <s v="PEK/JRO"/>
    <s v="JRO"/>
    <x v="0"/>
    <x v="2"/>
    <x v="80"/>
    <x v="3"/>
    <x v="274"/>
    <n v="9368"/>
    <x v="67"/>
    <n v="226838235"/>
    <n v="57210.147540983606"/>
    <n v="3965"/>
    <n v="4098"/>
    <n v="138"/>
    <n v="0"/>
    <n v="0"/>
    <n v="2721"/>
    <n v="3960"/>
    <n v="10775160"/>
  </r>
  <r>
    <s v="PEK/KAD"/>
    <s v="KAD"/>
    <x v="0"/>
    <x v="2"/>
    <x v="59"/>
    <x v="3"/>
    <x v="275"/>
    <n v="10831"/>
    <x v="71"/>
    <n v="237213867"/>
    <n v="56331.956067442414"/>
    <n v="4211"/>
    <n v="4478"/>
    <n v="518"/>
    <n v="0"/>
    <n v="0"/>
    <n v="2816"/>
    <n v="3960"/>
    <n v="11151360"/>
  </r>
  <r>
    <s v="PEK/KAN"/>
    <s v="KAN"/>
    <x v="0"/>
    <x v="1"/>
    <x v="59"/>
    <x v="3"/>
    <x v="276"/>
    <n v="10633"/>
    <x v="73"/>
    <n v="264667950"/>
    <n v="48235.456533624929"/>
    <n v="5487"/>
    <n v="5780"/>
    <n v="500"/>
    <n v="0"/>
    <n v="0"/>
    <n v="2869"/>
    <n v="5280"/>
    <n v="15148320"/>
  </r>
  <r>
    <s v="PEK/KER"/>
    <s v="KER"/>
    <x v="0"/>
    <x v="2"/>
    <x v="32"/>
    <x v="0"/>
    <x v="277"/>
    <n v="5428"/>
    <x v="102"/>
    <n v="191622733"/>
    <n v="61476.654796278475"/>
    <n v="3117"/>
    <n v="3325"/>
    <n v="685"/>
    <n v="0"/>
    <n v="0"/>
    <n v="1441"/>
    <n v="2640"/>
    <n v="3804240"/>
  </r>
  <r>
    <s v="PEK/KIM"/>
    <s v="KIM"/>
    <x v="0"/>
    <x v="3"/>
    <x v="79"/>
    <x v="3"/>
    <x v="278"/>
    <n v="12163"/>
    <x v="78"/>
    <n v="246325960"/>
    <n v="72470.126507796405"/>
    <n v="3399"/>
    <n v="3535"/>
    <n v="895"/>
    <n v="0"/>
    <n v="0"/>
    <n v="3423"/>
    <n v="2640"/>
    <n v="9036720"/>
  </r>
  <r>
    <s v="PEK/KJT"/>
    <s v="KJT"/>
    <x v="0"/>
    <x v="1"/>
    <x v="39"/>
    <x v="0"/>
    <x v="279"/>
    <n v="5268"/>
    <x v="61"/>
    <n v="215051832"/>
    <n v="52007.698186215239"/>
    <n v="4135"/>
    <n v="4287"/>
    <n v="327"/>
    <n v="0"/>
    <n v="0"/>
    <n v="1560"/>
    <n v="3960"/>
    <n v="6177600"/>
  </r>
  <r>
    <s v="PEK/KMG"/>
    <s v="KMG"/>
    <x v="0"/>
    <x v="1"/>
    <x v="30"/>
    <x v="0"/>
    <x v="280"/>
    <n v="2115"/>
    <x v="9"/>
    <n v="192135126"/>
    <n v="48105.940410615927"/>
    <n v="3994"/>
    <n v="4261"/>
    <n v="301"/>
    <n v="0"/>
    <n v="0"/>
    <n v="620"/>
    <n v="3960"/>
    <n v="2455200"/>
  </r>
  <r>
    <s v="PEK/KNO"/>
    <s v="KNO"/>
    <x v="0"/>
    <x v="1"/>
    <x v="39"/>
    <x v="0"/>
    <x v="281"/>
    <n v="4427"/>
    <x v="57"/>
    <n v="209269837"/>
    <n v="46525.08603823922"/>
    <n v="4498"/>
    <n v="4784"/>
    <n v="824"/>
    <n v="0"/>
    <n v="0"/>
    <n v="1208"/>
    <n v="3960"/>
    <n v="4783680"/>
  </r>
  <r>
    <s v="PEK/KRT"/>
    <s v="KRT"/>
    <x v="0"/>
    <x v="2"/>
    <x v="84"/>
    <x v="3"/>
    <x v="282"/>
    <n v="8402"/>
    <x v="46"/>
    <n v="217237052"/>
    <n v="54692.107754279961"/>
    <n v="3972"/>
    <n v="4197"/>
    <n v="237"/>
    <n v="0"/>
    <n v="0"/>
    <n v="2260"/>
    <n v="3960"/>
    <n v="8949600"/>
  </r>
  <r>
    <s v="PEK/KUL"/>
    <s v="KUL"/>
    <x v="0"/>
    <x v="4"/>
    <x v="49"/>
    <x v="0"/>
    <x v="283"/>
    <n v="4414"/>
    <x v="57"/>
    <n v="221301238"/>
    <n v="50444.777296558015"/>
    <n v="4387"/>
    <n v="4636"/>
    <n v="676"/>
    <n v="0"/>
    <n v="0"/>
    <n v="1235"/>
    <n v="3960"/>
    <n v="4890600"/>
  </r>
  <r>
    <s v="PEK/KWI"/>
    <s v="KWI"/>
    <x v="0"/>
    <x v="1"/>
    <x v="94"/>
    <x v="0"/>
    <x v="284"/>
    <n v="6239"/>
    <x v="87"/>
    <n v="222423299"/>
    <n v="63549.514000000003"/>
    <n v="3500"/>
    <n v="3722"/>
    <n v="1082"/>
    <n v="0"/>
    <n v="0"/>
    <n v="1663"/>
    <n v="2640"/>
    <n v="4390320"/>
  </r>
  <r>
    <s v="PEK/LAD"/>
    <s v="LAD"/>
    <x v="0"/>
    <x v="0"/>
    <x v="75"/>
    <x v="3"/>
    <x v="285"/>
    <n v="11777"/>
    <x v="75"/>
    <n v="266431801"/>
    <n v="54285.208027709865"/>
    <n v="4908"/>
    <n v="5154"/>
    <n v="1194"/>
    <n v="0"/>
    <n v="0"/>
    <n v="3204"/>
    <n v="3960"/>
    <n v="12687840"/>
  </r>
  <r>
    <s v="PEK/LAS"/>
    <s v="LAS"/>
    <x v="0"/>
    <x v="4"/>
    <x v="12"/>
    <x v="4"/>
    <x v="286"/>
    <n v="10034"/>
    <x v="12"/>
    <n v="286308774"/>
    <n v="98421.716741148164"/>
    <n v="2909"/>
    <n v="3102"/>
    <n v="462"/>
    <n v="0"/>
    <n v="0"/>
    <n v="2584"/>
    <n v="2640"/>
    <n v="6821760"/>
  </r>
  <r>
    <s v="PEK/LAX"/>
    <s v="LAX"/>
    <x v="0"/>
    <x v="4"/>
    <x v="12"/>
    <x v="4"/>
    <x v="287"/>
    <n v="10040"/>
    <x v="12"/>
    <n v="289248862"/>
    <n v="97455.816037735844"/>
    <n v="2968"/>
    <n v="3137"/>
    <n v="497"/>
    <n v="0"/>
    <n v="0"/>
    <n v="2682"/>
    <n v="2640"/>
    <n v="7080480"/>
  </r>
  <r>
    <s v="PEK/LBV"/>
    <s v="LBV"/>
    <x v="0"/>
    <x v="2"/>
    <x v="95"/>
    <x v="3"/>
    <x v="288"/>
    <n v="11428"/>
    <x v="98"/>
    <n v="252995076"/>
    <n v="67736.29879518073"/>
    <n v="3735"/>
    <n v="3922"/>
    <n v="1282"/>
    <n v="0"/>
    <n v="0"/>
    <n v="3112"/>
    <n v="2640"/>
    <n v="8215680"/>
  </r>
  <r>
    <s v="PEK/LCE"/>
    <s v="LCE"/>
    <x v="0"/>
    <x v="2"/>
    <x v="96"/>
    <x v="2"/>
    <x v="289"/>
    <n v="13354"/>
    <x v="86"/>
    <n v="263580429"/>
    <n v="77752.338938053101"/>
    <n v="3390"/>
    <n v="3549"/>
    <n v="909"/>
    <n v="0"/>
    <n v="0"/>
    <n v="3662"/>
    <n v="2640"/>
    <n v="9667680"/>
  </r>
  <r>
    <s v="PEK/LFW"/>
    <s v="LFW"/>
    <x v="0"/>
    <x v="2"/>
    <x v="97"/>
    <x v="3"/>
    <x v="290"/>
    <n v="11662"/>
    <x v="72"/>
    <n v="250741246"/>
    <n v="55180.731954225354"/>
    <n v="4544"/>
    <n v="4847"/>
    <n v="887"/>
    <n v="0"/>
    <n v="0"/>
    <n v="2988"/>
    <n v="3960"/>
    <n v="11832480"/>
  </r>
  <r>
    <s v="PEK/LGK"/>
    <s v="LGK"/>
    <x v="0"/>
    <x v="2"/>
    <x v="49"/>
    <x v="0"/>
    <x v="291"/>
    <n v="4113"/>
    <x v="36"/>
    <n v="181304080"/>
    <n v="56131.294117647056"/>
    <n v="3230"/>
    <n v="3381"/>
    <n v="741"/>
    <n v="0"/>
    <n v="0"/>
    <n v="1199"/>
    <n v="2640"/>
    <n v="3165360"/>
  </r>
  <r>
    <s v="PEK/LGW"/>
    <s v="LGW"/>
    <x v="0"/>
    <x v="4"/>
    <x v="98"/>
    <x v="1"/>
    <x v="292"/>
    <n v="8167"/>
    <x v="95"/>
    <n v="262900259"/>
    <n v="80619.521312480836"/>
    <n v="3261"/>
    <n v="3380"/>
    <n v="740"/>
    <n v="0"/>
    <n v="0"/>
    <n v="2359"/>
    <n v="2640"/>
    <n v="6227760"/>
  </r>
  <r>
    <s v="PEK/LHR"/>
    <s v="LHR"/>
    <x v="0"/>
    <x v="4"/>
    <x v="98"/>
    <x v="1"/>
    <x v="293"/>
    <n v="8155"/>
    <x v="95"/>
    <n v="269323616"/>
    <n v="79166.259847148729"/>
    <n v="3402"/>
    <n v="3629"/>
    <n v="989"/>
    <n v="0"/>
    <n v="0"/>
    <n v="2118"/>
    <n v="2640"/>
    <n v="5591520"/>
  </r>
  <r>
    <s v="PEK/LOO"/>
    <s v="LOO"/>
    <x v="0"/>
    <x v="3"/>
    <x v="11"/>
    <x v="3"/>
    <x v="294"/>
    <n v="9355"/>
    <x v="67"/>
    <n v="214051022"/>
    <n v="83875.79231974922"/>
    <n v="2552"/>
    <n v="2679"/>
    <n v="39"/>
    <n v="0"/>
    <n v="0"/>
    <n v="2567"/>
    <n v="2640"/>
    <n v="6776880"/>
  </r>
  <r>
    <s v="PEK/LOS"/>
    <s v="LOS"/>
    <x v="0"/>
    <x v="1"/>
    <x v="59"/>
    <x v="3"/>
    <x v="295"/>
    <n v="11466"/>
    <x v="98"/>
    <n v="273064984"/>
    <n v="49865.775018261505"/>
    <n v="5476"/>
    <n v="5476"/>
    <n v="196"/>
    <n v="0"/>
    <n v="0"/>
    <n v="3674"/>
    <n v="5280"/>
    <n v="19398720"/>
  </r>
  <r>
    <s v="PEK/LUN"/>
    <s v="LUN"/>
    <x v="0"/>
    <x v="2"/>
    <x v="99"/>
    <x v="3"/>
    <x v="296"/>
    <n v="10945"/>
    <x v="96"/>
    <n v="247782892"/>
    <n v="52440.823703703703"/>
    <n v="4725"/>
    <n v="4962"/>
    <n v="1002"/>
    <n v="0"/>
    <n v="0"/>
    <n v="2985"/>
    <n v="3960"/>
    <n v="11820600"/>
  </r>
  <r>
    <s v="PEK/LXA"/>
    <s v="LXA"/>
    <x v="0"/>
    <x v="0"/>
    <x v="30"/>
    <x v="0"/>
    <x v="297"/>
    <n v="2624"/>
    <x v="107"/>
    <n v="178725063"/>
    <n v="43794.428571428572"/>
    <n v="4081"/>
    <n v="4326"/>
    <n v="366"/>
    <n v="0"/>
    <n v="0"/>
    <n v="765"/>
    <n v="3960"/>
    <n v="3029400"/>
  </r>
  <r>
    <s v="PEK/LXR"/>
    <s v="LXR"/>
    <x v="0"/>
    <x v="0"/>
    <x v="14"/>
    <x v="3"/>
    <x v="298"/>
    <n v="7714"/>
    <x v="84"/>
    <n v="222809524"/>
    <n v="62185.186715043259"/>
    <n v="3583"/>
    <n v="3739"/>
    <n v="1099"/>
    <n v="0"/>
    <n v="0"/>
    <n v="2184"/>
    <n v="2640"/>
    <n v="5765760"/>
  </r>
  <r>
    <s v="PEK/MAA"/>
    <s v="MAA"/>
    <x v="0"/>
    <x v="1"/>
    <x v="46"/>
    <x v="0"/>
    <x v="299"/>
    <n v="4655"/>
    <x v="26"/>
    <n v="211837425"/>
    <n v="45901.933911159264"/>
    <n v="4615"/>
    <n v="4831"/>
    <n v="871"/>
    <n v="0"/>
    <n v="0"/>
    <n v="1344"/>
    <n v="3960"/>
    <n v="5322240"/>
  </r>
  <r>
    <s v="PEK/MAN"/>
    <s v="MAN"/>
    <x v="0"/>
    <x v="4"/>
    <x v="98"/>
    <x v="1"/>
    <x v="300"/>
    <n v="8094"/>
    <x v="43"/>
    <n v="255459812"/>
    <n v="82194.276705276701"/>
    <n v="3108"/>
    <n v="3211"/>
    <n v="571"/>
    <n v="0"/>
    <n v="0"/>
    <n v="2366"/>
    <n v="2640"/>
    <n v="6246240"/>
  </r>
  <r>
    <s v="PEK/MCO"/>
    <s v="MCO"/>
    <x v="0"/>
    <x v="4"/>
    <x v="12"/>
    <x v="4"/>
    <x v="301"/>
    <n v="12179"/>
    <x v="78"/>
    <n v="304795040"/>
    <n v="96975.832007636011"/>
    <n v="3143"/>
    <n v="3332"/>
    <n v="692"/>
    <n v="0"/>
    <n v="0"/>
    <n v="3193"/>
    <n v="2640"/>
    <n v="8429520"/>
  </r>
  <r>
    <s v="PEK/MED"/>
    <s v="MED"/>
    <x v="0"/>
    <x v="4"/>
    <x v="16"/>
    <x v="0"/>
    <x v="302"/>
    <n v="7209"/>
    <x v="15"/>
    <n v="247334934"/>
    <n v="64578.31174934726"/>
    <n v="3830"/>
    <n v="4022"/>
    <n v="62"/>
    <n v="0"/>
    <n v="0"/>
    <n v="2000"/>
    <n v="3960"/>
    <n v="7920000"/>
  </r>
  <r>
    <s v="PEK/MEX"/>
    <s v="MEX"/>
    <x v="0"/>
    <x v="4"/>
    <x v="56"/>
    <x v="2"/>
    <x v="303"/>
    <n v="12439"/>
    <x v="97"/>
    <n v="300609892"/>
    <n v="70582.270955623389"/>
    <n v="4259"/>
    <n v="4416"/>
    <n v="456"/>
    <n v="0"/>
    <n v="0"/>
    <n v="3538"/>
    <n v="3960"/>
    <n v="14010480"/>
  </r>
  <r>
    <s v="PEK/MGQ"/>
    <s v="MGQ"/>
    <x v="0"/>
    <x v="3"/>
    <x v="66"/>
    <x v="3"/>
    <x v="304"/>
    <n v="8281"/>
    <x v="80"/>
    <n v="211500824"/>
    <n v="46524.598328200613"/>
    <n v="4546"/>
    <n v="4728"/>
    <n v="768"/>
    <n v="0"/>
    <n v="0"/>
    <n v="2364"/>
    <n v="3960"/>
    <n v="9361440"/>
  </r>
  <r>
    <s v="PEK/MHD"/>
    <s v="MHD"/>
    <x v="0"/>
    <x v="0"/>
    <x v="32"/>
    <x v="0"/>
    <x v="305"/>
    <n v="4913"/>
    <x v="16"/>
    <n v="192965668"/>
    <n v="57584.502536556254"/>
    <n v="3351"/>
    <n v="3519"/>
    <n v="879"/>
    <n v="0"/>
    <n v="0"/>
    <n v="1396"/>
    <n v="2640"/>
    <n v="3685440"/>
  </r>
  <r>
    <s v="PEK/MIA"/>
    <s v="MIA"/>
    <x v="0"/>
    <x v="4"/>
    <x v="12"/>
    <x v="4"/>
    <x v="306"/>
    <n v="12488"/>
    <x v="97"/>
    <n v="308527315"/>
    <n v="97914.095525230092"/>
    <n v="3151"/>
    <n v="3319"/>
    <n v="679"/>
    <n v="0"/>
    <n v="0"/>
    <n v="3352"/>
    <n v="2640"/>
    <n v="8849280"/>
  </r>
  <r>
    <s v="PEK/MID"/>
    <s v="MID"/>
    <x v="0"/>
    <x v="0"/>
    <x v="56"/>
    <x v="2"/>
    <x v="307"/>
    <n v="12708"/>
    <x v="79"/>
    <n v="268175557"/>
    <n v="84812.004111321949"/>
    <n v="3162"/>
    <n v="3320"/>
    <n v="680"/>
    <n v="0"/>
    <n v="0"/>
    <n v="3450"/>
    <n v="2640"/>
    <n v="9108000"/>
  </r>
  <r>
    <s v="PEK/MIR"/>
    <s v="MIR"/>
    <x v="0"/>
    <x v="0"/>
    <x v="54"/>
    <x v="3"/>
    <x v="308"/>
    <n v="8682"/>
    <x v="48"/>
    <n v="238861562"/>
    <n v="66350.433888888889"/>
    <n v="3600"/>
    <n v="3792"/>
    <n v="1152"/>
    <n v="0"/>
    <n v="0"/>
    <n v="2361"/>
    <n v="2640"/>
    <n v="6233040"/>
  </r>
  <r>
    <s v="PEK/MLM"/>
    <s v="MLM"/>
    <x v="0"/>
    <x v="2"/>
    <x v="56"/>
    <x v="2"/>
    <x v="309"/>
    <n v="12299"/>
    <x v="103"/>
    <n v="259127914"/>
    <n v="86203.564204923488"/>
    <n v="3006"/>
    <n v="3207"/>
    <n v="567"/>
    <n v="0"/>
    <n v="0"/>
    <n v="3145"/>
    <n v="2640"/>
    <n v="8302800"/>
  </r>
  <r>
    <s v="PEK/MQP"/>
    <s v="MQP"/>
    <x v="0"/>
    <x v="2"/>
    <x v="79"/>
    <x v="3"/>
    <x v="310"/>
    <n v="11433"/>
    <x v="98"/>
    <n v="244152600"/>
    <n v="67990.142021720967"/>
    <n v="3591"/>
    <n v="3734"/>
    <n v="1094"/>
    <n v="0"/>
    <n v="0"/>
    <n v="3224"/>
    <n v="2640"/>
    <n v="8511360"/>
  </r>
  <r>
    <s v="PEK/MSP"/>
    <s v="MSP"/>
    <x v="0"/>
    <x v="4"/>
    <x v="12"/>
    <x v="4"/>
    <x v="311"/>
    <n v="10112"/>
    <x v="23"/>
    <n v="281903006"/>
    <n v="90760.787508048932"/>
    <n v="3106"/>
    <n v="3272"/>
    <n v="632"/>
    <n v="0"/>
    <n v="0"/>
    <n v="2733"/>
    <n v="2640"/>
    <n v="7215120"/>
  </r>
  <r>
    <s v="PEK/MSU"/>
    <s v="MSU"/>
    <x v="0"/>
    <x v="3"/>
    <x v="100"/>
    <x v="3"/>
    <x v="312"/>
    <n v="11988"/>
    <x v="81"/>
    <n v="245562548"/>
    <n v="60245.963689892051"/>
    <n v="4076"/>
    <n v="4280"/>
    <n v="320"/>
    <n v="0"/>
    <n v="0"/>
    <n v="3260"/>
    <n v="3960"/>
    <n v="12909600"/>
  </r>
  <r>
    <s v="PEK/MUC"/>
    <s v="MUC"/>
    <x v="0"/>
    <x v="4"/>
    <x v="35"/>
    <x v="1"/>
    <x v="313"/>
    <n v="7722"/>
    <x v="84"/>
    <n v="259201576"/>
    <n v="79339.325374961743"/>
    <n v="3267"/>
    <n v="3474"/>
    <n v="834"/>
    <n v="0"/>
    <n v="0"/>
    <n v="2035"/>
    <n v="2640"/>
    <n v="5372400"/>
  </r>
  <r>
    <s v="PEK/MWZ"/>
    <s v="MWZ"/>
    <x v="0"/>
    <x v="2"/>
    <x v="80"/>
    <x v="3"/>
    <x v="314"/>
    <n v="9646"/>
    <x v="59"/>
    <n v="227625947"/>
    <n v="58530.714065312422"/>
    <n v="3889"/>
    <n v="4084"/>
    <n v="124"/>
    <n v="0"/>
    <n v="0"/>
    <n v="2643"/>
    <n v="3960"/>
    <n v="10466280"/>
  </r>
  <r>
    <s v="PEK/NAG"/>
    <s v="NAG"/>
    <x v="0"/>
    <x v="0"/>
    <x v="46"/>
    <x v="0"/>
    <x v="315"/>
    <n v="4124"/>
    <x v="36"/>
    <n v="182887291"/>
    <n v="43910.514045618249"/>
    <n v="4165"/>
    <n v="4429"/>
    <n v="469"/>
    <n v="0"/>
    <n v="0"/>
    <n v="1132"/>
    <n v="3960"/>
    <n v="4482720"/>
  </r>
  <r>
    <s v="PEK/NAS"/>
    <s v="NAS"/>
    <x v="0"/>
    <x v="0"/>
    <x v="87"/>
    <x v="2"/>
    <x v="316"/>
    <n v="12632"/>
    <x v="105"/>
    <n v="275108244"/>
    <n v="85756.933915211965"/>
    <n v="3208"/>
    <n v="3336"/>
    <n v="696"/>
    <n v="0"/>
    <n v="0"/>
    <n v="3550"/>
    <n v="2640"/>
    <n v="9372000"/>
  </r>
  <r>
    <s v="PEK/NBE"/>
    <s v="NBE"/>
    <x v="0"/>
    <x v="2"/>
    <x v="54"/>
    <x v="3"/>
    <x v="317"/>
    <n v="8680"/>
    <x v="48"/>
    <n v="216353089"/>
    <n v="74476.106368330467"/>
    <n v="2905"/>
    <n v="3060"/>
    <n v="420"/>
    <n v="0"/>
    <n v="0"/>
    <n v="2360"/>
    <n v="2640"/>
    <n v="6230400"/>
  </r>
  <r>
    <s v="PEK/NDR"/>
    <s v="NDR"/>
    <x v="0"/>
    <x v="2"/>
    <x v="13"/>
    <x v="3"/>
    <x v="318"/>
    <n v="9631"/>
    <x v="59"/>
    <n v="228373877"/>
    <n v="66137.815522733858"/>
    <n v="3453"/>
    <n v="3569"/>
    <n v="929"/>
    <n v="0"/>
    <n v="0"/>
    <n v="2794"/>
    <n v="2640"/>
    <n v="7376160"/>
  </r>
  <r>
    <s v="PEK/NIM"/>
    <s v="NIM"/>
    <x v="0"/>
    <x v="2"/>
    <x v="101"/>
    <x v="3"/>
    <x v="319"/>
    <n v="11017"/>
    <x v="74"/>
    <n v="241362788"/>
    <n v="48593.273203140729"/>
    <n v="4967"/>
    <n v="5298"/>
    <n v="18"/>
    <n v="0"/>
    <n v="0"/>
    <n v="2828"/>
    <n v="5280"/>
    <n v="14931840"/>
  </r>
  <r>
    <s v="PEK/NKC"/>
    <s v="NKC"/>
    <x v="0"/>
    <x v="0"/>
    <x v="102"/>
    <x v="3"/>
    <x v="320"/>
    <n v="11896"/>
    <x v="70"/>
    <n v="267841950"/>
    <n v="52662.59339362957"/>
    <n v="5086"/>
    <n v="5086"/>
    <n v="-194"/>
    <n v="0"/>
    <n v="0"/>
    <n v="3807"/>
    <n v="5280"/>
    <n v="20100960"/>
  </r>
  <r>
    <s v="PEK/NOU"/>
    <s v="NOU"/>
    <x v="0"/>
    <x v="2"/>
    <x v="103"/>
    <x v="5"/>
    <x v="321"/>
    <n v="8609"/>
    <x v="48"/>
    <n v="220283063"/>
    <n v="74951.705682204833"/>
    <n v="2939"/>
    <n v="3087"/>
    <n v="447"/>
    <n v="0"/>
    <n v="0"/>
    <n v="2369"/>
    <n v="2640"/>
    <n v="6254160"/>
  </r>
  <r>
    <s v="PEK/NSI"/>
    <s v="NSI"/>
    <x v="0"/>
    <x v="2"/>
    <x v="81"/>
    <x v="3"/>
    <x v="322"/>
    <n v="11009"/>
    <x v="74"/>
    <n v="241696505"/>
    <n v="55754.672433679356"/>
    <n v="4335"/>
    <n v="4480"/>
    <n v="520"/>
    <n v="0"/>
    <n v="0"/>
    <n v="3178"/>
    <n v="3960"/>
    <n v="12584880"/>
  </r>
  <r>
    <s v="PEK/OGX"/>
    <s v="OGX"/>
    <x v="0"/>
    <x v="3"/>
    <x v="11"/>
    <x v="3"/>
    <x v="323"/>
    <n v="9333"/>
    <x v="67"/>
    <n v="216618689"/>
    <n v="79231.41514264814"/>
    <n v="2734"/>
    <n v="2861"/>
    <n v="221"/>
    <n v="0"/>
    <n v="0"/>
    <n v="2591"/>
    <n v="2640"/>
    <n v="6840240"/>
  </r>
  <r>
    <s v="PEK/OND"/>
    <s v="OND"/>
    <x v="0"/>
    <x v="3"/>
    <x v="104"/>
    <x v="3"/>
    <x v="324"/>
    <n v="12167"/>
    <x v="78"/>
    <n v="243521931"/>
    <n v="73794.524545454551"/>
    <n v="3300"/>
    <n v="3454"/>
    <n v="814"/>
    <n v="0"/>
    <n v="0"/>
    <n v="3346"/>
    <n v="2640"/>
    <n v="8833440"/>
  </r>
  <r>
    <s v="PEK/ORN"/>
    <s v="ORN"/>
    <x v="0"/>
    <x v="2"/>
    <x v="11"/>
    <x v="3"/>
    <x v="325"/>
    <n v="9430"/>
    <x v="82"/>
    <n v="234819356"/>
    <n v="69803.613555291318"/>
    <n v="3364"/>
    <n v="3532"/>
    <n v="892"/>
    <n v="0"/>
    <n v="0"/>
    <n v="2586"/>
    <n v="2640"/>
    <n v="6827040"/>
  </r>
  <r>
    <s v="PEK/ORY"/>
    <s v="ORY"/>
    <x v="0"/>
    <x v="4"/>
    <x v="38"/>
    <x v="1"/>
    <x v="326"/>
    <n v="8222"/>
    <x v="95"/>
    <n v="260952253"/>
    <n v="93363.954561717357"/>
    <n v="2795"/>
    <n v="2935"/>
    <n v="295"/>
    <n v="0"/>
    <n v="0"/>
    <n v="2267"/>
    <n v="2640"/>
    <n v="5984880"/>
  </r>
  <r>
    <s v="PEK/OUA"/>
    <s v="OUA"/>
    <x v="0"/>
    <x v="2"/>
    <x v="72"/>
    <x v="3"/>
    <x v="327"/>
    <n v="11386"/>
    <x v="108"/>
    <n v="247884918"/>
    <n v="50900.393839835728"/>
    <n v="4870"/>
    <n v="5130"/>
    <n v="1170"/>
    <n v="0"/>
    <n v="0"/>
    <n v="3065"/>
    <n v="3960"/>
    <n v="12137400"/>
  </r>
  <r>
    <s v="PEK/OUD"/>
    <s v="OUD"/>
    <x v="0"/>
    <x v="2"/>
    <x v="13"/>
    <x v="3"/>
    <x v="328"/>
    <n v="9580"/>
    <x v="104"/>
    <n v="227987702"/>
    <n v="65911.448973691819"/>
    <n v="3459"/>
    <n v="3690"/>
    <n v="1050"/>
    <n v="0"/>
    <n v="0"/>
    <n v="2471"/>
    <n v="2640"/>
    <n v="6523440"/>
  </r>
  <r>
    <s v="PEK/OXB"/>
    <s v="OXB"/>
    <x v="0"/>
    <x v="3"/>
    <x v="105"/>
    <x v="3"/>
    <x v="329"/>
    <n v="12429"/>
    <x v="97"/>
    <n v="250901617"/>
    <n v="55805.519795373664"/>
    <n v="4496"/>
    <n v="4646"/>
    <n v="686"/>
    <n v="0"/>
    <n v="0"/>
    <n v="3574"/>
    <n v="3960"/>
    <n v="14153040"/>
  </r>
  <r>
    <s v="PEK/PAP"/>
    <s v="PAP"/>
    <x v="0"/>
    <x v="1"/>
    <x v="106"/>
    <x v="2"/>
    <x v="330"/>
    <n v="13431"/>
    <x v="86"/>
    <n v="292662253"/>
    <n v="55001.363089644801"/>
    <n v="5321"/>
    <n v="5321"/>
    <n v="41"/>
    <n v="0"/>
    <n v="0"/>
    <n v="4283"/>
    <n v="5280"/>
    <n v="22614240"/>
  </r>
  <r>
    <s v="PEK/PBC"/>
    <s v="PBC"/>
    <x v="0"/>
    <x v="2"/>
    <x v="56"/>
    <x v="2"/>
    <x v="331"/>
    <n v="12501"/>
    <x v="97"/>
    <n v="257301649"/>
    <n v="89124.228957395215"/>
    <n v="2887"/>
    <n v="3032"/>
    <n v="392"/>
    <n v="0"/>
    <n v="0"/>
    <n v="3395"/>
    <n v="2640"/>
    <n v="8962800"/>
  </r>
  <r>
    <s v="PEK/PEN"/>
    <s v="PEN"/>
    <x v="0"/>
    <x v="0"/>
    <x v="49"/>
    <x v="0"/>
    <x v="332"/>
    <n v="4199"/>
    <x v="11"/>
    <n v="191101276"/>
    <n v="52951.309504017736"/>
    <n v="3609"/>
    <n v="3837"/>
    <n v="1197"/>
    <n v="0"/>
    <n v="0"/>
    <n v="1151"/>
    <n v="2640"/>
    <n v="3038640"/>
  </r>
  <r>
    <s v="PEK/PER"/>
    <s v="PER"/>
    <x v="0"/>
    <x v="1"/>
    <x v="43"/>
    <x v="5"/>
    <x v="333"/>
    <n v="8011"/>
    <x v="45"/>
    <n v="244271931"/>
    <n v="84640.308731808735"/>
    <n v="2886"/>
    <n v="2983"/>
    <n v="343"/>
    <n v="0"/>
    <n v="0"/>
    <n v="2342"/>
    <n v="2640"/>
    <n v="6182880"/>
  </r>
  <r>
    <s v="PEK/PHC"/>
    <s v="PHC"/>
    <x v="0"/>
    <x v="2"/>
    <x v="59"/>
    <x v="3"/>
    <x v="334"/>
    <n v="11292"/>
    <x v="108"/>
    <n v="254592944"/>
    <n v="53508.395124001683"/>
    <n v="4758"/>
    <n v="5013"/>
    <n v="1053"/>
    <n v="0"/>
    <n v="0"/>
    <n v="3040"/>
    <n v="3960"/>
    <n v="12038400"/>
  </r>
  <r>
    <s v="PEK/PHL"/>
    <s v="PHL"/>
    <x v="0"/>
    <x v="4"/>
    <x v="12"/>
    <x v="4"/>
    <x v="335"/>
    <n v="11047"/>
    <x v="74"/>
    <n v="290546198"/>
    <n v="93906.33419521655"/>
    <n v="3094"/>
    <n v="3198"/>
    <n v="558"/>
    <n v="0"/>
    <n v="0"/>
    <n v="3189"/>
    <n v="2640"/>
    <n v="8418960"/>
  </r>
  <r>
    <s v="PEK/PMI"/>
    <s v="PMI"/>
    <x v="0"/>
    <x v="4"/>
    <x v="41"/>
    <x v="1"/>
    <x v="336"/>
    <n v="8912"/>
    <x v="53"/>
    <n v="263738099"/>
    <n v="85131.729825693998"/>
    <n v="3098"/>
    <n v="3202"/>
    <n v="562"/>
    <n v="0"/>
    <n v="0"/>
    <n v="2593"/>
    <n v="2640"/>
    <n v="6845520"/>
  </r>
  <r>
    <s v="PEK/PNH"/>
    <s v="PNH"/>
    <x v="0"/>
    <x v="0"/>
    <x v="107"/>
    <x v="0"/>
    <x v="337"/>
    <n v="3376"/>
    <x v="89"/>
    <n v="178904723"/>
    <n v="37775.490498310814"/>
    <n v="4736"/>
    <n v="5036"/>
    <n v="1076"/>
    <n v="0"/>
    <n v="0"/>
    <n v="944"/>
    <n v="3960"/>
    <n v="3738240"/>
  </r>
  <r>
    <s v="PEK/POP"/>
    <s v="POP"/>
    <x v="0"/>
    <x v="2"/>
    <x v="65"/>
    <x v="2"/>
    <x v="338"/>
    <n v="13323"/>
    <x v="86"/>
    <n v="273640389"/>
    <n v="77125.25056369786"/>
    <n v="3548"/>
    <n v="3702"/>
    <n v="1062"/>
    <n v="0"/>
    <n v="0"/>
    <n v="3697"/>
    <n v="2640"/>
    <n v="9760080"/>
  </r>
  <r>
    <s v="PEK/PPG"/>
    <s v="PPG"/>
    <x v="0"/>
    <x v="2"/>
    <x v="108"/>
    <x v="5"/>
    <x v="339"/>
    <n v="9621"/>
    <x v="59"/>
    <n v="221711939"/>
    <n v="79126.31655960028"/>
    <n v="2802"/>
    <n v="2915"/>
    <n v="275"/>
    <n v="0"/>
    <n v="0"/>
    <n v="2729"/>
    <n v="2640"/>
    <n v="7204560"/>
  </r>
  <r>
    <s v="PEK/PPT"/>
    <s v="PPT"/>
    <x v="0"/>
    <x v="0"/>
    <x v="109"/>
    <x v="5"/>
    <x v="340"/>
    <n v="11572"/>
    <x v="83"/>
    <n v="258444051"/>
    <n v="83883.171372930869"/>
    <n v="3081"/>
    <n v="3184"/>
    <n v="544"/>
    <n v="0"/>
    <n v="0"/>
    <n v="3336"/>
    <n v="2640"/>
    <n v="8807040"/>
  </r>
  <r>
    <s v="PEK/PVG"/>
    <s v="PVG"/>
    <x v="0"/>
    <x v="4"/>
    <x v="30"/>
    <x v="0"/>
    <x v="341"/>
    <n v="1099"/>
    <x v="41"/>
    <n v="194905738"/>
    <n v="47549.582337155407"/>
    <n v="4099"/>
    <n v="4251"/>
    <n v="291"/>
    <n v="0"/>
    <n v="0"/>
    <n v="409"/>
    <n v="3960"/>
    <n v="1619640"/>
  </r>
  <r>
    <s v="PEK/PVR"/>
    <s v="PVR"/>
    <x v="0"/>
    <x v="0"/>
    <x v="56"/>
    <x v="2"/>
    <x v="342"/>
    <n v="11991"/>
    <x v="81"/>
    <n v="269280434"/>
    <n v="78667.96202161847"/>
    <n v="3423"/>
    <n v="3537"/>
    <n v="897"/>
    <n v="0"/>
    <n v="0"/>
    <n v="3453"/>
    <n v="2640"/>
    <n v="9115920"/>
  </r>
  <r>
    <s v="PEK/ROB"/>
    <s v="ROB"/>
    <x v="0"/>
    <x v="2"/>
    <x v="110"/>
    <x v="3"/>
    <x v="343"/>
    <n v="12544"/>
    <x v="105"/>
    <n v="256763320"/>
    <n v="56506.012323943665"/>
    <n v="4544"/>
    <n v="4711"/>
    <n v="751"/>
    <n v="0"/>
    <n v="0"/>
    <n v="3567"/>
    <n v="3960"/>
    <n v="14125320"/>
  </r>
  <r>
    <s v="PEK/SAP"/>
    <s v="SAP"/>
    <x v="0"/>
    <x v="2"/>
    <x v="96"/>
    <x v="2"/>
    <x v="344"/>
    <n v="13343"/>
    <x v="86"/>
    <n v="270326812"/>
    <n v="74347.308030803077"/>
    <n v="3636"/>
    <n v="3794"/>
    <n v="1154"/>
    <n v="0"/>
    <n v="0"/>
    <n v="3702"/>
    <n v="2640"/>
    <n v="9773280"/>
  </r>
  <r>
    <s v="PEK/SBW"/>
    <s v="SBW"/>
    <x v="0"/>
    <x v="2"/>
    <x v="49"/>
    <x v="0"/>
    <x v="345"/>
    <n v="4231"/>
    <x v="11"/>
    <n v="180084788"/>
    <n v="57206.095298602289"/>
    <n v="3148"/>
    <n v="3274"/>
    <n v="634"/>
    <n v="0"/>
    <n v="0"/>
    <n v="1259"/>
    <n v="2640"/>
    <n v="3323760"/>
  </r>
  <r>
    <s v="PEK/SCU"/>
    <s v="SCU"/>
    <x v="0"/>
    <x v="2"/>
    <x v="76"/>
    <x v="2"/>
    <x v="346"/>
    <n v="13218"/>
    <x v="109"/>
    <n v="261394462"/>
    <n v="90636.082524271842"/>
    <n v="2884"/>
    <n v="2990"/>
    <n v="350"/>
    <n v="0"/>
    <n v="0"/>
    <n v="3753"/>
    <n v="2640"/>
    <n v="9907920"/>
  </r>
  <r>
    <s v="PEK/SDD"/>
    <s v="SDD"/>
    <x v="0"/>
    <x v="2"/>
    <x v="75"/>
    <x v="3"/>
    <x v="347"/>
    <n v="12168"/>
    <x v="78"/>
    <n v="252685767"/>
    <n v="60770.987734487731"/>
    <n v="4158"/>
    <n v="4422"/>
    <n v="462"/>
    <n v="0"/>
    <n v="0"/>
    <n v="3152"/>
    <n v="3960"/>
    <n v="12481920"/>
  </r>
  <r>
    <s v="PEK/SEA"/>
    <s v="SEA"/>
    <x v="0"/>
    <x v="4"/>
    <x v="12"/>
    <x v="4"/>
    <x v="348"/>
    <n v="8681"/>
    <x v="48"/>
    <n v="267468203"/>
    <n v="94545.140685754683"/>
    <n v="2829"/>
    <n v="2924"/>
    <n v="284"/>
    <n v="0"/>
    <n v="0"/>
    <n v="2529"/>
    <n v="2640"/>
    <n v="6676560"/>
  </r>
  <r>
    <s v="PEK/SEZ"/>
    <s v="SEZ"/>
    <x v="0"/>
    <x v="2"/>
    <x v="111"/>
    <x v="3"/>
    <x v="349"/>
    <n v="7957"/>
    <x v="45"/>
    <n v="211690543"/>
    <n v="82369.861089494167"/>
    <n v="2570"/>
    <n v="2656"/>
    <n v="16"/>
    <n v="0"/>
    <n v="0"/>
    <n v="2327"/>
    <n v="2640"/>
    <n v="6143280"/>
  </r>
  <r>
    <s v="PEK/SFA"/>
    <s v="SFA"/>
    <x v="0"/>
    <x v="3"/>
    <x v="54"/>
    <x v="3"/>
    <x v="350"/>
    <n v="8763"/>
    <x v="50"/>
    <n v="212504747"/>
    <n v="76966.587106120976"/>
    <n v="2761"/>
    <n v="2890"/>
    <n v="250"/>
    <n v="0"/>
    <n v="0"/>
    <n v="2438"/>
    <n v="2640"/>
    <n v="6436320"/>
  </r>
  <r>
    <s v="PEK/SFO"/>
    <s v="SFO"/>
    <x v="0"/>
    <x v="4"/>
    <x v="12"/>
    <x v="4"/>
    <x v="351"/>
    <n v="9496"/>
    <x v="104"/>
    <n v="280064546"/>
    <n v="96407.761101549055"/>
    <n v="2905"/>
    <n v="3040"/>
    <n v="400"/>
    <n v="0"/>
    <n v="0"/>
    <n v="2634"/>
    <n v="2640"/>
    <n v="6953760"/>
  </r>
  <r>
    <s v="PEK/SHA"/>
    <s v="SHA"/>
    <x v="0"/>
    <x v="4"/>
    <x v="30"/>
    <x v="0"/>
    <x v="352"/>
    <n v="1076"/>
    <x v="41"/>
    <n v="185878539"/>
    <n v="47956.279411764706"/>
    <n v="3876"/>
    <n v="4059"/>
    <n v="99"/>
    <n v="0"/>
    <n v="0"/>
    <n v="389"/>
    <n v="3960"/>
    <n v="1540440"/>
  </r>
  <r>
    <s v="PEK/SID"/>
    <s v="SID"/>
    <x v="0"/>
    <x v="2"/>
    <x v="112"/>
    <x v="3"/>
    <x v="353"/>
    <n v="12439"/>
    <x v="97"/>
    <n v="265161073"/>
    <n v="66323.429964982497"/>
    <n v="3998"/>
    <n v="4251"/>
    <n v="291"/>
    <n v="0"/>
    <n v="0"/>
    <n v="3220"/>
    <n v="3960"/>
    <n v="12751200"/>
  </r>
  <r>
    <s v="PEK/SJD"/>
    <s v="SJD"/>
    <x v="0"/>
    <x v="0"/>
    <x v="56"/>
    <x v="2"/>
    <x v="354"/>
    <n v="11508"/>
    <x v="98"/>
    <n v="262487722"/>
    <n v="78098.102350490924"/>
    <n v="3361"/>
    <n v="3529"/>
    <n v="889"/>
    <n v="0"/>
    <n v="0"/>
    <n v="3133"/>
    <n v="2640"/>
    <n v="8271120"/>
  </r>
  <r>
    <s v="PEK/SLC"/>
    <s v="SLC"/>
    <x v="0"/>
    <x v="4"/>
    <x v="12"/>
    <x v="4"/>
    <x v="355"/>
    <n v="9773"/>
    <x v="68"/>
    <n v="271399049"/>
    <n v="100184.21889996309"/>
    <n v="2709"/>
    <n v="2863"/>
    <n v="223"/>
    <n v="0"/>
    <n v="0"/>
    <n v="2613"/>
    <n v="2640"/>
    <n v="6898320"/>
  </r>
  <r>
    <s v="PEK/SLP"/>
    <s v="SLP"/>
    <x v="0"/>
    <x v="2"/>
    <x v="56"/>
    <x v="2"/>
    <x v="356"/>
    <n v="12071"/>
    <x v="81"/>
    <n v="251401064"/>
    <n v="88615.108917870995"/>
    <n v="2837"/>
    <n v="2979"/>
    <n v="339"/>
    <n v="0"/>
    <n v="0"/>
    <n v="3282"/>
    <n v="2640"/>
    <n v="8664480"/>
  </r>
  <r>
    <s v="PEK/SNU"/>
    <s v="SNU"/>
    <x v="0"/>
    <x v="3"/>
    <x v="76"/>
    <x v="2"/>
    <x v="357"/>
    <n v="12853"/>
    <x v="100"/>
    <n v="253432052"/>
    <n v="93482.866838804868"/>
    <n v="2711"/>
    <n v="2837"/>
    <n v="197"/>
    <n v="0"/>
    <n v="0"/>
    <n v="3529"/>
    <n v="2640"/>
    <n v="9316560"/>
  </r>
  <r>
    <s v="PEK/SPP"/>
    <s v="SPP"/>
    <x v="0"/>
    <x v="3"/>
    <x v="75"/>
    <x v="3"/>
    <x v="358"/>
    <n v="11799"/>
    <x v="75"/>
    <n v="242504379"/>
    <n v="62452.840329642029"/>
    <n v="3883"/>
    <n v="4091"/>
    <n v="131"/>
    <n v="0"/>
    <n v="0"/>
    <n v="3172"/>
    <n v="3960"/>
    <n v="12561120"/>
  </r>
  <r>
    <s v="PEK/SSG"/>
    <s v="SSG"/>
    <x v="0"/>
    <x v="2"/>
    <x v="113"/>
    <x v="3"/>
    <x v="359"/>
    <n v="11242"/>
    <x v="91"/>
    <n v="243848695"/>
    <n v="69255.52257881283"/>
    <n v="3521"/>
    <n v="3639"/>
    <n v="999"/>
    <n v="0"/>
    <n v="0"/>
    <n v="3244"/>
    <n v="2640"/>
    <n v="8564160"/>
  </r>
  <r>
    <s v="PEK/SSH"/>
    <s v="SSH"/>
    <x v="0"/>
    <x v="1"/>
    <x v="14"/>
    <x v="3"/>
    <x v="360"/>
    <n v="7430"/>
    <x v="20"/>
    <n v="233112586"/>
    <n v="57988.205472636815"/>
    <n v="4020"/>
    <n v="4275"/>
    <n v="315"/>
    <n v="0"/>
    <n v="0"/>
    <n v="1962"/>
    <n v="3960"/>
    <n v="7769520"/>
  </r>
  <r>
    <s v="PEK/STN"/>
    <s v="STN"/>
    <x v="0"/>
    <x v="4"/>
    <x v="98"/>
    <x v="1"/>
    <x v="361"/>
    <n v="8088"/>
    <x v="43"/>
    <n v="254959790"/>
    <n v="82298.189154293097"/>
    <n v="3098"/>
    <n v="3202"/>
    <n v="562"/>
    <n v="0"/>
    <n v="0"/>
    <n v="2364"/>
    <n v="2640"/>
    <n v="6240960"/>
  </r>
  <r>
    <s v="PEK/SUB"/>
    <s v="SUB"/>
    <x v="0"/>
    <x v="1"/>
    <x v="39"/>
    <x v="0"/>
    <x v="362"/>
    <n v="5293"/>
    <x v="61"/>
    <n v="215323744"/>
    <n v="52111.264278799616"/>
    <n v="4132"/>
    <n v="4380"/>
    <n v="420"/>
    <n v="0"/>
    <n v="0"/>
    <n v="1443"/>
    <n v="3960"/>
    <n v="5714280"/>
  </r>
  <r>
    <s v="PEK/SXR"/>
    <s v="SXR"/>
    <x v="0"/>
    <x v="2"/>
    <x v="46"/>
    <x v="0"/>
    <x v="363"/>
    <n v="3738"/>
    <x v="29"/>
    <n v="177729803"/>
    <n v="43211.719669341117"/>
    <n v="4113"/>
    <n v="4279"/>
    <n v="319"/>
    <n v="0"/>
    <n v="0"/>
    <n v="1124"/>
    <n v="3960"/>
    <n v="4451040"/>
  </r>
  <r>
    <s v="PEK/SYZ"/>
    <s v="SYZ"/>
    <x v="0"/>
    <x v="0"/>
    <x v="32"/>
    <x v="0"/>
    <x v="364"/>
    <n v="5834"/>
    <x v="21"/>
    <n v="205502958"/>
    <n v="59154.564766839379"/>
    <n v="3474"/>
    <n v="3671"/>
    <n v="1031"/>
    <n v="0"/>
    <n v="0"/>
    <n v="1600"/>
    <n v="2640"/>
    <n v="4224000"/>
  </r>
  <r>
    <s v="PEK/SZX"/>
    <s v="SZX"/>
    <x v="0"/>
    <x v="4"/>
    <x v="30"/>
    <x v="0"/>
    <x v="365"/>
    <n v="1957"/>
    <x v="64"/>
    <n v="194307406"/>
    <n v="47288.246775371139"/>
    <n v="4109"/>
    <n v="4289"/>
    <n v="329"/>
    <n v="0"/>
    <n v="0"/>
    <n v="631"/>
    <n v="3960"/>
    <n v="2498760"/>
  </r>
  <r>
    <s v="PEK/TBJ"/>
    <s v="TBJ"/>
    <x v="0"/>
    <x v="3"/>
    <x v="54"/>
    <x v="3"/>
    <x v="366"/>
    <n v="8718"/>
    <x v="50"/>
    <n v="211866808"/>
    <n v="76930.576615831524"/>
    <n v="2754"/>
    <n v="2874"/>
    <n v="234"/>
    <n v="0"/>
    <n v="0"/>
    <n v="2455"/>
    <n v="2640"/>
    <n v="6481200"/>
  </r>
  <r>
    <s v="PEK/TCP"/>
    <s v="TCP"/>
    <x v="0"/>
    <x v="2"/>
    <x v="14"/>
    <x v="3"/>
    <x v="367"/>
    <n v="7299"/>
    <x v="5"/>
    <n v="202784752"/>
    <n v="66247.877164325386"/>
    <n v="3061"/>
    <n v="3255"/>
    <n v="615"/>
    <n v="0"/>
    <n v="0"/>
    <n v="1929"/>
    <n v="2640"/>
    <n v="5092560"/>
  </r>
  <r>
    <s v="PEK/TEE"/>
    <s v="TEE"/>
    <x v="0"/>
    <x v="2"/>
    <x v="11"/>
    <x v="3"/>
    <x v="368"/>
    <n v="8883"/>
    <x v="53"/>
    <n v="215050689"/>
    <n v="74982.806485355643"/>
    <n v="2868"/>
    <n v="3041"/>
    <n v="401"/>
    <n v="0"/>
    <n v="0"/>
    <n v="2355"/>
    <n v="2640"/>
    <n v="6217200"/>
  </r>
  <r>
    <s v="PEK/TGG"/>
    <s v="TGG"/>
    <x v="0"/>
    <x v="2"/>
    <x v="49"/>
    <x v="0"/>
    <x v="369"/>
    <n v="4088"/>
    <x v="36"/>
    <n v="175263446"/>
    <n v="58460.122081387592"/>
    <n v="2998"/>
    <n v="3098"/>
    <n v="458"/>
    <n v="0"/>
    <n v="0"/>
    <n v="1248"/>
    <n v="2640"/>
    <n v="3294720"/>
  </r>
  <r>
    <s v="PEK/THR"/>
    <s v="THR"/>
    <x v="0"/>
    <x v="1"/>
    <x v="32"/>
    <x v="0"/>
    <x v="370"/>
    <n v="5620"/>
    <x v="69"/>
    <n v="217665089"/>
    <n v="54552.653884711777"/>
    <n v="3990"/>
    <n v="4216"/>
    <n v="-1064"/>
    <n v="0"/>
    <n v="0"/>
    <n v="1545"/>
    <n v="5280"/>
    <n v="8157600"/>
  </r>
  <r>
    <s v="PEK/TID"/>
    <s v="TID"/>
    <x v="0"/>
    <x v="3"/>
    <x v="11"/>
    <x v="3"/>
    <x v="371"/>
    <n v="9324"/>
    <x v="67"/>
    <n v="211850022"/>
    <n v="84201.121621621627"/>
    <n v="2516"/>
    <n v="2651"/>
    <n v="11"/>
    <n v="0"/>
    <n v="0"/>
    <n v="2528"/>
    <n v="2640"/>
    <n v="6673920"/>
  </r>
  <r>
    <s v="PEK/TIJ"/>
    <s v="TIJ"/>
    <x v="0"/>
    <x v="0"/>
    <x v="56"/>
    <x v="2"/>
    <x v="372"/>
    <n v="10245"/>
    <x v="13"/>
    <n v="253717250"/>
    <n v="72844.458799885149"/>
    <n v="3483"/>
    <n v="3681"/>
    <n v="1041"/>
    <n v="0"/>
    <n v="0"/>
    <n v="2734"/>
    <n v="2640"/>
    <n v="7217760"/>
  </r>
  <r>
    <s v="PEK/TIP"/>
    <s v="TIP"/>
    <x v="0"/>
    <x v="0"/>
    <x v="67"/>
    <x v="3"/>
    <x v="373"/>
    <n v="8740"/>
    <x v="50"/>
    <n v="236327007"/>
    <n v="73166.256037151703"/>
    <n v="3230"/>
    <n v="3402"/>
    <n v="762"/>
    <n v="0"/>
    <n v="0"/>
    <n v="2376"/>
    <n v="2640"/>
    <n v="6272640"/>
  </r>
  <r>
    <s v="PEK/TLC"/>
    <s v="TLC"/>
    <x v="0"/>
    <x v="0"/>
    <x v="56"/>
    <x v="2"/>
    <x v="374"/>
    <n v="12424"/>
    <x v="97"/>
    <n v="270984854"/>
    <n v="81206.129457596646"/>
    <n v="3337"/>
    <n v="3515"/>
    <n v="875"/>
    <n v="0"/>
    <n v="0"/>
    <n v="3335"/>
    <n v="2640"/>
    <n v="8804400"/>
  </r>
  <r>
    <s v="PEK/TLV"/>
    <s v="TLV"/>
    <x v="0"/>
    <x v="1"/>
    <x v="114"/>
    <x v="0"/>
    <x v="375"/>
    <n v="7142"/>
    <x v="15"/>
    <n v="235374213"/>
    <n v="75610.090909090912"/>
    <n v="3113"/>
    <n v="3280"/>
    <n v="640"/>
    <n v="0"/>
    <n v="0"/>
    <n v="1960"/>
    <n v="2640"/>
    <n v="5174400"/>
  </r>
  <r>
    <s v="PEK/TMR"/>
    <s v="TMR"/>
    <x v="0"/>
    <x v="2"/>
    <x v="11"/>
    <x v="3"/>
    <x v="376"/>
    <n v="10041"/>
    <x v="12"/>
    <n v="229246689"/>
    <n v="78107.900851788756"/>
    <n v="2935"/>
    <n v="3131"/>
    <n v="491"/>
    <n v="0"/>
    <n v="0"/>
    <n v="2585"/>
    <n v="2640"/>
    <n v="6824400"/>
  </r>
  <r>
    <s v="PEK/TNR"/>
    <s v="TNR"/>
    <x v="0"/>
    <x v="2"/>
    <x v="115"/>
    <x v="3"/>
    <x v="377"/>
    <n v="9686"/>
    <x v="59"/>
    <n v="234524826"/>
    <n v="57117.590355577202"/>
    <n v="4106"/>
    <n v="4257"/>
    <n v="297"/>
    <n v="0"/>
    <n v="0"/>
    <n v="2778"/>
    <n v="3960"/>
    <n v="11000880"/>
  </r>
  <r>
    <s v="PEK/TPA"/>
    <s v="TPA"/>
    <x v="0"/>
    <x v="1"/>
    <x v="12"/>
    <x v="4"/>
    <x v="378"/>
    <n v="12197"/>
    <x v="103"/>
    <n v="292779888"/>
    <n v="100370.20500514227"/>
    <n v="2917"/>
    <n v="3092"/>
    <n v="452"/>
    <n v="0"/>
    <n v="0"/>
    <n v="3198"/>
    <n v="2640"/>
    <n v="8442720"/>
  </r>
  <r>
    <s v="PEK/TRV"/>
    <s v="TRV"/>
    <x v="0"/>
    <x v="0"/>
    <x v="46"/>
    <x v="0"/>
    <x v="379"/>
    <n v="5266"/>
    <x v="61"/>
    <n v="200337066"/>
    <n v="50071.748562859284"/>
    <n v="4001"/>
    <n v="4188"/>
    <n v="-1092"/>
    <n v="0"/>
    <n v="0"/>
    <n v="1506"/>
    <n v="5280"/>
    <n v="7951680"/>
  </r>
  <r>
    <s v="PEK/TUN"/>
    <s v="TUN"/>
    <x v="0"/>
    <x v="0"/>
    <x v="54"/>
    <x v="3"/>
    <x v="380"/>
    <n v="8637"/>
    <x v="48"/>
    <n v="238197029"/>
    <n v="66294.747843028104"/>
    <n v="3593"/>
    <n v="3713"/>
    <n v="1073"/>
    <n v="0"/>
    <n v="0"/>
    <n v="2517"/>
    <n v="2640"/>
    <n v="6644880"/>
  </r>
  <r>
    <s v="PEK/ULU"/>
    <s v="ULU"/>
    <x v="0"/>
    <x v="3"/>
    <x v="83"/>
    <x v="3"/>
    <x v="381"/>
    <n v="9325"/>
    <x v="67"/>
    <n v="212226304"/>
    <n v="61550.552204176332"/>
    <n v="3448"/>
    <n v="3678"/>
    <n v="1038"/>
    <n v="0"/>
    <n v="0"/>
    <n v="2408"/>
    <n v="2640"/>
    <n v="6357120"/>
  </r>
  <r>
    <s v="PEK/UTN"/>
    <s v="UTN"/>
    <x v="0"/>
    <x v="3"/>
    <x v="79"/>
    <x v="3"/>
    <x v="382"/>
    <n v="12416"/>
    <x v="88"/>
    <n v="247295015"/>
    <n v="74419.204032500755"/>
    <n v="3323"/>
    <n v="3467"/>
    <n v="827"/>
    <n v="0"/>
    <n v="0"/>
    <n v="3452"/>
    <n v="2640"/>
    <n v="9113280"/>
  </r>
  <r>
    <s v="PEK/UYL"/>
    <s v="UYL"/>
    <x v="0"/>
    <x v="3"/>
    <x v="84"/>
    <x v="3"/>
    <x v="383"/>
    <n v="9287"/>
    <x v="67"/>
    <n v="219755255"/>
    <n v="59026.391351060971"/>
    <n v="3723"/>
    <n v="3946"/>
    <n v="1306"/>
    <n v="0"/>
    <n v="0"/>
    <n v="2458"/>
    <n v="2640"/>
    <n v="6489120"/>
  </r>
  <r>
    <s v="PEK/VHC"/>
    <s v="VHC"/>
    <x v="0"/>
    <x v="3"/>
    <x v="75"/>
    <x v="3"/>
    <x v="384"/>
    <n v="11223"/>
    <x v="91"/>
    <n v="235411232"/>
    <n v="61529.334030318874"/>
    <n v="3826"/>
    <n v="3979"/>
    <n v="19"/>
    <n v="0"/>
    <n v="0"/>
    <n v="3167"/>
    <n v="3960"/>
    <n v="12541320"/>
  </r>
  <r>
    <s v="PEK/VIE"/>
    <s v="VIE"/>
    <x v="0"/>
    <x v="4"/>
    <x v="116"/>
    <x v="1"/>
    <x v="385"/>
    <n v="7454"/>
    <x v="92"/>
    <n v="247077836"/>
    <n v="79191.614102564097"/>
    <n v="3120"/>
    <n v="3277"/>
    <n v="637"/>
    <n v="0"/>
    <n v="0"/>
    <n v="2065"/>
    <n v="2640"/>
    <n v="5451600"/>
  </r>
  <r>
    <s v="PEK/VIL"/>
    <s v="VIL"/>
    <x v="0"/>
    <x v="3"/>
    <x v="13"/>
    <x v="3"/>
    <x v="386"/>
    <n v="11387"/>
    <x v="108"/>
    <n v="234948473"/>
    <n v="69821.24011887073"/>
    <n v="3365"/>
    <n v="3511"/>
    <n v="871"/>
    <n v="0"/>
    <n v="0"/>
    <n v="3174"/>
    <n v="2640"/>
    <n v="8379360"/>
  </r>
  <r>
    <s v="PEK/VPE"/>
    <s v="VPE"/>
    <x v="0"/>
    <x v="2"/>
    <x v="75"/>
    <x v="3"/>
    <x v="387"/>
    <n v="12133"/>
    <x v="78"/>
    <n v="252652325"/>
    <n v="60530.025155725925"/>
    <n v="4174"/>
    <n v="4341"/>
    <n v="381"/>
    <n v="0"/>
    <n v="0"/>
    <n v="3415"/>
    <n v="3960"/>
    <n v="13523400"/>
  </r>
  <r>
    <s v="PEK/VRA"/>
    <s v="VRA"/>
    <x v="0"/>
    <x v="2"/>
    <x v="76"/>
    <x v="2"/>
    <x v="388"/>
    <n v="12756"/>
    <x v="100"/>
    <n v="267891462"/>
    <n v="81873.918704156473"/>
    <n v="3272"/>
    <n v="3446"/>
    <n v="806"/>
    <n v="0"/>
    <n v="0"/>
    <n v="3422"/>
    <n v="2640"/>
    <n v="9034080"/>
  </r>
  <r>
    <s v="PEK/VTE"/>
    <s v="VTE"/>
    <x v="0"/>
    <x v="2"/>
    <x v="117"/>
    <x v="0"/>
    <x v="389"/>
    <n v="2801"/>
    <x v="4"/>
    <n v="163428762"/>
    <n v="39200.950347805228"/>
    <n v="4169"/>
    <n v="4405"/>
    <n v="445"/>
    <n v="0"/>
    <n v="0"/>
    <n v="820"/>
    <n v="3960"/>
    <n v="3247200"/>
  </r>
  <r>
    <s v="PEK/VTZ"/>
    <s v="VTZ"/>
    <x v="0"/>
    <x v="2"/>
    <x v="46"/>
    <x v="0"/>
    <x v="390"/>
    <n v="4050"/>
    <x v="17"/>
    <n v="178094922"/>
    <n v="44423.777001746072"/>
    <n v="4009"/>
    <n v="4222"/>
    <n v="262"/>
    <n v="0"/>
    <n v="0"/>
    <n v="1155"/>
    <n v="3960"/>
    <n v="4573800"/>
  </r>
  <r>
    <s v="PEK/VVZ"/>
    <s v="VVZ"/>
    <x v="0"/>
    <x v="3"/>
    <x v="11"/>
    <x v="3"/>
    <x v="391"/>
    <n v="9507"/>
    <x v="104"/>
    <n v="217878689"/>
    <n v="80161.401398086833"/>
    <n v="2718"/>
    <n v="2881"/>
    <n v="241"/>
    <n v="0"/>
    <n v="0"/>
    <n v="2514"/>
    <n v="2640"/>
    <n v="6636960"/>
  </r>
  <r>
    <s v="PEK/WDH"/>
    <s v="WDH"/>
    <x v="0"/>
    <x v="2"/>
    <x v="104"/>
    <x v="3"/>
    <x v="392"/>
    <n v="12345"/>
    <x v="88"/>
    <n v="261532296"/>
    <n v="66530.729076570846"/>
    <n v="3931"/>
    <n v="4181"/>
    <n v="221"/>
    <n v="0"/>
    <n v="0"/>
    <n v="3196"/>
    <n v="3960"/>
    <n v="12656160"/>
  </r>
  <r>
    <s v="PEK/YEG"/>
    <s v="YEG"/>
    <x v="0"/>
    <x v="1"/>
    <x v="10"/>
    <x v="2"/>
    <x v="393"/>
    <n v="8574"/>
    <x v="85"/>
    <n v="243326209"/>
    <n v="90590.546909903205"/>
    <n v="2686"/>
    <n v="2793"/>
    <n v="153"/>
    <n v="0"/>
    <n v="0"/>
    <n v="2443"/>
    <n v="2640"/>
    <n v="6449520"/>
  </r>
  <r>
    <s v="PEK/YOL"/>
    <s v="YOL"/>
    <x v="0"/>
    <x v="3"/>
    <x v="59"/>
    <x v="3"/>
    <x v="394"/>
    <n v="10527"/>
    <x v="76"/>
    <n v="230205820"/>
    <n v="56953.443839683328"/>
    <n v="4042"/>
    <n v="4217"/>
    <n v="257"/>
    <n v="0"/>
    <n v="0"/>
    <n v="2943"/>
    <n v="3960"/>
    <n v="11654280"/>
  </r>
  <r>
    <s v="PEK/YVR"/>
    <s v="YVR"/>
    <x v="0"/>
    <x v="1"/>
    <x v="10"/>
    <x v="2"/>
    <x v="395"/>
    <n v="8494"/>
    <x v="85"/>
    <n v="255901394"/>
    <n v="85700.399866041524"/>
    <n v="2986"/>
    <n v="3095"/>
    <n v="455"/>
    <n v="0"/>
    <n v="0"/>
    <n v="2450"/>
    <n v="2640"/>
    <n v="6468000"/>
  </r>
  <r>
    <s v="PEK/YWG"/>
    <s v="YWG"/>
    <x v="0"/>
    <x v="0"/>
    <x v="10"/>
    <x v="2"/>
    <x v="396"/>
    <n v="9479"/>
    <x v="82"/>
    <n v="246073369"/>
    <n v="96726.953223270437"/>
    <n v="2544"/>
    <n v="2688"/>
    <n v="48"/>
    <n v="0"/>
    <n v="0"/>
    <n v="2538"/>
    <n v="2640"/>
    <n v="6700320"/>
  </r>
  <r>
    <s v="PEK/YYC"/>
    <s v="YYC"/>
    <x v="0"/>
    <x v="1"/>
    <x v="10"/>
    <x v="2"/>
    <x v="397"/>
    <n v="8751"/>
    <x v="50"/>
    <n v="253621848"/>
    <n v="88308.442896935929"/>
    <n v="2872"/>
    <n v="2978"/>
    <n v="338"/>
    <n v="0"/>
    <n v="0"/>
    <n v="2520"/>
    <n v="2640"/>
    <n v="6652800"/>
  </r>
  <r>
    <s v="PEK/ZRH"/>
    <s v="ZRH"/>
    <x v="0"/>
    <x v="4"/>
    <x v="34"/>
    <x v="1"/>
    <x v="398"/>
    <n v="7972"/>
    <x v="45"/>
    <n v="254059155"/>
    <n v="89805.286320254512"/>
    <n v="2829"/>
    <n v="2942"/>
    <n v="302"/>
    <n v="0"/>
    <n v="0"/>
    <n v="2280"/>
    <n v="2640"/>
    <n v="6019200"/>
  </r>
  <r>
    <s v="PEK/ZYL"/>
    <s v="ZYL"/>
    <x v="0"/>
    <x v="2"/>
    <x v="77"/>
    <x v="0"/>
    <x v="399"/>
    <n v="2847"/>
    <x v="18"/>
    <n v="160023848"/>
    <n v="37180.262081784385"/>
    <n v="4304"/>
    <n v="4520"/>
    <n v="560"/>
    <n v="0"/>
    <n v="0"/>
    <n v="851"/>
    <n v="3960"/>
    <n v="3369960"/>
  </r>
  <r>
    <s v="PEK/ADB"/>
    <s v="ADB"/>
    <x v="0"/>
    <x v="0"/>
    <x v="15"/>
    <x v="0"/>
    <x v="400"/>
    <n v="7353"/>
    <x v="20"/>
    <n v="229913942"/>
    <n v="61033.69843376692"/>
    <n v="3767"/>
    <n v="3955"/>
    <n v="1315"/>
    <n v="0"/>
    <n v="0"/>
    <n v="2039"/>
    <n v="2640"/>
    <n v="5382960"/>
  </r>
  <r>
    <s v="PEK/ADE"/>
    <s v="ADE"/>
    <x v="0"/>
    <x v="0"/>
    <x v="17"/>
    <x v="0"/>
    <x v="401"/>
    <n v="7533"/>
    <x v="92"/>
    <n v="209398820"/>
    <n v="56093.97803375301"/>
    <n v="3733"/>
    <n v="3920"/>
    <n v="1280"/>
    <n v="0"/>
    <n v="0"/>
    <n v="2086"/>
    <n v="2640"/>
    <n v="5507040"/>
  </r>
  <r>
    <s v="PEK/AER"/>
    <s v="AER"/>
    <x v="0"/>
    <x v="0"/>
    <x v="2"/>
    <x v="1"/>
    <x v="402"/>
    <n v="6135"/>
    <x v="52"/>
    <n v="203906342"/>
    <n v="66440.645812968389"/>
    <n v="3069"/>
    <n v="3182"/>
    <n v="542"/>
    <n v="0"/>
    <n v="0"/>
    <n v="1798"/>
    <n v="2640"/>
    <n v="4746720"/>
  </r>
  <r>
    <s v="PEK/AGP"/>
    <s v="AGP"/>
    <x v="0"/>
    <x v="1"/>
    <x v="41"/>
    <x v="1"/>
    <x v="403"/>
    <n v="9578"/>
    <x v="104"/>
    <n v="261908721"/>
    <n v="90157.907401032702"/>
    <n v="2905"/>
    <n v="3070"/>
    <n v="430"/>
    <n v="0"/>
    <n v="0"/>
    <n v="2563"/>
    <n v="2640"/>
    <n v="6766320"/>
  </r>
  <r>
    <s v="PEK/AHB"/>
    <s v="AHB"/>
    <x v="0"/>
    <x v="1"/>
    <x v="16"/>
    <x v="0"/>
    <x v="404"/>
    <n v="7368"/>
    <x v="20"/>
    <n v="240254939"/>
    <n v="66295.512969094925"/>
    <n v="3624"/>
    <n v="3782"/>
    <n v="1142"/>
    <n v="0"/>
    <n v="0"/>
    <n v="2091"/>
    <n v="2640"/>
    <n v="5520240"/>
  </r>
  <r>
    <s v="PEK/ALC"/>
    <s v="ALC"/>
    <x v="0"/>
    <x v="1"/>
    <x v="41"/>
    <x v="1"/>
    <x v="405"/>
    <n v="9212"/>
    <x v="25"/>
    <n v="254386075"/>
    <n v="90303.895988640405"/>
    <n v="2817"/>
    <n v="2949"/>
    <n v="309"/>
    <n v="0"/>
    <n v="0"/>
    <n v="2558"/>
    <n v="2640"/>
    <n v="6753120"/>
  </r>
  <r>
    <s v="PEK/ALP"/>
    <s v="ALP"/>
    <x v="0"/>
    <x v="0"/>
    <x v="7"/>
    <x v="0"/>
    <x v="406"/>
    <n v="6716"/>
    <x v="110"/>
    <n v="211057430"/>
    <n v="60302.122857142858"/>
    <n v="3500"/>
    <n v="3699"/>
    <n v="1059"/>
    <n v="0"/>
    <n v="0"/>
    <n v="1826"/>
    <n v="2640"/>
    <n v="4820640"/>
  </r>
  <r>
    <s v="PEK/ARN"/>
    <s v="ARN"/>
    <x v="0"/>
    <x v="0"/>
    <x v="28"/>
    <x v="1"/>
    <x v="407"/>
    <n v="6692"/>
    <x v="110"/>
    <n v="237018025"/>
    <n v="75435.399427116485"/>
    <n v="3142"/>
    <n v="3342"/>
    <n v="702"/>
    <n v="0"/>
    <n v="0"/>
    <n v="1777"/>
    <n v="2640"/>
    <n v="4691280"/>
  </r>
  <r>
    <s v="PEK/ATH"/>
    <s v="ATH"/>
    <x v="0"/>
    <x v="1"/>
    <x v="118"/>
    <x v="1"/>
    <x v="408"/>
    <n v="7608"/>
    <x v="14"/>
    <n v="245998908"/>
    <n v="81537.589658601253"/>
    <n v="3017"/>
    <n v="3168"/>
    <n v="528"/>
    <n v="0"/>
    <n v="0"/>
    <n v="2106"/>
    <n v="2640"/>
    <n v="5559840"/>
  </r>
  <r>
    <s v="PEK/BAX"/>
    <s v="BAX"/>
    <x v="0"/>
    <x v="0"/>
    <x v="2"/>
    <x v="1"/>
    <x v="409"/>
    <n v="2883"/>
    <x v="18"/>
    <n v="173895256"/>
    <n v="47694.80416895228"/>
    <n v="3646"/>
    <n v="3890"/>
    <n v="1250"/>
    <n v="0"/>
    <n v="0"/>
    <n v="810"/>
    <n v="2640"/>
    <n v="2138400"/>
  </r>
  <r>
    <s v="PEK/BGY"/>
    <s v="BGY"/>
    <x v="0"/>
    <x v="1"/>
    <x v="85"/>
    <x v="1"/>
    <x v="410"/>
    <n v="8032"/>
    <x v="43"/>
    <n v="239874987"/>
    <n v="88384.298820928525"/>
    <n v="2714"/>
    <n v="2868"/>
    <n v="228"/>
    <n v="0"/>
    <n v="0"/>
    <n v="2165"/>
    <n v="2640"/>
    <n v="5715600"/>
  </r>
  <r>
    <s v="PEK/BJV"/>
    <s v="BJV"/>
    <x v="0"/>
    <x v="0"/>
    <x v="15"/>
    <x v="0"/>
    <x v="411"/>
    <n v="7379"/>
    <x v="20"/>
    <n v="221881126"/>
    <n v="63667.468005738883"/>
    <n v="3485"/>
    <n v="3706"/>
    <n v="1066"/>
    <n v="0"/>
    <n v="0"/>
    <n v="1949"/>
    <n v="2640"/>
    <n v="5145360"/>
  </r>
  <r>
    <s v="PEK/BRU"/>
    <s v="BRU"/>
    <x v="0"/>
    <x v="1"/>
    <x v="119"/>
    <x v="1"/>
    <x v="412"/>
    <n v="7946"/>
    <x v="45"/>
    <n v="251045204"/>
    <n v="83961.606688963206"/>
    <n v="2990"/>
    <n v="3169"/>
    <n v="529"/>
    <n v="0"/>
    <n v="0"/>
    <n v="2118"/>
    <n v="2640"/>
    <n v="5591520"/>
  </r>
  <r>
    <s v="PEK/BTS"/>
    <s v="BTS"/>
    <x v="0"/>
    <x v="0"/>
    <x v="120"/>
    <x v="1"/>
    <x v="413"/>
    <n v="7411"/>
    <x v="20"/>
    <n v="219975346"/>
    <n v="75879.733011383229"/>
    <n v="2899"/>
    <n v="3093"/>
    <n v="453"/>
    <n v="0"/>
    <n v="0"/>
    <n v="1933"/>
    <n v="2640"/>
    <n v="5103120"/>
  </r>
  <r>
    <s v="PEK/BUD"/>
    <s v="BUD"/>
    <x v="0"/>
    <x v="1"/>
    <x v="121"/>
    <x v="1"/>
    <x v="414"/>
    <n v="7330"/>
    <x v="5"/>
    <n v="233351520"/>
    <n v="71712.206515058395"/>
    <n v="3254"/>
    <n v="3450"/>
    <n v="810"/>
    <n v="0"/>
    <n v="0"/>
    <n v="1961"/>
    <n v="2640"/>
    <n v="5177040"/>
  </r>
  <r>
    <s v="PEK/CGN"/>
    <s v="CGN"/>
    <x v="0"/>
    <x v="1"/>
    <x v="35"/>
    <x v="1"/>
    <x v="415"/>
    <n v="7808"/>
    <x v="44"/>
    <n v="241504276"/>
    <n v="84946.984171649659"/>
    <n v="2843"/>
    <n v="2967"/>
    <n v="327"/>
    <n v="0"/>
    <n v="0"/>
    <n v="2209"/>
    <n v="2640"/>
    <n v="5831760"/>
  </r>
  <r>
    <s v="PEK/CMB"/>
    <s v="CMB"/>
    <x v="0"/>
    <x v="0"/>
    <x v="122"/>
    <x v="0"/>
    <x v="416"/>
    <n v="5165"/>
    <x v="94"/>
    <n v="199396743"/>
    <n v="58663.354810238307"/>
    <n v="3399"/>
    <n v="3547"/>
    <n v="907"/>
    <n v="0"/>
    <n v="0"/>
    <n v="1497"/>
    <n v="2640"/>
    <n v="3952080"/>
  </r>
  <r>
    <s v="PEK/CPH"/>
    <s v="CPH"/>
    <x v="0"/>
    <x v="1"/>
    <x v="33"/>
    <x v="1"/>
    <x v="417"/>
    <n v="7196"/>
    <x v="15"/>
    <n v="242452768"/>
    <n v="81578.993270524894"/>
    <n v="2972"/>
    <n v="3171"/>
    <n v="531"/>
    <n v="0"/>
    <n v="0"/>
    <n v="1880"/>
    <n v="2640"/>
    <n v="4963200"/>
  </r>
  <r>
    <s v="PEK/DBV"/>
    <s v="DBV"/>
    <x v="0"/>
    <x v="0"/>
    <x v="123"/>
    <x v="1"/>
    <x v="418"/>
    <n v="7704"/>
    <x v="84"/>
    <n v="217264592"/>
    <n v="78237.159524666902"/>
    <n v="2777"/>
    <n v="2925"/>
    <n v="285"/>
    <n v="0"/>
    <n v="0"/>
    <n v="2106"/>
    <n v="2640"/>
    <n v="5559840"/>
  </r>
  <r>
    <s v="PEK/DLM"/>
    <s v="DLM"/>
    <x v="0"/>
    <x v="0"/>
    <x v="15"/>
    <x v="0"/>
    <x v="419"/>
    <n v="7328"/>
    <x v="5"/>
    <n v="223142313"/>
    <n v="62945.645416078987"/>
    <n v="3545"/>
    <n v="3746"/>
    <n v="1106"/>
    <n v="0"/>
    <n v="0"/>
    <n v="1984"/>
    <n v="2640"/>
    <n v="5237760"/>
  </r>
  <r>
    <s v="PEK/DMM"/>
    <s v="DMM"/>
    <x v="0"/>
    <x v="0"/>
    <x v="16"/>
    <x v="0"/>
    <x v="420"/>
    <n v="6245"/>
    <x v="87"/>
    <n v="213626861"/>
    <n v="67560.677103099311"/>
    <n v="3162"/>
    <n v="3331"/>
    <n v="691"/>
    <n v="0"/>
    <n v="0"/>
    <n v="1726"/>
    <n v="2640"/>
    <n v="4556640"/>
  </r>
  <r>
    <s v="PEK/DNK"/>
    <s v="DNK"/>
    <x v="0"/>
    <x v="0"/>
    <x v="124"/>
    <x v="1"/>
    <x v="421"/>
    <n v="6249"/>
    <x v="87"/>
    <n v="207324008"/>
    <n v="64930.788600062639"/>
    <n v="3193"/>
    <n v="3321"/>
    <n v="681"/>
    <n v="0"/>
    <n v="0"/>
    <n v="1810"/>
    <n v="2640"/>
    <n v="4778400"/>
  </r>
  <r>
    <s v="PEK/DOH"/>
    <s v="DOH"/>
    <x v="0"/>
    <x v="1"/>
    <x v="125"/>
    <x v="0"/>
    <x v="422"/>
    <n v="6168"/>
    <x v="52"/>
    <n v="230277849"/>
    <n v="69908.272313296897"/>
    <n v="3294"/>
    <n v="3514"/>
    <n v="874"/>
    <n v="0"/>
    <n v="0"/>
    <n v="1625"/>
    <n v="2640"/>
    <n v="4290000"/>
  </r>
  <r>
    <s v="PEK/DUS"/>
    <s v="DUS"/>
    <x v="0"/>
    <x v="1"/>
    <x v="35"/>
    <x v="1"/>
    <x v="423"/>
    <n v="7798"/>
    <x v="44"/>
    <n v="249079007"/>
    <n v="82177.171560541072"/>
    <n v="3031"/>
    <n v="3223"/>
    <n v="583"/>
    <n v="0"/>
    <n v="0"/>
    <n v="2054"/>
    <n v="2640"/>
    <n v="5422560"/>
  </r>
  <r>
    <s v="PEK/FNC"/>
    <s v="FNC"/>
    <x v="0"/>
    <x v="0"/>
    <x v="126"/>
    <x v="1"/>
    <x v="424"/>
    <n v="10611"/>
    <x v="73"/>
    <n v="253200721"/>
    <n v="80483.382390336934"/>
    <n v="3146"/>
    <n v="3273"/>
    <n v="633"/>
    <n v="0"/>
    <n v="0"/>
    <n v="2999"/>
    <n v="2640"/>
    <n v="7917360"/>
  </r>
  <r>
    <s v="PEK/GVA"/>
    <s v="GVA"/>
    <x v="0"/>
    <x v="1"/>
    <x v="34"/>
    <x v="1"/>
    <x v="425"/>
    <n v="8202"/>
    <x v="95"/>
    <n v="247451793"/>
    <n v="89754.005440696405"/>
    <n v="2757"/>
    <n v="2867"/>
    <n v="227"/>
    <n v="0"/>
    <n v="0"/>
    <n v="2342"/>
    <n v="2640"/>
    <n v="6182880"/>
  </r>
  <r>
    <s v="PEK/GYD"/>
    <s v="GYD"/>
    <x v="0"/>
    <x v="0"/>
    <x v="127"/>
    <x v="1"/>
    <x v="426"/>
    <n v="5504"/>
    <x v="102"/>
    <n v="199835403"/>
    <n v="60999.817765567765"/>
    <n v="3276"/>
    <n v="3418"/>
    <n v="778"/>
    <n v="0"/>
    <n v="0"/>
    <n v="1588"/>
    <n v="2640"/>
    <n v="4192320"/>
  </r>
  <r>
    <s v="PEK/HAJ"/>
    <s v="HAJ"/>
    <x v="0"/>
    <x v="0"/>
    <x v="35"/>
    <x v="1"/>
    <x v="427"/>
    <n v="7559"/>
    <x v="92"/>
    <n v="230348478"/>
    <n v="87286.274346343314"/>
    <n v="2639"/>
    <n v="2762"/>
    <n v="122"/>
    <n v="0"/>
    <n v="0"/>
    <n v="2118"/>
    <n v="2640"/>
    <n v="5591520"/>
  </r>
  <r>
    <s v="PEK/HAM"/>
    <s v="HAM"/>
    <x v="0"/>
    <x v="1"/>
    <x v="35"/>
    <x v="1"/>
    <x v="428"/>
    <n v="7464"/>
    <x v="92"/>
    <n v="237412627"/>
    <n v="83921.041710851889"/>
    <n v="2829"/>
    <n v="2924"/>
    <n v="284"/>
    <n v="0"/>
    <n v="0"/>
    <n v="2189"/>
    <n v="2640"/>
    <n v="5778960"/>
  </r>
  <r>
    <s v="PEK/HEL"/>
    <s v="HEL"/>
    <x v="0"/>
    <x v="1"/>
    <x v="128"/>
    <x v="1"/>
    <x v="429"/>
    <n v="6309"/>
    <x v="87"/>
    <n v="229378464"/>
    <n v="77309.896865520728"/>
    <n v="2967"/>
    <n v="3076"/>
    <n v="436"/>
    <n v="0"/>
    <n v="0"/>
    <n v="1846"/>
    <n v="2640"/>
    <n v="4873440"/>
  </r>
  <r>
    <s v="PEK/HOD"/>
    <s v="HOD"/>
    <x v="0"/>
    <x v="0"/>
    <x v="17"/>
    <x v="0"/>
    <x v="430"/>
    <n v="7576"/>
    <x v="14"/>
    <n v="198540473"/>
    <n v="60901.985582822083"/>
    <n v="3260"/>
    <n v="3456"/>
    <n v="816"/>
    <n v="0"/>
    <n v="0"/>
    <n v="2023"/>
    <n v="2640"/>
    <n v="5340720"/>
  </r>
  <r>
    <s v="PEK/ICN"/>
    <s v="ICN"/>
    <x v="0"/>
    <x v="4"/>
    <x v="31"/>
    <x v="0"/>
    <x v="431"/>
    <n v="902"/>
    <x v="111"/>
    <n v="188380342"/>
    <n v="52488.253552521594"/>
    <n v="3589"/>
    <n v="3757"/>
    <n v="1117"/>
    <n v="0"/>
    <n v="0"/>
    <n v="343"/>
    <n v="2640"/>
    <n v="905520"/>
  </r>
  <r>
    <s v="PEK/JED"/>
    <s v="JED"/>
    <x v="0"/>
    <x v="1"/>
    <x v="16"/>
    <x v="0"/>
    <x v="432"/>
    <n v="7438"/>
    <x v="20"/>
    <n v="242161864"/>
    <n v="66291.230221735561"/>
    <n v="3653"/>
    <n v="3860"/>
    <n v="1220"/>
    <n v="0"/>
    <n v="0"/>
    <n v="2012"/>
    <n v="2640"/>
    <n v="5311680"/>
  </r>
  <r>
    <s v="PEK/KBP"/>
    <s v="KBP"/>
    <x v="0"/>
    <x v="0"/>
    <x v="124"/>
    <x v="1"/>
    <x v="433"/>
    <n v="6432"/>
    <x v="112"/>
    <n v="219842697"/>
    <n v="62508.586010804662"/>
    <n v="3517"/>
    <n v="3670"/>
    <n v="1030"/>
    <n v="0"/>
    <n v="0"/>
    <n v="1838"/>
    <n v="2640"/>
    <n v="4852320"/>
  </r>
  <r>
    <s v="PEK/KEF"/>
    <s v="KEF"/>
    <x v="0"/>
    <x v="0"/>
    <x v="129"/>
    <x v="1"/>
    <x v="434"/>
    <n v="7903"/>
    <x v="45"/>
    <n v="225438214"/>
    <n v="85458.003790750576"/>
    <n v="2638"/>
    <n v="2734"/>
    <n v="94"/>
    <n v="0"/>
    <n v="0"/>
    <n v="2286"/>
    <n v="2640"/>
    <n v="6035040"/>
  </r>
  <r>
    <s v="PEK/KRR"/>
    <s v="KRR"/>
    <x v="0"/>
    <x v="0"/>
    <x v="2"/>
    <x v="1"/>
    <x v="435"/>
    <n v="6119"/>
    <x v="52"/>
    <n v="204146723"/>
    <n v="66216.90658449562"/>
    <n v="3083"/>
    <n v="3206"/>
    <n v="566"/>
    <n v="0"/>
    <n v="0"/>
    <n v="1774"/>
    <n v="2640"/>
    <n v="4683360"/>
  </r>
  <r>
    <s v="PEK/LED"/>
    <s v="LED"/>
    <x v="0"/>
    <x v="0"/>
    <x v="2"/>
    <x v="1"/>
    <x v="436"/>
    <n v="6058"/>
    <x v="51"/>
    <n v="216736742"/>
    <n v="61995.635583524025"/>
    <n v="3496"/>
    <n v="3624"/>
    <n v="984"/>
    <n v="0"/>
    <n v="0"/>
    <n v="1777"/>
    <n v="2640"/>
    <n v="4691280"/>
  </r>
  <r>
    <s v="PEK/LIS"/>
    <s v="LIS"/>
    <x v="0"/>
    <x v="1"/>
    <x v="126"/>
    <x v="1"/>
    <x v="437"/>
    <n v="9659"/>
    <x v="59"/>
    <n v="262997314"/>
    <n v="76787.536934306569"/>
    <n v="3425"/>
    <n v="3551"/>
    <n v="911"/>
    <n v="0"/>
    <n v="0"/>
    <n v="2771"/>
    <n v="2640"/>
    <n v="7315440"/>
  </r>
  <r>
    <s v="PEK/LJU"/>
    <s v="LJU"/>
    <x v="0"/>
    <x v="0"/>
    <x v="130"/>
    <x v="1"/>
    <x v="438"/>
    <n v="7706"/>
    <x v="84"/>
    <n v="220310173"/>
    <n v="84442.381372173244"/>
    <n v="2609"/>
    <n v="2757"/>
    <n v="117"/>
    <n v="0"/>
    <n v="0"/>
    <n v="2081"/>
    <n v="2640"/>
    <n v="5493840"/>
  </r>
  <r>
    <s v="PEK/LPA"/>
    <s v="LPA"/>
    <x v="0"/>
    <x v="1"/>
    <x v="41"/>
    <x v="1"/>
    <x v="439"/>
    <n v="10973"/>
    <x v="74"/>
    <n v="272860109"/>
    <n v="87792.82786357787"/>
    <n v="3108"/>
    <n v="3263"/>
    <n v="623"/>
    <n v="0"/>
    <n v="0"/>
    <n v="2992"/>
    <n v="2640"/>
    <n v="7898880"/>
  </r>
  <r>
    <s v="PEK/LYS"/>
    <s v="LYS"/>
    <x v="0"/>
    <x v="1"/>
    <x v="38"/>
    <x v="1"/>
    <x v="440"/>
    <n v="8300"/>
    <x v="80"/>
    <n v="245164111"/>
    <n v="97830.850359138072"/>
    <n v="2506"/>
    <n v="2665"/>
    <n v="25"/>
    <n v="0"/>
    <n v="0"/>
    <n v="2181"/>
    <n v="2640"/>
    <n v="5757840"/>
  </r>
  <r>
    <s v="PEK/MCT"/>
    <s v="MCT"/>
    <x v="0"/>
    <x v="0"/>
    <x v="131"/>
    <x v="0"/>
    <x v="441"/>
    <n v="5698"/>
    <x v="55"/>
    <n v="209169823"/>
    <n v="64320.363776137761"/>
    <n v="3252"/>
    <n v="3458"/>
    <n v="818"/>
    <n v="0"/>
    <n v="0"/>
    <n v="1527"/>
    <n v="2640"/>
    <n v="4031280"/>
  </r>
  <r>
    <s v="PEK/MLA"/>
    <s v="MLA"/>
    <x v="0"/>
    <x v="0"/>
    <x v="132"/>
    <x v="1"/>
    <x v="442"/>
    <n v="8419"/>
    <x v="46"/>
    <n v="233445556"/>
    <n v="74726.490396927024"/>
    <n v="3124"/>
    <n v="3239"/>
    <n v="599"/>
    <n v="0"/>
    <n v="0"/>
    <n v="2428"/>
    <n v="2640"/>
    <n v="6409920"/>
  </r>
  <r>
    <s v="PEK/MSQ"/>
    <s v="MSQ"/>
    <x v="0"/>
    <x v="2"/>
    <x v="133"/>
    <x v="1"/>
    <x v="443"/>
    <n v="6439"/>
    <x v="113"/>
    <n v="203872547"/>
    <n v="68782.91059379217"/>
    <n v="2964"/>
    <n v="3162"/>
    <n v="522"/>
    <n v="0"/>
    <n v="0"/>
    <n v="1692"/>
    <n v="2640"/>
    <n v="4466880"/>
  </r>
  <r>
    <s v="PEK/MXP"/>
    <s v="MXP"/>
    <x v="0"/>
    <x v="1"/>
    <x v="85"/>
    <x v="1"/>
    <x v="444"/>
    <n v="8094"/>
    <x v="43"/>
    <n v="253051828"/>
    <n v="84406.88058705804"/>
    <n v="2998"/>
    <n v="3138"/>
    <n v="498"/>
    <n v="0"/>
    <n v="0"/>
    <n v="2260"/>
    <n v="2640"/>
    <n v="5966400"/>
  </r>
  <r>
    <s v="PEK/NCE"/>
    <s v="NCE"/>
    <x v="0"/>
    <x v="1"/>
    <x v="38"/>
    <x v="1"/>
    <x v="445"/>
    <n v="8327"/>
    <x v="80"/>
    <n v="247728464"/>
    <n v="97034.259302781036"/>
    <n v="2553"/>
    <n v="2689"/>
    <n v="49"/>
    <n v="0"/>
    <n v="0"/>
    <n v="2268"/>
    <n v="2640"/>
    <n v="5987520"/>
  </r>
  <r>
    <s v="PEK/ODS"/>
    <s v="ODS"/>
    <x v="0"/>
    <x v="0"/>
    <x v="124"/>
    <x v="1"/>
    <x v="446"/>
    <n v="6643"/>
    <x v="19"/>
    <n v="211276530"/>
    <n v="66168.659567804571"/>
    <n v="3193"/>
    <n v="3310"/>
    <n v="670"/>
    <n v="0"/>
    <n v="0"/>
    <n v="1939"/>
    <n v="2640"/>
    <n v="5118960"/>
  </r>
  <r>
    <s v="PEK/OPO"/>
    <s v="OPO"/>
    <x v="0"/>
    <x v="0"/>
    <x v="126"/>
    <x v="1"/>
    <x v="447"/>
    <n v="9420"/>
    <x v="82"/>
    <n v="247373362"/>
    <n v="81185.875287167699"/>
    <n v="3047"/>
    <n v="3250"/>
    <n v="610"/>
    <n v="0"/>
    <n v="0"/>
    <n v="2432"/>
    <n v="2640"/>
    <n v="6420480"/>
  </r>
  <r>
    <s v="PEK/OSL"/>
    <s v="OSL"/>
    <x v="0"/>
    <x v="1"/>
    <x v="134"/>
    <x v="1"/>
    <x v="448"/>
    <n v="6984"/>
    <x v="7"/>
    <n v="242009568"/>
    <n v="71962.404995539691"/>
    <n v="3363"/>
    <n v="3554"/>
    <n v="914"/>
    <n v="0"/>
    <n v="0"/>
    <n v="1896"/>
    <n v="2640"/>
    <n v="5005440"/>
  </r>
  <r>
    <s v="PEK/PRG"/>
    <s v="PRG"/>
    <x v="0"/>
    <x v="1"/>
    <x v="135"/>
    <x v="1"/>
    <x v="449"/>
    <n v="7462"/>
    <x v="92"/>
    <n v="238832976"/>
    <n v="72748.393542491627"/>
    <n v="3283"/>
    <n v="3458"/>
    <n v="818"/>
    <n v="0"/>
    <n v="0"/>
    <n v="2043"/>
    <n v="2640"/>
    <n v="5393520"/>
  </r>
  <r>
    <s v="PEK/RHO"/>
    <s v="RHO"/>
    <x v="0"/>
    <x v="0"/>
    <x v="118"/>
    <x v="1"/>
    <x v="450"/>
    <n v="7399"/>
    <x v="20"/>
    <n v="224426244"/>
    <n v="87666.501562499994"/>
    <n v="2560"/>
    <n v="2672"/>
    <n v="32"/>
    <n v="0"/>
    <n v="0"/>
    <n v="2099"/>
    <n v="2640"/>
    <n v="5541360"/>
  </r>
  <r>
    <s v="PEK/RIX"/>
    <s v="RIX"/>
    <x v="0"/>
    <x v="0"/>
    <x v="136"/>
    <x v="1"/>
    <x v="451"/>
    <n v="6521"/>
    <x v="113"/>
    <n v="215741386"/>
    <n v="73356.472628357704"/>
    <n v="2941"/>
    <n v="3088"/>
    <n v="448"/>
    <n v="0"/>
    <n v="0"/>
    <n v="1819"/>
    <n v="2640"/>
    <n v="4802160"/>
  </r>
  <r>
    <s v="PEK/SAW"/>
    <s v="SAW"/>
    <x v="0"/>
    <x v="1"/>
    <x v="15"/>
    <x v="0"/>
    <x v="452"/>
    <n v="7044"/>
    <x v="6"/>
    <n v="227358808"/>
    <n v="60036.65381568524"/>
    <n v="3787"/>
    <n v="3939"/>
    <n v="1299"/>
    <n v="0"/>
    <n v="0"/>
    <n v="2026"/>
    <n v="2640"/>
    <n v="5348640"/>
  </r>
  <r>
    <s v="PEK/SCT"/>
    <s v="SCT"/>
    <x v="0"/>
    <x v="0"/>
    <x v="17"/>
    <x v="0"/>
    <x v="453"/>
    <n v="6794"/>
    <x v="22"/>
    <n v="190016995"/>
    <n v="58737.865533230295"/>
    <n v="3235"/>
    <n v="3386"/>
    <n v="746"/>
    <n v="0"/>
    <n v="0"/>
    <n v="1914"/>
    <n v="2640"/>
    <n v="5052960"/>
  </r>
  <r>
    <s v="PEK/SHJ"/>
    <s v="SHJ"/>
    <x v="0"/>
    <x v="0"/>
    <x v="23"/>
    <x v="0"/>
    <x v="454"/>
    <n v="5829"/>
    <x v="21"/>
    <n v="213175528"/>
    <n v="72067.45368492225"/>
    <n v="2958"/>
    <n v="3067"/>
    <n v="427"/>
    <n v="0"/>
    <n v="0"/>
    <n v="1714"/>
    <n v="2640"/>
    <n v="4524960"/>
  </r>
  <r>
    <s v="PEK/SLL"/>
    <s v="SLL"/>
    <x v="0"/>
    <x v="2"/>
    <x v="131"/>
    <x v="0"/>
    <x v="455"/>
    <n v="6476"/>
    <x v="113"/>
    <n v="197958830"/>
    <n v="74058.671904227464"/>
    <n v="2673"/>
    <n v="2771"/>
    <n v="131"/>
    <n v="0"/>
    <n v="0"/>
    <n v="1893"/>
    <n v="2640"/>
    <n v="4997520"/>
  </r>
  <r>
    <s v="PEK/SNN"/>
    <s v="SNN"/>
    <x v="0"/>
    <x v="0"/>
    <x v="137"/>
    <x v="1"/>
    <x v="456"/>
    <n v="8446"/>
    <x v="46"/>
    <n v="233234291"/>
    <n v="82648.579376328838"/>
    <n v="2822"/>
    <n v="2935"/>
    <n v="295"/>
    <n v="0"/>
    <n v="0"/>
    <n v="2409"/>
    <n v="2640"/>
    <n v="6359760"/>
  </r>
  <r>
    <s v="PEK/SOF"/>
    <s v="SOF"/>
    <x v="0"/>
    <x v="0"/>
    <x v="25"/>
    <x v="1"/>
    <x v="457"/>
    <n v="7349"/>
    <x v="20"/>
    <n v="222479363"/>
    <n v="70785.670696786503"/>
    <n v="3143"/>
    <n v="3311"/>
    <n v="671"/>
    <n v="0"/>
    <n v="0"/>
    <n v="2014"/>
    <n v="2640"/>
    <n v="5316960"/>
  </r>
  <r>
    <s v="PEK/STR"/>
    <s v="STR"/>
    <x v="0"/>
    <x v="1"/>
    <x v="35"/>
    <x v="1"/>
    <x v="458"/>
    <n v="7848"/>
    <x v="44"/>
    <n v="241661355"/>
    <n v="85032.144616467282"/>
    <n v="2842"/>
    <n v="2937"/>
    <n v="297"/>
    <n v="0"/>
    <n v="0"/>
    <n v="2296"/>
    <n v="2640"/>
    <n v="6061440"/>
  </r>
  <r>
    <s v="PEK/SVQ"/>
    <s v="SVQ"/>
    <x v="0"/>
    <x v="0"/>
    <x v="41"/>
    <x v="1"/>
    <x v="459"/>
    <n v="9596"/>
    <x v="59"/>
    <n v="249352268"/>
    <n v="95500.677135197242"/>
    <n v="2611"/>
    <n v="2707"/>
    <n v="67"/>
    <n v="0"/>
    <n v="0"/>
    <n v="2753"/>
    <n v="2640"/>
    <n v="7267920"/>
  </r>
  <r>
    <s v="PEK/TAI"/>
    <s v="TAI"/>
    <x v="0"/>
    <x v="0"/>
    <x v="17"/>
    <x v="0"/>
    <x v="460"/>
    <n v="7549"/>
    <x v="92"/>
    <n v="200141617"/>
    <n v="60084.544280996699"/>
    <n v="3331"/>
    <n v="3531"/>
    <n v="891"/>
    <n v="0"/>
    <n v="0"/>
    <n v="2017"/>
    <n v="2640"/>
    <n v="5324880"/>
  </r>
  <r>
    <s v="PEK/TER"/>
    <s v="TER"/>
    <x v="0"/>
    <x v="0"/>
    <x v="126"/>
    <x v="1"/>
    <x v="461"/>
    <n v="10505"/>
    <x v="76"/>
    <n v="235117312"/>
    <n v="89876.648318042819"/>
    <n v="2616"/>
    <n v="2747"/>
    <n v="107"/>
    <n v="0"/>
    <n v="0"/>
    <n v="2869"/>
    <n v="2640"/>
    <n v="7574160"/>
  </r>
  <r>
    <s v="PEK/TFN"/>
    <s v="TFN"/>
    <x v="0"/>
    <x v="0"/>
    <x v="41"/>
    <x v="1"/>
    <x v="462"/>
    <n v="10976"/>
    <x v="74"/>
    <n v="262320109"/>
    <n v="92366.23556338028"/>
    <n v="2840"/>
    <n v="3001"/>
    <n v="361"/>
    <n v="0"/>
    <n v="0"/>
    <n v="2923"/>
    <n v="2640"/>
    <n v="7716720"/>
  </r>
  <r>
    <s v="PEK/TFS"/>
    <s v="TFS"/>
    <x v="0"/>
    <x v="1"/>
    <x v="41"/>
    <x v="1"/>
    <x v="463"/>
    <n v="11029"/>
    <x v="74"/>
    <n v="270767663"/>
    <n v="89068.310197368424"/>
    <n v="3040"/>
    <n v="3141"/>
    <n v="501"/>
    <n v="0"/>
    <n v="0"/>
    <n v="3184"/>
    <n v="2640"/>
    <n v="8405760"/>
  </r>
  <r>
    <s v="PEK/TLL"/>
    <s v="TLL"/>
    <x v="0"/>
    <x v="0"/>
    <x v="138"/>
    <x v="1"/>
    <x v="464"/>
    <n v="6358"/>
    <x v="112"/>
    <n v="207667914"/>
    <n v="76180.452677916357"/>
    <n v="2726"/>
    <n v="2899"/>
    <n v="259"/>
    <n v="0"/>
    <n v="0"/>
    <n v="1692"/>
    <n v="2640"/>
    <n v="4466880"/>
  </r>
  <r>
    <s v="PEK/TXL"/>
    <s v="TXL"/>
    <x v="0"/>
    <x v="1"/>
    <x v="35"/>
    <x v="1"/>
    <x v="465"/>
    <n v="7358"/>
    <x v="20"/>
    <n v="241165818"/>
    <n v="81806.586838534597"/>
    <n v="2948"/>
    <n v="3095"/>
    <n v="455"/>
    <n v="0"/>
    <n v="0"/>
    <n v="2040"/>
    <n v="2640"/>
    <n v="5385600"/>
  </r>
  <r>
    <s v="PEK/VCE"/>
    <s v="VCE"/>
    <x v="0"/>
    <x v="1"/>
    <x v="85"/>
    <x v="1"/>
    <x v="466"/>
    <n v="7884"/>
    <x v="44"/>
    <n v="237169499"/>
    <n v="88397.129705553481"/>
    <n v="2683"/>
    <n v="2782"/>
    <n v="142"/>
    <n v="0"/>
    <n v="0"/>
    <n v="2281"/>
    <n v="2640"/>
    <n v="6021840"/>
  </r>
  <r>
    <s v="PEK/WAW"/>
    <s v="WAW"/>
    <x v="0"/>
    <x v="1"/>
    <x v="27"/>
    <x v="1"/>
    <x v="467"/>
    <n v="6945"/>
    <x v="7"/>
    <n v="230876245"/>
    <n v="70089.934729811779"/>
    <n v="3294"/>
    <n v="3449"/>
    <n v="809"/>
    <n v="0"/>
    <n v="0"/>
    <n v="1953"/>
    <n v="2640"/>
    <n v="5155920"/>
  </r>
  <r>
    <s v="PEK/ZAG"/>
    <s v="ZAG"/>
    <x v="0"/>
    <x v="0"/>
    <x v="123"/>
    <x v="1"/>
    <x v="468"/>
    <n v="7638"/>
    <x v="14"/>
    <n v="221994056"/>
    <n v="75559.583390061263"/>
    <n v="2938"/>
    <n v="3094"/>
    <n v="454"/>
    <n v="0"/>
    <n v="0"/>
    <n v="2089"/>
    <n v="2640"/>
    <n v="5514960"/>
  </r>
  <r>
    <s v="PEK/GIZ"/>
    <s v="GIZ"/>
    <x v="0"/>
    <x v="2"/>
    <x v="16"/>
    <x v="0"/>
    <x v="469"/>
    <n v="7464"/>
    <x v="92"/>
    <n v="212073634"/>
    <n v="76727.074529667152"/>
    <n v="2764"/>
    <n v="2940"/>
    <n v="300"/>
    <n v="0"/>
    <n v="0"/>
    <n v="1970"/>
    <n v="2640"/>
    <n v="5200800"/>
  </r>
  <r>
    <s v="PEK/ETM"/>
    <s v="ETM"/>
    <x v="0"/>
    <x v="0"/>
    <x v="114"/>
    <x v="0"/>
    <x v="470"/>
    <n v="7271"/>
    <x v="5"/>
    <n v="202541008"/>
    <n v="89146.570422535209"/>
    <n v="2272"/>
    <n v="2371"/>
    <n v="1051"/>
    <n v="0"/>
    <n v="0"/>
    <n v="2065"/>
    <n v="1320"/>
    <n v="2725800"/>
  </r>
  <r>
    <s v="PEK/HOI"/>
    <s v="HOI"/>
    <x v="0"/>
    <x v="3"/>
    <x v="109"/>
    <x v="5"/>
    <x v="471"/>
    <n v="12335"/>
    <x v="88"/>
    <n v="243920089"/>
    <n v="101043.94739022369"/>
    <n v="2414"/>
    <n v="2567"/>
    <n v="1247"/>
    <n v="0"/>
    <n v="0"/>
    <n v="3193"/>
    <n v="1320"/>
    <n v="4214760"/>
  </r>
  <r>
    <s v="PEK/LWN"/>
    <s v="LWN"/>
    <x v="0"/>
    <x v="3"/>
    <x v="44"/>
    <x v="0"/>
    <x v="472"/>
    <n v="5969"/>
    <x v="27"/>
    <n v="180355658"/>
    <n v="72548.534995977476"/>
    <n v="2486"/>
    <n v="2585"/>
    <n v="1265"/>
    <n v="0"/>
    <n v="0"/>
    <n v="1733"/>
    <n v="1320"/>
    <n v="2287560"/>
  </r>
  <r>
    <s v="PEK/RMQ"/>
    <s v="RMQ"/>
    <x v="0"/>
    <x v="0"/>
    <x v="48"/>
    <x v="0"/>
    <x v="473"/>
    <n v="1799"/>
    <x v="63"/>
    <n v="161852426"/>
    <n v="65766.934579439258"/>
    <n v="2461"/>
    <n v="2602"/>
    <n v="1282"/>
    <n v="0"/>
    <n v="0"/>
    <n v="561"/>
    <n v="1320"/>
    <n v="740520"/>
  </r>
  <r>
    <s v="PEK/SFJ"/>
    <s v="SFJ"/>
    <x v="0"/>
    <x v="2"/>
    <x v="139"/>
    <x v="2"/>
    <x v="474"/>
    <n v="8059"/>
    <x v="43"/>
    <n v="208768391"/>
    <n v="93660.112606550028"/>
    <n v="2229"/>
    <n v="2370"/>
    <n v="1050"/>
    <n v="0"/>
    <n v="0"/>
    <n v="2120"/>
    <n v="1320"/>
    <n v="2798400"/>
  </r>
  <r>
    <s v="PEK/YHM"/>
    <s v="YHM"/>
    <x v="0"/>
    <x v="2"/>
    <x v="10"/>
    <x v="2"/>
    <x v="475"/>
    <n v="10613"/>
    <x v="73"/>
    <n v="242195055"/>
    <n v="100246.29759933775"/>
    <n v="2416"/>
    <n v="2521"/>
    <n v="1201"/>
    <n v="0"/>
    <n v="0"/>
    <n v="2966"/>
    <n v="1320"/>
    <n v="3915120"/>
  </r>
  <r>
    <s v="PEK/YQX"/>
    <s v="YQX"/>
    <x v="0"/>
    <x v="2"/>
    <x v="10"/>
    <x v="2"/>
    <x v="476"/>
    <n v="10081"/>
    <x v="23"/>
    <n v="233097223"/>
    <n v="100300.00989672978"/>
    <n v="2324"/>
    <n v="2472"/>
    <n v="1152"/>
    <n v="0"/>
    <n v="0"/>
    <n v="2628"/>
    <n v="1320"/>
    <n v="3468960"/>
  </r>
  <r>
    <s v="PEK/YVO"/>
    <s v="YVO"/>
    <x v="0"/>
    <x v="2"/>
    <x v="10"/>
    <x v="2"/>
    <x v="477"/>
    <n v="10115"/>
    <x v="23"/>
    <n v="229660221"/>
    <n v="102802.24753804834"/>
    <n v="2234"/>
    <n v="2308"/>
    <n v="988"/>
    <n v="0"/>
    <n v="0"/>
    <n v="2929"/>
    <n v="1320"/>
    <n v="3866280"/>
  </r>
  <r>
    <s v="PEK/AAN"/>
    <s v="AAN"/>
    <x v="1"/>
    <x v="2"/>
    <x v="23"/>
    <x v="0"/>
    <x v="478"/>
    <n v="5885"/>
    <x v="27"/>
    <m/>
    <n v="0"/>
    <m/>
    <n v="0"/>
    <n v="0"/>
    <n v="0"/>
    <n v="0"/>
    <n v="0"/>
    <n v="0"/>
    <n v="0"/>
  </r>
  <r>
    <s v="PEK/AAR"/>
    <s v="AAR"/>
    <x v="1"/>
    <x v="2"/>
    <x v="33"/>
    <x v="1"/>
    <x v="479"/>
    <n v="7255"/>
    <x v="5"/>
    <m/>
    <n v="0"/>
    <m/>
    <n v="0"/>
    <n v="0"/>
    <n v="0"/>
    <n v="0"/>
    <n v="0"/>
    <n v="0"/>
    <n v="0"/>
  </r>
  <r>
    <s v="PEK/ABA"/>
    <s v="ABA"/>
    <x v="1"/>
    <x v="3"/>
    <x v="2"/>
    <x v="1"/>
    <x v="480"/>
    <n v="2421"/>
    <x v="32"/>
    <m/>
    <n v="0"/>
    <m/>
    <n v="0"/>
    <n v="0"/>
    <n v="0"/>
    <n v="0"/>
    <n v="0"/>
    <n v="0"/>
    <n v="0"/>
  </r>
  <r>
    <s v="PEK/ABQ"/>
    <s v="ABQ"/>
    <x v="1"/>
    <x v="1"/>
    <x v="12"/>
    <x v="4"/>
    <x v="481"/>
    <n v="10565"/>
    <x v="76"/>
    <m/>
    <n v="0"/>
    <m/>
    <n v="0"/>
    <n v="0"/>
    <n v="0"/>
    <n v="0"/>
    <n v="0"/>
    <n v="0"/>
    <n v="0"/>
  </r>
  <r>
    <s v="PEK/ABT"/>
    <s v="ABT"/>
    <x v="1"/>
    <x v="2"/>
    <x v="16"/>
    <x v="0"/>
    <x v="482"/>
    <n v="7320"/>
    <x v="5"/>
    <m/>
    <n v="0"/>
    <m/>
    <n v="0"/>
    <n v="0"/>
    <n v="0"/>
    <n v="0"/>
    <n v="0"/>
    <n v="0"/>
    <n v="0"/>
  </r>
  <r>
    <s v="PEK/ACY"/>
    <s v="ACY"/>
    <x v="1"/>
    <x v="2"/>
    <x v="12"/>
    <x v="4"/>
    <x v="483"/>
    <n v="11101"/>
    <x v="90"/>
    <m/>
    <n v="0"/>
    <m/>
    <n v="0"/>
    <n v="0"/>
    <n v="0"/>
    <n v="0"/>
    <n v="0"/>
    <n v="0"/>
    <n v="0"/>
  </r>
  <r>
    <s v="PEK/AEX"/>
    <s v="AEX"/>
    <x v="1"/>
    <x v="2"/>
    <x v="12"/>
    <x v="4"/>
    <x v="484"/>
    <n v="11529"/>
    <x v="83"/>
    <m/>
    <n v="0"/>
    <m/>
    <n v="0"/>
    <n v="0"/>
    <n v="0"/>
    <n v="0"/>
    <n v="0"/>
    <n v="0"/>
    <n v="0"/>
  </r>
  <r>
    <s v="PEK/AFW"/>
    <s v="AFW"/>
    <x v="1"/>
    <x v="2"/>
    <x v="12"/>
    <x v="4"/>
    <x v="485"/>
    <n v="11177"/>
    <x v="91"/>
    <m/>
    <n v="0"/>
    <m/>
    <n v="0"/>
    <n v="0"/>
    <n v="0"/>
    <n v="0"/>
    <n v="0"/>
    <n v="0"/>
    <n v="0"/>
  </r>
  <r>
    <s v="PEK/AHO"/>
    <s v="AHO"/>
    <x v="1"/>
    <x v="0"/>
    <x v="85"/>
    <x v="1"/>
    <x v="486"/>
    <n v="8485"/>
    <x v="85"/>
    <m/>
    <n v="0"/>
    <m/>
    <n v="0"/>
    <n v="0"/>
    <n v="0"/>
    <n v="0"/>
    <n v="0"/>
    <n v="0"/>
    <n v="0"/>
  </r>
  <r>
    <s v="PEK/AJF"/>
    <s v="AJF"/>
    <x v="1"/>
    <x v="2"/>
    <x v="16"/>
    <x v="0"/>
    <x v="487"/>
    <n v="6855"/>
    <x v="22"/>
    <m/>
    <n v="0"/>
    <m/>
    <n v="0"/>
    <n v="0"/>
    <n v="0"/>
    <n v="0"/>
    <n v="0"/>
    <n v="0"/>
    <n v="0"/>
  </r>
  <r>
    <s v="PEK/AMA"/>
    <s v="AMA"/>
    <x v="1"/>
    <x v="2"/>
    <x v="12"/>
    <x v="4"/>
    <x v="488"/>
    <n v="10772"/>
    <x v="71"/>
    <m/>
    <n v="0"/>
    <m/>
    <n v="0"/>
    <n v="0"/>
    <n v="0"/>
    <n v="0"/>
    <n v="0"/>
    <n v="0"/>
    <n v="0"/>
  </r>
  <r>
    <s v="PEK/ANC"/>
    <s v="ANC"/>
    <x v="1"/>
    <x v="0"/>
    <x v="12"/>
    <x v="4"/>
    <x v="489"/>
    <n v="6359"/>
    <x v="112"/>
    <m/>
    <n v="0"/>
    <m/>
    <n v="0"/>
    <n v="0"/>
    <n v="0"/>
    <n v="0"/>
    <n v="0"/>
    <n v="0"/>
    <n v="0"/>
  </r>
  <r>
    <s v="PEK/AOI"/>
    <s v="AOI"/>
    <x v="1"/>
    <x v="2"/>
    <x v="85"/>
    <x v="1"/>
    <x v="490"/>
    <n v="7951"/>
    <x v="45"/>
    <m/>
    <n v="0"/>
    <m/>
    <n v="0"/>
    <n v="0"/>
    <n v="0"/>
    <n v="0"/>
    <n v="0"/>
    <n v="0"/>
    <n v="0"/>
  </r>
  <r>
    <s v="PEK/AQG"/>
    <s v="AQG"/>
    <x v="1"/>
    <x v="3"/>
    <x v="30"/>
    <x v="0"/>
    <x v="491"/>
    <n v="1057"/>
    <x v="41"/>
    <m/>
    <n v="0"/>
    <m/>
    <n v="0"/>
    <n v="0"/>
    <n v="0"/>
    <n v="0"/>
    <n v="0"/>
    <n v="0"/>
    <n v="0"/>
  </r>
  <r>
    <s v="PEK/AQI"/>
    <s v="AQI"/>
    <x v="1"/>
    <x v="2"/>
    <x v="16"/>
    <x v="0"/>
    <x v="492"/>
    <n v="6444"/>
    <x v="113"/>
    <m/>
    <n v="0"/>
    <m/>
    <n v="0"/>
    <n v="0"/>
    <n v="0"/>
    <n v="0"/>
    <n v="0"/>
    <n v="0"/>
    <n v="0"/>
  </r>
  <r>
    <s v="PEK/ASB"/>
    <s v="ASB"/>
    <x v="1"/>
    <x v="2"/>
    <x v="140"/>
    <x v="0"/>
    <x v="493"/>
    <n v="4944"/>
    <x v="16"/>
    <m/>
    <n v="0"/>
    <m/>
    <n v="0"/>
    <n v="0"/>
    <n v="0"/>
    <n v="0"/>
    <n v="0"/>
    <n v="0"/>
    <n v="0"/>
  </r>
  <r>
    <s v="PEK/ASR"/>
    <s v="ASR"/>
    <x v="1"/>
    <x v="2"/>
    <x v="15"/>
    <x v="0"/>
    <x v="494"/>
    <n v="6706"/>
    <x v="110"/>
    <m/>
    <n v="0"/>
    <m/>
    <n v="0"/>
    <n v="0"/>
    <n v="0"/>
    <n v="0"/>
    <n v="0"/>
    <n v="0"/>
    <n v="0"/>
  </r>
  <r>
    <s v="PEK/AUS"/>
    <s v="AUS"/>
    <x v="1"/>
    <x v="1"/>
    <x v="12"/>
    <x v="4"/>
    <x v="495"/>
    <n v="11442"/>
    <x v="98"/>
    <m/>
    <n v="0"/>
    <m/>
    <n v="0"/>
    <n v="0"/>
    <n v="0"/>
    <n v="0"/>
    <n v="0"/>
    <n v="0"/>
    <n v="0"/>
  </r>
  <r>
    <s v="PEK/AVV"/>
    <s v="AVV"/>
    <x v="1"/>
    <x v="2"/>
    <x v="43"/>
    <x v="5"/>
    <x v="496"/>
    <n v="9141"/>
    <x v="56"/>
    <m/>
    <n v="0"/>
    <m/>
    <n v="0"/>
    <n v="0"/>
    <n v="0"/>
    <n v="0"/>
    <n v="0"/>
    <n v="0"/>
    <n v="0"/>
  </r>
  <r>
    <s v="PEK/AZA"/>
    <s v="AZA"/>
    <x v="1"/>
    <x v="2"/>
    <x v="12"/>
    <x v="4"/>
    <x v="497"/>
    <n v="10471"/>
    <x v="10"/>
    <m/>
    <n v="0"/>
    <m/>
    <n v="0"/>
    <n v="0"/>
    <n v="0"/>
    <n v="0"/>
    <n v="0"/>
    <n v="0"/>
    <n v="0"/>
  </r>
  <r>
    <s v="PEK/BAL"/>
    <s v="BAL"/>
    <x v="1"/>
    <x v="2"/>
    <x v="15"/>
    <x v="0"/>
    <x v="498"/>
    <n v="6320"/>
    <x v="87"/>
    <m/>
    <n v="0"/>
    <m/>
    <n v="0"/>
    <n v="0"/>
    <n v="0"/>
    <n v="0"/>
    <n v="0"/>
    <n v="0"/>
    <n v="0"/>
  </r>
  <r>
    <s v="PEK/BDL"/>
    <s v="BDL"/>
    <x v="1"/>
    <x v="0"/>
    <x v="12"/>
    <x v="4"/>
    <x v="499"/>
    <n v="10850"/>
    <x v="96"/>
    <m/>
    <n v="0"/>
    <m/>
    <n v="0"/>
    <n v="0"/>
    <n v="0"/>
    <n v="0"/>
    <n v="0"/>
    <n v="0"/>
    <n v="0"/>
  </r>
  <r>
    <s v="PEK/BEG"/>
    <s v="BEG"/>
    <x v="1"/>
    <x v="0"/>
    <x v="141"/>
    <x v="1"/>
    <x v="500"/>
    <n v="7426"/>
    <x v="20"/>
    <m/>
    <n v="0"/>
    <m/>
    <n v="0"/>
    <n v="0"/>
    <n v="0"/>
    <n v="0"/>
    <n v="0"/>
    <n v="0"/>
    <n v="0"/>
  </r>
  <r>
    <s v="PEK/BES"/>
    <s v="BES"/>
    <x v="1"/>
    <x v="2"/>
    <x v="38"/>
    <x v="1"/>
    <x v="501"/>
    <n v="8594"/>
    <x v="48"/>
    <m/>
    <n v="0"/>
    <m/>
    <n v="0"/>
    <n v="0"/>
    <n v="0"/>
    <n v="0"/>
    <n v="0"/>
    <n v="0"/>
    <n v="0"/>
  </r>
  <r>
    <s v="PEK/BFI"/>
    <s v="BFI"/>
    <x v="1"/>
    <x v="3"/>
    <x v="12"/>
    <x v="4"/>
    <x v="502"/>
    <n v="8675"/>
    <x v="48"/>
    <m/>
    <n v="0"/>
    <m/>
    <n v="0"/>
    <n v="0"/>
    <n v="0"/>
    <n v="0"/>
    <n v="0"/>
    <n v="0"/>
    <n v="0"/>
  </r>
  <r>
    <s v="PEK/BFL"/>
    <s v="BFL"/>
    <x v="1"/>
    <x v="2"/>
    <x v="12"/>
    <x v="4"/>
    <x v="503"/>
    <n v="9873"/>
    <x v="24"/>
    <m/>
    <n v="0"/>
    <m/>
    <n v="0"/>
    <n v="0"/>
    <n v="0"/>
    <n v="0"/>
    <n v="0"/>
    <n v="0"/>
    <n v="0"/>
  </r>
  <r>
    <s v="PEK/BFM"/>
    <s v="BFM"/>
    <x v="1"/>
    <x v="0"/>
    <x v="12"/>
    <x v="4"/>
    <x v="504"/>
    <n v="11755"/>
    <x v="75"/>
    <m/>
    <n v="0"/>
    <m/>
    <n v="0"/>
    <n v="0"/>
    <n v="0"/>
    <n v="0"/>
    <n v="0"/>
    <n v="0"/>
    <n v="0"/>
  </r>
  <r>
    <s v="PEK/BFS"/>
    <s v="BFS"/>
    <x v="1"/>
    <x v="0"/>
    <x v="98"/>
    <x v="1"/>
    <x v="505"/>
    <n v="8165"/>
    <x v="95"/>
    <m/>
    <n v="0"/>
    <m/>
    <n v="0"/>
    <n v="0"/>
    <n v="0"/>
    <n v="0"/>
    <n v="0"/>
    <n v="0"/>
    <n v="0"/>
  </r>
  <r>
    <s v="PEK/BGO"/>
    <s v="BGO"/>
    <x v="1"/>
    <x v="0"/>
    <x v="134"/>
    <x v="1"/>
    <x v="506"/>
    <n v="7240"/>
    <x v="5"/>
    <m/>
    <n v="0"/>
    <m/>
    <n v="0"/>
    <n v="0"/>
    <n v="0"/>
    <n v="0"/>
    <n v="0"/>
    <n v="0"/>
    <n v="0"/>
  </r>
  <r>
    <s v="PEK/BGR"/>
    <s v="BGR"/>
    <x v="1"/>
    <x v="2"/>
    <x v="12"/>
    <x v="4"/>
    <x v="507"/>
    <n v="10563"/>
    <x v="76"/>
    <m/>
    <n v="0"/>
    <m/>
    <n v="0"/>
    <n v="0"/>
    <n v="0"/>
    <n v="0"/>
    <n v="0"/>
    <n v="0"/>
    <n v="0"/>
  </r>
  <r>
    <s v="PEK/BHH"/>
    <s v="BHH"/>
    <x v="1"/>
    <x v="2"/>
    <x v="16"/>
    <x v="0"/>
    <x v="508"/>
    <n v="7257"/>
    <x v="5"/>
    <m/>
    <n v="0"/>
    <m/>
    <n v="0"/>
    <n v="0"/>
    <n v="0"/>
    <n v="0"/>
    <n v="0"/>
    <n v="0"/>
    <n v="0"/>
  </r>
  <r>
    <s v="PEK/BHM"/>
    <s v="BHM"/>
    <x v="1"/>
    <x v="0"/>
    <x v="12"/>
    <x v="4"/>
    <x v="509"/>
    <n v="11486"/>
    <x v="98"/>
    <m/>
    <n v="0"/>
    <m/>
    <n v="0"/>
    <n v="0"/>
    <n v="0"/>
    <n v="0"/>
    <n v="0"/>
    <n v="0"/>
    <n v="0"/>
  </r>
  <r>
    <s v="PEK/BHY"/>
    <s v="BHY"/>
    <x v="1"/>
    <x v="2"/>
    <x v="30"/>
    <x v="0"/>
    <x v="510"/>
    <n v="2174"/>
    <x v="62"/>
    <m/>
    <n v="0"/>
    <m/>
    <n v="0"/>
    <n v="0"/>
    <n v="0"/>
    <n v="0"/>
    <n v="0"/>
    <n v="0"/>
    <n v="0"/>
  </r>
  <r>
    <s v="PEK/BIL"/>
    <s v="BIL"/>
    <x v="1"/>
    <x v="2"/>
    <x v="12"/>
    <x v="4"/>
    <x v="511"/>
    <n v="9465"/>
    <x v="82"/>
    <m/>
    <n v="0"/>
    <m/>
    <n v="0"/>
    <n v="0"/>
    <n v="0"/>
    <n v="0"/>
    <n v="0"/>
    <n v="0"/>
    <n v="0"/>
  </r>
  <r>
    <s v="PEK/BJZ"/>
    <s v="BJZ"/>
    <x v="1"/>
    <x v="2"/>
    <x v="41"/>
    <x v="1"/>
    <x v="512"/>
    <n v="9523"/>
    <x v="104"/>
    <m/>
    <n v="0"/>
    <m/>
    <n v="0"/>
    <n v="0"/>
    <n v="0"/>
    <n v="0"/>
    <n v="0"/>
    <n v="0"/>
    <n v="0"/>
  </r>
  <r>
    <s v="PEK/BLQ"/>
    <s v="BLQ"/>
    <x v="1"/>
    <x v="0"/>
    <x v="85"/>
    <x v="1"/>
    <x v="513"/>
    <n v="8016"/>
    <x v="43"/>
    <m/>
    <n v="0"/>
    <m/>
    <n v="0"/>
    <n v="0"/>
    <n v="0"/>
    <n v="0"/>
    <n v="0"/>
    <n v="0"/>
    <n v="0"/>
  </r>
  <r>
    <s v="PEK/BLV"/>
    <s v="BLV"/>
    <x v="1"/>
    <x v="3"/>
    <x v="12"/>
    <x v="4"/>
    <x v="514"/>
    <n v="10871"/>
    <x v="96"/>
    <m/>
    <n v="0"/>
    <m/>
    <n v="0"/>
    <n v="0"/>
    <n v="0"/>
    <n v="0"/>
    <n v="0"/>
    <n v="0"/>
    <n v="0"/>
  </r>
  <r>
    <s v="PEK/BNA"/>
    <s v="BNA"/>
    <x v="1"/>
    <x v="1"/>
    <x v="12"/>
    <x v="4"/>
    <x v="515"/>
    <n v="11216"/>
    <x v="91"/>
    <m/>
    <n v="0"/>
    <m/>
    <n v="0"/>
    <n v="0"/>
    <n v="0"/>
    <n v="0"/>
    <n v="0"/>
    <n v="0"/>
    <n v="0"/>
  </r>
  <r>
    <s v="PEK/BOD"/>
    <s v="BOD"/>
    <x v="1"/>
    <x v="0"/>
    <x v="38"/>
    <x v="1"/>
    <x v="516"/>
    <n v="8694"/>
    <x v="50"/>
    <m/>
    <n v="0"/>
    <m/>
    <n v="0"/>
    <n v="0"/>
    <n v="0"/>
    <n v="0"/>
    <n v="0"/>
    <n v="0"/>
    <n v="0"/>
  </r>
  <r>
    <s v="PEK/BOI"/>
    <s v="BOI"/>
    <x v="1"/>
    <x v="0"/>
    <x v="12"/>
    <x v="4"/>
    <x v="517"/>
    <n v="9317"/>
    <x v="67"/>
    <m/>
    <n v="0"/>
    <m/>
    <n v="0"/>
    <n v="0"/>
    <n v="0"/>
    <n v="0"/>
    <n v="0"/>
    <n v="0"/>
    <n v="0"/>
  </r>
  <r>
    <s v="PEK/BOO"/>
    <s v="BOO"/>
    <x v="1"/>
    <x v="0"/>
    <x v="134"/>
    <x v="1"/>
    <x v="518"/>
    <n v="6440"/>
    <x v="113"/>
    <m/>
    <n v="0"/>
    <m/>
    <n v="0"/>
    <n v="0"/>
    <n v="0"/>
    <n v="0"/>
    <n v="0"/>
    <n v="0"/>
    <n v="0"/>
  </r>
  <r>
    <s v="PEK/BPX"/>
    <s v="BPX"/>
    <x v="1"/>
    <x v="3"/>
    <x v="30"/>
    <x v="0"/>
    <x v="519"/>
    <n v="2054"/>
    <x v="9"/>
    <m/>
    <n v="0"/>
    <m/>
    <n v="0"/>
    <n v="0"/>
    <n v="0"/>
    <n v="0"/>
    <n v="0"/>
    <n v="0"/>
    <n v="0"/>
  </r>
  <r>
    <s v="PEK/BQS"/>
    <s v="BQS"/>
    <x v="1"/>
    <x v="2"/>
    <x v="2"/>
    <x v="1"/>
    <x v="520"/>
    <n v="1426"/>
    <x v="60"/>
    <m/>
    <n v="0"/>
    <m/>
    <n v="0"/>
    <n v="0"/>
    <n v="0"/>
    <n v="0"/>
    <n v="0"/>
    <n v="0"/>
    <n v="0"/>
  </r>
  <r>
    <s v="PEK/BYN"/>
    <s v="BYN"/>
    <x v="1"/>
    <x v="3"/>
    <x v="45"/>
    <x v="0"/>
    <x v="521"/>
    <n v="1452"/>
    <x v="60"/>
    <m/>
    <n v="0"/>
    <m/>
    <n v="0"/>
    <n v="0"/>
    <n v="0"/>
    <n v="0"/>
    <n v="0"/>
    <n v="0"/>
    <n v="0"/>
  </r>
  <r>
    <s v="PEK/CAG"/>
    <s v="CAG"/>
    <x v="1"/>
    <x v="0"/>
    <x v="85"/>
    <x v="1"/>
    <x v="522"/>
    <n v="8538"/>
    <x v="85"/>
    <m/>
    <n v="0"/>
    <m/>
    <n v="0"/>
    <n v="0"/>
    <n v="0"/>
    <n v="0"/>
    <n v="0"/>
    <n v="0"/>
    <n v="0"/>
  </r>
  <r>
    <s v="PEK/CAL"/>
    <s v="CAL"/>
    <x v="1"/>
    <x v="3"/>
    <x v="98"/>
    <x v="1"/>
    <x v="523"/>
    <n v="8078"/>
    <x v="43"/>
    <m/>
    <n v="0"/>
    <m/>
    <n v="0"/>
    <n v="0"/>
    <n v="0"/>
    <n v="0"/>
    <n v="0"/>
    <n v="0"/>
    <n v="0"/>
  </r>
  <r>
    <s v="PEK/CDB"/>
    <s v="CDB"/>
    <x v="1"/>
    <x v="0"/>
    <x v="12"/>
    <x v="4"/>
    <x v="524"/>
    <n v="5914"/>
    <x v="27"/>
    <m/>
    <n v="0"/>
    <m/>
    <n v="0"/>
    <n v="0"/>
    <n v="0"/>
    <n v="0"/>
    <n v="0"/>
    <n v="0"/>
    <n v="0"/>
  </r>
  <r>
    <s v="PEK/CEI"/>
    <s v="CEI"/>
    <x v="1"/>
    <x v="2"/>
    <x v="71"/>
    <x v="0"/>
    <x v="525"/>
    <n v="2746"/>
    <x v="4"/>
    <m/>
    <n v="0"/>
    <m/>
    <n v="0"/>
    <n v="0"/>
    <n v="0"/>
    <n v="0"/>
    <n v="0"/>
    <n v="0"/>
    <n v="0"/>
  </r>
  <r>
    <s v="PEK/CFE"/>
    <s v="CFE"/>
    <x v="1"/>
    <x v="2"/>
    <x v="38"/>
    <x v="1"/>
    <x v="526"/>
    <n v="8404"/>
    <x v="46"/>
    <m/>
    <n v="0"/>
    <m/>
    <n v="0"/>
    <n v="0"/>
    <n v="0"/>
    <n v="0"/>
    <n v="0"/>
    <n v="0"/>
    <n v="0"/>
  </r>
  <r>
    <s v="PEK/CGQ"/>
    <s v="CGQ"/>
    <x v="1"/>
    <x v="0"/>
    <x v="30"/>
    <x v="0"/>
    <x v="527"/>
    <n v="868"/>
    <x v="111"/>
    <m/>
    <n v="0"/>
    <m/>
    <n v="0"/>
    <n v="0"/>
    <n v="0"/>
    <n v="0"/>
    <n v="0"/>
    <n v="0"/>
    <n v="0"/>
  </r>
  <r>
    <s v="PEK/CHQ"/>
    <s v="CHQ"/>
    <x v="1"/>
    <x v="0"/>
    <x v="118"/>
    <x v="1"/>
    <x v="528"/>
    <n v="7747"/>
    <x v="84"/>
    <m/>
    <n v="0"/>
    <m/>
    <n v="0"/>
    <n v="0"/>
    <n v="0"/>
    <n v="0"/>
    <n v="0"/>
    <n v="0"/>
    <n v="0"/>
  </r>
  <r>
    <s v="PEK/CHR"/>
    <s v="CHR"/>
    <x v="1"/>
    <x v="3"/>
    <x v="38"/>
    <x v="1"/>
    <x v="529"/>
    <n v="8401"/>
    <x v="46"/>
    <m/>
    <n v="0"/>
    <m/>
    <n v="0"/>
    <n v="0"/>
    <n v="0"/>
    <n v="0"/>
    <n v="0"/>
    <n v="0"/>
    <n v="0"/>
  </r>
  <r>
    <s v="PEK/CMH"/>
    <s v="CMH"/>
    <x v="1"/>
    <x v="1"/>
    <x v="12"/>
    <x v="4"/>
    <x v="530"/>
    <n v="10897"/>
    <x v="96"/>
    <m/>
    <n v="0"/>
    <m/>
    <n v="0"/>
    <n v="0"/>
    <n v="0"/>
    <n v="0"/>
    <n v="0"/>
    <n v="0"/>
    <n v="0"/>
  </r>
  <r>
    <s v="PEK/CND"/>
    <s v="CND"/>
    <x v="1"/>
    <x v="2"/>
    <x v="24"/>
    <x v="1"/>
    <x v="531"/>
    <n v="6904"/>
    <x v="7"/>
    <m/>
    <n v="0"/>
    <m/>
    <n v="0"/>
    <n v="0"/>
    <n v="0"/>
    <n v="0"/>
    <n v="0"/>
    <n v="0"/>
    <n v="0"/>
  </r>
  <r>
    <s v="PEK/CNS"/>
    <s v="CNS"/>
    <x v="1"/>
    <x v="0"/>
    <x v="43"/>
    <x v="5"/>
    <x v="532"/>
    <n v="7018"/>
    <x v="6"/>
    <m/>
    <n v="0"/>
    <m/>
    <n v="0"/>
    <n v="0"/>
    <n v="0"/>
    <n v="0"/>
    <n v="0"/>
    <n v="0"/>
    <n v="0"/>
  </r>
  <r>
    <s v="PEK/CNX"/>
    <s v="CNX"/>
    <x v="1"/>
    <x v="0"/>
    <x v="71"/>
    <x v="0"/>
    <x v="533"/>
    <n v="2909"/>
    <x v="18"/>
    <m/>
    <n v="0"/>
    <m/>
    <n v="0"/>
    <n v="0"/>
    <n v="0"/>
    <n v="0"/>
    <n v="0"/>
    <n v="0"/>
    <n v="0"/>
  </r>
  <r>
    <s v="PEK/COS"/>
    <s v="COS"/>
    <x v="1"/>
    <x v="0"/>
    <x v="12"/>
    <x v="4"/>
    <x v="534"/>
    <n v="10294"/>
    <x v="114"/>
    <m/>
    <n v="0"/>
    <m/>
    <n v="0"/>
    <n v="0"/>
    <n v="0"/>
    <n v="0"/>
    <n v="0"/>
    <n v="0"/>
    <n v="0"/>
  </r>
  <r>
    <s v="PEK/CPR"/>
    <s v="CPR"/>
    <x v="1"/>
    <x v="2"/>
    <x v="12"/>
    <x v="4"/>
    <x v="535"/>
    <n v="9826"/>
    <x v="24"/>
    <m/>
    <n v="0"/>
    <m/>
    <n v="0"/>
    <n v="0"/>
    <n v="0"/>
    <n v="0"/>
    <n v="0"/>
    <n v="0"/>
    <n v="0"/>
  </r>
  <r>
    <s v="PEK/CVG"/>
    <s v="CVG"/>
    <x v="1"/>
    <x v="1"/>
    <x v="12"/>
    <x v="4"/>
    <x v="536"/>
    <n v="10958"/>
    <x v="74"/>
    <m/>
    <n v="0"/>
    <m/>
    <n v="0"/>
    <n v="0"/>
    <n v="0"/>
    <n v="0"/>
    <n v="0"/>
    <n v="0"/>
    <n v="0"/>
  </r>
  <r>
    <s v="PEK/CYS"/>
    <s v="CYS"/>
    <x v="1"/>
    <x v="3"/>
    <x v="12"/>
    <x v="4"/>
    <x v="537"/>
    <n v="10065"/>
    <x v="23"/>
    <m/>
    <n v="0"/>
    <m/>
    <n v="0"/>
    <n v="0"/>
    <n v="0"/>
    <n v="0"/>
    <n v="0"/>
    <n v="0"/>
    <n v="0"/>
  </r>
  <r>
    <s v="PEK/CZX"/>
    <s v="CZX"/>
    <x v="1"/>
    <x v="2"/>
    <x v="30"/>
    <x v="0"/>
    <x v="538"/>
    <n v="951"/>
    <x v="33"/>
    <m/>
    <n v="0"/>
    <m/>
    <n v="0"/>
    <n v="0"/>
    <n v="0"/>
    <n v="0"/>
    <n v="0"/>
    <n v="0"/>
    <n v="0"/>
  </r>
  <r>
    <s v="PEK/DAB"/>
    <s v="DAB"/>
    <x v="1"/>
    <x v="2"/>
    <x v="12"/>
    <x v="4"/>
    <x v="539"/>
    <n v="12104"/>
    <x v="78"/>
    <m/>
    <n v="0"/>
    <m/>
    <n v="0"/>
    <n v="0"/>
    <n v="0"/>
    <n v="0"/>
    <n v="0"/>
    <n v="0"/>
    <n v="0"/>
  </r>
  <r>
    <s v="PEK/DAY"/>
    <s v="DAY"/>
    <x v="1"/>
    <x v="0"/>
    <x v="12"/>
    <x v="4"/>
    <x v="540"/>
    <n v="10877"/>
    <x v="96"/>
    <m/>
    <n v="0"/>
    <m/>
    <n v="0"/>
    <n v="0"/>
    <n v="0"/>
    <n v="0"/>
    <n v="0"/>
    <n v="0"/>
    <n v="0"/>
  </r>
  <r>
    <s v="PEK/DCN"/>
    <s v="DCN"/>
    <x v="1"/>
    <x v="3"/>
    <x v="43"/>
    <x v="5"/>
    <x v="541"/>
    <n v="6457"/>
    <x v="113"/>
    <m/>
    <n v="0"/>
    <m/>
    <n v="0"/>
    <n v="0"/>
    <n v="0"/>
    <n v="0"/>
    <n v="0"/>
    <n v="0"/>
    <n v="0"/>
  </r>
  <r>
    <s v="PEK/DEZ"/>
    <s v="DEZ"/>
    <x v="1"/>
    <x v="3"/>
    <x v="7"/>
    <x v="0"/>
    <x v="542"/>
    <n v="6535"/>
    <x v="113"/>
    <m/>
    <n v="0"/>
    <m/>
    <n v="0"/>
    <n v="0"/>
    <n v="0"/>
    <n v="0"/>
    <n v="0"/>
    <n v="0"/>
    <n v="0"/>
  </r>
  <r>
    <s v="PEK/DIG"/>
    <s v="DIG"/>
    <x v="1"/>
    <x v="2"/>
    <x v="30"/>
    <x v="0"/>
    <x v="543"/>
    <n v="2067"/>
    <x v="9"/>
    <m/>
    <n v="0"/>
    <m/>
    <n v="0"/>
    <n v="0"/>
    <n v="0"/>
    <n v="0"/>
    <n v="0"/>
    <n v="0"/>
    <n v="0"/>
  </r>
  <r>
    <s v="PEK/DIY"/>
    <s v="DIY"/>
    <x v="1"/>
    <x v="2"/>
    <x v="15"/>
    <x v="0"/>
    <x v="544"/>
    <n v="6393"/>
    <x v="112"/>
    <m/>
    <n v="0"/>
    <m/>
    <n v="0"/>
    <n v="0"/>
    <n v="0"/>
    <n v="0"/>
    <n v="0"/>
    <n v="0"/>
    <n v="0"/>
  </r>
  <r>
    <s v="PEK/DLH"/>
    <s v="DLH"/>
    <x v="1"/>
    <x v="2"/>
    <x v="12"/>
    <x v="4"/>
    <x v="545"/>
    <n v="9940"/>
    <x v="12"/>
    <m/>
    <n v="0"/>
    <m/>
    <n v="0"/>
    <n v="0"/>
    <n v="0"/>
    <n v="0"/>
    <n v="0"/>
    <n v="0"/>
    <n v="0"/>
  </r>
  <r>
    <s v="PEK/DNH"/>
    <s v="DNH"/>
    <x v="1"/>
    <x v="2"/>
    <x v="30"/>
    <x v="0"/>
    <x v="546"/>
    <n v="1847"/>
    <x v="66"/>
    <m/>
    <n v="0"/>
    <m/>
    <n v="0"/>
    <n v="0"/>
    <n v="0"/>
    <n v="0"/>
    <n v="0"/>
    <n v="0"/>
    <n v="0"/>
  </r>
  <r>
    <s v="PEK/DNZ"/>
    <s v="DNZ"/>
    <x v="1"/>
    <x v="2"/>
    <x v="15"/>
    <x v="0"/>
    <x v="547"/>
    <n v="7196"/>
    <x v="15"/>
    <m/>
    <n v="0"/>
    <m/>
    <n v="0"/>
    <n v="0"/>
    <n v="0"/>
    <n v="0"/>
    <n v="0"/>
    <n v="0"/>
    <n v="0"/>
  </r>
  <r>
    <s v="PEK/DRO"/>
    <s v="DRO"/>
    <x v="1"/>
    <x v="2"/>
    <x v="12"/>
    <x v="4"/>
    <x v="548"/>
    <n v="10312"/>
    <x v="114"/>
    <m/>
    <n v="0"/>
    <m/>
    <n v="0"/>
    <n v="0"/>
    <n v="0"/>
    <n v="0"/>
    <n v="0"/>
    <n v="0"/>
    <n v="0"/>
  </r>
  <r>
    <s v="PEK/DRS"/>
    <s v="DRS"/>
    <x v="1"/>
    <x v="0"/>
    <x v="35"/>
    <x v="1"/>
    <x v="549"/>
    <n v="7423"/>
    <x v="20"/>
    <m/>
    <n v="0"/>
    <m/>
    <n v="0"/>
    <n v="0"/>
    <n v="0"/>
    <n v="0"/>
    <n v="0"/>
    <n v="0"/>
    <n v="0"/>
  </r>
  <r>
    <s v="PEK/DRW"/>
    <s v="DRW"/>
    <x v="1"/>
    <x v="0"/>
    <x v="43"/>
    <x v="5"/>
    <x v="550"/>
    <n v="6022"/>
    <x v="51"/>
    <m/>
    <n v="0"/>
    <m/>
    <n v="0"/>
    <n v="0"/>
    <n v="0"/>
    <n v="0"/>
    <n v="0"/>
    <n v="0"/>
    <n v="0"/>
  </r>
  <r>
    <s v="PEK/DSA"/>
    <s v="DSA"/>
    <x v="1"/>
    <x v="2"/>
    <x v="98"/>
    <x v="1"/>
    <x v="551"/>
    <n v="8025"/>
    <x v="43"/>
    <m/>
    <n v="0"/>
    <m/>
    <n v="0"/>
    <n v="0"/>
    <n v="0"/>
    <n v="0"/>
    <n v="0"/>
    <n v="0"/>
    <n v="0"/>
  </r>
  <r>
    <s v="PEK/DWD"/>
    <s v="DWD"/>
    <x v="1"/>
    <x v="3"/>
    <x v="16"/>
    <x v="0"/>
    <x v="552"/>
    <n v="6846"/>
    <x v="22"/>
    <m/>
    <n v="0"/>
    <m/>
    <n v="0"/>
    <n v="0"/>
    <n v="0"/>
    <n v="0"/>
    <n v="0"/>
    <n v="0"/>
    <n v="0"/>
  </r>
  <r>
    <s v="PEK/DYR"/>
    <s v="DYR"/>
    <x v="1"/>
    <x v="3"/>
    <x v="2"/>
    <x v="1"/>
    <x v="553"/>
    <n v="4703"/>
    <x v="26"/>
    <m/>
    <n v="0"/>
    <m/>
    <n v="0"/>
    <n v="0"/>
    <n v="0"/>
    <n v="0"/>
    <n v="0"/>
    <n v="0"/>
    <n v="0"/>
  </r>
  <r>
    <s v="PEK/DYU"/>
    <s v="DYU"/>
    <x v="1"/>
    <x v="2"/>
    <x v="142"/>
    <x v="0"/>
    <x v="554"/>
    <n v="4063"/>
    <x v="17"/>
    <m/>
    <n v="0"/>
    <m/>
    <n v="0"/>
    <n v="0"/>
    <n v="0"/>
    <n v="0"/>
    <n v="0"/>
    <n v="0"/>
    <n v="0"/>
  </r>
  <r>
    <s v="PEK/EAM"/>
    <s v="EAM"/>
    <x v="1"/>
    <x v="2"/>
    <x v="16"/>
    <x v="0"/>
    <x v="555"/>
    <n v="7261"/>
    <x v="5"/>
    <m/>
    <n v="0"/>
    <m/>
    <n v="0"/>
    <n v="0"/>
    <n v="0"/>
    <n v="0"/>
    <n v="0"/>
    <n v="0"/>
    <n v="0"/>
  </r>
  <r>
    <s v="PEK/ECP"/>
    <s v="ECP"/>
    <x v="1"/>
    <x v="0"/>
    <x v="12"/>
    <x v="4"/>
    <x v="556"/>
    <n v="11852"/>
    <x v="70"/>
    <m/>
    <n v="0"/>
    <m/>
    <n v="0"/>
    <n v="0"/>
    <n v="0"/>
    <n v="0"/>
    <n v="0"/>
    <n v="0"/>
    <n v="0"/>
  </r>
  <r>
    <s v="PEK/EIN"/>
    <s v="EIN"/>
    <x v="1"/>
    <x v="0"/>
    <x v="63"/>
    <x v="1"/>
    <x v="557"/>
    <n v="7859"/>
    <x v="44"/>
    <m/>
    <n v="0"/>
    <m/>
    <n v="0"/>
    <n v="0"/>
    <n v="0"/>
    <n v="0"/>
    <n v="0"/>
    <n v="0"/>
    <n v="0"/>
  </r>
  <r>
    <s v="PEK/EJH"/>
    <s v="EJH"/>
    <x v="1"/>
    <x v="3"/>
    <x v="16"/>
    <x v="0"/>
    <x v="558"/>
    <n v="7372"/>
    <x v="20"/>
    <m/>
    <n v="0"/>
    <m/>
    <n v="0"/>
    <n v="0"/>
    <n v="0"/>
    <n v="0"/>
    <n v="0"/>
    <n v="0"/>
    <n v="0"/>
  </r>
  <r>
    <s v="PEK/ELP"/>
    <s v="ELP"/>
    <x v="1"/>
    <x v="0"/>
    <x v="12"/>
    <x v="4"/>
    <x v="559"/>
    <n v="10882"/>
    <x v="96"/>
    <m/>
    <n v="0"/>
    <m/>
    <n v="0"/>
    <n v="0"/>
    <n v="0"/>
    <n v="0"/>
    <n v="0"/>
    <n v="0"/>
    <n v="0"/>
  </r>
  <r>
    <s v="PEK/ELQ"/>
    <s v="ELQ"/>
    <x v="1"/>
    <x v="2"/>
    <x v="16"/>
    <x v="0"/>
    <x v="560"/>
    <n v="6761"/>
    <x v="110"/>
    <m/>
    <n v="0"/>
    <m/>
    <n v="0"/>
    <n v="0"/>
    <n v="0"/>
    <n v="0"/>
    <n v="0"/>
    <n v="0"/>
    <n v="0"/>
  </r>
  <r>
    <s v="PEK/EMA"/>
    <s v="EMA"/>
    <x v="1"/>
    <x v="0"/>
    <x v="98"/>
    <x v="1"/>
    <x v="561"/>
    <n v="8090"/>
    <x v="43"/>
    <m/>
    <n v="0"/>
    <m/>
    <n v="0"/>
    <n v="0"/>
    <n v="0"/>
    <n v="0"/>
    <n v="0"/>
    <n v="0"/>
    <n v="0"/>
  </r>
  <r>
    <s v="PEK/ENY"/>
    <s v="ENY"/>
    <x v="1"/>
    <x v="2"/>
    <x v="30"/>
    <x v="0"/>
    <x v="562"/>
    <n v="722"/>
    <x v="30"/>
    <m/>
    <n v="0"/>
    <m/>
    <n v="0"/>
    <n v="0"/>
    <n v="0"/>
    <n v="0"/>
    <n v="0"/>
    <n v="0"/>
    <n v="0"/>
  </r>
  <r>
    <s v="PEK/ERC"/>
    <s v="ERC"/>
    <x v="1"/>
    <x v="2"/>
    <x v="15"/>
    <x v="0"/>
    <x v="563"/>
    <n v="6350"/>
    <x v="112"/>
    <m/>
    <n v="0"/>
    <m/>
    <n v="0"/>
    <n v="0"/>
    <n v="0"/>
    <n v="0"/>
    <n v="0"/>
    <n v="0"/>
    <n v="0"/>
  </r>
  <r>
    <s v="PEK/ERZ"/>
    <s v="ERZ"/>
    <x v="1"/>
    <x v="2"/>
    <x v="15"/>
    <x v="0"/>
    <x v="564"/>
    <n v="6213"/>
    <x v="87"/>
    <m/>
    <n v="0"/>
    <m/>
    <n v="0"/>
    <n v="0"/>
    <n v="0"/>
    <n v="0"/>
    <n v="0"/>
    <n v="0"/>
    <n v="0"/>
  </r>
  <r>
    <s v="PEK/ETZ"/>
    <s v="ETZ"/>
    <x v="1"/>
    <x v="2"/>
    <x v="38"/>
    <x v="1"/>
    <x v="565"/>
    <n v="7993"/>
    <x v="45"/>
    <m/>
    <n v="0"/>
    <m/>
    <n v="0"/>
    <n v="0"/>
    <n v="0"/>
    <n v="0"/>
    <n v="0"/>
    <n v="0"/>
    <n v="0"/>
  </r>
  <r>
    <s v="PEK/EVE"/>
    <s v="EVE"/>
    <x v="1"/>
    <x v="2"/>
    <x v="134"/>
    <x v="1"/>
    <x v="566"/>
    <n v="6293"/>
    <x v="87"/>
    <m/>
    <n v="0"/>
    <m/>
    <n v="0"/>
    <n v="0"/>
    <n v="0"/>
    <n v="0"/>
    <n v="0"/>
    <n v="0"/>
    <n v="0"/>
  </r>
  <r>
    <s v="PEK/FAI"/>
    <s v="FAI"/>
    <x v="1"/>
    <x v="2"/>
    <x v="12"/>
    <x v="4"/>
    <x v="567"/>
    <n v="6290"/>
    <x v="87"/>
    <m/>
    <n v="0"/>
    <m/>
    <n v="0"/>
    <n v="0"/>
    <n v="0"/>
    <n v="0"/>
    <n v="0"/>
    <n v="0"/>
    <n v="0"/>
  </r>
  <r>
    <s v="PEK/FAT"/>
    <s v="FAT"/>
    <x v="1"/>
    <x v="0"/>
    <x v="12"/>
    <x v="4"/>
    <x v="568"/>
    <n v="9720"/>
    <x v="68"/>
    <m/>
    <n v="0"/>
    <m/>
    <n v="0"/>
    <n v="0"/>
    <n v="0"/>
    <n v="0"/>
    <n v="0"/>
    <n v="0"/>
    <n v="0"/>
  </r>
  <r>
    <s v="PEK/FJR"/>
    <s v="FJR"/>
    <x v="1"/>
    <x v="3"/>
    <x v="23"/>
    <x v="0"/>
    <x v="569"/>
    <n v="5773"/>
    <x v="21"/>
    <m/>
    <n v="0"/>
    <m/>
    <n v="0"/>
    <n v="0"/>
    <n v="0"/>
    <n v="0"/>
    <n v="0"/>
    <n v="0"/>
    <n v="0"/>
  </r>
  <r>
    <s v="PEK/FKB"/>
    <s v="FKB"/>
    <x v="1"/>
    <x v="2"/>
    <x v="35"/>
    <x v="1"/>
    <x v="570"/>
    <n v="7905"/>
    <x v="45"/>
    <m/>
    <n v="0"/>
    <m/>
    <n v="0"/>
    <n v="0"/>
    <n v="0"/>
    <n v="0"/>
    <n v="0"/>
    <n v="0"/>
    <n v="0"/>
  </r>
  <r>
    <s v="PEK/FMM"/>
    <s v="FMM"/>
    <x v="1"/>
    <x v="2"/>
    <x v="35"/>
    <x v="1"/>
    <x v="571"/>
    <n v="7838"/>
    <x v="44"/>
    <m/>
    <n v="0"/>
    <m/>
    <n v="0"/>
    <n v="0"/>
    <n v="0"/>
    <n v="0"/>
    <n v="0"/>
    <n v="0"/>
    <n v="0"/>
  </r>
  <r>
    <s v="PEK/FOC"/>
    <s v="FOC"/>
    <x v="1"/>
    <x v="0"/>
    <x v="30"/>
    <x v="0"/>
    <x v="572"/>
    <n v="1598"/>
    <x v="115"/>
    <m/>
    <n v="0"/>
    <m/>
    <n v="0"/>
    <n v="0"/>
    <n v="0"/>
    <n v="0"/>
    <n v="0"/>
    <n v="0"/>
    <n v="0"/>
  </r>
  <r>
    <s v="PEK/FWA"/>
    <s v="FWA"/>
    <x v="1"/>
    <x v="2"/>
    <x v="12"/>
    <x v="4"/>
    <x v="573"/>
    <n v="10739"/>
    <x v="71"/>
    <m/>
    <n v="0"/>
    <m/>
    <n v="0"/>
    <n v="0"/>
    <n v="0"/>
    <n v="0"/>
    <n v="0"/>
    <n v="0"/>
    <n v="0"/>
  </r>
  <r>
    <s v="PEK/GDX"/>
    <s v="GDX"/>
    <x v="1"/>
    <x v="3"/>
    <x v="2"/>
    <x v="1"/>
    <x v="574"/>
    <n v="3225"/>
    <x v="0"/>
    <m/>
    <n v="0"/>
    <m/>
    <n v="0"/>
    <n v="0"/>
    <n v="0"/>
    <n v="0"/>
    <n v="0"/>
    <n v="0"/>
    <n v="0"/>
  </r>
  <r>
    <s v="PEK/GGG"/>
    <s v="GGG"/>
    <x v="1"/>
    <x v="3"/>
    <x v="12"/>
    <x v="4"/>
    <x v="575"/>
    <n v="11341"/>
    <x v="108"/>
    <m/>
    <n v="0"/>
    <m/>
    <n v="0"/>
    <n v="0"/>
    <n v="0"/>
    <n v="0"/>
    <n v="0"/>
    <n v="0"/>
    <n v="0"/>
  </r>
  <r>
    <s v="PEK/GJT"/>
    <s v="GJT"/>
    <x v="1"/>
    <x v="2"/>
    <x v="12"/>
    <x v="4"/>
    <x v="576"/>
    <n v="10091"/>
    <x v="23"/>
    <m/>
    <n v="0"/>
    <m/>
    <n v="0"/>
    <n v="0"/>
    <n v="0"/>
    <n v="0"/>
    <n v="0"/>
    <n v="0"/>
    <n v="0"/>
  </r>
  <r>
    <s v="PEK/GNB"/>
    <s v="GNB"/>
    <x v="1"/>
    <x v="2"/>
    <x v="38"/>
    <x v="1"/>
    <x v="577"/>
    <n v="8312"/>
    <x v="80"/>
    <m/>
    <n v="0"/>
    <m/>
    <n v="0"/>
    <n v="0"/>
    <n v="0"/>
    <n v="0"/>
    <n v="0"/>
    <n v="0"/>
    <n v="0"/>
  </r>
  <r>
    <s v="PEK/GOA"/>
    <s v="GOA"/>
    <x v="1"/>
    <x v="0"/>
    <x v="85"/>
    <x v="1"/>
    <x v="578"/>
    <n v="8175"/>
    <x v="95"/>
    <m/>
    <n v="0"/>
    <m/>
    <n v="0"/>
    <n v="0"/>
    <n v="0"/>
    <n v="0"/>
    <n v="0"/>
    <n v="0"/>
    <n v="0"/>
  </r>
  <r>
    <s v="PEK/GOJ"/>
    <s v="GOJ"/>
    <x v="1"/>
    <x v="2"/>
    <x v="2"/>
    <x v="1"/>
    <x v="579"/>
    <n v="5408"/>
    <x v="49"/>
    <m/>
    <n v="0"/>
    <m/>
    <n v="0"/>
    <n v="0"/>
    <n v="0"/>
    <n v="0"/>
    <n v="0"/>
    <n v="0"/>
    <n v="0"/>
  </r>
  <r>
    <s v="PEK/GOQ"/>
    <s v="GOQ"/>
    <x v="1"/>
    <x v="3"/>
    <x v="30"/>
    <x v="0"/>
    <x v="580"/>
    <n v="1942"/>
    <x v="64"/>
    <m/>
    <n v="0"/>
    <m/>
    <n v="0"/>
    <n v="0"/>
    <n v="0"/>
    <n v="0"/>
    <n v="0"/>
    <n v="0"/>
    <n v="0"/>
  </r>
  <r>
    <s v="PEK/GPA"/>
    <s v="GPA"/>
    <x v="1"/>
    <x v="2"/>
    <x v="118"/>
    <x v="1"/>
    <x v="581"/>
    <n v="7774"/>
    <x v="84"/>
    <m/>
    <n v="0"/>
    <m/>
    <n v="0"/>
    <n v="0"/>
    <n v="0"/>
    <n v="0"/>
    <n v="0"/>
    <n v="0"/>
    <n v="0"/>
  </r>
  <r>
    <s v="PEK/GRK"/>
    <s v="GRK"/>
    <x v="1"/>
    <x v="2"/>
    <x v="12"/>
    <x v="4"/>
    <x v="582"/>
    <n v="11348"/>
    <x v="108"/>
    <m/>
    <n v="0"/>
    <m/>
    <n v="0"/>
    <n v="0"/>
    <n v="0"/>
    <n v="0"/>
    <n v="0"/>
    <n v="0"/>
    <n v="0"/>
  </r>
  <r>
    <s v="PEK/GRR"/>
    <s v="GRR"/>
    <x v="1"/>
    <x v="0"/>
    <x v="12"/>
    <x v="4"/>
    <x v="583"/>
    <n v="10529"/>
    <x v="76"/>
    <m/>
    <n v="0"/>
    <m/>
    <n v="0"/>
    <n v="0"/>
    <n v="0"/>
    <n v="0"/>
    <n v="0"/>
    <n v="0"/>
    <n v="0"/>
  </r>
  <r>
    <s v="PEK/GRX"/>
    <s v="GRX"/>
    <x v="1"/>
    <x v="0"/>
    <x v="41"/>
    <x v="1"/>
    <x v="584"/>
    <n v="9493"/>
    <x v="104"/>
    <m/>
    <n v="0"/>
    <m/>
    <n v="0"/>
    <n v="0"/>
    <n v="0"/>
    <n v="0"/>
    <n v="0"/>
    <n v="0"/>
    <n v="0"/>
  </r>
  <r>
    <s v="PEK/GRZ"/>
    <s v="GRZ"/>
    <x v="1"/>
    <x v="2"/>
    <x v="116"/>
    <x v="1"/>
    <x v="585"/>
    <n v="7595"/>
    <x v="14"/>
    <m/>
    <n v="0"/>
    <m/>
    <n v="0"/>
    <n v="0"/>
    <n v="0"/>
    <n v="0"/>
    <n v="0"/>
    <n v="0"/>
    <n v="0"/>
  </r>
  <r>
    <s v="PEK/GSO"/>
    <s v="GSO"/>
    <x v="1"/>
    <x v="0"/>
    <x v="12"/>
    <x v="4"/>
    <x v="586"/>
    <n v="11380"/>
    <x v="108"/>
    <m/>
    <n v="0"/>
    <m/>
    <n v="0"/>
    <n v="0"/>
    <n v="0"/>
    <n v="0"/>
    <n v="0"/>
    <n v="0"/>
    <n v="0"/>
  </r>
  <r>
    <s v="PEK/GSP"/>
    <s v="GSP"/>
    <x v="1"/>
    <x v="0"/>
    <x v="12"/>
    <x v="4"/>
    <x v="587"/>
    <n v="11461"/>
    <x v="98"/>
    <m/>
    <n v="0"/>
    <m/>
    <n v="0"/>
    <n v="0"/>
    <n v="0"/>
    <n v="0"/>
    <n v="0"/>
    <n v="0"/>
    <n v="0"/>
  </r>
  <r>
    <s v="PEK/GTF"/>
    <s v="GTF"/>
    <x v="1"/>
    <x v="2"/>
    <x v="12"/>
    <x v="4"/>
    <x v="588"/>
    <n v="9190"/>
    <x v="25"/>
    <m/>
    <n v="0"/>
    <m/>
    <n v="0"/>
    <n v="0"/>
    <n v="0"/>
    <n v="0"/>
    <n v="0"/>
    <n v="0"/>
    <n v="0"/>
  </r>
  <r>
    <s v="PEK/GUC"/>
    <s v="GUC"/>
    <x v="1"/>
    <x v="2"/>
    <x v="12"/>
    <x v="4"/>
    <x v="589"/>
    <n v="10220"/>
    <x v="13"/>
    <m/>
    <n v="0"/>
    <m/>
    <n v="0"/>
    <n v="0"/>
    <n v="0"/>
    <n v="0"/>
    <n v="0"/>
    <n v="0"/>
    <n v="0"/>
  </r>
  <r>
    <s v="PEK/GUW"/>
    <s v="GUW"/>
    <x v="1"/>
    <x v="3"/>
    <x v="5"/>
    <x v="1"/>
    <x v="590"/>
    <n v="5124"/>
    <x v="94"/>
    <m/>
    <n v="0"/>
    <m/>
    <n v="0"/>
    <n v="0"/>
    <n v="0"/>
    <n v="0"/>
    <n v="0"/>
    <n v="0"/>
    <n v="0"/>
  </r>
  <r>
    <s v="PEK/GZT"/>
    <s v="GZT"/>
    <x v="1"/>
    <x v="2"/>
    <x v="15"/>
    <x v="0"/>
    <x v="591"/>
    <n v="6654"/>
    <x v="19"/>
    <m/>
    <n v="0"/>
    <m/>
    <n v="0"/>
    <n v="0"/>
    <n v="0"/>
    <n v="0"/>
    <n v="0"/>
    <n v="0"/>
    <n v="0"/>
  </r>
  <r>
    <s v="PEK/HAS"/>
    <s v="HAS"/>
    <x v="1"/>
    <x v="2"/>
    <x v="16"/>
    <x v="0"/>
    <x v="592"/>
    <n v="6866"/>
    <x v="22"/>
    <m/>
    <n v="0"/>
    <m/>
    <n v="0"/>
    <n v="0"/>
    <n v="0"/>
    <n v="0"/>
    <n v="0"/>
    <n v="0"/>
    <n v="0"/>
  </r>
  <r>
    <s v="PEK/HBT"/>
    <s v="HBT"/>
    <x v="1"/>
    <x v="3"/>
    <x v="16"/>
    <x v="0"/>
    <x v="593"/>
    <n v="6519"/>
    <x v="113"/>
    <m/>
    <n v="0"/>
    <m/>
    <n v="0"/>
    <n v="0"/>
    <n v="0"/>
    <n v="0"/>
    <n v="0"/>
    <n v="0"/>
    <n v="0"/>
  </r>
  <r>
    <s v="PEK/HDN"/>
    <s v="HDN"/>
    <x v="1"/>
    <x v="2"/>
    <x v="12"/>
    <x v="4"/>
    <x v="594"/>
    <n v="10023"/>
    <x v="12"/>
    <m/>
    <n v="0"/>
    <m/>
    <n v="0"/>
    <n v="0"/>
    <n v="0"/>
    <n v="0"/>
    <n v="0"/>
    <n v="0"/>
    <n v="0"/>
  </r>
  <r>
    <s v="PEK/HDY"/>
    <s v="HDY"/>
    <x v="1"/>
    <x v="0"/>
    <x v="71"/>
    <x v="0"/>
    <x v="595"/>
    <n v="4024"/>
    <x v="17"/>
    <m/>
    <n v="0"/>
    <m/>
    <n v="0"/>
    <n v="0"/>
    <n v="0"/>
    <n v="0"/>
    <n v="0"/>
    <n v="0"/>
    <n v="0"/>
  </r>
  <r>
    <s v="PEK/HET"/>
    <s v="HET"/>
    <x v="1"/>
    <x v="0"/>
    <x v="30"/>
    <x v="0"/>
    <x v="596"/>
    <n v="411"/>
    <x v="101"/>
    <m/>
    <n v="0"/>
    <m/>
    <n v="0"/>
    <n v="0"/>
    <n v="0"/>
    <n v="0"/>
    <n v="0"/>
    <n v="0"/>
    <n v="0"/>
  </r>
  <r>
    <s v="PEK/HFE"/>
    <s v="HFE"/>
    <x v="1"/>
    <x v="0"/>
    <x v="30"/>
    <x v="0"/>
    <x v="597"/>
    <n v="925"/>
    <x v="33"/>
    <m/>
    <n v="0"/>
    <m/>
    <n v="0"/>
    <n v="0"/>
    <n v="0"/>
    <n v="0"/>
    <n v="0"/>
    <n v="0"/>
    <n v="0"/>
  </r>
  <r>
    <s v="PEK/HKT"/>
    <s v="HKT"/>
    <x v="1"/>
    <x v="0"/>
    <x v="71"/>
    <x v="0"/>
    <x v="598"/>
    <n v="3991"/>
    <x v="17"/>
    <m/>
    <n v="0"/>
    <m/>
    <n v="0"/>
    <n v="0"/>
    <n v="0"/>
    <n v="0"/>
    <n v="0"/>
    <n v="0"/>
    <n v="0"/>
  </r>
  <r>
    <s v="PEK/HNL"/>
    <s v="HNL"/>
    <x v="1"/>
    <x v="1"/>
    <x v="12"/>
    <x v="4"/>
    <x v="599"/>
    <n v="8133"/>
    <x v="95"/>
    <m/>
    <n v="0"/>
    <m/>
    <n v="0"/>
    <n v="0"/>
    <n v="0"/>
    <n v="0"/>
    <n v="0"/>
    <n v="0"/>
    <n v="0"/>
  </r>
  <r>
    <s v="PEK/HOF"/>
    <s v="HOF"/>
    <x v="1"/>
    <x v="3"/>
    <x v="16"/>
    <x v="0"/>
    <x v="600"/>
    <n v="6343"/>
    <x v="112"/>
    <m/>
    <n v="0"/>
    <m/>
    <n v="0"/>
    <n v="0"/>
    <n v="0"/>
    <n v="0"/>
    <n v="0"/>
    <n v="0"/>
    <n v="0"/>
  </r>
  <r>
    <s v="PEK/HSV"/>
    <s v="HSV"/>
    <x v="1"/>
    <x v="0"/>
    <x v="12"/>
    <x v="4"/>
    <x v="601"/>
    <n v="11371"/>
    <x v="108"/>
    <m/>
    <n v="0"/>
    <m/>
    <n v="0"/>
    <n v="0"/>
    <n v="0"/>
    <n v="0"/>
    <n v="0"/>
    <n v="0"/>
    <n v="0"/>
  </r>
  <r>
    <s v="PEK/HTA"/>
    <s v="HTA"/>
    <x v="1"/>
    <x v="2"/>
    <x v="2"/>
    <x v="1"/>
    <x v="602"/>
    <n v="1352"/>
    <x v="40"/>
    <m/>
    <n v="0"/>
    <m/>
    <n v="0"/>
    <n v="0"/>
    <n v="0"/>
    <n v="0"/>
    <n v="0"/>
    <n v="0"/>
    <n v="0"/>
  </r>
  <r>
    <s v="PEK/HTN"/>
    <s v="HTN"/>
    <x v="1"/>
    <x v="2"/>
    <x v="30"/>
    <x v="0"/>
    <x v="603"/>
    <n v="3188"/>
    <x v="0"/>
    <m/>
    <n v="0"/>
    <m/>
    <n v="0"/>
    <n v="0"/>
    <n v="0"/>
    <n v="0"/>
    <n v="0"/>
    <n v="0"/>
    <n v="0"/>
  </r>
  <r>
    <s v="PEK/HTY"/>
    <s v="HTY"/>
    <x v="1"/>
    <x v="2"/>
    <x v="15"/>
    <x v="0"/>
    <x v="604"/>
    <n v="6779"/>
    <x v="22"/>
    <m/>
    <n v="0"/>
    <m/>
    <n v="0"/>
    <n v="0"/>
    <n v="0"/>
    <n v="0"/>
    <n v="0"/>
    <n v="0"/>
    <n v="0"/>
  </r>
  <r>
    <s v="PEK/IAG"/>
    <s v="IAG"/>
    <x v="1"/>
    <x v="3"/>
    <x v="12"/>
    <x v="4"/>
    <x v="605"/>
    <n v="10637"/>
    <x v="73"/>
    <m/>
    <n v="0"/>
    <m/>
    <n v="0"/>
    <n v="0"/>
    <n v="0"/>
    <n v="0"/>
    <n v="0"/>
    <n v="0"/>
    <n v="0"/>
  </r>
  <r>
    <s v="PEK/IBZ"/>
    <s v="IBZ"/>
    <x v="1"/>
    <x v="0"/>
    <x v="41"/>
    <x v="1"/>
    <x v="606"/>
    <n v="9048"/>
    <x v="56"/>
    <m/>
    <n v="0"/>
    <m/>
    <n v="0"/>
    <n v="0"/>
    <n v="0"/>
    <n v="0"/>
    <n v="0"/>
    <n v="0"/>
    <n v="0"/>
  </r>
  <r>
    <s v="PEK/ICT"/>
    <s v="ICT"/>
    <x v="1"/>
    <x v="0"/>
    <x v="12"/>
    <x v="4"/>
    <x v="607"/>
    <n v="10705"/>
    <x v="73"/>
    <m/>
    <n v="0"/>
    <m/>
    <n v="0"/>
    <n v="0"/>
    <n v="0"/>
    <n v="0"/>
    <n v="0"/>
    <n v="0"/>
    <n v="0"/>
  </r>
  <r>
    <s v="PEK/IKS"/>
    <s v="IKS"/>
    <x v="1"/>
    <x v="3"/>
    <x v="2"/>
    <x v="1"/>
    <x v="608"/>
    <n v="3583"/>
    <x v="2"/>
    <m/>
    <n v="0"/>
    <m/>
    <n v="0"/>
    <n v="0"/>
    <n v="0"/>
    <n v="0"/>
    <n v="0"/>
    <n v="0"/>
    <n v="0"/>
  </r>
  <r>
    <s v="PEK/IKT"/>
    <s v="IKT"/>
    <x v="1"/>
    <x v="2"/>
    <x v="2"/>
    <x v="1"/>
    <x v="609"/>
    <n v="1644"/>
    <x v="115"/>
    <m/>
    <n v="0"/>
    <m/>
    <n v="0"/>
    <n v="0"/>
    <n v="0"/>
    <n v="0"/>
    <n v="0"/>
    <n v="0"/>
    <n v="0"/>
  </r>
  <r>
    <s v="PEK/INC"/>
    <s v="INC"/>
    <x v="1"/>
    <x v="0"/>
    <x v="30"/>
    <x v="0"/>
    <x v="610"/>
    <n v="899"/>
    <x v="111"/>
    <m/>
    <n v="0"/>
    <m/>
    <n v="0"/>
    <n v="0"/>
    <n v="0"/>
    <n v="0"/>
    <n v="0"/>
    <n v="0"/>
    <n v="0"/>
  </r>
  <r>
    <s v="PEK/IND"/>
    <s v="IND"/>
    <x v="1"/>
    <x v="1"/>
    <x v="12"/>
    <x v="4"/>
    <x v="611"/>
    <n v="10846"/>
    <x v="96"/>
    <m/>
    <n v="0"/>
    <m/>
    <n v="0"/>
    <n v="0"/>
    <n v="0"/>
    <n v="0"/>
    <n v="0"/>
    <n v="0"/>
    <n v="0"/>
  </r>
  <r>
    <s v="PEK/ISE"/>
    <s v="ISE"/>
    <x v="1"/>
    <x v="3"/>
    <x v="15"/>
    <x v="0"/>
    <x v="612"/>
    <n v="7142"/>
    <x v="15"/>
    <m/>
    <n v="0"/>
    <m/>
    <n v="0"/>
    <n v="0"/>
    <n v="0"/>
    <n v="0"/>
    <n v="0"/>
    <n v="0"/>
    <n v="0"/>
  </r>
  <r>
    <s v="PEK/ITO"/>
    <s v="ITO"/>
    <x v="1"/>
    <x v="0"/>
    <x v="12"/>
    <x v="4"/>
    <x v="613"/>
    <n v="8480"/>
    <x v="85"/>
    <m/>
    <n v="0"/>
    <m/>
    <n v="0"/>
    <n v="0"/>
    <n v="0"/>
    <n v="0"/>
    <n v="0"/>
    <n v="0"/>
    <n v="0"/>
  </r>
  <r>
    <s v="PEK/JAX"/>
    <s v="JAX"/>
    <x v="1"/>
    <x v="1"/>
    <x v="12"/>
    <x v="4"/>
    <x v="614"/>
    <n v="11948"/>
    <x v="70"/>
    <m/>
    <n v="0"/>
    <m/>
    <n v="0"/>
    <n v="0"/>
    <n v="0"/>
    <n v="0"/>
    <n v="0"/>
    <n v="0"/>
    <n v="0"/>
  </r>
  <r>
    <s v="PEK/JIU"/>
    <s v="JIU"/>
    <x v="1"/>
    <x v="3"/>
    <x v="30"/>
    <x v="0"/>
    <x v="615"/>
    <n v="1181"/>
    <x v="35"/>
    <m/>
    <n v="0"/>
    <m/>
    <n v="0"/>
    <n v="0"/>
    <n v="0"/>
    <n v="0"/>
    <n v="0"/>
    <n v="0"/>
    <n v="0"/>
  </r>
  <r>
    <s v="PEK/JNG"/>
    <s v="JNG"/>
    <x v="1"/>
    <x v="2"/>
    <x v="30"/>
    <x v="0"/>
    <x v="616"/>
    <n v="532"/>
    <x v="37"/>
    <m/>
    <n v="0"/>
    <m/>
    <n v="0"/>
    <n v="0"/>
    <n v="0"/>
    <n v="0"/>
    <n v="0"/>
    <n v="0"/>
    <n v="0"/>
  </r>
  <r>
    <s v="PEK/JZH"/>
    <s v="JZH"/>
    <x v="1"/>
    <x v="0"/>
    <x v="30"/>
    <x v="0"/>
    <x v="617"/>
    <n v="1403"/>
    <x v="60"/>
    <m/>
    <n v="0"/>
    <m/>
    <n v="0"/>
    <n v="0"/>
    <n v="0"/>
    <n v="0"/>
    <n v="0"/>
    <n v="0"/>
    <n v="0"/>
  </r>
  <r>
    <s v="PEK/KAC"/>
    <s v="KAC"/>
    <x v="1"/>
    <x v="3"/>
    <x v="7"/>
    <x v="0"/>
    <x v="618"/>
    <n v="6361"/>
    <x v="112"/>
    <m/>
    <n v="0"/>
    <m/>
    <n v="0"/>
    <n v="0"/>
    <n v="0"/>
    <n v="0"/>
    <n v="0"/>
    <n v="0"/>
    <n v="0"/>
  </r>
  <r>
    <s v="PEK/KBV"/>
    <s v="KBV"/>
    <x v="1"/>
    <x v="2"/>
    <x v="71"/>
    <x v="0"/>
    <x v="619"/>
    <n v="3963"/>
    <x v="17"/>
    <m/>
    <n v="0"/>
    <m/>
    <n v="0"/>
    <n v="0"/>
    <n v="0"/>
    <n v="0"/>
    <n v="0"/>
    <n v="0"/>
    <n v="0"/>
  </r>
  <r>
    <s v="PEK/KEJ"/>
    <s v="KEJ"/>
    <x v="1"/>
    <x v="2"/>
    <x v="2"/>
    <x v="1"/>
    <x v="620"/>
    <n v="2802"/>
    <x v="4"/>
    <m/>
    <n v="0"/>
    <m/>
    <n v="0"/>
    <n v="0"/>
    <n v="0"/>
    <n v="0"/>
    <n v="0"/>
    <n v="0"/>
    <n v="0"/>
  </r>
  <r>
    <s v="PEK/KGF"/>
    <s v="KGF"/>
    <x v="1"/>
    <x v="2"/>
    <x v="5"/>
    <x v="1"/>
    <x v="621"/>
    <n v="3517"/>
    <x v="2"/>
    <m/>
    <n v="0"/>
    <m/>
    <n v="0"/>
    <n v="0"/>
    <n v="0"/>
    <n v="0"/>
    <n v="0"/>
    <n v="0"/>
    <n v="0"/>
  </r>
  <r>
    <s v="PEK/KHG"/>
    <s v="KHG"/>
    <x v="1"/>
    <x v="2"/>
    <x v="30"/>
    <x v="0"/>
    <x v="622"/>
    <n v="3435"/>
    <x v="3"/>
    <m/>
    <n v="0"/>
    <m/>
    <n v="0"/>
    <n v="0"/>
    <n v="0"/>
    <n v="0"/>
    <n v="0"/>
    <n v="0"/>
    <n v="0"/>
  </r>
  <r>
    <s v="PEK/KHN"/>
    <s v="KHN"/>
    <x v="1"/>
    <x v="0"/>
    <x v="30"/>
    <x v="0"/>
    <x v="623"/>
    <n v="1248"/>
    <x v="40"/>
    <m/>
    <n v="0"/>
    <m/>
    <n v="0"/>
    <n v="0"/>
    <n v="0"/>
    <n v="0"/>
    <n v="0"/>
    <n v="0"/>
    <n v="0"/>
  </r>
  <r>
    <s v="PEK/KHV"/>
    <s v="KHV"/>
    <x v="1"/>
    <x v="2"/>
    <x v="2"/>
    <x v="1"/>
    <x v="624"/>
    <n v="1746"/>
    <x v="63"/>
    <m/>
    <n v="0"/>
    <m/>
    <n v="0"/>
    <n v="0"/>
    <n v="0"/>
    <n v="0"/>
    <n v="0"/>
    <n v="0"/>
    <n v="0"/>
  </r>
  <r>
    <s v="PEK/KIV"/>
    <s v="KIV"/>
    <x v="1"/>
    <x v="2"/>
    <x v="143"/>
    <x v="1"/>
    <x v="625"/>
    <n v="6734"/>
    <x v="110"/>
    <m/>
    <n v="0"/>
    <m/>
    <n v="0"/>
    <n v="0"/>
    <n v="0"/>
    <n v="0"/>
    <n v="0"/>
    <n v="0"/>
    <n v="0"/>
  </r>
  <r>
    <s v="PEK/KJA"/>
    <s v="KJA"/>
    <x v="1"/>
    <x v="2"/>
    <x v="2"/>
    <x v="1"/>
    <x v="626"/>
    <n v="2505"/>
    <x v="47"/>
    <m/>
    <n v="0"/>
    <m/>
    <n v="0"/>
    <n v="0"/>
    <n v="0"/>
    <n v="0"/>
    <n v="0"/>
    <n v="0"/>
    <n v="0"/>
  </r>
  <r>
    <s v="PEK/KLX"/>
    <s v="KLX"/>
    <x v="1"/>
    <x v="2"/>
    <x v="118"/>
    <x v="1"/>
    <x v="627"/>
    <n v="7802"/>
    <x v="44"/>
    <m/>
    <n v="0"/>
    <m/>
    <n v="0"/>
    <n v="0"/>
    <n v="0"/>
    <n v="0"/>
    <n v="0"/>
    <n v="0"/>
    <n v="0"/>
  </r>
  <r>
    <s v="PEK/KMJ"/>
    <s v="KMJ"/>
    <x v="1"/>
    <x v="0"/>
    <x v="9"/>
    <x v="0"/>
    <x v="628"/>
    <n v="1506"/>
    <x v="65"/>
    <m/>
    <n v="0"/>
    <m/>
    <n v="0"/>
    <n v="0"/>
    <n v="0"/>
    <n v="0"/>
    <n v="0"/>
    <n v="0"/>
    <n v="0"/>
  </r>
  <r>
    <s v="PEK/KOA"/>
    <s v="KOA"/>
    <x v="1"/>
    <x v="0"/>
    <x v="12"/>
    <x v="4"/>
    <x v="629"/>
    <n v="8396"/>
    <x v="46"/>
    <m/>
    <n v="0"/>
    <m/>
    <n v="0"/>
    <n v="0"/>
    <n v="0"/>
    <n v="0"/>
    <n v="0"/>
    <n v="0"/>
    <n v="0"/>
  </r>
  <r>
    <s v="PEK/KRL"/>
    <s v="KRL"/>
    <x v="1"/>
    <x v="2"/>
    <x v="30"/>
    <x v="0"/>
    <x v="630"/>
    <n v="2553"/>
    <x v="47"/>
    <m/>
    <n v="0"/>
    <m/>
    <n v="0"/>
    <n v="0"/>
    <n v="0"/>
    <n v="0"/>
    <n v="0"/>
    <n v="0"/>
    <n v="0"/>
  </r>
  <r>
    <s v="PEK/KRP"/>
    <s v="KRP"/>
    <x v="1"/>
    <x v="2"/>
    <x v="33"/>
    <x v="1"/>
    <x v="631"/>
    <n v="7330"/>
    <x v="5"/>
    <m/>
    <n v="0"/>
    <m/>
    <n v="0"/>
    <n v="0"/>
    <n v="0"/>
    <n v="0"/>
    <n v="0"/>
    <n v="0"/>
    <n v="0"/>
  </r>
  <r>
    <s v="PEK/KSC"/>
    <s v="KSC"/>
    <x v="1"/>
    <x v="2"/>
    <x v="120"/>
    <x v="1"/>
    <x v="632"/>
    <n v="7132"/>
    <x v="15"/>
    <m/>
    <n v="0"/>
    <m/>
    <n v="0"/>
    <n v="0"/>
    <n v="0"/>
    <n v="0"/>
    <n v="0"/>
    <n v="0"/>
    <n v="0"/>
  </r>
  <r>
    <s v="PEK/KSY"/>
    <s v="KSY"/>
    <x v="1"/>
    <x v="2"/>
    <x v="15"/>
    <x v="0"/>
    <x v="633"/>
    <n v="6035"/>
    <x v="51"/>
    <m/>
    <n v="0"/>
    <m/>
    <n v="0"/>
    <n v="0"/>
    <n v="0"/>
    <n v="0"/>
    <n v="0"/>
    <n v="0"/>
    <n v="0"/>
  </r>
  <r>
    <s v="PEK/KTM"/>
    <s v="KTM"/>
    <x v="1"/>
    <x v="0"/>
    <x v="144"/>
    <x v="0"/>
    <x v="634"/>
    <n v="3173"/>
    <x v="0"/>
    <m/>
    <n v="0"/>
    <m/>
    <n v="0"/>
    <n v="0"/>
    <n v="0"/>
    <n v="0"/>
    <n v="0"/>
    <n v="0"/>
    <n v="0"/>
  </r>
  <r>
    <s v="PEK/KUF"/>
    <s v="KUF"/>
    <x v="1"/>
    <x v="2"/>
    <x v="2"/>
    <x v="1"/>
    <x v="635"/>
    <n v="5072"/>
    <x v="42"/>
    <m/>
    <n v="0"/>
    <m/>
    <n v="0"/>
    <n v="0"/>
    <n v="0"/>
    <n v="0"/>
    <n v="0"/>
    <n v="0"/>
    <n v="0"/>
  </r>
  <r>
    <s v="PEK/KUO"/>
    <s v="KUO"/>
    <x v="1"/>
    <x v="2"/>
    <x v="128"/>
    <x v="1"/>
    <x v="636"/>
    <n v="6059"/>
    <x v="51"/>
    <m/>
    <n v="0"/>
    <m/>
    <n v="0"/>
    <n v="0"/>
    <n v="0"/>
    <n v="0"/>
    <n v="0"/>
    <n v="0"/>
    <n v="0"/>
  </r>
  <r>
    <s v="PEK/KVA"/>
    <s v="KVA"/>
    <x v="1"/>
    <x v="2"/>
    <x v="118"/>
    <x v="1"/>
    <x v="637"/>
    <n v="7375"/>
    <x v="20"/>
    <m/>
    <n v="0"/>
    <m/>
    <n v="0"/>
    <n v="0"/>
    <n v="0"/>
    <n v="0"/>
    <n v="0"/>
    <n v="0"/>
    <n v="0"/>
  </r>
  <r>
    <s v="PEK/KWE"/>
    <s v="KWE"/>
    <x v="1"/>
    <x v="0"/>
    <x v="30"/>
    <x v="0"/>
    <x v="638"/>
    <n v="1782"/>
    <x v="63"/>
    <m/>
    <n v="0"/>
    <m/>
    <n v="0"/>
    <n v="0"/>
    <n v="0"/>
    <n v="0"/>
    <n v="0"/>
    <n v="0"/>
    <n v="0"/>
  </r>
  <r>
    <s v="PEK/KWL"/>
    <s v="KWL"/>
    <x v="1"/>
    <x v="0"/>
    <x v="30"/>
    <x v="0"/>
    <x v="639"/>
    <n v="1761"/>
    <x v="63"/>
    <m/>
    <n v="0"/>
    <m/>
    <n v="0"/>
    <n v="0"/>
    <n v="0"/>
    <n v="0"/>
    <n v="0"/>
    <n v="0"/>
    <n v="0"/>
  </r>
  <r>
    <s v="PEK/KYA"/>
    <s v="KYA"/>
    <x v="1"/>
    <x v="2"/>
    <x v="15"/>
    <x v="0"/>
    <x v="640"/>
    <n v="6971"/>
    <x v="7"/>
    <m/>
    <n v="0"/>
    <m/>
    <n v="0"/>
    <n v="0"/>
    <n v="0"/>
    <n v="0"/>
    <n v="0"/>
    <n v="0"/>
    <n v="0"/>
  </r>
  <r>
    <s v="PEK/KZN"/>
    <s v="KZN"/>
    <x v="1"/>
    <x v="2"/>
    <x v="2"/>
    <x v="1"/>
    <x v="641"/>
    <n v="5086"/>
    <x v="94"/>
    <m/>
    <n v="0"/>
    <m/>
    <n v="0"/>
    <n v="0"/>
    <n v="0"/>
    <n v="0"/>
    <n v="0"/>
    <n v="0"/>
    <n v="0"/>
  </r>
  <r>
    <s v="PEK/LBB"/>
    <s v="LBB"/>
    <x v="1"/>
    <x v="2"/>
    <x v="12"/>
    <x v="4"/>
    <x v="642"/>
    <n v="10919"/>
    <x v="96"/>
    <m/>
    <n v="0"/>
    <m/>
    <n v="0"/>
    <n v="0"/>
    <n v="0"/>
    <n v="0"/>
    <n v="0"/>
    <n v="0"/>
    <n v="0"/>
  </r>
  <r>
    <s v="PEK/LDE"/>
    <s v="LDE"/>
    <x v="1"/>
    <x v="2"/>
    <x v="38"/>
    <x v="1"/>
    <x v="643"/>
    <n v="8786"/>
    <x v="50"/>
    <m/>
    <n v="0"/>
    <m/>
    <n v="0"/>
    <n v="0"/>
    <n v="0"/>
    <n v="0"/>
    <n v="0"/>
    <n v="0"/>
    <n v="0"/>
  </r>
  <r>
    <s v="PEK/LEA"/>
    <s v="LEA"/>
    <x v="1"/>
    <x v="3"/>
    <x v="43"/>
    <x v="5"/>
    <x v="644"/>
    <n v="6935"/>
    <x v="7"/>
    <m/>
    <n v="0"/>
    <m/>
    <n v="0"/>
    <n v="0"/>
    <n v="0"/>
    <n v="0"/>
    <n v="0"/>
    <n v="0"/>
    <n v="0"/>
  </r>
  <r>
    <s v="PEK/LEI"/>
    <s v="LEI"/>
    <x v="1"/>
    <x v="2"/>
    <x v="41"/>
    <x v="1"/>
    <x v="645"/>
    <n v="9438"/>
    <x v="82"/>
    <m/>
    <n v="0"/>
    <m/>
    <n v="0"/>
    <n v="0"/>
    <n v="0"/>
    <n v="0"/>
    <n v="0"/>
    <n v="0"/>
    <n v="0"/>
  </r>
  <r>
    <s v="PEK/LEJ"/>
    <s v="LEJ"/>
    <x v="1"/>
    <x v="0"/>
    <x v="35"/>
    <x v="1"/>
    <x v="646"/>
    <n v="7492"/>
    <x v="92"/>
    <m/>
    <n v="0"/>
    <m/>
    <n v="0"/>
    <n v="0"/>
    <n v="0"/>
    <n v="0"/>
    <n v="0"/>
    <n v="0"/>
    <n v="0"/>
  </r>
  <r>
    <s v="PEK/LGB"/>
    <s v="LGB"/>
    <x v="1"/>
    <x v="0"/>
    <x v="12"/>
    <x v="4"/>
    <x v="647"/>
    <n v="10065"/>
    <x v="23"/>
    <m/>
    <n v="0"/>
    <m/>
    <n v="0"/>
    <n v="0"/>
    <n v="0"/>
    <n v="0"/>
    <n v="0"/>
    <n v="0"/>
    <n v="0"/>
  </r>
  <r>
    <s v="PEK/LGG"/>
    <s v="LGG"/>
    <x v="1"/>
    <x v="2"/>
    <x v="119"/>
    <x v="1"/>
    <x v="648"/>
    <n v="7915"/>
    <x v="45"/>
    <m/>
    <n v="0"/>
    <m/>
    <n v="0"/>
    <n v="0"/>
    <n v="0"/>
    <n v="0"/>
    <n v="0"/>
    <n v="0"/>
    <n v="0"/>
  </r>
  <r>
    <s v="PEK/LHW"/>
    <s v="LHW"/>
    <x v="1"/>
    <x v="0"/>
    <x v="30"/>
    <x v="0"/>
    <x v="649"/>
    <n v="1198"/>
    <x v="35"/>
    <m/>
    <n v="0"/>
    <m/>
    <n v="0"/>
    <n v="0"/>
    <n v="0"/>
    <n v="0"/>
    <n v="0"/>
    <n v="0"/>
    <n v="0"/>
  </r>
  <r>
    <s v="PEK/LIL"/>
    <s v="LIL"/>
    <x v="1"/>
    <x v="2"/>
    <x v="38"/>
    <x v="1"/>
    <x v="650"/>
    <n v="8045"/>
    <x v="43"/>
    <m/>
    <n v="0"/>
    <m/>
    <n v="0"/>
    <n v="0"/>
    <n v="0"/>
    <n v="0"/>
    <n v="0"/>
    <n v="0"/>
    <n v="0"/>
  </r>
  <r>
    <s v="PEK/LKL"/>
    <s v="LKL"/>
    <x v="1"/>
    <x v="3"/>
    <x v="134"/>
    <x v="1"/>
    <x v="651"/>
    <n v="5925"/>
    <x v="27"/>
    <m/>
    <n v="0"/>
    <m/>
    <n v="0"/>
    <n v="0"/>
    <n v="0"/>
    <n v="0"/>
    <n v="0"/>
    <n v="0"/>
    <n v="0"/>
  </r>
  <r>
    <s v="PEK/LLA"/>
    <s v="LLA"/>
    <x v="1"/>
    <x v="2"/>
    <x v="28"/>
    <x v="1"/>
    <x v="652"/>
    <n v="6211"/>
    <x v="87"/>
    <m/>
    <n v="0"/>
    <m/>
    <n v="0"/>
    <n v="0"/>
    <n v="0"/>
    <n v="0"/>
    <n v="0"/>
    <n v="0"/>
    <n v="0"/>
  </r>
  <r>
    <s v="PEK/LMT"/>
    <s v="LMT"/>
    <x v="1"/>
    <x v="3"/>
    <x v="12"/>
    <x v="4"/>
    <x v="653"/>
    <n v="9152"/>
    <x v="25"/>
    <m/>
    <n v="0"/>
    <m/>
    <n v="0"/>
    <n v="0"/>
    <n v="0"/>
    <n v="0"/>
    <n v="0"/>
    <n v="0"/>
    <n v="0"/>
  </r>
  <r>
    <s v="PEK/LNK"/>
    <s v="LNK"/>
    <x v="1"/>
    <x v="2"/>
    <x v="12"/>
    <x v="4"/>
    <x v="654"/>
    <n v="10407"/>
    <x v="10"/>
    <m/>
    <n v="0"/>
    <m/>
    <n v="0"/>
    <n v="0"/>
    <n v="0"/>
    <n v="0"/>
    <n v="0"/>
    <n v="0"/>
    <n v="0"/>
  </r>
  <r>
    <s v="PEK/LNZ"/>
    <s v="LNZ"/>
    <x v="1"/>
    <x v="2"/>
    <x v="116"/>
    <x v="1"/>
    <x v="655"/>
    <n v="7589"/>
    <x v="14"/>
    <m/>
    <n v="0"/>
    <m/>
    <n v="0"/>
    <n v="0"/>
    <n v="0"/>
    <n v="0"/>
    <n v="0"/>
    <n v="0"/>
    <n v="0"/>
  </r>
  <r>
    <s v="PEK/LTK"/>
    <s v="LTK"/>
    <x v="1"/>
    <x v="2"/>
    <x v="7"/>
    <x v="0"/>
    <x v="656"/>
    <n v="6859"/>
    <x v="22"/>
    <m/>
    <n v="0"/>
    <m/>
    <n v="0"/>
    <n v="0"/>
    <n v="0"/>
    <n v="0"/>
    <n v="0"/>
    <n v="0"/>
    <n v="0"/>
  </r>
  <r>
    <s v="PEK/LXS"/>
    <s v="LXS"/>
    <x v="1"/>
    <x v="2"/>
    <x v="118"/>
    <x v="1"/>
    <x v="657"/>
    <n v="7392"/>
    <x v="20"/>
    <m/>
    <n v="0"/>
    <m/>
    <n v="0"/>
    <n v="0"/>
    <n v="0"/>
    <n v="0"/>
    <n v="0"/>
    <n v="0"/>
    <n v="0"/>
  </r>
  <r>
    <s v="PEK/LZY"/>
    <s v="LZY"/>
    <x v="1"/>
    <x v="2"/>
    <x v="30"/>
    <x v="0"/>
    <x v="658"/>
    <n v="2351"/>
    <x v="31"/>
    <m/>
    <n v="0"/>
    <m/>
    <n v="0"/>
    <n v="0"/>
    <n v="0"/>
    <n v="0"/>
    <n v="0"/>
    <n v="0"/>
    <n v="0"/>
  </r>
  <r>
    <s v="PEK/MAF"/>
    <s v="MAF"/>
    <x v="1"/>
    <x v="2"/>
    <x v="12"/>
    <x v="4"/>
    <x v="659"/>
    <n v="11069"/>
    <x v="90"/>
    <m/>
    <n v="0"/>
    <m/>
    <n v="0"/>
    <n v="0"/>
    <n v="0"/>
    <n v="0"/>
    <n v="0"/>
    <n v="0"/>
    <n v="0"/>
  </r>
  <r>
    <s v="PEK/MCI"/>
    <s v="MCI"/>
    <x v="1"/>
    <x v="1"/>
    <x v="12"/>
    <x v="4"/>
    <x v="660"/>
    <n v="10636"/>
    <x v="73"/>
    <m/>
    <n v="0"/>
    <m/>
    <n v="0"/>
    <n v="0"/>
    <n v="0"/>
    <n v="0"/>
    <n v="0"/>
    <n v="0"/>
    <n v="0"/>
  </r>
  <r>
    <s v="PEK/MDT"/>
    <s v="MDT"/>
    <x v="1"/>
    <x v="0"/>
    <x v="12"/>
    <x v="4"/>
    <x v="661"/>
    <n v="10990"/>
    <x v="74"/>
    <m/>
    <n v="0"/>
    <m/>
    <n v="0"/>
    <n v="0"/>
    <n v="0"/>
    <n v="0"/>
    <n v="0"/>
    <n v="0"/>
    <n v="0"/>
  </r>
  <r>
    <s v="PEK/MEI"/>
    <s v="MEI"/>
    <x v="1"/>
    <x v="3"/>
    <x v="12"/>
    <x v="4"/>
    <x v="662"/>
    <n v="11554"/>
    <x v="83"/>
    <m/>
    <n v="0"/>
    <m/>
    <n v="0"/>
    <n v="0"/>
    <n v="0"/>
    <n v="0"/>
    <n v="0"/>
    <n v="0"/>
    <n v="0"/>
  </r>
  <r>
    <s v="PEK/MEM"/>
    <s v="MEM"/>
    <x v="1"/>
    <x v="1"/>
    <x v="12"/>
    <x v="4"/>
    <x v="663"/>
    <n v="11232"/>
    <x v="91"/>
    <m/>
    <n v="0"/>
    <m/>
    <n v="0"/>
    <n v="0"/>
    <n v="0"/>
    <n v="0"/>
    <n v="0"/>
    <n v="0"/>
    <n v="0"/>
  </r>
  <r>
    <s v="PEK/MFM"/>
    <s v="MFM"/>
    <x v="1"/>
    <x v="0"/>
    <x v="30"/>
    <x v="0"/>
    <x v="664"/>
    <n v="2014"/>
    <x v="64"/>
    <m/>
    <n v="0"/>
    <m/>
    <n v="0"/>
    <n v="0"/>
    <n v="0"/>
    <n v="0"/>
    <n v="0"/>
    <n v="0"/>
    <n v="0"/>
  </r>
  <r>
    <s v="PEK/MHT"/>
    <s v="MHT"/>
    <x v="1"/>
    <x v="0"/>
    <x v="12"/>
    <x v="4"/>
    <x v="665"/>
    <n v="10752"/>
    <x v="71"/>
    <m/>
    <n v="0"/>
    <m/>
    <n v="0"/>
    <n v="0"/>
    <n v="0"/>
    <n v="0"/>
    <n v="0"/>
    <n v="0"/>
    <n v="0"/>
  </r>
  <r>
    <s v="PEK/MJZ"/>
    <s v="MJZ"/>
    <x v="1"/>
    <x v="2"/>
    <x v="2"/>
    <x v="1"/>
    <x v="666"/>
    <n v="2503"/>
    <x v="47"/>
    <m/>
    <n v="0"/>
    <m/>
    <n v="0"/>
    <n v="0"/>
    <n v="0"/>
    <n v="0"/>
    <n v="0"/>
    <n v="0"/>
    <n v="0"/>
  </r>
  <r>
    <s v="PEK/MKE"/>
    <s v="MKE"/>
    <x v="1"/>
    <x v="1"/>
    <x v="12"/>
    <x v="4"/>
    <x v="667"/>
    <n v="10463"/>
    <x v="10"/>
    <m/>
    <n v="0"/>
    <m/>
    <n v="0"/>
    <n v="0"/>
    <n v="0"/>
    <n v="0"/>
    <n v="0"/>
    <n v="0"/>
    <n v="0"/>
  </r>
  <r>
    <s v="PEK/MLB"/>
    <s v="MLB"/>
    <x v="1"/>
    <x v="2"/>
    <x v="12"/>
    <x v="4"/>
    <x v="668"/>
    <n v="12230"/>
    <x v="103"/>
    <m/>
    <n v="0"/>
    <m/>
    <n v="0"/>
    <n v="0"/>
    <n v="0"/>
    <n v="0"/>
    <n v="0"/>
    <n v="0"/>
    <n v="0"/>
  </r>
  <r>
    <s v="PEK/MLH"/>
    <s v="MLH"/>
    <x v="1"/>
    <x v="0"/>
    <x v="38"/>
    <x v="1"/>
    <x v="669"/>
    <n v="8021"/>
    <x v="43"/>
    <m/>
    <n v="0"/>
    <m/>
    <n v="0"/>
    <n v="0"/>
    <n v="0"/>
    <n v="0"/>
    <n v="0"/>
    <n v="0"/>
    <n v="0"/>
  </r>
  <r>
    <s v="PEK/MLI"/>
    <s v="MLI"/>
    <x v="1"/>
    <x v="2"/>
    <x v="12"/>
    <x v="4"/>
    <x v="670"/>
    <n v="10548"/>
    <x v="76"/>
    <m/>
    <n v="0"/>
    <m/>
    <n v="0"/>
    <n v="0"/>
    <n v="0"/>
    <n v="0"/>
    <n v="0"/>
    <n v="0"/>
    <n v="0"/>
  </r>
  <r>
    <s v="PEK/MLX"/>
    <s v="MLX"/>
    <x v="1"/>
    <x v="2"/>
    <x v="15"/>
    <x v="0"/>
    <x v="671"/>
    <n v="6526"/>
    <x v="113"/>
    <m/>
    <n v="0"/>
    <m/>
    <n v="0"/>
    <n v="0"/>
    <n v="0"/>
    <n v="0"/>
    <n v="0"/>
    <n v="0"/>
    <n v="0"/>
  </r>
  <r>
    <s v="PEK/MMX"/>
    <s v="MMX"/>
    <x v="1"/>
    <x v="0"/>
    <x v="28"/>
    <x v="1"/>
    <x v="672"/>
    <n v="7164"/>
    <x v="15"/>
    <m/>
    <n v="0"/>
    <m/>
    <n v="0"/>
    <n v="0"/>
    <n v="0"/>
    <n v="0"/>
    <n v="0"/>
    <n v="0"/>
    <n v="0"/>
  </r>
  <r>
    <s v="PEK/MQT"/>
    <s v="MQT"/>
    <x v="1"/>
    <x v="2"/>
    <x v="12"/>
    <x v="4"/>
    <x v="673"/>
    <n v="10116"/>
    <x v="23"/>
    <m/>
    <n v="0"/>
    <m/>
    <n v="0"/>
    <n v="0"/>
    <n v="0"/>
    <n v="0"/>
    <n v="0"/>
    <n v="0"/>
    <n v="0"/>
  </r>
  <r>
    <s v="PEK/MSE"/>
    <s v="MSE"/>
    <x v="1"/>
    <x v="3"/>
    <x v="98"/>
    <x v="1"/>
    <x v="674"/>
    <n v="8075"/>
    <x v="43"/>
    <m/>
    <n v="0"/>
    <m/>
    <n v="0"/>
    <n v="0"/>
    <n v="0"/>
    <n v="0"/>
    <n v="0"/>
    <n v="0"/>
    <n v="0"/>
  </r>
  <r>
    <s v="PEK/MSO"/>
    <s v="MSO"/>
    <x v="1"/>
    <x v="2"/>
    <x v="12"/>
    <x v="4"/>
    <x v="675"/>
    <n v="9121"/>
    <x v="56"/>
    <m/>
    <n v="0"/>
    <m/>
    <n v="0"/>
    <n v="0"/>
    <n v="0"/>
    <n v="0"/>
    <n v="0"/>
    <n v="0"/>
    <n v="0"/>
  </r>
  <r>
    <s v="PEK/MSR"/>
    <s v="MSR"/>
    <x v="1"/>
    <x v="2"/>
    <x v="15"/>
    <x v="0"/>
    <x v="676"/>
    <n v="6236"/>
    <x v="87"/>
    <m/>
    <n v="0"/>
    <m/>
    <n v="0"/>
    <n v="0"/>
    <n v="0"/>
    <n v="0"/>
    <n v="0"/>
    <n v="0"/>
    <n v="0"/>
  </r>
  <r>
    <s v="PEK/MSY"/>
    <s v="MSY"/>
    <x v="1"/>
    <x v="1"/>
    <x v="12"/>
    <x v="4"/>
    <x v="677"/>
    <n v="11748"/>
    <x v="75"/>
    <m/>
    <n v="0"/>
    <m/>
    <n v="0"/>
    <n v="0"/>
    <n v="0"/>
    <n v="0"/>
    <n v="0"/>
    <n v="0"/>
    <n v="0"/>
  </r>
  <r>
    <s v="PEK/MTJ"/>
    <s v="MTJ"/>
    <x v="1"/>
    <x v="2"/>
    <x v="12"/>
    <x v="4"/>
    <x v="678"/>
    <n v="10177"/>
    <x v="13"/>
    <m/>
    <n v="0"/>
    <m/>
    <n v="0"/>
    <n v="0"/>
    <n v="0"/>
    <n v="0"/>
    <n v="0"/>
    <n v="0"/>
    <n v="0"/>
  </r>
  <r>
    <s v="PEK/MWX"/>
    <s v="MWX"/>
    <x v="1"/>
    <x v="3"/>
    <x v="31"/>
    <x v="0"/>
    <x v="679"/>
    <n v="1032"/>
    <x v="41"/>
    <m/>
    <n v="0"/>
    <m/>
    <n v="0"/>
    <n v="0"/>
    <n v="0"/>
    <n v="0"/>
    <n v="0"/>
    <n v="0"/>
    <n v="0"/>
  </r>
  <r>
    <s v="PEK/MYR"/>
    <s v="MYR"/>
    <x v="1"/>
    <x v="0"/>
    <x v="12"/>
    <x v="4"/>
    <x v="680"/>
    <n v="11663"/>
    <x v="72"/>
    <m/>
    <n v="0"/>
    <m/>
    <n v="0"/>
    <n v="0"/>
    <n v="0"/>
    <n v="0"/>
    <n v="0"/>
    <n v="0"/>
    <n v="0"/>
  </r>
  <r>
    <s v="PEK/MZH"/>
    <s v="MZH"/>
    <x v="1"/>
    <x v="3"/>
    <x v="15"/>
    <x v="0"/>
    <x v="681"/>
    <n v="6593"/>
    <x v="19"/>
    <m/>
    <n v="0"/>
    <m/>
    <n v="0"/>
    <n v="0"/>
    <n v="0"/>
    <n v="0"/>
    <n v="0"/>
    <n v="0"/>
    <n v="0"/>
  </r>
  <r>
    <s v="PEK/MZR"/>
    <s v="MZR"/>
    <x v="1"/>
    <x v="2"/>
    <x v="47"/>
    <x v="0"/>
    <x v="682"/>
    <n v="4265"/>
    <x v="11"/>
    <m/>
    <n v="0"/>
    <m/>
    <n v="0"/>
    <n v="0"/>
    <n v="0"/>
    <n v="0"/>
    <n v="0"/>
    <n v="0"/>
    <n v="0"/>
  </r>
  <r>
    <s v="PEK/NAJ"/>
    <s v="NAJ"/>
    <x v="1"/>
    <x v="3"/>
    <x v="127"/>
    <x v="1"/>
    <x v="683"/>
    <n v="5919"/>
    <x v="27"/>
    <m/>
    <n v="0"/>
    <m/>
    <n v="0"/>
    <n v="0"/>
    <n v="0"/>
    <n v="0"/>
    <n v="0"/>
    <n v="0"/>
    <n v="0"/>
  </r>
  <r>
    <s v="PEK/NAV"/>
    <s v="NAV"/>
    <x v="1"/>
    <x v="2"/>
    <x v="15"/>
    <x v="0"/>
    <x v="684"/>
    <n v="6779"/>
    <x v="22"/>
    <m/>
    <n v="0"/>
    <m/>
    <n v="0"/>
    <n v="0"/>
    <n v="0"/>
    <n v="0"/>
    <n v="0"/>
    <n v="0"/>
    <n v="0"/>
  </r>
  <r>
    <s v="PEK/NGB"/>
    <s v="NGB"/>
    <x v="1"/>
    <x v="0"/>
    <x v="30"/>
    <x v="0"/>
    <x v="685"/>
    <n v="1223"/>
    <x v="35"/>
    <m/>
    <n v="0"/>
    <m/>
    <n v="0"/>
    <n v="0"/>
    <n v="0"/>
    <n v="0"/>
    <n v="0"/>
    <n v="0"/>
    <n v="0"/>
  </r>
  <r>
    <s v="PEK/NGS"/>
    <s v="NGS"/>
    <x v="1"/>
    <x v="0"/>
    <x v="9"/>
    <x v="0"/>
    <x v="686"/>
    <n v="1431"/>
    <x v="60"/>
    <m/>
    <n v="0"/>
    <m/>
    <n v="0"/>
    <n v="0"/>
    <n v="0"/>
    <n v="0"/>
    <n v="0"/>
    <n v="0"/>
    <n v="0"/>
  </r>
  <r>
    <s v="PEK/NJC"/>
    <s v="NJC"/>
    <x v="1"/>
    <x v="2"/>
    <x v="2"/>
    <x v="1"/>
    <x v="687"/>
    <n v="3571"/>
    <x v="2"/>
    <m/>
    <n v="0"/>
    <m/>
    <n v="0"/>
    <n v="0"/>
    <n v="0"/>
    <n v="0"/>
    <n v="0"/>
    <n v="0"/>
    <n v="0"/>
  </r>
  <r>
    <s v="PEK/NSK"/>
    <s v="NSK"/>
    <x v="1"/>
    <x v="2"/>
    <x v="2"/>
    <x v="1"/>
    <x v="688"/>
    <n v="3676"/>
    <x v="38"/>
    <m/>
    <n v="0"/>
    <m/>
    <n v="0"/>
    <n v="0"/>
    <n v="0"/>
    <n v="0"/>
    <n v="0"/>
    <n v="0"/>
    <n v="0"/>
  </r>
  <r>
    <s v="PEK/NTE"/>
    <s v="NTE"/>
    <x v="1"/>
    <x v="0"/>
    <x v="38"/>
    <x v="1"/>
    <x v="689"/>
    <n v="8555"/>
    <x v="85"/>
    <m/>
    <n v="0"/>
    <m/>
    <n v="0"/>
    <n v="0"/>
    <n v="0"/>
    <n v="0"/>
    <n v="0"/>
    <n v="0"/>
    <n v="0"/>
  </r>
  <r>
    <s v="PEK/NYO"/>
    <s v="NYO"/>
    <x v="1"/>
    <x v="0"/>
    <x v="28"/>
    <x v="1"/>
    <x v="690"/>
    <n v="6790"/>
    <x v="22"/>
    <m/>
    <n v="0"/>
    <m/>
    <n v="0"/>
    <n v="0"/>
    <n v="0"/>
    <n v="0"/>
    <n v="0"/>
    <n v="0"/>
    <n v="0"/>
  </r>
  <r>
    <s v="PEK/NZH"/>
    <s v="NZH"/>
    <x v="1"/>
    <x v="2"/>
    <x v="30"/>
    <x v="0"/>
    <x v="691"/>
    <n v="1056"/>
    <x v="41"/>
    <m/>
    <n v="0"/>
    <m/>
    <n v="0"/>
    <n v="0"/>
    <n v="0"/>
    <n v="0"/>
    <n v="0"/>
    <n v="0"/>
    <n v="0"/>
  </r>
  <r>
    <s v="PEK/OAK"/>
    <s v="OAK"/>
    <x v="1"/>
    <x v="1"/>
    <x v="12"/>
    <x v="4"/>
    <x v="692"/>
    <n v="9497"/>
    <x v="104"/>
    <m/>
    <n v="0"/>
    <m/>
    <n v="0"/>
    <n v="0"/>
    <n v="0"/>
    <n v="0"/>
    <n v="0"/>
    <n v="0"/>
    <n v="0"/>
  </r>
  <r>
    <s v="PEK/OGZ"/>
    <s v="OGZ"/>
    <x v="1"/>
    <x v="2"/>
    <x v="2"/>
    <x v="1"/>
    <x v="693"/>
    <n v="5802"/>
    <x v="21"/>
    <m/>
    <n v="0"/>
    <m/>
    <n v="0"/>
    <n v="0"/>
    <n v="0"/>
    <n v="0"/>
    <n v="0"/>
    <n v="0"/>
    <n v="0"/>
  </r>
  <r>
    <s v="PEK/OIT"/>
    <s v="OIT"/>
    <x v="1"/>
    <x v="0"/>
    <x v="9"/>
    <x v="0"/>
    <x v="694"/>
    <n v="1533"/>
    <x v="65"/>
    <m/>
    <n v="0"/>
    <m/>
    <n v="0"/>
    <n v="0"/>
    <n v="0"/>
    <n v="0"/>
    <n v="0"/>
    <n v="0"/>
    <n v="0"/>
  </r>
  <r>
    <s v="PEK/OKC"/>
    <s v="OKC"/>
    <x v="1"/>
    <x v="0"/>
    <x v="12"/>
    <x v="4"/>
    <x v="695"/>
    <n v="10925"/>
    <x v="96"/>
    <m/>
    <n v="0"/>
    <m/>
    <n v="0"/>
    <n v="0"/>
    <n v="0"/>
    <n v="0"/>
    <n v="0"/>
    <n v="0"/>
    <n v="0"/>
  </r>
  <r>
    <s v="PEK/OMA"/>
    <s v="OMA"/>
    <x v="1"/>
    <x v="0"/>
    <x v="12"/>
    <x v="4"/>
    <x v="696"/>
    <n v="10392"/>
    <x v="10"/>
    <m/>
    <n v="0"/>
    <m/>
    <n v="0"/>
    <n v="0"/>
    <n v="0"/>
    <n v="0"/>
    <n v="0"/>
    <n v="0"/>
    <n v="0"/>
  </r>
  <r>
    <s v="PEK/ONT"/>
    <s v="ONT"/>
    <x v="1"/>
    <x v="0"/>
    <x v="12"/>
    <x v="4"/>
    <x v="697"/>
    <n v="10076"/>
    <x v="23"/>
    <m/>
    <n v="0"/>
    <m/>
    <n v="0"/>
    <n v="0"/>
    <n v="0"/>
    <n v="0"/>
    <n v="0"/>
    <n v="0"/>
    <n v="0"/>
  </r>
  <r>
    <s v="PEK/OSR"/>
    <s v="OSR"/>
    <x v="1"/>
    <x v="2"/>
    <x v="135"/>
    <x v="1"/>
    <x v="698"/>
    <n v="7261"/>
    <x v="5"/>
    <m/>
    <n v="0"/>
    <m/>
    <n v="0"/>
    <n v="0"/>
    <n v="0"/>
    <n v="0"/>
    <n v="0"/>
    <n v="0"/>
    <n v="0"/>
  </r>
  <r>
    <s v="PEK/OST"/>
    <s v="OST"/>
    <x v="1"/>
    <x v="2"/>
    <x v="119"/>
    <x v="1"/>
    <x v="699"/>
    <n v="8008"/>
    <x v="45"/>
    <m/>
    <n v="0"/>
    <m/>
    <n v="0"/>
    <n v="0"/>
    <n v="0"/>
    <n v="0"/>
    <n v="0"/>
    <n v="0"/>
    <n v="0"/>
  </r>
  <r>
    <s v="PEK/PBG"/>
    <s v="PBG"/>
    <x v="1"/>
    <x v="2"/>
    <x v="12"/>
    <x v="4"/>
    <x v="700"/>
    <n v="10542"/>
    <x v="76"/>
    <m/>
    <n v="0"/>
    <m/>
    <n v="0"/>
    <n v="0"/>
    <n v="0"/>
    <n v="0"/>
    <n v="0"/>
    <n v="0"/>
    <n v="0"/>
  </r>
  <r>
    <s v="PEK/PBI"/>
    <s v="PBI"/>
    <x v="1"/>
    <x v="1"/>
    <x v="12"/>
    <x v="4"/>
    <x v="701"/>
    <n v="12396"/>
    <x v="88"/>
    <m/>
    <n v="0"/>
    <m/>
    <n v="0"/>
    <n v="0"/>
    <n v="0"/>
    <n v="0"/>
    <n v="0"/>
    <n v="0"/>
    <n v="0"/>
  </r>
  <r>
    <s v="PEK/PDX"/>
    <s v="PDX"/>
    <x v="1"/>
    <x v="1"/>
    <x v="12"/>
    <x v="4"/>
    <x v="702"/>
    <n v="8820"/>
    <x v="53"/>
    <m/>
    <n v="0"/>
    <m/>
    <n v="0"/>
    <n v="0"/>
    <n v="0"/>
    <n v="0"/>
    <n v="0"/>
    <n v="0"/>
    <n v="0"/>
  </r>
  <r>
    <s v="PEK/PEE"/>
    <s v="PEE"/>
    <x v="1"/>
    <x v="2"/>
    <x v="2"/>
    <x v="1"/>
    <x v="703"/>
    <n v="4651"/>
    <x v="26"/>
    <m/>
    <n v="0"/>
    <m/>
    <n v="0"/>
    <n v="0"/>
    <n v="0"/>
    <n v="0"/>
    <n v="0"/>
    <n v="0"/>
    <n v="0"/>
  </r>
  <r>
    <s v="PEK/PIA"/>
    <s v="PIA"/>
    <x v="1"/>
    <x v="2"/>
    <x v="12"/>
    <x v="4"/>
    <x v="704"/>
    <n v="10654"/>
    <x v="73"/>
    <m/>
    <n v="0"/>
    <m/>
    <n v="0"/>
    <n v="0"/>
    <n v="0"/>
    <n v="0"/>
    <n v="0"/>
    <n v="0"/>
    <n v="0"/>
  </r>
  <r>
    <s v="PEK/PIE"/>
    <s v="PIE"/>
    <x v="1"/>
    <x v="2"/>
    <x v="12"/>
    <x v="4"/>
    <x v="705"/>
    <n v="12200"/>
    <x v="103"/>
    <m/>
    <n v="0"/>
    <m/>
    <n v="0"/>
    <n v="0"/>
    <n v="0"/>
    <n v="0"/>
    <n v="0"/>
    <n v="0"/>
    <n v="0"/>
  </r>
  <r>
    <s v="PEK/PIH"/>
    <s v="PIH"/>
    <x v="1"/>
    <x v="3"/>
    <x v="12"/>
    <x v="4"/>
    <x v="706"/>
    <n v="9550"/>
    <x v="104"/>
    <m/>
    <n v="0"/>
    <m/>
    <n v="0"/>
    <n v="0"/>
    <n v="0"/>
    <n v="0"/>
    <n v="0"/>
    <n v="0"/>
    <n v="0"/>
  </r>
  <r>
    <s v="PEK/PIK"/>
    <s v="PIK"/>
    <x v="1"/>
    <x v="0"/>
    <x v="98"/>
    <x v="1"/>
    <x v="707"/>
    <n v="8026"/>
    <x v="43"/>
    <m/>
    <n v="0"/>
    <m/>
    <n v="0"/>
    <n v="0"/>
    <n v="0"/>
    <n v="0"/>
    <n v="0"/>
    <n v="0"/>
    <n v="0"/>
  </r>
  <r>
    <s v="PEK/PIT"/>
    <s v="PIT"/>
    <x v="1"/>
    <x v="1"/>
    <x v="12"/>
    <x v="4"/>
    <x v="708"/>
    <n v="10898"/>
    <x v="96"/>
    <m/>
    <n v="0"/>
    <m/>
    <n v="0"/>
    <n v="0"/>
    <n v="0"/>
    <n v="0"/>
    <n v="0"/>
    <n v="0"/>
    <n v="0"/>
  </r>
  <r>
    <s v="PEK/PKC"/>
    <s v="PKC"/>
    <x v="1"/>
    <x v="2"/>
    <x v="2"/>
    <x v="1"/>
    <x v="709"/>
    <n v="3451"/>
    <x v="3"/>
    <m/>
    <n v="0"/>
    <m/>
    <n v="0"/>
    <n v="0"/>
    <n v="0"/>
    <n v="0"/>
    <n v="0"/>
    <n v="0"/>
    <n v="0"/>
  </r>
  <r>
    <s v="PEK/PLX"/>
    <s v="PLX"/>
    <x v="1"/>
    <x v="3"/>
    <x v="5"/>
    <x v="1"/>
    <x v="710"/>
    <n v="3031"/>
    <x v="34"/>
    <m/>
    <n v="0"/>
    <m/>
    <n v="0"/>
    <n v="0"/>
    <n v="0"/>
    <n v="0"/>
    <n v="0"/>
    <n v="0"/>
    <n v="0"/>
  </r>
  <r>
    <s v="PEK/PMO"/>
    <s v="PMO"/>
    <x v="1"/>
    <x v="0"/>
    <x v="85"/>
    <x v="1"/>
    <x v="711"/>
    <n v="8349"/>
    <x v="80"/>
    <m/>
    <n v="0"/>
    <m/>
    <n v="0"/>
    <n v="0"/>
    <n v="0"/>
    <n v="0"/>
    <n v="0"/>
    <n v="0"/>
    <n v="0"/>
  </r>
  <r>
    <s v="PEK/PSA"/>
    <s v="PSA"/>
    <x v="1"/>
    <x v="0"/>
    <x v="85"/>
    <x v="1"/>
    <x v="712"/>
    <n v="8132"/>
    <x v="95"/>
    <m/>
    <n v="0"/>
    <m/>
    <n v="0"/>
    <n v="0"/>
    <n v="0"/>
    <n v="0"/>
    <n v="0"/>
    <n v="0"/>
    <n v="0"/>
  </r>
  <r>
    <s v="PEK/PSM"/>
    <s v="PSM"/>
    <x v="1"/>
    <x v="2"/>
    <x v="12"/>
    <x v="4"/>
    <x v="713"/>
    <n v="10741"/>
    <x v="71"/>
    <m/>
    <n v="0"/>
    <m/>
    <n v="0"/>
    <n v="0"/>
    <n v="0"/>
    <n v="0"/>
    <n v="0"/>
    <n v="0"/>
    <n v="0"/>
  </r>
  <r>
    <s v="PEK/PSP"/>
    <s v="PSP"/>
    <x v="1"/>
    <x v="0"/>
    <x v="12"/>
    <x v="4"/>
    <x v="714"/>
    <n v="10158"/>
    <x v="23"/>
    <m/>
    <n v="0"/>
    <m/>
    <n v="0"/>
    <n v="0"/>
    <n v="0"/>
    <n v="0"/>
    <n v="0"/>
    <n v="0"/>
    <n v="0"/>
  </r>
  <r>
    <s v="PEK/PUB"/>
    <s v="PUB"/>
    <x v="1"/>
    <x v="3"/>
    <x v="12"/>
    <x v="4"/>
    <x v="715"/>
    <n v="10352"/>
    <x v="114"/>
    <m/>
    <n v="0"/>
    <m/>
    <n v="0"/>
    <n v="0"/>
    <n v="0"/>
    <n v="0"/>
    <n v="0"/>
    <n v="0"/>
    <n v="0"/>
  </r>
  <r>
    <s v="PEK/PUY"/>
    <s v="PUY"/>
    <x v="1"/>
    <x v="2"/>
    <x v="123"/>
    <x v="1"/>
    <x v="716"/>
    <n v="7829"/>
    <x v="44"/>
    <m/>
    <n v="0"/>
    <m/>
    <n v="0"/>
    <n v="0"/>
    <n v="0"/>
    <n v="0"/>
    <n v="0"/>
    <n v="0"/>
    <n v="0"/>
  </r>
  <r>
    <s v="PEK/PVK"/>
    <s v="PVK"/>
    <x v="1"/>
    <x v="2"/>
    <x v="118"/>
    <x v="1"/>
    <x v="717"/>
    <n v="7770"/>
    <x v="84"/>
    <m/>
    <n v="0"/>
    <m/>
    <n v="0"/>
    <n v="0"/>
    <n v="0"/>
    <n v="0"/>
    <n v="0"/>
    <n v="0"/>
    <n v="0"/>
  </r>
  <r>
    <s v="PEK/PXO"/>
    <s v="PXO"/>
    <x v="1"/>
    <x v="2"/>
    <x v="126"/>
    <x v="1"/>
    <x v="718"/>
    <n v="10555"/>
    <x v="76"/>
    <m/>
    <n v="0"/>
    <m/>
    <n v="0"/>
    <n v="0"/>
    <n v="0"/>
    <n v="0"/>
    <n v="0"/>
    <n v="0"/>
    <n v="0"/>
  </r>
  <r>
    <s v="PEK/PZI"/>
    <s v="PZI"/>
    <x v="1"/>
    <x v="2"/>
    <x v="30"/>
    <x v="0"/>
    <x v="719"/>
    <n v="2033"/>
    <x v="9"/>
    <m/>
    <n v="0"/>
    <m/>
    <n v="0"/>
    <n v="0"/>
    <n v="0"/>
    <n v="0"/>
    <n v="0"/>
    <n v="0"/>
    <n v="0"/>
  </r>
  <r>
    <s v="PEK/RAE"/>
    <s v="RAE"/>
    <x v="1"/>
    <x v="2"/>
    <x v="16"/>
    <x v="0"/>
    <x v="720"/>
    <n v="6705"/>
    <x v="110"/>
    <m/>
    <n v="0"/>
    <m/>
    <n v="0"/>
    <n v="0"/>
    <n v="0"/>
    <n v="0"/>
    <n v="0"/>
    <n v="0"/>
    <n v="0"/>
  </r>
  <r>
    <s v="PEK/RAH"/>
    <s v="RAH"/>
    <x v="1"/>
    <x v="3"/>
    <x v="16"/>
    <x v="0"/>
    <x v="721"/>
    <n v="6587"/>
    <x v="19"/>
    <m/>
    <n v="0"/>
    <m/>
    <n v="0"/>
    <n v="0"/>
    <n v="0"/>
    <n v="0"/>
    <n v="0"/>
    <n v="0"/>
    <n v="0"/>
  </r>
  <r>
    <s v="PEK/RDU"/>
    <s v="RDU"/>
    <x v="1"/>
    <x v="1"/>
    <x v="12"/>
    <x v="4"/>
    <x v="722"/>
    <n v="11426"/>
    <x v="98"/>
    <m/>
    <n v="0"/>
    <m/>
    <n v="0"/>
    <n v="0"/>
    <n v="0"/>
    <n v="0"/>
    <n v="0"/>
    <n v="0"/>
    <n v="0"/>
  </r>
  <r>
    <s v="PEK/RFD"/>
    <s v="RFD"/>
    <x v="1"/>
    <x v="2"/>
    <x v="12"/>
    <x v="4"/>
    <x v="723"/>
    <n v="10510"/>
    <x v="76"/>
    <m/>
    <n v="0"/>
    <m/>
    <n v="0"/>
    <n v="0"/>
    <n v="0"/>
    <n v="0"/>
    <n v="0"/>
    <n v="0"/>
    <n v="0"/>
  </r>
  <r>
    <s v="PEK/RKS"/>
    <s v="RKS"/>
    <x v="1"/>
    <x v="3"/>
    <x v="12"/>
    <x v="4"/>
    <x v="724"/>
    <n v="9835"/>
    <x v="24"/>
    <m/>
    <n v="0"/>
    <m/>
    <n v="0"/>
    <n v="0"/>
    <n v="0"/>
    <n v="0"/>
    <n v="0"/>
    <n v="0"/>
    <n v="0"/>
  </r>
  <r>
    <s v="PEK/RKT"/>
    <s v="RKT"/>
    <x v="1"/>
    <x v="2"/>
    <x v="23"/>
    <x v="0"/>
    <x v="725"/>
    <n v="5776"/>
    <x v="21"/>
    <m/>
    <n v="0"/>
    <m/>
    <n v="0"/>
    <n v="0"/>
    <n v="0"/>
    <n v="0"/>
    <n v="0"/>
    <n v="0"/>
    <n v="0"/>
  </r>
  <r>
    <s v="PEK/RMI"/>
    <s v="RMI"/>
    <x v="1"/>
    <x v="2"/>
    <x v="85"/>
    <x v="1"/>
    <x v="726"/>
    <n v="7971"/>
    <x v="45"/>
    <m/>
    <n v="0"/>
    <m/>
    <n v="0"/>
    <n v="0"/>
    <n v="0"/>
    <n v="0"/>
    <n v="0"/>
    <n v="0"/>
    <n v="0"/>
  </r>
  <r>
    <s v="PEK/RNO"/>
    <s v="RNO"/>
    <x v="1"/>
    <x v="0"/>
    <x v="12"/>
    <x v="4"/>
    <x v="727"/>
    <n v="9484"/>
    <x v="104"/>
    <m/>
    <n v="0"/>
    <m/>
    <n v="0"/>
    <n v="0"/>
    <n v="0"/>
    <n v="0"/>
    <n v="0"/>
    <n v="0"/>
    <n v="0"/>
  </r>
  <r>
    <s v="PEK/ROW"/>
    <s v="ROW"/>
    <x v="1"/>
    <x v="2"/>
    <x v="12"/>
    <x v="4"/>
    <x v="728"/>
    <n v="10830"/>
    <x v="71"/>
    <m/>
    <n v="0"/>
    <m/>
    <n v="0"/>
    <n v="0"/>
    <n v="0"/>
    <n v="0"/>
    <n v="0"/>
    <n v="0"/>
    <n v="0"/>
  </r>
  <r>
    <s v="PEK/RST"/>
    <s v="RST"/>
    <x v="1"/>
    <x v="2"/>
    <x v="12"/>
    <x v="4"/>
    <x v="729"/>
    <n v="10234"/>
    <x v="13"/>
    <m/>
    <n v="0"/>
    <m/>
    <n v="0"/>
    <n v="0"/>
    <n v="0"/>
    <n v="0"/>
    <n v="0"/>
    <n v="0"/>
    <n v="0"/>
  </r>
  <r>
    <s v="PEK/RSW"/>
    <s v="RSW"/>
    <x v="1"/>
    <x v="1"/>
    <x v="12"/>
    <x v="4"/>
    <x v="730"/>
    <n v="12371"/>
    <x v="88"/>
    <m/>
    <n v="0"/>
    <m/>
    <n v="0"/>
    <n v="0"/>
    <n v="0"/>
    <n v="0"/>
    <n v="0"/>
    <n v="0"/>
    <n v="0"/>
  </r>
  <r>
    <s v="PEK/RVN"/>
    <s v="RVN"/>
    <x v="1"/>
    <x v="2"/>
    <x v="128"/>
    <x v="1"/>
    <x v="731"/>
    <n v="6014"/>
    <x v="51"/>
    <m/>
    <n v="0"/>
    <m/>
    <n v="0"/>
    <n v="0"/>
    <n v="0"/>
    <n v="0"/>
    <n v="0"/>
    <n v="0"/>
    <n v="0"/>
  </r>
  <r>
    <s v="PEK/RZE"/>
    <s v="RZE"/>
    <x v="1"/>
    <x v="2"/>
    <x v="27"/>
    <x v="1"/>
    <x v="732"/>
    <n v="7000"/>
    <x v="6"/>
    <m/>
    <n v="0"/>
    <m/>
    <n v="0"/>
    <n v="0"/>
    <n v="0"/>
    <n v="0"/>
    <n v="0"/>
    <n v="0"/>
    <n v="0"/>
  </r>
  <r>
    <s v="PEK/SAV"/>
    <s v="SAV"/>
    <x v="1"/>
    <x v="0"/>
    <x v="12"/>
    <x v="4"/>
    <x v="733"/>
    <n v="11783"/>
    <x v="75"/>
    <m/>
    <n v="0"/>
    <m/>
    <n v="0"/>
    <n v="0"/>
    <n v="0"/>
    <n v="0"/>
    <n v="0"/>
    <n v="0"/>
    <n v="0"/>
  </r>
  <r>
    <s v="PEK/SBZ"/>
    <s v="SBZ"/>
    <x v="1"/>
    <x v="2"/>
    <x v="24"/>
    <x v="1"/>
    <x v="734"/>
    <n v="7119"/>
    <x v="15"/>
    <m/>
    <n v="0"/>
    <m/>
    <n v="0"/>
    <n v="0"/>
    <n v="0"/>
    <n v="0"/>
    <n v="0"/>
    <n v="0"/>
    <n v="0"/>
  </r>
  <r>
    <s v="PEK/SCK"/>
    <s v="SCK"/>
    <x v="1"/>
    <x v="3"/>
    <x v="12"/>
    <x v="4"/>
    <x v="735"/>
    <n v="9538"/>
    <x v="104"/>
    <m/>
    <n v="0"/>
    <m/>
    <n v="0"/>
    <n v="0"/>
    <n v="0"/>
    <n v="0"/>
    <n v="0"/>
    <n v="0"/>
    <n v="0"/>
  </r>
  <r>
    <s v="PEK/SCQ"/>
    <s v="SCQ"/>
    <x v="1"/>
    <x v="0"/>
    <x v="41"/>
    <x v="1"/>
    <x v="736"/>
    <n v="9264"/>
    <x v="67"/>
    <m/>
    <n v="0"/>
    <m/>
    <n v="0"/>
    <n v="0"/>
    <n v="0"/>
    <n v="0"/>
    <n v="0"/>
    <n v="0"/>
    <n v="0"/>
  </r>
  <r>
    <s v="PEK/SDF"/>
    <s v="SDF"/>
    <x v="1"/>
    <x v="0"/>
    <x v="12"/>
    <x v="4"/>
    <x v="737"/>
    <n v="11024"/>
    <x v="74"/>
    <m/>
    <n v="0"/>
    <m/>
    <n v="0"/>
    <n v="0"/>
    <n v="0"/>
    <n v="0"/>
    <n v="0"/>
    <n v="0"/>
    <n v="0"/>
  </r>
  <r>
    <s v="PEK/SFB"/>
    <s v="SFB"/>
    <x v="1"/>
    <x v="0"/>
    <x v="12"/>
    <x v="4"/>
    <x v="738"/>
    <n v="12143"/>
    <x v="78"/>
    <m/>
    <n v="0"/>
    <m/>
    <n v="0"/>
    <n v="0"/>
    <n v="0"/>
    <n v="0"/>
    <n v="0"/>
    <n v="0"/>
    <n v="0"/>
  </r>
  <r>
    <s v="PEK/SGC"/>
    <s v="SGC"/>
    <x v="1"/>
    <x v="2"/>
    <x v="2"/>
    <x v="1"/>
    <x v="739"/>
    <n v="3741"/>
    <x v="29"/>
    <m/>
    <n v="0"/>
    <m/>
    <n v="0"/>
    <n v="0"/>
    <n v="0"/>
    <n v="0"/>
    <n v="0"/>
    <n v="0"/>
    <n v="0"/>
  </r>
  <r>
    <s v="PEK/SHW"/>
    <s v="SHW"/>
    <x v="1"/>
    <x v="2"/>
    <x v="16"/>
    <x v="0"/>
    <x v="740"/>
    <n v="7040"/>
    <x v="6"/>
    <m/>
    <n v="0"/>
    <m/>
    <n v="0"/>
    <n v="0"/>
    <n v="0"/>
    <n v="0"/>
    <n v="0"/>
    <n v="0"/>
    <n v="0"/>
  </r>
  <r>
    <s v="PEK/SIP"/>
    <s v="SIP"/>
    <x v="1"/>
    <x v="2"/>
    <x v="124"/>
    <x v="1"/>
    <x v="741"/>
    <n v="6486"/>
    <x v="113"/>
    <m/>
    <n v="0"/>
    <m/>
    <n v="0"/>
    <n v="0"/>
    <n v="0"/>
    <n v="0"/>
    <n v="0"/>
    <n v="0"/>
    <n v="0"/>
  </r>
  <r>
    <s v="PEK/SJC"/>
    <s v="SJC"/>
    <x v="1"/>
    <x v="1"/>
    <x v="12"/>
    <x v="4"/>
    <x v="742"/>
    <n v="9544"/>
    <x v="104"/>
    <m/>
    <n v="0"/>
    <m/>
    <n v="0"/>
    <n v="0"/>
    <n v="0"/>
    <n v="0"/>
    <n v="0"/>
    <n v="0"/>
    <n v="0"/>
  </r>
  <r>
    <s v="PEK/SJW"/>
    <s v="SJW"/>
    <x v="1"/>
    <x v="0"/>
    <x v="30"/>
    <x v="0"/>
    <x v="743"/>
    <n v="257"/>
    <x v="116"/>
    <m/>
    <n v="0"/>
    <m/>
    <n v="0"/>
    <n v="0"/>
    <n v="0"/>
    <n v="0"/>
    <n v="0"/>
    <n v="0"/>
    <n v="0"/>
  </r>
  <r>
    <s v="PEK/SKU"/>
    <s v="SKU"/>
    <x v="1"/>
    <x v="3"/>
    <x v="118"/>
    <x v="1"/>
    <x v="744"/>
    <n v="7504"/>
    <x v="92"/>
    <m/>
    <n v="0"/>
    <m/>
    <n v="0"/>
    <n v="0"/>
    <n v="0"/>
    <n v="0"/>
    <n v="0"/>
    <n v="0"/>
    <n v="0"/>
  </r>
  <r>
    <s v="PEK/SMA"/>
    <s v="SMA"/>
    <x v="1"/>
    <x v="2"/>
    <x v="126"/>
    <x v="1"/>
    <x v="745"/>
    <n v="10603"/>
    <x v="76"/>
    <m/>
    <n v="0"/>
    <m/>
    <n v="0"/>
    <n v="0"/>
    <n v="0"/>
    <n v="0"/>
    <n v="0"/>
    <n v="0"/>
    <n v="0"/>
  </r>
  <r>
    <s v="PEK/SPS"/>
    <s v="SPS"/>
    <x v="1"/>
    <x v="2"/>
    <x v="12"/>
    <x v="4"/>
    <x v="746"/>
    <n v="11029"/>
    <x v="74"/>
    <m/>
    <n v="0"/>
    <m/>
    <n v="0"/>
    <n v="0"/>
    <n v="0"/>
    <n v="0"/>
    <n v="0"/>
    <n v="0"/>
    <n v="0"/>
  </r>
  <r>
    <s v="PEK/SQQ"/>
    <s v="SQQ"/>
    <x v="1"/>
    <x v="3"/>
    <x v="36"/>
    <x v="1"/>
    <x v="747"/>
    <n v="6605"/>
    <x v="19"/>
    <m/>
    <n v="0"/>
    <m/>
    <n v="0"/>
    <n v="0"/>
    <n v="0"/>
    <n v="0"/>
    <n v="0"/>
    <n v="0"/>
    <n v="0"/>
  </r>
  <r>
    <s v="PEK/SRQ"/>
    <s v="SRQ"/>
    <x v="1"/>
    <x v="0"/>
    <x v="12"/>
    <x v="4"/>
    <x v="748"/>
    <n v="12258"/>
    <x v="103"/>
    <m/>
    <n v="0"/>
    <m/>
    <n v="0"/>
    <n v="0"/>
    <n v="0"/>
    <n v="0"/>
    <n v="0"/>
    <n v="0"/>
    <n v="0"/>
  </r>
  <r>
    <s v="PEK/STL"/>
    <s v="STL"/>
    <x v="1"/>
    <x v="1"/>
    <x v="12"/>
    <x v="4"/>
    <x v="749"/>
    <n v="10834"/>
    <x v="71"/>
    <m/>
    <n v="0"/>
    <m/>
    <n v="0"/>
    <n v="0"/>
    <n v="0"/>
    <n v="0"/>
    <n v="0"/>
    <n v="0"/>
    <n v="0"/>
  </r>
  <r>
    <s v="PEK/SWF"/>
    <s v="SWF"/>
    <x v="1"/>
    <x v="2"/>
    <x v="12"/>
    <x v="4"/>
    <x v="750"/>
    <n v="10882"/>
    <x v="96"/>
    <m/>
    <n v="0"/>
    <m/>
    <n v="0"/>
    <n v="0"/>
    <n v="0"/>
    <n v="0"/>
    <n v="0"/>
    <n v="0"/>
    <n v="0"/>
  </r>
  <r>
    <s v="PEK/SXF"/>
    <s v="SXF"/>
    <x v="1"/>
    <x v="2"/>
    <x v="35"/>
    <x v="1"/>
    <x v="751"/>
    <n v="7357"/>
    <x v="20"/>
    <m/>
    <n v="0"/>
    <m/>
    <n v="0"/>
    <n v="0"/>
    <n v="0"/>
    <n v="0"/>
    <n v="0"/>
    <n v="0"/>
    <n v="0"/>
  </r>
  <r>
    <s v="PEK/SZF"/>
    <s v="SZF"/>
    <x v="1"/>
    <x v="2"/>
    <x v="15"/>
    <x v="0"/>
    <x v="752"/>
    <n v="6494"/>
    <x v="113"/>
    <m/>
    <n v="0"/>
    <m/>
    <n v="0"/>
    <n v="0"/>
    <n v="0"/>
    <n v="0"/>
    <n v="0"/>
    <n v="0"/>
    <n v="0"/>
  </r>
  <r>
    <s v="PEK/TAE"/>
    <s v="TAE"/>
    <x v="1"/>
    <x v="2"/>
    <x v="31"/>
    <x v="0"/>
    <x v="753"/>
    <n v="1155"/>
    <x v="35"/>
    <m/>
    <n v="0"/>
    <m/>
    <n v="0"/>
    <n v="0"/>
    <n v="0"/>
    <n v="0"/>
    <n v="0"/>
    <n v="0"/>
    <n v="0"/>
  </r>
  <r>
    <s v="PEK/TBS"/>
    <s v="TBS"/>
    <x v="1"/>
    <x v="2"/>
    <x v="145"/>
    <x v="1"/>
    <x v="754"/>
    <n v="5844"/>
    <x v="21"/>
    <m/>
    <n v="0"/>
    <m/>
    <n v="0"/>
    <n v="0"/>
    <n v="0"/>
    <n v="0"/>
    <n v="0"/>
    <n v="0"/>
    <n v="0"/>
  </r>
  <r>
    <s v="PEK/TEQ"/>
    <s v="TEQ"/>
    <x v="1"/>
    <x v="3"/>
    <x v="15"/>
    <x v="0"/>
    <x v="755"/>
    <n v="7128"/>
    <x v="15"/>
    <m/>
    <n v="0"/>
    <m/>
    <n v="0"/>
    <n v="0"/>
    <n v="0"/>
    <n v="0"/>
    <n v="0"/>
    <n v="0"/>
    <n v="0"/>
  </r>
  <r>
    <s v="PEK/THQ"/>
    <s v="THQ"/>
    <x v="1"/>
    <x v="3"/>
    <x v="30"/>
    <x v="0"/>
    <x v="756"/>
    <n v="1128"/>
    <x v="41"/>
    <m/>
    <n v="0"/>
    <m/>
    <n v="0"/>
    <n v="0"/>
    <n v="0"/>
    <n v="0"/>
    <n v="0"/>
    <n v="0"/>
    <n v="0"/>
  </r>
  <r>
    <s v="PEK/TIF"/>
    <s v="TIF"/>
    <x v="1"/>
    <x v="2"/>
    <x v="16"/>
    <x v="0"/>
    <x v="757"/>
    <n v="7335"/>
    <x v="5"/>
    <m/>
    <n v="0"/>
    <m/>
    <n v="0"/>
    <n v="0"/>
    <n v="0"/>
    <n v="0"/>
    <n v="0"/>
    <n v="0"/>
    <n v="0"/>
  </r>
  <r>
    <s v="PEK/TJM"/>
    <s v="TJM"/>
    <x v="1"/>
    <x v="2"/>
    <x v="2"/>
    <x v="1"/>
    <x v="758"/>
    <n v="4094"/>
    <x v="36"/>
    <m/>
    <n v="0"/>
    <m/>
    <n v="0"/>
    <n v="0"/>
    <n v="0"/>
    <n v="0"/>
    <n v="0"/>
    <n v="0"/>
    <n v="0"/>
  </r>
  <r>
    <s v="PEK/TNA"/>
    <s v="TNA"/>
    <x v="1"/>
    <x v="0"/>
    <x v="30"/>
    <x v="0"/>
    <x v="759"/>
    <n v="362"/>
    <x v="101"/>
    <m/>
    <n v="0"/>
    <m/>
    <n v="0"/>
    <n v="0"/>
    <n v="0"/>
    <n v="0"/>
    <n v="0"/>
    <n v="0"/>
    <n v="0"/>
  </r>
  <r>
    <s v="PEK/TOL"/>
    <s v="TOL"/>
    <x v="1"/>
    <x v="2"/>
    <x v="12"/>
    <x v="4"/>
    <x v="760"/>
    <n v="10706"/>
    <x v="73"/>
    <m/>
    <n v="0"/>
    <m/>
    <n v="0"/>
    <n v="0"/>
    <n v="0"/>
    <n v="0"/>
    <n v="0"/>
    <n v="0"/>
    <n v="0"/>
  </r>
  <r>
    <s v="PEK/TRD"/>
    <s v="TRD"/>
    <x v="1"/>
    <x v="0"/>
    <x v="134"/>
    <x v="1"/>
    <x v="761"/>
    <n v="6792"/>
    <x v="22"/>
    <m/>
    <n v="0"/>
    <m/>
    <n v="0"/>
    <n v="0"/>
    <n v="0"/>
    <n v="0"/>
    <n v="0"/>
    <n v="0"/>
    <n v="0"/>
  </r>
  <r>
    <s v="PEK/TRF"/>
    <s v="TRF"/>
    <x v="1"/>
    <x v="0"/>
    <x v="134"/>
    <x v="1"/>
    <x v="762"/>
    <n v="7087"/>
    <x v="6"/>
    <m/>
    <n v="0"/>
    <m/>
    <n v="0"/>
    <n v="0"/>
    <n v="0"/>
    <n v="0"/>
    <n v="0"/>
    <n v="0"/>
    <n v="0"/>
  </r>
  <r>
    <s v="PEK/TRN"/>
    <s v="TRN"/>
    <x v="1"/>
    <x v="0"/>
    <x v="85"/>
    <x v="1"/>
    <x v="763"/>
    <n v="8189"/>
    <x v="95"/>
    <m/>
    <n v="0"/>
    <m/>
    <n v="0"/>
    <n v="0"/>
    <n v="0"/>
    <n v="0"/>
    <n v="0"/>
    <n v="0"/>
    <n v="0"/>
  </r>
  <r>
    <s v="PEK/TRS"/>
    <s v="TRS"/>
    <x v="1"/>
    <x v="2"/>
    <x v="85"/>
    <x v="1"/>
    <x v="764"/>
    <n v="7794"/>
    <x v="44"/>
    <m/>
    <n v="0"/>
    <m/>
    <n v="0"/>
    <n v="0"/>
    <n v="0"/>
    <n v="0"/>
    <n v="0"/>
    <n v="0"/>
    <n v="0"/>
  </r>
  <r>
    <s v="PEK/TSN"/>
    <s v="TSN"/>
    <x v="1"/>
    <x v="0"/>
    <x v="30"/>
    <x v="0"/>
    <x v="765"/>
    <n v="124"/>
    <x v="117"/>
    <m/>
    <n v="0"/>
    <m/>
    <n v="0"/>
    <n v="0"/>
    <n v="0"/>
    <n v="0"/>
    <n v="0"/>
    <n v="0"/>
    <n v="0"/>
  </r>
  <r>
    <s v="PEK/TSR"/>
    <s v="TSR"/>
    <x v="1"/>
    <x v="2"/>
    <x v="24"/>
    <x v="1"/>
    <x v="766"/>
    <n v="7297"/>
    <x v="5"/>
    <m/>
    <n v="0"/>
    <m/>
    <n v="0"/>
    <n v="0"/>
    <n v="0"/>
    <n v="0"/>
    <n v="0"/>
    <n v="0"/>
    <n v="0"/>
  </r>
  <r>
    <s v="PEK/TUI"/>
    <s v="TUI"/>
    <x v="1"/>
    <x v="3"/>
    <x v="16"/>
    <x v="0"/>
    <x v="767"/>
    <n v="6854"/>
    <x v="22"/>
    <m/>
    <n v="0"/>
    <m/>
    <n v="0"/>
    <n v="0"/>
    <n v="0"/>
    <n v="0"/>
    <n v="0"/>
    <n v="0"/>
    <n v="0"/>
  </r>
  <r>
    <s v="PEK/TUL"/>
    <s v="TUL"/>
    <x v="1"/>
    <x v="0"/>
    <x v="12"/>
    <x v="4"/>
    <x v="768"/>
    <n v="10909"/>
    <x v="96"/>
    <m/>
    <n v="0"/>
    <m/>
    <n v="0"/>
    <n v="0"/>
    <n v="0"/>
    <n v="0"/>
    <n v="0"/>
    <n v="0"/>
    <n v="0"/>
  </r>
  <r>
    <s v="PEK/TUS"/>
    <s v="TUS"/>
    <x v="1"/>
    <x v="0"/>
    <x v="12"/>
    <x v="4"/>
    <x v="769"/>
    <n v="10618"/>
    <x v="73"/>
    <m/>
    <n v="0"/>
    <m/>
    <n v="0"/>
    <n v="0"/>
    <n v="0"/>
    <n v="0"/>
    <n v="0"/>
    <n v="0"/>
    <n v="0"/>
  </r>
  <r>
    <s v="PEK/TUU"/>
    <s v="TUU"/>
    <x v="1"/>
    <x v="2"/>
    <x v="16"/>
    <x v="0"/>
    <x v="770"/>
    <n v="7225"/>
    <x v="5"/>
    <m/>
    <n v="0"/>
    <m/>
    <n v="0"/>
    <n v="0"/>
    <n v="0"/>
    <n v="0"/>
    <n v="0"/>
    <n v="0"/>
    <n v="0"/>
  </r>
  <r>
    <s v="PEK/TYN"/>
    <s v="TYN"/>
    <x v="1"/>
    <x v="0"/>
    <x v="30"/>
    <x v="0"/>
    <x v="771"/>
    <n v="429"/>
    <x v="101"/>
    <m/>
    <n v="0"/>
    <m/>
    <n v="0"/>
    <n v="0"/>
    <n v="0"/>
    <n v="0"/>
    <n v="0"/>
    <n v="0"/>
    <n v="0"/>
  </r>
  <r>
    <s v="PEK/UFA"/>
    <s v="UFA"/>
    <x v="1"/>
    <x v="2"/>
    <x v="2"/>
    <x v="1"/>
    <x v="772"/>
    <n v="4686"/>
    <x v="26"/>
    <m/>
    <n v="0"/>
    <m/>
    <n v="0"/>
    <n v="0"/>
    <n v="0"/>
    <n v="0"/>
    <n v="0"/>
    <n v="0"/>
    <n v="0"/>
  </r>
  <r>
    <s v="PEK/ULN"/>
    <s v="ULN"/>
    <x v="1"/>
    <x v="2"/>
    <x v="45"/>
    <x v="0"/>
    <x v="773"/>
    <n v="1165"/>
    <x v="35"/>
    <m/>
    <n v="0"/>
    <m/>
    <n v="0"/>
    <n v="0"/>
    <n v="0"/>
    <n v="0"/>
    <n v="0"/>
    <n v="0"/>
    <n v="0"/>
  </r>
  <r>
    <s v="PEK/ULY"/>
    <s v="ULY"/>
    <x v="1"/>
    <x v="2"/>
    <x v="2"/>
    <x v="1"/>
    <x v="774"/>
    <n v="5140"/>
    <x v="94"/>
    <m/>
    <n v="0"/>
    <m/>
    <n v="0"/>
    <n v="0"/>
    <n v="0"/>
    <n v="0"/>
    <n v="0"/>
    <n v="0"/>
    <n v="0"/>
  </r>
  <r>
    <s v="PEK/URT"/>
    <s v="URT"/>
    <x v="1"/>
    <x v="2"/>
    <x v="71"/>
    <x v="0"/>
    <x v="775"/>
    <n v="3851"/>
    <x v="1"/>
    <m/>
    <n v="0"/>
    <m/>
    <n v="0"/>
    <n v="0"/>
    <n v="0"/>
    <n v="0"/>
    <n v="0"/>
    <n v="0"/>
    <n v="0"/>
  </r>
  <r>
    <s v="PEK/URY"/>
    <s v="URY"/>
    <x v="1"/>
    <x v="2"/>
    <x v="16"/>
    <x v="0"/>
    <x v="776"/>
    <n v="6987"/>
    <x v="7"/>
    <m/>
    <n v="0"/>
    <m/>
    <n v="0"/>
    <n v="0"/>
    <n v="0"/>
    <n v="0"/>
    <n v="0"/>
    <n v="0"/>
    <n v="0"/>
  </r>
  <r>
    <s v="PEK/UTP"/>
    <s v="UTP"/>
    <x v="1"/>
    <x v="3"/>
    <x v="71"/>
    <x v="0"/>
    <x v="777"/>
    <n v="3407"/>
    <x v="3"/>
    <m/>
    <n v="0"/>
    <m/>
    <n v="0"/>
    <n v="0"/>
    <n v="0"/>
    <n v="0"/>
    <n v="0"/>
    <n v="0"/>
    <n v="0"/>
  </r>
  <r>
    <s v="PEK/UUD"/>
    <s v="UUD"/>
    <x v="1"/>
    <x v="2"/>
    <x v="2"/>
    <x v="1"/>
    <x v="778"/>
    <n v="1481"/>
    <x v="65"/>
    <m/>
    <n v="0"/>
    <m/>
    <n v="0"/>
    <n v="0"/>
    <n v="0"/>
    <n v="0"/>
    <n v="0"/>
    <n v="0"/>
    <n v="0"/>
  </r>
  <r>
    <s v="PEK/UUS"/>
    <s v="UUS"/>
    <x v="1"/>
    <x v="2"/>
    <x v="2"/>
    <x v="1"/>
    <x v="779"/>
    <n v="2228"/>
    <x v="62"/>
    <m/>
    <n v="0"/>
    <m/>
    <n v="0"/>
    <n v="0"/>
    <n v="0"/>
    <n v="0"/>
    <n v="0"/>
    <n v="0"/>
    <n v="0"/>
  </r>
  <r>
    <s v="PEK/VAS"/>
    <s v="VAS"/>
    <x v="1"/>
    <x v="2"/>
    <x v="15"/>
    <x v="0"/>
    <x v="780"/>
    <n v="6543"/>
    <x v="113"/>
    <m/>
    <n v="0"/>
    <m/>
    <n v="0"/>
    <n v="0"/>
    <n v="0"/>
    <n v="0"/>
    <n v="0"/>
    <n v="0"/>
    <n v="0"/>
  </r>
  <r>
    <s v="PEK/VBS"/>
    <s v="VBS"/>
    <x v="1"/>
    <x v="2"/>
    <x v="85"/>
    <x v="1"/>
    <x v="781"/>
    <n v="8012"/>
    <x v="45"/>
    <m/>
    <n v="0"/>
    <m/>
    <n v="0"/>
    <n v="0"/>
    <n v="0"/>
    <n v="0"/>
    <n v="0"/>
    <n v="0"/>
    <n v="0"/>
  </r>
  <r>
    <s v="PEK/VCT"/>
    <s v="VCT"/>
    <x v="1"/>
    <x v="3"/>
    <x v="12"/>
    <x v="4"/>
    <x v="782"/>
    <n v="11608"/>
    <x v="83"/>
    <m/>
    <n v="0"/>
    <m/>
    <n v="0"/>
    <n v="0"/>
    <n v="0"/>
    <n v="0"/>
    <n v="0"/>
    <n v="0"/>
    <n v="0"/>
  </r>
  <r>
    <s v="PEK/VDA"/>
    <s v="VDA"/>
    <x v="1"/>
    <x v="2"/>
    <x v="114"/>
    <x v="0"/>
    <x v="783"/>
    <n v="7264"/>
    <x v="5"/>
    <m/>
    <n v="0"/>
    <m/>
    <n v="0"/>
    <n v="0"/>
    <n v="0"/>
    <n v="0"/>
    <n v="0"/>
    <n v="0"/>
    <n v="0"/>
  </r>
  <r>
    <s v="PEK/VIT"/>
    <s v="VIT"/>
    <x v="1"/>
    <x v="3"/>
    <x v="41"/>
    <x v="1"/>
    <x v="784"/>
    <n v="8962"/>
    <x v="54"/>
    <m/>
    <n v="0"/>
    <m/>
    <n v="0"/>
    <n v="0"/>
    <n v="0"/>
    <n v="0"/>
    <n v="0"/>
    <n v="0"/>
    <n v="0"/>
  </r>
  <r>
    <s v="PEK/VLC"/>
    <s v="VLC"/>
    <x v="1"/>
    <x v="0"/>
    <x v="41"/>
    <x v="1"/>
    <x v="785"/>
    <n v="9109"/>
    <x v="56"/>
    <m/>
    <n v="0"/>
    <m/>
    <n v="0"/>
    <n v="0"/>
    <n v="0"/>
    <n v="0"/>
    <n v="0"/>
    <n v="0"/>
    <n v="0"/>
  </r>
  <r>
    <s v="PEK/VLL"/>
    <s v="VLL"/>
    <x v="1"/>
    <x v="2"/>
    <x v="41"/>
    <x v="1"/>
    <x v="786"/>
    <n v="9176"/>
    <x v="25"/>
    <m/>
    <n v="0"/>
    <m/>
    <n v="0"/>
    <n v="0"/>
    <n v="0"/>
    <n v="0"/>
    <n v="0"/>
    <n v="0"/>
    <n v="0"/>
  </r>
  <r>
    <s v="PEK/VOL"/>
    <s v="VOL"/>
    <x v="1"/>
    <x v="3"/>
    <x v="118"/>
    <x v="1"/>
    <x v="787"/>
    <n v="7609"/>
    <x v="14"/>
    <m/>
    <n v="0"/>
    <m/>
    <n v="0"/>
    <n v="0"/>
    <n v="0"/>
    <n v="0"/>
    <n v="0"/>
    <n v="0"/>
    <n v="0"/>
  </r>
  <r>
    <s v="PEK/VPS"/>
    <s v="VPS"/>
    <x v="1"/>
    <x v="2"/>
    <x v="12"/>
    <x v="4"/>
    <x v="788"/>
    <n v="11817"/>
    <x v="75"/>
    <m/>
    <n v="0"/>
    <m/>
    <n v="0"/>
    <n v="0"/>
    <n v="0"/>
    <n v="0"/>
    <n v="0"/>
    <n v="0"/>
    <n v="0"/>
  </r>
  <r>
    <s v="PEK/VRN"/>
    <s v="VRN"/>
    <x v="1"/>
    <x v="0"/>
    <x v="85"/>
    <x v="1"/>
    <x v="789"/>
    <n v="7981"/>
    <x v="45"/>
    <m/>
    <n v="0"/>
    <m/>
    <n v="0"/>
    <n v="0"/>
    <n v="0"/>
    <n v="0"/>
    <n v="0"/>
    <n v="0"/>
    <n v="0"/>
  </r>
  <r>
    <s v="PEK/WAE"/>
    <s v="WAE"/>
    <x v="1"/>
    <x v="2"/>
    <x v="16"/>
    <x v="0"/>
    <x v="790"/>
    <n v="7005"/>
    <x v="6"/>
    <m/>
    <n v="0"/>
    <m/>
    <n v="0"/>
    <n v="0"/>
    <n v="0"/>
    <n v="0"/>
    <n v="0"/>
    <n v="0"/>
    <n v="0"/>
  </r>
  <r>
    <s v="PEK/WUX"/>
    <s v="WUX"/>
    <x v="1"/>
    <x v="0"/>
    <x v="30"/>
    <x v="0"/>
    <x v="791"/>
    <n v="1015"/>
    <x v="33"/>
    <m/>
    <n v="0"/>
    <m/>
    <n v="0"/>
    <n v="0"/>
    <n v="0"/>
    <n v="0"/>
    <n v="0"/>
    <n v="0"/>
    <n v="0"/>
  </r>
  <r>
    <s v="PEK/WXN"/>
    <s v="WXN"/>
    <x v="1"/>
    <x v="2"/>
    <x v="30"/>
    <x v="0"/>
    <x v="792"/>
    <n v="1268"/>
    <x v="40"/>
    <m/>
    <n v="0"/>
    <m/>
    <n v="0"/>
    <n v="0"/>
    <n v="0"/>
    <n v="0"/>
    <n v="0"/>
    <n v="0"/>
    <n v="0"/>
  </r>
  <r>
    <s v="PEK/XCR"/>
    <s v="XCR"/>
    <x v="1"/>
    <x v="3"/>
    <x v="38"/>
    <x v="1"/>
    <x v="793"/>
    <n v="8120"/>
    <x v="43"/>
    <m/>
    <n v="0"/>
    <m/>
    <n v="0"/>
    <n v="0"/>
    <n v="0"/>
    <n v="0"/>
    <n v="0"/>
    <n v="0"/>
    <n v="0"/>
  </r>
  <r>
    <s v="PEK/XIC"/>
    <s v="XIC"/>
    <x v="1"/>
    <x v="2"/>
    <x v="30"/>
    <x v="0"/>
    <x v="794"/>
    <n v="1884"/>
    <x v="66"/>
    <m/>
    <n v="0"/>
    <m/>
    <n v="0"/>
    <n v="0"/>
    <n v="0"/>
    <n v="0"/>
    <n v="0"/>
    <n v="0"/>
    <n v="0"/>
  </r>
  <r>
    <s v="PEK/XNN"/>
    <s v="XNN"/>
    <x v="1"/>
    <x v="0"/>
    <x v="30"/>
    <x v="0"/>
    <x v="795"/>
    <n v="1327"/>
    <x v="40"/>
    <m/>
    <n v="0"/>
    <m/>
    <n v="0"/>
    <n v="0"/>
    <n v="0"/>
    <n v="0"/>
    <n v="0"/>
    <n v="0"/>
    <n v="0"/>
  </r>
  <r>
    <s v="PEK/XUZ"/>
    <s v="XUZ"/>
    <x v="1"/>
    <x v="2"/>
    <x v="30"/>
    <x v="0"/>
    <x v="796"/>
    <n v="675"/>
    <x v="58"/>
    <m/>
    <n v="0"/>
    <m/>
    <n v="0"/>
    <n v="0"/>
    <n v="0"/>
    <n v="0"/>
    <n v="0"/>
    <n v="0"/>
    <n v="0"/>
  </r>
  <r>
    <s v="PEK/YBG"/>
    <s v="YBG"/>
    <x v="1"/>
    <x v="2"/>
    <x v="10"/>
    <x v="2"/>
    <x v="797"/>
    <n v="10158"/>
    <x v="23"/>
    <m/>
    <n v="0"/>
    <m/>
    <n v="0"/>
    <n v="0"/>
    <n v="0"/>
    <n v="0"/>
    <n v="0"/>
    <n v="0"/>
    <n v="0"/>
  </r>
  <r>
    <s v="PEK/YCU"/>
    <s v="YCU"/>
    <x v="1"/>
    <x v="2"/>
    <x v="30"/>
    <x v="0"/>
    <x v="798"/>
    <n v="736"/>
    <x v="30"/>
    <m/>
    <n v="0"/>
    <m/>
    <n v="0"/>
    <n v="0"/>
    <n v="0"/>
    <n v="0"/>
    <n v="0"/>
    <n v="0"/>
    <n v="0"/>
  </r>
  <r>
    <s v="PEK/YEI"/>
    <s v="YEI"/>
    <x v="1"/>
    <x v="3"/>
    <x v="15"/>
    <x v="0"/>
    <x v="799"/>
    <n v="7061"/>
    <x v="6"/>
    <m/>
    <n v="0"/>
    <m/>
    <n v="0"/>
    <n v="0"/>
    <n v="0"/>
    <n v="0"/>
    <n v="0"/>
    <n v="0"/>
    <n v="0"/>
  </r>
  <r>
    <s v="PEK/YJT"/>
    <s v="YJT"/>
    <x v="1"/>
    <x v="3"/>
    <x v="10"/>
    <x v="2"/>
    <x v="800"/>
    <n v="10151"/>
    <x v="23"/>
    <m/>
    <n v="0"/>
    <m/>
    <n v="0"/>
    <n v="0"/>
    <n v="0"/>
    <n v="0"/>
    <n v="0"/>
    <n v="0"/>
    <n v="0"/>
  </r>
  <r>
    <s v="PEK/YKS"/>
    <s v="YKS"/>
    <x v="1"/>
    <x v="2"/>
    <x v="2"/>
    <x v="1"/>
    <x v="801"/>
    <n v="2604"/>
    <x v="107"/>
    <m/>
    <n v="0"/>
    <m/>
    <n v="0"/>
    <n v="0"/>
    <n v="0"/>
    <n v="0"/>
    <n v="0"/>
    <n v="0"/>
    <n v="0"/>
  </r>
  <r>
    <s v="PEK/YNB"/>
    <s v="YNB"/>
    <x v="1"/>
    <x v="2"/>
    <x v="16"/>
    <x v="0"/>
    <x v="802"/>
    <n v="7371"/>
    <x v="20"/>
    <m/>
    <n v="0"/>
    <m/>
    <n v="0"/>
    <n v="0"/>
    <n v="0"/>
    <n v="0"/>
    <n v="0"/>
    <n v="0"/>
    <n v="0"/>
  </r>
  <r>
    <s v="PEK/YQQ"/>
    <s v="YQQ"/>
    <x v="1"/>
    <x v="2"/>
    <x v="10"/>
    <x v="2"/>
    <x v="803"/>
    <n v="8368"/>
    <x v="46"/>
    <m/>
    <n v="0"/>
    <m/>
    <n v="0"/>
    <n v="0"/>
    <n v="0"/>
    <n v="0"/>
    <n v="0"/>
    <n v="0"/>
    <n v="0"/>
  </r>
  <r>
    <s v="PEK/YUM"/>
    <s v="YUM"/>
    <x v="1"/>
    <x v="2"/>
    <x v="12"/>
    <x v="4"/>
    <x v="804"/>
    <n v="10369"/>
    <x v="114"/>
    <m/>
    <n v="0"/>
    <m/>
    <n v="0"/>
    <n v="0"/>
    <n v="0"/>
    <n v="0"/>
    <n v="0"/>
    <n v="0"/>
    <n v="0"/>
  </r>
  <r>
    <s v="PEK/YXS"/>
    <s v="YXS"/>
    <x v="1"/>
    <x v="2"/>
    <x v="10"/>
    <x v="2"/>
    <x v="805"/>
    <n v="8137"/>
    <x v="95"/>
    <m/>
    <n v="0"/>
    <m/>
    <n v="0"/>
    <n v="0"/>
    <n v="0"/>
    <n v="0"/>
    <n v="0"/>
    <n v="0"/>
    <n v="0"/>
  </r>
  <r>
    <s v="PEK/YXX"/>
    <s v="YXX"/>
    <x v="1"/>
    <x v="2"/>
    <x v="10"/>
    <x v="2"/>
    <x v="806"/>
    <n v="8549"/>
    <x v="85"/>
    <m/>
    <n v="0"/>
    <m/>
    <n v="0"/>
    <n v="0"/>
    <n v="0"/>
    <n v="0"/>
    <n v="0"/>
    <n v="0"/>
    <n v="0"/>
  </r>
  <r>
    <s v="PEK/YXY"/>
    <s v="YXY"/>
    <x v="1"/>
    <x v="2"/>
    <x v="10"/>
    <x v="2"/>
    <x v="807"/>
    <n v="7080"/>
    <x v="6"/>
    <m/>
    <n v="0"/>
    <m/>
    <n v="0"/>
    <n v="0"/>
    <n v="0"/>
    <n v="0"/>
    <n v="0"/>
    <n v="0"/>
    <n v="0"/>
  </r>
  <r>
    <s v="PEK/YYB"/>
    <s v="YYB"/>
    <x v="1"/>
    <x v="3"/>
    <x v="10"/>
    <x v="2"/>
    <x v="808"/>
    <n v="10275"/>
    <x v="114"/>
    <m/>
    <n v="0"/>
    <m/>
    <n v="0"/>
    <n v="0"/>
    <n v="0"/>
    <n v="0"/>
    <n v="0"/>
    <n v="0"/>
    <n v="0"/>
  </r>
  <r>
    <s v="PEK/YYQ"/>
    <s v="YYQ"/>
    <x v="1"/>
    <x v="2"/>
    <x v="10"/>
    <x v="2"/>
    <x v="809"/>
    <n v="8669"/>
    <x v="48"/>
    <m/>
    <n v="0"/>
    <m/>
    <n v="0"/>
    <n v="0"/>
    <n v="0"/>
    <n v="0"/>
    <n v="0"/>
    <n v="0"/>
    <n v="0"/>
  </r>
  <r>
    <s v="PEK/YYR"/>
    <s v="YYR"/>
    <x v="1"/>
    <x v="2"/>
    <x v="10"/>
    <x v="2"/>
    <x v="810"/>
    <n v="9628"/>
    <x v="59"/>
    <m/>
    <n v="0"/>
    <m/>
    <n v="0"/>
    <n v="0"/>
    <n v="0"/>
    <n v="0"/>
    <n v="0"/>
    <n v="0"/>
    <n v="0"/>
  </r>
  <r>
    <s v="PEK/ZAZ"/>
    <s v="ZAZ"/>
    <x v="1"/>
    <x v="2"/>
    <x v="41"/>
    <x v="1"/>
    <x v="811"/>
    <n v="8967"/>
    <x v="54"/>
    <m/>
    <n v="0"/>
    <m/>
    <n v="0"/>
    <n v="0"/>
    <n v="0"/>
    <n v="0"/>
    <n v="0"/>
    <n v="0"/>
    <n v="0"/>
  </r>
  <r>
    <s v="PEK/ZHY"/>
    <s v="ZHY"/>
    <x v="1"/>
    <x v="3"/>
    <x v="30"/>
    <x v="0"/>
    <x v="812"/>
    <n v="1028"/>
    <x v="41"/>
    <m/>
    <n v="0"/>
    <m/>
    <n v="0"/>
    <n v="0"/>
    <n v="0"/>
    <n v="0"/>
    <n v="0"/>
    <n v="0"/>
    <n v="0"/>
  </r>
  <r>
    <s v="PEK/ZQW"/>
    <s v="ZQW"/>
    <x v="1"/>
    <x v="2"/>
    <x v="35"/>
    <x v="1"/>
    <x v="813"/>
    <n v="7912"/>
    <x v="45"/>
    <m/>
    <n v="0"/>
    <m/>
    <n v="0"/>
    <n v="0"/>
    <n v="0"/>
    <n v="0"/>
    <n v="0"/>
    <n v="0"/>
    <n v="0"/>
  </r>
  <r>
    <s v="PEK/ZUH"/>
    <s v="ZUH"/>
    <x v="1"/>
    <x v="0"/>
    <x v="30"/>
    <x v="0"/>
    <x v="814"/>
    <n v="2032"/>
    <x v="9"/>
    <m/>
    <n v="0"/>
    <m/>
    <n v="0"/>
    <n v="0"/>
    <n v="0"/>
    <n v="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">
  <r>
    <s v="PAP/ATA"/>
    <s v="ATA"/>
    <x v="0"/>
    <x v="0"/>
    <x v="0"/>
    <x v="0"/>
    <s v="Huaraz - German Arias Graziani"/>
    <n v="3160"/>
    <n v="9"/>
    <n v="148442509"/>
    <n v="39012.485939553218"/>
    <n v="3805"/>
    <n v="4.0052631578947366"/>
    <n v="3995"/>
    <n v="3995"/>
    <n v="4"/>
    <n v="36"/>
    <n v="0"/>
    <n v="0"/>
    <n v="0"/>
    <n v="0"/>
    <n v="0"/>
  </r>
  <r>
    <s v="PAP/JUL"/>
    <s v="JUL"/>
    <x v="0"/>
    <x v="1"/>
    <x v="0"/>
    <x v="0"/>
    <s v="Juliaca - Inco Mnco Capac Intl"/>
    <n v="3794"/>
    <n v="10.5"/>
    <n v="140069628"/>
    <n v="49722.97763578275"/>
    <n v="2817"/>
    <n v="2.965263157894737"/>
    <n v="2958"/>
    <n v="2958"/>
    <n v="3"/>
    <n v="31.5"/>
    <n v="0"/>
    <n v="0"/>
    <n v="0"/>
    <n v="0"/>
    <n v="0"/>
  </r>
  <r>
    <s v="PAP/JPA"/>
    <s v="JPA"/>
    <x v="0"/>
    <x v="1"/>
    <x v="1"/>
    <x v="0"/>
    <s v="Joao Pessoa - Castro Pinto Intl"/>
    <n v="4996"/>
    <n v="13"/>
    <n v="160535437"/>
    <n v="57892.332131265779"/>
    <n v="2773"/>
    <n v="2.9189473684210525"/>
    <n v="2903"/>
    <n v="2903"/>
    <n v="3"/>
    <n v="39"/>
    <n v="0"/>
    <n v="0"/>
    <n v="0"/>
    <n v="0"/>
    <n v="0"/>
  </r>
  <r>
    <s v="PAP/YYT"/>
    <s v="YYT"/>
    <x v="0"/>
    <x v="1"/>
    <x v="2"/>
    <x v="1"/>
    <s v="St John's - International"/>
    <n v="3684"/>
    <n v="10.25"/>
    <m/>
    <n v="0"/>
    <m/>
    <n v="0"/>
    <n v="2600"/>
    <n v="2600"/>
    <n v="2"/>
    <n v="20.5"/>
    <n v="0"/>
    <n v="0"/>
    <n v="0"/>
    <n v="0"/>
    <n v="0"/>
  </r>
  <r>
    <s v="PAP/PMV"/>
    <s v="PMV"/>
    <x v="0"/>
    <x v="0"/>
    <x v="3"/>
    <x v="0"/>
    <s v="Porlamar - Del Caribe Intl"/>
    <n v="1235"/>
    <n v="4.75"/>
    <n v="130325651"/>
    <n v="40050.906883835283"/>
    <n v="3254"/>
    <n v="3.425263157894737"/>
    <n v="3429"/>
    <n v="2479"/>
    <n v="2"/>
    <n v="9.5"/>
    <n v="0"/>
    <n v="950"/>
    <n v="0"/>
    <n v="0"/>
    <n v="0"/>
  </r>
  <r>
    <s v="PAP/SDQ"/>
    <s v="SDQ"/>
    <x v="1"/>
    <x v="0"/>
    <x v="4"/>
    <x v="1"/>
    <s v="Santo Domingo - Metropolitan Area"/>
    <n v="277"/>
    <n v="2.75"/>
    <n v="122125692"/>
    <n v="52708.542080276216"/>
    <n v="2317"/>
    <n v="2.4389473684210525"/>
    <n v="2457"/>
    <n v="2457"/>
    <n v="2"/>
    <n v="5.5"/>
    <n v="0"/>
    <n v="0"/>
    <n v="0"/>
    <n v="0"/>
    <n v="0"/>
  </r>
  <r>
    <s v="PAP/RZE"/>
    <s v="RZE"/>
    <x v="1"/>
    <x v="1"/>
    <x v="5"/>
    <x v="2"/>
    <s v="Rzeszow - Jasionka"/>
    <n v="8735"/>
    <n v="21.25"/>
    <n v="190055221"/>
    <n v="81814.559190701679"/>
    <n v="2323"/>
    <n v="2.445263157894737"/>
    <n v="2447"/>
    <n v="2447"/>
    <n v="2"/>
    <n v="42.5"/>
    <n v="0"/>
    <n v="0"/>
    <n v="0"/>
    <n v="0"/>
    <n v="0"/>
  </r>
  <r>
    <s v="PAP/KIN"/>
    <s v="KIN"/>
    <x v="1"/>
    <x v="0"/>
    <x v="6"/>
    <x v="1"/>
    <s v="Kingston - Metropolitan Area"/>
    <n v="480"/>
    <n v="3.25"/>
    <n v="120105622"/>
    <n v="52608.682435392031"/>
    <n v="2283"/>
    <n v="2.4031578947368422"/>
    <n v="2422"/>
    <n v="2422"/>
    <n v="2"/>
    <n v="6.5"/>
    <n v="0"/>
    <n v="0"/>
    <n v="0"/>
    <n v="0"/>
    <n v="0"/>
  </r>
  <r>
    <s v="PAP/NAT"/>
    <s v="NAT"/>
    <x v="0"/>
    <x v="0"/>
    <x v="1"/>
    <x v="0"/>
    <s v="Natal - International"/>
    <n v="4890"/>
    <n v="12.75"/>
    <n v="167250899"/>
    <n v="54126.504530744336"/>
    <n v="3090"/>
    <n v="3.2526315789473683"/>
    <n v="3225"/>
    <n v="2275"/>
    <n v="2"/>
    <n v="25.5"/>
    <n v="0"/>
    <n v="950"/>
    <n v="0"/>
    <n v="0"/>
    <n v="0"/>
  </r>
  <r>
    <s v="PAP/POS"/>
    <s v="POS"/>
    <x v="0"/>
    <x v="0"/>
    <x v="7"/>
    <x v="1"/>
    <s v="Piarco Airport"/>
    <n v="1475"/>
    <n v="5.25"/>
    <n v="133177857"/>
    <n v="47026.079449152545"/>
    <n v="2832"/>
    <n v="2.9810526315789474"/>
    <n v="2957"/>
    <n v="2007"/>
    <n v="2"/>
    <n v="10.5"/>
    <n v="0"/>
    <n v="950"/>
    <n v="0"/>
    <n v="0"/>
    <n v="0"/>
  </r>
  <r>
    <s v="PAP/EOH"/>
    <s v="EOH"/>
    <x v="0"/>
    <x v="1"/>
    <x v="8"/>
    <x v="0"/>
    <s v="Medellin - Enrique Olaya Herrera"/>
    <n v="1420"/>
    <n v="5.25"/>
    <n v="125324942"/>
    <n v="46143.203976435936"/>
    <n v="2716"/>
    <n v="2.8589473684210525"/>
    <n v="2851"/>
    <n v="1901"/>
    <n v="2"/>
    <n v="10.5"/>
    <n v="0"/>
    <n v="950"/>
    <n v="0"/>
    <n v="0"/>
    <n v="0"/>
  </r>
  <r>
    <s v="PAP/BAQ"/>
    <s v="BAQ"/>
    <x v="1"/>
    <x v="1"/>
    <x v="8"/>
    <x v="0"/>
    <s v="Barranquilla - Ernesto Cortissoz Intl"/>
    <n v="896"/>
    <n v="4"/>
    <n v="120785840"/>
    <n v="45255.091794679654"/>
    <n v="2669"/>
    <n v="2.8094736842105261"/>
    <n v="2822"/>
    <n v="1872"/>
    <n v="1"/>
    <n v="4"/>
    <n v="0"/>
    <n v="950"/>
    <n v="0"/>
    <n v="0"/>
    <n v="0"/>
  </r>
  <r>
    <s v="PAP/MKE"/>
    <s v="MKE"/>
    <x v="0"/>
    <x v="2"/>
    <x v="9"/>
    <x v="3"/>
    <s v="Milwaukee - Metropolitan Area"/>
    <n v="3081"/>
    <n v="9"/>
    <m/>
    <n v="0"/>
    <m/>
    <n v="0"/>
    <n v="2816"/>
    <n v="1866"/>
    <n v="1"/>
    <n v="9"/>
    <n v="0"/>
    <n v="950"/>
    <n v="0"/>
    <n v="0"/>
    <n v="0"/>
  </r>
  <r>
    <s v="PAP/TPA"/>
    <s v="TPA"/>
    <x v="1"/>
    <x v="2"/>
    <x v="9"/>
    <x v="3"/>
    <s v="Tampa - Metropolitan Area"/>
    <n v="1477"/>
    <n v="5.25"/>
    <m/>
    <n v="0"/>
    <m/>
    <n v="0"/>
    <n v="2659"/>
    <n v="1709"/>
    <n v="1"/>
    <n v="5.25"/>
    <n v="0"/>
    <n v="950"/>
    <n v="0"/>
    <n v="0"/>
    <n v="0"/>
  </r>
  <r>
    <s v="PAP/SJO"/>
    <s v="SJO"/>
    <x v="1"/>
    <x v="0"/>
    <x v="10"/>
    <x v="1"/>
    <s v="San Jose - Juan Santamaria Intl"/>
    <n v="1599"/>
    <n v="5.75"/>
    <n v="139557211"/>
    <n v="46426.217897538256"/>
    <n v="3006"/>
    <n v="3.1642105263157894"/>
    <n v="3177"/>
    <n v="1277"/>
    <n v="1"/>
    <n v="5.75"/>
    <n v="0"/>
    <n v="1900"/>
    <n v="0"/>
    <n v="0"/>
    <n v="0"/>
  </r>
  <r>
    <s v="PAP/PBM"/>
    <s v="PBM"/>
    <x v="0"/>
    <x v="1"/>
    <x v="11"/>
    <x v="0"/>
    <s v="Paramaribo - Metropolitan Area"/>
    <n v="2361"/>
    <n v="7.25"/>
    <n v="128649319"/>
    <n v="45459.123321554769"/>
    <n v="2830"/>
    <n v="2.9789473684210526"/>
    <n v="2963"/>
    <n v="1063"/>
    <n v="1"/>
    <n v="7.25"/>
    <n v="0"/>
    <n v="1900"/>
    <n v="0"/>
    <n v="0"/>
    <n v="0"/>
  </r>
  <r>
    <s v="PAP/EWR"/>
    <s v="EWR"/>
    <x v="1"/>
    <x v="3"/>
    <x v="9"/>
    <x v="3"/>
    <s v="New York - Newark Liberty Intl"/>
    <n v="2466"/>
    <n v="7.5"/>
    <n v="178257192"/>
    <n v="62722.446164672765"/>
    <n v="2842"/>
    <n v="2.9915789473684211"/>
    <n v="2947"/>
    <n v="1047"/>
    <n v="1"/>
    <n v="7.5"/>
    <n v="0"/>
    <n v="1900"/>
    <n v="0"/>
    <n v="0"/>
    <n v="0"/>
  </r>
  <r>
    <s v="PAP/STI"/>
    <s v="STI"/>
    <x v="1"/>
    <x v="1"/>
    <x v="4"/>
    <x v="1"/>
    <s v="Santiago - Cibao Intl"/>
    <n v="199"/>
    <n v="2.5"/>
    <n v="112754185"/>
    <n v="60948.208108108105"/>
    <n v="1850"/>
    <n v="1.9473684210526316"/>
    <n v="1963"/>
    <n v="1013"/>
    <n v="1"/>
    <n v="2.5"/>
    <n v="0"/>
    <n v="950"/>
    <n v="0"/>
    <n v="0"/>
    <n v="0"/>
  </r>
  <r>
    <s v="PAP/SHA"/>
    <s v="SHA"/>
    <x v="0"/>
    <x v="3"/>
    <x v="12"/>
    <x v="4"/>
    <s v="Shanghai - Metropolitan Area"/>
    <n v="14295"/>
    <n v="33.5"/>
    <n v="289687414"/>
    <n v="81395.733071087379"/>
    <n v="3559"/>
    <n v="3.7463157894736843"/>
    <n v="3797"/>
    <n v="947"/>
    <n v="0"/>
    <n v="0"/>
    <n v="0"/>
    <n v="2850"/>
    <n v="0"/>
    <n v="0"/>
    <n v="3"/>
  </r>
  <r>
    <s v="PAP/MEC"/>
    <s v="MEC"/>
    <x v="0"/>
    <x v="1"/>
    <x v="13"/>
    <x v="0"/>
    <s v="Manta - Eloy Alfaro Intl"/>
    <n v="2357"/>
    <n v="7.25"/>
    <n v="127222748"/>
    <n v="47524.373552484125"/>
    <n v="2677"/>
    <n v="2.8178947368421055"/>
    <n v="2847"/>
    <n v="947"/>
    <n v="0"/>
    <n v="0"/>
    <n v="0"/>
    <n v="1900"/>
    <n v="0"/>
    <n v="0"/>
    <n v="0"/>
  </r>
  <r>
    <s v="PAP/IAD"/>
    <s v="IAD"/>
    <x v="0"/>
    <x v="3"/>
    <x v="9"/>
    <x v="3"/>
    <s v="Washington - Dulles Intl"/>
    <n v="2319"/>
    <n v="7.25"/>
    <n v="170200088"/>
    <n v="63247.89594946117"/>
    <n v="2691"/>
    <n v="2.8326315789473684"/>
    <n v="2844"/>
    <n v="944"/>
    <n v="0"/>
    <n v="0"/>
    <n v="0"/>
    <n v="1900"/>
    <n v="0"/>
    <n v="0"/>
    <n v="0"/>
  </r>
  <r>
    <s v="PAP/CUZ"/>
    <s v="CUZ"/>
    <x v="0"/>
    <x v="0"/>
    <x v="0"/>
    <x v="0"/>
    <s v="Cusco - A.Velasco Astete Intl"/>
    <n v="3572"/>
    <n v="10"/>
    <n v="149542542"/>
    <n v="41150.947165657679"/>
    <n v="3634"/>
    <n v="3.8252631578947369"/>
    <n v="3792"/>
    <n v="942"/>
    <n v="0"/>
    <n v="0"/>
    <n v="0"/>
    <n v="2850"/>
    <n v="0"/>
    <n v="0"/>
    <n v="0"/>
  </r>
  <r>
    <s v="PAP/HRG"/>
    <s v="HRG"/>
    <x v="0"/>
    <x v="2"/>
    <x v="14"/>
    <x v="5"/>
    <s v="Hurghada - International"/>
    <n v="10573"/>
    <n v="25.25"/>
    <n v="234842291"/>
    <n v="51853.011923161845"/>
    <n v="4529"/>
    <n v="4.7673684210526313"/>
    <n v="4741"/>
    <n v="941"/>
    <n v="0"/>
    <n v="0"/>
    <n v="0"/>
    <n v="3800"/>
    <n v="0"/>
    <n v="0"/>
    <n v="4"/>
  </r>
  <r>
    <s v="PAP/POZ"/>
    <s v="POZ"/>
    <x v="0"/>
    <x v="0"/>
    <x v="5"/>
    <x v="2"/>
    <s v="Poznan - Lawica"/>
    <n v="8324"/>
    <n v="20.5"/>
    <n v="196270511"/>
    <n v="71449.039315617032"/>
    <n v="2747"/>
    <n v="2.891578947368421"/>
    <n v="2839"/>
    <n v="939"/>
    <n v="0"/>
    <n v="0"/>
    <n v="0"/>
    <n v="1900"/>
    <n v="0"/>
    <n v="0"/>
    <n v="0"/>
  </r>
  <r>
    <s v="PAP/MEX"/>
    <s v="MEX"/>
    <x v="0"/>
    <x v="3"/>
    <x v="15"/>
    <x v="1"/>
    <s v="Mexico City - Metropolitan Area"/>
    <n v="2814"/>
    <n v="8.25"/>
    <n v="175978767"/>
    <n v="38389.783376963351"/>
    <n v="4584"/>
    <n v="4.8252631578947369"/>
    <n v="4738"/>
    <n v="938"/>
    <n v="0"/>
    <n v="0"/>
    <n v="0"/>
    <n v="3800"/>
    <n v="0"/>
    <n v="0"/>
    <n v="4"/>
  </r>
  <r>
    <s v="PAP/AUH"/>
    <s v="AUH"/>
    <x v="0"/>
    <x v="2"/>
    <x v="16"/>
    <x v="4"/>
    <s v="Abu Dhabi - International"/>
    <n v="12541"/>
    <n v="29.75"/>
    <n v="258296488"/>
    <n v="70921.605711147728"/>
    <n v="3642"/>
    <n v="3.8336842105263158"/>
    <n v="3788"/>
    <n v="938"/>
    <n v="0"/>
    <n v="0"/>
    <n v="0"/>
    <n v="2850"/>
    <n v="0"/>
    <n v="0"/>
    <n v="3"/>
  </r>
  <r>
    <s v="PAP/TLL"/>
    <s v="TLL"/>
    <x v="0"/>
    <x v="0"/>
    <x v="17"/>
    <x v="2"/>
    <s v="Tallinn - Lennart Meri"/>
    <n v="8630"/>
    <n v="21"/>
    <n v="202006789"/>
    <n v="73805.91487029595"/>
    <n v="2737"/>
    <n v="2.8810526315789473"/>
    <n v="2837"/>
    <n v="937"/>
    <n v="0"/>
    <n v="0"/>
    <n v="0"/>
    <n v="1900"/>
    <n v="0"/>
    <n v="0"/>
    <n v="0"/>
  </r>
  <r>
    <s v="PAP/HET"/>
    <s v="HET"/>
    <x v="0"/>
    <x v="0"/>
    <x v="12"/>
    <x v="4"/>
    <s v="Hohhot - Baita Intl"/>
    <n v="13396"/>
    <n v="31.5"/>
    <n v="253825143"/>
    <n v="69924.281818181815"/>
    <n v="3630"/>
    <n v="3.8210526315789473"/>
    <n v="3787"/>
    <n v="937"/>
    <n v="0"/>
    <n v="0"/>
    <n v="0"/>
    <n v="2850"/>
    <n v="0"/>
    <n v="0"/>
    <n v="0"/>
  </r>
  <r>
    <s v="PAP/AOJ"/>
    <s v="AOJ"/>
    <x v="0"/>
    <x v="0"/>
    <x v="18"/>
    <x v="4"/>
    <s v="Aomori"/>
    <n v="12595"/>
    <n v="29.75"/>
    <n v="239651221"/>
    <n v="89322.109951546779"/>
    <n v="2683"/>
    <n v="2.8242105263157895"/>
    <n v="2836"/>
    <n v="936"/>
    <n v="0"/>
    <n v="0"/>
    <n v="0"/>
    <n v="1900"/>
    <n v="0"/>
    <n v="2"/>
    <n v="0"/>
  </r>
  <r>
    <s v="PAP/PRG"/>
    <s v="PRG"/>
    <x v="0"/>
    <x v="2"/>
    <x v="19"/>
    <x v="2"/>
    <s v="Prague - Metropolitan Area"/>
    <n v="8195"/>
    <n v="20"/>
    <n v="217781851"/>
    <n v="61381.58145434047"/>
    <n v="3548"/>
    <n v="3.7347368421052631"/>
    <n v="3785"/>
    <n v="935"/>
    <n v="0"/>
    <n v="0"/>
    <n v="0"/>
    <n v="2850"/>
    <n v="0"/>
    <n v="0"/>
    <n v="3"/>
  </r>
  <r>
    <s v="PAP/HND"/>
    <s v="HND"/>
    <x v="0"/>
    <x v="3"/>
    <x v="18"/>
    <x v="4"/>
    <s v="Tokyo Intl (Haneda)"/>
    <n v="13115"/>
    <n v="31"/>
    <n v="289988366"/>
    <n v="63496.467265163126"/>
    <n v="4567"/>
    <n v="4.8073684210526313"/>
    <n v="4735"/>
    <n v="935"/>
    <n v="0"/>
    <n v="0"/>
    <n v="0"/>
    <n v="3800"/>
    <n v="0"/>
    <n v="0"/>
    <n v="4"/>
  </r>
  <r>
    <s v="PAP/PPT"/>
    <s v="PPT"/>
    <x v="0"/>
    <x v="0"/>
    <x v="20"/>
    <x v="6"/>
    <s v="Tahiti - Faaa"/>
    <n v="9357"/>
    <n v="22.75"/>
    <n v="207912926"/>
    <n v="76862.449537892797"/>
    <n v="2705"/>
    <n v="2.8473684210526318"/>
    <n v="2832"/>
    <n v="932"/>
    <n v="0"/>
    <n v="0"/>
    <n v="0"/>
    <n v="1900"/>
    <n v="0"/>
    <n v="0"/>
    <n v="0"/>
  </r>
  <r>
    <s v="PAP/BEL"/>
    <s v="BEL"/>
    <x v="0"/>
    <x v="0"/>
    <x v="1"/>
    <x v="0"/>
    <s v="Belem - Val de Cans Intl"/>
    <n v="3422"/>
    <n v="9.75"/>
    <n v="153122576"/>
    <n v="42404.479645527557"/>
    <n v="3611"/>
    <n v="3.8010526315789472"/>
    <n v="3780"/>
    <n v="930"/>
    <n v="0"/>
    <n v="0"/>
    <n v="0"/>
    <n v="2850"/>
    <n v="0"/>
    <n v="3"/>
    <n v="0"/>
  </r>
  <r>
    <s v="PAP/PPG"/>
    <s v="PPG"/>
    <x v="0"/>
    <x v="1"/>
    <x v="21"/>
    <x v="6"/>
    <s v="Pago Pago - International"/>
    <n v="11380"/>
    <n v="27"/>
    <n v="210920814"/>
    <n v="78089.897815623845"/>
    <n v="2701"/>
    <n v="2.8431578947368421"/>
    <n v="2828"/>
    <n v="928"/>
    <n v="0"/>
    <n v="0"/>
    <n v="0"/>
    <n v="1900"/>
    <n v="0"/>
    <n v="0"/>
    <n v="0"/>
  </r>
  <r>
    <s v="PAP/TRF"/>
    <s v="TRF"/>
    <x v="0"/>
    <x v="0"/>
    <x v="22"/>
    <x v="2"/>
    <s v="Oslo - Sandefjord-Torp"/>
    <n v="7822"/>
    <n v="19.25"/>
    <n v="194044423"/>
    <n v="72730.293478260865"/>
    <n v="2668"/>
    <n v="2.8084210526315792"/>
    <n v="2828"/>
    <n v="928"/>
    <n v="0"/>
    <n v="0"/>
    <n v="0"/>
    <n v="1900"/>
    <n v="0"/>
    <n v="0"/>
    <n v="0"/>
  </r>
  <r>
    <s v="PAP/CTG"/>
    <s v="CTG"/>
    <x v="0"/>
    <x v="0"/>
    <x v="8"/>
    <x v="0"/>
    <s v="Cartagena - Rafael Nunez Intl"/>
    <n v="969"/>
    <n v="4.25"/>
    <n v="123149539"/>
    <n v="45175.91305942773"/>
    <n v="2726"/>
    <n v="2.8694736842105262"/>
    <n v="2828"/>
    <n v="928"/>
    <n v="0"/>
    <n v="0"/>
    <n v="0"/>
    <n v="1900"/>
    <n v="0"/>
    <n v="1"/>
    <n v="0"/>
  </r>
  <r>
    <s v="PAP/OTP"/>
    <s v="OTP"/>
    <x v="0"/>
    <x v="0"/>
    <x v="23"/>
    <x v="2"/>
    <s v="Bucharest - Henri Coanda"/>
    <n v="9211"/>
    <n v="22.25"/>
    <n v="217632184"/>
    <n v="61460.656311776336"/>
    <n v="3541"/>
    <n v="3.7273684210526317"/>
    <n v="3777"/>
    <n v="927"/>
    <n v="0"/>
    <n v="0"/>
    <n v="0"/>
    <n v="2850"/>
    <n v="0"/>
    <n v="0"/>
    <n v="3"/>
  </r>
  <r>
    <s v="PAP/BJV"/>
    <s v="BJV"/>
    <x v="0"/>
    <x v="0"/>
    <x v="24"/>
    <x v="4"/>
    <s v="Bodrum - Milas"/>
    <n v="9612"/>
    <n v="23.25"/>
    <n v="215830001"/>
    <n v="60270.874336777437"/>
    <n v="3581"/>
    <n v="3.7694736842105265"/>
    <n v="3772"/>
    <n v="922"/>
    <n v="0"/>
    <n v="0"/>
    <n v="0"/>
    <n v="2850"/>
    <n v="0"/>
    <n v="3"/>
    <n v="0"/>
  </r>
  <r>
    <s v="PAP/FNC"/>
    <s v="FNC"/>
    <x v="0"/>
    <x v="0"/>
    <x v="25"/>
    <x v="2"/>
    <s v="Funchal - Madeira"/>
    <n v="5718"/>
    <n v="14.75"/>
    <n v="175889596"/>
    <n v="64428.423443223444"/>
    <n v="2730"/>
    <n v="2.8736842105263158"/>
    <n v="2821"/>
    <n v="921"/>
    <n v="0"/>
    <n v="0"/>
    <n v="0"/>
    <n v="1900"/>
    <n v="0"/>
    <n v="0"/>
    <n v="0"/>
  </r>
  <r>
    <s v="PAP/HNL"/>
    <s v="HNL"/>
    <x v="0"/>
    <x v="2"/>
    <x v="9"/>
    <x v="3"/>
    <s v="Honolulu - Daniel K. Inouye Intl"/>
    <n v="8837"/>
    <n v="21.5"/>
    <m/>
    <n v="0"/>
    <m/>
    <n v="0"/>
    <n v="2817"/>
    <n v="917"/>
    <n v="0"/>
    <n v="0"/>
    <n v="0"/>
    <n v="1900"/>
    <n v="0"/>
    <n v="2"/>
    <n v="0"/>
  </r>
  <r>
    <s v="PAP/IST"/>
    <s v="IST"/>
    <x v="0"/>
    <x v="3"/>
    <x v="24"/>
    <x v="4"/>
    <s v="Istanbul - Metropolitan Area"/>
    <n v="9540"/>
    <n v="23"/>
    <n v="254581752"/>
    <n v="69882.446335437824"/>
    <n v="3643"/>
    <n v="3.8347368421052632"/>
    <n v="3765"/>
    <n v="915"/>
    <n v="0"/>
    <n v="0"/>
    <n v="0"/>
    <n v="2850"/>
    <n v="0"/>
    <n v="0"/>
    <n v="3"/>
  </r>
  <r>
    <s v="PAP/KDH"/>
    <s v="KDH"/>
    <x v="0"/>
    <x v="1"/>
    <x v="26"/>
    <x v="4"/>
    <s v="Kandahar - International"/>
    <n v="12881"/>
    <n v="30.5"/>
    <n v="232542695"/>
    <n v="85462.217934582877"/>
    <n v="2721"/>
    <n v="2.8642105263157895"/>
    <n v="2812"/>
    <n v="912"/>
    <n v="0"/>
    <n v="0"/>
    <n v="0"/>
    <n v="1900"/>
    <n v="0"/>
    <n v="2"/>
    <n v="0"/>
  </r>
  <r>
    <s v="PAP/GOT"/>
    <s v="GOT"/>
    <x v="0"/>
    <x v="0"/>
    <x v="27"/>
    <x v="2"/>
    <s v="Goteborg - Metropolitan Area"/>
    <n v="7953"/>
    <n v="19.5"/>
    <n v="203888927"/>
    <n v="75014.321927888159"/>
    <n v="2718"/>
    <n v="2.8610526315789473"/>
    <n v="2809"/>
    <n v="909"/>
    <n v="0"/>
    <n v="0"/>
    <n v="0"/>
    <n v="1900"/>
    <n v="0"/>
    <n v="0"/>
    <n v="0"/>
  </r>
  <r>
    <s v="PAP/BOO"/>
    <s v="BOO"/>
    <x v="0"/>
    <x v="0"/>
    <x v="22"/>
    <x v="2"/>
    <s v="Bodo"/>
    <n v="7966"/>
    <n v="19.5"/>
    <n v="195604145"/>
    <n v="73205.144086826345"/>
    <n v="2672"/>
    <n v="2.8126315789473684"/>
    <n v="2806"/>
    <n v="906"/>
    <n v="0"/>
    <n v="0"/>
    <n v="0"/>
    <n v="1900"/>
    <n v="0"/>
    <n v="0"/>
    <n v="0"/>
  </r>
  <r>
    <s v="PAP/AMS"/>
    <s v="AMS"/>
    <x v="0"/>
    <x v="3"/>
    <x v="28"/>
    <x v="2"/>
    <s v="Amsterdam - Schiphol Airport"/>
    <n v="7513"/>
    <n v="18.5"/>
    <n v="233589843"/>
    <n v="64796.072954230236"/>
    <n v="3605"/>
    <n v="3.7947368421052632"/>
    <n v="3750"/>
    <n v="900"/>
    <n v="0"/>
    <n v="0"/>
    <n v="0"/>
    <n v="2850"/>
    <n v="0"/>
    <n v="0"/>
    <n v="1"/>
  </r>
  <r>
    <s v="PAP/NTY"/>
    <s v="NTY"/>
    <x v="0"/>
    <x v="4"/>
    <x v="29"/>
    <x v="5"/>
    <s v="Sun City - Pilanesberg Intl"/>
    <n v="11800"/>
    <n v="28"/>
    <n v="208872657"/>
    <n v="78083.23626168225"/>
    <n v="2675"/>
    <n v="2.8157894736842106"/>
    <n v="2799"/>
    <n v="899"/>
    <n v="0"/>
    <n v="0"/>
    <n v="0"/>
    <n v="1900"/>
    <n v="0"/>
    <n v="0"/>
    <n v="0"/>
  </r>
  <r>
    <s v="PAP/EZE"/>
    <s v="EZE"/>
    <x v="0"/>
    <x v="2"/>
    <x v="30"/>
    <x v="0"/>
    <s v="Buenos Aires - Ministro Pistarini"/>
    <n v="6115"/>
    <n v="15.5"/>
    <n v="191862127"/>
    <n v="53398.866406902307"/>
    <n v="3593"/>
    <n v="3.7821052631578946"/>
    <n v="3749"/>
    <n v="899"/>
    <n v="0"/>
    <n v="0"/>
    <n v="0"/>
    <n v="2850"/>
    <n v="0"/>
    <n v="0"/>
    <n v="1"/>
  </r>
  <r>
    <s v="PAP/EUN"/>
    <s v="EUN"/>
    <x v="0"/>
    <x v="4"/>
    <x v="31"/>
    <x v="5"/>
    <s v="Laayoune - Hassan I"/>
    <n v="6075"/>
    <n v="15.5"/>
    <n v="157599628"/>
    <n v="58630.813988095237"/>
    <n v="2688"/>
    <n v="2.8294736842105261"/>
    <n v="2796"/>
    <n v="896"/>
    <n v="0"/>
    <n v="0"/>
    <n v="0"/>
    <n v="1900"/>
    <n v="0"/>
    <n v="0"/>
    <n v="1"/>
  </r>
  <r>
    <s v="PAP/YWG"/>
    <s v="YWG"/>
    <x v="0"/>
    <x v="0"/>
    <x v="2"/>
    <x v="1"/>
    <s v="Winnipeg - J.A. Richardson Intl"/>
    <n v="4129"/>
    <n v="11.25"/>
    <n v="164192244"/>
    <n v="62241.184230477636"/>
    <n v="2638"/>
    <n v="2.776842105263158"/>
    <n v="2796"/>
    <n v="896"/>
    <n v="0"/>
    <n v="0"/>
    <n v="0"/>
    <n v="1900"/>
    <n v="0"/>
    <n v="2"/>
    <n v="0"/>
  </r>
  <r>
    <s v="PAP/VLN"/>
    <s v="VLN"/>
    <x v="0"/>
    <x v="1"/>
    <x v="3"/>
    <x v="0"/>
    <s v="Valencia - Arturo Michelena Intl"/>
    <n v="1048"/>
    <n v="4.5"/>
    <n v="118385517"/>
    <n v="44472.395567242675"/>
    <n v="2662"/>
    <n v="2.8021052631578947"/>
    <n v="2796"/>
    <n v="896"/>
    <n v="0"/>
    <n v="0"/>
    <n v="0"/>
    <n v="1900"/>
    <n v="0"/>
    <n v="0"/>
    <n v="0"/>
  </r>
  <r>
    <s v="PAP/AQP"/>
    <s v="AQP"/>
    <x v="0"/>
    <x v="0"/>
    <x v="0"/>
    <x v="0"/>
    <s v="Arequipa - Rodriguez Ballon Intl"/>
    <n v="3884"/>
    <n v="10.75"/>
    <n v="155689063"/>
    <n v="43103.284330011076"/>
    <n v="3612"/>
    <n v="3.8021052631578947"/>
    <n v="3745"/>
    <n v="895"/>
    <n v="0"/>
    <n v="0"/>
    <n v="0"/>
    <n v="2850"/>
    <n v="0"/>
    <n v="0"/>
    <n v="0"/>
  </r>
  <r>
    <s v="PAP/CRL"/>
    <s v="CRL"/>
    <x v="0"/>
    <x v="0"/>
    <x v="32"/>
    <x v="2"/>
    <s v="Brussels S. Charleroi"/>
    <n v="7498"/>
    <n v="18.5"/>
    <n v="201785099"/>
    <n v="77017.213358778623"/>
    <n v="2620"/>
    <n v="2.7578947368421054"/>
    <n v="2794"/>
    <n v="894"/>
    <n v="0"/>
    <n v="0"/>
    <n v="0"/>
    <n v="1900"/>
    <n v="0"/>
    <n v="0"/>
    <n v="0"/>
  </r>
  <r>
    <s v="PAP/MIA"/>
    <s v="MIA"/>
    <x v="0"/>
    <x v="3"/>
    <x v="9"/>
    <x v="3"/>
    <s v="Miami - Metropolitan Area"/>
    <n v="1149"/>
    <n v="4.75"/>
    <n v="166756190"/>
    <n v="61761.551851851851"/>
    <n v="2700"/>
    <n v="2.8421052631578947"/>
    <n v="2791"/>
    <n v="891"/>
    <n v="0"/>
    <n v="0"/>
    <n v="0"/>
    <n v="1900"/>
    <n v="0"/>
    <n v="0"/>
    <n v="0"/>
  </r>
  <r>
    <s v="PAP/NAN"/>
    <s v="NAN"/>
    <x v="0"/>
    <x v="0"/>
    <x v="33"/>
    <x v="6"/>
    <s v="Nadi - International"/>
    <n v="12701"/>
    <n v="30"/>
    <n v="240924564"/>
    <n v="67846.962545761751"/>
    <n v="3551"/>
    <n v="3.7378947368421054"/>
    <n v="3741"/>
    <n v="891"/>
    <n v="0"/>
    <n v="0"/>
    <n v="0"/>
    <n v="2850"/>
    <n v="0"/>
    <n v="0"/>
    <n v="3"/>
  </r>
  <r>
    <s v="PAP/DUR"/>
    <s v="DUR"/>
    <x v="0"/>
    <x v="0"/>
    <x v="29"/>
    <x v="5"/>
    <s v="Durban - Metropolitan Area"/>
    <n v="12279"/>
    <n v="29"/>
    <n v="247556791"/>
    <n v="54732.874419632986"/>
    <n v="4523"/>
    <n v="4.7610526315789476"/>
    <n v="4689"/>
    <n v="889"/>
    <n v="0"/>
    <n v="0"/>
    <n v="0"/>
    <n v="3800"/>
    <n v="0"/>
    <n v="0"/>
    <n v="4"/>
  </r>
  <r>
    <s v="PAP/BAX"/>
    <s v="BAX"/>
    <x v="0"/>
    <x v="0"/>
    <x v="34"/>
    <x v="2"/>
    <s v="Barnaul"/>
    <n v="11689"/>
    <n v="27.75"/>
    <n v="233574131"/>
    <n v="66469.587649402383"/>
    <n v="3514"/>
    <n v="3.6989473684210528"/>
    <n v="3737"/>
    <n v="887"/>
    <n v="0"/>
    <n v="0"/>
    <n v="0"/>
    <n v="2850"/>
    <n v="0"/>
    <n v="0"/>
    <n v="3"/>
  </r>
  <r>
    <s v="PAP/DMM"/>
    <s v="DMM"/>
    <x v="0"/>
    <x v="0"/>
    <x v="35"/>
    <x v="4"/>
    <s v="Dammam - King Fahd Intl"/>
    <n v="12010"/>
    <n v="28.5"/>
    <n v="242895736"/>
    <n v="67640.138123085489"/>
    <n v="3591"/>
    <n v="3.78"/>
    <n v="3734"/>
    <n v="884"/>
    <n v="0"/>
    <n v="0"/>
    <n v="0"/>
    <n v="2850"/>
    <n v="0"/>
    <n v="0"/>
    <n v="0"/>
  </r>
  <r>
    <s v="PAP/KGF"/>
    <s v="KGF"/>
    <x v="0"/>
    <x v="1"/>
    <x v="36"/>
    <x v="2"/>
    <s v="Karaganda - Sary-Arka"/>
    <n v="11709"/>
    <n v="27.75"/>
    <n v="214024271"/>
    <n v="79770.507267983601"/>
    <n v="2683"/>
    <n v="2.8242105263157895"/>
    <n v="2782"/>
    <n v="882"/>
    <n v="0"/>
    <n v="0"/>
    <n v="0"/>
    <n v="1900"/>
    <n v="0"/>
    <n v="0"/>
    <n v="0"/>
  </r>
  <r>
    <s v="PAP/BWI"/>
    <s v="BWI"/>
    <x v="0"/>
    <x v="3"/>
    <x v="9"/>
    <x v="3"/>
    <s v="Washington - Baltimore/Wash. Intl"/>
    <n v="2329"/>
    <n v="7.25"/>
    <n v="168975866"/>
    <n v="63405.578236397749"/>
    <n v="2665"/>
    <n v="2.8052631578947369"/>
    <n v="2781"/>
    <n v="881"/>
    <n v="0"/>
    <n v="0"/>
    <n v="0"/>
    <n v="1900"/>
    <n v="0"/>
    <n v="0"/>
    <n v="1"/>
  </r>
  <r>
    <s v="PAP/SSA"/>
    <s v="SSA"/>
    <x v="0"/>
    <x v="2"/>
    <x v="1"/>
    <x v="0"/>
    <s v="Salvador - Luis E. Magalhaes Intl"/>
    <n v="5112"/>
    <n v="13.25"/>
    <n v="181458973"/>
    <n v="50616.1709902371"/>
    <n v="3585"/>
    <n v="3.7736842105263158"/>
    <n v="3729"/>
    <n v="879"/>
    <n v="0"/>
    <n v="0"/>
    <n v="0"/>
    <n v="2850"/>
    <n v="0"/>
    <n v="0"/>
    <n v="3"/>
  </r>
  <r>
    <s v="PAP/WAW"/>
    <s v="WAW"/>
    <x v="0"/>
    <x v="2"/>
    <x v="5"/>
    <x v="2"/>
    <s v="Warsaw - Frederic Chopin"/>
    <n v="8606"/>
    <n v="21"/>
    <n v="219105119"/>
    <n v="61911.590562305733"/>
    <n v="3539"/>
    <n v="3.7252631578947368"/>
    <n v="3728"/>
    <n v="878"/>
    <n v="0"/>
    <n v="0"/>
    <n v="0"/>
    <n v="2850"/>
    <n v="0"/>
    <n v="0"/>
    <n v="3"/>
  </r>
  <r>
    <s v="PAP/MAD"/>
    <s v="MAD"/>
    <x v="0"/>
    <x v="3"/>
    <x v="37"/>
    <x v="2"/>
    <s v="Madrid - Metropolitan Area"/>
    <n v="6903"/>
    <n v="17.25"/>
    <n v="229086459"/>
    <n v="65378.555650684932"/>
    <n v="3504"/>
    <n v="3.688421052631579"/>
    <n v="3726"/>
    <n v="876"/>
    <n v="0"/>
    <n v="0"/>
    <n v="0"/>
    <n v="2850"/>
    <n v="0"/>
    <n v="0"/>
    <n v="3"/>
  </r>
  <r>
    <s v="PAP/SJU"/>
    <s v="SJU"/>
    <x v="0"/>
    <x v="2"/>
    <x v="38"/>
    <x v="1"/>
    <s v="San Juan - Metropolitan Area"/>
    <n v="663"/>
    <n v="3.5"/>
    <n v="138602275"/>
    <n v="52164.951072638316"/>
    <n v="2657"/>
    <n v="2.796842105263158"/>
    <n v="2775"/>
    <n v="875"/>
    <n v="0"/>
    <n v="0"/>
    <n v="0"/>
    <n v="1900"/>
    <n v="0"/>
    <n v="0"/>
    <n v="0"/>
  </r>
  <r>
    <s v="PAP/OZZ"/>
    <s v="OZZ"/>
    <x v="0"/>
    <x v="1"/>
    <x v="31"/>
    <x v="5"/>
    <s v="Ouarzazate"/>
    <n v="6655"/>
    <n v="16.75"/>
    <n v="163417948"/>
    <n v="61297.054763690925"/>
    <n v="2666"/>
    <n v="2.8063157894736843"/>
    <n v="2773"/>
    <n v="873"/>
    <n v="0"/>
    <n v="0"/>
    <n v="0"/>
    <n v="1900"/>
    <n v="0"/>
    <n v="0"/>
    <n v="1"/>
  </r>
  <r>
    <s v="PAP/KEF"/>
    <s v="KEF"/>
    <x v="0"/>
    <x v="0"/>
    <x v="39"/>
    <x v="2"/>
    <s v="Reykjavik - Keflavik International"/>
    <n v="6258"/>
    <n v="15.75"/>
    <n v="180607089"/>
    <n v="67948.490970654631"/>
    <n v="2658"/>
    <n v="2.7978947368421054"/>
    <n v="2773"/>
    <n v="873"/>
    <n v="0"/>
    <n v="0"/>
    <n v="0"/>
    <n v="1900"/>
    <n v="0"/>
    <n v="0"/>
    <n v="0"/>
  </r>
  <r>
    <s v="PAP/UYL"/>
    <s v="UYL"/>
    <x v="0"/>
    <x v="4"/>
    <x v="40"/>
    <x v="5"/>
    <s v="Nyala"/>
    <n v="10331"/>
    <n v="24.75"/>
    <n v="201814130"/>
    <n v="56945.296275395034"/>
    <n v="3544"/>
    <n v="3.7305263157894735"/>
    <n v="3722"/>
    <n v="872"/>
    <n v="0"/>
    <n v="0"/>
    <n v="0"/>
    <n v="2850"/>
    <n v="0"/>
    <n v="0"/>
    <n v="3"/>
  </r>
  <r>
    <s v="PAP/LJU"/>
    <s v="LJU"/>
    <x v="0"/>
    <x v="0"/>
    <x v="41"/>
    <x v="2"/>
    <s v="Ljubljana - Joze Pucnik"/>
    <n v="8286"/>
    <n v="20.25"/>
    <n v="197729048"/>
    <n v="73972.707818930037"/>
    <n v="2673"/>
    <n v="2.8136842105263158"/>
    <n v="2771"/>
    <n v="871"/>
    <n v="0"/>
    <n v="0"/>
    <n v="0"/>
    <n v="1900"/>
    <n v="0"/>
    <n v="0"/>
    <n v="0"/>
  </r>
  <r>
    <s v="PAP/CUN"/>
    <s v="CUN"/>
    <x v="0"/>
    <x v="2"/>
    <x v="15"/>
    <x v="1"/>
    <s v="Cancun - International"/>
    <n v="1549"/>
    <n v="5.5"/>
    <n v="152133511"/>
    <n v="43616.258887614676"/>
    <n v="3488"/>
    <n v="3.6715789473684208"/>
    <n v="3721"/>
    <n v="871"/>
    <n v="0"/>
    <n v="0"/>
    <n v="0"/>
    <n v="2850"/>
    <n v="0"/>
    <n v="0"/>
    <n v="3"/>
  </r>
  <r>
    <s v="PAP/BHJ"/>
    <s v="BHJ"/>
    <x v="0"/>
    <x v="0"/>
    <x v="42"/>
    <x v="4"/>
    <s v="Bhuj - Shyamji Krishna Verma"/>
    <n v="13796"/>
    <n v="32.5"/>
    <n v="258966269"/>
    <n v="57843.70538306902"/>
    <n v="4477"/>
    <n v="4.7126315789473683"/>
    <n v="4671"/>
    <n v="871"/>
    <n v="0"/>
    <n v="0"/>
    <n v="0"/>
    <n v="3800"/>
    <n v="0"/>
    <n v="0"/>
    <n v="0"/>
  </r>
  <r>
    <s v="PAP/AWA"/>
    <s v="AWA"/>
    <x v="0"/>
    <x v="1"/>
    <x v="43"/>
    <x v="5"/>
    <s v="Awasa"/>
    <n v="11915"/>
    <n v="28.25"/>
    <n v="228134318"/>
    <n v="50979.735865921786"/>
    <n v="4475"/>
    <n v="4.7105263157894735"/>
    <n v="4669"/>
    <n v="869"/>
    <n v="0"/>
    <n v="0"/>
    <n v="0"/>
    <n v="3800"/>
    <n v="0"/>
    <n v="0"/>
    <n v="4"/>
  </r>
  <r>
    <s v="PAP/DAL"/>
    <s v="DAL"/>
    <x v="0"/>
    <x v="2"/>
    <x v="9"/>
    <x v="3"/>
    <s v="Dallas - Love Field"/>
    <n v="2916"/>
    <n v="8.5"/>
    <n v="160867740"/>
    <n v="60092.543892416885"/>
    <n v="2677"/>
    <n v="2.8178947368421055"/>
    <n v="2767"/>
    <n v="867"/>
    <n v="0"/>
    <n v="0"/>
    <n v="0"/>
    <n v="1900"/>
    <n v="0"/>
    <n v="0"/>
    <n v="1"/>
  </r>
  <r>
    <s v="PAP/GVA"/>
    <s v="GVA"/>
    <x v="0"/>
    <x v="2"/>
    <x v="44"/>
    <x v="2"/>
    <s v="Geneva - International"/>
    <n v="7650"/>
    <n v="19"/>
    <n v="213550668"/>
    <n v="79772.382517743739"/>
    <n v="2677"/>
    <n v="2.8178947368421055"/>
    <n v="2767"/>
    <n v="867"/>
    <n v="0"/>
    <n v="0"/>
    <n v="0"/>
    <n v="1900"/>
    <n v="0"/>
    <n v="0"/>
    <n v="0"/>
  </r>
  <r>
    <s v="PAP/BAH"/>
    <s v="BAH"/>
    <x v="0"/>
    <x v="0"/>
    <x v="45"/>
    <x v="4"/>
    <s v="Bahrain - International"/>
    <n v="12092"/>
    <n v="28.75"/>
    <n v="249029036"/>
    <n v="71457.399139167857"/>
    <n v="3485"/>
    <n v="3.668421052631579"/>
    <n v="3717"/>
    <n v="867"/>
    <n v="0"/>
    <n v="0"/>
    <n v="0"/>
    <n v="2850"/>
    <n v="0"/>
    <n v="0"/>
    <n v="3"/>
  </r>
  <r>
    <s v="PAP/MIR"/>
    <s v="MIR"/>
    <x v="0"/>
    <x v="0"/>
    <x v="46"/>
    <x v="5"/>
    <s v="Monastir - Habib Bourguiba Intl"/>
    <n v="8206"/>
    <n v="20.25"/>
    <n v="205720437"/>
    <n v="57965.747252747249"/>
    <n v="3549"/>
    <n v="3.7357894736842105"/>
    <n v="3714"/>
    <n v="864"/>
    <n v="0"/>
    <n v="0"/>
    <n v="0"/>
    <n v="2850"/>
    <n v="0"/>
    <n v="0"/>
    <n v="3"/>
  </r>
  <r>
    <s v="PAP/RHO"/>
    <s v="RHO"/>
    <x v="0"/>
    <x v="0"/>
    <x v="47"/>
    <x v="2"/>
    <s v="Rhodes - Diagoras"/>
    <n v="9680"/>
    <n v="23.5"/>
    <n v="218855119"/>
    <n v="83214.87414448669"/>
    <n v="2630"/>
    <n v="2.7684210526315791"/>
    <n v="2761"/>
    <n v="861"/>
    <n v="0"/>
    <n v="0"/>
    <n v="0"/>
    <n v="1900"/>
    <n v="0"/>
    <n v="0"/>
    <n v="0"/>
  </r>
  <r>
    <s v="PAP/KBL"/>
    <s v="KBL"/>
    <x v="0"/>
    <x v="0"/>
    <x v="26"/>
    <x v="4"/>
    <s v="Kabul - International"/>
    <n v="12843"/>
    <n v="30.25"/>
    <n v="246069605"/>
    <n v="70729.98131647025"/>
    <n v="3479"/>
    <n v="3.6621052631578945"/>
    <n v="3711"/>
    <n v="861"/>
    <n v="0"/>
    <n v="0"/>
    <n v="0"/>
    <n v="2850"/>
    <n v="0"/>
    <n v="0"/>
    <n v="3"/>
  </r>
  <r>
    <s v="PAP/BUD"/>
    <s v="BUD"/>
    <x v="0"/>
    <x v="2"/>
    <x v="48"/>
    <x v="2"/>
    <s v="Budapest - Liszt Ferenc Int'l"/>
    <n v="8614"/>
    <n v="21"/>
    <n v="217810395"/>
    <n v="62535.284237726097"/>
    <n v="3483"/>
    <n v="3.6663157894736842"/>
    <n v="3704"/>
    <n v="854"/>
    <n v="0"/>
    <n v="0"/>
    <n v="0"/>
    <n v="2850"/>
    <n v="0"/>
    <n v="0"/>
    <n v="3"/>
  </r>
  <r>
    <s v="PAP/TJA"/>
    <s v="TJA"/>
    <x v="0"/>
    <x v="1"/>
    <x v="49"/>
    <x v="0"/>
    <s v="Tarija - Cap. Oriel Lea Plaza"/>
    <n v="4540"/>
    <n v="12"/>
    <n v="146100675"/>
    <n v="55362.135278514586"/>
    <n v="2639"/>
    <n v="2.7778947368421054"/>
    <n v="2754"/>
    <n v="854"/>
    <n v="0"/>
    <n v="0"/>
    <n v="0"/>
    <n v="1900"/>
    <n v="0"/>
    <n v="2"/>
    <n v="0"/>
  </r>
  <r>
    <s v="PAP/BOM"/>
    <s v="BOM"/>
    <x v="0"/>
    <x v="3"/>
    <x v="42"/>
    <x v="4"/>
    <s v="Mumbai - Chhatrapati S Maharaj"/>
    <n v="14361"/>
    <n v="33.75"/>
    <n v="293708086"/>
    <n v="65691.810780586005"/>
    <n v="4471"/>
    <n v="4.7063157894736838"/>
    <n v="4650"/>
    <n v="850"/>
    <n v="0"/>
    <n v="0"/>
    <n v="0"/>
    <n v="3800"/>
    <n v="0"/>
    <n v="0"/>
    <n v="4"/>
  </r>
  <r>
    <s v="PAP/VLC"/>
    <s v="VLC"/>
    <x v="0"/>
    <x v="0"/>
    <x v="37"/>
    <x v="2"/>
    <s v="Valencia - Airport"/>
    <n v="7171"/>
    <n v="17.75"/>
    <n v="199667882"/>
    <n v="77540.925048543693"/>
    <n v="2575"/>
    <n v="2.7105263157894739"/>
    <n v="2747"/>
    <n v="847"/>
    <n v="0"/>
    <n v="0"/>
    <n v="0"/>
    <n v="1900"/>
    <n v="0"/>
    <n v="0"/>
    <n v="1"/>
  </r>
  <r>
    <s v="PAP/DAR"/>
    <s v="DAR"/>
    <x v="0"/>
    <x v="0"/>
    <x v="50"/>
    <x v="5"/>
    <s v="Dar es Salaam - Julius Nyerere Intl"/>
    <n v="12514"/>
    <n v="29.5"/>
    <n v="239482492"/>
    <n v="53599.483437779767"/>
    <n v="4468"/>
    <n v="4.703157894736842"/>
    <n v="4647"/>
    <n v="847"/>
    <n v="0"/>
    <n v="0"/>
    <n v="0"/>
    <n v="3800"/>
    <n v="0"/>
    <n v="0"/>
    <n v="4"/>
  </r>
  <r>
    <s v="PAP/AYP"/>
    <s v="AYP"/>
    <x v="0"/>
    <x v="4"/>
    <x v="0"/>
    <x v="0"/>
    <s v="Ayacucho - Alfredo M. Duarte"/>
    <n v="3535"/>
    <n v="10"/>
    <n v="130449735"/>
    <n v="50503.188153310104"/>
    <n v="2583"/>
    <n v="2.7189473684210528"/>
    <n v="2747"/>
    <n v="847"/>
    <n v="0"/>
    <n v="0"/>
    <n v="0"/>
    <n v="1900"/>
    <n v="0"/>
    <n v="0"/>
    <n v="0"/>
  </r>
  <r>
    <s v="PAP/NQN"/>
    <s v="NQN"/>
    <x v="0"/>
    <x v="1"/>
    <x v="30"/>
    <x v="0"/>
    <s v="Neuquen - Presidente Peron"/>
    <n v="6413"/>
    <n v="16.25"/>
    <n v="171892902"/>
    <n v="66496.287040618961"/>
    <n v="2585"/>
    <n v="2.7210526315789472"/>
    <n v="2740"/>
    <n v="840"/>
    <n v="0"/>
    <n v="0"/>
    <n v="0"/>
    <n v="1900"/>
    <n v="0"/>
    <n v="1"/>
    <n v="0"/>
  </r>
  <r>
    <s v="PAP/IQQ"/>
    <s v="IQQ"/>
    <x v="0"/>
    <x v="1"/>
    <x v="51"/>
    <x v="0"/>
    <s v="Iquique - Diego Aracena"/>
    <n v="4356"/>
    <n v="11.75"/>
    <n v="148899759"/>
    <n v="57093.46587423313"/>
    <n v="2608"/>
    <n v="2.7452631578947368"/>
    <n v="2739"/>
    <n v="839"/>
    <n v="0"/>
    <n v="0"/>
    <n v="0"/>
    <n v="1900"/>
    <n v="0"/>
    <n v="0"/>
    <n v="0"/>
  </r>
  <r>
    <s v="PAP/EVN"/>
    <s v="EVN"/>
    <x v="0"/>
    <x v="0"/>
    <x v="52"/>
    <x v="4"/>
    <s v="Yerevan - Zvartnots Intl"/>
    <n v="10776"/>
    <n v="25.75"/>
    <n v="221673724"/>
    <n v="62320.417205510261"/>
    <n v="3557"/>
    <n v="3.7442105263157894"/>
    <n v="3687"/>
    <n v="837"/>
    <n v="0"/>
    <n v="0"/>
    <n v="0"/>
    <n v="2850"/>
    <n v="0"/>
    <n v="0"/>
    <n v="3"/>
  </r>
  <r>
    <s v="PAP/CNF"/>
    <s v="CNF"/>
    <x v="0"/>
    <x v="2"/>
    <x v="1"/>
    <x v="0"/>
    <s v="Belo Horizonte - Tancredo Neves Intl"/>
    <n v="5255"/>
    <n v="13.75"/>
    <n v="182269618"/>
    <n v="51242.512791678382"/>
    <n v="3557"/>
    <n v="3.7442105263157894"/>
    <n v="3687"/>
    <n v="837"/>
    <n v="0"/>
    <n v="0"/>
    <n v="0"/>
    <n v="2850"/>
    <n v="0"/>
    <n v="0"/>
    <n v="3"/>
  </r>
  <r>
    <s v="PAP/MDZ"/>
    <s v="MDZ"/>
    <x v="0"/>
    <x v="1"/>
    <x v="30"/>
    <x v="0"/>
    <s v="Mendoza - El Plumerillo"/>
    <n v="5730"/>
    <n v="14.75"/>
    <n v="166411398"/>
    <n v="62867.92519833774"/>
    <n v="2647"/>
    <n v="2.7863157894736843"/>
    <n v="2736"/>
    <n v="836"/>
    <n v="0"/>
    <n v="0"/>
    <n v="0"/>
    <n v="1900"/>
    <n v="0"/>
    <n v="1"/>
    <n v="0"/>
  </r>
  <r>
    <s v="PAP/JNB"/>
    <s v="JNB"/>
    <x v="0"/>
    <x v="2"/>
    <x v="29"/>
    <x v="5"/>
    <s v="Johannesburg - Metropolitan Area"/>
    <n v="11925"/>
    <n v="28.25"/>
    <n v="262078647"/>
    <n v="49272.165256627188"/>
    <n v="5319"/>
    <n v="5.5989473684210527"/>
    <n v="5585"/>
    <n v="835"/>
    <n v="0"/>
    <n v="0"/>
    <n v="0"/>
    <n v="4750"/>
    <n v="0"/>
    <n v="0"/>
    <n v="5"/>
  </r>
  <r>
    <s v="PAP/NAS"/>
    <s v="NAS"/>
    <x v="0"/>
    <x v="0"/>
    <x v="53"/>
    <x v="1"/>
    <s v="Nassau - Lynden Pindling Intl"/>
    <n v="895"/>
    <n v="4"/>
    <n v="129357119"/>
    <n v="50157.859247770451"/>
    <n v="2579"/>
    <n v="2.7147368421052631"/>
    <n v="2734"/>
    <n v="834"/>
    <n v="0"/>
    <n v="0"/>
    <n v="0"/>
    <n v="1900"/>
    <n v="0"/>
    <n v="0"/>
    <n v="0"/>
  </r>
  <r>
    <s v="PAP/NYO"/>
    <s v="NYO"/>
    <x v="0"/>
    <x v="0"/>
    <x v="27"/>
    <x v="2"/>
    <s v="Stockholm - Skavsta"/>
    <n v="8206"/>
    <n v="20.25"/>
    <n v="201564862"/>
    <n v="76205.996975425325"/>
    <n v="2645"/>
    <n v="2.7842105263157895"/>
    <n v="2733"/>
    <n v="833"/>
    <n v="0"/>
    <n v="0"/>
    <n v="0"/>
    <n v="1900"/>
    <n v="0"/>
    <n v="0"/>
    <n v="0"/>
  </r>
  <r>
    <s v="PAP/YEG"/>
    <s v="YEG"/>
    <x v="0"/>
    <x v="2"/>
    <x v="2"/>
    <x v="1"/>
    <s v="Edmonton - International"/>
    <n v="5235"/>
    <n v="13.5"/>
    <n v="181555084"/>
    <n v="70261.25541795665"/>
    <n v="2584"/>
    <n v="2.72"/>
    <n v="2731"/>
    <n v="831"/>
    <n v="0"/>
    <n v="0"/>
    <n v="0"/>
    <n v="1900"/>
    <n v="0"/>
    <n v="0"/>
    <n v="0"/>
  </r>
  <r>
    <s v="PAP/DSS"/>
    <s v="DSS"/>
    <x v="0"/>
    <x v="0"/>
    <x v="54"/>
    <x v="5"/>
    <s v="Dakar - Metropolitan Area"/>
    <n v="5879"/>
    <n v="15"/>
    <n v="180019441"/>
    <n v="41090.947500570648"/>
    <n v="4381"/>
    <n v="4.6115789473684208"/>
    <n v="4630"/>
    <n v="830"/>
    <n v="0"/>
    <n v="0"/>
    <n v="0"/>
    <n v="3800"/>
    <n v="0"/>
    <n v="0"/>
    <n v="4"/>
  </r>
  <r>
    <s v="PAP/INC"/>
    <s v="INC"/>
    <x v="0"/>
    <x v="0"/>
    <x v="12"/>
    <x v="4"/>
    <s v="Yinchuan - Hedong"/>
    <n v="13690"/>
    <n v="32.25"/>
    <n v="254572655"/>
    <n v="72014.895332390384"/>
    <n v="3535"/>
    <n v="3.7210526315789472"/>
    <n v="3677"/>
    <n v="827"/>
    <n v="0"/>
    <n v="0"/>
    <n v="0"/>
    <n v="2850"/>
    <n v="0"/>
    <n v="0"/>
    <n v="0"/>
  </r>
  <r>
    <s v="PAP/SAN"/>
    <s v="SAN"/>
    <x v="0"/>
    <x v="2"/>
    <x v="9"/>
    <x v="3"/>
    <s v="San Diego - Metropolitan Area"/>
    <n v="4728"/>
    <n v="12.5"/>
    <n v="189827849"/>
    <n v="74151.503515624994"/>
    <n v="2560"/>
    <n v="2.6947368421052631"/>
    <n v="2723"/>
    <n v="823"/>
    <n v="0"/>
    <n v="0"/>
    <n v="0"/>
    <n v="1900"/>
    <n v="0"/>
    <n v="0"/>
    <n v="0"/>
  </r>
  <r>
    <s v="PAP/SLC"/>
    <s v="SLC"/>
    <x v="0"/>
    <x v="3"/>
    <x v="9"/>
    <x v="3"/>
    <s v="Salt Lake City - International"/>
    <n v="4504"/>
    <n v="12"/>
    <n v="190327924"/>
    <n v="72783.144933078394"/>
    <n v="2615"/>
    <n v="2.7526315789473683"/>
    <n v="2719"/>
    <n v="819"/>
    <n v="0"/>
    <n v="0"/>
    <n v="0"/>
    <n v="1900"/>
    <n v="0"/>
    <n v="0"/>
    <n v="0"/>
  </r>
  <r>
    <s v="PAP/LGW"/>
    <s v="LGW"/>
    <x v="0"/>
    <x v="3"/>
    <x v="55"/>
    <x v="2"/>
    <s v="London - Gatwick"/>
    <n v="7171"/>
    <n v="17.75"/>
    <n v="224559134"/>
    <n v="64528.486781609194"/>
    <n v="3480"/>
    <n v="3.6631578947368419"/>
    <n v="3666"/>
    <n v="816"/>
    <n v="0"/>
    <n v="0"/>
    <n v="0"/>
    <n v="2850"/>
    <n v="0"/>
    <n v="0"/>
    <n v="3"/>
  </r>
  <r>
    <s v="PAP/LIS"/>
    <s v="LIS"/>
    <x v="0"/>
    <x v="2"/>
    <x v="25"/>
    <x v="2"/>
    <s v="Lisbon - Airport"/>
    <n v="6426"/>
    <n v="16.25"/>
    <n v="202286189"/>
    <n v="58582.736461048364"/>
    <n v="3453"/>
    <n v="3.634736842105263"/>
    <n v="3660"/>
    <n v="810"/>
    <n v="0"/>
    <n v="0"/>
    <n v="0"/>
    <n v="2850"/>
    <n v="0"/>
    <n v="0"/>
    <n v="3"/>
  </r>
  <r>
    <s v="PAP/FDF"/>
    <s v="FDF"/>
    <x v="0"/>
    <x v="0"/>
    <x v="56"/>
    <x v="1"/>
    <s v="Fort-de-France - Martinique A. Cesaire"/>
    <n v="1282"/>
    <n v="5"/>
    <n v="127509867"/>
    <n v="49595.436406067674"/>
    <n v="2571"/>
    <n v="2.7063157894736842"/>
    <n v="2708"/>
    <n v="808"/>
    <n v="0"/>
    <n v="0"/>
    <n v="0"/>
    <n v="1900"/>
    <n v="0"/>
    <n v="0"/>
    <n v="0"/>
  </r>
  <r>
    <s v="PAP/CTU"/>
    <s v="CTU"/>
    <x v="0"/>
    <x v="3"/>
    <x v="12"/>
    <x v="4"/>
    <s v="Chengdu - Shuangliu Intl"/>
    <n v="14524"/>
    <n v="34"/>
    <n v="290466910"/>
    <n v="82872.156918687586"/>
    <n v="3505"/>
    <n v="3.6894736842105265"/>
    <n v="3657"/>
    <n v="807"/>
    <n v="0"/>
    <n v="0"/>
    <n v="0"/>
    <n v="2850"/>
    <n v="0"/>
    <n v="0"/>
    <n v="3"/>
  </r>
  <r>
    <s v="PAP/VIE"/>
    <s v="VIE"/>
    <x v="0"/>
    <x v="3"/>
    <x v="57"/>
    <x v="2"/>
    <s v="Vienna - Schwechat Intl"/>
    <n v="8401"/>
    <n v="20.5"/>
    <n v="228166711"/>
    <n v="66212.046140452701"/>
    <n v="3446"/>
    <n v="3.6273684210526316"/>
    <n v="3653"/>
    <n v="803"/>
    <n v="0"/>
    <n v="0"/>
    <n v="0"/>
    <n v="2850"/>
    <n v="0"/>
    <n v="0"/>
    <n v="3"/>
  </r>
  <r>
    <s v="PAP/WUX"/>
    <s v="WUX"/>
    <x v="0"/>
    <x v="0"/>
    <x v="12"/>
    <x v="4"/>
    <s v="Wuxi - Sunan Shuofang"/>
    <n v="14288"/>
    <n v="33.5"/>
    <n v="260214221"/>
    <n v="100198.00577589526"/>
    <n v="2597"/>
    <n v="2.7336842105263157"/>
    <n v="2701"/>
    <n v="801"/>
    <n v="0"/>
    <n v="0"/>
    <n v="0"/>
    <n v="1900"/>
    <n v="0"/>
    <n v="2"/>
    <n v="0"/>
  </r>
  <r>
    <s v="PAP/ORD"/>
    <s v="ORD"/>
    <x v="0"/>
    <x v="3"/>
    <x v="9"/>
    <x v="3"/>
    <s v="Chicago - O'Hare International"/>
    <n v="2992"/>
    <n v="8.75"/>
    <n v="190557060"/>
    <n v="55718.438596491229"/>
    <n v="3420"/>
    <n v="3.6"/>
    <n v="3649"/>
    <n v="799"/>
    <n v="0"/>
    <n v="0"/>
    <n v="0"/>
    <n v="2850"/>
    <n v="0"/>
    <n v="0"/>
    <n v="3"/>
  </r>
  <r>
    <s v="PAP/AHB"/>
    <s v="AHB"/>
    <x v="0"/>
    <x v="2"/>
    <x v="35"/>
    <x v="4"/>
    <s v="Abha"/>
    <n v="11818"/>
    <n v="28"/>
    <n v="256373814"/>
    <n v="59538.739897817002"/>
    <n v="4306"/>
    <n v="4.5326315789473686"/>
    <n v="4594"/>
    <n v="794"/>
    <n v="0"/>
    <n v="0"/>
    <n v="0"/>
    <n v="3800"/>
    <n v="0"/>
    <n v="0"/>
    <n v="4"/>
  </r>
  <r>
    <s v="PAP/IGR"/>
    <s v="IGR"/>
    <x v="0"/>
    <x v="1"/>
    <x v="30"/>
    <x v="0"/>
    <s v="Iguazu - Cataratas del Iguazu"/>
    <n v="5292"/>
    <n v="13.75"/>
    <n v="160246425"/>
    <n v="62255.798368298369"/>
    <n v="2574"/>
    <n v="2.7094736842105265"/>
    <n v="2694"/>
    <n v="794"/>
    <n v="0"/>
    <n v="0"/>
    <n v="0"/>
    <n v="1900"/>
    <n v="0"/>
    <n v="1"/>
    <n v="0"/>
  </r>
  <r>
    <s v="PAP/ARN"/>
    <s v="ARN"/>
    <x v="0"/>
    <x v="0"/>
    <x v="27"/>
    <x v="2"/>
    <s v="Stockholm - Arlanda"/>
    <n v="8246"/>
    <n v="20.25"/>
    <n v="224176900"/>
    <n v="64474.230658613749"/>
    <n v="3477"/>
    <n v="3.66"/>
    <n v="3640"/>
    <n v="790"/>
    <n v="0"/>
    <n v="0"/>
    <n v="0"/>
    <n v="2850"/>
    <n v="0"/>
    <n v="0"/>
    <n v="3"/>
  </r>
  <r>
    <s v="PAP/MUC"/>
    <s v="MUC"/>
    <x v="0"/>
    <x v="3"/>
    <x v="58"/>
    <x v="2"/>
    <s v="Munich - International"/>
    <n v="8048"/>
    <n v="19.75"/>
    <n v="234080451"/>
    <n v="67090.986242476356"/>
    <n v="3489"/>
    <n v="3.6726315789473682"/>
    <n v="3640"/>
    <n v="790"/>
    <n v="0"/>
    <n v="0"/>
    <n v="0"/>
    <n v="2850"/>
    <n v="0"/>
    <n v="0"/>
    <n v="3"/>
  </r>
  <r>
    <s v="PAP/MRU"/>
    <s v="MRU"/>
    <x v="0"/>
    <x v="0"/>
    <x v="59"/>
    <x v="5"/>
    <s v="Mauritius - Sir S. Ramgoolam Intl"/>
    <n v="14792"/>
    <n v="34.5"/>
    <n v="266580707"/>
    <n v="104133.088671875"/>
    <n v="2560"/>
    <n v="2.6947368421052631"/>
    <n v="2689"/>
    <n v="789"/>
    <n v="0"/>
    <n v="0"/>
    <n v="0"/>
    <n v="1900"/>
    <n v="0"/>
    <n v="0"/>
    <n v="0"/>
  </r>
  <r>
    <s v="PAP/MZR"/>
    <s v="MZR"/>
    <x v="0"/>
    <x v="1"/>
    <x v="26"/>
    <x v="4"/>
    <s v="Mazar-e Sharif"/>
    <n v="12545"/>
    <n v="29.75"/>
    <n v="225821253"/>
    <n v="88731.337131630644"/>
    <n v="2545"/>
    <n v="2.6789473684210527"/>
    <n v="2689"/>
    <n v="789"/>
    <n v="0"/>
    <n v="0"/>
    <n v="0"/>
    <n v="1900"/>
    <n v="0"/>
    <n v="2"/>
    <n v="0"/>
  </r>
  <r>
    <s v="PAP/BEG"/>
    <s v="BEG"/>
    <x v="0"/>
    <x v="0"/>
    <x v="60"/>
    <x v="2"/>
    <s v="Belgrade - Metropolitan Area"/>
    <n v="8765"/>
    <n v="21.25"/>
    <n v="207523354"/>
    <n v="59513.436765127619"/>
    <n v="3487"/>
    <n v="3.6705263157894739"/>
    <n v="3638"/>
    <n v="788"/>
    <n v="0"/>
    <n v="0"/>
    <n v="0"/>
    <n v="2850"/>
    <n v="0"/>
    <n v="0"/>
    <n v="3"/>
  </r>
  <r>
    <s v="PAP/VCP"/>
    <s v="VCP"/>
    <x v="0"/>
    <x v="0"/>
    <x v="1"/>
    <x v="0"/>
    <s v="Sao Paulo - Viracopos-Campinas Int"/>
    <n v="5372"/>
    <n v="14"/>
    <n v="180531893"/>
    <n v="52771.672902660044"/>
    <n v="3421"/>
    <n v="3.6010526315789475"/>
    <n v="3638"/>
    <n v="788"/>
    <n v="0"/>
    <n v="0"/>
    <n v="0"/>
    <n v="2850"/>
    <n v="0"/>
    <n v="3"/>
    <n v="0"/>
  </r>
  <r>
    <s v="PAP/PVR"/>
    <s v="PVR"/>
    <x v="0"/>
    <x v="0"/>
    <x v="15"/>
    <x v="1"/>
    <s v="Puerto Vallarta - G.Diaz Ordaz Intl"/>
    <n v="3455"/>
    <n v="9.75"/>
    <n v="155539309"/>
    <n v="45346.73731778426"/>
    <n v="3430"/>
    <n v="3.6105263157894738"/>
    <n v="3636"/>
    <n v="786"/>
    <n v="0"/>
    <n v="0"/>
    <n v="0"/>
    <n v="2850"/>
    <n v="0"/>
    <n v="0"/>
    <n v="1"/>
  </r>
  <r>
    <s v="PAP/MDE"/>
    <s v="MDE"/>
    <x v="1"/>
    <x v="1"/>
    <x v="8"/>
    <x v="0"/>
    <s v="Medellin - Metropolitan Area"/>
    <n v="1421"/>
    <n v="5.25"/>
    <n v="122096019"/>
    <n v="46996.158198614321"/>
    <n v="2598"/>
    <n v="2.7347368421052631"/>
    <n v="2685"/>
    <n v="785"/>
    <n v="0"/>
    <n v="0"/>
    <n v="0"/>
    <n v="1900"/>
    <n v="0"/>
    <n v="0"/>
    <n v="0"/>
  </r>
  <r>
    <s v="PAP/JED"/>
    <s v="JED"/>
    <x v="0"/>
    <x v="2"/>
    <x v="35"/>
    <x v="4"/>
    <s v="Jeddah - King Abdulaziz Intl"/>
    <n v="11321"/>
    <n v="27"/>
    <n v="252610739"/>
    <n v="58071.434252873565"/>
    <n v="4350"/>
    <n v="4.5789473684210522"/>
    <n v="4583"/>
    <n v="783"/>
    <n v="0"/>
    <n v="0"/>
    <n v="0"/>
    <n v="3800"/>
    <n v="0"/>
    <n v="0"/>
    <n v="4"/>
  </r>
  <r>
    <s v="PAP/BUF"/>
    <s v="BUF"/>
    <x v="0"/>
    <x v="0"/>
    <x v="9"/>
    <x v="3"/>
    <s v="Buffalo - Niagara International"/>
    <n v="2776"/>
    <n v="8.25"/>
    <m/>
    <n v="0"/>
    <m/>
    <n v="0"/>
    <n v="2683"/>
    <n v="783"/>
    <n v="0"/>
    <n v="0"/>
    <n v="0"/>
    <n v="1900"/>
    <n v="0"/>
    <n v="2"/>
    <n v="0"/>
  </r>
  <r>
    <s v="PAP/TMR"/>
    <s v="TMR"/>
    <x v="0"/>
    <x v="1"/>
    <x v="61"/>
    <x v="5"/>
    <s v="Tamanrasset - Aguenar"/>
    <n v="8007"/>
    <n v="19.75"/>
    <n v="180525564"/>
    <n v="71608.712415708054"/>
    <n v="2521"/>
    <n v="2.6536842105263156"/>
    <n v="2681"/>
    <n v="781"/>
    <n v="0"/>
    <n v="0"/>
    <n v="0"/>
    <n v="1900"/>
    <n v="0"/>
    <n v="0"/>
    <n v="0"/>
  </r>
  <r>
    <s v="PAP/SCL"/>
    <s v="SCL"/>
    <x v="0"/>
    <x v="2"/>
    <x v="51"/>
    <x v="0"/>
    <s v="Santiago - Arturo Merino Benitez"/>
    <n v="5782"/>
    <n v="14.75"/>
    <n v="190190035"/>
    <n v="55725.178728391445"/>
    <n v="3413"/>
    <n v="3.5926315789473686"/>
    <n v="3630"/>
    <n v="780"/>
    <n v="0"/>
    <n v="0"/>
    <n v="0"/>
    <n v="2850"/>
    <n v="0"/>
    <n v="0"/>
    <n v="3"/>
  </r>
  <r>
    <s v="PAP/USH"/>
    <s v="USH"/>
    <x v="0"/>
    <x v="1"/>
    <x v="30"/>
    <x v="0"/>
    <s v="Ushuaia - Malvinas Argentinas"/>
    <n v="8174"/>
    <n v="20"/>
    <n v="188037901"/>
    <n v="72854.669120495935"/>
    <n v="2581"/>
    <n v="2.7168421052631579"/>
    <n v="2676"/>
    <n v="776"/>
    <n v="0"/>
    <n v="0"/>
    <n v="0"/>
    <n v="1900"/>
    <n v="0"/>
    <n v="2"/>
    <n v="0"/>
  </r>
  <r>
    <s v="PAP/AGA"/>
    <s v="AGA"/>
    <x v="0"/>
    <x v="0"/>
    <x v="31"/>
    <x v="5"/>
    <s v="Agadir - Al Massira"/>
    <n v="6421"/>
    <n v="16.25"/>
    <n v="178650336"/>
    <n v="51013.802398629356"/>
    <n v="3502"/>
    <n v="3.6863157894736842"/>
    <n v="3619"/>
    <n v="769"/>
    <n v="0"/>
    <n v="0"/>
    <n v="0"/>
    <n v="2850"/>
    <n v="0"/>
    <n v="0"/>
    <n v="3"/>
  </r>
  <r>
    <s v="PAP/PTP"/>
    <s v="PTP"/>
    <x v="0"/>
    <x v="0"/>
    <x v="62"/>
    <x v="1"/>
    <s v="Pointe-a-Pitre - Le Raizet"/>
    <n v="1170"/>
    <n v="4.75"/>
    <n v="128385148"/>
    <n v="50130.86606794221"/>
    <n v="2561"/>
    <n v="2.6957894736842105"/>
    <n v="2657"/>
    <n v="757"/>
    <n v="0"/>
    <n v="0"/>
    <n v="0"/>
    <n v="1900"/>
    <n v="0"/>
    <n v="0"/>
    <n v="0"/>
  </r>
  <r>
    <s v="PAP/MBA"/>
    <s v="MBA"/>
    <x v="0"/>
    <x v="1"/>
    <x v="63"/>
    <x v="5"/>
    <s v="Mombasa - Moi International"/>
    <n v="12459"/>
    <n v="29.5"/>
    <n v="238020209"/>
    <n v="54342.513470319638"/>
    <n v="4380"/>
    <n v="4.6105263157894738"/>
    <n v="4555"/>
    <n v="755"/>
    <n v="0"/>
    <n v="0"/>
    <n v="0"/>
    <n v="3800"/>
    <n v="0"/>
    <n v="0"/>
    <n v="4"/>
  </r>
  <r>
    <s v="PAP/SAL"/>
    <s v="SAL"/>
    <x v="0"/>
    <x v="0"/>
    <x v="64"/>
    <x v="1"/>
    <s v="San Salvador - El Salvador Intl"/>
    <n v="1879"/>
    <n v="6.25"/>
    <n v="135154341"/>
    <n v="39129.803416328898"/>
    <n v="3454"/>
    <n v="3.6357894736842105"/>
    <n v="3605"/>
    <n v="755"/>
    <n v="0"/>
    <n v="0"/>
    <n v="0"/>
    <n v="2850"/>
    <n v="0"/>
    <n v="0"/>
    <n v="0"/>
  </r>
  <r>
    <s v="PAP/NOV"/>
    <s v="NOV"/>
    <x v="0"/>
    <x v="4"/>
    <x v="65"/>
    <x v="5"/>
    <s v="Huambo - Albano Machado"/>
    <n v="10260"/>
    <n v="24.75"/>
    <n v="200749414"/>
    <n v="58340.428363847721"/>
    <n v="3441"/>
    <n v="3.6221052631578949"/>
    <n v="3601"/>
    <n v="751"/>
    <n v="0"/>
    <n v="0"/>
    <n v="0"/>
    <n v="2850"/>
    <n v="0"/>
    <n v="0"/>
    <n v="3"/>
  </r>
  <r>
    <s v="PAP/TSE"/>
    <s v="TSE"/>
    <x v="0"/>
    <x v="1"/>
    <x v="36"/>
    <x v="2"/>
    <s v="Nur-Sultan - Nursultan Nazarbayev"/>
    <n v="11510"/>
    <n v="27.5"/>
    <n v="227602208"/>
    <n v="65952.537815126052"/>
    <n v="3451"/>
    <n v="3.6326315789473682"/>
    <n v="3601"/>
    <n v="751"/>
    <n v="0"/>
    <n v="0"/>
    <n v="0"/>
    <n v="2850"/>
    <n v="0"/>
    <n v="0"/>
    <n v="3"/>
  </r>
  <r>
    <s v="PAP/JZH"/>
    <s v="JZH"/>
    <x v="0"/>
    <x v="0"/>
    <x v="12"/>
    <x v="4"/>
    <s v="Jiuzhaigou - Jiuzhai Huanglong"/>
    <n v="14283"/>
    <n v="33.5"/>
    <n v="258092574"/>
    <n v="101972.56973528249"/>
    <n v="2531"/>
    <n v="2.6642105263157894"/>
    <n v="2649"/>
    <n v="749"/>
    <n v="0"/>
    <n v="0"/>
    <n v="0"/>
    <n v="1900"/>
    <n v="0"/>
    <n v="2"/>
    <n v="0"/>
  </r>
  <r>
    <s v="PAP/PMC"/>
    <s v="PMC"/>
    <x v="0"/>
    <x v="1"/>
    <x v="51"/>
    <x v="0"/>
    <s v="Puerto Montt - El Tepual"/>
    <n v="6676"/>
    <n v="16.75"/>
    <n v="176174266"/>
    <n v="69827.295283392785"/>
    <n v="2523"/>
    <n v="2.6557894736842105"/>
    <n v="2641"/>
    <n v="741"/>
    <n v="0"/>
    <n v="0"/>
    <n v="0"/>
    <n v="1900"/>
    <n v="0"/>
    <n v="2"/>
    <n v="0"/>
  </r>
  <r>
    <s v="PAP/VIL"/>
    <s v="VIL"/>
    <x v="0"/>
    <x v="4"/>
    <x v="31"/>
    <x v="5"/>
    <s v="Dakhla"/>
    <n v="5838"/>
    <n v="15"/>
    <n v="151077348"/>
    <n v="60358.508989212947"/>
    <n v="2503"/>
    <n v="2.634736842105263"/>
    <n v="2637"/>
    <n v="737"/>
    <n v="0"/>
    <n v="0"/>
    <n v="0"/>
    <n v="1900"/>
    <n v="0"/>
    <n v="0"/>
    <n v="0"/>
  </r>
  <r>
    <s v="PAP/BND"/>
    <s v="BND"/>
    <x v="0"/>
    <x v="1"/>
    <x v="66"/>
    <x v="4"/>
    <s v="Bandar Abbas - International"/>
    <n v="12501"/>
    <n v="29.5"/>
    <n v="235264654"/>
    <n v="68034.89126662811"/>
    <n v="3458"/>
    <n v="3.64"/>
    <n v="3585"/>
    <n v="735"/>
    <n v="0"/>
    <n v="0"/>
    <n v="0"/>
    <n v="2850"/>
    <n v="0"/>
    <n v="0"/>
    <n v="0"/>
  </r>
  <r>
    <s v="PAP/SAH"/>
    <s v="SAH"/>
    <x v="0"/>
    <x v="0"/>
    <x v="67"/>
    <x v="4"/>
    <s v="Sana'a - International"/>
    <n v="12104"/>
    <n v="28.75"/>
    <n v="235001159"/>
    <n v="53936.460638053708"/>
    <n v="4357"/>
    <n v="4.5863157894736846"/>
    <n v="4531"/>
    <n v="731"/>
    <n v="0"/>
    <n v="0"/>
    <n v="0"/>
    <n v="3800"/>
    <n v="0"/>
    <n v="0"/>
    <n v="0"/>
  </r>
  <r>
    <s v="PAP/IBZ"/>
    <s v="IBZ"/>
    <x v="0"/>
    <x v="0"/>
    <x v="37"/>
    <x v="2"/>
    <s v="Ibiza"/>
    <n v="7335"/>
    <n v="18.25"/>
    <n v="198931903"/>
    <n v="79445.648162939295"/>
    <n v="2504"/>
    <n v="2.6357894736842105"/>
    <n v="2629"/>
    <n v="729"/>
    <n v="0"/>
    <n v="0"/>
    <n v="0"/>
    <n v="1900"/>
    <n v="0"/>
    <n v="0"/>
    <n v="0"/>
  </r>
  <r>
    <s v="PAP/REC"/>
    <s v="REC"/>
    <x v="0"/>
    <x v="0"/>
    <x v="1"/>
    <x v="0"/>
    <s v="Recife - Guararapes Intl"/>
    <n v="5062"/>
    <n v="13.25"/>
    <n v="178026033"/>
    <n v="51408.037250938491"/>
    <n v="3463"/>
    <n v="3.6452631578947368"/>
    <n v="3578"/>
    <n v="728"/>
    <n v="0"/>
    <n v="0"/>
    <n v="0"/>
    <n v="2850"/>
    <n v="0"/>
    <n v="0"/>
    <n v="0"/>
  </r>
  <r>
    <s v="PAP/BVB"/>
    <s v="BVB"/>
    <x v="0"/>
    <x v="1"/>
    <x v="1"/>
    <x v="0"/>
    <s v="Boa Vista - A.B. Cantanhede Intl"/>
    <n v="2158"/>
    <n v="6.75"/>
    <n v="123605393"/>
    <n v="50042.669230769228"/>
    <n v="2470"/>
    <n v="2.6"/>
    <n v="2627"/>
    <n v="727"/>
    <n v="0"/>
    <n v="0"/>
    <n v="0"/>
    <n v="1900"/>
    <n v="0"/>
    <n v="1"/>
    <n v="0"/>
  </r>
  <r>
    <s v="PAP/NBO"/>
    <s v="NBO"/>
    <x v="0"/>
    <x v="0"/>
    <x v="63"/>
    <x v="5"/>
    <s v="Nairobi - Metropolitan Area"/>
    <n v="12081"/>
    <n v="28.75"/>
    <n v="248475743"/>
    <n v="47792.987689940375"/>
    <n v="5199"/>
    <n v="5.4726315789473681"/>
    <n v="5476"/>
    <n v="726"/>
    <n v="0"/>
    <n v="0"/>
    <n v="0"/>
    <n v="4750"/>
    <n v="0"/>
    <n v="0"/>
    <n v="5"/>
  </r>
  <r>
    <s v="PAP/TUN"/>
    <s v="TUN"/>
    <x v="0"/>
    <x v="0"/>
    <x v="46"/>
    <x v="5"/>
    <s v="Tunis - Carthage"/>
    <n v="8136"/>
    <n v="20"/>
    <n v="204805904"/>
    <n v="60166.246768507641"/>
    <n v="3404"/>
    <n v="3.5831578947368423"/>
    <n v="3574"/>
    <n v="724"/>
    <n v="0"/>
    <n v="0"/>
    <n v="0"/>
    <n v="2850"/>
    <n v="0"/>
    <n v="0"/>
    <n v="3"/>
  </r>
  <r>
    <s v="PAP/BIO"/>
    <s v="BIO"/>
    <x v="0"/>
    <x v="0"/>
    <x v="37"/>
    <x v="2"/>
    <s v="Bilbao - Airport"/>
    <n v="6953"/>
    <n v="17.5"/>
    <n v="194023844"/>
    <n v="78552.163562753034"/>
    <n v="2470"/>
    <n v="2.6"/>
    <n v="2618"/>
    <n v="718"/>
    <n v="0"/>
    <n v="0"/>
    <n v="0"/>
    <n v="1900"/>
    <n v="0"/>
    <n v="0"/>
    <n v="1"/>
  </r>
  <r>
    <s v="PAP/ABQ"/>
    <s v="ABQ"/>
    <x v="0"/>
    <x v="2"/>
    <x v="9"/>
    <x v="3"/>
    <s v="Albuquerque - International Sunport"/>
    <n v="3839"/>
    <n v="10.5"/>
    <n v="167749546"/>
    <n v="67887.311210036423"/>
    <n v="2471"/>
    <n v="2.6010526315789475"/>
    <n v="2611"/>
    <n v="711"/>
    <n v="0"/>
    <n v="0"/>
    <n v="0"/>
    <n v="1900"/>
    <n v="0"/>
    <n v="0"/>
    <n v="0"/>
  </r>
  <r>
    <s v="PAP/BFN"/>
    <s v="BFN"/>
    <x v="0"/>
    <x v="1"/>
    <x v="29"/>
    <x v="5"/>
    <s v="Bloemfontein - International"/>
    <n v="11810"/>
    <n v="28"/>
    <n v="222743213"/>
    <n v="65263.174040433638"/>
    <n v="3413"/>
    <n v="3.5926315789473686"/>
    <n v="3561"/>
    <n v="711"/>
    <n v="0"/>
    <n v="0"/>
    <n v="0"/>
    <n v="2850"/>
    <n v="0"/>
    <n v="0"/>
    <n v="3"/>
  </r>
  <r>
    <s v="PAP/KWI"/>
    <s v="KWI"/>
    <x v="0"/>
    <x v="2"/>
    <x v="68"/>
    <x v="4"/>
    <s v="Kuwait - International"/>
    <n v="11695"/>
    <n v="27.75"/>
    <n v="248602174"/>
    <n v="58084.620093457946"/>
    <n v="4280"/>
    <n v="4.5052631578947366"/>
    <n v="4509"/>
    <n v="709"/>
    <n v="0"/>
    <n v="0"/>
    <n v="0"/>
    <n v="3800"/>
    <n v="0"/>
    <n v="0"/>
    <n v="4"/>
  </r>
  <r>
    <s v="PAP/SVQ"/>
    <s v="SVQ"/>
    <x v="0"/>
    <x v="0"/>
    <x v="37"/>
    <x v="2"/>
    <s v="Sevilla - Airport"/>
    <n v="6710"/>
    <n v="16.75"/>
    <n v="192111143"/>
    <n v="77277.209573612228"/>
    <n v="2486"/>
    <n v="2.6168421052631579"/>
    <n v="2602"/>
    <n v="702"/>
    <n v="0"/>
    <n v="0"/>
    <n v="0"/>
    <n v="1900"/>
    <n v="0"/>
    <n v="0"/>
    <n v="1"/>
  </r>
  <r>
    <s v="PAP/PNZ"/>
    <s v="PNZ"/>
    <x v="0"/>
    <x v="1"/>
    <x v="1"/>
    <x v="0"/>
    <s v="Petrolina - Senador Nilo Coelho"/>
    <n v="4666"/>
    <n v="12.25"/>
    <n v="148819395"/>
    <n v="60817.080098079277"/>
    <n v="2447"/>
    <n v="2.5757894736842104"/>
    <n v="2602"/>
    <n v="702"/>
    <n v="0"/>
    <n v="0"/>
    <n v="0"/>
    <n v="1900"/>
    <n v="0"/>
    <n v="1"/>
    <n v="0"/>
  </r>
  <r>
    <s v="PAP/KTM"/>
    <s v="KTM"/>
    <x v="0"/>
    <x v="0"/>
    <x v="69"/>
    <x v="4"/>
    <s v="Kathmandu - Tribhuvan Intl"/>
    <n v="14338"/>
    <n v="33.5"/>
    <n v="261798575"/>
    <n v="78125.507311250374"/>
    <n v="3351"/>
    <n v="3.5273684210526315"/>
    <n v="3552"/>
    <n v="702"/>
    <n v="0"/>
    <n v="0"/>
    <n v="0"/>
    <n v="2850"/>
    <n v="0"/>
    <n v="0"/>
    <n v="0"/>
  </r>
  <r>
    <s v="PAP/TFN"/>
    <s v="TFN"/>
    <x v="0"/>
    <x v="0"/>
    <x v="37"/>
    <x v="2"/>
    <s v="Tenerife-Norte"/>
    <n v="5761"/>
    <n v="14.75"/>
    <n v="181788984"/>
    <n v="73867.933360422598"/>
    <n v="2461"/>
    <n v="2.5905263157894738"/>
    <n v="2601"/>
    <n v="701"/>
    <n v="0"/>
    <n v="0"/>
    <n v="0"/>
    <n v="1900"/>
    <n v="0"/>
    <n v="0"/>
    <n v="0"/>
  </r>
  <r>
    <s v="PAP/PDX"/>
    <s v="PDX"/>
    <x v="0"/>
    <x v="2"/>
    <x v="9"/>
    <x v="3"/>
    <s v="Portland - International"/>
    <n v="5490"/>
    <n v="14.25"/>
    <n v="193803940"/>
    <n v="78336.273241713818"/>
    <n v="2474"/>
    <n v="2.6042105263157893"/>
    <n v="2598"/>
    <n v="698"/>
    <n v="0"/>
    <n v="0"/>
    <n v="0"/>
    <n v="1900"/>
    <n v="0"/>
    <n v="0"/>
    <n v="0"/>
  </r>
  <r>
    <s v="PAP/DFW"/>
    <s v="DFW"/>
    <x v="0"/>
    <x v="3"/>
    <x v="9"/>
    <x v="3"/>
    <s v="Dallas - Metropolitan Area"/>
    <n v="2934"/>
    <n v="8.5"/>
    <n v="190157623"/>
    <n v="55601.644152046785"/>
    <n v="3420"/>
    <n v="3.6"/>
    <n v="3547"/>
    <n v="697"/>
    <n v="0"/>
    <n v="0"/>
    <n v="0"/>
    <n v="2850"/>
    <n v="0"/>
    <n v="0"/>
    <n v="3"/>
  </r>
  <r>
    <s v="PAP/FLL"/>
    <s v="FLL"/>
    <x v="0"/>
    <x v="3"/>
    <x v="9"/>
    <x v="3"/>
    <s v="Fort Lauderdale - Metropolitan Area"/>
    <n v="1160"/>
    <n v="4.75"/>
    <n v="156977040"/>
    <n v="62690.511182108625"/>
    <n v="2504"/>
    <n v="2.6357894736842105"/>
    <n v="2596"/>
    <n v="696"/>
    <n v="0"/>
    <n v="0"/>
    <n v="0"/>
    <n v="1900"/>
    <n v="0"/>
    <n v="0"/>
    <n v="1"/>
  </r>
  <r>
    <s v="PAP/REL"/>
    <s v="REL"/>
    <x v="0"/>
    <x v="1"/>
    <x v="30"/>
    <x v="0"/>
    <s v="Trelew - Almirante M.A. Zar"/>
    <n v="6910"/>
    <n v="17.25"/>
    <n v="173661674"/>
    <n v="71027.269529652345"/>
    <n v="2445"/>
    <n v="2.5736842105263156"/>
    <n v="2593"/>
    <n v="693"/>
    <n v="0"/>
    <n v="0"/>
    <n v="0"/>
    <n v="1900"/>
    <n v="0"/>
    <n v="2"/>
    <n v="0"/>
  </r>
  <r>
    <s v="PAP/FTE"/>
    <s v="FTE"/>
    <x v="0"/>
    <x v="1"/>
    <x v="30"/>
    <x v="0"/>
    <s v="El Calafate - Comandante A. Tola"/>
    <n v="7659"/>
    <n v="19"/>
    <n v="181631355"/>
    <n v="73654.239659367391"/>
    <n v="2466"/>
    <n v="2.5957894736842104"/>
    <n v="2590"/>
    <n v="690"/>
    <n v="0"/>
    <n v="0"/>
    <n v="0"/>
    <n v="1900"/>
    <n v="0"/>
    <n v="2"/>
    <n v="0"/>
  </r>
  <r>
    <s v="PAP/AKL"/>
    <s v="AKL"/>
    <x v="0"/>
    <x v="2"/>
    <x v="70"/>
    <x v="6"/>
    <s v="Auckland - Metropolitan Area"/>
    <n v="13248"/>
    <n v="31.25"/>
    <n v="271116319"/>
    <n v="63433.860318203086"/>
    <n v="4274"/>
    <n v="4.498947368421053"/>
    <n v="4488"/>
    <n v="688"/>
    <n v="0"/>
    <n v="0"/>
    <n v="0"/>
    <n v="3800"/>
    <n v="0"/>
    <n v="0"/>
    <n v="4"/>
  </r>
  <r>
    <s v="PAP/AMD"/>
    <s v="AMD"/>
    <x v="0"/>
    <x v="0"/>
    <x v="42"/>
    <x v="4"/>
    <s v="Ahmedabad - S.VallabhBhai Patel"/>
    <n v="14022"/>
    <n v="33"/>
    <n v="263607551"/>
    <n v="77010.678060181133"/>
    <n v="3423"/>
    <n v="3.6031578947368419"/>
    <n v="3537"/>
    <n v="687"/>
    <n v="0"/>
    <n v="0"/>
    <n v="0"/>
    <n v="2850"/>
    <n v="0"/>
    <n v="0"/>
    <n v="0"/>
  </r>
  <r>
    <s v="PAP/SPP"/>
    <s v="SPP"/>
    <x v="0"/>
    <x v="4"/>
    <x v="65"/>
    <x v="5"/>
    <s v="Menongue"/>
    <n v="10526"/>
    <n v="25.25"/>
    <n v="201393254"/>
    <n v="60405.895020995798"/>
    <n v="3334"/>
    <n v="3.5094736842105263"/>
    <n v="3534"/>
    <n v="684"/>
    <n v="0"/>
    <n v="0"/>
    <n v="0"/>
    <n v="2850"/>
    <n v="0"/>
    <n v="0"/>
    <n v="3"/>
  </r>
  <r>
    <s v="PAP/TLC"/>
    <s v="TLC"/>
    <x v="0"/>
    <x v="0"/>
    <x v="15"/>
    <x v="1"/>
    <s v="Mexico City - Toluca-A.Lopez Mateos"/>
    <n v="2867"/>
    <n v="8.5"/>
    <n v="147033729"/>
    <n v="44394.241847826088"/>
    <n v="3312"/>
    <n v="3.486315789473684"/>
    <n v="3533"/>
    <n v="683"/>
    <n v="0"/>
    <n v="0"/>
    <n v="0"/>
    <n v="2850"/>
    <n v="0"/>
    <n v="0"/>
    <n v="3"/>
  </r>
  <r>
    <s v="PAP/LPB"/>
    <s v="LPB"/>
    <x v="0"/>
    <x v="1"/>
    <x v="49"/>
    <x v="0"/>
    <s v="La Paz - El Alto Intl"/>
    <n v="3929"/>
    <n v="10.75"/>
    <n v="148959371"/>
    <n v="44867.280421686744"/>
    <n v="3320"/>
    <n v="3.4947368421052634"/>
    <n v="3531"/>
    <n v="681"/>
    <n v="0"/>
    <n v="0"/>
    <n v="0"/>
    <n v="2850"/>
    <n v="0"/>
    <n v="0"/>
    <n v="0"/>
  </r>
  <r>
    <s v="PAP/DAM"/>
    <s v="DAM"/>
    <x v="0"/>
    <x v="0"/>
    <x v="71"/>
    <x v="4"/>
    <s v="Damascus - International"/>
    <n v="10518"/>
    <n v="25.25"/>
    <n v="227499904"/>
    <n v="53141.76687689792"/>
    <n v="4281"/>
    <n v="4.5063157894736845"/>
    <n v="4481"/>
    <n v="681"/>
    <n v="0"/>
    <n v="0"/>
    <n v="0"/>
    <n v="3800"/>
    <n v="0"/>
    <n v="0"/>
    <n v="0"/>
  </r>
  <r>
    <s v="PAP/GBE"/>
    <s v="GBE"/>
    <x v="0"/>
    <x v="1"/>
    <x v="72"/>
    <x v="5"/>
    <s v="Gaborone - Sir Seretse Khama Intl"/>
    <n v="11657"/>
    <n v="27.75"/>
    <n v="221975517"/>
    <n v="65421.608311229"/>
    <n v="3393"/>
    <n v="3.5715789473684212"/>
    <n v="3529"/>
    <n v="679"/>
    <n v="0"/>
    <n v="0"/>
    <n v="0"/>
    <n v="2850"/>
    <n v="0"/>
    <n v="0"/>
    <n v="3"/>
  </r>
  <r>
    <s v="PAP/LAD"/>
    <s v="LAD"/>
    <x v="0"/>
    <x v="0"/>
    <x v="65"/>
    <x v="5"/>
    <s v="Luanda - 4 de Fevereiro"/>
    <n v="9857"/>
    <n v="23.75"/>
    <n v="218850676"/>
    <n v="50742.099698585669"/>
    <n v="4313"/>
    <n v="4.54"/>
    <n v="4472"/>
    <n v="672"/>
    <n v="0"/>
    <n v="0"/>
    <n v="0"/>
    <n v="3800"/>
    <n v="0"/>
    <n v="0"/>
    <n v="4"/>
  </r>
  <r>
    <s v="PAP/OXB"/>
    <s v="OXB"/>
    <x v="0"/>
    <x v="4"/>
    <x v="73"/>
    <x v="5"/>
    <s v="Bissau - Osvaldo Vieira Intl"/>
    <n v="6100"/>
    <n v="15.5"/>
    <n v="159230492"/>
    <n v="47333.677764565989"/>
    <n v="3364"/>
    <n v="3.5410526315789475"/>
    <n v="3522"/>
    <n v="672"/>
    <n v="0"/>
    <n v="0"/>
    <n v="0"/>
    <n v="2850"/>
    <n v="0"/>
    <n v="0"/>
    <n v="3"/>
  </r>
  <r>
    <s v="PAP/CHQ"/>
    <s v="CHQ"/>
    <x v="0"/>
    <x v="0"/>
    <x v="47"/>
    <x v="2"/>
    <s v="Chania - Ioannis Daskalogiannis"/>
    <n v="9380"/>
    <n v="22.75"/>
    <n v="210259078"/>
    <n v="86136.451454321999"/>
    <n v="2441"/>
    <n v="2.5694736842105264"/>
    <n v="2571"/>
    <n v="671"/>
    <n v="0"/>
    <n v="0"/>
    <n v="0"/>
    <n v="1900"/>
    <n v="0"/>
    <n v="0"/>
    <n v="0"/>
  </r>
  <r>
    <s v="PAP/SHJ"/>
    <s v="SHJ"/>
    <x v="0"/>
    <x v="0"/>
    <x v="16"/>
    <x v="4"/>
    <s v="Sharjah - International"/>
    <n v="12556"/>
    <n v="29.75"/>
    <n v="252064403"/>
    <n v="74443.119610159483"/>
    <n v="3386"/>
    <n v="3.5642105263157893"/>
    <n v="3521"/>
    <n v="671"/>
    <n v="0"/>
    <n v="0"/>
    <n v="0"/>
    <n v="2850"/>
    <n v="0"/>
    <n v="0"/>
    <n v="0"/>
  </r>
  <r>
    <s v="PAP/NRT"/>
    <s v="NRT"/>
    <x v="0"/>
    <x v="3"/>
    <x v="18"/>
    <x v="4"/>
    <s v="Tokyo - Narita Intl"/>
    <n v="13064"/>
    <n v="30.75"/>
    <n v="283725355"/>
    <n v="66013.34457887389"/>
    <n v="4298"/>
    <n v="4.5242105263157892"/>
    <n v="4470"/>
    <n v="670"/>
    <n v="0"/>
    <n v="0"/>
    <n v="0"/>
    <n v="3800"/>
    <n v="0"/>
    <n v="0"/>
    <n v="4"/>
  </r>
  <r>
    <s v="PAP/HRE"/>
    <s v="HRE"/>
    <x v="0"/>
    <x v="0"/>
    <x v="74"/>
    <x v="5"/>
    <s v="Harare - Robert Gabriel Mugabe Airport"/>
    <n v="11998"/>
    <n v="28.5"/>
    <n v="229416200"/>
    <n v="54766.340415373597"/>
    <n v="4189"/>
    <n v="4.4094736842105267"/>
    <n v="4468"/>
    <n v="668"/>
    <n v="0"/>
    <n v="0"/>
    <n v="0"/>
    <n v="3800"/>
    <n v="0"/>
    <n v="0"/>
    <n v="0"/>
  </r>
  <r>
    <s v="PAP/IAH"/>
    <s v="IAH"/>
    <x v="0"/>
    <x v="3"/>
    <x v="9"/>
    <x v="3"/>
    <s v="Houston - George Bush Intercont."/>
    <n v="2651"/>
    <n v="8"/>
    <n v="183835867"/>
    <n v="55057.162923030846"/>
    <n v="3339"/>
    <n v="3.5147368421052629"/>
    <n v="3517"/>
    <n v="667"/>
    <n v="0"/>
    <n v="0"/>
    <n v="0"/>
    <n v="2850"/>
    <n v="0"/>
    <n v="0"/>
    <n v="3"/>
  </r>
  <r>
    <s v="PAP/MEM"/>
    <s v="MEM"/>
    <x v="0"/>
    <x v="2"/>
    <x v="9"/>
    <x v="3"/>
    <s v="Memphis - International"/>
    <n v="2528"/>
    <n v="7.75"/>
    <n v="161025173"/>
    <n v="66156.603533278554"/>
    <n v="2434"/>
    <n v="2.5621052631578949"/>
    <n v="2564"/>
    <n v="664"/>
    <n v="0"/>
    <n v="0"/>
    <n v="0"/>
    <n v="1900"/>
    <n v="0"/>
    <n v="0"/>
    <n v="1"/>
  </r>
  <r>
    <s v="PAP/SZG"/>
    <s v="SZG"/>
    <x v="0"/>
    <x v="0"/>
    <x v="57"/>
    <x v="2"/>
    <s v="Salzburg - W.A. Mozart"/>
    <n v="8147"/>
    <n v="20"/>
    <n v="198753672"/>
    <n v="82814.03"/>
    <n v="2400"/>
    <n v="2.5263157894736841"/>
    <n v="2560"/>
    <n v="660"/>
    <n v="0"/>
    <n v="0"/>
    <n v="0"/>
    <n v="1900"/>
    <n v="0"/>
    <n v="0"/>
    <n v="0"/>
  </r>
  <r>
    <s v="PAP/ERH"/>
    <s v="ERH"/>
    <x v="0"/>
    <x v="4"/>
    <x v="31"/>
    <x v="5"/>
    <s v="Errachidia - Moulay Ali Cherif"/>
    <n v="6883"/>
    <n v="17.25"/>
    <n v="159356917"/>
    <n v="66260.672349272354"/>
    <n v="2405"/>
    <n v="2.5315789473684212"/>
    <n v="2558"/>
    <n v="658"/>
    <n v="0"/>
    <n v="0"/>
    <n v="0"/>
    <n v="1900"/>
    <n v="0"/>
    <n v="0"/>
    <n v="1"/>
  </r>
  <r>
    <s v="PAP/KAD"/>
    <s v="KAD"/>
    <x v="0"/>
    <x v="1"/>
    <x v="75"/>
    <x v="5"/>
    <s v="Kaduna"/>
    <n v="8550"/>
    <n v="21"/>
    <n v="186022742"/>
    <n v="55166.886714116248"/>
    <n v="3372"/>
    <n v="3.5494736842105263"/>
    <n v="3508"/>
    <n v="658"/>
    <n v="0"/>
    <n v="0"/>
    <n v="0"/>
    <n v="2850"/>
    <n v="0"/>
    <n v="0"/>
    <n v="3"/>
  </r>
  <r>
    <s v="PAP/TBS"/>
    <s v="TBS"/>
    <x v="0"/>
    <x v="1"/>
    <x v="76"/>
    <x v="2"/>
    <s v="Tbilisi - International"/>
    <n v="10727"/>
    <n v="25.75"/>
    <n v="215012520"/>
    <n v="65175.059108820853"/>
    <n v="3299"/>
    <n v="3.4726315789473685"/>
    <n v="3508"/>
    <n v="658"/>
    <n v="0"/>
    <n v="0"/>
    <n v="0"/>
    <n v="2850"/>
    <n v="0"/>
    <n v="0"/>
    <n v="3"/>
  </r>
  <r>
    <s v="PAP/SJW"/>
    <s v="SJW"/>
    <x v="0"/>
    <x v="0"/>
    <x v="12"/>
    <x v="4"/>
    <s v="Shijiazhuang - Zhengding Intl"/>
    <n v="13654"/>
    <n v="32"/>
    <n v="249516088"/>
    <n v="74952.264343646748"/>
    <n v="3329"/>
    <n v="3.5042105263157897"/>
    <n v="3507"/>
    <n v="657"/>
    <n v="0"/>
    <n v="0"/>
    <n v="0"/>
    <n v="2850"/>
    <n v="0"/>
    <n v="0"/>
    <n v="0"/>
  </r>
  <r>
    <s v="PAP/AER"/>
    <s v="AER"/>
    <x v="0"/>
    <x v="0"/>
    <x v="34"/>
    <x v="2"/>
    <s v="Sochi - International"/>
    <n v="10274"/>
    <n v="24.75"/>
    <n v="216915217"/>
    <n v="63949.061615566039"/>
    <n v="3392"/>
    <n v="3.5705263157894738"/>
    <n v="3505"/>
    <n v="655"/>
    <n v="0"/>
    <n v="0"/>
    <n v="0"/>
    <n v="2850"/>
    <n v="0"/>
    <n v="0"/>
    <n v="3"/>
  </r>
  <r>
    <s v="PAP/DJE"/>
    <s v="DJE"/>
    <x v="0"/>
    <x v="0"/>
    <x v="46"/>
    <x v="5"/>
    <s v="Djerba - Zarsis"/>
    <n v="8251"/>
    <n v="20.25"/>
    <n v="200814372"/>
    <n v="60468.043360433607"/>
    <n v="3321"/>
    <n v="3.4957894736842103"/>
    <n v="3499"/>
    <n v="649"/>
    <n v="0"/>
    <n v="0"/>
    <n v="0"/>
    <n v="2850"/>
    <n v="0"/>
    <n v="0"/>
    <n v="3"/>
  </r>
  <r>
    <s v="PAP/BGI"/>
    <s v="BGI"/>
    <x v="0"/>
    <x v="0"/>
    <x v="77"/>
    <x v="1"/>
    <s v="Bridgetown - Grantley Adams Intl"/>
    <n v="1499"/>
    <n v="5.5"/>
    <n v="131834527"/>
    <n v="53964.194433074088"/>
    <n v="2443"/>
    <n v="2.5715789473684212"/>
    <n v="2549"/>
    <n v="649"/>
    <n v="0"/>
    <n v="0"/>
    <n v="0"/>
    <n v="1900"/>
    <n v="0"/>
    <n v="0"/>
    <n v="0"/>
  </r>
  <r>
    <s v="PAP/MBJ"/>
    <s v="MBJ"/>
    <x v="0"/>
    <x v="0"/>
    <x v="6"/>
    <x v="1"/>
    <s v="Montego Bay - Sangster Intl"/>
    <n v="592"/>
    <n v="3.5"/>
    <n v="127396375"/>
    <n v="38372.402108433736"/>
    <n v="3320"/>
    <n v="3.4947368421052634"/>
    <n v="3499"/>
    <n v="649"/>
    <n v="0"/>
    <n v="0"/>
    <n v="0"/>
    <n v="2850"/>
    <n v="0"/>
    <n v="0"/>
    <n v="1"/>
  </r>
  <r>
    <s v="PAP/MMX"/>
    <s v="MMX"/>
    <x v="0"/>
    <x v="0"/>
    <x v="27"/>
    <x v="2"/>
    <s v="Malmo - Airport"/>
    <n v="8046"/>
    <n v="19.75"/>
    <n v="196064488"/>
    <n v="81591.54723262589"/>
    <n v="2403"/>
    <n v="2.5294736842105263"/>
    <n v="2547"/>
    <n v="647"/>
    <n v="0"/>
    <n v="0"/>
    <n v="0"/>
    <n v="1900"/>
    <n v="0"/>
    <n v="0"/>
    <n v="0"/>
  </r>
  <r>
    <s v="PAP/BLL"/>
    <s v="BLL"/>
    <x v="0"/>
    <x v="0"/>
    <x v="78"/>
    <x v="2"/>
    <s v="Billund"/>
    <n v="7781"/>
    <n v="19.25"/>
    <n v="197440788"/>
    <n v="82542.135451505019"/>
    <n v="2392"/>
    <n v="2.5178947368421052"/>
    <n v="2544"/>
    <n v="644"/>
    <n v="0"/>
    <n v="0"/>
    <n v="0"/>
    <n v="1900"/>
    <n v="0"/>
    <n v="0"/>
    <n v="0"/>
  </r>
  <r>
    <s v="PAP/SID"/>
    <s v="SID"/>
    <x v="0"/>
    <x v="1"/>
    <x v="79"/>
    <x v="5"/>
    <s v="Sal Island - Amilcar Cabral Intl"/>
    <n v="5217"/>
    <n v="13.5"/>
    <n v="164559948"/>
    <n v="49063.788908765651"/>
    <n v="3354"/>
    <n v="3.5305263157894737"/>
    <n v="3489"/>
    <n v="639"/>
    <n v="0"/>
    <n v="0"/>
    <n v="0"/>
    <n v="2850"/>
    <n v="0"/>
    <n v="0"/>
    <n v="3"/>
  </r>
  <r>
    <s v="PAP/JAI"/>
    <s v="JAI"/>
    <x v="0"/>
    <x v="0"/>
    <x v="42"/>
    <x v="4"/>
    <s v="Jaipur - International"/>
    <n v="13909"/>
    <n v="32.75"/>
    <n v="254863149"/>
    <n v="60870.109625029858"/>
    <n v="4187"/>
    <n v="4.4073684210526318"/>
    <n v="4439"/>
    <n v="639"/>
    <n v="0"/>
    <n v="0"/>
    <n v="0"/>
    <n v="3800"/>
    <n v="0"/>
    <n v="0"/>
    <n v="0"/>
  </r>
  <r>
    <s v="PAP/YUL"/>
    <s v="YUL"/>
    <x v="0"/>
    <x v="2"/>
    <x v="2"/>
    <x v="1"/>
    <s v="Montreal - Pierre E.Trudeau Intl"/>
    <n v="2993"/>
    <n v="8.75"/>
    <n v="167722940"/>
    <n v="51041.673767498476"/>
    <n v="3286"/>
    <n v="3.4589473684210525"/>
    <n v="3483"/>
    <n v="633"/>
    <n v="0"/>
    <n v="0"/>
    <n v="0"/>
    <n v="2850"/>
    <n v="0"/>
    <n v="0"/>
    <n v="3"/>
  </r>
  <r>
    <s v="PAP/XNN"/>
    <s v="XNN"/>
    <x v="0"/>
    <x v="0"/>
    <x v="12"/>
    <x v="4"/>
    <s v="Xining - Caojiabao"/>
    <n v="13862"/>
    <n v="32.5"/>
    <n v="251784417"/>
    <n v="75452.327539706326"/>
    <n v="3337"/>
    <n v="3.5126315789473685"/>
    <n v="3482"/>
    <n v="632"/>
    <n v="0"/>
    <n v="0"/>
    <n v="0"/>
    <n v="2850"/>
    <n v="0"/>
    <n v="0"/>
    <n v="0"/>
  </r>
  <r>
    <s v="PAP/NKC"/>
    <s v="NKC"/>
    <x v="0"/>
    <x v="0"/>
    <x v="80"/>
    <x v="5"/>
    <s v="Nouakchott"/>
    <n v="5922"/>
    <n v="15.25"/>
    <n v="179720825"/>
    <n v="41922.282481922091"/>
    <n v="4287"/>
    <n v="4.5126315789473681"/>
    <n v="4431"/>
    <n v="631"/>
    <n v="0"/>
    <n v="0"/>
    <n v="0"/>
    <n v="3800"/>
    <n v="0"/>
    <n v="0"/>
    <n v="4"/>
  </r>
  <r>
    <s v="PAP/KOJ"/>
    <s v="KOJ"/>
    <x v="0"/>
    <x v="0"/>
    <x v="18"/>
    <x v="4"/>
    <s v="Kagoshima"/>
    <n v="13903"/>
    <n v="32.75"/>
    <n v="266840669"/>
    <n v="81552.771699266508"/>
    <n v="3272"/>
    <n v="3.4442105263157896"/>
    <n v="3479"/>
    <n v="629"/>
    <n v="0"/>
    <n v="0"/>
    <n v="0"/>
    <n v="2850"/>
    <n v="0"/>
    <n v="0"/>
    <n v="0"/>
  </r>
  <r>
    <s v="PAP/SVO"/>
    <s v="SVO"/>
    <x v="0"/>
    <x v="2"/>
    <x v="34"/>
    <x v="2"/>
    <s v="Moscow - Sheremetyevo"/>
    <n v="9466"/>
    <n v="23"/>
    <n v="233972813"/>
    <n v="55496.397770398486"/>
    <n v="4216"/>
    <n v="4.4378947368421056"/>
    <n v="4427"/>
    <n v="627"/>
    <n v="0"/>
    <n v="0"/>
    <n v="0"/>
    <n v="3800"/>
    <n v="0"/>
    <n v="0"/>
    <n v="4"/>
  </r>
  <r>
    <s v="PAP/STN"/>
    <s v="STN"/>
    <x v="0"/>
    <x v="3"/>
    <x v="55"/>
    <x v="2"/>
    <s v="London - Stansted"/>
    <n v="7203"/>
    <n v="18"/>
    <n v="217728665"/>
    <n v="66808.427431727527"/>
    <n v="3259"/>
    <n v="3.4305263157894736"/>
    <n v="3477"/>
    <n v="627"/>
    <n v="0"/>
    <n v="0"/>
    <n v="0"/>
    <n v="2850"/>
    <n v="0"/>
    <n v="0"/>
    <n v="3"/>
  </r>
  <r>
    <s v="PAP/OAK"/>
    <s v="OAK"/>
    <x v="0"/>
    <x v="2"/>
    <x v="9"/>
    <x v="3"/>
    <s v="Oakland - Metropolitan Area"/>
    <n v="5265"/>
    <n v="13.75"/>
    <n v="187129681"/>
    <n v="78791.444631578954"/>
    <n v="2375"/>
    <n v="2.5"/>
    <n v="2525"/>
    <n v="625"/>
    <n v="0"/>
    <n v="0"/>
    <n v="0"/>
    <n v="1900"/>
    <n v="0"/>
    <n v="0"/>
    <n v="0"/>
  </r>
  <r>
    <s v="PAP/NCE"/>
    <s v="NCE"/>
    <x v="0"/>
    <x v="2"/>
    <x v="81"/>
    <x v="2"/>
    <s v="Nice - Cote d'Azur"/>
    <n v="7766"/>
    <n v="19.25"/>
    <n v="213737339"/>
    <n v="88687.692531120338"/>
    <n v="2410"/>
    <n v="2.5368421052631578"/>
    <n v="2523"/>
    <n v="623"/>
    <n v="0"/>
    <n v="0"/>
    <n v="0"/>
    <n v="1900"/>
    <n v="0"/>
    <n v="0"/>
    <n v="0"/>
  </r>
  <r>
    <s v="PAP/BCN"/>
    <s v="BCN"/>
    <x v="0"/>
    <x v="3"/>
    <x v="37"/>
    <x v="2"/>
    <s v="Barcelona - Airport"/>
    <n v="7372"/>
    <n v="18.25"/>
    <n v="224696120"/>
    <n v="68967.501534683848"/>
    <n v="3258"/>
    <n v="3.4294736842105262"/>
    <n v="3465"/>
    <n v="615"/>
    <n v="0"/>
    <n v="0"/>
    <n v="0"/>
    <n v="2850"/>
    <n v="0"/>
    <n v="3"/>
    <n v="1"/>
  </r>
  <r>
    <s v="PAP/TAO"/>
    <s v="TAO"/>
    <x v="0"/>
    <x v="2"/>
    <x v="12"/>
    <x v="4"/>
    <s v="Qingdao - Liuting Intl"/>
    <n v="13776"/>
    <n v="32.25"/>
    <n v="270818827"/>
    <n v="64220.732036993126"/>
    <n v="4217"/>
    <n v="4.4389473684210525"/>
    <n v="4414"/>
    <n v="614"/>
    <n v="0"/>
    <n v="0"/>
    <n v="0"/>
    <n v="3800"/>
    <n v="0"/>
    <n v="0"/>
    <n v="4"/>
  </r>
  <r>
    <s v="PAP/GMP"/>
    <s v="GMP"/>
    <x v="0"/>
    <x v="2"/>
    <x v="82"/>
    <x v="4"/>
    <s v="Seoul - Gimpo International"/>
    <n v="13464"/>
    <n v="31.75"/>
    <n v="273280580"/>
    <n v="65866.61364184141"/>
    <n v="4149"/>
    <n v="4.3673684210526318"/>
    <n v="4412"/>
    <n v="612"/>
    <n v="0"/>
    <n v="0"/>
    <n v="0"/>
    <n v="3800"/>
    <n v="0"/>
    <n v="0"/>
    <n v="4"/>
  </r>
  <r>
    <s v="PAP/BSL"/>
    <s v="BSL"/>
    <x v="0"/>
    <x v="0"/>
    <x v="44"/>
    <x v="2"/>
    <s v="Basel/Mulhouse - EuroAirport Swiss"/>
    <n v="7744"/>
    <n v="19.25"/>
    <n v="204208775"/>
    <n v="85122.457273864115"/>
    <n v="2399"/>
    <n v="2.5252631578947367"/>
    <n v="2511"/>
    <n v="611"/>
    <n v="0"/>
    <n v="0"/>
    <n v="0"/>
    <n v="1900"/>
    <n v="0"/>
    <n v="0"/>
    <n v="0"/>
  </r>
  <r>
    <s v="PAP/MSY"/>
    <s v="MSY"/>
    <x v="0"/>
    <x v="2"/>
    <x v="9"/>
    <x v="3"/>
    <s v="New Orleans - Metropolitan Area"/>
    <n v="2215"/>
    <n v="7"/>
    <m/>
    <n v="0"/>
    <m/>
    <n v="0"/>
    <n v="2510"/>
    <n v="610"/>
    <n v="0"/>
    <n v="0"/>
    <n v="0"/>
    <n v="1900"/>
    <n v="0"/>
    <n v="0"/>
    <n v="0"/>
  </r>
  <r>
    <s v="PAP/MAN"/>
    <s v="MAN"/>
    <x v="0"/>
    <x v="3"/>
    <x v="55"/>
    <x v="2"/>
    <s v="Manchester - Airport"/>
    <n v="7042"/>
    <n v="17.5"/>
    <n v="216558687"/>
    <n v="66165.1961503208"/>
    <n v="3273"/>
    <n v="3.445263157894737"/>
    <n v="3459"/>
    <n v="609"/>
    <n v="0"/>
    <n v="0"/>
    <n v="0"/>
    <n v="2850"/>
    <n v="0"/>
    <n v="0"/>
    <n v="3"/>
  </r>
  <r>
    <s v="PAP/BHK"/>
    <s v="BHK"/>
    <x v="0"/>
    <x v="1"/>
    <x v="83"/>
    <x v="4"/>
    <s v="Bukhara - International"/>
    <n v="12133"/>
    <n v="28.75"/>
    <n v="223008497"/>
    <n v="67252.260856453562"/>
    <n v="3316"/>
    <n v="3.4905263157894737"/>
    <n v="3459"/>
    <n v="609"/>
    <n v="0"/>
    <n v="0"/>
    <n v="0"/>
    <n v="2850"/>
    <n v="0"/>
    <n v="0"/>
    <n v="0"/>
  </r>
  <r>
    <s v="PAP/BNA"/>
    <s v="BNA"/>
    <x v="0"/>
    <x v="2"/>
    <x v="9"/>
    <x v="3"/>
    <s v="Nashville - International"/>
    <n v="2408"/>
    <n v="7.5"/>
    <m/>
    <n v="0"/>
    <m/>
    <n v="0"/>
    <n v="2504"/>
    <n v="604"/>
    <n v="0"/>
    <n v="0"/>
    <n v="0"/>
    <n v="1900"/>
    <n v="0"/>
    <n v="2"/>
    <n v="0"/>
  </r>
  <r>
    <s v="PAP/VVI"/>
    <s v="VVI"/>
    <x v="0"/>
    <x v="1"/>
    <x v="49"/>
    <x v="0"/>
    <s v="Santa Cruz - Viru Viru Intl"/>
    <n v="4151"/>
    <n v="11.25"/>
    <n v="151086567"/>
    <n v="45508.002108433735"/>
    <n v="3320"/>
    <n v="3.4947368421052634"/>
    <n v="3453"/>
    <n v="603"/>
    <n v="0"/>
    <n v="0"/>
    <n v="0"/>
    <n v="2850"/>
    <n v="0"/>
    <n v="0"/>
    <n v="0"/>
  </r>
  <r>
    <s v="PAP/VVO"/>
    <s v="VVO"/>
    <x v="0"/>
    <x v="0"/>
    <x v="34"/>
    <x v="2"/>
    <s v="Vladivostok - Knevichi"/>
    <n v="12689"/>
    <n v="30"/>
    <n v="239520030"/>
    <n v="72231.613389626058"/>
    <n v="3316"/>
    <n v="3.4905263157894737"/>
    <n v="3449"/>
    <n v="599"/>
    <n v="0"/>
    <n v="0"/>
    <n v="0"/>
    <n v="2850"/>
    <n v="0"/>
    <n v="0"/>
    <n v="3"/>
  </r>
  <r>
    <s v="PAP/CKG"/>
    <s v="CKG"/>
    <x v="0"/>
    <x v="2"/>
    <x v="12"/>
    <x v="4"/>
    <s v="Chongqing - Jiangbei Intl"/>
    <n v="14647"/>
    <n v="34.25"/>
    <n v="284402744"/>
    <n v="86840.532519083965"/>
    <n v="3275"/>
    <n v="3.4473684210526314"/>
    <n v="3449"/>
    <n v="599"/>
    <n v="0"/>
    <n v="0"/>
    <n v="0"/>
    <n v="2850"/>
    <n v="0"/>
    <n v="0"/>
    <n v="3"/>
  </r>
  <r>
    <s v="PAP/XIY"/>
    <s v="XIY"/>
    <x v="0"/>
    <x v="2"/>
    <x v="12"/>
    <x v="4"/>
    <s v="Xi'an - Xianyang Intl"/>
    <n v="14121"/>
    <n v="33.25"/>
    <n v="280273903"/>
    <n v="84547.180392156864"/>
    <n v="3315"/>
    <n v="3.4894736842105263"/>
    <n v="3448"/>
    <n v="598"/>
    <n v="0"/>
    <n v="0"/>
    <n v="0"/>
    <n v="2850"/>
    <n v="0"/>
    <n v="0"/>
    <n v="3"/>
  </r>
  <r>
    <s v="PAP/HAV"/>
    <s v="HAV"/>
    <x v="0"/>
    <x v="2"/>
    <x v="84"/>
    <x v="1"/>
    <s v="Havana - Jose Marti Intl"/>
    <n v="1160"/>
    <n v="4.75"/>
    <n v="140350297"/>
    <n v="42750.62351507767"/>
    <n v="3283"/>
    <n v="3.4557894736842107"/>
    <n v="3447"/>
    <n v="597"/>
    <n v="0"/>
    <n v="0"/>
    <n v="0"/>
    <n v="2850"/>
    <n v="0"/>
    <n v="0"/>
    <n v="3"/>
  </r>
  <r>
    <s v="PAP/GOI"/>
    <s v="GOI"/>
    <x v="0"/>
    <x v="0"/>
    <x v="42"/>
    <x v="4"/>
    <s v="Goa - Dabolim"/>
    <n v="14726"/>
    <n v="34.5"/>
    <n v="267754554"/>
    <n v="80794.977066988533"/>
    <n v="3314"/>
    <n v="3.4884210526315789"/>
    <n v="3447"/>
    <n v="597"/>
    <n v="0"/>
    <n v="0"/>
    <n v="0"/>
    <n v="2850"/>
    <n v="0"/>
    <n v="0"/>
    <n v="0"/>
  </r>
  <r>
    <s v="PAP/DEN"/>
    <s v="DEN"/>
    <x v="0"/>
    <x v="3"/>
    <x v="9"/>
    <x v="3"/>
    <s v="Denver - Metropolitan Area"/>
    <n v="3898"/>
    <n v="10.75"/>
    <n v="200520811"/>
    <n v="61755.716353557131"/>
    <n v="3247"/>
    <n v="3.4178947368421051"/>
    <n v="3443"/>
    <n v="593"/>
    <n v="0"/>
    <n v="0"/>
    <n v="0"/>
    <n v="2850"/>
    <n v="0"/>
    <n v="0"/>
    <n v="3"/>
  </r>
  <r>
    <s v="PAP/PNQ"/>
    <s v="PNQ"/>
    <x v="0"/>
    <x v="0"/>
    <x v="42"/>
    <x v="4"/>
    <s v="Pune - Lohegaon"/>
    <n v="14479"/>
    <n v="34"/>
    <n v="264190859"/>
    <n v="80570.557792009757"/>
    <n v="3279"/>
    <n v="3.4515789473684211"/>
    <n v="3443"/>
    <n v="593"/>
    <n v="0"/>
    <n v="0"/>
    <n v="0"/>
    <n v="2850"/>
    <n v="0"/>
    <n v="0"/>
    <n v="0"/>
  </r>
  <r>
    <s v="PAP/ATZ"/>
    <s v="ATZ"/>
    <x v="0"/>
    <x v="1"/>
    <x v="14"/>
    <x v="5"/>
    <s v="Asyut"/>
    <n v="10325"/>
    <n v="24.75"/>
    <n v="206896128"/>
    <n v="63738.794824399258"/>
    <n v="3246"/>
    <n v="3.4168421052631577"/>
    <n v="3441"/>
    <n v="591"/>
    <n v="0"/>
    <n v="0"/>
    <n v="0"/>
    <n v="2850"/>
    <n v="0"/>
    <n v="0"/>
    <n v="3"/>
  </r>
  <r>
    <s v="PAP/MXL"/>
    <s v="MXL"/>
    <x v="0"/>
    <x v="1"/>
    <x v="15"/>
    <x v="1"/>
    <s v="Mexicali - R.Sanchez Taboada Int"/>
    <n v="4546"/>
    <n v="12"/>
    <n v="151666330"/>
    <n v="63167.984173261138"/>
    <n v="2401"/>
    <n v="2.5273684210526315"/>
    <n v="2489"/>
    <n v="589"/>
    <n v="0"/>
    <n v="0"/>
    <n v="0"/>
    <n v="1900"/>
    <n v="0"/>
    <n v="0"/>
    <n v="1"/>
  </r>
  <r>
    <s v="PAP/CRD"/>
    <s v="CRD"/>
    <x v="0"/>
    <x v="1"/>
    <x v="30"/>
    <x v="0"/>
    <s v="Comodoro Rivadavia - General E. Mosconi"/>
    <n v="7176"/>
    <n v="18"/>
    <n v="173611877"/>
    <n v="74415.720960137158"/>
    <n v="2333"/>
    <n v="2.4557894736842107"/>
    <n v="2488"/>
    <n v="588"/>
    <n v="0"/>
    <n v="0"/>
    <n v="0"/>
    <n v="1900"/>
    <n v="0"/>
    <n v="0"/>
    <n v="0"/>
  </r>
  <r>
    <s v="PAP/ALB"/>
    <s v="ALB"/>
    <x v="0"/>
    <x v="5"/>
    <x v="9"/>
    <x v="3"/>
    <s v="Albany - International"/>
    <n v="2691"/>
    <n v="8"/>
    <m/>
    <n v="0"/>
    <m/>
    <n v="0"/>
    <n v="2485"/>
    <n v="585"/>
    <n v="0"/>
    <n v="0"/>
    <n v="0"/>
    <n v="1900"/>
    <n v="0"/>
    <n v="0"/>
    <n v="0"/>
  </r>
  <r>
    <s v="PAP/MSP"/>
    <s v="MSP"/>
    <x v="0"/>
    <x v="3"/>
    <x v="9"/>
    <x v="3"/>
    <s v="Minneapolis/St Paul - Metropolitan Area"/>
    <n v="3509"/>
    <n v="9.75"/>
    <n v="187491881"/>
    <n v="58263.480733374767"/>
    <n v="3218"/>
    <n v="3.3873684210526314"/>
    <n v="3433"/>
    <n v="583"/>
    <n v="0"/>
    <n v="0"/>
    <n v="0"/>
    <n v="2850"/>
    <n v="0"/>
    <n v="0"/>
    <n v="3"/>
  </r>
  <r>
    <s v="PAP/DLC"/>
    <s v="DLC"/>
    <x v="0"/>
    <x v="2"/>
    <x v="12"/>
    <x v="4"/>
    <s v="Dalian - Zhoushuizi Intl"/>
    <n v="13460"/>
    <n v="31.75"/>
    <n v="267487351"/>
    <n v="63521.09973877939"/>
    <n v="4211"/>
    <n v="4.432631578947368"/>
    <n v="4380"/>
    <n v="580"/>
    <n v="0"/>
    <n v="0"/>
    <n v="0"/>
    <n v="3800"/>
    <n v="0"/>
    <n v="0"/>
    <n v="4"/>
  </r>
  <r>
    <s v="PAP/KHI"/>
    <s v="KHI"/>
    <x v="0"/>
    <x v="0"/>
    <x v="85"/>
    <x v="4"/>
    <s v="Karachi - Jinnah Intl"/>
    <n v="13488"/>
    <n v="31.75"/>
    <n v="262809847"/>
    <n v="51470.788679984333"/>
    <n v="5106"/>
    <n v="5.3747368421052633"/>
    <n v="5327"/>
    <n v="577"/>
    <n v="0"/>
    <n v="0"/>
    <n v="0"/>
    <n v="4750"/>
    <n v="0"/>
    <n v="0"/>
    <n v="0"/>
  </r>
  <r>
    <s v="PAP/GHA"/>
    <s v="GHA"/>
    <x v="0"/>
    <x v="4"/>
    <x v="61"/>
    <x v="5"/>
    <s v="Ghardaia - Noumerat"/>
    <n v="7642"/>
    <n v="19"/>
    <n v="173447564"/>
    <n v="74091.227680478434"/>
    <n v="2341"/>
    <n v="2.4642105263157896"/>
    <n v="2474"/>
    <n v="574"/>
    <n v="0"/>
    <n v="0"/>
    <n v="0"/>
    <n v="1900"/>
    <n v="0"/>
    <n v="0"/>
    <n v="0"/>
  </r>
  <r>
    <s v="PAP/DTW"/>
    <s v="DTW"/>
    <x v="0"/>
    <x v="3"/>
    <x v="9"/>
    <x v="3"/>
    <s v="Detroit - Metropolitan Wayne Co."/>
    <n v="2828"/>
    <n v="8.25"/>
    <n v="180518109"/>
    <n v="56271.230985037408"/>
    <n v="3208"/>
    <n v="3.3768421052631581"/>
    <n v="3423"/>
    <n v="573"/>
    <n v="0"/>
    <n v="0"/>
    <n v="0"/>
    <n v="2850"/>
    <n v="0"/>
    <n v="0"/>
    <n v="3"/>
  </r>
  <r>
    <s v="PAP/AMM"/>
    <s v="AMM"/>
    <x v="0"/>
    <x v="0"/>
    <x v="86"/>
    <x v="4"/>
    <s v="Amman - Metropolitan Area"/>
    <n v="10555"/>
    <n v="25.25"/>
    <n v="230110566"/>
    <n v="55142.718907260962"/>
    <n v="4173"/>
    <n v="4.392631578947368"/>
    <n v="4368"/>
    <n v="568"/>
    <n v="0"/>
    <n v="0"/>
    <n v="0"/>
    <n v="3800"/>
    <n v="0"/>
    <n v="0"/>
    <n v="0"/>
  </r>
  <r>
    <s v="PAP/JAU"/>
    <s v="JAU"/>
    <x v="0"/>
    <x v="4"/>
    <x v="0"/>
    <x v="0"/>
    <s v="Jauja - Francisco Carle"/>
    <n v="3395"/>
    <n v="9.5"/>
    <n v="125499370"/>
    <n v="52576.191872643489"/>
    <n v="2387"/>
    <n v="2.5126315789473685"/>
    <n v="2467"/>
    <n v="567"/>
    <n v="0"/>
    <n v="0"/>
    <n v="0"/>
    <n v="1900"/>
    <n v="0"/>
    <n v="0"/>
    <n v="0"/>
  </r>
  <r>
    <s v="PAP/TNR"/>
    <s v="TNR"/>
    <x v="0"/>
    <x v="1"/>
    <x v="87"/>
    <x v="5"/>
    <s v="Antananarivo - Ivato Intl"/>
    <n v="13708"/>
    <n v="32.25"/>
    <n v="246363701"/>
    <n v="59465.049722423362"/>
    <n v="4143"/>
    <n v="4.3610526315789473"/>
    <n v="4365"/>
    <n v="565"/>
    <n v="0"/>
    <n v="0"/>
    <n v="0"/>
    <n v="3800"/>
    <n v="0"/>
    <n v="0"/>
    <n v="4"/>
  </r>
  <r>
    <s v="PAP/HGH"/>
    <s v="HGH"/>
    <x v="0"/>
    <x v="2"/>
    <x v="12"/>
    <x v="4"/>
    <s v="Hangzhou - Xiaoshan Intl"/>
    <n v="14423"/>
    <n v="33.75"/>
    <n v="283229013"/>
    <n v="85723.066888619855"/>
    <n v="3304"/>
    <n v="3.4778947368421052"/>
    <n v="3414"/>
    <n v="564"/>
    <n v="0"/>
    <n v="0"/>
    <n v="0"/>
    <n v="2850"/>
    <n v="0"/>
    <n v="0"/>
    <n v="3"/>
  </r>
  <r>
    <s v="PAP/EDL"/>
    <s v="EDL"/>
    <x v="0"/>
    <x v="4"/>
    <x v="63"/>
    <x v="5"/>
    <s v="Eldoret - International"/>
    <n v="11840"/>
    <n v="28"/>
    <n v="213191938"/>
    <n v="64760.613001215068"/>
    <n v="3292"/>
    <n v="3.465263157894737"/>
    <n v="3413"/>
    <n v="563"/>
    <n v="0"/>
    <n v="0"/>
    <n v="0"/>
    <n v="2850"/>
    <n v="0"/>
    <n v="0"/>
    <n v="3"/>
  </r>
  <r>
    <s v="PAP/IKA"/>
    <s v="IKA"/>
    <x v="0"/>
    <x v="0"/>
    <x v="66"/>
    <x v="4"/>
    <s v="Tehran - Imam Khomeini Intl"/>
    <n v="11562"/>
    <n v="27.5"/>
    <n v="239444720"/>
    <n v="58543.941320293401"/>
    <n v="4090"/>
    <n v="4.3052631578947365"/>
    <n v="4363"/>
    <n v="563"/>
    <n v="0"/>
    <n v="0"/>
    <n v="0"/>
    <n v="3800"/>
    <n v="0"/>
    <n v="0"/>
    <n v="0"/>
  </r>
  <r>
    <s v="PAP/HEL"/>
    <s v="HEL"/>
    <x v="0"/>
    <x v="2"/>
    <x v="88"/>
    <x v="2"/>
    <s v="Helsinki - Metropolitan Area"/>
    <n v="8612"/>
    <n v="21"/>
    <n v="224027339"/>
    <n v="69401.282218091699"/>
    <n v="3228"/>
    <n v="3.3978947368421051"/>
    <n v="3412"/>
    <n v="562"/>
    <n v="0"/>
    <n v="0"/>
    <n v="0"/>
    <n v="2850"/>
    <n v="0"/>
    <n v="0"/>
    <n v="3"/>
  </r>
  <r>
    <s v="PAP/VHC"/>
    <s v="VHC"/>
    <x v="0"/>
    <x v="4"/>
    <x v="65"/>
    <x v="5"/>
    <s v="Saurimo"/>
    <n v="10636"/>
    <n v="25.5"/>
    <n v="201160107"/>
    <n v="61762.390850475895"/>
    <n v="3257"/>
    <n v="3.4284210526315788"/>
    <n v="3409"/>
    <n v="559"/>
    <n v="0"/>
    <n v="0"/>
    <n v="0"/>
    <n v="2850"/>
    <n v="0"/>
    <n v="0"/>
    <n v="3"/>
  </r>
  <r>
    <s v="PAP/ODS"/>
    <s v="ODS"/>
    <x v="0"/>
    <x v="0"/>
    <x v="89"/>
    <x v="2"/>
    <s v="Odesa - International"/>
    <n v="9473"/>
    <n v="23"/>
    <n v="211195405"/>
    <n v="65588.635093167701"/>
    <n v="3220"/>
    <n v="3.3894736842105262"/>
    <n v="3402"/>
    <n v="552"/>
    <n v="0"/>
    <n v="0"/>
    <n v="0"/>
    <n v="2850"/>
    <n v="0"/>
    <n v="0"/>
    <n v="3"/>
  </r>
  <r>
    <s v="PAP/DNK"/>
    <s v="DNK"/>
    <x v="0"/>
    <x v="0"/>
    <x v="89"/>
    <x v="2"/>
    <s v="Dnipropetrovsk - International"/>
    <n v="9692"/>
    <n v="23.5"/>
    <n v="213372883"/>
    <n v="66264.870496894408"/>
    <n v="3220"/>
    <n v="3.3894736842105262"/>
    <n v="3402"/>
    <n v="552"/>
    <n v="0"/>
    <n v="0"/>
    <n v="0"/>
    <n v="2850"/>
    <n v="0"/>
    <n v="0"/>
    <n v="3"/>
  </r>
  <r>
    <s v="PAP/LYS"/>
    <s v="LYS"/>
    <x v="0"/>
    <x v="2"/>
    <x v="81"/>
    <x v="2"/>
    <s v="Lyon - Metropolitan Area"/>
    <n v="7575"/>
    <n v="18.75"/>
    <n v="209532986"/>
    <n v="89200.93060876969"/>
    <n v="2349"/>
    <n v="2.4726315789473685"/>
    <n v="2451"/>
    <n v="551"/>
    <n v="0"/>
    <n v="0"/>
    <n v="0"/>
    <n v="1900"/>
    <n v="0"/>
    <n v="0"/>
    <n v="0"/>
  </r>
  <r>
    <s v="PAP/MZI"/>
    <s v="MZI"/>
    <x v="0"/>
    <x v="4"/>
    <x v="90"/>
    <x v="5"/>
    <s v="Mopti - Ambodedjo"/>
    <n v="7245"/>
    <n v="18"/>
    <n v="166681164"/>
    <n v="51941.777500779062"/>
    <n v="3209"/>
    <n v="3.3778947368421051"/>
    <n v="3401"/>
    <n v="551"/>
    <n v="0"/>
    <n v="0"/>
    <n v="0"/>
    <n v="2850"/>
    <n v="0"/>
    <n v="0"/>
    <n v="1"/>
  </r>
  <r>
    <s v="PAP/SYR"/>
    <s v="SYR"/>
    <x v="0"/>
    <x v="5"/>
    <x v="9"/>
    <x v="3"/>
    <s v="Syracuse - Hancock Intl"/>
    <n v="2751"/>
    <n v="8.25"/>
    <m/>
    <n v="0"/>
    <m/>
    <n v="0"/>
    <n v="2447"/>
    <n v="547"/>
    <n v="0"/>
    <n v="0"/>
    <n v="0"/>
    <n v="1900"/>
    <n v="0"/>
    <n v="0"/>
    <n v="0"/>
  </r>
  <r>
    <s v="PAP/TIP"/>
    <s v="TIP"/>
    <x v="0"/>
    <x v="0"/>
    <x v="91"/>
    <x v="5"/>
    <s v="Tripoli - International"/>
    <n v="8496"/>
    <n v="20.75"/>
    <n v="205505882"/>
    <n v="63742.519230769234"/>
    <n v="3224"/>
    <n v="3.3936842105263159"/>
    <n v="3396"/>
    <n v="546"/>
    <n v="0"/>
    <n v="0"/>
    <n v="0"/>
    <n v="2850"/>
    <n v="0"/>
    <n v="0"/>
    <n v="3"/>
  </r>
  <r>
    <s v="PAP/ISB"/>
    <s v="ISB"/>
    <x v="0"/>
    <x v="0"/>
    <x v="85"/>
    <x v="4"/>
    <s v="Islamabad - International"/>
    <n v="13152"/>
    <n v="31"/>
    <n v="257913143"/>
    <n v="51634.262862862866"/>
    <n v="4995"/>
    <n v="5.257894736842105"/>
    <n v="5295"/>
    <n v="545"/>
    <n v="0"/>
    <n v="0"/>
    <n v="0"/>
    <n v="4750"/>
    <n v="0"/>
    <n v="0"/>
    <n v="0"/>
  </r>
  <r>
    <s v="PAP/ATH"/>
    <s v="ATH"/>
    <x v="0"/>
    <x v="2"/>
    <x v="47"/>
    <x v="2"/>
    <s v="Athens - Eleftherios Venizelos"/>
    <n v="9277"/>
    <n v="22.5"/>
    <n v="234307783"/>
    <n v="71544.361221374042"/>
    <n v="3275"/>
    <n v="3.4473684210526314"/>
    <n v="3395"/>
    <n v="545"/>
    <n v="0"/>
    <n v="0"/>
    <n v="0"/>
    <n v="2850"/>
    <n v="0"/>
    <n v="0"/>
    <n v="3"/>
  </r>
  <r>
    <s v="PAP/LIR"/>
    <s v="LIR"/>
    <x v="0"/>
    <x v="1"/>
    <x v="10"/>
    <x v="1"/>
    <s v="Liberia - D. Oduber Quiros Intl"/>
    <n v="1679"/>
    <n v="5.75"/>
    <n v="121819980"/>
    <n v="52531.25485122898"/>
    <n v="2319"/>
    <n v="2.4410526315789474"/>
    <n v="2443"/>
    <n v="543"/>
    <n v="0"/>
    <n v="0"/>
    <n v="0"/>
    <n v="1900"/>
    <n v="0"/>
    <n v="0"/>
    <n v="1"/>
  </r>
  <r>
    <s v="PAP/LCA"/>
    <s v="LCA"/>
    <x v="0"/>
    <x v="0"/>
    <x v="92"/>
    <x v="2"/>
    <s v="Larnaca"/>
    <n v="10208"/>
    <n v="24.5"/>
    <n v="228442422"/>
    <n v="71679.454659554438"/>
    <n v="3187"/>
    <n v="3.3547368421052632"/>
    <n v="3389"/>
    <n v="539"/>
    <n v="0"/>
    <n v="0"/>
    <n v="0"/>
    <n v="2850"/>
    <n v="0"/>
    <n v="0"/>
    <n v="3"/>
  </r>
  <r>
    <s v="PAP/TSA"/>
    <s v="TSA"/>
    <x v="0"/>
    <x v="0"/>
    <x v="93"/>
    <x v="4"/>
    <s v="Taipei - Songshan"/>
    <n v="14939"/>
    <n v="35"/>
    <n v="271777259"/>
    <n v="118164.02565217391"/>
    <n v="2300"/>
    <n v="2.4210526315789473"/>
    <n v="2438"/>
    <n v="538"/>
    <n v="0"/>
    <n v="0"/>
    <n v="0"/>
    <n v="1900"/>
    <n v="0"/>
    <n v="2"/>
    <n v="0"/>
  </r>
  <r>
    <s v="PAP/RGL"/>
    <s v="RGL"/>
    <x v="0"/>
    <x v="1"/>
    <x v="30"/>
    <x v="0"/>
    <s v="Rio Gallegos - Piloto N. Fernandez"/>
    <n v="7812"/>
    <n v="19.25"/>
    <n v="179071631"/>
    <n v="77891.09656372336"/>
    <n v="2299"/>
    <n v="2.42"/>
    <n v="2437"/>
    <n v="537"/>
    <n v="0"/>
    <n v="0"/>
    <n v="0"/>
    <n v="1900"/>
    <n v="0"/>
    <n v="2"/>
    <n v="0"/>
  </r>
  <r>
    <s v="PAP/SJD"/>
    <s v="SJD"/>
    <x v="0"/>
    <x v="0"/>
    <x v="15"/>
    <x v="1"/>
    <s v="San Jose del Cabo - Los Cabos Intl"/>
    <n v="3912"/>
    <n v="10.75"/>
    <n v="158146597"/>
    <n v="49825.644927536232"/>
    <n v="3174"/>
    <n v="3.3410526315789473"/>
    <n v="3386"/>
    <n v="536"/>
    <n v="0"/>
    <n v="0"/>
    <n v="0"/>
    <n v="2850"/>
    <n v="0"/>
    <n v="0"/>
    <n v="3"/>
  </r>
  <r>
    <s v="PAP/SRZ"/>
    <s v="SRZ"/>
    <x v="0"/>
    <x v="1"/>
    <x v="49"/>
    <x v="0"/>
    <s v="Santa Cruz - Metropolitan Area"/>
    <n v="4168"/>
    <n v="11.25"/>
    <n v="148138358"/>
    <n v="46731.343217665613"/>
    <n v="3170"/>
    <n v="3.3368421052631581"/>
    <n v="3382"/>
    <n v="532"/>
    <n v="0"/>
    <n v="0"/>
    <n v="0"/>
    <n v="2850"/>
    <n v="0"/>
    <n v="0"/>
    <n v="0"/>
  </r>
  <r>
    <s v="PAP/TAS"/>
    <s v="TAS"/>
    <x v="0"/>
    <x v="0"/>
    <x v="83"/>
    <x v="4"/>
    <s v="Tashkent - International"/>
    <n v="12276"/>
    <n v="29"/>
    <n v="240592811"/>
    <n v="58325.529939393942"/>
    <n v="4125"/>
    <n v="4.3421052631578947"/>
    <n v="4332"/>
    <n v="532"/>
    <n v="0"/>
    <n v="0"/>
    <n v="0"/>
    <n v="3800"/>
    <n v="0"/>
    <n v="0"/>
    <n v="0"/>
  </r>
  <r>
    <s v="PAP/CBT"/>
    <s v="CBT"/>
    <x v="0"/>
    <x v="1"/>
    <x v="65"/>
    <x v="5"/>
    <s v="Catumbela"/>
    <n v="10015"/>
    <n v="24"/>
    <n v="198739736"/>
    <n v="62693.923028391167"/>
    <n v="3170"/>
    <n v="3.3368421052631581"/>
    <n v="3381"/>
    <n v="531"/>
    <n v="0"/>
    <n v="0"/>
    <n v="0"/>
    <n v="2850"/>
    <n v="0"/>
    <n v="0"/>
    <n v="3"/>
  </r>
  <r>
    <s v="PAP/CJC"/>
    <s v="CJC"/>
    <x v="0"/>
    <x v="1"/>
    <x v="51"/>
    <x v="0"/>
    <s v="Calama - El Loa"/>
    <n v="4583"/>
    <n v="12.25"/>
    <n v="149211114"/>
    <n v="65015.735947712419"/>
    <n v="2295"/>
    <n v="2.4157894736842107"/>
    <n v="2425"/>
    <n v="525"/>
    <n v="0"/>
    <n v="0"/>
    <n v="0"/>
    <n v="1900"/>
    <n v="0"/>
    <n v="1"/>
    <n v="0"/>
  </r>
  <r>
    <s v="PAP/LOS"/>
    <s v="LOS"/>
    <x v="0"/>
    <x v="2"/>
    <x v="75"/>
    <x v="5"/>
    <s v="Lagos - Murtala Muhammed Intl"/>
    <n v="8265"/>
    <n v="20.25"/>
    <n v="212673859"/>
    <n v="43042.675369358432"/>
    <n v="4941"/>
    <n v="5.2010526315789471"/>
    <n v="5271"/>
    <n v="521"/>
    <n v="0"/>
    <n v="0"/>
    <n v="0"/>
    <n v="4750"/>
    <n v="0"/>
    <n v="0"/>
    <n v="5"/>
  </r>
  <r>
    <s v="PAP/EYP"/>
    <s v="EYP"/>
    <x v="1"/>
    <x v="1"/>
    <x v="8"/>
    <x v="0"/>
    <s v="Yopal - El Alcaravan"/>
    <n v="1474"/>
    <n v="5.25"/>
    <n v="114528220"/>
    <n v="50187.651183172653"/>
    <n v="2282"/>
    <n v="2.4021052631578947"/>
    <n v="2420"/>
    <n v="520"/>
    <n v="0"/>
    <n v="0"/>
    <n v="0"/>
    <n v="1900"/>
    <n v="0"/>
    <n v="0"/>
    <n v="0"/>
  </r>
  <r>
    <s v="PAP/PUQ"/>
    <s v="PUQ"/>
    <x v="0"/>
    <x v="1"/>
    <x v="51"/>
    <x v="0"/>
    <s v="Punta Arenas - C.Ibanez del Campo"/>
    <n v="7963"/>
    <n v="19.5"/>
    <n v="183233859"/>
    <n v="79563.117238384715"/>
    <n v="2303"/>
    <n v="2.4242105263157896"/>
    <n v="2418"/>
    <n v="518"/>
    <n v="0"/>
    <n v="0"/>
    <n v="0"/>
    <n v="1900"/>
    <n v="0"/>
    <n v="2"/>
    <n v="0"/>
  </r>
  <r>
    <s v="PAP/LUX"/>
    <s v="LUX"/>
    <x v="0"/>
    <x v="0"/>
    <x v="94"/>
    <x v="2"/>
    <s v="Luxembourg"/>
    <n v="7628"/>
    <n v="18.75"/>
    <n v="192500701"/>
    <n v="84467.179025888545"/>
    <n v="2279"/>
    <n v="2.3989473684210525"/>
    <n v="2416"/>
    <n v="516"/>
    <n v="0"/>
    <n v="0"/>
    <n v="0"/>
    <n v="1900"/>
    <n v="0"/>
    <n v="0"/>
    <n v="0"/>
  </r>
  <r>
    <s v="PAP/AGT"/>
    <s v="AGT"/>
    <x v="0"/>
    <x v="4"/>
    <x v="95"/>
    <x v="0"/>
    <s v="Ciudad del Este - Guarani Intl"/>
    <n v="5249"/>
    <n v="13.75"/>
    <n v="148522535"/>
    <n v="64857.002183406112"/>
    <n v="2290"/>
    <n v="2.4105263157894736"/>
    <n v="2413"/>
    <n v="513"/>
    <n v="0"/>
    <n v="0"/>
    <n v="0"/>
    <n v="1900"/>
    <n v="0"/>
    <n v="1"/>
    <n v="0"/>
  </r>
  <r>
    <s v="PAP/MRS"/>
    <s v="MRS"/>
    <x v="0"/>
    <x v="2"/>
    <x v="81"/>
    <x v="2"/>
    <s v="Marseille - Provence"/>
    <n v="7609"/>
    <n v="18.75"/>
    <n v="207955965"/>
    <n v="89946.351643598609"/>
    <n v="2312"/>
    <n v="2.4336842105263159"/>
    <n v="2412"/>
    <n v="512"/>
    <n v="0"/>
    <n v="0"/>
    <n v="0"/>
    <n v="1900"/>
    <n v="0"/>
    <n v="0"/>
    <n v="0"/>
  </r>
  <r>
    <s v="PAP/CMN"/>
    <s v="CMN"/>
    <x v="0"/>
    <x v="0"/>
    <x v="31"/>
    <x v="5"/>
    <s v="Casablanca - Mohammed V"/>
    <n v="6573"/>
    <n v="16.5"/>
    <n v="194052245"/>
    <n v="46838.581945450154"/>
    <n v="4143"/>
    <n v="4.3610526315789473"/>
    <n v="4308"/>
    <n v="508"/>
    <n v="0"/>
    <n v="0"/>
    <n v="0"/>
    <n v="3800"/>
    <n v="0"/>
    <n v="0"/>
    <n v="4"/>
  </r>
  <r>
    <s v="PAP/BQN"/>
    <s v="BQN"/>
    <x v="0"/>
    <x v="1"/>
    <x v="38"/>
    <x v="1"/>
    <s v="Aguadilla - Rafael Hernandez"/>
    <n v="544"/>
    <n v="3.25"/>
    <n v="111962494"/>
    <n v="79406.02411347517"/>
    <n v="1410"/>
    <n v="1.4842105263157894"/>
    <n v="1457"/>
    <n v="507"/>
    <n v="0"/>
    <n v="0"/>
    <n v="0"/>
    <n v="950"/>
    <n v="0"/>
    <n v="0"/>
    <n v="0"/>
  </r>
  <r>
    <s v="PAP/CBB"/>
    <s v="CBB"/>
    <x v="0"/>
    <x v="1"/>
    <x v="49"/>
    <x v="0"/>
    <s v="Cochabamba - Jorge Wilstermann Intl"/>
    <n v="4059"/>
    <n v="11"/>
    <n v="148669442"/>
    <n v="45786.708346165695"/>
    <n v="3247"/>
    <n v="3.4178947368421051"/>
    <n v="3356"/>
    <n v="506"/>
    <n v="0"/>
    <n v="0"/>
    <n v="0"/>
    <n v="2850"/>
    <n v="0"/>
    <n v="1"/>
    <n v="0"/>
  </r>
  <r>
    <s v="PAP/ANF"/>
    <s v="ANF"/>
    <x v="0"/>
    <x v="1"/>
    <x v="51"/>
    <x v="0"/>
    <s v="Antofagasta - Cerro Moreno"/>
    <n v="4678"/>
    <n v="12.5"/>
    <n v="150734642"/>
    <n v="65196.644463667821"/>
    <n v="2312"/>
    <n v="2.4336842105263159"/>
    <n v="2405"/>
    <n v="505"/>
    <n v="0"/>
    <n v="0"/>
    <n v="0"/>
    <n v="1900"/>
    <n v="0"/>
    <n v="1"/>
    <n v="0"/>
  </r>
  <r>
    <s v="PAP/YOL"/>
    <s v="YOL"/>
    <x v="0"/>
    <x v="4"/>
    <x v="75"/>
    <x v="5"/>
    <s v="Yola"/>
    <n v="9132"/>
    <n v="22.25"/>
    <n v="187874695"/>
    <n v="59397.627252608283"/>
    <n v="3163"/>
    <n v="3.3294736842105261"/>
    <n v="3353"/>
    <n v="503"/>
    <n v="0"/>
    <n v="0"/>
    <n v="0"/>
    <n v="2850"/>
    <n v="0"/>
    <n v="0"/>
    <n v="3"/>
  </r>
  <r>
    <s v="PAP/PHC"/>
    <s v="PHC"/>
    <x v="0"/>
    <x v="1"/>
    <x v="75"/>
    <x v="5"/>
    <s v="Port Harcourt - International"/>
    <n v="8700"/>
    <n v="21.25"/>
    <n v="200291818"/>
    <n v="49430.359822309969"/>
    <n v="4052"/>
    <n v="4.2652631578947364"/>
    <n v="4296"/>
    <n v="496"/>
    <n v="0"/>
    <n v="0"/>
    <n v="0"/>
    <n v="3800"/>
    <n v="0"/>
    <n v="0"/>
    <n v="4"/>
  </r>
  <r>
    <s v="PAP/AZD"/>
    <s v="AZD"/>
    <x v="0"/>
    <x v="1"/>
    <x v="66"/>
    <x v="4"/>
    <s v="Yazd - Shahid Sadooghi"/>
    <n v="12025"/>
    <n v="28.5"/>
    <n v="224026962"/>
    <n v="70626.406683480454"/>
    <n v="3172"/>
    <n v="3.3389473684210524"/>
    <n v="3341"/>
    <n v="491"/>
    <n v="0"/>
    <n v="0"/>
    <n v="0"/>
    <n v="2850"/>
    <n v="0"/>
    <n v="0"/>
    <n v="0"/>
  </r>
  <r>
    <s v="PAP/TLS"/>
    <s v="TLS"/>
    <x v="0"/>
    <x v="2"/>
    <x v="81"/>
    <x v="2"/>
    <s v="Toulouse - Blagnac"/>
    <n v="7298"/>
    <n v="18.25"/>
    <n v="204291305"/>
    <n v="88938.313016978675"/>
    <n v="2297"/>
    <n v="2.4178947368421051"/>
    <n v="2389"/>
    <n v="489"/>
    <n v="0"/>
    <n v="0"/>
    <n v="0"/>
    <n v="1900"/>
    <n v="0"/>
    <n v="0"/>
    <n v="2"/>
  </r>
  <r>
    <s v="PAP/KAN"/>
    <s v="KAN"/>
    <x v="0"/>
    <x v="2"/>
    <x v="75"/>
    <x v="5"/>
    <s v="Kano - Mallam Aminu Kano Intl"/>
    <n v="8633"/>
    <n v="21"/>
    <n v="216286825"/>
    <n v="43650.216952573159"/>
    <n v="4955"/>
    <n v="5.2157894736842101"/>
    <n v="5236"/>
    <n v="486"/>
    <n v="0"/>
    <n v="0"/>
    <n v="0"/>
    <n v="4750"/>
    <n v="0"/>
    <n v="0"/>
    <n v="5"/>
  </r>
  <r>
    <s v="PAP/MXP"/>
    <s v="MXP"/>
    <x v="0"/>
    <x v="2"/>
    <x v="96"/>
    <x v="2"/>
    <s v="Milan - Malpensa"/>
    <n v="7858"/>
    <n v="19.5"/>
    <n v="222310703"/>
    <n v="70642.104544010173"/>
    <n v="3147"/>
    <n v="3.3126315789473684"/>
    <n v="3336"/>
    <n v="486"/>
    <n v="0"/>
    <n v="0"/>
    <n v="0"/>
    <n v="2850"/>
    <n v="0"/>
    <n v="0"/>
    <n v="1"/>
  </r>
  <r>
    <s v="PAP/MAO"/>
    <s v="MAO"/>
    <x v="0"/>
    <x v="1"/>
    <x v="1"/>
    <x v="0"/>
    <s v="Manaus - Eduardo Gomes Intl"/>
    <n v="2753"/>
    <n v="8.25"/>
    <n v="135830568"/>
    <n v="43437.981451870801"/>
    <n v="3127"/>
    <n v="3.2915789473684209"/>
    <n v="3336"/>
    <n v="486"/>
    <n v="0"/>
    <n v="0"/>
    <n v="0"/>
    <n v="2850"/>
    <n v="0"/>
    <n v="0"/>
    <n v="0"/>
  </r>
  <r>
    <s v="PAP/SOF"/>
    <s v="SOF"/>
    <x v="0"/>
    <x v="0"/>
    <x v="97"/>
    <x v="2"/>
    <s v="Sofia"/>
    <n v="9071"/>
    <n v="22"/>
    <n v="211318238"/>
    <n v="65525.035038759692"/>
    <n v="3225"/>
    <n v="3.3947368421052633"/>
    <n v="3333"/>
    <n v="483"/>
    <n v="0"/>
    <n v="0"/>
    <n v="0"/>
    <n v="2850"/>
    <n v="0"/>
    <n v="0"/>
    <n v="3"/>
  </r>
  <r>
    <s v="PAP/BKO"/>
    <s v="BKO"/>
    <x v="0"/>
    <x v="1"/>
    <x v="90"/>
    <x v="5"/>
    <s v="Bamako - Senou Intl"/>
    <n v="6894"/>
    <n v="17.25"/>
    <n v="180364078"/>
    <n v="43534.655563601256"/>
    <n v="4143"/>
    <n v="4.3610526315789473"/>
    <n v="4281"/>
    <n v="481"/>
    <n v="0"/>
    <n v="0"/>
    <n v="0"/>
    <n v="3800"/>
    <n v="0"/>
    <n v="0"/>
    <n v="4"/>
  </r>
  <r>
    <s v="PAP/WUH"/>
    <s v="WUH"/>
    <x v="0"/>
    <x v="2"/>
    <x v="12"/>
    <x v="4"/>
    <s v="Wuhan - Tianhe Intl"/>
    <n v="14486"/>
    <n v="34"/>
    <n v="279960917"/>
    <n v="88065.717835797419"/>
    <n v="3179"/>
    <n v="3.3463157894736844"/>
    <n v="3328"/>
    <n v="478"/>
    <n v="0"/>
    <n v="0"/>
    <n v="0"/>
    <n v="2850"/>
    <n v="0"/>
    <n v="0"/>
    <n v="3"/>
  </r>
  <r>
    <s v="PAP/HRB"/>
    <s v="HRB"/>
    <x v="0"/>
    <x v="2"/>
    <x v="12"/>
    <x v="4"/>
    <s v="Harbin - Taiping Intl"/>
    <n v="12638"/>
    <n v="29.75"/>
    <n v="254709033"/>
    <n v="63534.306061361938"/>
    <n v="4009"/>
    <n v="4.22"/>
    <n v="4276"/>
    <n v="476"/>
    <n v="0"/>
    <n v="0"/>
    <n v="0"/>
    <n v="3800"/>
    <n v="0"/>
    <n v="0"/>
    <n v="4"/>
  </r>
  <r>
    <s v="PAP/HLA"/>
    <s v="HLA"/>
    <x v="0"/>
    <x v="1"/>
    <x v="29"/>
    <x v="5"/>
    <s v="Johannesburg - Lanseria International"/>
    <n v="11889"/>
    <n v="28.25"/>
    <n v="219045977"/>
    <n v="69582.584815756039"/>
    <n v="3148"/>
    <n v="3.3136842105263158"/>
    <n v="3326"/>
    <n v="476"/>
    <n v="0"/>
    <n v="0"/>
    <n v="0"/>
    <n v="2850"/>
    <n v="0"/>
    <n v="0"/>
    <n v="3"/>
  </r>
  <r>
    <s v="PAP/EIN"/>
    <s v="EIN"/>
    <x v="0"/>
    <x v="0"/>
    <x v="28"/>
    <x v="2"/>
    <s v="Eindhoven - Airport"/>
    <n v="7559"/>
    <n v="18.75"/>
    <n v="191744567"/>
    <n v="84024.788343558277"/>
    <n v="2282"/>
    <n v="2.4021052631578947"/>
    <n v="2373"/>
    <n v="473"/>
    <n v="0"/>
    <n v="0"/>
    <n v="0"/>
    <n v="1900"/>
    <n v="0"/>
    <n v="0"/>
    <n v="0"/>
  </r>
  <r>
    <s v="PAP/CAI"/>
    <s v="CAI"/>
    <x v="0"/>
    <x v="2"/>
    <x v="14"/>
    <x v="5"/>
    <s v="Cairo - Metropolitan Area"/>
    <n v="10228"/>
    <n v="24.5"/>
    <n v="241097254"/>
    <n v="48008.214655515731"/>
    <n v="5022"/>
    <n v="5.2863157894736839"/>
    <n v="5223"/>
    <n v="473"/>
    <n v="0"/>
    <n v="0"/>
    <n v="0"/>
    <n v="4750"/>
    <n v="0"/>
    <n v="0"/>
    <n v="5"/>
  </r>
  <r>
    <s v="PAP/ALA"/>
    <s v="ALA"/>
    <x v="0"/>
    <x v="0"/>
    <x v="36"/>
    <x v="2"/>
    <s v="Almaty - International"/>
    <n v="12454"/>
    <n v="29.5"/>
    <n v="248323564"/>
    <n v="60640.674969474967"/>
    <n v="4095"/>
    <n v="4.310526315789474"/>
    <n v="4272"/>
    <n v="472"/>
    <n v="0"/>
    <n v="0"/>
    <n v="0"/>
    <n v="3800"/>
    <n v="0"/>
    <n v="0"/>
    <n v="4"/>
  </r>
  <r>
    <s v="PAP/MQP"/>
    <s v="MQP"/>
    <x v="0"/>
    <x v="1"/>
    <x v="29"/>
    <x v="5"/>
    <s v="Nelspruit - Kruger Mpumalanga Intl"/>
    <n v="12187"/>
    <n v="29"/>
    <n v="223311475"/>
    <n v="69480.857187305533"/>
    <n v="3214"/>
    <n v="3.3831578947368421"/>
    <n v="3321"/>
    <n v="471"/>
    <n v="0"/>
    <n v="0"/>
    <n v="0"/>
    <n v="2850"/>
    <n v="0"/>
    <n v="0"/>
    <n v="3"/>
  </r>
  <r>
    <s v="PAP/GAU"/>
    <s v="GAU"/>
    <x v="0"/>
    <x v="0"/>
    <x v="42"/>
    <x v="4"/>
    <s v="Guwahati - Gopinath Bordoloi Intl"/>
    <n v="14753"/>
    <n v="34.5"/>
    <n v="264644969"/>
    <n v="84201.390073178496"/>
    <n v="3143"/>
    <n v="3.3084210526315792"/>
    <n v="3321"/>
    <n v="471"/>
    <n v="0"/>
    <n v="0"/>
    <n v="0"/>
    <n v="2850"/>
    <n v="0"/>
    <n v="0"/>
    <n v="0"/>
  </r>
  <r>
    <s v="PAP/BJM"/>
    <s v="BJM"/>
    <x v="0"/>
    <x v="1"/>
    <x v="98"/>
    <x v="5"/>
    <s v="Bujumbura - International"/>
    <n v="11351"/>
    <n v="27"/>
    <n v="214752758"/>
    <n v="53038.468263768831"/>
    <n v="4049"/>
    <n v="4.2621052631578946"/>
    <n v="4265"/>
    <n v="465"/>
    <n v="0"/>
    <n v="0"/>
    <n v="0"/>
    <n v="3800"/>
    <n v="0"/>
    <n v="0"/>
    <n v="4"/>
  </r>
  <r>
    <s v="PAP/TNG"/>
    <s v="TNG"/>
    <x v="0"/>
    <x v="1"/>
    <x v="31"/>
    <x v="5"/>
    <s v="Tangier - Boukhalef Airport"/>
    <n v="6714"/>
    <n v="16.75"/>
    <n v="173480221"/>
    <n v="55478.164694595456"/>
    <n v="3127"/>
    <n v="3.2915789473684209"/>
    <n v="3315"/>
    <n v="465"/>
    <n v="0"/>
    <n v="0"/>
    <n v="0"/>
    <n v="2850"/>
    <n v="0"/>
    <n v="0"/>
    <n v="3"/>
  </r>
  <r>
    <s v="PAP/MLA"/>
    <s v="MLA"/>
    <x v="0"/>
    <x v="0"/>
    <x v="99"/>
    <x v="2"/>
    <s v="Malta - Luqa International"/>
    <n v="8531"/>
    <n v="20.75"/>
    <n v="206184430"/>
    <n v="65310.240734874882"/>
    <n v="3157"/>
    <n v="3.3231578947368421"/>
    <n v="3315"/>
    <n v="465"/>
    <n v="0"/>
    <n v="0"/>
    <n v="0"/>
    <n v="2850"/>
    <n v="0"/>
    <n v="0"/>
    <n v="3"/>
  </r>
  <r>
    <s v="PAP/BBA"/>
    <s v="BBA"/>
    <x v="0"/>
    <x v="1"/>
    <x v="51"/>
    <x v="0"/>
    <s v="Balmaceda"/>
    <n v="7173"/>
    <n v="17.75"/>
    <n v="174184394"/>
    <n v="77312.203284509538"/>
    <n v="2253"/>
    <n v="2.371578947368421"/>
    <n v="2365"/>
    <n v="465"/>
    <n v="0"/>
    <n v="0"/>
    <n v="0"/>
    <n v="1900"/>
    <n v="0"/>
    <n v="2"/>
    <n v="0"/>
  </r>
  <r>
    <s v="PAP/PUJ"/>
    <s v="PUJ"/>
    <x v="0"/>
    <x v="0"/>
    <x v="4"/>
    <x v="1"/>
    <s v="Punta Cana - International"/>
    <n v="415"/>
    <n v="3"/>
    <n v="120399144"/>
    <n v="54331.743682310473"/>
    <n v="2216"/>
    <n v="2.3326315789473684"/>
    <n v="2364"/>
    <n v="464"/>
    <n v="0"/>
    <n v="0"/>
    <n v="0"/>
    <n v="1900"/>
    <n v="0"/>
    <n v="0"/>
    <n v="1"/>
  </r>
  <r>
    <s v="PAP/BOS"/>
    <s v="BOS"/>
    <x v="0"/>
    <x v="3"/>
    <x v="9"/>
    <x v="3"/>
    <s v="Boston - Metropolitan Area"/>
    <n v="2648"/>
    <n v="8"/>
    <n v="175248097"/>
    <n v="56061.451375559824"/>
    <n v="3126"/>
    <n v="3.2905263157894735"/>
    <n v="3314"/>
    <n v="464"/>
    <n v="0"/>
    <n v="0"/>
    <n v="0"/>
    <n v="2850"/>
    <n v="0"/>
    <n v="0"/>
    <n v="3"/>
  </r>
  <r>
    <s v="PAP/SHE"/>
    <s v="SHE"/>
    <x v="0"/>
    <x v="2"/>
    <x v="12"/>
    <x v="4"/>
    <s v="Shenyang - Taoxian Intl"/>
    <n v="13128"/>
    <n v="31"/>
    <n v="261195678"/>
    <n v="64018.548529411768"/>
    <n v="4080"/>
    <n v="4.2947368421052632"/>
    <n v="4257"/>
    <n v="457"/>
    <n v="0"/>
    <n v="0"/>
    <n v="0"/>
    <n v="3800"/>
    <n v="0"/>
    <n v="0"/>
    <n v="4"/>
  </r>
  <r>
    <s v="PAP/PTY"/>
    <s v="PTY"/>
    <x v="0"/>
    <x v="0"/>
    <x v="100"/>
    <x v="1"/>
    <s v="Panama City - Metropolitan Area"/>
    <n v="1305"/>
    <n v="5"/>
    <n v="137348391"/>
    <n v="44363.175387596901"/>
    <n v="3096"/>
    <n v="3.2589473684210528"/>
    <n v="3303"/>
    <n v="453"/>
    <n v="0"/>
    <n v="0"/>
    <n v="0"/>
    <n v="2850"/>
    <n v="0"/>
    <n v="0"/>
    <n v="3"/>
  </r>
  <r>
    <s v="PAP/SCQ"/>
    <s v="SCQ"/>
    <x v="0"/>
    <x v="0"/>
    <x v="37"/>
    <x v="2"/>
    <s v="Santiago de Compostela"/>
    <n v="6505"/>
    <n v="16.5"/>
    <n v="182152031"/>
    <n v="80956.458222222223"/>
    <n v="2250"/>
    <n v="2.3684210526315788"/>
    <n v="2348"/>
    <n v="448"/>
    <n v="0"/>
    <n v="0"/>
    <n v="0"/>
    <n v="1900"/>
    <n v="0"/>
    <n v="0"/>
    <n v="0"/>
  </r>
  <r>
    <s v="PAP/NKG"/>
    <s v="NKG"/>
    <x v="0"/>
    <x v="2"/>
    <x v="12"/>
    <x v="4"/>
    <s v="Nanjing - Lukou Intl"/>
    <n v="14272"/>
    <n v="33.5"/>
    <n v="277348968"/>
    <n v="87740.894653590629"/>
    <n v="3161"/>
    <n v="3.3273684210526318"/>
    <n v="3298"/>
    <n v="448"/>
    <n v="0"/>
    <n v="0"/>
    <n v="0"/>
    <n v="2850"/>
    <n v="0"/>
    <n v="0"/>
    <n v="3"/>
  </r>
  <r>
    <s v="PAP/RUN"/>
    <s v="RUN"/>
    <x v="0"/>
    <x v="0"/>
    <x v="101"/>
    <x v="5"/>
    <s v="St-Denis - Roland Garros"/>
    <n v="14574"/>
    <n v="34"/>
    <n v="262174155"/>
    <n v="119224.26330150069"/>
    <n v="2199"/>
    <n v="2.3147368421052632"/>
    <n v="2346"/>
    <n v="446"/>
    <n v="0"/>
    <n v="0"/>
    <n v="0"/>
    <n v="1900"/>
    <n v="0"/>
    <n v="0"/>
    <n v="0"/>
  </r>
  <r>
    <s v="PAP/ADB"/>
    <s v="ADB"/>
    <x v="0"/>
    <x v="0"/>
    <x v="24"/>
    <x v="4"/>
    <s v="Izmir - Adnan Menderes"/>
    <n v="9530"/>
    <n v="23"/>
    <n v="223302816"/>
    <n v="56106.235175879396"/>
    <n v="3980"/>
    <n v="4.189473684210526"/>
    <n v="4246"/>
    <n v="446"/>
    <n v="0"/>
    <n v="0"/>
    <n v="0"/>
    <n v="3800"/>
    <n v="0"/>
    <n v="0"/>
    <n v="0"/>
  </r>
  <r>
    <s v="PAP/PMI"/>
    <s v="PMI"/>
    <x v="0"/>
    <x v="3"/>
    <x v="37"/>
    <x v="2"/>
    <s v="Palma de Mallorca"/>
    <n v="7445"/>
    <n v="18.5"/>
    <n v="220686974"/>
    <n v="70642.437259923172"/>
    <n v="3124"/>
    <n v="3.2884210526315791"/>
    <n v="3290"/>
    <n v="440"/>
    <n v="0"/>
    <n v="0"/>
    <n v="0"/>
    <n v="2850"/>
    <n v="0"/>
    <n v="3"/>
    <n v="1"/>
  </r>
  <r>
    <s v="PAP/XMN"/>
    <s v="XMN"/>
    <x v="0"/>
    <x v="2"/>
    <x v="12"/>
    <x v="4"/>
    <s v="Xiamen - Gaoqi Intl"/>
    <n v="15093"/>
    <n v="35.25"/>
    <n v="286045124"/>
    <n v="89951.296855345907"/>
    <n v="3180"/>
    <n v="3.3473684210526318"/>
    <n v="3286"/>
    <n v="436"/>
    <n v="0"/>
    <n v="0"/>
    <n v="0"/>
    <n v="2850"/>
    <n v="0"/>
    <n v="0"/>
    <n v="1"/>
  </r>
  <r>
    <s v="PAP/PHX"/>
    <s v="PHX"/>
    <x v="0"/>
    <x v="3"/>
    <x v="9"/>
    <x v="3"/>
    <s v="Phoenix - Metropolitan Area"/>
    <n v="4267"/>
    <n v="11.5"/>
    <n v="198985291"/>
    <n v="63210.06702668361"/>
    <n v="3148"/>
    <n v="3.3136842105263158"/>
    <n v="3285"/>
    <n v="435"/>
    <n v="0"/>
    <n v="0"/>
    <n v="0"/>
    <n v="2850"/>
    <n v="0"/>
    <n v="0"/>
    <n v="3"/>
  </r>
  <r>
    <s v="PAP/SAW"/>
    <s v="SAW"/>
    <x v="0"/>
    <x v="2"/>
    <x v="24"/>
    <x v="4"/>
    <s v="Istanbul - Sabiha Gokcen"/>
    <n v="9598"/>
    <n v="23.25"/>
    <n v="224517683"/>
    <n v="56017.385978043909"/>
    <n v="4008"/>
    <n v="4.2189473684210528"/>
    <n v="4235"/>
    <n v="435"/>
    <n v="0"/>
    <n v="0"/>
    <n v="0"/>
    <n v="3800"/>
    <n v="0"/>
    <n v="0"/>
    <n v="4"/>
  </r>
  <r>
    <s v="PAP/DUS"/>
    <s v="DUS"/>
    <x v="0"/>
    <x v="2"/>
    <x v="58"/>
    <x v="2"/>
    <s v="Duesseldorf - International"/>
    <n v="7655"/>
    <n v="19"/>
    <n v="219267882"/>
    <n v="69213.346590909088"/>
    <n v="3168"/>
    <n v="3.3347368421052632"/>
    <n v="3284"/>
    <n v="434"/>
    <n v="0"/>
    <n v="0"/>
    <n v="0"/>
    <n v="2850"/>
    <n v="0"/>
    <n v="0"/>
    <n v="1"/>
  </r>
  <r>
    <s v="PAP/SJK"/>
    <s v="SJK"/>
    <x v="0"/>
    <x v="1"/>
    <x v="1"/>
    <x v="0"/>
    <s v="Sao Jose dos Campos - U.E. Stumpf Intl"/>
    <n v="5464"/>
    <n v="14"/>
    <n v="151774042"/>
    <n v="67726.0339134315"/>
    <n v="2241"/>
    <n v="2.3589473684210525"/>
    <n v="2331"/>
    <n v="431"/>
    <n v="0"/>
    <n v="0"/>
    <n v="0"/>
    <n v="1900"/>
    <n v="0"/>
    <n v="2"/>
    <n v="0"/>
  </r>
  <r>
    <s v="PAP/CJU"/>
    <s v="CJU"/>
    <x v="0"/>
    <x v="2"/>
    <x v="82"/>
    <x v="4"/>
    <s v="Jeju - International"/>
    <n v="13893"/>
    <n v="32.75"/>
    <n v="275756213"/>
    <n v="67686.846588119777"/>
    <n v="4074"/>
    <n v="4.2884210526315787"/>
    <n v="4223"/>
    <n v="423"/>
    <n v="0"/>
    <n v="0"/>
    <n v="0"/>
    <n v="3800"/>
    <n v="0"/>
    <n v="0"/>
    <n v="4"/>
  </r>
  <r>
    <s v="PAP/SKD"/>
    <s v="SKD"/>
    <x v="0"/>
    <x v="1"/>
    <x v="83"/>
    <x v="4"/>
    <s v="Samarkand - International"/>
    <n v="12283"/>
    <n v="29"/>
    <n v="222228774"/>
    <n v="72128.780915287251"/>
    <n v="3081"/>
    <n v="3.243157894736842"/>
    <n v="3266"/>
    <n v="416"/>
    <n v="0"/>
    <n v="0"/>
    <n v="0"/>
    <n v="2850"/>
    <n v="0"/>
    <n v="0"/>
    <n v="0"/>
  </r>
  <r>
    <s v="PAP/TXL"/>
    <s v="TXL"/>
    <x v="0"/>
    <x v="2"/>
    <x v="58"/>
    <x v="2"/>
    <s v="Berlin - Tegel"/>
    <n v="8086"/>
    <n v="20"/>
    <n v="220064693"/>
    <n v="72010.697971204194"/>
    <n v="3056"/>
    <n v="3.2168421052631579"/>
    <n v="3260"/>
    <n v="410"/>
    <n v="0"/>
    <n v="0"/>
    <n v="0"/>
    <n v="2850"/>
    <n v="0"/>
    <n v="0"/>
    <n v="3"/>
  </r>
  <r>
    <s v="PAP/MAR"/>
    <s v="MAR"/>
    <x v="0"/>
    <x v="0"/>
    <x v="3"/>
    <x v="0"/>
    <s v="Maracaibo - La Chinita Intl"/>
    <n v="894"/>
    <n v="4"/>
    <n v="128649084"/>
    <n v="41486.321831667206"/>
    <n v="3101"/>
    <n v="3.2642105263157895"/>
    <n v="3258"/>
    <n v="408"/>
    <n v="0"/>
    <n v="0"/>
    <n v="0"/>
    <n v="2850"/>
    <n v="0"/>
    <n v="0"/>
    <n v="0"/>
  </r>
  <r>
    <s v="PAP/PKX"/>
    <s v="PKX"/>
    <x v="0"/>
    <x v="3"/>
    <x v="12"/>
    <x v="4"/>
    <s v="Beijing Daxing International"/>
    <n v="13496"/>
    <n v="31.75"/>
    <n v="293324511"/>
    <n v="59197.681331987893"/>
    <n v="4955"/>
    <n v="5.2157894736842101"/>
    <n v="5154"/>
    <n v="404"/>
    <n v="0"/>
    <n v="0"/>
    <n v="0"/>
    <n v="4750"/>
    <n v="0"/>
    <n v="0"/>
    <n v="5"/>
  </r>
  <r>
    <s v="PAP/AAL"/>
    <s v="AAL"/>
    <x v="0"/>
    <x v="0"/>
    <x v="78"/>
    <x v="2"/>
    <s v="Aalborg - Airport"/>
    <n v="7813"/>
    <n v="19.25"/>
    <n v="192674733"/>
    <n v="86517.616973506956"/>
    <n v="2227"/>
    <n v="2.3442105263157895"/>
    <n v="2301"/>
    <n v="401"/>
    <n v="0"/>
    <n v="0"/>
    <n v="0"/>
    <n v="1900"/>
    <n v="0"/>
    <n v="0"/>
    <n v="0"/>
  </r>
  <r>
    <s v="PAP/BOJ"/>
    <s v="BOJ"/>
    <x v="0"/>
    <x v="0"/>
    <x v="97"/>
    <x v="2"/>
    <s v="Burgas"/>
    <n v="9393"/>
    <n v="22.75"/>
    <n v="210120776"/>
    <n v="69005.18095238095"/>
    <n v="3045"/>
    <n v="3.2052631578947368"/>
    <n v="3248"/>
    <n v="398"/>
    <n v="0"/>
    <n v="0"/>
    <n v="0"/>
    <n v="2850"/>
    <n v="0"/>
    <n v="0"/>
    <n v="3"/>
  </r>
  <r>
    <s v="PAP/URC"/>
    <s v="URC"/>
    <x v="0"/>
    <x v="2"/>
    <x v="12"/>
    <x v="4"/>
    <s v="Urumqi - Diwopu Intl"/>
    <n v="12771"/>
    <n v="30.25"/>
    <n v="256189611"/>
    <n v="63887.683541147133"/>
    <n v="4010"/>
    <n v="4.2210526315789476"/>
    <n v="4198"/>
    <n v="398"/>
    <n v="0"/>
    <n v="0"/>
    <n v="0"/>
    <n v="3800"/>
    <n v="0"/>
    <n v="0"/>
    <n v="4"/>
  </r>
  <r>
    <s v="PAP/DIR"/>
    <s v="DIR"/>
    <x v="0"/>
    <x v="1"/>
    <x v="43"/>
    <x v="5"/>
    <s v="Dire Dawa - Aba Tenna D Yilma Intl"/>
    <n v="12147"/>
    <n v="28.75"/>
    <n v="222050185"/>
    <n v="56272.22123669539"/>
    <n v="3946"/>
    <n v="4.1536842105263156"/>
    <n v="4197"/>
    <n v="397"/>
    <n v="0"/>
    <n v="0"/>
    <n v="0"/>
    <n v="3800"/>
    <n v="0"/>
    <n v="0"/>
    <n v="4"/>
  </r>
  <r>
    <s v="PAP/ESB"/>
    <s v="ESB"/>
    <x v="0"/>
    <x v="0"/>
    <x v="24"/>
    <x v="4"/>
    <s v="Ankara - Esenboga"/>
    <n v="9919"/>
    <n v="24"/>
    <n v="227145672"/>
    <n v="57215.534508816119"/>
    <n v="3970"/>
    <n v="4.1789473684210527"/>
    <n v="4195"/>
    <n v="395"/>
    <n v="0"/>
    <n v="0"/>
    <n v="0"/>
    <n v="3800"/>
    <n v="0"/>
    <n v="0"/>
    <n v="0"/>
  </r>
  <r>
    <s v="PAP/INZ"/>
    <s v="INZ"/>
    <x v="0"/>
    <x v="4"/>
    <x v="61"/>
    <x v="5"/>
    <s v="In Salah"/>
    <n v="7617"/>
    <n v="18.75"/>
    <n v="169573564"/>
    <n v="77395.510725696033"/>
    <n v="2191"/>
    <n v="2.3063157894736843"/>
    <n v="2294"/>
    <n v="394"/>
    <n v="0"/>
    <n v="0"/>
    <n v="0"/>
    <n v="1900"/>
    <n v="0"/>
    <n v="0"/>
    <n v="0"/>
  </r>
  <r>
    <s v="PAP/APW"/>
    <s v="APW"/>
    <x v="0"/>
    <x v="1"/>
    <x v="102"/>
    <x v="6"/>
    <s v="Apia - Metropolitan Area"/>
    <n v="11497"/>
    <n v="27.25"/>
    <n v="218318939"/>
    <n v="71603.456543128894"/>
    <n v="3049"/>
    <n v="3.2094736842105265"/>
    <n v="3242"/>
    <n v="392"/>
    <n v="0"/>
    <n v="0"/>
    <n v="0"/>
    <n v="2850"/>
    <n v="0"/>
    <n v="0"/>
    <n v="3"/>
  </r>
  <r>
    <s v="PAP/BRU"/>
    <s v="BRU"/>
    <x v="0"/>
    <x v="2"/>
    <x v="32"/>
    <x v="2"/>
    <s v="Brussels - Metropolitan Area"/>
    <n v="7499"/>
    <n v="18.5"/>
    <n v="218194079"/>
    <n v="69577.193558673476"/>
    <n v="3136"/>
    <n v="3.3010526315789472"/>
    <n v="3241"/>
    <n v="391"/>
    <n v="0"/>
    <n v="0"/>
    <n v="0"/>
    <n v="2850"/>
    <n v="0"/>
    <n v="3"/>
    <n v="1"/>
  </r>
  <r>
    <s v="PAP/TNA"/>
    <s v="TNA"/>
    <x v="0"/>
    <x v="0"/>
    <x v="12"/>
    <x v="4"/>
    <s v="Jinan - Yaoqiang Intl"/>
    <n v="13774"/>
    <n v="32.25"/>
    <n v="264895677"/>
    <n v="67028.258350202435"/>
    <n v="3952"/>
    <n v="4.16"/>
    <n v="4189"/>
    <n v="389"/>
    <n v="0"/>
    <n v="0"/>
    <n v="0"/>
    <n v="3800"/>
    <n v="0"/>
    <n v="0"/>
    <n v="0"/>
  </r>
  <r>
    <s v="PAP/VLI"/>
    <s v="VLI"/>
    <x v="0"/>
    <x v="1"/>
    <x v="103"/>
    <x v="6"/>
    <s v="Port Vila - Bauerfield Intl"/>
    <n v="13645"/>
    <n v="32"/>
    <n v="236048435"/>
    <n v="77316.880117916808"/>
    <n v="3053"/>
    <n v="3.2136842105263157"/>
    <n v="3237"/>
    <n v="387"/>
    <n v="0"/>
    <n v="0"/>
    <n v="0"/>
    <n v="2850"/>
    <n v="0"/>
    <n v="0"/>
    <n v="3"/>
  </r>
  <r>
    <s v="PAP/TCP"/>
    <s v="TCP"/>
    <x v="0"/>
    <x v="1"/>
    <x v="14"/>
    <x v="5"/>
    <s v="Taba - International"/>
    <n v="10550"/>
    <n v="25.25"/>
    <n v="206913627"/>
    <n v="66127.717162032597"/>
    <n v="3129"/>
    <n v="3.2936842105263158"/>
    <n v="3233"/>
    <n v="383"/>
    <n v="0"/>
    <n v="0"/>
    <n v="0"/>
    <n v="2850"/>
    <n v="0"/>
    <n v="0"/>
    <n v="3"/>
  </r>
  <r>
    <s v="PAP/AQI"/>
    <s v="AQI"/>
    <x v="0"/>
    <x v="1"/>
    <x v="35"/>
    <x v="4"/>
    <s v="Qaisumah - Hafar al Batin"/>
    <n v="11593"/>
    <n v="27.5"/>
    <n v="226601275"/>
    <n v="74344.250328083988"/>
    <n v="3048"/>
    <n v="3.2084210526315791"/>
    <n v="3231"/>
    <n v="381"/>
    <n v="0"/>
    <n v="0"/>
    <n v="0"/>
    <n v="2850"/>
    <n v="0"/>
    <n v="3"/>
    <n v="0"/>
  </r>
  <r>
    <s v="PAP/ITM"/>
    <s v="ITM"/>
    <x v="0"/>
    <x v="2"/>
    <x v="18"/>
    <x v="4"/>
    <s v="Osaka Intl (Itami)"/>
    <n v="13400"/>
    <n v="31.5"/>
    <n v="277229439"/>
    <n v="70739.841541209491"/>
    <n v="3919"/>
    <n v="4.1252631578947367"/>
    <n v="4180"/>
    <n v="380"/>
    <n v="0"/>
    <n v="0"/>
    <n v="0"/>
    <n v="3800"/>
    <n v="0"/>
    <n v="0"/>
    <n v="4"/>
  </r>
  <r>
    <s v="PAP/FEZ"/>
    <s v="FEZ"/>
    <x v="0"/>
    <x v="1"/>
    <x v="31"/>
    <x v="5"/>
    <s v="Fes - Saiss"/>
    <n v="6811"/>
    <n v="17"/>
    <n v="174544395"/>
    <n v="56762.404878048779"/>
    <n v="3075"/>
    <n v="3.236842105263158"/>
    <n v="3229"/>
    <n v="379"/>
    <n v="0"/>
    <n v="0"/>
    <n v="0"/>
    <n v="2850"/>
    <n v="0"/>
    <n v="0"/>
    <n v="3"/>
  </r>
  <r>
    <s v="PAP/CPH"/>
    <s v="CPH"/>
    <x v="0"/>
    <x v="2"/>
    <x v="78"/>
    <x v="2"/>
    <s v="Copenhagen - Metropolitan Area"/>
    <n v="8000"/>
    <n v="19.75"/>
    <n v="222111643"/>
    <n v="71372.635925449867"/>
    <n v="3112"/>
    <n v="3.2757894736842106"/>
    <n v="3227"/>
    <n v="377"/>
    <n v="0"/>
    <n v="0"/>
    <n v="0"/>
    <n v="2850"/>
    <n v="0"/>
    <n v="0"/>
    <n v="3"/>
  </r>
  <r>
    <s v="PAP/BOY"/>
    <s v="BOY"/>
    <x v="0"/>
    <x v="4"/>
    <x v="104"/>
    <x v="5"/>
    <s v="Bobo Dioulasso"/>
    <n v="7313"/>
    <n v="18.25"/>
    <n v="166185887"/>
    <n v="53418.800064288007"/>
    <n v="3111"/>
    <n v="3.2747368421052632"/>
    <n v="3225"/>
    <n v="375"/>
    <n v="0"/>
    <n v="0"/>
    <n v="0"/>
    <n v="2850"/>
    <n v="0"/>
    <n v="3"/>
    <n v="1"/>
  </r>
  <r>
    <s v="PAP/BOG"/>
    <s v="BOG"/>
    <x v="0"/>
    <x v="2"/>
    <x v="8"/>
    <x v="0"/>
    <s v="Bogota - El Dorado Intl"/>
    <n v="1556"/>
    <n v="5.5"/>
    <n v="158455777"/>
    <n v="40268.304193138501"/>
    <n v="3935"/>
    <n v="4.1421052631578945"/>
    <n v="4172"/>
    <n v="372"/>
    <n v="0"/>
    <n v="0"/>
    <n v="0"/>
    <n v="3800"/>
    <n v="0"/>
    <n v="0"/>
    <n v="4"/>
  </r>
  <r>
    <s v="PAP/YLW"/>
    <s v="YLW"/>
    <x v="0"/>
    <x v="0"/>
    <x v="2"/>
    <x v="1"/>
    <s v="Kelowna - International"/>
    <n v="5423"/>
    <n v="14"/>
    <n v="168597036"/>
    <n v="78490.240223463683"/>
    <n v="2148"/>
    <n v="2.2610526315789472"/>
    <n v="2270"/>
    <n v="370"/>
    <n v="0"/>
    <n v="0"/>
    <n v="0"/>
    <n v="1900"/>
    <n v="0"/>
    <n v="1"/>
    <n v="0"/>
  </r>
  <r>
    <s v="PAP/LKO"/>
    <s v="LKO"/>
    <x v="0"/>
    <x v="0"/>
    <x v="42"/>
    <x v="4"/>
    <s v="Lucknow - Chaudhary Charan Singh"/>
    <n v="14206"/>
    <n v="33.25"/>
    <n v="257441063"/>
    <n v="83747.905985686404"/>
    <n v="3074"/>
    <n v="3.2357894736842105"/>
    <n v="3218"/>
    <n v="368"/>
    <n v="0"/>
    <n v="0"/>
    <n v="0"/>
    <n v="2850"/>
    <n v="0"/>
    <n v="0"/>
    <n v="0"/>
  </r>
  <r>
    <s v="PAP/CTS"/>
    <s v="CTS"/>
    <x v="0"/>
    <x v="2"/>
    <x v="18"/>
    <x v="4"/>
    <s v="Sapporo - New Chitose"/>
    <n v="12360"/>
    <n v="29.25"/>
    <n v="266497694"/>
    <n v="68245.248143405886"/>
    <n v="3905"/>
    <n v="4.1105263157894738"/>
    <n v="4165"/>
    <n v="365"/>
    <n v="0"/>
    <n v="0"/>
    <n v="0"/>
    <n v="3800"/>
    <n v="0"/>
    <n v="0"/>
    <n v="4"/>
  </r>
  <r>
    <s v="PAP/BHI"/>
    <s v="BHI"/>
    <x v="0"/>
    <x v="1"/>
    <x v="30"/>
    <x v="0"/>
    <s v="Bahia Blanca - Comandante Espora"/>
    <n v="6460"/>
    <n v="16.25"/>
    <n v="161627850"/>
    <n v="76095.974576271183"/>
    <n v="2124"/>
    <n v="2.2357894736842105"/>
    <n v="2259"/>
    <n v="359"/>
    <n v="0"/>
    <n v="0"/>
    <n v="0"/>
    <n v="1900"/>
    <n v="0"/>
    <n v="1"/>
    <n v="0"/>
  </r>
  <r>
    <s v="PAP/RBA"/>
    <s v="RBA"/>
    <x v="0"/>
    <x v="1"/>
    <x v="31"/>
    <x v="5"/>
    <s v="Rabat - Sale"/>
    <n v="6647"/>
    <n v="16.75"/>
    <n v="170899118"/>
    <n v="56253.824226464778"/>
    <n v="3038"/>
    <n v="3.1978947368421053"/>
    <n v="3201"/>
    <n v="351"/>
    <n v="0"/>
    <n v="0"/>
    <n v="0"/>
    <n v="2850"/>
    <n v="0"/>
    <n v="0"/>
    <n v="3"/>
  </r>
  <r>
    <s v="PAP/TRU"/>
    <s v="TRU"/>
    <x v="0"/>
    <x v="1"/>
    <x v="0"/>
    <x v="0"/>
    <s v="Trujillo - C.Martinez de Pinillos"/>
    <n v="3058"/>
    <n v="8.75"/>
    <n v="133113161"/>
    <n v="44371.053666666667"/>
    <n v="3000"/>
    <n v="3.1578947368421053"/>
    <n v="3200"/>
    <n v="350"/>
    <n v="0"/>
    <n v="0"/>
    <n v="0"/>
    <n v="2850"/>
    <n v="0"/>
    <n v="0"/>
    <n v="0"/>
  </r>
  <r>
    <s v="PAP/GRX"/>
    <s v="GRX"/>
    <x v="0"/>
    <x v="0"/>
    <x v="37"/>
    <x v="2"/>
    <s v="Granada - Federico Garcia Lorca"/>
    <n v="6898"/>
    <n v="17.25"/>
    <n v="183615064"/>
    <n v="84381.92279411765"/>
    <n v="2176"/>
    <n v="2.2905263157894735"/>
    <n v="2249"/>
    <n v="349"/>
    <n v="0"/>
    <n v="0"/>
    <n v="0"/>
    <n v="1900"/>
    <n v="0"/>
    <n v="0"/>
    <n v="1"/>
  </r>
  <r>
    <s v="PAP/TPE"/>
    <s v="TPE"/>
    <x v="0"/>
    <x v="3"/>
    <x v="93"/>
    <x v="4"/>
    <s v="Taipei - Metropolitan Area"/>
    <n v="14948"/>
    <n v="35"/>
    <n v="297412244"/>
    <n v="97448.310615989511"/>
    <n v="3052"/>
    <n v="3.2126315789473683"/>
    <n v="3194"/>
    <n v="344"/>
    <n v="0"/>
    <n v="0"/>
    <n v="0"/>
    <n v="2850"/>
    <n v="0"/>
    <n v="0"/>
    <n v="3"/>
  </r>
  <r>
    <s v="PAP/TSN"/>
    <s v="TSN"/>
    <x v="0"/>
    <x v="0"/>
    <x v="12"/>
    <x v="4"/>
    <s v="Tianjin - Binhai Intl"/>
    <n v="13524"/>
    <n v="31.75"/>
    <n v="262258432"/>
    <n v="66461.842878864671"/>
    <n v="3946"/>
    <n v="4.1536842105263156"/>
    <n v="4143"/>
    <n v="343"/>
    <n v="0"/>
    <n v="0"/>
    <n v="0"/>
    <n v="3800"/>
    <n v="0"/>
    <n v="0"/>
    <n v="0"/>
  </r>
  <r>
    <s v="PAP/CGO"/>
    <s v="CGO"/>
    <x v="0"/>
    <x v="2"/>
    <x v="12"/>
    <x v="4"/>
    <s v="Zhengzhou - Xinzheng Intl"/>
    <n v="14079"/>
    <n v="33"/>
    <n v="270489454"/>
    <n v="90103.082611592268"/>
    <n v="3002"/>
    <n v="3.16"/>
    <n v="3192"/>
    <n v="342"/>
    <n v="0"/>
    <n v="0"/>
    <n v="0"/>
    <n v="2850"/>
    <n v="0"/>
    <n v="0"/>
    <n v="3"/>
  </r>
  <r>
    <s v="PAP/ROS"/>
    <s v="ROS"/>
    <x v="0"/>
    <x v="1"/>
    <x v="30"/>
    <x v="0"/>
    <s v="Rosario - Islas Malvinas"/>
    <n v="5855"/>
    <n v="15"/>
    <n v="155903988"/>
    <n v="72682.511888111883"/>
    <n v="2145"/>
    <n v="2.2578947368421054"/>
    <n v="2231"/>
    <n v="331"/>
    <n v="0"/>
    <n v="0"/>
    <n v="0"/>
    <n v="1900"/>
    <n v="0"/>
    <n v="1"/>
    <n v="0"/>
  </r>
  <r>
    <s v="PAP/TRD"/>
    <s v="TRD"/>
    <x v="0"/>
    <x v="0"/>
    <x v="22"/>
    <x v="2"/>
    <s v="Trondheim - Vaernes"/>
    <n v="7833"/>
    <n v="19.25"/>
    <n v="201390908"/>
    <n v="67354.818729096995"/>
    <n v="2990"/>
    <n v="3.1473684210526316"/>
    <n v="3180"/>
    <n v="330"/>
    <n v="0"/>
    <n v="0"/>
    <n v="0"/>
    <n v="2850"/>
    <n v="0"/>
    <n v="0"/>
    <n v="1"/>
  </r>
  <r>
    <s v="PAP/FPO"/>
    <s v="FPO"/>
    <x v="0"/>
    <x v="1"/>
    <x v="53"/>
    <x v="1"/>
    <s v="Freeport - Grand Bahama Intl"/>
    <n v="1104"/>
    <n v="4.5"/>
    <n v="115747825"/>
    <n v="54908.83538899431"/>
    <n v="2108"/>
    <n v="2.2189473684210528"/>
    <n v="2229"/>
    <n v="329"/>
    <n v="0"/>
    <n v="0"/>
    <n v="0"/>
    <n v="1900"/>
    <n v="0"/>
    <n v="0"/>
    <n v="1"/>
  </r>
  <r>
    <s v="PAP/CCS"/>
    <s v="CCS"/>
    <x v="0"/>
    <x v="2"/>
    <x v="3"/>
    <x v="0"/>
    <s v="Caracas - Simon Bolivar Intl"/>
    <n v="1054"/>
    <n v="4.5"/>
    <n v="143635905"/>
    <n v="36773.145161290326"/>
    <n v="3906"/>
    <n v="4.1115789473684208"/>
    <n v="4128"/>
    <n v="328"/>
    <n v="0"/>
    <n v="0"/>
    <n v="0"/>
    <n v="3800"/>
    <n v="0"/>
    <n v="0"/>
    <n v="4"/>
  </r>
  <r>
    <s v="PAP/ALG"/>
    <s v="ALG"/>
    <x v="0"/>
    <x v="2"/>
    <x v="61"/>
    <x v="5"/>
    <s v="Algiers - Houari Boumediene"/>
    <n v="7522"/>
    <n v="18.75"/>
    <n v="204799564"/>
    <n v="52769.792321566609"/>
    <n v="3881"/>
    <n v="4.0852631578947367"/>
    <n v="4127"/>
    <n v="327"/>
    <n v="0"/>
    <n v="0"/>
    <n v="0"/>
    <n v="3800"/>
    <n v="0"/>
    <n v="0"/>
    <n v="4"/>
  </r>
  <r>
    <s v="PAP/TIJ"/>
    <s v="TIJ"/>
    <x v="0"/>
    <x v="0"/>
    <x v="15"/>
    <x v="1"/>
    <s v="Tijuana - A.L. Rodriguez Intl"/>
    <n v="4705"/>
    <n v="12.5"/>
    <n v="169936125"/>
    <n v="56010.588332234671"/>
    <n v="3034"/>
    <n v="3.1936842105263157"/>
    <n v="3175"/>
    <n v="325"/>
    <n v="0"/>
    <n v="0"/>
    <n v="0"/>
    <n v="2850"/>
    <n v="0"/>
    <n v="0"/>
    <n v="3"/>
  </r>
  <r>
    <s v="PAP/BGO"/>
    <s v="BGO"/>
    <x v="0"/>
    <x v="0"/>
    <x v="22"/>
    <x v="2"/>
    <s v="Bergen - Flesland"/>
    <n v="7537"/>
    <n v="18.75"/>
    <n v="202030630"/>
    <n v="67886.636424731187"/>
    <n v="2976"/>
    <n v="3.1326315789473682"/>
    <n v="3165"/>
    <n v="315"/>
    <n v="0"/>
    <n v="0"/>
    <n v="0"/>
    <n v="2850"/>
    <n v="0"/>
    <n v="0"/>
    <n v="1"/>
  </r>
  <r>
    <s v="PAP/KRK"/>
    <s v="KRK"/>
    <x v="0"/>
    <x v="0"/>
    <x v="5"/>
    <x v="2"/>
    <s v="Krakow - John Paul II - Balice"/>
    <n v="8581"/>
    <n v="21"/>
    <n v="206313601"/>
    <n v="68045.382915567287"/>
    <n v="3032"/>
    <n v="3.1915789473684208"/>
    <n v="3164"/>
    <n v="314"/>
    <n v="0"/>
    <n v="0"/>
    <n v="0"/>
    <n v="2850"/>
    <n v="0"/>
    <n v="0"/>
    <n v="3"/>
  </r>
  <r>
    <s v="PAP/ALP"/>
    <s v="ALP"/>
    <x v="0"/>
    <x v="0"/>
    <x v="71"/>
    <x v="4"/>
    <s v="Aleppo - International"/>
    <n v="10440"/>
    <n v="25"/>
    <n v="219916305"/>
    <n v="56504.703237410075"/>
    <n v="3892"/>
    <n v="4.0968421052631578"/>
    <n v="4113"/>
    <n v="313"/>
    <n v="0"/>
    <n v="0"/>
    <n v="0"/>
    <n v="3800"/>
    <n v="0"/>
    <n v="0"/>
    <n v="0"/>
  </r>
  <r>
    <s v="PAP/JFK"/>
    <s v="JFK"/>
    <x v="0"/>
    <x v="3"/>
    <x v="9"/>
    <x v="3"/>
    <s v="New York - John F Kennedy Intl"/>
    <n v="2457"/>
    <n v="7.5"/>
    <n v="185148475"/>
    <n v="62151.216851292382"/>
    <n v="2979"/>
    <n v="3.1357894736842105"/>
    <n v="3159"/>
    <n v="309"/>
    <n v="0"/>
    <n v="0"/>
    <n v="0"/>
    <n v="2850"/>
    <n v="0"/>
    <n v="0"/>
    <n v="3"/>
  </r>
  <r>
    <s v="PAP/CPT"/>
    <s v="CPT"/>
    <x v="0"/>
    <x v="2"/>
    <x v="29"/>
    <x v="5"/>
    <s v="Cape Town - International"/>
    <n v="11230"/>
    <n v="26.75"/>
    <n v="244136489"/>
    <n v="51042.544219109346"/>
    <n v="4783"/>
    <n v="5.0347368421052634"/>
    <n v="5054"/>
    <n v="304"/>
    <n v="0"/>
    <n v="0"/>
    <n v="0"/>
    <n v="4750"/>
    <n v="0"/>
    <n v="0"/>
    <n v="5"/>
  </r>
  <r>
    <s v="PAP/KWJ"/>
    <s v="KWJ"/>
    <x v="0"/>
    <x v="0"/>
    <x v="82"/>
    <x v="4"/>
    <s v="Gwangju"/>
    <n v="13715"/>
    <n v="32.25"/>
    <n v="251159121"/>
    <n v="84423.233949579837"/>
    <n v="2975"/>
    <n v="3.1315789473684212"/>
    <n v="3154"/>
    <n v="304"/>
    <n v="0"/>
    <n v="0"/>
    <n v="0"/>
    <n v="2850"/>
    <n v="0"/>
    <n v="0"/>
    <n v="0"/>
  </r>
  <r>
    <s v="PAP/TMX"/>
    <s v="TMX"/>
    <x v="0"/>
    <x v="4"/>
    <x v="61"/>
    <x v="5"/>
    <s v="Timimoun"/>
    <n v="7364"/>
    <n v="18.25"/>
    <n v="165980897"/>
    <n v="80378.158353510895"/>
    <n v="2065"/>
    <n v="2.1736842105263157"/>
    <n v="2203"/>
    <n v="303"/>
    <n v="0"/>
    <n v="0"/>
    <n v="0"/>
    <n v="1900"/>
    <n v="0"/>
    <n v="0"/>
    <n v="1"/>
  </r>
  <r>
    <s v="PAP/NDR"/>
    <s v="NDR"/>
    <x v="0"/>
    <x v="1"/>
    <x v="31"/>
    <x v="5"/>
    <s v="Nador - El Aroui"/>
    <n v="6981"/>
    <n v="17.5"/>
    <n v="173492752"/>
    <n v="57773.144189144186"/>
    <n v="3003"/>
    <n v="3.1610526315789476"/>
    <n v="3153"/>
    <n v="303"/>
    <n v="0"/>
    <n v="0"/>
    <n v="0"/>
    <n v="2850"/>
    <n v="0"/>
    <n v="0"/>
    <n v="3"/>
  </r>
  <r>
    <s v="PAP/CDG"/>
    <s v="CDG"/>
    <x v="0"/>
    <x v="3"/>
    <x v="81"/>
    <x v="2"/>
    <s v="Paris - Charles de Gaulle"/>
    <n v="7367"/>
    <n v="18.25"/>
    <n v="234587294"/>
    <n v="79440.329834067044"/>
    <n v="2953"/>
    <n v="3.108421052631579"/>
    <n v="3151"/>
    <n v="301"/>
    <n v="0"/>
    <n v="0"/>
    <n v="0"/>
    <n v="2850"/>
    <n v="0"/>
    <n v="0"/>
    <n v="1"/>
  </r>
  <r>
    <s v="PAP/BTS"/>
    <s v="BTS"/>
    <x v="0"/>
    <x v="0"/>
    <x v="105"/>
    <x v="2"/>
    <s v="Bratislava - M.R. Stefanik"/>
    <n v="8446"/>
    <n v="20.75"/>
    <n v="201944221"/>
    <n v="67743.784300570274"/>
    <n v="2981"/>
    <n v="3.1378947368421053"/>
    <n v="3150"/>
    <n v="300"/>
    <n v="0"/>
    <n v="0"/>
    <n v="0"/>
    <n v="2850"/>
    <n v="0"/>
    <n v="0"/>
    <n v="3"/>
  </r>
  <r>
    <s v="PAP/ECP"/>
    <s v="ECP"/>
    <x v="0"/>
    <x v="0"/>
    <x v="9"/>
    <x v="3"/>
    <s v="Panama City - Metropolitan Area"/>
    <n v="1890"/>
    <n v="6.25"/>
    <m/>
    <n v="0"/>
    <m/>
    <n v="0"/>
    <n v="2200"/>
    <n v="300"/>
    <n v="0"/>
    <n v="0"/>
    <n v="0"/>
    <n v="1900"/>
    <n v="0"/>
    <n v="0"/>
    <n v="0"/>
  </r>
  <r>
    <s v="PAP/BSB"/>
    <s v="BSB"/>
    <x v="0"/>
    <x v="2"/>
    <x v="1"/>
    <x v="0"/>
    <s v="Brasilia - J. Kubitschek Intl"/>
    <n v="4669"/>
    <n v="12.5"/>
    <n v="185236864"/>
    <n v="47326.740929994892"/>
    <n v="3914"/>
    <n v="4.12"/>
    <n v="4097"/>
    <n v="297"/>
    <n v="0"/>
    <n v="0"/>
    <n v="0"/>
    <n v="3800"/>
    <n v="0"/>
    <n v="0"/>
    <n v="4"/>
  </r>
  <r>
    <s v="PAP/DOH"/>
    <s v="DOH"/>
    <x v="0"/>
    <x v="2"/>
    <x v="106"/>
    <x v="4"/>
    <s v="Doha - Hamad International"/>
    <n v="12232"/>
    <n v="29"/>
    <n v="262536724"/>
    <n v="66263.686017163054"/>
    <n v="3962"/>
    <n v="4.1705263157894734"/>
    <n v="4095"/>
    <n v="295"/>
    <n v="0"/>
    <n v="0"/>
    <n v="0"/>
    <n v="3800"/>
    <n v="0"/>
    <n v="0"/>
    <n v="4"/>
  </r>
  <r>
    <s v="PAP/PEM"/>
    <s v="PEM"/>
    <x v="0"/>
    <x v="1"/>
    <x v="0"/>
    <x v="0"/>
    <s v="Puerto Maldonado - Padre Aldamiz Intl"/>
    <n v="3485"/>
    <n v="9.75"/>
    <n v="136464424"/>
    <n v="46274.813157002376"/>
    <n v="2949"/>
    <n v="3.1042105263157893"/>
    <n v="3145"/>
    <n v="295"/>
    <n v="0"/>
    <n v="0"/>
    <n v="0"/>
    <n v="2850"/>
    <n v="0"/>
    <n v="0"/>
    <n v="0"/>
  </r>
  <r>
    <s v="PAP/RMQ"/>
    <s v="RMQ"/>
    <x v="0"/>
    <x v="5"/>
    <x v="93"/>
    <x v="4"/>
    <s v="Taichung Airport"/>
    <n v="15054"/>
    <n v="35.25"/>
    <n v="266021301"/>
    <n v="128948.76442074649"/>
    <n v="2063"/>
    <n v="2.1715789473684208"/>
    <n v="2194"/>
    <n v="294"/>
    <n v="0"/>
    <n v="0"/>
    <n v="0"/>
    <n v="1900"/>
    <n v="0"/>
    <n v="2"/>
    <n v="0"/>
  </r>
  <r>
    <s v="PAP/TGR"/>
    <s v="TGR"/>
    <x v="0"/>
    <x v="4"/>
    <x v="61"/>
    <x v="5"/>
    <s v="Touggourt - Sidi Mahdi"/>
    <n v="7841"/>
    <n v="19.25"/>
    <n v="172030897"/>
    <n v="81108.390853371049"/>
    <n v="2121"/>
    <n v="2.2326315789473683"/>
    <n v="2192"/>
    <n v="292"/>
    <n v="0"/>
    <n v="0"/>
    <n v="0"/>
    <n v="1900"/>
    <n v="0"/>
    <n v="0"/>
    <n v="0"/>
  </r>
  <r>
    <s v="PAP/ZAG"/>
    <s v="ZAG"/>
    <x v="0"/>
    <x v="0"/>
    <x v="107"/>
    <x v="2"/>
    <s v="Zagreb - Franjo Tudman"/>
    <n v="8419"/>
    <n v="20.5"/>
    <n v="201422931"/>
    <n v="66917.917275747503"/>
    <n v="3010"/>
    <n v="3.168421052631579"/>
    <n v="3141"/>
    <n v="291"/>
    <n v="0"/>
    <n v="0"/>
    <n v="0"/>
    <n v="2850"/>
    <n v="0"/>
    <n v="0"/>
    <n v="3"/>
  </r>
  <r>
    <s v="PAP/LGB"/>
    <s v="LGB"/>
    <x v="0"/>
    <x v="0"/>
    <x v="9"/>
    <x v="3"/>
    <s v="Long Beach - Daugherty Field"/>
    <n v="4834"/>
    <n v="12.75"/>
    <n v="169923903"/>
    <n v="81733.479076479081"/>
    <n v="2079"/>
    <n v="2.188421052631579"/>
    <n v="2189"/>
    <n v="289"/>
    <n v="0"/>
    <n v="0"/>
    <n v="0"/>
    <n v="1900"/>
    <n v="0"/>
    <n v="0"/>
    <n v="1"/>
  </r>
  <r>
    <s v="PAP/FUK"/>
    <s v="FUK"/>
    <x v="0"/>
    <x v="2"/>
    <x v="18"/>
    <x v="4"/>
    <s v="Fukuoka"/>
    <n v="13736"/>
    <n v="32.25"/>
    <n v="279971904"/>
    <n v="71898.28043143297"/>
    <n v="3894"/>
    <n v="4.0989473684210527"/>
    <n v="4089"/>
    <n v="289"/>
    <n v="0"/>
    <n v="0"/>
    <n v="0"/>
    <n v="3800"/>
    <n v="0"/>
    <n v="0"/>
    <n v="4"/>
  </r>
  <r>
    <s v="PAP/AJF"/>
    <s v="AJF"/>
    <x v="0"/>
    <x v="1"/>
    <x v="35"/>
    <x v="4"/>
    <s v="Jouf"/>
    <n v="11002"/>
    <n v="26.25"/>
    <n v="220033656"/>
    <n v="72931.274776267819"/>
    <n v="3017"/>
    <n v="3.1757894736842105"/>
    <n v="3138"/>
    <n v="288"/>
    <n v="0"/>
    <n v="0"/>
    <n v="0"/>
    <n v="2850"/>
    <n v="0"/>
    <n v="3"/>
    <n v="0"/>
  </r>
  <r>
    <s v="PAP/ICN"/>
    <s v="ICN"/>
    <x v="0"/>
    <x v="3"/>
    <x v="82"/>
    <x v="4"/>
    <s v="Seoul - Incheon International"/>
    <n v="13485"/>
    <n v="31.75"/>
    <n v="285829217"/>
    <n v="60595.551621793515"/>
    <n v="4717"/>
    <n v="4.9652631578947366"/>
    <n v="5031"/>
    <n v="281"/>
    <n v="0"/>
    <n v="0"/>
    <n v="0"/>
    <n v="4750"/>
    <n v="0"/>
    <n v="0"/>
    <n v="5"/>
  </r>
  <r>
    <s v="PAP/TER"/>
    <s v="TER"/>
    <x v="0"/>
    <x v="0"/>
    <x v="25"/>
    <x v="2"/>
    <s v="Terceira Island - Lajes"/>
    <n v="4885"/>
    <n v="12.75"/>
    <n v="150536187"/>
    <n v="71820.699904580149"/>
    <n v="2096"/>
    <n v="2.2063157894736842"/>
    <n v="2180"/>
    <n v="280"/>
    <n v="0"/>
    <n v="0"/>
    <n v="0"/>
    <n v="1900"/>
    <n v="0"/>
    <n v="0"/>
    <n v="0"/>
  </r>
  <r>
    <s v="PAP/PTG"/>
    <s v="PTG"/>
    <x v="0"/>
    <x v="1"/>
    <x v="29"/>
    <x v="5"/>
    <s v="Polokwane - International"/>
    <n v="11988"/>
    <n v="28.5"/>
    <n v="217688729"/>
    <n v="72082.360596026483"/>
    <n v="3020"/>
    <n v="3.1789473684210527"/>
    <n v="3130"/>
    <n v="280"/>
    <n v="0"/>
    <n v="0"/>
    <n v="0"/>
    <n v="2850"/>
    <n v="0"/>
    <n v="0"/>
    <n v="3"/>
  </r>
  <r>
    <s v="PAP/NGS"/>
    <s v="NGS"/>
    <x v="0"/>
    <x v="0"/>
    <x v="18"/>
    <x v="4"/>
    <s v="Nagasaki Airport"/>
    <n v="13825"/>
    <n v="32.5"/>
    <n v="258204099"/>
    <n v="87764.819510537054"/>
    <n v="2942"/>
    <n v="3.0968421052631578"/>
    <n v="3129"/>
    <n v="279"/>
    <n v="0"/>
    <n v="0"/>
    <n v="0"/>
    <n v="2850"/>
    <n v="0"/>
    <n v="0"/>
    <n v="0"/>
  </r>
  <r>
    <s v="PAP/RIX"/>
    <s v="RIX"/>
    <x v="0"/>
    <x v="0"/>
    <x v="108"/>
    <x v="2"/>
    <s v="Riga - International"/>
    <n v="8658"/>
    <n v="21.25"/>
    <n v="208730261"/>
    <n v="69207.646220159149"/>
    <n v="3016"/>
    <n v="3.1747368421052631"/>
    <n v="3126"/>
    <n v="276"/>
    <n v="0"/>
    <n v="0"/>
    <n v="0"/>
    <n v="2850"/>
    <n v="0"/>
    <n v="0"/>
    <n v="3"/>
  </r>
  <r>
    <s v="PAP/NGE"/>
    <s v="NGE"/>
    <x v="0"/>
    <x v="4"/>
    <x v="109"/>
    <x v="5"/>
    <s v="Ngaoundere"/>
    <n v="9315"/>
    <n v="22.5"/>
    <n v="185646657"/>
    <n v="63145.12142857143"/>
    <n v="2940"/>
    <n v="3.094736842105263"/>
    <n v="3126"/>
    <n v="276"/>
    <n v="0"/>
    <n v="0"/>
    <n v="0"/>
    <n v="2850"/>
    <n v="0"/>
    <n v="0"/>
    <n v="3"/>
  </r>
  <r>
    <s v="PAP/LXA"/>
    <s v="LXA"/>
    <x v="0"/>
    <x v="0"/>
    <x v="12"/>
    <x v="4"/>
    <s v="Lhasa Gonggar"/>
    <n v="14398"/>
    <n v="33.75"/>
    <n v="268083938"/>
    <n v="91185.012925170071"/>
    <n v="2940"/>
    <n v="3.094736842105263"/>
    <n v="3126"/>
    <n v="276"/>
    <n v="0"/>
    <n v="0"/>
    <n v="0"/>
    <n v="2850"/>
    <n v="0"/>
    <n v="0"/>
    <n v="0"/>
  </r>
  <r>
    <s v="PAP/LXR"/>
    <s v="LXR"/>
    <x v="0"/>
    <x v="0"/>
    <x v="14"/>
    <x v="5"/>
    <s v="Luxor - International"/>
    <n v="10540"/>
    <n v="25.25"/>
    <n v="222688399"/>
    <n v="56562.966471932945"/>
    <n v="3937"/>
    <n v="4.1442105263157893"/>
    <n v="4068"/>
    <n v="268"/>
    <n v="0"/>
    <n v="0"/>
    <n v="0"/>
    <n v="3800"/>
    <n v="0"/>
    <n v="0"/>
    <n v="4"/>
  </r>
  <r>
    <s v="PAP/PVG"/>
    <s v="PVG"/>
    <x v="0"/>
    <x v="3"/>
    <x v="12"/>
    <x v="4"/>
    <s v="Shanghai - Pudong Intl"/>
    <n v="14288"/>
    <n v="33.5"/>
    <n v="298414613"/>
    <n v="77996.501045478304"/>
    <n v="3826"/>
    <n v="4.0273684210526319"/>
    <n v="4068"/>
    <n v="268"/>
    <n v="0"/>
    <n v="0"/>
    <n v="0"/>
    <n v="3800"/>
    <n v="0"/>
    <n v="0"/>
    <n v="4"/>
  </r>
  <r>
    <s v="PAP/CAY"/>
    <s v="CAY"/>
    <x v="0"/>
    <x v="0"/>
    <x v="110"/>
    <x v="0"/>
    <s v="Cayenne - Félix Eboué Airport"/>
    <n v="2650"/>
    <n v="8"/>
    <n v="132534046"/>
    <n v="44654.328167115906"/>
    <n v="2968"/>
    <n v="3.1242105263157893"/>
    <n v="3117"/>
    <n v="267"/>
    <n v="0"/>
    <n v="0"/>
    <n v="0"/>
    <n v="2850"/>
    <n v="0"/>
    <n v="1"/>
    <n v="0"/>
  </r>
  <r>
    <s v="PAP/SYZ"/>
    <s v="SYZ"/>
    <x v="0"/>
    <x v="0"/>
    <x v="66"/>
    <x v="4"/>
    <s v="Shiraz - Shahid Dastghaib Intl"/>
    <n v="12049"/>
    <n v="28.5"/>
    <n v="239271833"/>
    <n v="60806.056670902159"/>
    <n v="3935"/>
    <n v="4.1421052631578945"/>
    <n v="4066"/>
    <n v="266"/>
    <n v="0"/>
    <n v="0"/>
    <n v="0"/>
    <n v="3800"/>
    <n v="0"/>
    <n v="0"/>
    <n v="0"/>
  </r>
  <r>
    <s v="PAP/PCL"/>
    <s v="PCL"/>
    <x v="0"/>
    <x v="1"/>
    <x v="0"/>
    <x v="0"/>
    <s v="Pucallpa - D.Abenzur Rengifo Intl"/>
    <n v="3008"/>
    <n v="8.75"/>
    <n v="132914266"/>
    <n v="44113.596415532695"/>
    <n v="3013"/>
    <n v="3.1715789473684208"/>
    <n v="3114"/>
    <n v="264"/>
    <n v="0"/>
    <n v="0"/>
    <n v="0"/>
    <n v="2850"/>
    <n v="0"/>
    <n v="0"/>
    <n v="0"/>
  </r>
  <r>
    <s v="PAP/FAO"/>
    <s v="FAO"/>
    <x v="0"/>
    <x v="0"/>
    <x v="25"/>
    <x v="2"/>
    <s v="Faro - Airport"/>
    <n v="6527"/>
    <n v="16.5"/>
    <n v="191197915"/>
    <n v="63668.969363969365"/>
    <n v="3003"/>
    <n v="3.1610526315789476"/>
    <n v="3113"/>
    <n v="263"/>
    <n v="0"/>
    <n v="0"/>
    <n v="0"/>
    <n v="2850"/>
    <n v="0"/>
    <n v="0"/>
    <n v="3"/>
  </r>
  <r>
    <s v="PAP/BEY"/>
    <s v="BEY"/>
    <x v="0"/>
    <x v="0"/>
    <x v="111"/>
    <x v="4"/>
    <s v="Beirut - Rafic Hariri Intl"/>
    <n v="10412"/>
    <n v="25"/>
    <n v="230697072"/>
    <n v="59062.23041474654"/>
    <n v="3906"/>
    <n v="4.1115789473684208"/>
    <n v="4062"/>
    <n v="262"/>
    <n v="0"/>
    <n v="0"/>
    <n v="0"/>
    <n v="3800"/>
    <n v="0"/>
    <n v="0"/>
    <n v="0"/>
  </r>
  <r>
    <s v="PAP/OUD"/>
    <s v="OUD"/>
    <x v="0"/>
    <x v="1"/>
    <x v="31"/>
    <x v="5"/>
    <s v="Oujda - Angads"/>
    <n v="7083"/>
    <n v="17.75"/>
    <n v="174636577"/>
    <n v="58038.078099036225"/>
    <n v="3009"/>
    <n v="3.1673684210526316"/>
    <n v="3110"/>
    <n v="260"/>
    <n v="0"/>
    <n v="0"/>
    <n v="0"/>
    <n v="2850"/>
    <n v="0"/>
    <n v="0"/>
    <n v="3"/>
  </r>
  <r>
    <s v="PAP/TBU"/>
    <s v="TBU"/>
    <x v="0"/>
    <x v="1"/>
    <x v="112"/>
    <x v="6"/>
    <s v="Nuku'alofa - Fua'amotu Intl"/>
    <n v="12031"/>
    <n v="28.5"/>
    <n v="220469622"/>
    <n v="75606.866255144036"/>
    <n v="2916"/>
    <n v="3.0694736842105264"/>
    <n v="3110"/>
    <n v="260"/>
    <n v="0"/>
    <n v="0"/>
    <n v="0"/>
    <n v="2850"/>
    <n v="0"/>
    <n v="0"/>
    <n v="3"/>
  </r>
  <r>
    <s v="PAP/NOU"/>
    <s v="NOU"/>
    <x v="0"/>
    <x v="1"/>
    <x v="113"/>
    <x v="6"/>
    <s v="Noumea - Metropolitan Area"/>
    <n v="13941"/>
    <n v="32.75"/>
    <n v="245221938"/>
    <n v="82041.464703914346"/>
    <n v="2989"/>
    <n v="3.1463157894736842"/>
    <n v="3108"/>
    <n v="258"/>
    <n v="0"/>
    <n v="0"/>
    <n v="0"/>
    <n v="2850"/>
    <n v="0"/>
    <n v="0"/>
    <n v="3"/>
  </r>
  <r>
    <s v="PAP/CGN"/>
    <s v="CGN"/>
    <x v="0"/>
    <x v="2"/>
    <x v="58"/>
    <x v="2"/>
    <s v="Cologne/Bonn - Airport"/>
    <n v="7685"/>
    <n v="19"/>
    <n v="211893151"/>
    <n v="72765.5051510989"/>
    <n v="2912"/>
    <n v="3.0652631578947367"/>
    <n v="3107"/>
    <n v="257"/>
    <n v="0"/>
    <n v="0"/>
    <n v="0"/>
    <n v="2850"/>
    <n v="0"/>
    <n v="0"/>
    <n v="1"/>
  </r>
  <r>
    <s v="PAP/GAF"/>
    <s v="GAF"/>
    <x v="0"/>
    <x v="4"/>
    <x v="46"/>
    <x v="5"/>
    <s v="Gafsa - Ksar"/>
    <n v="8062"/>
    <n v="19.75"/>
    <n v="171328053"/>
    <n v="82132.336049856181"/>
    <n v="2086"/>
    <n v="2.1957894736842105"/>
    <n v="2156"/>
    <n v="256"/>
    <n v="0"/>
    <n v="0"/>
    <n v="0"/>
    <n v="1900"/>
    <n v="0"/>
    <n v="0"/>
    <n v="0"/>
  </r>
  <r>
    <s v="PAP/OPO"/>
    <s v="OPO"/>
    <x v="0"/>
    <x v="0"/>
    <x v="25"/>
    <x v="2"/>
    <s v="Porto - Francisco Sa Carneiro"/>
    <n v="6474"/>
    <n v="16.25"/>
    <n v="189532237"/>
    <n v="64074.45469912103"/>
    <n v="2958"/>
    <n v="3.1136842105263156"/>
    <n v="3106"/>
    <n v="256"/>
    <n v="0"/>
    <n v="0"/>
    <n v="0"/>
    <n v="2850"/>
    <n v="0"/>
    <n v="0"/>
    <n v="3"/>
  </r>
  <r>
    <s v="PAP/NAG"/>
    <s v="NAG"/>
    <x v="0"/>
    <x v="0"/>
    <x v="42"/>
    <x v="4"/>
    <s v="Nagpur - Dr.Ambedkar Intl"/>
    <n v="14615"/>
    <n v="34.25"/>
    <n v="259416166"/>
    <n v="86587.505340453936"/>
    <n v="2996"/>
    <n v="3.1536842105263156"/>
    <n v="3106"/>
    <n v="256"/>
    <n v="0"/>
    <n v="0"/>
    <n v="0"/>
    <n v="2850"/>
    <n v="0"/>
    <n v="0"/>
    <n v="0"/>
  </r>
  <r>
    <s v="PAP/ASM"/>
    <s v="ASM"/>
    <x v="0"/>
    <x v="1"/>
    <x v="114"/>
    <x v="5"/>
    <s v="Asmara Airport"/>
    <n v="11598"/>
    <n v="27.5"/>
    <n v="218234333"/>
    <n v="55785.872443762782"/>
    <n v="3912"/>
    <n v="4.1178947368421053"/>
    <n v="4055"/>
    <n v="255"/>
    <n v="0"/>
    <n v="0"/>
    <n v="0"/>
    <n v="3800"/>
    <n v="0"/>
    <n v="0"/>
    <n v="4"/>
  </r>
  <r>
    <s v="PAP/ELG"/>
    <s v="ELG"/>
    <x v="0"/>
    <x v="4"/>
    <x v="61"/>
    <x v="5"/>
    <s v="El Golea"/>
    <n v="7587"/>
    <n v="18.75"/>
    <n v="167602897"/>
    <n v="82238.909224730131"/>
    <n v="2038"/>
    <n v="2.1452631578947368"/>
    <n v="2154"/>
    <n v="254"/>
    <n v="0"/>
    <n v="0"/>
    <n v="0"/>
    <n v="1900"/>
    <n v="0"/>
    <n v="0"/>
    <n v="0"/>
  </r>
  <r>
    <s v="PAP/LOO"/>
    <s v="LOO"/>
    <x v="0"/>
    <x v="4"/>
    <x v="61"/>
    <x v="5"/>
    <s v="Laghouat - L'Mekrareg"/>
    <n v="7539"/>
    <n v="18.75"/>
    <n v="167509897"/>
    <n v="82966.76423972263"/>
    <n v="2019"/>
    <n v="2.1252631578947367"/>
    <n v="2154"/>
    <n v="254"/>
    <n v="0"/>
    <n v="0"/>
    <n v="0"/>
    <n v="1900"/>
    <n v="0"/>
    <n v="0"/>
    <n v="0"/>
  </r>
  <r>
    <s v="PAP/TPP"/>
    <s v="TPP"/>
    <x v="0"/>
    <x v="1"/>
    <x v="0"/>
    <x v="0"/>
    <s v="Tarapoto - G.del Castillo Paredes"/>
    <n v="2826"/>
    <n v="8.25"/>
    <n v="130828484"/>
    <n v="43711.488138990979"/>
    <n v="2993"/>
    <n v="3.1505263157894738"/>
    <n v="3103"/>
    <n v="253"/>
    <n v="0"/>
    <n v="0"/>
    <n v="0"/>
    <n v="2850"/>
    <n v="0"/>
    <n v="0"/>
    <n v="0"/>
  </r>
  <r>
    <s v="PAP/LAX"/>
    <s v="LAX"/>
    <x v="0"/>
    <x v="3"/>
    <x v="9"/>
    <x v="3"/>
    <s v="Los Angeles - Metropolitan Area"/>
    <n v="4859"/>
    <n v="12.75"/>
    <n v="209057737"/>
    <n v="70795.034541144603"/>
    <n v="2953"/>
    <n v="3.108421052631579"/>
    <n v="3101"/>
    <n v="251"/>
    <n v="0"/>
    <n v="0"/>
    <n v="0"/>
    <n v="2850"/>
    <n v="0"/>
    <n v="0"/>
    <n v="3"/>
  </r>
  <r>
    <s v="PAP/DLA"/>
    <s v="DLA"/>
    <x v="0"/>
    <x v="1"/>
    <x v="109"/>
    <x v="5"/>
    <s v="Douala - International"/>
    <n v="9027"/>
    <n v="22"/>
    <n v="200792158"/>
    <n v="51235.5595815259"/>
    <n v="3919"/>
    <n v="4.1252631578947367"/>
    <n v="4050"/>
    <n v="250"/>
    <n v="0"/>
    <n v="0"/>
    <n v="0"/>
    <n v="3800"/>
    <n v="0"/>
    <n v="0"/>
    <n v="4"/>
  </r>
  <r>
    <s v="PAP/ATL"/>
    <s v="ATL"/>
    <x v="0"/>
    <x v="3"/>
    <x v="9"/>
    <x v="3"/>
    <s v="Atlanta - Metropolitan Area"/>
    <n v="2063"/>
    <n v="6.75"/>
    <n v="180848611"/>
    <n v="60403.677688710755"/>
    <n v="2994"/>
    <n v="3.1515789473684213"/>
    <n v="3094"/>
    <n v="244"/>
    <n v="0"/>
    <n v="0"/>
    <n v="0"/>
    <n v="2850"/>
    <n v="0"/>
    <n v="0"/>
    <n v="3"/>
  </r>
  <r>
    <s v="PAP/KIM"/>
    <s v="KIM"/>
    <x v="0"/>
    <x v="4"/>
    <x v="29"/>
    <x v="5"/>
    <s v="Kimberley"/>
    <n v="11657"/>
    <n v="27.75"/>
    <n v="212884835"/>
    <n v="72066.633378469865"/>
    <n v="2954"/>
    <n v="3.1094736842105264"/>
    <n v="3092"/>
    <n v="242"/>
    <n v="0"/>
    <n v="0"/>
    <n v="0"/>
    <n v="2850"/>
    <n v="0"/>
    <n v="0"/>
    <n v="3"/>
  </r>
  <r>
    <s v="PAP/THR"/>
    <s v="THR"/>
    <x v="0"/>
    <x v="2"/>
    <x v="66"/>
    <x v="4"/>
    <s v="Tehran - Metropolitan Area"/>
    <n v="11556"/>
    <n v="27.5"/>
    <n v="248643964"/>
    <n v="52534.114515106696"/>
    <n v="4733"/>
    <n v="4.9821052631578944"/>
    <n v="4986"/>
    <n v="236"/>
    <n v="0"/>
    <n v="0"/>
    <n v="0"/>
    <n v="4750"/>
    <n v="0"/>
    <n v="0"/>
    <n v="5"/>
  </r>
  <r>
    <s v="PAP/YVR"/>
    <s v="YVR"/>
    <x v="0"/>
    <x v="2"/>
    <x v="2"/>
    <x v="1"/>
    <s v="Vancouver - Metropolitan Area"/>
    <n v="5651"/>
    <n v="14.5"/>
    <n v="199090269"/>
    <n v="66921.098823529406"/>
    <n v="2975"/>
    <n v="3.1315789473684212"/>
    <n v="3085"/>
    <n v="235"/>
    <n v="0"/>
    <n v="0"/>
    <n v="0"/>
    <n v="2850"/>
    <n v="0"/>
    <n v="0"/>
    <n v="3"/>
  </r>
  <r>
    <s v="PAP/GIZ"/>
    <s v="GIZ"/>
    <x v="0"/>
    <x v="1"/>
    <x v="35"/>
    <x v="4"/>
    <s v="Gizan"/>
    <n v="11878"/>
    <n v="28.25"/>
    <n v="227832509"/>
    <n v="76582.35596638656"/>
    <n v="2975"/>
    <n v="3.1315789473684212"/>
    <n v="3085"/>
    <n v="235"/>
    <n v="0"/>
    <n v="0"/>
    <n v="0"/>
    <n v="2850"/>
    <n v="0"/>
    <n v="0"/>
    <n v="0"/>
  </r>
  <r>
    <s v="PAP/GIG"/>
    <s v="GIG"/>
    <x v="0"/>
    <x v="2"/>
    <x v="1"/>
    <x v="0"/>
    <s v="Rio de Janeiro - Galeao-A.C.Jobim Intl"/>
    <n v="5581"/>
    <n v="14.5"/>
    <n v="192621821"/>
    <n v="50292.903655352478"/>
    <n v="3830"/>
    <n v="4.0315789473684207"/>
    <n v="4034"/>
    <n v="234"/>
    <n v="0"/>
    <n v="0"/>
    <n v="0"/>
    <n v="3800"/>
    <n v="0"/>
    <n v="0"/>
    <n v="4"/>
  </r>
  <r>
    <s v="PAP/ZRH"/>
    <s v="ZRH"/>
    <x v="0"/>
    <x v="3"/>
    <x v="44"/>
    <x v="2"/>
    <s v="Zurich - Airport"/>
    <n v="7821"/>
    <n v="19.25"/>
    <n v="224168030"/>
    <n v="76822.491432488008"/>
    <n v="2918"/>
    <n v="3.0715789473684212"/>
    <n v="3084"/>
    <n v="234"/>
    <n v="0"/>
    <n v="0"/>
    <n v="0"/>
    <n v="2850"/>
    <n v="0"/>
    <n v="0"/>
    <n v="1"/>
  </r>
  <r>
    <s v="PAP/KIX"/>
    <s v="KIX"/>
    <x v="0"/>
    <x v="2"/>
    <x v="18"/>
    <x v="4"/>
    <s v="Osaka - Kansai International"/>
    <n v="13444"/>
    <n v="31.75"/>
    <n v="276326468"/>
    <n v="71941.282999218951"/>
    <n v="3841"/>
    <n v="4.0431578947368418"/>
    <n v="4033"/>
    <n v="233"/>
    <n v="0"/>
    <n v="0"/>
    <n v="0"/>
    <n v="3800"/>
    <n v="0"/>
    <n v="0"/>
    <n v="4"/>
  </r>
  <r>
    <s v="PAP/FOC"/>
    <s v="FOC"/>
    <x v="0"/>
    <x v="0"/>
    <x v="12"/>
    <x v="4"/>
    <s v="Fuzhou - Changle Intl"/>
    <n v="14903"/>
    <n v="34.75"/>
    <n v="275395994"/>
    <n v="95292.731487889279"/>
    <n v="2890"/>
    <n v="3.0421052631578949"/>
    <n v="3083"/>
    <n v="233"/>
    <n v="0"/>
    <n v="0"/>
    <n v="0"/>
    <n v="2850"/>
    <n v="0"/>
    <n v="0"/>
    <n v="0"/>
  </r>
  <r>
    <s v="PAP/IFN"/>
    <s v="IFN"/>
    <x v="0"/>
    <x v="0"/>
    <x v="66"/>
    <x v="4"/>
    <s v="Esfahan - Shahid Beheshti Intl"/>
    <n v="11786"/>
    <n v="28"/>
    <n v="233803784"/>
    <n v="61077.268547544409"/>
    <n v="3828"/>
    <n v="4.0294736842105259"/>
    <n v="4032"/>
    <n v="232"/>
    <n v="0"/>
    <n v="0"/>
    <n v="0"/>
    <n v="3800"/>
    <n v="0"/>
    <n v="0"/>
    <n v="0"/>
  </r>
  <r>
    <s v="PAP/TYN"/>
    <s v="TYN"/>
    <x v="0"/>
    <x v="0"/>
    <x v="12"/>
    <x v="4"/>
    <s v="Taiyuan - Wusu Intl"/>
    <n v="13734"/>
    <n v="32.25"/>
    <n v="261835842"/>
    <n v="68204.178692367801"/>
    <n v="3839"/>
    <n v="4.041052631578947"/>
    <n v="4031"/>
    <n v="231"/>
    <n v="0"/>
    <n v="0"/>
    <n v="0"/>
    <n v="3800"/>
    <n v="0"/>
    <n v="0"/>
    <n v="0"/>
  </r>
  <r>
    <s v="PAP/DAC"/>
    <s v="DAC"/>
    <x v="0"/>
    <x v="0"/>
    <x v="115"/>
    <x v="4"/>
    <s v="Dhaka - Hazrat Shahjalal Intl"/>
    <n v="14942"/>
    <n v="35"/>
    <n v="276685708"/>
    <n v="71866.417662337655"/>
    <n v="3850"/>
    <n v="4.0526315789473681"/>
    <n v="4030"/>
    <n v="230"/>
    <n v="0"/>
    <n v="0"/>
    <n v="0"/>
    <n v="3800"/>
    <n v="0"/>
    <n v="0"/>
    <n v="4"/>
  </r>
  <r>
    <s v="PAP/UIO"/>
    <s v="UIO"/>
    <x v="0"/>
    <x v="0"/>
    <x v="13"/>
    <x v="0"/>
    <s v="Quito - Mariscal Sucre Intl"/>
    <n v="2189"/>
    <n v="7"/>
    <n v="147799148"/>
    <n v="39152.092185430462"/>
    <n v="3775"/>
    <n v="3.9736842105263159"/>
    <n v="4027"/>
    <n v="227"/>
    <n v="0"/>
    <n v="0"/>
    <n v="0"/>
    <n v="3800"/>
    <n v="0"/>
    <n v="0"/>
    <n v="0"/>
  </r>
  <r>
    <s v="PAP/ITO"/>
    <s v="ITO"/>
    <x v="0"/>
    <x v="0"/>
    <x v="9"/>
    <x v="3"/>
    <s v="Hilo - International"/>
    <n v="8596"/>
    <n v="21"/>
    <m/>
    <n v="0"/>
    <m/>
    <n v="0"/>
    <n v="2126"/>
    <n v="226"/>
    <n v="0"/>
    <n v="0"/>
    <n v="0"/>
    <n v="1900"/>
    <n v="0"/>
    <n v="2"/>
    <n v="0"/>
  </r>
  <r>
    <s v="PAP/CHS"/>
    <s v="CHS"/>
    <x v="0"/>
    <x v="5"/>
    <x v="9"/>
    <x v="3"/>
    <s v="Charleston - International/AFB"/>
    <n v="1770"/>
    <n v="6"/>
    <m/>
    <n v="0"/>
    <m/>
    <n v="0"/>
    <n v="2124"/>
    <n v="224"/>
    <n v="0"/>
    <n v="0"/>
    <n v="0"/>
    <n v="1900"/>
    <n v="0"/>
    <n v="0"/>
    <n v="0"/>
  </r>
  <r>
    <s v="PAP/CLT"/>
    <s v="CLT"/>
    <x v="0"/>
    <x v="3"/>
    <x v="9"/>
    <x v="3"/>
    <s v="Charlotte - Metropolitan Area"/>
    <n v="2036"/>
    <n v="6.5"/>
    <n v="176329454"/>
    <n v="60845.222222222219"/>
    <n v="2898"/>
    <n v="3.0505263157894738"/>
    <n v="3073"/>
    <n v="223"/>
    <n v="0"/>
    <n v="0"/>
    <n v="0"/>
    <n v="2850"/>
    <n v="0"/>
    <n v="0"/>
    <n v="2"/>
  </r>
  <r>
    <s v="PAP/ADA"/>
    <s v="ADA"/>
    <x v="0"/>
    <x v="0"/>
    <x v="24"/>
    <x v="4"/>
    <s v="Adana - Sakirpasa"/>
    <n v="10245"/>
    <n v="24.5"/>
    <n v="221145064"/>
    <n v="57172.974146845918"/>
    <n v="3868"/>
    <n v="4.0715789473684207"/>
    <n v="4023"/>
    <n v="223"/>
    <n v="0"/>
    <n v="0"/>
    <n v="0"/>
    <n v="3800"/>
    <n v="0"/>
    <n v="0"/>
    <n v="0"/>
  </r>
  <r>
    <s v="PAP/DUB"/>
    <s v="DUB"/>
    <x v="0"/>
    <x v="3"/>
    <x v="116"/>
    <x v="2"/>
    <s v="Dublin - International"/>
    <n v="6780"/>
    <n v="17"/>
    <n v="214163264"/>
    <n v="53261.194727679678"/>
    <n v="4021"/>
    <n v="4.2326315789473687"/>
    <n v="4021"/>
    <n v="221"/>
    <n v="0"/>
    <n v="0"/>
    <n v="0"/>
    <n v="3800"/>
    <n v="0"/>
    <n v="0"/>
    <n v="4"/>
  </r>
  <r>
    <s v="PAP/JIB"/>
    <s v="JIB"/>
    <x v="0"/>
    <x v="1"/>
    <x v="117"/>
    <x v="5"/>
    <s v="Djibouti - Ambouli Intl"/>
    <n v="12189"/>
    <n v="29"/>
    <n v="224735029"/>
    <n v="58372.734805194807"/>
    <n v="3850"/>
    <n v="4.0526315789473681"/>
    <n v="4017"/>
    <n v="217"/>
    <n v="0"/>
    <n v="0"/>
    <n v="0"/>
    <n v="3800"/>
    <n v="0"/>
    <n v="0"/>
    <n v="4"/>
  </r>
  <r>
    <s v="PAP/CCU"/>
    <s v="CCU"/>
    <x v="0"/>
    <x v="2"/>
    <x v="42"/>
    <x v="4"/>
    <s v="Kolkata - Subhas Chandra Bose"/>
    <n v="14979"/>
    <n v="35"/>
    <n v="284309484"/>
    <n v="74348.714435146438"/>
    <n v="3824"/>
    <n v="4.0252631578947371"/>
    <n v="4015"/>
    <n v="215"/>
    <n v="0"/>
    <n v="0"/>
    <n v="0"/>
    <n v="3800"/>
    <n v="0"/>
    <n v="0"/>
    <n v="4"/>
  </r>
  <r>
    <s v="PAP/MZT"/>
    <s v="MZT"/>
    <x v="0"/>
    <x v="1"/>
    <x v="15"/>
    <x v="1"/>
    <s v="Mazatlan - Rafael Buelna Intl"/>
    <n v="3559"/>
    <n v="10"/>
    <n v="145755634"/>
    <n v="49325.087648054148"/>
    <n v="2955"/>
    <n v="3.1105263157894738"/>
    <n v="3064"/>
    <n v="214"/>
    <n v="0"/>
    <n v="0"/>
    <n v="0"/>
    <n v="2850"/>
    <n v="0"/>
    <n v="0"/>
    <n v="3"/>
  </r>
  <r>
    <s v="PAP/BBU"/>
    <s v="BBU"/>
    <x v="0"/>
    <x v="2"/>
    <x v="23"/>
    <x v="2"/>
    <s v="Bucharest - Baneasa - Aurel Vlaicu"/>
    <n v="9213"/>
    <n v="22.25"/>
    <n v="223056138"/>
    <n v="58947.182346723042"/>
    <n v="3784"/>
    <n v="3.9831578947368422"/>
    <n v="4011"/>
    <n v="211"/>
    <n v="0"/>
    <n v="0"/>
    <n v="0"/>
    <n v="3800"/>
    <n v="0"/>
    <n v="0"/>
    <n v="4"/>
  </r>
  <r>
    <s v="PAP/SFO"/>
    <s v="SFO"/>
    <x v="0"/>
    <x v="3"/>
    <x v="9"/>
    <x v="3"/>
    <s v="San Francisco - International"/>
    <n v="5277"/>
    <n v="13.75"/>
    <n v="209493421"/>
    <n v="72994.223344947735"/>
    <n v="2870"/>
    <n v="3.0210526315789474"/>
    <n v="3061"/>
    <n v="211"/>
    <n v="0"/>
    <n v="0"/>
    <n v="0"/>
    <n v="2850"/>
    <n v="0"/>
    <n v="0"/>
    <n v="3"/>
  </r>
  <r>
    <s v="PAP/STR"/>
    <s v="STR"/>
    <x v="0"/>
    <x v="2"/>
    <x v="58"/>
    <x v="2"/>
    <s v="Stuttgart - Airport"/>
    <n v="7855"/>
    <n v="19.25"/>
    <n v="213350230"/>
    <n v="73265.87568681319"/>
    <n v="2912"/>
    <n v="3.0652631578947367"/>
    <n v="3058"/>
    <n v="208"/>
    <n v="0"/>
    <n v="0"/>
    <n v="0"/>
    <n v="2850"/>
    <n v="0"/>
    <n v="0"/>
    <n v="1"/>
  </r>
  <r>
    <s v="PAP/CLO"/>
    <s v="CLO"/>
    <x v="0"/>
    <x v="0"/>
    <x v="8"/>
    <x v="0"/>
    <s v="Cali - Alfonso B. Aragon Intl"/>
    <n v="1730"/>
    <n v="6"/>
    <n v="134453426"/>
    <n v="45484.920838971586"/>
    <n v="2956"/>
    <n v="3.1115789473684212"/>
    <n v="3055"/>
    <n v="205"/>
    <n v="0"/>
    <n v="0"/>
    <n v="0"/>
    <n v="2850"/>
    <n v="0"/>
    <n v="3"/>
    <n v="0"/>
  </r>
  <r>
    <s v="PAP/GDL"/>
    <s v="GDL"/>
    <x v="0"/>
    <x v="2"/>
    <x v="15"/>
    <x v="1"/>
    <s v="Guadalajara - Miguel Hidalgo Intl"/>
    <n v="3252"/>
    <n v="9.25"/>
    <n v="162230551"/>
    <n v="42703.488023163991"/>
    <n v="3799"/>
    <n v="3.9989473684210526"/>
    <n v="4002"/>
    <n v="202"/>
    <n v="0"/>
    <n v="0"/>
    <n v="0"/>
    <n v="3800"/>
    <n v="0"/>
    <n v="0"/>
    <n v="4"/>
  </r>
  <r>
    <s v="PAP/AGP"/>
    <s v="AGP"/>
    <x v="0"/>
    <x v="2"/>
    <x v="37"/>
    <x v="2"/>
    <s v="Malaga - Airport"/>
    <n v="6836"/>
    <n v="17.25"/>
    <n v="206107596"/>
    <n v="71789.479623824445"/>
    <n v="2871"/>
    <n v="3.0221052631578948"/>
    <n v="3043"/>
    <n v="193"/>
    <n v="0"/>
    <n v="0"/>
    <n v="0"/>
    <n v="2850"/>
    <n v="0"/>
    <n v="0"/>
    <n v="3"/>
  </r>
  <r>
    <s v="PAP/BHX"/>
    <s v="BHX"/>
    <x v="0"/>
    <x v="2"/>
    <x v="55"/>
    <x v="2"/>
    <s v="Birmingham - Airport"/>
    <n v="7071"/>
    <n v="17.75"/>
    <n v="203715273"/>
    <n v="71229.116433566436"/>
    <n v="2860"/>
    <n v="3.0105263157894737"/>
    <n v="3042"/>
    <n v="192"/>
    <n v="0"/>
    <n v="0"/>
    <n v="0"/>
    <n v="2850"/>
    <n v="0"/>
    <n v="0"/>
    <n v="3"/>
  </r>
  <r>
    <s v="PAP/HBE"/>
    <s v="HBE"/>
    <x v="0"/>
    <x v="1"/>
    <x v="14"/>
    <x v="5"/>
    <s v="Alexandria - Borg el Arab"/>
    <n v="10043"/>
    <n v="24.25"/>
    <n v="202200452"/>
    <n v="70281.700382342722"/>
    <n v="2877"/>
    <n v="3.0284210526315789"/>
    <n v="3040"/>
    <n v="190"/>
    <n v="0"/>
    <n v="0"/>
    <n v="0"/>
    <n v="2850"/>
    <n v="0"/>
    <n v="0"/>
    <n v="3"/>
  </r>
  <r>
    <s v="PAP/UTN"/>
    <s v="UTN"/>
    <x v="0"/>
    <x v="4"/>
    <x v="29"/>
    <x v="5"/>
    <s v="Upington"/>
    <n v="11314"/>
    <n v="27"/>
    <n v="207893890"/>
    <n v="72945.224561403506"/>
    <n v="2850"/>
    <n v="3"/>
    <n v="3040"/>
    <n v="190"/>
    <n v="0"/>
    <n v="0"/>
    <n v="0"/>
    <n v="2850"/>
    <n v="0"/>
    <n v="0"/>
    <n v="3"/>
  </r>
  <r>
    <s v="PAP/FNA"/>
    <s v="FNA"/>
    <x v="0"/>
    <x v="1"/>
    <x v="118"/>
    <x v="5"/>
    <s v="Freetown - Metropolitan Area"/>
    <n v="6457"/>
    <n v="16.25"/>
    <n v="168398261"/>
    <n v="44632.457195865361"/>
    <n v="3773"/>
    <n v="3.9715789473684211"/>
    <n v="3987"/>
    <n v="187"/>
    <n v="0"/>
    <n v="0"/>
    <n v="0"/>
    <n v="3800"/>
    <n v="0"/>
    <n v="0"/>
    <n v="4"/>
  </r>
  <r>
    <s v="PAP/VKO"/>
    <s v="VKO"/>
    <x v="0"/>
    <x v="2"/>
    <x v="34"/>
    <x v="2"/>
    <s v="Moscow - Vnukovo"/>
    <n v="9477"/>
    <n v="23"/>
    <n v="225123593"/>
    <n v="58948.309243257398"/>
    <n v="3819"/>
    <n v="4.0199999999999996"/>
    <n v="3985"/>
    <n v="185"/>
    <n v="0"/>
    <n v="0"/>
    <n v="0"/>
    <n v="3800"/>
    <n v="0"/>
    <n v="0"/>
    <n v="4"/>
  </r>
  <r>
    <s v="PAP/AWZ"/>
    <s v="AWZ"/>
    <x v="0"/>
    <x v="0"/>
    <x v="66"/>
    <x v="4"/>
    <s v="Ahwaz"/>
    <n v="11633"/>
    <n v="27.75"/>
    <n v="233630318"/>
    <n v="60588.775414937758"/>
    <n v="3856"/>
    <n v="4.0589473684210526"/>
    <n v="3985"/>
    <n v="185"/>
    <n v="0"/>
    <n v="0"/>
    <n v="0"/>
    <n v="3800"/>
    <n v="0"/>
    <n v="0"/>
    <n v="0"/>
  </r>
  <r>
    <s v="PAP/KWE"/>
    <s v="KWE"/>
    <x v="0"/>
    <x v="0"/>
    <x v="12"/>
    <x v="4"/>
    <s v="Guiyang - Longdongbao Intl"/>
    <n v="15015"/>
    <n v="35"/>
    <n v="276875770"/>
    <n v="95277.278045423256"/>
    <n v="2906"/>
    <n v="3.0589473684210526"/>
    <n v="3032"/>
    <n v="182"/>
    <n v="0"/>
    <n v="0"/>
    <n v="0"/>
    <n v="2850"/>
    <n v="0"/>
    <n v="0"/>
    <n v="0"/>
  </r>
  <r>
    <s v="PAP/TID"/>
    <s v="TID"/>
    <x v="0"/>
    <x v="4"/>
    <x v="61"/>
    <x v="5"/>
    <s v="Tiaret - Bou Chekif"/>
    <n v="7383"/>
    <n v="18.25"/>
    <n v="164058897"/>
    <n v="83194.166835699798"/>
    <n v="1972"/>
    <n v="2.0757894736842104"/>
    <n v="2078"/>
    <n v="178"/>
    <n v="0"/>
    <n v="0"/>
    <n v="0"/>
    <n v="1900"/>
    <n v="0"/>
    <n v="0"/>
    <n v="0"/>
  </r>
  <r>
    <s v="PAP/MCZ"/>
    <s v="MCZ"/>
    <x v="0"/>
    <x v="0"/>
    <x v="1"/>
    <x v="0"/>
    <s v="Maceio - Zumbi dos Palmares Int"/>
    <n v="5079"/>
    <n v="13.25"/>
    <n v="164624162"/>
    <n v="56591.324166380196"/>
    <n v="2909"/>
    <n v="3.0621052631578949"/>
    <n v="3025"/>
    <n v="175"/>
    <n v="0"/>
    <n v="0"/>
    <n v="0"/>
    <n v="2850"/>
    <n v="0"/>
    <n v="0"/>
    <n v="0"/>
  </r>
  <r>
    <s v="PAP/LHE"/>
    <s v="LHE"/>
    <x v="0"/>
    <x v="0"/>
    <x v="85"/>
    <x v="4"/>
    <s v="Lahore - Allama Iqbal Intl"/>
    <n v="13411"/>
    <n v="31.5"/>
    <n v="256029346"/>
    <n v="54083.089564850023"/>
    <n v="4734"/>
    <n v="4.9831578947368422"/>
    <n v="4924"/>
    <n v="174"/>
    <n v="0"/>
    <n v="0"/>
    <n v="0"/>
    <n v="4750"/>
    <n v="0"/>
    <n v="0"/>
    <n v="0"/>
  </r>
  <r>
    <s v="PAP/VTZ"/>
    <s v="VTZ"/>
    <x v="0"/>
    <x v="1"/>
    <x v="42"/>
    <x v="4"/>
    <s v="Vishakhapatnam"/>
    <n v="15176"/>
    <n v="35.5"/>
    <n v="260973797"/>
    <n v="92086.731474947068"/>
    <n v="2834"/>
    <n v="2.9831578947368422"/>
    <n v="3023"/>
    <n v="173"/>
    <n v="0"/>
    <n v="0"/>
    <n v="0"/>
    <n v="2850"/>
    <n v="0"/>
    <n v="0"/>
    <n v="0"/>
  </r>
  <r>
    <s v="PAP/GUM"/>
    <s v="GUM"/>
    <x v="0"/>
    <x v="0"/>
    <x v="119"/>
    <x v="6"/>
    <s v="Guam - Metropolitan Area"/>
    <n v="14612"/>
    <n v="34.25"/>
    <n v="265131397"/>
    <n v="135686.48771750255"/>
    <n v="1954"/>
    <n v="2.0568421052631578"/>
    <n v="2071"/>
    <n v="171"/>
    <n v="0"/>
    <n v="0"/>
    <n v="0"/>
    <n v="1900"/>
    <n v="0"/>
    <n v="0"/>
    <n v="0"/>
  </r>
  <r>
    <s v="PAP/SRE"/>
    <s v="SRE"/>
    <x v="0"/>
    <x v="1"/>
    <x v="49"/>
    <x v="0"/>
    <s v="Sucre - Alcantari"/>
    <n v="4250"/>
    <n v="11.5"/>
    <n v="142366718"/>
    <n v="49795.983910458199"/>
    <n v="2859"/>
    <n v="3.0094736842105263"/>
    <n v="3021"/>
    <n v="171"/>
    <n v="0"/>
    <n v="0"/>
    <n v="0"/>
    <n v="2850"/>
    <n v="0"/>
    <n v="0"/>
    <n v="0"/>
  </r>
  <r>
    <s v="PAP/MED"/>
    <s v="MED"/>
    <x v="0"/>
    <x v="3"/>
    <x v="35"/>
    <x v="4"/>
    <s v="Madinah - Mohammad Bin Abdulaziz"/>
    <n v="11232"/>
    <n v="26.75"/>
    <n v="259183809"/>
    <n v="56051.861807958478"/>
    <n v="4624"/>
    <n v="4.8673684210526318"/>
    <n v="4918"/>
    <n v="168"/>
    <n v="0"/>
    <n v="0"/>
    <n v="0"/>
    <n v="4750"/>
    <n v="0"/>
    <n v="0"/>
    <n v="5"/>
  </r>
  <r>
    <s v="PAP/AAE"/>
    <s v="AAE"/>
    <x v="0"/>
    <x v="1"/>
    <x v="61"/>
    <x v="5"/>
    <s v="Annaba - Rabah Bitat"/>
    <n v="7925"/>
    <n v="19.5"/>
    <n v="185866135"/>
    <n v="65515.028198801549"/>
    <n v="2837"/>
    <n v="2.986315789473684"/>
    <n v="3017"/>
    <n v="167"/>
    <n v="0"/>
    <n v="0"/>
    <n v="0"/>
    <n v="2850"/>
    <n v="0"/>
    <n v="0"/>
    <n v="3"/>
  </r>
  <r>
    <s v="PAP/HAM"/>
    <s v="HAM"/>
    <x v="0"/>
    <x v="2"/>
    <x v="58"/>
    <x v="2"/>
    <s v="Hamburg - Airport"/>
    <n v="7853"/>
    <n v="19.25"/>
    <n v="212921502"/>
    <n v="73573.428472702144"/>
    <n v="2894"/>
    <n v="3.0463157894736841"/>
    <n v="3010"/>
    <n v="160"/>
    <n v="0"/>
    <n v="0"/>
    <n v="0"/>
    <n v="2850"/>
    <n v="0"/>
    <n v="0"/>
    <n v="3"/>
  </r>
  <r>
    <s v="PAP/SDD"/>
    <s v="SDD"/>
    <x v="0"/>
    <x v="1"/>
    <x v="65"/>
    <x v="5"/>
    <s v="Lubango - Mukanka"/>
    <n v="10112"/>
    <n v="24.25"/>
    <n v="203744642"/>
    <n v="54947.314455231928"/>
    <n v="3708"/>
    <n v="3.9031578947368422"/>
    <n v="3955"/>
    <n v="155"/>
    <n v="0"/>
    <n v="0"/>
    <n v="0"/>
    <n v="3800"/>
    <n v="0"/>
    <n v="0"/>
    <n v="4"/>
  </r>
  <r>
    <s v="PAP/LIM"/>
    <s v="LIM"/>
    <x v="0"/>
    <x v="2"/>
    <x v="0"/>
    <x v="0"/>
    <s v="Lima - Jorge Chavez Intl"/>
    <n v="3444"/>
    <n v="9.75"/>
    <n v="167319511"/>
    <n v="35494.168646584643"/>
    <n v="4714"/>
    <n v="4.9621052631578948"/>
    <n v="4904"/>
    <n v="154"/>
    <n v="0"/>
    <n v="0"/>
    <n v="0"/>
    <n v="4750"/>
    <n v="0"/>
    <n v="0"/>
    <n v="5"/>
  </r>
  <r>
    <s v="PAP/SEZ"/>
    <s v="SEZ"/>
    <x v="0"/>
    <x v="1"/>
    <x v="120"/>
    <x v="5"/>
    <s v="Mahe Island - Seychelles Intl"/>
    <n v="14152"/>
    <n v="33.25"/>
    <n v="245259418"/>
    <n v="124307.86517992904"/>
    <n v="1973"/>
    <n v="2.0768421052631578"/>
    <n v="2052"/>
    <n v="152"/>
    <n v="0"/>
    <n v="0"/>
    <n v="0"/>
    <n v="1900"/>
    <n v="0"/>
    <n v="2"/>
    <n v="0"/>
  </r>
  <r>
    <s v="PAP/CGR"/>
    <s v="CGR"/>
    <x v="0"/>
    <x v="1"/>
    <x v="1"/>
    <x v="0"/>
    <s v="Campo Grande - International"/>
    <n v="4749"/>
    <n v="12.5"/>
    <n v="159974195"/>
    <n v="56052.626138752625"/>
    <n v="2854"/>
    <n v="3.0042105263157897"/>
    <n v="2997"/>
    <n v="147"/>
    <n v="0"/>
    <n v="0"/>
    <n v="0"/>
    <n v="2850"/>
    <n v="0"/>
    <n v="1"/>
    <n v="0"/>
  </r>
  <r>
    <s v="PAP/AYT"/>
    <s v="AYT"/>
    <x v="0"/>
    <x v="2"/>
    <x v="24"/>
    <x v="4"/>
    <s v="Antalya"/>
    <n v="9884"/>
    <n v="23.75"/>
    <n v="241023895"/>
    <n v="51732.967374973174"/>
    <n v="4659"/>
    <n v="4.9042105263157891"/>
    <n v="4892"/>
    <n v="142"/>
    <n v="0"/>
    <n v="0"/>
    <n v="0"/>
    <n v="4750"/>
    <n v="0"/>
    <n v="0"/>
    <n v="5"/>
  </r>
  <r>
    <s v="PAP/PUS"/>
    <s v="PUS"/>
    <x v="0"/>
    <x v="2"/>
    <x v="82"/>
    <x v="4"/>
    <s v="Busan - Gimhae Intl"/>
    <n v="13635"/>
    <n v="32"/>
    <n v="266849348"/>
    <n v="70876.320849933603"/>
    <n v="3765"/>
    <n v="3.9631578947368422"/>
    <n v="3941"/>
    <n v="141"/>
    <n v="0"/>
    <n v="0"/>
    <n v="0"/>
    <n v="3800"/>
    <n v="0"/>
    <n v="0"/>
    <n v="4"/>
  </r>
  <r>
    <s v="PAP/MCT"/>
    <s v="MCT"/>
    <x v="0"/>
    <x v="0"/>
    <x v="121"/>
    <x v="4"/>
    <s v="Muscat - International"/>
    <n v="12896"/>
    <n v="30.5"/>
    <n v="252768698"/>
    <n v="67766.406970509386"/>
    <n v="3730"/>
    <n v="3.9263157894736844"/>
    <n v="3941"/>
    <n v="141"/>
    <n v="0"/>
    <n v="0"/>
    <n v="0"/>
    <n v="3800"/>
    <n v="0"/>
    <n v="0"/>
    <n v="0"/>
  </r>
  <r>
    <s v="PAP/EDI"/>
    <s v="EDI"/>
    <x v="0"/>
    <x v="2"/>
    <x v="55"/>
    <x v="2"/>
    <s v="Edinburgh - Airport"/>
    <n v="7000"/>
    <n v="17.5"/>
    <n v="202950134"/>
    <n v="71060.9712885154"/>
    <n v="2856"/>
    <n v="3.0063157894736841"/>
    <n v="2989"/>
    <n v="139"/>
    <n v="0"/>
    <n v="0"/>
    <n v="0"/>
    <n v="2850"/>
    <n v="0"/>
    <n v="0"/>
    <n v="3"/>
  </r>
  <r>
    <s v="PAP/KWL"/>
    <s v="KWL"/>
    <x v="0"/>
    <x v="0"/>
    <x v="12"/>
    <x v="4"/>
    <s v="Guilin - Liangjiang Intl"/>
    <n v="15142"/>
    <n v="35.25"/>
    <n v="277382373"/>
    <n v="96279.89343977785"/>
    <n v="2881"/>
    <n v="3.0326315789473686"/>
    <n v="2987"/>
    <n v="137"/>
    <n v="0"/>
    <n v="0"/>
    <n v="0"/>
    <n v="2850"/>
    <n v="0"/>
    <n v="0"/>
    <n v="0"/>
  </r>
  <r>
    <s v="PAP/ABV"/>
    <s v="ABV"/>
    <x v="0"/>
    <x v="0"/>
    <x v="75"/>
    <x v="5"/>
    <s v="Abuja - Nnamdi Azikiwe Intl"/>
    <n v="8599"/>
    <n v="21"/>
    <n v="210916613"/>
    <n v="45202.874624946424"/>
    <n v="4666"/>
    <n v="4.9115789473684215"/>
    <n v="4884"/>
    <n v="134"/>
    <n v="0"/>
    <n v="0"/>
    <n v="0"/>
    <n v="4750"/>
    <n v="0"/>
    <n v="0"/>
    <n v="5"/>
  </r>
  <r>
    <s v="PAP/GLA"/>
    <s v="GLA"/>
    <x v="0"/>
    <x v="2"/>
    <x v="55"/>
    <x v="2"/>
    <s v="Glasgow - Metropolitan Area"/>
    <n v="6934"/>
    <n v="17.25"/>
    <n v="201117564"/>
    <n v="71368.901348474101"/>
    <n v="2818"/>
    <n v="2.966315789473684"/>
    <n v="2978"/>
    <n v="128"/>
    <n v="0"/>
    <n v="0"/>
    <n v="0"/>
    <n v="2850"/>
    <n v="0"/>
    <n v="0"/>
    <n v="3"/>
  </r>
  <r>
    <s v="PAP/OUA"/>
    <s v="OUA"/>
    <x v="0"/>
    <x v="1"/>
    <x v="104"/>
    <x v="5"/>
    <s v="Ouagadougou"/>
    <n v="7574"/>
    <n v="18.75"/>
    <n v="181383793"/>
    <n v="47896.433324531288"/>
    <n v="3787"/>
    <n v="3.986315789473684"/>
    <n v="3926"/>
    <n v="126"/>
    <n v="0"/>
    <n v="0"/>
    <n v="0"/>
    <n v="3800"/>
    <n v="0"/>
    <n v="0"/>
    <n v="4"/>
  </r>
  <r>
    <s v="PAP/GUA"/>
    <s v="GUA"/>
    <x v="0"/>
    <x v="0"/>
    <x v="122"/>
    <x v="1"/>
    <s v="Guatemala City - La Aurora International Airport"/>
    <n v="1992"/>
    <n v="6.5"/>
    <n v="139403597"/>
    <n v="37045.866861546638"/>
    <n v="3763"/>
    <n v="3.9610526315789474"/>
    <n v="3926"/>
    <n v="126"/>
    <n v="0"/>
    <n v="0"/>
    <n v="0"/>
    <n v="3800"/>
    <n v="0"/>
    <n v="0"/>
    <n v="4"/>
  </r>
  <r>
    <s v="PAP/CIX"/>
    <s v="CIX"/>
    <x v="0"/>
    <x v="1"/>
    <x v="0"/>
    <x v="0"/>
    <s v="Chiclayo - J.A. Quinones Gonzalez"/>
    <n v="2940"/>
    <n v="8.5"/>
    <n v="128783527"/>
    <n v="45797.840327169273"/>
    <n v="2812"/>
    <n v="2.96"/>
    <n v="2972"/>
    <n v="122"/>
    <n v="0"/>
    <n v="0"/>
    <n v="0"/>
    <n v="2850"/>
    <n v="0"/>
    <n v="0"/>
    <n v="0"/>
  </r>
  <r>
    <s v="PAP/LAS"/>
    <s v="LAS"/>
    <x v="0"/>
    <x v="3"/>
    <x v="9"/>
    <x v="3"/>
    <s v="Las Vegas - Metropolitan Area"/>
    <n v="4613"/>
    <n v="12.25"/>
    <n v="203717648"/>
    <n v="70858.312347826082"/>
    <n v="2875"/>
    <n v="3.0263157894736841"/>
    <n v="2971"/>
    <n v="121"/>
    <n v="0"/>
    <n v="0"/>
    <n v="0"/>
    <n v="2850"/>
    <n v="0"/>
    <n v="0"/>
    <n v="3"/>
  </r>
  <r>
    <s v="PAP/CGQ"/>
    <s v="CGQ"/>
    <x v="0"/>
    <x v="0"/>
    <x v="12"/>
    <x v="4"/>
    <s v="Changchun - Longjia Intl"/>
    <n v="12823"/>
    <n v="30.25"/>
    <n v="250884055"/>
    <n v="66777.762842693643"/>
    <n v="3757"/>
    <n v="3.9547368421052633"/>
    <n v="3920"/>
    <n v="120"/>
    <n v="0"/>
    <n v="0"/>
    <n v="0"/>
    <n v="3800"/>
    <n v="0"/>
    <n v="0"/>
    <n v="0"/>
  </r>
  <r>
    <s v="PAP/YOW"/>
    <s v="YOW"/>
    <x v="0"/>
    <x v="0"/>
    <x v="2"/>
    <x v="1"/>
    <s v="Ottawa - Metropolitan Area"/>
    <n v="2990"/>
    <n v="8.75"/>
    <n v="154491741"/>
    <n v="54475.226022566996"/>
    <n v="2836"/>
    <n v="2.9852631578947371"/>
    <n v="2969"/>
    <n v="119"/>
    <n v="0"/>
    <n v="0"/>
    <n v="0"/>
    <n v="2850"/>
    <n v="0"/>
    <n v="0"/>
    <n v="0"/>
  </r>
  <r>
    <s v="PAP/YYZ"/>
    <s v="YYZ"/>
    <x v="0"/>
    <x v="3"/>
    <x v="2"/>
    <x v="1"/>
    <s v="Toronto - Lester B. Pearson Intl"/>
    <n v="2874"/>
    <n v="8.5"/>
    <n v="180789269"/>
    <n v="48018.398140770252"/>
    <n v="3765"/>
    <n v="3.9631578947368422"/>
    <n v="3917"/>
    <n v="117"/>
    <n v="0"/>
    <n v="0"/>
    <n v="0"/>
    <n v="3800"/>
    <n v="0"/>
    <n v="0"/>
    <n v="4"/>
  </r>
  <r>
    <s v="PAP/ASU"/>
    <s v="ASU"/>
    <x v="0"/>
    <x v="1"/>
    <x v="95"/>
    <x v="0"/>
    <s v="Asuncion - Silvio Pettirossi Intl"/>
    <n v="5129"/>
    <n v="13.5"/>
    <n v="159492738"/>
    <n v="56982.042872454447"/>
    <n v="2799"/>
    <n v="2.946315789473684"/>
    <n v="2967"/>
    <n v="117"/>
    <n v="0"/>
    <n v="0"/>
    <n v="0"/>
    <n v="2850"/>
    <n v="0"/>
    <n v="1"/>
    <n v="0"/>
  </r>
  <r>
    <s v="PAP/HEA"/>
    <s v="HEA"/>
    <x v="0"/>
    <x v="1"/>
    <x v="26"/>
    <x v="4"/>
    <s v="Herat"/>
    <n v="12429"/>
    <n v="29.5"/>
    <n v="229686798"/>
    <n v="82177.74525939177"/>
    <n v="2795"/>
    <n v="2.9421052631578948"/>
    <n v="2963"/>
    <n v="113"/>
    <n v="0"/>
    <n v="0"/>
    <n v="0"/>
    <n v="2850"/>
    <n v="0"/>
    <n v="3"/>
    <n v="0"/>
  </r>
  <r>
    <s v="PAP/TZX"/>
    <s v="TZX"/>
    <x v="0"/>
    <x v="0"/>
    <x v="24"/>
    <x v="4"/>
    <s v="Trabzon"/>
    <n v="10392"/>
    <n v="25"/>
    <n v="218789579"/>
    <n v="59648.194929116682"/>
    <n v="3668"/>
    <n v="3.8610526315789473"/>
    <n v="3913"/>
    <n v="113"/>
    <n v="0"/>
    <n v="0"/>
    <n v="0"/>
    <n v="3800"/>
    <n v="0"/>
    <n v="0"/>
    <n v="0"/>
  </r>
  <r>
    <s v="PAP/SVG"/>
    <s v="SVG"/>
    <x v="0"/>
    <x v="0"/>
    <x v="22"/>
    <x v="2"/>
    <s v="Stavanger - Sola"/>
    <n v="7559"/>
    <n v="18.75"/>
    <n v="198985313"/>
    <n v="70114.62755461593"/>
    <n v="2838"/>
    <n v="2.9873684210526315"/>
    <n v="2962"/>
    <n v="112"/>
    <n v="0"/>
    <n v="0"/>
    <n v="0"/>
    <n v="2850"/>
    <n v="0"/>
    <n v="3"/>
    <n v="1"/>
  </r>
  <r>
    <s v="PAP/HKD"/>
    <s v="HKD"/>
    <x v="0"/>
    <x v="0"/>
    <x v="18"/>
    <x v="4"/>
    <s v="Hakodate"/>
    <n v="12493"/>
    <n v="29.5"/>
    <n v="242810126"/>
    <n v="85017.551120448174"/>
    <n v="2856"/>
    <n v="3.0063157894736841"/>
    <n v="2961"/>
    <n v="111"/>
    <n v="0"/>
    <n v="0"/>
    <n v="0"/>
    <n v="2850"/>
    <n v="0"/>
    <n v="0"/>
    <n v="0"/>
  </r>
  <r>
    <s v="PAP/YYC"/>
    <s v="YYC"/>
    <x v="0"/>
    <x v="2"/>
    <x v="2"/>
    <x v="1"/>
    <s v="Calgary - International"/>
    <n v="5138"/>
    <n v="13.5"/>
    <n v="189110723"/>
    <n v="66894.489918641673"/>
    <n v="2827"/>
    <n v="2.9757894736842103"/>
    <n v="2960"/>
    <n v="110"/>
    <n v="0"/>
    <n v="0"/>
    <n v="0"/>
    <n v="2850"/>
    <n v="0"/>
    <n v="0"/>
    <n v="3"/>
  </r>
  <r>
    <s v="PAP/VNO"/>
    <s v="VNO"/>
    <x v="0"/>
    <x v="0"/>
    <x v="123"/>
    <x v="2"/>
    <s v="Vilnius - International"/>
    <n v="8808"/>
    <n v="21.5"/>
    <n v="204859733"/>
    <n v="72363.028258565872"/>
    <n v="2831"/>
    <n v="2.98"/>
    <n v="2954"/>
    <n v="104"/>
    <n v="0"/>
    <n v="0"/>
    <n v="0"/>
    <n v="2850"/>
    <n v="0"/>
    <n v="0"/>
    <n v="3"/>
  </r>
  <r>
    <s v="PAP/DXB"/>
    <s v="DXB"/>
    <x v="0"/>
    <x v="3"/>
    <x v="16"/>
    <x v="4"/>
    <s v="Dubai - International"/>
    <n v="12548"/>
    <n v="29.75"/>
    <n v="284543666"/>
    <n v="60760.979286781978"/>
    <n v="4683"/>
    <n v="4.9294736842105262"/>
    <n v="4854"/>
    <n v="104"/>
    <n v="0"/>
    <n v="0"/>
    <n v="0"/>
    <n v="4750"/>
    <n v="0"/>
    <n v="0"/>
    <n v="5"/>
  </r>
  <r>
    <s v="PAP/MVD"/>
    <s v="MVD"/>
    <x v="0"/>
    <x v="0"/>
    <x v="124"/>
    <x v="0"/>
    <s v="Montevideo - Carrasco"/>
    <n v="6185"/>
    <n v="15.75"/>
    <n v="174666145"/>
    <n v="63193.250723589001"/>
    <n v="2764"/>
    <n v="2.9094736842105262"/>
    <n v="2948"/>
    <n v="98"/>
    <n v="0"/>
    <n v="0"/>
    <n v="0"/>
    <n v="2850"/>
    <n v="0"/>
    <n v="3"/>
    <n v="0"/>
  </r>
  <r>
    <s v="PAP/NGB"/>
    <s v="NGB"/>
    <x v="0"/>
    <x v="0"/>
    <x v="12"/>
    <x v="4"/>
    <s v="Ningbo - Lishe Intl"/>
    <n v="14438"/>
    <n v="33.75"/>
    <n v="267429836"/>
    <n v="96025.075763016153"/>
    <n v="2785"/>
    <n v="2.9315789473684211"/>
    <n v="2943"/>
    <n v="93"/>
    <n v="0"/>
    <n v="0"/>
    <n v="0"/>
    <n v="2850"/>
    <n v="0"/>
    <n v="0"/>
    <n v="0"/>
  </r>
  <r>
    <s v="PAP/VPE"/>
    <s v="VPE"/>
    <x v="0"/>
    <x v="1"/>
    <x v="65"/>
    <x v="5"/>
    <s v="Ondjiva"/>
    <n v="10401"/>
    <n v="25"/>
    <n v="206951200"/>
    <n v="55512.660944206007"/>
    <n v="3728"/>
    <n v="3.9242105263157896"/>
    <n v="3890"/>
    <n v="90"/>
    <n v="0"/>
    <n v="0"/>
    <n v="0"/>
    <n v="3800"/>
    <n v="0"/>
    <n v="0"/>
    <n v="4"/>
  </r>
  <r>
    <s v="PAP/GDN"/>
    <s v="GDN"/>
    <x v="0"/>
    <x v="0"/>
    <x v="5"/>
    <x v="2"/>
    <s v="Gdansk - Lech Walesa"/>
    <n v="8388"/>
    <n v="20.5"/>
    <n v="199186131"/>
    <n v="70508.364955752215"/>
    <n v="2825"/>
    <n v="2.9736842105263159"/>
    <n v="2938"/>
    <n v="88"/>
    <n v="0"/>
    <n v="0"/>
    <n v="0"/>
    <n v="2850"/>
    <n v="0"/>
    <n v="0"/>
    <n v="3"/>
  </r>
  <r>
    <s v="PAP/CGP"/>
    <s v="CGP"/>
    <x v="0"/>
    <x v="0"/>
    <x v="115"/>
    <x v="4"/>
    <s v="Chittagong - Shah Amanat Intl"/>
    <n v="15161"/>
    <n v="35.5"/>
    <n v="275535947"/>
    <n v="74428.943003781736"/>
    <n v="3702"/>
    <n v="3.8968421052631581"/>
    <n v="3888"/>
    <n v="88"/>
    <n v="0"/>
    <n v="0"/>
    <n v="0"/>
    <n v="3800"/>
    <n v="0"/>
    <n v="0"/>
    <n v="4"/>
  </r>
  <r>
    <s v="PAP/HOI"/>
    <s v="HOI"/>
    <x v="0"/>
    <x v="4"/>
    <x v="20"/>
    <x v="6"/>
    <s v="Hao"/>
    <n v="8536"/>
    <n v="20.75"/>
    <n v="177548963"/>
    <n v="94491.199042043634"/>
    <n v="1879"/>
    <n v="1.9778947368421054"/>
    <n v="1986"/>
    <n v="86"/>
    <n v="0"/>
    <n v="0"/>
    <n v="0"/>
    <n v="1900"/>
    <n v="0"/>
    <n v="0"/>
    <n v="0"/>
  </r>
  <r>
    <s v="PAP/RUH"/>
    <s v="RUH"/>
    <x v="0"/>
    <x v="3"/>
    <x v="35"/>
    <x v="4"/>
    <s v="Riyadh - King Khalid Intl"/>
    <n v="11832"/>
    <n v="28"/>
    <n v="263603647"/>
    <n v="57255.353388357951"/>
    <n v="4604"/>
    <n v="4.8463157894736844"/>
    <n v="4835"/>
    <n v="85"/>
    <n v="0"/>
    <n v="0"/>
    <n v="0"/>
    <n v="4750"/>
    <n v="0"/>
    <n v="0"/>
    <n v="5"/>
  </r>
  <r>
    <s v="PAP/CHC"/>
    <s v="CHC"/>
    <x v="0"/>
    <x v="0"/>
    <x v="70"/>
    <x v="6"/>
    <s v="Christchurch - International"/>
    <n v="13434"/>
    <n v="31.5"/>
    <n v="262858456"/>
    <n v="69983.614483493075"/>
    <n v="3756"/>
    <n v="3.9536842105263159"/>
    <n v="3881"/>
    <n v="81"/>
    <n v="0"/>
    <n v="0"/>
    <n v="0"/>
    <n v="3800"/>
    <n v="0"/>
    <n v="0"/>
    <n v="4"/>
  </r>
  <r>
    <s v="PAP/LPA"/>
    <s v="LPA"/>
    <x v="0"/>
    <x v="2"/>
    <x v="37"/>
    <x v="2"/>
    <s v="Gran Canaria"/>
    <n v="5857"/>
    <n v="15"/>
    <n v="193318984"/>
    <n v="69539.20287769784"/>
    <n v="2780"/>
    <n v="2.9263157894736844"/>
    <n v="2929"/>
    <n v="79"/>
    <n v="0"/>
    <n v="0"/>
    <n v="0"/>
    <n v="2850"/>
    <n v="0"/>
    <n v="0"/>
    <n v="3"/>
  </r>
  <r>
    <s v="PAP/BEN"/>
    <s v="BEN"/>
    <x v="0"/>
    <x v="1"/>
    <x v="91"/>
    <x v="5"/>
    <s v="Benghazi - Benina Intl"/>
    <n v="9157"/>
    <n v="22.25"/>
    <n v="202380761"/>
    <n v="72124.291161796151"/>
    <n v="2806"/>
    <n v="2.9536842105263159"/>
    <n v="2928"/>
    <n v="78"/>
    <n v="0"/>
    <n v="0"/>
    <n v="0"/>
    <n v="2850"/>
    <n v="0"/>
    <n v="0"/>
    <n v="3"/>
  </r>
  <r>
    <s v="PAP/ELQ"/>
    <s v="ELQ"/>
    <x v="0"/>
    <x v="1"/>
    <x v="35"/>
    <x v="4"/>
    <s v="Gassim"/>
    <n v="11503"/>
    <n v="27.5"/>
    <n v="219747300"/>
    <n v="79074.235336451966"/>
    <n v="2779"/>
    <n v="2.925263157894737"/>
    <n v="2928"/>
    <n v="78"/>
    <n v="0"/>
    <n v="0"/>
    <n v="0"/>
    <n v="2850"/>
    <n v="0"/>
    <n v="3"/>
    <n v="0"/>
  </r>
  <r>
    <s v="PAP/VXC"/>
    <s v="VXC"/>
    <x v="0"/>
    <x v="4"/>
    <x v="125"/>
    <x v="5"/>
    <s v="Lichinga"/>
    <n v="12299"/>
    <n v="29.25"/>
    <n v="219686527"/>
    <n v="58976.248859060404"/>
    <n v="3725"/>
    <n v="3.9210526315789473"/>
    <n v="3874"/>
    <n v="74"/>
    <n v="0"/>
    <n v="0"/>
    <n v="0"/>
    <n v="3800"/>
    <n v="0"/>
    <n v="0"/>
    <n v="4"/>
  </r>
  <r>
    <s v="PAP/DLM"/>
    <s v="DLM"/>
    <x v="0"/>
    <x v="0"/>
    <x v="24"/>
    <x v="4"/>
    <s v="Dalaman"/>
    <n v="9727"/>
    <n v="23.5"/>
    <n v="218751188"/>
    <n v="59670.264048008728"/>
    <n v="3666"/>
    <n v="3.8589473684210525"/>
    <n v="3874"/>
    <n v="74"/>
    <n v="0"/>
    <n v="0"/>
    <n v="0"/>
    <n v="3800"/>
    <n v="0"/>
    <n v="0"/>
    <n v="0"/>
  </r>
  <r>
    <s v="PAP/PHL"/>
    <s v="PHL"/>
    <x v="0"/>
    <x v="3"/>
    <x v="9"/>
    <x v="3"/>
    <s v="Philadelphia - Metropolitan Area"/>
    <n v="2385"/>
    <n v="7.25"/>
    <n v="175545073"/>
    <n v="62672.285969296681"/>
    <n v="2801"/>
    <n v="2.9484210526315788"/>
    <n v="2923"/>
    <n v="73"/>
    <n v="0"/>
    <n v="0"/>
    <n v="0"/>
    <n v="2850"/>
    <n v="0"/>
    <n v="0"/>
    <n v="3"/>
  </r>
  <r>
    <s v="PAP/EAM"/>
    <s v="EAM"/>
    <x v="0"/>
    <x v="1"/>
    <x v="35"/>
    <x v="4"/>
    <s v="Nejran"/>
    <n v="12017"/>
    <n v="28.5"/>
    <n v="225337317"/>
    <n v="80448.881470903245"/>
    <n v="2801"/>
    <n v="2.9484210526315788"/>
    <n v="2922"/>
    <n v="72"/>
    <n v="0"/>
    <n v="0"/>
    <n v="0"/>
    <n v="2850"/>
    <n v="0"/>
    <n v="0"/>
    <n v="0"/>
  </r>
  <r>
    <s v="PAP/OKA"/>
    <s v="OKA"/>
    <x v="0"/>
    <x v="2"/>
    <x v="18"/>
    <x v="4"/>
    <s v="Okinawa - Metropolitan Area"/>
    <n v="14594"/>
    <n v="34.25"/>
    <n v="285302583"/>
    <n v="102885.89361702128"/>
    <n v="2773"/>
    <n v="2.9189473684210525"/>
    <n v="2921"/>
    <n v="71"/>
    <n v="0"/>
    <n v="0"/>
    <n v="0"/>
    <n v="2850"/>
    <n v="0"/>
    <n v="0"/>
    <n v="3"/>
  </r>
  <r>
    <s v="PAP/MHD"/>
    <s v="MHD"/>
    <x v="0"/>
    <x v="0"/>
    <x v="66"/>
    <x v="4"/>
    <s v="Mashhad - Shahid Hashemi Nejad"/>
    <n v="12103"/>
    <n v="28.75"/>
    <n v="236484543"/>
    <n v="63146.740453938583"/>
    <n v="3745"/>
    <n v="3.9421052631578948"/>
    <n v="3870"/>
    <n v="70"/>
    <n v="0"/>
    <n v="0"/>
    <n v="0"/>
    <n v="3800"/>
    <n v="0"/>
    <n v="0"/>
    <n v="0"/>
  </r>
  <r>
    <s v="PAP/OSL"/>
    <s v="OSL"/>
    <x v="0"/>
    <x v="2"/>
    <x v="22"/>
    <x v="2"/>
    <s v="Oslo - Metropolitan Area"/>
    <n v="7862"/>
    <n v="19.5"/>
    <n v="222408443"/>
    <n v="60634.799073064343"/>
    <n v="3668"/>
    <n v="3.8610526315789473"/>
    <n v="3865"/>
    <n v="65"/>
    <n v="0"/>
    <n v="0"/>
    <n v="0"/>
    <n v="3800"/>
    <n v="0"/>
    <n v="0"/>
    <n v="4"/>
  </r>
  <r>
    <s v="PAP/HER"/>
    <s v="HER"/>
    <x v="0"/>
    <x v="0"/>
    <x v="47"/>
    <x v="2"/>
    <s v="Irakleion - Nikos Kazantzakis"/>
    <n v="9475"/>
    <n v="23"/>
    <n v="221857332"/>
    <n v="79178.20556745182"/>
    <n v="2802"/>
    <n v="2.9494736842105262"/>
    <n v="2914"/>
    <n v="64"/>
    <n v="0"/>
    <n v="0"/>
    <n v="0"/>
    <n v="2850"/>
    <n v="0"/>
    <n v="0"/>
    <n v="3"/>
  </r>
  <r>
    <s v="PAP/KBP"/>
    <s v="KBP"/>
    <x v="0"/>
    <x v="0"/>
    <x v="89"/>
    <x v="2"/>
    <s v="Kyiv - Boryspil Intl"/>
    <n v="9325"/>
    <n v="22.5"/>
    <n v="220391572"/>
    <n v="59921.58020663404"/>
    <n v="3678"/>
    <n v="3.871578947368421"/>
    <n v="3862"/>
    <n v="62"/>
    <n v="0"/>
    <n v="0"/>
    <n v="0"/>
    <n v="3800"/>
    <n v="0"/>
    <n v="0"/>
    <n v="4"/>
  </r>
  <r>
    <s v="PAP/NGO"/>
    <s v="NGO"/>
    <x v="0"/>
    <x v="2"/>
    <x v="18"/>
    <x v="4"/>
    <s v="Nagoya - Metropolitan Area"/>
    <n v="13328"/>
    <n v="31.5"/>
    <n v="270655339"/>
    <n v="73828.515821058376"/>
    <n v="3666"/>
    <n v="3.8589473684210525"/>
    <n v="3862"/>
    <n v="62"/>
    <n v="0"/>
    <n v="0"/>
    <n v="0"/>
    <n v="3800"/>
    <n v="0"/>
    <n v="0"/>
    <n v="4"/>
  </r>
  <r>
    <s v="PAP/ZYL"/>
    <s v="ZYL"/>
    <x v="0"/>
    <x v="1"/>
    <x v="115"/>
    <x v="4"/>
    <s v="Sylhet - Osmani Intl"/>
    <n v="14882"/>
    <n v="34.75"/>
    <n v="251992723"/>
    <n v="90287.611250447866"/>
    <n v="2791"/>
    <n v="2.9378947368421051"/>
    <n v="2912"/>
    <n v="62"/>
    <n v="0"/>
    <n v="0"/>
    <n v="0"/>
    <n v="2850"/>
    <n v="0"/>
    <n v="0"/>
    <n v="0"/>
  </r>
  <r>
    <s v="PAP/SPN"/>
    <s v="SPN"/>
    <x v="0"/>
    <x v="1"/>
    <x v="126"/>
    <x v="6"/>
    <s v="Saipan - Francisco C. Ada Intl"/>
    <n v="14417"/>
    <n v="33.75"/>
    <n v="253549864"/>
    <n v="134153.3671957672"/>
    <n v="1890"/>
    <n v="1.9894736842105263"/>
    <n v="1960"/>
    <n v="60"/>
    <n v="0"/>
    <n v="0"/>
    <n v="0"/>
    <n v="1900"/>
    <n v="0"/>
    <n v="0"/>
    <n v="0"/>
  </r>
  <r>
    <s v="PAP/SNN"/>
    <s v="SNN"/>
    <x v="0"/>
    <x v="0"/>
    <x v="116"/>
    <x v="2"/>
    <s v="Shannon - International"/>
    <n v="6592"/>
    <n v="16.5"/>
    <n v="186313166"/>
    <n v="64025.142955326461"/>
    <n v="2910"/>
    <n v="3.0631578947368423"/>
    <n v="2910"/>
    <n v="60"/>
    <n v="0"/>
    <n v="0"/>
    <n v="0"/>
    <n v="2850"/>
    <n v="0"/>
    <n v="0"/>
    <n v="3"/>
  </r>
  <r>
    <s v="PAP/BGY"/>
    <s v="BGY"/>
    <x v="0"/>
    <x v="2"/>
    <x v="96"/>
    <x v="2"/>
    <s v="Milan - Bergamo/Orio al Serio"/>
    <n v="7933"/>
    <n v="19.5"/>
    <n v="210503862"/>
    <n v="76214.287472845768"/>
    <n v="2762"/>
    <n v="2.9073684210526314"/>
    <n v="2910"/>
    <n v="60"/>
    <n v="0"/>
    <n v="0"/>
    <n v="0"/>
    <n v="2850"/>
    <n v="0"/>
    <n v="0"/>
    <n v="3"/>
  </r>
  <r>
    <s v="PAP/TLV"/>
    <s v="TLV"/>
    <x v="0"/>
    <x v="2"/>
    <x v="127"/>
    <x v="4"/>
    <s v="Tel Aviv - Ben Gurion Intl"/>
    <n v="10447"/>
    <n v="25"/>
    <n v="240043088"/>
    <n v="64701.640970350403"/>
    <n v="3710"/>
    <n v="3.905263157894737"/>
    <n v="3859"/>
    <n v="59"/>
    <n v="0"/>
    <n v="0"/>
    <n v="0"/>
    <n v="3800"/>
    <n v="0"/>
    <n v="0"/>
    <n v="4"/>
  </r>
  <r>
    <s v="PAP/KHN"/>
    <s v="KHN"/>
    <x v="0"/>
    <x v="0"/>
    <x v="12"/>
    <x v="4"/>
    <s v="Nanchang - Changbei Intl"/>
    <n v="14670"/>
    <n v="34.25"/>
    <n v="269508535"/>
    <n v="97050.246669067332"/>
    <n v="2777"/>
    <n v="2.9231578947368422"/>
    <n v="2907"/>
    <n v="57"/>
    <n v="0"/>
    <n v="0"/>
    <n v="0"/>
    <n v="2850"/>
    <n v="0"/>
    <n v="0"/>
    <n v="0"/>
  </r>
  <r>
    <s v="PAP/ALC"/>
    <s v="ALC"/>
    <x v="0"/>
    <x v="2"/>
    <x v="37"/>
    <x v="2"/>
    <s v="Alicante - Airport"/>
    <n v="7173"/>
    <n v="17.75"/>
    <n v="205614949"/>
    <n v="74606.294992743104"/>
    <n v="2756"/>
    <n v="2.9010526315789473"/>
    <n v="2903"/>
    <n v="53"/>
    <n v="0"/>
    <n v="0"/>
    <n v="0"/>
    <n v="2850"/>
    <n v="0"/>
    <n v="3"/>
    <n v="1"/>
  </r>
  <r>
    <s v="PAP/FOR"/>
    <s v="FOR"/>
    <x v="0"/>
    <x v="0"/>
    <x v="1"/>
    <x v="0"/>
    <s v="Fortaleza - Pinto Martins Intl"/>
    <n v="4455"/>
    <n v="12"/>
    <n v="170268199"/>
    <n v="45672.800160944207"/>
    <n v="3728"/>
    <n v="3.9242105263157896"/>
    <n v="3853"/>
    <n v="53"/>
    <n v="0"/>
    <n v="0"/>
    <n v="0"/>
    <n v="3800"/>
    <n v="0"/>
    <n v="0"/>
    <n v="0"/>
  </r>
  <r>
    <s v="PAP/VCE"/>
    <s v="VCE"/>
    <x v="0"/>
    <x v="2"/>
    <x v="96"/>
    <x v="2"/>
    <s v="Venice - Metropolitan Area"/>
    <n v="8140"/>
    <n v="20"/>
    <n v="211348374"/>
    <n v="77701.608088235298"/>
    <n v="2720"/>
    <n v="2.8631578947368421"/>
    <n v="2902"/>
    <n v="52"/>
    <n v="0"/>
    <n v="0"/>
    <n v="0"/>
    <n v="2850"/>
    <n v="0"/>
    <n v="0"/>
    <n v="3"/>
  </r>
  <r>
    <s v="PAP/AUA"/>
    <s v="AUA"/>
    <x v="0"/>
    <x v="0"/>
    <x v="128"/>
    <x v="1"/>
    <s v="Aruba - Reina Beatrix"/>
    <n v="718"/>
    <n v="3.75"/>
    <n v="123563360"/>
    <n v="44623.820873961718"/>
    <n v="2769"/>
    <n v="2.9147368421052633"/>
    <n v="2899"/>
    <n v="49"/>
    <n v="0"/>
    <n v="0"/>
    <n v="0"/>
    <n v="2850"/>
    <n v="0"/>
    <n v="1"/>
    <n v="0"/>
  </r>
  <r>
    <s v="PAP/SSH"/>
    <s v="SSH"/>
    <x v="0"/>
    <x v="2"/>
    <x v="14"/>
    <x v="5"/>
    <s v="Sharm el-Sheikh - International"/>
    <n v="10590"/>
    <n v="25.25"/>
    <n v="236331461"/>
    <n v="51231.619553435943"/>
    <n v="4613"/>
    <n v="4.8557894736842107"/>
    <n v="4798"/>
    <n v="48"/>
    <n v="0"/>
    <n v="0"/>
    <n v="0"/>
    <n v="4750"/>
    <n v="0"/>
    <n v="0"/>
    <n v="5"/>
  </r>
  <r>
    <s v="PAP/MCO"/>
    <s v="MCO"/>
    <x v="0"/>
    <x v="3"/>
    <x v="9"/>
    <x v="3"/>
    <s v="Orlando - International"/>
    <n v="1429"/>
    <n v="5.25"/>
    <n v="168913915"/>
    <n v="60913.781103498019"/>
    <n v="2773"/>
    <n v="2.9189473684210525"/>
    <n v="2895"/>
    <n v="45"/>
    <n v="0"/>
    <n v="0"/>
    <n v="0"/>
    <n v="2850"/>
    <n v="0"/>
    <n v="0"/>
    <n v="3"/>
  </r>
  <r>
    <s v="PAP/CJS"/>
    <s v="CJS"/>
    <x v="0"/>
    <x v="1"/>
    <x v="15"/>
    <x v="1"/>
    <s v="Ciudad Juarez - Abraham Gonzalez Intl"/>
    <n v="3711"/>
    <n v="10.25"/>
    <n v="145838155"/>
    <n v="53109.306263656224"/>
    <n v="2746"/>
    <n v="2.8905263157894736"/>
    <n v="2893"/>
    <n v="43"/>
    <n v="0"/>
    <n v="0"/>
    <n v="0"/>
    <n v="2850"/>
    <n v="0"/>
    <n v="0"/>
    <n v="3"/>
  </r>
  <r>
    <s v="PAP/HFE"/>
    <s v="HFE"/>
    <x v="0"/>
    <x v="0"/>
    <x v="12"/>
    <x v="4"/>
    <s v="Hefei - Xinqiao Intl"/>
    <n v="14326"/>
    <n v="33.5"/>
    <n v="264014184"/>
    <n v="97458.170542635664"/>
    <n v="2709"/>
    <n v="2.851578947368421"/>
    <n v="2890"/>
    <n v="40"/>
    <n v="0"/>
    <n v="0"/>
    <n v="0"/>
    <n v="2850"/>
    <n v="0"/>
    <n v="0"/>
    <n v="0"/>
  </r>
  <r>
    <s v="PAP/NAP"/>
    <s v="NAP"/>
    <x v="0"/>
    <x v="0"/>
    <x v="96"/>
    <x v="2"/>
    <s v="Naples - Capodichino"/>
    <n v="8391"/>
    <n v="20.5"/>
    <n v="211483767"/>
    <n v="76903.187999999995"/>
    <n v="2750"/>
    <n v="2.8947368421052633"/>
    <n v="2888"/>
    <n v="38"/>
    <n v="0"/>
    <n v="0"/>
    <n v="0"/>
    <n v="2850"/>
    <n v="0"/>
    <n v="0"/>
    <n v="3"/>
  </r>
  <r>
    <s v="PAP/GGS"/>
    <s v="GGS"/>
    <x v="0"/>
    <x v="4"/>
    <x v="30"/>
    <x v="0"/>
    <s v="Gobernador Gregores"/>
    <n v="7495"/>
    <n v="18.5"/>
    <n v="165124707"/>
    <n v="90133.573689956334"/>
    <n v="1832"/>
    <n v="1.928421052631579"/>
    <n v="1936"/>
    <n v="36"/>
    <n v="0"/>
    <n v="0"/>
    <n v="0"/>
    <n v="1900"/>
    <n v="0"/>
    <n v="2"/>
    <n v="0"/>
  </r>
  <r>
    <s v="PAP/GYE"/>
    <s v="GYE"/>
    <x v="0"/>
    <x v="0"/>
    <x v="13"/>
    <x v="0"/>
    <s v="Guayaquil - Jose Joaquin de Olmedo"/>
    <n v="2451"/>
    <n v="7.5"/>
    <n v="146635907"/>
    <n v="40698.281154593395"/>
    <n v="3603"/>
    <n v="3.7926315789473684"/>
    <n v="3833"/>
    <n v="33"/>
    <n v="0"/>
    <n v="0"/>
    <n v="0"/>
    <n v="3800"/>
    <n v="0"/>
    <n v="0"/>
    <n v="0"/>
  </r>
  <r>
    <s v="PAP/SEA"/>
    <s v="SEA"/>
    <x v="0"/>
    <x v="3"/>
    <x v="9"/>
    <x v="3"/>
    <s v="Seattle - Metropolitan Area"/>
    <n v="5529"/>
    <n v="14.25"/>
    <n v="207567078"/>
    <n v="74879.898268398261"/>
    <n v="2772"/>
    <n v="2.9178947368421051"/>
    <n v="2882"/>
    <n v="32"/>
    <n v="0"/>
    <n v="0"/>
    <n v="0"/>
    <n v="2850"/>
    <n v="0"/>
    <n v="0"/>
    <n v="3"/>
  </r>
  <r>
    <s v="PAP/YHZ"/>
    <s v="YHZ"/>
    <x v="0"/>
    <x v="0"/>
    <x v="2"/>
    <x v="1"/>
    <s v="Halifax - Metropolitan Area"/>
    <n v="3036"/>
    <n v="8.75"/>
    <n v="153273930"/>
    <n v="55154.34688736956"/>
    <n v="2779"/>
    <n v="2.925263157894737"/>
    <n v="2881"/>
    <n v="31"/>
    <n v="0"/>
    <n v="0"/>
    <n v="0"/>
    <n v="2850"/>
    <n v="0"/>
    <n v="0"/>
    <n v="0"/>
  </r>
  <r>
    <s v="PAP/HYD"/>
    <s v="HYD"/>
    <x v="0"/>
    <x v="2"/>
    <x v="42"/>
    <x v="4"/>
    <s v="Hyderabad - Metropolitan Area"/>
    <n v="14909"/>
    <n v="34.75"/>
    <n v="279965639"/>
    <n v="75543.885321100912"/>
    <n v="3706"/>
    <n v="3.9010526315789473"/>
    <n v="3830"/>
    <n v="30"/>
    <n v="0"/>
    <n v="0"/>
    <n v="0"/>
    <n v="3800"/>
    <n v="0"/>
    <n v="0"/>
    <n v="4"/>
  </r>
  <r>
    <s v="PAP/PLU"/>
    <s v="PLU"/>
    <x v="0"/>
    <x v="1"/>
    <x v="1"/>
    <x v="0"/>
    <s v="Belo Horizonte - Pampulha"/>
    <n v="5275"/>
    <n v="13.75"/>
    <n v="161827640"/>
    <n v="59583.078055964652"/>
    <n v="2716"/>
    <n v="2.8589473684210525"/>
    <n v="2879"/>
    <n v="29"/>
    <n v="0"/>
    <n v="0"/>
    <n v="0"/>
    <n v="2850"/>
    <n v="0"/>
    <n v="3"/>
    <n v="0"/>
  </r>
  <r>
    <s v="PAP/PFO"/>
    <s v="PFO"/>
    <x v="0"/>
    <x v="0"/>
    <x v="92"/>
    <x v="2"/>
    <s v="Paphos - International"/>
    <n v="10120"/>
    <n v="24.25"/>
    <n v="217094779"/>
    <n v="77979.446479885053"/>
    <n v="2784"/>
    <n v="2.9305263157894736"/>
    <n v="2877"/>
    <n v="27"/>
    <n v="0"/>
    <n v="0"/>
    <n v="0"/>
    <n v="2850"/>
    <n v="0"/>
    <n v="0"/>
    <n v="3"/>
  </r>
  <r>
    <s v="PAP/FCO"/>
    <s v="FCO"/>
    <x v="0"/>
    <x v="3"/>
    <x v="96"/>
    <x v="2"/>
    <s v="Rome - Fiumicino"/>
    <n v="8203"/>
    <n v="20.25"/>
    <n v="236468667"/>
    <n v="65340.886156396795"/>
    <n v="3619"/>
    <n v="3.8094736842105261"/>
    <n v="3824"/>
    <n v="24"/>
    <n v="0"/>
    <n v="0"/>
    <n v="0"/>
    <n v="3800"/>
    <n v="0"/>
    <n v="0"/>
    <n v="4"/>
  </r>
  <r>
    <s v="PAP/FRA"/>
    <s v="FRA"/>
    <x v="0"/>
    <x v="3"/>
    <x v="58"/>
    <x v="2"/>
    <s v="Frankfurt - International"/>
    <n v="7792"/>
    <n v="19.25"/>
    <n v="237502649"/>
    <n v="64661.761230601689"/>
    <n v="3673"/>
    <n v="3.8663157894736844"/>
    <n v="3821"/>
    <n v="21"/>
    <n v="0"/>
    <n v="0"/>
    <n v="0"/>
    <n v="3800"/>
    <n v="0"/>
    <n v="0"/>
    <n v="4"/>
  </r>
  <r>
    <s v="PAP/ORY"/>
    <s v="ORY"/>
    <x v="0"/>
    <x v="3"/>
    <x v="81"/>
    <x v="2"/>
    <s v="Paris - Orly"/>
    <n v="7353"/>
    <n v="18.25"/>
    <n v="223881128"/>
    <n v="82097.95672900624"/>
    <n v="2727"/>
    <n v="2.8705263157894736"/>
    <n v="2855"/>
    <n v="5"/>
    <n v="0"/>
    <n v="0"/>
    <n v="0"/>
    <n v="2850"/>
    <n v="0"/>
    <n v="3"/>
    <n v="1"/>
  </r>
  <r>
    <s v="PAP/LHW"/>
    <s v="LHW"/>
    <x v="0"/>
    <x v="0"/>
    <x v="12"/>
    <x v="4"/>
    <s v="Lanzhou - Zhongchuan"/>
    <n v="13878"/>
    <n v="32.5"/>
    <n v="258525862"/>
    <n v="71337.158388520969"/>
    <n v="3624"/>
    <n v="3.8147368421052632"/>
    <n v="3805"/>
    <n v="5"/>
    <n v="0"/>
    <n v="0"/>
    <n v="0"/>
    <n v="3800"/>
    <n v="0"/>
    <n v="0"/>
    <n v="0"/>
  </r>
  <r>
    <s v="PAP/IPC"/>
    <s v="IPC"/>
    <x v="0"/>
    <x v="4"/>
    <x v="51"/>
    <x v="0"/>
    <s v="Easter Island - Mataveri Intl"/>
    <n v="6473"/>
    <n v="16.25"/>
    <n v="155074817"/>
    <n v="86057.057158712545"/>
    <n v="1802"/>
    <n v="1.8968421052631579"/>
    <n v="1904"/>
    <n v="4"/>
    <n v="0"/>
    <n v="0"/>
    <n v="0"/>
    <n v="1900"/>
    <n v="0"/>
    <n v="1"/>
    <n v="0"/>
  </r>
  <r>
    <s v="PAP/TFS"/>
    <s v="TFS"/>
    <x v="0"/>
    <x v="2"/>
    <x v="37"/>
    <x v="2"/>
    <s v="Tenerife-Sur"/>
    <n v="5740"/>
    <n v="14.75"/>
    <n v="189496538"/>
    <n v="70183.902962962966"/>
    <n v="2700"/>
    <n v="2.8421052631578947"/>
    <n v="2853"/>
    <n v="3"/>
    <n v="0"/>
    <n v="0"/>
    <n v="0"/>
    <n v="2850"/>
    <n v="0"/>
    <n v="0"/>
    <n v="3"/>
  </r>
  <r>
    <s v="PAP/COR"/>
    <s v="COR"/>
    <x v="0"/>
    <x v="1"/>
    <x v="30"/>
    <x v="0"/>
    <s v="Cordoba - A.L.V. Taravella"/>
    <n v="5617"/>
    <n v="14.5"/>
    <n v="167808762"/>
    <n v="60800.276086956525"/>
    <n v="2760"/>
    <n v="2.905263157894737"/>
    <n v="2853"/>
    <n v="3"/>
    <n v="0"/>
    <n v="0"/>
    <n v="0"/>
    <n v="2850"/>
    <n v="0"/>
    <n v="3"/>
    <n v="0"/>
  </r>
  <r>
    <s v="PAP/GYD"/>
    <s v="GYD"/>
    <x v="0"/>
    <x v="0"/>
    <x v="129"/>
    <x v="2"/>
    <s v="Baku - Heydar Aliyev Intl"/>
    <n v="11156"/>
    <n v="26.5"/>
    <n v="227974277"/>
    <n v="62373.263201094393"/>
    <n v="3655"/>
    <n v="3.8473684210526318"/>
    <n v="3802"/>
    <n v="2"/>
    <n v="0"/>
    <n v="0"/>
    <n v="0"/>
    <n v="3800"/>
    <n v="0"/>
    <n v="0"/>
    <n v="4"/>
  </r>
  <r>
    <s v="PAP/JJN"/>
    <s v="JJN"/>
    <x v="2"/>
    <x v="5"/>
    <x v="12"/>
    <x v="4"/>
    <s v="Quanzhou - Jinjiang"/>
    <n v="15054"/>
    <n v="35.25"/>
    <m/>
    <n v="0"/>
    <m/>
    <n v="0"/>
    <n v="0"/>
    <n v="0"/>
    <n v="0"/>
    <n v="0"/>
    <n v="0"/>
    <n v="0"/>
    <n v="0"/>
    <n v="0"/>
    <n v="0"/>
  </r>
  <r>
    <s v="PAP/PZI"/>
    <s v="PZI"/>
    <x v="2"/>
    <x v="1"/>
    <x v="12"/>
    <x v="4"/>
    <s v="Panzhihua - Bao'angong"/>
    <n v="14961"/>
    <n v="35"/>
    <m/>
    <n v="0"/>
    <m/>
    <n v="0"/>
    <n v="0"/>
    <n v="0"/>
    <n v="0"/>
    <n v="0"/>
    <n v="0"/>
    <n v="0"/>
    <n v="0"/>
    <n v="0"/>
    <n v="0"/>
  </r>
  <r>
    <s v="PAP/IMF"/>
    <s v="IMF"/>
    <x v="2"/>
    <x v="1"/>
    <x v="42"/>
    <x v="4"/>
    <s v="Imphal"/>
    <n v="14973"/>
    <n v="35"/>
    <m/>
    <n v="0"/>
    <m/>
    <n v="0"/>
    <n v="0"/>
    <n v="0"/>
    <n v="0"/>
    <n v="0"/>
    <n v="0"/>
    <n v="0"/>
    <n v="0"/>
    <n v="0"/>
    <n v="0"/>
  </r>
  <r>
    <s v="PAP/IXE"/>
    <s v="IXE"/>
    <x v="2"/>
    <x v="1"/>
    <x v="42"/>
    <x v="4"/>
    <s v="Mangalore"/>
    <n v="14995"/>
    <n v="35"/>
    <m/>
    <n v="0"/>
    <m/>
    <n v="0"/>
    <n v="0"/>
    <n v="0"/>
    <n v="0"/>
    <n v="0"/>
    <n v="0"/>
    <n v="0"/>
    <n v="0"/>
    <n v="0"/>
    <n v="0"/>
  </r>
  <r>
    <s v="PAP/JGS"/>
    <s v="JGS"/>
    <x v="2"/>
    <x v="1"/>
    <x v="12"/>
    <x v="4"/>
    <s v="Ji'an - Jinggangshan"/>
    <n v="14910"/>
    <n v="34.75"/>
    <m/>
    <n v="0"/>
    <m/>
    <n v="0"/>
    <n v="0"/>
    <n v="0"/>
    <n v="0"/>
    <n v="0"/>
    <n v="0"/>
    <n v="0"/>
    <n v="0"/>
    <n v="0"/>
    <n v="0"/>
  </r>
  <r>
    <s v="PAP/XIC"/>
    <s v="XIC"/>
    <x v="2"/>
    <x v="1"/>
    <x v="12"/>
    <x v="4"/>
    <s v="Xichang - Qingshan"/>
    <n v="14807"/>
    <n v="34.75"/>
    <m/>
    <n v="0"/>
    <m/>
    <n v="0"/>
    <n v="0"/>
    <n v="0"/>
    <n v="0"/>
    <n v="0"/>
    <n v="0"/>
    <n v="0"/>
    <n v="0"/>
    <n v="0"/>
    <n v="0"/>
  </r>
  <r>
    <s v="PAP/ZAT"/>
    <s v="ZAT"/>
    <x v="2"/>
    <x v="4"/>
    <x v="12"/>
    <x v="4"/>
    <s v="Zhaotong"/>
    <n v="14897"/>
    <n v="34.75"/>
    <m/>
    <n v="0"/>
    <m/>
    <n v="0"/>
    <n v="0"/>
    <n v="0"/>
    <n v="0"/>
    <n v="0"/>
    <n v="0"/>
    <n v="0"/>
    <n v="0"/>
    <n v="0"/>
    <n v="0"/>
  </r>
  <r>
    <s v="PAP/CGD"/>
    <s v="CGD"/>
    <x v="2"/>
    <x v="1"/>
    <x v="12"/>
    <x v="4"/>
    <s v="Changde - Taohuayuan"/>
    <n v="14720"/>
    <n v="34.5"/>
    <m/>
    <n v="0"/>
    <m/>
    <n v="0"/>
    <n v="0"/>
    <n v="0"/>
    <n v="0"/>
    <n v="0"/>
    <n v="0"/>
    <n v="0"/>
    <n v="0"/>
    <n v="0"/>
    <n v="0"/>
  </r>
  <r>
    <s v="PAP/DIG"/>
    <s v="DIG"/>
    <x v="2"/>
    <x v="1"/>
    <x v="12"/>
    <x v="4"/>
    <s v="Deqen - Shangri-La"/>
    <n v="14790"/>
    <n v="34.5"/>
    <m/>
    <n v="0"/>
    <m/>
    <n v="0"/>
    <n v="0"/>
    <n v="0"/>
    <n v="0"/>
    <n v="0"/>
    <n v="0"/>
    <n v="0"/>
    <n v="0"/>
    <n v="0"/>
    <n v="0"/>
  </r>
  <r>
    <s v="PAP/IXR"/>
    <s v="IXR"/>
    <x v="2"/>
    <x v="1"/>
    <x v="42"/>
    <x v="4"/>
    <s v="Ranchi - Birsa Munda"/>
    <n v="14765"/>
    <n v="34.5"/>
    <m/>
    <n v="0"/>
    <m/>
    <n v="0"/>
    <n v="0"/>
    <n v="0"/>
    <n v="0"/>
    <n v="0"/>
    <n v="0"/>
    <n v="0"/>
    <n v="0"/>
    <n v="0"/>
    <n v="0"/>
  </r>
  <r>
    <s v="PAP/JRH"/>
    <s v="JRH"/>
    <x v="2"/>
    <x v="4"/>
    <x v="42"/>
    <x v="4"/>
    <s v="Jorhat - Rowriah"/>
    <n v="14773"/>
    <n v="34.5"/>
    <m/>
    <n v="0"/>
    <m/>
    <n v="0"/>
    <n v="0"/>
    <n v="0"/>
    <n v="0"/>
    <n v="0"/>
    <n v="0"/>
    <n v="0"/>
    <n v="0"/>
    <n v="0"/>
    <n v="0"/>
  </r>
  <r>
    <s v="PAP/DYG"/>
    <s v="DYG"/>
    <x v="2"/>
    <x v="5"/>
    <x v="12"/>
    <x v="4"/>
    <s v="Zhangjiajie - Hehua"/>
    <n v="14709"/>
    <n v="34.5"/>
    <m/>
    <n v="0"/>
    <m/>
    <n v="0"/>
    <n v="0"/>
    <n v="0"/>
    <n v="0"/>
    <n v="0"/>
    <n v="0"/>
    <n v="0"/>
    <n v="0"/>
    <n v="0"/>
    <n v="0"/>
  </r>
  <r>
    <s v="PAP/JIU"/>
    <s v="JIU"/>
    <x v="2"/>
    <x v="4"/>
    <x v="12"/>
    <x v="4"/>
    <s v="Jiujiang - Lushan"/>
    <n v="14605"/>
    <n v="34.25"/>
    <m/>
    <n v="0"/>
    <m/>
    <n v="0"/>
    <n v="0"/>
    <n v="0"/>
    <n v="0"/>
    <n v="0"/>
    <n v="0"/>
    <n v="0"/>
    <n v="0"/>
    <n v="0"/>
    <n v="0"/>
  </r>
  <r>
    <s v="PAP/LZY"/>
    <s v="LZY"/>
    <x v="2"/>
    <x v="1"/>
    <x v="12"/>
    <x v="4"/>
    <s v="Nyingchi/Linzhi - Mainling/Milin"/>
    <n v="14504"/>
    <n v="34"/>
    <m/>
    <n v="0"/>
    <m/>
    <n v="0"/>
    <n v="0"/>
    <n v="0"/>
    <n v="0"/>
    <n v="0"/>
    <n v="0"/>
    <n v="0"/>
    <n v="0"/>
    <n v="0"/>
    <n v="0"/>
  </r>
  <r>
    <s v="PAP/TXN"/>
    <s v="TXN"/>
    <x v="2"/>
    <x v="1"/>
    <x v="12"/>
    <x v="4"/>
    <s v="Huangshan - Tunxi Intl"/>
    <n v="14529"/>
    <n v="34"/>
    <m/>
    <n v="0"/>
    <m/>
    <n v="0"/>
    <n v="0"/>
    <n v="0"/>
    <n v="0"/>
    <n v="0"/>
    <n v="0"/>
    <n v="0"/>
    <n v="0"/>
    <n v="0"/>
    <n v="0"/>
  </r>
  <r>
    <s v="PAP/WXN"/>
    <s v="WXN"/>
    <x v="2"/>
    <x v="1"/>
    <x v="12"/>
    <x v="4"/>
    <s v="Wanzhou - Wuqiao"/>
    <n v="14528"/>
    <n v="34"/>
    <m/>
    <n v="0"/>
    <m/>
    <n v="0"/>
    <n v="0"/>
    <n v="0"/>
    <n v="0"/>
    <n v="0"/>
    <n v="0"/>
    <n v="0"/>
    <n v="0"/>
    <n v="0"/>
    <n v="0"/>
  </r>
  <r>
    <s v="PAP/IXB"/>
    <s v="IXB"/>
    <x v="2"/>
    <x v="1"/>
    <x v="42"/>
    <x v="4"/>
    <s v="Bagdogra"/>
    <n v="14569"/>
    <n v="34"/>
    <m/>
    <n v="0"/>
    <m/>
    <n v="0"/>
    <n v="0"/>
    <n v="0"/>
    <n v="0"/>
    <n v="0"/>
    <n v="0"/>
    <n v="0"/>
    <n v="0"/>
    <n v="0"/>
    <n v="0"/>
  </r>
  <r>
    <s v="PAP/YIH"/>
    <s v="YIH"/>
    <x v="2"/>
    <x v="5"/>
    <x v="12"/>
    <x v="4"/>
    <s v="Yichang - Sanxia"/>
    <n v="14541"/>
    <n v="34"/>
    <m/>
    <n v="0"/>
    <m/>
    <n v="0"/>
    <n v="0"/>
    <n v="0"/>
    <n v="0"/>
    <n v="0"/>
    <n v="0"/>
    <n v="0"/>
    <n v="0"/>
    <n v="0"/>
    <n v="0"/>
  </r>
  <r>
    <s v="PAP/AQG"/>
    <s v="AQG"/>
    <x v="2"/>
    <x v="4"/>
    <x v="12"/>
    <x v="4"/>
    <s v="Anqing - Tianzhushan"/>
    <n v="14461"/>
    <n v="33.75"/>
    <m/>
    <n v="0"/>
    <m/>
    <n v="0"/>
    <n v="0"/>
    <n v="0"/>
    <n v="0"/>
    <n v="0"/>
    <n v="0"/>
    <n v="0"/>
    <n v="0"/>
    <n v="0"/>
    <n v="0"/>
  </r>
  <r>
    <s v="PAP/BPX"/>
    <s v="BPX"/>
    <x v="2"/>
    <x v="4"/>
    <x v="12"/>
    <x v="4"/>
    <s v="Qamdo/Changdu - Bamda/Bangda"/>
    <n v="14439"/>
    <n v="33.75"/>
    <m/>
    <n v="0"/>
    <m/>
    <n v="0"/>
    <n v="0"/>
    <n v="0"/>
    <n v="0"/>
    <n v="0"/>
    <n v="0"/>
    <n v="0"/>
    <n v="0"/>
    <n v="0"/>
    <n v="0"/>
  </r>
  <r>
    <s v="PAP/CZX"/>
    <s v="CZX"/>
    <x v="2"/>
    <x v="1"/>
    <x v="12"/>
    <x v="4"/>
    <s v="Changzhou - Benniu"/>
    <n v="14258"/>
    <n v="33.5"/>
    <m/>
    <n v="0"/>
    <m/>
    <n v="0"/>
    <n v="0"/>
    <n v="0"/>
    <n v="0"/>
    <n v="0"/>
    <n v="0"/>
    <n v="0"/>
    <n v="0"/>
    <n v="0"/>
    <n v="0"/>
  </r>
  <r>
    <s v="PAP/BFU"/>
    <s v="BFU"/>
    <x v="2"/>
    <x v="5"/>
    <x v="12"/>
    <x v="4"/>
    <s v="Bengbu"/>
    <n v="14210"/>
    <n v="33.25"/>
    <m/>
    <n v="0"/>
    <m/>
    <n v="0"/>
    <n v="0"/>
    <n v="0"/>
    <n v="0"/>
    <n v="0"/>
    <n v="0"/>
    <n v="0"/>
    <n v="0"/>
    <n v="0"/>
    <n v="0"/>
  </r>
  <r>
    <s v="PAP/XUZ"/>
    <s v="XUZ"/>
    <x v="2"/>
    <x v="1"/>
    <x v="12"/>
    <x v="4"/>
    <s v="Xuzhou - Guanyin"/>
    <n v="14074"/>
    <n v="33"/>
    <m/>
    <n v="0"/>
    <m/>
    <n v="0"/>
    <n v="0"/>
    <n v="0"/>
    <n v="0"/>
    <n v="0"/>
    <n v="0"/>
    <n v="0"/>
    <n v="0"/>
    <n v="0"/>
    <n v="0"/>
  </r>
  <r>
    <s v="PAP/YCU"/>
    <s v="YCU"/>
    <x v="2"/>
    <x v="1"/>
    <x v="12"/>
    <x v="4"/>
    <s v="Yuncheng - Guangong"/>
    <n v="14037"/>
    <n v="33"/>
    <m/>
    <n v="0"/>
    <m/>
    <n v="0"/>
    <n v="0"/>
    <n v="0"/>
    <n v="0"/>
    <n v="0"/>
    <n v="0"/>
    <n v="0"/>
    <n v="0"/>
    <n v="0"/>
    <n v="0"/>
  </r>
  <r>
    <s v="PAP/THQ"/>
    <s v="THQ"/>
    <x v="2"/>
    <x v="4"/>
    <x v="12"/>
    <x v="4"/>
    <s v="Tianshui - Maijishan"/>
    <n v="14107"/>
    <n v="33"/>
    <m/>
    <n v="0"/>
    <m/>
    <n v="0"/>
    <n v="0"/>
    <n v="0"/>
    <n v="0"/>
    <n v="0"/>
    <n v="0"/>
    <n v="0"/>
    <n v="0"/>
    <n v="0"/>
    <n v="0"/>
  </r>
  <r>
    <s v="PAP/CIH"/>
    <s v="CIH"/>
    <x v="2"/>
    <x v="1"/>
    <x v="12"/>
    <x v="4"/>
    <s v="Changzhi - Wangcun"/>
    <n v="13895"/>
    <n v="32.75"/>
    <m/>
    <n v="0"/>
    <m/>
    <n v="0"/>
    <n v="0"/>
    <n v="0"/>
    <n v="0"/>
    <n v="0"/>
    <n v="0"/>
    <n v="0"/>
    <n v="0"/>
    <n v="0"/>
    <n v="0"/>
  </r>
  <r>
    <s v="PAP/JNG"/>
    <s v="JNG"/>
    <x v="2"/>
    <x v="1"/>
    <x v="12"/>
    <x v="4"/>
    <s v="Jining - Qufu"/>
    <n v="13959"/>
    <n v="32.75"/>
    <m/>
    <n v="0"/>
    <m/>
    <n v="0"/>
    <n v="0"/>
    <n v="0"/>
    <n v="0"/>
    <n v="0"/>
    <n v="0"/>
    <n v="0"/>
    <n v="0"/>
    <n v="0"/>
    <n v="0"/>
  </r>
  <r>
    <s v="PAP/ENY"/>
    <s v="ENY"/>
    <x v="2"/>
    <x v="1"/>
    <x v="12"/>
    <x v="4"/>
    <s v="Yan'an - Nanniwan"/>
    <n v="13876"/>
    <n v="32.5"/>
    <m/>
    <n v="0"/>
    <m/>
    <n v="0"/>
    <n v="0"/>
    <n v="0"/>
    <n v="0"/>
    <n v="0"/>
    <n v="0"/>
    <n v="0"/>
    <n v="0"/>
    <n v="0"/>
    <n v="0"/>
  </r>
  <r>
    <s v="PAP/JDH"/>
    <s v="JDH"/>
    <x v="2"/>
    <x v="1"/>
    <x v="42"/>
    <x v="4"/>
    <s v="Jodhpur"/>
    <n v="13785"/>
    <n v="32.5"/>
    <m/>
    <n v="0"/>
    <m/>
    <n v="0"/>
    <n v="0"/>
    <n v="0"/>
    <n v="0"/>
    <n v="0"/>
    <n v="0"/>
    <n v="0"/>
    <n v="0"/>
    <n v="0"/>
    <n v="0"/>
  </r>
  <r>
    <s v="PAP/JGA"/>
    <s v="JGA"/>
    <x v="2"/>
    <x v="4"/>
    <x v="42"/>
    <x v="4"/>
    <s v="Jamnagar - Govardhanpur"/>
    <n v="13886"/>
    <n v="32.5"/>
    <m/>
    <n v="0"/>
    <m/>
    <n v="0"/>
    <n v="0"/>
    <n v="0"/>
    <n v="0"/>
    <n v="0"/>
    <n v="0"/>
    <n v="0"/>
    <n v="0"/>
    <n v="0"/>
    <n v="0"/>
  </r>
  <r>
    <s v="PAP/HIN"/>
    <s v="HIN"/>
    <x v="2"/>
    <x v="1"/>
    <x v="82"/>
    <x v="4"/>
    <s v="Jinju - Sacheon"/>
    <n v="13675"/>
    <n v="32.25"/>
    <m/>
    <n v="0"/>
    <m/>
    <n v="0"/>
    <n v="0"/>
    <n v="0"/>
    <n v="0"/>
    <n v="0"/>
    <n v="0"/>
    <n v="0"/>
    <n v="0"/>
    <n v="0"/>
    <n v="0"/>
  </r>
  <r>
    <s v="PAP/GOQ"/>
    <s v="GOQ"/>
    <x v="2"/>
    <x v="4"/>
    <x v="12"/>
    <x v="4"/>
    <s v="Golmud"/>
    <n v="13756"/>
    <n v="32.25"/>
    <m/>
    <n v="0"/>
    <m/>
    <n v="0"/>
    <n v="0"/>
    <n v="0"/>
    <n v="0"/>
    <n v="0"/>
    <n v="0"/>
    <n v="0"/>
    <n v="0"/>
    <n v="0"/>
    <n v="0"/>
  </r>
  <r>
    <s v="PAP/ZHY"/>
    <s v="ZHY"/>
    <x v="2"/>
    <x v="4"/>
    <x v="12"/>
    <x v="4"/>
    <s v="Zhongwei - Xiangshan"/>
    <n v="13769"/>
    <n v="32.25"/>
    <m/>
    <n v="0"/>
    <m/>
    <n v="0"/>
    <n v="0"/>
    <n v="0"/>
    <n v="0"/>
    <n v="0"/>
    <n v="0"/>
    <n v="0"/>
    <n v="0"/>
    <n v="0"/>
    <n v="0"/>
  </r>
  <r>
    <s v="PAP/MWX"/>
    <s v="MWX"/>
    <x v="2"/>
    <x v="4"/>
    <x v="82"/>
    <x v="4"/>
    <s v="Muan - International"/>
    <n v="13744"/>
    <n v="32.25"/>
    <m/>
    <n v="0"/>
    <m/>
    <n v="0"/>
    <n v="0"/>
    <n v="0"/>
    <n v="0"/>
    <n v="0"/>
    <n v="0"/>
    <n v="0"/>
    <n v="0"/>
    <n v="0"/>
    <n v="0"/>
  </r>
  <r>
    <s v="PAP/WEF"/>
    <s v="WEF"/>
    <x v="2"/>
    <x v="5"/>
    <x v="12"/>
    <x v="4"/>
    <s v="Weifang"/>
    <n v="13762"/>
    <n v="32.25"/>
    <m/>
    <n v="0"/>
    <m/>
    <n v="0"/>
    <n v="0"/>
    <n v="0"/>
    <n v="0"/>
    <n v="0"/>
    <n v="0"/>
    <n v="0"/>
    <n v="0"/>
    <n v="0"/>
    <n v="0"/>
  </r>
  <r>
    <s v="PAP/IXC"/>
    <s v="IXC"/>
    <x v="2"/>
    <x v="1"/>
    <x v="42"/>
    <x v="4"/>
    <s v="Chandigarh"/>
    <n v="13621"/>
    <n v="32"/>
    <m/>
    <n v="0"/>
    <m/>
    <n v="0"/>
    <n v="0"/>
    <n v="0"/>
    <n v="0"/>
    <n v="0"/>
    <n v="0"/>
    <n v="0"/>
    <n v="0"/>
    <n v="0"/>
    <n v="0"/>
  </r>
  <r>
    <s v="PAP/KUV"/>
    <s v="KUV"/>
    <x v="2"/>
    <x v="1"/>
    <x v="82"/>
    <x v="4"/>
    <s v="Gunsan"/>
    <n v="13641"/>
    <n v="32"/>
    <m/>
    <n v="0"/>
    <m/>
    <n v="0"/>
    <n v="0"/>
    <n v="0"/>
    <n v="0"/>
    <n v="0"/>
    <n v="0"/>
    <n v="0"/>
    <n v="0"/>
    <n v="0"/>
    <n v="0"/>
  </r>
  <r>
    <s v="PAP/TAE"/>
    <s v="TAE"/>
    <x v="2"/>
    <x v="1"/>
    <x v="82"/>
    <x v="4"/>
    <s v="Daegu - International"/>
    <n v="13572"/>
    <n v="32"/>
    <m/>
    <n v="0"/>
    <m/>
    <n v="0"/>
    <n v="0"/>
    <n v="0"/>
    <n v="0"/>
    <n v="0"/>
    <n v="0"/>
    <n v="0"/>
    <n v="0"/>
    <n v="0"/>
    <n v="0"/>
  </r>
  <r>
    <s v="PAP/WEH"/>
    <s v="WEH"/>
    <x v="2"/>
    <x v="5"/>
    <x v="12"/>
    <x v="4"/>
    <s v="Weihai - Dashuibo"/>
    <n v="13633"/>
    <n v="32"/>
    <m/>
    <n v="0"/>
    <m/>
    <n v="0"/>
    <n v="0"/>
    <n v="0"/>
    <n v="0"/>
    <n v="0"/>
    <n v="0"/>
    <n v="0"/>
    <n v="0"/>
    <n v="0"/>
    <n v="0"/>
  </r>
  <r>
    <s v="PAP/YNT"/>
    <s v="YNT"/>
    <x v="2"/>
    <x v="5"/>
    <x v="12"/>
    <x v="4"/>
    <s v="Yantai - Penglai Intl"/>
    <n v="13631"/>
    <n v="32"/>
    <m/>
    <n v="0"/>
    <m/>
    <n v="0"/>
    <n v="0"/>
    <n v="0"/>
    <n v="0"/>
    <n v="0"/>
    <n v="0"/>
    <n v="0"/>
    <n v="0"/>
    <n v="0"/>
    <n v="0"/>
  </r>
  <r>
    <s v="PAP/CJJ"/>
    <s v="CJJ"/>
    <x v="2"/>
    <x v="1"/>
    <x v="82"/>
    <x v="4"/>
    <s v="Cheongju - International"/>
    <n v="13528"/>
    <n v="31.75"/>
    <m/>
    <n v="0"/>
    <m/>
    <n v="0"/>
    <n v="0"/>
    <n v="0"/>
    <n v="0"/>
    <n v="0"/>
    <n v="0"/>
    <n v="0"/>
    <n v="0"/>
    <n v="0"/>
    <n v="0"/>
  </r>
  <r>
    <s v="PAP/WJU"/>
    <s v="WJU"/>
    <x v="2"/>
    <x v="4"/>
    <x v="82"/>
    <x v="4"/>
    <s v="Wonju"/>
    <n v="13438"/>
    <n v="31.75"/>
    <m/>
    <n v="0"/>
    <m/>
    <n v="0"/>
    <n v="0"/>
    <n v="0"/>
    <n v="0"/>
    <n v="0"/>
    <n v="0"/>
    <n v="0"/>
    <n v="0"/>
    <n v="0"/>
    <n v="0"/>
  </r>
  <r>
    <s v="PAP/DNH"/>
    <s v="DNH"/>
    <x v="2"/>
    <x v="1"/>
    <x v="12"/>
    <x v="4"/>
    <s v="Dunhuang"/>
    <n v="13351"/>
    <n v="31.5"/>
    <m/>
    <n v="0"/>
    <m/>
    <n v="0"/>
    <n v="0"/>
    <n v="0"/>
    <n v="0"/>
    <n v="0"/>
    <n v="0"/>
    <n v="0"/>
    <n v="0"/>
    <n v="0"/>
    <n v="0"/>
  </r>
  <r>
    <s v="PAP/ATQ"/>
    <s v="ATQ"/>
    <x v="2"/>
    <x v="1"/>
    <x v="42"/>
    <x v="4"/>
    <s v="Amritsar - Sri Guru Ram Dass Jee"/>
    <n v="13417"/>
    <n v="31.5"/>
    <m/>
    <n v="0"/>
    <m/>
    <n v="0"/>
    <n v="0"/>
    <n v="0"/>
    <n v="0"/>
    <n v="0"/>
    <n v="0"/>
    <n v="0"/>
    <n v="0"/>
    <n v="0"/>
    <n v="0"/>
  </r>
  <r>
    <s v="PAP/IXL"/>
    <s v="IXL"/>
    <x v="2"/>
    <x v="1"/>
    <x v="42"/>
    <x v="4"/>
    <s v="Leh - Kushok Bakula Rimpoche"/>
    <n v="13343"/>
    <n v="31.5"/>
    <m/>
    <n v="0"/>
    <m/>
    <n v="0"/>
    <n v="0"/>
    <n v="0"/>
    <n v="0"/>
    <n v="0"/>
    <n v="0"/>
    <n v="0"/>
    <n v="0"/>
    <n v="0"/>
    <n v="0"/>
  </r>
  <r>
    <s v="PAP/FNJ"/>
    <s v="FNJ"/>
    <x v="2"/>
    <x v="1"/>
    <x v="130"/>
    <x v="4"/>
    <s v="Pyongyang - Sunan Intl"/>
    <n v="13325"/>
    <n v="31.5"/>
    <m/>
    <n v="0"/>
    <m/>
    <n v="0"/>
    <n v="0"/>
    <n v="0"/>
    <n v="0"/>
    <n v="0"/>
    <n v="0"/>
    <n v="0"/>
    <n v="0"/>
    <n v="0"/>
    <n v="0"/>
  </r>
  <r>
    <s v="PAP/LYP"/>
    <s v="LYP"/>
    <x v="2"/>
    <x v="1"/>
    <x v="85"/>
    <x v="4"/>
    <s v="Faisalabad - International"/>
    <n v="13343"/>
    <n v="31.5"/>
    <m/>
    <n v="0"/>
    <m/>
    <n v="0"/>
    <n v="0"/>
    <n v="0"/>
    <n v="0"/>
    <n v="0"/>
    <n v="0"/>
    <n v="0"/>
    <n v="0"/>
    <n v="0"/>
    <n v="0"/>
  </r>
  <r>
    <s v="PAP/MUX"/>
    <s v="MUX"/>
    <x v="2"/>
    <x v="1"/>
    <x v="85"/>
    <x v="4"/>
    <s v="Multan - International"/>
    <n v="13347"/>
    <n v="31.5"/>
    <m/>
    <n v="0"/>
    <m/>
    <n v="0"/>
    <n v="0"/>
    <n v="0"/>
    <n v="0"/>
    <n v="0"/>
    <n v="0"/>
    <n v="0"/>
    <n v="0"/>
    <n v="0"/>
    <n v="0"/>
  </r>
  <r>
    <s v="PAP/SKZ"/>
    <s v="SKZ"/>
    <x v="2"/>
    <x v="1"/>
    <x v="85"/>
    <x v="4"/>
    <s v="Sukkur"/>
    <n v="13381"/>
    <n v="31.5"/>
    <m/>
    <n v="0"/>
    <m/>
    <n v="0"/>
    <n v="0"/>
    <n v="0"/>
    <n v="0"/>
    <n v="0"/>
    <n v="0"/>
    <n v="0"/>
    <n v="0"/>
    <n v="0"/>
    <n v="0"/>
  </r>
  <r>
    <s v="PAP/RYK"/>
    <s v="RYK"/>
    <x v="2"/>
    <x v="4"/>
    <x v="85"/>
    <x v="4"/>
    <s v="Rahim Yar Khan - Shaikh Zayed Intl"/>
    <n v="13426"/>
    <n v="31.5"/>
    <m/>
    <n v="0"/>
    <m/>
    <n v="0"/>
    <n v="0"/>
    <n v="0"/>
    <n v="0"/>
    <n v="0"/>
    <n v="0"/>
    <n v="0"/>
    <n v="0"/>
    <n v="0"/>
    <n v="0"/>
  </r>
  <r>
    <s v="PAP/SXR"/>
    <s v="SXR"/>
    <x v="2"/>
    <x v="1"/>
    <x v="42"/>
    <x v="4"/>
    <s v="Srinagar - Sheikh ul Alam"/>
    <n v="13212"/>
    <n v="31.25"/>
    <m/>
    <n v="0"/>
    <m/>
    <n v="0"/>
    <n v="0"/>
    <n v="0"/>
    <n v="0"/>
    <n v="0"/>
    <n v="0"/>
    <n v="0"/>
    <n v="0"/>
    <n v="0"/>
    <n v="0"/>
  </r>
  <r>
    <s v="PAP/DDG"/>
    <s v="DDG"/>
    <x v="2"/>
    <x v="5"/>
    <x v="12"/>
    <x v="4"/>
    <s v="Dandong - Langtou"/>
    <n v="13279"/>
    <n v="31.25"/>
    <m/>
    <n v="0"/>
    <m/>
    <n v="0"/>
    <n v="0"/>
    <n v="0"/>
    <n v="0"/>
    <n v="0"/>
    <n v="0"/>
    <n v="0"/>
    <n v="0"/>
    <n v="0"/>
    <n v="0"/>
  </r>
  <r>
    <s v="PAP/JNZ"/>
    <s v="JNZ"/>
    <x v="2"/>
    <x v="5"/>
    <x v="12"/>
    <x v="4"/>
    <s v="Jinzhouwan"/>
    <n v="13240"/>
    <n v="31.25"/>
    <m/>
    <n v="0"/>
    <m/>
    <n v="0"/>
    <n v="0"/>
    <n v="0"/>
    <n v="0"/>
    <n v="0"/>
    <n v="0"/>
    <n v="0"/>
    <n v="0"/>
    <n v="0"/>
    <n v="0"/>
  </r>
  <r>
    <s v="PAP/HTN"/>
    <s v="HTN"/>
    <x v="2"/>
    <x v="1"/>
    <x v="12"/>
    <x v="4"/>
    <s v="Hotan"/>
    <n v="13179"/>
    <n v="31"/>
    <m/>
    <n v="0"/>
    <m/>
    <n v="0"/>
    <n v="0"/>
    <n v="0"/>
    <n v="0"/>
    <n v="0"/>
    <n v="0"/>
    <n v="0"/>
    <n v="0"/>
    <n v="0"/>
    <n v="0"/>
  </r>
  <r>
    <s v="PAP/SCT"/>
    <s v="SCT"/>
    <x v="2"/>
    <x v="4"/>
    <x v="67"/>
    <x v="4"/>
    <s v="Socotra - Airport"/>
    <n v="13176"/>
    <n v="31"/>
    <m/>
    <n v="0"/>
    <m/>
    <n v="0"/>
    <n v="0"/>
    <n v="0"/>
    <n v="0"/>
    <n v="0"/>
    <n v="0"/>
    <n v="0"/>
    <n v="0"/>
    <n v="0"/>
    <n v="0"/>
  </r>
  <r>
    <s v="PAP/HAH"/>
    <s v="HAH"/>
    <x v="2"/>
    <x v="1"/>
    <x v="131"/>
    <x v="5"/>
    <s v="Moroni - Prince Said Ibrahim"/>
    <n v="13088"/>
    <n v="30.75"/>
    <m/>
    <n v="0"/>
    <m/>
    <n v="0"/>
    <n v="0"/>
    <n v="0"/>
    <n v="0"/>
    <n v="0"/>
    <n v="0"/>
    <n v="0"/>
    <n v="0"/>
    <n v="0"/>
    <n v="0"/>
  </r>
  <r>
    <s v="PAP/PEW"/>
    <s v="PEW"/>
    <x v="2"/>
    <x v="1"/>
    <x v="85"/>
    <x v="4"/>
    <s v="Peshawar - Bacha Khan Intl"/>
    <n v="13028"/>
    <n v="30.75"/>
    <m/>
    <n v="0"/>
    <m/>
    <n v="0"/>
    <n v="0"/>
    <n v="0"/>
    <n v="0"/>
    <n v="0"/>
    <n v="0"/>
    <n v="0"/>
    <n v="0"/>
    <n v="0"/>
    <n v="0"/>
  </r>
  <r>
    <s v="PAP/UET"/>
    <s v="UET"/>
    <x v="2"/>
    <x v="1"/>
    <x v="85"/>
    <x v="4"/>
    <s v="Quetta - International"/>
    <n v="13053"/>
    <n v="30.75"/>
    <m/>
    <n v="0"/>
    <m/>
    <n v="0"/>
    <n v="0"/>
    <n v="0"/>
    <n v="0"/>
    <n v="0"/>
    <n v="0"/>
    <n v="0"/>
    <n v="0"/>
    <n v="0"/>
    <n v="0"/>
  </r>
  <r>
    <s v="PAP/KRL"/>
    <s v="KRL"/>
    <x v="2"/>
    <x v="1"/>
    <x v="12"/>
    <x v="4"/>
    <s v="Korla"/>
    <n v="12957"/>
    <n v="30.5"/>
    <m/>
    <n v="0"/>
    <m/>
    <n v="0"/>
    <n v="0"/>
    <n v="0"/>
    <n v="0"/>
    <n v="0"/>
    <n v="0"/>
    <n v="0"/>
    <n v="0"/>
    <n v="0"/>
    <n v="0"/>
  </r>
  <r>
    <s v="PAP/SLL"/>
    <s v="SLL"/>
    <x v="2"/>
    <x v="1"/>
    <x v="121"/>
    <x v="4"/>
    <s v="Salalah - Airport"/>
    <n v="12943"/>
    <n v="30.5"/>
    <m/>
    <n v="0"/>
    <m/>
    <n v="0"/>
    <n v="0"/>
    <n v="0"/>
    <n v="0"/>
    <n v="0"/>
    <n v="0"/>
    <n v="0"/>
    <n v="0"/>
    <n v="0"/>
    <n v="0"/>
  </r>
  <r>
    <s v="PAP/KHG"/>
    <s v="KHG"/>
    <x v="2"/>
    <x v="1"/>
    <x v="12"/>
    <x v="4"/>
    <s v="Kashi"/>
    <n v="12766"/>
    <n v="30.25"/>
    <m/>
    <n v="0"/>
    <m/>
    <n v="0"/>
    <n v="0"/>
    <n v="0"/>
    <n v="0"/>
    <n v="0"/>
    <n v="0"/>
    <n v="0"/>
    <n v="0"/>
    <n v="0"/>
    <n v="0"/>
  </r>
  <r>
    <s v="PAP/GLK"/>
    <s v="GLK"/>
    <x v="2"/>
    <x v="4"/>
    <x v="132"/>
    <x v="5"/>
    <s v="Galcaio"/>
    <n v="12838"/>
    <n v="30.25"/>
    <m/>
    <n v="0"/>
    <m/>
    <n v="0"/>
    <n v="0"/>
    <n v="0"/>
    <n v="0"/>
    <n v="0"/>
    <n v="0"/>
    <n v="0"/>
    <n v="0"/>
    <n v="0"/>
    <n v="0"/>
  </r>
  <r>
    <s v="PAP/MGQ"/>
    <s v="MGQ"/>
    <x v="2"/>
    <x v="4"/>
    <x v="132"/>
    <x v="5"/>
    <s v="Mogadishu - Aden Adde Intl"/>
    <n v="12826"/>
    <n v="30.25"/>
    <m/>
    <n v="0"/>
    <m/>
    <n v="0"/>
    <n v="0"/>
    <n v="0"/>
    <n v="0"/>
    <n v="0"/>
    <n v="0"/>
    <n v="0"/>
    <n v="0"/>
    <n v="0"/>
    <n v="0"/>
  </r>
  <r>
    <s v="PAP/BYN"/>
    <s v="BYN"/>
    <x v="2"/>
    <x v="4"/>
    <x v="133"/>
    <x v="4"/>
    <s v="Bayankhongor"/>
    <n v="12785"/>
    <n v="30.25"/>
    <m/>
    <n v="0"/>
    <m/>
    <n v="0"/>
    <n v="0"/>
    <n v="0"/>
    <n v="0"/>
    <n v="0"/>
    <n v="0"/>
    <n v="0"/>
    <n v="0"/>
    <n v="0"/>
    <n v="0"/>
  </r>
  <r>
    <s v="PAP/YNJ"/>
    <s v="YNJ"/>
    <x v="2"/>
    <x v="5"/>
    <x v="12"/>
    <x v="4"/>
    <s v="Yanji - Chaoyangchuan"/>
    <n v="12831"/>
    <n v="30.25"/>
    <m/>
    <n v="0"/>
    <m/>
    <n v="0"/>
    <n v="0"/>
    <n v="0"/>
    <n v="0"/>
    <n v="0"/>
    <n v="0"/>
    <n v="0"/>
    <n v="0"/>
    <n v="0"/>
    <n v="0"/>
  </r>
  <r>
    <s v="PAP/MDG"/>
    <s v="MDG"/>
    <x v="2"/>
    <x v="5"/>
    <x v="12"/>
    <x v="4"/>
    <s v="Mudanjiang - Hailang"/>
    <n v="12659"/>
    <n v="30"/>
    <m/>
    <n v="0"/>
    <m/>
    <n v="0"/>
    <n v="0"/>
    <n v="0"/>
    <n v="0"/>
    <n v="0"/>
    <n v="0"/>
    <n v="0"/>
    <n v="0"/>
    <n v="0"/>
    <n v="0"/>
  </r>
  <r>
    <s v="PAP/ULN"/>
    <s v="ULN"/>
    <x v="2"/>
    <x v="1"/>
    <x v="133"/>
    <x v="4"/>
    <s v="Ulaanbaatar - Chinggis Khaan Intl"/>
    <n v="12632"/>
    <n v="29.75"/>
    <m/>
    <n v="0"/>
    <m/>
    <n v="0"/>
    <n v="0"/>
    <n v="0"/>
    <n v="0"/>
    <n v="0"/>
    <n v="0"/>
    <n v="0"/>
    <n v="0"/>
    <n v="0"/>
    <n v="0"/>
  </r>
  <r>
    <s v="PAP/AAN"/>
    <s v="AAN"/>
    <x v="2"/>
    <x v="1"/>
    <x v="16"/>
    <x v="4"/>
    <s v="Al Ain - International"/>
    <n v="12632"/>
    <n v="29.75"/>
    <m/>
    <n v="0"/>
    <m/>
    <n v="0"/>
    <n v="0"/>
    <n v="0"/>
    <n v="0"/>
    <n v="0"/>
    <n v="0"/>
    <n v="0"/>
    <n v="0"/>
    <n v="0"/>
    <n v="0"/>
  </r>
  <r>
    <s v="PAP/RKT"/>
    <s v="RKT"/>
    <x v="2"/>
    <x v="1"/>
    <x v="16"/>
    <x v="4"/>
    <s v="Ras al Khaimah - International"/>
    <n v="12571"/>
    <n v="29.75"/>
    <m/>
    <n v="0"/>
    <m/>
    <n v="0"/>
    <n v="0"/>
    <n v="0"/>
    <n v="0"/>
    <n v="0"/>
    <n v="0"/>
    <n v="0"/>
    <n v="0"/>
    <n v="0"/>
    <n v="0"/>
  </r>
  <r>
    <s v="PAP/RIY"/>
    <s v="RIY"/>
    <x v="2"/>
    <x v="1"/>
    <x v="67"/>
    <x v="4"/>
    <s v="Mukalla - Riyan"/>
    <n v="12638"/>
    <n v="29.75"/>
    <m/>
    <n v="0"/>
    <m/>
    <n v="0"/>
    <n v="0"/>
    <n v="0"/>
    <n v="0"/>
    <n v="0"/>
    <n v="0"/>
    <n v="0"/>
    <n v="0"/>
    <n v="0"/>
    <n v="0"/>
  </r>
  <r>
    <s v="PAP/KRY"/>
    <s v="KRY"/>
    <x v="2"/>
    <x v="4"/>
    <x v="12"/>
    <x v="4"/>
    <s v="Karamay - Airport"/>
    <n v="12535"/>
    <n v="29.75"/>
    <m/>
    <n v="0"/>
    <m/>
    <n v="0"/>
    <n v="0"/>
    <n v="0"/>
    <n v="0"/>
    <n v="0"/>
    <n v="0"/>
    <n v="0"/>
    <n v="0"/>
    <n v="0"/>
    <n v="0"/>
  </r>
  <r>
    <s v="PAP/ACZ"/>
    <s v="ACZ"/>
    <x v="2"/>
    <x v="4"/>
    <x v="66"/>
    <x v="4"/>
    <s v="Zabol"/>
    <n v="12616"/>
    <n v="29.75"/>
    <m/>
    <n v="0"/>
    <m/>
    <n v="0"/>
    <n v="0"/>
    <n v="0"/>
    <n v="0"/>
    <n v="0"/>
    <n v="0"/>
    <n v="0"/>
    <n v="0"/>
    <n v="0"/>
    <n v="0"/>
  </r>
  <r>
    <s v="PAP/COQ"/>
    <s v="COQ"/>
    <x v="2"/>
    <x v="4"/>
    <x v="133"/>
    <x v="4"/>
    <s v="Choibalsan"/>
    <n v="12568"/>
    <n v="29.75"/>
    <m/>
    <n v="0"/>
    <m/>
    <n v="0"/>
    <n v="0"/>
    <n v="0"/>
    <n v="0"/>
    <n v="0"/>
    <n v="0"/>
    <n v="0"/>
    <n v="0"/>
    <n v="0"/>
    <n v="0"/>
  </r>
  <r>
    <s v="PAP/FJR"/>
    <s v="FJR"/>
    <x v="2"/>
    <x v="4"/>
    <x v="16"/>
    <x v="4"/>
    <s v="Fujairah - International"/>
    <n v="12635"/>
    <n v="29.75"/>
    <m/>
    <n v="0"/>
    <m/>
    <n v="0"/>
    <n v="0"/>
    <n v="0"/>
    <n v="0"/>
    <n v="0"/>
    <n v="0"/>
    <n v="0"/>
    <n v="0"/>
    <n v="0"/>
    <n v="0"/>
  </r>
  <r>
    <s v="PAP/DWC"/>
    <s v="DWC"/>
    <x v="2"/>
    <x v="5"/>
    <x v="16"/>
    <x v="4"/>
    <s v="Dubai - Al Maktoum International Airport"/>
    <n v="12555"/>
    <n v="29.75"/>
    <m/>
    <n v="0"/>
    <m/>
    <n v="0"/>
    <n v="0"/>
    <n v="0"/>
    <n v="0"/>
    <n v="0"/>
    <n v="0"/>
    <n v="0"/>
    <n v="0"/>
    <n v="0"/>
    <n v="0"/>
  </r>
  <r>
    <s v="PAP/BBO"/>
    <s v="BBO"/>
    <x v="2"/>
    <x v="1"/>
    <x v="132"/>
    <x v="5"/>
    <s v="Berbera"/>
    <n v="12420"/>
    <n v="29.5"/>
    <m/>
    <n v="0"/>
    <m/>
    <n v="0"/>
    <n v="0"/>
    <n v="0"/>
    <n v="0"/>
    <n v="0"/>
    <n v="0"/>
    <n v="0"/>
    <n v="0"/>
    <n v="0"/>
    <n v="0"/>
  </r>
  <r>
    <s v="PAP/OSS"/>
    <s v="OSS"/>
    <x v="2"/>
    <x v="1"/>
    <x v="134"/>
    <x v="4"/>
    <s v="Osh"/>
    <n v="12512"/>
    <n v="29.5"/>
    <m/>
    <n v="0"/>
    <m/>
    <n v="0"/>
    <n v="0"/>
    <n v="0"/>
    <n v="0"/>
    <n v="0"/>
    <n v="0"/>
    <n v="0"/>
    <n v="0"/>
    <n v="0"/>
    <n v="0"/>
  </r>
  <r>
    <s v="PAP/DYU"/>
    <s v="DYU"/>
    <x v="2"/>
    <x v="1"/>
    <x v="135"/>
    <x v="4"/>
    <s v="Dushanbe - International"/>
    <n v="12484"/>
    <n v="29.5"/>
    <m/>
    <n v="0"/>
    <m/>
    <n v="0"/>
    <n v="0"/>
    <n v="0"/>
    <n v="0"/>
    <n v="0"/>
    <n v="0"/>
    <n v="0"/>
    <n v="0"/>
    <n v="0"/>
    <n v="0"/>
  </r>
  <r>
    <s v="PAP/HVD"/>
    <s v="HVD"/>
    <x v="2"/>
    <x v="4"/>
    <x v="133"/>
    <x v="4"/>
    <s v="Khovd"/>
    <n v="12448"/>
    <n v="29.5"/>
    <m/>
    <n v="0"/>
    <m/>
    <n v="0"/>
    <n v="0"/>
    <n v="0"/>
    <n v="0"/>
    <n v="0"/>
    <n v="0"/>
    <n v="0"/>
    <n v="0"/>
    <n v="0"/>
    <n v="0"/>
  </r>
  <r>
    <s v="PAP/GXF"/>
    <s v="GXF"/>
    <x v="2"/>
    <x v="4"/>
    <x v="67"/>
    <x v="4"/>
    <s v="Sayun - Airport"/>
    <n v="12513"/>
    <n v="29.5"/>
    <m/>
    <n v="0"/>
    <m/>
    <n v="0"/>
    <n v="0"/>
    <n v="0"/>
    <n v="0"/>
    <n v="0"/>
    <n v="0"/>
    <n v="0"/>
    <n v="0"/>
    <n v="0"/>
    <n v="0"/>
  </r>
  <r>
    <s v="PAP/NDG"/>
    <s v="NDG"/>
    <x v="2"/>
    <x v="5"/>
    <x v="12"/>
    <x v="4"/>
    <s v="Qiqihar - Sanjiazi"/>
    <n v="12522"/>
    <n v="29.5"/>
    <m/>
    <n v="0"/>
    <m/>
    <n v="0"/>
    <n v="0"/>
    <n v="0"/>
    <n v="0"/>
    <n v="0"/>
    <n v="0"/>
    <n v="0"/>
    <n v="0"/>
    <n v="0"/>
    <n v="0"/>
  </r>
  <r>
    <s v="PAP/NZH"/>
    <s v="NZH"/>
    <x v="2"/>
    <x v="1"/>
    <x v="12"/>
    <x v="4"/>
    <s v="Manzhouli - Xijiao"/>
    <n v="12381"/>
    <n v="29.25"/>
    <m/>
    <n v="0"/>
    <m/>
    <n v="0"/>
    <n v="0"/>
    <n v="0"/>
    <n v="0"/>
    <n v="0"/>
    <n v="0"/>
    <n v="0"/>
    <n v="0"/>
    <n v="0"/>
    <n v="0"/>
  </r>
  <r>
    <s v="PAP/KER"/>
    <s v="KER"/>
    <x v="2"/>
    <x v="1"/>
    <x v="66"/>
    <x v="4"/>
    <s v="Kerman"/>
    <n v="12338"/>
    <n v="29.25"/>
    <m/>
    <n v="0"/>
    <m/>
    <n v="0"/>
    <n v="0"/>
    <n v="0"/>
    <n v="0"/>
    <n v="0"/>
    <n v="0"/>
    <n v="0"/>
    <n v="0"/>
    <n v="0"/>
    <n v="0"/>
  </r>
  <r>
    <s v="PAP/FRU"/>
    <s v="FRU"/>
    <x v="2"/>
    <x v="1"/>
    <x v="134"/>
    <x v="4"/>
    <s v="Bishkek - Manas Intl"/>
    <n v="12369"/>
    <n v="29.25"/>
    <m/>
    <n v="0"/>
    <m/>
    <n v="0"/>
    <n v="0"/>
    <n v="0"/>
    <n v="0"/>
    <n v="0"/>
    <n v="0"/>
    <n v="0"/>
    <n v="0"/>
    <n v="0"/>
    <n v="0"/>
  </r>
  <r>
    <s v="PAP/ADE"/>
    <s v="ADE"/>
    <x v="2"/>
    <x v="1"/>
    <x v="67"/>
    <x v="4"/>
    <s v="Aden - International"/>
    <n v="12312"/>
    <n v="29.25"/>
    <m/>
    <n v="0"/>
    <m/>
    <n v="0"/>
    <n v="0"/>
    <n v="0"/>
    <n v="0"/>
    <n v="0"/>
    <n v="0"/>
    <n v="0"/>
    <n v="0"/>
    <n v="0"/>
    <n v="0"/>
  </r>
  <r>
    <s v="PAP/HLD"/>
    <s v="HLD"/>
    <x v="2"/>
    <x v="5"/>
    <x v="12"/>
    <x v="4"/>
    <s v="Hailar - Dongshan"/>
    <n v="12386"/>
    <n v="29.25"/>
    <m/>
    <n v="0"/>
    <m/>
    <n v="0"/>
    <n v="0"/>
    <n v="0"/>
    <n v="0"/>
    <n v="0"/>
    <n v="0"/>
    <n v="0"/>
    <n v="0"/>
    <n v="0"/>
    <n v="0"/>
  </r>
  <r>
    <s v="PAP/UUD"/>
    <s v="UUD"/>
    <x v="2"/>
    <x v="1"/>
    <x v="34"/>
    <x v="2"/>
    <s v="Ulan-Ude - Mukhino"/>
    <n v="12191"/>
    <n v="29"/>
    <m/>
    <n v="0"/>
    <m/>
    <n v="0"/>
    <n v="0"/>
    <n v="0"/>
    <n v="0"/>
    <n v="0"/>
    <n v="0"/>
    <n v="0"/>
    <n v="0"/>
    <n v="0"/>
    <n v="0"/>
  </r>
  <r>
    <s v="PAP/SHW"/>
    <s v="SHW"/>
    <x v="2"/>
    <x v="1"/>
    <x v="35"/>
    <x v="4"/>
    <s v="Sharurah"/>
    <n v="12278"/>
    <n v="29"/>
    <m/>
    <n v="0"/>
    <m/>
    <n v="0"/>
    <n v="0"/>
    <n v="0"/>
    <n v="0"/>
    <n v="0"/>
    <n v="0"/>
    <n v="0"/>
    <n v="0"/>
    <n v="0"/>
    <n v="0"/>
  </r>
  <r>
    <s v="PAP/MTS"/>
    <s v="MTS"/>
    <x v="2"/>
    <x v="4"/>
    <x v="136"/>
    <x v="5"/>
    <s v="Manzini - Matsapha International"/>
    <n v="12232"/>
    <n v="29"/>
    <m/>
    <n v="0"/>
    <m/>
    <n v="0"/>
    <n v="0"/>
    <n v="0"/>
    <n v="0"/>
    <n v="0"/>
    <n v="0"/>
    <n v="0"/>
    <n v="0"/>
    <n v="0"/>
    <n v="0"/>
  </r>
  <r>
    <s v="PAP/JRO"/>
    <s v="JRO"/>
    <x v="2"/>
    <x v="1"/>
    <x v="50"/>
    <x v="5"/>
    <s v="Kilimanjaro - International"/>
    <n v="12172"/>
    <n v="28.75"/>
    <m/>
    <n v="0"/>
    <m/>
    <n v="0"/>
    <n v="0"/>
    <n v="0"/>
    <n v="0"/>
    <n v="0"/>
    <n v="0"/>
    <n v="0"/>
    <n v="0"/>
    <n v="0"/>
    <n v="0"/>
  </r>
  <r>
    <s v="PAP/LLW"/>
    <s v="LLW"/>
    <x v="2"/>
    <x v="1"/>
    <x v="137"/>
    <x v="5"/>
    <s v="Lilongwe - Kamuzu Intl"/>
    <n v="12159"/>
    <n v="28.75"/>
    <m/>
    <n v="0"/>
    <m/>
    <n v="0"/>
    <n v="0"/>
    <n v="0"/>
    <n v="0"/>
    <n v="0"/>
    <n v="0"/>
    <n v="0"/>
    <n v="0"/>
    <n v="0"/>
    <n v="0"/>
  </r>
  <r>
    <s v="PAP/BQS"/>
    <s v="BQS"/>
    <x v="2"/>
    <x v="1"/>
    <x v="34"/>
    <x v="2"/>
    <s v="Blagoveshchensk - Ignatyevo"/>
    <n v="12105"/>
    <n v="28.75"/>
    <m/>
    <n v="0"/>
    <m/>
    <n v="0"/>
    <n v="0"/>
    <n v="0"/>
    <n v="0"/>
    <n v="0"/>
    <n v="0"/>
    <n v="0"/>
    <n v="0"/>
    <n v="0"/>
    <n v="0"/>
  </r>
  <r>
    <s v="PAP/HTA"/>
    <s v="HTA"/>
    <x v="2"/>
    <x v="1"/>
    <x v="34"/>
    <x v="2"/>
    <s v="Chita - Kadala"/>
    <n v="12148"/>
    <n v="28.75"/>
    <m/>
    <n v="0"/>
    <m/>
    <n v="0"/>
    <n v="0"/>
    <n v="0"/>
    <n v="0"/>
    <n v="0"/>
    <n v="0"/>
    <n v="0"/>
    <n v="0"/>
    <n v="0"/>
    <n v="0"/>
  </r>
  <r>
    <s v="PAP/IKT"/>
    <s v="IKT"/>
    <x v="2"/>
    <x v="1"/>
    <x v="34"/>
    <x v="2"/>
    <s v="Irkutsk"/>
    <n v="12134"/>
    <n v="28.75"/>
    <m/>
    <n v="0"/>
    <m/>
    <n v="0"/>
    <n v="0"/>
    <n v="0"/>
    <n v="0"/>
    <n v="0"/>
    <n v="0"/>
    <n v="0"/>
    <n v="0"/>
    <n v="0"/>
    <n v="0"/>
  </r>
  <r>
    <s v="PAP/KHV"/>
    <s v="KHV"/>
    <x v="2"/>
    <x v="1"/>
    <x v="34"/>
    <x v="2"/>
    <s v="Khabarovsk - Novy"/>
    <n v="12073"/>
    <n v="28.75"/>
    <m/>
    <n v="0"/>
    <m/>
    <n v="0"/>
    <n v="0"/>
    <n v="0"/>
    <n v="0"/>
    <n v="0"/>
    <n v="0"/>
    <n v="0"/>
    <n v="0"/>
    <n v="0"/>
    <n v="0"/>
  </r>
  <r>
    <s v="PAP/KYZ"/>
    <s v="KYZ"/>
    <x v="2"/>
    <x v="4"/>
    <x v="34"/>
    <x v="2"/>
    <s v="Kyzyl Airport"/>
    <n v="12099"/>
    <n v="28.75"/>
    <m/>
    <n v="0"/>
    <m/>
    <n v="0"/>
    <n v="0"/>
    <n v="0"/>
    <n v="0"/>
    <n v="0"/>
    <n v="0"/>
    <n v="0"/>
    <n v="0"/>
    <n v="0"/>
    <n v="0"/>
  </r>
  <r>
    <s v="PAP/TAI"/>
    <s v="TAI"/>
    <x v="2"/>
    <x v="4"/>
    <x v="67"/>
    <x v="4"/>
    <s v="Taizz - International"/>
    <n v="12184"/>
    <n v="28.75"/>
    <m/>
    <n v="0"/>
    <m/>
    <n v="0"/>
    <n v="0"/>
    <n v="0"/>
    <n v="0"/>
    <n v="0"/>
    <n v="0"/>
    <n v="0"/>
    <n v="0"/>
    <n v="0"/>
    <n v="0"/>
  </r>
  <r>
    <s v="PAP/HOF"/>
    <s v="HOF"/>
    <x v="2"/>
    <x v="4"/>
    <x v="35"/>
    <x v="4"/>
    <s v="Hofuf - Al-Ahsa"/>
    <n v="12054"/>
    <n v="28.5"/>
    <m/>
    <n v="0"/>
    <m/>
    <n v="0"/>
    <n v="0"/>
    <n v="0"/>
    <n v="0"/>
    <n v="0"/>
    <n v="0"/>
    <n v="0"/>
    <n v="0"/>
    <n v="0"/>
    <n v="0"/>
  </r>
  <r>
    <s v="PAP/HOD"/>
    <s v="HOD"/>
    <x v="2"/>
    <x v="4"/>
    <x v="67"/>
    <x v="4"/>
    <s v="Hodeidah - International"/>
    <n v="12019"/>
    <n v="28.5"/>
    <m/>
    <n v="0"/>
    <m/>
    <n v="0"/>
    <n v="0"/>
    <n v="0"/>
    <n v="0"/>
    <n v="0"/>
    <n v="0"/>
    <n v="0"/>
    <n v="0"/>
    <n v="0"/>
    <n v="0"/>
  </r>
  <r>
    <s v="PAP/UUS"/>
    <s v="UUS"/>
    <x v="2"/>
    <x v="1"/>
    <x v="34"/>
    <x v="2"/>
    <s v="Yuzhno-Sakhalinsk - Khomutovo"/>
    <n v="11938"/>
    <n v="28.25"/>
    <m/>
    <n v="0"/>
    <m/>
    <n v="0"/>
    <n v="0"/>
    <n v="0"/>
    <n v="0"/>
    <n v="0"/>
    <n v="0"/>
    <n v="0"/>
    <n v="0"/>
    <n v="0"/>
    <n v="0"/>
  </r>
  <r>
    <s v="PAP/WAE"/>
    <s v="WAE"/>
    <x v="2"/>
    <x v="1"/>
    <x v="35"/>
    <x v="4"/>
    <s v="Wadi al Dawaser"/>
    <n v="11940"/>
    <n v="28.25"/>
    <m/>
    <n v="0"/>
    <m/>
    <n v="0"/>
    <n v="0"/>
    <n v="0"/>
    <n v="0"/>
    <n v="0"/>
    <n v="0"/>
    <n v="0"/>
    <n v="0"/>
    <n v="0"/>
    <n v="0"/>
  </r>
  <r>
    <s v="PAP/ASB"/>
    <s v="ASB"/>
    <x v="2"/>
    <x v="1"/>
    <x v="138"/>
    <x v="4"/>
    <s v="Ashgabat - International"/>
    <n v="11889"/>
    <n v="28.25"/>
    <m/>
    <n v="0"/>
    <m/>
    <n v="0"/>
    <n v="0"/>
    <n v="0"/>
    <n v="0"/>
    <n v="0"/>
    <n v="0"/>
    <n v="0"/>
    <n v="0"/>
    <n v="0"/>
    <n v="0"/>
  </r>
  <r>
    <s v="PAP/MSU"/>
    <s v="MSU"/>
    <x v="2"/>
    <x v="4"/>
    <x v="139"/>
    <x v="5"/>
    <s v="Maseru - Moshoeshoe I Intl"/>
    <n v="11937"/>
    <n v="28.25"/>
    <m/>
    <n v="0"/>
    <m/>
    <n v="0"/>
    <n v="0"/>
    <n v="0"/>
    <n v="0"/>
    <n v="0"/>
    <n v="0"/>
    <n v="0"/>
    <n v="0"/>
    <n v="0"/>
    <n v="0"/>
  </r>
  <r>
    <s v="PAP/PLX"/>
    <s v="PLX"/>
    <x v="2"/>
    <x v="4"/>
    <x v="36"/>
    <x v="2"/>
    <s v="Semey"/>
    <n v="11893"/>
    <n v="28.25"/>
    <m/>
    <n v="0"/>
    <m/>
    <n v="0"/>
    <n v="0"/>
    <n v="0"/>
    <n v="0"/>
    <n v="0"/>
    <n v="0"/>
    <n v="0"/>
    <n v="0"/>
    <n v="0"/>
    <n v="0"/>
  </r>
  <r>
    <s v="PAP/BUQ"/>
    <s v="BUQ"/>
    <x v="2"/>
    <x v="1"/>
    <x v="74"/>
    <x v="5"/>
    <s v="Bulawayo - Joshua M. Nkomo Intl"/>
    <n v="11803"/>
    <n v="28"/>
    <m/>
    <n v="0"/>
    <m/>
    <n v="0"/>
    <n v="0"/>
    <n v="0"/>
    <n v="0"/>
    <n v="0"/>
    <n v="0"/>
    <n v="0"/>
    <n v="0"/>
    <n v="0"/>
    <n v="0"/>
  </r>
  <r>
    <s v="PAP/ABA"/>
    <s v="ABA"/>
    <x v="2"/>
    <x v="4"/>
    <x v="34"/>
    <x v="2"/>
    <s v="Abakan"/>
    <n v="11826"/>
    <n v="28"/>
    <m/>
    <n v="0"/>
    <m/>
    <n v="0"/>
    <n v="0"/>
    <n v="0"/>
    <n v="0"/>
    <n v="0"/>
    <n v="0"/>
    <n v="0"/>
    <n v="0"/>
    <n v="0"/>
    <n v="0"/>
  </r>
  <r>
    <s v="PAP/LUN"/>
    <s v="LUN"/>
    <x v="2"/>
    <x v="1"/>
    <x v="140"/>
    <x v="5"/>
    <s v="Lusaka - International"/>
    <n v="11651"/>
    <n v="27.75"/>
    <m/>
    <n v="0"/>
    <m/>
    <n v="0"/>
    <n v="0"/>
    <n v="0"/>
    <n v="0"/>
    <n v="0"/>
    <n v="0"/>
    <n v="0"/>
    <n v="0"/>
    <n v="0"/>
    <n v="0"/>
  </r>
  <r>
    <s v="PAP/MWZ"/>
    <s v="MWZ"/>
    <x v="2"/>
    <x v="1"/>
    <x v="50"/>
    <x v="5"/>
    <s v="Mwanza"/>
    <n v="11701"/>
    <n v="27.75"/>
    <m/>
    <n v="0"/>
    <m/>
    <n v="0"/>
    <n v="0"/>
    <n v="0"/>
    <n v="0"/>
    <n v="0"/>
    <n v="0"/>
    <n v="0"/>
    <n v="0"/>
    <n v="0"/>
    <n v="0"/>
  </r>
  <r>
    <s v="PAP/ABT"/>
    <s v="ABT"/>
    <x v="2"/>
    <x v="1"/>
    <x v="35"/>
    <x v="4"/>
    <s v="Al Baha - Al-Aqiq"/>
    <n v="11620"/>
    <n v="27.75"/>
    <m/>
    <n v="0"/>
    <m/>
    <n v="0"/>
    <n v="0"/>
    <n v="0"/>
    <n v="0"/>
    <n v="0"/>
    <n v="0"/>
    <n v="0"/>
    <n v="0"/>
    <n v="0"/>
    <n v="0"/>
  </r>
  <r>
    <s v="PAP/BHH"/>
    <s v="BHH"/>
    <x v="2"/>
    <x v="1"/>
    <x v="35"/>
    <x v="4"/>
    <s v="Bisha"/>
    <n v="11728"/>
    <n v="27.75"/>
    <m/>
    <n v="0"/>
    <m/>
    <n v="0"/>
    <n v="0"/>
    <n v="0"/>
    <n v="0"/>
    <n v="0"/>
    <n v="0"/>
    <n v="0"/>
    <n v="0"/>
    <n v="0"/>
    <n v="0"/>
  </r>
  <r>
    <s v="PAP/DWD"/>
    <s v="DWD"/>
    <x v="2"/>
    <x v="4"/>
    <x v="35"/>
    <x v="4"/>
    <s v="Dawadmi - King Salman Abdulaziz"/>
    <n v="11633"/>
    <n v="27.75"/>
    <m/>
    <n v="0"/>
    <m/>
    <n v="0"/>
    <n v="0"/>
    <n v="0"/>
    <n v="0"/>
    <n v="0"/>
    <n v="0"/>
    <n v="0"/>
    <n v="0"/>
    <n v="0"/>
    <n v="0"/>
  </r>
  <r>
    <s v="PAP/EBB"/>
    <s v="EBB"/>
    <x v="2"/>
    <x v="1"/>
    <x v="141"/>
    <x v="5"/>
    <s v="Entebbe - International"/>
    <n v="11560"/>
    <n v="27.5"/>
    <m/>
    <n v="0"/>
    <m/>
    <n v="0"/>
    <n v="0"/>
    <n v="0"/>
    <n v="0"/>
    <n v="0"/>
    <n v="0"/>
    <n v="0"/>
    <n v="0"/>
    <n v="0"/>
    <n v="0"/>
  </r>
  <r>
    <s v="PAP/KEJ"/>
    <s v="KEJ"/>
    <x v="2"/>
    <x v="1"/>
    <x v="34"/>
    <x v="2"/>
    <s v="Kemerovo"/>
    <n v="11556"/>
    <n v="27.5"/>
    <m/>
    <n v="0"/>
    <m/>
    <n v="0"/>
    <n v="0"/>
    <n v="0"/>
    <n v="0"/>
    <n v="0"/>
    <n v="0"/>
    <n v="0"/>
    <n v="0"/>
    <n v="0"/>
    <n v="0"/>
  </r>
  <r>
    <s v="PAP/KJA"/>
    <s v="KJA"/>
    <x v="2"/>
    <x v="1"/>
    <x v="34"/>
    <x v="2"/>
    <s v="Krasnoyarsk"/>
    <n v="11584"/>
    <n v="27.5"/>
    <m/>
    <n v="0"/>
    <m/>
    <n v="0"/>
    <n v="0"/>
    <n v="0"/>
    <n v="0"/>
    <n v="0"/>
    <n v="0"/>
    <n v="0"/>
    <n v="0"/>
    <n v="0"/>
    <n v="0"/>
  </r>
  <r>
    <s v="PAP/BSR"/>
    <s v="BSR"/>
    <x v="2"/>
    <x v="1"/>
    <x v="142"/>
    <x v="4"/>
    <s v="Basrah - International"/>
    <n v="11591"/>
    <n v="27.5"/>
    <m/>
    <n v="0"/>
    <m/>
    <n v="0"/>
    <n v="0"/>
    <n v="0"/>
    <n v="0"/>
    <n v="0"/>
    <n v="0"/>
    <n v="0"/>
    <n v="0"/>
    <n v="0"/>
    <n v="0"/>
  </r>
  <r>
    <s v="PAP/HBT"/>
    <s v="HBT"/>
    <x v="2"/>
    <x v="4"/>
    <x v="35"/>
    <x v="4"/>
    <s v="Hambantota - SPB"/>
    <n v="11567"/>
    <n v="27.5"/>
    <m/>
    <n v="0"/>
    <m/>
    <n v="0"/>
    <n v="0"/>
    <n v="0"/>
    <n v="0"/>
    <n v="0"/>
    <n v="0"/>
    <n v="0"/>
    <n v="0"/>
    <n v="0"/>
    <n v="0"/>
  </r>
  <r>
    <s v="PAP/OVB"/>
    <s v="OVB"/>
    <x v="2"/>
    <x v="0"/>
    <x v="34"/>
    <x v="2"/>
    <s v="Novosibirsk - Tolmachevo"/>
    <n v="11497"/>
    <n v="27.25"/>
    <m/>
    <n v="0"/>
    <m/>
    <n v="0"/>
    <n v="0"/>
    <n v="0"/>
    <n v="0"/>
    <n v="0"/>
    <n v="0"/>
    <n v="0"/>
    <n v="0"/>
    <n v="0"/>
    <n v="0"/>
  </r>
  <r>
    <s v="PAP/FBM"/>
    <s v="FBM"/>
    <x v="2"/>
    <x v="1"/>
    <x v="143"/>
    <x v="5"/>
    <s v="Lubumbashi - Luano Intl"/>
    <n v="11439"/>
    <n v="27.25"/>
    <m/>
    <n v="0"/>
    <m/>
    <n v="0"/>
    <n v="0"/>
    <n v="0"/>
    <n v="0"/>
    <n v="0"/>
    <n v="0"/>
    <n v="0"/>
    <n v="0"/>
    <n v="0"/>
    <n v="0"/>
  </r>
  <r>
    <s v="PAP/KGL"/>
    <s v="KGL"/>
    <x v="2"/>
    <x v="1"/>
    <x v="144"/>
    <x v="5"/>
    <s v="Kigali - International"/>
    <n v="11389"/>
    <n v="27.25"/>
    <m/>
    <n v="0"/>
    <m/>
    <n v="0"/>
    <n v="0"/>
    <n v="0"/>
    <n v="0"/>
    <n v="0"/>
    <n v="0"/>
    <n v="0"/>
    <n v="0"/>
    <n v="0"/>
    <n v="0"/>
  </r>
  <r>
    <s v="PAP/TIF"/>
    <s v="TIF"/>
    <x v="2"/>
    <x v="1"/>
    <x v="35"/>
    <x v="4"/>
    <s v="Taif"/>
    <n v="11460"/>
    <n v="27.25"/>
    <m/>
    <n v="0"/>
    <m/>
    <n v="0"/>
    <n v="0"/>
    <n v="0"/>
    <n v="0"/>
    <n v="0"/>
    <n v="0"/>
    <n v="0"/>
    <n v="0"/>
    <n v="0"/>
    <n v="0"/>
  </r>
  <r>
    <s v="PAP/ULU"/>
    <s v="ULU"/>
    <x v="2"/>
    <x v="4"/>
    <x v="141"/>
    <x v="5"/>
    <s v="Gulu"/>
    <n v="11440"/>
    <n v="27.25"/>
    <m/>
    <n v="0"/>
    <m/>
    <n v="0"/>
    <n v="0"/>
    <n v="0"/>
    <n v="0"/>
    <n v="0"/>
    <n v="0"/>
    <n v="0"/>
    <n v="0"/>
    <n v="0"/>
    <n v="0"/>
  </r>
  <r>
    <s v="PAP/KSH"/>
    <s v="KSH"/>
    <x v="2"/>
    <x v="1"/>
    <x v="66"/>
    <x v="4"/>
    <s v="Kermanshah - Shahid AshrafiEsfahani"/>
    <n v="11326"/>
    <n v="27"/>
    <m/>
    <n v="0"/>
    <m/>
    <n v="0"/>
    <n v="0"/>
    <n v="0"/>
    <n v="0"/>
    <n v="0"/>
    <n v="0"/>
    <n v="0"/>
    <n v="0"/>
    <n v="0"/>
    <n v="0"/>
  </r>
  <r>
    <s v="PAP/RAH"/>
    <s v="RAH"/>
    <x v="2"/>
    <x v="4"/>
    <x v="35"/>
    <x v="4"/>
    <s v="Rafha"/>
    <n v="11299"/>
    <n v="27"/>
    <m/>
    <n v="0"/>
    <m/>
    <n v="0"/>
    <n v="0"/>
    <n v="0"/>
    <n v="0"/>
    <n v="0"/>
    <n v="0"/>
    <n v="0"/>
    <n v="0"/>
    <n v="0"/>
    <n v="0"/>
  </r>
  <r>
    <s v="PAP/OMS"/>
    <s v="OMS"/>
    <x v="2"/>
    <x v="0"/>
    <x v="34"/>
    <x v="2"/>
    <s v="Omsk - Tsentralny"/>
    <n v="11216"/>
    <n v="26.75"/>
    <m/>
    <n v="0"/>
    <m/>
    <n v="0"/>
    <n v="0"/>
    <n v="0"/>
    <n v="0"/>
    <n v="0"/>
    <n v="0"/>
    <n v="0"/>
    <n v="0"/>
    <n v="0"/>
    <n v="0"/>
  </r>
  <r>
    <s v="PAP/HAS"/>
    <s v="HAS"/>
    <x v="2"/>
    <x v="1"/>
    <x v="35"/>
    <x v="4"/>
    <s v="Hail"/>
    <n v="11261"/>
    <n v="26.75"/>
    <m/>
    <n v="0"/>
    <m/>
    <n v="0"/>
    <n v="0"/>
    <n v="0"/>
    <n v="0"/>
    <n v="0"/>
    <n v="0"/>
    <n v="0"/>
    <n v="0"/>
    <n v="0"/>
    <n v="0"/>
  </r>
  <r>
    <s v="PAP/BGW"/>
    <s v="BGW"/>
    <x v="2"/>
    <x v="1"/>
    <x v="142"/>
    <x v="4"/>
    <s v="Baghdad - International"/>
    <n v="11158"/>
    <n v="26.5"/>
    <m/>
    <n v="0"/>
    <m/>
    <n v="0"/>
    <n v="0"/>
    <n v="0"/>
    <n v="0"/>
    <n v="0"/>
    <n v="0"/>
    <n v="0"/>
    <n v="0"/>
    <n v="0"/>
    <n v="0"/>
  </r>
  <r>
    <s v="PAP/YNB"/>
    <s v="YNB"/>
    <x v="2"/>
    <x v="1"/>
    <x v="35"/>
    <x v="4"/>
    <s v="Yanbu al Bahr"/>
    <n v="11102"/>
    <n v="26.5"/>
    <m/>
    <n v="0"/>
    <m/>
    <n v="0"/>
    <n v="0"/>
    <n v="0"/>
    <n v="0"/>
    <n v="0"/>
    <n v="0"/>
    <n v="0"/>
    <n v="0"/>
    <n v="0"/>
    <n v="0"/>
  </r>
  <r>
    <s v="PAP/KMN"/>
    <s v="KMN"/>
    <x v="2"/>
    <x v="4"/>
    <x v="143"/>
    <x v="5"/>
    <s v="Kamina-Ville"/>
    <n v="11105"/>
    <n v="26.5"/>
    <m/>
    <n v="0"/>
    <m/>
    <n v="0"/>
    <n v="0"/>
    <n v="0"/>
    <n v="0"/>
    <n v="0"/>
    <n v="0"/>
    <n v="0"/>
    <n v="0"/>
    <n v="0"/>
    <n v="0"/>
  </r>
  <r>
    <s v="PAP/KRT"/>
    <s v="KRT"/>
    <x v="2"/>
    <x v="1"/>
    <x v="40"/>
    <x v="5"/>
    <s v="Khartoum - International"/>
    <n v="10958"/>
    <n v="26.25"/>
    <m/>
    <n v="0"/>
    <m/>
    <n v="0"/>
    <n v="0"/>
    <n v="0"/>
    <n v="0"/>
    <n v="0"/>
    <n v="0"/>
    <n v="0"/>
    <n v="0"/>
    <n v="0"/>
    <n v="0"/>
  </r>
  <r>
    <s v="PAP/MJZ"/>
    <s v="MJZ"/>
    <x v="2"/>
    <x v="1"/>
    <x v="34"/>
    <x v="2"/>
    <s v="Mirny"/>
    <n v="10981"/>
    <n v="26.25"/>
    <m/>
    <n v="0"/>
    <m/>
    <n v="0"/>
    <n v="0"/>
    <n v="0"/>
    <n v="0"/>
    <n v="0"/>
    <n v="0"/>
    <n v="0"/>
    <n v="0"/>
    <n v="0"/>
    <n v="0"/>
  </r>
  <r>
    <s v="PAP/TBZ"/>
    <s v="TBZ"/>
    <x v="2"/>
    <x v="1"/>
    <x v="66"/>
    <x v="4"/>
    <s v="Tabriz - International"/>
    <n v="11030"/>
    <n v="26.25"/>
    <m/>
    <n v="0"/>
    <m/>
    <n v="0"/>
    <n v="0"/>
    <n v="0"/>
    <n v="0"/>
    <n v="0"/>
    <n v="0"/>
    <n v="0"/>
    <n v="0"/>
    <n v="0"/>
    <n v="0"/>
  </r>
  <r>
    <s v="PAP/RAE"/>
    <s v="RAE"/>
    <x v="2"/>
    <x v="1"/>
    <x v="35"/>
    <x v="4"/>
    <s v="Arar"/>
    <n v="11032"/>
    <n v="26.25"/>
    <m/>
    <n v="0"/>
    <m/>
    <n v="0"/>
    <n v="0"/>
    <n v="0"/>
    <n v="0"/>
    <n v="0"/>
    <n v="0"/>
    <n v="0"/>
    <n v="0"/>
    <n v="0"/>
    <n v="0"/>
  </r>
  <r>
    <s v="PAP/AKX"/>
    <s v="AKX"/>
    <x v="2"/>
    <x v="1"/>
    <x v="36"/>
    <x v="2"/>
    <s v="Aktobe"/>
    <n v="10909"/>
    <n v="26"/>
    <m/>
    <n v="0"/>
    <m/>
    <n v="0"/>
    <n v="0"/>
    <n v="0"/>
    <n v="0"/>
    <n v="0"/>
    <n v="0"/>
    <n v="0"/>
    <n v="0"/>
    <n v="0"/>
    <n v="0"/>
  </r>
  <r>
    <s v="PAP/KVD"/>
    <s v="KVD"/>
    <x v="2"/>
    <x v="1"/>
    <x v="129"/>
    <x v="2"/>
    <s v="Ganja"/>
    <n v="10879"/>
    <n v="26"/>
    <m/>
    <n v="0"/>
    <m/>
    <n v="0"/>
    <n v="0"/>
    <n v="0"/>
    <n v="0"/>
    <n v="0"/>
    <n v="0"/>
    <n v="0"/>
    <n v="0"/>
    <n v="0"/>
    <n v="0"/>
  </r>
  <r>
    <s v="PAP/YKS"/>
    <s v="YKS"/>
    <x v="2"/>
    <x v="1"/>
    <x v="34"/>
    <x v="2"/>
    <s v="Yakutsk"/>
    <n v="10838"/>
    <n v="26"/>
    <m/>
    <n v="0"/>
    <m/>
    <n v="0"/>
    <n v="0"/>
    <n v="0"/>
    <n v="0"/>
    <n v="0"/>
    <n v="0"/>
    <n v="0"/>
    <n v="0"/>
    <n v="0"/>
    <n v="0"/>
  </r>
  <r>
    <s v="PAP/EBD"/>
    <s v="EBD"/>
    <x v="2"/>
    <x v="4"/>
    <x v="40"/>
    <x v="5"/>
    <s v="El Obeid"/>
    <n v="10826"/>
    <n v="26"/>
    <m/>
    <n v="0"/>
    <m/>
    <n v="0"/>
    <n v="0"/>
    <n v="0"/>
    <n v="0"/>
    <n v="0"/>
    <n v="0"/>
    <n v="0"/>
    <n v="0"/>
    <n v="0"/>
    <n v="0"/>
  </r>
  <r>
    <s v="PAP/GUW"/>
    <s v="GUW"/>
    <x v="2"/>
    <x v="4"/>
    <x v="36"/>
    <x v="2"/>
    <s v="Atyrau"/>
    <n v="10829"/>
    <n v="26"/>
    <m/>
    <n v="0"/>
    <m/>
    <n v="0"/>
    <n v="0"/>
    <n v="0"/>
    <n v="0"/>
    <n v="0"/>
    <n v="0"/>
    <n v="0"/>
    <n v="0"/>
    <n v="0"/>
    <n v="0"/>
  </r>
  <r>
    <s v="PAP/MCX"/>
    <s v="MCX"/>
    <x v="2"/>
    <x v="4"/>
    <x v="34"/>
    <x v="2"/>
    <s v="Makhachkala - Uytash"/>
    <n v="10844"/>
    <n v="26"/>
    <m/>
    <n v="0"/>
    <m/>
    <n v="0"/>
    <n v="0"/>
    <n v="0"/>
    <n v="0"/>
    <n v="0"/>
    <n v="0"/>
    <n v="0"/>
    <n v="0"/>
    <n v="0"/>
    <n v="0"/>
  </r>
  <r>
    <s v="PAP/NAJ"/>
    <s v="NAJ"/>
    <x v="2"/>
    <x v="4"/>
    <x v="129"/>
    <x v="2"/>
    <s v="Nakchivan"/>
    <n v="10910"/>
    <n v="26"/>
    <m/>
    <n v="0"/>
    <m/>
    <n v="0"/>
    <n v="0"/>
    <n v="0"/>
    <n v="0"/>
    <n v="0"/>
    <n v="0"/>
    <n v="0"/>
    <n v="0"/>
    <n v="0"/>
    <n v="0"/>
  </r>
  <r>
    <s v="PAP/EJH"/>
    <s v="EJH"/>
    <x v="2"/>
    <x v="4"/>
    <x v="35"/>
    <x v="4"/>
    <s v="Wedjh"/>
    <n v="10860"/>
    <n v="26"/>
    <m/>
    <n v="0"/>
    <m/>
    <n v="0"/>
    <n v="0"/>
    <n v="0"/>
    <n v="0"/>
    <n v="0"/>
    <n v="0"/>
    <n v="0"/>
    <n v="0"/>
    <n v="0"/>
    <n v="0"/>
  </r>
  <r>
    <s v="PAP/CEK"/>
    <s v="CEK"/>
    <x v="2"/>
    <x v="0"/>
    <x v="34"/>
    <x v="2"/>
    <s v="Chelyabinsk - Balandino"/>
    <n v="10722"/>
    <n v="25.75"/>
    <m/>
    <n v="0"/>
    <m/>
    <n v="0"/>
    <n v="0"/>
    <n v="0"/>
    <n v="0"/>
    <n v="0"/>
    <n v="0"/>
    <n v="0"/>
    <n v="0"/>
    <n v="0"/>
    <n v="0"/>
  </r>
  <r>
    <s v="PAP/FKI"/>
    <s v="FKI"/>
    <x v="2"/>
    <x v="1"/>
    <x v="143"/>
    <x v="5"/>
    <s v="Kisangani - Bangoka Intl"/>
    <n v="10797"/>
    <n v="25.75"/>
    <m/>
    <n v="0"/>
    <m/>
    <n v="0"/>
    <n v="0"/>
    <n v="0"/>
    <n v="0"/>
    <n v="0"/>
    <n v="0"/>
    <n v="0"/>
    <n v="0"/>
    <n v="0"/>
    <n v="0"/>
  </r>
  <r>
    <s v="PAP/RMF"/>
    <s v="RMF"/>
    <x v="2"/>
    <x v="1"/>
    <x v="14"/>
    <x v="5"/>
    <s v="Marsa Alam - International"/>
    <n v="10717"/>
    <n v="25.75"/>
    <m/>
    <n v="0"/>
    <m/>
    <n v="0"/>
    <n v="0"/>
    <n v="0"/>
    <n v="0"/>
    <n v="0"/>
    <n v="0"/>
    <n v="0"/>
    <n v="0"/>
    <n v="0"/>
    <n v="0"/>
  </r>
  <r>
    <s v="PAP/WDH"/>
    <s v="WDH"/>
    <x v="2"/>
    <x v="1"/>
    <x v="145"/>
    <x v="5"/>
    <s v="Windhoek - Metropolitan Area"/>
    <n v="10765"/>
    <n v="25.75"/>
    <m/>
    <n v="0"/>
    <m/>
    <n v="0"/>
    <n v="0"/>
    <n v="0"/>
    <n v="0"/>
    <n v="0"/>
    <n v="0"/>
    <n v="0"/>
    <n v="0"/>
    <n v="0"/>
    <n v="0"/>
  </r>
  <r>
    <s v="PAP/NJC"/>
    <s v="NJC"/>
    <x v="2"/>
    <x v="1"/>
    <x v="34"/>
    <x v="2"/>
    <s v="Nizhnevartovsk"/>
    <n v="10745"/>
    <n v="25.75"/>
    <m/>
    <n v="0"/>
    <m/>
    <n v="0"/>
    <n v="0"/>
    <n v="0"/>
    <n v="0"/>
    <n v="0"/>
    <n v="0"/>
    <n v="0"/>
    <n v="0"/>
    <n v="0"/>
    <n v="0"/>
  </r>
  <r>
    <s v="PAP/TJM"/>
    <s v="TJM"/>
    <x v="2"/>
    <x v="1"/>
    <x v="34"/>
    <x v="2"/>
    <s v="Tyumen - Roshchino"/>
    <n v="10724"/>
    <n v="25.75"/>
    <m/>
    <n v="0"/>
    <m/>
    <n v="0"/>
    <n v="0"/>
    <n v="0"/>
    <n v="0"/>
    <n v="0"/>
    <n v="0"/>
    <n v="0"/>
    <n v="0"/>
    <n v="0"/>
    <n v="0"/>
  </r>
  <r>
    <s v="PAP/TUU"/>
    <s v="TUU"/>
    <x v="2"/>
    <x v="1"/>
    <x v="35"/>
    <x v="4"/>
    <s v="Tabuk"/>
    <n v="10770"/>
    <n v="25.75"/>
    <m/>
    <n v="0"/>
    <m/>
    <n v="0"/>
    <n v="0"/>
    <n v="0"/>
    <n v="0"/>
    <n v="0"/>
    <n v="0"/>
    <n v="0"/>
    <n v="0"/>
    <n v="0"/>
    <n v="0"/>
  </r>
  <r>
    <s v="PAP/VAN"/>
    <s v="VAN"/>
    <x v="2"/>
    <x v="1"/>
    <x v="24"/>
    <x v="4"/>
    <s v="Van - Ferit Melen"/>
    <n v="10794"/>
    <n v="25.75"/>
    <m/>
    <n v="0"/>
    <m/>
    <n v="0"/>
    <n v="0"/>
    <n v="0"/>
    <n v="0"/>
    <n v="0"/>
    <n v="0"/>
    <n v="0"/>
    <n v="0"/>
    <n v="0"/>
    <n v="0"/>
  </r>
  <r>
    <s v="PAP/TUI"/>
    <s v="TUI"/>
    <x v="2"/>
    <x v="4"/>
    <x v="35"/>
    <x v="4"/>
    <s v="Turaif"/>
    <n v="10789"/>
    <n v="25.75"/>
    <m/>
    <n v="0"/>
    <m/>
    <n v="0"/>
    <n v="0"/>
    <n v="0"/>
    <n v="0"/>
    <n v="0"/>
    <n v="0"/>
    <n v="0"/>
    <n v="0"/>
    <n v="0"/>
    <n v="0"/>
  </r>
  <r>
    <s v="PAP/DEZ"/>
    <s v="DEZ"/>
    <x v="2"/>
    <x v="4"/>
    <x v="71"/>
    <x v="4"/>
    <s v="Deir ez Zor"/>
    <n v="10723"/>
    <n v="25.75"/>
    <m/>
    <n v="0"/>
    <m/>
    <n v="0"/>
    <n v="0"/>
    <n v="0"/>
    <n v="0"/>
    <n v="0"/>
    <n v="0"/>
    <n v="0"/>
    <n v="0"/>
    <n v="0"/>
    <n v="0"/>
  </r>
  <r>
    <s v="PAP/KAC"/>
    <s v="KAC"/>
    <x v="2"/>
    <x v="4"/>
    <x v="71"/>
    <x v="4"/>
    <s v="Kamishly"/>
    <n v="10711"/>
    <n v="25.75"/>
    <m/>
    <n v="0"/>
    <m/>
    <n v="0"/>
    <n v="0"/>
    <n v="0"/>
    <n v="0"/>
    <n v="0"/>
    <n v="0"/>
    <n v="0"/>
    <n v="0"/>
    <n v="0"/>
    <n v="0"/>
  </r>
  <r>
    <s v="PAP/ASW"/>
    <s v="ASW"/>
    <x v="2"/>
    <x v="1"/>
    <x v="14"/>
    <x v="5"/>
    <s v="Aswan - International"/>
    <n v="10625"/>
    <n v="25.5"/>
    <m/>
    <n v="0"/>
    <m/>
    <n v="0"/>
    <n v="0"/>
    <n v="0"/>
    <n v="0"/>
    <n v="0"/>
    <n v="0"/>
    <n v="0"/>
    <n v="0"/>
    <n v="0"/>
    <n v="0"/>
  </r>
  <r>
    <s v="PAP/GRV"/>
    <s v="GRV"/>
    <x v="2"/>
    <x v="1"/>
    <x v="34"/>
    <x v="2"/>
    <s v="Grozny"/>
    <n v="10677"/>
    <n v="25.5"/>
    <m/>
    <n v="0"/>
    <m/>
    <n v="0"/>
    <n v="0"/>
    <n v="0"/>
    <n v="0"/>
    <n v="0"/>
    <n v="0"/>
    <n v="0"/>
    <n v="0"/>
    <n v="0"/>
    <n v="0"/>
  </r>
  <r>
    <s v="PAP/OGZ"/>
    <s v="OGZ"/>
    <x v="2"/>
    <x v="1"/>
    <x v="34"/>
    <x v="2"/>
    <s v="Vladikavkaz - Beslan"/>
    <n v="10613"/>
    <n v="25.5"/>
    <m/>
    <n v="0"/>
    <m/>
    <n v="0"/>
    <n v="0"/>
    <n v="0"/>
    <n v="0"/>
    <n v="0"/>
    <n v="0"/>
    <n v="0"/>
    <n v="0"/>
    <n v="0"/>
    <n v="0"/>
  </r>
  <r>
    <s v="PAP/PKC"/>
    <s v="PKC"/>
    <x v="2"/>
    <x v="1"/>
    <x v="34"/>
    <x v="2"/>
    <s v="Petropavlovsk - Yelizovo"/>
    <n v="10677"/>
    <n v="25.5"/>
    <m/>
    <n v="0"/>
    <m/>
    <n v="0"/>
    <n v="0"/>
    <n v="0"/>
    <n v="0"/>
    <n v="0"/>
    <n v="0"/>
    <n v="0"/>
    <n v="0"/>
    <n v="0"/>
    <n v="0"/>
  </r>
  <r>
    <s v="PAP/SGC"/>
    <s v="SGC"/>
    <x v="2"/>
    <x v="1"/>
    <x v="34"/>
    <x v="2"/>
    <s v="Surgut"/>
    <n v="10622"/>
    <n v="25.5"/>
    <m/>
    <n v="0"/>
    <m/>
    <n v="0"/>
    <n v="0"/>
    <n v="0"/>
    <n v="0"/>
    <n v="0"/>
    <n v="0"/>
    <n v="0"/>
    <n v="0"/>
    <n v="0"/>
    <n v="0"/>
  </r>
  <r>
    <s v="PAP/URY"/>
    <s v="URY"/>
    <x v="2"/>
    <x v="1"/>
    <x v="35"/>
    <x v="4"/>
    <s v="Gurayat"/>
    <n v="10680"/>
    <n v="25.5"/>
    <m/>
    <n v="0"/>
    <m/>
    <n v="0"/>
    <n v="0"/>
    <n v="0"/>
    <n v="0"/>
    <n v="0"/>
    <n v="0"/>
    <n v="0"/>
    <n v="0"/>
    <n v="0"/>
    <n v="0"/>
  </r>
  <r>
    <s v="PAP/BAL"/>
    <s v="BAL"/>
    <x v="2"/>
    <x v="1"/>
    <x v="24"/>
    <x v="4"/>
    <s v="Batman"/>
    <n v="10656"/>
    <n v="25.5"/>
    <m/>
    <n v="0"/>
    <m/>
    <n v="0"/>
    <n v="0"/>
    <n v="0"/>
    <n v="0"/>
    <n v="0"/>
    <n v="0"/>
    <n v="0"/>
    <n v="0"/>
    <n v="0"/>
    <n v="0"/>
  </r>
  <r>
    <s v="PAP/KSY"/>
    <s v="KSY"/>
    <x v="2"/>
    <x v="1"/>
    <x v="24"/>
    <x v="4"/>
    <s v="Kars"/>
    <n v="10660"/>
    <n v="25.5"/>
    <m/>
    <n v="0"/>
    <m/>
    <n v="0"/>
    <n v="0"/>
    <n v="0"/>
    <n v="0"/>
    <n v="0"/>
    <n v="0"/>
    <n v="0"/>
    <n v="0"/>
    <n v="0"/>
    <n v="0"/>
  </r>
  <r>
    <s v="PAP/MQM"/>
    <s v="MQM"/>
    <x v="2"/>
    <x v="1"/>
    <x v="24"/>
    <x v="4"/>
    <s v="Mardin"/>
    <n v="10656"/>
    <n v="25.5"/>
    <m/>
    <n v="0"/>
    <m/>
    <n v="0"/>
    <n v="0"/>
    <n v="0"/>
    <n v="0"/>
    <n v="0"/>
    <n v="0"/>
    <n v="0"/>
    <n v="0"/>
    <n v="0"/>
    <n v="0"/>
  </r>
  <r>
    <s v="PAP/MSR"/>
    <s v="MSR"/>
    <x v="2"/>
    <x v="1"/>
    <x v="24"/>
    <x v="4"/>
    <s v="Mus"/>
    <n v="10653"/>
    <n v="25.5"/>
    <m/>
    <n v="0"/>
    <m/>
    <n v="0"/>
    <n v="0"/>
    <n v="0"/>
    <n v="0"/>
    <n v="0"/>
    <n v="0"/>
    <n v="0"/>
    <n v="0"/>
    <n v="0"/>
    <n v="0"/>
  </r>
  <r>
    <s v="PAP/LWN"/>
    <s v="LWN"/>
    <x v="2"/>
    <x v="4"/>
    <x v="52"/>
    <x v="4"/>
    <s v="Gyumri - Shirak"/>
    <n v="10703"/>
    <n v="25.5"/>
    <m/>
    <n v="0"/>
    <m/>
    <n v="0"/>
    <n v="0"/>
    <n v="0"/>
    <n v="0"/>
    <n v="0"/>
    <n v="0"/>
    <n v="0"/>
    <n v="0"/>
    <n v="0"/>
    <n v="0"/>
  </r>
  <r>
    <s v="PAP/SVX"/>
    <s v="SVX"/>
    <x v="2"/>
    <x v="0"/>
    <x v="34"/>
    <x v="2"/>
    <s v="Yekaterinburg - Koltsovo"/>
    <n v="10576"/>
    <n v="25.25"/>
    <m/>
    <n v="0"/>
    <m/>
    <n v="0"/>
    <n v="0"/>
    <n v="0"/>
    <n v="0"/>
    <n v="0"/>
    <n v="0"/>
    <n v="0"/>
    <n v="0"/>
    <n v="0"/>
    <n v="0"/>
  </r>
  <r>
    <s v="PAP/ABS"/>
    <s v="ABS"/>
    <x v="2"/>
    <x v="1"/>
    <x v="14"/>
    <x v="5"/>
    <s v="Abu Simbel"/>
    <n v="10580"/>
    <n v="25.25"/>
    <m/>
    <n v="0"/>
    <m/>
    <n v="0"/>
    <n v="0"/>
    <n v="0"/>
    <n v="0"/>
    <n v="0"/>
    <n v="0"/>
    <n v="0"/>
    <n v="0"/>
    <n v="0"/>
    <n v="0"/>
  </r>
  <r>
    <s v="PAP/KGP"/>
    <s v="KGP"/>
    <x v="2"/>
    <x v="1"/>
    <x v="34"/>
    <x v="2"/>
    <s v="Kogalym"/>
    <n v="10573"/>
    <n v="25.25"/>
    <m/>
    <n v="0"/>
    <m/>
    <n v="0"/>
    <n v="0"/>
    <n v="0"/>
    <n v="0"/>
    <n v="0"/>
    <n v="0"/>
    <n v="0"/>
    <n v="0"/>
    <n v="0"/>
    <n v="0"/>
  </r>
  <r>
    <s v="PAP/NOJ"/>
    <s v="NOJ"/>
    <x v="2"/>
    <x v="1"/>
    <x v="34"/>
    <x v="2"/>
    <s v="Noyabrsk"/>
    <n v="10498"/>
    <n v="25.25"/>
    <m/>
    <n v="0"/>
    <m/>
    <n v="0"/>
    <n v="0"/>
    <n v="0"/>
    <n v="0"/>
    <n v="0"/>
    <n v="0"/>
    <n v="0"/>
    <n v="0"/>
    <n v="0"/>
    <n v="0"/>
  </r>
  <r>
    <s v="PAP/UFA"/>
    <s v="UFA"/>
    <x v="2"/>
    <x v="1"/>
    <x v="34"/>
    <x v="2"/>
    <s v="Ufa"/>
    <n v="10521"/>
    <n v="25.25"/>
    <m/>
    <n v="0"/>
    <m/>
    <n v="0"/>
    <n v="0"/>
    <n v="0"/>
    <n v="0"/>
    <n v="0"/>
    <n v="0"/>
    <n v="0"/>
    <n v="0"/>
    <n v="0"/>
    <n v="0"/>
  </r>
  <r>
    <s v="PAP/VDA"/>
    <s v="VDA"/>
    <x v="2"/>
    <x v="1"/>
    <x v="127"/>
    <x v="4"/>
    <s v="Ovda - Airport"/>
    <n v="10547"/>
    <n v="25.25"/>
    <m/>
    <n v="0"/>
    <m/>
    <n v="0"/>
    <n v="0"/>
    <n v="0"/>
    <n v="0"/>
    <n v="0"/>
    <n v="0"/>
    <n v="0"/>
    <n v="0"/>
    <n v="0"/>
    <n v="0"/>
  </r>
  <r>
    <s v="PAP/AQJ"/>
    <s v="AQJ"/>
    <x v="2"/>
    <x v="1"/>
    <x v="86"/>
    <x v="4"/>
    <s v="Aqaba - King Hussein Intl"/>
    <n v="10570"/>
    <n v="25.25"/>
    <m/>
    <n v="0"/>
    <m/>
    <n v="0"/>
    <n v="0"/>
    <n v="0"/>
    <n v="0"/>
    <n v="0"/>
    <n v="0"/>
    <n v="0"/>
    <n v="0"/>
    <n v="0"/>
    <n v="0"/>
  </r>
  <r>
    <s v="PAP/DIY"/>
    <s v="DIY"/>
    <x v="2"/>
    <x v="1"/>
    <x v="24"/>
    <x v="4"/>
    <s v="Diyarbakir"/>
    <n v="10587"/>
    <n v="25.25"/>
    <m/>
    <n v="0"/>
    <m/>
    <n v="0"/>
    <n v="0"/>
    <n v="0"/>
    <n v="0"/>
    <n v="0"/>
    <n v="0"/>
    <n v="0"/>
    <n v="0"/>
    <n v="0"/>
    <n v="0"/>
  </r>
  <r>
    <s v="PAP/ERZ"/>
    <s v="ERZ"/>
    <x v="2"/>
    <x v="1"/>
    <x v="24"/>
    <x v="4"/>
    <s v="Erzurum"/>
    <n v="10550"/>
    <n v="25.25"/>
    <m/>
    <n v="0"/>
    <m/>
    <n v="0"/>
    <n v="0"/>
    <n v="0"/>
    <n v="0"/>
    <n v="0"/>
    <n v="0"/>
    <n v="0"/>
    <n v="0"/>
    <n v="0"/>
    <n v="0"/>
  </r>
  <r>
    <s v="PAP/ETM"/>
    <s v="ETM"/>
    <x v="2"/>
    <x v="5"/>
    <x v="127"/>
    <x v="4"/>
    <s v="Eilat - Ramon Airport"/>
    <n v="10564"/>
    <n v="25.25"/>
    <m/>
    <n v="0"/>
    <m/>
    <n v="0"/>
    <n v="0"/>
    <n v="0"/>
    <n v="0"/>
    <n v="0"/>
    <n v="0"/>
    <n v="0"/>
    <n v="0"/>
    <n v="0"/>
    <n v="0"/>
  </r>
  <r>
    <s v="PAP/MRV"/>
    <s v="MRV"/>
    <x v="2"/>
    <x v="1"/>
    <x v="34"/>
    <x v="2"/>
    <s v="Mineralnye Vody"/>
    <n v="10449"/>
    <n v="25"/>
    <m/>
    <n v="0"/>
    <m/>
    <n v="0"/>
    <n v="0"/>
    <n v="0"/>
    <n v="0"/>
    <n v="0"/>
    <n v="0"/>
    <n v="0"/>
    <n v="0"/>
    <n v="0"/>
    <n v="0"/>
  </r>
  <r>
    <s v="PAP/LTK"/>
    <s v="LTK"/>
    <x v="2"/>
    <x v="1"/>
    <x v="71"/>
    <x v="4"/>
    <s v="Latakia - Bassel al Assad Intl"/>
    <n v="10375"/>
    <n v="25"/>
    <m/>
    <n v="0"/>
    <m/>
    <n v="0"/>
    <n v="0"/>
    <n v="0"/>
    <n v="0"/>
    <n v="0"/>
    <n v="0"/>
    <n v="0"/>
    <n v="0"/>
    <n v="0"/>
    <n v="0"/>
  </r>
  <r>
    <s v="PAP/ADF"/>
    <s v="ADF"/>
    <x v="2"/>
    <x v="1"/>
    <x v="24"/>
    <x v="4"/>
    <s v="Adiyaman"/>
    <n v="10461"/>
    <n v="25"/>
    <m/>
    <n v="0"/>
    <m/>
    <n v="0"/>
    <n v="0"/>
    <n v="0"/>
    <n v="0"/>
    <n v="0"/>
    <n v="0"/>
    <n v="0"/>
    <n v="0"/>
    <n v="0"/>
    <n v="0"/>
  </r>
  <r>
    <s v="PAP/ERC"/>
    <s v="ERC"/>
    <x v="2"/>
    <x v="1"/>
    <x v="24"/>
    <x v="4"/>
    <s v="Erzincan"/>
    <n v="10440"/>
    <n v="25"/>
    <m/>
    <n v="0"/>
    <m/>
    <n v="0"/>
    <n v="0"/>
    <n v="0"/>
    <n v="0"/>
    <n v="0"/>
    <n v="0"/>
    <n v="0"/>
    <n v="0"/>
    <n v="0"/>
    <n v="0"/>
  </r>
  <r>
    <s v="PAP/GZT"/>
    <s v="GZT"/>
    <x v="2"/>
    <x v="1"/>
    <x v="24"/>
    <x v="4"/>
    <s v="Gaziantep - Oguzeli"/>
    <n v="10423"/>
    <n v="25"/>
    <m/>
    <n v="0"/>
    <m/>
    <n v="0"/>
    <n v="0"/>
    <n v="0"/>
    <n v="0"/>
    <n v="0"/>
    <n v="0"/>
    <n v="0"/>
    <n v="0"/>
    <n v="0"/>
    <n v="0"/>
  </r>
  <r>
    <s v="PAP/MLX"/>
    <s v="MLX"/>
    <x v="2"/>
    <x v="1"/>
    <x v="24"/>
    <x v="4"/>
    <s v="Malatya - Erhac"/>
    <n v="10396"/>
    <n v="25"/>
    <m/>
    <n v="0"/>
    <m/>
    <n v="0"/>
    <n v="0"/>
    <n v="0"/>
    <n v="0"/>
    <n v="0"/>
    <n v="0"/>
    <n v="0"/>
    <n v="0"/>
    <n v="0"/>
    <n v="0"/>
  </r>
  <r>
    <s v="PAP/AAC"/>
    <s v="AAC"/>
    <x v="2"/>
    <x v="4"/>
    <x v="14"/>
    <x v="5"/>
    <s v="El Arish - International"/>
    <n v="10399"/>
    <n v="25"/>
    <m/>
    <n v="0"/>
    <m/>
    <n v="0"/>
    <n v="0"/>
    <n v="0"/>
    <n v="0"/>
    <n v="0"/>
    <n v="0"/>
    <n v="0"/>
    <n v="0"/>
    <n v="0"/>
    <n v="0"/>
  </r>
  <r>
    <s v="PAP/OND"/>
    <s v="OND"/>
    <x v="2"/>
    <x v="4"/>
    <x v="145"/>
    <x v="5"/>
    <s v="Ondangwa"/>
    <n v="10458"/>
    <n v="25"/>
    <m/>
    <n v="0"/>
    <m/>
    <n v="0"/>
    <n v="0"/>
    <n v="0"/>
    <n v="0"/>
    <n v="0"/>
    <n v="0"/>
    <n v="0"/>
    <n v="0"/>
    <n v="0"/>
    <n v="0"/>
  </r>
  <r>
    <s v="PAP/GDX"/>
    <s v="GDX"/>
    <x v="2"/>
    <x v="4"/>
    <x v="34"/>
    <x v="2"/>
    <s v="Magadan - Sokol"/>
    <n v="10468"/>
    <n v="25"/>
    <m/>
    <n v="0"/>
    <m/>
    <n v="0"/>
    <n v="0"/>
    <n v="0"/>
    <n v="0"/>
    <n v="0"/>
    <n v="0"/>
    <n v="0"/>
    <n v="0"/>
    <n v="0"/>
    <n v="0"/>
  </r>
  <r>
    <s v="PAP/KUF"/>
    <s v="KUF"/>
    <x v="2"/>
    <x v="1"/>
    <x v="34"/>
    <x v="2"/>
    <s v="Samara - Kurumoch Int'l"/>
    <n v="10305"/>
    <n v="24.75"/>
    <m/>
    <n v="0"/>
    <m/>
    <n v="0"/>
    <n v="0"/>
    <n v="0"/>
    <n v="0"/>
    <n v="0"/>
    <n v="0"/>
    <n v="0"/>
    <n v="0"/>
    <n v="0"/>
    <n v="0"/>
  </r>
  <r>
    <s v="PAP/NBC"/>
    <s v="NBC"/>
    <x v="2"/>
    <x v="1"/>
    <x v="34"/>
    <x v="2"/>
    <s v="Nizhnekamsk - Begishevo"/>
    <n v="10264"/>
    <n v="24.75"/>
    <m/>
    <n v="0"/>
    <m/>
    <n v="0"/>
    <n v="0"/>
    <n v="0"/>
    <n v="0"/>
    <n v="0"/>
    <n v="0"/>
    <n v="0"/>
    <n v="0"/>
    <n v="0"/>
    <n v="0"/>
  </r>
  <r>
    <s v="PAP/NUX"/>
    <s v="NUX"/>
    <x v="2"/>
    <x v="1"/>
    <x v="34"/>
    <x v="2"/>
    <s v="Novy Urengoy"/>
    <n v="10250"/>
    <n v="24.75"/>
    <m/>
    <n v="0"/>
    <m/>
    <n v="0"/>
    <n v="0"/>
    <n v="0"/>
    <n v="0"/>
    <n v="0"/>
    <n v="0"/>
    <n v="0"/>
    <n v="0"/>
    <n v="0"/>
    <n v="0"/>
  </r>
  <r>
    <s v="PAP/PEE"/>
    <s v="PEE"/>
    <x v="2"/>
    <x v="1"/>
    <x v="34"/>
    <x v="2"/>
    <s v="Perm - Bolshoye Savino"/>
    <n v="10279"/>
    <n v="24.75"/>
    <m/>
    <n v="0"/>
    <m/>
    <n v="0"/>
    <n v="0"/>
    <n v="0"/>
    <n v="0"/>
    <n v="0"/>
    <n v="0"/>
    <n v="0"/>
    <n v="0"/>
    <n v="0"/>
    <n v="0"/>
  </r>
  <r>
    <s v="PAP/STW"/>
    <s v="STW"/>
    <x v="2"/>
    <x v="1"/>
    <x v="34"/>
    <x v="2"/>
    <s v="Stavropol - Shpakovskoye"/>
    <n v="10333"/>
    <n v="24.75"/>
    <m/>
    <n v="0"/>
    <m/>
    <n v="0"/>
    <n v="0"/>
    <n v="0"/>
    <n v="0"/>
    <n v="0"/>
    <n v="0"/>
    <n v="0"/>
    <n v="0"/>
    <n v="0"/>
    <n v="0"/>
  </r>
  <r>
    <s v="PAP/HTY"/>
    <s v="HTY"/>
    <x v="2"/>
    <x v="1"/>
    <x v="24"/>
    <x v="4"/>
    <s v="Hatay"/>
    <n v="10356"/>
    <n v="24.75"/>
    <m/>
    <n v="0"/>
    <m/>
    <n v="0"/>
    <n v="0"/>
    <n v="0"/>
    <n v="0"/>
    <n v="0"/>
    <n v="0"/>
    <n v="0"/>
    <n v="0"/>
    <n v="0"/>
    <n v="0"/>
  </r>
  <r>
    <s v="PAP/ELF"/>
    <s v="ELF"/>
    <x v="2"/>
    <x v="4"/>
    <x v="40"/>
    <x v="5"/>
    <s v="El Fasher"/>
    <n v="10310"/>
    <n v="24.75"/>
    <m/>
    <n v="0"/>
    <m/>
    <n v="0"/>
    <n v="0"/>
    <n v="0"/>
    <n v="0"/>
    <n v="0"/>
    <n v="0"/>
    <n v="0"/>
    <n v="0"/>
    <n v="0"/>
    <n v="0"/>
  </r>
  <r>
    <s v="PAP/KRR"/>
    <s v="KRR"/>
    <x v="2"/>
    <x v="0"/>
    <x v="34"/>
    <x v="2"/>
    <s v="Krasnodar - Pashkovsky"/>
    <n v="10135"/>
    <n v="24.5"/>
    <m/>
    <n v="0"/>
    <m/>
    <n v="0"/>
    <n v="0"/>
    <n v="0"/>
    <n v="0"/>
    <n v="0"/>
    <n v="0"/>
    <n v="0"/>
    <n v="0"/>
    <n v="0"/>
    <n v="0"/>
  </r>
  <r>
    <s v="PAP/ULY"/>
    <s v="ULY"/>
    <x v="2"/>
    <x v="1"/>
    <x v="34"/>
    <x v="2"/>
    <s v="Ulyanovsk - Vostochny"/>
    <n v="10175"/>
    <n v="24.5"/>
    <m/>
    <n v="0"/>
    <m/>
    <n v="0"/>
    <n v="0"/>
    <n v="0"/>
    <n v="0"/>
    <n v="0"/>
    <n v="0"/>
    <n v="0"/>
    <n v="0"/>
    <n v="0"/>
    <n v="0"/>
  </r>
  <r>
    <s v="PAP/ASR"/>
    <s v="ASR"/>
    <x v="2"/>
    <x v="1"/>
    <x v="24"/>
    <x v="4"/>
    <s v="Kayseri - Erkilet"/>
    <n v="10177"/>
    <n v="24.5"/>
    <m/>
    <n v="0"/>
    <m/>
    <n v="0"/>
    <n v="0"/>
    <n v="0"/>
    <n v="0"/>
    <n v="0"/>
    <n v="0"/>
    <n v="0"/>
    <n v="0"/>
    <n v="0"/>
    <n v="0"/>
  </r>
  <r>
    <s v="PAP/SZF"/>
    <s v="SZF"/>
    <x v="2"/>
    <x v="1"/>
    <x v="24"/>
    <x v="4"/>
    <s v="Samsun - Carsamba"/>
    <n v="10137"/>
    <n v="24.5"/>
    <m/>
    <n v="0"/>
    <m/>
    <n v="0"/>
    <n v="0"/>
    <n v="0"/>
    <n v="0"/>
    <n v="0"/>
    <n v="0"/>
    <n v="0"/>
    <n v="0"/>
    <n v="0"/>
    <n v="0"/>
  </r>
  <r>
    <s v="PAP/VAS"/>
    <s v="VAS"/>
    <x v="2"/>
    <x v="1"/>
    <x v="24"/>
    <x v="4"/>
    <s v="Sivas"/>
    <n v="10235"/>
    <n v="24.5"/>
    <m/>
    <n v="0"/>
    <m/>
    <n v="0"/>
    <n v="0"/>
    <n v="0"/>
    <n v="0"/>
    <n v="0"/>
    <n v="0"/>
    <n v="0"/>
    <n v="0"/>
    <n v="0"/>
    <n v="0"/>
  </r>
  <r>
    <s v="PAP/KZN"/>
    <s v="KZN"/>
    <x v="2"/>
    <x v="1"/>
    <x v="34"/>
    <x v="2"/>
    <s v="Kazan - International"/>
    <n v="10121"/>
    <n v="24.25"/>
    <m/>
    <n v="0"/>
    <m/>
    <n v="0"/>
    <n v="0"/>
    <n v="0"/>
    <n v="0"/>
    <n v="0"/>
    <n v="0"/>
    <n v="0"/>
    <n v="0"/>
    <n v="0"/>
    <n v="0"/>
  </r>
  <r>
    <s v="PAP/NSK"/>
    <s v="NSK"/>
    <x v="2"/>
    <x v="1"/>
    <x v="34"/>
    <x v="2"/>
    <s v="Norilsk - Alykel"/>
    <n v="10111"/>
    <n v="24.25"/>
    <m/>
    <n v="0"/>
    <m/>
    <n v="0"/>
    <n v="0"/>
    <n v="0"/>
    <n v="0"/>
    <n v="0"/>
    <n v="0"/>
    <n v="0"/>
    <n v="0"/>
    <n v="0"/>
    <n v="0"/>
  </r>
  <r>
    <s v="PAP/NAV"/>
    <s v="NAV"/>
    <x v="2"/>
    <x v="1"/>
    <x v="24"/>
    <x v="4"/>
    <s v="Nevsehir - Kapadokya"/>
    <n v="10101"/>
    <n v="24.25"/>
    <m/>
    <n v="0"/>
    <m/>
    <n v="0"/>
    <n v="0"/>
    <n v="0"/>
    <n v="0"/>
    <n v="0"/>
    <n v="0"/>
    <n v="0"/>
    <n v="0"/>
    <n v="0"/>
    <n v="0"/>
  </r>
  <r>
    <s v="PAP/MZH"/>
    <s v="MZH"/>
    <x v="2"/>
    <x v="4"/>
    <x v="24"/>
    <x v="4"/>
    <s v="Amasya - Merzifon"/>
    <n v="10081"/>
    <n v="24.25"/>
    <m/>
    <n v="0"/>
    <m/>
    <n v="0"/>
    <n v="0"/>
    <n v="0"/>
    <n v="0"/>
    <n v="0"/>
    <n v="0"/>
    <n v="0"/>
    <n v="0"/>
    <n v="0"/>
    <n v="0"/>
  </r>
  <r>
    <s v="PAP/BGF"/>
    <s v="BGF"/>
    <x v="2"/>
    <x v="1"/>
    <x v="146"/>
    <x v="5"/>
    <s v="Bangui - Mpoko Intl"/>
    <n v="9939"/>
    <n v="24"/>
    <m/>
    <n v="0"/>
    <m/>
    <n v="0"/>
    <n v="0"/>
    <n v="0"/>
    <n v="0"/>
    <n v="0"/>
    <n v="0"/>
    <n v="0"/>
    <n v="0"/>
    <n v="0"/>
    <n v="0"/>
  </r>
  <r>
    <s v="PAP/FIH"/>
    <s v="FIH"/>
    <x v="2"/>
    <x v="1"/>
    <x v="143"/>
    <x v="5"/>
    <s v="Kinshasa - Metropolitan Area"/>
    <n v="9927"/>
    <n v="24"/>
    <m/>
    <n v="0"/>
    <m/>
    <n v="0"/>
    <n v="0"/>
    <n v="0"/>
    <n v="0"/>
    <n v="0"/>
    <n v="0"/>
    <n v="0"/>
    <n v="0"/>
    <n v="0"/>
    <n v="0"/>
  </r>
  <r>
    <s v="PAP/SLY"/>
    <s v="SLY"/>
    <x v="2"/>
    <x v="1"/>
    <x v="34"/>
    <x v="2"/>
    <s v="Salekhard"/>
    <n v="9954"/>
    <n v="24"/>
    <m/>
    <n v="0"/>
    <m/>
    <n v="0"/>
    <n v="0"/>
    <n v="0"/>
    <n v="0"/>
    <n v="0"/>
    <n v="0"/>
    <n v="0"/>
    <n v="0"/>
    <n v="0"/>
    <n v="0"/>
  </r>
  <r>
    <s v="PAP/KYA"/>
    <s v="KYA"/>
    <x v="2"/>
    <x v="1"/>
    <x v="24"/>
    <x v="4"/>
    <s v="Konya"/>
    <n v="9981"/>
    <n v="24"/>
    <m/>
    <n v="0"/>
    <m/>
    <n v="0"/>
    <n v="0"/>
    <n v="0"/>
    <n v="0"/>
    <n v="0"/>
    <n v="0"/>
    <n v="0"/>
    <n v="0"/>
    <n v="0"/>
    <n v="0"/>
  </r>
  <r>
    <s v="PAP/MPW"/>
    <s v="MPW"/>
    <x v="2"/>
    <x v="4"/>
    <x v="89"/>
    <x v="2"/>
    <s v="Mariupol - International"/>
    <n v="9913"/>
    <n v="24"/>
    <m/>
    <n v="0"/>
    <m/>
    <n v="0"/>
    <n v="0"/>
    <n v="0"/>
    <n v="0"/>
    <n v="0"/>
    <n v="0"/>
    <n v="0"/>
    <n v="0"/>
    <n v="0"/>
    <n v="0"/>
  </r>
  <r>
    <s v="PAP/BZV"/>
    <s v="BZV"/>
    <x v="2"/>
    <x v="1"/>
    <x v="147"/>
    <x v="5"/>
    <s v="Brazzaville - Maya-Maya Airport"/>
    <n v="9903"/>
    <n v="23.75"/>
    <m/>
    <n v="0"/>
    <m/>
    <n v="0"/>
    <n v="0"/>
    <n v="0"/>
    <n v="0"/>
    <n v="0"/>
    <n v="0"/>
    <n v="0"/>
    <n v="0"/>
    <n v="0"/>
    <n v="0"/>
  </r>
  <r>
    <s v="PAP/GOJ"/>
    <s v="GOJ"/>
    <x v="2"/>
    <x v="1"/>
    <x v="34"/>
    <x v="2"/>
    <s v="Nizhny Novgorod - Strigino"/>
    <n v="9798"/>
    <n v="23.75"/>
    <m/>
    <n v="0"/>
    <m/>
    <n v="0"/>
    <n v="0"/>
    <n v="0"/>
    <n v="0"/>
    <n v="0"/>
    <n v="0"/>
    <n v="0"/>
    <n v="0"/>
    <n v="0"/>
    <n v="0"/>
  </r>
  <r>
    <s v="PAP/IKS"/>
    <s v="IKS"/>
    <x v="2"/>
    <x v="4"/>
    <x v="34"/>
    <x v="2"/>
    <s v="Tiksi"/>
    <n v="9851"/>
    <n v="23.75"/>
    <m/>
    <n v="0"/>
    <m/>
    <n v="0"/>
    <n v="0"/>
    <n v="0"/>
    <n v="0"/>
    <n v="0"/>
    <n v="0"/>
    <n v="0"/>
    <n v="0"/>
    <n v="0"/>
    <n v="0"/>
  </r>
  <r>
    <s v="PAP/ISE"/>
    <s v="ISE"/>
    <x v="2"/>
    <x v="4"/>
    <x v="24"/>
    <x v="4"/>
    <s v="Isparta - Suleyman Demirel"/>
    <n v="9809"/>
    <n v="23.75"/>
    <m/>
    <n v="0"/>
    <m/>
    <n v="0"/>
    <n v="0"/>
    <n v="0"/>
    <n v="0"/>
    <n v="0"/>
    <n v="0"/>
    <n v="0"/>
    <n v="0"/>
    <n v="0"/>
    <n v="0"/>
  </r>
  <r>
    <s v="PAP/SIP"/>
    <s v="SIP"/>
    <x v="2"/>
    <x v="1"/>
    <x v="89"/>
    <x v="2"/>
    <s v="Simferopol - International"/>
    <n v="9768"/>
    <n v="23.5"/>
    <m/>
    <n v="0"/>
    <m/>
    <n v="0"/>
    <n v="0"/>
    <n v="0"/>
    <n v="0"/>
    <n v="0"/>
    <n v="0"/>
    <n v="0"/>
    <n v="0"/>
    <n v="0"/>
    <n v="0"/>
  </r>
  <r>
    <s v="PAP/AOE"/>
    <s v="AOE"/>
    <x v="2"/>
    <x v="1"/>
    <x v="24"/>
    <x v="4"/>
    <s v="Eskisehir - Anadolu"/>
    <n v="9739"/>
    <n v="23.5"/>
    <m/>
    <n v="0"/>
    <m/>
    <n v="0"/>
    <n v="0"/>
    <n v="0"/>
    <n v="0"/>
    <n v="0"/>
    <n v="0"/>
    <n v="0"/>
    <n v="0"/>
    <n v="0"/>
    <n v="0"/>
  </r>
  <r>
    <s v="PAP/DNZ"/>
    <s v="DNZ"/>
    <x v="2"/>
    <x v="1"/>
    <x v="24"/>
    <x v="4"/>
    <s v="Denizli - Cardak"/>
    <n v="9758"/>
    <n v="23.5"/>
    <m/>
    <n v="0"/>
    <m/>
    <n v="0"/>
    <n v="0"/>
    <n v="0"/>
    <n v="0"/>
    <n v="0"/>
    <n v="0"/>
    <n v="0"/>
    <n v="0"/>
    <n v="0"/>
    <n v="0"/>
  </r>
  <r>
    <s v="PAP/OZH"/>
    <s v="OZH"/>
    <x v="2"/>
    <x v="4"/>
    <x v="89"/>
    <x v="2"/>
    <s v="Zaporizhzhia - Mokraya Intl"/>
    <n v="9730"/>
    <n v="23.5"/>
    <m/>
    <n v="0"/>
    <m/>
    <n v="0"/>
    <n v="0"/>
    <n v="0"/>
    <n v="0"/>
    <n v="0"/>
    <n v="0"/>
    <n v="0"/>
    <n v="0"/>
    <n v="0"/>
    <n v="0"/>
  </r>
  <r>
    <s v="PAP/USQ"/>
    <s v="USQ"/>
    <x v="2"/>
    <x v="4"/>
    <x v="24"/>
    <x v="4"/>
    <s v="Usak"/>
    <n v="9702"/>
    <n v="23.5"/>
    <m/>
    <n v="0"/>
    <m/>
    <n v="0"/>
    <n v="0"/>
    <n v="0"/>
    <n v="0"/>
    <n v="0"/>
    <n v="0"/>
    <n v="0"/>
    <n v="0"/>
    <n v="0"/>
    <n v="0"/>
  </r>
  <r>
    <s v="PAP/YEI"/>
    <s v="YEI"/>
    <x v="2"/>
    <x v="4"/>
    <x v="24"/>
    <x v="4"/>
    <s v="Bursa - Yenisehir"/>
    <n v="9645"/>
    <n v="23.25"/>
    <m/>
    <n v="0"/>
    <m/>
    <n v="0"/>
    <n v="0"/>
    <n v="0"/>
    <n v="0"/>
    <n v="0"/>
    <n v="0"/>
    <n v="0"/>
    <n v="0"/>
    <n v="0"/>
    <n v="0"/>
  </r>
  <r>
    <s v="PAP/ZIA"/>
    <s v="ZIA"/>
    <x v="2"/>
    <x v="0"/>
    <x v="34"/>
    <x v="2"/>
    <s v="Moscow Oblast - Zhukovsky Airport"/>
    <n v="9526"/>
    <n v="23"/>
    <m/>
    <n v="0"/>
    <m/>
    <n v="0"/>
    <n v="0"/>
    <n v="0"/>
    <n v="0"/>
    <n v="0"/>
    <n v="0"/>
    <n v="0"/>
    <n v="0"/>
    <n v="0"/>
    <n v="0"/>
  </r>
  <r>
    <s v="PAP/TEQ"/>
    <s v="TEQ"/>
    <x v="2"/>
    <x v="4"/>
    <x v="24"/>
    <x v="4"/>
    <s v="Tekirdag - Corlu"/>
    <n v="9480"/>
    <n v="23"/>
    <m/>
    <n v="0"/>
    <m/>
    <n v="0"/>
    <n v="0"/>
    <n v="0"/>
    <n v="0"/>
    <n v="0"/>
    <n v="0"/>
    <n v="0"/>
    <n v="0"/>
    <n v="0"/>
    <n v="0"/>
  </r>
  <r>
    <s v="PAP/CND"/>
    <s v="CND"/>
    <x v="2"/>
    <x v="1"/>
    <x v="23"/>
    <x v="2"/>
    <s v="Constanta - Mihail Kogalniceanu"/>
    <n v="9397"/>
    <n v="22.75"/>
    <m/>
    <n v="0"/>
    <m/>
    <n v="0"/>
    <n v="0"/>
    <n v="0"/>
    <n v="0"/>
    <n v="0"/>
    <n v="0"/>
    <n v="0"/>
    <n v="0"/>
    <n v="0"/>
    <n v="0"/>
  </r>
  <r>
    <s v="PAP/NDJ"/>
    <s v="NDJ"/>
    <x v="2"/>
    <x v="1"/>
    <x v="148"/>
    <x v="5"/>
    <s v="N'Djamena - Hassan Djamous Intl"/>
    <n v="9306"/>
    <n v="22.5"/>
    <m/>
    <n v="0"/>
    <m/>
    <n v="0"/>
    <n v="0"/>
    <n v="0"/>
    <n v="0"/>
    <n v="0"/>
    <n v="0"/>
    <n v="0"/>
    <n v="0"/>
    <n v="0"/>
    <n v="0"/>
  </r>
  <r>
    <s v="PAP/NSI"/>
    <s v="NSI"/>
    <x v="2"/>
    <x v="1"/>
    <x v="109"/>
    <x v="5"/>
    <s v="Yaounde - Nsimalen Intl"/>
    <n v="9230"/>
    <n v="22.5"/>
    <m/>
    <n v="0"/>
    <m/>
    <n v="0"/>
    <n v="0"/>
    <n v="0"/>
    <n v="0"/>
    <n v="0"/>
    <n v="0"/>
    <n v="0"/>
    <n v="0"/>
    <n v="0"/>
    <n v="0"/>
  </r>
  <r>
    <s v="PAP/AXD"/>
    <s v="AXD"/>
    <x v="2"/>
    <x v="1"/>
    <x v="47"/>
    <x v="2"/>
    <s v="Alexandroupolis - Dimokritos"/>
    <n v="9336"/>
    <n v="22.5"/>
    <m/>
    <n v="0"/>
    <m/>
    <n v="0"/>
    <n v="0"/>
    <n v="0"/>
    <n v="0"/>
    <n v="0"/>
    <n v="0"/>
    <n v="0"/>
    <n v="0"/>
    <n v="0"/>
    <n v="0"/>
  </r>
  <r>
    <s v="PAP/KIV"/>
    <s v="KIV"/>
    <x v="2"/>
    <x v="1"/>
    <x v="149"/>
    <x v="2"/>
    <s v="Chisinau - International"/>
    <n v="9328"/>
    <n v="22.5"/>
    <m/>
    <n v="0"/>
    <m/>
    <n v="0"/>
    <n v="0"/>
    <n v="0"/>
    <n v="0"/>
    <n v="0"/>
    <n v="0"/>
    <n v="0"/>
    <n v="0"/>
    <n v="0"/>
    <n v="0"/>
  </r>
  <r>
    <s v="PAP/KVA"/>
    <s v="KVA"/>
    <x v="2"/>
    <x v="1"/>
    <x v="47"/>
    <x v="2"/>
    <s v="Kavala - Megas Alexandros"/>
    <n v="9227"/>
    <n v="22.5"/>
    <m/>
    <n v="0"/>
    <m/>
    <n v="0"/>
    <n v="0"/>
    <n v="0"/>
    <n v="0"/>
    <n v="0"/>
    <n v="0"/>
    <n v="0"/>
    <n v="0"/>
    <n v="0"/>
    <n v="0"/>
  </r>
  <r>
    <s v="PAP/LXS"/>
    <s v="LXS"/>
    <x v="2"/>
    <x v="1"/>
    <x v="47"/>
    <x v="2"/>
    <s v="Limnos"/>
    <n v="9313"/>
    <n v="22.5"/>
    <m/>
    <n v="0"/>
    <m/>
    <n v="0"/>
    <n v="0"/>
    <n v="0"/>
    <n v="0"/>
    <n v="0"/>
    <n v="0"/>
    <n v="0"/>
    <n v="0"/>
    <n v="0"/>
    <n v="0"/>
  </r>
  <r>
    <s v="PAP/GOU"/>
    <s v="GOU"/>
    <x v="2"/>
    <x v="4"/>
    <x v="109"/>
    <x v="5"/>
    <s v="Garoua - International"/>
    <n v="9228"/>
    <n v="22.5"/>
    <m/>
    <n v="0"/>
    <m/>
    <n v="0"/>
    <n v="0"/>
    <n v="0"/>
    <n v="0"/>
    <n v="0"/>
    <n v="0"/>
    <n v="0"/>
    <n v="0"/>
    <n v="0"/>
    <n v="0"/>
  </r>
  <r>
    <s v="PAP/GME"/>
    <s v="GME"/>
    <x v="2"/>
    <x v="4"/>
    <x v="150"/>
    <x v="2"/>
    <s v="Gomel"/>
    <n v="9243"/>
    <n v="22.5"/>
    <m/>
    <n v="0"/>
    <m/>
    <n v="0"/>
    <n v="0"/>
    <n v="0"/>
    <n v="0"/>
    <n v="0"/>
    <n v="0"/>
    <n v="0"/>
    <n v="0"/>
    <n v="0"/>
    <n v="0"/>
  </r>
  <r>
    <s v="PAP/SKU"/>
    <s v="SKU"/>
    <x v="2"/>
    <x v="4"/>
    <x v="47"/>
    <x v="2"/>
    <s v="Skyros"/>
    <n v="9286"/>
    <n v="22.5"/>
    <m/>
    <n v="0"/>
    <m/>
    <n v="0"/>
    <n v="0"/>
    <n v="0"/>
    <n v="0"/>
    <n v="0"/>
    <n v="0"/>
    <n v="0"/>
    <n v="0"/>
    <n v="0"/>
    <n v="0"/>
  </r>
  <r>
    <s v="PAP/LBV"/>
    <s v="LBV"/>
    <x v="2"/>
    <x v="1"/>
    <x v="151"/>
    <x v="5"/>
    <s v="Libreville - Leon M'ba Intl"/>
    <n v="9119"/>
    <n v="22.25"/>
    <m/>
    <n v="0"/>
    <m/>
    <n v="0"/>
    <n v="0"/>
    <n v="0"/>
    <n v="0"/>
    <n v="0"/>
    <n v="0"/>
    <n v="0"/>
    <n v="0"/>
    <n v="0"/>
    <n v="0"/>
  </r>
  <r>
    <s v="PAP/KLX"/>
    <s v="KLX"/>
    <x v="2"/>
    <x v="1"/>
    <x v="47"/>
    <x v="2"/>
    <s v="Kalamata"/>
    <n v="9146"/>
    <n v="22.25"/>
    <m/>
    <n v="0"/>
    <m/>
    <n v="0"/>
    <n v="0"/>
    <n v="0"/>
    <n v="0"/>
    <n v="0"/>
    <n v="0"/>
    <n v="0"/>
    <n v="0"/>
    <n v="0"/>
    <n v="0"/>
  </r>
  <r>
    <s v="PAP/VOL"/>
    <s v="VOL"/>
    <x v="2"/>
    <x v="4"/>
    <x v="47"/>
    <x v="2"/>
    <s v="Volos - Nea Anchialos"/>
    <n v="9138"/>
    <n v="22.25"/>
    <m/>
    <n v="0"/>
    <m/>
    <n v="0"/>
    <n v="0"/>
    <n v="0"/>
    <n v="0"/>
    <n v="0"/>
    <n v="0"/>
    <n v="0"/>
    <n v="0"/>
    <n v="0"/>
    <n v="0"/>
  </r>
  <r>
    <s v="PAP/GPA"/>
    <s v="GPA"/>
    <x v="2"/>
    <x v="1"/>
    <x v="47"/>
    <x v="2"/>
    <s v="Patrai - Araxos"/>
    <n v="9060"/>
    <n v="22"/>
    <m/>
    <n v="0"/>
    <m/>
    <n v="0"/>
    <n v="0"/>
    <n v="0"/>
    <n v="0"/>
    <n v="0"/>
    <n v="0"/>
    <n v="0"/>
    <n v="0"/>
    <n v="0"/>
    <n v="0"/>
  </r>
  <r>
    <s v="PAP/MSQ"/>
    <s v="MSQ"/>
    <x v="2"/>
    <x v="1"/>
    <x v="150"/>
    <x v="2"/>
    <s v="Minsk - Metropolitan Area"/>
    <n v="9004"/>
    <n v="22"/>
    <m/>
    <n v="0"/>
    <m/>
    <n v="0"/>
    <n v="0"/>
    <n v="0"/>
    <n v="0"/>
    <n v="0"/>
    <n v="0"/>
    <n v="0"/>
    <n v="0"/>
    <n v="0"/>
    <n v="0"/>
  </r>
  <r>
    <s v="PAP/SBZ"/>
    <s v="SBZ"/>
    <x v="2"/>
    <x v="1"/>
    <x v="23"/>
    <x v="2"/>
    <s v="Sibiu"/>
    <n v="9019"/>
    <n v="22"/>
    <m/>
    <n v="0"/>
    <m/>
    <n v="0"/>
    <n v="0"/>
    <n v="0"/>
    <n v="0"/>
    <n v="0"/>
    <n v="0"/>
    <n v="0"/>
    <n v="0"/>
    <n v="0"/>
    <n v="0"/>
  </r>
  <r>
    <s v="PAP/DYR"/>
    <s v="DYR"/>
    <x v="2"/>
    <x v="4"/>
    <x v="34"/>
    <x v="2"/>
    <s v="Anadyr - Ugolny"/>
    <n v="9050"/>
    <n v="22"/>
    <m/>
    <n v="0"/>
    <m/>
    <n v="0"/>
    <n v="0"/>
    <n v="0"/>
    <n v="0"/>
    <n v="0"/>
    <n v="0"/>
    <n v="0"/>
    <n v="0"/>
    <n v="0"/>
    <n v="0"/>
  </r>
  <r>
    <s v="PAP/LED"/>
    <s v="LED"/>
    <x v="2"/>
    <x v="0"/>
    <x v="34"/>
    <x v="2"/>
    <s v="St Petersburg - Metropolitan Area"/>
    <n v="8910"/>
    <n v="21.75"/>
    <m/>
    <n v="0"/>
    <m/>
    <n v="0"/>
    <n v="0"/>
    <n v="0"/>
    <n v="0"/>
    <n v="0"/>
    <n v="0"/>
    <n v="0"/>
    <n v="0"/>
    <n v="0"/>
    <n v="0"/>
  </r>
  <r>
    <s v="PAP/SSG"/>
    <s v="SSG"/>
    <x v="2"/>
    <x v="1"/>
    <x v="152"/>
    <x v="5"/>
    <s v="Malabo - International"/>
    <n v="8929"/>
    <n v="21.75"/>
    <m/>
    <n v="0"/>
    <m/>
    <n v="0"/>
    <n v="0"/>
    <n v="0"/>
    <n v="0"/>
    <n v="0"/>
    <n v="0"/>
    <n v="0"/>
    <n v="0"/>
    <n v="0"/>
    <n v="0"/>
  </r>
  <r>
    <s v="PAP/IFO"/>
    <s v="IFO"/>
    <x v="2"/>
    <x v="1"/>
    <x v="89"/>
    <x v="2"/>
    <s v="Ivano-Frankivsk - International"/>
    <n v="8958"/>
    <n v="21.75"/>
    <m/>
    <n v="0"/>
    <m/>
    <n v="0"/>
    <n v="0"/>
    <n v="0"/>
    <n v="0"/>
    <n v="0"/>
    <n v="0"/>
    <n v="0"/>
    <n v="0"/>
    <n v="0"/>
    <n v="0"/>
  </r>
  <r>
    <s v="PAP/PVK"/>
    <s v="PVK"/>
    <x v="2"/>
    <x v="1"/>
    <x v="47"/>
    <x v="2"/>
    <s v="Preveza/Lefkada - Aktion"/>
    <n v="8981"/>
    <n v="21.75"/>
    <m/>
    <n v="0"/>
    <m/>
    <n v="0"/>
    <n v="0"/>
    <n v="0"/>
    <n v="0"/>
    <n v="0"/>
    <n v="0"/>
    <n v="0"/>
    <n v="0"/>
    <n v="0"/>
    <n v="0"/>
  </r>
  <r>
    <s v="PAP/KSO"/>
    <s v="KSO"/>
    <x v="2"/>
    <x v="4"/>
    <x v="47"/>
    <x v="2"/>
    <s v="Kastoria - Aristotelis"/>
    <n v="8975"/>
    <n v="21.75"/>
    <m/>
    <n v="0"/>
    <m/>
    <n v="0"/>
    <n v="0"/>
    <n v="0"/>
    <n v="0"/>
    <n v="0"/>
    <n v="0"/>
    <n v="0"/>
    <n v="0"/>
    <n v="0"/>
    <n v="0"/>
  </r>
  <r>
    <s v="PAP/OHD"/>
    <s v="OHD"/>
    <x v="2"/>
    <x v="4"/>
    <x v="153"/>
    <x v="2"/>
    <s v="Ohrid - St.Paul the Apostle"/>
    <n v="8908"/>
    <n v="21.75"/>
    <m/>
    <n v="0"/>
    <m/>
    <n v="0"/>
    <n v="0"/>
    <n v="0"/>
    <n v="0"/>
    <n v="0"/>
    <n v="0"/>
    <n v="0"/>
    <n v="0"/>
    <n v="0"/>
    <n v="0"/>
  </r>
  <r>
    <s v="PAP/TIA"/>
    <s v="TIA"/>
    <x v="2"/>
    <x v="0"/>
    <x v="154"/>
    <x v="2"/>
    <s v="Tirana - Nene Tereza Intl"/>
    <n v="8819"/>
    <n v="21.5"/>
    <m/>
    <n v="0"/>
    <m/>
    <n v="0"/>
    <n v="0"/>
    <n v="0"/>
    <n v="0"/>
    <n v="0"/>
    <n v="0"/>
    <n v="0"/>
    <n v="0"/>
    <n v="0"/>
    <n v="0"/>
  </r>
  <r>
    <s v="PAP/LWO"/>
    <s v="LWO"/>
    <x v="2"/>
    <x v="1"/>
    <x v="89"/>
    <x v="2"/>
    <s v="Lviv - International"/>
    <n v="8877"/>
    <n v="21.5"/>
    <m/>
    <n v="0"/>
    <m/>
    <n v="0"/>
    <n v="0"/>
    <n v="0"/>
    <n v="0"/>
    <n v="0"/>
    <n v="0"/>
    <n v="0"/>
    <n v="0"/>
    <n v="0"/>
    <n v="0"/>
  </r>
  <r>
    <s v="PAP/TSR"/>
    <s v="TSR"/>
    <x v="2"/>
    <x v="1"/>
    <x v="23"/>
    <x v="2"/>
    <s v="Timisoara - Traian Vuia"/>
    <n v="8814"/>
    <n v="21.5"/>
    <m/>
    <n v="0"/>
    <m/>
    <n v="0"/>
    <n v="0"/>
    <n v="0"/>
    <n v="0"/>
    <n v="0"/>
    <n v="0"/>
    <n v="0"/>
    <n v="0"/>
    <n v="0"/>
    <n v="0"/>
  </r>
  <r>
    <s v="PAP/BDS"/>
    <s v="BDS"/>
    <x v="2"/>
    <x v="0"/>
    <x v="96"/>
    <x v="2"/>
    <s v="Brindisi - Casale"/>
    <n v="8697"/>
    <n v="21.25"/>
    <m/>
    <n v="0"/>
    <m/>
    <n v="0"/>
    <n v="0"/>
    <n v="0"/>
    <n v="0"/>
    <n v="0"/>
    <n v="0"/>
    <n v="0"/>
    <n v="0"/>
    <n v="0"/>
    <n v="0"/>
  </r>
  <r>
    <s v="PAP/KOA"/>
    <s v="KOA"/>
    <x v="2"/>
    <x v="0"/>
    <x v="9"/>
    <x v="3"/>
    <s v="Kona - Keahole"/>
    <n v="8696"/>
    <n v="21.25"/>
    <m/>
    <n v="0"/>
    <m/>
    <n v="0"/>
    <n v="0"/>
    <n v="0"/>
    <n v="0"/>
    <n v="0"/>
    <n v="0"/>
    <n v="0"/>
    <n v="0"/>
    <n v="0"/>
    <n v="0"/>
  </r>
  <r>
    <s v="PAP/KUO"/>
    <s v="KUO"/>
    <x v="2"/>
    <x v="1"/>
    <x v="88"/>
    <x v="2"/>
    <s v="Kuopio"/>
    <n v="8671"/>
    <n v="21.25"/>
    <m/>
    <n v="0"/>
    <m/>
    <n v="0"/>
    <n v="0"/>
    <n v="0"/>
    <n v="0"/>
    <n v="0"/>
    <n v="0"/>
    <n v="0"/>
    <n v="0"/>
    <n v="0"/>
    <n v="0"/>
  </r>
  <r>
    <s v="PAP/TIV"/>
    <s v="TIV"/>
    <x v="2"/>
    <x v="1"/>
    <x v="155"/>
    <x v="2"/>
    <s v="Tivat"/>
    <n v="8711"/>
    <n v="21.25"/>
    <m/>
    <n v="0"/>
    <m/>
    <n v="0"/>
    <n v="0"/>
    <n v="0"/>
    <n v="0"/>
    <n v="0"/>
    <n v="0"/>
    <n v="0"/>
    <n v="0"/>
    <n v="0"/>
    <n v="0"/>
  </r>
  <r>
    <s v="PAP/DBV"/>
    <s v="DBV"/>
    <x v="2"/>
    <x v="5"/>
    <x v="107"/>
    <x v="2"/>
    <s v="Dubrovnik"/>
    <n v="8670"/>
    <n v="21.25"/>
    <m/>
    <n v="0"/>
    <m/>
    <n v="0"/>
    <n v="0"/>
    <n v="0"/>
    <n v="0"/>
    <n v="0"/>
    <n v="0"/>
    <n v="0"/>
    <n v="0"/>
    <n v="0"/>
    <n v="0"/>
  </r>
  <r>
    <s v="PAP/KUN"/>
    <s v="KUN"/>
    <x v="2"/>
    <x v="5"/>
    <x v="123"/>
    <x v="2"/>
    <s v="Kaunas - International"/>
    <n v="8724"/>
    <n v="21.25"/>
    <m/>
    <n v="0"/>
    <m/>
    <n v="0"/>
    <n v="0"/>
    <n v="0"/>
    <n v="0"/>
    <n v="0"/>
    <n v="0"/>
    <n v="0"/>
    <n v="0"/>
    <n v="0"/>
    <n v="0"/>
  </r>
  <r>
    <s v="PAP/JYV"/>
    <s v="JYV"/>
    <x v="2"/>
    <x v="1"/>
    <x v="88"/>
    <x v="2"/>
    <s v="Jyvaskyla"/>
    <n v="8587"/>
    <n v="21"/>
    <m/>
    <n v="0"/>
    <m/>
    <n v="0"/>
    <n v="0"/>
    <n v="0"/>
    <n v="0"/>
    <n v="0"/>
    <n v="0"/>
    <n v="0"/>
    <n v="0"/>
    <n v="0"/>
    <n v="0"/>
  </r>
  <r>
    <s v="PAP/SJJ"/>
    <s v="SJJ"/>
    <x v="2"/>
    <x v="1"/>
    <x v="156"/>
    <x v="2"/>
    <s v="Sarajevo - International"/>
    <n v="8641"/>
    <n v="21"/>
    <m/>
    <n v="0"/>
    <m/>
    <n v="0"/>
    <n v="0"/>
    <n v="0"/>
    <n v="0"/>
    <n v="0"/>
    <n v="0"/>
    <n v="0"/>
    <n v="0"/>
    <n v="0"/>
    <n v="0"/>
  </r>
  <r>
    <s v="PAP/SQQ"/>
    <s v="SQQ"/>
    <x v="2"/>
    <x v="4"/>
    <x v="123"/>
    <x v="2"/>
    <s v="Siauliai - International"/>
    <n v="8654"/>
    <n v="21"/>
    <m/>
    <n v="0"/>
    <m/>
    <n v="0"/>
    <n v="0"/>
    <n v="0"/>
    <n v="0"/>
    <n v="0"/>
    <n v="0"/>
    <n v="0"/>
    <n v="0"/>
    <n v="0"/>
    <n v="0"/>
  </r>
  <r>
    <s v="PAP/TAT"/>
    <s v="TAT"/>
    <x v="2"/>
    <x v="4"/>
    <x v="105"/>
    <x v="2"/>
    <s v="Poprad - Tatry"/>
    <n v="8640"/>
    <n v="21"/>
    <m/>
    <n v="0"/>
    <m/>
    <n v="0"/>
    <n v="0"/>
    <n v="0"/>
    <n v="0"/>
    <n v="0"/>
    <n v="0"/>
    <n v="0"/>
    <n v="0"/>
    <n v="0"/>
    <n v="0"/>
  </r>
  <r>
    <s v="PAP/KEM"/>
    <s v="KEM"/>
    <x v="2"/>
    <x v="1"/>
    <x v="88"/>
    <x v="2"/>
    <s v="Kemi/Tornio"/>
    <n v="8440"/>
    <n v="20.75"/>
    <m/>
    <n v="0"/>
    <m/>
    <n v="0"/>
    <n v="0"/>
    <n v="0"/>
    <n v="0"/>
    <n v="0"/>
    <n v="0"/>
    <n v="0"/>
    <n v="0"/>
    <n v="0"/>
    <n v="0"/>
  </r>
  <r>
    <s v="PAP/OSR"/>
    <s v="OSR"/>
    <x v="2"/>
    <x v="1"/>
    <x v="19"/>
    <x v="2"/>
    <s v="Ostrava - Leos Janacek"/>
    <n v="8474"/>
    <n v="20.75"/>
    <m/>
    <n v="0"/>
    <m/>
    <n v="0"/>
    <n v="0"/>
    <n v="0"/>
    <n v="0"/>
    <n v="0"/>
    <n v="0"/>
    <n v="0"/>
    <n v="0"/>
    <n v="0"/>
    <n v="0"/>
  </r>
  <r>
    <s v="PAP/OUL"/>
    <s v="OUL"/>
    <x v="2"/>
    <x v="1"/>
    <x v="88"/>
    <x v="2"/>
    <s v="Oulu"/>
    <n v="8497"/>
    <n v="20.75"/>
    <m/>
    <n v="0"/>
    <m/>
    <n v="0"/>
    <n v="0"/>
    <n v="0"/>
    <n v="0"/>
    <n v="0"/>
    <n v="0"/>
    <n v="0"/>
    <n v="0"/>
    <n v="0"/>
    <n v="0"/>
  </r>
  <r>
    <s v="PAP/RVN"/>
    <s v="RVN"/>
    <x v="2"/>
    <x v="1"/>
    <x v="88"/>
    <x v="2"/>
    <s v="Rovaniemi"/>
    <n v="8471"/>
    <n v="20.75"/>
    <m/>
    <n v="0"/>
    <m/>
    <n v="0"/>
    <n v="0"/>
    <n v="0"/>
    <n v="0"/>
    <n v="0"/>
    <n v="0"/>
    <n v="0"/>
    <n v="0"/>
    <n v="0"/>
    <n v="0"/>
  </r>
  <r>
    <s v="PAP/SPU"/>
    <s v="SPU"/>
    <x v="2"/>
    <x v="1"/>
    <x v="107"/>
    <x v="2"/>
    <s v="Split"/>
    <n v="8489"/>
    <n v="20.75"/>
    <m/>
    <n v="0"/>
    <m/>
    <n v="0"/>
    <n v="0"/>
    <n v="0"/>
    <n v="0"/>
    <n v="0"/>
    <n v="0"/>
    <n v="0"/>
    <n v="0"/>
    <n v="0"/>
    <n v="0"/>
  </r>
  <r>
    <s v="PAP/TMP"/>
    <s v="TMP"/>
    <x v="2"/>
    <x v="1"/>
    <x v="88"/>
    <x v="2"/>
    <s v="Tampere-Pirkkala"/>
    <n v="8510"/>
    <n v="20.75"/>
    <m/>
    <n v="0"/>
    <m/>
    <n v="0"/>
    <n v="0"/>
    <n v="0"/>
    <n v="0"/>
    <n v="0"/>
    <n v="0"/>
    <n v="0"/>
    <n v="0"/>
    <n v="0"/>
    <n v="0"/>
  </r>
  <r>
    <s v="PAP/BNX"/>
    <s v="BNX"/>
    <x v="2"/>
    <x v="4"/>
    <x v="156"/>
    <x v="2"/>
    <s v="Banja Luka - International"/>
    <n v="8532"/>
    <n v="20.75"/>
    <m/>
    <n v="0"/>
    <m/>
    <n v="0"/>
    <n v="0"/>
    <n v="0"/>
    <n v="0"/>
    <n v="0"/>
    <n v="0"/>
    <n v="0"/>
    <n v="0"/>
    <n v="0"/>
    <n v="0"/>
  </r>
  <r>
    <s v="PAP/PMO"/>
    <s v="PMO"/>
    <x v="2"/>
    <x v="0"/>
    <x v="96"/>
    <x v="2"/>
    <s v="Palermo - Punta Raisi"/>
    <n v="8355"/>
    <n v="20.5"/>
    <m/>
    <n v="0"/>
    <m/>
    <n v="0"/>
    <n v="0"/>
    <n v="0"/>
    <n v="0"/>
    <n v="0"/>
    <n v="0"/>
    <n v="0"/>
    <n v="0"/>
    <n v="0"/>
    <n v="0"/>
  </r>
  <r>
    <s v="PAP/CDB"/>
    <s v="CDB"/>
    <x v="2"/>
    <x v="0"/>
    <x v="9"/>
    <x v="3"/>
    <s v="Cold Bay"/>
    <n v="8350"/>
    <n v="20.5"/>
    <m/>
    <n v="0"/>
    <m/>
    <n v="0"/>
    <n v="0"/>
    <n v="0"/>
    <n v="0"/>
    <n v="0"/>
    <n v="0"/>
    <n v="0"/>
    <n v="0"/>
    <n v="0"/>
    <n v="0"/>
  </r>
  <r>
    <s v="PAP/BRQ"/>
    <s v="BRQ"/>
    <x v="2"/>
    <x v="1"/>
    <x v="19"/>
    <x v="2"/>
    <s v="Brno - Turany"/>
    <n v="8387"/>
    <n v="20.5"/>
    <m/>
    <n v="0"/>
    <m/>
    <n v="0"/>
    <n v="0"/>
    <n v="0"/>
    <n v="0"/>
    <n v="0"/>
    <n v="0"/>
    <n v="0"/>
    <n v="0"/>
    <n v="0"/>
    <n v="0"/>
  </r>
  <r>
    <s v="PAP/GRZ"/>
    <s v="GRZ"/>
    <x v="2"/>
    <x v="1"/>
    <x v="57"/>
    <x v="2"/>
    <s v="Graz - Airport"/>
    <n v="8343"/>
    <n v="20.5"/>
    <m/>
    <n v="0"/>
    <m/>
    <n v="0"/>
    <n v="0"/>
    <n v="0"/>
    <n v="0"/>
    <n v="0"/>
    <n v="0"/>
    <n v="0"/>
    <n v="0"/>
    <n v="0"/>
    <n v="0"/>
  </r>
  <r>
    <s v="PAP/LLA"/>
    <s v="LLA"/>
    <x v="2"/>
    <x v="1"/>
    <x v="27"/>
    <x v="2"/>
    <s v="Lulea - Kallax"/>
    <n v="8335"/>
    <n v="20.5"/>
    <m/>
    <n v="0"/>
    <m/>
    <n v="0"/>
    <n v="0"/>
    <n v="0"/>
    <n v="0"/>
    <n v="0"/>
    <n v="0"/>
    <n v="0"/>
    <n v="0"/>
    <n v="0"/>
    <n v="0"/>
  </r>
  <r>
    <s v="PAP/VAA"/>
    <s v="VAA"/>
    <x v="2"/>
    <x v="1"/>
    <x v="88"/>
    <x v="2"/>
    <s v="Vaasa"/>
    <n v="8376"/>
    <n v="20.5"/>
    <m/>
    <n v="0"/>
    <m/>
    <n v="0"/>
    <n v="0"/>
    <n v="0"/>
    <n v="0"/>
    <n v="0"/>
    <n v="0"/>
    <n v="0"/>
    <n v="0"/>
    <n v="0"/>
    <n v="0"/>
  </r>
  <r>
    <s v="PAP/DJG"/>
    <s v="DJG"/>
    <x v="2"/>
    <x v="4"/>
    <x v="61"/>
    <x v="5"/>
    <s v="Djanet - Tiska"/>
    <n v="8366"/>
    <n v="20.5"/>
    <m/>
    <n v="0"/>
    <m/>
    <n v="0"/>
    <n v="0"/>
    <n v="0"/>
    <n v="0"/>
    <n v="0"/>
    <n v="0"/>
    <n v="0"/>
    <n v="0"/>
    <n v="0"/>
    <n v="0"/>
  </r>
  <r>
    <s v="PAP/LKL"/>
    <s v="LKL"/>
    <x v="2"/>
    <x v="4"/>
    <x v="22"/>
    <x v="2"/>
    <s v="Lakselv - Banak"/>
    <n v="8342"/>
    <n v="20.5"/>
    <m/>
    <n v="0"/>
    <m/>
    <n v="0"/>
    <n v="0"/>
    <n v="0"/>
    <n v="0"/>
    <n v="0"/>
    <n v="0"/>
    <n v="0"/>
    <n v="0"/>
    <n v="0"/>
    <n v="0"/>
  </r>
  <r>
    <s v="PAP/TPS"/>
    <s v="TPS"/>
    <x v="2"/>
    <x v="0"/>
    <x v="96"/>
    <x v="2"/>
    <s v="Trapani - Birgi"/>
    <n v="8309"/>
    <n v="20.25"/>
    <m/>
    <n v="0"/>
    <m/>
    <n v="0"/>
    <n v="0"/>
    <n v="0"/>
    <n v="0"/>
    <n v="0"/>
    <n v="0"/>
    <n v="0"/>
    <n v="0"/>
    <n v="0"/>
    <n v="0"/>
  </r>
  <r>
    <s v="PAP/IAM"/>
    <s v="IAM"/>
    <x v="2"/>
    <x v="1"/>
    <x v="61"/>
    <x v="5"/>
    <s v="In Amenas - Zarzaitine"/>
    <n v="8286"/>
    <n v="20.25"/>
    <m/>
    <n v="0"/>
    <m/>
    <n v="0"/>
    <n v="0"/>
    <n v="0"/>
    <n v="0"/>
    <n v="0"/>
    <n v="0"/>
    <n v="0"/>
    <n v="0"/>
    <n v="0"/>
    <n v="0"/>
  </r>
  <r>
    <s v="PAP/AOI"/>
    <s v="AOI"/>
    <x v="2"/>
    <x v="1"/>
    <x v="96"/>
    <x v="2"/>
    <s v="Ancona - Falconara"/>
    <n v="8256"/>
    <n v="20.25"/>
    <m/>
    <n v="0"/>
    <m/>
    <n v="0"/>
    <n v="0"/>
    <n v="0"/>
    <n v="0"/>
    <n v="0"/>
    <n v="0"/>
    <n v="0"/>
    <n v="0"/>
    <n v="0"/>
    <n v="0"/>
  </r>
  <r>
    <s v="PAP/KLU"/>
    <s v="KLU"/>
    <x v="2"/>
    <x v="1"/>
    <x v="57"/>
    <x v="2"/>
    <s v="Klagenfurt - Airport"/>
    <n v="8268"/>
    <n v="20.25"/>
    <m/>
    <n v="0"/>
    <m/>
    <n v="0"/>
    <n v="0"/>
    <n v="0"/>
    <n v="0"/>
    <n v="0"/>
    <n v="0"/>
    <n v="0"/>
    <n v="0"/>
    <n v="0"/>
    <n v="0"/>
  </r>
  <r>
    <s v="PAP/KRN"/>
    <s v="KRN"/>
    <x v="2"/>
    <x v="1"/>
    <x v="27"/>
    <x v="2"/>
    <s v="Kiruna"/>
    <n v="8210"/>
    <n v="20.25"/>
    <m/>
    <n v="0"/>
    <m/>
    <n v="0"/>
    <n v="0"/>
    <n v="0"/>
    <n v="0"/>
    <n v="0"/>
    <n v="0"/>
    <n v="0"/>
    <n v="0"/>
    <n v="0"/>
    <n v="0"/>
  </r>
  <r>
    <s v="PAP/LNZ"/>
    <s v="LNZ"/>
    <x v="2"/>
    <x v="1"/>
    <x v="57"/>
    <x v="2"/>
    <s v="Linz - Blue Danube"/>
    <n v="8225"/>
    <n v="20.25"/>
    <m/>
    <n v="0"/>
    <m/>
    <n v="0"/>
    <n v="0"/>
    <n v="0"/>
    <n v="0"/>
    <n v="0"/>
    <n v="0"/>
    <n v="0"/>
    <n v="0"/>
    <n v="0"/>
    <n v="0"/>
  </r>
  <r>
    <s v="PAP/PUY"/>
    <s v="PUY"/>
    <x v="2"/>
    <x v="1"/>
    <x v="107"/>
    <x v="2"/>
    <s v="Pula"/>
    <n v="8273"/>
    <n v="20.25"/>
    <m/>
    <n v="0"/>
    <m/>
    <n v="0"/>
    <n v="0"/>
    <n v="0"/>
    <n v="0"/>
    <n v="0"/>
    <n v="0"/>
    <n v="0"/>
    <n v="0"/>
    <n v="0"/>
    <n v="0"/>
  </r>
  <r>
    <s v="PAP/TRS"/>
    <s v="TRS"/>
    <x v="2"/>
    <x v="1"/>
    <x v="96"/>
    <x v="2"/>
    <s v="Trieste - Ronchi dei Legionari"/>
    <n v="8219"/>
    <n v="20.25"/>
    <m/>
    <n v="0"/>
    <m/>
    <n v="0"/>
    <n v="0"/>
    <n v="0"/>
    <n v="0"/>
    <n v="0"/>
    <n v="0"/>
    <n v="0"/>
    <n v="0"/>
    <n v="0"/>
    <n v="0"/>
  </r>
  <r>
    <s v="PAP/SFA"/>
    <s v="SFA"/>
    <x v="2"/>
    <x v="4"/>
    <x v="46"/>
    <x v="5"/>
    <s v="Sfax - Thyna"/>
    <n v="8224"/>
    <n v="20.25"/>
    <m/>
    <n v="0"/>
    <m/>
    <n v="0"/>
    <n v="0"/>
    <n v="0"/>
    <n v="0"/>
    <n v="0"/>
    <n v="0"/>
    <n v="0"/>
    <n v="0"/>
    <n v="0"/>
    <n v="0"/>
  </r>
  <r>
    <s v="PAP/VVZ"/>
    <s v="VVZ"/>
    <x v="2"/>
    <x v="4"/>
    <x v="61"/>
    <x v="5"/>
    <s v="Illizi - Takhamalt"/>
    <n v="8221"/>
    <n v="20.25"/>
    <m/>
    <n v="0"/>
    <m/>
    <n v="0"/>
    <n v="0"/>
    <n v="0"/>
    <n v="0"/>
    <n v="0"/>
    <n v="0"/>
    <n v="0"/>
    <n v="0"/>
    <n v="0"/>
    <n v="0"/>
  </r>
  <r>
    <s v="PAP/DRS"/>
    <s v="DRS"/>
    <x v="2"/>
    <x v="0"/>
    <x v="58"/>
    <x v="2"/>
    <s v="Dresden - Airport"/>
    <n v="8142"/>
    <n v="20"/>
    <m/>
    <n v="0"/>
    <m/>
    <n v="0"/>
    <n v="0"/>
    <n v="0"/>
    <n v="0"/>
    <n v="0"/>
    <n v="0"/>
    <n v="0"/>
    <n v="0"/>
    <n v="0"/>
    <n v="0"/>
  </r>
  <r>
    <s v="PAP/NBE"/>
    <s v="NBE"/>
    <x v="2"/>
    <x v="1"/>
    <x v="46"/>
    <x v="5"/>
    <s v="Enfidha - Hammamet"/>
    <n v="8171"/>
    <n v="20"/>
    <m/>
    <n v="0"/>
    <m/>
    <n v="0"/>
    <n v="0"/>
    <n v="0"/>
    <n v="0"/>
    <n v="0"/>
    <n v="0"/>
    <n v="0"/>
    <n v="0"/>
    <n v="0"/>
    <n v="0"/>
  </r>
  <r>
    <s v="PAP/RMI"/>
    <s v="RMI"/>
    <x v="2"/>
    <x v="1"/>
    <x v="96"/>
    <x v="2"/>
    <s v="Rimini - Miramare"/>
    <n v="8188"/>
    <n v="20"/>
    <m/>
    <n v="0"/>
    <m/>
    <n v="0"/>
    <n v="0"/>
    <n v="0"/>
    <n v="0"/>
    <n v="0"/>
    <n v="0"/>
    <n v="0"/>
    <n v="0"/>
    <n v="0"/>
    <n v="0"/>
  </r>
  <r>
    <s v="PAP/SXF"/>
    <s v="SXF"/>
    <x v="2"/>
    <x v="1"/>
    <x v="58"/>
    <x v="2"/>
    <s v="Berlin - Schoenefeld"/>
    <n v="8104"/>
    <n v="20"/>
    <m/>
    <n v="0"/>
    <m/>
    <n v="0"/>
    <n v="0"/>
    <n v="0"/>
    <n v="0"/>
    <n v="0"/>
    <n v="0"/>
    <n v="0"/>
    <n v="0"/>
    <n v="0"/>
    <n v="0"/>
  </r>
  <r>
    <s v="PAP/VST"/>
    <s v="VST"/>
    <x v="2"/>
    <x v="1"/>
    <x v="27"/>
    <x v="2"/>
    <s v="Stockholm - Vasteras"/>
    <n v="8176"/>
    <n v="20"/>
    <m/>
    <n v="0"/>
    <m/>
    <n v="0"/>
    <n v="0"/>
    <n v="0"/>
    <n v="0"/>
    <n v="0"/>
    <n v="0"/>
    <n v="0"/>
    <n v="0"/>
    <n v="0"/>
    <n v="0"/>
  </r>
  <r>
    <s v="PAP/ORB"/>
    <s v="ORB"/>
    <x v="2"/>
    <x v="4"/>
    <x v="27"/>
    <x v="2"/>
    <s v="Orebro - Airport"/>
    <n v="8093"/>
    <n v="20"/>
    <m/>
    <n v="0"/>
    <m/>
    <n v="0"/>
    <n v="0"/>
    <n v="0"/>
    <n v="0"/>
    <n v="0"/>
    <n v="0"/>
    <n v="0"/>
    <n v="0"/>
    <n v="0"/>
    <n v="0"/>
  </r>
  <r>
    <s v="PAP/BLQ"/>
    <s v="BLQ"/>
    <x v="2"/>
    <x v="0"/>
    <x v="96"/>
    <x v="2"/>
    <s v="Bologna - Guglielmo Marconi"/>
    <n v="8076"/>
    <n v="19.75"/>
    <m/>
    <n v="0"/>
    <m/>
    <n v="0"/>
    <n v="0"/>
    <n v="0"/>
    <n v="0"/>
    <n v="0"/>
    <n v="0"/>
    <n v="0"/>
    <n v="0"/>
    <n v="0"/>
    <n v="0"/>
  </r>
  <r>
    <s v="PAP/CAG"/>
    <s v="CAG"/>
    <x v="2"/>
    <x v="0"/>
    <x v="96"/>
    <x v="2"/>
    <s v="Cagliari - Elmas"/>
    <n v="7988"/>
    <n v="19.75"/>
    <m/>
    <n v="0"/>
    <m/>
    <n v="0"/>
    <n v="0"/>
    <n v="0"/>
    <n v="0"/>
    <n v="0"/>
    <n v="0"/>
    <n v="0"/>
    <n v="0"/>
    <n v="0"/>
    <n v="0"/>
  </r>
  <r>
    <s v="PAP/LEJ"/>
    <s v="LEJ"/>
    <x v="2"/>
    <x v="0"/>
    <x v="58"/>
    <x v="2"/>
    <s v="Leipzig/Halle - Airport"/>
    <n v="8031"/>
    <n v="19.75"/>
    <m/>
    <n v="0"/>
    <m/>
    <n v="0"/>
    <n v="0"/>
    <n v="0"/>
    <n v="0"/>
    <n v="0"/>
    <n v="0"/>
    <n v="0"/>
    <n v="0"/>
    <n v="0"/>
    <n v="0"/>
  </r>
  <r>
    <s v="PAP/NUE"/>
    <s v="NUE"/>
    <x v="2"/>
    <x v="0"/>
    <x v="58"/>
    <x v="2"/>
    <s v="Nuremberg - Airport"/>
    <n v="7978"/>
    <n v="19.75"/>
    <m/>
    <n v="0"/>
    <m/>
    <n v="0"/>
    <n v="0"/>
    <n v="0"/>
    <n v="0"/>
    <n v="0"/>
    <n v="0"/>
    <n v="0"/>
    <n v="0"/>
    <n v="0"/>
    <n v="0"/>
  </r>
  <r>
    <s v="PAP/PSA"/>
    <s v="PSA"/>
    <x v="2"/>
    <x v="0"/>
    <x v="96"/>
    <x v="2"/>
    <s v="Pisa - Galileo Galilei"/>
    <n v="8019"/>
    <n v="19.75"/>
    <m/>
    <n v="0"/>
    <m/>
    <n v="0"/>
    <n v="0"/>
    <n v="0"/>
    <n v="0"/>
    <n v="0"/>
    <n v="0"/>
    <n v="0"/>
    <n v="0"/>
    <n v="0"/>
    <n v="0"/>
  </r>
  <r>
    <s v="PAP/VRN"/>
    <s v="VRN"/>
    <x v="2"/>
    <x v="0"/>
    <x v="96"/>
    <x v="2"/>
    <s v="Verona - Metropolitan Area"/>
    <n v="8029"/>
    <n v="19.75"/>
    <m/>
    <n v="0"/>
    <m/>
    <n v="0"/>
    <n v="0"/>
    <n v="0"/>
    <n v="0"/>
    <n v="0"/>
    <n v="0"/>
    <n v="0"/>
    <n v="0"/>
    <n v="0"/>
    <n v="0"/>
  </r>
  <r>
    <s v="PAP/LFW"/>
    <s v="LFW"/>
    <x v="2"/>
    <x v="1"/>
    <x v="157"/>
    <x v="5"/>
    <s v="Lome - G. Eyadema Intl"/>
    <n v="8061"/>
    <n v="19.75"/>
    <m/>
    <n v="0"/>
    <m/>
    <n v="0"/>
    <n v="0"/>
    <n v="0"/>
    <n v="0"/>
    <n v="0"/>
    <n v="0"/>
    <n v="0"/>
    <n v="0"/>
    <n v="0"/>
    <n v="0"/>
  </r>
  <r>
    <s v="PAP/TEE"/>
    <s v="TEE"/>
    <x v="2"/>
    <x v="1"/>
    <x v="61"/>
    <x v="5"/>
    <s v="Tebessa - Cheikh Larbi Tebessi"/>
    <n v="7979"/>
    <n v="19.75"/>
    <m/>
    <n v="0"/>
    <m/>
    <n v="0"/>
    <n v="0"/>
    <n v="0"/>
    <n v="0"/>
    <n v="0"/>
    <n v="0"/>
    <n v="0"/>
    <n v="0"/>
    <n v="0"/>
    <n v="0"/>
  </r>
  <r>
    <s v="PAP/TOE"/>
    <s v="TOE"/>
    <x v="2"/>
    <x v="1"/>
    <x v="46"/>
    <x v="5"/>
    <s v="Tozeur - Nefta"/>
    <n v="8008"/>
    <n v="19.75"/>
    <m/>
    <n v="0"/>
    <m/>
    <n v="0"/>
    <n v="0"/>
    <n v="0"/>
    <n v="0"/>
    <n v="0"/>
    <n v="0"/>
    <n v="0"/>
    <n v="0"/>
    <n v="0"/>
    <n v="0"/>
  </r>
  <r>
    <s v="PAP/EVE"/>
    <s v="EVE"/>
    <x v="2"/>
    <x v="1"/>
    <x v="22"/>
    <x v="2"/>
    <s v="Harstad/Narvik - Evenes"/>
    <n v="8050"/>
    <n v="19.75"/>
    <m/>
    <n v="0"/>
    <m/>
    <n v="0"/>
    <n v="0"/>
    <n v="0"/>
    <n v="0"/>
    <n v="0"/>
    <n v="0"/>
    <n v="0"/>
    <n v="0"/>
    <n v="0"/>
    <n v="0"/>
  </r>
  <r>
    <s v="PAP/KSD"/>
    <s v="KSD"/>
    <x v="2"/>
    <x v="1"/>
    <x v="27"/>
    <x v="2"/>
    <s v="Karlstad"/>
    <n v="7994"/>
    <n v="19.75"/>
    <m/>
    <n v="0"/>
    <m/>
    <n v="0"/>
    <n v="0"/>
    <n v="0"/>
    <n v="0"/>
    <n v="0"/>
    <n v="0"/>
    <n v="0"/>
    <n v="0"/>
    <n v="0"/>
    <n v="0"/>
  </r>
  <r>
    <s v="PAP/RLG"/>
    <s v="RLG"/>
    <x v="2"/>
    <x v="1"/>
    <x v="58"/>
    <x v="2"/>
    <s v="Rostock - Laage"/>
    <n v="7999"/>
    <n v="19.75"/>
    <m/>
    <n v="0"/>
    <m/>
    <n v="0"/>
    <n v="0"/>
    <n v="0"/>
    <n v="0"/>
    <n v="0"/>
    <n v="0"/>
    <n v="0"/>
    <n v="0"/>
    <n v="0"/>
    <n v="0"/>
  </r>
  <r>
    <s v="PAP/VBS"/>
    <s v="VBS"/>
    <x v="2"/>
    <x v="1"/>
    <x v="96"/>
    <x v="2"/>
    <s v="Verona - Brescia/Montichiari"/>
    <n v="7985"/>
    <n v="19.75"/>
    <m/>
    <n v="0"/>
    <m/>
    <n v="0"/>
    <n v="0"/>
    <n v="0"/>
    <n v="0"/>
    <n v="0"/>
    <n v="0"/>
    <n v="0"/>
    <n v="0"/>
    <n v="0"/>
    <n v="0"/>
  </r>
  <r>
    <s v="PAP/TBJ"/>
    <s v="TBJ"/>
    <x v="2"/>
    <x v="4"/>
    <x v="46"/>
    <x v="5"/>
    <s v="Tabarka - Ain Draham"/>
    <n v="8015"/>
    <n v="19.75"/>
    <m/>
    <n v="0"/>
    <m/>
    <n v="0"/>
    <n v="0"/>
    <n v="0"/>
    <n v="0"/>
    <n v="0"/>
    <n v="0"/>
    <n v="0"/>
    <n v="0"/>
    <n v="0"/>
    <n v="0"/>
  </r>
  <r>
    <s v="PAP/AHO"/>
    <s v="AHO"/>
    <x v="2"/>
    <x v="0"/>
    <x v="96"/>
    <x v="2"/>
    <s v="Alghero - Fertilia"/>
    <n v="7899"/>
    <n v="19.5"/>
    <m/>
    <n v="0"/>
    <m/>
    <n v="0"/>
    <n v="0"/>
    <n v="0"/>
    <n v="0"/>
    <n v="0"/>
    <n v="0"/>
    <n v="0"/>
    <n v="0"/>
    <n v="0"/>
    <n v="0"/>
  </r>
  <r>
    <s v="PAP/GOA"/>
    <s v="GOA"/>
    <x v="2"/>
    <x v="0"/>
    <x v="96"/>
    <x v="2"/>
    <s v="Genoa - Cristoforo Colombo"/>
    <n v="7885"/>
    <n v="19.5"/>
    <m/>
    <n v="0"/>
    <m/>
    <n v="0"/>
    <n v="0"/>
    <n v="0"/>
    <n v="0"/>
    <n v="0"/>
    <n v="0"/>
    <n v="0"/>
    <n v="0"/>
    <n v="0"/>
    <n v="0"/>
  </r>
  <r>
    <s v="PAP/ACC"/>
    <s v="ACC"/>
    <x v="2"/>
    <x v="1"/>
    <x v="158"/>
    <x v="5"/>
    <s v="Accra - Kotoka Intl"/>
    <n v="7930"/>
    <n v="19.5"/>
    <m/>
    <n v="0"/>
    <m/>
    <n v="0"/>
    <n v="0"/>
    <n v="0"/>
    <n v="0"/>
    <n v="0"/>
    <n v="0"/>
    <n v="0"/>
    <n v="0"/>
    <n v="0"/>
    <n v="0"/>
  </r>
  <r>
    <s v="PAP/HME"/>
    <s v="HME"/>
    <x v="2"/>
    <x v="1"/>
    <x v="61"/>
    <x v="5"/>
    <s v="Hassi Messaoud - Oued Irara"/>
    <n v="7873"/>
    <n v="19.5"/>
    <m/>
    <n v="0"/>
    <m/>
    <n v="0"/>
    <n v="0"/>
    <n v="0"/>
    <n v="0"/>
    <n v="0"/>
    <n v="0"/>
    <n v="0"/>
    <n v="0"/>
    <n v="0"/>
    <n v="0"/>
  </r>
  <r>
    <s v="PAP/NIM"/>
    <s v="NIM"/>
    <x v="2"/>
    <x v="1"/>
    <x v="159"/>
    <x v="5"/>
    <s v="Niamey - Diori Hamani Intl"/>
    <n v="7926"/>
    <n v="19.5"/>
    <m/>
    <n v="0"/>
    <m/>
    <n v="0"/>
    <n v="0"/>
    <n v="0"/>
    <n v="0"/>
    <n v="0"/>
    <n v="0"/>
    <n v="0"/>
    <n v="0"/>
    <n v="0"/>
    <n v="0"/>
  </r>
  <r>
    <s v="PAP/AAR"/>
    <s v="AAR"/>
    <x v="2"/>
    <x v="1"/>
    <x v="78"/>
    <x v="2"/>
    <s v="Aarhus - Airport"/>
    <n v="7867"/>
    <n v="19.5"/>
    <m/>
    <n v="0"/>
    <m/>
    <n v="0"/>
    <n v="0"/>
    <n v="0"/>
    <n v="0"/>
    <n v="0"/>
    <n v="0"/>
    <n v="0"/>
    <n v="0"/>
    <n v="0"/>
    <n v="0"/>
  </r>
  <r>
    <s v="PAP/BIA"/>
    <s v="BIA"/>
    <x v="2"/>
    <x v="1"/>
    <x v="81"/>
    <x v="2"/>
    <s v="Bastia - Poretta"/>
    <n v="7965"/>
    <n v="19.5"/>
    <m/>
    <n v="0"/>
    <m/>
    <n v="0"/>
    <n v="0"/>
    <n v="0"/>
    <n v="0"/>
    <n v="0"/>
    <n v="0"/>
    <n v="0"/>
    <n v="0"/>
    <n v="0"/>
    <n v="0"/>
  </r>
  <r>
    <s v="PAP/ERF"/>
    <s v="ERF"/>
    <x v="2"/>
    <x v="1"/>
    <x v="58"/>
    <x v="2"/>
    <s v="Erfurt-Weimar"/>
    <n v="7950"/>
    <n v="19.5"/>
    <m/>
    <n v="0"/>
    <m/>
    <n v="0"/>
    <n v="0"/>
    <n v="0"/>
    <n v="0"/>
    <n v="0"/>
    <n v="0"/>
    <n v="0"/>
    <n v="0"/>
    <n v="0"/>
    <n v="0"/>
  </r>
  <r>
    <s v="PAP/FMM"/>
    <s v="FMM"/>
    <x v="2"/>
    <x v="1"/>
    <x v="58"/>
    <x v="2"/>
    <s v="Memmingen - Allgaeu Airport"/>
    <n v="7939"/>
    <n v="19.5"/>
    <m/>
    <n v="0"/>
    <m/>
    <n v="0"/>
    <n v="0"/>
    <n v="0"/>
    <n v="0"/>
    <n v="0"/>
    <n v="0"/>
    <n v="0"/>
    <n v="0"/>
    <n v="0"/>
    <n v="0"/>
  </r>
  <r>
    <s v="PAP/AKN"/>
    <s v="AKN"/>
    <x v="2"/>
    <x v="1"/>
    <x v="9"/>
    <x v="3"/>
    <s v="King Salmon"/>
    <n v="7930"/>
    <n v="19.5"/>
    <m/>
    <n v="0"/>
    <m/>
    <n v="0"/>
    <n v="0"/>
    <n v="0"/>
    <n v="0"/>
    <n v="0"/>
    <n v="0"/>
    <n v="0"/>
    <n v="0"/>
    <n v="0"/>
    <n v="0"/>
  </r>
  <r>
    <s v="PAP/ELU"/>
    <s v="ELU"/>
    <x v="2"/>
    <x v="4"/>
    <x v="61"/>
    <x v="5"/>
    <s v="El Oued - Guemar"/>
    <n v="7896"/>
    <n v="19.5"/>
    <m/>
    <n v="0"/>
    <m/>
    <n v="0"/>
    <n v="0"/>
    <n v="0"/>
    <n v="0"/>
    <n v="0"/>
    <n v="0"/>
    <n v="0"/>
    <n v="0"/>
    <n v="0"/>
    <n v="0"/>
  </r>
  <r>
    <s v="PAP/HAJ"/>
    <s v="HAJ"/>
    <x v="2"/>
    <x v="0"/>
    <x v="58"/>
    <x v="2"/>
    <s v="Hannover - Airport"/>
    <n v="7846"/>
    <n v="19.25"/>
    <m/>
    <n v="0"/>
    <m/>
    <n v="0"/>
    <n v="0"/>
    <n v="0"/>
    <n v="0"/>
    <n v="0"/>
    <n v="0"/>
    <n v="0"/>
    <n v="0"/>
    <n v="0"/>
    <n v="0"/>
  </r>
  <r>
    <s v="PAP/MLH"/>
    <s v="MLH"/>
    <x v="2"/>
    <x v="0"/>
    <x v="81"/>
    <x v="2"/>
    <s v="Mulhouse/Basel - EuroAirport French FR"/>
    <n v="7744"/>
    <n v="19.25"/>
    <m/>
    <n v="0"/>
    <m/>
    <n v="0"/>
    <n v="0"/>
    <n v="0"/>
    <n v="0"/>
    <n v="0"/>
    <n v="0"/>
    <n v="0"/>
    <n v="0"/>
    <n v="0"/>
    <n v="0"/>
  </r>
  <r>
    <s v="PAP/TRN"/>
    <s v="TRN"/>
    <x v="2"/>
    <x v="0"/>
    <x v="96"/>
    <x v="2"/>
    <s v="Turin - Caselle"/>
    <n v="7780"/>
    <n v="19.25"/>
    <m/>
    <n v="0"/>
    <m/>
    <n v="0"/>
    <n v="0"/>
    <n v="0"/>
    <n v="0"/>
    <n v="0"/>
    <n v="0"/>
    <n v="0"/>
    <n v="0"/>
    <n v="0"/>
    <n v="0"/>
  </r>
  <r>
    <s v="PAP/BLJ"/>
    <s v="BLJ"/>
    <x v="2"/>
    <x v="1"/>
    <x v="61"/>
    <x v="5"/>
    <s v="Batna - Mostepha Ben Boulaid"/>
    <n v="7812"/>
    <n v="19.25"/>
    <m/>
    <n v="0"/>
    <m/>
    <n v="0"/>
    <n v="0"/>
    <n v="0"/>
    <n v="0"/>
    <n v="0"/>
    <n v="0"/>
    <n v="0"/>
    <n v="0"/>
    <n v="0"/>
    <n v="0"/>
  </r>
  <r>
    <s v="PAP/CZL"/>
    <s v="CZL"/>
    <x v="2"/>
    <x v="1"/>
    <x v="61"/>
    <x v="5"/>
    <s v="Constantine - Mohamed Boudiaf"/>
    <n v="7829"/>
    <n v="19.25"/>
    <m/>
    <n v="0"/>
    <m/>
    <n v="0"/>
    <n v="0"/>
    <n v="0"/>
    <n v="0"/>
    <n v="0"/>
    <n v="0"/>
    <n v="0"/>
    <n v="0"/>
    <n v="0"/>
    <n v="0"/>
  </r>
  <r>
    <s v="PAP/EBJ"/>
    <s v="EBJ"/>
    <x v="2"/>
    <x v="1"/>
    <x v="78"/>
    <x v="2"/>
    <s v="Esbjerg - Airport"/>
    <n v="7745"/>
    <n v="19.25"/>
    <m/>
    <n v="0"/>
    <m/>
    <n v="0"/>
    <n v="0"/>
    <n v="0"/>
    <n v="0"/>
    <n v="0"/>
    <n v="0"/>
    <n v="0"/>
    <n v="0"/>
    <n v="0"/>
    <n v="0"/>
  </r>
  <r>
    <s v="PAP/FKB"/>
    <s v="FKB"/>
    <x v="2"/>
    <x v="1"/>
    <x v="58"/>
    <x v="2"/>
    <s v="Karlsruhe/Baden-Baden - Baden Airpark"/>
    <n v="7771"/>
    <n v="19.25"/>
    <m/>
    <n v="0"/>
    <m/>
    <n v="0"/>
    <n v="0"/>
    <n v="0"/>
    <n v="0"/>
    <n v="0"/>
    <n v="0"/>
    <n v="0"/>
    <n v="0"/>
    <n v="0"/>
    <n v="0"/>
  </r>
  <r>
    <s v="PAP/KRP"/>
    <s v="KRP"/>
    <x v="2"/>
    <x v="1"/>
    <x v="78"/>
    <x v="2"/>
    <s v="Karup - Midtjyllands"/>
    <n v="7775"/>
    <n v="19.25"/>
    <m/>
    <n v="0"/>
    <m/>
    <n v="0"/>
    <n v="0"/>
    <n v="0"/>
    <n v="0"/>
    <n v="0"/>
    <n v="0"/>
    <n v="0"/>
    <n v="0"/>
    <n v="0"/>
    <n v="0"/>
  </r>
  <r>
    <s v="PAP/BSK"/>
    <s v="BSK"/>
    <x v="2"/>
    <x v="4"/>
    <x v="61"/>
    <x v="5"/>
    <s v="Biskra - Mohamed Khider"/>
    <n v="7777"/>
    <n v="19.25"/>
    <m/>
    <n v="0"/>
    <m/>
    <n v="0"/>
    <n v="0"/>
    <n v="0"/>
    <n v="0"/>
    <n v="0"/>
    <n v="0"/>
    <n v="0"/>
    <n v="0"/>
    <n v="0"/>
    <n v="0"/>
  </r>
  <r>
    <s v="PAP/OGX"/>
    <s v="OGX"/>
    <x v="2"/>
    <x v="4"/>
    <x v="61"/>
    <x v="5"/>
    <s v="Ouargla - Ain el Beida"/>
    <n v="7800"/>
    <n v="19.25"/>
    <m/>
    <n v="0"/>
    <m/>
    <n v="0"/>
    <n v="0"/>
    <n v="0"/>
    <n v="0"/>
    <n v="0"/>
    <n v="0"/>
    <n v="0"/>
    <n v="0"/>
    <n v="0"/>
    <n v="0"/>
  </r>
  <r>
    <s v="PAP/OLA"/>
    <s v="OLA"/>
    <x v="2"/>
    <x v="4"/>
    <x v="22"/>
    <x v="2"/>
    <s v="Orland"/>
    <n v="7766"/>
    <n v="19.25"/>
    <m/>
    <n v="0"/>
    <m/>
    <n v="0"/>
    <n v="0"/>
    <n v="0"/>
    <n v="0"/>
    <n v="0"/>
    <n v="0"/>
    <n v="0"/>
    <n v="0"/>
    <n v="0"/>
    <n v="0"/>
  </r>
  <r>
    <s v="PAP/ETZ"/>
    <s v="ETZ"/>
    <x v="2"/>
    <x v="1"/>
    <x v="81"/>
    <x v="2"/>
    <s v="Metz/Nancy - Lorraine"/>
    <n v="7636"/>
    <n v="19"/>
    <m/>
    <n v="0"/>
    <m/>
    <n v="0"/>
    <n v="0"/>
    <n v="0"/>
    <n v="0"/>
    <n v="0"/>
    <n v="0"/>
    <n v="0"/>
    <n v="0"/>
    <n v="0"/>
    <n v="0"/>
  </r>
  <r>
    <s v="PAP/ZQW"/>
    <s v="ZQW"/>
    <x v="2"/>
    <x v="1"/>
    <x v="58"/>
    <x v="2"/>
    <s v="Saarbruecken - Zweibruecken"/>
    <n v="7717"/>
    <n v="19"/>
    <m/>
    <n v="0"/>
    <m/>
    <n v="0"/>
    <n v="0"/>
    <n v="0"/>
    <n v="0"/>
    <n v="0"/>
    <n v="0"/>
    <n v="0"/>
    <n v="0"/>
    <n v="0"/>
    <n v="0"/>
  </r>
  <r>
    <s v="PAP/HHN"/>
    <s v="HHN"/>
    <x v="2"/>
    <x v="5"/>
    <x v="58"/>
    <x v="2"/>
    <s v="Frankfurt-Hahn Airport"/>
    <n v="7701"/>
    <n v="19"/>
    <m/>
    <n v="0"/>
    <m/>
    <n v="0"/>
    <n v="0"/>
    <n v="0"/>
    <n v="0"/>
    <n v="0"/>
    <n v="0"/>
    <n v="0"/>
    <n v="0"/>
    <n v="0"/>
    <n v="0"/>
  </r>
  <r>
    <s v="PAP/ANC"/>
    <s v="ANC"/>
    <x v="2"/>
    <x v="0"/>
    <x v="9"/>
    <x v="3"/>
    <s v="Anchorage - Metropolitan Area"/>
    <n v="7550"/>
    <n v="18.75"/>
    <m/>
    <n v="0"/>
    <m/>
    <n v="0"/>
    <n v="0"/>
    <n v="0"/>
    <n v="0"/>
    <n v="0"/>
    <n v="0"/>
    <n v="0"/>
    <n v="0"/>
    <n v="0"/>
    <n v="0"/>
  </r>
  <r>
    <s v="PAP/ABJ"/>
    <s v="ABJ"/>
    <x v="2"/>
    <x v="1"/>
    <x v="160"/>
    <x v="5"/>
    <s v="Abidjan - Felix Houphouet-Boigny"/>
    <n v="7545"/>
    <n v="18.75"/>
    <m/>
    <n v="0"/>
    <m/>
    <n v="0"/>
    <n v="0"/>
    <n v="0"/>
    <n v="0"/>
    <n v="0"/>
    <n v="0"/>
    <n v="0"/>
    <n v="0"/>
    <n v="0"/>
    <n v="0"/>
  </r>
  <r>
    <s v="PAP/GNB"/>
    <s v="GNB"/>
    <x v="2"/>
    <x v="1"/>
    <x v="81"/>
    <x v="2"/>
    <s v="Lyon - Grenoble-Isere"/>
    <n v="7598"/>
    <n v="18.75"/>
    <m/>
    <n v="0"/>
    <m/>
    <n v="0"/>
    <n v="0"/>
    <n v="0"/>
    <n v="0"/>
    <n v="0"/>
    <n v="0"/>
    <n v="0"/>
    <n v="0"/>
    <n v="0"/>
    <n v="0"/>
  </r>
  <r>
    <s v="PAP/LGG"/>
    <s v="LGG"/>
    <x v="2"/>
    <x v="1"/>
    <x v="32"/>
    <x v="2"/>
    <s v="Liege - Airport"/>
    <n v="7567"/>
    <n v="18.75"/>
    <m/>
    <n v="0"/>
    <m/>
    <n v="0"/>
    <n v="0"/>
    <n v="0"/>
    <n v="0"/>
    <n v="0"/>
    <n v="0"/>
    <n v="0"/>
    <n v="0"/>
    <n v="0"/>
    <n v="0"/>
  </r>
  <r>
    <s v="PAP/HRM"/>
    <s v="HRM"/>
    <x v="2"/>
    <x v="4"/>
    <x v="61"/>
    <x v="5"/>
    <s v="Hassi R'mel - Tilrempt"/>
    <n v="7588"/>
    <n v="18.75"/>
    <m/>
    <n v="0"/>
    <m/>
    <n v="0"/>
    <n v="0"/>
    <n v="0"/>
    <n v="0"/>
    <n v="0"/>
    <n v="0"/>
    <n v="0"/>
    <n v="0"/>
    <n v="0"/>
    <n v="0"/>
  </r>
  <r>
    <s v="PAP/MPL"/>
    <s v="MPL"/>
    <x v="2"/>
    <x v="0"/>
    <x v="81"/>
    <x v="2"/>
    <s v="Montpellier - Mediterranee"/>
    <n v="7507"/>
    <n v="18.5"/>
    <m/>
    <n v="0"/>
    <m/>
    <n v="0"/>
    <n v="0"/>
    <n v="0"/>
    <n v="0"/>
    <n v="0"/>
    <n v="0"/>
    <n v="0"/>
    <n v="0"/>
    <n v="0"/>
    <n v="0"/>
  </r>
  <r>
    <s v="PAP/CFE"/>
    <s v="CFE"/>
    <x v="2"/>
    <x v="1"/>
    <x v="81"/>
    <x v="2"/>
    <s v="Clermont-Ferrand - Auvergne"/>
    <n v="7426"/>
    <n v="18.5"/>
    <m/>
    <n v="0"/>
    <m/>
    <n v="0"/>
    <n v="0"/>
    <n v="0"/>
    <n v="0"/>
    <n v="0"/>
    <n v="0"/>
    <n v="0"/>
    <n v="0"/>
    <n v="0"/>
    <n v="0"/>
  </r>
  <r>
    <s v="PAP/FAI"/>
    <s v="FAI"/>
    <x v="2"/>
    <x v="1"/>
    <x v="9"/>
    <x v="3"/>
    <s v="Fairbanks - Metropolitan Area"/>
    <n v="7464"/>
    <n v="18.5"/>
    <m/>
    <n v="0"/>
    <m/>
    <n v="0"/>
    <n v="0"/>
    <n v="0"/>
    <n v="0"/>
    <n v="0"/>
    <n v="0"/>
    <n v="0"/>
    <n v="0"/>
    <n v="0"/>
    <n v="0"/>
  </r>
  <r>
    <s v="PAP/XCR"/>
    <s v="XCR"/>
    <x v="2"/>
    <x v="4"/>
    <x v="81"/>
    <x v="2"/>
    <s v="Paris - Chalons-Vatry"/>
    <n v="7488"/>
    <n v="18.5"/>
    <m/>
    <n v="0"/>
    <m/>
    <n v="0"/>
    <n v="0"/>
    <n v="0"/>
    <n v="0"/>
    <n v="0"/>
    <n v="0"/>
    <n v="0"/>
    <n v="0"/>
    <n v="0"/>
    <n v="0"/>
  </r>
  <r>
    <s v="PAP/LIL"/>
    <s v="LIL"/>
    <x v="2"/>
    <x v="1"/>
    <x v="81"/>
    <x v="2"/>
    <s v="Lille - Lesquin"/>
    <n v="7401"/>
    <n v="18.25"/>
    <m/>
    <n v="0"/>
    <m/>
    <n v="0"/>
    <n v="0"/>
    <n v="0"/>
    <n v="0"/>
    <n v="0"/>
    <n v="0"/>
    <n v="0"/>
    <n v="0"/>
    <n v="0"/>
    <n v="0"/>
  </r>
  <r>
    <s v="PAP/OST"/>
    <s v="OST"/>
    <x v="2"/>
    <x v="1"/>
    <x v="32"/>
    <x v="2"/>
    <s v="Oostende/Brugge - Airport"/>
    <n v="7385"/>
    <n v="18.25"/>
    <m/>
    <n v="0"/>
    <m/>
    <n v="0"/>
    <n v="0"/>
    <n v="0"/>
    <n v="0"/>
    <n v="0"/>
    <n v="0"/>
    <n v="0"/>
    <n v="0"/>
    <n v="0"/>
    <n v="0"/>
  </r>
  <r>
    <s v="PAP/ASK"/>
    <s v="ASK"/>
    <x v="2"/>
    <x v="4"/>
    <x v="160"/>
    <x v="5"/>
    <s v="Yamoussoukro"/>
    <n v="7338"/>
    <n v="18.25"/>
    <m/>
    <n v="0"/>
    <m/>
    <n v="0"/>
    <n v="0"/>
    <n v="0"/>
    <n v="0"/>
    <n v="0"/>
    <n v="0"/>
    <n v="0"/>
    <n v="0"/>
    <n v="0"/>
    <n v="0"/>
  </r>
  <r>
    <s v="PAP/AZR"/>
    <s v="AZR"/>
    <x v="2"/>
    <x v="4"/>
    <x v="61"/>
    <x v="5"/>
    <s v="Adrar - Touat"/>
    <n v="7343"/>
    <n v="18.25"/>
    <m/>
    <n v="0"/>
    <m/>
    <n v="0"/>
    <n v="0"/>
    <n v="0"/>
    <n v="0"/>
    <n v="0"/>
    <n v="0"/>
    <n v="0"/>
    <n v="0"/>
    <n v="0"/>
    <n v="0"/>
  </r>
  <r>
    <s v="PAP/CHR"/>
    <s v="CHR"/>
    <x v="2"/>
    <x v="4"/>
    <x v="81"/>
    <x v="2"/>
    <s v="Chateauroux - Deols"/>
    <n v="7311"/>
    <n v="18.25"/>
    <m/>
    <n v="0"/>
    <m/>
    <n v="0"/>
    <n v="0"/>
    <n v="0"/>
    <n v="0"/>
    <n v="0"/>
    <n v="0"/>
    <n v="0"/>
    <n v="0"/>
    <n v="0"/>
    <n v="0"/>
  </r>
  <r>
    <s v="PAP/ORN"/>
    <s v="ORN"/>
    <x v="2"/>
    <x v="1"/>
    <x v="61"/>
    <x v="5"/>
    <s v="Oran - Metropolitan Area"/>
    <n v="7193"/>
    <n v="18"/>
    <m/>
    <n v="0"/>
    <m/>
    <n v="0"/>
    <n v="0"/>
    <n v="0"/>
    <n v="0"/>
    <n v="0"/>
    <n v="0"/>
    <n v="0"/>
    <n v="0"/>
    <n v="0"/>
    <n v="0"/>
  </r>
  <r>
    <s v="PAP/DOL"/>
    <s v="DOL"/>
    <x v="2"/>
    <x v="1"/>
    <x v="81"/>
    <x v="2"/>
    <s v="Deauville - St Gatien"/>
    <n v="7192"/>
    <n v="18"/>
    <m/>
    <n v="0"/>
    <m/>
    <n v="0"/>
    <n v="0"/>
    <n v="0"/>
    <n v="0"/>
    <n v="0"/>
    <n v="0"/>
    <n v="0"/>
    <n v="0"/>
    <n v="0"/>
    <n v="0"/>
  </r>
  <r>
    <s v="PAP/LDE"/>
    <s v="LDE"/>
    <x v="2"/>
    <x v="1"/>
    <x v="81"/>
    <x v="2"/>
    <s v="Lourdes/Tarbes - Pyrenees"/>
    <n v="7189"/>
    <n v="18"/>
    <m/>
    <n v="0"/>
    <m/>
    <n v="0"/>
    <n v="0"/>
    <n v="0"/>
    <n v="0"/>
    <n v="0"/>
    <n v="0"/>
    <n v="0"/>
    <n v="0"/>
    <n v="0"/>
    <n v="0"/>
  </r>
  <r>
    <s v="PAP/MSE"/>
    <s v="MSE"/>
    <x v="2"/>
    <x v="4"/>
    <x v="55"/>
    <x v="2"/>
    <s v="Manston - Kent International"/>
    <n v="7278"/>
    <n v="18"/>
    <m/>
    <n v="0"/>
    <m/>
    <n v="0"/>
    <n v="0"/>
    <n v="0"/>
    <n v="0"/>
    <n v="0"/>
    <n v="0"/>
    <n v="0"/>
    <n v="0"/>
    <n v="0"/>
    <n v="0"/>
  </r>
  <r>
    <s v="PAP/BOD"/>
    <s v="BOD"/>
    <x v="2"/>
    <x v="0"/>
    <x v="81"/>
    <x v="2"/>
    <s v="Bordeaux - Merignac"/>
    <n v="7127"/>
    <n v="17.75"/>
    <m/>
    <n v="0"/>
    <m/>
    <n v="0"/>
    <n v="0"/>
    <n v="0"/>
    <n v="0"/>
    <n v="0"/>
    <n v="0"/>
    <n v="0"/>
    <n v="0"/>
    <n v="0"/>
    <n v="0"/>
  </r>
  <r>
    <s v="PAP/EMA"/>
    <s v="EMA"/>
    <x v="2"/>
    <x v="0"/>
    <x v="55"/>
    <x v="2"/>
    <s v="Nottingham - East Midlands"/>
    <n v="7102"/>
    <n v="17.75"/>
    <m/>
    <n v="0"/>
    <m/>
    <n v="0"/>
    <n v="0"/>
    <n v="0"/>
    <n v="0"/>
    <n v="0"/>
    <n v="0"/>
    <n v="0"/>
    <n v="0"/>
    <n v="0"/>
    <n v="0"/>
  </r>
  <r>
    <s v="PAP/TLM"/>
    <s v="TLM"/>
    <x v="2"/>
    <x v="1"/>
    <x v="61"/>
    <x v="5"/>
    <s v="Tlemcen - Zenata-Messali El Hadj"/>
    <n v="7123"/>
    <n v="17.75"/>
    <m/>
    <n v="0"/>
    <m/>
    <n v="0"/>
    <n v="0"/>
    <n v="0"/>
    <n v="0"/>
    <n v="0"/>
    <n v="0"/>
    <n v="0"/>
    <n v="0"/>
    <n v="0"/>
    <n v="0"/>
  </r>
  <r>
    <s v="PAP/DSA"/>
    <s v="DSA"/>
    <x v="2"/>
    <x v="1"/>
    <x v="55"/>
    <x v="2"/>
    <s v="Doncaster/Sheffield - Robin Hood"/>
    <n v="7127"/>
    <n v="17.75"/>
    <m/>
    <n v="0"/>
    <m/>
    <n v="0"/>
    <n v="0"/>
    <n v="0"/>
    <n v="0"/>
    <n v="0"/>
    <n v="0"/>
    <n v="0"/>
    <n v="0"/>
    <n v="0"/>
    <n v="0"/>
  </r>
  <r>
    <s v="PAP/ZAZ"/>
    <s v="ZAZ"/>
    <x v="2"/>
    <x v="1"/>
    <x v="37"/>
    <x v="2"/>
    <s v="Zaragoza - Airport"/>
    <n v="7111"/>
    <n v="17.75"/>
    <m/>
    <n v="0"/>
    <m/>
    <n v="0"/>
    <n v="0"/>
    <n v="0"/>
    <n v="0"/>
    <n v="0"/>
    <n v="0"/>
    <n v="0"/>
    <n v="0"/>
    <n v="0"/>
    <n v="0"/>
  </r>
  <r>
    <s v="PAP/CBH"/>
    <s v="CBH"/>
    <x v="2"/>
    <x v="4"/>
    <x v="61"/>
    <x v="5"/>
    <s v="Bechar - Boudghene B. Ali Lotfi"/>
    <n v="7086"/>
    <n v="17.75"/>
    <m/>
    <n v="0"/>
    <m/>
    <n v="0"/>
    <n v="0"/>
    <n v="0"/>
    <n v="0"/>
    <n v="0"/>
    <n v="0"/>
    <n v="0"/>
    <n v="0"/>
    <n v="0"/>
    <n v="0"/>
  </r>
  <r>
    <s v="PAP/NTE"/>
    <s v="NTE"/>
    <x v="2"/>
    <x v="0"/>
    <x v="81"/>
    <x v="2"/>
    <s v="Nantes - Atlantique"/>
    <n v="7058"/>
    <n v="17.5"/>
    <m/>
    <n v="0"/>
    <m/>
    <n v="0"/>
    <n v="0"/>
    <n v="0"/>
    <n v="0"/>
    <n v="0"/>
    <n v="0"/>
    <n v="0"/>
    <n v="0"/>
    <n v="0"/>
    <n v="0"/>
  </r>
  <r>
    <s v="PAP/LEI"/>
    <s v="LEI"/>
    <x v="2"/>
    <x v="1"/>
    <x v="37"/>
    <x v="2"/>
    <s v="Almeria - Airport"/>
    <n v="7025"/>
    <n v="17.5"/>
    <m/>
    <n v="0"/>
    <m/>
    <n v="0"/>
    <n v="0"/>
    <n v="0"/>
    <n v="0"/>
    <n v="0"/>
    <n v="0"/>
    <n v="0"/>
    <n v="0"/>
    <n v="0"/>
    <n v="0"/>
  </r>
  <r>
    <s v="PAP/ABC"/>
    <s v="ABC"/>
    <x v="2"/>
    <x v="4"/>
    <x v="37"/>
    <x v="2"/>
    <s v="Albacete - Airport"/>
    <n v="7055"/>
    <n v="17.5"/>
    <m/>
    <n v="0"/>
    <m/>
    <n v="0"/>
    <n v="0"/>
    <n v="0"/>
    <n v="0"/>
    <n v="0"/>
    <n v="0"/>
    <n v="0"/>
    <n v="0"/>
    <n v="0"/>
    <n v="0"/>
  </r>
  <r>
    <s v="PAP/VIT"/>
    <s v="VIT"/>
    <x v="2"/>
    <x v="4"/>
    <x v="37"/>
    <x v="2"/>
    <s v="Vitoria - Airport"/>
    <n v="6969"/>
    <n v="17.5"/>
    <m/>
    <n v="0"/>
    <m/>
    <n v="0"/>
    <n v="0"/>
    <n v="0"/>
    <n v="0"/>
    <n v="0"/>
    <n v="0"/>
    <n v="0"/>
    <n v="0"/>
    <n v="0"/>
    <n v="0"/>
  </r>
  <r>
    <s v="PAP/PIK"/>
    <s v="PIK"/>
    <x v="2"/>
    <x v="0"/>
    <x v="55"/>
    <x v="2"/>
    <s v="Glasgow - Prestwick"/>
    <n v="6918"/>
    <n v="17.25"/>
    <m/>
    <n v="0"/>
    <m/>
    <n v="0"/>
    <n v="0"/>
    <n v="0"/>
    <n v="0"/>
    <n v="0"/>
    <n v="0"/>
    <n v="0"/>
    <n v="0"/>
    <n v="0"/>
    <n v="0"/>
  </r>
  <r>
    <s v="PAP/ROB"/>
    <s v="ROB"/>
    <x v="2"/>
    <x v="1"/>
    <x v="161"/>
    <x v="5"/>
    <s v="Monrovia - Roberts Intl"/>
    <n v="6834"/>
    <n v="17.25"/>
    <m/>
    <n v="0"/>
    <m/>
    <n v="0"/>
    <n v="0"/>
    <n v="0"/>
    <n v="0"/>
    <n v="0"/>
    <n v="0"/>
    <n v="0"/>
    <n v="0"/>
    <n v="0"/>
    <n v="0"/>
  </r>
  <r>
    <s v="PAP/BES"/>
    <s v="BES"/>
    <x v="2"/>
    <x v="1"/>
    <x v="81"/>
    <x v="2"/>
    <s v="Brest - Bretagne"/>
    <n v="6854"/>
    <n v="17.25"/>
    <m/>
    <n v="0"/>
    <m/>
    <n v="0"/>
    <n v="0"/>
    <n v="0"/>
    <n v="0"/>
    <n v="0"/>
    <n v="0"/>
    <n v="0"/>
    <n v="0"/>
    <n v="0"/>
    <n v="0"/>
  </r>
  <r>
    <s v="PAP/CAL"/>
    <s v="CAL"/>
    <x v="2"/>
    <x v="4"/>
    <x v="55"/>
    <x v="2"/>
    <s v="Campbeltown"/>
    <n v="6849"/>
    <n v="17.25"/>
    <m/>
    <n v="0"/>
    <m/>
    <n v="0"/>
    <n v="0"/>
    <n v="0"/>
    <n v="0"/>
    <n v="0"/>
    <n v="0"/>
    <n v="0"/>
    <n v="0"/>
    <n v="0"/>
    <n v="0"/>
  </r>
  <r>
    <s v="PAP/BFS"/>
    <s v="BFS"/>
    <x v="2"/>
    <x v="0"/>
    <x v="55"/>
    <x v="2"/>
    <s v="Belfast - Metropolitan Area"/>
    <n v="6803"/>
    <n v="17"/>
    <m/>
    <n v="0"/>
    <m/>
    <n v="0"/>
    <n v="0"/>
    <n v="0"/>
    <n v="0"/>
    <n v="0"/>
    <n v="0"/>
    <n v="0"/>
    <n v="0"/>
    <n v="0"/>
    <n v="0"/>
  </r>
  <r>
    <s v="PAP/NQY"/>
    <s v="NQY"/>
    <x v="2"/>
    <x v="1"/>
    <x v="55"/>
    <x v="2"/>
    <s v="Newquay - Cornwall"/>
    <n v="6829"/>
    <n v="17"/>
    <m/>
    <n v="0"/>
    <m/>
    <n v="0"/>
    <n v="0"/>
    <n v="0"/>
    <n v="0"/>
    <n v="0"/>
    <n v="0"/>
    <n v="0"/>
    <n v="0"/>
    <n v="0"/>
    <n v="0"/>
  </r>
  <r>
    <s v="PAP/VLL"/>
    <s v="VLL"/>
    <x v="2"/>
    <x v="1"/>
    <x v="37"/>
    <x v="2"/>
    <s v="Valladolid - Airport"/>
    <n v="6794"/>
    <n v="17"/>
    <m/>
    <n v="0"/>
    <m/>
    <n v="0"/>
    <n v="0"/>
    <n v="0"/>
    <n v="0"/>
    <n v="0"/>
    <n v="0"/>
    <n v="0"/>
    <n v="0"/>
    <n v="0"/>
    <n v="0"/>
  </r>
  <r>
    <s v="PAP/YXY"/>
    <s v="YXY"/>
    <x v="2"/>
    <x v="1"/>
    <x v="2"/>
    <x v="1"/>
    <s v="Whitehorse - Erik Nielsen Intl"/>
    <n v="6746"/>
    <n v="17"/>
    <m/>
    <n v="0"/>
    <m/>
    <n v="0"/>
    <n v="0"/>
    <n v="0"/>
    <n v="0"/>
    <n v="0"/>
    <n v="0"/>
    <n v="0"/>
    <n v="0"/>
    <n v="0"/>
    <n v="0"/>
  </r>
  <r>
    <s v="PAP/BJZ"/>
    <s v="BJZ"/>
    <x v="2"/>
    <x v="1"/>
    <x v="37"/>
    <x v="2"/>
    <s v="Badajoz - Airport"/>
    <n v="6626"/>
    <n v="16.75"/>
    <m/>
    <n v="0"/>
    <m/>
    <n v="0"/>
    <n v="0"/>
    <n v="0"/>
    <n v="0"/>
    <n v="0"/>
    <n v="0"/>
    <n v="0"/>
    <n v="0"/>
    <n v="0"/>
    <n v="0"/>
  </r>
  <r>
    <s v="PAP/VDM"/>
    <s v="VDM"/>
    <x v="2"/>
    <x v="4"/>
    <x v="30"/>
    <x v="0"/>
    <s v="Viedma - Gobernador E. Castello"/>
    <n v="6681"/>
    <n v="16.75"/>
    <m/>
    <n v="0"/>
    <m/>
    <n v="0"/>
    <n v="0"/>
    <n v="0"/>
    <n v="0"/>
    <n v="0"/>
    <n v="0"/>
    <n v="0"/>
    <n v="0"/>
    <n v="0"/>
    <n v="0"/>
  </r>
  <r>
    <s v="PAP/JNU"/>
    <s v="JNU"/>
    <x v="2"/>
    <x v="5"/>
    <x v="9"/>
    <x v="3"/>
    <s v="Juneau - International"/>
    <n v="6654"/>
    <n v="16.75"/>
    <m/>
    <n v="0"/>
    <m/>
    <n v="0"/>
    <n v="0"/>
    <n v="0"/>
    <n v="0"/>
    <n v="0"/>
    <n v="0"/>
    <n v="0"/>
    <n v="0"/>
    <n v="0"/>
    <n v="0"/>
  </r>
  <r>
    <s v="PAP/TIN"/>
    <s v="TIN"/>
    <x v="2"/>
    <x v="4"/>
    <x v="61"/>
    <x v="5"/>
    <s v="Tindouf"/>
    <n v="6567"/>
    <n v="16.5"/>
    <m/>
    <n v="0"/>
    <m/>
    <n v="0"/>
    <n v="0"/>
    <n v="0"/>
    <n v="0"/>
    <n v="0"/>
    <n v="0"/>
    <n v="0"/>
    <n v="0"/>
    <n v="0"/>
    <n v="0"/>
  </r>
  <r>
    <s v="PAP/CKY"/>
    <s v="CKY"/>
    <x v="2"/>
    <x v="1"/>
    <x v="162"/>
    <x v="5"/>
    <s v="Conakry - International"/>
    <n v="6383"/>
    <n v="16.25"/>
    <m/>
    <n v="0"/>
    <m/>
    <n v="0"/>
    <n v="0"/>
    <n v="0"/>
    <n v="0"/>
    <n v="0"/>
    <n v="0"/>
    <n v="0"/>
    <n v="0"/>
    <n v="0"/>
    <n v="0"/>
  </r>
  <r>
    <s v="PAP/BJL"/>
    <s v="BJL"/>
    <x v="2"/>
    <x v="1"/>
    <x v="163"/>
    <x v="5"/>
    <s v="Banjul - International"/>
    <n v="5956"/>
    <n v="15.25"/>
    <m/>
    <n v="0"/>
    <m/>
    <n v="0"/>
    <n v="0"/>
    <n v="0"/>
    <n v="0"/>
    <n v="0"/>
    <n v="0"/>
    <n v="0"/>
    <n v="0"/>
    <n v="0"/>
    <n v="0"/>
  </r>
  <r>
    <s v="PAP/LGS"/>
    <s v="LGS"/>
    <x v="2"/>
    <x v="4"/>
    <x v="30"/>
    <x v="0"/>
    <s v="Malargue - Comodoro D.R. Salomon"/>
    <n v="6021"/>
    <n v="15.25"/>
    <m/>
    <n v="0"/>
    <m/>
    <n v="0"/>
    <n v="0"/>
    <n v="0"/>
    <n v="0"/>
    <n v="0"/>
    <n v="0"/>
    <n v="0"/>
    <n v="0"/>
    <n v="0"/>
    <n v="0"/>
  </r>
  <r>
    <s v="PAP/PXO"/>
    <s v="PXO"/>
    <x v="2"/>
    <x v="1"/>
    <x v="25"/>
    <x v="2"/>
    <s v="Porto Santo - Airport"/>
    <n v="5759"/>
    <n v="14.75"/>
    <m/>
    <n v="0"/>
    <m/>
    <n v="0"/>
    <n v="0"/>
    <n v="0"/>
    <n v="0"/>
    <n v="0"/>
    <n v="0"/>
    <n v="0"/>
    <n v="0"/>
    <n v="0"/>
    <n v="0"/>
  </r>
  <r>
    <s v="PAP/YQQ"/>
    <s v="YQQ"/>
    <x v="2"/>
    <x v="1"/>
    <x v="2"/>
    <x v="1"/>
    <s v="Comox"/>
    <n v="5786"/>
    <n v="14.75"/>
    <m/>
    <n v="0"/>
    <m/>
    <n v="0"/>
    <n v="0"/>
    <n v="0"/>
    <n v="0"/>
    <n v="0"/>
    <n v="0"/>
    <n v="0"/>
    <n v="0"/>
    <n v="0"/>
    <n v="0"/>
  </r>
  <r>
    <s v="PAP/YXS"/>
    <s v="YXS"/>
    <x v="2"/>
    <x v="1"/>
    <x v="2"/>
    <x v="1"/>
    <s v="Prince George - Airport"/>
    <n v="5800"/>
    <n v="14.75"/>
    <m/>
    <n v="0"/>
    <m/>
    <n v="0"/>
    <n v="0"/>
    <n v="0"/>
    <n v="0"/>
    <n v="0"/>
    <n v="0"/>
    <n v="0"/>
    <n v="0"/>
    <n v="0"/>
    <n v="0"/>
  </r>
  <r>
    <s v="PAP/LUQ"/>
    <s v="LUQ"/>
    <x v="2"/>
    <x v="4"/>
    <x v="30"/>
    <x v="0"/>
    <s v="San Luis - D. Cesar Raul Ojeda"/>
    <n v="5801"/>
    <n v="14.75"/>
    <m/>
    <n v="0"/>
    <m/>
    <n v="0"/>
    <n v="0"/>
    <n v="0"/>
    <n v="0"/>
    <n v="0"/>
    <n v="0"/>
    <n v="0"/>
    <n v="0"/>
    <n v="0"/>
    <n v="0"/>
  </r>
  <r>
    <s v="PAP/SFJ"/>
    <s v="SFJ"/>
    <x v="2"/>
    <x v="1"/>
    <x v="164"/>
    <x v="1"/>
    <s v="Kangerlussuaq"/>
    <n v="5605"/>
    <n v="14.5"/>
    <m/>
    <n v="0"/>
    <m/>
    <n v="0"/>
    <n v="0"/>
    <n v="0"/>
    <n v="0"/>
    <n v="0"/>
    <n v="0"/>
    <n v="0"/>
    <n v="0"/>
    <n v="0"/>
    <n v="0"/>
  </r>
  <r>
    <s v="PAP/YXX"/>
    <s v="YXX"/>
    <x v="2"/>
    <x v="1"/>
    <x v="2"/>
    <x v="1"/>
    <s v="Abbotsford - International"/>
    <n v="5588"/>
    <n v="14.5"/>
    <m/>
    <n v="0"/>
    <m/>
    <n v="0"/>
    <n v="0"/>
    <n v="0"/>
    <n v="0"/>
    <n v="0"/>
    <n v="0"/>
    <n v="0"/>
    <n v="0"/>
    <n v="0"/>
    <n v="0"/>
  </r>
  <r>
    <s v="PAP/BFI"/>
    <s v="BFI"/>
    <x v="2"/>
    <x v="4"/>
    <x v="9"/>
    <x v="3"/>
    <s v="Seattle - Boeing Fld-King Co Int"/>
    <n v="5531"/>
    <n v="14.25"/>
    <m/>
    <n v="0"/>
    <m/>
    <n v="0"/>
    <n v="0"/>
    <n v="0"/>
    <n v="0"/>
    <n v="0"/>
    <n v="0"/>
    <n v="0"/>
    <n v="0"/>
    <n v="0"/>
    <n v="0"/>
  </r>
  <r>
    <s v="PAP/RCQ"/>
    <s v="RCQ"/>
    <x v="2"/>
    <x v="4"/>
    <x v="30"/>
    <x v="0"/>
    <s v="Reconquista"/>
    <n v="5485"/>
    <n v="14.25"/>
    <m/>
    <n v="0"/>
    <m/>
    <n v="0"/>
    <n v="0"/>
    <n v="0"/>
    <n v="0"/>
    <n v="0"/>
    <n v="0"/>
    <n v="0"/>
    <n v="0"/>
    <n v="0"/>
    <n v="0"/>
  </r>
  <r>
    <s v="PAP/IRJ"/>
    <s v="IRJ"/>
    <x v="2"/>
    <x v="4"/>
    <x v="30"/>
    <x v="0"/>
    <s v="La Rioja - Captain V.A. Almonacid"/>
    <n v="5367"/>
    <n v="14"/>
    <m/>
    <n v="0"/>
    <m/>
    <n v="0"/>
    <n v="0"/>
    <n v="0"/>
    <n v="0"/>
    <n v="0"/>
    <n v="0"/>
    <n v="0"/>
    <n v="0"/>
    <n v="0"/>
    <n v="0"/>
  </r>
  <r>
    <s v="PAP/MFR"/>
    <s v="MFR"/>
    <x v="2"/>
    <x v="5"/>
    <x v="9"/>
    <x v="3"/>
    <s v="Medford - Rogue Valley Intl"/>
    <n v="5421"/>
    <n v="14"/>
    <m/>
    <n v="0"/>
    <m/>
    <n v="0"/>
    <n v="0"/>
    <n v="0"/>
    <n v="0"/>
    <n v="0"/>
    <n v="0"/>
    <n v="0"/>
    <n v="0"/>
    <n v="0"/>
    <n v="0"/>
  </r>
  <r>
    <s v="PAP/RES"/>
    <s v="RES"/>
    <x v="2"/>
    <x v="1"/>
    <x v="30"/>
    <x v="0"/>
    <s v="Resistencia"/>
    <n v="5314"/>
    <n v="13.75"/>
    <m/>
    <n v="0"/>
    <m/>
    <n v="0"/>
    <n v="0"/>
    <n v="0"/>
    <n v="0"/>
    <n v="0"/>
    <n v="0"/>
    <n v="0"/>
    <n v="0"/>
    <n v="0"/>
    <n v="0"/>
  </r>
  <r>
    <s v="PAP/LMT"/>
    <s v="LMT"/>
    <x v="2"/>
    <x v="4"/>
    <x v="9"/>
    <x v="3"/>
    <s v="Klamath Falls"/>
    <n v="5324"/>
    <n v="13.75"/>
    <m/>
    <n v="0"/>
    <m/>
    <n v="0"/>
    <n v="0"/>
    <n v="0"/>
    <n v="0"/>
    <n v="0"/>
    <n v="0"/>
    <n v="0"/>
    <n v="0"/>
    <n v="0"/>
    <n v="0"/>
  </r>
  <r>
    <s v="PAP/CTC"/>
    <s v="CTC"/>
    <x v="2"/>
    <x v="4"/>
    <x v="30"/>
    <x v="0"/>
    <s v="Catamarca"/>
    <n v="5293"/>
    <n v="13.75"/>
    <m/>
    <n v="0"/>
    <m/>
    <n v="0"/>
    <n v="0"/>
    <n v="0"/>
    <n v="0"/>
    <n v="0"/>
    <n v="0"/>
    <n v="0"/>
    <n v="0"/>
    <n v="0"/>
    <n v="0"/>
  </r>
  <r>
    <s v="PAP/SJC"/>
    <s v="SJC"/>
    <x v="2"/>
    <x v="2"/>
    <x v="9"/>
    <x v="3"/>
    <s v="San Jose - Metropolitan Area"/>
    <n v="5233"/>
    <n v="13.5"/>
    <m/>
    <n v="0"/>
    <m/>
    <n v="0"/>
    <n v="0"/>
    <n v="0"/>
    <n v="0"/>
    <n v="0"/>
    <n v="0"/>
    <n v="0"/>
    <n v="0"/>
    <n v="0"/>
    <n v="0"/>
  </r>
  <r>
    <s v="PAP/SMF"/>
    <s v="SMF"/>
    <x v="2"/>
    <x v="2"/>
    <x v="9"/>
    <x v="3"/>
    <s v="Sacramento - International"/>
    <n v="5230"/>
    <n v="13.5"/>
    <m/>
    <n v="0"/>
    <m/>
    <n v="0"/>
    <n v="0"/>
    <n v="0"/>
    <n v="0"/>
    <n v="0"/>
    <n v="0"/>
    <n v="0"/>
    <n v="0"/>
    <n v="0"/>
    <n v="0"/>
  </r>
  <r>
    <s v="PAP/SCK"/>
    <s v="SCK"/>
    <x v="2"/>
    <x v="4"/>
    <x v="9"/>
    <x v="3"/>
    <s v="Sacramento - Stockton Metropolitan"/>
    <n v="5184"/>
    <n v="13.5"/>
    <m/>
    <n v="0"/>
    <m/>
    <n v="0"/>
    <n v="0"/>
    <n v="0"/>
    <n v="0"/>
    <n v="0"/>
    <n v="0"/>
    <n v="0"/>
    <n v="0"/>
    <n v="0"/>
    <n v="0"/>
  </r>
  <r>
    <s v="PAP/GEG"/>
    <s v="GEG"/>
    <x v="2"/>
    <x v="5"/>
    <x v="9"/>
    <x v="3"/>
    <s v="Spokane - Metropolitan Area"/>
    <n v="5199"/>
    <n v="13.5"/>
    <m/>
    <n v="0"/>
    <m/>
    <n v="0"/>
    <n v="0"/>
    <n v="0"/>
    <n v="0"/>
    <n v="0"/>
    <n v="0"/>
    <n v="0"/>
    <n v="0"/>
    <n v="0"/>
    <n v="0"/>
  </r>
  <r>
    <s v="PAP/FAT"/>
    <s v="FAT"/>
    <x v="2"/>
    <x v="0"/>
    <x v="9"/>
    <x v="3"/>
    <s v="Fresno - Metropolitan Area"/>
    <n v="5029"/>
    <n v="13.25"/>
    <m/>
    <n v="0"/>
    <m/>
    <n v="0"/>
    <n v="0"/>
    <n v="0"/>
    <n v="0"/>
    <n v="0"/>
    <n v="0"/>
    <n v="0"/>
    <n v="0"/>
    <n v="0"/>
    <n v="0"/>
  </r>
  <r>
    <s v="PAP/RNO"/>
    <s v="RNO"/>
    <x v="2"/>
    <x v="0"/>
    <x v="9"/>
    <x v="3"/>
    <s v="Reno/Tahoe Intl"/>
    <n v="5095"/>
    <n v="13.25"/>
    <m/>
    <n v="0"/>
    <m/>
    <n v="0"/>
    <n v="0"/>
    <n v="0"/>
    <n v="0"/>
    <n v="0"/>
    <n v="0"/>
    <n v="0"/>
    <n v="0"/>
    <n v="0"/>
    <n v="0"/>
  </r>
  <r>
    <s v="PAP/YFB"/>
    <s v="YFB"/>
    <x v="2"/>
    <x v="1"/>
    <x v="2"/>
    <x v="1"/>
    <s v="Iqaluit"/>
    <n v="5032"/>
    <n v="13.25"/>
    <m/>
    <n v="0"/>
    <m/>
    <n v="0"/>
    <n v="0"/>
    <n v="0"/>
    <n v="0"/>
    <n v="0"/>
    <n v="0"/>
    <n v="0"/>
    <n v="0"/>
    <n v="0"/>
    <n v="0"/>
  </r>
  <r>
    <s v="PAP/TUC"/>
    <s v="TUC"/>
    <x v="2"/>
    <x v="1"/>
    <x v="30"/>
    <x v="0"/>
    <s v="Tucuman - Benjamin Matienzo"/>
    <n v="5111"/>
    <n v="13.25"/>
    <m/>
    <n v="0"/>
    <m/>
    <n v="0"/>
    <n v="0"/>
    <n v="0"/>
    <n v="0"/>
    <n v="0"/>
    <n v="0"/>
    <n v="0"/>
    <n v="0"/>
    <n v="0"/>
    <n v="0"/>
  </r>
  <r>
    <s v="PAP/BOI"/>
    <s v="BOI"/>
    <x v="2"/>
    <x v="0"/>
    <x v="9"/>
    <x v="3"/>
    <s v="Boise - Air Term. (Gowen Fld)"/>
    <n v="4940"/>
    <n v="13"/>
    <m/>
    <n v="0"/>
    <m/>
    <n v="0"/>
    <n v="0"/>
    <n v="0"/>
    <n v="0"/>
    <n v="0"/>
    <n v="0"/>
    <n v="0"/>
    <n v="0"/>
    <n v="0"/>
    <n v="0"/>
  </r>
  <r>
    <s v="PAP/SMA"/>
    <s v="SMA"/>
    <x v="2"/>
    <x v="1"/>
    <x v="25"/>
    <x v="2"/>
    <s v="Santa Maria Island - Airport"/>
    <n v="5006"/>
    <n v="13"/>
    <m/>
    <n v="0"/>
    <m/>
    <n v="0"/>
    <n v="0"/>
    <n v="0"/>
    <n v="0"/>
    <n v="0"/>
    <n v="0"/>
    <n v="0"/>
    <n v="0"/>
    <n v="0"/>
    <n v="0"/>
  </r>
  <r>
    <s v="PAP/BFL"/>
    <s v="BFL"/>
    <x v="2"/>
    <x v="1"/>
    <x v="9"/>
    <x v="3"/>
    <s v="Bakersfield - Meadows Field"/>
    <n v="4944"/>
    <n v="13"/>
    <m/>
    <n v="0"/>
    <m/>
    <n v="0"/>
    <n v="0"/>
    <n v="0"/>
    <n v="0"/>
    <n v="0"/>
    <n v="0"/>
    <n v="0"/>
    <n v="0"/>
    <n v="0"/>
    <n v="0"/>
  </r>
  <r>
    <s v="PAP/MSO"/>
    <s v="MSO"/>
    <x v="2"/>
    <x v="1"/>
    <x v="9"/>
    <x v="3"/>
    <s v="Missoula - International"/>
    <n v="4930"/>
    <n v="13"/>
    <m/>
    <n v="0"/>
    <m/>
    <n v="0"/>
    <n v="0"/>
    <n v="0"/>
    <n v="0"/>
    <n v="0"/>
    <n v="0"/>
    <n v="0"/>
    <n v="0"/>
    <n v="0"/>
    <n v="0"/>
  </r>
  <r>
    <s v="PAP/FCA"/>
    <s v="FCA"/>
    <x v="2"/>
    <x v="5"/>
    <x v="9"/>
    <x v="3"/>
    <s v="Kalispell - Glacier Park Intl"/>
    <n v="5008"/>
    <n v="13"/>
    <m/>
    <n v="0"/>
    <m/>
    <n v="0"/>
    <n v="0"/>
    <n v="0"/>
    <n v="0"/>
    <n v="0"/>
    <n v="0"/>
    <n v="0"/>
    <n v="0"/>
    <n v="0"/>
    <n v="0"/>
  </r>
  <r>
    <s v="PAP/ONT"/>
    <s v="ONT"/>
    <x v="2"/>
    <x v="0"/>
    <x v="9"/>
    <x v="3"/>
    <s v="Los Angeles - Ontario International"/>
    <n v="4788"/>
    <n v="12.75"/>
    <m/>
    <n v="0"/>
    <m/>
    <n v="0"/>
    <n v="0"/>
    <n v="0"/>
    <n v="0"/>
    <n v="0"/>
    <n v="0"/>
    <n v="0"/>
    <n v="0"/>
    <n v="0"/>
    <n v="0"/>
  </r>
  <r>
    <s v="PAP/YXE"/>
    <s v="YXE"/>
    <x v="2"/>
    <x v="1"/>
    <x v="2"/>
    <x v="1"/>
    <s v="Saskatoon - J.G. Diefenbaker Intl"/>
    <n v="4783"/>
    <n v="12.75"/>
    <m/>
    <n v="0"/>
    <m/>
    <n v="0"/>
    <n v="0"/>
    <n v="0"/>
    <n v="0"/>
    <n v="0"/>
    <n v="0"/>
    <n v="0"/>
    <n v="0"/>
    <n v="0"/>
    <n v="0"/>
  </r>
  <r>
    <s v="PAP/YYQ"/>
    <s v="YYQ"/>
    <x v="2"/>
    <x v="1"/>
    <x v="2"/>
    <x v="1"/>
    <s v="Churchill - Airport"/>
    <n v="4803"/>
    <n v="12.75"/>
    <m/>
    <n v="0"/>
    <m/>
    <n v="0"/>
    <n v="0"/>
    <n v="0"/>
    <n v="0"/>
    <n v="0"/>
    <n v="0"/>
    <n v="0"/>
    <n v="0"/>
    <n v="0"/>
    <n v="0"/>
  </r>
  <r>
    <s v="PAP/SLA"/>
    <s v="SLA"/>
    <x v="2"/>
    <x v="1"/>
    <x v="30"/>
    <x v="0"/>
    <s v="Salta - Martin M. de Guemes"/>
    <n v="4886"/>
    <n v="12.75"/>
    <m/>
    <n v="0"/>
    <m/>
    <n v="0"/>
    <n v="0"/>
    <n v="0"/>
    <n v="0"/>
    <n v="0"/>
    <n v="0"/>
    <n v="0"/>
    <n v="0"/>
    <n v="0"/>
    <n v="0"/>
  </r>
  <r>
    <s v="PAP/JUJ"/>
    <s v="JUJ"/>
    <x v="2"/>
    <x v="4"/>
    <x v="30"/>
    <x v="0"/>
    <s v="Jujuy - Gobernador H. Guzman"/>
    <n v="4842"/>
    <n v="12.75"/>
    <m/>
    <n v="0"/>
    <m/>
    <n v="0"/>
    <n v="0"/>
    <n v="0"/>
    <n v="0"/>
    <n v="0"/>
    <n v="0"/>
    <n v="0"/>
    <n v="0"/>
    <n v="0"/>
    <n v="0"/>
  </r>
  <r>
    <s v="PAP/PSP"/>
    <s v="PSP"/>
    <x v="2"/>
    <x v="0"/>
    <x v="9"/>
    <x v="3"/>
    <s v="Palm Springs - Metropolitan Area"/>
    <n v="4684"/>
    <n v="12.5"/>
    <m/>
    <n v="0"/>
    <m/>
    <n v="0"/>
    <n v="0"/>
    <n v="0"/>
    <n v="0"/>
    <n v="0"/>
    <n v="0"/>
    <n v="0"/>
    <n v="0"/>
    <n v="0"/>
    <n v="0"/>
  </r>
  <r>
    <s v="PAP/GTF"/>
    <s v="GTF"/>
    <x v="2"/>
    <x v="1"/>
    <x v="9"/>
    <x v="3"/>
    <s v="Great Falls - Metropolitan Area"/>
    <n v="4775"/>
    <n v="12.5"/>
    <m/>
    <n v="0"/>
    <m/>
    <n v="0"/>
    <n v="0"/>
    <n v="0"/>
    <n v="0"/>
    <n v="0"/>
    <n v="0"/>
    <n v="0"/>
    <n v="0"/>
    <n v="0"/>
    <n v="0"/>
  </r>
  <r>
    <s v="PAP/HLN"/>
    <s v="HLN"/>
    <x v="2"/>
    <x v="1"/>
    <x v="9"/>
    <x v="3"/>
    <s v="Helena - Regional"/>
    <n v="4770"/>
    <n v="12.5"/>
    <m/>
    <n v="0"/>
    <m/>
    <n v="0"/>
    <n v="0"/>
    <n v="0"/>
    <n v="0"/>
    <n v="0"/>
    <n v="0"/>
    <n v="0"/>
    <n v="0"/>
    <n v="0"/>
    <n v="0"/>
  </r>
  <r>
    <s v="PAP/BTM"/>
    <s v="BTM"/>
    <x v="2"/>
    <x v="4"/>
    <x v="9"/>
    <x v="3"/>
    <s v="Butte - Bert Mooney"/>
    <n v="4773"/>
    <n v="12.5"/>
    <m/>
    <n v="0"/>
    <m/>
    <n v="0"/>
    <n v="0"/>
    <n v="0"/>
    <n v="0"/>
    <n v="0"/>
    <n v="0"/>
    <n v="0"/>
    <n v="0"/>
    <n v="0"/>
    <n v="0"/>
  </r>
  <r>
    <s v="PAP/TWF"/>
    <s v="TWF"/>
    <x v="2"/>
    <x v="4"/>
    <x v="9"/>
    <x v="3"/>
    <s v="Twin Falls - Magic Valley Regional"/>
    <n v="4766"/>
    <n v="12.5"/>
    <m/>
    <n v="0"/>
    <m/>
    <n v="0"/>
    <n v="0"/>
    <n v="0"/>
    <n v="0"/>
    <n v="0"/>
    <n v="0"/>
    <n v="0"/>
    <n v="0"/>
    <n v="0"/>
    <n v="0"/>
  </r>
  <r>
    <s v="PAP/BZN"/>
    <s v="BZN"/>
    <x v="2"/>
    <x v="5"/>
    <x v="9"/>
    <x v="3"/>
    <s v="Bozeman - Yellowstone Intl"/>
    <n v="4671"/>
    <n v="12.5"/>
    <m/>
    <n v="0"/>
    <m/>
    <n v="0"/>
    <n v="0"/>
    <n v="0"/>
    <n v="0"/>
    <n v="0"/>
    <n v="0"/>
    <n v="0"/>
    <n v="0"/>
    <n v="0"/>
    <n v="0"/>
  </r>
  <r>
    <s v="PAP/PIH"/>
    <s v="PIH"/>
    <x v="2"/>
    <x v="4"/>
    <x v="9"/>
    <x v="3"/>
    <s v="Pocatello - Regional"/>
    <n v="4640"/>
    <n v="12.25"/>
    <m/>
    <n v="0"/>
    <m/>
    <n v="0"/>
    <n v="0"/>
    <n v="0"/>
    <n v="0"/>
    <n v="0"/>
    <n v="0"/>
    <n v="0"/>
    <n v="0"/>
    <n v="0"/>
    <n v="0"/>
  </r>
  <r>
    <s v="PAP/IDA"/>
    <s v="IDA"/>
    <x v="2"/>
    <x v="5"/>
    <x v="9"/>
    <x v="3"/>
    <s v="Idaho Falls - Regional"/>
    <n v="4628"/>
    <n v="12.25"/>
    <m/>
    <n v="0"/>
    <m/>
    <n v="0"/>
    <n v="0"/>
    <n v="0"/>
    <n v="0"/>
    <n v="0"/>
    <n v="0"/>
    <n v="0"/>
    <n v="0"/>
    <n v="0"/>
    <n v="0"/>
  </r>
  <r>
    <s v="PAP/BIL"/>
    <s v="BIL"/>
    <x v="2"/>
    <x v="1"/>
    <x v="9"/>
    <x v="3"/>
    <s v="Billings - Logan Intl"/>
    <n v="4495"/>
    <n v="12"/>
    <m/>
    <n v="0"/>
    <m/>
    <n v="0"/>
    <n v="0"/>
    <n v="0"/>
    <n v="0"/>
    <n v="0"/>
    <n v="0"/>
    <n v="0"/>
    <n v="0"/>
    <n v="0"/>
    <n v="0"/>
  </r>
  <r>
    <s v="PAP/YUM"/>
    <s v="YUM"/>
    <x v="2"/>
    <x v="1"/>
    <x v="9"/>
    <x v="3"/>
    <s v="Yuma - Metropolitan Area"/>
    <n v="4488"/>
    <n v="12"/>
    <m/>
    <n v="0"/>
    <m/>
    <n v="0"/>
    <n v="0"/>
    <n v="0"/>
    <n v="0"/>
    <n v="0"/>
    <n v="0"/>
    <n v="0"/>
    <n v="0"/>
    <n v="0"/>
    <n v="0"/>
  </r>
  <r>
    <s v="PAP/CDC"/>
    <s v="CDC"/>
    <x v="2"/>
    <x v="4"/>
    <x v="9"/>
    <x v="3"/>
    <s v="Cedar City - Regional"/>
    <n v="4483"/>
    <n v="12"/>
    <m/>
    <n v="0"/>
    <m/>
    <n v="0"/>
    <n v="0"/>
    <n v="0"/>
    <n v="0"/>
    <n v="0"/>
    <n v="0"/>
    <n v="0"/>
    <n v="0"/>
    <n v="0"/>
    <n v="0"/>
  </r>
  <r>
    <s v="PAP/COD"/>
    <s v="COD"/>
    <x v="2"/>
    <x v="4"/>
    <x v="9"/>
    <x v="3"/>
    <s v="Cody - Yellowstone Regional"/>
    <n v="4458"/>
    <n v="12"/>
    <m/>
    <n v="0"/>
    <m/>
    <n v="0"/>
    <n v="0"/>
    <n v="0"/>
    <n v="0"/>
    <n v="0"/>
    <n v="0"/>
    <n v="0"/>
    <n v="0"/>
    <n v="0"/>
    <n v="0"/>
  </r>
  <r>
    <s v="PAP/SHR"/>
    <s v="SHR"/>
    <x v="2"/>
    <x v="4"/>
    <x v="9"/>
    <x v="3"/>
    <s v="Sheridan County"/>
    <n v="4331"/>
    <n v="11.75"/>
    <m/>
    <n v="0"/>
    <m/>
    <n v="0"/>
    <n v="0"/>
    <n v="0"/>
    <n v="0"/>
    <n v="0"/>
    <n v="0"/>
    <n v="0"/>
    <n v="0"/>
    <n v="0"/>
    <n v="0"/>
  </r>
  <r>
    <s v="PAP/GCN"/>
    <s v="GCN"/>
    <x v="2"/>
    <x v="5"/>
    <x v="9"/>
    <x v="3"/>
    <s v="Grand Canyon - Metropolitan Area"/>
    <n v="4348"/>
    <n v="11.75"/>
    <m/>
    <n v="0"/>
    <m/>
    <n v="0"/>
    <n v="0"/>
    <n v="0"/>
    <n v="0"/>
    <n v="0"/>
    <n v="0"/>
    <n v="0"/>
    <n v="0"/>
    <n v="0"/>
    <n v="0"/>
  </r>
  <r>
    <s v="PAP/AZA"/>
    <s v="AZA"/>
    <x v="2"/>
    <x v="1"/>
    <x v="9"/>
    <x v="3"/>
    <s v="Phoenix - Mesa Gateway"/>
    <n v="4232"/>
    <n v="11.5"/>
    <m/>
    <n v="0"/>
    <m/>
    <n v="0"/>
    <n v="0"/>
    <n v="0"/>
    <n v="0"/>
    <n v="0"/>
    <n v="0"/>
    <n v="0"/>
    <n v="0"/>
    <n v="0"/>
    <n v="0"/>
  </r>
  <r>
    <s v="PAP/RKS"/>
    <s v="RKS"/>
    <x v="2"/>
    <x v="4"/>
    <x v="9"/>
    <x v="3"/>
    <s v="Rock Springs - Sweetwater County"/>
    <n v="4315"/>
    <n v="11.5"/>
    <m/>
    <n v="0"/>
    <m/>
    <n v="0"/>
    <n v="0"/>
    <n v="0"/>
    <n v="0"/>
    <n v="0"/>
    <n v="0"/>
    <n v="0"/>
    <n v="0"/>
    <n v="0"/>
    <n v="0"/>
  </r>
  <r>
    <s v="PAP/TUS"/>
    <s v="TUS"/>
    <x v="2"/>
    <x v="0"/>
    <x v="9"/>
    <x v="3"/>
    <s v="Tucson - Metropolitan Area"/>
    <n v="4139"/>
    <n v="11.25"/>
    <m/>
    <n v="0"/>
    <m/>
    <n v="0"/>
    <n v="0"/>
    <n v="0"/>
    <n v="0"/>
    <n v="0"/>
    <n v="0"/>
    <n v="0"/>
    <n v="0"/>
    <n v="0"/>
    <n v="0"/>
  </r>
  <r>
    <s v="PAP/CPR"/>
    <s v="CPR"/>
    <x v="2"/>
    <x v="1"/>
    <x v="9"/>
    <x v="3"/>
    <s v="Casper - Natrona County Intl"/>
    <n v="4192"/>
    <n v="11.25"/>
    <m/>
    <n v="0"/>
    <m/>
    <n v="0"/>
    <n v="0"/>
    <n v="0"/>
    <n v="0"/>
    <n v="0"/>
    <n v="0"/>
    <n v="0"/>
    <n v="0"/>
    <n v="0"/>
    <n v="0"/>
  </r>
  <r>
    <s v="PAP/GJT"/>
    <s v="GJT"/>
    <x v="2"/>
    <x v="1"/>
    <x v="9"/>
    <x v="3"/>
    <s v="Grand Junction - Regional"/>
    <n v="4162"/>
    <n v="11.25"/>
    <m/>
    <n v="0"/>
    <m/>
    <n v="0"/>
    <n v="0"/>
    <n v="0"/>
    <n v="0"/>
    <n v="0"/>
    <n v="0"/>
    <n v="0"/>
    <n v="0"/>
    <n v="0"/>
    <n v="0"/>
  </r>
  <r>
    <s v="PAP/HDN"/>
    <s v="HDN"/>
    <x v="2"/>
    <x v="1"/>
    <x v="9"/>
    <x v="3"/>
    <s v="Hayden - Yampa Valley"/>
    <n v="4122"/>
    <n v="11.25"/>
    <m/>
    <n v="0"/>
    <m/>
    <n v="0"/>
    <n v="0"/>
    <n v="0"/>
    <n v="0"/>
    <n v="0"/>
    <n v="0"/>
    <n v="0"/>
    <n v="0"/>
    <n v="0"/>
    <n v="0"/>
  </r>
  <r>
    <s v="PAP/YYR"/>
    <s v="YYR"/>
    <x v="2"/>
    <x v="1"/>
    <x v="2"/>
    <x v="1"/>
    <s v="Goose Bay"/>
    <n v="3997"/>
    <n v="11"/>
    <m/>
    <n v="0"/>
    <m/>
    <n v="0"/>
    <n v="0"/>
    <n v="0"/>
    <n v="0"/>
    <n v="0"/>
    <n v="0"/>
    <n v="0"/>
    <n v="0"/>
    <n v="0"/>
    <n v="0"/>
  </r>
  <r>
    <s v="PAP/DRO"/>
    <s v="DRO"/>
    <x v="2"/>
    <x v="1"/>
    <x v="9"/>
    <x v="3"/>
    <s v="Durango - Metropolitan Area"/>
    <n v="4017"/>
    <n v="11"/>
    <m/>
    <n v="0"/>
    <m/>
    <n v="0"/>
    <n v="0"/>
    <n v="0"/>
    <n v="0"/>
    <n v="0"/>
    <n v="0"/>
    <n v="0"/>
    <n v="0"/>
    <n v="0"/>
    <n v="0"/>
  </r>
  <r>
    <s v="PAP/GUC"/>
    <s v="GUC"/>
    <x v="2"/>
    <x v="1"/>
    <x v="9"/>
    <x v="3"/>
    <s v="Gunnison-Crested Butte"/>
    <n v="4009"/>
    <n v="11"/>
    <m/>
    <n v="0"/>
    <m/>
    <n v="0"/>
    <n v="0"/>
    <n v="0"/>
    <n v="0"/>
    <n v="0"/>
    <n v="0"/>
    <n v="0"/>
    <n v="0"/>
    <n v="0"/>
    <n v="0"/>
  </r>
  <r>
    <s v="PAP/MTJ"/>
    <s v="MTJ"/>
    <x v="2"/>
    <x v="1"/>
    <x v="9"/>
    <x v="3"/>
    <s v="Montrose - Regional"/>
    <n v="4085"/>
    <n v="11"/>
    <m/>
    <n v="0"/>
    <m/>
    <n v="0"/>
    <n v="0"/>
    <n v="0"/>
    <n v="0"/>
    <n v="0"/>
    <n v="0"/>
    <n v="0"/>
    <n v="0"/>
    <n v="0"/>
    <n v="0"/>
  </r>
  <r>
    <s v="PAP/LAR"/>
    <s v="LAR"/>
    <x v="2"/>
    <x v="4"/>
    <x v="9"/>
    <x v="3"/>
    <s v="Laramie - Regional"/>
    <n v="4049"/>
    <n v="11"/>
    <m/>
    <n v="0"/>
    <m/>
    <n v="0"/>
    <n v="0"/>
    <n v="0"/>
    <n v="0"/>
    <n v="0"/>
    <n v="0"/>
    <n v="0"/>
    <n v="0"/>
    <n v="0"/>
    <n v="0"/>
  </r>
  <r>
    <s v="PAP/BIS"/>
    <s v="BIS"/>
    <x v="2"/>
    <x v="5"/>
    <x v="9"/>
    <x v="3"/>
    <s v="Bismarck - Municipal"/>
    <n v="4069"/>
    <n v="11"/>
    <m/>
    <n v="0"/>
    <m/>
    <n v="0"/>
    <n v="0"/>
    <n v="0"/>
    <n v="0"/>
    <n v="0"/>
    <n v="0"/>
    <n v="0"/>
    <n v="0"/>
    <n v="0"/>
    <n v="0"/>
  </r>
  <r>
    <s v="PAP/EGE"/>
    <s v="EGE"/>
    <x v="2"/>
    <x v="5"/>
    <x v="9"/>
    <x v="3"/>
    <s v="Vail/Eagle - Eagle County Regional"/>
    <n v="4059"/>
    <n v="11"/>
    <m/>
    <n v="0"/>
    <m/>
    <n v="0"/>
    <n v="0"/>
    <n v="0"/>
    <n v="0"/>
    <n v="0"/>
    <n v="0"/>
    <n v="0"/>
    <n v="0"/>
    <n v="0"/>
    <n v="0"/>
  </r>
  <r>
    <s v="PAP/RAP"/>
    <s v="RAP"/>
    <x v="2"/>
    <x v="5"/>
    <x v="9"/>
    <x v="3"/>
    <s v="Rapid City - Metropolitan Area"/>
    <n v="4026"/>
    <n v="11"/>
    <m/>
    <n v="0"/>
    <m/>
    <n v="0"/>
    <n v="0"/>
    <n v="0"/>
    <n v="0"/>
    <n v="0"/>
    <n v="0"/>
    <n v="0"/>
    <n v="0"/>
    <n v="0"/>
    <n v="0"/>
  </r>
  <r>
    <s v="PAP/BFF"/>
    <s v="BFF"/>
    <x v="2"/>
    <x v="2"/>
    <x v="9"/>
    <x v="3"/>
    <s v="Scottsbluff - Western Nebraska Rgnl"/>
    <n v="3930"/>
    <n v="10.75"/>
    <m/>
    <n v="0"/>
    <m/>
    <n v="0"/>
    <n v="0"/>
    <n v="0"/>
    <n v="0"/>
    <n v="0"/>
    <n v="0"/>
    <n v="0"/>
    <n v="0"/>
    <n v="0"/>
    <n v="0"/>
  </r>
  <r>
    <s v="PAP/ALS"/>
    <s v="ALS"/>
    <x v="2"/>
    <x v="4"/>
    <x v="9"/>
    <x v="3"/>
    <s v="Alamosa - San Luis Valley Rgnl"/>
    <n v="3874"/>
    <n v="10.75"/>
    <m/>
    <n v="0"/>
    <m/>
    <n v="0"/>
    <n v="0"/>
    <n v="0"/>
    <n v="0"/>
    <n v="0"/>
    <n v="0"/>
    <n v="0"/>
    <n v="0"/>
    <n v="0"/>
    <n v="0"/>
  </r>
  <r>
    <s v="PAP/CYS"/>
    <s v="CYS"/>
    <x v="2"/>
    <x v="4"/>
    <x v="9"/>
    <x v="3"/>
    <s v="Cheyenne - Metropolitan Area"/>
    <n v="3976"/>
    <n v="10.75"/>
    <m/>
    <n v="0"/>
    <m/>
    <n v="0"/>
    <n v="0"/>
    <n v="0"/>
    <n v="0"/>
    <n v="0"/>
    <n v="0"/>
    <n v="0"/>
    <n v="0"/>
    <n v="0"/>
    <n v="0"/>
  </r>
  <r>
    <s v="PAP/FNL"/>
    <s v="FNL"/>
    <x v="2"/>
    <x v="4"/>
    <x v="9"/>
    <x v="3"/>
    <s v="Fort Collins/Loveland - Municipal"/>
    <n v="3954"/>
    <n v="10.75"/>
    <m/>
    <n v="0"/>
    <m/>
    <n v="0"/>
    <n v="0"/>
    <n v="0"/>
    <n v="0"/>
    <n v="0"/>
    <n v="0"/>
    <n v="0"/>
    <n v="0"/>
    <n v="0"/>
    <n v="0"/>
  </r>
  <r>
    <s v="PAP/COS"/>
    <s v="COS"/>
    <x v="2"/>
    <x v="0"/>
    <x v="9"/>
    <x v="3"/>
    <s v="Colorado Springs - Metropolitan Area"/>
    <n v="3846"/>
    <n v="10.5"/>
    <m/>
    <n v="0"/>
    <m/>
    <n v="0"/>
    <n v="0"/>
    <n v="0"/>
    <n v="0"/>
    <n v="0"/>
    <n v="0"/>
    <n v="0"/>
    <n v="0"/>
    <n v="0"/>
    <n v="0"/>
  </r>
  <r>
    <s v="PAP/PUB"/>
    <s v="PUB"/>
    <x v="2"/>
    <x v="4"/>
    <x v="9"/>
    <x v="3"/>
    <s v="Pueblo - Memorial"/>
    <n v="3805"/>
    <n v="10.5"/>
    <m/>
    <n v="0"/>
    <m/>
    <n v="0"/>
    <n v="0"/>
    <n v="0"/>
    <n v="0"/>
    <n v="0"/>
    <n v="0"/>
    <n v="0"/>
    <n v="0"/>
    <n v="0"/>
    <n v="0"/>
  </r>
  <r>
    <s v="PAP/SAF"/>
    <s v="SAF"/>
    <x v="2"/>
    <x v="4"/>
    <x v="9"/>
    <x v="3"/>
    <s v="Santa Fe - Municipal"/>
    <n v="3817"/>
    <n v="10.5"/>
    <m/>
    <n v="0"/>
    <m/>
    <n v="0"/>
    <n v="0"/>
    <n v="0"/>
    <n v="0"/>
    <n v="0"/>
    <n v="0"/>
    <n v="0"/>
    <n v="0"/>
    <n v="0"/>
    <n v="0"/>
  </r>
  <r>
    <s v="PAP/FAR"/>
    <s v="FAR"/>
    <x v="2"/>
    <x v="5"/>
    <x v="9"/>
    <x v="3"/>
    <s v="Fargo - Hector Intl"/>
    <n v="3864"/>
    <n v="10.5"/>
    <m/>
    <n v="0"/>
    <m/>
    <n v="0"/>
    <n v="0"/>
    <n v="0"/>
    <n v="0"/>
    <n v="0"/>
    <n v="0"/>
    <n v="0"/>
    <n v="0"/>
    <n v="0"/>
    <n v="0"/>
  </r>
  <r>
    <s v="PAP/ELP"/>
    <s v="ELP"/>
    <x v="2"/>
    <x v="0"/>
    <x v="9"/>
    <x v="3"/>
    <s v="El Paso - Metropolitan Area"/>
    <n v="3712"/>
    <n v="10.25"/>
    <m/>
    <n v="0"/>
    <m/>
    <n v="0"/>
    <n v="0"/>
    <n v="0"/>
    <n v="0"/>
    <n v="0"/>
    <n v="0"/>
    <n v="0"/>
    <n v="0"/>
    <n v="0"/>
    <n v="0"/>
  </r>
  <r>
    <s v="PAP/YQX"/>
    <s v="YQX"/>
    <x v="2"/>
    <x v="1"/>
    <x v="2"/>
    <x v="1"/>
    <s v="Gander - International"/>
    <n v="3732"/>
    <n v="10.25"/>
    <m/>
    <n v="0"/>
    <m/>
    <n v="0"/>
    <n v="0"/>
    <n v="0"/>
    <n v="0"/>
    <n v="0"/>
    <n v="0"/>
    <n v="0"/>
    <n v="0"/>
    <n v="0"/>
    <n v="0"/>
  </r>
  <r>
    <s v="PAP/CUU"/>
    <s v="CUU"/>
    <x v="2"/>
    <x v="1"/>
    <x v="15"/>
    <x v="1"/>
    <s v="Chihuahua - R. Fierro Villalobos"/>
    <n v="3596"/>
    <n v="10"/>
    <m/>
    <n v="0"/>
    <m/>
    <n v="0"/>
    <n v="0"/>
    <n v="0"/>
    <n v="0"/>
    <n v="0"/>
    <n v="0"/>
    <n v="0"/>
    <n v="0"/>
    <n v="0"/>
    <n v="0"/>
  </r>
  <r>
    <s v="PAP/DLH"/>
    <s v="DLH"/>
    <x v="2"/>
    <x v="1"/>
    <x v="9"/>
    <x v="3"/>
    <s v="Duluth - International"/>
    <n v="3630"/>
    <n v="10"/>
    <m/>
    <n v="0"/>
    <m/>
    <n v="0"/>
    <n v="0"/>
    <n v="0"/>
    <n v="0"/>
    <n v="0"/>
    <n v="0"/>
    <n v="0"/>
    <n v="0"/>
    <n v="0"/>
    <n v="0"/>
  </r>
  <r>
    <s v="PAP/ROW"/>
    <s v="ROW"/>
    <x v="2"/>
    <x v="1"/>
    <x v="9"/>
    <x v="3"/>
    <s v="Roswell - Intl Air Center"/>
    <n v="3595"/>
    <n v="10"/>
    <m/>
    <n v="0"/>
    <m/>
    <n v="0"/>
    <n v="0"/>
    <n v="0"/>
    <n v="0"/>
    <n v="0"/>
    <n v="0"/>
    <n v="0"/>
    <n v="0"/>
    <n v="0"/>
    <n v="0"/>
  </r>
  <r>
    <s v="PAP/YJT"/>
    <s v="YJT"/>
    <x v="2"/>
    <x v="4"/>
    <x v="2"/>
    <x v="1"/>
    <s v="Stephenville - International"/>
    <n v="3555"/>
    <n v="10"/>
    <m/>
    <n v="0"/>
    <m/>
    <n v="0"/>
    <n v="0"/>
    <n v="0"/>
    <n v="0"/>
    <n v="0"/>
    <n v="0"/>
    <n v="0"/>
    <n v="0"/>
    <n v="0"/>
    <n v="0"/>
  </r>
  <r>
    <s v="PAP/FSD"/>
    <s v="FSD"/>
    <x v="2"/>
    <x v="5"/>
    <x v="9"/>
    <x v="3"/>
    <s v="Sioux Falls - Joe Foss Field"/>
    <n v="3599"/>
    <n v="10"/>
    <m/>
    <n v="0"/>
    <m/>
    <n v="0"/>
    <n v="0"/>
    <n v="0"/>
    <n v="0"/>
    <n v="0"/>
    <n v="0"/>
    <n v="0"/>
    <n v="0"/>
    <n v="0"/>
    <n v="0"/>
  </r>
  <r>
    <s v="PAP/AMA"/>
    <s v="AMA"/>
    <x v="2"/>
    <x v="1"/>
    <x v="9"/>
    <x v="3"/>
    <s v="Amarillo - Metropolitan Area"/>
    <n v="3433"/>
    <n v="9.75"/>
    <m/>
    <n v="0"/>
    <m/>
    <n v="0"/>
    <n v="0"/>
    <n v="0"/>
    <n v="0"/>
    <n v="0"/>
    <n v="0"/>
    <n v="0"/>
    <n v="0"/>
    <n v="0"/>
    <n v="0"/>
  </r>
  <r>
    <s v="PAP/SUX"/>
    <s v="SUX"/>
    <x v="2"/>
    <x v="4"/>
    <x v="9"/>
    <x v="3"/>
    <s v="Sioux City - Sioux Gateway"/>
    <n v="3489"/>
    <n v="9.75"/>
    <m/>
    <n v="0"/>
    <m/>
    <n v="0"/>
    <n v="0"/>
    <n v="0"/>
    <n v="0"/>
    <n v="0"/>
    <n v="0"/>
    <n v="0"/>
    <n v="0"/>
    <n v="0"/>
    <n v="0"/>
  </r>
  <r>
    <s v="PAP/OMA"/>
    <s v="OMA"/>
    <x v="2"/>
    <x v="0"/>
    <x v="9"/>
    <x v="3"/>
    <s v="Omaha - Metropolitan Area"/>
    <n v="3377"/>
    <n v="9.5"/>
    <m/>
    <n v="0"/>
    <m/>
    <n v="0"/>
    <n v="0"/>
    <n v="0"/>
    <n v="0"/>
    <n v="0"/>
    <n v="0"/>
    <n v="0"/>
    <n v="0"/>
    <n v="0"/>
    <n v="0"/>
  </r>
  <r>
    <s v="PAP/DGO"/>
    <s v="DGO"/>
    <x v="2"/>
    <x v="1"/>
    <x v="15"/>
    <x v="1"/>
    <s v="Durango - Guadalupe Victoria Int"/>
    <n v="3388"/>
    <n v="9.5"/>
    <m/>
    <n v="0"/>
    <m/>
    <n v="0"/>
    <n v="0"/>
    <n v="0"/>
    <n v="0"/>
    <n v="0"/>
    <n v="0"/>
    <n v="0"/>
    <n v="0"/>
    <n v="0"/>
    <n v="0"/>
  </r>
  <r>
    <s v="PAP/YBG"/>
    <s v="YBG"/>
    <x v="2"/>
    <x v="1"/>
    <x v="2"/>
    <x v="1"/>
    <s v="Saguenay-Bagotville"/>
    <n v="3311"/>
    <n v="9.5"/>
    <m/>
    <n v="0"/>
    <m/>
    <n v="0"/>
    <n v="0"/>
    <n v="0"/>
    <n v="0"/>
    <n v="0"/>
    <n v="0"/>
    <n v="0"/>
    <n v="0"/>
    <n v="0"/>
    <n v="0"/>
  </r>
  <r>
    <s v="PAP/YVO"/>
    <s v="YVO"/>
    <x v="2"/>
    <x v="1"/>
    <x v="2"/>
    <x v="1"/>
    <s v="Val d'Or"/>
    <n v="3315"/>
    <n v="9.5"/>
    <m/>
    <n v="0"/>
    <m/>
    <n v="0"/>
    <n v="0"/>
    <n v="0"/>
    <n v="0"/>
    <n v="0"/>
    <n v="0"/>
    <n v="0"/>
    <n v="0"/>
    <n v="0"/>
    <n v="0"/>
  </r>
  <r>
    <s v="PAP/LBB"/>
    <s v="LBB"/>
    <x v="2"/>
    <x v="1"/>
    <x v="9"/>
    <x v="3"/>
    <s v="Lubbock - Metropolitan Area"/>
    <n v="3374"/>
    <n v="9.5"/>
    <m/>
    <n v="0"/>
    <m/>
    <n v="0"/>
    <n v="0"/>
    <n v="0"/>
    <n v="0"/>
    <n v="0"/>
    <n v="0"/>
    <n v="0"/>
    <n v="0"/>
    <n v="0"/>
    <n v="0"/>
  </r>
  <r>
    <s v="PAP/LNK"/>
    <s v="LNK"/>
    <x v="2"/>
    <x v="1"/>
    <x v="9"/>
    <x v="3"/>
    <s v="Lincoln"/>
    <n v="3400"/>
    <n v="9.5"/>
    <m/>
    <n v="0"/>
    <m/>
    <n v="0"/>
    <n v="0"/>
    <n v="0"/>
    <n v="0"/>
    <n v="0"/>
    <n v="0"/>
    <n v="0"/>
    <n v="0"/>
    <n v="0"/>
    <n v="0"/>
  </r>
  <r>
    <s v="PAP/MAF"/>
    <s v="MAF"/>
    <x v="2"/>
    <x v="1"/>
    <x v="9"/>
    <x v="3"/>
    <s v="Midland - Metropolitan Area"/>
    <n v="3339"/>
    <n v="9.5"/>
    <m/>
    <n v="0"/>
    <m/>
    <n v="0"/>
    <n v="0"/>
    <n v="0"/>
    <n v="0"/>
    <n v="0"/>
    <n v="0"/>
    <n v="0"/>
    <n v="0"/>
    <n v="0"/>
    <n v="0"/>
  </r>
  <r>
    <s v="PAP/MQT"/>
    <s v="MQT"/>
    <x v="2"/>
    <x v="1"/>
    <x v="9"/>
    <x v="3"/>
    <s v="Marquette - Sawyer International"/>
    <n v="3385"/>
    <n v="9.5"/>
    <m/>
    <n v="0"/>
    <m/>
    <n v="0"/>
    <n v="0"/>
    <n v="0"/>
    <n v="0"/>
    <n v="0"/>
    <n v="0"/>
    <n v="0"/>
    <n v="0"/>
    <n v="0"/>
    <n v="0"/>
  </r>
  <r>
    <s v="PAP/RST"/>
    <s v="RST"/>
    <x v="2"/>
    <x v="1"/>
    <x v="9"/>
    <x v="3"/>
    <s v="Rochester - International"/>
    <n v="3389"/>
    <n v="9.5"/>
    <m/>
    <n v="0"/>
    <m/>
    <n v="0"/>
    <n v="0"/>
    <n v="0"/>
    <n v="0"/>
    <n v="0"/>
    <n v="0"/>
    <n v="0"/>
    <n v="0"/>
    <n v="0"/>
    <n v="0"/>
  </r>
  <r>
    <s v="PAP/LSE"/>
    <s v="LSE"/>
    <x v="2"/>
    <x v="5"/>
    <x v="9"/>
    <x v="3"/>
    <s v="La Crosse - Regional"/>
    <n v="3324"/>
    <n v="9.5"/>
    <m/>
    <n v="0"/>
    <m/>
    <n v="0"/>
    <n v="0"/>
    <n v="0"/>
    <n v="0"/>
    <n v="0"/>
    <n v="0"/>
    <n v="0"/>
    <n v="0"/>
    <n v="0"/>
    <n v="0"/>
  </r>
  <r>
    <s v="PAP/ICT"/>
    <s v="ICT"/>
    <x v="2"/>
    <x v="0"/>
    <x v="9"/>
    <x v="3"/>
    <s v="Wichita - Metropolitan Area"/>
    <n v="3233"/>
    <n v="9.25"/>
    <m/>
    <n v="0"/>
    <m/>
    <n v="0"/>
    <n v="0"/>
    <n v="0"/>
    <n v="0"/>
    <n v="0"/>
    <n v="0"/>
    <n v="0"/>
    <n v="0"/>
    <n v="0"/>
    <n v="0"/>
  </r>
  <r>
    <s v="PAP/TRC"/>
    <s v="TRC"/>
    <x v="2"/>
    <x v="1"/>
    <x v="15"/>
    <x v="1"/>
    <s v="Torreon - Francisco Sarabia Intl"/>
    <n v="3291"/>
    <n v="9.25"/>
    <m/>
    <n v="0"/>
    <m/>
    <n v="0"/>
    <n v="0"/>
    <n v="0"/>
    <n v="0"/>
    <n v="0"/>
    <n v="0"/>
    <n v="0"/>
    <n v="0"/>
    <n v="0"/>
    <n v="0"/>
  </r>
  <r>
    <s v="PAP/ZCL"/>
    <s v="ZCL"/>
    <x v="2"/>
    <x v="1"/>
    <x v="15"/>
    <x v="1"/>
    <s v="Zacatecas - Leobardo C. Ruiz Intl"/>
    <n v="3192"/>
    <n v="9.25"/>
    <m/>
    <n v="0"/>
    <m/>
    <n v="0"/>
    <n v="0"/>
    <n v="0"/>
    <n v="0"/>
    <n v="0"/>
    <n v="0"/>
    <n v="0"/>
    <n v="0"/>
    <n v="0"/>
    <n v="0"/>
  </r>
  <r>
    <s v="PAP/ALO"/>
    <s v="ALO"/>
    <x v="2"/>
    <x v="4"/>
    <x v="9"/>
    <x v="3"/>
    <s v="Waterloo - Regional"/>
    <n v="3270"/>
    <n v="9.25"/>
    <m/>
    <n v="0"/>
    <m/>
    <n v="0"/>
    <n v="0"/>
    <n v="0"/>
    <n v="0"/>
    <n v="0"/>
    <n v="0"/>
    <n v="0"/>
    <n v="0"/>
    <n v="0"/>
    <n v="0"/>
  </r>
  <r>
    <s v="PAP/DSM"/>
    <s v="DSM"/>
    <x v="2"/>
    <x v="5"/>
    <x v="9"/>
    <x v="3"/>
    <s v="Des Moines - International"/>
    <n v="3259"/>
    <n v="9.25"/>
    <m/>
    <n v="0"/>
    <m/>
    <n v="0"/>
    <n v="0"/>
    <n v="0"/>
    <n v="0"/>
    <n v="0"/>
    <n v="0"/>
    <n v="0"/>
    <n v="0"/>
    <n v="0"/>
    <n v="0"/>
  </r>
  <r>
    <s v="PAP/GRB"/>
    <s v="GRB"/>
    <x v="2"/>
    <x v="5"/>
    <x v="9"/>
    <x v="3"/>
    <s v="Green Bay - Austin Straubel Intl"/>
    <n v="3235"/>
    <n v="9.25"/>
    <m/>
    <n v="0"/>
    <m/>
    <n v="0"/>
    <n v="0"/>
    <n v="0"/>
    <n v="0"/>
    <n v="0"/>
    <n v="0"/>
    <n v="0"/>
    <n v="0"/>
    <n v="0"/>
    <n v="0"/>
  </r>
  <r>
    <s v="PAP/MCI"/>
    <s v="MCI"/>
    <x v="2"/>
    <x v="2"/>
    <x v="9"/>
    <x v="3"/>
    <s v="Kansas City - International"/>
    <n v="3155"/>
    <n v="9"/>
    <m/>
    <n v="0"/>
    <m/>
    <n v="0"/>
    <n v="0"/>
    <n v="0"/>
    <n v="0"/>
    <n v="0"/>
    <n v="0"/>
    <n v="0"/>
    <n v="0"/>
    <n v="0"/>
    <n v="0"/>
  </r>
  <r>
    <s v="PAP/OKC"/>
    <s v="OKC"/>
    <x v="2"/>
    <x v="0"/>
    <x v="9"/>
    <x v="3"/>
    <s v="Oklahoma City - Metropolitan Area"/>
    <n v="3112"/>
    <n v="9"/>
    <m/>
    <n v="0"/>
    <m/>
    <n v="0"/>
    <n v="0"/>
    <n v="0"/>
    <n v="0"/>
    <n v="0"/>
    <n v="0"/>
    <n v="0"/>
    <n v="0"/>
    <n v="0"/>
    <n v="0"/>
  </r>
  <r>
    <s v="PAP/AGU"/>
    <s v="AGU"/>
    <x v="2"/>
    <x v="1"/>
    <x v="15"/>
    <x v="1"/>
    <s v="Aguascalientes - Jesus Teran Peredo Int"/>
    <n v="3149"/>
    <n v="9"/>
    <m/>
    <n v="0"/>
    <m/>
    <n v="0"/>
    <n v="0"/>
    <n v="0"/>
    <n v="0"/>
    <n v="0"/>
    <n v="0"/>
    <n v="0"/>
    <n v="0"/>
    <n v="0"/>
    <n v="0"/>
  </r>
  <r>
    <s v="PAP/YQB"/>
    <s v="YQB"/>
    <x v="2"/>
    <x v="1"/>
    <x v="2"/>
    <x v="1"/>
    <s v="Quebec - Jean Lesage Intl"/>
    <n v="3138"/>
    <n v="9"/>
    <m/>
    <n v="0"/>
    <m/>
    <n v="0"/>
    <n v="0"/>
    <n v="0"/>
    <n v="0"/>
    <n v="0"/>
    <n v="0"/>
    <n v="0"/>
    <n v="0"/>
    <n v="0"/>
    <n v="0"/>
  </r>
  <r>
    <s v="PAP/LAW"/>
    <s v="LAW"/>
    <x v="2"/>
    <x v="1"/>
    <x v="9"/>
    <x v="3"/>
    <s v="Lawton/Fort Sill - Regional"/>
    <n v="3132"/>
    <n v="9"/>
    <m/>
    <n v="0"/>
    <m/>
    <n v="0"/>
    <n v="0"/>
    <n v="0"/>
    <n v="0"/>
    <n v="0"/>
    <n v="0"/>
    <n v="0"/>
    <n v="0"/>
    <n v="0"/>
    <n v="0"/>
  </r>
  <r>
    <s v="PAP/MLI"/>
    <s v="MLI"/>
    <x v="2"/>
    <x v="1"/>
    <x v="9"/>
    <x v="3"/>
    <s v="Moline - Quad City Intl"/>
    <n v="3075"/>
    <n v="9"/>
    <m/>
    <n v="0"/>
    <m/>
    <n v="0"/>
    <n v="0"/>
    <n v="0"/>
    <n v="0"/>
    <n v="0"/>
    <n v="0"/>
    <n v="0"/>
    <n v="0"/>
    <n v="0"/>
    <n v="0"/>
  </r>
  <r>
    <s v="PAP/SPS"/>
    <s v="SPS"/>
    <x v="2"/>
    <x v="1"/>
    <x v="9"/>
    <x v="3"/>
    <s v="Wichita Falls - Metropolitan Area"/>
    <n v="3109"/>
    <n v="9"/>
    <m/>
    <n v="0"/>
    <m/>
    <n v="0"/>
    <n v="0"/>
    <n v="0"/>
    <n v="0"/>
    <n v="0"/>
    <n v="0"/>
    <n v="0"/>
    <n v="0"/>
    <n v="0"/>
    <n v="0"/>
  </r>
  <r>
    <s v="PAP/YRQ"/>
    <s v="YRQ"/>
    <x v="2"/>
    <x v="4"/>
    <x v="2"/>
    <x v="1"/>
    <s v="Trois-Rivieres"/>
    <n v="3089"/>
    <n v="9"/>
    <m/>
    <n v="0"/>
    <m/>
    <n v="0"/>
    <n v="0"/>
    <n v="0"/>
    <n v="0"/>
    <n v="0"/>
    <n v="0"/>
    <n v="0"/>
    <n v="0"/>
    <n v="0"/>
    <n v="0"/>
  </r>
  <r>
    <s v="PAP/YYB"/>
    <s v="YYB"/>
    <x v="2"/>
    <x v="4"/>
    <x v="2"/>
    <x v="1"/>
    <s v="North Bay - Jack Garland"/>
    <n v="3158"/>
    <n v="9"/>
    <m/>
    <n v="0"/>
    <m/>
    <n v="0"/>
    <n v="0"/>
    <n v="0"/>
    <n v="0"/>
    <n v="0"/>
    <n v="0"/>
    <n v="0"/>
    <n v="0"/>
    <n v="0"/>
    <n v="0"/>
  </r>
  <r>
    <s v="PAP/APN"/>
    <s v="APN"/>
    <x v="2"/>
    <x v="4"/>
    <x v="9"/>
    <x v="3"/>
    <s v="Alpena County Regional"/>
    <n v="3126"/>
    <n v="9"/>
    <m/>
    <n v="0"/>
    <m/>
    <n v="0"/>
    <n v="0"/>
    <n v="0"/>
    <n v="0"/>
    <n v="0"/>
    <n v="0"/>
    <n v="0"/>
    <n v="0"/>
    <n v="0"/>
    <n v="0"/>
  </r>
  <r>
    <s v="PAP/CID"/>
    <s v="CID"/>
    <x v="2"/>
    <x v="5"/>
    <x v="9"/>
    <x v="3"/>
    <s v="Cedar Rapids - The Eastern Iowa"/>
    <n v="3177"/>
    <n v="9"/>
    <m/>
    <n v="0"/>
    <m/>
    <n v="0"/>
    <n v="0"/>
    <n v="0"/>
    <n v="0"/>
    <n v="0"/>
    <n v="0"/>
    <n v="0"/>
    <n v="0"/>
    <n v="0"/>
    <n v="0"/>
  </r>
  <r>
    <s v="PAP/MSN"/>
    <s v="MSN"/>
    <x v="2"/>
    <x v="5"/>
    <x v="9"/>
    <x v="3"/>
    <s v="Madison - Dane County Regional"/>
    <n v="3165"/>
    <n v="9"/>
    <m/>
    <n v="0"/>
    <m/>
    <n v="0"/>
    <n v="0"/>
    <n v="0"/>
    <n v="0"/>
    <n v="0"/>
    <n v="0"/>
    <n v="0"/>
    <n v="0"/>
    <n v="0"/>
    <n v="0"/>
  </r>
  <r>
    <s v="PAP/GRR"/>
    <s v="GRR"/>
    <x v="2"/>
    <x v="0"/>
    <x v="9"/>
    <x v="3"/>
    <s v="Grand Rapids - Gerald R. Ford Intl"/>
    <n v="2975"/>
    <n v="8.75"/>
    <m/>
    <n v="0"/>
    <m/>
    <n v="0"/>
    <n v="0"/>
    <n v="0"/>
    <n v="0"/>
    <n v="0"/>
    <n v="0"/>
    <n v="0"/>
    <n v="0"/>
    <n v="0"/>
    <n v="0"/>
  </r>
  <r>
    <s v="PAP/TUL"/>
    <s v="TUL"/>
    <x v="2"/>
    <x v="0"/>
    <x v="9"/>
    <x v="3"/>
    <s v="Tulsa - Metropolitan Area"/>
    <n v="3029"/>
    <n v="8.75"/>
    <m/>
    <n v="0"/>
    <m/>
    <n v="0"/>
    <n v="0"/>
    <n v="0"/>
    <n v="0"/>
    <n v="0"/>
    <n v="0"/>
    <n v="0"/>
    <n v="0"/>
    <n v="0"/>
    <n v="0"/>
  </r>
  <r>
    <s v="PAP/BJX"/>
    <s v="BJX"/>
    <x v="2"/>
    <x v="1"/>
    <x v="15"/>
    <x v="1"/>
    <s v="Leon/Guanajuato - Del Bajio Intl"/>
    <n v="3062"/>
    <n v="8.75"/>
    <m/>
    <n v="0"/>
    <m/>
    <n v="0"/>
    <n v="0"/>
    <n v="0"/>
    <n v="0"/>
    <n v="0"/>
    <n v="0"/>
    <n v="0"/>
    <n v="0"/>
    <n v="0"/>
    <n v="0"/>
  </r>
  <r>
    <s v="PAP/MLM"/>
    <s v="MLM"/>
    <x v="2"/>
    <x v="1"/>
    <x v="15"/>
    <x v="1"/>
    <s v="Morelia - F.J. Mujica Intl"/>
    <n v="3017"/>
    <n v="8.75"/>
    <m/>
    <n v="0"/>
    <m/>
    <n v="0"/>
    <n v="0"/>
    <n v="0"/>
    <n v="0"/>
    <n v="0"/>
    <n v="0"/>
    <n v="0"/>
    <n v="0"/>
    <n v="0"/>
    <n v="0"/>
  </r>
  <r>
    <s v="PAP/SLP"/>
    <s v="SLP"/>
    <x v="2"/>
    <x v="1"/>
    <x v="15"/>
    <x v="1"/>
    <s v="San Luis Potosi - Ponciano Arriaga Intl"/>
    <n v="3008"/>
    <n v="8.75"/>
    <m/>
    <n v="0"/>
    <m/>
    <n v="0"/>
    <n v="0"/>
    <n v="0"/>
    <n v="0"/>
    <n v="0"/>
    <n v="0"/>
    <n v="0"/>
    <n v="0"/>
    <n v="0"/>
    <n v="0"/>
  </r>
  <r>
    <s v="PAP/AFW"/>
    <s v="AFW"/>
    <x v="2"/>
    <x v="1"/>
    <x v="9"/>
    <x v="3"/>
    <s v="Fort Worth - Alliance"/>
    <n v="2962"/>
    <n v="8.75"/>
    <m/>
    <n v="0"/>
    <m/>
    <n v="0"/>
    <n v="0"/>
    <n v="0"/>
    <n v="0"/>
    <n v="0"/>
    <n v="0"/>
    <n v="0"/>
    <n v="0"/>
    <n v="0"/>
    <n v="0"/>
  </r>
  <r>
    <s v="PAP/PIA"/>
    <s v="PIA"/>
    <x v="2"/>
    <x v="1"/>
    <x v="9"/>
    <x v="3"/>
    <s v="Peoria - General Downing Intl"/>
    <n v="2964"/>
    <n v="8.75"/>
    <m/>
    <n v="0"/>
    <m/>
    <n v="0"/>
    <n v="0"/>
    <n v="0"/>
    <n v="0"/>
    <n v="0"/>
    <n v="0"/>
    <n v="0"/>
    <n v="0"/>
    <n v="0"/>
    <n v="0"/>
  </r>
  <r>
    <s v="PAP/RFD"/>
    <s v="RFD"/>
    <x v="2"/>
    <x v="1"/>
    <x v="9"/>
    <x v="3"/>
    <s v="Chicago/Rockford Intl"/>
    <n v="3068"/>
    <n v="8.75"/>
    <m/>
    <n v="0"/>
    <m/>
    <n v="0"/>
    <n v="0"/>
    <n v="0"/>
    <n v="0"/>
    <n v="0"/>
    <n v="0"/>
    <n v="0"/>
    <n v="0"/>
    <n v="0"/>
    <n v="0"/>
  </r>
  <r>
    <s v="PAP/AUS"/>
    <s v="AUS"/>
    <x v="2"/>
    <x v="2"/>
    <x v="9"/>
    <x v="3"/>
    <s v="Austin - Metropolitan Area"/>
    <n v="2867"/>
    <n v="8.5"/>
    <m/>
    <n v="0"/>
    <m/>
    <n v="0"/>
    <n v="0"/>
    <n v="0"/>
    <n v="0"/>
    <n v="0"/>
    <n v="0"/>
    <n v="0"/>
    <n v="0"/>
    <n v="0"/>
    <n v="0"/>
  </r>
  <r>
    <s v="PAP/SAT"/>
    <s v="SAT"/>
    <x v="2"/>
    <x v="2"/>
    <x v="9"/>
    <x v="3"/>
    <s v="San Antonio - Metropolitan Area"/>
    <n v="2915"/>
    <n v="8.5"/>
    <m/>
    <n v="0"/>
    <m/>
    <n v="0"/>
    <n v="0"/>
    <n v="0"/>
    <n v="0"/>
    <n v="0"/>
    <n v="0"/>
    <n v="0"/>
    <n v="0"/>
    <n v="0"/>
    <n v="0"/>
  </r>
  <r>
    <s v="PAP/ACA"/>
    <s v="ACA"/>
    <x v="2"/>
    <x v="1"/>
    <x v="15"/>
    <x v="1"/>
    <s v="Acapulco - Juan N. Alvarez Intl"/>
    <n v="2914"/>
    <n v="8.5"/>
    <m/>
    <n v="0"/>
    <m/>
    <n v="0"/>
    <n v="0"/>
    <n v="0"/>
    <n v="0"/>
    <n v="0"/>
    <n v="0"/>
    <n v="0"/>
    <n v="0"/>
    <n v="0"/>
    <n v="0"/>
  </r>
  <r>
    <s v="PAP/BGR"/>
    <s v="BGR"/>
    <x v="2"/>
    <x v="1"/>
    <x v="9"/>
    <x v="3"/>
    <s v="Bangor - International"/>
    <n v="2934"/>
    <n v="8.5"/>
    <m/>
    <n v="0"/>
    <m/>
    <n v="0"/>
    <n v="0"/>
    <n v="0"/>
    <n v="0"/>
    <n v="0"/>
    <n v="0"/>
    <n v="0"/>
    <n v="0"/>
    <n v="0"/>
    <n v="0"/>
  </r>
  <r>
    <s v="PAP/GRK"/>
    <s v="GRK"/>
    <x v="2"/>
    <x v="1"/>
    <x v="9"/>
    <x v="3"/>
    <s v="Killeen/Fort Hood - Regional/R.Gray AAF"/>
    <n v="2917"/>
    <n v="8.5"/>
    <m/>
    <n v="0"/>
    <m/>
    <n v="0"/>
    <n v="0"/>
    <n v="0"/>
    <n v="0"/>
    <n v="0"/>
    <n v="0"/>
    <n v="0"/>
    <n v="0"/>
    <n v="0"/>
    <n v="0"/>
  </r>
  <r>
    <s v="PAP/PBG"/>
    <s v="PBG"/>
    <x v="2"/>
    <x v="1"/>
    <x v="9"/>
    <x v="3"/>
    <s v="Plattsburgh - International"/>
    <n v="2901"/>
    <n v="8.5"/>
    <m/>
    <n v="0"/>
    <m/>
    <n v="0"/>
    <n v="0"/>
    <n v="0"/>
    <n v="0"/>
    <n v="0"/>
    <n v="0"/>
    <n v="0"/>
    <n v="0"/>
    <n v="0"/>
    <n v="0"/>
  </r>
  <r>
    <s v="PAP/DEC"/>
    <s v="DEC"/>
    <x v="2"/>
    <x v="4"/>
    <x v="9"/>
    <x v="3"/>
    <s v="Decatur"/>
    <n v="2848"/>
    <n v="8.5"/>
    <m/>
    <n v="0"/>
    <m/>
    <n v="0"/>
    <n v="0"/>
    <n v="0"/>
    <n v="0"/>
    <n v="0"/>
    <n v="0"/>
    <n v="0"/>
    <n v="0"/>
    <n v="0"/>
    <n v="0"/>
  </r>
  <r>
    <s v="PAP/BTV"/>
    <s v="BTV"/>
    <x v="2"/>
    <x v="5"/>
    <x v="9"/>
    <x v="3"/>
    <s v="Burlington - International"/>
    <n v="2880"/>
    <n v="8.5"/>
    <m/>
    <n v="0"/>
    <m/>
    <n v="0"/>
    <n v="0"/>
    <n v="0"/>
    <n v="0"/>
    <n v="0"/>
    <n v="0"/>
    <n v="0"/>
    <n v="0"/>
    <n v="0"/>
    <n v="0"/>
  </r>
  <r>
    <s v="PAP/LRD"/>
    <s v="LRD"/>
    <x v="2"/>
    <x v="5"/>
    <x v="9"/>
    <x v="3"/>
    <s v="Laredo - International"/>
    <n v="2945"/>
    <n v="8.5"/>
    <m/>
    <n v="0"/>
    <m/>
    <n v="0"/>
    <n v="0"/>
    <n v="0"/>
    <n v="0"/>
    <n v="0"/>
    <n v="0"/>
    <n v="0"/>
    <n v="0"/>
    <n v="0"/>
    <n v="0"/>
  </r>
  <r>
    <s v="PAP/SBN"/>
    <s v="SBN"/>
    <x v="2"/>
    <x v="5"/>
    <x v="9"/>
    <x v="3"/>
    <s v="South Bend - International"/>
    <n v="2895"/>
    <n v="8.5"/>
    <m/>
    <n v="0"/>
    <m/>
    <n v="0"/>
    <n v="0"/>
    <n v="0"/>
    <n v="0"/>
    <n v="0"/>
    <n v="0"/>
    <n v="0"/>
    <n v="0"/>
    <n v="0"/>
    <n v="0"/>
  </r>
  <r>
    <s v="PAP/XNA"/>
    <s v="XNA"/>
    <x v="2"/>
    <x v="5"/>
    <x v="9"/>
    <x v="3"/>
    <s v="Fayetteville/Springd. - Northwest Arkansas Rgn"/>
    <n v="2918"/>
    <n v="8.5"/>
    <m/>
    <n v="0"/>
    <m/>
    <n v="0"/>
    <n v="0"/>
    <n v="0"/>
    <n v="0"/>
    <n v="0"/>
    <n v="0"/>
    <n v="0"/>
    <n v="0"/>
    <n v="0"/>
    <n v="0"/>
  </r>
  <r>
    <s v="PAP/STL"/>
    <s v="STL"/>
    <x v="2"/>
    <x v="2"/>
    <x v="9"/>
    <x v="3"/>
    <s v="St Louis - Metropolitan Area"/>
    <n v="2841"/>
    <n v="8.25"/>
    <m/>
    <n v="0"/>
    <m/>
    <n v="0"/>
    <n v="0"/>
    <n v="0"/>
    <n v="0"/>
    <n v="0"/>
    <n v="0"/>
    <n v="0"/>
    <n v="0"/>
    <n v="0"/>
    <n v="0"/>
  </r>
  <r>
    <s v="PAP/PBC"/>
    <s v="PBC"/>
    <x v="2"/>
    <x v="1"/>
    <x v="15"/>
    <x v="1"/>
    <s v="Puebla - Hermanos Serdan Intl"/>
    <n v="2742"/>
    <n v="8.25"/>
    <m/>
    <n v="0"/>
    <m/>
    <n v="0"/>
    <n v="0"/>
    <n v="0"/>
    <n v="0"/>
    <n v="0"/>
    <n v="0"/>
    <n v="0"/>
    <n v="0"/>
    <n v="0"/>
    <n v="0"/>
  </r>
  <r>
    <s v="PAP/YHM"/>
    <s v="YHM"/>
    <x v="2"/>
    <x v="1"/>
    <x v="2"/>
    <x v="1"/>
    <s v="Toronto - John C. Munro Hamilton"/>
    <n v="2828"/>
    <n v="8.25"/>
    <m/>
    <n v="0"/>
    <m/>
    <n v="0"/>
    <n v="0"/>
    <n v="0"/>
    <n v="0"/>
    <n v="0"/>
    <n v="0"/>
    <n v="0"/>
    <n v="0"/>
    <n v="0"/>
    <n v="0"/>
  </r>
  <r>
    <s v="PAP/YQG"/>
    <s v="YQG"/>
    <x v="2"/>
    <x v="1"/>
    <x v="2"/>
    <x v="1"/>
    <s v="Windsor - Airport"/>
    <n v="2821"/>
    <n v="8.25"/>
    <m/>
    <n v="0"/>
    <m/>
    <n v="0"/>
    <n v="0"/>
    <n v="0"/>
    <n v="0"/>
    <n v="0"/>
    <n v="0"/>
    <n v="0"/>
    <n v="0"/>
    <n v="0"/>
    <n v="0"/>
  </r>
  <r>
    <s v="PAP/YXU"/>
    <s v="YXU"/>
    <x v="2"/>
    <x v="1"/>
    <x v="2"/>
    <x v="1"/>
    <s v="London - International"/>
    <n v="2844"/>
    <n v="8.25"/>
    <m/>
    <n v="0"/>
    <m/>
    <n v="0"/>
    <n v="0"/>
    <n v="0"/>
    <n v="0"/>
    <n v="0"/>
    <n v="0"/>
    <n v="0"/>
    <n v="0"/>
    <n v="0"/>
    <n v="0"/>
  </r>
  <r>
    <s v="PAP/FWA"/>
    <s v="FWA"/>
    <x v="2"/>
    <x v="1"/>
    <x v="9"/>
    <x v="3"/>
    <s v="Fort Wayne - Metropolitan Area"/>
    <n v="2777"/>
    <n v="8.25"/>
    <m/>
    <n v="0"/>
    <m/>
    <n v="0"/>
    <n v="0"/>
    <n v="0"/>
    <n v="0"/>
    <n v="0"/>
    <n v="0"/>
    <n v="0"/>
    <n v="0"/>
    <n v="0"/>
    <n v="0"/>
  </r>
  <r>
    <s v="PAP/TOL"/>
    <s v="TOL"/>
    <x v="2"/>
    <x v="1"/>
    <x v="9"/>
    <x v="3"/>
    <s v="Toledo - Metropolitan Area"/>
    <n v="2782"/>
    <n v="8.25"/>
    <m/>
    <n v="0"/>
    <m/>
    <n v="0"/>
    <n v="0"/>
    <n v="0"/>
    <n v="0"/>
    <n v="0"/>
    <n v="0"/>
    <n v="0"/>
    <n v="0"/>
    <n v="0"/>
    <n v="0"/>
  </r>
  <r>
    <s v="PAP/BLV"/>
    <s v="BLV"/>
    <x v="2"/>
    <x v="4"/>
    <x v="9"/>
    <x v="3"/>
    <s v="Belleville - MidAmerica St Louis"/>
    <n v="2793"/>
    <n v="8.25"/>
    <m/>
    <n v="0"/>
    <m/>
    <n v="0"/>
    <n v="0"/>
    <n v="0"/>
    <n v="0"/>
    <n v="0"/>
    <n v="0"/>
    <n v="0"/>
    <n v="0"/>
    <n v="0"/>
    <n v="0"/>
  </r>
  <r>
    <s v="PAP/IAG"/>
    <s v="IAG"/>
    <x v="2"/>
    <x v="4"/>
    <x v="9"/>
    <x v="3"/>
    <s v="Niagara Falls - International"/>
    <n v="2798"/>
    <n v="8.25"/>
    <m/>
    <n v="0"/>
    <m/>
    <n v="0"/>
    <n v="0"/>
    <n v="0"/>
    <n v="0"/>
    <n v="0"/>
    <n v="0"/>
    <n v="0"/>
    <n v="0"/>
    <n v="0"/>
    <n v="0"/>
  </r>
  <r>
    <s v="PAP/VCT"/>
    <s v="VCT"/>
    <x v="2"/>
    <x v="4"/>
    <x v="9"/>
    <x v="3"/>
    <s v="Victoria - Regional"/>
    <n v="2748"/>
    <n v="8.25"/>
    <m/>
    <n v="0"/>
    <m/>
    <n v="0"/>
    <n v="0"/>
    <n v="0"/>
    <n v="0"/>
    <n v="0"/>
    <n v="0"/>
    <n v="0"/>
    <n v="0"/>
    <n v="0"/>
    <n v="0"/>
  </r>
  <r>
    <s v="PAP/HRL"/>
    <s v="HRL"/>
    <x v="2"/>
    <x v="5"/>
    <x v="9"/>
    <x v="3"/>
    <s v="Harlingen - Valley International"/>
    <n v="2737"/>
    <n v="8.25"/>
    <m/>
    <n v="0"/>
    <m/>
    <n v="0"/>
    <n v="0"/>
    <n v="0"/>
    <n v="0"/>
    <n v="0"/>
    <n v="0"/>
    <n v="0"/>
    <n v="0"/>
    <n v="0"/>
    <n v="0"/>
  </r>
  <r>
    <s v="PAP/CLE"/>
    <s v="CLE"/>
    <x v="2"/>
    <x v="2"/>
    <x v="9"/>
    <x v="3"/>
    <s v="Cleveland - Metropolitan Area"/>
    <n v="2696"/>
    <n v="8"/>
    <m/>
    <n v="0"/>
    <m/>
    <n v="0"/>
    <n v="0"/>
    <n v="0"/>
    <n v="0"/>
    <n v="0"/>
    <n v="0"/>
    <n v="0"/>
    <n v="0"/>
    <n v="0"/>
    <n v="0"/>
  </r>
  <r>
    <s v="PAP/IND"/>
    <s v="IND"/>
    <x v="2"/>
    <x v="2"/>
    <x v="9"/>
    <x v="3"/>
    <s v="Indianapolis - International"/>
    <n v="2708"/>
    <n v="8"/>
    <m/>
    <n v="0"/>
    <m/>
    <n v="0"/>
    <n v="0"/>
    <n v="0"/>
    <n v="0"/>
    <n v="0"/>
    <n v="0"/>
    <n v="0"/>
    <n v="0"/>
    <n v="0"/>
    <n v="0"/>
  </r>
  <r>
    <s v="PAP/DAY"/>
    <s v="DAY"/>
    <x v="2"/>
    <x v="0"/>
    <x v="9"/>
    <x v="3"/>
    <s v="Dayton - Metropolitan Area"/>
    <n v="2633"/>
    <n v="8"/>
    <m/>
    <n v="0"/>
    <m/>
    <n v="0"/>
    <n v="0"/>
    <n v="0"/>
    <n v="0"/>
    <n v="0"/>
    <n v="0"/>
    <n v="0"/>
    <n v="0"/>
    <n v="0"/>
    <n v="0"/>
  </r>
  <r>
    <s v="PAP/MHT"/>
    <s v="MHT"/>
    <x v="2"/>
    <x v="0"/>
    <x v="9"/>
    <x v="3"/>
    <s v="Manchester-Boston Rgnl"/>
    <n v="2709"/>
    <n v="8"/>
    <m/>
    <n v="0"/>
    <m/>
    <n v="0"/>
    <n v="0"/>
    <n v="0"/>
    <n v="0"/>
    <n v="0"/>
    <n v="0"/>
    <n v="0"/>
    <n v="0"/>
    <n v="0"/>
    <n v="0"/>
  </r>
  <r>
    <s v="PAP/TAM"/>
    <s v="TAM"/>
    <x v="2"/>
    <x v="1"/>
    <x v="15"/>
    <x v="1"/>
    <s v="Tampico - F. Javier Mina Intl"/>
    <n v="2693"/>
    <n v="8"/>
    <m/>
    <n v="0"/>
    <m/>
    <n v="0"/>
    <n v="0"/>
    <n v="0"/>
    <n v="0"/>
    <n v="0"/>
    <n v="0"/>
    <n v="0"/>
    <n v="0"/>
    <n v="0"/>
    <n v="0"/>
  </r>
  <r>
    <s v="PAP/PSM"/>
    <s v="PSM"/>
    <x v="2"/>
    <x v="1"/>
    <x v="9"/>
    <x v="3"/>
    <s v="Boston - Portsmouth Pease Intl"/>
    <n v="2728"/>
    <n v="8"/>
    <m/>
    <n v="0"/>
    <m/>
    <n v="0"/>
    <n v="0"/>
    <n v="0"/>
    <n v="0"/>
    <n v="0"/>
    <n v="0"/>
    <n v="0"/>
    <n v="0"/>
    <n v="0"/>
    <n v="0"/>
  </r>
  <r>
    <s v="PAP/BAF"/>
    <s v="BAF"/>
    <x v="2"/>
    <x v="4"/>
    <x v="9"/>
    <x v="3"/>
    <s v="Springfield - Westfield-Barnes Rgnl"/>
    <n v="2622"/>
    <n v="8"/>
    <m/>
    <n v="0"/>
    <m/>
    <n v="0"/>
    <n v="0"/>
    <n v="0"/>
    <n v="0"/>
    <n v="0"/>
    <n v="0"/>
    <n v="0"/>
    <n v="0"/>
    <n v="0"/>
    <n v="0"/>
  </r>
  <r>
    <s v="PAP/GGG"/>
    <s v="GGG"/>
    <x v="2"/>
    <x v="4"/>
    <x v="9"/>
    <x v="3"/>
    <s v="Longview - East Texas Regional"/>
    <n v="2714"/>
    <n v="8"/>
    <m/>
    <n v="0"/>
    <m/>
    <n v="0"/>
    <n v="0"/>
    <n v="0"/>
    <n v="0"/>
    <n v="0"/>
    <n v="0"/>
    <n v="0"/>
    <n v="0"/>
    <n v="0"/>
    <n v="0"/>
  </r>
  <r>
    <s v="PAP/YNG"/>
    <s v="YNG"/>
    <x v="2"/>
    <x v="4"/>
    <x v="9"/>
    <x v="3"/>
    <s v="Youngstown/Warren - Regional"/>
    <n v="2645"/>
    <n v="8"/>
    <m/>
    <n v="0"/>
    <m/>
    <n v="0"/>
    <n v="0"/>
    <n v="0"/>
    <n v="0"/>
    <n v="0"/>
    <n v="0"/>
    <n v="0"/>
    <n v="0"/>
    <n v="0"/>
    <n v="0"/>
  </r>
  <r>
    <s v="PAP/LIT"/>
    <s v="LIT"/>
    <x v="2"/>
    <x v="5"/>
    <x v="9"/>
    <x v="3"/>
    <s v="Little Rock - B. &amp; H. Clinton Natl"/>
    <n v="2664"/>
    <n v="8"/>
    <m/>
    <n v="0"/>
    <m/>
    <n v="0"/>
    <n v="0"/>
    <n v="0"/>
    <n v="0"/>
    <n v="0"/>
    <n v="0"/>
    <n v="0"/>
    <n v="0"/>
    <n v="0"/>
    <n v="0"/>
  </r>
  <r>
    <s v="PAP/SHV"/>
    <s v="SHV"/>
    <x v="2"/>
    <x v="5"/>
    <x v="9"/>
    <x v="3"/>
    <s v="Shreveport - Metropolitan Area"/>
    <n v="2646"/>
    <n v="8"/>
    <m/>
    <n v="0"/>
    <m/>
    <n v="0"/>
    <n v="0"/>
    <n v="0"/>
    <n v="0"/>
    <n v="0"/>
    <n v="0"/>
    <n v="0"/>
    <n v="0"/>
    <n v="0"/>
    <n v="0"/>
  </r>
  <r>
    <s v="PAP/CMH"/>
    <s v="CMH"/>
    <x v="2"/>
    <x v="2"/>
    <x v="9"/>
    <x v="3"/>
    <s v="Columbus - Metropolitan Area"/>
    <n v="2589"/>
    <n v="7.75"/>
    <m/>
    <n v="0"/>
    <m/>
    <n v="0"/>
    <n v="0"/>
    <n v="0"/>
    <n v="0"/>
    <n v="0"/>
    <n v="0"/>
    <n v="0"/>
    <n v="0"/>
    <n v="0"/>
    <n v="0"/>
  </r>
  <r>
    <s v="PAP/CVG"/>
    <s v="CVG"/>
    <x v="2"/>
    <x v="2"/>
    <x v="9"/>
    <x v="3"/>
    <s v="Cincinnati - Metropolitan Area"/>
    <n v="2570"/>
    <n v="7.75"/>
    <m/>
    <n v="0"/>
    <m/>
    <n v="0"/>
    <n v="0"/>
    <n v="0"/>
    <n v="0"/>
    <n v="0"/>
    <n v="0"/>
    <n v="0"/>
    <n v="0"/>
    <n v="0"/>
    <n v="0"/>
  </r>
  <r>
    <s v="PAP/PIT"/>
    <s v="PIT"/>
    <x v="2"/>
    <x v="2"/>
    <x v="9"/>
    <x v="3"/>
    <s v="Pittsburgh - Metropolitan Area"/>
    <n v="2552"/>
    <n v="7.75"/>
    <m/>
    <n v="0"/>
    <m/>
    <n v="0"/>
    <n v="0"/>
    <n v="0"/>
    <n v="0"/>
    <n v="0"/>
    <n v="0"/>
    <n v="0"/>
    <n v="0"/>
    <n v="0"/>
    <n v="0"/>
  </r>
  <r>
    <s v="PAP/BDL"/>
    <s v="BDL"/>
    <x v="2"/>
    <x v="0"/>
    <x v="9"/>
    <x v="3"/>
    <s v="Springfield - Bradley International"/>
    <n v="2598"/>
    <n v="7.75"/>
    <m/>
    <n v="0"/>
    <m/>
    <n v="0"/>
    <n v="0"/>
    <n v="0"/>
    <n v="0"/>
    <n v="0"/>
    <n v="0"/>
    <n v="0"/>
    <n v="0"/>
    <n v="0"/>
    <n v="0"/>
  </r>
  <r>
    <s v="PAP/SDF"/>
    <s v="SDF"/>
    <x v="2"/>
    <x v="0"/>
    <x v="9"/>
    <x v="3"/>
    <s v="Louisville - Metropolitan Area"/>
    <n v="2539"/>
    <n v="7.75"/>
    <m/>
    <n v="0"/>
    <m/>
    <n v="0"/>
    <n v="0"/>
    <n v="0"/>
    <n v="0"/>
    <n v="0"/>
    <n v="0"/>
    <n v="0"/>
    <n v="0"/>
    <n v="0"/>
    <n v="0"/>
  </r>
  <r>
    <s v="PAP/HUX"/>
    <s v="HUX"/>
    <x v="2"/>
    <x v="1"/>
    <x v="15"/>
    <x v="1"/>
    <s v="Huatulco - Bahias de Huatulco Int"/>
    <n v="2564"/>
    <n v="7.75"/>
    <m/>
    <n v="0"/>
    <m/>
    <n v="0"/>
    <n v="0"/>
    <n v="0"/>
    <n v="0"/>
    <n v="0"/>
    <n v="0"/>
    <n v="0"/>
    <n v="0"/>
    <n v="0"/>
    <n v="0"/>
  </r>
  <r>
    <s v="PAP/SWF"/>
    <s v="SWF"/>
    <x v="2"/>
    <x v="1"/>
    <x v="9"/>
    <x v="3"/>
    <s v="New York - Stewart International"/>
    <n v="2555"/>
    <n v="7.75"/>
    <m/>
    <n v="0"/>
    <m/>
    <n v="0"/>
    <n v="0"/>
    <n v="0"/>
    <n v="0"/>
    <n v="0"/>
    <n v="0"/>
    <n v="0"/>
    <n v="0"/>
    <n v="0"/>
    <n v="0"/>
  </r>
  <r>
    <s v="PAP/LBE"/>
    <s v="LBE"/>
    <x v="2"/>
    <x v="4"/>
    <x v="9"/>
    <x v="3"/>
    <s v="Latrobe - Arnold Palmer Regional"/>
    <n v="2507"/>
    <n v="7.75"/>
    <m/>
    <n v="0"/>
    <m/>
    <n v="0"/>
    <n v="0"/>
    <n v="0"/>
    <n v="0"/>
    <n v="0"/>
    <n v="0"/>
    <n v="0"/>
    <n v="0"/>
    <n v="0"/>
    <n v="0"/>
  </r>
  <r>
    <s v="PAP/MDT"/>
    <s v="MDT"/>
    <x v="2"/>
    <x v="0"/>
    <x v="9"/>
    <x v="3"/>
    <s v="Harrisburg - International"/>
    <n v="2441"/>
    <n v="7.5"/>
    <m/>
    <n v="0"/>
    <m/>
    <n v="0"/>
    <n v="0"/>
    <n v="0"/>
    <n v="0"/>
    <n v="0"/>
    <n v="0"/>
    <n v="0"/>
    <n v="0"/>
    <n v="0"/>
    <n v="0"/>
  </r>
  <r>
    <s v="PAP/AEX"/>
    <s v="AEX"/>
    <x v="2"/>
    <x v="1"/>
    <x v="9"/>
    <x v="3"/>
    <s v="Alexandria - Metropolitan Area"/>
    <n v="2479"/>
    <n v="7.5"/>
    <m/>
    <n v="0"/>
    <m/>
    <n v="0"/>
    <n v="0"/>
    <n v="0"/>
    <n v="0"/>
    <n v="0"/>
    <n v="0"/>
    <n v="0"/>
    <n v="0"/>
    <n v="0"/>
    <n v="0"/>
  </r>
  <r>
    <s v="PAP/HSV"/>
    <s v="HSV"/>
    <x v="2"/>
    <x v="0"/>
    <x v="9"/>
    <x v="3"/>
    <s v="Huntsville - Metropolitan Area"/>
    <n v="2288"/>
    <n v="7.25"/>
    <m/>
    <n v="0"/>
    <m/>
    <n v="0"/>
    <n v="0"/>
    <n v="0"/>
    <n v="0"/>
    <n v="0"/>
    <n v="0"/>
    <n v="0"/>
    <n v="0"/>
    <n v="0"/>
    <n v="0"/>
  </r>
  <r>
    <s v="PAP/ACY"/>
    <s v="ACY"/>
    <x v="2"/>
    <x v="1"/>
    <x v="9"/>
    <x v="3"/>
    <s v="Atlantic City - International"/>
    <n v="2332"/>
    <n v="7.25"/>
    <m/>
    <n v="0"/>
    <m/>
    <n v="0"/>
    <n v="0"/>
    <n v="0"/>
    <n v="0"/>
    <n v="0"/>
    <n v="0"/>
    <n v="0"/>
    <n v="0"/>
    <n v="0"/>
    <n v="0"/>
  </r>
  <r>
    <s v="PAP/JAN"/>
    <s v="JAN"/>
    <x v="2"/>
    <x v="5"/>
    <x v="9"/>
    <x v="3"/>
    <s v="Jackson - Metropolitan Area"/>
    <n v="2343"/>
    <n v="7.25"/>
    <m/>
    <n v="0"/>
    <m/>
    <n v="0"/>
    <n v="0"/>
    <n v="0"/>
    <n v="0"/>
    <n v="0"/>
    <n v="0"/>
    <n v="0"/>
    <n v="0"/>
    <n v="0"/>
    <n v="0"/>
  </r>
  <r>
    <s v="PAP/BHM"/>
    <s v="BHM"/>
    <x v="2"/>
    <x v="0"/>
    <x v="9"/>
    <x v="3"/>
    <s v="Birmingham - Shuttlesworth Intl"/>
    <n v="2200"/>
    <n v="7"/>
    <m/>
    <n v="0"/>
    <m/>
    <n v="0"/>
    <n v="0"/>
    <n v="0"/>
    <n v="0"/>
    <n v="0"/>
    <n v="0"/>
    <n v="0"/>
    <n v="0"/>
    <n v="0"/>
    <n v="0"/>
  </r>
  <r>
    <s v="PAP/MEI"/>
    <s v="MEI"/>
    <x v="2"/>
    <x v="4"/>
    <x v="9"/>
    <x v="3"/>
    <s v="Meridian - Regional (Key Field)"/>
    <n v="2246"/>
    <n v="7"/>
    <m/>
    <n v="0"/>
    <m/>
    <n v="0"/>
    <n v="0"/>
    <n v="0"/>
    <n v="0"/>
    <n v="0"/>
    <n v="0"/>
    <n v="0"/>
    <n v="0"/>
    <n v="0"/>
    <n v="0"/>
  </r>
  <r>
    <s v="PAP/TYS"/>
    <s v="TYS"/>
    <x v="2"/>
    <x v="5"/>
    <x v="9"/>
    <x v="3"/>
    <s v="Knoxville - McGhee Tyson"/>
    <n v="2234"/>
    <n v="7"/>
    <m/>
    <n v="0"/>
    <m/>
    <n v="0"/>
    <n v="0"/>
    <n v="0"/>
    <n v="0"/>
    <n v="0"/>
    <n v="0"/>
    <n v="0"/>
    <n v="0"/>
    <n v="0"/>
    <n v="0"/>
  </r>
  <r>
    <s v="PAP/BFM"/>
    <s v="BFM"/>
    <x v="2"/>
    <x v="0"/>
    <x v="9"/>
    <x v="3"/>
    <s v="Mobile - Downtown Arpt"/>
    <n v="2079"/>
    <n v="6.75"/>
    <m/>
    <n v="0"/>
    <m/>
    <n v="0"/>
    <n v="0"/>
    <n v="0"/>
    <n v="0"/>
    <n v="0"/>
    <n v="0"/>
    <n v="0"/>
    <n v="0"/>
    <n v="0"/>
    <n v="0"/>
  </r>
  <r>
    <s v="PAP/GSO"/>
    <s v="GSO"/>
    <x v="2"/>
    <x v="0"/>
    <x v="9"/>
    <x v="3"/>
    <s v="Greensboro/High Point - Piedmont Triad Intl"/>
    <n v="2087"/>
    <n v="6.75"/>
    <m/>
    <n v="0"/>
    <m/>
    <n v="0"/>
    <n v="0"/>
    <n v="0"/>
    <n v="0"/>
    <n v="0"/>
    <n v="0"/>
    <n v="0"/>
    <n v="0"/>
    <n v="0"/>
    <n v="0"/>
  </r>
  <r>
    <s v="PAP/GSP"/>
    <s v="GSP"/>
    <x v="2"/>
    <x v="0"/>
    <x v="9"/>
    <x v="3"/>
    <s v="Greenville/Spartanburg - Metropolitan Area"/>
    <n v="2062"/>
    <n v="6.75"/>
    <m/>
    <n v="0"/>
    <m/>
    <n v="0"/>
    <n v="0"/>
    <n v="0"/>
    <n v="0"/>
    <n v="0"/>
    <n v="0"/>
    <n v="0"/>
    <n v="0"/>
    <n v="0"/>
    <n v="0"/>
  </r>
  <r>
    <s v="PAP/ORF"/>
    <s v="ORF"/>
    <x v="2"/>
    <x v="0"/>
    <x v="9"/>
    <x v="3"/>
    <s v="Norfolk - Metropolitan Area"/>
    <n v="2072"/>
    <n v="6.75"/>
    <m/>
    <n v="0"/>
    <m/>
    <n v="0"/>
    <n v="0"/>
    <n v="0"/>
    <n v="0"/>
    <n v="0"/>
    <n v="0"/>
    <n v="0"/>
    <n v="0"/>
    <n v="0"/>
    <n v="0"/>
  </r>
  <r>
    <s v="PAP/GPT"/>
    <s v="GPT"/>
    <x v="2"/>
    <x v="5"/>
    <x v="9"/>
    <x v="3"/>
    <s v="Gulfport/Biloxi - International"/>
    <n v="2143"/>
    <n v="6.75"/>
    <m/>
    <n v="0"/>
    <m/>
    <n v="0"/>
    <n v="0"/>
    <n v="0"/>
    <n v="0"/>
    <n v="0"/>
    <n v="0"/>
    <n v="0"/>
    <n v="0"/>
    <n v="0"/>
    <n v="0"/>
  </r>
  <r>
    <s v="PAP/MGM"/>
    <s v="MGM"/>
    <x v="2"/>
    <x v="5"/>
    <x v="9"/>
    <x v="3"/>
    <s v="Montgomery - Metropolitan Area"/>
    <n v="2077"/>
    <n v="6.75"/>
    <m/>
    <n v="0"/>
    <m/>
    <n v="0"/>
    <n v="0"/>
    <n v="0"/>
    <n v="0"/>
    <n v="0"/>
    <n v="0"/>
    <n v="0"/>
    <n v="0"/>
    <n v="0"/>
    <n v="0"/>
  </r>
  <r>
    <s v="PAP/MOB"/>
    <s v="MOB"/>
    <x v="2"/>
    <x v="5"/>
    <x v="9"/>
    <x v="3"/>
    <s v="Mobile - Metropolitan Area"/>
    <n v="2096"/>
    <n v="6.75"/>
    <m/>
    <n v="0"/>
    <m/>
    <n v="0"/>
    <n v="0"/>
    <n v="0"/>
    <n v="0"/>
    <n v="0"/>
    <n v="0"/>
    <n v="0"/>
    <n v="0"/>
    <n v="0"/>
    <n v="0"/>
  </r>
  <r>
    <s v="PAP/RIC"/>
    <s v="RIC"/>
    <x v="2"/>
    <x v="5"/>
    <x v="9"/>
    <x v="3"/>
    <s v="Richmond - International"/>
    <n v="2161"/>
    <n v="6.75"/>
    <m/>
    <n v="0"/>
    <m/>
    <n v="0"/>
    <n v="0"/>
    <n v="0"/>
    <n v="0"/>
    <n v="0"/>
    <n v="0"/>
    <n v="0"/>
    <n v="0"/>
    <n v="0"/>
    <n v="0"/>
  </r>
  <r>
    <s v="PAP/RDU"/>
    <s v="RDU"/>
    <x v="2"/>
    <x v="2"/>
    <x v="9"/>
    <x v="3"/>
    <s v="Raleigh/Durham - International"/>
    <n v="2026"/>
    <n v="6.5"/>
    <m/>
    <n v="0"/>
    <m/>
    <n v="0"/>
    <n v="0"/>
    <n v="0"/>
    <n v="0"/>
    <n v="0"/>
    <n v="0"/>
    <n v="0"/>
    <n v="0"/>
    <n v="0"/>
    <n v="0"/>
  </r>
  <r>
    <s v="PAP/DHN"/>
    <s v="DHN"/>
    <x v="2"/>
    <x v="1"/>
    <x v="9"/>
    <x v="3"/>
    <s v="Dothan - Regional"/>
    <n v="1937"/>
    <n v="6.5"/>
    <m/>
    <n v="0"/>
    <m/>
    <n v="0"/>
    <n v="0"/>
    <n v="0"/>
    <n v="0"/>
    <n v="0"/>
    <n v="0"/>
    <n v="0"/>
    <n v="0"/>
    <n v="0"/>
    <n v="0"/>
  </r>
  <r>
    <s v="PAP/VPS"/>
    <s v="VPS"/>
    <x v="2"/>
    <x v="1"/>
    <x v="9"/>
    <x v="3"/>
    <s v="Destin/Ft Walton Beach - Metropolitan Area"/>
    <n v="1952"/>
    <n v="6.5"/>
    <m/>
    <n v="0"/>
    <m/>
    <n v="0"/>
    <n v="0"/>
    <n v="0"/>
    <n v="0"/>
    <n v="0"/>
    <n v="0"/>
    <n v="0"/>
    <n v="0"/>
    <n v="0"/>
    <n v="0"/>
  </r>
  <r>
    <s v="PAP/CAE"/>
    <s v="CAE"/>
    <x v="2"/>
    <x v="5"/>
    <x v="9"/>
    <x v="3"/>
    <s v="Columbia - Metropolitan Area"/>
    <n v="1919"/>
    <n v="6.25"/>
    <m/>
    <n v="0"/>
    <m/>
    <n v="0"/>
    <n v="0"/>
    <n v="0"/>
    <n v="0"/>
    <n v="0"/>
    <n v="0"/>
    <n v="0"/>
    <n v="0"/>
    <n v="0"/>
    <n v="0"/>
  </r>
  <r>
    <s v="PAP/MYR"/>
    <s v="MYR"/>
    <x v="2"/>
    <x v="0"/>
    <x v="9"/>
    <x v="3"/>
    <s v="Myrtle Beach - Metropolitan Area"/>
    <n v="1804"/>
    <n v="6"/>
    <m/>
    <n v="0"/>
    <m/>
    <n v="0"/>
    <n v="0"/>
    <n v="0"/>
    <n v="0"/>
    <n v="0"/>
    <n v="0"/>
    <n v="0"/>
    <n v="0"/>
    <n v="0"/>
    <n v="0"/>
  </r>
  <r>
    <s v="PAP/SAV"/>
    <s v="SAV"/>
    <x v="2"/>
    <x v="0"/>
    <x v="9"/>
    <x v="3"/>
    <s v="Savannah - Metropolitan Area"/>
    <n v="1750"/>
    <n v="6"/>
    <m/>
    <n v="0"/>
    <m/>
    <n v="0"/>
    <n v="0"/>
    <n v="0"/>
    <n v="0"/>
    <n v="0"/>
    <n v="0"/>
    <n v="0"/>
    <n v="0"/>
    <n v="0"/>
    <n v="0"/>
  </r>
  <r>
    <s v="PAP/BDA"/>
    <s v="BDA"/>
    <x v="2"/>
    <x v="1"/>
    <x v="165"/>
    <x v="1"/>
    <s v="Bermuda - L.F Wade International"/>
    <n v="1711"/>
    <n v="6"/>
    <m/>
    <n v="0"/>
    <m/>
    <n v="0"/>
    <n v="0"/>
    <n v="0"/>
    <n v="0"/>
    <n v="0"/>
    <n v="0"/>
    <n v="0"/>
    <n v="0"/>
    <n v="0"/>
    <n v="0"/>
  </r>
  <r>
    <s v="PAP/JAX"/>
    <s v="JAX"/>
    <x v="2"/>
    <x v="2"/>
    <x v="9"/>
    <x v="3"/>
    <s v="Jacksonville - Metropolitan Area"/>
    <n v="1628"/>
    <n v="5.75"/>
    <m/>
    <n v="0"/>
    <m/>
    <n v="0"/>
    <n v="0"/>
    <n v="0"/>
    <n v="0"/>
    <n v="0"/>
    <n v="0"/>
    <n v="0"/>
    <n v="0"/>
    <n v="0"/>
    <n v="0"/>
  </r>
  <r>
    <s v="PAP/SAP"/>
    <s v="SAP"/>
    <x v="2"/>
    <x v="1"/>
    <x v="166"/>
    <x v="1"/>
    <s v="San Pedro Sula - Ramon V. Morales Intl"/>
    <n v="1697"/>
    <n v="5.75"/>
    <m/>
    <n v="0"/>
    <m/>
    <n v="0"/>
    <n v="0"/>
    <n v="0"/>
    <n v="0"/>
    <n v="0"/>
    <n v="0"/>
    <n v="0"/>
    <n v="0"/>
    <n v="0"/>
    <n v="0"/>
  </r>
  <r>
    <s v="PAP/CZM"/>
    <s v="CZM"/>
    <x v="2"/>
    <x v="1"/>
    <x v="15"/>
    <x v="1"/>
    <s v="Cozumel - International"/>
    <n v="1548"/>
    <n v="5.5"/>
    <m/>
    <n v="0"/>
    <m/>
    <n v="0"/>
    <n v="0"/>
    <n v="0"/>
    <n v="0"/>
    <n v="0"/>
    <n v="0"/>
    <n v="0"/>
    <n v="0"/>
    <n v="0"/>
    <n v="0"/>
  </r>
  <r>
    <s v="PAP/LCE"/>
    <s v="LCE"/>
    <x v="2"/>
    <x v="1"/>
    <x v="166"/>
    <x v="1"/>
    <s v="La Ceiba - Goloson International"/>
    <n v="1578"/>
    <n v="5.5"/>
    <m/>
    <n v="0"/>
    <m/>
    <n v="0"/>
    <n v="0"/>
    <n v="0"/>
    <n v="0"/>
    <n v="0"/>
    <n v="0"/>
    <n v="0"/>
    <n v="0"/>
    <n v="0"/>
    <n v="0"/>
  </r>
  <r>
    <s v="PAP/PIE"/>
    <s v="PIE"/>
    <x v="2"/>
    <x v="1"/>
    <x v="9"/>
    <x v="3"/>
    <s v="Tampa - St.Pete-Clearwater Int"/>
    <n v="1483"/>
    <n v="5.5"/>
    <m/>
    <n v="0"/>
    <m/>
    <n v="0"/>
    <n v="0"/>
    <n v="0"/>
    <n v="0"/>
    <n v="0"/>
    <n v="0"/>
    <n v="0"/>
    <n v="0"/>
    <n v="0"/>
    <n v="0"/>
  </r>
  <r>
    <s v="PAP/SFB"/>
    <s v="SFB"/>
    <x v="2"/>
    <x v="0"/>
    <x v="9"/>
    <x v="3"/>
    <s v="Orlando - Sanford Intl"/>
    <n v="1453"/>
    <n v="5.25"/>
    <m/>
    <n v="0"/>
    <m/>
    <n v="0"/>
    <n v="0"/>
    <n v="0"/>
    <n v="0"/>
    <n v="0"/>
    <n v="0"/>
    <n v="0"/>
    <n v="0"/>
    <n v="0"/>
    <n v="0"/>
  </r>
  <r>
    <s v="PAP/SRQ"/>
    <s v="SRQ"/>
    <x v="2"/>
    <x v="0"/>
    <x v="9"/>
    <x v="3"/>
    <s v="Sarasota/Bradenton - International"/>
    <n v="1435"/>
    <n v="5.25"/>
    <m/>
    <n v="0"/>
    <m/>
    <n v="0"/>
    <n v="0"/>
    <n v="0"/>
    <n v="0"/>
    <n v="0"/>
    <n v="0"/>
    <n v="0"/>
    <n v="0"/>
    <n v="0"/>
    <n v="0"/>
  </r>
  <r>
    <s v="PAP/DAB"/>
    <s v="DAB"/>
    <x v="2"/>
    <x v="1"/>
    <x v="9"/>
    <x v="3"/>
    <s v="Daytona Beach - International"/>
    <n v="1476"/>
    <n v="5.25"/>
    <m/>
    <n v="0"/>
    <m/>
    <n v="0"/>
    <n v="0"/>
    <n v="0"/>
    <n v="0"/>
    <n v="0"/>
    <n v="0"/>
    <n v="0"/>
    <n v="0"/>
    <n v="0"/>
    <n v="0"/>
  </r>
  <r>
    <s v="PAP/RSW"/>
    <s v="RSW"/>
    <x v="2"/>
    <x v="2"/>
    <x v="9"/>
    <x v="3"/>
    <s v="Fort Myers - Southwest Florida Intl"/>
    <n v="1313"/>
    <n v="5"/>
    <m/>
    <n v="0"/>
    <m/>
    <n v="0"/>
    <n v="0"/>
    <n v="0"/>
    <n v="0"/>
    <n v="0"/>
    <n v="0"/>
    <n v="0"/>
    <n v="0"/>
    <n v="0"/>
    <n v="0"/>
  </r>
  <r>
    <s v="PAP/GND"/>
    <s v="GND"/>
    <x v="2"/>
    <x v="1"/>
    <x v="167"/>
    <x v="1"/>
    <s v="Grenada - Maurice Bishop Intl"/>
    <n v="1342"/>
    <n v="5"/>
    <m/>
    <n v="0"/>
    <m/>
    <n v="0"/>
    <n v="0"/>
    <n v="0"/>
    <n v="0"/>
    <n v="0"/>
    <n v="0"/>
    <n v="0"/>
    <n v="0"/>
    <n v="0"/>
    <n v="0"/>
  </r>
  <r>
    <s v="PAP/UVF"/>
    <s v="UVF"/>
    <x v="2"/>
    <x v="1"/>
    <x v="168"/>
    <x v="1"/>
    <s v="St Lucia - Hewanorra Intl"/>
    <n v="1325"/>
    <n v="5"/>
    <m/>
    <n v="0"/>
    <m/>
    <n v="0"/>
    <n v="0"/>
    <n v="0"/>
    <n v="0"/>
    <n v="0"/>
    <n v="0"/>
    <n v="0"/>
    <n v="0"/>
    <n v="0"/>
    <n v="0"/>
  </r>
  <r>
    <s v="PAP/MLB"/>
    <s v="MLB"/>
    <x v="2"/>
    <x v="1"/>
    <x v="9"/>
    <x v="3"/>
    <s v="Melbourne - Orlando Melbourne Intl"/>
    <n v="1358"/>
    <n v="5"/>
    <m/>
    <n v="0"/>
    <m/>
    <n v="0"/>
    <n v="0"/>
    <n v="0"/>
    <n v="0"/>
    <n v="0"/>
    <n v="0"/>
    <n v="0"/>
    <n v="0"/>
    <n v="0"/>
    <n v="0"/>
  </r>
  <r>
    <s v="PAP/PBI"/>
    <s v="PBI"/>
    <x v="2"/>
    <x v="2"/>
    <x v="9"/>
    <x v="3"/>
    <s v="West Palm Beach - Metropolitan Area"/>
    <n v="1205"/>
    <n v="4.75"/>
    <m/>
    <n v="0"/>
    <m/>
    <n v="0"/>
    <n v="0"/>
    <n v="0"/>
    <n v="0"/>
    <n v="0"/>
    <n v="0"/>
    <n v="0"/>
    <n v="0"/>
    <n v="0"/>
    <n v="0"/>
  </r>
  <r>
    <s v="PAP/DOM"/>
    <s v="DOM"/>
    <x v="2"/>
    <x v="1"/>
    <x v="169"/>
    <x v="1"/>
    <s v="Dominica - Metropolitan Area"/>
    <n v="1216"/>
    <n v="4.75"/>
    <m/>
    <n v="0"/>
    <m/>
    <n v="0"/>
    <n v="0"/>
    <n v="0"/>
    <n v="0"/>
    <n v="0"/>
    <n v="0"/>
    <n v="0"/>
    <n v="0"/>
    <n v="0"/>
    <n v="0"/>
  </r>
  <r>
    <s v="PAP/ANU"/>
    <s v="ANU"/>
    <x v="2"/>
    <x v="1"/>
    <x v="170"/>
    <x v="1"/>
    <s v="Antigua - V.C. Bird Intl"/>
    <n v="1122"/>
    <n v="4.5"/>
    <m/>
    <n v="0"/>
    <m/>
    <n v="0"/>
    <n v="0"/>
    <n v="0"/>
    <n v="0"/>
    <n v="0"/>
    <n v="0"/>
    <n v="0"/>
    <n v="0"/>
    <n v="0"/>
    <n v="0"/>
  </r>
  <r>
    <s v="PAP/VRA"/>
    <s v="VRA"/>
    <x v="2"/>
    <x v="1"/>
    <x v="84"/>
    <x v="1"/>
    <s v="Varadero - Juan G. Gomez Intl"/>
    <n v="1071"/>
    <n v="4.5"/>
    <m/>
    <n v="0"/>
    <m/>
    <n v="0"/>
    <n v="0"/>
    <n v="0"/>
    <n v="0"/>
    <n v="0"/>
    <n v="0"/>
    <n v="0"/>
    <n v="0"/>
    <n v="0"/>
    <n v="0"/>
  </r>
  <r>
    <s v="PAP/CYO"/>
    <s v="CYO"/>
    <x v="2"/>
    <x v="1"/>
    <x v="84"/>
    <x v="1"/>
    <s v="Cayo Largo del Sur - Vilo Acuna Intl"/>
    <n v="1023"/>
    <n v="4.25"/>
    <m/>
    <n v="0"/>
    <m/>
    <n v="0"/>
    <n v="0"/>
    <n v="0"/>
    <n v="0"/>
    <n v="0"/>
    <n v="0"/>
    <n v="0"/>
    <n v="0"/>
    <n v="0"/>
    <n v="0"/>
  </r>
  <r>
    <s v="PAP/BON"/>
    <s v="BON"/>
    <x v="2"/>
    <x v="1"/>
    <x v="171"/>
    <x v="1"/>
    <s v="Bonaire - Flamingo International"/>
    <n v="837"/>
    <n v="4"/>
    <m/>
    <n v="0"/>
    <m/>
    <n v="0"/>
    <n v="0"/>
    <n v="0"/>
    <n v="0"/>
    <n v="0"/>
    <n v="0"/>
    <n v="0"/>
    <n v="0"/>
    <n v="0"/>
    <n v="0"/>
  </r>
  <r>
    <s v="PAP/SNU"/>
    <s v="SNU"/>
    <x v="2"/>
    <x v="4"/>
    <x v="84"/>
    <x v="1"/>
    <s v="Santa Clara - Abel Santamaria"/>
    <n v="907"/>
    <n v="4"/>
    <m/>
    <n v="0"/>
    <m/>
    <n v="0"/>
    <n v="0"/>
    <n v="0"/>
    <n v="0"/>
    <n v="0"/>
    <n v="0"/>
    <n v="0"/>
    <n v="0"/>
    <n v="0"/>
    <n v="0"/>
  </r>
  <r>
    <s v="PAP/CCC"/>
    <s v="CCC"/>
    <x v="2"/>
    <x v="1"/>
    <x v="84"/>
    <x v="1"/>
    <s v="Cayo Coco - Jardines del Rey"/>
    <n v="781"/>
    <n v="3.75"/>
    <m/>
    <n v="0"/>
    <m/>
    <n v="0"/>
    <n v="0"/>
    <n v="0"/>
    <n v="0"/>
    <n v="0"/>
    <n v="0"/>
    <n v="0"/>
    <n v="0"/>
    <n v="0"/>
    <n v="0"/>
  </r>
  <r>
    <s v="PAP/CUR"/>
    <s v="CUR"/>
    <x v="2"/>
    <x v="1"/>
    <x v="171"/>
    <x v="1"/>
    <s v="Curacao - Hato Intl"/>
    <n v="795"/>
    <n v="3.75"/>
    <m/>
    <n v="0"/>
    <m/>
    <n v="0"/>
    <n v="0"/>
    <n v="0"/>
    <n v="0"/>
    <n v="0"/>
    <n v="0"/>
    <n v="0"/>
    <n v="0"/>
    <n v="0"/>
    <n v="0"/>
  </r>
  <r>
    <s v="PAP/CMW"/>
    <s v="CMW"/>
    <x v="2"/>
    <x v="1"/>
    <x v="84"/>
    <x v="1"/>
    <s v="Camaguey - Ignacio Agramonte Intl"/>
    <n v="660"/>
    <n v="3.5"/>
    <m/>
    <n v="0"/>
    <m/>
    <n v="0"/>
    <n v="0"/>
    <n v="0"/>
    <n v="0"/>
    <n v="0"/>
    <n v="0"/>
    <n v="0"/>
    <n v="0"/>
    <n v="0"/>
    <n v="0"/>
  </r>
  <r>
    <s v="PAP/HOG"/>
    <s v="HOG"/>
    <x v="2"/>
    <x v="1"/>
    <x v="84"/>
    <x v="1"/>
    <s v="Holguin - Frank Pais Intl"/>
    <n v="487"/>
    <n v="3.25"/>
    <m/>
    <n v="0"/>
    <m/>
    <n v="0"/>
    <n v="0"/>
    <n v="0"/>
    <n v="0"/>
    <n v="0"/>
    <n v="0"/>
    <n v="0"/>
    <n v="0"/>
    <n v="0"/>
    <n v="0"/>
  </r>
  <r>
    <s v="PAP/LRM"/>
    <s v="LRM"/>
    <x v="2"/>
    <x v="1"/>
    <x v="4"/>
    <x v="1"/>
    <s v="La Romana - Casa de Campo Intl"/>
    <n v="356"/>
    <n v="3"/>
    <m/>
    <n v="0"/>
    <m/>
    <n v="0"/>
    <n v="0"/>
    <n v="0"/>
    <n v="0"/>
    <n v="0"/>
    <n v="0"/>
    <n v="0"/>
    <n v="0"/>
    <n v="0"/>
    <n v="0"/>
  </r>
  <r>
    <s v="PAP/SCU"/>
    <s v="SCU"/>
    <x v="2"/>
    <x v="1"/>
    <x v="84"/>
    <x v="1"/>
    <s v="Santiago de Cuba - Antonio Maceo Intl"/>
    <n v="402"/>
    <n v="3"/>
    <m/>
    <n v="0"/>
    <m/>
    <n v="0"/>
    <n v="0"/>
    <n v="0"/>
    <n v="0"/>
    <n v="0"/>
    <n v="0"/>
    <n v="0"/>
    <n v="0"/>
    <n v="0"/>
    <n v="0"/>
  </r>
  <r>
    <s v="PAP/AZS"/>
    <s v="AZS"/>
    <x v="2"/>
    <x v="1"/>
    <x v="4"/>
    <x v="1"/>
    <s v="Samana - El Catey Intl"/>
    <n v="279"/>
    <n v="2.75"/>
    <m/>
    <n v="0"/>
    <m/>
    <n v="0"/>
    <n v="0"/>
    <n v="0"/>
    <n v="0"/>
    <n v="0"/>
    <n v="0"/>
    <n v="0"/>
    <n v="0"/>
    <n v="0"/>
    <n v="0"/>
  </r>
  <r>
    <s v="PAP/POP"/>
    <s v="POP"/>
    <x v="2"/>
    <x v="1"/>
    <x v="4"/>
    <x v="1"/>
    <s v="Puerto Plata - Gregorio Luperon Intl"/>
    <n v="223"/>
    <n v="2.5"/>
    <m/>
    <n v="0"/>
    <m/>
    <n v="0"/>
    <n v="0"/>
    <n v="0"/>
    <n v="0"/>
    <n v="0"/>
    <n v="0"/>
    <n v="0"/>
    <n v="0"/>
    <n v="0"/>
    <n v="0"/>
  </r>
  <r>
    <s v="PAP/OIT"/>
    <s v="OIT"/>
    <x v="0"/>
    <x v="0"/>
    <x v="18"/>
    <x v="4"/>
    <s v="Oita"/>
    <n v="13693"/>
    <n v="32.25"/>
    <n v="253791823"/>
    <n v="90188.991826581376"/>
    <n v="2814"/>
    <n v="2.9621052631578948"/>
    <n v="0"/>
    <n v="0"/>
    <n v="0"/>
    <n v="0"/>
    <n v="0"/>
    <n v="0"/>
    <n v="0"/>
    <n v="0"/>
    <n v="0"/>
  </r>
  <r>
    <s v="PAP/KMQ"/>
    <s v="KMQ"/>
    <x v="0"/>
    <x v="0"/>
    <x v="18"/>
    <x v="4"/>
    <s v="Komatsu"/>
    <n v="13202"/>
    <n v="31"/>
    <n v="251510818"/>
    <n v="86104.353988360148"/>
    <n v="2921"/>
    <n v="3.074736842105263"/>
    <n v="0"/>
    <n v="0"/>
    <n v="0"/>
    <n v="0"/>
    <n v="0"/>
    <n v="0"/>
    <n v="0"/>
    <n v="0"/>
    <n v="0"/>
  </r>
  <r>
    <s v="PAP/SDJ"/>
    <s v="SDJ"/>
    <x v="0"/>
    <x v="0"/>
    <x v="18"/>
    <x v="4"/>
    <s v="Sendai"/>
    <n v="12821"/>
    <n v="30.25"/>
    <n v="250136031"/>
    <n v="82689.597024793387"/>
    <n v="3025"/>
    <n v="3.1842105263157894"/>
    <n v="0"/>
    <n v="0"/>
    <n v="0"/>
    <n v="0"/>
    <n v="0"/>
    <n v="0"/>
    <n v="0"/>
    <n v="0"/>
    <n v="0"/>
  </r>
  <r>
    <s v="PAP/KMJ"/>
    <s v="KMJ"/>
    <x v="0"/>
    <x v="0"/>
    <x v="18"/>
    <x v="4"/>
    <s v="Kumamoto"/>
    <n v="13794"/>
    <n v="32.5"/>
    <n v="259545903"/>
    <n v="86199.237130521418"/>
    <n v="3011"/>
    <n v="3.1694736842105264"/>
    <n v="0"/>
    <n v="0"/>
    <n v="0"/>
    <n v="0"/>
    <n v="0"/>
    <n v="0"/>
    <n v="0"/>
    <n v="0"/>
    <n v="0"/>
  </r>
  <r>
    <s v="PAP/KMG"/>
    <s v="KMG"/>
    <x v="0"/>
    <x v="2"/>
    <x v="12"/>
    <x v="4"/>
    <s v="Kunming - Changshui Intl"/>
    <n v="15143"/>
    <n v="35.25"/>
    <n v="294034001"/>
    <n v="86075.527224824356"/>
    <n v="3416"/>
    <n v="3.5957894736842104"/>
    <n v="0"/>
    <n v="0"/>
    <n v="0"/>
    <n v="0"/>
    <n v="0"/>
    <n v="0"/>
    <n v="0"/>
    <n v="0"/>
    <n v="3"/>
  </r>
  <r>
    <s v="PAP/DEL"/>
    <s v="DEL"/>
    <x v="0"/>
    <x v="3"/>
    <x v="42"/>
    <x v="4"/>
    <s v="Delhi - Indira Gandhi Intl"/>
    <n v="13830"/>
    <n v="32.5"/>
    <n v="289637201"/>
    <n v="47598.553985209532"/>
    <n v="6085"/>
    <n v="6.405263157894737"/>
    <n v="6431"/>
    <n v="-219"/>
    <n v="0"/>
    <n v="0"/>
    <n v="0"/>
    <n v="6650"/>
    <n v="0"/>
    <n v="0"/>
    <n v="5"/>
  </r>
  <r>
    <s v="PAP/TIQ"/>
    <s v="TIQ"/>
    <x v="0"/>
    <x v="4"/>
    <x v="126"/>
    <x v="6"/>
    <s v="Tinian - International"/>
    <n v="14435"/>
    <n v="33.75"/>
    <n v="239075850"/>
    <n v="158748.90438247012"/>
    <n v="1506"/>
    <n v="1.5852631578947369"/>
    <n v="1581"/>
    <n v="-319"/>
    <n v="0"/>
    <n v="0"/>
    <n v="0"/>
    <n v="1900"/>
    <n v="0"/>
    <n v="0"/>
    <n v="0"/>
  </r>
  <r>
    <s v="PAP/ADD"/>
    <s v="ADD"/>
    <x v="0"/>
    <x v="2"/>
    <x v="43"/>
    <x v="5"/>
    <s v="Addis Ababa - Bole Intl"/>
    <n v="11866"/>
    <n v="28.25"/>
    <n v="250468232"/>
    <n v="42265.985825177188"/>
    <n v="5926"/>
    <n v="6.2378947368421054"/>
    <n v="6203"/>
    <n v="-447"/>
    <n v="0"/>
    <n v="0"/>
    <n v="0"/>
    <n v="6650"/>
    <n v="0"/>
    <n v="0"/>
    <n v="5"/>
  </r>
  <r>
    <s v="PAP/KTW"/>
    <s v="KTW"/>
    <x v="0"/>
    <x v="0"/>
    <x v="5"/>
    <x v="2"/>
    <s v="Katowice - Pyrzowice"/>
    <n v="8522"/>
    <n v="20.75"/>
    <n v="203536860"/>
    <n v="69089.226069246433"/>
    <n v="2946"/>
    <n v="3.1010526315789475"/>
    <n v="3045"/>
    <n v="-755"/>
    <n v="0"/>
    <n v="0"/>
    <n v="0"/>
    <n v="3800"/>
    <n v="0"/>
    <n v="0"/>
    <n v="3"/>
  </r>
  <r>
    <s v="PAP/MTY"/>
    <s v="MTY"/>
    <x v="0"/>
    <x v="2"/>
    <x v="15"/>
    <x v="1"/>
    <s v="Monterrey - Metropolitan Area"/>
    <n v="2967"/>
    <n v="8.75"/>
    <n v="158027800"/>
    <n v="42084.633821571239"/>
    <n v="3755"/>
    <n v="3.9526315789473685"/>
    <n v="3994"/>
    <n v="-756"/>
    <n v="0"/>
    <n v="0"/>
    <n v="0"/>
    <n v="4750"/>
    <n v="0"/>
    <n v="0"/>
    <n v="4"/>
  </r>
  <r>
    <s v="PAP/RAK"/>
    <s v="RAK"/>
    <x v="0"/>
    <x v="0"/>
    <x v="31"/>
    <x v="5"/>
    <s v="Marrakech - Menara"/>
    <n v="6542"/>
    <n v="16.5"/>
    <n v="185924115"/>
    <n v="49121.298546895639"/>
    <n v="3785"/>
    <n v="3.9842105263157896"/>
    <n v="3911"/>
    <n v="-839"/>
    <n v="0"/>
    <n v="0"/>
    <n v="0"/>
    <n v="4750"/>
    <n v="0"/>
    <n v="0"/>
    <n v="4"/>
  </r>
  <r>
    <s v="PAP/BHV"/>
    <s v="BHV"/>
    <x v="0"/>
    <x v="2"/>
    <x v="85"/>
    <x v="4"/>
    <s v="Bahawalpur"/>
    <n v="13438"/>
    <n v="31.75"/>
    <n v="269109635"/>
    <n v="49044.948970293422"/>
    <n v="5487"/>
    <n v="5.7757894736842106"/>
    <n v="5743"/>
    <n v="-907"/>
    <n v="0"/>
    <n v="0"/>
    <n v="0"/>
    <n v="6650"/>
    <n v="0"/>
    <n v="0"/>
    <n v="5"/>
  </r>
  <r>
    <s v="PAP/MID"/>
    <s v="MID"/>
    <x v="0"/>
    <x v="0"/>
    <x v="15"/>
    <x v="1"/>
    <s v="Merida - M. Crescencio Rejon"/>
    <n v="1835"/>
    <n v="6.25"/>
    <n v="131064432"/>
    <n v="50312.641842610363"/>
    <n v="2605"/>
    <n v="2.7421052631578946"/>
    <n v="2779"/>
    <n v="-1021"/>
    <n v="-1"/>
    <n v="-6.25"/>
    <n v="0"/>
    <n v="3800"/>
    <n v="0"/>
    <n v="0"/>
    <n v="0"/>
  </r>
  <r>
    <s v="PAP/KSC"/>
    <s v="KSC"/>
    <x v="0"/>
    <x v="1"/>
    <x v="105"/>
    <x v="2"/>
    <s v="Kosice"/>
    <n v="8722"/>
    <n v="21.25"/>
    <n v="194523854"/>
    <n v="76164.390759592789"/>
    <n v="2554"/>
    <n v="2.688421052631579"/>
    <n v="2725"/>
    <n v="-1075"/>
    <n v="-1"/>
    <n v="-21.25"/>
    <n v="0"/>
    <n v="3800"/>
    <n v="0"/>
    <n v="0"/>
    <n v="0"/>
  </r>
  <r>
    <s v="PAP/LHR"/>
    <s v="LHR"/>
    <x v="0"/>
    <x v="3"/>
    <x v="55"/>
    <x v="2"/>
    <s v="London - Heathrow"/>
    <n v="7153"/>
    <n v="17.75"/>
    <n v="230922491"/>
    <n v="62870.267084127416"/>
    <n v="3673"/>
    <n v="3.8663157894736844"/>
    <n v="3882"/>
    <n v="-1818"/>
    <n v="-1"/>
    <n v="-17.75"/>
    <n v="0"/>
    <n v="5700"/>
    <n v="0"/>
    <n v="0"/>
    <n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5">
  <r>
    <s v="SYD/ADD"/>
    <s v="ADD"/>
    <x v="0"/>
    <x v="0"/>
    <x v="0"/>
    <x v="0"/>
    <x v="0"/>
    <n v="12626"/>
    <n v="29.75"/>
    <m/>
    <n v="0"/>
    <m/>
    <n v="0"/>
    <n v="4920"/>
    <n v="4920"/>
    <n v="5"/>
    <n v="148.75"/>
    <n v="0"/>
    <n v="0"/>
    <n v="0"/>
    <n v="0"/>
    <n v="0"/>
  </r>
  <r>
    <s v="SYD/DEL"/>
    <s v="DEL"/>
    <x v="0"/>
    <x v="1"/>
    <x v="1"/>
    <x v="1"/>
    <x v="1"/>
    <n v="10438"/>
    <n v="25"/>
    <m/>
    <n v="0"/>
    <m/>
    <n v="0"/>
    <n v="4648"/>
    <n v="4648"/>
    <n v="4"/>
    <n v="100"/>
    <n v="0"/>
    <n v="0"/>
    <n v="0"/>
    <n v="0"/>
    <n v="0"/>
  </r>
  <r>
    <s v="SYD/BHV"/>
    <s v="BHV"/>
    <x v="0"/>
    <x v="0"/>
    <x v="2"/>
    <x v="1"/>
    <x v="2"/>
    <n v="10914"/>
    <n v="26"/>
    <m/>
    <n v="0"/>
    <m/>
    <n v="0"/>
    <n v="4333"/>
    <n v="4333"/>
    <n v="4"/>
    <n v="104"/>
    <n v="0"/>
    <n v="0"/>
    <n v="0"/>
    <n v="0"/>
    <n v="0"/>
  </r>
  <r>
    <s v="SYD/BBO"/>
    <s v="BBO"/>
    <x v="0"/>
    <x v="2"/>
    <x v="3"/>
    <x v="0"/>
    <x v="3"/>
    <n v="12145"/>
    <n v="28.75"/>
    <m/>
    <n v="0"/>
    <m/>
    <n v="0"/>
    <n v="4256"/>
    <n v="4256"/>
    <n v="4"/>
    <n v="115"/>
    <n v="0"/>
    <n v="0"/>
    <n v="0"/>
    <n v="0"/>
    <n v="0"/>
  </r>
  <r>
    <s v="SYD/NBO"/>
    <s v="NBO"/>
    <x v="0"/>
    <x v="3"/>
    <x v="4"/>
    <x v="0"/>
    <x v="4"/>
    <n v="12138"/>
    <n v="28.75"/>
    <m/>
    <n v="0"/>
    <m/>
    <n v="0"/>
    <n v="4233"/>
    <n v="4233"/>
    <n v="4"/>
    <n v="115"/>
    <n v="0"/>
    <n v="0"/>
    <n v="0"/>
    <n v="0"/>
    <n v="0"/>
  </r>
  <r>
    <s v="SYD/FIH"/>
    <s v="FIH"/>
    <x v="0"/>
    <x v="2"/>
    <x v="5"/>
    <x v="0"/>
    <x v="5"/>
    <n v="13718"/>
    <n v="32.25"/>
    <m/>
    <n v="0"/>
    <m/>
    <n v="0"/>
    <n v="4218"/>
    <n v="4218"/>
    <n v="4"/>
    <n v="129"/>
    <n v="0"/>
    <n v="0"/>
    <n v="0"/>
    <n v="0"/>
    <n v="0"/>
  </r>
  <r>
    <s v="SYD/JNB"/>
    <s v="JNB"/>
    <x v="0"/>
    <x v="0"/>
    <x v="6"/>
    <x v="0"/>
    <x v="6"/>
    <n v="11026"/>
    <n v="26.25"/>
    <m/>
    <n v="0"/>
    <m/>
    <n v="0"/>
    <n v="4177"/>
    <n v="4177"/>
    <n v="4"/>
    <n v="105"/>
    <n v="0"/>
    <n v="0"/>
    <n v="0"/>
    <n v="0"/>
    <n v="0"/>
  </r>
  <r>
    <s v="SYD/KHI"/>
    <s v="KHI"/>
    <x v="0"/>
    <x v="3"/>
    <x v="2"/>
    <x v="1"/>
    <x v="7"/>
    <n v="11013"/>
    <n v="26.25"/>
    <m/>
    <n v="0"/>
    <m/>
    <n v="0"/>
    <n v="4177"/>
    <n v="4177"/>
    <n v="4"/>
    <n v="105"/>
    <n v="0"/>
    <n v="0"/>
    <n v="0"/>
    <n v="0"/>
    <n v="0"/>
  </r>
  <r>
    <s v="SYD/GLK"/>
    <s v="GLK"/>
    <x v="0"/>
    <x v="4"/>
    <x v="3"/>
    <x v="0"/>
    <x v="8"/>
    <n v="11695"/>
    <n v="27.75"/>
    <m/>
    <n v="0"/>
    <m/>
    <n v="0"/>
    <n v="4168"/>
    <n v="4168"/>
    <n v="4"/>
    <n v="111"/>
    <n v="0"/>
    <n v="0"/>
    <n v="0"/>
    <n v="0"/>
    <n v="0"/>
  </r>
  <r>
    <s v="SYD/ISB"/>
    <s v="ISB"/>
    <x v="0"/>
    <x v="3"/>
    <x v="2"/>
    <x v="1"/>
    <x v="9"/>
    <n v="11076"/>
    <n v="26.5"/>
    <m/>
    <n v="0"/>
    <m/>
    <n v="0"/>
    <n v="4128"/>
    <n v="4128"/>
    <n v="4"/>
    <n v="106"/>
    <n v="0"/>
    <n v="0"/>
    <n v="0"/>
    <n v="0"/>
    <n v="0"/>
  </r>
  <r>
    <s v="SYD/RGN"/>
    <s v="RGN"/>
    <x v="0"/>
    <x v="3"/>
    <x v="7"/>
    <x v="1"/>
    <x v="10"/>
    <n v="8119"/>
    <n v="20"/>
    <m/>
    <n v="0"/>
    <m/>
    <n v="0"/>
    <n v="4076"/>
    <n v="4076"/>
    <n v="4"/>
    <n v="80"/>
    <n v="0"/>
    <n v="0"/>
    <n v="0"/>
    <n v="0"/>
    <n v="0"/>
  </r>
  <r>
    <s v="SYD/FKI"/>
    <s v="FKI"/>
    <x v="0"/>
    <x v="2"/>
    <x v="5"/>
    <x v="0"/>
    <x v="11"/>
    <n v="13276"/>
    <n v="31.25"/>
    <m/>
    <n v="0"/>
    <m/>
    <n v="0"/>
    <n v="4023"/>
    <n v="4023"/>
    <n v="4"/>
    <n v="125"/>
    <n v="0"/>
    <n v="0"/>
    <n v="0"/>
    <n v="0"/>
    <n v="0"/>
  </r>
  <r>
    <s v="SYD/AWA"/>
    <s v="AWA"/>
    <x v="0"/>
    <x v="2"/>
    <x v="0"/>
    <x v="0"/>
    <x v="12"/>
    <n v="12537"/>
    <n v="29.75"/>
    <m/>
    <n v="0"/>
    <m/>
    <n v="0"/>
    <n v="4004"/>
    <n v="4004"/>
    <n v="4"/>
    <n v="119"/>
    <n v="0"/>
    <n v="0"/>
    <n v="0"/>
    <n v="0"/>
    <n v="0"/>
  </r>
  <r>
    <s v="SYD/FBM"/>
    <s v="FBM"/>
    <x v="0"/>
    <x v="2"/>
    <x v="5"/>
    <x v="0"/>
    <x v="13"/>
    <n v="12208"/>
    <n v="29"/>
    <m/>
    <n v="0"/>
    <m/>
    <n v="0"/>
    <n v="3981"/>
    <n v="3981"/>
    <n v="4"/>
    <n v="116"/>
    <n v="0"/>
    <n v="0"/>
    <n v="0"/>
    <n v="0"/>
    <n v="0"/>
  </r>
  <r>
    <s v="SYD/DAC"/>
    <s v="DAC"/>
    <x v="0"/>
    <x v="3"/>
    <x v="8"/>
    <x v="1"/>
    <x v="14"/>
    <n v="9084"/>
    <n v="22"/>
    <m/>
    <n v="0"/>
    <m/>
    <n v="0"/>
    <n v="3972"/>
    <n v="3972"/>
    <n v="4"/>
    <n v="88"/>
    <n v="0"/>
    <n v="0"/>
    <n v="0"/>
    <n v="0"/>
    <n v="0"/>
  </r>
  <r>
    <s v="SYD/LHE"/>
    <s v="LHE"/>
    <x v="0"/>
    <x v="3"/>
    <x v="2"/>
    <x v="1"/>
    <x v="15"/>
    <n v="10842"/>
    <n v="26"/>
    <m/>
    <n v="0"/>
    <m/>
    <n v="0"/>
    <n v="3970"/>
    <n v="3970"/>
    <n v="4"/>
    <n v="104"/>
    <n v="0"/>
    <n v="0"/>
    <n v="0"/>
    <n v="0"/>
    <n v="0"/>
  </r>
  <r>
    <s v="SYD/POM"/>
    <s v="POM"/>
    <x v="0"/>
    <x v="3"/>
    <x v="9"/>
    <x v="2"/>
    <x v="16"/>
    <n v="2755"/>
    <n v="8.25"/>
    <m/>
    <n v="0"/>
    <m/>
    <n v="0"/>
    <n v="3898"/>
    <n v="3898"/>
    <n v="4"/>
    <n v="33"/>
    <n v="0"/>
    <n v="0"/>
    <n v="0"/>
    <n v="0"/>
    <n v="0"/>
  </r>
  <r>
    <s v="SYD/CPT"/>
    <s v="CPT"/>
    <x v="0"/>
    <x v="0"/>
    <x v="6"/>
    <x v="0"/>
    <x v="17"/>
    <n v="10992"/>
    <n v="26.25"/>
    <m/>
    <n v="0"/>
    <m/>
    <n v="0"/>
    <n v="3888"/>
    <n v="3888"/>
    <n v="4"/>
    <n v="105"/>
    <n v="0"/>
    <n v="0"/>
    <n v="0"/>
    <n v="0"/>
    <n v="0"/>
  </r>
  <r>
    <s v="SYD/DAR"/>
    <s v="DAR"/>
    <x v="0"/>
    <x v="3"/>
    <x v="10"/>
    <x v="0"/>
    <x v="18"/>
    <n v="11563"/>
    <n v="27.5"/>
    <m/>
    <n v="0"/>
    <m/>
    <n v="0"/>
    <n v="3888"/>
    <n v="3888"/>
    <n v="4"/>
    <n v="110"/>
    <n v="0"/>
    <n v="0"/>
    <n v="0"/>
    <n v="0"/>
    <n v="0"/>
  </r>
  <r>
    <s v="SYD/MAA"/>
    <s v="MAA"/>
    <x v="0"/>
    <x v="0"/>
    <x v="1"/>
    <x v="1"/>
    <x v="19"/>
    <n v="9130"/>
    <n v="22.25"/>
    <m/>
    <n v="0"/>
    <m/>
    <n v="0"/>
    <n v="3865"/>
    <n v="3865"/>
    <n v="4"/>
    <n v="89"/>
    <n v="0"/>
    <n v="0"/>
    <n v="0"/>
    <n v="0"/>
    <n v="0"/>
  </r>
  <r>
    <s v="SYD/LUN"/>
    <s v="LUN"/>
    <x v="0"/>
    <x v="2"/>
    <x v="11"/>
    <x v="0"/>
    <x v="20"/>
    <n v="11851"/>
    <n v="28.25"/>
    <m/>
    <n v="0"/>
    <m/>
    <n v="0"/>
    <n v="3838"/>
    <n v="3838"/>
    <n v="4"/>
    <n v="113"/>
    <n v="0"/>
    <n v="0"/>
    <n v="0"/>
    <n v="0"/>
    <n v="0"/>
  </r>
  <r>
    <s v="SYD/BLR"/>
    <s v="BLR"/>
    <x v="0"/>
    <x v="0"/>
    <x v="1"/>
    <x v="1"/>
    <x v="21"/>
    <n v="9357"/>
    <n v="22.75"/>
    <m/>
    <n v="0"/>
    <m/>
    <n v="0"/>
    <n v="3814"/>
    <n v="3814"/>
    <n v="4"/>
    <n v="91"/>
    <n v="0"/>
    <n v="0"/>
    <n v="0"/>
    <n v="0"/>
    <n v="0"/>
  </r>
  <r>
    <s v="SYD/AMD"/>
    <s v="AMD"/>
    <x v="0"/>
    <x v="3"/>
    <x v="1"/>
    <x v="1"/>
    <x v="22"/>
    <n v="10439"/>
    <n v="25"/>
    <m/>
    <n v="0"/>
    <m/>
    <n v="0"/>
    <n v="3809"/>
    <n v="3809"/>
    <n v="4"/>
    <n v="100"/>
    <n v="0"/>
    <n v="0"/>
    <n v="0"/>
    <n v="0"/>
    <n v="0"/>
  </r>
  <r>
    <s v="SYD/CCU"/>
    <s v="CCU"/>
    <x v="0"/>
    <x v="0"/>
    <x v="1"/>
    <x v="1"/>
    <x v="23"/>
    <n v="9143"/>
    <n v="22.25"/>
    <m/>
    <n v="0"/>
    <m/>
    <n v="0"/>
    <n v="3784"/>
    <n v="3784"/>
    <n v="3"/>
    <n v="66.75"/>
    <n v="0"/>
    <n v="0"/>
    <n v="0"/>
    <n v="0"/>
    <n v="0"/>
  </r>
  <r>
    <s v="SYD/CGP"/>
    <s v="CGP"/>
    <x v="0"/>
    <x v="3"/>
    <x v="8"/>
    <x v="1"/>
    <x v="24"/>
    <n v="8858"/>
    <n v="21.5"/>
    <m/>
    <n v="0"/>
    <m/>
    <n v="0"/>
    <n v="3773"/>
    <n v="3773"/>
    <n v="3"/>
    <n v="64.5"/>
    <n v="0"/>
    <n v="0"/>
    <n v="0"/>
    <n v="0"/>
    <n v="0"/>
  </r>
  <r>
    <s v="SYD/SAH"/>
    <s v="SAH"/>
    <x v="0"/>
    <x v="3"/>
    <x v="12"/>
    <x v="1"/>
    <x v="25"/>
    <n v="12509"/>
    <n v="29.5"/>
    <m/>
    <n v="0"/>
    <m/>
    <n v="0"/>
    <n v="3773"/>
    <n v="3773"/>
    <n v="3"/>
    <n v="88.5"/>
    <n v="0"/>
    <n v="0"/>
    <n v="0"/>
    <n v="0"/>
    <n v="0"/>
  </r>
  <r>
    <s v="SYD/MBA"/>
    <s v="MBA"/>
    <x v="0"/>
    <x v="2"/>
    <x v="4"/>
    <x v="0"/>
    <x v="26"/>
    <n v="11720"/>
    <n v="27.75"/>
    <m/>
    <n v="0"/>
    <m/>
    <n v="0"/>
    <n v="3759"/>
    <n v="3759"/>
    <n v="3"/>
    <n v="83.25"/>
    <n v="0"/>
    <n v="0"/>
    <n v="0"/>
    <n v="0"/>
    <n v="0"/>
  </r>
  <r>
    <s v="SYD/BKK"/>
    <s v="BKK"/>
    <x v="0"/>
    <x v="1"/>
    <x v="13"/>
    <x v="1"/>
    <x v="27"/>
    <n v="7516"/>
    <n v="18.75"/>
    <m/>
    <n v="0"/>
    <m/>
    <n v="0"/>
    <n v="3740"/>
    <n v="3740"/>
    <n v="3"/>
    <n v="56.25"/>
    <n v="0"/>
    <n v="0"/>
    <n v="0"/>
    <n v="0"/>
    <n v="0"/>
  </r>
  <r>
    <s v="SYD/BHJ"/>
    <s v="BHJ"/>
    <x v="0"/>
    <x v="3"/>
    <x v="1"/>
    <x v="1"/>
    <x v="28"/>
    <n v="10701"/>
    <n v="25.5"/>
    <m/>
    <n v="0"/>
    <m/>
    <n v="0"/>
    <n v="3732"/>
    <n v="3732"/>
    <n v="3"/>
    <n v="76.5"/>
    <n v="0"/>
    <n v="0"/>
    <n v="0"/>
    <n v="0"/>
    <n v="0"/>
  </r>
  <r>
    <s v="SYD/BGW"/>
    <s v="BGW"/>
    <x v="0"/>
    <x v="2"/>
    <x v="14"/>
    <x v="1"/>
    <x v="29"/>
    <n v="13409"/>
    <n v="31.5"/>
    <m/>
    <n v="0"/>
    <m/>
    <n v="0"/>
    <n v="3718"/>
    <n v="3718"/>
    <n v="3"/>
    <n v="94.5"/>
    <n v="0"/>
    <n v="0"/>
    <n v="0"/>
    <n v="0"/>
    <n v="0"/>
  </r>
  <r>
    <s v="SYD/ASM"/>
    <s v="ASM"/>
    <x v="0"/>
    <x v="2"/>
    <x v="15"/>
    <x v="0"/>
    <x v="30"/>
    <n v="12988"/>
    <n v="30.75"/>
    <m/>
    <n v="0"/>
    <m/>
    <n v="0"/>
    <n v="3717"/>
    <n v="3717"/>
    <n v="3"/>
    <n v="92.25"/>
    <n v="0"/>
    <n v="0"/>
    <n v="0"/>
    <n v="0"/>
    <n v="0"/>
  </r>
  <r>
    <s v="SYD/HRE"/>
    <s v="HRE"/>
    <x v="0"/>
    <x v="5"/>
    <x v="16"/>
    <x v="0"/>
    <x v="31"/>
    <n v="11448"/>
    <n v="27.25"/>
    <m/>
    <n v="0"/>
    <m/>
    <n v="0"/>
    <n v="3694"/>
    <n v="3694"/>
    <n v="3"/>
    <n v="81.75"/>
    <n v="0"/>
    <n v="0"/>
    <n v="0"/>
    <n v="0"/>
    <n v="0"/>
  </r>
  <r>
    <s v="SYD/HYD"/>
    <s v="HYD"/>
    <x v="0"/>
    <x v="0"/>
    <x v="1"/>
    <x v="1"/>
    <x v="32"/>
    <n v="9567"/>
    <n v="23.25"/>
    <m/>
    <n v="0"/>
    <m/>
    <n v="0"/>
    <n v="3692"/>
    <n v="3692"/>
    <n v="3"/>
    <n v="69.75"/>
    <n v="0"/>
    <n v="0"/>
    <n v="0"/>
    <n v="0"/>
    <n v="0"/>
  </r>
  <r>
    <s v="SYD/LLW"/>
    <s v="LLW"/>
    <x v="0"/>
    <x v="2"/>
    <x v="17"/>
    <x v="0"/>
    <x v="33"/>
    <n v="11539"/>
    <n v="27.5"/>
    <m/>
    <n v="0"/>
    <m/>
    <n v="0"/>
    <n v="3673"/>
    <n v="3673"/>
    <n v="3"/>
    <n v="82.5"/>
    <n v="0"/>
    <n v="0"/>
    <n v="0"/>
    <n v="0"/>
    <n v="0"/>
  </r>
  <r>
    <s v="SYD/VXC"/>
    <s v="VXC"/>
    <x v="0"/>
    <x v="4"/>
    <x v="18"/>
    <x v="0"/>
    <x v="34"/>
    <n v="11453"/>
    <n v="27.25"/>
    <m/>
    <n v="0"/>
    <m/>
    <n v="0"/>
    <n v="3661"/>
    <n v="3661"/>
    <n v="3"/>
    <n v="81.75"/>
    <n v="0"/>
    <n v="0"/>
    <n v="0"/>
    <n v="0"/>
    <n v="0"/>
  </r>
  <r>
    <s v="SYD/JAI"/>
    <s v="JAI"/>
    <x v="0"/>
    <x v="3"/>
    <x v="1"/>
    <x v="1"/>
    <x v="35"/>
    <n v="10424"/>
    <n v="25"/>
    <m/>
    <n v="0"/>
    <m/>
    <n v="0"/>
    <n v="3653"/>
    <n v="3653"/>
    <n v="3"/>
    <n v="75"/>
    <n v="0"/>
    <n v="0"/>
    <n v="0"/>
    <n v="0"/>
    <n v="0"/>
  </r>
  <r>
    <s v="SYD/DMK"/>
    <s v="DMK"/>
    <x v="0"/>
    <x v="1"/>
    <x v="13"/>
    <x v="1"/>
    <x v="36"/>
    <n v="7545"/>
    <n v="18.75"/>
    <m/>
    <n v="0"/>
    <m/>
    <n v="0"/>
    <n v="3638"/>
    <n v="3638"/>
    <n v="3"/>
    <n v="56.25"/>
    <n v="0"/>
    <n v="0"/>
    <n v="0"/>
    <n v="0"/>
    <n v="0"/>
  </r>
  <r>
    <s v="SYD/KRT"/>
    <s v="KRT"/>
    <x v="0"/>
    <x v="2"/>
    <x v="19"/>
    <x v="0"/>
    <x v="37"/>
    <n v="13591"/>
    <n v="32"/>
    <m/>
    <n v="0"/>
    <m/>
    <n v="0"/>
    <n v="3627"/>
    <n v="3627"/>
    <n v="3"/>
    <n v="96"/>
    <n v="0"/>
    <n v="0"/>
    <n v="0"/>
    <n v="0"/>
    <n v="0"/>
  </r>
  <r>
    <s v="SYD/PEW"/>
    <s v="PEW"/>
    <x v="0"/>
    <x v="2"/>
    <x v="2"/>
    <x v="1"/>
    <x v="38"/>
    <n v="11220"/>
    <n v="26.75"/>
    <m/>
    <n v="0"/>
    <m/>
    <n v="0"/>
    <n v="3625"/>
    <n v="3625"/>
    <n v="3"/>
    <n v="80.25"/>
    <n v="0"/>
    <n v="0"/>
    <n v="0"/>
    <n v="0"/>
    <n v="0"/>
  </r>
  <r>
    <s v="SYD/JRO"/>
    <s v="JRO"/>
    <x v="0"/>
    <x v="2"/>
    <x v="10"/>
    <x v="0"/>
    <x v="39"/>
    <n v="11983"/>
    <n v="28.5"/>
    <m/>
    <n v="0"/>
    <m/>
    <n v="0"/>
    <n v="3611"/>
    <n v="3611"/>
    <n v="3"/>
    <n v="85.5"/>
    <n v="0"/>
    <n v="0"/>
    <n v="0"/>
    <n v="0"/>
    <n v="0"/>
  </r>
  <r>
    <s v="SYD/THR"/>
    <s v="THR"/>
    <x v="0"/>
    <x v="0"/>
    <x v="20"/>
    <x v="1"/>
    <x v="40"/>
    <n v="12922"/>
    <n v="30.5"/>
    <m/>
    <n v="0"/>
    <m/>
    <n v="0"/>
    <n v="3608"/>
    <n v="3608"/>
    <n v="3"/>
    <n v="91.5"/>
    <n v="0"/>
    <n v="0"/>
    <n v="0"/>
    <n v="0"/>
    <n v="0"/>
  </r>
  <r>
    <s v="SYD/LIM"/>
    <s v="LIM"/>
    <x v="0"/>
    <x v="0"/>
    <x v="21"/>
    <x v="3"/>
    <x v="41"/>
    <n v="12797"/>
    <n v="30.25"/>
    <m/>
    <n v="0"/>
    <m/>
    <n v="0"/>
    <n v="3595"/>
    <n v="3595"/>
    <n v="3"/>
    <n v="90.75"/>
    <n v="0"/>
    <n v="0"/>
    <n v="0"/>
    <n v="0"/>
    <n v="0"/>
  </r>
  <r>
    <s v="SYD/MWZ"/>
    <s v="MWZ"/>
    <x v="0"/>
    <x v="2"/>
    <x v="10"/>
    <x v="0"/>
    <x v="42"/>
    <n v="12414"/>
    <n v="29.5"/>
    <m/>
    <n v="0"/>
    <m/>
    <n v="0"/>
    <n v="3558"/>
    <n v="3558"/>
    <n v="3"/>
    <n v="88.5"/>
    <n v="0"/>
    <n v="0"/>
    <n v="0"/>
    <n v="0"/>
    <n v="0"/>
  </r>
  <r>
    <s v="SYD/SXR"/>
    <s v="SXR"/>
    <x v="0"/>
    <x v="2"/>
    <x v="1"/>
    <x v="1"/>
    <x v="43"/>
    <n v="10972"/>
    <n v="26.25"/>
    <m/>
    <n v="0"/>
    <m/>
    <n v="0"/>
    <n v="3540"/>
    <n v="3540"/>
    <n v="3"/>
    <n v="78.75"/>
    <n v="0"/>
    <n v="0"/>
    <n v="0"/>
    <n v="0"/>
    <n v="0"/>
  </r>
  <r>
    <s v="SYD/BZV"/>
    <s v="BZV"/>
    <x v="0"/>
    <x v="2"/>
    <x v="22"/>
    <x v="0"/>
    <x v="44"/>
    <n v="13743"/>
    <n v="32.25"/>
    <m/>
    <n v="0"/>
    <m/>
    <n v="0"/>
    <n v="3490"/>
    <n v="3490"/>
    <n v="3"/>
    <n v="96.75"/>
    <n v="0"/>
    <n v="0"/>
    <n v="0"/>
    <n v="0"/>
    <n v="0"/>
  </r>
  <r>
    <s v="SYD/CAN"/>
    <s v="CAN"/>
    <x v="0"/>
    <x v="1"/>
    <x v="23"/>
    <x v="1"/>
    <x v="45"/>
    <n v="7531"/>
    <n v="18.75"/>
    <m/>
    <n v="0"/>
    <m/>
    <n v="0"/>
    <n v="3482"/>
    <n v="3482"/>
    <n v="3"/>
    <n v="56.25"/>
    <n v="0"/>
    <n v="0"/>
    <n v="0"/>
    <n v="0"/>
    <n v="0"/>
  </r>
  <r>
    <s v="SYD/PKX"/>
    <s v="PKX"/>
    <x v="0"/>
    <x v="1"/>
    <x v="23"/>
    <x v="1"/>
    <x v="46"/>
    <n v="8918"/>
    <n v="21.75"/>
    <m/>
    <n v="0"/>
    <m/>
    <n v="0"/>
    <n v="3476"/>
    <n v="3476"/>
    <n v="3"/>
    <n v="65.25"/>
    <n v="0"/>
    <n v="0"/>
    <n v="0"/>
    <n v="0"/>
    <n v="0"/>
  </r>
  <r>
    <s v="SYD/MED"/>
    <s v="MED"/>
    <x v="0"/>
    <x v="1"/>
    <x v="24"/>
    <x v="1"/>
    <x v="47"/>
    <n v="13408"/>
    <n v="31.5"/>
    <m/>
    <n v="0"/>
    <m/>
    <n v="0"/>
    <n v="3462"/>
    <n v="3462"/>
    <n v="3"/>
    <n v="94.5"/>
    <n v="0"/>
    <n v="0"/>
    <n v="0"/>
    <n v="0"/>
    <n v="0"/>
  </r>
  <r>
    <s v="SYD/HKG"/>
    <s v="HKG"/>
    <x v="0"/>
    <x v="1"/>
    <x v="23"/>
    <x v="1"/>
    <x v="48"/>
    <n v="7395"/>
    <n v="18.25"/>
    <m/>
    <n v="0"/>
    <m/>
    <n v="0"/>
    <n v="3456"/>
    <n v="3456"/>
    <n v="3"/>
    <n v="54.75"/>
    <n v="0"/>
    <n v="0"/>
    <n v="0"/>
    <n v="0"/>
    <n v="0"/>
  </r>
  <r>
    <s v="SYD/PNQ"/>
    <s v="PNQ"/>
    <x v="0"/>
    <x v="3"/>
    <x v="1"/>
    <x v="1"/>
    <x v="49"/>
    <n v="10039"/>
    <n v="24.25"/>
    <m/>
    <n v="0"/>
    <m/>
    <n v="0"/>
    <n v="3454"/>
    <n v="3454"/>
    <n v="3"/>
    <n v="72.75"/>
    <n v="0"/>
    <n v="0"/>
    <n v="0"/>
    <n v="0"/>
    <n v="0"/>
  </r>
  <r>
    <s v="SYD/GOI"/>
    <s v="GOI"/>
    <x v="0"/>
    <x v="3"/>
    <x v="1"/>
    <x v="1"/>
    <x v="50"/>
    <n v="9837"/>
    <n v="23.75"/>
    <m/>
    <n v="0"/>
    <m/>
    <n v="0"/>
    <n v="3446"/>
    <n v="3446"/>
    <n v="3"/>
    <n v="71.25"/>
    <n v="0"/>
    <n v="0"/>
    <n v="0"/>
    <n v="0"/>
    <n v="0"/>
  </r>
  <r>
    <s v="SYD/TAS"/>
    <s v="TAS"/>
    <x v="0"/>
    <x v="3"/>
    <x v="25"/>
    <x v="1"/>
    <x v="51"/>
    <n v="11821"/>
    <n v="28"/>
    <m/>
    <n v="0"/>
    <m/>
    <n v="0"/>
    <n v="3446"/>
    <n v="3446"/>
    <n v="3"/>
    <n v="84"/>
    <n v="0"/>
    <n v="0"/>
    <n v="0"/>
    <n v="0"/>
    <n v="0"/>
  </r>
  <r>
    <s v="SYD/UET"/>
    <s v="UET"/>
    <x v="0"/>
    <x v="2"/>
    <x v="2"/>
    <x v="1"/>
    <x v="52"/>
    <n v="11354"/>
    <n v="27"/>
    <m/>
    <n v="0"/>
    <m/>
    <n v="0"/>
    <n v="3439"/>
    <n v="3439"/>
    <n v="3"/>
    <n v="81"/>
    <n v="0"/>
    <n v="0"/>
    <n v="0"/>
    <n v="0"/>
    <n v="0"/>
  </r>
  <r>
    <s v="SYD/ADE"/>
    <s v="ADE"/>
    <x v="0"/>
    <x v="2"/>
    <x v="12"/>
    <x v="1"/>
    <x v="53"/>
    <n v="12282"/>
    <n v="29"/>
    <m/>
    <n v="0"/>
    <m/>
    <n v="0"/>
    <n v="3435"/>
    <n v="3435"/>
    <n v="3"/>
    <n v="87"/>
    <n v="0"/>
    <n v="0"/>
    <n v="0"/>
    <n v="0"/>
    <n v="0"/>
  </r>
  <r>
    <s v="SYD/SGN"/>
    <s v="SGN"/>
    <x v="0"/>
    <x v="0"/>
    <x v="26"/>
    <x v="1"/>
    <x v="54"/>
    <n v="6848"/>
    <n v="17.25"/>
    <m/>
    <n v="0"/>
    <m/>
    <n v="0"/>
    <n v="3429"/>
    <n v="3429"/>
    <n v="3"/>
    <n v="51.75"/>
    <n v="0"/>
    <n v="0"/>
    <n v="0"/>
    <n v="0"/>
    <n v="0"/>
  </r>
  <r>
    <s v="SYD/RUH"/>
    <s v="RUH"/>
    <x v="0"/>
    <x v="1"/>
    <x v="24"/>
    <x v="1"/>
    <x v="55"/>
    <n v="12798"/>
    <n v="30.25"/>
    <m/>
    <n v="0"/>
    <m/>
    <n v="0"/>
    <n v="3429"/>
    <n v="3429"/>
    <n v="3"/>
    <n v="90.75"/>
    <n v="0"/>
    <n v="0"/>
    <n v="0"/>
    <n v="0"/>
    <n v="0"/>
  </r>
  <r>
    <s v="SYD/MEX"/>
    <s v="MEX"/>
    <x v="0"/>
    <x v="1"/>
    <x v="27"/>
    <x v="4"/>
    <x v="56"/>
    <n v="12986"/>
    <n v="30.75"/>
    <m/>
    <n v="0"/>
    <m/>
    <n v="0"/>
    <n v="3412"/>
    <n v="3412"/>
    <n v="3"/>
    <n v="92.25"/>
    <n v="0"/>
    <n v="0"/>
    <n v="0"/>
    <n v="0"/>
    <n v="0"/>
  </r>
  <r>
    <s v="SYD/TNR"/>
    <s v="TNR"/>
    <x v="0"/>
    <x v="2"/>
    <x v="28"/>
    <x v="0"/>
    <x v="57"/>
    <n v="10048"/>
    <n v="24.25"/>
    <m/>
    <n v="0"/>
    <m/>
    <n v="0"/>
    <n v="3399"/>
    <n v="3399"/>
    <n v="3"/>
    <n v="72.75"/>
    <n v="0"/>
    <n v="0"/>
    <n v="0"/>
    <n v="0"/>
    <n v="0"/>
  </r>
  <r>
    <s v="SYD/REP"/>
    <s v="REP"/>
    <x v="0"/>
    <x v="3"/>
    <x v="29"/>
    <x v="1"/>
    <x v="58"/>
    <n v="7268"/>
    <n v="18"/>
    <m/>
    <n v="0"/>
    <m/>
    <n v="0"/>
    <n v="3381"/>
    <n v="3381"/>
    <n v="3"/>
    <n v="54"/>
    <n v="0"/>
    <n v="0"/>
    <n v="0"/>
    <n v="0"/>
    <n v="0"/>
  </r>
  <r>
    <s v="SYD/PVG"/>
    <s v="PVG"/>
    <x v="0"/>
    <x v="1"/>
    <x v="23"/>
    <x v="1"/>
    <x v="59"/>
    <n v="7867"/>
    <n v="19.5"/>
    <m/>
    <n v="0"/>
    <m/>
    <n v="0"/>
    <n v="3380"/>
    <n v="3380"/>
    <n v="3"/>
    <n v="58.5"/>
    <n v="0"/>
    <n v="0"/>
    <n v="0"/>
    <n v="0"/>
    <n v="0"/>
  </r>
  <r>
    <s v="SYD/CTU"/>
    <s v="CTU"/>
    <x v="0"/>
    <x v="1"/>
    <x v="23"/>
    <x v="1"/>
    <x v="60"/>
    <n v="8731"/>
    <n v="21.25"/>
    <m/>
    <n v="0"/>
    <m/>
    <n v="0"/>
    <n v="3373"/>
    <n v="3373"/>
    <n v="3"/>
    <n v="63.75"/>
    <n v="0"/>
    <n v="0"/>
    <n v="0"/>
    <n v="0"/>
    <n v="0"/>
  </r>
  <r>
    <s v="SYD/PNH"/>
    <s v="PNH"/>
    <x v="0"/>
    <x v="3"/>
    <x v="29"/>
    <x v="1"/>
    <x v="61"/>
    <n v="7039"/>
    <n v="17.5"/>
    <m/>
    <n v="0"/>
    <m/>
    <n v="0"/>
    <n v="3370"/>
    <n v="3370"/>
    <n v="3"/>
    <n v="52.5"/>
    <n v="0"/>
    <n v="0"/>
    <n v="0"/>
    <n v="0"/>
    <n v="0"/>
  </r>
  <r>
    <s v="SYD/GIG"/>
    <s v="GIG"/>
    <x v="0"/>
    <x v="0"/>
    <x v="30"/>
    <x v="3"/>
    <x v="62"/>
    <n v="13526"/>
    <n v="31.75"/>
    <m/>
    <n v="0"/>
    <m/>
    <n v="0"/>
    <n v="3367"/>
    <n v="3367"/>
    <n v="3"/>
    <n v="95.25"/>
    <n v="0"/>
    <n v="0"/>
    <n v="0"/>
    <n v="0"/>
    <n v="0"/>
  </r>
  <r>
    <s v="SYD/BUQ"/>
    <s v="BUQ"/>
    <x v="0"/>
    <x v="2"/>
    <x v="16"/>
    <x v="0"/>
    <x v="63"/>
    <n v="11478"/>
    <n v="27.25"/>
    <m/>
    <n v="0"/>
    <m/>
    <n v="0"/>
    <n v="3362"/>
    <n v="3362"/>
    <n v="3"/>
    <n v="81.75"/>
    <n v="0"/>
    <n v="0"/>
    <n v="0"/>
    <n v="0"/>
    <n v="0"/>
  </r>
  <r>
    <s v="SYD/BSR"/>
    <s v="BSR"/>
    <x v="0"/>
    <x v="2"/>
    <x v="14"/>
    <x v="1"/>
    <x v="64"/>
    <n v="12990"/>
    <n v="30.75"/>
    <m/>
    <n v="0"/>
    <m/>
    <n v="0"/>
    <n v="3355"/>
    <n v="3355"/>
    <n v="3"/>
    <n v="92.25"/>
    <n v="0"/>
    <n v="0"/>
    <n v="0"/>
    <n v="0"/>
    <n v="0"/>
  </r>
  <r>
    <s v="SYD/JED"/>
    <s v="JED"/>
    <x v="0"/>
    <x v="0"/>
    <x v="24"/>
    <x v="1"/>
    <x v="65"/>
    <n v="13313"/>
    <n v="31.25"/>
    <m/>
    <n v="0"/>
    <m/>
    <n v="0"/>
    <n v="3354"/>
    <n v="3354"/>
    <n v="3"/>
    <n v="93.75"/>
    <n v="0"/>
    <n v="0"/>
    <n v="0"/>
    <n v="0"/>
    <n v="0"/>
  </r>
  <r>
    <s v="SYD/IKA"/>
    <s v="IKA"/>
    <x v="0"/>
    <x v="3"/>
    <x v="20"/>
    <x v="1"/>
    <x v="66"/>
    <n v="12922"/>
    <n v="30.5"/>
    <m/>
    <n v="0"/>
    <m/>
    <n v="0"/>
    <n v="3328"/>
    <n v="3328"/>
    <n v="3"/>
    <n v="91.5"/>
    <n v="0"/>
    <n v="0"/>
    <n v="0"/>
    <n v="0"/>
    <n v="0"/>
  </r>
  <r>
    <s v="SYD/RIY"/>
    <s v="RIY"/>
    <x v="0"/>
    <x v="2"/>
    <x v="12"/>
    <x v="1"/>
    <x v="67"/>
    <n v="11988"/>
    <n v="28.5"/>
    <m/>
    <n v="0"/>
    <m/>
    <n v="0"/>
    <n v="3323"/>
    <n v="3323"/>
    <n v="3"/>
    <n v="85.5"/>
    <n v="0"/>
    <n v="0"/>
    <n v="0"/>
    <n v="0"/>
    <n v="0"/>
  </r>
  <r>
    <s v="SYD/UIO"/>
    <s v="UIO"/>
    <x v="0"/>
    <x v="3"/>
    <x v="31"/>
    <x v="3"/>
    <x v="68"/>
    <n v="13612"/>
    <n v="32"/>
    <m/>
    <n v="0"/>
    <m/>
    <n v="0"/>
    <n v="3322"/>
    <n v="3322"/>
    <n v="3"/>
    <n v="96"/>
    <n v="0"/>
    <n v="0"/>
    <n v="0"/>
    <n v="0"/>
    <n v="0"/>
  </r>
  <r>
    <s v="SYD/MDL"/>
    <s v="MDL"/>
    <x v="0"/>
    <x v="3"/>
    <x v="7"/>
    <x v="1"/>
    <x v="69"/>
    <n v="8509"/>
    <n v="20.75"/>
    <m/>
    <n v="0"/>
    <m/>
    <n v="0"/>
    <n v="3317"/>
    <n v="3317"/>
    <n v="3"/>
    <n v="62.25"/>
    <n v="0"/>
    <n v="0"/>
    <n v="0"/>
    <n v="0"/>
    <n v="0"/>
  </r>
  <r>
    <s v="SYD/URC"/>
    <s v="URC"/>
    <x v="0"/>
    <x v="0"/>
    <x v="23"/>
    <x v="1"/>
    <x v="70"/>
    <n v="10792"/>
    <n v="25.75"/>
    <m/>
    <n v="0"/>
    <m/>
    <n v="0"/>
    <n v="3313"/>
    <n v="3313"/>
    <n v="3"/>
    <n v="77.25"/>
    <n v="0"/>
    <n v="0"/>
    <n v="0"/>
    <n v="0"/>
    <n v="0"/>
  </r>
  <r>
    <s v="SYD/KJT"/>
    <s v="KJT"/>
    <x v="0"/>
    <x v="0"/>
    <x v="32"/>
    <x v="1"/>
    <x v="71"/>
    <n v="5355"/>
    <n v="14"/>
    <m/>
    <n v="0"/>
    <m/>
    <n v="0"/>
    <n v="3301"/>
    <n v="3301"/>
    <n v="3"/>
    <n v="42"/>
    <n v="0"/>
    <n v="0"/>
    <n v="0"/>
    <n v="0"/>
    <n v="0"/>
  </r>
  <r>
    <s v="SYD/SZX"/>
    <s v="SZX"/>
    <x v="0"/>
    <x v="1"/>
    <x v="23"/>
    <x v="1"/>
    <x v="72"/>
    <n v="7432"/>
    <n v="18.5"/>
    <m/>
    <n v="0"/>
    <m/>
    <n v="0"/>
    <n v="3280"/>
    <n v="3280"/>
    <n v="3"/>
    <n v="55.5"/>
    <n v="0"/>
    <n v="0"/>
    <n v="0"/>
    <n v="0"/>
    <n v="0"/>
  </r>
  <r>
    <s v="SYD/AHB"/>
    <s v="AHB"/>
    <x v="0"/>
    <x v="0"/>
    <x v="24"/>
    <x v="1"/>
    <x v="73"/>
    <n v="12808"/>
    <n v="30.25"/>
    <m/>
    <n v="0"/>
    <m/>
    <n v="0"/>
    <n v="3276"/>
    <n v="3276"/>
    <n v="3"/>
    <n v="90.75"/>
    <n v="0"/>
    <n v="0"/>
    <n v="0"/>
    <n v="0"/>
    <n v="0"/>
  </r>
  <r>
    <s v="SYD/XIY"/>
    <s v="XIY"/>
    <x v="0"/>
    <x v="0"/>
    <x v="23"/>
    <x v="1"/>
    <x v="74"/>
    <n v="8797"/>
    <n v="21.5"/>
    <m/>
    <n v="0"/>
    <m/>
    <n v="0"/>
    <n v="3262"/>
    <n v="3262"/>
    <n v="3"/>
    <n v="64.5"/>
    <n v="0"/>
    <n v="0"/>
    <n v="0"/>
    <n v="0"/>
    <n v="0"/>
  </r>
  <r>
    <s v="SYD/ALA"/>
    <s v="ALA"/>
    <x v="0"/>
    <x v="3"/>
    <x v="33"/>
    <x v="5"/>
    <x v="75"/>
    <n v="11413"/>
    <n v="27.25"/>
    <m/>
    <n v="0"/>
    <m/>
    <n v="0"/>
    <n v="3260"/>
    <n v="3260"/>
    <n v="3"/>
    <n v="81.75"/>
    <n v="0"/>
    <n v="0"/>
    <n v="0"/>
    <n v="0"/>
    <n v="0"/>
  </r>
  <r>
    <s v="SYD/SHA"/>
    <s v="SHA"/>
    <x v="0"/>
    <x v="1"/>
    <x v="23"/>
    <x v="1"/>
    <x v="76"/>
    <n v="7892"/>
    <n v="19.5"/>
    <m/>
    <n v="0"/>
    <m/>
    <n v="0"/>
    <n v="3258"/>
    <n v="3258"/>
    <n v="3"/>
    <n v="58.5"/>
    <n v="0"/>
    <n v="0"/>
    <n v="0"/>
    <n v="0"/>
    <n v="0"/>
  </r>
  <r>
    <s v="SYD/MNL"/>
    <s v="MNL"/>
    <x v="0"/>
    <x v="1"/>
    <x v="34"/>
    <x v="1"/>
    <x v="77"/>
    <n v="6264"/>
    <n v="16"/>
    <m/>
    <n v="0"/>
    <m/>
    <n v="0"/>
    <n v="3256"/>
    <n v="3256"/>
    <n v="3"/>
    <n v="48"/>
    <n v="0"/>
    <n v="0"/>
    <n v="0"/>
    <n v="0"/>
    <n v="0"/>
  </r>
  <r>
    <s v="SYD/KMG"/>
    <s v="KMG"/>
    <x v="0"/>
    <x v="0"/>
    <x v="23"/>
    <x v="1"/>
    <x v="78"/>
    <n v="8315"/>
    <n v="20.5"/>
    <m/>
    <n v="0"/>
    <m/>
    <n v="0"/>
    <n v="3249"/>
    <n v="3249"/>
    <n v="3"/>
    <n v="61.5"/>
    <n v="0"/>
    <n v="0"/>
    <n v="0"/>
    <n v="0"/>
    <n v="0"/>
  </r>
  <r>
    <s v="SYD/KNO"/>
    <s v="KNO"/>
    <x v="0"/>
    <x v="0"/>
    <x v="32"/>
    <x v="1"/>
    <x v="79"/>
    <n v="6885"/>
    <n v="17.25"/>
    <m/>
    <n v="0"/>
    <m/>
    <n v="0"/>
    <n v="3237"/>
    <n v="3237"/>
    <n v="3"/>
    <n v="51.75"/>
    <n v="0"/>
    <n v="0"/>
    <n v="0"/>
    <n v="0"/>
    <n v="0"/>
  </r>
  <r>
    <s v="SYD/OMS"/>
    <s v="OMS"/>
    <x v="0"/>
    <x v="3"/>
    <x v="35"/>
    <x v="5"/>
    <x v="80"/>
    <n v="12337"/>
    <n v="29.25"/>
    <m/>
    <n v="0"/>
    <m/>
    <n v="0"/>
    <n v="3237"/>
    <n v="3237"/>
    <n v="3"/>
    <n v="87.75"/>
    <n v="0"/>
    <n v="0"/>
    <n v="0"/>
    <n v="0"/>
    <n v="0"/>
  </r>
  <r>
    <s v="SYD/CNF"/>
    <s v="CNF"/>
    <x v="0"/>
    <x v="0"/>
    <x v="30"/>
    <x v="3"/>
    <x v="81"/>
    <n v="13848"/>
    <n v="32.5"/>
    <m/>
    <n v="0"/>
    <m/>
    <n v="0"/>
    <n v="3226"/>
    <n v="3226"/>
    <n v="3"/>
    <n v="97.5"/>
    <n v="0"/>
    <n v="0"/>
    <n v="0"/>
    <n v="0"/>
    <n v="0"/>
  </r>
  <r>
    <s v="SYD/WDH"/>
    <s v="WDH"/>
    <x v="0"/>
    <x v="2"/>
    <x v="36"/>
    <x v="0"/>
    <x v="82"/>
    <n v="12059"/>
    <n v="28.5"/>
    <m/>
    <n v="0"/>
    <m/>
    <n v="0"/>
    <n v="3225"/>
    <n v="3225"/>
    <n v="3"/>
    <n v="85.5"/>
    <n v="0"/>
    <n v="0"/>
    <n v="0"/>
    <n v="0"/>
    <n v="0"/>
  </r>
  <r>
    <s v="SYD/KUL"/>
    <s v="KUL"/>
    <x v="0"/>
    <x v="1"/>
    <x v="37"/>
    <x v="1"/>
    <x v="83"/>
    <n v="6586"/>
    <n v="16.5"/>
    <m/>
    <n v="0"/>
    <m/>
    <n v="0"/>
    <n v="3224"/>
    <n v="3224"/>
    <n v="3"/>
    <n v="49.5"/>
    <n v="0"/>
    <n v="0"/>
    <n v="0"/>
    <n v="0"/>
    <n v="0"/>
  </r>
  <r>
    <s v="SYD/CEB"/>
    <s v="CEB"/>
    <x v="0"/>
    <x v="3"/>
    <x v="34"/>
    <x v="1"/>
    <x v="84"/>
    <n v="5699"/>
    <n v="14.75"/>
    <m/>
    <n v="0"/>
    <m/>
    <n v="0"/>
    <n v="3216"/>
    <n v="3216"/>
    <n v="3"/>
    <n v="44.25"/>
    <n v="0"/>
    <n v="0"/>
    <n v="0"/>
    <n v="0"/>
    <n v="0"/>
  </r>
  <r>
    <s v="SYD/CEK"/>
    <s v="CEK"/>
    <x v="0"/>
    <x v="3"/>
    <x v="35"/>
    <x v="5"/>
    <x v="85"/>
    <n v="13030"/>
    <n v="30.75"/>
    <m/>
    <n v="0"/>
    <m/>
    <n v="0"/>
    <n v="3206"/>
    <n v="3206"/>
    <n v="3"/>
    <n v="92.25"/>
    <n v="0"/>
    <n v="0"/>
    <n v="0"/>
    <n v="0"/>
    <n v="0"/>
  </r>
  <r>
    <s v="SYD/GYE"/>
    <s v="GYE"/>
    <x v="0"/>
    <x v="3"/>
    <x v="31"/>
    <x v="3"/>
    <x v="86"/>
    <n v="13347"/>
    <n v="31.5"/>
    <m/>
    <n v="0"/>
    <m/>
    <n v="0"/>
    <n v="3205"/>
    <n v="3205"/>
    <n v="3"/>
    <n v="94.5"/>
    <n v="0"/>
    <n v="0"/>
    <n v="0"/>
    <n v="0"/>
    <n v="0"/>
  </r>
  <r>
    <s v="SYD/ASB"/>
    <s v="ASB"/>
    <x v="0"/>
    <x v="2"/>
    <x v="38"/>
    <x v="1"/>
    <x v="87"/>
    <n v="12465"/>
    <n v="29.5"/>
    <m/>
    <n v="0"/>
    <m/>
    <n v="0"/>
    <n v="3172"/>
    <n v="3172"/>
    <n v="3"/>
    <n v="88.5"/>
    <n v="0"/>
    <n v="0"/>
    <n v="0"/>
    <n v="0"/>
    <n v="0"/>
  </r>
  <r>
    <s v="SYD/FRU"/>
    <s v="FRU"/>
    <x v="0"/>
    <x v="2"/>
    <x v="39"/>
    <x v="1"/>
    <x v="88"/>
    <n v="11566"/>
    <n v="27.5"/>
    <m/>
    <n v="0"/>
    <m/>
    <n v="0"/>
    <n v="3168"/>
    <n v="3168"/>
    <n v="3"/>
    <n v="82.5"/>
    <n v="0"/>
    <n v="0"/>
    <n v="0"/>
    <n v="0"/>
    <n v="0"/>
  </r>
  <r>
    <s v="SYD/AWZ"/>
    <s v="AWZ"/>
    <x v="0"/>
    <x v="3"/>
    <x v="20"/>
    <x v="1"/>
    <x v="89"/>
    <n v="12933"/>
    <n v="30.5"/>
    <m/>
    <n v="0"/>
    <m/>
    <n v="0"/>
    <n v="3157"/>
    <n v="3157"/>
    <n v="3"/>
    <n v="91.5"/>
    <n v="0"/>
    <n v="0"/>
    <n v="0"/>
    <n v="0"/>
    <n v="0"/>
  </r>
  <r>
    <s v="SYD/CKG"/>
    <s v="CKG"/>
    <x v="0"/>
    <x v="0"/>
    <x v="23"/>
    <x v="1"/>
    <x v="90"/>
    <n v="8487"/>
    <n v="20.75"/>
    <m/>
    <n v="0"/>
    <m/>
    <n v="0"/>
    <n v="3153"/>
    <n v="3153"/>
    <n v="3"/>
    <n v="62.25"/>
    <n v="0"/>
    <n v="0"/>
    <n v="0"/>
    <n v="0"/>
    <n v="0"/>
  </r>
  <r>
    <s v="SYD/WUH"/>
    <s v="WUH"/>
    <x v="0"/>
    <x v="0"/>
    <x v="23"/>
    <x v="1"/>
    <x v="91"/>
    <n v="8177"/>
    <n v="20"/>
    <m/>
    <n v="0"/>
    <m/>
    <n v="0"/>
    <n v="3148"/>
    <n v="3148"/>
    <n v="3"/>
    <n v="60"/>
    <n v="0"/>
    <n v="0"/>
    <n v="0"/>
    <n v="0"/>
    <n v="0"/>
  </r>
  <r>
    <s v="SYD/EZE"/>
    <s v="EZE"/>
    <x v="0"/>
    <x v="0"/>
    <x v="40"/>
    <x v="3"/>
    <x v="92"/>
    <n v="11769"/>
    <n v="28"/>
    <m/>
    <n v="0"/>
    <m/>
    <n v="0"/>
    <n v="3131"/>
    <n v="3131"/>
    <n v="3"/>
    <n v="84"/>
    <n v="0"/>
    <n v="0"/>
    <n v="0"/>
    <n v="0"/>
    <n v="0"/>
  </r>
  <r>
    <s v="SYD/VCP"/>
    <s v="VCP"/>
    <x v="0"/>
    <x v="3"/>
    <x v="30"/>
    <x v="3"/>
    <x v="93"/>
    <n v="13396"/>
    <n v="31.5"/>
    <m/>
    <n v="0"/>
    <m/>
    <n v="0"/>
    <n v="3131"/>
    <n v="3131"/>
    <n v="3"/>
    <n v="94.5"/>
    <n v="0"/>
    <n v="0"/>
    <n v="0"/>
    <n v="0"/>
    <n v="0"/>
  </r>
  <r>
    <s v="SYD/NAN"/>
    <s v="NAN"/>
    <x v="0"/>
    <x v="3"/>
    <x v="41"/>
    <x v="2"/>
    <x v="94"/>
    <n v="3170"/>
    <n v="9"/>
    <m/>
    <n v="0"/>
    <m/>
    <n v="0"/>
    <n v="3127"/>
    <n v="3127"/>
    <n v="3"/>
    <n v="27"/>
    <n v="0"/>
    <n v="0"/>
    <n v="0"/>
    <n v="0"/>
    <n v="0"/>
  </r>
  <r>
    <s v="SYD/HGH"/>
    <s v="HGH"/>
    <x v="0"/>
    <x v="0"/>
    <x v="23"/>
    <x v="1"/>
    <x v="95"/>
    <n v="7834"/>
    <n v="19.25"/>
    <m/>
    <n v="0"/>
    <m/>
    <n v="0"/>
    <n v="3099"/>
    <n v="3099"/>
    <n v="3"/>
    <n v="57.75"/>
    <n v="0"/>
    <n v="0"/>
    <n v="0"/>
    <n v="0"/>
    <n v="0"/>
  </r>
  <r>
    <s v="SYD/ATA"/>
    <s v="ATA"/>
    <x v="0"/>
    <x v="3"/>
    <x v="21"/>
    <x v="3"/>
    <x v="96"/>
    <n v="12975"/>
    <n v="30.5"/>
    <m/>
    <n v="0"/>
    <m/>
    <n v="0"/>
    <n v="3094"/>
    <n v="3094"/>
    <n v="3"/>
    <n v="91.5"/>
    <n v="0"/>
    <n v="0"/>
    <n v="0"/>
    <n v="0"/>
    <n v="0"/>
  </r>
  <r>
    <s v="SYD/AQP"/>
    <s v="AQP"/>
    <x v="0"/>
    <x v="3"/>
    <x v="21"/>
    <x v="3"/>
    <x v="97"/>
    <n v="12824"/>
    <n v="30.25"/>
    <m/>
    <n v="0"/>
    <m/>
    <n v="0"/>
    <n v="3084"/>
    <n v="3084"/>
    <n v="3"/>
    <n v="90.75"/>
    <n v="0"/>
    <n v="0"/>
    <n v="0"/>
    <n v="0"/>
    <n v="0"/>
  </r>
  <r>
    <s v="SYD/GYD"/>
    <s v="GYD"/>
    <x v="0"/>
    <x v="3"/>
    <x v="42"/>
    <x v="5"/>
    <x v="98"/>
    <n v="13231"/>
    <n v="31.25"/>
    <m/>
    <n v="0"/>
    <m/>
    <n v="0"/>
    <n v="3055"/>
    <n v="3055"/>
    <n v="3"/>
    <n v="93.75"/>
    <n v="0"/>
    <n v="0"/>
    <n v="0"/>
    <n v="0"/>
    <n v="0"/>
  </r>
  <r>
    <s v="SYD/TAO"/>
    <s v="TAO"/>
    <x v="0"/>
    <x v="0"/>
    <x v="23"/>
    <x v="1"/>
    <x v="99"/>
    <n v="8438"/>
    <n v="20.75"/>
    <m/>
    <n v="0"/>
    <m/>
    <n v="0"/>
    <n v="3052"/>
    <n v="3052"/>
    <n v="3"/>
    <n v="62.25"/>
    <n v="0"/>
    <n v="0"/>
    <n v="0"/>
    <n v="0"/>
    <n v="0"/>
  </r>
  <r>
    <s v="SYD/DLC"/>
    <s v="DLC"/>
    <x v="0"/>
    <x v="0"/>
    <x v="23"/>
    <x v="1"/>
    <x v="100"/>
    <n v="8665"/>
    <n v="21.25"/>
    <m/>
    <n v="0"/>
    <m/>
    <n v="0"/>
    <n v="3050"/>
    <n v="3050"/>
    <n v="3"/>
    <n v="63.75"/>
    <n v="0"/>
    <n v="0"/>
    <n v="0"/>
    <n v="0"/>
    <n v="0"/>
  </r>
  <r>
    <s v="SYD/LPB"/>
    <s v="LPB"/>
    <x v="0"/>
    <x v="2"/>
    <x v="43"/>
    <x v="3"/>
    <x v="101"/>
    <n v="13028"/>
    <n v="30.75"/>
    <m/>
    <n v="0"/>
    <m/>
    <n v="0"/>
    <n v="3043"/>
    <n v="3043"/>
    <n v="3"/>
    <n v="92.25"/>
    <n v="0"/>
    <n v="0"/>
    <n v="0"/>
    <n v="0"/>
    <n v="0"/>
  </r>
  <r>
    <s v="SYD/VVI"/>
    <s v="VVI"/>
    <x v="0"/>
    <x v="2"/>
    <x v="43"/>
    <x v="3"/>
    <x v="102"/>
    <n v="13227"/>
    <n v="31.25"/>
    <m/>
    <n v="0"/>
    <m/>
    <n v="0"/>
    <n v="3043"/>
    <n v="3043"/>
    <n v="3"/>
    <n v="93.75"/>
    <n v="0"/>
    <n v="0"/>
    <n v="0"/>
    <n v="0"/>
    <n v="0"/>
  </r>
  <r>
    <s v="SYD/SHE"/>
    <s v="SHE"/>
    <x v="0"/>
    <x v="0"/>
    <x v="23"/>
    <x v="1"/>
    <x v="103"/>
    <n v="8870"/>
    <n v="21.5"/>
    <m/>
    <n v="0"/>
    <m/>
    <n v="0"/>
    <n v="3032"/>
    <n v="3032"/>
    <n v="3"/>
    <n v="64.5"/>
    <n v="0"/>
    <n v="0"/>
    <n v="0"/>
    <n v="0"/>
    <n v="0"/>
  </r>
  <r>
    <s v="SYD/GBE"/>
    <s v="GBE"/>
    <x v="0"/>
    <x v="2"/>
    <x v="44"/>
    <x v="0"/>
    <x v="104"/>
    <n v="11316"/>
    <n v="27"/>
    <m/>
    <n v="0"/>
    <m/>
    <n v="0"/>
    <n v="3027"/>
    <n v="3027"/>
    <n v="3"/>
    <n v="81"/>
    <n v="0"/>
    <n v="0"/>
    <n v="0"/>
    <n v="0"/>
    <n v="0"/>
  </r>
  <r>
    <s v="SYD/BTH"/>
    <s v="BTH"/>
    <x v="0"/>
    <x v="3"/>
    <x v="32"/>
    <x v="1"/>
    <x v="105"/>
    <n v="6267"/>
    <n v="16"/>
    <m/>
    <n v="0"/>
    <m/>
    <n v="0"/>
    <n v="3023"/>
    <n v="3023"/>
    <n v="3"/>
    <n v="48"/>
    <n v="0"/>
    <n v="0"/>
    <n v="0"/>
    <n v="0"/>
    <n v="0"/>
  </r>
  <r>
    <s v="SYD/SCL"/>
    <s v="SCL"/>
    <x v="0"/>
    <x v="0"/>
    <x v="45"/>
    <x v="3"/>
    <x v="106"/>
    <n v="11343"/>
    <n v="27"/>
    <m/>
    <n v="0"/>
    <m/>
    <n v="0"/>
    <n v="3018"/>
    <n v="3018"/>
    <n v="3"/>
    <n v="81"/>
    <n v="0"/>
    <n v="0"/>
    <n v="0"/>
    <n v="0"/>
    <n v="0"/>
  </r>
  <r>
    <s v="SYD/CGO"/>
    <s v="CGO"/>
    <x v="0"/>
    <x v="0"/>
    <x v="23"/>
    <x v="1"/>
    <x v="107"/>
    <n v="8551"/>
    <n v="21"/>
    <m/>
    <n v="0"/>
    <m/>
    <n v="0"/>
    <n v="3006"/>
    <n v="3006"/>
    <n v="3"/>
    <n v="63"/>
    <n v="0"/>
    <n v="0"/>
    <n v="0"/>
    <n v="0"/>
    <n v="0"/>
  </r>
  <r>
    <s v="SYD/CBB"/>
    <s v="CBB"/>
    <x v="0"/>
    <x v="2"/>
    <x v="43"/>
    <x v="3"/>
    <x v="108"/>
    <n v="13070"/>
    <n v="30.75"/>
    <m/>
    <n v="0"/>
    <m/>
    <n v="0"/>
    <n v="3001"/>
    <n v="3001"/>
    <n v="3"/>
    <n v="92.25"/>
    <n v="0"/>
    <n v="0"/>
    <n v="0"/>
    <n v="0"/>
    <n v="0"/>
  </r>
  <r>
    <s v="SYD/NKG"/>
    <s v="NKG"/>
    <x v="0"/>
    <x v="0"/>
    <x v="23"/>
    <x v="1"/>
    <x v="109"/>
    <n v="8079"/>
    <n v="19.75"/>
    <m/>
    <n v="0"/>
    <m/>
    <n v="0"/>
    <n v="2996"/>
    <n v="2996"/>
    <n v="3"/>
    <n v="59.25"/>
    <n v="0"/>
    <n v="0"/>
    <n v="0"/>
    <n v="0"/>
    <n v="0"/>
  </r>
  <r>
    <s v="SYD/EVN"/>
    <s v="EVN"/>
    <x v="0"/>
    <x v="3"/>
    <x v="46"/>
    <x v="1"/>
    <x v="110"/>
    <n v="13669"/>
    <n v="32.25"/>
    <m/>
    <n v="0"/>
    <m/>
    <n v="0"/>
    <n v="2990"/>
    <n v="2990"/>
    <n v="3"/>
    <n v="96.75"/>
    <n v="0"/>
    <n v="0"/>
    <n v="0"/>
    <n v="0"/>
    <n v="0"/>
  </r>
  <r>
    <s v="SYD/NDJ"/>
    <s v="NDJ"/>
    <x v="0"/>
    <x v="2"/>
    <x v="47"/>
    <x v="0"/>
    <x v="111"/>
    <n v="14971"/>
    <n v="35"/>
    <m/>
    <n v="0"/>
    <m/>
    <n v="0"/>
    <n v="2979"/>
    <n v="2979"/>
    <n v="3"/>
    <n v="105"/>
    <n v="0"/>
    <n v="0"/>
    <n v="0"/>
    <n v="0"/>
    <n v="0"/>
  </r>
  <r>
    <s v="SYD/MCT"/>
    <s v="MCT"/>
    <x v="0"/>
    <x v="3"/>
    <x v="48"/>
    <x v="1"/>
    <x v="112"/>
    <n v="11698"/>
    <n v="27.75"/>
    <m/>
    <n v="0"/>
    <m/>
    <n v="0"/>
    <n v="2979"/>
    <n v="2979"/>
    <n v="3"/>
    <n v="83.25"/>
    <n v="0"/>
    <n v="0"/>
    <n v="0"/>
    <n v="0"/>
    <n v="0"/>
  </r>
  <r>
    <s v="SYD/HKT"/>
    <s v="HKT"/>
    <x v="0"/>
    <x v="3"/>
    <x v="13"/>
    <x v="1"/>
    <x v="113"/>
    <n v="7268"/>
    <n v="18"/>
    <m/>
    <n v="0"/>
    <m/>
    <n v="0"/>
    <n v="2978"/>
    <n v="2978"/>
    <n v="3"/>
    <n v="54"/>
    <n v="0"/>
    <n v="0"/>
    <n v="0"/>
    <n v="0"/>
    <n v="0"/>
  </r>
  <r>
    <s v="SYD/SAP"/>
    <s v="SAP"/>
    <x v="0"/>
    <x v="2"/>
    <x v="49"/>
    <x v="4"/>
    <x v="114"/>
    <n v="13793"/>
    <n v="32.5"/>
    <m/>
    <n v="0"/>
    <m/>
    <n v="0"/>
    <n v="2976"/>
    <n v="2976"/>
    <n v="3"/>
    <n v="97.5"/>
    <n v="0"/>
    <n v="0"/>
    <n v="0"/>
    <n v="0"/>
    <n v="0"/>
  </r>
  <r>
    <s v="SYD/LXA"/>
    <s v="LXA"/>
    <x v="0"/>
    <x v="3"/>
    <x v="23"/>
    <x v="1"/>
    <x v="115"/>
    <n v="9465"/>
    <n v="23"/>
    <m/>
    <n v="0"/>
    <m/>
    <n v="0"/>
    <n v="2973"/>
    <n v="2973"/>
    <n v="3"/>
    <n v="69"/>
    <n v="0"/>
    <n v="0"/>
    <n v="0"/>
    <n v="0"/>
    <n v="0"/>
  </r>
  <r>
    <s v="SYD/TBZ"/>
    <s v="TBZ"/>
    <x v="0"/>
    <x v="2"/>
    <x v="20"/>
    <x v="1"/>
    <x v="116"/>
    <n v="13443"/>
    <n v="31.75"/>
    <m/>
    <n v="0"/>
    <m/>
    <n v="0"/>
    <n v="2969"/>
    <n v="2969"/>
    <n v="3"/>
    <n v="95.25"/>
    <n v="0"/>
    <n v="0"/>
    <n v="0"/>
    <n v="0"/>
    <n v="0"/>
  </r>
  <r>
    <s v="SYD/BHK"/>
    <s v="BHK"/>
    <x v="0"/>
    <x v="2"/>
    <x v="25"/>
    <x v="1"/>
    <x v="117"/>
    <n v="12089"/>
    <n v="28.75"/>
    <m/>
    <n v="0"/>
    <m/>
    <n v="0"/>
    <n v="2965"/>
    <n v="2965"/>
    <n v="3"/>
    <n v="86.25"/>
    <n v="0"/>
    <n v="0"/>
    <n v="0"/>
    <n v="0"/>
    <n v="0"/>
  </r>
  <r>
    <s v="SYD/GDL"/>
    <s v="GDL"/>
    <x v="0"/>
    <x v="0"/>
    <x v="27"/>
    <x v="4"/>
    <x v="118"/>
    <n v="12658"/>
    <n v="30"/>
    <m/>
    <n v="0"/>
    <m/>
    <n v="0"/>
    <n v="2964"/>
    <n v="2964"/>
    <n v="3"/>
    <n v="90"/>
    <n v="0"/>
    <n v="0"/>
    <n v="0"/>
    <n v="0"/>
    <n v="0"/>
  </r>
  <r>
    <s v="SYD/TNA"/>
    <s v="TNA"/>
    <x v="0"/>
    <x v="3"/>
    <x v="23"/>
    <x v="1"/>
    <x v="119"/>
    <n v="8625"/>
    <n v="21"/>
    <m/>
    <n v="0"/>
    <m/>
    <n v="0"/>
    <n v="2957"/>
    <n v="2957"/>
    <n v="3"/>
    <n v="63"/>
    <n v="0"/>
    <n v="0"/>
    <n v="0"/>
    <n v="0"/>
    <n v="0"/>
  </r>
  <r>
    <s v="SYD/DMM"/>
    <s v="DMM"/>
    <x v="0"/>
    <x v="3"/>
    <x v="24"/>
    <x v="1"/>
    <x v="120"/>
    <n v="12601"/>
    <n v="29.75"/>
    <m/>
    <n v="0"/>
    <m/>
    <n v="0"/>
    <n v="2957"/>
    <n v="2957"/>
    <n v="3"/>
    <n v="89.25"/>
    <n v="0"/>
    <n v="0"/>
    <n v="0"/>
    <n v="0"/>
    <n v="0"/>
  </r>
  <r>
    <s v="SYD/CUZ"/>
    <s v="CUZ"/>
    <x v="0"/>
    <x v="3"/>
    <x v="21"/>
    <x v="3"/>
    <x v="121"/>
    <n v="13042"/>
    <n v="30.75"/>
    <m/>
    <n v="0"/>
    <m/>
    <n v="0"/>
    <n v="2952"/>
    <n v="2952"/>
    <n v="3"/>
    <n v="92.25"/>
    <n v="0"/>
    <n v="0"/>
    <n v="0"/>
    <n v="0"/>
    <n v="0"/>
  </r>
  <r>
    <s v="SYD/SVX"/>
    <s v="SVX"/>
    <x v="0"/>
    <x v="3"/>
    <x v="35"/>
    <x v="5"/>
    <x v="122"/>
    <n v="13127"/>
    <n v="31"/>
    <m/>
    <n v="0"/>
    <m/>
    <n v="0"/>
    <n v="2949"/>
    <n v="2949"/>
    <n v="3"/>
    <n v="93"/>
    <n v="0"/>
    <n v="0"/>
    <n v="0"/>
    <n v="0"/>
    <n v="0"/>
  </r>
  <r>
    <s v="SYD/MTY"/>
    <s v="MTY"/>
    <x v="0"/>
    <x v="0"/>
    <x v="27"/>
    <x v="4"/>
    <x v="123"/>
    <n v="13219"/>
    <n v="31.25"/>
    <m/>
    <n v="0"/>
    <m/>
    <n v="0"/>
    <n v="2949"/>
    <n v="2949"/>
    <n v="3"/>
    <n v="93.75"/>
    <n v="0"/>
    <n v="0"/>
    <n v="0"/>
    <n v="0"/>
    <n v="0"/>
  </r>
  <r>
    <s v="SYD/HAN"/>
    <s v="HAN"/>
    <x v="0"/>
    <x v="3"/>
    <x v="26"/>
    <x v="1"/>
    <x v="124"/>
    <n v="7791"/>
    <n v="19.25"/>
    <m/>
    <n v="0"/>
    <m/>
    <n v="0"/>
    <n v="2938"/>
    <n v="2938"/>
    <n v="3"/>
    <n v="57.75"/>
    <n v="0"/>
    <n v="0"/>
    <n v="0"/>
    <n v="0"/>
    <n v="0"/>
  </r>
  <r>
    <s v="SYD/HND"/>
    <s v="HND"/>
    <x v="0"/>
    <x v="1"/>
    <x v="50"/>
    <x v="1"/>
    <x v="125"/>
    <n v="7820"/>
    <n v="19.25"/>
    <m/>
    <n v="0"/>
    <m/>
    <n v="0"/>
    <n v="2912"/>
    <n v="2912"/>
    <n v="3"/>
    <n v="57.75"/>
    <n v="0"/>
    <n v="0"/>
    <n v="0"/>
    <n v="0"/>
    <n v="0"/>
  </r>
  <r>
    <s v="SYD/ULN"/>
    <s v="ULN"/>
    <x v="0"/>
    <x v="2"/>
    <x v="51"/>
    <x v="1"/>
    <x v="126"/>
    <n v="10113"/>
    <n v="24.25"/>
    <m/>
    <n v="0"/>
    <m/>
    <n v="0"/>
    <n v="2911"/>
    <n v="2911"/>
    <n v="3"/>
    <n v="72.75"/>
    <n v="0"/>
    <n v="0"/>
    <n v="0"/>
    <n v="0"/>
    <n v="0"/>
  </r>
  <r>
    <s v="SYD/AUH"/>
    <s v="AUH"/>
    <x v="0"/>
    <x v="0"/>
    <x v="52"/>
    <x v="1"/>
    <x v="127"/>
    <n v="12064"/>
    <n v="28.5"/>
    <m/>
    <n v="0"/>
    <m/>
    <n v="0"/>
    <n v="2908"/>
    <n v="2908"/>
    <n v="3"/>
    <n v="85.5"/>
    <n v="0"/>
    <n v="0"/>
    <n v="0"/>
    <n v="0"/>
    <n v="0"/>
  </r>
  <r>
    <s v="SYD/TSN"/>
    <s v="TSN"/>
    <x v="0"/>
    <x v="3"/>
    <x v="23"/>
    <x v="1"/>
    <x v="128"/>
    <n v="8842"/>
    <n v="21.5"/>
    <m/>
    <n v="0"/>
    <m/>
    <n v="0"/>
    <n v="2907"/>
    <n v="2907"/>
    <n v="3"/>
    <n v="64.5"/>
    <n v="0"/>
    <n v="0"/>
    <n v="0"/>
    <n v="0"/>
    <n v="0"/>
  </r>
  <r>
    <s v="SYD/TYN"/>
    <s v="TYN"/>
    <x v="0"/>
    <x v="3"/>
    <x v="23"/>
    <x v="1"/>
    <x v="129"/>
    <n v="8914"/>
    <n v="21.75"/>
    <m/>
    <n v="0"/>
    <m/>
    <n v="0"/>
    <n v="2899"/>
    <n v="2899"/>
    <n v="3"/>
    <n v="65.25"/>
    <n v="0"/>
    <n v="0"/>
    <n v="0"/>
    <n v="0"/>
    <n v="0"/>
  </r>
  <r>
    <s v="SYD/CAI"/>
    <s v="CAI"/>
    <x v="0"/>
    <x v="0"/>
    <x v="53"/>
    <x v="0"/>
    <x v="130"/>
    <n v="14407"/>
    <n v="33.75"/>
    <m/>
    <n v="0"/>
    <m/>
    <n v="0"/>
    <n v="2884"/>
    <n v="2884"/>
    <n v="3"/>
    <n v="101.25"/>
    <n v="0"/>
    <n v="0"/>
    <n v="0"/>
    <n v="0"/>
    <n v="0"/>
  </r>
  <r>
    <s v="SYD/TBS"/>
    <s v="TBS"/>
    <x v="0"/>
    <x v="2"/>
    <x v="54"/>
    <x v="5"/>
    <x v="131"/>
    <n v="13678"/>
    <n v="32.25"/>
    <m/>
    <n v="0"/>
    <m/>
    <n v="0"/>
    <n v="2877"/>
    <n v="2877"/>
    <n v="3"/>
    <n v="96.75"/>
    <n v="0"/>
    <n v="0"/>
    <n v="0"/>
    <n v="0"/>
    <n v="0"/>
  </r>
  <r>
    <s v="SYD/TSE"/>
    <s v="TSE"/>
    <x v="0"/>
    <x v="2"/>
    <x v="33"/>
    <x v="5"/>
    <x v="132"/>
    <n v="12227"/>
    <n v="29"/>
    <m/>
    <n v="0"/>
    <m/>
    <n v="0"/>
    <n v="2865"/>
    <n v="2865"/>
    <n v="3"/>
    <n v="87"/>
    <n v="0"/>
    <n v="0"/>
    <n v="0"/>
    <n v="0"/>
    <n v="0"/>
  </r>
  <r>
    <s v="SYD/DLA"/>
    <s v="DLA"/>
    <x v="0"/>
    <x v="2"/>
    <x v="55"/>
    <x v="0"/>
    <x v="133"/>
    <n v="14830"/>
    <n v="34.75"/>
    <m/>
    <n v="0"/>
    <m/>
    <n v="0"/>
    <n v="2857"/>
    <n v="2857"/>
    <n v="3"/>
    <n v="104.25"/>
    <n v="0"/>
    <n v="0"/>
    <n v="0"/>
    <n v="0"/>
    <n v="0"/>
  </r>
  <r>
    <s v="SYD/CGQ"/>
    <s v="CGQ"/>
    <x v="0"/>
    <x v="3"/>
    <x v="23"/>
    <x v="1"/>
    <x v="134"/>
    <n v="9045"/>
    <n v="22"/>
    <m/>
    <n v="0"/>
    <m/>
    <n v="0"/>
    <n v="2848"/>
    <n v="2848"/>
    <n v="2"/>
    <n v="44"/>
    <n v="0"/>
    <n v="0"/>
    <n v="0"/>
    <n v="0"/>
    <n v="0"/>
  </r>
  <r>
    <s v="SYD/CNX"/>
    <s v="CNX"/>
    <x v="0"/>
    <x v="3"/>
    <x v="13"/>
    <x v="1"/>
    <x v="135"/>
    <n v="8057"/>
    <n v="19.75"/>
    <m/>
    <n v="0"/>
    <m/>
    <n v="0"/>
    <n v="2847"/>
    <n v="2847"/>
    <n v="2"/>
    <n v="39.5"/>
    <n v="0"/>
    <n v="0"/>
    <n v="0"/>
    <n v="0"/>
    <n v="0"/>
  </r>
  <r>
    <s v="SYD/AYT"/>
    <s v="AYT"/>
    <x v="0"/>
    <x v="0"/>
    <x v="56"/>
    <x v="1"/>
    <x v="136"/>
    <n v="14696"/>
    <n v="34.5"/>
    <m/>
    <n v="0"/>
    <m/>
    <n v="0"/>
    <n v="2837"/>
    <n v="2837"/>
    <n v="2"/>
    <n v="69"/>
    <n v="0"/>
    <n v="0"/>
    <n v="0"/>
    <n v="0"/>
    <n v="0"/>
  </r>
  <r>
    <s v="SYD/KZN"/>
    <s v="KZN"/>
    <x v="0"/>
    <x v="2"/>
    <x v="35"/>
    <x v="5"/>
    <x v="137"/>
    <n v="13778"/>
    <n v="32.25"/>
    <m/>
    <n v="0"/>
    <m/>
    <n v="0"/>
    <n v="2837"/>
    <n v="2837"/>
    <n v="2"/>
    <n v="64.5"/>
    <n v="0"/>
    <n v="0"/>
    <n v="0"/>
    <n v="0"/>
    <n v="0"/>
  </r>
  <r>
    <s v="SYD/KUF"/>
    <s v="KUF"/>
    <x v="0"/>
    <x v="2"/>
    <x v="35"/>
    <x v="5"/>
    <x v="138"/>
    <n v="13670"/>
    <n v="32.25"/>
    <m/>
    <n v="0"/>
    <m/>
    <n v="0"/>
    <n v="2818"/>
    <n v="2818"/>
    <n v="2"/>
    <n v="64.5"/>
    <n v="0"/>
    <n v="0"/>
    <n v="0"/>
    <n v="0"/>
    <n v="0"/>
  </r>
  <r>
    <s v="SYD/KBL"/>
    <s v="KBL"/>
    <x v="0"/>
    <x v="3"/>
    <x v="57"/>
    <x v="1"/>
    <x v="139"/>
    <n v="11432"/>
    <n v="27.25"/>
    <m/>
    <n v="0"/>
    <m/>
    <n v="0"/>
    <n v="2815"/>
    <n v="2815"/>
    <n v="2"/>
    <n v="54.5"/>
    <n v="0"/>
    <n v="0"/>
    <n v="0"/>
    <n v="0"/>
    <n v="0"/>
  </r>
  <r>
    <s v="SYD/SJO"/>
    <s v="SJO"/>
    <x v="0"/>
    <x v="3"/>
    <x v="58"/>
    <x v="4"/>
    <x v="140"/>
    <n v="13805"/>
    <n v="32.5"/>
    <m/>
    <n v="0"/>
    <m/>
    <n v="0"/>
    <n v="2807"/>
    <n v="2807"/>
    <n v="2"/>
    <n v="65"/>
    <n v="0"/>
    <n v="0"/>
    <n v="0"/>
    <n v="0"/>
    <n v="0"/>
  </r>
  <r>
    <s v="SYD/ASU"/>
    <s v="ASU"/>
    <x v="0"/>
    <x v="2"/>
    <x v="59"/>
    <x v="3"/>
    <x v="141"/>
    <n v="12773"/>
    <n v="30.25"/>
    <m/>
    <n v="0"/>
    <m/>
    <n v="0"/>
    <n v="2807"/>
    <n v="2807"/>
    <n v="2"/>
    <n v="60.5"/>
    <n v="0"/>
    <n v="0"/>
    <n v="0"/>
    <n v="0"/>
    <n v="0"/>
  </r>
  <r>
    <s v="SYD/NRT"/>
    <s v="NRT"/>
    <x v="0"/>
    <x v="1"/>
    <x v="50"/>
    <x v="1"/>
    <x v="142"/>
    <n v="7834"/>
    <n v="19.25"/>
    <m/>
    <n v="0"/>
    <m/>
    <n v="0"/>
    <n v="2762"/>
    <n v="2762"/>
    <n v="2"/>
    <n v="38.5"/>
    <n v="0"/>
    <n v="0"/>
    <n v="0"/>
    <n v="0"/>
    <n v="0"/>
  </r>
  <r>
    <s v="SYD/AKL"/>
    <s v="AKL"/>
    <x v="0"/>
    <x v="0"/>
    <x v="60"/>
    <x v="2"/>
    <x v="143"/>
    <n v="2160"/>
    <n v="6.75"/>
    <m/>
    <n v="0"/>
    <m/>
    <n v="0"/>
    <n v="2752"/>
    <n v="2752"/>
    <n v="2"/>
    <n v="13.5"/>
    <n v="0"/>
    <n v="0"/>
    <n v="0"/>
    <n v="0"/>
    <n v="0"/>
  </r>
  <r>
    <s v="SYD/UFA"/>
    <s v="UFA"/>
    <x v="0"/>
    <x v="2"/>
    <x v="35"/>
    <x v="5"/>
    <x v="144"/>
    <n v="13342"/>
    <n v="31.5"/>
    <m/>
    <n v="0"/>
    <m/>
    <n v="0"/>
    <n v="2749"/>
    <n v="2749"/>
    <n v="2"/>
    <n v="63"/>
    <n v="0"/>
    <n v="0"/>
    <n v="0"/>
    <n v="0"/>
    <n v="0"/>
  </r>
  <r>
    <s v="SYD/HRG"/>
    <s v="HRG"/>
    <x v="0"/>
    <x v="0"/>
    <x v="53"/>
    <x v="0"/>
    <x v="145"/>
    <n v="14066"/>
    <n v="33"/>
    <m/>
    <n v="0"/>
    <m/>
    <n v="0"/>
    <n v="2734"/>
    <n v="2734"/>
    <n v="2"/>
    <n v="66"/>
    <n v="0"/>
    <n v="0"/>
    <n v="0"/>
    <n v="0"/>
    <n v="0"/>
  </r>
  <r>
    <s v="SYD/DAD"/>
    <s v="DAD"/>
    <x v="0"/>
    <x v="3"/>
    <x v="26"/>
    <x v="1"/>
    <x v="146"/>
    <n v="7185"/>
    <n v="18"/>
    <m/>
    <n v="0"/>
    <m/>
    <n v="0"/>
    <n v="2730"/>
    <n v="2730"/>
    <n v="2"/>
    <n v="36"/>
    <n v="0"/>
    <n v="0"/>
    <n v="0"/>
    <n v="0"/>
    <n v="0"/>
  </r>
  <r>
    <s v="SYD/SSH"/>
    <s v="SSH"/>
    <x v="0"/>
    <x v="0"/>
    <x v="53"/>
    <x v="0"/>
    <x v="147"/>
    <n v="14048"/>
    <n v="33"/>
    <m/>
    <n v="0"/>
    <m/>
    <n v="0"/>
    <n v="2717"/>
    <n v="2717"/>
    <n v="2"/>
    <n v="66"/>
    <n v="0"/>
    <n v="0"/>
    <n v="0"/>
    <n v="0"/>
    <n v="0"/>
  </r>
  <r>
    <s v="SYD/BKI"/>
    <s v="BKI"/>
    <x v="0"/>
    <x v="3"/>
    <x v="37"/>
    <x v="1"/>
    <x v="148"/>
    <n v="5772"/>
    <n v="14.75"/>
    <m/>
    <n v="0"/>
    <m/>
    <n v="0"/>
    <n v="2716"/>
    <n v="2716"/>
    <n v="2"/>
    <n v="29.5"/>
    <n v="0"/>
    <n v="0"/>
    <n v="0"/>
    <n v="0"/>
    <n v="0"/>
  </r>
  <r>
    <s v="SYD/TLC"/>
    <s v="TLC"/>
    <x v="0"/>
    <x v="3"/>
    <x v="27"/>
    <x v="4"/>
    <x v="149"/>
    <n v="12935"/>
    <n v="30.5"/>
    <m/>
    <n v="0"/>
    <m/>
    <n v="0"/>
    <n v="2716"/>
    <n v="2716"/>
    <n v="2"/>
    <n v="61"/>
    <n v="0"/>
    <n v="0"/>
    <n v="0"/>
    <n v="0"/>
    <n v="0"/>
  </r>
  <r>
    <s v="SYD/KHG"/>
    <s v="KHG"/>
    <x v="0"/>
    <x v="2"/>
    <x v="23"/>
    <x v="1"/>
    <x v="150"/>
    <n v="11239"/>
    <n v="26.75"/>
    <m/>
    <n v="0"/>
    <m/>
    <n v="0"/>
    <n v="2711"/>
    <n v="2711"/>
    <n v="2"/>
    <n v="53.5"/>
    <n v="0"/>
    <n v="0"/>
    <n v="0"/>
    <n v="0"/>
    <n v="0"/>
  </r>
  <r>
    <s v="SYD/PER"/>
    <s v="PER"/>
    <x v="0"/>
    <x v="0"/>
    <x v="61"/>
    <x v="2"/>
    <x v="151"/>
    <n v="3279"/>
    <n v="9.25"/>
    <m/>
    <n v="0"/>
    <m/>
    <n v="0"/>
    <n v="2699"/>
    <n v="2699"/>
    <n v="2"/>
    <n v="18.5"/>
    <n v="0"/>
    <n v="0"/>
    <n v="0"/>
    <n v="0"/>
    <n v="0"/>
  </r>
  <r>
    <s v="SYD/CRK"/>
    <s v="CRK"/>
    <x v="0"/>
    <x v="2"/>
    <x v="34"/>
    <x v="1"/>
    <x v="152"/>
    <n v="6354"/>
    <n v="16"/>
    <m/>
    <n v="0"/>
    <m/>
    <n v="0"/>
    <n v="2689"/>
    <n v="2689"/>
    <n v="2"/>
    <n v="32"/>
    <n v="0"/>
    <n v="0"/>
    <n v="0"/>
    <n v="0"/>
    <n v="0"/>
  </r>
  <r>
    <s v="SYD/MEC"/>
    <s v="MEC"/>
    <x v="0"/>
    <x v="2"/>
    <x v="31"/>
    <x v="3"/>
    <x v="153"/>
    <n v="13369"/>
    <n v="31.5"/>
    <m/>
    <n v="0"/>
    <m/>
    <n v="0"/>
    <n v="2657"/>
    <n v="2657"/>
    <n v="2"/>
    <n v="63"/>
    <n v="0"/>
    <n v="0"/>
    <n v="0"/>
    <n v="0"/>
    <n v="0"/>
  </r>
  <r>
    <s v="SYD/CTS"/>
    <s v="CTS"/>
    <x v="0"/>
    <x v="0"/>
    <x v="50"/>
    <x v="1"/>
    <x v="154"/>
    <n v="8587"/>
    <n v="21"/>
    <m/>
    <n v="0"/>
    <m/>
    <n v="0"/>
    <n v="2655"/>
    <n v="2655"/>
    <n v="2"/>
    <n v="42"/>
    <n v="0"/>
    <n v="0"/>
    <n v="0"/>
    <n v="0"/>
    <n v="0"/>
  </r>
  <r>
    <s v="SYD/TPE"/>
    <s v="TPE"/>
    <x v="0"/>
    <x v="1"/>
    <x v="62"/>
    <x v="1"/>
    <x v="155"/>
    <n v="7287"/>
    <n v="18"/>
    <m/>
    <n v="0"/>
    <m/>
    <n v="0"/>
    <n v="2649"/>
    <n v="2649"/>
    <n v="2"/>
    <n v="36"/>
    <n v="0"/>
    <n v="0"/>
    <n v="0"/>
    <n v="0"/>
    <n v="0"/>
  </r>
  <r>
    <s v="SYD/AKX"/>
    <s v="AKX"/>
    <x v="0"/>
    <x v="2"/>
    <x v="33"/>
    <x v="5"/>
    <x v="156"/>
    <n v="13100"/>
    <n v="31"/>
    <m/>
    <n v="0"/>
    <m/>
    <n v="0"/>
    <n v="2646"/>
    <n v="2646"/>
    <n v="2"/>
    <n v="62"/>
    <n v="0"/>
    <n v="0"/>
    <n v="0"/>
    <n v="0"/>
    <n v="0"/>
  </r>
  <r>
    <s v="SYD/NSI"/>
    <s v="NSI"/>
    <x v="0"/>
    <x v="2"/>
    <x v="55"/>
    <x v="0"/>
    <x v="157"/>
    <n v="14662"/>
    <n v="34.25"/>
    <m/>
    <n v="0"/>
    <m/>
    <n v="0"/>
    <n v="2645"/>
    <n v="2645"/>
    <n v="2"/>
    <n v="68.5"/>
    <n v="0"/>
    <n v="0"/>
    <n v="0"/>
    <n v="0"/>
    <n v="0"/>
  </r>
  <r>
    <s v="SYD/YVR"/>
    <s v="YVR"/>
    <x v="0"/>
    <x v="0"/>
    <x v="63"/>
    <x v="4"/>
    <x v="158"/>
    <n v="12504"/>
    <n v="29.5"/>
    <m/>
    <n v="0"/>
    <m/>
    <n v="0"/>
    <n v="2616"/>
    <n v="2616"/>
    <n v="2"/>
    <n v="59"/>
    <n v="0"/>
    <n v="0"/>
    <n v="0"/>
    <n v="0"/>
    <n v="0"/>
  </r>
  <r>
    <s v="SYD/MVD"/>
    <s v="MVD"/>
    <x v="0"/>
    <x v="3"/>
    <x v="64"/>
    <x v="3"/>
    <x v="159"/>
    <n v="11862"/>
    <n v="28.25"/>
    <m/>
    <n v="0"/>
    <m/>
    <n v="0"/>
    <n v="2611"/>
    <n v="2611"/>
    <n v="2"/>
    <n v="56.5"/>
    <n v="0"/>
    <n v="0"/>
    <n v="0"/>
    <n v="0"/>
    <n v="0"/>
  </r>
  <r>
    <s v="SYD/COR"/>
    <s v="COR"/>
    <x v="0"/>
    <x v="2"/>
    <x v="40"/>
    <x v="3"/>
    <x v="160"/>
    <n v="11868"/>
    <n v="28.25"/>
    <m/>
    <n v="0"/>
    <m/>
    <n v="0"/>
    <n v="2609"/>
    <n v="2609"/>
    <n v="2"/>
    <n v="56.5"/>
    <n v="0"/>
    <n v="0"/>
    <n v="0"/>
    <n v="0"/>
    <n v="0"/>
  </r>
  <r>
    <s v="SYD/PEN"/>
    <s v="PEN"/>
    <x v="0"/>
    <x v="3"/>
    <x v="37"/>
    <x v="1"/>
    <x v="161"/>
    <n v="6896"/>
    <n v="17.25"/>
    <m/>
    <n v="0"/>
    <m/>
    <n v="0"/>
    <n v="2608"/>
    <n v="2608"/>
    <n v="2"/>
    <n v="34.5"/>
    <n v="0"/>
    <n v="0"/>
    <n v="0"/>
    <n v="0"/>
    <n v="0"/>
  </r>
  <r>
    <s v="SYD/MRV"/>
    <s v="MRV"/>
    <x v="0"/>
    <x v="2"/>
    <x v="35"/>
    <x v="5"/>
    <x v="162"/>
    <n v="13907"/>
    <n v="32.75"/>
    <m/>
    <n v="0"/>
    <m/>
    <n v="0"/>
    <n v="2602"/>
    <n v="2602"/>
    <n v="2"/>
    <n v="65.5"/>
    <n v="0"/>
    <n v="0"/>
    <n v="0"/>
    <n v="0"/>
    <n v="0"/>
  </r>
  <r>
    <s v="SYD/MID"/>
    <s v="MID"/>
    <x v="0"/>
    <x v="3"/>
    <x v="27"/>
    <x v="4"/>
    <x v="163"/>
    <n v="13930"/>
    <n v="32.75"/>
    <m/>
    <n v="0"/>
    <m/>
    <n v="0"/>
    <n v="2601"/>
    <n v="2601"/>
    <n v="2"/>
    <n v="65.5"/>
    <n v="0"/>
    <n v="0"/>
    <n v="0"/>
    <n v="0"/>
    <n v="0"/>
  </r>
  <r>
    <s v="SYD/SFO"/>
    <s v="SFO"/>
    <x v="0"/>
    <x v="1"/>
    <x v="65"/>
    <x v="6"/>
    <x v="164"/>
    <n v="11953"/>
    <n v="28.25"/>
    <n v="300626071"/>
    <n v="123460.39876796714"/>
    <n v="2435"/>
    <n v="2.5631578947368423"/>
    <n v="2598"/>
    <n v="2598"/>
    <n v="2"/>
    <n v="56.5"/>
    <n v="0"/>
    <n v="0"/>
    <n v="0"/>
    <n v="0"/>
    <n v="0"/>
  </r>
  <r>
    <s v="SYD/SAW"/>
    <s v="SAW"/>
    <x v="0"/>
    <x v="0"/>
    <x v="56"/>
    <x v="1"/>
    <x v="165"/>
    <n v="14922"/>
    <n v="35"/>
    <m/>
    <n v="0"/>
    <m/>
    <n v="0"/>
    <n v="2587"/>
    <n v="2587"/>
    <n v="2"/>
    <n v="70"/>
    <n v="0"/>
    <n v="0"/>
    <n v="0"/>
    <n v="0"/>
    <n v="0"/>
  </r>
  <r>
    <s v="SYD/LAX"/>
    <s v="LAX"/>
    <x v="0"/>
    <x v="1"/>
    <x v="65"/>
    <x v="6"/>
    <x v="166"/>
    <n v="12064"/>
    <n v="28.5"/>
    <n v="305480388"/>
    <n v="122880.28479485116"/>
    <n v="2486"/>
    <n v="2.6168421052631579"/>
    <n v="2585"/>
    <n v="2585"/>
    <n v="2"/>
    <n v="57"/>
    <n v="0"/>
    <n v="0"/>
    <n v="0"/>
    <n v="0"/>
    <n v="0"/>
  </r>
  <r>
    <s v="SYD/SVO"/>
    <s v="SVO"/>
    <x v="0"/>
    <x v="0"/>
    <x v="35"/>
    <x v="5"/>
    <x v="167"/>
    <n v="14518"/>
    <n v="34"/>
    <m/>
    <n v="0"/>
    <m/>
    <n v="0"/>
    <n v="2582"/>
    <n v="2582"/>
    <n v="2"/>
    <n v="68"/>
    <n v="0"/>
    <n v="0"/>
    <n v="0"/>
    <n v="0"/>
    <n v="0"/>
  </r>
  <r>
    <s v="SYD/LAS"/>
    <s v="LAS"/>
    <x v="0"/>
    <x v="1"/>
    <x v="65"/>
    <x v="6"/>
    <x v="168"/>
    <n v="12437"/>
    <n v="29.5"/>
    <m/>
    <n v="0"/>
    <m/>
    <n v="0"/>
    <n v="2577"/>
    <n v="2577"/>
    <n v="2"/>
    <n v="59"/>
    <n v="0"/>
    <n v="0"/>
    <n v="0"/>
    <n v="0"/>
    <n v="0"/>
  </r>
  <r>
    <s v="SYD/DFW"/>
    <s v="DFW"/>
    <x v="0"/>
    <x v="1"/>
    <x v="65"/>
    <x v="6"/>
    <x v="169"/>
    <n v="13812"/>
    <n v="32.5"/>
    <m/>
    <n v="0"/>
    <m/>
    <n v="0"/>
    <n v="2577"/>
    <n v="2577"/>
    <n v="2"/>
    <n v="65"/>
    <n v="0"/>
    <n v="0"/>
    <n v="0"/>
    <n v="0"/>
    <n v="0"/>
  </r>
  <r>
    <s v="SYD/CXR"/>
    <s v="CXR"/>
    <x v="0"/>
    <x v="2"/>
    <x v="26"/>
    <x v="1"/>
    <x v="170"/>
    <n v="6766"/>
    <n v="17"/>
    <m/>
    <n v="0"/>
    <m/>
    <n v="0"/>
    <n v="2576"/>
    <n v="2576"/>
    <n v="2"/>
    <n v="34"/>
    <n v="0"/>
    <n v="0"/>
    <n v="0"/>
    <n v="0"/>
    <n v="0"/>
  </r>
  <r>
    <s v="SYD/KVD"/>
    <s v="KVD"/>
    <x v="0"/>
    <x v="2"/>
    <x v="42"/>
    <x v="5"/>
    <x v="171"/>
    <n v="13537"/>
    <n v="31.75"/>
    <m/>
    <n v="0"/>
    <m/>
    <n v="0"/>
    <n v="2571"/>
    <n v="2571"/>
    <n v="2"/>
    <n v="63.5"/>
    <n v="0"/>
    <n v="0"/>
    <n v="0"/>
    <n v="0"/>
    <n v="0"/>
  </r>
  <r>
    <s v="SYD/DEN"/>
    <s v="DEN"/>
    <x v="0"/>
    <x v="1"/>
    <x v="65"/>
    <x v="6"/>
    <x v="172"/>
    <n v="13447"/>
    <n v="31.75"/>
    <m/>
    <n v="0"/>
    <m/>
    <n v="0"/>
    <n v="2569"/>
    <n v="2569"/>
    <n v="2"/>
    <n v="63.5"/>
    <n v="0"/>
    <n v="0"/>
    <n v="0"/>
    <n v="0"/>
    <n v="0"/>
  </r>
  <r>
    <s v="SYD/DAM"/>
    <s v="DAM"/>
    <x v="0"/>
    <x v="3"/>
    <x v="66"/>
    <x v="1"/>
    <x v="173"/>
    <n v="14082"/>
    <n v="33"/>
    <m/>
    <n v="0"/>
    <m/>
    <n v="0"/>
    <n v="2563"/>
    <n v="2563"/>
    <n v="2"/>
    <n v="66"/>
    <n v="0"/>
    <n v="0"/>
    <n v="0"/>
    <n v="0"/>
    <n v="0"/>
  </r>
  <r>
    <s v="SYD/ITM"/>
    <s v="ITM"/>
    <x v="0"/>
    <x v="0"/>
    <x v="50"/>
    <x v="1"/>
    <x v="174"/>
    <n v="7818"/>
    <n v="19.25"/>
    <m/>
    <n v="0"/>
    <m/>
    <n v="0"/>
    <n v="2561"/>
    <n v="2561"/>
    <n v="2"/>
    <n v="38.5"/>
    <n v="0"/>
    <n v="0"/>
    <n v="0"/>
    <n v="0"/>
    <n v="0"/>
  </r>
  <r>
    <s v="SYD/HUI"/>
    <s v="HUI"/>
    <x v="0"/>
    <x v="2"/>
    <x v="26"/>
    <x v="1"/>
    <x v="175"/>
    <n v="7249"/>
    <n v="18"/>
    <m/>
    <n v="0"/>
    <m/>
    <n v="0"/>
    <n v="2555"/>
    <n v="2555"/>
    <n v="2"/>
    <n v="36"/>
    <n v="0"/>
    <n v="0"/>
    <n v="0"/>
    <n v="0"/>
    <n v="0"/>
  </r>
  <r>
    <s v="SYD/YYC"/>
    <s v="YYC"/>
    <x v="0"/>
    <x v="0"/>
    <x v="63"/>
    <x v="4"/>
    <x v="176"/>
    <n v="13188"/>
    <n v="31"/>
    <m/>
    <n v="0"/>
    <m/>
    <n v="0"/>
    <n v="2555"/>
    <n v="2555"/>
    <n v="2"/>
    <n v="62"/>
    <n v="0"/>
    <n v="0"/>
    <n v="0"/>
    <n v="0"/>
    <n v="0"/>
  </r>
  <r>
    <s v="SYD/MDZ"/>
    <s v="MDZ"/>
    <x v="0"/>
    <x v="2"/>
    <x v="40"/>
    <x v="3"/>
    <x v="177"/>
    <n v="11498"/>
    <n v="27.25"/>
    <m/>
    <n v="0"/>
    <m/>
    <n v="0"/>
    <n v="2554"/>
    <n v="2554"/>
    <n v="2"/>
    <n v="54.5"/>
    <n v="0"/>
    <n v="0"/>
    <n v="0"/>
    <n v="0"/>
    <n v="0"/>
  </r>
  <r>
    <s v="SYD/BSB"/>
    <s v="BSB"/>
    <x v="0"/>
    <x v="0"/>
    <x v="30"/>
    <x v="3"/>
    <x v="178"/>
    <n v="14121"/>
    <n v="33.25"/>
    <m/>
    <n v="0"/>
    <m/>
    <n v="0"/>
    <n v="2539"/>
    <n v="2539"/>
    <n v="2"/>
    <n v="66.5"/>
    <n v="0"/>
    <n v="0"/>
    <n v="0"/>
    <n v="0"/>
    <n v="0"/>
  </r>
  <r>
    <s v="SYD/ESB"/>
    <s v="ESB"/>
    <x v="0"/>
    <x v="3"/>
    <x v="56"/>
    <x v="1"/>
    <x v="179"/>
    <n v="14599"/>
    <n v="34.25"/>
    <m/>
    <n v="0"/>
    <m/>
    <n v="0"/>
    <n v="2529"/>
    <n v="2529"/>
    <n v="2"/>
    <n v="68.5"/>
    <n v="0"/>
    <n v="0"/>
    <n v="0"/>
    <n v="0"/>
    <n v="0"/>
  </r>
  <r>
    <s v="SYD/FUK"/>
    <s v="FUK"/>
    <x v="0"/>
    <x v="0"/>
    <x v="50"/>
    <x v="1"/>
    <x v="180"/>
    <n v="7816"/>
    <n v="19.25"/>
    <m/>
    <n v="0"/>
    <m/>
    <n v="0"/>
    <n v="2516"/>
    <n v="2516"/>
    <n v="2"/>
    <n v="38.5"/>
    <n v="0"/>
    <n v="0"/>
    <n v="0"/>
    <n v="0"/>
    <n v="0"/>
  </r>
  <r>
    <s v="SYD/ADB"/>
    <s v="ADB"/>
    <x v="0"/>
    <x v="3"/>
    <x v="56"/>
    <x v="1"/>
    <x v="181"/>
    <n v="15044"/>
    <n v="35.25"/>
    <m/>
    <n v="0"/>
    <m/>
    <n v="0"/>
    <n v="2510"/>
    <n v="2510"/>
    <n v="2"/>
    <n v="70.5"/>
    <n v="0"/>
    <n v="0"/>
    <n v="0"/>
    <n v="0"/>
    <n v="0"/>
  </r>
  <r>
    <s v="SYD/CHC"/>
    <s v="CHC"/>
    <x v="0"/>
    <x v="3"/>
    <x v="60"/>
    <x v="2"/>
    <x v="182"/>
    <n v="2126"/>
    <n v="6.75"/>
    <m/>
    <n v="0"/>
    <m/>
    <n v="0"/>
    <n v="2507"/>
    <n v="2507"/>
    <n v="2"/>
    <n v="13.5"/>
    <n v="0"/>
    <n v="0"/>
    <n v="0"/>
    <n v="0"/>
    <n v="0"/>
  </r>
  <r>
    <s v="SYD/IGR"/>
    <s v="IGR"/>
    <x v="0"/>
    <x v="2"/>
    <x v="40"/>
    <x v="3"/>
    <x v="183"/>
    <n v="12851"/>
    <n v="30.25"/>
    <m/>
    <n v="0"/>
    <m/>
    <n v="0"/>
    <n v="2500"/>
    <n v="2500"/>
    <n v="2"/>
    <n v="60.5"/>
    <n v="0"/>
    <n v="0"/>
    <n v="0"/>
    <n v="0"/>
    <n v="0"/>
  </r>
  <r>
    <s v="SYD/KIX"/>
    <s v="KIX"/>
    <x v="0"/>
    <x v="0"/>
    <x v="50"/>
    <x v="1"/>
    <x v="184"/>
    <n v="7784"/>
    <n v="19.25"/>
    <m/>
    <n v="0"/>
    <m/>
    <n v="0"/>
    <n v="2498"/>
    <n v="2498"/>
    <n v="2"/>
    <n v="38.5"/>
    <n v="0"/>
    <n v="0"/>
    <n v="0"/>
    <n v="0"/>
    <n v="0"/>
  </r>
  <r>
    <s v="SYD/SEA"/>
    <s v="SEA"/>
    <x v="0"/>
    <x v="1"/>
    <x v="65"/>
    <x v="6"/>
    <x v="185"/>
    <n v="12475"/>
    <n v="29.5"/>
    <m/>
    <n v="0"/>
    <m/>
    <n v="0"/>
    <n v="2495"/>
    <n v="2495"/>
    <n v="2"/>
    <n v="59"/>
    <n v="0"/>
    <n v="0"/>
    <n v="0"/>
    <n v="0"/>
    <n v="0"/>
  </r>
  <r>
    <s v="SYD/HVD"/>
    <s v="HVD"/>
    <x v="0"/>
    <x v="4"/>
    <x v="51"/>
    <x v="1"/>
    <x v="186"/>
    <n v="10861"/>
    <n v="26"/>
    <m/>
    <n v="0"/>
    <m/>
    <n v="0"/>
    <n v="2489"/>
    <n v="2489"/>
    <n v="2"/>
    <n v="52"/>
    <n v="0"/>
    <n v="0"/>
    <n v="0"/>
    <n v="0"/>
    <n v="0"/>
  </r>
  <r>
    <s v="SYD/OKA"/>
    <s v="OKA"/>
    <x v="0"/>
    <x v="0"/>
    <x v="50"/>
    <x v="1"/>
    <x v="187"/>
    <n v="7135"/>
    <n v="17.75"/>
    <m/>
    <n v="0"/>
    <m/>
    <n v="0"/>
    <n v="2482"/>
    <n v="2482"/>
    <n v="2"/>
    <n v="35.5"/>
    <n v="0"/>
    <n v="0"/>
    <n v="0"/>
    <n v="0"/>
    <n v="0"/>
  </r>
  <r>
    <s v="SYD/CEI"/>
    <s v="CEI"/>
    <x v="0"/>
    <x v="2"/>
    <x v="13"/>
    <x v="1"/>
    <x v="188"/>
    <n v="8088"/>
    <n v="20"/>
    <m/>
    <n v="0"/>
    <m/>
    <n v="0"/>
    <n v="2476"/>
    <n v="2476"/>
    <n v="2"/>
    <n v="40"/>
    <n v="0"/>
    <n v="0"/>
    <n v="0"/>
    <n v="0"/>
    <n v="0"/>
  </r>
  <r>
    <s v="SYD/ELF"/>
    <s v="ELF"/>
    <x v="0"/>
    <x v="4"/>
    <x v="19"/>
    <x v="0"/>
    <x v="189"/>
    <n v="14140"/>
    <n v="33.25"/>
    <m/>
    <n v="0"/>
    <m/>
    <n v="0"/>
    <n v="2471"/>
    <n v="2471"/>
    <n v="2"/>
    <n v="66.5"/>
    <n v="0"/>
    <n v="0"/>
    <n v="0"/>
    <n v="0"/>
    <n v="0"/>
  </r>
  <r>
    <s v="SYD/MEL"/>
    <s v="MEL"/>
    <x v="0"/>
    <x v="1"/>
    <x v="61"/>
    <x v="2"/>
    <x v="190"/>
    <n v="705"/>
    <n v="3.75"/>
    <m/>
    <n v="0"/>
    <m/>
    <n v="0"/>
    <n v="2462"/>
    <n v="2462"/>
    <n v="2"/>
    <n v="7.5"/>
    <n v="0"/>
    <n v="0"/>
    <n v="0"/>
    <n v="0"/>
    <n v="0"/>
  </r>
  <r>
    <s v="SYD/LXR"/>
    <s v="LXR"/>
    <x v="0"/>
    <x v="3"/>
    <x v="53"/>
    <x v="0"/>
    <x v="191"/>
    <n v="14098"/>
    <n v="33"/>
    <m/>
    <n v="0"/>
    <m/>
    <n v="0"/>
    <n v="2457"/>
    <n v="2457"/>
    <n v="2"/>
    <n v="66"/>
    <n v="0"/>
    <n v="0"/>
    <n v="0"/>
    <n v="0"/>
    <n v="0"/>
  </r>
  <r>
    <s v="SYD/NGO"/>
    <s v="NGO"/>
    <x v="0"/>
    <x v="0"/>
    <x v="50"/>
    <x v="1"/>
    <x v="192"/>
    <n v="7797"/>
    <n v="19.25"/>
    <m/>
    <n v="0"/>
    <m/>
    <n v="0"/>
    <n v="2453"/>
    <n v="2453"/>
    <n v="2"/>
    <n v="38.5"/>
    <n v="0"/>
    <n v="0"/>
    <n v="0"/>
    <n v="0"/>
    <n v="0"/>
  </r>
  <r>
    <s v="SYD/AMM"/>
    <s v="AMM"/>
    <x v="0"/>
    <x v="3"/>
    <x v="67"/>
    <x v="1"/>
    <x v="193"/>
    <n v="14062"/>
    <n v="33"/>
    <m/>
    <n v="0"/>
    <m/>
    <n v="0"/>
    <n v="2442"/>
    <n v="2442"/>
    <n v="2"/>
    <n v="66"/>
    <n v="0"/>
    <n v="0"/>
    <n v="0"/>
    <n v="0"/>
    <n v="0"/>
  </r>
  <r>
    <s v="SYD/OGZ"/>
    <s v="OGZ"/>
    <x v="0"/>
    <x v="2"/>
    <x v="35"/>
    <x v="5"/>
    <x v="194"/>
    <n v="13757"/>
    <n v="32.25"/>
    <m/>
    <n v="0"/>
    <m/>
    <n v="0"/>
    <n v="2441"/>
    <n v="2441"/>
    <n v="2"/>
    <n v="64.5"/>
    <n v="0"/>
    <n v="0"/>
    <n v="0"/>
    <n v="0"/>
    <n v="0"/>
  </r>
  <r>
    <s v="SYD/SSA"/>
    <s v="SSA"/>
    <x v="0"/>
    <x v="0"/>
    <x v="30"/>
    <x v="3"/>
    <x v="195"/>
    <n v="14712"/>
    <n v="34.5"/>
    <m/>
    <n v="0"/>
    <m/>
    <n v="0"/>
    <n v="2432"/>
    <n v="2432"/>
    <n v="2"/>
    <n v="69"/>
    <n v="0"/>
    <n v="0"/>
    <n v="0"/>
    <n v="0"/>
    <n v="0"/>
  </r>
  <r>
    <s v="SYD/HEA"/>
    <s v="HEA"/>
    <x v="0"/>
    <x v="2"/>
    <x v="57"/>
    <x v="1"/>
    <x v="196"/>
    <n v="11961"/>
    <n v="28.5"/>
    <m/>
    <n v="0"/>
    <m/>
    <n v="0"/>
    <n v="2423"/>
    <n v="2423"/>
    <n v="2"/>
    <n v="57"/>
    <n v="0"/>
    <n v="0"/>
    <n v="0"/>
    <n v="0"/>
    <n v="0"/>
  </r>
  <r>
    <s v="SYD/VKO"/>
    <s v="VKO"/>
    <x v="0"/>
    <x v="0"/>
    <x v="35"/>
    <x v="5"/>
    <x v="197"/>
    <n v="14525"/>
    <n v="34"/>
    <m/>
    <n v="0"/>
    <m/>
    <n v="0"/>
    <n v="2420"/>
    <n v="2420"/>
    <n v="2"/>
    <n v="68"/>
    <n v="0"/>
    <n v="0"/>
    <n v="0"/>
    <n v="0"/>
    <n v="0"/>
  </r>
  <r>
    <s v="SYD/KBP"/>
    <s v="KBP"/>
    <x v="0"/>
    <x v="3"/>
    <x v="68"/>
    <x v="5"/>
    <x v="198"/>
    <n v="14924"/>
    <n v="35"/>
    <m/>
    <n v="0"/>
    <m/>
    <n v="0"/>
    <n v="2416"/>
    <n v="2416"/>
    <n v="2"/>
    <n v="70"/>
    <n v="0"/>
    <n v="0"/>
    <n v="0"/>
    <n v="0"/>
    <n v="0"/>
  </r>
  <r>
    <s v="SYD/DLM"/>
    <s v="DLM"/>
    <x v="0"/>
    <x v="3"/>
    <x v="56"/>
    <x v="1"/>
    <x v="199"/>
    <n v="14863"/>
    <n v="34.75"/>
    <m/>
    <n v="0"/>
    <m/>
    <n v="0"/>
    <n v="2410"/>
    <n v="2410"/>
    <n v="2"/>
    <n v="69.5"/>
    <n v="0"/>
    <n v="0"/>
    <n v="0"/>
    <n v="0"/>
    <n v="0"/>
  </r>
  <r>
    <s v="SYD/BNE"/>
    <s v="BNE"/>
    <x v="0"/>
    <x v="1"/>
    <x v="61"/>
    <x v="2"/>
    <x v="200"/>
    <n v="753"/>
    <n v="3.75"/>
    <m/>
    <n v="0"/>
    <m/>
    <n v="0"/>
    <n v="2390"/>
    <n v="2390"/>
    <n v="2"/>
    <n v="7.5"/>
    <n v="0"/>
    <n v="0"/>
    <n v="0"/>
    <n v="0"/>
    <n v="0"/>
  </r>
  <r>
    <s v="SYD/IQQ"/>
    <s v="IQQ"/>
    <x v="0"/>
    <x v="2"/>
    <x v="45"/>
    <x v="3"/>
    <x v="201"/>
    <n v="12544"/>
    <n v="29.75"/>
    <m/>
    <n v="0"/>
    <m/>
    <n v="0"/>
    <n v="2388"/>
    <n v="2388"/>
    <n v="2"/>
    <n v="59.5"/>
    <n v="0"/>
    <n v="0"/>
    <n v="0"/>
    <n v="0"/>
    <n v="0"/>
  </r>
  <r>
    <s v="SYD/LIR"/>
    <s v="LIR"/>
    <x v="0"/>
    <x v="2"/>
    <x v="58"/>
    <x v="4"/>
    <x v="202"/>
    <n v="13722"/>
    <n v="32.25"/>
    <m/>
    <n v="0"/>
    <m/>
    <n v="0"/>
    <n v="2370"/>
    <n v="2370"/>
    <n v="2"/>
    <n v="64.5"/>
    <n v="0"/>
    <n v="0"/>
    <n v="0"/>
    <n v="0"/>
    <n v="0"/>
  </r>
  <r>
    <s v="SYD/KDH"/>
    <s v="KDH"/>
    <x v="0"/>
    <x v="2"/>
    <x v="57"/>
    <x v="1"/>
    <x v="203"/>
    <n v="11516"/>
    <n v="27.5"/>
    <m/>
    <n v="0"/>
    <m/>
    <n v="0"/>
    <n v="2366"/>
    <n v="2366"/>
    <n v="2"/>
    <n v="55"/>
    <n v="0"/>
    <n v="0"/>
    <n v="0"/>
    <n v="0"/>
    <n v="0"/>
  </r>
  <r>
    <s v="SYD/LED"/>
    <s v="LED"/>
    <x v="0"/>
    <x v="3"/>
    <x v="35"/>
    <x v="5"/>
    <x v="204"/>
    <n v="14925"/>
    <n v="35"/>
    <m/>
    <n v="0"/>
    <m/>
    <n v="0"/>
    <n v="2366"/>
    <n v="2366"/>
    <n v="2"/>
    <n v="70"/>
    <n v="0"/>
    <n v="0"/>
    <n v="0"/>
    <n v="0"/>
    <n v="0"/>
  </r>
  <r>
    <s v="SYD/ALP"/>
    <s v="ALP"/>
    <x v="0"/>
    <x v="3"/>
    <x v="66"/>
    <x v="1"/>
    <x v="205"/>
    <n v="14123"/>
    <n v="33.25"/>
    <m/>
    <n v="0"/>
    <m/>
    <n v="0"/>
    <n v="2365"/>
    <n v="2365"/>
    <n v="2"/>
    <n v="66.5"/>
    <n v="0"/>
    <n v="0"/>
    <n v="0"/>
    <n v="0"/>
    <n v="0"/>
  </r>
  <r>
    <s v="SYD/YEG"/>
    <s v="YEG"/>
    <x v="0"/>
    <x v="0"/>
    <x v="63"/>
    <x v="4"/>
    <x v="206"/>
    <n v="13296"/>
    <n v="31.25"/>
    <m/>
    <n v="0"/>
    <m/>
    <n v="0"/>
    <n v="2362"/>
    <n v="2362"/>
    <n v="2"/>
    <n v="62.5"/>
    <n v="0"/>
    <n v="0"/>
    <n v="0"/>
    <n v="0"/>
    <n v="0"/>
  </r>
  <r>
    <s v="SYD/CJC"/>
    <s v="CJC"/>
    <x v="0"/>
    <x v="2"/>
    <x v="45"/>
    <x v="3"/>
    <x v="207"/>
    <n v="12444"/>
    <n v="29.5"/>
    <m/>
    <n v="0"/>
    <m/>
    <n v="0"/>
    <n v="2361"/>
    <n v="2361"/>
    <n v="2"/>
    <n v="59"/>
    <n v="0"/>
    <n v="0"/>
    <n v="0"/>
    <n v="0"/>
    <n v="0"/>
  </r>
  <r>
    <s v="SYD/TUC"/>
    <s v="TUC"/>
    <x v="0"/>
    <x v="2"/>
    <x v="40"/>
    <x v="3"/>
    <x v="208"/>
    <n v="12252"/>
    <n v="29"/>
    <m/>
    <n v="0"/>
    <m/>
    <n v="0"/>
    <n v="2346"/>
    <n v="2346"/>
    <n v="2"/>
    <n v="58"/>
    <n v="0"/>
    <n v="0"/>
    <n v="0"/>
    <n v="0"/>
    <n v="0"/>
  </r>
  <r>
    <s v="SYD/LAO"/>
    <s v="LAO"/>
    <x v="0"/>
    <x v="2"/>
    <x v="34"/>
    <x v="1"/>
    <x v="209"/>
    <n v="6645"/>
    <n v="16.75"/>
    <m/>
    <n v="0"/>
    <m/>
    <n v="0"/>
    <n v="2345"/>
    <n v="2345"/>
    <n v="2"/>
    <n v="33.5"/>
    <n v="0"/>
    <n v="0"/>
    <n v="0"/>
    <n v="0"/>
    <n v="0"/>
  </r>
  <r>
    <s v="SYD/CUN"/>
    <s v="CUN"/>
    <x v="0"/>
    <x v="0"/>
    <x v="27"/>
    <x v="4"/>
    <x v="210"/>
    <n v="14192"/>
    <n v="33.25"/>
    <m/>
    <n v="0"/>
    <m/>
    <n v="0"/>
    <n v="2320"/>
    <n v="2320"/>
    <n v="2"/>
    <n v="66.5"/>
    <n v="0"/>
    <n v="0"/>
    <n v="0"/>
    <n v="0"/>
    <n v="0"/>
  </r>
  <r>
    <s v="SYD/NOU"/>
    <s v="NOU"/>
    <x v="0"/>
    <x v="2"/>
    <x v="69"/>
    <x v="2"/>
    <x v="211"/>
    <n v="1981"/>
    <n v="6.5"/>
    <m/>
    <n v="0"/>
    <m/>
    <n v="0"/>
    <n v="2316"/>
    <n v="2316"/>
    <n v="2"/>
    <n v="13"/>
    <n v="0"/>
    <n v="0"/>
    <n v="0"/>
    <n v="0"/>
    <n v="0"/>
  </r>
  <r>
    <s v="SYD/KIV"/>
    <s v="KIV"/>
    <x v="0"/>
    <x v="2"/>
    <x v="70"/>
    <x v="5"/>
    <x v="212"/>
    <n v="15043"/>
    <n v="35.25"/>
    <m/>
    <n v="0"/>
    <m/>
    <n v="0"/>
    <n v="2313"/>
    <n v="2313"/>
    <n v="2"/>
    <n v="70.5"/>
    <n v="0"/>
    <n v="0"/>
    <n v="0"/>
    <n v="0"/>
    <n v="0"/>
  </r>
  <r>
    <s v="SYD/ASW"/>
    <s v="ASW"/>
    <x v="0"/>
    <x v="2"/>
    <x v="53"/>
    <x v="0"/>
    <x v="213"/>
    <n v="14007"/>
    <n v="33"/>
    <m/>
    <n v="0"/>
    <m/>
    <n v="0"/>
    <n v="2298"/>
    <n v="2298"/>
    <n v="2"/>
    <n v="66"/>
    <n v="0"/>
    <n v="0"/>
    <n v="0"/>
    <n v="0"/>
    <n v="0"/>
  </r>
  <r>
    <s v="SYD/DRW"/>
    <s v="DRW"/>
    <x v="0"/>
    <x v="3"/>
    <x v="61"/>
    <x v="2"/>
    <x v="214"/>
    <n v="3155"/>
    <n v="9"/>
    <m/>
    <n v="0"/>
    <m/>
    <n v="0"/>
    <n v="2294"/>
    <n v="2294"/>
    <n v="2"/>
    <n v="18"/>
    <n v="0"/>
    <n v="0"/>
    <n v="0"/>
    <n v="0"/>
    <n v="0"/>
  </r>
  <r>
    <s v="SYD/PDX"/>
    <s v="PDX"/>
    <x v="0"/>
    <x v="0"/>
    <x v="65"/>
    <x v="6"/>
    <x v="215"/>
    <n v="12361"/>
    <n v="29.25"/>
    <m/>
    <n v="0"/>
    <m/>
    <n v="0"/>
    <n v="2278"/>
    <n v="2278"/>
    <n v="2"/>
    <n v="58.5"/>
    <n v="0"/>
    <n v="0"/>
    <n v="0"/>
    <n v="0"/>
    <n v="0"/>
  </r>
  <r>
    <s v="SYD/HAV"/>
    <s v="HAV"/>
    <x v="0"/>
    <x v="0"/>
    <x v="71"/>
    <x v="4"/>
    <x v="216"/>
    <n v="14701"/>
    <n v="34.5"/>
    <m/>
    <n v="0"/>
    <m/>
    <n v="0"/>
    <n v="2277"/>
    <n v="2277"/>
    <n v="2"/>
    <n v="69"/>
    <n v="0"/>
    <n v="0"/>
    <n v="0"/>
    <n v="0"/>
    <n v="0"/>
  </r>
  <r>
    <s v="SYD/USH"/>
    <s v="USH"/>
    <x v="0"/>
    <x v="2"/>
    <x v="40"/>
    <x v="3"/>
    <x v="217"/>
    <n v="9449"/>
    <n v="22.75"/>
    <m/>
    <n v="0"/>
    <m/>
    <n v="0"/>
    <n v="2264"/>
    <n v="2264"/>
    <n v="2"/>
    <n v="45.5"/>
    <n v="0"/>
    <n v="0"/>
    <n v="0"/>
    <n v="0"/>
    <n v="0"/>
  </r>
  <r>
    <s v="SYD/MZR"/>
    <s v="MZR"/>
    <x v="0"/>
    <x v="2"/>
    <x v="57"/>
    <x v="1"/>
    <x v="218"/>
    <n v="11712"/>
    <n v="27.75"/>
    <m/>
    <n v="0"/>
    <m/>
    <n v="0"/>
    <n v="2239"/>
    <n v="2239"/>
    <n v="2"/>
    <n v="55.5"/>
    <n v="0"/>
    <n v="0"/>
    <n v="0"/>
    <n v="0"/>
    <n v="0"/>
  </r>
  <r>
    <s v="SYD/LBV"/>
    <s v="LBV"/>
    <x v="0"/>
    <x v="2"/>
    <x v="72"/>
    <x v="0"/>
    <x v="219"/>
    <n v="14570"/>
    <n v="34"/>
    <m/>
    <n v="0"/>
    <m/>
    <n v="0"/>
    <n v="2229"/>
    <n v="2229"/>
    <n v="2"/>
    <n v="68"/>
    <n v="0"/>
    <n v="0"/>
    <n v="0"/>
    <n v="0"/>
    <n v="0"/>
  </r>
  <r>
    <s v="SYD/KIN"/>
    <s v="KIN"/>
    <x v="0"/>
    <x v="3"/>
    <x v="73"/>
    <x v="4"/>
    <x v="220"/>
    <n v="14955"/>
    <n v="35"/>
    <m/>
    <n v="0"/>
    <m/>
    <n v="0"/>
    <n v="2224"/>
    <n v="2224"/>
    <n v="2"/>
    <n v="70"/>
    <n v="0"/>
    <n v="0"/>
    <n v="0"/>
    <n v="0"/>
    <n v="0"/>
  </r>
  <r>
    <s v="SYD/FTE"/>
    <s v="FTE"/>
    <x v="0"/>
    <x v="2"/>
    <x v="40"/>
    <x v="3"/>
    <x v="221"/>
    <n v="9734"/>
    <n v="23.5"/>
    <m/>
    <n v="0"/>
    <m/>
    <n v="0"/>
    <n v="2219"/>
    <n v="2219"/>
    <n v="2"/>
    <n v="47"/>
    <n v="0"/>
    <n v="0"/>
    <n v="0"/>
    <n v="0"/>
    <n v="0"/>
  </r>
  <r>
    <s v="SYD/KOJ"/>
    <s v="KOJ"/>
    <x v="0"/>
    <x v="3"/>
    <x v="50"/>
    <x v="1"/>
    <x v="222"/>
    <n v="7620"/>
    <n v="18.75"/>
    <m/>
    <n v="0"/>
    <m/>
    <n v="0"/>
    <n v="2217"/>
    <n v="2217"/>
    <n v="2"/>
    <n v="37.5"/>
    <n v="0"/>
    <n v="0"/>
    <n v="0"/>
    <n v="0"/>
    <n v="0"/>
  </r>
  <r>
    <s v="SYD/MAR"/>
    <s v="MAR"/>
    <x v="0"/>
    <x v="3"/>
    <x v="74"/>
    <x v="3"/>
    <x v="223"/>
    <n v="14948"/>
    <n v="35"/>
    <m/>
    <n v="0"/>
    <m/>
    <n v="0"/>
    <n v="2217"/>
    <n v="2217"/>
    <n v="2"/>
    <n v="70"/>
    <n v="0"/>
    <n v="0"/>
    <n v="0"/>
    <n v="0"/>
    <n v="0"/>
  </r>
  <r>
    <s v="SYD/OAK"/>
    <s v="OAK"/>
    <x v="0"/>
    <x v="0"/>
    <x v="65"/>
    <x v="6"/>
    <x v="224"/>
    <n v="11970"/>
    <n v="28.5"/>
    <m/>
    <n v="0"/>
    <m/>
    <n v="0"/>
    <n v="2216"/>
    <n v="2216"/>
    <n v="2"/>
    <n v="57"/>
    <n v="0"/>
    <n v="0"/>
    <n v="0"/>
    <n v="0"/>
    <n v="0"/>
  </r>
  <r>
    <s v="SYD/ODS"/>
    <s v="ODS"/>
    <x v="0"/>
    <x v="3"/>
    <x v="68"/>
    <x v="5"/>
    <x v="225"/>
    <n v="14905"/>
    <n v="34.75"/>
    <m/>
    <n v="0"/>
    <m/>
    <n v="0"/>
    <n v="2215"/>
    <n v="2215"/>
    <n v="2"/>
    <n v="69.5"/>
    <n v="0"/>
    <n v="0"/>
    <n v="0"/>
    <n v="0"/>
    <n v="0"/>
  </r>
  <r>
    <s v="SYD/GUW"/>
    <s v="GUW"/>
    <x v="0"/>
    <x v="4"/>
    <x v="33"/>
    <x v="5"/>
    <x v="226"/>
    <n v="13354"/>
    <n v="31.5"/>
    <m/>
    <n v="0"/>
    <m/>
    <n v="0"/>
    <n v="2211"/>
    <n v="2211"/>
    <n v="2"/>
    <n v="63"/>
    <n v="0"/>
    <n v="0"/>
    <n v="0"/>
    <n v="0"/>
    <n v="0"/>
  </r>
  <r>
    <s v="SYD/PPT"/>
    <s v="PPT"/>
    <x v="0"/>
    <x v="3"/>
    <x v="75"/>
    <x v="2"/>
    <x v="227"/>
    <n v="6119"/>
    <n v="15.5"/>
    <m/>
    <n v="0"/>
    <m/>
    <n v="0"/>
    <n v="2206"/>
    <n v="2206"/>
    <n v="2"/>
    <n v="31"/>
    <n v="0"/>
    <n v="0"/>
    <n v="0"/>
    <n v="0"/>
    <n v="0"/>
  </r>
  <r>
    <s v="SYD/IST"/>
    <s v="IST"/>
    <x v="0"/>
    <x v="1"/>
    <x v="56"/>
    <x v="1"/>
    <x v="228"/>
    <n v="14976"/>
    <n v="35"/>
    <m/>
    <n v="0"/>
    <m/>
    <n v="0"/>
    <n v="2203"/>
    <n v="2203"/>
    <n v="2"/>
    <n v="70"/>
    <n v="0"/>
    <n v="0"/>
    <n v="0"/>
    <n v="0"/>
    <n v="0"/>
  </r>
  <r>
    <s v="SYD/KHH"/>
    <s v="KHH"/>
    <x v="0"/>
    <x v="3"/>
    <x v="62"/>
    <x v="1"/>
    <x v="229"/>
    <n v="7082"/>
    <n v="17.75"/>
    <m/>
    <n v="0"/>
    <m/>
    <n v="0"/>
    <n v="2198"/>
    <n v="2198"/>
    <n v="2"/>
    <n v="35.5"/>
    <n v="0"/>
    <n v="0"/>
    <n v="0"/>
    <n v="0"/>
    <n v="0"/>
  </r>
  <r>
    <s v="SYD/TSA"/>
    <s v="TSA"/>
    <x v="0"/>
    <x v="3"/>
    <x v="62"/>
    <x v="1"/>
    <x v="230"/>
    <n v="7272"/>
    <n v="18"/>
    <m/>
    <n v="0"/>
    <m/>
    <n v="0"/>
    <n v="2194"/>
    <n v="2194"/>
    <n v="2"/>
    <n v="36"/>
    <n v="0"/>
    <n v="0"/>
    <n v="0"/>
    <n v="0"/>
    <n v="0"/>
  </r>
  <r>
    <s v="SYD/DNK"/>
    <s v="DNK"/>
    <x v="0"/>
    <x v="3"/>
    <x v="68"/>
    <x v="5"/>
    <x v="231"/>
    <n v="14600"/>
    <n v="34.25"/>
    <m/>
    <n v="0"/>
    <m/>
    <n v="0"/>
    <n v="2160"/>
    <n v="2160"/>
    <n v="2"/>
    <n v="68.5"/>
    <n v="0"/>
    <n v="0"/>
    <n v="0"/>
    <n v="0"/>
    <n v="0"/>
  </r>
  <r>
    <s v="SYD/HKD"/>
    <s v="HKD"/>
    <x v="0"/>
    <x v="3"/>
    <x v="50"/>
    <x v="1"/>
    <x v="232"/>
    <n v="8487"/>
    <n v="20.75"/>
    <m/>
    <n v="0"/>
    <m/>
    <n v="0"/>
    <n v="2158"/>
    <n v="2158"/>
    <n v="2"/>
    <n v="41.5"/>
    <n v="0"/>
    <n v="0"/>
    <n v="0"/>
    <n v="0"/>
    <n v="0"/>
  </r>
  <r>
    <s v="SYD/SDJ"/>
    <s v="SDJ"/>
    <x v="0"/>
    <x v="3"/>
    <x v="50"/>
    <x v="1"/>
    <x v="233"/>
    <n v="8087"/>
    <n v="20"/>
    <m/>
    <n v="0"/>
    <m/>
    <n v="0"/>
    <n v="2139"/>
    <n v="2139"/>
    <n v="2"/>
    <n v="40"/>
    <n v="0"/>
    <n v="0"/>
    <n v="0"/>
    <n v="0"/>
    <n v="0"/>
  </r>
  <r>
    <s v="SYD/HNL"/>
    <s v="HNL"/>
    <x v="0"/>
    <x v="0"/>
    <x v="65"/>
    <x v="6"/>
    <x v="234"/>
    <n v="8172"/>
    <n v="20"/>
    <m/>
    <n v="0"/>
    <m/>
    <n v="0"/>
    <n v="2128"/>
    <n v="2128"/>
    <n v="2"/>
    <n v="40"/>
    <n v="0"/>
    <n v="0"/>
    <n v="0"/>
    <n v="0"/>
    <n v="0"/>
  </r>
  <r>
    <s v="SYD/PUQ"/>
    <s v="PUQ"/>
    <x v="0"/>
    <x v="2"/>
    <x v="45"/>
    <x v="3"/>
    <x v="235"/>
    <n v="9530"/>
    <n v="23"/>
    <m/>
    <n v="0"/>
    <m/>
    <n v="0"/>
    <n v="2125"/>
    <n v="2125"/>
    <n v="2"/>
    <n v="46"/>
    <n v="0"/>
    <n v="0"/>
    <n v="0"/>
    <n v="0"/>
    <n v="0"/>
  </r>
  <r>
    <s v="SYD/TLV"/>
    <s v="TLV"/>
    <x v="0"/>
    <x v="0"/>
    <x v="76"/>
    <x v="1"/>
    <x v="236"/>
    <n v="14171"/>
    <n v="33.25"/>
    <m/>
    <n v="0"/>
    <m/>
    <n v="0"/>
    <n v="2122"/>
    <n v="2122"/>
    <n v="2"/>
    <n v="66.5"/>
    <n v="0"/>
    <n v="0"/>
    <n v="0"/>
    <n v="0"/>
    <n v="0"/>
  </r>
  <r>
    <s v="SYD/KMJ"/>
    <s v="KMJ"/>
    <x v="0"/>
    <x v="3"/>
    <x v="50"/>
    <x v="1"/>
    <x v="237"/>
    <n v="7726"/>
    <n v="19"/>
    <m/>
    <n v="0"/>
    <m/>
    <n v="0"/>
    <n v="2112"/>
    <n v="2112"/>
    <n v="2"/>
    <n v="38"/>
    <n v="0"/>
    <n v="0"/>
    <n v="0"/>
    <n v="0"/>
    <n v="0"/>
  </r>
  <r>
    <s v="SYD/KMQ"/>
    <s v="KMQ"/>
    <x v="0"/>
    <x v="3"/>
    <x v="50"/>
    <x v="1"/>
    <x v="238"/>
    <n v="7972"/>
    <n v="19.75"/>
    <m/>
    <n v="0"/>
    <m/>
    <n v="0"/>
    <n v="2108"/>
    <n v="2108"/>
    <n v="2"/>
    <n v="39.5"/>
    <n v="0"/>
    <n v="0"/>
    <n v="0"/>
    <n v="0"/>
    <n v="0"/>
  </r>
  <r>
    <s v="SYD/NGS"/>
    <s v="NGS"/>
    <x v="0"/>
    <x v="3"/>
    <x v="50"/>
    <x v="1"/>
    <x v="239"/>
    <n v="7761"/>
    <n v="19.25"/>
    <m/>
    <n v="0"/>
    <m/>
    <n v="0"/>
    <n v="2098"/>
    <n v="2098"/>
    <n v="2"/>
    <n v="38.5"/>
    <n v="0"/>
    <n v="0"/>
    <n v="0"/>
    <n v="0"/>
    <n v="0"/>
  </r>
  <r>
    <s v="SYD/KRR"/>
    <s v="KRR"/>
    <x v="0"/>
    <x v="3"/>
    <x v="35"/>
    <x v="5"/>
    <x v="240"/>
    <n v="14229"/>
    <n v="33.25"/>
    <m/>
    <n v="0"/>
    <m/>
    <n v="0"/>
    <n v="2091"/>
    <n v="2091"/>
    <n v="2"/>
    <n v="66.5"/>
    <n v="0"/>
    <n v="0"/>
    <n v="0"/>
    <n v="0"/>
    <n v="0"/>
  </r>
  <r>
    <s v="SYD/ZIA"/>
    <s v="ZIA"/>
    <x v="0"/>
    <x v="3"/>
    <x v="35"/>
    <x v="5"/>
    <x v="241"/>
    <n v="14472"/>
    <n v="34"/>
    <m/>
    <n v="0"/>
    <m/>
    <n v="0"/>
    <n v="2072"/>
    <n v="2072"/>
    <n v="2"/>
    <n v="68"/>
    <n v="0"/>
    <n v="0"/>
    <n v="0"/>
    <n v="0"/>
    <n v="0"/>
  </r>
  <r>
    <s v="SYD/AER"/>
    <s v="AER"/>
    <x v="0"/>
    <x v="3"/>
    <x v="35"/>
    <x v="5"/>
    <x v="242"/>
    <n v="14127"/>
    <n v="33.25"/>
    <m/>
    <n v="0"/>
    <m/>
    <n v="0"/>
    <n v="2070"/>
    <n v="2070"/>
    <n v="2"/>
    <n v="66.5"/>
    <n v="0"/>
    <n v="0"/>
    <n v="0"/>
    <n v="0"/>
    <n v="0"/>
  </r>
  <r>
    <s v="SYD/MCZ"/>
    <s v="MCZ"/>
    <x v="0"/>
    <x v="3"/>
    <x v="30"/>
    <x v="3"/>
    <x v="243"/>
    <n v="15131"/>
    <n v="35.25"/>
    <m/>
    <n v="0"/>
    <m/>
    <n v="0"/>
    <n v="2059"/>
    <n v="2059"/>
    <n v="2"/>
    <n v="70.5"/>
    <n v="0"/>
    <n v="0"/>
    <n v="0"/>
    <n v="0"/>
    <n v="0"/>
  </r>
  <r>
    <s v="SYD/MSQ"/>
    <s v="MSQ"/>
    <x v="0"/>
    <x v="2"/>
    <x v="77"/>
    <x v="5"/>
    <x v="244"/>
    <n v="15118"/>
    <n v="35.25"/>
    <m/>
    <n v="0"/>
    <m/>
    <n v="0"/>
    <n v="2040"/>
    <n v="2040"/>
    <n v="2"/>
    <n v="70.5"/>
    <n v="0"/>
    <n v="0"/>
    <n v="0"/>
    <n v="0"/>
    <n v="0"/>
  </r>
  <r>
    <s v="SYD/BOJ"/>
    <s v="BOJ"/>
    <x v="0"/>
    <x v="3"/>
    <x v="78"/>
    <x v="5"/>
    <x v="245"/>
    <n v="15099"/>
    <n v="35.25"/>
    <m/>
    <n v="0"/>
    <m/>
    <n v="0"/>
    <n v="2039"/>
    <n v="2039"/>
    <n v="2"/>
    <n v="70.5"/>
    <n v="0"/>
    <n v="0"/>
    <n v="0"/>
    <n v="0"/>
    <n v="0"/>
  </r>
  <r>
    <s v="SYD/CND"/>
    <s v="CND"/>
    <x v="0"/>
    <x v="2"/>
    <x v="79"/>
    <x v="5"/>
    <x v="246"/>
    <n v="15048"/>
    <n v="35.25"/>
    <m/>
    <n v="0"/>
    <m/>
    <n v="0"/>
    <n v="1963"/>
    <n v="1963"/>
    <n v="2"/>
    <n v="70.5"/>
    <n v="0"/>
    <n v="0"/>
    <n v="0"/>
    <n v="0"/>
    <n v="0"/>
  </r>
  <r>
    <s v="SYD/ORD"/>
    <s v="ORD"/>
    <x v="0"/>
    <x v="1"/>
    <x v="65"/>
    <x v="6"/>
    <x v="247"/>
    <n v="14866"/>
    <n v="34.75"/>
    <m/>
    <n v="0"/>
    <m/>
    <n v="0"/>
    <n v="1951"/>
    <n v="1951"/>
    <n v="2"/>
    <n v="69.5"/>
    <n v="0"/>
    <n v="0"/>
    <n v="0"/>
    <n v="0"/>
    <n v="0"/>
  </r>
  <r>
    <s v="SYD/ATL"/>
    <s v="ATL"/>
    <x v="0"/>
    <x v="1"/>
    <x v="65"/>
    <x v="6"/>
    <x v="248"/>
    <n v="14947"/>
    <n v="35"/>
    <m/>
    <n v="0"/>
    <m/>
    <n v="0"/>
    <n v="1920"/>
    <n v="1920"/>
    <n v="2"/>
    <n v="70"/>
    <n v="0"/>
    <n v="0"/>
    <n v="0"/>
    <n v="0"/>
    <n v="0"/>
  </r>
  <r>
    <s v="SYD/MCO"/>
    <s v="MCO"/>
    <x v="0"/>
    <x v="1"/>
    <x v="65"/>
    <x v="6"/>
    <x v="249"/>
    <n v="15042"/>
    <n v="35.25"/>
    <m/>
    <n v="0"/>
    <m/>
    <n v="0"/>
    <n v="1871"/>
    <n v="1871"/>
    <n v="1"/>
    <n v="35.25"/>
    <n v="0"/>
    <n v="0"/>
    <n v="0"/>
    <n v="0"/>
    <n v="0"/>
  </r>
  <r>
    <s v="SYD/IPC"/>
    <s v="IPC"/>
    <x v="0"/>
    <x v="4"/>
    <x v="45"/>
    <x v="3"/>
    <x v="250"/>
    <n v="9151"/>
    <n v="22.25"/>
    <m/>
    <n v="0"/>
    <m/>
    <n v="0"/>
    <n v="1861"/>
    <n v="1861"/>
    <n v="1"/>
    <n v="22.25"/>
    <n v="0"/>
    <n v="0"/>
    <n v="0"/>
    <n v="0"/>
    <n v="0"/>
  </r>
  <r>
    <s v="SYD/MIA"/>
    <s v="MIA"/>
    <x v="0"/>
    <x v="1"/>
    <x v="65"/>
    <x v="6"/>
    <x v="251"/>
    <n v="15026"/>
    <n v="35"/>
    <m/>
    <n v="0"/>
    <m/>
    <n v="0"/>
    <n v="1845"/>
    <n v="1845"/>
    <n v="1"/>
    <n v="35"/>
    <n v="0"/>
    <n v="0"/>
    <n v="0"/>
    <n v="0"/>
    <n v="0"/>
  </r>
  <r>
    <s v="SYD/MSP"/>
    <s v="MSP"/>
    <x v="0"/>
    <x v="1"/>
    <x v="65"/>
    <x v="6"/>
    <x v="252"/>
    <n v="14503"/>
    <n v="34"/>
    <m/>
    <n v="0"/>
    <m/>
    <n v="0"/>
    <n v="1844"/>
    <n v="1844"/>
    <n v="1"/>
    <n v="34"/>
    <n v="0"/>
    <n v="0"/>
    <n v="0"/>
    <n v="0"/>
    <n v="0"/>
  </r>
  <r>
    <s v="SYD/CZM"/>
    <s v="CZM"/>
    <x v="0"/>
    <x v="2"/>
    <x v="27"/>
    <x v="4"/>
    <x v="253"/>
    <n v="14161"/>
    <n v="33.25"/>
    <m/>
    <n v="0"/>
    <m/>
    <n v="0"/>
    <n v="1796"/>
    <n v="1796"/>
    <n v="1"/>
    <n v="33.25"/>
    <n v="0"/>
    <n v="0"/>
    <n v="0"/>
    <n v="0"/>
    <n v="0"/>
  </r>
  <r>
    <s v="SYD/YWG"/>
    <s v="YWG"/>
    <x v="0"/>
    <x v="3"/>
    <x v="63"/>
    <x v="4"/>
    <x v="254"/>
    <n v="14302"/>
    <n v="33.5"/>
    <m/>
    <n v="0"/>
    <m/>
    <n v="0"/>
    <n v="1657"/>
    <n v="1657"/>
    <n v="1"/>
    <n v="33.5"/>
    <n v="0"/>
    <n v="0"/>
    <n v="0"/>
    <n v="0"/>
    <n v="0"/>
  </r>
  <r>
    <s v="SYD/OUL"/>
    <s v="OUL"/>
    <x v="0"/>
    <x v="2"/>
    <x v="80"/>
    <x v="5"/>
    <x v="255"/>
    <n v="15055"/>
    <n v="35.25"/>
    <m/>
    <n v="0"/>
    <m/>
    <n v="0"/>
    <n v="1543"/>
    <n v="1543"/>
    <n v="1"/>
    <n v="35.25"/>
    <n v="0"/>
    <n v="0"/>
    <n v="0"/>
    <n v="0"/>
    <n v="0"/>
  </r>
  <r>
    <s v="SYD/KRN"/>
    <s v="KRN"/>
    <x v="0"/>
    <x v="2"/>
    <x v="81"/>
    <x v="5"/>
    <x v="256"/>
    <n v="15150"/>
    <n v="35.5"/>
    <m/>
    <n v="0"/>
    <m/>
    <n v="0"/>
    <n v="1435"/>
    <n v="1435"/>
    <n v="1"/>
    <n v="35.5"/>
    <n v="0"/>
    <n v="0"/>
    <n v="0"/>
    <n v="0"/>
    <n v="0"/>
  </r>
  <r>
    <s v="SYD/MRU"/>
    <s v="MRU"/>
    <x v="0"/>
    <x v="3"/>
    <x v="82"/>
    <x v="0"/>
    <x v="257"/>
    <n v="9066"/>
    <n v="22"/>
    <m/>
    <n v="0"/>
    <m/>
    <n v="0"/>
    <n v="2683"/>
    <n v="2683"/>
    <n v="2"/>
    <n v="44"/>
    <n v="0"/>
    <n v="0"/>
    <n v="0"/>
    <n v="0"/>
    <n v="0"/>
  </r>
  <r>
    <s v="SYD/RUN"/>
    <s v="RUN"/>
    <x v="0"/>
    <x v="3"/>
    <x v="83"/>
    <x v="0"/>
    <x v="258"/>
    <n v="9226"/>
    <n v="22.5"/>
    <m/>
    <n v="0"/>
    <m/>
    <n v="0"/>
    <n v="2310"/>
    <n v="2310"/>
    <n v="2"/>
    <n v="45"/>
    <n v="0"/>
    <n v="0"/>
    <n v="0"/>
    <n v="0"/>
    <n v="0"/>
  </r>
  <r>
    <s v="SYD/SEZ"/>
    <s v="SEZ"/>
    <x v="1"/>
    <x v="2"/>
    <x v="84"/>
    <x v="0"/>
    <x v="259"/>
    <n v="10239"/>
    <n v="24.5"/>
    <m/>
    <n v="0"/>
    <m/>
    <n v="0"/>
    <n v="0"/>
    <n v="0"/>
    <n v="0"/>
    <n v="0"/>
    <n v="0"/>
    <n v="0"/>
    <n v="0"/>
    <n v="0"/>
    <n v="0"/>
  </r>
  <r>
    <s v="SYD/DUR"/>
    <s v="DUR"/>
    <x v="1"/>
    <x v="3"/>
    <x v="6"/>
    <x v="0"/>
    <x v="260"/>
    <n v="10554"/>
    <n v="25.25"/>
    <m/>
    <n v="0"/>
    <m/>
    <n v="0"/>
    <n v="0"/>
    <n v="0"/>
    <n v="0"/>
    <n v="0"/>
    <n v="0"/>
    <n v="0"/>
    <n v="0"/>
    <n v="0"/>
    <n v="0"/>
  </r>
  <r>
    <s v="SYD/MPM"/>
    <s v="MPM"/>
    <x v="1"/>
    <x v="0"/>
    <x v="18"/>
    <x v="0"/>
    <x v="261"/>
    <n v="10732"/>
    <n v="25.75"/>
    <m/>
    <n v="0"/>
    <m/>
    <n v="0"/>
    <n v="0"/>
    <n v="0"/>
    <n v="0"/>
    <n v="0"/>
    <n v="0"/>
    <n v="0"/>
    <n v="0"/>
    <n v="0"/>
    <n v="0"/>
  </r>
  <r>
    <s v="SYD/MTS"/>
    <s v="MTS"/>
    <x v="1"/>
    <x v="4"/>
    <x v="85"/>
    <x v="0"/>
    <x v="262"/>
    <n v="10778"/>
    <n v="25.75"/>
    <m/>
    <n v="0"/>
    <m/>
    <n v="0"/>
    <n v="0"/>
    <n v="0"/>
    <n v="0"/>
    <n v="0"/>
    <n v="0"/>
    <n v="0"/>
    <n v="0"/>
    <n v="0"/>
    <n v="0"/>
  </r>
  <r>
    <s v="SYD/MSU"/>
    <s v="MSU"/>
    <x v="1"/>
    <x v="4"/>
    <x v="86"/>
    <x v="0"/>
    <x v="263"/>
    <n v="10811"/>
    <n v="25.75"/>
    <m/>
    <n v="0"/>
    <m/>
    <n v="0"/>
    <n v="0"/>
    <n v="0"/>
    <n v="0"/>
    <n v="0"/>
    <n v="0"/>
    <n v="0"/>
    <n v="0"/>
    <n v="0"/>
    <n v="0"/>
  </r>
  <r>
    <s v="SYD/MQP"/>
    <s v="MQP"/>
    <x v="1"/>
    <x v="2"/>
    <x v="6"/>
    <x v="0"/>
    <x v="264"/>
    <n v="10880"/>
    <n v="26"/>
    <m/>
    <n v="0"/>
    <m/>
    <n v="0"/>
    <n v="0"/>
    <n v="0"/>
    <n v="0"/>
    <n v="0"/>
    <n v="0"/>
    <n v="0"/>
    <n v="0"/>
    <n v="0"/>
    <n v="0"/>
  </r>
  <r>
    <s v="SYD/HAH"/>
    <s v="HAH"/>
    <x v="1"/>
    <x v="2"/>
    <x v="87"/>
    <x v="0"/>
    <x v="265"/>
    <n v="10894"/>
    <n v="26"/>
    <m/>
    <n v="0"/>
    <m/>
    <n v="0"/>
    <n v="0"/>
    <n v="0"/>
    <n v="0"/>
    <n v="0"/>
    <n v="0"/>
    <n v="0"/>
    <n v="0"/>
    <n v="0"/>
    <n v="0"/>
  </r>
  <r>
    <s v="SYD/BFN"/>
    <s v="BFN"/>
    <x v="1"/>
    <x v="2"/>
    <x v="6"/>
    <x v="0"/>
    <x v="266"/>
    <n v="10924"/>
    <n v="26"/>
    <m/>
    <n v="0"/>
    <m/>
    <n v="0"/>
    <n v="0"/>
    <n v="0"/>
    <n v="0"/>
    <n v="0"/>
    <n v="0"/>
    <n v="0"/>
    <n v="0"/>
    <n v="0"/>
    <n v="0"/>
  </r>
  <r>
    <s v="SYD/KIM"/>
    <s v="KIM"/>
    <x v="1"/>
    <x v="4"/>
    <x v="6"/>
    <x v="0"/>
    <x v="267"/>
    <n v="11050"/>
    <n v="26.5"/>
    <m/>
    <n v="0"/>
    <m/>
    <n v="0"/>
    <n v="0"/>
    <n v="0"/>
    <n v="0"/>
    <n v="0"/>
    <n v="0"/>
    <n v="0"/>
    <n v="0"/>
    <n v="0"/>
    <n v="0"/>
  </r>
  <r>
    <s v="SYD/HLA"/>
    <s v="HLA"/>
    <x v="1"/>
    <x v="2"/>
    <x v="6"/>
    <x v="0"/>
    <x v="268"/>
    <n v="11065"/>
    <n v="26.5"/>
    <m/>
    <n v="0"/>
    <m/>
    <n v="0"/>
    <n v="0"/>
    <n v="0"/>
    <n v="0"/>
    <n v="0"/>
    <n v="0"/>
    <n v="0"/>
    <n v="0"/>
    <n v="0"/>
    <n v="0"/>
  </r>
  <r>
    <s v="SYD/PTG"/>
    <s v="PTG"/>
    <x v="1"/>
    <x v="2"/>
    <x v="6"/>
    <x v="0"/>
    <x v="269"/>
    <n v="11119"/>
    <n v="26.5"/>
    <m/>
    <n v="0"/>
    <m/>
    <n v="0"/>
    <n v="0"/>
    <n v="0"/>
    <n v="0"/>
    <n v="0"/>
    <n v="0"/>
    <n v="0"/>
    <n v="0"/>
    <n v="0"/>
    <n v="0"/>
  </r>
  <r>
    <s v="SYD/NTY"/>
    <s v="NTY"/>
    <x v="1"/>
    <x v="4"/>
    <x v="6"/>
    <x v="0"/>
    <x v="270"/>
    <n v="11166"/>
    <n v="26.75"/>
    <m/>
    <n v="0"/>
    <m/>
    <n v="0"/>
    <n v="0"/>
    <n v="0"/>
    <n v="0"/>
    <n v="0"/>
    <n v="0"/>
    <n v="0"/>
    <n v="0"/>
    <n v="0"/>
    <n v="0"/>
  </r>
  <r>
    <s v="SYD/UTN"/>
    <s v="UTN"/>
    <x v="1"/>
    <x v="4"/>
    <x v="6"/>
    <x v="0"/>
    <x v="271"/>
    <n v="11310"/>
    <n v="27"/>
    <m/>
    <n v="0"/>
    <m/>
    <n v="0"/>
    <n v="0"/>
    <n v="0"/>
    <n v="0"/>
    <n v="0"/>
    <n v="0"/>
    <n v="0"/>
    <n v="0"/>
    <n v="0"/>
    <n v="0"/>
  </r>
  <r>
    <s v="SYD/MGQ"/>
    <s v="MGQ"/>
    <x v="1"/>
    <x v="4"/>
    <x v="3"/>
    <x v="0"/>
    <x v="272"/>
    <n v="11596"/>
    <n v="27.5"/>
    <m/>
    <n v="0"/>
    <m/>
    <n v="0"/>
    <n v="0"/>
    <n v="0"/>
    <n v="0"/>
    <n v="0"/>
    <n v="0"/>
    <n v="0"/>
    <n v="0"/>
    <n v="0"/>
    <n v="0"/>
  </r>
  <r>
    <s v="SYD/JIB"/>
    <s v="JIB"/>
    <x v="1"/>
    <x v="2"/>
    <x v="88"/>
    <x v="0"/>
    <x v="273"/>
    <n v="12379"/>
    <n v="29.25"/>
    <m/>
    <n v="0"/>
    <m/>
    <n v="0"/>
    <n v="0"/>
    <n v="0"/>
    <n v="0"/>
    <n v="0"/>
    <n v="0"/>
    <n v="0"/>
    <n v="0"/>
    <n v="0"/>
    <n v="0"/>
  </r>
  <r>
    <s v="SYD/DIR"/>
    <s v="DIR"/>
    <x v="1"/>
    <x v="2"/>
    <x v="0"/>
    <x v="0"/>
    <x v="274"/>
    <n v="12384"/>
    <n v="29.25"/>
    <m/>
    <n v="0"/>
    <m/>
    <n v="0"/>
    <n v="0"/>
    <n v="0"/>
    <n v="0"/>
    <n v="0"/>
    <n v="0"/>
    <n v="0"/>
    <n v="0"/>
    <n v="0"/>
    <n v="0"/>
  </r>
  <r>
    <s v="SYD/EDL"/>
    <s v="EDL"/>
    <x v="1"/>
    <x v="4"/>
    <x v="4"/>
    <x v="0"/>
    <x v="275"/>
    <n v="12403"/>
    <n v="29.25"/>
    <m/>
    <n v="0"/>
    <m/>
    <n v="0"/>
    <n v="0"/>
    <n v="0"/>
    <n v="0"/>
    <n v="0"/>
    <n v="0"/>
    <n v="0"/>
    <n v="0"/>
    <n v="0"/>
    <n v="0"/>
  </r>
  <r>
    <s v="SYD/OND"/>
    <s v="OND"/>
    <x v="1"/>
    <x v="4"/>
    <x v="36"/>
    <x v="0"/>
    <x v="276"/>
    <n v="12556"/>
    <n v="29.75"/>
    <m/>
    <n v="0"/>
    <m/>
    <n v="0"/>
    <n v="0"/>
    <n v="0"/>
    <n v="0"/>
    <n v="0"/>
    <n v="0"/>
    <n v="0"/>
    <n v="0"/>
    <n v="0"/>
    <n v="0"/>
  </r>
  <r>
    <s v="SYD/KMN"/>
    <s v="KMN"/>
    <x v="1"/>
    <x v="4"/>
    <x v="5"/>
    <x v="0"/>
    <x v="277"/>
    <n v="12614"/>
    <n v="29.75"/>
    <m/>
    <n v="0"/>
    <m/>
    <n v="0"/>
    <n v="0"/>
    <n v="0"/>
    <n v="0"/>
    <n v="0"/>
    <n v="0"/>
    <n v="0"/>
    <n v="0"/>
    <n v="0"/>
    <n v="0"/>
  </r>
  <r>
    <s v="SYD/EBB"/>
    <s v="EBB"/>
    <x v="1"/>
    <x v="2"/>
    <x v="89"/>
    <x v="0"/>
    <x v="278"/>
    <n v="12627"/>
    <n v="29.75"/>
    <m/>
    <n v="0"/>
    <m/>
    <n v="0"/>
    <n v="0"/>
    <n v="0"/>
    <n v="0"/>
    <n v="0"/>
    <n v="0"/>
    <n v="0"/>
    <n v="0"/>
    <n v="0"/>
    <n v="0"/>
  </r>
  <r>
    <s v="SYD/VPE"/>
    <s v="VPE"/>
    <x v="1"/>
    <x v="2"/>
    <x v="90"/>
    <x v="0"/>
    <x v="279"/>
    <n v="12646"/>
    <n v="30"/>
    <m/>
    <n v="0"/>
    <m/>
    <n v="0"/>
    <n v="0"/>
    <n v="0"/>
    <n v="0"/>
    <n v="0"/>
    <n v="0"/>
    <n v="0"/>
    <n v="0"/>
    <n v="0"/>
    <n v="0"/>
  </r>
  <r>
    <s v="SYD/BJM"/>
    <s v="BJM"/>
    <x v="1"/>
    <x v="2"/>
    <x v="91"/>
    <x v="0"/>
    <x v="280"/>
    <n v="12665"/>
    <n v="30"/>
    <m/>
    <n v="0"/>
    <m/>
    <n v="0"/>
    <n v="0"/>
    <n v="0"/>
    <n v="0"/>
    <n v="0"/>
    <n v="0"/>
    <n v="0"/>
    <n v="0"/>
    <n v="0"/>
    <n v="0"/>
  </r>
  <r>
    <s v="SYD/KGL"/>
    <s v="KGL"/>
    <x v="1"/>
    <x v="2"/>
    <x v="92"/>
    <x v="0"/>
    <x v="281"/>
    <n v="12691"/>
    <n v="30"/>
    <m/>
    <n v="0"/>
    <m/>
    <n v="0"/>
    <n v="0"/>
    <n v="0"/>
    <n v="0"/>
    <n v="0"/>
    <n v="0"/>
    <n v="0"/>
    <n v="0"/>
    <n v="0"/>
    <n v="0"/>
  </r>
  <r>
    <s v="SYD/SPP"/>
    <s v="SPP"/>
    <x v="1"/>
    <x v="4"/>
    <x v="90"/>
    <x v="0"/>
    <x v="282"/>
    <n v="12707"/>
    <n v="30"/>
    <m/>
    <n v="0"/>
    <m/>
    <n v="0"/>
    <n v="0"/>
    <n v="0"/>
    <n v="0"/>
    <n v="0"/>
    <n v="0"/>
    <n v="0"/>
    <n v="0"/>
    <n v="0"/>
    <n v="0"/>
  </r>
  <r>
    <s v="SYD/ULU"/>
    <s v="ULU"/>
    <x v="1"/>
    <x v="4"/>
    <x v="89"/>
    <x v="0"/>
    <x v="283"/>
    <n v="12827"/>
    <n v="30.25"/>
    <m/>
    <n v="0"/>
    <m/>
    <n v="0"/>
    <n v="0"/>
    <n v="0"/>
    <n v="0"/>
    <n v="0"/>
    <n v="0"/>
    <n v="0"/>
    <n v="0"/>
    <n v="0"/>
    <n v="0"/>
  </r>
  <r>
    <s v="SYD/VHC"/>
    <s v="VHC"/>
    <x v="1"/>
    <x v="4"/>
    <x v="90"/>
    <x v="0"/>
    <x v="284"/>
    <n v="12912"/>
    <n v="30.5"/>
    <m/>
    <n v="0"/>
    <m/>
    <n v="0"/>
    <n v="0"/>
    <n v="0"/>
    <n v="0"/>
    <n v="0"/>
    <n v="0"/>
    <n v="0"/>
    <n v="0"/>
    <n v="0"/>
    <n v="0"/>
  </r>
  <r>
    <s v="SYD/SDD"/>
    <s v="SDD"/>
    <x v="1"/>
    <x v="2"/>
    <x v="90"/>
    <x v="0"/>
    <x v="285"/>
    <n v="12971"/>
    <n v="30.5"/>
    <m/>
    <n v="0"/>
    <m/>
    <n v="0"/>
    <n v="0"/>
    <n v="0"/>
    <n v="0"/>
    <n v="0"/>
    <n v="0"/>
    <n v="0"/>
    <n v="0"/>
    <n v="0"/>
    <n v="0"/>
  </r>
  <r>
    <s v="SYD/NOV"/>
    <s v="NOV"/>
    <x v="1"/>
    <x v="4"/>
    <x v="90"/>
    <x v="0"/>
    <x v="286"/>
    <n v="13001"/>
    <n v="30.75"/>
    <m/>
    <n v="0"/>
    <m/>
    <n v="0"/>
    <n v="0"/>
    <n v="0"/>
    <n v="0"/>
    <n v="0"/>
    <n v="0"/>
    <n v="0"/>
    <n v="0"/>
    <n v="0"/>
    <n v="0"/>
  </r>
  <r>
    <s v="SYD/CBT"/>
    <s v="CBT"/>
    <x v="1"/>
    <x v="2"/>
    <x v="90"/>
    <x v="0"/>
    <x v="287"/>
    <n v="13188"/>
    <n v="31"/>
    <m/>
    <n v="0"/>
    <m/>
    <n v="0"/>
    <n v="0"/>
    <n v="0"/>
    <n v="0"/>
    <n v="0"/>
    <n v="0"/>
    <n v="0"/>
    <n v="0"/>
    <n v="0"/>
    <n v="0"/>
  </r>
  <r>
    <s v="SYD/LAD"/>
    <s v="LAD"/>
    <x v="1"/>
    <x v="3"/>
    <x v="90"/>
    <x v="0"/>
    <x v="288"/>
    <n v="13514"/>
    <n v="31.75"/>
    <m/>
    <n v="0"/>
    <m/>
    <n v="0"/>
    <n v="0"/>
    <n v="0"/>
    <n v="0"/>
    <n v="0"/>
    <n v="0"/>
    <n v="0"/>
    <n v="0"/>
    <n v="0"/>
    <n v="0"/>
  </r>
  <r>
    <s v="SYD/EBD"/>
    <s v="EBD"/>
    <x v="1"/>
    <x v="4"/>
    <x v="19"/>
    <x v="0"/>
    <x v="289"/>
    <n v="13664"/>
    <n v="32"/>
    <m/>
    <n v="0"/>
    <m/>
    <n v="0"/>
    <n v="0"/>
    <n v="0"/>
    <n v="0"/>
    <n v="0"/>
    <n v="0"/>
    <n v="0"/>
    <n v="0"/>
    <n v="0"/>
    <n v="0"/>
  </r>
  <r>
    <s v="SYD/RMF"/>
    <s v="RMF"/>
    <x v="1"/>
    <x v="2"/>
    <x v="53"/>
    <x v="0"/>
    <x v="290"/>
    <n v="13921"/>
    <n v="32.75"/>
    <m/>
    <n v="0"/>
    <m/>
    <n v="0"/>
    <n v="0"/>
    <n v="0"/>
    <n v="0"/>
    <n v="0"/>
    <n v="0"/>
    <n v="0"/>
    <n v="0"/>
    <n v="0"/>
    <n v="0"/>
  </r>
  <r>
    <s v="SYD/ABS"/>
    <s v="ABS"/>
    <x v="1"/>
    <x v="2"/>
    <x v="53"/>
    <x v="0"/>
    <x v="291"/>
    <n v="14040"/>
    <n v="33"/>
    <m/>
    <n v="0"/>
    <m/>
    <n v="0"/>
    <n v="0"/>
    <n v="0"/>
    <n v="0"/>
    <n v="0"/>
    <n v="0"/>
    <n v="0"/>
    <n v="0"/>
    <n v="0"/>
    <n v="0"/>
  </r>
  <r>
    <s v="SYD/UYL"/>
    <s v="UYL"/>
    <x v="1"/>
    <x v="4"/>
    <x v="19"/>
    <x v="0"/>
    <x v="292"/>
    <n v="14079"/>
    <n v="33"/>
    <m/>
    <n v="0"/>
    <m/>
    <n v="0"/>
    <n v="0"/>
    <n v="0"/>
    <n v="0"/>
    <n v="0"/>
    <n v="0"/>
    <n v="0"/>
    <n v="0"/>
    <n v="0"/>
    <n v="0"/>
  </r>
  <r>
    <s v="SYD/TCP"/>
    <s v="TCP"/>
    <x v="1"/>
    <x v="2"/>
    <x v="53"/>
    <x v="0"/>
    <x v="293"/>
    <n v="14083"/>
    <n v="33"/>
    <m/>
    <n v="0"/>
    <m/>
    <n v="0"/>
    <n v="0"/>
    <n v="0"/>
    <n v="0"/>
    <n v="0"/>
    <n v="0"/>
    <n v="0"/>
    <n v="0"/>
    <n v="0"/>
    <n v="0"/>
  </r>
  <r>
    <s v="SYD/BGF"/>
    <s v="BGF"/>
    <x v="1"/>
    <x v="2"/>
    <x v="93"/>
    <x v="0"/>
    <x v="294"/>
    <n v="14137"/>
    <n v="33.25"/>
    <m/>
    <n v="0"/>
    <m/>
    <n v="0"/>
    <n v="0"/>
    <n v="0"/>
    <n v="0"/>
    <n v="0"/>
    <n v="0"/>
    <n v="0"/>
    <n v="0"/>
    <n v="0"/>
    <n v="0"/>
  </r>
  <r>
    <s v="SYD/AAC"/>
    <s v="AAC"/>
    <x v="1"/>
    <x v="4"/>
    <x v="53"/>
    <x v="0"/>
    <x v="295"/>
    <n v="14228"/>
    <n v="33.25"/>
    <m/>
    <n v="0"/>
    <m/>
    <n v="0"/>
    <n v="0"/>
    <n v="0"/>
    <n v="0"/>
    <n v="0"/>
    <n v="0"/>
    <n v="0"/>
    <n v="0"/>
    <n v="0"/>
    <n v="0"/>
  </r>
  <r>
    <s v="SYD/ATZ"/>
    <s v="ATZ"/>
    <x v="1"/>
    <x v="2"/>
    <x v="53"/>
    <x v="0"/>
    <x v="296"/>
    <n v="14314"/>
    <n v="33.5"/>
    <m/>
    <n v="0"/>
    <m/>
    <n v="0"/>
    <n v="0"/>
    <n v="0"/>
    <n v="0"/>
    <n v="0"/>
    <n v="0"/>
    <n v="0"/>
    <n v="0"/>
    <n v="0"/>
    <n v="0"/>
  </r>
  <r>
    <s v="SYD/HBE"/>
    <s v="HBE"/>
    <x v="1"/>
    <x v="2"/>
    <x v="53"/>
    <x v="0"/>
    <x v="297"/>
    <n v="14591"/>
    <n v="34.25"/>
    <m/>
    <n v="0"/>
    <m/>
    <n v="0"/>
    <n v="0"/>
    <n v="0"/>
    <n v="0"/>
    <n v="0"/>
    <n v="0"/>
    <n v="0"/>
    <n v="0"/>
    <n v="0"/>
    <n v="0"/>
  </r>
  <r>
    <s v="SYD/NGE"/>
    <s v="NGE"/>
    <x v="1"/>
    <x v="4"/>
    <x v="55"/>
    <x v="0"/>
    <x v="298"/>
    <n v="14769"/>
    <n v="34.5"/>
    <m/>
    <n v="0"/>
    <m/>
    <n v="0"/>
    <n v="0"/>
    <n v="0"/>
    <n v="0"/>
    <n v="0"/>
    <n v="0"/>
    <n v="0"/>
    <n v="0"/>
    <n v="0"/>
    <n v="0"/>
  </r>
  <r>
    <s v="SYD/SSG"/>
    <s v="SSG"/>
    <x v="1"/>
    <x v="2"/>
    <x v="94"/>
    <x v="0"/>
    <x v="299"/>
    <n v="14889"/>
    <n v="34.75"/>
    <m/>
    <n v="0"/>
    <m/>
    <n v="0"/>
    <n v="0"/>
    <n v="0"/>
    <n v="0"/>
    <n v="0"/>
    <n v="0"/>
    <n v="0"/>
    <n v="0"/>
    <n v="0"/>
    <n v="0"/>
  </r>
  <r>
    <s v="SYD/GOU"/>
    <s v="GOU"/>
    <x v="1"/>
    <x v="4"/>
    <x v="55"/>
    <x v="0"/>
    <x v="300"/>
    <n v="14925"/>
    <n v="35"/>
    <m/>
    <n v="0"/>
    <m/>
    <n v="0"/>
    <n v="0"/>
    <n v="0"/>
    <n v="0"/>
    <n v="0"/>
    <n v="0"/>
    <n v="0"/>
    <n v="0"/>
    <n v="0"/>
    <n v="0"/>
  </r>
  <r>
    <s v="SYD/YOL"/>
    <s v="YOL"/>
    <x v="1"/>
    <x v="4"/>
    <x v="95"/>
    <x v="0"/>
    <x v="301"/>
    <n v="14999"/>
    <n v="35"/>
    <m/>
    <n v="0"/>
    <m/>
    <n v="0"/>
    <n v="0"/>
    <n v="0"/>
    <n v="0"/>
    <n v="0"/>
    <n v="0"/>
    <n v="0"/>
    <n v="0"/>
    <n v="0"/>
    <n v="0"/>
  </r>
  <r>
    <s v="SYD/PHC"/>
    <s v="PHC"/>
    <x v="1"/>
    <x v="2"/>
    <x v="95"/>
    <x v="0"/>
    <x v="302"/>
    <n v="15126"/>
    <n v="35.25"/>
    <m/>
    <n v="0"/>
    <m/>
    <n v="0"/>
    <n v="0"/>
    <n v="0"/>
    <n v="0"/>
    <n v="0"/>
    <n v="0"/>
    <n v="0"/>
    <n v="0"/>
    <n v="0"/>
    <n v="0"/>
  </r>
  <r>
    <s v="SYD/LOP"/>
    <s v="LOP"/>
    <x v="1"/>
    <x v="0"/>
    <x v="32"/>
    <x v="1"/>
    <x v="303"/>
    <n v="4533"/>
    <n v="12"/>
    <m/>
    <n v="0"/>
    <m/>
    <n v="0"/>
    <n v="0"/>
    <n v="0"/>
    <n v="0"/>
    <n v="0"/>
    <n v="0"/>
    <n v="0"/>
    <n v="0"/>
    <n v="0"/>
    <n v="0"/>
  </r>
  <r>
    <s v="SYD/UPG"/>
    <s v="UPG"/>
    <x v="1"/>
    <x v="3"/>
    <x v="32"/>
    <x v="1"/>
    <x v="304"/>
    <n v="4577"/>
    <n v="12.25"/>
    <m/>
    <n v="0"/>
    <m/>
    <n v="0"/>
    <n v="0"/>
    <n v="0"/>
    <n v="0"/>
    <n v="0"/>
    <n v="0"/>
    <n v="0"/>
    <n v="0"/>
    <n v="0"/>
    <n v="0"/>
  </r>
  <r>
    <s v="SYD/DPS"/>
    <s v="DPS"/>
    <x v="1"/>
    <x v="0"/>
    <x v="32"/>
    <x v="1"/>
    <x v="305"/>
    <n v="4623"/>
    <n v="12.25"/>
    <m/>
    <n v="0"/>
    <m/>
    <n v="0"/>
    <n v="0"/>
    <n v="0"/>
    <n v="0"/>
    <n v="0"/>
    <n v="0"/>
    <n v="0"/>
    <n v="0"/>
    <n v="0"/>
    <n v="0"/>
  </r>
  <r>
    <s v="SYD/MDC"/>
    <s v="MDC"/>
    <x v="1"/>
    <x v="2"/>
    <x v="32"/>
    <x v="1"/>
    <x v="306"/>
    <n v="4808"/>
    <n v="12.75"/>
    <m/>
    <n v="0"/>
    <m/>
    <n v="0"/>
    <n v="0"/>
    <n v="0"/>
    <n v="0"/>
    <n v="0"/>
    <n v="0"/>
    <n v="0"/>
    <n v="0"/>
    <n v="0"/>
    <n v="0"/>
  </r>
  <r>
    <s v="SYD/SUB"/>
    <s v="SUB"/>
    <x v="1"/>
    <x v="0"/>
    <x v="32"/>
    <x v="1"/>
    <x v="307"/>
    <n v="4919"/>
    <n v="13"/>
    <m/>
    <n v="0"/>
    <m/>
    <n v="0"/>
    <n v="0"/>
    <n v="0"/>
    <n v="0"/>
    <n v="0"/>
    <n v="0"/>
    <n v="0"/>
    <n v="0"/>
    <n v="0"/>
    <n v="0"/>
  </r>
  <r>
    <s v="SYD/SOC"/>
    <s v="SOC"/>
    <x v="1"/>
    <x v="2"/>
    <x v="32"/>
    <x v="1"/>
    <x v="308"/>
    <n v="5076"/>
    <n v="13.25"/>
    <m/>
    <n v="0"/>
    <m/>
    <n v="0"/>
    <n v="0"/>
    <n v="0"/>
    <n v="0"/>
    <n v="0"/>
    <n v="0"/>
    <n v="0"/>
    <n v="0"/>
    <n v="0"/>
    <n v="0"/>
  </r>
  <r>
    <s v="SYD/YIA"/>
    <s v="YIA"/>
    <x v="1"/>
    <x v="5"/>
    <x v="32"/>
    <x v="1"/>
    <x v="309"/>
    <n v="5083"/>
    <n v="13.25"/>
    <m/>
    <n v="0"/>
    <m/>
    <n v="0"/>
    <n v="0"/>
    <n v="0"/>
    <n v="0"/>
    <n v="0"/>
    <n v="0"/>
    <n v="0"/>
    <n v="0"/>
    <n v="0"/>
    <n v="0"/>
  </r>
  <r>
    <s v="SYD/SRG"/>
    <s v="SRG"/>
    <x v="1"/>
    <x v="2"/>
    <x v="32"/>
    <x v="1"/>
    <x v="310"/>
    <n v="5148"/>
    <n v="13.5"/>
    <m/>
    <n v="0"/>
    <m/>
    <n v="0"/>
    <n v="0"/>
    <n v="0"/>
    <n v="0"/>
    <n v="0"/>
    <n v="0"/>
    <n v="0"/>
    <n v="0"/>
    <n v="0"/>
    <n v="0"/>
  </r>
  <r>
    <s v="SYD/GES"/>
    <s v="GES"/>
    <x v="1"/>
    <x v="2"/>
    <x v="34"/>
    <x v="1"/>
    <x v="311"/>
    <n v="5227"/>
    <n v="13.5"/>
    <m/>
    <n v="0"/>
    <m/>
    <n v="0"/>
    <n v="0"/>
    <n v="0"/>
    <n v="0"/>
    <n v="0"/>
    <n v="0"/>
    <n v="0"/>
    <n v="0"/>
    <n v="0"/>
    <n v="0"/>
  </r>
  <r>
    <s v="SYD/DVO"/>
    <s v="DVO"/>
    <x v="1"/>
    <x v="3"/>
    <x v="34"/>
    <x v="1"/>
    <x v="312"/>
    <n v="5301"/>
    <n v="13.75"/>
    <m/>
    <n v="0"/>
    <m/>
    <n v="0"/>
    <n v="0"/>
    <n v="0"/>
    <n v="0"/>
    <n v="0"/>
    <n v="0"/>
    <n v="0"/>
    <n v="0"/>
    <n v="0"/>
    <n v="0"/>
  </r>
  <r>
    <s v="SYD/ZAM"/>
    <s v="ZAM"/>
    <x v="1"/>
    <x v="2"/>
    <x v="34"/>
    <x v="1"/>
    <x v="313"/>
    <n v="5483"/>
    <n v="14.25"/>
    <m/>
    <n v="0"/>
    <m/>
    <n v="0"/>
    <n v="0"/>
    <n v="0"/>
    <n v="0"/>
    <n v="0"/>
    <n v="0"/>
    <n v="0"/>
    <n v="0"/>
    <n v="0"/>
    <n v="0"/>
  </r>
  <r>
    <s v="SYD/TWU"/>
    <s v="TWU"/>
    <x v="1"/>
    <x v="2"/>
    <x v="37"/>
    <x v="1"/>
    <x v="314"/>
    <n v="5489"/>
    <n v="14.25"/>
    <m/>
    <n v="0"/>
    <m/>
    <n v="0"/>
    <n v="0"/>
    <n v="0"/>
    <n v="0"/>
    <n v="0"/>
    <n v="0"/>
    <n v="0"/>
    <n v="0"/>
    <n v="0"/>
    <n v="0"/>
  </r>
  <r>
    <s v="SYD/HLP"/>
    <s v="HLP"/>
    <x v="1"/>
    <x v="2"/>
    <x v="32"/>
    <x v="1"/>
    <x v="315"/>
    <n v="5490"/>
    <n v="14.25"/>
    <m/>
    <n v="0"/>
    <m/>
    <n v="0"/>
    <n v="0"/>
    <n v="0"/>
    <n v="0"/>
    <n v="0"/>
    <n v="0"/>
    <n v="0"/>
    <n v="0"/>
    <n v="0"/>
    <n v="0"/>
  </r>
  <r>
    <s v="SYD/CGK"/>
    <s v="CGK"/>
    <x v="1"/>
    <x v="1"/>
    <x v="32"/>
    <x v="1"/>
    <x v="316"/>
    <n v="5520"/>
    <n v="14.25"/>
    <m/>
    <n v="0"/>
    <m/>
    <n v="0"/>
    <n v="0"/>
    <n v="0"/>
    <n v="0"/>
    <n v="0"/>
    <n v="0"/>
    <n v="0"/>
    <n v="0"/>
    <n v="0"/>
    <n v="0"/>
  </r>
  <r>
    <s v="SYD/BTU"/>
    <s v="BTU"/>
    <x v="1"/>
    <x v="2"/>
    <x v="37"/>
    <x v="1"/>
    <x v="317"/>
    <n v="5741"/>
    <n v="14.75"/>
    <m/>
    <n v="0"/>
    <m/>
    <n v="0"/>
    <n v="0"/>
    <n v="0"/>
    <n v="0"/>
    <n v="0"/>
    <n v="0"/>
    <n v="0"/>
    <n v="0"/>
    <n v="0"/>
    <n v="0"/>
  </r>
  <r>
    <s v="SYD/SBW"/>
    <s v="SBW"/>
    <x v="1"/>
    <x v="2"/>
    <x v="37"/>
    <x v="1"/>
    <x v="318"/>
    <n v="5745"/>
    <n v="14.75"/>
    <m/>
    <n v="0"/>
    <m/>
    <n v="0"/>
    <n v="0"/>
    <n v="0"/>
    <n v="0"/>
    <n v="0"/>
    <n v="0"/>
    <n v="0"/>
    <n v="0"/>
    <n v="0"/>
    <n v="0"/>
  </r>
  <r>
    <s v="SYD/BWN"/>
    <s v="BWN"/>
    <x v="1"/>
    <x v="3"/>
    <x v="96"/>
    <x v="1"/>
    <x v="319"/>
    <n v="5761"/>
    <n v="14.75"/>
    <m/>
    <n v="0"/>
    <m/>
    <n v="0"/>
    <n v="0"/>
    <n v="0"/>
    <n v="0"/>
    <n v="0"/>
    <n v="0"/>
    <n v="0"/>
    <n v="0"/>
    <n v="0"/>
    <n v="0"/>
  </r>
  <r>
    <s v="SYD/MYY"/>
    <s v="MYY"/>
    <x v="1"/>
    <x v="3"/>
    <x v="37"/>
    <x v="1"/>
    <x v="320"/>
    <n v="5773"/>
    <n v="14.75"/>
    <m/>
    <n v="0"/>
    <m/>
    <n v="0"/>
    <n v="0"/>
    <n v="0"/>
    <n v="0"/>
    <n v="0"/>
    <n v="0"/>
    <n v="0"/>
    <n v="0"/>
    <n v="0"/>
    <n v="0"/>
  </r>
  <r>
    <s v="SYD/PPS"/>
    <s v="PPS"/>
    <x v="1"/>
    <x v="2"/>
    <x v="34"/>
    <x v="1"/>
    <x v="321"/>
    <n v="5943"/>
    <n v="15.25"/>
    <m/>
    <n v="0"/>
    <m/>
    <n v="0"/>
    <n v="0"/>
    <n v="0"/>
    <n v="0"/>
    <n v="0"/>
    <n v="0"/>
    <n v="0"/>
    <n v="0"/>
    <n v="0"/>
    <n v="0"/>
  </r>
  <r>
    <s v="SYD/SIN"/>
    <s v="SIN"/>
    <x v="1"/>
    <x v="1"/>
    <x v="97"/>
    <x v="1"/>
    <x v="322"/>
    <n v="6296"/>
    <n v="16"/>
    <m/>
    <n v="0"/>
    <m/>
    <n v="0"/>
    <n v="0"/>
    <n v="0"/>
    <n v="0"/>
    <n v="0"/>
    <n v="0"/>
    <n v="0"/>
    <n v="0"/>
    <n v="0"/>
    <n v="0"/>
  </r>
  <r>
    <s v="SYD/SFS"/>
    <s v="SFS"/>
    <x v="1"/>
    <x v="4"/>
    <x v="34"/>
    <x v="1"/>
    <x v="323"/>
    <n v="6332"/>
    <n v="16"/>
    <m/>
    <n v="0"/>
    <m/>
    <n v="0"/>
    <n v="0"/>
    <n v="0"/>
    <n v="0"/>
    <n v="0"/>
    <n v="0"/>
    <n v="0"/>
    <n v="0"/>
    <n v="0"/>
    <n v="0"/>
  </r>
  <r>
    <s v="SYD/JHB"/>
    <s v="JHB"/>
    <x v="1"/>
    <x v="3"/>
    <x v="37"/>
    <x v="1"/>
    <x v="324"/>
    <n v="6343"/>
    <n v="16"/>
    <m/>
    <n v="0"/>
    <m/>
    <n v="0"/>
    <n v="0"/>
    <n v="0"/>
    <n v="0"/>
    <n v="0"/>
    <n v="0"/>
    <n v="0"/>
    <n v="0"/>
    <n v="0"/>
    <n v="0"/>
  </r>
  <r>
    <s v="SYD/PDG"/>
    <s v="PDG"/>
    <x v="1"/>
    <x v="3"/>
    <x v="32"/>
    <x v="1"/>
    <x v="325"/>
    <n v="6444"/>
    <n v="16.25"/>
    <m/>
    <n v="0"/>
    <m/>
    <n v="0"/>
    <n v="0"/>
    <n v="0"/>
    <n v="0"/>
    <n v="0"/>
    <n v="0"/>
    <n v="0"/>
    <n v="0"/>
    <n v="0"/>
    <n v="0"/>
  </r>
  <r>
    <s v="SYD/KUA"/>
    <s v="KUA"/>
    <x v="1"/>
    <x v="2"/>
    <x v="37"/>
    <x v="1"/>
    <x v="326"/>
    <n v="6544"/>
    <n v="16.5"/>
    <m/>
    <n v="0"/>
    <m/>
    <n v="0"/>
    <n v="0"/>
    <n v="0"/>
    <n v="0"/>
    <n v="0"/>
    <n v="0"/>
    <n v="0"/>
    <n v="0"/>
    <n v="0"/>
    <n v="0"/>
  </r>
  <r>
    <s v="SYD/SZB"/>
    <s v="SZB"/>
    <x v="1"/>
    <x v="2"/>
    <x v="37"/>
    <x v="1"/>
    <x v="327"/>
    <n v="6628"/>
    <n v="16.75"/>
    <m/>
    <n v="0"/>
    <m/>
    <n v="0"/>
    <n v="0"/>
    <n v="0"/>
    <n v="0"/>
    <n v="0"/>
    <n v="0"/>
    <n v="0"/>
    <n v="0"/>
    <n v="0"/>
    <n v="0"/>
  </r>
  <r>
    <s v="SYD/TGG"/>
    <s v="TGG"/>
    <x v="1"/>
    <x v="2"/>
    <x v="37"/>
    <x v="1"/>
    <x v="328"/>
    <n v="6677"/>
    <n v="16.75"/>
    <m/>
    <n v="0"/>
    <m/>
    <n v="0"/>
    <n v="0"/>
    <n v="0"/>
    <n v="0"/>
    <n v="0"/>
    <n v="0"/>
    <n v="0"/>
    <n v="0"/>
    <n v="0"/>
    <n v="0"/>
  </r>
  <r>
    <s v="SYD/BMV"/>
    <s v="BMV"/>
    <x v="1"/>
    <x v="2"/>
    <x v="26"/>
    <x v="1"/>
    <x v="329"/>
    <n v="6900"/>
    <n v="17.25"/>
    <m/>
    <n v="0"/>
    <m/>
    <n v="0"/>
    <n v="0"/>
    <n v="0"/>
    <n v="0"/>
    <n v="0"/>
    <n v="0"/>
    <n v="0"/>
    <n v="0"/>
    <n v="0"/>
    <n v="0"/>
  </r>
  <r>
    <s v="SYD/AOR"/>
    <s v="AOR"/>
    <x v="1"/>
    <x v="2"/>
    <x v="37"/>
    <x v="1"/>
    <x v="330"/>
    <n v="6955"/>
    <n v="17.5"/>
    <m/>
    <n v="0"/>
    <m/>
    <n v="0"/>
    <n v="0"/>
    <n v="0"/>
    <n v="0"/>
    <n v="0"/>
    <n v="0"/>
    <n v="0"/>
    <n v="0"/>
    <n v="0"/>
    <n v="0"/>
  </r>
  <r>
    <s v="SYD/HDY"/>
    <s v="HDY"/>
    <x v="1"/>
    <x v="3"/>
    <x v="13"/>
    <x v="1"/>
    <x v="331"/>
    <n v="7012"/>
    <n v="17.5"/>
    <m/>
    <n v="0"/>
    <m/>
    <n v="0"/>
    <n v="0"/>
    <n v="0"/>
    <n v="0"/>
    <n v="0"/>
    <n v="0"/>
    <n v="0"/>
    <n v="0"/>
    <n v="0"/>
    <n v="0"/>
  </r>
  <r>
    <s v="SYD/LGK"/>
    <s v="LGK"/>
    <x v="1"/>
    <x v="2"/>
    <x v="37"/>
    <x v="1"/>
    <x v="332"/>
    <n v="7019"/>
    <n v="17.5"/>
    <m/>
    <n v="0"/>
    <m/>
    <n v="0"/>
    <n v="0"/>
    <n v="0"/>
    <n v="0"/>
    <n v="0"/>
    <n v="0"/>
    <n v="0"/>
    <n v="0"/>
    <n v="0"/>
    <n v="0"/>
  </r>
  <r>
    <s v="SYD/KBV"/>
    <s v="KBV"/>
    <x v="1"/>
    <x v="2"/>
    <x v="13"/>
    <x v="1"/>
    <x v="333"/>
    <n v="7214"/>
    <n v="18"/>
    <m/>
    <n v="0"/>
    <m/>
    <n v="0"/>
    <n v="0"/>
    <n v="0"/>
    <n v="0"/>
    <n v="0"/>
    <n v="0"/>
    <n v="0"/>
    <n v="0"/>
    <n v="0"/>
    <n v="0"/>
  </r>
  <r>
    <s v="SYD/RMQ"/>
    <s v="RMQ"/>
    <x v="1"/>
    <x v="5"/>
    <x v="62"/>
    <x v="1"/>
    <x v="334"/>
    <n v="7235"/>
    <n v="18"/>
    <m/>
    <n v="0"/>
    <m/>
    <n v="0"/>
    <n v="0"/>
    <n v="0"/>
    <n v="0"/>
    <n v="0"/>
    <n v="0"/>
    <n v="0"/>
    <n v="0"/>
    <n v="0"/>
    <n v="0"/>
  </r>
  <r>
    <s v="SYD/URT"/>
    <s v="URT"/>
    <x v="1"/>
    <x v="2"/>
    <x v="13"/>
    <x v="1"/>
    <x v="335"/>
    <n v="7282"/>
    <n v="18"/>
    <m/>
    <n v="0"/>
    <m/>
    <n v="0"/>
    <n v="0"/>
    <n v="0"/>
    <n v="0"/>
    <n v="0"/>
    <n v="0"/>
    <n v="0"/>
    <n v="0"/>
    <n v="0"/>
    <n v="0"/>
  </r>
  <r>
    <s v="SYD/SYX"/>
    <s v="SYX"/>
    <x v="1"/>
    <x v="0"/>
    <x v="23"/>
    <x v="1"/>
    <x v="336"/>
    <n v="7303"/>
    <n v="18.25"/>
    <m/>
    <n v="0"/>
    <m/>
    <n v="0"/>
    <n v="0"/>
    <n v="0"/>
    <n v="0"/>
    <n v="0"/>
    <n v="0"/>
    <n v="0"/>
    <n v="0"/>
    <n v="0"/>
    <n v="0"/>
  </r>
  <r>
    <s v="SYD/HAK"/>
    <s v="HAK"/>
    <x v="1"/>
    <x v="0"/>
    <x v="23"/>
    <x v="1"/>
    <x v="337"/>
    <n v="7383"/>
    <n v="18.25"/>
    <m/>
    <n v="0"/>
    <m/>
    <n v="0"/>
    <n v="0"/>
    <n v="0"/>
    <n v="0"/>
    <n v="0"/>
    <n v="0"/>
    <n v="0"/>
    <n v="0"/>
    <n v="0"/>
    <n v="0"/>
  </r>
  <r>
    <s v="SYD/XMN"/>
    <s v="XMN"/>
    <x v="1"/>
    <x v="0"/>
    <x v="23"/>
    <x v="1"/>
    <x v="338"/>
    <n v="7384"/>
    <n v="18.25"/>
    <m/>
    <n v="0"/>
    <m/>
    <n v="0"/>
    <n v="0"/>
    <n v="0"/>
    <n v="0"/>
    <n v="0"/>
    <n v="0"/>
    <n v="0"/>
    <n v="0"/>
    <n v="0"/>
    <n v="0"/>
  </r>
  <r>
    <s v="SYD/JJN"/>
    <s v="JJN"/>
    <x v="1"/>
    <x v="5"/>
    <x v="23"/>
    <x v="1"/>
    <x v="339"/>
    <n v="7385"/>
    <n v="18.25"/>
    <m/>
    <n v="0"/>
    <m/>
    <n v="0"/>
    <n v="0"/>
    <n v="0"/>
    <n v="0"/>
    <n v="0"/>
    <n v="0"/>
    <n v="0"/>
    <n v="0"/>
    <n v="0"/>
    <n v="0"/>
  </r>
  <r>
    <s v="SYD/ZUH"/>
    <s v="ZUH"/>
    <x v="1"/>
    <x v="3"/>
    <x v="23"/>
    <x v="1"/>
    <x v="340"/>
    <n v="7398"/>
    <n v="18.25"/>
    <m/>
    <n v="0"/>
    <m/>
    <n v="0"/>
    <n v="0"/>
    <n v="0"/>
    <n v="0"/>
    <n v="0"/>
    <n v="0"/>
    <n v="0"/>
    <n v="0"/>
    <n v="0"/>
    <n v="0"/>
  </r>
  <r>
    <s v="SYD/MFM"/>
    <s v="MFM"/>
    <x v="1"/>
    <x v="3"/>
    <x v="23"/>
    <x v="1"/>
    <x v="341"/>
    <n v="7399"/>
    <n v="18.25"/>
    <m/>
    <n v="0"/>
    <m/>
    <n v="0"/>
    <n v="0"/>
    <n v="0"/>
    <n v="0"/>
    <n v="0"/>
    <n v="0"/>
    <n v="0"/>
    <n v="0"/>
    <n v="0"/>
    <n v="0"/>
  </r>
  <r>
    <s v="SYD/UTP"/>
    <s v="UTP"/>
    <x v="1"/>
    <x v="4"/>
    <x v="13"/>
    <x v="1"/>
    <x v="342"/>
    <n v="7417"/>
    <n v="18.5"/>
    <m/>
    <n v="0"/>
    <m/>
    <n v="0"/>
    <n v="0"/>
    <n v="0"/>
    <n v="0"/>
    <n v="0"/>
    <n v="0"/>
    <n v="0"/>
    <n v="0"/>
    <n v="0"/>
    <n v="0"/>
  </r>
  <r>
    <s v="SYD/FOC"/>
    <s v="FOC"/>
    <x v="1"/>
    <x v="3"/>
    <x v="23"/>
    <x v="1"/>
    <x v="343"/>
    <n v="7444"/>
    <n v="18.5"/>
    <m/>
    <n v="0"/>
    <m/>
    <n v="0"/>
    <n v="0"/>
    <n v="0"/>
    <n v="0"/>
    <n v="0"/>
    <n v="0"/>
    <n v="0"/>
    <n v="0"/>
    <n v="0"/>
    <n v="0"/>
  </r>
  <r>
    <s v="SYD/BHY"/>
    <s v="BHY"/>
    <x v="1"/>
    <x v="2"/>
    <x v="23"/>
    <x v="1"/>
    <x v="344"/>
    <n v="7598"/>
    <n v="18.75"/>
    <m/>
    <n v="0"/>
    <m/>
    <n v="0"/>
    <n v="0"/>
    <n v="0"/>
    <n v="0"/>
    <n v="0"/>
    <n v="0"/>
    <n v="0"/>
    <n v="0"/>
    <n v="0"/>
    <n v="0"/>
  </r>
  <r>
    <s v="SYD/VTE"/>
    <s v="VTE"/>
    <x v="1"/>
    <x v="2"/>
    <x v="98"/>
    <x v="1"/>
    <x v="345"/>
    <n v="7737"/>
    <n v="19"/>
    <m/>
    <n v="0"/>
    <m/>
    <n v="0"/>
    <n v="0"/>
    <n v="0"/>
    <n v="0"/>
    <n v="0"/>
    <n v="0"/>
    <n v="0"/>
    <n v="0"/>
    <n v="0"/>
    <n v="0"/>
  </r>
  <r>
    <s v="SYD/NGB"/>
    <s v="NGB"/>
    <x v="1"/>
    <x v="3"/>
    <x v="23"/>
    <x v="1"/>
    <x v="346"/>
    <n v="7750"/>
    <n v="19.25"/>
    <m/>
    <n v="0"/>
    <m/>
    <n v="0"/>
    <n v="0"/>
    <n v="0"/>
    <n v="0"/>
    <n v="0"/>
    <n v="0"/>
    <n v="0"/>
    <n v="0"/>
    <n v="0"/>
    <n v="0"/>
  </r>
  <r>
    <s v="SYD/NNG"/>
    <s v="NNG"/>
    <x v="1"/>
    <x v="5"/>
    <x v="23"/>
    <x v="1"/>
    <x v="347"/>
    <n v="7763"/>
    <n v="19.25"/>
    <m/>
    <n v="0"/>
    <m/>
    <n v="0"/>
    <n v="0"/>
    <n v="0"/>
    <n v="0"/>
    <n v="0"/>
    <n v="0"/>
    <n v="0"/>
    <n v="0"/>
    <n v="0"/>
    <n v="0"/>
  </r>
  <r>
    <s v="SYD/OIT"/>
    <s v="OIT"/>
    <x v="1"/>
    <x v="3"/>
    <x v="50"/>
    <x v="1"/>
    <x v="348"/>
    <n v="7769"/>
    <n v="19.25"/>
    <m/>
    <n v="0"/>
    <m/>
    <n v="0"/>
    <n v="0"/>
    <n v="0"/>
    <n v="0"/>
    <n v="0"/>
    <n v="0"/>
    <n v="0"/>
    <n v="0"/>
    <n v="0"/>
    <n v="0"/>
  </r>
  <r>
    <s v="SYD/JGS"/>
    <s v="JGS"/>
    <x v="1"/>
    <x v="2"/>
    <x v="23"/>
    <x v="1"/>
    <x v="349"/>
    <n v="7778"/>
    <n v="19.25"/>
    <m/>
    <n v="0"/>
    <m/>
    <n v="0"/>
    <n v="0"/>
    <n v="0"/>
    <n v="0"/>
    <n v="0"/>
    <n v="0"/>
    <n v="0"/>
    <n v="0"/>
    <n v="0"/>
    <n v="0"/>
  </r>
  <r>
    <s v="SYD/TXN"/>
    <s v="TXN"/>
    <x v="1"/>
    <x v="2"/>
    <x v="23"/>
    <x v="1"/>
    <x v="350"/>
    <n v="7882"/>
    <n v="19.5"/>
    <m/>
    <n v="0"/>
    <m/>
    <n v="0"/>
    <n v="0"/>
    <n v="0"/>
    <n v="0"/>
    <n v="0"/>
    <n v="0"/>
    <n v="0"/>
    <n v="0"/>
    <n v="0"/>
    <n v="0"/>
  </r>
  <r>
    <s v="SYD/KWL"/>
    <s v="KWL"/>
    <x v="1"/>
    <x v="3"/>
    <x v="23"/>
    <x v="1"/>
    <x v="351"/>
    <n v="7885"/>
    <n v="19.5"/>
    <m/>
    <n v="0"/>
    <m/>
    <n v="0"/>
    <n v="0"/>
    <n v="0"/>
    <n v="0"/>
    <n v="0"/>
    <n v="0"/>
    <n v="0"/>
    <n v="0"/>
    <n v="0"/>
    <n v="0"/>
  </r>
  <r>
    <s v="SYD/KHN"/>
    <s v="KHN"/>
    <x v="1"/>
    <x v="3"/>
    <x v="23"/>
    <x v="1"/>
    <x v="352"/>
    <n v="7910"/>
    <n v="19.5"/>
    <m/>
    <n v="0"/>
    <m/>
    <n v="0"/>
    <n v="0"/>
    <n v="0"/>
    <n v="0"/>
    <n v="0"/>
    <n v="0"/>
    <n v="0"/>
    <n v="0"/>
    <n v="0"/>
    <n v="0"/>
  </r>
  <r>
    <s v="SYD/CJU"/>
    <s v="CJU"/>
    <x v="1"/>
    <x v="0"/>
    <x v="99"/>
    <x v="1"/>
    <x v="353"/>
    <n v="7933"/>
    <n v="19.5"/>
    <m/>
    <n v="0"/>
    <m/>
    <n v="0"/>
    <n v="0"/>
    <n v="0"/>
    <n v="0"/>
    <n v="0"/>
    <n v="0"/>
    <n v="0"/>
    <n v="0"/>
    <n v="0"/>
    <n v="0"/>
  </r>
  <r>
    <s v="SYD/WUX"/>
    <s v="WUX"/>
    <x v="1"/>
    <x v="3"/>
    <x v="23"/>
    <x v="1"/>
    <x v="354"/>
    <n v="7960"/>
    <n v="19.5"/>
    <m/>
    <n v="0"/>
    <m/>
    <n v="0"/>
    <n v="0"/>
    <n v="0"/>
    <n v="0"/>
    <n v="0"/>
    <n v="0"/>
    <n v="0"/>
    <n v="0"/>
    <n v="0"/>
    <n v="0"/>
  </r>
  <r>
    <s v="SYD/JIU"/>
    <s v="JIU"/>
    <x v="1"/>
    <x v="4"/>
    <x v="23"/>
    <x v="1"/>
    <x v="355"/>
    <n v="7974"/>
    <n v="19.75"/>
    <m/>
    <n v="0"/>
    <m/>
    <n v="0"/>
    <n v="0"/>
    <n v="0"/>
    <n v="0"/>
    <n v="0"/>
    <n v="0"/>
    <n v="0"/>
    <n v="0"/>
    <n v="0"/>
    <n v="0"/>
  </r>
  <r>
    <s v="SYD/IXZ"/>
    <s v="IXZ"/>
    <x v="1"/>
    <x v="2"/>
    <x v="1"/>
    <x v="1"/>
    <x v="356"/>
    <n v="7985"/>
    <n v="19.75"/>
    <m/>
    <n v="0"/>
    <m/>
    <n v="0"/>
    <n v="0"/>
    <n v="0"/>
    <n v="0"/>
    <n v="0"/>
    <n v="0"/>
    <n v="0"/>
    <n v="0"/>
    <n v="0"/>
    <n v="0"/>
  </r>
  <r>
    <s v="SYD/AQG"/>
    <s v="AQG"/>
    <x v="1"/>
    <x v="4"/>
    <x v="23"/>
    <x v="1"/>
    <x v="357"/>
    <n v="8021"/>
    <n v="19.75"/>
    <m/>
    <n v="0"/>
    <m/>
    <n v="0"/>
    <n v="0"/>
    <n v="0"/>
    <n v="0"/>
    <n v="0"/>
    <n v="0"/>
    <n v="0"/>
    <n v="0"/>
    <n v="0"/>
    <n v="0"/>
  </r>
  <r>
    <s v="SYD/PUS"/>
    <s v="PUS"/>
    <x v="1"/>
    <x v="0"/>
    <x v="99"/>
    <x v="1"/>
    <x v="358"/>
    <n v="8029"/>
    <n v="19.75"/>
    <m/>
    <n v="0"/>
    <m/>
    <n v="0"/>
    <n v="0"/>
    <n v="0"/>
    <n v="0"/>
    <n v="0"/>
    <n v="0"/>
    <n v="0"/>
    <n v="0"/>
    <n v="0"/>
    <n v="0"/>
  </r>
  <r>
    <s v="SYD/CZX"/>
    <s v="CZX"/>
    <x v="1"/>
    <x v="2"/>
    <x v="23"/>
    <x v="1"/>
    <x v="359"/>
    <n v="8030"/>
    <n v="19.75"/>
    <m/>
    <n v="0"/>
    <m/>
    <n v="0"/>
    <n v="0"/>
    <n v="0"/>
    <n v="0"/>
    <n v="0"/>
    <n v="0"/>
    <n v="0"/>
    <n v="0"/>
    <n v="0"/>
    <n v="0"/>
  </r>
  <r>
    <s v="SYD/HIN"/>
    <s v="HIN"/>
    <x v="1"/>
    <x v="2"/>
    <x v="99"/>
    <x v="1"/>
    <x v="360"/>
    <n v="8046"/>
    <n v="19.75"/>
    <m/>
    <n v="0"/>
    <m/>
    <n v="0"/>
    <n v="0"/>
    <n v="0"/>
    <n v="0"/>
    <n v="0"/>
    <n v="0"/>
    <n v="0"/>
    <n v="0"/>
    <n v="0"/>
    <n v="0"/>
  </r>
  <r>
    <s v="SYD/KWJ"/>
    <s v="KWJ"/>
    <x v="1"/>
    <x v="3"/>
    <x v="99"/>
    <x v="1"/>
    <x v="361"/>
    <n v="8090"/>
    <n v="20"/>
    <m/>
    <n v="0"/>
    <m/>
    <n v="0"/>
    <n v="0"/>
    <n v="0"/>
    <n v="0"/>
    <n v="0"/>
    <n v="0"/>
    <n v="0"/>
    <n v="0"/>
    <n v="0"/>
    <n v="0"/>
  </r>
  <r>
    <s v="SYD/MWX"/>
    <s v="MWX"/>
    <x v="1"/>
    <x v="4"/>
    <x v="99"/>
    <x v="1"/>
    <x v="362"/>
    <n v="8090"/>
    <n v="20"/>
    <m/>
    <n v="0"/>
    <m/>
    <n v="0"/>
    <n v="0"/>
    <n v="0"/>
    <n v="0"/>
    <n v="0"/>
    <n v="0"/>
    <n v="0"/>
    <n v="0"/>
    <n v="0"/>
    <n v="0"/>
  </r>
  <r>
    <s v="SYD/TAE"/>
    <s v="TAE"/>
    <x v="1"/>
    <x v="2"/>
    <x v="99"/>
    <x v="1"/>
    <x v="363"/>
    <n v="8112"/>
    <n v="20"/>
    <m/>
    <n v="0"/>
    <m/>
    <n v="0"/>
    <n v="0"/>
    <n v="0"/>
    <n v="0"/>
    <n v="0"/>
    <n v="0"/>
    <n v="0"/>
    <n v="0"/>
    <n v="0"/>
    <n v="0"/>
  </r>
  <r>
    <s v="SYD/HFE"/>
    <s v="HFE"/>
    <x v="1"/>
    <x v="3"/>
    <x v="23"/>
    <x v="1"/>
    <x v="364"/>
    <n v="8126"/>
    <n v="20"/>
    <m/>
    <n v="0"/>
    <m/>
    <n v="0"/>
    <n v="0"/>
    <n v="0"/>
    <n v="0"/>
    <n v="0"/>
    <n v="0"/>
    <n v="0"/>
    <n v="0"/>
    <n v="0"/>
    <n v="0"/>
  </r>
  <r>
    <s v="SYD/CGD"/>
    <s v="CGD"/>
    <x v="1"/>
    <x v="2"/>
    <x v="23"/>
    <x v="1"/>
    <x v="365"/>
    <n v="8135"/>
    <n v="20"/>
    <m/>
    <n v="0"/>
    <m/>
    <n v="0"/>
    <n v="0"/>
    <n v="0"/>
    <n v="0"/>
    <n v="0"/>
    <n v="0"/>
    <n v="0"/>
    <n v="0"/>
    <n v="0"/>
    <n v="0"/>
  </r>
  <r>
    <s v="SYD/KUV"/>
    <s v="KUV"/>
    <x v="1"/>
    <x v="2"/>
    <x v="99"/>
    <x v="1"/>
    <x v="366"/>
    <n v="8177"/>
    <n v="20"/>
    <m/>
    <n v="0"/>
    <m/>
    <n v="0"/>
    <n v="0"/>
    <n v="0"/>
    <n v="0"/>
    <n v="0"/>
    <n v="0"/>
    <n v="0"/>
    <n v="0"/>
    <n v="0"/>
    <n v="0"/>
  </r>
  <r>
    <s v="SYD/KWE"/>
    <s v="KWE"/>
    <x v="1"/>
    <x v="3"/>
    <x v="23"/>
    <x v="1"/>
    <x v="367"/>
    <n v="8200"/>
    <n v="20.25"/>
    <m/>
    <n v="0"/>
    <m/>
    <n v="0"/>
    <n v="0"/>
    <n v="0"/>
    <n v="0"/>
    <n v="0"/>
    <n v="0"/>
    <n v="0"/>
    <n v="0"/>
    <n v="0"/>
    <n v="0"/>
  </r>
  <r>
    <s v="SYD/DYG"/>
    <s v="DYG"/>
    <x v="1"/>
    <x v="5"/>
    <x v="23"/>
    <x v="1"/>
    <x v="368"/>
    <n v="8217"/>
    <n v="20.25"/>
    <m/>
    <n v="0"/>
    <m/>
    <n v="0"/>
    <n v="0"/>
    <n v="0"/>
    <n v="0"/>
    <n v="0"/>
    <n v="0"/>
    <n v="0"/>
    <n v="0"/>
    <n v="0"/>
    <n v="0"/>
  </r>
  <r>
    <s v="SYD/BFU"/>
    <s v="BFU"/>
    <x v="1"/>
    <x v="3"/>
    <x v="23"/>
    <x v="1"/>
    <x v="369"/>
    <n v="8229"/>
    <n v="20.25"/>
    <m/>
    <n v="0"/>
    <m/>
    <n v="0"/>
    <n v="0"/>
    <n v="0"/>
    <n v="0"/>
    <n v="0"/>
    <n v="0"/>
    <n v="0"/>
    <n v="0"/>
    <n v="0"/>
    <n v="0"/>
  </r>
  <r>
    <s v="SYD/CJJ"/>
    <s v="CJJ"/>
    <x v="1"/>
    <x v="2"/>
    <x v="99"/>
    <x v="1"/>
    <x v="370"/>
    <n v="8233"/>
    <n v="20.25"/>
    <m/>
    <n v="0"/>
    <m/>
    <n v="0"/>
    <n v="0"/>
    <n v="0"/>
    <n v="0"/>
    <n v="0"/>
    <n v="0"/>
    <n v="0"/>
    <n v="0"/>
    <n v="0"/>
    <n v="0"/>
  </r>
  <r>
    <s v="SYD/YIH"/>
    <s v="YIH"/>
    <x v="1"/>
    <x v="5"/>
    <x v="23"/>
    <x v="1"/>
    <x v="371"/>
    <n v="8294"/>
    <n v="20.25"/>
    <m/>
    <n v="0"/>
    <m/>
    <n v="0"/>
    <n v="0"/>
    <n v="0"/>
    <n v="0"/>
    <n v="0"/>
    <n v="0"/>
    <n v="0"/>
    <n v="0"/>
    <n v="0"/>
    <n v="0"/>
  </r>
  <r>
    <s v="SYD/WJU"/>
    <s v="WJU"/>
    <x v="1"/>
    <x v="4"/>
    <x v="99"/>
    <x v="1"/>
    <x v="372"/>
    <n v="8295"/>
    <n v="20.25"/>
    <m/>
    <n v="0"/>
    <m/>
    <n v="0"/>
    <n v="0"/>
    <n v="0"/>
    <n v="0"/>
    <n v="0"/>
    <n v="0"/>
    <n v="0"/>
    <n v="0"/>
    <n v="0"/>
    <n v="0"/>
  </r>
  <r>
    <s v="SYD/XUZ"/>
    <s v="XUZ"/>
    <x v="1"/>
    <x v="2"/>
    <x v="23"/>
    <x v="1"/>
    <x v="373"/>
    <n v="8336"/>
    <n v="20.5"/>
    <m/>
    <n v="0"/>
    <m/>
    <n v="0"/>
    <n v="0"/>
    <n v="0"/>
    <n v="0"/>
    <n v="0"/>
    <n v="0"/>
    <n v="0"/>
    <n v="0"/>
    <n v="0"/>
    <n v="0"/>
  </r>
  <r>
    <s v="SYD/GMP"/>
    <s v="GMP"/>
    <x v="1"/>
    <x v="0"/>
    <x v="99"/>
    <x v="1"/>
    <x v="374"/>
    <n v="8343"/>
    <n v="20.5"/>
    <m/>
    <n v="0"/>
    <m/>
    <n v="0"/>
    <n v="0"/>
    <n v="0"/>
    <n v="0"/>
    <n v="0"/>
    <n v="0"/>
    <n v="0"/>
    <n v="0"/>
    <n v="0"/>
    <n v="0"/>
  </r>
  <r>
    <s v="SYD/ICN"/>
    <s v="ICN"/>
    <x v="1"/>
    <x v="1"/>
    <x v="99"/>
    <x v="1"/>
    <x v="375"/>
    <n v="8344"/>
    <n v="20.5"/>
    <m/>
    <n v="0"/>
    <m/>
    <n v="0"/>
    <n v="0"/>
    <n v="0"/>
    <n v="0"/>
    <n v="0"/>
    <n v="0"/>
    <n v="0"/>
    <n v="0"/>
    <n v="0"/>
    <n v="0"/>
  </r>
  <r>
    <s v="SYD/AOJ"/>
    <s v="AOJ"/>
    <x v="1"/>
    <x v="3"/>
    <x v="50"/>
    <x v="1"/>
    <x v="376"/>
    <n v="8375"/>
    <n v="20.5"/>
    <m/>
    <n v="0"/>
    <m/>
    <n v="0"/>
    <n v="0"/>
    <n v="0"/>
    <n v="0"/>
    <n v="0"/>
    <n v="0"/>
    <n v="0"/>
    <n v="0"/>
    <n v="0"/>
    <n v="0"/>
  </r>
  <r>
    <s v="SYD/ZAT"/>
    <s v="ZAT"/>
    <x v="1"/>
    <x v="4"/>
    <x v="23"/>
    <x v="1"/>
    <x v="377"/>
    <n v="8450"/>
    <n v="20.75"/>
    <m/>
    <n v="0"/>
    <m/>
    <n v="0"/>
    <n v="0"/>
    <n v="0"/>
    <n v="0"/>
    <n v="0"/>
    <n v="0"/>
    <n v="0"/>
    <n v="0"/>
    <n v="0"/>
    <n v="0"/>
  </r>
  <r>
    <s v="SYD/WEH"/>
    <s v="WEH"/>
    <x v="1"/>
    <x v="5"/>
    <x v="23"/>
    <x v="1"/>
    <x v="378"/>
    <n v="8460"/>
    <n v="20.75"/>
    <m/>
    <n v="0"/>
    <m/>
    <n v="0"/>
    <n v="0"/>
    <n v="0"/>
    <n v="0"/>
    <n v="0"/>
    <n v="0"/>
    <n v="0"/>
    <n v="0"/>
    <n v="0"/>
    <n v="0"/>
  </r>
  <r>
    <s v="SYD/WXN"/>
    <s v="WXN"/>
    <x v="1"/>
    <x v="2"/>
    <x v="23"/>
    <x v="1"/>
    <x v="379"/>
    <n v="8482"/>
    <n v="20.75"/>
    <m/>
    <n v="0"/>
    <m/>
    <n v="0"/>
    <n v="0"/>
    <n v="0"/>
    <n v="0"/>
    <n v="0"/>
    <n v="0"/>
    <n v="0"/>
    <n v="0"/>
    <n v="0"/>
    <n v="0"/>
  </r>
  <r>
    <s v="SYD/PZI"/>
    <s v="PZI"/>
    <x v="1"/>
    <x v="2"/>
    <x v="23"/>
    <x v="1"/>
    <x v="380"/>
    <n v="8507"/>
    <n v="20.75"/>
    <m/>
    <n v="0"/>
    <m/>
    <n v="0"/>
    <n v="0"/>
    <n v="0"/>
    <n v="0"/>
    <n v="0"/>
    <n v="0"/>
    <n v="0"/>
    <n v="0"/>
    <n v="0"/>
    <n v="0"/>
  </r>
  <r>
    <s v="SYD/JNG"/>
    <s v="JNG"/>
    <x v="1"/>
    <x v="2"/>
    <x v="23"/>
    <x v="1"/>
    <x v="381"/>
    <n v="8510"/>
    <n v="20.75"/>
    <m/>
    <n v="0"/>
    <m/>
    <n v="0"/>
    <n v="0"/>
    <n v="0"/>
    <n v="0"/>
    <n v="0"/>
    <n v="0"/>
    <n v="0"/>
    <n v="0"/>
    <n v="0"/>
    <n v="0"/>
  </r>
  <r>
    <s v="SYD/YNT"/>
    <s v="YNT"/>
    <x v="1"/>
    <x v="5"/>
    <x v="23"/>
    <x v="1"/>
    <x v="382"/>
    <n v="8514"/>
    <n v="20.75"/>
    <m/>
    <n v="0"/>
    <m/>
    <n v="0"/>
    <n v="0"/>
    <n v="0"/>
    <n v="0"/>
    <n v="0"/>
    <n v="0"/>
    <n v="0"/>
    <n v="0"/>
    <n v="0"/>
    <n v="0"/>
  </r>
  <r>
    <s v="SYD/WEF"/>
    <s v="WEF"/>
    <x v="1"/>
    <x v="5"/>
    <x v="23"/>
    <x v="1"/>
    <x v="383"/>
    <n v="8526"/>
    <n v="20.75"/>
    <m/>
    <n v="0"/>
    <m/>
    <n v="0"/>
    <n v="0"/>
    <n v="0"/>
    <n v="0"/>
    <n v="0"/>
    <n v="0"/>
    <n v="0"/>
    <n v="0"/>
    <n v="0"/>
    <n v="0"/>
  </r>
  <r>
    <s v="SYD/FNJ"/>
    <s v="FNJ"/>
    <x v="1"/>
    <x v="2"/>
    <x v="100"/>
    <x v="1"/>
    <x v="384"/>
    <n v="8551"/>
    <n v="21"/>
    <m/>
    <n v="0"/>
    <m/>
    <n v="0"/>
    <n v="0"/>
    <n v="0"/>
    <n v="0"/>
    <n v="0"/>
    <n v="0"/>
    <n v="0"/>
    <n v="0"/>
    <n v="0"/>
    <n v="0"/>
  </r>
  <r>
    <s v="SYD/XIC"/>
    <s v="XIC"/>
    <x v="1"/>
    <x v="2"/>
    <x v="23"/>
    <x v="1"/>
    <x v="385"/>
    <n v="8606"/>
    <n v="21"/>
    <m/>
    <n v="0"/>
    <m/>
    <n v="0"/>
    <n v="0"/>
    <n v="0"/>
    <n v="0"/>
    <n v="0"/>
    <n v="0"/>
    <n v="0"/>
    <n v="0"/>
    <n v="0"/>
    <n v="0"/>
  </r>
  <r>
    <s v="SYD/DDG"/>
    <s v="DDG"/>
    <x v="1"/>
    <x v="5"/>
    <x v="23"/>
    <x v="1"/>
    <x v="386"/>
    <n v="8678"/>
    <n v="21.25"/>
    <m/>
    <n v="0"/>
    <m/>
    <n v="0"/>
    <n v="0"/>
    <n v="0"/>
    <n v="0"/>
    <n v="0"/>
    <n v="0"/>
    <n v="0"/>
    <n v="0"/>
    <n v="0"/>
    <n v="0"/>
  </r>
  <r>
    <s v="SYD/YCU"/>
    <s v="YCU"/>
    <x v="1"/>
    <x v="2"/>
    <x v="23"/>
    <x v="1"/>
    <x v="387"/>
    <n v="8743"/>
    <n v="21.25"/>
    <m/>
    <n v="0"/>
    <m/>
    <n v="0"/>
    <n v="0"/>
    <n v="0"/>
    <n v="0"/>
    <n v="0"/>
    <n v="0"/>
    <n v="0"/>
    <n v="0"/>
    <n v="0"/>
    <n v="0"/>
  </r>
  <r>
    <s v="SYD/CIH"/>
    <s v="CIH"/>
    <x v="1"/>
    <x v="2"/>
    <x v="23"/>
    <x v="1"/>
    <x v="388"/>
    <n v="8748"/>
    <n v="21.25"/>
    <m/>
    <n v="0"/>
    <m/>
    <n v="0"/>
    <n v="0"/>
    <n v="0"/>
    <n v="0"/>
    <n v="0"/>
    <n v="0"/>
    <n v="0"/>
    <n v="0"/>
    <n v="0"/>
    <n v="0"/>
  </r>
  <r>
    <s v="SYD/DIG"/>
    <s v="DIG"/>
    <x v="1"/>
    <x v="2"/>
    <x v="23"/>
    <x v="1"/>
    <x v="389"/>
    <n v="8750"/>
    <n v="21.25"/>
    <m/>
    <n v="0"/>
    <m/>
    <n v="0"/>
    <n v="0"/>
    <n v="0"/>
    <n v="0"/>
    <n v="0"/>
    <n v="0"/>
    <n v="0"/>
    <n v="0"/>
    <n v="0"/>
    <n v="0"/>
  </r>
  <r>
    <s v="SYD/CMB"/>
    <s v="CMB"/>
    <x v="1"/>
    <x v="3"/>
    <x v="101"/>
    <x v="1"/>
    <x v="390"/>
    <n v="8765"/>
    <n v="21.25"/>
    <m/>
    <n v="0"/>
    <m/>
    <n v="0"/>
    <n v="0"/>
    <n v="0"/>
    <n v="0"/>
    <n v="0"/>
    <n v="0"/>
    <n v="0"/>
    <n v="0"/>
    <n v="0"/>
    <n v="0"/>
  </r>
  <r>
    <s v="SYD/YNJ"/>
    <s v="YNJ"/>
    <x v="1"/>
    <x v="5"/>
    <x v="23"/>
    <x v="1"/>
    <x v="391"/>
    <n v="8826"/>
    <n v="21.5"/>
    <m/>
    <n v="0"/>
    <m/>
    <n v="0"/>
    <n v="0"/>
    <n v="0"/>
    <n v="0"/>
    <n v="0"/>
    <n v="0"/>
    <n v="0"/>
    <n v="0"/>
    <n v="0"/>
    <n v="0"/>
  </r>
  <r>
    <s v="SYD/GAN"/>
    <s v="GAN"/>
    <x v="1"/>
    <x v="2"/>
    <x v="102"/>
    <x v="1"/>
    <x v="392"/>
    <n v="8864"/>
    <n v="21.5"/>
    <m/>
    <n v="0"/>
    <m/>
    <n v="0"/>
    <n v="0"/>
    <n v="0"/>
    <n v="0"/>
    <n v="0"/>
    <n v="0"/>
    <n v="0"/>
    <n v="0"/>
    <n v="0"/>
    <n v="0"/>
  </r>
  <r>
    <s v="SYD/SJW"/>
    <s v="SJW"/>
    <x v="1"/>
    <x v="3"/>
    <x v="23"/>
    <x v="1"/>
    <x v="393"/>
    <n v="8872"/>
    <n v="21.5"/>
    <m/>
    <n v="0"/>
    <m/>
    <n v="0"/>
    <n v="0"/>
    <n v="0"/>
    <n v="0"/>
    <n v="0"/>
    <n v="0"/>
    <n v="0"/>
    <n v="0"/>
    <n v="0"/>
    <n v="0"/>
  </r>
  <r>
    <s v="SYD/JNZ"/>
    <s v="JNZ"/>
    <x v="1"/>
    <x v="5"/>
    <x v="23"/>
    <x v="1"/>
    <x v="394"/>
    <n v="8898"/>
    <n v="21.75"/>
    <m/>
    <n v="0"/>
    <m/>
    <n v="0"/>
    <n v="0"/>
    <n v="0"/>
    <n v="0"/>
    <n v="0"/>
    <n v="0"/>
    <n v="0"/>
    <n v="0"/>
    <n v="0"/>
    <n v="0"/>
  </r>
  <r>
    <s v="SYD/IMF"/>
    <s v="IMF"/>
    <x v="1"/>
    <x v="2"/>
    <x v="1"/>
    <x v="1"/>
    <x v="395"/>
    <n v="8900"/>
    <n v="21.75"/>
    <m/>
    <n v="0"/>
    <m/>
    <n v="0"/>
    <n v="0"/>
    <n v="0"/>
    <n v="0"/>
    <n v="0"/>
    <n v="0"/>
    <n v="0"/>
    <n v="0"/>
    <n v="0"/>
    <n v="0"/>
  </r>
  <r>
    <s v="SYD/JZH"/>
    <s v="JZH"/>
    <x v="1"/>
    <x v="3"/>
    <x v="23"/>
    <x v="1"/>
    <x v="396"/>
    <n v="8935"/>
    <n v="21.75"/>
    <m/>
    <n v="0"/>
    <m/>
    <n v="0"/>
    <n v="0"/>
    <n v="0"/>
    <n v="0"/>
    <n v="0"/>
    <n v="0"/>
    <n v="0"/>
    <n v="0"/>
    <n v="0"/>
    <n v="0"/>
  </r>
  <r>
    <s v="SYD/ENY"/>
    <s v="ENY"/>
    <x v="1"/>
    <x v="2"/>
    <x v="23"/>
    <x v="1"/>
    <x v="397"/>
    <n v="8958"/>
    <n v="21.75"/>
    <m/>
    <n v="0"/>
    <m/>
    <n v="0"/>
    <n v="0"/>
    <n v="0"/>
    <n v="0"/>
    <n v="0"/>
    <n v="0"/>
    <n v="0"/>
    <n v="0"/>
    <n v="0"/>
    <n v="0"/>
  </r>
  <r>
    <s v="SYD/THQ"/>
    <s v="THQ"/>
    <x v="1"/>
    <x v="4"/>
    <x v="23"/>
    <x v="1"/>
    <x v="398"/>
    <n v="8962"/>
    <n v="21.75"/>
    <m/>
    <n v="0"/>
    <m/>
    <n v="0"/>
    <n v="0"/>
    <n v="0"/>
    <n v="0"/>
    <n v="0"/>
    <n v="0"/>
    <n v="0"/>
    <n v="0"/>
    <n v="0"/>
    <n v="0"/>
  </r>
  <r>
    <s v="SYD/PEK"/>
    <s v="PEK"/>
    <x v="1"/>
    <x v="1"/>
    <x v="23"/>
    <x v="1"/>
    <x v="399"/>
    <n v="8967"/>
    <n v="21.75"/>
    <m/>
    <n v="0"/>
    <m/>
    <n v="0"/>
    <n v="0"/>
    <n v="0"/>
    <n v="0"/>
    <n v="0"/>
    <n v="0"/>
    <n v="0"/>
    <n v="0"/>
    <n v="0"/>
    <n v="0"/>
  </r>
  <r>
    <s v="SYD/MDG"/>
    <s v="MDG"/>
    <x v="1"/>
    <x v="5"/>
    <x v="23"/>
    <x v="1"/>
    <x v="400"/>
    <n v="8997"/>
    <n v="22"/>
    <m/>
    <n v="0"/>
    <m/>
    <n v="0"/>
    <n v="0"/>
    <n v="0"/>
    <n v="0"/>
    <n v="0"/>
    <n v="0"/>
    <n v="0"/>
    <n v="0"/>
    <n v="0"/>
    <n v="0"/>
  </r>
  <r>
    <s v="SYD/JRH"/>
    <s v="JRH"/>
    <x v="1"/>
    <x v="4"/>
    <x v="1"/>
    <x v="1"/>
    <x v="401"/>
    <n v="9035"/>
    <n v="22"/>
    <m/>
    <n v="0"/>
    <m/>
    <n v="0"/>
    <n v="0"/>
    <n v="0"/>
    <n v="0"/>
    <n v="0"/>
    <n v="0"/>
    <n v="0"/>
    <n v="0"/>
    <n v="0"/>
    <n v="0"/>
  </r>
  <r>
    <s v="SYD/ZYL"/>
    <s v="ZYL"/>
    <x v="1"/>
    <x v="2"/>
    <x v="8"/>
    <x v="1"/>
    <x v="402"/>
    <n v="9062"/>
    <n v="22"/>
    <m/>
    <n v="0"/>
    <m/>
    <n v="0"/>
    <n v="0"/>
    <n v="0"/>
    <n v="0"/>
    <n v="0"/>
    <n v="0"/>
    <n v="0"/>
    <n v="0"/>
    <n v="0"/>
    <n v="0"/>
  </r>
  <r>
    <s v="SYD/TRV"/>
    <s v="TRV"/>
    <x v="1"/>
    <x v="3"/>
    <x v="1"/>
    <x v="1"/>
    <x v="403"/>
    <n v="9113"/>
    <n v="22.25"/>
    <m/>
    <n v="0"/>
    <m/>
    <n v="0"/>
    <n v="0"/>
    <n v="0"/>
    <n v="0"/>
    <n v="0"/>
    <n v="0"/>
    <n v="0"/>
    <n v="0"/>
    <n v="0"/>
    <n v="0"/>
  </r>
  <r>
    <s v="SYD/BPX"/>
    <s v="BPX"/>
    <x v="1"/>
    <x v="4"/>
    <x v="23"/>
    <x v="1"/>
    <x v="404"/>
    <n v="9145"/>
    <n v="22.25"/>
    <m/>
    <n v="0"/>
    <m/>
    <n v="0"/>
    <n v="0"/>
    <n v="0"/>
    <n v="0"/>
    <n v="0"/>
    <n v="0"/>
    <n v="0"/>
    <n v="0"/>
    <n v="0"/>
    <n v="0"/>
  </r>
  <r>
    <s v="SYD/GAU"/>
    <s v="GAU"/>
    <x v="1"/>
    <x v="3"/>
    <x v="1"/>
    <x v="1"/>
    <x v="405"/>
    <n v="9170"/>
    <n v="22.25"/>
    <m/>
    <n v="0"/>
    <m/>
    <n v="0"/>
    <n v="0"/>
    <n v="0"/>
    <n v="0"/>
    <n v="0"/>
    <n v="0"/>
    <n v="0"/>
    <n v="0"/>
    <n v="0"/>
    <n v="0"/>
  </r>
  <r>
    <s v="SYD/HRB"/>
    <s v="HRB"/>
    <x v="1"/>
    <x v="0"/>
    <x v="23"/>
    <x v="1"/>
    <x v="406"/>
    <n v="9198"/>
    <n v="22.25"/>
    <m/>
    <n v="0"/>
    <m/>
    <n v="0"/>
    <n v="0"/>
    <n v="0"/>
    <n v="0"/>
    <n v="0"/>
    <n v="0"/>
    <n v="0"/>
    <n v="0"/>
    <n v="0"/>
    <n v="0"/>
  </r>
  <r>
    <s v="SYD/VTZ"/>
    <s v="VTZ"/>
    <x v="1"/>
    <x v="2"/>
    <x v="1"/>
    <x v="1"/>
    <x v="407"/>
    <n v="9201"/>
    <n v="22.25"/>
    <m/>
    <n v="0"/>
    <m/>
    <n v="0"/>
    <n v="0"/>
    <n v="0"/>
    <n v="0"/>
    <n v="0"/>
    <n v="0"/>
    <n v="0"/>
    <n v="0"/>
    <n v="0"/>
    <n v="0"/>
  </r>
  <r>
    <s v="SYD/LZY"/>
    <s v="LZY"/>
    <x v="1"/>
    <x v="2"/>
    <x v="23"/>
    <x v="1"/>
    <x v="408"/>
    <n v="9228"/>
    <n v="22.5"/>
    <m/>
    <n v="0"/>
    <m/>
    <n v="0"/>
    <n v="0"/>
    <n v="0"/>
    <n v="0"/>
    <n v="0"/>
    <n v="0"/>
    <n v="0"/>
    <n v="0"/>
    <n v="0"/>
    <n v="0"/>
  </r>
  <r>
    <s v="SYD/HET"/>
    <s v="HET"/>
    <x v="1"/>
    <x v="3"/>
    <x v="23"/>
    <x v="1"/>
    <x v="409"/>
    <n v="9244"/>
    <n v="22.5"/>
    <m/>
    <n v="0"/>
    <m/>
    <n v="0"/>
    <n v="0"/>
    <n v="0"/>
    <n v="0"/>
    <n v="0"/>
    <n v="0"/>
    <n v="0"/>
    <n v="0"/>
    <n v="0"/>
    <n v="0"/>
  </r>
  <r>
    <s v="SYD/LHW"/>
    <s v="LHW"/>
    <x v="1"/>
    <x v="3"/>
    <x v="23"/>
    <x v="1"/>
    <x v="410"/>
    <n v="9258"/>
    <n v="22.5"/>
    <m/>
    <n v="0"/>
    <m/>
    <n v="0"/>
    <n v="0"/>
    <n v="0"/>
    <n v="0"/>
    <n v="0"/>
    <n v="0"/>
    <n v="0"/>
    <n v="0"/>
    <n v="0"/>
    <n v="0"/>
  </r>
  <r>
    <s v="SYD/COK"/>
    <s v="COK"/>
    <x v="1"/>
    <x v="3"/>
    <x v="1"/>
    <x v="1"/>
    <x v="411"/>
    <n v="9269"/>
    <n v="22.5"/>
    <m/>
    <n v="0"/>
    <m/>
    <n v="0"/>
    <n v="0"/>
    <n v="0"/>
    <n v="0"/>
    <n v="0"/>
    <n v="0"/>
    <n v="0"/>
    <n v="0"/>
    <n v="0"/>
    <n v="0"/>
  </r>
  <r>
    <s v="SYD/ZHY"/>
    <s v="ZHY"/>
    <x v="1"/>
    <x v="4"/>
    <x v="23"/>
    <x v="1"/>
    <x v="412"/>
    <n v="9269"/>
    <n v="22.5"/>
    <m/>
    <n v="0"/>
    <m/>
    <n v="0"/>
    <n v="0"/>
    <n v="0"/>
    <n v="0"/>
    <n v="0"/>
    <n v="0"/>
    <n v="0"/>
    <n v="0"/>
    <n v="0"/>
    <n v="0"/>
  </r>
  <r>
    <s v="SYD/CJB"/>
    <s v="CJB"/>
    <x v="1"/>
    <x v="3"/>
    <x v="1"/>
    <x v="1"/>
    <x v="413"/>
    <n v="9270"/>
    <n v="22.5"/>
    <m/>
    <n v="0"/>
    <m/>
    <n v="0"/>
    <n v="0"/>
    <n v="0"/>
    <n v="0"/>
    <n v="0"/>
    <n v="0"/>
    <n v="0"/>
    <n v="0"/>
    <n v="0"/>
    <n v="0"/>
  </r>
  <r>
    <s v="SYD/INC"/>
    <s v="INC"/>
    <x v="1"/>
    <x v="3"/>
    <x v="23"/>
    <x v="1"/>
    <x v="414"/>
    <n v="9271"/>
    <n v="22.5"/>
    <m/>
    <n v="0"/>
    <m/>
    <n v="0"/>
    <n v="0"/>
    <n v="0"/>
    <n v="0"/>
    <n v="0"/>
    <n v="0"/>
    <n v="0"/>
    <n v="0"/>
    <n v="0"/>
    <n v="0"/>
  </r>
  <r>
    <s v="SYD/XNN"/>
    <s v="XNN"/>
    <x v="1"/>
    <x v="3"/>
    <x v="23"/>
    <x v="1"/>
    <x v="415"/>
    <n v="9347"/>
    <n v="22.75"/>
    <m/>
    <n v="0"/>
    <m/>
    <n v="0"/>
    <n v="0"/>
    <n v="0"/>
    <n v="0"/>
    <n v="0"/>
    <n v="0"/>
    <n v="0"/>
    <n v="0"/>
    <n v="0"/>
    <n v="0"/>
  </r>
  <r>
    <s v="SYD/CCJ"/>
    <s v="CCJ"/>
    <x v="1"/>
    <x v="3"/>
    <x v="1"/>
    <x v="1"/>
    <x v="416"/>
    <n v="9373"/>
    <n v="22.75"/>
    <m/>
    <n v="0"/>
    <m/>
    <n v="0"/>
    <n v="0"/>
    <n v="0"/>
    <n v="0"/>
    <n v="0"/>
    <n v="0"/>
    <n v="0"/>
    <n v="0"/>
    <n v="0"/>
    <n v="0"/>
  </r>
  <r>
    <s v="SYD/NDG"/>
    <s v="NDG"/>
    <x v="1"/>
    <x v="5"/>
    <x v="23"/>
    <x v="1"/>
    <x v="417"/>
    <n v="9431"/>
    <n v="22.75"/>
    <m/>
    <n v="0"/>
    <m/>
    <n v="0"/>
    <n v="0"/>
    <n v="0"/>
    <n v="0"/>
    <n v="0"/>
    <n v="0"/>
    <n v="0"/>
    <n v="0"/>
    <n v="0"/>
    <n v="0"/>
  </r>
  <r>
    <s v="SYD/IXR"/>
    <s v="IXR"/>
    <x v="1"/>
    <x v="2"/>
    <x v="1"/>
    <x v="1"/>
    <x v="418"/>
    <n v="9432"/>
    <n v="22.75"/>
    <m/>
    <n v="0"/>
    <m/>
    <n v="0"/>
    <n v="0"/>
    <n v="0"/>
    <n v="0"/>
    <n v="0"/>
    <n v="0"/>
    <n v="0"/>
    <n v="0"/>
    <n v="0"/>
    <n v="0"/>
  </r>
  <r>
    <s v="SYD/IXB"/>
    <s v="IXB"/>
    <x v="1"/>
    <x v="2"/>
    <x v="1"/>
    <x v="1"/>
    <x v="419"/>
    <n v="9451"/>
    <n v="22.75"/>
    <m/>
    <n v="0"/>
    <m/>
    <n v="0"/>
    <n v="0"/>
    <n v="0"/>
    <n v="0"/>
    <n v="0"/>
    <n v="0"/>
    <n v="0"/>
    <n v="0"/>
    <n v="0"/>
    <n v="0"/>
  </r>
  <r>
    <s v="SYD/IXE"/>
    <s v="IXE"/>
    <x v="1"/>
    <x v="2"/>
    <x v="1"/>
    <x v="1"/>
    <x v="420"/>
    <n v="9586"/>
    <n v="23.25"/>
    <m/>
    <n v="0"/>
    <m/>
    <n v="0"/>
    <n v="0"/>
    <n v="0"/>
    <n v="0"/>
    <n v="0"/>
    <n v="0"/>
    <n v="0"/>
    <n v="0"/>
    <n v="0"/>
    <n v="0"/>
  </r>
  <r>
    <s v="SYD/KTM"/>
    <s v="KTM"/>
    <x v="1"/>
    <x v="3"/>
    <x v="103"/>
    <x v="1"/>
    <x v="421"/>
    <n v="9746"/>
    <n v="23.5"/>
    <m/>
    <n v="0"/>
    <m/>
    <n v="0"/>
    <n v="0"/>
    <n v="0"/>
    <n v="0"/>
    <n v="0"/>
    <n v="0"/>
    <n v="0"/>
    <n v="0"/>
    <n v="0"/>
    <n v="0"/>
  </r>
  <r>
    <s v="SYD/HLD"/>
    <s v="HLD"/>
    <x v="1"/>
    <x v="5"/>
    <x v="23"/>
    <x v="1"/>
    <x v="422"/>
    <n v="9754"/>
    <n v="23.5"/>
    <m/>
    <n v="0"/>
    <m/>
    <n v="0"/>
    <n v="0"/>
    <n v="0"/>
    <n v="0"/>
    <n v="0"/>
    <n v="0"/>
    <n v="0"/>
    <n v="0"/>
    <n v="0"/>
    <n v="0"/>
  </r>
  <r>
    <s v="SYD/GOQ"/>
    <s v="GOQ"/>
    <x v="1"/>
    <x v="4"/>
    <x v="23"/>
    <x v="1"/>
    <x v="423"/>
    <n v="9766"/>
    <n v="23.5"/>
    <m/>
    <n v="0"/>
    <m/>
    <n v="0"/>
    <n v="0"/>
    <n v="0"/>
    <n v="0"/>
    <n v="0"/>
    <n v="0"/>
    <n v="0"/>
    <n v="0"/>
    <n v="0"/>
    <n v="0"/>
  </r>
  <r>
    <s v="SYD/NAG"/>
    <s v="NAG"/>
    <x v="1"/>
    <x v="3"/>
    <x v="1"/>
    <x v="1"/>
    <x v="424"/>
    <n v="9777"/>
    <n v="23.5"/>
    <m/>
    <n v="0"/>
    <m/>
    <n v="0"/>
    <n v="0"/>
    <n v="0"/>
    <n v="0"/>
    <n v="0"/>
    <n v="0"/>
    <n v="0"/>
    <n v="0"/>
    <n v="0"/>
    <n v="0"/>
  </r>
  <r>
    <s v="SYD/COQ"/>
    <s v="COQ"/>
    <x v="1"/>
    <x v="4"/>
    <x v="51"/>
    <x v="1"/>
    <x v="425"/>
    <n v="9825"/>
    <n v="23.75"/>
    <m/>
    <n v="0"/>
    <m/>
    <n v="0"/>
    <n v="0"/>
    <n v="0"/>
    <n v="0"/>
    <n v="0"/>
    <n v="0"/>
    <n v="0"/>
    <n v="0"/>
    <n v="0"/>
    <n v="0"/>
  </r>
  <r>
    <s v="SYD/NZH"/>
    <s v="NZH"/>
    <x v="1"/>
    <x v="2"/>
    <x v="23"/>
    <x v="1"/>
    <x v="426"/>
    <n v="9871"/>
    <n v="23.75"/>
    <m/>
    <n v="0"/>
    <m/>
    <n v="0"/>
    <n v="0"/>
    <n v="0"/>
    <n v="0"/>
    <n v="0"/>
    <n v="0"/>
    <n v="0"/>
    <n v="0"/>
    <n v="0"/>
    <n v="0"/>
  </r>
  <r>
    <s v="SYD/LKO"/>
    <s v="LKO"/>
    <x v="1"/>
    <x v="3"/>
    <x v="1"/>
    <x v="1"/>
    <x v="427"/>
    <n v="10020"/>
    <n v="24"/>
    <m/>
    <n v="0"/>
    <m/>
    <n v="0"/>
    <n v="0"/>
    <n v="0"/>
    <n v="0"/>
    <n v="0"/>
    <n v="0"/>
    <n v="0"/>
    <n v="0"/>
    <n v="0"/>
    <n v="0"/>
  </r>
  <r>
    <s v="SYD/DNH"/>
    <s v="DNH"/>
    <x v="1"/>
    <x v="2"/>
    <x v="23"/>
    <x v="1"/>
    <x v="428"/>
    <n v="10067"/>
    <n v="24.25"/>
    <m/>
    <n v="0"/>
    <m/>
    <n v="0"/>
    <n v="0"/>
    <n v="0"/>
    <n v="0"/>
    <n v="0"/>
    <n v="0"/>
    <n v="0"/>
    <n v="0"/>
    <n v="0"/>
    <n v="0"/>
  </r>
  <r>
    <s v="SYD/BOM"/>
    <s v="BOM"/>
    <x v="1"/>
    <x v="1"/>
    <x v="1"/>
    <x v="1"/>
    <x v="429"/>
    <n v="10161"/>
    <n v="24.5"/>
    <m/>
    <n v="0"/>
    <m/>
    <n v="0"/>
    <n v="0"/>
    <n v="0"/>
    <n v="0"/>
    <n v="0"/>
    <n v="0"/>
    <n v="0"/>
    <n v="0"/>
    <n v="0"/>
    <n v="0"/>
  </r>
  <r>
    <s v="SYD/BYN"/>
    <s v="BYN"/>
    <x v="1"/>
    <x v="4"/>
    <x v="51"/>
    <x v="1"/>
    <x v="430"/>
    <n v="10246"/>
    <n v="24.5"/>
    <m/>
    <n v="0"/>
    <m/>
    <n v="0"/>
    <n v="0"/>
    <n v="0"/>
    <n v="0"/>
    <n v="0"/>
    <n v="0"/>
    <n v="0"/>
    <n v="0"/>
    <n v="0"/>
    <n v="0"/>
  </r>
  <r>
    <s v="SYD/IXC"/>
    <s v="IXC"/>
    <x v="1"/>
    <x v="2"/>
    <x v="1"/>
    <x v="1"/>
    <x v="431"/>
    <n v="10603"/>
    <n v="25.5"/>
    <m/>
    <n v="0"/>
    <m/>
    <n v="0"/>
    <n v="0"/>
    <n v="0"/>
    <n v="0"/>
    <n v="0"/>
    <n v="0"/>
    <n v="0"/>
    <n v="0"/>
    <n v="0"/>
    <n v="0"/>
  </r>
  <r>
    <s v="SYD/JDH"/>
    <s v="JDH"/>
    <x v="1"/>
    <x v="2"/>
    <x v="1"/>
    <x v="1"/>
    <x v="432"/>
    <n v="10609"/>
    <n v="25.5"/>
    <m/>
    <n v="0"/>
    <m/>
    <n v="0"/>
    <n v="0"/>
    <n v="0"/>
    <n v="0"/>
    <n v="0"/>
    <n v="0"/>
    <n v="0"/>
    <n v="0"/>
    <n v="0"/>
    <n v="0"/>
  </r>
  <r>
    <s v="SYD/JGA"/>
    <s v="JGA"/>
    <x v="1"/>
    <x v="4"/>
    <x v="1"/>
    <x v="1"/>
    <x v="433"/>
    <n v="10620"/>
    <n v="25.5"/>
    <m/>
    <n v="0"/>
    <m/>
    <n v="0"/>
    <n v="0"/>
    <n v="0"/>
    <n v="0"/>
    <n v="0"/>
    <n v="0"/>
    <n v="0"/>
    <n v="0"/>
    <n v="0"/>
    <n v="0"/>
  </r>
  <r>
    <s v="SYD/KRL"/>
    <s v="KRL"/>
    <x v="1"/>
    <x v="2"/>
    <x v="23"/>
    <x v="1"/>
    <x v="434"/>
    <n v="10713"/>
    <n v="25.75"/>
    <m/>
    <n v="0"/>
    <m/>
    <n v="0"/>
    <n v="0"/>
    <n v="0"/>
    <n v="0"/>
    <n v="0"/>
    <n v="0"/>
    <n v="0"/>
    <n v="0"/>
    <n v="0"/>
    <n v="0"/>
  </r>
  <r>
    <s v="SYD/IXL"/>
    <s v="IXL"/>
    <x v="1"/>
    <x v="2"/>
    <x v="1"/>
    <x v="1"/>
    <x v="435"/>
    <n v="10775"/>
    <n v="25.75"/>
    <m/>
    <n v="0"/>
    <m/>
    <n v="0"/>
    <n v="0"/>
    <n v="0"/>
    <n v="0"/>
    <n v="0"/>
    <n v="0"/>
    <n v="0"/>
    <n v="0"/>
    <n v="0"/>
    <n v="0"/>
  </r>
  <r>
    <s v="SYD/HTN"/>
    <s v="HTN"/>
    <x v="1"/>
    <x v="2"/>
    <x v="23"/>
    <x v="1"/>
    <x v="436"/>
    <n v="10803"/>
    <n v="25.75"/>
    <m/>
    <n v="0"/>
    <m/>
    <n v="0"/>
    <n v="0"/>
    <n v="0"/>
    <n v="0"/>
    <n v="0"/>
    <n v="0"/>
    <n v="0"/>
    <n v="0"/>
    <n v="0"/>
    <n v="0"/>
  </r>
  <r>
    <s v="SYD/ATQ"/>
    <s v="ATQ"/>
    <x v="1"/>
    <x v="2"/>
    <x v="1"/>
    <x v="1"/>
    <x v="437"/>
    <n v="10823"/>
    <n v="26"/>
    <m/>
    <n v="0"/>
    <m/>
    <n v="0"/>
    <n v="0"/>
    <n v="0"/>
    <n v="0"/>
    <n v="0"/>
    <n v="0"/>
    <n v="0"/>
    <n v="0"/>
    <n v="0"/>
    <n v="0"/>
  </r>
  <r>
    <s v="SYD/LYP"/>
    <s v="LYP"/>
    <x v="1"/>
    <x v="2"/>
    <x v="2"/>
    <x v="1"/>
    <x v="438"/>
    <n v="10941"/>
    <n v="26.25"/>
    <m/>
    <n v="0"/>
    <m/>
    <n v="0"/>
    <n v="0"/>
    <n v="0"/>
    <n v="0"/>
    <n v="0"/>
    <n v="0"/>
    <n v="0"/>
    <n v="0"/>
    <n v="0"/>
    <n v="0"/>
  </r>
  <r>
    <s v="SYD/RYK"/>
    <s v="RYK"/>
    <x v="1"/>
    <x v="4"/>
    <x v="2"/>
    <x v="1"/>
    <x v="439"/>
    <n v="10969"/>
    <n v="26.25"/>
    <m/>
    <n v="0"/>
    <m/>
    <n v="0"/>
    <n v="0"/>
    <n v="0"/>
    <n v="0"/>
    <n v="0"/>
    <n v="0"/>
    <n v="0"/>
    <n v="0"/>
    <n v="0"/>
    <n v="0"/>
  </r>
  <r>
    <s v="SYD/MUX"/>
    <s v="MUX"/>
    <x v="1"/>
    <x v="2"/>
    <x v="2"/>
    <x v="1"/>
    <x v="440"/>
    <n v="10992"/>
    <n v="26.25"/>
    <m/>
    <n v="0"/>
    <m/>
    <n v="0"/>
    <n v="0"/>
    <n v="0"/>
    <n v="0"/>
    <n v="0"/>
    <n v="0"/>
    <n v="0"/>
    <n v="0"/>
    <n v="0"/>
    <n v="0"/>
  </r>
  <r>
    <s v="SYD/SKZ"/>
    <s v="SKZ"/>
    <x v="1"/>
    <x v="2"/>
    <x v="2"/>
    <x v="1"/>
    <x v="441"/>
    <n v="11050"/>
    <n v="26.5"/>
    <m/>
    <n v="0"/>
    <m/>
    <n v="0"/>
    <n v="0"/>
    <n v="0"/>
    <n v="0"/>
    <n v="0"/>
    <n v="0"/>
    <n v="0"/>
    <n v="0"/>
    <n v="0"/>
    <n v="0"/>
  </r>
  <r>
    <s v="SYD/KRY"/>
    <s v="KRY"/>
    <x v="1"/>
    <x v="4"/>
    <x v="23"/>
    <x v="1"/>
    <x v="442"/>
    <n v="11057"/>
    <n v="26.5"/>
    <m/>
    <n v="0"/>
    <m/>
    <n v="0"/>
    <n v="0"/>
    <n v="0"/>
    <n v="0"/>
    <n v="0"/>
    <n v="0"/>
    <n v="0"/>
    <n v="0"/>
    <n v="0"/>
    <n v="0"/>
  </r>
  <r>
    <s v="SYD/SCT"/>
    <s v="SCT"/>
    <x v="1"/>
    <x v="4"/>
    <x v="12"/>
    <x v="1"/>
    <x v="443"/>
    <n v="11453"/>
    <n v="27.25"/>
    <m/>
    <n v="0"/>
    <m/>
    <n v="0"/>
    <n v="0"/>
    <n v="0"/>
    <n v="0"/>
    <n v="0"/>
    <n v="0"/>
    <n v="0"/>
    <n v="0"/>
    <n v="0"/>
    <n v="0"/>
  </r>
  <r>
    <s v="SYD/OSS"/>
    <s v="OSS"/>
    <x v="1"/>
    <x v="2"/>
    <x v="39"/>
    <x v="1"/>
    <x v="444"/>
    <n v="11533"/>
    <n v="27.5"/>
    <m/>
    <n v="0"/>
    <m/>
    <n v="0"/>
    <n v="0"/>
    <n v="0"/>
    <n v="0"/>
    <n v="0"/>
    <n v="0"/>
    <n v="0"/>
    <n v="0"/>
    <n v="0"/>
    <n v="0"/>
  </r>
  <r>
    <s v="SYD/SLL"/>
    <s v="SLL"/>
    <x v="1"/>
    <x v="2"/>
    <x v="48"/>
    <x v="1"/>
    <x v="445"/>
    <n v="11696"/>
    <n v="27.75"/>
    <m/>
    <n v="0"/>
    <m/>
    <n v="0"/>
    <n v="0"/>
    <n v="0"/>
    <n v="0"/>
    <n v="0"/>
    <n v="0"/>
    <n v="0"/>
    <n v="0"/>
    <n v="0"/>
    <n v="0"/>
  </r>
  <r>
    <s v="SYD/DYU"/>
    <s v="DYU"/>
    <x v="1"/>
    <x v="2"/>
    <x v="104"/>
    <x v="1"/>
    <x v="446"/>
    <n v="11697"/>
    <n v="27.75"/>
    <m/>
    <n v="0"/>
    <m/>
    <n v="0"/>
    <n v="0"/>
    <n v="0"/>
    <n v="0"/>
    <n v="0"/>
    <n v="0"/>
    <n v="0"/>
    <n v="0"/>
    <n v="0"/>
    <n v="0"/>
  </r>
  <r>
    <s v="SYD/ACZ"/>
    <s v="ACZ"/>
    <x v="1"/>
    <x v="4"/>
    <x v="20"/>
    <x v="1"/>
    <x v="447"/>
    <n v="11844"/>
    <n v="28.25"/>
    <m/>
    <n v="0"/>
    <m/>
    <n v="0"/>
    <n v="0"/>
    <n v="0"/>
    <n v="0"/>
    <n v="0"/>
    <n v="0"/>
    <n v="0"/>
    <n v="0"/>
    <n v="0"/>
    <n v="0"/>
  </r>
  <r>
    <s v="SYD/SKD"/>
    <s v="SKD"/>
    <x v="1"/>
    <x v="2"/>
    <x v="25"/>
    <x v="1"/>
    <x v="448"/>
    <n v="11899"/>
    <n v="28.25"/>
    <m/>
    <n v="0"/>
    <m/>
    <n v="0"/>
    <n v="0"/>
    <n v="0"/>
    <n v="0"/>
    <n v="0"/>
    <n v="0"/>
    <n v="0"/>
    <n v="0"/>
    <n v="0"/>
    <n v="0"/>
  </r>
  <r>
    <s v="SYD/FJR"/>
    <s v="FJR"/>
    <x v="1"/>
    <x v="4"/>
    <x v="52"/>
    <x v="1"/>
    <x v="449"/>
    <n v="11955"/>
    <n v="28.25"/>
    <m/>
    <n v="0"/>
    <m/>
    <n v="0"/>
    <n v="0"/>
    <n v="0"/>
    <n v="0"/>
    <n v="0"/>
    <n v="0"/>
    <n v="0"/>
    <n v="0"/>
    <n v="0"/>
    <n v="0"/>
  </r>
  <r>
    <s v="SYD/AAN"/>
    <s v="AAN"/>
    <x v="1"/>
    <x v="2"/>
    <x v="52"/>
    <x v="1"/>
    <x v="450"/>
    <n v="11971"/>
    <n v="28.5"/>
    <m/>
    <n v="0"/>
    <m/>
    <n v="0"/>
    <n v="0"/>
    <n v="0"/>
    <n v="0"/>
    <n v="0"/>
    <n v="0"/>
    <n v="0"/>
    <n v="0"/>
    <n v="0"/>
    <n v="0"/>
  </r>
  <r>
    <s v="SYD/RKT"/>
    <s v="RKT"/>
    <x v="1"/>
    <x v="2"/>
    <x v="52"/>
    <x v="1"/>
    <x v="451"/>
    <n v="12017"/>
    <n v="28.5"/>
    <m/>
    <n v="0"/>
    <m/>
    <n v="0"/>
    <n v="0"/>
    <n v="0"/>
    <n v="0"/>
    <n v="0"/>
    <n v="0"/>
    <n v="0"/>
    <n v="0"/>
    <n v="0"/>
    <n v="0"/>
  </r>
  <r>
    <s v="SYD/SHJ"/>
    <s v="SHJ"/>
    <x v="1"/>
    <x v="3"/>
    <x v="52"/>
    <x v="1"/>
    <x v="452"/>
    <n v="12038"/>
    <n v="28.5"/>
    <m/>
    <n v="0"/>
    <m/>
    <n v="0"/>
    <n v="0"/>
    <n v="0"/>
    <n v="0"/>
    <n v="0"/>
    <n v="0"/>
    <n v="0"/>
    <n v="0"/>
    <n v="0"/>
    <n v="0"/>
  </r>
  <r>
    <s v="SYD/DWC"/>
    <s v="DWC"/>
    <x v="1"/>
    <x v="5"/>
    <x v="52"/>
    <x v="1"/>
    <x v="453"/>
    <n v="12045"/>
    <n v="28.5"/>
    <m/>
    <n v="0"/>
    <m/>
    <n v="0"/>
    <n v="0"/>
    <n v="0"/>
    <n v="0"/>
    <n v="0"/>
    <n v="0"/>
    <n v="0"/>
    <n v="0"/>
    <n v="0"/>
    <n v="0"/>
  </r>
  <r>
    <s v="SYD/DXB"/>
    <s v="DXB"/>
    <x v="1"/>
    <x v="1"/>
    <x v="52"/>
    <x v="1"/>
    <x v="454"/>
    <n v="12047"/>
    <n v="28.5"/>
    <m/>
    <n v="0"/>
    <m/>
    <n v="0"/>
    <n v="0"/>
    <n v="0"/>
    <n v="0"/>
    <n v="0"/>
    <n v="0"/>
    <n v="0"/>
    <n v="0"/>
    <n v="0"/>
    <n v="0"/>
  </r>
  <r>
    <s v="SYD/BND"/>
    <s v="BND"/>
    <x v="1"/>
    <x v="2"/>
    <x v="20"/>
    <x v="1"/>
    <x v="455"/>
    <n v="12066"/>
    <n v="28.5"/>
    <m/>
    <n v="0"/>
    <m/>
    <n v="0"/>
    <n v="0"/>
    <n v="0"/>
    <n v="0"/>
    <n v="0"/>
    <n v="0"/>
    <n v="0"/>
    <n v="0"/>
    <n v="0"/>
    <n v="0"/>
  </r>
  <r>
    <s v="SYD/GXF"/>
    <s v="GXF"/>
    <x v="1"/>
    <x v="4"/>
    <x v="12"/>
    <x v="1"/>
    <x v="456"/>
    <n v="12117"/>
    <n v="28.75"/>
    <m/>
    <n v="0"/>
    <m/>
    <n v="0"/>
    <n v="0"/>
    <n v="0"/>
    <n v="0"/>
    <n v="0"/>
    <n v="0"/>
    <n v="0"/>
    <n v="0"/>
    <n v="0"/>
    <n v="0"/>
  </r>
  <r>
    <s v="SYD/KER"/>
    <s v="KER"/>
    <x v="1"/>
    <x v="2"/>
    <x v="20"/>
    <x v="1"/>
    <x v="457"/>
    <n v="12182"/>
    <n v="28.75"/>
    <m/>
    <n v="0"/>
    <m/>
    <n v="0"/>
    <n v="0"/>
    <n v="0"/>
    <n v="0"/>
    <n v="0"/>
    <n v="0"/>
    <n v="0"/>
    <n v="0"/>
    <n v="0"/>
    <n v="0"/>
  </r>
  <r>
    <s v="SYD/MHD"/>
    <s v="MHD"/>
    <x v="1"/>
    <x v="3"/>
    <x v="20"/>
    <x v="1"/>
    <x v="458"/>
    <n v="12275"/>
    <n v="29"/>
    <m/>
    <n v="0"/>
    <m/>
    <n v="0"/>
    <n v="0"/>
    <n v="0"/>
    <n v="0"/>
    <n v="0"/>
    <n v="0"/>
    <n v="0"/>
    <n v="0"/>
    <n v="0"/>
    <n v="0"/>
  </r>
  <r>
    <s v="SYD/SHW"/>
    <s v="SHW"/>
    <x v="1"/>
    <x v="2"/>
    <x v="24"/>
    <x v="1"/>
    <x v="459"/>
    <n v="12355"/>
    <n v="29.25"/>
    <m/>
    <n v="0"/>
    <m/>
    <n v="0"/>
    <n v="0"/>
    <n v="0"/>
    <n v="0"/>
    <n v="0"/>
    <n v="0"/>
    <n v="0"/>
    <n v="0"/>
    <n v="0"/>
    <n v="0"/>
  </r>
  <r>
    <s v="SYD/DOH"/>
    <s v="DOH"/>
    <x v="1"/>
    <x v="0"/>
    <x v="105"/>
    <x v="1"/>
    <x v="460"/>
    <n v="12381"/>
    <n v="29.25"/>
    <m/>
    <n v="0"/>
    <m/>
    <n v="0"/>
    <n v="0"/>
    <n v="0"/>
    <n v="0"/>
    <n v="0"/>
    <n v="0"/>
    <n v="0"/>
    <n v="0"/>
    <n v="0"/>
    <n v="0"/>
  </r>
  <r>
    <s v="SYD/TAI"/>
    <s v="TAI"/>
    <x v="1"/>
    <x v="4"/>
    <x v="12"/>
    <x v="1"/>
    <x v="461"/>
    <n v="12413"/>
    <n v="29.5"/>
    <m/>
    <n v="0"/>
    <m/>
    <n v="0"/>
    <n v="0"/>
    <n v="0"/>
    <n v="0"/>
    <n v="0"/>
    <n v="0"/>
    <n v="0"/>
    <n v="0"/>
    <n v="0"/>
    <n v="0"/>
  </r>
  <r>
    <s v="SYD/AZD"/>
    <s v="AZD"/>
    <x v="1"/>
    <x v="2"/>
    <x v="20"/>
    <x v="1"/>
    <x v="462"/>
    <n v="12492"/>
    <n v="29.5"/>
    <m/>
    <n v="0"/>
    <m/>
    <n v="0"/>
    <n v="0"/>
    <n v="0"/>
    <n v="0"/>
    <n v="0"/>
    <n v="0"/>
    <n v="0"/>
    <n v="0"/>
    <n v="0"/>
    <n v="0"/>
  </r>
  <r>
    <s v="SYD/SYZ"/>
    <s v="SYZ"/>
    <x v="1"/>
    <x v="3"/>
    <x v="20"/>
    <x v="1"/>
    <x v="463"/>
    <n v="12515"/>
    <n v="29.5"/>
    <m/>
    <n v="0"/>
    <m/>
    <n v="0"/>
    <n v="0"/>
    <n v="0"/>
    <n v="0"/>
    <n v="0"/>
    <n v="0"/>
    <n v="0"/>
    <n v="0"/>
    <n v="0"/>
    <n v="0"/>
  </r>
  <r>
    <s v="SYD/BAH"/>
    <s v="BAH"/>
    <x v="1"/>
    <x v="3"/>
    <x v="106"/>
    <x v="1"/>
    <x v="464"/>
    <n v="12517"/>
    <n v="29.5"/>
    <m/>
    <n v="0"/>
    <m/>
    <n v="0"/>
    <n v="0"/>
    <n v="0"/>
    <n v="0"/>
    <n v="0"/>
    <n v="0"/>
    <n v="0"/>
    <n v="0"/>
    <n v="0"/>
    <n v="0"/>
  </r>
  <r>
    <s v="SYD/HOF"/>
    <s v="HOF"/>
    <x v="1"/>
    <x v="4"/>
    <x v="24"/>
    <x v="1"/>
    <x v="465"/>
    <n v="12567"/>
    <n v="29.75"/>
    <m/>
    <n v="0"/>
    <m/>
    <n v="0"/>
    <n v="0"/>
    <n v="0"/>
    <n v="0"/>
    <n v="0"/>
    <n v="0"/>
    <n v="0"/>
    <n v="0"/>
    <n v="0"/>
    <n v="0"/>
  </r>
  <r>
    <s v="SYD/HOD"/>
    <s v="HOD"/>
    <x v="1"/>
    <x v="4"/>
    <x v="12"/>
    <x v="1"/>
    <x v="466"/>
    <n v="12582"/>
    <n v="29.75"/>
    <m/>
    <n v="0"/>
    <m/>
    <n v="0"/>
    <n v="0"/>
    <n v="0"/>
    <n v="0"/>
    <n v="0"/>
    <n v="0"/>
    <n v="0"/>
    <n v="0"/>
    <n v="0"/>
    <n v="0"/>
  </r>
  <r>
    <s v="SYD/EAM"/>
    <s v="EAM"/>
    <x v="1"/>
    <x v="2"/>
    <x v="24"/>
    <x v="1"/>
    <x v="467"/>
    <n v="12611"/>
    <n v="29.75"/>
    <m/>
    <n v="0"/>
    <m/>
    <n v="0"/>
    <n v="0"/>
    <n v="0"/>
    <n v="0"/>
    <n v="0"/>
    <n v="0"/>
    <n v="0"/>
    <n v="0"/>
    <n v="0"/>
    <n v="0"/>
  </r>
  <r>
    <s v="SYD/WAE"/>
    <s v="WAE"/>
    <x v="1"/>
    <x v="2"/>
    <x v="24"/>
    <x v="1"/>
    <x v="468"/>
    <n v="12698"/>
    <n v="30"/>
    <m/>
    <n v="0"/>
    <m/>
    <n v="0"/>
    <n v="0"/>
    <n v="0"/>
    <n v="0"/>
    <n v="0"/>
    <n v="0"/>
    <n v="0"/>
    <n v="0"/>
    <n v="0"/>
    <n v="0"/>
  </r>
  <r>
    <s v="SYD/IFN"/>
    <s v="IFN"/>
    <x v="1"/>
    <x v="3"/>
    <x v="20"/>
    <x v="1"/>
    <x v="469"/>
    <n v="12737"/>
    <n v="30"/>
    <m/>
    <n v="0"/>
    <m/>
    <n v="0"/>
    <n v="0"/>
    <n v="0"/>
    <n v="0"/>
    <n v="0"/>
    <n v="0"/>
    <n v="0"/>
    <n v="0"/>
    <n v="0"/>
    <n v="0"/>
  </r>
  <r>
    <s v="SYD/GIZ"/>
    <s v="GIZ"/>
    <x v="1"/>
    <x v="2"/>
    <x v="24"/>
    <x v="1"/>
    <x v="470"/>
    <n v="12740"/>
    <n v="30"/>
    <m/>
    <n v="0"/>
    <m/>
    <n v="0"/>
    <n v="0"/>
    <n v="0"/>
    <n v="0"/>
    <n v="0"/>
    <n v="0"/>
    <n v="0"/>
    <n v="0"/>
    <n v="0"/>
    <n v="0"/>
  </r>
  <r>
    <s v="SYD/KWI"/>
    <s v="KWI"/>
    <x v="1"/>
    <x v="0"/>
    <x v="107"/>
    <x v="1"/>
    <x v="471"/>
    <n v="12900"/>
    <n v="30.5"/>
    <m/>
    <n v="0"/>
    <m/>
    <n v="0"/>
    <n v="0"/>
    <n v="0"/>
    <n v="0"/>
    <n v="0"/>
    <n v="0"/>
    <n v="0"/>
    <n v="0"/>
    <n v="0"/>
    <n v="0"/>
  </r>
  <r>
    <s v="SYD/BHH"/>
    <s v="BHH"/>
    <x v="1"/>
    <x v="2"/>
    <x v="24"/>
    <x v="1"/>
    <x v="472"/>
    <n v="12906"/>
    <n v="30.5"/>
    <m/>
    <n v="0"/>
    <m/>
    <n v="0"/>
    <n v="0"/>
    <n v="0"/>
    <n v="0"/>
    <n v="0"/>
    <n v="0"/>
    <n v="0"/>
    <n v="0"/>
    <n v="0"/>
    <n v="0"/>
  </r>
  <r>
    <s v="SYD/DWD"/>
    <s v="DWD"/>
    <x v="1"/>
    <x v="4"/>
    <x v="24"/>
    <x v="1"/>
    <x v="473"/>
    <n v="13003"/>
    <n v="30.75"/>
    <m/>
    <n v="0"/>
    <m/>
    <n v="0"/>
    <n v="0"/>
    <n v="0"/>
    <n v="0"/>
    <n v="0"/>
    <n v="0"/>
    <n v="0"/>
    <n v="0"/>
    <n v="0"/>
    <n v="0"/>
  </r>
  <r>
    <s v="SYD/ABT"/>
    <s v="ABT"/>
    <x v="1"/>
    <x v="2"/>
    <x v="24"/>
    <x v="1"/>
    <x v="474"/>
    <n v="13013"/>
    <n v="30.75"/>
    <m/>
    <n v="0"/>
    <m/>
    <n v="0"/>
    <n v="0"/>
    <n v="0"/>
    <n v="0"/>
    <n v="0"/>
    <n v="0"/>
    <n v="0"/>
    <n v="0"/>
    <n v="0"/>
    <n v="0"/>
  </r>
  <r>
    <s v="SYD/AQI"/>
    <s v="AQI"/>
    <x v="1"/>
    <x v="2"/>
    <x v="24"/>
    <x v="1"/>
    <x v="475"/>
    <n v="13018"/>
    <n v="30.75"/>
    <m/>
    <n v="0"/>
    <m/>
    <n v="0"/>
    <n v="0"/>
    <n v="0"/>
    <n v="0"/>
    <n v="0"/>
    <n v="0"/>
    <n v="0"/>
    <n v="0"/>
    <n v="0"/>
    <n v="0"/>
  </r>
  <r>
    <s v="SYD/HBT"/>
    <s v="HBT"/>
    <x v="1"/>
    <x v="4"/>
    <x v="24"/>
    <x v="1"/>
    <x v="476"/>
    <n v="13049"/>
    <n v="30.75"/>
    <m/>
    <n v="0"/>
    <m/>
    <n v="0"/>
    <n v="0"/>
    <n v="0"/>
    <n v="0"/>
    <n v="0"/>
    <n v="0"/>
    <n v="0"/>
    <n v="0"/>
    <n v="0"/>
    <n v="0"/>
  </r>
  <r>
    <s v="SYD/ELQ"/>
    <s v="ELQ"/>
    <x v="1"/>
    <x v="2"/>
    <x v="24"/>
    <x v="1"/>
    <x v="477"/>
    <n v="13127"/>
    <n v="31"/>
    <m/>
    <n v="0"/>
    <m/>
    <n v="0"/>
    <n v="0"/>
    <n v="0"/>
    <n v="0"/>
    <n v="0"/>
    <n v="0"/>
    <n v="0"/>
    <n v="0"/>
    <n v="0"/>
    <n v="0"/>
  </r>
  <r>
    <s v="SYD/TIF"/>
    <s v="TIF"/>
    <x v="1"/>
    <x v="2"/>
    <x v="24"/>
    <x v="1"/>
    <x v="478"/>
    <n v="13175"/>
    <n v="31"/>
    <m/>
    <n v="0"/>
    <m/>
    <n v="0"/>
    <n v="0"/>
    <n v="0"/>
    <n v="0"/>
    <n v="0"/>
    <n v="0"/>
    <n v="0"/>
    <n v="0"/>
    <n v="0"/>
    <n v="0"/>
  </r>
  <r>
    <s v="SYD/KSH"/>
    <s v="KSH"/>
    <x v="1"/>
    <x v="2"/>
    <x v="20"/>
    <x v="1"/>
    <x v="479"/>
    <n v="13207"/>
    <n v="31"/>
    <m/>
    <n v="0"/>
    <m/>
    <n v="0"/>
    <n v="0"/>
    <n v="0"/>
    <n v="0"/>
    <n v="0"/>
    <n v="0"/>
    <n v="0"/>
    <n v="0"/>
    <n v="0"/>
    <n v="0"/>
  </r>
  <r>
    <s v="SYD/RAH"/>
    <s v="RAH"/>
    <x v="1"/>
    <x v="4"/>
    <x v="24"/>
    <x v="1"/>
    <x v="480"/>
    <n v="13311"/>
    <n v="31.25"/>
    <m/>
    <n v="0"/>
    <m/>
    <n v="0"/>
    <n v="0"/>
    <n v="0"/>
    <n v="0"/>
    <n v="0"/>
    <n v="0"/>
    <n v="0"/>
    <n v="0"/>
    <n v="0"/>
    <n v="0"/>
  </r>
  <r>
    <s v="SYD/HAS"/>
    <s v="HAS"/>
    <x v="1"/>
    <x v="2"/>
    <x v="24"/>
    <x v="1"/>
    <x v="481"/>
    <n v="13368"/>
    <n v="31.5"/>
    <m/>
    <n v="0"/>
    <m/>
    <n v="0"/>
    <n v="0"/>
    <n v="0"/>
    <n v="0"/>
    <n v="0"/>
    <n v="0"/>
    <n v="0"/>
    <n v="0"/>
    <n v="0"/>
    <n v="0"/>
  </r>
  <r>
    <s v="SYD/YNB"/>
    <s v="YNB"/>
    <x v="1"/>
    <x v="2"/>
    <x v="24"/>
    <x v="1"/>
    <x v="482"/>
    <n v="13537"/>
    <n v="31.75"/>
    <m/>
    <n v="0"/>
    <m/>
    <n v="0"/>
    <n v="0"/>
    <n v="0"/>
    <n v="0"/>
    <n v="0"/>
    <n v="0"/>
    <n v="0"/>
    <n v="0"/>
    <n v="0"/>
    <n v="0"/>
  </r>
  <r>
    <s v="SYD/RAE"/>
    <s v="RAE"/>
    <x v="1"/>
    <x v="2"/>
    <x v="24"/>
    <x v="1"/>
    <x v="483"/>
    <n v="13575"/>
    <n v="32"/>
    <m/>
    <n v="0"/>
    <m/>
    <n v="0"/>
    <n v="0"/>
    <n v="0"/>
    <n v="0"/>
    <n v="0"/>
    <n v="0"/>
    <n v="0"/>
    <n v="0"/>
    <n v="0"/>
    <n v="0"/>
  </r>
  <r>
    <s v="SYD/AJF"/>
    <s v="AJF"/>
    <x v="1"/>
    <x v="2"/>
    <x v="24"/>
    <x v="1"/>
    <x v="484"/>
    <n v="13617"/>
    <n v="32"/>
    <m/>
    <n v="0"/>
    <m/>
    <n v="0"/>
    <n v="0"/>
    <n v="0"/>
    <n v="0"/>
    <n v="0"/>
    <n v="0"/>
    <n v="0"/>
    <n v="0"/>
    <n v="0"/>
    <n v="0"/>
  </r>
  <r>
    <s v="SYD/VAN"/>
    <s v="VAN"/>
    <x v="1"/>
    <x v="2"/>
    <x v="56"/>
    <x v="1"/>
    <x v="485"/>
    <n v="13694"/>
    <n v="32.25"/>
    <m/>
    <n v="0"/>
    <m/>
    <n v="0"/>
    <n v="0"/>
    <n v="0"/>
    <n v="0"/>
    <n v="0"/>
    <n v="0"/>
    <n v="0"/>
    <n v="0"/>
    <n v="0"/>
    <n v="0"/>
  </r>
  <r>
    <s v="SYD/LWN"/>
    <s v="LWN"/>
    <x v="1"/>
    <x v="4"/>
    <x v="46"/>
    <x v="1"/>
    <x v="486"/>
    <n v="13733"/>
    <n v="32.25"/>
    <m/>
    <n v="0"/>
    <m/>
    <n v="0"/>
    <n v="0"/>
    <n v="0"/>
    <n v="0"/>
    <n v="0"/>
    <n v="0"/>
    <n v="0"/>
    <n v="0"/>
    <n v="0"/>
    <n v="0"/>
  </r>
  <r>
    <s v="SYD/EJH"/>
    <s v="EJH"/>
    <x v="1"/>
    <x v="4"/>
    <x v="24"/>
    <x v="1"/>
    <x v="487"/>
    <n v="13779"/>
    <n v="32.5"/>
    <m/>
    <n v="0"/>
    <m/>
    <n v="0"/>
    <n v="0"/>
    <n v="0"/>
    <n v="0"/>
    <n v="0"/>
    <n v="0"/>
    <n v="0"/>
    <n v="0"/>
    <n v="0"/>
    <n v="0"/>
  </r>
  <r>
    <s v="SYD/KSY"/>
    <s v="KSY"/>
    <x v="1"/>
    <x v="2"/>
    <x v="56"/>
    <x v="1"/>
    <x v="488"/>
    <n v="13786"/>
    <n v="32.5"/>
    <m/>
    <n v="0"/>
    <m/>
    <n v="0"/>
    <n v="0"/>
    <n v="0"/>
    <n v="0"/>
    <n v="0"/>
    <n v="0"/>
    <n v="0"/>
    <n v="0"/>
    <n v="0"/>
    <n v="0"/>
  </r>
  <r>
    <s v="SYD/KAC"/>
    <s v="KAC"/>
    <x v="1"/>
    <x v="4"/>
    <x v="66"/>
    <x v="1"/>
    <x v="489"/>
    <n v="13818"/>
    <n v="32.5"/>
    <m/>
    <n v="0"/>
    <m/>
    <n v="0"/>
    <n v="0"/>
    <n v="0"/>
    <n v="0"/>
    <n v="0"/>
    <n v="0"/>
    <n v="0"/>
    <n v="0"/>
    <n v="0"/>
    <n v="0"/>
  </r>
  <r>
    <s v="SYD/TUI"/>
    <s v="TUI"/>
    <x v="1"/>
    <x v="4"/>
    <x v="24"/>
    <x v="1"/>
    <x v="490"/>
    <n v="13820"/>
    <n v="32.5"/>
    <m/>
    <n v="0"/>
    <m/>
    <n v="0"/>
    <n v="0"/>
    <n v="0"/>
    <n v="0"/>
    <n v="0"/>
    <n v="0"/>
    <n v="0"/>
    <n v="0"/>
    <n v="0"/>
    <n v="0"/>
  </r>
  <r>
    <s v="SYD/DEZ"/>
    <s v="DEZ"/>
    <x v="1"/>
    <x v="4"/>
    <x v="66"/>
    <x v="1"/>
    <x v="491"/>
    <n v="13838"/>
    <n v="32.5"/>
    <m/>
    <n v="0"/>
    <m/>
    <n v="0"/>
    <n v="0"/>
    <n v="0"/>
    <n v="0"/>
    <n v="0"/>
    <n v="0"/>
    <n v="0"/>
    <n v="0"/>
    <n v="0"/>
    <n v="0"/>
  </r>
  <r>
    <s v="SYD/MSR"/>
    <s v="MSR"/>
    <x v="1"/>
    <x v="2"/>
    <x v="56"/>
    <x v="1"/>
    <x v="492"/>
    <n v="13841"/>
    <n v="32.5"/>
    <m/>
    <n v="0"/>
    <m/>
    <n v="0"/>
    <n v="0"/>
    <n v="0"/>
    <n v="0"/>
    <n v="0"/>
    <n v="0"/>
    <n v="0"/>
    <n v="0"/>
    <n v="0"/>
    <n v="0"/>
  </r>
  <r>
    <s v="SYD/BAL"/>
    <s v="BAL"/>
    <x v="1"/>
    <x v="2"/>
    <x v="56"/>
    <x v="1"/>
    <x v="493"/>
    <n v="13857"/>
    <n v="32.5"/>
    <m/>
    <n v="0"/>
    <m/>
    <n v="0"/>
    <n v="0"/>
    <n v="0"/>
    <n v="0"/>
    <n v="0"/>
    <n v="0"/>
    <n v="0"/>
    <n v="0"/>
    <n v="0"/>
    <n v="0"/>
  </r>
  <r>
    <s v="SYD/TUU"/>
    <s v="TUU"/>
    <x v="1"/>
    <x v="2"/>
    <x v="24"/>
    <x v="1"/>
    <x v="494"/>
    <n v="13865"/>
    <n v="32.5"/>
    <m/>
    <n v="0"/>
    <m/>
    <n v="0"/>
    <n v="0"/>
    <n v="0"/>
    <n v="0"/>
    <n v="0"/>
    <n v="0"/>
    <n v="0"/>
    <n v="0"/>
    <n v="0"/>
    <n v="0"/>
  </r>
  <r>
    <s v="SYD/MQM"/>
    <s v="MQM"/>
    <x v="1"/>
    <x v="2"/>
    <x v="56"/>
    <x v="1"/>
    <x v="495"/>
    <n v="13872"/>
    <n v="32.5"/>
    <m/>
    <n v="0"/>
    <m/>
    <n v="0"/>
    <n v="0"/>
    <n v="0"/>
    <n v="0"/>
    <n v="0"/>
    <n v="0"/>
    <n v="0"/>
    <n v="0"/>
    <n v="0"/>
    <n v="0"/>
  </r>
  <r>
    <s v="SYD/ERZ"/>
    <s v="ERZ"/>
    <x v="1"/>
    <x v="2"/>
    <x v="56"/>
    <x v="1"/>
    <x v="496"/>
    <n v="13923"/>
    <n v="32.75"/>
    <m/>
    <n v="0"/>
    <m/>
    <n v="0"/>
    <n v="0"/>
    <n v="0"/>
    <n v="0"/>
    <n v="0"/>
    <n v="0"/>
    <n v="0"/>
    <n v="0"/>
    <n v="0"/>
    <n v="0"/>
  </r>
  <r>
    <s v="SYD/DIY"/>
    <s v="DIY"/>
    <x v="1"/>
    <x v="2"/>
    <x v="56"/>
    <x v="1"/>
    <x v="497"/>
    <n v="13932"/>
    <n v="32.75"/>
    <m/>
    <n v="0"/>
    <m/>
    <n v="0"/>
    <n v="0"/>
    <n v="0"/>
    <n v="0"/>
    <n v="0"/>
    <n v="0"/>
    <n v="0"/>
    <n v="0"/>
    <n v="0"/>
    <n v="0"/>
  </r>
  <r>
    <s v="SYD/URY"/>
    <s v="URY"/>
    <x v="1"/>
    <x v="2"/>
    <x v="24"/>
    <x v="1"/>
    <x v="498"/>
    <n v="13936"/>
    <n v="32.75"/>
    <m/>
    <n v="0"/>
    <m/>
    <n v="0"/>
    <n v="0"/>
    <n v="0"/>
    <n v="0"/>
    <n v="0"/>
    <n v="0"/>
    <n v="0"/>
    <n v="0"/>
    <n v="0"/>
    <n v="0"/>
  </r>
  <r>
    <s v="SYD/ERC"/>
    <s v="ERC"/>
    <x v="1"/>
    <x v="2"/>
    <x v="56"/>
    <x v="1"/>
    <x v="499"/>
    <n v="14049"/>
    <n v="33"/>
    <m/>
    <n v="0"/>
    <m/>
    <n v="0"/>
    <n v="0"/>
    <n v="0"/>
    <n v="0"/>
    <n v="0"/>
    <n v="0"/>
    <n v="0"/>
    <n v="0"/>
    <n v="0"/>
    <n v="0"/>
  </r>
  <r>
    <s v="SYD/AQJ"/>
    <s v="AQJ"/>
    <x v="1"/>
    <x v="2"/>
    <x v="67"/>
    <x v="1"/>
    <x v="500"/>
    <n v="14062"/>
    <n v="33"/>
    <m/>
    <n v="0"/>
    <m/>
    <n v="0"/>
    <n v="0"/>
    <n v="0"/>
    <n v="0"/>
    <n v="0"/>
    <n v="0"/>
    <n v="0"/>
    <n v="0"/>
    <n v="0"/>
    <n v="0"/>
  </r>
  <r>
    <s v="SYD/ETM"/>
    <s v="ETM"/>
    <x v="1"/>
    <x v="5"/>
    <x v="76"/>
    <x v="1"/>
    <x v="501"/>
    <n v="14067"/>
    <n v="33"/>
    <m/>
    <n v="0"/>
    <m/>
    <n v="0"/>
    <n v="0"/>
    <n v="0"/>
    <n v="0"/>
    <n v="0"/>
    <n v="0"/>
    <n v="0"/>
    <n v="0"/>
    <n v="0"/>
    <n v="0"/>
  </r>
  <r>
    <s v="SYD/TZX"/>
    <s v="TZX"/>
    <x v="1"/>
    <x v="3"/>
    <x v="56"/>
    <x v="1"/>
    <x v="502"/>
    <n v="14068"/>
    <n v="33"/>
    <m/>
    <n v="0"/>
    <m/>
    <n v="0"/>
    <n v="0"/>
    <n v="0"/>
    <n v="0"/>
    <n v="0"/>
    <n v="0"/>
    <n v="0"/>
    <n v="0"/>
    <n v="0"/>
    <n v="0"/>
  </r>
  <r>
    <s v="SYD/ADF"/>
    <s v="ADF"/>
    <x v="1"/>
    <x v="2"/>
    <x v="56"/>
    <x v="1"/>
    <x v="503"/>
    <n v="14071"/>
    <n v="33"/>
    <m/>
    <n v="0"/>
    <m/>
    <n v="0"/>
    <n v="0"/>
    <n v="0"/>
    <n v="0"/>
    <n v="0"/>
    <n v="0"/>
    <n v="0"/>
    <n v="0"/>
    <n v="0"/>
    <n v="0"/>
  </r>
  <r>
    <s v="SYD/VDA"/>
    <s v="VDA"/>
    <x v="1"/>
    <x v="2"/>
    <x v="76"/>
    <x v="1"/>
    <x v="504"/>
    <n v="14083"/>
    <n v="33"/>
    <m/>
    <n v="0"/>
    <m/>
    <n v="0"/>
    <n v="0"/>
    <n v="0"/>
    <n v="0"/>
    <n v="0"/>
    <n v="0"/>
    <n v="0"/>
    <n v="0"/>
    <n v="0"/>
    <n v="0"/>
  </r>
  <r>
    <s v="SYD/MLX"/>
    <s v="MLX"/>
    <x v="1"/>
    <x v="2"/>
    <x v="56"/>
    <x v="1"/>
    <x v="505"/>
    <n v="14126"/>
    <n v="33.25"/>
    <m/>
    <n v="0"/>
    <m/>
    <n v="0"/>
    <n v="0"/>
    <n v="0"/>
    <n v="0"/>
    <n v="0"/>
    <n v="0"/>
    <n v="0"/>
    <n v="0"/>
    <n v="0"/>
    <n v="0"/>
  </r>
  <r>
    <s v="SYD/GZT"/>
    <s v="GZT"/>
    <x v="1"/>
    <x v="2"/>
    <x v="56"/>
    <x v="1"/>
    <x v="506"/>
    <n v="14128"/>
    <n v="33.25"/>
    <m/>
    <n v="0"/>
    <m/>
    <n v="0"/>
    <n v="0"/>
    <n v="0"/>
    <n v="0"/>
    <n v="0"/>
    <n v="0"/>
    <n v="0"/>
    <n v="0"/>
    <n v="0"/>
    <n v="0"/>
  </r>
  <r>
    <s v="SYD/BEY"/>
    <s v="BEY"/>
    <x v="1"/>
    <x v="3"/>
    <x v="108"/>
    <x v="1"/>
    <x v="507"/>
    <n v="14187"/>
    <n v="33.25"/>
    <m/>
    <n v="0"/>
    <m/>
    <n v="0"/>
    <n v="0"/>
    <n v="0"/>
    <n v="0"/>
    <n v="0"/>
    <n v="0"/>
    <n v="0"/>
    <n v="0"/>
    <n v="0"/>
    <n v="0"/>
  </r>
  <r>
    <s v="SYD/LTK"/>
    <s v="LTK"/>
    <x v="1"/>
    <x v="2"/>
    <x v="66"/>
    <x v="1"/>
    <x v="508"/>
    <n v="14204"/>
    <n v="33.25"/>
    <m/>
    <n v="0"/>
    <m/>
    <n v="0"/>
    <n v="0"/>
    <n v="0"/>
    <n v="0"/>
    <n v="0"/>
    <n v="0"/>
    <n v="0"/>
    <n v="0"/>
    <n v="0"/>
    <n v="0"/>
  </r>
  <r>
    <s v="SYD/HTY"/>
    <s v="HTY"/>
    <x v="1"/>
    <x v="2"/>
    <x v="56"/>
    <x v="1"/>
    <x v="509"/>
    <n v="14209"/>
    <n v="33.25"/>
    <m/>
    <n v="0"/>
    <m/>
    <n v="0"/>
    <n v="0"/>
    <n v="0"/>
    <n v="0"/>
    <n v="0"/>
    <n v="0"/>
    <n v="0"/>
    <n v="0"/>
    <n v="0"/>
    <n v="0"/>
  </r>
  <r>
    <s v="SYD/VAS"/>
    <s v="VAS"/>
    <x v="1"/>
    <x v="2"/>
    <x v="56"/>
    <x v="1"/>
    <x v="510"/>
    <n v="14268"/>
    <n v="33.5"/>
    <m/>
    <n v="0"/>
    <m/>
    <n v="0"/>
    <n v="0"/>
    <n v="0"/>
    <n v="0"/>
    <n v="0"/>
    <n v="0"/>
    <n v="0"/>
    <n v="0"/>
    <n v="0"/>
    <n v="0"/>
  </r>
  <r>
    <s v="SYD/ADA"/>
    <s v="ADA"/>
    <x v="1"/>
    <x v="3"/>
    <x v="56"/>
    <x v="1"/>
    <x v="511"/>
    <n v="14315"/>
    <n v="33.5"/>
    <m/>
    <n v="0"/>
    <m/>
    <n v="0"/>
    <n v="0"/>
    <n v="0"/>
    <n v="0"/>
    <n v="0"/>
    <n v="0"/>
    <n v="0"/>
    <n v="0"/>
    <n v="0"/>
    <n v="0"/>
  </r>
  <r>
    <s v="SYD/SZF"/>
    <s v="SZF"/>
    <x v="1"/>
    <x v="2"/>
    <x v="56"/>
    <x v="1"/>
    <x v="512"/>
    <n v="14338"/>
    <n v="33.5"/>
    <m/>
    <n v="0"/>
    <m/>
    <n v="0"/>
    <n v="0"/>
    <n v="0"/>
    <n v="0"/>
    <n v="0"/>
    <n v="0"/>
    <n v="0"/>
    <n v="0"/>
    <n v="0"/>
    <n v="0"/>
  </r>
  <r>
    <s v="SYD/ASR"/>
    <s v="ASR"/>
    <x v="1"/>
    <x v="2"/>
    <x v="56"/>
    <x v="1"/>
    <x v="513"/>
    <n v="14353"/>
    <n v="33.75"/>
    <m/>
    <n v="0"/>
    <m/>
    <n v="0"/>
    <n v="0"/>
    <n v="0"/>
    <n v="0"/>
    <n v="0"/>
    <n v="0"/>
    <n v="0"/>
    <n v="0"/>
    <n v="0"/>
    <n v="0"/>
  </r>
  <r>
    <s v="SYD/MZH"/>
    <s v="MZH"/>
    <x v="1"/>
    <x v="4"/>
    <x v="56"/>
    <x v="1"/>
    <x v="514"/>
    <n v="14410"/>
    <n v="33.75"/>
    <m/>
    <n v="0"/>
    <m/>
    <n v="0"/>
    <n v="0"/>
    <n v="0"/>
    <n v="0"/>
    <n v="0"/>
    <n v="0"/>
    <n v="0"/>
    <n v="0"/>
    <n v="0"/>
    <n v="0"/>
  </r>
  <r>
    <s v="SYD/NAV"/>
    <s v="NAV"/>
    <x v="1"/>
    <x v="2"/>
    <x v="56"/>
    <x v="1"/>
    <x v="515"/>
    <n v="14434"/>
    <n v="33.75"/>
    <m/>
    <n v="0"/>
    <m/>
    <n v="0"/>
    <n v="0"/>
    <n v="0"/>
    <n v="0"/>
    <n v="0"/>
    <n v="0"/>
    <n v="0"/>
    <n v="0"/>
    <n v="0"/>
    <n v="0"/>
  </r>
  <r>
    <s v="SYD/KYA"/>
    <s v="KYA"/>
    <x v="1"/>
    <x v="2"/>
    <x v="56"/>
    <x v="1"/>
    <x v="516"/>
    <n v="14576"/>
    <n v="34"/>
    <m/>
    <n v="0"/>
    <m/>
    <n v="0"/>
    <n v="0"/>
    <n v="0"/>
    <n v="0"/>
    <n v="0"/>
    <n v="0"/>
    <n v="0"/>
    <n v="0"/>
    <n v="0"/>
    <n v="0"/>
  </r>
  <r>
    <s v="SYD/ISE"/>
    <s v="ISE"/>
    <x v="1"/>
    <x v="4"/>
    <x v="56"/>
    <x v="1"/>
    <x v="517"/>
    <n v="14759"/>
    <n v="34.5"/>
    <m/>
    <n v="0"/>
    <m/>
    <n v="0"/>
    <n v="0"/>
    <n v="0"/>
    <n v="0"/>
    <n v="0"/>
    <n v="0"/>
    <n v="0"/>
    <n v="0"/>
    <n v="0"/>
    <n v="0"/>
  </r>
  <r>
    <s v="SYD/AOE"/>
    <s v="AOE"/>
    <x v="1"/>
    <x v="2"/>
    <x v="56"/>
    <x v="1"/>
    <x v="518"/>
    <n v="14797"/>
    <n v="34.5"/>
    <m/>
    <n v="0"/>
    <m/>
    <n v="0"/>
    <n v="0"/>
    <n v="0"/>
    <n v="0"/>
    <n v="0"/>
    <n v="0"/>
    <n v="0"/>
    <n v="0"/>
    <n v="0"/>
    <n v="0"/>
  </r>
  <r>
    <s v="SYD/DNZ"/>
    <s v="DNZ"/>
    <x v="1"/>
    <x v="2"/>
    <x v="56"/>
    <x v="1"/>
    <x v="519"/>
    <n v="14814"/>
    <n v="34.75"/>
    <m/>
    <n v="0"/>
    <m/>
    <n v="0"/>
    <n v="0"/>
    <n v="0"/>
    <n v="0"/>
    <n v="0"/>
    <n v="0"/>
    <n v="0"/>
    <n v="0"/>
    <n v="0"/>
    <n v="0"/>
  </r>
  <r>
    <s v="SYD/USQ"/>
    <s v="USQ"/>
    <x v="1"/>
    <x v="4"/>
    <x v="56"/>
    <x v="1"/>
    <x v="520"/>
    <n v="14857"/>
    <n v="34.75"/>
    <m/>
    <n v="0"/>
    <m/>
    <n v="0"/>
    <n v="0"/>
    <n v="0"/>
    <n v="0"/>
    <n v="0"/>
    <n v="0"/>
    <n v="0"/>
    <n v="0"/>
    <n v="0"/>
    <n v="0"/>
  </r>
  <r>
    <s v="SYD/YEI"/>
    <s v="YEI"/>
    <x v="1"/>
    <x v="4"/>
    <x v="56"/>
    <x v="1"/>
    <x v="521"/>
    <n v="14887"/>
    <n v="34.75"/>
    <m/>
    <n v="0"/>
    <m/>
    <n v="0"/>
    <n v="0"/>
    <n v="0"/>
    <n v="0"/>
    <n v="0"/>
    <n v="0"/>
    <n v="0"/>
    <n v="0"/>
    <n v="0"/>
    <n v="0"/>
  </r>
  <r>
    <s v="SYD/BJV"/>
    <s v="BJV"/>
    <x v="1"/>
    <x v="3"/>
    <x v="56"/>
    <x v="1"/>
    <x v="522"/>
    <n v="14975"/>
    <n v="35"/>
    <m/>
    <n v="0"/>
    <m/>
    <n v="0"/>
    <n v="0"/>
    <n v="0"/>
    <n v="0"/>
    <n v="0"/>
    <n v="0"/>
    <n v="0"/>
    <n v="0"/>
    <n v="0"/>
    <n v="0"/>
  </r>
  <r>
    <s v="SYD/TEQ"/>
    <s v="TEQ"/>
    <x v="1"/>
    <x v="4"/>
    <x v="56"/>
    <x v="1"/>
    <x v="523"/>
    <n v="15041"/>
    <n v="35.25"/>
    <m/>
    <n v="0"/>
    <m/>
    <n v="0"/>
    <n v="0"/>
    <n v="0"/>
    <n v="0"/>
    <n v="0"/>
    <n v="0"/>
    <n v="0"/>
    <n v="0"/>
    <n v="0"/>
    <n v="0"/>
  </r>
  <r>
    <s v="SYD/VVO"/>
    <s v="VVO"/>
    <x v="1"/>
    <x v="3"/>
    <x v="35"/>
    <x v="5"/>
    <x v="524"/>
    <n v="8817"/>
    <n v="21.5"/>
    <m/>
    <n v="0"/>
    <m/>
    <n v="0"/>
    <n v="0"/>
    <n v="0"/>
    <n v="0"/>
    <n v="0"/>
    <n v="0"/>
    <n v="0"/>
    <n v="0"/>
    <n v="0"/>
    <n v="0"/>
  </r>
  <r>
    <s v="SYD/UUS"/>
    <s v="UUS"/>
    <x v="1"/>
    <x v="2"/>
    <x v="35"/>
    <x v="5"/>
    <x v="525"/>
    <n v="9030"/>
    <n v="22"/>
    <m/>
    <n v="0"/>
    <m/>
    <n v="0"/>
    <n v="0"/>
    <n v="0"/>
    <n v="0"/>
    <n v="0"/>
    <n v="0"/>
    <n v="0"/>
    <n v="0"/>
    <n v="0"/>
    <n v="0"/>
  </r>
  <r>
    <s v="SYD/KHV"/>
    <s v="KHV"/>
    <x v="1"/>
    <x v="2"/>
    <x v="35"/>
    <x v="5"/>
    <x v="526"/>
    <n v="9309"/>
    <n v="22.5"/>
    <m/>
    <n v="0"/>
    <m/>
    <n v="0"/>
    <n v="0"/>
    <n v="0"/>
    <n v="0"/>
    <n v="0"/>
    <n v="0"/>
    <n v="0"/>
    <n v="0"/>
    <n v="0"/>
    <n v="0"/>
  </r>
  <r>
    <s v="SYD/BQS"/>
    <s v="BQS"/>
    <x v="1"/>
    <x v="2"/>
    <x v="35"/>
    <x v="5"/>
    <x v="527"/>
    <n v="9670"/>
    <n v="23.25"/>
    <m/>
    <n v="0"/>
    <m/>
    <n v="0"/>
    <n v="0"/>
    <n v="0"/>
    <n v="0"/>
    <n v="0"/>
    <n v="0"/>
    <n v="0"/>
    <n v="0"/>
    <n v="0"/>
    <n v="0"/>
  </r>
  <r>
    <s v="SYD/PKC"/>
    <s v="PKC"/>
    <x v="1"/>
    <x v="2"/>
    <x v="35"/>
    <x v="5"/>
    <x v="528"/>
    <n v="9714"/>
    <n v="23.5"/>
    <m/>
    <n v="0"/>
    <m/>
    <n v="0"/>
    <n v="2260"/>
    <n v="2260"/>
    <n v="2"/>
    <n v="47"/>
    <n v="0"/>
    <n v="0"/>
    <n v="0"/>
    <n v="0"/>
    <n v="0"/>
  </r>
  <r>
    <s v="SYD/HTA"/>
    <s v="HTA"/>
    <x v="1"/>
    <x v="2"/>
    <x v="35"/>
    <x v="5"/>
    <x v="529"/>
    <n v="10247"/>
    <n v="24.5"/>
    <m/>
    <n v="0"/>
    <m/>
    <n v="0"/>
    <n v="0"/>
    <n v="0"/>
    <n v="0"/>
    <n v="0"/>
    <n v="0"/>
    <n v="0"/>
    <n v="0"/>
    <n v="0"/>
    <n v="0"/>
  </r>
  <r>
    <s v="SYD/GDX"/>
    <s v="GDX"/>
    <x v="1"/>
    <x v="4"/>
    <x v="35"/>
    <x v="5"/>
    <x v="530"/>
    <n v="10439"/>
    <n v="25"/>
    <m/>
    <n v="0"/>
    <m/>
    <n v="0"/>
    <n v="0"/>
    <n v="0"/>
    <n v="0"/>
    <n v="0"/>
    <n v="0"/>
    <n v="0"/>
    <n v="0"/>
    <n v="0"/>
    <n v="0"/>
  </r>
  <r>
    <s v="SYD/UUD"/>
    <s v="UUD"/>
    <x v="1"/>
    <x v="2"/>
    <x v="35"/>
    <x v="5"/>
    <x v="531"/>
    <n v="10445"/>
    <n v="25"/>
    <m/>
    <n v="0"/>
    <m/>
    <n v="0"/>
    <n v="0"/>
    <n v="0"/>
    <n v="0"/>
    <n v="0"/>
    <n v="0"/>
    <n v="0"/>
    <n v="0"/>
    <n v="0"/>
    <n v="0"/>
  </r>
  <r>
    <s v="SYD/IKT"/>
    <s v="IKT"/>
    <x v="1"/>
    <x v="2"/>
    <x v="35"/>
    <x v="5"/>
    <x v="532"/>
    <n v="10610"/>
    <n v="25.5"/>
    <m/>
    <n v="0"/>
    <m/>
    <n v="0"/>
    <n v="0"/>
    <n v="0"/>
    <n v="0"/>
    <n v="0"/>
    <n v="0"/>
    <n v="0"/>
    <n v="0"/>
    <n v="0"/>
    <n v="0"/>
  </r>
  <r>
    <s v="SYD/YKS"/>
    <s v="YKS"/>
    <x v="1"/>
    <x v="2"/>
    <x v="35"/>
    <x v="5"/>
    <x v="533"/>
    <n v="10854"/>
    <n v="26"/>
    <m/>
    <n v="0"/>
    <m/>
    <n v="0"/>
    <n v="0"/>
    <n v="0"/>
    <n v="0"/>
    <n v="0"/>
    <n v="0"/>
    <n v="0"/>
    <n v="0"/>
    <n v="0"/>
    <n v="0"/>
  </r>
  <r>
    <s v="SYD/KYZ"/>
    <s v="KYZ"/>
    <x v="1"/>
    <x v="4"/>
    <x v="35"/>
    <x v="5"/>
    <x v="534"/>
    <n v="11010"/>
    <n v="26.25"/>
    <m/>
    <n v="0"/>
    <m/>
    <n v="0"/>
    <n v="0"/>
    <n v="0"/>
    <n v="0"/>
    <n v="0"/>
    <n v="0"/>
    <n v="0"/>
    <n v="0"/>
    <n v="0"/>
    <n v="0"/>
  </r>
  <r>
    <s v="SYD/DYR"/>
    <s v="DYR"/>
    <x v="1"/>
    <x v="4"/>
    <x v="35"/>
    <x v="5"/>
    <x v="535"/>
    <n v="11217"/>
    <n v="26.75"/>
    <m/>
    <n v="0"/>
    <m/>
    <n v="0"/>
    <n v="2272"/>
    <n v="2272"/>
    <n v="2"/>
    <n v="53.5"/>
    <n v="0"/>
    <n v="0"/>
    <n v="0"/>
    <n v="0"/>
    <n v="0"/>
  </r>
  <r>
    <s v="SYD/MJZ"/>
    <s v="MJZ"/>
    <x v="1"/>
    <x v="2"/>
    <x v="35"/>
    <x v="5"/>
    <x v="536"/>
    <n v="11231"/>
    <n v="26.75"/>
    <m/>
    <n v="0"/>
    <m/>
    <n v="0"/>
    <n v="0"/>
    <n v="0"/>
    <n v="0"/>
    <n v="0"/>
    <n v="0"/>
    <n v="0"/>
    <n v="0"/>
    <n v="0"/>
    <n v="0"/>
  </r>
  <r>
    <s v="SYD/ABA"/>
    <s v="ABA"/>
    <x v="1"/>
    <x v="4"/>
    <x v="35"/>
    <x v="5"/>
    <x v="537"/>
    <n v="11315"/>
    <n v="27"/>
    <m/>
    <n v="0"/>
    <m/>
    <n v="0"/>
    <n v="0"/>
    <n v="0"/>
    <n v="0"/>
    <n v="0"/>
    <n v="0"/>
    <n v="0"/>
    <n v="0"/>
    <n v="0"/>
    <n v="0"/>
  </r>
  <r>
    <s v="SYD/KJA"/>
    <s v="KJA"/>
    <x v="1"/>
    <x v="2"/>
    <x v="35"/>
    <x v="5"/>
    <x v="538"/>
    <n v="11449"/>
    <n v="27.25"/>
    <m/>
    <n v="0"/>
    <m/>
    <n v="0"/>
    <n v="0"/>
    <n v="0"/>
    <n v="0"/>
    <n v="0"/>
    <n v="0"/>
    <n v="0"/>
    <n v="0"/>
    <n v="0"/>
    <n v="0"/>
  </r>
  <r>
    <s v="SYD/PLX"/>
    <s v="PLX"/>
    <x v="1"/>
    <x v="4"/>
    <x v="33"/>
    <x v="5"/>
    <x v="539"/>
    <n v="11667"/>
    <n v="27.75"/>
    <m/>
    <n v="0"/>
    <m/>
    <n v="0"/>
    <n v="0"/>
    <n v="0"/>
    <n v="0"/>
    <n v="0"/>
    <n v="0"/>
    <n v="0"/>
    <n v="0"/>
    <n v="0"/>
    <n v="0"/>
  </r>
  <r>
    <s v="SYD/BAX"/>
    <s v="BAX"/>
    <x v="1"/>
    <x v="3"/>
    <x v="35"/>
    <x v="5"/>
    <x v="540"/>
    <n v="11684"/>
    <n v="27.75"/>
    <m/>
    <n v="0"/>
    <m/>
    <n v="0"/>
    <n v="0"/>
    <n v="0"/>
    <n v="0"/>
    <n v="0"/>
    <n v="0"/>
    <n v="0"/>
    <n v="0"/>
    <n v="0"/>
    <n v="0"/>
  </r>
  <r>
    <s v="SYD/KEJ"/>
    <s v="KEJ"/>
    <x v="1"/>
    <x v="2"/>
    <x v="35"/>
    <x v="5"/>
    <x v="541"/>
    <n v="11684"/>
    <n v="27.75"/>
    <m/>
    <n v="0"/>
    <m/>
    <n v="0"/>
    <n v="0"/>
    <n v="0"/>
    <n v="0"/>
    <n v="0"/>
    <n v="0"/>
    <n v="0"/>
    <n v="0"/>
    <n v="0"/>
    <n v="0"/>
  </r>
  <r>
    <s v="SYD/OVB"/>
    <s v="OVB"/>
    <x v="1"/>
    <x v="3"/>
    <x v="35"/>
    <x v="5"/>
    <x v="542"/>
    <n v="11841"/>
    <n v="28"/>
    <m/>
    <n v="0"/>
    <m/>
    <n v="0"/>
    <n v="0"/>
    <n v="0"/>
    <n v="0"/>
    <n v="0"/>
    <n v="0"/>
    <n v="0"/>
    <n v="0"/>
    <n v="0"/>
    <n v="0"/>
  </r>
  <r>
    <s v="SYD/IKS"/>
    <s v="IKS"/>
    <x v="1"/>
    <x v="4"/>
    <x v="35"/>
    <x v="5"/>
    <x v="543"/>
    <n v="11879"/>
    <n v="28.25"/>
    <m/>
    <n v="0"/>
    <m/>
    <n v="0"/>
    <n v="0"/>
    <n v="0"/>
    <n v="0"/>
    <n v="0"/>
    <n v="0"/>
    <n v="0"/>
    <n v="0"/>
    <n v="0"/>
    <n v="0"/>
  </r>
  <r>
    <s v="SYD/KGF"/>
    <s v="KGF"/>
    <x v="1"/>
    <x v="2"/>
    <x v="33"/>
    <x v="5"/>
    <x v="544"/>
    <n v="12036"/>
    <n v="28.5"/>
    <m/>
    <n v="0"/>
    <m/>
    <n v="0"/>
    <n v="0"/>
    <n v="0"/>
    <n v="0"/>
    <n v="0"/>
    <n v="0"/>
    <n v="0"/>
    <n v="0"/>
    <n v="0"/>
    <n v="0"/>
  </r>
  <r>
    <s v="SYD/NJC"/>
    <s v="NJC"/>
    <x v="1"/>
    <x v="2"/>
    <x v="35"/>
    <x v="5"/>
    <x v="545"/>
    <n v="12507"/>
    <n v="29.5"/>
    <m/>
    <n v="0"/>
    <m/>
    <n v="0"/>
    <n v="0"/>
    <n v="0"/>
    <n v="0"/>
    <n v="0"/>
    <n v="0"/>
    <n v="0"/>
    <n v="0"/>
    <n v="0"/>
    <n v="0"/>
  </r>
  <r>
    <s v="SYD/NSK"/>
    <s v="NSK"/>
    <x v="1"/>
    <x v="2"/>
    <x v="35"/>
    <x v="5"/>
    <x v="546"/>
    <n v="12585"/>
    <n v="29.75"/>
    <m/>
    <n v="0"/>
    <m/>
    <n v="0"/>
    <n v="0"/>
    <n v="0"/>
    <n v="0"/>
    <n v="0"/>
    <n v="0"/>
    <n v="0"/>
    <n v="0"/>
    <n v="0"/>
    <n v="0"/>
  </r>
  <r>
    <s v="SYD/KGP"/>
    <s v="KGP"/>
    <x v="1"/>
    <x v="2"/>
    <x v="35"/>
    <x v="5"/>
    <x v="547"/>
    <n v="12664"/>
    <n v="30"/>
    <m/>
    <n v="0"/>
    <m/>
    <n v="0"/>
    <n v="0"/>
    <n v="0"/>
    <n v="0"/>
    <n v="0"/>
    <n v="0"/>
    <n v="0"/>
    <n v="0"/>
    <n v="0"/>
    <n v="0"/>
  </r>
  <r>
    <s v="SYD/SGC"/>
    <s v="SGC"/>
    <x v="1"/>
    <x v="2"/>
    <x v="35"/>
    <x v="5"/>
    <x v="548"/>
    <n v="12673"/>
    <n v="30"/>
    <m/>
    <n v="0"/>
    <m/>
    <n v="0"/>
    <n v="0"/>
    <n v="0"/>
    <n v="0"/>
    <n v="0"/>
    <n v="0"/>
    <n v="0"/>
    <n v="0"/>
    <n v="0"/>
    <n v="0"/>
  </r>
  <r>
    <s v="SYD/NOJ"/>
    <s v="NOJ"/>
    <x v="1"/>
    <x v="2"/>
    <x v="35"/>
    <x v="5"/>
    <x v="549"/>
    <n v="12683"/>
    <n v="30"/>
    <m/>
    <n v="0"/>
    <m/>
    <n v="0"/>
    <n v="0"/>
    <n v="0"/>
    <n v="0"/>
    <n v="0"/>
    <n v="0"/>
    <n v="0"/>
    <n v="0"/>
    <n v="0"/>
    <n v="0"/>
  </r>
  <r>
    <s v="SYD/NUX"/>
    <s v="NUX"/>
    <x v="1"/>
    <x v="2"/>
    <x v="35"/>
    <x v="5"/>
    <x v="550"/>
    <n v="12782"/>
    <n v="30.25"/>
    <m/>
    <n v="0"/>
    <m/>
    <n v="0"/>
    <n v="0"/>
    <n v="0"/>
    <n v="0"/>
    <n v="0"/>
    <n v="0"/>
    <n v="0"/>
    <n v="0"/>
    <n v="0"/>
    <n v="0"/>
  </r>
  <r>
    <s v="SYD/TJM"/>
    <s v="TJM"/>
    <x v="1"/>
    <x v="2"/>
    <x v="35"/>
    <x v="5"/>
    <x v="551"/>
    <n v="12890"/>
    <n v="30.5"/>
    <m/>
    <n v="0"/>
    <m/>
    <n v="0"/>
    <n v="0"/>
    <n v="0"/>
    <n v="0"/>
    <n v="0"/>
    <n v="0"/>
    <n v="0"/>
    <n v="0"/>
    <n v="0"/>
    <n v="0"/>
  </r>
  <r>
    <s v="SYD/SLY"/>
    <s v="SLY"/>
    <x v="1"/>
    <x v="2"/>
    <x v="35"/>
    <x v="5"/>
    <x v="552"/>
    <n v="13210"/>
    <n v="31.25"/>
    <m/>
    <n v="0"/>
    <m/>
    <n v="0"/>
    <n v="0"/>
    <n v="0"/>
    <n v="0"/>
    <n v="0"/>
    <n v="0"/>
    <n v="0"/>
    <n v="0"/>
    <n v="0"/>
    <n v="0"/>
  </r>
  <r>
    <s v="SYD/PEE"/>
    <s v="PEE"/>
    <x v="1"/>
    <x v="2"/>
    <x v="35"/>
    <x v="5"/>
    <x v="553"/>
    <n v="13440"/>
    <n v="31.75"/>
    <m/>
    <n v="0"/>
    <m/>
    <n v="0"/>
    <n v="0"/>
    <n v="0"/>
    <n v="0"/>
    <n v="0"/>
    <n v="0"/>
    <n v="0"/>
    <n v="0"/>
    <n v="0"/>
    <n v="0"/>
  </r>
  <r>
    <s v="SYD/MCX"/>
    <s v="MCX"/>
    <x v="1"/>
    <x v="4"/>
    <x v="35"/>
    <x v="5"/>
    <x v="554"/>
    <n v="13509"/>
    <n v="31.75"/>
    <m/>
    <n v="0"/>
    <m/>
    <n v="0"/>
    <n v="0"/>
    <n v="0"/>
    <n v="0"/>
    <n v="0"/>
    <n v="0"/>
    <n v="0"/>
    <n v="0"/>
    <n v="0"/>
    <n v="0"/>
  </r>
  <r>
    <s v="SYD/NAJ"/>
    <s v="NAJ"/>
    <x v="1"/>
    <x v="4"/>
    <x v="42"/>
    <x v="5"/>
    <x v="555"/>
    <n v="13547"/>
    <n v="31.75"/>
    <m/>
    <n v="0"/>
    <m/>
    <n v="0"/>
    <n v="0"/>
    <n v="0"/>
    <n v="0"/>
    <n v="0"/>
    <n v="0"/>
    <n v="0"/>
    <n v="0"/>
    <n v="0"/>
    <n v="0"/>
  </r>
  <r>
    <s v="SYD/NBC"/>
    <s v="NBC"/>
    <x v="1"/>
    <x v="2"/>
    <x v="35"/>
    <x v="5"/>
    <x v="556"/>
    <n v="13605"/>
    <n v="32"/>
    <m/>
    <n v="0"/>
    <m/>
    <n v="0"/>
    <n v="0"/>
    <n v="0"/>
    <n v="0"/>
    <n v="0"/>
    <n v="0"/>
    <n v="0"/>
    <n v="0"/>
    <n v="0"/>
    <n v="0"/>
  </r>
  <r>
    <s v="SYD/GRV"/>
    <s v="GRV"/>
    <x v="1"/>
    <x v="2"/>
    <x v="35"/>
    <x v="5"/>
    <x v="557"/>
    <n v="13679"/>
    <n v="32.25"/>
    <m/>
    <n v="0"/>
    <m/>
    <n v="0"/>
    <n v="0"/>
    <n v="0"/>
    <n v="0"/>
    <n v="0"/>
    <n v="0"/>
    <n v="0"/>
    <n v="0"/>
    <n v="0"/>
    <n v="0"/>
  </r>
  <r>
    <s v="SYD/ULY"/>
    <s v="ULY"/>
    <x v="1"/>
    <x v="2"/>
    <x v="35"/>
    <x v="5"/>
    <x v="558"/>
    <n v="13779"/>
    <n v="32.5"/>
    <m/>
    <n v="0"/>
    <m/>
    <n v="0"/>
    <n v="0"/>
    <n v="0"/>
    <n v="0"/>
    <n v="0"/>
    <n v="0"/>
    <n v="0"/>
    <n v="0"/>
    <n v="0"/>
    <n v="0"/>
  </r>
  <r>
    <s v="SYD/STW"/>
    <s v="STW"/>
    <x v="1"/>
    <x v="2"/>
    <x v="35"/>
    <x v="5"/>
    <x v="559"/>
    <n v="14007"/>
    <n v="33"/>
    <m/>
    <n v="0"/>
    <m/>
    <n v="0"/>
    <n v="0"/>
    <n v="0"/>
    <n v="0"/>
    <n v="0"/>
    <n v="0"/>
    <n v="0"/>
    <n v="0"/>
    <n v="0"/>
    <n v="0"/>
  </r>
  <r>
    <s v="SYD/GOJ"/>
    <s v="GOJ"/>
    <x v="1"/>
    <x v="2"/>
    <x v="35"/>
    <x v="5"/>
    <x v="560"/>
    <n v="14127"/>
    <n v="33.25"/>
    <m/>
    <n v="0"/>
    <m/>
    <n v="0"/>
    <n v="0"/>
    <n v="0"/>
    <n v="0"/>
    <n v="0"/>
    <n v="0"/>
    <n v="0"/>
    <n v="0"/>
    <n v="0"/>
    <n v="0"/>
  </r>
  <r>
    <s v="SYD/LCA"/>
    <s v="LCA"/>
    <x v="1"/>
    <x v="3"/>
    <x v="109"/>
    <x v="5"/>
    <x v="561"/>
    <n v="14387"/>
    <n v="33.75"/>
    <m/>
    <n v="0"/>
    <m/>
    <n v="0"/>
    <n v="0"/>
    <n v="0"/>
    <n v="0"/>
    <n v="0"/>
    <n v="0"/>
    <n v="0"/>
    <n v="0"/>
    <n v="0"/>
    <n v="0"/>
  </r>
  <r>
    <s v="SYD/MPW"/>
    <s v="MPW"/>
    <x v="1"/>
    <x v="4"/>
    <x v="68"/>
    <x v="5"/>
    <x v="562"/>
    <n v="14405"/>
    <n v="33.75"/>
    <m/>
    <n v="0"/>
    <m/>
    <n v="0"/>
    <n v="0"/>
    <n v="0"/>
    <n v="0"/>
    <n v="0"/>
    <n v="0"/>
    <n v="0"/>
    <n v="0"/>
    <n v="0"/>
    <n v="0"/>
  </r>
  <r>
    <s v="SYD/PFO"/>
    <s v="PFO"/>
    <x v="1"/>
    <x v="3"/>
    <x v="109"/>
    <x v="5"/>
    <x v="563"/>
    <n v="14481"/>
    <n v="34"/>
    <m/>
    <n v="0"/>
    <m/>
    <n v="0"/>
    <n v="0"/>
    <n v="0"/>
    <n v="0"/>
    <n v="0"/>
    <n v="0"/>
    <n v="0"/>
    <n v="0"/>
    <n v="0"/>
    <n v="0"/>
  </r>
  <r>
    <s v="SYD/DME"/>
    <s v="DME"/>
    <x v="1"/>
    <x v="1"/>
    <x v="35"/>
    <x v="5"/>
    <x v="564"/>
    <n v="14484"/>
    <n v="34"/>
    <m/>
    <n v="0"/>
    <m/>
    <n v="0"/>
    <n v="0"/>
    <n v="0"/>
    <n v="0"/>
    <n v="0"/>
    <n v="0"/>
    <n v="0"/>
    <n v="0"/>
    <n v="0"/>
    <n v="0"/>
  </r>
  <r>
    <s v="SYD/OZH"/>
    <s v="OZH"/>
    <x v="1"/>
    <x v="4"/>
    <x v="68"/>
    <x v="5"/>
    <x v="565"/>
    <n v="14577"/>
    <n v="34.25"/>
    <m/>
    <n v="0"/>
    <m/>
    <n v="0"/>
    <n v="0"/>
    <n v="0"/>
    <n v="0"/>
    <n v="0"/>
    <n v="0"/>
    <n v="0"/>
    <n v="0"/>
    <n v="0"/>
    <n v="0"/>
  </r>
  <r>
    <s v="SYD/SIP"/>
    <s v="SIP"/>
    <x v="1"/>
    <x v="2"/>
    <x v="68"/>
    <x v="5"/>
    <x v="566"/>
    <n v="14630"/>
    <n v="34.25"/>
    <m/>
    <n v="0"/>
    <m/>
    <n v="0"/>
    <n v="0"/>
    <n v="0"/>
    <n v="0"/>
    <n v="0"/>
    <n v="0"/>
    <n v="0"/>
    <n v="0"/>
    <n v="0"/>
    <n v="0"/>
  </r>
  <r>
    <s v="SYD/LKL"/>
    <s v="LKL"/>
    <x v="1"/>
    <x v="4"/>
    <x v="110"/>
    <x v="5"/>
    <x v="567"/>
    <n v="14880"/>
    <n v="34.75"/>
    <m/>
    <n v="0"/>
    <m/>
    <n v="0"/>
    <n v="0"/>
    <n v="0"/>
    <n v="0"/>
    <n v="0"/>
    <n v="0"/>
    <n v="0"/>
    <n v="0"/>
    <n v="0"/>
    <n v="0"/>
  </r>
  <r>
    <s v="SYD/RHO"/>
    <s v="RHO"/>
    <x v="1"/>
    <x v="3"/>
    <x v="111"/>
    <x v="5"/>
    <x v="568"/>
    <n v="14915"/>
    <n v="34.75"/>
    <m/>
    <n v="0"/>
    <m/>
    <n v="0"/>
    <n v="0"/>
    <n v="0"/>
    <n v="0"/>
    <n v="0"/>
    <n v="0"/>
    <n v="0"/>
    <n v="0"/>
    <n v="0"/>
    <n v="0"/>
  </r>
  <r>
    <s v="SYD/GME"/>
    <s v="GME"/>
    <x v="1"/>
    <x v="4"/>
    <x v="77"/>
    <x v="5"/>
    <x v="569"/>
    <n v="14922"/>
    <n v="35"/>
    <m/>
    <n v="0"/>
    <m/>
    <n v="0"/>
    <n v="0"/>
    <n v="0"/>
    <n v="0"/>
    <n v="0"/>
    <n v="0"/>
    <n v="0"/>
    <n v="0"/>
    <n v="0"/>
    <n v="0"/>
  </r>
  <r>
    <s v="SYD/RVN"/>
    <s v="RVN"/>
    <x v="1"/>
    <x v="2"/>
    <x v="80"/>
    <x v="5"/>
    <x v="570"/>
    <n v="14980"/>
    <n v="35"/>
    <m/>
    <n v="0"/>
    <m/>
    <n v="0"/>
    <n v="0"/>
    <n v="0"/>
    <n v="0"/>
    <n v="0"/>
    <n v="0"/>
    <n v="0"/>
    <n v="0"/>
    <n v="0"/>
    <n v="0"/>
  </r>
  <r>
    <s v="SYD/KUO"/>
    <s v="KUO"/>
    <x v="1"/>
    <x v="2"/>
    <x v="80"/>
    <x v="5"/>
    <x v="571"/>
    <n v="14994"/>
    <n v="35"/>
    <m/>
    <n v="0"/>
    <m/>
    <n v="0"/>
    <n v="0"/>
    <n v="0"/>
    <n v="0"/>
    <n v="0"/>
    <n v="0"/>
    <n v="0"/>
    <n v="0"/>
    <n v="0"/>
    <n v="0"/>
  </r>
  <r>
    <s v="SYD/KEM"/>
    <s v="KEM"/>
    <x v="1"/>
    <x v="2"/>
    <x v="80"/>
    <x v="5"/>
    <x v="572"/>
    <n v="15060"/>
    <n v="35.25"/>
    <m/>
    <n v="0"/>
    <m/>
    <n v="0"/>
    <n v="0"/>
    <n v="0"/>
    <n v="0"/>
    <n v="0"/>
    <n v="0"/>
    <n v="0"/>
    <n v="0"/>
    <n v="0"/>
    <n v="0"/>
  </r>
  <r>
    <s v="SYD/JYV"/>
    <s v="JYV"/>
    <x v="1"/>
    <x v="2"/>
    <x v="80"/>
    <x v="5"/>
    <x v="573"/>
    <n v="15114"/>
    <n v="35.25"/>
    <m/>
    <n v="0"/>
    <m/>
    <n v="0"/>
    <n v="0"/>
    <n v="0"/>
    <n v="0"/>
    <n v="0"/>
    <n v="0"/>
    <n v="0"/>
    <n v="0"/>
    <n v="0"/>
    <n v="0"/>
  </r>
  <r>
    <s v="SYD/HER"/>
    <s v="HER"/>
    <x v="1"/>
    <x v="3"/>
    <x v="111"/>
    <x v="5"/>
    <x v="574"/>
    <n v="15140"/>
    <n v="35.25"/>
    <m/>
    <n v="0"/>
    <m/>
    <n v="0"/>
    <n v="0"/>
    <n v="0"/>
    <n v="0"/>
    <n v="0"/>
    <n v="0"/>
    <n v="0"/>
    <n v="0"/>
    <n v="0"/>
    <n v="0"/>
  </r>
  <r>
    <s v="SYD/LLA"/>
    <s v="LLA"/>
    <x v="1"/>
    <x v="2"/>
    <x v="81"/>
    <x v="5"/>
    <x v="575"/>
    <n v="15176"/>
    <n v="35.5"/>
    <m/>
    <n v="0"/>
    <m/>
    <n v="0"/>
    <n v="0"/>
    <n v="0"/>
    <n v="0"/>
    <n v="0"/>
    <n v="0"/>
    <n v="0"/>
    <n v="0"/>
    <n v="0"/>
    <n v="0"/>
  </r>
  <r>
    <s v="SYD/TIJ"/>
    <s v="TIJ"/>
    <x v="1"/>
    <x v="3"/>
    <x v="27"/>
    <x v="4"/>
    <x v="576"/>
    <n v="12106"/>
    <n v="28.75"/>
    <m/>
    <n v="0"/>
    <m/>
    <n v="0"/>
    <n v="0"/>
    <n v="0"/>
    <n v="0"/>
    <n v="0"/>
    <n v="0"/>
    <n v="0"/>
    <n v="0"/>
    <n v="0"/>
    <n v="0"/>
  </r>
  <r>
    <s v="SYD/SJD"/>
    <s v="SJD"/>
    <x v="1"/>
    <x v="3"/>
    <x v="27"/>
    <x v="4"/>
    <x v="577"/>
    <n v="12222"/>
    <n v="29"/>
    <m/>
    <n v="0"/>
    <m/>
    <n v="0"/>
    <n v="0"/>
    <n v="0"/>
    <n v="0"/>
    <n v="0"/>
    <n v="0"/>
    <n v="0"/>
    <n v="0"/>
    <n v="0"/>
    <n v="0"/>
  </r>
  <r>
    <s v="SYD/MXL"/>
    <s v="MXL"/>
    <x v="1"/>
    <x v="2"/>
    <x v="27"/>
    <x v="4"/>
    <x v="578"/>
    <n v="12253"/>
    <n v="29"/>
    <m/>
    <n v="0"/>
    <m/>
    <n v="0"/>
    <n v="0"/>
    <n v="0"/>
    <n v="0"/>
    <n v="0"/>
    <n v="0"/>
    <n v="0"/>
    <n v="0"/>
    <n v="0"/>
    <n v="0"/>
  </r>
  <r>
    <s v="SYD/YQQ"/>
    <s v="YQQ"/>
    <x v="1"/>
    <x v="2"/>
    <x v="63"/>
    <x v="4"/>
    <x v="579"/>
    <n v="12420"/>
    <n v="29.5"/>
    <m/>
    <n v="0"/>
    <m/>
    <n v="0"/>
    <n v="0"/>
    <n v="0"/>
    <n v="0"/>
    <n v="0"/>
    <n v="0"/>
    <n v="0"/>
    <n v="0"/>
    <n v="0"/>
    <n v="0"/>
  </r>
  <r>
    <s v="SYD/YXY"/>
    <s v="YXY"/>
    <x v="1"/>
    <x v="2"/>
    <x v="63"/>
    <x v="4"/>
    <x v="580"/>
    <n v="12449"/>
    <n v="29.5"/>
    <m/>
    <n v="0"/>
    <m/>
    <n v="0"/>
    <n v="0"/>
    <n v="0"/>
    <n v="0"/>
    <n v="0"/>
    <n v="0"/>
    <n v="0"/>
    <n v="0"/>
    <n v="0"/>
    <n v="0"/>
  </r>
  <r>
    <s v="SYD/PVR"/>
    <s v="PVR"/>
    <x v="1"/>
    <x v="3"/>
    <x v="27"/>
    <x v="4"/>
    <x v="581"/>
    <n v="12489"/>
    <n v="29.5"/>
    <m/>
    <n v="0"/>
    <m/>
    <n v="0"/>
    <n v="0"/>
    <n v="0"/>
    <n v="0"/>
    <n v="0"/>
    <n v="0"/>
    <n v="0"/>
    <n v="0"/>
    <n v="0"/>
    <n v="0"/>
  </r>
  <r>
    <s v="SYD/MZT"/>
    <s v="MZT"/>
    <x v="1"/>
    <x v="2"/>
    <x v="27"/>
    <x v="4"/>
    <x v="582"/>
    <n v="12532"/>
    <n v="29.75"/>
    <m/>
    <n v="0"/>
    <m/>
    <n v="0"/>
    <n v="0"/>
    <n v="0"/>
    <n v="0"/>
    <n v="0"/>
    <n v="0"/>
    <n v="0"/>
    <n v="0"/>
    <n v="0"/>
    <n v="0"/>
  </r>
  <r>
    <s v="SYD/YXX"/>
    <s v="YXX"/>
    <x v="1"/>
    <x v="2"/>
    <x v="63"/>
    <x v="4"/>
    <x v="583"/>
    <n v="12549"/>
    <n v="29.75"/>
    <m/>
    <n v="0"/>
    <m/>
    <n v="0"/>
    <n v="0"/>
    <n v="0"/>
    <n v="0"/>
    <n v="0"/>
    <n v="0"/>
    <n v="0"/>
    <n v="0"/>
    <n v="0"/>
    <n v="0"/>
  </r>
  <r>
    <s v="SYD/DGO"/>
    <s v="DGO"/>
    <x v="1"/>
    <x v="2"/>
    <x v="27"/>
    <x v="4"/>
    <x v="584"/>
    <n v="12738"/>
    <n v="30"/>
    <m/>
    <n v="0"/>
    <m/>
    <n v="0"/>
    <n v="0"/>
    <n v="0"/>
    <n v="0"/>
    <n v="0"/>
    <n v="0"/>
    <n v="0"/>
    <n v="0"/>
    <n v="0"/>
    <n v="0"/>
  </r>
  <r>
    <s v="SYD/YXS"/>
    <s v="YXS"/>
    <x v="1"/>
    <x v="2"/>
    <x v="63"/>
    <x v="4"/>
    <x v="585"/>
    <n v="12760"/>
    <n v="30.25"/>
    <m/>
    <n v="0"/>
    <m/>
    <n v="0"/>
    <n v="0"/>
    <n v="0"/>
    <n v="0"/>
    <n v="0"/>
    <n v="0"/>
    <n v="0"/>
    <n v="0"/>
    <n v="0"/>
    <n v="0"/>
  </r>
  <r>
    <s v="SYD/ACA"/>
    <s v="ACA"/>
    <x v="1"/>
    <x v="2"/>
    <x v="27"/>
    <x v="4"/>
    <x v="586"/>
    <n v="12776"/>
    <n v="30.25"/>
    <m/>
    <n v="0"/>
    <m/>
    <n v="0"/>
    <n v="0"/>
    <n v="0"/>
    <n v="0"/>
    <n v="0"/>
    <n v="0"/>
    <n v="0"/>
    <n v="0"/>
    <n v="0"/>
    <n v="0"/>
  </r>
  <r>
    <s v="SYD/YLW"/>
    <s v="YLW"/>
    <x v="1"/>
    <x v="3"/>
    <x v="63"/>
    <x v="4"/>
    <x v="587"/>
    <n v="12789"/>
    <n v="30.25"/>
    <m/>
    <n v="0"/>
    <m/>
    <n v="0"/>
    <n v="0"/>
    <n v="0"/>
    <n v="0"/>
    <n v="0"/>
    <n v="0"/>
    <n v="0"/>
    <n v="0"/>
    <n v="0"/>
    <n v="0"/>
  </r>
  <r>
    <s v="SYD/AGU"/>
    <s v="AGU"/>
    <x v="1"/>
    <x v="2"/>
    <x v="27"/>
    <x v="4"/>
    <x v="588"/>
    <n v="12811"/>
    <n v="30.25"/>
    <m/>
    <n v="0"/>
    <m/>
    <n v="0"/>
    <n v="0"/>
    <n v="0"/>
    <n v="0"/>
    <n v="0"/>
    <n v="0"/>
    <n v="0"/>
    <n v="0"/>
    <n v="0"/>
    <n v="0"/>
  </r>
  <r>
    <s v="SYD/MLM"/>
    <s v="MLM"/>
    <x v="1"/>
    <x v="2"/>
    <x v="27"/>
    <x v="4"/>
    <x v="589"/>
    <n v="12829"/>
    <n v="30.25"/>
    <m/>
    <n v="0"/>
    <m/>
    <n v="0"/>
    <n v="0"/>
    <n v="0"/>
    <n v="0"/>
    <n v="0"/>
    <n v="0"/>
    <n v="0"/>
    <n v="0"/>
    <n v="0"/>
    <n v="0"/>
  </r>
  <r>
    <s v="SYD/ZCL"/>
    <s v="ZCL"/>
    <x v="1"/>
    <x v="2"/>
    <x v="27"/>
    <x v="4"/>
    <x v="590"/>
    <n v="12840"/>
    <n v="30.25"/>
    <m/>
    <n v="0"/>
    <m/>
    <n v="0"/>
    <n v="0"/>
    <n v="0"/>
    <n v="0"/>
    <n v="0"/>
    <n v="0"/>
    <n v="0"/>
    <n v="0"/>
    <n v="0"/>
    <n v="0"/>
  </r>
  <r>
    <s v="SYD/CUU"/>
    <s v="CUU"/>
    <x v="1"/>
    <x v="2"/>
    <x v="27"/>
    <x v="4"/>
    <x v="591"/>
    <n v="12844"/>
    <n v="30.25"/>
    <m/>
    <n v="0"/>
    <m/>
    <n v="0"/>
    <n v="0"/>
    <n v="0"/>
    <n v="0"/>
    <n v="0"/>
    <n v="0"/>
    <n v="0"/>
    <n v="0"/>
    <n v="0"/>
    <n v="0"/>
  </r>
  <r>
    <s v="SYD/BJX"/>
    <s v="BJX"/>
    <x v="1"/>
    <x v="2"/>
    <x v="27"/>
    <x v="4"/>
    <x v="592"/>
    <n v="12849"/>
    <n v="30.25"/>
    <m/>
    <n v="0"/>
    <m/>
    <n v="0"/>
    <n v="0"/>
    <n v="0"/>
    <n v="0"/>
    <n v="0"/>
    <n v="0"/>
    <n v="0"/>
    <n v="0"/>
    <n v="0"/>
    <n v="0"/>
  </r>
  <r>
    <s v="SYD/TRC"/>
    <s v="TRC"/>
    <x v="1"/>
    <x v="2"/>
    <x v="27"/>
    <x v="4"/>
    <x v="593"/>
    <n v="12912"/>
    <n v="30.5"/>
    <m/>
    <n v="0"/>
    <m/>
    <n v="0"/>
    <n v="0"/>
    <n v="0"/>
    <n v="0"/>
    <n v="0"/>
    <n v="0"/>
    <n v="0"/>
    <n v="0"/>
    <n v="0"/>
    <n v="0"/>
  </r>
  <r>
    <s v="SYD/CJS"/>
    <s v="CJS"/>
    <x v="1"/>
    <x v="2"/>
    <x v="27"/>
    <x v="4"/>
    <x v="594"/>
    <n v="12945"/>
    <n v="30.5"/>
    <m/>
    <n v="0"/>
    <m/>
    <n v="0"/>
    <n v="0"/>
    <n v="0"/>
    <n v="0"/>
    <n v="0"/>
    <n v="0"/>
    <n v="0"/>
    <n v="0"/>
    <n v="0"/>
    <n v="0"/>
  </r>
  <r>
    <s v="SYD/SLP"/>
    <s v="SLP"/>
    <x v="1"/>
    <x v="2"/>
    <x v="27"/>
    <x v="4"/>
    <x v="595"/>
    <n v="12966"/>
    <n v="30.5"/>
    <m/>
    <n v="0"/>
    <m/>
    <n v="0"/>
    <n v="0"/>
    <n v="0"/>
    <n v="0"/>
    <n v="0"/>
    <n v="0"/>
    <n v="0"/>
    <n v="0"/>
    <n v="0"/>
    <n v="0"/>
  </r>
  <r>
    <s v="SYD/PBC"/>
    <s v="PBC"/>
    <x v="1"/>
    <x v="2"/>
    <x v="27"/>
    <x v="4"/>
    <x v="596"/>
    <n v="13035"/>
    <n v="30.75"/>
    <m/>
    <n v="0"/>
    <m/>
    <n v="0"/>
    <n v="0"/>
    <n v="0"/>
    <n v="0"/>
    <n v="0"/>
    <n v="0"/>
    <n v="0"/>
    <n v="0"/>
    <n v="0"/>
    <n v="0"/>
  </r>
  <r>
    <s v="SYD/HUX"/>
    <s v="HUX"/>
    <x v="1"/>
    <x v="2"/>
    <x v="27"/>
    <x v="4"/>
    <x v="597"/>
    <n v="13042"/>
    <n v="30.75"/>
    <m/>
    <n v="0"/>
    <m/>
    <n v="0"/>
    <n v="0"/>
    <n v="0"/>
    <n v="0"/>
    <n v="0"/>
    <n v="0"/>
    <n v="0"/>
    <n v="0"/>
    <n v="0"/>
    <n v="0"/>
  </r>
  <r>
    <s v="SYD/TAM"/>
    <s v="TAM"/>
    <x v="1"/>
    <x v="2"/>
    <x v="27"/>
    <x v="4"/>
    <x v="598"/>
    <n v="13247"/>
    <n v="31.25"/>
    <m/>
    <n v="0"/>
    <m/>
    <n v="0"/>
    <n v="0"/>
    <n v="0"/>
    <n v="0"/>
    <n v="0"/>
    <n v="0"/>
    <n v="0"/>
    <n v="0"/>
    <n v="0"/>
    <n v="0"/>
  </r>
  <r>
    <s v="SYD/GUA"/>
    <s v="GUA"/>
    <x v="1"/>
    <x v="3"/>
    <x v="112"/>
    <x v="4"/>
    <x v="599"/>
    <n v="13503"/>
    <n v="31.75"/>
    <m/>
    <n v="0"/>
    <m/>
    <n v="0"/>
    <n v="0"/>
    <n v="0"/>
    <n v="0"/>
    <n v="0"/>
    <n v="0"/>
    <n v="0"/>
    <n v="0"/>
    <n v="0"/>
    <n v="0"/>
  </r>
  <r>
    <s v="SYD/SAL"/>
    <s v="SAL"/>
    <x v="1"/>
    <x v="3"/>
    <x v="113"/>
    <x v="4"/>
    <x v="600"/>
    <n v="13573"/>
    <n v="32"/>
    <m/>
    <n v="0"/>
    <m/>
    <n v="0"/>
    <n v="0"/>
    <n v="0"/>
    <n v="0"/>
    <n v="0"/>
    <n v="0"/>
    <n v="0"/>
    <n v="0"/>
    <n v="0"/>
    <n v="0"/>
  </r>
  <r>
    <s v="SYD/YXE"/>
    <s v="YXE"/>
    <x v="1"/>
    <x v="2"/>
    <x v="63"/>
    <x v="4"/>
    <x v="601"/>
    <n v="13705"/>
    <n v="32.25"/>
    <m/>
    <n v="0"/>
    <m/>
    <n v="0"/>
    <n v="0"/>
    <n v="0"/>
    <n v="0"/>
    <n v="0"/>
    <n v="0"/>
    <n v="0"/>
    <n v="0"/>
    <n v="0"/>
    <n v="0"/>
  </r>
  <r>
    <s v="SYD/LCE"/>
    <s v="LCE"/>
    <x v="1"/>
    <x v="2"/>
    <x v="49"/>
    <x v="4"/>
    <x v="602"/>
    <n v="13908"/>
    <n v="32.75"/>
    <m/>
    <n v="0"/>
    <m/>
    <n v="0"/>
    <n v="0"/>
    <n v="0"/>
    <n v="0"/>
    <n v="0"/>
    <n v="0"/>
    <n v="0"/>
    <n v="0"/>
    <n v="0"/>
    <n v="0"/>
  </r>
  <r>
    <s v="SYD/PTY"/>
    <s v="PTY"/>
    <x v="1"/>
    <x v="3"/>
    <x v="114"/>
    <x v="4"/>
    <x v="603"/>
    <n v="14178"/>
    <n v="33.25"/>
    <m/>
    <n v="0"/>
    <m/>
    <n v="0"/>
    <n v="0"/>
    <n v="0"/>
    <n v="0"/>
    <n v="0"/>
    <n v="0"/>
    <n v="0"/>
    <n v="0"/>
    <n v="0"/>
    <n v="0"/>
  </r>
  <r>
    <s v="SYD/YYQ"/>
    <s v="YYQ"/>
    <x v="1"/>
    <x v="2"/>
    <x v="63"/>
    <x v="4"/>
    <x v="604"/>
    <n v="14583"/>
    <n v="34.25"/>
    <m/>
    <n v="0"/>
    <m/>
    <n v="0"/>
    <n v="0"/>
    <n v="0"/>
    <n v="0"/>
    <n v="0"/>
    <n v="0"/>
    <n v="0"/>
    <n v="0"/>
    <n v="0"/>
    <n v="0"/>
  </r>
  <r>
    <s v="SYD/CYO"/>
    <s v="CYO"/>
    <x v="1"/>
    <x v="2"/>
    <x v="71"/>
    <x v="4"/>
    <x v="605"/>
    <n v="14713"/>
    <n v="34.5"/>
    <m/>
    <n v="0"/>
    <m/>
    <n v="0"/>
    <n v="0"/>
    <n v="0"/>
    <n v="0"/>
    <n v="0"/>
    <n v="0"/>
    <n v="0"/>
    <n v="0"/>
    <n v="0"/>
    <n v="0"/>
  </r>
  <r>
    <s v="SYD/VRA"/>
    <s v="VRA"/>
    <x v="1"/>
    <x v="2"/>
    <x v="71"/>
    <x v="4"/>
    <x v="606"/>
    <n v="14793"/>
    <n v="34.5"/>
    <m/>
    <n v="0"/>
    <m/>
    <n v="0"/>
    <n v="0"/>
    <n v="0"/>
    <n v="0"/>
    <n v="0"/>
    <n v="0"/>
    <n v="0"/>
    <n v="0"/>
    <n v="0"/>
    <n v="0"/>
  </r>
  <r>
    <s v="SYD/MBJ"/>
    <s v="MBJ"/>
    <x v="1"/>
    <x v="3"/>
    <x v="73"/>
    <x v="4"/>
    <x v="607"/>
    <n v="14884"/>
    <n v="34.75"/>
    <m/>
    <n v="0"/>
    <m/>
    <n v="0"/>
    <n v="0"/>
    <n v="0"/>
    <n v="0"/>
    <n v="0"/>
    <n v="0"/>
    <n v="0"/>
    <n v="0"/>
    <n v="0"/>
    <n v="0"/>
  </r>
  <r>
    <s v="SYD/SNU"/>
    <s v="SNU"/>
    <x v="1"/>
    <x v="4"/>
    <x v="71"/>
    <x v="4"/>
    <x v="608"/>
    <n v="14904"/>
    <n v="34.75"/>
    <m/>
    <n v="0"/>
    <m/>
    <n v="0"/>
    <n v="0"/>
    <n v="0"/>
    <n v="0"/>
    <n v="0"/>
    <n v="0"/>
    <n v="0"/>
    <n v="0"/>
    <n v="0"/>
    <n v="0"/>
  </r>
  <r>
    <s v="SYD/CCC"/>
    <s v="CCC"/>
    <x v="1"/>
    <x v="2"/>
    <x v="71"/>
    <x v="4"/>
    <x v="609"/>
    <n v="15038"/>
    <n v="35.25"/>
    <m/>
    <n v="0"/>
    <m/>
    <n v="0"/>
    <n v="0"/>
    <n v="0"/>
    <n v="0"/>
    <n v="0"/>
    <n v="0"/>
    <n v="0"/>
    <n v="0"/>
    <n v="0"/>
    <n v="0"/>
  </r>
  <r>
    <s v="SYD/CMW"/>
    <s v="CMW"/>
    <x v="1"/>
    <x v="2"/>
    <x v="71"/>
    <x v="4"/>
    <x v="610"/>
    <n v="15044"/>
    <n v="35.25"/>
    <m/>
    <n v="0"/>
    <m/>
    <n v="0"/>
    <n v="0"/>
    <n v="0"/>
    <n v="0"/>
    <n v="0"/>
    <n v="0"/>
    <n v="0"/>
    <n v="0"/>
    <n v="0"/>
    <n v="0"/>
  </r>
  <r>
    <s v="SYD/HOG"/>
    <s v="HOG"/>
    <x v="1"/>
    <x v="2"/>
    <x v="71"/>
    <x v="4"/>
    <x v="611"/>
    <n v="15153"/>
    <n v="35.5"/>
    <m/>
    <n v="0"/>
    <m/>
    <n v="0"/>
    <n v="0"/>
    <n v="0"/>
    <n v="0"/>
    <n v="0"/>
    <n v="0"/>
    <n v="0"/>
    <n v="0"/>
    <n v="0"/>
    <n v="0"/>
  </r>
  <r>
    <s v="SYD/SCU"/>
    <s v="SCU"/>
    <x v="1"/>
    <x v="2"/>
    <x v="71"/>
    <x v="4"/>
    <x v="612"/>
    <n v="15154"/>
    <n v="35.5"/>
    <m/>
    <n v="0"/>
    <m/>
    <n v="0"/>
    <n v="0"/>
    <n v="0"/>
    <n v="0"/>
    <n v="0"/>
    <n v="0"/>
    <n v="0"/>
    <n v="0"/>
    <n v="0"/>
    <n v="0"/>
  </r>
  <r>
    <s v="SYD/PHX"/>
    <s v="PHX"/>
    <x v="1"/>
    <x v="1"/>
    <x v="65"/>
    <x v="6"/>
    <x v="613"/>
    <n v="12561"/>
    <n v="29.75"/>
    <m/>
    <n v="0"/>
    <m/>
    <n v="0"/>
    <n v="0"/>
    <n v="0"/>
    <n v="0"/>
    <n v="0"/>
    <n v="0"/>
    <n v="0"/>
    <n v="0"/>
    <n v="0"/>
    <n v="0"/>
  </r>
  <r>
    <s v="SYD/SLC"/>
    <s v="SLC"/>
    <x v="1"/>
    <x v="1"/>
    <x v="65"/>
    <x v="6"/>
    <x v="614"/>
    <n v="12911"/>
    <n v="30.5"/>
    <m/>
    <n v="0"/>
    <m/>
    <n v="0"/>
    <n v="0"/>
    <n v="0"/>
    <n v="0"/>
    <n v="0"/>
    <n v="0"/>
    <n v="0"/>
    <n v="0"/>
    <n v="0"/>
    <n v="0"/>
  </r>
  <r>
    <s v="SYD/IAH"/>
    <s v="IAH"/>
    <x v="1"/>
    <x v="1"/>
    <x v="65"/>
    <x v="6"/>
    <x v="615"/>
    <n v="13839"/>
    <n v="32.5"/>
    <m/>
    <n v="0"/>
    <m/>
    <n v="0"/>
    <n v="0"/>
    <n v="0"/>
    <n v="0"/>
    <n v="0"/>
    <n v="0"/>
    <n v="0"/>
    <n v="0"/>
    <n v="0"/>
    <n v="0"/>
  </r>
  <r>
    <s v="SYD/FLL"/>
    <s v="FLL"/>
    <x v="1"/>
    <x v="1"/>
    <x v="65"/>
    <x v="6"/>
    <x v="616"/>
    <n v="15051"/>
    <n v="35.25"/>
    <m/>
    <n v="0"/>
    <m/>
    <n v="0"/>
    <n v="0"/>
    <n v="0"/>
    <n v="0"/>
    <n v="0"/>
    <n v="0"/>
    <n v="0"/>
    <n v="0"/>
    <n v="0"/>
    <n v="0"/>
  </r>
  <r>
    <s v="SYD/SJC"/>
    <s v="SJC"/>
    <x v="1"/>
    <x v="0"/>
    <x v="65"/>
    <x v="6"/>
    <x v="617"/>
    <n v="11973"/>
    <n v="28.5"/>
    <m/>
    <n v="0"/>
    <m/>
    <n v="0"/>
    <n v="0"/>
    <n v="0"/>
    <n v="0"/>
    <n v="0"/>
    <n v="0"/>
    <n v="0"/>
    <n v="0"/>
    <n v="0"/>
    <n v="0"/>
  </r>
  <r>
    <s v="SYD/SMF"/>
    <s v="SMF"/>
    <x v="1"/>
    <x v="0"/>
    <x v="65"/>
    <x v="6"/>
    <x v="618"/>
    <n v="12071"/>
    <n v="28.75"/>
    <m/>
    <n v="0"/>
    <m/>
    <n v="0"/>
    <n v="0"/>
    <n v="0"/>
    <n v="0"/>
    <n v="0"/>
    <n v="0"/>
    <n v="0"/>
    <n v="0"/>
    <n v="0"/>
    <n v="0"/>
  </r>
  <r>
    <s v="SYD/SAN"/>
    <s v="SAN"/>
    <x v="1"/>
    <x v="0"/>
    <x v="65"/>
    <x v="6"/>
    <x v="619"/>
    <n v="12098"/>
    <n v="28.75"/>
    <m/>
    <n v="0"/>
    <m/>
    <n v="0"/>
    <n v="0"/>
    <n v="0"/>
    <n v="0"/>
    <n v="0"/>
    <n v="0"/>
    <n v="0"/>
    <n v="0"/>
    <n v="0"/>
    <n v="0"/>
  </r>
  <r>
    <s v="SYD/ABQ"/>
    <s v="ABQ"/>
    <x v="1"/>
    <x v="0"/>
    <x v="65"/>
    <x v="6"/>
    <x v="620"/>
    <n v="13087"/>
    <n v="30.75"/>
    <m/>
    <n v="0"/>
    <m/>
    <n v="0"/>
    <n v="0"/>
    <n v="0"/>
    <n v="0"/>
    <n v="0"/>
    <n v="0"/>
    <n v="0"/>
    <n v="0"/>
    <n v="0"/>
    <n v="0"/>
  </r>
  <r>
    <s v="SYD/SAT"/>
    <s v="SAT"/>
    <x v="1"/>
    <x v="0"/>
    <x v="65"/>
    <x v="6"/>
    <x v="621"/>
    <n v="13542"/>
    <n v="31.75"/>
    <m/>
    <n v="0"/>
    <m/>
    <n v="0"/>
    <n v="0"/>
    <n v="0"/>
    <n v="0"/>
    <n v="0"/>
    <n v="0"/>
    <n v="0"/>
    <n v="0"/>
    <n v="0"/>
    <n v="0"/>
  </r>
  <r>
    <s v="SYD/BFF"/>
    <s v="BFF"/>
    <x v="1"/>
    <x v="0"/>
    <x v="65"/>
    <x v="6"/>
    <x v="622"/>
    <n v="13607"/>
    <n v="32"/>
    <m/>
    <n v="0"/>
    <m/>
    <n v="0"/>
    <n v="0"/>
    <n v="0"/>
    <n v="0"/>
    <n v="0"/>
    <n v="0"/>
    <n v="0"/>
    <n v="0"/>
    <n v="0"/>
    <n v="0"/>
  </r>
  <r>
    <s v="SYD/AUS"/>
    <s v="AUS"/>
    <x v="1"/>
    <x v="0"/>
    <x v="65"/>
    <x v="6"/>
    <x v="623"/>
    <n v="13642"/>
    <n v="32"/>
    <m/>
    <n v="0"/>
    <m/>
    <n v="0"/>
    <n v="0"/>
    <n v="0"/>
    <n v="0"/>
    <n v="0"/>
    <n v="0"/>
    <n v="0"/>
    <n v="0"/>
    <n v="0"/>
    <n v="0"/>
  </r>
  <r>
    <s v="SYD/DAL"/>
    <s v="DAL"/>
    <x v="1"/>
    <x v="0"/>
    <x v="65"/>
    <x v="6"/>
    <x v="624"/>
    <n v="13826"/>
    <n v="32.5"/>
    <m/>
    <n v="0"/>
    <m/>
    <n v="0"/>
    <n v="0"/>
    <n v="0"/>
    <n v="0"/>
    <n v="0"/>
    <n v="0"/>
    <n v="0"/>
    <n v="0"/>
    <n v="0"/>
    <n v="0"/>
  </r>
  <r>
    <s v="SYD/MCI"/>
    <s v="MCI"/>
    <x v="1"/>
    <x v="0"/>
    <x v="65"/>
    <x v="6"/>
    <x v="625"/>
    <n v="14238"/>
    <n v="33.5"/>
    <m/>
    <n v="0"/>
    <m/>
    <n v="0"/>
    <n v="0"/>
    <n v="0"/>
    <n v="0"/>
    <n v="0"/>
    <n v="0"/>
    <n v="0"/>
    <n v="0"/>
    <n v="0"/>
    <n v="0"/>
  </r>
  <r>
    <s v="SYD/MSY"/>
    <s v="MSY"/>
    <x v="1"/>
    <x v="0"/>
    <x v="65"/>
    <x v="6"/>
    <x v="626"/>
    <n v="14293"/>
    <n v="33.5"/>
    <m/>
    <n v="0"/>
    <m/>
    <n v="0"/>
    <n v="0"/>
    <n v="0"/>
    <n v="0"/>
    <n v="0"/>
    <n v="0"/>
    <n v="0"/>
    <n v="0"/>
    <n v="0"/>
    <n v="0"/>
  </r>
  <r>
    <s v="SYD/MEM"/>
    <s v="MEM"/>
    <x v="1"/>
    <x v="0"/>
    <x v="65"/>
    <x v="6"/>
    <x v="627"/>
    <n v="14505"/>
    <n v="34"/>
    <m/>
    <n v="0"/>
    <m/>
    <n v="0"/>
    <n v="0"/>
    <n v="0"/>
    <n v="0"/>
    <n v="0"/>
    <n v="0"/>
    <n v="0"/>
    <n v="0"/>
    <n v="0"/>
    <n v="0"/>
  </r>
  <r>
    <s v="SYD/STL"/>
    <s v="STL"/>
    <x v="1"/>
    <x v="0"/>
    <x v="65"/>
    <x v="6"/>
    <x v="628"/>
    <n v="14585"/>
    <n v="34.25"/>
    <m/>
    <n v="0"/>
    <m/>
    <n v="0"/>
    <n v="0"/>
    <n v="0"/>
    <n v="0"/>
    <n v="0"/>
    <n v="0"/>
    <n v="0"/>
    <n v="0"/>
    <n v="0"/>
    <n v="0"/>
  </r>
  <r>
    <s v="SYD/BNA"/>
    <s v="BNA"/>
    <x v="1"/>
    <x v="0"/>
    <x v="65"/>
    <x v="6"/>
    <x v="629"/>
    <n v="14825"/>
    <n v="34.75"/>
    <m/>
    <n v="0"/>
    <m/>
    <n v="0"/>
    <n v="0"/>
    <n v="0"/>
    <n v="0"/>
    <n v="0"/>
    <n v="0"/>
    <n v="0"/>
    <n v="0"/>
    <n v="0"/>
    <n v="0"/>
  </r>
  <r>
    <s v="SYD/MKE"/>
    <s v="MKE"/>
    <x v="1"/>
    <x v="0"/>
    <x v="65"/>
    <x v="6"/>
    <x v="630"/>
    <n v="14885"/>
    <n v="34.75"/>
    <m/>
    <n v="0"/>
    <m/>
    <n v="0"/>
    <n v="0"/>
    <n v="0"/>
    <n v="0"/>
    <n v="0"/>
    <n v="0"/>
    <n v="0"/>
    <n v="0"/>
    <n v="0"/>
    <n v="0"/>
  </r>
  <r>
    <s v="SYD/TPA"/>
    <s v="TPA"/>
    <x v="1"/>
    <x v="0"/>
    <x v="65"/>
    <x v="6"/>
    <x v="631"/>
    <n v="14912"/>
    <n v="34.75"/>
    <m/>
    <n v="0"/>
    <m/>
    <n v="0"/>
    <n v="0"/>
    <n v="0"/>
    <n v="0"/>
    <n v="0"/>
    <n v="0"/>
    <n v="0"/>
    <n v="0"/>
    <n v="0"/>
    <n v="0"/>
  </r>
  <r>
    <s v="SYD/RSW"/>
    <s v="RSW"/>
    <x v="1"/>
    <x v="0"/>
    <x v="65"/>
    <x v="6"/>
    <x v="632"/>
    <n v="14923"/>
    <n v="35"/>
    <m/>
    <n v="0"/>
    <m/>
    <n v="0"/>
    <n v="0"/>
    <n v="0"/>
    <n v="0"/>
    <n v="0"/>
    <n v="0"/>
    <n v="0"/>
    <n v="0"/>
    <n v="0"/>
    <n v="0"/>
  </r>
  <r>
    <s v="SYD/IND"/>
    <s v="IND"/>
    <x v="1"/>
    <x v="0"/>
    <x v="65"/>
    <x v="6"/>
    <x v="633"/>
    <n v="14951"/>
    <n v="35"/>
    <m/>
    <n v="0"/>
    <m/>
    <n v="0"/>
    <n v="0"/>
    <n v="0"/>
    <n v="0"/>
    <n v="0"/>
    <n v="0"/>
    <n v="0"/>
    <n v="0"/>
    <n v="0"/>
    <n v="0"/>
  </r>
  <r>
    <s v="SYD/CVG"/>
    <s v="CVG"/>
    <x v="1"/>
    <x v="0"/>
    <x v="65"/>
    <x v="6"/>
    <x v="634"/>
    <n v="15073"/>
    <n v="35.25"/>
    <m/>
    <n v="0"/>
    <m/>
    <n v="0"/>
    <n v="0"/>
    <n v="0"/>
    <n v="0"/>
    <n v="0"/>
    <n v="0"/>
    <n v="0"/>
    <n v="0"/>
    <n v="0"/>
    <n v="0"/>
  </r>
  <r>
    <s v="SYD/PBI"/>
    <s v="PBI"/>
    <x v="1"/>
    <x v="0"/>
    <x v="65"/>
    <x v="6"/>
    <x v="635"/>
    <n v="15082"/>
    <n v="35.25"/>
    <m/>
    <n v="0"/>
    <m/>
    <n v="0"/>
    <n v="0"/>
    <n v="0"/>
    <n v="0"/>
    <n v="0"/>
    <n v="0"/>
    <n v="0"/>
    <n v="0"/>
    <n v="0"/>
    <n v="0"/>
  </r>
  <r>
    <s v="SYD/JAX"/>
    <s v="JAX"/>
    <x v="1"/>
    <x v="0"/>
    <x v="65"/>
    <x v="6"/>
    <x v="636"/>
    <n v="15086"/>
    <n v="35.25"/>
    <m/>
    <n v="0"/>
    <m/>
    <n v="0"/>
    <n v="0"/>
    <n v="0"/>
    <n v="0"/>
    <n v="0"/>
    <n v="0"/>
    <n v="0"/>
    <n v="0"/>
    <n v="0"/>
    <n v="0"/>
  </r>
  <r>
    <s v="SYD/KOA"/>
    <s v="KOA"/>
    <x v="1"/>
    <x v="3"/>
    <x v="65"/>
    <x v="6"/>
    <x v="637"/>
    <n v="8177"/>
    <n v="20"/>
    <m/>
    <n v="0"/>
    <m/>
    <n v="0"/>
    <n v="0"/>
    <n v="0"/>
    <n v="0"/>
    <n v="0"/>
    <n v="0"/>
    <n v="0"/>
    <n v="0"/>
    <n v="0"/>
    <n v="0"/>
  </r>
  <r>
    <s v="SYD/ITO"/>
    <s v="ITO"/>
    <x v="1"/>
    <x v="3"/>
    <x v="65"/>
    <x v="6"/>
    <x v="638"/>
    <n v="8247"/>
    <n v="20.25"/>
    <m/>
    <n v="0"/>
    <m/>
    <n v="0"/>
    <n v="0"/>
    <n v="0"/>
    <n v="0"/>
    <n v="0"/>
    <n v="0"/>
    <n v="0"/>
    <n v="0"/>
    <n v="0"/>
    <n v="0"/>
  </r>
  <r>
    <s v="SYD/CDB"/>
    <s v="CDB"/>
    <x v="1"/>
    <x v="3"/>
    <x v="65"/>
    <x v="6"/>
    <x v="639"/>
    <n v="10843"/>
    <n v="26"/>
    <m/>
    <n v="0"/>
    <m/>
    <n v="0"/>
    <n v="0"/>
    <n v="0"/>
    <n v="0"/>
    <n v="0"/>
    <n v="0"/>
    <n v="0"/>
    <n v="0"/>
    <n v="0"/>
    <n v="0"/>
  </r>
  <r>
    <s v="SYD/ANC"/>
    <s v="ANC"/>
    <x v="1"/>
    <x v="3"/>
    <x v="65"/>
    <x v="6"/>
    <x v="640"/>
    <n v="11833"/>
    <n v="28"/>
    <m/>
    <n v="0"/>
    <m/>
    <n v="0"/>
    <n v="0"/>
    <n v="0"/>
    <n v="0"/>
    <n v="0"/>
    <n v="0"/>
    <n v="0"/>
    <n v="0"/>
    <n v="0"/>
    <n v="0"/>
  </r>
  <r>
    <s v="SYD/LGB"/>
    <s v="LGB"/>
    <x v="1"/>
    <x v="3"/>
    <x v="65"/>
    <x v="6"/>
    <x v="641"/>
    <n v="12078"/>
    <n v="28.75"/>
    <m/>
    <n v="0"/>
    <m/>
    <n v="0"/>
    <n v="0"/>
    <n v="0"/>
    <n v="0"/>
    <n v="0"/>
    <n v="0"/>
    <n v="0"/>
    <n v="0"/>
    <n v="0"/>
    <n v="0"/>
  </r>
  <r>
    <s v="SYD/FAT"/>
    <s v="FAT"/>
    <x v="1"/>
    <x v="3"/>
    <x v="65"/>
    <x v="6"/>
    <x v="642"/>
    <n v="12112"/>
    <n v="28.75"/>
    <m/>
    <n v="0"/>
    <m/>
    <n v="0"/>
    <n v="0"/>
    <n v="0"/>
    <n v="0"/>
    <n v="0"/>
    <n v="0"/>
    <n v="0"/>
    <n v="0"/>
    <n v="0"/>
    <n v="0"/>
  </r>
  <r>
    <s v="SYD/ONT"/>
    <s v="ONT"/>
    <x v="1"/>
    <x v="3"/>
    <x v="65"/>
    <x v="6"/>
    <x v="643"/>
    <n v="12135"/>
    <n v="28.75"/>
    <m/>
    <n v="0"/>
    <m/>
    <n v="0"/>
    <n v="0"/>
    <n v="0"/>
    <n v="0"/>
    <n v="0"/>
    <n v="0"/>
    <n v="0"/>
    <n v="0"/>
    <n v="0"/>
    <n v="0"/>
  </r>
  <r>
    <s v="SYD/PSP"/>
    <s v="PSP"/>
    <x v="1"/>
    <x v="3"/>
    <x v="65"/>
    <x v="6"/>
    <x v="644"/>
    <n v="12212"/>
    <n v="29"/>
    <m/>
    <n v="0"/>
    <m/>
    <n v="0"/>
    <n v="0"/>
    <n v="0"/>
    <n v="0"/>
    <n v="0"/>
    <n v="0"/>
    <n v="0"/>
    <n v="0"/>
    <n v="0"/>
    <n v="0"/>
  </r>
  <r>
    <s v="SYD/RNO"/>
    <s v="RNO"/>
    <x v="1"/>
    <x v="3"/>
    <x v="65"/>
    <x v="6"/>
    <x v="645"/>
    <n v="12252"/>
    <n v="29"/>
    <m/>
    <n v="0"/>
    <m/>
    <n v="0"/>
    <n v="0"/>
    <n v="0"/>
    <n v="0"/>
    <n v="0"/>
    <n v="0"/>
    <n v="0"/>
    <n v="0"/>
    <n v="0"/>
    <n v="0"/>
  </r>
  <r>
    <s v="SYD/TUS"/>
    <s v="TUS"/>
    <x v="1"/>
    <x v="3"/>
    <x v="65"/>
    <x v="6"/>
    <x v="646"/>
    <n v="12585"/>
    <n v="29.75"/>
    <m/>
    <n v="0"/>
    <m/>
    <n v="0"/>
    <n v="0"/>
    <n v="0"/>
    <n v="0"/>
    <n v="0"/>
    <n v="0"/>
    <n v="0"/>
    <n v="0"/>
    <n v="0"/>
    <n v="0"/>
  </r>
  <r>
    <s v="SYD/BOI"/>
    <s v="BOI"/>
    <x v="1"/>
    <x v="3"/>
    <x v="65"/>
    <x v="6"/>
    <x v="647"/>
    <n v="12717"/>
    <n v="30"/>
    <m/>
    <n v="0"/>
    <m/>
    <n v="0"/>
    <n v="0"/>
    <n v="0"/>
    <n v="0"/>
    <n v="0"/>
    <n v="0"/>
    <n v="0"/>
    <n v="0"/>
    <n v="0"/>
    <n v="0"/>
  </r>
  <r>
    <s v="SYD/ELP"/>
    <s v="ELP"/>
    <x v="1"/>
    <x v="3"/>
    <x v="65"/>
    <x v="6"/>
    <x v="648"/>
    <n v="12958"/>
    <n v="30.5"/>
    <m/>
    <n v="0"/>
    <m/>
    <n v="0"/>
    <n v="0"/>
    <n v="0"/>
    <n v="0"/>
    <n v="0"/>
    <n v="0"/>
    <n v="0"/>
    <n v="0"/>
    <n v="0"/>
    <n v="0"/>
  </r>
  <r>
    <s v="SYD/COS"/>
    <s v="COS"/>
    <x v="1"/>
    <x v="3"/>
    <x v="65"/>
    <x v="6"/>
    <x v="649"/>
    <n v="13403"/>
    <n v="31.5"/>
    <m/>
    <n v="0"/>
    <m/>
    <n v="0"/>
    <n v="0"/>
    <n v="0"/>
    <n v="0"/>
    <n v="0"/>
    <n v="0"/>
    <n v="0"/>
    <n v="0"/>
    <n v="0"/>
    <n v="0"/>
  </r>
  <r>
    <s v="SYD/OKC"/>
    <s v="OKC"/>
    <x v="1"/>
    <x v="3"/>
    <x v="65"/>
    <x v="6"/>
    <x v="650"/>
    <n v="13861"/>
    <n v="32.5"/>
    <m/>
    <n v="0"/>
    <m/>
    <n v="0"/>
    <n v="0"/>
    <n v="0"/>
    <n v="0"/>
    <n v="0"/>
    <n v="0"/>
    <n v="0"/>
    <n v="0"/>
    <n v="0"/>
    <n v="0"/>
  </r>
  <r>
    <s v="SYD/ICT"/>
    <s v="ICT"/>
    <x v="1"/>
    <x v="3"/>
    <x v="65"/>
    <x v="6"/>
    <x v="651"/>
    <n v="13958"/>
    <n v="32.75"/>
    <m/>
    <n v="0"/>
    <m/>
    <n v="0"/>
    <n v="0"/>
    <n v="0"/>
    <n v="0"/>
    <n v="0"/>
    <n v="0"/>
    <n v="0"/>
    <n v="0"/>
    <n v="0"/>
    <n v="0"/>
  </r>
  <r>
    <s v="SYD/TUL"/>
    <s v="TUL"/>
    <x v="1"/>
    <x v="3"/>
    <x v="65"/>
    <x v="6"/>
    <x v="652"/>
    <n v="14037"/>
    <n v="33"/>
    <m/>
    <n v="0"/>
    <m/>
    <n v="0"/>
    <n v="0"/>
    <n v="0"/>
    <n v="0"/>
    <n v="0"/>
    <n v="0"/>
    <n v="0"/>
    <n v="0"/>
    <n v="0"/>
    <n v="0"/>
  </r>
  <r>
    <s v="SYD/OMA"/>
    <s v="OMA"/>
    <x v="1"/>
    <x v="3"/>
    <x v="65"/>
    <x v="6"/>
    <x v="653"/>
    <n v="14202"/>
    <n v="33.25"/>
    <m/>
    <n v="0"/>
    <m/>
    <n v="0"/>
    <n v="0"/>
    <n v="0"/>
    <n v="0"/>
    <n v="0"/>
    <n v="0"/>
    <n v="0"/>
    <n v="0"/>
    <n v="0"/>
    <n v="0"/>
  </r>
  <r>
    <s v="SYD/BFM"/>
    <s v="BFM"/>
    <x v="1"/>
    <x v="3"/>
    <x v="65"/>
    <x v="6"/>
    <x v="654"/>
    <n v="14515"/>
    <n v="34"/>
    <m/>
    <n v="0"/>
    <m/>
    <n v="0"/>
    <n v="0"/>
    <n v="0"/>
    <n v="0"/>
    <n v="0"/>
    <n v="0"/>
    <n v="0"/>
    <n v="0"/>
    <n v="0"/>
    <n v="0"/>
  </r>
  <r>
    <s v="SYD/ECP"/>
    <s v="ECP"/>
    <x v="1"/>
    <x v="3"/>
    <x v="65"/>
    <x v="6"/>
    <x v="603"/>
    <n v="14709"/>
    <n v="34.5"/>
    <m/>
    <n v="0"/>
    <m/>
    <n v="0"/>
    <n v="0"/>
    <n v="0"/>
    <n v="0"/>
    <n v="0"/>
    <n v="0"/>
    <n v="0"/>
    <n v="0"/>
    <n v="0"/>
    <n v="0"/>
  </r>
  <r>
    <s v="SYD/BHM"/>
    <s v="BHM"/>
    <x v="1"/>
    <x v="3"/>
    <x v="65"/>
    <x v="6"/>
    <x v="655"/>
    <n v="14738"/>
    <n v="34.5"/>
    <m/>
    <n v="0"/>
    <m/>
    <n v="0"/>
    <n v="0"/>
    <n v="0"/>
    <n v="0"/>
    <n v="0"/>
    <n v="0"/>
    <n v="0"/>
    <n v="0"/>
    <n v="0"/>
    <n v="0"/>
  </r>
  <r>
    <s v="SYD/HSV"/>
    <s v="HSV"/>
    <x v="1"/>
    <x v="3"/>
    <x v="65"/>
    <x v="6"/>
    <x v="656"/>
    <n v="14771"/>
    <n v="34.5"/>
    <m/>
    <n v="0"/>
    <m/>
    <n v="0"/>
    <n v="0"/>
    <n v="0"/>
    <n v="0"/>
    <n v="0"/>
    <n v="0"/>
    <n v="0"/>
    <n v="0"/>
    <n v="0"/>
    <n v="0"/>
  </r>
  <r>
    <s v="SYD/SRQ"/>
    <s v="SRQ"/>
    <x v="1"/>
    <x v="3"/>
    <x v="65"/>
    <x v="6"/>
    <x v="657"/>
    <n v="14886"/>
    <n v="34.75"/>
    <m/>
    <n v="0"/>
    <m/>
    <n v="0"/>
    <n v="0"/>
    <n v="0"/>
    <n v="0"/>
    <n v="0"/>
    <n v="0"/>
    <n v="0"/>
    <n v="0"/>
    <n v="0"/>
    <n v="0"/>
  </r>
  <r>
    <s v="SYD/SDF"/>
    <s v="SDF"/>
    <x v="1"/>
    <x v="3"/>
    <x v="65"/>
    <x v="6"/>
    <x v="658"/>
    <n v="14962"/>
    <n v="35"/>
    <m/>
    <n v="0"/>
    <m/>
    <n v="0"/>
    <n v="0"/>
    <n v="0"/>
    <n v="0"/>
    <n v="0"/>
    <n v="0"/>
    <n v="0"/>
    <n v="0"/>
    <n v="0"/>
    <n v="0"/>
  </r>
  <r>
    <s v="SYD/SFB"/>
    <s v="SFB"/>
    <x v="1"/>
    <x v="3"/>
    <x v="65"/>
    <x v="6"/>
    <x v="659"/>
    <n v="15062"/>
    <n v="35.25"/>
    <m/>
    <n v="0"/>
    <m/>
    <n v="0"/>
    <n v="0"/>
    <n v="0"/>
    <n v="0"/>
    <n v="0"/>
    <n v="0"/>
    <n v="0"/>
    <n v="0"/>
    <n v="0"/>
    <n v="0"/>
  </r>
  <r>
    <s v="SYD/GRR"/>
    <s v="GRR"/>
    <x v="1"/>
    <x v="3"/>
    <x v="65"/>
    <x v="6"/>
    <x v="660"/>
    <n v="15075"/>
    <n v="35.25"/>
    <m/>
    <n v="0"/>
    <m/>
    <n v="0"/>
    <n v="0"/>
    <n v="0"/>
    <n v="0"/>
    <n v="0"/>
    <n v="0"/>
    <n v="0"/>
    <n v="0"/>
    <n v="0"/>
    <n v="0"/>
  </r>
  <r>
    <s v="SYD/DAY"/>
    <s v="DAY"/>
    <x v="1"/>
    <x v="3"/>
    <x v="65"/>
    <x v="6"/>
    <x v="661"/>
    <n v="15129"/>
    <n v="35.25"/>
    <m/>
    <n v="0"/>
    <m/>
    <n v="0"/>
    <n v="0"/>
    <n v="0"/>
    <n v="0"/>
    <n v="0"/>
    <n v="0"/>
    <n v="0"/>
    <n v="0"/>
    <n v="0"/>
    <n v="0"/>
  </r>
  <r>
    <s v="SYD/GSP"/>
    <s v="GSP"/>
    <x v="1"/>
    <x v="3"/>
    <x v="65"/>
    <x v="6"/>
    <x v="662"/>
    <n v="15180"/>
    <n v="35.5"/>
    <m/>
    <n v="0"/>
    <m/>
    <n v="0"/>
    <n v="0"/>
    <n v="0"/>
    <n v="0"/>
    <n v="0"/>
    <n v="0"/>
    <n v="0"/>
    <n v="0"/>
    <n v="0"/>
    <n v="0"/>
  </r>
  <r>
    <s v="SYD/SAV"/>
    <s v="SAV"/>
    <x v="1"/>
    <x v="3"/>
    <x v="65"/>
    <x v="6"/>
    <x v="663"/>
    <n v="15186"/>
    <n v="35.5"/>
    <m/>
    <n v="0"/>
    <m/>
    <n v="0"/>
    <n v="0"/>
    <n v="0"/>
    <n v="0"/>
    <n v="0"/>
    <n v="0"/>
    <n v="0"/>
    <n v="0"/>
    <n v="0"/>
    <n v="0"/>
  </r>
  <r>
    <s v="SYD/AKN"/>
    <s v="AKN"/>
    <x v="1"/>
    <x v="2"/>
    <x v="65"/>
    <x v="6"/>
    <x v="664"/>
    <n v="11375"/>
    <n v="27"/>
    <m/>
    <n v="0"/>
    <m/>
    <n v="0"/>
    <n v="0"/>
    <n v="0"/>
    <n v="0"/>
    <n v="0"/>
    <n v="0"/>
    <n v="0"/>
    <n v="0"/>
    <n v="0"/>
    <n v="0"/>
  </r>
  <r>
    <s v="SYD/BFL"/>
    <s v="BFL"/>
    <x v="1"/>
    <x v="2"/>
    <x v="65"/>
    <x v="6"/>
    <x v="665"/>
    <n v="12092"/>
    <n v="28.75"/>
    <m/>
    <n v="0"/>
    <m/>
    <n v="0"/>
    <n v="0"/>
    <n v="0"/>
    <n v="0"/>
    <n v="0"/>
    <n v="0"/>
    <n v="0"/>
    <n v="0"/>
    <n v="0"/>
    <n v="0"/>
  </r>
  <r>
    <s v="SYD/FAI"/>
    <s v="FAI"/>
    <x v="1"/>
    <x v="2"/>
    <x v="65"/>
    <x v="6"/>
    <x v="666"/>
    <n v="12180"/>
    <n v="28.75"/>
    <m/>
    <n v="0"/>
    <m/>
    <n v="0"/>
    <n v="0"/>
    <n v="0"/>
    <n v="0"/>
    <n v="0"/>
    <n v="0"/>
    <n v="0"/>
    <n v="0"/>
    <n v="0"/>
    <n v="0"/>
  </r>
  <r>
    <s v="SYD/YUM"/>
    <s v="YUM"/>
    <x v="1"/>
    <x v="2"/>
    <x v="65"/>
    <x v="6"/>
    <x v="667"/>
    <n v="12307"/>
    <n v="29.25"/>
    <m/>
    <n v="0"/>
    <m/>
    <n v="0"/>
    <n v="0"/>
    <n v="0"/>
    <n v="0"/>
    <n v="0"/>
    <n v="0"/>
    <n v="0"/>
    <n v="0"/>
    <n v="0"/>
    <n v="0"/>
  </r>
  <r>
    <s v="SYD/AZA"/>
    <s v="AZA"/>
    <x v="1"/>
    <x v="2"/>
    <x v="65"/>
    <x v="6"/>
    <x v="668"/>
    <n v="12585"/>
    <n v="29.75"/>
    <m/>
    <n v="0"/>
    <m/>
    <n v="0"/>
    <n v="0"/>
    <n v="0"/>
    <n v="0"/>
    <n v="0"/>
    <n v="0"/>
    <n v="0"/>
    <n v="0"/>
    <n v="0"/>
    <n v="0"/>
  </r>
  <r>
    <s v="SYD/MSO"/>
    <s v="MSO"/>
    <x v="1"/>
    <x v="2"/>
    <x v="65"/>
    <x v="6"/>
    <x v="669"/>
    <n v="13017"/>
    <n v="30.75"/>
    <m/>
    <n v="0"/>
    <m/>
    <n v="0"/>
    <n v="0"/>
    <n v="0"/>
    <n v="0"/>
    <n v="0"/>
    <n v="0"/>
    <n v="0"/>
    <n v="0"/>
    <n v="0"/>
    <n v="0"/>
  </r>
  <r>
    <s v="SYD/DRO"/>
    <s v="DRO"/>
    <x v="1"/>
    <x v="2"/>
    <x v="65"/>
    <x v="6"/>
    <x v="670"/>
    <n v="13086"/>
    <n v="30.75"/>
    <m/>
    <n v="0"/>
    <m/>
    <n v="0"/>
    <n v="0"/>
    <n v="0"/>
    <n v="0"/>
    <n v="0"/>
    <n v="0"/>
    <n v="0"/>
    <n v="0"/>
    <n v="0"/>
    <n v="0"/>
  </r>
  <r>
    <s v="SYD/GJT"/>
    <s v="GJT"/>
    <x v="1"/>
    <x v="2"/>
    <x v="65"/>
    <x v="6"/>
    <x v="671"/>
    <n v="13109"/>
    <n v="31"/>
    <m/>
    <n v="0"/>
    <m/>
    <n v="0"/>
    <n v="0"/>
    <n v="0"/>
    <n v="0"/>
    <n v="0"/>
    <n v="0"/>
    <n v="0"/>
    <n v="0"/>
    <n v="0"/>
    <n v="0"/>
  </r>
  <r>
    <s v="SYD/MTJ"/>
    <s v="MTJ"/>
    <x v="1"/>
    <x v="2"/>
    <x v="65"/>
    <x v="6"/>
    <x v="672"/>
    <n v="13134"/>
    <n v="31"/>
    <m/>
    <n v="0"/>
    <m/>
    <n v="0"/>
    <n v="0"/>
    <n v="0"/>
    <n v="0"/>
    <n v="0"/>
    <n v="0"/>
    <n v="0"/>
    <n v="0"/>
    <n v="0"/>
    <n v="0"/>
  </r>
  <r>
    <s v="SYD/HLN"/>
    <s v="HLN"/>
    <x v="1"/>
    <x v="2"/>
    <x v="65"/>
    <x v="6"/>
    <x v="673"/>
    <n v="13154"/>
    <n v="31"/>
    <m/>
    <n v="0"/>
    <m/>
    <n v="0"/>
    <n v="0"/>
    <n v="0"/>
    <n v="0"/>
    <n v="0"/>
    <n v="0"/>
    <n v="0"/>
    <n v="0"/>
    <n v="0"/>
    <n v="0"/>
  </r>
  <r>
    <s v="SYD/ROW"/>
    <s v="ROW"/>
    <x v="1"/>
    <x v="2"/>
    <x v="65"/>
    <x v="6"/>
    <x v="674"/>
    <n v="13184"/>
    <n v="31"/>
    <m/>
    <n v="0"/>
    <m/>
    <n v="0"/>
    <n v="0"/>
    <n v="0"/>
    <n v="0"/>
    <n v="0"/>
    <n v="0"/>
    <n v="0"/>
    <n v="0"/>
    <n v="0"/>
    <n v="0"/>
  </r>
  <r>
    <s v="SYD/GUC"/>
    <s v="GUC"/>
    <x v="1"/>
    <x v="2"/>
    <x v="65"/>
    <x v="6"/>
    <x v="675"/>
    <n v="13212"/>
    <n v="31.25"/>
    <m/>
    <n v="0"/>
    <m/>
    <n v="0"/>
    <n v="0"/>
    <n v="0"/>
    <n v="0"/>
    <n v="0"/>
    <n v="0"/>
    <n v="0"/>
    <n v="0"/>
    <n v="0"/>
    <n v="0"/>
  </r>
  <r>
    <s v="SYD/GTF"/>
    <s v="GTF"/>
    <x v="1"/>
    <x v="2"/>
    <x v="65"/>
    <x v="6"/>
    <x v="676"/>
    <n v="13232"/>
    <n v="31.25"/>
    <m/>
    <n v="0"/>
    <m/>
    <n v="0"/>
    <n v="0"/>
    <n v="0"/>
    <n v="0"/>
    <n v="0"/>
    <n v="0"/>
    <n v="0"/>
    <n v="0"/>
    <n v="0"/>
    <n v="0"/>
  </r>
  <r>
    <s v="SYD/HDN"/>
    <s v="HDN"/>
    <x v="1"/>
    <x v="2"/>
    <x v="65"/>
    <x v="6"/>
    <x v="677"/>
    <n v="13269"/>
    <n v="31.25"/>
    <m/>
    <n v="0"/>
    <m/>
    <n v="0"/>
    <n v="0"/>
    <n v="0"/>
    <n v="0"/>
    <n v="0"/>
    <n v="0"/>
    <n v="0"/>
    <n v="0"/>
    <n v="0"/>
    <n v="0"/>
  </r>
  <r>
    <s v="SYD/MAF"/>
    <s v="MAF"/>
    <x v="1"/>
    <x v="2"/>
    <x v="65"/>
    <x v="6"/>
    <x v="678"/>
    <n v="13323"/>
    <n v="31.25"/>
    <m/>
    <n v="0"/>
    <m/>
    <n v="0"/>
    <n v="0"/>
    <n v="0"/>
    <n v="0"/>
    <n v="0"/>
    <n v="0"/>
    <n v="0"/>
    <n v="0"/>
    <n v="0"/>
    <n v="0"/>
  </r>
  <r>
    <s v="SYD/BIL"/>
    <s v="BIL"/>
    <x v="1"/>
    <x v="2"/>
    <x v="65"/>
    <x v="6"/>
    <x v="679"/>
    <n v="13373"/>
    <n v="31.5"/>
    <m/>
    <n v="0"/>
    <m/>
    <n v="0"/>
    <n v="0"/>
    <n v="0"/>
    <n v="0"/>
    <n v="0"/>
    <n v="0"/>
    <n v="0"/>
    <n v="0"/>
    <n v="0"/>
    <n v="0"/>
  </r>
  <r>
    <s v="SYD/CPR"/>
    <s v="CPR"/>
    <x v="1"/>
    <x v="2"/>
    <x v="65"/>
    <x v="6"/>
    <x v="680"/>
    <n v="13422"/>
    <n v="31.5"/>
    <m/>
    <n v="0"/>
    <m/>
    <n v="0"/>
    <n v="0"/>
    <n v="0"/>
    <n v="0"/>
    <n v="0"/>
    <n v="0"/>
    <n v="0"/>
    <n v="0"/>
    <n v="0"/>
    <n v="0"/>
  </r>
  <r>
    <s v="SYD/LBB"/>
    <s v="LBB"/>
    <x v="1"/>
    <x v="2"/>
    <x v="65"/>
    <x v="6"/>
    <x v="681"/>
    <n v="13431"/>
    <n v="31.5"/>
    <m/>
    <n v="0"/>
    <m/>
    <n v="0"/>
    <n v="0"/>
    <n v="0"/>
    <n v="0"/>
    <n v="0"/>
    <n v="0"/>
    <n v="0"/>
    <n v="0"/>
    <n v="0"/>
    <n v="0"/>
  </r>
  <r>
    <s v="SYD/AMA"/>
    <s v="AMA"/>
    <x v="1"/>
    <x v="2"/>
    <x v="65"/>
    <x v="6"/>
    <x v="682"/>
    <n v="13506"/>
    <n v="31.75"/>
    <m/>
    <n v="0"/>
    <m/>
    <n v="0"/>
    <n v="0"/>
    <n v="0"/>
    <n v="0"/>
    <n v="0"/>
    <n v="0"/>
    <n v="0"/>
    <n v="0"/>
    <n v="0"/>
    <n v="0"/>
  </r>
  <r>
    <s v="SYD/GRK"/>
    <s v="GRK"/>
    <x v="1"/>
    <x v="2"/>
    <x v="65"/>
    <x v="6"/>
    <x v="683"/>
    <n v="13666"/>
    <n v="32.25"/>
    <m/>
    <n v="0"/>
    <m/>
    <n v="0"/>
    <n v="0"/>
    <n v="0"/>
    <n v="0"/>
    <n v="0"/>
    <n v="0"/>
    <n v="0"/>
    <n v="0"/>
    <n v="0"/>
    <n v="0"/>
  </r>
  <r>
    <s v="SYD/SPS"/>
    <s v="SPS"/>
    <x v="1"/>
    <x v="2"/>
    <x v="65"/>
    <x v="6"/>
    <x v="684"/>
    <n v="13730"/>
    <n v="32.25"/>
    <m/>
    <n v="0"/>
    <m/>
    <n v="0"/>
    <n v="0"/>
    <n v="0"/>
    <n v="0"/>
    <n v="0"/>
    <n v="0"/>
    <n v="0"/>
    <n v="0"/>
    <n v="0"/>
    <n v="0"/>
  </r>
  <r>
    <s v="SYD/LAW"/>
    <s v="LAW"/>
    <x v="1"/>
    <x v="2"/>
    <x v="65"/>
    <x v="6"/>
    <x v="685"/>
    <n v="13760"/>
    <n v="32.25"/>
    <m/>
    <n v="0"/>
    <m/>
    <n v="0"/>
    <n v="0"/>
    <n v="0"/>
    <n v="0"/>
    <n v="0"/>
    <n v="0"/>
    <n v="0"/>
    <n v="0"/>
    <n v="0"/>
    <n v="0"/>
  </r>
  <r>
    <s v="SYD/AFW"/>
    <s v="AFW"/>
    <x v="1"/>
    <x v="2"/>
    <x v="65"/>
    <x v="6"/>
    <x v="686"/>
    <n v="13791"/>
    <n v="32.5"/>
    <m/>
    <n v="0"/>
    <m/>
    <n v="0"/>
    <n v="0"/>
    <n v="0"/>
    <n v="0"/>
    <n v="0"/>
    <n v="0"/>
    <n v="0"/>
    <n v="0"/>
    <n v="0"/>
    <n v="0"/>
  </r>
  <r>
    <s v="SYD/LNK"/>
    <s v="LNK"/>
    <x v="1"/>
    <x v="2"/>
    <x v="65"/>
    <x v="6"/>
    <x v="687"/>
    <n v="14118"/>
    <n v="33"/>
    <m/>
    <n v="0"/>
    <m/>
    <n v="0"/>
    <n v="0"/>
    <n v="0"/>
    <n v="0"/>
    <n v="0"/>
    <n v="0"/>
    <n v="0"/>
    <n v="0"/>
    <n v="0"/>
    <n v="0"/>
  </r>
  <r>
    <s v="SYD/AEX"/>
    <s v="AEX"/>
    <x v="1"/>
    <x v="2"/>
    <x v="65"/>
    <x v="6"/>
    <x v="688"/>
    <n v="14143"/>
    <n v="33.25"/>
    <m/>
    <n v="0"/>
    <m/>
    <n v="0"/>
    <n v="0"/>
    <n v="0"/>
    <n v="0"/>
    <n v="0"/>
    <n v="0"/>
    <n v="0"/>
    <n v="0"/>
    <n v="0"/>
    <n v="0"/>
  </r>
  <r>
    <s v="SYD/RST"/>
    <s v="RST"/>
    <x v="1"/>
    <x v="2"/>
    <x v="65"/>
    <x v="6"/>
    <x v="689"/>
    <n v="14538"/>
    <n v="34"/>
    <m/>
    <n v="0"/>
    <m/>
    <n v="0"/>
    <n v="0"/>
    <n v="0"/>
    <n v="0"/>
    <n v="0"/>
    <n v="0"/>
    <n v="0"/>
    <n v="0"/>
    <n v="0"/>
    <n v="0"/>
  </r>
  <r>
    <s v="SYD/DLH"/>
    <s v="DLH"/>
    <x v="1"/>
    <x v="2"/>
    <x v="65"/>
    <x v="6"/>
    <x v="690"/>
    <n v="14618"/>
    <n v="34.25"/>
    <m/>
    <n v="0"/>
    <m/>
    <n v="0"/>
    <n v="0"/>
    <n v="0"/>
    <n v="0"/>
    <n v="0"/>
    <n v="0"/>
    <n v="0"/>
    <n v="0"/>
    <n v="0"/>
    <n v="0"/>
  </r>
  <r>
    <s v="SYD/MLI"/>
    <s v="MLI"/>
    <x v="1"/>
    <x v="2"/>
    <x v="65"/>
    <x v="6"/>
    <x v="691"/>
    <n v="14642"/>
    <n v="34.25"/>
    <m/>
    <n v="0"/>
    <m/>
    <n v="0"/>
    <n v="0"/>
    <n v="0"/>
    <n v="0"/>
    <n v="0"/>
    <n v="0"/>
    <n v="0"/>
    <n v="0"/>
    <n v="0"/>
    <n v="0"/>
  </r>
  <r>
    <s v="SYD/VPS"/>
    <s v="VPS"/>
    <x v="1"/>
    <x v="2"/>
    <x v="65"/>
    <x v="6"/>
    <x v="692"/>
    <n v="14648"/>
    <n v="34.25"/>
    <m/>
    <n v="0"/>
    <m/>
    <n v="0"/>
    <n v="0"/>
    <n v="0"/>
    <n v="0"/>
    <n v="0"/>
    <n v="0"/>
    <n v="0"/>
    <n v="0"/>
    <n v="0"/>
    <n v="0"/>
  </r>
  <r>
    <s v="SYD/PIA"/>
    <s v="PIA"/>
    <x v="1"/>
    <x v="2"/>
    <x v="65"/>
    <x v="6"/>
    <x v="693"/>
    <n v="14690"/>
    <n v="34.5"/>
    <m/>
    <n v="0"/>
    <m/>
    <n v="0"/>
    <n v="0"/>
    <n v="0"/>
    <n v="0"/>
    <n v="0"/>
    <n v="0"/>
    <n v="0"/>
    <n v="0"/>
    <n v="0"/>
    <n v="0"/>
  </r>
  <r>
    <s v="SYD/RFD"/>
    <s v="RFD"/>
    <x v="1"/>
    <x v="2"/>
    <x v="65"/>
    <x v="6"/>
    <x v="694"/>
    <n v="14774"/>
    <n v="34.5"/>
    <m/>
    <n v="0"/>
    <m/>
    <n v="0"/>
    <n v="0"/>
    <n v="0"/>
    <n v="0"/>
    <n v="0"/>
    <n v="0"/>
    <n v="0"/>
    <n v="0"/>
    <n v="0"/>
    <n v="0"/>
  </r>
  <r>
    <s v="SYD/DHN"/>
    <s v="DHN"/>
    <x v="1"/>
    <x v="2"/>
    <x v="65"/>
    <x v="6"/>
    <x v="695"/>
    <n v="14776"/>
    <n v="34.5"/>
    <m/>
    <n v="0"/>
    <m/>
    <n v="0"/>
    <n v="0"/>
    <n v="0"/>
    <n v="0"/>
    <n v="0"/>
    <n v="0"/>
    <n v="0"/>
    <n v="0"/>
    <n v="0"/>
    <n v="0"/>
  </r>
  <r>
    <s v="SYD/PIE"/>
    <s v="PIE"/>
    <x v="1"/>
    <x v="2"/>
    <x v="65"/>
    <x v="6"/>
    <x v="696"/>
    <n v="14895"/>
    <n v="34.75"/>
    <m/>
    <n v="0"/>
    <m/>
    <n v="0"/>
    <n v="0"/>
    <n v="0"/>
    <n v="0"/>
    <n v="0"/>
    <n v="0"/>
    <n v="0"/>
    <n v="0"/>
    <n v="0"/>
    <n v="0"/>
  </r>
  <r>
    <s v="SYD/MQT"/>
    <s v="MQT"/>
    <x v="1"/>
    <x v="2"/>
    <x v="65"/>
    <x v="6"/>
    <x v="697"/>
    <n v="14975"/>
    <n v="35"/>
    <m/>
    <n v="0"/>
    <m/>
    <n v="0"/>
    <n v="0"/>
    <n v="0"/>
    <n v="0"/>
    <n v="0"/>
    <n v="0"/>
    <n v="0"/>
    <n v="0"/>
    <n v="0"/>
    <n v="0"/>
  </r>
  <r>
    <s v="SYD/FWA"/>
    <s v="FWA"/>
    <x v="1"/>
    <x v="2"/>
    <x v="65"/>
    <x v="6"/>
    <x v="698"/>
    <n v="15069"/>
    <n v="35.25"/>
    <m/>
    <n v="0"/>
    <m/>
    <n v="0"/>
    <n v="0"/>
    <n v="0"/>
    <n v="0"/>
    <n v="0"/>
    <n v="0"/>
    <n v="0"/>
    <n v="0"/>
    <n v="0"/>
    <n v="0"/>
  </r>
  <r>
    <s v="SYD/MLB"/>
    <s v="MLB"/>
    <x v="1"/>
    <x v="2"/>
    <x v="65"/>
    <x v="6"/>
    <x v="699"/>
    <n v="15090"/>
    <n v="35.25"/>
    <m/>
    <n v="0"/>
    <m/>
    <n v="0"/>
    <n v="0"/>
    <n v="0"/>
    <n v="0"/>
    <n v="0"/>
    <n v="0"/>
    <n v="0"/>
    <n v="0"/>
    <n v="0"/>
    <n v="0"/>
  </r>
  <r>
    <s v="SYD/DAB"/>
    <s v="DAB"/>
    <x v="1"/>
    <x v="2"/>
    <x v="65"/>
    <x v="6"/>
    <x v="700"/>
    <n v="15094"/>
    <n v="35.25"/>
    <m/>
    <n v="0"/>
    <m/>
    <n v="0"/>
    <n v="0"/>
    <n v="0"/>
    <n v="0"/>
    <n v="0"/>
    <n v="0"/>
    <n v="0"/>
    <n v="0"/>
    <n v="0"/>
    <n v="0"/>
  </r>
  <r>
    <s v="SYD/SCK"/>
    <s v="SCK"/>
    <x v="1"/>
    <x v="4"/>
    <x v="65"/>
    <x v="6"/>
    <x v="701"/>
    <n v="12055"/>
    <n v="28.5"/>
    <m/>
    <n v="0"/>
    <m/>
    <n v="0"/>
    <n v="0"/>
    <n v="0"/>
    <n v="0"/>
    <n v="0"/>
    <n v="0"/>
    <n v="0"/>
    <n v="0"/>
    <n v="0"/>
    <n v="0"/>
  </r>
  <r>
    <s v="SYD/LMT"/>
    <s v="LMT"/>
    <x v="1"/>
    <x v="4"/>
    <x v="65"/>
    <x v="6"/>
    <x v="702"/>
    <n v="12245"/>
    <n v="29"/>
    <m/>
    <n v="0"/>
    <m/>
    <n v="0"/>
    <n v="0"/>
    <n v="0"/>
    <n v="0"/>
    <n v="0"/>
    <n v="0"/>
    <n v="0"/>
    <n v="0"/>
    <n v="0"/>
    <n v="0"/>
  </r>
  <r>
    <s v="SYD/BFI"/>
    <s v="BFI"/>
    <x v="1"/>
    <x v="4"/>
    <x v="65"/>
    <x v="6"/>
    <x v="703"/>
    <n v="12480"/>
    <n v="29.5"/>
    <m/>
    <n v="0"/>
    <m/>
    <n v="0"/>
    <n v="0"/>
    <n v="0"/>
    <n v="0"/>
    <n v="0"/>
    <n v="0"/>
    <n v="0"/>
    <n v="0"/>
    <n v="0"/>
    <n v="0"/>
  </r>
  <r>
    <s v="SYD/CDC"/>
    <s v="CDC"/>
    <x v="1"/>
    <x v="4"/>
    <x v="65"/>
    <x v="6"/>
    <x v="704"/>
    <n v="12681"/>
    <n v="30"/>
    <m/>
    <n v="0"/>
    <m/>
    <n v="0"/>
    <n v="0"/>
    <n v="0"/>
    <n v="0"/>
    <n v="0"/>
    <n v="0"/>
    <n v="0"/>
    <n v="0"/>
    <n v="0"/>
    <n v="0"/>
  </r>
  <r>
    <s v="SYD/TWF"/>
    <s v="TWF"/>
    <x v="1"/>
    <x v="4"/>
    <x v="65"/>
    <x v="6"/>
    <x v="705"/>
    <n v="12796"/>
    <n v="30.25"/>
    <m/>
    <n v="0"/>
    <m/>
    <n v="0"/>
    <n v="0"/>
    <n v="0"/>
    <n v="0"/>
    <n v="0"/>
    <n v="0"/>
    <n v="0"/>
    <n v="0"/>
    <n v="0"/>
    <n v="0"/>
  </r>
  <r>
    <s v="SYD/PIH"/>
    <s v="PIH"/>
    <x v="1"/>
    <x v="4"/>
    <x v="65"/>
    <x v="6"/>
    <x v="706"/>
    <n v="12957"/>
    <n v="30.5"/>
    <m/>
    <n v="0"/>
    <m/>
    <n v="0"/>
    <n v="0"/>
    <n v="0"/>
    <n v="0"/>
    <n v="0"/>
    <n v="0"/>
    <n v="0"/>
    <n v="0"/>
    <n v="0"/>
    <n v="0"/>
  </r>
  <r>
    <s v="SYD/BTM"/>
    <s v="BTM"/>
    <x v="1"/>
    <x v="4"/>
    <x v="65"/>
    <x v="6"/>
    <x v="707"/>
    <n v="13091"/>
    <n v="30.75"/>
    <m/>
    <n v="0"/>
    <m/>
    <n v="0"/>
    <n v="0"/>
    <n v="0"/>
    <n v="0"/>
    <n v="0"/>
    <n v="0"/>
    <n v="0"/>
    <n v="0"/>
    <n v="0"/>
    <n v="0"/>
  </r>
  <r>
    <s v="SYD/SAF"/>
    <s v="SAF"/>
    <x v="1"/>
    <x v="4"/>
    <x v="65"/>
    <x v="6"/>
    <x v="708"/>
    <n v="13156"/>
    <n v="31"/>
    <m/>
    <n v="0"/>
    <m/>
    <n v="0"/>
    <n v="0"/>
    <n v="0"/>
    <n v="0"/>
    <n v="0"/>
    <n v="0"/>
    <n v="0"/>
    <n v="0"/>
    <n v="0"/>
    <n v="0"/>
  </r>
  <r>
    <s v="SYD/RKS"/>
    <s v="RKS"/>
    <x v="1"/>
    <x v="4"/>
    <x v="65"/>
    <x v="6"/>
    <x v="709"/>
    <n v="13170"/>
    <n v="31"/>
    <m/>
    <n v="0"/>
    <m/>
    <n v="0"/>
    <n v="0"/>
    <n v="0"/>
    <n v="0"/>
    <n v="0"/>
    <n v="0"/>
    <n v="0"/>
    <n v="0"/>
    <n v="0"/>
    <n v="0"/>
  </r>
  <r>
    <s v="SYD/ALS"/>
    <s v="ALS"/>
    <x v="1"/>
    <x v="4"/>
    <x v="65"/>
    <x v="6"/>
    <x v="710"/>
    <n v="13252"/>
    <n v="31.25"/>
    <m/>
    <n v="0"/>
    <m/>
    <n v="0"/>
    <n v="0"/>
    <n v="0"/>
    <n v="0"/>
    <n v="0"/>
    <n v="0"/>
    <n v="0"/>
    <n v="0"/>
    <n v="0"/>
    <n v="0"/>
  </r>
  <r>
    <s v="SYD/COD"/>
    <s v="COD"/>
    <x v="1"/>
    <x v="4"/>
    <x v="65"/>
    <x v="6"/>
    <x v="711"/>
    <n v="13289"/>
    <n v="31.25"/>
    <m/>
    <n v="0"/>
    <m/>
    <n v="0"/>
    <n v="0"/>
    <n v="0"/>
    <n v="0"/>
    <n v="0"/>
    <n v="0"/>
    <n v="0"/>
    <n v="0"/>
    <n v="0"/>
    <n v="0"/>
  </r>
  <r>
    <s v="SYD/PUB"/>
    <s v="PUB"/>
    <x v="1"/>
    <x v="4"/>
    <x v="65"/>
    <x v="6"/>
    <x v="712"/>
    <n v="13399"/>
    <n v="31.5"/>
    <m/>
    <n v="0"/>
    <m/>
    <n v="0"/>
    <n v="0"/>
    <n v="0"/>
    <n v="0"/>
    <n v="0"/>
    <n v="0"/>
    <n v="0"/>
    <n v="0"/>
    <n v="0"/>
    <n v="0"/>
  </r>
  <r>
    <s v="SYD/LAR"/>
    <s v="LAR"/>
    <x v="1"/>
    <x v="4"/>
    <x v="65"/>
    <x v="6"/>
    <x v="713"/>
    <n v="13423"/>
    <n v="31.5"/>
    <m/>
    <n v="0"/>
    <m/>
    <n v="0"/>
    <n v="0"/>
    <n v="0"/>
    <n v="0"/>
    <n v="0"/>
    <n v="0"/>
    <n v="0"/>
    <n v="0"/>
    <n v="0"/>
    <n v="0"/>
  </r>
  <r>
    <s v="SYD/FNL"/>
    <s v="FNL"/>
    <x v="1"/>
    <x v="4"/>
    <x v="65"/>
    <x v="6"/>
    <x v="714"/>
    <n v="13443"/>
    <n v="31.75"/>
    <m/>
    <n v="0"/>
    <m/>
    <n v="0"/>
    <n v="0"/>
    <n v="0"/>
    <n v="0"/>
    <n v="0"/>
    <n v="0"/>
    <n v="0"/>
    <n v="0"/>
    <n v="0"/>
    <n v="0"/>
  </r>
  <r>
    <s v="SYD/SHR"/>
    <s v="SHR"/>
    <x v="1"/>
    <x v="4"/>
    <x v="65"/>
    <x v="6"/>
    <x v="715"/>
    <n v="13451"/>
    <n v="31.75"/>
    <m/>
    <n v="0"/>
    <m/>
    <n v="0"/>
    <n v="0"/>
    <n v="0"/>
    <n v="0"/>
    <n v="0"/>
    <n v="0"/>
    <n v="0"/>
    <n v="0"/>
    <n v="0"/>
    <n v="0"/>
  </r>
  <r>
    <s v="SYD/CYS"/>
    <s v="CYS"/>
    <x v="1"/>
    <x v="4"/>
    <x v="65"/>
    <x v="6"/>
    <x v="716"/>
    <n v="13486"/>
    <n v="31.75"/>
    <m/>
    <n v="0"/>
    <m/>
    <n v="0"/>
    <n v="0"/>
    <n v="0"/>
    <n v="0"/>
    <n v="0"/>
    <n v="0"/>
    <n v="0"/>
    <n v="0"/>
    <n v="0"/>
    <n v="0"/>
  </r>
  <r>
    <s v="SYD/VCT"/>
    <s v="VCT"/>
    <x v="1"/>
    <x v="4"/>
    <x v="65"/>
    <x v="6"/>
    <x v="717"/>
    <n v="13649"/>
    <n v="32"/>
    <m/>
    <n v="0"/>
    <m/>
    <n v="0"/>
    <n v="0"/>
    <n v="0"/>
    <n v="0"/>
    <n v="0"/>
    <n v="0"/>
    <n v="0"/>
    <n v="0"/>
    <n v="0"/>
    <n v="0"/>
  </r>
  <r>
    <s v="SYD/GGG"/>
    <s v="GGG"/>
    <x v="1"/>
    <x v="4"/>
    <x v="65"/>
    <x v="6"/>
    <x v="718"/>
    <n v="13994"/>
    <n v="32.75"/>
    <m/>
    <n v="0"/>
    <m/>
    <n v="0"/>
    <n v="0"/>
    <n v="0"/>
    <n v="0"/>
    <n v="0"/>
    <n v="0"/>
    <n v="0"/>
    <n v="0"/>
    <n v="0"/>
    <n v="0"/>
  </r>
  <r>
    <s v="SYD/SUX"/>
    <s v="SUX"/>
    <x v="1"/>
    <x v="4"/>
    <x v="65"/>
    <x v="6"/>
    <x v="719"/>
    <n v="14194"/>
    <n v="33.25"/>
    <m/>
    <n v="0"/>
    <m/>
    <n v="0"/>
    <n v="0"/>
    <n v="0"/>
    <n v="0"/>
    <n v="0"/>
    <n v="0"/>
    <n v="0"/>
    <n v="0"/>
    <n v="0"/>
    <n v="0"/>
  </r>
  <r>
    <s v="SYD/ALO"/>
    <s v="ALO"/>
    <x v="1"/>
    <x v="4"/>
    <x v="65"/>
    <x v="6"/>
    <x v="720"/>
    <n v="14516"/>
    <n v="34"/>
    <m/>
    <n v="0"/>
    <m/>
    <n v="0"/>
    <n v="0"/>
    <n v="0"/>
    <n v="0"/>
    <n v="0"/>
    <n v="0"/>
    <n v="0"/>
    <n v="0"/>
    <n v="0"/>
    <n v="0"/>
  </r>
  <r>
    <s v="SYD/MEI"/>
    <s v="MEI"/>
    <x v="1"/>
    <x v="4"/>
    <x v="65"/>
    <x v="6"/>
    <x v="721"/>
    <n v="14518"/>
    <n v="34"/>
    <m/>
    <n v="0"/>
    <m/>
    <n v="0"/>
    <n v="0"/>
    <n v="0"/>
    <n v="0"/>
    <n v="0"/>
    <n v="0"/>
    <n v="0"/>
    <n v="0"/>
    <n v="0"/>
    <n v="0"/>
  </r>
  <r>
    <s v="SYD/BLV"/>
    <s v="BLV"/>
    <x v="1"/>
    <x v="4"/>
    <x v="65"/>
    <x v="6"/>
    <x v="722"/>
    <n v="14624"/>
    <n v="34.25"/>
    <m/>
    <n v="0"/>
    <m/>
    <n v="0"/>
    <n v="0"/>
    <n v="0"/>
    <n v="0"/>
    <n v="0"/>
    <n v="0"/>
    <n v="0"/>
    <n v="0"/>
    <n v="0"/>
    <n v="0"/>
  </r>
  <r>
    <s v="SYD/DEC"/>
    <s v="DEC"/>
    <x v="1"/>
    <x v="4"/>
    <x v="65"/>
    <x v="6"/>
    <x v="723"/>
    <n v="14739"/>
    <n v="34.5"/>
    <m/>
    <n v="0"/>
    <m/>
    <n v="0"/>
    <n v="0"/>
    <n v="0"/>
    <n v="0"/>
    <n v="0"/>
    <n v="0"/>
    <n v="0"/>
    <n v="0"/>
    <n v="0"/>
    <n v="0"/>
  </r>
  <r>
    <s v="SYD/MFR"/>
    <s v="MFR"/>
    <x v="1"/>
    <x v="5"/>
    <x v="65"/>
    <x v="6"/>
    <x v="724"/>
    <n v="12174"/>
    <n v="28.75"/>
    <m/>
    <n v="0"/>
    <m/>
    <n v="0"/>
    <n v="0"/>
    <n v="0"/>
    <n v="0"/>
    <n v="0"/>
    <n v="0"/>
    <n v="0"/>
    <n v="0"/>
    <n v="0"/>
    <n v="0"/>
  </r>
  <r>
    <s v="SYD/JNU"/>
    <s v="JNU"/>
    <x v="1"/>
    <x v="5"/>
    <x v="65"/>
    <x v="6"/>
    <x v="725"/>
    <n v="12338"/>
    <n v="29.25"/>
    <m/>
    <n v="0"/>
    <m/>
    <n v="0"/>
    <n v="0"/>
    <n v="0"/>
    <n v="0"/>
    <n v="0"/>
    <n v="0"/>
    <n v="0"/>
    <n v="0"/>
    <n v="0"/>
    <n v="0"/>
  </r>
  <r>
    <s v="SYD/GCN"/>
    <s v="GCN"/>
    <x v="1"/>
    <x v="5"/>
    <x v="65"/>
    <x v="6"/>
    <x v="726"/>
    <n v="12674"/>
    <n v="30"/>
    <m/>
    <n v="0"/>
    <m/>
    <n v="0"/>
    <n v="0"/>
    <n v="0"/>
    <n v="0"/>
    <n v="0"/>
    <n v="0"/>
    <n v="0"/>
    <n v="0"/>
    <n v="0"/>
    <n v="0"/>
  </r>
  <r>
    <s v="SYD/GEG"/>
    <s v="GEG"/>
    <x v="1"/>
    <x v="5"/>
    <x v="65"/>
    <x v="6"/>
    <x v="727"/>
    <n v="12808"/>
    <n v="30.25"/>
    <m/>
    <n v="0"/>
    <m/>
    <n v="0"/>
    <n v="0"/>
    <n v="0"/>
    <n v="0"/>
    <n v="0"/>
    <n v="0"/>
    <n v="0"/>
    <n v="0"/>
    <n v="0"/>
    <n v="0"/>
  </r>
  <r>
    <s v="SYD/IDA"/>
    <s v="IDA"/>
    <x v="1"/>
    <x v="5"/>
    <x v="65"/>
    <x v="6"/>
    <x v="728"/>
    <n v="13022"/>
    <n v="30.75"/>
    <m/>
    <n v="0"/>
    <m/>
    <n v="0"/>
    <n v="0"/>
    <n v="0"/>
    <n v="0"/>
    <n v="0"/>
    <n v="0"/>
    <n v="0"/>
    <n v="0"/>
    <n v="0"/>
    <n v="0"/>
  </r>
  <r>
    <s v="SYD/FCA"/>
    <s v="FCA"/>
    <x v="1"/>
    <x v="5"/>
    <x v="65"/>
    <x v="6"/>
    <x v="729"/>
    <n v="13063"/>
    <n v="30.75"/>
    <m/>
    <n v="0"/>
    <m/>
    <n v="0"/>
    <n v="0"/>
    <n v="0"/>
    <n v="0"/>
    <n v="0"/>
    <n v="0"/>
    <n v="0"/>
    <n v="0"/>
    <n v="0"/>
    <n v="0"/>
  </r>
  <r>
    <s v="SYD/BZN"/>
    <s v="BZN"/>
    <x v="1"/>
    <x v="5"/>
    <x v="65"/>
    <x v="6"/>
    <x v="730"/>
    <n v="13182"/>
    <n v="31"/>
    <m/>
    <n v="0"/>
    <m/>
    <n v="0"/>
    <n v="0"/>
    <n v="0"/>
    <n v="0"/>
    <n v="0"/>
    <n v="0"/>
    <n v="0"/>
    <n v="0"/>
    <n v="0"/>
    <n v="0"/>
  </r>
  <r>
    <s v="SYD/EGE"/>
    <s v="EGE"/>
    <x v="1"/>
    <x v="5"/>
    <x v="65"/>
    <x v="6"/>
    <x v="731"/>
    <n v="13259"/>
    <n v="31.25"/>
    <m/>
    <n v="0"/>
    <m/>
    <n v="0"/>
    <n v="0"/>
    <n v="0"/>
    <n v="0"/>
    <n v="0"/>
    <n v="0"/>
    <n v="0"/>
    <n v="0"/>
    <n v="0"/>
    <n v="0"/>
  </r>
  <r>
    <s v="SYD/LRD"/>
    <s v="LRD"/>
    <x v="1"/>
    <x v="5"/>
    <x v="65"/>
    <x v="6"/>
    <x v="732"/>
    <n v="13362"/>
    <n v="31.5"/>
    <m/>
    <n v="0"/>
    <m/>
    <n v="0"/>
    <n v="0"/>
    <n v="0"/>
    <n v="0"/>
    <n v="0"/>
    <n v="0"/>
    <n v="0"/>
    <n v="0"/>
    <n v="0"/>
    <n v="0"/>
  </r>
  <r>
    <s v="SYD/HRL"/>
    <s v="HRL"/>
    <x v="1"/>
    <x v="5"/>
    <x v="65"/>
    <x v="6"/>
    <x v="733"/>
    <n v="13461"/>
    <n v="31.75"/>
    <m/>
    <n v="0"/>
    <m/>
    <n v="0"/>
    <n v="0"/>
    <n v="0"/>
    <n v="0"/>
    <n v="0"/>
    <n v="0"/>
    <n v="0"/>
    <n v="0"/>
    <n v="0"/>
    <n v="0"/>
  </r>
  <r>
    <s v="SYD/RAP"/>
    <s v="RAP"/>
    <x v="1"/>
    <x v="5"/>
    <x v="65"/>
    <x v="6"/>
    <x v="734"/>
    <n v="13723"/>
    <n v="32.25"/>
    <m/>
    <n v="0"/>
    <m/>
    <n v="0"/>
    <n v="0"/>
    <n v="0"/>
    <n v="0"/>
    <n v="0"/>
    <n v="0"/>
    <n v="0"/>
    <n v="0"/>
    <n v="0"/>
    <n v="0"/>
  </r>
  <r>
    <s v="SYD/BIS"/>
    <s v="BIS"/>
    <x v="1"/>
    <x v="5"/>
    <x v="65"/>
    <x v="6"/>
    <x v="735"/>
    <n v="13978"/>
    <n v="32.75"/>
    <m/>
    <n v="0"/>
    <m/>
    <n v="0"/>
    <n v="0"/>
    <n v="0"/>
    <n v="0"/>
    <n v="0"/>
    <n v="0"/>
    <n v="0"/>
    <n v="0"/>
    <n v="0"/>
    <n v="0"/>
  </r>
  <r>
    <s v="SYD/SHV"/>
    <s v="SHV"/>
    <x v="1"/>
    <x v="5"/>
    <x v="65"/>
    <x v="6"/>
    <x v="736"/>
    <n v="14074"/>
    <n v="33"/>
    <m/>
    <n v="0"/>
    <m/>
    <n v="0"/>
    <n v="0"/>
    <n v="0"/>
    <n v="0"/>
    <n v="0"/>
    <n v="0"/>
    <n v="0"/>
    <n v="0"/>
    <n v="0"/>
    <n v="0"/>
  </r>
  <r>
    <s v="SYD/XNA"/>
    <s v="XNA"/>
    <x v="1"/>
    <x v="5"/>
    <x v="65"/>
    <x v="6"/>
    <x v="737"/>
    <n v="14174"/>
    <n v="33.25"/>
    <m/>
    <n v="0"/>
    <m/>
    <n v="0"/>
    <n v="0"/>
    <n v="0"/>
    <n v="0"/>
    <n v="0"/>
    <n v="0"/>
    <n v="0"/>
    <n v="0"/>
    <n v="0"/>
    <n v="0"/>
  </r>
  <r>
    <s v="SYD/FSD"/>
    <s v="FSD"/>
    <x v="1"/>
    <x v="5"/>
    <x v="65"/>
    <x v="6"/>
    <x v="738"/>
    <n v="14198"/>
    <n v="33.25"/>
    <m/>
    <n v="0"/>
    <m/>
    <n v="0"/>
    <n v="0"/>
    <n v="0"/>
    <n v="0"/>
    <n v="0"/>
    <n v="0"/>
    <n v="0"/>
    <n v="0"/>
    <n v="0"/>
    <n v="0"/>
  </r>
  <r>
    <s v="SYD/FAR"/>
    <s v="FAR"/>
    <x v="1"/>
    <x v="5"/>
    <x v="65"/>
    <x v="6"/>
    <x v="739"/>
    <n v="14273"/>
    <n v="33.5"/>
    <m/>
    <n v="0"/>
    <m/>
    <n v="0"/>
    <n v="0"/>
    <n v="0"/>
    <n v="0"/>
    <n v="0"/>
    <n v="0"/>
    <n v="0"/>
    <n v="0"/>
    <n v="0"/>
    <n v="0"/>
  </r>
  <r>
    <s v="SYD/LIT"/>
    <s v="LIT"/>
    <x v="1"/>
    <x v="5"/>
    <x v="65"/>
    <x v="6"/>
    <x v="740"/>
    <n v="14299"/>
    <n v="33.5"/>
    <m/>
    <n v="0"/>
    <m/>
    <n v="0"/>
    <n v="0"/>
    <n v="0"/>
    <n v="0"/>
    <n v="0"/>
    <n v="0"/>
    <n v="0"/>
    <n v="0"/>
    <n v="0"/>
    <n v="0"/>
  </r>
  <r>
    <s v="SYD/DSM"/>
    <s v="DSM"/>
    <x v="1"/>
    <x v="5"/>
    <x v="65"/>
    <x v="6"/>
    <x v="741"/>
    <n v="14388"/>
    <n v="33.75"/>
    <m/>
    <n v="0"/>
    <m/>
    <n v="0"/>
    <n v="0"/>
    <n v="0"/>
    <n v="0"/>
    <n v="0"/>
    <n v="0"/>
    <n v="0"/>
    <n v="0"/>
    <n v="0"/>
    <n v="0"/>
  </r>
  <r>
    <s v="SYD/JAN"/>
    <s v="JAN"/>
    <x v="1"/>
    <x v="5"/>
    <x v="65"/>
    <x v="6"/>
    <x v="742"/>
    <n v="14400"/>
    <n v="33.75"/>
    <m/>
    <n v="0"/>
    <m/>
    <n v="0"/>
    <n v="0"/>
    <n v="0"/>
    <n v="0"/>
    <n v="0"/>
    <n v="0"/>
    <n v="0"/>
    <n v="0"/>
    <n v="0"/>
    <n v="0"/>
  </r>
  <r>
    <s v="SYD/GPT"/>
    <s v="GPT"/>
    <x v="1"/>
    <x v="5"/>
    <x v="65"/>
    <x v="6"/>
    <x v="743"/>
    <n v="14417"/>
    <n v="33.75"/>
    <m/>
    <n v="0"/>
    <m/>
    <n v="0"/>
    <n v="0"/>
    <n v="0"/>
    <n v="0"/>
    <n v="0"/>
    <n v="0"/>
    <n v="0"/>
    <n v="0"/>
    <n v="0"/>
    <n v="0"/>
  </r>
  <r>
    <s v="SYD/MOB"/>
    <s v="MOB"/>
    <x v="1"/>
    <x v="5"/>
    <x v="65"/>
    <x v="6"/>
    <x v="744"/>
    <n v="14502"/>
    <n v="34"/>
    <m/>
    <n v="0"/>
    <m/>
    <n v="0"/>
    <n v="0"/>
    <n v="0"/>
    <n v="0"/>
    <n v="0"/>
    <n v="0"/>
    <n v="0"/>
    <n v="0"/>
    <n v="0"/>
    <n v="0"/>
  </r>
  <r>
    <s v="SYD/CID"/>
    <s v="CID"/>
    <x v="1"/>
    <x v="5"/>
    <x v="65"/>
    <x v="6"/>
    <x v="745"/>
    <n v="14556"/>
    <n v="34"/>
    <m/>
    <n v="0"/>
    <m/>
    <n v="0"/>
    <n v="0"/>
    <n v="0"/>
    <n v="0"/>
    <n v="0"/>
    <n v="0"/>
    <n v="0"/>
    <n v="0"/>
    <n v="0"/>
    <n v="0"/>
  </r>
  <r>
    <s v="SYD/LSE"/>
    <s v="LSE"/>
    <x v="1"/>
    <x v="5"/>
    <x v="65"/>
    <x v="6"/>
    <x v="746"/>
    <n v="14636"/>
    <n v="34.25"/>
    <m/>
    <n v="0"/>
    <m/>
    <n v="0"/>
    <n v="0"/>
    <n v="0"/>
    <n v="0"/>
    <n v="0"/>
    <n v="0"/>
    <n v="0"/>
    <n v="0"/>
    <n v="0"/>
    <n v="0"/>
  </r>
  <r>
    <s v="SYD/MGM"/>
    <s v="MGM"/>
    <x v="1"/>
    <x v="5"/>
    <x v="65"/>
    <x v="6"/>
    <x v="747"/>
    <n v="14727"/>
    <n v="34.5"/>
    <m/>
    <n v="0"/>
    <m/>
    <n v="0"/>
    <n v="0"/>
    <n v="0"/>
    <n v="0"/>
    <n v="0"/>
    <n v="0"/>
    <n v="0"/>
    <n v="0"/>
    <n v="0"/>
    <n v="0"/>
  </r>
  <r>
    <s v="SYD/MSN"/>
    <s v="MSN"/>
    <x v="1"/>
    <x v="5"/>
    <x v="65"/>
    <x v="6"/>
    <x v="748"/>
    <n v="14773"/>
    <n v="34.5"/>
    <m/>
    <n v="0"/>
    <m/>
    <n v="0"/>
    <n v="0"/>
    <n v="0"/>
    <n v="0"/>
    <n v="0"/>
    <n v="0"/>
    <n v="0"/>
    <n v="0"/>
    <n v="0"/>
    <n v="0"/>
  </r>
  <r>
    <s v="SYD/GRB"/>
    <s v="GRB"/>
    <x v="1"/>
    <x v="5"/>
    <x v="65"/>
    <x v="6"/>
    <x v="749"/>
    <n v="14893"/>
    <n v="34.75"/>
    <m/>
    <n v="0"/>
    <m/>
    <n v="0"/>
    <n v="0"/>
    <n v="0"/>
    <n v="0"/>
    <n v="0"/>
    <n v="0"/>
    <n v="0"/>
    <n v="0"/>
    <n v="0"/>
    <n v="0"/>
  </r>
  <r>
    <s v="SYD/SBN"/>
    <s v="SBN"/>
    <x v="1"/>
    <x v="5"/>
    <x v="65"/>
    <x v="6"/>
    <x v="750"/>
    <n v="14990"/>
    <n v="35"/>
    <m/>
    <n v="0"/>
    <m/>
    <n v="0"/>
    <n v="0"/>
    <n v="0"/>
    <n v="0"/>
    <n v="0"/>
    <n v="0"/>
    <n v="0"/>
    <n v="0"/>
    <n v="0"/>
    <n v="0"/>
  </r>
  <r>
    <s v="SYD/TYS"/>
    <s v="TYS"/>
    <x v="1"/>
    <x v="5"/>
    <x v="65"/>
    <x v="6"/>
    <x v="751"/>
    <n v="15050"/>
    <n v="35.25"/>
    <m/>
    <n v="0"/>
    <m/>
    <n v="0"/>
    <n v="0"/>
    <n v="0"/>
    <n v="0"/>
    <n v="0"/>
    <n v="0"/>
    <n v="0"/>
    <n v="0"/>
    <n v="0"/>
    <n v="0"/>
  </r>
  <r>
    <s v="SYD/CBR"/>
    <s v="CBR"/>
    <x v="1"/>
    <x v="3"/>
    <x v="61"/>
    <x v="2"/>
    <x v="752"/>
    <n v="236"/>
    <n v="2.75"/>
    <m/>
    <n v="0"/>
    <m/>
    <n v="0"/>
    <n v="0"/>
    <n v="0"/>
    <n v="0"/>
    <n v="0"/>
    <n v="0"/>
    <n v="0"/>
    <n v="0"/>
    <n v="0"/>
    <n v="0"/>
  </r>
  <r>
    <s v="SYD/AVV"/>
    <s v="AVV"/>
    <x v="1"/>
    <x v="2"/>
    <x v="61"/>
    <x v="2"/>
    <x v="753"/>
    <n v="755"/>
    <n v="3.75"/>
    <m/>
    <n v="0"/>
    <m/>
    <n v="0"/>
    <n v="0"/>
    <n v="0"/>
    <n v="0"/>
    <n v="0"/>
    <n v="0"/>
    <n v="0"/>
    <n v="0"/>
    <n v="0"/>
    <n v="0"/>
  </r>
  <r>
    <s v="SYD/BHQ"/>
    <s v="BHQ"/>
    <x v="1"/>
    <x v="4"/>
    <x v="61"/>
    <x v="2"/>
    <x v="754"/>
    <n v="930"/>
    <n v="4.25"/>
    <m/>
    <n v="0"/>
    <m/>
    <n v="0"/>
    <n v="0"/>
    <n v="0"/>
    <n v="0"/>
    <n v="0"/>
    <n v="0"/>
    <n v="0"/>
    <n v="0"/>
    <n v="0"/>
    <n v="0"/>
  </r>
  <r>
    <s v="SYD/ADL"/>
    <s v="ADL"/>
    <x v="1"/>
    <x v="0"/>
    <x v="61"/>
    <x v="2"/>
    <x v="755"/>
    <n v="1164"/>
    <n v="4.75"/>
    <m/>
    <n v="0"/>
    <m/>
    <n v="0"/>
    <n v="0"/>
    <n v="0"/>
    <n v="0"/>
    <n v="0"/>
    <n v="0"/>
    <n v="0"/>
    <n v="0"/>
    <n v="0"/>
    <n v="0"/>
  </r>
  <r>
    <s v="SYD/ROK"/>
    <s v="ROK"/>
    <x v="1"/>
    <x v="2"/>
    <x v="61"/>
    <x v="2"/>
    <x v="756"/>
    <n v="1176"/>
    <n v="4.75"/>
    <m/>
    <n v="0"/>
    <m/>
    <n v="0"/>
    <n v="0"/>
    <n v="0"/>
    <n v="0"/>
    <n v="0"/>
    <n v="0"/>
    <n v="0"/>
    <n v="0"/>
    <n v="0"/>
    <n v="0"/>
  </r>
  <r>
    <s v="SYD/ISA"/>
    <s v="ISA"/>
    <x v="1"/>
    <x v="2"/>
    <x v="61"/>
    <x v="2"/>
    <x v="757"/>
    <n v="1872"/>
    <n v="6.25"/>
    <m/>
    <n v="0"/>
    <m/>
    <n v="0"/>
    <n v="0"/>
    <n v="0"/>
    <n v="0"/>
    <n v="0"/>
    <n v="0"/>
    <n v="0"/>
    <n v="0"/>
    <n v="0"/>
    <n v="0"/>
  </r>
  <r>
    <s v="SYD/CNS"/>
    <s v="CNS"/>
    <x v="1"/>
    <x v="3"/>
    <x v="61"/>
    <x v="2"/>
    <x v="758"/>
    <n v="1974"/>
    <n v="6.5"/>
    <m/>
    <n v="0"/>
    <m/>
    <n v="0"/>
    <n v="0"/>
    <n v="0"/>
    <n v="0"/>
    <n v="0"/>
    <n v="0"/>
    <n v="0"/>
    <n v="0"/>
    <n v="0"/>
    <n v="0"/>
  </r>
  <r>
    <s v="SYD/AYQ"/>
    <s v="AYQ"/>
    <x v="1"/>
    <x v="2"/>
    <x v="61"/>
    <x v="2"/>
    <x v="759"/>
    <n v="2178"/>
    <n v="7"/>
    <m/>
    <n v="0"/>
    <m/>
    <n v="0"/>
    <n v="0"/>
    <n v="0"/>
    <n v="0"/>
    <n v="0"/>
    <n v="0"/>
    <n v="0"/>
    <n v="0"/>
    <n v="0"/>
    <n v="0"/>
  </r>
  <r>
    <s v="SYD/VLI"/>
    <s v="VLI"/>
    <x v="1"/>
    <x v="2"/>
    <x v="115"/>
    <x v="2"/>
    <x v="760"/>
    <n v="2484"/>
    <n v="7.5"/>
    <m/>
    <n v="0"/>
    <m/>
    <n v="0"/>
    <n v="0"/>
    <n v="0"/>
    <n v="0"/>
    <n v="0"/>
    <n v="0"/>
    <n v="0"/>
    <n v="0"/>
    <n v="0"/>
    <n v="0"/>
  </r>
  <r>
    <s v="SYD/DCN"/>
    <s v="DCN"/>
    <x v="1"/>
    <x v="4"/>
    <x v="61"/>
    <x v="2"/>
    <x v="761"/>
    <n v="3271"/>
    <n v="9.25"/>
    <m/>
    <n v="0"/>
    <m/>
    <n v="0"/>
    <n v="0"/>
    <n v="0"/>
    <n v="0"/>
    <n v="0"/>
    <n v="0"/>
    <n v="0"/>
    <n v="0"/>
    <n v="0"/>
    <n v="0"/>
  </r>
  <r>
    <s v="SYD/TBU"/>
    <s v="TBU"/>
    <x v="1"/>
    <x v="2"/>
    <x v="116"/>
    <x v="2"/>
    <x v="762"/>
    <n v="3587"/>
    <n v="10"/>
    <m/>
    <n v="0"/>
    <m/>
    <n v="0"/>
    <n v="0"/>
    <n v="0"/>
    <n v="0"/>
    <n v="0"/>
    <n v="0"/>
    <n v="0"/>
    <n v="0"/>
    <n v="0"/>
    <n v="0"/>
  </r>
  <r>
    <s v="SYD/LEA"/>
    <s v="LEA"/>
    <x v="1"/>
    <x v="4"/>
    <x v="61"/>
    <x v="2"/>
    <x v="763"/>
    <n v="3840"/>
    <n v="10.5"/>
    <m/>
    <n v="0"/>
    <m/>
    <n v="0"/>
    <n v="0"/>
    <n v="0"/>
    <n v="0"/>
    <n v="0"/>
    <n v="0"/>
    <n v="0"/>
    <n v="0"/>
    <n v="0"/>
    <n v="0"/>
  </r>
  <r>
    <s v="SYD/APW"/>
    <s v="APW"/>
    <x v="1"/>
    <x v="2"/>
    <x v="117"/>
    <x v="2"/>
    <x v="764"/>
    <n v="4326"/>
    <n v="11.5"/>
    <m/>
    <n v="0"/>
    <m/>
    <n v="0"/>
    <n v="2650"/>
    <n v="2650"/>
    <n v="2"/>
    <n v="23"/>
    <n v="0"/>
    <n v="0"/>
    <n v="0"/>
    <n v="0"/>
    <n v="0"/>
  </r>
  <r>
    <s v="SYD/PPG"/>
    <s v="PPG"/>
    <x v="1"/>
    <x v="2"/>
    <x v="118"/>
    <x v="2"/>
    <x v="765"/>
    <n v="4403"/>
    <n v="11.75"/>
    <m/>
    <n v="0"/>
    <m/>
    <n v="0"/>
    <n v="2448"/>
    <n v="2448"/>
    <n v="2"/>
    <n v="23.5"/>
    <n v="0"/>
    <n v="0"/>
    <n v="0"/>
    <n v="0"/>
    <n v="0"/>
  </r>
  <r>
    <s v="SYD/GUM"/>
    <s v="GUM"/>
    <x v="1"/>
    <x v="3"/>
    <x v="119"/>
    <x v="2"/>
    <x v="766"/>
    <n v="5318"/>
    <n v="13.75"/>
    <m/>
    <n v="0"/>
    <m/>
    <n v="0"/>
    <n v="0"/>
    <n v="0"/>
    <n v="0"/>
    <n v="0"/>
    <n v="0"/>
    <n v="0"/>
    <n v="0"/>
    <n v="0"/>
    <n v="0"/>
  </r>
  <r>
    <s v="SYD/TIQ"/>
    <s v="TIQ"/>
    <x v="1"/>
    <x v="4"/>
    <x v="120"/>
    <x v="2"/>
    <x v="767"/>
    <n v="5475"/>
    <n v="14.25"/>
    <m/>
    <n v="0"/>
    <m/>
    <n v="0"/>
    <n v="0"/>
    <n v="0"/>
    <n v="0"/>
    <n v="0"/>
    <n v="0"/>
    <n v="0"/>
    <n v="0"/>
    <n v="0"/>
    <n v="0"/>
  </r>
  <r>
    <s v="SYD/SPN"/>
    <s v="SPN"/>
    <x v="1"/>
    <x v="2"/>
    <x v="120"/>
    <x v="2"/>
    <x v="768"/>
    <n v="5487"/>
    <n v="14.25"/>
    <m/>
    <n v="0"/>
    <m/>
    <n v="0"/>
    <n v="0"/>
    <n v="0"/>
    <n v="0"/>
    <n v="0"/>
    <n v="0"/>
    <n v="0"/>
    <n v="0"/>
    <n v="0"/>
    <n v="0"/>
  </r>
  <r>
    <s v="SYD/HOI"/>
    <s v="HOI"/>
    <x v="1"/>
    <x v="4"/>
    <x v="75"/>
    <x v="2"/>
    <x v="769"/>
    <n v="6890"/>
    <n v="17.25"/>
    <m/>
    <n v="0"/>
    <m/>
    <n v="0"/>
    <n v="1737"/>
    <n v="1737"/>
    <n v="1"/>
    <n v="17.25"/>
    <n v="0"/>
    <n v="0"/>
    <n v="0"/>
    <n v="0"/>
    <n v="0"/>
  </r>
  <r>
    <s v="SYD/RGL"/>
    <s v="RGL"/>
    <x v="1"/>
    <x v="2"/>
    <x v="40"/>
    <x v="3"/>
    <x v="770"/>
    <n v="9717"/>
    <n v="23.5"/>
    <m/>
    <n v="0"/>
    <m/>
    <n v="0"/>
    <n v="0"/>
    <n v="0"/>
    <n v="0"/>
    <n v="0"/>
    <n v="0"/>
    <n v="0"/>
    <n v="0"/>
    <n v="0"/>
    <n v="0"/>
  </r>
  <r>
    <s v="SYD/GGS"/>
    <s v="GGS"/>
    <x v="1"/>
    <x v="4"/>
    <x v="40"/>
    <x v="3"/>
    <x v="771"/>
    <n v="9949"/>
    <n v="24"/>
    <m/>
    <n v="0"/>
    <m/>
    <n v="0"/>
    <n v="0"/>
    <n v="0"/>
    <n v="0"/>
    <n v="0"/>
    <n v="0"/>
    <n v="0"/>
    <n v="0"/>
    <n v="0"/>
    <n v="0"/>
  </r>
  <r>
    <s v="SYD/BBA"/>
    <s v="BBA"/>
    <x v="1"/>
    <x v="2"/>
    <x v="45"/>
    <x v="3"/>
    <x v="772"/>
    <n v="10149"/>
    <n v="24.5"/>
    <m/>
    <n v="0"/>
    <m/>
    <n v="0"/>
    <n v="0"/>
    <n v="0"/>
    <n v="0"/>
    <n v="0"/>
    <n v="0"/>
    <n v="0"/>
    <n v="0"/>
    <n v="0"/>
    <n v="0"/>
  </r>
  <r>
    <s v="SYD/CRD"/>
    <s v="CRD"/>
    <x v="1"/>
    <x v="2"/>
    <x v="40"/>
    <x v="3"/>
    <x v="773"/>
    <n v="10338"/>
    <n v="24.75"/>
    <m/>
    <n v="0"/>
    <m/>
    <n v="0"/>
    <n v="0"/>
    <n v="0"/>
    <n v="0"/>
    <n v="0"/>
    <n v="0"/>
    <n v="0"/>
    <n v="0"/>
    <n v="0"/>
    <n v="0"/>
  </r>
  <r>
    <s v="SYD/PMC"/>
    <s v="PMC"/>
    <x v="1"/>
    <x v="2"/>
    <x v="45"/>
    <x v="3"/>
    <x v="774"/>
    <n v="10493"/>
    <n v="25.25"/>
    <m/>
    <n v="0"/>
    <m/>
    <n v="0"/>
    <n v="0"/>
    <n v="0"/>
    <n v="0"/>
    <n v="0"/>
    <n v="0"/>
    <n v="0"/>
    <n v="0"/>
    <n v="0"/>
    <n v="0"/>
  </r>
  <r>
    <s v="SYD/REL"/>
    <s v="REL"/>
    <x v="1"/>
    <x v="2"/>
    <x v="40"/>
    <x v="3"/>
    <x v="775"/>
    <n v="10674"/>
    <n v="25.5"/>
    <m/>
    <n v="0"/>
    <m/>
    <n v="0"/>
    <n v="0"/>
    <n v="0"/>
    <n v="0"/>
    <n v="0"/>
    <n v="0"/>
    <n v="0"/>
    <n v="0"/>
    <n v="0"/>
    <n v="0"/>
  </r>
  <r>
    <s v="SYD/NQN"/>
    <s v="NQN"/>
    <x v="1"/>
    <x v="2"/>
    <x v="40"/>
    <x v="3"/>
    <x v="776"/>
    <n v="10956"/>
    <n v="26.25"/>
    <m/>
    <n v="0"/>
    <m/>
    <n v="0"/>
    <n v="0"/>
    <n v="0"/>
    <n v="0"/>
    <n v="0"/>
    <n v="0"/>
    <n v="0"/>
    <n v="0"/>
    <n v="0"/>
    <n v="0"/>
  </r>
  <r>
    <s v="SYD/VDM"/>
    <s v="VDM"/>
    <x v="1"/>
    <x v="4"/>
    <x v="40"/>
    <x v="3"/>
    <x v="777"/>
    <n v="10993"/>
    <n v="26.25"/>
    <m/>
    <n v="0"/>
    <m/>
    <n v="0"/>
    <n v="0"/>
    <n v="0"/>
    <n v="0"/>
    <n v="0"/>
    <n v="0"/>
    <n v="0"/>
    <n v="0"/>
    <n v="0"/>
    <n v="0"/>
  </r>
  <r>
    <s v="SYD/LGS"/>
    <s v="LGS"/>
    <x v="1"/>
    <x v="4"/>
    <x v="40"/>
    <x v="3"/>
    <x v="778"/>
    <n v="11211"/>
    <n v="26.75"/>
    <m/>
    <n v="0"/>
    <m/>
    <n v="0"/>
    <n v="0"/>
    <n v="0"/>
    <n v="0"/>
    <n v="0"/>
    <n v="0"/>
    <n v="0"/>
    <n v="0"/>
    <n v="0"/>
    <n v="0"/>
  </r>
  <r>
    <s v="SYD/BHI"/>
    <s v="BHI"/>
    <x v="1"/>
    <x v="2"/>
    <x v="40"/>
    <x v="3"/>
    <x v="779"/>
    <n v="11237"/>
    <n v="26.75"/>
    <m/>
    <n v="0"/>
    <m/>
    <n v="0"/>
    <n v="0"/>
    <n v="0"/>
    <n v="0"/>
    <n v="0"/>
    <n v="0"/>
    <n v="0"/>
    <n v="0"/>
    <n v="0"/>
    <n v="0"/>
  </r>
  <r>
    <s v="SYD/LUQ"/>
    <s v="LUQ"/>
    <x v="1"/>
    <x v="4"/>
    <x v="40"/>
    <x v="3"/>
    <x v="780"/>
    <n v="11578"/>
    <n v="27.5"/>
    <m/>
    <n v="0"/>
    <m/>
    <n v="0"/>
    <n v="0"/>
    <n v="0"/>
    <n v="0"/>
    <n v="0"/>
    <n v="0"/>
    <n v="0"/>
    <n v="0"/>
    <n v="0"/>
    <n v="0"/>
  </r>
  <r>
    <s v="SYD/ROS"/>
    <s v="ROS"/>
    <x v="1"/>
    <x v="2"/>
    <x v="40"/>
    <x v="3"/>
    <x v="781"/>
    <n v="11869"/>
    <n v="28.25"/>
    <m/>
    <n v="0"/>
    <m/>
    <n v="0"/>
    <n v="0"/>
    <n v="0"/>
    <n v="0"/>
    <n v="0"/>
    <n v="0"/>
    <n v="0"/>
    <n v="0"/>
    <n v="0"/>
    <n v="0"/>
  </r>
  <r>
    <s v="SYD/IRJ"/>
    <s v="IRJ"/>
    <x v="1"/>
    <x v="4"/>
    <x v="40"/>
    <x v="3"/>
    <x v="782"/>
    <n v="11924"/>
    <n v="28.25"/>
    <m/>
    <n v="0"/>
    <m/>
    <n v="0"/>
    <n v="0"/>
    <n v="0"/>
    <n v="0"/>
    <n v="0"/>
    <n v="0"/>
    <n v="0"/>
    <n v="0"/>
    <n v="0"/>
    <n v="0"/>
  </r>
  <r>
    <s v="SYD/CTC"/>
    <s v="CTC"/>
    <x v="1"/>
    <x v="4"/>
    <x v="40"/>
    <x v="3"/>
    <x v="783"/>
    <n v="12052"/>
    <n v="28.5"/>
    <m/>
    <n v="0"/>
    <m/>
    <n v="0"/>
    <n v="0"/>
    <n v="0"/>
    <n v="0"/>
    <n v="0"/>
    <n v="0"/>
    <n v="0"/>
    <n v="0"/>
    <n v="0"/>
    <n v="0"/>
  </r>
  <r>
    <s v="SYD/ANF"/>
    <s v="ANF"/>
    <x v="1"/>
    <x v="2"/>
    <x v="45"/>
    <x v="3"/>
    <x v="784"/>
    <n v="12267"/>
    <n v="29"/>
    <m/>
    <n v="0"/>
    <m/>
    <n v="0"/>
    <n v="0"/>
    <n v="0"/>
    <n v="0"/>
    <n v="0"/>
    <n v="0"/>
    <n v="0"/>
    <n v="0"/>
    <n v="0"/>
    <n v="0"/>
  </r>
  <r>
    <s v="SYD/RCQ"/>
    <s v="RCQ"/>
    <x v="1"/>
    <x v="4"/>
    <x v="40"/>
    <x v="3"/>
    <x v="785"/>
    <n v="12282"/>
    <n v="29"/>
    <m/>
    <n v="0"/>
    <m/>
    <n v="0"/>
    <n v="0"/>
    <n v="0"/>
    <n v="0"/>
    <n v="0"/>
    <n v="0"/>
    <n v="0"/>
    <n v="0"/>
    <n v="0"/>
    <n v="0"/>
  </r>
  <r>
    <s v="SYD/SLA"/>
    <s v="SLA"/>
    <x v="1"/>
    <x v="2"/>
    <x v="40"/>
    <x v="3"/>
    <x v="786"/>
    <n v="12420"/>
    <n v="29.5"/>
    <m/>
    <n v="0"/>
    <m/>
    <n v="0"/>
    <n v="0"/>
    <n v="0"/>
    <n v="0"/>
    <n v="0"/>
    <n v="0"/>
    <n v="0"/>
    <n v="0"/>
    <n v="0"/>
    <n v="0"/>
  </r>
  <r>
    <s v="SYD/JUJ"/>
    <s v="JUJ"/>
    <x v="1"/>
    <x v="4"/>
    <x v="40"/>
    <x v="3"/>
    <x v="787"/>
    <n v="12483"/>
    <n v="29.5"/>
    <m/>
    <n v="0"/>
    <m/>
    <n v="0"/>
    <n v="0"/>
    <n v="0"/>
    <n v="0"/>
    <n v="0"/>
    <n v="0"/>
    <n v="0"/>
    <n v="0"/>
    <n v="0"/>
    <n v="0"/>
  </r>
  <r>
    <s v="SYD/RES"/>
    <s v="RES"/>
    <x v="1"/>
    <x v="2"/>
    <x v="40"/>
    <x v="3"/>
    <x v="788"/>
    <n v="12484"/>
    <n v="29.5"/>
    <m/>
    <n v="0"/>
    <m/>
    <n v="0"/>
    <n v="0"/>
    <n v="0"/>
    <n v="0"/>
    <n v="0"/>
    <n v="0"/>
    <n v="0"/>
    <n v="0"/>
    <n v="0"/>
    <n v="0"/>
  </r>
  <r>
    <s v="SYD/TJA"/>
    <s v="TJA"/>
    <x v="1"/>
    <x v="2"/>
    <x v="43"/>
    <x v="3"/>
    <x v="789"/>
    <n v="12772"/>
    <n v="30.25"/>
    <m/>
    <n v="0"/>
    <m/>
    <n v="0"/>
    <n v="0"/>
    <n v="0"/>
    <n v="0"/>
    <n v="0"/>
    <n v="0"/>
    <n v="0"/>
    <n v="0"/>
    <n v="0"/>
    <n v="0"/>
  </r>
  <r>
    <s v="SYD/AGT"/>
    <s v="AGT"/>
    <x v="1"/>
    <x v="4"/>
    <x v="59"/>
    <x v="3"/>
    <x v="790"/>
    <n v="12864"/>
    <n v="30.25"/>
    <m/>
    <n v="0"/>
    <m/>
    <n v="0"/>
    <n v="0"/>
    <n v="0"/>
    <n v="0"/>
    <n v="0"/>
    <n v="0"/>
    <n v="0"/>
    <n v="0"/>
    <n v="0"/>
    <n v="0"/>
  </r>
  <r>
    <s v="SYD/AYP"/>
    <s v="AYP"/>
    <x v="1"/>
    <x v="4"/>
    <x v="21"/>
    <x v="3"/>
    <x v="791"/>
    <n v="12915"/>
    <n v="30.5"/>
    <m/>
    <n v="0"/>
    <m/>
    <n v="0"/>
    <n v="0"/>
    <n v="0"/>
    <n v="0"/>
    <n v="0"/>
    <n v="0"/>
    <n v="0"/>
    <n v="0"/>
    <n v="0"/>
    <n v="0"/>
  </r>
  <r>
    <s v="SYD/JAU"/>
    <s v="JAU"/>
    <x v="1"/>
    <x v="4"/>
    <x v="21"/>
    <x v="3"/>
    <x v="792"/>
    <n v="12938"/>
    <n v="30.5"/>
    <m/>
    <n v="0"/>
    <m/>
    <n v="0"/>
    <n v="0"/>
    <n v="0"/>
    <n v="0"/>
    <n v="0"/>
    <n v="0"/>
    <n v="0"/>
    <n v="0"/>
    <n v="0"/>
    <n v="0"/>
  </r>
  <r>
    <s v="SYD/TRU"/>
    <s v="TRU"/>
    <x v="1"/>
    <x v="2"/>
    <x v="21"/>
    <x v="3"/>
    <x v="793"/>
    <n v="12958"/>
    <n v="30.5"/>
    <m/>
    <n v="0"/>
    <m/>
    <n v="0"/>
    <n v="0"/>
    <n v="0"/>
    <n v="0"/>
    <n v="0"/>
    <n v="0"/>
    <n v="0"/>
    <n v="0"/>
    <n v="0"/>
    <n v="0"/>
  </r>
  <r>
    <s v="SYD/SRE"/>
    <s v="SRE"/>
    <x v="1"/>
    <x v="2"/>
    <x v="43"/>
    <x v="3"/>
    <x v="794"/>
    <n v="12977"/>
    <n v="30.5"/>
    <m/>
    <n v="0"/>
    <m/>
    <n v="0"/>
    <n v="0"/>
    <n v="0"/>
    <n v="0"/>
    <n v="0"/>
    <n v="0"/>
    <n v="0"/>
    <n v="0"/>
    <n v="0"/>
    <n v="0"/>
  </r>
  <r>
    <s v="SYD/JUL"/>
    <s v="JUL"/>
    <x v="1"/>
    <x v="2"/>
    <x v="21"/>
    <x v="3"/>
    <x v="795"/>
    <n v="12994"/>
    <n v="30.75"/>
    <m/>
    <n v="0"/>
    <m/>
    <n v="0"/>
    <n v="0"/>
    <n v="0"/>
    <n v="0"/>
    <n v="0"/>
    <n v="0"/>
    <n v="0"/>
    <n v="0"/>
    <n v="0"/>
    <n v="0"/>
  </r>
  <r>
    <s v="SYD/CIX"/>
    <s v="CIX"/>
    <x v="1"/>
    <x v="2"/>
    <x v="21"/>
    <x v="3"/>
    <x v="796"/>
    <n v="13001"/>
    <n v="30.75"/>
    <m/>
    <n v="0"/>
    <m/>
    <n v="0"/>
    <n v="0"/>
    <n v="0"/>
    <n v="0"/>
    <n v="0"/>
    <n v="0"/>
    <n v="0"/>
    <n v="0"/>
    <n v="0"/>
    <n v="0"/>
  </r>
  <r>
    <s v="SYD/SRZ"/>
    <s v="SRZ"/>
    <x v="1"/>
    <x v="2"/>
    <x v="43"/>
    <x v="3"/>
    <x v="797"/>
    <n v="13210"/>
    <n v="31.25"/>
    <m/>
    <n v="0"/>
    <m/>
    <n v="0"/>
    <n v="0"/>
    <n v="0"/>
    <n v="0"/>
    <n v="0"/>
    <n v="0"/>
    <n v="0"/>
    <n v="0"/>
    <n v="0"/>
    <n v="0"/>
  </r>
  <r>
    <s v="SYD/PCL"/>
    <s v="PCL"/>
    <x v="1"/>
    <x v="2"/>
    <x v="21"/>
    <x v="3"/>
    <x v="798"/>
    <n v="13283"/>
    <n v="31.25"/>
    <m/>
    <n v="0"/>
    <m/>
    <n v="0"/>
    <n v="0"/>
    <n v="0"/>
    <n v="0"/>
    <n v="0"/>
    <n v="0"/>
    <n v="0"/>
    <n v="0"/>
    <n v="0"/>
    <n v="0"/>
  </r>
  <r>
    <s v="SYD/TPP"/>
    <s v="TPP"/>
    <x v="1"/>
    <x v="2"/>
    <x v="21"/>
    <x v="3"/>
    <x v="799"/>
    <n v="13295"/>
    <n v="31.25"/>
    <m/>
    <n v="0"/>
    <m/>
    <n v="0"/>
    <n v="0"/>
    <n v="0"/>
    <n v="0"/>
    <n v="0"/>
    <n v="0"/>
    <n v="0"/>
    <n v="0"/>
    <n v="0"/>
    <n v="0"/>
  </r>
  <r>
    <s v="SYD/PEM"/>
    <s v="PEM"/>
    <x v="1"/>
    <x v="2"/>
    <x v="21"/>
    <x v="3"/>
    <x v="800"/>
    <n v="13306"/>
    <n v="31.25"/>
    <m/>
    <n v="0"/>
    <m/>
    <n v="0"/>
    <n v="0"/>
    <n v="0"/>
    <n v="0"/>
    <n v="0"/>
    <n v="0"/>
    <n v="0"/>
    <n v="0"/>
    <n v="0"/>
    <n v="0"/>
  </r>
  <r>
    <s v="SYD/GRU"/>
    <s v="GRU"/>
    <x v="1"/>
    <x v="1"/>
    <x v="30"/>
    <x v="3"/>
    <x v="801"/>
    <n v="13371"/>
    <n v="31.5"/>
    <m/>
    <n v="0"/>
    <m/>
    <n v="0"/>
    <n v="0"/>
    <n v="0"/>
    <n v="0"/>
    <n v="0"/>
    <n v="0"/>
    <n v="0"/>
    <n v="0"/>
    <n v="0"/>
    <n v="0"/>
  </r>
  <r>
    <s v="SYD/CGR"/>
    <s v="CGR"/>
    <x v="1"/>
    <x v="2"/>
    <x v="30"/>
    <x v="3"/>
    <x v="802"/>
    <n v="13377"/>
    <n v="31.5"/>
    <m/>
    <n v="0"/>
    <m/>
    <n v="0"/>
    <n v="0"/>
    <n v="0"/>
    <n v="0"/>
    <n v="0"/>
    <n v="0"/>
    <n v="0"/>
    <n v="0"/>
    <n v="0"/>
    <n v="0"/>
  </r>
  <r>
    <s v="SYD/SJK"/>
    <s v="SJK"/>
    <x v="1"/>
    <x v="2"/>
    <x v="30"/>
    <x v="3"/>
    <x v="803"/>
    <n v="13410"/>
    <n v="31.5"/>
    <m/>
    <n v="0"/>
    <m/>
    <n v="0"/>
    <n v="0"/>
    <n v="0"/>
    <n v="0"/>
    <n v="0"/>
    <n v="0"/>
    <n v="0"/>
    <n v="0"/>
    <n v="0"/>
    <n v="0"/>
  </r>
  <r>
    <s v="SYD/PLU"/>
    <s v="PLU"/>
    <x v="1"/>
    <x v="2"/>
    <x v="30"/>
    <x v="3"/>
    <x v="804"/>
    <n v="13826"/>
    <n v="32.5"/>
    <m/>
    <n v="0"/>
    <m/>
    <n v="0"/>
    <n v="0"/>
    <n v="0"/>
    <n v="0"/>
    <n v="0"/>
    <n v="0"/>
    <n v="0"/>
    <n v="0"/>
    <n v="0"/>
    <n v="0"/>
  </r>
  <r>
    <s v="SYD/CLO"/>
    <s v="CLO"/>
    <x v="1"/>
    <x v="3"/>
    <x v="121"/>
    <x v="3"/>
    <x v="805"/>
    <n v="14057"/>
    <n v="33"/>
    <m/>
    <n v="0"/>
    <m/>
    <n v="0"/>
    <n v="0"/>
    <n v="0"/>
    <n v="0"/>
    <n v="0"/>
    <n v="0"/>
    <n v="0"/>
    <n v="0"/>
    <n v="0"/>
    <n v="0"/>
  </r>
  <r>
    <s v="SYD/EOH"/>
    <s v="EOH"/>
    <x v="1"/>
    <x v="2"/>
    <x v="121"/>
    <x v="3"/>
    <x v="806"/>
    <n v="14315"/>
    <n v="33.5"/>
    <m/>
    <n v="0"/>
    <m/>
    <n v="0"/>
    <n v="0"/>
    <n v="0"/>
    <n v="0"/>
    <n v="0"/>
    <n v="0"/>
    <n v="0"/>
    <n v="0"/>
    <n v="0"/>
    <n v="0"/>
  </r>
  <r>
    <s v="SYD/MDE"/>
    <s v="MDE"/>
    <x v="1"/>
    <x v="2"/>
    <x v="121"/>
    <x v="3"/>
    <x v="807"/>
    <n v="14326"/>
    <n v="33.5"/>
    <m/>
    <n v="0"/>
    <m/>
    <n v="0"/>
    <n v="0"/>
    <n v="0"/>
    <n v="0"/>
    <n v="0"/>
    <n v="0"/>
    <n v="0"/>
    <n v="0"/>
    <n v="0"/>
    <n v="0"/>
  </r>
  <r>
    <s v="SYD/BOG"/>
    <s v="BOG"/>
    <x v="1"/>
    <x v="0"/>
    <x v="121"/>
    <x v="3"/>
    <x v="808"/>
    <n v="14329"/>
    <n v="33.5"/>
    <m/>
    <n v="0"/>
    <m/>
    <n v="0"/>
    <n v="0"/>
    <n v="0"/>
    <n v="0"/>
    <n v="0"/>
    <n v="0"/>
    <n v="0"/>
    <n v="0"/>
    <n v="0"/>
    <n v="0"/>
  </r>
  <r>
    <s v="SYD/EYP"/>
    <s v="EYP"/>
    <x v="1"/>
    <x v="2"/>
    <x v="121"/>
    <x v="3"/>
    <x v="809"/>
    <n v="14522"/>
    <n v="34"/>
    <m/>
    <n v="0"/>
    <m/>
    <n v="0"/>
    <n v="0"/>
    <n v="0"/>
    <n v="0"/>
    <n v="0"/>
    <n v="0"/>
    <n v="0"/>
    <n v="0"/>
    <n v="0"/>
    <n v="0"/>
  </r>
  <r>
    <s v="SYD/CTG"/>
    <s v="CTG"/>
    <x v="1"/>
    <x v="3"/>
    <x v="121"/>
    <x v="3"/>
    <x v="810"/>
    <n v="14610"/>
    <n v="34.25"/>
    <m/>
    <n v="0"/>
    <m/>
    <n v="0"/>
    <n v="0"/>
    <n v="0"/>
    <n v="0"/>
    <n v="0"/>
    <n v="0"/>
    <n v="0"/>
    <n v="0"/>
    <n v="0"/>
    <n v="0"/>
  </r>
  <r>
    <s v="SYD/BAQ"/>
    <s v="BAQ"/>
    <x v="1"/>
    <x v="2"/>
    <x v="121"/>
    <x v="3"/>
    <x v="811"/>
    <n v="14704"/>
    <n v="34.5"/>
    <m/>
    <n v="0"/>
    <m/>
    <n v="0"/>
    <n v="0"/>
    <n v="0"/>
    <n v="0"/>
    <n v="0"/>
    <n v="0"/>
    <n v="0"/>
    <n v="0"/>
    <n v="0"/>
    <n v="0"/>
  </r>
  <r>
    <s v="SYD/MAO"/>
    <s v="MAO"/>
    <x v="1"/>
    <x v="2"/>
    <x v="30"/>
    <x v="3"/>
    <x v="812"/>
    <n v="14765"/>
    <n v="34.5"/>
    <m/>
    <n v="0"/>
    <m/>
    <n v="0"/>
    <n v="0"/>
    <n v="0"/>
    <n v="0"/>
    <n v="0"/>
    <n v="0"/>
    <n v="0"/>
    <n v="0"/>
    <n v="0"/>
    <n v="0"/>
  </r>
  <r>
    <s v="SYD/PNZ"/>
    <s v="PNZ"/>
    <x v="1"/>
    <x v="2"/>
    <x v="30"/>
    <x v="3"/>
    <x v="813"/>
    <n v="15046"/>
    <n v="35.25"/>
    <m/>
    <n v="0"/>
    <m/>
    <n v="0"/>
    <n v="0"/>
    <n v="0"/>
    <n v="0"/>
    <n v="0"/>
    <n v="0"/>
    <n v="0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7">
  <r>
    <s v="BOM/MGQ"/>
    <x v="0"/>
    <x v="0"/>
    <x v="0"/>
    <x v="0"/>
    <x v="0"/>
    <x v="0"/>
    <n v="3551"/>
    <n v="10"/>
    <m/>
    <n v="0"/>
    <m/>
    <n v="5817"/>
  </r>
  <r>
    <s v="BOM/CAI"/>
    <x v="1"/>
    <x v="0"/>
    <x v="1"/>
    <x v="1"/>
    <x v="0"/>
    <x v="1"/>
    <n v="4342"/>
    <n v="11.75"/>
    <m/>
    <n v="0"/>
    <m/>
    <n v="5758"/>
  </r>
  <r>
    <s v="BOM/KAN"/>
    <x v="2"/>
    <x v="0"/>
    <x v="1"/>
    <x v="2"/>
    <x v="0"/>
    <x v="2"/>
    <n v="6903"/>
    <n v="17.5"/>
    <m/>
    <n v="0"/>
    <m/>
    <n v="5730"/>
  </r>
  <r>
    <s v="BOM/SGN"/>
    <x v="3"/>
    <x v="0"/>
    <x v="1"/>
    <x v="3"/>
    <x v="1"/>
    <x v="3"/>
    <n v="3737"/>
    <n v="10.5"/>
    <m/>
    <n v="0"/>
    <m/>
    <n v="5697"/>
  </r>
  <r>
    <s v="BOM/LOS"/>
    <x v="4"/>
    <x v="0"/>
    <x v="1"/>
    <x v="2"/>
    <x v="0"/>
    <x v="4"/>
    <n v="7625"/>
    <n v="19"/>
    <m/>
    <n v="0"/>
    <m/>
    <n v="5662"/>
  </r>
  <r>
    <s v="BOM/DSS"/>
    <x v="5"/>
    <x v="0"/>
    <x v="2"/>
    <x v="4"/>
    <x v="0"/>
    <x v="5"/>
    <n v="9475"/>
    <n v="23"/>
    <m/>
    <n v="0"/>
    <m/>
    <n v="5652"/>
  </r>
  <r>
    <s v="BOM/AWA"/>
    <x v="6"/>
    <x v="0"/>
    <x v="3"/>
    <x v="5"/>
    <x v="0"/>
    <x v="6"/>
    <n v="3946"/>
    <n v="10.75"/>
    <m/>
    <n v="0"/>
    <m/>
    <n v="5582"/>
  </r>
  <r>
    <s v="BOM/KMG"/>
    <x v="7"/>
    <x v="0"/>
    <x v="1"/>
    <x v="6"/>
    <x v="1"/>
    <x v="7"/>
    <n v="3142"/>
    <n v="9"/>
    <m/>
    <n v="0"/>
    <m/>
    <n v="5443"/>
  </r>
  <r>
    <s v="BOM/ABV"/>
    <x v="8"/>
    <x v="0"/>
    <x v="2"/>
    <x v="2"/>
    <x v="0"/>
    <x v="8"/>
    <n v="7130"/>
    <n v="18"/>
    <m/>
    <n v="0"/>
    <m/>
    <n v="5415"/>
  </r>
  <r>
    <s v="BOM/JNB"/>
    <x v="9"/>
    <x v="0"/>
    <x v="1"/>
    <x v="7"/>
    <x v="0"/>
    <x v="9"/>
    <n v="6965"/>
    <n v="17.5"/>
    <m/>
    <n v="0"/>
    <m/>
    <n v="5400"/>
  </r>
  <r>
    <s v="BOM/ABJ"/>
    <x v="10"/>
    <x v="0"/>
    <x v="3"/>
    <x v="8"/>
    <x v="0"/>
    <x v="10"/>
    <n v="8433"/>
    <n v="20.75"/>
    <m/>
    <n v="0"/>
    <m/>
    <n v="5327"/>
  </r>
  <r>
    <s v="BOM/CKG"/>
    <x v="11"/>
    <x v="0"/>
    <x v="1"/>
    <x v="6"/>
    <x v="1"/>
    <x v="11"/>
    <n v="3603"/>
    <n v="10"/>
    <m/>
    <n v="0"/>
    <m/>
    <n v="5311"/>
  </r>
  <r>
    <s v="BOM/SSH"/>
    <x v="12"/>
    <x v="0"/>
    <x v="1"/>
    <x v="1"/>
    <x v="0"/>
    <x v="12"/>
    <n v="4028"/>
    <n v="11"/>
    <m/>
    <n v="0"/>
    <m/>
    <n v="5227"/>
  </r>
  <r>
    <s v="BOM/HRG"/>
    <x v="13"/>
    <x v="0"/>
    <x v="1"/>
    <x v="1"/>
    <x v="0"/>
    <x v="13"/>
    <n v="4078"/>
    <n v="11.25"/>
    <m/>
    <n v="0"/>
    <m/>
    <n v="5200"/>
  </r>
  <r>
    <s v="BOM/AHB"/>
    <x v="14"/>
    <x v="0"/>
    <x v="1"/>
    <x v="9"/>
    <x v="1"/>
    <x v="14"/>
    <n v="3181"/>
    <n v="9.25"/>
    <m/>
    <n v="0"/>
    <m/>
    <n v="5162"/>
  </r>
  <r>
    <s v="BOM/XIY"/>
    <x v="15"/>
    <x v="0"/>
    <x v="1"/>
    <x v="6"/>
    <x v="1"/>
    <x v="15"/>
    <n v="3923"/>
    <n v="10.75"/>
    <m/>
    <n v="0"/>
    <m/>
    <n v="5156"/>
  </r>
  <r>
    <s v="BOM/CPT"/>
    <x v="16"/>
    <x v="0"/>
    <x v="1"/>
    <x v="7"/>
    <x v="0"/>
    <x v="16"/>
    <n v="8235"/>
    <n v="20.25"/>
    <m/>
    <n v="0"/>
    <m/>
    <n v="5139"/>
  </r>
  <r>
    <s v="BOM/AYT"/>
    <x v="17"/>
    <x v="0"/>
    <x v="1"/>
    <x v="10"/>
    <x v="1"/>
    <x v="17"/>
    <n v="4534"/>
    <n v="12.25"/>
    <m/>
    <n v="0"/>
    <m/>
    <n v="5138"/>
  </r>
  <r>
    <s v="BOM/JED"/>
    <x v="18"/>
    <x v="0"/>
    <x v="1"/>
    <x v="9"/>
    <x v="1"/>
    <x v="18"/>
    <n v="3519"/>
    <n v="10"/>
    <m/>
    <n v="0"/>
    <m/>
    <n v="5076"/>
  </r>
  <r>
    <s v="BOM/CKY"/>
    <x v="19"/>
    <x v="0"/>
    <x v="3"/>
    <x v="11"/>
    <x v="0"/>
    <x v="19"/>
    <n v="9297"/>
    <n v="22.75"/>
    <m/>
    <n v="0"/>
    <m/>
    <n v="5056"/>
  </r>
  <r>
    <s v="BOM/HAN"/>
    <x v="20"/>
    <x v="0"/>
    <x v="2"/>
    <x v="3"/>
    <x v="1"/>
    <x v="20"/>
    <n v="3441"/>
    <n v="9.75"/>
    <m/>
    <n v="0"/>
    <m/>
    <n v="5050"/>
  </r>
  <r>
    <s v="BOM/ACC"/>
    <x v="21"/>
    <x v="0"/>
    <x v="3"/>
    <x v="12"/>
    <x v="0"/>
    <x v="21"/>
    <n v="8026"/>
    <n v="20"/>
    <m/>
    <n v="0"/>
    <m/>
    <n v="5044"/>
  </r>
  <r>
    <s v="BOM/DAM"/>
    <x v="22"/>
    <x v="0"/>
    <x v="2"/>
    <x v="13"/>
    <x v="1"/>
    <x v="22"/>
    <n v="3934"/>
    <n v="10.75"/>
    <m/>
    <n v="0"/>
    <m/>
    <n v="5029"/>
  </r>
  <r>
    <s v="BOM/ESB"/>
    <x v="23"/>
    <x v="0"/>
    <x v="2"/>
    <x v="10"/>
    <x v="1"/>
    <x v="23"/>
    <n v="4456"/>
    <n v="12"/>
    <m/>
    <n v="0"/>
    <m/>
    <n v="4961"/>
  </r>
  <r>
    <s v="BOM/CEB"/>
    <x v="24"/>
    <x v="0"/>
    <x v="2"/>
    <x v="14"/>
    <x v="1"/>
    <x v="24"/>
    <n v="5565"/>
    <n v="14.5"/>
    <m/>
    <n v="0"/>
    <m/>
    <n v="4955"/>
  </r>
  <r>
    <s v="BOM/KTM"/>
    <x v="25"/>
    <x v="0"/>
    <x v="2"/>
    <x v="15"/>
    <x v="1"/>
    <x v="25"/>
    <n v="1592"/>
    <n v="5.75"/>
    <m/>
    <n v="0"/>
    <m/>
    <n v="4951"/>
  </r>
  <r>
    <s v="BOM/IKA"/>
    <x v="26"/>
    <x v="0"/>
    <x v="2"/>
    <x v="16"/>
    <x v="1"/>
    <x v="26"/>
    <n v="2800"/>
    <n v="8.25"/>
    <m/>
    <n v="0"/>
    <m/>
    <n v="4940"/>
  </r>
  <r>
    <s v="BOM/URC"/>
    <x v="27"/>
    <x v="0"/>
    <x v="1"/>
    <x v="6"/>
    <x v="1"/>
    <x v="27"/>
    <n v="3077"/>
    <n v="9"/>
    <m/>
    <n v="0"/>
    <m/>
    <n v="4900"/>
  </r>
  <r>
    <s v="BOM/PHC"/>
    <x v="28"/>
    <x v="0"/>
    <x v="3"/>
    <x v="2"/>
    <x v="0"/>
    <x v="28"/>
    <n v="7299"/>
    <n v="18.25"/>
    <m/>
    <n v="0"/>
    <m/>
    <n v="4880"/>
  </r>
  <r>
    <s v="BOM/WUH"/>
    <x v="29"/>
    <x v="0"/>
    <x v="1"/>
    <x v="6"/>
    <x v="1"/>
    <x v="29"/>
    <n v="4340"/>
    <n v="11.75"/>
    <m/>
    <n v="0"/>
    <m/>
    <n v="4861"/>
  </r>
  <r>
    <s v="BOM/KWE"/>
    <x v="30"/>
    <x v="0"/>
    <x v="2"/>
    <x v="6"/>
    <x v="1"/>
    <x v="30"/>
    <n v="3536"/>
    <n v="10"/>
    <m/>
    <n v="0"/>
    <m/>
    <n v="4861"/>
  </r>
  <r>
    <s v="BOM/HAK"/>
    <x v="31"/>
    <x v="0"/>
    <x v="1"/>
    <x v="6"/>
    <x v="1"/>
    <x v="31"/>
    <n v="3933"/>
    <n v="10.75"/>
    <m/>
    <n v="0"/>
    <m/>
    <n v="4846"/>
  </r>
  <r>
    <s v="BOM/AMM"/>
    <x v="32"/>
    <x v="0"/>
    <x v="2"/>
    <x v="17"/>
    <x v="1"/>
    <x v="32"/>
    <n v="3939"/>
    <n v="10.75"/>
    <m/>
    <n v="0"/>
    <m/>
    <n v="4799"/>
  </r>
  <r>
    <s v="BOM/SYX"/>
    <x v="33"/>
    <x v="0"/>
    <x v="1"/>
    <x v="6"/>
    <x v="1"/>
    <x v="33"/>
    <n v="3844"/>
    <n v="10.75"/>
    <m/>
    <n v="0"/>
    <m/>
    <n v="4786"/>
  </r>
  <r>
    <s v="BOM/DUR"/>
    <x v="34"/>
    <x v="0"/>
    <x v="2"/>
    <x v="7"/>
    <x v="0"/>
    <x v="34"/>
    <n v="7026"/>
    <n v="17.75"/>
    <m/>
    <n v="0"/>
    <m/>
    <n v="4759"/>
  </r>
  <r>
    <s v="BOM/LXR"/>
    <x v="35"/>
    <x v="0"/>
    <x v="2"/>
    <x v="1"/>
    <x v="0"/>
    <x v="35"/>
    <n v="4178"/>
    <n v="11.5"/>
    <m/>
    <n v="0"/>
    <m/>
    <n v="4737"/>
  </r>
  <r>
    <s v="BOM/SVO"/>
    <x v="36"/>
    <x v="0"/>
    <x v="1"/>
    <x v="18"/>
    <x v="2"/>
    <x v="36"/>
    <n v="5052"/>
    <n v="13.25"/>
    <m/>
    <n v="0"/>
    <m/>
    <n v="4711"/>
  </r>
  <r>
    <s v="BOM/CGO"/>
    <x v="37"/>
    <x v="0"/>
    <x v="1"/>
    <x v="6"/>
    <x v="1"/>
    <x v="37"/>
    <n v="4377"/>
    <n v="11.75"/>
    <m/>
    <n v="0"/>
    <m/>
    <n v="4704"/>
  </r>
  <r>
    <s v="BOM/HGH"/>
    <x v="38"/>
    <x v="0"/>
    <x v="1"/>
    <x v="6"/>
    <x v="1"/>
    <x v="38"/>
    <n v="4928"/>
    <n v="13"/>
    <m/>
    <n v="0"/>
    <m/>
    <n v="4690"/>
  </r>
  <r>
    <s v="BOM/AWZ"/>
    <x v="39"/>
    <x v="0"/>
    <x v="2"/>
    <x v="16"/>
    <x v="1"/>
    <x v="39"/>
    <n v="2772"/>
    <n v="8.25"/>
    <m/>
    <n v="0"/>
    <m/>
    <n v="4686"/>
  </r>
  <r>
    <s v="BOM/ALG"/>
    <x v="40"/>
    <x v="0"/>
    <x v="1"/>
    <x v="19"/>
    <x v="0"/>
    <x v="40"/>
    <n v="6972"/>
    <n v="17.5"/>
    <m/>
    <n v="0"/>
    <m/>
    <n v="4675"/>
  </r>
  <r>
    <s v="BOM/ADB"/>
    <x v="41"/>
    <x v="0"/>
    <x v="2"/>
    <x v="10"/>
    <x v="1"/>
    <x v="41"/>
    <n v="4882"/>
    <n v="13"/>
    <m/>
    <n v="0"/>
    <m/>
    <n v="4607"/>
  </r>
  <r>
    <s v="BOM/SAW"/>
    <x v="42"/>
    <x v="0"/>
    <x v="1"/>
    <x v="10"/>
    <x v="1"/>
    <x v="42"/>
    <n v="4779"/>
    <n v="12.75"/>
    <m/>
    <n v="0"/>
    <m/>
    <n v="4590"/>
  </r>
  <r>
    <s v="BOM/ALP"/>
    <x v="43"/>
    <x v="0"/>
    <x v="2"/>
    <x v="13"/>
    <x v="1"/>
    <x v="43"/>
    <n v="3961"/>
    <n v="11"/>
    <m/>
    <n v="0"/>
    <m/>
    <n v="4566"/>
  </r>
  <r>
    <s v="BOM/LHW"/>
    <x v="44"/>
    <x v="0"/>
    <x v="2"/>
    <x v="6"/>
    <x v="1"/>
    <x v="44"/>
    <n v="3567"/>
    <n v="10"/>
    <m/>
    <n v="0"/>
    <m/>
    <n v="4556"/>
  </r>
  <r>
    <s v="BOM/TBZ"/>
    <x v="45"/>
    <x v="0"/>
    <x v="3"/>
    <x v="16"/>
    <x v="1"/>
    <x v="45"/>
    <n v="3332"/>
    <n v="9.5"/>
    <m/>
    <n v="0"/>
    <m/>
    <n v="4542"/>
  </r>
  <r>
    <s v="BOM/MFM"/>
    <x v="46"/>
    <x v="0"/>
    <x v="2"/>
    <x v="6"/>
    <x v="1"/>
    <x v="46"/>
    <n v="4240"/>
    <n v="11.5"/>
    <m/>
    <n v="0"/>
    <m/>
    <n v="4529"/>
  </r>
  <r>
    <s v="BOM/NKG"/>
    <x v="47"/>
    <x v="0"/>
    <x v="1"/>
    <x v="6"/>
    <x v="1"/>
    <x v="47"/>
    <n v="4789"/>
    <n v="12.75"/>
    <m/>
    <n v="0"/>
    <m/>
    <n v="4527"/>
  </r>
  <r>
    <s v="BOM/TYN"/>
    <x v="48"/>
    <x v="0"/>
    <x v="2"/>
    <x v="6"/>
    <x v="1"/>
    <x v="48"/>
    <n v="4363"/>
    <n v="11.75"/>
    <m/>
    <n v="0"/>
    <m/>
    <n v="4522"/>
  </r>
  <r>
    <s v="BOM/KWL"/>
    <x v="49"/>
    <x v="0"/>
    <x v="2"/>
    <x v="6"/>
    <x v="1"/>
    <x v="49"/>
    <n v="3876"/>
    <n v="10.75"/>
    <m/>
    <n v="0"/>
    <m/>
    <n v="4496"/>
  </r>
  <r>
    <s v="BOM/DLC"/>
    <x v="50"/>
    <x v="0"/>
    <x v="1"/>
    <x v="6"/>
    <x v="1"/>
    <x v="50"/>
    <n v="5149"/>
    <n v="13.5"/>
    <m/>
    <n v="0"/>
    <m/>
    <n v="4467"/>
  </r>
  <r>
    <s v="BOM/XMN"/>
    <x v="51"/>
    <x v="0"/>
    <x v="1"/>
    <x v="6"/>
    <x v="1"/>
    <x v="51"/>
    <n v="4692"/>
    <n v="12.5"/>
    <m/>
    <n v="0"/>
    <m/>
    <n v="4464"/>
  </r>
  <r>
    <s v="BOM/ASW"/>
    <x v="52"/>
    <x v="0"/>
    <x v="3"/>
    <x v="1"/>
    <x v="0"/>
    <x v="52"/>
    <n v="4165"/>
    <n v="11.25"/>
    <m/>
    <n v="0"/>
    <m/>
    <n v="4463"/>
  </r>
  <r>
    <s v="BOM/KHN"/>
    <x v="53"/>
    <x v="0"/>
    <x v="2"/>
    <x v="6"/>
    <x v="1"/>
    <x v="53"/>
    <n v="4480"/>
    <n v="12"/>
    <m/>
    <n v="0"/>
    <m/>
    <n v="4397"/>
  </r>
  <r>
    <s v="BOM/RMF"/>
    <x v="54"/>
    <x v="0"/>
    <x v="3"/>
    <x v="1"/>
    <x v="0"/>
    <x v="54"/>
    <n v="3990"/>
    <n v="11"/>
    <m/>
    <n v="0"/>
    <m/>
    <n v="4389"/>
  </r>
  <r>
    <s v="BOM/VKO"/>
    <x v="55"/>
    <x v="0"/>
    <x v="1"/>
    <x v="18"/>
    <x v="2"/>
    <x v="55"/>
    <n v="5033"/>
    <n v="13.25"/>
    <m/>
    <n v="0"/>
    <m/>
    <n v="4388"/>
  </r>
  <r>
    <s v="BOM/DAD"/>
    <x v="56"/>
    <x v="0"/>
    <x v="2"/>
    <x v="3"/>
    <x v="1"/>
    <x v="56"/>
    <n v="3755"/>
    <n v="10.5"/>
    <m/>
    <n v="0"/>
    <m/>
    <n v="4376"/>
  </r>
  <r>
    <s v="BOM/HET"/>
    <x v="57"/>
    <x v="0"/>
    <x v="2"/>
    <x v="6"/>
    <x v="1"/>
    <x v="57"/>
    <n v="4411"/>
    <n v="12"/>
    <m/>
    <n v="0"/>
    <m/>
    <n v="4358"/>
  </r>
  <r>
    <s v="BOM/SHE"/>
    <x v="58"/>
    <x v="0"/>
    <x v="1"/>
    <x v="6"/>
    <x v="1"/>
    <x v="58"/>
    <n v="5370"/>
    <n v="14"/>
    <m/>
    <n v="0"/>
    <m/>
    <n v="4356"/>
  </r>
  <r>
    <s v="BOM/TAO"/>
    <x v="59"/>
    <x v="0"/>
    <x v="1"/>
    <x v="6"/>
    <x v="1"/>
    <x v="59"/>
    <n v="4995"/>
    <n v="13.25"/>
    <m/>
    <n v="0"/>
    <m/>
    <n v="4345"/>
  </r>
  <r>
    <s v="BOM/KAD"/>
    <x v="60"/>
    <x v="0"/>
    <x v="3"/>
    <x v="2"/>
    <x v="0"/>
    <x v="60"/>
    <n v="7070"/>
    <n v="17.75"/>
    <m/>
    <n v="0"/>
    <m/>
    <n v="4337"/>
  </r>
  <r>
    <s v="BOM/JZH"/>
    <x v="61"/>
    <x v="0"/>
    <x v="2"/>
    <x v="6"/>
    <x v="1"/>
    <x v="61"/>
    <n v="3422"/>
    <n v="9.75"/>
    <m/>
    <n v="0"/>
    <m/>
    <n v="4314"/>
  </r>
  <r>
    <s v="BOM/ABS"/>
    <x v="62"/>
    <x v="0"/>
    <x v="3"/>
    <x v="1"/>
    <x v="0"/>
    <x v="62"/>
    <n v="4294"/>
    <n v="11.75"/>
    <m/>
    <n v="0"/>
    <m/>
    <n v="4299"/>
  </r>
  <r>
    <s v="BOM/XNN"/>
    <x v="63"/>
    <x v="0"/>
    <x v="2"/>
    <x v="6"/>
    <x v="1"/>
    <x v="63"/>
    <n v="3441"/>
    <n v="9.75"/>
    <m/>
    <n v="0"/>
    <m/>
    <n v="4292"/>
  </r>
  <r>
    <s v="BOM/SYZ"/>
    <x v="64"/>
    <x v="0"/>
    <x v="2"/>
    <x v="16"/>
    <x v="1"/>
    <x v="64"/>
    <n v="2355"/>
    <n v="7.25"/>
    <m/>
    <n v="0"/>
    <m/>
    <n v="4286"/>
  </r>
  <r>
    <s v="BOM/NAG"/>
    <x v="65"/>
    <x v="0"/>
    <x v="2"/>
    <x v="20"/>
    <x v="1"/>
    <x v="65"/>
    <n v="682"/>
    <n v="3.75"/>
    <m/>
    <n v="0"/>
    <m/>
    <n v="4270"/>
  </r>
  <r>
    <s v="BOM/HRB"/>
    <x v="66"/>
    <x v="0"/>
    <x v="1"/>
    <x v="6"/>
    <x v="1"/>
    <x v="66"/>
    <n v="5683"/>
    <n v="14.75"/>
    <m/>
    <n v="0"/>
    <m/>
    <n v="4269"/>
  </r>
  <r>
    <s v="BOM/DLM"/>
    <x v="67"/>
    <x v="0"/>
    <x v="2"/>
    <x v="10"/>
    <x v="1"/>
    <x v="67"/>
    <n v="4703"/>
    <n v="12.5"/>
    <m/>
    <n v="0"/>
    <m/>
    <n v="4249"/>
  </r>
  <r>
    <s v="BOM/TNA"/>
    <x v="68"/>
    <x v="0"/>
    <x v="2"/>
    <x v="6"/>
    <x v="1"/>
    <x v="68"/>
    <n v="4730"/>
    <n v="12.5"/>
    <m/>
    <n v="0"/>
    <m/>
    <n v="4248"/>
  </r>
  <r>
    <s v="BOM/FOC"/>
    <x v="69"/>
    <x v="0"/>
    <x v="2"/>
    <x v="6"/>
    <x v="1"/>
    <x v="69"/>
    <n v="4843"/>
    <n v="12.75"/>
    <m/>
    <n v="0"/>
    <m/>
    <n v="4232"/>
  </r>
  <r>
    <s v="BOM/TSN"/>
    <x v="70"/>
    <x v="0"/>
    <x v="2"/>
    <x v="6"/>
    <x v="1"/>
    <x v="70"/>
    <n v="4800"/>
    <n v="12.75"/>
    <m/>
    <n v="0"/>
    <m/>
    <n v="4230"/>
  </r>
  <r>
    <s v="BOM/INC"/>
    <x v="71"/>
    <x v="0"/>
    <x v="2"/>
    <x v="6"/>
    <x v="1"/>
    <x v="71"/>
    <n v="3874"/>
    <n v="10.75"/>
    <m/>
    <n v="0"/>
    <m/>
    <n v="4217"/>
  </r>
  <r>
    <s v="BOM/BJV"/>
    <x v="72"/>
    <x v="0"/>
    <x v="2"/>
    <x v="10"/>
    <x v="1"/>
    <x v="72"/>
    <n v="4814"/>
    <n v="12.75"/>
    <m/>
    <n v="0"/>
    <m/>
    <n v="4212"/>
  </r>
  <r>
    <s v="BOM/BBU"/>
    <x v="73"/>
    <x v="0"/>
    <x v="1"/>
    <x v="21"/>
    <x v="2"/>
    <x v="73"/>
    <n v="5149"/>
    <n v="13.5"/>
    <m/>
    <n v="0"/>
    <m/>
    <n v="4204"/>
  </r>
  <r>
    <s v="BOM/DIY"/>
    <x v="74"/>
    <x v="0"/>
    <x v="3"/>
    <x v="10"/>
    <x v="1"/>
    <x v="74"/>
    <n v="3786"/>
    <n v="10.5"/>
    <m/>
    <n v="0"/>
    <m/>
    <n v="4185"/>
  </r>
  <r>
    <s v="BOM/KSH"/>
    <x v="75"/>
    <x v="0"/>
    <x v="3"/>
    <x v="16"/>
    <x v="1"/>
    <x v="75"/>
    <n v="3051"/>
    <n v="9"/>
    <m/>
    <n v="0"/>
    <m/>
    <n v="4179"/>
  </r>
  <r>
    <s v="BOM/OSL"/>
    <x v="76"/>
    <x v="0"/>
    <x v="1"/>
    <x v="22"/>
    <x v="2"/>
    <x v="76"/>
    <n v="6629"/>
    <n v="16.75"/>
    <m/>
    <n v="0"/>
    <m/>
    <n v="4175"/>
  </r>
  <r>
    <s v="BOM/LED"/>
    <x v="77"/>
    <x v="0"/>
    <x v="2"/>
    <x v="18"/>
    <x v="2"/>
    <x v="77"/>
    <n v="5646"/>
    <n v="14.75"/>
    <m/>
    <n v="0"/>
    <m/>
    <n v="4169"/>
  </r>
  <r>
    <s v="BOM/CXR"/>
    <x v="78"/>
    <x v="0"/>
    <x v="3"/>
    <x v="3"/>
    <x v="1"/>
    <x v="78"/>
    <n v="3966"/>
    <n v="11"/>
    <m/>
    <n v="0"/>
    <m/>
    <n v="4142"/>
  </r>
  <r>
    <s v="BOM/UET"/>
    <x v="79"/>
    <x v="0"/>
    <x v="3"/>
    <x v="23"/>
    <x v="1"/>
    <x v="79"/>
    <n v="1378"/>
    <n v="5.25"/>
    <m/>
    <n v="0"/>
    <m/>
    <n v="4133"/>
  </r>
  <r>
    <s v="BOM/YOL"/>
    <x v="80"/>
    <x v="0"/>
    <x v="0"/>
    <x v="2"/>
    <x v="0"/>
    <x v="80"/>
    <n v="6579"/>
    <n v="16.75"/>
    <m/>
    <n v="0"/>
    <m/>
    <n v="4120"/>
  </r>
  <r>
    <s v="BOM/NGB"/>
    <x v="81"/>
    <x v="0"/>
    <x v="2"/>
    <x v="6"/>
    <x v="1"/>
    <x v="81"/>
    <n v="5025"/>
    <n v="13.25"/>
    <m/>
    <n v="0"/>
    <m/>
    <n v="4111"/>
  </r>
  <r>
    <s v="BOM/IFN"/>
    <x v="82"/>
    <x v="0"/>
    <x v="2"/>
    <x v="16"/>
    <x v="1"/>
    <x v="82"/>
    <n v="2584"/>
    <n v="7.75"/>
    <m/>
    <n v="0"/>
    <m/>
    <n v="4090"/>
  </r>
  <r>
    <s v="BOM/OTP"/>
    <x v="83"/>
    <x v="0"/>
    <x v="2"/>
    <x v="21"/>
    <x v="2"/>
    <x v="83"/>
    <n v="5151"/>
    <n v="13.5"/>
    <m/>
    <n v="0"/>
    <m/>
    <n v="4088"/>
  </r>
  <r>
    <s v="BOM/BKI"/>
    <x v="84"/>
    <x v="0"/>
    <x v="2"/>
    <x v="24"/>
    <x v="1"/>
    <x v="84"/>
    <n v="4895"/>
    <n v="13"/>
    <m/>
    <n v="0"/>
    <m/>
    <n v="4088"/>
  </r>
  <r>
    <s v="BOM/ASR"/>
    <x v="85"/>
    <x v="0"/>
    <x v="3"/>
    <x v="10"/>
    <x v="1"/>
    <x v="85"/>
    <n v="4202"/>
    <n v="11.5"/>
    <m/>
    <n v="0"/>
    <m/>
    <n v="4064"/>
  </r>
  <r>
    <s v="BOM/SZF"/>
    <x v="86"/>
    <x v="0"/>
    <x v="3"/>
    <x v="10"/>
    <x v="1"/>
    <x v="86"/>
    <n v="4226"/>
    <n v="11.5"/>
    <m/>
    <n v="0"/>
    <m/>
    <n v="4061"/>
  </r>
  <r>
    <s v="BOM/GZT"/>
    <x v="87"/>
    <x v="0"/>
    <x v="3"/>
    <x v="10"/>
    <x v="1"/>
    <x v="87"/>
    <n v="3968"/>
    <n v="11"/>
    <m/>
    <n v="0"/>
    <m/>
    <n v="4047"/>
  </r>
  <r>
    <s v="BOM/WAW"/>
    <x v="88"/>
    <x v="0"/>
    <x v="1"/>
    <x v="25"/>
    <x v="2"/>
    <x v="88"/>
    <n v="5781"/>
    <n v="15"/>
    <m/>
    <n v="0"/>
    <m/>
    <n v="4043"/>
  </r>
  <r>
    <s v="BOM/ZUH"/>
    <x v="89"/>
    <x v="0"/>
    <x v="2"/>
    <x v="6"/>
    <x v="1"/>
    <x v="89"/>
    <n v="4219"/>
    <n v="11.5"/>
    <m/>
    <n v="0"/>
    <m/>
    <n v="4032"/>
  </r>
  <r>
    <s v="BOM/ULN"/>
    <x v="90"/>
    <x v="0"/>
    <x v="3"/>
    <x v="26"/>
    <x v="1"/>
    <x v="90"/>
    <n v="4420"/>
    <n v="12"/>
    <m/>
    <n v="0"/>
    <m/>
    <n v="4029"/>
  </r>
  <r>
    <s v="BOM/CGQ"/>
    <x v="91"/>
    <x v="0"/>
    <x v="2"/>
    <x v="6"/>
    <x v="1"/>
    <x v="91"/>
    <n v="5600"/>
    <n v="14.5"/>
    <m/>
    <n v="0"/>
    <m/>
    <n v="4019"/>
  </r>
  <r>
    <s v="BOM/HFE"/>
    <x v="92"/>
    <x v="0"/>
    <x v="2"/>
    <x v="6"/>
    <x v="1"/>
    <x v="92"/>
    <n v="4645"/>
    <n v="12.5"/>
    <m/>
    <n v="0"/>
    <m/>
    <n v="3999"/>
  </r>
  <r>
    <s v="BOM/DVO"/>
    <x v="93"/>
    <x v="0"/>
    <x v="2"/>
    <x v="14"/>
    <x v="1"/>
    <x v="93"/>
    <n v="5847"/>
    <n v="15"/>
    <m/>
    <n v="0"/>
    <m/>
    <n v="3964"/>
  </r>
  <r>
    <s v="BOM/ADD"/>
    <x v="94"/>
    <x v="1"/>
    <x v="1"/>
    <x v="5"/>
    <x v="0"/>
    <x v="94"/>
    <n v="3835"/>
    <n v="10.5"/>
    <m/>
    <n v="0"/>
    <m/>
    <n v="6878"/>
  </r>
  <r>
    <s v="BOM/GIG"/>
    <x v="95"/>
    <x v="2"/>
    <x v="1"/>
    <x v="27"/>
    <x v="3"/>
    <x v="95"/>
    <n v="13422"/>
    <n v="31.75"/>
    <n v="291158779"/>
    <n v="59810.759860312246"/>
    <n v="4868"/>
    <n v="5095"/>
  </r>
  <r>
    <s v="BOM/CMN"/>
    <x v="96"/>
    <x v="2"/>
    <x v="2"/>
    <x v="28"/>
    <x v="0"/>
    <x v="96"/>
    <n v="7996"/>
    <n v="19.75"/>
    <n v="228409203"/>
    <n v="48086.148000000001"/>
    <n v="4750"/>
    <n v="5067"/>
  </r>
  <r>
    <s v="BOM/SUB"/>
    <x v="97"/>
    <x v="2"/>
    <x v="1"/>
    <x v="29"/>
    <x v="1"/>
    <x v="97"/>
    <n v="5273"/>
    <n v="13.75"/>
    <n v="206869577"/>
    <n v="43551.489894736842"/>
    <n v="4750"/>
    <n v="5003"/>
  </r>
  <r>
    <s v="BOM/PKX"/>
    <x v="98"/>
    <x v="2"/>
    <x v="4"/>
    <x v="6"/>
    <x v="1"/>
    <x v="98"/>
    <n v="4733"/>
    <n v="12.5"/>
    <n v="225821469"/>
    <n v="47154.201085821674"/>
    <n v="4789"/>
    <n v="4981"/>
  </r>
  <r>
    <s v="BOM/BTH"/>
    <x v="99"/>
    <x v="2"/>
    <x v="2"/>
    <x v="29"/>
    <x v="1"/>
    <x v="99"/>
    <n v="3948"/>
    <n v="10.75"/>
    <n v="181493296"/>
    <n v="39131.801638637342"/>
    <n v="4638"/>
    <n v="4948"/>
  </r>
  <r>
    <s v="BOM/SSA"/>
    <x v="100"/>
    <x v="2"/>
    <x v="1"/>
    <x v="27"/>
    <x v="3"/>
    <x v="100"/>
    <n v="12675"/>
    <n v="30.25"/>
    <n v="277215930"/>
    <n v="60068.457204767066"/>
    <n v="4615"/>
    <n v="4923"/>
  </r>
  <r>
    <s v="BOM/AKL"/>
    <x v="101"/>
    <x v="2"/>
    <x v="1"/>
    <x v="30"/>
    <x v="4"/>
    <x v="101"/>
    <n v="12307"/>
    <n v="29.5"/>
    <n v="281833277"/>
    <n v="61751.375328659073"/>
    <n v="4564"/>
    <n v="4853"/>
  </r>
  <r>
    <s v="BOM/CNX"/>
    <x v="102"/>
    <x v="2"/>
    <x v="2"/>
    <x v="31"/>
    <x v="1"/>
    <x v="102"/>
    <n v="2743"/>
    <n v="8.25"/>
    <n v="168391885"/>
    <n v="36646.764961915127"/>
    <n v="4595"/>
    <n v="4826"/>
  </r>
  <r>
    <s v="BOM/DPS"/>
    <x v="103"/>
    <x v="2"/>
    <x v="1"/>
    <x v="29"/>
    <x v="1"/>
    <x v="103"/>
    <n v="5575"/>
    <n v="14.5"/>
    <n v="204683960"/>
    <n v="45204.05477031802"/>
    <n v="4528"/>
    <n v="4815"/>
  </r>
  <r>
    <s v="BOM/LPA"/>
    <x v="104"/>
    <x v="2"/>
    <x v="1"/>
    <x v="32"/>
    <x v="2"/>
    <x v="104"/>
    <n v="8865"/>
    <n v="21.75"/>
    <n v="243525942"/>
    <n v="74861.95573316938"/>
    <n v="3253"/>
    <n v="3405"/>
  </r>
  <r>
    <s v="BOM/AGP"/>
    <x v="105"/>
    <x v="2"/>
    <x v="1"/>
    <x v="32"/>
    <x v="2"/>
    <x v="105"/>
    <n v="7655"/>
    <n v="19"/>
    <n v="234424554"/>
    <n v="73029.456074766349"/>
    <n v="3210"/>
    <n v="3403"/>
  </r>
  <r>
    <s v="BOM/ZRH"/>
    <x v="106"/>
    <x v="2"/>
    <x v="4"/>
    <x v="33"/>
    <x v="2"/>
    <x v="106"/>
    <n v="6541"/>
    <n v="16.5"/>
    <n v="231494988"/>
    <n v="71163.537657546884"/>
    <n v="3253"/>
    <n v="3373"/>
  </r>
  <r>
    <s v="BOM/TFS"/>
    <x v="107"/>
    <x v="2"/>
    <x v="1"/>
    <x v="32"/>
    <x v="2"/>
    <x v="107"/>
    <n v="8974"/>
    <n v="22"/>
    <n v="241963496"/>
    <n v="76113.084617804343"/>
    <n v="3179"/>
    <n v="3285"/>
  </r>
  <r>
    <s v="BOM/ORY"/>
    <x v="108"/>
    <x v="2"/>
    <x v="4"/>
    <x v="34"/>
    <x v="2"/>
    <x v="108"/>
    <n v="7008"/>
    <n v="17.75"/>
    <n v="240558086"/>
    <n v="78077.924699772804"/>
    <n v="3081"/>
    <n v="3225"/>
  </r>
  <r>
    <s v="BOM/SDJ"/>
    <x v="109"/>
    <x v="2"/>
    <x v="2"/>
    <x v="35"/>
    <x v="1"/>
    <x v="109"/>
    <n v="6821"/>
    <n v="17.25"/>
    <n v="210262989"/>
    <n v="69715.845159151198"/>
    <n v="3016"/>
    <n v="3207"/>
  </r>
  <r>
    <s v="BOM/GVA"/>
    <x v="110"/>
    <x v="2"/>
    <x v="1"/>
    <x v="33"/>
    <x v="2"/>
    <x v="110"/>
    <n v="6716"/>
    <n v="17"/>
    <n v="224337626"/>
    <n v="73916.845469522246"/>
    <n v="3035"/>
    <n v="3177"/>
  </r>
  <r>
    <s v="BOM/THR"/>
    <x v="111"/>
    <x v="1"/>
    <x v="1"/>
    <x v="16"/>
    <x v="1"/>
    <x v="111"/>
    <n v="2805"/>
    <n v="8.25"/>
    <m/>
    <n v="0"/>
    <m/>
    <n v="5502"/>
  </r>
  <r>
    <s v="BOM/BLR"/>
    <x v="112"/>
    <x v="3"/>
    <x v="1"/>
    <x v="20"/>
    <x v="1"/>
    <x v="112"/>
    <n v="834"/>
    <n v="4"/>
    <n v="164960374"/>
    <n v="32834.46934713376"/>
    <n v="5024"/>
    <n v="5192"/>
  </r>
  <r>
    <s v="BOM/KHI"/>
    <x v="113"/>
    <x v="3"/>
    <x v="2"/>
    <x v="23"/>
    <x v="1"/>
    <x v="113"/>
    <n v="874"/>
    <n v="4"/>
    <n v="155956304"/>
    <n v="32674.691808087158"/>
    <n v="4773"/>
    <n v="5128"/>
  </r>
  <r>
    <s v="BOM/HYD"/>
    <x v="114"/>
    <x v="3"/>
    <x v="1"/>
    <x v="20"/>
    <x v="1"/>
    <x v="114"/>
    <n v="622"/>
    <n v="3.5"/>
    <n v="157222597"/>
    <n v="32727.434845961699"/>
    <n v="4804"/>
    <n v="5045"/>
  </r>
  <r>
    <s v="BOM/HKG"/>
    <x v="115"/>
    <x v="2"/>
    <x v="4"/>
    <x v="6"/>
    <x v="1"/>
    <x v="115"/>
    <n v="4273"/>
    <n v="11.5"/>
    <n v="221404875"/>
    <n v="39649.870164756445"/>
    <n v="5584"/>
    <n v="5957"/>
  </r>
  <r>
    <s v="BOM/DEL"/>
    <x v="116"/>
    <x v="2"/>
    <x v="4"/>
    <x v="20"/>
    <x v="1"/>
    <x v="116"/>
    <n v="1138"/>
    <n v="4.75"/>
    <n v="182844159"/>
    <n v="32609.980203317282"/>
    <n v="5607"/>
    <n v="5907"/>
  </r>
  <r>
    <s v="BOM/KNO"/>
    <x v="117"/>
    <x v="2"/>
    <x v="1"/>
    <x v="29"/>
    <x v="1"/>
    <x v="117"/>
    <n v="3307"/>
    <n v="9.5"/>
    <n v="189815669"/>
    <n v="34873.354583869186"/>
    <n v="5443"/>
    <n v="5788"/>
  </r>
  <r>
    <s v="BOM/CAN"/>
    <x v="118"/>
    <x v="2"/>
    <x v="4"/>
    <x v="6"/>
    <x v="1"/>
    <x v="118"/>
    <n v="4205"/>
    <n v="11.5"/>
    <n v="217742056"/>
    <n v="39784.771788781291"/>
    <n v="5473"/>
    <n v="5656"/>
  </r>
  <r>
    <s v="BOM/KUL"/>
    <x v="119"/>
    <x v="2"/>
    <x v="4"/>
    <x v="24"/>
    <x v="1"/>
    <x v="119"/>
    <n v="3625"/>
    <n v="10.25"/>
    <n v="205157071"/>
    <n v="38339.949729022614"/>
    <n v="5351"/>
    <n v="5531"/>
  </r>
  <r>
    <s v="BOM/MED"/>
    <x v="120"/>
    <x v="2"/>
    <x v="4"/>
    <x v="9"/>
    <x v="1"/>
    <x v="120"/>
    <n v="3469"/>
    <n v="9.75"/>
    <n v="201680767"/>
    <n v="39313.989668615985"/>
    <n v="5130"/>
    <n v="5472"/>
  </r>
  <r>
    <s v="BOM/BKK"/>
    <x v="121"/>
    <x v="2"/>
    <x v="4"/>
    <x v="31"/>
    <x v="1"/>
    <x v="121"/>
    <n v="3031"/>
    <n v="8.75"/>
    <n v="207264854"/>
    <n v="32883.524353482469"/>
    <n v="6303"/>
    <n v="6536"/>
  </r>
  <r>
    <s v="BOM/DMK"/>
    <x v="122"/>
    <x v="2"/>
    <x v="4"/>
    <x v="31"/>
    <x v="1"/>
    <x v="122"/>
    <n v="3010"/>
    <n v="8.75"/>
    <n v="205087569"/>
    <n v="32956.382612887675"/>
    <n v="6223"/>
    <n v="6534"/>
  </r>
  <r>
    <s v="BOM/CTU"/>
    <x v="123"/>
    <x v="2"/>
    <x v="4"/>
    <x v="6"/>
    <x v="1"/>
    <x v="123"/>
    <n v="3377"/>
    <n v="9.5"/>
    <n v="199123868"/>
    <n v="37149.97537313433"/>
    <n v="5360"/>
    <n v="5647"/>
  </r>
  <r>
    <s v="BOM/CNF"/>
    <x v="124"/>
    <x v="2"/>
    <x v="1"/>
    <x v="27"/>
    <x v="3"/>
    <x v="124"/>
    <n v="13433"/>
    <n v="32"/>
    <n v="284176576"/>
    <n v="61966.109027474922"/>
    <n v="4586"/>
    <n v="4739"/>
  </r>
  <r>
    <s v="BOM/REC"/>
    <x v="125"/>
    <x v="2"/>
    <x v="2"/>
    <x v="27"/>
    <x v="3"/>
    <x v="125"/>
    <n v="12167"/>
    <n v="29"/>
    <n v="269202991"/>
    <n v="59956.122717149221"/>
    <n v="4490"/>
    <n v="4714"/>
  </r>
  <r>
    <s v="BOM/VCP"/>
    <x v="126"/>
    <x v="2"/>
    <x v="2"/>
    <x v="27"/>
    <x v="3"/>
    <x v="126"/>
    <n v="13819"/>
    <n v="32.75"/>
    <n v="285128851"/>
    <n v="64117.124128626041"/>
    <n v="4447"/>
    <n v="4684"/>
  </r>
  <r>
    <s v="BOM/ICN"/>
    <x v="127"/>
    <x v="2"/>
    <x v="4"/>
    <x v="36"/>
    <x v="1"/>
    <x v="127"/>
    <n v="5548"/>
    <n v="14.5"/>
    <n v="226586175"/>
    <n v="51625.922761449074"/>
    <n v="4389"/>
    <n v="4667"/>
  </r>
  <r>
    <s v="BOM/SYD"/>
    <x v="128"/>
    <x v="2"/>
    <x v="4"/>
    <x v="37"/>
    <x v="4"/>
    <x v="128"/>
    <n v="10161"/>
    <n v="24.75"/>
    <n v="276080736"/>
    <n v="62574.962828649135"/>
    <n v="4412"/>
    <n v="4648"/>
  </r>
  <r>
    <s v="BOM/GAU"/>
    <x v="129"/>
    <x v="2"/>
    <x v="2"/>
    <x v="20"/>
    <x v="1"/>
    <x v="129"/>
    <n v="2071"/>
    <n v="6.75"/>
    <n v="157951927"/>
    <n v="35147.29127725857"/>
    <n v="4494"/>
    <n v="4645"/>
  </r>
  <r>
    <s v="BOM/RAK"/>
    <x v="130"/>
    <x v="2"/>
    <x v="2"/>
    <x v="28"/>
    <x v="0"/>
    <x v="130"/>
    <n v="8078"/>
    <n v="20"/>
    <n v="221411073"/>
    <n v="50013.795572622541"/>
    <n v="4427"/>
    <n v="4604"/>
  </r>
  <r>
    <s v="BOM/HND"/>
    <x v="131"/>
    <x v="2"/>
    <x v="4"/>
    <x v="35"/>
    <x v="1"/>
    <x v="131"/>
    <n v="6734"/>
    <n v="17"/>
    <n v="246305324"/>
    <n v="58118.292590844736"/>
    <n v="4238"/>
    <n v="4493"/>
  </r>
  <r>
    <s v="BOM/AGA"/>
    <x v="132"/>
    <x v="2"/>
    <x v="2"/>
    <x v="28"/>
    <x v="0"/>
    <x v="132"/>
    <n v="8237"/>
    <n v="20.25"/>
    <n v="216937294"/>
    <n v="50008.597049331489"/>
    <n v="4338"/>
    <n v="4483"/>
  </r>
  <r>
    <s v="BOM/UPG"/>
    <x v="133"/>
    <x v="2"/>
    <x v="2"/>
    <x v="29"/>
    <x v="1"/>
    <x v="133"/>
    <n v="5773"/>
    <n v="15"/>
    <n v="200543073"/>
    <n v="47634.934204275538"/>
    <n v="4210"/>
    <n v="4365"/>
  </r>
  <r>
    <s v="BOM/BNE"/>
    <x v="134"/>
    <x v="2"/>
    <x v="4"/>
    <x v="37"/>
    <x v="4"/>
    <x v="134"/>
    <n v="10063"/>
    <n v="24.5"/>
    <n v="265107048"/>
    <n v="64945.381675649194"/>
    <n v="4082"/>
    <n v="4341"/>
  </r>
  <r>
    <s v="BOM/BEL"/>
    <x v="135"/>
    <x v="2"/>
    <x v="2"/>
    <x v="27"/>
    <x v="3"/>
    <x v="135"/>
    <n v="13342"/>
    <n v="31.75"/>
    <n v="272449534"/>
    <n v="65888.641837968564"/>
    <n v="4135"/>
    <n v="4328"/>
  </r>
  <r>
    <s v="BOM/CHC"/>
    <x v="136"/>
    <x v="2"/>
    <x v="2"/>
    <x v="30"/>
    <x v="4"/>
    <x v="136"/>
    <n v="12222"/>
    <n v="29.25"/>
    <n v="270865414"/>
    <n v="66129.25146484375"/>
    <n v="4096"/>
    <n v="4288"/>
  </r>
  <r>
    <s v="BOM/CEI"/>
    <x v="137"/>
    <x v="2"/>
    <x v="3"/>
    <x v="31"/>
    <x v="1"/>
    <x v="137"/>
    <n v="2830"/>
    <n v="8.5"/>
    <n v="157248475"/>
    <n v="39077.652833001986"/>
    <n v="4024"/>
    <n v="4279"/>
  </r>
  <r>
    <s v="BOM/NRT"/>
    <x v="138"/>
    <x v="2"/>
    <x v="4"/>
    <x v="35"/>
    <x v="1"/>
    <x v="138"/>
    <n v="6788"/>
    <n v="17.25"/>
    <n v="241092313"/>
    <n v="59913.596669980121"/>
    <n v="4024"/>
    <n v="4265"/>
  </r>
  <r>
    <s v="BOM/YYZ"/>
    <x v="139"/>
    <x v="2"/>
    <x v="4"/>
    <x v="38"/>
    <x v="5"/>
    <x v="139"/>
    <n v="12497"/>
    <n v="29.75"/>
    <n v="297146227"/>
    <n v="73387.559150407513"/>
    <n v="4049"/>
    <n v="4225"/>
  </r>
  <r>
    <s v="BOM/GMP"/>
    <x v="140"/>
    <x v="2"/>
    <x v="1"/>
    <x v="36"/>
    <x v="1"/>
    <x v="140"/>
    <n v="5580"/>
    <n v="14.5"/>
    <n v="214567538"/>
    <n v="54472.591520690534"/>
    <n v="3939"/>
    <n v="4175"/>
  </r>
  <r>
    <s v="BOM/FRA"/>
    <x v="141"/>
    <x v="2"/>
    <x v="4"/>
    <x v="39"/>
    <x v="2"/>
    <x v="141"/>
    <n v="6571"/>
    <n v="16.75"/>
    <n v="245419607"/>
    <n v="62115.820551759047"/>
    <n v="3951"/>
    <n v="4162"/>
  </r>
  <r>
    <s v="BOM/CJU"/>
    <x v="142"/>
    <x v="2"/>
    <x v="1"/>
    <x v="36"/>
    <x v="1"/>
    <x v="142"/>
    <n v="5519"/>
    <n v="14.25"/>
    <n v="212143171"/>
    <n v="54676.074999999997"/>
    <n v="3880"/>
    <n v="4138"/>
  </r>
  <r>
    <s v="BOM/LHR"/>
    <x v="143"/>
    <x v="2"/>
    <x v="4"/>
    <x v="40"/>
    <x v="2"/>
    <x v="143"/>
    <n v="7215"/>
    <n v="18"/>
    <n v="251669449"/>
    <n v="63697.658567451275"/>
    <n v="3951"/>
    <n v="4136"/>
  </r>
  <r>
    <s v="BOM/SZX"/>
    <x v="144"/>
    <x v="2"/>
    <x v="4"/>
    <x v="6"/>
    <x v="1"/>
    <x v="144"/>
    <n v="4260"/>
    <n v="11.5"/>
    <n v="209083238"/>
    <n v="40709.353193146417"/>
    <n v="5136"/>
    <n v="5376"/>
  </r>
  <r>
    <s v="BOM/GRU"/>
    <x v="145"/>
    <x v="2"/>
    <x v="4"/>
    <x v="27"/>
    <x v="3"/>
    <x v="145"/>
    <n v="13758"/>
    <n v="32.5"/>
    <n v="305970162"/>
    <n v="57179.99663614278"/>
    <n v="5351"/>
    <n v="5351"/>
  </r>
  <r>
    <s v="BOM/RUH"/>
    <x v="146"/>
    <x v="2"/>
    <x v="4"/>
    <x v="9"/>
    <x v="1"/>
    <x v="146"/>
    <n v="2771"/>
    <n v="8.25"/>
    <n v="193120605"/>
    <n v="37777.896126760563"/>
    <n v="5112"/>
    <n v="5335"/>
  </r>
  <r>
    <s v="BOM/PEK"/>
    <x v="147"/>
    <x v="2"/>
    <x v="4"/>
    <x v="6"/>
    <x v="1"/>
    <x v="147"/>
    <n v="4765"/>
    <n v="12.75"/>
    <n v="226129211"/>
    <n v="44522.388462295727"/>
    <n v="5079"/>
    <n v="5265"/>
  </r>
  <r>
    <s v="BOM/PVG"/>
    <x v="148"/>
    <x v="2"/>
    <x v="4"/>
    <x v="6"/>
    <x v="1"/>
    <x v="148"/>
    <n v="5065"/>
    <n v="13.25"/>
    <n v="226311571"/>
    <n v="45526.367129350234"/>
    <n v="4971"/>
    <n v="5137"/>
  </r>
  <r>
    <s v="BOM/MNL"/>
    <x v="149"/>
    <x v="2"/>
    <x v="4"/>
    <x v="14"/>
    <x v="1"/>
    <x v="149"/>
    <n v="5137"/>
    <n v="13.5"/>
    <n v="216535784"/>
    <n v="45653.760067467847"/>
    <n v="4743"/>
    <n v="5059"/>
  </r>
  <r>
    <s v="BOM/KJT"/>
    <x v="150"/>
    <x v="2"/>
    <x v="1"/>
    <x v="29"/>
    <x v="1"/>
    <x v="150"/>
    <m/>
    <n v="12.75"/>
    <n v="202227665"/>
    <n v="42547.373237954977"/>
    <n v="4753"/>
    <n v="4991"/>
  </r>
  <r>
    <s v="BOM/BSB"/>
    <x v="151"/>
    <x v="2"/>
    <x v="1"/>
    <x v="27"/>
    <x v="3"/>
    <x v="151"/>
    <n v="13757"/>
    <n v="32.5"/>
    <n v="296243822"/>
    <n v="59798.914412595885"/>
    <n v="4954"/>
    <n v="4954"/>
  </r>
  <r>
    <s v="BOM/SHA"/>
    <x v="152"/>
    <x v="2"/>
    <x v="4"/>
    <x v="6"/>
    <x v="1"/>
    <x v="152"/>
    <n v="5020"/>
    <n v="13.25"/>
    <n v="217064371"/>
    <n v="46341.667591801881"/>
    <n v="4684"/>
    <n v="4903"/>
  </r>
  <r>
    <s v="BOM/DXB"/>
    <x v="153"/>
    <x v="2"/>
    <x v="4"/>
    <x v="41"/>
    <x v="1"/>
    <x v="153"/>
    <n v="1926"/>
    <n v="6.5"/>
    <n v="198450624"/>
    <n v="44396.112751677851"/>
    <n v="4470"/>
    <n v="4724"/>
  </r>
  <r>
    <s v="BOM/YIA"/>
    <x v="154"/>
    <x v="2"/>
    <x v="2"/>
    <x v="29"/>
    <x v="1"/>
    <x v="154"/>
    <n v="5088"/>
    <n v="13.5"/>
    <n v="199556960"/>
    <n v="44824.115004492363"/>
    <n v="4452"/>
    <n v="4630"/>
  </r>
  <r>
    <s v="BOM/HDY"/>
    <x v="155"/>
    <x v="2"/>
    <x v="2"/>
    <x v="31"/>
    <x v="1"/>
    <x v="155"/>
    <n v="3267"/>
    <n v="9.25"/>
    <n v="166548331"/>
    <n v="39105.031932378493"/>
    <n v="4259"/>
    <n v="4515"/>
  </r>
  <r>
    <s v="BOM/SIN"/>
    <x v="156"/>
    <x v="2"/>
    <x v="4"/>
    <x v="42"/>
    <x v="1"/>
    <x v="156"/>
    <n v="3921"/>
    <n v="10.75"/>
    <n v="216422986"/>
    <n v="50202.501971700302"/>
    <n v="4311"/>
    <n v="4512"/>
  </r>
  <r>
    <s v="BOM/CCJ"/>
    <x v="157"/>
    <x v="2"/>
    <x v="2"/>
    <x v="20"/>
    <x v="1"/>
    <x v="157"/>
    <n v="944"/>
    <n v="4.25"/>
    <n v="147213368"/>
    <n v="34646.591668627916"/>
    <n v="4249"/>
    <n v="4435"/>
  </r>
  <r>
    <s v="BOM/IXZ"/>
    <x v="158"/>
    <x v="2"/>
    <x v="3"/>
    <x v="20"/>
    <x v="1"/>
    <x v="158"/>
    <n v="2283"/>
    <n v="7.25"/>
    <n v="150723783"/>
    <n v="36779.839677891658"/>
    <n v="4098"/>
    <n v="4331"/>
  </r>
  <r>
    <s v="BOM/SXR"/>
    <x v="159"/>
    <x v="2"/>
    <x v="3"/>
    <x v="20"/>
    <x v="1"/>
    <x v="159"/>
    <n v="1667"/>
    <n v="5.75"/>
    <n v="148765636"/>
    <n v="35890.382629674306"/>
    <n v="4145"/>
    <n v="4325"/>
  </r>
  <r>
    <s v="BOM/KBV"/>
    <x v="160"/>
    <x v="2"/>
    <x v="3"/>
    <x v="31"/>
    <x v="1"/>
    <x v="160"/>
    <n v="3070"/>
    <n v="9"/>
    <n v="160092899"/>
    <n v="39558.413392636518"/>
    <n v="4047"/>
    <n v="4183"/>
  </r>
  <r>
    <s v="BOM/IXB"/>
    <x v="161"/>
    <x v="2"/>
    <x v="3"/>
    <x v="20"/>
    <x v="1"/>
    <x v="161"/>
    <n v="1793"/>
    <n v="6"/>
    <n v="146986817"/>
    <n v="36609.418929016188"/>
    <n v="4015"/>
    <n v="4176"/>
  </r>
  <r>
    <s v="BOM/TPE"/>
    <x v="162"/>
    <x v="2"/>
    <x v="4"/>
    <x v="43"/>
    <x v="1"/>
    <x v="162"/>
    <n v="5003"/>
    <n v="13.25"/>
    <n v="218089202"/>
    <n v="55734.526450293895"/>
    <n v="3913"/>
    <n v="4109"/>
  </r>
  <r>
    <s v="BOM/POS"/>
    <x v="163"/>
    <x v="2"/>
    <x v="2"/>
    <x v="44"/>
    <x v="5"/>
    <x v="163"/>
    <n v="14012"/>
    <n v="33.25"/>
    <n v="278674815"/>
    <n v="97918.065706254391"/>
    <n v="2846"/>
    <n v="2941"/>
  </r>
  <r>
    <s v="BOM/GUM"/>
    <x v="164"/>
    <x v="2"/>
    <x v="2"/>
    <x v="45"/>
    <x v="4"/>
    <x v="164"/>
    <n v="7654"/>
    <n v="19"/>
    <n v="215678355"/>
    <n v="77055.503751339769"/>
    <n v="2799"/>
    <n v="2911"/>
  </r>
  <r>
    <s v="BOM/DFW"/>
    <x v="165"/>
    <x v="2"/>
    <x v="4"/>
    <x v="46"/>
    <x v="6"/>
    <x v="165"/>
    <n v="14139"/>
    <n v="33.5"/>
    <n v="322334581"/>
    <n v="116703.32404055033"/>
    <n v="2762"/>
    <n v="2882"/>
  </r>
  <r>
    <s v="BOM/MCO"/>
    <x v="166"/>
    <x v="2"/>
    <x v="4"/>
    <x v="46"/>
    <x v="6"/>
    <x v="166"/>
    <n v="14050"/>
    <n v="33.25"/>
    <n v="315250873"/>
    <n v="118381.85242208037"/>
    <n v="2663"/>
    <n v="2832"/>
  </r>
  <r>
    <s v="BOM/MIA"/>
    <x v="167"/>
    <x v="2"/>
    <x v="4"/>
    <x v="46"/>
    <x v="6"/>
    <x v="167"/>
    <n v="14246"/>
    <n v="33.75"/>
    <n v="317853148"/>
    <n v="119046.12284644195"/>
    <n v="2670"/>
    <n v="2804"/>
  </r>
  <r>
    <s v="BOM/MEL"/>
    <x v="168"/>
    <x v="2"/>
    <x v="4"/>
    <x v="37"/>
    <x v="4"/>
    <x v="168"/>
    <n v="9809"/>
    <n v="23.75"/>
    <n v="268059858"/>
    <n v="68856.886206010793"/>
    <n v="3893"/>
    <n v="4075"/>
  </r>
  <r>
    <s v="BOM/AMS"/>
    <x v="169"/>
    <x v="2"/>
    <x v="4"/>
    <x v="47"/>
    <x v="2"/>
    <x v="169"/>
    <n v="6861"/>
    <n v="17.25"/>
    <n v="247196801"/>
    <n v="63809.189726381002"/>
    <n v="3874"/>
    <n v="4055"/>
  </r>
  <r>
    <s v="BOM/URT"/>
    <x v="170"/>
    <x v="2"/>
    <x v="3"/>
    <x v="31"/>
    <x v="1"/>
    <x v="170"/>
    <n v="3036"/>
    <n v="8.75"/>
    <n v="154365177"/>
    <n v="40718.854391981011"/>
    <n v="3791"/>
    <n v="4045"/>
  </r>
  <r>
    <s v="BOM/YVR"/>
    <x v="171"/>
    <x v="2"/>
    <x v="1"/>
    <x v="38"/>
    <x v="5"/>
    <x v="171"/>
    <n v="12261"/>
    <n v="29.25"/>
    <n v="285317227"/>
    <n v="75781.467994687919"/>
    <n v="3765"/>
    <n v="4016"/>
  </r>
  <r>
    <s v="BOM/MAD"/>
    <x v="172"/>
    <x v="2"/>
    <x v="4"/>
    <x v="32"/>
    <x v="2"/>
    <x v="172"/>
    <n v="7519"/>
    <n v="18.75"/>
    <n v="255373417"/>
    <n v="67523.378371232146"/>
    <n v="3782"/>
    <n v="4009"/>
  </r>
  <r>
    <s v="BOM/ORD"/>
    <x v="173"/>
    <x v="2"/>
    <x v="4"/>
    <x v="46"/>
    <x v="6"/>
    <x v="173"/>
    <n v="12946"/>
    <n v="30.75"/>
    <n v="310224018"/>
    <n v="82881.116216938288"/>
    <n v="3743"/>
    <n v="3993"/>
  </r>
  <r>
    <s v="BOM/MUC"/>
    <x v="174"/>
    <x v="2"/>
    <x v="4"/>
    <x v="39"/>
    <x v="2"/>
    <x v="174"/>
    <n v="6313"/>
    <n v="16"/>
    <n v="236857409"/>
    <n v="62577.915191545573"/>
    <n v="3785"/>
    <n v="3987"/>
  </r>
  <r>
    <s v="BOM/ATL"/>
    <x v="175"/>
    <x v="2"/>
    <x v="4"/>
    <x v="46"/>
    <x v="6"/>
    <x v="175"/>
    <n v="13681"/>
    <n v="32.5"/>
    <n v="317155569"/>
    <n v="84732.98664173123"/>
    <n v="3743"/>
    <n v="3980"/>
  </r>
  <r>
    <s v="BOM/TNG"/>
    <x v="176"/>
    <x v="2"/>
    <x v="3"/>
    <x v="28"/>
    <x v="0"/>
    <x v="176"/>
    <n v="7798"/>
    <n v="19.5"/>
    <n v="204447179"/>
    <n v="53352.604123173274"/>
    <n v="3832"/>
    <n v="3973"/>
  </r>
  <r>
    <s v="BOM/CCS"/>
    <x v="177"/>
    <x v="2"/>
    <x v="1"/>
    <x v="48"/>
    <x v="3"/>
    <x v="177"/>
    <n v="14518"/>
    <n v="34.25"/>
    <n v="298402863"/>
    <n v="79489.308204581786"/>
    <n v="3754"/>
    <n v="3966"/>
  </r>
  <r>
    <s v="BOM/FEZ"/>
    <x v="178"/>
    <x v="2"/>
    <x v="3"/>
    <x v="28"/>
    <x v="0"/>
    <x v="178"/>
    <n v="7747"/>
    <n v="19.25"/>
    <n v="204031353"/>
    <n v="53876.77660417217"/>
    <n v="3787"/>
    <n v="3963"/>
  </r>
  <r>
    <s v="BOM/LGW"/>
    <x v="179"/>
    <x v="2"/>
    <x v="4"/>
    <x v="40"/>
    <x v="2"/>
    <x v="179"/>
    <n v="7195"/>
    <n v="18"/>
    <n v="244926092"/>
    <n v="64846.728091077573"/>
    <n v="3777"/>
    <n v="3953"/>
  </r>
  <r>
    <s v="BOM/BOG"/>
    <x v="180"/>
    <x v="2"/>
    <x v="1"/>
    <x v="49"/>
    <x v="3"/>
    <x v="180"/>
    <n v="15543"/>
    <n v="36.5"/>
    <n v="318452735"/>
    <n v="85513.623791621911"/>
    <n v="3724"/>
    <n v="3948"/>
  </r>
  <r>
    <s v="BOM/FUK"/>
    <x v="181"/>
    <x v="2"/>
    <x v="1"/>
    <x v="35"/>
    <x v="1"/>
    <x v="181"/>
    <n v="5886"/>
    <n v="15.25"/>
    <n v="221598862"/>
    <n v="59810.758974358978"/>
    <n v="3705"/>
    <n v="3940"/>
  </r>
  <r>
    <s v="BOM/FCO"/>
    <x v="182"/>
    <x v="2"/>
    <x v="4"/>
    <x v="50"/>
    <x v="2"/>
    <x v="182"/>
    <n v="6195"/>
    <n v="15.75"/>
    <n v="236515625"/>
    <n v="62886.366657803774"/>
    <n v="3761"/>
    <n v="3936"/>
  </r>
  <r>
    <s v="BOM/LIS"/>
    <x v="183"/>
    <x v="2"/>
    <x v="1"/>
    <x v="51"/>
    <x v="2"/>
    <x v="183"/>
    <n v="8019"/>
    <n v="20"/>
    <n v="238343147"/>
    <n v="62705.379373848984"/>
    <n v="3801"/>
    <n v="3928"/>
  </r>
  <r>
    <s v="BOM/JFK"/>
    <x v="184"/>
    <x v="2"/>
    <x v="4"/>
    <x v="46"/>
    <x v="6"/>
    <x v="184"/>
    <n v="12535"/>
    <n v="30"/>
    <n v="306055433"/>
    <n v="82074.398766425322"/>
    <n v="3729"/>
    <n v="3916"/>
  </r>
  <r>
    <s v="BOM/IST"/>
    <x v="185"/>
    <x v="2"/>
    <x v="4"/>
    <x v="10"/>
    <x v="1"/>
    <x v="185"/>
    <n v="4836"/>
    <n v="12.75"/>
    <n v="227668710"/>
    <n v="60197.966684294028"/>
    <n v="3782"/>
    <n v="3908"/>
  </r>
  <r>
    <s v="BOM/BUD"/>
    <x v="186"/>
    <x v="2"/>
    <x v="1"/>
    <x v="52"/>
    <x v="2"/>
    <x v="186"/>
    <n v="5747"/>
    <n v="14.75"/>
    <n v="209267353"/>
    <n v="55938.880780539963"/>
    <n v="3741"/>
    <n v="3904"/>
  </r>
  <r>
    <s v="BOM/RBA"/>
    <x v="187"/>
    <x v="2"/>
    <x v="3"/>
    <x v="28"/>
    <x v="0"/>
    <x v="187"/>
    <n v="7906"/>
    <n v="19.75"/>
    <n v="203616076"/>
    <n v="54254.216893152145"/>
    <n v="3753"/>
    <n v="3878"/>
  </r>
  <r>
    <s v="BOM/ITM"/>
    <x v="188"/>
    <x v="2"/>
    <x v="1"/>
    <x v="35"/>
    <x v="1"/>
    <x v="188"/>
    <n v="6343"/>
    <n v="16.25"/>
    <n v="226786396"/>
    <n v="60898.602577873251"/>
    <n v="3724"/>
    <n v="3874"/>
  </r>
  <r>
    <s v="BOM/PUS"/>
    <x v="189"/>
    <x v="2"/>
    <x v="1"/>
    <x v="36"/>
    <x v="1"/>
    <x v="189"/>
    <n v="5752"/>
    <n v="14.75"/>
    <n v="208146306"/>
    <n v="57261.70729023384"/>
    <n v="3635"/>
    <n v="3866"/>
  </r>
  <r>
    <s v="BOM/YUL"/>
    <x v="190"/>
    <x v="2"/>
    <x v="1"/>
    <x v="38"/>
    <x v="5"/>
    <x v="190"/>
    <n v="12087"/>
    <n v="29"/>
    <n v="278789898"/>
    <n v="76950.013248688934"/>
    <n v="3623"/>
    <n v="3865"/>
  </r>
  <r>
    <s v="BOM/KIX"/>
    <x v="191"/>
    <x v="2"/>
    <x v="1"/>
    <x v="35"/>
    <x v="1"/>
    <x v="191"/>
    <n v="6326"/>
    <n v="16.25"/>
    <n v="225273426"/>
    <n v="61516.500819224464"/>
    <n v="3662"/>
    <n v="3858"/>
  </r>
  <r>
    <s v="BOM/SFO"/>
    <x v="192"/>
    <x v="2"/>
    <x v="4"/>
    <x v="46"/>
    <x v="6"/>
    <x v="192"/>
    <n v="13514"/>
    <n v="32"/>
    <n v="311990379"/>
    <n v="85313.201804757991"/>
    <n v="3657"/>
    <n v="3853"/>
  </r>
  <r>
    <s v="BOM/CTS"/>
    <x v="193"/>
    <x v="2"/>
    <x v="1"/>
    <x v="35"/>
    <x v="1"/>
    <x v="193"/>
    <n v="6872"/>
    <n v="17.25"/>
    <n v="231744652"/>
    <n v="62414.395906275247"/>
    <n v="3713"/>
    <n v="3850"/>
  </r>
  <r>
    <s v="BOM/STN"/>
    <x v="194"/>
    <x v="2"/>
    <x v="4"/>
    <x v="40"/>
    <x v="2"/>
    <x v="194"/>
    <n v="7167"/>
    <n v="18"/>
    <n v="237495623"/>
    <n v="66376.641419787586"/>
    <n v="3578"/>
    <n v="3817"/>
  </r>
  <r>
    <s v="BOM/MAN"/>
    <x v="195"/>
    <x v="2"/>
    <x v="4"/>
    <x v="40"/>
    <x v="2"/>
    <x v="195"/>
    <n v="7338"/>
    <n v="18.5"/>
    <n v="239645645"/>
    <n v="66753.661559888584"/>
    <n v="3590"/>
    <n v="3805"/>
  </r>
  <r>
    <s v="BOM/CAY"/>
    <x v="196"/>
    <x v="2"/>
    <x v="2"/>
    <x v="53"/>
    <x v="3"/>
    <x v="196"/>
    <n v="13463"/>
    <n v="32"/>
    <n v="260791004"/>
    <n v="72421.828381005282"/>
    <n v="3601"/>
    <n v="3793"/>
  </r>
  <r>
    <s v="BOM/VIE"/>
    <x v="197"/>
    <x v="2"/>
    <x v="4"/>
    <x v="54"/>
    <x v="2"/>
    <x v="197"/>
    <n v="5960"/>
    <n v="15.25"/>
    <n v="223883669"/>
    <n v="62000.462198836889"/>
    <n v="3611"/>
    <n v="3792"/>
  </r>
  <r>
    <s v="BOM/YYC"/>
    <x v="198"/>
    <x v="2"/>
    <x v="1"/>
    <x v="38"/>
    <x v="5"/>
    <x v="198"/>
    <n v="12183"/>
    <n v="29"/>
    <n v="279687681"/>
    <n v="77390.061151079135"/>
    <n v="3614"/>
    <n v="3783"/>
  </r>
  <r>
    <s v="BOM/EWR"/>
    <x v="199"/>
    <x v="2"/>
    <x v="4"/>
    <x v="46"/>
    <x v="6"/>
    <x v="199"/>
    <n v="12549"/>
    <n v="30"/>
    <n v="299214150"/>
    <n v="83346.559888579388"/>
    <n v="3590"/>
    <n v="3781"/>
  </r>
  <r>
    <s v="BOM/SJU"/>
    <x v="200"/>
    <x v="2"/>
    <x v="1"/>
    <x v="55"/>
    <x v="5"/>
    <x v="200"/>
    <n v="13889"/>
    <n v="33"/>
    <n v="290989233"/>
    <n v="81463.951007838739"/>
    <n v="3572"/>
    <n v="3774"/>
  </r>
  <r>
    <s v="BOM/SEA"/>
    <x v="201"/>
    <x v="2"/>
    <x v="4"/>
    <x v="46"/>
    <x v="6"/>
    <x v="201"/>
    <n v="12465"/>
    <n v="29.75"/>
    <n v="297054036"/>
    <n v="83536.005624296959"/>
    <n v="3556"/>
    <n v="3746"/>
  </r>
  <r>
    <s v="BOM/OKA"/>
    <x v="202"/>
    <x v="2"/>
    <x v="1"/>
    <x v="35"/>
    <x v="1"/>
    <x v="202"/>
    <n v="5638"/>
    <n v="14.5"/>
    <n v="215869541"/>
    <n v="60013.772866277453"/>
    <n v="3597"/>
    <n v="3729"/>
  </r>
  <r>
    <s v="BOM/BCN"/>
    <x v="203"/>
    <x v="2"/>
    <x v="4"/>
    <x v="32"/>
    <x v="2"/>
    <x v="203"/>
    <n v="7039"/>
    <n v="17.75"/>
    <n v="241493077"/>
    <n v="67816.084526818304"/>
    <n v="3561"/>
    <n v="3727"/>
  </r>
  <r>
    <s v="BOM/DUS"/>
    <x v="204"/>
    <x v="2"/>
    <x v="1"/>
    <x v="39"/>
    <x v="2"/>
    <x v="204"/>
    <n v="6713"/>
    <n v="17"/>
    <n v="229974840"/>
    <n v="65819.931310818545"/>
    <n v="3494"/>
    <n v="3693"/>
  </r>
  <r>
    <s v="BOM/BOS"/>
    <x v="205"/>
    <x v="2"/>
    <x v="4"/>
    <x v="46"/>
    <x v="6"/>
    <x v="205"/>
    <n v="12245"/>
    <n v="29.25"/>
    <n v="291345055"/>
    <n v="83695.792875610452"/>
    <n v="3481"/>
    <n v="3667"/>
  </r>
  <r>
    <s v="BOM/NGO"/>
    <x v="206"/>
    <x v="2"/>
    <x v="1"/>
    <x v="35"/>
    <x v="1"/>
    <x v="206"/>
    <n v="6468"/>
    <n v="16.5"/>
    <n v="222182297"/>
    <n v="63048.324914869467"/>
    <n v="3524"/>
    <n v="3665"/>
  </r>
  <r>
    <s v="BOM/HEL"/>
    <x v="207"/>
    <x v="2"/>
    <x v="1"/>
    <x v="56"/>
    <x v="2"/>
    <x v="207"/>
    <n v="5926"/>
    <n v="15.25"/>
    <n v="217294297"/>
    <n v="63499.210111046174"/>
    <n v="3422"/>
    <n v="3650"/>
  </r>
  <r>
    <s v="BOM/MXP"/>
    <x v="208"/>
    <x v="2"/>
    <x v="1"/>
    <x v="50"/>
    <x v="2"/>
    <x v="208"/>
    <n v="6510"/>
    <n v="16.5"/>
    <n v="228957661"/>
    <n v="66153.614851199076"/>
    <n v="3461"/>
    <n v="3646"/>
  </r>
  <r>
    <s v="BOM/PNZ"/>
    <x v="209"/>
    <x v="2"/>
    <x v="3"/>
    <x v="27"/>
    <x v="3"/>
    <x v="209"/>
    <n v="12801"/>
    <n v="30.5"/>
    <n v="250296353"/>
    <n v="72654.964586357033"/>
    <n v="3445"/>
    <n v="3640"/>
  </r>
  <r>
    <s v="BOM/BWI"/>
    <x v="210"/>
    <x v="2"/>
    <x v="4"/>
    <x v="46"/>
    <x v="6"/>
    <x v="210"/>
    <n v="12806"/>
    <n v="30.5"/>
    <n v="293872824"/>
    <n v="86204.993839835734"/>
    <n v="3409"/>
    <n v="3614"/>
  </r>
  <r>
    <s v="BOM/UTP"/>
    <x v="211"/>
    <x v="2"/>
    <x v="0"/>
    <x v="31"/>
    <x v="1"/>
    <x v="211"/>
    <n v="3089"/>
    <n v="9"/>
    <n v="146448967"/>
    <n v="43149.37153800825"/>
    <n v="3394"/>
    <n v="3598"/>
  </r>
  <r>
    <s v="BOM/HLP"/>
    <x v="212"/>
    <x v="2"/>
    <x v="3"/>
    <x v="29"/>
    <x v="1"/>
    <x v="212"/>
    <n v="4674"/>
    <n v="12.5"/>
    <n v="169081325"/>
    <n v="49803.041237113401"/>
    <n v="3395"/>
    <n v="3588"/>
  </r>
  <r>
    <s v="BOM/IAD"/>
    <x v="213"/>
    <x v="2"/>
    <x v="4"/>
    <x v="46"/>
    <x v="6"/>
    <x v="213"/>
    <n v="12864"/>
    <n v="30.5"/>
    <n v="295777046"/>
    <n v="86081.794528521539"/>
    <n v="3436"/>
    <n v="3585"/>
  </r>
  <r>
    <s v="BOM/CPH"/>
    <x v="214"/>
    <x v="2"/>
    <x v="1"/>
    <x v="57"/>
    <x v="2"/>
    <x v="214"/>
    <n v="6413"/>
    <n v="16.25"/>
    <n v="226368601"/>
    <n v="66015.923301254006"/>
    <n v="3429"/>
    <n v="3578"/>
  </r>
  <r>
    <s v="BOM/BRU"/>
    <x v="215"/>
    <x v="2"/>
    <x v="1"/>
    <x v="58"/>
    <x v="2"/>
    <x v="215"/>
    <n v="6867"/>
    <n v="17.25"/>
    <n v="232001037"/>
    <n v="67246.677391304343"/>
    <n v="3450"/>
    <n v="3565"/>
  </r>
  <r>
    <s v="BOM/CUN"/>
    <x v="216"/>
    <x v="2"/>
    <x v="1"/>
    <x v="59"/>
    <x v="5"/>
    <x v="216"/>
    <n v="15042"/>
    <n v="35.5"/>
    <n v="307190469"/>
    <n v="92388.110977443604"/>
    <n v="3325"/>
    <n v="3525"/>
  </r>
  <r>
    <s v="BOM/PER"/>
    <x v="217"/>
    <x v="2"/>
    <x v="1"/>
    <x v="37"/>
    <x v="4"/>
    <x v="217"/>
    <n v="7299"/>
    <n v="18.25"/>
    <n v="228897764"/>
    <n v="68862.143200962702"/>
    <n v="3324"/>
    <n v="3524"/>
  </r>
  <r>
    <s v="BOM/YEG"/>
    <x v="218"/>
    <x v="2"/>
    <x v="1"/>
    <x v="38"/>
    <x v="5"/>
    <x v="218"/>
    <n v="11944"/>
    <n v="28.5"/>
    <n v="268772042"/>
    <n v="79920.321736544749"/>
    <n v="3363"/>
    <n v="3520"/>
  </r>
  <r>
    <s v="BOM/TXL"/>
    <x v="219"/>
    <x v="2"/>
    <x v="1"/>
    <x v="39"/>
    <x v="2"/>
    <x v="219"/>
    <n v="6294"/>
    <n v="16"/>
    <n v="222271651"/>
    <n v="65489.584855627581"/>
    <n v="3394"/>
    <n v="3518"/>
  </r>
  <r>
    <s v="BOM/FNC"/>
    <x v="220"/>
    <x v="2"/>
    <x v="2"/>
    <x v="51"/>
    <x v="2"/>
    <x v="220"/>
    <n v="8846"/>
    <n v="21.75"/>
    <n v="227296554"/>
    <n v="69424.726328649966"/>
    <n v="3274"/>
    <n v="3481"/>
  </r>
  <r>
    <s v="BOM/ADL"/>
    <x v="221"/>
    <x v="2"/>
    <x v="1"/>
    <x v="37"/>
    <x v="4"/>
    <x v="221"/>
    <n v="9167"/>
    <n v="22.5"/>
    <n v="242390007"/>
    <n v="73473.782055168238"/>
    <n v="3299"/>
    <n v="3442"/>
  </r>
  <r>
    <s v="BOM/CDG"/>
    <x v="222"/>
    <x v="2"/>
    <x v="4"/>
    <x v="34"/>
    <x v="2"/>
    <x v="222"/>
    <n v="6994"/>
    <n v="17.5"/>
    <n v="250984252"/>
    <n v="76403.120852359207"/>
    <n v="3285"/>
    <n v="3439"/>
  </r>
  <r>
    <s v="BOM/HAV"/>
    <x v="223"/>
    <x v="2"/>
    <x v="1"/>
    <x v="60"/>
    <x v="5"/>
    <x v="223"/>
    <n v="14625"/>
    <n v="34.5"/>
    <n v="295127255"/>
    <n v="91004.395621338263"/>
    <n v="3243"/>
    <n v="3427"/>
  </r>
  <r>
    <s v="BOM/EZE"/>
    <x v="224"/>
    <x v="2"/>
    <x v="1"/>
    <x v="61"/>
    <x v="3"/>
    <x v="224"/>
    <n v="14950"/>
    <n v="35.25"/>
    <n v="300339085"/>
    <n v="89841.186060424763"/>
    <n v="3343"/>
    <n v="3343"/>
  </r>
  <r>
    <s v="BOM/BGY"/>
    <x v="225"/>
    <x v="2"/>
    <x v="1"/>
    <x v="50"/>
    <x v="2"/>
    <x v="225"/>
    <n v="6435"/>
    <n v="16.5"/>
    <n v="215650820"/>
    <n v="69296.535989717217"/>
    <n v="3112"/>
    <n v="3269"/>
  </r>
  <r>
    <s v="BOM/MAR"/>
    <x v="226"/>
    <x v="2"/>
    <x v="2"/>
    <x v="48"/>
    <x v="3"/>
    <x v="226"/>
    <n v="14927"/>
    <n v="35.25"/>
    <n v="289106042"/>
    <n v="92900.399100257069"/>
    <n v="3112"/>
    <n v="3227"/>
  </r>
  <r>
    <s v="BOM/RMQ"/>
    <x v="227"/>
    <x v="2"/>
    <x v="2"/>
    <x v="43"/>
    <x v="1"/>
    <x v="227"/>
    <n v="4946"/>
    <n v="13"/>
    <n v="185068259"/>
    <n v="64913.454577341283"/>
    <n v="2851"/>
    <n v="2946"/>
  </r>
  <r>
    <s v="BOM/LAX"/>
    <x v="228"/>
    <x v="2"/>
    <x v="4"/>
    <x v="46"/>
    <x v="6"/>
    <x v="228"/>
    <n v="14002"/>
    <n v="33.25"/>
    <n v="320614695"/>
    <n v="116080.6281679942"/>
    <n v="2762"/>
    <n v="2919"/>
  </r>
  <r>
    <s v="BOM/PHX"/>
    <x v="229"/>
    <x v="2"/>
    <x v="4"/>
    <x v="46"/>
    <x v="6"/>
    <x v="229"/>
    <n v="14155"/>
    <n v="33.5"/>
    <n v="317992249"/>
    <n v="118037.21195248701"/>
    <n v="2694"/>
    <n v="2828"/>
  </r>
  <r>
    <s v="BOM/COR"/>
    <x v="230"/>
    <x v="2"/>
    <x v="3"/>
    <x v="61"/>
    <x v="3"/>
    <x v="230"/>
    <n v="15523"/>
    <n v="36.5"/>
    <n v="286995720"/>
    <n v="105824.38053097345"/>
    <n v="2712"/>
    <n v="2802"/>
  </r>
  <r>
    <s v="BOM/AUH"/>
    <x v="231"/>
    <x v="2"/>
    <x v="1"/>
    <x v="41"/>
    <x v="1"/>
    <x v="231"/>
    <n v="1971"/>
    <n v="6.5"/>
    <n v="172723446"/>
    <n v="47516.766437414029"/>
    <n v="3635"/>
    <n v="3806"/>
  </r>
  <r>
    <s v="BOM/LXA"/>
    <x v="232"/>
    <x v="1"/>
    <x v="2"/>
    <x v="6"/>
    <x v="1"/>
    <x v="232"/>
    <n v="2148"/>
    <n v="7"/>
    <m/>
    <n v="0"/>
    <m/>
    <n v="4346"/>
  </r>
  <r>
    <s v="BOM/JAI"/>
    <x v="233"/>
    <x v="3"/>
    <x v="2"/>
    <x v="20"/>
    <x v="1"/>
    <x v="233"/>
    <n v="911"/>
    <n v="4.25"/>
    <n v="145010107"/>
    <n v="34749.606278456748"/>
    <n v="4173"/>
    <n v="4315"/>
  </r>
  <r>
    <s v="BOM/ATQ"/>
    <x v="234"/>
    <x v="1"/>
    <x v="3"/>
    <x v="20"/>
    <x v="1"/>
    <x v="234"/>
    <n v="1416"/>
    <n v="5.25"/>
    <m/>
    <n v="0"/>
    <m/>
    <n v="4228"/>
  </r>
  <r>
    <s v="BOM/IXE"/>
    <x v="235"/>
    <x v="1"/>
    <x v="3"/>
    <x v="20"/>
    <x v="1"/>
    <x v="235"/>
    <n v="714"/>
    <n v="3.75"/>
    <m/>
    <n v="0"/>
    <m/>
    <n v="4162"/>
  </r>
  <r>
    <s v="BOM/LYP"/>
    <x v="236"/>
    <x v="1"/>
    <x v="3"/>
    <x v="23"/>
    <x v="1"/>
    <x v="236"/>
    <n v="1365"/>
    <n v="5.25"/>
    <m/>
    <n v="0"/>
    <m/>
    <n v="4138"/>
  </r>
  <r>
    <s v="BOM/VTZ"/>
    <x v="237"/>
    <x v="1"/>
    <x v="3"/>
    <x v="20"/>
    <x v="1"/>
    <x v="237"/>
    <n v="1103"/>
    <n v="4.5"/>
    <m/>
    <n v="0"/>
    <m/>
    <n v="4069"/>
  </r>
  <r>
    <s v="BOM/MHD"/>
    <x v="238"/>
    <x v="1"/>
    <x v="2"/>
    <x v="16"/>
    <x v="1"/>
    <x v="238"/>
    <n v="2304"/>
    <n v="7.25"/>
    <m/>
    <n v="0"/>
    <m/>
    <n v="4035"/>
  </r>
  <r>
    <s v="BOM/DOH"/>
    <x v="239"/>
    <x v="1"/>
    <x v="1"/>
    <x v="62"/>
    <x v="1"/>
    <x v="239"/>
    <n v="2295"/>
    <n v="7.25"/>
    <m/>
    <n v="0"/>
    <m/>
    <n v="3989"/>
  </r>
  <r>
    <s v="BOM/IXL"/>
    <x v="240"/>
    <x v="1"/>
    <x v="3"/>
    <x v="20"/>
    <x v="1"/>
    <x v="240"/>
    <n v="1736"/>
    <n v="6"/>
    <m/>
    <n v="0"/>
    <m/>
    <n v="3953"/>
  </r>
  <r>
    <s v="BOM/OUD"/>
    <x v="241"/>
    <x v="1"/>
    <x v="3"/>
    <x v="28"/>
    <x v="0"/>
    <x v="241"/>
    <n v="7456"/>
    <n v="18.75"/>
    <m/>
    <n v="0"/>
    <m/>
    <n v="3913"/>
  </r>
  <r>
    <s v="BOM/CLT"/>
    <x v="242"/>
    <x v="1"/>
    <x v="4"/>
    <x v="46"/>
    <x v="6"/>
    <x v="242"/>
    <n v="13378"/>
    <n v="31.75"/>
    <m/>
    <n v="0"/>
    <m/>
    <n v="3877"/>
  </r>
  <r>
    <s v="BOM/DMM"/>
    <x v="243"/>
    <x v="1"/>
    <x v="2"/>
    <x v="9"/>
    <x v="1"/>
    <x v="243"/>
    <n v="2499"/>
    <n v="7.75"/>
    <m/>
    <n v="0"/>
    <m/>
    <n v="3843"/>
  </r>
  <r>
    <s v="BOM/XIC"/>
    <x v="244"/>
    <x v="1"/>
    <x v="3"/>
    <x v="6"/>
    <x v="1"/>
    <x v="244"/>
    <n v="3139"/>
    <n v="9"/>
    <m/>
    <n v="0"/>
    <m/>
    <n v="3843"/>
  </r>
  <r>
    <s v="BOM/AJF"/>
    <x v="245"/>
    <x v="1"/>
    <x v="3"/>
    <x v="9"/>
    <x v="1"/>
    <x v="245"/>
    <n v="3510"/>
    <n v="10"/>
    <m/>
    <n v="0"/>
    <m/>
    <n v="3839"/>
  </r>
  <r>
    <s v="BOM/LTK"/>
    <x v="246"/>
    <x v="1"/>
    <x v="3"/>
    <x v="13"/>
    <x v="1"/>
    <x v="246"/>
    <n v="4044"/>
    <n v="11"/>
    <m/>
    <n v="0"/>
    <m/>
    <n v="3839"/>
  </r>
  <r>
    <s v="BOM/ARN"/>
    <x v="247"/>
    <x v="1"/>
    <x v="2"/>
    <x v="63"/>
    <x v="2"/>
    <x v="247"/>
    <n v="6249"/>
    <n v="16"/>
    <m/>
    <n v="0"/>
    <m/>
    <n v="3832"/>
  </r>
  <r>
    <s v="BOM/WUX"/>
    <x v="248"/>
    <x v="1"/>
    <x v="2"/>
    <x v="6"/>
    <x v="1"/>
    <x v="248"/>
    <n v="4936"/>
    <n v="13"/>
    <m/>
    <n v="0"/>
    <m/>
    <n v="3811"/>
  </r>
  <r>
    <s v="BOM/BHY"/>
    <x v="249"/>
    <x v="1"/>
    <x v="3"/>
    <x v="6"/>
    <x v="1"/>
    <x v="249"/>
    <n v="3800"/>
    <n v="10.5"/>
    <m/>
    <n v="0"/>
    <m/>
    <n v="3804"/>
  </r>
  <r>
    <s v="BOM/MRU"/>
    <x v="250"/>
    <x v="1"/>
    <x v="2"/>
    <x v="64"/>
    <x v="0"/>
    <x v="250"/>
    <n v="4696"/>
    <n v="12.5"/>
    <m/>
    <n v="0"/>
    <m/>
    <n v="3801"/>
  </r>
  <r>
    <s v="BOM/EUN"/>
    <x v="251"/>
    <x v="1"/>
    <x v="0"/>
    <x v="28"/>
    <x v="0"/>
    <x v="251"/>
    <n v="8684"/>
    <m/>
    <m/>
    <n v="0"/>
    <m/>
    <n v="3788"/>
  </r>
  <r>
    <s v="BOM/PHL"/>
    <x v="252"/>
    <x v="1"/>
    <x v="4"/>
    <x v="46"/>
    <x v="6"/>
    <x v="252"/>
    <n v="12675"/>
    <n v="30.25"/>
    <m/>
    <n v="0"/>
    <m/>
    <n v="3785"/>
  </r>
  <r>
    <s v="BOM/ORN"/>
    <x v="253"/>
    <x v="1"/>
    <x v="3"/>
    <x v="19"/>
    <x v="0"/>
    <x v="253"/>
    <n v="7325"/>
    <n v="18.25"/>
    <m/>
    <n v="0"/>
    <m/>
    <n v="3783"/>
  </r>
  <r>
    <s v="BOM/MSP"/>
    <x v="254"/>
    <x v="1"/>
    <x v="4"/>
    <x v="46"/>
    <x v="6"/>
    <x v="254"/>
    <n v="12766"/>
    <n v="30.5"/>
    <m/>
    <n v="0"/>
    <m/>
    <n v="3777"/>
  </r>
  <r>
    <s v="BOM/GIZ"/>
    <x v="255"/>
    <x v="1"/>
    <x v="3"/>
    <x v="9"/>
    <x v="1"/>
    <x v="255"/>
    <n v="3208"/>
    <n v="9.25"/>
    <m/>
    <n v="0"/>
    <m/>
    <n v="3774"/>
  </r>
  <r>
    <s v="BOM/KYA"/>
    <x v="256"/>
    <x v="1"/>
    <x v="3"/>
    <x v="10"/>
    <x v="1"/>
    <x v="256"/>
    <n v="4416"/>
    <n v="12"/>
    <m/>
    <n v="0"/>
    <m/>
    <n v="3773"/>
  </r>
  <r>
    <s v="BOM/DEZ"/>
    <x v="257"/>
    <x v="1"/>
    <x v="0"/>
    <x v="13"/>
    <x v="1"/>
    <x v="257"/>
    <n v="3677"/>
    <n v="10.25"/>
    <m/>
    <n v="0"/>
    <m/>
    <n v="3772"/>
  </r>
  <r>
    <s v="BOM/KRL"/>
    <x v="258"/>
    <x v="1"/>
    <x v="3"/>
    <x v="6"/>
    <x v="1"/>
    <x v="258"/>
    <n v="2810"/>
    <n v="8.25"/>
    <m/>
    <n v="0"/>
    <m/>
    <n v="3767"/>
  </r>
  <r>
    <s v="BOM/DIG"/>
    <x v="259"/>
    <x v="1"/>
    <x v="3"/>
    <x v="6"/>
    <x v="1"/>
    <x v="259"/>
    <n v="2894"/>
    <n v="8.5"/>
    <m/>
    <n v="0"/>
    <m/>
    <n v="3747"/>
  </r>
  <r>
    <s v="BOM/YCU"/>
    <x v="260"/>
    <x v="1"/>
    <x v="3"/>
    <x v="6"/>
    <x v="1"/>
    <x v="260"/>
    <n v="4144"/>
    <n v="11.25"/>
    <m/>
    <n v="0"/>
    <m/>
    <n v="3745"/>
  </r>
  <r>
    <s v="BOM/MQP"/>
    <x v="261"/>
    <x v="1"/>
    <x v="3"/>
    <x v="7"/>
    <x v="0"/>
    <x v="261"/>
    <n v="6698"/>
    <n v="17"/>
    <m/>
    <n v="0"/>
    <m/>
    <n v="3736"/>
  </r>
  <r>
    <s v="BOM/RYK"/>
    <x v="262"/>
    <x v="1"/>
    <x v="0"/>
    <x v="23"/>
    <x v="1"/>
    <x v="262"/>
    <n v="1066"/>
    <n v="4.5"/>
    <m/>
    <n v="0"/>
    <m/>
    <n v="3732"/>
  </r>
  <r>
    <s v="BOM/PZI"/>
    <x v="263"/>
    <x v="1"/>
    <x v="3"/>
    <x v="6"/>
    <x v="1"/>
    <x v="263"/>
    <n v="3071"/>
    <n v="9"/>
    <m/>
    <n v="0"/>
    <m/>
    <n v="3713"/>
  </r>
  <r>
    <s v="BOM/DTW"/>
    <x v="264"/>
    <x v="1"/>
    <x v="4"/>
    <x v="46"/>
    <x v="6"/>
    <x v="264"/>
    <n v="12778"/>
    <n v="30.5"/>
    <m/>
    <n v="0"/>
    <m/>
    <n v="3708"/>
  </r>
  <r>
    <s v="BOM/KAC"/>
    <x v="265"/>
    <x v="1"/>
    <x v="0"/>
    <x v="13"/>
    <x v="1"/>
    <x v="265"/>
    <n v="3666"/>
    <n v="10.25"/>
    <m/>
    <n v="0"/>
    <m/>
    <n v="3697"/>
  </r>
  <r>
    <s v="BOM/SJW"/>
    <x v="266"/>
    <x v="1"/>
    <x v="2"/>
    <x v="6"/>
    <x v="1"/>
    <x v="266"/>
    <n v="4553"/>
    <n v="12.25"/>
    <m/>
    <n v="0"/>
    <m/>
    <n v="3687"/>
  </r>
  <r>
    <s v="BOM/ATH"/>
    <x v="267"/>
    <x v="1"/>
    <x v="1"/>
    <x v="65"/>
    <x v="2"/>
    <x v="267"/>
    <n v="5150"/>
    <n v="13.5"/>
    <m/>
    <n v="0"/>
    <m/>
    <n v="3675"/>
  </r>
  <r>
    <s v="BOM/BMV"/>
    <x v="268"/>
    <x v="1"/>
    <x v="3"/>
    <x v="3"/>
    <x v="1"/>
    <x v="268"/>
    <n v="3831"/>
    <n v="10.5"/>
    <m/>
    <n v="0"/>
    <m/>
    <n v="3667"/>
  </r>
  <r>
    <s v="BOM/DNH"/>
    <x v="269"/>
    <x v="1"/>
    <x v="3"/>
    <x v="6"/>
    <x v="1"/>
    <x v="269"/>
    <n v="3143"/>
    <n v="9"/>
    <m/>
    <n v="0"/>
    <m/>
    <n v="3659"/>
  </r>
  <r>
    <s v="BOM/HLA"/>
    <x v="270"/>
    <x v="1"/>
    <x v="3"/>
    <x v="7"/>
    <x v="0"/>
    <x v="270"/>
    <n v="6975"/>
    <n v="17.5"/>
    <m/>
    <n v="0"/>
    <m/>
    <n v="3622"/>
  </r>
  <r>
    <s v="BOM/BPX"/>
    <x v="271"/>
    <x v="1"/>
    <x v="0"/>
    <x v="6"/>
    <x v="1"/>
    <x v="271"/>
    <n v="2750"/>
    <n v="8.25"/>
    <m/>
    <n v="0"/>
    <m/>
    <n v="3614"/>
  </r>
  <r>
    <s v="BOM/KHV"/>
    <x v="272"/>
    <x v="1"/>
    <x v="3"/>
    <x v="18"/>
    <x v="2"/>
    <x v="272"/>
    <n v="6407"/>
    <n v="16.25"/>
    <m/>
    <n v="0"/>
    <m/>
    <n v="3609"/>
  </r>
  <r>
    <s v="BOM/WXN"/>
    <x v="273"/>
    <x v="1"/>
    <x v="3"/>
    <x v="6"/>
    <x v="1"/>
    <x v="273"/>
    <n v="3796"/>
    <n v="10.5"/>
    <m/>
    <n v="0"/>
    <m/>
    <n v="3601"/>
  </r>
  <r>
    <s v="BOM/VVO"/>
    <x v="274"/>
    <x v="1"/>
    <x v="2"/>
    <x v="18"/>
    <x v="2"/>
    <x v="274"/>
    <n v="6103"/>
    <n v="15.75"/>
    <m/>
    <n v="0"/>
    <m/>
    <n v="3597"/>
  </r>
  <r>
    <s v="BOM/AAE"/>
    <x v="275"/>
    <x v="1"/>
    <x v="3"/>
    <x v="19"/>
    <x v="0"/>
    <x v="275"/>
    <n v="6562"/>
    <n v="16.75"/>
    <m/>
    <n v="0"/>
    <m/>
    <n v="3579"/>
  </r>
  <r>
    <s v="BOM/SLC"/>
    <x v="276"/>
    <x v="1"/>
    <x v="4"/>
    <x v="46"/>
    <x v="6"/>
    <x v="276"/>
    <n v="13342"/>
    <n v="31.75"/>
    <m/>
    <n v="0"/>
    <m/>
    <n v="3575"/>
  </r>
  <r>
    <s v="BOM/TUU"/>
    <x v="277"/>
    <x v="1"/>
    <x v="3"/>
    <x v="9"/>
    <x v="1"/>
    <x v="277"/>
    <n v="3816"/>
    <n v="10.5"/>
    <m/>
    <n v="0"/>
    <m/>
    <n v="3568"/>
  </r>
  <r>
    <s v="BOM/AMD"/>
    <x v="278"/>
    <x v="3"/>
    <x v="2"/>
    <x v="20"/>
    <x v="1"/>
    <x v="278"/>
    <n v="444"/>
    <n v="3"/>
    <n v="147954509"/>
    <n v="43877.375148279949"/>
    <n v="3372"/>
    <n v="3565"/>
  </r>
  <r>
    <s v="BOM/GES"/>
    <x v="279"/>
    <x v="1"/>
    <x v="3"/>
    <x v="14"/>
    <x v="1"/>
    <x v="279"/>
    <n v="5828"/>
    <n v="15"/>
    <m/>
    <n v="0"/>
    <m/>
    <n v="3557"/>
  </r>
  <r>
    <s v="BOM/ZAG"/>
    <x v="280"/>
    <x v="1"/>
    <x v="2"/>
    <x v="66"/>
    <x v="2"/>
    <x v="280"/>
    <n v="5946"/>
    <n v="15.25"/>
    <m/>
    <n v="0"/>
    <m/>
    <n v="3536"/>
  </r>
  <r>
    <s v="BOM/HME"/>
    <x v="281"/>
    <x v="1"/>
    <x v="3"/>
    <x v="19"/>
    <x v="0"/>
    <x v="281"/>
    <n v="6750"/>
    <n v="17"/>
    <m/>
    <n v="0"/>
    <m/>
    <n v="3528"/>
  </r>
  <r>
    <s v="BOM/TRD"/>
    <x v="282"/>
    <x v="1"/>
    <x v="2"/>
    <x v="22"/>
    <x v="2"/>
    <x v="282"/>
    <n v="6737"/>
    <n v="17"/>
    <m/>
    <n v="0"/>
    <m/>
    <n v="3523"/>
  </r>
  <r>
    <s v="BOM/VIL"/>
    <x v="283"/>
    <x v="1"/>
    <x v="0"/>
    <x v="28"/>
    <x v="0"/>
    <x v="283"/>
    <n v="9053"/>
    <n v="22.25"/>
    <n v="203354306"/>
    <n v="59810.09"/>
    <n v="3400"/>
    <n v="3513"/>
  </r>
  <r>
    <s v="BOM/AQJ"/>
    <x v="284"/>
    <x v="1"/>
    <x v="3"/>
    <x v="17"/>
    <x v="1"/>
    <x v="284"/>
    <n v="3989"/>
    <n v="11"/>
    <m/>
    <n v="0"/>
    <m/>
    <n v="3505"/>
  </r>
  <r>
    <s v="BOM/HNL"/>
    <x v="285"/>
    <x v="1"/>
    <x v="1"/>
    <x v="46"/>
    <x v="6"/>
    <x v="285"/>
    <n v="12896"/>
    <n v="30.75"/>
    <m/>
    <n v="0"/>
    <m/>
    <n v="3497"/>
  </r>
  <r>
    <s v="BOM/BGO"/>
    <x v="286"/>
    <x v="1"/>
    <x v="2"/>
    <x v="22"/>
    <x v="2"/>
    <x v="286"/>
    <n v="6948"/>
    <n v="17.5"/>
    <m/>
    <n v="0"/>
    <m/>
    <n v="3476"/>
  </r>
  <r>
    <s v="BOM/KIM"/>
    <x v="287"/>
    <x v="1"/>
    <x v="0"/>
    <x v="7"/>
    <x v="0"/>
    <x v="287"/>
    <n v="7419"/>
    <n v="18.5"/>
    <m/>
    <n v="0"/>
    <m/>
    <n v="3473"/>
  </r>
  <r>
    <s v="BOM/STR"/>
    <x v="288"/>
    <x v="1"/>
    <x v="1"/>
    <x v="39"/>
    <x v="2"/>
    <x v="288"/>
    <n v="6506"/>
    <n v="16.5"/>
    <m/>
    <n v="0"/>
    <m/>
    <n v="3471"/>
  </r>
  <r>
    <s v="BOM/KHG"/>
    <x v="289"/>
    <x v="1"/>
    <x v="3"/>
    <x v="6"/>
    <x v="1"/>
    <x v="289"/>
    <n v="2295"/>
    <n v="7.25"/>
    <m/>
    <n v="0"/>
    <m/>
    <n v="3470"/>
  </r>
  <r>
    <s v="BOM/GOI"/>
    <x v="290"/>
    <x v="3"/>
    <x v="2"/>
    <x v="20"/>
    <x v="1"/>
    <x v="290"/>
    <n v="424"/>
    <n v="3"/>
    <n v="144861512"/>
    <n v="44044.242018850717"/>
    <n v="3289"/>
    <n v="3468"/>
  </r>
  <r>
    <s v="BOM/PDX"/>
    <x v="291"/>
    <x v="1"/>
    <x v="1"/>
    <x v="46"/>
    <x v="6"/>
    <x v="291"/>
    <n v="12659"/>
    <n v="30.25"/>
    <m/>
    <n v="0"/>
    <m/>
    <n v="3466"/>
  </r>
  <r>
    <s v="BOM/GOQ"/>
    <x v="292"/>
    <x v="1"/>
    <x v="0"/>
    <x v="6"/>
    <x v="1"/>
    <x v="292"/>
    <n v="2878"/>
    <n v="8.5"/>
    <m/>
    <n v="0"/>
    <m/>
    <n v="3463"/>
  </r>
  <r>
    <s v="BOM/XUZ"/>
    <x v="293"/>
    <x v="1"/>
    <x v="3"/>
    <x v="6"/>
    <x v="1"/>
    <x v="293"/>
    <n v="4703"/>
    <n v="12.5"/>
    <m/>
    <n v="0"/>
    <m/>
    <n v="3441"/>
  </r>
  <r>
    <s v="BOM/THQ"/>
    <x v="294"/>
    <x v="1"/>
    <x v="0"/>
    <x v="6"/>
    <x v="1"/>
    <x v="294"/>
    <n v="3675"/>
    <n v="10.25"/>
    <m/>
    <n v="0"/>
    <m/>
    <n v="3432"/>
  </r>
  <r>
    <s v="BOM/STL"/>
    <x v="295"/>
    <x v="1"/>
    <x v="1"/>
    <x v="46"/>
    <x v="6"/>
    <x v="295"/>
    <n v="13354"/>
    <n v="31.75"/>
    <m/>
    <n v="0"/>
    <m/>
    <n v="3416"/>
  </r>
  <r>
    <s v="BOM/SBW"/>
    <x v="296"/>
    <x v="1"/>
    <x v="3"/>
    <x v="24"/>
    <x v="1"/>
    <x v="296"/>
    <n v="4648"/>
    <n v="12.5"/>
    <m/>
    <n v="0"/>
    <m/>
    <n v="3412"/>
  </r>
  <r>
    <s v="BOM/YOW"/>
    <x v="297"/>
    <x v="1"/>
    <x v="2"/>
    <x v="38"/>
    <x v="5"/>
    <x v="297"/>
    <n v="12182"/>
    <n v="29"/>
    <m/>
    <n v="0"/>
    <m/>
    <n v="3407"/>
  </r>
  <r>
    <s v="BOM/UUS"/>
    <x v="298"/>
    <x v="1"/>
    <x v="3"/>
    <x v="18"/>
    <x v="2"/>
    <x v="298"/>
    <n v="6955"/>
    <n v="17.5"/>
    <m/>
    <n v="0"/>
    <m/>
    <n v="3404"/>
  </r>
  <r>
    <s v="BOM/JIU"/>
    <x v="299"/>
    <x v="1"/>
    <x v="0"/>
    <x v="6"/>
    <x v="1"/>
    <x v="299"/>
    <n v="4476"/>
    <n v="12"/>
    <m/>
    <n v="0"/>
    <m/>
    <n v="3399"/>
  </r>
  <r>
    <s v="BOM/CZX"/>
    <x v="300"/>
    <x v="1"/>
    <x v="3"/>
    <x v="6"/>
    <x v="1"/>
    <x v="300"/>
    <n v="4879"/>
    <n v="13"/>
    <m/>
    <n v="0"/>
    <m/>
    <n v="3396"/>
  </r>
  <r>
    <s v="BOM/CGN"/>
    <x v="301"/>
    <x v="1"/>
    <x v="1"/>
    <x v="39"/>
    <x v="2"/>
    <x v="301"/>
    <n v="6681"/>
    <n v="17"/>
    <m/>
    <n v="0"/>
    <m/>
    <n v="3395"/>
  </r>
  <r>
    <s v="BOM/ENY"/>
    <x v="302"/>
    <x v="1"/>
    <x v="3"/>
    <x v="6"/>
    <x v="1"/>
    <x v="302"/>
    <n v="4066"/>
    <n v="11.25"/>
    <m/>
    <n v="0"/>
    <m/>
    <n v="3374"/>
  </r>
  <r>
    <s v="BOM/YWG"/>
    <x v="303"/>
    <x v="1"/>
    <x v="2"/>
    <x v="38"/>
    <x v="5"/>
    <x v="303"/>
    <n v="12284"/>
    <n v="29.25"/>
    <m/>
    <n v="0"/>
    <m/>
    <n v="3373"/>
  </r>
  <r>
    <s v="BOM/HAM"/>
    <x v="304"/>
    <x v="1"/>
    <x v="1"/>
    <x v="39"/>
    <x v="2"/>
    <x v="304"/>
    <n v="6534"/>
    <n v="16.5"/>
    <m/>
    <n v="0"/>
    <m/>
    <n v="3367"/>
  </r>
  <r>
    <s v="BOM/MCI"/>
    <x v="305"/>
    <x v="1"/>
    <x v="1"/>
    <x v="46"/>
    <x v="6"/>
    <x v="305"/>
    <n v="13399"/>
    <n v="31.75"/>
    <m/>
    <n v="0"/>
    <m/>
    <n v="3366"/>
  </r>
  <r>
    <s v="BOM/BYN"/>
    <x v="306"/>
    <x v="1"/>
    <x v="0"/>
    <x v="26"/>
    <x v="1"/>
    <x v="306"/>
    <n v="3942"/>
    <n v="10.75"/>
    <m/>
    <n v="0"/>
    <m/>
    <n v="3353"/>
  </r>
  <r>
    <s v="BOM/UTN"/>
    <x v="307"/>
    <x v="1"/>
    <x v="0"/>
    <x v="7"/>
    <x v="0"/>
    <x v="307"/>
    <n v="7658"/>
    <n v="19"/>
    <m/>
    <n v="0"/>
    <m/>
    <n v="3344"/>
  </r>
  <r>
    <s v="BOM/CVG"/>
    <x v="308"/>
    <x v="1"/>
    <x v="1"/>
    <x v="46"/>
    <x v="6"/>
    <x v="308"/>
    <n v="13144"/>
    <n v="31.25"/>
    <m/>
    <n v="0"/>
    <m/>
    <n v="3322"/>
  </r>
  <r>
    <s v="BOM/HTN"/>
    <x v="309"/>
    <x v="1"/>
    <x v="3"/>
    <x v="6"/>
    <x v="1"/>
    <x v="309"/>
    <n v="2109"/>
    <n v="6.75"/>
    <m/>
    <n v="0"/>
    <m/>
    <n v="3321"/>
  </r>
  <r>
    <s v="BOM/KEF"/>
    <x v="310"/>
    <x v="1"/>
    <x v="2"/>
    <x v="67"/>
    <x v="2"/>
    <x v="310"/>
    <n v="8371"/>
    <n v="20.75"/>
    <m/>
    <n v="0"/>
    <m/>
    <n v="3307"/>
  </r>
  <r>
    <s v="BOM/BDA"/>
    <x v="311"/>
    <x v="1"/>
    <x v="3"/>
    <x v="68"/>
    <x v="5"/>
    <x v="311"/>
    <n v="12729"/>
    <n v="30.25"/>
    <m/>
    <n v="0"/>
    <m/>
    <n v="3307"/>
  </r>
  <r>
    <s v="BOM/DNZ"/>
    <x v="312"/>
    <x v="1"/>
    <x v="3"/>
    <x v="10"/>
    <x v="1"/>
    <x v="312"/>
    <n v="4652"/>
    <n v="12.5"/>
    <m/>
    <n v="0"/>
    <m/>
    <n v="3301"/>
  </r>
  <r>
    <s v="BOM/DBV"/>
    <x v="313"/>
    <x v="1"/>
    <x v="5"/>
    <x v="66"/>
    <x v="2"/>
    <x v="313"/>
    <n v="5712"/>
    <n v="14.75"/>
    <m/>
    <n v="0"/>
    <m/>
    <n v="3298"/>
  </r>
  <r>
    <s v="BOM/ZHY"/>
    <x v="314"/>
    <x v="1"/>
    <x v="0"/>
    <x v="6"/>
    <x v="1"/>
    <x v="314"/>
    <n v="3740"/>
    <n v="10.5"/>
    <m/>
    <n v="0"/>
    <m/>
    <n v="3288"/>
  </r>
  <r>
    <s v="BOM/ALC"/>
    <x v="315"/>
    <x v="1"/>
    <x v="1"/>
    <x v="32"/>
    <x v="2"/>
    <x v="315"/>
    <n v="7288"/>
    <n v="18.25"/>
    <m/>
    <n v="0"/>
    <m/>
    <n v="3273"/>
  </r>
  <r>
    <s v="BOM/RDU"/>
    <x v="316"/>
    <x v="1"/>
    <x v="1"/>
    <x v="46"/>
    <x v="6"/>
    <x v="316"/>
    <n v="13217"/>
    <n v="31.5"/>
    <m/>
    <n v="0"/>
    <m/>
    <n v="3272"/>
  </r>
  <r>
    <s v="BOM/SNN"/>
    <x v="317"/>
    <x v="1"/>
    <x v="2"/>
    <x v="69"/>
    <x v="2"/>
    <x v="317"/>
    <n v="7786"/>
    <n v="19.25"/>
    <m/>
    <n v="0"/>
    <m/>
    <n v="3268"/>
  </r>
  <r>
    <s v="BOM/TIN"/>
    <x v="318"/>
    <x v="1"/>
    <x v="0"/>
    <x v="19"/>
    <x v="0"/>
    <x v="318"/>
    <n v="8185"/>
    <n v="20.25"/>
    <m/>
    <n v="0"/>
    <m/>
    <n v="3262"/>
  </r>
  <r>
    <s v="BOM/IND"/>
    <x v="319"/>
    <x v="1"/>
    <x v="1"/>
    <x v="46"/>
    <x v="6"/>
    <x v="319"/>
    <n v="13131"/>
    <n v="31.25"/>
    <m/>
    <n v="0"/>
    <m/>
    <n v="3241"/>
  </r>
  <r>
    <s v="BOM/CMH"/>
    <x v="320"/>
    <x v="1"/>
    <x v="1"/>
    <x v="46"/>
    <x v="6"/>
    <x v="320"/>
    <n v="12984"/>
    <n v="31"/>
    <m/>
    <n v="0"/>
    <m/>
    <n v="3219"/>
  </r>
  <r>
    <s v="BOM/PIT"/>
    <x v="321"/>
    <x v="1"/>
    <x v="1"/>
    <x v="46"/>
    <x v="6"/>
    <x v="321"/>
    <n v="12832"/>
    <n v="30.5"/>
    <m/>
    <n v="0"/>
    <m/>
    <n v="3218"/>
  </r>
  <r>
    <s v="BOM/EMA"/>
    <x v="322"/>
    <x v="1"/>
    <x v="2"/>
    <x v="40"/>
    <x v="2"/>
    <x v="322"/>
    <n v="7275"/>
    <n v="18.25"/>
    <m/>
    <n v="0"/>
    <m/>
    <n v="3216"/>
  </r>
  <r>
    <s v="BOM/CBR"/>
    <x v="323"/>
    <x v="1"/>
    <x v="2"/>
    <x v="37"/>
    <x v="4"/>
    <x v="323"/>
    <n v="10053"/>
    <n v="24.5"/>
    <m/>
    <n v="0"/>
    <m/>
    <n v="3216"/>
  </r>
  <r>
    <s v="BOM/GOT"/>
    <x v="324"/>
    <x v="1"/>
    <x v="2"/>
    <x v="63"/>
    <x v="2"/>
    <x v="324"/>
    <n v="6491"/>
    <n v="16.5"/>
    <m/>
    <n v="0"/>
    <m/>
    <n v="3206"/>
  </r>
  <r>
    <s v="BOM/MKE"/>
    <x v="325"/>
    <x v="1"/>
    <x v="1"/>
    <x v="46"/>
    <x v="6"/>
    <x v="325"/>
    <n v="12845"/>
    <n v="30.5"/>
    <m/>
    <n v="0"/>
    <m/>
    <n v="3197"/>
  </r>
  <r>
    <s v="BOM/CNS"/>
    <x v="326"/>
    <x v="1"/>
    <x v="2"/>
    <x v="37"/>
    <x v="4"/>
    <x v="326"/>
    <n v="8913"/>
    <n v="21.75"/>
    <m/>
    <n v="0"/>
    <m/>
    <n v="3193"/>
  </r>
  <r>
    <s v="BOM/NZH"/>
    <x v="327"/>
    <x v="1"/>
    <x v="3"/>
    <x v="6"/>
    <x v="1"/>
    <x v="327"/>
    <n v="5189"/>
    <n v="13.5"/>
    <m/>
    <n v="0"/>
    <m/>
    <n v="3183"/>
  </r>
  <r>
    <s v="BOM/VCE"/>
    <x v="328"/>
    <x v="1"/>
    <x v="1"/>
    <x v="50"/>
    <x v="2"/>
    <x v="328"/>
    <n v="6228"/>
    <n v="16"/>
    <m/>
    <n v="0"/>
    <m/>
    <n v="3177"/>
  </r>
  <r>
    <s v="BOM/BFS"/>
    <x v="329"/>
    <x v="1"/>
    <x v="2"/>
    <x v="40"/>
    <x v="2"/>
    <x v="329"/>
    <n v="7593"/>
    <n v="19"/>
    <m/>
    <n v="0"/>
    <m/>
    <n v="3176"/>
  </r>
  <r>
    <s v="BOM/TRF"/>
    <x v="330"/>
    <x v="1"/>
    <x v="2"/>
    <x v="22"/>
    <x v="2"/>
    <x v="330"/>
    <n v="6647"/>
    <n v="16.75"/>
    <m/>
    <n v="0"/>
    <m/>
    <n v="3161"/>
  </r>
  <r>
    <s v="BOM/BDL"/>
    <x v="331"/>
    <x v="1"/>
    <x v="2"/>
    <x v="46"/>
    <x v="6"/>
    <x v="331"/>
    <n v="12364"/>
    <n v="29.5"/>
    <m/>
    <n v="0"/>
    <m/>
    <n v="3153"/>
  </r>
  <r>
    <s v="BOM/TFN"/>
    <x v="332"/>
    <x v="1"/>
    <x v="2"/>
    <x v="32"/>
    <x v="2"/>
    <x v="332"/>
    <n v="8938"/>
    <n v="22"/>
    <m/>
    <n v="0"/>
    <m/>
    <n v="3150"/>
  </r>
  <r>
    <s v="BOM/LZY"/>
    <x v="333"/>
    <x v="1"/>
    <x v="3"/>
    <x v="6"/>
    <x v="1"/>
    <x v="333"/>
    <n v="2450"/>
    <n v="7.5"/>
    <m/>
    <n v="0"/>
    <m/>
    <n v="3141"/>
  </r>
  <r>
    <s v="BOM/KWJ"/>
    <x v="334"/>
    <x v="1"/>
    <x v="2"/>
    <x v="36"/>
    <x v="1"/>
    <x v="334"/>
    <n v="5558"/>
    <n v="14.5"/>
    <m/>
    <n v="0"/>
    <m/>
    <n v="3130"/>
  </r>
  <r>
    <s v="BOM/JNG"/>
    <x v="335"/>
    <x v="1"/>
    <x v="3"/>
    <x v="6"/>
    <x v="1"/>
    <x v="335"/>
    <n v="4618"/>
    <n v="12.25"/>
    <m/>
    <n v="0"/>
    <m/>
    <n v="3128"/>
  </r>
  <r>
    <s v="BOM/BLQ"/>
    <x v="336"/>
    <x v="1"/>
    <x v="2"/>
    <x v="50"/>
    <x v="2"/>
    <x v="336"/>
    <n v="6298"/>
    <n v="16"/>
    <m/>
    <n v="0"/>
    <m/>
    <n v="3123"/>
  </r>
  <r>
    <s v="BOM/VLC"/>
    <x v="337"/>
    <x v="1"/>
    <x v="2"/>
    <x v="32"/>
    <x v="2"/>
    <x v="337"/>
    <n v="7268"/>
    <n v="18.25"/>
    <m/>
    <n v="0"/>
    <m/>
    <n v="3121"/>
  </r>
  <r>
    <s v="BOM/OMA"/>
    <x v="338"/>
    <x v="1"/>
    <x v="2"/>
    <x v="46"/>
    <x v="6"/>
    <x v="338"/>
    <n v="13204"/>
    <n v="31.25"/>
    <m/>
    <n v="0"/>
    <m/>
    <n v="3121"/>
  </r>
  <r>
    <s v="BOM/HAJ"/>
    <x v="339"/>
    <x v="1"/>
    <x v="2"/>
    <x v="39"/>
    <x v="2"/>
    <x v="339"/>
    <n v="6531"/>
    <n v="16.5"/>
    <m/>
    <n v="0"/>
    <m/>
    <n v="3116"/>
  </r>
  <r>
    <s v="BOM/BOO"/>
    <x v="340"/>
    <x v="1"/>
    <x v="2"/>
    <x v="22"/>
    <x v="2"/>
    <x v="340"/>
    <n v="6729"/>
    <n v="17"/>
    <m/>
    <n v="0"/>
    <m/>
    <n v="3116"/>
  </r>
  <r>
    <s v="BOM/PKC"/>
    <x v="341"/>
    <x v="1"/>
    <x v="3"/>
    <x v="18"/>
    <x v="2"/>
    <x v="341"/>
    <n v="8032"/>
    <n v="20"/>
    <m/>
    <n v="0"/>
    <m/>
    <n v="3103"/>
  </r>
  <r>
    <s v="BOM/NYO"/>
    <x v="342"/>
    <x v="1"/>
    <x v="2"/>
    <x v="63"/>
    <x v="2"/>
    <x v="342"/>
    <n v="6269"/>
    <n v="16"/>
    <m/>
    <n v="0"/>
    <m/>
    <n v="3080"/>
  </r>
  <r>
    <s v="BOM/TAE"/>
    <x v="343"/>
    <x v="1"/>
    <x v="3"/>
    <x v="36"/>
    <x v="1"/>
    <x v="343"/>
    <n v="5731"/>
    <n v="14.75"/>
    <m/>
    <n v="0"/>
    <m/>
    <n v="3056"/>
  </r>
  <r>
    <s v="BOM/RHO"/>
    <x v="344"/>
    <x v="1"/>
    <x v="2"/>
    <x v="65"/>
    <x v="2"/>
    <x v="344"/>
    <n v="4758"/>
    <n v="12.75"/>
    <m/>
    <n v="0"/>
    <m/>
    <n v="3056"/>
  </r>
  <r>
    <s v="BOM/TRN"/>
    <x v="345"/>
    <x v="1"/>
    <x v="2"/>
    <x v="50"/>
    <x v="2"/>
    <x v="345"/>
    <n v="6591"/>
    <n v="16.75"/>
    <m/>
    <n v="0"/>
    <m/>
    <n v="3053"/>
  </r>
  <r>
    <s v="BOM/RNO"/>
    <x v="346"/>
    <x v="1"/>
    <x v="2"/>
    <x v="46"/>
    <x v="6"/>
    <x v="346"/>
    <n v="13373"/>
    <n v="31.75"/>
    <m/>
    <n v="0"/>
    <m/>
    <n v="3048"/>
  </r>
  <r>
    <s v="BOM/SVQ"/>
    <x v="347"/>
    <x v="1"/>
    <x v="2"/>
    <x v="32"/>
    <x v="2"/>
    <x v="347"/>
    <n v="7765"/>
    <n v="19.25"/>
    <m/>
    <n v="0"/>
    <m/>
    <n v="3045"/>
  </r>
  <r>
    <s v="BOM/SDF"/>
    <x v="348"/>
    <x v="1"/>
    <x v="2"/>
    <x v="46"/>
    <x v="6"/>
    <x v="348"/>
    <n v="13270"/>
    <n v="31.5"/>
    <m/>
    <n v="0"/>
    <m/>
    <n v="3039"/>
  </r>
  <r>
    <s v="BOM/PSA"/>
    <x v="349"/>
    <x v="1"/>
    <x v="2"/>
    <x v="50"/>
    <x v="2"/>
    <x v="349"/>
    <n v="6362"/>
    <n v="16.25"/>
    <m/>
    <n v="0"/>
    <m/>
    <n v="3035"/>
  </r>
  <r>
    <s v="BOM/MHT"/>
    <x v="350"/>
    <x v="1"/>
    <x v="2"/>
    <x v="46"/>
    <x v="6"/>
    <x v="350"/>
    <n v="12215"/>
    <n v="29.25"/>
    <m/>
    <n v="0"/>
    <m/>
    <n v="3033"/>
  </r>
  <r>
    <s v="BOM/IBZ"/>
    <x v="351"/>
    <x v="1"/>
    <x v="2"/>
    <x v="32"/>
    <x v="2"/>
    <x v="351"/>
    <n v="7115"/>
    <n v="18"/>
    <m/>
    <n v="0"/>
    <m/>
    <n v="3023"/>
  </r>
  <r>
    <s v="BOM/PUY"/>
    <x v="352"/>
    <x v="1"/>
    <x v="3"/>
    <x v="66"/>
    <x v="2"/>
    <x v="352"/>
    <n v="6097"/>
    <n v="15.75"/>
    <m/>
    <n v="0"/>
    <m/>
    <n v="3021"/>
  </r>
  <r>
    <s v="BOM/AQG"/>
    <x v="353"/>
    <x v="1"/>
    <x v="0"/>
    <x v="6"/>
    <x v="1"/>
    <x v="353"/>
    <n v="4607"/>
    <n v="12.25"/>
    <m/>
    <n v="0"/>
    <m/>
    <n v="2981"/>
  </r>
  <r>
    <s v="BOM/DAY"/>
    <x v="354"/>
    <x v="1"/>
    <x v="2"/>
    <x v="46"/>
    <x v="6"/>
    <x v="354"/>
    <n v="13042"/>
    <n v="31"/>
    <m/>
    <n v="0"/>
    <m/>
    <n v="2977"/>
  </r>
  <r>
    <s v="BOM/BOI"/>
    <x v="355"/>
    <x v="1"/>
    <x v="2"/>
    <x v="46"/>
    <x v="6"/>
    <x v="355"/>
    <n v="12990"/>
    <n v="31"/>
    <m/>
    <n v="0"/>
    <m/>
    <n v="2966"/>
  </r>
  <r>
    <s v="BOM/MMX"/>
    <x v="356"/>
    <x v="1"/>
    <x v="2"/>
    <x v="63"/>
    <x v="2"/>
    <x v="356"/>
    <n v="6366"/>
    <n v="16.25"/>
    <m/>
    <n v="0"/>
    <m/>
    <n v="2965"/>
  </r>
  <r>
    <s v="BOM/NCE"/>
    <x v="357"/>
    <x v="1"/>
    <x v="1"/>
    <x v="34"/>
    <x v="2"/>
    <x v="357"/>
    <n v="6617"/>
    <n v="16.75"/>
    <m/>
    <n v="0"/>
    <m/>
    <n v="2953"/>
  </r>
  <r>
    <s v="BOM/KOA"/>
    <x v="358"/>
    <x v="1"/>
    <x v="2"/>
    <x v="46"/>
    <x v="6"/>
    <x v="358"/>
    <n v="13158"/>
    <n v="31.25"/>
    <m/>
    <n v="0"/>
    <m/>
    <n v="2946"/>
  </r>
  <r>
    <s v="BOM/BLL"/>
    <x v="359"/>
    <x v="1"/>
    <x v="2"/>
    <x v="57"/>
    <x v="2"/>
    <x v="359"/>
    <n v="6630"/>
    <n v="16.75"/>
    <m/>
    <n v="0"/>
    <m/>
    <n v="2936"/>
  </r>
  <r>
    <s v="BOM/CHQ"/>
    <x v="360"/>
    <x v="1"/>
    <x v="2"/>
    <x v="65"/>
    <x v="2"/>
    <x v="360"/>
    <n v="5091"/>
    <n v="13.5"/>
    <m/>
    <n v="0"/>
    <m/>
    <n v="2929"/>
  </r>
  <r>
    <s v="BOM/BAQ"/>
    <x v="361"/>
    <x v="1"/>
    <x v="3"/>
    <x v="49"/>
    <x v="3"/>
    <x v="361"/>
    <n v="15152"/>
    <n v="35.75"/>
    <m/>
    <n v="0"/>
    <m/>
    <n v="2912"/>
  </r>
  <r>
    <s v="BOM/DYR"/>
    <x v="362"/>
    <x v="1"/>
    <x v="0"/>
    <x v="18"/>
    <x v="2"/>
    <x v="362"/>
    <n v="8777"/>
    <n v="21.5"/>
    <m/>
    <n v="0"/>
    <m/>
    <n v="2911"/>
  </r>
  <r>
    <s v="BOM/PIK"/>
    <x v="363"/>
    <x v="1"/>
    <x v="2"/>
    <x v="40"/>
    <x v="2"/>
    <x v="363"/>
    <n v="7486"/>
    <n v="18.75"/>
    <m/>
    <n v="0"/>
    <m/>
    <n v="2904"/>
  </r>
  <r>
    <s v="BOM/GRR"/>
    <x v="364"/>
    <x v="1"/>
    <x v="2"/>
    <x v="46"/>
    <x v="6"/>
    <x v="364"/>
    <n v="12781"/>
    <n v="30.5"/>
    <m/>
    <n v="0"/>
    <m/>
    <n v="2875"/>
  </r>
  <r>
    <s v="BOM/LYS"/>
    <x v="365"/>
    <x v="1"/>
    <x v="1"/>
    <x v="34"/>
    <x v="2"/>
    <x v="365"/>
    <n v="6794"/>
    <n v="17.25"/>
    <m/>
    <n v="0"/>
    <m/>
    <n v="2868"/>
  </r>
  <r>
    <s v="BOM/MYR"/>
    <x v="366"/>
    <x v="1"/>
    <x v="2"/>
    <x v="46"/>
    <x v="6"/>
    <x v="366"/>
    <n v="13433"/>
    <n v="32"/>
    <m/>
    <n v="0"/>
    <m/>
    <n v="2857"/>
  </r>
  <r>
    <s v="BOM/GSO"/>
    <x v="367"/>
    <x v="1"/>
    <x v="2"/>
    <x v="46"/>
    <x v="6"/>
    <x v="367"/>
    <n v="13248"/>
    <n v="31.5"/>
    <m/>
    <n v="0"/>
    <m/>
    <n v="2852"/>
  </r>
  <r>
    <s v="BOM/YXX"/>
    <x v="368"/>
    <x v="1"/>
    <x v="3"/>
    <x v="38"/>
    <x v="5"/>
    <x v="368"/>
    <n v="12295"/>
    <n v="29.25"/>
    <m/>
    <n v="0"/>
    <m/>
    <n v="2837"/>
  </r>
  <r>
    <s v="BOM/YHM"/>
    <x v="369"/>
    <x v="1"/>
    <x v="3"/>
    <x v="38"/>
    <x v="5"/>
    <x v="369"/>
    <n v="12558"/>
    <n v="30"/>
    <m/>
    <n v="0"/>
    <m/>
    <n v="2817"/>
  </r>
  <r>
    <s v="BOM/MRS"/>
    <x v="370"/>
    <x v="1"/>
    <x v="1"/>
    <x v="34"/>
    <x v="2"/>
    <x v="370"/>
    <n v="6777"/>
    <n v="17.25"/>
    <m/>
    <n v="0"/>
    <m/>
    <n v="2815"/>
  </r>
  <r>
    <s v="BOM/ITO"/>
    <x v="371"/>
    <x v="1"/>
    <x v="2"/>
    <x v="46"/>
    <x v="6"/>
    <x v="371"/>
    <n v="13243"/>
    <n v="31.5"/>
    <m/>
    <n v="0"/>
    <m/>
    <n v="2806"/>
  </r>
  <r>
    <s v="BOM/EVE"/>
    <x v="372"/>
    <x v="1"/>
    <x v="3"/>
    <x v="22"/>
    <x v="2"/>
    <x v="372"/>
    <n v="6695"/>
    <n v="17"/>
    <m/>
    <n v="0"/>
    <m/>
    <n v="2798"/>
  </r>
  <r>
    <s v="BOM/MLH"/>
    <x v="373"/>
    <x v="1"/>
    <x v="2"/>
    <x v="34"/>
    <x v="2"/>
    <x v="373"/>
    <n v="6618"/>
    <n v="16.75"/>
    <m/>
    <n v="0"/>
    <m/>
    <n v="2793"/>
  </r>
  <r>
    <s v="BOM/TLS"/>
    <x v="374"/>
    <x v="1"/>
    <x v="1"/>
    <x v="34"/>
    <x v="2"/>
    <x v="374"/>
    <n v="7087"/>
    <n v="17.75"/>
    <m/>
    <n v="0"/>
    <m/>
    <n v="2792"/>
  </r>
  <r>
    <s v="BOM/LLA"/>
    <x v="375"/>
    <x v="1"/>
    <x v="3"/>
    <x v="63"/>
    <x v="2"/>
    <x v="375"/>
    <n v="6335"/>
    <n v="16.25"/>
    <m/>
    <n v="0"/>
    <m/>
    <n v="2780"/>
  </r>
  <r>
    <s v="BOM/GRZ"/>
    <x v="376"/>
    <x v="1"/>
    <x v="3"/>
    <x v="54"/>
    <x v="2"/>
    <x v="376"/>
    <n v="6018"/>
    <n v="15.5"/>
    <m/>
    <n v="0"/>
    <m/>
    <n v="2764"/>
  </r>
  <r>
    <s v="BOM/SCQ"/>
    <x v="377"/>
    <x v="1"/>
    <x v="2"/>
    <x v="32"/>
    <x v="2"/>
    <x v="377"/>
    <n v="7883"/>
    <n v="19.5"/>
    <m/>
    <n v="0"/>
    <m/>
    <n v="2756"/>
  </r>
  <r>
    <s v="BOM/SFJ"/>
    <x v="378"/>
    <x v="1"/>
    <x v="3"/>
    <x v="70"/>
    <x v="5"/>
    <x v="378"/>
    <n v="9390"/>
    <n v="23"/>
    <m/>
    <n v="0"/>
    <m/>
    <n v="2745"/>
  </r>
  <r>
    <s v="BOM/MLI"/>
    <x v="379"/>
    <x v="1"/>
    <x v="3"/>
    <x v="46"/>
    <x v="6"/>
    <x v="379"/>
    <n v="13072"/>
    <n v="31"/>
    <m/>
    <n v="0"/>
    <m/>
    <n v="2725"/>
  </r>
  <r>
    <s v="BOM/BOD"/>
    <x v="380"/>
    <x v="1"/>
    <x v="2"/>
    <x v="34"/>
    <x v="2"/>
    <x v="380"/>
    <n v="7248"/>
    <n v="18.25"/>
    <m/>
    <n v="0"/>
    <m/>
    <n v="2719"/>
  </r>
  <r>
    <s v="BOM/LNZ"/>
    <x v="381"/>
    <x v="1"/>
    <x v="3"/>
    <x v="54"/>
    <x v="2"/>
    <x v="381"/>
    <n v="6136"/>
    <n v="15.75"/>
    <m/>
    <n v="0"/>
    <m/>
    <n v="2712"/>
  </r>
  <r>
    <s v="BOM/YQQ"/>
    <x v="382"/>
    <x v="1"/>
    <x v="3"/>
    <x v="38"/>
    <x v="5"/>
    <x v="382"/>
    <n v="12170"/>
    <n v="29"/>
    <m/>
    <n v="0"/>
    <m/>
    <n v="2711"/>
  </r>
  <r>
    <s v="BOM/DSA"/>
    <x v="383"/>
    <x v="1"/>
    <x v="3"/>
    <x v="40"/>
    <x v="2"/>
    <x v="383"/>
    <n v="7254"/>
    <n v="18.25"/>
    <m/>
    <n v="0"/>
    <m/>
    <n v="2701"/>
  </r>
  <r>
    <s v="BOM/NTE"/>
    <x v="384"/>
    <x v="1"/>
    <x v="2"/>
    <x v="34"/>
    <x v="2"/>
    <x v="384"/>
    <n v="7305"/>
    <n v="18.25"/>
    <m/>
    <n v="0"/>
    <m/>
    <n v="2693"/>
  </r>
  <r>
    <s v="BOM/GRX"/>
    <x v="385"/>
    <x v="1"/>
    <x v="2"/>
    <x v="32"/>
    <x v="2"/>
    <x v="385"/>
    <n v="7584"/>
    <n v="19"/>
    <m/>
    <n v="0"/>
    <m/>
    <n v="2679"/>
  </r>
  <r>
    <s v="BOM/LEI"/>
    <x v="386"/>
    <x v="1"/>
    <x v="3"/>
    <x v="32"/>
    <x v="2"/>
    <x v="386"/>
    <n v="7465"/>
    <n v="18.75"/>
    <m/>
    <n v="0"/>
    <m/>
    <n v="2658"/>
  </r>
  <r>
    <s v="BOM/PVK"/>
    <x v="387"/>
    <x v="1"/>
    <x v="3"/>
    <x v="65"/>
    <x v="2"/>
    <x v="387"/>
    <n v="5441"/>
    <n v="14.25"/>
    <m/>
    <n v="0"/>
    <m/>
    <n v="2501"/>
  </r>
  <r>
    <s v="BOM/LIL"/>
    <x v="388"/>
    <x v="1"/>
    <x v="3"/>
    <x v="34"/>
    <x v="2"/>
    <x v="388"/>
    <n v="6963"/>
    <n v="17.5"/>
    <m/>
    <n v="0"/>
    <m/>
    <n v="2460"/>
  </r>
  <r>
    <s v="BOM/MWX"/>
    <x v="389"/>
    <x v="1"/>
    <x v="0"/>
    <x v="36"/>
    <x v="1"/>
    <x v="389"/>
    <n v="5518"/>
    <n v="14.25"/>
    <m/>
    <n v="0"/>
    <m/>
    <n v="2460"/>
  </r>
  <r>
    <s v="BOM/AVV"/>
    <x v="390"/>
    <x v="1"/>
    <x v="3"/>
    <x v="37"/>
    <x v="4"/>
    <x v="390"/>
    <n v="9797"/>
    <n v="23.75"/>
    <m/>
    <n v="0"/>
    <m/>
    <n v="2441"/>
  </r>
  <r>
    <s v="BOM/BES"/>
    <x v="391"/>
    <x v="1"/>
    <x v="3"/>
    <x v="34"/>
    <x v="2"/>
    <x v="391"/>
    <n v="7507"/>
    <n v="18.75"/>
    <m/>
    <n v="0"/>
    <m/>
    <n v="2425"/>
  </r>
  <r>
    <s v="BOM/LHE"/>
    <x v="392"/>
    <x v="1"/>
    <x v="2"/>
    <x v="23"/>
    <x v="1"/>
    <x v="392"/>
    <n v="1391"/>
    <n v="5.25"/>
    <n v="156796805"/>
    <n v="31908.181725681727"/>
    <n v="4914"/>
    <n v="5094"/>
  </r>
  <r>
    <s v="BOM/KHH"/>
    <x v="393"/>
    <x v="1"/>
    <x v="2"/>
    <x v="43"/>
    <x v="1"/>
    <x v="393"/>
    <n v="4931"/>
    <n v="13"/>
    <n v="193429036"/>
    <n v="61719.539246968729"/>
    <n v="3134"/>
    <n v="3333"/>
  </r>
  <r>
    <s v="BOM/COK"/>
    <x v="394"/>
    <x v="1"/>
    <x v="2"/>
    <x v="20"/>
    <x v="1"/>
    <x v="394"/>
    <n v="1064"/>
    <n v="4.5"/>
    <n v="155599431"/>
    <n v="34242.832526408449"/>
    <n v="4544"/>
    <n v="4743"/>
  </r>
  <r>
    <s v="BOM/TRV"/>
    <x v="395"/>
    <x v="1"/>
    <x v="2"/>
    <x v="20"/>
    <x v="1"/>
    <x v="395"/>
    <n v="1258"/>
    <n v="5"/>
    <n v="152002899"/>
    <n v="34104.307606013012"/>
    <n v="4457"/>
    <n v="4620"/>
  </r>
  <r>
    <s v="BOM/BHV"/>
    <x v="396"/>
    <x v="1"/>
    <x v="1"/>
    <x v="23"/>
    <x v="1"/>
    <x v="396"/>
    <n v="1147"/>
    <n v="4.75"/>
    <n v="166326593"/>
    <n v="31973.585736255285"/>
    <n v="5202"/>
    <n v="5497"/>
  </r>
  <r>
    <s v="BOM/MAA"/>
    <x v="397"/>
    <x v="1"/>
    <x v="1"/>
    <x v="20"/>
    <x v="1"/>
    <x v="397"/>
    <n v="1034"/>
    <n v="4.5"/>
    <n v="167373258"/>
    <n v="33182.64432989691"/>
    <n v="5044"/>
    <n v="5350"/>
  </r>
  <r>
    <s v="BOM/HDN"/>
    <x v="398"/>
    <x v="4"/>
    <x v="3"/>
    <x v="46"/>
    <x v="6"/>
    <x v="398"/>
    <n v="13395"/>
    <n v="31.75"/>
    <m/>
    <n v="0"/>
    <m/>
    <n v="0"/>
  </r>
  <r>
    <s v="BOM/BLV"/>
    <x v="399"/>
    <x v="4"/>
    <x v="0"/>
    <x v="46"/>
    <x v="6"/>
    <x v="399"/>
    <n v="13361"/>
    <n v="31.75"/>
    <m/>
    <n v="0"/>
    <m/>
    <n v="0"/>
  </r>
  <r>
    <s v="BOM/PPG"/>
    <x v="400"/>
    <x v="4"/>
    <x v="3"/>
    <x v="71"/>
    <x v="4"/>
    <x v="400"/>
    <n v="13261"/>
    <n v="31.5"/>
    <m/>
    <n v="0"/>
    <m/>
    <n v="0"/>
  </r>
  <r>
    <s v="BOM/LNK"/>
    <x v="401"/>
    <x v="4"/>
    <x v="3"/>
    <x v="46"/>
    <x v="6"/>
    <x v="401"/>
    <n v="13268"/>
    <n v="31.5"/>
    <m/>
    <n v="0"/>
    <m/>
    <n v="0"/>
  </r>
  <r>
    <s v="BOM/CYS"/>
    <x v="402"/>
    <x v="4"/>
    <x v="0"/>
    <x v="46"/>
    <x v="6"/>
    <x v="402"/>
    <n v="13316"/>
    <n v="31.5"/>
    <m/>
    <n v="0"/>
    <m/>
    <n v="0"/>
  </r>
  <r>
    <s v="BOM/RKS"/>
    <x v="403"/>
    <x v="4"/>
    <x v="0"/>
    <x v="46"/>
    <x v="6"/>
    <x v="403"/>
    <n v="13268"/>
    <n v="31.5"/>
    <m/>
    <n v="0"/>
    <m/>
    <n v="0"/>
  </r>
  <r>
    <s v="BOM/APW"/>
    <x v="404"/>
    <x v="4"/>
    <x v="3"/>
    <x v="72"/>
    <x v="4"/>
    <x v="404"/>
    <n v="13113"/>
    <n v="31.25"/>
    <m/>
    <n v="0"/>
    <m/>
    <n v="0"/>
  </r>
  <r>
    <s v="BOM/CPR"/>
    <x v="405"/>
    <x v="4"/>
    <x v="3"/>
    <x v="46"/>
    <x v="6"/>
    <x v="405"/>
    <n v="13124"/>
    <n v="31.25"/>
    <m/>
    <n v="0"/>
    <m/>
    <n v="0"/>
  </r>
  <r>
    <s v="BOM/PIA"/>
    <x v="406"/>
    <x v="4"/>
    <x v="3"/>
    <x v="46"/>
    <x v="6"/>
    <x v="406"/>
    <n v="13134"/>
    <n v="31.25"/>
    <m/>
    <n v="0"/>
    <m/>
    <n v="0"/>
  </r>
  <r>
    <s v="BOM/PIH"/>
    <x v="407"/>
    <x v="4"/>
    <x v="0"/>
    <x v="46"/>
    <x v="6"/>
    <x v="407"/>
    <n v="13102"/>
    <n v="31.25"/>
    <m/>
    <n v="0"/>
    <m/>
    <n v="0"/>
  </r>
  <r>
    <s v="BOM/LMT"/>
    <x v="408"/>
    <x v="4"/>
    <x v="0"/>
    <x v="46"/>
    <x v="6"/>
    <x v="408"/>
    <n v="13045"/>
    <n v="31"/>
    <m/>
    <n v="0"/>
    <m/>
    <n v="0"/>
  </r>
  <r>
    <s v="BOM/FWA"/>
    <x v="409"/>
    <x v="4"/>
    <x v="3"/>
    <x v="46"/>
    <x v="6"/>
    <x v="409"/>
    <n v="12965"/>
    <n v="30.75"/>
    <m/>
    <n v="0"/>
    <m/>
    <n v="0"/>
  </r>
  <r>
    <s v="BOM/RFD"/>
    <x v="410"/>
    <x v="4"/>
    <x v="3"/>
    <x v="46"/>
    <x v="6"/>
    <x v="410"/>
    <n v="12956"/>
    <n v="30.75"/>
    <m/>
    <n v="0"/>
    <m/>
    <n v="0"/>
  </r>
  <r>
    <s v="BOM/BIL"/>
    <x v="411"/>
    <x v="4"/>
    <x v="3"/>
    <x v="46"/>
    <x v="6"/>
    <x v="411"/>
    <n v="12801"/>
    <n v="30.5"/>
    <m/>
    <n v="0"/>
    <m/>
    <n v="0"/>
  </r>
  <r>
    <s v="BOM/RST"/>
    <x v="412"/>
    <x v="4"/>
    <x v="3"/>
    <x v="46"/>
    <x v="6"/>
    <x v="412"/>
    <n v="12856"/>
    <n v="30.5"/>
    <m/>
    <n v="0"/>
    <m/>
    <n v="0"/>
  </r>
  <r>
    <s v="BOM/TOL"/>
    <x v="413"/>
    <x v="4"/>
    <x v="3"/>
    <x v="46"/>
    <x v="6"/>
    <x v="413"/>
    <n v="12857"/>
    <n v="30.5"/>
    <m/>
    <n v="0"/>
    <m/>
    <n v="0"/>
  </r>
  <r>
    <s v="BOM/MDT"/>
    <x v="414"/>
    <x v="4"/>
    <x v="2"/>
    <x v="46"/>
    <x v="6"/>
    <x v="414"/>
    <n v="12714"/>
    <n v="30.25"/>
    <m/>
    <n v="0"/>
    <m/>
    <n v="0"/>
  </r>
  <r>
    <s v="BOM/ACY"/>
    <x v="415"/>
    <x v="4"/>
    <x v="3"/>
    <x v="46"/>
    <x v="6"/>
    <x v="415"/>
    <n v="12682"/>
    <n v="30.25"/>
    <m/>
    <n v="0"/>
    <m/>
    <n v="0"/>
  </r>
  <r>
    <s v="BOM/MSO"/>
    <x v="416"/>
    <x v="4"/>
    <x v="3"/>
    <x v="46"/>
    <x v="6"/>
    <x v="416"/>
    <n v="12646"/>
    <n v="30.25"/>
    <m/>
    <n v="0"/>
    <m/>
    <n v="0"/>
  </r>
  <r>
    <s v="BOM/DLH"/>
    <x v="417"/>
    <x v="4"/>
    <x v="3"/>
    <x v="46"/>
    <x v="6"/>
    <x v="417"/>
    <n v="12535"/>
    <n v="30"/>
    <m/>
    <n v="0"/>
    <m/>
    <n v="0"/>
  </r>
  <r>
    <s v="BOM/GTF"/>
    <x v="418"/>
    <x v="4"/>
    <x v="3"/>
    <x v="46"/>
    <x v="6"/>
    <x v="418"/>
    <n v="12604"/>
    <n v="30"/>
    <m/>
    <n v="0"/>
    <m/>
    <n v="0"/>
  </r>
  <r>
    <s v="BOM/MQT"/>
    <x v="419"/>
    <x v="4"/>
    <x v="3"/>
    <x v="46"/>
    <x v="6"/>
    <x v="419"/>
    <n v="12475"/>
    <n v="29.75"/>
    <m/>
    <n v="0"/>
    <m/>
    <n v="0"/>
  </r>
  <r>
    <s v="BOM/SWF"/>
    <x v="420"/>
    <x v="4"/>
    <x v="3"/>
    <x v="46"/>
    <x v="6"/>
    <x v="420"/>
    <n v="12471"/>
    <n v="29.75"/>
    <m/>
    <n v="0"/>
    <m/>
    <n v="0"/>
  </r>
  <r>
    <s v="BOM/BFI"/>
    <x v="421"/>
    <x v="4"/>
    <x v="0"/>
    <x v="46"/>
    <x v="6"/>
    <x v="421"/>
    <n v="12457"/>
    <n v="29.75"/>
    <m/>
    <n v="0"/>
    <m/>
    <n v="0"/>
  </r>
  <r>
    <s v="BOM/IAG"/>
    <x v="422"/>
    <x v="4"/>
    <x v="0"/>
    <x v="46"/>
    <x v="6"/>
    <x v="422"/>
    <n v="12526"/>
    <n v="29.75"/>
    <m/>
    <n v="0"/>
    <m/>
    <n v="0"/>
  </r>
  <r>
    <s v="BOM/PAP"/>
    <x v="423"/>
    <x v="1"/>
    <x v="1"/>
    <x v="73"/>
    <x v="5"/>
    <x v="423"/>
    <n v="14361"/>
    <n v="34"/>
    <n v="293708086"/>
    <n v="65691.810780586005"/>
    <n v="4471"/>
    <n v="0"/>
  </r>
  <r>
    <s v="BOM/MTY"/>
    <x v="424"/>
    <x v="1"/>
    <x v="1"/>
    <x v="59"/>
    <x v="5"/>
    <x v="424"/>
    <n v="14972"/>
    <n v="35.25"/>
    <m/>
    <n v="0"/>
    <m/>
    <n v="0"/>
  </r>
  <r>
    <s v="BOM/NAN"/>
    <x v="425"/>
    <x v="4"/>
    <x v="2"/>
    <x v="74"/>
    <x v="4"/>
    <x v="425"/>
    <n v="12128"/>
    <n v="29"/>
    <m/>
    <n v="0"/>
    <m/>
    <n v="0"/>
  </r>
  <r>
    <s v="BOM/AUA"/>
    <x v="426"/>
    <x v="4"/>
    <x v="2"/>
    <x v="75"/>
    <x v="5"/>
    <x v="426"/>
    <n v="14645"/>
    <n v="34.5"/>
    <m/>
    <n v="0"/>
    <m/>
    <n v="0"/>
  </r>
  <r>
    <s v="BOM/PBG"/>
    <x v="427"/>
    <x v="4"/>
    <x v="3"/>
    <x v="46"/>
    <x v="6"/>
    <x v="427"/>
    <n v="12151"/>
    <n v="29"/>
    <m/>
    <n v="0"/>
    <m/>
    <n v="0"/>
  </r>
  <r>
    <s v="BOM/PSM"/>
    <x v="428"/>
    <x v="4"/>
    <x v="3"/>
    <x v="46"/>
    <x v="6"/>
    <x v="428"/>
    <n v="12173"/>
    <n v="29"/>
    <m/>
    <n v="0"/>
    <m/>
    <n v="0"/>
  </r>
  <r>
    <s v="BOM/NAS"/>
    <x v="429"/>
    <x v="4"/>
    <x v="2"/>
    <x v="76"/>
    <x v="5"/>
    <x v="429"/>
    <n v="14155"/>
    <n v="33.5"/>
    <m/>
    <n v="0"/>
    <m/>
    <n v="0"/>
  </r>
  <r>
    <s v="BOM/BGI"/>
    <x v="430"/>
    <x v="4"/>
    <x v="2"/>
    <x v="77"/>
    <x v="5"/>
    <x v="430"/>
    <n v="13693"/>
    <n v="32.5"/>
    <m/>
    <n v="0"/>
    <m/>
    <n v="0"/>
  </r>
  <r>
    <s v="BOM/BGR"/>
    <x v="431"/>
    <x v="4"/>
    <x v="3"/>
    <x v="46"/>
    <x v="6"/>
    <x v="431"/>
    <n v="11923"/>
    <n v="28.5"/>
    <m/>
    <n v="0"/>
    <m/>
    <n v="0"/>
  </r>
  <r>
    <s v="BOM/YLW"/>
    <x v="432"/>
    <x v="4"/>
    <x v="2"/>
    <x v="38"/>
    <x v="5"/>
    <x v="432"/>
    <n v="12246"/>
    <m/>
    <m/>
    <n v="0"/>
    <m/>
    <n v="0"/>
  </r>
  <r>
    <s v="BOM/NOU"/>
    <x v="433"/>
    <x v="4"/>
    <x v="3"/>
    <x v="78"/>
    <x v="4"/>
    <x v="433"/>
    <n v="11123"/>
    <n v="26.75"/>
    <m/>
    <n v="0"/>
    <m/>
    <n v="0"/>
  </r>
  <r>
    <s v="BOM/YHZ"/>
    <x v="434"/>
    <x v="4"/>
    <x v="2"/>
    <x v="38"/>
    <x v="5"/>
    <x v="434"/>
    <n v="11646"/>
    <m/>
    <m/>
    <n v="0"/>
    <m/>
    <n v="0"/>
  </r>
  <r>
    <s v="BOM/PUJ"/>
    <x v="435"/>
    <x v="4"/>
    <x v="2"/>
    <x v="79"/>
    <x v="5"/>
    <x v="435"/>
    <n v="14065"/>
    <n v="33.25"/>
    <m/>
    <n v="0"/>
    <m/>
    <n v="0"/>
  </r>
  <r>
    <s v="BOM/SDQ"/>
    <x v="436"/>
    <x v="4"/>
    <x v="2"/>
    <x v="79"/>
    <x v="5"/>
    <x v="436"/>
    <n v="14177"/>
    <n v="33.5"/>
    <m/>
    <n v="0"/>
    <m/>
    <n v="0"/>
  </r>
  <r>
    <s v="BOM/PTP"/>
    <x v="437"/>
    <x v="4"/>
    <x v="2"/>
    <x v="80"/>
    <x v="5"/>
    <x v="437"/>
    <n v="13669"/>
    <n v="32.5"/>
    <m/>
    <n v="0"/>
    <m/>
    <n v="0"/>
  </r>
  <r>
    <s v="BOM/ANC"/>
    <x v="438"/>
    <x v="4"/>
    <x v="2"/>
    <x v="46"/>
    <x v="6"/>
    <x v="438"/>
    <n v="10312"/>
    <n v="25"/>
    <m/>
    <n v="0"/>
    <m/>
    <n v="0"/>
  </r>
  <r>
    <s v="BOM/CDB"/>
    <x v="439"/>
    <x v="4"/>
    <x v="2"/>
    <x v="46"/>
    <x v="6"/>
    <x v="439"/>
    <n v="10240"/>
    <n v="24.75"/>
    <m/>
    <n v="0"/>
    <m/>
    <n v="0"/>
  </r>
  <r>
    <s v="BOM/FAI"/>
    <x v="440"/>
    <x v="4"/>
    <x v="3"/>
    <x v="46"/>
    <x v="6"/>
    <x v="440"/>
    <n v="10066"/>
    <n v="24.5"/>
    <m/>
    <n v="0"/>
    <m/>
    <n v="0"/>
  </r>
  <r>
    <s v="BOM/SID"/>
    <x v="441"/>
    <x v="4"/>
    <x v="3"/>
    <x v="81"/>
    <x v="0"/>
    <x v="441"/>
    <n v="9994"/>
    <n v="24.25"/>
    <m/>
    <n v="0"/>
    <m/>
    <n v="0"/>
  </r>
  <r>
    <s v="BOM/TER"/>
    <x v="442"/>
    <x v="4"/>
    <x v="2"/>
    <x v="51"/>
    <x v="2"/>
    <x v="442"/>
    <n v="9517"/>
    <n v="23.25"/>
    <m/>
    <n v="0"/>
    <m/>
    <n v="0"/>
  </r>
  <r>
    <s v="BOM/BJL"/>
    <x v="443"/>
    <x v="4"/>
    <x v="3"/>
    <x v="82"/>
    <x v="0"/>
    <x v="443"/>
    <n v="9479"/>
    <n v="23"/>
    <m/>
    <n v="0"/>
    <m/>
    <n v="0"/>
  </r>
  <r>
    <s v="BOM/MBJ"/>
    <x v="444"/>
    <x v="4"/>
    <x v="2"/>
    <x v="83"/>
    <x v="5"/>
    <x v="444"/>
    <n v="14761"/>
    <m/>
    <m/>
    <n v="0"/>
    <m/>
    <n v="0"/>
  </r>
  <r>
    <s v="BOM/SMA"/>
    <x v="445"/>
    <x v="4"/>
    <x v="3"/>
    <x v="51"/>
    <x v="2"/>
    <x v="445"/>
    <n v="9428"/>
    <n v="23"/>
    <m/>
    <n v="0"/>
    <m/>
    <n v="0"/>
  </r>
  <r>
    <s v="BOM/OXB"/>
    <x v="446"/>
    <x v="4"/>
    <x v="0"/>
    <x v="84"/>
    <x v="0"/>
    <x v="446"/>
    <n v="9427"/>
    <n v="23"/>
    <m/>
    <n v="0"/>
    <m/>
    <n v="0"/>
  </r>
  <r>
    <s v="BOM/FNA"/>
    <x v="447"/>
    <x v="4"/>
    <x v="3"/>
    <x v="85"/>
    <x v="0"/>
    <x v="447"/>
    <n v="9287"/>
    <n v="22.75"/>
    <m/>
    <n v="0"/>
    <m/>
    <n v="0"/>
  </r>
  <r>
    <s v="BOM/NKC"/>
    <x v="448"/>
    <x v="4"/>
    <x v="2"/>
    <x v="86"/>
    <x v="0"/>
    <x v="448"/>
    <n v="9242"/>
    <n v="22.5"/>
    <m/>
    <n v="0"/>
    <m/>
    <n v="0"/>
  </r>
  <r>
    <s v="BOM/ROB"/>
    <x v="449"/>
    <x v="4"/>
    <x v="3"/>
    <x v="87"/>
    <x v="0"/>
    <x v="449"/>
    <n v="9075"/>
    <n v="22.25"/>
    <m/>
    <n v="0"/>
    <m/>
    <n v="0"/>
  </r>
  <r>
    <s v="BOM/PXO"/>
    <x v="450"/>
    <x v="4"/>
    <x v="3"/>
    <x v="51"/>
    <x v="2"/>
    <x v="450"/>
    <n v="8796"/>
    <n v="21.5"/>
    <m/>
    <n v="0"/>
    <m/>
    <n v="0"/>
  </r>
  <r>
    <s v="BOM/ASK"/>
    <x v="451"/>
    <x v="4"/>
    <x v="0"/>
    <x v="8"/>
    <x v="0"/>
    <x v="451"/>
    <n v="8527"/>
    <n v="21"/>
    <m/>
    <n v="0"/>
    <m/>
    <n v="0"/>
  </r>
  <r>
    <s v="BOM/BOY"/>
    <x v="452"/>
    <x v="4"/>
    <x v="0"/>
    <x v="88"/>
    <x v="0"/>
    <x v="452"/>
    <n v="8276"/>
    <n v="20.5"/>
    <m/>
    <n v="0"/>
    <m/>
    <n v="0"/>
  </r>
  <r>
    <s v="BOM/OPO"/>
    <x v="453"/>
    <x v="4"/>
    <x v="2"/>
    <x v="51"/>
    <x v="2"/>
    <x v="453"/>
    <n v="7934"/>
    <n v="19.75"/>
    <m/>
    <n v="0"/>
    <m/>
    <n v="0"/>
  </r>
  <r>
    <s v="BOM/OUA"/>
    <x v="454"/>
    <x v="4"/>
    <x v="3"/>
    <x v="88"/>
    <x v="0"/>
    <x v="454"/>
    <n v="7944"/>
    <n v="19.75"/>
    <m/>
    <n v="0"/>
    <m/>
    <n v="0"/>
  </r>
  <r>
    <s v="BOM/OZZ"/>
    <x v="455"/>
    <x v="4"/>
    <x v="3"/>
    <x v="28"/>
    <x v="0"/>
    <x v="455"/>
    <n v="7988"/>
    <n v="19.75"/>
    <m/>
    <n v="0"/>
    <m/>
    <n v="0"/>
  </r>
  <r>
    <s v="BOM/BJZ"/>
    <x v="456"/>
    <x v="4"/>
    <x v="3"/>
    <x v="32"/>
    <x v="2"/>
    <x v="456"/>
    <n v="7820"/>
    <n v="19.5"/>
    <m/>
    <n v="0"/>
    <m/>
    <n v="0"/>
  </r>
  <r>
    <s v="BOM/LFW"/>
    <x v="457"/>
    <x v="4"/>
    <x v="3"/>
    <x v="89"/>
    <x v="0"/>
    <x v="457"/>
    <n v="7857"/>
    <n v="19.5"/>
    <m/>
    <n v="0"/>
    <m/>
    <n v="0"/>
  </r>
  <r>
    <s v="BOM/ERH"/>
    <x v="458"/>
    <x v="4"/>
    <x v="0"/>
    <x v="28"/>
    <x v="0"/>
    <x v="458"/>
    <n v="7733"/>
    <n v="19.25"/>
    <m/>
    <n v="0"/>
    <m/>
    <n v="0"/>
  </r>
  <r>
    <s v="BOM/WDH"/>
    <x v="459"/>
    <x v="4"/>
    <x v="3"/>
    <x v="90"/>
    <x v="0"/>
    <x v="459"/>
    <n v="7590"/>
    <n v="19"/>
    <m/>
    <n v="0"/>
    <m/>
    <n v="0"/>
  </r>
  <r>
    <s v="BOM/VLL"/>
    <x v="460"/>
    <x v="4"/>
    <x v="3"/>
    <x v="32"/>
    <x v="2"/>
    <x v="460"/>
    <n v="7611"/>
    <n v="19"/>
    <m/>
    <n v="0"/>
    <m/>
    <n v="0"/>
  </r>
  <r>
    <s v="BOM/SDD"/>
    <x v="461"/>
    <x v="4"/>
    <x v="3"/>
    <x v="91"/>
    <x v="0"/>
    <x v="461"/>
    <n v="7512"/>
    <n v="18.75"/>
    <m/>
    <n v="0"/>
    <m/>
    <n v="0"/>
  </r>
  <r>
    <s v="BOM/NDR"/>
    <x v="462"/>
    <x v="4"/>
    <x v="3"/>
    <x v="28"/>
    <x v="0"/>
    <x v="462"/>
    <n v="7552"/>
    <n v="18.75"/>
    <m/>
    <n v="0"/>
    <m/>
    <n v="0"/>
  </r>
  <r>
    <s v="BOM/NIM"/>
    <x v="463"/>
    <x v="4"/>
    <x v="3"/>
    <x v="92"/>
    <x v="0"/>
    <x v="463"/>
    <n v="7526"/>
    <n v="18.75"/>
    <m/>
    <n v="0"/>
    <m/>
    <n v="0"/>
  </r>
  <r>
    <s v="BOM/CBH"/>
    <x v="464"/>
    <x v="4"/>
    <x v="0"/>
    <x v="19"/>
    <x v="0"/>
    <x v="464"/>
    <n v="7540"/>
    <n v="18.75"/>
    <m/>
    <n v="0"/>
    <m/>
    <n v="0"/>
  </r>
  <r>
    <s v="BOM/OND"/>
    <x v="465"/>
    <x v="4"/>
    <x v="0"/>
    <x v="90"/>
    <x v="0"/>
    <x v="465"/>
    <n v="7453"/>
    <n v="18.75"/>
    <m/>
    <n v="0"/>
    <m/>
    <n v="0"/>
  </r>
  <r>
    <s v="BOM/GDX"/>
    <x v="466"/>
    <x v="4"/>
    <x v="0"/>
    <x v="18"/>
    <x v="2"/>
    <x v="466"/>
    <n v="7507"/>
    <n v="18.75"/>
    <m/>
    <n v="0"/>
    <m/>
    <n v="0"/>
  </r>
  <r>
    <s v="BOM/CAL"/>
    <x v="467"/>
    <x v="4"/>
    <x v="0"/>
    <x v="40"/>
    <x v="2"/>
    <x v="467"/>
    <n v="7555"/>
    <n v="18.75"/>
    <m/>
    <n v="0"/>
    <m/>
    <n v="0"/>
  </r>
  <r>
    <s v="BOM/CBT"/>
    <x v="468"/>
    <x v="4"/>
    <x v="3"/>
    <x v="91"/>
    <x v="0"/>
    <x v="468"/>
    <n v="7392"/>
    <n v="18.5"/>
    <m/>
    <n v="0"/>
    <m/>
    <n v="0"/>
  </r>
  <r>
    <s v="BOM/VPE"/>
    <x v="469"/>
    <x v="4"/>
    <x v="3"/>
    <x v="91"/>
    <x v="0"/>
    <x v="469"/>
    <n v="7430"/>
    <n v="18.5"/>
    <m/>
    <n v="0"/>
    <m/>
    <n v="0"/>
  </r>
  <r>
    <s v="BOM/AZR"/>
    <x v="470"/>
    <x v="4"/>
    <x v="0"/>
    <x v="19"/>
    <x v="0"/>
    <x v="470"/>
    <n v="7413"/>
    <n v="18.5"/>
    <m/>
    <n v="0"/>
    <m/>
    <n v="0"/>
  </r>
  <r>
    <s v="BOM/TMX"/>
    <x v="471"/>
    <x v="4"/>
    <x v="0"/>
    <x v="19"/>
    <x v="0"/>
    <x v="471"/>
    <n v="7343"/>
    <n v="18.5"/>
    <m/>
    <n v="0"/>
    <m/>
    <n v="0"/>
  </r>
  <r>
    <s v="BOM/VIT"/>
    <x v="472"/>
    <x v="4"/>
    <x v="0"/>
    <x v="32"/>
    <x v="2"/>
    <x v="472"/>
    <n v="7423"/>
    <n v="18.5"/>
    <m/>
    <n v="0"/>
    <m/>
    <n v="0"/>
  </r>
  <r>
    <s v="BOM/LAD"/>
    <x v="473"/>
    <x v="4"/>
    <x v="2"/>
    <x v="91"/>
    <x v="0"/>
    <x v="473"/>
    <n v="7236"/>
    <n v="18.25"/>
    <m/>
    <n v="0"/>
    <m/>
    <n v="0"/>
  </r>
  <r>
    <s v="BOM/DRW"/>
    <x v="474"/>
    <x v="4"/>
    <x v="2"/>
    <x v="37"/>
    <x v="4"/>
    <x v="474"/>
    <n v="7257"/>
    <n v="18.25"/>
    <m/>
    <n v="0"/>
    <m/>
    <n v="0"/>
  </r>
  <r>
    <s v="BOM/ZAZ"/>
    <x v="475"/>
    <x v="4"/>
    <x v="3"/>
    <x v="32"/>
    <x v="2"/>
    <x v="475"/>
    <n v="7296"/>
    <n v="18.25"/>
    <m/>
    <n v="0"/>
    <m/>
    <n v="0"/>
  </r>
  <r>
    <s v="BOM/MSU"/>
    <x v="476"/>
    <x v="4"/>
    <x v="0"/>
    <x v="93"/>
    <x v="0"/>
    <x v="476"/>
    <n v="7263"/>
    <n v="18.25"/>
    <m/>
    <n v="0"/>
    <m/>
    <n v="0"/>
  </r>
  <r>
    <s v="BOM/SSG"/>
    <x v="477"/>
    <x v="4"/>
    <x v="3"/>
    <x v="94"/>
    <x v="0"/>
    <x v="477"/>
    <n v="7160"/>
    <n v="18"/>
    <m/>
    <n v="0"/>
    <m/>
    <n v="0"/>
  </r>
  <r>
    <s v="BOM/LBV"/>
    <x v="478"/>
    <x v="4"/>
    <x v="3"/>
    <x v="95"/>
    <x v="0"/>
    <x v="478"/>
    <n v="7213"/>
    <n v="18"/>
    <m/>
    <n v="0"/>
    <m/>
    <n v="0"/>
  </r>
  <r>
    <s v="BOM/LDE"/>
    <x v="479"/>
    <x v="4"/>
    <x v="3"/>
    <x v="34"/>
    <x v="2"/>
    <x v="479"/>
    <n v="7200"/>
    <n v="18"/>
    <m/>
    <n v="0"/>
    <m/>
    <n v="0"/>
  </r>
  <r>
    <s v="BOM/INZ"/>
    <x v="480"/>
    <x v="4"/>
    <x v="0"/>
    <x v="19"/>
    <x v="0"/>
    <x v="480"/>
    <n v="7162"/>
    <n v="18"/>
    <m/>
    <n v="0"/>
    <m/>
    <n v="0"/>
  </r>
  <r>
    <s v="BOM/TID"/>
    <x v="481"/>
    <x v="4"/>
    <x v="0"/>
    <x v="19"/>
    <x v="0"/>
    <x v="481"/>
    <n v="7142"/>
    <n v="18"/>
    <m/>
    <n v="0"/>
    <m/>
    <n v="0"/>
  </r>
  <r>
    <s v="BOM/GBE"/>
    <x v="482"/>
    <x v="4"/>
    <x v="3"/>
    <x v="96"/>
    <x v="0"/>
    <x v="482"/>
    <n v="7029"/>
    <n v="17.75"/>
    <m/>
    <n v="0"/>
    <m/>
    <n v="0"/>
  </r>
  <r>
    <s v="BOM/DLA"/>
    <x v="483"/>
    <x v="4"/>
    <x v="3"/>
    <x v="46"/>
    <x v="6"/>
    <x v="483"/>
    <n v="7045"/>
    <n v="17.75"/>
    <m/>
    <n v="0"/>
    <m/>
    <n v="0"/>
  </r>
  <r>
    <s v="BOM/ELG"/>
    <x v="484"/>
    <x v="4"/>
    <x v="0"/>
    <x v="19"/>
    <x v="0"/>
    <x v="484"/>
    <n v="7073"/>
    <n v="17.75"/>
    <m/>
    <n v="0"/>
    <m/>
    <n v="0"/>
  </r>
  <r>
    <s v="BOM/HRM"/>
    <x v="485"/>
    <x v="4"/>
    <x v="0"/>
    <x v="19"/>
    <x v="0"/>
    <x v="485"/>
    <n v="7001"/>
    <n v="17.75"/>
    <m/>
    <n v="0"/>
    <m/>
    <n v="0"/>
  </r>
  <r>
    <s v="BOM/LOO"/>
    <x v="486"/>
    <x v="4"/>
    <x v="0"/>
    <x v="19"/>
    <x v="0"/>
    <x v="486"/>
    <n v="7026"/>
    <n v="17.75"/>
    <m/>
    <n v="0"/>
    <m/>
    <n v="0"/>
  </r>
  <r>
    <s v="BOM/SPP"/>
    <x v="487"/>
    <x v="4"/>
    <x v="0"/>
    <x v="91"/>
    <x v="0"/>
    <x v="487"/>
    <n v="7109"/>
    <n v="17.75"/>
    <m/>
    <n v="0"/>
    <m/>
    <n v="0"/>
  </r>
  <r>
    <s v="BOM/CHR"/>
    <x v="488"/>
    <x v="4"/>
    <x v="0"/>
    <x v="34"/>
    <x v="2"/>
    <x v="488"/>
    <n v="7054"/>
    <n v="17.75"/>
    <m/>
    <n v="0"/>
    <m/>
    <n v="0"/>
  </r>
  <r>
    <s v="BOM/MSE"/>
    <x v="489"/>
    <x v="4"/>
    <x v="0"/>
    <x v="40"/>
    <x v="2"/>
    <x v="489"/>
    <n v="7089"/>
    <n v="17.75"/>
    <m/>
    <n v="0"/>
    <m/>
    <n v="0"/>
  </r>
  <r>
    <s v="BOM/TMR"/>
    <x v="490"/>
    <x v="4"/>
    <x v="3"/>
    <x v="19"/>
    <x v="0"/>
    <x v="490"/>
    <n v="6956"/>
    <n v="17.5"/>
    <m/>
    <n v="0"/>
    <m/>
    <n v="0"/>
  </r>
  <r>
    <s v="BOM/OST"/>
    <x v="491"/>
    <x v="4"/>
    <x v="3"/>
    <x v="58"/>
    <x v="2"/>
    <x v="491"/>
    <n v="6982"/>
    <n v="17.5"/>
    <m/>
    <n v="0"/>
    <m/>
    <n v="0"/>
  </r>
  <r>
    <s v="BOM/CFE"/>
    <x v="492"/>
    <x v="4"/>
    <x v="3"/>
    <x v="34"/>
    <x v="2"/>
    <x v="492"/>
    <n v="6942"/>
    <n v="17.5"/>
    <m/>
    <n v="0"/>
    <m/>
    <n v="0"/>
  </r>
  <r>
    <s v="BOM/GHA"/>
    <x v="493"/>
    <x v="4"/>
    <x v="0"/>
    <x v="19"/>
    <x v="0"/>
    <x v="493"/>
    <n v="6962"/>
    <n v="17.5"/>
    <m/>
    <n v="0"/>
    <m/>
    <n v="0"/>
  </r>
  <r>
    <s v="BOM/DCN"/>
    <x v="494"/>
    <x v="4"/>
    <x v="0"/>
    <x v="37"/>
    <x v="4"/>
    <x v="494"/>
    <n v="6902"/>
    <n v="17.5"/>
    <m/>
    <n v="0"/>
    <m/>
    <n v="0"/>
  </r>
  <r>
    <s v="BOM/AOJ"/>
    <x v="495"/>
    <x v="4"/>
    <x v="2"/>
    <x v="35"/>
    <x v="1"/>
    <x v="495"/>
    <n v="6792"/>
    <n v="17.25"/>
    <m/>
    <n v="0"/>
    <m/>
    <n v="0"/>
  </r>
  <r>
    <s v="BOM/HKD"/>
    <x v="496"/>
    <x v="4"/>
    <x v="2"/>
    <x v="35"/>
    <x v="1"/>
    <x v="496"/>
    <n v="6802"/>
    <n v="17.25"/>
    <m/>
    <n v="0"/>
    <m/>
    <n v="0"/>
  </r>
  <r>
    <s v="BOM/EIN"/>
    <x v="497"/>
    <x v="4"/>
    <x v="2"/>
    <x v="47"/>
    <x v="2"/>
    <x v="497"/>
    <n v="6810"/>
    <n v="17.25"/>
    <m/>
    <n v="0"/>
    <m/>
    <n v="0"/>
  </r>
  <r>
    <s v="BOM/BZV"/>
    <x v="498"/>
    <x v="4"/>
    <x v="3"/>
    <x v="97"/>
    <x v="0"/>
    <x v="498"/>
    <n v="6815"/>
    <n v="17.25"/>
    <m/>
    <n v="0"/>
    <m/>
    <n v="0"/>
  </r>
  <r>
    <s v="BOM/LGG"/>
    <x v="499"/>
    <x v="4"/>
    <x v="3"/>
    <x v="58"/>
    <x v="2"/>
    <x v="499"/>
    <n v="6798"/>
    <n v="17.25"/>
    <m/>
    <n v="0"/>
    <m/>
    <n v="0"/>
  </r>
  <r>
    <s v="BOM/GNB"/>
    <x v="500"/>
    <x v="4"/>
    <x v="3"/>
    <x v="34"/>
    <x v="2"/>
    <x v="500"/>
    <n v="6773"/>
    <n v="17.25"/>
    <m/>
    <n v="0"/>
    <m/>
    <n v="0"/>
  </r>
  <r>
    <s v="BOM/FIH"/>
    <x v="501"/>
    <x v="4"/>
    <x v="3"/>
    <x v="46"/>
    <x v="6"/>
    <x v="501"/>
    <n v="6802"/>
    <n v="17.25"/>
    <m/>
    <n v="0"/>
    <m/>
    <n v="0"/>
  </r>
  <r>
    <s v="BOM/NSI"/>
    <x v="502"/>
    <x v="4"/>
    <x v="3"/>
    <x v="46"/>
    <x v="6"/>
    <x v="502"/>
    <n v="6863"/>
    <n v="17.25"/>
    <m/>
    <n v="0"/>
    <m/>
    <n v="0"/>
  </r>
  <r>
    <s v="BOM/OGX"/>
    <x v="503"/>
    <x v="4"/>
    <x v="0"/>
    <x v="19"/>
    <x v="0"/>
    <x v="503"/>
    <n v="6817"/>
    <n v="17.25"/>
    <m/>
    <n v="0"/>
    <m/>
    <n v="0"/>
  </r>
  <r>
    <s v="BOM/XCR"/>
    <x v="504"/>
    <x v="4"/>
    <x v="0"/>
    <x v="34"/>
    <x v="2"/>
    <x v="504"/>
    <n v="6873"/>
    <n v="17.25"/>
    <m/>
    <n v="0"/>
    <m/>
    <n v="0"/>
  </r>
  <r>
    <s v="BOM/IKS"/>
    <x v="505"/>
    <x v="4"/>
    <x v="0"/>
    <x v="18"/>
    <x v="2"/>
    <x v="505"/>
    <n v="6846"/>
    <n v="17.25"/>
    <m/>
    <n v="0"/>
    <m/>
    <n v="0"/>
  </r>
  <r>
    <s v="BOM/LUX"/>
    <x v="506"/>
    <x v="4"/>
    <x v="2"/>
    <x v="98"/>
    <x v="2"/>
    <x v="506"/>
    <n v="6734"/>
    <n v="17"/>
    <m/>
    <n v="0"/>
    <m/>
    <n v="0"/>
  </r>
  <r>
    <s v="BOM/BLJ"/>
    <x v="507"/>
    <x v="4"/>
    <x v="3"/>
    <x v="19"/>
    <x v="0"/>
    <x v="507"/>
    <n v="6700"/>
    <n v="17"/>
    <m/>
    <n v="0"/>
    <m/>
    <n v="0"/>
  </r>
  <r>
    <s v="BOM/CZL"/>
    <x v="508"/>
    <x v="4"/>
    <x v="3"/>
    <x v="19"/>
    <x v="0"/>
    <x v="508"/>
    <n v="6671"/>
    <n v="17"/>
    <m/>
    <n v="0"/>
    <m/>
    <n v="0"/>
  </r>
  <r>
    <s v="BOM/ETZ"/>
    <x v="509"/>
    <x v="4"/>
    <x v="3"/>
    <x v="34"/>
    <x v="2"/>
    <x v="509"/>
    <n v="6725"/>
    <n v="17"/>
    <m/>
    <n v="0"/>
    <m/>
    <n v="0"/>
  </r>
  <r>
    <s v="BOM/BSK"/>
    <x v="510"/>
    <x v="4"/>
    <x v="0"/>
    <x v="19"/>
    <x v="0"/>
    <x v="510"/>
    <n v="6759"/>
    <n v="17"/>
    <m/>
    <n v="0"/>
    <m/>
    <n v="0"/>
  </r>
  <r>
    <s v="BOM/ELU"/>
    <x v="511"/>
    <x v="4"/>
    <x v="0"/>
    <x v="19"/>
    <x v="0"/>
    <x v="511"/>
    <n v="6673"/>
    <n v="17"/>
    <m/>
    <n v="0"/>
    <m/>
    <n v="0"/>
  </r>
  <r>
    <s v="BOM/TGR"/>
    <x v="512"/>
    <x v="4"/>
    <x v="0"/>
    <x v="19"/>
    <x v="0"/>
    <x v="512"/>
    <n v="6741"/>
    <n v="17"/>
    <m/>
    <n v="0"/>
    <m/>
    <n v="0"/>
  </r>
  <r>
    <s v="BOM/HHN"/>
    <x v="513"/>
    <x v="4"/>
    <x v="5"/>
    <x v="39"/>
    <x v="2"/>
    <x v="513"/>
    <n v="6662"/>
    <n v="17"/>
    <m/>
    <n v="0"/>
    <m/>
    <n v="0"/>
  </r>
  <r>
    <s v="BOM/BSL"/>
    <x v="514"/>
    <x v="4"/>
    <x v="2"/>
    <x v="33"/>
    <x v="2"/>
    <x v="514"/>
    <n v="6618"/>
    <n v="16.75"/>
    <m/>
    <n v="0"/>
    <m/>
    <n v="0"/>
  </r>
  <r>
    <s v="BOM/AAR"/>
    <x v="515"/>
    <x v="4"/>
    <x v="3"/>
    <x v="57"/>
    <x v="2"/>
    <x v="515"/>
    <n v="6553"/>
    <n v="16.75"/>
    <m/>
    <n v="0"/>
    <m/>
    <n v="0"/>
  </r>
  <r>
    <s v="BOM/KRP"/>
    <x v="516"/>
    <x v="4"/>
    <x v="3"/>
    <x v="57"/>
    <x v="2"/>
    <x v="516"/>
    <n v="6643"/>
    <n v="16.75"/>
    <m/>
    <n v="0"/>
    <m/>
    <n v="0"/>
  </r>
  <r>
    <s v="BOM/FKB"/>
    <x v="517"/>
    <x v="4"/>
    <x v="3"/>
    <x v="39"/>
    <x v="2"/>
    <x v="517"/>
    <n v="6590"/>
    <n v="16.75"/>
    <m/>
    <n v="0"/>
    <m/>
    <n v="0"/>
  </r>
  <r>
    <s v="BOM/ZQW"/>
    <x v="518"/>
    <x v="4"/>
    <x v="3"/>
    <x v="39"/>
    <x v="2"/>
    <x v="518"/>
    <n v="6644"/>
    <n v="16.75"/>
    <m/>
    <n v="0"/>
    <m/>
    <n v="0"/>
  </r>
  <r>
    <s v="BOM/TOE"/>
    <x v="519"/>
    <x v="4"/>
    <x v="3"/>
    <x v="99"/>
    <x v="0"/>
    <x v="519"/>
    <n v="6548"/>
    <n v="16.75"/>
    <m/>
    <n v="0"/>
    <m/>
    <n v="0"/>
  </r>
  <r>
    <s v="BOM/VVZ"/>
    <x v="520"/>
    <x v="4"/>
    <x v="0"/>
    <x v="19"/>
    <x v="0"/>
    <x v="520"/>
    <n v="6571"/>
    <n v="16.75"/>
    <m/>
    <n v="0"/>
    <m/>
    <n v="0"/>
  </r>
  <r>
    <s v="BOM/VHC"/>
    <x v="521"/>
    <x v="4"/>
    <x v="0"/>
    <x v="91"/>
    <x v="0"/>
    <x v="521"/>
    <n v="6578"/>
    <n v="16.75"/>
    <m/>
    <n v="0"/>
    <m/>
    <n v="0"/>
  </r>
  <r>
    <s v="BOM/AHO"/>
    <x v="522"/>
    <x v="4"/>
    <x v="2"/>
    <x v="50"/>
    <x v="2"/>
    <x v="522"/>
    <n v="6519"/>
    <n v="16.5"/>
    <m/>
    <n v="0"/>
    <m/>
    <n v="0"/>
  </r>
  <r>
    <s v="BOM/CAG"/>
    <x v="523"/>
    <x v="4"/>
    <x v="2"/>
    <x v="50"/>
    <x v="2"/>
    <x v="523"/>
    <n v="6451"/>
    <n v="16.5"/>
    <m/>
    <n v="0"/>
    <m/>
    <n v="0"/>
  </r>
  <r>
    <s v="BOM/GOA"/>
    <x v="524"/>
    <x v="4"/>
    <x v="2"/>
    <x v="50"/>
    <x v="2"/>
    <x v="524"/>
    <n v="6491"/>
    <n v="16.5"/>
    <m/>
    <n v="0"/>
    <m/>
    <n v="0"/>
  </r>
  <r>
    <s v="BOM/IAM"/>
    <x v="525"/>
    <x v="4"/>
    <x v="3"/>
    <x v="19"/>
    <x v="0"/>
    <x v="525"/>
    <n v="6454"/>
    <n v="16.5"/>
    <m/>
    <n v="0"/>
    <m/>
    <n v="0"/>
  </r>
  <r>
    <s v="BOM/TEE"/>
    <x v="526"/>
    <x v="4"/>
    <x v="3"/>
    <x v="19"/>
    <x v="0"/>
    <x v="526"/>
    <n v="6539"/>
    <n v="16.5"/>
    <m/>
    <n v="0"/>
    <m/>
    <n v="0"/>
  </r>
  <r>
    <s v="BOM/YKS"/>
    <x v="527"/>
    <x v="4"/>
    <x v="3"/>
    <x v="18"/>
    <x v="2"/>
    <x v="527"/>
    <n v="6446"/>
    <n v="16.5"/>
    <m/>
    <n v="0"/>
    <m/>
    <n v="0"/>
  </r>
  <r>
    <s v="BOM/DJG"/>
    <x v="528"/>
    <x v="4"/>
    <x v="0"/>
    <x v="19"/>
    <x v="0"/>
    <x v="528"/>
    <n v="6525"/>
    <n v="16.5"/>
    <m/>
    <n v="0"/>
    <m/>
    <n v="0"/>
  </r>
  <r>
    <s v="BOM/LKL"/>
    <x v="529"/>
    <x v="4"/>
    <x v="0"/>
    <x v="22"/>
    <x v="2"/>
    <x v="529"/>
    <n v="6499"/>
    <n v="16.5"/>
    <m/>
    <n v="0"/>
    <m/>
    <n v="0"/>
  </r>
  <r>
    <s v="BOM/GAF"/>
    <x v="530"/>
    <x v="4"/>
    <x v="0"/>
    <x v="99"/>
    <x v="0"/>
    <x v="530"/>
    <n v="6480"/>
    <n v="16.5"/>
    <m/>
    <n v="0"/>
    <m/>
    <n v="0"/>
  </r>
  <r>
    <s v="BOM/TBJ"/>
    <x v="531"/>
    <x v="4"/>
    <x v="0"/>
    <x v="99"/>
    <x v="0"/>
    <x v="531"/>
    <n v="6467"/>
    <n v="16.5"/>
    <m/>
    <n v="0"/>
    <m/>
    <n v="0"/>
  </r>
  <r>
    <s v="BOM/GOU"/>
    <x v="532"/>
    <x v="4"/>
    <x v="0"/>
    <x v="46"/>
    <x v="6"/>
    <x v="532"/>
    <n v="6477"/>
    <n v="16.5"/>
    <m/>
    <n v="0"/>
    <m/>
    <n v="0"/>
  </r>
  <r>
    <s v="BOM/LEJ"/>
    <x v="533"/>
    <x v="4"/>
    <x v="2"/>
    <x v="39"/>
    <x v="2"/>
    <x v="533"/>
    <n v="6340"/>
    <n v="16.25"/>
    <m/>
    <n v="0"/>
    <m/>
    <n v="0"/>
  </r>
  <r>
    <s v="BOM/VRN"/>
    <x v="534"/>
    <x v="4"/>
    <x v="2"/>
    <x v="50"/>
    <x v="2"/>
    <x v="534"/>
    <n v="6340"/>
    <n v="16.25"/>
    <m/>
    <n v="0"/>
    <m/>
    <n v="0"/>
  </r>
  <r>
    <s v="BOM/TUN"/>
    <x v="535"/>
    <x v="4"/>
    <x v="2"/>
    <x v="99"/>
    <x v="0"/>
    <x v="535"/>
    <n v="6347"/>
    <n v="16.25"/>
    <m/>
    <n v="0"/>
    <m/>
    <n v="0"/>
  </r>
  <r>
    <s v="BOM/FMM"/>
    <x v="536"/>
    <x v="4"/>
    <x v="3"/>
    <x v="39"/>
    <x v="2"/>
    <x v="536"/>
    <n v="6422"/>
    <n v="16.25"/>
    <m/>
    <n v="0"/>
    <m/>
    <n v="0"/>
  </r>
  <r>
    <s v="BOM/VBS"/>
    <x v="537"/>
    <x v="4"/>
    <x v="3"/>
    <x v="50"/>
    <x v="2"/>
    <x v="537"/>
    <n v="6383"/>
    <n v="16.25"/>
    <m/>
    <n v="0"/>
    <m/>
    <n v="0"/>
  </r>
  <r>
    <s v="BOM/NBE"/>
    <x v="538"/>
    <x v="4"/>
    <x v="3"/>
    <x v="99"/>
    <x v="0"/>
    <x v="538"/>
    <n v="6328"/>
    <n v="16.25"/>
    <m/>
    <n v="0"/>
    <m/>
    <n v="0"/>
  </r>
  <r>
    <s v="BOM/LEA"/>
    <x v="539"/>
    <x v="4"/>
    <x v="0"/>
    <x v="37"/>
    <x v="4"/>
    <x v="539"/>
    <n v="6418"/>
    <n v="16.25"/>
    <m/>
    <n v="0"/>
    <m/>
    <n v="0"/>
  </r>
  <r>
    <s v="BOM/DRS"/>
    <x v="540"/>
    <x v="4"/>
    <x v="2"/>
    <x v="39"/>
    <x v="2"/>
    <x v="540"/>
    <n v="6228"/>
    <n v="16"/>
    <m/>
    <n v="0"/>
    <m/>
    <n v="0"/>
  </r>
  <r>
    <s v="BOM/DJE"/>
    <x v="541"/>
    <x v="4"/>
    <x v="2"/>
    <x v="99"/>
    <x v="0"/>
    <x v="541"/>
    <n v="6302"/>
    <n v="16"/>
    <m/>
    <n v="0"/>
    <m/>
    <n v="0"/>
  </r>
  <r>
    <s v="BOM/MIR"/>
    <x v="542"/>
    <x v="4"/>
    <x v="2"/>
    <x v="99"/>
    <x v="0"/>
    <x v="542"/>
    <n v="6300"/>
    <n v="16"/>
    <m/>
    <n v="0"/>
    <m/>
    <n v="0"/>
  </r>
  <r>
    <s v="BOM/NDJ"/>
    <x v="543"/>
    <x v="4"/>
    <x v="3"/>
    <x v="100"/>
    <x v="0"/>
    <x v="543"/>
    <n v="6217"/>
    <n v="16"/>
    <m/>
    <n v="0"/>
    <m/>
    <n v="0"/>
  </r>
  <r>
    <s v="BOM/RVN"/>
    <x v="544"/>
    <x v="4"/>
    <x v="3"/>
    <x v="56"/>
    <x v="2"/>
    <x v="544"/>
    <n v="6251"/>
    <n v="16"/>
    <m/>
    <n v="0"/>
    <m/>
    <n v="0"/>
  </r>
  <r>
    <s v="BOM/SXF"/>
    <x v="545"/>
    <x v="4"/>
    <x v="3"/>
    <x v="39"/>
    <x v="2"/>
    <x v="545"/>
    <n v="6275"/>
    <n v="16"/>
    <m/>
    <n v="0"/>
    <m/>
    <n v="0"/>
  </r>
  <r>
    <s v="BOM/SFA"/>
    <x v="546"/>
    <x v="4"/>
    <x v="0"/>
    <x v="99"/>
    <x v="0"/>
    <x v="546"/>
    <n v="6308"/>
    <n v="16"/>
    <m/>
    <n v="0"/>
    <m/>
    <n v="0"/>
  </r>
  <r>
    <s v="BOM/PRG"/>
    <x v="547"/>
    <x v="4"/>
    <x v="1"/>
    <x v="46"/>
    <x v="6"/>
    <x v="547"/>
    <n v="6171"/>
    <n v="15.75"/>
    <m/>
    <n v="0"/>
    <m/>
    <n v="0"/>
  </r>
  <r>
    <s v="BOM/PMO"/>
    <x v="548"/>
    <x v="4"/>
    <x v="2"/>
    <x v="50"/>
    <x v="2"/>
    <x v="548"/>
    <n v="6097"/>
    <n v="15.75"/>
    <m/>
    <n v="0"/>
    <m/>
    <n v="0"/>
  </r>
  <r>
    <s v="BOM/AOI"/>
    <x v="549"/>
    <x v="4"/>
    <x v="3"/>
    <x v="50"/>
    <x v="2"/>
    <x v="549"/>
    <n v="6123"/>
    <n v="15.75"/>
    <m/>
    <n v="0"/>
    <m/>
    <n v="0"/>
  </r>
  <r>
    <s v="BOM/RMI"/>
    <x v="550"/>
    <x v="4"/>
    <x v="3"/>
    <x v="50"/>
    <x v="2"/>
    <x v="550"/>
    <n v="6188"/>
    <n v="15.75"/>
    <m/>
    <n v="0"/>
    <m/>
    <n v="0"/>
  </r>
  <r>
    <s v="BOM/TRS"/>
    <x v="551"/>
    <x v="4"/>
    <x v="3"/>
    <x v="50"/>
    <x v="2"/>
    <x v="551"/>
    <n v="6146"/>
    <n v="15.75"/>
    <m/>
    <n v="0"/>
    <m/>
    <n v="0"/>
  </r>
  <r>
    <s v="BOM/LUN"/>
    <x v="552"/>
    <x v="4"/>
    <x v="3"/>
    <x v="101"/>
    <x v="0"/>
    <x v="552"/>
    <n v="6187"/>
    <n v="15.75"/>
    <m/>
    <n v="0"/>
    <m/>
    <n v="0"/>
  </r>
  <r>
    <s v="BOM/HRE"/>
    <x v="553"/>
    <x v="4"/>
    <x v="5"/>
    <x v="102"/>
    <x v="0"/>
    <x v="553"/>
    <n v="6146"/>
    <n v="15.75"/>
    <m/>
    <n v="0"/>
    <m/>
    <n v="0"/>
  </r>
  <r>
    <s v="BOM/TIP"/>
    <x v="554"/>
    <x v="4"/>
    <x v="2"/>
    <x v="103"/>
    <x v="0"/>
    <x v="554"/>
    <n v="6084"/>
    <n v="15.5"/>
    <m/>
    <n v="0"/>
    <m/>
    <n v="0"/>
  </r>
  <r>
    <s v="BOM/OIT"/>
    <x v="555"/>
    <x v="4"/>
    <x v="2"/>
    <x v="35"/>
    <x v="1"/>
    <x v="555"/>
    <n v="6005"/>
    <n v="15.5"/>
    <m/>
    <n v="0"/>
    <m/>
    <n v="0"/>
  </r>
  <r>
    <s v="BOM/GDN"/>
    <x v="556"/>
    <x v="4"/>
    <x v="2"/>
    <x v="25"/>
    <x v="2"/>
    <x v="556"/>
    <n v="6018"/>
    <n v="15.5"/>
    <m/>
    <n v="0"/>
    <m/>
    <n v="0"/>
  </r>
  <r>
    <s v="BOM/LJU"/>
    <x v="557"/>
    <x v="4"/>
    <x v="2"/>
    <x v="104"/>
    <x v="2"/>
    <x v="557"/>
    <n v="6078"/>
    <n v="15.5"/>
    <m/>
    <n v="0"/>
    <m/>
    <n v="0"/>
  </r>
  <r>
    <s v="BOM/FBM"/>
    <x v="558"/>
    <x v="4"/>
    <x v="3"/>
    <x v="46"/>
    <x v="6"/>
    <x v="558"/>
    <n v="6027"/>
    <n v="15.5"/>
    <m/>
    <n v="0"/>
    <m/>
    <n v="0"/>
  </r>
  <r>
    <s v="BOM/KMJ"/>
    <x v="559"/>
    <x v="4"/>
    <x v="2"/>
    <x v="35"/>
    <x v="1"/>
    <x v="559"/>
    <n v="5923"/>
    <n v="15.25"/>
    <m/>
    <n v="0"/>
    <m/>
    <n v="0"/>
  </r>
  <r>
    <s v="BOM/KOJ"/>
    <x v="560"/>
    <x v="4"/>
    <x v="2"/>
    <x v="35"/>
    <x v="1"/>
    <x v="560"/>
    <n v="5911"/>
    <n v="15.25"/>
    <m/>
    <n v="0"/>
    <m/>
    <n v="0"/>
  </r>
  <r>
    <s v="BOM/TLL"/>
    <x v="561"/>
    <x v="4"/>
    <x v="2"/>
    <x v="105"/>
    <x v="2"/>
    <x v="561"/>
    <n v="5886"/>
    <n v="15.25"/>
    <m/>
    <n v="0"/>
    <m/>
    <n v="0"/>
  </r>
  <r>
    <s v="BOM/MLA"/>
    <x v="562"/>
    <x v="4"/>
    <x v="2"/>
    <x v="106"/>
    <x v="2"/>
    <x v="562"/>
    <n v="5965"/>
    <n v="15.25"/>
    <m/>
    <n v="0"/>
    <m/>
    <n v="0"/>
  </r>
  <r>
    <s v="BOM/BTS"/>
    <x v="563"/>
    <x v="4"/>
    <x v="2"/>
    <x v="107"/>
    <x v="2"/>
    <x v="563"/>
    <n v="5915"/>
    <n v="15.25"/>
    <m/>
    <n v="0"/>
    <m/>
    <n v="0"/>
  </r>
  <r>
    <s v="BOM/KUO"/>
    <x v="564"/>
    <x v="4"/>
    <x v="3"/>
    <x v="56"/>
    <x v="2"/>
    <x v="564"/>
    <n v="5954"/>
    <n v="15.25"/>
    <m/>
    <n v="0"/>
    <m/>
    <n v="0"/>
  </r>
  <r>
    <s v="BOM/BQS"/>
    <x v="565"/>
    <x v="4"/>
    <x v="3"/>
    <x v="18"/>
    <x v="2"/>
    <x v="565"/>
    <n v="5899"/>
    <n v="15.25"/>
    <m/>
    <n v="0"/>
    <m/>
    <n v="0"/>
  </r>
  <r>
    <s v="BOM/OSR"/>
    <x v="566"/>
    <x v="4"/>
    <x v="3"/>
    <x v="46"/>
    <x v="6"/>
    <x v="566"/>
    <n v="5892"/>
    <n v="15.25"/>
    <m/>
    <n v="0"/>
    <m/>
    <n v="0"/>
  </r>
  <r>
    <s v="BOM/NGS"/>
    <x v="567"/>
    <x v="4"/>
    <x v="2"/>
    <x v="35"/>
    <x v="1"/>
    <x v="567"/>
    <n v="5835"/>
    <n v="15"/>
    <m/>
    <n v="0"/>
    <m/>
    <n v="0"/>
  </r>
  <r>
    <s v="BOM/RIX"/>
    <x v="568"/>
    <x v="4"/>
    <x v="2"/>
    <x v="108"/>
    <x v="2"/>
    <x v="568"/>
    <n v="5804"/>
    <n v="15"/>
    <m/>
    <n v="0"/>
    <m/>
    <n v="0"/>
  </r>
  <r>
    <s v="BOM/KTW"/>
    <x v="569"/>
    <x v="4"/>
    <x v="2"/>
    <x v="25"/>
    <x v="2"/>
    <x v="569"/>
    <n v="5849"/>
    <n v="15"/>
    <m/>
    <n v="0"/>
    <m/>
    <n v="0"/>
  </r>
  <r>
    <s v="BOM/MJZ"/>
    <x v="570"/>
    <x v="4"/>
    <x v="3"/>
    <x v="18"/>
    <x v="2"/>
    <x v="570"/>
    <n v="5762"/>
    <n v="15"/>
    <m/>
    <n v="0"/>
    <m/>
    <n v="0"/>
  </r>
  <r>
    <s v="BOM/SQQ"/>
    <x v="571"/>
    <x v="4"/>
    <x v="0"/>
    <x v="109"/>
    <x v="2"/>
    <x v="571"/>
    <n v="5788"/>
    <n v="15"/>
    <m/>
    <n v="0"/>
    <m/>
    <n v="0"/>
  </r>
  <r>
    <s v="BOM/NSK"/>
    <x v="572"/>
    <x v="4"/>
    <x v="3"/>
    <x v="18"/>
    <x v="2"/>
    <x v="572"/>
    <n v="5673"/>
    <n v="14.75"/>
    <m/>
    <n v="0"/>
    <m/>
    <n v="0"/>
  </r>
  <r>
    <s v="BOM/KUN"/>
    <x v="573"/>
    <x v="4"/>
    <x v="5"/>
    <x v="109"/>
    <x v="2"/>
    <x v="573"/>
    <n v="5705"/>
    <n v="14.75"/>
    <m/>
    <n v="0"/>
    <m/>
    <n v="0"/>
  </r>
  <r>
    <s v="BOM/BEG"/>
    <x v="574"/>
    <x v="4"/>
    <x v="2"/>
    <x v="110"/>
    <x v="2"/>
    <x v="574"/>
    <n v="5600"/>
    <n v="14.5"/>
    <m/>
    <n v="0"/>
    <m/>
    <n v="0"/>
  </r>
  <r>
    <s v="BOM/LLW"/>
    <x v="575"/>
    <x v="4"/>
    <x v="3"/>
    <x v="111"/>
    <x v="0"/>
    <x v="575"/>
    <n v="5630"/>
    <n v="14.5"/>
    <m/>
    <n v="0"/>
    <m/>
    <n v="0"/>
  </r>
  <r>
    <s v="BOM/RZE"/>
    <x v="576"/>
    <x v="4"/>
    <x v="3"/>
    <x v="25"/>
    <x v="2"/>
    <x v="576"/>
    <n v="5637"/>
    <n v="14.5"/>
    <m/>
    <n v="0"/>
    <m/>
    <n v="0"/>
  </r>
  <r>
    <s v="BOM/TSR"/>
    <x v="577"/>
    <x v="4"/>
    <x v="3"/>
    <x v="21"/>
    <x v="2"/>
    <x v="577"/>
    <n v="5548"/>
    <n v="14.5"/>
    <m/>
    <n v="0"/>
    <m/>
    <n v="0"/>
  </r>
  <r>
    <s v="BOM/KSC"/>
    <x v="578"/>
    <x v="4"/>
    <x v="3"/>
    <x v="107"/>
    <x v="2"/>
    <x v="578"/>
    <n v="5642"/>
    <n v="14.5"/>
    <m/>
    <n v="0"/>
    <m/>
    <n v="0"/>
  </r>
  <r>
    <s v="BOM/FKI"/>
    <x v="579"/>
    <x v="4"/>
    <x v="3"/>
    <x v="46"/>
    <x v="6"/>
    <x v="579"/>
    <n v="5577"/>
    <n v="14.5"/>
    <m/>
    <n v="0"/>
    <m/>
    <n v="0"/>
  </r>
  <r>
    <s v="BOM/MSQ"/>
    <x v="580"/>
    <x v="4"/>
    <x v="3"/>
    <x v="112"/>
    <x v="2"/>
    <x v="580"/>
    <n v="5423"/>
    <n v="14.25"/>
    <m/>
    <n v="0"/>
    <m/>
    <n v="0"/>
  </r>
  <r>
    <s v="BOM/FNJ"/>
    <x v="581"/>
    <x v="4"/>
    <x v="3"/>
    <x v="113"/>
    <x v="1"/>
    <x v="581"/>
    <n v="5506"/>
    <n v="14.25"/>
    <m/>
    <n v="0"/>
    <m/>
    <n v="0"/>
  </r>
  <r>
    <s v="BOM/BJM"/>
    <x v="582"/>
    <x v="4"/>
    <x v="3"/>
    <x v="114"/>
    <x v="0"/>
    <x v="582"/>
    <n v="5375"/>
    <n v="14"/>
    <m/>
    <n v="0"/>
    <m/>
    <n v="0"/>
  </r>
  <r>
    <s v="BOM/BEN"/>
    <x v="583"/>
    <x v="4"/>
    <x v="3"/>
    <x v="103"/>
    <x v="0"/>
    <x v="583"/>
    <n v="5416"/>
    <n v="14"/>
    <m/>
    <n v="0"/>
    <m/>
    <n v="0"/>
  </r>
  <r>
    <s v="BOM/GPA"/>
    <x v="584"/>
    <x v="4"/>
    <x v="3"/>
    <x v="65"/>
    <x v="2"/>
    <x v="584"/>
    <n v="5372"/>
    <n v="14"/>
    <m/>
    <n v="0"/>
    <m/>
    <n v="0"/>
  </r>
  <r>
    <s v="BOM/SBZ"/>
    <x v="585"/>
    <x v="4"/>
    <x v="3"/>
    <x v="21"/>
    <x v="2"/>
    <x v="585"/>
    <n v="5342"/>
    <n v="14"/>
    <m/>
    <n v="0"/>
    <m/>
    <n v="0"/>
  </r>
  <r>
    <s v="BOM/SOF"/>
    <x v="586"/>
    <x v="4"/>
    <x v="2"/>
    <x v="115"/>
    <x v="2"/>
    <x v="586"/>
    <n v="5303"/>
    <n v="13.75"/>
    <m/>
    <n v="0"/>
    <m/>
    <n v="0"/>
  </r>
  <r>
    <s v="BOM/KLX"/>
    <x v="587"/>
    <x v="4"/>
    <x v="3"/>
    <x v="65"/>
    <x v="2"/>
    <x v="587"/>
    <n v="5303"/>
    <n v="13.75"/>
    <m/>
    <n v="0"/>
    <m/>
    <n v="0"/>
  </r>
  <r>
    <s v="BOM/KGL"/>
    <x v="588"/>
    <x v="4"/>
    <x v="3"/>
    <x v="116"/>
    <x v="0"/>
    <x v="588"/>
    <n v="5223"/>
    <n v="13.75"/>
    <m/>
    <n v="0"/>
    <m/>
    <n v="0"/>
  </r>
  <r>
    <s v="BOM/VOL"/>
    <x v="589"/>
    <x v="4"/>
    <x v="0"/>
    <x v="65"/>
    <x v="2"/>
    <x v="589"/>
    <n v="5274"/>
    <n v="13.75"/>
    <m/>
    <n v="0"/>
    <m/>
    <n v="0"/>
  </r>
  <r>
    <s v="BOM/KVA"/>
    <x v="590"/>
    <x v="4"/>
    <x v="3"/>
    <x v="65"/>
    <x v="2"/>
    <x v="590"/>
    <n v="5159"/>
    <n v="13.5"/>
    <m/>
    <n v="0"/>
    <m/>
    <n v="0"/>
  </r>
  <r>
    <s v="BOM/LXS"/>
    <x v="591"/>
    <x v="4"/>
    <x v="3"/>
    <x v="65"/>
    <x v="2"/>
    <x v="591"/>
    <n v="5084"/>
    <n v="13.5"/>
    <m/>
    <n v="0"/>
    <m/>
    <n v="0"/>
  </r>
  <r>
    <s v="BOM/SKU"/>
    <x v="592"/>
    <x v="4"/>
    <x v="0"/>
    <x v="65"/>
    <x v="2"/>
    <x v="592"/>
    <n v="5125"/>
    <n v="13.5"/>
    <m/>
    <n v="0"/>
    <m/>
    <n v="0"/>
  </r>
  <r>
    <s v="BOM/ELF"/>
    <x v="593"/>
    <x v="4"/>
    <x v="0"/>
    <x v="117"/>
    <x v="0"/>
    <x v="593"/>
    <n v="5095"/>
    <n v="13.5"/>
    <m/>
    <n v="0"/>
    <m/>
    <n v="0"/>
  </r>
  <r>
    <s v="BOM/UYL"/>
    <x v="594"/>
    <x v="4"/>
    <x v="0"/>
    <x v="117"/>
    <x v="0"/>
    <x v="594"/>
    <n v="5177"/>
    <n v="13.5"/>
    <m/>
    <n v="0"/>
    <m/>
    <n v="0"/>
  </r>
  <r>
    <s v="BOM/DME"/>
    <x v="595"/>
    <x v="4"/>
    <x v="4"/>
    <x v="18"/>
    <x v="2"/>
    <x v="595"/>
    <n v="4989"/>
    <m/>
    <m/>
    <n v="0"/>
    <m/>
    <n v="0"/>
  </r>
  <r>
    <s v="BOM/BOJ"/>
    <x v="596"/>
    <x v="4"/>
    <x v="2"/>
    <x v="115"/>
    <x v="2"/>
    <x v="596"/>
    <n v="4976"/>
    <n v="13.25"/>
    <m/>
    <n v="0"/>
    <m/>
    <n v="0"/>
  </r>
  <r>
    <s v="BOM/ZIA"/>
    <x v="597"/>
    <x v="4"/>
    <x v="2"/>
    <x v="18"/>
    <x v="2"/>
    <x v="597"/>
    <n v="4989"/>
    <n v="13.25"/>
    <m/>
    <n v="0"/>
    <m/>
    <n v="0"/>
  </r>
  <r>
    <s v="BOM/KBP"/>
    <x v="598"/>
    <x v="4"/>
    <x v="2"/>
    <x v="118"/>
    <x v="2"/>
    <x v="598"/>
    <n v="5067"/>
    <n v="13.25"/>
    <m/>
    <n v="0"/>
    <m/>
    <n v="0"/>
  </r>
  <r>
    <s v="BOM/TNR"/>
    <x v="599"/>
    <x v="4"/>
    <x v="3"/>
    <x v="119"/>
    <x v="0"/>
    <x v="599"/>
    <n v="5043"/>
    <n v="13.25"/>
    <m/>
    <n v="0"/>
    <m/>
    <n v="0"/>
  </r>
  <r>
    <s v="BOM/CRK"/>
    <x v="600"/>
    <x v="4"/>
    <x v="3"/>
    <x v="14"/>
    <x v="1"/>
    <x v="600"/>
    <n v="5072"/>
    <n v="13.25"/>
    <m/>
    <n v="0"/>
    <m/>
    <n v="0"/>
  </r>
  <r>
    <s v="BOM/LAO"/>
    <x v="601"/>
    <x v="4"/>
    <x v="3"/>
    <x v="14"/>
    <x v="1"/>
    <x v="601"/>
    <n v="5008"/>
    <n v="13.25"/>
    <m/>
    <n v="0"/>
    <m/>
    <n v="0"/>
  </r>
  <r>
    <s v="BOM/KIV"/>
    <x v="602"/>
    <x v="4"/>
    <x v="3"/>
    <x v="120"/>
    <x v="2"/>
    <x v="602"/>
    <n v="5036"/>
    <n v="13.25"/>
    <m/>
    <n v="0"/>
    <m/>
    <n v="0"/>
  </r>
  <r>
    <s v="BOM/HTA"/>
    <x v="603"/>
    <x v="4"/>
    <x v="3"/>
    <x v="18"/>
    <x v="2"/>
    <x v="603"/>
    <n v="5065"/>
    <n v="13.25"/>
    <m/>
    <n v="0"/>
    <m/>
    <n v="0"/>
  </r>
  <r>
    <s v="BOM/MWZ"/>
    <x v="604"/>
    <x v="4"/>
    <x v="3"/>
    <x v="121"/>
    <x v="0"/>
    <x v="604"/>
    <n v="4979"/>
    <n v="13.25"/>
    <m/>
    <n v="0"/>
    <m/>
    <n v="0"/>
  </r>
  <r>
    <s v="BOM/ODS"/>
    <x v="605"/>
    <x v="4"/>
    <x v="2"/>
    <x v="118"/>
    <x v="2"/>
    <x v="605"/>
    <n v="4892"/>
    <n v="13"/>
    <m/>
    <n v="0"/>
    <m/>
    <n v="0"/>
  </r>
  <r>
    <s v="BOM/CND"/>
    <x v="606"/>
    <x v="4"/>
    <x v="3"/>
    <x v="21"/>
    <x v="2"/>
    <x v="606"/>
    <n v="4965"/>
    <n v="13"/>
    <m/>
    <n v="0"/>
    <m/>
    <n v="0"/>
  </r>
  <r>
    <s v="BOM/EBB"/>
    <x v="607"/>
    <x v="4"/>
    <x v="3"/>
    <x v="122"/>
    <x v="0"/>
    <x v="607"/>
    <n v="4891"/>
    <n v="13"/>
    <m/>
    <n v="0"/>
    <m/>
    <n v="0"/>
  </r>
  <r>
    <s v="BOM/TEQ"/>
    <x v="608"/>
    <x v="4"/>
    <x v="0"/>
    <x v="10"/>
    <x v="1"/>
    <x v="608"/>
    <n v="4898"/>
    <n v="13"/>
    <m/>
    <n v="0"/>
    <m/>
    <n v="0"/>
  </r>
  <r>
    <s v="BOM/BWN"/>
    <x v="609"/>
    <x v="4"/>
    <x v="2"/>
    <x v="123"/>
    <x v="1"/>
    <x v="609"/>
    <n v="4821"/>
    <n v="12.75"/>
    <m/>
    <n v="0"/>
    <m/>
    <n v="0"/>
  </r>
  <r>
    <s v="BOM/RUN"/>
    <x v="610"/>
    <x v="4"/>
    <x v="2"/>
    <x v="46"/>
    <x v="6"/>
    <x v="610"/>
    <n v="4831"/>
    <n v="12.75"/>
    <m/>
    <n v="0"/>
    <m/>
    <n v="0"/>
  </r>
  <r>
    <s v="BOM/GOJ"/>
    <x v="611"/>
    <x v="4"/>
    <x v="3"/>
    <x v="18"/>
    <x v="2"/>
    <x v="611"/>
    <n v="4786"/>
    <n v="12.75"/>
    <m/>
    <n v="0"/>
    <m/>
    <n v="0"/>
  </r>
  <r>
    <s v="BOM/ULU"/>
    <x v="612"/>
    <x v="4"/>
    <x v="0"/>
    <x v="122"/>
    <x v="0"/>
    <x v="612"/>
    <n v="4770"/>
    <n v="12.75"/>
    <m/>
    <n v="0"/>
    <m/>
    <n v="0"/>
  </r>
  <r>
    <s v="BOM/DAR"/>
    <x v="613"/>
    <x v="4"/>
    <x v="2"/>
    <x v="121"/>
    <x v="0"/>
    <x v="613"/>
    <n v="4685"/>
    <n v="12.5"/>
    <m/>
    <n v="0"/>
    <m/>
    <n v="0"/>
  </r>
  <r>
    <s v="BOM/HAH"/>
    <x v="614"/>
    <x v="4"/>
    <x v="3"/>
    <x v="124"/>
    <x v="0"/>
    <x v="614"/>
    <n v="4704"/>
    <n v="12.5"/>
    <m/>
    <n v="0"/>
    <m/>
    <n v="0"/>
  </r>
  <r>
    <s v="BOM/DNK"/>
    <x v="615"/>
    <x v="4"/>
    <x v="2"/>
    <x v="118"/>
    <x v="2"/>
    <x v="615"/>
    <n v="4693"/>
    <n v="12.5"/>
    <m/>
    <n v="0"/>
    <m/>
    <n v="0"/>
  </r>
  <r>
    <s v="BOM/NJC"/>
    <x v="616"/>
    <x v="4"/>
    <x v="3"/>
    <x v="18"/>
    <x v="2"/>
    <x v="616"/>
    <n v="4664"/>
    <n v="12.5"/>
    <m/>
    <n v="0"/>
    <m/>
    <n v="0"/>
  </r>
  <r>
    <s v="BOM/SGC"/>
    <x v="617"/>
    <x v="4"/>
    <x v="3"/>
    <x v="18"/>
    <x v="2"/>
    <x v="617"/>
    <n v="4700"/>
    <n v="12.5"/>
    <m/>
    <n v="0"/>
    <m/>
    <n v="0"/>
  </r>
  <r>
    <s v="BOM/UUD"/>
    <x v="618"/>
    <x v="4"/>
    <x v="3"/>
    <x v="18"/>
    <x v="2"/>
    <x v="618"/>
    <n v="4718"/>
    <n v="12.5"/>
    <m/>
    <n v="0"/>
    <m/>
    <n v="0"/>
  </r>
  <r>
    <s v="BOM/JRO"/>
    <x v="619"/>
    <x v="4"/>
    <x v="3"/>
    <x v="121"/>
    <x v="0"/>
    <x v="619"/>
    <n v="4648"/>
    <n v="12.5"/>
    <m/>
    <n v="0"/>
    <m/>
    <n v="0"/>
  </r>
  <r>
    <s v="BOM/YEI"/>
    <x v="620"/>
    <x v="4"/>
    <x v="0"/>
    <x v="10"/>
    <x v="1"/>
    <x v="620"/>
    <n v="4737"/>
    <n v="12.5"/>
    <m/>
    <n v="0"/>
    <m/>
    <n v="0"/>
  </r>
  <r>
    <s v="BOM/NBO"/>
    <x v="621"/>
    <x v="4"/>
    <x v="2"/>
    <x v="125"/>
    <x v="0"/>
    <x v="621"/>
    <n v="4534"/>
    <n v="12.25"/>
    <m/>
    <n v="0"/>
    <m/>
    <n v="0"/>
  </r>
  <r>
    <s v="BOM/IKT"/>
    <x v="622"/>
    <x v="4"/>
    <x v="3"/>
    <x v="18"/>
    <x v="2"/>
    <x v="622"/>
    <n v="4590"/>
    <n v="12.25"/>
    <m/>
    <n v="0"/>
    <m/>
    <n v="0"/>
  </r>
  <r>
    <s v="BOM/KZN"/>
    <x v="623"/>
    <x v="4"/>
    <x v="3"/>
    <x v="18"/>
    <x v="2"/>
    <x v="623"/>
    <n v="4517"/>
    <n v="12.25"/>
    <m/>
    <n v="0"/>
    <m/>
    <n v="0"/>
  </r>
  <r>
    <s v="BOM/PEE"/>
    <x v="624"/>
    <x v="4"/>
    <x v="3"/>
    <x v="18"/>
    <x v="2"/>
    <x v="624"/>
    <n v="4533"/>
    <n v="12.25"/>
    <m/>
    <n v="0"/>
    <m/>
    <n v="0"/>
  </r>
  <r>
    <s v="BOM/SIP"/>
    <x v="625"/>
    <x v="4"/>
    <x v="3"/>
    <x v="118"/>
    <x v="2"/>
    <x v="625"/>
    <n v="4595"/>
    <n v="12.25"/>
    <m/>
    <n v="0"/>
    <m/>
    <n v="0"/>
  </r>
  <r>
    <s v="BOM/EDL"/>
    <x v="626"/>
    <x v="4"/>
    <x v="0"/>
    <x v="125"/>
    <x v="0"/>
    <x v="626"/>
    <n v="4598"/>
    <n v="12.25"/>
    <m/>
    <n v="0"/>
    <m/>
    <n v="0"/>
  </r>
  <r>
    <s v="BOM/ISE"/>
    <x v="627"/>
    <x v="4"/>
    <x v="0"/>
    <x v="10"/>
    <x v="1"/>
    <x v="627"/>
    <n v="4598"/>
    <n v="12.25"/>
    <m/>
    <n v="0"/>
    <m/>
    <n v="0"/>
  </r>
  <r>
    <s v="BOM/EBD"/>
    <x v="628"/>
    <x v="4"/>
    <x v="0"/>
    <x v="117"/>
    <x v="0"/>
    <x v="628"/>
    <n v="4592"/>
    <n v="12.25"/>
    <m/>
    <n v="0"/>
    <m/>
    <n v="0"/>
  </r>
  <r>
    <s v="BOM/HBE"/>
    <x v="629"/>
    <x v="4"/>
    <x v="3"/>
    <x v="1"/>
    <x v="0"/>
    <x v="629"/>
    <n v="4515"/>
    <n v="12"/>
    <m/>
    <n v="0"/>
    <m/>
    <n v="0"/>
  </r>
  <r>
    <s v="BOM/MBA"/>
    <x v="630"/>
    <x v="4"/>
    <x v="3"/>
    <x v="125"/>
    <x v="0"/>
    <x v="630"/>
    <n v="4458"/>
    <n v="12"/>
    <m/>
    <n v="0"/>
    <m/>
    <n v="0"/>
  </r>
  <r>
    <s v="BOM/KJA"/>
    <x v="631"/>
    <x v="4"/>
    <x v="3"/>
    <x v="18"/>
    <x v="2"/>
    <x v="631"/>
    <n v="4437"/>
    <n v="12"/>
    <m/>
    <n v="0"/>
    <m/>
    <n v="0"/>
  </r>
  <r>
    <s v="BOM/ULY"/>
    <x v="632"/>
    <x v="4"/>
    <x v="3"/>
    <x v="18"/>
    <x v="2"/>
    <x v="632"/>
    <n v="4427"/>
    <n v="12"/>
    <m/>
    <n v="0"/>
    <m/>
    <n v="0"/>
  </r>
  <r>
    <s v="BOM/SVX"/>
    <x v="633"/>
    <x v="4"/>
    <x v="2"/>
    <x v="18"/>
    <x v="2"/>
    <x v="633"/>
    <n v="4305"/>
    <n v="11.75"/>
    <m/>
    <n v="0"/>
    <m/>
    <n v="0"/>
  </r>
  <r>
    <s v="BOM/ATZ"/>
    <x v="634"/>
    <x v="4"/>
    <x v="3"/>
    <x v="1"/>
    <x v="0"/>
    <x v="634"/>
    <n v="4353"/>
    <n v="11.75"/>
    <m/>
    <n v="0"/>
    <m/>
    <n v="0"/>
  </r>
  <r>
    <s v="BOM/KUF"/>
    <x v="635"/>
    <x v="4"/>
    <x v="3"/>
    <x v="18"/>
    <x v="2"/>
    <x v="635"/>
    <n v="4294"/>
    <n v="11.75"/>
    <m/>
    <n v="0"/>
    <m/>
    <n v="0"/>
  </r>
  <r>
    <s v="BOM/LCA"/>
    <x v="636"/>
    <x v="4"/>
    <x v="2"/>
    <x v="126"/>
    <x v="2"/>
    <x v="636"/>
    <n v="4232"/>
    <n v="11.5"/>
    <m/>
    <n v="0"/>
    <m/>
    <n v="0"/>
  </r>
  <r>
    <s v="BOM/KRR"/>
    <x v="637"/>
    <x v="4"/>
    <x v="2"/>
    <x v="18"/>
    <x v="2"/>
    <x v="637"/>
    <n v="4237"/>
    <n v="11.5"/>
    <m/>
    <n v="0"/>
    <m/>
    <n v="0"/>
  </r>
  <r>
    <s v="BOM/TJM"/>
    <x v="638"/>
    <x v="4"/>
    <x v="3"/>
    <x v="18"/>
    <x v="2"/>
    <x v="638"/>
    <n v="4281"/>
    <n v="11.5"/>
    <m/>
    <n v="0"/>
    <m/>
    <n v="0"/>
  </r>
  <r>
    <s v="BOM/UFA"/>
    <x v="639"/>
    <x v="4"/>
    <x v="3"/>
    <x v="18"/>
    <x v="2"/>
    <x v="639"/>
    <n v="4200"/>
    <n v="11.5"/>
    <m/>
    <n v="0"/>
    <m/>
    <n v="0"/>
  </r>
  <r>
    <s v="BOM/KRT"/>
    <x v="640"/>
    <x v="4"/>
    <x v="3"/>
    <x v="117"/>
    <x v="0"/>
    <x v="640"/>
    <n v="4288"/>
    <n v="11.5"/>
    <m/>
    <n v="0"/>
    <m/>
    <n v="0"/>
  </r>
  <r>
    <s v="BOM/NAV"/>
    <x v="641"/>
    <x v="4"/>
    <x v="3"/>
    <x v="10"/>
    <x v="1"/>
    <x v="641"/>
    <n v="4281"/>
    <n v="11.5"/>
    <m/>
    <n v="0"/>
    <m/>
    <n v="0"/>
  </r>
  <r>
    <s v="BOM/MZH"/>
    <x v="642"/>
    <x v="4"/>
    <x v="0"/>
    <x v="10"/>
    <x v="1"/>
    <x v="642"/>
    <n v="4285"/>
    <n v="11.5"/>
    <m/>
    <n v="0"/>
    <m/>
    <n v="0"/>
  </r>
  <r>
    <s v="BOM/AER"/>
    <x v="643"/>
    <x v="4"/>
    <x v="2"/>
    <x v="18"/>
    <x v="2"/>
    <x v="643"/>
    <n v="4091"/>
    <n v="11.25"/>
    <m/>
    <n v="0"/>
    <m/>
    <n v="0"/>
  </r>
  <r>
    <s v="BOM/CEK"/>
    <x v="644"/>
    <x v="4"/>
    <x v="2"/>
    <x v="18"/>
    <x v="2"/>
    <x v="644"/>
    <n v="4140"/>
    <n v="11.25"/>
    <m/>
    <n v="0"/>
    <m/>
    <n v="0"/>
  </r>
  <r>
    <s v="BOM/OVB"/>
    <x v="645"/>
    <x v="4"/>
    <x v="2"/>
    <x v="18"/>
    <x v="2"/>
    <x v="645"/>
    <n v="4080"/>
    <n v="11.25"/>
    <m/>
    <n v="0"/>
    <m/>
    <n v="0"/>
  </r>
  <r>
    <s v="BOM/KEJ"/>
    <x v="646"/>
    <x v="4"/>
    <x v="3"/>
    <x v="18"/>
    <x v="2"/>
    <x v="646"/>
    <n v="4176"/>
    <n v="11.25"/>
    <m/>
    <n v="0"/>
    <m/>
    <n v="0"/>
  </r>
  <r>
    <s v="BOM/VAS"/>
    <x v="647"/>
    <x v="4"/>
    <x v="3"/>
    <x v="10"/>
    <x v="1"/>
    <x v="647"/>
    <n v="4133"/>
    <n v="11.25"/>
    <m/>
    <n v="0"/>
    <m/>
    <n v="0"/>
  </r>
  <r>
    <s v="BOM/AAC"/>
    <x v="648"/>
    <x v="4"/>
    <x v="0"/>
    <x v="1"/>
    <x v="0"/>
    <x v="648"/>
    <n v="4127"/>
    <n v="11.25"/>
    <m/>
    <n v="0"/>
    <m/>
    <n v="0"/>
  </r>
  <r>
    <s v="BOM/ABA"/>
    <x v="649"/>
    <x v="4"/>
    <x v="0"/>
    <x v="18"/>
    <x v="2"/>
    <x v="649"/>
    <n v="4167"/>
    <n v="11.25"/>
    <m/>
    <n v="0"/>
    <m/>
    <n v="0"/>
  </r>
  <r>
    <s v="BOM/TLV"/>
    <x v="650"/>
    <x v="4"/>
    <x v="1"/>
    <x v="127"/>
    <x v="1"/>
    <x v="650"/>
    <n v="4047"/>
    <n v="11"/>
    <m/>
    <n v="0"/>
    <m/>
    <n v="0"/>
  </r>
  <r>
    <s v="BOM/BEY"/>
    <x v="651"/>
    <x v="4"/>
    <x v="2"/>
    <x v="128"/>
    <x v="1"/>
    <x v="651"/>
    <n v="4037"/>
    <n v="11"/>
    <m/>
    <n v="0"/>
    <m/>
    <n v="0"/>
  </r>
  <r>
    <s v="BOM/OMS"/>
    <x v="652"/>
    <x v="4"/>
    <x v="2"/>
    <x v="18"/>
    <x v="2"/>
    <x v="652"/>
    <n v="3990"/>
    <n v="11"/>
    <m/>
    <n v="0"/>
    <m/>
    <n v="0"/>
  </r>
  <r>
    <s v="BOM/TCP"/>
    <x v="653"/>
    <x v="4"/>
    <x v="3"/>
    <x v="1"/>
    <x v="0"/>
    <x v="653"/>
    <n v="4012"/>
    <n v="11"/>
    <m/>
    <n v="0"/>
    <m/>
    <n v="0"/>
  </r>
  <r>
    <s v="BOM/VDA"/>
    <x v="654"/>
    <x v="4"/>
    <x v="3"/>
    <x v="127"/>
    <x v="1"/>
    <x v="654"/>
    <n v="4003"/>
    <n v="11"/>
    <m/>
    <n v="0"/>
    <m/>
    <n v="0"/>
  </r>
  <r>
    <s v="BOM/HTY"/>
    <x v="655"/>
    <x v="4"/>
    <x v="3"/>
    <x v="10"/>
    <x v="1"/>
    <x v="655"/>
    <n v="4047"/>
    <n v="11"/>
    <m/>
    <n v="0"/>
    <m/>
    <n v="0"/>
  </r>
  <r>
    <s v="BOM/MLX"/>
    <x v="656"/>
    <x v="4"/>
    <x v="3"/>
    <x v="10"/>
    <x v="1"/>
    <x v="656"/>
    <n v="3979"/>
    <n v="11"/>
    <m/>
    <n v="0"/>
    <m/>
    <n v="0"/>
  </r>
  <r>
    <s v="BOM/ETM"/>
    <x v="657"/>
    <x v="4"/>
    <x v="5"/>
    <x v="127"/>
    <x v="1"/>
    <x v="657"/>
    <n v="3992"/>
    <n v="11"/>
    <m/>
    <n v="0"/>
    <m/>
    <n v="0"/>
  </r>
  <r>
    <s v="BOM/JHB"/>
    <x v="658"/>
    <x v="4"/>
    <x v="2"/>
    <x v="24"/>
    <x v="1"/>
    <x v="658"/>
    <n v="3875"/>
    <n v="10.75"/>
    <m/>
    <n v="0"/>
    <m/>
    <n v="0"/>
  </r>
  <r>
    <s v="BOM/BAX"/>
    <x v="659"/>
    <x v="4"/>
    <x v="2"/>
    <x v="18"/>
    <x v="2"/>
    <x v="659"/>
    <n v="3921"/>
    <n v="10.75"/>
    <m/>
    <n v="0"/>
    <m/>
    <n v="0"/>
  </r>
  <r>
    <s v="BOM/MRV"/>
    <x v="660"/>
    <x v="4"/>
    <x v="3"/>
    <x v="18"/>
    <x v="2"/>
    <x v="660"/>
    <n v="3929"/>
    <n v="10.75"/>
    <m/>
    <n v="0"/>
    <m/>
    <n v="0"/>
  </r>
  <r>
    <s v="BOM/ERC"/>
    <x v="661"/>
    <x v="4"/>
    <x v="3"/>
    <x v="10"/>
    <x v="1"/>
    <x v="661"/>
    <n v="3924"/>
    <n v="10.75"/>
    <m/>
    <n v="0"/>
    <m/>
    <n v="0"/>
  </r>
  <r>
    <s v="BOM/AKX"/>
    <x v="662"/>
    <x v="4"/>
    <x v="3"/>
    <x v="129"/>
    <x v="2"/>
    <x v="662"/>
    <n v="3732"/>
    <n v="10.5"/>
    <m/>
    <n v="0"/>
    <m/>
    <n v="0"/>
  </r>
  <r>
    <s v="BOM/URY"/>
    <x v="663"/>
    <x v="4"/>
    <x v="3"/>
    <x v="9"/>
    <x v="1"/>
    <x v="663"/>
    <n v="3812"/>
    <n v="10.5"/>
    <m/>
    <n v="0"/>
    <m/>
    <n v="0"/>
  </r>
  <r>
    <s v="BOM/OGZ"/>
    <x v="664"/>
    <x v="4"/>
    <x v="3"/>
    <x v="18"/>
    <x v="2"/>
    <x v="664"/>
    <n v="3763"/>
    <n v="10.5"/>
    <m/>
    <n v="0"/>
    <m/>
    <n v="0"/>
  </r>
  <r>
    <s v="BOM/ERZ"/>
    <x v="665"/>
    <x v="4"/>
    <x v="3"/>
    <x v="10"/>
    <x v="1"/>
    <x v="665"/>
    <n v="3812"/>
    <n v="10.5"/>
    <m/>
    <n v="0"/>
    <m/>
    <n v="0"/>
  </r>
  <r>
    <s v="BOM/EJH"/>
    <x v="666"/>
    <x v="4"/>
    <x v="0"/>
    <x v="9"/>
    <x v="1"/>
    <x v="666"/>
    <n v="3805"/>
    <n v="10.5"/>
    <m/>
    <n v="0"/>
    <m/>
    <n v="0"/>
  </r>
  <r>
    <s v="BOM/ASM"/>
    <x v="667"/>
    <x v="4"/>
    <x v="3"/>
    <x v="130"/>
    <x v="0"/>
    <x v="667"/>
    <n v="3627"/>
    <m/>
    <m/>
    <n v="0"/>
    <m/>
    <n v="0"/>
  </r>
  <r>
    <s v="BOM/TBS"/>
    <x v="668"/>
    <x v="4"/>
    <x v="3"/>
    <x v="131"/>
    <x v="2"/>
    <x v="668"/>
    <n v="3640"/>
    <n v="10.25"/>
    <m/>
    <n v="0"/>
    <m/>
    <n v="0"/>
  </r>
  <r>
    <s v="BOM/KUA"/>
    <x v="669"/>
    <x v="4"/>
    <x v="3"/>
    <x v="24"/>
    <x v="1"/>
    <x v="669"/>
    <n v="3709"/>
    <n v="10.25"/>
    <m/>
    <n v="0"/>
    <m/>
    <n v="0"/>
  </r>
  <r>
    <s v="BOM/TGG"/>
    <x v="670"/>
    <x v="4"/>
    <x v="3"/>
    <x v="24"/>
    <x v="1"/>
    <x v="670"/>
    <n v="3613"/>
    <n v="10.25"/>
    <m/>
    <n v="0"/>
    <m/>
    <n v="0"/>
  </r>
  <r>
    <s v="BOM/YNB"/>
    <x v="671"/>
    <x v="4"/>
    <x v="3"/>
    <x v="9"/>
    <x v="1"/>
    <x v="671"/>
    <n v="3633"/>
    <n v="10.25"/>
    <m/>
    <n v="0"/>
    <m/>
    <n v="0"/>
  </r>
  <r>
    <s v="BOM/BAL"/>
    <x v="672"/>
    <x v="4"/>
    <x v="3"/>
    <x v="10"/>
    <x v="1"/>
    <x v="672"/>
    <n v="3714"/>
    <n v="10.25"/>
    <m/>
    <n v="0"/>
    <m/>
    <n v="0"/>
  </r>
  <r>
    <s v="BOM/KSY"/>
    <x v="673"/>
    <x v="4"/>
    <x v="3"/>
    <x v="10"/>
    <x v="1"/>
    <x v="673"/>
    <n v="3702"/>
    <n v="10.25"/>
    <m/>
    <n v="0"/>
    <m/>
    <n v="0"/>
  </r>
  <r>
    <s v="BOM/MSR"/>
    <x v="674"/>
    <x v="4"/>
    <x v="3"/>
    <x v="10"/>
    <x v="1"/>
    <x v="674"/>
    <n v="3712"/>
    <n v="10.25"/>
    <m/>
    <n v="0"/>
    <m/>
    <n v="0"/>
  </r>
  <r>
    <s v="BOM/LWN"/>
    <x v="675"/>
    <x v="4"/>
    <x v="0"/>
    <x v="132"/>
    <x v="1"/>
    <x v="675"/>
    <n v="3659"/>
    <n v="10.25"/>
    <m/>
    <n v="0"/>
    <m/>
    <n v="0"/>
  </r>
  <r>
    <s v="BOM/HVD"/>
    <x v="676"/>
    <x v="4"/>
    <x v="0"/>
    <x v="26"/>
    <x v="1"/>
    <x v="676"/>
    <n v="3630"/>
    <n v="10.25"/>
    <m/>
    <n v="0"/>
    <m/>
    <n v="0"/>
  </r>
  <r>
    <s v="BOM/GUW"/>
    <x v="677"/>
    <x v="4"/>
    <x v="0"/>
    <x v="129"/>
    <x v="2"/>
    <x v="677"/>
    <n v="3657"/>
    <n v="10.25"/>
    <m/>
    <n v="0"/>
    <m/>
    <n v="0"/>
  </r>
  <r>
    <s v="BOM/TUI"/>
    <x v="678"/>
    <x v="4"/>
    <x v="0"/>
    <x v="9"/>
    <x v="1"/>
    <x v="678"/>
    <n v="3685"/>
    <n v="10.25"/>
    <m/>
    <n v="0"/>
    <m/>
    <n v="0"/>
  </r>
  <r>
    <s v="BOM/EVN"/>
    <x v="679"/>
    <x v="4"/>
    <x v="2"/>
    <x v="132"/>
    <x v="1"/>
    <x v="679"/>
    <n v="3585"/>
    <n v="10"/>
    <m/>
    <n v="0"/>
    <m/>
    <n v="0"/>
  </r>
  <r>
    <s v="BOM/PNH"/>
    <x v="680"/>
    <x v="4"/>
    <x v="2"/>
    <x v="133"/>
    <x v="1"/>
    <x v="680"/>
    <n v="3525"/>
    <n v="10"/>
    <m/>
    <n v="0"/>
    <m/>
    <n v="0"/>
  </r>
  <r>
    <s v="BOM/SZB"/>
    <x v="681"/>
    <x v="4"/>
    <x v="3"/>
    <x v="24"/>
    <x v="1"/>
    <x v="681"/>
    <n v="3587"/>
    <n v="10"/>
    <m/>
    <n v="0"/>
    <m/>
    <n v="0"/>
  </r>
  <r>
    <s v="BOM/TSE"/>
    <x v="682"/>
    <x v="4"/>
    <x v="3"/>
    <x v="129"/>
    <x v="2"/>
    <x v="682"/>
    <n v="3553"/>
    <n v="10"/>
    <m/>
    <n v="0"/>
    <m/>
    <n v="0"/>
  </r>
  <r>
    <s v="BOM/PLX"/>
    <x v="683"/>
    <x v="4"/>
    <x v="0"/>
    <x v="129"/>
    <x v="2"/>
    <x v="683"/>
    <n v="3537"/>
    <n v="10"/>
    <m/>
    <n v="0"/>
    <m/>
    <n v="0"/>
  </r>
  <r>
    <s v="BOM/KGF"/>
    <x v="684"/>
    <x v="4"/>
    <x v="3"/>
    <x v="129"/>
    <x v="2"/>
    <x v="684"/>
    <n v="3401"/>
    <n v="9.75"/>
    <m/>
    <n v="0"/>
    <m/>
    <n v="0"/>
  </r>
  <r>
    <s v="BOM/RAE"/>
    <x v="685"/>
    <x v="4"/>
    <x v="3"/>
    <x v="9"/>
    <x v="1"/>
    <x v="685"/>
    <n v="3442"/>
    <n v="9.75"/>
    <m/>
    <n v="0"/>
    <m/>
    <n v="0"/>
  </r>
  <r>
    <s v="BOM/NAJ"/>
    <x v="686"/>
    <x v="4"/>
    <x v="0"/>
    <x v="134"/>
    <x v="2"/>
    <x v="686"/>
    <n v="3451"/>
    <n v="9.75"/>
    <m/>
    <n v="0"/>
    <m/>
    <n v="0"/>
  </r>
  <r>
    <s v="BOM/PEN"/>
    <x v="687"/>
    <x v="4"/>
    <x v="2"/>
    <x v="24"/>
    <x v="1"/>
    <x v="687"/>
    <n v="3342"/>
    <n v="9.5"/>
    <m/>
    <n v="0"/>
    <m/>
    <n v="0"/>
  </r>
  <r>
    <s v="BOM/JIB"/>
    <x v="688"/>
    <x v="4"/>
    <x v="3"/>
    <x v="135"/>
    <x v="0"/>
    <x v="688"/>
    <n v="3290"/>
    <n v="9.5"/>
    <m/>
    <n v="0"/>
    <m/>
    <n v="0"/>
  </r>
  <r>
    <s v="BOM/HAS"/>
    <x v="689"/>
    <x v="4"/>
    <x v="3"/>
    <x v="9"/>
    <x v="1"/>
    <x v="689"/>
    <n v="3308"/>
    <n v="9.5"/>
    <m/>
    <n v="0"/>
    <m/>
    <n v="0"/>
  </r>
  <r>
    <s v="BOM/TIF"/>
    <x v="690"/>
    <x v="4"/>
    <x v="3"/>
    <x v="9"/>
    <x v="1"/>
    <x v="690"/>
    <n v="3376"/>
    <n v="9.5"/>
    <m/>
    <n v="0"/>
    <m/>
    <n v="0"/>
  </r>
  <r>
    <s v="BOM/GYD"/>
    <x v="691"/>
    <x v="4"/>
    <x v="2"/>
    <x v="134"/>
    <x v="2"/>
    <x v="691"/>
    <n v="3221"/>
    <n v="9.25"/>
    <m/>
    <n v="0"/>
    <m/>
    <n v="0"/>
  </r>
  <r>
    <s v="BOM/LGK"/>
    <x v="692"/>
    <x v="4"/>
    <x v="3"/>
    <x v="24"/>
    <x v="1"/>
    <x v="692"/>
    <n v="3234"/>
    <n v="9.25"/>
    <m/>
    <n v="0"/>
    <m/>
    <n v="0"/>
  </r>
  <r>
    <s v="BOM/ABT"/>
    <x v="693"/>
    <x v="4"/>
    <x v="3"/>
    <x v="9"/>
    <x v="1"/>
    <x v="693"/>
    <n v="3268"/>
    <n v="9.25"/>
    <m/>
    <n v="0"/>
    <m/>
    <n v="0"/>
  </r>
  <r>
    <s v="BOM/BHH"/>
    <x v="694"/>
    <x v="4"/>
    <x v="3"/>
    <x v="9"/>
    <x v="1"/>
    <x v="694"/>
    <n v="3167"/>
    <n v="9.25"/>
    <m/>
    <n v="0"/>
    <m/>
    <n v="0"/>
  </r>
  <r>
    <s v="BOM/SEZ"/>
    <x v="695"/>
    <x v="4"/>
    <x v="3"/>
    <x v="136"/>
    <x v="0"/>
    <x v="695"/>
    <n v="3254"/>
    <n v="9.25"/>
    <m/>
    <n v="0"/>
    <m/>
    <n v="0"/>
  </r>
  <r>
    <s v="BOM/BGW"/>
    <x v="696"/>
    <x v="4"/>
    <x v="3"/>
    <x v="46"/>
    <x v="6"/>
    <x v="696"/>
    <n v="3247"/>
    <n v="9.25"/>
    <m/>
    <n v="0"/>
    <m/>
    <n v="0"/>
  </r>
  <r>
    <s v="BOM/RAH"/>
    <x v="697"/>
    <x v="4"/>
    <x v="0"/>
    <x v="9"/>
    <x v="1"/>
    <x v="697"/>
    <n v="3187"/>
    <n v="9.25"/>
    <m/>
    <n v="0"/>
    <m/>
    <n v="0"/>
  </r>
  <r>
    <s v="BOM/HOD"/>
    <x v="698"/>
    <x v="4"/>
    <x v="0"/>
    <x v="137"/>
    <x v="1"/>
    <x v="698"/>
    <n v="3213"/>
    <n v="9.25"/>
    <m/>
    <n v="0"/>
    <m/>
    <n v="0"/>
  </r>
  <r>
    <s v="BOM/SAH"/>
    <x v="699"/>
    <x v="4"/>
    <x v="2"/>
    <x v="137"/>
    <x v="1"/>
    <x v="699"/>
    <n v="3065"/>
    <n v="9"/>
    <m/>
    <n v="0"/>
    <m/>
    <n v="0"/>
  </r>
  <r>
    <s v="BOM/VTE"/>
    <x v="700"/>
    <x v="4"/>
    <x v="3"/>
    <x v="138"/>
    <x v="1"/>
    <x v="700"/>
    <n v="3130"/>
    <n v="9"/>
    <m/>
    <n v="0"/>
    <m/>
    <n v="0"/>
  </r>
  <r>
    <s v="BOM/BBO"/>
    <x v="701"/>
    <x v="4"/>
    <x v="3"/>
    <x v="0"/>
    <x v="0"/>
    <x v="701"/>
    <n v="3150"/>
    <n v="9"/>
    <m/>
    <n v="0"/>
    <m/>
    <n v="0"/>
  </r>
  <r>
    <s v="BOM/ELQ"/>
    <x v="702"/>
    <x v="4"/>
    <x v="3"/>
    <x v="9"/>
    <x v="1"/>
    <x v="702"/>
    <n v="3083"/>
    <n v="9"/>
    <m/>
    <n v="0"/>
    <m/>
    <n v="0"/>
  </r>
  <r>
    <s v="BOM/ADE"/>
    <x v="703"/>
    <x v="4"/>
    <x v="3"/>
    <x v="137"/>
    <x v="1"/>
    <x v="703"/>
    <n v="3053"/>
    <n v="9"/>
    <m/>
    <n v="0"/>
    <m/>
    <n v="0"/>
  </r>
  <r>
    <s v="BOM/GLK"/>
    <x v="704"/>
    <x v="4"/>
    <x v="0"/>
    <x v="0"/>
    <x v="0"/>
    <x v="704"/>
    <n v="3069"/>
    <n v="9"/>
    <m/>
    <n v="0"/>
    <m/>
    <n v="0"/>
  </r>
  <r>
    <s v="BOM/TAI"/>
    <x v="705"/>
    <x v="4"/>
    <x v="0"/>
    <x v="137"/>
    <x v="1"/>
    <x v="705"/>
    <n v="3119"/>
    <n v="9"/>
    <m/>
    <n v="0"/>
    <m/>
    <n v="0"/>
  </r>
  <r>
    <s v="BOM/EAM"/>
    <x v="706"/>
    <x v="4"/>
    <x v="3"/>
    <x v="9"/>
    <x v="1"/>
    <x v="706"/>
    <n v="3004"/>
    <n v="8.75"/>
    <m/>
    <n v="0"/>
    <m/>
    <n v="0"/>
  </r>
  <r>
    <s v="BOM/DWD"/>
    <x v="707"/>
    <x v="4"/>
    <x v="0"/>
    <x v="9"/>
    <x v="1"/>
    <x v="707"/>
    <n v="3022"/>
    <n v="8.75"/>
    <m/>
    <n v="0"/>
    <m/>
    <n v="0"/>
  </r>
  <r>
    <s v="BOM/HBT"/>
    <x v="708"/>
    <x v="4"/>
    <x v="0"/>
    <x v="9"/>
    <x v="1"/>
    <x v="708"/>
    <n v="2947"/>
    <n v="8.75"/>
    <m/>
    <n v="0"/>
    <m/>
    <n v="0"/>
  </r>
  <r>
    <s v="BOM/AQI"/>
    <x v="709"/>
    <x v="4"/>
    <x v="3"/>
    <x v="9"/>
    <x v="1"/>
    <x v="709"/>
    <n v="2902"/>
    <n v="8.5"/>
    <m/>
    <n v="0"/>
    <m/>
    <n v="0"/>
  </r>
  <r>
    <s v="BOM/WAE"/>
    <x v="710"/>
    <x v="4"/>
    <x v="3"/>
    <x v="9"/>
    <x v="1"/>
    <x v="710"/>
    <n v="2896"/>
    <n v="8.5"/>
    <m/>
    <n v="0"/>
    <m/>
    <n v="0"/>
  </r>
  <r>
    <s v="BOM/BSR"/>
    <x v="711"/>
    <x v="4"/>
    <x v="3"/>
    <x v="46"/>
    <x v="6"/>
    <x v="711"/>
    <n v="2836"/>
    <n v="8.5"/>
    <m/>
    <n v="0"/>
    <m/>
    <n v="0"/>
  </r>
  <r>
    <s v="BOM/KWI"/>
    <x v="712"/>
    <x v="4"/>
    <x v="1"/>
    <x v="139"/>
    <x v="1"/>
    <x v="712"/>
    <n v="2759"/>
    <n v="8.25"/>
    <m/>
    <n v="0"/>
    <m/>
    <n v="0"/>
  </r>
  <r>
    <s v="BOM/ALA"/>
    <x v="713"/>
    <x v="4"/>
    <x v="2"/>
    <x v="129"/>
    <x v="2"/>
    <x v="713"/>
    <n v="2726"/>
    <n v="8.25"/>
    <m/>
    <n v="0"/>
    <m/>
    <n v="0"/>
  </r>
  <r>
    <s v="BOM/SHW"/>
    <x v="714"/>
    <x v="4"/>
    <x v="3"/>
    <x v="9"/>
    <x v="1"/>
    <x v="714"/>
    <n v="2722"/>
    <n v="8.25"/>
    <m/>
    <n v="0"/>
    <m/>
    <n v="0"/>
  </r>
  <r>
    <s v="BOM/FRU"/>
    <x v="715"/>
    <x v="4"/>
    <x v="3"/>
    <x v="140"/>
    <x v="1"/>
    <x v="715"/>
    <n v="2670"/>
    <n v="8"/>
    <m/>
    <n v="0"/>
    <m/>
    <n v="0"/>
  </r>
  <r>
    <s v="BOM/TAS"/>
    <x v="716"/>
    <x v="4"/>
    <x v="2"/>
    <x v="141"/>
    <x v="1"/>
    <x v="716"/>
    <n v="2489"/>
    <n v="7.75"/>
    <m/>
    <n v="0"/>
    <m/>
    <n v="0"/>
  </r>
  <r>
    <s v="BOM/ASB"/>
    <x v="717"/>
    <x v="4"/>
    <x v="3"/>
    <x v="142"/>
    <x v="1"/>
    <x v="717"/>
    <n v="2527"/>
    <n v="7.75"/>
    <m/>
    <n v="0"/>
    <m/>
    <n v="0"/>
  </r>
  <r>
    <s v="BOM/RIY"/>
    <x v="718"/>
    <x v="4"/>
    <x v="3"/>
    <x v="137"/>
    <x v="1"/>
    <x v="718"/>
    <n v="2546"/>
    <n v="7.75"/>
    <m/>
    <n v="0"/>
    <m/>
    <n v="0"/>
  </r>
  <r>
    <s v="BOM/HOF"/>
    <x v="719"/>
    <x v="4"/>
    <x v="0"/>
    <x v="9"/>
    <x v="1"/>
    <x v="719"/>
    <n v="2500"/>
    <n v="7.75"/>
    <m/>
    <n v="0"/>
    <m/>
    <n v="0"/>
  </r>
  <r>
    <s v="BOM/GXF"/>
    <x v="720"/>
    <x v="4"/>
    <x v="0"/>
    <x v="137"/>
    <x v="1"/>
    <x v="720"/>
    <n v="2575"/>
    <n v="7.75"/>
    <m/>
    <n v="0"/>
    <m/>
    <n v="0"/>
  </r>
  <r>
    <s v="BOM/BAH"/>
    <x v="721"/>
    <x v="4"/>
    <x v="2"/>
    <x v="143"/>
    <x v="1"/>
    <x v="721"/>
    <n v="2413"/>
    <n v="7.5"/>
    <m/>
    <n v="0"/>
    <m/>
    <n v="0"/>
  </r>
  <r>
    <s v="BOM/MDL"/>
    <x v="722"/>
    <x v="4"/>
    <x v="2"/>
    <x v="144"/>
    <x v="1"/>
    <x v="722"/>
    <n v="2424"/>
    <n v="7.5"/>
    <m/>
    <n v="0"/>
    <m/>
    <n v="0"/>
  </r>
  <r>
    <s v="BOM/RGN"/>
    <x v="723"/>
    <x v="4"/>
    <x v="2"/>
    <x v="144"/>
    <x v="1"/>
    <x v="723"/>
    <n v="2471"/>
    <n v="7.5"/>
    <m/>
    <n v="0"/>
    <m/>
    <n v="0"/>
  </r>
  <r>
    <s v="BOM/BHK"/>
    <x v="724"/>
    <x v="4"/>
    <x v="3"/>
    <x v="141"/>
    <x v="1"/>
    <x v="724"/>
    <n v="2437"/>
    <n v="7.5"/>
    <m/>
    <n v="0"/>
    <m/>
    <n v="0"/>
  </r>
  <r>
    <s v="BOM/AZD"/>
    <x v="725"/>
    <x v="4"/>
    <x v="3"/>
    <x v="16"/>
    <x v="1"/>
    <x v="725"/>
    <n v="2342"/>
    <n v="7.25"/>
    <m/>
    <n v="0"/>
    <m/>
    <n v="0"/>
  </r>
  <r>
    <s v="BOM/SKD"/>
    <x v="726"/>
    <x v="4"/>
    <x v="3"/>
    <x v="141"/>
    <x v="1"/>
    <x v="726"/>
    <n v="2360"/>
    <n v="7.25"/>
    <m/>
    <n v="0"/>
    <m/>
    <n v="0"/>
  </r>
  <r>
    <s v="BOM/DYU"/>
    <x v="727"/>
    <x v="4"/>
    <x v="3"/>
    <x v="145"/>
    <x v="1"/>
    <x v="727"/>
    <n v="2198"/>
    <n v="7"/>
    <m/>
    <n v="0"/>
    <m/>
    <n v="0"/>
  </r>
  <r>
    <s v="BOM/SCT"/>
    <x v="728"/>
    <x v="4"/>
    <x v="0"/>
    <x v="137"/>
    <x v="1"/>
    <x v="728"/>
    <n v="2150"/>
    <n v="7"/>
    <m/>
    <n v="0"/>
    <m/>
    <n v="0"/>
  </r>
  <r>
    <s v="BOM/MZR"/>
    <x v="729"/>
    <x v="4"/>
    <x v="3"/>
    <x v="146"/>
    <x v="1"/>
    <x v="729"/>
    <n v="2035"/>
    <n v="6.75"/>
    <m/>
    <n v="0"/>
    <m/>
    <n v="0"/>
  </r>
  <r>
    <s v="BOM/ZYL"/>
    <x v="730"/>
    <x v="4"/>
    <x v="3"/>
    <x v="147"/>
    <x v="1"/>
    <x v="730"/>
    <n v="2062"/>
    <n v="6.75"/>
    <m/>
    <n v="0"/>
    <m/>
    <n v="0"/>
  </r>
  <r>
    <s v="BOM/DWC"/>
    <x v="731"/>
    <x v="3"/>
    <x v="2"/>
    <x v="41"/>
    <x v="1"/>
    <x v="731"/>
    <n v="1934"/>
    <n v="6.5"/>
    <n v="149880072"/>
    <n v="48457.831231813776"/>
    <n v="3093"/>
    <n v="0"/>
  </r>
  <r>
    <s v="BOM/CGP"/>
    <x v="732"/>
    <x v="4"/>
    <x v="2"/>
    <x v="147"/>
    <x v="1"/>
    <x v="732"/>
    <n v="2001"/>
    <n v="6.5"/>
    <m/>
    <n v="0"/>
    <m/>
    <n v="0"/>
  </r>
  <r>
    <s v="BOM/KER"/>
    <x v="733"/>
    <x v="4"/>
    <x v="3"/>
    <x v="16"/>
    <x v="1"/>
    <x v="733"/>
    <n v="2029"/>
    <n v="6.5"/>
    <m/>
    <n v="0"/>
    <m/>
    <n v="0"/>
  </r>
  <r>
    <s v="BOM/SLL"/>
    <x v="734"/>
    <x v="4"/>
    <x v="3"/>
    <x v="148"/>
    <x v="1"/>
    <x v="734"/>
    <n v="1997"/>
    <n v="6.5"/>
    <m/>
    <n v="0"/>
    <m/>
    <n v="0"/>
  </r>
  <r>
    <s v="BOM/DAC"/>
    <x v="735"/>
    <x v="4"/>
    <x v="2"/>
    <x v="147"/>
    <x v="1"/>
    <x v="735"/>
    <n v="1888"/>
    <n v="6.25"/>
    <m/>
    <n v="0"/>
    <m/>
    <n v="0"/>
  </r>
  <r>
    <s v="BOM/SHJ"/>
    <x v="736"/>
    <x v="4"/>
    <x v="2"/>
    <x v="41"/>
    <x v="1"/>
    <x v="736"/>
    <n v="1914"/>
    <n v="6.25"/>
    <m/>
    <n v="0"/>
    <m/>
    <n v="0"/>
  </r>
  <r>
    <s v="BOM/BND"/>
    <x v="737"/>
    <x v="4"/>
    <x v="3"/>
    <x v="16"/>
    <x v="1"/>
    <x v="737"/>
    <n v="1910"/>
    <n v="6.25"/>
    <m/>
    <n v="0"/>
    <m/>
    <n v="0"/>
  </r>
  <r>
    <s v="BOM/AAN"/>
    <x v="738"/>
    <x v="4"/>
    <x v="3"/>
    <x v="41"/>
    <x v="1"/>
    <x v="738"/>
    <n v="1872"/>
    <n v="6.25"/>
    <m/>
    <n v="0"/>
    <m/>
    <n v="0"/>
  </r>
  <r>
    <s v="BOM/RKT"/>
    <x v="739"/>
    <x v="4"/>
    <x v="3"/>
    <x v="41"/>
    <x v="1"/>
    <x v="739"/>
    <n v="1884"/>
    <n v="6.25"/>
    <m/>
    <n v="0"/>
    <m/>
    <n v="0"/>
  </r>
  <r>
    <s v="BOM/FJR"/>
    <x v="740"/>
    <x v="4"/>
    <x v="0"/>
    <x v="41"/>
    <x v="1"/>
    <x v="740"/>
    <n v="1829"/>
    <n v="6.25"/>
    <m/>
    <n v="0"/>
    <m/>
    <n v="0"/>
  </r>
  <r>
    <s v="BOM/KBL"/>
    <x v="741"/>
    <x v="4"/>
    <x v="2"/>
    <x v="146"/>
    <x v="1"/>
    <x v="741"/>
    <n v="1758"/>
    <n v="6"/>
    <m/>
    <n v="0"/>
    <m/>
    <n v="0"/>
  </r>
  <r>
    <s v="BOM/ACZ"/>
    <x v="742"/>
    <x v="4"/>
    <x v="0"/>
    <x v="16"/>
    <x v="1"/>
    <x v="742"/>
    <n v="1754"/>
    <n v="6"/>
    <m/>
    <n v="0"/>
    <m/>
    <n v="0"/>
  </r>
  <r>
    <s v="BOM/MCT"/>
    <x v="743"/>
    <x v="4"/>
    <x v="2"/>
    <x v="148"/>
    <x v="1"/>
    <x v="743"/>
    <n v="1590"/>
    <n v="5.75"/>
    <m/>
    <n v="0"/>
    <m/>
    <n v="0"/>
  </r>
  <r>
    <s v="BOM/CMB"/>
    <x v="744"/>
    <x v="4"/>
    <x v="2"/>
    <x v="149"/>
    <x v="1"/>
    <x v="744"/>
    <n v="1526"/>
    <n v="5.5"/>
    <m/>
    <n v="0"/>
    <m/>
    <n v="0"/>
  </r>
  <r>
    <s v="BOM/KDH"/>
    <x v="745"/>
    <x v="4"/>
    <x v="3"/>
    <x v="146"/>
    <x v="1"/>
    <x v="745"/>
    <n v="1550"/>
    <n v="5.5"/>
    <m/>
    <n v="0"/>
    <m/>
    <n v="0"/>
  </r>
  <r>
    <s v="BOM/KIN"/>
    <x v="746"/>
    <x v="4"/>
    <x v="2"/>
    <x v="83"/>
    <x v="5"/>
    <x v="746"/>
    <n v="14734"/>
    <m/>
    <m/>
    <n v="0"/>
    <m/>
    <n v="0"/>
  </r>
  <r>
    <s v="BOM/FDF"/>
    <x v="747"/>
    <x v="4"/>
    <x v="2"/>
    <x v="150"/>
    <x v="5"/>
    <x v="747"/>
    <n v="13732"/>
    <n v="32.5"/>
    <m/>
    <n v="0"/>
    <m/>
    <n v="0"/>
  </r>
  <r>
    <s v="BOM/MID"/>
    <x v="748"/>
    <x v="4"/>
    <x v="2"/>
    <x v="59"/>
    <x v="5"/>
    <x v="748"/>
    <n v="15179"/>
    <n v="35.75"/>
    <m/>
    <n v="0"/>
    <m/>
    <n v="0"/>
  </r>
  <r>
    <s v="BOM/SJD"/>
    <x v="749"/>
    <x v="4"/>
    <x v="2"/>
    <x v="59"/>
    <x v="5"/>
    <x v="749"/>
    <n v="15314"/>
    <n v="36"/>
    <m/>
    <n v="0"/>
    <m/>
    <n v="0"/>
  </r>
  <r>
    <s v="BOM/DUB"/>
    <x v="750"/>
    <x v="4"/>
    <x v="4"/>
    <x v="69"/>
    <x v="2"/>
    <x v="750"/>
    <n v="7603"/>
    <m/>
    <m/>
    <n v="0"/>
    <m/>
    <n v="0"/>
  </r>
  <r>
    <s v="BOM/DEN"/>
    <x v="751"/>
    <x v="4"/>
    <x v="4"/>
    <x v="46"/>
    <x v="6"/>
    <x v="751"/>
    <n v="13458"/>
    <n v="32"/>
    <m/>
    <n v="0"/>
    <m/>
    <n v="0"/>
  </r>
  <r>
    <s v="BOM/IAH"/>
    <x v="752"/>
    <x v="4"/>
    <x v="4"/>
    <x v="46"/>
    <x v="6"/>
    <x v="752"/>
    <n v="14418"/>
    <n v="34"/>
    <m/>
    <n v="0"/>
    <m/>
    <n v="0"/>
  </r>
  <r>
    <s v="BOM/LAS"/>
    <x v="753"/>
    <x v="4"/>
    <x v="4"/>
    <x v="46"/>
    <x v="6"/>
    <x v="753"/>
    <n v="13826"/>
    <n v="32.75"/>
    <m/>
    <n v="0"/>
    <m/>
    <n v="0"/>
  </r>
  <r>
    <s v="BOM/TIJ"/>
    <x v="754"/>
    <x v="4"/>
    <x v="2"/>
    <x v="59"/>
    <x v="5"/>
    <x v="754"/>
    <n v="14183"/>
    <n v="33.5"/>
    <m/>
    <n v="0"/>
    <m/>
    <n v="0"/>
  </r>
  <r>
    <s v="BOM/ROK"/>
    <x v="755"/>
    <x v="4"/>
    <x v="3"/>
    <x v="37"/>
    <x v="4"/>
    <x v="755"/>
    <n v="9650"/>
    <m/>
    <m/>
    <n v="0"/>
    <m/>
    <n v="0"/>
  </r>
  <r>
    <s v="BOM/ISA"/>
    <x v="756"/>
    <x v="4"/>
    <x v="3"/>
    <x v="37"/>
    <x v="4"/>
    <x v="756"/>
    <n v="8495"/>
    <m/>
    <m/>
    <n v="0"/>
    <m/>
    <n v="0"/>
  </r>
  <r>
    <s v="BOM/AYQ"/>
    <x v="757"/>
    <x v="4"/>
    <x v="3"/>
    <x v="37"/>
    <x v="4"/>
    <x v="757"/>
    <n v="7984"/>
    <m/>
    <m/>
    <n v="0"/>
    <m/>
    <n v="0"/>
  </r>
  <r>
    <s v="BOM/BHQ"/>
    <x v="758"/>
    <x v="4"/>
    <x v="0"/>
    <x v="37"/>
    <x v="4"/>
    <x v="758"/>
    <n v="9249"/>
    <m/>
    <m/>
    <n v="0"/>
    <m/>
    <n v="0"/>
  </r>
  <r>
    <s v="BOM/LOP"/>
    <x v="759"/>
    <x v="4"/>
    <x v="1"/>
    <x v="29"/>
    <x v="1"/>
    <x v="759"/>
    <n v="5677"/>
    <m/>
    <n v="200844647"/>
    <n v="46524.124855223534"/>
    <n v="4317"/>
    <n v="0"/>
  </r>
  <r>
    <s v="BOM/ANU"/>
    <x v="760"/>
    <x v="4"/>
    <x v="3"/>
    <x v="151"/>
    <x v="5"/>
    <x v="760"/>
    <n v="13633"/>
    <m/>
    <m/>
    <n v="0"/>
    <m/>
    <n v="0"/>
  </r>
  <r>
    <s v="BOM/GLA"/>
    <x v="761"/>
    <x v="4"/>
    <x v="1"/>
    <x v="40"/>
    <x v="2"/>
    <x v="761"/>
    <n v="7476"/>
    <m/>
    <m/>
    <n v="0"/>
    <m/>
    <n v="0"/>
  </r>
  <r>
    <s v="BOM/EDI"/>
    <x v="762"/>
    <x v="4"/>
    <x v="1"/>
    <x v="40"/>
    <x v="2"/>
    <x v="762"/>
    <n v="7410"/>
    <m/>
    <m/>
    <n v="0"/>
    <m/>
    <n v="0"/>
  </r>
  <r>
    <s v="BOM/ABQ"/>
    <x v="763"/>
    <x v="4"/>
    <x v="1"/>
    <x v="46"/>
    <x v="6"/>
    <x v="763"/>
    <n v="13999"/>
    <n v="33.25"/>
    <m/>
    <n v="0"/>
    <m/>
    <n v="0"/>
  </r>
  <r>
    <s v="BOM/AUS"/>
    <x v="764"/>
    <x v="4"/>
    <x v="1"/>
    <x v="46"/>
    <x v="6"/>
    <x v="764"/>
    <n v="14446"/>
    <n v="34"/>
    <m/>
    <n v="0"/>
    <m/>
    <n v="0"/>
  </r>
  <r>
    <s v="BOM/BNA"/>
    <x v="765"/>
    <x v="4"/>
    <x v="1"/>
    <x v="46"/>
    <x v="6"/>
    <x v="765"/>
    <n v="13513"/>
    <n v="32"/>
    <m/>
    <n v="0"/>
    <m/>
    <n v="0"/>
  </r>
  <r>
    <s v="BOM/JAX"/>
    <x v="766"/>
    <x v="4"/>
    <x v="1"/>
    <x v="46"/>
    <x v="6"/>
    <x v="766"/>
    <n v="13870"/>
    <n v="32.75"/>
    <m/>
    <n v="0"/>
    <m/>
    <n v="0"/>
  </r>
  <r>
    <s v="BOM/MEM"/>
    <x v="767"/>
    <x v="4"/>
    <x v="1"/>
    <x v="46"/>
    <x v="6"/>
    <x v="767"/>
    <n v="13733"/>
    <n v="32.5"/>
    <m/>
    <n v="0"/>
    <m/>
    <n v="0"/>
  </r>
  <r>
    <s v="BOM/MSY"/>
    <x v="768"/>
    <x v="4"/>
    <x v="1"/>
    <x v="46"/>
    <x v="6"/>
    <x v="768"/>
    <n v="14270"/>
    <n v="33.75"/>
    <m/>
    <n v="0"/>
    <m/>
    <n v="0"/>
  </r>
  <r>
    <s v="BOM/OAK"/>
    <x v="769"/>
    <x v="4"/>
    <x v="1"/>
    <x v="46"/>
    <x v="6"/>
    <x v="769"/>
    <n v="13507"/>
    <n v="32"/>
    <m/>
    <n v="0"/>
    <m/>
    <n v="0"/>
  </r>
  <r>
    <s v="BOM/PBI"/>
    <x v="770"/>
    <x v="4"/>
    <x v="1"/>
    <x v="46"/>
    <x v="6"/>
    <x v="770"/>
    <n v="14153"/>
    <n v="33.5"/>
    <m/>
    <n v="0"/>
    <m/>
    <n v="0"/>
  </r>
  <r>
    <s v="BOM/RSW"/>
    <x v="771"/>
    <x v="4"/>
    <x v="1"/>
    <x v="46"/>
    <x v="6"/>
    <x v="771"/>
    <n v="14254"/>
    <n v="33.75"/>
    <m/>
    <n v="0"/>
    <m/>
    <n v="0"/>
  </r>
  <r>
    <s v="BOM/SAN"/>
    <x v="772"/>
    <x v="4"/>
    <x v="1"/>
    <x v="46"/>
    <x v="6"/>
    <x v="772"/>
    <n v="14158"/>
    <n v="33.5"/>
    <m/>
    <n v="0"/>
    <m/>
    <n v="0"/>
  </r>
  <r>
    <s v="BOM/SJC"/>
    <x v="773"/>
    <x v="4"/>
    <x v="1"/>
    <x v="46"/>
    <x v="6"/>
    <x v="773"/>
    <n v="13553"/>
    <n v="32.25"/>
    <m/>
    <n v="0"/>
    <m/>
    <n v="0"/>
  </r>
  <r>
    <s v="BOM/TPA"/>
    <x v="774"/>
    <x v="4"/>
    <x v="1"/>
    <x v="46"/>
    <x v="6"/>
    <x v="774"/>
    <n v="14154"/>
    <n v="33.5"/>
    <m/>
    <n v="0"/>
    <m/>
    <n v="0"/>
  </r>
  <r>
    <s v="BOM/FPO"/>
    <x v="775"/>
    <x v="4"/>
    <x v="3"/>
    <x v="76"/>
    <x v="5"/>
    <x v="775"/>
    <n v="14088"/>
    <n v="33.25"/>
    <m/>
    <n v="0"/>
    <m/>
    <n v="0"/>
  </r>
  <r>
    <s v="BOM/BHX"/>
    <x v="776"/>
    <x v="4"/>
    <x v="1"/>
    <x v="40"/>
    <x v="2"/>
    <x v="776"/>
    <n v="7303"/>
    <m/>
    <m/>
    <n v="0"/>
    <m/>
    <n v="0"/>
  </r>
  <r>
    <s v="BOM/TIA"/>
    <x v="777"/>
    <x v="4"/>
    <x v="2"/>
    <x v="152"/>
    <x v="2"/>
    <x v="777"/>
    <n v="5572"/>
    <m/>
    <m/>
    <n v="0"/>
    <m/>
    <n v="0"/>
  </r>
  <r>
    <s v="BOM/SZG"/>
    <x v="778"/>
    <x v="4"/>
    <x v="2"/>
    <x v="54"/>
    <x v="2"/>
    <x v="778"/>
    <n v="6214"/>
    <m/>
    <m/>
    <n v="0"/>
    <m/>
    <n v="0"/>
  </r>
  <r>
    <s v="BOM/CRL"/>
    <x v="779"/>
    <x v="4"/>
    <x v="2"/>
    <x v="58"/>
    <x v="2"/>
    <x v="779"/>
    <n v="6866"/>
    <m/>
    <m/>
    <n v="0"/>
    <m/>
    <n v="0"/>
  </r>
  <r>
    <s v="BOM/FOR"/>
    <x v="780"/>
    <x v="4"/>
    <x v="2"/>
    <x v="27"/>
    <x v="3"/>
    <x v="780"/>
    <n v="12395"/>
    <m/>
    <m/>
    <n v="0"/>
    <m/>
    <n v="0"/>
  </r>
  <r>
    <s v="BOM/MCZ"/>
    <x v="781"/>
    <x v="4"/>
    <x v="2"/>
    <x v="27"/>
    <x v="3"/>
    <x v="781"/>
    <n v="12304"/>
    <m/>
    <m/>
    <n v="0"/>
    <m/>
    <n v="0"/>
  </r>
  <r>
    <s v="BOM/NAT"/>
    <x v="782"/>
    <x v="4"/>
    <x v="2"/>
    <x v="27"/>
    <x v="3"/>
    <x v="782"/>
    <n v="12126"/>
    <m/>
    <m/>
    <n v="0"/>
    <m/>
    <n v="0"/>
  </r>
  <r>
    <s v="BOM/MAO"/>
    <x v="783"/>
    <x v="4"/>
    <x v="3"/>
    <x v="27"/>
    <x v="3"/>
    <x v="783"/>
    <n v="14603"/>
    <m/>
    <m/>
    <n v="0"/>
    <m/>
    <n v="0"/>
  </r>
  <r>
    <s v="BOM/CGR"/>
    <x v="784"/>
    <x v="4"/>
    <x v="3"/>
    <x v="27"/>
    <x v="3"/>
    <x v="784"/>
    <n v="14551"/>
    <m/>
    <m/>
    <n v="0"/>
    <m/>
    <n v="0"/>
  </r>
  <r>
    <s v="BOM/BVB"/>
    <x v="785"/>
    <x v="4"/>
    <x v="3"/>
    <x v="27"/>
    <x v="3"/>
    <x v="785"/>
    <n v="14388"/>
    <m/>
    <m/>
    <n v="0"/>
    <m/>
    <n v="0"/>
  </r>
  <r>
    <s v="BOM/SJK"/>
    <x v="786"/>
    <x v="4"/>
    <x v="3"/>
    <x v="27"/>
    <x v="3"/>
    <x v="786"/>
    <n v="13694"/>
    <m/>
    <m/>
    <n v="0"/>
    <m/>
    <n v="0"/>
  </r>
  <r>
    <s v="BOM/PLU"/>
    <x v="787"/>
    <x v="4"/>
    <x v="3"/>
    <x v="27"/>
    <x v="3"/>
    <x v="787"/>
    <n v="13436"/>
    <m/>
    <m/>
    <n v="0"/>
    <m/>
    <n v="0"/>
  </r>
  <r>
    <s v="BOM/REP"/>
    <x v="788"/>
    <x v="4"/>
    <x v="2"/>
    <x v="133"/>
    <x v="1"/>
    <x v="788"/>
    <n v="3359"/>
    <m/>
    <m/>
    <n v="0"/>
    <m/>
    <n v="0"/>
  </r>
  <r>
    <s v="BOM/JPA"/>
    <x v="789"/>
    <x v="4"/>
    <x v="3"/>
    <x v="27"/>
    <x v="3"/>
    <x v="789"/>
    <n v="12137"/>
    <m/>
    <m/>
    <n v="0"/>
    <m/>
    <n v="0"/>
  </r>
  <r>
    <s v="BOM/YVO"/>
    <x v="790"/>
    <x v="4"/>
    <x v="3"/>
    <x v="38"/>
    <x v="5"/>
    <x v="790"/>
    <n v="12001"/>
    <n v="28.75"/>
    <m/>
    <n v="0"/>
    <m/>
    <n v="0"/>
  </r>
  <r>
    <s v="BOM/YXS"/>
    <x v="791"/>
    <x v="4"/>
    <x v="3"/>
    <x v="38"/>
    <x v="5"/>
    <x v="791"/>
    <n v="11768"/>
    <n v="28.25"/>
    <m/>
    <n v="0"/>
    <m/>
    <n v="0"/>
  </r>
  <r>
    <s v="BOM/YBG"/>
    <x v="792"/>
    <x v="4"/>
    <x v="3"/>
    <x v="38"/>
    <x v="5"/>
    <x v="792"/>
    <n v="11707"/>
    <n v="28"/>
    <m/>
    <n v="0"/>
    <m/>
    <n v="0"/>
  </r>
  <r>
    <s v="BOM/YYQ"/>
    <x v="793"/>
    <x v="4"/>
    <x v="3"/>
    <x v="38"/>
    <x v="5"/>
    <x v="793"/>
    <n v="11281"/>
    <n v="27"/>
    <m/>
    <n v="0"/>
    <m/>
    <n v="0"/>
  </r>
  <r>
    <s v="BOM/YQX"/>
    <x v="794"/>
    <x v="4"/>
    <x v="3"/>
    <x v="38"/>
    <x v="5"/>
    <x v="794"/>
    <n v="10846"/>
    <n v="26.25"/>
    <m/>
    <n v="0"/>
    <m/>
    <n v="0"/>
  </r>
  <r>
    <s v="BOM/YXY"/>
    <x v="795"/>
    <x v="4"/>
    <x v="3"/>
    <x v="38"/>
    <x v="5"/>
    <x v="795"/>
    <n v="10797"/>
    <n v="26"/>
    <m/>
    <n v="0"/>
    <m/>
    <n v="0"/>
  </r>
  <r>
    <s v="BOM/YYR"/>
    <x v="796"/>
    <x v="4"/>
    <x v="3"/>
    <x v="38"/>
    <x v="5"/>
    <x v="796"/>
    <n v="10808"/>
    <n v="26"/>
    <m/>
    <n v="0"/>
    <m/>
    <n v="0"/>
  </r>
  <r>
    <s v="BOM/LKO"/>
    <x v="797"/>
    <x v="4"/>
    <x v="2"/>
    <x v="20"/>
    <x v="1"/>
    <x v="797"/>
    <n v="1183"/>
    <m/>
    <m/>
    <n v="0"/>
    <m/>
    <n v="0"/>
  </r>
  <r>
    <s v="BOM/CJB"/>
    <x v="798"/>
    <x v="4"/>
    <x v="2"/>
    <x v="20"/>
    <x v="1"/>
    <x v="798"/>
    <n v="1002"/>
    <m/>
    <m/>
    <n v="0"/>
    <m/>
    <n v="0"/>
  </r>
  <r>
    <s v="BOM/BHJ"/>
    <x v="799"/>
    <x v="4"/>
    <x v="2"/>
    <x v="20"/>
    <x v="1"/>
    <x v="799"/>
    <n v="572"/>
    <m/>
    <m/>
    <n v="0"/>
    <m/>
    <n v="0"/>
  </r>
  <r>
    <s v="BOM/PNQ"/>
    <x v="800"/>
    <x v="4"/>
    <x v="2"/>
    <x v="20"/>
    <x v="1"/>
    <x v="800"/>
    <n v="124"/>
    <m/>
    <m/>
    <n v="0"/>
    <m/>
    <n v="0"/>
  </r>
  <r>
    <s v="BOM/PDG"/>
    <x v="801"/>
    <x v="4"/>
    <x v="2"/>
    <x v="29"/>
    <x v="1"/>
    <x v="801"/>
    <n v="3720"/>
    <m/>
    <m/>
    <n v="0"/>
    <m/>
    <n v="0"/>
  </r>
  <r>
    <s v="BOM/PFO"/>
    <x v="802"/>
    <x v="4"/>
    <x v="2"/>
    <x v="126"/>
    <x v="2"/>
    <x v="802"/>
    <n v="4329"/>
    <m/>
    <m/>
    <n v="0"/>
    <m/>
    <n v="0"/>
  </r>
  <r>
    <s v="BOM/YQG"/>
    <x v="803"/>
    <x v="4"/>
    <x v="3"/>
    <x v="38"/>
    <x v="5"/>
    <x v="803"/>
    <n v="12757"/>
    <m/>
    <m/>
    <n v="0"/>
    <m/>
    <n v="0"/>
  </r>
  <r>
    <s v="BOM/YXU"/>
    <x v="804"/>
    <x v="4"/>
    <x v="3"/>
    <x v="38"/>
    <x v="5"/>
    <x v="804"/>
    <n v="12617"/>
    <m/>
    <m/>
    <n v="0"/>
    <m/>
    <n v="0"/>
  </r>
  <r>
    <s v="BOM/AAL"/>
    <x v="805"/>
    <x v="4"/>
    <x v="2"/>
    <x v="57"/>
    <x v="2"/>
    <x v="805"/>
    <n v="6618"/>
    <m/>
    <m/>
    <n v="0"/>
    <m/>
    <n v="0"/>
  </r>
  <r>
    <s v="BOM/PPT"/>
    <x v="806"/>
    <x v="4"/>
    <x v="2"/>
    <x v="153"/>
    <x v="4"/>
    <x v="806"/>
    <n v="15543"/>
    <n v="36.5"/>
    <m/>
    <n v="0"/>
    <m/>
    <n v="0"/>
  </r>
  <r>
    <s v="BOM/MPL"/>
    <x v="807"/>
    <x v="4"/>
    <x v="2"/>
    <x v="34"/>
    <x v="2"/>
    <x v="807"/>
    <n v="6878"/>
    <m/>
    <m/>
    <n v="0"/>
    <m/>
    <n v="0"/>
  </r>
  <r>
    <s v="BOM/YXE"/>
    <x v="808"/>
    <x v="4"/>
    <x v="3"/>
    <x v="38"/>
    <x v="5"/>
    <x v="808"/>
    <n v="12094"/>
    <m/>
    <m/>
    <n v="0"/>
    <m/>
    <n v="0"/>
  </r>
  <r>
    <s v="BOM/KMQ"/>
    <x v="809"/>
    <x v="4"/>
    <x v="2"/>
    <x v="35"/>
    <x v="1"/>
    <x v="809"/>
    <n v="6427"/>
    <m/>
    <m/>
    <n v="0"/>
    <m/>
    <n v="0"/>
  </r>
  <r>
    <s v="BOM/NUE"/>
    <x v="810"/>
    <x v="4"/>
    <x v="2"/>
    <x v="39"/>
    <x v="2"/>
    <x v="810"/>
    <n v="6385"/>
    <m/>
    <m/>
    <n v="0"/>
    <m/>
    <n v="0"/>
  </r>
  <r>
    <s v="BOM/HER"/>
    <x v="811"/>
    <x v="4"/>
    <x v="2"/>
    <x v="65"/>
    <x v="2"/>
    <x v="811"/>
    <n v="4996"/>
    <m/>
    <m/>
    <n v="0"/>
    <m/>
    <n v="0"/>
  </r>
  <r>
    <s v="BOM/MYY"/>
    <x v="812"/>
    <x v="4"/>
    <x v="2"/>
    <x v="24"/>
    <x v="1"/>
    <x v="812"/>
    <n v="4752"/>
    <m/>
    <m/>
    <n v="0"/>
    <m/>
    <n v="0"/>
  </r>
  <r>
    <s v="BOM/YQB"/>
    <x v="813"/>
    <x v="4"/>
    <x v="3"/>
    <x v="38"/>
    <x v="5"/>
    <x v="813"/>
    <n v="11864"/>
    <m/>
    <m/>
    <n v="0"/>
    <m/>
    <n v="0"/>
  </r>
  <r>
    <s v="BOM/YYT"/>
    <x v="814"/>
    <x v="4"/>
    <x v="3"/>
    <x v="38"/>
    <x v="5"/>
    <x v="814"/>
    <n v="10837"/>
    <m/>
    <m/>
    <n v="0"/>
    <m/>
    <n v="0"/>
  </r>
  <r>
    <s v="BOM/YFB"/>
    <x v="815"/>
    <x v="4"/>
    <x v="3"/>
    <x v="38"/>
    <x v="5"/>
    <x v="815"/>
    <n v="10223"/>
    <m/>
    <m/>
    <n v="0"/>
    <m/>
    <n v="0"/>
  </r>
  <r>
    <s v="BOM/TPS"/>
    <x v="816"/>
    <x v="4"/>
    <x v="2"/>
    <x v="50"/>
    <x v="2"/>
    <x v="816"/>
    <n v="6149"/>
    <m/>
    <m/>
    <n v="0"/>
    <m/>
    <n v="0"/>
  </r>
  <r>
    <s v="BOM/NAP"/>
    <x v="817"/>
    <x v="4"/>
    <x v="2"/>
    <x v="50"/>
    <x v="2"/>
    <x v="817"/>
    <n v="6016"/>
    <m/>
    <m/>
    <n v="0"/>
    <m/>
    <n v="0"/>
  </r>
  <r>
    <s v="BOM/BDS"/>
    <x v="818"/>
    <x v="4"/>
    <x v="2"/>
    <x v="50"/>
    <x v="2"/>
    <x v="818"/>
    <n v="5707"/>
    <m/>
    <m/>
    <n v="0"/>
    <m/>
    <n v="0"/>
  </r>
  <r>
    <s v="BOM/TSA"/>
    <x v="819"/>
    <x v="4"/>
    <x v="2"/>
    <x v="43"/>
    <x v="1"/>
    <x v="819"/>
    <n v="5035"/>
    <m/>
    <m/>
    <n v="0"/>
    <m/>
    <n v="0"/>
  </r>
  <r>
    <s v="BOM/VNO"/>
    <x v="820"/>
    <x v="4"/>
    <x v="2"/>
    <x v="109"/>
    <x v="2"/>
    <x v="820"/>
    <n v="5620"/>
    <m/>
    <m/>
    <n v="0"/>
    <m/>
    <n v="0"/>
  </r>
  <r>
    <s v="BOM/SVG"/>
    <x v="821"/>
    <x v="4"/>
    <x v="2"/>
    <x v="22"/>
    <x v="2"/>
    <x v="821"/>
    <n v="6899"/>
    <m/>
    <m/>
    <n v="0"/>
    <m/>
    <n v="0"/>
  </r>
  <r>
    <s v="BOM/POZ"/>
    <x v="822"/>
    <x v="4"/>
    <x v="2"/>
    <x v="25"/>
    <x v="2"/>
    <x v="822"/>
    <n v="6058"/>
    <m/>
    <m/>
    <n v="0"/>
    <m/>
    <n v="0"/>
  </r>
  <r>
    <s v="BOM/KRK"/>
    <x v="823"/>
    <x v="4"/>
    <x v="2"/>
    <x v="25"/>
    <x v="2"/>
    <x v="823"/>
    <n v="5788"/>
    <m/>
    <m/>
    <n v="0"/>
    <m/>
    <n v="0"/>
  </r>
  <r>
    <s v="BOM/FAO"/>
    <x v="824"/>
    <x v="4"/>
    <x v="2"/>
    <x v="51"/>
    <x v="2"/>
    <x v="824"/>
    <n v="7954"/>
    <m/>
    <m/>
    <n v="0"/>
    <m/>
    <n v="0"/>
  </r>
  <r>
    <s v="BOM/ADA"/>
    <x v="825"/>
    <x v="4"/>
    <x v="2"/>
    <x v="10"/>
    <x v="1"/>
    <x v="825"/>
    <n v="4154"/>
    <m/>
    <m/>
    <n v="0"/>
    <m/>
    <n v="0"/>
  </r>
  <r>
    <s v="BOM/TZX"/>
    <x v="826"/>
    <x v="4"/>
    <x v="2"/>
    <x v="10"/>
    <x v="1"/>
    <x v="826"/>
    <n v="3969"/>
    <m/>
    <m/>
    <n v="0"/>
    <m/>
    <n v="0"/>
  </r>
  <r>
    <s v="BOM/TLM"/>
    <x v="827"/>
    <x v="4"/>
    <x v="3"/>
    <x v="19"/>
    <x v="0"/>
    <x v="827"/>
    <n v="7409"/>
    <m/>
    <m/>
    <n v="0"/>
    <m/>
    <n v="0"/>
  </r>
  <r>
    <s v="BOM/BFM"/>
    <x v="828"/>
    <x v="4"/>
    <x v="2"/>
    <x v="46"/>
    <x v="6"/>
    <x v="828"/>
    <n v="14127"/>
    <n v="33.5"/>
    <m/>
    <n v="0"/>
    <m/>
    <n v="0"/>
  </r>
  <r>
    <s v="BOM/BHM"/>
    <x v="829"/>
    <x v="4"/>
    <x v="2"/>
    <x v="46"/>
    <x v="6"/>
    <x v="829"/>
    <n v="13778"/>
    <n v="32.75"/>
    <m/>
    <n v="0"/>
    <m/>
    <n v="0"/>
  </r>
  <r>
    <s v="BOM/COS"/>
    <x v="830"/>
    <x v="4"/>
    <x v="2"/>
    <x v="46"/>
    <x v="6"/>
    <x v="830"/>
    <n v="13576"/>
    <n v="32.25"/>
    <m/>
    <n v="0"/>
    <m/>
    <n v="0"/>
  </r>
  <r>
    <s v="BOM/ECP"/>
    <x v="831"/>
    <x v="4"/>
    <x v="2"/>
    <x v="46"/>
    <x v="6"/>
    <x v="831"/>
    <n v="14065"/>
    <n v="33.25"/>
    <m/>
    <n v="0"/>
    <m/>
    <n v="0"/>
  </r>
  <r>
    <s v="BOM/ELP"/>
    <x v="832"/>
    <x v="4"/>
    <x v="2"/>
    <x v="46"/>
    <x v="6"/>
    <x v="832"/>
    <n v="14359"/>
    <n v="34"/>
    <m/>
    <n v="0"/>
    <m/>
    <n v="0"/>
  </r>
  <r>
    <s v="BOM/FAT"/>
    <x v="833"/>
    <x v="4"/>
    <x v="2"/>
    <x v="46"/>
    <x v="6"/>
    <x v="833"/>
    <n v="13668"/>
    <n v="32.5"/>
    <m/>
    <n v="0"/>
    <m/>
    <n v="0"/>
  </r>
  <r>
    <s v="BOM/GSP"/>
    <x v="834"/>
    <x v="4"/>
    <x v="2"/>
    <x v="46"/>
    <x v="6"/>
    <x v="834"/>
    <n v="13464"/>
    <n v="32"/>
    <m/>
    <n v="0"/>
    <m/>
    <n v="0"/>
  </r>
  <r>
    <s v="BOM/HSV"/>
    <x v="835"/>
    <x v="4"/>
    <x v="2"/>
    <x v="46"/>
    <x v="6"/>
    <x v="835"/>
    <n v="13669"/>
    <n v="32.5"/>
    <m/>
    <n v="0"/>
    <m/>
    <n v="0"/>
  </r>
  <r>
    <s v="BOM/ICT"/>
    <x v="836"/>
    <x v="4"/>
    <x v="2"/>
    <x v="46"/>
    <x v="6"/>
    <x v="836"/>
    <n v="13628"/>
    <n v="32.25"/>
    <m/>
    <n v="0"/>
    <m/>
    <n v="0"/>
  </r>
  <r>
    <s v="BOM/LGB"/>
    <x v="837"/>
    <x v="4"/>
    <x v="2"/>
    <x v="46"/>
    <x v="6"/>
    <x v="837"/>
    <n v="14021"/>
    <n v="33.25"/>
    <m/>
    <n v="0"/>
    <m/>
    <n v="0"/>
  </r>
  <r>
    <s v="BOM/OKC"/>
    <x v="838"/>
    <x v="4"/>
    <x v="2"/>
    <x v="46"/>
    <x v="6"/>
    <x v="838"/>
    <n v="13878"/>
    <n v="32.75"/>
    <m/>
    <n v="0"/>
    <m/>
    <n v="0"/>
  </r>
  <r>
    <s v="BOM/ONT"/>
    <x v="839"/>
    <x v="4"/>
    <x v="2"/>
    <x v="46"/>
    <x v="6"/>
    <x v="839"/>
    <n v="14006"/>
    <n v="33.25"/>
    <m/>
    <n v="0"/>
    <m/>
    <n v="0"/>
  </r>
  <r>
    <s v="BOM/PSP"/>
    <x v="840"/>
    <x v="4"/>
    <x v="2"/>
    <x v="46"/>
    <x v="6"/>
    <x v="840"/>
    <n v="14051"/>
    <n v="33.25"/>
    <m/>
    <n v="0"/>
    <m/>
    <n v="0"/>
  </r>
  <r>
    <s v="BOM/SAV"/>
    <x v="841"/>
    <x v="4"/>
    <x v="2"/>
    <x v="46"/>
    <x v="6"/>
    <x v="841"/>
    <n v="13689"/>
    <n v="32.5"/>
    <m/>
    <n v="0"/>
    <m/>
    <n v="0"/>
  </r>
  <r>
    <s v="BOM/SFB"/>
    <x v="842"/>
    <x v="4"/>
    <x v="2"/>
    <x v="46"/>
    <x v="6"/>
    <x v="842"/>
    <n v="14013"/>
    <n v="33.25"/>
    <m/>
    <n v="0"/>
    <m/>
    <n v="0"/>
  </r>
  <r>
    <s v="BOM/SRQ"/>
    <x v="843"/>
    <x v="4"/>
    <x v="2"/>
    <x v="46"/>
    <x v="6"/>
    <x v="843"/>
    <n v="14211"/>
    <n v="33.5"/>
    <m/>
    <n v="0"/>
    <m/>
    <n v="0"/>
  </r>
  <r>
    <s v="BOM/TUL"/>
    <x v="844"/>
    <x v="4"/>
    <x v="2"/>
    <x v="46"/>
    <x v="6"/>
    <x v="844"/>
    <n v="13758"/>
    <n v="32.5"/>
    <m/>
    <n v="0"/>
    <m/>
    <n v="0"/>
  </r>
  <r>
    <s v="BOM/TUS"/>
    <x v="845"/>
    <x v="4"/>
    <x v="2"/>
    <x v="46"/>
    <x v="6"/>
    <x v="845"/>
    <n v="14310"/>
    <n v="33.75"/>
    <m/>
    <n v="0"/>
    <m/>
    <n v="0"/>
  </r>
  <r>
    <s v="BOM/MVD"/>
    <x v="846"/>
    <x v="4"/>
    <x v="2"/>
    <x v="154"/>
    <x v="3"/>
    <x v="846"/>
    <n v="14722"/>
    <n v="34.75"/>
    <m/>
    <n v="0"/>
    <m/>
    <n v="0"/>
  </r>
  <r>
    <s v="BOM/HEA"/>
    <x v="847"/>
    <x v="4"/>
    <x v="3"/>
    <x v="146"/>
    <x v="1"/>
    <x v="847"/>
    <n v="1983"/>
    <m/>
    <m/>
    <n v="0"/>
    <m/>
    <n v="0"/>
  </r>
  <r>
    <s v="BOM/PMV"/>
    <x v="848"/>
    <x v="4"/>
    <x v="2"/>
    <x v="48"/>
    <x v="3"/>
    <x v="848"/>
    <n v="14230"/>
    <n v="33.75"/>
    <m/>
    <n v="0"/>
    <m/>
    <n v="0"/>
  </r>
  <r>
    <s v="BOM/TXN"/>
    <x v="849"/>
    <x v="4"/>
    <x v="3"/>
    <x v="6"/>
    <x v="1"/>
    <x v="849"/>
    <n v="4715"/>
    <m/>
    <m/>
    <n v="0"/>
    <m/>
    <n v="0"/>
  </r>
  <r>
    <s v="BOM/CIH"/>
    <x v="850"/>
    <x v="4"/>
    <x v="3"/>
    <x v="6"/>
    <x v="1"/>
    <x v="850"/>
    <n v="4359"/>
    <m/>
    <m/>
    <n v="0"/>
    <m/>
    <n v="0"/>
  </r>
  <r>
    <s v="BOM/IGR"/>
    <x v="851"/>
    <x v="4"/>
    <x v="3"/>
    <x v="61"/>
    <x v="3"/>
    <x v="851"/>
    <n v="14590"/>
    <n v="34.5"/>
    <m/>
    <n v="0"/>
    <m/>
    <n v="0"/>
  </r>
  <r>
    <s v="BOM/RES"/>
    <x v="852"/>
    <x v="4"/>
    <x v="3"/>
    <x v="61"/>
    <x v="3"/>
    <x v="852"/>
    <n v="15051"/>
    <n v="35.5"/>
    <m/>
    <n v="0"/>
    <m/>
    <n v="0"/>
  </r>
  <r>
    <s v="BOM/RGL"/>
    <x v="853"/>
    <x v="4"/>
    <x v="3"/>
    <x v="61"/>
    <x v="3"/>
    <x v="853"/>
    <n v="15132"/>
    <n v="35.75"/>
    <m/>
    <n v="0"/>
    <m/>
    <n v="0"/>
  </r>
  <r>
    <s v="BOM/ROS"/>
    <x v="854"/>
    <x v="4"/>
    <x v="3"/>
    <x v="61"/>
    <x v="3"/>
    <x v="854"/>
    <n v="15182"/>
    <n v="35.75"/>
    <m/>
    <n v="0"/>
    <m/>
    <n v="0"/>
  </r>
  <r>
    <s v="BOM/USH"/>
    <x v="855"/>
    <x v="4"/>
    <x v="3"/>
    <x v="61"/>
    <x v="3"/>
    <x v="855"/>
    <n v="14875"/>
    <n v="35"/>
    <m/>
    <n v="0"/>
    <m/>
    <n v="0"/>
  </r>
  <r>
    <s v="BOM/CCC"/>
    <x v="856"/>
    <x v="4"/>
    <x v="3"/>
    <x v="60"/>
    <x v="5"/>
    <x v="856"/>
    <n v="14445"/>
    <n v="34"/>
    <m/>
    <n v="0"/>
    <m/>
    <n v="0"/>
  </r>
  <r>
    <s v="BOM/JGS"/>
    <x v="857"/>
    <x v="4"/>
    <x v="3"/>
    <x v="6"/>
    <x v="1"/>
    <x v="857"/>
    <n v="4353"/>
    <m/>
    <m/>
    <n v="0"/>
    <m/>
    <n v="0"/>
  </r>
  <r>
    <s v="BOM/BIO"/>
    <x v="858"/>
    <x v="4"/>
    <x v="2"/>
    <x v="32"/>
    <x v="2"/>
    <x v="858"/>
    <n v="7434"/>
    <m/>
    <m/>
    <n v="0"/>
    <m/>
    <n v="0"/>
  </r>
  <r>
    <s v="BOM/CMW"/>
    <x v="859"/>
    <x v="4"/>
    <x v="3"/>
    <x v="60"/>
    <x v="5"/>
    <x v="859"/>
    <n v="14501"/>
    <n v="34.25"/>
    <m/>
    <n v="0"/>
    <m/>
    <n v="0"/>
  </r>
  <r>
    <s v="BOM/SRZ"/>
    <x v="860"/>
    <x v="4"/>
    <x v="3"/>
    <x v="155"/>
    <x v="3"/>
    <x v="860"/>
    <n v="15392"/>
    <n v="36.25"/>
    <m/>
    <n v="0"/>
    <m/>
    <n v="0"/>
  </r>
  <r>
    <s v="BOM/VVI"/>
    <x v="861"/>
    <x v="4"/>
    <x v="3"/>
    <x v="155"/>
    <x v="3"/>
    <x v="861"/>
    <n v="15385"/>
    <n v="36.25"/>
    <m/>
    <n v="0"/>
    <m/>
    <n v="0"/>
  </r>
  <r>
    <s v="BOM/BGF"/>
    <x v="862"/>
    <x v="4"/>
    <x v="3"/>
    <x v="156"/>
    <x v="0"/>
    <x v="862"/>
    <n v="6112"/>
    <m/>
    <m/>
    <n v="0"/>
    <m/>
    <n v="0"/>
  </r>
  <r>
    <s v="BOM/CYO"/>
    <x v="863"/>
    <x v="4"/>
    <x v="3"/>
    <x v="60"/>
    <x v="5"/>
    <x v="863"/>
    <n v="14705"/>
    <n v="34.75"/>
    <m/>
    <n v="0"/>
    <m/>
    <n v="0"/>
  </r>
  <r>
    <s v="BOM/PUQ"/>
    <x v="864"/>
    <x v="4"/>
    <x v="3"/>
    <x v="157"/>
    <x v="3"/>
    <x v="864"/>
    <n v="15129"/>
    <n v="35.75"/>
    <m/>
    <n v="0"/>
    <m/>
    <n v="0"/>
  </r>
  <r>
    <s v="BOM/CGD"/>
    <x v="865"/>
    <x v="4"/>
    <x v="3"/>
    <x v="6"/>
    <x v="1"/>
    <x v="865"/>
    <n v="4068"/>
    <m/>
    <m/>
    <n v="0"/>
    <m/>
    <n v="0"/>
  </r>
  <r>
    <s v="BOM/IMF"/>
    <x v="866"/>
    <x v="4"/>
    <x v="3"/>
    <x v="20"/>
    <x v="1"/>
    <x v="866"/>
    <n v="2256"/>
    <m/>
    <m/>
    <n v="0"/>
    <m/>
    <n v="0"/>
  </r>
  <r>
    <s v="BOM/MDE"/>
    <x v="867"/>
    <x v="4"/>
    <x v="3"/>
    <x v="49"/>
    <x v="3"/>
    <x v="867"/>
    <n v="15553"/>
    <n v="36.5"/>
    <m/>
    <n v="0"/>
    <m/>
    <n v="0"/>
  </r>
  <r>
    <s v="BOM/IXR"/>
    <x v="868"/>
    <x v="4"/>
    <x v="3"/>
    <x v="20"/>
    <x v="1"/>
    <x v="868"/>
    <n v="1373"/>
    <m/>
    <m/>
    <n v="0"/>
    <m/>
    <n v="0"/>
  </r>
  <r>
    <s v="BOM/HOG"/>
    <x v="869"/>
    <x v="4"/>
    <x v="3"/>
    <x v="60"/>
    <x v="5"/>
    <x v="869"/>
    <n v="14458"/>
    <n v="34.25"/>
    <m/>
    <n v="0"/>
    <m/>
    <n v="0"/>
  </r>
  <r>
    <s v="BOM/SCU"/>
    <x v="870"/>
    <x v="4"/>
    <x v="3"/>
    <x v="60"/>
    <x v="5"/>
    <x v="870"/>
    <n v="14496"/>
    <n v="34.25"/>
    <m/>
    <n v="0"/>
    <m/>
    <n v="0"/>
  </r>
  <r>
    <s v="BOM/VRA"/>
    <x v="871"/>
    <x v="4"/>
    <x v="3"/>
    <x v="60"/>
    <x v="5"/>
    <x v="871"/>
    <n v="14567"/>
    <n v="34.5"/>
    <m/>
    <n v="0"/>
    <m/>
    <n v="0"/>
  </r>
  <r>
    <s v="BOM/DOM"/>
    <x v="872"/>
    <x v="4"/>
    <x v="3"/>
    <x v="158"/>
    <x v="5"/>
    <x v="872"/>
    <n v="13696"/>
    <n v="32.5"/>
    <m/>
    <n v="0"/>
    <m/>
    <n v="0"/>
  </r>
  <r>
    <s v="BOM/AZS"/>
    <x v="873"/>
    <x v="4"/>
    <x v="3"/>
    <x v="79"/>
    <x v="5"/>
    <x v="873"/>
    <n v="14117"/>
    <n v="33.5"/>
    <m/>
    <n v="0"/>
    <m/>
    <n v="0"/>
  </r>
  <r>
    <s v="BOM/LRM"/>
    <x v="874"/>
    <x v="4"/>
    <x v="3"/>
    <x v="79"/>
    <x v="5"/>
    <x v="874"/>
    <n v="14117"/>
    <n v="33.5"/>
    <m/>
    <n v="0"/>
    <m/>
    <n v="0"/>
  </r>
  <r>
    <s v="BOM/POP"/>
    <x v="875"/>
    <x v="4"/>
    <x v="3"/>
    <x v="79"/>
    <x v="5"/>
    <x v="875"/>
    <n v="14141"/>
    <n v="33.5"/>
    <m/>
    <n v="0"/>
    <m/>
    <n v="0"/>
  </r>
  <r>
    <s v="BOM/GND"/>
    <x v="876"/>
    <x v="4"/>
    <x v="3"/>
    <x v="159"/>
    <x v="5"/>
    <x v="876"/>
    <n v="13966"/>
    <m/>
    <m/>
    <n v="0"/>
    <m/>
    <n v="0"/>
  </r>
  <r>
    <s v="BOM/DIR"/>
    <x v="877"/>
    <x v="4"/>
    <x v="3"/>
    <x v="5"/>
    <x v="0"/>
    <x v="877"/>
    <n v="3496"/>
    <m/>
    <m/>
    <n v="0"/>
    <m/>
    <n v="0"/>
  </r>
  <r>
    <s v="BOM/LCE"/>
    <x v="878"/>
    <x v="4"/>
    <x v="3"/>
    <x v="160"/>
    <x v="5"/>
    <x v="878"/>
    <n v="15556"/>
    <n v="36.5"/>
    <m/>
    <n v="0"/>
    <m/>
    <n v="0"/>
  </r>
  <r>
    <s v="BOM/KLU"/>
    <x v="879"/>
    <x v="4"/>
    <x v="3"/>
    <x v="54"/>
    <x v="2"/>
    <x v="879"/>
    <n v="6094"/>
    <m/>
    <m/>
    <n v="0"/>
    <m/>
    <n v="0"/>
  </r>
  <r>
    <s v="BOM/KVD"/>
    <x v="880"/>
    <x v="4"/>
    <x v="3"/>
    <x v="134"/>
    <x v="2"/>
    <x v="880"/>
    <n v="3487"/>
    <m/>
    <m/>
    <n v="0"/>
    <m/>
    <n v="0"/>
  </r>
  <r>
    <s v="BOM/SJJ"/>
    <x v="881"/>
    <x v="4"/>
    <x v="3"/>
    <x v="161"/>
    <x v="2"/>
    <x v="881"/>
    <n v="5732"/>
    <m/>
    <m/>
    <n v="0"/>
    <m/>
    <n v="0"/>
  </r>
  <r>
    <s v="BOM/SPU"/>
    <x v="882"/>
    <x v="4"/>
    <x v="3"/>
    <x v="66"/>
    <x v="2"/>
    <x v="882"/>
    <n v="5888"/>
    <m/>
    <m/>
    <n v="0"/>
    <m/>
    <n v="0"/>
  </r>
  <r>
    <s v="BOM/BRQ"/>
    <x v="883"/>
    <x v="4"/>
    <x v="3"/>
    <x v="162"/>
    <x v="2"/>
    <x v="883"/>
    <n v="5977"/>
    <m/>
    <m/>
    <n v="0"/>
    <m/>
    <n v="0"/>
  </r>
  <r>
    <s v="BOM/EBJ"/>
    <x v="884"/>
    <x v="4"/>
    <x v="3"/>
    <x v="57"/>
    <x v="2"/>
    <x v="884"/>
    <n v="6662"/>
    <m/>
    <m/>
    <n v="0"/>
    <m/>
    <n v="0"/>
  </r>
  <r>
    <s v="BOM/KEM"/>
    <x v="885"/>
    <x v="4"/>
    <x v="3"/>
    <x v="56"/>
    <x v="2"/>
    <x v="885"/>
    <n v="6251"/>
    <m/>
    <m/>
    <n v="0"/>
    <m/>
    <n v="0"/>
  </r>
  <r>
    <s v="BOM/VAA"/>
    <x v="886"/>
    <x v="4"/>
    <x v="3"/>
    <x v="56"/>
    <x v="2"/>
    <x v="886"/>
    <n v="6218"/>
    <m/>
    <m/>
    <n v="0"/>
    <m/>
    <n v="0"/>
  </r>
  <r>
    <s v="BOM/OUL"/>
    <x v="887"/>
    <x v="4"/>
    <x v="3"/>
    <x v="56"/>
    <x v="2"/>
    <x v="887"/>
    <n v="6170"/>
    <m/>
    <m/>
    <n v="0"/>
    <m/>
    <n v="0"/>
  </r>
  <r>
    <s v="BOM/TMP"/>
    <x v="888"/>
    <x v="4"/>
    <x v="3"/>
    <x v="56"/>
    <x v="2"/>
    <x v="888"/>
    <n v="6049"/>
    <m/>
    <m/>
    <n v="0"/>
    <m/>
    <n v="0"/>
  </r>
  <r>
    <s v="BOM/JYV"/>
    <x v="889"/>
    <x v="4"/>
    <x v="3"/>
    <x v="56"/>
    <x v="2"/>
    <x v="889"/>
    <n v="6009"/>
    <m/>
    <m/>
    <n v="0"/>
    <m/>
    <n v="0"/>
  </r>
  <r>
    <s v="BOM/DOL"/>
    <x v="890"/>
    <x v="4"/>
    <x v="3"/>
    <x v="34"/>
    <x v="2"/>
    <x v="890"/>
    <n v="7170"/>
    <m/>
    <m/>
    <n v="0"/>
    <m/>
    <n v="0"/>
  </r>
  <r>
    <s v="BOM/BIA"/>
    <x v="891"/>
    <x v="4"/>
    <x v="3"/>
    <x v="34"/>
    <x v="2"/>
    <x v="891"/>
    <n v="6427"/>
    <m/>
    <m/>
    <n v="0"/>
    <m/>
    <n v="0"/>
  </r>
  <r>
    <s v="BOM/AGU"/>
    <x v="892"/>
    <x v="4"/>
    <x v="3"/>
    <x v="59"/>
    <x v="5"/>
    <x v="892"/>
    <n v="15453"/>
    <n v="36.25"/>
    <m/>
    <n v="0"/>
    <m/>
    <n v="0"/>
  </r>
  <r>
    <s v="BOM/IXC"/>
    <x v="893"/>
    <x v="4"/>
    <x v="3"/>
    <x v="20"/>
    <x v="1"/>
    <x v="893"/>
    <n v="1347"/>
    <m/>
    <m/>
    <n v="0"/>
    <m/>
    <n v="0"/>
  </r>
  <r>
    <s v="BOM/JDH"/>
    <x v="894"/>
    <x v="4"/>
    <x v="3"/>
    <x v="20"/>
    <x v="1"/>
    <x v="894"/>
    <n v="796"/>
    <m/>
    <m/>
    <n v="0"/>
    <m/>
    <n v="0"/>
  </r>
  <r>
    <s v="BOM/MDC"/>
    <x v="895"/>
    <x v="4"/>
    <x v="3"/>
    <x v="29"/>
    <x v="1"/>
    <x v="895"/>
    <n v="5991"/>
    <m/>
    <m/>
    <n v="0"/>
    <m/>
    <n v="0"/>
  </r>
  <r>
    <s v="BOM/SOC"/>
    <x v="896"/>
    <x v="4"/>
    <x v="3"/>
    <x v="29"/>
    <x v="1"/>
    <x v="896"/>
    <n v="5098"/>
    <m/>
    <m/>
    <n v="0"/>
    <m/>
    <n v="0"/>
  </r>
  <r>
    <s v="BOM/BJX"/>
    <x v="897"/>
    <x v="4"/>
    <x v="3"/>
    <x v="59"/>
    <x v="5"/>
    <x v="897"/>
    <n v="15520"/>
    <n v="36.5"/>
    <m/>
    <n v="0"/>
    <m/>
    <n v="0"/>
  </r>
  <r>
    <s v="BOM/SRG"/>
    <x v="898"/>
    <x v="4"/>
    <x v="3"/>
    <x v="29"/>
    <x v="1"/>
    <x v="898"/>
    <n v="5029"/>
    <m/>
    <m/>
    <n v="0"/>
    <m/>
    <n v="0"/>
  </r>
  <r>
    <s v="BOM/OSS"/>
    <x v="899"/>
    <x v="4"/>
    <x v="3"/>
    <x v="140"/>
    <x v="1"/>
    <x v="899"/>
    <n v="2393"/>
    <m/>
    <m/>
    <n v="0"/>
    <m/>
    <n v="0"/>
  </r>
  <r>
    <s v="BOM/TWU"/>
    <x v="900"/>
    <x v="4"/>
    <x v="3"/>
    <x v="24"/>
    <x v="1"/>
    <x v="900"/>
    <n v="5175"/>
    <m/>
    <m/>
    <n v="0"/>
    <m/>
    <n v="0"/>
  </r>
  <r>
    <s v="BOM/BTU"/>
    <x v="901"/>
    <x v="4"/>
    <x v="3"/>
    <x v="24"/>
    <x v="1"/>
    <x v="901"/>
    <n v="4710"/>
    <m/>
    <m/>
    <n v="0"/>
    <m/>
    <n v="0"/>
  </r>
  <r>
    <s v="BOM/AOR"/>
    <x v="902"/>
    <x v="4"/>
    <x v="3"/>
    <x v="24"/>
    <x v="1"/>
    <x v="902"/>
    <n v="3306"/>
    <m/>
    <m/>
    <n v="0"/>
    <m/>
    <n v="0"/>
  </r>
  <r>
    <s v="BOM/GAN"/>
    <x v="903"/>
    <x v="4"/>
    <x v="3"/>
    <x v="163"/>
    <x v="1"/>
    <x v="903"/>
    <n v="2200"/>
    <m/>
    <m/>
    <n v="0"/>
    <m/>
    <n v="0"/>
  </r>
  <r>
    <s v="BOM/ERF"/>
    <x v="904"/>
    <x v="4"/>
    <x v="3"/>
    <x v="39"/>
    <x v="2"/>
    <x v="904"/>
    <n v="6418"/>
    <m/>
    <m/>
    <n v="0"/>
    <m/>
    <n v="0"/>
  </r>
  <r>
    <s v="BOM/RLG"/>
    <x v="905"/>
    <x v="4"/>
    <x v="3"/>
    <x v="39"/>
    <x v="2"/>
    <x v="905"/>
    <n v="6393"/>
    <m/>
    <m/>
    <n v="0"/>
    <m/>
    <n v="0"/>
  </r>
  <r>
    <s v="BOM/DGO"/>
    <x v="906"/>
    <x v="4"/>
    <x v="3"/>
    <x v="59"/>
    <x v="5"/>
    <x v="906"/>
    <n v="15206"/>
    <n v="35.75"/>
    <m/>
    <n v="0"/>
    <m/>
    <n v="0"/>
  </r>
  <r>
    <s v="BOM/SLP"/>
    <x v="907"/>
    <x v="4"/>
    <x v="3"/>
    <x v="59"/>
    <x v="5"/>
    <x v="907"/>
    <n v="15373"/>
    <n v="36.25"/>
    <m/>
    <n v="0"/>
    <m/>
    <n v="0"/>
  </r>
  <r>
    <s v="BOM/AXD"/>
    <x v="908"/>
    <x v="4"/>
    <x v="3"/>
    <x v="65"/>
    <x v="2"/>
    <x v="908"/>
    <n v="5049"/>
    <m/>
    <m/>
    <n v="0"/>
    <m/>
    <n v="0"/>
  </r>
  <r>
    <s v="BOM/BKO"/>
    <x v="909"/>
    <x v="4"/>
    <x v="3"/>
    <x v="164"/>
    <x v="0"/>
    <x v="909"/>
    <n v="8607"/>
    <m/>
    <m/>
    <n v="0"/>
    <m/>
    <n v="0"/>
  </r>
  <r>
    <s v="BOM/PEW"/>
    <x v="910"/>
    <x v="4"/>
    <x v="3"/>
    <x v="23"/>
    <x v="1"/>
    <x v="910"/>
    <n v="1663"/>
    <m/>
    <m/>
    <n v="0"/>
    <m/>
    <n v="0"/>
  </r>
  <r>
    <s v="BOM/MUX"/>
    <x v="911"/>
    <x v="4"/>
    <x v="3"/>
    <x v="23"/>
    <x v="1"/>
    <x v="911"/>
    <n v="1244"/>
    <m/>
    <m/>
    <n v="0"/>
    <m/>
    <n v="0"/>
  </r>
  <r>
    <s v="BOM/SKZ"/>
    <x v="912"/>
    <x v="4"/>
    <x v="3"/>
    <x v="23"/>
    <x v="1"/>
    <x v="912"/>
    <n v="1046"/>
    <m/>
    <m/>
    <n v="0"/>
    <m/>
    <n v="0"/>
  </r>
  <r>
    <s v="BOM/ZAM"/>
    <x v="913"/>
    <x v="4"/>
    <x v="3"/>
    <x v="14"/>
    <x v="1"/>
    <x v="913"/>
    <n v="5479"/>
    <m/>
    <m/>
    <n v="0"/>
    <m/>
    <n v="0"/>
  </r>
  <r>
    <s v="BOM/PPS"/>
    <x v="914"/>
    <x v="4"/>
    <x v="3"/>
    <x v="14"/>
    <x v="1"/>
    <x v="914"/>
    <n v="5036"/>
    <m/>
    <m/>
    <n v="0"/>
    <m/>
    <n v="0"/>
  </r>
  <r>
    <s v="BOM/ZCL"/>
    <x v="915"/>
    <x v="4"/>
    <x v="3"/>
    <x v="59"/>
    <x v="5"/>
    <x v="915"/>
    <n v="15325"/>
    <n v="36"/>
    <m/>
    <n v="0"/>
    <m/>
    <n v="0"/>
  </r>
  <r>
    <s v="BOM/CZM"/>
    <x v="916"/>
    <x v="4"/>
    <x v="3"/>
    <x v="59"/>
    <x v="5"/>
    <x v="916"/>
    <n v="15095"/>
    <m/>
    <m/>
    <n v="0"/>
    <m/>
    <n v="0"/>
  </r>
  <r>
    <s v="BOM/TRC"/>
    <x v="917"/>
    <x v="4"/>
    <x v="3"/>
    <x v="59"/>
    <x v="5"/>
    <x v="917"/>
    <n v="15037"/>
    <m/>
    <m/>
    <n v="0"/>
    <m/>
    <n v="0"/>
  </r>
  <r>
    <s v="BOM/CUU"/>
    <x v="918"/>
    <x v="4"/>
    <x v="3"/>
    <x v="59"/>
    <x v="5"/>
    <x v="918"/>
    <n v="14703"/>
    <m/>
    <m/>
    <n v="0"/>
    <m/>
    <n v="0"/>
  </r>
  <r>
    <s v="BOM/CJS"/>
    <x v="919"/>
    <x v="4"/>
    <x v="3"/>
    <x v="59"/>
    <x v="5"/>
    <x v="919"/>
    <n v="14378"/>
    <m/>
    <m/>
    <n v="0"/>
    <m/>
    <n v="0"/>
  </r>
  <r>
    <s v="BOM/MXL"/>
    <x v="920"/>
    <x v="4"/>
    <x v="3"/>
    <x v="59"/>
    <x v="5"/>
    <x v="920"/>
    <n v="14203"/>
    <m/>
    <m/>
    <n v="0"/>
    <m/>
    <n v="0"/>
  </r>
  <r>
    <s v="BOM/BON"/>
    <x v="921"/>
    <x v="4"/>
    <x v="3"/>
    <x v="165"/>
    <x v="5"/>
    <x v="921"/>
    <n v="14525"/>
    <n v="34.25"/>
    <m/>
    <n v="0"/>
    <m/>
    <n v="0"/>
  </r>
  <r>
    <s v="BOM/CUR"/>
    <x v="922"/>
    <x v="4"/>
    <x v="3"/>
    <x v="165"/>
    <x v="5"/>
    <x v="922"/>
    <n v="14579"/>
    <n v="34.5"/>
    <m/>
    <n v="0"/>
    <m/>
    <n v="0"/>
  </r>
  <r>
    <s v="BOM/BQN"/>
    <x v="923"/>
    <x v="4"/>
    <x v="3"/>
    <x v="55"/>
    <x v="5"/>
    <x v="923"/>
    <n v="13975"/>
    <n v="33"/>
    <m/>
    <n v="0"/>
    <m/>
    <n v="0"/>
  </r>
  <r>
    <s v="BOM/UVF"/>
    <x v="924"/>
    <x v="4"/>
    <x v="3"/>
    <x v="166"/>
    <x v="5"/>
    <x v="924"/>
    <n v="13782"/>
    <m/>
    <m/>
    <n v="0"/>
    <m/>
    <n v="0"/>
  </r>
  <r>
    <s v="BOM/YYB"/>
    <x v="925"/>
    <x v="4"/>
    <x v="0"/>
    <x v="38"/>
    <x v="5"/>
    <x v="925"/>
    <n v="12225"/>
    <n v="29.25"/>
    <m/>
    <n v="0"/>
    <m/>
    <n v="0"/>
  </r>
  <r>
    <s v="BOM/YJT"/>
    <x v="926"/>
    <x v="4"/>
    <x v="0"/>
    <x v="38"/>
    <x v="5"/>
    <x v="926"/>
    <n v="11091"/>
    <n v="26.75"/>
    <m/>
    <n v="0"/>
    <m/>
    <n v="0"/>
  </r>
  <r>
    <s v="BOM/BFN"/>
    <x v="927"/>
    <x v="4"/>
    <x v="3"/>
    <x v="7"/>
    <x v="0"/>
    <x v="927"/>
    <n v="7326"/>
    <m/>
    <m/>
    <n v="0"/>
    <m/>
    <n v="0"/>
  </r>
  <r>
    <s v="BOM/SPN"/>
    <x v="928"/>
    <x v="4"/>
    <x v="3"/>
    <x v="167"/>
    <x v="4"/>
    <x v="928"/>
    <n v="7703"/>
    <m/>
    <m/>
    <n v="0"/>
    <m/>
    <n v="0"/>
  </r>
  <r>
    <s v="BOM/TIQ"/>
    <x v="929"/>
    <x v="4"/>
    <x v="0"/>
    <x v="167"/>
    <x v="4"/>
    <x v="929"/>
    <n v="7695"/>
    <m/>
    <m/>
    <n v="0"/>
    <m/>
    <n v="0"/>
  </r>
  <r>
    <s v="BOM/POM"/>
    <x v="930"/>
    <x v="4"/>
    <x v="2"/>
    <x v="168"/>
    <x v="4"/>
    <x v="930"/>
    <n v="8741"/>
    <m/>
    <m/>
    <n v="0"/>
    <m/>
    <n v="0"/>
  </r>
  <r>
    <s v="BOM/ASU"/>
    <x v="931"/>
    <x v="4"/>
    <x v="3"/>
    <x v="169"/>
    <x v="3"/>
    <x v="931"/>
    <n v="14892"/>
    <n v="35"/>
    <m/>
    <n v="0"/>
    <m/>
    <n v="0"/>
  </r>
  <r>
    <s v="BOM/HIN"/>
    <x v="932"/>
    <x v="4"/>
    <x v="3"/>
    <x v="36"/>
    <x v="1"/>
    <x v="932"/>
    <n v="5672"/>
    <m/>
    <m/>
    <n v="0"/>
    <m/>
    <n v="0"/>
  </r>
  <r>
    <s v="BOM/TIV"/>
    <x v="933"/>
    <x v="4"/>
    <x v="3"/>
    <x v="170"/>
    <x v="2"/>
    <x v="933"/>
    <n v="5672"/>
    <m/>
    <m/>
    <n v="0"/>
    <m/>
    <n v="0"/>
  </r>
  <r>
    <s v="BOM/YRQ"/>
    <x v="934"/>
    <x v="4"/>
    <x v="0"/>
    <x v="38"/>
    <x v="5"/>
    <x v="934"/>
    <n v="11960"/>
    <m/>
    <m/>
    <n v="0"/>
    <m/>
    <n v="0"/>
  </r>
  <r>
    <s v="BOM/SLY"/>
    <x v="935"/>
    <x v="4"/>
    <x v="3"/>
    <x v="18"/>
    <x v="2"/>
    <x v="935"/>
    <n v="5302"/>
    <m/>
    <m/>
    <n v="0"/>
    <m/>
    <n v="0"/>
  </r>
  <r>
    <s v="BOM/NUX"/>
    <x v="936"/>
    <x v="4"/>
    <x v="3"/>
    <x v="18"/>
    <x v="2"/>
    <x v="936"/>
    <n v="5232"/>
    <m/>
    <m/>
    <n v="0"/>
    <m/>
    <n v="0"/>
  </r>
  <r>
    <s v="BOM/NOJ"/>
    <x v="937"/>
    <x v="4"/>
    <x v="3"/>
    <x v="18"/>
    <x v="2"/>
    <x v="937"/>
    <n v="4907"/>
    <m/>
    <m/>
    <n v="0"/>
    <m/>
    <n v="0"/>
  </r>
  <r>
    <s v="BOM/KGP"/>
    <x v="938"/>
    <x v="4"/>
    <x v="3"/>
    <x v="18"/>
    <x v="2"/>
    <x v="938"/>
    <n v="4795"/>
    <m/>
    <m/>
    <n v="0"/>
    <m/>
    <n v="0"/>
  </r>
  <r>
    <s v="BOM/NBC"/>
    <x v="939"/>
    <x v="4"/>
    <x v="3"/>
    <x v="18"/>
    <x v="2"/>
    <x v="939"/>
    <n v="4416"/>
    <m/>
    <m/>
    <n v="0"/>
    <m/>
    <n v="0"/>
  </r>
  <r>
    <s v="BOM/STW"/>
    <x v="940"/>
    <x v="4"/>
    <x v="3"/>
    <x v="18"/>
    <x v="2"/>
    <x v="940"/>
    <n v="4049"/>
    <m/>
    <m/>
    <n v="0"/>
    <m/>
    <n v="0"/>
  </r>
  <r>
    <s v="BOM/GRV"/>
    <x v="941"/>
    <x v="4"/>
    <x v="3"/>
    <x v="18"/>
    <x v="2"/>
    <x v="941"/>
    <n v="3705"/>
    <m/>
    <m/>
    <n v="0"/>
    <m/>
    <n v="0"/>
  </r>
  <r>
    <s v="BOM/PTG"/>
    <x v="942"/>
    <x v="4"/>
    <x v="3"/>
    <x v="7"/>
    <x v="0"/>
    <x v="942"/>
    <n v="6705"/>
    <m/>
    <m/>
    <n v="0"/>
    <m/>
    <n v="0"/>
  </r>
  <r>
    <s v="BOM/CJJ"/>
    <x v="943"/>
    <x v="4"/>
    <x v="3"/>
    <x v="36"/>
    <x v="1"/>
    <x v="943"/>
    <n v="5634"/>
    <m/>
    <m/>
    <n v="0"/>
    <m/>
    <n v="0"/>
  </r>
  <r>
    <s v="BOM/KUV"/>
    <x v="944"/>
    <x v="4"/>
    <x v="3"/>
    <x v="36"/>
    <x v="1"/>
    <x v="944"/>
    <n v="5547"/>
    <m/>
    <m/>
    <n v="0"/>
    <m/>
    <n v="0"/>
  </r>
  <r>
    <s v="BOM/KRN"/>
    <x v="945"/>
    <x v="4"/>
    <x v="3"/>
    <x v="63"/>
    <x v="2"/>
    <x v="945"/>
    <n v="6526"/>
    <m/>
    <m/>
    <n v="0"/>
    <m/>
    <n v="0"/>
  </r>
  <r>
    <s v="BOM/KSD"/>
    <x v="946"/>
    <x v="4"/>
    <x v="3"/>
    <x v="63"/>
    <x v="2"/>
    <x v="946"/>
    <n v="6486"/>
    <m/>
    <m/>
    <n v="0"/>
    <m/>
    <n v="0"/>
  </r>
  <r>
    <s v="BOM/PBM"/>
    <x v="947"/>
    <x v="4"/>
    <x v="3"/>
    <x v="171"/>
    <x v="3"/>
    <x v="947"/>
    <n v="13712"/>
    <n v="32.5"/>
    <m/>
    <n v="0"/>
    <m/>
    <n v="0"/>
  </r>
  <r>
    <s v="BOM/VST"/>
    <x v="948"/>
    <x v="4"/>
    <x v="3"/>
    <x v="63"/>
    <x v="2"/>
    <x v="948"/>
    <n v="6315"/>
    <m/>
    <m/>
    <n v="0"/>
    <m/>
    <n v="0"/>
  </r>
  <r>
    <s v="BOM/BUQ"/>
    <x v="949"/>
    <x v="4"/>
    <x v="3"/>
    <x v="102"/>
    <x v="0"/>
    <x v="949"/>
    <n v="6494"/>
    <m/>
    <m/>
    <n v="0"/>
    <m/>
    <n v="0"/>
  </r>
  <r>
    <s v="BOM/AOE"/>
    <x v="950"/>
    <x v="4"/>
    <x v="3"/>
    <x v="10"/>
    <x v="1"/>
    <x v="950"/>
    <n v="4645"/>
    <m/>
    <m/>
    <n v="0"/>
    <m/>
    <n v="0"/>
  </r>
  <r>
    <s v="BOM/ADF"/>
    <x v="951"/>
    <x v="4"/>
    <x v="3"/>
    <x v="10"/>
    <x v="1"/>
    <x v="951"/>
    <n v="3918"/>
    <m/>
    <m/>
    <n v="0"/>
    <m/>
    <n v="0"/>
  </r>
  <r>
    <s v="BOM/MQM"/>
    <x v="952"/>
    <x v="4"/>
    <x v="3"/>
    <x v="10"/>
    <x v="1"/>
    <x v="952"/>
    <n v="3720"/>
    <m/>
    <m/>
    <n v="0"/>
    <m/>
    <n v="0"/>
  </r>
  <r>
    <s v="BOM/VAN"/>
    <x v="953"/>
    <x v="4"/>
    <x v="3"/>
    <x v="10"/>
    <x v="1"/>
    <x v="953"/>
    <n v="3569"/>
    <m/>
    <m/>
    <n v="0"/>
    <m/>
    <n v="0"/>
  </r>
  <r>
    <s v="BOM/HUI"/>
    <x v="954"/>
    <x v="4"/>
    <x v="3"/>
    <x v="3"/>
    <x v="1"/>
    <x v="954"/>
    <n v="3696"/>
    <m/>
    <m/>
    <n v="0"/>
    <m/>
    <n v="0"/>
  </r>
  <r>
    <s v="BOM/ZAT"/>
    <x v="955"/>
    <x v="4"/>
    <x v="0"/>
    <x v="6"/>
    <x v="1"/>
    <x v="955"/>
    <n v="3277"/>
    <m/>
    <m/>
    <n v="0"/>
    <m/>
    <n v="0"/>
  </r>
  <r>
    <s v="BOM/KRY"/>
    <x v="956"/>
    <x v="4"/>
    <x v="0"/>
    <x v="6"/>
    <x v="1"/>
    <x v="956"/>
    <n v="3138"/>
    <m/>
    <m/>
    <n v="0"/>
    <m/>
    <n v="0"/>
  </r>
  <r>
    <s v="BOM/LWO"/>
    <x v="957"/>
    <x v="4"/>
    <x v="3"/>
    <x v="118"/>
    <x v="2"/>
    <x v="957"/>
    <n v="5495"/>
    <m/>
    <m/>
    <n v="0"/>
    <m/>
    <n v="0"/>
  </r>
  <r>
    <s v="BOM/AEX"/>
    <x v="958"/>
    <x v="4"/>
    <x v="3"/>
    <x v="46"/>
    <x v="6"/>
    <x v="958"/>
    <n v="14200"/>
    <n v="33.5"/>
    <m/>
    <n v="0"/>
    <m/>
    <n v="0"/>
  </r>
  <r>
    <s v="BOM/AFW"/>
    <x v="959"/>
    <x v="4"/>
    <x v="3"/>
    <x v="46"/>
    <x v="6"/>
    <x v="959"/>
    <n v="14135"/>
    <n v="33.5"/>
    <m/>
    <n v="0"/>
    <m/>
    <n v="0"/>
  </r>
  <r>
    <s v="BOM/AMA"/>
    <x v="960"/>
    <x v="4"/>
    <x v="3"/>
    <x v="46"/>
    <x v="6"/>
    <x v="960"/>
    <n v="13953"/>
    <n v="33"/>
    <m/>
    <n v="0"/>
    <m/>
    <n v="0"/>
  </r>
  <r>
    <s v="BOM/AZA"/>
    <x v="961"/>
    <x v="4"/>
    <x v="3"/>
    <x v="46"/>
    <x v="6"/>
    <x v="961"/>
    <n v="14173"/>
    <n v="33.5"/>
    <m/>
    <n v="0"/>
    <m/>
    <n v="0"/>
  </r>
  <r>
    <s v="BOM/BFL"/>
    <x v="962"/>
    <x v="4"/>
    <x v="3"/>
    <x v="46"/>
    <x v="6"/>
    <x v="962"/>
    <n v="13827"/>
    <n v="32.75"/>
    <m/>
    <n v="0"/>
    <m/>
    <n v="0"/>
  </r>
  <r>
    <s v="BOM/DAB"/>
    <x v="963"/>
    <x v="4"/>
    <x v="3"/>
    <x v="46"/>
    <x v="6"/>
    <x v="963"/>
    <n v="13966"/>
    <n v="33"/>
    <m/>
    <n v="0"/>
    <m/>
    <n v="0"/>
  </r>
  <r>
    <s v="BOM/DRO"/>
    <x v="964"/>
    <x v="4"/>
    <x v="3"/>
    <x v="46"/>
    <x v="6"/>
    <x v="964"/>
    <n v="13765"/>
    <n v="32.5"/>
    <m/>
    <n v="0"/>
    <m/>
    <n v="0"/>
  </r>
  <r>
    <s v="BOM/GJT"/>
    <x v="965"/>
    <x v="4"/>
    <x v="3"/>
    <x v="46"/>
    <x v="6"/>
    <x v="965"/>
    <n v="13544"/>
    <n v="32"/>
    <m/>
    <n v="0"/>
    <m/>
    <n v="0"/>
  </r>
  <r>
    <s v="BOM/GRK"/>
    <x v="966"/>
    <x v="4"/>
    <x v="3"/>
    <x v="46"/>
    <x v="6"/>
    <x v="966"/>
    <n v="14354"/>
    <n v="34"/>
    <m/>
    <n v="0"/>
    <m/>
    <n v="0"/>
  </r>
  <r>
    <s v="BOM/GUC"/>
    <x v="967"/>
    <x v="4"/>
    <x v="3"/>
    <x v="46"/>
    <x v="6"/>
    <x v="967"/>
    <n v="13611"/>
    <n v="32.25"/>
    <m/>
    <n v="0"/>
    <m/>
    <n v="0"/>
  </r>
  <r>
    <s v="BOM/LBB"/>
    <x v="968"/>
    <x v="4"/>
    <x v="3"/>
    <x v="46"/>
    <x v="6"/>
    <x v="968"/>
    <n v="14126"/>
    <n v="33.5"/>
    <m/>
    <n v="0"/>
    <m/>
    <n v="0"/>
  </r>
  <r>
    <s v="BOM/MAF"/>
    <x v="969"/>
    <x v="4"/>
    <x v="3"/>
    <x v="46"/>
    <x v="6"/>
    <x v="969"/>
    <n v="14320"/>
    <n v="33.75"/>
    <m/>
    <n v="0"/>
    <m/>
    <n v="0"/>
  </r>
  <r>
    <s v="BOM/MLB"/>
    <x v="970"/>
    <x v="4"/>
    <x v="3"/>
    <x v="46"/>
    <x v="6"/>
    <x v="970"/>
    <n v="14048"/>
    <n v="33.25"/>
    <m/>
    <n v="0"/>
    <m/>
    <n v="0"/>
  </r>
  <r>
    <s v="BOM/MTJ"/>
    <x v="971"/>
    <x v="4"/>
    <x v="3"/>
    <x v="46"/>
    <x v="6"/>
    <x v="971"/>
    <n v="13613"/>
    <n v="32.25"/>
    <m/>
    <n v="0"/>
    <m/>
    <n v="0"/>
  </r>
  <r>
    <s v="BOM/PIE"/>
    <x v="972"/>
    <x v="4"/>
    <x v="3"/>
    <x v="46"/>
    <x v="6"/>
    <x v="972"/>
    <n v="14168"/>
    <n v="33.5"/>
    <m/>
    <n v="0"/>
    <m/>
    <n v="0"/>
  </r>
  <r>
    <s v="BOM/ROW"/>
    <x v="973"/>
    <x v="4"/>
    <x v="3"/>
    <x v="46"/>
    <x v="6"/>
    <x v="973"/>
    <n v="14187"/>
    <n v="33.5"/>
    <m/>
    <n v="0"/>
    <m/>
    <n v="0"/>
  </r>
  <r>
    <s v="BOM/SPS"/>
    <x v="974"/>
    <x v="4"/>
    <x v="3"/>
    <x v="46"/>
    <x v="6"/>
    <x v="974"/>
    <n v="14046"/>
    <n v="33.25"/>
    <m/>
    <n v="0"/>
    <m/>
    <n v="0"/>
  </r>
  <r>
    <s v="BOM/VPS"/>
    <x v="975"/>
    <x v="4"/>
    <x v="3"/>
    <x v="46"/>
    <x v="6"/>
    <x v="975"/>
    <n v="14082"/>
    <n v="33.25"/>
    <m/>
    <n v="0"/>
    <m/>
    <n v="0"/>
  </r>
  <r>
    <s v="BOM/YUM"/>
    <x v="976"/>
    <x v="4"/>
    <x v="3"/>
    <x v="46"/>
    <x v="6"/>
    <x v="976"/>
    <n v="14210"/>
    <n v="33.5"/>
    <m/>
    <n v="0"/>
    <m/>
    <n v="0"/>
  </r>
  <r>
    <s v="BOM/VLN"/>
    <x v="977"/>
    <x v="4"/>
    <x v="3"/>
    <x v="48"/>
    <x v="3"/>
    <x v="977"/>
    <n v="14631"/>
    <n v="34.5"/>
    <m/>
    <n v="0"/>
    <m/>
    <n v="0"/>
  </r>
  <r>
    <s v="BOM/NOV"/>
    <x v="978"/>
    <x v="4"/>
    <x v="0"/>
    <x v="91"/>
    <x v="0"/>
    <x v="978"/>
    <n v="7192"/>
    <m/>
    <m/>
    <n v="0"/>
    <m/>
    <n v="0"/>
  </r>
  <r>
    <s v="BOM/NGE"/>
    <x v="979"/>
    <x v="4"/>
    <x v="0"/>
    <x v="172"/>
    <x v="0"/>
    <x v="979"/>
    <n v="6523"/>
    <m/>
    <m/>
    <n v="0"/>
    <m/>
    <n v="0"/>
  </r>
  <r>
    <s v="BOM/KMN"/>
    <x v="980"/>
    <x v="4"/>
    <x v="0"/>
    <x v="173"/>
    <x v="0"/>
    <x v="980"/>
    <n v="6062"/>
    <m/>
    <m/>
    <n v="0"/>
    <m/>
    <n v="0"/>
  </r>
  <r>
    <s v="BOM/RCQ"/>
    <x v="981"/>
    <x v="4"/>
    <x v="0"/>
    <x v="61"/>
    <x v="3"/>
    <x v="981"/>
    <n v="15108"/>
    <n v="35.5"/>
    <m/>
    <n v="0"/>
    <m/>
    <n v="0"/>
  </r>
  <r>
    <s v="BOM/JRH"/>
    <x v="982"/>
    <x v="4"/>
    <x v="0"/>
    <x v="20"/>
    <x v="1"/>
    <x v="982"/>
    <n v="2338"/>
    <m/>
    <m/>
    <n v="0"/>
    <m/>
    <n v="0"/>
  </r>
  <r>
    <s v="BOM/IFO"/>
    <x v="983"/>
    <x v="4"/>
    <x v="3"/>
    <x v="118"/>
    <x v="2"/>
    <x v="983"/>
    <n v="5410"/>
    <m/>
    <m/>
    <n v="0"/>
    <m/>
    <n v="0"/>
  </r>
  <r>
    <s v="BOM/SNU"/>
    <x v="984"/>
    <x v="4"/>
    <x v="0"/>
    <x v="60"/>
    <x v="5"/>
    <x v="984"/>
    <n v="14532"/>
    <n v="34.25"/>
    <m/>
    <n v="0"/>
    <m/>
    <n v="0"/>
  </r>
  <r>
    <s v="BOM/JGA"/>
    <x v="985"/>
    <x v="4"/>
    <x v="0"/>
    <x v="20"/>
    <x v="1"/>
    <x v="985"/>
    <n v="478"/>
    <m/>
    <m/>
    <n v="0"/>
    <m/>
    <n v="0"/>
  </r>
  <r>
    <s v="BOM/COQ"/>
    <x v="986"/>
    <x v="4"/>
    <x v="0"/>
    <x v="26"/>
    <x v="1"/>
    <x v="986"/>
    <n v="4944"/>
    <m/>
    <m/>
    <n v="0"/>
    <m/>
    <n v="0"/>
  </r>
  <r>
    <s v="BOM/STI"/>
    <x v="987"/>
    <x v="4"/>
    <x v="5"/>
    <x v="79"/>
    <x v="5"/>
    <x v="987"/>
    <n v="14171"/>
    <m/>
    <m/>
    <n v="0"/>
    <m/>
    <n v="0"/>
  </r>
  <r>
    <s v="BOM/MTS"/>
    <x v="988"/>
    <x v="4"/>
    <x v="0"/>
    <x v="174"/>
    <x v="0"/>
    <x v="988"/>
    <n v="6771"/>
    <m/>
    <m/>
    <n v="0"/>
    <m/>
    <n v="0"/>
  </r>
  <r>
    <s v="BOM/NQY"/>
    <x v="989"/>
    <x v="4"/>
    <x v="3"/>
    <x v="40"/>
    <x v="2"/>
    <x v="989"/>
    <n v="7535"/>
    <m/>
    <m/>
    <n v="0"/>
    <m/>
    <n v="0"/>
  </r>
  <r>
    <s v="BOM/GME"/>
    <x v="990"/>
    <x v="4"/>
    <x v="0"/>
    <x v="112"/>
    <x v="2"/>
    <x v="990"/>
    <n v="5176"/>
    <m/>
    <m/>
    <n v="0"/>
    <m/>
    <n v="0"/>
  </r>
  <r>
    <s v="BOM/SFS"/>
    <x v="991"/>
    <x v="4"/>
    <x v="0"/>
    <x v="14"/>
    <x v="1"/>
    <x v="991"/>
    <n v="5051"/>
    <m/>
    <m/>
    <n v="0"/>
    <m/>
    <n v="0"/>
  </r>
  <r>
    <s v="BOM/BNX"/>
    <x v="992"/>
    <x v="4"/>
    <x v="0"/>
    <x v="161"/>
    <x v="2"/>
    <x v="992"/>
    <n v="5835"/>
    <m/>
    <m/>
    <n v="0"/>
    <m/>
    <n v="0"/>
  </r>
  <r>
    <s v="BOM/MZI"/>
    <x v="993"/>
    <x v="4"/>
    <x v="0"/>
    <x v="164"/>
    <x v="0"/>
    <x v="993"/>
    <n v="8144"/>
    <m/>
    <m/>
    <n v="0"/>
    <m/>
    <n v="0"/>
  </r>
  <r>
    <s v="BOM/KSO"/>
    <x v="994"/>
    <x v="4"/>
    <x v="0"/>
    <x v="65"/>
    <x v="2"/>
    <x v="994"/>
    <n v="5425"/>
    <m/>
    <m/>
    <n v="0"/>
    <m/>
    <n v="0"/>
  </r>
  <r>
    <s v="BOM/AGT"/>
    <x v="995"/>
    <x v="4"/>
    <x v="0"/>
    <x v="169"/>
    <x v="3"/>
    <x v="995"/>
    <n v="14625"/>
    <n v="34.5"/>
    <m/>
    <n v="0"/>
    <m/>
    <n v="0"/>
  </r>
  <r>
    <s v="BOM/WJU"/>
    <x v="996"/>
    <x v="4"/>
    <x v="0"/>
    <x v="36"/>
    <x v="1"/>
    <x v="996"/>
    <n v="5681"/>
    <m/>
    <m/>
    <n v="0"/>
    <m/>
    <n v="0"/>
  </r>
  <r>
    <s v="BOM/VXC"/>
    <x v="997"/>
    <x v="4"/>
    <x v="0"/>
    <x v="175"/>
    <x v="0"/>
    <x v="997"/>
    <n v="5470"/>
    <m/>
    <m/>
    <n v="0"/>
    <m/>
    <n v="0"/>
  </r>
  <r>
    <s v="BOM/OHD"/>
    <x v="998"/>
    <x v="4"/>
    <x v="0"/>
    <x v="176"/>
    <x v="2"/>
    <x v="998"/>
    <n v="5484"/>
    <m/>
    <m/>
    <n v="0"/>
    <m/>
    <n v="0"/>
  </r>
  <r>
    <s v="BOM/OLA"/>
    <x v="999"/>
    <x v="4"/>
    <x v="0"/>
    <x v="22"/>
    <x v="2"/>
    <x v="999"/>
    <n v="6808"/>
    <m/>
    <m/>
    <n v="0"/>
    <m/>
    <n v="0"/>
  </r>
  <r>
    <s v="BOM/NTY"/>
    <x v="1000"/>
    <x v="4"/>
    <x v="0"/>
    <x v="7"/>
    <x v="0"/>
    <x v="1000"/>
    <n v="6988"/>
    <m/>
    <m/>
    <n v="0"/>
    <m/>
    <n v="0"/>
  </r>
  <r>
    <s v="BOM/KYZ"/>
    <x v="1001"/>
    <x v="4"/>
    <x v="0"/>
    <x v="18"/>
    <x v="2"/>
    <x v="1001"/>
    <n v="4083"/>
    <m/>
    <m/>
    <n v="0"/>
    <m/>
    <n v="0"/>
  </r>
  <r>
    <s v="BOM/MCX"/>
    <x v="1002"/>
    <x v="4"/>
    <x v="0"/>
    <x v="18"/>
    <x v="2"/>
    <x v="1002"/>
    <n v="3542"/>
    <m/>
    <m/>
    <n v="0"/>
    <m/>
    <n v="0"/>
  </r>
  <r>
    <s v="BOM/USQ"/>
    <x v="1003"/>
    <x v="4"/>
    <x v="0"/>
    <x v="10"/>
    <x v="1"/>
    <x v="1003"/>
    <n v="4697"/>
    <m/>
    <m/>
    <n v="0"/>
    <m/>
    <n v="0"/>
  </r>
  <r>
    <s v="BOM/TBU"/>
    <x v="1004"/>
    <x v="4"/>
    <x v="3"/>
    <x v="177"/>
    <x v="4"/>
    <x v="1004"/>
    <n v="12973"/>
    <m/>
    <m/>
    <n v="0"/>
    <m/>
    <n v="0"/>
  </r>
  <r>
    <s v="BOM/MDG"/>
    <x v="1005"/>
    <x v="4"/>
    <x v="5"/>
    <x v="6"/>
    <x v="1"/>
    <x v="1005"/>
    <n v="5915"/>
    <m/>
    <m/>
    <n v="0"/>
    <m/>
    <n v="0"/>
  </r>
  <r>
    <s v="BOM/YNJ"/>
    <x v="1006"/>
    <x v="4"/>
    <x v="5"/>
    <x v="6"/>
    <x v="1"/>
    <x v="1006"/>
    <n v="5878"/>
    <m/>
    <m/>
    <n v="0"/>
    <m/>
    <n v="0"/>
  </r>
  <r>
    <s v="BOM/NDG"/>
    <x v="1007"/>
    <x v="4"/>
    <x v="5"/>
    <x v="6"/>
    <x v="1"/>
    <x v="1007"/>
    <n v="5555"/>
    <m/>
    <m/>
    <n v="0"/>
    <m/>
    <n v="0"/>
  </r>
  <r>
    <s v="BOM/DDG"/>
    <x v="1008"/>
    <x v="4"/>
    <x v="5"/>
    <x v="6"/>
    <x v="1"/>
    <x v="1008"/>
    <n v="5403"/>
    <m/>
    <m/>
    <n v="0"/>
    <m/>
    <n v="0"/>
  </r>
  <r>
    <s v="BOM/HLD"/>
    <x v="1009"/>
    <x v="4"/>
    <x v="5"/>
    <x v="6"/>
    <x v="1"/>
    <x v="1009"/>
    <n v="5339"/>
    <m/>
    <m/>
    <n v="0"/>
    <m/>
    <n v="0"/>
  </r>
  <r>
    <s v="BOM/WEH"/>
    <x v="1010"/>
    <x v="4"/>
    <x v="5"/>
    <x v="6"/>
    <x v="1"/>
    <x v="1010"/>
    <n v="5175"/>
    <m/>
    <m/>
    <n v="0"/>
    <m/>
    <n v="0"/>
  </r>
  <r>
    <s v="BOM/JNZ"/>
    <x v="1011"/>
    <x v="4"/>
    <x v="5"/>
    <x v="6"/>
    <x v="1"/>
    <x v="1011"/>
    <n v="5160"/>
    <m/>
    <m/>
    <n v="0"/>
    <m/>
    <n v="0"/>
  </r>
  <r>
    <s v="BOM/YNT"/>
    <x v="1012"/>
    <x v="4"/>
    <x v="5"/>
    <x v="6"/>
    <x v="1"/>
    <x v="1012"/>
    <n v="5104"/>
    <m/>
    <m/>
    <n v="0"/>
    <m/>
    <n v="0"/>
  </r>
  <r>
    <s v="BOM/TAT"/>
    <x v="1013"/>
    <x v="4"/>
    <x v="0"/>
    <x v="107"/>
    <x v="2"/>
    <x v="1013"/>
    <n v="5725"/>
    <m/>
    <m/>
    <n v="0"/>
    <m/>
    <n v="0"/>
  </r>
  <r>
    <s v="BOM/WEF"/>
    <x v="1014"/>
    <x v="4"/>
    <x v="5"/>
    <x v="6"/>
    <x v="1"/>
    <x v="1014"/>
    <n v="4892"/>
    <m/>
    <m/>
    <n v="0"/>
    <m/>
    <n v="0"/>
  </r>
  <r>
    <s v="BOM/ABC"/>
    <x v="1015"/>
    <x v="4"/>
    <x v="0"/>
    <x v="32"/>
    <x v="2"/>
    <x v="1015"/>
    <n v="7393"/>
    <m/>
    <m/>
    <n v="0"/>
    <m/>
    <n v="0"/>
  </r>
  <r>
    <s v="BOM/ORB"/>
    <x v="1016"/>
    <x v="4"/>
    <x v="0"/>
    <x v="63"/>
    <x v="2"/>
    <x v="1016"/>
    <n v="6386"/>
    <m/>
    <m/>
    <n v="0"/>
    <m/>
    <n v="0"/>
  </r>
  <r>
    <s v="BOM/OZH"/>
    <x v="1017"/>
    <x v="4"/>
    <x v="0"/>
    <x v="118"/>
    <x v="2"/>
    <x v="1017"/>
    <n v="4652"/>
    <m/>
    <m/>
    <n v="0"/>
    <m/>
    <n v="0"/>
  </r>
  <r>
    <s v="BOM/MPW"/>
    <x v="1018"/>
    <x v="4"/>
    <x v="0"/>
    <x v="118"/>
    <x v="2"/>
    <x v="1018"/>
    <n v="4469"/>
    <m/>
    <m/>
    <n v="0"/>
    <m/>
    <n v="0"/>
  </r>
  <r>
    <s v="BOM/GGG"/>
    <x v="1019"/>
    <x v="4"/>
    <x v="0"/>
    <x v="46"/>
    <x v="6"/>
    <x v="1019"/>
    <n v="14144"/>
    <n v="33.5"/>
    <m/>
    <n v="0"/>
    <m/>
    <n v="0"/>
  </r>
  <r>
    <s v="BOM/MEI"/>
    <x v="1020"/>
    <x v="4"/>
    <x v="0"/>
    <x v="46"/>
    <x v="6"/>
    <x v="1020"/>
    <n v="13975"/>
    <n v="33"/>
    <m/>
    <n v="0"/>
    <m/>
    <n v="0"/>
  </r>
  <r>
    <s v="BOM/PUB"/>
    <x v="1021"/>
    <x v="4"/>
    <x v="0"/>
    <x v="46"/>
    <x v="6"/>
    <x v="1021"/>
    <n v="13632"/>
    <n v="32.25"/>
    <m/>
    <n v="0"/>
    <m/>
    <n v="0"/>
  </r>
  <r>
    <s v="BOM/SCK"/>
    <x v="1022"/>
    <x v="4"/>
    <x v="0"/>
    <x v="46"/>
    <x v="6"/>
    <x v="1022"/>
    <n v="13513"/>
    <n v="32"/>
    <m/>
    <n v="0"/>
    <m/>
    <n v="0"/>
  </r>
  <r>
    <s v="BOM/VCT"/>
    <x v="1023"/>
    <x v="4"/>
    <x v="0"/>
    <x v="46"/>
    <x v="6"/>
    <x v="1023"/>
    <n v="14576"/>
    <n v="34.5"/>
    <m/>
    <n v="0"/>
    <m/>
    <n v="0"/>
  </r>
  <r>
    <s v="BOM/FLL"/>
    <x v="1024"/>
    <x v="4"/>
    <x v="4"/>
    <x v="46"/>
    <x v="6"/>
    <x v="1024"/>
    <n v="14213"/>
    <m/>
    <m/>
    <n v="0"/>
    <m/>
    <n v="0"/>
  </r>
  <r>
    <s v="BOM/SAT"/>
    <x v="1025"/>
    <x v="4"/>
    <x v="1"/>
    <x v="46"/>
    <x v="6"/>
    <x v="1025"/>
    <n v="14533"/>
    <m/>
    <m/>
    <n v="0"/>
    <m/>
    <n v="0"/>
  </r>
  <r>
    <s v="BOM/DAL"/>
    <x v="1026"/>
    <x v="4"/>
    <x v="1"/>
    <x v="46"/>
    <x v="6"/>
    <x v="1026"/>
    <n v="14141"/>
    <m/>
    <m/>
    <n v="0"/>
    <m/>
    <n v="0"/>
  </r>
  <r>
    <s v="BOM/SMF"/>
    <x v="1027"/>
    <x v="4"/>
    <x v="1"/>
    <x v="46"/>
    <x v="6"/>
    <x v="1027"/>
    <n v="13419"/>
    <m/>
    <m/>
    <n v="0"/>
    <m/>
    <n v="0"/>
  </r>
  <r>
    <s v="BOM/BFF"/>
    <x v="1028"/>
    <x v="4"/>
    <x v="1"/>
    <x v="46"/>
    <x v="6"/>
    <x v="1028"/>
    <n v="13230"/>
    <m/>
    <m/>
    <n v="0"/>
    <m/>
    <n v="0"/>
  </r>
  <r>
    <s v="BOM/CLE"/>
    <x v="1029"/>
    <x v="4"/>
    <x v="1"/>
    <x v="46"/>
    <x v="6"/>
    <x v="1029"/>
    <n v="12804"/>
    <m/>
    <m/>
    <n v="0"/>
    <m/>
    <n v="0"/>
  </r>
  <r>
    <s v="BOM/ORF"/>
    <x v="1030"/>
    <x v="4"/>
    <x v="2"/>
    <x v="46"/>
    <x v="6"/>
    <x v="1030"/>
    <n v="12998"/>
    <m/>
    <m/>
    <n v="0"/>
    <m/>
    <n v="0"/>
  </r>
  <r>
    <s v="BOM/BUF"/>
    <x v="1031"/>
    <x v="4"/>
    <x v="2"/>
    <x v="46"/>
    <x v="6"/>
    <x v="1031"/>
    <n v="12534"/>
    <m/>
    <m/>
    <n v="0"/>
    <m/>
    <n v="0"/>
  </r>
  <r>
    <s v="BOM/LAW"/>
    <x v="1032"/>
    <x v="4"/>
    <x v="3"/>
    <x v="46"/>
    <x v="6"/>
    <x v="1032"/>
    <n v="13981"/>
    <m/>
    <m/>
    <n v="0"/>
    <m/>
    <n v="0"/>
  </r>
  <r>
    <s v="BOM/DHN"/>
    <x v="1033"/>
    <x v="4"/>
    <x v="3"/>
    <x v="46"/>
    <x v="6"/>
    <x v="1033"/>
    <n v="13954"/>
    <m/>
    <m/>
    <n v="0"/>
    <m/>
    <n v="0"/>
  </r>
  <r>
    <s v="BOM/HLN"/>
    <x v="1034"/>
    <x v="4"/>
    <x v="3"/>
    <x v="46"/>
    <x v="6"/>
    <x v="1034"/>
    <n v="12697"/>
    <m/>
    <m/>
    <n v="0"/>
    <m/>
    <n v="0"/>
  </r>
  <r>
    <s v="BOM/AKN"/>
    <x v="1035"/>
    <x v="4"/>
    <x v="3"/>
    <x v="46"/>
    <x v="6"/>
    <x v="1035"/>
    <n v="10262"/>
    <m/>
    <m/>
    <n v="0"/>
    <m/>
    <n v="0"/>
  </r>
  <r>
    <s v="BOM/SAF"/>
    <x v="1036"/>
    <x v="4"/>
    <x v="0"/>
    <x v="46"/>
    <x v="6"/>
    <x v="1036"/>
    <n v="13935"/>
    <m/>
    <m/>
    <n v="0"/>
    <m/>
    <n v="0"/>
  </r>
  <r>
    <s v="BOM/ALS"/>
    <x v="1037"/>
    <x v="4"/>
    <x v="0"/>
    <x v="46"/>
    <x v="6"/>
    <x v="1037"/>
    <n v="13732"/>
    <m/>
    <m/>
    <n v="0"/>
    <m/>
    <n v="0"/>
  </r>
  <r>
    <s v="BOM/CDC"/>
    <x v="1038"/>
    <x v="4"/>
    <x v="0"/>
    <x v="46"/>
    <x v="6"/>
    <x v="1038"/>
    <n v="13673"/>
    <m/>
    <m/>
    <n v="0"/>
    <m/>
    <n v="0"/>
  </r>
  <r>
    <s v="BOM/FNL"/>
    <x v="1039"/>
    <x v="4"/>
    <x v="0"/>
    <x v="46"/>
    <x v="6"/>
    <x v="1039"/>
    <n v="13394"/>
    <m/>
    <m/>
    <n v="0"/>
    <m/>
    <n v="0"/>
  </r>
  <r>
    <s v="BOM/JJN"/>
    <x v="1040"/>
    <x v="4"/>
    <x v="5"/>
    <x v="6"/>
    <x v="1"/>
    <x v="1040"/>
    <n v="4738"/>
    <m/>
    <m/>
    <n v="0"/>
    <m/>
    <n v="0"/>
  </r>
  <r>
    <s v="BOM/BFU"/>
    <x v="1041"/>
    <x v="4"/>
    <x v="5"/>
    <x v="6"/>
    <x v="1"/>
    <x v="1041"/>
    <n v="4662"/>
    <m/>
    <m/>
    <n v="0"/>
    <m/>
    <n v="0"/>
  </r>
  <r>
    <s v="BOM/YIH"/>
    <x v="1042"/>
    <x v="4"/>
    <x v="5"/>
    <x v="6"/>
    <x v="1"/>
    <x v="1042"/>
    <n v="4078"/>
    <m/>
    <m/>
    <n v="0"/>
    <m/>
    <n v="0"/>
  </r>
  <r>
    <s v="BOM/DYG"/>
    <x v="1043"/>
    <x v="4"/>
    <x v="5"/>
    <x v="6"/>
    <x v="1"/>
    <x v="1043"/>
    <n v="3955"/>
    <m/>
    <m/>
    <n v="0"/>
    <m/>
    <n v="0"/>
  </r>
  <r>
    <s v="BOM/NNG"/>
    <x v="1044"/>
    <x v="4"/>
    <x v="5"/>
    <x v="6"/>
    <x v="1"/>
    <x v="1044"/>
    <n v="3683"/>
    <m/>
    <m/>
    <n v="0"/>
    <m/>
    <n v="0"/>
  </r>
  <r>
    <s v="BOM/LAR"/>
    <x v="1045"/>
    <x v="4"/>
    <x v="0"/>
    <x v="46"/>
    <x v="6"/>
    <x v="1045"/>
    <n v="13300"/>
    <m/>
    <m/>
    <n v="0"/>
    <m/>
    <n v="0"/>
  </r>
  <r>
    <s v="BOM/DEC"/>
    <x v="1046"/>
    <x v="4"/>
    <x v="0"/>
    <x v="46"/>
    <x v="6"/>
    <x v="1046"/>
    <n v="13198"/>
    <m/>
    <m/>
    <n v="0"/>
    <m/>
    <n v="0"/>
  </r>
  <r>
    <s v="BOM/TWF"/>
    <x v="1047"/>
    <x v="4"/>
    <x v="0"/>
    <x v="46"/>
    <x v="6"/>
    <x v="1047"/>
    <n v="13130"/>
    <m/>
    <m/>
    <n v="0"/>
    <m/>
    <n v="0"/>
  </r>
  <r>
    <s v="BOM/SUX"/>
    <x v="1048"/>
    <x v="4"/>
    <x v="0"/>
    <x v="46"/>
    <x v="6"/>
    <x v="1048"/>
    <n v="13092"/>
    <m/>
    <m/>
    <n v="0"/>
    <m/>
    <n v="0"/>
  </r>
  <r>
    <s v="BOM/ALO"/>
    <x v="1049"/>
    <x v="4"/>
    <x v="0"/>
    <x v="46"/>
    <x v="6"/>
    <x v="1049"/>
    <n v="12999"/>
    <m/>
    <m/>
    <n v="0"/>
    <m/>
    <n v="0"/>
  </r>
  <r>
    <s v="BOM/COD"/>
    <x v="1050"/>
    <x v="4"/>
    <x v="0"/>
    <x v="46"/>
    <x v="6"/>
    <x v="1050"/>
    <n v="12943"/>
    <m/>
    <m/>
    <n v="0"/>
    <m/>
    <n v="0"/>
  </r>
  <r>
    <s v="BOM/SHR"/>
    <x v="1051"/>
    <x v="4"/>
    <x v="0"/>
    <x v="46"/>
    <x v="6"/>
    <x v="1051"/>
    <n v="12918"/>
    <m/>
    <m/>
    <n v="0"/>
    <m/>
    <n v="0"/>
  </r>
  <r>
    <s v="BOM/LBE"/>
    <x v="1052"/>
    <x v="4"/>
    <x v="0"/>
    <x v="46"/>
    <x v="6"/>
    <x v="1052"/>
    <n v="12820"/>
    <m/>
    <m/>
    <n v="0"/>
    <m/>
    <n v="0"/>
  </r>
  <r>
    <s v="BOM/YNG"/>
    <x v="1053"/>
    <x v="4"/>
    <x v="0"/>
    <x v="46"/>
    <x v="6"/>
    <x v="1053"/>
    <n v="12774"/>
    <m/>
    <m/>
    <n v="0"/>
    <m/>
    <n v="0"/>
  </r>
  <r>
    <s v="BOM/BTM"/>
    <x v="1054"/>
    <x v="4"/>
    <x v="0"/>
    <x v="46"/>
    <x v="6"/>
    <x v="1054"/>
    <n v="12765"/>
    <m/>
    <m/>
    <n v="0"/>
    <m/>
    <n v="0"/>
  </r>
  <r>
    <s v="BOM/APN"/>
    <x v="1055"/>
    <x v="4"/>
    <x v="0"/>
    <x v="46"/>
    <x v="6"/>
    <x v="1055"/>
    <n v="12494"/>
    <m/>
    <m/>
    <n v="0"/>
    <m/>
    <n v="0"/>
  </r>
  <r>
    <s v="BOM/BAF"/>
    <x v="1056"/>
    <x v="4"/>
    <x v="0"/>
    <x v="46"/>
    <x v="6"/>
    <x v="1056"/>
    <n v="12346"/>
    <m/>
    <m/>
    <n v="0"/>
    <m/>
    <n v="0"/>
  </r>
  <r>
    <s v="BOM/HRL"/>
    <x v="1057"/>
    <x v="4"/>
    <x v="5"/>
    <x v="46"/>
    <x v="6"/>
    <x v="1057"/>
    <n v="14877"/>
    <m/>
    <m/>
    <n v="0"/>
    <m/>
    <n v="0"/>
  </r>
  <r>
    <s v="BOM/LRD"/>
    <x v="1058"/>
    <x v="4"/>
    <x v="5"/>
    <x v="46"/>
    <x v="6"/>
    <x v="1058"/>
    <n v="14768"/>
    <m/>
    <m/>
    <n v="0"/>
    <m/>
    <n v="0"/>
  </r>
  <r>
    <s v="BOM/GPT"/>
    <x v="1059"/>
    <x v="4"/>
    <x v="5"/>
    <x v="46"/>
    <x v="6"/>
    <x v="1059"/>
    <n v="14186"/>
    <m/>
    <m/>
    <n v="0"/>
    <m/>
    <n v="0"/>
  </r>
  <r>
    <s v="BOM/MOB"/>
    <x v="1060"/>
    <x v="4"/>
    <x v="5"/>
    <x v="46"/>
    <x v="6"/>
    <x v="1060"/>
    <n v="14126"/>
    <m/>
    <m/>
    <n v="0"/>
    <m/>
    <n v="0"/>
  </r>
  <r>
    <s v="BOM/SHV"/>
    <x v="1061"/>
    <x v="4"/>
    <x v="5"/>
    <x v="46"/>
    <x v="6"/>
    <x v="1061"/>
    <n v="14116"/>
    <m/>
    <m/>
    <n v="0"/>
    <m/>
    <n v="0"/>
  </r>
  <r>
    <s v="BOM/JAN"/>
    <x v="1062"/>
    <x v="4"/>
    <x v="5"/>
    <x v="46"/>
    <x v="6"/>
    <x v="1062"/>
    <n v="14022"/>
    <m/>
    <m/>
    <n v="0"/>
    <m/>
    <n v="0"/>
  </r>
  <r>
    <s v="BOM/MGM"/>
    <x v="1063"/>
    <x v="4"/>
    <x v="5"/>
    <x v="46"/>
    <x v="6"/>
    <x v="1063"/>
    <n v="13893"/>
    <m/>
    <m/>
    <n v="0"/>
    <m/>
    <n v="0"/>
  </r>
  <r>
    <s v="BOM/GCN"/>
    <x v="1064"/>
    <x v="4"/>
    <x v="5"/>
    <x v="46"/>
    <x v="6"/>
    <x v="1064"/>
    <n v="13876"/>
    <m/>
    <m/>
    <n v="0"/>
    <m/>
    <n v="0"/>
  </r>
  <r>
    <s v="BOM/LIT"/>
    <x v="1065"/>
    <x v="4"/>
    <x v="5"/>
    <x v="46"/>
    <x v="6"/>
    <x v="1065"/>
    <n v="13830"/>
    <m/>
    <m/>
    <n v="0"/>
    <m/>
    <n v="0"/>
  </r>
  <r>
    <s v="BOM/XNA"/>
    <x v="1066"/>
    <x v="4"/>
    <x v="5"/>
    <x v="46"/>
    <x v="6"/>
    <x v="1066"/>
    <n v="13716"/>
    <m/>
    <m/>
    <n v="0"/>
    <m/>
    <n v="0"/>
  </r>
  <r>
    <s v="BOM/CHS"/>
    <x v="1067"/>
    <x v="4"/>
    <x v="5"/>
    <x v="46"/>
    <x v="6"/>
    <x v="1067"/>
    <n v="13561"/>
    <m/>
    <m/>
    <n v="0"/>
    <m/>
    <n v="0"/>
  </r>
  <r>
    <s v="BOM/CAE"/>
    <x v="1068"/>
    <x v="4"/>
    <x v="5"/>
    <x v="46"/>
    <x v="6"/>
    <x v="1068"/>
    <n v="13510"/>
    <m/>
    <m/>
    <n v="0"/>
    <m/>
    <n v="0"/>
  </r>
  <r>
    <s v="BOM/EGE"/>
    <x v="1069"/>
    <x v="4"/>
    <x v="5"/>
    <x v="46"/>
    <x v="6"/>
    <x v="1069"/>
    <n v="13488"/>
    <m/>
    <m/>
    <n v="0"/>
    <m/>
    <n v="0"/>
  </r>
  <r>
    <s v="BOM/TYS"/>
    <x v="1070"/>
    <x v="4"/>
    <x v="5"/>
    <x v="46"/>
    <x v="6"/>
    <x v="1070"/>
    <n v="13445"/>
    <m/>
    <m/>
    <n v="0"/>
    <m/>
    <n v="0"/>
  </r>
  <r>
    <s v="BOM/DSM"/>
    <x v="1071"/>
    <x v="4"/>
    <x v="5"/>
    <x v="46"/>
    <x v="6"/>
    <x v="1071"/>
    <n v="13136"/>
    <m/>
    <m/>
    <n v="0"/>
    <m/>
    <n v="0"/>
  </r>
  <r>
    <s v="BOM/CID"/>
    <x v="1072"/>
    <x v="4"/>
    <x v="5"/>
    <x v="46"/>
    <x v="6"/>
    <x v="1072"/>
    <n v="13055"/>
    <m/>
    <m/>
    <n v="0"/>
    <m/>
    <n v="0"/>
  </r>
  <r>
    <s v="BOM/IDA"/>
    <x v="1073"/>
    <x v="4"/>
    <x v="5"/>
    <x v="46"/>
    <x v="6"/>
    <x v="1073"/>
    <n v="13039"/>
    <m/>
    <m/>
    <n v="0"/>
    <m/>
    <n v="0"/>
  </r>
  <r>
    <s v="BOM/MFR"/>
    <x v="1074"/>
    <x v="4"/>
    <x v="5"/>
    <x v="46"/>
    <x v="6"/>
    <x v="1074"/>
    <n v="12996"/>
    <m/>
    <m/>
    <n v="0"/>
    <m/>
    <n v="0"/>
  </r>
  <r>
    <s v="BOM/RIC"/>
    <x v="1075"/>
    <x v="4"/>
    <x v="5"/>
    <x v="46"/>
    <x v="6"/>
    <x v="1075"/>
    <n v="12994"/>
    <m/>
    <m/>
    <n v="0"/>
    <m/>
    <n v="0"/>
  </r>
  <r>
    <s v="BOM/RAP"/>
    <x v="1076"/>
    <x v="4"/>
    <x v="5"/>
    <x v="46"/>
    <x v="6"/>
    <x v="1076"/>
    <n v="12986"/>
    <m/>
    <m/>
    <n v="0"/>
    <m/>
    <n v="0"/>
  </r>
  <r>
    <s v="BOM/FSD"/>
    <x v="1077"/>
    <x v="4"/>
    <x v="5"/>
    <x v="46"/>
    <x v="6"/>
    <x v="1077"/>
    <n v="12969"/>
    <m/>
    <m/>
    <n v="0"/>
    <m/>
    <n v="0"/>
  </r>
  <r>
    <s v="BOM/SBN"/>
    <x v="1078"/>
    <x v="4"/>
    <x v="5"/>
    <x v="46"/>
    <x v="6"/>
    <x v="1078"/>
    <n v="12927"/>
    <m/>
    <m/>
    <n v="0"/>
    <m/>
    <n v="0"/>
  </r>
  <r>
    <s v="BOM/MSN"/>
    <x v="1079"/>
    <x v="4"/>
    <x v="5"/>
    <x v="46"/>
    <x v="6"/>
    <x v="1079"/>
    <n v="12863"/>
    <m/>
    <m/>
    <n v="0"/>
    <m/>
    <n v="0"/>
  </r>
  <r>
    <s v="BOM/LSE"/>
    <x v="1080"/>
    <x v="4"/>
    <x v="5"/>
    <x v="46"/>
    <x v="6"/>
    <x v="1080"/>
    <n v="12832"/>
    <m/>
    <m/>
    <n v="0"/>
    <m/>
    <n v="0"/>
  </r>
  <r>
    <s v="BOM/BZN"/>
    <x v="1081"/>
    <x v="4"/>
    <x v="5"/>
    <x v="46"/>
    <x v="6"/>
    <x v="1081"/>
    <n v="12794"/>
    <m/>
    <m/>
    <n v="0"/>
    <m/>
    <n v="0"/>
  </r>
  <r>
    <s v="BOM/GRB"/>
    <x v="1082"/>
    <x v="4"/>
    <x v="5"/>
    <x v="46"/>
    <x v="6"/>
    <x v="1082"/>
    <n v="12690"/>
    <m/>
    <m/>
    <n v="0"/>
    <m/>
    <n v="0"/>
  </r>
  <r>
    <s v="BOM/BIS"/>
    <x v="1083"/>
    <x v="4"/>
    <x v="5"/>
    <x v="46"/>
    <x v="6"/>
    <x v="1083"/>
    <n v="12667"/>
    <m/>
    <m/>
    <n v="0"/>
    <m/>
    <n v="0"/>
  </r>
  <r>
    <s v="BOM/FAR"/>
    <x v="1084"/>
    <x v="4"/>
    <x v="5"/>
    <x v="46"/>
    <x v="6"/>
    <x v="1084"/>
    <n v="12606"/>
    <m/>
    <m/>
    <n v="0"/>
    <m/>
    <n v="0"/>
  </r>
  <r>
    <s v="BOM/GEG"/>
    <x v="1085"/>
    <x v="4"/>
    <x v="5"/>
    <x v="46"/>
    <x v="6"/>
    <x v="1085"/>
    <n v="12528"/>
    <m/>
    <m/>
    <n v="0"/>
    <m/>
    <n v="0"/>
  </r>
  <r>
    <s v="BOM/FCA"/>
    <x v="1086"/>
    <x v="4"/>
    <x v="5"/>
    <x v="46"/>
    <x v="6"/>
    <x v="1086"/>
    <n v="12490"/>
    <m/>
    <m/>
    <n v="0"/>
    <m/>
    <n v="0"/>
  </r>
  <r>
    <s v="BOM/SYR"/>
    <x v="1087"/>
    <x v="4"/>
    <x v="5"/>
    <x v="46"/>
    <x v="6"/>
    <x v="1087"/>
    <n v="12409"/>
    <m/>
    <m/>
    <n v="0"/>
    <m/>
    <n v="0"/>
  </r>
  <r>
    <s v="BOM/ALB"/>
    <x v="1088"/>
    <x v="4"/>
    <x v="5"/>
    <x v="46"/>
    <x v="6"/>
    <x v="1088"/>
    <n v="12342"/>
    <m/>
    <m/>
    <n v="0"/>
    <m/>
    <n v="0"/>
  </r>
  <r>
    <s v="BOM/BTV"/>
    <x v="1089"/>
    <x v="4"/>
    <x v="5"/>
    <x v="46"/>
    <x v="6"/>
    <x v="1089"/>
    <n v="12154"/>
    <m/>
    <m/>
    <n v="0"/>
    <m/>
    <n v="0"/>
  </r>
  <r>
    <s v="BOM/JNU"/>
    <x v="1090"/>
    <x v="4"/>
    <x v="5"/>
    <x v="46"/>
    <x v="6"/>
    <x v="1090"/>
    <n v="11044"/>
    <m/>
    <m/>
    <n v="0"/>
    <m/>
    <n v="0"/>
  </r>
  <r>
    <s v="BOM/VLI"/>
    <x v="1091"/>
    <x v="4"/>
    <x v="3"/>
    <x v="178"/>
    <x v="4"/>
    <x v="1091"/>
    <n v="11195"/>
    <m/>
    <m/>
    <n v="0"/>
    <m/>
    <n v="0"/>
  </r>
  <r>
    <s v="BOM/MKZ"/>
    <x v="1092"/>
    <x v="3"/>
    <x v="6"/>
    <x v="24"/>
    <x v="1"/>
    <x v="1092"/>
    <n v="3704"/>
    <m/>
    <m/>
    <n v="0"/>
    <n v="3027"/>
    <n v="0"/>
  </r>
  <r>
    <s v="BOM/CCU"/>
    <x v="1093"/>
    <x v="2"/>
    <x v="1"/>
    <x v="20"/>
    <x v="1"/>
    <x v="1093"/>
    <n v="1665"/>
    <n v="5.75"/>
    <n v="171296442"/>
    <n v="33766.30041395624"/>
    <n v="5073"/>
    <n v="5395"/>
  </r>
  <r>
    <s v="BOM/HKT"/>
    <x v="1094"/>
    <x v="2"/>
    <x v="2"/>
    <x v="31"/>
    <x v="1"/>
    <x v="1094"/>
    <n v="3004"/>
    <n v="8.75"/>
    <n v="177715379"/>
    <n v="36187.208104255755"/>
    <n v="4911"/>
    <n v="5240"/>
  </r>
  <r>
    <s v="BOM/ISB"/>
    <x v="1095"/>
    <x v="2"/>
    <x v="2"/>
    <x v="23"/>
    <x v="1"/>
    <x v="1095"/>
    <n v="1616"/>
    <n v="5.75"/>
    <n v="162680101"/>
    <n v="32686.377536668675"/>
    <n v="4977"/>
    <n v="5209"/>
  </r>
  <r>
    <s v="BOM/PMI"/>
    <x v="1096"/>
    <x v="2"/>
    <x v="4"/>
    <x v="32"/>
    <x v="2"/>
    <x v="1096"/>
    <n v="6993"/>
    <n v="17.5"/>
    <n v="236293931"/>
    <n v="68710.070078511199"/>
    <n v="3439"/>
    <n v="35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54E3D-AA57-4E6C-B4EB-3231F452D4B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2" firstHeaderRow="0" firstDataRow="1" firstDataCol="1"/>
  <pivotFields count="22">
    <pivotField showAll="0"/>
    <pivotField showAll="0"/>
    <pivotField showAll="0"/>
    <pivotField showAll="0"/>
    <pivotField axis="axisRow" showAll="0" sortType="descending">
      <items count="173">
        <item x="26"/>
        <item x="154"/>
        <item x="61"/>
        <item x="21"/>
        <item x="65"/>
        <item x="170"/>
        <item x="30"/>
        <item x="52"/>
        <item x="128"/>
        <item x="57"/>
        <item x="129"/>
        <item x="53"/>
        <item x="45"/>
        <item x="115"/>
        <item x="77"/>
        <item x="150"/>
        <item x="32"/>
        <item x="165"/>
        <item x="49"/>
        <item x="156"/>
        <item x="72"/>
        <item x="1"/>
        <item x="97"/>
        <item x="104"/>
        <item x="98"/>
        <item x="109"/>
        <item x="2"/>
        <item x="79"/>
        <item x="146"/>
        <item x="148"/>
        <item x="51"/>
        <item x="12"/>
        <item x="8"/>
        <item x="131"/>
        <item x="147"/>
        <item x="10"/>
        <item x="107"/>
        <item x="84"/>
        <item x="92"/>
        <item x="19"/>
        <item x="143"/>
        <item x="78"/>
        <item x="117"/>
        <item x="169"/>
        <item x="4"/>
        <item x="13"/>
        <item x="14"/>
        <item x="64"/>
        <item x="152"/>
        <item x="114"/>
        <item x="17"/>
        <item x="136"/>
        <item x="43"/>
        <item x="33"/>
        <item x="88"/>
        <item x="81"/>
        <item x="110"/>
        <item x="20"/>
        <item x="151"/>
        <item x="163"/>
        <item x="76"/>
        <item x="58"/>
        <item x="158"/>
        <item x="47"/>
        <item x="164"/>
        <item x="167"/>
        <item x="62"/>
        <item x="119"/>
        <item x="122"/>
        <item x="162"/>
        <item x="73"/>
        <item x="166"/>
        <item x="48"/>
        <item x="39"/>
        <item x="42"/>
        <item x="66"/>
        <item x="142"/>
        <item x="116"/>
        <item x="127"/>
        <item x="96"/>
        <item x="160"/>
        <item x="6"/>
        <item x="18"/>
        <item x="86"/>
        <item x="36"/>
        <item x="63"/>
        <item x="68"/>
        <item x="134"/>
        <item x="108"/>
        <item x="111"/>
        <item x="139"/>
        <item x="161"/>
        <item x="91"/>
        <item x="123"/>
        <item x="94"/>
        <item x="153"/>
        <item x="87"/>
        <item x="137"/>
        <item x="90"/>
        <item x="99"/>
        <item x="56"/>
        <item x="80"/>
        <item x="59"/>
        <item x="15"/>
        <item x="149"/>
        <item x="133"/>
        <item x="155"/>
        <item x="31"/>
        <item x="125"/>
        <item x="145"/>
        <item x="69"/>
        <item x="28"/>
        <item x="171"/>
        <item x="113"/>
        <item x="70"/>
        <item x="159"/>
        <item x="75"/>
        <item x="130"/>
        <item x="126"/>
        <item x="22"/>
        <item x="121"/>
        <item x="85"/>
        <item x="100"/>
        <item x="95"/>
        <item x="0"/>
        <item x="5"/>
        <item x="25"/>
        <item x="38"/>
        <item x="106"/>
        <item x="101"/>
        <item x="23"/>
        <item x="34"/>
        <item x="144"/>
        <item x="168"/>
        <item x="102"/>
        <item x="35"/>
        <item x="54"/>
        <item x="60"/>
        <item x="120"/>
        <item x="118"/>
        <item x="105"/>
        <item x="41"/>
        <item x="132"/>
        <item x="29"/>
        <item x="82"/>
        <item x="37"/>
        <item x="40"/>
        <item x="11"/>
        <item x="27"/>
        <item x="44"/>
        <item x="71"/>
        <item x="93"/>
        <item x="135"/>
        <item x="50"/>
        <item x="157"/>
        <item x="112"/>
        <item x="7"/>
        <item x="46"/>
        <item x="24"/>
        <item x="138"/>
        <item x="141"/>
        <item x="89"/>
        <item x="16"/>
        <item x="55"/>
        <item x="9"/>
        <item x="124"/>
        <item x="83"/>
        <item x="103"/>
        <item x="3"/>
        <item x="67"/>
        <item x="140"/>
        <item x="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8">
        <item sd="0" x="5"/>
        <item sd="0" x="4"/>
        <item sd="0" x="2"/>
        <item sd="0" x="1"/>
        <item x="3"/>
        <item sd="0" x="6"/>
        <item sd="0" x="0"/>
        <item t="default" sd="0"/>
      </items>
    </pivotField>
    <pivotField showAll="0"/>
    <pivotField numFmtId="165" showAll="0"/>
    <pivotField dataField="1" numFmtId="2" showAll="0"/>
    <pivotField showAll="0"/>
    <pivotField dataField="1" numFmtId="44" showAll="0"/>
    <pivotField showAll="0"/>
    <pivotField numFmtId="2" showAll="0"/>
    <pivotField showAll="0"/>
    <pivotField showAll="0"/>
    <pivotField showAll="0"/>
    <pivotField showAll="0"/>
    <pivotField numFmtId="44" showAll="0"/>
    <pivotField showAll="0"/>
    <pivotField numFmtId="44" showAll="0"/>
    <pivotField showAll="0"/>
    <pivotField showAll="0"/>
  </pivotFields>
  <rowFields count="2">
    <field x="5"/>
    <field x="4"/>
  </rowFields>
  <rowItems count="9">
    <i>
      <x/>
    </i>
    <i>
      <x v="1"/>
    </i>
    <i>
      <x v="2"/>
    </i>
    <i>
      <x v="3"/>
    </i>
    <i>
      <x v="4"/>
    </i>
    <i r="1">
      <x v="16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$ PER PAX" fld="10" subtotal="average" baseField="5" baseItem="4" numFmtId="44"/>
    <dataField name="Average of Duration" fld="8" subtotal="average" baseField="4" baseItem="25" numFmtId="1"/>
  </dataFields>
  <formats count="2">
    <format dxfId="399">
      <pivotArea outline="0" collapsedLevelsAreSubtotals="1" fieldPosition="0"/>
    </format>
    <format dxfId="39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7FB1A-4AAC-46F2-BB53-AEDFB6737DAE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77" firstHeaderRow="1" firstDataRow="2" firstDataCol="1"/>
  <pivotFields count="22">
    <pivotField showAll="0"/>
    <pivotField dataField="1" showAll="0"/>
    <pivotField axis="axisRow" showAll="0">
      <items count="3">
        <item x="1"/>
        <item x="0"/>
        <item t="default"/>
      </items>
    </pivotField>
    <pivotField axis="axisCol" showAll="0">
      <items count="7">
        <item x="4"/>
        <item x="2"/>
        <item x="3"/>
        <item x="0"/>
        <item x="1"/>
        <item x="5"/>
        <item t="default"/>
      </items>
    </pivotField>
    <pivotField axis="axisRow" showAll="0" sortType="descending">
      <items count="123">
        <item x="57"/>
        <item x="118"/>
        <item x="90"/>
        <item x="40"/>
        <item x="46"/>
        <item x="61"/>
        <item x="42"/>
        <item x="106"/>
        <item x="8"/>
        <item x="77"/>
        <item x="43"/>
        <item x="44"/>
        <item x="30"/>
        <item x="96"/>
        <item x="78"/>
        <item x="91"/>
        <item x="29"/>
        <item x="55"/>
        <item x="63"/>
        <item x="93"/>
        <item x="47"/>
        <item x="45"/>
        <item x="23"/>
        <item x="121"/>
        <item x="87"/>
        <item x="22"/>
        <item x="58"/>
        <item x="71"/>
        <item x="109"/>
        <item x="5"/>
        <item x="88"/>
        <item x="31"/>
        <item x="53"/>
        <item x="113"/>
        <item x="94"/>
        <item x="15"/>
        <item x="85"/>
        <item x="0"/>
        <item x="41"/>
        <item x="80"/>
        <item x="75"/>
        <item x="72"/>
        <item x="54"/>
        <item x="111"/>
        <item x="119"/>
        <item x="112"/>
        <item x="49"/>
        <item x="1"/>
        <item x="32"/>
        <item x="20"/>
        <item x="14"/>
        <item x="76"/>
        <item x="73"/>
        <item x="50"/>
        <item x="67"/>
        <item x="33"/>
        <item x="4"/>
        <item x="107"/>
        <item x="39"/>
        <item x="98"/>
        <item x="108"/>
        <item x="86"/>
        <item x="28"/>
        <item x="17"/>
        <item x="37"/>
        <item x="102"/>
        <item x="82"/>
        <item x="27"/>
        <item x="70"/>
        <item x="51"/>
        <item x="18"/>
        <item x="7"/>
        <item x="36"/>
        <item x="103"/>
        <item x="69"/>
        <item x="60"/>
        <item x="95"/>
        <item x="100"/>
        <item x="120"/>
        <item x="110"/>
        <item x="48"/>
        <item x="2"/>
        <item x="114"/>
        <item x="9"/>
        <item x="59"/>
        <item x="21"/>
        <item x="34"/>
        <item x="105"/>
        <item x="83"/>
        <item x="79"/>
        <item x="35"/>
        <item x="92"/>
        <item x="117"/>
        <item x="24"/>
        <item x="84"/>
        <item x="97"/>
        <item x="3"/>
        <item x="6"/>
        <item x="99"/>
        <item x="101"/>
        <item x="19"/>
        <item x="81"/>
        <item x="66"/>
        <item x="62"/>
        <item x="104"/>
        <item x="10"/>
        <item x="13"/>
        <item x="116"/>
        <item x="56"/>
        <item x="38"/>
        <item x="89"/>
        <item x="68"/>
        <item x="52"/>
        <item x="65"/>
        <item x="64"/>
        <item x="25"/>
        <item x="115"/>
        <item x="74"/>
        <item x="26"/>
        <item x="12"/>
        <item x="11"/>
        <item x="1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3"/>
            </reference>
          </references>
        </pivotArea>
      </autoSortScope>
    </pivotField>
    <pivotField axis="axisRow" showAll="0">
      <items count="8">
        <item sd="0" x="0"/>
        <item sd="0" x="1"/>
        <item sd="0" x="5"/>
        <item sd="0" x="4"/>
        <item x="6"/>
        <item sd="0" x="2"/>
        <item sd="0" x="3"/>
        <item t="default" sd="0"/>
      </items>
    </pivotField>
    <pivotField axis="axisRow" showAll="0" sortType="descending">
      <items count="815">
        <item x="537"/>
        <item x="583"/>
        <item x="73"/>
        <item x="127"/>
        <item x="291"/>
        <item x="586"/>
        <item x="511"/>
        <item x="0"/>
        <item x="755"/>
        <item x="53"/>
        <item x="503"/>
        <item x="588"/>
        <item x="22"/>
        <item x="89"/>
        <item x="156"/>
        <item x="450"/>
        <item x="474"/>
        <item x="710"/>
        <item x="620"/>
        <item x="205"/>
        <item x="297"/>
        <item x="688"/>
        <item x="75"/>
        <item x="330"/>
        <item x="682"/>
        <item x="514"/>
        <item x="193"/>
        <item x="437"/>
        <item x="535"/>
        <item x="640"/>
        <item x="152"/>
        <item x="179"/>
        <item x="357"/>
        <item x="136"/>
        <item x="57"/>
        <item x="784"/>
        <item x="376"/>
        <item x="764"/>
        <item x="500"/>
        <item x="483"/>
        <item x="97"/>
        <item x="87"/>
        <item x="30"/>
        <item x="141"/>
        <item x="213"/>
        <item x="296"/>
        <item x="248"/>
        <item x="226"/>
        <item x="143"/>
        <item x="623"/>
        <item x="12"/>
        <item x="791"/>
        <item x="759"/>
        <item x="419"/>
        <item x="29"/>
        <item x="2"/>
        <item x="779"/>
        <item x="464"/>
        <item x="665"/>
        <item x="98"/>
        <item x="772"/>
        <item x="455"/>
        <item x="319"/>
        <item x="36"/>
        <item x="27"/>
        <item x="294"/>
        <item x="540"/>
        <item x="811"/>
        <item x="64"/>
        <item x="105"/>
        <item x="493"/>
        <item x="430"/>
        <item x="344"/>
        <item x="399"/>
        <item x="46"/>
        <item x="507"/>
        <item x="722"/>
        <item x="804"/>
        <item x="81"/>
        <item x="21"/>
        <item x="369"/>
        <item x="3"/>
        <item x="28"/>
        <item x="679"/>
        <item x="317"/>
        <item x="655"/>
        <item x="472"/>
        <item x="88"/>
        <item x="735"/>
        <item x="527"/>
        <item x="266"/>
        <item x="522"/>
        <item x="808"/>
        <item x="647"/>
        <item x="730"/>
        <item x="178"/>
        <item x="44"/>
        <item x="200"/>
        <item x="754"/>
        <item x="92"/>
        <item x="280"/>
        <item x="117"/>
        <item x="63"/>
        <item x="329"/>
        <item x="245"/>
        <item x="521"/>
        <item x="358"/>
        <item x="707"/>
        <item x="758"/>
        <item x="130"/>
        <item x="207"/>
        <item x="176"/>
        <item x="805"/>
        <item x="610"/>
        <item x="802"/>
        <item x="752"/>
        <item x="210"/>
        <item x="17"/>
        <item x="810"/>
        <item x="680"/>
        <item x="783"/>
        <item x="287"/>
        <item x="609"/>
        <item x="605"/>
        <item x="84"/>
        <item x="704"/>
        <item x="745"/>
        <item x="431"/>
        <item x="134"/>
        <item x="365"/>
        <item x="388"/>
        <item x="359"/>
        <item x="85"/>
        <item x="60"/>
        <item x="19"/>
        <item x="370"/>
        <item x="716"/>
        <item x="135"/>
        <item x="188"/>
        <item x="247"/>
        <item x="694"/>
        <item x="796"/>
        <item x="591"/>
        <item x="212"/>
        <item x="529"/>
        <item x="24"/>
        <item x="425"/>
        <item x="90"/>
        <item x="182"/>
        <item x="604"/>
        <item x="634"/>
        <item x="790"/>
        <item x="594"/>
        <item x="108"/>
        <item x="711"/>
        <item x="413"/>
        <item x="639"/>
        <item x="390"/>
        <item x="649"/>
        <item x="773"/>
        <item x="579"/>
        <item x="246"/>
        <item x="160"/>
        <item x="253"/>
        <item x="121"/>
        <item x="146"/>
        <item x="363"/>
        <item x="199"/>
        <item x="100"/>
        <item x="624"/>
        <item x="169"/>
        <item x="173"/>
        <item x="120"/>
        <item x="386"/>
        <item x="18"/>
        <item x="214"/>
        <item x="312"/>
        <item x="473"/>
        <item x="661"/>
        <item x="700"/>
        <item x="723"/>
        <item x="491"/>
        <item x="1"/>
        <item x="519"/>
        <item x="305"/>
        <item x="172"/>
        <item x="389"/>
        <item x="761"/>
        <item x="741"/>
        <item x="692"/>
        <item x="14"/>
        <item x="274"/>
        <item x="497"/>
        <item x="273"/>
        <item x="231"/>
        <item x="460"/>
        <item x="695"/>
        <item x="133"/>
        <item x="453"/>
        <item x="454"/>
        <item x="690"/>
        <item x="428"/>
        <item x="584"/>
        <item x="670"/>
        <item x="260"/>
        <item x="446"/>
        <item x="250"/>
        <item x="206"/>
        <item x="501"/>
        <item x="295"/>
        <item x="221"/>
        <item x="189"/>
        <item x="289"/>
        <item x="648"/>
        <item x="275"/>
        <item x="278"/>
        <item x="499"/>
        <item x="496"/>
        <item x="469"/>
        <item x="518"/>
        <item x="666"/>
        <item x="438"/>
        <item x="739"/>
        <item x="737"/>
        <item x="714"/>
        <item x="616"/>
        <item x="632"/>
        <item x="698"/>
        <item x="686"/>
        <item x="642"/>
        <item x="449"/>
        <item x="180"/>
        <item x="343"/>
        <item x="104"/>
        <item x="8"/>
        <item x="392"/>
        <item x="171"/>
        <item x="300"/>
        <item x="477"/>
        <item x="506"/>
        <item x="311"/>
        <item x="470"/>
        <item x="50"/>
        <item x="771"/>
        <item x="423"/>
        <item x="569"/>
        <item x="726"/>
        <item x="671"/>
        <item x="660"/>
        <item x="676"/>
        <item x="749"/>
        <item x="662"/>
        <item x="557"/>
        <item x="118"/>
        <item x="766"/>
        <item x="45"/>
        <item x="599"/>
        <item x="86"/>
        <item x="351"/>
        <item x="367"/>
        <item x="743"/>
        <item x="283"/>
        <item x="675"/>
        <item x="366"/>
        <item x="498"/>
        <item x="405"/>
        <item x="361"/>
        <item x="486"/>
        <item x="337"/>
        <item x="481"/>
        <item x="422"/>
        <item x="232"/>
        <item x="476"/>
        <item x="95"/>
        <item x="124"/>
        <item x="769"/>
        <item x="31"/>
        <item x="406"/>
        <item x="733"/>
        <item x="331"/>
        <item x="509"/>
        <item x="216"/>
        <item x="677"/>
        <item x="364"/>
        <item x="673"/>
        <item x="196"/>
        <item x="638"/>
        <item x="54"/>
        <item x="466"/>
        <item x="465"/>
        <item x="409"/>
        <item x="611"/>
        <item x="48"/>
        <item x="234"/>
        <item x="436"/>
        <item x="615"/>
        <item x="286"/>
        <item x="350"/>
        <item x="96"/>
        <item x="597"/>
        <item x="175"/>
        <item x="656"/>
        <item x="145"/>
        <item x="32"/>
        <item x="728"/>
        <item x="183"/>
        <item x="395"/>
        <item x="633"/>
        <item x="201"/>
        <item x="574"/>
        <item x="532"/>
        <item x="9"/>
        <item x="517"/>
        <item x="228"/>
        <item x="165"/>
        <item x="181"/>
        <item x="742"/>
        <item x="636"/>
        <item x="35"/>
        <item x="315"/>
        <item x="316"/>
        <item x="433"/>
        <item x="792"/>
        <item x="65"/>
        <item x="353"/>
        <item x="349"/>
        <item x="119"/>
        <item x="381"/>
        <item x="360"/>
        <item x="394"/>
        <item x="355"/>
        <item x="396"/>
        <item x="432"/>
        <item x="268"/>
        <item x="6"/>
        <item x="324"/>
        <item x="401"/>
        <item x="484"/>
        <item x="787"/>
        <item x="795"/>
        <item x="725"/>
        <item x="573"/>
        <item x="139"/>
        <item x="222"/>
        <item x="729"/>
        <item x="277"/>
        <item x="489"/>
        <item x="203"/>
        <item x="625"/>
        <item x="229"/>
        <item x="7"/>
        <item x="544"/>
        <item x="442"/>
        <item x="488"/>
        <item x="150"/>
        <item x="421"/>
        <item x="513"/>
        <item x="137"/>
        <item x="587"/>
        <item x="541"/>
        <item x="572"/>
        <item x="457"/>
        <item x="479"/>
        <item x="71"/>
        <item x="526"/>
        <item x="37"/>
        <item x="186"/>
        <item x="281"/>
        <item x="39"/>
        <item x="683"/>
        <item x="267"/>
        <item x="664"/>
        <item x="220"/>
        <item x="5"/>
        <item x="256"/>
        <item x="11"/>
        <item x="702"/>
        <item x="751"/>
        <item x="411"/>
        <item x="547"/>
        <item x="23"/>
        <item x="238"/>
        <item x="637"/>
        <item x="516"/>
        <item x="434"/>
        <item x="148"/>
        <item x="416"/>
        <item x="333"/>
        <item x="240"/>
        <item x="538"/>
        <item x="83"/>
        <item x="327"/>
        <item x="328"/>
        <item x="326"/>
        <item x="237"/>
        <item x="78"/>
        <item x="571"/>
        <item x="471"/>
        <item x="198"/>
        <item x="534"/>
        <item x="602"/>
        <item x="746"/>
        <item x="101"/>
        <item x="782"/>
        <item x="15"/>
        <item x="567"/>
        <item x="332"/>
        <item x="410"/>
        <item x="209"/>
        <item x="713"/>
        <item x="732"/>
        <item x="561"/>
        <item x="168"/>
        <item x="508"/>
        <item x="685"/>
        <item x="763"/>
        <item x="435"/>
        <item x="592"/>
        <item x="115"/>
        <item x="202"/>
        <item x="219"/>
        <item x="34"/>
        <item x="33"/>
        <item x="41"/>
        <item x="687"/>
        <item x="740"/>
        <item x="303"/>
        <item x="641"/>
        <item x="718"/>
        <item x="166"/>
        <item x="643"/>
        <item x="658"/>
        <item x="288"/>
        <item x="285"/>
        <item x="681"/>
        <item x="13"/>
        <item x="427"/>
        <item x="575"/>
        <item x="20"/>
        <item x="191"/>
        <item x="341"/>
        <item x="243"/>
        <item x="47"/>
        <item x="748"/>
        <item x="530"/>
        <item x="259"/>
        <item x="304"/>
        <item x="554"/>
        <item x="299"/>
        <item x="778"/>
        <item x="505"/>
        <item x="306"/>
        <item x="812"/>
        <item x="69"/>
        <item x="420"/>
        <item x="77"/>
        <item x="153"/>
        <item x="426"/>
        <item x="262"/>
        <item x="261"/>
        <item x="223"/>
        <item x="495"/>
        <item x="562"/>
        <item x="697"/>
        <item x="290"/>
        <item x="263"/>
        <item x="458"/>
        <item x="257"/>
        <item x="218"/>
        <item x="582"/>
        <item x="79"/>
        <item x="806"/>
        <item x="807"/>
        <item x="724"/>
        <item x="753"/>
        <item x="190"/>
        <item x="699"/>
        <item x="627"/>
        <item x="177"/>
        <item x="282"/>
        <item x="163"/>
        <item x="721"/>
        <item x="578"/>
        <item x="56"/>
        <item x="149"/>
        <item x="251"/>
        <item x="678"/>
        <item x="630"/>
        <item x="162"/>
        <item x="252"/>
        <item x="244"/>
        <item x="320"/>
        <item x="536"/>
        <item x="669"/>
        <item x="654"/>
        <item x="744"/>
        <item x="272"/>
        <item x="691"/>
        <item x="26"/>
        <item x="607"/>
        <item x="123"/>
        <item x="159"/>
        <item x="747"/>
        <item x="672"/>
        <item x="589"/>
        <item x="265"/>
        <item x="564"/>
        <item x="167"/>
        <item x="197"/>
        <item x="241"/>
        <item x="757"/>
        <item x="362"/>
        <item x="400"/>
        <item x="67"/>
        <item x="440"/>
        <item x="429"/>
        <item x="492"/>
        <item x="112"/>
        <item x="42"/>
        <item x="94"/>
        <item x="239"/>
        <item x="192"/>
        <item x="424"/>
        <item x="4"/>
        <item x="555"/>
        <item x="352"/>
        <item x="109"/>
        <item x="347"/>
        <item x="629"/>
        <item x="111"/>
        <item x="467"/>
        <item x="264"/>
        <item x="776"/>
        <item x="515"/>
        <item x="626"/>
        <item x="298"/>
        <item x="170"/>
        <item x="346"/>
        <item x="556"/>
        <item x="545"/>
        <item x="560"/>
        <item x="546"/>
        <item x="211"/>
        <item x="542"/>
        <item x="550"/>
        <item x="549"/>
        <item x="762"/>
        <item x="132"/>
        <item x="292"/>
        <item x="408"/>
        <item x="224"/>
        <item x="225"/>
        <item x="348"/>
        <item x="187"/>
        <item x="650"/>
        <item x="653"/>
        <item x="80"/>
        <item x="276"/>
        <item x="279"/>
        <item x="249"/>
        <item x="659"/>
        <item x="184"/>
        <item x="174"/>
        <item x="444"/>
        <item x="255"/>
        <item x="504"/>
        <item x="325"/>
        <item x="765"/>
        <item x="644"/>
        <item x="603"/>
        <item x="380"/>
        <item x="563"/>
        <item x="161"/>
        <item x="693"/>
        <item x="553"/>
        <item x="151"/>
        <item x="38"/>
        <item x="813"/>
        <item x="528"/>
        <item x="61"/>
        <item x="668"/>
        <item x="613"/>
        <item x="113"/>
        <item x="706"/>
        <item x="269"/>
        <item x="356"/>
        <item x="302"/>
        <item x="16"/>
        <item x="760"/>
        <item x="215"/>
        <item x="585"/>
        <item x="798"/>
        <item x="596"/>
        <item x="712"/>
        <item x="800"/>
        <item x="774"/>
        <item x="321"/>
        <item x="581"/>
        <item x="49"/>
        <item x="235"/>
        <item x="384"/>
        <item x="475"/>
        <item x="404"/>
        <item x="99"/>
        <item x="417"/>
        <item x="339"/>
        <item x="52"/>
        <item x="68"/>
        <item x="480"/>
        <item x="439"/>
        <item x="418"/>
        <item x="734"/>
        <item x="451"/>
        <item x="785"/>
        <item x="645"/>
        <item x="788"/>
        <item x="568"/>
        <item x="62"/>
        <item x="770"/>
        <item x="55"/>
        <item x="689"/>
        <item x="709"/>
        <item x="756"/>
        <item x="781"/>
        <item x="674"/>
        <item x="570"/>
        <item x="618"/>
        <item x="701"/>
        <item x="768"/>
        <item x="445"/>
        <item x="552"/>
        <item x="614"/>
        <item x="786"/>
        <item x="195"/>
        <item x="138"/>
        <item x="448"/>
        <item x="512"/>
        <item x="621"/>
        <item x="619"/>
        <item x="164"/>
        <item x="140"/>
        <item x="617"/>
        <item x="577"/>
        <item x="780"/>
        <item x="595"/>
        <item x="114"/>
        <item x="600"/>
        <item x="25"/>
        <item x="608"/>
        <item x="797"/>
        <item x="102"/>
        <item x="708"/>
        <item x="106"/>
        <item x="612"/>
        <item x="336"/>
        <item x="803"/>
        <item x="801"/>
        <item x="93"/>
        <item x="154"/>
        <item x="657"/>
        <item x="601"/>
        <item x="284"/>
        <item x="663"/>
        <item x="456"/>
        <item x="622"/>
        <item x="703"/>
        <item x="185"/>
        <item x="310"/>
        <item x="539"/>
        <item x="233"/>
        <item x="374"/>
        <item x="375"/>
        <item x="76"/>
        <item x="59"/>
        <item x="452"/>
        <item x="147"/>
        <item x="459"/>
        <item x="103"/>
        <item x="72"/>
        <item x="715"/>
        <item x="393"/>
        <item x="463"/>
        <item x="736"/>
        <item x="318"/>
        <item x="58"/>
        <item x="566"/>
        <item x="322"/>
        <item x="719"/>
        <item x="738"/>
        <item x="510"/>
        <item x="242"/>
        <item x="443"/>
        <item x="750"/>
        <item x="727"/>
        <item x="43"/>
        <item x="628"/>
        <item x="204"/>
        <item x="559"/>
        <item x="258"/>
        <item x="323"/>
        <item x="794"/>
        <item x="441"/>
        <item x="270"/>
        <item x="307"/>
        <item x="308"/>
        <item x="335"/>
        <item x="548"/>
        <item x="402"/>
        <item x="293"/>
        <item x="116"/>
        <item x="494"/>
        <item x="227"/>
        <item x="334"/>
        <item x="478"/>
        <item x="155"/>
        <item x="230"/>
        <item x="129"/>
        <item x="461"/>
        <item x="631"/>
        <item x="696"/>
        <item x="598"/>
        <item x="799"/>
        <item x="789"/>
        <item x="51"/>
        <item x="314"/>
        <item x="131"/>
        <item x="66"/>
        <item x="40"/>
        <item x="523"/>
        <item x="236"/>
        <item x="403"/>
        <item x="128"/>
        <item x="398"/>
        <item x="576"/>
        <item x="543"/>
        <item x="767"/>
        <item x="142"/>
        <item x="125"/>
        <item x="593"/>
        <item x="502"/>
        <item x="775"/>
        <item x="793"/>
        <item x="646"/>
        <item x="208"/>
        <item x="652"/>
        <item x="490"/>
        <item x="705"/>
        <item x="551"/>
        <item x="144"/>
        <item x="126"/>
        <item x="531"/>
        <item x="558"/>
        <item x="271"/>
        <item x="70"/>
        <item x="520"/>
        <item x="217"/>
        <item x="342"/>
        <item x="731"/>
        <item x="485"/>
        <item x="158"/>
        <item x="606"/>
        <item x="717"/>
        <item x="777"/>
        <item x="345"/>
        <item x="407"/>
        <item x="194"/>
        <item x="524"/>
        <item x="468"/>
        <item x="379"/>
        <item x="720"/>
        <item x="487"/>
        <item x="383"/>
        <item x="378"/>
        <item x="635"/>
        <item x="580"/>
        <item x="651"/>
        <item x="684"/>
        <item x="82"/>
        <item x="254"/>
        <item x="372"/>
        <item x="91"/>
        <item x="354"/>
        <item x="338"/>
        <item x="74"/>
        <item x="385"/>
        <item x="415"/>
        <item x="373"/>
        <item x="533"/>
        <item x="397"/>
        <item x="482"/>
        <item x="10"/>
        <item x="391"/>
        <item x="382"/>
        <item x="157"/>
        <item x="462"/>
        <item x="122"/>
        <item x="110"/>
        <item x="371"/>
        <item x="414"/>
        <item x="309"/>
        <item x="301"/>
        <item x="809"/>
        <item x="667"/>
        <item x="387"/>
        <item x="525"/>
        <item x="447"/>
        <item x="590"/>
        <item x="313"/>
        <item x="565"/>
        <item x="368"/>
        <item x="377"/>
        <item x="107"/>
        <item x="412"/>
        <item x="34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4"/>
            </reference>
          </references>
        </pivotArea>
      </autoSortScope>
    </pivotField>
    <pivotField numFmtId="1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2"/>
    <field x="5"/>
    <field x="4"/>
    <field x="6"/>
  </rowFields>
  <rowItems count="173">
    <i>
      <x/>
    </i>
    <i r="1">
      <x/>
    </i>
    <i r="1">
      <x v="1"/>
    </i>
    <i r="1">
      <x v="2"/>
    </i>
    <i r="1">
      <x v="3"/>
    </i>
    <i r="1">
      <x v="4"/>
    </i>
    <i r="2">
      <x v="113"/>
    </i>
    <i r="3">
      <x v="581"/>
    </i>
    <i r="3">
      <x v="295"/>
    </i>
    <i r="3">
      <x v="225"/>
    </i>
    <i r="3">
      <x v="631"/>
    </i>
    <i r="3">
      <x v="769"/>
    </i>
    <i r="3">
      <x v="569"/>
    </i>
    <i r="3">
      <x v="477"/>
    </i>
    <i r="3">
      <x v="49"/>
    </i>
    <i r="3">
      <x v="664"/>
    </i>
    <i r="3">
      <x v="58"/>
    </i>
    <i r="3">
      <x v="428"/>
    </i>
    <i r="3">
      <x v="76"/>
    </i>
    <i r="3">
      <x v="502"/>
    </i>
    <i r="3">
      <x v="83"/>
    </i>
    <i r="3">
      <x v="620"/>
    </i>
    <i r="3">
      <x v="85"/>
    </i>
    <i r="3">
      <x v="695"/>
    </i>
    <i r="3">
      <x v="88"/>
    </i>
    <i r="3">
      <x v="414"/>
    </i>
    <i r="3">
      <x v="93"/>
    </i>
    <i r="3">
      <x v="443"/>
    </i>
    <i r="3">
      <x v="94"/>
    </i>
    <i r="3">
      <x v="493"/>
    </i>
    <i r="3">
      <x v="107"/>
    </i>
    <i r="3">
      <x v="554"/>
    </i>
    <i r="3">
      <x v="119"/>
    </i>
    <i r="3">
      <x v="583"/>
    </i>
    <i r="3">
      <x v="125"/>
    </i>
    <i r="3">
      <x v="29"/>
    </i>
    <i r="3">
      <x v="126"/>
    </i>
    <i r="3">
      <x v="687"/>
    </i>
    <i r="3">
      <x v="136"/>
    </i>
    <i r="3">
      <x v="744"/>
    </i>
    <i r="3">
      <x v="140"/>
    </i>
    <i r="3">
      <x v="802"/>
    </i>
    <i r="3">
      <x v="150"/>
    </i>
    <i r="3">
      <x v="425"/>
    </i>
    <i r="3">
      <x v="154"/>
    </i>
    <i r="3">
      <x v="431"/>
    </i>
    <i r="3">
      <x v="156"/>
    </i>
    <i r="3">
      <x v="473"/>
    </i>
    <i r="3">
      <x v="158"/>
    </i>
    <i r="3">
      <x v="486"/>
    </i>
    <i r="3">
      <x v="169"/>
    </i>
    <i r="3">
      <x v="495"/>
    </i>
    <i r="3">
      <x v="178"/>
    </i>
    <i r="3">
      <x v="528"/>
    </i>
    <i r="3">
      <x v="179"/>
    </i>
    <i r="3">
      <x v="560"/>
    </i>
    <i r="3">
      <x v="180"/>
    </i>
    <i r="3">
      <x v="580"/>
    </i>
    <i r="3">
      <x v="188"/>
    </i>
    <i r="3">
      <x v="611"/>
    </i>
    <i r="3">
      <x v="189"/>
    </i>
    <i r="3">
      <x v="624"/>
    </i>
    <i r="3">
      <x v="196"/>
    </i>
    <i r="3">
      <x v="659"/>
    </i>
    <i r="3">
      <x v="200"/>
    </i>
    <i r="3">
      <x v="679"/>
    </i>
    <i r="3">
      <x v="203"/>
    </i>
    <i r="3">
      <x v="692"/>
    </i>
    <i r="3">
      <x v="213"/>
    </i>
    <i r="3">
      <x v="719"/>
    </i>
    <i r="3">
      <x v="220"/>
    </i>
    <i r="3">
      <x v="757"/>
    </i>
    <i r="3">
      <x v="222"/>
    </i>
    <i r="3">
      <x v="775"/>
    </i>
    <i r="3">
      <x v="223"/>
    </i>
    <i r="3">
      <x v="410"/>
    </i>
    <i r="3">
      <x v="224"/>
    </i>
    <i r="3">
      <x v="424"/>
    </i>
    <i r="3">
      <x v="18"/>
    </i>
    <i r="3">
      <x v="427"/>
    </i>
    <i r="3">
      <x v="226"/>
    </i>
    <i r="3">
      <x v="430"/>
    </i>
    <i r="3">
      <x v="227"/>
    </i>
    <i r="3">
      <x v="434"/>
    </i>
    <i r="3">
      <x v="228"/>
    </i>
    <i r="3">
      <x v="463"/>
    </i>
    <i r="3">
      <x v="229"/>
    </i>
    <i r="3">
      <x v="476"/>
    </i>
    <i r="3">
      <x v="246"/>
    </i>
    <i r="3">
      <x v="481"/>
    </i>
    <i r="3">
      <x v="247"/>
    </i>
    <i r="3">
      <x v="487"/>
    </i>
    <i r="3">
      <x v="248"/>
    </i>
    <i r="3">
      <x v="494"/>
    </i>
    <i r="3">
      <x v="249"/>
    </i>
    <i r="3">
      <x v="497"/>
    </i>
    <i r="3">
      <x v="250"/>
    </i>
    <i r="3">
      <x v="503"/>
    </i>
    <i r="3">
      <x v="251"/>
    </i>
    <i r="3">
      <x v="534"/>
    </i>
    <i r="3">
      <x v="260"/>
    </i>
    <i r="3">
      <x v="555"/>
    </i>
    <i r="3">
      <x v="262"/>
    </i>
    <i r="3">
      <x v="568"/>
    </i>
    <i r="3">
      <x v="278"/>
    </i>
    <i r="3">
      <x v="573"/>
    </i>
    <i r="3">
      <x v="282"/>
    </i>
    <i r="3">
      <x v="24"/>
    </i>
    <i r="3">
      <x v="284"/>
    </i>
    <i r="3">
      <x v="593"/>
    </i>
    <i r="3">
      <x v="286"/>
    </i>
    <i r="3">
      <x v="614"/>
    </i>
    <i r="3">
      <x v="21"/>
    </i>
    <i r="3">
      <x v="621"/>
    </i>
    <i r="3">
      <x v="627"/>
    </i>
    <i r="3">
      <x v="626"/>
    </i>
    <i r="3">
      <x v="637"/>
    </i>
    <i r="3">
      <x v="641"/>
    </i>
    <i r="3">
      <x v="301"/>
    </i>
    <i r="3">
      <x v="638"/>
    </i>
    <i r="3">
      <x v="304"/>
    </i>
    <i r="3">
      <x v="651"/>
    </i>
    <i r="3">
      <x v="307"/>
    </i>
    <i r="3">
      <x v="662"/>
    </i>
    <i r="3">
      <x v="316"/>
    </i>
    <i r="3">
      <x v="665"/>
    </i>
    <i r="3">
      <x v="317"/>
    </i>
    <i r="3">
      <x v="682"/>
    </i>
    <i r="3">
      <x v="340"/>
    </i>
    <i r="3">
      <x v="688"/>
    </i>
    <i r="3">
      <x v="344"/>
    </i>
    <i r="3">
      <x v="693"/>
    </i>
    <i r="3">
      <x v="348"/>
    </i>
    <i r="3">
      <x v="718"/>
    </i>
    <i r="3">
      <x v="369"/>
    </i>
    <i r="3">
      <x v="742"/>
    </i>
    <i r="3">
      <x v="371"/>
    </i>
    <i r="3">
      <x v="746"/>
    </i>
    <i r="3">
      <x v="376"/>
    </i>
    <i r="3">
      <x v="761"/>
    </i>
    <i r="3">
      <x v="377"/>
    </i>
    <i r="3">
      <x v="773"/>
    </i>
    <i r="3">
      <x v="382"/>
    </i>
    <i r="3">
      <x v="776"/>
    </i>
    <i r="3">
      <x v="401"/>
    </i>
    <i r="3">
      <x v="17"/>
    </i>
    <i r="3">
      <x v="409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2">
      <x v="113"/>
    </i>
    <i r="3">
      <x v="489"/>
    </i>
    <i r="3">
      <x v="46"/>
    </i>
    <i r="3">
      <x v="639"/>
    </i>
    <i r="3">
      <x v="139"/>
    </i>
    <i r="3">
      <x v="485"/>
    </i>
    <i r="3">
      <x v="170"/>
    </i>
    <i r="3">
      <x v="559"/>
    </i>
    <i r="3">
      <x v="185"/>
    </i>
    <i r="3">
      <x v="666"/>
    </i>
    <i r="3">
      <x v="412"/>
    </i>
    <i r="3">
      <x v="429"/>
    </i>
    <i r="3">
      <x v="589"/>
    </i>
    <i r="3">
      <x v="293"/>
    </i>
    <i r="3">
      <x v="550"/>
    </i>
    <i r="1">
      <x v="5"/>
    </i>
    <i r="1">
      <x v="6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ICA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2DC45-43A6-4A49-BFCD-65340A2F3E7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2" firstHeaderRow="1" firstDataRow="2" firstDataCol="1" rowPageCount="1" colPageCount="1"/>
  <pivotFields count="22">
    <pivotField showAll="0"/>
    <pivotField dataField="1" showAll="0"/>
    <pivotField axis="axisCol" showAll="0">
      <items count="5">
        <item x="2"/>
        <item x="1"/>
        <item x="0"/>
        <item m="1" x="3"/>
        <item t="default"/>
      </items>
    </pivotField>
    <pivotField axis="axisPage" multipleItemSelectionAllowed="1" showAll="0">
      <items count="7">
        <item x="4"/>
        <item x="1"/>
        <item x="0"/>
        <item x="2"/>
        <item x="3"/>
        <item x="5"/>
        <item t="default"/>
      </items>
    </pivotField>
    <pivotField axis="axisRow" showAll="0">
      <items count="173">
        <item x="26"/>
        <item x="154"/>
        <item x="61"/>
        <item x="21"/>
        <item x="65"/>
        <item x="170"/>
        <item x="30"/>
        <item x="52"/>
        <item x="128"/>
        <item x="57"/>
        <item x="129"/>
        <item x="53"/>
        <item x="45"/>
        <item x="115"/>
        <item x="77"/>
        <item x="150"/>
        <item x="32"/>
        <item x="165"/>
        <item x="49"/>
        <item x="156"/>
        <item x="72"/>
        <item x="1"/>
        <item x="97"/>
        <item x="104"/>
        <item x="98"/>
        <item x="109"/>
        <item x="2"/>
        <item x="79"/>
        <item x="146"/>
        <item x="148"/>
        <item x="51"/>
        <item x="12"/>
        <item x="8"/>
        <item x="131"/>
        <item x="147"/>
        <item x="10"/>
        <item x="107"/>
        <item x="84"/>
        <item x="92"/>
        <item x="19"/>
        <item x="143"/>
        <item x="78"/>
        <item x="117"/>
        <item x="169"/>
        <item x="4"/>
        <item x="13"/>
        <item x="14"/>
        <item x="64"/>
        <item x="152"/>
        <item x="114"/>
        <item x="17"/>
        <item x="136"/>
        <item x="43"/>
        <item x="33"/>
        <item x="88"/>
        <item x="81"/>
        <item x="110"/>
        <item x="20"/>
        <item x="151"/>
        <item x="163"/>
        <item x="76"/>
        <item x="58"/>
        <item x="158"/>
        <item x="47"/>
        <item x="164"/>
        <item x="167"/>
        <item x="62"/>
        <item x="119"/>
        <item x="122"/>
        <item x="162"/>
        <item x="73"/>
        <item x="166"/>
        <item x="48"/>
        <item x="39"/>
        <item x="42"/>
        <item x="66"/>
        <item x="142"/>
        <item x="116"/>
        <item x="127"/>
        <item x="96"/>
        <item x="160"/>
        <item x="6"/>
        <item x="18"/>
        <item x="86"/>
        <item x="36"/>
        <item x="63"/>
        <item x="68"/>
        <item x="134"/>
        <item x="108"/>
        <item x="111"/>
        <item x="139"/>
        <item x="161"/>
        <item x="91"/>
        <item x="123"/>
        <item x="94"/>
        <item x="153"/>
        <item x="87"/>
        <item x="137"/>
        <item x="90"/>
        <item x="99"/>
        <item x="56"/>
        <item x="80"/>
        <item x="59"/>
        <item x="15"/>
        <item x="149"/>
        <item x="133"/>
        <item x="155"/>
        <item x="31"/>
        <item x="125"/>
        <item x="145"/>
        <item x="69"/>
        <item x="28"/>
        <item x="171"/>
        <item x="113"/>
        <item x="70"/>
        <item x="159"/>
        <item x="75"/>
        <item x="130"/>
        <item x="126"/>
        <item x="22"/>
        <item x="121"/>
        <item x="85"/>
        <item x="100"/>
        <item x="95"/>
        <item x="0"/>
        <item x="5"/>
        <item x="25"/>
        <item x="38"/>
        <item x="106"/>
        <item x="101"/>
        <item x="23"/>
        <item x="34"/>
        <item x="144"/>
        <item x="168"/>
        <item x="102"/>
        <item x="35"/>
        <item x="54"/>
        <item x="60"/>
        <item x="120"/>
        <item x="118"/>
        <item x="105"/>
        <item x="41"/>
        <item x="132"/>
        <item x="29"/>
        <item x="82"/>
        <item x="37"/>
        <item x="40"/>
        <item x="11"/>
        <item x="27"/>
        <item x="44"/>
        <item x="71"/>
        <item x="93"/>
        <item x="135"/>
        <item x="50"/>
        <item x="157"/>
        <item x="112"/>
        <item x="7"/>
        <item x="46"/>
        <item x="24"/>
        <item x="138"/>
        <item x="141"/>
        <item x="89"/>
        <item x="16"/>
        <item x="55"/>
        <item x="9"/>
        <item x="124"/>
        <item x="83"/>
        <item x="103"/>
        <item x="3"/>
        <item x="67"/>
        <item x="140"/>
        <item x="74"/>
        <item t="default"/>
      </items>
    </pivotField>
    <pivotField axis="axisRow" showAll="0">
      <items count="8">
        <item sd="0" x="5"/>
        <item sd="0" x="4"/>
        <item sd="0" x="2"/>
        <item sd="0" x="1"/>
        <item sd="0" x="3"/>
        <item sd="0" x="6"/>
        <item sd="0" x="0"/>
        <item t="default"/>
      </items>
    </pivotField>
    <pivotField showAll="0"/>
    <pivotField numFmtId="165" showAll="0"/>
    <pivotField numFmtId="2" showAll="0"/>
    <pivotField showAll="0"/>
    <pivotField numFmtId="44"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numFmtId="44" showAll="0"/>
    <pivotField showAll="0"/>
    <pivotField showAll="0"/>
  </pivotFields>
  <rowFields count="2">
    <field x="5"/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1">
    <pageField fld="3" hier="-1"/>
  </pageFields>
  <dataFields count="1">
    <dataField name="Count of ICAO" fld="1" subtotal="count" baseField="0" baseItem="0"/>
  </dataFields>
  <formats count="5">
    <format dxfId="328">
      <pivotArea field="5" type="button" dataOnly="0" labelOnly="1" outline="0" axis="axisRow" fieldPosition="0"/>
    </format>
    <format dxfId="327">
      <pivotArea dataOnly="0" labelOnly="1" outline="0" fieldPosition="0">
        <references count="2">
          <reference field="4294967294" count="1">
            <x v="0"/>
          </reference>
          <reference field="2" count="1" selected="0">
            <x v="0"/>
          </reference>
        </references>
      </pivotArea>
    </format>
    <format dxfId="326">
      <pivotArea dataOnly="0" labelOnly="1" fieldPosition="0">
        <references count="1">
          <reference field="2" count="1">
            <x v="1"/>
          </reference>
        </references>
      </pivotArea>
    </format>
    <format dxfId="325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24">
      <pivotArea dataOnly="0" labelOnly="1" outline="0" fieldPosition="0">
        <references count="2">
          <reference field="4294967294" count="1">
            <x v="0"/>
          </reference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18E52-B20A-4CC4-BC06-F7288147C5C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H13" firstHeaderRow="1" firstDataRow="2" firstDataCol="1"/>
  <pivotFields count="22">
    <pivotField subtotalTop="0" showAll="0" defaultSubtotal="0"/>
    <pivotField dataField="1" subtotalTop="0" showAll="0" defaultSubtotal="0"/>
    <pivotField axis="axisRow" subtotalTop="0" showAll="0" defaultSubtotal="0">
      <items count="4">
        <item h="1" x="1"/>
        <item x="2"/>
        <item h="1" x="0"/>
        <item h="1" m="1" x="3"/>
      </items>
    </pivotField>
    <pivotField axis="axisCol" subtotalTop="0" multipleItemSelectionAllowed="1" showAll="0" defaultSubtotal="0">
      <items count="6">
        <item x="4"/>
        <item x="1"/>
        <item x="0"/>
        <item x="2"/>
        <item x="3"/>
        <item x="5"/>
      </items>
    </pivotField>
    <pivotField axis="axisRow" subtotalTop="0" showAll="0" defaultSubtotal="0">
      <items count="172">
        <item x="26"/>
        <item x="154"/>
        <item x="61"/>
        <item x="21"/>
        <item x="65"/>
        <item x="170"/>
        <item x="30"/>
        <item x="52"/>
        <item x="128"/>
        <item x="57"/>
        <item x="129"/>
        <item x="53"/>
        <item x="45"/>
        <item x="115"/>
        <item x="77"/>
        <item x="150"/>
        <item x="32"/>
        <item x="165"/>
        <item x="49"/>
        <item x="156"/>
        <item x="72"/>
        <item x="1"/>
        <item x="97"/>
        <item x="104"/>
        <item x="98"/>
        <item x="109"/>
        <item x="2"/>
        <item x="79"/>
        <item x="146"/>
        <item x="148"/>
        <item x="51"/>
        <item x="12"/>
        <item x="8"/>
        <item x="131"/>
        <item x="147"/>
        <item x="10"/>
        <item x="107"/>
        <item x="84"/>
        <item x="92"/>
        <item x="19"/>
        <item x="143"/>
        <item x="78"/>
        <item x="117"/>
        <item x="169"/>
        <item x="4"/>
        <item x="13"/>
        <item x="14"/>
        <item x="64"/>
        <item x="152"/>
        <item x="114"/>
        <item x="17"/>
        <item x="136"/>
        <item x="43"/>
        <item x="33"/>
        <item x="88"/>
        <item x="81"/>
        <item x="110"/>
        <item x="20"/>
        <item x="151"/>
        <item x="163"/>
        <item x="76"/>
        <item x="58"/>
        <item x="158"/>
        <item x="47"/>
        <item x="164"/>
        <item x="167"/>
        <item x="62"/>
        <item x="119"/>
        <item x="122"/>
        <item x="162"/>
        <item x="73"/>
        <item x="166"/>
        <item x="48"/>
        <item x="39"/>
        <item x="42"/>
        <item x="66"/>
        <item x="142"/>
        <item x="116"/>
        <item x="127"/>
        <item x="96"/>
        <item x="160"/>
        <item x="6"/>
        <item x="18"/>
        <item x="86"/>
        <item x="36"/>
        <item x="63"/>
        <item x="68"/>
        <item x="134"/>
        <item x="108"/>
        <item x="111"/>
        <item x="139"/>
        <item x="161"/>
        <item x="91"/>
        <item x="123"/>
        <item x="94"/>
        <item x="153"/>
        <item x="87"/>
        <item x="137"/>
        <item x="90"/>
        <item x="99"/>
        <item x="56"/>
        <item x="80"/>
        <item x="59"/>
        <item x="15"/>
        <item x="149"/>
        <item x="133"/>
        <item x="155"/>
        <item x="31"/>
        <item x="125"/>
        <item x="145"/>
        <item x="69"/>
        <item x="28"/>
        <item x="171"/>
        <item x="113"/>
        <item x="70"/>
        <item x="159"/>
        <item x="75"/>
        <item x="130"/>
        <item x="126"/>
        <item x="22"/>
        <item x="121"/>
        <item x="85"/>
        <item x="100"/>
        <item x="95"/>
        <item x="0"/>
        <item x="5"/>
        <item x="25"/>
        <item x="38"/>
        <item x="106"/>
        <item x="101"/>
        <item x="23"/>
        <item x="34"/>
        <item x="144"/>
        <item x="168"/>
        <item x="102"/>
        <item x="35"/>
        <item x="54"/>
        <item x="60"/>
        <item x="120"/>
        <item x="118"/>
        <item x="105"/>
        <item x="41"/>
        <item x="132"/>
        <item x="29"/>
        <item x="82"/>
        <item x="37"/>
        <item x="40"/>
        <item x="11"/>
        <item x="27"/>
        <item x="44"/>
        <item x="71"/>
        <item x="93"/>
        <item x="135"/>
        <item x="50"/>
        <item x="157"/>
        <item x="112"/>
        <item x="7"/>
        <item x="46"/>
        <item x="24"/>
        <item x="138"/>
        <item x="141"/>
        <item x="89"/>
        <item x="16"/>
        <item x="55"/>
        <item x="9"/>
        <item x="124"/>
        <item x="83"/>
        <item x="103"/>
        <item x="3"/>
        <item x="67"/>
        <item x="140"/>
        <item x="74"/>
      </items>
    </pivotField>
    <pivotField axis="axisRow" subtotalTop="0" showAll="0" defaultSubtotal="0">
      <items count="7">
        <item sd="0" x="5"/>
        <item sd="0" x="4"/>
        <item sd="0" x="2"/>
        <item sd="0" x="1"/>
        <item sd="0" x="3"/>
        <item sd="0" x="6"/>
        <item x="0"/>
      </items>
    </pivotField>
    <pivotField subtotalTop="0" showAll="0" defaultSubtotal="0"/>
    <pivotField numFmtId="165" subtotalTop="0" showAll="0" defaultSubtotal="0"/>
    <pivotField numFmtId="2" subtotalTop="0" showAll="0" defaultSubtotal="0"/>
    <pivotField subtotalTop="0" showAll="0" defaultSubtotal="0"/>
    <pivotField numFmtId="44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numFmtId="44" subtotalTop="0" showAll="0" defaultSubtotal="0"/>
    <pivotField subtotalTop="0" showAll="0" defaultSubtotal="0"/>
    <pivotField numFmtId="44" subtotalTop="0" showAll="0" defaultSubtotal="0"/>
    <pivotField subtotalTop="0" showAll="0" defaultSubtotal="0"/>
    <pivotField subtotalTop="0" showAll="0" defaultSubtotal="0"/>
  </pivotFields>
  <rowFields count="3">
    <field x="2"/>
    <field x="5"/>
    <field x="4"/>
  </rowFields>
  <rowItems count="9">
    <i>
      <x v="1"/>
    </i>
    <i r="1">
      <x/>
    </i>
    <i r="1">
      <x v="1"/>
    </i>
    <i r="1">
      <x v="2"/>
    </i>
    <i r="1">
      <x v="3"/>
    </i>
    <i r="1">
      <x v="4"/>
    </i>
    <i r="1">
      <x v="6"/>
    </i>
    <i r="2">
      <x v="6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5"/>
    </i>
    <i t="grand">
      <x/>
    </i>
  </colItems>
  <dataFields count="1">
    <dataField name="Count of ICAO" fld="1" subtotal="count" baseField="0" baseItem="0"/>
  </dataFields>
  <formats count="21">
    <format dxfId="323">
      <pivotArea outline="0" collapsedLevelsAreSubtotals="1" fieldPosition="0"/>
    </format>
    <format dxfId="322">
      <pivotArea field="3" type="button" dataOnly="0" labelOnly="1" outline="0" axis="axisCol" fieldPosition="0"/>
    </format>
    <format dxfId="321">
      <pivotArea type="topRight" dataOnly="0" labelOnly="1" outline="0" fieldPosition="0"/>
    </format>
    <format dxfId="320">
      <pivotArea dataOnly="0" labelOnly="1" fieldPosition="0">
        <references count="1">
          <reference field="3" count="0"/>
        </references>
      </pivotArea>
    </format>
    <format dxfId="319">
      <pivotArea dataOnly="0" labelOnly="1" grandCol="1" outline="0" fieldPosition="0"/>
    </format>
    <format dxfId="318">
      <pivotArea outline="0" collapsedLevelsAreSubtotals="1" fieldPosition="0"/>
    </format>
    <format dxfId="317">
      <pivotArea field="3" type="button" dataOnly="0" labelOnly="1" outline="0" axis="axisCol" fieldPosition="0"/>
    </format>
    <format dxfId="316">
      <pivotArea type="topRight" dataOnly="0" labelOnly="1" outline="0" fieldPosition="0"/>
    </format>
    <format dxfId="315">
      <pivotArea dataOnly="0" labelOnly="1" fieldPosition="0">
        <references count="1">
          <reference field="3" count="0"/>
        </references>
      </pivotArea>
    </format>
    <format dxfId="314">
      <pivotArea dataOnly="0" labelOnly="1" grandCol="1" outline="0" fieldPosition="0"/>
    </format>
    <format dxfId="313">
      <pivotArea type="all" dataOnly="0" outline="0" fieldPosition="0"/>
    </format>
    <format dxfId="312">
      <pivotArea outline="0" collapsedLevelsAreSubtotals="1" fieldPosition="0"/>
    </format>
    <format dxfId="311">
      <pivotArea type="origin" dataOnly="0" labelOnly="1" outline="0" fieldPosition="0"/>
    </format>
    <format dxfId="310">
      <pivotArea field="3" type="button" dataOnly="0" labelOnly="1" outline="0" axis="axisCol" fieldPosition="0"/>
    </format>
    <format dxfId="309">
      <pivotArea type="topRight" dataOnly="0" labelOnly="1" outline="0" fieldPosition="0"/>
    </format>
    <format dxfId="308">
      <pivotArea field="2" type="button" dataOnly="0" labelOnly="1" outline="0" axis="axisRow" fieldPosition="0"/>
    </format>
    <format dxfId="307">
      <pivotArea dataOnly="0" labelOnly="1" fieldPosition="0">
        <references count="1">
          <reference field="2" count="0"/>
        </references>
      </pivotArea>
    </format>
    <format dxfId="306">
      <pivotArea dataOnly="0" labelOnly="1" grandRow="1" outline="0" fieldPosition="0"/>
    </format>
    <format dxfId="305">
      <pivotArea dataOnly="0" labelOnly="1" fieldPosition="0">
        <references count="2">
          <reference field="2" count="0" selected="0"/>
          <reference field="5" count="6">
            <x v="0"/>
            <x v="1"/>
            <x v="2"/>
            <x v="3"/>
            <x v="4"/>
            <x v="6"/>
          </reference>
        </references>
      </pivotArea>
    </format>
    <format dxfId="304">
      <pivotArea dataOnly="0" labelOnly="1" fieldPosition="0">
        <references count="1">
          <reference field="3" count="5">
            <x v="0"/>
            <x v="1"/>
            <x v="2"/>
            <x v="3"/>
            <x v="5"/>
          </reference>
        </references>
      </pivotArea>
    </format>
    <format dxfId="303">
      <pivotArea dataOnly="0" labelOnly="1" grandCol="1" outline="0" fieldPosition="0"/>
    </format>
  </formats>
  <pivotTableStyleInfo name="PivotStyleLight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127F7-8A6B-405D-B6AF-C6D08B40C0A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G16" firstHeaderRow="1" firstDataRow="3" firstDataCol="1" rowPageCount="1" colPageCount="1"/>
  <pivotFields count="19">
    <pivotField showAll="0"/>
    <pivotField dataField="1" showAll="0"/>
    <pivotField axis="axisCol" multipleItemSelectionAllowed="1" showAll="0">
      <items count="6">
        <item sd="0" x="1"/>
        <item m="1" x="4"/>
        <item x="0"/>
        <item m="1" x="3"/>
        <item m="1" x="2"/>
        <item t="default"/>
      </items>
    </pivotField>
    <pivotField axis="axisPage" multipleItemSelectionAllowed="1" showAll="0">
      <items count="7">
        <item m="1" x="5"/>
        <item x="3"/>
        <item x="2"/>
        <item x="0"/>
        <item x="1"/>
        <item x="4"/>
        <item t="default"/>
      </items>
    </pivotField>
    <pivotField axis="axisRow" showAll="0" sortType="descending">
      <items count="147">
        <item x="47"/>
        <item x="11"/>
        <item x="108"/>
        <item x="75"/>
        <item x="44"/>
        <item x="43"/>
        <item x="116"/>
        <item x="127"/>
        <item x="87"/>
        <item x="40"/>
        <item x="77"/>
        <item x="133"/>
        <item x="119"/>
        <item x="55"/>
        <item x="57"/>
        <item x="73"/>
        <item x="25"/>
        <item x="72"/>
        <item x="70"/>
        <item x="107"/>
        <item x="81"/>
        <item x="10"/>
        <item x="112"/>
        <item x="22"/>
        <item x="30"/>
        <item x="91"/>
        <item x="74"/>
        <item x="123"/>
        <item x="76"/>
        <item x="29"/>
        <item x="135"/>
        <item x="18"/>
        <item x="33"/>
        <item x="93"/>
        <item x="65"/>
        <item x="14"/>
        <item x="113"/>
        <item x="138"/>
        <item x="61"/>
        <item x="51"/>
        <item x="128"/>
        <item x="38"/>
        <item x="109"/>
        <item x="95"/>
        <item x="69"/>
        <item x="145"/>
        <item x="35"/>
        <item x="60"/>
        <item x="118"/>
        <item x="139"/>
        <item x="90"/>
        <item x="89"/>
        <item x="78"/>
        <item x="105"/>
        <item x="106"/>
        <item x="96"/>
        <item x="121"/>
        <item x="129"/>
        <item x="46"/>
        <item x="39"/>
        <item x="32"/>
        <item x="42"/>
        <item x="137"/>
        <item x="114"/>
        <item x="85"/>
        <item x="58"/>
        <item x="9"/>
        <item x="6"/>
        <item x="5"/>
        <item x="21"/>
        <item x="94"/>
        <item x="88"/>
        <item x="117"/>
        <item x="136"/>
        <item x="68"/>
        <item x="100"/>
        <item x="110"/>
        <item x="67"/>
        <item x="36"/>
        <item x="37"/>
        <item x="115"/>
        <item x="20"/>
        <item x="49"/>
        <item x="132"/>
        <item x="102"/>
        <item x="50"/>
        <item x="56"/>
        <item x="143"/>
        <item x="45"/>
        <item x="13"/>
        <item x="0"/>
        <item x="104"/>
        <item x="144"/>
        <item x="63"/>
        <item x="103"/>
        <item x="62"/>
        <item x="101"/>
        <item x="59"/>
        <item x="26"/>
        <item x="134"/>
        <item x="131"/>
        <item x="8"/>
        <item x="3"/>
        <item x="27"/>
        <item x="126"/>
        <item x="125"/>
        <item x="52"/>
        <item x="24"/>
        <item x="2"/>
        <item x="19"/>
        <item x="64"/>
        <item x="16"/>
        <item x="82"/>
        <item x="141"/>
        <item x="111"/>
        <item x="86"/>
        <item x="53"/>
        <item x="120"/>
        <item x="130"/>
        <item x="66"/>
        <item x="79"/>
        <item x="31"/>
        <item x="41"/>
        <item x="122"/>
        <item x="84"/>
        <item x="28"/>
        <item x="34"/>
        <item x="7"/>
        <item x="48"/>
        <item x="142"/>
        <item x="80"/>
        <item x="71"/>
        <item x="97"/>
        <item x="54"/>
        <item x="15"/>
        <item x="140"/>
        <item x="83"/>
        <item x="124"/>
        <item x="23"/>
        <item x="98"/>
        <item x="12"/>
        <item x="1"/>
        <item x="4"/>
        <item x="17"/>
        <item x="99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9">
        <item sd="0" x="3"/>
        <item sd="0" x="0"/>
        <item sd="0" x="1"/>
        <item sd="0" x="2"/>
        <item sd="0" x="4"/>
        <item sd="0" x="5"/>
        <item sd="0" m="1" x="7"/>
        <item sd="0" m="1" x="6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119">
        <item x="117"/>
        <item x="116"/>
        <item x="101"/>
        <item x="37"/>
        <item x="58"/>
        <item x="30"/>
        <item x="111"/>
        <item x="33"/>
        <item x="41"/>
        <item x="35"/>
        <item x="40"/>
        <item x="60"/>
        <item x="65"/>
        <item x="115"/>
        <item x="63"/>
        <item x="66"/>
        <item x="64"/>
        <item x="9"/>
        <item x="62"/>
        <item x="31"/>
        <item x="32"/>
        <item x="47"/>
        <item x="107"/>
        <item x="4"/>
        <item x="18"/>
        <item x="34"/>
        <item x="28"/>
        <item x="0"/>
        <item x="89"/>
        <item x="3"/>
        <item x="2"/>
        <item x="38"/>
        <item x="29"/>
        <item x="1"/>
        <item x="17"/>
        <item x="36"/>
        <item x="11"/>
        <item x="8"/>
        <item x="57"/>
        <item x="39"/>
        <item x="26"/>
        <item x="77"/>
        <item x="16"/>
        <item x="42"/>
        <item x="94"/>
        <item x="61"/>
        <item x="49"/>
        <item x="102"/>
        <item x="69"/>
        <item x="55"/>
        <item x="21"/>
        <item x="27"/>
        <item x="51"/>
        <item x="52"/>
        <item x="87"/>
        <item x="112"/>
        <item x="113"/>
        <item x="19"/>
        <item x="110"/>
        <item x="22"/>
        <item x="7"/>
        <item x="6"/>
        <item x="15"/>
        <item x="5"/>
        <item x="20"/>
        <item x="92"/>
        <item x="14"/>
        <item x="84"/>
        <item x="44"/>
        <item x="45"/>
        <item x="43"/>
        <item x="95"/>
        <item x="80"/>
        <item x="46"/>
        <item x="85"/>
        <item x="48"/>
        <item x="50"/>
        <item x="53"/>
        <item x="54"/>
        <item x="56"/>
        <item x="25"/>
        <item x="67"/>
        <item x="82"/>
        <item x="104"/>
        <item x="59"/>
        <item x="68"/>
        <item x="24"/>
        <item x="12"/>
        <item x="23"/>
        <item x="13"/>
        <item x="114"/>
        <item x="10"/>
        <item x="76"/>
        <item x="73"/>
        <item x="71"/>
        <item x="96"/>
        <item x="74"/>
        <item x="90"/>
        <item x="91"/>
        <item x="108"/>
        <item x="98"/>
        <item x="83"/>
        <item x="72"/>
        <item x="75"/>
        <item x="70"/>
        <item x="81"/>
        <item x="78"/>
        <item x="103"/>
        <item x="88"/>
        <item x="97"/>
        <item x="105"/>
        <item x="79"/>
        <item x="100"/>
        <item x="93"/>
        <item x="99"/>
        <item x="106"/>
        <item x="109"/>
        <item x="8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numFmtId="44" showAll="0"/>
  </pivotFields>
  <rowFields count="2">
    <field x="5"/>
    <field x="4"/>
  </rowFields>
  <rowItems count="7">
    <i>
      <x v="1"/>
    </i>
    <i>
      <x v="2"/>
    </i>
    <i>
      <x/>
    </i>
    <i>
      <x v="4"/>
    </i>
    <i>
      <x v="3"/>
    </i>
    <i>
      <x v="5"/>
    </i>
    <i t="grand">
      <x/>
    </i>
  </rowItems>
  <colFields count="2">
    <field x="2"/>
    <field x="-2"/>
  </colFields>
  <colItems count="6">
    <i>
      <x/>
      <x/>
    </i>
    <i r="1" i="1">
      <x v="1"/>
    </i>
    <i>
      <x v="2"/>
      <x/>
    </i>
    <i r="1" i="1">
      <x v="1"/>
    </i>
    <i t="grand">
      <x/>
    </i>
    <i t="grand" i="1">
      <x/>
    </i>
  </colItems>
  <pageFields count="1">
    <pageField fld="3" hier="-1"/>
  </pageFields>
  <dataFields count="2">
    <dataField name="Count of ICAO" fld="1" subtotal="count" baseField="0" baseItem="0"/>
    <dataField name="Average of Duration" fld="8" subtotal="average" baseField="5" baseItem="0"/>
  </dataFields>
  <formats count="2">
    <format dxfId="274">
      <pivotArea collapsedLevelsAreSubtotals="1" fieldPosition="0">
        <references count="1">
          <reference field="5" count="1">
            <x v="4"/>
          </reference>
        </references>
      </pivotArea>
    </format>
    <format dxfId="273">
      <pivotArea dataOnly="0" labelOnly="1" fieldPosition="0">
        <references count="1">
          <reference field="5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17ADD-8F2B-4AA5-88F2-46DA253759CD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N7:S21" firstHeaderRow="1" firstDataRow="2" firstDataCol="1"/>
  <pivotFields count="19">
    <pivotField showAll="0"/>
    <pivotField dataField="1" showAll="0"/>
    <pivotField axis="axisRow" multipleItemSelectionAllowed="1" showAll="0">
      <items count="6">
        <item x="1"/>
        <item m="1" x="4"/>
        <item x="0"/>
        <item m="1" x="3"/>
        <item m="1" x="2"/>
        <item t="default"/>
      </items>
    </pivotField>
    <pivotField axis="axisCol" multipleItemSelectionAllowed="1" showAll="0">
      <items count="7">
        <item m="1" x="5"/>
        <item x="3"/>
        <item x="2"/>
        <item x="0"/>
        <item x="1"/>
        <item x="4"/>
        <item t="default"/>
      </items>
    </pivotField>
    <pivotField axis="axisRow" showAll="0" sortType="descending">
      <items count="147">
        <item sd="0" x="47"/>
        <item sd="0" x="11"/>
        <item sd="0" x="108"/>
        <item sd="0" x="75"/>
        <item sd="0" x="44"/>
        <item sd="0" x="43"/>
        <item sd="0" x="116"/>
        <item sd="0" x="127"/>
        <item sd="0" x="87"/>
        <item sd="0" x="40"/>
        <item sd="0" x="77"/>
        <item sd="0" x="133"/>
        <item sd="0" x="119"/>
        <item sd="0" x="55"/>
        <item sd="0" x="57"/>
        <item sd="0" x="73"/>
        <item sd="0" x="25"/>
        <item sd="0" x="72"/>
        <item sd="0" x="70"/>
        <item sd="0" x="107"/>
        <item sd="0" x="81"/>
        <item sd="0" x="10"/>
        <item sd="0" x="112"/>
        <item sd="0" x="22"/>
        <item sd="0" x="30"/>
        <item sd="0" x="91"/>
        <item sd="0" x="74"/>
        <item sd="0" x="123"/>
        <item sd="0" x="76"/>
        <item sd="0" x="29"/>
        <item sd="0" x="135"/>
        <item sd="0" x="18"/>
        <item sd="0" x="33"/>
        <item sd="0" x="93"/>
        <item sd="0" x="65"/>
        <item sd="0" x="14"/>
        <item sd="0" x="113"/>
        <item sd="0" x="138"/>
        <item sd="0" x="61"/>
        <item sd="0" x="51"/>
        <item sd="0" x="128"/>
        <item sd="0" x="38"/>
        <item sd="0" x="109"/>
        <item sd="0" x="95"/>
        <item sd="0" x="69"/>
        <item sd="0" x="145"/>
        <item sd="0" x="35"/>
        <item sd="0" x="60"/>
        <item sd="0" x="118"/>
        <item sd="0" x="139"/>
        <item sd="0" x="90"/>
        <item sd="0" x="89"/>
        <item sd="0" x="78"/>
        <item sd="0" x="105"/>
        <item sd="0" x="106"/>
        <item sd="0" x="96"/>
        <item sd="0" x="121"/>
        <item sd="0" x="129"/>
        <item sd="0" x="46"/>
        <item sd="0" x="39"/>
        <item sd="0" x="32"/>
        <item sd="0" x="42"/>
        <item sd="0" x="137"/>
        <item sd="0" x="114"/>
        <item sd="0" x="85"/>
        <item sd="0" x="58"/>
        <item sd="0" x="9"/>
        <item sd="0" x="6"/>
        <item sd="0" x="5"/>
        <item sd="0" x="21"/>
        <item sd="0" x="94"/>
        <item sd="0" x="88"/>
        <item sd="0" x="117"/>
        <item sd="0" x="136"/>
        <item sd="0" x="68"/>
        <item sd="0" x="100"/>
        <item sd="0" x="110"/>
        <item sd="0" x="67"/>
        <item sd="0" x="36"/>
        <item sd="0" x="37"/>
        <item sd="0" x="115"/>
        <item sd="0" x="20"/>
        <item sd="0" x="49"/>
        <item sd="0" x="132"/>
        <item sd="0" x="102"/>
        <item sd="0" x="50"/>
        <item sd="0" x="56"/>
        <item sd="0" x="143"/>
        <item sd="0" x="45"/>
        <item sd="0" x="13"/>
        <item sd="0" x="0"/>
        <item sd="0" x="104"/>
        <item sd="0" x="144"/>
        <item sd="0" x="63"/>
        <item sd="0" x="103"/>
        <item sd="0" x="62"/>
        <item sd="0" x="101"/>
        <item sd="0" x="59"/>
        <item sd="0" x="26"/>
        <item sd="0" x="134"/>
        <item sd="0" x="131"/>
        <item sd="0" x="8"/>
        <item sd="0" x="3"/>
        <item sd="0" x="27"/>
        <item sd="0" x="126"/>
        <item sd="0" x="125"/>
        <item sd="0" x="52"/>
        <item sd="0" x="24"/>
        <item sd="0" x="2"/>
        <item sd="0" x="19"/>
        <item sd="0" x="64"/>
        <item sd="0" x="16"/>
        <item sd="0" x="82"/>
        <item sd="0" x="141"/>
        <item sd="0" x="111"/>
        <item sd="0" x="86"/>
        <item sd="0" x="53"/>
        <item sd="0" x="120"/>
        <item sd="0" x="130"/>
        <item sd="0" x="66"/>
        <item sd="0" x="79"/>
        <item sd="0" x="31"/>
        <item sd="0" x="41"/>
        <item sd="0" x="122"/>
        <item sd="0" x="84"/>
        <item sd="0" x="28"/>
        <item sd="0" x="34"/>
        <item sd="0" x="7"/>
        <item sd="0" x="48"/>
        <item sd="0" x="142"/>
        <item sd="0" x="80"/>
        <item sd="0" x="71"/>
        <item sd="0" x="97"/>
        <item sd="0" x="54"/>
        <item sd="0" x="15"/>
        <item sd="0" x="140"/>
        <item sd="0" x="83"/>
        <item sd="0" x="124"/>
        <item sd="0" x="23"/>
        <item sd="0" x="98"/>
        <item sd="0" x="12"/>
        <item sd="0" x="1"/>
        <item sd="0" x="4"/>
        <item sd="0" x="17"/>
        <item sd="0" x="99"/>
        <item sd="0" x="9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4"/>
            </reference>
          </references>
        </pivotArea>
      </autoSortScope>
    </pivotField>
    <pivotField axis="axisRow" showAll="0" sortType="descending">
      <items count="9">
        <item sd="0" x="3"/>
        <item sd="0" x="0"/>
        <item sd="0" x="1"/>
        <item sd="0" x="2"/>
        <item sd="0" x="4"/>
        <item sd="0" x="5"/>
        <item sd="0" m="1" x="7"/>
        <item sd="0" m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816">
        <item x="125"/>
        <item x="479"/>
        <item x="480"/>
        <item x="806"/>
        <item x="404"/>
        <item x="160"/>
        <item x="40"/>
        <item x="161"/>
        <item x="162"/>
        <item x="163"/>
        <item x="164"/>
        <item x="165"/>
        <item x="166"/>
        <item x="401"/>
        <item x="18"/>
        <item x="167"/>
        <item x="168"/>
        <item x="157"/>
        <item x="87"/>
        <item x="39"/>
        <item x="478"/>
        <item x="482"/>
        <item x="481"/>
        <item x="406"/>
        <item x="252"/>
        <item x="484"/>
        <item x="486"/>
        <item x="170"/>
        <item x="405"/>
        <item x="5"/>
        <item x="645"/>
        <item x="488"/>
        <item x="681"/>
        <item x="9"/>
        <item x="176"/>
        <item x="171"/>
        <item x="553"/>
        <item x="489"/>
        <item x="490"/>
        <item x="7"/>
        <item x="30"/>
        <item x="86"/>
        <item x="491"/>
        <item x="23"/>
        <item x="377"/>
        <item x="14"/>
        <item x="172"/>
        <item x="8"/>
        <item x="720"/>
        <item x="493"/>
        <item x="174"/>
        <item x="177"/>
        <item x="408"/>
        <item x="175"/>
        <item x="483"/>
        <item x="590"/>
        <item x="169"/>
        <item x="495"/>
        <item x="178"/>
        <item x="512"/>
        <item x="266"/>
        <item x="183"/>
        <item x="16"/>
        <item x="88"/>
        <item x="503"/>
        <item x="426"/>
        <item x="91"/>
        <item x="192"/>
        <item x="222"/>
        <item x="188"/>
        <item x="507"/>
        <item x="184"/>
        <item x="89"/>
        <item x="409"/>
        <item x="77"/>
        <item x="93"/>
        <item x="94"/>
        <item x="498"/>
        <item x="90"/>
        <item x="521"/>
        <item x="196"/>
        <item x="510"/>
        <item x="182"/>
        <item x="505"/>
        <item x="500"/>
        <item x="514"/>
        <item x="158"/>
        <item x="181"/>
        <item x="180"/>
        <item x="506"/>
        <item x="751"/>
        <item x="465"/>
        <item x="145"/>
        <item x="511"/>
        <item x="76"/>
        <item x="509"/>
        <item x="508"/>
        <item x="239"/>
        <item x="92"/>
        <item x="329"/>
        <item x="520"/>
        <item x="190"/>
        <item x="518"/>
        <item x="411"/>
        <item x="517"/>
        <item x="513"/>
        <item x="516"/>
        <item x="146"/>
        <item x="713"/>
        <item x="413"/>
        <item x="193"/>
        <item x="501"/>
        <item x="189"/>
        <item x="412"/>
        <item x="41"/>
        <item x="59"/>
        <item x="414"/>
        <item x="185"/>
        <item x="42"/>
        <item x="43"/>
        <item x="44"/>
        <item x="799"/>
        <item x="61"/>
        <item x="522"/>
        <item x="532"/>
        <item x="194"/>
        <item x="397"/>
        <item x="209"/>
        <item x="523"/>
        <item x="95"/>
        <item x="213"/>
        <item x="211"/>
        <item x="208"/>
        <item x="535"/>
        <item x="197"/>
        <item x="198"/>
        <item x="214"/>
        <item x="3"/>
        <item x="527"/>
        <item x="538"/>
        <item x="528"/>
        <item x="207"/>
        <item x="529"/>
        <item x="11"/>
        <item x="212"/>
        <item x="299"/>
        <item x="537"/>
        <item x="533"/>
        <item x="525"/>
        <item x="152"/>
        <item x="723"/>
        <item x="625"/>
        <item x="602"/>
        <item x="202"/>
        <item x="205"/>
        <item x="203"/>
        <item x="809"/>
        <item x="536"/>
        <item x="526"/>
        <item x="524"/>
        <item x="415"/>
        <item x="416"/>
        <item x="534"/>
        <item x="530"/>
        <item x="803"/>
        <item x="206"/>
        <item x="531"/>
        <item x="98"/>
        <item x="417"/>
        <item x="6"/>
        <item x="753"/>
        <item x="224"/>
        <item x="386"/>
        <item x="419"/>
        <item x="221"/>
        <item x="218"/>
        <item x="10"/>
        <item x="420"/>
        <item x="216"/>
        <item x="550"/>
        <item x="46"/>
        <item x="552"/>
        <item x="540"/>
        <item x="539"/>
        <item x="542"/>
        <item x="217"/>
        <item x="547"/>
        <item x="223"/>
        <item x="19"/>
        <item x="543"/>
        <item x="541"/>
        <item x="788"/>
        <item x="148"/>
        <item x="215"/>
        <item x="544"/>
        <item x="99"/>
        <item x="219"/>
        <item x="272"/>
        <item x="421"/>
        <item x="422"/>
        <item x="551"/>
        <item x="220"/>
        <item x="549"/>
        <item x="47"/>
        <item x="226"/>
        <item x="418"/>
        <item x="423"/>
        <item x="545"/>
        <item x="546"/>
        <item x="147"/>
        <item x="548"/>
        <item x="225"/>
        <item x="554"/>
        <item x="393"/>
        <item x="470"/>
        <item x="557"/>
        <item x="159"/>
        <item x="230"/>
        <item x="231"/>
        <item x="228"/>
        <item x="100"/>
        <item x="559"/>
        <item x="229"/>
        <item x="317"/>
        <item x="227"/>
        <item x="232"/>
        <item x="563"/>
        <item x="564"/>
        <item x="109"/>
        <item x="567"/>
        <item x="25"/>
        <item x="102"/>
        <item x="730"/>
        <item x="573"/>
        <item x="485"/>
        <item x="238"/>
        <item x="78"/>
        <item x="237"/>
        <item x="236"/>
        <item x="568"/>
        <item x="569"/>
        <item x="103"/>
        <item x="424"/>
        <item x="572"/>
        <item x="150"/>
        <item x="240"/>
        <item x="244"/>
        <item x="476"/>
        <item x="247"/>
        <item x="560"/>
        <item x="591"/>
        <item x="49"/>
        <item x="50"/>
        <item x="425"/>
        <item x="578"/>
        <item x="243"/>
        <item x="469"/>
        <item x="707"/>
        <item x="246"/>
        <item x="580"/>
        <item x="810"/>
        <item x="51"/>
        <item x="439"/>
        <item x="584"/>
        <item x="576"/>
        <item x="583"/>
        <item x="585"/>
        <item x="588"/>
        <item x="586"/>
        <item x="587"/>
        <item x="242"/>
        <item x="249"/>
        <item x="195"/>
        <item x="248"/>
        <item x="639"/>
        <item x="638"/>
        <item x="381"/>
        <item x="589"/>
        <item x="776"/>
        <item x="241"/>
        <item x="80"/>
        <item x="472"/>
        <item x="104"/>
        <item x="592"/>
        <item x="105"/>
        <item x="593"/>
        <item x="428"/>
        <item x="253"/>
        <item x="427"/>
        <item x="53"/>
        <item x="471"/>
        <item x="258"/>
        <item x="74"/>
        <item x="661"/>
        <item x="566"/>
        <item x="256"/>
        <item x="260"/>
        <item x="595"/>
        <item x="604"/>
        <item x="251"/>
        <item x="594"/>
        <item x="597"/>
        <item x="429"/>
        <item x="613"/>
        <item x="4"/>
        <item x="430"/>
        <item x="600"/>
        <item x="596"/>
        <item x="257"/>
        <item x="254"/>
        <item x="599"/>
        <item x="603"/>
        <item x="263"/>
        <item x="601"/>
        <item x="259"/>
        <item x="261"/>
        <item x="606"/>
        <item x="391"/>
        <item x="264"/>
        <item x="111"/>
        <item x="611"/>
        <item x="609"/>
        <item x="12"/>
        <item x="612"/>
        <item x="265"/>
        <item x="452"/>
        <item x="400"/>
        <item x="614"/>
        <item x="269"/>
        <item x="106"/>
        <item x="432"/>
        <item x="204"/>
        <item x="759"/>
        <item x="616"/>
        <item x="615"/>
        <item x="617"/>
        <item x="255"/>
        <item x="273"/>
        <item x="271"/>
        <item x="487"/>
        <item x="114"/>
        <item x="275"/>
        <item x="627"/>
        <item x="618"/>
        <item x="115"/>
        <item x="474"/>
        <item x="276"/>
        <item x="660"/>
        <item x="116"/>
        <item x="24"/>
        <item x="621"/>
        <item x="570"/>
        <item x="633"/>
        <item x="631"/>
        <item x="622"/>
        <item x="634"/>
        <item x="54"/>
        <item x="79"/>
        <item x="637"/>
        <item x="494"/>
        <item x="641"/>
        <item x="620"/>
        <item x="277"/>
        <item x="119"/>
        <item x="279"/>
        <item x="624"/>
        <item x="282"/>
        <item x="108"/>
        <item x="32"/>
        <item x="274"/>
        <item x="582"/>
        <item x="278"/>
        <item x="235"/>
        <item x="118"/>
        <item x="31"/>
        <item x="653"/>
        <item x="210"/>
        <item x="200"/>
        <item x="629"/>
        <item x="640"/>
        <item x="630"/>
        <item x="632"/>
        <item x="187"/>
        <item x="199"/>
        <item x="619"/>
        <item x="435"/>
        <item x="626"/>
        <item x="283"/>
        <item x="134"/>
        <item x="369"/>
        <item x="120"/>
        <item x="628"/>
        <item x="280"/>
        <item x="636"/>
        <item x="284"/>
        <item x="433"/>
        <item x="289"/>
        <item x="294"/>
        <item x="295"/>
        <item x="13"/>
        <item x="651"/>
        <item x="291"/>
        <item x="649"/>
        <item x="55"/>
        <item x="56"/>
        <item x="286"/>
        <item x="656"/>
        <item x="644"/>
        <item x="267"/>
        <item x="646"/>
        <item x="186"/>
        <item x="297"/>
        <item x="288"/>
        <item x="648"/>
        <item x="650"/>
        <item x="33"/>
        <item x="657"/>
        <item x="654"/>
        <item x="655"/>
        <item x="437"/>
        <item x="438"/>
        <item x="290"/>
        <item x="292"/>
        <item x="293"/>
        <item x="361"/>
        <item x="647"/>
        <item x="575"/>
        <item x="287"/>
        <item x="697"/>
        <item x="737"/>
        <item x="643"/>
        <item x="285"/>
        <item x="347"/>
        <item x="642"/>
        <item x="233"/>
        <item x="652"/>
        <item x="296"/>
        <item x="81"/>
        <item x="298"/>
        <item x="577"/>
        <item x="440"/>
        <item x="664"/>
        <item x="302"/>
        <item x="121"/>
        <item x="574"/>
        <item x="349"/>
        <item x="141"/>
        <item x="359"/>
        <item x="403"/>
        <item x="671"/>
        <item x="672"/>
        <item x="442"/>
        <item x="300"/>
        <item x="665"/>
        <item x="26"/>
        <item x="113"/>
        <item x="38"/>
        <item x="674"/>
        <item x="691"/>
        <item x="673"/>
        <item x="37"/>
        <item x="21"/>
        <item x="82"/>
        <item x="312"/>
        <item x="305"/>
        <item x="123"/>
        <item x="682"/>
        <item x="281"/>
        <item x="496"/>
        <item x="122"/>
        <item x="668"/>
        <item x="571"/>
        <item x="663"/>
        <item x="358"/>
        <item x="307"/>
        <item x="662"/>
        <item x="565"/>
        <item x="303"/>
        <item x="374"/>
        <item x="306"/>
        <item x="659"/>
        <item x="410"/>
        <item x="444"/>
        <item x="667"/>
        <item x="57"/>
        <item x="311"/>
        <item x="443"/>
        <item x="666"/>
        <item x="675"/>
        <item x="504"/>
        <item x="304"/>
        <item x="670"/>
        <item x="34"/>
        <item x="308"/>
        <item x="343"/>
        <item x="151"/>
        <item x="17"/>
        <item x="678"/>
        <item x="309"/>
        <item x="250"/>
        <item x="29"/>
        <item x="69"/>
        <item x="73"/>
        <item x="679"/>
        <item x="62"/>
        <item x="669"/>
        <item x="313"/>
        <item x="676"/>
        <item x="441"/>
        <item x="314"/>
        <item x="680"/>
        <item x="124"/>
        <item x="318"/>
        <item x="686"/>
        <item x="315"/>
        <item x="35"/>
        <item x="683"/>
        <item x="623"/>
        <item x="58"/>
        <item x="689"/>
        <item x="515"/>
        <item x="316"/>
        <item x="36"/>
        <item x="555"/>
        <item x="310"/>
        <item x="684"/>
        <item x="677"/>
        <item x="270"/>
        <item x="149"/>
        <item x="750"/>
        <item x="45"/>
        <item x="605"/>
        <item x="319"/>
        <item x="445"/>
        <item x="685"/>
        <item x="687"/>
        <item x="579"/>
        <item x="688"/>
        <item x="808"/>
        <item x="561"/>
        <item x="320"/>
        <item x="321"/>
        <item x="60"/>
        <item x="67"/>
        <item x="383"/>
        <item x="658"/>
        <item x="692"/>
        <item x="446"/>
        <item x="694"/>
        <item x="127"/>
        <item x="695"/>
        <item x="696"/>
        <item x="2"/>
        <item x="324"/>
        <item x="387"/>
        <item x="699"/>
        <item x="325"/>
        <item x="301"/>
        <item x="738"/>
        <item x="112"/>
        <item x="117"/>
        <item x="448"/>
        <item x="762"/>
        <item x="698"/>
        <item x="15"/>
        <item x="327"/>
        <item x="323"/>
        <item x="20"/>
        <item x="328"/>
        <item x="783"/>
        <item x="339"/>
        <item x="711"/>
        <item x="714"/>
        <item x="336"/>
        <item x="556"/>
        <item x="719"/>
        <item x="793"/>
        <item x="201"/>
        <item x="326"/>
        <item x="581"/>
        <item x="332"/>
        <item x="704"/>
        <item x="703"/>
        <item x="333"/>
        <item x="709"/>
        <item x="335"/>
        <item x="337"/>
        <item x="497"/>
        <item x="153"/>
        <item x="598"/>
        <item x="712"/>
        <item x="708"/>
        <item x="700"/>
        <item x="706"/>
        <item x="268"/>
        <item x="334"/>
        <item x="330"/>
        <item x="702"/>
        <item x="447"/>
        <item x="718"/>
        <item x="449"/>
        <item x="717"/>
        <item x="805"/>
        <item x="331"/>
        <item x="715"/>
        <item x="338"/>
        <item x="342"/>
        <item x="716"/>
        <item x="48"/>
        <item x="492"/>
        <item x="519"/>
        <item x="66"/>
        <item x="68"/>
        <item x="128"/>
        <item x="721"/>
        <item x="63"/>
        <item x="722"/>
        <item x="725"/>
        <item x="727"/>
        <item x="434"/>
        <item x="450"/>
        <item x="451"/>
        <item x="726"/>
        <item x="27"/>
        <item x="729"/>
        <item x="724"/>
        <item x="234"/>
        <item x="728"/>
        <item x="731"/>
        <item x="732"/>
        <item x="813"/>
        <item x="735"/>
        <item x="797"/>
        <item x="353"/>
        <item x="455"/>
        <item x="355"/>
        <item x="179"/>
        <item x="635"/>
        <item x="64"/>
        <item x="752"/>
        <item x="22"/>
        <item x="351"/>
        <item x="742"/>
        <item x="354"/>
        <item x="356"/>
        <item x="344"/>
        <item x="28"/>
        <item x="357"/>
        <item x="745"/>
        <item x="736"/>
        <item x="346"/>
        <item x="83"/>
        <item x="97"/>
        <item x="748"/>
        <item x="384"/>
        <item x="733"/>
        <item x="52"/>
        <item x="502"/>
        <item x="348"/>
        <item x="710"/>
        <item x="130"/>
        <item x="245"/>
        <item x="431"/>
        <item x="459"/>
        <item x="350"/>
        <item x="352"/>
        <item x="341"/>
        <item x="456"/>
        <item x="454"/>
        <item x="360"/>
        <item x="740"/>
        <item x="131"/>
        <item x="365"/>
        <item x="743"/>
        <item x="364"/>
        <item x="747"/>
        <item x="734"/>
        <item x="345"/>
        <item x="741"/>
        <item x="132"/>
        <item x="780"/>
        <item x="744"/>
        <item x="402"/>
        <item x="453"/>
        <item x="457"/>
        <item x="499"/>
        <item x="363"/>
        <item x="749"/>
        <item x="436"/>
        <item x="129"/>
        <item x="800"/>
        <item x="407"/>
        <item x="690"/>
        <item x="458"/>
        <item x="362"/>
        <item x="775"/>
        <item x="739"/>
        <item x="133"/>
        <item x="399"/>
        <item x="367"/>
        <item x="366"/>
        <item x="135"/>
        <item x="770"/>
        <item x="340"/>
        <item x="473"/>
        <item x="757"/>
        <item x="140"/>
        <item x="771"/>
        <item x="460"/>
        <item x="464"/>
        <item x="376"/>
        <item x="378"/>
        <item x="705"/>
        <item x="138"/>
        <item x="1"/>
        <item x="754"/>
        <item x="368"/>
        <item x="110"/>
        <item x="370"/>
        <item x="755"/>
        <item x="375"/>
        <item x="462"/>
        <item x="463"/>
        <item x="461"/>
        <item x="379"/>
        <item x="765"/>
        <item x="756"/>
        <item x="371"/>
        <item x="372"/>
        <item x="608"/>
        <item x="137"/>
        <item x="766"/>
        <item x="154"/>
        <item x="126"/>
        <item x="107"/>
        <item x="760"/>
        <item x="475"/>
        <item x="155"/>
        <item x="136"/>
        <item x="84"/>
        <item x="139"/>
        <item x="764"/>
        <item x="373"/>
        <item x="761"/>
        <item x="769"/>
        <item x="768"/>
        <item x="380"/>
        <item x="767"/>
        <item x="763"/>
        <item x="758"/>
        <item x="772"/>
        <item x="773"/>
        <item x="778"/>
        <item x="774"/>
        <item x="382"/>
        <item x="142"/>
        <item x="777"/>
        <item x="477"/>
        <item x="785"/>
        <item x="786"/>
        <item x="395"/>
        <item x="388"/>
        <item x="466"/>
        <item x="781"/>
        <item x="789"/>
        <item x="782"/>
        <item x="385"/>
        <item x="389"/>
        <item x="390"/>
        <item x="784"/>
        <item x="693"/>
        <item x="70"/>
        <item x="787"/>
        <item x="790"/>
        <item x="792"/>
        <item x="467"/>
        <item x="191"/>
        <item x="262"/>
        <item x="558"/>
        <item x="701"/>
        <item x="807"/>
        <item x="607"/>
        <item x="746"/>
        <item x="392"/>
        <item x="396"/>
        <item x="71"/>
        <item x="791"/>
        <item x="143"/>
        <item x="72"/>
        <item x="794"/>
        <item x="795"/>
        <item x="796"/>
        <item x="801"/>
        <item x="173"/>
        <item x="562"/>
        <item x="802"/>
        <item x="0"/>
        <item x="322"/>
        <item x="144"/>
        <item x="65"/>
        <item x="101"/>
        <item x="610"/>
        <item x="85"/>
        <item x="394"/>
        <item x="804"/>
        <item x="798"/>
        <item x="779"/>
        <item x="75"/>
        <item x="156"/>
        <item x="468"/>
        <item x="811"/>
        <item x="96"/>
        <item x="812"/>
        <item x="814"/>
        <item x="39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4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numFmtId="44" showAll="0"/>
  </pivotFields>
  <rowFields count="4">
    <field x="2"/>
    <field x="5"/>
    <field x="4"/>
    <field x="6"/>
  </rowFields>
  <rowItems count="13">
    <i>
      <x/>
    </i>
    <i r="1">
      <x v="2"/>
    </i>
    <i r="1">
      <x v="1"/>
    </i>
    <i r="1">
      <x v="4"/>
    </i>
    <i r="1">
      <x v="3"/>
    </i>
    <i r="1">
      <x v="5"/>
    </i>
    <i>
      <x v="2"/>
    </i>
    <i r="1">
      <x v="1"/>
    </i>
    <i r="1">
      <x/>
    </i>
    <i r="1">
      <x v="2"/>
    </i>
    <i r="1">
      <x v="3"/>
    </i>
    <i r="1">
      <x v="4"/>
    </i>
    <i r="1">
      <x v="5"/>
    </i>
  </rowItems>
  <colFields count="1">
    <field x="3"/>
  </colFields>
  <colItems count="5">
    <i>
      <x v="1"/>
    </i>
    <i>
      <x v="2"/>
    </i>
    <i>
      <x v="3"/>
    </i>
    <i>
      <x v="4"/>
    </i>
    <i>
      <x v="5"/>
    </i>
  </colItems>
  <dataFields count="1">
    <dataField name="Count of ICAO" fld="1" subtotal="count" baseField="0" baseItem="0"/>
  </dataFields>
  <formats count="7">
    <format dxfId="281">
      <pivotArea field="5" type="button" dataOnly="0" labelOnly="1" outline="0" axis="axisRow" fieldPosition="1"/>
    </format>
    <format dxfId="280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79">
      <pivotArea dataOnly="0" labelOnly="1" outline="0" fieldPosition="0">
        <references count="2">
          <reference field="4294967294" count="1">
            <x v="0"/>
          </reference>
          <reference field="3" count="1" selected="0">
            <x v="0"/>
          </reference>
        </references>
      </pivotArea>
    </format>
    <format dxfId="278">
      <pivotArea dataOnly="0" labelOnly="1" outline="0" fieldPosition="0">
        <references count="2">
          <reference field="4294967294" count="1">
            <x v="0"/>
          </reference>
          <reference field="3" count="1" selected="0">
            <x v="1"/>
          </reference>
        </references>
      </pivotArea>
    </format>
    <format dxfId="277">
      <pivotArea dataOnly="0" labelOnly="1" outline="0" fieldPosition="0">
        <references count="2">
          <reference field="4294967294" count="1">
            <x v="0"/>
          </reference>
          <reference field="3" count="1" selected="0">
            <x v="2"/>
          </reference>
        </references>
      </pivotArea>
    </format>
    <format dxfId="276">
      <pivotArea dataOnly="0" labelOnly="1" outline="0" fieldPosition="0">
        <references count="2">
          <reference field="4294967294" count="1">
            <x v="0"/>
          </reference>
          <reference field="3" count="1" selected="0">
            <x v="3"/>
          </reference>
        </references>
      </pivotArea>
    </format>
    <format dxfId="275">
      <pivotArea dataOnly="0" labelOnly="1" outline="0" fieldPosition="0">
        <references count="2">
          <reference field="4294967294" count="1">
            <x v="0"/>
          </reference>
          <reference field="3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B420C-B5B7-448C-8059-F6186B1CE7B4}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G12" firstHeaderRow="1" firstDataRow="2" firstDataCol="1"/>
  <pivotFields count="13">
    <pivotField dataField="1" showAll="0" defaultSubtotal="0"/>
    <pivotField axis="axisRow" showAll="0" sortType="descending" defaultSubtotal="0">
      <items count="1098">
        <item x="978"/>
        <item x="1025"/>
        <item x="1062"/>
        <item x="226"/>
        <item x="1046"/>
        <item x="465"/>
        <item x="648"/>
        <item x="275"/>
        <item x="805"/>
        <item x="738"/>
        <item x="515"/>
        <item x="649"/>
        <item x="1015"/>
        <item x="10"/>
        <item x="763"/>
        <item x="62"/>
        <item x="693"/>
        <item x="8"/>
        <item x="21"/>
        <item x="415"/>
        <item x="742"/>
        <item x="825"/>
        <item x="41"/>
        <item x="94"/>
        <item x="703"/>
        <item x="951"/>
        <item x="221"/>
        <item x="643"/>
        <item x="958"/>
        <item x="959"/>
        <item x="132"/>
        <item x="105"/>
        <item x="995"/>
        <item x="892"/>
        <item x="14"/>
        <item x="522"/>
        <item x="245"/>
        <item x="101"/>
        <item x="1035"/>
        <item x="662"/>
        <item x="713"/>
        <item x="1088"/>
        <item x="315"/>
        <item x="40"/>
        <item x="1049"/>
        <item x="43"/>
        <item x="1037"/>
        <item x="960"/>
        <item x="278"/>
        <item x="32"/>
        <item x="169"/>
        <item x="438"/>
        <item x="760"/>
        <item x="950"/>
        <item x="549"/>
        <item x="495"/>
        <item x="902"/>
        <item x="1055"/>
        <item x="404"/>
        <item x="353"/>
        <item x="709"/>
        <item x="284"/>
        <item x="247"/>
        <item x="717"/>
        <item x="451"/>
        <item x="667"/>
        <item x="85"/>
        <item x="931"/>
        <item x="52"/>
        <item x="267"/>
        <item x="175"/>
        <item x="234"/>
        <item x="634"/>
        <item x="426"/>
        <item x="231"/>
        <item x="764"/>
        <item x="390"/>
        <item x="6"/>
        <item x="39"/>
        <item x="908"/>
        <item x="757"/>
        <item x="17"/>
        <item x="961"/>
        <item x="725"/>
        <item x="470"/>
        <item x="873"/>
        <item x="1056"/>
        <item x="721"/>
        <item x="672"/>
        <item x="361"/>
        <item x="659"/>
        <item x="701"/>
        <item x="73"/>
        <item x="203"/>
        <item x="311"/>
        <item x="331"/>
        <item x="818"/>
        <item x="574"/>
        <item x="135"/>
        <item x="583"/>
        <item x="391"/>
        <item x="651"/>
        <item x="1028"/>
        <item x="421"/>
        <item x="962"/>
        <item x="828"/>
        <item x="927"/>
        <item x="329"/>
        <item x="1041"/>
        <item x="862"/>
        <item x="430"/>
        <item x="286"/>
        <item x="431"/>
        <item x="696"/>
        <item x="225"/>
        <item x="694"/>
        <item x="799"/>
        <item x="724"/>
        <item x="829"/>
        <item x="758"/>
        <item x="396"/>
        <item x="776"/>
        <item x="249"/>
        <item x="891"/>
        <item x="411"/>
        <item x="858"/>
        <item x="1083"/>
        <item x="443"/>
        <item x="582"/>
        <item x="72"/>
        <item x="897"/>
        <item x="456"/>
        <item x="84"/>
        <item x="121"/>
        <item x="909"/>
        <item x="507"/>
        <item x="359"/>
        <item x="336"/>
        <item x="112"/>
        <item x="399"/>
        <item x="268"/>
        <item x="765"/>
        <item x="737"/>
        <item x="134"/>
        <item x="992"/>
        <item x="380"/>
        <item x="180"/>
        <item x="355"/>
        <item x="596"/>
        <item x="921"/>
        <item x="340"/>
        <item x="205"/>
        <item x="452"/>
        <item x="271"/>
        <item x="923"/>
        <item x="565"/>
        <item x="883"/>
        <item x="215"/>
        <item x="151"/>
        <item x="510"/>
        <item x="514"/>
        <item x="711"/>
        <item x="99"/>
        <item x="1054"/>
        <item x="563"/>
        <item x="901"/>
        <item x="1089"/>
        <item x="186"/>
        <item x="1031"/>
        <item x="949"/>
        <item x="785"/>
        <item x="210"/>
        <item x="609"/>
        <item x="306"/>
        <item x="1081"/>
        <item x="498"/>
        <item x="1068"/>
        <item x="523"/>
        <item x="1"/>
        <item x="467"/>
        <item x="118"/>
        <item x="196"/>
        <item x="464"/>
        <item x="323"/>
        <item x="468"/>
        <item x="856"/>
        <item x="157"/>
        <item x="177"/>
        <item x="1093"/>
        <item x="439"/>
        <item x="1038"/>
        <item x="222"/>
        <item x="24"/>
        <item x="137"/>
        <item x="644"/>
        <item x="492"/>
        <item x="865"/>
        <item x="301"/>
        <item x="37"/>
        <item x="732"/>
        <item x="91"/>
        <item x="784"/>
        <item x="136"/>
        <item x="360"/>
        <item x="488"/>
        <item x="1067"/>
        <item x="1072"/>
        <item x="850"/>
        <item x="798"/>
        <item x="943"/>
        <item x="919"/>
        <item x="142"/>
        <item x="11"/>
        <item x="19"/>
        <item x="1029"/>
        <item x="242"/>
        <item x="744"/>
        <item x="320"/>
        <item x="96"/>
        <item x="859"/>
        <item x="606"/>
        <item x="124"/>
        <item x="326"/>
        <item x="102"/>
        <item x="1050"/>
        <item x="394"/>
        <item x="986"/>
        <item x="230"/>
        <item x="830"/>
        <item x="214"/>
        <item x="405"/>
        <item x="16"/>
        <item x="600"/>
        <item x="779"/>
        <item x="193"/>
        <item x="123"/>
        <item x="216"/>
        <item x="922"/>
        <item x="918"/>
        <item x="308"/>
        <item x="78"/>
        <item x="863"/>
        <item x="402"/>
        <item x="508"/>
        <item x="916"/>
        <item x="300"/>
        <item x="963"/>
        <item x="735"/>
        <item x="56"/>
        <item x="1026"/>
        <item x="22"/>
        <item x="613"/>
        <item x="354"/>
        <item x="313"/>
        <item x="494"/>
        <item x="1008"/>
        <item x="116"/>
        <item x="751"/>
        <item x="257"/>
        <item x="165"/>
        <item x="906"/>
        <item x="1033"/>
        <item x="259"/>
        <item x="877"/>
        <item x="74"/>
        <item x="541"/>
        <item x="528"/>
        <item x="483"/>
        <item x="50"/>
        <item x="417"/>
        <item x="67"/>
        <item x="595"/>
        <item x="122"/>
        <item x="243"/>
        <item x="269"/>
        <item x="615"/>
        <item x="312"/>
        <item x="239"/>
        <item x="890"/>
        <item x="872"/>
        <item x="103"/>
        <item x="964"/>
        <item x="540"/>
        <item x="474"/>
        <item x="383"/>
        <item x="1071"/>
        <item x="5"/>
        <item x="264"/>
        <item x="750"/>
        <item x="34"/>
        <item x="204"/>
        <item x="93"/>
        <item x="731"/>
        <item x="707"/>
        <item x="153"/>
        <item x="1043"/>
        <item x="362"/>
        <item x="727"/>
        <item x="706"/>
        <item x="607"/>
        <item x="628"/>
        <item x="884"/>
        <item x="831"/>
        <item x="762"/>
        <item x="626"/>
        <item x="1069"/>
        <item x="497"/>
        <item x="666"/>
        <item x="593"/>
        <item x="484"/>
        <item x="832"/>
        <item x="702"/>
        <item x="511"/>
        <item x="322"/>
        <item x="302"/>
        <item x="661"/>
        <item x="904"/>
        <item x="458"/>
        <item x="665"/>
        <item x="23"/>
        <item x="657"/>
        <item x="509"/>
        <item x="251"/>
        <item x="372"/>
        <item x="679"/>
        <item x="199"/>
        <item x="224"/>
        <item x="440"/>
        <item x="824"/>
        <item x="1084"/>
        <item x="833"/>
        <item x="558"/>
        <item x="1086"/>
        <item x="182"/>
        <item x="747"/>
        <item x="178"/>
        <item x="501"/>
        <item x="740"/>
        <item x="517"/>
        <item x="579"/>
        <item x="1024"/>
        <item x="536"/>
        <item x="447"/>
        <item x="220"/>
        <item x="581"/>
        <item x="1039"/>
        <item x="69"/>
        <item x="780"/>
        <item x="775"/>
        <item x="141"/>
        <item x="715"/>
        <item x="1077"/>
        <item x="181"/>
        <item x="409"/>
        <item x="530"/>
        <item x="903"/>
        <item x="129"/>
        <item x="482"/>
        <item x="1064"/>
        <item x="556"/>
        <item x="466"/>
        <item x="1085"/>
        <item x="279"/>
        <item x="1019"/>
        <item x="493"/>
        <item x="95"/>
        <item x="255"/>
        <item x="965"/>
        <item x="761"/>
        <item x="704"/>
        <item x="990"/>
        <item x="140"/>
        <item x="500"/>
        <item x="876"/>
        <item x="524"/>
        <item x="290"/>
        <item x="611"/>
        <item x="292"/>
        <item x="324"/>
        <item x="532"/>
        <item x="584"/>
        <item x="1059"/>
        <item x="1082"/>
        <item x="966"/>
        <item x="364"/>
        <item x="145"/>
        <item x="941"/>
        <item x="385"/>
        <item x="376"/>
        <item x="367"/>
        <item x="834"/>
        <item x="418"/>
        <item x="967"/>
        <item x="164"/>
        <item x="677"/>
        <item x="110"/>
        <item x="720"/>
        <item x="691"/>
        <item x="87"/>
        <item x="614"/>
        <item x="339"/>
        <item x="31"/>
        <item x="304"/>
        <item x="20"/>
        <item x="689"/>
        <item x="223"/>
        <item x="629"/>
        <item x="708"/>
        <item x="398"/>
        <item x="155"/>
        <item x="847"/>
        <item x="207"/>
        <item x="811"/>
        <item x="57"/>
        <item x="92"/>
        <item x="38"/>
        <item x="513"/>
        <item x="932"/>
        <item x="496"/>
        <item x="115"/>
        <item x="1094"/>
        <item x="270"/>
        <item x="1009"/>
        <item x="1034"/>
        <item x="212"/>
        <item x="281"/>
        <item x="131"/>
        <item x="285"/>
        <item x="698"/>
        <item x="719"/>
        <item x="869"/>
        <item x="66"/>
        <item x="553"/>
        <item x="13"/>
        <item x="1057"/>
        <item x="485"/>
        <item x="835"/>
        <item x="603"/>
        <item x="309"/>
        <item x="655"/>
        <item x="954"/>
        <item x="676"/>
        <item x="114"/>
        <item x="213"/>
        <item x="422"/>
        <item x="752"/>
        <item x="525"/>
        <item x="351"/>
        <item x="127"/>
        <item x="836"/>
        <item x="1073"/>
        <item x="82"/>
        <item x="983"/>
        <item x="851"/>
        <item x="26"/>
        <item x="505"/>
        <item x="622"/>
        <item x="866"/>
        <item x="71"/>
        <item x="319"/>
        <item x="480"/>
        <item x="756"/>
        <item x="1095"/>
        <item x="627"/>
        <item x="185"/>
        <item x="188"/>
        <item x="371"/>
        <item x="161"/>
        <item x="893"/>
        <item x="235"/>
        <item x="240"/>
        <item x="868"/>
        <item x="158"/>
        <item x="233"/>
        <item x="766"/>
        <item x="894"/>
        <item x="18"/>
        <item x="184"/>
        <item x="985"/>
        <item x="857"/>
        <item x="658"/>
        <item x="688"/>
        <item x="299"/>
        <item x="1040"/>
        <item x="9"/>
        <item x="335"/>
        <item x="1090"/>
        <item x="1011"/>
        <item x="789"/>
        <item x="982"/>
        <item x="619"/>
        <item x="889"/>
        <item x="61"/>
        <item x="265"/>
        <item x="60"/>
        <item x="2"/>
        <item x="741"/>
        <item x="598"/>
        <item x="160"/>
        <item x="745"/>
        <item x="310"/>
        <item x="646"/>
        <item x="885"/>
        <item x="733"/>
        <item x="684"/>
        <item x="588"/>
        <item x="938"/>
        <item x="289"/>
        <item x="393"/>
        <item x="113"/>
        <item x="53"/>
        <item x="272"/>
        <item x="287"/>
        <item x="746"/>
        <item x="602"/>
        <item x="191"/>
        <item x="631"/>
        <item x="150"/>
        <item x="879"/>
        <item x="587"/>
        <item x="7"/>
        <item x="559"/>
        <item x="980"/>
        <item x="809"/>
        <item x="117"/>
        <item x="358"/>
        <item x="560"/>
        <item x="823"/>
        <item x="258"/>
        <item x="945"/>
        <item x="516"/>
        <item x="637"/>
        <item x="640"/>
        <item x="956"/>
        <item x="578"/>
        <item x="946"/>
        <item x="75"/>
        <item x="994"/>
        <item x="673"/>
        <item x="25"/>
        <item x="569"/>
        <item x="669"/>
        <item x="635"/>
        <item x="119"/>
        <item x="573"/>
        <item x="564"/>
        <item x="944"/>
        <item x="590"/>
        <item x="880"/>
        <item x="30"/>
        <item x="712"/>
        <item x="334"/>
        <item x="49"/>
        <item x="256"/>
        <item x="1001"/>
        <item x="623"/>
        <item x="473"/>
        <item x="601"/>
        <item x="1045"/>
        <item x="753"/>
        <item x="1032"/>
        <item x="228"/>
        <item x="968"/>
        <item x="1052"/>
        <item x="478"/>
        <item x="636"/>
        <item x="878"/>
        <item x="479"/>
        <item x="539"/>
        <item x="77"/>
        <item x="386"/>
        <item x="533"/>
        <item x="457"/>
        <item x="837"/>
        <item x="499"/>
        <item x="692"/>
        <item x="179"/>
        <item x="392"/>
        <item x="143"/>
        <item x="44"/>
        <item x="388"/>
        <item x="183"/>
        <item x="1065"/>
        <item x="557"/>
        <item x="529"/>
        <item x="797"/>
        <item x="375"/>
        <item x="575"/>
        <item x="408"/>
        <item x="401"/>
        <item x="381"/>
        <item x="486"/>
        <item x="759"/>
        <item x="4"/>
        <item x="104"/>
        <item x="1058"/>
        <item x="874"/>
        <item x="1080"/>
        <item x="246"/>
        <item x="552"/>
        <item x="506"/>
        <item x="675"/>
        <item x="957"/>
        <item x="232"/>
        <item x="35"/>
        <item x="591"/>
        <item x="236"/>
        <item x="365"/>
        <item x="333"/>
        <item x="397"/>
        <item x="172"/>
        <item x="969"/>
        <item x="195"/>
        <item x="783"/>
        <item x="630"/>
        <item x="444"/>
        <item x="305"/>
        <item x="166"/>
        <item x="743"/>
        <item x="1002"/>
        <item x="781"/>
        <item x="895"/>
        <item x="867"/>
        <item x="1005"/>
        <item x="722"/>
        <item x="414"/>
        <item x="120"/>
        <item x="1020"/>
        <item x="168"/>
        <item x="767"/>
        <item x="46"/>
        <item x="1074"/>
        <item x="1063"/>
        <item x="0"/>
        <item x="238"/>
        <item x="350"/>
        <item x="167"/>
        <item x="748"/>
        <item x="542"/>
        <item x="570"/>
        <item x="325"/>
        <item x="1092"/>
        <item x="562"/>
        <item x="970"/>
        <item x="373"/>
        <item x="379"/>
        <item x="656"/>
        <item x="356"/>
        <item x="149"/>
        <item x="1060"/>
        <item x="807"/>
        <item m="1" x="1097"/>
        <item x="1018"/>
        <item x="952"/>
        <item x="261"/>
        <item x="419"/>
        <item x="370"/>
        <item x="250"/>
        <item x="660"/>
        <item x="489"/>
        <item x="1079"/>
        <item x="416"/>
        <item x="254"/>
        <item x="580"/>
        <item x="674"/>
        <item x="476"/>
        <item x="768"/>
        <item x="971"/>
        <item x="988"/>
        <item x="424"/>
        <item x="174"/>
        <item x="911"/>
        <item x="846"/>
        <item x="389"/>
        <item x="604"/>
        <item x="920"/>
        <item x="208"/>
        <item x="366"/>
        <item x="812"/>
        <item x="642"/>
        <item x="993"/>
        <item x="729"/>
        <item x="65"/>
        <item x="686"/>
        <item x="425"/>
        <item x="817"/>
        <item x="429"/>
        <item x="782"/>
        <item x="641"/>
        <item x="939"/>
        <item x="538"/>
        <item x="621"/>
        <item x="357"/>
        <item x="1007"/>
        <item x="543"/>
        <item x="462"/>
        <item x="81"/>
        <item x="979"/>
        <item x="206"/>
        <item x="567"/>
        <item x="463"/>
        <item x="616"/>
        <item x="448"/>
        <item x="47"/>
        <item x="1044"/>
        <item x="937"/>
        <item x="433"/>
        <item x="989"/>
        <item x="138"/>
        <item x="502"/>
        <item x="572"/>
        <item x="384"/>
        <item x="1000"/>
        <item x="810"/>
        <item x="936"/>
        <item x="342"/>
        <item x="327"/>
        <item x="769"/>
        <item x="605"/>
        <item x="503"/>
        <item x="664"/>
        <item x="998"/>
        <item x="555"/>
        <item x="202"/>
        <item x="838"/>
        <item x="999"/>
        <item x="338"/>
        <item x="652"/>
        <item x="839"/>
        <item x="453"/>
        <item x="1016"/>
        <item x="173"/>
        <item x="1030"/>
        <item x="253"/>
        <item x="108"/>
        <item x="76"/>
        <item x="566"/>
        <item x="899"/>
        <item x="491"/>
        <item x="83"/>
        <item x="454"/>
        <item x="241"/>
        <item x="887"/>
        <item x="645"/>
        <item x="446"/>
        <item x="1017"/>
        <item x="455"/>
        <item x="423"/>
        <item x="427"/>
        <item x="770"/>
        <item x="947"/>
        <item x="801"/>
        <item x="291"/>
        <item x="624"/>
        <item x="147"/>
        <item x="687"/>
        <item x="217"/>
        <item x="910"/>
        <item x="802"/>
        <item x="28"/>
        <item x="252"/>
        <item x="229"/>
        <item x="406"/>
        <item x="972"/>
        <item x="407"/>
        <item x="363"/>
        <item x="321"/>
        <item x="341"/>
        <item x="98"/>
        <item x="787"/>
        <item x="683"/>
        <item x="1096"/>
        <item x="548"/>
        <item x="848"/>
        <item x="680"/>
        <item x="800"/>
        <item x="209"/>
        <item x="930"/>
        <item x="875"/>
        <item x="163"/>
        <item x="822"/>
        <item x="400"/>
        <item x="914"/>
        <item x="806"/>
        <item x="547"/>
        <item x="349"/>
        <item x="428"/>
        <item x="840"/>
        <item x="942"/>
        <item x="437"/>
        <item x="1021"/>
        <item x="435"/>
        <item x="864"/>
        <item x="189"/>
        <item x="352"/>
        <item x="148"/>
        <item x="387"/>
        <item x="450"/>
        <item x="263"/>
        <item x="685"/>
        <item x="697"/>
        <item x="130"/>
        <item x="1076"/>
        <item x="187"/>
        <item x="981"/>
        <item x="316"/>
        <item x="125"/>
        <item x="788"/>
        <item x="852"/>
        <item x="410"/>
        <item x="853"/>
        <item x="723"/>
        <item x="344"/>
        <item x="1075"/>
        <item x="568"/>
        <item x="718"/>
        <item x="403"/>
        <item x="739"/>
        <item x="905"/>
        <item x="54"/>
        <item x="550"/>
        <item x="227"/>
        <item x="346"/>
        <item x="449"/>
        <item x="755"/>
        <item x="854"/>
        <item x="973"/>
        <item x="412"/>
        <item x="771"/>
        <item x="146"/>
        <item x="610"/>
        <item x="544"/>
        <item x="262"/>
        <item x="576"/>
        <item x="1036"/>
        <item x="699"/>
        <item x="772"/>
        <item x="841"/>
        <item x="42"/>
        <item x="1078"/>
        <item x="296"/>
        <item x="585"/>
        <item x="1022"/>
        <item x="377"/>
        <item x="728"/>
        <item x="870"/>
        <item x="461"/>
        <item x="348"/>
        <item x="109"/>
        <item x="436"/>
        <item x="201"/>
        <item x="695"/>
        <item x="546"/>
        <item x="842"/>
        <item x="378"/>
        <item x="192"/>
        <item x="991"/>
        <item x="617"/>
        <item x="3"/>
        <item x="152"/>
        <item x="58"/>
        <item x="736"/>
        <item x="1051"/>
        <item x="1061"/>
        <item x="714"/>
        <item x="441"/>
        <item x="156"/>
        <item x="625"/>
        <item x="773"/>
        <item x="749"/>
        <item x="881"/>
        <item x="786"/>
        <item x="200"/>
        <item x="266"/>
        <item x="726"/>
        <item x="592"/>
        <item x="912"/>
        <item x="276"/>
        <item x="734"/>
        <item x="907"/>
        <item x="935"/>
        <item x="445"/>
        <item x="1027"/>
        <item x="317"/>
        <item x="984"/>
        <item x="896"/>
        <item x="586"/>
        <item x="928"/>
        <item x="487"/>
        <item x="974"/>
        <item x="882"/>
        <item x="571"/>
        <item x="898"/>
        <item x="843"/>
        <item x="860"/>
        <item x="100"/>
        <item x="477"/>
        <item x="12"/>
        <item x="987"/>
        <item x="295"/>
        <item x="194"/>
        <item x="288"/>
        <item x="940"/>
        <item x="97"/>
        <item x="1048"/>
        <item x="821"/>
        <item x="36"/>
        <item x="347"/>
        <item x="633"/>
        <item x="420"/>
        <item x="545"/>
        <item x="159"/>
        <item x="128"/>
        <item x="1087"/>
        <item x="33"/>
        <item x="64"/>
        <item x="681"/>
        <item x="86"/>
        <item x="778"/>
        <item x="144"/>
        <item x="343"/>
        <item x="705"/>
        <item x="59"/>
        <item x="716"/>
        <item x="1013"/>
        <item x="531"/>
        <item x="668"/>
        <item x="1004"/>
        <item x="45"/>
        <item x="653"/>
        <item x="526"/>
        <item x="608"/>
        <item x="442"/>
        <item x="332"/>
        <item x="107"/>
        <item x="670"/>
        <item x="512"/>
        <item x="294"/>
        <item x="111"/>
        <item x="777"/>
        <item x="481"/>
        <item x="690"/>
        <item x="754"/>
        <item x="318"/>
        <item x="554"/>
        <item x="929"/>
        <item x="933"/>
        <item x="638"/>
        <item x="561"/>
        <item x="827"/>
        <item x="374"/>
        <item x="650"/>
        <item x="888"/>
        <item x="490"/>
        <item x="471"/>
        <item x="68"/>
        <item x="176"/>
        <item x="599"/>
        <item x="519"/>
        <item x="413"/>
        <item x="774"/>
        <item x="162"/>
        <item x="816"/>
        <item x="917"/>
        <item x="282"/>
        <item x="330"/>
        <item x="345"/>
        <item x="551"/>
        <item x="395"/>
        <item x="819"/>
        <item x="682"/>
        <item x="70"/>
        <item x="577"/>
        <item x="678"/>
        <item x="844"/>
        <item x="535"/>
        <item x="845"/>
        <item x="277"/>
        <item x="1047"/>
        <item x="900"/>
        <item x="219"/>
        <item x="849"/>
        <item x="48"/>
        <item x="1070"/>
        <item x="826"/>
        <item x="79"/>
        <item x="639"/>
        <item x="90"/>
        <item x="612"/>
        <item x="632"/>
        <item x="133"/>
        <item x="27"/>
        <item x="170"/>
        <item x="663"/>
        <item x="855"/>
        <item x="1003"/>
        <item x="307"/>
        <item x="211"/>
        <item x="618"/>
        <item x="298"/>
        <item x="924"/>
        <item x="594"/>
        <item x="886"/>
        <item x="953"/>
        <item x="647"/>
        <item x="537"/>
        <item x="328"/>
        <item x="126"/>
        <item x="1023"/>
        <item x="654"/>
        <item x="521"/>
        <item x="197"/>
        <item x="283"/>
        <item x="472"/>
        <item x="55"/>
        <item x="337"/>
        <item x="1091"/>
        <item x="460"/>
        <item x="977"/>
        <item x="820"/>
        <item x="589"/>
        <item x="469"/>
        <item x="975"/>
        <item x="871"/>
        <item x="534"/>
        <item x="948"/>
        <item x="700"/>
        <item x="237"/>
        <item x="861"/>
        <item x="274"/>
        <item x="520"/>
        <item x="997"/>
        <item x="710"/>
        <item x="88"/>
        <item x="459"/>
        <item x="1014"/>
        <item x="1010"/>
        <item x="996"/>
        <item x="29"/>
        <item x="248"/>
        <item x="273"/>
        <item x="504"/>
        <item x="244"/>
        <item x="15"/>
        <item x="51"/>
        <item x="1066"/>
        <item x="63"/>
        <item x="293"/>
        <item x="792"/>
        <item x="260"/>
        <item x="218"/>
        <item x="620"/>
        <item x="815"/>
        <item x="369"/>
        <item x="434"/>
        <item x="154"/>
        <item x="1042"/>
        <item x="926"/>
        <item x="527"/>
        <item x="432"/>
        <item x="671"/>
        <item x="1053"/>
        <item x="1006"/>
        <item x="1012"/>
        <item x="80"/>
        <item x="297"/>
        <item x="813"/>
        <item x="803"/>
        <item x="382"/>
        <item x="794"/>
        <item x="934"/>
        <item x="190"/>
        <item x="976"/>
        <item x="790"/>
        <item x="171"/>
        <item x="303"/>
        <item x="808"/>
        <item x="791"/>
        <item x="804"/>
        <item x="368"/>
        <item x="795"/>
        <item x="925"/>
        <item x="198"/>
        <item x="793"/>
        <item x="796"/>
        <item x="814"/>
        <item x="139"/>
        <item x="280"/>
        <item x="913"/>
        <item x="955"/>
        <item x="475"/>
        <item x="915"/>
        <item x="314"/>
        <item x="597"/>
        <item x="518"/>
        <item x="106"/>
        <item x="89"/>
        <item x="73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4"/>
            </reference>
          </references>
        </pivotArea>
      </autoSortScope>
    </pivotField>
    <pivotField axis="axisRow" multipleItemSelectionAllowed="1" showAll="0" sortType="descending" defaultSubtotal="0">
      <items count="5">
        <item x="4"/>
        <item h="1" x="1"/>
        <item h="1" x="3"/>
        <item h="1" x="2"/>
        <item h="1" x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5"/>
            </reference>
          </references>
        </pivotArea>
      </autoSortScope>
    </pivotField>
    <pivotField axis="axisCol" multipleItemSelectionAllowed="1" showAll="0" defaultSubtotal="0">
      <items count="7">
        <item sd="0" x="5"/>
        <item sd="0" x="0"/>
        <item sd="0" x="3"/>
        <item sd="0" x="2"/>
        <item x="1"/>
        <item sd="0" x="4"/>
        <item x="6"/>
      </items>
    </pivotField>
    <pivotField axis="axisRow" showAll="0" sortType="descending" defaultSubtotal="0">
      <items count="181">
        <item sd="0" x="146"/>
        <item sd="0" x="152"/>
        <item sd="0" x="19"/>
        <item sd="0" x="71"/>
        <item sd="0" x="91"/>
        <item sd="0" x="151"/>
        <item sd="0" m="1" x="180"/>
        <item sd="0" x="61"/>
        <item sd="0" x="132"/>
        <item sd="0" x="75"/>
        <item sd="0" x="37"/>
        <item sd="0" x="54"/>
        <item sd="0" x="134"/>
        <item sd="0" x="76"/>
        <item sd="0" x="143"/>
        <item sd="0" x="147"/>
        <item sd="0" x="77"/>
        <item sd="0" x="112"/>
        <item sd="0" x="58"/>
        <item sd="0" x="68"/>
        <item sd="0" x="155"/>
        <item sd="0" x="161"/>
        <item sd="0" x="96"/>
        <item sd="0" x="27"/>
        <item sd="0" x="123"/>
        <item sd="0" x="115"/>
        <item sd="0" x="88"/>
        <item sd="0" x="114"/>
        <item sd="0" x="133"/>
        <item sd="0" x="172"/>
        <item sd="0" x="38"/>
        <item sd="0" x="81"/>
        <item sd="0" x="156"/>
        <item sd="0" x="100"/>
        <item sd="0" x="157"/>
        <item x="6"/>
        <item sd="0" x="49"/>
        <item sd="0" x="124"/>
        <item sd="0" x="97"/>
        <item sd="0" x="66"/>
        <item sd="0" x="60"/>
        <item sd="0" x="126"/>
        <item sd="0" x="162"/>
        <item sd="0" x="173"/>
        <item sd="0" x="57"/>
        <item sd="0" x="135"/>
        <item sd="0" x="158"/>
        <item sd="0" x="79"/>
        <item sd="0" x="1"/>
        <item sd="0" x="94"/>
        <item sd="0" x="130"/>
        <item sd="0" x="105"/>
        <item sd="0" x="174"/>
        <item sd="0" x="5"/>
        <item sd="0" x="74"/>
        <item sd="0" x="56"/>
        <item sd="0" x="34"/>
        <item sd="0" x="53"/>
        <item sd="0" x="153"/>
        <item sd="0" x="95"/>
        <item sd="0" x="82"/>
        <item sd="0" x="131"/>
        <item sd="0" x="39"/>
        <item sd="0" x="12"/>
        <item sd="0" x="65"/>
        <item sd="0" x="70"/>
        <item sd="0" x="159"/>
        <item sd="0" x="80"/>
        <item sd="0" x="45"/>
        <item sd="0" x="11"/>
        <item sd="0" x="84"/>
        <item sd="0" x="73"/>
        <item sd="0" x="160"/>
        <item sd="0" x="52"/>
        <item sd="0" x="67"/>
        <item sd="0" x="20"/>
        <item sd="0" x="29"/>
        <item sd="0" x="16"/>
        <item sd="0" x="69"/>
        <item sd="0" x="127"/>
        <item sd="0" x="50"/>
        <item sd="0" x="8"/>
        <item sd="0" x="83"/>
        <item sd="0" x="35"/>
        <item sd="0" x="17"/>
        <item sd="0" x="129"/>
        <item sd="0" x="125"/>
        <item sd="0" x="139"/>
        <item sd="0" x="140"/>
        <item sd="0" x="138"/>
        <item sd="0" x="108"/>
        <item sd="0" x="128"/>
        <item sd="0" x="93"/>
        <item sd="0" x="87"/>
        <item sd="0" x="103"/>
        <item sd="0" x="109"/>
        <item sd="0" x="98"/>
        <item sd="0" x="176"/>
        <item sd="0" x="119"/>
        <item sd="0" x="111"/>
        <item sd="0" x="24"/>
        <item sd="0" x="163"/>
        <item sd="0" x="164"/>
        <item sd="0" x="106"/>
        <item sd="0" x="150"/>
        <item sd="0" x="86"/>
        <item sd="0" x="64"/>
        <item sd="0" x="59"/>
        <item sd="0" x="120"/>
        <item sd="0" x="26"/>
        <item sd="0" x="170"/>
        <item sd="0" x="28"/>
        <item sd="0" x="175"/>
        <item sd="0" x="144"/>
        <item sd="0" x="90"/>
        <item sd="0" x="15"/>
        <item sd="0" x="47"/>
        <item sd="0" x="165"/>
        <item sd="0" x="78"/>
        <item sd="0" x="30"/>
        <item sd="0" x="92"/>
        <item sd="0" x="2"/>
        <item sd="0" x="113"/>
        <item sd="0" x="167"/>
        <item sd="0" x="22"/>
        <item sd="0" x="148"/>
        <item sd="0" x="23"/>
        <item sd="0" x="168"/>
        <item sd="0" x="169"/>
        <item sd="0" x="14"/>
        <item sd="0" x="25"/>
        <item sd="0" x="51"/>
        <item sd="0" x="55"/>
        <item sd="0" x="62"/>
        <item sd="0" x="21"/>
        <item sd="0" x="18"/>
        <item sd="0" x="116"/>
        <item sd="0" x="166"/>
        <item sd="0" x="72"/>
        <item sd="0" x="9"/>
        <item sd="0" x="4"/>
        <item sd="0" x="110"/>
        <item sd="0" x="136"/>
        <item sd="0" x="85"/>
        <item sd="0" x="42"/>
        <item sd="0" x="107"/>
        <item sd="0" x="104"/>
        <item sd="0" x="0"/>
        <item sd="0" x="7"/>
        <item sd="0" x="36"/>
        <item sd="0" x="32"/>
        <item sd="0" x="149"/>
        <item sd="0" x="117"/>
        <item sd="0" x="171"/>
        <item sd="0" x="63"/>
        <item sd="0" x="33"/>
        <item sd="0" x="13"/>
        <item sd="0" x="43"/>
        <item sd="0" x="145"/>
        <item sd="0" x="121"/>
        <item sd="0" x="31"/>
        <item sd="0" x="89"/>
        <item sd="0" x="177"/>
        <item sd="0" x="44"/>
        <item sd="0" x="99"/>
        <item sd="0" x="10"/>
        <item sd="0" x="142"/>
        <item sd="0" x="122"/>
        <item sd="0" x="118"/>
        <item sd="0" x="41"/>
        <item x="40"/>
        <item sd="0" m="1" x="179"/>
        <item sd="0" x="46"/>
        <item sd="0" x="154"/>
        <item sd="0" x="141"/>
        <item sd="0" x="178"/>
        <item sd="0" x="48"/>
        <item sd="0" x="3"/>
        <item sd="0" x="137"/>
        <item sd="0" x="101"/>
        <item sd="0" x="102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4"/>
            </reference>
          </references>
        </pivotArea>
      </autoSortScope>
    </pivotField>
    <pivotField axis="axisRow" showAll="0" sortType="descending" defaultSubtotal="0">
      <items count="7">
        <item sd="0" x="0"/>
        <item sd="0" x="1"/>
        <item sd="0" x="2"/>
        <item sd="0" x="5"/>
        <item sd="0" x="4"/>
        <item sd="0" x="3"/>
        <item sd="0" x="6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4"/>
            </reference>
          </references>
        </pivotArea>
      </autoSortScope>
    </pivotField>
    <pivotField axis="axisRow" showAll="0" defaultSubtotal="0">
      <items count="1098">
        <item x="805"/>
        <item x="515"/>
        <item x="649"/>
        <item x="368"/>
        <item x="14"/>
        <item x="10"/>
        <item x="231"/>
        <item x="62"/>
        <item x="8"/>
        <item x="21"/>
        <item x="825"/>
        <item x="94"/>
        <item x="221"/>
        <item x="703"/>
        <item x="951"/>
        <item x="470"/>
        <item x="132"/>
        <item x="923"/>
        <item x="892"/>
        <item x="278"/>
        <item x="39"/>
        <item x="662"/>
        <item x="738"/>
        <item x="693"/>
        <item x="1037"/>
        <item x="1015"/>
        <item x="1088"/>
        <item x="763"/>
        <item x="43"/>
        <item x="629"/>
        <item x="958"/>
        <item x="908"/>
        <item x="522"/>
        <item x="40"/>
        <item x="315"/>
        <item x="713"/>
        <item x="386"/>
        <item x="902"/>
        <item x="1055"/>
        <item x="960"/>
        <item x="642"/>
        <item x="32"/>
        <item x="234"/>
        <item x="169"/>
        <item x="362"/>
        <item x="438"/>
        <item x="549"/>
        <item x="600"/>
        <item x="23"/>
        <item x="275"/>
        <item x="353"/>
        <item x="17"/>
        <item x="599"/>
        <item x="760"/>
        <item x="495"/>
        <item x="404"/>
        <item x="284"/>
        <item x="685"/>
        <item x="426"/>
        <item x="717"/>
        <item x="667"/>
        <item x="931"/>
        <item x="52"/>
        <item x="634"/>
        <item x="267"/>
        <item x="175"/>
        <item x="415"/>
        <item x="677"/>
        <item x="101"/>
        <item x="764"/>
        <item x="6"/>
        <item x="757"/>
        <item x="456"/>
        <item x="161"/>
        <item x="696"/>
        <item x="396"/>
        <item x="721"/>
        <item x="962"/>
        <item x="691"/>
        <item x="909"/>
        <item x="737"/>
        <item x="609"/>
        <item x="122"/>
        <item x="121"/>
        <item x="431"/>
        <item x="862"/>
        <item x="992"/>
        <item x="443"/>
        <item x="203"/>
        <item x="659"/>
        <item x="361"/>
        <item x="514"/>
        <item x="711"/>
        <item x="891"/>
        <item x="99"/>
        <item x="672"/>
        <item x="507"/>
        <item x="306"/>
        <item x="464"/>
        <item x="249"/>
        <item x="147"/>
        <item x="98"/>
        <item x="651"/>
        <item x="135"/>
        <item x="329"/>
        <item x="574"/>
        <item x="399"/>
        <item x="787"/>
        <item x="124"/>
        <item x="112"/>
        <item x="1041"/>
        <item x="583"/>
        <item x="701"/>
        <item x="286"/>
        <item x="545"/>
        <item x="219"/>
        <item x="311"/>
        <item x="799"/>
        <item x="858"/>
        <item x="411"/>
        <item x="359"/>
        <item x="901"/>
        <item x="776"/>
        <item x="829"/>
        <item x="694"/>
        <item x="715"/>
        <item x="510"/>
        <item x="1083"/>
        <item x="446"/>
        <item x="565"/>
        <item x="927"/>
        <item x="785"/>
        <item x="452"/>
        <item x="340"/>
        <item x="72"/>
        <item x="180"/>
        <item x="355"/>
        <item x="336"/>
        <item x="921"/>
        <item x="380"/>
        <item x="205"/>
        <item x="428"/>
        <item x="1081"/>
        <item x="151"/>
        <item x="563"/>
        <item x="498"/>
        <item x="391"/>
        <item x="430"/>
        <item x="818"/>
        <item x="134"/>
        <item x="883"/>
        <item x="758"/>
        <item x="215"/>
        <item x="779"/>
        <item x="73"/>
        <item x="83"/>
        <item x="186"/>
        <item x="224"/>
        <item x="1031"/>
        <item x="582"/>
        <item x="724"/>
        <item x="949"/>
        <item x="268"/>
        <item x="596"/>
        <item x="1089"/>
        <item x="620"/>
        <item x="189"/>
        <item x="1054"/>
        <item x="523"/>
        <item x="326"/>
        <item x="1"/>
        <item x="198"/>
        <item x="859"/>
        <item x="467"/>
        <item x="784"/>
        <item x="323"/>
        <item x="216"/>
        <item x="16"/>
        <item x="177"/>
        <item x="96"/>
        <item x="405"/>
        <item x="468"/>
        <item x="196"/>
        <item x="856"/>
        <item x="863"/>
        <item x="24"/>
        <item x="1038"/>
        <item x="1072"/>
        <item x="893"/>
        <item x="91"/>
        <item x="865"/>
        <item x="850"/>
        <item x="300"/>
        <item x="360"/>
        <item x="1067"/>
        <item x="242"/>
        <item x="488"/>
        <item x="644"/>
        <item x="123"/>
        <item x="397"/>
        <item x="943"/>
        <item x="402"/>
        <item x="102"/>
        <item x="137"/>
        <item x="173"/>
        <item x="410"/>
        <item x="918"/>
        <item x="602"/>
        <item x="603"/>
        <item x="732"/>
        <item x="986"/>
        <item x="11"/>
        <item x="136"/>
        <item x="793"/>
        <item x="308"/>
        <item x="995"/>
        <item x="919"/>
        <item x="492"/>
        <item x="1029"/>
        <item x="1050"/>
        <item x="798"/>
        <item x="439"/>
        <item x="301"/>
        <item x="744"/>
        <item x="830"/>
        <item x="1068"/>
        <item x="320"/>
        <item x="382"/>
        <item x="19"/>
        <item x="606"/>
        <item x="508"/>
        <item x="214"/>
        <item x="230"/>
        <item x="916"/>
        <item x="922"/>
        <item x="56"/>
        <item x="343"/>
        <item x="5"/>
        <item x="283"/>
        <item x="67"/>
        <item x="50"/>
        <item x="1026"/>
        <item x="165"/>
        <item x="22"/>
        <item x="243"/>
        <item x="1008"/>
        <item x="613"/>
        <item x="474"/>
        <item x="93"/>
        <item x="707"/>
        <item x="354"/>
        <item x="963"/>
        <item x="890"/>
        <item x="1046"/>
        <item x="257"/>
        <item x="116"/>
        <item x="312"/>
        <item x="103"/>
        <item x="751"/>
        <item x="259"/>
        <item x="494"/>
        <item x="1071"/>
        <item x="975"/>
        <item x="264"/>
        <item x="735"/>
        <item x="877"/>
        <item x="74"/>
        <item x="528"/>
        <item x="541"/>
        <item x="688"/>
        <item x="615"/>
        <item x="239"/>
        <item x="872"/>
        <item x="383"/>
        <item x="1033"/>
        <item x="483"/>
        <item x="540"/>
        <item x="731"/>
        <item x="153"/>
        <item x="750"/>
        <item x="313"/>
        <item x="204"/>
        <item x="417"/>
        <item x="269"/>
        <item x="906"/>
        <item x="964"/>
        <item x="34"/>
        <item x="727"/>
        <item x="762"/>
        <item x="218"/>
        <item x="657"/>
        <item x="497"/>
        <item x="648"/>
        <item x="593"/>
        <item x="484"/>
        <item x="628"/>
        <item x="511"/>
        <item x="832"/>
        <item x="626"/>
        <item x="538"/>
        <item x="607"/>
        <item x="904"/>
        <item x="458"/>
        <item x="661"/>
        <item x="665"/>
        <item x="884"/>
        <item x="82"/>
        <item x="950"/>
        <item x="440"/>
        <item x="236"/>
        <item x="1084"/>
        <item x="824"/>
        <item x="1066"/>
        <item x="178"/>
        <item x="1039"/>
        <item x="1024"/>
        <item x="771"/>
        <item x="409"/>
        <item x="959"/>
        <item x="780"/>
        <item x="747"/>
        <item x="141"/>
        <item x="513"/>
        <item x="775"/>
        <item x="447"/>
        <item x="833"/>
        <item x="740"/>
        <item x="181"/>
        <item x="220"/>
        <item x="69"/>
        <item x="482"/>
        <item x="530"/>
        <item x="704"/>
        <item x="903"/>
        <item x="794"/>
        <item x="880"/>
        <item x="532"/>
        <item x="702"/>
        <item x="87"/>
        <item x="556"/>
        <item x="279"/>
        <item x="110"/>
        <item x="524"/>
        <item x="493"/>
        <item x="255"/>
        <item x="761"/>
        <item x="363"/>
        <item x="290"/>
        <item x="292"/>
        <item x="990"/>
        <item x="796"/>
        <item x="324"/>
        <item x="104"/>
        <item x="385"/>
        <item x="1064"/>
        <item x="965"/>
        <item x="364"/>
        <item x="376"/>
        <item x="418"/>
        <item x="1082"/>
        <item x="367"/>
        <item x="834"/>
        <item x="876"/>
        <item x="941"/>
        <item x="164"/>
        <item x="118"/>
        <item x="49"/>
        <item x="30"/>
        <item x="1059"/>
        <item x="612"/>
        <item x="967"/>
        <item x="944"/>
        <item x="663"/>
        <item x="129"/>
        <item x="334"/>
        <item x="675"/>
        <item x="31"/>
        <item x="689"/>
        <item x="1009"/>
        <item x="496"/>
        <item x="434"/>
        <item x="708"/>
        <item x="304"/>
        <item x="38"/>
        <item x="339"/>
        <item x="20"/>
        <item x="553"/>
        <item x="66"/>
        <item x="1057"/>
        <item x="414"/>
        <item x="372"/>
        <item x="281"/>
        <item x="485"/>
        <item x="155"/>
        <item x="655"/>
        <item x="223"/>
        <item x="398"/>
        <item x="92"/>
        <item x="1034"/>
        <item x="207"/>
        <item x="847"/>
        <item x="371"/>
        <item x="3"/>
        <item x="698"/>
        <item x="719"/>
        <item x="57"/>
        <item x="869"/>
        <item x="115"/>
        <item x="285"/>
        <item x="309"/>
        <item x="752"/>
        <item x="978"/>
        <item x="849"/>
        <item x="954"/>
        <item x="835"/>
        <item x="13"/>
        <item x="114"/>
        <item x="351"/>
        <item x="1073"/>
        <item x="851"/>
        <item x="520"/>
        <item x="866"/>
        <item x="525"/>
        <item x="480"/>
        <item x="319"/>
        <item x="815"/>
        <item x="811"/>
        <item x="622"/>
        <item x="1095"/>
        <item x="627"/>
        <item x="185"/>
        <item x="42"/>
        <item x="983"/>
        <item x="41"/>
        <item x="1062"/>
        <item x="766"/>
        <item x="233"/>
        <item x="212"/>
        <item x="985"/>
        <item x="18"/>
        <item x="142"/>
        <item x="857"/>
        <item x="68"/>
        <item x="335"/>
        <item x="932"/>
        <item x="1011"/>
        <item x="299"/>
        <item x="61"/>
        <item x="789"/>
        <item x="894"/>
        <item x="270"/>
        <item x="9"/>
        <item x="658"/>
        <item x="982"/>
        <item x="245"/>
        <item x="1090"/>
        <item x="889"/>
        <item x="741"/>
        <item x="60"/>
        <item x="560"/>
        <item x="587"/>
        <item x="1086"/>
        <item x="980"/>
        <item x="265"/>
        <item x="745"/>
        <item x="378"/>
        <item x="2"/>
        <item x="305"/>
        <item x="393"/>
        <item x="113"/>
        <item x="684"/>
        <item x="956"/>
        <item x="517"/>
        <item x="946"/>
        <item x="673"/>
        <item x="516"/>
        <item x="289"/>
        <item x="994"/>
        <item x="25"/>
        <item x="569"/>
        <item x="573"/>
        <item x="590"/>
        <item x="85"/>
        <item x="623"/>
        <item x="432"/>
        <item x="646"/>
        <item x="885"/>
        <item x="733"/>
        <item x="75"/>
        <item x="150"/>
        <item x="272"/>
        <item x="640"/>
        <item x="676"/>
        <item x="588"/>
        <item x="619"/>
        <item x="966"/>
        <item x="287"/>
        <item x="1035"/>
        <item x="746"/>
        <item x="501"/>
        <item x="945"/>
        <item x="579"/>
        <item x="879"/>
        <item x="408"/>
        <item x="1070"/>
        <item x="394"/>
        <item x="938"/>
        <item x="1093"/>
        <item x="809"/>
        <item x="358"/>
        <item x="256"/>
        <item x="258"/>
        <item x="578"/>
        <item x="84"/>
        <item x="157"/>
        <item x="160"/>
        <item x="823"/>
        <item x="637"/>
        <item x="631"/>
        <item x="119"/>
        <item x="681"/>
        <item x="670"/>
        <item x="669"/>
        <item x="559"/>
        <item x="7"/>
        <item x="564"/>
        <item x="712"/>
        <item x="598"/>
        <item x="1001"/>
        <item x="878"/>
        <item x="1080"/>
        <item x="874"/>
        <item x="251"/>
        <item x="486"/>
        <item x="4"/>
        <item x="392"/>
        <item x="529"/>
        <item x="692"/>
        <item x="44"/>
        <item x="601"/>
        <item x="1045"/>
        <item x="1058"/>
        <item x="636"/>
        <item x="753"/>
        <item x="246"/>
        <item x="1052"/>
        <item x="1032"/>
        <item x="539"/>
        <item x="240"/>
        <item x="533"/>
        <item x="897"/>
        <item x="232"/>
        <item x="478"/>
        <item x="997"/>
        <item x="499"/>
        <item x="388"/>
        <item x="575"/>
        <item x="591"/>
        <item x="401"/>
        <item x="381"/>
        <item x="183"/>
        <item x="1065"/>
        <item x="557"/>
        <item x="759"/>
        <item x="457"/>
        <item x="179"/>
        <item x="143"/>
        <item x="804"/>
        <item x="194"/>
        <item x="837"/>
        <item x="1019"/>
        <item x="228"/>
        <item x="839"/>
        <item x="348"/>
        <item x="479"/>
        <item x="473"/>
        <item x="461"/>
        <item x="968"/>
        <item x="558"/>
        <item x="797"/>
        <item x="375"/>
        <item x="552"/>
        <item x="506"/>
        <item x="35"/>
        <item x="957"/>
        <item x="500"/>
        <item x="365"/>
        <item x="46"/>
        <item x="781"/>
        <item x="120"/>
        <item x="1079"/>
        <item x="172"/>
        <item x="466"/>
        <item x="695"/>
        <item x="133"/>
        <item x="1002"/>
        <item x="477"/>
        <item x="1092"/>
        <item x="105"/>
        <item x="656"/>
        <item x="356"/>
        <item x="562"/>
        <item x="895"/>
        <item x="783"/>
        <item x="195"/>
        <item x="350"/>
        <item x="722"/>
        <item x="235"/>
        <item x="149"/>
        <item x="489"/>
        <item x="327"/>
        <item x="988"/>
        <item m="1" x="1097"/>
        <item x="226"/>
        <item x="952"/>
        <item x="1018"/>
        <item x="419"/>
        <item x="130"/>
        <item x="54"/>
        <item x="370"/>
        <item x="476"/>
        <item x="238"/>
        <item x="250"/>
        <item x="729"/>
        <item x="117"/>
        <item x="867"/>
        <item x="1074"/>
        <item x="390"/>
        <item x="168"/>
        <item x="970"/>
        <item x="536"/>
        <item x="767"/>
        <item x="487"/>
        <item x="748"/>
        <item x="1020"/>
        <item x="509"/>
        <item x="920"/>
        <item x="167"/>
        <item x="969"/>
        <item x="225"/>
        <item x="208"/>
        <item x="325"/>
        <item x="660"/>
        <item x="254"/>
        <item x="580"/>
        <item x="812"/>
        <item x="570"/>
        <item x="416"/>
        <item x="828"/>
        <item x="1060"/>
        <item x="0"/>
        <item x="379"/>
        <item x="630"/>
        <item x="542"/>
        <item x="449"/>
        <item x="444"/>
        <item x="424"/>
        <item x="846"/>
        <item x="1063"/>
        <item x="807"/>
        <item x="190"/>
        <item x="971"/>
        <item x="993"/>
        <item x="614"/>
        <item x="595"/>
        <item x="36"/>
        <item x="55"/>
        <item x="597"/>
        <item x="756"/>
        <item x="389"/>
        <item x="1005"/>
        <item x="718"/>
        <item x="373"/>
        <item x="911"/>
        <item x="174"/>
        <item x="674"/>
        <item x="743"/>
        <item x="604"/>
        <item x="366"/>
        <item x="425"/>
        <item x="462"/>
        <item x="567"/>
        <item x="206"/>
        <item x="65"/>
        <item x="621"/>
        <item x="686"/>
        <item x="53"/>
        <item x="47"/>
        <item x="1044"/>
        <item x="384"/>
        <item x="817"/>
        <item x="765"/>
        <item x="429"/>
        <item x="782"/>
        <item x="543"/>
        <item x="706"/>
        <item x="261"/>
        <item x="641"/>
        <item x="768"/>
        <item x="184"/>
        <item x="199"/>
        <item x="420"/>
        <item x="989"/>
        <item x="979"/>
        <item x="78"/>
        <item x="422"/>
        <item x="463"/>
        <item x="357"/>
        <item x="81"/>
        <item x="939"/>
        <item x="616"/>
        <item x="611"/>
        <item x="1030"/>
        <item x="572"/>
        <item x="925"/>
        <item x="322"/>
        <item x="448"/>
        <item x="433"/>
        <item x="645"/>
        <item x="936"/>
        <item x="937"/>
        <item x="1004"/>
        <item x="810"/>
        <item x="682"/>
        <item x="594"/>
        <item x="333"/>
        <item x="769"/>
        <item x="605"/>
        <item x="998"/>
        <item x="555"/>
        <item x="202"/>
        <item x="838"/>
        <item x="338"/>
        <item x="652"/>
        <item x="465"/>
        <item x="469"/>
        <item x="491"/>
        <item x="253"/>
        <item x="1016"/>
        <item x="999"/>
        <item x="166"/>
        <item x="842"/>
        <item x="191"/>
        <item x="188"/>
        <item x="899"/>
        <item x="76"/>
        <item x="330"/>
        <item x="566"/>
        <item x="297"/>
        <item x="454"/>
        <item x="503"/>
        <item x="455"/>
        <item x="241"/>
        <item x="887"/>
        <item x="654"/>
        <item x="801"/>
        <item x="400"/>
        <item x="548"/>
        <item x="840"/>
        <item x="1096"/>
        <item x="831"/>
        <item x="263"/>
        <item x="802"/>
        <item x="947"/>
        <item x="504"/>
        <item x="222"/>
        <item x="108"/>
        <item x="584"/>
        <item x="687"/>
        <item x="406"/>
        <item x="624"/>
        <item x="217"/>
        <item x="910"/>
        <item x="209"/>
        <item x="341"/>
        <item x="252"/>
        <item x="680"/>
        <item x="961"/>
        <item x="229"/>
        <item x="1094"/>
        <item x="163"/>
        <item x="349"/>
        <item x="321"/>
        <item x="427"/>
        <item x="407"/>
        <item x="437"/>
        <item x="942"/>
        <item x="1013"/>
        <item x="848"/>
        <item x="158"/>
        <item x="28"/>
        <item x="930"/>
        <item x="1091"/>
        <item x="423"/>
        <item x="291"/>
        <item x="453"/>
        <item x="450"/>
        <item x="822"/>
        <item x="547"/>
        <item x="387"/>
        <item x="791"/>
        <item x="1021"/>
        <item x="875"/>
        <item x="914"/>
        <item x="352"/>
        <item x="800"/>
        <item x="864"/>
        <item x="435"/>
        <item x="581"/>
        <item x="709"/>
        <item x="271"/>
        <item x="59"/>
        <item x="1007"/>
        <item x="1040"/>
        <item x="813"/>
        <item x="79"/>
        <item x="187"/>
        <item x="697"/>
        <item x="262"/>
        <item x="316"/>
        <item x="868"/>
        <item x="1076"/>
        <item x="739"/>
        <item x="125"/>
        <item x="981"/>
        <item x="346"/>
        <item x="852"/>
        <item x="310"/>
        <item x="344"/>
        <item x="1075"/>
        <item x="568"/>
        <item x="550"/>
        <item x="95"/>
        <item x="853"/>
        <item x="146"/>
        <item x="412"/>
        <item x="403"/>
        <item x="755"/>
        <item x="182"/>
        <item x="854"/>
        <item x="905"/>
        <item x="973"/>
        <item x="544"/>
        <item x="576"/>
        <item x="518"/>
        <item x="1027"/>
        <item x="1022"/>
        <item x="792"/>
        <item x="928"/>
        <item x="441"/>
        <item x="734"/>
        <item x="935"/>
        <item x="276"/>
        <item x="100"/>
        <item x="778"/>
        <item x="873"/>
        <item x="635"/>
        <item x="726"/>
        <item x="86"/>
        <item x="1025"/>
        <item x="772"/>
        <item x="192"/>
        <item x="773"/>
        <item x="749"/>
        <item x="200"/>
        <item x="907"/>
        <item x="699"/>
        <item x="984"/>
        <item x="860"/>
        <item x="861"/>
        <item x="1036"/>
        <item x="445"/>
        <item x="987"/>
        <item x="377"/>
        <item x="870"/>
        <item x="436"/>
        <item x="33"/>
        <item x="786"/>
        <item x="145"/>
        <item x="126"/>
        <item x="193"/>
        <item x="881"/>
        <item x="843"/>
        <item x="808"/>
        <item x="521"/>
        <item x="841"/>
        <item x="720"/>
        <item x="1028"/>
        <item x="421"/>
        <item x="201"/>
        <item x="898"/>
        <item x="683"/>
        <item x="109"/>
        <item x="140"/>
        <item x="127"/>
        <item x="347"/>
        <item x="546"/>
        <item x="152"/>
        <item x="148"/>
        <item x="317"/>
        <item x="736"/>
        <item x="12"/>
        <item x="714"/>
        <item x="58"/>
        <item x="144"/>
        <item x="1051"/>
        <item x="266"/>
        <item x="64"/>
        <item x="1061"/>
        <item x="571"/>
        <item x="585"/>
        <item x="296"/>
        <item x="788"/>
        <item x="625"/>
        <item x="156"/>
        <item x="1048"/>
        <item x="1077"/>
        <item x="647"/>
        <item x="592"/>
        <item x="643"/>
        <item x="728"/>
        <item x="586"/>
        <item x="1078"/>
        <item x="882"/>
        <item x="1085"/>
        <item x="331"/>
        <item x="1056"/>
        <item x="159"/>
        <item x="814"/>
        <item x="295"/>
        <item x="924"/>
        <item x="77"/>
        <item x="821"/>
        <item x="940"/>
        <item x="610"/>
        <item x="926"/>
        <item x="247"/>
        <item x="342"/>
        <item x="948"/>
        <item x="288"/>
        <item x="991"/>
        <item x="912"/>
        <item x="1000"/>
        <item x="97"/>
        <item x="896"/>
        <item x="170"/>
        <item x="617"/>
        <item x="128"/>
        <item x="730"/>
        <item x="1087"/>
        <item x="653"/>
        <item x="531"/>
        <item x="45"/>
        <item x="277"/>
        <item x="806"/>
        <item x="227"/>
        <item x="690"/>
        <item x="162"/>
        <item x="819"/>
        <item x="48"/>
        <item x="705"/>
        <item x="561"/>
        <item x="490"/>
        <item x="774"/>
        <item x="972"/>
        <item x="888"/>
        <item x="176"/>
        <item x="716"/>
        <item x="900"/>
        <item x="668"/>
        <item x="526"/>
        <item x="26"/>
        <item x="111"/>
        <item x="608"/>
        <item x="650"/>
        <item x="332"/>
        <item x="107"/>
        <item x="442"/>
        <item x="395"/>
        <item x="70"/>
        <item x="294"/>
        <item x="481"/>
        <item x="754"/>
        <item x="505"/>
        <item x="471"/>
        <item x="577"/>
        <item x="318"/>
        <item x="929"/>
        <item x="777"/>
        <item x="933"/>
        <item x="827"/>
        <item x="138"/>
        <item x="131"/>
        <item x="413"/>
        <item x="369"/>
        <item x="139"/>
        <item x="917"/>
        <item x="512"/>
        <item x="374"/>
        <item x="519"/>
        <item x="826"/>
        <item x="816"/>
        <item x="551"/>
        <item x="554"/>
        <item x="934"/>
        <item x="282"/>
        <item x="845"/>
        <item x="844"/>
        <item x="535"/>
        <item x="678"/>
        <item x="345"/>
        <item x="1047"/>
        <item x="638"/>
        <item x="639"/>
        <item x="90"/>
        <item x="618"/>
        <item x="632"/>
        <item x="307"/>
        <item x="27"/>
        <item x="1003"/>
        <item x="855"/>
        <item x="211"/>
        <item x="886"/>
        <item x="1069"/>
        <item x="790"/>
        <item x="337"/>
        <item x="977"/>
        <item x="460"/>
        <item x="953"/>
        <item x="171"/>
        <item x="871"/>
        <item x="328"/>
        <item x="537"/>
        <item x="534"/>
        <item x="1023"/>
        <item x="197"/>
        <item x="700"/>
        <item x="820"/>
        <item x="237"/>
        <item x="472"/>
        <item x="664"/>
        <item x="274"/>
        <item x="589"/>
        <item x="710"/>
        <item x="273"/>
        <item x="88"/>
        <item x="210"/>
        <item x="213"/>
        <item x="1049"/>
        <item x="666"/>
        <item x="1014"/>
        <item x="1010"/>
        <item x="770"/>
        <item x="795"/>
        <item x="836"/>
        <item x="974"/>
        <item x="459"/>
        <item x="803"/>
        <item x="303"/>
        <item x="996"/>
        <item x="29"/>
        <item x="248"/>
        <item x="51"/>
        <item x="15"/>
        <item x="244"/>
        <item x="63"/>
        <item x="293"/>
        <item x="527"/>
        <item x="451"/>
        <item x="302"/>
        <item x="671"/>
        <item x="723"/>
        <item x="1006"/>
        <item x="1012"/>
        <item x="502"/>
        <item x="725"/>
        <item x="633"/>
        <item x="679"/>
        <item x="1042"/>
        <item x="71"/>
        <item x="154"/>
        <item x="80"/>
        <item x="1053"/>
        <item x="976"/>
        <item x="260"/>
        <item x="298"/>
        <item x="742"/>
        <item x="915"/>
        <item x="280"/>
        <item x="913"/>
        <item x="1017"/>
        <item x="475"/>
        <item x="1043"/>
        <item x="955"/>
        <item x="37"/>
        <item x="314"/>
        <item x="89"/>
        <item x="106"/>
      </items>
    </pivotField>
    <pivotField showAll="0" defaultSubtotal="0"/>
    <pivotField numFmtId="2" showAll="0" defaultSubtotal="0"/>
    <pivotField showAll="0" defaultSubtotal="0"/>
    <pivotField showAll="0" defaultSubtotal="0"/>
    <pivotField showAll="0" defaultSubtotal="0"/>
    <pivotField showAll="0" defaultSubtotal="0"/>
  </pivotFields>
  <rowFields count="5">
    <field x="2"/>
    <field x="5"/>
    <field x="4"/>
    <field x="6"/>
    <field x="1"/>
  </rowFields>
  <rowItems count="8">
    <i>
      <x/>
    </i>
    <i r="1">
      <x v="6"/>
    </i>
    <i r="1">
      <x v="1"/>
    </i>
    <i r="1">
      <x v="2"/>
    </i>
    <i r="1">
      <x/>
    </i>
    <i r="1">
      <x v="5"/>
    </i>
    <i r="1">
      <x v="4"/>
    </i>
    <i r="1">
      <x v="3"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Count of ROU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58BB8-FEBA-4F52-BF9C-46B445A9B18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5:K80" firstHeaderRow="0" firstDataRow="1" firstDataCol="1" rowPageCount="2" colPageCount="1"/>
  <pivotFields count="15">
    <pivotField dataField="1" showAll="0"/>
    <pivotField showAll="0"/>
    <pivotField axis="axisPage" multipleItemSelectionAllowed="1" showAll="0">
      <items count="6">
        <item h="1" x="4"/>
        <item x="0"/>
        <item x="2"/>
        <item x="3"/>
        <item h="1" x="1"/>
        <item t="default"/>
      </items>
    </pivotField>
    <pivotField axis="axisPage" multipleItemSelectionAllowed="1" showAll="0">
      <items count="11">
        <item x="1"/>
        <item x="0"/>
        <item x="3"/>
        <item x="2"/>
        <item x="4"/>
        <item x="6"/>
        <item x="8"/>
        <item x="7"/>
        <item x="5"/>
        <item x="9"/>
        <item t="default"/>
      </items>
    </pivotField>
    <pivotField axis="axisRow" showAll="0" sortType="descending">
      <items count="166">
        <item x="135"/>
        <item x="31"/>
        <item x="66"/>
        <item x="37"/>
        <item x="154"/>
        <item x="50"/>
        <item x="34"/>
        <item x="82"/>
        <item x="152"/>
        <item x="59"/>
        <item x="136"/>
        <item x="76"/>
        <item x="57"/>
        <item x="164"/>
        <item x="80"/>
        <item x="100"/>
        <item x="89"/>
        <item x="96"/>
        <item x="41"/>
        <item x="2"/>
        <item x="153"/>
        <item x="124"/>
        <item x="114"/>
        <item x="69"/>
        <item x="122"/>
        <item x="3"/>
        <item x="111"/>
        <item x="127"/>
        <item x="36"/>
        <item x="26"/>
        <item x="42"/>
        <item x="103"/>
        <item x="105"/>
        <item x="102"/>
        <item x="86"/>
        <item x="150"/>
        <item x="53"/>
        <item x="148"/>
        <item x="20"/>
        <item x="22"/>
        <item x="130"/>
        <item x="95"/>
        <item x="56"/>
        <item x="40"/>
        <item x="0"/>
        <item x="43"/>
        <item x="121"/>
        <item x="161"/>
        <item x="29"/>
        <item x="33"/>
        <item x="24"/>
        <item x="12"/>
        <item x="94"/>
        <item x="113"/>
        <item x="115"/>
        <item x="156"/>
        <item x="19"/>
        <item x="117"/>
        <item x="17"/>
        <item x="133"/>
        <item x="61"/>
        <item x="51"/>
        <item x="46"/>
        <item x="109"/>
        <item x="112"/>
        <item x="54"/>
        <item x="91"/>
        <item x="83"/>
        <item x="134"/>
        <item x="72"/>
        <item x="49"/>
        <item x="14"/>
        <item x="142"/>
        <item x="137"/>
        <item x="13"/>
        <item x="16"/>
        <item x="110"/>
        <item x="5"/>
        <item x="143"/>
        <item x="138"/>
        <item x="75"/>
        <item x="11"/>
        <item x="139"/>
        <item x="108"/>
        <item x="163"/>
        <item x="147"/>
        <item x="55"/>
        <item x="104"/>
        <item x="9"/>
        <item x="162"/>
        <item x="149"/>
        <item x="98"/>
        <item x="101"/>
        <item x="62"/>
        <item x="141"/>
        <item x="87"/>
        <item x="27"/>
        <item x="63"/>
        <item x="44"/>
        <item x="160"/>
        <item x="131"/>
        <item x="78"/>
        <item x="25"/>
        <item x="97"/>
        <item x="129"/>
        <item x="18"/>
        <item x="92"/>
        <item x="35"/>
        <item x="126"/>
        <item x="28"/>
        <item x="120"/>
        <item x="21"/>
        <item x="132"/>
        <item x="30"/>
        <item x="45"/>
        <item x="90"/>
        <item x="39"/>
        <item x="60"/>
        <item x="23"/>
        <item x="79"/>
        <item x="58"/>
        <item x="88"/>
        <item x="64"/>
        <item x="84"/>
        <item x="73"/>
        <item x="119"/>
        <item x="7"/>
        <item x="74"/>
        <item x="155"/>
        <item x="106"/>
        <item x="107"/>
        <item x="65"/>
        <item x="158"/>
        <item x="151"/>
        <item x="125"/>
        <item x="48"/>
        <item x="70"/>
        <item x="6"/>
        <item x="116"/>
        <item x="128"/>
        <item x="93"/>
        <item x="157"/>
        <item x="15"/>
        <item x="146"/>
        <item x="4"/>
        <item x="140"/>
        <item x="71"/>
        <item x="68"/>
        <item x="118"/>
        <item x="52"/>
        <item x="10"/>
        <item x="81"/>
        <item x="145"/>
        <item x="123"/>
        <item x="159"/>
        <item x="8"/>
        <item x="32"/>
        <item x="1"/>
        <item x="38"/>
        <item x="144"/>
        <item x="47"/>
        <item x="67"/>
        <item x="77"/>
        <item x="99"/>
        <item x="8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" showAll="0"/>
    <pivotField showAll="0"/>
    <pivotField showAll="0"/>
    <pivotField dataField="1" showAll="0"/>
    <pivotField showAll="0"/>
    <pivotField numFmtId="2" showAll="0"/>
    <pivotField showAll="0"/>
  </pivotFields>
  <rowFields count="1">
    <field x="4"/>
  </rowFields>
  <rowItems count="75">
    <i>
      <x v="29"/>
    </i>
    <i>
      <x v="157"/>
    </i>
    <i>
      <x v="69"/>
    </i>
    <i>
      <x v="44"/>
    </i>
    <i>
      <x v="116"/>
    </i>
    <i>
      <x v="6"/>
    </i>
    <i>
      <x v="98"/>
    </i>
    <i>
      <x v="77"/>
    </i>
    <i>
      <x v="18"/>
    </i>
    <i>
      <x v="113"/>
    </i>
    <i>
      <x v="70"/>
    </i>
    <i>
      <x v="25"/>
    </i>
    <i>
      <x v="147"/>
    </i>
    <i>
      <x v="30"/>
    </i>
    <i>
      <x v="136"/>
    </i>
    <i>
      <x v="137"/>
    </i>
    <i>
      <x v="156"/>
    </i>
    <i>
      <x v="101"/>
    </i>
    <i>
      <x v="160"/>
    </i>
    <i>
      <x v="93"/>
    </i>
    <i>
      <x v="135"/>
    </i>
    <i>
      <x v="117"/>
    </i>
    <i>
      <x v="43"/>
    </i>
    <i>
      <x v="56"/>
    </i>
    <i>
      <x v="126"/>
    </i>
    <i>
      <x v="75"/>
    </i>
    <i>
      <x v="151"/>
    </i>
    <i>
      <x v="161"/>
    </i>
    <i>
      <x v="109"/>
    </i>
    <i>
      <x v="144"/>
    </i>
    <i>
      <x v="2"/>
    </i>
    <i>
      <x v="42"/>
    </i>
    <i>
      <x v="11"/>
    </i>
    <i>
      <x v="124"/>
    </i>
    <i>
      <x v="48"/>
    </i>
    <i>
      <x v="102"/>
    </i>
    <i>
      <x v="45"/>
    </i>
    <i>
      <x v="34"/>
    </i>
    <i>
      <x v="67"/>
    </i>
    <i>
      <x v="60"/>
    </i>
    <i>
      <x v="51"/>
    </i>
    <i>
      <x v="158"/>
    </i>
    <i>
      <x v="123"/>
    </i>
    <i>
      <x v="96"/>
    </i>
    <i>
      <x v="131"/>
    </i>
    <i>
      <x v="97"/>
    </i>
    <i>
      <x v="14"/>
    </i>
    <i>
      <x v="7"/>
    </i>
    <i>
      <x v="28"/>
    </i>
    <i>
      <x v="3"/>
    </i>
    <i>
      <x v="122"/>
    </i>
    <i>
      <x v="5"/>
    </i>
    <i>
      <x v="65"/>
    </i>
    <i>
      <x v="107"/>
    </i>
    <i>
      <x v="127"/>
    </i>
    <i>
      <x v="61"/>
    </i>
    <i>
      <x v="49"/>
    </i>
    <i>
      <x v="23"/>
    </i>
    <i>
      <x v="36"/>
    </i>
    <i>
      <x v="114"/>
    </i>
    <i>
      <x v="146"/>
    </i>
    <i>
      <x v="9"/>
    </i>
    <i>
      <x v="149"/>
    </i>
    <i>
      <x v="62"/>
    </i>
    <i>
      <x v="155"/>
    </i>
    <i>
      <x v="119"/>
    </i>
    <i>
      <x v="164"/>
    </i>
    <i>
      <x v="120"/>
    </i>
    <i>
      <x v="12"/>
    </i>
    <i>
      <x v="95"/>
    </i>
    <i>
      <x v="162"/>
    </i>
    <i>
      <x v="80"/>
    </i>
    <i>
      <x v="1"/>
    </i>
    <i>
      <x v="86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3" hier="-1"/>
  </pageFields>
  <dataFields count="2">
    <dataField name="Average of E - DEMAND" fld="11" subtotal="average" baseField="5" baseItem="0" numFmtId="2"/>
    <dataField name="Count of ROUTE" fld="0" subtotal="count" baseField="0" baseItem="0"/>
  </dataFields>
  <formats count="1">
    <format dxfId="19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2630A-78D1-4576-8E52-6A0759A0063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F29" firstHeaderRow="1" firstDataRow="2" firstDataCol="1"/>
  <pivotFields count="15">
    <pivotField showAll="0"/>
    <pivotField dataField="1" showAll="0"/>
    <pivotField axis="axisCol" multipleItemSelectionAllowed="1" showAll="0">
      <items count="6">
        <item x="4"/>
        <item x="0"/>
        <item x="2"/>
        <item x="3"/>
        <item x="1"/>
        <item t="default"/>
      </items>
    </pivotField>
    <pivotField axis="axisRow" multipleItemSelectionAllowed="1" showAll="0">
      <items count="11">
        <item h="1" x="1"/>
        <item h="1" x="0"/>
        <item x="3"/>
        <item x="2"/>
        <item x="4"/>
        <item h="1" x="6"/>
        <item h="1" x="8"/>
        <item h="1" x="7"/>
        <item h="1" x="5"/>
        <item h="1" x="9"/>
        <item t="default"/>
      </items>
    </pivotField>
    <pivotField showAll="0"/>
    <pivotField axis="axisRow" showAll="0">
      <items count="7">
        <item x="0"/>
        <item x="2"/>
        <item x="3"/>
        <item x="1"/>
        <item x="4"/>
        <item x="5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numFmtId="2" showAll="0"/>
    <pivotField showAll="0"/>
  </pivotFields>
  <rowFields count="2">
    <field x="5"/>
    <field x="3"/>
  </rowFields>
  <rowItems count="23">
    <i>
      <x/>
    </i>
    <i r="1">
      <x v="2"/>
    </i>
    <i r="1">
      <x v="3"/>
    </i>
    <i>
      <x v="1"/>
    </i>
    <i r="1">
      <x v="2"/>
    </i>
    <i r="1">
      <x v="3"/>
    </i>
    <i r="1">
      <x v="4"/>
    </i>
    <i>
      <x v="2"/>
    </i>
    <i r="1">
      <x v="2"/>
    </i>
    <i r="1">
      <x v="3"/>
    </i>
    <i r="1">
      <x v="4"/>
    </i>
    <i>
      <x v="3"/>
    </i>
    <i r="1">
      <x v="2"/>
    </i>
    <i r="1">
      <x v="3"/>
    </i>
    <i r="1">
      <x v="4"/>
    </i>
    <i>
      <x v="4"/>
    </i>
    <i r="1">
      <x v="2"/>
    </i>
    <i r="1">
      <x v="3"/>
    </i>
    <i r="1">
      <x v="4"/>
    </i>
    <i>
      <x v="5"/>
    </i>
    <i r="1">
      <x v="2"/>
    </i>
    <i r="1">
      <x v="3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dataFields count="1">
    <dataField name="Count of ICAO" fld="1" subtotal="count" baseField="0" baseItem="0"/>
  </dataFields>
  <formats count="1">
    <format dxfId="198">
      <pivotArea collapsedLevelsAreSubtotals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D548B-C889-41DD-99DA-7FA0C2FC362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5:P25" firstHeaderRow="0" firstDataRow="1" firstDataCol="1" rowPageCount="1" colPageCount="1"/>
  <pivotFields count="15">
    <pivotField showAll="0"/>
    <pivotField dataField="1" showAll="0"/>
    <pivotField axis="axisPage" multipleItemSelectionAllowed="1" showAll="0">
      <items count="6">
        <item x="4"/>
        <item x="0"/>
        <item x="2"/>
        <item x="3"/>
        <item x="1"/>
        <item t="default"/>
      </items>
    </pivotField>
    <pivotField axis="axisRow" multipleItemSelectionAllowed="1" showAll="0" sortType="descending">
      <items count="11">
        <item sd="0" x="6"/>
        <item h="1" x="9"/>
        <item h="1" x="5"/>
        <item h="1" x="7"/>
        <item h="1" x="8"/>
        <item x="4"/>
        <item sd="0" x="2"/>
        <item sd="0" x="3"/>
        <item sd="0" x="0"/>
        <item sd="0" x="1"/>
        <item t="default"/>
      </items>
    </pivotField>
    <pivotField axis="axisRow" showAll="0" sortType="descending">
      <items count="166">
        <item x="135"/>
        <item x="31"/>
        <item x="66"/>
        <item x="37"/>
        <item x="154"/>
        <item x="50"/>
        <item x="34"/>
        <item x="82"/>
        <item x="152"/>
        <item x="59"/>
        <item x="136"/>
        <item x="76"/>
        <item x="57"/>
        <item x="164"/>
        <item x="80"/>
        <item x="100"/>
        <item x="89"/>
        <item x="96"/>
        <item x="41"/>
        <item x="2"/>
        <item x="153"/>
        <item x="124"/>
        <item x="114"/>
        <item x="69"/>
        <item x="122"/>
        <item x="3"/>
        <item x="111"/>
        <item x="127"/>
        <item x="36"/>
        <item x="26"/>
        <item x="42"/>
        <item x="103"/>
        <item x="105"/>
        <item x="102"/>
        <item x="86"/>
        <item x="150"/>
        <item x="53"/>
        <item x="148"/>
        <item x="20"/>
        <item x="22"/>
        <item x="130"/>
        <item x="95"/>
        <item x="56"/>
        <item x="40"/>
        <item x="0"/>
        <item x="43"/>
        <item x="121"/>
        <item x="161"/>
        <item x="29"/>
        <item x="33"/>
        <item x="24"/>
        <item x="12"/>
        <item x="94"/>
        <item x="113"/>
        <item x="115"/>
        <item x="156"/>
        <item x="19"/>
        <item x="117"/>
        <item x="17"/>
        <item x="133"/>
        <item x="61"/>
        <item x="51"/>
        <item x="46"/>
        <item x="109"/>
        <item x="112"/>
        <item x="54"/>
        <item x="91"/>
        <item x="83"/>
        <item x="134"/>
        <item x="72"/>
        <item x="49"/>
        <item x="14"/>
        <item x="142"/>
        <item x="137"/>
        <item x="13"/>
        <item x="16"/>
        <item x="110"/>
        <item x="5"/>
        <item x="143"/>
        <item x="138"/>
        <item x="75"/>
        <item x="11"/>
        <item x="139"/>
        <item x="108"/>
        <item x="163"/>
        <item x="147"/>
        <item x="55"/>
        <item x="104"/>
        <item x="9"/>
        <item x="162"/>
        <item x="149"/>
        <item x="98"/>
        <item x="101"/>
        <item x="62"/>
        <item x="141"/>
        <item x="87"/>
        <item x="27"/>
        <item x="63"/>
        <item x="44"/>
        <item x="160"/>
        <item x="131"/>
        <item x="78"/>
        <item x="25"/>
        <item x="97"/>
        <item x="129"/>
        <item x="18"/>
        <item x="92"/>
        <item x="35"/>
        <item x="126"/>
        <item x="28"/>
        <item x="120"/>
        <item x="21"/>
        <item x="132"/>
        <item x="30"/>
        <item x="45"/>
        <item x="90"/>
        <item x="39"/>
        <item x="60"/>
        <item x="23"/>
        <item x="79"/>
        <item x="58"/>
        <item x="88"/>
        <item x="64"/>
        <item x="84"/>
        <item x="73"/>
        <item x="119"/>
        <item x="7"/>
        <item x="74"/>
        <item x="155"/>
        <item x="106"/>
        <item x="107"/>
        <item x="65"/>
        <item x="158"/>
        <item x="151"/>
        <item x="125"/>
        <item x="48"/>
        <item x="70"/>
        <item x="6"/>
        <item x="116"/>
        <item x="128"/>
        <item x="93"/>
        <item x="157"/>
        <item x="15"/>
        <item x="146"/>
        <item x="4"/>
        <item x="140"/>
        <item x="71"/>
        <item x="68"/>
        <item x="118"/>
        <item x="52"/>
        <item x="10"/>
        <item x="81"/>
        <item x="145"/>
        <item x="123"/>
        <item x="159"/>
        <item x="8"/>
        <item x="32"/>
        <item x="1"/>
        <item x="38"/>
        <item x="144"/>
        <item x="47"/>
        <item x="67"/>
        <item x="77"/>
        <item x="99"/>
        <item x="8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7">
        <item sd="0" x="0"/>
        <item sd="0" x="2"/>
        <item x="3"/>
        <item sd="0" x="1"/>
        <item x="4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numFmtId="2" showAll="0"/>
    <pivotField showAll="0"/>
    <pivotField showAll="0"/>
    <pivotField showAll="0"/>
    <pivotField showAll="0"/>
    <pivotField numFmtId="2" showAll="0"/>
    <pivotField showAll="0"/>
  </pivotFields>
  <rowFields count="3">
    <field x="3"/>
    <field x="5"/>
    <field x="4"/>
  </rowFields>
  <rowItems count="20">
    <i>
      <x/>
    </i>
    <i>
      <x v="5"/>
    </i>
    <i r="1">
      <x v="4"/>
    </i>
    <i r="2">
      <x v="6"/>
    </i>
    <i r="1">
      <x v="3"/>
    </i>
    <i r="1">
      <x v="1"/>
    </i>
    <i r="1">
      <x v="2"/>
    </i>
    <i r="2">
      <x v="137"/>
    </i>
    <i r="2">
      <x v="156"/>
    </i>
    <i r="2">
      <x v="51"/>
    </i>
    <i r="2">
      <x v="75"/>
    </i>
    <i r="2">
      <x v="105"/>
    </i>
    <i r="2">
      <x v="142"/>
    </i>
    <i r="2">
      <x v="56"/>
    </i>
    <i r="2">
      <x v="7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Count of ICAO" fld="1" subtotal="count" baseField="0" baseItem="0" numFmtId="1"/>
    <dataField name="Average of RT TIME " fld="8" subtotal="average" baseField="5" baseItem="3"/>
  </dataFields>
  <formats count="15">
    <format dxfId="213">
      <pivotArea type="all" dataOnly="0" outline="0" fieldPosition="0"/>
    </format>
    <format dxfId="212">
      <pivotArea outline="0" collapsedLevelsAreSubtotals="1" fieldPosition="0"/>
    </format>
    <format dxfId="211">
      <pivotArea type="origin" dataOnly="0" labelOnly="1" outline="0" fieldPosition="0"/>
    </format>
    <format dxfId="210">
      <pivotArea field="2" type="button" dataOnly="0" labelOnly="1" outline="0" axis="axisPage" fieldPosition="0"/>
    </format>
    <format dxfId="209">
      <pivotArea type="topRight" dataOnly="0" labelOnly="1" outline="0" fieldPosition="0"/>
    </format>
    <format dxfId="208">
      <pivotArea field="5" type="button" dataOnly="0" labelOnly="1" outline="0" axis="axisRow" fieldPosition="1"/>
    </format>
    <format dxfId="207">
      <pivotArea dataOnly="0" labelOnly="1" fieldPosition="0">
        <references count="1">
          <reference field="5" count="0"/>
        </references>
      </pivotArea>
    </format>
    <format dxfId="206">
      <pivotArea dataOnly="0" labelOnly="1" grandRow="1" outline="0" fieldPosition="0"/>
    </format>
    <format dxfId="205">
      <pivotArea dataOnly="0" labelOnly="1" fieldPosition="0">
        <references count="2">
          <reference field="4" count="47">
            <x v="1"/>
            <x v="2"/>
            <x v="17"/>
            <x v="21"/>
            <x v="22"/>
            <x v="24"/>
            <x v="26"/>
            <x v="27"/>
            <x v="31"/>
            <x v="32"/>
            <x v="33"/>
            <x v="40"/>
            <x v="44"/>
            <x v="46"/>
            <x v="48"/>
            <x v="53"/>
            <x v="54"/>
            <x v="57"/>
            <x v="63"/>
            <x v="64"/>
            <x v="76"/>
            <x v="80"/>
            <x v="86"/>
            <x v="87"/>
            <x v="88"/>
            <x v="91"/>
            <x v="92"/>
            <x v="96"/>
            <x v="97"/>
            <x v="101"/>
            <x v="103"/>
            <x v="108"/>
            <x v="109"/>
            <x v="122"/>
            <x v="125"/>
            <x v="127"/>
            <x v="129"/>
            <x v="130"/>
            <x v="134"/>
            <x v="135"/>
            <x v="139"/>
            <x v="146"/>
            <x v="148"/>
            <x v="150"/>
            <x v="153"/>
            <x v="163"/>
            <x v="164"/>
          </reference>
          <reference field="5" count="1" selected="0">
            <x v="0"/>
          </reference>
        </references>
      </pivotArea>
    </format>
    <format dxfId="204">
      <pivotArea dataOnly="0" labelOnly="1" fieldPosition="0">
        <references count="2">
          <reference field="4" count="41">
            <x v="0"/>
            <x v="4"/>
            <x v="10"/>
            <x v="11"/>
            <x v="19"/>
            <x v="23"/>
            <x v="29"/>
            <x v="69"/>
            <x v="70"/>
            <x v="71"/>
            <x v="72"/>
            <x v="74"/>
            <x v="77"/>
            <x v="78"/>
            <x v="81"/>
            <x v="82"/>
            <x v="83"/>
            <x v="85"/>
            <x v="93"/>
            <x v="100"/>
            <x v="102"/>
            <x v="104"/>
            <x v="110"/>
            <x v="112"/>
            <x v="113"/>
            <x v="117"/>
            <x v="121"/>
            <x v="126"/>
            <x v="131"/>
            <x v="136"/>
            <x v="138"/>
            <x v="143"/>
            <x v="144"/>
            <x v="145"/>
            <x v="147"/>
            <x v="151"/>
            <x v="152"/>
            <x v="155"/>
            <x v="159"/>
            <x v="161"/>
            <x v="162"/>
          </reference>
          <reference field="5" count="1" selected="0">
            <x v="1"/>
          </reference>
        </references>
      </pivotArea>
    </format>
    <format dxfId="203">
      <pivotArea dataOnly="0" labelOnly="1" fieldPosition="0">
        <references count="2">
          <reference field="4" count="39">
            <x v="7"/>
            <x v="8"/>
            <x v="13"/>
            <x v="14"/>
            <x v="20"/>
            <x v="35"/>
            <x v="37"/>
            <x v="38"/>
            <x v="39"/>
            <x v="47"/>
            <x v="50"/>
            <x v="51"/>
            <x v="55"/>
            <x v="56"/>
            <x v="58"/>
            <x v="67"/>
            <x v="68"/>
            <x v="73"/>
            <x v="75"/>
            <x v="79"/>
            <x v="84"/>
            <x v="89"/>
            <x v="90"/>
            <x v="94"/>
            <x v="99"/>
            <x v="105"/>
            <x v="111"/>
            <x v="118"/>
            <x v="119"/>
            <x v="123"/>
            <x v="124"/>
            <x v="128"/>
            <x v="132"/>
            <x v="133"/>
            <x v="137"/>
            <x v="141"/>
            <x v="142"/>
            <x v="154"/>
            <x v="156"/>
          </reference>
          <reference field="5" count="1" selected="0">
            <x v="2"/>
          </reference>
        </references>
      </pivotArea>
    </format>
    <format dxfId="202">
      <pivotArea dataOnly="0" labelOnly="1" fieldPosition="0">
        <references count="2">
          <reference field="4" count="22">
            <x v="5"/>
            <x v="9"/>
            <x v="12"/>
            <x v="15"/>
            <x v="25"/>
            <x v="34"/>
            <x v="36"/>
            <x v="41"/>
            <x v="42"/>
            <x v="45"/>
            <x v="59"/>
            <x v="60"/>
            <x v="62"/>
            <x v="65"/>
            <x v="66"/>
            <x v="95"/>
            <x v="98"/>
            <x v="106"/>
            <x v="114"/>
            <x v="120"/>
            <x v="149"/>
            <x v="157"/>
          </reference>
          <reference field="5" count="1" selected="0">
            <x v="3"/>
          </reference>
        </references>
      </pivotArea>
    </format>
    <format dxfId="201">
      <pivotArea dataOnly="0" labelOnly="1" fieldPosition="0">
        <references count="2">
          <reference field="4" count="4">
            <x v="6"/>
            <x v="49"/>
            <x v="61"/>
            <x v="107"/>
          </reference>
          <reference field="5" count="1" selected="0">
            <x v="4"/>
          </reference>
        </references>
      </pivotArea>
    </format>
    <format dxfId="200">
      <pivotArea dataOnly="0" labelOnly="1" fieldPosition="0">
        <references count="2">
          <reference field="4" count="12">
            <x v="3"/>
            <x v="16"/>
            <x v="18"/>
            <x v="28"/>
            <x v="30"/>
            <x v="43"/>
            <x v="52"/>
            <x v="115"/>
            <x v="116"/>
            <x v="140"/>
            <x v="158"/>
            <x v="160"/>
          </reference>
          <reference field="5" count="1" selected="0">
            <x v="5"/>
          </reference>
        </references>
      </pivotArea>
    </format>
    <format dxfId="19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05069-FC02-4BCC-BE03-1421628E8F7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5:M9" firstHeaderRow="0" firstDataRow="1" firstDataCol="1"/>
  <pivotFields count="14">
    <pivotField dataField="1" showAll="0"/>
    <pivotField showAll="0"/>
    <pivotField axis="axisRow" showAll="0">
      <items count="5">
        <item m="1" x="3"/>
        <item x="0"/>
        <item x="2"/>
        <item x="1"/>
        <item t="default"/>
      </items>
    </pivotField>
    <pivotField showAll="0"/>
    <pivotField showAll="0"/>
    <pivotField showAll="0"/>
    <pivotField showAll="0"/>
    <pivotField dataField="1" numFmtId="1" showAll="0"/>
    <pivotField numFmtId="2" showAll="0"/>
    <pivotField dataField="1" showAll="0"/>
    <pivotField numFmtId="44" showAll="0"/>
    <pivotField dataField="1" showAll="0"/>
    <pivotField numFmtId="2" showAll="0"/>
    <pivotField showAll="0"/>
  </pivotFields>
  <rowFields count="1">
    <field x="2"/>
  </rowFields>
  <rowItems count="4"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ROUTE" fld="0" subtotal="count" baseField="0" baseItem="0"/>
    <dataField name="Sum of DISTANCE" fld="7" baseField="0" baseItem="0" numFmtId="165"/>
    <dataField name="Sum of ROUTE $" fld="9" baseField="0" baseItem="0" numFmtId="44"/>
    <dataField name="Sum of E - DEMAND" fld="11" baseField="0" baseItem="0" numFmtId="165"/>
  </dataFields>
  <formats count="3">
    <format dxfId="16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EEF99-F430-43D4-A155-8F364D5263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G99" firstHeaderRow="0" firstDataRow="1" firstDataCol="1" rowPageCount="3" colPageCount="1"/>
  <pivotFields count="14">
    <pivotField dataField="1" showAll="0"/>
    <pivotField showAll="0"/>
    <pivotField axis="axisPage" multipleItemSelectionAllowed="1" showAll="0">
      <items count="5">
        <item x="2"/>
        <item h="1" x="1"/>
        <item x="0"/>
        <item m="1" x="3"/>
        <item t="default"/>
      </items>
    </pivotField>
    <pivotField axis="axisPage" multipleItemSelectionAllowed="1" showAll="0">
      <items count="7">
        <item x="5"/>
        <item x="3"/>
        <item x="0"/>
        <item x="1"/>
        <item x="2"/>
        <item x="4"/>
        <item t="default"/>
      </items>
    </pivotField>
    <pivotField axis="axisRow" showAll="0" sortType="descending">
      <items count="154">
        <item x="99"/>
        <item x="18"/>
        <item x="129"/>
        <item x="14"/>
        <item m="1" x="147"/>
        <item x="83"/>
        <item x="42"/>
        <item x="43"/>
        <item x="90"/>
        <item x="92"/>
        <item x="87"/>
        <item x="44"/>
        <item x="53"/>
        <item x="118"/>
        <item x="62"/>
        <item x="47"/>
        <item x="68"/>
        <item x="88"/>
        <item x="3"/>
        <item x="59"/>
        <item x="60"/>
        <item x="58"/>
        <item m="1" x="151"/>
        <item x="144"/>
        <item x="15"/>
        <item x="122"/>
        <item x="70"/>
        <item x="4"/>
        <item x="94"/>
        <item x="66"/>
        <item x="138"/>
        <item x="74"/>
        <item x="16"/>
        <item x="107"/>
        <item m="1" x="146"/>
        <item m="1" x="152"/>
        <item x="20"/>
        <item x="98"/>
        <item x="78"/>
        <item x="2"/>
        <item x="93"/>
        <item x="17"/>
        <item x="135"/>
        <item x="140"/>
        <item x="142"/>
        <item x="26"/>
        <item x="121"/>
        <item x="95"/>
        <item x="50"/>
        <item x="67"/>
        <item x="96"/>
        <item x="106"/>
        <item x="57"/>
        <item x="141"/>
        <item x="69"/>
        <item x="23"/>
        <item x="41"/>
        <item x="137"/>
        <item x="130"/>
        <item x="91"/>
        <item x="71"/>
        <item x="126"/>
        <item x="127"/>
        <item x="108"/>
        <item x="65"/>
        <item x="100"/>
        <item m="1" x="145"/>
        <item x="24"/>
        <item x="139"/>
        <item x="82"/>
        <item x="32"/>
        <item x="0"/>
        <item x="36"/>
        <item x="34"/>
        <item x="81"/>
        <item x="105"/>
        <item x="132"/>
        <item x="51"/>
        <item x="119"/>
        <item x="133"/>
        <item x="49"/>
        <item x="104"/>
        <item x="113"/>
        <item x="143"/>
        <item x="111"/>
        <item x="115"/>
        <item x="85"/>
        <item x="13"/>
        <item x="117"/>
        <item x="12"/>
        <item x="103"/>
        <item x="29"/>
        <item m="1" x="148"/>
        <item x="124"/>
        <item x="37"/>
        <item x="6"/>
        <item x="33"/>
        <item x="123"/>
        <item x="11"/>
        <item x="54"/>
        <item x="114"/>
        <item x="102"/>
        <item x="131"/>
        <item x="31"/>
        <item x="1"/>
        <item x="89"/>
        <item x="10"/>
        <item x="61"/>
        <item x="77"/>
        <item m="1" x="149"/>
        <item x="46"/>
        <item x="28"/>
        <item x="101"/>
        <item x="38"/>
        <item x="22"/>
        <item x="8"/>
        <item x="48"/>
        <item x="136"/>
        <item x="86"/>
        <item x="64"/>
        <item x="110"/>
        <item x="45"/>
        <item x="72"/>
        <item x="30"/>
        <item x="80"/>
        <item x="128"/>
        <item x="39"/>
        <item x="63"/>
        <item x="35"/>
        <item x="73"/>
        <item x="109"/>
        <item x="75"/>
        <item x="25"/>
        <item x="40"/>
        <item x="79"/>
        <item x="76"/>
        <item x="19"/>
        <item x="52"/>
        <item m="1" x="150"/>
        <item x="120"/>
        <item x="56"/>
        <item x="5"/>
        <item x="27"/>
        <item x="112"/>
        <item x="97"/>
        <item x="9"/>
        <item x="7"/>
        <item x="125"/>
        <item x="84"/>
        <item x="55"/>
        <item x="134"/>
        <item x="21"/>
        <item x="1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7">
        <item x="0"/>
        <item x="4"/>
        <item x="3"/>
        <item x="2"/>
        <item x="5"/>
        <item x="1"/>
        <item t="default"/>
      </items>
    </pivotField>
    <pivotField showAll="0"/>
    <pivotField numFmtId="1" showAll="0"/>
    <pivotField dataField="1" numFmtId="2" showAll="0"/>
    <pivotField dataField="1" showAll="0"/>
    <pivotField dataField="1" showAll="0"/>
    <pivotField dataField="1" showAll="0"/>
    <pivotField showAll="0"/>
    <pivotField showAll="0"/>
  </pivotFields>
  <rowFields count="1">
    <field x="4"/>
  </rowFields>
  <rowItems count="94">
    <i>
      <x v="151"/>
    </i>
    <i>
      <x v="132"/>
    </i>
    <i>
      <x v="111"/>
    </i>
    <i>
      <x v="89"/>
    </i>
    <i>
      <x v="123"/>
    </i>
    <i>
      <x v="54"/>
    </i>
    <i>
      <x v="1"/>
    </i>
    <i>
      <x v="104"/>
    </i>
    <i>
      <x v="70"/>
    </i>
    <i>
      <x v="48"/>
    </i>
    <i>
      <x v="18"/>
    </i>
    <i>
      <x v="3"/>
    </i>
    <i>
      <x v="137"/>
    </i>
    <i>
      <x v="67"/>
    </i>
    <i>
      <x v="39"/>
    </i>
    <i>
      <x v="114"/>
    </i>
    <i>
      <x v="136"/>
    </i>
    <i>
      <x v="23"/>
    </i>
    <i>
      <x v="142"/>
    </i>
    <i>
      <x v="41"/>
    </i>
    <i>
      <x v="124"/>
    </i>
    <i>
      <x v="141"/>
    </i>
    <i>
      <x v="56"/>
    </i>
    <i>
      <x v="7"/>
    </i>
    <i>
      <x v="98"/>
    </i>
    <i>
      <x v="131"/>
    </i>
    <i>
      <x v="110"/>
    </i>
    <i>
      <x v="105"/>
    </i>
    <i>
      <x v="121"/>
    </i>
    <i>
      <x v="91"/>
    </i>
    <i>
      <x v="122"/>
    </i>
    <i>
      <x v="32"/>
    </i>
    <i>
      <x v="146"/>
    </i>
    <i>
      <x v="106"/>
    </i>
    <i>
      <x v="99"/>
    </i>
    <i>
      <x v="26"/>
    </i>
    <i>
      <x v="126"/>
    </i>
    <i>
      <x v="129"/>
    </i>
    <i>
      <x v="74"/>
    </i>
    <i>
      <x v="45"/>
    </i>
    <i>
      <x v="5"/>
    </i>
    <i>
      <x v="128"/>
    </i>
    <i>
      <x v="80"/>
    </i>
    <i>
      <x v="145"/>
    </i>
    <i>
      <x v="95"/>
    </i>
    <i>
      <x v="127"/>
    </i>
    <i>
      <x v="96"/>
    </i>
    <i>
      <x v="50"/>
    </i>
    <i>
      <x v="27"/>
    </i>
    <i>
      <x v="100"/>
    </i>
    <i>
      <x v="37"/>
    </i>
    <i>
      <x v="46"/>
    </i>
    <i>
      <x v="115"/>
    </i>
    <i>
      <x v="24"/>
    </i>
    <i>
      <x v="82"/>
    </i>
    <i>
      <x v="8"/>
    </i>
    <i>
      <x v="113"/>
    </i>
    <i>
      <x v="94"/>
    </i>
    <i>
      <x v="14"/>
    </i>
    <i>
      <x v="71"/>
    </i>
    <i>
      <x v="15"/>
    </i>
    <i>
      <x v="73"/>
    </i>
    <i>
      <x v="88"/>
    </i>
    <i>
      <x v="147"/>
    </i>
    <i>
      <x v="11"/>
    </i>
    <i>
      <x v="29"/>
    </i>
    <i>
      <x v="40"/>
    </i>
    <i>
      <x v="17"/>
    </i>
    <i>
      <x v="117"/>
    </i>
    <i>
      <x v="148"/>
    </i>
    <i>
      <x/>
    </i>
    <i>
      <x v="62"/>
    </i>
    <i>
      <x v="47"/>
    </i>
    <i>
      <x v="64"/>
    </i>
    <i>
      <x v="21"/>
    </i>
    <i>
      <x v="2"/>
    </i>
    <i>
      <x v="87"/>
    </i>
    <i>
      <x v="69"/>
    </i>
    <i>
      <x v="108"/>
    </i>
    <i>
      <x v="57"/>
    </i>
    <i>
      <x v="101"/>
    </i>
    <i>
      <x v="140"/>
    </i>
    <i>
      <x v="31"/>
    </i>
    <i>
      <x v="65"/>
    </i>
    <i>
      <x v="9"/>
    </i>
    <i>
      <x v="20"/>
    </i>
    <i>
      <x v="36"/>
    </i>
    <i>
      <x v="107"/>
    </i>
    <i>
      <x v="150"/>
    </i>
    <i>
      <x v="75"/>
    </i>
    <i>
      <x v="152"/>
    </i>
    <i>
      <x v="77"/>
    </i>
    <i>
      <x v="7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3" hier="-1"/>
    <pageField fld="2" hier="-1"/>
    <pageField fld="5" hier="-1"/>
  </pageFields>
  <dataFields count="6">
    <dataField name="Count of ROUTE" fld="0" subtotal="count" baseField="0" baseItem="0"/>
    <dataField name="Average of RT TIME (744)" fld="8" subtotal="average" baseField="4" baseItem="98" numFmtId="2"/>
    <dataField name="Average of ROUTE $" fld="9" subtotal="average" baseField="4" baseItem="131" numFmtId="44"/>
    <dataField name="Average of $ PER PAX" fld="10" subtotal="average" baseField="4" baseItem="132" numFmtId="44"/>
    <dataField name="Sum of E - DEMAND" fld="11" baseField="0" baseItem="0"/>
    <dataField name="Average of E - DEMAND2" fld="11" subtotal="average" baseField="4" baseItem="151" numFmtId="2"/>
  </dataFields>
  <formats count="4">
    <format dxfId="17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6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45FF190-1C98-4730-AB37-B1533EED1F4B}" name="Table312" displayName="Table312" ref="A1:O42" totalsRowShown="0" headerRowDxfId="488" dataDxfId="487">
  <autoFilter ref="A1:O42" xr:uid="{14D102CB-404C-4241-83F7-FD260C847033}">
    <filterColumn colId="1">
      <filters>
        <filter val="Airbus"/>
        <filter val="Boeing"/>
        <filter val="Ilyushin"/>
      </filters>
    </filterColumn>
    <filterColumn colId="13">
      <filters>
        <filter val="PAX"/>
      </filters>
    </filterColumn>
  </autoFilter>
  <sortState xmlns:xlrd2="http://schemas.microsoft.com/office/spreadsheetml/2017/richdata2" ref="A2:O42">
    <sortCondition ref="O1:O42"/>
  </sortState>
  <tableColumns count="15">
    <tableColumn id="1" xr3:uid="{605959C3-3970-407A-A259-6D382141E8FF}" name="MODEL" dataDxfId="486"/>
    <tableColumn id="2" xr3:uid="{5C2BCE17-0291-469C-A13D-303AC228D254}" name="MANUFACTURER" dataDxfId="485"/>
    <tableColumn id="3" xr3:uid="{94316195-38B2-4FCC-B160-D6C700306365}" name="INTRO" dataDxfId="484"/>
    <tableColumn id="5" xr3:uid="{32BC9586-E605-4224-BBD3-A14D6DBA8C67}" name="CONSUM." dataDxfId="483"/>
    <tableColumn id="6" xr3:uid="{AFA76FA3-A748-4342-87DC-425C5E65CAA0}" name="WEAR" dataDxfId="482"/>
    <tableColumn id="7" xr3:uid="{140745FE-4244-4460-9754-9D4E2D8E2B13}" name="SEATS" dataDxfId="481"/>
    <tableColumn id="8" xr3:uid="{9FC18342-3F72-44EB-BA5C-AB38B370E86F}" name="TONNAGE" dataDxfId="480"/>
    <tableColumn id="9" xr3:uid="{C7DCB461-7CC3-4FA8-A27D-289998E3740E}" name="SPEED" dataDxfId="479"/>
    <tableColumn id="12" xr3:uid="{8B33B9FD-6A9B-4AE2-A133-36C309239A9D}" name="PRICE" dataDxfId="478"/>
    <tableColumn id="16" xr3:uid="{8B253FEE-DA72-4C06-ADC9-A440E8EBCBE6}" name="Price.m" dataDxfId="477">
      <calculatedColumnFormula>Table312[[#This Row],[PRICE]]*0.00000001</calculatedColumnFormula>
    </tableColumn>
    <tableColumn id="4" xr3:uid="{59143B09-8A1C-41EE-936A-A30FC1B54570}" name="RANGE" dataDxfId="476"/>
    <tableColumn id="17" xr3:uid="{A26F000D-639D-4BDB-BACB-7A7678C3EF16}" name="SxR" dataDxfId="475">
      <calculatedColumnFormula>Table312[[#This Row],[SEATS]]*Table312[[#This Row],[RANGE]]*0.01</calculatedColumnFormula>
    </tableColumn>
    <tableColumn id="10" xr3:uid="{DE68BB33-C729-4057-A65F-BC5E7796183F}" name="$ / Seat" dataDxfId="474">
      <calculatedColumnFormula>(Table312[[#This Row],[PRICE]]/Table312[[#This Row],[SEATS]])*0.00001</calculatedColumnFormula>
    </tableColumn>
    <tableColumn id="14" xr3:uid="{79B45F20-434C-4E63-8C30-3CF9B88375DB}" name="TYPE" dataDxfId="473"/>
    <tableColumn id="13" xr3:uid="{E1771334-07B7-495D-B6D7-AEA49E2BDC94}" name="CAT" dataDxfId="47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469EEC3-BE17-44AF-81B4-363F18CDD85B}" name="Table17" displayName="Table17" ref="A2:R2649" totalsRowShown="0" headerRowDxfId="471" dataDxfId="470">
  <autoFilter ref="A2:R2649" xr:uid="{21FAB233-A24F-410A-8C0B-74B3CA2042D9}">
    <filterColumn colId="3">
      <filters>
        <filter val="Oceania"/>
      </filters>
    </filterColumn>
  </autoFilter>
  <sortState xmlns:xlrd2="http://schemas.microsoft.com/office/spreadsheetml/2017/richdata2" ref="A3:R2649">
    <sortCondition descending="1" ref="H2:H2649"/>
  </sortState>
  <tableColumns count="18">
    <tableColumn id="1" xr3:uid="{AB988A1E-BFBA-4A9B-B516-049624EABA37}" name="ICAO" dataDxfId="469"/>
    <tableColumn id="2" xr3:uid="{FA8877F4-B539-4DE4-9D18-22E9AC912D58}" name="AIRPORT NAME" dataDxfId="468"/>
    <tableColumn id="3" xr3:uid="{82594C24-B197-4048-99CC-1B5B27427771}" name="COUNTRY" dataDxfId="467"/>
    <tableColumn id="13" xr3:uid="{C02FF462-DDE5-4393-9A8E-D5C99D2097D8}" name="CONTINENT" dataDxfId="466">
      <calculatedColumnFormula>VLOOKUP(C:C,'COUNT-CONT'!B:C,2,FALSE)</calculatedColumnFormula>
    </tableColumn>
    <tableColumn id="4" xr3:uid="{9992AEBE-33F6-4F41-B383-5E9AD982115F}" name="CAT" dataDxfId="465"/>
    <tableColumn id="5" xr3:uid="{7C607094-B74F-4694-8F10-C0F710BD93F7}" name="FLIGHT TAX" dataDxfId="464"/>
    <tableColumn id="6" xr3:uid="{15548E68-7B2D-4FF9-BF0C-BDDD85C2E41C}" name="GROSS PRICE" dataDxfId="463"/>
    <tableColumn id="7" xr3:uid="{A595534E-428C-44DC-8B67-4D5E9D0EB6DB}" name="ECO" dataDxfId="462"/>
    <tableColumn id="12" xr3:uid="{29529F29-E5B1-4436-8CD0-F109722C8930}" name="ECO DELTA" dataDxfId="461"/>
    <tableColumn id="8" xr3:uid="{0A6DAF61-2B72-4B2D-BBD9-F71640136A2B}" name="BUS" dataDxfId="460"/>
    <tableColumn id="9" xr3:uid="{256E8887-69D4-45C8-8BA4-1A699836B9B1}" name="FIRST" dataDxfId="459"/>
    <tableColumn id="10" xr3:uid="{B47F4F73-D393-44A7-AFED-8F38C0FD9675}" name="CARGO" dataDxfId="458"/>
    <tableColumn id="14" xr3:uid="{E1D33B30-76AF-46B1-9AEE-52B078827A7F}" name="TO" dataDxfId="457" dataCellStyle="Currency"/>
    <tableColumn id="15" xr3:uid="{C5DA9BF1-66AD-41B6-8090-CB23E7454F6C}" name="PROFIT" dataDxfId="456" dataCellStyle="Currency"/>
    <tableColumn id="19" xr3:uid="{8200AFC6-1EA0-41E5-AEE4-0B608451E3B1}" name="Column1" dataDxfId="455">
      <calculatedColumnFormula>IFERROR(Table17[[#This Row],[PROFIT]]/Table17[[#This Row],[TO]],0)</calculatedColumnFormula>
    </tableColumn>
    <tableColumn id="16" xr3:uid="{ABCFB108-72AF-4145-B5B1-D0FB5A068923}" name="AC" dataDxfId="454"/>
    <tableColumn id="17" xr3:uid="{33DAD085-A1C8-4EDC-A787-9C6ABDBA1198}" name="ROUTE" dataDxfId="453"/>
    <tableColumn id="18" xr3:uid="{56A64EA8-91AC-4995-9E22-3D3D64115785}" name="KM" dataDxfId="45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01F2972-93DD-4DF0-A7C0-2726636FDB68}" name="Table22" displayName="Table22" ref="A2:D2408" totalsRowShown="0">
  <autoFilter ref="A2:D2408" xr:uid="{5080B1B5-CC00-4682-B3A4-80800D4D1492}"/>
  <sortState xmlns:xlrd2="http://schemas.microsoft.com/office/spreadsheetml/2017/richdata2" ref="A3:D2408">
    <sortCondition ref="D2:D2408"/>
  </sortState>
  <tableColumns count="4">
    <tableColumn id="2" xr3:uid="{D140345D-E3FF-4C6C-895C-9EC5814A83D2}" name="Code"/>
    <tableColumn id="4" xr3:uid="{BFF196DB-712A-42E1-8617-5F0E09DC3DCA}" name="CURRENT" dataCellStyle="Currency"/>
    <tableColumn id="1" xr3:uid="{5F85AC05-D39A-4B25-A130-0C0D05AD73EE}" name="IDEAL" dataCellStyle="Currency"/>
    <tableColumn id="3" xr3:uid="{4974D473-4483-40CF-BECD-20B5DCD844D4}" name="DELTA" dataDxfId="451" dataCellStyle="Currency">
      <calculatedColumnFormula>Table22[[#This Row],[CURRENT]]-Table22[[#This Row],[IDEAL]]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E965C3B-E59A-4888-B820-AD3D1A71CECC}" name="Table2514" displayName="Table2514" ref="D4:L95" totalsRowShown="0" dataDxfId="450">
  <autoFilter ref="D4:L95" xr:uid="{954FBBA6-0D4B-46F4-987E-7137AEB9DAAD}"/>
  <tableColumns count="9">
    <tableColumn id="1" xr3:uid="{BD8E0DCB-4B58-4C31-8D3C-8514B419BFDE}" name="QTY" dataDxfId="449"/>
    <tableColumn id="2" xr3:uid="{E41921E8-7A14-4CE1-BA06-411EFDF2A3AC}" name="DISC" dataDxfId="448"/>
    <tableColumn id="3" xr3:uid="{934992B5-53A8-4242-B278-0F70A63C80CD}" name="LIST PRICE" dataDxfId="447">
      <calculatedColumnFormula>$F$5*D5</calculatedColumnFormula>
    </tableColumn>
    <tableColumn id="4" xr3:uid="{07DBBB31-1EAF-4B92-B708-DE0C5AF6EAA7}" name="PAY PRICE" dataDxfId="446">
      <calculatedColumnFormula>F5*(1-E5)</calculatedColumnFormula>
    </tableColumn>
    <tableColumn id="5" xr3:uid="{53052BF2-80DB-4D05-A176-47983C701582}" name="REMAIN BALANCE" dataDxfId="445">
      <calculatedColumnFormula>$H$2-G5</calculatedColumnFormula>
    </tableColumn>
    <tableColumn id="8" xr3:uid="{B7010690-3E5E-4B72-A910-8F718C136E7E}" name="$ Per Plane" dataDxfId="444" dataCellStyle="Currency 2">
      <calculatedColumnFormula>Table2514[[#This Row],[PAY PRICE]]/Table2514[[#This Row],[QTY]]</calculatedColumnFormula>
    </tableColumn>
    <tableColumn id="9" xr3:uid="{B46AE4D9-1E60-4E3D-9A9D-02E675C63DAB}" name="Savings / Plane" dataDxfId="443" dataCellStyle="Currency 2">
      <calculatedColumnFormula>Table2514[[#This Row],[$ Per Plane]]-($F$5*Table2514[[#This Row],[QTY]])</calculatedColumnFormula>
    </tableColumn>
    <tableColumn id="6" xr3:uid="{2E5423C1-C13C-4042-B7CC-D97E3F71E98A}" name="SAVINGS - Total" dataDxfId="442">
      <calculatedColumnFormula>($F$5*D5)-G5</calculatedColumnFormula>
    </tableColumn>
    <tableColumn id="7" xr3:uid="{D03946DB-7711-42FB-8FAD-11021FF82EBA}" name="PLANES">
      <calculatedColumnFormula>K5/$F$5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D650F30-3128-4B45-BEB8-3EE18797C838}" name="Table251418" displayName="Table251418" ref="D4:L95" totalsRowShown="0" dataDxfId="441">
  <autoFilter ref="D4:L95" xr:uid="{954FBBA6-0D4B-46F4-987E-7137AEB9DAAD}"/>
  <tableColumns count="9">
    <tableColumn id="1" xr3:uid="{2DF8339C-EEA9-4C11-9EA3-7B063E8D5E58}" name="QTY" dataDxfId="440"/>
    <tableColumn id="2" xr3:uid="{85AB2EC3-6908-46C0-9C0B-D1E2B8CA7942}" name="DISC" dataDxfId="439"/>
    <tableColumn id="3" xr3:uid="{964FB28F-5E6D-41BC-91D1-8EDA4531A6B2}" name="LIST PRICE" dataDxfId="438">
      <calculatedColumnFormula>$F$5*D5</calculatedColumnFormula>
    </tableColumn>
    <tableColumn id="4" xr3:uid="{687EB949-B242-4FEF-96C1-D6873E4D6BB5}" name="PAY PRICE" dataDxfId="437">
      <calculatedColumnFormula>F5*(1-E5)</calculatedColumnFormula>
    </tableColumn>
    <tableColumn id="5" xr3:uid="{4F92EEF7-3421-462E-861F-70BCF2302858}" name="REMAIN BALANCE" dataDxfId="436">
      <calculatedColumnFormula>$H$2-G5</calculatedColumnFormula>
    </tableColumn>
    <tableColumn id="8" xr3:uid="{4CF60C7D-6DA7-43B2-A036-803C408F4AAB}" name="$ Per Plane" dataDxfId="435" dataCellStyle="Currency 2">
      <calculatedColumnFormula>Table251418[[#This Row],[PAY PRICE]]/Table251418[[#This Row],[QTY]]</calculatedColumnFormula>
    </tableColumn>
    <tableColumn id="9" xr3:uid="{DAD519C6-6BA2-419C-B9E4-16F21FB67FFE}" name="Savings / Plane" dataDxfId="434" dataCellStyle="Currency 2">
      <calculatedColumnFormula>Table251418[[#This Row],[$ Per Plane]]-($F$5*Table251418[[#This Row],[QTY]])</calculatedColumnFormula>
    </tableColumn>
    <tableColumn id="6" xr3:uid="{E4DDC01D-F585-4CB8-8079-EE1F19740475}" name="SAVINGS - Total" dataDxfId="433">
      <calculatedColumnFormula>($F$5*D5)-G5</calculatedColumnFormula>
    </tableColumn>
    <tableColumn id="7" xr3:uid="{22CB2477-86FD-4C8B-9CF4-4A780930AD8A}" name="PLANES">
      <calculatedColumnFormula>K5/$F$5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31EC51-C915-42FF-98E5-981C762F4FDE}" name="Table25" displayName="Table25" ref="D4:L144" totalsRowShown="0" dataDxfId="432">
  <autoFilter ref="D4:L144" xr:uid="{954FBBA6-0D4B-46F4-987E-7137AEB9DAAD}"/>
  <tableColumns count="9">
    <tableColumn id="1" xr3:uid="{164E0F11-35CC-4932-9883-300A4CF5A747}" name="QTY" dataDxfId="431"/>
    <tableColumn id="2" xr3:uid="{D0341705-9061-4711-B266-32C116B0FC88}" name="DISC" dataDxfId="430"/>
    <tableColumn id="3" xr3:uid="{32D9BC24-C444-435D-AF2D-511D7E1EBC64}" name="LIST PRICE" dataDxfId="429">
      <calculatedColumnFormula>$F$5*D5</calculatedColumnFormula>
    </tableColumn>
    <tableColumn id="4" xr3:uid="{B62159D2-B361-440B-9433-ED9722F4FE7D}" name="PAY PRICE" dataDxfId="428">
      <calculatedColumnFormula>F5*(1-E5)</calculatedColumnFormula>
    </tableColumn>
    <tableColumn id="5" xr3:uid="{8FCF24B5-3514-4AA8-8EC0-9599A2588F74}" name="REMAIN BALANCE" dataDxfId="427">
      <calculatedColumnFormula>$H$2-G5</calculatedColumnFormula>
    </tableColumn>
    <tableColumn id="8" xr3:uid="{606D9D82-B98B-4548-B353-2AAC7DD337C9}" name="$ Per Plane" dataDxfId="426" dataCellStyle="Currency 2">
      <calculatedColumnFormula>Table25[[#This Row],[PAY PRICE]]/Table25[[#This Row],[QTY]]</calculatedColumnFormula>
    </tableColumn>
    <tableColumn id="9" xr3:uid="{731A62C2-9B36-473D-81FF-963AD61AE48F}" name="Savings / Plane" dataDxfId="425" dataCellStyle="Currency 2">
      <calculatedColumnFormula>Table25[[#This Row],[$ Per Plane]]-($F$5*Table25[[#This Row],[QTY]])</calculatedColumnFormula>
    </tableColumn>
    <tableColumn id="6" xr3:uid="{299CF4D9-6871-48B0-BAAF-1B4322EE09E1}" name="SAVINGS - Total" dataDxfId="424">
      <calculatedColumnFormula>($F$5*D5)-G5</calculatedColumnFormula>
    </tableColumn>
    <tableColumn id="7" xr3:uid="{E9EBDE6E-0021-4F88-9129-3F71900B37AD}" name="PLANES">
      <calculatedColumnFormula>K5/$F$5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51C1D69-BA41-40A3-BA97-108459CEAD2F}" name="Table2526" displayName="Table2526" ref="D4:L144" totalsRowShown="0" dataDxfId="423">
  <autoFilter ref="D4:L144" xr:uid="{954FBBA6-0D4B-46F4-987E-7137AEB9DAAD}"/>
  <tableColumns count="9">
    <tableColumn id="1" xr3:uid="{19190044-782B-4331-9757-E67E3C27E7F8}" name="QTY" dataDxfId="422"/>
    <tableColumn id="2" xr3:uid="{97E97508-1C4F-4800-A21D-D9B90BFB76FA}" name="DISC" dataDxfId="421"/>
    <tableColumn id="3" xr3:uid="{E09E284C-5FC5-424A-A615-5286F4D43DD0}" name="LIST PRICE" dataDxfId="420">
      <calculatedColumnFormula>$F$5*D5</calculatedColumnFormula>
    </tableColumn>
    <tableColumn id="4" xr3:uid="{FB990569-7AAB-4300-8FCC-C4E173B0EE85}" name="PAY PRICE" dataDxfId="419">
      <calculatedColumnFormula>F5*(1-E5)</calculatedColumnFormula>
    </tableColumn>
    <tableColumn id="5" xr3:uid="{B10FA07C-9D37-4552-B7C9-EDFFE3A269B9}" name="REMAIN BALANCE" dataDxfId="418">
      <calculatedColumnFormula>$H$2-G5</calculatedColumnFormula>
    </tableColumn>
    <tableColumn id="8" xr3:uid="{3319F36B-0226-4683-9467-271970C21434}" name="$ Per Plane" dataDxfId="417" dataCellStyle="Currency 2">
      <calculatedColumnFormula>Table2526[[#This Row],[PAY PRICE]]/Table2526[[#This Row],[QTY]]</calculatedColumnFormula>
    </tableColumn>
    <tableColumn id="9" xr3:uid="{07C3D37D-B535-4944-BAE5-33834757DC96}" name="Savings / Plane" dataDxfId="416" dataCellStyle="Currency 2">
      <calculatedColumnFormula>Table2526[[#This Row],[$ Per Plane]]-($F$5*Table2526[[#This Row],[QTY]])</calculatedColumnFormula>
    </tableColumn>
    <tableColumn id="6" xr3:uid="{1187090F-C91D-4769-AF47-5685D8231F37}" name="SAVINGS - Total" dataDxfId="415">
      <calculatedColumnFormula>($F$5*D5)-G5</calculatedColumnFormula>
    </tableColumn>
    <tableColumn id="7" xr3:uid="{A76AEA75-E576-4B01-B56F-3E54522537C0}" name="PLANES">
      <calculatedColumnFormula>K5/$F$5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E219DF9-7C0E-4A2A-93CF-B44F27BEE1C3}" name="Table18" displayName="Table18" ref="A1:C3504" totalsRowShown="0">
  <autoFilter ref="A1:C3504" xr:uid="{1F7D0556-AADC-4451-A254-5937747BCAF9}"/>
  <sortState xmlns:xlrd2="http://schemas.microsoft.com/office/spreadsheetml/2017/richdata2" ref="A2:C3504">
    <sortCondition ref="A1:A3504"/>
  </sortState>
  <tableColumns count="3">
    <tableColumn id="1" xr3:uid="{06A17626-69DD-41CA-AC46-673B77567789}" name="ICAO"/>
    <tableColumn id="2" xr3:uid="{8D51E559-D4B2-41F9-A594-0A721939558F}" name="CITY"/>
    <tableColumn id="3" xr3:uid="{3BC99114-1EE1-4042-8DE2-6FA1F8F96DE7}" name="COUNTRY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18AE9F5-AEB5-4F88-92F5-99D7BADF4EE5}" name="Table10" displayName="Table10" ref="B1:G266" totalsRowShown="0" headerRowDxfId="414" dataDxfId="413" headerRowCellStyle="Currency 2" dataCellStyle="Currency 2">
  <autoFilter ref="B1:G266" xr:uid="{C1600868-D306-40AD-AA85-D9A3A6E5C76A}"/>
  <sortState xmlns:xlrd2="http://schemas.microsoft.com/office/spreadsheetml/2017/richdata2" ref="B2:G262">
    <sortCondition ref="B1:B262"/>
  </sortState>
  <tableColumns count="6">
    <tableColumn id="3" xr3:uid="{2E365EE2-618A-420B-A416-C5865E9D8421}" name="COUNTRY NAME" dataDxfId="412" dataCellStyle="Currency 2"/>
    <tableColumn id="7" xr3:uid="{99290BE7-E080-4DA1-8748-8615FADDF46D}" name="CONTINENT NAME" dataDxfId="411" dataCellStyle="Currency 2"/>
    <tableColumn id="8" xr3:uid="{162AD3BE-3B5C-4A50-872D-03E86544BC85}" name="CONTINENT CODE" dataDxfId="410" dataCellStyle="Currency 2"/>
    <tableColumn id="4" xr3:uid="{D91623F5-A212-4A9A-BB22-E3A7BB4527CE}" name="COUNTRY CODE 2" dataDxfId="409" dataCellStyle="Currency 2"/>
    <tableColumn id="5" xr3:uid="{E63622C3-DD25-4580-BFAF-083FF73DEE17}" name="COUNTRY CODE 3" dataDxfId="408" dataCellStyle="Currency 2"/>
    <tableColumn id="6" xr3:uid="{F41E8A21-FD2F-4EDB-8E25-27D09240AC2E}" name="COUNTRY NUMBER" dataDxfId="407" dataCellStyle="Currency 2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AACA34-4F2C-4394-977F-DE18F8D3E6FA}" name="Table5" displayName="Table5" ref="A1:F2934" totalsRowShown="0" headerRowDxfId="406">
  <autoFilter ref="A1:F2934" xr:uid="{9CD3A86C-6F26-465E-9525-8312DCE841CB}"/>
  <sortState xmlns:xlrd2="http://schemas.microsoft.com/office/spreadsheetml/2017/richdata2" ref="A2:F2675">
    <sortCondition ref="A1:A2675"/>
  </sortState>
  <tableColumns count="6">
    <tableColumn id="3" xr3:uid="{CAD5C6F4-79C7-4FC5-BDB6-43C20D4DD3F6}" name="ROUTE" dataDxfId="405"/>
    <tableColumn id="4" xr3:uid="{6C13A362-0248-45F6-83C9-A7E81615772F}" name="HUB" dataDxfId="404"/>
    <tableColumn id="5" xr3:uid="{965A95BD-0568-483E-B71B-9C1D9FA205AD}" name="DEST" dataDxfId="403"/>
    <tableColumn id="6" xr3:uid="{1ED450BE-205A-4A2F-B187-F965A13007AB}" name="DISTANCE" dataDxfId="402" dataCellStyle="Comma"/>
    <tableColumn id="39" xr3:uid="{BD009E8D-9E88-4B32-A9BD-55B49CA37873}" name="DEM" dataDxfId="401"/>
    <tableColumn id="40" xr3:uid="{F62EEDC3-5BB6-48AE-8124-B782DFA0ECA6}" name="R-DEM" dataDxfId="40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4D81D36-EC68-4DF4-A9C2-815F8D7EA867}" name="Table23" displayName="Table23" ref="I1:M490" totalsRowShown="0">
  <autoFilter ref="I1:M490" xr:uid="{97CE7068-2284-490E-B6ED-95D7C826EA03}"/>
  <sortState xmlns:xlrd2="http://schemas.microsoft.com/office/spreadsheetml/2017/richdata2" ref="I2:M490">
    <sortCondition descending="1" ref="M1:M490"/>
  </sortState>
  <tableColumns count="5">
    <tableColumn id="1" xr3:uid="{7492923F-A807-4F0E-9B56-4C6E2E44D7AD}" name="ABC "/>
    <tableColumn id="2" xr3:uid="{344B38CF-EABB-4FF3-9080-3977EE6A2DF3}" name="#"/>
    <tableColumn id="3" xr3:uid="{25AB1F7E-D9B1-4EEF-9979-8105F1BB6360}" name="INFO"/>
    <tableColumn id="4" xr3:uid="{2E7668C5-0915-425A-A1F9-B264B7B1B87E}" name="AIRCRAFT" dataDxfId="397"/>
    <tableColumn id="5" xr3:uid="{C81FFD26-3349-4F8B-AACC-575B4B691AE3}" name="DIV" dataDxfId="396">
      <calculatedColumnFormula>Table23[[#This Row],[AIRCRAFT]]/7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B051207-CFEA-41B5-8556-3CA6E4ADDD14}" name="Table28" displayName="Table28" ref="A2:V817" totalsRowShown="0" headerRowDxfId="395" dataDxfId="393" headerRowBorderDxfId="394" headerRowCellStyle="Currency">
  <autoFilter ref="A2:V817" xr:uid="{4D8CC064-789B-4D73-BCEB-839C8A48DBFF}"/>
  <sortState xmlns:xlrd2="http://schemas.microsoft.com/office/spreadsheetml/2017/richdata2" ref="A3:V817">
    <sortCondition descending="1" ref="P2:P817"/>
  </sortState>
  <tableColumns count="22">
    <tableColumn id="1" xr3:uid="{1A2F6712-DB30-431B-B645-5CB8715207B9}" name="ROUTE" dataDxfId="392"/>
    <tableColumn id="2" xr3:uid="{DBC073A1-413A-4485-9014-336383E94D59}" name="ICAO" dataDxfId="391"/>
    <tableColumn id="3" xr3:uid="{301027F7-0FB1-4282-9D8C-36FD594E6C83}" name="STATUS" dataDxfId="390"/>
    <tableColumn id="4" xr3:uid="{A22C281E-D399-4EF4-9F2B-3EAE7ED0952D}" name="STARS" dataDxfId="389"/>
    <tableColumn id="5" xr3:uid="{30BA9EA1-4B6B-464B-BBA0-97BC60400DFA}" name="Country" dataDxfId="388"/>
    <tableColumn id="6" xr3:uid="{048A398B-6E85-42D7-A554-2C32EC7D54E2}" name="CONTINENT" dataDxfId="387">
      <calculatedColumnFormula>VLOOKUP(Table28[[#This Row],[Country]],Table10[[COUNTRY NAME]:[CONTINENT CODE]],3,FALSE)</calculatedColumnFormula>
    </tableColumn>
    <tableColumn id="7" xr3:uid="{F6E3CA43-819B-4D71-8545-F5E074C628E1}" name="City/Airport" dataDxfId="386"/>
    <tableColumn id="8" xr3:uid="{8E5116EA-17E8-425F-B2D5-C198D63AD000}" name="Distance" dataDxfId="385"/>
    <tableColumn id="9" xr3:uid="{0306D040-3BDE-4195-9C49-EA1432BABDCE}" name="Duration_x000a_(A359)" dataDxfId="384"/>
    <tableColumn id="10" xr3:uid="{27BB524D-81A6-45F6-8754-DD7F6913E9D5}" name="ROUTE COST" dataDxfId="383" dataCellStyle="Currency"/>
    <tableColumn id="11" xr3:uid="{E2AE3A27-711A-4588-8AD9-C60E37223AF8}" name="$ PER PAX" dataDxfId="382" dataCellStyle="Currency">
      <calculatedColumnFormula>IFERROR(Table28[[#This Row],[ROUTE COST]]/Table28[[#This Row],[O - DEMAND]],0)</calculatedColumnFormula>
    </tableColumn>
    <tableColumn id="12" xr3:uid="{E1CB9FA0-47D7-4721-910C-E5DD3634A125}" name="O - DEMAND" dataDxfId="381"/>
    <tableColumn id="13" xr3:uid="{C0C1388D-D373-48C2-AF2A-B751AC9B75AB}" name="INIT PLANES" dataDxfId="380">
      <calculatedColumnFormula>Table28[[#This Row],[O - DEMAND]]/950</calculatedColumnFormula>
    </tableColumn>
    <tableColumn id="14" xr3:uid="{2EB9DA16-0CA3-4CAA-8020-E4823018650A}" name="C_DEMAND" dataDxfId="379">
      <calculatedColumnFormula>IFERROR(VLOOKUP(Table28[[#This Row],[ROUTE]],DEMAND!A:F,5,FALSE),0)</calculatedColumnFormula>
    </tableColumn>
    <tableColumn id="15" xr3:uid="{99322012-701C-42C6-862C-C23595BF3134}" name="R-DEMAND" dataDxfId="378">
      <calculatedColumnFormula>IFERROR(VLOOKUP(Table28[[#This Row],[ROUTE]],DEMAND!A:F,6,FALSE),0)</calculatedColumnFormula>
    </tableColumn>
    <tableColumn id="16" xr3:uid="{E1141E76-F055-4D76-B026-BD0E122A1774}" name="ADD ACC_x000a_(475/950)" dataDxfId="377">
      <calculatedColumnFormula>ROUNDDOWN(Table28[[#This Row],[R-DEMAND]]/950,0)</calculatedColumnFormula>
    </tableColumn>
    <tableColumn id="17" xr3:uid="{E4D0018B-3066-445F-BA8C-C5F25AA8C29A}" name="ADD TIME" dataDxfId="376">
      <calculatedColumnFormula>Table28[[#This Row],[ADD ACC
(475/950)]]*Table28[[#This Row],[Duration
(A359)]]</calculatedColumnFormula>
    </tableColumn>
    <tableColumn id="18" xr3:uid="{7059B4A2-7B27-40A4-8204-5BF39C6C4378}" name="ECO SEAT" dataDxfId="375">
      <calculatedColumnFormula>IFERROR(VLOOKUP(Table28[[#This Row],[ROUTE]],PRICING!A:B,2,FALSE),0)</calculatedColumnFormula>
    </tableColumn>
    <tableColumn id="19" xr3:uid="{1ED9D9C3-E674-4D8F-A9B7-1DCF3ACCCBEE}" name="SEATS SOLD" dataDxfId="374">
      <calculatedColumnFormula>Table28[[#This Row],[C_DEMAND]]-Table28[[#This Row],[R-DEMAND]]</calculatedColumnFormula>
    </tableColumn>
    <tableColumn id="20" xr3:uid="{B53C6661-ED90-447B-9C56-22F74831E4DA}" name="SEAT REV" dataDxfId="373" dataCellStyle="Currency">
      <calculatedColumnFormula>Table28[[#This Row],[SEATS SOLD]]*Table28[[#This Row],[ECO SEAT]]</calculatedColumnFormula>
    </tableColumn>
    <tableColumn id="21" xr3:uid="{6E43A132-4C11-4B17-AD2B-0F345C39ADD2}" name="SEAT REV_x000a_(IF IDEAL $)" dataDxfId="372" dataCellStyle="Currency">
      <calculatedColumnFormula>Table28[[#This Row],[SEATS SOLD]]*(IFERROR(VLOOKUP(Table28[[#This Row],[ROUTE]],PRICING!A:C,3,FALSE),0))</calculatedColumnFormula>
    </tableColumn>
    <tableColumn id="22" xr3:uid="{95828C70-DDC0-4FF8-9991-4BC132EC8894}" name="$ DELTA" dataDxfId="371" dataCellStyle="Currency">
      <calculatedColumnFormula>Table28[[#This Row],[SEAT REV]]-Table28[[#This Row],[SEAT REV
(IF IDEAL $)]]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35D8B59-15A6-432E-8E9B-CA9F1C3EA170}" name="Table29" displayName="Table29" ref="AS2:AY817" totalsRowShown="0" headerRowDxfId="370" dataDxfId="369">
  <autoFilter ref="AS2:AY817" xr:uid="{8D2F0B1F-F504-4A82-8B7D-0DEB9CDE2207}"/>
  <sortState xmlns:xlrd2="http://schemas.microsoft.com/office/spreadsheetml/2017/richdata2" ref="AS3:AY817">
    <sortCondition ref="AY2:AY817"/>
  </sortState>
  <tableColumns count="7">
    <tableColumn id="1" xr3:uid="{9DCED2FA-1FD9-4FF3-BD29-8B1E908C1598}" name="Country ▾" dataDxfId="368"/>
    <tableColumn id="2" xr3:uid="{BC332F8D-0148-4D4F-A769-B78BE8042085}" name="City/Airport" dataDxfId="367"/>
    <tableColumn id="3" xr3:uid="{1A8A8105-6477-4BB3-BC16-9985DCFDB458}" name="Hub" dataDxfId="366"/>
    <tableColumn id="4" xr3:uid="{AD104F47-6BD4-458C-ACD3-7AB12EBB6B9B}" name="Category" dataDxfId="365"/>
    <tableColumn id="5" xr3:uid="{9804BA34-2907-49E6-A8DD-C7ABAC89ED9B}" name="Stars" dataDxfId="364"/>
    <tableColumn id="6" xr3:uid="{0A8F43B3-7445-4B7D-9542-D3E5D870BFFF}" name="Duration" dataDxfId="363"/>
    <tableColumn id="7" xr3:uid="{9CC78249-7082-41ED-AA66-C5FB0F0005E6}" name="Distance" dataDxfId="362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217FCC1-B929-4770-82A0-9F3903153B8B}" name="Table26" displayName="Table26" ref="AA2:AF532" totalsRowShown="0" headerRowDxfId="361" dataDxfId="360">
  <autoFilter ref="AA2:AF532" xr:uid="{4159C4ED-D336-4865-AFAC-02C9EB64228F}"/>
  <sortState xmlns:xlrd2="http://schemas.microsoft.com/office/spreadsheetml/2017/richdata2" ref="AA3:AF532">
    <sortCondition ref="AA2:AA532"/>
  </sortState>
  <tableColumns count="6">
    <tableColumn id="2" xr3:uid="{5424F41E-4CD2-49E1-A4E9-D68976250F99}" name="route" dataDxfId="359"/>
    <tableColumn id="6" xr3:uid="{A622BDCD-D6E1-441E-89CE-EF0F8EE91315}" name="Column1" dataDxfId="358"/>
    <tableColumn id="8" xr3:uid="{BEECE7DE-A1DB-4DF9-AF1D-863D7C245835}" name="Column3" dataDxfId="357"/>
    <tableColumn id="3" xr3:uid="{563E1984-177E-4061-A79F-30E3510E3DDB}" name="dist" dataDxfId="356"/>
    <tableColumn id="4" xr3:uid="{C4216FFB-FF3F-4C52-A998-4284BCFE0343}" name="dem" dataDxfId="355"/>
    <tableColumn id="5" xr3:uid="{8C48AA37-F404-4044-B9E2-35B0C56EAA29}" name="rdem" dataDxfId="354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8D5DC5-CB4E-4775-BD43-D4A701635835}" name="Table3" displayName="Table3" ref="A1:F496" totalsRowShown="0" headerRowDxfId="0" dataDxfId="1" headerRowCellStyle="Normal 2">
  <autoFilter ref="A1:F496" xr:uid="{17EE315C-E21B-4D68-9ED8-7781582536DA}"/>
  <sortState xmlns:xlrd2="http://schemas.microsoft.com/office/spreadsheetml/2017/richdata2" ref="A2:F496">
    <sortCondition ref="C1:C496"/>
  </sortState>
  <tableColumns count="6">
    <tableColumn id="2" xr3:uid="{1F88E5AC-CBF0-4F59-BE4A-17BCB336F32E}" name="DEST" dataDxfId="7"/>
    <tableColumn id="3" xr3:uid="{5E982478-69B4-4DD4-80BA-C3488BF561DB}" name="DURATION" dataDxfId="6"/>
    <tableColumn id="4" xr3:uid="{6B3BD2EE-23F7-4CC0-901F-449A6D89D1DC}" name="ROUTE" dataDxfId="5"/>
    <tableColumn id="5" xr3:uid="{55D0CFA9-7DA1-4AFD-A62F-EB1AFE28B0F1}" name="LEG" dataDxfId="4"/>
    <tableColumn id="7" xr3:uid="{82866DDF-59F4-45EF-BB85-8AEE2839BA4B}" name="ROUTES" dataDxfId="3"/>
    <tableColumn id="6" xr3:uid="{CCD5D48F-035B-4350-A736-D157129A3299}" name="PATH" dataDxfId="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5BE7A7A-C8A8-4F5D-B56D-5815A1C4B146}" name="Table24" displayName="Table24" ref="A2:V1065" totalsRowShown="0" headerRowDxfId="353" dataDxfId="351" headerRowBorderDxfId="352">
  <autoFilter ref="A2:V1065" xr:uid="{4E410B80-41BA-41C6-AF91-9BAF4A23CFF9}"/>
  <sortState xmlns:xlrd2="http://schemas.microsoft.com/office/spreadsheetml/2017/richdata2" ref="A3:V1065">
    <sortCondition ref="O2:O1065"/>
  </sortState>
  <tableColumns count="22">
    <tableColumn id="1" xr3:uid="{DBED837B-9F71-4431-B5D2-D37099D88E6D}" name="ROUTE" dataDxfId="350"/>
    <tableColumn id="2" xr3:uid="{154459B6-1849-4CD3-B2D0-0A27AABEE016}" name="ICAO" dataDxfId="349"/>
    <tableColumn id="3" xr3:uid="{8C9F0BA5-CCAF-4331-A365-59739D23CC60}" name="STATUS" dataDxfId="348"/>
    <tableColumn id="4" xr3:uid="{53E81A58-FE28-44A0-B290-281E1E6667B1}" name="STARS" dataDxfId="347"/>
    <tableColumn id="5" xr3:uid="{B5594375-155F-4418-B237-028BEE9C63C2}" name="Country" dataDxfId="346"/>
    <tableColumn id="6" xr3:uid="{BAD94027-22DE-4A27-822E-17D0713B093A}" name="CONTINENT" dataDxfId="345">
      <calculatedColumnFormula>VLOOKUP(Table24[[#This Row],[Country]],Table10[[COUNTRY NAME]:[CONTINENT CODE]],3,FALSE)</calculatedColumnFormula>
    </tableColumn>
    <tableColumn id="7" xr3:uid="{B57A209E-94BD-4DF6-8DA5-75413AD61186}" name="City/Airport" dataDxfId="344"/>
    <tableColumn id="8" xr3:uid="{D62B6734-BE78-488A-9A7E-AC750F992881}" name="Distance" dataDxfId="343" dataCellStyle="Comma"/>
    <tableColumn id="9" xr3:uid="{C55DB3CE-13DE-4E1E-A1EA-4368DD5EA10A}" name="Duration_x000a_(A359)" dataDxfId="342"/>
    <tableColumn id="10" xr3:uid="{8D32FA26-F6C3-4407-BE37-7F3C1906BDFB}" name="ROUTE COST" dataDxfId="341" dataCellStyle="Currency"/>
    <tableColumn id="11" xr3:uid="{929AC037-D11C-4BE3-8EC5-2A54A6684223}" name="$ PER PAX" dataDxfId="340" dataCellStyle="Currency">
      <calculatedColumnFormula>IFERROR(Table24[[#This Row],[ROUTE COST]]/Table24[[#This Row],[O - DEMAND]],0)</calculatedColumnFormula>
    </tableColumn>
    <tableColumn id="12" xr3:uid="{15D890B3-31A7-469B-BD45-865FD083A4D7}" name="O - DEMAND" dataDxfId="339"/>
    <tableColumn id="20" xr3:uid="{C00501C9-574C-4B20-BE9F-148BC625E301}" name="INIT PLANES" dataDxfId="338">
      <calculatedColumnFormula>Table24[[#This Row],[O - DEMAND]]/950</calculatedColumnFormula>
    </tableColumn>
    <tableColumn id="13" xr3:uid="{C5919016-22D0-4325-9A64-EF85BC1F77D7}" name="C_DEMAND" dataDxfId="337">
      <calculatedColumnFormula>IFERROR(VLOOKUP(Table24[[#This Row],[ROUTE]],DEMAND!A:F,5,FALSE),0)</calculatedColumnFormula>
    </tableColumn>
    <tableColumn id="14" xr3:uid="{04A9D165-E549-4D8A-87C3-669C3ABAB317}" name="R-DEMAND" dataDxfId="336">
      <calculatedColumnFormula>IFERROR(VLOOKUP(Table24[[#This Row],[ROUTE]],DEMAND!A:F,6,FALSE),0)</calculatedColumnFormula>
    </tableColumn>
    <tableColumn id="15" xr3:uid="{B9704CEC-8970-487B-B160-90F34528AA8C}" name="ADD ACC_x000a_(475/950)" dataDxfId="335">
      <calculatedColumnFormula>ROUNDDOWN(Table24[[#This Row],[R-DEMAND]]/950,0)</calculatedColumnFormula>
    </tableColumn>
    <tableColumn id="16" xr3:uid="{B6DC4CD2-8D98-4B9A-B0CB-1EF50578B323}" name="ADD TIME" dataDxfId="334">
      <calculatedColumnFormula>Table24[[#This Row],[ADD ACC
(475/950)]]*Table24[[#This Row],[Duration
(A359)]]</calculatedColumnFormula>
    </tableColumn>
    <tableColumn id="17" xr3:uid="{FB440E06-D45D-49E6-A704-ADCE37BD43CB}" name="ECO SEAT" dataDxfId="333" dataCellStyle="Currency">
      <calculatedColumnFormula>IFERROR(VLOOKUP(Table24[[#This Row],[ROUTE]],PRICING!A:B,2,FALSE),0)</calculatedColumnFormula>
    </tableColumn>
    <tableColumn id="18" xr3:uid="{41E87B07-12BC-4692-834C-6F07B50F494A}" name="SEATS SOLD" dataDxfId="332">
      <calculatedColumnFormula>Table24[[#This Row],[C_DEMAND]]-Table24[[#This Row],[R-DEMAND]]</calculatedColumnFormula>
    </tableColumn>
    <tableColumn id="19" xr3:uid="{F393F051-5CC2-47B5-9ED9-4685D1BF340F}" name="SEAT REV" dataDxfId="331" dataCellStyle="Currency">
      <calculatedColumnFormula>Table24[[#This Row],[SEATS SOLD]]*Table24[[#This Row],[ECO SEAT]]</calculatedColumnFormula>
    </tableColumn>
    <tableColumn id="23" xr3:uid="{626185A0-DFA2-49AE-9B13-0D239F54A69D}" name="SEAT REV_x000a_(IF IDEAL $)" dataDxfId="330" dataCellStyle="Currency">
      <calculatedColumnFormula>Table24[[#This Row],[SEATS SOLD]]*(IFERROR(VLOOKUP(Table24[[#This Row],[ROUTE]],PRICING!A:C,3,FALSE),0))</calculatedColumnFormula>
    </tableColumn>
    <tableColumn id="24" xr3:uid="{E13B86E3-F20B-466B-8E0E-6E0452E92083}" name="$ DELTA" dataDxfId="329" dataCellStyle="Currency">
      <calculatedColumnFormula>Table24[[#This Row],[SEAT REV]]-Table24[[#This Row],[SEAT REV
(IF IDEAL $)]]</calculatedColumnFormula>
    </tableColumn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6CB93CE-785F-4FD6-9FCD-F650CFC35F9B}" name="Table21" displayName="Table21" ref="A2:S817" totalsRowShown="0" headerRowDxfId="302" headerRowBorderDxfId="301" tableBorderDxfId="300">
  <autoFilter ref="A2:S817" xr:uid="{4455D862-667D-4F0B-BF5B-2FE44D93D07F}"/>
  <sortState xmlns:xlrd2="http://schemas.microsoft.com/office/spreadsheetml/2017/richdata2" ref="A3:S817">
    <sortCondition descending="1" ref="N2:N817"/>
  </sortState>
  <tableColumns count="19">
    <tableColumn id="1" xr3:uid="{FC63A97F-8847-4532-A3B2-A35C064ACA5B}" name="ROUTE" dataDxfId="299"/>
    <tableColumn id="2" xr3:uid="{B58704C0-3065-4BD8-9590-E219D717C489}" name="ICAO" dataDxfId="298"/>
    <tableColumn id="3" xr3:uid="{72DF306E-AC30-4522-9D99-11AE2880374B}" name="STATUS" dataDxfId="297"/>
    <tableColumn id="4" xr3:uid="{5FA8F901-48B2-4917-9CAC-C480889C691A}" name="Stars" dataDxfId="296"/>
    <tableColumn id="5" xr3:uid="{F808B778-0CA5-4E90-88A3-B85434831ED8}" name="Country" dataDxfId="295"/>
    <tableColumn id="6" xr3:uid="{AC60497F-3C76-4DB2-8ED0-5F3725FF0CF7}" name="CONTINENT" dataDxfId="294"/>
    <tableColumn id="7" xr3:uid="{A5CD2784-3FA6-4689-9612-35CBB91E5EE1}" name="City/Airport" dataDxfId="293"/>
    <tableColumn id="8" xr3:uid="{25B6A1CA-51AC-4A10-98DF-C1E46BAA3823}" name="Distance" dataDxfId="292" dataCellStyle="Comma"/>
    <tableColumn id="9" xr3:uid="{FE5D374C-7B81-4BA4-9DA6-A8F7BBD1EFB7}" name="Duration_x000a_(747-400)" dataDxfId="291"/>
    <tableColumn id="10" xr3:uid="{FFCF116E-B5EB-4C82-A1ED-4FC9168F323A}" name="ROUTE COST" dataCellStyle="Currency"/>
    <tableColumn id="11" xr3:uid="{FC80CFC0-5E22-46F4-B171-6B80BB0E2C02}" name="$ PER PAX" dataDxfId="290" dataCellStyle="Currency">
      <calculatedColumnFormula>IFERROR(Table21[[#This Row],[ROUTE COST]]/Table21[[#This Row],[O - DEMAND]],0)</calculatedColumnFormula>
    </tableColumn>
    <tableColumn id="12" xr3:uid="{14E69D33-386F-4A1B-8926-3913DE5F69A3}" name="O - DEMAND" dataDxfId="289"/>
    <tableColumn id="15" xr3:uid="{0574A034-3CAF-40E2-87FA-169DEA3FF7D8}" name="C_DEMAND" dataDxfId="288">
      <calculatedColumnFormula>IFERROR(VLOOKUP(Table21[[#This Row],[ROUTE]],DEMAND!A:F,5,FALSE),0)</calculatedColumnFormula>
    </tableColumn>
    <tableColumn id="16" xr3:uid="{2AB444B4-61FC-4E97-9CEE-A1A81DB5728F}" name="R-DEMAND" dataDxfId="287">
      <calculatedColumnFormula>IFERROR(VLOOKUP(Table21[[#This Row],[ROUTE]],DEMAND!A:F,6,FALSE),0)</calculatedColumnFormula>
    </tableColumn>
    <tableColumn id="17" xr3:uid="{1FB3E331-ABDB-4F33-BE49-2F0FF8ADE555}" name="ADD ACC" dataDxfId="286">
      <calculatedColumnFormula>ROUNDDOWN(Table21[[#This Row],[R-DEMAND]]/1320,0)</calculatedColumnFormula>
    </tableColumn>
    <tableColumn id="18" xr3:uid="{73BBA133-1F50-441A-A35B-7CF2EC32BB5F}" name="ADD TIME" dataDxfId="285">
      <calculatedColumnFormula>Table21[[#This Row],[ADD ACC]]*Table21[[#This Row],[Duration
(747-400)]]</calculatedColumnFormula>
    </tableColumn>
    <tableColumn id="14" xr3:uid="{E4131CB5-61E7-4066-AD3C-6052BA71FE82}" name="ECO SEAT" dataDxfId="284" dataCellStyle="Currency">
      <calculatedColumnFormula>IFERROR(VLOOKUP(Table21[[#This Row],[ROUTE]],PRICING!A:B,2,FALSE),0)</calculatedColumnFormula>
    </tableColumn>
    <tableColumn id="19" xr3:uid="{14F0E540-C936-4D65-AA05-D8B1F2AF078B}" name="SEATS SOLD" dataDxfId="283">
      <calculatedColumnFormula>Table21[[#This Row],[C_DEMAND]]-Table21[[#This Row],[R-DEMAND]]</calculatedColumnFormula>
    </tableColumn>
    <tableColumn id="20" xr3:uid="{F1F3D549-6E7D-4EF5-8736-3D8F584075F8}" name="SEAT REV" dataDxfId="282">
      <calculatedColumnFormula>Table21[[#This Row],[SEATS SOLD]]*Table21[[#This Row],[ECO SEAT]]</calculatedColumnFormula>
    </tableColumn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026BA4-9D0E-4B5E-9CFB-3BEAEC374644}" name="Table15" displayName="Table15" ref="A2:Z1099" totalsRowShown="0" tableBorderDxfId="272">
  <autoFilter ref="A2:Z1099" xr:uid="{24B354B2-F00A-4B21-A34A-4278B97D256F}"/>
  <sortState xmlns:xlrd2="http://schemas.microsoft.com/office/spreadsheetml/2017/richdata2" ref="A3:Z1099">
    <sortCondition descending="1" ref="N2:N1099"/>
  </sortState>
  <tableColumns count="26">
    <tableColumn id="1" xr3:uid="{385D48AB-2D44-4855-9E05-0BF1702A6CAA}" name="ROUTE" dataDxfId="271"/>
    <tableColumn id="2" xr3:uid="{A52397D9-87E0-4BB6-86A5-467E8A68300F}" name="ICAO" dataDxfId="270"/>
    <tableColumn id="3" xr3:uid="{D9E925DB-79BE-4C6D-925D-FEEE5113CF3E}" name="STATUS" dataDxfId="269"/>
    <tableColumn id="4" xr3:uid="{3A2FAAC2-836C-428E-B338-B8AED01173D5}" name="STARS" dataDxfId="268"/>
    <tableColumn id="5" xr3:uid="{4869C605-B9D3-4F10-99D7-8F1E2B65DA38}" name="COUNTRY" dataDxfId="267"/>
    <tableColumn id="6" xr3:uid="{6504DF73-76C7-4186-9928-22C23D59E122}" name="CONT." dataDxfId="266">
      <calculatedColumnFormula>VLOOKUP(E3,Table10[[COUNTRY NAME]:[CONTINENT CODE]],3,FALSE)</calculatedColumnFormula>
    </tableColumn>
    <tableColumn id="7" xr3:uid="{877DDD60-E4BB-4D33-B3BB-77C14180B8B5}" name="CITY" dataDxfId="265"/>
    <tableColumn id="8" xr3:uid="{DA89A83F-AD1D-4377-8074-E80F9E42F40D}" name="DISTANCE" dataDxfId="264"/>
    <tableColumn id="9" xr3:uid="{27FC2587-166A-469C-AD7B-44195C32524A}" name="RT TIME _x000a_(380-800)" dataDxfId="263"/>
    <tableColumn id="10" xr3:uid="{580FC473-BC2A-49A5-AF33-139910BD68F3}" name="ROUTE $" dataDxfId="262" dataCellStyle="Currency"/>
    <tableColumn id="11" xr3:uid="{B1C80969-67AE-4208-B559-C3E5B4C50D7D}" name="$ PER PAX_x000a_(550/1100 PAX)" dataDxfId="261" dataCellStyle="Currency">
      <calculatedColumnFormula>IFERROR(Table15[[#This Row],[ROUTE $]]/Table15[[#This Row],[E - DEMAND]],0)</calculatedColumnFormula>
    </tableColumn>
    <tableColumn id="12" xr3:uid="{92C2EC10-3E4F-4DE1-8DE4-E1AE75913E96}" name="E - DEMAND" dataDxfId="260"/>
    <tableColumn id="13" xr3:uid="{9E90B85D-7A0B-4255-A897-805D6FC0F5E3}" name="C_DEMAND" dataDxfId="259">
      <calculatedColumnFormula>IFERROR(VLOOKUP(Table15[[#This Row],[ROUTE]],DEMAND!A:F,5,FALSE),0)</calculatedColumnFormula>
    </tableColumn>
    <tableColumn id="14" xr3:uid="{0139FAEE-ABA7-4D7C-8063-8A8A089E6EE1}" name="R-DEMAND" dataDxfId="258">
      <calculatedColumnFormula>IFERROR(VLOOKUP(Table15[[#This Row],[ROUTE]],DEMAND!A:F,6,FALSE),0)</calculatedColumnFormula>
    </tableColumn>
    <tableColumn id="15" xr3:uid="{A50F8116-8E3C-46C9-8518-49BE862E9A99}" name="ADD ACC" dataDxfId="257">
      <calculatedColumnFormula>IFERROR(ROUNDDOWN(Table15[[#This Row],[R-DEMAND]]/1706,0),0)</calculatedColumnFormula>
    </tableColumn>
    <tableColumn id="16" xr3:uid="{6E4282A7-9340-4B6D-89B1-0454B1A21D2F}" name="ADD TIME" dataDxfId="256">
      <calculatedColumnFormula>IFERROR(Table15[[#This Row],[ADD ACC]]*Table15[[#This Row],[RT TIME 
(380-800)]],0)</calculatedColumnFormula>
    </tableColumn>
    <tableColumn id="17" xr3:uid="{3DF477AD-E259-4164-9CAC-87A1346AF3F7}" name="ECO SEAT" dataDxfId="255">
      <calculatedColumnFormula>IFERROR(VLOOKUP(Table15[[#This Row],[ROUTE]],PRICING!A:B,2,FALSE),0)</calculatedColumnFormula>
    </tableColumn>
    <tableColumn id="18" xr3:uid="{6EB7154B-3F18-44E7-B197-6091B97873CA}" name="SEATS SOLD" dataDxfId="254">
      <calculatedColumnFormula>IFERROR(Table15[[#This Row],[C_DEMAND]]-Table15[[#This Row],[R-DEMAND]],0)</calculatedColumnFormula>
    </tableColumn>
    <tableColumn id="19" xr3:uid="{5488D543-099B-4BF6-8617-DDB39EB36914}" name="SEAT REV" dataDxfId="253">
      <calculatedColumnFormula>IFERROR(R3*Q3,0)</calculatedColumnFormula>
    </tableColumn>
    <tableColumn id="24" xr3:uid="{5D4B749C-A8DD-4677-A807-BAA66FC6AC7E}" name="Column1" dataDxfId="252" dataCellStyle="Currency">
      <calculatedColumnFormula>Table15[[#This Row],[R-DEMAND]]-(Table15[[#This Row],[ADD ACC]]*1706)</calculatedColumnFormula>
    </tableColumn>
    <tableColumn id="25" xr3:uid="{BB0854B2-6036-4B21-8374-6FCCEC3C0786}" name="Column2" dataDxfId="251" dataCellStyle="Currency">
      <calculatedColumnFormula>ROUNDDOWN(Table15[[#This Row],[Column1]]/1360,0)</calculatedColumnFormula>
    </tableColumn>
    <tableColumn id="26" xr3:uid="{D4F34000-A916-4D3C-AD51-CBF0B0B83A2E}" name="Column3" dataDxfId="250" dataCellStyle="Currency"/>
    <tableColumn id="20" xr3:uid="{92EE3BFA-582F-448E-A6A9-B29D750521EB}" name="Duration_x000a_(B744)" dataDxfId="249"/>
    <tableColumn id="21" xr3:uid="{E086BBA6-427E-486D-9035-E27BD348DBEA}" name="ADD ACC_x000a_(660/1320)" dataDxfId="248">
      <calculatedColumnFormula>ROUNDDOWN(Table15[[#This Row],[R-DEMAND]]/950,0)</calculatedColumnFormula>
    </tableColumn>
    <tableColumn id="22" xr3:uid="{1FD1ECC7-A1F7-4FDF-84FF-0E1D0C386769}" name="ADD TIME _x000a_(350)" dataDxfId="247">
      <calculatedColumnFormula>IFERROR(Table15[[#This Row],[ADD ACC
(660/1320)]]*Table15[[#This Row],[Duration
(B744)]],0)</calculatedColumnFormula>
    </tableColumn>
    <tableColumn id="23" xr3:uid="{E3DEDA6E-BA4E-4C27-9F3E-FB4BD10B0163}" name=" " dataDxfId="246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3694FC5-C3EE-4884-93C4-DB8EC2CFC8E5}" name="Table31" displayName="Table31" ref="A2:E3" insertRow="1" totalsRowShown="0" headerRowDxfId="245" dataDxfId="244" tableBorderDxfId="243" headerRowCellStyle="Normal 2" dataCellStyle="Normal 2">
  <autoFilter ref="A2:E3" xr:uid="{70A8ABA8-36BC-4279-A525-88DB75B3DE21}"/>
  <sortState xmlns:xlrd2="http://schemas.microsoft.com/office/spreadsheetml/2017/richdata2" ref="A3:E3">
    <sortCondition descending="1" ref="D2:D3"/>
  </sortState>
  <tableColumns count="5">
    <tableColumn id="1" xr3:uid="{4F5459D7-15B8-4FE7-9B4A-D651716EFA09}" name="DEST" dataDxfId="242" dataCellStyle="Normal 2"/>
    <tableColumn id="2" xr3:uid="{F561F356-DEBF-479F-AA0E-3F584A0E11EE}" name="TIME" dataDxfId="241" dataCellStyle="Normal 2"/>
    <tableColumn id="3" xr3:uid="{E84E339F-48F7-4430-A505-BE103B9EBF7F}" name="ROUTES" dataDxfId="240" dataCellStyle="Normal 2"/>
    <tableColumn id="4" xr3:uid="{BAC797C5-EC16-435E-9F20-2922D8C06023}" name="VARIABLE" dataDxfId="239" dataCellStyle="Normal 2"/>
    <tableColumn id="5" xr3:uid="{EA40C90F-E423-44EC-8179-275D2A5172D4}" name="OBJ" dataDxfId="238" dataCellStyle="Normal 2">
      <calculatedColumnFormula>Table31[[#This Row],[TIME]]*Table31[[#This Row],[VARIABLE]]</calculatedColumnFormula>
    </tableColumn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BE087EBA-C0E8-4E3A-A21B-9D063DADEC17}" name="Table3234" displayName="Table3234" ref="H36:L279" totalsRowShown="0">
  <autoFilter ref="H36:L279" xr:uid="{8CA383F3-6693-4A93-A3C6-9399790E27E6}"/>
  <sortState xmlns:xlrd2="http://schemas.microsoft.com/office/spreadsheetml/2017/richdata2" ref="H43:L163">
    <sortCondition sortBy="cellColor" ref="J36:J279" dxfId="237"/>
  </sortState>
  <tableColumns count="5">
    <tableColumn id="2" xr3:uid="{116E3948-297E-413B-9FFB-B00FC3295911}" name="ROUTE">
      <calculatedColumnFormula>_xlfn.CONCAT(Table3234[[#This Row],[HUB ]],"/",Table3234[[#This Row],[DEST]])</calculatedColumnFormula>
    </tableColumn>
    <tableColumn id="4" xr3:uid="{B8C02E49-D6C1-432D-8104-268E912D7D53}" name="HUB "/>
    <tableColumn id="6" xr3:uid="{D153AC19-1CD3-42C0-8BE0-9EDE7F0E25B3}" name="DEST"/>
    <tableColumn id="3" xr3:uid="{46A70798-24AD-4CD4-A5B8-B84D90E599D9}" name="AICRAFT" dataDxfId="236"/>
    <tableColumn id="14" xr3:uid="{52361EFC-BDB0-484B-8DC8-EE626D805CBA}" name="MIX" dataDxfId="235">
      <calculatedColumnFormula>Table3234[[#This Row],[AICRAFT]]/7</calculatedColumnFormula>
    </tableColumn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979FF49-8A66-4C1B-934A-64C9C4A1D686}" name="Table32" displayName="Table32" ref="F2:J245" totalsRowShown="0">
  <autoFilter ref="F2:J245" xr:uid="{C5E18FD8-3615-4D1D-AF3E-69AEF76928CF}"/>
  <sortState xmlns:xlrd2="http://schemas.microsoft.com/office/spreadsheetml/2017/richdata2" ref="F3:J245">
    <sortCondition descending="1" ref="J2:J245"/>
  </sortState>
  <tableColumns count="5">
    <tableColumn id="2" xr3:uid="{FBA45F8F-D291-4910-A434-0A3C83C404B9}" name="ROUTE"/>
    <tableColumn id="4" xr3:uid="{89BA59AD-5229-4067-B0B6-78FD73AD004C}" name="HUB "/>
    <tableColumn id="6" xr3:uid="{B9B1BDA9-94BA-4164-BA83-2E506F33C840}" name="DEST"/>
    <tableColumn id="3" xr3:uid="{51A7D7F3-1B55-4141-894E-3A52A31ED0E8}" name="AICRAFT" dataDxfId="234"/>
    <tableColumn id="14" xr3:uid="{EA0C2EF6-EEDC-4346-959F-BF08B40903AE}" name="MIX" dataDxfId="233">
      <calculatedColumnFormula>Table32[[#This Row],[AICRAFT]]/7</calculatedColumnFormula>
    </tableColumn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B8B14D6-C702-4290-B576-C93AC917333B}" name="Table12" displayName="Table12" ref="A2:P883" totalsRowShown="0" headerRowDxfId="232" dataDxfId="231" tableBorderDxfId="230">
  <autoFilter ref="A2:P883" xr:uid="{10A09360-003F-4292-91BD-823C6C0C5D70}"/>
  <sortState xmlns:xlrd2="http://schemas.microsoft.com/office/spreadsheetml/2017/richdata2" ref="A3:P883">
    <sortCondition ref="O2:O883"/>
  </sortState>
  <tableColumns count="16">
    <tableColumn id="1" xr3:uid="{D5CD081E-E080-4C79-9EDE-9486B9226C5F}" name="ROUTE" dataDxfId="229"/>
    <tableColumn id="2" xr3:uid="{41783C0A-5B55-43B7-86B1-09FCF3259AB9}" name="ICAO" dataDxfId="228"/>
    <tableColumn id="3" xr3:uid="{C69A6065-4FEE-44F0-BC7F-12117857BA8B}" name="STATUS" dataDxfId="227"/>
    <tableColumn id="4" xr3:uid="{42171A9A-70D1-46F6-941B-2F5D045B04EE}" name="STARS" dataDxfId="226"/>
    <tableColumn id="5" xr3:uid="{2F55A79D-6140-46E1-A966-1C8F6B3A1728}" name="COUNTRY" dataDxfId="225"/>
    <tableColumn id="6" xr3:uid="{ECDCB972-E20F-4389-9BF5-0A1CDC7E2AD5}" name="CONT." dataDxfId="224"/>
    <tableColumn id="7" xr3:uid="{DAAC3F6B-9D07-4C28-802E-1311CFD53A2E}" name="CITY" dataDxfId="223"/>
    <tableColumn id="8" xr3:uid="{AA116393-161C-4CE0-A7B4-7BDACBDEDDCB}" name="DISTANCE" dataDxfId="222"/>
    <tableColumn id="9" xr3:uid="{5BE87E47-C36A-4303-A7F2-A7880E5E4B2F}" name="RT TIME _x000a_(777-500ER)" dataDxfId="221"/>
    <tableColumn id="10" xr3:uid="{98732F4F-2C4C-4E6A-B37D-50F04E120C5E}" name="ROUTE $" dataDxfId="220" dataCellStyle="Comma"/>
    <tableColumn id="11" xr3:uid="{12A8C94A-90D6-4EE8-B8AD-E694EEA2E188}" name="$ PER PAX_x000a_(550/1100 PAX)" dataDxfId="219" dataCellStyle="Comma"/>
    <tableColumn id="12" xr3:uid="{C2963C6F-9821-4796-B47B-6F71F3D59FEE}" name="E - DEMAND" dataDxfId="218"/>
    <tableColumn id="13" xr3:uid="{860483AB-C4B0-42EB-971D-D2868E949944}" name="C_DEMAND" dataDxfId="217">
      <calculatedColumnFormula>VLOOKUP(Table12[[#This Row],[ROUTE]],DEMAND!A:F,5,FALSE)</calculatedColumnFormula>
    </tableColumn>
    <tableColumn id="14" xr3:uid="{43F033F2-A221-429F-8AC8-00E22385B285}" name="R-DEMAND" dataDxfId="216">
      <calculatedColumnFormula>VLOOKUP(Table12[[#This Row],[ROUTE]],DEMAND!A:F,6,FALSE)</calculatedColumnFormula>
    </tableColumn>
    <tableColumn id="15" xr3:uid="{01BA9986-F2C2-4A8C-A1C6-2893E58789CB}" name="ADD ACC" dataDxfId="215">
      <calculatedColumnFormula>ROUNDDOWN(Table12[[#This Row],[R-DEMAND]]/1320,0)</calculatedColumnFormula>
    </tableColumn>
    <tableColumn id="16" xr3:uid="{E31BF7C4-4A21-40C4-8C53-CC25D910490A}" name="ADD TIME" dataDxfId="214">
      <calculatedColumnFormula>Table12[[#This Row],[ADD ACC]]*Table12[[#This Row],[RT TIME 
(777-500ER)]]</calculatedColumnFormula>
    </tableColumn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19AADE-6521-415B-B48E-08FC4B3B6D85}" name="Table215" displayName="Table215" ref="A2:P681" totalsRowShown="0" headerRowDxfId="196" dataDxfId="195">
  <autoFilter ref="A2:P681" xr:uid="{693715F6-ECF7-4BD7-BAED-FA0F5CE58792}"/>
  <sortState xmlns:xlrd2="http://schemas.microsoft.com/office/spreadsheetml/2017/richdata2" ref="A3:P681">
    <sortCondition ref="O2:O681"/>
  </sortState>
  <tableColumns count="16">
    <tableColumn id="1" xr3:uid="{2DBBE86A-262B-4924-B4EE-4311D83609A2}" name="ROUTE" dataDxfId="194" dataCellStyle="Normal 2"/>
    <tableColumn id="2" xr3:uid="{0D71461E-16F2-48A7-B0DA-3C1907289126}" name="ICAO" dataDxfId="193" dataCellStyle="Normal 2"/>
    <tableColumn id="3" xr3:uid="{C79F5655-8C8F-4942-BB34-CCC562D0DE92}" name="STATUS" dataDxfId="192" dataCellStyle="Normal 2"/>
    <tableColumn id="15" xr3:uid="{F1C71827-19E8-4BBB-BB37-CE66695093C0}" name="STARS" dataDxfId="191" dataCellStyle="Normal 2"/>
    <tableColumn id="4" xr3:uid="{C2DFCCF5-E22B-473C-A104-F64FDC0AE6E2}" name="COUNTRY" dataDxfId="190" dataCellStyle="Normal 2"/>
    <tableColumn id="11" xr3:uid="{22904D87-FFE9-4814-AF63-EEE6CC64A972}" name="CONTINENT" dataDxfId="189" dataCellStyle="Normal 2">
      <calculatedColumnFormula>VLOOKUP(E:E,Table10[[COUNTRY NAME]:[CONTINENT CODE]],3,FALSE)</calculatedColumnFormula>
    </tableColumn>
    <tableColumn id="5" xr3:uid="{86427843-62F6-436B-9A91-995E2840F461}" name="CITY" dataDxfId="188" dataCellStyle="Normal 2"/>
    <tableColumn id="6" xr3:uid="{A6B68621-8A8C-4066-876A-C244CC1633AF}" name="DISTANCE" dataDxfId="187" dataCellStyle="Normal 2"/>
    <tableColumn id="7" xr3:uid="{09EC732D-97BD-4FAC-AB7B-9032FA9FEED0}" name="RT TIME (744)" dataDxfId="186" dataCellStyle="Normal 2"/>
    <tableColumn id="8" xr3:uid="{347796DD-8E9C-42A4-97FB-79F3298B6C81}" name="ROUTE $" dataDxfId="185" dataCellStyle="Currency"/>
    <tableColumn id="9" xr3:uid="{8F0CBFEE-E14D-49D2-AA3A-FE308B8C2060}" name="$ PER PAX" dataDxfId="184">
      <calculatedColumnFormula>IFERROR(Table215[[#This Row],[ROUTE $]]/Table215[[#This Row],[E - DEMAND]],0)</calculatedColumnFormula>
    </tableColumn>
    <tableColumn id="10" xr3:uid="{B567E2CA-55D7-4C92-97C8-7C44A70B149F}" name="E - DEMAND" dataDxfId="183"/>
    <tableColumn id="12" xr3:uid="{B6B5AC9C-6F29-4165-9655-379C2811E57D}" name="C_DEMAND" dataDxfId="182">
      <calculatedColumnFormula>VLOOKUP(Table215[[#This Row],[ROUTE]],DEMAND!A:F,5,FALSE)</calculatedColumnFormula>
    </tableColumn>
    <tableColumn id="13" xr3:uid="{57A3A833-DEDD-4F27-8641-B8666B6737EF}" name="R-DEMAND" dataDxfId="181">
      <calculatedColumnFormula>VLOOKUP(Table215[[#This Row],[ROUTE]],DEMAND!A:F,6,FALSE)</calculatedColumnFormula>
    </tableColumn>
    <tableColumn id="14" xr3:uid="{480940E8-1FD8-48B2-9D97-278B0A90CECD}" name="ADD ACC" dataDxfId="180">
      <calculatedColumnFormula>ROUNDDOWN(Table215[[#This Row],[R-DEMAND]]/1320,0)</calculatedColumnFormula>
    </tableColumn>
    <tableColumn id="16" xr3:uid="{523CF4E6-D436-42AF-869A-3FBC14F07CAD}" name="ADD TIME" dataDxfId="179">
      <calculatedColumnFormula>Table215[[#This Row],[ADD ACC]]*Table215[[#This Row],[RT TIME (744)]]</calculatedColumnFormula>
    </tableColumn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363A0F9-D9BD-4E6E-82E4-2FB2E69C0642}" name="Table819" displayName="Table819" ref="A1:E3" totalsRowShown="0" headerRowDxfId="178" dataDxfId="177" headerRowCellStyle="Normal 2" dataCellStyle="Normal 2">
  <autoFilter ref="A1:E3" xr:uid="{C4F7C5AF-7E90-46D8-A445-8F99B2B532FD}"/>
  <sortState xmlns:xlrd2="http://schemas.microsoft.com/office/spreadsheetml/2017/richdata2" ref="A2:E3">
    <sortCondition descending="1" ref="E1:E3"/>
  </sortState>
  <tableColumns count="5">
    <tableColumn id="1" xr3:uid="{5EB603DA-D9F3-4EB9-81E7-6F1ABF1175A4}" name="Column1" dataDxfId="176" dataCellStyle="Normal 2"/>
    <tableColumn id="2" xr3:uid="{E466E449-2EED-4910-8E77-DAADB81C1206}" name="Column2" dataDxfId="175" dataCellStyle="Normal 2"/>
    <tableColumn id="3" xr3:uid="{D85B8597-B4F1-4A6F-B600-B10ACD1C4652}" name="Column3" dataDxfId="174" dataCellStyle="Normal 2"/>
    <tableColumn id="4" xr3:uid="{BC4717B5-7F69-4FCF-9A26-CD0FEA98726F}" name="Column4" dataDxfId="173" dataCellStyle="Normal 2"/>
    <tableColumn id="5" xr3:uid="{8C068266-86DF-4D6C-9544-0A32B74DD631}" name="Column5" dataDxfId="172" dataCellStyle="Normal 2">
      <calculatedColumnFormula>Table819[[#This Row],[Column4]]*Table819[[#This Row],[Column2]]</calculatedColumnFormula>
    </tableColumn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45ACC77-EF69-43C6-A5BB-B8F7A4C4F570}" name="Table16" displayName="Table16" ref="A2:P638" totalsRowShown="0" headerRowDxfId="164" dataDxfId="163">
  <autoFilter ref="A2:P638" xr:uid="{396F9865-CE97-4CAA-A674-42119916B746}"/>
  <sortState xmlns:xlrd2="http://schemas.microsoft.com/office/spreadsheetml/2017/richdata2" ref="A3:P638">
    <sortCondition descending="1" ref="M2:M638"/>
  </sortState>
  <tableColumns count="16">
    <tableColumn id="1" xr3:uid="{762BD95D-6A1C-4B58-947C-607EE7E5DA8F}" name="ROUTE" dataDxfId="162"/>
    <tableColumn id="2" xr3:uid="{BDE871D9-7AB2-439B-9349-2B3D128AD6C5}" name="DEST" dataDxfId="161"/>
    <tableColumn id="13" xr3:uid="{CFA32AB3-7289-4755-A48B-E968B279F090}" name="STATUS" dataDxfId="160"/>
    <tableColumn id="3" xr3:uid="{6D9224B2-BBEA-4280-BE16-F8EAE954099B}" name="Stars" dataDxfId="159"/>
    <tableColumn id="4" xr3:uid="{EAFCB9C3-BBFA-44B5-BC08-6033AC208643}" name="Country" dataDxfId="158"/>
    <tableColumn id="14" xr3:uid="{91E5F5BB-C333-41AE-9244-8355031E60CE}" name="CONTINENT" dataDxfId="157"/>
    <tableColumn id="5" xr3:uid="{F85F7A04-5BA5-42B4-B216-DBA1C87DDD4F}" name="City/Airport" dataDxfId="156"/>
    <tableColumn id="6" xr3:uid="{8C13E2D0-D443-45D0-9A72-2EAABE8713DF}" name="Distance" dataDxfId="155"/>
    <tableColumn id="7" xr3:uid="{DD25F6D0-2CED-4762-AF63-2E38042C917D}" name="Duration" dataDxfId="154"/>
    <tableColumn id="8" xr3:uid="{8C673F9C-A3A0-4D7E-A314-27924AE2F9BB}" name="ROUTE COST" dataDxfId="153" dataCellStyle="Currency"/>
    <tableColumn id="9" xr3:uid="{5B2AC62E-E719-42BD-80AD-07992D64E8F8}" name="$ PER PAX" dataDxfId="152" dataCellStyle="Currency"/>
    <tableColumn id="10" xr3:uid="{BCE9E59D-C330-49B6-BBDA-77F541810E71}" name="E - DEMAND" dataDxfId="151"/>
    <tableColumn id="15" xr3:uid="{DFD5DD33-5F40-45B6-8E97-E5EBF1BEFF22}" name="C_DEMAND" dataDxfId="150">
      <calculatedColumnFormula>VLOOKUP(Table16[[#This Row],[ROUTE]],DEMAND!A:F,5,FALSE)</calculatedColumnFormula>
    </tableColumn>
    <tableColumn id="16" xr3:uid="{20B7D5A5-3D95-4D78-9FB8-EEADC17019DF}" name="R-DEMAND" dataDxfId="149">
      <calculatedColumnFormula>VLOOKUP(Table16[[#This Row],[ROUTE]],DEMAND!A:F,6,FALSE)</calculatedColumnFormula>
    </tableColumn>
    <tableColumn id="17" xr3:uid="{426464E3-C562-465C-9462-58B1AFDF1EB3}" name="ADD ACC" dataDxfId="148">
      <calculatedColumnFormula>ROUNDDOWN(Table16[[#This Row],[R-DEMAND]]/1320,0)</calculatedColumnFormula>
    </tableColumn>
    <tableColumn id="18" xr3:uid="{F785C216-1C88-424D-A61B-94164E94931E}" name="ADD TIME" dataDxfId="147">
      <calculatedColumnFormula>Table16[[#This Row],[ADD ACC]]*Table16[[#This Row],[Duration]]</calculatedColumnFormula>
    </tableColumn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B7AEC5-7A56-4673-BC2E-F4B6F0F6AA9C}" name="Table2" displayName="Table2" ref="A2:P327" totalsRowShown="0" headerRowDxfId="146" dataDxfId="145">
  <autoFilter ref="A2:P327" xr:uid="{693715F6-ECF7-4BD7-BAED-FA0F5CE58792}"/>
  <sortState xmlns:xlrd2="http://schemas.microsoft.com/office/spreadsheetml/2017/richdata2" ref="A3:L327">
    <sortCondition ref="B2:B327"/>
  </sortState>
  <tableColumns count="16">
    <tableColumn id="1" xr3:uid="{85CBC351-58B4-4F08-B955-8C7D7C8D5729}" name="ROUTE" dataDxfId="144" dataCellStyle="Normal 2">
      <calculatedColumnFormula>CONCATENATE("MPM/",B3)</calculatedColumnFormula>
    </tableColumn>
    <tableColumn id="2" xr3:uid="{704D695B-E2D2-42FB-A29F-D311194A2DB2}" name="ICAO" dataDxfId="143"/>
    <tableColumn id="3" xr3:uid="{32CBEC4E-C49B-40FF-83A5-A2CE91687467}" name="STATUS" dataDxfId="142"/>
    <tableColumn id="16" xr3:uid="{5D6D0C2F-B941-414D-BEA1-8EBD04146D55}" name="STARS" dataDxfId="141" dataCellStyle="Normal 2"/>
    <tableColumn id="4" xr3:uid="{5FDFBAAD-5B8D-40A5-86CA-BBF806C29326}" name="COUNTRY" dataDxfId="140"/>
    <tableColumn id="21" xr3:uid="{E23384EE-70FC-4AFD-B381-D5829CDFA7B6}" name="CONTINENT" dataDxfId="139" dataCellStyle="Normal 2"/>
    <tableColumn id="5" xr3:uid="{EBCCB372-DF0E-450E-B980-184F182E0678}" name="CITY" dataDxfId="138"/>
    <tableColumn id="6" xr3:uid="{CE05961E-656D-4CCC-BD0F-567389BC6E15}" name="DISTANCE" dataDxfId="137"/>
    <tableColumn id="7" xr3:uid="{96265D18-0D07-4171-8F06-7FFB82DB2FF9}" name="RT TIME (744)" dataDxfId="136"/>
    <tableColumn id="8" xr3:uid="{DD1497C3-6A86-411F-B79B-B96DEA86338C}" name="ROUTE $" dataDxfId="135"/>
    <tableColumn id="9" xr3:uid="{5B503283-A0A1-4334-A5A0-3CD1D341E7A4}" name="$ PER PAX" dataDxfId="134">
      <calculatedColumnFormula>J3/L3</calculatedColumnFormula>
    </tableColumn>
    <tableColumn id="10" xr3:uid="{F1140DAA-A360-4B3D-BEB9-B5A527E58AC3}" name="E - DEMAND" dataDxfId="133"/>
    <tableColumn id="17" xr3:uid="{4B96D381-EE22-4328-A2B2-4C96BA34E82A}" name="C_DEMAND" dataDxfId="132">
      <calculatedColumnFormula>VLOOKUP(Table2[[#This Row],[ROUTE]],DEMAND!A:F,5,FALSE)</calculatedColumnFormula>
    </tableColumn>
    <tableColumn id="18" xr3:uid="{FE5100B7-18FF-4FAB-B00B-D56C50544740}" name="R-DEMAND" dataDxfId="131">
      <calculatedColumnFormula>VLOOKUP(Table2[[#This Row],[ROUTE]],DEMAND!A:F,6,FALSE)</calculatedColumnFormula>
    </tableColumn>
    <tableColumn id="19" xr3:uid="{1A08681A-7437-4289-9AF5-8E2DA2970147}" name="ADD ACC" dataDxfId="130">
      <calculatedColumnFormula>ROUNDDOWN(Table2[[#This Row],[R-DEMAND]]/1320,0)</calculatedColumnFormula>
    </tableColumn>
    <tableColumn id="20" xr3:uid="{AA013348-82BC-4F84-AC8C-907C480C5596}" name="ADD TIME" dataDxfId="129">
      <calculatedColumnFormula>Table2[[#This Row],[ADD ACC]]*Table2[[#This Row],[RT TIME (744)]]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256FC-0C5E-43D3-B6E1-F033A88328A3}">
  <dimension ref="A1:O42"/>
  <sheetViews>
    <sheetView topLeftCell="A14" zoomScale="145" zoomScaleNormal="145" workbookViewId="0">
      <selection activeCell="A28" sqref="A28"/>
    </sheetView>
  </sheetViews>
  <sheetFormatPr defaultRowHeight="15" x14ac:dyDescent="0.25"/>
  <cols>
    <col min="1" max="1" width="13.28515625" style="26" bestFit="1" customWidth="1"/>
    <col min="2" max="2" width="17.85546875" style="26" customWidth="1"/>
    <col min="3" max="3" width="9.5703125" style="26" customWidth="1"/>
    <col min="4" max="4" width="12.42578125" style="26" hidden="1" customWidth="1"/>
    <col min="5" max="5" width="19.7109375" style="26" hidden="1" customWidth="1"/>
    <col min="6" max="6" width="13.28515625" style="26" customWidth="1"/>
    <col min="7" max="7" width="6.42578125" style="26" hidden="1" customWidth="1"/>
    <col min="8" max="8" width="10.28515625" style="26" hidden="1" customWidth="1"/>
    <col min="9" max="9" width="16.5703125" style="26" bestFit="1" customWidth="1"/>
    <col min="10" max="10" width="12.85546875" style="26" customWidth="1"/>
    <col min="11" max="11" width="12.85546875" style="26" bestFit="1" customWidth="1"/>
    <col min="12" max="14" width="12.85546875" style="26" customWidth="1"/>
    <col min="15" max="15" width="14.42578125" style="26" bestFit="1" customWidth="1"/>
  </cols>
  <sheetData>
    <row r="1" spans="1:15" x14ac:dyDescent="0.25">
      <c r="A1" s="171" t="s">
        <v>14079</v>
      </c>
      <c r="B1" s="26" t="s">
        <v>14080</v>
      </c>
      <c r="C1" s="26" t="s">
        <v>14081</v>
      </c>
      <c r="D1" s="26" t="s">
        <v>14082</v>
      </c>
      <c r="E1" s="26" t="s">
        <v>14083</v>
      </c>
      <c r="F1" s="26" t="s">
        <v>14084</v>
      </c>
      <c r="G1" s="26" t="s">
        <v>14085</v>
      </c>
      <c r="H1" s="26" t="s">
        <v>14086</v>
      </c>
      <c r="I1" s="26" t="s">
        <v>14087</v>
      </c>
      <c r="J1" s="26" t="s">
        <v>14088</v>
      </c>
      <c r="K1" s="26" t="s">
        <v>14089</v>
      </c>
      <c r="L1" s="26" t="s">
        <v>14090</v>
      </c>
      <c r="M1" s="26" t="s">
        <v>18873</v>
      </c>
      <c r="N1" s="26" t="s">
        <v>14091</v>
      </c>
      <c r="O1" s="26" t="s">
        <v>14092</v>
      </c>
    </row>
    <row r="2" spans="1:15" x14ac:dyDescent="0.25">
      <c r="A2" s="171" t="s">
        <v>14144</v>
      </c>
      <c r="B2" s="26" t="s">
        <v>14100</v>
      </c>
      <c r="C2" s="26">
        <v>1996</v>
      </c>
      <c r="D2" s="26" t="s">
        <v>14145</v>
      </c>
      <c r="E2" s="26" t="s">
        <v>14146</v>
      </c>
      <c r="F2" s="65">
        <v>160</v>
      </c>
      <c r="G2" s="26">
        <v>16</v>
      </c>
      <c r="H2" s="26" t="s">
        <v>14147</v>
      </c>
      <c r="I2" s="172">
        <v>85800000</v>
      </c>
      <c r="J2" s="173">
        <f>Table312[[#This Row],[PRICE]]*0.00000001</f>
        <v>0.85799999999999998</v>
      </c>
      <c r="K2" s="174">
        <v>9250</v>
      </c>
      <c r="L2" s="174">
        <f>Table312[[#This Row],[SEATS]]*Table312[[#This Row],[RANGE]]*0.01</f>
        <v>14800</v>
      </c>
      <c r="M2" s="369">
        <f>(Table312[[#This Row],[PRICE]]/Table312[[#This Row],[SEATS]])*0.00001</f>
        <v>5.3625000000000007</v>
      </c>
      <c r="N2" s="172" t="s">
        <v>14098</v>
      </c>
      <c r="O2" s="26">
        <v>4</v>
      </c>
    </row>
    <row r="3" spans="1:15" x14ac:dyDescent="0.25">
      <c r="A3" s="58" t="s">
        <v>14093</v>
      </c>
      <c r="B3" s="26" t="s">
        <v>14094</v>
      </c>
      <c r="C3" s="26">
        <v>1983</v>
      </c>
      <c r="D3" s="26" t="s">
        <v>14095</v>
      </c>
      <c r="E3" s="26" t="s">
        <v>14096</v>
      </c>
      <c r="F3" s="65">
        <v>239</v>
      </c>
      <c r="G3" s="26">
        <v>26.7</v>
      </c>
      <c r="H3" s="26" t="s">
        <v>14097</v>
      </c>
      <c r="I3" s="172">
        <v>111600000</v>
      </c>
      <c r="J3" s="173">
        <f>Table312[[#This Row],[PRICE]]*0.00000001</f>
        <v>1.1160000000000001</v>
      </c>
      <c r="K3" s="174">
        <v>7593</v>
      </c>
      <c r="L3" s="174">
        <f>Table312[[#This Row],[SEATS]]*Table312[[#This Row],[RANGE]]*0.01</f>
        <v>18147.27</v>
      </c>
      <c r="M3" s="369">
        <f>(Table312[[#This Row],[PRICE]]/Table312[[#This Row],[SEATS]])*0.00001</f>
        <v>4.6694560669456067</v>
      </c>
      <c r="N3" s="172" t="s">
        <v>14098</v>
      </c>
      <c r="O3" s="26">
        <v>5</v>
      </c>
    </row>
    <row r="4" spans="1:15" x14ac:dyDescent="0.25">
      <c r="A4" s="58" t="s">
        <v>14108</v>
      </c>
      <c r="B4" s="26" t="s">
        <v>14094</v>
      </c>
      <c r="C4" s="26">
        <v>2007</v>
      </c>
      <c r="D4" s="26" t="s">
        <v>14109</v>
      </c>
      <c r="E4" s="26" t="s">
        <v>14110</v>
      </c>
      <c r="F4" s="65">
        <v>149</v>
      </c>
      <c r="G4" s="26">
        <v>17</v>
      </c>
      <c r="H4" s="26" t="s">
        <v>14111</v>
      </c>
      <c r="I4" s="172">
        <v>81300000</v>
      </c>
      <c r="J4" s="173">
        <f>Table312[[#This Row],[PRICE]]*0.00000001</f>
        <v>0.81300000000000006</v>
      </c>
      <c r="K4" s="174">
        <v>9080</v>
      </c>
      <c r="L4" s="174">
        <f>Table312[[#This Row],[SEATS]]*Table312[[#This Row],[RANGE]]*0.01</f>
        <v>13529.2</v>
      </c>
      <c r="M4" s="369">
        <f>(Table312[[#This Row],[PRICE]]/Table312[[#This Row],[SEATS]])*0.00001</f>
        <v>5.4563758389261752</v>
      </c>
      <c r="N4" s="172" t="s">
        <v>14098</v>
      </c>
      <c r="O4" s="26">
        <v>5</v>
      </c>
    </row>
    <row r="5" spans="1:15" x14ac:dyDescent="0.25">
      <c r="A5" s="58" t="s">
        <v>14116</v>
      </c>
      <c r="B5" s="26" t="s">
        <v>14117</v>
      </c>
      <c r="C5" s="26">
        <v>1988</v>
      </c>
      <c r="D5" s="26" t="s">
        <v>14118</v>
      </c>
      <c r="E5" s="26" t="s">
        <v>14119</v>
      </c>
      <c r="F5" s="65">
        <v>300</v>
      </c>
      <c r="G5" s="26">
        <v>40</v>
      </c>
      <c r="H5" s="26" t="s">
        <v>14120</v>
      </c>
      <c r="I5" s="172">
        <v>110000000</v>
      </c>
      <c r="J5" s="173">
        <f>Table312[[#This Row],[PRICE]]*0.00000001</f>
        <v>1.1000000000000001</v>
      </c>
      <c r="K5" s="174">
        <v>11500</v>
      </c>
      <c r="L5" s="174">
        <f>Table312[[#This Row],[SEATS]]*Table312[[#This Row],[RANGE]]*0.01</f>
        <v>34500</v>
      </c>
      <c r="M5" s="369">
        <f>(Table312[[#This Row],[PRICE]]/Table312[[#This Row],[SEATS]])*0.00001</f>
        <v>3.666666666666667</v>
      </c>
      <c r="N5" s="172" t="s">
        <v>14098</v>
      </c>
      <c r="O5" s="26">
        <v>6</v>
      </c>
    </row>
    <row r="6" spans="1:15" hidden="1" x14ac:dyDescent="0.25">
      <c r="A6" s="26" t="s">
        <v>14197</v>
      </c>
      <c r="B6" s="26" t="s">
        <v>18874</v>
      </c>
      <c r="C6" s="26">
        <v>1969</v>
      </c>
      <c r="D6" s="26" t="s">
        <v>14198</v>
      </c>
      <c r="E6" s="26" t="s">
        <v>14199</v>
      </c>
      <c r="F6" s="65">
        <v>520</v>
      </c>
      <c r="G6" s="26">
        <v>52</v>
      </c>
      <c r="H6" s="26" t="s">
        <v>14200</v>
      </c>
      <c r="I6" s="172">
        <v>228500000</v>
      </c>
      <c r="J6" s="173">
        <f>Table312[[#This Row],[PRICE]]*0.00000001</f>
        <v>2.2850000000000001</v>
      </c>
      <c r="K6" s="174">
        <v>9815</v>
      </c>
      <c r="L6" s="174">
        <f>Table312[[#This Row],[SEATS]]*Table312[[#This Row],[RANGE]]*0.01</f>
        <v>51038</v>
      </c>
      <c r="M6" s="369">
        <f>(Table312[[#This Row],[PRICE]]/Table312[[#This Row],[SEATS]])*0.00001</f>
        <v>4.3942307692307701</v>
      </c>
      <c r="N6" s="172" t="s">
        <v>14098</v>
      </c>
      <c r="O6" s="26">
        <v>6</v>
      </c>
    </row>
    <row r="7" spans="1:15" hidden="1" x14ac:dyDescent="0.25">
      <c r="A7" s="26" t="s">
        <v>14204</v>
      </c>
      <c r="B7" s="26" t="s">
        <v>18874</v>
      </c>
      <c r="C7" s="26">
        <v>1983</v>
      </c>
      <c r="D7" s="26" t="s">
        <v>14205</v>
      </c>
      <c r="E7" s="26" t="s">
        <v>14096</v>
      </c>
      <c r="F7" s="65">
        <v>608</v>
      </c>
      <c r="G7" s="26">
        <v>66</v>
      </c>
      <c r="H7" s="26" t="s">
        <v>14206</v>
      </c>
      <c r="I7" s="172">
        <v>272500000</v>
      </c>
      <c r="J7" s="173">
        <f>Table312[[#This Row],[PRICE]]*0.00000001</f>
        <v>2.7250000000000001</v>
      </c>
      <c r="K7" s="174">
        <v>12400</v>
      </c>
      <c r="L7" s="174">
        <f>Table312[[#This Row],[SEATS]]*Table312[[#This Row],[RANGE]]*0.01</f>
        <v>75392</v>
      </c>
      <c r="M7" s="369">
        <f>(Table312[[#This Row],[PRICE]]/Table312[[#This Row],[SEATS]])*0.00001</f>
        <v>4.4819078947368425</v>
      </c>
      <c r="N7" s="172" t="s">
        <v>14098</v>
      </c>
      <c r="O7" s="26">
        <v>6</v>
      </c>
    </row>
    <row r="8" spans="1:15" hidden="1" x14ac:dyDescent="0.25">
      <c r="A8" s="26" t="s">
        <v>14121</v>
      </c>
      <c r="B8" s="26" t="s">
        <v>14100</v>
      </c>
      <c r="C8" s="26">
        <v>1986</v>
      </c>
      <c r="D8" s="26" t="s">
        <v>14122</v>
      </c>
      <c r="E8" s="26" t="s">
        <v>14123</v>
      </c>
      <c r="F8" s="65">
        <v>0</v>
      </c>
      <c r="G8" s="26">
        <v>37.299999999999997</v>
      </c>
      <c r="H8" s="26" t="s">
        <v>14097</v>
      </c>
      <c r="I8" s="172">
        <v>141500000</v>
      </c>
      <c r="J8" s="173">
        <f>Table312[[#This Row],[PRICE]]*0.00000001</f>
        <v>1.415</v>
      </c>
      <c r="K8" s="174">
        <v>7551</v>
      </c>
      <c r="L8" s="174">
        <f>Table312[[#This Row],[SEATS]]*Table312[[#This Row],[RANGE]]*0.01</f>
        <v>0</v>
      </c>
      <c r="M8" s="174" t="e">
        <f>(Table312[[#This Row],[PRICE]]/Table312[[#This Row],[SEATS]])*0.00001</f>
        <v>#DIV/0!</v>
      </c>
      <c r="N8" s="172" t="s">
        <v>486</v>
      </c>
      <c r="O8" s="26">
        <v>6</v>
      </c>
    </row>
    <row r="9" spans="1:15" hidden="1" x14ac:dyDescent="0.25">
      <c r="A9" s="26" t="s">
        <v>14124</v>
      </c>
      <c r="B9" s="26" t="s">
        <v>14094</v>
      </c>
      <c r="C9" s="26">
        <v>1988</v>
      </c>
      <c r="D9" s="26" t="s">
        <v>14125</v>
      </c>
      <c r="E9" s="26" t="s">
        <v>14123</v>
      </c>
      <c r="F9" s="65">
        <v>0</v>
      </c>
      <c r="G9" s="26">
        <v>89.6</v>
      </c>
      <c r="H9" s="26" t="s">
        <v>14115</v>
      </c>
      <c r="I9" s="172">
        <v>270000000</v>
      </c>
      <c r="J9" s="173">
        <f>Table312[[#This Row],[PRICE]]*0.00000001</f>
        <v>2.7</v>
      </c>
      <c r="K9" s="174">
        <v>8415</v>
      </c>
      <c r="L9" s="174">
        <f>Table312[[#This Row],[SEATS]]*Table312[[#This Row],[RANGE]]*0.01</f>
        <v>0</v>
      </c>
      <c r="M9" s="174" t="e">
        <f>(Table312[[#This Row],[PRICE]]/Table312[[#This Row],[SEATS]])*0.00001</f>
        <v>#DIV/0!</v>
      </c>
      <c r="N9" s="172" t="s">
        <v>486</v>
      </c>
      <c r="O9" s="26">
        <v>6</v>
      </c>
    </row>
    <row r="10" spans="1:15" hidden="1" x14ac:dyDescent="0.25">
      <c r="A10" s="26" t="s">
        <v>14155</v>
      </c>
      <c r="B10" s="26" t="s">
        <v>18874</v>
      </c>
      <c r="C10" s="26">
        <v>1995</v>
      </c>
      <c r="D10" s="26" t="s">
        <v>14156</v>
      </c>
      <c r="E10" s="26" t="s">
        <v>14146</v>
      </c>
      <c r="F10" s="65">
        <v>440</v>
      </c>
      <c r="G10" s="26">
        <v>57.4</v>
      </c>
      <c r="H10" s="26" t="s">
        <v>14143</v>
      </c>
      <c r="I10" s="172">
        <v>238600000</v>
      </c>
      <c r="J10" s="173">
        <f>Table312[[#This Row],[PRICE]]*0.00000001</f>
        <v>2.3860000000000001</v>
      </c>
      <c r="K10" s="174">
        <v>9710</v>
      </c>
      <c r="L10" s="174">
        <f>Table312[[#This Row],[SEATS]]*Table312[[#This Row],[RANGE]]*0.01</f>
        <v>42724</v>
      </c>
      <c r="M10" s="369">
        <f>(Table312[[#This Row],[PRICE]]/Table312[[#This Row],[SEATS]])*0.00001</f>
        <v>5.4227272727272737</v>
      </c>
      <c r="N10" s="172" t="s">
        <v>14098</v>
      </c>
      <c r="O10" s="26">
        <v>6</v>
      </c>
    </row>
    <row r="11" spans="1:15" x14ac:dyDescent="0.25">
      <c r="A11" s="26" t="s">
        <v>14148</v>
      </c>
      <c r="B11" s="26" t="s">
        <v>14094</v>
      </c>
      <c r="C11" s="26">
        <v>1984</v>
      </c>
      <c r="D11" s="26" t="s">
        <v>14149</v>
      </c>
      <c r="E11" s="26" t="s">
        <v>14096</v>
      </c>
      <c r="F11" s="65">
        <v>290</v>
      </c>
      <c r="G11" s="26">
        <v>35.6</v>
      </c>
      <c r="H11" s="26" t="s">
        <v>14097</v>
      </c>
      <c r="I11" s="172">
        <v>160200000</v>
      </c>
      <c r="J11" s="173">
        <f>Table312[[#This Row],[PRICE]]*0.00000001</f>
        <v>1.6020000000000001</v>
      </c>
      <c r="K11" s="174">
        <v>11832</v>
      </c>
      <c r="L11" s="174">
        <f>Table312[[#This Row],[SEATS]]*Table312[[#This Row],[RANGE]]*0.01</f>
        <v>34312.800000000003</v>
      </c>
      <c r="M11" s="369">
        <f>(Table312[[#This Row],[PRICE]]/Table312[[#This Row],[SEATS]])*0.00001</f>
        <v>5.5241379310344829</v>
      </c>
      <c r="N11" s="172" t="s">
        <v>14098</v>
      </c>
      <c r="O11" s="26">
        <v>6</v>
      </c>
    </row>
    <row r="12" spans="1:15" x14ac:dyDescent="0.25">
      <c r="A12" s="26" t="s">
        <v>14133</v>
      </c>
      <c r="B12" s="26" t="s">
        <v>14100</v>
      </c>
      <c r="C12" s="26">
        <v>1986</v>
      </c>
      <c r="D12" s="26" t="s">
        <v>14134</v>
      </c>
      <c r="E12" s="26" t="s">
        <v>14123</v>
      </c>
      <c r="F12" s="65">
        <v>275</v>
      </c>
      <c r="G12" s="26">
        <v>27.5</v>
      </c>
      <c r="H12" s="26" t="s">
        <v>14097</v>
      </c>
      <c r="I12" s="172">
        <v>157300000</v>
      </c>
      <c r="J12" s="173">
        <f>Table312[[#This Row],[PRICE]]*0.00000001</f>
        <v>1.573</v>
      </c>
      <c r="K12" s="174">
        <v>9630</v>
      </c>
      <c r="L12" s="174">
        <f>Table312[[#This Row],[SEATS]]*Table312[[#This Row],[RANGE]]*0.01</f>
        <v>26482.5</v>
      </c>
      <c r="M12" s="369">
        <f>(Table312[[#This Row],[PRICE]]/Table312[[#This Row],[SEATS]])*0.00001</f>
        <v>5.7200000000000006</v>
      </c>
      <c r="N12" s="172" t="s">
        <v>14098</v>
      </c>
      <c r="O12" s="26">
        <v>6</v>
      </c>
    </row>
    <row r="13" spans="1:15" x14ac:dyDescent="0.25">
      <c r="A13" s="26" t="s">
        <v>14157</v>
      </c>
      <c r="B13" s="26" t="s">
        <v>14100</v>
      </c>
      <c r="C13" s="26">
        <v>2018</v>
      </c>
      <c r="D13" s="26" t="s">
        <v>14158</v>
      </c>
      <c r="E13" s="26" t="s">
        <v>14159</v>
      </c>
      <c r="F13" s="65">
        <v>440</v>
      </c>
      <c r="G13" s="26">
        <v>44</v>
      </c>
      <c r="H13" s="26" t="s">
        <v>14160</v>
      </c>
      <c r="I13" s="172">
        <v>263000000</v>
      </c>
      <c r="J13" s="173">
        <f>Table312[[#This Row],[PRICE]]*0.00000001</f>
        <v>2.63</v>
      </c>
      <c r="K13" s="174">
        <v>11100</v>
      </c>
      <c r="L13" s="174">
        <f>Table312[[#This Row],[SEATS]]*Table312[[#This Row],[RANGE]]*0.01</f>
        <v>48840</v>
      </c>
      <c r="M13" s="369">
        <f>(Table312[[#This Row],[PRICE]]/Table312[[#This Row],[SEATS]])*0.00001</f>
        <v>5.9772727272727275</v>
      </c>
      <c r="N13" s="172" t="s">
        <v>14098</v>
      </c>
      <c r="O13" s="26">
        <v>6</v>
      </c>
    </row>
    <row r="14" spans="1:15" x14ac:dyDescent="0.25">
      <c r="A14" s="26" t="s">
        <v>14129</v>
      </c>
      <c r="B14" s="26" t="s">
        <v>14094</v>
      </c>
      <c r="C14" s="26">
        <v>1982</v>
      </c>
      <c r="D14" s="26" t="s">
        <v>14130</v>
      </c>
      <c r="E14" s="26" t="s">
        <v>14131</v>
      </c>
      <c r="F14" s="65">
        <v>259</v>
      </c>
      <c r="G14" s="26">
        <v>26.373000000000001</v>
      </c>
      <c r="H14" s="26" t="s">
        <v>14132</v>
      </c>
      <c r="I14" s="172">
        <v>105200000</v>
      </c>
      <c r="J14" s="173">
        <f>Table312[[#This Row],[PRICE]]*0.00000001</f>
        <v>1.052</v>
      </c>
      <c r="K14" s="174">
        <v>10700</v>
      </c>
      <c r="L14" s="174">
        <f>Table312[[#This Row],[SEATS]]*Table312[[#This Row],[RANGE]]*0.01</f>
        <v>27713</v>
      </c>
      <c r="M14" s="369">
        <f>(Table312[[#This Row],[PRICE]]/Table312[[#This Row],[SEATS]])*0.00001</f>
        <v>4.0617760617760617</v>
      </c>
      <c r="N14" s="172" t="s">
        <v>14098</v>
      </c>
      <c r="O14" s="26">
        <v>7</v>
      </c>
    </row>
    <row r="15" spans="1:15" x14ac:dyDescent="0.25">
      <c r="A15" s="26" t="s">
        <v>14112</v>
      </c>
      <c r="B15" s="26" t="s">
        <v>14094</v>
      </c>
      <c r="C15" s="26">
        <v>1964</v>
      </c>
      <c r="D15" s="26" t="s">
        <v>14113</v>
      </c>
      <c r="E15" s="26" t="s">
        <v>14114</v>
      </c>
      <c r="F15" s="65">
        <v>189</v>
      </c>
      <c r="G15" s="26">
        <v>20.466999999999999</v>
      </c>
      <c r="H15" s="26" t="s">
        <v>14115</v>
      </c>
      <c r="I15" s="172">
        <v>77500000</v>
      </c>
      <c r="J15" s="173">
        <f>Table312[[#This Row],[PRICE]]*0.00000001</f>
        <v>0.77500000000000002</v>
      </c>
      <c r="K15" s="174">
        <v>10100</v>
      </c>
      <c r="L15" s="174">
        <f>Table312[[#This Row],[SEATS]]*Table312[[#This Row],[RANGE]]*0.01</f>
        <v>19089</v>
      </c>
      <c r="M15" s="369">
        <f>(Table312[[#This Row],[PRICE]]/Table312[[#This Row],[SEATS]])*0.00001</f>
        <v>4.1005291005291005</v>
      </c>
      <c r="N15" s="172" t="s">
        <v>14098</v>
      </c>
      <c r="O15" s="26">
        <v>7</v>
      </c>
    </row>
    <row r="16" spans="1:15" x14ac:dyDescent="0.25">
      <c r="A16" s="26" t="s">
        <v>14201</v>
      </c>
      <c r="B16" s="26" t="s">
        <v>14094</v>
      </c>
      <c r="C16" s="26">
        <v>1971</v>
      </c>
      <c r="D16" s="26" t="s">
        <v>14202</v>
      </c>
      <c r="E16" s="26" t="s">
        <v>14203</v>
      </c>
      <c r="F16" s="65">
        <v>595</v>
      </c>
      <c r="G16" s="26">
        <v>68</v>
      </c>
      <c r="H16" s="26" t="s">
        <v>14200</v>
      </c>
      <c r="I16" s="172">
        <v>265000000</v>
      </c>
      <c r="J16" s="173">
        <f>Table312[[#This Row],[PRICE]]*0.00000001</f>
        <v>2.65</v>
      </c>
      <c r="K16" s="174">
        <v>13010</v>
      </c>
      <c r="L16" s="174">
        <f>Table312[[#This Row],[SEATS]]*Table312[[#This Row],[RANGE]]*0.01</f>
        <v>77409.5</v>
      </c>
      <c r="M16" s="369">
        <f>(Table312[[#This Row],[PRICE]]/Table312[[#This Row],[SEATS]])*0.00001</f>
        <v>4.4537815126050422</v>
      </c>
      <c r="N16" s="172" t="s">
        <v>14098</v>
      </c>
      <c r="O16" s="26">
        <v>7</v>
      </c>
    </row>
    <row r="17" spans="1:15" x14ac:dyDescent="0.25">
      <c r="A17" s="26" t="s">
        <v>14194</v>
      </c>
      <c r="B17" s="26" t="s">
        <v>14094</v>
      </c>
      <c r="C17" s="26">
        <v>1988</v>
      </c>
      <c r="D17" s="26" t="s">
        <v>14195</v>
      </c>
      <c r="E17" s="26" t="s">
        <v>14119</v>
      </c>
      <c r="F17" s="65">
        <v>351</v>
      </c>
      <c r="G17" s="26">
        <v>43.8</v>
      </c>
      <c r="H17" s="26" t="s">
        <v>14097</v>
      </c>
      <c r="I17" s="172">
        <v>182800000</v>
      </c>
      <c r="J17" s="173">
        <f>Table312[[#This Row],[PRICE]]*0.00000001</f>
        <v>1.8280000000000001</v>
      </c>
      <c r="K17" s="174">
        <v>11100</v>
      </c>
      <c r="L17" s="174">
        <f>Table312[[#This Row],[SEATS]]*Table312[[#This Row],[RANGE]]*0.01</f>
        <v>38961</v>
      </c>
      <c r="M17" s="369">
        <f>(Table312[[#This Row],[PRICE]]/Table312[[#This Row],[SEATS]])*0.00001</f>
        <v>5.2079772079772084</v>
      </c>
      <c r="N17" s="172" t="s">
        <v>14098</v>
      </c>
      <c r="O17" s="26">
        <v>7</v>
      </c>
    </row>
    <row r="18" spans="1:15" x14ac:dyDescent="0.25">
      <c r="A18" s="26" t="s">
        <v>14135</v>
      </c>
      <c r="B18" s="26" t="s">
        <v>14100</v>
      </c>
      <c r="C18" s="26">
        <v>1998</v>
      </c>
      <c r="D18" s="26" t="s">
        <v>14136</v>
      </c>
      <c r="E18" s="26" t="s">
        <v>14137</v>
      </c>
      <c r="F18" s="65">
        <v>406</v>
      </c>
      <c r="G18" s="26">
        <v>40.6</v>
      </c>
      <c r="H18" s="26" t="s">
        <v>14138</v>
      </c>
      <c r="I18" s="172">
        <v>216100000</v>
      </c>
      <c r="J18" s="173">
        <f>Table312[[#This Row],[PRICE]]*0.00000001</f>
        <v>2.161</v>
      </c>
      <c r="K18" s="174">
        <v>13435</v>
      </c>
      <c r="L18" s="174">
        <f>Table312[[#This Row],[SEATS]]*Table312[[#This Row],[RANGE]]*0.01</f>
        <v>54546.1</v>
      </c>
      <c r="M18" s="369">
        <f>(Table312[[#This Row],[PRICE]]/Table312[[#This Row],[SEATS]])*0.00001</f>
        <v>5.3226600985221673</v>
      </c>
      <c r="N18" s="172" t="s">
        <v>14098</v>
      </c>
      <c r="O18" s="26">
        <v>7</v>
      </c>
    </row>
    <row r="19" spans="1:15" x14ac:dyDescent="0.25">
      <c r="A19" s="26" t="s">
        <v>14178</v>
      </c>
      <c r="B19" s="26" t="s">
        <v>14100</v>
      </c>
      <c r="C19" s="26">
        <v>1994</v>
      </c>
      <c r="D19" s="26" t="s">
        <v>14179</v>
      </c>
      <c r="E19" s="26" t="s">
        <v>14146</v>
      </c>
      <c r="F19" s="65">
        <v>440</v>
      </c>
      <c r="G19" s="26">
        <v>45.9</v>
      </c>
      <c r="H19" s="26" t="s">
        <v>14138</v>
      </c>
      <c r="I19" s="172">
        <v>239400000</v>
      </c>
      <c r="J19" s="173">
        <f>Table312[[#This Row],[PRICE]]*0.00000001</f>
        <v>2.3940000000000001</v>
      </c>
      <c r="K19" s="174">
        <v>10804</v>
      </c>
      <c r="L19" s="174">
        <f>Table312[[#This Row],[SEATS]]*Table312[[#This Row],[RANGE]]*0.01</f>
        <v>47537.599999999999</v>
      </c>
      <c r="M19" s="369">
        <f>(Table312[[#This Row],[PRICE]]/Table312[[#This Row],[SEATS]])*0.00001</f>
        <v>5.4409090909090914</v>
      </c>
      <c r="N19" s="172" t="s">
        <v>14098</v>
      </c>
      <c r="O19" s="26">
        <v>7</v>
      </c>
    </row>
    <row r="20" spans="1:15" x14ac:dyDescent="0.25">
      <c r="A20" s="26" t="s">
        <v>14153</v>
      </c>
      <c r="B20" s="26" t="s">
        <v>14100</v>
      </c>
      <c r="C20" s="26">
        <v>1993</v>
      </c>
      <c r="D20" s="26" t="s">
        <v>14154</v>
      </c>
      <c r="E20" s="26" t="s">
        <v>14146</v>
      </c>
      <c r="F20" s="65">
        <v>440</v>
      </c>
      <c r="G20" s="26">
        <v>44</v>
      </c>
      <c r="H20" s="26" t="s">
        <v>14138</v>
      </c>
      <c r="I20" s="172">
        <v>254600000</v>
      </c>
      <c r="J20" s="173">
        <f>Table312[[#This Row],[PRICE]]*0.00000001</f>
        <v>2.5460000000000003</v>
      </c>
      <c r="K20" s="174">
        <v>13704</v>
      </c>
      <c r="L20" s="174">
        <f>Table312[[#This Row],[SEATS]]*Table312[[#This Row],[RANGE]]*0.01</f>
        <v>60297.599999999999</v>
      </c>
      <c r="M20" s="369">
        <f>(Table312[[#This Row],[PRICE]]/Table312[[#This Row],[SEATS]])*0.00001</f>
        <v>5.786363636363637</v>
      </c>
      <c r="N20" s="172" t="s">
        <v>14098</v>
      </c>
      <c r="O20" s="26">
        <v>7</v>
      </c>
    </row>
    <row r="21" spans="1:15" x14ac:dyDescent="0.25">
      <c r="A21" s="26" t="s">
        <v>14180</v>
      </c>
      <c r="B21" s="26" t="s">
        <v>14094</v>
      </c>
      <c r="C21" s="26">
        <v>2018</v>
      </c>
      <c r="D21" s="26" t="s">
        <v>14181</v>
      </c>
      <c r="E21" s="26" t="s">
        <v>14159</v>
      </c>
      <c r="F21" s="65">
        <v>440</v>
      </c>
      <c r="G21" s="26">
        <v>44</v>
      </c>
      <c r="H21" s="26" t="s">
        <v>14107</v>
      </c>
      <c r="I21" s="172">
        <v>257000000</v>
      </c>
      <c r="J21" s="173">
        <f>Table312[[#This Row],[PRICE]]*0.00000001</f>
        <v>2.57</v>
      </c>
      <c r="K21" s="174">
        <v>10467</v>
      </c>
      <c r="L21" s="174">
        <f>Table312[[#This Row],[SEATS]]*Table312[[#This Row],[RANGE]]*0.01</f>
        <v>46054.8</v>
      </c>
      <c r="M21" s="369">
        <f>(Table312[[#This Row],[PRICE]]/Table312[[#This Row],[SEATS]])*0.00001</f>
        <v>5.8409090909090908</v>
      </c>
      <c r="N21" s="172" t="s">
        <v>14098</v>
      </c>
      <c r="O21" s="26">
        <v>7</v>
      </c>
    </row>
    <row r="22" spans="1:15" x14ac:dyDescent="0.25">
      <c r="A22" s="370" t="s">
        <v>14182</v>
      </c>
      <c r="B22" s="26" t="s">
        <v>14100</v>
      </c>
      <c r="C22" s="26">
        <v>2014</v>
      </c>
      <c r="D22" s="26" t="s">
        <v>14183</v>
      </c>
      <c r="E22" s="26" t="s">
        <v>14175</v>
      </c>
      <c r="F22" s="65">
        <v>475</v>
      </c>
      <c r="G22" s="26">
        <v>47.5</v>
      </c>
      <c r="H22" s="26" t="s">
        <v>14107</v>
      </c>
      <c r="I22" s="172">
        <v>295200000</v>
      </c>
      <c r="J22" s="173">
        <f>Table312[[#This Row],[PRICE]]*0.00000001</f>
        <v>2.952</v>
      </c>
      <c r="K22" s="174">
        <v>15186</v>
      </c>
      <c r="L22" s="174">
        <f>Table312[[#This Row],[SEATS]]*Table312[[#This Row],[RANGE]]*0.01</f>
        <v>72133.5</v>
      </c>
      <c r="M22" s="369">
        <f>(Table312[[#This Row],[PRICE]]/Table312[[#This Row],[SEATS]])*0.00001</f>
        <v>6.2147368421052631</v>
      </c>
      <c r="N22" s="172" t="s">
        <v>14098</v>
      </c>
      <c r="O22" s="26">
        <v>7</v>
      </c>
    </row>
    <row r="23" spans="1:15" x14ac:dyDescent="0.25">
      <c r="A23" s="26" t="s">
        <v>14168</v>
      </c>
      <c r="B23" s="26" t="s">
        <v>14100</v>
      </c>
      <c r="C23" s="26">
        <v>2018</v>
      </c>
      <c r="D23" s="26" t="s">
        <v>14169</v>
      </c>
      <c r="E23" s="26" t="s">
        <v>14106</v>
      </c>
      <c r="F23" s="65">
        <v>252</v>
      </c>
      <c r="G23" s="26">
        <v>25.2</v>
      </c>
      <c r="H23" s="26" t="s">
        <v>14107</v>
      </c>
      <c r="I23" s="172">
        <v>304000000</v>
      </c>
      <c r="J23" s="173">
        <f>Table312[[#This Row],[PRICE]]*0.00000001</f>
        <v>3.04</v>
      </c>
      <c r="K23" s="174">
        <v>18000</v>
      </c>
      <c r="L23" s="174">
        <f>Table312[[#This Row],[SEATS]]*Table312[[#This Row],[RANGE]]*0.01</f>
        <v>45360</v>
      </c>
      <c r="M23" s="369">
        <f>(Table312[[#This Row],[PRICE]]/Table312[[#This Row],[SEATS]])*0.00001</f>
        <v>12.063492063492065</v>
      </c>
      <c r="N23" s="172" t="s">
        <v>14098</v>
      </c>
      <c r="O23" s="26">
        <v>7</v>
      </c>
    </row>
    <row r="24" spans="1:15" hidden="1" x14ac:dyDescent="0.25">
      <c r="A24" s="26" t="s">
        <v>14165</v>
      </c>
      <c r="B24" s="26" t="s">
        <v>14094</v>
      </c>
      <c r="C24" s="26">
        <v>2009</v>
      </c>
      <c r="D24" s="26" t="s">
        <v>14166</v>
      </c>
      <c r="E24" s="26" t="s">
        <v>14167</v>
      </c>
      <c r="F24" s="65">
        <v>0</v>
      </c>
      <c r="G24" s="26">
        <v>102.9</v>
      </c>
      <c r="H24" s="26" t="s">
        <v>14143</v>
      </c>
      <c r="I24" s="172">
        <v>295700000</v>
      </c>
      <c r="J24" s="173">
        <f>Table312[[#This Row],[PRICE]]*0.00000001</f>
        <v>2.9569999999999999</v>
      </c>
      <c r="K24" s="174">
        <v>9047</v>
      </c>
      <c r="L24" s="174">
        <f>Table312[[#This Row],[SEATS]]*Table312[[#This Row],[RANGE]]*0.01</f>
        <v>0</v>
      </c>
      <c r="M24" s="174" t="e">
        <f>(Table312[[#This Row],[PRICE]]/Table312[[#This Row],[SEATS]])*0.00001</f>
        <v>#DIV/0!</v>
      </c>
      <c r="N24" s="172" t="s">
        <v>486</v>
      </c>
      <c r="O24" s="26">
        <v>8</v>
      </c>
    </row>
    <row r="25" spans="1:15" x14ac:dyDescent="0.25">
      <c r="A25" s="370" t="s">
        <v>476</v>
      </c>
      <c r="B25" s="26" t="s">
        <v>14094</v>
      </c>
      <c r="C25" s="26">
        <v>1989</v>
      </c>
      <c r="D25" s="26" t="s">
        <v>14163</v>
      </c>
      <c r="E25" s="26" t="s">
        <v>14119</v>
      </c>
      <c r="F25" s="65">
        <v>660</v>
      </c>
      <c r="G25" s="26">
        <v>67.5</v>
      </c>
      <c r="H25" s="26" t="s">
        <v>14164</v>
      </c>
      <c r="I25" s="172">
        <v>296300000</v>
      </c>
      <c r="J25" s="173">
        <f>Table312[[#This Row],[PRICE]]*0.00000001</f>
        <v>2.9630000000000001</v>
      </c>
      <c r="K25" s="174">
        <v>13454</v>
      </c>
      <c r="L25" s="174">
        <f>Table312[[#This Row],[SEATS]]*Table312[[#This Row],[RANGE]]*0.01</f>
        <v>88796.400000000009</v>
      </c>
      <c r="M25" s="369">
        <f>(Table312[[#This Row],[PRICE]]/Table312[[#This Row],[SEATS]])*0.00001</f>
        <v>4.4893939393939393</v>
      </c>
      <c r="N25" s="172" t="s">
        <v>14098</v>
      </c>
      <c r="O25" s="26">
        <v>8</v>
      </c>
    </row>
    <row r="26" spans="1:15" x14ac:dyDescent="0.25">
      <c r="A26" s="371" t="s">
        <v>14207</v>
      </c>
      <c r="B26" s="26" t="s">
        <v>14100</v>
      </c>
      <c r="C26" s="26">
        <v>2007</v>
      </c>
      <c r="D26" s="26" t="s">
        <v>14208</v>
      </c>
      <c r="E26" s="26" t="s">
        <v>14167</v>
      </c>
      <c r="F26" s="65">
        <v>843</v>
      </c>
      <c r="G26" s="26">
        <v>89.2</v>
      </c>
      <c r="H26" s="26" t="s">
        <v>14164</v>
      </c>
      <c r="I26" s="172">
        <v>403000000</v>
      </c>
      <c r="J26" s="173">
        <f>Table312[[#This Row],[PRICE]]*0.00000001</f>
        <v>4.03</v>
      </c>
      <c r="K26" s="174">
        <v>15556</v>
      </c>
      <c r="L26" s="174">
        <f>Table312[[#This Row],[SEATS]]*Table312[[#This Row],[RANGE]]*0.01</f>
        <v>131137.08000000002</v>
      </c>
      <c r="M26" s="369">
        <f>(Table312[[#This Row],[PRICE]]/Table312[[#This Row],[SEATS]])*0.00001</f>
        <v>4.7805456702253863</v>
      </c>
      <c r="N26" s="172" t="s">
        <v>14098</v>
      </c>
      <c r="O26" s="26">
        <v>8</v>
      </c>
    </row>
    <row r="27" spans="1:15" x14ac:dyDescent="0.25">
      <c r="A27" s="26" t="s">
        <v>14150</v>
      </c>
      <c r="B27" s="26" t="s">
        <v>14094</v>
      </c>
      <c r="C27" s="26">
        <v>2011</v>
      </c>
      <c r="D27" s="26" t="s">
        <v>14151</v>
      </c>
      <c r="E27" s="26" t="s">
        <v>14152</v>
      </c>
      <c r="F27" s="65">
        <v>381</v>
      </c>
      <c r="G27" s="26">
        <v>43.3</v>
      </c>
      <c r="H27" s="26" t="s">
        <v>14107</v>
      </c>
      <c r="I27" s="172">
        <v>206800000</v>
      </c>
      <c r="J27" s="173">
        <f>Table312[[#This Row],[PRICE]]*0.00000001</f>
        <v>2.0680000000000001</v>
      </c>
      <c r="K27" s="174">
        <v>15196</v>
      </c>
      <c r="L27" s="174">
        <f>Table312[[#This Row],[SEATS]]*Table312[[#This Row],[RANGE]]*0.01</f>
        <v>57896.76</v>
      </c>
      <c r="M27" s="369">
        <f>(Table312[[#This Row],[PRICE]]/Table312[[#This Row],[SEATS]])*0.00001</f>
        <v>5.4278215223097117</v>
      </c>
      <c r="N27" s="172" t="s">
        <v>14098</v>
      </c>
      <c r="O27" s="26">
        <v>8</v>
      </c>
    </row>
    <row r="28" spans="1:15" x14ac:dyDescent="0.25">
      <c r="A28" s="370" t="s">
        <v>14186</v>
      </c>
      <c r="B28" s="26" t="s">
        <v>14094</v>
      </c>
      <c r="C28" s="26">
        <v>2004</v>
      </c>
      <c r="D28" s="26" t="s">
        <v>14187</v>
      </c>
      <c r="E28" s="26" t="s">
        <v>14110</v>
      </c>
      <c r="F28" s="65">
        <v>550</v>
      </c>
      <c r="G28" s="26">
        <v>69.900000000000006</v>
      </c>
      <c r="H28" s="26" t="s">
        <v>14143</v>
      </c>
      <c r="I28" s="172">
        <v>315000000</v>
      </c>
      <c r="J28" s="173">
        <f>Table312[[#This Row],[PRICE]]*0.00000001</f>
        <v>3.15</v>
      </c>
      <c r="K28" s="174">
        <v>14695</v>
      </c>
      <c r="L28" s="174">
        <f>Table312[[#This Row],[SEATS]]*Table312[[#This Row],[RANGE]]*0.01</f>
        <v>80822.5</v>
      </c>
      <c r="M28" s="369">
        <f>(Table312[[#This Row],[PRICE]]/Table312[[#This Row],[SEATS]])*0.00001</f>
        <v>5.7272727272727275</v>
      </c>
      <c r="N28" s="172" t="s">
        <v>14098</v>
      </c>
      <c r="O28" s="26">
        <v>8</v>
      </c>
    </row>
    <row r="29" spans="1:15" x14ac:dyDescent="0.25">
      <c r="A29" s="26" t="s">
        <v>14176</v>
      </c>
      <c r="B29" s="26" t="s">
        <v>14117</v>
      </c>
      <c r="C29" s="26">
        <v>1993</v>
      </c>
      <c r="D29" s="26" t="s">
        <v>14177</v>
      </c>
      <c r="E29" s="26" t="s">
        <v>14146</v>
      </c>
      <c r="F29" s="65">
        <v>436</v>
      </c>
      <c r="G29" s="26">
        <v>45</v>
      </c>
      <c r="H29" s="26" t="s">
        <v>14120</v>
      </c>
      <c r="I29" s="172">
        <v>250000000</v>
      </c>
      <c r="J29" s="173">
        <f>Table312[[#This Row],[PRICE]]*0.00000001</f>
        <v>2.5</v>
      </c>
      <c r="K29" s="174">
        <v>12800</v>
      </c>
      <c r="L29" s="174">
        <f>Table312[[#This Row],[SEATS]]*Table312[[#This Row],[RANGE]]*0.01</f>
        <v>55808</v>
      </c>
      <c r="M29" s="369">
        <f>(Table312[[#This Row],[PRICE]]/Table312[[#This Row],[SEATS]])*0.00001</f>
        <v>5.7339449541284404</v>
      </c>
      <c r="N29" s="172" t="s">
        <v>14098</v>
      </c>
      <c r="O29" s="26">
        <v>8</v>
      </c>
    </row>
    <row r="30" spans="1:15" x14ac:dyDescent="0.25">
      <c r="A30" s="26" t="s">
        <v>14141</v>
      </c>
      <c r="B30" s="26" t="s">
        <v>14094</v>
      </c>
      <c r="C30" s="26">
        <v>1997</v>
      </c>
      <c r="D30" s="26" t="s">
        <v>14142</v>
      </c>
      <c r="E30" s="26" t="s">
        <v>14137</v>
      </c>
      <c r="F30" s="65">
        <v>440</v>
      </c>
      <c r="G30" s="26">
        <v>59.4</v>
      </c>
      <c r="H30" s="26" t="s">
        <v>14143</v>
      </c>
      <c r="I30" s="172">
        <v>258800000</v>
      </c>
      <c r="J30" s="173">
        <f>Table312[[#This Row],[PRICE]]*0.00000001</f>
        <v>2.5880000000000001</v>
      </c>
      <c r="K30" s="174">
        <v>14315</v>
      </c>
      <c r="L30" s="174">
        <f>Table312[[#This Row],[SEATS]]*Table312[[#This Row],[RANGE]]*0.01</f>
        <v>62986</v>
      </c>
      <c r="M30" s="369">
        <f>(Table312[[#This Row],[PRICE]]/Table312[[#This Row],[SEATS]])*0.00001</f>
        <v>5.8818181818181827</v>
      </c>
      <c r="N30" s="172" t="s">
        <v>14098</v>
      </c>
      <c r="O30" s="26">
        <v>8</v>
      </c>
    </row>
    <row r="31" spans="1:15" x14ac:dyDescent="0.25">
      <c r="A31" s="26" t="s">
        <v>14173</v>
      </c>
      <c r="B31" s="26" t="s">
        <v>14094</v>
      </c>
      <c r="C31" s="26">
        <v>2013</v>
      </c>
      <c r="D31" s="26" t="s">
        <v>14174</v>
      </c>
      <c r="E31" s="26" t="s">
        <v>14175</v>
      </c>
      <c r="F31" s="65">
        <v>420</v>
      </c>
      <c r="G31" s="26">
        <v>42</v>
      </c>
      <c r="H31" s="26" t="s">
        <v>14107</v>
      </c>
      <c r="I31" s="172">
        <v>249500000</v>
      </c>
      <c r="J31" s="173">
        <f>Table312[[#This Row],[PRICE]]*0.00000001</f>
        <v>2.4950000000000001</v>
      </c>
      <c r="K31" s="174">
        <v>15556</v>
      </c>
      <c r="L31" s="174">
        <f>Table312[[#This Row],[SEATS]]*Table312[[#This Row],[RANGE]]*0.01</f>
        <v>65335.200000000004</v>
      </c>
      <c r="M31" s="369">
        <f>(Table312[[#This Row],[PRICE]]/Table312[[#This Row],[SEATS]])*0.00001</f>
        <v>5.9404761904761907</v>
      </c>
      <c r="N31" s="172" t="s">
        <v>14098</v>
      </c>
      <c r="O31" s="26">
        <v>8</v>
      </c>
    </row>
    <row r="32" spans="1:15" x14ac:dyDescent="0.25">
      <c r="A32" s="26" t="s">
        <v>14104</v>
      </c>
      <c r="B32" s="26" t="s">
        <v>14100</v>
      </c>
      <c r="C32" s="26">
        <v>2018</v>
      </c>
      <c r="D32" s="26" t="s">
        <v>14105</v>
      </c>
      <c r="E32" s="26" t="s">
        <v>14106</v>
      </c>
      <c r="F32" s="65">
        <v>522</v>
      </c>
      <c r="G32" s="26">
        <v>56.1</v>
      </c>
      <c r="H32" s="26" t="s">
        <v>14107</v>
      </c>
      <c r="I32" s="172">
        <v>335000000</v>
      </c>
      <c r="J32" s="173">
        <f>Table312[[#This Row],[PRICE]]*0.00000001</f>
        <v>3.35</v>
      </c>
      <c r="K32" s="174">
        <v>14750</v>
      </c>
      <c r="L32" s="174">
        <f>Table312[[#This Row],[SEATS]]*Table312[[#This Row],[RANGE]]*0.01</f>
        <v>76995</v>
      </c>
      <c r="M32" s="369">
        <f>(Table312[[#This Row],[PRICE]]/Table312[[#This Row],[SEATS]])*0.00001</f>
        <v>6.4176245210727974</v>
      </c>
      <c r="N32" s="172" t="s">
        <v>14098</v>
      </c>
      <c r="O32" s="26">
        <v>8</v>
      </c>
    </row>
    <row r="33" spans="1:15" x14ac:dyDescent="0.25">
      <c r="A33" s="26" t="s">
        <v>14196</v>
      </c>
      <c r="B33" s="26" t="s">
        <v>14094</v>
      </c>
      <c r="C33" s="26">
        <v>2006</v>
      </c>
      <c r="D33" s="26" t="s">
        <v>14149</v>
      </c>
      <c r="E33" s="26" t="s">
        <v>14110</v>
      </c>
      <c r="F33" s="65">
        <v>440</v>
      </c>
      <c r="G33" s="26">
        <v>64</v>
      </c>
      <c r="H33" s="26" t="s">
        <v>14143</v>
      </c>
      <c r="I33" s="172">
        <v>291200000</v>
      </c>
      <c r="J33" s="173">
        <f>Table312[[#This Row],[PRICE]]*0.00000001</f>
        <v>2.9119999999999999</v>
      </c>
      <c r="K33" s="174">
        <v>17512</v>
      </c>
      <c r="L33" s="174">
        <f>Table312[[#This Row],[SEATS]]*Table312[[#This Row],[RANGE]]*0.01</f>
        <v>77052.800000000003</v>
      </c>
      <c r="M33" s="369">
        <f>(Table312[[#This Row],[PRICE]]/Table312[[#This Row],[SEATS]])*0.00001</f>
        <v>6.6181818181818182</v>
      </c>
      <c r="N33" s="172" t="s">
        <v>14098</v>
      </c>
      <c r="O33" s="26">
        <v>8</v>
      </c>
    </row>
    <row r="34" spans="1:15" x14ac:dyDescent="0.25">
      <c r="A34" s="26" t="s">
        <v>14188</v>
      </c>
      <c r="B34" s="26" t="s">
        <v>14094</v>
      </c>
      <c r="C34" s="26">
        <v>2012</v>
      </c>
      <c r="D34" s="26" t="s">
        <v>14189</v>
      </c>
      <c r="E34" s="26" t="s">
        <v>14152</v>
      </c>
      <c r="F34" s="65">
        <v>730</v>
      </c>
      <c r="G34" s="26">
        <v>76</v>
      </c>
      <c r="H34" s="26" t="s">
        <v>14107</v>
      </c>
      <c r="I34" s="172">
        <v>352800000</v>
      </c>
      <c r="J34" s="173">
        <f>Table312[[#This Row],[PRICE]]*0.00000001</f>
        <v>3.528</v>
      </c>
      <c r="K34" s="174">
        <v>14825</v>
      </c>
      <c r="L34" s="174">
        <f>Table312[[#This Row],[SEATS]]*Table312[[#This Row],[RANGE]]*0.01</f>
        <v>108222.5</v>
      </c>
      <c r="M34" s="369">
        <f>(Table312[[#This Row],[PRICE]]/Table312[[#This Row],[SEATS]])*0.00001</f>
        <v>4.8328767123287673</v>
      </c>
      <c r="N34" s="172" t="s">
        <v>14098</v>
      </c>
      <c r="O34" s="26">
        <v>9</v>
      </c>
    </row>
    <row r="35" spans="1:15" hidden="1" x14ac:dyDescent="0.25">
      <c r="A35" s="26" t="s">
        <v>14190</v>
      </c>
      <c r="B35" s="26" t="s">
        <v>14094</v>
      </c>
      <c r="C35" s="26">
        <v>2001</v>
      </c>
      <c r="D35" s="26" t="s">
        <v>14191</v>
      </c>
      <c r="E35" s="26" t="s">
        <v>14172</v>
      </c>
      <c r="F35" s="65">
        <v>0</v>
      </c>
      <c r="G35" s="26">
        <v>113.1</v>
      </c>
      <c r="H35" s="26" t="s">
        <v>14164</v>
      </c>
      <c r="I35" s="172">
        <v>281200000</v>
      </c>
      <c r="J35" s="173">
        <f>Table312[[#This Row],[PRICE]]*0.00000001</f>
        <v>2.8120000000000003</v>
      </c>
      <c r="K35" s="174">
        <v>9204</v>
      </c>
      <c r="L35" s="174">
        <f>Table312[[#This Row],[SEATS]]*Table312[[#This Row],[RANGE]]*0.01</f>
        <v>0</v>
      </c>
      <c r="M35" s="174" t="e">
        <f>(Table312[[#This Row],[PRICE]]/Table312[[#This Row],[SEATS]])*0.00001</f>
        <v>#DIV/0!</v>
      </c>
      <c r="N35" s="172" t="s">
        <v>486</v>
      </c>
      <c r="O35" s="26">
        <v>9</v>
      </c>
    </row>
    <row r="36" spans="1:15" hidden="1" x14ac:dyDescent="0.25">
      <c r="A36" s="26" t="s">
        <v>14192</v>
      </c>
      <c r="B36" s="26" t="s">
        <v>14094</v>
      </c>
      <c r="C36" s="26">
        <v>2011</v>
      </c>
      <c r="D36" s="26" t="s">
        <v>14193</v>
      </c>
      <c r="E36" s="26" t="s">
        <v>14152</v>
      </c>
      <c r="F36" s="65">
        <v>0</v>
      </c>
      <c r="G36" s="26">
        <v>134</v>
      </c>
      <c r="H36" s="26" t="s">
        <v>14107</v>
      </c>
      <c r="I36" s="172">
        <v>352000000</v>
      </c>
      <c r="J36" s="173">
        <f>Table312[[#This Row],[PRICE]]*0.00000001</f>
        <v>3.52</v>
      </c>
      <c r="K36" s="174">
        <v>8130</v>
      </c>
      <c r="L36" s="174">
        <f>Table312[[#This Row],[SEATS]]*Table312[[#This Row],[RANGE]]*0.01</f>
        <v>0</v>
      </c>
      <c r="M36" s="174" t="e">
        <f>(Table312[[#This Row],[PRICE]]/Table312[[#This Row],[SEATS]])*0.00001</f>
        <v>#DIV/0!</v>
      </c>
      <c r="N36" s="172" t="s">
        <v>486</v>
      </c>
      <c r="O36" s="26">
        <v>9</v>
      </c>
    </row>
    <row r="37" spans="1:15" x14ac:dyDescent="0.25">
      <c r="A37" s="26" t="s">
        <v>14184</v>
      </c>
      <c r="B37" s="26" t="s">
        <v>14094</v>
      </c>
      <c r="C37" s="26">
        <v>1998</v>
      </c>
      <c r="D37" s="26" t="s">
        <v>14185</v>
      </c>
      <c r="E37" s="26" t="s">
        <v>14137</v>
      </c>
      <c r="F37" s="65">
        <v>550</v>
      </c>
      <c r="G37" s="26">
        <v>66.900000000000006</v>
      </c>
      <c r="H37" s="26" t="s">
        <v>14143</v>
      </c>
      <c r="I37" s="172">
        <v>284700000</v>
      </c>
      <c r="J37" s="173">
        <f>Table312[[#This Row],[PRICE]]*0.00000001</f>
        <v>2.847</v>
      </c>
      <c r="K37" s="174">
        <v>11119</v>
      </c>
      <c r="L37" s="174">
        <f>Table312[[#This Row],[SEATS]]*Table312[[#This Row],[RANGE]]*0.01</f>
        <v>61154.5</v>
      </c>
      <c r="M37" s="369">
        <f>(Table312[[#This Row],[PRICE]]/Table312[[#This Row],[SEATS]])*0.00001</f>
        <v>5.1763636363636367</v>
      </c>
      <c r="N37" s="172" t="s">
        <v>14098</v>
      </c>
      <c r="O37" s="26">
        <v>9</v>
      </c>
    </row>
    <row r="38" spans="1:15" x14ac:dyDescent="0.25">
      <c r="A38" s="26" t="s">
        <v>14170</v>
      </c>
      <c r="B38" s="26" t="s">
        <v>14094</v>
      </c>
      <c r="C38" s="26">
        <v>2000</v>
      </c>
      <c r="D38" s="26" t="s">
        <v>14171</v>
      </c>
      <c r="E38" s="26" t="s">
        <v>14172</v>
      </c>
      <c r="F38" s="65">
        <v>375</v>
      </c>
      <c r="G38" s="26">
        <v>46.5</v>
      </c>
      <c r="H38" s="26" t="s">
        <v>14097</v>
      </c>
      <c r="I38" s="172">
        <v>200800000</v>
      </c>
      <c r="J38" s="173">
        <f>Table312[[#This Row],[PRICE]]*0.00000001</f>
        <v>2.008</v>
      </c>
      <c r="K38" s="174">
        <v>10424</v>
      </c>
      <c r="L38" s="174">
        <f>Table312[[#This Row],[SEATS]]*Table312[[#This Row],[RANGE]]*0.01</f>
        <v>39090</v>
      </c>
      <c r="M38" s="369">
        <f>(Table312[[#This Row],[PRICE]]/Table312[[#This Row],[SEATS]])*0.00001</f>
        <v>5.3546666666666667</v>
      </c>
      <c r="N38" s="172" t="s">
        <v>14098</v>
      </c>
      <c r="O38" s="26">
        <v>9</v>
      </c>
    </row>
    <row r="39" spans="1:15" x14ac:dyDescent="0.25">
      <c r="A39" s="26" t="s">
        <v>14161</v>
      </c>
      <c r="B39" s="26" t="s">
        <v>14100</v>
      </c>
      <c r="C39" s="26">
        <v>2002</v>
      </c>
      <c r="D39" s="26" t="s">
        <v>14162</v>
      </c>
      <c r="E39" s="26" t="s">
        <v>14102</v>
      </c>
      <c r="F39" s="65">
        <v>530</v>
      </c>
      <c r="G39" s="26">
        <v>55.6</v>
      </c>
      <c r="H39" s="26" t="s">
        <v>14103</v>
      </c>
      <c r="I39" s="172">
        <v>294600000</v>
      </c>
      <c r="J39" s="173">
        <f>Table312[[#This Row],[PRICE]]*0.00000001</f>
        <v>2.9460000000000002</v>
      </c>
      <c r="K39" s="174">
        <v>14640</v>
      </c>
      <c r="L39" s="174">
        <f>Table312[[#This Row],[SEATS]]*Table312[[#This Row],[RANGE]]*0.01</f>
        <v>77592</v>
      </c>
      <c r="M39" s="369">
        <f>(Table312[[#This Row],[PRICE]]/Table312[[#This Row],[SEATS]])*0.00001</f>
        <v>5.5584905660377366</v>
      </c>
      <c r="N39" s="172" t="s">
        <v>14098</v>
      </c>
      <c r="O39" s="26">
        <v>9</v>
      </c>
    </row>
    <row r="40" spans="1:15" x14ac:dyDescent="0.25">
      <c r="A40" s="26" t="s">
        <v>14139</v>
      </c>
      <c r="B40" s="26" t="s">
        <v>14094</v>
      </c>
      <c r="C40" s="26">
        <v>1988</v>
      </c>
      <c r="D40" s="26" t="s">
        <v>14140</v>
      </c>
      <c r="E40" s="26" t="s">
        <v>14119</v>
      </c>
      <c r="F40" s="65">
        <v>410</v>
      </c>
      <c r="G40" s="26">
        <v>52.6</v>
      </c>
      <c r="H40" s="26" t="s">
        <v>14115</v>
      </c>
      <c r="I40" s="172">
        <v>232000000</v>
      </c>
      <c r="J40" s="173">
        <f>Table312[[#This Row],[PRICE]]*0.00000001</f>
        <v>2.3199999999999998</v>
      </c>
      <c r="K40" s="174">
        <v>12270</v>
      </c>
      <c r="L40" s="174">
        <f>Table312[[#This Row],[SEATS]]*Table312[[#This Row],[RANGE]]*0.01</f>
        <v>50307</v>
      </c>
      <c r="M40" s="369">
        <f>(Table312[[#This Row],[PRICE]]/Table312[[#This Row],[SEATS]])*0.00001</f>
        <v>5.6585365853658542</v>
      </c>
      <c r="N40" s="172" t="s">
        <v>14098</v>
      </c>
      <c r="O40" s="26">
        <v>9</v>
      </c>
    </row>
    <row r="41" spans="1:15" x14ac:dyDescent="0.25">
      <c r="A41" s="26" t="s">
        <v>14099</v>
      </c>
      <c r="B41" s="26" t="s">
        <v>14100</v>
      </c>
      <c r="C41" s="26">
        <v>2002</v>
      </c>
      <c r="D41" s="26" t="s">
        <v>14101</v>
      </c>
      <c r="E41" s="26" t="s">
        <v>14102</v>
      </c>
      <c r="F41" s="65">
        <v>475</v>
      </c>
      <c r="G41" s="26">
        <v>47.5</v>
      </c>
      <c r="H41" s="26" t="s">
        <v>14103</v>
      </c>
      <c r="I41" s="172">
        <v>280100000</v>
      </c>
      <c r="J41" s="173">
        <f>Table312[[#This Row],[PRICE]]*0.00000001</f>
        <v>2.8010000000000002</v>
      </c>
      <c r="K41" s="174">
        <v>16678</v>
      </c>
      <c r="L41" s="174">
        <f>Table312[[#This Row],[SEATS]]*Table312[[#This Row],[RANGE]]*0.01</f>
        <v>79220.5</v>
      </c>
      <c r="M41" s="369">
        <f>(Table312[[#This Row],[PRICE]]/Table312[[#This Row],[SEATS]])*0.00001</f>
        <v>5.8968421052631586</v>
      </c>
      <c r="N41" s="172" t="s">
        <v>14098</v>
      </c>
      <c r="O41" s="26">
        <v>9</v>
      </c>
    </row>
    <row r="42" spans="1:15" x14ac:dyDescent="0.25">
      <c r="A42" s="58" t="s">
        <v>14126</v>
      </c>
      <c r="B42" s="26" t="s">
        <v>14094</v>
      </c>
      <c r="C42" s="26">
        <v>1965</v>
      </c>
      <c r="D42" s="26" t="s">
        <v>14127</v>
      </c>
      <c r="E42" s="26" t="s">
        <v>14114</v>
      </c>
      <c r="F42" s="65">
        <v>219</v>
      </c>
      <c r="G42" s="26">
        <v>34</v>
      </c>
      <c r="H42" s="26" t="s">
        <v>14128</v>
      </c>
      <c r="I42" s="172">
        <v>125000000</v>
      </c>
      <c r="J42" s="173">
        <f>Table312[[#This Row],[PRICE]]*0.00000001</f>
        <v>1.25</v>
      </c>
      <c r="K42" s="174">
        <v>9917</v>
      </c>
      <c r="L42" s="174">
        <f>Table312[[#This Row],[SEATS]]*Table312[[#This Row],[RANGE]]*0.01</f>
        <v>21718.23</v>
      </c>
      <c r="M42" s="369">
        <f>(Table312[[#This Row],[PRICE]]/Table312[[#This Row],[SEATS]])*0.00001</f>
        <v>5.7077625570776256</v>
      </c>
      <c r="N42" s="172" t="s">
        <v>14098</v>
      </c>
      <c r="O42" s="26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9B3BE-D2CA-49B6-B79E-AEBEEDEC5575}">
  <dimension ref="A1:W26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18" sqref="M18"/>
    </sheetView>
  </sheetViews>
  <sheetFormatPr defaultColWidth="9.140625" defaultRowHeight="15" x14ac:dyDescent="0.25"/>
  <cols>
    <col min="1" max="1" width="10" style="27" bestFit="1" customWidth="1"/>
    <col min="2" max="2" width="24" style="27" customWidth="1"/>
    <col min="3" max="3" width="14.28515625" style="27" bestFit="1" customWidth="1"/>
    <col min="4" max="4" width="11.85546875" style="27" customWidth="1"/>
    <col min="5" max="5" width="9" style="27" bestFit="1" customWidth="1"/>
    <col min="6" max="6" width="9.140625" style="27" customWidth="1"/>
    <col min="7" max="7" width="17" style="27" bestFit="1" customWidth="1"/>
    <col min="8" max="8" width="9.5703125" style="27" customWidth="1"/>
    <col min="9" max="9" width="9.7109375" style="27" customWidth="1"/>
    <col min="10" max="10" width="7.85546875" style="27" customWidth="1"/>
    <col min="11" max="11" width="10.28515625" style="27" bestFit="1" customWidth="1"/>
    <col min="12" max="12" width="12" style="27" bestFit="1" customWidth="1"/>
    <col min="13" max="14" width="19" style="269" bestFit="1" customWidth="1"/>
    <col min="15" max="15" width="13.42578125" style="27" bestFit="1" customWidth="1"/>
    <col min="16" max="16" width="8" style="27" bestFit="1" customWidth="1"/>
    <col min="17" max="17" width="11.5703125" style="27" bestFit="1" customWidth="1"/>
    <col min="18" max="18" width="10.140625" style="27" bestFit="1" customWidth="1"/>
    <col min="19" max="21" width="9.140625" style="27"/>
    <col min="22" max="23" width="14.5703125" style="27" bestFit="1" customWidth="1"/>
    <col min="24" max="16384" width="9.140625" style="27"/>
  </cols>
  <sheetData>
    <row r="1" spans="1:23" x14ac:dyDescent="0.25">
      <c r="M1" s="269">
        <f>SUM(M3:M2654)</f>
        <v>20628228291</v>
      </c>
      <c r="N1" s="269">
        <f>SUM(N3:N2654)</f>
        <v>18867987102</v>
      </c>
      <c r="O1" s="269"/>
      <c r="P1" s="268">
        <f>SUM(P3:P2654)</f>
        <v>5286</v>
      </c>
      <c r="Q1" s="268">
        <f>SUM(Q3:Q2654)</f>
        <v>2406</v>
      </c>
      <c r="R1" s="268">
        <f>SUM(R3:R2654)</f>
        <v>19814968</v>
      </c>
    </row>
    <row r="2" spans="1:23" s="275" customFormat="1" ht="30.75" customHeight="1" x14ac:dyDescent="0.25">
      <c r="A2" s="273" t="s">
        <v>466</v>
      </c>
      <c r="B2" s="273" t="s">
        <v>5772</v>
      </c>
      <c r="C2" s="273" t="s">
        <v>464</v>
      </c>
      <c r="D2" s="273" t="s">
        <v>13114</v>
      </c>
      <c r="E2" s="273" t="s">
        <v>14092</v>
      </c>
      <c r="F2" s="273" t="s">
        <v>5771</v>
      </c>
      <c r="G2" s="273" t="s">
        <v>5770</v>
      </c>
      <c r="H2" s="273" t="s">
        <v>16802</v>
      </c>
      <c r="I2" s="273" t="s">
        <v>15100</v>
      </c>
      <c r="J2" s="273" t="s">
        <v>487</v>
      </c>
      <c r="K2" s="273" t="s">
        <v>5769</v>
      </c>
      <c r="L2" s="273" t="s">
        <v>486</v>
      </c>
      <c r="M2" s="366" t="s">
        <v>13052</v>
      </c>
      <c r="N2" s="366" t="s">
        <v>16800</v>
      </c>
      <c r="O2" s="274" t="s">
        <v>474</v>
      </c>
      <c r="P2" s="274" t="s">
        <v>16801</v>
      </c>
      <c r="Q2" s="274" t="s">
        <v>467</v>
      </c>
      <c r="R2" s="274" t="s">
        <v>12759</v>
      </c>
    </row>
    <row r="3" spans="1:23" hidden="1" x14ac:dyDescent="0.25">
      <c r="A3" s="31" t="s">
        <v>369</v>
      </c>
      <c r="B3" s="29" t="s">
        <v>5746</v>
      </c>
      <c r="C3" s="29" t="s">
        <v>1261</v>
      </c>
      <c r="D3" s="29" t="str">
        <f>VLOOKUP(C:C,'COUNT-CONT'!B:C,2,FALSE)</f>
        <v>Asia</v>
      </c>
      <c r="E3" s="29">
        <v>10</v>
      </c>
      <c r="F3" s="28">
        <v>12679</v>
      </c>
      <c r="G3" s="28">
        <v>9255957630</v>
      </c>
      <c r="H3" s="29">
        <v>79.44</v>
      </c>
      <c r="I3" s="142">
        <v>0</v>
      </c>
      <c r="J3" s="29">
        <v>22.19</v>
      </c>
      <c r="K3" s="29">
        <v>16.350000000000001</v>
      </c>
      <c r="L3" s="29">
        <v>58.4</v>
      </c>
      <c r="M3" s="367">
        <v>3940656657</v>
      </c>
      <c r="N3" s="367">
        <v>3611459115</v>
      </c>
      <c r="O3" s="270">
        <f>IFERROR(Table17[[#This Row],[PROFIT]]/Table17[[#This Row],[TO]],0)</f>
        <v>0.91646124728597489</v>
      </c>
      <c r="P3" s="267">
        <v>865</v>
      </c>
      <c r="Q3" s="267">
        <v>362</v>
      </c>
      <c r="R3" s="268">
        <v>3190657</v>
      </c>
      <c r="U3" s="27" t="s">
        <v>18866</v>
      </c>
      <c r="V3" s="365">
        <v>1212349521</v>
      </c>
      <c r="W3" s="365">
        <v>1108824563</v>
      </c>
    </row>
    <row r="4" spans="1:23" hidden="1" x14ac:dyDescent="0.25">
      <c r="A4" s="29" t="s">
        <v>339</v>
      </c>
      <c r="B4" s="29" t="s">
        <v>5710</v>
      </c>
      <c r="C4" s="29" t="s">
        <v>1070</v>
      </c>
      <c r="D4" s="29" t="str">
        <f>VLOOKUP(C:C,'COUNT-CONT'!B:C,2,FALSE)</f>
        <v>Asia</v>
      </c>
      <c r="E4" s="29">
        <v>10</v>
      </c>
      <c r="F4" s="28">
        <v>10151</v>
      </c>
      <c r="G4" s="28">
        <v>8635163708</v>
      </c>
      <c r="H4" s="29">
        <v>77.48</v>
      </c>
      <c r="I4" s="142">
        <v>-1.9599999999999937</v>
      </c>
      <c r="J4" s="29">
        <v>18.02</v>
      </c>
      <c r="K4" s="29">
        <v>11.67</v>
      </c>
      <c r="L4" s="29">
        <v>53.05</v>
      </c>
      <c r="M4" s="368"/>
      <c r="N4" s="368"/>
      <c r="O4" s="271">
        <f>IFERROR(Table17[[#This Row],[PROFIT]]/Table17[[#This Row],[TO]],0)</f>
        <v>0</v>
      </c>
      <c r="P4" s="177"/>
      <c r="Q4" s="177"/>
      <c r="R4" s="177"/>
      <c r="U4" s="27" t="s">
        <v>18867</v>
      </c>
      <c r="V4" s="365">
        <v>3940656657</v>
      </c>
      <c r="W4" s="365">
        <v>3611459115</v>
      </c>
    </row>
    <row r="5" spans="1:23" ht="30" hidden="1" x14ac:dyDescent="0.25">
      <c r="A5" s="31" t="s">
        <v>406</v>
      </c>
      <c r="B5" s="29" t="s">
        <v>5709</v>
      </c>
      <c r="C5" s="29" t="s">
        <v>1070</v>
      </c>
      <c r="D5" s="29" t="str">
        <f>VLOOKUP(C:C,'COUNT-CONT'!B:C,2,FALSE)</f>
        <v>Asia</v>
      </c>
      <c r="E5" s="29">
        <v>10</v>
      </c>
      <c r="F5" s="28">
        <v>8103</v>
      </c>
      <c r="G5" s="28">
        <v>8511252190</v>
      </c>
      <c r="H5" s="29">
        <v>76.900000000000006</v>
      </c>
      <c r="I5" s="142">
        <v>-2.539999999999992</v>
      </c>
      <c r="J5" s="29">
        <v>17.899999999999999</v>
      </c>
      <c r="K5" s="29">
        <v>11.58</v>
      </c>
      <c r="L5" s="29">
        <v>52.69</v>
      </c>
      <c r="M5" s="367">
        <v>1212349521</v>
      </c>
      <c r="N5" s="367">
        <v>1108824563</v>
      </c>
      <c r="O5" s="272">
        <f>IFERROR(Table17[[#This Row],[PROFIT]]/Table17[[#This Row],[TO]],0)</f>
        <v>0.9146079936464131</v>
      </c>
      <c r="P5" s="267">
        <v>231</v>
      </c>
      <c r="Q5" s="267">
        <v>145</v>
      </c>
      <c r="R5" s="268">
        <v>1093205</v>
      </c>
      <c r="U5" s="27" t="s">
        <v>18868</v>
      </c>
      <c r="V5" s="365">
        <v>2010531434</v>
      </c>
      <c r="W5" s="365">
        <v>1826475387</v>
      </c>
    </row>
    <row r="6" spans="1:23" hidden="1" x14ac:dyDescent="0.25">
      <c r="A6" s="29" t="s">
        <v>415</v>
      </c>
      <c r="B6" s="29" t="s">
        <v>5745</v>
      </c>
      <c r="C6" s="29" t="s">
        <v>332</v>
      </c>
      <c r="D6" s="29" t="str">
        <f>VLOOKUP(C:C,'COUNT-CONT'!B:C,2,FALSE)</f>
        <v>Asia</v>
      </c>
      <c r="E6" s="29">
        <v>10</v>
      </c>
      <c r="F6" s="28">
        <v>13508</v>
      </c>
      <c r="G6" s="28">
        <v>9184233224</v>
      </c>
      <c r="H6" s="29">
        <v>75.27</v>
      </c>
      <c r="I6" s="142">
        <v>-4.1700000000000017</v>
      </c>
      <c r="J6" s="29">
        <v>23.16</v>
      </c>
      <c r="K6" s="29">
        <v>18.5</v>
      </c>
      <c r="L6" s="29">
        <v>57.89</v>
      </c>
      <c r="M6" s="368"/>
      <c r="N6" s="368"/>
      <c r="O6" s="271">
        <f>IFERROR(Table17[[#This Row],[PROFIT]]/Table17[[#This Row],[TO]],0)</f>
        <v>0</v>
      </c>
      <c r="P6" s="177"/>
      <c r="Q6" s="177"/>
      <c r="R6" s="177"/>
      <c r="U6" s="27" t="s">
        <v>18869</v>
      </c>
      <c r="V6" s="365">
        <v>2404929373</v>
      </c>
      <c r="W6" s="365">
        <v>2202682160</v>
      </c>
    </row>
    <row r="7" spans="1:23" hidden="1" x14ac:dyDescent="0.25">
      <c r="A7" s="29" t="s">
        <v>333</v>
      </c>
      <c r="B7" s="29" t="s">
        <v>5735</v>
      </c>
      <c r="C7" s="29" t="s">
        <v>332</v>
      </c>
      <c r="D7" s="29" t="str">
        <f>VLOOKUP(C:C,'COUNT-CONT'!B:C,2,FALSE)</f>
        <v>Asia</v>
      </c>
      <c r="E7" s="29">
        <v>10</v>
      </c>
      <c r="F7" s="28">
        <v>11714</v>
      </c>
      <c r="G7" s="28">
        <v>8987504729</v>
      </c>
      <c r="H7" s="29">
        <v>73.58</v>
      </c>
      <c r="I7" s="142">
        <v>-5.8599999999999994</v>
      </c>
      <c r="J7" s="29">
        <v>22.64</v>
      </c>
      <c r="K7" s="29">
        <v>18.11</v>
      </c>
      <c r="L7" s="29">
        <v>56.59</v>
      </c>
      <c r="M7" s="368"/>
      <c r="N7" s="368"/>
      <c r="O7" s="271">
        <f>IFERROR(Table17[[#This Row],[PROFIT]]/Table17[[#This Row],[TO]],0)</f>
        <v>0</v>
      </c>
      <c r="P7" s="177"/>
      <c r="Q7" s="177"/>
      <c r="R7" s="177"/>
      <c r="U7" s="27" t="s">
        <v>18870</v>
      </c>
      <c r="V7" s="365">
        <v>3415473639</v>
      </c>
      <c r="W7" s="365">
        <v>3128064728</v>
      </c>
    </row>
    <row r="8" spans="1:23" hidden="1" x14ac:dyDescent="0.25">
      <c r="A8" s="31" t="s">
        <v>5599</v>
      </c>
      <c r="B8" s="29" t="s">
        <v>5598</v>
      </c>
      <c r="C8" s="29" t="s">
        <v>1531</v>
      </c>
      <c r="D8" s="29" t="str">
        <f>VLOOKUP(C:C,'COUNT-CONT'!B:C,2,FALSE)</f>
        <v>Africa</v>
      </c>
      <c r="E8" s="29">
        <v>10</v>
      </c>
      <c r="F8" s="28">
        <v>5998</v>
      </c>
      <c r="G8" s="28">
        <v>7404594464</v>
      </c>
      <c r="H8" s="29">
        <v>73</v>
      </c>
      <c r="I8" s="142">
        <v>-6.4399999999999977</v>
      </c>
      <c r="J8" s="29">
        <v>9.2200000000000006</v>
      </c>
      <c r="K8" s="29">
        <v>2.5099999999999998</v>
      </c>
      <c r="L8" s="29">
        <v>41.96</v>
      </c>
      <c r="M8" s="367">
        <v>3415473639</v>
      </c>
      <c r="N8" s="367">
        <v>3128064728</v>
      </c>
      <c r="O8" s="272">
        <f>IFERROR(Table17[[#This Row],[PROFIT]]/Table17[[#This Row],[TO]],0)</f>
        <v>0.91585093565993703</v>
      </c>
      <c r="P8" s="267">
        <v>792</v>
      </c>
      <c r="Q8" s="267">
        <v>295</v>
      </c>
      <c r="R8" s="268">
        <v>2765698</v>
      </c>
      <c r="U8" s="27" t="s">
        <v>18871</v>
      </c>
      <c r="V8" s="365">
        <v>3965451461</v>
      </c>
      <c r="W8" s="365">
        <v>3676238443</v>
      </c>
    </row>
    <row r="9" spans="1:23" hidden="1" x14ac:dyDescent="0.25">
      <c r="A9" s="31" t="s">
        <v>130</v>
      </c>
      <c r="B9" s="29" t="s">
        <v>5766</v>
      </c>
      <c r="C9" s="29" t="s">
        <v>14</v>
      </c>
      <c r="D9" s="29" t="str">
        <f>VLOOKUP(C:C,'COUNT-CONT'!B:C,2,FALSE)</f>
        <v>Asia</v>
      </c>
      <c r="E9" s="29">
        <v>10</v>
      </c>
      <c r="F9" s="28">
        <v>19411</v>
      </c>
      <c r="G9" s="28">
        <v>9336668899</v>
      </c>
      <c r="H9" s="29">
        <v>70.25</v>
      </c>
      <c r="I9" s="142">
        <v>-9.1899999999999977</v>
      </c>
      <c r="J9" s="29">
        <v>27.39</v>
      </c>
      <c r="K9" s="29">
        <v>22.61</v>
      </c>
      <c r="L9" s="29">
        <v>59.55</v>
      </c>
      <c r="M9" s="367">
        <v>3678836206</v>
      </c>
      <c r="N9" s="367">
        <v>3314242706</v>
      </c>
      <c r="O9" s="272">
        <f>IFERROR(Table17[[#This Row],[PROFIT]]/Table17[[#This Row],[TO]],0)</f>
        <v>0.90089433734359636</v>
      </c>
      <c r="P9" s="267">
        <v>875</v>
      </c>
      <c r="Q9" s="267">
        <v>480</v>
      </c>
      <c r="R9" s="268">
        <v>3655338</v>
      </c>
      <c r="U9" s="27" t="s">
        <v>18872</v>
      </c>
      <c r="V9" s="365">
        <v>3678836206</v>
      </c>
      <c r="W9" s="365">
        <v>3314242706</v>
      </c>
    </row>
    <row r="10" spans="1:23" hidden="1" x14ac:dyDescent="0.25">
      <c r="A10" s="29" t="s">
        <v>277</v>
      </c>
      <c r="B10" s="29" t="s">
        <v>5752</v>
      </c>
      <c r="C10" s="29" t="s">
        <v>14</v>
      </c>
      <c r="D10" s="29" t="str">
        <f>VLOOKUP(C:C,'COUNT-CONT'!B:C,2,FALSE)</f>
        <v>Asia</v>
      </c>
      <c r="E10" s="29">
        <v>10</v>
      </c>
      <c r="F10" s="28">
        <v>14429</v>
      </c>
      <c r="G10" s="28">
        <v>9356235359</v>
      </c>
      <c r="H10" s="29">
        <v>70.25</v>
      </c>
      <c r="I10" s="142">
        <v>-9.1899999999999977</v>
      </c>
      <c r="J10" s="29">
        <v>27.39</v>
      </c>
      <c r="K10" s="29">
        <v>22.61</v>
      </c>
      <c r="L10" s="29">
        <v>59.55</v>
      </c>
      <c r="M10" s="368"/>
      <c r="N10" s="368"/>
      <c r="O10" s="271">
        <f>IFERROR(Table17[[#This Row],[PROFIT]]/Table17[[#This Row],[TO]],0)</f>
        <v>0</v>
      </c>
      <c r="P10" s="177"/>
      <c r="Q10" s="177"/>
      <c r="R10" s="177"/>
    </row>
    <row r="11" spans="1:23" hidden="1" x14ac:dyDescent="0.25">
      <c r="A11" s="29" t="s">
        <v>385</v>
      </c>
      <c r="B11" s="29" t="s">
        <v>5743</v>
      </c>
      <c r="C11" s="29" t="s">
        <v>14</v>
      </c>
      <c r="D11" s="29" t="str">
        <f>VLOOKUP(C:C,'COUNT-CONT'!B:C,2,FALSE)</f>
        <v>Asia</v>
      </c>
      <c r="E11" s="29">
        <v>10</v>
      </c>
      <c r="F11" s="28">
        <v>12450</v>
      </c>
      <c r="G11" s="28">
        <v>9057953413</v>
      </c>
      <c r="H11" s="29">
        <v>67.59</v>
      </c>
      <c r="I11" s="142">
        <v>-11.849999999999994</v>
      </c>
      <c r="J11" s="29">
        <v>26.33</v>
      </c>
      <c r="K11" s="29">
        <v>21.77</v>
      </c>
      <c r="L11" s="29">
        <v>57.29</v>
      </c>
      <c r="M11" s="368"/>
      <c r="N11" s="368"/>
      <c r="O11" s="271">
        <f>IFERROR(Table17[[#This Row],[PROFIT]]/Table17[[#This Row],[TO]],0)</f>
        <v>0</v>
      </c>
      <c r="P11" s="177"/>
      <c r="Q11" s="177"/>
      <c r="R11" s="177"/>
    </row>
    <row r="12" spans="1:23" hidden="1" x14ac:dyDescent="0.25">
      <c r="A12" s="29" t="s">
        <v>114</v>
      </c>
      <c r="B12" s="29" t="s">
        <v>5742</v>
      </c>
      <c r="C12" s="29" t="s">
        <v>14</v>
      </c>
      <c r="D12" s="29" t="str">
        <f>VLOOKUP(C:C,'COUNT-CONT'!B:C,2,FALSE)</f>
        <v>Asia</v>
      </c>
      <c r="E12" s="29">
        <v>10</v>
      </c>
      <c r="F12" s="28">
        <v>13017</v>
      </c>
      <c r="G12" s="28">
        <v>9054904878</v>
      </c>
      <c r="H12" s="29">
        <v>67.44</v>
      </c>
      <c r="I12" s="142">
        <v>-12</v>
      </c>
      <c r="J12" s="29">
        <v>26.27</v>
      </c>
      <c r="K12" s="29">
        <v>21.7</v>
      </c>
      <c r="L12" s="29">
        <v>57.16</v>
      </c>
      <c r="M12" s="368"/>
      <c r="N12" s="368"/>
      <c r="O12" s="271">
        <f>IFERROR(Table17[[#This Row],[PROFIT]]/Table17[[#This Row],[TO]],0)</f>
        <v>0</v>
      </c>
      <c r="P12" s="177"/>
      <c r="Q12" s="177"/>
      <c r="R12" s="177"/>
    </row>
    <row r="13" spans="1:23" hidden="1" x14ac:dyDescent="0.25">
      <c r="A13" s="29" t="s">
        <v>122</v>
      </c>
      <c r="B13" s="29" t="s">
        <v>5763</v>
      </c>
      <c r="C13" s="29" t="s">
        <v>14</v>
      </c>
      <c r="D13" s="29" t="str">
        <f>VLOOKUP(C:C,'COUNT-CONT'!B:C,2,FALSE)</f>
        <v>Asia</v>
      </c>
      <c r="E13" s="29">
        <v>10</v>
      </c>
      <c r="F13" s="28">
        <v>19000</v>
      </c>
      <c r="G13" s="28">
        <v>9337894737</v>
      </c>
      <c r="H13" s="29">
        <v>66.69</v>
      </c>
      <c r="I13" s="142">
        <v>-12.75</v>
      </c>
      <c r="J13" s="29">
        <v>28.57</v>
      </c>
      <c r="K13" s="29">
        <v>25</v>
      </c>
      <c r="L13" s="29">
        <v>59.55</v>
      </c>
      <c r="M13" s="368"/>
      <c r="N13" s="368"/>
      <c r="O13" s="271">
        <f>IFERROR(Table17[[#This Row],[PROFIT]]/Table17[[#This Row],[TO]],0)</f>
        <v>0</v>
      </c>
      <c r="P13" s="177"/>
      <c r="Q13" s="177"/>
      <c r="R13" s="177"/>
    </row>
    <row r="14" spans="1:23" hidden="1" x14ac:dyDescent="0.25">
      <c r="A14" s="29" t="s">
        <v>5693</v>
      </c>
      <c r="B14" s="29" t="s">
        <v>5692</v>
      </c>
      <c r="C14" s="29" t="s">
        <v>332</v>
      </c>
      <c r="D14" s="29" t="str">
        <f>VLOOKUP(C:C,'COUNT-CONT'!B:C,2,FALSE)</f>
        <v>Asia</v>
      </c>
      <c r="E14" s="29">
        <v>6</v>
      </c>
      <c r="F14" s="28">
        <v>5663</v>
      </c>
      <c r="G14" s="28">
        <v>8012643333</v>
      </c>
      <c r="H14" s="29">
        <v>64.510000000000005</v>
      </c>
      <c r="I14" s="142">
        <v>-14.929999999999993</v>
      </c>
      <c r="J14" s="29">
        <v>19.829999999999998</v>
      </c>
      <c r="K14" s="29">
        <v>15.87</v>
      </c>
      <c r="L14" s="29">
        <v>49.64</v>
      </c>
      <c r="M14" s="368"/>
      <c r="N14" s="368"/>
      <c r="O14" s="271">
        <f>IFERROR(Table17[[#This Row],[PROFIT]]/Table17[[#This Row],[TO]],0)</f>
        <v>0</v>
      </c>
      <c r="P14" s="177"/>
      <c r="Q14" s="177"/>
      <c r="R14" s="177"/>
    </row>
    <row r="15" spans="1:23" ht="30" hidden="1" x14ac:dyDescent="0.25">
      <c r="A15" s="29" t="s">
        <v>234</v>
      </c>
      <c r="B15" s="29" t="s">
        <v>5664</v>
      </c>
      <c r="C15" s="29" t="s">
        <v>926</v>
      </c>
      <c r="D15" s="29" t="str">
        <f>VLOOKUP(C:C,'COUNT-CONT'!B:C,2,FALSE)</f>
        <v>Africa</v>
      </c>
      <c r="E15" s="29">
        <v>10</v>
      </c>
      <c r="F15" s="28">
        <v>9189</v>
      </c>
      <c r="G15" s="28">
        <v>7784308346</v>
      </c>
      <c r="H15" s="29">
        <v>64.03</v>
      </c>
      <c r="I15" s="142">
        <v>-15.409999999999997</v>
      </c>
      <c r="J15" s="29">
        <v>17.899999999999999</v>
      </c>
      <c r="K15" s="29">
        <v>12.24</v>
      </c>
      <c r="L15" s="29">
        <v>47.1</v>
      </c>
      <c r="M15" s="368"/>
      <c r="N15" s="368"/>
      <c r="O15" s="271">
        <f>IFERROR(Table17[[#This Row],[PROFIT]]/Table17[[#This Row],[TO]],0)</f>
        <v>0</v>
      </c>
      <c r="P15" s="177"/>
      <c r="Q15" s="177"/>
      <c r="R15" s="177"/>
    </row>
    <row r="16" spans="1:23" hidden="1" x14ac:dyDescent="0.25">
      <c r="A16" s="29" t="s">
        <v>457</v>
      </c>
      <c r="B16" s="29" t="s">
        <v>5448</v>
      </c>
      <c r="C16" s="29" t="s">
        <v>2527</v>
      </c>
      <c r="D16" s="29" t="str">
        <f>VLOOKUP(C:C,'COUNT-CONT'!B:C,2,FALSE)</f>
        <v>Africa</v>
      </c>
      <c r="E16" s="29">
        <v>10</v>
      </c>
      <c r="F16" s="28">
        <v>5129</v>
      </c>
      <c r="G16" s="28">
        <v>6682266757</v>
      </c>
      <c r="H16" s="29">
        <v>63.66</v>
      </c>
      <c r="I16" s="142">
        <v>-15.780000000000001</v>
      </c>
      <c r="J16" s="29">
        <v>7.22</v>
      </c>
      <c r="K16" s="29">
        <v>2.15</v>
      </c>
      <c r="L16" s="29">
        <v>36.19</v>
      </c>
      <c r="M16" s="368"/>
      <c r="N16" s="368"/>
      <c r="O16" s="271">
        <f>IFERROR(Table17[[#This Row],[PROFIT]]/Table17[[#This Row],[TO]],0)</f>
        <v>0</v>
      </c>
      <c r="P16" s="177"/>
      <c r="Q16" s="177"/>
      <c r="R16" s="177"/>
    </row>
    <row r="17" spans="1:18" hidden="1" x14ac:dyDescent="0.25">
      <c r="A17" s="29" t="s">
        <v>419</v>
      </c>
      <c r="B17" s="29" t="s">
        <v>5575</v>
      </c>
      <c r="C17" s="29" t="s">
        <v>197</v>
      </c>
      <c r="D17" s="29" t="str">
        <f>VLOOKUP(C:C,'COUNT-CONT'!B:C,2,FALSE)</f>
        <v>Asia</v>
      </c>
      <c r="E17" s="29">
        <v>8</v>
      </c>
      <c r="F17" s="28">
        <v>4414</v>
      </c>
      <c r="G17" s="28">
        <v>6974407068</v>
      </c>
      <c r="H17" s="29">
        <v>62.3</v>
      </c>
      <c r="I17" s="142">
        <v>-17.14</v>
      </c>
      <c r="J17" s="29">
        <v>12.94</v>
      </c>
      <c r="K17" s="29">
        <v>6.47</v>
      </c>
      <c r="L17" s="29">
        <v>40.450000000000003</v>
      </c>
      <c r="M17" s="368"/>
      <c r="N17" s="368"/>
      <c r="O17" s="271">
        <f>IFERROR(Table17[[#This Row],[PROFIT]]/Table17[[#This Row],[TO]],0)</f>
        <v>0</v>
      </c>
      <c r="P17" s="177"/>
      <c r="Q17" s="177"/>
      <c r="R17" s="177"/>
    </row>
    <row r="18" spans="1:18" hidden="1" x14ac:dyDescent="0.25">
      <c r="A18" s="29" t="s">
        <v>187</v>
      </c>
      <c r="B18" s="29" t="s">
        <v>5604</v>
      </c>
      <c r="C18" s="29" t="s">
        <v>1070</v>
      </c>
      <c r="D18" s="29" t="str">
        <f>VLOOKUP(C:C,'COUNT-CONT'!B:C,2,FALSE)</f>
        <v>Asia</v>
      </c>
      <c r="E18" s="29">
        <v>10</v>
      </c>
      <c r="F18" s="28">
        <v>5824</v>
      </c>
      <c r="G18" s="28">
        <v>7192073626</v>
      </c>
      <c r="H18" s="29">
        <v>61.97</v>
      </c>
      <c r="I18" s="142">
        <v>-17.47</v>
      </c>
      <c r="J18" s="29">
        <v>14.42</v>
      </c>
      <c r="K18" s="29">
        <v>9.31</v>
      </c>
      <c r="L18" s="29">
        <v>42.44</v>
      </c>
      <c r="M18" s="368"/>
      <c r="N18" s="368"/>
      <c r="O18" s="271">
        <f>IFERROR(Table17[[#This Row],[PROFIT]]/Table17[[#This Row],[TO]],0)</f>
        <v>0</v>
      </c>
      <c r="P18" s="177"/>
      <c r="Q18" s="177"/>
      <c r="R18" s="177"/>
    </row>
    <row r="19" spans="1:18" ht="30" hidden="1" x14ac:dyDescent="0.25">
      <c r="A19" s="29" t="s">
        <v>319</v>
      </c>
      <c r="B19" s="29" t="s">
        <v>5749</v>
      </c>
      <c r="C19" s="29" t="s">
        <v>1847</v>
      </c>
      <c r="D19" s="29" t="str">
        <f>VLOOKUP(C:C,'COUNT-CONT'!B:C,2,FALSE)</f>
        <v>Asia</v>
      </c>
      <c r="E19" s="29">
        <v>10</v>
      </c>
      <c r="F19" s="28">
        <v>16103</v>
      </c>
      <c r="G19" s="28">
        <v>9407810252</v>
      </c>
      <c r="H19" s="29">
        <v>61.64</v>
      </c>
      <c r="I19" s="142">
        <v>-17.799999999999997</v>
      </c>
      <c r="J19" s="29">
        <v>30.8</v>
      </c>
      <c r="K19" s="29">
        <v>27.27</v>
      </c>
      <c r="L19" s="29">
        <v>59.28</v>
      </c>
      <c r="M19" s="368"/>
      <c r="N19" s="368"/>
      <c r="O19" s="271">
        <f>IFERROR(Table17[[#This Row],[PROFIT]]/Table17[[#This Row],[TO]],0)</f>
        <v>0</v>
      </c>
      <c r="P19" s="177"/>
      <c r="Q19" s="177"/>
      <c r="R19" s="177"/>
    </row>
    <row r="20" spans="1:18" hidden="1" x14ac:dyDescent="0.25">
      <c r="A20" s="29" t="s">
        <v>414</v>
      </c>
      <c r="B20" s="29" t="s">
        <v>5600</v>
      </c>
      <c r="C20" s="29" t="s">
        <v>1070</v>
      </c>
      <c r="D20" s="29" t="str">
        <f>VLOOKUP(C:C,'COUNT-CONT'!B:C,2,FALSE)</f>
        <v>Asia</v>
      </c>
      <c r="E20" s="29">
        <v>10</v>
      </c>
      <c r="F20" s="28">
        <v>6556</v>
      </c>
      <c r="G20" s="28">
        <v>7150785234</v>
      </c>
      <c r="H20" s="29">
        <v>61.4</v>
      </c>
      <c r="I20" s="142">
        <v>-18.04</v>
      </c>
      <c r="J20" s="29">
        <v>14.3</v>
      </c>
      <c r="K20" s="29">
        <v>9.25</v>
      </c>
      <c r="L20" s="29">
        <v>42.05</v>
      </c>
      <c r="M20" s="368"/>
      <c r="N20" s="368"/>
      <c r="O20" s="271">
        <f>IFERROR(Table17[[#This Row],[PROFIT]]/Table17[[#This Row],[TO]],0)</f>
        <v>0</v>
      </c>
      <c r="P20" s="177"/>
      <c r="Q20" s="177"/>
      <c r="R20" s="177"/>
    </row>
    <row r="21" spans="1:18" hidden="1" x14ac:dyDescent="0.25">
      <c r="A21" s="177" t="s">
        <v>5663</v>
      </c>
      <c r="B21" s="177" t="s">
        <v>5662</v>
      </c>
      <c r="C21" s="177" t="s">
        <v>700</v>
      </c>
      <c r="D21" s="177" t="str">
        <f>VLOOKUP(C:C,'COUNT-CONT'!B:C,2,FALSE)</f>
        <v>Asia</v>
      </c>
      <c r="E21" s="177">
        <v>10</v>
      </c>
      <c r="F21" s="178">
        <v>6865</v>
      </c>
      <c r="G21" s="178">
        <v>7719833066</v>
      </c>
      <c r="H21" s="177">
        <v>61.19</v>
      </c>
      <c r="I21" s="142">
        <v>-18.25</v>
      </c>
      <c r="J21" s="177">
        <v>18.829999999999998</v>
      </c>
      <c r="K21" s="177">
        <v>14.12</v>
      </c>
      <c r="L21" s="177">
        <v>47.07</v>
      </c>
      <c r="M21" s="368"/>
      <c r="N21" s="368"/>
      <c r="O21" s="271">
        <f>IFERROR(Table17[[#This Row],[PROFIT]]/Table17[[#This Row],[TO]],0)</f>
        <v>0</v>
      </c>
      <c r="P21" s="177"/>
      <c r="Q21" s="177"/>
      <c r="R21" s="177"/>
    </row>
    <row r="22" spans="1:18" ht="45" hidden="1" x14ac:dyDescent="0.25">
      <c r="A22" s="31" t="s">
        <v>298</v>
      </c>
      <c r="B22" s="29" t="s">
        <v>5704</v>
      </c>
      <c r="C22" s="29" t="s">
        <v>517</v>
      </c>
      <c r="D22" s="29" t="str">
        <f>VLOOKUP(C:C,'COUNT-CONT'!B:C,2,FALSE)</f>
        <v>South America</v>
      </c>
      <c r="E22" s="29">
        <v>10</v>
      </c>
      <c r="F22" s="28">
        <v>7893</v>
      </c>
      <c r="G22" s="28">
        <v>8327763993</v>
      </c>
      <c r="H22" s="29">
        <v>60.97</v>
      </c>
      <c r="I22" s="142">
        <v>-18.47</v>
      </c>
      <c r="J22" s="29">
        <v>23.76</v>
      </c>
      <c r="K22" s="29">
        <v>19.62</v>
      </c>
      <c r="L22" s="29">
        <v>51.66</v>
      </c>
      <c r="M22" s="367">
        <v>2404929373</v>
      </c>
      <c r="N22" s="367">
        <v>2202682160</v>
      </c>
      <c r="O22" s="272">
        <f>IFERROR(Table17[[#This Row],[PROFIT]]/Table17[[#This Row],[TO]],0)</f>
        <v>0.91590305508734793</v>
      </c>
      <c r="P22" s="267">
        <v>546</v>
      </c>
      <c r="Q22" s="267">
        <v>297</v>
      </c>
      <c r="R22" s="268">
        <v>2674480</v>
      </c>
    </row>
    <row r="23" spans="1:18" hidden="1" x14ac:dyDescent="0.25">
      <c r="A23" s="29" t="s">
        <v>211</v>
      </c>
      <c r="B23" s="29" t="s">
        <v>5707</v>
      </c>
      <c r="C23" s="29" t="s">
        <v>709</v>
      </c>
      <c r="D23" s="29" t="str">
        <f>VLOOKUP(C:C,'COUNT-CONT'!B:C,2,FALSE)</f>
        <v>Asia</v>
      </c>
      <c r="E23" s="29">
        <v>10</v>
      </c>
      <c r="F23" s="28">
        <v>10431</v>
      </c>
      <c r="G23" s="28">
        <v>8379454894</v>
      </c>
      <c r="H23" s="29">
        <v>60.31</v>
      </c>
      <c r="I23" s="142">
        <v>-19.129999999999995</v>
      </c>
      <c r="J23" s="29">
        <v>23.91</v>
      </c>
      <c r="K23" s="29">
        <v>19.739999999999998</v>
      </c>
      <c r="L23" s="29">
        <v>52</v>
      </c>
      <c r="M23" s="368"/>
      <c r="N23" s="368"/>
      <c r="O23" s="271">
        <f>IFERROR(Table17[[#This Row],[PROFIT]]/Table17[[#This Row],[TO]],0)</f>
        <v>0</v>
      </c>
      <c r="P23" s="177"/>
      <c r="Q23" s="177"/>
      <c r="R23" s="177"/>
    </row>
    <row r="24" spans="1:18" hidden="1" x14ac:dyDescent="0.25">
      <c r="A24" s="29" t="s">
        <v>166</v>
      </c>
      <c r="B24" s="29" t="s">
        <v>5687</v>
      </c>
      <c r="C24" s="29" t="s">
        <v>717</v>
      </c>
      <c r="D24" s="29" t="str">
        <f>VLOOKUP(C:C,'COUNT-CONT'!B:C,2,FALSE)</f>
        <v>Asia</v>
      </c>
      <c r="E24" s="29">
        <v>10</v>
      </c>
      <c r="F24" s="28">
        <v>8357</v>
      </c>
      <c r="G24" s="28">
        <v>8005326181</v>
      </c>
      <c r="H24" s="29">
        <v>60.19</v>
      </c>
      <c r="I24" s="142">
        <v>-19.25</v>
      </c>
      <c r="J24" s="29">
        <v>21.7</v>
      </c>
      <c r="K24" s="29">
        <v>17.739999999999998</v>
      </c>
      <c r="L24" s="29">
        <v>49.33</v>
      </c>
      <c r="M24" s="368"/>
      <c r="N24" s="368"/>
      <c r="O24" s="271">
        <f>IFERROR(Table17[[#This Row],[PROFIT]]/Table17[[#This Row],[TO]],0)</f>
        <v>0</v>
      </c>
      <c r="P24" s="177"/>
      <c r="Q24" s="177"/>
      <c r="R24" s="177"/>
    </row>
    <row r="25" spans="1:18" hidden="1" x14ac:dyDescent="0.25">
      <c r="A25" s="29" t="s">
        <v>97</v>
      </c>
      <c r="B25" s="29" t="s">
        <v>5700</v>
      </c>
      <c r="C25" s="29" t="s">
        <v>14</v>
      </c>
      <c r="D25" s="29" t="str">
        <f>VLOOKUP(C:C,'COUNT-CONT'!B:C,2,FALSE)</f>
        <v>Asia</v>
      </c>
      <c r="E25" s="29">
        <v>10</v>
      </c>
      <c r="F25" s="28">
        <v>8137</v>
      </c>
      <c r="G25" s="28">
        <v>8175184957</v>
      </c>
      <c r="H25" s="29">
        <v>59.95</v>
      </c>
      <c r="I25" s="142">
        <v>-19.489999999999995</v>
      </c>
      <c r="J25" s="29">
        <v>23.37</v>
      </c>
      <c r="K25" s="29">
        <v>19.29</v>
      </c>
      <c r="L25" s="29">
        <v>50.82</v>
      </c>
      <c r="M25" s="368"/>
      <c r="N25" s="368"/>
      <c r="O25" s="271">
        <f>IFERROR(Table17[[#This Row],[PROFIT]]/Table17[[#This Row],[TO]],0)</f>
        <v>0</v>
      </c>
      <c r="P25" s="177"/>
      <c r="Q25" s="177"/>
      <c r="R25" s="177"/>
    </row>
    <row r="26" spans="1:18" hidden="1" x14ac:dyDescent="0.25">
      <c r="A26" s="29" t="s">
        <v>100</v>
      </c>
      <c r="B26" s="29" t="s">
        <v>5648</v>
      </c>
      <c r="C26" s="29" t="s">
        <v>1314</v>
      </c>
      <c r="D26" s="29" t="str">
        <f>VLOOKUP(C:C,'COUNT-CONT'!B:C,2,FALSE)</f>
        <v>Asia</v>
      </c>
      <c r="E26" s="29">
        <v>10</v>
      </c>
      <c r="F26" s="28">
        <v>6544</v>
      </c>
      <c r="G26" s="28">
        <v>7588892909</v>
      </c>
      <c r="H26" s="29">
        <v>59.76</v>
      </c>
      <c r="I26" s="142">
        <v>-19.68</v>
      </c>
      <c r="J26" s="29">
        <v>19.29</v>
      </c>
      <c r="K26" s="29">
        <v>13.78</v>
      </c>
      <c r="L26" s="29">
        <v>45.98</v>
      </c>
      <c r="M26" s="368"/>
      <c r="N26" s="368"/>
      <c r="O26" s="271">
        <f>IFERROR(Table17[[#This Row],[PROFIT]]/Table17[[#This Row],[TO]],0)</f>
        <v>0</v>
      </c>
      <c r="P26" s="177"/>
      <c r="Q26" s="177"/>
      <c r="R26" s="177"/>
    </row>
    <row r="27" spans="1:18" hidden="1" x14ac:dyDescent="0.25">
      <c r="A27" s="29" t="s">
        <v>65</v>
      </c>
      <c r="B27" s="29" t="s">
        <v>5698</v>
      </c>
      <c r="C27" s="29" t="s">
        <v>14</v>
      </c>
      <c r="D27" s="29" t="str">
        <f>VLOOKUP(C:C,'COUNT-CONT'!B:C,2,FALSE)</f>
        <v>Asia</v>
      </c>
      <c r="E27" s="29">
        <v>10</v>
      </c>
      <c r="F27" s="28">
        <v>8025</v>
      </c>
      <c r="G27" s="28">
        <v>8137071651</v>
      </c>
      <c r="H27" s="29">
        <v>59.58</v>
      </c>
      <c r="I27" s="142">
        <v>-19.86</v>
      </c>
      <c r="J27" s="29">
        <v>23.22</v>
      </c>
      <c r="K27" s="29">
        <v>19.170000000000002</v>
      </c>
      <c r="L27" s="29">
        <v>50.51</v>
      </c>
      <c r="M27" s="368"/>
      <c r="N27" s="368"/>
      <c r="O27" s="271">
        <f>IFERROR(Table17[[#This Row],[PROFIT]]/Table17[[#This Row],[TO]],0)</f>
        <v>0</v>
      </c>
      <c r="P27" s="177"/>
      <c r="Q27" s="177"/>
      <c r="R27" s="177"/>
    </row>
    <row r="28" spans="1:18" hidden="1" x14ac:dyDescent="0.25">
      <c r="A28" s="29" t="s">
        <v>270</v>
      </c>
      <c r="B28" s="29" t="s">
        <v>5750</v>
      </c>
      <c r="C28" s="29" t="s">
        <v>142</v>
      </c>
      <c r="D28" s="29" t="str">
        <f>VLOOKUP(C:C,'COUNT-CONT'!B:C,2,FALSE)</f>
        <v>Asia</v>
      </c>
      <c r="E28" s="29">
        <v>8</v>
      </c>
      <c r="F28" s="28">
        <v>13702</v>
      </c>
      <c r="G28" s="28">
        <v>9385280251</v>
      </c>
      <c r="H28" s="29">
        <v>59.55</v>
      </c>
      <c r="I28" s="142">
        <v>-19.89</v>
      </c>
      <c r="J28" s="29">
        <v>32.130000000000003</v>
      </c>
      <c r="K28" s="29">
        <v>28.57</v>
      </c>
      <c r="L28" s="29">
        <v>59.55</v>
      </c>
      <c r="M28" s="368"/>
      <c r="N28" s="368"/>
      <c r="O28" s="271">
        <f>IFERROR(Table17[[#This Row],[PROFIT]]/Table17[[#This Row],[TO]],0)</f>
        <v>0</v>
      </c>
      <c r="P28" s="177"/>
      <c r="Q28" s="177"/>
      <c r="R28" s="177"/>
    </row>
    <row r="29" spans="1:18" hidden="1" x14ac:dyDescent="0.25">
      <c r="A29" s="29" t="s">
        <v>388</v>
      </c>
      <c r="B29" s="29" t="s">
        <v>5629</v>
      </c>
      <c r="C29" s="29" t="s">
        <v>1124</v>
      </c>
      <c r="D29" s="29" t="str">
        <f>VLOOKUP(C:C,'COUNT-CONT'!B:C,2,FALSE)</f>
        <v>Africa</v>
      </c>
      <c r="E29" s="29">
        <v>10</v>
      </c>
      <c r="F29" s="28">
        <v>7191</v>
      </c>
      <c r="G29" s="28">
        <v>7383168989</v>
      </c>
      <c r="H29" s="29">
        <v>59.37</v>
      </c>
      <c r="I29" s="142">
        <v>-20.07</v>
      </c>
      <c r="J29" s="29">
        <v>17.71</v>
      </c>
      <c r="K29" s="29">
        <v>12.39</v>
      </c>
      <c r="L29" s="29">
        <v>44.32</v>
      </c>
      <c r="M29" s="368"/>
      <c r="N29" s="368"/>
      <c r="O29" s="271">
        <f>IFERROR(Table17[[#This Row],[PROFIT]]/Table17[[#This Row],[TO]],0)</f>
        <v>0</v>
      </c>
      <c r="P29" s="177"/>
      <c r="Q29" s="177"/>
      <c r="R29" s="177"/>
    </row>
    <row r="30" spans="1:18" hidden="1" x14ac:dyDescent="0.25">
      <c r="A30" s="31" t="s">
        <v>335</v>
      </c>
      <c r="B30" s="29" t="s">
        <v>5678</v>
      </c>
      <c r="C30" s="29" t="s">
        <v>78</v>
      </c>
      <c r="D30" s="29" t="str">
        <f>VLOOKUP(C:C,'COUNT-CONT'!B:C,2,FALSE)</f>
        <v>Europe</v>
      </c>
      <c r="E30" s="29">
        <v>10</v>
      </c>
      <c r="F30" s="28">
        <v>8115</v>
      </c>
      <c r="G30" s="28">
        <v>7876351447</v>
      </c>
      <c r="H30" s="29">
        <v>58.95</v>
      </c>
      <c r="I30" s="142">
        <v>-20.489999999999995</v>
      </c>
      <c r="J30" s="29">
        <v>21.25</v>
      </c>
      <c r="K30" s="29">
        <v>17.38</v>
      </c>
      <c r="L30" s="29">
        <v>48.31</v>
      </c>
      <c r="M30" s="367">
        <v>2010531434</v>
      </c>
      <c r="N30" s="367">
        <v>1826475387</v>
      </c>
      <c r="O30" s="272">
        <f>IFERROR(Table17[[#This Row],[PROFIT]]/Table17[[#This Row],[TO]],0)</f>
        <v>0.90845403166176009</v>
      </c>
      <c r="P30" s="267">
        <v>561</v>
      </c>
      <c r="Q30" s="267">
        <v>330</v>
      </c>
      <c r="R30" s="268">
        <v>2319372</v>
      </c>
    </row>
    <row r="31" spans="1:18" ht="30" hidden="1" x14ac:dyDescent="0.25">
      <c r="A31" s="29" t="s">
        <v>378</v>
      </c>
      <c r="B31" s="29" t="s">
        <v>5571</v>
      </c>
      <c r="C31" s="29" t="s">
        <v>1070</v>
      </c>
      <c r="D31" s="29" t="str">
        <f>VLOOKUP(C:C,'COUNT-CONT'!B:C,2,FALSE)</f>
        <v>Asia</v>
      </c>
      <c r="E31" s="29">
        <v>10</v>
      </c>
      <c r="F31" s="28">
        <v>4197</v>
      </c>
      <c r="G31" s="28">
        <v>6953391970</v>
      </c>
      <c r="H31" s="29">
        <v>58.68</v>
      </c>
      <c r="I31" s="142">
        <v>-20.759999999999998</v>
      </c>
      <c r="J31" s="29">
        <v>13.66</v>
      </c>
      <c r="K31" s="29">
        <v>8.83</v>
      </c>
      <c r="L31" s="29">
        <v>40.18</v>
      </c>
      <c r="M31" s="368"/>
      <c r="N31" s="368"/>
      <c r="O31" s="271">
        <f>IFERROR(Table17[[#This Row],[PROFIT]]/Table17[[#This Row],[TO]],0)</f>
        <v>0</v>
      </c>
      <c r="P31" s="177"/>
      <c r="Q31" s="177"/>
      <c r="R31" s="177"/>
    </row>
    <row r="32" spans="1:18" hidden="1" x14ac:dyDescent="0.25">
      <c r="A32" s="29" t="s">
        <v>347</v>
      </c>
      <c r="B32" s="29" t="s">
        <v>5690</v>
      </c>
      <c r="C32" s="29" t="s">
        <v>14</v>
      </c>
      <c r="D32" s="29" t="str">
        <f>VLOOKUP(C:C,'COUNT-CONT'!B:C,2,FALSE)</f>
        <v>Asia</v>
      </c>
      <c r="E32" s="29">
        <v>10</v>
      </c>
      <c r="F32" s="28">
        <v>8128</v>
      </c>
      <c r="G32" s="28">
        <v>8024134645</v>
      </c>
      <c r="H32" s="29">
        <v>58.46</v>
      </c>
      <c r="I32" s="142">
        <v>-20.979999999999997</v>
      </c>
      <c r="J32" s="29">
        <v>22.79</v>
      </c>
      <c r="K32" s="29">
        <v>18.829999999999998</v>
      </c>
      <c r="L32" s="29">
        <v>49.55</v>
      </c>
      <c r="M32" s="368"/>
      <c r="N32" s="368"/>
      <c r="O32" s="271">
        <f>IFERROR(Table17[[#This Row],[PROFIT]]/Table17[[#This Row],[TO]],0)</f>
        <v>0</v>
      </c>
      <c r="P32" s="177"/>
      <c r="Q32" s="177"/>
      <c r="R32" s="177"/>
    </row>
    <row r="33" spans="1:18" hidden="1" x14ac:dyDescent="0.25">
      <c r="A33" s="29" t="s">
        <v>259</v>
      </c>
      <c r="B33" s="29" t="s">
        <v>5712</v>
      </c>
      <c r="C33" s="29" t="s">
        <v>258</v>
      </c>
      <c r="D33" s="29" t="str">
        <f>VLOOKUP(C:C,'COUNT-CONT'!B:C,2,FALSE)</f>
        <v>Asia</v>
      </c>
      <c r="E33" s="29">
        <v>10</v>
      </c>
      <c r="F33" s="28">
        <v>10704</v>
      </c>
      <c r="G33" s="28">
        <v>8599365321</v>
      </c>
      <c r="H33" s="29">
        <v>58.46</v>
      </c>
      <c r="I33" s="142">
        <v>-20.979999999999997</v>
      </c>
      <c r="J33" s="29">
        <v>25.51</v>
      </c>
      <c r="K33" s="29">
        <v>22.31</v>
      </c>
      <c r="L33" s="29">
        <v>53.14</v>
      </c>
      <c r="M33" s="368"/>
      <c r="N33" s="368"/>
      <c r="O33" s="271">
        <f>IFERROR(Table17[[#This Row],[PROFIT]]/Table17[[#This Row],[TO]],0)</f>
        <v>0</v>
      </c>
      <c r="P33" s="177"/>
      <c r="Q33" s="177"/>
      <c r="R33" s="177"/>
    </row>
    <row r="34" spans="1:18" hidden="1" x14ac:dyDescent="0.25">
      <c r="A34" s="29" t="s">
        <v>5452</v>
      </c>
      <c r="B34" s="29" t="s">
        <v>5451</v>
      </c>
      <c r="C34" s="29" t="s">
        <v>2059</v>
      </c>
      <c r="D34" s="29" t="str">
        <f>VLOOKUP(C:C,'COUNT-CONT'!B:C,2,FALSE)</f>
        <v>Africa</v>
      </c>
      <c r="E34" s="29">
        <v>10</v>
      </c>
      <c r="F34" s="28">
        <v>4482</v>
      </c>
      <c r="G34" s="28">
        <v>6497126149</v>
      </c>
      <c r="H34" s="29">
        <v>58.22</v>
      </c>
      <c r="I34" s="142">
        <v>-21.22</v>
      </c>
      <c r="J34" s="29">
        <v>10.19</v>
      </c>
      <c r="K34" s="29">
        <v>4.3499999999999996</v>
      </c>
      <c r="L34" s="29">
        <v>36.4</v>
      </c>
      <c r="M34" s="368"/>
      <c r="N34" s="368"/>
      <c r="O34" s="271">
        <f>IFERROR(Table17[[#This Row],[PROFIT]]/Table17[[#This Row],[TO]],0)</f>
        <v>0</v>
      </c>
      <c r="P34" s="177"/>
      <c r="Q34" s="177"/>
      <c r="R34" s="177"/>
    </row>
    <row r="35" spans="1:18" ht="30" hidden="1" x14ac:dyDescent="0.25">
      <c r="A35" s="29" t="s">
        <v>484</v>
      </c>
      <c r="B35" s="29" t="s">
        <v>5447</v>
      </c>
      <c r="C35" s="29" t="s">
        <v>2059</v>
      </c>
      <c r="D35" s="29" t="str">
        <f>VLOOKUP(C:C,'COUNT-CONT'!B:C,2,FALSE)</f>
        <v>Africa</v>
      </c>
      <c r="E35" s="29">
        <v>10</v>
      </c>
      <c r="F35" s="28">
        <v>5013</v>
      </c>
      <c r="G35" s="28">
        <v>6503829483</v>
      </c>
      <c r="H35" s="29">
        <v>57.92</v>
      </c>
      <c r="I35" s="142">
        <v>-21.519999999999996</v>
      </c>
      <c r="J35" s="29">
        <v>10.130000000000001</v>
      </c>
      <c r="K35" s="29">
        <v>4.32</v>
      </c>
      <c r="L35" s="29">
        <v>36.19</v>
      </c>
      <c r="M35" s="368"/>
      <c r="N35" s="368"/>
      <c r="O35" s="271">
        <f>IFERROR(Table17[[#This Row],[PROFIT]]/Table17[[#This Row],[TO]],0)</f>
        <v>0</v>
      </c>
      <c r="P35" s="177"/>
      <c r="Q35" s="177"/>
      <c r="R35" s="177"/>
    </row>
    <row r="36" spans="1:18" ht="30" hidden="1" x14ac:dyDescent="0.25">
      <c r="A36" s="31" t="s">
        <v>137</v>
      </c>
      <c r="B36" s="29" t="s">
        <v>5477</v>
      </c>
      <c r="C36" s="29" t="s">
        <v>5476</v>
      </c>
      <c r="D36" s="29" t="str">
        <f>VLOOKUP(C:C,'COUNT-CONT'!B:C,2,FALSE)</f>
        <v>North America</v>
      </c>
      <c r="E36" s="29">
        <v>9</v>
      </c>
      <c r="F36" s="28">
        <v>4238</v>
      </c>
      <c r="G36" s="28">
        <v>6498556394</v>
      </c>
      <c r="H36" s="29">
        <v>56.65</v>
      </c>
      <c r="I36" s="142">
        <v>-22.79</v>
      </c>
      <c r="J36" s="29">
        <v>11.91</v>
      </c>
      <c r="K36" s="29">
        <v>6.68</v>
      </c>
      <c r="L36" s="29">
        <v>37.270000000000003</v>
      </c>
      <c r="M36" s="269">
        <v>3965451461</v>
      </c>
      <c r="N36" s="269">
        <v>3676238443</v>
      </c>
      <c r="O36" s="271">
        <f>IFERROR(Table17[[#This Row],[PROFIT]]/Table17[[#This Row],[TO]],0)</f>
        <v>0.92706681172512273</v>
      </c>
      <c r="P36" s="177">
        <v>1416</v>
      </c>
      <c r="Q36" s="177">
        <v>497</v>
      </c>
      <c r="R36" s="177">
        <v>4116218</v>
      </c>
    </row>
    <row r="37" spans="1:18" ht="30" hidden="1" x14ac:dyDescent="0.25">
      <c r="A37" s="29" t="s">
        <v>173</v>
      </c>
      <c r="B37" s="29" t="s">
        <v>5691</v>
      </c>
      <c r="C37" s="29" t="s">
        <v>172</v>
      </c>
      <c r="D37" s="29" t="str">
        <f>VLOOKUP(C:C,'COUNT-CONT'!B:C,2,FALSE)</f>
        <v>Asia</v>
      </c>
      <c r="E37" s="29">
        <v>10</v>
      </c>
      <c r="F37" s="28">
        <v>4453</v>
      </c>
      <c r="G37" s="28">
        <v>8187824477</v>
      </c>
      <c r="H37" s="29">
        <v>56.56</v>
      </c>
      <c r="I37" s="142">
        <v>-22.879999999999995</v>
      </c>
      <c r="J37" s="29">
        <v>22.82</v>
      </c>
      <c r="K37" s="29">
        <v>19.829999999999998</v>
      </c>
      <c r="L37" s="29">
        <v>49.64</v>
      </c>
      <c r="M37" s="368"/>
      <c r="N37" s="368"/>
      <c r="O37" s="271">
        <f>IFERROR(Table17[[#This Row],[PROFIT]]/Table17[[#This Row],[TO]],0)</f>
        <v>0</v>
      </c>
      <c r="P37" s="177"/>
      <c r="Q37" s="177"/>
      <c r="R37" s="177"/>
    </row>
    <row r="38" spans="1:18" ht="30" hidden="1" x14ac:dyDescent="0.25">
      <c r="A38" s="29" t="s">
        <v>5703</v>
      </c>
      <c r="B38" s="29" t="s">
        <v>5702</v>
      </c>
      <c r="C38" s="29" t="s">
        <v>1749</v>
      </c>
      <c r="D38" s="29" t="str">
        <f>VLOOKUP(C:C,'COUNT-CONT'!B:C,2,FALSE)</f>
        <v>North America</v>
      </c>
      <c r="E38" s="29">
        <v>10</v>
      </c>
      <c r="F38" s="28">
        <v>9707</v>
      </c>
      <c r="G38" s="28">
        <v>8285320284</v>
      </c>
      <c r="H38" s="29">
        <v>56.5</v>
      </c>
      <c r="I38" s="142">
        <v>-22.939999999999998</v>
      </c>
      <c r="J38" s="29">
        <v>25.67</v>
      </c>
      <c r="K38" s="29">
        <v>21.55</v>
      </c>
      <c r="L38" s="29">
        <v>51.36</v>
      </c>
      <c r="M38" s="368"/>
      <c r="N38" s="368"/>
      <c r="O38" s="271">
        <f>IFERROR(Table17[[#This Row],[PROFIT]]/Table17[[#This Row],[TO]],0)</f>
        <v>0</v>
      </c>
      <c r="P38" s="177"/>
      <c r="Q38" s="177"/>
      <c r="R38" s="177"/>
    </row>
    <row r="39" spans="1:18" hidden="1" x14ac:dyDescent="0.25">
      <c r="A39" s="29" t="s">
        <v>110</v>
      </c>
      <c r="B39" s="29" t="s">
        <v>5684</v>
      </c>
      <c r="C39" s="29" t="s">
        <v>172</v>
      </c>
      <c r="D39" s="29" t="str">
        <f>VLOOKUP(C:C,'COUNT-CONT'!B:C,2,FALSE)</f>
        <v>Asia</v>
      </c>
      <c r="E39" s="29">
        <v>10</v>
      </c>
      <c r="F39" s="28">
        <v>9377</v>
      </c>
      <c r="G39" s="28">
        <v>8029808307</v>
      </c>
      <c r="H39" s="29">
        <v>56.17</v>
      </c>
      <c r="I39" s="142">
        <v>-23.269999999999996</v>
      </c>
      <c r="J39" s="29">
        <v>22.67</v>
      </c>
      <c r="K39" s="29">
        <v>19.71</v>
      </c>
      <c r="L39" s="29">
        <v>49.27</v>
      </c>
      <c r="M39" s="368"/>
      <c r="N39" s="368"/>
      <c r="O39" s="271">
        <f>IFERROR(Table17[[#This Row],[PROFIT]]/Table17[[#This Row],[TO]],0)</f>
        <v>0</v>
      </c>
      <c r="P39" s="177"/>
      <c r="Q39" s="177"/>
      <c r="R39" s="177"/>
    </row>
    <row r="40" spans="1:18" ht="30" hidden="1" x14ac:dyDescent="0.25">
      <c r="A40" s="29" t="s">
        <v>217</v>
      </c>
      <c r="B40" s="29" t="s">
        <v>5670</v>
      </c>
      <c r="C40" s="29" t="s">
        <v>14</v>
      </c>
      <c r="D40" s="29" t="str">
        <f>VLOOKUP(C:C,'COUNT-CONT'!B:C,2,FALSE)</f>
        <v>Asia</v>
      </c>
      <c r="E40" s="29">
        <v>10</v>
      </c>
      <c r="F40" s="28">
        <v>7799</v>
      </c>
      <c r="G40" s="28">
        <v>7761843723</v>
      </c>
      <c r="H40" s="29">
        <v>55.99</v>
      </c>
      <c r="I40" s="142">
        <v>-23.449999999999996</v>
      </c>
      <c r="J40" s="29">
        <v>21.8</v>
      </c>
      <c r="K40" s="29">
        <v>18.02</v>
      </c>
      <c r="L40" s="29">
        <v>47.43</v>
      </c>
      <c r="M40" s="368"/>
      <c r="N40" s="368"/>
      <c r="O40" s="271">
        <f>IFERROR(Table17[[#This Row],[PROFIT]]/Table17[[#This Row],[TO]],0)</f>
        <v>0</v>
      </c>
      <c r="P40" s="177"/>
      <c r="Q40" s="177"/>
      <c r="R40" s="177"/>
    </row>
    <row r="41" spans="1:18" hidden="1" x14ac:dyDescent="0.25">
      <c r="A41" s="29" t="s">
        <v>215</v>
      </c>
      <c r="B41" s="29" t="s">
        <v>5614</v>
      </c>
      <c r="C41" s="29" t="s">
        <v>1261</v>
      </c>
      <c r="D41" s="29" t="str">
        <f>VLOOKUP(C:C,'COUNT-CONT'!B:C,2,FALSE)</f>
        <v>Asia</v>
      </c>
      <c r="E41" s="29">
        <v>10</v>
      </c>
      <c r="F41" s="28">
        <v>6354</v>
      </c>
      <c r="G41" s="28">
        <v>7163314754</v>
      </c>
      <c r="H41" s="29">
        <v>55.74</v>
      </c>
      <c r="I41" s="142">
        <v>-23.699999999999996</v>
      </c>
      <c r="J41" s="29">
        <v>17.989999999999998</v>
      </c>
      <c r="K41" s="29">
        <v>12.85</v>
      </c>
      <c r="L41" s="29">
        <v>42.87</v>
      </c>
      <c r="M41" s="368"/>
      <c r="N41" s="368"/>
      <c r="O41" s="271">
        <f>IFERROR(Table17[[#This Row],[PROFIT]]/Table17[[#This Row],[TO]],0)</f>
        <v>0</v>
      </c>
      <c r="P41" s="177"/>
      <c r="Q41" s="177"/>
      <c r="R41" s="177"/>
    </row>
    <row r="42" spans="1:18" hidden="1" x14ac:dyDescent="0.25">
      <c r="A42" s="29" t="s">
        <v>263</v>
      </c>
      <c r="B42" s="29" t="s">
        <v>5503</v>
      </c>
      <c r="C42" s="29" t="s">
        <v>1070</v>
      </c>
      <c r="D42" s="29" t="str">
        <f>VLOOKUP(C:C,'COUNT-CONT'!B:C,2,FALSE)</f>
        <v>Asia</v>
      </c>
      <c r="E42" s="29">
        <v>9</v>
      </c>
      <c r="F42" s="28">
        <v>4497</v>
      </c>
      <c r="G42" s="28">
        <v>6589007516</v>
      </c>
      <c r="H42" s="29">
        <v>55.35</v>
      </c>
      <c r="I42" s="142">
        <v>-24.089999999999996</v>
      </c>
      <c r="J42" s="29">
        <v>12.88</v>
      </c>
      <c r="K42" s="29">
        <v>8.31</v>
      </c>
      <c r="L42" s="29">
        <v>37.909999999999997</v>
      </c>
      <c r="M42" s="368"/>
      <c r="N42" s="368"/>
      <c r="O42" s="271">
        <f>IFERROR(Table17[[#This Row],[PROFIT]]/Table17[[#This Row],[TO]],0)</f>
        <v>0</v>
      </c>
      <c r="P42" s="177"/>
      <c r="Q42" s="177"/>
      <c r="R42" s="177"/>
    </row>
    <row r="43" spans="1:18" hidden="1" x14ac:dyDescent="0.25">
      <c r="A43" s="29" t="s">
        <v>81</v>
      </c>
      <c r="B43" s="29" t="s">
        <v>5577</v>
      </c>
      <c r="C43" s="29" t="s">
        <v>1261</v>
      </c>
      <c r="D43" s="29" t="str">
        <f>VLOOKUP(C:C,'COUNT-CONT'!B:C,2,FALSE)</f>
        <v>Asia</v>
      </c>
      <c r="E43" s="29">
        <v>9</v>
      </c>
      <c r="F43" s="28">
        <v>4975</v>
      </c>
      <c r="G43" s="28">
        <v>6902705527</v>
      </c>
      <c r="H43" s="29">
        <v>55.11</v>
      </c>
      <c r="I43" s="142">
        <v>-24.33</v>
      </c>
      <c r="J43" s="29">
        <v>15.39</v>
      </c>
      <c r="K43" s="29">
        <v>11.34</v>
      </c>
      <c r="L43" s="29">
        <v>40.54</v>
      </c>
      <c r="M43" s="368"/>
      <c r="N43" s="368"/>
      <c r="O43" s="271">
        <f>IFERROR(Table17[[#This Row],[PROFIT]]/Table17[[#This Row],[TO]],0)</f>
        <v>0</v>
      </c>
      <c r="P43" s="177"/>
      <c r="Q43" s="177"/>
      <c r="R43" s="177"/>
    </row>
    <row r="44" spans="1:18" ht="30" hidden="1" x14ac:dyDescent="0.25">
      <c r="A44" s="29" t="s">
        <v>408</v>
      </c>
      <c r="B44" s="29" t="s">
        <v>5669</v>
      </c>
      <c r="C44" s="29" t="s">
        <v>860</v>
      </c>
      <c r="D44" s="29" t="str">
        <f>VLOOKUP(C:C,'COUNT-CONT'!B:C,2,FALSE)</f>
        <v>South America</v>
      </c>
      <c r="E44" s="29">
        <v>10</v>
      </c>
      <c r="F44" s="28">
        <v>6402</v>
      </c>
      <c r="G44" s="28">
        <v>7791021305</v>
      </c>
      <c r="H44" s="29">
        <v>55.02</v>
      </c>
      <c r="I44" s="142">
        <v>-24.419999999999995</v>
      </c>
      <c r="J44" s="29">
        <v>21.8</v>
      </c>
      <c r="K44" s="29">
        <v>18.02</v>
      </c>
      <c r="L44" s="29">
        <v>47.43</v>
      </c>
      <c r="M44" s="368"/>
      <c r="N44" s="368"/>
      <c r="O44" s="271">
        <f>IFERROR(Table17[[#This Row],[PROFIT]]/Table17[[#This Row],[TO]],0)</f>
        <v>0</v>
      </c>
      <c r="P44" s="177"/>
      <c r="Q44" s="177"/>
      <c r="R44" s="177"/>
    </row>
    <row r="45" spans="1:18" hidden="1" x14ac:dyDescent="0.25">
      <c r="A45" s="29" t="s">
        <v>79</v>
      </c>
      <c r="B45" s="29" t="s">
        <v>5637</v>
      </c>
      <c r="C45" s="29" t="s">
        <v>78</v>
      </c>
      <c r="D45" s="29" t="str">
        <f>VLOOKUP(C:C,'COUNT-CONT'!B:C,2,FALSE)</f>
        <v>Europe</v>
      </c>
      <c r="E45" s="29">
        <v>10</v>
      </c>
      <c r="F45" s="28">
        <v>6827</v>
      </c>
      <c r="G45" s="28">
        <v>7432724945</v>
      </c>
      <c r="H45" s="29">
        <v>54.84</v>
      </c>
      <c r="I45" s="142">
        <v>-24.599999999999994</v>
      </c>
      <c r="J45" s="29">
        <v>19.77</v>
      </c>
      <c r="K45" s="29">
        <v>16.170000000000002</v>
      </c>
      <c r="L45" s="29">
        <v>44.95</v>
      </c>
      <c r="M45" s="368"/>
      <c r="N45" s="368"/>
      <c r="O45" s="271">
        <f>IFERROR(Table17[[#This Row],[PROFIT]]/Table17[[#This Row],[TO]],0)</f>
        <v>0</v>
      </c>
      <c r="P45" s="177"/>
      <c r="Q45" s="177"/>
      <c r="R45" s="177"/>
    </row>
    <row r="46" spans="1:18" ht="30" hidden="1" x14ac:dyDescent="0.25">
      <c r="A46" s="29" t="s">
        <v>306</v>
      </c>
      <c r="B46" s="29" t="s">
        <v>5755</v>
      </c>
      <c r="C46" s="29" t="s">
        <v>1427</v>
      </c>
      <c r="D46" s="29" t="str">
        <f>VLOOKUP(C:C,'COUNT-CONT'!B:C,2,FALSE)</f>
        <v>Europe</v>
      </c>
      <c r="E46" s="29">
        <v>10</v>
      </c>
      <c r="F46" s="28">
        <v>15780</v>
      </c>
      <c r="G46" s="28">
        <v>9459708491</v>
      </c>
      <c r="H46" s="29">
        <v>54.78</v>
      </c>
      <c r="I46" s="142">
        <v>-24.659999999999997</v>
      </c>
      <c r="J46" s="29">
        <v>33.340000000000003</v>
      </c>
      <c r="K46" s="29">
        <v>30.96</v>
      </c>
      <c r="L46" s="29">
        <v>59.55</v>
      </c>
      <c r="M46" s="368"/>
      <c r="N46" s="368"/>
      <c r="O46" s="271">
        <f>IFERROR(Table17[[#This Row],[PROFIT]]/Table17[[#This Row],[TO]],0)</f>
        <v>0</v>
      </c>
      <c r="P46" s="177"/>
      <c r="Q46" s="177"/>
      <c r="R46" s="177"/>
    </row>
    <row r="47" spans="1:18" ht="30" hidden="1" x14ac:dyDescent="0.25">
      <c r="A47" s="29" t="s">
        <v>195</v>
      </c>
      <c r="B47" s="29" t="s">
        <v>5760</v>
      </c>
      <c r="C47" s="29" t="s">
        <v>83</v>
      </c>
      <c r="D47" s="29" t="str">
        <f>VLOOKUP(C:C,'COUNT-CONT'!B:C,2,FALSE)</f>
        <v>Europe</v>
      </c>
      <c r="E47" s="29">
        <v>10</v>
      </c>
      <c r="F47" s="28">
        <v>18184</v>
      </c>
      <c r="G47" s="28">
        <v>9440692740</v>
      </c>
      <c r="H47" s="29">
        <v>54.78</v>
      </c>
      <c r="I47" s="142">
        <v>-24.659999999999997</v>
      </c>
      <c r="J47" s="29">
        <v>33.340000000000003</v>
      </c>
      <c r="K47" s="29">
        <v>30.96</v>
      </c>
      <c r="L47" s="29">
        <v>59.55</v>
      </c>
      <c r="M47" s="368"/>
      <c r="N47" s="368"/>
      <c r="O47" s="271">
        <f>IFERROR(Table17[[#This Row],[PROFIT]]/Table17[[#This Row],[TO]],0)</f>
        <v>0</v>
      </c>
      <c r="P47" s="177"/>
      <c r="Q47" s="177"/>
      <c r="R47" s="177"/>
    </row>
    <row r="48" spans="1:18" hidden="1" x14ac:dyDescent="0.25">
      <c r="A48" s="29" t="s">
        <v>343</v>
      </c>
      <c r="B48" s="29" t="s">
        <v>5346</v>
      </c>
      <c r="C48" s="29" t="s">
        <v>1710</v>
      </c>
      <c r="D48" s="29" t="str">
        <f>VLOOKUP(C:C,'COUNT-CONT'!B:C,2,FALSE)</f>
        <v>Asia</v>
      </c>
      <c r="E48" s="29">
        <v>9</v>
      </c>
      <c r="F48" s="28">
        <v>4089</v>
      </c>
      <c r="G48" s="28">
        <v>6228014428</v>
      </c>
      <c r="H48" s="29">
        <v>54.69</v>
      </c>
      <c r="I48" s="142">
        <v>-24.75</v>
      </c>
      <c r="J48" s="29">
        <v>10.25</v>
      </c>
      <c r="K48" s="29">
        <v>4.08</v>
      </c>
      <c r="L48" s="29">
        <v>34.19</v>
      </c>
      <c r="M48" s="368"/>
      <c r="N48" s="368"/>
      <c r="O48" s="271">
        <f>IFERROR(Table17[[#This Row],[PROFIT]]/Table17[[#This Row],[TO]],0)</f>
        <v>0</v>
      </c>
      <c r="P48" s="177"/>
      <c r="Q48" s="177"/>
      <c r="R48" s="177"/>
    </row>
    <row r="49" spans="1:18" hidden="1" x14ac:dyDescent="0.25">
      <c r="A49" s="29" t="s">
        <v>145</v>
      </c>
      <c r="B49" s="29" t="s">
        <v>5723</v>
      </c>
      <c r="C49" s="29" t="s">
        <v>142</v>
      </c>
      <c r="D49" s="29" t="str">
        <f>VLOOKUP(C:C,'COUNT-CONT'!B:C,2,FALSE)</f>
        <v>Asia</v>
      </c>
      <c r="E49" s="29">
        <v>10</v>
      </c>
      <c r="F49" s="28">
        <v>11437</v>
      </c>
      <c r="G49" s="28">
        <v>8809979067</v>
      </c>
      <c r="H49" s="29">
        <v>54.5</v>
      </c>
      <c r="I49" s="142">
        <v>-24.939999999999998</v>
      </c>
      <c r="J49" s="29">
        <v>29.41</v>
      </c>
      <c r="K49" s="29">
        <v>26.15</v>
      </c>
      <c r="L49" s="29">
        <v>54.5</v>
      </c>
      <c r="M49" s="368"/>
      <c r="N49" s="368"/>
      <c r="O49" s="271">
        <f>IFERROR(Table17[[#This Row],[PROFIT]]/Table17[[#This Row],[TO]],0)</f>
        <v>0</v>
      </c>
      <c r="P49" s="177"/>
      <c r="Q49" s="177"/>
      <c r="R49" s="177"/>
    </row>
    <row r="50" spans="1:18" hidden="1" x14ac:dyDescent="0.25">
      <c r="A50" s="29" t="s">
        <v>224</v>
      </c>
      <c r="B50" s="29" t="s">
        <v>5409</v>
      </c>
      <c r="C50" s="29" t="s">
        <v>197</v>
      </c>
      <c r="D50" s="29" t="str">
        <f>VLOOKUP(C:C,'COUNT-CONT'!B:C,2,FALSE)</f>
        <v>Asia</v>
      </c>
      <c r="E50" s="29">
        <v>10</v>
      </c>
      <c r="F50" s="28">
        <v>5402</v>
      </c>
      <c r="G50" s="28">
        <v>6294428285</v>
      </c>
      <c r="H50" s="29">
        <v>54.44</v>
      </c>
      <c r="I50" s="142">
        <v>-25</v>
      </c>
      <c r="J50" s="29">
        <v>11.31</v>
      </c>
      <c r="K50" s="29">
        <v>5.65</v>
      </c>
      <c r="L50" s="29">
        <v>35.340000000000003</v>
      </c>
      <c r="M50" s="368"/>
      <c r="N50" s="368"/>
      <c r="O50" s="271">
        <f>IFERROR(Table17[[#This Row],[PROFIT]]/Table17[[#This Row],[TO]],0)</f>
        <v>0</v>
      </c>
      <c r="P50" s="177"/>
      <c r="Q50" s="177"/>
      <c r="R50" s="177"/>
    </row>
    <row r="51" spans="1:18" hidden="1" x14ac:dyDescent="0.25">
      <c r="A51" s="29" t="s">
        <v>152</v>
      </c>
      <c r="B51" s="29" t="s">
        <v>5359</v>
      </c>
      <c r="C51" s="29" t="s">
        <v>1189</v>
      </c>
      <c r="D51" s="29" t="str">
        <f>VLOOKUP(C:C,'COUNT-CONT'!B:C,2,FALSE)</f>
        <v>Africa</v>
      </c>
      <c r="E51" s="29">
        <v>10</v>
      </c>
      <c r="F51" s="28">
        <v>5123</v>
      </c>
      <c r="G51" s="28">
        <v>6268017938</v>
      </c>
      <c r="H51" s="29">
        <v>54.23</v>
      </c>
      <c r="I51" s="142">
        <v>-25.21</v>
      </c>
      <c r="J51" s="29">
        <v>10.28</v>
      </c>
      <c r="K51" s="29">
        <v>4.78</v>
      </c>
      <c r="L51" s="29">
        <v>34.31</v>
      </c>
      <c r="M51" s="368"/>
      <c r="N51" s="368"/>
      <c r="O51" s="271">
        <f>IFERROR(Table17[[#This Row],[PROFIT]]/Table17[[#This Row],[TO]],0)</f>
        <v>0</v>
      </c>
      <c r="P51" s="177"/>
      <c r="Q51" s="177"/>
      <c r="R51" s="177"/>
    </row>
    <row r="52" spans="1:18" hidden="1" x14ac:dyDescent="0.25">
      <c r="A52" s="29" t="s">
        <v>93</v>
      </c>
      <c r="B52" s="29" t="s">
        <v>5744</v>
      </c>
      <c r="C52" s="29" t="s">
        <v>92</v>
      </c>
      <c r="D52" s="29" t="str">
        <f>VLOOKUP(C:C,'COUNT-CONT'!B:C,2,FALSE)</f>
        <v>Asia</v>
      </c>
      <c r="E52" s="29">
        <v>10</v>
      </c>
      <c r="F52" s="28">
        <v>13342</v>
      </c>
      <c r="G52" s="28">
        <v>9210046409</v>
      </c>
      <c r="H52" s="29">
        <v>54.17</v>
      </c>
      <c r="I52" s="142">
        <v>-25.269999999999996</v>
      </c>
      <c r="J52" s="29">
        <v>32.26</v>
      </c>
      <c r="K52" s="29">
        <v>29.96</v>
      </c>
      <c r="L52" s="29">
        <v>57.65</v>
      </c>
      <c r="M52" s="368"/>
      <c r="N52" s="368"/>
      <c r="O52" s="271">
        <f>IFERROR(Table17[[#This Row],[PROFIT]]/Table17[[#This Row],[TO]],0)</f>
        <v>0</v>
      </c>
      <c r="P52" s="177"/>
      <c r="Q52" s="177"/>
      <c r="R52" s="177"/>
    </row>
    <row r="53" spans="1:18" ht="30" hidden="1" x14ac:dyDescent="0.25">
      <c r="A53" s="29" t="s">
        <v>446</v>
      </c>
      <c r="B53" s="29" t="s">
        <v>5747</v>
      </c>
      <c r="C53" s="29" t="s">
        <v>3204</v>
      </c>
      <c r="D53" s="29" t="str">
        <f>VLOOKUP(C:C,'COUNT-CONT'!B:C,2,FALSE)</f>
        <v>Europe</v>
      </c>
      <c r="E53" s="29">
        <v>10</v>
      </c>
      <c r="F53" s="28">
        <v>13345</v>
      </c>
      <c r="G53" s="28">
        <v>9347427875</v>
      </c>
      <c r="H53" s="29">
        <v>53.96</v>
      </c>
      <c r="I53" s="142">
        <v>-25.479999999999997</v>
      </c>
      <c r="J53" s="29">
        <v>32.83</v>
      </c>
      <c r="K53" s="29">
        <v>31.68</v>
      </c>
      <c r="L53" s="29">
        <v>58.68</v>
      </c>
      <c r="M53" s="368"/>
      <c r="N53" s="368"/>
      <c r="O53" s="271">
        <f>IFERROR(Table17[[#This Row],[PROFIT]]/Table17[[#This Row],[TO]],0)</f>
        <v>0</v>
      </c>
      <c r="P53" s="177"/>
      <c r="Q53" s="177"/>
      <c r="R53" s="177"/>
    </row>
    <row r="54" spans="1:18" hidden="1" x14ac:dyDescent="0.25">
      <c r="A54" s="29" t="s">
        <v>113</v>
      </c>
      <c r="B54" s="29" t="s">
        <v>5270</v>
      </c>
      <c r="C54" s="29" t="s">
        <v>11046</v>
      </c>
      <c r="D54" s="29" t="str">
        <f>VLOOKUP(C:C,'COUNT-CONT'!B:C,2,FALSE)</f>
        <v>Asia</v>
      </c>
      <c r="E54" s="29">
        <v>10</v>
      </c>
      <c r="F54" s="28">
        <v>3100</v>
      </c>
      <c r="G54" s="28">
        <v>6133838709</v>
      </c>
      <c r="H54" s="29">
        <v>53.72</v>
      </c>
      <c r="I54" s="142">
        <v>-25.72</v>
      </c>
      <c r="J54" s="29">
        <v>9.0399999999999991</v>
      </c>
      <c r="K54" s="29">
        <v>1.93</v>
      </c>
      <c r="L54" s="29">
        <v>32.380000000000003</v>
      </c>
      <c r="M54" s="368"/>
      <c r="N54" s="368"/>
      <c r="O54" s="271">
        <f>IFERROR(Table17[[#This Row],[PROFIT]]/Table17[[#This Row],[TO]],0)</f>
        <v>0</v>
      </c>
      <c r="P54" s="177"/>
      <c r="Q54" s="177"/>
      <c r="R54" s="177"/>
    </row>
    <row r="55" spans="1:18" ht="30" hidden="1" x14ac:dyDescent="0.25">
      <c r="A55" s="29" t="s">
        <v>5642</v>
      </c>
      <c r="B55" s="29" t="s">
        <v>5641</v>
      </c>
      <c r="C55" s="29" t="s">
        <v>517</v>
      </c>
      <c r="D55" s="29" t="str">
        <f>VLOOKUP(C:C,'COUNT-CONT'!B:C,2,FALSE)</f>
        <v>South America</v>
      </c>
      <c r="E55" s="29">
        <v>4</v>
      </c>
      <c r="F55" s="28">
        <v>3583</v>
      </c>
      <c r="G55" s="28">
        <v>7431405302</v>
      </c>
      <c r="H55" s="29">
        <v>53.26</v>
      </c>
      <c r="I55" s="142">
        <v>-26.18</v>
      </c>
      <c r="J55" s="29">
        <v>20.77</v>
      </c>
      <c r="K55" s="29">
        <v>17.14</v>
      </c>
      <c r="L55" s="29">
        <v>45.16</v>
      </c>
      <c r="M55" s="368"/>
      <c r="N55" s="368"/>
      <c r="O55" s="271">
        <f>IFERROR(Table17[[#This Row],[PROFIT]]/Table17[[#This Row],[TO]],0)</f>
        <v>0</v>
      </c>
      <c r="P55" s="177"/>
      <c r="Q55" s="177"/>
      <c r="R55" s="177"/>
    </row>
    <row r="56" spans="1:18" hidden="1" x14ac:dyDescent="0.25">
      <c r="A56" s="29" t="s">
        <v>353</v>
      </c>
      <c r="B56" s="29" t="s">
        <v>5544</v>
      </c>
      <c r="C56" s="29" t="s">
        <v>926</v>
      </c>
      <c r="D56" s="29" t="str">
        <f>VLOOKUP(C:C,'COUNT-CONT'!B:C,2,FALSE)</f>
        <v>Africa</v>
      </c>
      <c r="E56" s="29">
        <v>9</v>
      </c>
      <c r="F56" s="28">
        <v>4681</v>
      </c>
      <c r="G56" s="28">
        <v>6685092522</v>
      </c>
      <c r="H56" s="29">
        <v>53.11</v>
      </c>
      <c r="I56" s="142">
        <v>-26.33</v>
      </c>
      <c r="J56" s="29">
        <v>14.81</v>
      </c>
      <c r="K56" s="29">
        <v>10.130000000000001</v>
      </c>
      <c r="L56" s="29">
        <v>39.06</v>
      </c>
      <c r="M56" s="368"/>
      <c r="N56" s="368"/>
      <c r="O56" s="271">
        <f>IFERROR(Table17[[#This Row],[PROFIT]]/Table17[[#This Row],[TO]],0)</f>
        <v>0</v>
      </c>
      <c r="P56" s="177"/>
      <c r="Q56" s="177"/>
      <c r="R56" s="177"/>
    </row>
    <row r="57" spans="1:18" hidden="1" x14ac:dyDescent="0.25">
      <c r="A57" s="29" t="s">
        <v>58</v>
      </c>
      <c r="B57" s="29" t="s">
        <v>5545</v>
      </c>
      <c r="C57" s="29" t="s">
        <v>502</v>
      </c>
      <c r="D57" s="29" t="str">
        <f>VLOOKUP(C:C,'COUNT-CONT'!B:C,2,FALSE)</f>
        <v>Asia</v>
      </c>
      <c r="E57" s="29">
        <v>10</v>
      </c>
      <c r="F57" s="28">
        <v>5964</v>
      </c>
      <c r="G57" s="28">
        <v>6809839973</v>
      </c>
      <c r="H57" s="29">
        <v>53.11</v>
      </c>
      <c r="I57" s="142">
        <v>-26.33</v>
      </c>
      <c r="J57" s="29">
        <v>14.84</v>
      </c>
      <c r="K57" s="29">
        <v>10.91</v>
      </c>
      <c r="L57" s="29">
        <v>39.06</v>
      </c>
      <c r="M57" s="368"/>
      <c r="N57" s="368"/>
      <c r="O57" s="271">
        <f>IFERROR(Table17[[#This Row],[PROFIT]]/Table17[[#This Row],[TO]],0)</f>
        <v>0</v>
      </c>
      <c r="P57" s="177"/>
      <c r="Q57" s="177"/>
      <c r="R57" s="177"/>
    </row>
    <row r="58" spans="1:18" hidden="1" x14ac:dyDescent="0.25">
      <c r="A58" s="29" t="s">
        <v>15</v>
      </c>
      <c r="B58" s="29" t="s">
        <v>5640</v>
      </c>
      <c r="C58" s="29" t="s">
        <v>14</v>
      </c>
      <c r="D58" s="29" t="str">
        <f>VLOOKUP(C:C,'COUNT-CONT'!B:C,2,FALSE)</f>
        <v>Asia</v>
      </c>
      <c r="E58" s="29">
        <v>8</v>
      </c>
      <c r="F58" s="28">
        <v>5549</v>
      </c>
      <c r="G58" s="28">
        <v>7407833916</v>
      </c>
      <c r="H58" s="29">
        <v>53.11</v>
      </c>
      <c r="I58" s="142">
        <v>-26.33</v>
      </c>
      <c r="J58" s="29">
        <v>20.71</v>
      </c>
      <c r="K58" s="29">
        <v>17.11</v>
      </c>
      <c r="L58" s="29">
        <v>45.01</v>
      </c>
      <c r="M58" s="368"/>
      <c r="N58" s="368"/>
      <c r="O58" s="271">
        <f>IFERROR(Table17[[#This Row],[PROFIT]]/Table17[[#This Row],[TO]],0)</f>
        <v>0</v>
      </c>
      <c r="P58" s="177"/>
      <c r="Q58" s="177"/>
      <c r="R58" s="177"/>
    </row>
    <row r="59" spans="1:18" hidden="1" x14ac:dyDescent="0.25">
      <c r="A59" s="29" t="s">
        <v>5697</v>
      </c>
      <c r="B59" s="29" t="s">
        <v>5696</v>
      </c>
      <c r="C59" s="29" t="s">
        <v>1858</v>
      </c>
      <c r="D59" s="29" t="str">
        <f>VLOOKUP(C:C,'COUNT-CONT'!B:C,2,FALSE)</f>
        <v>Europe</v>
      </c>
      <c r="E59" s="29">
        <v>7</v>
      </c>
      <c r="F59" s="28">
        <v>6075</v>
      </c>
      <c r="G59" s="28">
        <v>8137769958</v>
      </c>
      <c r="H59" s="29">
        <v>52.99</v>
      </c>
      <c r="I59" s="142">
        <v>-26.449999999999996</v>
      </c>
      <c r="J59" s="29">
        <v>25</v>
      </c>
      <c r="K59" s="29">
        <v>21.98</v>
      </c>
      <c r="L59" s="29">
        <v>50</v>
      </c>
      <c r="M59" s="368"/>
      <c r="N59" s="368"/>
      <c r="O59" s="271">
        <f>IFERROR(Table17[[#This Row],[PROFIT]]/Table17[[#This Row],[TO]],0)</f>
        <v>0</v>
      </c>
      <c r="P59" s="177"/>
      <c r="Q59" s="177"/>
      <c r="R59" s="177"/>
    </row>
    <row r="60" spans="1:18" hidden="1" x14ac:dyDescent="0.25">
      <c r="A60" s="29" t="s">
        <v>279</v>
      </c>
      <c r="B60" s="29" t="s">
        <v>5633</v>
      </c>
      <c r="C60" s="29" t="s">
        <v>14</v>
      </c>
      <c r="D60" s="29" t="str">
        <f>VLOOKUP(C:C,'COUNT-CONT'!B:C,2,FALSE)</f>
        <v>Asia</v>
      </c>
      <c r="E60" s="29">
        <v>10</v>
      </c>
      <c r="F60" s="28">
        <v>6589</v>
      </c>
      <c r="G60" s="28">
        <v>7401344908</v>
      </c>
      <c r="H60" s="29">
        <v>52.78</v>
      </c>
      <c r="I60" s="142">
        <v>-26.659999999999997</v>
      </c>
      <c r="J60" s="29">
        <v>20.59</v>
      </c>
      <c r="K60" s="29">
        <v>16.989999999999998</v>
      </c>
      <c r="L60" s="29">
        <v>44.74</v>
      </c>
      <c r="M60" s="368"/>
      <c r="N60" s="368"/>
      <c r="O60" s="271">
        <f>IFERROR(Table17[[#This Row],[PROFIT]]/Table17[[#This Row],[TO]],0)</f>
        <v>0</v>
      </c>
      <c r="P60" s="177"/>
      <c r="Q60" s="177"/>
      <c r="R60" s="177"/>
    </row>
    <row r="61" spans="1:18" hidden="1" x14ac:dyDescent="0.25">
      <c r="A61" s="29" t="s">
        <v>252</v>
      </c>
      <c r="B61" s="29" t="s">
        <v>5751</v>
      </c>
      <c r="C61" s="29" t="s">
        <v>700</v>
      </c>
      <c r="D61" s="29" t="str">
        <f>VLOOKUP(C:C,'COUNT-CONT'!B:C,2,FALSE)</f>
        <v>Asia</v>
      </c>
      <c r="E61" s="29">
        <v>10</v>
      </c>
      <c r="F61" s="28">
        <v>13991</v>
      </c>
      <c r="G61" s="28">
        <v>9419618820</v>
      </c>
      <c r="H61" s="29">
        <v>52.39</v>
      </c>
      <c r="I61" s="142">
        <v>-27.049999999999997</v>
      </c>
      <c r="J61" s="29">
        <v>34.520000000000003</v>
      </c>
      <c r="K61" s="29">
        <v>33.340000000000003</v>
      </c>
      <c r="L61" s="29">
        <v>59.55</v>
      </c>
      <c r="M61" s="368"/>
      <c r="N61" s="368"/>
      <c r="O61" s="271">
        <f>IFERROR(Table17[[#This Row],[PROFIT]]/Table17[[#This Row],[TO]],0)</f>
        <v>0</v>
      </c>
      <c r="P61" s="177"/>
      <c r="Q61" s="177"/>
      <c r="R61" s="177"/>
    </row>
    <row r="62" spans="1:18" hidden="1" x14ac:dyDescent="0.25">
      <c r="A62" s="29" t="s">
        <v>185</v>
      </c>
      <c r="B62" s="29" t="s">
        <v>5756</v>
      </c>
      <c r="C62" s="29" t="s">
        <v>119</v>
      </c>
      <c r="D62" s="29" t="str">
        <f>VLOOKUP(C:C,'COUNT-CONT'!B:C,2,FALSE)</f>
        <v>Europe</v>
      </c>
      <c r="E62" s="29">
        <v>10</v>
      </c>
      <c r="F62" s="28">
        <v>16396</v>
      </c>
      <c r="G62" s="28">
        <v>9507089534</v>
      </c>
      <c r="H62" s="29">
        <v>52.39</v>
      </c>
      <c r="I62" s="142">
        <v>-27.049999999999997</v>
      </c>
      <c r="J62" s="29">
        <v>34.520000000000003</v>
      </c>
      <c r="K62" s="29">
        <v>33.340000000000003</v>
      </c>
      <c r="L62" s="29">
        <v>59.55</v>
      </c>
      <c r="M62" s="368"/>
      <c r="N62" s="368"/>
      <c r="O62" s="271">
        <f>IFERROR(Table17[[#This Row],[PROFIT]]/Table17[[#This Row],[TO]],0)</f>
        <v>0</v>
      </c>
      <c r="P62" s="177"/>
      <c r="Q62" s="177"/>
      <c r="R62" s="177"/>
    </row>
    <row r="63" spans="1:18" ht="30" hidden="1" x14ac:dyDescent="0.25">
      <c r="A63" s="29" t="s">
        <v>399</v>
      </c>
      <c r="B63" s="29" t="s">
        <v>5628</v>
      </c>
      <c r="C63" s="29" t="s">
        <v>517</v>
      </c>
      <c r="D63" s="29" t="str">
        <f>VLOOKUP(C:C,'COUNT-CONT'!B:C,2,FALSE)</f>
        <v>South America</v>
      </c>
      <c r="E63" s="29">
        <v>10</v>
      </c>
      <c r="F63" s="28">
        <v>5215</v>
      </c>
      <c r="G63" s="28">
        <v>7356130009</v>
      </c>
      <c r="H63" s="29">
        <v>52.27</v>
      </c>
      <c r="I63" s="142">
        <v>-27.169999999999995</v>
      </c>
      <c r="J63" s="29">
        <v>20.37</v>
      </c>
      <c r="K63" s="29">
        <v>16.84</v>
      </c>
      <c r="L63" s="29">
        <v>44.32</v>
      </c>
      <c r="M63" s="368"/>
      <c r="N63" s="368"/>
      <c r="O63" s="271">
        <f>IFERROR(Table17[[#This Row],[PROFIT]]/Table17[[#This Row],[TO]],0)</f>
        <v>0</v>
      </c>
      <c r="P63" s="177"/>
      <c r="Q63" s="177"/>
      <c r="R63" s="177"/>
    </row>
    <row r="64" spans="1:18" x14ac:dyDescent="0.25">
      <c r="A64" s="31" t="s">
        <v>71</v>
      </c>
      <c r="B64" s="29" t="s">
        <v>5729</v>
      </c>
      <c r="C64" s="29" t="s">
        <v>774</v>
      </c>
      <c r="D64" s="29" t="str">
        <f>VLOOKUP(C:C,'COUNT-CONT'!B:C,2,FALSE)</f>
        <v>Oceania</v>
      </c>
      <c r="E64" s="29">
        <v>10</v>
      </c>
      <c r="F64" s="28">
        <v>11902</v>
      </c>
      <c r="G64" s="28">
        <v>8935821441</v>
      </c>
      <c r="H64" s="29">
        <v>52.15</v>
      </c>
      <c r="I64" s="142">
        <v>-27.29</v>
      </c>
      <c r="J64" s="29">
        <v>31.05</v>
      </c>
      <c r="K64" s="29">
        <v>28.84</v>
      </c>
      <c r="L64" s="29">
        <v>55.47</v>
      </c>
      <c r="M64" s="368"/>
      <c r="N64" s="368"/>
      <c r="O64" s="271">
        <f>IFERROR(Table17[[#This Row],[PROFIT]]/Table17[[#This Row],[TO]],0)</f>
        <v>0</v>
      </c>
      <c r="P64" s="177"/>
      <c r="Q64" s="177"/>
      <c r="R64" s="177"/>
    </row>
    <row r="65" spans="1:18" hidden="1" x14ac:dyDescent="0.25">
      <c r="A65" s="29" t="s">
        <v>254</v>
      </c>
      <c r="B65" s="29" t="s">
        <v>5337</v>
      </c>
      <c r="C65" s="29" t="s">
        <v>197</v>
      </c>
      <c r="D65" s="29" t="str">
        <f>VLOOKUP(C:C,'COUNT-CONT'!B:C,2,FALSE)</f>
        <v>Asia</v>
      </c>
      <c r="E65" s="29">
        <v>10</v>
      </c>
      <c r="F65" s="28">
        <v>4180</v>
      </c>
      <c r="G65" s="28">
        <v>6140757894</v>
      </c>
      <c r="H65" s="29">
        <v>52.12</v>
      </c>
      <c r="I65" s="142">
        <v>-27.32</v>
      </c>
      <c r="J65" s="29">
        <v>10.82</v>
      </c>
      <c r="K65" s="29">
        <v>5.41</v>
      </c>
      <c r="L65" s="29">
        <v>33.86</v>
      </c>
      <c r="M65" s="368"/>
      <c r="N65" s="368"/>
      <c r="O65" s="271">
        <f>IFERROR(Table17[[#This Row],[PROFIT]]/Table17[[#This Row],[TO]],0)</f>
        <v>0</v>
      </c>
      <c r="P65" s="177"/>
      <c r="Q65" s="177"/>
      <c r="R65" s="177"/>
    </row>
    <row r="66" spans="1:18" hidden="1" x14ac:dyDescent="0.25">
      <c r="A66" s="29" t="s">
        <v>5423</v>
      </c>
      <c r="B66" s="29" t="s">
        <v>5422</v>
      </c>
      <c r="C66" s="29" t="s">
        <v>717</v>
      </c>
      <c r="D66" s="29" t="str">
        <f>VLOOKUP(C:C,'COUNT-CONT'!B:C,2,FALSE)</f>
        <v>Asia</v>
      </c>
      <c r="E66" s="29">
        <v>2</v>
      </c>
      <c r="F66" s="28">
        <v>1729</v>
      </c>
      <c r="G66" s="28">
        <v>6639905899</v>
      </c>
      <c r="H66" s="29">
        <v>52.12</v>
      </c>
      <c r="I66" s="142">
        <v>-27.32</v>
      </c>
      <c r="J66" s="29">
        <v>12.12</v>
      </c>
      <c r="K66" s="29">
        <v>7.83</v>
      </c>
      <c r="L66" s="29">
        <v>35.700000000000003</v>
      </c>
      <c r="M66" s="368"/>
      <c r="N66" s="368"/>
      <c r="O66" s="271">
        <f>IFERROR(Table17[[#This Row],[PROFIT]]/Table17[[#This Row],[TO]],0)</f>
        <v>0</v>
      </c>
      <c r="P66" s="177"/>
      <c r="Q66" s="177"/>
      <c r="R66" s="177"/>
    </row>
    <row r="67" spans="1:18" hidden="1" x14ac:dyDescent="0.25">
      <c r="A67" s="29" t="s">
        <v>361</v>
      </c>
      <c r="B67" s="29" t="s">
        <v>5626</v>
      </c>
      <c r="C67" s="29" t="s">
        <v>14</v>
      </c>
      <c r="D67" s="29" t="str">
        <f>VLOOKUP(C:C,'COUNT-CONT'!B:C,2,FALSE)</f>
        <v>Asia</v>
      </c>
      <c r="E67" s="29">
        <v>9</v>
      </c>
      <c r="F67" s="28">
        <v>5696</v>
      </c>
      <c r="G67" s="28">
        <v>7294717977</v>
      </c>
      <c r="H67" s="29">
        <v>52</v>
      </c>
      <c r="I67" s="142">
        <v>-27.439999999999998</v>
      </c>
      <c r="J67" s="29">
        <v>20.25</v>
      </c>
      <c r="K67" s="29">
        <v>16.75</v>
      </c>
      <c r="L67" s="29">
        <v>44.07</v>
      </c>
      <c r="M67" s="368"/>
      <c r="N67" s="368"/>
      <c r="O67" s="271">
        <f>IFERROR(Table17[[#This Row],[PROFIT]]/Table17[[#This Row],[TO]],0)</f>
        <v>0</v>
      </c>
      <c r="P67" s="177"/>
      <c r="Q67" s="177"/>
      <c r="R67" s="177"/>
    </row>
    <row r="68" spans="1:18" ht="30" hidden="1" x14ac:dyDescent="0.25">
      <c r="A68" s="29" t="s">
        <v>381</v>
      </c>
      <c r="B68" s="29" t="s">
        <v>5539</v>
      </c>
      <c r="C68" s="29" t="s">
        <v>4045</v>
      </c>
      <c r="D68" s="29" t="str">
        <f>VLOOKUP(C:C,'COUNT-CONT'!B:C,2,FALSE)</f>
        <v>South America</v>
      </c>
      <c r="E68" s="29">
        <v>10</v>
      </c>
      <c r="F68" s="28">
        <v>5125</v>
      </c>
      <c r="G68" s="28">
        <v>6811034146</v>
      </c>
      <c r="H68" s="29">
        <v>51.96</v>
      </c>
      <c r="I68" s="142">
        <v>-27.479999999999997</v>
      </c>
      <c r="J68" s="29">
        <v>14.72</v>
      </c>
      <c r="K68" s="29">
        <v>10.85</v>
      </c>
      <c r="L68" s="29">
        <v>38.78</v>
      </c>
      <c r="M68" s="368"/>
      <c r="N68" s="368"/>
      <c r="O68" s="271">
        <f>IFERROR(Table17[[#This Row],[PROFIT]]/Table17[[#This Row],[TO]],0)</f>
        <v>0</v>
      </c>
      <c r="P68" s="177"/>
      <c r="Q68" s="177"/>
      <c r="R68" s="177"/>
    </row>
    <row r="69" spans="1:18" ht="30" hidden="1" x14ac:dyDescent="0.25">
      <c r="A69" s="29" t="s">
        <v>5549</v>
      </c>
      <c r="B69" s="29" t="s">
        <v>5548</v>
      </c>
      <c r="C69" s="29" t="s">
        <v>714</v>
      </c>
      <c r="D69" s="29" t="str">
        <f>VLOOKUP(C:C,'COUNT-CONT'!B:C,2,FALSE)</f>
        <v>South America</v>
      </c>
      <c r="E69" s="29">
        <v>10</v>
      </c>
      <c r="F69" s="28">
        <v>5206</v>
      </c>
      <c r="G69" s="28">
        <v>6789394660</v>
      </c>
      <c r="H69" s="29">
        <v>51.75</v>
      </c>
      <c r="I69" s="142">
        <v>-27.689999999999998</v>
      </c>
      <c r="J69" s="29">
        <v>15.69</v>
      </c>
      <c r="K69" s="29">
        <v>11.76</v>
      </c>
      <c r="L69" s="29">
        <v>39.21</v>
      </c>
      <c r="M69" s="368"/>
      <c r="N69" s="368"/>
      <c r="O69" s="271">
        <f>IFERROR(Table17[[#This Row],[PROFIT]]/Table17[[#This Row],[TO]],0)</f>
        <v>0</v>
      </c>
      <c r="P69" s="177"/>
      <c r="Q69" s="177"/>
      <c r="R69" s="177"/>
    </row>
    <row r="70" spans="1:18" hidden="1" x14ac:dyDescent="0.25">
      <c r="A70" s="29" t="s">
        <v>5267</v>
      </c>
      <c r="B70" s="29" t="s">
        <v>5266</v>
      </c>
      <c r="C70" s="29" t="s">
        <v>2059</v>
      </c>
      <c r="D70" s="29" t="str">
        <f>VLOOKUP(C:C,'COUNT-CONT'!B:C,2,FALSE)</f>
        <v>Africa</v>
      </c>
      <c r="E70" s="29">
        <v>10</v>
      </c>
      <c r="F70" s="28">
        <v>4050</v>
      </c>
      <c r="G70" s="28">
        <v>5994104938</v>
      </c>
      <c r="H70" s="29">
        <v>51.6</v>
      </c>
      <c r="I70" s="142">
        <v>-27.839999999999996</v>
      </c>
      <c r="J70" s="29">
        <v>9.01</v>
      </c>
      <c r="K70" s="29">
        <v>3.87</v>
      </c>
      <c r="L70" s="29">
        <v>32.26</v>
      </c>
      <c r="M70" s="368"/>
      <c r="N70" s="368"/>
      <c r="O70" s="271">
        <f>IFERROR(Table17[[#This Row],[PROFIT]]/Table17[[#This Row],[TO]],0)</f>
        <v>0</v>
      </c>
      <c r="P70" s="177"/>
      <c r="Q70" s="177"/>
      <c r="R70" s="177"/>
    </row>
    <row r="71" spans="1:18" hidden="1" x14ac:dyDescent="0.25">
      <c r="A71" s="29" t="s">
        <v>5639</v>
      </c>
      <c r="B71" s="29" t="s">
        <v>5638</v>
      </c>
      <c r="C71" s="29" t="s">
        <v>172</v>
      </c>
      <c r="D71" s="29" t="str">
        <f>VLOOKUP(C:C,'COUNT-CONT'!B:C,2,FALSE)</f>
        <v>Asia</v>
      </c>
      <c r="E71" s="29">
        <v>10</v>
      </c>
      <c r="F71" s="28">
        <v>7019</v>
      </c>
      <c r="G71" s="28">
        <v>7441517481</v>
      </c>
      <c r="H71" s="29">
        <v>51.27</v>
      </c>
      <c r="I71" s="142">
        <v>-28.169999999999995</v>
      </c>
      <c r="J71" s="29">
        <v>20.68</v>
      </c>
      <c r="K71" s="29">
        <v>17.989999999999998</v>
      </c>
      <c r="L71" s="29">
        <v>44.98</v>
      </c>
      <c r="M71" s="368"/>
      <c r="N71" s="368"/>
      <c r="O71" s="271">
        <f>IFERROR(Table17[[#This Row],[PROFIT]]/Table17[[#This Row],[TO]],0)</f>
        <v>0</v>
      </c>
      <c r="P71" s="177"/>
      <c r="Q71" s="177"/>
      <c r="R71" s="177"/>
    </row>
    <row r="72" spans="1:18" hidden="1" x14ac:dyDescent="0.25">
      <c r="A72" s="29" t="s">
        <v>309</v>
      </c>
      <c r="B72" s="29" t="s">
        <v>5730</v>
      </c>
      <c r="C72" s="29" t="s">
        <v>308</v>
      </c>
      <c r="D72" s="29" t="str">
        <f>VLOOKUP(C:C,'COUNT-CONT'!B:C,2,FALSE)</f>
        <v>Europe</v>
      </c>
      <c r="E72" s="29">
        <v>10</v>
      </c>
      <c r="F72" s="28">
        <v>11776</v>
      </c>
      <c r="G72" s="28">
        <v>8945310326</v>
      </c>
      <c r="H72" s="29">
        <v>51.15</v>
      </c>
      <c r="I72" s="142">
        <v>-28.29</v>
      </c>
      <c r="J72" s="29">
        <v>31.14</v>
      </c>
      <c r="K72" s="29">
        <v>30.02</v>
      </c>
      <c r="L72" s="29">
        <v>55.59</v>
      </c>
      <c r="M72" s="368"/>
      <c r="N72" s="368"/>
      <c r="O72" s="271">
        <f>IFERROR(Table17[[#This Row],[PROFIT]]/Table17[[#This Row],[TO]],0)</f>
        <v>0</v>
      </c>
      <c r="P72" s="177"/>
      <c r="Q72" s="177"/>
      <c r="R72" s="177"/>
    </row>
    <row r="73" spans="1:18" hidden="1" x14ac:dyDescent="0.25">
      <c r="A73" s="29" t="s">
        <v>5513</v>
      </c>
      <c r="B73" s="29" t="s">
        <v>5512</v>
      </c>
      <c r="C73" s="29" t="s">
        <v>1124</v>
      </c>
      <c r="D73" s="29" t="str">
        <f>VLOOKUP(C:C,'COUNT-CONT'!B:C,2,FALSE)</f>
        <v>Africa</v>
      </c>
      <c r="E73" s="29">
        <v>9</v>
      </c>
      <c r="F73" s="28">
        <v>4409</v>
      </c>
      <c r="G73" s="28">
        <v>6544589680</v>
      </c>
      <c r="H73" s="29">
        <v>51.06</v>
      </c>
      <c r="I73" s="142">
        <v>-28.379999999999995</v>
      </c>
      <c r="J73" s="29">
        <v>15.24</v>
      </c>
      <c r="K73" s="29">
        <v>10.64</v>
      </c>
      <c r="L73" s="29">
        <v>38.090000000000003</v>
      </c>
      <c r="M73" s="368"/>
      <c r="N73" s="368"/>
      <c r="O73" s="271">
        <f>IFERROR(Table17[[#This Row],[PROFIT]]/Table17[[#This Row],[TO]],0)</f>
        <v>0</v>
      </c>
      <c r="P73" s="177"/>
      <c r="Q73" s="177"/>
      <c r="R73" s="177"/>
    </row>
    <row r="74" spans="1:18" hidden="1" x14ac:dyDescent="0.25">
      <c r="A74" s="29" t="s">
        <v>373</v>
      </c>
      <c r="B74" s="29" t="s">
        <v>5378</v>
      </c>
      <c r="C74" s="29" t="s">
        <v>717</v>
      </c>
      <c r="D74" s="29" t="str">
        <f>VLOOKUP(C:C,'COUNT-CONT'!B:C,2,FALSE)</f>
        <v>Asia</v>
      </c>
      <c r="E74" s="29">
        <v>10</v>
      </c>
      <c r="F74" s="28">
        <v>4292</v>
      </c>
      <c r="G74" s="28">
        <v>6346490773</v>
      </c>
      <c r="H74" s="29">
        <v>50.91</v>
      </c>
      <c r="I74" s="142">
        <v>-28.53</v>
      </c>
      <c r="J74" s="29">
        <v>11.85</v>
      </c>
      <c r="K74" s="29">
        <v>7.65</v>
      </c>
      <c r="L74" s="29">
        <v>34.85</v>
      </c>
      <c r="M74" s="368"/>
      <c r="N74" s="368"/>
      <c r="O74" s="271">
        <f>IFERROR(Table17[[#This Row],[PROFIT]]/Table17[[#This Row],[TO]],0)</f>
        <v>0</v>
      </c>
      <c r="P74" s="177"/>
      <c r="Q74" s="177"/>
      <c r="R74" s="177"/>
    </row>
    <row r="75" spans="1:18" hidden="1" x14ac:dyDescent="0.25">
      <c r="A75" s="29" t="s">
        <v>47</v>
      </c>
      <c r="B75" s="29" t="s">
        <v>5699</v>
      </c>
      <c r="C75" s="29" t="s">
        <v>46</v>
      </c>
      <c r="D75" s="29" t="str">
        <f>VLOOKUP(C:C,'COUNT-CONT'!B:C,2,FALSE)</f>
        <v>Asia</v>
      </c>
      <c r="E75" s="29">
        <v>10</v>
      </c>
      <c r="F75" s="28">
        <v>8120</v>
      </c>
      <c r="G75" s="28">
        <v>8294667980</v>
      </c>
      <c r="H75" s="29">
        <v>50.82</v>
      </c>
      <c r="I75" s="142">
        <v>-28.619999999999997</v>
      </c>
      <c r="J75" s="29">
        <v>27.45</v>
      </c>
      <c r="K75" s="29">
        <v>24.4</v>
      </c>
      <c r="L75" s="29">
        <v>50.82</v>
      </c>
      <c r="M75" s="368"/>
      <c r="N75" s="368"/>
      <c r="O75" s="271">
        <f>IFERROR(Table17[[#This Row],[PROFIT]]/Table17[[#This Row],[TO]],0)</f>
        <v>0</v>
      </c>
      <c r="P75" s="177"/>
      <c r="Q75" s="177"/>
      <c r="R75" s="177"/>
    </row>
    <row r="76" spans="1:18" ht="30" hidden="1" x14ac:dyDescent="0.25">
      <c r="A76" s="29" t="s">
        <v>157</v>
      </c>
      <c r="B76" s="29" t="s">
        <v>5725</v>
      </c>
      <c r="C76" s="29" t="s">
        <v>1427</v>
      </c>
      <c r="D76" s="29" t="str">
        <f>VLOOKUP(C:C,'COUNT-CONT'!B:C,2,FALSE)</f>
        <v>Europe</v>
      </c>
      <c r="E76" s="29">
        <v>10</v>
      </c>
      <c r="F76" s="28">
        <v>11716</v>
      </c>
      <c r="G76" s="28">
        <v>8861488699</v>
      </c>
      <c r="H76" s="29">
        <v>50.6</v>
      </c>
      <c r="I76" s="142">
        <v>-28.839999999999996</v>
      </c>
      <c r="J76" s="29">
        <v>30.8</v>
      </c>
      <c r="K76" s="29">
        <v>28.6</v>
      </c>
      <c r="L76" s="29">
        <v>55.02</v>
      </c>
      <c r="M76" s="368"/>
      <c r="N76" s="368"/>
      <c r="O76" s="271">
        <f>IFERROR(Table17[[#This Row],[PROFIT]]/Table17[[#This Row],[TO]],0)</f>
        <v>0</v>
      </c>
      <c r="P76" s="177"/>
      <c r="Q76" s="177"/>
      <c r="R76" s="177"/>
    </row>
    <row r="77" spans="1:18" hidden="1" x14ac:dyDescent="0.25">
      <c r="A77" s="29" t="s">
        <v>368</v>
      </c>
      <c r="B77" s="29" t="s">
        <v>5245</v>
      </c>
      <c r="C77" s="29" t="s">
        <v>1710</v>
      </c>
      <c r="D77" s="29" t="str">
        <f>VLOOKUP(C:C,'COUNT-CONT'!B:C,2,FALSE)</f>
        <v>Asia</v>
      </c>
      <c r="E77" s="29">
        <v>8</v>
      </c>
      <c r="F77" s="28">
        <v>3532</v>
      </c>
      <c r="G77" s="28">
        <v>5894038278</v>
      </c>
      <c r="H77" s="29">
        <v>50.54</v>
      </c>
      <c r="I77" s="142">
        <v>-28.9</v>
      </c>
      <c r="J77" s="29">
        <v>9.4600000000000009</v>
      </c>
      <c r="K77" s="29">
        <v>3.78</v>
      </c>
      <c r="L77" s="29">
        <v>31.59</v>
      </c>
      <c r="M77" s="368"/>
      <c r="N77" s="368"/>
      <c r="O77" s="271">
        <f>IFERROR(Table17[[#This Row],[PROFIT]]/Table17[[#This Row],[TO]],0)</f>
        <v>0</v>
      </c>
      <c r="P77" s="177"/>
      <c r="Q77" s="177"/>
      <c r="R77" s="177"/>
    </row>
    <row r="78" spans="1:18" hidden="1" x14ac:dyDescent="0.25">
      <c r="A78" s="29" t="s">
        <v>359</v>
      </c>
      <c r="B78" s="29" t="s">
        <v>5444</v>
      </c>
      <c r="C78" s="29" t="s">
        <v>608</v>
      </c>
      <c r="D78" s="29" t="str">
        <f>VLOOKUP(C:C,'COUNT-CONT'!B:C,2,FALSE)</f>
        <v>Africa</v>
      </c>
      <c r="E78" s="29">
        <v>10</v>
      </c>
      <c r="F78" s="28">
        <v>5003</v>
      </c>
      <c r="G78" s="28">
        <v>6333668079</v>
      </c>
      <c r="H78" s="29">
        <v>50.48</v>
      </c>
      <c r="I78" s="142">
        <v>-28.96</v>
      </c>
      <c r="J78" s="29">
        <v>12.97</v>
      </c>
      <c r="K78" s="29">
        <v>8.65</v>
      </c>
      <c r="L78" s="29">
        <v>36.06</v>
      </c>
      <c r="M78" s="368"/>
      <c r="N78" s="368"/>
      <c r="O78" s="271">
        <f>IFERROR(Table17[[#This Row],[PROFIT]]/Table17[[#This Row],[TO]],0)</f>
        <v>0</v>
      </c>
      <c r="P78" s="177"/>
      <c r="Q78" s="177"/>
      <c r="R78" s="177"/>
    </row>
    <row r="79" spans="1:18" ht="30" hidden="1" x14ac:dyDescent="0.25">
      <c r="A79" s="29" t="s">
        <v>200</v>
      </c>
      <c r="B79" s="29" t="s">
        <v>5724</v>
      </c>
      <c r="C79" s="29" t="s">
        <v>83</v>
      </c>
      <c r="D79" s="29" t="str">
        <f>VLOOKUP(C:C,'COUNT-CONT'!B:C,2,FALSE)</f>
        <v>Europe</v>
      </c>
      <c r="E79" s="29">
        <v>10</v>
      </c>
      <c r="F79" s="28">
        <v>9619</v>
      </c>
      <c r="G79" s="28">
        <v>8786357001</v>
      </c>
      <c r="H79" s="29">
        <v>50.42</v>
      </c>
      <c r="I79" s="142">
        <v>-29.019999999999996</v>
      </c>
      <c r="J79" s="29">
        <v>30.68</v>
      </c>
      <c r="K79" s="29">
        <v>28.51</v>
      </c>
      <c r="L79" s="29">
        <v>54.81</v>
      </c>
      <c r="M79" s="368"/>
      <c r="N79" s="368"/>
      <c r="O79" s="271">
        <f>IFERROR(Table17[[#This Row],[PROFIT]]/Table17[[#This Row],[TO]],0)</f>
        <v>0</v>
      </c>
      <c r="P79" s="177"/>
      <c r="Q79" s="177"/>
      <c r="R79" s="177"/>
    </row>
    <row r="80" spans="1:18" hidden="1" x14ac:dyDescent="0.25">
      <c r="A80" s="29" t="s">
        <v>454</v>
      </c>
      <c r="B80" s="29" t="s">
        <v>5627</v>
      </c>
      <c r="C80" s="29" t="s">
        <v>172</v>
      </c>
      <c r="D80" s="29" t="str">
        <f>VLOOKUP(C:C,'COUNT-CONT'!B:C,2,FALSE)</f>
        <v>Asia</v>
      </c>
      <c r="E80" s="29">
        <v>10</v>
      </c>
      <c r="F80" s="28">
        <v>5997</v>
      </c>
      <c r="G80" s="28">
        <v>7320825045</v>
      </c>
      <c r="H80" s="29">
        <v>50.39</v>
      </c>
      <c r="I80" s="142">
        <v>-29.049999999999997</v>
      </c>
      <c r="J80" s="29">
        <v>20.309999999999999</v>
      </c>
      <c r="K80" s="29">
        <v>17.68</v>
      </c>
      <c r="L80" s="29">
        <v>44.23</v>
      </c>
      <c r="M80" s="368"/>
      <c r="N80" s="368"/>
      <c r="O80" s="271">
        <f>IFERROR(Table17[[#This Row],[PROFIT]]/Table17[[#This Row],[TO]],0)</f>
        <v>0</v>
      </c>
      <c r="P80" s="177"/>
      <c r="Q80" s="177"/>
      <c r="R80" s="177"/>
    </row>
    <row r="81" spans="1:18" ht="30" hidden="1" x14ac:dyDescent="0.25">
      <c r="A81" s="29" t="s">
        <v>5611</v>
      </c>
      <c r="B81" s="29" t="s">
        <v>5610</v>
      </c>
      <c r="C81" s="29" t="s">
        <v>517</v>
      </c>
      <c r="D81" s="29" t="str">
        <f>VLOOKUP(C:C,'COUNT-CONT'!B:C,2,FALSE)</f>
        <v>South America</v>
      </c>
      <c r="E81" s="29">
        <v>10</v>
      </c>
      <c r="F81" s="28">
        <v>6764</v>
      </c>
      <c r="G81" s="28">
        <v>7182625665</v>
      </c>
      <c r="H81" s="29">
        <v>50.39</v>
      </c>
      <c r="I81" s="142">
        <v>-29.049999999999997</v>
      </c>
      <c r="J81" s="29">
        <v>19.62</v>
      </c>
      <c r="K81" s="29">
        <v>16.2</v>
      </c>
      <c r="L81" s="29">
        <v>42.71</v>
      </c>
      <c r="M81" s="368"/>
      <c r="N81" s="368"/>
      <c r="O81" s="271">
        <f>IFERROR(Table17[[#This Row],[PROFIT]]/Table17[[#This Row],[TO]],0)</f>
        <v>0</v>
      </c>
      <c r="P81" s="177"/>
      <c r="Q81" s="177"/>
      <c r="R81" s="177"/>
    </row>
    <row r="82" spans="1:18" hidden="1" x14ac:dyDescent="0.25">
      <c r="A82" s="29" t="s">
        <v>140</v>
      </c>
      <c r="B82" s="29" t="s">
        <v>5673</v>
      </c>
      <c r="C82" s="29" t="s">
        <v>605</v>
      </c>
      <c r="D82" s="29" t="str">
        <f>VLOOKUP(C:C,'COUNT-CONT'!B:C,2,FALSE)</f>
        <v>Europe</v>
      </c>
      <c r="E82" s="29">
        <v>10</v>
      </c>
      <c r="F82" s="28">
        <v>7418</v>
      </c>
      <c r="G82" s="28">
        <v>7880287948</v>
      </c>
      <c r="H82" s="29">
        <v>50.36</v>
      </c>
      <c r="I82" s="142">
        <v>-29.08</v>
      </c>
      <c r="J82" s="29">
        <v>23.76</v>
      </c>
      <c r="K82" s="29">
        <v>21.86</v>
      </c>
      <c r="L82" s="29">
        <v>47.52</v>
      </c>
      <c r="M82" s="368"/>
      <c r="N82" s="368"/>
      <c r="O82" s="271">
        <f>IFERROR(Table17[[#This Row],[PROFIT]]/Table17[[#This Row],[TO]],0)</f>
        <v>0</v>
      </c>
      <c r="P82" s="177"/>
      <c r="Q82" s="177"/>
      <c r="R82" s="177"/>
    </row>
    <row r="83" spans="1:18" hidden="1" x14ac:dyDescent="0.25">
      <c r="A83" s="29" t="s">
        <v>328</v>
      </c>
      <c r="B83" s="29" t="s">
        <v>5455</v>
      </c>
      <c r="C83" s="29" t="s">
        <v>1261</v>
      </c>
      <c r="D83" s="29" t="str">
        <f>VLOOKUP(C:C,'COUNT-CONT'!B:C,2,FALSE)</f>
        <v>Asia</v>
      </c>
      <c r="E83" s="29">
        <v>8</v>
      </c>
      <c r="F83" s="28">
        <v>4084</v>
      </c>
      <c r="G83" s="28">
        <v>6382143780</v>
      </c>
      <c r="H83" s="29">
        <v>49.61</v>
      </c>
      <c r="I83" s="142">
        <v>-29.83</v>
      </c>
      <c r="J83" s="29">
        <v>13.85</v>
      </c>
      <c r="K83" s="29">
        <v>10.19</v>
      </c>
      <c r="L83" s="29">
        <v>36.49</v>
      </c>
      <c r="M83" s="368"/>
      <c r="N83" s="368"/>
      <c r="O83" s="271">
        <f>IFERROR(Table17[[#This Row],[PROFIT]]/Table17[[#This Row],[TO]],0)</f>
        <v>0</v>
      </c>
      <c r="P83" s="177"/>
      <c r="Q83" s="177"/>
      <c r="R83" s="177"/>
    </row>
    <row r="84" spans="1:18" x14ac:dyDescent="0.25">
      <c r="A84" s="29" t="s">
        <v>452</v>
      </c>
      <c r="B84" s="29" t="s">
        <v>5622</v>
      </c>
      <c r="C84" s="29" t="s">
        <v>730</v>
      </c>
      <c r="D84" s="29" t="str">
        <f>VLOOKUP(C:C,'COUNT-CONT'!B:C,2,FALSE)</f>
        <v>Oceania</v>
      </c>
      <c r="E84" s="29">
        <v>10</v>
      </c>
      <c r="F84" s="28">
        <v>6301</v>
      </c>
      <c r="G84" s="28">
        <v>7365075464</v>
      </c>
      <c r="H84" s="29">
        <v>49.49</v>
      </c>
      <c r="I84" s="142">
        <v>-29.949999999999996</v>
      </c>
      <c r="J84" s="29">
        <v>20.83</v>
      </c>
      <c r="K84" s="29">
        <v>17.350000000000001</v>
      </c>
      <c r="L84" s="29">
        <v>43.41</v>
      </c>
      <c r="M84" s="368"/>
      <c r="N84" s="368"/>
      <c r="O84" s="271">
        <f>IFERROR(Table17[[#This Row],[PROFIT]]/Table17[[#This Row],[TO]],0)</f>
        <v>0</v>
      </c>
      <c r="P84" s="177"/>
      <c r="Q84" s="177"/>
      <c r="R84" s="177"/>
    </row>
    <row r="85" spans="1:18" hidden="1" x14ac:dyDescent="0.25">
      <c r="A85" s="29" t="s">
        <v>5471</v>
      </c>
      <c r="B85" s="29" t="s">
        <v>5470</v>
      </c>
      <c r="C85" s="29" t="s">
        <v>1124</v>
      </c>
      <c r="D85" s="29" t="str">
        <f>VLOOKUP(C:C,'COUNT-CONT'!B:C,2,FALSE)</f>
        <v>Africa</v>
      </c>
      <c r="E85" s="29">
        <v>10</v>
      </c>
      <c r="F85" s="28">
        <v>5498</v>
      </c>
      <c r="G85" s="28">
        <v>6412672753</v>
      </c>
      <c r="H85" s="29">
        <v>49.33</v>
      </c>
      <c r="I85" s="142">
        <v>-30.11</v>
      </c>
      <c r="J85" s="29">
        <v>14.72</v>
      </c>
      <c r="K85" s="29">
        <v>10.31</v>
      </c>
      <c r="L85" s="29">
        <v>36.82</v>
      </c>
      <c r="M85" s="368"/>
      <c r="N85" s="368"/>
      <c r="O85" s="271">
        <f>IFERROR(Table17[[#This Row],[PROFIT]]/Table17[[#This Row],[TO]],0)</f>
        <v>0</v>
      </c>
      <c r="P85" s="177"/>
      <c r="Q85" s="177"/>
      <c r="R85" s="177"/>
    </row>
    <row r="86" spans="1:18" hidden="1" x14ac:dyDescent="0.25">
      <c r="A86" s="29" t="s">
        <v>5597</v>
      </c>
      <c r="B86" s="29" t="s">
        <v>5596</v>
      </c>
      <c r="C86" s="29" t="s">
        <v>14</v>
      </c>
      <c r="D86" s="29" t="str">
        <f>VLOOKUP(C:C,'COUNT-CONT'!B:C,2,FALSE)</f>
        <v>Asia</v>
      </c>
      <c r="E86" s="29">
        <v>10</v>
      </c>
      <c r="F86" s="28">
        <v>5540</v>
      </c>
      <c r="G86" s="28">
        <v>7012955956</v>
      </c>
      <c r="H86" s="29">
        <v>49.33</v>
      </c>
      <c r="I86" s="142">
        <v>-30.11</v>
      </c>
      <c r="J86" s="29">
        <v>19.23</v>
      </c>
      <c r="K86" s="29">
        <v>15.87</v>
      </c>
      <c r="L86" s="29">
        <v>41.81</v>
      </c>
      <c r="M86" s="368"/>
      <c r="N86" s="368"/>
      <c r="O86" s="271">
        <f>IFERROR(Table17[[#This Row],[PROFIT]]/Table17[[#This Row],[TO]],0)</f>
        <v>0</v>
      </c>
      <c r="P86" s="177"/>
      <c r="Q86" s="177"/>
      <c r="R86" s="177"/>
    </row>
    <row r="87" spans="1:18" hidden="1" x14ac:dyDescent="0.25">
      <c r="A87" s="29" t="s">
        <v>18</v>
      </c>
      <c r="B87" s="29" t="s">
        <v>5595</v>
      </c>
      <c r="C87" s="29" t="s">
        <v>14</v>
      </c>
      <c r="D87" s="29" t="str">
        <f>VLOOKUP(C:C,'COUNT-CONT'!B:C,2,FALSE)</f>
        <v>Asia</v>
      </c>
      <c r="E87" s="29">
        <v>10</v>
      </c>
      <c r="F87" s="28">
        <v>5535</v>
      </c>
      <c r="G87" s="28">
        <v>7011535320</v>
      </c>
      <c r="H87" s="29">
        <v>49.3</v>
      </c>
      <c r="I87" s="142">
        <v>-30.14</v>
      </c>
      <c r="J87" s="29">
        <v>19.23</v>
      </c>
      <c r="K87" s="29">
        <v>15.87</v>
      </c>
      <c r="L87" s="29">
        <v>41.81</v>
      </c>
      <c r="M87" s="368"/>
      <c r="N87" s="368"/>
      <c r="O87" s="271">
        <f>IFERROR(Table17[[#This Row],[PROFIT]]/Table17[[#This Row],[TO]],0)</f>
        <v>0</v>
      </c>
      <c r="P87" s="177"/>
      <c r="Q87" s="177"/>
      <c r="R87" s="177"/>
    </row>
    <row r="88" spans="1:18" x14ac:dyDescent="0.25">
      <c r="A88" s="29" t="s">
        <v>170</v>
      </c>
      <c r="B88" s="29" t="s">
        <v>5708</v>
      </c>
      <c r="C88" s="29" t="s">
        <v>774</v>
      </c>
      <c r="D88" s="29" t="str">
        <f>VLOOKUP(C:C,'COUNT-CONT'!B:C,2,FALSE)</f>
        <v>Oceania</v>
      </c>
      <c r="E88" s="29">
        <v>10</v>
      </c>
      <c r="F88" s="28">
        <v>8714</v>
      </c>
      <c r="G88" s="28">
        <v>8485733647</v>
      </c>
      <c r="H88" s="29">
        <v>49.03</v>
      </c>
      <c r="I88" s="142">
        <v>-30.409999999999997</v>
      </c>
      <c r="J88" s="29">
        <v>29.2</v>
      </c>
      <c r="K88" s="29">
        <v>27.12</v>
      </c>
      <c r="L88" s="29">
        <v>52.18</v>
      </c>
      <c r="M88" s="368"/>
      <c r="N88" s="368"/>
      <c r="O88" s="271">
        <f>IFERROR(Table17[[#This Row],[PROFIT]]/Table17[[#This Row],[TO]],0)</f>
        <v>0</v>
      </c>
      <c r="P88" s="177"/>
      <c r="Q88" s="177"/>
      <c r="R88" s="177"/>
    </row>
    <row r="89" spans="1:18" hidden="1" x14ac:dyDescent="0.25">
      <c r="A89" s="29" t="s">
        <v>147</v>
      </c>
      <c r="B89" s="29" t="s">
        <v>5592</v>
      </c>
      <c r="C89" s="29" t="s">
        <v>14</v>
      </c>
      <c r="D89" s="29" t="str">
        <f>VLOOKUP(C:C,'COUNT-CONT'!B:C,2,FALSE)</f>
        <v>Asia</v>
      </c>
      <c r="E89" s="29">
        <v>10</v>
      </c>
      <c r="F89" s="28">
        <v>5767</v>
      </c>
      <c r="G89" s="28">
        <v>6964340419</v>
      </c>
      <c r="H89" s="29">
        <v>48.79</v>
      </c>
      <c r="I89" s="142">
        <v>-30.65</v>
      </c>
      <c r="J89" s="29">
        <v>19.010000000000002</v>
      </c>
      <c r="K89" s="29">
        <v>15.72</v>
      </c>
      <c r="L89" s="29">
        <v>41.35</v>
      </c>
      <c r="M89" s="368"/>
      <c r="N89" s="368"/>
      <c r="O89" s="271">
        <f>IFERROR(Table17[[#This Row],[PROFIT]]/Table17[[#This Row],[TO]],0)</f>
        <v>0</v>
      </c>
      <c r="P89" s="177"/>
      <c r="Q89" s="177"/>
      <c r="R89" s="177"/>
    </row>
    <row r="90" spans="1:18" ht="30" hidden="1" x14ac:dyDescent="0.25">
      <c r="A90" s="29" t="s">
        <v>450</v>
      </c>
      <c r="B90" s="29" t="s">
        <v>5478</v>
      </c>
      <c r="C90" s="29" t="s">
        <v>493</v>
      </c>
      <c r="D90" s="29" t="str">
        <f>VLOOKUP(C:C,'COUNT-CONT'!B:C,2,FALSE)</f>
        <v>Africa</v>
      </c>
      <c r="E90" s="29">
        <v>10</v>
      </c>
      <c r="F90" s="28">
        <v>5000</v>
      </c>
      <c r="G90" s="28">
        <v>6459400000</v>
      </c>
      <c r="H90" s="29">
        <v>48.61</v>
      </c>
      <c r="I90" s="142">
        <v>-30.83</v>
      </c>
      <c r="J90" s="29">
        <v>15.69</v>
      </c>
      <c r="K90" s="29">
        <v>11.22</v>
      </c>
      <c r="L90" s="29">
        <v>37.39</v>
      </c>
      <c r="M90" s="368"/>
      <c r="N90" s="368"/>
      <c r="O90" s="271">
        <f>IFERROR(Table17[[#This Row],[PROFIT]]/Table17[[#This Row],[TO]],0)</f>
        <v>0</v>
      </c>
      <c r="P90" s="177"/>
      <c r="Q90" s="177"/>
      <c r="R90" s="177"/>
    </row>
    <row r="91" spans="1:18" hidden="1" x14ac:dyDescent="0.25">
      <c r="A91" s="29" t="s">
        <v>5625</v>
      </c>
      <c r="B91" s="29" t="s">
        <v>5624</v>
      </c>
      <c r="C91" s="29" t="s">
        <v>258</v>
      </c>
      <c r="D91" s="29" t="str">
        <f>VLOOKUP(C:C,'COUNT-CONT'!B:C,2,FALSE)</f>
        <v>Asia</v>
      </c>
      <c r="E91" s="29">
        <v>10</v>
      </c>
      <c r="F91" s="28">
        <v>6362</v>
      </c>
      <c r="G91" s="28">
        <v>7365501603</v>
      </c>
      <c r="H91" s="29">
        <v>48.28</v>
      </c>
      <c r="I91" s="142">
        <v>-31.159999999999997</v>
      </c>
      <c r="J91" s="29">
        <v>21.07</v>
      </c>
      <c r="K91" s="29">
        <v>18.440000000000001</v>
      </c>
      <c r="L91" s="29">
        <v>43.89</v>
      </c>
      <c r="M91" s="368"/>
      <c r="N91" s="368"/>
      <c r="O91" s="271">
        <f>IFERROR(Table17[[#This Row],[PROFIT]]/Table17[[#This Row],[TO]],0)</f>
        <v>0</v>
      </c>
      <c r="P91" s="177"/>
      <c r="Q91" s="177"/>
      <c r="R91" s="177"/>
    </row>
    <row r="92" spans="1:18" hidden="1" x14ac:dyDescent="0.25">
      <c r="A92" s="29" t="s">
        <v>355</v>
      </c>
      <c r="B92" s="29" t="s">
        <v>5309</v>
      </c>
      <c r="C92" s="29" t="s">
        <v>1070</v>
      </c>
      <c r="D92" s="29" t="str">
        <f>VLOOKUP(C:C,'COUNT-CONT'!B:C,2,FALSE)</f>
        <v>Asia</v>
      </c>
      <c r="E92" s="29">
        <v>10</v>
      </c>
      <c r="F92" s="28">
        <v>3872</v>
      </c>
      <c r="G92" s="28">
        <v>5984690909</v>
      </c>
      <c r="H92" s="29">
        <v>48.22</v>
      </c>
      <c r="I92" s="142">
        <v>-31.22</v>
      </c>
      <c r="J92" s="29">
        <v>11.22</v>
      </c>
      <c r="K92" s="29">
        <v>7.26</v>
      </c>
      <c r="L92" s="29">
        <v>33.01</v>
      </c>
      <c r="M92" s="368"/>
      <c r="N92" s="368"/>
      <c r="O92" s="271">
        <f>IFERROR(Table17[[#This Row],[PROFIT]]/Table17[[#This Row],[TO]],0)</f>
        <v>0</v>
      </c>
      <c r="P92" s="177"/>
      <c r="Q92" s="177"/>
      <c r="R92" s="177"/>
    </row>
    <row r="93" spans="1:18" hidden="1" x14ac:dyDescent="0.25">
      <c r="A93" s="29" t="s">
        <v>5163</v>
      </c>
      <c r="B93" s="29" t="s">
        <v>5162</v>
      </c>
      <c r="C93" s="29" t="s">
        <v>611</v>
      </c>
      <c r="D93" s="29" t="str">
        <f>VLOOKUP(C:C,'COUNT-CONT'!B:C,2,FALSE)</f>
        <v>Africa</v>
      </c>
      <c r="E93" s="29">
        <v>10</v>
      </c>
      <c r="F93" s="28">
        <v>4083</v>
      </c>
      <c r="G93" s="28">
        <v>5624387755</v>
      </c>
      <c r="H93" s="29">
        <v>48.22</v>
      </c>
      <c r="I93" s="142">
        <v>-31.22</v>
      </c>
      <c r="J93" s="29">
        <v>8.43</v>
      </c>
      <c r="K93" s="29">
        <v>3.6</v>
      </c>
      <c r="L93" s="29">
        <v>30.14</v>
      </c>
      <c r="M93" s="368"/>
      <c r="N93" s="368"/>
      <c r="O93" s="271">
        <f>IFERROR(Table17[[#This Row],[PROFIT]]/Table17[[#This Row],[TO]],0)</f>
        <v>0</v>
      </c>
      <c r="P93" s="177"/>
      <c r="Q93" s="177"/>
      <c r="R93" s="177"/>
    </row>
    <row r="94" spans="1:18" ht="30" hidden="1" x14ac:dyDescent="0.25">
      <c r="A94" s="29" t="s">
        <v>5721</v>
      </c>
      <c r="B94" s="29" t="s">
        <v>5720</v>
      </c>
      <c r="C94" s="29" t="s">
        <v>514</v>
      </c>
      <c r="D94" s="29" t="str">
        <f>VLOOKUP(C:C,'COUNT-CONT'!B:C,2,FALSE)</f>
        <v>North America</v>
      </c>
      <c r="E94" s="29">
        <v>10</v>
      </c>
      <c r="F94" s="28">
        <v>9477</v>
      </c>
      <c r="G94" s="28">
        <v>8706370486</v>
      </c>
      <c r="H94" s="29">
        <v>47.55</v>
      </c>
      <c r="I94" s="142">
        <v>-31.89</v>
      </c>
      <c r="J94" s="29">
        <v>31.35</v>
      </c>
      <c r="K94" s="29">
        <v>30.26</v>
      </c>
      <c r="L94" s="29">
        <v>54.05</v>
      </c>
      <c r="M94" s="368"/>
      <c r="N94" s="368"/>
      <c r="O94" s="271">
        <f>IFERROR(Table17[[#This Row],[PROFIT]]/Table17[[#This Row],[TO]],0)</f>
        <v>0</v>
      </c>
      <c r="P94" s="177"/>
      <c r="Q94" s="177"/>
      <c r="R94" s="177"/>
    </row>
    <row r="95" spans="1:18" hidden="1" x14ac:dyDescent="0.25">
      <c r="A95" s="29" t="s">
        <v>5457</v>
      </c>
      <c r="B95" s="29" t="s">
        <v>5456</v>
      </c>
      <c r="C95" s="29" t="s">
        <v>700</v>
      </c>
      <c r="D95" s="29" t="str">
        <f>VLOOKUP(C:C,'COUNT-CONT'!B:C,2,FALSE)</f>
        <v>Asia</v>
      </c>
      <c r="E95" s="29">
        <v>8</v>
      </c>
      <c r="F95" s="28">
        <v>4086</v>
      </c>
      <c r="G95" s="28">
        <v>6355211943</v>
      </c>
      <c r="H95" s="29">
        <v>47.46</v>
      </c>
      <c r="I95" s="142">
        <v>-31.979999999999997</v>
      </c>
      <c r="J95" s="29">
        <v>14.6</v>
      </c>
      <c r="K95" s="29">
        <v>10.94</v>
      </c>
      <c r="L95" s="29">
        <v>36.520000000000003</v>
      </c>
      <c r="M95" s="368"/>
      <c r="N95" s="368"/>
      <c r="O95" s="271">
        <f>IFERROR(Table17[[#This Row],[PROFIT]]/Table17[[#This Row],[TO]],0)</f>
        <v>0</v>
      </c>
      <c r="P95" s="177"/>
      <c r="Q95" s="177"/>
      <c r="R95" s="177"/>
    </row>
    <row r="96" spans="1:18" hidden="1" x14ac:dyDescent="0.25">
      <c r="A96" s="29" t="s">
        <v>249</v>
      </c>
      <c r="B96" s="29" t="s">
        <v>5668</v>
      </c>
      <c r="C96" s="29" t="s">
        <v>142</v>
      </c>
      <c r="D96" s="29" t="str">
        <f>VLOOKUP(C:C,'COUNT-CONT'!B:C,2,FALSE)</f>
        <v>Asia</v>
      </c>
      <c r="E96" s="29">
        <v>8</v>
      </c>
      <c r="F96" s="28">
        <v>6156</v>
      </c>
      <c r="G96" s="28">
        <v>7824387459</v>
      </c>
      <c r="H96" s="29">
        <v>47.43</v>
      </c>
      <c r="I96" s="142">
        <v>-32.01</v>
      </c>
      <c r="J96" s="29">
        <v>25.6</v>
      </c>
      <c r="K96" s="29">
        <v>22.76</v>
      </c>
      <c r="L96" s="29">
        <v>47.43</v>
      </c>
      <c r="M96" s="368"/>
      <c r="N96" s="368"/>
      <c r="O96" s="271">
        <f>IFERROR(Table17[[#This Row],[PROFIT]]/Table17[[#This Row],[TO]],0)</f>
        <v>0</v>
      </c>
      <c r="P96" s="177"/>
      <c r="Q96" s="177"/>
      <c r="R96" s="177"/>
    </row>
    <row r="97" spans="1:18" hidden="1" x14ac:dyDescent="0.25">
      <c r="A97" s="29" t="s">
        <v>63</v>
      </c>
      <c r="B97" s="29" t="s">
        <v>5572</v>
      </c>
      <c r="C97" s="29" t="s">
        <v>14</v>
      </c>
      <c r="D97" s="29" t="str">
        <f>VLOOKUP(C:C,'COUNT-CONT'!B:C,2,FALSE)</f>
        <v>Asia</v>
      </c>
      <c r="E97" s="29">
        <v>10</v>
      </c>
      <c r="F97" s="28">
        <v>5225</v>
      </c>
      <c r="G97" s="28">
        <v>6807326315</v>
      </c>
      <c r="H97" s="29">
        <v>47.43</v>
      </c>
      <c r="I97" s="142">
        <v>-32.01</v>
      </c>
      <c r="J97" s="29">
        <v>18.47</v>
      </c>
      <c r="K97" s="29">
        <v>15.27</v>
      </c>
      <c r="L97" s="29">
        <v>40.21</v>
      </c>
      <c r="M97" s="368"/>
      <c r="N97" s="368"/>
      <c r="O97" s="271">
        <f>IFERROR(Table17[[#This Row],[PROFIT]]/Table17[[#This Row],[TO]],0)</f>
        <v>0</v>
      </c>
      <c r="P97" s="177"/>
      <c r="Q97" s="177"/>
      <c r="R97" s="177"/>
    </row>
    <row r="98" spans="1:18" ht="30" hidden="1" x14ac:dyDescent="0.25">
      <c r="A98" s="29" t="s">
        <v>448</v>
      </c>
      <c r="B98" s="29" t="s">
        <v>5273</v>
      </c>
      <c r="C98" s="29" t="s">
        <v>1070</v>
      </c>
      <c r="D98" s="29" t="str">
        <f>VLOOKUP(C:C,'COUNT-CONT'!B:C,2,FALSE)</f>
        <v>Asia</v>
      </c>
      <c r="E98" s="29">
        <v>10</v>
      </c>
      <c r="F98" s="28">
        <v>5598</v>
      </c>
      <c r="G98" s="28">
        <v>5840198749</v>
      </c>
      <c r="H98" s="29">
        <v>47.37</v>
      </c>
      <c r="I98" s="142">
        <v>-32.07</v>
      </c>
      <c r="J98" s="29">
        <v>11</v>
      </c>
      <c r="K98" s="29">
        <v>7.13</v>
      </c>
      <c r="L98" s="29">
        <v>32.44</v>
      </c>
      <c r="M98" s="368"/>
      <c r="N98" s="368"/>
      <c r="O98" s="271">
        <f>IFERROR(Table17[[#This Row],[PROFIT]]/Table17[[#This Row],[TO]],0)</f>
        <v>0</v>
      </c>
      <c r="P98" s="177"/>
      <c r="Q98" s="177"/>
      <c r="R98" s="177"/>
    </row>
    <row r="99" spans="1:18" hidden="1" x14ac:dyDescent="0.25">
      <c r="A99" s="29" t="s">
        <v>337</v>
      </c>
      <c r="B99" s="29" t="s">
        <v>5568</v>
      </c>
      <c r="C99" s="29" t="s">
        <v>14</v>
      </c>
      <c r="D99" s="29" t="str">
        <f>VLOOKUP(C:C,'COUNT-CONT'!B:C,2,FALSE)</f>
        <v>Asia</v>
      </c>
      <c r="E99" s="29">
        <v>10</v>
      </c>
      <c r="F99" s="28">
        <v>5051</v>
      </c>
      <c r="G99" s="28">
        <v>6790178657</v>
      </c>
      <c r="H99" s="29">
        <v>47.31</v>
      </c>
      <c r="I99" s="142">
        <v>-32.129999999999995</v>
      </c>
      <c r="J99" s="29">
        <v>18.440000000000001</v>
      </c>
      <c r="K99" s="29">
        <v>15.24</v>
      </c>
      <c r="L99" s="29">
        <v>40.08</v>
      </c>
      <c r="M99" s="368"/>
      <c r="N99" s="368"/>
      <c r="O99" s="271">
        <f>IFERROR(Table17[[#This Row],[PROFIT]]/Table17[[#This Row],[TO]],0)</f>
        <v>0</v>
      </c>
      <c r="P99" s="177"/>
      <c r="Q99" s="177"/>
      <c r="R99" s="177"/>
    </row>
    <row r="100" spans="1:18" ht="30" hidden="1" x14ac:dyDescent="0.25">
      <c r="A100" s="29" t="s">
        <v>5616</v>
      </c>
      <c r="B100" s="29" t="s">
        <v>5615</v>
      </c>
      <c r="C100" s="29" t="s">
        <v>1749</v>
      </c>
      <c r="D100" s="29" t="str">
        <f>VLOOKUP(C:C,'COUNT-CONT'!B:C,2,FALSE)</f>
        <v>North America</v>
      </c>
      <c r="E100" s="29">
        <v>10</v>
      </c>
      <c r="F100" s="28">
        <v>5959</v>
      </c>
      <c r="G100" s="28">
        <v>7165794730</v>
      </c>
      <c r="H100" s="29">
        <v>47.25</v>
      </c>
      <c r="I100" s="142">
        <v>-32.19</v>
      </c>
      <c r="J100" s="29">
        <v>21.46</v>
      </c>
      <c r="K100" s="29">
        <v>18.05</v>
      </c>
      <c r="L100" s="29">
        <v>42.96</v>
      </c>
      <c r="M100" s="368"/>
      <c r="N100" s="368"/>
      <c r="O100" s="271">
        <f>IFERROR(Table17[[#This Row],[PROFIT]]/Table17[[#This Row],[TO]],0)</f>
        <v>0</v>
      </c>
      <c r="P100" s="177"/>
      <c r="Q100" s="177"/>
      <c r="R100" s="177"/>
    </row>
    <row r="101" spans="1:18" hidden="1" x14ac:dyDescent="0.25">
      <c r="A101" s="29" t="s">
        <v>349</v>
      </c>
      <c r="B101" s="29" t="s">
        <v>5667</v>
      </c>
      <c r="C101" s="29" t="s">
        <v>142</v>
      </c>
      <c r="D101" s="29" t="str">
        <f>VLOOKUP(C:C,'COUNT-CONT'!B:C,2,FALSE)</f>
        <v>Asia</v>
      </c>
      <c r="E101" s="29">
        <v>8</v>
      </c>
      <c r="F101" s="28">
        <v>6087</v>
      </c>
      <c r="G101" s="28">
        <v>7791212994</v>
      </c>
      <c r="H101" s="29">
        <v>47.19</v>
      </c>
      <c r="I101" s="142">
        <v>-32.25</v>
      </c>
      <c r="J101" s="29">
        <v>25.45</v>
      </c>
      <c r="K101" s="29">
        <v>22.64</v>
      </c>
      <c r="L101" s="29">
        <v>47.19</v>
      </c>
      <c r="M101" s="368"/>
      <c r="N101" s="368"/>
      <c r="O101" s="271">
        <f>IFERROR(Table17[[#This Row],[PROFIT]]/Table17[[#This Row],[TO]],0)</f>
        <v>0</v>
      </c>
      <c r="P101" s="177"/>
      <c r="Q101" s="177"/>
      <c r="R101" s="177"/>
    </row>
    <row r="102" spans="1:18" hidden="1" x14ac:dyDescent="0.25">
      <c r="A102" s="29" t="s">
        <v>5483</v>
      </c>
      <c r="B102" s="29" t="s">
        <v>5482</v>
      </c>
      <c r="C102" s="29" t="s">
        <v>5481</v>
      </c>
      <c r="D102" s="29" t="str">
        <f>VLOOKUP(C:C,'COUNT-CONT'!B:C,2,FALSE)</f>
        <v>Asia</v>
      </c>
      <c r="E102" s="29">
        <v>10</v>
      </c>
      <c r="F102" s="28">
        <v>4905</v>
      </c>
      <c r="G102" s="28">
        <v>6666660958</v>
      </c>
      <c r="H102" s="29">
        <v>47.16</v>
      </c>
      <c r="I102" s="142">
        <v>-32.28</v>
      </c>
      <c r="J102" s="29">
        <v>15.72</v>
      </c>
      <c r="K102" s="29">
        <v>11.97</v>
      </c>
      <c r="L102" s="29">
        <v>37.42</v>
      </c>
      <c r="M102" s="368"/>
      <c r="N102" s="368"/>
      <c r="O102" s="271">
        <f>IFERROR(Table17[[#This Row],[PROFIT]]/Table17[[#This Row],[TO]],0)</f>
        <v>0</v>
      </c>
      <c r="P102" s="177"/>
      <c r="Q102" s="177"/>
      <c r="R102" s="177"/>
    </row>
    <row r="103" spans="1:18" hidden="1" x14ac:dyDescent="0.25">
      <c r="A103" s="29" t="s">
        <v>5661</v>
      </c>
      <c r="B103" s="29" t="s">
        <v>5660</v>
      </c>
      <c r="C103" s="29" t="s">
        <v>142</v>
      </c>
      <c r="D103" s="29" t="str">
        <f>VLOOKUP(C:C,'COUNT-CONT'!B:C,2,FALSE)</f>
        <v>Asia</v>
      </c>
      <c r="E103" s="29">
        <v>8</v>
      </c>
      <c r="F103" s="28">
        <v>5875</v>
      </c>
      <c r="G103" s="28">
        <v>7762634042</v>
      </c>
      <c r="H103" s="29">
        <v>46.98</v>
      </c>
      <c r="I103" s="142">
        <v>-32.46</v>
      </c>
      <c r="J103" s="29">
        <v>25.36</v>
      </c>
      <c r="K103" s="29">
        <v>22.55</v>
      </c>
      <c r="L103" s="29">
        <v>46.98</v>
      </c>
      <c r="M103" s="368"/>
      <c r="N103" s="368"/>
      <c r="O103" s="271">
        <f>IFERROR(Table17[[#This Row],[PROFIT]]/Table17[[#This Row],[TO]],0)</f>
        <v>0</v>
      </c>
      <c r="P103" s="177"/>
      <c r="Q103" s="177"/>
      <c r="R103" s="177"/>
    </row>
    <row r="104" spans="1:18" hidden="1" x14ac:dyDescent="0.25">
      <c r="A104" s="29" t="s">
        <v>5608</v>
      </c>
      <c r="B104" s="29" t="s">
        <v>5607</v>
      </c>
      <c r="C104" s="29" t="s">
        <v>258</v>
      </c>
      <c r="D104" s="29" t="str">
        <f>VLOOKUP(C:C,'COUNT-CONT'!B:C,2,FALSE)</f>
        <v>Asia</v>
      </c>
      <c r="E104" s="29">
        <v>8</v>
      </c>
      <c r="F104" s="28">
        <v>5049</v>
      </c>
      <c r="G104" s="28">
        <v>7184064923</v>
      </c>
      <c r="H104" s="29">
        <v>46.95</v>
      </c>
      <c r="I104" s="142">
        <v>-32.489999999999995</v>
      </c>
      <c r="J104" s="29">
        <v>20.47</v>
      </c>
      <c r="K104" s="29">
        <v>17.93</v>
      </c>
      <c r="L104" s="29">
        <v>42.68</v>
      </c>
      <c r="M104" s="368"/>
      <c r="N104" s="368"/>
      <c r="O104" s="271">
        <f>IFERROR(Table17[[#This Row],[PROFIT]]/Table17[[#This Row],[TO]],0)</f>
        <v>0</v>
      </c>
      <c r="P104" s="177"/>
      <c r="Q104" s="177"/>
      <c r="R104" s="177"/>
    </row>
    <row r="105" spans="1:18" hidden="1" x14ac:dyDescent="0.25">
      <c r="A105" s="29" t="s">
        <v>5443</v>
      </c>
      <c r="B105" s="29" t="s">
        <v>5442</v>
      </c>
      <c r="C105" s="29" t="s">
        <v>700</v>
      </c>
      <c r="D105" s="29" t="str">
        <f>VLOOKUP(C:C,'COUNT-CONT'!B:C,2,FALSE)</f>
        <v>Asia</v>
      </c>
      <c r="E105" s="29">
        <v>9</v>
      </c>
      <c r="F105" s="28">
        <v>4356</v>
      </c>
      <c r="G105" s="28">
        <v>6301725252</v>
      </c>
      <c r="H105" s="29">
        <v>46.86</v>
      </c>
      <c r="I105" s="142">
        <v>-32.58</v>
      </c>
      <c r="J105" s="29">
        <v>14.42</v>
      </c>
      <c r="K105" s="29">
        <v>10.79</v>
      </c>
      <c r="L105" s="29">
        <v>36.06</v>
      </c>
      <c r="M105" s="368"/>
      <c r="N105" s="368"/>
      <c r="O105" s="271">
        <f>IFERROR(Table17[[#This Row],[PROFIT]]/Table17[[#This Row],[TO]],0)</f>
        <v>0</v>
      </c>
      <c r="P105" s="177"/>
      <c r="Q105" s="177"/>
      <c r="R105" s="177"/>
    </row>
    <row r="106" spans="1:18" hidden="1" x14ac:dyDescent="0.25">
      <c r="A106" s="29" t="s">
        <v>5089</v>
      </c>
      <c r="B106" s="29" t="s">
        <v>5088</v>
      </c>
      <c r="C106" s="29" t="s">
        <v>2547</v>
      </c>
      <c r="D106" s="29" t="str">
        <f>VLOOKUP(C:C,'COUNT-CONT'!B:C,2,FALSE)</f>
        <v>Africa</v>
      </c>
      <c r="E106" s="29">
        <v>9</v>
      </c>
      <c r="F106" s="28">
        <v>3434</v>
      </c>
      <c r="G106" s="28">
        <v>5551526150</v>
      </c>
      <c r="H106" s="29">
        <v>46.86</v>
      </c>
      <c r="I106" s="142">
        <v>-32.58</v>
      </c>
      <c r="J106" s="29">
        <v>8.07</v>
      </c>
      <c r="K106" s="29">
        <v>3.45</v>
      </c>
      <c r="L106" s="29">
        <v>28.93</v>
      </c>
      <c r="M106" s="368"/>
      <c r="N106" s="368"/>
      <c r="O106" s="271">
        <f>IFERROR(Table17[[#This Row],[PROFIT]]/Table17[[#This Row],[TO]],0)</f>
        <v>0</v>
      </c>
      <c r="P106" s="177"/>
      <c r="Q106" s="177"/>
      <c r="R106" s="177"/>
    </row>
    <row r="107" spans="1:18" hidden="1" x14ac:dyDescent="0.25">
      <c r="A107" s="29" t="s">
        <v>326</v>
      </c>
      <c r="B107" s="29" t="s">
        <v>5308</v>
      </c>
      <c r="C107" s="29" t="s">
        <v>926</v>
      </c>
      <c r="D107" s="29" t="str">
        <f>VLOOKUP(C:C,'COUNT-CONT'!B:C,2,FALSE)</f>
        <v>Africa</v>
      </c>
      <c r="E107" s="29">
        <v>10</v>
      </c>
      <c r="F107" s="28">
        <v>4604</v>
      </c>
      <c r="G107" s="28">
        <v>5978122675</v>
      </c>
      <c r="H107" s="29">
        <v>46.83</v>
      </c>
      <c r="I107" s="142">
        <v>-32.61</v>
      </c>
      <c r="J107" s="29">
        <v>11.85</v>
      </c>
      <c r="K107" s="29">
        <v>7.89</v>
      </c>
      <c r="L107" s="29">
        <v>32.979999999999997</v>
      </c>
      <c r="M107" s="368"/>
      <c r="N107" s="368"/>
      <c r="O107" s="271">
        <f>IFERROR(Table17[[#This Row],[PROFIT]]/Table17[[#This Row],[TO]],0)</f>
        <v>0</v>
      </c>
      <c r="P107" s="177"/>
      <c r="Q107" s="177"/>
      <c r="R107" s="177"/>
    </row>
    <row r="108" spans="1:18" hidden="1" x14ac:dyDescent="0.25">
      <c r="A108" s="29" t="s">
        <v>430</v>
      </c>
      <c r="B108" s="29" t="s">
        <v>5713</v>
      </c>
      <c r="C108" s="29" t="s">
        <v>119</v>
      </c>
      <c r="D108" s="29" t="str">
        <f>VLOOKUP(C:C,'COUNT-CONT'!B:C,2,FALSE)</f>
        <v>Europe</v>
      </c>
      <c r="E108" s="29">
        <v>10</v>
      </c>
      <c r="F108" s="28">
        <v>9511</v>
      </c>
      <c r="G108" s="28">
        <v>8599055556</v>
      </c>
      <c r="H108" s="29">
        <v>46.77</v>
      </c>
      <c r="I108" s="142">
        <v>-32.669999999999995</v>
      </c>
      <c r="J108" s="29">
        <v>30.83</v>
      </c>
      <c r="K108" s="29">
        <v>29.78</v>
      </c>
      <c r="L108" s="29">
        <v>53.17</v>
      </c>
      <c r="M108" s="368"/>
      <c r="N108" s="368"/>
      <c r="O108" s="271">
        <f>IFERROR(Table17[[#This Row],[PROFIT]]/Table17[[#This Row],[TO]],0)</f>
        <v>0</v>
      </c>
      <c r="P108" s="177"/>
      <c r="Q108" s="177"/>
      <c r="R108" s="177"/>
    </row>
    <row r="109" spans="1:18" hidden="1" x14ac:dyDescent="0.25">
      <c r="A109" s="29" t="s">
        <v>198</v>
      </c>
      <c r="B109" s="29" t="s">
        <v>5177</v>
      </c>
      <c r="C109" s="29" t="s">
        <v>197</v>
      </c>
      <c r="D109" s="29" t="str">
        <f>VLOOKUP(C:C,'COUNT-CONT'!B:C,2,FALSE)</f>
        <v>Asia</v>
      </c>
      <c r="E109" s="29">
        <v>10</v>
      </c>
      <c r="F109" s="28">
        <v>3879</v>
      </c>
      <c r="G109" s="28">
        <v>5693378241</v>
      </c>
      <c r="H109" s="29">
        <v>46.74</v>
      </c>
      <c r="I109" s="142">
        <v>-32.699999999999996</v>
      </c>
      <c r="J109" s="29">
        <v>9.6999999999999993</v>
      </c>
      <c r="K109" s="29">
        <v>4.84</v>
      </c>
      <c r="L109" s="29">
        <v>30.35</v>
      </c>
      <c r="M109" s="368"/>
      <c r="N109" s="368"/>
      <c r="O109" s="271">
        <f>IFERROR(Table17[[#This Row],[PROFIT]]/Table17[[#This Row],[TO]],0)</f>
        <v>0</v>
      </c>
      <c r="P109" s="177"/>
      <c r="Q109" s="177"/>
      <c r="R109" s="177"/>
    </row>
    <row r="110" spans="1:18" hidden="1" x14ac:dyDescent="0.25">
      <c r="A110" s="29" t="s">
        <v>316</v>
      </c>
      <c r="B110" s="29" t="s">
        <v>5427</v>
      </c>
      <c r="C110" s="29" t="s">
        <v>700</v>
      </c>
      <c r="D110" s="29" t="str">
        <f>VLOOKUP(C:C,'COUNT-CONT'!B:C,2,FALSE)</f>
        <v>Asia</v>
      </c>
      <c r="E110" s="29">
        <v>10</v>
      </c>
      <c r="F110" s="28">
        <v>5018</v>
      </c>
      <c r="G110" s="28">
        <v>6297010840</v>
      </c>
      <c r="H110" s="29">
        <v>46.64</v>
      </c>
      <c r="I110" s="142">
        <v>-32.799999999999997</v>
      </c>
      <c r="J110" s="29">
        <v>14.36</v>
      </c>
      <c r="K110" s="29">
        <v>10.76</v>
      </c>
      <c r="L110" s="29">
        <v>35.880000000000003</v>
      </c>
      <c r="M110" s="368"/>
      <c r="N110" s="368"/>
      <c r="O110" s="271">
        <f>IFERROR(Table17[[#This Row],[PROFIT]]/Table17[[#This Row],[TO]],0)</f>
        <v>0</v>
      </c>
      <c r="P110" s="177"/>
      <c r="Q110" s="177"/>
      <c r="R110" s="177"/>
    </row>
    <row r="111" spans="1:18" hidden="1" x14ac:dyDescent="0.25">
      <c r="A111" s="29" t="s">
        <v>5636</v>
      </c>
      <c r="B111" s="29" t="s">
        <v>5635</v>
      </c>
      <c r="C111" s="29" t="s">
        <v>5634</v>
      </c>
      <c r="D111" s="29" t="str">
        <f>VLOOKUP(C:C,'COUNT-CONT'!B:C,2,FALSE)</f>
        <v>Asia</v>
      </c>
      <c r="E111" s="29">
        <v>10</v>
      </c>
      <c r="F111" s="28">
        <v>8364</v>
      </c>
      <c r="G111" s="28">
        <v>7523116021</v>
      </c>
      <c r="H111" s="29">
        <v>46.52</v>
      </c>
      <c r="I111" s="142">
        <v>-32.919999999999995</v>
      </c>
      <c r="J111" s="29">
        <v>23.25</v>
      </c>
      <c r="K111" s="29">
        <v>20.59</v>
      </c>
      <c r="L111" s="29">
        <v>44.74</v>
      </c>
      <c r="M111" s="368"/>
      <c r="N111" s="368"/>
      <c r="O111" s="271">
        <f>IFERROR(Table17[[#This Row],[PROFIT]]/Table17[[#This Row],[TO]],0)</f>
        <v>0</v>
      </c>
      <c r="P111" s="177"/>
      <c r="Q111" s="177"/>
      <c r="R111" s="177"/>
    </row>
    <row r="112" spans="1:18" hidden="1" x14ac:dyDescent="0.25">
      <c r="A112" s="29" t="s">
        <v>5511</v>
      </c>
      <c r="B112" s="29" t="s">
        <v>5510</v>
      </c>
      <c r="C112" s="29" t="s">
        <v>78</v>
      </c>
      <c r="D112" s="29" t="str">
        <f>VLOOKUP(C:C,'COUNT-CONT'!B:C,2,FALSE)</f>
        <v>Europe</v>
      </c>
      <c r="E112" s="29">
        <v>9</v>
      </c>
      <c r="F112" s="28">
        <v>4407</v>
      </c>
      <c r="G112" s="28">
        <v>6536802904</v>
      </c>
      <c r="H112" s="29">
        <v>46.43</v>
      </c>
      <c r="I112" s="142">
        <v>-33.01</v>
      </c>
      <c r="J112" s="29">
        <v>16.75</v>
      </c>
      <c r="K112" s="29">
        <v>13.69</v>
      </c>
      <c r="L112" s="29">
        <v>38.06</v>
      </c>
      <c r="M112" s="368"/>
      <c r="N112" s="368"/>
      <c r="O112" s="271">
        <f>IFERROR(Table17[[#This Row],[PROFIT]]/Table17[[#This Row],[TO]],0)</f>
        <v>0</v>
      </c>
      <c r="P112" s="177"/>
      <c r="Q112" s="177"/>
      <c r="R112" s="177"/>
    </row>
    <row r="113" spans="1:18" hidden="1" x14ac:dyDescent="0.25">
      <c r="A113" s="29" t="s">
        <v>5526</v>
      </c>
      <c r="B113" s="29" t="s">
        <v>5525</v>
      </c>
      <c r="C113" s="29" t="s">
        <v>1420</v>
      </c>
      <c r="D113" s="29" t="str">
        <f>VLOOKUP(C:C,'COUNT-CONT'!B:C,2,FALSE)</f>
        <v>Europe</v>
      </c>
      <c r="E113" s="29">
        <v>9</v>
      </c>
      <c r="F113" s="28">
        <v>4652</v>
      </c>
      <c r="G113" s="28">
        <v>6594057437</v>
      </c>
      <c r="H113" s="29">
        <v>46.28</v>
      </c>
      <c r="I113" s="142">
        <v>-33.159999999999997</v>
      </c>
      <c r="J113" s="29">
        <v>17.739999999999998</v>
      </c>
      <c r="K113" s="29">
        <v>13.88</v>
      </c>
      <c r="L113" s="29">
        <v>38.57</v>
      </c>
      <c r="M113" s="368"/>
      <c r="N113" s="368"/>
      <c r="O113" s="271">
        <f>IFERROR(Table17[[#This Row],[PROFIT]]/Table17[[#This Row],[TO]],0)</f>
        <v>0</v>
      </c>
      <c r="P113" s="177"/>
      <c r="Q113" s="177"/>
      <c r="R113" s="177"/>
    </row>
    <row r="114" spans="1:18" hidden="1" x14ac:dyDescent="0.25">
      <c r="A114" s="29" t="s">
        <v>193</v>
      </c>
      <c r="B114" s="29" t="s">
        <v>5623</v>
      </c>
      <c r="C114" s="29" t="s">
        <v>733</v>
      </c>
      <c r="D114" s="29" t="str">
        <f>VLOOKUP(C:C,'COUNT-CONT'!B:C,2,FALSE)</f>
        <v>Europe</v>
      </c>
      <c r="E114" s="29">
        <v>10</v>
      </c>
      <c r="F114" s="28">
        <v>6636</v>
      </c>
      <c r="G114" s="28">
        <v>7304062507</v>
      </c>
      <c r="H114" s="29">
        <v>46.16</v>
      </c>
      <c r="I114" s="142">
        <v>-33.28</v>
      </c>
      <c r="J114" s="29">
        <v>21.77</v>
      </c>
      <c r="K114" s="29">
        <v>20.04</v>
      </c>
      <c r="L114" s="29">
        <v>43.56</v>
      </c>
      <c r="M114" s="368"/>
      <c r="N114" s="368"/>
      <c r="O114" s="271">
        <f>IFERROR(Table17[[#This Row],[PROFIT]]/Table17[[#This Row],[TO]],0)</f>
        <v>0</v>
      </c>
      <c r="P114" s="177"/>
      <c r="Q114" s="177"/>
      <c r="R114" s="177"/>
    </row>
    <row r="115" spans="1:18" hidden="1" x14ac:dyDescent="0.25">
      <c r="A115" s="29" t="s">
        <v>275</v>
      </c>
      <c r="B115" s="29" t="s">
        <v>5414</v>
      </c>
      <c r="C115" s="29" t="s">
        <v>332</v>
      </c>
      <c r="D115" s="29" t="str">
        <f>VLOOKUP(C:C,'COUNT-CONT'!B:C,2,FALSE)</f>
        <v>Asia</v>
      </c>
      <c r="E115" s="29">
        <v>8</v>
      </c>
      <c r="F115" s="28">
        <v>3500</v>
      </c>
      <c r="G115" s="28">
        <v>6256285714</v>
      </c>
      <c r="H115" s="29">
        <v>46.07</v>
      </c>
      <c r="I115" s="142">
        <v>-33.369999999999997</v>
      </c>
      <c r="J115" s="29">
        <v>14.18</v>
      </c>
      <c r="K115" s="29">
        <v>11.34</v>
      </c>
      <c r="L115" s="29">
        <v>35.43</v>
      </c>
      <c r="M115" s="368"/>
      <c r="N115" s="368"/>
      <c r="O115" s="271">
        <f>IFERROR(Table17[[#This Row],[PROFIT]]/Table17[[#This Row],[TO]],0)</f>
        <v>0</v>
      </c>
      <c r="P115" s="177"/>
      <c r="Q115" s="177"/>
      <c r="R115" s="177"/>
    </row>
    <row r="116" spans="1:18" hidden="1" x14ac:dyDescent="0.25">
      <c r="A116" s="29" t="s">
        <v>27</v>
      </c>
      <c r="B116" s="29" t="s">
        <v>5674</v>
      </c>
      <c r="C116" s="29" t="s">
        <v>3915</v>
      </c>
      <c r="D116" s="29" t="str">
        <f>VLOOKUP(C:C,'COUNT-CONT'!B:C,2,FALSE)</f>
        <v>Europe</v>
      </c>
      <c r="E116" s="29">
        <v>10</v>
      </c>
      <c r="F116" s="28">
        <v>7549</v>
      </c>
      <c r="G116" s="28">
        <v>7917114664</v>
      </c>
      <c r="H116" s="29">
        <v>46.01</v>
      </c>
      <c r="I116" s="142">
        <v>-33.43</v>
      </c>
      <c r="J116" s="29">
        <v>25.88</v>
      </c>
      <c r="K116" s="29">
        <v>24.91</v>
      </c>
      <c r="L116" s="29">
        <v>47.91</v>
      </c>
      <c r="M116" s="368"/>
      <c r="N116" s="368"/>
      <c r="O116" s="271">
        <f>IFERROR(Table17[[#This Row],[PROFIT]]/Table17[[#This Row],[TO]],0)</f>
        <v>0</v>
      </c>
      <c r="P116" s="177"/>
      <c r="Q116" s="177"/>
      <c r="R116" s="177"/>
    </row>
    <row r="117" spans="1:18" hidden="1" x14ac:dyDescent="0.25">
      <c r="A117" s="29" t="s">
        <v>219</v>
      </c>
      <c r="B117" s="29" t="s">
        <v>5649</v>
      </c>
      <c r="C117" s="29" t="s">
        <v>142</v>
      </c>
      <c r="D117" s="29" t="str">
        <f>VLOOKUP(C:C,'COUNT-CONT'!B:C,2,FALSE)</f>
        <v>Asia</v>
      </c>
      <c r="E117" s="29">
        <v>10</v>
      </c>
      <c r="F117" s="28">
        <v>7709</v>
      </c>
      <c r="G117" s="28">
        <v>7690090361</v>
      </c>
      <c r="H117" s="29">
        <v>45.98</v>
      </c>
      <c r="I117" s="142">
        <v>-33.46</v>
      </c>
      <c r="J117" s="29">
        <v>24.82</v>
      </c>
      <c r="K117" s="29">
        <v>22.07</v>
      </c>
      <c r="L117" s="29">
        <v>45.98</v>
      </c>
      <c r="M117" s="368"/>
      <c r="N117" s="368"/>
      <c r="O117" s="271">
        <f>IFERROR(Table17[[#This Row],[PROFIT]]/Table17[[#This Row],[TO]],0)</f>
        <v>0</v>
      </c>
      <c r="P117" s="177"/>
      <c r="Q117" s="177"/>
      <c r="R117" s="177"/>
    </row>
    <row r="118" spans="1:18" hidden="1" x14ac:dyDescent="0.25">
      <c r="A118" s="29" t="s">
        <v>290</v>
      </c>
      <c r="B118" s="29" t="s">
        <v>5540</v>
      </c>
      <c r="C118" s="29" t="s">
        <v>14</v>
      </c>
      <c r="D118" s="29" t="str">
        <f>VLOOKUP(C:C,'COUNT-CONT'!B:C,2,FALSE)</f>
        <v>Asia</v>
      </c>
      <c r="E118" s="29">
        <v>10</v>
      </c>
      <c r="F118" s="28">
        <v>5278</v>
      </c>
      <c r="G118" s="28">
        <v>6641212277</v>
      </c>
      <c r="H118" s="29">
        <v>45.83</v>
      </c>
      <c r="I118" s="142">
        <v>-33.61</v>
      </c>
      <c r="J118" s="29">
        <v>17.87</v>
      </c>
      <c r="K118" s="29">
        <v>14.75</v>
      </c>
      <c r="L118" s="29">
        <v>38.85</v>
      </c>
      <c r="M118" s="368"/>
      <c r="N118" s="368"/>
      <c r="O118" s="271">
        <f>IFERROR(Table17[[#This Row],[PROFIT]]/Table17[[#This Row],[TO]],0)</f>
        <v>0</v>
      </c>
      <c r="P118" s="177"/>
      <c r="Q118" s="177"/>
      <c r="R118" s="177"/>
    </row>
    <row r="119" spans="1:18" ht="30" hidden="1" x14ac:dyDescent="0.25">
      <c r="A119" s="29" t="s">
        <v>182</v>
      </c>
      <c r="B119" s="29" t="s">
        <v>5695</v>
      </c>
      <c r="C119" s="29" t="s">
        <v>83</v>
      </c>
      <c r="D119" s="29" t="str">
        <f>VLOOKUP(C:C,'COUNT-CONT'!B:C,2,FALSE)</f>
        <v>Europe</v>
      </c>
      <c r="E119" s="29">
        <v>9</v>
      </c>
      <c r="F119" s="28">
        <v>7289</v>
      </c>
      <c r="G119" s="28">
        <v>8115312333</v>
      </c>
      <c r="H119" s="29">
        <v>45.74</v>
      </c>
      <c r="I119" s="142">
        <v>-33.699999999999996</v>
      </c>
      <c r="J119" s="29">
        <v>27.84</v>
      </c>
      <c r="K119" s="29">
        <v>25.85</v>
      </c>
      <c r="L119" s="29">
        <v>49.73</v>
      </c>
      <c r="M119" s="368"/>
      <c r="N119" s="368"/>
      <c r="O119" s="271">
        <f>IFERROR(Table17[[#This Row],[PROFIT]]/Table17[[#This Row],[TO]],0)</f>
        <v>0</v>
      </c>
      <c r="P119" s="177"/>
      <c r="Q119" s="177"/>
      <c r="R119" s="177"/>
    </row>
    <row r="120" spans="1:18" ht="30" hidden="1" x14ac:dyDescent="0.25">
      <c r="A120" s="29" t="s">
        <v>84</v>
      </c>
      <c r="B120" s="29" t="s">
        <v>5689</v>
      </c>
      <c r="C120" s="29" t="s">
        <v>83</v>
      </c>
      <c r="D120" s="29" t="str">
        <f>VLOOKUP(C:C,'COUNT-CONT'!B:C,2,FALSE)</f>
        <v>Europe</v>
      </c>
      <c r="E120" s="29">
        <v>9</v>
      </c>
      <c r="F120" s="28">
        <v>7175</v>
      </c>
      <c r="G120" s="28">
        <v>8071310104</v>
      </c>
      <c r="H120" s="29">
        <v>45.44</v>
      </c>
      <c r="I120" s="142">
        <v>-34</v>
      </c>
      <c r="J120" s="29">
        <v>27.66</v>
      </c>
      <c r="K120" s="29">
        <v>25.67</v>
      </c>
      <c r="L120" s="29">
        <v>49.4</v>
      </c>
      <c r="M120" s="368"/>
      <c r="N120" s="368"/>
      <c r="O120" s="271">
        <f>IFERROR(Table17[[#This Row],[PROFIT]]/Table17[[#This Row],[TO]],0)</f>
        <v>0</v>
      </c>
      <c r="P120" s="177"/>
      <c r="Q120" s="177"/>
      <c r="R120" s="177"/>
    </row>
    <row r="121" spans="1:18" ht="30" hidden="1" x14ac:dyDescent="0.25">
      <c r="A121" s="29" t="s">
        <v>312</v>
      </c>
      <c r="B121" s="29" t="s">
        <v>5520</v>
      </c>
      <c r="C121" s="29" t="s">
        <v>505</v>
      </c>
      <c r="D121" s="29" t="e">
        <f>VLOOKUP(C:C,'COUNT-CONT'!B:C,2,FALSE)</f>
        <v>#N/A</v>
      </c>
      <c r="E121" s="29">
        <v>10</v>
      </c>
      <c r="F121" s="28">
        <v>4769</v>
      </c>
      <c r="G121" s="28">
        <v>6572656322</v>
      </c>
      <c r="H121" s="29">
        <v>45.31</v>
      </c>
      <c r="I121" s="142">
        <v>-34.129999999999995</v>
      </c>
      <c r="J121" s="29">
        <v>17.649999999999999</v>
      </c>
      <c r="K121" s="29">
        <v>14.57</v>
      </c>
      <c r="L121" s="29">
        <v>38.39</v>
      </c>
      <c r="M121" s="368"/>
      <c r="N121" s="368"/>
      <c r="O121" s="271">
        <f>IFERROR(Table17[[#This Row],[PROFIT]]/Table17[[#This Row],[TO]],0)</f>
        <v>0</v>
      </c>
      <c r="P121" s="177"/>
      <c r="Q121" s="177"/>
      <c r="R121" s="177"/>
    </row>
    <row r="122" spans="1:18" ht="30" hidden="1" x14ac:dyDescent="0.25">
      <c r="A122" s="29" t="s">
        <v>5768</v>
      </c>
      <c r="B122" s="29" t="s">
        <v>5767</v>
      </c>
      <c r="C122" s="29" t="s">
        <v>11732</v>
      </c>
      <c r="D122" s="29" t="str">
        <f>VLOOKUP(C:C,'COUNT-CONT'!B:C,2,FALSE)</f>
        <v>North America</v>
      </c>
      <c r="E122" s="29">
        <v>10</v>
      </c>
      <c r="F122" s="28">
        <v>21609</v>
      </c>
      <c r="G122" s="28">
        <v>9523304715</v>
      </c>
      <c r="H122" s="29">
        <v>45.25</v>
      </c>
      <c r="I122" s="142">
        <v>-34.19</v>
      </c>
      <c r="J122" s="29">
        <v>36.909999999999997</v>
      </c>
      <c r="K122" s="29">
        <v>36.909999999999997</v>
      </c>
      <c r="L122" s="29">
        <v>59.55</v>
      </c>
      <c r="M122" s="368"/>
      <c r="N122" s="368"/>
      <c r="O122" s="271">
        <f>IFERROR(Table17[[#This Row],[PROFIT]]/Table17[[#This Row],[TO]],0)</f>
        <v>0</v>
      </c>
      <c r="P122" s="177"/>
      <c r="Q122" s="177"/>
      <c r="R122" s="177"/>
    </row>
    <row r="123" spans="1:18" hidden="1" x14ac:dyDescent="0.25">
      <c r="A123" s="29" t="s">
        <v>376</v>
      </c>
      <c r="B123" s="29" t="s">
        <v>5759</v>
      </c>
      <c r="C123" s="29" t="s">
        <v>560</v>
      </c>
      <c r="D123" s="29" t="str">
        <f>VLOOKUP(C:C,'COUNT-CONT'!B:C,2,FALSE)</f>
        <v>Europe</v>
      </c>
      <c r="E123" s="29">
        <v>10</v>
      </c>
      <c r="F123" s="28">
        <v>17836</v>
      </c>
      <c r="G123" s="28">
        <v>9593173020</v>
      </c>
      <c r="H123" s="29">
        <v>45.25</v>
      </c>
      <c r="I123" s="142">
        <v>-34.19</v>
      </c>
      <c r="J123" s="29">
        <v>36.909999999999997</v>
      </c>
      <c r="K123" s="29">
        <v>36.909999999999997</v>
      </c>
      <c r="L123" s="29">
        <v>59.55</v>
      </c>
      <c r="M123" s="368"/>
      <c r="N123" s="368"/>
      <c r="O123" s="271">
        <f>IFERROR(Table17[[#This Row],[PROFIT]]/Table17[[#This Row],[TO]],0)</f>
        <v>0</v>
      </c>
      <c r="P123" s="177"/>
      <c r="Q123" s="177"/>
      <c r="R123" s="177"/>
    </row>
    <row r="124" spans="1:18" ht="30" hidden="1" x14ac:dyDescent="0.25">
      <c r="A124" s="29" t="s">
        <v>5765</v>
      </c>
      <c r="B124" s="29" t="s">
        <v>5764</v>
      </c>
      <c r="C124" s="29" t="s">
        <v>11732</v>
      </c>
      <c r="D124" s="29" t="str">
        <f>VLOOKUP(C:C,'COUNT-CONT'!B:C,2,FALSE)</f>
        <v>North America</v>
      </c>
      <c r="E124" s="29">
        <v>10</v>
      </c>
      <c r="F124" s="28">
        <v>19023</v>
      </c>
      <c r="G124" s="28">
        <v>9655524738</v>
      </c>
      <c r="H124" s="29">
        <v>45.25</v>
      </c>
      <c r="I124" s="142">
        <v>-34.19</v>
      </c>
      <c r="J124" s="29">
        <v>36.909999999999997</v>
      </c>
      <c r="K124" s="29">
        <v>36.909999999999997</v>
      </c>
      <c r="L124" s="29">
        <v>59.55</v>
      </c>
      <c r="M124" s="368"/>
      <c r="N124" s="368"/>
      <c r="O124" s="271">
        <f>IFERROR(Table17[[#This Row],[PROFIT]]/Table17[[#This Row],[TO]],0)</f>
        <v>0</v>
      </c>
      <c r="P124" s="177"/>
      <c r="Q124" s="177"/>
      <c r="R124" s="177"/>
    </row>
    <row r="125" spans="1:18" ht="30" hidden="1" x14ac:dyDescent="0.25">
      <c r="A125" s="29" t="s">
        <v>5758</v>
      </c>
      <c r="B125" s="29" t="s">
        <v>5757</v>
      </c>
      <c r="C125" s="29" t="s">
        <v>11732</v>
      </c>
      <c r="D125" s="29" t="str">
        <f>VLOOKUP(C:C,'COUNT-CONT'!B:C,2,FALSE)</f>
        <v>North America</v>
      </c>
      <c r="E125" s="29">
        <v>10</v>
      </c>
      <c r="F125" s="28">
        <v>17000</v>
      </c>
      <c r="G125" s="28">
        <v>9583205882</v>
      </c>
      <c r="H125" s="29">
        <v>45.25</v>
      </c>
      <c r="I125" s="142">
        <v>-34.19</v>
      </c>
      <c r="J125" s="29">
        <v>36.909999999999997</v>
      </c>
      <c r="K125" s="29">
        <v>36.909999999999997</v>
      </c>
      <c r="L125" s="29">
        <v>59.55</v>
      </c>
      <c r="M125" s="368"/>
      <c r="N125" s="368"/>
      <c r="O125" s="271">
        <f>IFERROR(Table17[[#This Row],[PROFIT]]/Table17[[#This Row],[TO]],0)</f>
        <v>0</v>
      </c>
      <c r="P125" s="177"/>
      <c r="Q125" s="177"/>
      <c r="R125" s="177"/>
    </row>
    <row r="126" spans="1:18" ht="30" hidden="1" x14ac:dyDescent="0.25">
      <c r="A126" s="29" t="s">
        <v>5754</v>
      </c>
      <c r="B126" s="29" t="s">
        <v>5753</v>
      </c>
      <c r="C126" s="29" t="s">
        <v>11732</v>
      </c>
      <c r="D126" s="29" t="str">
        <f>VLOOKUP(C:C,'COUNT-CONT'!B:C,2,FALSE)</f>
        <v>North America</v>
      </c>
      <c r="E126" s="29">
        <v>10</v>
      </c>
      <c r="F126" s="28">
        <v>15778</v>
      </c>
      <c r="G126" s="28">
        <v>9548217327</v>
      </c>
      <c r="H126" s="29">
        <v>45.25</v>
      </c>
      <c r="I126" s="142">
        <v>-34.19</v>
      </c>
      <c r="J126" s="29">
        <v>36.909999999999997</v>
      </c>
      <c r="K126" s="29">
        <v>36.909999999999997</v>
      </c>
      <c r="L126" s="29">
        <v>59.55</v>
      </c>
      <c r="M126" s="368"/>
      <c r="N126" s="368"/>
      <c r="O126" s="271">
        <f>IFERROR(Table17[[#This Row],[PROFIT]]/Table17[[#This Row],[TO]],0)</f>
        <v>0</v>
      </c>
      <c r="P126" s="177"/>
      <c r="Q126" s="177"/>
      <c r="R126" s="177"/>
    </row>
    <row r="127" spans="1:18" ht="30" hidden="1" x14ac:dyDescent="0.25">
      <c r="A127" s="29" t="s">
        <v>5762</v>
      </c>
      <c r="B127" s="29" t="s">
        <v>5761</v>
      </c>
      <c r="C127" s="29" t="s">
        <v>11732</v>
      </c>
      <c r="D127" s="29" t="str">
        <f>VLOOKUP(C:C,'COUNT-CONT'!B:C,2,FALSE)</f>
        <v>North America</v>
      </c>
      <c r="E127" s="29">
        <v>10</v>
      </c>
      <c r="F127" s="28">
        <v>18660</v>
      </c>
      <c r="G127" s="28">
        <v>9565149624</v>
      </c>
      <c r="H127" s="29">
        <v>45.25</v>
      </c>
      <c r="I127" s="142">
        <v>-34.19</v>
      </c>
      <c r="J127" s="29">
        <v>36.909999999999997</v>
      </c>
      <c r="K127" s="29">
        <v>36.909999999999997</v>
      </c>
      <c r="L127" s="29">
        <v>59.55</v>
      </c>
      <c r="M127" s="368"/>
      <c r="N127" s="368"/>
      <c r="O127" s="271">
        <f>IFERROR(Table17[[#This Row],[PROFIT]]/Table17[[#This Row],[TO]],0)</f>
        <v>0</v>
      </c>
      <c r="P127" s="177"/>
      <c r="Q127" s="177"/>
      <c r="R127" s="177"/>
    </row>
    <row r="128" spans="1:18" hidden="1" x14ac:dyDescent="0.25">
      <c r="A128" s="29" t="s">
        <v>5653</v>
      </c>
      <c r="B128" s="29" t="s">
        <v>5652</v>
      </c>
      <c r="C128" s="29" t="s">
        <v>585</v>
      </c>
      <c r="D128" s="29" t="str">
        <f>VLOOKUP(C:C,'COUNT-CONT'!B:C,2,FALSE)</f>
        <v>Europe</v>
      </c>
      <c r="E128" s="29">
        <v>10</v>
      </c>
      <c r="F128" s="28">
        <v>6409</v>
      </c>
      <c r="G128" s="28">
        <v>7673133640</v>
      </c>
      <c r="H128" s="29">
        <v>45.22</v>
      </c>
      <c r="I128" s="142">
        <v>-34.22</v>
      </c>
      <c r="J128" s="29">
        <v>24.91</v>
      </c>
      <c r="K128" s="29">
        <v>23.07</v>
      </c>
      <c r="L128" s="29">
        <v>46.16</v>
      </c>
      <c r="M128" s="368"/>
      <c r="N128" s="368"/>
      <c r="O128" s="271">
        <f>IFERROR(Table17[[#This Row],[PROFIT]]/Table17[[#This Row],[TO]],0)</f>
        <v>0</v>
      </c>
      <c r="P128" s="177"/>
      <c r="Q128" s="177"/>
      <c r="R128" s="177"/>
    </row>
    <row r="129" spans="1:18" ht="30" hidden="1" x14ac:dyDescent="0.25">
      <c r="A129" s="29" t="s">
        <v>209</v>
      </c>
      <c r="B129" s="29" t="s">
        <v>5062</v>
      </c>
      <c r="C129" s="29" t="s">
        <v>644</v>
      </c>
      <c r="D129" s="29" t="str">
        <f>VLOOKUP(C:C,'COUNT-CONT'!B:C,2,FALSE)</f>
        <v>Africa</v>
      </c>
      <c r="E129" s="29">
        <v>10</v>
      </c>
      <c r="F129" s="28">
        <v>3869</v>
      </c>
      <c r="G129" s="28">
        <v>5529511191</v>
      </c>
      <c r="H129" s="29">
        <v>45.19</v>
      </c>
      <c r="I129" s="142">
        <v>-34.25</v>
      </c>
      <c r="J129" s="29">
        <v>8.56</v>
      </c>
      <c r="K129" s="29">
        <v>3.99</v>
      </c>
      <c r="L129" s="29">
        <v>28.6</v>
      </c>
      <c r="M129" s="368"/>
      <c r="N129" s="368"/>
      <c r="O129" s="271">
        <f>IFERROR(Table17[[#This Row],[PROFIT]]/Table17[[#This Row],[TO]],0)</f>
        <v>0</v>
      </c>
      <c r="P129" s="177"/>
      <c r="Q129" s="177"/>
      <c r="R129" s="177"/>
    </row>
    <row r="130" spans="1:18" hidden="1" x14ac:dyDescent="0.25">
      <c r="A130" s="29" t="s">
        <v>68</v>
      </c>
      <c r="B130" s="29" t="s">
        <v>5517</v>
      </c>
      <c r="C130" s="29" t="s">
        <v>14</v>
      </c>
      <c r="D130" s="29" t="str">
        <f>VLOOKUP(C:C,'COUNT-CONT'!B:C,2,FALSE)</f>
        <v>Asia</v>
      </c>
      <c r="E130" s="29">
        <v>10</v>
      </c>
      <c r="F130" s="28">
        <v>4900</v>
      </c>
      <c r="G130" s="28">
        <v>6565289795</v>
      </c>
      <c r="H130" s="29">
        <v>45.19</v>
      </c>
      <c r="I130" s="142">
        <v>-34.25</v>
      </c>
      <c r="J130" s="29">
        <v>17.62</v>
      </c>
      <c r="K130" s="29">
        <v>14.54</v>
      </c>
      <c r="L130" s="29">
        <v>38.299999999999997</v>
      </c>
      <c r="M130" s="368"/>
      <c r="N130" s="368"/>
      <c r="O130" s="271">
        <f>IFERROR(Table17[[#This Row],[PROFIT]]/Table17[[#This Row],[TO]],0)</f>
        <v>0</v>
      </c>
      <c r="P130" s="177"/>
      <c r="Q130" s="177"/>
      <c r="R130" s="177"/>
    </row>
    <row r="131" spans="1:18" x14ac:dyDescent="0.25">
      <c r="A131" s="29" t="s">
        <v>410</v>
      </c>
      <c r="B131" s="29" t="s">
        <v>5677</v>
      </c>
      <c r="C131" s="29" t="s">
        <v>774</v>
      </c>
      <c r="D131" s="29" t="str">
        <f>VLOOKUP(C:C,'COUNT-CONT'!B:C,2,FALSE)</f>
        <v>Oceania</v>
      </c>
      <c r="E131" s="29">
        <v>10</v>
      </c>
      <c r="F131" s="28">
        <v>7263</v>
      </c>
      <c r="G131" s="28">
        <v>7936452567</v>
      </c>
      <c r="H131" s="29">
        <v>45.16</v>
      </c>
      <c r="I131" s="142">
        <v>-34.28</v>
      </c>
      <c r="J131" s="29">
        <v>26.9</v>
      </c>
      <c r="K131" s="29">
        <v>24.97</v>
      </c>
      <c r="L131" s="29">
        <v>48.04</v>
      </c>
      <c r="M131" s="368"/>
      <c r="N131" s="368"/>
      <c r="O131" s="271">
        <f>IFERROR(Table17[[#This Row],[PROFIT]]/Table17[[#This Row],[TO]],0)</f>
        <v>0</v>
      </c>
      <c r="P131" s="177"/>
      <c r="Q131" s="177"/>
      <c r="R131" s="177"/>
    </row>
    <row r="132" spans="1:18" ht="30" hidden="1" x14ac:dyDescent="0.25">
      <c r="A132" s="29" t="s">
        <v>5514</v>
      </c>
      <c r="B132" s="29" t="s">
        <v>578</v>
      </c>
      <c r="C132" s="29" t="s">
        <v>517</v>
      </c>
      <c r="D132" s="29" t="str">
        <f>VLOOKUP(C:C,'COUNT-CONT'!B:C,2,FALSE)</f>
        <v>South America</v>
      </c>
      <c r="E132" s="29">
        <v>2</v>
      </c>
      <c r="F132" s="28">
        <v>1590</v>
      </c>
      <c r="G132" s="28">
        <v>6805723899</v>
      </c>
      <c r="H132" s="29">
        <v>45.04</v>
      </c>
      <c r="I132" s="142">
        <v>-34.4</v>
      </c>
      <c r="J132" s="29">
        <v>17.53</v>
      </c>
      <c r="K132" s="29">
        <v>14.48</v>
      </c>
      <c r="L132" s="29">
        <v>38.18</v>
      </c>
      <c r="M132" s="368"/>
      <c r="N132" s="368"/>
      <c r="O132" s="271">
        <f>IFERROR(Table17[[#This Row],[PROFIT]]/Table17[[#This Row],[TO]],0)</f>
        <v>0</v>
      </c>
      <c r="P132" s="177"/>
      <c r="Q132" s="177"/>
      <c r="R132" s="177"/>
    </row>
    <row r="133" spans="1:18" ht="30" hidden="1" x14ac:dyDescent="0.25">
      <c r="A133" s="29" t="s">
        <v>238</v>
      </c>
      <c r="B133" s="29" t="s">
        <v>5748</v>
      </c>
      <c r="C133" s="29" t="s">
        <v>11732</v>
      </c>
      <c r="D133" s="29" t="str">
        <f>VLOOKUP(C:C,'COUNT-CONT'!B:C,2,FALSE)</f>
        <v>North America</v>
      </c>
      <c r="E133" s="29">
        <v>10</v>
      </c>
      <c r="F133" s="28">
        <v>15921</v>
      </c>
      <c r="G133" s="28">
        <v>9559291137</v>
      </c>
      <c r="H133" s="29">
        <v>44.89</v>
      </c>
      <c r="I133" s="142">
        <v>-34.549999999999997</v>
      </c>
      <c r="J133" s="29">
        <v>36.61</v>
      </c>
      <c r="K133" s="29">
        <v>36.61</v>
      </c>
      <c r="L133" s="29">
        <v>59.07</v>
      </c>
      <c r="M133" s="368"/>
      <c r="N133" s="368"/>
      <c r="O133" s="271">
        <f>IFERROR(Table17[[#This Row],[PROFIT]]/Table17[[#This Row],[TO]],0)</f>
        <v>0</v>
      </c>
      <c r="P133" s="177"/>
      <c r="Q133" s="177"/>
      <c r="R133" s="177"/>
    </row>
    <row r="134" spans="1:18" ht="30" hidden="1" x14ac:dyDescent="0.25">
      <c r="A134" s="29" t="s">
        <v>5509</v>
      </c>
      <c r="B134" s="29" t="s">
        <v>5508</v>
      </c>
      <c r="C134" s="29" t="s">
        <v>517</v>
      </c>
      <c r="D134" s="29" t="str">
        <f>VLOOKUP(C:C,'COUNT-CONT'!B:C,2,FALSE)</f>
        <v>South America</v>
      </c>
      <c r="E134" s="29">
        <v>9</v>
      </c>
      <c r="F134" s="28">
        <v>4014</v>
      </c>
      <c r="G134" s="28">
        <v>6535340857</v>
      </c>
      <c r="H134" s="29">
        <v>44.86</v>
      </c>
      <c r="I134" s="142">
        <v>-34.58</v>
      </c>
      <c r="J134" s="29">
        <v>17.47</v>
      </c>
      <c r="K134" s="29">
        <v>14.45</v>
      </c>
      <c r="L134" s="29">
        <v>38.03</v>
      </c>
      <c r="M134" s="368"/>
      <c r="N134" s="368"/>
      <c r="O134" s="271">
        <f>IFERROR(Table17[[#This Row],[PROFIT]]/Table17[[#This Row],[TO]],0)</f>
        <v>0</v>
      </c>
      <c r="P134" s="177"/>
      <c r="Q134" s="177"/>
      <c r="R134" s="177"/>
    </row>
    <row r="135" spans="1:18" ht="30" hidden="1" x14ac:dyDescent="0.25">
      <c r="A135" s="29" t="s">
        <v>5602</v>
      </c>
      <c r="B135" s="29" t="s">
        <v>5601</v>
      </c>
      <c r="C135" s="29" t="s">
        <v>2441</v>
      </c>
      <c r="D135" s="29" t="e">
        <f>VLOOKUP(C:C,'COUNT-CONT'!B:C,2,FALSE)</f>
        <v>#N/A</v>
      </c>
      <c r="E135" s="29">
        <v>10</v>
      </c>
      <c r="F135" s="28">
        <v>6398</v>
      </c>
      <c r="G135" s="28">
        <v>7084628727</v>
      </c>
      <c r="H135" s="29">
        <v>44.62</v>
      </c>
      <c r="I135" s="142">
        <v>-34.82</v>
      </c>
      <c r="J135" s="29">
        <v>21.04</v>
      </c>
      <c r="K135" s="29">
        <v>18.5</v>
      </c>
      <c r="L135" s="29">
        <v>42.08</v>
      </c>
      <c r="M135" s="368"/>
      <c r="N135" s="368"/>
      <c r="O135" s="271">
        <f>IFERROR(Table17[[#This Row],[PROFIT]]/Table17[[#This Row],[TO]],0)</f>
        <v>0</v>
      </c>
      <c r="P135" s="177"/>
      <c r="Q135" s="177"/>
      <c r="R135" s="177"/>
    </row>
    <row r="136" spans="1:18" hidden="1" x14ac:dyDescent="0.25">
      <c r="A136" s="29" t="s">
        <v>95</v>
      </c>
      <c r="B136" s="29" t="s">
        <v>5500</v>
      </c>
      <c r="C136" s="29" t="s">
        <v>14</v>
      </c>
      <c r="D136" s="29" t="str">
        <f>VLOOKUP(C:C,'COUNT-CONT'!B:C,2,FALSE)</f>
        <v>Asia</v>
      </c>
      <c r="E136" s="29">
        <v>9</v>
      </c>
      <c r="F136" s="28">
        <v>4534</v>
      </c>
      <c r="G136" s="28">
        <v>6493011380</v>
      </c>
      <c r="H136" s="29">
        <v>44.59</v>
      </c>
      <c r="I136" s="142">
        <v>-34.849999999999994</v>
      </c>
      <c r="J136" s="29">
        <v>17.38</v>
      </c>
      <c r="K136" s="29">
        <v>14.36</v>
      </c>
      <c r="L136" s="29">
        <v>37.79</v>
      </c>
      <c r="M136" s="368"/>
      <c r="N136" s="368"/>
      <c r="O136" s="271">
        <f>IFERROR(Table17[[#This Row],[PROFIT]]/Table17[[#This Row],[TO]],0)</f>
        <v>0</v>
      </c>
      <c r="P136" s="177"/>
      <c r="Q136" s="177"/>
      <c r="R136" s="177"/>
    </row>
    <row r="137" spans="1:18" ht="30" hidden="1" x14ac:dyDescent="0.25">
      <c r="A137" s="29" t="s">
        <v>5336</v>
      </c>
      <c r="B137" s="29" t="s">
        <v>5335</v>
      </c>
      <c r="C137" s="29" t="s">
        <v>2293</v>
      </c>
      <c r="D137" s="29" t="str">
        <f>VLOOKUP(C:C,'COUNT-CONT'!B:C,2,FALSE)</f>
        <v>South America</v>
      </c>
      <c r="E137" s="29">
        <v>9</v>
      </c>
      <c r="F137" s="28">
        <v>3893</v>
      </c>
      <c r="G137" s="28">
        <v>6092358438</v>
      </c>
      <c r="H137" s="29">
        <v>44.53</v>
      </c>
      <c r="I137" s="142">
        <v>-34.909999999999997</v>
      </c>
      <c r="J137" s="29">
        <v>13.48</v>
      </c>
      <c r="K137" s="29">
        <v>10.1</v>
      </c>
      <c r="L137" s="29">
        <v>33.74</v>
      </c>
      <c r="M137" s="368"/>
      <c r="N137" s="368"/>
      <c r="O137" s="271">
        <f>IFERROR(Table17[[#This Row],[PROFIT]]/Table17[[#This Row],[TO]],0)</f>
        <v>0</v>
      </c>
      <c r="P137" s="177"/>
      <c r="Q137" s="177"/>
      <c r="R137" s="177"/>
    </row>
    <row r="138" spans="1:18" hidden="1" x14ac:dyDescent="0.25">
      <c r="A138" s="29" t="s">
        <v>143</v>
      </c>
      <c r="B138" s="29" t="s">
        <v>5632</v>
      </c>
      <c r="C138" s="29" t="s">
        <v>142</v>
      </c>
      <c r="D138" s="29" t="str">
        <f>VLOOKUP(C:C,'COUNT-CONT'!B:C,2,FALSE)</f>
        <v>Asia</v>
      </c>
      <c r="E138" s="29">
        <v>8</v>
      </c>
      <c r="F138" s="28">
        <v>5416</v>
      </c>
      <c r="G138" s="28">
        <v>7437701920</v>
      </c>
      <c r="H138" s="29">
        <v>44.44</v>
      </c>
      <c r="I138" s="142">
        <v>-35</v>
      </c>
      <c r="J138" s="29">
        <v>23.97</v>
      </c>
      <c r="K138" s="29">
        <v>21.31</v>
      </c>
      <c r="L138" s="29">
        <v>44.44</v>
      </c>
      <c r="M138" s="368"/>
      <c r="N138" s="368"/>
      <c r="O138" s="271">
        <f>IFERROR(Table17[[#This Row],[PROFIT]]/Table17[[#This Row],[TO]],0)</f>
        <v>0</v>
      </c>
      <c r="P138" s="177"/>
      <c r="Q138" s="177"/>
      <c r="R138" s="177"/>
    </row>
    <row r="139" spans="1:18" ht="30" hidden="1" x14ac:dyDescent="0.25">
      <c r="A139" s="29" t="s">
        <v>5287</v>
      </c>
      <c r="B139" s="29" t="s">
        <v>5286</v>
      </c>
      <c r="C139" s="29" t="s">
        <v>1261</v>
      </c>
      <c r="D139" s="29" t="str">
        <f>VLOOKUP(C:C,'COUNT-CONT'!B:C,2,FALSE)</f>
        <v>Asia</v>
      </c>
      <c r="E139" s="29">
        <v>7</v>
      </c>
      <c r="F139" s="28">
        <v>3382</v>
      </c>
      <c r="G139" s="28">
        <v>5896212491</v>
      </c>
      <c r="H139" s="29">
        <v>44.38</v>
      </c>
      <c r="I139" s="142">
        <v>-35.059999999999995</v>
      </c>
      <c r="J139" s="29">
        <v>12.39</v>
      </c>
      <c r="K139" s="29">
        <v>9.1300000000000008</v>
      </c>
      <c r="L139" s="29">
        <v>32.65</v>
      </c>
      <c r="M139" s="368"/>
      <c r="N139" s="368"/>
      <c r="O139" s="271">
        <f>IFERROR(Table17[[#This Row],[PROFIT]]/Table17[[#This Row],[TO]],0)</f>
        <v>0</v>
      </c>
      <c r="P139" s="177"/>
      <c r="Q139" s="177"/>
      <c r="R139" s="177"/>
    </row>
    <row r="140" spans="1:18" hidden="1" x14ac:dyDescent="0.25">
      <c r="A140" s="29" t="s">
        <v>5489</v>
      </c>
      <c r="B140" s="29" t="s">
        <v>5488</v>
      </c>
      <c r="C140" s="29" t="s">
        <v>14</v>
      </c>
      <c r="D140" s="29" t="str">
        <f>VLOOKUP(C:C,'COUNT-CONT'!B:C,2,FALSE)</f>
        <v>Asia</v>
      </c>
      <c r="E140" s="29">
        <v>10</v>
      </c>
      <c r="F140" s="28">
        <v>4787</v>
      </c>
      <c r="G140" s="28">
        <v>6471389011</v>
      </c>
      <c r="H140" s="29">
        <v>44.35</v>
      </c>
      <c r="I140" s="142">
        <v>-35.089999999999996</v>
      </c>
      <c r="J140" s="29">
        <v>17.29</v>
      </c>
      <c r="K140" s="29">
        <v>14.27</v>
      </c>
      <c r="L140" s="29">
        <v>37.58</v>
      </c>
      <c r="M140" s="368"/>
      <c r="N140" s="368"/>
      <c r="O140" s="271">
        <f>IFERROR(Table17[[#This Row],[PROFIT]]/Table17[[#This Row],[TO]],0)</f>
        <v>0</v>
      </c>
      <c r="P140" s="177"/>
      <c r="Q140" s="177"/>
      <c r="R140" s="177"/>
    </row>
    <row r="141" spans="1:18" hidden="1" x14ac:dyDescent="0.25">
      <c r="A141" s="29" t="s">
        <v>300</v>
      </c>
      <c r="B141" s="29" t="s">
        <v>5180</v>
      </c>
      <c r="C141" s="29" t="s">
        <v>1070</v>
      </c>
      <c r="D141" s="29" t="str">
        <f>VLOOKUP(C:C,'COUNT-CONT'!B:C,2,FALSE)</f>
        <v>Asia</v>
      </c>
      <c r="E141" s="29">
        <v>10</v>
      </c>
      <c r="F141" s="28">
        <v>5379</v>
      </c>
      <c r="G141" s="28">
        <v>5550898977</v>
      </c>
      <c r="H141" s="29">
        <v>44.29</v>
      </c>
      <c r="I141" s="142">
        <v>-35.15</v>
      </c>
      <c r="J141" s="29">
        <v>10.31</v>
      </c>
      <c r="K141" s="29">
        <v>6.65</v>
      </c>
      <c r="L141" s="29">
        <v>30.35</v>
      </c>
      <c r="M141" s="368"/>
      <c r="N141" s="368"/>
      <c r="O141" s="271">
        <f>IFERROR(Table17[[#This Row],[PROFIT]]/Table17[[#This Row],[TO]],0)</f>
        <v>0</v>
      </c>
      <c r="P141" s="177"/>
      <c r="Q141" s="177"/>
      <c r="R141" s="177"/>
    </row>
    <row r="142" spans="1:18" ht="30" hidden="1" x14ac:dyDescent="0.25">
      <c r="A142" s="29" t="s">
        <v>5485</v>
      </c>
      <c r="B142" s="29" t="s">
        <v>5484</v>
      </c>
      <c r="C142" s="29" t="s">
        <v>517</v>
      </c>
      <c r="D142" s="29" t="str">
        <f>VLOOKUP(C:C,'COUNT-CONT'!B:C,2,FALSE)</f>
        <v>South America</v>
      </c>
      <c r="E142" s="29">
        <v>8</v>
      </c>
      <c r="F142" s="28">
        <v>3865</v>
      </c>
      <c r="G142" s="28">
        <v>6473405433</v>
      </c>
      <c r="H142" s="29">
        <v>44.23</v>
      </c>
      <c r="I142" s="142">
        <v>-35.21</v>
      </c>
      <c r="J142" s="29">
        <v>17.23</v>
      </c>
      <c r="K142" s="29">
        <v>14.24</v>
      </c>
      <c r="L142" s="29">
        <v>37.479999999999997</v>
      </c>
      <c r="M142" s="368"/>
      <c r="N142" s="368"/>
      <c r="O142" s="271">
        <f>IFERROR(Table17[[#This Row],[PROFIT]]/Table17[[#This Row],[TO]],0)</f>
        <v>0</v>
      </c>
      <c r="P142" s="177"/>
      <c r="Q142" s="177"/>
      <c r="R142" s="177"/>
    </row>
    <row r="143" spans="1:18" ht="30" hidden="1" x14ac:dyDescent="0.25">
      <c r="A143" s="29" t="s">
        <v>5159</v>
      </c>
      <c r="B143" s="29" t="s">
        <v>5158</v>
      </c>
      <c r="C143" s="29" t="s">
        <v>1070</v>
      </c>
      <c r="D143" s="29" t="str">
        <f>VLOOKUP(C:C,'COUNT-CONT'!B:C,2,FALSE)</f>
        <v>Asia</v>
      </c>
      <c r="E143" s="29">
        <v>7</v>
      </c>
      <c r="F143" s="28">
        <v>2918</v>
      </c>
      <c r="G143" s="28">
        <v>5602070527</v>
      </c>
      <c r="H143" s="29">
        <v>44.01</v>
      </c>
      <c r="I143" s="142">
        <v>-35.43</v>
      </c>
      <c r="J143" s="29">
        <v>10.25</v>
      </c>
      <c r="K143" s="29">
        <v>6.62</v>
      </c>
      <c r="L143" s="29">
        <v>30.14</v>
      </c>
      <c r="M143" s="368"/>
      <c r="N143" s="368"/>
      <c r="O143" s="271">
        <f>IFERROR(Table17[[#This Row],[PROFIT]]/Table17[[#This Row],[TO]],0)</f>
        <v>0</v>
      </c>
      <c r="P143" s="177"/>
      <c r="Q143" s="177"/>
      <c r="R143" s="177"/>
    </row>
    <row r="144" spans="1:18" hidden="1" x14ac:dyDescent="0.25">
      <c r="A144" s="29" t="s">
        <v>5567</v>
      </c>
      <c r="B144" s="29" t="s">
        <v>5566</v>
      </c>
      <c r="C144" s="29" t="s">
        <v>758</v>
      </c>
      <c r="D144" s="29" t="str">
        <f>VLOOKUP(C:C,'COUNT-CONT'!B:C,2,FALSE)</f>
        <v>Europe</v>
      </c>
      <c r="E144" s="29">
        <v>10</v>
      </c>
      <c r="F144" s="28">
        <v>5625</v>
      </c>
      <c r="G144" s="28">
        <v>6805955555</v>
      </c>
      <c r="H144" s="29">
        <v>43.98</v>
      </c>
      <c r="I144" s="142">
        <v>-35.46</v>
      </c>
      <c r="J144" s="29">
        <v>19.98</v>
      </c>
      <c r="K144" s="29">
        <v>16.78</v>
      </c>
      <c r="L144" s="29">
        <v>39.99</v>
      </c>
      <c r="M144" s="368"/>
      <c r="N144" s="368"/>
      <c r="O144" s="271">
        <f>IFERROR(Table17[[#This Row],[PROFIT]]/Table17[[#This Row],[TO]],0)</f>
        <v>0</v>
      </c>
      <c r="P144" s="177"/>
      <c r="Q144" s="177"/>
      <c r="R144" s="177"/>
    </row>
    <row r="145" spans="1:18" hidden="1" x14ac:dyDescent="0.25">
      <c r="A145" s="29" t="s">
        <v>5432</v>
      </c>
      <c r="B145" s="29" t="s">
        <v>5431</v>
      </c>
      <c r="C145" s="29" t="s">
        <v>78</v>
      </c>
      <c r="D145" s="29" t="str">
        <f>VLOOKUP(C:C,'COUNT-CONT'!B:C,2,FALSE)</f>
        <v>Europe</v>
      </c>
      <c r="E145" s="29">
        <v>6</v>
      </c>
      <c r="F145" s="28">
        <v>3353</v>
      </c>
      <c r="G145" s="28">
        <v>6262064419</v>
      </c>
      <c r="H145" s="29">
        <v>43.86</v>
      </c>
      <c r="I145" s="142">
        <v>-35.58</v>
      </c>
      <c r="J145" s="29">
        <v>15.81</v>
      </c>
      <c r="K145" s="29">
        <v>12.94</v>
      </c>
      <c r="L145" s="29">
        <v>35.97</v>
      </c>
      <c r="M145" s="368"/>
      <c r="N145" s="368"/>
      <c r="O145" s="271">
        <f>IFERROR(Table17[[#This Row],[PROFIT]]/Table17[[#This Row],[TO]],0)</f>
        <v>0</v>
      </c>
      <c r="P145" s="177"/>
      <c r="Q145" s="177"/>
      <c r="R145" s="177"/>
    </row>
    <row r="146" spans="1:18" ht="30" hidden="1" x14ac:dyDescent="0.25">
      <c r="A146" s="29" t="s">
        <v>5438</v>
      </c>
      <c r="B146" s="29" t="s">
        <v>5437</v>
      </c>
      <c r="C146" s="29" t="s">
        <v>78</v>
      </c>
      <c r="D146" s="29" t="str">
        <f>VLOOKUP(C:C,'COUNT-CONT'!B:C,2,FALSE)</f>
        <v>Europe</v>
      </c>
      <c r="E146" s="29">
        <v>9</v>
      </c>
      <c r="F146" s="28">
        <v>4291</v>
      </c>
      <c r="G146" s="28">
        <v>6260350501</v>
      </c>
      <c r="H146" s="29">
        <v>43.86</v>
      </c>
      <c r="I146" s="142">
        <v>-35.58</v>
      </c>
      <c r="J146" s="29">
        <v>15.81</v>
      </c>
      <c r="K146" s="29">
        <v>12.94</v>
      </c>
      <c r="L146" s="29">
        <v>35.97</v>
      </c>
      <c r="M146" s="368"/>
      <c r="N146" s="368"/>
      <c r="O146" s="271">
        <f>IFERROR(Table17[[#This Row],[PROFIT]]/Table17[[#This Row],[TO]],0)</f>
        <v>0</v>
      </c>
      <c r="P146" s="177"/>
      <c r="Q146" s="177"/>
      <c r="R146" s="177"/>
    </row>
    <row r="147" spans="1:18" hidden="1" x14ac:dyDescent="0.25">
      <c r="A147" s="29" t="s">
        <v>204</v>
      </c>
      <c r="B147" s="29" t="s">
        <v>5439</v>
      </c>
      <c r="C147" s="29" t="s">
        <v>78</v>
      </c>
      <c r="D147" s="29" t="str">
        <f>VLOOKUP(C:C,'COUNT-CONT'!B:C,2,FALSE)</f>
        <v>Europe</v>
      </c>
      <c r="E147" s="29">
        <v>10</v>
      </c>
      <c r="F147" s="28">
        <v>5069</v>
      </c>
      <c r="G147" s="28">
        <v>6279005326</v>
      </c>
      <c r="H147" s="29">
        <v>43.86</v>
      </c>
      <c r="I147" s="142">
        <v>-35.58</v>
      </c>
      <c r="J147" s="29">
        <v>15.81</v>
      </c>
      <c r="K147" s="29">
        <v>12.94</v>
      </c>
      <c r="L147" s="29">
        <v>35.97</v>
      </c>
      <c r="M147" s="368"/>
      <c r="N147" s="368"/>
      <c r="O147" s="271">
        <f>IFERROR(Table17[[#This Row],[PROFIT]]/Table17[[#This Row],[TO]],0)</f>
        <v>0</v>
      </c>
      <c r="P147" s="177"/>
      <c r="Q147" s="177"/>
      <c r="R147" s="177"/>
    </row>
    <row r="148" spans="1:18" hidden="1" x14ac:dyDescent="0.25">
      <c r="A148" s="29" t="s">
        <v>5436</v>
      </c>
      <c r="B148" s="29" t="s">
        <v>5435</v>
      </c>
      <c r="C148" s="29" t="s">
        <v>78</v>
      </c>
      <c r="D148" s="29" t="str">
        <f>VLOOKUP(C:C,'COUNT-CONT'!B:C,2,FALSE)</f>
        <v>Europe</v>
      </c>
      <c r="E148" s="29">
        <v>8</v>
      </c>
      <c r="F148" s="28">
        <v>3857</v>
      </c>
      <c r="G148" s="28">
        <v>6256795747</v>
      </c>
      <c r="H148" s="29">
        <v>43.86</v>
      </c>
      <c r="I148" s="142">
        <v>-35.58</v>
      </c>
      <c r="J148" s="29">
        <v>15.81</v>
      </c>
      <c r="K148" s="29">
        <v>12.94</v>
      </c>
      <c r="L148" s="29">
        <v>35.97</v>
      </c>
      <c r="M148" s="368"/>
      <c r="N148" s="368"/>
      <c r="O148" s="271">
        <f>IFERROR(Table17[[#This Row],[PROFIT]]/Table17[[#This Row],[TO]],0)</f>
        <v>0</v>
      </c>
      <c r="P148" s="177"/>
      <c r="Q148" s="177"/>
      <c r="R148" s="177"/>
    </row>
    <row r="149" spans="1:18" hidden="1" x14ac:dyDescent="0.25">
      <c r="A149" s="29" t="s">
        <v>5434</v>
      </c>
      <c r="B149" s="29" t="s">
        <v>5433</v>
      </c>
      <c r="C149" s="29" t="s">
        <v>78</v>
      </c>
      <c r="D149" s="29" t="str">
        <f>VLOOKUP(C:C,'COUNT-CONT'!B:C,2,FALSE)</f>
        <v>Europe</v>
      </c>
      <c r="E149" s="29">
        <v>6</v>
      </c>
      <c r="F149" s="28">
        <v>3353</v>
      </c>
      <c r="G149" s="28">
        <v>6262064419</v>
      </c>
      <c r="H149" s="29">
        <v>43.86</v>
      </c>
      <c r="I149" s="142">
        <v>-35.58</v>
      </c>
      <c r="J149" s="29">
        <v>15.81</v>
      </c>
      <c r="K149" s="29">
        <v>12.94</v>
      </c>
      <c r="L149" s="29">
        <v>35.97</v>
      </c>
      <c r="M149" s="368"/>
      <c r="N149" s="368"/>
      <c r="O149" s="271">
        <f>IFERROR(Table17[[#This Row],[PROFIT]]/Table17[[#This Row],[TO]],0)</f>
        <v>0</v>
      </c>
      <c r="P149" s="177"/>
      <c r="Q149" s="177"/>
      <c r="R149" s="177"/>
    </row>
    <row r="150" spans="1:18" ht="30" hidden="1" x14ac:dyDescent="0.25">
      <c r="A150" s="29" t="s">
        <v>120</v>
      </c>
      <c r="B150" s="29" t="s">
        <v>5694</v>
      </c>
      <c r="C150" s="29" t="s">
        <v>119</v>
      </c>
      <c r="D150" s="29" t="str">
        <f>VLOOKUP(C:C,'COUNT-CONT'!B:C,2,FALSE)</f>
        <v>Europe</v>
      </c>
      <c r="E150" s="29">
        <v>10</v>
      </c>
      <c r="F150" s="28">
        <v>7486</v>
      </c>
      <c r="G150" s="28">
        <v>8125140956</v>
      </c>
      <c r="H150" s="29">
        <v>43.68</v>
      </c>
      <c r="I150" s="142">
        <v>-35.76</v>
      </c>
      <c r="J150" s="29">
        <v>28.78</v>
      </c>
      <c r="K150" s="29">
        <v>27.81</v>
      </c>
      <c r="L150" s="29">
        <v>49.67</v>
      </c>
      <c r="M150" s="368"/>
      <c r="N150" s="368"/>
      <c r="O150" s="271">
        <f>IFERROR(Table17[[#This Row],[PROFIT]]/Table17[[#This Row],[TO]],0)</f>
        <v>0</v>
      </c>
      <c r="P150" s="177"/>
      <c r="Q150" s="177"/>
      <c r="R150" s="177"/>
    </row>
    <row r="151" spans="1:18" ht="30" hidden="1" x14ac:dyDescent="0.25">
      <c r="A151" s="29" t="s">
        <v>5672</v>
      </c>
      <c r="B151" s="29" t="s">
        <v>5671</v>
      </c>
      <c r="C151" s="29" t="s">
        <v>308</v>
      </c>
      <c r="D151" s="29" t="str">
        <f>VLOOKUP(C:C,'COUNT-CONT'!B:C,2,FALSE)</f>
        <v>Europe</v>
      </c>
      <c r="E151" s="29">
        <v>10</v>
      </c>
      <c r="F151" s="28">
        <v>8046</v>
      </c>
      <c r="G151" s="28">
        <v>7874513895</v>
      </c>
      <c r="H151" s="29">
        <v>43.62</v>
      </c>
      <c r="I151" s="142">
        <v>-35.82</v>
      </c>
      <c r="J151" s="29">
        <v>26.54</v>
      </c>
      <c r="K151" s="29">
        <v>25.6</v>
      </c>
      <c r="L151" s="29">
        <v>47.43</v>
      </c>
      <c r="M151" s="368"/>
      <c r="N151" s="368"/>
      <c r="O151" s="271">
        <f>IFERROR(Table17[[#This Row],[PROFIT]]/Table17[[#This Row],[TO]],0)</f>
        <v>0</v>
      </c>
      <c r="P151" s="177"/>
      <c r="Q151" s="177"/>
      <c r="R151" s="177"/>
    </row>
    <row r="152" spans="1:18" ht="30" hidden="1" x14ac:dyDescent="0.25">
      <c r="A152" s="29" t="s">
        <v>103</v>
      </c>
      <c r="B152" s="29" t="s">
        <v>5558</v>
      </c>
      <c r="C152" s="29" t="s">
        <v>530</v>
      </c>
      <c r="D152" s="29" t="str">
        <f>VLOOKUP(C:C,'COUNT-CONT'!B:C,2,FALSE)</f>
        <v>South America</v>
      </c>
      <c r="E152" s="29">
        <v>10</v>
      </c>
      <c r="F152" s="28">
        <v>5704</v>
      </c>
      <c r="G152" s="28">
        <v>6738447124</v>
      </c>
      <c r="H152" s="29">
        <v>43.47</v>
      </c>
      <c r="I152" s="142">
        <v>-35.97</v>
      </c>
      <c r="J152" s="29">
        <v>18.95</v>
      </c>
      <c r="K152" s="29">
        <v>16.600000000000001</v>
      </c>
      <c r="L152" s="29">
        <v>39.54</v>
      </c>
      <c r="M152" s="368"/>
      <c r="N152" s="368"/>
      <c r="O152" s="271">
        <f>IFERROR(Table17[[#This Row],[PROFIT]]/Table17[[#This Row],[TO]],0)</f>
        <v>0</v>
      </c>
      <c r="P152" s="177"/>
      <c r="Q152" s="177"/>
      <c r="R152" s="177"/>
    </row>
    <row r="153" spans="1:18" ht="30" hidden="1" x14ac:dyDescent="0.25">
      <c r="A153" s="29" t="s">
        <v>5741</v>
      </c>
      <c r="B153" s="29" t="s">
        <v>5740</v>
      </c>
      <c r="C153" s="29" t="s">
        <v>11732</v>
      </c>
      <c r="D153" s="29" t="str">
        <f>VLOOKUP(C:C,'COUNT-CONT'!B:C,2,FALSE)</f>
        <v>North America</v>
      </c>
      <c r="E153" s="29">
        <v>10</v>
      </c>
      <c r="F153" s="28">
        <v>11888</v>
      </c>
      <c r="G153" s="28">
        <v>9234030282</v>
      </c>
      <c r="H153" s="29">
        <v>43.41</v>
      </c>
      <c r="I153" s="142">
        <v>-36.03</v>
      </c>
      <c r="J153" s="29">
        <v>35.4</v>
      </c>
      <c r="K153" s="29">
        <v>35.4</v>
      </c>
      <c r="L153" s="29">
        <v>57.1</v>
      </c>
      <c r="M153" s="368"/>
      <c r="N153" s="368"/>
      <c r="O153" s="271">
        <f>IFERROR(Table17[[#This Row],[PROFIT]]/Table17[[#This Row],[TO]],0)</f>
        <v>0</v>
      </c>
      <c r="P153" s="177"/>
      <c r="Q153" s="177"/>
      <c r="R153" s="177"/>
    </row>
    <row r="154" spans="1:18" hidden="1" x14ac:dyDescent="0.25">
      <c r="A154" s="29" t="s">
        <v>402</v>
      </c>
      <c r="B154" s="29" t="s">
        <v>5666</v>
      </c>
      <c r="C154" s="29" t="s">
        <v>3180</v>
      </c>
      <c r="D154" s="29" t="str">
        <f>VLOOKUP(C:C,'COUNT-CONT'!B:C,2,FALSE)</f>
        <v>Europe</v>
      </c>
      <c r="E154" s="29">
        <v>10</v>
      </c>
      <c r="F154" s="28">
        <v>7380</v>
      </c>
      <c r="G154" s="28">
        <v>7821851490</v>
      </c>
      <c r="H154" s="29">
        <v>43.38</v>
      </c>
      <c r="I154" s="142">
        <v>-36.059999999999995</v>
      </c>
      <c r="J154" s="29">
        <v>26.39</v>
      </c>
      <c r="K154" s="29">
        <v>25.45</v>
      </c>
      <c r="L154" s="29">
        <v>47.16</v>
      </c>
      <c r="M154" s="368"/>
      <c r="N154" s="368"/>
      <c r="O154" s="271">
        <f>IFERROR(Table17[[#This Row],[PROFIT]]/Table17[[#This Row],[TO]],0)</f>
        <v>0</v>
      </c>
      <c r="P154" s="177"/>
      <c r="Q154" s="177"/>
      <c r="R154" s="177"/>
    </row>
    <row r="155" spans="1:18" hidden="1" x14ac:dyDescent="0.25">
      <c r="A155" s="29" t="s">
        <v>324</v>
      </c>
      <c r="B155" s="29" t="s">
        <v>5665</v>
      </c>
      <c r="C155" s="29" t="s">
        <v>1427</v>
      </c>
      <c r="D155" s="29" t="str">
        <f>VLOOKUP(C:C,'COUNT-CONT'!B:C,2,FALSE)</f>
        <v>Europe</v>
      </c>
      <c r="E155" s="29">
        <v>8</v>
      </c>
      <c r="F155" s="28">
        <v>6083</v>
      </c>
      <c r="G155" s="28">
        <v>7773231826</v>
      </c>
      <c r="H155" s="29">
        <v>43.38</v>
      </c>
      <c r="I155" s="142">
        <v>-36.059999999999995</v>
      </c>
      <c r="J155" s="29">
        <v>26.39</v>
      </c>
      <c r="K155" s="29">
        <v>24.52</v>
      </c>
      <c r="L155" s="29">
        <v>47.16</v>
      </c>
      <c r="M155" s="368"/>
      <c r="N155" s="368"/>
      <c r="O155" s="271">
        <f>IFERROR(Table17[[#This Row],[PROFIT]]/Table17[[#This Row],[TO]],0)</f>
        <v>0</v>
      </c>
      <c r="P155" s="177"/>
      <c r="Q155" s="177"/>
      <c r="R155" s="177"/>
    </row>
    <row r="156" spans="1:18" ht="30" hidden="1" x14ac:dyDescent="0.25">
      <c r="A156" s="29" t="s">
        <v>5467</v>
      </c>
      <c r="B156" s="29" t="s">
        <v>5466</v>
      </c>
      <c r="C156" s="29" t="s">
        <v>517</v>
      </c>
      <c r="D156" s="29" t="str">
        <f>VLOOKUP(C:C,'COUNT-CONT'!B:C,2,FALSE)</f>
        <v>South America</v>
      </c>
      <c r="E156" s="29">
        <v>6</v>
      </c>
      <c r="F156" s="28">
        <v>2899</v>
      </c>
      <c r="G156" s="28">
        <v>6392241186</v>
      </c>
      <c r="H156" s="29">
        <v>43.32</v>
      </c>
      <c r="I156" s="142">
        <v>-36.119999999999997</v>
      </c>
      <c r="J156" s="29">
        <v>16.87</v>
      </c>
      <c r="K156" s="29">
        <v>13.94</v>
      </c>
      <c r="L156" s="29">
        <v>36.729999999999997</v>
      </c>
      <c r="M156" s="368"/>
      <c r="N156" s="368"/>
      <c r="O156" s="271">
        <f>IFERROR(Table17[[#This Row],[PROFIT]]/Table17[[#This Row],[TO]],0)</f>
        <v>0</v>
      </c>
      <c r="P156" s="177"/>
      <c r="Q156" s="177"/>
      <c r="R156" s="177"/>
    </row>
    <row r="157" spans="1:18" hidden="1" x14ac:dyDescent="0.25">
      <c r="A157" s="29" t="s">
        <v>5137</v>
      </c>
      <c r="B157" s="29" t="s">
        <v>5136</v>
      </c>
      <c r="C157" s="29" t="s">
        <v>1070</v>
      </c>
      <c r="D157" s="29" t="str">
        <f>VLOOKUP(C:C,'COUNT-CONT'!B:C,2,FALSE)</f>
        <v>Asia</v>
      </c>
      <c r="E157" s="29">
        <v>7</v>
      </c>
      <c r="F157" s="28">
        <v>4278</v>
      </c>
      <c r="G157" s="28">
        <v>5441529499</v>
      </c>
      <c r="H157" s="29">
        <v>43.29</v>
      </c>
      <c r="I157" s="142">
        <v>-36.15</v>
      </c>
      <c r="J157" s="29">
        <v>10.07</v>
      </c>
      <c r="K157" s="29">
        <v>6.5</v>
      </c>
      <c r="L157" s="29">
        <v>29.66</v>
      </c>
      <c r="M157" s="368"/>
      <c r="N157" s="368"/>
      <c r="O157" s="271">
        <f>IFERROR(Table17[[#This Row],[PROFIT]]/Table17[[#This Row],[TO]],0)</f>
        <v>0</v>
      </c>
      <c r="P157" s="177"/>
      <c r="Q157" s="177"/>
      <c r="R157" s="177"/>
    </row>
    <row r="158" spans="1:18" hidden="1" x14ac:dyDescent="0.25">
      <c r="A158" s="29" t="s">
        <v>5317</v>
      </c>
      <c r="B158" s="29" t="s">
        <v>5316</v>
      </c>
      <c r="C158" s="29" t="s">
        <v>2711</v>
      </c>
      <c r="D158" s="29" t="str">
        <f>VLOOKUP(C:C,'COUNT-CONT'!B:C,2,FALSE)</f>
        <v>Asia</v>
      </c>
      <c r="E158" s="29">
        <v>10</v>
      </c>
      <c r="F158" s="28">
        <v>4570</v>
      </c>
      <c r="G158" s="28">
        <v>5957500218</v>
      </c>
      <c r="H158" s="29">
        <v>43.26</v>
      </c>
      <c r="I158" s="142">
        <v>-36.18</v>
      </c>
      <c r="J158" s="29">
        <v>13.3</v>
      </c>
      <c r="K158" s="29">
        <v>9.98</v>
      </c>
      <c r="L158" s="29">
        <v>33.28</v>
      </c>
      <c r="M158" s="368"/>
      <c r="N158" s="368"/>
      <c r="O158" s="271">
        <f>IFERROR(Table17[[#This Row],[PROFIT]]/Table17[[#This Row],[TO]],0)</f>
        <v>0</v>
      </c>
      <c r="P158" s="177"/>
      <c r="Q158" s="177"/>
      <c r="R158" s="177"/>
    </row>
    <row r="159" spans="1:18" hidden="1" x14ac:dyDescent="0.25">
      <c r="A159" s="29" t="s">
        <v>5419</v>
      </c>
      <c r="B159" s="29" t="s">
        <v>5418</v>
      </c>
      <c r="C159" s="29" t="s">
        <v>722</v>
      </c>
      <c r="D159" s="29" t="str">
        <f>VLOOKUP(C:C,'COUNT-CONT'!B:C,2,FALSE)</f>
        <v>Europe</v>
      </c>
      <c r="E159" s="29">
        <v>10</v>
      </c>
      <c r="F159" s="28">
        <v>5489</v>
      </c>
      <c r="G159" s="28">
        <v>6215600801</v>
      </c>
      <c r="H159" s="29">
        <v>43.26</v>
      </c>
      <c r="I159" s="142">
        <v>-36.18</v>
      </c>
      <c r="J159" s="29">
        <v>15.6</v>
      </c>
      <c r="K159" s="29">
        <v>12.76</v>
      </c>
      <c r="L159" s="29">
        <v>35.46</v>
      </c>
      <c r="M159" s="368"/>
      <c r="N159" s="368"/>
      <c r="O159" s="271">
        <f>IFERROR(Table17[[#This Row],[PROFIT]]/Table17[[#This Row],[TO]],0)</f>
        <v>0</v>
      </c>
      <c r="P159" s="177"/>
      <c r="Q159" s="177"/>
      <c r="R159" s="177"/>
    </row>
    <row r="160" spans="1:18" ht="30" hidden="1" x14ac:dyDescent="0.25">
      <c r="A160" s="29" t="s">
        <v>5739</v>
      </c>
      <c r="B160" s="29" t="s">
        <v>5738</v>
      </c>
      <c r="C160" s="29" t="s">
        <v>11732</v>
      </c>
      <c r="D160" s="29" t="str">
        <f>VLOOKUP(C:C,'COUNT-CONT'!B:C,2,FALSE)</f>
        <v>North America</v>
      </c>
      <c r="E160" s="29">
        <v>10</v>
      </c>
      <c r="F160" s="28">
        <v>14192</v>
      </c>
      <c r="G160" s="28">
        <v>9260208455</v>
      </c>
      <c r="H160" s="29">
        <v>43.2</v>
      </c>
      <c r="I160" s="142">
        <v>-36.239999999999995</v>
      </c>
      <c r="J160" s="29">
        <v>35.25</v>
      </c>
      <c r="K160" s="29">
        <v>35.25</v>
      </c>
      <c r="L160" s="29">
        <v>56.86</v>
      </c>
      <c r="M160" s="368"/>
      <c r="N160" s="368"/>
      <c r="O160" s="271">
        <f>IFERROR(Table17[[#This Row],[PROFIT]]/Table17[[#This Row],[TO]],0)</f>
        <v>0</v>
      </c>
      <c r="P160" s="177"/>
      <c r="Q160" s="177"/>
      <c r="R160" s="177"/>
    </row>
    <row r="161" spans="1:18" hidden="1" x14ac:dyDescent="0.25">
      <c r="A161" s="29" t="s">
        <v>34</v>
      </c>
      <c r="B161" s="29" t="s">
        <v>5459</v>
      </c>
      <c r="C161" s="29" t="s">
        <v>14</v>
      </c>
      <c r="D161" s="29" t="str">
        <f>VLOOKUP(C:C,'COUNT-CONT'!B:C,2,FALSE)</f>
        <v>Asia</v>
      </c>
      <c r="E161" s="29">
        <v>10</v>
      </c>
      <c r="F161" s="28">
        <v>4915</v>
      </c>
      <c r="G161" s="28">
        <v>6349404679</v>
      </c>
      <c r="H161" s="29">
        <v>43.14</v>
      </c>
      <c r="I161" s="142">
        <v>-36.299999999999997</v>
      </c>
      <c r="J161" s="29">
        <v>16.809999999999999</v>
      </c>
      <c r="K161" s="29">
        <v>13.88</v>
      </c>
      <c r="L161" s="29">
        <v>36.58</v>
      </c>
      <c r="M161" s="368"/>
      <c r="N161" s="368"/>
      <c r="O161" s="271">
        <f>IFERROR(Table17[[#This Row],[PROFIT]]/Table17[[#This Row],[TO]],0)</f>
        <v>0</v>
      </c>
      <c r="P161" s="177"/>
      <c r="Q161" s="177"/>
      <c r="R161" s="177"/>
    </row>
    <row r="162" spans="1:18" hidden="1" x14ac:dyDescent="0.25">
      <c r="A162" s="29" t="s">
        <v>268</v>
      </c>
      <c r="B162" s="29" t="s">
        <v>5458</v>
      </c>
      <c r="C162" s="29" t="s">
        <v>14</v>
      </c>
      <c r="D162" s="29" t="str">
        <f>VLOOKUP(C:C,'COUNT-CONT'!B:C,2,FALSE)</f>
        <v>Asia</v>
      </c>
      <c r="E162" s="29">
        <v>9</v>
      </c>
      <c r="F162" s="28">
        <v>4366</v>
      </c>
      <c r="G162" s="28">
        <v>6334346862</v>
      </c>
      <c r="H162" s="29">
        <v>43.11</v>
      </c>
      <c r="I162" s="142">
        <v>-36.33</v>
      </c>
      <c r="J162" s="29">
        <v>16.809999999999999</v>
      </c>
      <c r="K162" s="29">
        <v>13.88</v>
      </c>
      <c r="L162" s="29">
        <v>36.549999999999997</v>
      </c>
      <c r="M162" s="368"/>
      <c r="N162" s="368"/>
      <c r="O162" s="271">
        <f>IFERROR(Table17[[#This Row],[PROFIT]]/Table17[[#This Row],[TO]],0)</f>
        <v>0</v>
      </c>
      <c r="P162" s="177"/>
      <c r="Q162" s="177"/>
      <c r="R162" s="177"/>
    </row>
    <row r="163" spans="1:18" ht="30" hidden="1" x14ac:dyDescent="0.25">
      <c r="A163" s="29" t="s">
        <v>440</v>
      </c>
      <c r="B163" s="29" t="s">
        <v>5643</v>
      </c>
      <c r="C163" s="29" t="s">
        <v>597</v>
      </c>
      <c r="D163" s="29" t="str">
        <f>VLOOKUP(C:C,'COUNT-CONT'!B:C,2,FALSE)</f>
        <v>Europe</v>
      </c>
      <c r="E163" s="29">
        <v>10</v>
      </c>
      <c r="F163" s="28">
        <v>7659</v>
      </c>
      <c r="G163" s="28">
        <v>7655221882</v>
      </c>
      <c r="H163" s="29">
        <v>43.08</v>
      </c>
      <c r="I163" s="142">
        <v>-36.36</v>
      </c>
      <c r="J163" s="29">
        <v>25.67</v>
      </c>
      <c r="K163" s="29">
        <v>23.82</v>
      </c>
      <c r="L163" s="29">
        <v>45.83</v>
      </c>
      <c r="M163" s="368"/>
      <c r="N163" s="368"/>
      <c r="O163" s="271">
        <f>IFERROR(Table17[[#This Row],[PROFIT]]/Table17[[#This Row],[TO]],0)</f>
        <v>0</v>
      </c>
      <c r="P163" s="177"/>
      <c r="Q163" s="177"/>
      <c r="R163" s="177"/>
    </row>
    <row r="164" spans="1:18" ht="30" hidden="1" x14ac:dyDescent="0.25">
      <c r="A164" s="29" t="s">
        <v>5737</v>
      </c>
      <c r="B164" s="29" t="s">
        <v>5736</v>
      </c>
      <c r="C164" s="29" t="s">
        <v>11732</v>
      </c>
      <c r="D164" s="29" t="str">
        <f>VLOOKUP(C:C,'COUNT-CONT'!B:C,2,FALSE)</f>
        <v>North America</v>
      </c>
      <c r="E164" s="29">
        <v>10</v>
      </c>
      <c r="F164" s="28">
        <v>11508</v>
      </c>
      <c r="G164" s="28">
        <v>9173785679</v>
      </c>
      <c r="H164" s="29">
        <v>43.08</v>
      </c>
      <c r="I164" s="142">
        <v>-36.36</v>
      </c>
      <c r="J164" s="29">
        <v>35.130000000000003</v>
      </c>
      <c r="K164" s="29">
        <v>35.130000000000003</v>
      </c>
      <c r="L164" s="29">
        <v>56.68</v>
      </c>
      <c r="M164" s="368"/>
      <c r="N164" s="368"/>
      <c r="O164" s="271">
        <f>IFERROR(Table17[[#This Row],[PROFIT]]/Table17[[#This Row],[TO]],0)</f>
        <v>0</v>
      </c>
      <c r="P164" s="177"/>
      <c r="Q164" s="177"/>
      <c r="R164" s="177"/>
    </row>
    <row r="165" spans="1:18" ht="30" hidden="1" x14ac:dyDescent="0.25">
      <c r="A165" s="29" t="s">
        <v>5734</v>
      </c>
      <c r="B165" s="29" t="s">
        <v>5733</v>
      </c>
      <c r="C165" s="29" t="s">
        <v>11732</v>
      </c>
      <c r="D165" s="29" t="str">
        <f>VLOOKUP(C:C,'COUNT-CONT'!B:C,2,FALSE)</f>
        <v>North America</v>
      </c>
      <c r="E165" s="29">
        <v>10</v>
      </c>
      <c r="F165" s="28">
        <v>11003</v>
      </c>
      <c r="G165" s="28">
        <v>9132972734</v>
      </c>
      <c r="H165" s="29">
        <v>42.9</v>
      </c>
      <c r="I165" s="142">
        <v>-36.54</v>
      </c>
      <c r="J165" s="29">
        <v>34.979999999999997</v>
      </c>
      <c r="K165" s="29">
        <v>34.979999999999997</v>
      </c>
      <c r="L165" s="29">
        <v>56.44</v>
      </c>
      <c r="M165" s="368"/>
      <c r="N165" s="368"/>
      <c r="O165" s="271">
        <f>IFERROR(Table17[[#This Row],[PROFIT]]/Table17[[#This Row],[TO]],0)</f>
        <v>0</v>
      </c>
      <c r="P165" s="177"/>
      <c r="Q165" s="177"/>
      <c r="R165" s="177"/>
    </row>
    <row r="166" spans="1:18" hidden="1" x14ac:dyDescent="0.25">
      <c r="A166" s="29" t="s">
        <v>5658</v>
      </c>
      <c r="B166" s="29" t="s">
        <v>5657</v>
      </c>
      <c r="C166" s="29" t="s">
        <v>876</v>
      </c>
      <c r="D166" s="29" t="str">
        <f>VLOOKUP(C:C,'COUNT-CONT'!B:C,2,FALSE)</f>
        <v>Europe</v>
      </c>
      <c r="E166" s="29">
        <v>10</v>
      </c>
      <c r="F166" s="28">
        <v>7246</v>
      </c>
      <c r="G166" s="28">
        <v>7712607894</v>
      </c>
      <c r="H166" s="29">
        <v>42.87</v>
      </c>
      <c r="I166" s="142">
        <v>-36.57</v>
      </c>
      <c r="J166" s="29">
        <v>26.09</v>
      </c>
      <c r="K166" s="29">
        <v>25.15</v>
      </c>
      <c r="L166" s="29">
        <v>46.58</v>
      </c>
      <c r="M166" s="368"/>
      <c r="N166" s="368"/>
      <c r="O166" s="271">
        <f>IFERROR(Table17[[#This Row],[PROFIT]]/Table17[[#This Row],[TO]],0)</f>
        <v>0</v>
      </c>
      <c r="P166" s="177"/>
      <c r="Q166" s="177"/>
      <c r="R166" s="177"/>
    </row>
    <row r="167" spans="1:18" hidden="1" x14ac:dyDescent="0.25">
      <c r="A167" s="29" t="s">
        <v>5196</v>
      </c>
      <c r="B167" s="29" t="s">
        <v>5195</v>
      </c>
      <c r="C167" s="29" t="s">
        <v>1654</v>
      </c>
      <c r="D167" s="29" t="str">
        <f>VLOOKUP(C:C,'COUNT-CONT'!B:C,2,FALSE)</f>
        <v>Asia</v>
      </c>
      <c r="E167" s="29">
        <v>10</v>
      </c>
      <c r="F167" s="28">
        <v>4240</v>
      </c>
      <c r="G167" s="28">
        <v>5733433962</v>
      </c>
      <c r="H167" s="29">
        <v>42.87</v>
      </c>
      <c r="I167" s="142">
        <v>-36.57</v>
      </c>
      <c r="J167" s="29">
        <v>11</v>
      </c>
      <c r="K167" s="29">
        <v>7.35</v>
      </c>
      <c r="L167" s="29">
        <v>30.62</v>
      </c>
      <c r="M167" s="368"/>
      <c r="N167" s="368"/>
      <c r="O167" s="271">
        <f>IFERROR(Table17[[#This Row],[PROFIT]]/Table17[[#This Row],[TO]],0)</f>
        <v>0</v>
      </c>
      <c r="P167" s="177"/>
      <c r="Q167" s="177"/>
      <c r="R167" s="177"/>
    </row>
    <row r="168" spans="1:18" hidden="1" x14ac:dyDescent="0.25">
      <c r="A168" s="29" t="s">
        <v>5242</v>
      </c>
      <c r="B168" s="29" t="s">
        <v>5241</v>
      </c>
      <c r="C168" s="29" t="s">
        <v>1261</v>
      </c>
      <c r="D168" s="29" t="str">
        <f>VLOOKUP(C:C,'COUNT-CONT'!B:C,2,FALSE)</f>
        <v>Asia</v>
      </c>
      <c r="E168" s="29">
        <v>6</v>
      </c>
      <c r="F168" s="28">
        <v>2991</v>
      </c>
      <c r="G168" s="28">
        <v>5758069976</v>
      </c>
      <c r="H168" s="29">
        <v>42.84</v>
      </c>
      <c r="I168" s="142">
        <v>-36.599999999999994</v>
      </c>
      <c r="J168" s="29">
        <v>11.94</v>
      </c>
      <c r="K168" s="29">
        <v>8.8000000000000007</v>
      </c>
      <c r="L168" s="29">
        <v>31.5</v>
      </c>
      <c r="M168" s="368"/>
      <c r="N168" s="368"/>
      <c r="O168" s="271">
        <f>IFERROR(Table17[[#This Row],[PROFIT]]/Table17[[#This Row],[TO]],0)</f>
        <v>0</v>
      </c>
      <c r="P168" s="177"/>
      <c r="Q168" s="177"/>
      <c r="R168" s="177"/>
    </row>
    <row r="169" spans="1:18" ht="30" hidden="1" x14ac:dyDescent="0.25">
      <c r="A169" s="29" t="s">
        <v>5732</v>
      </c>
      <c r="B169" s="29" t="s">
        <v>5731</v>
      </c>
      <c r="C169" s="29" t="s">
        <v>11732</v>
      </c>
      <c r="D169" s="29" t="str">
        <f>VLOOKUP(C:C,'COUNT-CONT'!B:C,2,FALSE)</f>
        <v>North America</v>
      </c>
      <c r="E169" s="29">
        <v>9</v>
      </c>
      <c r="F169" s="28">
        <v>10001</v>
      </c>
      <c r="G169" s="28">
        <v>9098389001</v>
      </c>
      <c r="H169" s="29">
        <v>42.81</v>
      </c>
      <c r="I169" s="142">
        <v>-36.629999999999995</v>
      </c>
      <c r="J169" s="29">
        <v>34.92</v>
      </c>
      <c r="K169" s="29">
        <v>34.92</v>
      </c>
      <c r="L169" s="29">
        <v>56.35</v>
      </c>
      <c r="M169" s="368"/>
      <c r="N169" s="368"/>
      <c r="O169" s="271">
        <f>IFERROR(Table17[[#This Row],[PROFIT]]/Table17[[#This Row],[TO]],0)</f>
        <v>0</v>
      </c>
      <c r="P169" s="177"/>
      <c r="Q169" s="177"/>
      <c r="R169" s="177"/>
    </row>
    <row r="170" spans="1:18" ht="30" hidden="1" x14ac:dyDescent="0.25">
      <c r="A170" s="29" t="s">
        <v>393</v>
      </c>
      <c r="B170" s="29" t="s">
        <v>5541</v>
      </c>
      <c r="C170" s="29" t="s">
        <v>2729</v>
      </c>
      <c r="D170" s="29" t="str">
        <f>VLOOKUP(C:C,'COUNT-CONT'!B:C,2,FALSE)</f>
        <v>Europe</v>
      </c>
      <c r="E170" s="29">
        <v>10</v>
      </c>
      <c r="F170" s="28">
        <v>5446</v>
      </c>
      <c r="G170" s="28">
        <v>6668483106</v>
      </c>
      <c r="H170" s="29">
        <v>42.78</v>
      </c>
      <c r="I170" s="142">
        <v>-36.659999999999997</v>
      </c>
      <c r="J170" s="29">
        <v>19.440000000000001</v>
      </c>
      <c r="K170" s="29">
        <v>16.32</v>
      </c>
      <c r="L170" s="29">
        <v>38.909999999999997</v>
      </c>
      <c r="M170" s="368"/>
      <c r="N170" s="368"/>
      <c r="O170" s="271">
        <f>IFERROR(Table17[[#This Row],[PROFIT]]/Table17[[#This Row],[TO]],0)</f>
        <v>0</v>
      </c>
      <c r="P170" s="177"/>
      <c r="Q170" s="177"/>
      <c r="R170" s="177"/>
    </row>
    <row r="171" spans="1:18" hidden="1" x14ac:dyDescent="0.25">
      <c r="A171" s="29" t="s">
        <v>5037</v>
      </c>
      <c r="B171" s="29" t="s">
        <v>5036</v>
      </c>
      <c r="C171" s="29" t="s">
        <v>867</v>
      </c>
      <c r="D171" s="29" t="str">
        <f>VLOOKUP(C:C,'COUNT-CONT'!B:C,2,FALSE)</f>
        <v>Asia</v>
      </c>
      <c r="E171" s="29">
        <v>9</v>
      </c>
      <c r="F171" s="28">
        <v>3603</v>
      </c>
      <c r="G171" s="28">
        <v>5343301137</v>
      </c>
      <c r="H171" s="29">
        <v>42.74</v>
      </c>
      <c r="I171" s="142">
        <v>-36.699999999999996</v>
      </c>
      <c r="J171" s="29">
        <v>8.98</v>
      </c>
      <c r="K171" s="29">
        <v>5.05</v>
      </c>
      <c r="L171" s="29">
        <v>28.11</v>
      </c>
      <c r="M171" s="368"/>
      <c r="N171" s="368"/>
      <c r="O171" s="271">
        <f>IFERROR(Table17[[#This Row],[PROFIT]]/Table17[[#This Row],[TO]],0)</f>
        <v>0</v>
      </c>
      <c r="P171" s="177"/>
      <c r="Q171" s="177"/>
      <c r="R171" s="177"/>
    </row>
    <row r="172" spans="1:18" hidden="1" x14ac:dyDescent="0.25">
      <c r="A172" s="29" t="s">
        <v>149</v>
      </c>
      <c r="B172" s="29" t="s">
        <v>5609</v>
      </c>
      <c r="C172" s="29" t="s">
        <v>142</v>
      </c>
      <c r="D172" s="29" t="str">
        <f>VLOOKUP(C:C,'COUNT-CONT'!B:C,2,FALSE)</f>
        <v>Asia</v>
      </c>
      <c r="E172" s="29">
        <v>10</v>
      </c>
      <c r="F172" s="28">
        <v>5902</v>
      </c>
      <c r="G172" s="28">
        <v>7238977499</v>
      </c>
      <c r="H172" s="29">
        <v>42.71</v>
      </c>
      <c r="I172" s="142">
        <v>-36.729999999999997</v>
      </c>
      <c r="J172" s="29">
        <v>23.07</v>
      </c>
      <c r="K172" s="29">
        <v>20.5</v>
      </c>
      <c r="L172" s="29">
        <v>42.71</v>
      </c>
      <c r="M172" s="368"/>
      <c r="N172" s="368"/>
      <c r="O172" s="271">
        <f>IFERROR(Table17[[#This Row],[PROFIT]]/Table17[[#This Row],[TO]],0)</f>
        <v>0</v>
      </c>
      <c r="P172" s="177"/>
      <c r="Q172" s="177"/>
      <c r="R172" s="177"/>
    </row>
    <row r="173" spans="1:18" ht="30" hidden="1" x14ac:dyDescent="0.25">
      <c r="A173" s="29" t="s">
        <v>5465</v>
      </c>
      <c r="B173" s="29" t="s">
        <v>5464</v>
      </c>
      <c r="C173" s="29" t="s">
        <v>683</v>
      </c>
      <c r="D173" s="29" t="str">
        <f>VLOOKUP(C:C,'COUNT-CONT'!B:C,2,FALSE)</f>
        <v>North America</v>
      </c>
      <c r="E173" s="29">
        <v>10</v>
      </c>
      <c r="F173" s="28">
        <v>5509</v>
      </c>
      <c r="G173" s="28">
        <v>6376473261</v>
      </c>
      <c r="H173" s="29">
        <v>42.53</v>
      </c>
      <c r="I173" s="142">
        <v>-36.909999999999997</v>
      </c>
      <c r="J173" s="29">
        <v>16.84</v>
      </c>
      <c r="K173" s="29">
        <v>13.91</v>
      </c>
      <c r="L173" s="29">
        <v>36.67</v>
      </c>
      <c r="M173" s="368"/>
      <c r="N173" s="368"/>
      <c r="O173" s="271">
        <f>IFERROR(Table17[[#This Row],[PROFIT]]/Table17[[#This Row],[TO]],0)</f>
        <v>0</v>
      </c>
      <c r="P173" s="177"/>
      <c r="Q173" s="177"/>
      <c r="R173" s="177"/>
    </row>
    <row r="174" spans="1:18" hidden="1" x14ac:dyDescent="0.25">
      <c r="A174" s="29" t="s">
        <v>5283</v>
      </c>
      <c r="B174" s="29" t="s">
        <v>5282</v>
      </c>
      <c r="C174" s="29" t="s">
        <v>502</v>
      </c>
      <c r="D174" s="29" t="str">
        <f>VLOOKUP(C:C,'COUNT-CONT'!B:C,2,FALSE)</f>
        <v>Asia</v>
      </c>
      <c r="E174" s="29">
        <v>10</v>
      </c>
      <c r="F174" s="28">
        <v>5429</v>
      </c>
      <c r="G174" s="28">
        <v>5883915582</v>
      </c>
      <c r="H174" s="29">
        <v>42.35</v>
      </c>
      <c r="I174" s="142">
        <v>-37.089999999999996</v>
      </c>
      <c r="J174" s="29">
        <v>13.03</v>
      </c>
      <c r="K174" s="29">
        <v>10.4</v>
      </c>
      <c r="L174" s="29">
        <v>32.590000000000003</v>
      </c>
      <c r="M174" s="368"/>
      <c r="N174" s="368"/>
      <c r="O174" s="271">
        <f>IFERROR(Table17[[#This Row],[PROFIT]]/Table17[[#This Row],[TO]],0)</f>
        <v>0</v>
      </c>
      <c r="P174" s="177"/>
      <c r="Q174" s="177"/>
      <c r="R174" s="177"/>
    </row>
    <row r="175" spans="1:18" hidden="1" x14ac:dyDescent="0.25">
      <c r="A175" s="29" t="s">
        <v>55</v>
      </c>
      <c r="B175" s="29" t="s">
        <v>5594</v>
      </c>
      <c r="C175" s="29" t="s">
        <v>1216</v>
      </c>
      <c r="D175" s="29" t="str">
        <f>VLOOKUP(C:C,'COUNT-CONT'!B:C,2,FALSE)</f>
        <v>Asia</v>
      </c>
      <c r="E175" s="29">
        <v>10</v>
      </c>
      <c r="F175" s="28">
        <v>5887</v>
      </c>
      <c r="G175" s="28">
        <v>7058752386</v>
      </c>
      <c r="H175" s="29">
        <v>42.32</v>
      </c>
      <c r="I175" s="142">
        <v>-37.119999999999997</v>
      </c>
      <c r="J175" s="29">
        <v>21.55</v>
      </c>
      <c r="K175" s="29">
        <v>19.920000000000002</v>
      </c>
      <c r="L175" s="29">
        <v>41.51</v>
      </c>
      <c r="M175" s="368"/>
      <c r="N175" s="368"/>
      <c r="O175" s="271">
        <f>IFERROR(Table17[[#This Row],[PROFIT]]/Table17[[#This Row],[TO]],0)</f>
        <v>0</v>
      </c>
      <c r="P175" s="177"/>
      <c r="Q175" s="177"/>
      <c r="R175" s="177"/>
    </row>
    <row r="176" spans="1:18" hidden="1" x14ac:dyDescent="0.25">
      <c r="A176" s="29" t="s">
        <v>44</v>
      </c>
      <c r="B176" s="29" t="s">
        <v>5085</v>
      </c>
      <c r="C176" s="29" t="s">
        <v>1070</v>
      </c>
      <c r="D176" s="29" t="str">
        <f>VLOOKUP(C:C,'COUNT-CONT'!B:C,2,FALSE)</f>
        <v>Asia</v>
      </c>
      <c r="E176" s="29">
        <v>10</v>
      </c>
      <c r="F176" s="28">
        <v>3870</v>
      </c>
      <c r="G176" s="28">
        <v>5431037726</v>
      </c>
      <c r="H176" s="29">
        <v>42.17</v>
      </c>
      <c r="I176" s="142">
        <v>-37.269999999999996</v>
      </c>
      <c r="J176" s="29">
        <v>9.82</v>
      </c>
      <c r="K176" s="29">
        <v>6.35</v>
      </c>
      <c r="L176" s="29">
        <v>28.9</v>
      </c>
      <c r="M176" s="368"/>
      <c r="N176" s="368"/>
      <c r="O176" s="271">
        <f>IFERROR(Table17[[#This Row],[PROFIT]]/Table17[[#This Row],[TO]],0)</f>
        <v>0</v>
      </c>
      <c r="P176" s="177"/>
      <c r="Q176" s="177"/>
      <c r="R176" s="177"/>
    </row>
    <row r="177" spans="1:18" hidden="1" x14ac:dyDescent="0.25">
      <c r="A177" s="29" t="s">
        <v>5155</v>
      </c>
      <c r="B177" s="29" t="s">
        <v>5154</v>
      </c>
      <c r="C177" s="29" t="s">
        <v>608</v>
      </c>
      <c r="D177" s="29" t="str">
        <f>VLOOKUP(C:C,'COUNT-CONT'!B:C,2,FALSE)</f>
        <v>Africa</v>
      </c>
      <c r="E177" s="29">
        <v>9</v>
      </c>
      <c r="F177" s="28">
        <v>3751</v>
      </c>
      <c r="G177" s="28">
        <v>5551855131</v>
      </c>
      <c r="H177" s="29">
        <v>42.14</v>
      </c>
      <c r="I177" s="142">
        <v>-37.299999999999997</v>
      </c>
      <c r="J177" s="29">
        <v>10.82</v>
      </c>
      <c r="K177" s="29">
        <v>7.22</v>
      </c>
      <c r="L177" s="29">
        <v>30.11</v>
      </c>
      <c r="M177" s="368"/>
      <c r="N177" s="368"/>
      <c r="O177" s="271">
        <f>IFERROR(Table17[[#This Row],[PROFIT]]/Table17[[#This Row],[TO]],0)</f>
        <v>0</v>
      </c>
      <c r="P177" s="177"/>
      <c r="Q177" s="177"/>
      <c r="R177" s="177"/>
    </row>
    <row r="178" spans="1:18" ht="30" hidden="1" x14ac:dyDescent="0.25">
      <c r="A178" s="29" t="s">
        <v>5425</v>
      </c>
      <c r="B178" s="29" t="s">
        <v>5424</v>
      </c>
      <c r="C178" s="29" t="s">
        <v>517</v>
      </c>
      <c r="D178" s="29" t="str">
        <f>VLOOKUP(C:C,'COUNT-CONT'!B:C,2,FALSE)</f>
        <v>South America</v>
      </c>
      <c r="E178" s="29">
        <v>10</v>
      </c>
      <c r="F178" s="28">
        <v>4177</v>
      </c>
      <c r="G178" s="28">
        <v>6242046899</v>
      </c>
      <c r="H178" s="29">
        <v>42.11</v>
      </c>
      <c r="I178" s="142">
        <v>-37.33</v>
      </c>
      <c r="J178" s="29">
        <v>16.41</v>
      </c>
      <c r="K178" s="29">
        <v>13.54</v>
      </c>
      <c r="L178" s="29">
        <v>35.700000000000003</v>
      </c>
      <c r="M178" s="368"/>
      <c r="N178" s="368"/>
      <c r="O178" s="271">
        <f>IFERROR(Table17[[#This Row],[PROFIT]]/Table17[[#This Row],[TO]],0)</f>
        <v>0</v>
      </c>
      <c r="P178" s="177"/>
      <c r="Q178" s="177"/>
      <c r="R178" s="177"/>
    </row>
    <row r="179" spans="1:18" ht="30" hidden="1" x14ac:dyDescent="0.25">
      <c r="A179" s="29" t="s">
        <v>37</v>
      </c>
      <c r="B179" s="29" t="s">
        <v>5258</v>
      </c>
      <c r="C179" s="29" t="s">
        <v>1261</v>
      </c>
      <c r="D179" s="29" t="str">
        <f>VLOOKUP(C:C,'COUNT-CONT'!B:C,2,FALSE)</f>
        <v>Asia</v>
      </c>
      <c r="E179" s="29">
        <v>9</v>
      </c>
      <c r="F179" s="28">
        <v>3751</v>
      </c>
      <c r="G179" s="28">
        <v>5770055131</v>
      </c>
      <c r="H179" s="29">
        <v>42.11</v>
      </c>
      <c r="I179" s="142">
        <v>-37.33</v>
      </c>
      <c r="J179" s="29">
        <v>12.76</v>
      </c>
      <c r="K179" s="29">
        <v>8.92</v>
      </c>
      <c r="L179" s="29">
        <v>31.92</v>
      </c>
      <c r="M179" s="368"/>
      <c r="N179" s="368"/>
      <c r="O179" s="271">
        <f>IFERROR(Table17[[#This Row],[PROFIT]]/Table17[[#This Row],[TO]],0)</f>
        <v>0</v>
      </c>
      <c r="P179" s="177"/>
      <c r="Q179" s="177"/>
      <c r="R179" s="177"/>
    </row>
    <row r="180" spans="1:18" ht="30" hidden="1" x14ac:dyDescent="0.25">
      <c r="A180" s="29" t="s">
        <v>168</v>
      </c>
      <c r="B180" s="29" t="s">
        <v>5728</v>
      </c>
      <c r="C180" s="29" t="s">
        <v>11732</v>
      </c>
      <c r="D180" s="29" t="str">
        <f>VLOOKUP(C:C,'COUNT-CONT'!B:C,2,FALSE)</f>
        <v>North America</v>
      </c>
      <c r="E180" s="29">
        <v>10</v>
      </c>
      <c r="F180" s="28">
        <v>11820</v>
      </c>
      <c r="G180" s="28">
        <v>9028062605</v>
      </c>
      <c r="H180" s="29">
        <v>42.08</v>
      </c>
      <c r="I180" s="142">
        <v>-37.36</v>
      </c>
      <c r="J180" s="29">
        <v>34.340000000000003</v>
      </c>
      <c r="K180" s="29">
        <v>34.340000000000003</v>
      </c>
      <c r="L180" s="29">
        <v>55.38</v>
      </c>
      <c r="M180" s="368"/>
      <c r="N180" s="368"/>
      <c r="O180" s="271">
        <f>IFERROR(Table17[[#This Row],[PROFIT]]/Table17[[#This Row],[TO]],0)</f>
        <v>0</v>
      </c>
      <c r="P180" s="177"/>
      <c r="Q180" s="177"/>
      <c r="R180" s="177"/>
    </row>
    <row r="181" spans="1:18" hidden="1" x14ac:dyDescent="0.25">
      <c r="A181" s="29" t="s">
        <v>395</v>
      </c>
      <c r="B181" s="29" t="s">
        <v>5215</v>
      </c>
      <c r="C181" s="29" t="s">
        <v>1261</v>
      </c>
      <c r="D181" s="29" t="str">
        <f>VLOOKUP(C:C,'COUNT-CONT'!B:C,2,FALSE)</f>
        <v>Asia</v>
      </c>
      <c r="E181" s="29">
        <v>10</v>
      </c>
      <c r="F181" s="28">
        <v>4781</v>
      </c>
      <c r="G181" s="28">
        <v>5690077389</v>
      </c>
      <c r="H181" s="29">
        <v>41.96</v>
      </c>
      <c r="I181" s="142">
        <v>-37.479999999999997</v>
      </c>
      <c r="J181" s="29">
        <v>11.7</v>
      </c>
      <c r="K181" s="29">
        <v>8.6199999999999992</v>
      </c>
      <c r="L181" s="29">
        <v>30.86</v>
      </c>
      <c r="M181" s="368"/>
      <c r="N181" s="368"/>
      <c r="O181" s="271">
        <f>IFERROR(Table17[[#This Row],[PROFIT]]/Table17[[#This Row],[TO]],0)</f>
        <v>0</v>
      </c>
      <c r="P181" s="177"/>
      <c r="Q181" s="177"/>
      <c r="R181" s="177"/>
    </row>
    <row r="182" spans="1:18" hidden="1" x14ac:dyDescent="0.25">
      <c r="A182" s="29" t="s">
        <v>52</v>
      </c>
      <c r="B182" s="29" t="s">
        <v>5420</v>
      </c>
      <c r="C182" s="29" t="s">
        <v>14</v>
      </c>
      <c r="D182" s="29" t="str">
        <f>VLOOKUP(C:C,'COUNT-CONT'!B:C,2,FALSE)</f>
        <v>Asia</v>
      </c>
      <c r="E182" s="29">
        <v>10</v>
      </c>
      <c r="F182" s="28">
        <v>4772</v>
      </c>
      <c r="G182" s="28">
        <v>6217011316</v>
      </c>
      <c r="H182" s="29">
        <v>41.93</v>
      </c>
      <c r="I182" s="142">
        <v>-37.51</v>
      </c>
      <c r="J182" s="29">
        <v>16.32</v>
      </c>
      <c r="K182" s="29">
        <v>13.48</v>
      </c>
      <c r="L182" s="29">
        <v>35.549999999999997</v>
      </c>
      <c r="M182" s="368"/>
      <c r="N182" s="368"/>
      <c r="O182" s="271">
        <f>IFERROR(Table17[[#This Row],[PROFIT]]/Table17[[#This Row],[TO]],0)</f>
        <v>0</v>
      </c>
      <c r="P182" s="177"/>
      <c r="Q182" s="177"/>
      <c r="R182" s="177"/>
    </row>
    <row r="183" spans="1:18" ht="30" hidden="1" x14ac:dyDescent="0.25">
      <c r="A183" s="29" t="s">
        <v>5727</v>
      </c>
      <c r="B183" s="29" t="s">
        <v>5726</v>
      </c>
      <c r="C183" s="29" t="s">
        <v>11732</v>
      </c>
      <c r="D183" s="29" t="str">
        <f>VLOOKUP(C:C,'COUNT-CONT'!B:C,2,FALSE)</f>
        <v>North America</v>
      </c>
      <c r="E183" s="29">
        <v>10</v>
      </c>
      <c r="F183" s="28">
        <v>10749</v>
      </c>
      <c r="G183" s="28">
        <v>8963835100</v>
      </c>
      <c r="H183" s="29">
        <v>41.84</v>
      </c>
      <c r="I183" s="142">
        <v>-37.599999999999994</v>
      </c>
      <c r="J183" s="29">
        <v>34.130000000000003</v>
      </c>
      <c r="K183" s="29">
        <v>34.130000000000003</v>
      </c>
      <c r="L183" s="29">
        <v>55.08</v>
      </c>
      <c r="M183" s="368"/>
      <c r="N183" s="368"/>
      <c r="O183" s="271">
        <f>IFERROR(Table17[[#This Row],[PROFIT]]/Table17[[#This Row],[TO]],0)</f>
        <v>0</v>
      </c>
      <c r="P183" s="177"/>
      <c r="Q183" s="177"/>
      <c r="R183" s="177"/>
    </row>
    <row r="184" spans="1:18" hidden="1" x14ac:dyDescent="0.25">
      <c r="A184" s="29" t="s">
        <v>5253</v>
      </c>
      <c r="B184" s="29" t="s">
        <v>5252</v>
      </c>
      <c r="C184" s="29" t="s">
        <v>588</v>
      </c>
      <c r="D184" s="29" t="str">
        <f>VLOOKUP(C:C,'COUNT-CONT'!B:C,2,FALSE)</f>
        <v>Europe</v>
      </c>
      <c r="E184" s="29">
        <v>10</v>
      </c>
      <c r="F184" s="28">
        <v>5000</v>
      </c>
      <c r="G184" s="28">
        <v>5879800000</v>
      </c>
      <c r="H184" s="29">
        <v>41.81</v>
      </c>
      <c r="I184" s="142">
        <v>-37.629999999999995</v>
      </c>
      <c r="J184" s="29">
        <v>12.67</v>
      </c>
      <c r="K184" s="29">
        <v>9.49</v>
      </c>
      <c r="L184" s="29">
        <v>31.68</v>
      </c>
      <c r="M184" s="368"/>
      <c r="N184" s="368"/>
      <c r="O184" s="271">
        <f>IFERROR(Table17[[#This Row],[PROFIT]]/Table17[[#This Row],[TO]],0)</f>
        <v>0</v>
      </c>
      <c r="P184" s="177"/>
      <c r="Q184" s="177"/>
      <c r="R184" s="177"/>
    </row>
    <row r="185" spans="1:18" hidden="1" x14ac:dyDescent="0.25">
      <c r="A185" s="29" t="s">
        <v>42</v>
      </c>
      <c r="B185" s="29" t="s">
        <v>5417</v>
      </c>
      <c r="C185" s="29" t="s">
        <v>14</v>
      </c>
      <c r="D185" s="29" t="str">
        <f>VLOOKUP(C:C,'COUNT-CONT'!B:C,2,FALSE)</f>
        <v>Asia</v>
      </c>
      <c r="E185" s="29">
        <v>10</v>
      </c>
      <c r="F185" s="28">
        <v>4756</v>
      </c>
      <c r="G185" s="28">
        <v>6203286795</v>
      </c>
      <c r="H185" s="29">
        <v>41.81</v>
      </c>
      <c r="I185" s="142">
        <v>-37.629999999999995</v>
      </c>
      <c r="J185" s="29">
        <v>16.29</v>
      </c>
      <c r="K185" s="29">
        <v>13.45</v>
      </c>
      <c r="L185" s="29">
        <v>35.43</v>
      </c>
      <c r="M185" s="368"/>
      <c r="N185" s="368"/>
      <c r="O185" s="271">
        <f>IFERROR(Table17[[#This Row],[PROFIT]]/Table17[[#This Row],[TO]],0)</f>
        <v>0</v>
      </c>
      <c r="P185" s="177"/>
      <c r="Q185" s="177"/>
      <c r="R185" s="177"/>
    </row>
    <row r="186" spans="1:18" ht="30" hidden="1" x14ac:dyDescent="0.25">
      <c r="A186" s="29" t="s">
        <v>5413</v>
      </c>
      <c r="B186" s="29" t="s">
        <v>5412</v>
      </c>
      <c r="C186" s="29" t="s">
        <v>517</v>
      </c>
      <c r="D186" s="29" t="str">
        <f>VLOOKUP(C:C,'COUNT-CONT'!B:C,2,FALSE)</f>
        <v>South America</v>
      </c>
      <c r="E186" s="29">
        <v>5</v>
      </c>
      <c r="F186" s="28">
        <v>2742</v>
      </c>
      <c r="G186" s="28">
        <v>6233067031</v>
      </c>
      <c r="H186" s="29">
        <v>41.78</v>
      </c>
      <c r="I186" s="142">
        <v>-37.659999999999997</v>
      </c>
      <c r="J186" s="29">
        <v>16.29</v>
      </c>
      <c r="K186" s="29">
        <v>13.45</v>
      </c>
      <c r="L186" s="29">
        <v>35.43</v>
      </c>
      <c r="M186" s="368"/>
      <c r="N186" s="368"/>
      <c r="O186" s="271">
        <f>IFERROR(Table17[[#This Row],[PROFIT]]/Table17[[#This Row],[TO]],0)</f>
        <v>0</v>
      </c>
      <c r="P186" s="177"/>
      <c r="Q186" s="177"/>
      <c r="R186" s="177"/>
    </row>
    <row r="187" spans="1:18" hidden="1" x14ac:dyDescent="0.25">
      <c r="A187" s="29" t="s">
        <v>417</v>
      </c>
      <c r="B187" s="29" t="s">
        <v>5334</v>
      </c>
      <c r="C187" s="29" t="s">
        <v>709</v>
      </c>
      <c r="D187" s="29" t="str">
        <f>VLOOKUP(C:C,'COUNT-CONT'!B:C,2,FALSE)</f>
        <v>Asia</v>
      </c>
      <c r="E187" s="29">
        <v>10</v>
      </c>
      <c r="F187" s="28">
        <v>4324</v>
      </c>
      <c r="G187" s="28">
        <v>5984394079</v>
      </c>
      <c r="H187" s="29">
        <v>41.72</v>
      </c>
      <c r="I187" s="142">
        <v>-37.72</v>
      </c>
      <c r="J187" s="29">
        <v>14.78</v>
      </c>
      <c r="K187" s="29">
        <v>11.43</v>
      </c>
      <c r="L187" s="29">
        <v>33.65</v>
      </c>
      <c r="M187" s="368"/>
      <c r="N187" s="368"/>
      <c r="O187" s="271">
        <f>IFERROR(Table17[[#This Row],[PROFIT]]/Table17[[#This Row],[TO]],0)</f>
        <v>0</v>
      </c>
      <c r="P187" s="177"/>
      <c r="Q187" s="177"/>
      <c r="R187" s="177"/>
    </row>
    <row r="188" spans="1:18" ht="45" hidden="1" x14ac:dyDescent="0.25">
      <c r="A188" s="29" t="s">
        <v>5404</v>
      </c>
      <c r="B188" s="29" t="s">
        <v>5403</v>
      </c>
      <c r="C188" s="29" t="s">
        <v>505</v>
      </c>
      <c r="D188" s="29" t="e">
        <f>VLOOKUP(C:C,'COUNT-CONT'!B:C,2,FALSE)</f>
        <v>#N/A</v>
      </c>
      <c r="E188" s="29">
        <v>5</v>
      </c>
      <c r="F188" s="28">
        <v>2764</v>
      </c>
      <c r="G188" s="28">
        <v>6200773950</v>
      </c>
      <c r="H188" s="29">
        <v>41.66</v>
      </c>
      <c r="I188" s="142">
        <v>-37.78</v>
      </c>
      <c r="J188" s="29">
        <v>16.23</v>
      </c>
      <c r="K188" s="29">
        <v>13.39</v>
      </c>
      <c r="L188" s="29">
        <v>35.31</v>
      </c>
      <c r="M188" s="368"/>
      <c r="N188" s="368"/>
      <c r="O188" s="271">
        <f>IFERROR(Table17[[#This Row],[PROFIT]]/Table17[[#This Row],[TO]],0)</f>
        <v>0</v>
      </c>
      <c r="P188" s="177"/>
      <c r="Q188" s="177"/>
      <c r="R188" s="177"/>
    </row>
    <row r="189" spans="1:18" hidden="1" x14ac:dyDescent="0.25">
      <c r="A189" s="29" t="s">
        <v>5406</v>
      </c>
      <c r="B189" s="29" t="s">
        <v>5405</v>
      </c>
      <c r="C189" s="29" t="s">
        <v>14</v>
      </c>
      <c r="D189" s="29" t="str">
        <f>VLOOKUP(C:C,'COUNT-CONT'!B:C,2,FALSE)</f>
        <v>Asia</v>
      </c>
      <c r="E189" s="29">
        <v>9</v>
      </c>
      <c r="F189" s="28">
        <v>4211</v>
      </c>
      <c r="G189" s="28">
        <v>6174020612</v>
      </c>
      <c r="H189" s="29">
        <v>41.66</v>
      </c>
      <c r="I189" s="142">
        <v>-37.78</v>
      </c>
      <c r="J189" s="29">
        <v>16.23</v>
      </c>
      <c r="K189" s="29">
        <v>13.39</v>
      </c>
      <c r="L189" s="29">
        <v>35.31</v>
      </c>
      <c r="M189" s="368"/>
      <c r="N189" s="368"/>
      <c r="O189" s="271">
        <f>IFERROR(Table17[[#This Row],[PROFIT]]/Table17[[#This Row],[TO]],0)</f>
        <v>0</v>
      </c>
      <c r="P189" s="177"/>
      <c r="Q189" s="177"/>
      <c r="R189" s="177"/>
    </row>
    <row r="190" spans="1:18" hidden="1" x14ac:dyDescent="0.25">
      <c r="A190" s="29" t="s">
        <v>4906</v>
      </c>
      <c r="B190" s="29" t="s">
        <v>4905</v>
      </c>
      <c r="C190" s="29" t="s">
        <v>4853</v>
      </c>
      <c r="D190" s="29" t="str">
        <f>VLOOKUP(C:C,'COUNT-CONT'!B:C,2,FALSE)</f>
        <v>Asia</v>
      </c>
      <c r="E190" s="29">
        <v>7</v>
      </c>
      <c r="F190" s="28">
        <v>2795</v>
      </c>
      <c r="G190" s="28">
        <v>5259959928</v>
      </c>
      <c r="H190" s="29">
        <v>41.6</v>
      </c>
      <c r="I190" s="142">
        <v>-37.839999999999996</v>
      </c>
      <c r="J190" s="29">
        <v>7.89</v>
      </c>
      <c r="K190" s="29">
        <v>3.66</v>
      </c>
      <c r="L190" s="29">
        <v>26.33</v>
      </c>
      <c r="M190" s="368"/>
      <c r="N190" s="368"/>
      <c r="O190" s="271">
        <f>IFERROR(Table17[[#This Row],[PROFIT]]/Table17[[#This Row],[TO]],0)</f>
        <v>0</v>
      </c>
      <c r="P190" s="177"/>
      <c r="Q190" s="177"/>
      <c r="R190" s="177"/>
    </row>
    <row r="191" spans="1:18" hidden="1" x14ac:dyDescent="0.25">
      <c r="A191" s="29" t="s">
        <v>282</v>
      </c>
      <c r="B191" s="29" t="s">
        <v>5621</v>
      </c>
      <c r="C191" s="29" t="s">
        <v>807</v>
      </c>
      <c r="D191" s="29" t="str">
        <f>VLOOKUP(C:C,'COUNT-CONT'!B:C,2,FALSE)</f>
        <v>Europe</v>
      </c>
      <c r="E191" s="29">
        <v>10</v>
      </c>
      <c r="F191" s="28">
        <v>5902</v>
      </c>
      <c r="G191" s="28">
        <v>7292177499</v>
      </c>
      <c r="H191" s="29">
        <v>41.41</v>
      </c>
      <c r="I191" s="142">
        <v>-38.03</v>
      </c>
      <c r="J191" s="29">
        <v>23.28</v>
      </c>
      <c r="K191" s="29">
        <v>22.43</v>
      </c>
      <c r="L191" s="29">
        <v>43.14</v>
      </c>
      <c r="M191" s="368"/>
      <c r="N191" s="368"/>
      <c r="O191" s="271">
        <f>IFERROR(Table17[[#This Row],[PROFIT]]/Table17[[#This Row],[TO]],0)</f>
        <v>0</v>
      </c>
      <c r="P191" s="177"/>
      <c r="Q191" s="177"/>
      <c r="R191" s="177"/>
    </row>
    <row r="192" spans="1:18" hidden="1" x14ac:dyDescent="0.25">
      <c r="A192" s="29" t="s">
        <v>5497</v>
      </c>
      <c r="B192" s="29" t="s">
        <v>5496</v>
      </c>
      <c r="C192" s="29" t="s">
        <v>258</v>
      </c>
      <c r="D192" s="29" t="str">
        <f>VLOOKUP(C:C,'COUNT-CONT'!B:C,2,FALSE)</f>
        <v>Asia</v>
      </c>
      <c r="E192" s="29">
        <v>9</v>
      </c>
      <c r="F192" s="28">
        <v>4516</v>
      </c>
      <c r="G192" s="28">
        <v>6551378387</v>
      </c>
      <c r="H192" s="29">
        <v>41.41</v>
      </c>
      <c r="I192" s="142">
        <v>-38.03</v>
      </c>
      <c r="J192" s="29">
        <v>18.079999999999998</v>
      </c>
      <c r="K192" s="29">
        <v>15.81</v>
      </c>
      <c r="L192" s="29">
        <v>37.67</v>
      </c>
      <c r="M192" s="368"/>
      <c r="N192" s="368"/>
      <c r="O192" s="271">
        <f>IFERROR(Table17[[#This Row],[PROFIT]]/Table17[[#This Row],[TO]],0)</f>
        <v>0</v>
      </c>
      <c r="P192" s="177"/>
      <c r="Q192" s="177"/>
      <c r="R192" s="177"/>
    </row>
    <row r="193" spans="1:18" ht="30" hidden="1" x14ac:dyDescent="0.25">
      <c r="A193" s="29" t="s">
        <v>314</v>
      </c>
      <c r="B193" s="29" t="s">
        <v>5722</v>
      </c>
      <c r="C193" s="29" t="s">
        <v>11732</v>
      </c>
      <c r="D193" s="29" t="str">
        <f>VLOOKUP(C:C,'COUNT-CONT'!B:C,2,FALSE)</f>
        <v>North America</v>
      </c>
      <c r="E193" s="29">
        <v>10</v>
      </c>
      <c r="F193" s="28">
        <v>9560</v>
      </c>
      <c r="G193" s="28">
        <v>8861162761</v>
      </c>
      <c r="H193" s="29">
        <v>41.38</v>
      </c>
      <c r="I193" s="142">
        <v>-38.059999999999995</v>
      </c>
      <c r="J193" s="29">
        <v>33.74</v>
      </c>
      <c r="K193" s="29">
        <v>33.74</v>
      </c>
      <c r="L193" s="29">
        <v>54.44</v>
      </c>
      <c r="M193" s="368"/>
      <c r="N193" s="368"/>
      <c r="O193" s="271">
        <f>IFERROR(Table17[[#This Row],[PROFIT]]/Table17[[#This Row],[TO]],0)</f>
        <v>0</v>
      </c>
      <c r="P193" s="177"/>
      <c r="Q193" s="177"/>
      <c r="R193" s="177"/>
    </row>
    <row r="194" spans="1:18" hidden="1" x14ac:dyDescent="0.25">
      <c r="A194" s="29" t="s">
        <v>6</v>
      </c>
      <c r="B194" s="29" t="s">
        <v>5683</v>
      </c>
      <c r="C194" s="29" t="s">
        <v>1674</v>
      </c>
      <c r="D194" s="29" t="str">
        <f>VLOOKUP(C:C,'COUNT-CONT'!B:C,2,FALSE)</f>
        <v>Europe</v>
      </c>
      <c r="E194" s="29">
        <v>10</v>
      </c>
      <c r="F194" s="28">
        <v>8243</v>
      </c>
      <c r="G194" s="28">
        <v>8097246560</v>
      </c>
      <c r="H194" s="29">
        <v>41.35</v>
      </c>
      <c r="I194" s="142">
        <v>-38.089999999999996</v>
      </c>
      <c r="J194" s="29">
        <v>29.53</v>
      </c>
      <c r="K194" s="29">
        <v>28.57</v>
      </c>
      <c r="L194" s="29">
        <v>49.24</v>
      </c>
      <c r="M194" s="368"/>
      <c r="N194" s="368"/>
      <c r="O194" s="271">
        <f>IFERROR(Table17[[#This Row],[PROFIT]]/Table17[[#This Row],[TO]],0)</f>
        <v>0</v>
      </c>
      <c r="P194" s="177"/>
      <c r="Q194" s="177"/>
      <c r="R194" s="177"/>
    </row>
    <row r="195" spans="1:18" hidden="1" x14ac:dyDescent="0.25">
      <c r="A195" s="29" t="s">
        <v>5395</v>
      </c>
      <c r="B195" s="29" t="s">
        <v>5394</v>
      </c>
      <c r="C195" s="29" t="s">
        <v>5393</v>
      </c>
      <c r="D195" s="29" t="str">
        <f>VLOOKUP(C:C,'COUNT-CONT'!B:C,2,FALSE)</f>
        <v>Asia</v>
      </c>
      <c r="E195" s="29">
        <v>10</v>
      </c>
      <c r="F195" s="28">
        <v>4965</v>
      </c>
      <c r="G195" s="28">
        <v>6159150855</v>
      </c>
      <c r="H195" s="29">
        <v>41.32</v>
      </c>
      <c r="I195" s="142">
        <v>-38.119999999999997</v>
      </c>
      <c r="J195" s="29">
        <v>16.11</v>
      </c>
      <c r="K195" s="29">
        <v>13.3</v>
      </c>
      <c r="L195" s="29">
        <v>35.04</v>
      </c>
      <c r="M195" s="368"/>
      <c r="N195" s="368"/>
      <c r="O195" s="271">
        <f>IFERROR(Table17[[#This Row],[PROFIT]]/Table17[[#This Row],[TO]],0)</f>
        <v>0</v>
      </c>
      <c r="P195" s="177"/>
      <c r="Q195" s="177"/>
      <c r="R195" s="177"/>
    </row>
    <row r="196" spans="1:18" hidden="1" x14ac:dyDescent="0.25">
      <c r="A196" s="29" t="s">
        <v>5386</v>
      </c>
      <c r="B196" s="29" t="s">
        <v>5385</v>
      </c>
      <c r="C196" s="29" t="s">
        <v>14</v>
      </c>
      <c r="D196" s="29" t="str">
        <f>VLOOKUP(C:C,'COUNT-CONT'!B:C,2,FALSE)</f>
        <v>Asia</v>
      </c>
      <c r="E196" s="29">
        <v>10</v>
      </c>
      <c r="F196" s="28">
        <v>4702</v>
      </c>
      <c r="G196" s="28">
        <v>6138043002</v>
      </c>
      <c r="H196" s="29">
        <v>41.2</v>
      </c>
      <c r="I196" s="142">
        <v>-38.239999999999995</v>
      </c>
      <c r="J196" s="29">
        <v>16.05</v>
      </c>
      <c r="K196" s="29">
        <v>13.27</v>
      </c>
      <c r="L196" s="29">
        <v>34.92</v>
      </c>
      <c r="M196" s="368"/>
      <c r="N196" s="368"/>
      <c r="O196" s="271">
        <f>IFERROR(Table17[[#This Row],[PROFIT]]/Table17[[#This Row],[TO]],0)</f>
        <v>0</v>
      </c>
      <c r="P196" s="177"/>
      <c r="Q196" s="177"/>
      <c r="R196" s="177"/>
    </row>
    <row r="197" spans="1:18" hidden="1" x14ac:dyDescent="0.25">
      <c r="A197" s="29" t="s">
        <v>5358</v>
      </c>
      <c r="B197" s="29" t="s">
        <v>5357</v>
      </c>
      <c r="C197" s="29" t="s">
        <v>1420</v>
      </c>
      <c r="D197" s="29" t="str">
        <f>VLOOKUP(C:C,'COUNT-CONT'!B:C,2,FALSE)</f>
        <v>Europe</v>
      </c>
      <c r="E197" s="29">
        <v>10</v>
      </c>
      <c r="F197" s="28">
        <v>4485</v>
      </c>
      <c r="G197" s="28">
        <v>6053661984</v>
      </c>
      <c r="H197" s="29">
        <v>41.17</v>
      </c>
      <c r="I197" s="142">
        <v>-38.269999999999996</v>
      </c>
      <c r="J197" s="29">
        <v>15.78</v>
      </c>
      <c r="K197" s="29">
        <v>12.33</v>
      </c>
      <c r="L197" s="29">
        <v>34.31</v>
      </c>
      <c r="M197" s="368"/>
      <c r="N197" s="368"/>
      <c r="O197" s="271">
        <f>IFERROR(Table17[[#This Row],[PROFIT]]/Table17[[#This Row],[TO]],0)</f>
        <v>0</v>
      </c>
      <c r="P197" s="177"/>
      <c r="Q197" s="177"/>
      <c r="R197" s="177"/>
    </row>
    <row r="198" spans="1:18" ht="30" hidden="1" x14ac:dyDescent="0.25">
      <c r="A198" s="29" t="s">
        <v>5380</v>
      </c>
      <c r="B198" s="29" t="s">
        <v>5379</v>
      </c>
      <c r="C198" s="29" t="s">
        <v>517</v>
      </c>
      <c r="D198" s="29" t="str">
        <f>VLOOKUP(C:C,'COUNT-CONT'!B:C,2,FALSE)</f>
        <v>South America</v>
      </c>
      <c r="E198" s="29">
        <v>9</v>
      </c>
      <c r="F198" s="28">
        <v>3435</v>
      </c>
      <c r="G198" s="28">
        <v>6182632896</v>
      </c>
      <c r="H198" s="29">
        <v>41.17</v>
      </c>
      <c r="I198" s="142">
        <v>-38.269999999999996</v>
      </c>
      <c r="J198" s="29">
        <v>16.05</v>
      </c>
      <c r="K198" s="29">
        <v>13.24</v>
      </c>
      <c r="L198" s="29">
        <v>34.89</v>
      </c>
      <c r="M198" s="368"/>
      <c r="N198" s="368"/>
      <c r="O198" s="271">
        <f>IFERROR(Table17[[#This Row],[PROFIT]]/Table17[[#This Row],[TO]],0)</f>
        <v>0</v>
      </c>
      <c r="P198" s="177"/>
      <c r="Q198" s="177"/>
      <c r="R198" s="177"/>
    </row>
    <row r="199" spans="1:18" ht="30" hidden="1" x14ac:dyDescent="0.25">
      <c r="A199" s="29" t="s">
        <v>483</v>
      </c>
      <c r="B199" s="29" t="s">
        <v>5659</v>
      </c>
      <c r="C199" s="29" t="s">
        <v>514</v>
      </c>
      <c r="D199" s="29" t="str">
        <f>VLOOKUP(C:C,'COUNT-CONT'!B:C,2,FALSE)</f>
        <v>North America</v>
      </c>
      <c r="E199" s="29">
        <v>10</v>
      </c>
      <c r="F199" s="28">
        <v>6981</v>
      </c>
      <c r="G199" s="28">
        <v>7759470548</v>
      </c>
      <c r="H199" s="29">
        <v>41.14</v>
      </c>
      <c r="I199" s="142">
        <v>-38.299999999999997</v>
      </c>
      <c r="J199" s="29">
        <v>27.12</v>
      </c>
      <c r="K199" s="29">
        <v>26.18</v>
      </c>
      <c r="L199" s="29">
        <v>46.77</v>
      </c>
      <c r="M199" s="368"/>
      <c r="N199" s="368"/>
      <c r="O199" s="271">
        <f>IFERROR(Table17[[#This Row],[PROFIT]]/Table17[[#This Row],[TO]],0)</f>
        <v>0</v>
      </c>
      <c r="P199" s="177"/>
      <c r="Q199" s="177"/>
      <c r="R199" s="177"/>
    </row>
    <row r="200" spans="1:18" ht="30" hidden="1" x14ac:dyDescent="0.25">
      <c r="A200" s="29" t="s">
        <v>435</v>
      </c>
      <c r="B200" s="29" t="s">
        <v>5559</v>
      </c>
      <c r="C200" s="29" t="s">
        <v>1847</v>
      </c>
      <c r="D200" s="29" t="str">
        <f>VLOOKUP(C:C,'COUNT-CONT'!B:C,2,FALSE)</f>
        <v>Asia</v>
      </c>
      <c r="E200" s="29">
        <v>10</v>
      </c>
      <c r="F200" s="28">
        <v>6304</v>
      </c>
      <c r="G200" s="28">
        <v>6790092385</v>
      </c>
      <c r="H200" s="29">
        <v>41.11</v>
      </c>
      <c r="I200" s="142">
        <v>-38.33</v>
      </c>
      <c r="J200" s="29">
        <v>20.56</v>
      </c>
      <c r="K200" s="29">
        <v>18.170000000000002</v>
      </c>
      <c r="L200" s="29">
        <v>39.54</v>
      </c>
      <c r="M200" s="368"/>
      <c r="N200" s="368"/>
      <c r="O200" s="271">
        <f>IFERROR(Table17[[#This Row],[PROFIT]]/Table17[[#This Row],[TO]],0)</f>
        <v>0</v>
      </c>
      <c r="P200" s="177"/>
      <c r="Q200" s="177"/>
      <c r="R200" s="177"/>
    </row>
    <row r="201" spans="1:18" ht="30" hidden="1" x14ac:dyDescent="0.25">
      <c r="A201" s="29" t="s">
        <v>5480</v>
      </c>
      <c r="B201" s="29" t="s">
        <v>5479</v>
      </c>
      <c r="C201" s="29" t="s">
        <v>1749</v>
      </c>
      <c r="D201" s="29" t="str">
        <f>VLOOKUP(C:C,'COUNT-CONT'!B:C,2,FALSE)</f>
        <v>North America</v>
      </c>
      <c r="E201" s="29">
        <v>10</v>
      </c>
      <c r="F201" s="28">
        <v>5598</v>
      </c>
      <c r="G201" s="28">
        <v>6472498749</v>
      </c>
      <c r="H201" s="29">
        <v>41.11</v>
      </c>
      <c r="I201" s="142">
        <v>-38.33</v>
      </c>
      <c r="J201" s="29">
        <v>18.68</v>
      </c>
      <c r="K201" s="29">
        <v>15.69</v>
      </c>
      <c r="L201" s="29">
        <v>37.39</v>
      </c>
      <c r="M201" s="368"/>
      <c r="N201" s="368"/>
      <c r="O201" s="271">
        <f>IFERROR(Table17[[#This Row],[PROFIT]]/Table17[[#This Row],[TO]],0)</f>
        <v>0</v>
      </c>
      <c r="P201" s="177"/>
      <c r="Q201" s="177"/>
      <c r="R201" s="177"/>
    </row>
    <row r="202" spans="1:18" hidden="1" x14ac:dyDescent="0.25">
      <c r="A202" s="29" t="s">
        <v>5165</v>
      </c>
      <c r="B202" s="29" t="s">
        <v>5164</v>
      </c>
      <c r="C202" s="29" t="s">
        <v>1261</v>
      </c>
      <c r="D202" s="29" t="str">
        <f>VLOOKUP(C:C,'COUNT-CONT'!B:C,2,FALSE)</f>
        <v>Asia</v>
      </c>
      <c r="E202" s="29">
        <v>6</v>
      </c>
      <c r="F202" s="28">
        <v>3889</v>
      </c>
      <c r="G202" s="28">
        <v>5496049061</v>
      </c>
      <c r="H202" s="29">
        <v>41.02</v>
      </c>
      <c r="I202" s="142">
        <v>-38.419999999999995</v>
      </c>
      <c r="J202" s="29">
        <v>11.46</v>
      </c>
      <c r="K202" s="29">
        <v>8.43</v>
      </c>
      <c r="L202" s="29">
        <v>30.17</v>
      </c>
      <c r="M202" s="368"/>
      <c r="N202" s="368"/>
      <c r="O202" s="271">
        <f>IFERROR(Table17[[#This Row],[PROFIT]]/Table17[[#This Row],[TO]],0)</f>
        <v>0</v>
      </c>
      <c r="P202" s="177"/>
      <c r="Q202" s="177"/>
      <c r="R202" s="177"/>
    </row>
    <row r="203" spans="1:18" ht="30" hidden="1" x14ac:dyDescent="0.25">
      <c r="A203" s="29" t="s">
        <v>5225</v>
      </c>
      <c r="B203" s="29" t="s">
        <v>5224</v>
      </c>
      <c r="C203" s="29" t="s">
        <v>2293</v>
      </c>
      <c r="D203" s="29" t="str">
        <f>VLOOKUP(C:C,'COUNT-CONT'!B:C,2,FALSE)</f>
        <v>South America</v>
      </c>
      <c r="E203" s="29">
        <v>8</v>
      </c>
      <c r="F203" s="28">
        <v>3578</v>
      </c>
      <c r="G203" s="28">
        <v>5714034320</v>
      </c>
      <c r="H203" s="29">
        <v>40.99</v>
      </c>
      <c r="I203" s="142">
        <v>-38.449999999999996</v>
      </c>
      <c r="J203" s="29">
        <v>12.42</v>
      </c>
      <c r="K203" s="29">
        <v>9.31</v>
      </c>
      <c r="L203" s="29">
        <v>31.05</v>
      </c>
      <c r="M203" s="368"/>
      <c r="N203" s="368"/>
      <c r="O203" s="271">
        <f>IFERROR(Table17[[#This Row],[PROFIT]]/Table17[[#This Row],[TO]],0)</f>
        <v>0</v>
      </c>
      <c r="P203" s="177"/>
      <c r="Q203" s="177"/>
      <c r="R203" s="177"/>
    </row>
    <row r="204" spans="1:18" hidden="1" x14ac:dyDescent="0.25">
      <c r="A204" s="29" t="s">
        <v>5373</v>
      </c>
      <c r="B204" s="29" t="s">
        <v>5372</v>
      </c>
      <c r="C204" s="29" t="s">
        <v>14</v>
      </c>
      <c r="D204" s="29" t="str">
        <f>VLOOKUP(C:C,'COUNT-CONT'!B:C,2,FALSE)</f>
        <v>Asia</v>
      </c>
      <c r="E204" s="29">
        <v>8</v>
      </c>
      <c r="F204" s="28">
        <v>3627</v>
      </c>
      <c r="G204" s="28">
        <v>6097680948</v>
      </c>
      <c r="H204" s="29">
        <v>40.96</v>
      </c>
      <c r="I204" s="142">
        <v>-38.479999999999997</v>
      </c>
      <c r="J204" s="29">
        <v>15.96</v>
      </c>
      <c r="K204" s="29">
        <v>13.18</v>
      </c>
      <c r="L204" s="29">
        <v>34.700000000000003</v>
      </c>
      <c r="M204" s="368"/>
      <c r="N204" s="368"/>
      <c r="O204" s="271">
        <f>IFERROR(Table17[[#This Row],[PROFIT]]/Table17[[#This Row],[TO]],0)</f>
        <v>0</v>
      </c>
      <c r="P204" s="177"/>
      <c r="Q204" s="177"/>
      <c r="R204" s="177"/>
    </row>
    <row r="205" spans="1:18" ht="30" hidden="1" x14ac:dyDescent="0.25">
      <c r="A205" s="29" t="s">
        <v>5631</v>
      </c>
      <c r="B205" s="29" t="s">
        <v>5630</v>
      </c>
      <c r="C205" s="29" t="s">
        <v>1427</v>
      </c>
      <c r="D205" s="29" t="str">
        <f>VLOOKUP(C:C,'COUNT-CONT'!B:C,2,FALSE)</f>
        <v>Europe</v>
      </c>
      <c r="E205" s="29">
        <v>9</v>
      </c>
      <c r="F205" s="28">
        <v>5456</v>
      </c>
      <c r="G205" s="28">
        <v>7421912903</v>
      </c>
      <c r="H205" s="29">
        <v>40.840000000000003</v>
      </c>
      <c r="I205" s="142">
        <v>-38.599999999999994</v>
      </c>
      <c r="J205" s="29">
        <v>24.85</v>
      </c>
      <c r="K205" s="29">
        <v>23.1</v>
      </c>
      <c r="L205" s="29">
        <v>44.41</v>
      </c>
      <c r="M205" s="368"/>
      <c r="N205" s="368"/>
      <c r="O205" s="271">
        <f>IFERROR(Table17[[#This Row],[PROFIT]]/Table17[[#This Row],[TO]],0)</f>
        <v>0</v>
      </c>
      <c r="P205" s="177"/>
      <c r="Q205" s="177"/>
      <c r="R205" s="177"/>
    </row>
    <row r="206" spans="1:18" hidden="1" x14ac:dyDescent="0.25">
      <c r="A206" s="29" t="s">
        <v>117</v>
      </c>
      <c r="B206" s="29" t="s">
        <v>4854</v>
      </c>
      <c r="C206" s="29" t="s">
        <v>4853</v>
      </c>
      <c r="D206" s="29" t="str">
        <f>VLOOKUP(C:C,'COUNT-CONT'!B:C,2,FALSE)</f>
        <v>Asia</v>
      </c>
      <c r="E206" s="29">
        <v>8</v>
      </c>
      <c r="F206" s="28">
        <v>3266</v>
      </c>
      <c r="G206" s="28">
        <v>5177803429</v>
      </c>
      <c r="H206" s="29">
        <v>40.75</v>
      </c>
      <c r="I206" s="142">
        <v>-38.69</v>
      </c>
      <c r="J206" s="29">
        <v>7.74</v>
      </c>
      <c r="K206" s="29">
        <v>3.6</v>
      </c>
      <c r="L206" s="29">
        <v>25.79</v>
      </c>
      <c r="M206" s="368"/>
      <c r="N206" s="368"/>
      <c r="O206" s="271">
        <f>IFERROR(Table17[[#This Row],[PROFIT]]/Table17[[#This Row],[TO]],0)</f>
        <v>0</v>
      </c>
      <c r="P206" s="177"/>
      <c r="Q206" s="177"/>
      <c r="R206" s="177"/>
    </row>
    <row r="207" spans="1:18" ht="30" hidden="1" x14ac:dyDescent="0.25">
      <c r="A207" s="29" t="s">
        <v>5121</v>
      </c>
      <c r="B207" s="29" t="s">
        <v>5120</v>
      </c>
      <c r="C207" s="29" t="s">
        <v>5119</v>
      </c>
      <c r="D207" s="29" t="str">
        <f>VLOOKUP(C:C,'COUNT-CONT'!B:C,2,FALSE)</f>
        <v>North America</v>
      </c>
      <c r="E207" s="29">
        <v>8</v>
      </c>
      <c r="F207" s="28">
        <v>3445</v>
      </c>
      <c r="G207" s="28">
        <v>5449803338</v>
      </c>
      <c r="H207" s="29">
        <v>40.72</v>
      </c>
      <c r="I207" s="142">
        <v>-38.72</v>
      </c>
      <c r="J207" s="29">
        <v>11.22</v>
      </c>
      <c r="K207" s="29">
        <v>7.65</v>
      </c>
      <c r="L207" s="29">
        <v>29.5</v>
      </c>
      <c r="M207" s="368"/>
      <c r="N207" s="368"/>
      <c r="O207" s="271">
        <f>IFERROR(Table17[[#This Row],[PROFIT]]/Table17[[#This Row],[TO]],0)</f>
        <v>0</v>
      </c>
      <c r="P207" s="177"/>
      <c r="Q207" s="177"/>
      <c r="R207" s="177"/>
    </row>
    <row r="208" spans="1:18" hidden="1" x14ac:dyDescent="0.25">
      <c r="A208" s="29" t="s">
        <v>286</v>
      </c>
      <c r="B208" s="29" t="s">
        <v>5232</v>
      </c>
      <c r="C208" s="29" t="s">
        <v>1314</v>
      </c>
      <c r="D208" s="29" t="str">
        <f>VLOOKUP(C:C,'COUNT-CONT'!B:C,2,FALSE)</f>
        <v>Asia</v>
      </c>
      <c r="E208" s="29">
        <v>10</v>
      </c>
      <c r="F208" s="28">
        <v>4539</v>
      </c>
      <c r="G208" s="28">
        <v>5679144128</v>
      </c>
      <c r="H208" s="29">
        <v>40.69</v>
      </c>
      <c r="I208" s="142">
        <v>-38.75</v>
      </c>
      <c r="J208" s="29">
        <v>13.15</v>
      </c>
      <c r="K208" s="29">
        <v>9.3699999999999992</v>
      </c>
      <c r="L208" s="29">
        <v>31.32</v>
      </c>
      <c r="M208" s="368"/>
      <c r="N208" s="368"/>
      <c r="O208" s="271">
        <f>IFERROR(Table17[[#This Row],[PROFIT]]/Table17[[#This Row],[TO]],0)</f>
        <v>0</v>
      </c>
      <c r="P208" s="177"/>
      <c r="Q208" s="177"/>
      <c r="R208" s="177"/>
    </row>
    <row r="209" spans="1:18" ht="30" hidden="1" x14ac:dyDescent="0.25">
      <c r="A209" s="29" t="s">
        <v>5719</v>
      </c>
      <c r="B209" s="29" t="s">
        <v>5718</v>
      </c>
      <c r="C209" s="29" t="s">
        <v>11732</v>
      </c>
      <c r="D209" s="29" t="str">
        <f>VLOOKUP(C:C,'COUNT-CONT'!B:C,2,FALSE)</f>
        <v>North America</v>
      </c>
      <c r="E209" s="29">
        <v>10</v>
      </c>
      <c r="F209" s="28">
        <v>9149</v>
      </c>
      <c r="G209" s="28">
        <v>8741631719</v>
      </c>
      <c r="H209" s="29">
        <v>40.69</v>
      </c>
      <c r="I209" s="142">
        <v>-38.75</v>
      </c>
      <c r="J209" s="29">
        <v>33.19</v>
      </c>
      <c r="K209" s="29">
        <v>33.19</v>
      </c>
      <c r="L209" s="29">
        <v>53.57</v>
      </c>
      <c r="M209" s="368"/>
      <c r="N209" s="368"/>
      <c r="O209" s="271">
        <f>IFERROR(Table17[[#This Row],[PROFIT]]/Table17[[#This Row],[TO]],0)</f>
        <v>0</v>
      </c>
      <c r="P209" s="177"/>
      <c r="Q209" s="177"/>
      <c r="R209" s="177"/>
    </row>
    <row r="210" spans="1:18" x14ac:dyDescent="0.25">
      <c r="A210" s="29" t="s">
        <v>364</v>
      </c>
      <c r="B210" s="29" t="s">
        <v>5421</v>
      </c>
      <c r="C210" s="29" t="s">
        <v>730</v>
      </c>
      <c r="D210" s="29" t="str">
        <f>VLOOKUP(C:C,'COUNT-CONT'!B:C,2,FALSE)</f>
        <v>Oceania</v>
      </c>
      <c r="E210" s="29">
        <v>10</v>
      </c>
      <c r="F210" s="28">
        <v>4367</v>
      </c>
      <c r="G210" s="28">
        <v>6353289168</v>
      </c>
      <c r="H210" s="29">
        <v>40.630000000000003</v>
      </c>
      <c r="I210" s="142">
        <v>-38.809999999999995</v>
      </c>
      <c r="J210" s="29">
        <v>17.079999999999998</v>
      </c>
      <c r="K210" s="29">
        <v>14.24</v>
      </c>
      <c r="L210" s="29">
        <v>35.64</v>
      </c>
      <c r="M210" s="368"/>
      <c r="N210" s="368"/>
      <c r="O210" s="271">
        <f>IFERROR(Table17[[#This Row],[PROFIT]]/Table17[[#This Row],[TO]],0)</f>
        <v>0</v>
      </c>
      <c r="P210" s="177"/>
      <c r="Q210" s="177"/>
      <c r="R210" s="177"/>
    </row>
    <row r="211" spans="1:18" ht="30" hidden="1" x14ac:dyDescent="0.25">
      <c r="A211" s="29" t="s">
        <v>5717</v>
      </c>
      <c r="B211" s="29" t="s">
        <v>5716</v>
      </c>
      <c r="C211" s="29" t="s">
        <v>11732</v>
      </c>
      <c r="D211" s="29" t="str">
        <f>VLOOKUP(C:C,'COUNT-CONT'!B:C,2,FALSE)</f>
        <v>North America</v>
      </c>
      <c r="E211" s="29">
        <v>10</v>
      </c>
      <c r="F211" s="28">
        <v>9782</v>
      </c>
      <c r="G211" s="28">
        <v>8729151441</v>
      </c>
      <c r="H211" s="29">
        <v>40.51</v>
      </c>
      <c r="I211" s="142">
        <v>-38.93</v>
      </c>
      <c r="J211" s="29">
        <v>33.04</v>
      </c>
      <c r="K211" s="29">
        <v>33.04</v>
      </c>
      <c r="L211" s="29">
        <v>53.33</v>
      </c>
      <c r="M211" s="368"/>
      <c r="N211" s="368"/>
      <c r="O211" s="271">
        <f>IFERROR(Table17[[#This Row],[PROFIT]]/Table17[[#This Row],[TO]],0)</f>
        <v>0</v>
      </c>
      <c r="P211" s="177"/>
      <c r="Q211" s="177"/>
      <c r="R211" s="177"/>
    </row>
    <row r="212" spans="1:18" ht="30" hidden="1" x14ac:dyDescent="0.25">
      <c r="A212" s="29" t="s">
        <v>5715</v>
      </c>
      <c r="B212" s="29" t="s">
        <v>5714</v>
      </c>
      <c r="C212" s="29" t="s">
        <v>11732</v>
      </c>
      <c r="D212" s="29" t="str">
        <f>VLOOKUP(C:C,'COUNT-CONT'!B:C,2,FALSE)</f>
        <v>North America</v>
      </c>
      <c r="E212" s="29">
        <v>10</v>
      </c>
      <c r="F212" s="28">
        <v>9843</v>
      </c>
      <c r="G212" s="28">
        <v>8725254546</v>
      </c>
      <c r="H212" s="29">
        <v>40.479999999999997</v>
      </c>
      <c r="I212" s="142">
        <v>-38.96</v>
      </c>
      <c r="J212" s="29">
        <v>33.01</v>
      </c>
      <c r="K212" s="29">
        <v>33.01</v>
      </c>
      <c r="L212" s="29">
        <v>53.26</v>
      </c>
      <c r="M212" s="368"/>
      <c r="N212" s="368"/>
      <c r="O212" s="271">
        <f>IFERROR(Table17[[#This Row],[PROFIT]]/Table17[[#This Row],[TO]],0)</f>
        <v>0</v>
      </c>
      <c r="P212" s="177"/>
      <c r="Q212" s="177"/>
      <c r="R212" s="177"/>
    </row>
    <row r="213" spans="1:18" ht="30" hidden="1" x14ac:dyDescent="0.25">
      <c r="A213" s="29" t="s">
        <v>5352</v>
      </c>
      <c r="B213" s="29" t="s">
        <v>5351</v>
      </c>
      <c r="C213" s="29" t="s">
        <v>517</v>
      </c>
      <c r="D213" s="29" t="str">
        <f>VLOOKUP(C:C,'COUNT-CONT'!B:C,2,FALSE)</f>
        <v>South America</v>
      </c>
      <c r="E213" s="29">
        <v>7</v>
      </c>
      <c r="F213" s="28">
        <v>3154</v>
      </c>
      <c r="G213" s="28">
        <v>6073263474</v>
      </c>
      <c r="H213" s="29">
        <v>40.479999999999997</v>
      </c>
      <c r="I213" s="142">
        <v>-38.96</v>
      </c>
      <c r="J213" s="29">
        <v>15.78</v>
      </c>
      <c r="K213" s="29">
        <v>13.03</v>
      </c>
      <c r="L213" s="29">
        <v>34.31</v>
      </c>
      <c r="M213" s="368"/>
      <c r="N213" s="368"/>
      <c r="O213" s="271">
        <f>IFERROR(Table17[[#This Row],[PROFIT]]/Table17[[#This Row],[TO]],0)</f>
        <v>0</v>
      </c>
      <c r="P213" s="177"/>
      <c r="Q213" s="177"/>
      <c r="R213" s="177"/>
    </row>
    <row r="214" spans="1:18" hidden="1" x14ac:dyDescent="0.25">
      <c r="A214" s="29" t="s">
        <v>5348</v>
      </c>
      <c r="B214" s="29" t="s">
        <v>5347</v>
      </c>
      <c r="C214" s="29" t="s">
        <v>14</v>
      </c>
      <c r="D214" s="29" t="str">
        <f>VLOOKUP(C:C,'COUNT-CONT'!B:C,2,FALSE)</f>
        <v>Asia</v>
      </c>
      <c r="E214" s="29">
        <v>7</v>
      </c>
      <c r="F214" s="28">
        <v>3329</v>
      </c>
      <c r="G214" s="28">
        <v>6044029558</v>
      </c>
      <c r="H214" s="29">
        <v>40.42</v>
      </c>
      <c r="I214" s="142">
        <v>-39.019999999999996</v>
      </c>
      <c r="J214" s="29">
        <v>15.75</v>
      </c>
      <c r="K214" s="29">
        <v>13</v>
      </c>
      <c r="L214" s="29">
        <v>34.25</v>
      </c>
      <c r="M214" s="368"/>
      <c r="N214" s="368"/>
      <c r="O214" s="271">
        <f>IFERROR(Table17[[#This Row],[PROFIT]]/Table17[[#This Row],[TO]],0)</f>
        <v>0</v>
      </c>
      <c r="P214" s="177"/>
      <c r="Q214" s="177"/>
      <c r="R214" s="177"/>
    </row>
    <row r="215" spans="1:18" ht="30" hidden="1" x14ac:dyDescent="0.25">
      <c r="A215" s="29" t="s">
        <v>124</v>
      </c>
      <c r="B215" s="29" t="s">
        <v>5711</v>
      </c>
      <c r="C215" s="29" t="s">
        <v>11732</v>
      </c>
      <c r="D215" s="29" t="str">
        <f>VLOOKUP(C:C,'COUNT-CONT'!B:C,2,FALSE)</f>
        <v>North America</v>
      </c>
      <c r="E215" s="29">
        <v>9</v>
      </c>
      <c r="F215" s="28">
        <v>8537</v>
      </c>
      <c r="G215" s="28">
        <v>8670950884</v>
      </c>
      <c r="H215" s="29">
        <v>40.33</v>
      </c>
      <c r="I215" s="142">
        <v>-39.11</v>
      </c>
      <c r="J215" s="29">
        <v>32.89</v>
      </c>
      <c r="K215" s="29">
        <v>32.89</v>
      </c>
      <c r="L215" s="29">
        <v>53.08</v>
      </c>
      <c r="M215" s="368"/>
      <c r="N215" s="368"/>
      <c r="O215" s="271">
        <f>IFERROR(Table17[[#This Row],[PROFIT]]/Table17[[#This Row],[TO]],0)</f>
        <v>0</v>
      </c>
      <c r="P215" s="177"/>
      <c r="Q215" s="177"/>
      <c r="R215" s="177"/>
    </row>
    <row r="216" spans="1:18" ht="30" hidden="1" x14ac:dyDescent="0.25">
      <c r="A216" s="29" t="s">
        <v>5461</v>
      </c>
      <c r="B216" s="29" t="s">
        <v>5460</v>
      </c>
      <c r="C216" s="29" t="s">
        <v>1749</v>
      </c>
      <c r="D216" s="29" t="str">
        <f>VLOOKUP(C:C,'COUNT-CONT'!B:C,2,FALSE)</f>
        <v>North America</v>
      </c>
      <c r="E216" s="29">
        <v>5</v>
      </c>
      <c r="F216" s="28">
        <v>3016</v>
      </c>
      <c r="G216" s="28">
        <v>6354321485</v>
      </c>
      <c r="H216" s="29">
        <v>40.270000000000003</v>
      </c>
      <c r="I216" s="142">
        <v>-39.169999999999995</v>
      </c>
      <c r="J216" s="29">
        <v>18.29</v>
      </c>
      <c r="K216" s="29">
        <v>15.36</v>
      </c>
      <c r="L216" s="29">
        <v>36.61</v>
      </c>
      <c r="M216" s="368"/>
      <c r="N216" s="368"/>
      <c r="O216" s="271">
        <f>IFERROR(Table17[[#This Row],[PROFIT]]/Table17[[#This Row],[TO]],0)</f>
        <v>0</v>
      </c>
      <c r="P216" s="177"/>
      <c r="Q216" s="177"/>
      <c r="R216" s="177"/>
    </row>
    <row r="217" spans="1:18" ht="30" hidden="1" x14ac:dyDescent="0.25">
      <c r="A217" s="29" t="s">
        <v>5463</v>
      </c>
      <c r="B217" s="29" t="s">
        <v>5462</v>
      </c>
      <c r="C217" s="29" t="s">
        <v>1749</v>
      </c>
      <c r="D217" s="29" t="str">
        <f>VLOOKUP(C:C,'COUNT-CONT'!B:C,2,FALSE)</f>
        <v>North America</v>
      </c>
      <c r="E217" s="29">
        <v>8</v>
      </c>
      <c r="F217" s="28">
        <v>4098</v>
      </c>
      <c r="G217" s="28">
        <v>6337223621</v>
      </c>
      <c r="H217" s="29">
        <v>40.270000000000003</v>
      </c>
      <c r="I217" s="142">
        <v>-39.169999999999995</v>
      </c>
      <c r="J217" s="29">
        <v>18.29</v>
      </c>
      <c r="K217" s="29">
        <v>15.36</v>
      </c>
      <c r="L217" s="29">
        <v>36.61</v>
      </c>
      <c r="M217" s="368"/>
      <c r="N217" s="368"/>
      <c r="O217" s="271">
        <f>IFERROR(Table17[[#This Row],[PROFIT]]/Table17[[#This Row],[TO]],0)</f>
        <v>0</v>
      </c>
      <c r="P217" s="177"/>
      <c r="Q217" s="177"/>
      <c r="R217" s="177"/>
    </row>
    <row r="218" spans="1:18" hidden="1" x14ac:dyDescent="0.25">
      <c r="A218" s="29" t="s">
        <v>5221</v>
      </c>
      <c r="B218" s="29" t="s">
        <v>5220</v>
      </c>
      <c r="C218" s="29" t="s">
        <v>700</v>
      </c>
      <c r="D218" s="29" t="str">
        <f>VLOOKUP(C:C,'COUNT-CONT'!B:C,2,FALSE)</f>
        <v>Asia</v>
      </c>
      <c r="E218" s="29">
        <v>8</v>
      </c>
      <c r="F218" s="28">
        <v>3558</v>
      </c>
      <c r="G218" s="28">
        <v>5649562450</v>
      </c>
      <c r="H218" s="29">
        <v>40.24</v>
      </c>
      <c r="I218" s="142">
        <v>-39.199999999999996</v>
      </c>
      <c r="J218" s="29">
        <v>12.36</v>
      </c>
      <c r="K218" s="29">
        <v>9.2799999999999994</v>
      </c>
      <c r="L218" s="29">
        <v>30.96</v>
      </c>
      <c r="M218" s="368"/>
      <c r="N218" s="368"/>
      <c r="O218" s="271">
        <f>IFERROR(Table17[[#This Row],[PROFIT]]/Table17[[#This Row],[TO]],0)</f>
        <v>0</v>
      </c>
      <c r="P218" s="177"/>
      <c r="Q218" s="177"/>
      <c r="R218" s="177"/>
    </row>
    <row r="219" spans="1:18" hidden="1" x14ac:dyDescent="0.25">
      <c r="A219" s="29" t="s">
        <v>5304</v>
      </c>
      <c r="B219" s="29" t="s">
        <v>5303</v>
      </c>
      <c r="C219" s="29" t="s">
        <v>971</v>
      </c>
      <c r="D219" s="29" t="str">
        <f>VLOOKUP(C:C,'COUNT-CONT'!B:C,2,FALSE)</f>
        <v>Africa</v>
      </c>
      <c r="E219" s="29">
        <v>8</v>
      </c>
      <c r="F219" s="28">
        <v>3651</v>
      </c>
      <c r="G219" s="28">
        <v>5867487318</v>
      </c>
      <c r="H219" s="29">
        <v>40.15</v>
      </c>
      <c r="I219" s="142">
        <v>-39.29</v>
      </c>
      <c r="J219" s="29">
        <v>14.48</v>
      </c>
      <c r="K219" s="29">
        <v>11.85</v>
      </c>
      <c r="L219" s="29">
        <v>32.92</v>
      </c>
      <c r="M219" s="368"/>
      <c r="N219" s="368"/>
      <c r="O219" s="271">
        <f>IFERROR(Table17[[#This Row],[PROFIT]]/Table17[[#This Row],[TO]],0)</f>
        <v>0</v>
      </c>
      <c r="P219" s="177"/>
      <c r="Q219" s="177"/>
      <c r="R219" s="177"/>
    </row>
    <row r="220" spans="1:18" hidden="1" x14ac:dyDescent="0.25">
      <c r="A220" s="29" t="s">
        <v>383</v>
      </c>
      <c r="B220" s="29" t="s">
        <v>5000</v>
      </c>
      <c r="C220" s="29" t="s">
        <v>1070</v>
      </c>
      <c r="D220" s="29" t="str">
        <f>VLOOKUP(C:C,'COUNT-CONT'!B:C,2,FALSE)</f>
        <v>Asia</v>
      </c>
      <c r="E220" s="29">
        <v>8</v>
      </c>
      <c r="F220" s="28">
        <v>3013</v>
      </c>
      <c r="G220" s="28">
        <v>5266084633</v>
      </c>
      <c r="H220" s="29">
        <v>40.08</v>
      </c>
      <c r="I220" s="142">
        <v>-39.36</v>
      </c>
      <c r="J220" s="29">
        <v>9.31</v>
      </c>
      <c r="K220" s="29">
        <v>6.02</v>
      </c>
      <c r="L220" s="29">
        <v>27.45</v>
      </c>
      <c r="M220" s="368"/>
      <c r="N220" s="368"/>
      <c r="O220" s="271">
        <f>IFERROR(Table17[[#This Row],[PROFIT]]/Table17[[#This Row],[TO]],0)</f>
        <v>0</v>
      </c>
      <c r="P220" s="177"/>
      <c r="Q220" s="177"/>
      <c r="R220" s="177"/>
    </row>
    <row r="221" spans="1:18" hidden="1" x14ac:dyDescent="0.25">
      <c r="A221" s="29" t="s">
        <v>5339</v>
      </c>
      <c r="B221" s="29" t="s">
        <v>5338</v>
      </c>
      <c r="C221" s="29" t="s">
        <v>14</v>
      </c>
      <c r="D221" s="29" t="str">
        <f>VLOOKUP(C:C,'COUNT-CONT'!B:C,2,FALSE)</f>
        <v>Asia</v>
      </c>
      <c r="E221" s="29">
        <v>6</v>
      </c>
      <c r="F221" s="28">
        <v>3056</v>
      </c>
      <c r="G221" s="28">
        <v>6003347643</v>
      </c>
      <c r="H221" s="29">
        <v>39.96</v>
      </c>
      <c r="I221" s="142">
        <v>-39.479999999999997</v>
      </c>
      <c r="J221" s="29">
        <v>15.57</v>
      </c>
      <c r="K221" s="29">
        <v>12.85</v>
      </c>
      <c r="L221" s="29">
        <v>33.89</v>
      </c>
      <c r="M221" s="368"/>
      <c r="N221" s="368"/>
      <c r="O221" s="271">
        <f>IFERROR(Table17[[#This Row],[PROFIT]]/Table17[[#This Row],[TO]],0)</f>
        <v>0</v>
      </c>
      <c r="P221" s="177"/>
      <c r="Q221" s="177"/>
      <c r="R221" s="177"/>
    </row>
    <row r="222" spans="1:18" hidden="1" x14ac:dyDescent="0.25">
      <c r="A222" s="29" t="s">
        <v>5295</v>
      </c>
      <c r="B222" s="29" t="s">
        <v>5294</v>
      </c>
      <c r="C222" s="29" t="s">
        <v>971</v>
      </c>
      <c r="D222" s="29" t="str">
        <f>VLOOKUP(C:C,'COUNT-CONT'!B:C,2,FALSE)</f>
        <v>Africa</v>
      </c>
      <c r="E222" s="29">
        <v>9</v>
      </c>
      <c r="F222" s="28">
        <v>3945</v>
      </c>
      <c r="G222" s="28">
        <v>5846033967</v>
      </c>
      <c r="H222" s="29">
        <v>39.93</v>
      </c>
      <c r="I222" s="142">
        <v>-39.51</v>
      </c>
      <c r="J222" s="29">
        <v>14.39</v>
      </c>
      <c r="K222" s="29">
        <v>11.76</v>
      </c>
      <c r="L222" s="29">
        <v>32.74</v>
      </c>
      <c r="M222" s="368"/>
      <c r="N222" s="368"/>
      <c r="O222" s="271">
        <f>IFERROR(Table17[[#This Row],[PROFIT]]/Table17[[#This Row],[TO]],0)</f>
        <v>0</v>
      </c>
      <c r="P222" s="177"/>
      <c r="Q222" s="177"/>
      <c r="R222" s="177"/>
    </row>
    <row r="223" spans="1:18" ht="30" hidden="1" x14ac:dyDescent="0.25">
      <c r="A223" s="29" t="s">
        <v>5223</v>
      </c>
      <c r="B223" s="29" t="s">
        <v>5222</v>
      </c>
      <c r="C223" s="29" t="s">
        <v>4894</v>
      </c>
      <c r="D223" s="29" t="str">
        <f>VLOOKUP(C:C,'COUNT-CONT'!B:C,2,FALSE)</f>
        <v>North America</v>
      </c>
      <c r="E223" s="29">
        <v>7</v>
      </c>
      <c r="F223" s="28">
        <v>3162</v>
      </c>
      <c r="G223" s="28">
        <v>5649081087</v>
      </c>
      <c r="H223" s="29">
        <v>39.72</v>
      </c>
      <c r="I223" s="142">
        <v>-39.72</v>
      </c>
      <c r="J223" s="29">
        <v>13.03</v>
      </c>
      <c r="K223" s="29">
        <v>9.92</v>
      </c>
      <c r="L223" s="29">
        <v>31.05</v>
      </c>
      <c r="M223" s="368"/>
      <c r="N223" s="368"/>
      <c r="O223" s="271">
        <f>IFERROR(Table17[[#This Row],[PROFIT]]/Table17[[#This Row],[TO]],0)</f>
        <v>0</v>
      </c>
      <c r="P223" s="177"/>
      <c r="Q223" s="177"/>
      <c r="R223" s="177"/>
    </row>
    <row r="224" spans="1:18" ht="30" hidden="1" x14ac:dyDescent="0.25">
      <c r="A224" s="29" t="s">
        <v>5151</v>
      </c>
      <c r="B224" s="29" t="s">
        <v>5150</v>
      </c>
      <c r="C224" s="29" t="s">
        <v>714</v>
      </c>
      <c r="D224" s="29" t="str">
        <f>VLOOKUP(C:C,'COUNT-CONT'!B:C,2,FALSE)</f>
        <v>South America</v>
      </c>
      <c r="E224" s="29">
        <v>6</v>
      </c>
      <c r="F224" s="28">
        <v>2909</v>
      </c>
      <c r="G224" s="28">
        <v>5613936816</v>
      </c>
      <c r="H224" s="29">
        <v>39.6</v>
      </c>
      <c r="I224" s="142">
        <v>-39.839999999999996</v>
      </c>
      <c r="J224" s="29">
        <v>12</v>
      </c>
      <c r="K224" s="29">
        <v>8.98</v>
      </c>
      <c r="L224" s="29">
        <v>29.99</v>
      </c>
      <c r="M224" s="368"/>
      <c r="N224" s="368"/>
      <c r="O224" s="271">
        <f>IFERROR(Table17[[#This Row],[PROFIT]]/Table17[[#This Row],[TO]],0)</f>
        <v>0</v>
      </c>
      <c r="P224" s="177"/>
      <c r="Q224" s="177"/>
      <c r="R224" s="177"/>
    </row>
    <row r="225" spans="1:18" hidden="1" x14ac:dyDescent="0.25">
      <c r="A225" s="29" t="s">
        <v>5331</v>
      </c>
      <c r="B225" s="29" t="s">
        <v>5330</v>
      </c>
      <c r="C225" s="29" t="s">
        <v>14</v>
      </c>
      <c r="D225" s="29" t="str">
        <f>VLOOKUP(C:C,'COUNT-CONT'!B:C,2,FALSE)</f>
        <v>Asia</v>
      </c>
      <c r="E225" s="29">
        <v>9</v>
      </c>
      <c r="F225" s="28">
        <v>4023</v>
      </c>
      <c r="G225" s="28">
        <v>5951027790</v>
      </c>
      <c r="H225" s="29">
        <v>39.57</v>
      </c>
      <c r="I225" s="142">
        <v>-39.869999999999997</v>
      </c>
      <c r="J225" s="29">
        <v>15.42</v>
      </c>
      <c r="K225" s="29">
        <v>12.73</v>
      </c>
      <c r="L225" s="29">
        <v>33.56</v>
      </c>
      <c r="M225" s="368"/>
      <c r="N225" s="368"/>
      <c r="O225" s="271">
        <f>IFERROR(Table17[[#This Row],[PROFIT]]/Table17[[#This Row],[TO]],0)</f>
        <v>0</v>
      </c>
      <c r="P225" s="177"/>
      <c r="Q225" s="177"/>
      <c r="R225" s="177"/>
    </row>
    <row r="226" spans="1:18" ht="30" hidden="1" x14ac:dyDescent="0.25">
      <c r="A226" s="29" t="s">
        <v>304</v>
      </c>
      <c r="B226" s="29" t="s">
        <v>4967</v>
      </c>
      <c r="C226" s="29" t="s">
        <v>1070</v>
      </c>
      <c r="D226" s="29" t="str">
        <f>VLOOKUP(C:C,'COUNT-CONT'!B:C,2,FALSE)</f>
        <v>Asia</v>
      </c>
      <c r="E226" s="29">
        <v>9</v>
      </c>
      <c r="F226" s="28">
        <v>3294</v>
      </c>
      <c r="G226" s="28">
        <v>5212940497</v>
      </c>
      <c r="H226" s="29">
        <v>39.479999999999997</v>
      </c>
      <c r="I226" s="142">
        <v>-39.96</v>
      </c>
      <c r="J226" s="29">
        <v>9.19</v>
      </c>
      <c r="K226" s="29">
        <v>5.93</v>
      </c>
      <c r="L226" s="29">
        <v>27.06</v>
      </c>
      <c r="M226" s="368"/>
      <c r="N226" s="368"/>
      <c r="O226" s="271">
        <f>IFERROR(Table17[[#This Row],[PROFIT]]/Table17[[#This Row],[TO]],0)</f>
        <v>0</v>
      </c>
      <c r="P226" s="177"/>
      <c r="Q226" s="177"/>
      <c r="R226" s="177"/>
    </row>
    <row r="227" spans="1:18" hidden="1" x14ac:dyDescent="0.25">
      <c r="A227" s="29" t="s">
        <v>357</v>
      </c>
      <c r="B227" s="29" t="s">
        <v>5176</v>
      </c>
      <c r="C227" s="29" t="s">
        <v>332</v>
      </c>
      <c r="D227" s="29" t="str">
        <f>VLOOKUP(C:C,'COUNT-CONT'!B:C,2,FALSE)</f>
        <v>Asia</v>
      </c>
      <c r="E227" s="29">
        <v>9</v>
      </c>
      <c r="F227" s="28">
        <v>3556</v>
      </c>
      <c r="G227" s="28">
        <v>5584936332</v>
      </c>
      <c r="H227" s="29">
        <v>39.450000000000003</v>
      </c>
      <c r="I227" s="142">
        <v>-39.989999999999995</v>
      </c>
      <c r="J227" s="29">
        <v>12.12</v>
      </c>
      <c r="K227" s="29">
        <v>9.6999999999999993</v>
      </c>
      <c r="L227" s="29">
        <v>30.35</v>
      </c>
      <c r="M227" s="368"/>
      <c r="N227" s="368"/>
      <c r="O227" s="271">
        <f>IFERROR(Table17[[#This Row],[PROFIT]]/Table17[[#This Row],[TO]],0)</f>
        <v>0</v>
      </c>
      <c r="P227" s="177"/>
      <c r="Q227" s="177"/>
      <c r="R227" s="177"/>
    </row>
    <row r="228" spans="1:18" hidden="1" x14ac:dyDescent="0.25">
      <c r="A228" s="29" t="s">
        <v>5093</v>
      </c>
      <c r="B228" s="29" t="s">
        <v>5092</v>
      </c>
      <c r="C228" s="29" t="s">
        <v>1261</v>
      </c>
      <c r="D228" s="29" t="str">
        <f>VLOOKUP(C:C,'COUNT-CONT'!B:C,2,FALSE)</f>
        <v>Asia</v>
      </c>
      <c r="E228" s="29">
        <v>5</v>
      </c>
      <c r="F228" s="28">
        <v>2536</v>
      </c>
      <c r="G228" s="28">
        <v>5458953943</v>
      </c>
      <c r="H228" s="29">
        <v>39.42</v>
      </c>
      <c r="I228" s="142">
        <v>-40.019999999999996</v>
      </c>
      <c r="J228" s="29">
        <v>11</v>
      </c>
      <c r="K228" s="29">
        <v>8.1</v>
      </c>
      <c r="L228" s="29">
        <v>28.99</v>
      </c>
      <c r="M228" s="368"/>
      <c r="N228" s="368"/>
      <c r="O228" s="271">
        <f>IFERROR(Table17[[#This Row],[PROFIT]]/Table17[[#This Row],[TO]],0)</f>
        <v>0</v>
      </c>
      <c r="P228" s="177"/>
      <c r="Q228" s="177"/>
      <c r="R228" s="177"/>
    </row>
    <row r="229" spans="1:18" hidden="1" x14ac:dyDescent="0.25">
      <c r="A229" s="29" t="s">
        <v>5319</v>
      </c>
      <c r="B229" s="29" t="s">
        <v>5318</v>
      </c>
      <c r="C229" s="29" t="s">
        <v>14</v>
      </c>
      <c r="D229" s="29" t="str">
        <f>VLOOKUP(C:C,'COUNT-CONT'!B:C,2,FALSE)</f>
        <v>Asia</v>
      </c>
      <c r="E229" s="29">
        <v>7</v>
      </c>
      <c r="F229" s="28">
        <v>3378</v>
      </c>
      <c r="G229" s="28">
        <v>5926036471</v>
      </c>
      <c r="H229" s="29">
        <v>39.36</v>
      </c>
      <c r="I229" s="142">
        <v>-40.08</v>
      </c>
      <c r="J229" s="29">
        <v>15.33</v>
      </c>
      <c r="K229" s="29">
        <v>12.67</v>
      </c>
      <c r="L229" s="29">
        <v>33.340000000000003</v>
      </c>
      <c r="M229" s="368"/>
      <c r="N229" s="368"/>
      <c r="O229" s="271">
        <f>IFERROR(Table17[[#This Row],[PROFIT]]/Table17[[#This Row],[TO]],0)</f>
        <v>0</v>
      </c>
      <c r="P229" s="177"/>
      <c r="Q229" s="177"/>
      <c r="R229" s="177"/>
    </row>
    <row r="230" spans="1:18" hidden="1" x14ac:dyDescent="0.25">
      <c r="A230" s="29" t="s">
        <v>5706</v>
      </c>
      <c r="B230" s="29" t="s">
        <v>5705</v>
      </c>
      <c r="C230" s="29" t="s">
        <v>560</v>
      </c>
      <c r="D230" s="29" t="str">
        <f>VLOOKUP(C:C,'COUNT-CONT'!B:C,2,FALSE)</f>
        <v>Europe</v>
      </c>
      <c r="E230" s="29">
        <v>10</v>
      </c>
      <c r="F230" s="28">
        <v>8761</v>
      </c>
      <c r="G230" s="28">
        <v>8536556443</v>
      </c>
      <c r="H230" s="29">
        <v>39.36</v>
      </c>
      <c r="I230" s="142">
        <v>-40.08</v>
      </c>
      <c r="J230" s="29">
        <v>32.1</v>
      </c>
      <c r="K230" s="29">
        <v>32.1</v>
      </c>
      <c r="L230" s="29">
        <v>51.81</v>
      </c>
      <c r="M230" s="368"/>
      <c r="N230" s="368"/>
      <c r="O230" s="271">
        <f>IFERROR(Table17[[#This Row],[PROFIT]]/Table17[[#This Row],[TO]],0)</f>
        <v>0</v>
      </c>
      <c r="P230" s="177"/>
      <c r="Q230" s="177"/>
      <c r="R230" s="177"/>
    </row>
    <row r="231" spans="1:18" x14ac:dyDescent="0.25">
      <c r="A231" s="29" t="s">
        <v>5361</v>
      </c>
      <c r="B231" s="29" t="s">
        <v>5360</v>
      </c>
      <c r="C231" s="29" t="s">
        <v>730</v>
      </c>
      <c r="D231" s="29" t="str">
        <f>VLOOKUP(C:C,'COUNT-CONT'!B:C,2,FALSE)</f>
        <v>Oceania</v>
      </c>
      <c r="E231" s="29">
        <v>4</v>
      </c>
      <c r="F231" s="28">
        <v>2511</v>
      </c>
      <c r="G231" s="28">
        <v>6252072481</v>
      </c>
      <c r="H231" s="29">
        <v>39.299999999999997</v>
      </c>
      <c r="I231" s="142">
        <v>-40.14</v>
      </c>
      <c r="J231" s="29">
        <v>16.54</v>
      </c>
      <c r="K231" s="29">
        <v>13.78</v>
      </c>
      <c r="L231" s="29">
        <v>34.49</v>
      </c>
      <c r="M231" s="368"/>
      <c r="N231" s="368"/>
      <c r="O231" s="271">
        <f>IFERROR(Table17[[#This Row],[PROFIT]]/Table17[[#This Row],[TO]],0)</f>
        <v>0</v>
      </c>
      <c r="P231" s="177"/>
      <c r="Q231" s="177"/>
      <c r="R231" s="177"/>
    </row>
    <row r="232" spans="1:18" hidden="1" x14ac:dyDescent="0.25">
      <c r="A232" s="29" t="s">
        <v>4969</v>
      </c>
      <c r="B232" s="29" t="s">
        <v>4968</v>
      </c>
      <c r="C232" s="29" t="s">
        <v>2764</v>
      </c>
      <c r="D232" s="29" t="str">
        <f>VLOOKUP(C:C,'COUNT-CONT'!B:C,2,FALSE)</f>
        <v>Asia</v>
      </c>
      <c r="E232" s="29">
        <v>10</v>
      </c>
      <c r="F232" s="28">
        <v>4444</v>
      </c>
      <c r="G232" s="28">
        <v>5284724752</v>
      </c>
      <c r="H232" s="29">
        <v>38.97</v>
      </c>
      <c r="I232" s="142">
        <v>-40.47</v>
      </c>
      <c r="J232" s="29">
        <v>9.73</v>
      </c>
      <c r="K232" s="29">
        <v>5.96</v>
      </c>
      <c r="L232" s="29">
        <v>27.06</v>
      </c>
      <c r="M232" s="368"/>
      <c r="N232" s="368"/>
      <c r="O232" s="271">
        <f>IFERROR(Table17[[#This Row],[PROFIT]]/Table17[[#This Row],[TO]],0)</f>
        <v>0</v>
      </c>
      <c r="P232" s="177"/>
      <c r="Q232" s="177"/>
      <c r="R232" s="177"/>
    </row>
    <row r="233" spans="1:18" x14ac:dyDescent="0.25">
      <c r="A233" s="29" t="s">
        <v>126</v>
      </c>
      <c r="B233" s="29" t="s">
        <v>5593</v>
      </c>
      <c r="C233" s="29" t="s">
        <v>774</v>
      </c>
      <c r="D233" s="29" t="str">
        <f>VLOOKUP(C:C,'COUNT-CONT'!B:C,2,FALSE)</f>
        <v>Oceania</v>
      </c>
      <c r="E233" s="29">
        <v>10</v>
      </c>
      <c r="F233" s="28">
        <v>5235</v>
      </c>
      <c r="G233" s="28">
        <v>7079524164</v>
      </c>
      <c r="H233" s="29">
        <v>38.909999999999997</v>
      </c>
      <c r="I233" s="142">
        <v>-40.53</v>
      </c>
      <c r="J233" s="29">
        <v>23.19</v>
      </c>
      <c r="K233" s="29">
        <v>21.52</v>
      </c>
      <c r="L233" s="29">
        <v>41.41</v>
      </c>
      <c r="M233" s="368"/>
      <c r="N233" s="368"/>
      <c r="O233" s="271">
        <f>IFERROR(Table17[[#This Row],[PROFIT]]/Table17[[#This Row],[TO]],0)</f>
        <v>0</v>
      </c>
      <c r="P233" s="177"/>
      <c r="Q233" s="177"/>
      <c r="R233" s="177"/>
    </row>
    <row r="234" spans="1:18" hidden="1" x14ac:dyDescent="0.25">
      <c r="A234" s="29" t="s">
        <v>180</v>
      </c>
      <c r="B234" s="29" t="s">
        <v>5307</v>
      </c>
      <c r="C234" s="29" t="s">
        <v>1456</v>
      </c>
      <c r="D234" s="29" t="str">
        <f>VLOOKUP(C:C,'COUNT-CONT'!B:C,2,FALSE)</f>
        <v>Asia</v>
      </c>
      <c r="E234" s="29">
        <v>10</v>
      </c>
      <c r="F234" s="28">
        <v>4446</v>
      </c>
      <c r="G234" s="28">
        <v>5882313405</v>
      </c>
      <c r="H234" s="29">
        <v>38.880000000000003</v>
      </c>
      <c r="I234" s="142">
        <v>-40.559999999999995</v>
      </c>
      <c r="J234" s="29">
        <v>15.15</v>
      </c>
      <c r="K234" s="29">
        <v>12.52</v>
      </c>
      <c r="L234" s="29">
        <v>32.950000000000003</v>
      </c>
      <c r="M234" s="368"/>
      <c r="N234" s="368"/>
      <c r="O234" s="271">
        <f>IFERROR(Table17[[#This Row],[PROFIT]]/Table17[[#This Row],[TO]],0)</f>
        <v>0</v>
      </c>
      <c r="P234" s="177"/>
      <c r="Q234" s="177"/>
      <c r="R234" s="177"/>
    </row>
    <row r="235" spans="1:18" hidden="1" x14ac:dyDescent="0.25">
      <c r="A235" s="29" t="s">
        <v>4716</v>
      </c>
      <c r="B235" s="29" t="s">
        <v>4715</v>
      </c>
      <c r="C235" s="29" t="s">
        <v>1516</v>
      </c>
      <c r="D235" s="29" t="str">
        <f>VLOOKUP(C:C,'COUNT-CONT'!B:C,2,FALSE)</f>
        <v>Africa</v>
      </c>
      <c r="E235" s="29">
        <v>8</v>
      </c>
      <c r="F235" s="28">
        <v>3208</v>
      </c>
      <c r="G235" s="28">
        <v>4935692768</v>
      </c>
      <c r="H235" s="29">
        <v>38.81</v>
      </c>
      <c r="I235" s="142">
        <v>-40.629999999999995</v>
      </c>
      <c r="J235" s="29">
        <v>6.77</v>
      </c>
      <c r="K235" s="29">
        <v>3.39</v>
      </c>
      <c r="L235" s="29">
        <v>24.27</v>
      </c>
      <c r="M235" s="368"/>
      <c r="N235" s="368"/>
      <c r="O235" s="271">
        <f>IFERROR(Table17[[#This Row],[PROFIT]]/Table17[[#This Row],[TO]],0)</f>
        <v>0</v>
      </c>
      <c r="P235" s="177"/>
      <c r="Q235" s="177"/>
      <c r="R235" s="177"/>
    </row>
    <row r="236" spans="1:18" hidden="1" x14ac:dyDescent="0.25">
      <c r="A236" s="29" t="s">
        <v>5300</v>
      </c>
      <c r="B236" s="29" t="s">
        <v>5299</v>
      </c>
      <c r="C236" s="29" t="s">
        <v>14</v>
      </c>
      <c r="D236" s="29" t="str">
        <f>VLOOKUP(C:C,'COUNT-CONT'!B:C,2,FALSE)</f>
        <v>Asia</v>
      </c>
      <c r="E236" s="29">
        <v>10</v>
      </c>
      <c r="F236" s="28">
        <v>4293</v>
      </c>
      <c r="G236" s="28">
        <v>5855431073</v>
      </c>
      <c r="H236" s="29">
        <v>38.75</v>
      </c>
      <c r="I236" s="142">
        <v>-40.69</v>
      </c>
      <c r="J236" s="29">
        <v>15.11</v>
      </c>
      <c r="K236" s="29">
        <v>12.48</v>
      </c>
      <c r="L236" s="29">
        <v>32.86</v>
      </c>
      <c r="M236" s="368"/>
      <c r="N236" s="368"/>
      <c r="O236" s="271">
        <f>IFERROR(Table17[[#This Row],[PROFIT]]/Table17[[#This Row],[TO]],0)</f>
        <v>0</v>
      </c>
      <c r="P236" s="177"/>
      <c r="Q236" s="177"/>
      <c r="R236" s="177"/>
    </row>
    <row r="237" spans="1:18" ht="30" hidden="1" x14ac:dyDescent="0.25">
      <c r="A237" s="29" t="s">
        <v>404</v>
      </c>
      <c r="B237" s="29" t="s">
        <v>5701</v>
      </c>
      <c r="C237" s="29" t="s">
        <v>11732</v>
      </c>
      <c r="D237" s="29" t="str">
        <f>VLOOKUP(C:C,'COUNT-CONT'!B:C,2,FALSE)</f>
        <v>North America</v>
      </c>
      <c r="E237" s="29">
        <v>9</v>
      </c>
      <c r="F237" s="28">
        <v>7668</v>
      </c>
      <c r="G237" s="28">
        <v>8378253312</v>
      </c>
      <c r="H237" s="29">
        <v>38.630000000000003</v>
      </c>
      <c r="I237" s="142">
        <v>-40.809999999999995</v>
      </c>
      <c r="J237" s="29">
        <v>31.5</v>
      </c>
      <c r="K237" s="29">
        <v>31.5</v>
      </c>
      <c r="L237" s="29">
        <v>50.85</v>
      </c>
      <c r="M237" s="368"/>
      <c r="N237" s="368"/>
      <c r="O237" s="271">
        <f>IFERROR(Table17[[#This Row],[PROFIT]]/Table17[[#This Row],[TO]],0)</f>
        <v>0</v>
      </c>
      <c r="P237" s="177"/>
      <c r="Q237" s="177"/>
      <c r="R237" s="177"/>
    </row>
    <row r="238" spans="1:18" ht="30" x14ac:dyDescent="0.25">
      <c r="A238" s="29" t="s">
        <v>4818</v>
      </c>
      <c r="B238" s="29" t="s">
        <v>4817</v>
      </c>
      <c r="C238" s="29" t="s">
        <v>1865</v>
      </c>
      <c r="D238" s="29" t="str">
        <f>VLOOKUP(C:C,'COUNT-CONT'!B:C,2,FALSE)</f>
        <v>Oceania</v>
      </c>
      <c r="E238" s="29">
        <v>7</v>
      </c>
      <c r="F238" s="28">
        <v>3671</v>
      </c>
      <c r="G238" s="28">
        <v>4912845873</v>
      </c>
      <c r="H238" s="29">
        <v>38.6</v>
      </c>
      <c r="I238" s="142">
        <v>-40.839999999999996</v>
      </c>
      <c r="J238" s="29">
        <v>8.1</v>
      </c>
      <c r="K238" s="29">
        <v>4.5599999999999996</v>
      </c>
      <c r="L238" s="29">
        <v>25.39</v>
      </c>
      <c r="M238" s="368"/>
      <c r="N238" s="368"/>
      <c r="O238" s="271">
        <f>IFERROR(Table17[[#This Row],[PROFIT]]/Table17[[#This Row],[TO]],0)</f>
        <v>0</v>
      </c>
      <c r="P238" s="177"/>
      <c r="Q238" s="177"/>
      <c r="R238" s="177"/>
    </row>
    <row r="239" spans="1:18" hidden="1" x14ac:dyDescent="0.25">
      <c r="A239" s="29" t="s">
        <v>4756</v>
      </c>
      <c r="B239" s="29" t="s">
        <v>4755</v>
      </c>
      <c r="C239" s="29" t="s">
        <v>1289</v>
      </c>
      <c r="D239" s="29" t="str">
        <f>VLOOKUP(C:C,'COUNT-CONT'!B:C,2,FALSE)</f>
        <v>Asia</v>
      </c>
      <c r="E239" s="29">
        <v>10</v>
      </c>
      <c r="F239" s="28">
        <v>5103</v>
      </c>
      <c r="G239" s="28">
        <v>4897559552</v>
      </c>
      <c r="H239" s="29">
        <v>38.57</v>
      </c>
      <c r="I239" s="142">
        <v>-40.869999999999997</v>
      </c>
      <c r="J239" s="29">
        <v>7.41</v>
      </c>
      <c r="K239" s="29">
        <v>3.93</v>
      </c>
      <c r="L239" s="29">
        <v>24.73</v>
      </c>
      <c r="M239" s="368"/>
      <c r="N239" s="368"/>
      <c r="O239" s="271">
        <f>IFERROR(Table17[[#This Row],[PROFIT]]/Table17[[#This Row],[TO]],0)</f>
        <v>0</v>
      </c>
      <c r="P239" s="177"/>
      <c r="Q239" s="177"/>
      <c r="R239" s="177"/>
    </row>
    <row r="240" spans="1:18" hidden="1" x14ac:dyDescent="0.25">
      <c r="A240" s="29" t="s">
        <v>5128</v>
      </c>
      <c r="B240" s="29" t="s">
        <v>5127</v>
      </c>
      <c r="C240" s="29" t="s">
        <v>700</v>
      </c>
      <c r="D240" s="29" t="str">
        <f>VLOOKUP(C:C,'COUNT-CONT'!B:C,2,FALSE)</f>
        <v>Asia</v>
      </c>
      <c r="E240" s="29">
        <v>8</v>
      </c>
      <c r="F240" s="28">
        <v>3463</v>
      </c>
      <c r="G240" s="28">
        <v>5472443661</v>
      </c>
      <c r="H240" s="29">
        <v>38.450000000000003</v>
      </c>
      <c r="I240" s="142">
        <v>-40.989999999999995</v>
      </c>
      <c r="J240" s="29">
        <v>11.82</v>
      </c>
      <c r="K240" s="29">
        <v>8.86</v>
      </c>
      <c r="L240" s="29">
        <v>29.59</v>
      </c>
      <c r="M240" s="368"/>
      <c r="N240" s="368"/>
      <c r="O240" s="271">
        <f>IFERROR(Table17[[#This Row],[PROFIT]]/Table17[[#This Row],[TO]],0)</f>
        <v>0</v>
      </c>
      <c r="P240" s="177"/>
      <c r="Q240" s="177"/>
      <c r="R240" s="177"/>
    </row>
    <row r="241" spans="1:18" hidden="1" x14ac:dyDescent="0.25">
      <c r="A241" s="29" t="s">
        <v>4631</v>
      </c>
      <c r="B241" s="29" t="s">
        <v>4630</v>
      </c>
      <c r="C241" s="29" t="s">
        <v>1441</v>
      </c>
      <c r="D241" s="29" t="str">
        <f>VLOOKUP(C:C,'COUNT-CONT'!B:C,2,FALSE)</f>
        <v>Africa</v>
      </c>
      <c r="E241" s="29">
        <v>10</v>
      </c>
      <c r="F241" s="28">
        <v>3608</v>
      </c>
      <c r="G241" s="28">
        <v>4900978048</v>
      </c>
      <c r="H241" s="29">
        <v>38.42</v>
      </c>
      <c r="I241" s="142">
        <v>-41.019999999999996</v>
      </c>
      <c r="J241" s="29">
        <v>6.08</v>
      </c>
      <c r="K241" s="29">
        <v>2.81</v>
      </c>
      <c r="L241" s="29">
        <v>23.43</v>
      </c>
      <c r="M241" s="368"/>
      <c r="N241" s="368"/>
      <c r="O241" s="271">
        <f>IFERROR(Table17[[#This Row],[PROFIT]]/Table17[[#This Row],[TO]],0)</f>
        <v>0</v>
      </c>
      <c r="P241" s="177"/>
      <c r="Q241" s="177"/>
      <c r="R241" s="177"/>
    </row>
    <row r="242" spans="1:18" hidden="1" x14ac:dyDescent="0.25">
      <c r="A242" s="29" t="s">
        <v>5272</v>
      </c>
      <c r="B242" s="29" t="s">
        <v>5271</v>
      </c>
      <c r="C242" s="29" t="s">
        <v>14</v>
      </c>
      <c r="D242" s="29" t="str">
        <f>VLOOKUP(C:C,'COUNT-CONT'!B:C,2,FALSE)</f>
        <v>Asia</v>
      </c>
      <c r="E242" s="29">
        <v>9</v>
      </c>
      <c r="F242" s="28">
        <v>3917</v>
      </c>
      <c r="G242" s="28">
        <v>5806427163</v>
      </c>
      <c r="H242" s="29">
        <v>38.24</v>
      </c>
      <c r="I242" s="142">
        <v>-41.199999999999996</v>
      </c>
      <c r="J242" s="29">
        <v>14.9</v>
      </c>
      <c r="K242" s="29">
        <v>12.3</v>
      </c>
      <c r="L242" s="29">
        <v>32.409999999999997</v>
      </c>
      <c r="M242" s="368"/>
      <c r="N242" s="368"/>
      <c r="O242" s="271">
        <f>IFERROR(Table17[[#This Row],[PROFIT]]/Table17[[#This Row],[TO]],0)</f>
        <v>0</v>
      </c>
      <c r="P242" s="177"/>
      <c r="Q242" s="177"/>
      <c r="R242" s="177"/>
    </row>
    <row r="243" spans="1:18" hidden="1" x14ac:dyDescent="0.25">
      <c r="A243" s="29" t="s">
        <v>5035</v>
      </c>
      <c r="B243" s="29" t="s">
        <v>5034</v>
      </c>
      <c r="C243" s="29" t="s">
        <v>502</v>
      </c>
      <c r="D243" s="29" t="str">
        <f>VLOOKUP(C:C,'COUNT-CONT'!B:C,2,FALSE)</f>
        <v>Asia</v>
      </c>
      <c r="E243" s="29">
        <v>10</v>
      </c>
      <c r="F243" s="28">
        <v>5418</v>
      </c>
      <c r="G243" s="28">
        <v>5379626947</v>
      </c>
      <c r="H243" s="29">
        <v>38.21</v>
      </c>
      <c r="I243" s="142">
        <v>-41.23</v>
      </c>
      <c r="J243" s="29">
        <v>10.67</v>
      </c>
      <c r="K243" s="29">
        <v>7.86</v>
      </c>
      <c r="L243" s="29">
        <v>28.08</v>
      </c>
      <c r="M243" s="368"/>
      <c r="N243" s="368"/>
      <c r="O243" s="271">
        <f>IFERROR(Table17[[#This Row],[PROFIT]]/Table17[[#This Row],[TO]],0)</f>
        <v>0</v>
      </c>
      <c r="P243" s="177"/>
      <c r="Q243" s="177"/>
      <c r="R243" s="177"/>
    </row>
    <row r="244" spans="1:18" hidden="1" x14ac:dyDescent="0.25">
      <c r="A244" s="29" t="s">
        <v>5265</v>
      </c>
      <c r="B244" s="29" t="s">
        <v>5264</v>
      </c>
      <c r="C244" s="29" t="s">
        <v>14</v>
      </c>
      <c r="D244" s="29" t="str">
        <f>VLOOKUP(C:C,'COUNT-CONT'!B:C,2,FALSE)</f>
        <v>Asia</v>
      </c>
      <c r="E244" s="29">
        <v>8</v>
      </c>
      <c r="F244" s="28">
        <v>3413</v>
      </c>
      <c r="G244" s="28">
        <v>5782297099</v>
      </c>
      <c r="H244" s="29">
        <v>38.03</v>
      </c>
      <c r="I244" s="142">
        <v>-41.41</v>
      </c>
      <c r="J244" s="29">
        <v>14.81</v>
      </c>
      <c r="K244" s="29">
        <v>12.24</v>
      </c>
      <c r="L244" s="29">
        <v>32.22</v>
      </c>
      <c r="M244" s="368"/>
      <c r="N244" s="368"/>
      <c r="O244" s="271">
        <f>IFERROR(Table17[[#This Row],[PROFIT]]/Table17[[#This Row],[TO]],0)</f>
        <v>0</v>
      </c>
      <c r="P244" s="177"/>
      <c r="Q244" s="177"/>
      <c r="R244" s="177"/>
    </row>
    <row r="245" spans="1:18" ht="30" hidden="1" x14ac:dyDescent="0.25">
      <c r="A245" s="29" t="s">
        <v>5110</v>
      </c>
      <c r="B245" s="29" t="s">
        <v>5109</v>
      </c>
      <c r="C245" s="29" t="s">
        <v>1683</v>
      </c>
      <c r="D245" s="29" t="str">
        <f>VLOOKUP(C:C,'COUNT-CONT'!B:C,2,FALSE)</f>
        <v>Europe</v>
      </c>
      <c r="E245" s="29">
        <v>10</v>
      </c>
      <c r="F245" s="28">
        <v>3901</v>
      </c>
      <c r="G245" s="28">
        <v>5488778979</v>
      </c>
      <c r="H245" s="29">
        <v>38</v>
      </c>
      <c r="I245" s="142">
        <v>-41.44</v>
      </c>
      <c r="J245" s="29">
        <v>12.27</v>
      </c>
      <c r="K245" s="29">
        <v>8.77</v>
      </c>
      <c r="L245" s="29">
        <v>29.23</v>
      </c>
      <c r="M245" s="368"/>
      <c r="N245" s="368"/>
      <c r="O245" s="271">
        <f>IFERROR(Table17[[#This Row],[PROFIT]]/Table17[[#This Row],[TO]],0)</f>
        <v>0</v>
      </c>
      <c r="P245" s="177"/>
      <c r="Q245" s="177"/>
      <c r="R245" s="177"/>
    </row>
    <row r="246" spans="1:18" hidden="1" x14ac:dyDescent="0.25">
      <c r="A246" s="29" t="s">
        <v>240</v>
      </c>
      <c r="B246" s="29" t="s">
        <v>4876</v>
      </c>
      <c r="C246" s="29" t="s">
        <v>1070</v>
      </c>
      <c r="D246" s="29" t="str">
        <f>VLOOKUP(C:C,'COUNT-CONT'!B:C,2,FALSE)</f>
        <v>Asia</v>
      </c>
      <c r="E246" s="29">
        <v>8</v>
      </c>
      <c r="F246" s="28">
        <v>2915</v>
      </c>
      <c r="G246" s="28">
        <v>5078758490</v>
      </c>
      <c r="H246" s="29">
        <v>38</v>
      </c>
      <c r="I246" s="142">
        <v>-41.44</v>
      </c>
      <c r="J246" s="29">
        <v>8.83</v>
      </c>
      <c r="K246" s="29">
        <v>5.71</v>
      </c>
      <c r="L246" s="29">
        <v>26.03</v>
      </c>
      <c r="M246" s="368"/>
      <c r="N246" s="368"/>
      <c r="O246" s="271">
        <f>IFERROR(Table17[[#This Row],[PROFIT]]/Table17[[#This Row],[TO]],0)</f>
        <v>0</v>
      </c>
      <c r="P246" s="177"/>
      <c r="Q246" s="177"/>
      <c r="R246" s="177"/>
    </row>
    <row r="247" spans="1:18" hidden="1" x14ac:dyDescent="0.25">
      <c r="A247" s="29" t="s">
        <v>5619</v>
      </c>
      <c r="B247" s="29" t="s">
        <v>5618</v>
      </c>
      <c r="C247" s="29" t="s">
        <v>119</v>
      </c>
      <c r="D247" s="29" t="str">
        <f>VLOOKUP(C:C,'COUNT-CONT'!B:C,2,FALSE)</f>
        <v>Europe</v>
      </c>
      <c r="E247" s="29">
        <v>9</v>
      </c>
      <c r="F247" s="28">
        <v>5478</v>
      </c>
      <c r="G247" s="28">
        <v>7276203212</v>
      </c>
      <c r="H247" s="29">
        <v>37.909999999999997</v>
      </c>
      <c r="I247" s="142">
        <v>-41.53</v>
      </c>
      <c r="J247" s="29">
        <v>25</v>
      </c>
      <c r="K247" s="29">
        <v>24.12</v>
      </c>
      <c r="L247" s="29">
        <v>43.11</v>
      </c>
      <c r="M247" s="368"/>
      <c r="N247" s="368"/>
      <c r="O247" s="271">
        <f>IFERROR(Table17[[#This Row],[PROFIT]]/Table17[[#This Row],[TO]],0)</f>
        <v>0</v>
      </c>
      <c r="P247" s="177"/>
      <c r="Q247" s="177"/>
      <c r="R247" s="177"/>
    </row>
    <row r="248" spans="1:18" ht="30" hidden="1" x14ac:dyDescent="0.25">
      <c r="A248" s="29" t="s">
        <v>9</v>
      </c>
      <c r="B248" s="29" t="s">
        <v>5617</v>
      </c>
      <c r="C248" s="29" t="s">
        <v>514</v>
      </c>
      <c r="D248" s="29" t="str">
        <f>VLOOKUP(C:C,'COUNT-CONT'!B:C,2,FALSE)</f>
        <v>North America</v>
      </c>
      <c r="E248" s="29">
        <v>10</v>
      </c>
      <c r="F248" s="28">
        <v>5740</v>
      </c>
      <c r="G248" s="28">
        <v>7280737630</v>
      </c>
      <c r="H248" s="29">
        <v>37.909999999999997</v>
      </c>
      <c r="I248" s="142">
        <v>-41.53</v>
      </c>
      <c r="J248" s="29">
        <v>24.97</v>
      </c>
      <c r="K248" s="29">
        <v>24.12</v>
      </c>
      <c r="L248" s="29">
        <v>43.08</v>
      </c>
      <c r="M248" s="368"/>
      <c r="N248" s="368"/>
      <c r="O248" s="271">
        <f>IFERROR(Table17[[#This Row],[PROFIT]]/Table17[[#This Row],[TO]],0)</f>
        <v>0</v>
      </c>
      <c r="P248" s="177"/>
      <c r="Q248" s="177"/>
      <c r="R248" s="177"/>
    </row>
    <row r="249" spans="1:18" hidden="1" x14ac:dyDescent="0.25">
      <c r="A249" s="29" t="s">
        <v>366</v>
      </c>
      <c r="B249" s="29" t="s">
        <v>5263</v>
      </c>
      <c r="C249" s="29" t="s">
        <v>14</v>
      </c>
      <c r="D249" s="29" t="str">
        <f>VLOOKUP(C:C,'COUNT-CONT'!B:C,2,FALSE)</f>
        <v>Asia</v>
      </c>
      <c r="E249" s="29">
        <v>9</v>
      </c>
      <c r="F249" s="28">
        <v>3889</v>
      </c>
      <c r="G249" s="28">
        <v>5766849061</v>
      </c>
      <c r="H249" s="29">
        <v>37.880000000000003</v>
      </c>
      <c r="I249" s="142">
        <v>-41.559999999999995</v>
      </c>
      <c r="J249" s="29">
        <v>14.75</v>
      </c>
      <c r="K249" s="29">
        <v>12.18</v>
      </c>
      <c r="L249" s="29">
        <v>32.1</v>
      </c>
      <c r="M249" s="368"/>
      <c r="N249" s="368"/>
      <c r="O249" s="271">
        <f>IFERROR(Table17[[#This Row],[PROFIT]]/Table17[[#This Row],[TO]],0)</f>
        <v>0</v>
      </c>
      <c r="P249" s="177"/>
      <c r="Q249" s="177"/>
      <c r="R249" s="177"/>
    </row>
    <row r="250" spans="1:18" hidden="1" x14ac:dyDescent="0.25">
      <c r="A250" s="29" t="s">
        <v>128</v>
      </c>
      <c r="B250" s="29" t="s">
        <v>5188</v>
      </c>
      <c r="C250" s="29" t="s">
        <v>709</v>
      </c>
      <c r="D250" s="29" t="str">
        <f>VLOOKUP(C:C,'COUNT-CONT'!B:C,2,FALSE)</f>
        <v>Asia</v>
      </c>
      <c r="E250" s="29">
        <v>10</v>
      </c>
      <c r="F250" s="28">
        <v>3939</v>
      </c>
      <c r="G250" s="28">
        <v>5574458695</v>
      </c>
      <c r="H250" s="29">
        <v>37.79</v>
      </c>
      <c r="I250" s="142">
        <v>-41.65</v>
      </c>
      <c r="J250" s="29">
        <v>13.39</v>
      </c>
      <c r="K250" s="29">
        <v>10.34</v>
      </c>
      <c r="L250" s="29">
        <v>30.47</v>
      </c>
      <c r="M250" s="368"/>
      <c r="N250" s="368"/>
      <c r="O250" s="271">
        <f>IFERROR(Table17[[#This Row],[PROFIT]]/Table17[[#This Row],[TO]],0)</f>
        <v>0</v>
      </c>
      <c r="P250" s="177"/>
      <c r="Q250" s="177"/>
      <c r="R250" s="177"/>
    </row>
    <row r="251" spans="1:18" ht="30" hidden="1" x14ac:dyDescent="0.25">
      <c r="A251" s="29" t="s">
        <v>4529</v>
      </c>
      <c r="B251" s="29" t="s">
        <v>4528</v>
      </c>
      <c r="C251" s="29" t="s">
        <v>499</v>
      </c>
      <c r="D251" s="29" t="str">
        <f>VLOOKUP(C:C,'COUNT-CONT'!B:C,2,FALSE)</f>
        <v>Africa</v>
      </c>
      <c r="E251" s="29">
        <v>8</v>
      </c>
      <c r="F251" s="28">
        <v>3167</v>
      </c>
      <c r="G251" s="28">
        <v>4795331859</v>
      </c>
      <c r="H251" s="29">
        <v>37.729999999999997</v>
      </c>
      <c r="I251" s="142">
        <v>-41.71</v>
      </c>
      <c r="J251" s="29">
        <v>5.89</v>
      </c>
      <c r="K251" s="29">
        <v>2.27</v>
      </c>
      <c r="L251" s="29">
        <v>22.73</v>
      </c>
      <c r="M251" s="368"/>
      <c r="N251" s="368"/>
      <c r="O251" s="271">
        <f>IFERROR(Table17[[#This Row],[PROFIT]]/Table17[[#This Row],[TO]],0)</f>
        <v>0</v>
      </c>
      <c r="P251" s="177"/>
      <c r="Q251" s="177"/>
      <c r="R251" s="177"/>
    </row>
    <row r="252" spans="1:18" ht="30" hidden="1" x14ac:dyDescent="0.25">
      <c r="A252" s="29" t="s">
        <v>5613</v>
      </c>
      <c r="B252" s="29" t="s">
        <v>5612</v>
      </c>
      <c r="C252" s="29" t="s">
        <v>514</v>
      </c>
      <c r="D252" s="29" t="str">
        <f>VLOOKUP(C:C,'COUNT-CONT'!B:C,2,FALSE)</f>
        <v>North America</v>
      </c>
      <c r="E252" s="29">
        <v>10</v>
      </c>
      <c r="F252" s="28">
        <v>6547</v>
      </c>
      <c r="G252" s="28">
        <v>7274515885</v>
      </c>
      <c r="H252" s="29">
        <v>37.700000000000003</v>
      </c>
      <c r="I252" s="142">
        <v>-41.739999999999995</v>
      </c>
      <c r="J252" s="29">
        <v>24.85</v>
      </c>
      <c r="K252" s="29">
        <v>23.97</v>
      </c>
      <c r="L252" s="29">
        <v>42.84</v>
      </c>
      <c r="M252" s="368"/>
      <c r="N252" s="368"/>
      <c r="O252" s="271">
        <f>IFERROR(Table17[[#This Row],[PROFIT]]/Table17[[#This Row],[TO]],0)</f>
        <v>0</v>
      </c>
      <c r="P252" s="177"/>
      <c r="Q252" s="177"/>
      <c r="R252" s="177"/>
    </row>
    <row r="253" spans="1:18" ht="30" hidden="1" x14ac:dyDescent="0.25">
      <c r="A253" s="29" t="s">
        <v>5587</v>
      </c>
      <c r="B253" s="29" t="s">
        <v>5586</v>
      </c>
      <c r="C253" s="29" t="s">
        <v>1427</v>
      </c>
      <c r="D253" s="29" t="str">
        <f>VLOOKUP(C:C,'COUNT-CONT'!B:C,2,FALSE)</f>
        <v>Europe</v>
      </c>
      <c r="E253" s="29">
        <v>10</v>
      </c>
      <c r="F253" s="28">
        <v>6009</v>
      </c>
      <c r="G253" s="28">
        <v>7005758745</v>
      </c>
      <c r="H253" s="29">
        <v>37.64</v>
      </c>
      <c r="I253" s="142">
        <v>-41.8</v>
      </c>
      <c r="J253" s="29">
        <v>22.88</v>
      </c>
      <c r="K253" s="29">
        <v>21.25</v>
      </c>
      <c r="L253" s="29">
        <v>40.9</v>
      </c>
      <c r="M253" s="368"/>
      <c r="N253" s="368"/>
      <c r="O253" s="271">
        <f>IFERROR(Table17[[#This Row],[PROFIT]]/Table17[[#This Row],[TO]],0)</f>
        <v>0</v>
      </c>
      <c r="P253" s="177"/>
      <c r="Q253" s="177"/>
      <c r="R253" s="177"/>
    </row>
    <row r="254" spans="1:18" hidden="1" x14ac:dyDescent="0.25">
      <c r="A254" s="29" t="s">
        <v>4562</v>
      </c>
      <c r="B254" s="29" t="s">
        <v>4561</v>
      </c>
      <c r="C254" s="29" t="s">
        <v>637</v>
      </c>
      <c r="D254" s="29" t="str">
        <f>VLOOKUP(C:C,'COUNT-CONT'!B:C,2,FALSE)</f>
        <v>Africa</v>
      </c>
      <c r="E254" s="29">
        <v>10</v>
      </c>
      <c r="F254" s="28">
        <v>3804</v>
      </c>
      <c r="G254" s="28">
        <v>4830169295</v>
      </c>
      <c r="H254" s="29">
        <v>37.61</v>
      </c>
      <c r="I254" s="142">
        <v>-41.83</v>
      </c>
      <c r="J254" s="29">
        <v>5.96</v>
      </c>
      <c r="K254" s="29">
        <v>2.27</v>
      </c>
      <c r="L254" s="29">
        <v>22.94</v>
      </c>
      <c r="M254" s="368"/>
      <c r="N254" s="368"/>
      <c r="O254" s="271">
        <f>IFERROR(Table17[[#This Row],[PROFIT]]/Table17[[#This Row],[TO]],0)</f>
        <v>0</v>
      </c>
      <c r="P254" s="177"/>
      <c r="Q254" s="177"/>
      <c r="R254" s="177"/>
    </row>
    <row r="255" spans="1:18" hidden="1" x14ac:dyDescent="0.25">
      <c r="A255" s="29" t="s">
        <v>5585</v>
      </c>
      <c r="B255" s="29" t="s">
        <v>5584</v>
      </c>
      <c r="C255" s="29" t="s">
        <v>1427</v>
      </c>
      <c r="D255" s="29" t="str">
        <f>VLOOKUP(C:C,'COUNT-CONT'!B:C,2,FALSE)</f>
        <v>Europe</v>
      </c>
      <c r="E255" s="29">
        <v>10</v>
      </c>
      <c r="F255" s="28">
        <v>5264</v>
      </c>
      <c r="G255" s="28">
        <v>6981466565</v>
      </c>
      <c r="H255" s="29">
        <v>37.61</v>
      </c>
      <c r="I255" s="142">
        <v>-41.83</v>
      </c>
      <c r="J255" s="29">
        <v>22.88</v>
      </c>
      <c r="K255" s="29">
        <v>21.25</v>
      </c>
      <c r="L255" s="29">
        <v>40.869999999999997</v>
      </c>
      <c r="M255" s="368"/>
      <c r="N255" s="368"/>
      <c r="O255" s="271">
        <f>IFERROR(Table17[[#This Row],[PROFIT]]/Table17[[#This Row],[TO]],0)</f>
        <v>0</v>
      </c>
      <c r="P255" s="177"/>
      <c r="Q255" s="177"/>
      <c r="R255" s="177"/>
    </row>
    <row r="256" spans="1:18" hidden="1" x14ac:dyDescent="0.25">
      <c r="A256" s="29" t="s">
        <v>4843</v>
      </c>
      <c r="B256" s="29" t="s">
        <v>4842</v>
      </c>
      <c r="C256" s="29" t="s">
        <v>717</v>
      </c>
      <c r="D256" s="29" t="str">
        <f>VLOOKUP(C:C,'COUNT-CONT'!B:C,2,FALSE)</f>
        <v>Asia</v>
      </c>
      <c r="E256" s="29">
        <v>6</v>
      </c>
      <c r="F256" s="28">
        <v>2720</v>
      </c>
      <c r="G256" s="28">
        <v>5187411764</v>
      </c>
      <c r="H256" s="29">
        <v>37.58</v>
      </c>
      <c r="I256" s="142">
        <v>-41.86</v>
      </c>
      <c r="J256" s="29">
        <v>8.74</v>
      </c>
      <c r="K256" s="29">
        <v>5.65</v>
      </c>
      <c r="L256" s="29">
        <v>25.73</v>
      </c>
      <c r="M256" s="368"/>
      <c r="N256" s="368"/>
      <c r="O256" s="271">
        <f>IFERROR(Table17[[#This Row],[PROFIT]]/Table17[[#This Row],[TO]],0)</f>
        <v>0</v>
      </c>
      <c r="P256" s="177"/>
      <c r="Q256" s="177"/>
      <c r="R256" s="177"/>
    </row>
    <row r="257" spans="1:18" ht="30" hidden="1" x14ac:dyDescent="0.25">
      <c r="A257" s="29" t="s">
        <v>261</v>
      </c>
      <c r="B257" s="29" t="s">
        <v>5688</v>
      </c>
      <c r="C257" s="29" t="s">
        <v>11732</v>
      </c>
      <c r="D257" s="29" t="str">
        <f>VLOOKUP(C:C,'COUNT-CONT'!B:C,2,FALSE)</f>
        <v>North America</v>
      </c>
      <c r="E257" s="29">
        <v>10</v>
      </c>
      <c r="F257" s="28">
        <v>7843</v>
      </c>
      <c r="G257" s="28">
        <v>8202452454</v>
      </c>
      <c r="H257" s="29">
        <v>37.520000000000003</v>
      </c>
      <c r="I257" s="142">
        <v>-41.919999999999995</v>
      </c>
      <c r="J257" s="29">
        <v>30.59</v>
      </c>
      <c r="K257" s="29">
        <v>30.59</v>
      </c>
      <c r="L257" s="29">
        <v>49.37</v>
      </c>
      <c r="M257" s="368"/>
      <c r="N257" s="368"/>
      <c r="O257" s="271">
        <f>IFERROR(Table17[[#This Row],[PROFIT]]/Table17[[#This Row],[TO]],0)</f>
        <v>0</v>
      </c>
      <c r="P257" s="177"/>
      <c r="Q257" s="177"/>
      <c r="R257" s="177"/>
    </row>
    <row r="258" spans="1:18" ht="30" hidden="1" x14ac:dyDescent="0.25">
      <c r="A258" s="29" t="s">
        <v>4841</v>
      </c>
      <c r="B258" s="29" t="s">
        <v>4840</v>
      </c>
      <c r="C258" s="29" t="s">
        <v>1070</v>
      </c>
      <c r="D258" s="29" t="str">
        <f>VLOOKUP(C:C,'COUNT-CONT'!B:C,2,FALSE)</f>
        <v>Asia</v>
      </c>
      <c r="E258" s="29">
        <v>7</v>
      </c>
      <c r="F258" s="28">
        <v>2859</v>
      </c>
      <c r="G258" s="28">
        <v>5039549912</v>
      </c>
      <c r="H258" s="29">
        <v>37.520000000000003</v>
      </c>
      <c r="I258" s="142">
        <v>-41.919999999999995</v>
      </c>
      <c r="J258" s="29">
        <v>8.74</v>
      </c>
      <c r="K258" s="29">
        <v>5.65</v>
      </c>
      <c r="L258" s="29">
        <v>25.7</v>
      </c>
      <c r="M258" s="368"/>
      <c r="N258" s="368"/>
      <c r="O258" s="271">
        <f>IFERROR(Table17[[#This Row],[PROFIT]]/Table17[[#This Row],[TO]],0)</f>
        <v>0</v>
      </c>
      <c r="P258" s="177"/>
      <c r="Q258" s="177"/>
      <c r="R258" s="177"/>
    </row>
    <row r="259" spans="1:18" hidden="1" x14ac:dyDescent="0.25">
      <c r="A259" s="29" t="s">
        <v>4629</v>
      </c>
      <c r="B259" s="29" t="s">
        <v>4628</v>
      </c>
      <c r="C259" s="29" t="s">
        <v>2059</v>
      </c>
      <c r="D259" s="29" t="str">
        <f>VLOOKUP(C:C,'COUNT-CONT'!B:C,2,FALSE)</f>
        <v>Africa</v>
      </c>
      <c r="E259" s="29">
        <v>9</v>
      </c>
      <c r="F259" s="28">
        <v>3131</v>
      </c>
      <c r="G259" s="28">
        <v>4830625455</v>
      </c>
      <c r="H259" s="29">
        <v>37.479999999999997</v>
      </c>
      <c r="I259" s="142">
        <v>-41.96</v>
      </c>
      <c r="J259" s="29">
        <v>6.56</v>
      </c>
      <c r="K259" s="29">
        <v>2.81</v>
      </c>
      <c r="L259" s="29">
        <v>23.43</v>
      </c>
      <c r="M259" s="368"/>
      <c r="N259" s="368"/>
      <c r="O259" s="271">
        <f>IFERROR(Table17[[#This Row],[PROFIT]]/Table17[[#This Row],[TO]],0)</f>
        <v>0</v>
      </c>
      <c r="P259" s="177"/>
      <c r="Q259" s="177"/>
      <c r="R259" s="177"/>
    </row>
    <row r="260" spans="1:18" ht="30" hidden="1" x14ac:dyDescent="0.25">
      <c r="A260" s="29" t="s">
        <v>5686</v>
      </c>
      <c r="B260" s="29" t="s">
        <v>5685</v>
      </c>
      <c r="C260" s="29" t="s">
        <v>11732</v>
      </c>
      <c r="D260" s="29" t="str">
        <f>VLOOKUP(C:C,'COUNT-CONT'!B:C,2,FALSE)</f>
        <v>North America</v>
      </c>
      <c r="E260" s="29">
        <v>5</v>
      </c>
      <c r="F260" s="28">
        <v>4798</v>
      </c>
      <c r="G260" s="28">
        <v>8147862192</v>
      </c>
      <c r="H260" s="29">
        <v>37.450000000000003</v>
      </c>
      <c r="I260" s="142">
        <v>-41.989999999999995</v>
      </c>
      <c r="J260" s="29">
        <v>30.56</v>
      </c>
      <c r="K260" s="29">
        <v>30.56</v>
      </c>
      <c r="L260" s="29">
        <v>49.3</v>
      </c>
      <c r="M260" s="368"/>
      <c r="N260" s="368"/>
      <c r="O260" s="271">
        <f>IFERROR(Table17[[#This Row],[PROFIT]]/Table17[[#This Row],[TO]],0)</f>
        <v>0</v>
      </c>
      <c r="P260" s="177"/>
      <c r="Q260" s="177"/>
      <c r="R260" s="177"/>
    </row>
    <row r="261" spans="1:18" ht="30" hidden="1" x14ac:dyDescent="0.25">
      <c r="A261" s="29" t="s">
        <v>5581</v>
      </c>
      <c r="B261" s="29" t="s">
        <v>5580</v>
      </c>
      <c r="C261" s="29" t="s">
        <v>83</v>
      </c>
      <c r="D261" s="29" t="str">
        <f>VLOOKUP(C:C,'COUNT-CONT'!B:C,2,FALSE)</f>
        <v>Europe</v>
      </c>
      <c r="E261" s="29">
        <v>5</v>
      </c>
      <c r="F261" s="28">
        <v>3382</v>
      </c>
      <c r="G261" s="28">
        <v>6960051330</v>
      </c>
      <c r="H261" s="29">
        <v>37.450000000000003</v>
      </c>
      <c r="I261" s="142">
        <v>-41.989999999999995</v>
      </c>
      <c r="J261" s="29">
        <v>22.79</v>
      </c>
      <c r="K261" s="29">
        <v>21.16</v>
      </c>
      <c r="L261" s="29">
        <v>40.72</v>
      </c>
      <c r="M261" s="368"/>
      <c r="N261" s="368"/>
      <c r="O261" s="271">
        <f>IFERROR(Table17[[#This Row],[PROFIT]]/Table17[[#This Row],[TO]],0)</f>
        <v>0</v>
      </c>
      <c r="P261" s="177"/>
      <c r="Q261" s="177"/>
      <c r="R261" s="177"/>
    </row>
    <row r="262" spans="1:18" ht="30" hidden="1" x14ac:dyDescent="0.25">
      <c r="A262" s="29" t="s">
        <v>5323</v>
      </c>
      <c r="B262" s="29" t="s">
        <v>5322</v>
      </c>
      <c r="C262" s="29" t="s">
        <v>2329</v>
      </c>
      <c r="D262" s="29" t="str">
        <f>VLOOKUP(C:C,'COUNT-CONT'!B:C,2,FALSE)</f>
        <v>North America</v>
      </c>
      <c r="E262" s="29">
        <v>9</v>
      </c>
      <c r="F262" s="28">
        <v>3821</v>
      </c>
      <c r="G262" s="28">
        <v>5931282753</v>
      </c>
      <c r="H262" s="29">
        <v>37.42</v>
      </c>
      <c r="I262" s="142">
        <v>-42.019999999999996</v>
      </c>
      <c r="J262" s="29">
        <v>16.02</v>
      </c>
      <c r="K262" s="29">
        <v>14.03</v>
      </c>
      <c r="L262" s="29">
        <v>33.4</v>
      </c>
      <c r="M262" s="368"/>
      <c r="N262" s="368"/>
      <c r="O262" s="271">
        <f>IFERROR(Table17[[#This Row],[PROFIT]]/Table17[[#This Row],[TO]],0)</f>
        <v>0</v>
      </c>
      <c r="P262" s="177"/>
      <c r="Q262" s="177"/>
      <c r="R262" s="177"/>
    </row>
    <row r="263" spans="1:18" hidden="1" x14ac:dyDescent="0.25">
      <c r="A263" s="29" t="s">
        <v>5072</v>
      </c>
      <c r="B263" s="29" t="s">
        <v>5071</v>
      </c>
      <c r="C263" s="29" t="s">
        <v>700</v>
      </c>
      <c r="D263" s="29" t="str">
        <f>VLOOKUP(C:C,'COUNT-CONT'!B:C,2,FALSE)</f>
        <v>Asia</v>
      </c>
      <c r="E263" s="29">
        <v>7</v>
      </c>
      <c r="F263" s="28">
        <v>3129</v>
      </c>
      <c r="G263" s="28">
        <v>5370950015</v>
      </c>
      <c r="H263" s="29">
        <v>37.39</v>
      </c>
      <c r="I263" s="142">
        <v>-42.05</v>
      </c>
      <c r="J263" s="29">
        <v>11.49</v>
      </c>
      <c r="K263" s="29">
        <v>8.6199999999999992</v>
      </c>
      <c r="L263" s="29">
        <v>28.78</v>
      </c>
      <c r="M263" s="368"/>
      <c r="N263" s="368"/>
      <c r="O263" s="271">
        <f>IFERROR(Table17[[#This Row],[PROFIT]]/Table17[[#This Row],[TO]],0)</f>
        <v>0</v>
      </c>
      <c r="P263" s="177"/>
      <c r="Q263" s="177"/>
      <c r="R263" s="177"/>
    </row>
    <row r="264" spans="1:18" hidden="1" x14ac:dyDescent="0.25">
      <c r="A264" s="29" t="s">
        <v>5430</v>
      </c>
      <c r="B264" s="29" t="s">
        <v>5429</v>
      </c>
      <c r="C264" s="29" t="s">
        <v>5428</v>
      </c>
      <c r="D264" s="29" t="str">
        <f>VLOOKUP(C:C,'COUNT-CONT'!B:C,2,FALSE)</f>
        <v>Asia</v>
      </c>
      <c r="E264" s="29">
        <v>10</v>
      </c>
      <c r="F264" s="28">
        <v>5300</v>
      </c>
      <c r="G264" s="28">
        <v>6312347169</v>
      </c>
      <c r="H264" s="29">
        <v>37.36</v>
      </c>
      <c r="I264" s="142">
        <v>-42.08</v>
      </c>
      <c r="J264" s="29">
        <v>18.68</v>
      </c>
      <c r="K264" s="29">
        <v>16.510000000000002</v>
      </c>
      <c r="L264" s="29">
        <v>35.94</v>
      </c>
      <c r="M264" s="368"/>
      <c r="N264" s="368"/>
      <c r="O264" s="271">
        <f>IFERROR(Table17[[#This Row],[PROFIT]]/Table17[[#This Row],[TO]],0)</f>
        <v>0</v>
      </c>
      <c r="P264" s="177"/>
      <c r="Q264" s="177"/>
      <c r="R264" s="177"/>
    </row>
    <row r="265" spans="1:18" hidden="1" x14ac:dyDescent="0.25">
      <c r="A265" s="29" t="s">
        <v>5019</v>
      </c>
      <c r="B265" s="29" t="s">
        <v>5018</v>
      </c>
      <c r="C265" s="29" t="s">
        <v>1124</v>
      </c>
      <c r="D265" s="29" t="str">
        <f>VLOOKUP(C:C,'COUNT-CONT'!B:C,2,FALSE)</f>
        <v>Africa</v>
      </c>
      <c r="E265" s="29">
        <v>8</v>
      </c>
      <c r="F265" s="28">
        <v>3361</v>
      </c>
      <c r="G265" s="28">
        <v>5230283546</v>
      </c>
      <c r="H265" s="29">
        <v>37.270000000000003</v>
      </c>
      <c r="I265" s="142">
        <v>-42.169999999999995</v>
      </c>
      <c r="J265" s="29">
        <v>11.12</v>
      </c>
      <c r="K265" s="29">
        <v>7.77</v>
      </c>
      <c r="L265" s="29">
        <v>27.81</v>
      </c>
      <c r="M265" s="368"/>
      <c r="N265" s="368"/>
      <c r="O265" s="271">
        <f>IFERROR(Table17[[#This Row],[PROFIT]]/Table17[[#This Row],[TO]],0)</f>
        <v>0</v>
      </c>
      <c r="P265" s="177"/>
      <c r="Q265" s="177"/>
      <c r="R265" s="177"/>
    </row>
    <row r="266" spans="1:18" hidden="1" x14ac:dyDescent="0.25">
      <c r="A266" s="29" t="s">
        <v>4644</v>
      </c>
      <c r="B266" s="29" t="s">
        <v>4643</v>
      </c>
      <c r="C266" s="29" t="s">
        <v>1189</v>
      </c>
      <c r="D266" s="29" t="str">
        <f>VLOOKUP(C:C,'COUNT-CONT'!B:C,2,FALSE)</f>
        <v>Africa</v>
      </c>
      <c r="E266" s="29">
        <v>10</v>
      </c>
      <c r="F266" s="28">
        <v>3573</v>
      </c>
      <c r="G266" s="28">
        <v>4844464539</v>
      </c>
      <c r="H266" s="29">
        <v>37.270000000000003</v>
      </c>
      <c r="I266" s="142">
        <v>-42.169999999999995</v>
      </c>
      <c r="J266" s="29">
        <v>7.07</v>
      </c>
      <c r="K266" s="29">
        <v>3.3</v>
      </c>
      <c r="L266" s="29">
        <v>23.58</v>
      </c>
      <c r="M266" s="368"/>
      <c r="N266" s="368"/>
      <c r="O266" s="271">
        <f>IFERROR(Table17[[#This Row],[PROFIT]]/Table17[[#This Row],[TO]],0)</f>
        <v>0</v>
      </c>
      <c r="P266" s="177"/>
      <c r="Q266" s="177"/>
      <c r="R266" s="177"/>
    </row>
    <row r="267" spans="1:18" hidden="1" x14ac:dyDescent="0.25">
      <c r="A267" s="29" t="s">
        <v>5126</v>
      </c>
      <c r="B267" s="29" t="s">
        <v>5125</v>
      </c>
      <c r="C267" s="29" t="s">
        <v>5124</v>
      </c>
      <c r="D267" s="29" t="str">
        <f>VLOOKUP(C:C,'COUNT-CONT'!B:C,2,FALSE)</f>
        <v>Asia</v>
      </c>
      <c r="E267" s="29">
        <v>10</v>
      </c>
      <c r="F267" s="28">
        <v>3865</v>
      </c>
      <c r="G267" s="28">
        <v>5438005433</v>
      </c>
      <c r="H267" s="29">
        <v>37.21</v>
      </c>
      <c r="I267" s="142">
        <v>-42.23</v>
      </c>
      <c r="J267" s="29">
        <v>12.39</v>
      </c>
      <c r="K267" s="29">
        <v>10.039999999999999</v>
      </c>
      <c r="L267" s="29">
        <v>29.53</v>
      </c>
      <c r="M267" s="368"/>
      <c r="N267" s="368"/>
      <c r="O267" s="271">
        <f>IFERROR(Table17[[#This Row],[PROFIT]]/Table17[[#This Row],[TO]],0)</f>
        <v>0</v>
      </c>
      <c r="P267" s="177"/>
      <c r="Q267" s="177"/>
      <c r="R267" s="177"/>
    </row>
    <row r="268" spans="1:18" hidden="1" x14ac:dyDescent="0.25">
      <c r="A268" s="29" t="s">
        <v>288</v>
      </c>
      <c r="B268" s="29" t="s">
        <v>5576</v>
      </c>
      <c r="C268" s="29" t="s">
        <v>1427</v>
      </c>
      <c r="D268" s="29" t="str">
        <f>VLOOKUP(C:C,'COUNT-CONT'!B:C,2,FALSE)</f>
        <v>Europe</v>
      </c>
      <c r="E268" s="29">
        <v>10</v>
      </c>
      <c r="F268" s="28">
        <v>5682</v>
      </c>
      <c r="G268" s="28">
        <v>6940593804</v>
      </c>
      <c r="H268" s="29">
        <v>37.21</v>
      </c>
      <c r="I268" s="142">
        <v>-42.23</v>
      </c>
      <c r="J268" s="29">
        <v>22.64</v>
      </c>
      <c r="K268" s="29">
        <v>21.04</v>
      </c>
      <c r="L268" s="29">
        <v>40.450000000000003</v>
      </c>
      <c r="M268" s="368"/>
      <c r="N268" s="368"/>
      <c r="O268" s="271">
        <f>IFERROR(Table17[[#This Row],[PROFIT]]/Table17[[#This Row],[TO]],0)</f>
        <v>0</v>
      </c>
      <c r="P268" s="177"/>
      <c r="Q268" s="177"/>
      <c r="R268" s="177"/>
    </row>
    <row r="269" spans="1:18" hidden="1" x14ac:dyDescent="0.25">
      <c r="A269" s="29" t="s">
        <v>5198</v>
      </c>
      <c r="B269" s="29" t="s">
        <v>5197</v>
      </c>
      <c r="C269" s="29" t="s">
        <v>709</v>
      </c>
      <c r="D269" s="29" t="str">
        <f>VLOOKUP(C:C,'COUNT-CONT'!B:C,2,FALSE)</f>
        <v>Asia</v>
      </c>
      <c r="E269" s="29">
        <v>6</v>
      </c>
      <c r="F269" s="28">
        <v>2895</v>
      </c>
      <c r="G269" s="28">
        <v>5600565457</v>
      </c>
      <c r="H269" s="29">
        <v>36.85</v>
      </c>
      <c r="I269" s="142">
        <v>-42.589999999999996</v>
      </c>
      <c r="J269" s="29">
        <v>14.12</v>
      </c>
      <c r="K269" s="29">
        <v>11.03</v>
      </c>
      <c r="L269" s="29">
        <v>30.71</v>
      </c>
      <c r="M269" s="368"/>
      <c r="N269" s="368"/>
      <c r="O269" s="271">
        <f>IFERROR(Table17[[#This Row],[PROFIT]]/Table17[[#This Row],[TO]],0)</f>
        <v>0</v>
      </c>
      <c r="P269" s="177"/>
      <c r="Q269" s="177"/>
      <c r="R269" s="177"/>
    </row>
    <row r="270" spans="1:18" ht="30" hidden="1" x14ac:dyDescent="0.25">
      <c r="A270" s="29" t="s">
        <v>5682</v>
      </c>
      <c r="B270" s="29" t="s">
        <v>5681</v>
      </c>
      <c r="C270" s="29" t="s">
        <v>11732</v>
      </c>
      <c r="D270" s="29" t="str">
        <f>VLOOKUP(C:C,'COUNT-CONT'!B:C,2,FALSE)</f>
        <v>North America</v>
      </c>
      <c r="E270" s="29">
        <v>9</v>
      </c>
      <c r="F270" s="28">
        <v>6878</v>
      </c>
      <c r="G270" s="28">
        <v>8070030212</v>
      </c>
      <c r="H270" s="29">
        <v>36.82</v>
      </c>
      <c r="I270" s="142">
        <v>-42.62</v>
      </c>
      <c r="J270" s="29">
        <v>30.05</v>
      </c>
      <c r="K270" s="29">
        <v>30.05</v>
      </c>
      <c r="L270" s="29">
        <v>48.46</v>
      </c>
      <c r="M270" s="368"/>
      <c r="N270" s="368"/>
      <c r="O270" s="271">
        <f>IFERROR(Table17[[#This Row],[PROFIT]]/Table17[[#This Row],[TO]],0)</f>
        <v>0</v>
      </c>
      <c r="P270" s="177"/>
      <c r="Q270" s="177"/>
      <c r="R270" s="177"/>
    </row>
    <row r="271" spans="1:18" ht="30" hidden="1" x14ac:dyDescent="0.25">
      <c r="A271" s="29" t="s">
        <v>5680</v>
      </c>
      <c r="B271" s="29" t="s">
        <v>5679</v>
      </c>
      <c r="C271" s="29" t="s">
        <v>11732</v>
      </c>
      <c r="D271" s="29" t="str">
        <f>VLOOKUP(C:C,'COUNT-CONT'!B:C,2,FALSE)</f>
        <v>North America</v>
      </c>
      <c r="E271" s="29">
        <v>7</v>
      </c>
      <c r="F271" s="28">
        <v>5884</v>
      </c>
      <c r="G271" s="28">
        <v>8039147654</v>
      </c>
      <c r="H271" s="29">
        <v>36.76</v>
      </c>
      <c r="I271" s="142">
        <v>-42.68</v>
      </c>
      <c r="J271" s="29">
        <v>29.99</v>
      </c>
      <c r="K271" s="29">
        <v>29.99</v>
      </c>
      <c r="L271" s="29">
        <v>48.37</v>
      </c>
      <c r="M271" s="368"/>
      <c r="N271" s="368"/>
      <c r="O271" s="271">
        <f>IFERROR(Table17[[#This Row],[PROFIT]]/Table17[[#This Row],[TO]],0)</f>
        <v>0</v>
      </c>
      <c r="P271" s="177"/>
      <c r="Q271" s="177"/>
      <c r="R271" s="177"/>
    </row>
    <row r="272" spans="1:18" hidden="1" x14ac:dyDescent="0.25">
      <c r="A272" s="29" t="s">
        <v>4964</v>
      </c>
      <c r="B272" s="29" t="s">
        <v>4963</v>
      </c>
      <c r="C272" s="29" t="s">
        <v>502</v>
      </c>
      <c r="D272" s="29" t="str">
        <f>VLOOKUP(C:C,'COUNT-CONT'!B:C,2,FALSE)</f>
        <v>Asia</v>
      </c>
      <c r="E272" s="29">
        <v>10</v>
      </c>
      <c r="F272" s="28">
        <v>3761</v>
      </c>
      <c r="G272" s="28">
        <v>5231475405</v>
      </c>
      <c r="H272" s="29">
        <v>36.729999999999997</v>
      </c>
      <c r="I272" s="142">
        <v>-42.71</v>
      </c>
      <c r="J272" s="29">
        <v>10.25</v>
      </c>
      <c r="K272" s="29">
        <v>7.56</v>
      </c>
      <c r="L272" s="29">
        <v>27.03</v>
      </c>
      <c r="M272" s="368"/>
      <c r="N272" s="368"/>
      <c r="O272" s="271">
        <f>IFERROR(Table17[[#This Row],[PROFIT]]/Table17[[#This Row],[TO]],0)</f>
        <v>0</v>
      </c>
      <c r="P272" s="177"/>
      <c r="Q272" s="177"/>
      <c r="R272" s="177"/>
    </row>
    <row r="273" spans="1:18" ht="30" hidden="1" x14ac:dyDescent="0.25">
      <c r="A273" s="29" t="s">
        <v>5130</v>
      </c>
      <c r="B273" s="29" t="s">
        <v>5129</v>
      </c>
      <c r="C273" s="29" t="s">
        <v>4045</v>
      </c>
      <c r="D273" s="29" t="str">
        <f>VLOOKUP(C:C,'COUNT-CONT'!B:C,2,FALSE)</f>
        <v>South America</v>
      </c>
      <c r="E273" s="29">
        <v>8</v>
      </c>
      <c r="F273" s="28">
        <v>3464</v>
      </c>
      <c r="G273" s="28">
        <v>5472351963</v>
      </c>
      <c r="H273" s="29">
        <v>36.67</v>
      </c>
      <c r="I273" s="142">
        <v>-42.769999999999996</v>
      </c>
      <c r="J273" s="29">
        <v>12.42</v>
      </c>
      <c r="K273" s="29">
        <v>10.039999999999999</v>
      </c>
      <c r="L273" s="29">
        <v>29.59</v>
      </c>
      <c r="M273" s="368"/>
      <c r="N273" s="368"/>
      <c r="O273" s="271">
        <f>IFERROR(Table17[[#This Row],[PROFIT]]/Table17[[#This Row],[TO]],0)</f>
        <v>0</v>
      </c>
      <c r="P273" s="177"/>
      <c r="Q273" s="177"/>
      <c r="R273" s="177"/>
    </row>
    <row r="274" spans="1:18" hidden="1" x14ac:dyDescent="0.25">
      <c r="A274" s="29" t="s">
        <v>5260</v>
      </c>
      <c r="B274" s="29" t="s">
        <v>5259</v>
      </c>
      <c r="C274" s="29" t="s">
        <v>172</v>
      </c>
      <c r="D274" s="29" t="str">
        <f>VLOOKUP(C:C,'COUNT-CONT'!B:C,2,FALSE)</f>
        <v>Asia</v>
      </c>
      <c r="E274" s="29">
        <v>10</v>
      </c>
      <c r="F274" s="28">
        <v>4854</v>
      </c>
      <c r="G274" s="28">
        <v>5781017222</v>
      </c>
      <c r="H274" s="29">
        <v>36.520000000000003</v>
      </c>
      <c r="I274" s="142">
        <v>-42.919999999999995</v>
      </c>
      <c r="J274" s="29">
        <v>14.72</v>
      </c>
      <c r="K274" s="29">
        <v>12.82</v>
      </c>
      <c r="L274" s="29">
        <v>32.04</v>
      </c>
      <c r="M274" s="368"/>
      <c r="N274" s="368"/>
      <c r="O274" s="271">
        <f>IFERROR(Table17[[#This Row],[PROFIT]]/Table17[[#This Row],[TO]],0)</f>
        <v>0</v>
      </c>
      <c r="P274" s="177"/>
      <c r="Q274" s="177"/>
      <c r="R274" s="177"/>
    </row>
    <row r="275" spans="1:18" ht="30" hidden="1" x14ac:dyDescent="0.25">
      <c r="A275" s="29" t="s">
        <v>5561</v>
      </c>
      <c r="B275" s="29" t="s">
        <v>5560</v>
      </c>
      <c r="C275" s="29" t="s">
        <v>83</v>
      </c>
      <c r="D275" s="29" t="str">
        <f>VLOOKUP(C:C,'COUNT-CONT'!B:C,2,FALSE)</f>
        <v>Europe</v>
      </c>
      <c r="E275" s="29">
        <v>7</v>
      </c>
      <c r="F275" s="28">
        <v>4052</v>
      </c>
      <c r="G275" s="28">
        <v>6801970878</v>
      </c>
      <c r="H275" s="29">
        <v>36.46</v>
      </c>
      <c r="I275" s="142">
        <v>-42.98</v>
      </c>
      <c r="J275" s="29">
        <v>22.19</v>
      </c>
      <c r="K275" s="29">
        <v>20.59</v>
      </c>
      <c r="L275" s="29">
        <v>39.630000000000003</v>
      </c>
      <c r="M275" s="368"/>
      <c r="N275" s="368"/>
      <c r="O275" s="271">
        <f>IFERROR(Table17[[#This Row],[PROFIT]]/Table17[[#This Row],[TO]],0)</f>
        <v>0</v>
      </c>
      <c r="P275" s="177"/>
      <c r="Q275" s="177"/>
      <c r="R275" s="177"/>
    </row>
    <row r="276" spans="1:18" ht="30" hidden="1" x14ac:dyDescent="0.25">
      <c r="A276" s="29" t="s">
        <v>5676</v>
      </c>
      <c r="B276" s="29" t="s">
        <v>5675</v>
      </c>
      <c r="C276" s="29" t="s">
        <v>11732</v>
      </c>
      <c r="D276" s="29" t="str">
        <f>VLOOKUP(C:C,'COUNT-CONT'!B:C,2,FALSE)</f>
        <v>North America</v>
      </c>
      <c r="E276" s="29">
        <v>10</v>
      </c>
      <c r="F276" s="28">
        <v>7685</v>
      </c>
      <c r="G276" s="28">
        <v>8030235979</v>
      </c>
      <c r="H276" s="29">
        <v>36.46</v>
      </c>
      <c r="I276" s="142">
        <v>-42.98</v>
      </c>
      <c r="J276" s="29">
        <v>29.72</v>
      </c>
      <c r="K276" s="29">
        <v>29.72</v>
      </c>
      <c r="L276" s="29">
        <v>47.97</v>
      </c>
      <c r="M276" s="368"/>
      <c r="N276" s="368"/>
      <c r="O276" s="271">
        <f>IFERROR(Table17[[#This Row],[PROFIT]]/Table17[[#This Row],[TO]],0)</f>
        <v>0</v>
      </c>
      <c r="P276" s="177"/>
      <c r="Q276" s="177"/>
      <c r="R276" s="177"/>
    </row>
    <row r="277" spans="1:18" ht="30" hidden="1" x14ac:dyDescent="0.25">
      <c r="A277" s="29" t="s">
        <v>5147</v>
      </c>
      <c r="B277" s="29" t="s">
        <v>5146</v>
      </c>
      <c r="C277" s="29" t="s">
        <v>2791</v>
      </c>
      <c r="D277" s="29" t="str">
        <f>VLOOKUP(C:C,'COUNT-CONT'!B:C,2,FALSE)</f>
        <v>North America</v>
      </c>
      <c r="E277" s="29">
        <v>10</v>
      </c>
      <c r="F277" s="28">
        <v>4585</v>
      </c>
      <c r="G277" s="28">
        <v>5437012758</v>
      </c>
      <c r="H277" s="29">
        <v>36.43</v>
      </c>
      <c r="I277" s="142">
        <v>-43.01</v>
      </c>
      <c r="J277" s="29">
        <v>13.12</v>
      </c>
      <c r="K277" s="29">
        <v>10.73</v>
      </c>
      <c r="L277" s="29">
        <v>29.87</v>
      </c>
      <c r="M277" s="368"/>
      <c r="N277" s="368"/>
      <c r="O277" s="271">
        <f>IFERROR(Table17[[#This Row],[PROFIT]]/Table17[[#This Row],[TO]],0)</f>
        <v>0</v>
      </c>
      <c r="P277" s="177"/>
      <c r="Q277" s="177"/>
      <c r="R277" s="177"/>
    </row>
    <row r="278" spans="1:18" hidden="1" x14ac:dyDescent="0.25">
      <c r="A278" s="29" t="s">
        <v>5356</v>
      </c>
      <c r="B278" s="29" t="s">
        <v>5355</v>
      </c>
      <c r="C278" s="29" t="s">
        <v>605</v>
      </c>
      <c r="D278" s="29" t="str">
        <f>VLOOKUP(C:C,'COUNT-CONT'!B:C,2,FALSE)</f>
        <v>Europe</v>
      </c>
      <c r="E278" s="29">
        <v>8</v>
      </c>
      <c r="F278" s="28">
        <v>3834</v>
      </c>
      <c r="G278" s="28">
        <v>6167506624</v>
      </c>
      <c r="H278" s="29">
        <v>36.369999999999997</v>
      </c>
      <c r="I278" s="142">
        <v>-43.07</v>
      </c>
      <c r="J278" s="29">
        <v>17.14</v>
      </c>
      <c r="K278" s="29">
        <v>15.78</v>
      </c>
      <c r="L278" s="29">
        <v>34.31</v>
      </c>
      <c r="M278" s="368"/>
      <c r="N278" s="368"/>
      <c r="O278" s="271">
        <f>IFERROR(Table17[[#This Row],[PROFIT]]/Table17[[#This Row],[TO]],0)</f>
        <v>0</v>
      </c>
      <c r="P278" s="177"/>
      <c r="Q278" s="177"/>
      <c r="R278" s="177"/>
    </row>
    <row r="279" spans="1:18" hidden="1" x14ac:dyDescent="0.25">
      <c r="A279" s="29" t="s">
        <v>5354</v>
      </c>
      <c r="B279" s="29" t="s">
        <v>5353</v>
      </c>
      <c r="C279" s="29" t="s">
        <v>733</v>
      </c>
      <c r="D279" s="29" t="str">
        <f>VLOOKUP(C:C,'COUNT-CONT'!B:C,2,FALSE)</f>
        <v>Europe</v>
      </c>
      <c r="E279" s="29">
        <v>7</v>
      </c>
      <c r="F279" s="28">
        <v>3335</v>
      </c>
      <c r="G279" s="28">
        <v>6094235082</v>
      </c>
      <c r="H279" s="29">
        <v>36.369999999999997</v>
      </c>
      <c r="I279" s="142">
        <v>-43.07</v>
      </c>
      <c r="J279" s="29">
        <v>17.14</v>
      </c>
      <c r="K279" s="29">
        <v>15.78</v>
      </c>
      <c r="L279" s="29">
        <v>34.31</v>
      </c>
      <c r="M279" s="368"/>
      <c r="N279" s="368"/>
      <c r="O279" s="271">
        <f>IFERROR(Table17[[#This Row],[PROFIT]]/Table17[[#This Row],[TO]],0)</f>
        <v>0</v>
      </c>
      <c r="P279" s="177"/>
      <c r="Q279" s="177"/>
      <c r="R279" s="177"/>
    </row>
    <row r="280" spans="1:18" ht="30" hidden="1" x14ac:dyDescent="0.25">
      <c r="A280" s="29" t="s">
        <v>5557</v>
      </c>
      <c r="B280" s="29" t="s">
        <v>5556</v>
      </c>
      <c r="C280" s="29" t="s">
        <v>83</v>
      </c>
      <c r="D280" s="29" t="str">
        <f>VLOOKUP(C:C,'COUNT-CONT'!B:C,2,FALSE)</f>
        <v>Europe</v>
      </c>
      <c r="E280" s="29">
        <v>7</v>
      </c>
      <c r="F280" s="28">
        <v>3836</v>
      </c>
      <c r="G280" s="28">
        <v>6796457038</v>
      </c>
      <c r="H280" s="29">
        <v>36.340000000000003</v>
      </c>
      <c r="I280" s="142">
        <v>-43.099999999999994</v>
      </c>
      <c r="J280" s="29">
        <v>22.13</v>
      </c>
      <c r="K280" s="29">
        <v>20.53</v>
      </c>
      <c r="L280" s="29">
        <v>39.51</v>
      </c>
      <c r="M280" s="368"/>
      <c r="N280" s="368"/>
      <c r="O280" s="271">
        <f>IFERROR(Table17[[#This Row],[PROFIT]]/Table17[[#This Row],[TO]],0)</f>
        <v>0</v>
      </c>
      <c r="P280" s="177"/>
      <c r="Q280" s="177"/>
      <c r="R280" s="177"/>
    </row>
    <row r="281" spans="1:18" ht="30" hidden="1" x14ac:dyDescent="0.25">
      <c r="A281" s="29" t="s">
        <v>4973</v>
      </c>
      <c r="B281" s="29" t="s">
        <v>4972</v>
      </c>
      <c r="C281" s="29" t="s">
        <v>4045</v>
      </c>
      <c r="D281" s="29" t="str">
        <f>VLOOKUP(C:C,'COUNT-CONT'!B:C,2,FALSE)</f>
        <v>South America</v>
      </c>
      <c r="E281" s="29">
        <v>9</v>
      </c>
      <c r="F281" s="28">
        <v>3546</v>
      </c>
      <c r="G281" s="28">
        <v>5299008685</v>
      </c>
      <c r="H281" s="29">
        <v>36.28</v>
      </c>
      <c r="I281" s="142">
        <v>-43.16</v>
      </c>
      <c r="J281" s="29">
        <v>10.28</v>
      </c>
      <c r="K281" s="29">
        <v>7.56</v>
      </c>
      <c r="L281" s="29">
        <v>27.09</v>
      </c>
      <c r="M281" s="368"/>
      <c r="N281" s="368"/>
      <c r="O281" s="271">
        <f>IFERROR(Table17[[#This Row],[PROFIT]]/Table17[[#This Row],[TO]],0)</f>
        <v>0</v>
      </c>
      <c r="P281" s="177"/>
      <c r="Q281" s="177"/>
      <c r="R281" s="177"/>
    </row>
    <row r="282" spans="1:18" hidden="1" x14ac:dyDescent="0.25">
      <c r="A282" s="29" t="s">
        <v>4935</v>
      </c>
      <c r="B282" s="29" t="s">
        <v>4934</v>
      </c>
      <c r="C282" s="29" t="s">
        <v>502</v>
      </c>
      <c r="D282" s="29" t="str">
        <f>VLOOKUP(C:C,'COUNT-CONT'!B:C,2,FALSE)</f>
        <v>Asia</v>
      </c>
      <c r="E282" s="29">
        <v>10</v>
      </c>
      <c r="F282" s="28">
        <v>10202</v>
      </c>
      <c r="G282" s="28">
        <v>5095821995</v>
      </c>
      <c r="H282" s="29">
        <v>36.22</v>
      </c>
      <c r="I282" s="142">
        <v>-43.22</v>
      </c>
      <c r="J282" s="29">
        <v>10.1</v>
      </c>
      <c r="K282" s="29">
        <v>7.44</v>
      </c>
      <c r="L282" s="29">
        <v>26.63</v>
      </c>
      <c r="M282" s="368"/>
      <c r="N282" s="368"/>
      <c r="O282" s="271">
        <f>IFERROR(Table17[[#This Row],[PROFIT]]/Table17[[#This Row],[TO]],0)</f>
        <v>0</v>
      </c>
      <c r="P282" s="177"/>
      <c r="Q282" s="177"/>
      <c r="R282" s="177"/>
    </row>
    <row r="283" spans="1:18" hidden="1" x14ac:dyDescent="0.25">
      <c r="A283" s="29" t="s">
        <v>5194</v>
      </c>
      <c r="B283" s="29" t="s">
        <v>5193</v>
      </c>
      <c r="C283" s="29" t="s">
        <v>14</v>
      </c>
      <c r="D283" s="29" t="str">
        <f>VLOOKUP(C:C,'COUNT-CONT'!B:C,2,FALSE)</f>
        <v>Asia</v>
      </c>
      <c r="E283" s="29">
        <v>8</v>
      </c>
      <c r="F283" s="28">
        <v>3534</v>
      </c>
      <c r="G283" s="28">
        <v>5576862026</v>
      </c>
      <c r="H283" s="29">
        <v>36.119999999999997</v>
      </c>
      <c r="I283" s="142">
        <v>-43.32</v>
      </c>
      <c r="J283" s="29">
        <v>14.09</v>
      </c>
      <c r="K283" s="29">
        <v>11.64</v>
      </c>
      <c r="L283" s="29">
        <v>30.62</v>
      </c>
      <c r="M283" s="368"/>
      <c r="N283" s="368"/>
      <c r="O283" s="271">
        <f>IFERROR(Table17[[#This Row],[PROFIT]]/Table17[[#This Row],[TO]],0)</f>
        <v>0</v>
      </c>
      <c r="P283" s="177"/>
      <c r="Q283" s="177"/>
      <c r="R283" s="177"/>
    </row>
    <row r="284" spans="1:18" ht="30" hidden="1" x14ac:dyDescent="0.25">
      <c r="A284" s="29" t="s">
        <v>5298</v>
      </c>
      <c r="B284" s="29" t="s">
        <v>5297</v>
      </c>
      <c r="C284" s="29" t="s">
        <v>812</v>
      </c>
      <c r="D284" s="29" t="str">
        <f>VLOOKUP(C:C,'COUNT-CONT'!B:C,2,FALSE)</f>
        <v>North America</v>
      </c>
      <c r="E284" s="29">
        <v>9</v>
      </c>
      <c r="F284" s="28">
        <v>3765</v>
      </c>
      <c r="G284" s="28">
        <v>5858164674</v>
      </c>
      <c r="H284" s="29">
        <v>36.119999999999997</v>
      </c>
      <c r="I284" s="142">
        <v>-43.32</v>
      </c>
      <c r="J284" s="29">
        <v>16.41</v>
      </c>
      <c r="K284" s="29">
        <v>13.78</v>
      </c>
      <c r="L284" s="29">
        <v>32.86</v>
      </c>
      <c r="M284" s="368"/>
      <c r="N284" s="368"/>
      <c r="O284" s="271">
        <f>IFERROR(Table17[[#This Row],[PROFIT]]/Table17[[#This Row],[TO]],0)</f>
        <v>0</v>
      </c>
      <c r="P284" s="177"/>
      <c r="Q284" s="177"/>
      <c r="R284" s="177"/>
    </row>
    <row r="285" spans="1:18" ht="30" hidden="1" x14ac:dyDescent="0.25">
      <c r="A285" s="29" t="s">
        <v>4922</v>
      </c>
      <c r="B285" s="29" t="s">
        <v>4921</v>
      </c>
      <c r="C285" s="29" t="s">
        <v>4920</v>
      </c>
      <c r="D285" s="29" t="str">
        <f>VLOOKUP(C:C,'COUNT-CONT'!B:C,2,FALSE)</f>
        <v>North America</v>
      </c>
      <c r="E285" s="29">
        <v>9</v>
      </c>
      <c r="F285" s="28">
        <v>3518</v>
      </c>
      <c r="G285" s="28">
        <v>5137877657</v>
      </c>
      <c r="H285" s="29">
        <v>36.090000000000003</v>
      </c>
      <c r="I285" s="142">
        <v>-43.349999999999994</v>
      </c>
      <c r="J285" s="29">
        <v>10.07</v>
      </c>
      <c r="K285" s="29">
        <v>6.89</v>
      </c>
      <c r="L285" s="29">
        <v>26.54</v>
      </c>
      <c r="M285" s="368"/>
      <c r="N285" s="368"/>
      <c r="O285" s="271">
        <f>IFERROR(Table17[[#This Row],[PROFIT]]/Table17[[#This Row],[TO]],0)</f>
        <v>0</v>
      </c>
      <c r="P285" s="177"/>
      <c r="Q285" s="177"/>
      <c r="R285" s="177"/>
    </row>
    <row r="286" spans="1:18" ht="30" hidden="1" x14ac:dyDescent="0.25">
      <c r="A286" s="29" t="s">
        <v>5369</v>
      </c>
      <c r="B286" s="29" t="s">
        <v>5368</v>
      </c>
      <c r="C286" s="29" t="s">
        <v>1847</v>
      </c>
      <c r="D286" s="29" t="str">
        <f>VLOOKUP(C:C,'COUNT-CONT'!B:C,2,FALSE)</f>
        <v>Asia</v>
      </c>
      <c r="E286" s="29">
        <v>10</v>
      </c>
      <c r="F286" s="28">
        <v>5251</v>
      </c>
      <c r="G286" s="28">
        <v>6151883907</v>
      </c>
      <c r="H286" s="29">
        <v>36.03</v>
      </c>
      <c r="I286" s="142">
        <v>-43.41</v>
      </c>
      <c r="J286" s="29">
        <v>18.02</v>
      </c>
      <c r="K286" s="29">
        <v>15.93</v>
      </c>
      <c r="L286" s="29">
        <v>34.64</v>
      </c>
      <c r="M286" s="368"/>
      <c r="N286" s="368"/>
      <c r="O286" s="271">
        <f>IFERROR(Table17[[#This Row],[PROFIT]]/Table17[[#This Row],[TO]],0)</f>
        <v>0</v>
      </c>
      <c r="P286" s="177"/>
      <c r="Q286" s="177"/>
      <c r="R286" s="177"/>
    </row>
    <row r="287" spans="1:18" hidden="1" x14ac:dyDescent="0.25">
      <c r="A287" s="29" t="s">
        <v>4204</v>
      </c>
      <c r="B287" s="29" t="s">
        <v>4203</v>
      </c>
      <c r="C287" s="29" t="s">
        <v>669</v>
      </c>
      <c r="D287" s="29" t="str">
        <f>VLOOKUP(C:C,'COUNT-CONT'!B:C,2,FALSE)</f>
        <v>Africa</v>
      </c>
      <c r="E287" s="29">
        <v>7</v>
      </c>
      <c r="F287" s="28">
        <v>2842</v>
      </c>
      <c r="G287" s="28">
        <v>4643851372</v>
      </c>
      <c r="H287" s="29">
        <v>35.97</v>
      </c>
      <c r="I287" s="142">
        <v>-43.47</v>
      </c>
      <c r="J287" s="29">
        <v>4.0199999999999996</v>
      </c>
      <c r="K287" s="29">
        <v>0.79</v>
      </c>
      <c r="L287" s="29">
        <v>20.22</v>
      </c>
      <c r="M287" s="368"/>
      <c r="N287" s="368"/>
      <c r="O287" s="271">
        <f>IFERROR(Table17[[#This Row],[PROFIT]]/Table17[[#This Row],[TO]],0)</f>
        <v>0</v>
      </c>
      <c r="P287" s="177"/>
      <c r="Q287" s="177"/>
      <c r="R287" s="177"/>
    </row>
    <row r="288" spans="1:18" ht="30" hidden="1" x14ac:dyDescent="0.25">
      <c r="A288" s="29" t="s">
        <v>4913</v>
      </c>
      <c r="B288" s="29" t="s">
        <v>4912</v>
      </c>
      <c r="C288" s="29" t="s">
        <v>1261</v>
      </c>
      <c r="D288" s="29" t="str">
        <f>VLOOKUP(C:C,'COUNT-CONT'!B:C,2,FALSE)</f>
        <v>Asia</v>
      </c>
      <c r="E288" s="29">
        <v>5</v>
      </c>
      <c r="F288" s="28">
        <v>2360</v>
      </c>
      <c r="G288" s="28">
        <v>5138701694</v>
      </c>
      <c r="H288" s="29">
        <v>35.880000000000003</v>
      </c>
      <c r="I288" s="142">
        <v>-43.559999999999995</v>
      </c>
      <c r="J288" s="29">
        <v>10.01</v>
      </c>
      <c r="K288" s="29">
        <v>7.38</v>
      </c>
      <c r="L288" s="29">
        <v>26.39</v>
      </c>
      <c r="M288" s="368"/>
      <c r="N288" s="368"/>
      <c r="O288" s="271">
        <f>IFERROR(Table17[[#This Row],[PROFIT]]/Table17[[#This Row],[TO]],0)</f>
        <v>0</v>
      </c>
      <c r="P288" s="177"/>
      <c r="Q288" s="177"/>
      <c r="R288" s="177"/>
    </row>
    <row r="289" spans="1:18" hidden="1" x14ac:dyDescent="0.25">
      <c r="A289" s="29" t="s">
        <v>5583</v>
      </c>
      <c r="B289" s="29" t="s">
        <v>5582</v>
      </c>
      <c r="C289" s="29" t="s">
        <v>119</v>
      </c>
      <c r="D289" s="29" t="str">
        <f>VLOOKUP(C:C,'COUNT-CONT'!B:C,2,FALSE)</f>
        <v>Europe</v>
      </c>
      <c r="E289" s="29">
        <v>9</v>
      </c>
      <c r="F289" s="28">
        <v>5015</v>
      </c>
      <c r="G289" s="28">
        <v>6976341974</v>
      </c>
      <c r="H289" s="29">
        <v>35.85</v>
      </c>
      <c r="I289" s="142">
        <v>-43.589999999999996</v>
      </c>
      <c r="J289" s="29">
        <v>23.64</v>
      </c>
      <c r="K289" s="29">
        <v>22.82</v>
      </c>
      <c r="L289" s="29">
        <v>40.75</v>
      </c>
      <c r="M289" s="368"/>
      <c r="N289" s="368"/>
      <c r="O289" s="271">
        <f>IFERROR(Table17[[#This Row],[PROFIT]]/Table17[[#This Row],[TO]],0)</f>
        <v>0</v>
      </c>
      <c r="P289" s="177"/>
      <c r="Q289" s="177"/>
      <c r="R289" s="177"/>
    </row>
    <row r="290" spans="1:18" hidden="1" x14ac:dyDescent="0.25">
      <c r="A290" s="29" t="s">
        <v>175</v>
      </c>
      <c r="B290" s="29" t="s">
        <v>4748</v>
      </c>
      <c r="C290" s="29" t="s">
        <v>11046</v>
      </c>
      <c r="D290" s="29" t="str">
        <f>VLOOKUP(C:C,'COUNT-CONT'!B:C,2,FALSE)</f>
        <v>Asia</v>
      </c>
      <c r="E290" s="29">
        <v>10</v>
      </c>
      <c r="F290" s="28">
        <v>4581</v>
      </c>
      <c r="G290" s="28">
        <v>4854511198</v>
      </c>
      <c r="H290" s="29">
        <v>35.85</v>
      </c>
      <c r="I290" s="142">
        <v>-43.589999999999996</v>
      </c>
      <c r="J290" s="29">
        <v>8.34</v>
      </c>
      <c r="K290" s="29">
        <v>5.38</v>
      </c>
      <c r="L290" s="29">
        <v>24.58</v>
      </c>
      <c r="M290" s="368"/>
      <c r="N290" s="368"/>
      <c r="O290" s="271">
        <f>IFERROR(Table17[[#This Row],[PROFIT]]/Table17[[#This Row],[TO]],0)</f>
        <v>0</v>
      </c>
      <c r="P290" s="177"/>
      <c r="Q290" s="177"/>
      <c r="R290" s="177"/>
    </row>
    <row r="291" spans="1:18" hidden="1" x14ac:dyDescent="0.25">
      <c r="A291" s="29" t="s">
        <v>422</v>
      </c>
      <c r="B291" s="29" t="s">
        <v>4523</v>
      </c>
      <c r="C291" s="29" t="s">
        <v>3163</v>
      </c>
      <c r="D291" s="29" t="str">
        <f>VLOOKUP(C:C,'COUNT-CONT'!B:C,2,FALSE)</f>
        <v>Asia</v>
      </c>
      <c r="E291" s="29">
        <v>10</v>
      </c>
      <c r="F291" s="28">
        <v>5667</v>
      </c>
      <c r="G291" s="28">
        <v>4700906229</v>
      </c>
      <c r="H291" s="29">
        <v>35.76</v>
      </c>
      <c r="I291" s="142">
        <v>-43.68</v>
      </c>
      <c r="J291" s="29">
        <v>6.77</v>
      </c>
      <c r="K291" s="29">
        <v>3.14</v>
      </c>
      <c r="L291" s="29">
        <v>22.64</v>
      </c>
      <c r="M291" s="368"/>
      <c r="N291" s="368"/>
      <c r="O291" s="271">
        <f>IFERROR(Table17[[#This Row],[PROFIT]]/Table17[[#This Row],[TO]],0)</f>
        <v>0</v>
      </c>
      <c r="P291" s="177"/>
      <c r="Q291" s="177"/>
      <c r="R291" s="177"/>
    </row>
    <row r="292" spans="1:18" hidden="1" x14ac:dyDescent="0.25">
      <c r="A292" s="29" t="s">
        <v>4933</v>
      </c>
      <c r="B292" s="29" t="s">
        <v>4932</v>
      </c>
      <c r="C292" s="29" t="s">
        <v>4931</v>
      </c>
      <c r="D292" s="29" t="str">
        <f>VLOOKUP(C:C,'COUNT-CONT'!B:C,2,FALSE)</f>
        <v>Europe</v>
      </c>
      <c r="E292" s="29">
        <v>7</v>
      </c>
      <c r="F292" s="28">
        <v>2985</v>
      </c>
      <c r="G292" s="28">
        <v>5221509212</v>
      </c>
      <c r="H292" s="29">
        <v>35.67</v>
      </c>
      <c r="I292" s="142">
        <v>-43.769999999999996</v>
      </c>
      <c r="J292" s="29">
        <v>10.64</v>
      </c>
      <c r="K292" s="29">
        <v>7.44</v>
      </c>
      <c r="L292" s="29">
        <v>26.63</v>
      </c>
      <c r="M292" s="368"/>
      <c r="N292" s="368"/>
      <c r="O292" s="271">
        <f>IFERROR(Table17[[#This Row],[PROFIT]]/Table17[[#This Row],[TO]],0)</f>
        <v>0</v>
      </c>
      <c r="P292" s="177"/>
      <c r="Q292" s="177"/>
      <c r="R292" s="177"/>
    </row>
    <row r="293" spans="1:18" ht="30" hidden="1" x14ac:dyDescent="0.25">
      <c r="A293" s="29" t="s">
        <v>5538</v>
      </c>
      <c r="B293" s="29" t="s">
        <v>5537</v>
      </c>
      <c r="C293" s="29" t="s">
        <v>308</v>
      </c>
      <c r="D293" s="29" t="str">
        <f>VLOOKUP(C:C,'COUNT-CONT'!B:C,2,FALSE)</f>
        <v>Europe</v>
      </c>
      <c r="E293" s="29">
        <v>6</v>
      </c>
      <c r="F293" s="28">
        <v>3565</v>
      </c>
      <c r="G293" s="28">
        <v>6714355399</v>
      </c>
      <c r="H293" s="29">
        <v>35.61</v>
      </c>
      <c r="I293" s="142">
        <v>-43.83</v>
      </c>
      <c r="J293" s="29">
        <v>21.67</v>
      </c>
      <c r="K293" s="29">
        <v>20.92</v>
      </c>
      <c r="L293" s="29">
        <v>38.72</v>
      </c>
      <c r="M293" s="368"/>
      <c r="N293" s="368"/>
      <c r="O293" s="271">
        <f>IFERROR(Table17[[#This Row],[PROFIT]]/Table17[[#This Row],[TO]],0)</f>
        <v>0</v>
      </c>
      <c r="P293" s="177"/>
      <c r="Q293" s="177"/>
      <c r="R293" s="177"/>
    </row>
    <row r="294" spans="1:18" hidden="1" x14ac:dyDescent="0.25">
      <c r="A294" s="29" t="s">
        <v>4816</v>
      </c>
      <c r="B294" s="29" t="s">
        <v>4815</v>
      </c>
      <c r="C294" s="29" t="s">
        <v>608</v>
      </c>
      <c r="D294" s="29" t="str">
        <f>VLOOKUP(C:C,'COUNT-CONT'!B:C,2,FALSE)</f>
        <v>Africa</v>
      </c>
      <c r="E294" s="29">
        <v>9</v>
      </c>
      <c r="F294" s="28">
        <v>3467</v>
      </c>
      <c r="G294" s="28">
        <v>4945477184</v>
      </c>
      <c r="H294" s="29">
        <v>35.549999999999997</v>
      </c>
      <c r="I294" s="142">
        <v>-43.89</v>
      </c>
      <c r="J294" s="29">
        <v>9.1300000000000008</v>
      </c>
      <c r="K294" s="29">
        <v>6.08</v>
      </c>
      <c r="L294" s="29">
        <v>25.39</v>
      </c>
      <c r="M294" s="368"/>
      <c r="N294" s="368"/>
      <c r="O294" s="271">
        <f>IFERROR(Table17[[#This Row],[PROFIT]]/Table17[[#This Row],[TO]],0)</f>
        <v>0</v>
      </c>
      <c r="P294" s="177"/>
      <c r="Q294" s="177"/>
      <c r="R294" s="177"/>
    </row>
    <row r="295" spans="1:18" hidden="1" x14ac:dyDescent="0.25">
      <c r="A295" s="29" t="s">
        <v>4814</v>
      </c>
      <c r="B295" s="29" t="s">
        <v>4813</v>
      </c>
      <c r="C295" s="29" t="s">
        <v>1654</v>
      </c>
      <c r="D295" s="29" t="str">
        <f>VLOOKUP(C:C,'COUNT-CONT'!B:C,2,FALSE)</f>
        <v>Asia</v>
      </c>
      <c r="E295" s="29">
        <v>8</v>
      </c>
      <c r="F295" s="28">
        <v>3153</v>
      </c>
      <c r="G295" s="28">
        <v>5053074088</v>
      </c>
      <c r="H295" s="29">
        <v>35.549999999999997</v>
      </c>
      <c r="I295" s="142">
        <v>-43.89</v>
      </c>
      <c r="J295" s="29">
        <v>9.1300000000000008</v>
      </c>
      <c r="K295" s="29">
        <v>6.08</v>
      </c>
      <c r="L295" s="29">
        <v>25.39</v>
      </c>
      <c r="M295" s="368"/>
      <c r="N295" s="368"/>
      <c r="O295" s="271">
        <f>IFERROR(Table17[[#This Row],[PROFIT]]/Table17[[#This Row],[TO]],0)</f>
        <v>0</v>
      </c>
      <c r="P295" s="177"/>
      <c r="Q295" s="177"/>
      <c r="R295" s="177"/>
    </row>
    <row r="296" spans="1:18" hidden="1" x14ac:dyDescent="0.25">
      <c r="A296" s="29" t="s">
        <v>5017</v>
      </c>
      <c r="B296" s="29" t="s">
        <v>5016</v>
      </c>
      <c r="C296" s="29" t="s">
        <v>1683</v>
      </c>
      <c r="D296" s="29" t="str">
        <f>VLOOKUP(C:C,'COUNT-CONT'!B:C,2,FALSE)</f>
        <v>Europe</v>
      </c>
      <c r="E296" s="29">
        <v>7</v>
      </c>
      <c r="F296" s="28">
        <v>2802</v>
      </c>
      <c r="G296" s="28">
        <v>5229088109</v>
      </c>
      <c r="H296" s="29">
        <v>35.549999999999997</v>
      </c>
      <c r="I296" s="142">
        <v>-43.89</v>
      </c>
      <c r="J296" s="29">
        <v>11.67</v>
      </c>
      <c r="K296" s="29">
        <v>8.89</v>
      </c>
      <c r="L296" s="29">
        <v>27.78</v>
      </c>
      <c r="M296" s="368"/>
      <c r="N296" s="368"/>
      <c r="O296" s="271">
        <f>IFERROR(Table17[[#This Row],[PROFIT]]/Table17[[#This Row],[TO]],0)</f>
        <v>0</v>
      </c>
      <c r="P296" s="177"/>
      <c r="Q296" s="177"/>
      <c r="R296" s="177"/>
    </row>
    <row r="297" spans="1:18" hidden="1" x14ac:dyDescent="0.25">
      <c r="A297" s="29" t="s">
        <v>295</v>
      </c>
      <c r="B297" s="29" t="s">
        <v>5603</v>
      </c>
      <c r="C297" s="29" t="s">
        <v>1674</v>
      </c>
      <c r="D297" s="29" t="str">
        <f>VLOOKUP(C:C,'COUNT-CONT'!B:C,2,FALSE)</f>
        <v>Europe</v>
      </c>
      <c r="E297" s="29">
        <v>10</v>
      </c>
      <c r="F297" s="28">
        <v>6474</v>
      </c>
      <c r="G297" s="28">
        <v>7206510410</v>
      </c>
      <c r="H297" s="29">
        <v>35.520000000000003</v>
      </c>
      <c r="I297" s="142">
        <v>-43.919999999999995</v>
      </c>
      <c r="J297" s="29">
        <v>25.36</v>
      </c>
      <c r="K297" s="29">
        <v>24.52</v>
      </c>
      <c r="L297" s="29">
        <v>42.29</v>
      </c>
      <c r="M297" s="368"/>
      <c r="N297" s="368"/>
      <c r="O297" s="271">
        <f>IFERROR(Table17[[#This Row],[PROFIT]]/Table17[[#This Row],[TO]],0)</f>
        <v>0</v>
      </c>
      <c r="P297" s="177"/>
      <c r="Q297" s="177"/>
      <c r="R297" s="177"/>
    </row>
    <row r="298" spans="1:18" ht="30" hidden="1" x14ac:dyDescent="0.25">
      <c r="A298" s="29" t="s">
        <v>5532</v>
      </c>
      <c r="B298" s="29" t="s">
        <v>5531</v>
      </c>
      <c r="C298" s="29" t="s">
        <v>1946</v>
      </c>
      <c r="D298" s="29" t="str">
        <f>VLOOKUP(C:C,'COUNT-CONT'!B:C,2,FALSE)</f>
        <v>North America</v>
      </c>
      <c r="E298" s="29">
        <v>9</v>
      </c>
      <c r="F298" s="28">
        <v>4436</v>
      </c>
      <c r="G298" s="28">
        <v>6698671145</v>
      </c>
      <c r="H298" s="29">
        <v>35.520000000000003</v>
      </c>
      <c r="I298" s="142">
        <v>-43.919999999999995</v>
      </c>
      <c r="J298" s="29">
        <v>21.61</v>
      </c>
      <c r="K298" s="29">
        <v>20.83</v>
      </c>
      <c r="L298" s="29">
        <v>38.6</v>
      </c>
      <c r="M298" s="368"/>
      <c r="N298" s="368"/>
      <c r="O298" s="271">
        <f>IFERROR(Table17[[#This Row],[PROFIT]]/Table17[[#This Row],[TO]],0)</f>
        <v>0</v>
      </c>
      <c r="P298" s="177"/>
      <c r="Q298" s="177"/>
      <c r="R298" s="177"/>
    </row>
    <row r="299" spans="1:18" ht="30" hidden="1" x14ac:dyDescent="0.25">
      <c r="A299" s="29" t="s">
        <v>5269</v>
      </c>
      <c r="B299" s="29" t="s">
        <v>5268</v>
      </c>
      <c r="C299" s="29" t="s">
        <v>1749</v>
      </c>
      <c r="D299" s="29" t="str">
        <f>VLOOKUP(C:C,'COUNT-CONT'!B:C,2,FALSE)</f>
        <v>North America</v>
      </c>
      <c r="E299" s="29">
        <v>8</v>
      </c>
      <c r="F299" s="28">
        <v>3613</v>
      </c>
      <c r="G299" s="28">
        <v>5790056130</v>
      </c>
      <c r="H299" s="29">
        <v>35.520000000000003</v>
      </c>
      <c r="I299" s="142">
        <v>-43.919999999999995</v>
      </c>
      <c r="J299" s="29">
        <v>16.14</v>
      </c>
      <c r="K299" s="29">
        <v>13.54</v>
      </c>
      <c r="L299" s="29">
        <v>32.32</v>
      </c>
      <c r="M299" s="368"/>
      <c r="N299" s="368"/>
      <c r="O299" s="271">
        <f>IFERROR(Table17[[#This Row],[PROFIT]]/Table17[[#This Row],[TO]],0)</f>
        <v>0</v>
      </c>
      <c r="P299" s="177"/>
      <c r="Q299" s="177"/>
      <c r="R299" s="177"/>
    </row>
    <row r="300" spans="1:18" ht="30" hidden="1" x14ac:dyDescent="0.25">
      <c r="A300" s="29" t="s">
        <v>5530</v>
      </c>
      <c r="B300" s="29" t="s">
        <v>5529</v>
      </c>
      <c r="C300" s="29" t="s">
        <v>83</v>
      </c>
      <c r="D300" s="29" t="str">
        <f>VLOOKUP(C:C,'COUNT-CONT'!B:C,2,FALSE)</f>
        <v>Europe</v>
      </c>
      <c r="E300" s="29">
        <v>7</v>
      </c>
      <c r="F300" s="28">
        <v>4000</v>
      </c>
      <c r="G300" s="28">
        <v>6679200000</v>
      </c>
      <c r="H300" s="29">
        <v>35.49</v>
      </c>
      <c r="I300" s="142">
        <v>-43.949999999999996</v>
      </c>
      <c r="J300" s="29">
        <v>21.61</v>
      </c>
      <c r="K300" s="29">
        <v>20.07</v>
      </c>
      <c r="L300" s="29">
        <v>38.6</v>
      </c>
      <c r="M300" s="368"/>
      <c r="N300" s="368"/>
      <c r="O300" s="271">
        <f>IFERROR(Table17[[#This Row],[PROFIT]]/Table17[[#This Row],[TO]],0)</f>
        <v>0</v>
      </c>
      <c r="P300" s="177"/>
      <c r="Q300" s="177"/>
      <c r="R300" s="177"/>
    </row>
    <row r="301" spans="1:18" hidden="1" x14ac:dyDescent="0.25">
      <c r="A301" s="29" t="s">
        <v>4714</v>
      </c>
      <c r="B301" s="29" t="s">
        <v>4713</v>
      </c>
      <c r="C301" s="29" t="s">
        <v>1070</v>
      </c>
      <c r="D301" s="29" t="str">
        <f>VLOOKUP(C:C,'COUNT-CONT'!B:C,2,FALSE)</f>
        <v>Asia</v>
      </c>
      <c r="E301" s="29">
        <v>7</v>
      </c>
      <c r="F301" s="28">
        <v>2664</v>
      </c>
      <c r="G301" s="28">
        <v>4856012912</v>
      </c>
      <c r="H301" s="29">
        <v>35.4</v>
      </c>
      <c r="I301" s="142">
        <v>-44.04</v>
      </c>
      <c r="J301" s="29">
        <v>8.2200000000000006</v>
      </c>
      <c r="K301" s="29">
        <v>5.32</v>
      </c>
      <c r="L301" s="29">
        <v>24.24</v>
      </c>
      <c r="M301" s="368"/>
      <c r="N301" s="368"/>
      <c r="O301" s="271">
        <f>IFERROR(Table17[[#This Row],[PROFIT]]/Table17[[#This Row],[TO]],0)</f>
        <v>0</v>
      </c>
      <c r="P301" s="177"/>
      <c r="Q301" s="177"/>
      <c r="R301" s="177"/>
    </row>
    <row r="302" spans="1:18" ht="30" hidden="1" x14ac:dyDescent="0.25">
      <c r="A302" s="29" t="s">
        <v>5321</v>
      </c>
      <c r="B302" s="29" t="s">
        <v>5320</v>
      </c>
      <c r="C302" s="29" t="s">
        <v>733</v>
      </c>
      <c r="D302" s="29" t="str">
        <f>VLOOKUP(C:C,'COUNT-CONT'!B:C,2,FALSE)</f>
        <v>Europe</v>
      </c>
      <c r="E302" s="29">
        <v>10</v>
      </c>
      <c r="F302" s="28">
        <v>4357</v>
      </c>
      <c r="G302" s="28">
        <v>5980667294</v>
      </c>
      <c r="H302" s="29">
        <v>35.369999999999997</v>
      </c>
      <c r="I302" s="142">
        <v>-44.07</v>
      </c>
      <c r="J302" s="29">
        <v>16.690000000000001</v>
      </c>
      <c r="K302" s="29">
        <v>15.36</v>
      </c>
      <c r="L302" s="29">
        <v>33.369999999999997</v>
      </c>
      <c r="M302" s="368"/>
      <c r="N302" s="368"/>
      <c r="O302" s="271">
        <f>IFERROR(Table17[[#This Row],[PROFIT]]/Table17[[#This Row],[TO]],0)</f>
        <v>0</v>
      </c>
      <c r="P302" s="177"/>
      <c r="Q302" s="177"/>
      <c r="R302" s="177"/>
    </row>
    <row r="303" spans="1:18" ht="30" hidden="1" x14ac:dyDescent="0.25">
      <c r="A303" s="29" t="s">
        <v>4941</v>
      </c>
      <c r="B303" s="29" t="s">
        <v>4940</v>
      </c>
      <c r="C303" s="29" t="s">
        <v>714</v>
      </c>
      <c r="D303" s="29" t="str">
        <f>VLOOKUP(C:C,'COUNT-CONT'!B:C,2,FALSE)</f>
        <v>South America</v>
      </c>
      <c r="E303" s="29">
        <v>8</v>
      </c>
      <c r="F303" s="28">
        <v>3288</v>
      </c>
      <c r="G303" s="28">
        <v>5186349878</v>
      </c>
      <c r="H303" s="29">
        <v>35.340000000000003</v>
      </c>
      <c r="I303" s="142">
        <v>-44.099999999999994</v>
      </c>
      <c r="J303" s="29">
        <v>10.7</v>
      </c>
      <c r="K303" s="29">
        <v>8.01</v>
      </c>
      <c r="L303" s="29">
        <v>26.78</v>
      </c>
      <c r="M303" s="368"/>
      <c r="N303" s="368"/>
      <c r="O303" s="271">
        <f>IFERROR(Table17[[#This Row],[PROFIT]]/Table17[[#This Row],[TO]],0)</f>
        <v>0</v>
      </c>
      <c r="P303" s="177"/>
      <c r="Q303" s="177"/>
      <c r="R303" s="177"/>
    </row>
    <row r="304" spans="1:18" ht="45" hidden="1" x14ac:dyDescent="0.25">
      <c r="A304" s="29" t="s">
        <v>4945</v>
      </c>
      <c r="B304" s="29" t="s">
        <v>4944</v>
      </c>
      <c r="C304" s="29" t="s">
        <v>714</v>
      </c>
      <c r="D304" s="29" t="str">
        <f>VLOOKUP(C:C,'COUNT-CONT'!B:C,2,FALSE)</f>
        <v>South America</v>
      </c>
      <c r="E304" s="29">
        <v>9</v>
      </c>
      <c r="F304" s="28">
        <v>3365</v>
      </c>
      <c r="G304" s="28">
        <v>5185694502</v>
      </c>
      <c r="H304" s="29">
        <v>35.340000000000003</v>
      </c>
      <c r="I304" s="142">
        <v>-44.099999999999994</v>
      </c>
      <c r="J304" s="29">
        <v>10.7</v>
      </c>
      <c r="K304" s="29">
        <v>8.01</v>
      </c>
      <c r="L304" s="29">
        <v>26.78</v>
      </c>
      <c r="M304" s="368"/>
      <c r="N304" s="368"/>
      <c r="O304" s="271">
        <f>IFERROR(Table17[[#This Row],[PROFIT]]/Table17[[#This Row],[TO]],0)</f>
        <v>0</v>
      </c>
      <c r="P304" s="177"/>
      <c r="Q304" s="177"/>
      <c r="R304" s="177"/>
    </row>
    <row r="305" spans="1:18" ht="30" hidden="1" x14ac:dyDescent="0.25">
      <c r="A305" s="29" t="s">
        <v>485</v>
      </c>
      <c r="B305" s="29" t="s">
        <v>5656</v>
      </c>
      <c r="C305" s="29" t="s">
        <v>11732</v>
      </c>
      <c r="D305" s="29" t="str">
        <f>VLOOKUP(C:C,'COUNT-CONT'!B:C,2,FALSE)</f>
        <v>North America</v>
      </c>
      <c r="E305" s="29">
        <v>10</v>
      </c>
      <c r="F305" s="28">
        <v>7389</v>
      </c>
      <c r="G305" s="28">
        <v>7848169941</v>
      </c>
      <c r="H305" s="29">
        <v>35.340000000000003</v>
      </c>
      <c r="I305" s="142">
        <v>-44.099999999999994</v>
      </c>
      <c r="J305" s="29">
        <v>28.84</v>
      </c>
      <c r="K305" s="29">
        <v>28.84</v>
      </c>
      <c r="L305" s="29">
        <v>46.52</v>
      </c>
      <c r="M305" s="368"/>
      <c r="N305" s="368"/>
      <c r="O305" s="271">
        <f>IFERROR(Table17[[#This Row],[PROFIT]]/Table17[[#This Row],[TO]],0)</f>
        <v>0</v>
      </c>
      <c r="P305" s="177"/>
      <c r="Q305" s="177"/>
      <c r="R305" s="177"/>
    </row>
    <row r="306" spans="1:18" hidden="1" x14ac:dyDescent="0.25">
      <c r="A306" s="29" t="s">
        <v>5408</v>
      </c>
      <c r="B306" s="29" t="s">
        <v>5407</v>
      </c>
      <c r="C306" s="29" t="s">
        <v>142</v>
      </c>
      <c r="D306" s="29" t="str">
        <f>VLOOKUP(C:C,'COUNT-CONT'!B:C,2,FALSE)</f>
        <v>Asia</v>
      </c>
      <c r="E306" s="29">
        <v>8</v>
      </c>
      <c r="F306" s="28">
        <v>3951</v>
      </c>
      <c r="G306" s="28">
        <v>6282510528</v>
      </c>
      <c r="H306" s="29">
        <v>35.340000000000003</v>
      </c>
      <c r="I306" s="142">
        <v>-44.099999999999994</v>
      </c>
      <c r="J306" s="29">
        <v>19.07</v>
      </c>
      <c r="K306" s="29">
        <v>16.96</v>
      </c>
      <c r="L306" s="29">
        <v>35.340000000000003</v>
      </c>
      <c r="M306" s="368"/>
      <c r="N306" s="368"/>
      <c r="O306" s="271">
        <f>IFERROR(Table17[[#This Row],[PROFIT]]/Table17[[#This Row],[TO]],0)</f>
        <v>0</v>
      </c>
      <c r="P306" s="177"/>
      <c r="Q306" s="177"/>
      <c r="R306" s="177"/>
    </row>
    <row r="307" spans="1:18" ht="30" hidden="1" x14ac:dyDescent="0.25">
      <c r="A307" s="29" t="s">
        <v>154</v>
      </c>
      <c r="B307" s="29" t="s">
        <v>4710</v>
      </c>
      <c r="C307" s="29" t="s">
        <v>1070</v>
      </c>
      <c r="D307" s="29" t="str">
        <f>VLOOKUP(C:C,'COUNT-CONT'!B:C,2,FALSE)</f>
        <v>Asia</v>
      </c>
      <c r="E307" s="29">
        <v>9</v>
      </c>
      <c r="F307" s="28">
        <v>3351</v>
      </c>
      <c r="G307" s="28">
        <v>4828060220</v>
      </c>
      <c r="H307" s="29">
        <v>35.340000000000003</v>
      </c>
      <c r="I307" s="142">
        <v>-44.099999999999994</v>
      </c>
      <c r="J307" s="29">
        <v>8.2200000000000006</v>
      </c>
      <c r="K307" s="29">
        <v>5.32</v>
      </c>
      <c r="L307" s="29">
        <v>24.21</v>
      </c>
      <c r="M307" s="368"/>
      <c r="N307" s="368"/>
      <c r="O307" s="271">
        <f>IFERROR(Table17[[#This Row],[PROFIT]]/Table17[[#This Row],[TO]],0)</f>
        <v>0</v>
      </c>
      <c r="P307" s="177"/>
      <c r="Q307" s="177"/>
      <c r="R307" s="177"/>
    </row>
    <row r="308" spans="1:18" hidden="1" x14ac:dyDescent="0.25">
      <c r="A308" s="29" t="s">
        <v>5190</v>
      </c>
      <c r="B308" s="29" t="s">
        <v>5189</v>
      </c>
      <c r="C308" s="29" t="s">
        <v>1459</v>
      </c>
      <c r="D308" s="29" t="str">
        <f>VLOOKUP(C:C,'COUNT-CONT'!B:C,2,FALSE)</f>
        <v>Europe</v>
      </c>
      <c r="E308" s="29">
        <v>10</v>
      </c>
      <c r="F308" s="28">
        <v>4246</v>
      </c>
      <c r="G308" s="28">
        <v>5562267357</v>
      </c>
      <c r="H308" s="29">
        <v>35.340000000000003</v>
      </c>
      <c r="I308" s="142">
        <v>-44.099999999999994</v>
      </c>
      <c r="J308" s="29">
        <v>14</v>
      </c>
      <c r="K308" s="29">
        <v>12.18</v>
      </c>
      <c r="L308" s="29">
        <v>30.47</v>
      </c>
      <c r="M308" s="368"/>
      <c r="N308" s="368"/>
      <c r="O308" s="271">
        <f>IFERROR(Table17[[#This Row],[PROFIT]]/Table17[[#This Row],[TO]],0)</f>
        <v>0</v>
      </c>
      <c r="P308" s="177"/>
      <c r="Q308" s="177"/>
      <c r="R308" s="177"/>
    </row>
    <row r="309" spans="1:18" hidden="1" x14ac:dyDescent="0.25">
      <c r="A309" s="29" t="s">
        <v>5570</v>
      </c>
      <c r="B309" s="29" t="s">
        <v>5569</v>
      </c>
      <c r="C309" s="29" t="s">
        <v>119</v>
      </c>
      <c r="D309" s="29" t="str">
        <f>VLOOKUP(C:C,'COUNT-CONT'!B:C,2,FALSE)</f>
        <v>Europe</v>
      </c>
      <c r="E309" s="29">
        <v>8</v>
      </c>
      <c r="F309" s="28">
        <v>4596</v>
      </c>
      <c r="G309" s="28">
        <v>6889938555</v>
      </c>
      <c r="H309" s="29">
        <v>35.31</v>
      </c>
      <c r="I309" s="142">
        <v>-44.129999999999995</v>
      </c>
      <c r="J309" s="29">
        <v>23.25</v>
      </c>
      <c r="K309" s="29">
        <v>22.46</v>
      </c>
      <c r="L309" s="29">
        <v>40.11</v>
      </c>
      <c r="M309" s="368"/>
      <c r="N309" s="368"/>
      <c r="O309" s="271">
        <f>IFERROR(Table17[[#This Row],[PROFIT]]/Table17[[#This Row],[TO]],0)</f>
        <v>0</v>
      </c>
      <c r="P309" s="177"/>
      <c r="Q309" s="177"/>
      <c r="R309" s="177"/>
    </row>
    <row r="310" spans="1:18" hidden="1" x14ac:dyDescent="0.25">
      <c r="A310" s="29" t="s">
        <v>5149</v>
      </c>
      <c r="B310" s="29" t="s">
        <v>5148</v>
      </c>
      <c r="C310" s="29" t="s">
        <v>14</v>
      </c>
      <c r="D310" s="29" t="str">
        <f>VLOOKUP(C:C,'COUNT-CONT'!B:C,2,FALSE)</f>
        <v>Asia</v>
      </c>
      <c r="E310" s="29">
        <v>10</v>
      </c>
      <c r="F310" s="28">
        <v>4180</v>
      </c>
      <c r="G310" s="28">
        <v>5487957894</v>
      </c>
      <c r="H310" s="29">
        <v>35.28</v>
      </c>
      <c r="I310" s="142">
        <v>-44.16</v>
      </c>
      <c r="J310" s="29">
        <v>13.72</v>
      </c>
      <c r="K310" s="29">
        <v>11.34</v>
      </c>
      <c r="L310" s="29">
        <v>29.9</v>
      </c>
      <c r="M310" s="368"/>
      <c r="N310" s="368"/>
      <c r="O310" s="271">
        <f>IFERROR(Table17[[#This Row],[PROFIT]]/Table17[[#This Row],[TO]],0)</f>
        <v>0</v>
      </c>
      <c r="P310" s="177"/>
      <c r="Q310" s="177"/>
      <c r="R310" s="177"/>
    </row>
    <row r="311" spans="1:18" x14ac:dyDescent="0.25">
      <c r="A311" s="29" t="s">
        <v>5487</v>
      </c>
      <c r="B311" s="29" t="s">
        <v>5486</v>
      </c>
      <c r="C311" s="29" t="s">
        <v>774</v>
      </c>
      <c r="D311" s="29" t="str">
        <f>VLOOKUP(C:C,'COUNT-CONT'!B:C,2,FALSE)</f>
        <v>Oceania</v>
      </c>
      <c r="E311" s="29">
        <v>9</v>
      </c>
      <c r="F311" s="28">
        <v>4335</v>
      </c>
      <c r="G311" s="28">
        <v>6560748558</v>
      </c>
      <c r="H311" s="29">
        <v>35.25</v>
      </c>
      <c r="I311" s="142">
        <v>-44.19</v>
      </c>
      <c r="J311" s="29">
        <v>20.98</v>
      </c>
      <c r="K311" s="29">
        <v>19.5</v>
      </c>
      <c r="L311" s="29">
        <v>37.520000000000003</v>
      </c>
      <c r="M311" s="368"/>
      <c r="N311" s="368"/>
      <c r="O311" s="271">
        <f>IFERROR(Table17[[#This Row],[PROFIT]]/Table17[[#This Row],[TO]],0)</f>
        <v>0</v>
      </c>
      <c r="P311" s="177"/>
      <c r="Q311" s="177"/>
      <c r="R311" s="177"/>
    </row>
    <row r="312" spans="1:18" hidden="1" x14ac:dyDescent="0.25">
      <c r="A312" s="29" t="s">
        <v>4699</v>
      </c>
      <c r="B312" s="29" t="s">
        <v>4698</v>
      </c>
      <c r="C312" s="29" t="s">
        <v>717</v>
      </c>
      <c r="D312" s="29" t="str">
        <f>VLOOKUP(C:C,'COUNT-CONT'!B:C,2,FALSE)</f>
        <v>Asia</v>
      </c>
      <c r="E312" s="29">
        <v>4</v>
      </c>
      <c r="F312" s="28">
        <v>2135</v>
      </c>
      <c r="G312" s="28">
        <v>5032222482</v>
      </c>
      <c r="H312" s="29">
        <v>35.22</v>
      </c>
      <c r="I312" s="142">
        <v>-44.22</v>
      </c>
      <c r="J312" s="29">
        <v>8.19</v>
      </c>
      <c r="K312" s="29">
        <v>5.29</v>
      </c>
      <c r="L312" s="29">
        <v>24.12</v>
      </c>
      <c r="M312" s="368"/>
      <c r="N312" s="368"/>
      <c r="O312" s="271">
        <f>IFERROR(Table17[[#This Row],[PROFIT]]/Table17[[#This Row],[TO]],0)</f>
        <v>0</v>
      </c>
      <c r="P312" s="177"/>
      <c r="Q312" s="177"/>
      <c r="R312" s="177"/>
    </row>
    <row r="313" spans="1:18" hidden="1" x14ac:dyDescent="0.25">
      <c r="A313" s="29" t="s">
        <v>5171</v>
      </c>
      <c r="B313" s="29" t="s">
        <v>5170</v>
      </c>
      <c r="C313" s="29" t="s">
        <v>4549</v>
      </c>
      <c r="D313" s="29" t="str">
        <f>VLOOKUP(C:C,'COUNT-CONT'!B:C,2,FALSE)</f>
        <v>Africa</v>
      </c>
      <c r="E313" s="29">
        <v>10</v>
      </c>
      <c r="F313" s="28">
        <v>4020</v>
      </c>
      <c r="G313" s="28">
        <v>5556031840</v>
      </c>
      <c r="H313" s="29">
        <v>35.159999999999997</v>
      </c>
      <c r="I313" s="142">
        <v>-44.28</v>
      </c>
      <c r="J313" s="29">
        <v>13.94</v>
      </c>
      <c r="K313" s="29">
        <v>11.52</v>
      </c>
      <c r="L313" s="29">
        <v>30.32</v>
      </c>
      <c r="M313" s="368"/>
      <c r="N313" s="368"/>
      <c r="O313" s="271">
        <f>IFERROR(Table17[[#This Row],[PROFIT]]/Table17[[#This Row],[TO]],0)</f>
        <v>0</v>
      </c>
      <c r="P313" s="177"/>
      <c r="Q313" s="177"/>
      <c r="R313" s="177"/>
    </row>
    <row r="314" spans="1:18" hidden="1" x14ac:dyDescent="0.25">
      <c r="A314" s="29" t="s">
        <v>5141</v>
      </c>
      <c r="B314" s="29" t="s">
        <v>5140</v>
      </c>
      <c r="C314" s="29" t="s">
        <v>14</v>
      </c>
      <c r="D314" s="29" t="str">
        <f>VLOOKUP(C:C,'COUNT-CONT'!B:C,2,FALSE)</f>
        <v>Asia</v>
      </c>
      <c r="E314" s="29">
        <v>10</v>
      </c>
      <c r="F314" s="28">
        <v>4190</v>
      </c>
      <c r="G314" s="28">
        <v>5476029832</v>
      </c>
      <c r="H314" s="29">
        <v>35.130000000000003</v>
      </c>
      <c r="I314" s="142">
        <v>-44.309999999999995</v>
      </c>
      <c r="J314" s="29">
        <v>13.69</v>
      </c>
      <c r="K314" s="29">
        <v>11.31</v>
      </c>
      <c r="L314" s="29">
        <v>29.78</v>
      </c>
      <c r="M314" s="368"/>
      <c r="N314" s="368"/>
      <c r="O314" s="271">
        <f>IFERROR(Table17[[#This Row],[PROFIT]]/Table17[[#This Row],[TO]],0)</f>
        <v>0</v>
      </c>
      <c r="P314" s="177"/>
      <c r="Q314" s="177"/>
      <c r="R314" s="177"/>
    </row>
    <row r="315" spans="1:18" hidden="1" x14ac:dyDescent="0.25">
      <c r="A315" s="29" t="s">
        <v>5234</v>
      </c>
      <c r="B315" s="29" t="s">
        <v>5233</v>
      </c>
      <c r="C315" s="29" t="s">
        <v>605</v>
      </c>
      <c r="D315" s="29" t="str">
        <f>VLOOKUP(C:C,'COUNT-CONT'!B:C,2,FALSE)</f>
        <v>Europe</v>
      </c>
      <c r="E315" s="29">
        <v>8</v>
      </c>
      <c r="F315" s="28">
        <v>3299</v>
      </c>
      <c r="G315" s="28">
        <v>5807534374</v>
      </c>
      <c r="H315" s="29">
        <v>35.130000000000003</v>
      </c>
      <c r="I315" s="142">
        <v>-44.309999999999995</v>
      </c>
      <c r="J315" s="29">
        <v>15.05</v>
      </c>
      <c r="K315" s="29">
        <v>13.15</v>
      </c>
      <c r="L315" s="29">
        <v>31.35</v>
      </c>
      <c r="M315" s="368"/>
      <c r="N315" s="368"/>
      <c r="O315" s="271">
        <f>IFERROR(Table17[[#This Row],[PROFIT]]/Table17[[#This Row],[TO]],0)</f>
        <v>0</v>
      </c>
      <c r="P315" s="177"/>
      <c r="Q315" s="177"/>
      <c r="R315" s="177"/>
    </row>
    <row r="316" spans="1:18" ht="30" hidden="1" x14ac:dyDescent="0.25">
      <c r="A316" s="29" t="s">
        <v>5655</v>
      </c>
      <c r="B316" s="29" t="s">
        <v>5654</v>
      </c>
      <c r="C316" s="29" t="s">
        <v>11732</v>
      </c>
      <c r="D316" s="29" t="str">
        <f>VLOOKUP(C:C,'COUNT-CONT'!B:C,2,FALSE)</f>
        <v>North America</v>
      </c>
      <c r="E316" s="29">
        <v>5</v>
      </c>
      <c r="F316" s="28">
        <v>4069</v>
      </c>
      <c r="G316" s="28">
        <v>7759336692</v>
      </c>
      <c r="H316" s="29">
        <v>35.1</v>
      </c>
      <c r="I316" s="142">
        <v>-44.339999999999996</v>
      </c>
      <c r="J316" s="29">
        <v>28.63</v>
      </c>
      <c r="K316" s="29">
        <v>28.63</v>
      </c>
      <c r="L316" s="29">
        <v>46.19</v>
      </c>
      <c r="M316" s="368"/>
      <c r="N316" s="368"/>
      <c r="O316" s="271">
        <f>IFERROR(Table17[[#This Row],[PROFIT]]/Table17[[#This Row],[TO]],0)</f>
        <v>0</v>
      </c>
      <c r="P316" s="177"/>
      <c r="Q316" s="177"/>
      <c r="R316" s="177"/>
    </row>
    <row r="317" spans="1:18" hidden="1" x14ac:dyDescent="0.25">
      <c r="A317" s="29" t="s">
        <v>5068</v>
      </c>
      <c r="B317" s="29" t="s">
        <v>5067</v>
      </c>
      <c r="C317" s="29" t="s">
        <v>971</v>
      </c>
      <c r="D317" s="29" t="str">
        <f>VLOOKUP(C:C,'COUNT-CONT'!B:C,2,FALSE)</f>
        <v>Africa</v>
      </c>
      <c r="E317" s="29">
        <v>9</v>
      </c>
      <c r="F317" s="28">
        <v>3639</v>
      </c>
      <c r="G317" s="28">
        <v>5331880846</v>
      </c>
      <c r="H317" s="29">
        <v>35.04</v>
      </c>
      <c r="I317" s="142">
        <v>-44.4</v>
      </c>
      <c r="J317" s="29">
        <v>12.64</v>
      </c>
      <c r="K317" s="29">
        <v>10.34</v>
      </c>
      <c r="L317" s="29">
        <v>28.72</v>
      </c>
      <c r="M317" s="368"/>
      <c r="N317" s="368"/>
      <c r="O317" s="271">
        <f>IFERROR(Table17[[#This Row],[PROFIT]]/Table17[[#This Row],[TO]],0)</f>
        <v>0</v>
      </c>
      <c r="P317" s="177"/>
      <c r="Q317" s="177"/>
      <c r="R317" s="177"/>
    </row>
    <row r="318" spans="1:18" ht="30" hidden="1" x14ac:dyDescent="0.25">
      <c r="A318" s="29" t="s">
        <v>5651</v>
      </c>
      <c r="B318" s="29" t="s">
        <v>5650</v>
      </c>
      <c r="C318" s="29" t="s">
        <v>11732</v>
      </c>
      <c r="D318" s="29" t="str">
        <f>VLOOKUP(C:C,'COUNT-CONT'!B:C,2,FALSE)</f>
        <v>North America</v>
      </c>
      <c r="E318" s="29">
        <v>8</v>
      </c>
      <c r="F318" s="28">
        <v>5566</v>
      </c>
      <c r="G318" s="28">
        <v>7756228458</v>
      </c>
      <c r="H318" s="29">
        <v>35.04</v>
      </c>
      <c r="I318" s="142">
        <v>-44.4</v>
      </c>
      <c r="J318" s="29">
        <v>28.6</v>
      </c>
      <c r="K318" s="29">
        <v>28.6</v>
      </c>
      <c r="L318" s="29">
        <v>46.13</v>
      </c>
      <c r="M318" s="368"/>
      <c r="N318" s="368"/>
      <c r="O318" s="271">
        <f>IFERROR(Table17[[#This Row],[PROFIT]]/Table17[[#This Row],[TO]],0)</f>
        <v>0</v>
      </c>
      <c r="P318" s="177"/>
      <c r="Q318" s="177"/>
      <c r="R318" s="177"/>
    </row>
    <row r="319" spans="1:18" hidden="1" x14ac:dyDescent="0.25">
      <c r="A319" s="29" t="s">
        <v>5507</v>
      </c>
      <c r="B319" s="29" t="s">
        <v>5506</v>
      </c>
      <c r="C319" s="29" t="s">
        <v>308</v>
      </c>
      <c r="D319" s="29" t="str">
        <f>VLOOKUP(C:C,'COUNT-CONT'!B:C,2,FALSE)</f>
        <v>Europe</v>
      </c>
      <c r="E319" s="29">
        <v>8</v>
      </c>
      <c r="F319" s="28">
        <v>4190</v>
      </c>
      <c r="G319" s="28">
        <v>6618829832</v>
      </c>
      <c r="H319" s="29">
        <v>34.950000000000003</v>
      </c>
      <c r="I319" s="142">
        <v>-44.489999999999995</v>
      </c>
      <c r="J319" s="29">
        <v>21.25</v>
      </c>
      <c r="K319" s="29">
        <v>20.5</v>
      </c>
      <c r="L319" s="29">
        <v>38</v>
      </c>
      <c r="M319" s="368"/>
      <c r="N319" s="368"/>
      <c r="O319" s="271">
        <f>IFERROR(Table17[[#This Row],[PROFIT]]/Table17[[#This Row],[TO]],0)</f>
        <v>0</v>
      </c>
      <c r="P319" s="177"/>
      <c r="Q319" s="177"/>
      <c r="R319" s="177"/>
    </row>
    <row r="320" spans="1:18" ht="30" hidden="1" x14ac:dyDescent="0.25">
      <c r="A320" s="29" t="s">
        <v>5647</v>
      </c>
      <c r="B320" s="29" t="s">
        <v>5646</v>
      </c>
      <c r="C320" s="29" t="s">
        <v>11732</v>
      </c>
      <c r="D320" s="29" t="str">
        <f>VLOOKUP(C:C,'COUNT-CONT'!B:C,2,FALSE)</f>
        <v>North America</v>
      </c>
      <c r="E320" s="29">
        <v>10</v>
      </c>
      <c r="F320" s="28">
        <v>6432</v>
      </c>
      <c r="G320" s="28">
        <v>7744319900</v>
      </c>
      <c r="H320" s="29">
        <v>34.85</v>
      </c>
      <c r="I320" s="142">
        <v>-44.589999999999996</v>
      </c>
      <c r="J320" s="29">
        <v>28.45</v>
      </c>
      <c r="K320" s="29">
        <v>28.45</v>
      </c>
      <c r="L320" s="29">
        <v>45.89</v>
      </c>
      <c r="M320" s="368"/>
      <c r="N320" s="368"/>
      <c r="O320" s="271">
        <f>IFERROR(Table17[[#This Row],[PROFIT]]/Table17[[#This Row],[TO]],0)</f>
        <v>0</v>
      </c>
      <c r="P320" s="177"/>
      <c r="Q320" s="177"/>
      <c r="R320" s="177"/>
    </row>
    <row r="321" spans="1:18" ht="30" hidden="1" x14ac:dyDescent="0.25">
      <c r="A321" s="29" t="s">
        <v>5645</v>
      </c>
      <c r="B321" s="29" t="s">
        <v>5644</v>
      </c>
      <c r="C321" s="29" t="s">
        <v>11732</v>
      </c>
      <c r="D321" s="29" t="str">
        <f>VLOOKUP(C:C,'COUNT-CONT'!B:C,2,FALSE)</f>
        <v>North America</v>
      </c>
      <c r="E321" s="29">
        <v>4</v>
      </c>
      <c r="F321" s="28">
        <v>3811</v>
      </c>
      <c r="G321" s="28">
        <v>7722238152</v>
      </c>
      <c r="H321" s="29">
        <v>34.82</v>
      </c>
      <c r="I321" s="142">
        <v>-44.62</v>
      </c>
      <c r="J321" s="29">
        <v>28.42</v>
      </c>
      <c r="K321" s="29">
        <v>28.42</v>
      </c>
      <c r="L321" s="29">
        <v>45.86</v>
      </c>
      <c r="M321" s="368"/>
      <c r="N321" s="368"/>
      <c r="O321" s="271">
        <f>IFERROR(Table17[[#This Row],[PROFIT]]/Table17[[#This Row],[TO]],0)</f>
        <v>0</v>
      </c>
      <c r="P321" s="177"/>
      <c r="Q321" s="177"/>
      <c r="R321" s="177"/>
    </row>
    <row r="322" spans="1:18" hidden="1" x14ac:dyDescent="0.25">
      <c r="A322" s="29" t="s">
        <v>5185</v>
      </c>
      <c r="B322" s="29" t="s">
        <v>5184</v>
      </c>
      <c r="C322" s="29" t="s">
        <v>5183</v>
      </c>
      <c r="D322" s="29" t="str">
        <f>VLOOKUP(C:C,'COUNT-CONT'!B:C,2,FALSE)</f>
        <v>Europe</v>
      </c>
      <c r="E322" s="29">
        <v>10</v>
      </c>
      <c r="F322" s="28">
        <v>4159</v>
      </c>
      <c r="G322" s="28">
        <v>5588886655</v>
      </c>
      <c r="H322" s="29">
        <v>34.700000000000003</v>
      </c>
      <c r="I322" s="142">
        <v>-44.739999999999995</v>
      </c>
      <c r="J322" s="29">
        <v>14.6</v>
      </c>
      <c r="K322" s="29">
        <v>12.18</v>
      </c>
      <c r="L322" s="29">
        <v>30.44</v>
      </c>
      <c r="M322" s="368"/>
      <c r="N322" s="368"/>
      <c r="O322" s="271">
        <f>IFERROR(Table17[[#This Row],[PROFIT]]/Table17[[#This Row],[TO]],0)</f>
        <v>0</v>
      </c>
      <c r="P322" s="177"/>
      <c r="Q322" s="177"/>
      <c r="R322" s="177"/>
    </row>
    <row r="323" spans="1:18" ht="30" hidden="1" x14ac:dyDescent="0.25">
      <c r="A323" s="29" t="s">
        <v>4824</v>
      </c>
      <c r="B323" s="29" t="s">
        <v>4823</v>
      </c>
      <c r="C323" s="29" t="s">
        <v>502</v>
      </c>
      <c r="D323" s="29" t="str">
        <f>VLOOKUP(C:C,'COUNT-CONT'!B:C,2,FALSE)</f>
        <v>Asia</v>
      </c>
      <c r="E323" s="29">
        <v>10</v>
      </c>
      <c r="F323" s="28">
        <v>4257</v>
      </c>
      <c r="G323" s="28">
        <v>5046897932</v>
      </c>
      <c r="H323" s="29">
        <v>34.67</v>
      </c>
      <c r="I323" s="142">
        <v>-44.769999999999996</v>
      </c>
      <c r="J323" s="29">
        <v>9.67</v>
      </c>
      <c r="K323" s="29">
        <v>7.13</v>
      </c>
      <c r="L323" s="29">
        <v>25.48</v>
      </c>
      <c r="M323" s="368"/>
      <c r="N323" s="368"/>
      <c r="O323" s="271">
        <f>IFERROR(Table17[[#This Row],[PROFIT]]/Table17[[#This Row],[TO]],0)</f>
        <v>0</v>
      </c>
      <c r="P323" s="177"/>
      <c r="Q323" s="177"/>
      <c r="R323" s="177"/>
    </row>
    <row r="324" spans="1:18" hidden="1" x14ac:dyDescent="0.25">
      <c r="A324" s="29" t="s">
        <v>5004</v>
      </c>
      <c r="B324" s="29" t="s">
        <v>5003</v>
      </c>
      <c r="C324" s="29" t="s">
        <v>533</v>
      </c>
      <c r="D324" s="29" t="str">
        <f>VLOOKUP(C:C,'COUNT-CONT'!B:C,2,FALSE)</f>
        <v>Asia</v>
      </c>
      <c r="E324" s="29">
        <v>6</v>
      </c>
      <c r="F324" s="28">
        <v>2564</v>
      </c>
      <c r="G324" s="28">
        <v>5200617160</v>
      </c>
      <c r="H324" s="29">
        <v>34.61</v>
      </c>
      <c r="I324" s="142">
        <v>-44.83</v>
      </c>
      <c r="J324" s="29">
        <v>11.52</v>
      </c>
      <c r="K324" s="29">
        <v>8.77</v>
      </c>
      <c r="L324" s="29">
        <v>27.48</v>
      </c>
      <c r="M324" s="368"/>
      <c r="N324" s="368"/>
      <c r="O324" s="271">
        <f>IFERROR(Table17[[#This Row],[PROFIT]]/Table17[[#This Row],[TO]],0)</f>
        <v>0</v>
      </c>
      <c r="P324" s="177"/>
      <c r="Q324" s="177"/>
      <c r="R324" s="177"/>
    </row>
    <row r="325" spans="1:18" hidden="1" x14ac:dyDescent="0.25">
      <c r="A325" s="29" t="s">
        <v>4962</v>
      </c>
      <c r="B325" s="29" t="s">
        <v>4961</v>
      </c>
      <c r="C325" s="29" t="s">
        <v>1377</v>
      </c>
      <c r="D325" s="29" t="str">
        <f>VLOOKUP(C:C,'COUNT-CONT'!B:C,2,FALSE)</f>
        <v>Europe</v>
      </c>
      <c r="E325" s="29">
        <v>9</v>
      </c>
      <c r="F325" s="28">
        <v>3543</v>
      </c>
      <c r="G325" s="28">
        <v>5142871351</v>
      </c>
      <c r="H325" s="29">
        <v>34.58</v>
      </c>
      <c r="I325" s="142">
        <v>-44.86</v>
      </c>
      <c r="J325" s="29">
        <v>11.34</v>
      </c>
      <c r="K325" s="29">
        <v>8.65</v>
      </c>
      <c r="L325" s="29">
        <v>27.03</v>
      </c>
      <c r="M325" s="368"/>
      <c r="N325" s="368"/>
      <c r="O325" s="271">
        <f>IFERROR(Table17[[#This Row],[PROFIT]]/Table17[[#This Row],[TO]],0)</f>
        <v>0</v>
      </c>
      <c r="P325" s="177"/>
      <c r="Q325" s="177"/>
      <c r="R325" s="177"/>
    </row>
    <row r="326" spans="1:18" hidden="1" x14ac:dyDescent="0.25">
      <c r="A326" s="29" t="s">
        <v>5047</v>
      </c>
      <c r="B326" s="29" t="s">
        <v>5046</v>
      </c>
      <c r="C326" s="29" t="s">
        <v>78</v>
      </c>
      <c r="D326" s="29" t="str">
        <f>VLOOKUP(C:C,'COUNT-CONT'!B:C,2,FALSE)</f>
        <v>Europe</v>
      </c>
      <c r="E326" s="29">
        <v>9</v>
      </c>
      <c r="F326" s="28">
        <v>3419</v>
      </c>
      <c r="G326" s="28">
        <v>5284231500</v>
      </c>
      <c r="H326" s="29">
        <v>34.58</v>
      </c>
      <c r="I326" s="142">
        <v>-44.86</v>
      </c>
      <c r="J326" s="29">
        <v>12.45</v>
      </c>
      <c r="K326" s="29">
        <v>10.19</v>
      </c>
      <c r="L326" s="29">
        <v>28.36</v>
      </c>
      <c r="M326" s="368"/>
      <c r="N326" s="368"/>
      <c r="O326" s="271">
        <f>IFERROR(Table17[[#This Row],[PROFIT]]/Table17[[#This Row],[TO]],0)</f>
        <v>0</v>
      </c>
      <c r="P326" s="177"/>
      <c r="Q326" s="177"/>
      <c r="R326" s="177"/>
    </row>
    <row r="327" spans="1:18" ht="30" hidden="1" x14ac:dyDescent="0.25">
      <c r="A327" s="29" t="s">
        <v>5112</v>
      </c>
      <c r="B327" s="29" t="s">
        <v>5111</v>
      </c>
      <c r="C327" s="29" t="s">
        <v>517</v>
      </c>
      <c r="D327" s="29" t="str">
        <f>VLOOKUP(C:C,'COUNT-CONT'!B:C,2,FALSE)</f>
        <v>South America</v>
      </c>
      <c r="E327" s="29">
        <v>6</v>
      </c>
      <c r="F327" s="28">
        <v>2566</v>
      </c>
      <c r="G327" s="28">
        <v>5443482774</v>
      </c>
      <c r="H327" s="29">
        <v>34.549999999999997</v>
      </c>
      <c r="I327" s="142">
        <v>-44.89</v>
      </c>
      <c r="J327" s="29">
        <v>13.45</v>
      </c>
      <c r="K327" s="29">
        <v>11.12</v>
      </c>
      <c r="L327" s="29">
        <v>29.29</v>
      </c>
      <c r="M327" s="368"/>
      <c r="N327" s="368"/>
      <c r="O327" s="271">
        <f>IFERROR(Table17[[#This Row],[PROFIT]]/Table17[[#This Row],[TO]],0)</f>
        <v>0</v>
      </c>
      <c r="P327" s="177"/>
      <c r="Q327" s="177"/>
      <c r="R327" s="177"/>
    </row>
    <row r="328" spans="1:18" ht="30" hidden="1" x14ac:dyDescent="0.25">
      <c r="A328" s="29" t="s">
        <v>5106</v>
      </c>
      <c r="B328" s="29" t="s">
        <v>5105</v>
      </c>
      <c r="C328" s="29" t="s">
        <v>517</v>
      </c>
      <c r="D328" s="29" t="str">
        <f>VLOOKUP(C:C,'COUNT-CONT'!B:C,2,FALSE)</f>
        <v>South America</v>
      </c>
      <c r="E328" s="29">
        <v>4</v>
      </c>
      <c r="F328" s="28">
        <v>1999</v>
      </c>
      <c r="G328" s="28">
        <v>5505475137</v>
      </c>
      <c r="H328" s="29">
        <v>34.46</v>
      </c>
      <c r="I328" s="142">
        <v>-44.98</v>
      </c>
      <c r="J328" s="29">
        <v>13.42</v>
      </c>
      <c r="K328" s="29">
        <v>11.09</v>
      </c>
      <c r="L328" s="29">
        <v>29.2</v>
      </c>
      <c r="M328" s="368"/>
      <c r="N328" s="368"/>
      <c r="O328" s="271">
        <f>IFERROR(Table17[[#This Row],[PROFIT]]/Table17[[#This Row],[TO]],0)</f>
        <v>0</v>
      </c>
      <c r="P328" s="177"/>
      <c r="Q328" s="177"/>
      <c r="R328" s="177"/>
    </row>
    <row r="329" spans="1:18" ht="30" hidden="1" x14ac:dyDescent="0.25">
      <c r="A329" s="29" t="s">
        <v>4800</v>
      </c>
      <c r="B329" s="29" t="s">
        <v>4799</v>
      </c>
      <c r="C329" s="29" t="s">
        <v>1261</v>
      </c>
      <c r="D329" s="29" t="str">
        <f>VLOOKUP(C:C,'COUNT-CONT'!B:C,2,FALSE)</f>
        <v>Asia</v>
      </c>
      <c r="E329" s="29">
        <v>6</v>
      </c>
      <c r="F329" s="28">
        <v>2705</v>
      </c>
      <c r="G329" s="28">
        <v>4965454343</v>
      </c>
      <c r="H329" s="29">
        <v>34.4</v>
      </c>
      <c r="I329" s="142">
        <v>-45.04</v>
      </c>
      <c r="J329" s="29">
        <v>9.61</v>
      </c>
      <c r="K329" s="29">
        <v>7.07</v>
      </c>
      <c r="L329" s="29">
        <v>25.3</v>
      </c>
      <c r="M329" s="368"/>
      <c r="N329" s="368"/>
      <c r="O329" s="271">
        <f>IFERROR(Table17[[#This Row],[PROFIT]]/Table17[[#This Row],[TO]],0)</f>
        <v>0</v>
      </c>
      <c r="P329" s="177"/>
      <c r="Q329" s="177"/>
      <c r="R329" s="177"/>
    </row>
    <row r="330" spans="1:18" ht="30" hidden="1" x14ac:dyDescent="0.25">
      <c r="A330" s="29" t="s">
        <v>426</v>
      </c>
      <c r="B330" s="29" t="s">
        <v>5102</v>
      </c>
      <c r="C330" s="29" t="s">
        <v>517</v>
      </c>
      <c r="D330" s="29" t="str">
        <f>VLOOKUP(C:C,'COUNT-CONT'!B:C,2,FALSE)</f>
        <v>South America</v>
      </c>
      <c r="E330" s="29">
        <v>8</v>
      </c>
      <c r="F330" s="28">
        <v>3133</v>
      </c>
      <c r="G330" s="28">
        <v>5391701180</v>
      </c>
      <c r="H330" s="29">
        <v>34.340000000000003</v>
      </c>
      <c r="I330" s="142">
        <v>-45.099999999999994</v>
      </c>
      <c r="J330" s="29">
        <v>13.36</v>
      </c>
      <c r="K330" s="29">
        <v>11.03</v>
      </c>
      <c r="L330" s="29">
        <v>29.11</v>
      </c>
      <c r="M330" s="368"/>
      <c r="N330" s="368"/>
      <c r="O330" s="271">
        <f>IFERROR(Table17[[#This Row],[PROFIT]]/Table17[[#This Row],[TO]],0)</f>
        <v>0</v>
      </c>
      <c r="P330" s="177"/>
      <c r="Q330" s="177"/>
      <c r="R330" s="177"/>
    </row>
    <row r="331" spans="1:18" hidden="1" x14ac:dyDescent="0.25">
      <c r="A331" s="29" t="s">
        <v>4496</v>
      </c>
      <c r="B331" s="29" t="s">
        <v>4495</v>
      </c>
      <c r="C331" s="29" t="s">
        <v>197</v>
      </c>
      <c r="D331" s="29" t="str">
        <f>VLOOKUP(C:C,'COUNT-CONT'!B:C,2,FALSE)</f>
        <v>Asia</v>
      </c>
      <c r="E331" s="29">
        <v>7</v>
      </c>
      <c r="F331" s="28">
        <v>2886</v>
      </c>
      <c r="G331" s="28">
        <v>4658150381</v>
      </c>
      <c r="H331" s="29">
        <v>34.340000000000003</v>
      </c>
      <c r="I331" s="142">
        <v>-45.099999999999994</v>
      </c>
      <c r="J331" s="29">
        <v>7.13</v>
      </c>
      <c r="K331" s="29">
        <v>3.57</v>
      </c>
      <c r="L331" s="29">
        <v>22.31</v>
      </c>
      <c r="M331" s="368"/>
      <c r="N331" s="368"/>
      <c r="O331" s="271">
        <f>IFERROR(Table17[[#This Row],[PROFIT]]/Table17[[#This Row],[TO]],0)</f>
        <v>0</v>
      </c>
      <c r="P331" s="177"/>
      <c r="Q331" s="177"/>
      <c r="R331" s="177"/>
    </row>
    <row r="332" spans="1:18" ht="30" hidden="1" x14ac:dyDescent="0.25">
      <c r="A332" s="29" t="s">
        <v>4088</v>
      </c>
      <c r="B332" s="29" t="s">
        <v>4087</v>
      </c>
      <c r="C332" s="29" t="s">
        <v>725</v>
      </c>
      <c r="D332" s="29" t="e">
        <f>VLOOKUP(C:C,'COUNT-CONT'!B:C,2,FALSE)</f>
        <v>#N/A</v>
      </c>
      <c r="E332" s="29">
        <v>10</v>
      </c>
      <c r="F332" s="28">
        <v>4835</v>
      </c>
      <c r="G332" s="28">
        <v>4563507755</v>
      </c>
      <c r="H332" s="29">
        <v>34.25</v>
      </c>
      <c r="I332" s="142">
        <v>-45.19</v>
      </c>
      <c r="J332" s="29">
        <v>3.87</v>
      </c>
      <c r="K332" s="29">
        <v>0.76</v>
      </c>
      <c r="L332" s="29">
        <v>19.47</v>
      </c>
      <c r="M332" s="368"/>
      <c r="N332" s="368"/>
      <c r="O332" s="271">
        <f>IFERROR(Table17[[#This Row],[PROFIT]]/Table17[[#This Row],[TO]],0)</f>
        <v>0</v>
      </c>
      <c r="P332" s="177"/>
      <c r="Q332" s="177"/>
      <c r="R332" s="177"/>
    </row>
    <row r="333" spans="1:18" hidden="1" x14ac:dyDescent="0.25">
      <c r="A333" s="29" t="s">
        <v>232</v>
      </c>
      <c r="B333" s="29" t="s">
        <v>5033</v>
      </c>
      <c r="C333" s="29" t="s">
        <v>567</v>
      </c>
      <c r="D333" s="29" t="str">
        <f>VLOOKUP(C:C,'COUNT-CONT'!B:C,2,FALSE)</f>
        <v>Asia</v>
      </c>
      <c r="E333" s="29">
        <v>10</v>
      </c>
      <c r="F333" s="28">
        <v>4850</v>
      </c>
      <c r="G333" s="28">
        <v>5265404123</v>
      </c>
      <c r="H333" s="29">
        <v>34.159999999999997</v>
      </c>
      <c r="I333" s="142">
        <v>-45.28</v>
      </c>
      <c r="J333" s="29">
        <v>12.3</v>
      </c>
      <c r="K333" s="29">
        <v>10.07</v>
      </c>
      <c r="L333" s="29">
        <v>28.02</v>
      </c>
      <c r="M333" s="368"/>
      <c r="N333" s="368"/>
      <c r="O333" s="271">
        <f>IFERROR(Table17[[#This Row],[PROFIT]]/Table17[[#This Row],[TO]],0)</f>
        <v>0</v>
      </c>
      <c r="P333" s="177"/>
      <c r="Q333" s="177"/>
      <c r="R333" s="177"/>
    </row>
    <row r="334" spans="1:18" hidden="1" x14ac:dyDescent="0.25">
      <c r="A334" s="29" t="s">
        <v>322</v>
      </c>
      <c r="B334" s="29" t="s">
        <v>5032</v>
      </c>
      <c r="C334" s="29" t="s">
        <v>717</v>
      </c>
      <c r="D334" s="29" t="str">
        <f>VLOOKUP(C:C,'COUNT-CONT'!B:C,2,FALSE)</f>
        <v>Asia</v>
      </c>
      <c r="E334" s="29">
        <v>8</v>
      </c>
      <c r="F334" s="28">
        <v>3371</v>
      </c>
      <c r="G334" s="28">
        <v>5236712666</v>
      </c>
      <c r="H334" s="29">
        <v>34.130000000000003</v>
      </c>
      <c r="I334" s="142">
        <v>-45.309999999999995</v>
      </c>
      <c r="J334" s="29">
        <v>12.3</v>
      </c>
      <c r="K334" s="29">
        <v>10.07</v>
      </c>
      <c r="L334" s="29">
        <v>27.99</v>
      </c>
      <c r="M334" s="368"/>
      <c r="N334" s="368"/>
      <c r="O334" s="271">
        <f>IFERROR(Table17[[#This Row],[PROFIT]]/Table17[[#This Row],[TO]],0)</f>
        <v>0</v>
      </c>
      <c r="P334" s="177"/>
      <c r="Q334" s="177"/>
      <c r="R334" s="177"/>
    </row>
    <row r="335" spans="1:18" hidden="1" x14ac:dyDescent="0.25">
      <c r="A335" s="29" t="s">
        <v>4324</v>
      </c>
      <c r="B335" s="29" t="s">
        <v>4323</v>
      </c>
      <c r="C335" s="29" t="s">
        <v>511</v>
      </c>
      <c r="D335" s="29" t="e">
        <f>VLOOKUP(C:C,'COUNT-CONT'!B:C,2,FALSE)</f>
        <v>#N/A</v>
      </c>
      <c r="E335" s="29">
        <v>8</v>
      </c>
      <c r="F335" s="28">
        <v>2936</v>
      </c>
      <c r="G335" s="28">
        <v>4553659400</v>
      </c>
      <c r="H335" s="29">
        <v>34.07</v>
      </c>
      <c r="I335" s="142">
        <v>-45.37</v>
      </c>
      <c r="J335" s="29">
        <v>5.86</v>
      </c>
      <c r="K335" s="29">
        <v>2.5099999999999998</v>
      </c>
      <c r="L335" s="29">
        <v>21.04</v>
      </c>
      <c r="M335" s="368"/>
      <c r="N335" s="368"/>
      <c r="O335" s="271">
        <f>IFERROR(Table17[[#This Row],[PROFIT]]/Table17[[#This Row],[TO]],0)</f>
        <v>0</v>
      </c>
      <c r="P335" s="177"/>
      <c r="Q335" s="177"/>
      <c r="R335" s="177"/>
    </row>
    <row r="336" spans="1:18" hidden="1" x14ac:dyDescent="0.25">
      <c r="A336" s="29" t="s">
        <v>5536</v>
      </c>
      <c r="B336" s="29" t="s">
        <v>5535</v>
      </c>
      <c r="C336" s="29" t="s">
        <v>119</v>
      </c>
      <c r="D336" s="29" t="str">
        <f>VLOOKUP(C:C,'COUNT-CONT'!B:C,2,FALSE)</f>
        <v>Europe</v>
      </c>
      <c r="E336" s="29">
        <v>9</v>
      </c>
      <c r="F336" s="28">
        <v>4667</v>
      </c>
      <c r="G336" s="28">
        <v>6711097450</v>
      </c>
      <c r="H336" s="29">
        <v>34.01</v>
      </c>
      <c r="I336" s="142">
        <v>-45.43</v>
      </c>
      <c r="J336" s="29">
        <v>22.43</v>
      </c>
      <c r="K336" s="29">
        <v>21.64</v>
      </c>
      <c r="L336" s="29">
        <v>38.659999999999997</v>
      </c>
      <c r="M336" s="368"/>
      <c r="N336" s="368"/>
      <c r="O336" s="271">
        <f>IFERROR(Table17[[#This Row],[PROFIT]]/Table17[[#This Row],[TO]],0)</f>
        <v>0</v>
      </c>
      <c r="P336" s="177"/>
      <c r="Q336" s="177"/>
      <c r="R336" s="177"/>
    </row>
    <row r="337" spans="1:18" ht="30" hidden="1" x14ac:dyDescent="0.25">
      <c r="A337" s="29" t="s">
        <v>5473</v>
      </c>
      <c r="B337" s="29" t="s">
        <v>5472</v>
      </c>
      <c r="C337" s="29" t="s">
        <v>308</v>
      </c>
      <c r="D337" s="29" t="str">
        <f>VLOOKUP(C:C,'COUNT-CONT'!B:C,2,FALSE)</f>
        <v>Europe</v>
      </c>
      <c r="E337" s="29">
        <v>10</v>
      </c>
      <c r="F337" s="28">
        <v>4559</v>
      </c>
      <c r="G337" s="28">
        <v>6496280982</v>
      </c>
      <c r="H337" s="29">
        <v>34.01</v>
      </c>
      <c r="I337" s="142">
        <v>-45.43</v>
      </c>
      <c r="J337" s="29">
        <v>20.71</v>
      </c>
      <c r="K337" s="29">
        <v>19.95</v>
      </c>
      <c r="L337" s="29">
        <v>36.97</v>
      </c>
      <c r="M337" s="368"/>
      <c r="N337" s="368"/>
      <c r="O337" s="271">
        <f>IFERROR(Table17[[#This Row],[PROFIT]]/Table17[[#This Row],[TO]],0)</f>
        <v>0</v>
      </c>
      <c r="P337" s="177"/>
      <c r="Q337" s="177"/>
      <c r="R337" s="177"/>
    </row>
    <row r="338" spans="1:18" hidden="1" x14ac:dyDescent="0.25">
      <c r="A338" s="29" t="s">
        <v>5173</v>
      </c>
      <c r="B338" s="29" t="s">
        <v>5172</v>
      </c>
      <c r="C338" s="29" t="s">
        <v>758</v>
      </c>
      <c r="D338" s="29" t="str">
        <f>VLOOKUP(C:C,'COUNT-CONT'!B:C,2,FALSE)</f>
        <v>Europe</v>
      </c>
      <c r="E338" s="29">
        <v>6</v>
      </c>
      <c r="F338" s="28">
        <v>2929</v>
      </c>
      <c r="G338" s="28">
        <v>5567754797</v>
      </c>
      <c r="H338" s="29">
        <v>33.979999999999997</v>
      </c>
      <c r="I338" s="142">
        <v>-45.46</v>
      </c>
      <c r="J338" s="29">
        <v>14.54</v>
      </c>
      <c r="K338" s="29">
        <v>12.12</v>
      </c>
      <c r="L338" s="29">
        <v>30.35</v>
      </c>
      <c r="M338" s="368"/>
      <c r="N338" s="368"/>
      <c r="O338" s="271">
        <f>IFERROR(Table17[[#This Row],[PROFIT]]/Table17[[#This Row],[TO]],0)</f>
        <v>0</v>
      </c>
      <c r="P338" s="177"/>
      <c r="Q338" s="177"/>
      <c r="R338" s="177"/>
    </row>
    <row r="339" spans="1:18" hidden="1" x14ac:dyDescent="0.25">
      <c r="A339" s="29" t="s">
        <v>4601</v>
      </c>
      <c r="B339" s="29" t="s">
        <v>4600</v>
      </c>
      <c r="C339" s="29" t="s">
        <v>1070</v>
      </c>
      <c r="D339" s="29" t="str">
        <f>VLOOKUP(C:C,'COUNT-CONT'!B:C,2,FALSE)</f>
        <v>Asia</v>
      </c>
      <c r="E339" s="29">
        <v>5</v>
      </c>
      <c r="F339" s="28">
        <v>2338</v>
      </c>
      <c r="G339" s="28">
        <v>4742487596</v>
      </c>
      <c r="H339" s="29">
        <v>33.89</v>
      </c>
      <c r="I339" s="142">
        <v>-45.55</v>
      </c>
      <c r="J339" s="29">
        <v>7.89</v>
      </c>
      <c r="K339" s="29">
        <v>5.08</v>
      </c>
      <c r="L339" s="29">
        <v>23.22</v>
      </c>
      <c r="M339" s="368"/>
      <c r="N339" s="368"/>
      <c r="O339" s="271">
        <f>IFERROR(Table17[[#This Row],[PROFIT]]/Table17[[#This Row],[TO]],0)</f>
        <v>0</v>
      </c>
      <c r="P339" s="177"/>
      <c r="Q339" s="177"/>
      <c r="R339" s="177"/>
    </row>
    <row r="340" spans="1:18" ht="30" hidden="1" x14ac:dyDescent="0.25">
      <c r="A340" s="29" t="s">
        <v>5210</v>
      </c>
      <c r="B340" s="29" t="s">
        <v>5209</v>
      </c>
      <c r="C340" s="29" t="s">
        <v>1749</v>
      </c>
      <c r="D340" s="29" t="str">
        <f>VLOOKUP(C:C,'COUNT-CONT'!B:C,2,FALSE)</f>
        <v>North America</v>
      </c>
      <c r="E340" s="29">
        <v>9</v>
      </c>
      <c r="F340" s="28">
        <v>3783</v>
      </c>
      <c r="G340" s="28">
        <v>5600374517</v>
      </c>
      <c r="H340" s="29">
        <v>33.89</v>
      </c>
      <c r="I340" s="142">
        <v>-45.55</v>
      </c>
      <c r="J340" s="29">
        <v>15.39</v>
      </c>
      <c r="K340" s="29">
        <v>12.94</v>
      </c>
      <c r="L340" s="29">
        <v>30.8</v>
      </c>
      <c r="M340" s="368"/>
      <c r="N340" s="368"/>
      <c r="O340" s="271">
        <f>IFERROR(Table17[[#This Row],[PROFIT]]/Table17[[#This Row],[TO]],0)</f>
        <v>0</v>
      </c>
      <c r="P340" s="177"/>
      <c r="Q340" s="177"/>
      <c r="R340" s="177"/>
    </row>
    <row r="341" spans="1:18" hidden="1" x14ac:dyDescent="0.25">
      <c r="A341" s="29" t="s">
        <v>5365</v>
      </c>
      <c r="B341" s="29" t="s">
        <v>5364</v>
      </c>
      <c r="C341" s="29" t="s">
        <v>4909</v>
      </c>
      <c r="D341" s="29" t="str">
        <f>VLOOKUP(C:C,'COUNT-CONT'!B:C,2,FALSE)</f>
        <v>Europe</v>
      </c>
      <c r="E341" s="29">
        <v>8</v>
      </c>
      <c r="F341" s="28">
        <v>3845</v>
      </c>
      <c r="G341" s="28">
        <v>6137685825</v>
      </c>
      <c r="H341" s="29">
        <v>33.86</v>
      </c>
      <c r="I341" s="142">
        <v>-45.58</v>
      </c>
      <c r="J341" s="29">
        <v>18.649999999999999</v>
      </c>
      <c r="K341" s="29">
        <v>17.260000000000002</v>
      </c>
      <c r="L341" s="29">
        <v>34.549999999999997</v>
      </c>
      <c r="M341" s="368"/>
      <c r="N341" s="368"/>
      <c r="O341" s="271">
        <f>IFERROR(Table17[[#This Row],[PROFIT]]/Table17[[#This Row],[TO]],0)</f>
        <v>0</v>
      </c>
      <c r="P341" s="177"/>
      <c r="Q341" s="177"/>
      <c r="R341" s="177"/>
    </row>
    <row r="342" spans="1:18" hidden="1" x14ac:dyDescent="0.25">
      <c r="A342" s="29" t="s">
        <v>74</v>
      </c>
      <c r="B342" s="29" t="s">
        <v>4599</v>
      </c>
      <c r="C342" s="29" t="s">
        <v>1070</v>
      </c>
      <c r="D342" s="29" t="str">
        <f>VLOOKUP(C:C,'COUNT-CONT'!B:C,2,FALSE)</f>
        <v>Asia</v>
      </c>
      <c r="E342" s="29">
        <v>10</v>
      </c>
      <c r="F342" s="28">
        <v>3846</v>
      </c>
      <c r="G342" s="28">
        <v>4698311440</v>
      </c>
      <c r="H342" s="29">
        <v>33.83</v>
      </c>
      <c r="I342" s="142">
        <v>-45.61</v>
      </c>
      <c r="J342" s="29">
        <v>7.86</v>
      </c>
      <c r="K342" s="29">
        <v>5.08</v>
      </c>
      <c r="L342" s="29">
        <v>23.19</v>
      </c>
      <c r="M342" s="368"/>
      <c r="N342" s="368"/>
      <c r="O342" s="271">
        <f>IFERROR(Table17[[#This Row],[PROFIT]]/Table17[[#This Row],[TO]],0)</f>
        <v>0</v>
      </c>
      <c r="P342" s="177"/>
      <c r="Q342" s="177"/>
      <c r="R342" s="177"/>
    </row>
    <row r="343" spans="1:18" hidden="1" x14ac:dyDescent="0.25">
      <c r="A343" s="29" t="s">
        <v>5104</v>
      </c>
      <c r="B343" s="29" t="s">
        <v>5103</v>
      </c>
      <c r="C343" s="29" t="s">
        <v>2366</v>
      </c>
      <c r="D343" s="29" t="str">
        <f>VLOOKUP(C:C,'COUNT-CONT'!B:C,2,FALSE)</f>
        <v>Asia</v>
      </c>
      <c r="E343" s="29">
        <v>9</v>
      </c>
      <c r="F343" s="28">
        <v>3351</v>
      </c>
      <c r="G343" s="28">
        <v>5412260220</v>
      </c>
      <c r="H343" s="29">
        <v>33.799999999999997</v>
      </c>
      <c r="I343" s="142">
        <v>-45.64</v>
      </c>
      <c r="J343" s="29">
        <v>13.39</v>
      </c>
      <c r="K343" s="29">
        <v>11.06</v>
      </c>
      <c r="L343" s="29">
        <v>29.14</v>
      </c>
      <c r="M343" s="368"/>
      <c r="N343" s="368"/>
      <c r="O343" s="271">
        <f>IFERROR(Table17[[#This Row],[PROFIT]]/Table17[[#This Row],[TO]],0)</f>
        <v>0</v>
      </c>
      <c r="P343" s="177"/>
      <c r="Q343" s="177"/>
      <c r="R343" s="177"/>
    </row>
    <row r="344" spans="1:18" ht="30" hidden="1" x14ac:dyDescent="0.25">
      <c r="A344" s="29" t="s">
        <v>5055</v>
      </c>
      <c r="B344" s="29" t="s">
        <v>5054</v>
      </c>
      <c r="C344" s="29" t="s">
        <v>517</v>
      </c>
      <c r="D344" s="29" t="str">
        <f>VLOOKUP(C:C,'COUNT-CONT'!B:C,2,FALSE)</f>
        <v>South America</v>
      </c>
      <c r="E344" s="29">
        <v>7</v>
      </c>
      <c r="F344" s="28">
        <v>2837</v>
      </c>
      <c r="G344" s="28">
        <v>5336533521</v>
      </c>
      <c r="H344" s="29">
        <v>33.71</v>
      </c>
      <c r="I344" s="142">
        <v>-45.73</v>
      </c>
      <c r="J344" s="29">
        <v>13.12</v>
      </c>
      <c r="K344" s="29">
        <v>10.85</v>
      </c>
      <c r="L344" s="29">
        <v>28.57</v>
      </c>
      <c r="M344" s="368"/>
      <c r="N344" s="368"/>
      <c r="O344" s="271">
        <f>IFERROR(Table17[[#This Row],[PROFIT]]/Table17[[#This Row],[TO]],0)</f>
        <v>0</v>
      </c>
      <c r="P344" s="177"/>
      <c r="Q344" s="177"/>
      <c r="R344" s="177"/>
    </row>
    <row r="345" spans="1:18" hidden="1" x14ac:dyDescent="0.25">
      <c r="A345" s="29" t="s">
        <v>4762</v>
      </c>
      <c r="B345" s="29" t="s">
        <v>4761</v>
      </c>
      <c r="C345" s="29" t="s">
        <v>1261</v>
      </c>
      <c r="D345" s="29" t="str">
        <f>VLOOKUP(C:C,'COUNT-CONT'!B:C,2,FALSE)</f>
        <v>Asia</v>
      </c>
      <c r="E345" s="29">
        <v>7</v>
      </c>
      <c r="F345" s="28">
        <v>2958</v>
      </c>
      <c r="G345" s="28">
        <v>4888472887</v>
      </c>
      <c r="H345" s="29">
        <v>33.71</v>
      </c>
      <c r="I345" s="142">
        <v>-45.73</v>
      </c>
      <c r="J345" s="29">
        <v>9.4</v>
      </c>
      <c r="K345" s="29">
        <v>6.92</v>
      </c>
      <c r="L345" s="29">
        <v>24.79</v>
      </c>
      <c r="M345" s="368"/>
      <c r="N345" s="368"/>
      <c r="O345" s="271">
        <f>IFERROR(Table17[[#This Row],[PROFIT]]/Table17[[#This Row],[TO]],0)</f>
        <v>0</v>
      </c>
      <c r="P345" s="177"/>
      <c r="Q345" s="177"/>
      <c r="R345" s="177"/>
    </row>
    <row r="346" spans="1:18" ht="30" hidden="1" x14ac:dyDescent="0.25">
      <c r="A346" s="29" t="s">
        <v>160</v>
      </c>
      <c r="B346" s="29" t="s">
        <v>5097</v>
      </c>
      <c r="C346" s="29" t="s">
        <v>5096</v>
      </c>
      <c r="D346" s="29" t="str">
        <f>VLOOKUP(C:C,'COUNT-CONT'!B:C,2,FALSE)</f>
        <v>Africa</v>
      </c>
      <c r="E346" s="29">
        <v>10</v>
      </c>
      <c r="F346" s="28">
        <v>3850</v>
      </c>
      <c r="G346" s="28">
        <v>5367514285</v>
      </c>
      <c r="H346" s="29">
        <v>33.65</v>
      </c>
      <c r="I346" s="142">
        <v>-45.79</v>
      </c>
      <c r="J346" s="29">
        <v>13.33</v>
      </c>
      <c r="K346" s="29">
        <v>11.58</v>
      </c>
      <c r="L346" s="29">
        <v>28.99</v>
      </c>
      <c r="M346" s="368"/>
      <c r="N346" s="368"/>
      <c r="O346" s="271">
        <f>IFERROR(Table17[[#This Row],[PROFIT]]/Table17[[#This Row],[TO]],0)</f>
        <v>0</v>
      </c>
      <c r="P346" s="177"/>
      <c r="Q346" s="177"/>
      <c r="R346" s="177"/>
    </row>
    <row r="347" spans="1:18" hidden="1" x14ac:dyDescent="0.25">
      <c r="A347" s="29" t="s">
        <v>5255</v>
      </c>
      <c r="B347" s="29" t="s">
        <v>5254</v>
      </c>
      <c r="C347" s="29" t="s">
        <v>496</v>
      </c>
      <c r="D347" s="29" t="str">
        <f>VLOOKUP(C:C,'COUNT-CONT'!B:C,2,FALSE)</f>
        <v>Europe</v>
      </c>
      <c r="E347" s="29">
        <v>9</v>
      </c>
      <c r="F347" s="28">
        <v>3856</v>
      </c>
      <c r="G347" s="28">
        <v>5716469709</v>
      </c>
      <c r="H347" s="29">
        <v>33.619999999999997</v>
      </c>
      <c r="I347" s="142">
        <v>-45.82</v>
      </c>
      <c r="J347" s="29">
        <v>15.84</v>
      </c>
      <c r="K347" s="29">
        <v>14.57</v>
      </c>
      <c r="L347" s="29">
        <v>31.71</v>
      </c>
      <c r="M347" s="368"/>
      <c r="N347" s="368"/>
      <c r="O347" s="271">
        <f>IFERROR(Table17[[#This Row],[PROFIT]]/Table17[[#This Row],[TO]],0)</f>
        <v>0</v>
      </c>
      <c r="P347" s="177"/>
      <c r="Q347" s="177"/>
      <c r="R347" s="177"/>
    </row>
    <row r="348" spans="1:18" ht="30" hidden="1" x14ac:dyDescent="0.25">
      <c r="A348" s="29" t="s">
        <v>4896</v>
      </c>
      <c r="B348" s="29" t="s">
        <v>4895</v>
      </c>
      <c r="C348" s="29" t="s">
        <v>4894</v>
      </c>
      <c r="D348" s="29" t="str">
        <f>VLOOKUP(C:C,'COUNT-CONT'!B:C,2,FALSE)</f>
        <v>North America</v>
      </c>
      <c r="E348" s="29">
        <v>7</v>
      </c>
      <c r="F348" s="28">
        <v>3012</v>
      </c>
      <c r="G348" s="28">
        <v>5032005843</v>
      </c>
      <c r="H348" s="29">
        <v>33.590000000000003</v>
      </c>
      <c r="I348" s="142">
        <v>-45.849999999999994</v>
      </c>
      <c r="J348" s="29">
        <v>11</v>
      </c>
      <c r="K348" s="29">
        <v>8.3699999999999992</v>
      </c>
      <c r="L348" s="29">
        <v>26.24</v>
      </c>
      <c r="M348" s="368"/>
      <c r="N348" s="368"/>
      <c r="O348" s="271">
        <f>IFERROR(Table17[[#This Row],[PROFIT]]/Table17[[#This Row],[TO]],0)</f>
        <v>0</v>
      </c>
      <c r="P348" s="177"/>
      <c r="Q348" s="177"/>
      <c r="R348" s="177"/>
    </row>
    <row r="349" spans="1:18" hidden="1" x14ac:dyDescent="0.25">
      <c r="A349" s="29" t="s">
        <v>5251</v>
      </c>
      <c r="B349" s="29" t="s">
        <v>5250</v>
      </c>
      <c r="C349" s="29" t="s">
        <v>605</v>
      </c>
      <c r="D349" s="29" t="str">
        <f>VLOOKUP(C:C,'COUNT-CONT'!B:C,2,FALSE)</f>
        <v>Europe</v>
      </c>
      <c r="E349" s="29">
        <v>7</v>
      </c>
      <c r="F349" s="28">
        <v>3078</v>
      </c>
      <c r="G349" s="28">
        <v>5840974918</v>
      </c>
      <c r="H349" s="29">
        <v>33.590000000000003</v>
      </c>
      <c r="I349" s="142">
        <v>-45.849999999999994</v>
      </c>
      <c r="J349" s="29">
        <v>15.84</v>
      </c>
      <c r="K349" s="29">
        <v>14.57</v>
      </c>
      <c r="L349" s="29">
        <v>31.68</v>
      </c>
      <c r="M349" s="368"/>
      <c r="N349" s="368"/>
      <c r="O349" s="271">
        <f>IFERROR(Table17[[#This Row],[PROFIT]]/Table17[[#This Row],[TO]],0)</f>
        <v>0</v>
      </c>
      <c r="P349" s="177"/>
      <c r="Q349" s="177"/>
      <c r="R349" s="177"/>
    </row>
    <row r="350" spans="1:18" hidden="1" x14ac:dyDescent="0.25">
      <c r="A350" s="29" t="s">
        <v>190</v>
      </c>
      <c r="B350" s="29" t="s">
        <v>4205</v>
      </c>
      <c r="C350" s="29" t="s">
        <v>1323</v>
      </c>
      <c r="D350" s="29" t="str">
        <f>VLOOKUP(C:C,'COUNT-CONT'!B:C,2,FALSE)</f>
        <v>Africa</v>
      </c>
      <c r="E350" s="29">
        <v>10</v>
      </c>
      <c r="F350" s="28">
        <v>4095</v>
      </c>
      <c r="G350" s="28">
        <v>4496620268</v>
      </c>
      <c r="H350" s="29">
        <v>33.56</v>
      </c>
      <c r="I350" s="142">
        <v>-45.879999999999995</v>
      </c>
      <c r="J350" s="29">
        <v>5.23</v>
      </c>
      <c r="K350" s="29">
        <v>2</v>
      </c>
      <c r="L350" s="29">
        <v>20.22</v>
      </c>
      <c r="M350" s="368"/>
      <c r="N350" s="368"/>
      <c r="O350" s="271">
        <f>IFERROR(Table17[[#This Row],[PROFIT]]/Table17[[#This Row],[TO]],0)</f>
        <v>0</v>
      </c>
      <c r="P350" s="177"/>
      <c r="Q350" s="177"/>
      <c r="R350" s="177"/>
    </row>
    <row r="351" spans="1:18" hidden="1" x14ac:dyDescent="0.25">
      <c r="A351" s="29" t="s">
        <v>4849</v>
      </c>
      <c r="B351" s="29" t="s">
        <v>4848</v>
      </c>
      <c r="C351" s="29" t="s">
        <v>700</v>
      </c>
      <c r="D351" s="29" t="str">
        <f>VLOOKUP(C:C,'COUNT-CONT'!B:C,2,FALSE)</f>
        <v>Asia</v>
      </c>
      <c r="E351" s="29">
        <v>7</v>
      </c>
      <c r="F351" s="28">
        <v>2994</v>
      </c>
      <c r="G351" s="28">
        <v>4988401469</v>
      </c>
      <c r="H351" s="29">
        <v>33.520000000000003</v>
      </c>
      <c r="I351" s="142">
        <v>-45.919999999999995</v>
      </c>
      <c r="J351" s="29">
        <v>10.31</v>
      </c>
      <c r="K351" s="29">
        <v>7.74</v>
      </c>
      <c r="L351" s="29">
        <v>25.79</v>
      </c>
      <c r="M351" s="368"/>
      <c r="N351" s="368"/>
      <c r="O351" s="271">
        <f>IFERROR(Table17[[#This Row],[PROFIT]]/Table17[[#This Row],[TO]],0)</f>
        <v>0</v>
      </c>
      <c r="P351" s="177"/>
      <c r="Q351" s="177"/>
      <c r="R351" s="177"/>
    </row>
    <row r="352" spans="1:18" hidden="1" x14ac:dyDescent="0.25">
      <c r="A352" s="29" t="s">
        <v>5002</v>
      </c>
      <c r="B352" s="29" t="s">
        <v>5001</v>
      </c>
      <c r="C352" s="29" t="s">
        <v>78</v>
      </c>
      <c r="D352" s="29" t="str">
        <f>VLOOKUP(C:C,'COUNT-CONT'!B:C,2,FALSE)</f>
        <v>Europe</v>
      </c>
      <c r="E352" s="29">
        <v>8</v>
      </c>
      <c r="F352" s="28">
        <v>3175</v>
      </c>
      <c r="G352" s="28">
        <v>5169856692</v>
      </c>
      <c r="H352" s="29">
        <v>33.49</v>
      </c>
      <c r="I352" s="142">
        <v>-45.949999999999996</v>
      </c>
      <c r="J352" s="29">
        <v>12.06</v>
      </c>
      <c r="K352" s="29">
        <v>9.89</v>
      </c>
      <c r="L352" s="29">
        <v>27.45</v>
      </c>
      <c r="M352" s="368"/>
      <c r="N352" s="368"/>
      <c r="O352" s="271">
        <f>IFERROR(Table17[[#This Row],[PROFIT]]/Table17[[#This Row],[TO]],0)</f>
        <v>0</v>
      </c>
      <c r="P352" s="177"/>
      <c r="Q352" s="177"/>
      <c r="R352" s="177"/>
    </row>
    <row r="353" spans="1:18" ht="30" hidden="1" x14ac:dyDescent="0.25">
      <c r="A353" s="29" t="s">
        <v>5049</v>
      </c>
      <c r="B353" s="29" t="s">
        <v>5048</v>
      </c>
      <c r="C353" s="29" t="s">
        <v>517</v>
      </c>
      <c r="D353" s="29" t="str">
        <f>VLOOKUP(C:C,'COUNT-CONT'!B:C,2,FALSE)</f>
        <v>South America</v>
      </c>
      <c r="E353" s="29">
        <v>6</v>
      </c>
      <c r="F353" s="28">
        <v>2716</v>
      </c>
      <c r="G353" s="28">
        <v>5316607363</v>
      </c>
      <c r="H353" s="29">
        <v>33.49</v>
      </c>
      <c r="I353" s="142">
        <v>-45.949999999999996</v>
      </c>
      <c r="J353" s="29">
        <v>13.03</v>
      </c>
      <c r="K353" s="29">
        <v>10.76</v>
      </c>
      <c r="L353" s="29">
        <v>28.39</v>
      </c>
      <c r="M353" s="368"/>
      <c r="N353" s="368"/>
      <c r="O353" s="271">
        <f>IFERROR(Table17[[#This Row],[PROFIT]]/Table17[[#This Row],[TO]],0)</f>
        <v>0</v>
      </c>
      <c r="P353" s="177"/>
      <c r="Q353" s="177"/>
      <c r="R353" s="177"/>
    </row>
    <row r="354" spans="1:18" ht="30" hidden="1" x14ac:dyDescent="0.25">
      <c r="A354" s="29" t="s">
        <v>4548</v>
      </c>
      <c r="B354" s="29" t="s">
        <v>4547</v>
      </c>
      <c r="C354" s="29" t="s">
        <v>4546</v>
      </c>
      <c r="D354" s="29" t="str">
        <f>VLOOKUP(C:C,'COUNT-CONT'!B:C,2,FALSE)</f>
        <v>Africa</v>
      </c>
      <c r="E354" s="29">
        <v>10</v>
      </c>
      <c r="F354" s="28">
        <v>3481</v>
      </c>
      <c r="G354" s="28">
        <v>4649821051</v>
      </c>
      <c r="H354" s="29">
        <v>33.369999999999997</v>
      </c>
      <c r="I354" s="142">
        <v>-46.07</v>
      </c>
      <c r="J354" s="29">
        <v>7.77</v>
      </c>
      <c r="K354" s="29">
        <v>4.5599999999999996</v>
      </c>
      <c r="L354" s="29">
        <v>22.85</v>
      </c>
      <c r="M354" s="368"/>
      <c r="N354" s="368"/>
      <c r="O354" s="271">
        <f>IFERROR(Table17[[#This Row],[PROFIT]]/Table17[[#This Row],[TO]],0)</f>
        <v>0</v>
      </c>
      <c r="P354" s="177"/>
      <c r="Q354" s="177"/>
      <c r="R354" s="177"/>
    </row>
    <row r="355" spans="1:18" ht="30" hidden="1" x14ac:dyDescent="0.25">
      <c r="A355" s="29" t="s">
        <v>5450</v>
      </c>
      <c r="B355" s="29" t="s">
        <v>5449</v>
      </c>
      <c r="C355" s="29" t="s">
        <v>308</v>
      </c>
      <c r="D355" s="29" t="str">
        <f>VLOOKUP(C:C,'COUNT-CONT'!B:C,2,FALSE)</f>
        <v>Europe</v>
      </c>
      <c r="E355" s="29">
        <v>6</v>
      </c>
      <c r="F355" s="28">
        <v>3294</v>
      </c>
      <c r="G355" s="28">
        <v>6401940497</v>
      </c>
      <c r="H355" s="29">
        <v>33.340000000000003</v>
      </c>
      <c r="I355" s="142">
        <v>-46.099999999999994</v>
      </c>
      <c r="J355" s="29">
        <v>20.28</v>
      </c>
      <c r="K355" s="29">
        <v>19.559999999999999</v>
      </c>
      <c r="L355" s="29">
        <v>36.25</v>
      </c>
      <c r="M355" s="368"/>
      <c r="N355" s="368"/>
      <c r="O355" s="271">
        <f>IFERROR(Table17[[#This Row],[PROFIT]]/Table17[[#This Row],[TO]],0)</f>
        <v>0</v>
      </c>
      <c r="P355" s="177"/>
      <c r="Q355" s="177"/>
      <c r="R355" s="177"/>
    </row>
    <row r="356" spans="1:18" hidden="1" x14ac:dyDescent="0.25">
      <c r="A356" s="29" t="s">
        <v>5043</v>
      </c>
      <c r="B356" s="29" t="s">
        <v>5042</v>
      </c>
      <c r="C356" s="29" t="s">
        <v>14</v>
      </c>
      <c r="D356" s="29" t="str">
        <f>VLOOKUP(C:C,'COUNT-CONT'!B:C,2,FALSE)</f>
        <v>Asia</v>
      </c>
      <c r="E356" s="29">
        <v>9</v>
      </c>
      <c r="F356" s="28">
        <v>3610</v>
      </c>
      <c r="G356" s="28">
        <v>5268709141</v>
      </c>
      <c r="H356" s="29">
        <v>33.31</v>
      </c>
      <c r="I356" s="142">
        <v>-46.129999999999995</v>
      </c>
      <c r="J356" s="29">
        <v>12.97</v>
      </c>
      <c r="K356" s="29">
        <v>10.73</v>
      </c>
      <c r="L356" s="29">
        <v>28.23</v>
      </c>
      <c r="M356" s="368"/>
      <c r="N356" s="368"/>
      <c r="O356" s="271">
        <f>IFERROR(Table17[[#This Row],[PROFIT]]/Table17[[#This Row],[TO]],0)</f>
        <v>0</v>
      </c>
      <c r="P356" s="177"/>
      <c r="Q356" s="177"/>
      <c r="R356" s="177"/>
    </row>
    <row r="357" spans="1:18" hidden="1" x14ac:dyDescent="0.25">
      <c r="A357" s="29" t="s">
        <v>4987</v>
      </c>
      <c r="B357" s="29" t="s">
        <v>4986</v>
      </c>
      <c r="C357" s="29" t="s">
        <v>722</v>
      </c>
      <c r="D357" s="29" t="str">
        <f>VLOOKUP(C:C,'COUNT-CONT'!B:C,2,FALSE)</f>
        <v>Europe</v>
      </c>
      <c r="E357" s="29">
        <v>8</v>
      </c>
      <c r="F357" s="28">
        <v>3167</v>
      </c>
      <c r="G357" s="28">
        <v>5146731859</v>
      </c>
      <c r="H357" s="29">
        <v>33.28</v>
      </c>
      <c r="I357" s="142">
        <v>-46.16</v>
      </c>
      <c r="J357" s="29">
        <v>12</v>
      </c>
      <c r="K357" s="29">
        <v>9.7899999999999991</v>
      </c>
      <c r="L357" s="29">
        <v>27.27</v>
      </c>
      <c r="M357" s="368"/>
      <c r="N357" s="368"/>
      <c r="O357" s="271">
        <f>IFERROR(Table17[[#This Row],[PROFIT]]/Table17[[#This Row],[TO]],0)</f>
        <v>0</v>
      </c>
      <c r="P357" s="177"/>
      <c r="Q357" s="177"/>
      <c r="R357" s="177"/>
    </row>
    <row r="358" spans="1:18" hidden="1" x14ac:dyDescent="0.25">
      <c r="A358" s="29" t="s">
        <v>5041</v>
      </c>
      <c r="B358" s="29" t="s">
        <v>5040</v>
      </c>
      <c r="C358" s="29" t="s">
        <v>14</v>
      </c>
      <c r="D358" s="29" t="str">
        <f>VLOOKUP(C:C,'COUNT-CONT'!B:C,2,FALSE)</f>
        <v>Asia</v>
      </c>
      <c r="E358" s="29">
        <v>6</v>
      </c>
      <c r="F358" s="28">
        <v>2819</v>
      </c>
      <c r="G358" s="28">
        <v>5281009294</v>
      </c>
      <c r="H358" s="29">
        <v>33.28</v>
      </c>
      <c r="I358" s="142">
        <v>-46.16</v>
      </c>
      <c r="J358" s="29">
        <v>12.97</v>
      </c>
      <c r="K358" s="29">
        <v>10.7</v>
      </c>
      <c r="L358" s="29">
        <v>28.2</v>
      </c>
      <c r="M358" s="368"/>
      <c r="N358" s="368"/>
      <c r="O358" s="271">
        <f>IFERROR(Table17[[#This Row],[PROFIT]]/Table17[[#This Row],[TO]],0)</f>
        <v>0</v>
      </c>
      <c r="P358" s="177"/>
      <c r="Q358" s="177"/>
      <c r="R358" s="177"/>
    </row>
    <row r="359" spans="1:18" hidden="1" x14ac:dyDescent="0.25">
      <c r="A359" s="29" t="s">
        <v>4985</v>
      </c>
      <c r="B359" s="29" t="s">
        <v>4984</v>
      </c>
      <c r="C359" s="29" t="s">
        <v>722</v>
      </c>
      <c r="D359" s="29" t="str">
        <f>VLOOKUP(C:C,'COUNT-CONT'!B:C,2,FALSE)</f>
        <v>Europe</v>
      </c>
      <c r="E359" s="29">
        <v>8</v>
      </c>
      <c r="F359" s="28">
        <v>3111</v>
      </c>
      <c r="G359" s="28">
        <v>5147984056</v>
      </c>
      <c r="H359" s="29">
        <v>33.28</v>
      </c>
      <c r="I359" s="142">
        <v>-46.16</v>
      </c>
      <c r="J359" s="29">
        <v>12</v>
      </c>
      <c r="K359" s="29">
        <v>9.7899999999999991</v>
      </c>
      <c r="L359" s="29">
        <v>27.27</v>
      </c>
      <c r="M359" s="368"/>
      <c r="N359" s="368"/>
      <c r="O359" s="271">
        <f>IFERROR(Table17[[#This Row],[PROFIT]]/Table17[[#This Row],[TO]],0)</f>
        <v>0</v>
      </c>
      <c r="P359" s="177"/>
      <c r="Q359" s="177"/>
      <c r="R359" s="177"/>
    </row>
    <row r="360" spans="1:18" ht="30" hidden="1" x14ac:dyDescent="0.25">
      <c r="A360" s="29" t="s">
        <v>5446</v>
      </c>
      <c r="B360" s="29" t="s">
        <v>5445</v>
      </c>
      <c r="C360" s="29" t="s">
        <v>83</v>
      </c>
      <c r="D360" s="29" t="str">
        <f>VLOOKUP(C:C,'COUNT-CONT'!B:C,2,FALSE)</f>
        <v>Europe</v>
      </c>
      <c r="E360" s="29">
        <v>5</v>
      </c>
      <c r="F360" s="28">
        <v>2711</v>
      </c>
      <c r="G360" s="28">
        <v>6404854334</v>
      </c>
      <c r="H360" s="29">
        <v>33.25</v>
      </c>
      <c r="I360" s="142">
        <v>-46.19</v>
      </c>
      <c r="J360" s="29">
        <v>20.22</v>
      </c>
      <c r="K360" s="29">
        <v>18.77</v>
      </c>
      <c r="L360" s="29">
        <v>36.15</v>
      </c>
      <c r="M360" s="368"/>
      <c r="N360" s="368"/>
      <c r="O360" s="271">
        <f>IFERROR(Table17[[#This Row],[PROFIT]]/Table17[[#This Row],[TO]],0)</f>
        <v>0</v>
      </c>
      <c r="P360" s="177"/>
      <c r="Q360" s="177"/>
      <c r="R360" s="177"/>
    </row>
    <row r="361" spans="1:18" hidden="1" x14ac:dyDescent="0.25">
      <c r="A361" s="29" t="s">
        <v>5169</v>
      </c>
      <c r="B361" s="29" t="s">
        <v>5168</v>
      </c>
      <c r="C361" s="29" t="s">
        <v>758</v>
      </c>
      <c r="D361" s="29" t="str">
        <f>VLOOKUP(C:C,'COUNT-CONT'!B:C,2,FALSE)</f>
        <v>Europe</v>
      </c>
      <c r="E361" s="29">
        <v>7</v>
      </c>
      <c r="F361" s="28">
        <v>2981</v>
      </c>
      <c r="G361" s="28">
        <v>5551803690</v>
      </c>
      <c r="H361" s="29">
        <v>33.25</v>
      </c>
      <c r="I361" s="142">
        <v>-46.19</v>
      </c>
      <c r="J361" s="29">
        <v>15.11</v>
      </c>
      <c r="K361" s="29">
        <v>12.7</v>
      </c>
      <c r="L361" s="29">
        <v>30.23</v>
      </c>
      <c r="M361" s="368"/>
      <c r="N361" s="368"/>
      <c r="O361" s="271">
        <f>IFERROR(Table17[[#This Row],[PROFIT]]/Table17[[#This Row],[TO]],0)</f>
        <v>0</v>
      </c>
      <c r="P361" s="177"/>
      <c r="Q361" s="177"/>
      <c r="R361" s="177"/>
    </row>
    <row r="362" spans="1:18" hidden="1" x14ac:dyDescent="0.25">
      <c r="A362" s="29" t="s">
        <v>4570</v>
      </c>
      <c r="B362" s="29" t="s">
        <v>4569</v>
      </c>
      <c r="C362" s="29" t="s">
        <v>886</v>
      </c>
      <c r="D362" s="29" t="str">
        <f>VLOOKUP(C:C,'COUNT-CONT'!B:C,2,FALSE)</f>
        <v>Africa</v>
      </c>
      <c r="E362" s="29">
        <v>10</v>
      </c>
      <c r="F362" s="28">
        <v>3485</v>
      </c>
      <c r="G362" s="28">
        <v>4740438450</v>
      </c>
      <c r="H362" s="29">
        <v>33.1</v>
      </c>
      <c r="I362" s="142">
        <v>-46.339999999999996</v>
      </c>
      <c r="J362" s="29">
        <v>8.25</v>
      </c>
      <c r="K362" s="29">
        <v>5.05</v>
      </c>
      <c r="L362" s="29">
        <v>23</v>
      </c>
      <c r="M362" s="368"/>
      <c r="N362" s="368"/>
      <c r="O362" s="271">
        <f>IFERROR(Table17[[#This Row],[PROFIT]]/Table17[[#This Row],[TO]],0)</f>
        <v>0</v>
      </c>
      <c r="P362" s="177"/>
      <c r="Q362" s="177"/>
      <c r="R362" s="177"/>
    </row>
    <row r="363" spans="1:18" ht="30" hidden="1" x14ac:dyDescent="0.25">
      <c r="A363" s="29" t="s">
        <v>4977</v>
      </c>
      <c r="B363" s="29" t="s">
        <v>4976</v>
      </c>
      <c r="C363" s="29" t="s">
        <v>2791</v>
      </c>
      <c r="D363" s="29" t="str">
        <f>VLOOKUP(C:C,'COUNT-CONT'!B:C,2,FALSE)</f>
        <v>North America</v>
      </c>
      <c r="E363" s="29">
        <v>10</v>
      </c>
      <c r="F363" s="28">
        <v>3718</v>
      </c>
      <c r="G363" s="28">
        <v>5126357988</v>
      </c>
      <c r="H363" s="29">
        <v>33.07</v>
      </c>
      <c r="I363" s="142">
        <v>-46.37</v>
      </c>
      <c r="J363" s="29">
        <v>11.91</v>
      </c>
      <c r="K363" s="29">
        <v>9.76</v>
      </c>
      <c r="L363" s="29">
        <v>27.12</v>
      </c>
      <c r="M363" s="368"/>
      <c r="N363" s="368"/>
      <c r="O363" s="271">
        <f>IFERROR(Table17[[#This Row],[PROFIT]]/Table17[[#This Row],[TO]],0)</f>
        <v>0</v>
      </c>
      <c r="P363" s="177"/>
      <c r="Q363" s="177"/>
      <c r="R363" s="177"/>
    </row>
    <row r="364" spans="1:18" hidden="1" x14ac:dyDescent="0.25">
      <c r="A364" s="29" t="s">
        <v>5029</v>
      </c>
      <c r="B364" s="29" t="s">
        <v>5028</v>
      </c>
      <c r="C364" s="29" t="s">
        <v>14</v>
      </c>
      <c r="D364" s="29" t="str">
        <f>VLOOKUP(C:C,'COUNT-CONT'!B:C,2,FALSE)</f>
        <v>Asia</v>
      </c>
      <c r="E364" s="29">
        <v>9</v>
      </c>
      <c r="F364" s="28">
        <v>3594</v>
      </c>
      <c r="G364" s="28">
        <v>5234865664</v>
      </c>
      <c r="H364" s="29">
        <v>33.01</v>
      </c>
      <c r="I364" s="142">
        <v>-46.43</v>
      </c>
      <c r="J364" s="29">
        <v>12.85</v>
      </c>
      <c r="K364" s="29">
        <v>10.61</v>
      </c>
      <c r="L364" s="29">
        <v>27.96</v>
      </c>
      <c r="M364" s="368"/>
      <c r="N364" s="368"/>
      <c r="O364" s="271">
        <f>IFERROR(Table17[[#This Row],[PROFIT]]/Table17[[#This Row],[TO]],0)</f>
        <v>0</v>
      </c>
      <c r="P364" s="177"/>
      <c r="Q364" s="177"/>
      <c r="R364" s="177"/>
    </row>
    <row r="365" spans="1:18" hidden="1" x14ac:dyDescent="0.25">
      <c r="A365" s="29" t="s">
        <v>4808</v>
      </c>
      <c r="B365" s="29" t="s">
        <v>4807</v>
      </c>
      <c r="C365" s="29" t="s">
        <v>926</v>
      </c>
      <c r="D365" s="29" t="str">
        <f>VLOOKUP(C:C,'COUNT-CONT'!B:C,2,FALSE)</f>
        <v>Africa</v>
      </c>
      <c r="E365" s="29">
        <v>4</v>
      </c>
      <c r="F365" s="28">
        <v>2144</v>
      </c>
      <c r="G365" s="28">
        <v>4969459701</v>
      </c>
      <c r="H365" s="29">
        <v>32.950000000000003</v>
      </c>
      <c r="I365" s="142">
        <v>-46.489999999999995</v>
      </c>
      <c r="J365" s="29">
        <v>10.130000000000001</v>
      </c>
      <c r="K365" s="29">
        <v>7.59</v>
      </c>
      <c r="L365" s="29">
        <v>25.36</v>
      </c>
      <c r="M365" s="368"/>
      <c r="N365" s="368"/>
      <c r="O365" s="271">
        <f>IFERROR(Table17[[#This Row],[PROFIT]]/Table17[[#This Row],[TO]],0)</f>
        <v>0</v>
      </c>
      <c r="P365" s="177"/>
      <c r="Q365" s="177"/>
      <c r="R365" s="177"/>
    </row>
    <row r="366" spans="1:18" x14ac:dyDescent="0.25">
      <c r="A366" s="29" t="s">
        <v>5388</v>
      </c>
      <c r="B366" s="29" t="s">
        <v>5387</v>
      </c>
      <c r="C366" s="29" t="s">
        <v>774</v>
      </c>
      <c r="D366" s="29" t="str">
        <f>VLOOKUP(C:C,'COUNT-CONT'!B:C,2,FALSE)</f>
        <v>Oceania</v>
      </c>
      <c r="E366" s="29">
        <v>6</v>
      </c>
      <c r="F366" s="28">
        <v>3141</v>
      </c>
      <c r="G366" s="28">
        <v>6256406940</v>
      </c>
      <c r="H366" s="29">
        <v>32.89</v>
      </c>
      <c r="I366" s="142">
        <v>-46.55</v>
      </c>
      <c r="J366" s="29">
        <v>19.59</v>
      </c>
      <c r="K366" s="29">
        <v>18.170000000000002</v>
      </c>
      <c r="L366" s="29">
        <v>34.979999999999997</v>
      </c>
      <c r="M366" s="368"/>
      <c r="N366" s="368"/>
      <c r="O366" s="271">
        <f>IFERROR(Table17[[#This Row],[PROFIT]]/Table17[[#This Row],[TO]],0)</f>
        <v>0</v>
      </c>
      <c r="P366" s="177"/>
      <c r="Q366" s="177"/>
      <c r="R366" s="177"/>
    </row>
    <row r="367" spans="1:18" hidden="1" x14ac:dyDescent="0.25">
      <c r="A367" s="29" t="s">
        <v>5384</v>
      </c>
      <c r="B367" s="29" t="s">
        <v>5383</v>
      </c>
      <c r="C367" s="29" t="s">
        <v>597</v>
      </c>
      <c r="D367" s="29" t="str">
        <f>VLOOKUP(C:C,'COUNT-CONT'!B:C,2,FALSE)</f>
        <v>Europe</v>
      </c>
      <c r="E367" s="29">
        <v>7</v>
      </c>
      <c r="F367" s="28">
        <v>3581</v>
      </c>
      <c r="G367" s="28">
        <v>6212176766</v>
      </c>
      <c r="H367" s="29">
        <v>32.799999999999997</v>
      </c>
      <c r="I367" s="142">
        <v>-46.64</v>
      </c>
      <c r="J367" s="29">
        <v>19.53</v>
      </c>
      <c r="K367" s="29">
        <v>18.14</v>
      </c>
      <c r="L367" s="29">
        <v>34.92</v>
      </c>
      <c r="M367" s="368"/>
      <c r="N367" s="368"/>
      <c r="O367" s="271">
        <f>IFERROR(Table17[[#This Row],[PROFIT]]/Table17[[#This Row],[TO]],0)</f>
        <v>0</v>
      </c>
      <c r="P367" s="177"/>
      <c r="Q367" s="177"/>
      <c r="R367" s="177"/>
    </row>
    <row r="368" spans="1:18" hidden="1" x14ac:dyDescent="0.25">
      <c r="A368" s="29" t="s">
        <v>4701</v>
      </c>
      <c r="B368" s="29" t="s">
        <v>4700</v>
      </c>
      <c r="C368" s="29" t="s">
        <v>1261</v>
      </c>
      <c r="D368" s="29" t="str">
        <f>VLOOKUP(C:C,'COUNT-CONT'!B:C,2,FALSE)</f>
        <v>Asia</v>
      </c>
      <c r="E368" s="29">
        <v>6</v>
      </c>
      <c r="F368" s="28">
        <v>2573</v>
      </c>
      <c r="G368" s="28">
        <v>4822116517</v>
      </c>
      <c r="H368" s="29">
        <v>32.799999999999997</v>
      </c>
      <c r="I368" s="142">
        <v>-46.64</v>
      </c>
      <c r="J368" s="29">
        <v>9.16</v>
      </c>
      <c r="K368" s="29">
        <v>6.74</v>
      </c>
      <c r="L368" s="29">
        <v>24.12</v>
      </c>
      <c r="M368" s="368"/>
      <c r="N368" s="368"/>
      <c r="O368" s="271">
        <f>IFERROR(Table17[[#This Row],[PROFIT]]/Table17[[#This Row],[TO]],0)</f>
        <v>0</v>
      </c>
      <c r="P368" s="177"/>
      <c r="Q368" s="177"/>
      <c r="R368" s="177"/>
    </row>
    <row r="369" spans="1:18" ht="30" hidden="1" x14ac:dyDescent="0.25">
      <c r="A369" s="29" t="s">
        <v>5620</v>
      </c>
      <c r="B369" s="29" t="s">
        <v>1019</v>
      </c>
      <c r="C369" s="29" t="s">
        <v>11732</v>
      </c>
      <c r="D369" s="29" t="str">
        <f>VLOOKUP(C:C,'COUNT-CONT'!B:C,2,FALSE)</f>
        <v>North America</v>
      </c>
      <c r="E369" s="29">
        <v>10</v>
      </c>
      <c r="F369" s="28">
        <v>5749</v>
      </c>
      <c r="G369" s="28">
        <v>7391837623</v>
      </c>
      <c r="H369" s="29">
        <v>32.770000000000003</v>
      </c>
      <c r="I369" s="142">
        <v>-46.669999999999995</v>
      </c>
      <c r="J369" s="29">
        <v>26.75</v>
      </c>
      <c r="K369" s="29">
        <v>26.75</v>
      </c>
      <c r="L369" s="29">
        <v>43.14</v>
      </c>
      <c r="M369" s="368"/>
      <c r="N369" s="368"/>
      <c r="O369" s="271">
        <f>IFERROR(Table17[[#This Row],[PROFIT]]/Table17[[#This Row],[TO]],0)</f>
        <v>0</v>
      </c>
      <c r="P369" s="177"/>
      <c r="Q369" s="177"/>
      <c r="R369" s="177"/>
    </row>
    <row r="370" spans="1:18" hidden="1" x14ac:dyDescent="0.25">
      <c r="A370" s="29" t="s">
        <v>341</v>
      </c>
      <c r="B370" s="29" t="s">
        <v>4796</v>
      </c>
      <c r="C370" s="29" t="s">
        <v>1314</v>
      </c>
      <c r="D370" s="29" t="str">
        <f>VLOOKUP(C:C,'COUNT-CONT'!B:C,2,FALSE)</f>
        <v>Asia</v>
      </c>
      <c r="E370" s="29">
        <v>9</v>
      </c>
      <c r="F370" s="28">
        <v>3294</v>
      </c>
      <c r="G370" s="28">
        <v>4873140497</v>
      </c>
      <c r="H370" s="29">
        <v>32.74</v>
      </c>
      <c r="I370" s="142">
        <v>-46.699999999999996</v>
      </c>
      <c r="J370" s="29">
        <v>10.58</v>
      </c>
      <c r="K370" s="29">
        <v>7.56</v>
      </c>
      <c r="L370" s="29">
        <v>25.18</v>
      </c>
      <c r="M370" s="368"/>
      <c r="N370" s="368"/>
      <c r="O370" s="271">
        <f>IFERROR(Table17[[#This Row],[PROFIT]]/Table17[[#This Row],[TO]],0)</f>
        <v>0</v>
      </c>
      <c r="P370" s="177"/>
      <c r="Q370" s="177"/>
      <c r="R370" s="177"/>
    </row>
    <row r="371" spans="1:18" hidden="1" x14ac:dyDescent="0.25">
      <c r="A371" s="29" t="s">
        <v>3941</v>
      </c>
      <c r="B371" s="29" t="s">
        <v>3940</v>
      </c>
      <c r="C371" s="29" t="s">
        <v>2527</v>
      </c>
      <c r="D371" s="29" t="str">
        <f>VLOOKUP(C:C,'COUNT-CONT'!B:C,2,FALSE)</f>
        <v>Africa</v>
      </c>
      <c r="E371" s="29">
        <v>10</v>
      </c>
      <c r="F371" s="28">
        <v>3943</v>
      </c>
      <c r="G371" s="28">
        <v>4399875399</v>
      </c>
      <c r="H371" s="29">
        <v>32.71</v>
      </c>
      <c r="I371" s="142">
        <v>-46.73</v>
      </c>
      <c r="J371" s="29">
        <v>3.72</v>
      </c>
      <c r="K371" s="29">
        <v>1.0900000000000001</v>
      </c>
      <c r="L371" s="29">
        <v>18.59</v>
      </c>
      <c r="M371" s="368"/>
      <c r="N371" s="368"/>
      <c r="O371" s="271">
        <f>IFERROR(Table17[[#This Row],[PROFIT]]/Table17[[#This Row],[TO]],0)</f>
        <v>0</v>
      </c>
      <c r="P371" s="177"/>
      <c r="Q371" s="177"/>
      <c r="R371" s="177"/>
    </row>
    <row r="372" spans="1:18" ht="30" hidden="1" x14ac:dyDescent="0.25">
      <c r="A372" s="29" t="s">
        <v>5013</v>
      </c>
      <c r="B372" s="29" t="s">
        <v>5012</v>
      </c>
      <c r="C372" s="29" t="s">
        <v>517</v>
      </c>
      <c r="D372" s="29" t="str">
        <f>VLOOKUP(C:C,'COUNT-CONT'!B:C,2,FALSE)</f>
        <v>South America</v>
      </c>
      <c r="E372" s="29">
        <v>6</v>
      </c>
      <c r="F372" s="28">
        <v>2478</v>
      </c>
      <c r="G372" s="28">
        <v>5245906376</v>
      </c>
      <c r="H372" s="29">
        <v>32.68</v>
      </c>
      <c r="I372" s="142">
        <v>-46.76</v>
      </c>
      <c r="J372" s="29">
        <v>12.73</v>
      </c>
      <c r="K372" s="29">
        <v>10.52</v>
      </c>
      <c r="L372" s="29">
        <v>27.69</v>
      </c>
      <c r="M372" s="368"/>
      <c r="N372" s="368"/>
      <c r="O372" s="271">
        <f>IFERROR(Table17[[#This Row],[PROFIT]]/Table17[[#This Row],[TO]],0)</f>
        <v>0</v>
      </c>
      <c r="P372" s="177"/>
      <c r="Q372" s="177"/>
      <c r="R372" s="177"/>
    </row>
    <row r="373" spans="1:18" hidden="1" x14ac:dyDescent="0.25">
      <c r="A373" s="29" t="s">
        <v>4499</v>
      </c>
      <c r="B373" s="29" t="s">
        <v>4498</v>
      </c>
      <c r="C373" s="29" t="s">
        <v>4497</v>
      </c>
      <c r="D373" s="29" t="str">
        <f>VLOOKUP(C:C,'COUNT-CONT'!B:C,2,FALSE)</f>
        <v>Asia</v>
      </c>
      <c r="E373" s="29">
        <v>10</v>
      </c>
      <c r="F373" s="28">
        <v>4413</v>
      </c>
      <c r="G373" s="28">
        <v>4707863539</v>
      </c>
      <c r="H373" s="29">
        <v>32.590000000000003</v>
      </c>
      <c r="I373" s="142">
        <v>-46.849999999999994</v>
      </c>
      <c r="J373" s="29">
        <v>7.59</v>
      </c>
      <c r="K373" s="29">
        <v>4.9000000000000004</v>
      </c>
      <c r="L373" s="29">
        <v>22.31</v>
      </c>
      <c r="M373" s="368"/>
      <c r="N373" s="368"/>
      <c r="O373" s="271">
        <f>IFERROR(Table17[[#This Row],[PROFIT]]/Table17[[#This Row],[TO]],0)</f>
        <v>0</v>
      </c>
      <c r="P373" s="177"/>
      <c r="Q373" s="177"/>
      <c r="R373" s="177"/>
    </row>
    <row r="374" spans="1:18" hidden="1" x14ac:dyDescent="0.25">
      <c r="A374" s="29" t="s">
        <v>5006</v>
      </c>
      <c r="B374" s="29" t="s">
        <v>5005</v>
      </c>
      <c r="C374" s="29" t="s">
        <v>14</v>
      </c>
      <c r="D374" s="29" t="str">
        <f>VLOOKUP(C:C,'COUNT-CONT'!B:C,2,FALSE)</f>
        <v>Asia</v>
      </c>
      <c r="E374" s="29">
        <v>7</v>
      </c>
      <c r="F374" s="28">
        <v>2903</v>
      </c>
      <c r="G374" s="28">
        <v>5194918360</v>
      </c>
      <c r="H374" s="29">
        <v>32.53</v>
      </c>
      <c r="I374" s="142">
        <v>-46.91</v>
      </c>
      <c r="J374" s="29">
        <v>12.67</v>
      </c>
      <c r="K374" s="29">
        <v>10.46</v>
      </c>
      <c r="L374" s="29">
        <v>27.57</v>
      </c>
      <c r="M374" s="368"/>
      <c r="N374" s="368"/>
      <c r="O374" s="271">
        <f>IFERROR(Table17[[#This Row],[PROFIT]]/Table17[[#This Row],[TO]],0)</f>
        <v>0</v>
      </c>
      <c r="P374" s="177"/>
      <c r="Q374" s="177"/>
      <c r="R374" s="177"/>
    </row>
    <row r="375" spans="1:18" hidden="1" x14ac:dyDescent="0.25">
      <c r="A375" s="29" t="s">
        <v>5275</v>
      </c>
      <c r="B375" s="29" t="s">
        <v>5274</v>
      </c>
      <c r="C375" s="29" t="s">
        <v>46</v>
      </c>
      <c r="D375" s="29" t="str">
        <f>VLOOKUP(C:C,'COUNT-CONT'!B:C,2,FALSE)</f>
        <v>Asia</v>
      </c>
      <c r="E375" s="29">
        <v>9</v>
      </c>
      <c r="F375" s="28">
        <v>3878</v>
      </c>
      <c r="G375" s="28">
        <v>5900651366</v>
      </c>
      <c r="H375" s="29">
        <v>32.47</v>
      </c>
      <c r="I375" s="142">
        <v>-46.97</v>
      </c>
      <c r="J375" s="29">
        <v>17.5</v>
      </c>
      <c r="K375" s="29">
        <v>15.57</v>
      </c>
      <c r="L375" s="29">
        <v>32.47</v>
      </c>
      <c r="M375" s="368"/>
      <c r="N375" s="368"/>
      <c r="O375" s="271">
        <f>IFERROR(Table17[[#This Row],[PROFIT]]/Table17[[#This Row],[TO]],0)</f>
        <v>0</v>
      </c>
      <c r="P375" s="177"/>
      <c r="Q375" s="177"/>
      <c r="R375" s="177"/>
    </row>
    <row r="376" spans="1:18" ht="30" hidden="1" x14ac:dyDescent="0.25">
      <c r="A376" s="29" t="s">
        <v>5402</v>
      </c>
      <c r="B376" s="29" t="s">
        <v>4672</v>
      </c>
      <c r="C376" s="29" t="s">
        <v>83</v>
      </c>
      <c r="D376" s="29" t="str">
        <f>VLOOKUP(C:C,'COUNT-CONT'!B:C,2,FALSE)</f>
        <v>Europe</v>
      </c>
      <c r="E376" s="29">
        <v>6</v>
      </c>
      <c r="F376" s="28">
        <v>3170</v>
      </c>
      <c r="G376" s="28">
        <v>6269203154</v>
      </c>
      <c r="H376" s="29">
        <v>32.47</v>
      </c>
      <c r="I376" s="142">
        <v>-46.97</v>
      </c>
      <c r="J376" s="29">
        <v>19.739999999999998</v>
      </c>
      <c r="K376" s="29">
        <v>18.350000000000001</v>
      </c>
      <c r="L376" s="29">
        <v>35.28</v>
      </c>
      <c r="M376" s="368"/>
      <c r="N376" s="368"/>
      <c r="O376" s="271">
        <f>IFERROR(Table17[[#This Row],[PROFIT]]/Table17[[#This Row],[TO]],0)</f>
        <v>0</v>
      </c>
      <c r="P376" s="177"/>
      <c r="Q376" s="177"/>
      <c r="R376" s="177"/>
    </row>
    <row r="377" spans="1:18" ht="30" hidden="1" x14ac:dyDescent="0.25">
      <c r="A377" s="29" t="s">
        <v>4492</v>
      </c>
      <c r="B377" s="29" t="s">
        <v>4491</v>
      </c>
      <c r="C377" s="29" t="s">
        <v>1070</v>
      </c>
      <c r="D377" s="29" t="str">
        <f>VLOOKUP(C:C,'COUNT-CONT'!B:C,2,FALSE)</f>
        <v>Asia</v>
      </c>
      <c r="E377" s="29">
        <v>6</v>
      </c>
      <c r="F377" s="28">
        <v>2349</v>
      </c>
      <c r="G377" s="28">
        <v>4613684376</v>
      </c>
      <c r="H377" s="29">
        <v>32.44</v>
      </c>
      <c r="I377" s="142">
        <v>-47</v>
      </c>
      <c r="J377" s="29">
        <v>7.56</v>
      </c>
      <c r="K377" s="29">
        <v>4.87</v>
      </c>
      <c r="L377" s="29">
        <v>22.22</v>
      </c>
      <c r="M377" s="368"/>
      <c r="N377" s="368"/>
      <c r="O377" s="271">
        <f>IFERROR(Table17[[#This Row],[PROFIT]]/Table17[[#This Row],[TO]],0)</f>
        <v>0</v>
      </c>
      <c r="P377" s="177"/>
      <c r="Q377" s="177"/>
      <c r="R377" s="177"/>
    </row>
    <row r="378" spans="1:18" ht="30" hidden="1" x14ac:dyDescent="0.25">
      <c r="A378" s="29" t="s">
        <v>4928</v>
      </c>
      <c r="B378" s="29" t="s">
        <v>4927</v>
      </c>
      <c r="C378" s="29" t="s">
        <v>78</v>
      </c>
      <c r="D378" s="29" t="str">
        <f>VLOOKUP(C:C,'COUNT-CONT'!B:C,2,FALSE)</f>
        <v>Europe</v>
      </c>
      <c r="E378" s="29">
        <v>10</v>
      </c>
      <c r="F378" s="28">
        <v>4020</v>
      </c>
      <c r="G378" s="28">
        <v>5055231840</v>
      </c>
      <c r="H378" s="29">
        <v>32.409999999999997</v>
      </c>
      <c r="I378" s="142">
        <v>-47.03</v>
      </c>
      <c r="J378" s="29">
        <v>11.67</v>
      </c>
      <c r="K378" s="29">
        <v>9.5500000000000007</v>
      </c>
      <c r="L378" s="29">
        <v>26.57</v>
      </c>
      <c r="M378" s="368"/>
      <c r="N378" s="368"/>
      <c r="O378" s="271">
        <f>IFERROR(Table17[[#This Row],[PROFIT]]/Table17[[#This Row],[TO]],0)</f>
        <v>0</v>
      </c>
      <c r="P378" s="177"/>
      <c r="Q378" s="177"/>
      <c r="R378" s="177"/>
    </row>
    <row r="379" spans="1:18" hidden="1" x14ac:dyDescent="0.25">
      <c r="A379" s="29" t="s">
        <v>4211</v>
      </c>
      <c r="B379" s="29" t="s">
        <v>4210</v>
      </c>
      <c r="C379" s="29" t="s">
        <v>938</v>
      </c>
      <c r="D379" s="29" t="str">
        <f>VLOOKUP(C:C,'COUNT-CONT'!B:C,2,FALSE)</f>
        <v>Africa</v>
      </c>
      <c r="E379" s="29">
        <v>9</v>
      </c>
      <c r="F379" s="28">
        <v>3205</v>
      </c>
      <c r="G379" s="28">
        <v>4429813728</v>
      </c>
      <c r="H379" s="29">
        <v>32.409999999999997</v>
      </c>
      <c r="I379" s="142">
        <v>-47.03</v>
      </c>
      <c r="J379" s="29">
        <v>6.08</v>
      </c>
      <c r="K379" s="29">
        <v>2.42</v>
      </c>
      <c r="L379" s="29">
        <v>20.25</v>
      </c>
      <c r="M379" s="368"/>
      <c r="N379" s="368"/>
      <c r="O379" s="271">
        <f>IFERROR(Table17[[#This Row],[PROFIT]]/Table17[[#This Row],[TO]],0)</f>
        <v>0</v>
      </c>
      <c r="P379" s="177"/>
      <c r="Q379" s="177"/>
      <c r="R379" s="177"/>
    </row>
    <row r="380" spans="1:18" hidden="1" x14ac:dyDescent="0.25">
      <c r="A380" s="29" t="s">
        <v>4779</v>
      </c>
      <c r="B380" s="29" t="s">
        <v>4778</v>
      </c>
      <c r="C380" s="29" t="s">
        <v>1270</v>
      </c>
      <c r="D380" s="29" t="str">
        <f>VLOOKUP(C:C,'COUNT-CONT'!B:C,2,FALSE)</f>
        <v>Asia</v>
      </c>
      <c r="E380" s="29">
        <v>10</v>
      </c>
      <c r="F380" s="28">
        <v>4146</v>
      </c>
      <c r="G380" s="28">
        <v>4892815967</v>
      </c>
      <c r="H380" s="29">
        <v>32.380000000000003</v>
      </c>
      <c r="I380" s="142">
        <v>-47.059999999999995</v>
      </c>
      <c r="J380" s="29">
        <v>10.46</v>
      </c>
      <c r="K380" s="29">
        <v>7.47</v>
      </c>
      <c r="L380" s="29">
        <v>24.91</v>
      </c>
      <c r="M380" s="368"/>
      <c r="N380" s="368"/>
      <c r="O380" s="271">
        <f>IFERROR(Table17[[#This Row],[PROFIT]]/Table17[[#This Row],[TO]],0)</f>
        <v>0</v>
      </c>
      <c r="P380" s="177"/>
      <c r="Q380" s="177"/>
      <c r="R380" s="177"/>
    </row>
    <row r="381" spans="1:18" hidden="1" x14ac:dyDescent="0.25">
      <c r="A381" s="29" t="s">
        <v>284</v>
      </c>
      <c r="B381" s="29" t="s">
        <v>4777</v>
      </c>
      <c r="C381" s="29" t="s">
        <v>332</v>
      </c>
      <c r="D381" s="29" t="str">
        <f>VLOOKUP(C:C,'COUNT-CONT'!B:C,2,FALSE)</f>
        <v>Asia</v>
      </c>
      <c r="E381" s="29">
        <v>9</v>
      </c>
      <c r="F381" s="28">
        <v>3360</v>
      </c>
      <c r="G381" s="28">
        <v>4876580952</v>
      </c>
      <c r="H381" s="29">
        <v>32.380000000000003</v>
      </c>
      <c r="I381" s="142">
        <v>-47.059999999999995</v>
      </c>
      <c r="J381" s="29">
        <v>9.9499999999999993</v>
      </c>
      <c r="K381" s="29">
        <v>7.95</v>
      </c>
      <c r="L381" s="29">
        <v>24.91</v>
      </c>
      <c r="M381" s="368"/>
      <c r="N381" s="368"/>
      <c r="O381" s="271">
        <f>IFERROR(Table17[[#This Row],[PROFIT]]/Table17[[#This Row],[TO]],0)</f>
        <v>0</v>
      </c>
      <c r="P381" s="177"/>
      <c r="Q381" s="177"/>
      <c r="R381" s="177"/>
    </row>
    <row r="382" spans="1:18" ht="30" hidden="1" x14ac:dyDescent="0.25">
      <c r="A382" s="29" t="s">
        <v>5401</v>
      </c>
      <c r="B382" s="29" t="s">
        <v>5400</v>
      </c>
      <c r="C382" s="29" t="s">
        <v>83</v>
      </c>
      <c r="D382" s="29" t="str">
        <f>VLOOKUP(C:C,'COUNT-CONT'!B:C,2,FALSE)</f>
        <v>Europe</v>
      </c>
      <c r="E382" s="29">
        <v>8</v>
      </c>
      <c r="F382" s="28">
        <v>3806</v>
      </c>
      <c r="G382" s="28">
        <v>6247417341</v>
      </c>
      <c r="H382" s="29">
        <v>32.35</v>
      </c>
      <c r="I382" s="142">
        <v>-47.089999999999996</v>
      </c>
      <c r="J382" s="29">
        <v>19.68</v>
      </c>
      <c r="K382" s="29">
        <v>18.29</v>
      </c>
      <c r="L382" s="29">
        <v>35.19</v>
      </c>
      <c r="M382" s="368"/>
      <c r="N382" s="368"/>
      <c r="O382" s="271">
        <f>IFERROR(Table17[[#This Row],[PROFIT]]/Table17[[#This Row],[TO]],0)</f>
        <v>0</v>
      </c>
      <c r="P382" s="177"/>
      <c r="Q382" s="177"/>
      <c r="R382" s="177"/>
    </row>
    <row r="383" spans="1:18" ht="30" hidden="1" x14ac:dyDescent="0.25">
      <c r="A383" s="29" t="s">
        <v>5606</v>
      </c>
      <c r="B383" s="29" t="s">
        <v>5605</v>
      </c>
      <c r="C383" s="29" t="s">
        <v>11732</v>
      </c>
      <c r="D383" s="29" t="str">
        <f>VLOOKUP(C:C,'COUNT-CONT'!B:C,2,FALSE)</f>
        <v>North America</v>
      </c>
      <c r="E383" s="29">
        <v>10</v>
      </c>
      <c r="F383" s="28">
        <v>5630</v>
      </c>
      <c r="G383" s="28">
        <v>7316481882</v>
      </c>
      <c r="H383" s="29">
        <v>32.35</v>
      </c>
      <c r="I383" s="142">
        <v>-47.089999999999996</v>
      </c>
      <c r="J383" s="29">
        <v>26.36</v>
      </c>
      <c r="K383" s="29">
        <v>26.36</v>
      </c>
      <c r="L383" s="29">
        <v>42.56</v>
      </c>
      <c r="M383" s="368"/>
      <c r="N383" s="368"/>
      <c r="O383" s="271">
        <f>IFERROR(Table17[[#This Row],[PROFIT]]/Table17[[#This Row],[TO]],0)</f>
        <v>0</v>
      </c>
      <c r="P383" s="177"/>
      <c r="Q383" s="177"/>
      <c r="R383" s="177"/>
    </row>
    <row r="384" spans="1:18" ht="30" hidden="1" x14ac:dyDescent="0.25">
      <c r="A384" s="29" t="s">
        <v>5399</v>
      </c>
      <c r="B384" s="29" t="s">
        <v>5398</v>
      </c>
      <c r="C384" s="29" t="s">
        <v>308</v>
      </c>
      <c r="D384" s="29" t="str">
        <f>VLOOKUP(C:C,'COUNT-CONT'!B:C,2,FALSE)</f>
        <v>Europe</v>
      </c>
      <c r="E384" s="29">
        <v>7</v>
      </c>
      <c r="F384" s="28">
        <v>3472</v>
      </c>
      <c r="G384" s="28">
        <v>6258820276</v>
      </c>
      <c r="H384" s="29">
        <v>32.32</v>
      </c>
      <c r="I384" s="142">
        <v>-47.12</v>
      </c>
      <c r="J384" s="29">
        <v>19.68</v>
      </c>
      <c r="K384" s="29">
        <v>18.95</v>
      </c>
      <c r="L384" s="29">
        <v>35.130000000000003</v>
      </c>
      <c r="M384" s="368"/>
      <c r="N384" s="368"/>
      <c r="O384" s="271">
        <f>IFERROR(Table17[[#This Row],[PROFIT]]/Table17[[#This Row],[TO]],0)</f>
        <v>0</v>
      </c>
      <c r="P384" s="177"/>
      <c r="Q384" s="177"/>
      <c r="R384" s="177"/>
    </row>
    <row r="385" spans="1:18" ht="30" hidden="1" x14ac:dyDescent="0.25">
      <c r="A385" s="29" t="s">
        <v>5021</v>
      </c>
      <c r="B385" s="29" t="s">
        <v>5020</v>
      </c>
      <c r="C385" s="29" t="s">
        <v>860</v>
      </c>
      <c r="D385" s="29" t="str">
        <f>VLOOKUP(C:C,'COUNT-CONT'!B:C,2,FALSE)</f>
        <v>South America</v>
      </c>
      <c r="E385" s="29">
        <v>8</v>
      </c>
      <c r="F385" s="28">
        <v>3362</v>
      </c>
      <c r="G385" s="28">
        <v>5216786198</v>
      </c>
      <c r="H385" s="29">
        <v>32.29</v>
      </c>
      <c r="I385" s="142">
        <v>-47.15</v>
      </c>
      <c r="J385" s="29">
        <v>12.79</v>
      </c>
      <c r="K385" s="29">
        <v>10.55</v>
      </c>
      <c r="L385" s="29">
        <v>27.84</v>
      </c>
      <c r="M385" s="368"/>
      <c r="N385" s="368"/>
      <c r="O385" s="271">
        <f>IFERROR(Table17[[#This Row],[PROFIT]]/Table17[[#This Row],[TO]],0)</f>
        <v>0</v>
      </c>
      <c r="P385" s="177"/>
      <c r="Q385" s="177"/>
      <c r="R385" s="177"/>
    </row>
    <row r="386" spans="1:18" ht="30" hidden="1" x14ac:dyDescent="0.25">
      <c r="A386" s="29" t="s">
        <v>4738</v>
      </c>
      <c r="B386" s="29" t="s">
        <v>4737</v>
      </c>
      <c r="C386" s="29" t="s">
        <v>714</v>
      </c>
      <c r="D386" s="29" t="str">
        <f>VLOOKUP(C:C,'COUNT-CONT'!B:C,2,FALSE)</f>
        <v>South America</v>
      </c>
      <c r="E386" s="29">
        <v>10</v>
      </c>
      <c r="F386" s="28">
        <v>3640</v>
      </c>
      <c r="G386" s="28">
        <v>4883697802</v>
      </c>
      <c r="H386" s="29">
        <v>32.26</v>
      </c>
      <c r="I386" s="142">
        <v>-47.18</v>
      </c>
      <c r="J386" s="29">
        <v>9.76</v>
      </c>
      <c r="K386" s="29">
        <v>7.32</v>
      </c>
      <c r="L386" s="29">
        <v>24.46</v>
      </c>
      <c r="M386" s="368"/>
      <c r="N386" s="368"/>
      <c r="O386" s="271">
        <f>IFERROR(Table17[[#This Row],[PROFIT]]/Table17[[#This Row],[TO]],0)</f>
        <v>0</v>
      </c>
      <c r="P386" s="177"/>
      <c r="Q386" s="177"/>
      <c r="R386" s="177"/>
    </row>
    <row r="387" spans="1:18" ht="30" hidden="1" x14ac:dyDescent="0.25">
      <c r="A387" s="29" t="s">
        <v>4481</v>
      </c>
      <c r="B387" s="29" t="s">
        <v>4480</v>
      </c>
      <c r="C387" s="29" t="s">
        <v>717</v>
      </c>
      <c r="D387" s="29" t="str">
        <f>VLOOKUP(C:C,'COUNT-CONT'!B:C,2,FALSE)</f>
        <v>Asia</v>
      </c>
      <c r="E387" s="29">
        <v>5</v>
      </c>
      <c r="F387" s="28">
        <v>2240</v>
      </c>
      <c r="G387" s="28">
        <v>4756271428</v>
      </c>
      <c r="H387" s="29">
        <v>32.26</v>
      </c>
      <c r="I387" s="142">
        <v>-47.18</v>
      </c>
      <c r="J387" s="29">
        <v>7.5</v>
      </c>
      <c r="K387" s="29">
        <v>4.84</v>
      </c>
      <c r="L387" s="29">
        <v>22.1</v>
      </c>
      <c r="M387" s="368"/>
      <c r="N387" s="368"/>
      <c r="O387" s="271">
        <f>IFERROR(Table17[[#This Row],[PROFIT]]/Table17[[#This Row],[TO]],0)</f>
        <v>0</v>
      </c>
      <c r="P387" s="177"/>
      <c r="Q387" s="177"/>
      <c r="R387" s="177"/>
    </row>
    <row r="388" spans="1:18" ht="30" hidden="1" x14ac:dyDescent="0.25">
      <c r="A388" s="29" t="s">
        <v>5392</v>
      </c>
      <c r="B388" s="29" t="s">
        <v>5391</v>
      </c>
      <c r="C388" s="29" t="s">
        <v>308</v>
      </c>
      <c r="D388" s="29" t="str">
        <f>VLOOKUP(C:C,'COUNT-CONT'!B:C,2,FALSE)</f>
        <v>Europe</v>
      </c>
      <c r="E388" s="29">
        <v>8</v>
      </c>
      <c r="F388" s="28">
        <v>3657</v>
      </c>
      <c r="G388" s="28">
        <v>6241792999</v>
      </c>
      <c r="H388" s="29">
        <v>32.22</v>
      </c>
      <c r="I388" s="142">
        <v>-47.22</v>
      </c>
      <c r="J388" s="29">
        <v>19.62</v>
      </c>
      <c r="K388" s="29">
        <v>18.89</v>
      </c>
      <c r="L388" s="29">
        <v>35.04</v>
      </c>
      <c r="M388" s="368"/>
      <c r="N388" s="368"/>
      <c r="O388" s="271">
        <f>IFERROR(Table17[[#This Row],[PROFIT]]/Table17[[#This Row],[TO]],0)</f>
        <v>0</v>
      </c>
      <c r="P388" s="177"/>
      <c r="Q388" s="177"/>
      <c r="R388" s="177"/>
    </row>
    <row r="389" spans="1:18" ht="30" hidden="1" x14ac:dyDescent="0.25">
      <c r="A389" s="29" t="s">
        <v>266</v>
      </c>
      <c r="B389" s="29" t="s">
        <v>4188</v>
      </c>
      <c r="C389" s="29" t="s">
        <v>542</v>
      </c>
      <c r="D389" s="29" t="str">
        <f>VLOOKUP(C:C,'COUNT-CONT'!B:C,2,FALSE)</f>
        <v>Africa</v>
      </c>
      <c r="E389" s="29">
        <v>10</v>
      </c>
      <c r="F389" s="28">
        <v>4881</v>
      </c>
      <c r="G389" s="28">
        <v>4445063655</v>
      </c>
      <c r="H389" s="29">
        <v>32.22</v>
      </c>
      <c r="I389" s="142">
        <v>-47.22</v>
      </c>
      <c r="J389" s="29">
        <v>5.62</v>
      </c>
      <c r="K389" s="29">
        <v>2.39</v>
      </c>
      <c r="L389" s="29">
        <v>20.13</v>
      </c>
      <c r="M389" s="368"/>
      <c r="N389" s="368"/>
      <c r="O389" s="271">
        <f>IFERROR(Table17[[#This Row],[PROFIT]]/Table17[[#This Row],[TO]],0)</f>
        <v>0</v>
      </c>
      <c r="P389" s="177"/>
      <c r="Q389" s="177"/>
      <c r="R389" s="177"/>
    </row>
    <row r="390" spans="1:18" ht="30" hidden="1" x14ac:dyDescent="0.25">
      <c r="A390" s="29" t="s">
        <v>5114</v>
      </c>
      <c r="B390" s="29" t="s">
        <v>5113</v>
      </c>
      <c r="C390" s="29" t="s">
        <v>1749</v>
      </c>
      <c r="D390" s="29" t="str">
        <f>VLOOKUP(C:C,'COUNT-CONT'!B:C,2,FALSE)</f>
        <v>North America</v>
      </c>
      <c r="E390" s="29">
        <v>8</v>
      </c>
      <c r="F390" s="28">
        <v>3445</v>
      </c>
      <c r="G390" s="28">
        <v>5404103338</v>
      </c>
      <c r="H390" s="29">
        <v>32.19</v>
      </c>
      <c r="I390" s="142">
        <v>-47.25</v>
      </c>
      <c r="J390" s="29">
        <v>14.63</v>
      </c>
      <c r="K390" s="29">
        <v>12.27</v>
      </c>
      <c r="L390" s="29">
        <v>29.29</v>
      </c>
      <c r="M390" s="368"/>
      <c r="N390" s="368"/>
      <c r="O390" s="271">
        <f>IFERROR(Table17[[#This Row],[PROFIT]]/Table17[[#This Row],[TO]],0)</f>
        <v>0</v>
      </c>
      <c r="P390" s="177"/>
      <c r="Q390" s="177"/>
      <c r="R390" s="177"/>
    </row>
    <row r="391" spans="1:18" hidden="1" x14ac:dyDescent="0.25">
      <c r="A391" s="29" t="s">
        <v>246</v>
      </c>
      <c r="B391" s="29" t="s">
        <v>4467</v>
      </c>
      <c r="C391" s="29" t="s">
        <v>1070</v>
      </c>
      <c r="D391" s="29" t="str">
        <f>VLOOKUP(C:C,'COUNT-CONT'!B:C,2,FALSE)</f>
        <v>Asia</v>
      </c>
      <c r="E391" s="29">
        <v>8</v>
      </c>
      <c r="F391" s="28">
        <v>2983</v>
      </c>
      <c r="G391" s="28">
        <v>4547356285</v>
      </c>
      <c r="H391" s="29">
        <v>32.130000000000003</v>
      </c>
      <c r="I391" s="142">
        <v>-47.309999999999995</v>
      </c>
      <c r="J391" s="29">
        <v>7.47</v>
      </c>
      <c r="K391" s="29">
        <v>4.84</v>
      </c>
      <c r="L391" s="29">
        <v>22.01</v>
      </c>
      <c r="M391" s="368"/>
      <c r="N391" s="368"/>
      <c r="O391" s="271">
        <f>IFERROR(Table17[[#This Row],[PROFIT]]/Table17[[#This Row],[TO]],0)</f>
        <v>0</v>
      </c>
      <c r="P391" s="177"/>
      <c r="Q391" s="177"/>
      <c r="R391" s="177"/>
    </row>
    <row r="392" spans="1:18" ht="30" hidden="1" x14ac:dyDescent="0.25">
      <c r="A392" s="29" t="s">
        <v>4458</v>
      </c>
      <c r="B392" s="29" t="s">
        <v>4457</v>
      </c>
      <c r="C392" s="29" t="s">
        <v>1070</v>
      </c>
      <c r="D392" s="29" t="str">
        <f>VLOOKUP(C:C,'COUNT-CONT'!B:C,2,FALSE)</f>
        <v>Asia</v>
      </c>
      <c r="E392" s="29">
        <v>4</v>
      </c>
      <c r="F392" s="28">
        <v>1988</v>
      </c>
      <c r="G392" s="28">
        <v>4630919919</v>
      </c>
      <c r="H392" s="29">
        <v>32.07</v>
      </c>
      <c r="I392" s="142">
        <v>-47.37</v>
      </c>
      <c r="J392" s="29">
        <v>7.47</v>
      </c>
      <c r="K392" s="29">
        <v>4.8099999999999996</v>
      </c>
      <c r="L392" s="29">
        <v>21.98</v>
      </c>
      <c r="M392" s="368"/>
      <c r="N392" s="368"/>
      <c r="O392" s="271">
        <f>IFERROR(Table17[[#This Row],[PROFIT]]/Table17[[#This Row],[TO]],0)</f>
        <v>0</v>
      </c>
      <c r="P392" s="177"/>
      <c r="Q392" s="177"/>
      <c r="R392" s="177"/>
    </row>
    <row r="393" spans="1:18" ht="30" hidden="1" x14ac:dyDescent="0.25">
      <c r="A393" s="29" t="s">
        <v>5454</v>
      </c>
      <c r="B393" s="29" t="s">
        <v>5453</v>
      </c>
      <c r="C393" s="29" t="s">
        <v>514</v>
      </c>
      <c r="D393" s="29" t="str">
        <f>VLOOKUP(C:C,'COUNT-CONT'!B:C,2,FALSE)</f>
        <v>North America</v>
      </c>
      <c r="E393" s="29">
        <v>10</v>
      </c>
      <c r="F393" s="28">
        <v>4552</v>
      </c>
      <c r="G393" s="28">
        <v>6421952021</v>
      </c>
      <c r="H393" s="29">
        <v>32.01</v>
      </c>
      <c r="I393" s="142">
        <v>-47.43</v>
      </c>
      <c r="J393" s="29">
        <v>21.1</v>
      </c>
      <c r="K393" s="29">
        <v>20.37</v>
      </c>
      <c r="L393" s="29">
        <v>36.4</v>
      </c>
      <c r="M393" s="368"/>
      <c r="N393" s="368"/>
      <c r="O393" s="271">
        <f>IFERROR(Table17[[#This Row],[PROFIT]]/Table17[[#This Row],[TO]],0)</f>
        <v>0</v>
      </c>
      <c r="P393" s="177"/>
      <c r="Q393" s="177"/>
      <c r="R393" s="177"/>
    </row>
    <row r="394" spans="1:18" hidden="1" x14ac:dyDescent="0.25">
      <c r="A394" s="29" t="s">
        <v>4667</v>
      </c>
      <c r="B394" s="29" t="s">
        <v>4666</v>
      </c>
      <c r="C394" s="29" t="s">
        <v>1124</v>
      </c>
      <c r="D394" s="29" t="str">
        <f>VLOOKUP(C:C,'COUNT-CONT'!B:C,2,FALSE)</f>
        <v>Africa</v>
      </c>
      <c r="E394" s="29">
        <v>5</v>
      </c>
      <c r="F394" s="28">
        <v>2363</v>
      </c>
      <c r="G394" s="28">
        <v>4757709944</v>
      </c>
      <c r="H394" s="29">
        <v>31.95</v>
      </c>
      <c r="I394" s="142">
        <v>-47.489999999999995</v>
      </c>
      <c r="J394" s="29">
        <v>9.52</v>
      </c>
      <c r="K394" s="29">
        <v>6.65</v>
      </c>
      <c r="L394" s="29">
        <v>23.85</v>
      </c>
      <c r="M394" s="368"/>
      <c r="N394" s="368"/>
      <c r="O394" s="271">
        <f>IFERROR(Table17[[#This Row],[PROFIT]]/Table17[[#This Row],[TO]],0)</f>
        <v>0</v>
      </c>
      <c r="P394" s="177"/>
      <c r="Q394" s="177"/>
      <c r="R394" s="177"/>
    </row>
    <row r="395" spans="1:18" hidden="1" x14ac:dyDescent="0.25">
      <c r="A395" s="29" t="s">
        <v>5285</v>
      </c>
      <c r="B395" s="29" t="s">
        <v>5284</v>
      </c>
      <c r="C395" s="29" t="s">
        <v>585</v>
      </c>
      <c r="D395" s="29" t="str">
        <f>VLOOKUP(C:C,'COUNT-CONT'!B:C,2,FALSE)</f>
        <v>Europe</v>
      </c>
      <c r="E395" s="29">
        <v>10</v>
      </c>
      <c r="F395" s="28">
        <v>4057</v>
      </c>
      <c r="G395" s="28">
        <v>5937336307</v>
      </c>
      <c r="H395" s="29">
        <v>31.95</v>
      </c>
      <c r="I395" s="142">
        <v>-47.489999999999995</v>
      </c>
      <c r="J395" s="29">
        <v>17.59</v>
      </c>
      <c r="K395" s="29">
        <v>16.29</v>
      </c>
      <c r="L395" s="29">
        <v>32.619999999999997</v>
      </c>
      <c r="M395" s="368"/>
      <c r="N395" s="368"/>
      <c r="O395" s="271">
        <f>IFERROR(Table17[[#This Row],[PROFIT]]/Table17[[#This Row],[TO]],0)</f>
        <v>0</v>
      </c>
      <c r="P395" s="177"/>
      <c r="Q395" s="177"/>
      <c r="R395" s="177"/>
    </row>
    <row r="396" spans="1:18" ht="30" hidden="1" x14ac:dyDescent="0.25">
      <c r="A396" s="29" t="s">
        <v>5375</v>
      </c>
      <c r="B396" s="29" t="s">
        <v>5374</v>
      </c>
      <c r="C396" s="29" t="s">
        <v>83</v>
      </c>
      <c r="D396" s="29" t="str">
        <f>VLOOKUP(C:C,'COUNT-CONT'!B:C,2,FALSE)</f>
        <v>Europe</v>
      </c>
      <c r="E396" s="29">
        <v>6</v>
      </c>
      <c r="F396" s="28">
        <v>2963</v>
      </c>
      <c r="G396" s="28">
        <v>6207445359</v>
      </c>
      <c r="H396" s="29">
        <v>31.95</v>
      </c>
      <c r="I396" s="142">
        <v>-47.489999999999995</v>
      </c>
      <c r="J396" s="29">
        <v>19.440000000000001</v>
      </c>
      <c r="K396" s="29">
        <v>18.05</v>
      </c>
      <c r="L396" s="29">
        <v>34.729999999999997</v>
      </c>
      <c r="M396" s="368"/>
      <c r="N396" s="368"/>
      <c r="O396" s="271">
        <f>IFERROR(Table17[[#This Row],[PROFIT]]/Table17[[#This Row],[TO]],0)</f>
        <v>0</v>
      </c>
      <c r="P396" s="177"/>
      <c r="Q396" s="177"/>
      <c r="R396" s="177"/>
    </row>
    <row r="397" spans="1:18" hidden="1" x14ac:dyDescent="0.25">
      <c r="A397" s="29" t="s">
        <v>4966</v>
      </c>
      <c r="B397" s="29" t="s">
        <v>4965</v>
      </c>
      <c r="C397" s="29" t="s">
        <v>14</v>
      </c>
      <c r="D397" s="29" t="str">
        <f>VLOOKUP(C:C,'COUNT-CONT'!B:C,2,FALSE)</f>
        <v>Asia</v>
      </c>
      <c r="E397" s="29">
        <v>5</v>
      </c>
      <c r="F397" s="28">
        <v>2460</v>
      </c>
      <c r="G397" s="28">
        <v>5156354471</v>
      </c>
      <c r="H397" s="29">
        <v>31.92</v>
      </c>
      <c r="I397" s="142">
        <v>-47.519999999999996</v>
      </c>
      <c r="J397" s="29">
        <v>12.42</v>
      </c>
      <c r="K397" s="29">
        <v>10.28</v>
      </c>
      <c r="L397" s="29">
        <v>27.06</v>
      </c>
      <c r="M397" s="368"/>
      <c r="N397" s="368"/>
      <c r="O397" s="271">
        <f>IFERROR(Table17[[#This Row],[PROFIT]]/Table17[[#This Row],[TO]],0)</f>
        <v>0</v>
      </c>
      <c r="P397" s="177"/>
      <c r="Q397" s="177"/>
      <c r="R397" s="177"/>
    </row>
    <row r="398" spans="1:18" ht="30" hidden="1" x14ac:dyDescent="0.25">
      <c r="A398" s="29" t="s">
        <v>424</v>
      </c>
      <c r="B398" s="29" t="s">
        <v>5367</v>
      </c>
      <c r="C398" s="29" t="s">
        <v>83</v>
      </c>
      <c r="D398" s="29" t="str">
        <f>VLOOKUP(C:C,'COUNT-CONT'!B:C,2,FALSE)</f>
        <v>Europe</v>
      </c>
      <c r="E398" s="29">
        <v>8</v>
      </c>
      <c r="F398" s="28">
        <v>3619</v>
      </c>
      <c r="G398" s="28">
        <v>6177151367</v>
      </c>
      <c r="H398" s="29">
        <v>31.86</v>
      </c>
      <c r="I398" s="142">
        <v>-47.58</v>
      </c>
      <c r="J398" s="29">
        <v>19.38</v>
      </c>
      <c r="K398" s="29">
        <v>17.989999999999998</v>
      </c>
      <c r="L398" s="29">
        <v>34.64</v>
      </c>
      <c r="M398" s="368"/>
      <c r="N398" s="368"/>
      <c r="O398" s="271">
        <f>IFERROR(Table17[[#This Row],[PROFIT]]/Table17[[#This Row],[TO]],0)</f>
        <v>0</v>
      </c>
      <c r="P398" s="177"/>
      <c r="Q398" s="177"/>
      <c r="R398" s="177"/>
    </row>
    <row r="399" spans="1:18" x14ac:dyDescent="0.25">
      <c r="A399" s="29" t="s">
        <v>4804</v>
      </c>
      <c r="B399" s="29" t="s">
        <v>4803</v>
      </c>
      <c r="C399" s="29" t="s">
        <v>2356</v>
      </c>
      <c r="D399" s="29" t="str">
        <f>VLOOKUP(C:C,'COUNT-CONT'!B:C,2,FALSE)</f>
        <v>Oceania</v>
      </c>
      <c r="E399" s="29">
        <v>10</v>
      </c>
      <c r="F399" s="28">
        <v>3520</v>
      </c>
      <c r="G399" s="28">
        <v>4892900000</v>
      </c>
      <c r="H399" s="29">
        <v>31.86</v>
      </c>
      <c r="I399" s="142">
        <v>-47.58</v>
      </c>
      <c r="J399" s="29">
        <v>10.61</v>
      </c>
      <c r="K399" s="29">
        <v>8.59</v>
      </c>
      <c r="L399" s="29">
        <v>25.3</v>
      </c>
      <c r="M399" s="368"/>
      <c r="N399" s="368"/>
      <c r="O399" s="271">
        <f>IFERROR(Table17[[#This Row],[PROFIT]]/Table17[[#This Row],[TO]],0)</f>
        <v>0</v>
      </c>
      <c r="P399" s="177"/>
      <c r="Q399" s="177"/>
      <c r="R399" s="177"/>
    </row>
    <row r="400" spans="1:18" hidden="1" x14ac:dyDescent="0.25">
      <c r="A400" s="29" t="s">
        <v>4357</v>
      </c>
      <c r="B400" s="29" t="s">
        <v>4356</v>
      </c>
      <c r="C400" s="29" t="s">
        <v>974</v>
      </c>
      <c r="D400" s="29" t="str">
        <f>VLOOKUP(C:C,'COUNT-CONT'!B:C,2,FALSE)</f>
        <v>Asia</v>
      </c>
      <c r="E400" s="29">
        <v>3</v>
      </c>
      <c r="F400" s="28">
        <v>1691</v>
      </c>
      <c r="G400" s="28">
        <v>4671002661</v>
      </c>
      <c r="H400" s="29">
        <v>31.83</v>
      </c>
      <c r="I400" s="142">
        <v>-47.61</v>
      </c>
      <c r="J400" s="29">
        <v>6.77</v>
      </c>
      <c r="K400" s="29">
        <v>3.81</v>
      </c>
      <c r="L400" s="29">
        <v>21.22</v>
      </c>
      <c r="M400" s="368"/>
      <c r="N400" s="368"/>
      <c r="O400" s="271">
        <f>IFERROR(Table17[[#This Row],[PROFIT]]/Table17[[#This Row],[TO]],0)</f>
        <v>0</v>
      </c>
      <c r="P400" s="177"/>
      <c r="Q400" s="177"/>
      <c r="R400" s="177"/>
    </row>
    <row r="401" spans="1:18" hidden="1" x14ac:dyDescent="0.25">
      <c r="A401" s="29" t="s">
        <v>5025</v>
      </c>
      <c r="B401" s="29" t="s">
        <v>5024</v>
      </c>
      <c r="C401" s="29" t="s">
        <v>1117</v>
      </c>
      <c r="D401" s="29" t="str">
        <f>VLOOKUP(C:C,'COUNT-CONT'!B:C,2,FALSE)</f>
        <v>Europe</v>
      </c>
      <c r="E401" s="29">
        <v>10</v>
      </c>
      <c r="F401" s="28">
        <v>3702</v>
      </c>
      <c r="G401" s="28">
        <v>5224736682</v>
      </c>
      <c r="H401" s="29">
        <v>31.8</v>
      </c>
      <c r="I401" s="142">
        <v>-47.64</v>
      </c>
      <c r="J401" s="29">
        <v>13.39</v>
      </c>
      <c r="K401" s="29">
        <v>11.15</v>
      </c>
      <c r="L401" s="29">
        <v>27.9</v>
      </c>
      <c r="M401" s="368"/>
      <c r="N401" s="368"/>
      <c r="O401" s="271">
        <f>IFERROR(Table17[[#This Row],[PROFIT]]/Table17[[#This Row],[TO]],0)</f>
        <v>0</v>
      </c>
      <c r="P401" s="177"/>
      <c r="Q401" s="177"/>
      <c r="R401" s="177"/>
    </row>
    <row r="402" spans="1:18" ht="30" hidden="1" x14ac:dyDescent="0.25">
      <c r="A402" s="29" t="s">
        <v>4617</v>
      </c>
      <c r="B402" s="29" t="s">
        <v>4616</v>
      </c>
      <c r="C402" s="29" t="s">
        <v>1261</v>
      </c>
      <c r="D402" s="29" t="str">
        <f>VLOOKUP(C:C,'COUNT-CONT'!B:C,2,FALSE)</f>
        <v>Asia</v>
      </c>
      <c r="E402" s="29">
        <v>4</v>
      </c>
      <c r="F402" s="28">
        <v>2087</v>
      </c>
      <c r="G402" s="28">
        <v>4776872352</v>
      </c>
      <c r="H402" s="29">
        <v>31.77</v>
      </c>
      <c r="I402" s="142">
        <v>-47.67</v>
      </c>
      <c r="J402" s="29">
        <v>8.86</v>
      </c>
      <c r="K402" s="29">
        <v>6.53</v>
      </c>
      <c r="L402" s="29">
        <v>23.37</v>
      </c>
      <c r="M402" s="368"/>
      <c r="N402" s="368"/>
      <c r="O402" s="271">
        <f>IFERROR(Table17[[#This Row],[PROFIT]]/Table17[[#This Row],[TO]],0)</f>
        <v>0</v>
      </c>
      <c r="P402" s="177"/>
      <c r="Q402" s="177"/>
      <c r="R402" s="177"/>
    </row>
    <row r="403" spans="1:18" hidden="1" x14ac:dyDescent="0.25">
      <c r="A403" s="29" t="s">
        <v>5257</v>
      </c>
      <c r="B403" s="29" t="s">
        <v>5256</v>
      </c>
      <c r="C403" s="29" t="s">
        <v>46</v>
      </c>
      <c r="D403" s="29" t="str">
        <f>VLOOKUP(C:C,'COUNT-CONT'!B:C,2,FALSE)</f>
        <v>Asia</v>
      </c>
      <c r="E403" s="29">
        <v>7</v>
      </c>
      <c r="F403" s="28">
        <v>4058</v>
      </c>
      <c r="G403" s="28">
        <v>5740169492</v>
      </c>
      <c r="H403" s="29">
        <v>31.77</v>
      </c>
      <c r="I403" s="142">
        <v>-47.67</v>
      </c>
      <c r="J403" s="29">
        <v>17.14</v>
      </c>
      <c r="K403" s="29">
        <v>15.24</v>
      </c>
      <c r="L403" s="29">
        <v>31.77</v>
      </c>
      <c r="M403" s="368"/>
      <c r="N403" s="368"/>
      <c r="O403" s="271">
        <f>IFERROR(Table17[[#This Row],[PROFIT]]/Table17[[#This Row],[TO]],0)</f>
        <v>0</v>
      </c>
      <c r="P403" s="177"/>
      <c r="Q403" s="177"/>
      <c r="R403" s="177"/>
    </row>
    <row r="404" spans="1:18" ht="30" hidden="1" x14ac:dyDescent="0.25">
      <c r="A404" s="29" t="s">
        <v>5363</v>
      </c>
      <c r="B404" s="29" t="s">
        <v>5362</v>
      </c>
      <c r="C404" s="29" t="s">
        <v>3180</v>
      </c>
      <c r="D404" s="29" t="str">
        <f>VLOOKUP(C:C,'COUNT-CONT'!B:C,2,FALSE)</f>
        <v>Europe</v>
      </c>
      <c r="E404" s="29">
        <v>7</v>
      </c>
      <c r="F404" s="28">
        <v>3286</v>
      </c>
      <c r="G404" s="28">
        <v>6181953499</v>
      </c>
      <c r="H404" s="29">
        <v>31.74</v>
      </c>
      <c r="I404" s="142">
        <v>-47.7</v>
      </c>
      <c r="J404" s="29">
        <v>19.32</v>
      </c>
      <c r="K404" s="29">
        <v>18.62</v>
      </c>
      <c r="L404" s="29">
        <v>34.520000000000003</v>
      </c>
      <c r="M404" s="368"/>
      <c r="N404" s="368"/>
      <c r="O404" s="271">
        <f>IFERROR(Table17[[#This Row],[PROFIT]]/Table17[[#This Row],[TO]],0)</f>
        <v>0</v>
      </c>
      <c r="P404" s="177"/>
      <c r="Q404" s="177"/>
      <c r="R404" s="177"/>
    </row>
    <row r="405" spans="1:18" ht="30" hidden="1" x14ac:dyDescent="0.25">
      <c r="A405" s="29" t="s">
        <v>5079</v>
      </c>
      <c r="B405" s="29" t="s">
        <v>5078</v>
      </c>
      <c r="C405" s="29" t="s">
        <v>5077</v>
      </c>
      <c r="D405" s="29" t="str">
        <f>VLOOKUP(C:C,'COUNT-CONT'!B:C,2,FALSE)</f>
        <v>North America</v>
      </c>
      <c r="E405" s="29">
        <v>9</v>
      </c>
      <c r="F405" s="28">
        <v>3644</v>
      </c>
      <c r="G405" s="28">
        <v>5344229268</v>
      </c>
      <c r="H405" s="29">
        <v>31.68</v>
      </c>
      <c r="I405" s="142">
        <v>-47.76</v>
      </c>
      <c r="J405" s="29">
        <v>14.39</v>
      </c>
      <c r="K405" s="29">
        <v>12.09</v>
      </c>
      <c r="L405" s="29">
        <v>28.81</v>
      </c>
      <c r="M405" s="368"/>
      <c r="N405" s="368"/>
      <c r="O405" s="271">
        <f>IFERROR(Table17[[#This Row],[PROFIT]]/Table17[[#This Row],[TO]],0)</f>
        <v>0</v>
      </c>
      <c r="P405" s="177"/>
      <c r="Q405" s="177"/>
      <c r="R405" s="177"/>
    </row>
    <row r="406" spans="1:18" hidden="1" x14ac:dyDescent="0.25">
      <c r="A406" s="29" t="s">
        <v>4611</v>
      </c>
      <c r="B406" s="29" t="s">
        <v>4610</v>
      </c>
      <c r="C406" s="29" t="s">
        <v>502</v>
      </c>
      <c r="D406" s="29" t="str">
        <f>VLOOKUP(C:C,'COUNT-CONT'!B:C,2,FALSE)</f>
        <v>Asia</v>
      </c>
      <c r="E406" s="29">
        <v>10</v>
      </c>
      <c r="F406" s="28">
        <v>3817</v>
      </c>
      <c r="G406" s="28">
        <v>4753384438</v>
      </c>
      <c r="H406" s="29">
        <v>31.68</v>
      </c>
      <c r="I406" s="142">
        <v>-47.76</v>
      </c>
      <c r="J406" s="29">
        <v>8.83</v>
      </c>
      <c r="K406" s="29">
        <v>6.5</v>
      </c>
      <c r="L406" s="29">
        <v>23.31</v>
      </c>
      <c r="M406" s="368"/>
      <c r="N406" s="368"/>
      <c r="O406" s="271">
        <f>IFERROR(Table17[[#This Row],[PROFIT]]/Table17[[#This Row],[TO]],0)</f>
        <v>0</v>
      </c>
      <c r="P406" s="177"/>
      <c r="Q406" s="177"/>
      <c r="R406" s="177"/>
    </row>
    <row r="407" spans="1:18" hidden="1" x14ac:dyDescent="0.25">
      <c r="A407" s="29" t="s">
        <v>4454</v>
      </c>
      <c r="B407" s="29" t="s">
        <v>4453</v>
      </c>
      <c r="C407" s="29" t="s">
        <v>4452</v>
      </c>
      <c r="D407" s="29" t="str">
        <f>VLOOKUP(C:C,'COUNT-CONT'!B:C,2,FALSE)</f>
        <v>Asia</v>
      </c>
      <c r="E407" s="29">
        <v>9</v>
      </c>
      <c r="F407" s="28">
        <v>3244</v>
      </c>
      <c r="G407" s="28">
        <v>4574687546</v>
      </c>
      <c r="H407" s="29">
        <v>31.62</v>
      </c>
      <c r="I407" s="142">
        <v>-47.819999999999993</v>
      </c>
      <c r="J407" s="29">
        <v>7.89</v>
      </c>
      <c r="K407" s="29">
        <v>4.8099999999999996</v>
      </c>
      <c r="L407" s="29">
        <v>21.95</v>
      </c>
      <c r="M407" s="368"/>
      <c r="N407" s="368"/>
      <c r="O407" s="271">
        <f>IFERROR(Table17[[#This Row],[PROFIT]]/Table17[[#This Row],[TO]],0)</f>
        <v>0</v>
      </c>
      <c r="P407" s="177"/>
      <c r="Q407" s="177"/>
      <c r="R407" s="177"/>
    </row>
    <row r="408" spans="1:18" ht="30" hidden="1" x14ac:dyDescent="0.25">
      <c r="A408" s="29" t="s">
        <v>5070</v>
      </c>
      <c r="B408" s="29" t="s">
        <v>5069</v>
      </c>
      <c r="C408" s="29" t="s">
        <v>1749</v>
      </c>
      <c r="D408" s="29" t="str">
        <f>VLOOKUP(C:C,'COUNT-CONT'!B:C,2,FALSE)</f>
        <v>North America</v>
      </c>
      <c r="E408" s="29">
        <v>10</v>
      </c>
      <c r="F408" s="28">
        <v>5203</v>
      </c>
      <c r="G408" s="28">
        <v>5337816490</v>
      </c>
      <c r="H408" s="29">
        <v>31.59</v>
      </c>
      <c r="I408" s="142">
        <v>-47.849999999999994</v>
      </c>
      <c r="J408" s="29">
        <v>14.36</v>
      </c>
      <c r="K408" s="29">
        <v>12.06</v>
      </c>
      <c r="L408" s="29">
        <v>28.72</v>
      </c>
      <c r="M408" s="368"/>
      <c r="N408" s="368"/>
      <c r="O408" s="271">
        <f>IFERROR(Table17[[#This Row],[PROFIT]]/Table17[[#This Row],[TO]],0)</f>
        <v>0</v>
      </c>
      <c r="P408" s="177"/>
      <c r="Q408" s="177"/>
      <c r="R408" s="177"/>
    </row>
    <row r="409" spans="1:18" hidden="1" x14ac:dyDescent="0.25">
      <c r="A409" s="29" t="s">
        <v>4640</v>
      </c>
      <c r="B409" s="29" t="s">
        <v>4639</v>
      </c>
      <c r="C409" s="29" t="s">
        <v>1124</v>
      </c>
      <c r="D409" s="29" t="str">
        <f>VLOOKUP(C:C,'COUNT-CONT'!B:C,2,FALSE)</f>
        <v>Africa</v>
      </c>
      <c r="E409" s="29">
        <v>10</v>
      </c>
      <c r="F409" s="28">
        <v>3611</v>
      </c>
      <c r="G409" s="28">
        <v>4676624757</v>
      </c>
      <c r="H409" s="29">
        <v>31.53</v>
      </c>
      <c r="I409" s="142">
        <v>-47.91</v>
      </c>
      <c r="J409" s="29">
        <v>9.4</v>
      </c>
      <c r="K409" s="29">
        <v>6.59</v>
      </c>
      <c r="L409" s="29">
        <v>23.55</v>
      </c>
      <c r="M409" s="368"/>
      <c r="N409" s="368"/>
      <c r="O409" s="271">
        <f>IFERROR(Table17[[#This Row],[PROFIT]]/Table17[[#This Row],[TO]],0)</f>
        <v>0</v>
      </c>
      <c r="P409" s="177"/>
      <c r="Q409" s="177"/>
      <c r="R409" s="177"/>
    </row>
    <row r="410" spans="1:18" ht="30" hidden="1" x14ac:dyDescent="0.25">
      <c r="A410" s="29" t="s">
        <v>5039</v>
      </c>
      <c r="B410" s="29" t="s">
        <v>5038</v>
      </c>
      <c r="C410" s="29" t="s">
        <v>2329</v>
      </c>
      <c r="D410" s="29" t="str">
        <f>VLOOKUP(C:C,'COUNT-CONT'!B:C,2,FALSE)</f>
        <v>North America</v>
      </c>
      <c r="E410" s="29">
        <v>5</v>
      </c>
      <c r="F410" s="28">
        <v>2366</v>
      </c>
      <c r="G410" s="28">
        <v>5309319695</v>
      </c>
      <c r="H410" s="29">
        <v>31.53</v>
      </c>
      <c r="I410" s="142">
        <v>-47.91</v>
      </c>
      <c r="J410" s="29">
        <v>13.51</v>
      </c>
      <c r="K410" s="29">
        <v>11.82</v>
      </c>
      <c r="L410" s="29">
        <v>28.17</v>
      </c>
      <c r="M410" s="368"/>
      <c r="N410" s="368"/>
      <c r="O410" s="271">
        <f>IFERROR(Table17[[#This Row],[PROFIT]]/Table17[[#This Row],[TO]],0)</f>
        <v>0</v>
      </c>
      <c r="P410" s="177"/>
      <c r="Q410" s="177"/>
      <c r="R410" s="177"/>
    </row>
    <row r="411" spans="1:18" hidden="1" x14ac:dyDescent="0.25">
      <c r="A411" s="29" t="s">
        <v>4860</v>
      </c>
      <c r="B411" s="29" t="s">
        <v>4859</v>
      </c>
      <c r="C411" s="29" t="s">
        <v>78</v>
      </c>
      <c r="D411" s="29" t="str">
        <f>VLOOKUP(C:C,'COUNT-CONT'!B:C,2,FALSE)</f>
        <v>Europe</v>
      </c>
      <c r="E411" s="29">
        <v>8</v>
      </c>
      <c r="F411" s="28">
        <v>3266</v>
      </c>
      <c r="G411" s="28">
        <v>4959003429</v>
      </c>
      <c r="H411" s="29">
        <v>31.53</v>
      </c>
      <c r="I411" s="142">
        <v>-47.91</v>
      </c>
      <c r="J411" s="29">
        <v>11.37</v>
      </c>
      <c r="K411" s="29">
        <v>9.2799999999999994</v>
      </c>
      <c r="L411" s="29">
        <v>25.85</v>
      </c>
      <c r="M411" s="368"/>
      <c r="N411" s="368"/>
      <c r="O411" s="271">
        <f>IFERROR(Table17[[#This Row],[PROFIT]]/Table17[[#This Row],[TO]],0)</f>
        <v>0</v>
      </c>
      <c r="P411" s="177"/>
      <c r="Q411" s="177"/>
      <c r="R411" s="177"/>
    </row>
    <row r="412" spans="1:18" hidden="1" x14ac:dyDescent="0.25">
      <c r="A412" s="29" t="s">
        <v>5061</v>
      </c>
      <c r="B412" s="29" t="s">
        <v>5060</v>
      </c>
      <c r="C412" s="29" t="s">
        <v>758</v>
      </c>
      <c r="D412" s="29" t="str">
        <f>VLOOKUP(C:C,'COUNT-CONT'!B:C,2,FALSE)</f>
        <v>Europe</v>
      </c>
      <c r="E412" s="29">
        <v>8</v>
      </c>
      <c r="F412" s="28">
        <v>3178</v>
      </c>
      <c r="G412" s="28">
        <v>5333129641</v>
      </c>
      <c r="H412" s="29">
        <v>31.44</v>
      </c>
      <c r="I412" s="142">
        <v>-48</v>
      </c>
      <c r="J412" s="29">
        <v>14.3</v>
      </c>
      <c r="K412" s="29">
        <v>12</v>
      </c>
      <c r="L412" s="29">
        <v>28.6</v>
      </c>
      <c r="M412" s="368"/>
      <c r="N412" s="368"/>
      <c r="O412" s="271">
        <f>IFERROR(Table17[[#This Row],[PROFIT]]/Table17[[#This Row],[TO]],0)</f>
        <v>0</v>
      </c>
      <c r="P412" s="177"/>
      <c r="Q412" s="177"/>
      <c r="R412" s="177"/>
    </row>
    <row r="413" spans="1:18" hidden="1" x14ac:dyDescent="0.25">
      <c r="A413" s="29" t="s">
        <v>4975</v>
      </c>
      <c r="B413" s="29" t="s">
        <v>4974</v>
      </c>
      <c r="C413" s="29" t="s">
        <v>1459</v>
      </c>
      <c r="D413" s="29" t="str">
        <f>VLOOKUP(C:C,'COUNT-CONT'!B:C,2,FALSE)</f>
        <v>Europe</v>
      </c>
      <c r="E413" s="29">
        <v>9</v>
      </c>
      <c r="F413" s="28">
        <v>3547</v>
      </c>
      <c r="G413" s="28">
        <v>5120521229</v>
      </c>
      <c r="H413" s="29">
        <v>31.41</v>
      </c>
      <c r="I413" s="142">
        <v>-48.03</v>
      </c>
      <c r="J413" s="29">
        <v>12.45</v>
      </c>
      <c r="K413" s="29">
        <v>10.82</v>
      </c>
      <c r="L413" s="29">
        <v>27.09</v>
      </c>
      <c r="M413" s="368"/>
      <c r="N413" s="368"/>
      <c r="O413" s="271">
        <f>IFERROR(Table17[[#This Row],[PROFIT]]/Table17[[#This Row],[TO]],0)</f>
        <v>0</v>
      </c>
      <c r="P413" s="177"/>
      <c r="Q413" s="177"/>
      <c r="R413" s="177"/>
    </row>
    <row r="414" spans="1:18" hidden="1" x14ac:dyDescent="0.25">
      <c r="A414" s="29" t="s">
        <v>5343</v>
      </c>
      <c r="B414" s="29" t="s">
        <v>5342</v>
      </c>
      <c r="C414" s="29" t="s">
        <v>1427</v>
      </c>
      <c r="D414" s="29" t="str">
        <f>VLOOKUP(C:C,'COUNT-CONT'!B:C,2,FALSE)</f>
        <v>Europe</v>
      </c>
      <c r="E414" s="29">
        <v>10</v>
      </c>
      <c r="F414" s="28">
        <v>4750</v>
      </c>
      <c r="G414" s="28">
        <v>6139178947</v>
      </c>
      <c r="H414" s="29">
        <v>31.41</v>
      </c>
      <c r="I414" s="142">
        <v>-48.03</v>
      </c>
      <c r="J414" s="29">
        <v>19.11</v>
      </c>
      <c r="K414" s="29">
        <v>17.739999999999998</v>
      </c>
      <c r="L414" s="29">
        <v>34.130000000000003</v>
      </c>
      <c r="M414" s="368"/>
      <c r="N414" s="368"/>
      <c r="O414" s="271">
        <f>IFERROR(Table17[[#This Row],[PROFIT]]/Table17[[#This Row],[TO]],0)</f>
        <v>0</v>
      </c>
      <c r="P414" s="177"/>
      <c r="Q414" s="177"/>
      <c r="R414" s="177"/>
    </row>
    <row r="415" spans="1:18" hidden="1" x14ac:dyDescent="0.25">
      <c r="A415" s="29" t="s">
        <v>87</v>
      </c>
      <c r="B415" s="29" t="s">
        <v>5133</v>
      </c>
      <c r="C415" s="29" t="s">
        <v>1858</v>
      </c>
      <c r="D415" s="29" t="str">
        <f>VLOOKUP(C:C,'COUNT-CONT'!B:C,2,FALSE)</f>
        <v>Europe</v>
      </c>
      <c r="E415" s="29">
        <v>9</v>
      </c>
      <c r="F415" s="28">
        <v>3844</v>
      </c>
      <c r="G415" s="28">
        <v>5540760249</v>
      </c>
      <c r="H415" s="29">
        <v>31.38</v>
      </c>
      <c r="I415" s="142">
        <v>-48.06</v>
      </c>
      <c r="J415" s="29">
        <v>14.81</v>
      </c>
      <c r="K415" s="29">
        <v>13.03</v>
      </c>
      <c r="L415" s="29">
        <v>29.63</v>
      </c>
      <c r="M415" s="368"/>
      <c r="N415" s="368"/>
      <c r="O415" s="271">
        <f>IFERROR(Table17[[#This Row],[PROFIT]]/Table17[[#This Row],[TO]],0)</f>
        <v>0</v>
      </c>
      <c r="P415" s="177"/>
      <c r="Q415" s="177"/>
      <c r="R415" s="177"/>
    </row>
    <row r="416" spans="1:18" hidden="1" x14ac:dyDescent="0.25">
      <c r="A416" s="29" t="s">
        <v>437</v>
      </c>
      <c r="B416" s="29" t="s">
        <v>4394</v>
      </c>
      <c r="C416" s="29" t="s">
        <v>1070</v>
      </c>
      <c r="D416" s="29" t="str">
        <f>VLOOKUP(C:C,'COUNT-CONT'!B:C,2,FALSE)</f>
        <v>Asia</v>
      </c>
      <c r="E416" s="29">
        <v>10</v>
      </c>
      <c r="F416" s="28">
        <v>4484</v>
      </c>
      <c r="G416" s="28">
        <v>4391916681</v>
      </c>
      <c r="H416" s="29">
        <v>31.35</v>
      </c>
      <c r="I416" s="142">
        <v>-48.089999999999996</v>
      </c>
      <c r="J416" s="29">
        <v>7.29</v>
      </c>
      <c r="K416" s="29">
        <v>4.72</v>
      </c>
      <c r="L416" s="29">
        <v>21.46</v>
      </c>
      <c r="M416" s="368"/>
      <c r="N416" s="368"/>
      <c r="O416" s="271">
        <f>IFERROR(Table17[[#This Row],[PROFIT]]/Table17[[#This Row],[TO]],0)</f>
        <v>0</v>
      </c>
      <c r="P416" s="177"/>
      <c r="Q416" s="177"/>
      <c r="R416" s="177"/>
    </row>
    <row r="417" spans="1:18" ht="30" hidden="1" x14ac:dyDescent="0.25">
      <c r="A417" s="29" t="s">
        <v>5031</v>
      </c>
      <c r="B417" s="29" t="s">
        <v>5030</v>
      </c>
      <c r="C417" s="29" t="s">
        <v>659</v>
      </c>
      <c r="D417" s="29" t="str">
        <f>VLOOKUP(C:C,'COUNT-CONT'!B:C,2,FALSE)</f>
        <v>Europe</v>
      </c>
      <c r="E417" s="29">
        <v>9</v>
      </c>
      <c r="F417" s="28">
        <v>3594</v>
      </c>
      <c r="G417" s="28">
        <v>5249865664</v>
      </c>
      <c r="H417" s="29">
        <v>31.32</v>
      </c>
      <c r="I417" s="142">
        <v>-48.12</v>
      </c>
      <c r="J417" s="29">
        <v>13.42</v>
      </c>
      <c r="K417" s="29">
        <v>11.19</v>
      </c>
      <c r="L417" s="29">
        <v>27.96</v>
      </c>
      <c r="M417" s="368"/>
      <c r="N417" s="368"/>
      <c r="O417" s="271">
        <f>IFERROR(Table17[[#This Row],[PROFIT]]/Table17[[#This Row],[TO]],0)</f>
        <v>0</v>
      </c>
      <c r="P417" s="177"/>
      <c r="Q417" s="177"/>
      <c r="R417" s="177"/>
    </row>
    <row r="418" spans="1:18" hidden="1" x14ac:dyDescent="0.25">
      <c r="A418" s="29" t="s">
        <v>5123</v>
      </c>
      <c r="B418" s="29" t="s">
        <v>5122</v>
      </c>
      <c r="C418" s="29" t="s">
        <v>1858</v>
      </c>
      <c r="D418" s="29" t="str">
        <f>VLOOKUP(C:C,'COUNT-CONT'!B:C,2,FALSE)</f>
        <v>Europe</v>
      </c>
      <c r="E418" s="29">
        <v>5</v>
      </c>
      <c r="F418" s="28">
        <v>2538</v>
      </c>
      <c r="G418" s="28">
        <v>5570212135</v>
      </c>
      <c r="H418" s="29">
        <v>31.29</v>
      </c>
      <c r="I418" s="142">
        <v>-48.15</v>
      </c>
      <c r="J418" s="29">
        <v>14.75</v>
      </c>
      <c r="K418" s="29">
        <v>12.97</v>
      </c>
      <c r="L418" s="29">
        <v>29.53</v>
      </c>
      <c r="M418" s="368"/>
      <c r="N418" s="368"/>
      <c r="O418" s="271">
        <f>IFERROR(Table17[[#This Row],[PROFIT]]/Table17[[#This Row],[TO]],0)</f>
        <v>0</v>
      </c>
      <c r="P418" s="177"/>
      <c r="Q418" s="177"/>
      <c r="R418" s="177"/>
    </row>
    <row r="419" spans="1:18" hidden="1" x14ac:dyDescent="0.25">
      <c r="A419" s="29" t="s">
        <v>4379</v>
      </c>
      <c r="B419" s="29" t="s">
        <v>4378</v>
      </c>
      <c r="C419" s="29" t="s">
        <v>1070</v>
      </c>
      <c r="D419" s="29" t="str">
        <f>VLOOKUP(C:C,'COUNT-CONT'!B:C,2,FALSE)</f>
        <v>Asia</v>
      </c>
      <c r="E419" s="29">
        <v>6</v>
      </c>
      <c r="F419" s="28">
        <v>2510</v>
      </c>
      <c r="G419" s="28">
        <v>4494847011</v>
      </c>
      <c r="H419" s="29">
        <v>31.26</v>
      </c>
      <c r="I419" s="142">
        <v>-48.179999999999993</v>
      </c>
      <c r="J419" s="29">
        <v>7.26</v>
      </c>
      <c r="K419" s="29">
        <v>4.6900000000000004</v>
      </c>
      <c r="L419" s="29">
        <v>21.4</v>
      </c>
      <c r="M419" s="368"/>
      <c r="N419" s="368"/>
      <c r="O419" s="271">
        <f>IFERROR(Table17[[#This Row],[PROFIT]]/Table17[[#This Row],[TO]],0)</f>
        <v>0</v>
      </c>
      <c r="P419" s="177"/>
      <c r="Q419" s="177"/>
      <c r="R419" s="177"/>
    </row>
    <row r="420" spans="1:18" hidden="1" x14ac:dyDescent="0.25">
      <c r="A420" s="29" t="s">
        <v>4695</v>
      </c>
      <c r="B420" s="29" t="s">
        <v>4694</v>
      </c>
      <c r="C420" s="29" t="s">
        <v>332</v>
      </c>
      <c r="D420" s="29" t="str">
        <f>VLOOKUP(C:C,'COUNT-CONT'!B:C,2,FALSE)</f>
        <v>Asia</v>
      </c>
      <c r="E420" s="29">
        <v>5</v>
      </c>
      <c r="F420" s="28">
        <v>2230</v>
      </c>
      <c r="G420" s="28">
        <v>4816273542</v>
      </c>
      <c r="H420" s="29">
        <v>31.26</v>
      </c>
      <c r="I420" s="142">
        <v>-48.179999999999993</v>
      </c>
      <c r="J420" s="29">
        <v>9.61</v>
      </c>
      <c r="K420" s="29">
        <v>7.68</v>
      </c>
      <c r="L420" s="29">
        <v>24.06</v>
      </c>
      <c r="M420" s="368"/>
      <c r="N420" s="368"/>
      <c r="O420" s="271">
        <f>IFERROR(Table17[[#This Row],[PROFIT]]/Table17[[#This Row],[TO]],0)</f>
        <v>0</v>
      </c>
      <c r="P420" s="177"/>
      <c r="Q420" s="177"/>
      <c r="R420" s="177"/>
    </row>
    <row r="421" spans="1:18" hidden="1" x14ac:dyDescent="0.25">
      <c r="A421" s="29" t="s">
        <v>4560</v>
      </c>
      <c r="B421" s="29" t="s">
        <v>4559</v>
      </c>
      <c r="C421" s="29" t="s">
        <v>717</v>
      </c>
      <c r="D421" s="29" t="str">
        <f>VLOOKUP(C:C,'COUNT-CONT'!B:C,2,FALSE)</f>
        <v>Asia</v>
      </c>
      <c r="E421" s="29">
        <v>6</v>
      </c>
      <c r="F421" s="28">
        <v>2639</v>
      </c>
      <c r="G421" s="28">
        <v>4696824555</v>
      </c>
      <c r="H421" s="29">
        <v>31.2</v>
      </c>
      <c r="I421" s="142">
        <v>-48.239999999999995</v>
      </c>
      <c r="J421" s="29">
        <v>8.7100000000000009</v>
      </c>
      <c r="K421" s="29">
        <v>5.96</v>
      </c>
      <c r="L421" s="29">
        <v>22.94</v>
      </c>
      <c r="M421" s="368"/>
      <c r="N421" s="368"/>
      <c r="O421" s="271">
        <f>IFERROR(Table17[[#This Row],[PROFIT]]/Table17[[#This Row],[TO]],0)</f>
        <v>0</v>
      </c>
      <c r="P421" s="177"/>
      <c r="Q421" s="177"/>
      <c r="R421" s="177"/>
    </row>
    <row r="422" spans="1:18" hidden="1" x14ac:dyDescent="0.25">
      <c r="A422" s="29" t="s">
        <v>4367</v>
      </c>
      <c r="B422" s="29" t="s">
        <v>4366</v>
      </c>
      <c r="C422" s="29" t="s">
        <v>1070</v>
      </c>
      <c r="D422" s="29" t="str">
        <f>VLOOKUP(C:C,'COUNT-CONT'!B:C,2,FALSE)</f>
        <v>Asia</v>
      </c>
      <c r="E422" s="29">
        <v>6</v>
      </c>
      <c r="F422" s="28">
        <v>2383</v>
      </c>
      <c r="G422" s="28">
        <v>4495203021</v>
      </c>
      <c r="H422" s="29">
        <v>31.17</v>
      </c>
      <c r="I422" s="142">
        <v>-48.269999999999996</v>
      </c>
      <c r="J422" s="29">
        <v>7.26</v>
      </c>
      <c r="K422" s="29">
        <v>4.6900000000000004</v>
      </c>
      <c r="L422" s="29">
        <v>21.34</v>
      </c>
      <c r="M422" s="368"/>
      <c r="N422" s="368"/>
      <c r="O422" s="271">
        <f>IFERROR(Table17[[#This Row],[PROFIT]]/Table17[[#This Row],[TO]],0)</f>
        <v>0</v>
      </c>
      <c r="P422" s="177"/>
      <c r="Q422" s="177"/>
      <c r="R422" s="177"/>
    </row>
    <row r="423" spans="1:18" hidden="1" x14ac:dyDescent="0.25">
      <c r="A423" s="29" t="s">
        <v>5416</v>
      </c>
      <c r="B423" s="29" t="s">
        <v>5415</v>
      </c>
      <c r="C423" s="29" t="s">
        <v>119</v>
      </c>
      <c r="D423" s="29" t="str">
        <f>VLOOKUP(C:C,'COUNT-CONT'!B:C,2,FALSE)</f>
        <v>Europe</v>
      </c>
      <c r="E423" s="29">
        <v>9</v>
      </c>
      <c r="F423" s="28">
        <v>4227</v>
      </c>
      <c r="G423" s="28">
        <v>6297231842</v>
      </c>
      <c r="H423" s="29">
        <v>31.17</v>
      </c>
      <c r="I423" s="142">
        <v>-48.269999999999996</v>
      </c>
      <c r="J423" s="29">
        <v>20.56</v>
      </c>
      <c r="K423" s="29">
        <v>19.829999999999998</v>
      </c>
      <c r="L423" s="29">
        <v>35.43</v>
      </c>
      <c r="M423" s="368"/>
      <c r="N423" s="368"/>
      <c r="O423" s="271">
        <f>IFERROR(Table17[[#This Row],[PROFIT]]/Table17[[#This Row],[TO]],0)</f>
        <v>0</v>
      </c>
      <c r="P423" s="177"/>
      <c r="Q423" s="177"/>
      <c r="R423" s="177"/>
    </row>
    <row r="424" spans="1:18" hidden="1" x14ac:dyDescent="0.25">
      <c r="A424" s="29" t="s">
        <v>4828</v>
      </c>
      <c r="B424" s="29" t="s">
        <v>4827</v>
      </c>
      <c r="C424" s="29" t="s">
        <v>78</v>
      </c>
      <c r="D424" s="29" t="str">
        <f>VLOOKUP(C:C,'COUNT-CONT'!B:C,2,FALSE)</f>
        <v>Europe</v>
      </c>
      <c r="E424" s="29">
        <v>8</v>
      </c>
      <c r="F424" s="28">
        <v>3136</v>
      </c>
      <c r="G424" s="28">
        <v>4918965306</v>
      </c>
      <c r="H424" s="29">
        <v>31.14</v>
      </c>
      <c r="I424" s="142">
        <v>-48.3</v>
      </c>
      <c r="J424" s="29">
        <v>11.22</v>
      </c>
      <c r="K424" s="29">
        <v>9.19</v>
      </c>
      <c r="L424" s="29">
        <v>25.51</v>
      </c>
      <c r="M424" s="368"/>
      <c r="N424" s="368"/>
      <c r="O424" s="271">
        <f>IFERROR(Table17[[#This Row],[PROFIT]]/Table17[[#This Row],[TO]],0)</f>
        <v>0</v>
      </c>
      <c r="P424" s="177"/>
      <c r="Q424" s="177"/>
      <c r="R424" s="177"/>
    </row>
    <row r="425" spans="1:18" hidden="1" x14ac:dyDescent="0.25">
      <c r="A425" s="29" t="s">
        <v>4915</v>
      </c>
      <c r="B425" s="29" t="s">
        <v>4914</v>
      </c>
      <c r="C425" s="29" t="s">
        <v>14</v>
      </c>
      <c r="D425" s="29" t="str">
        <f>VLOOKUP(C:C,'COUNT-CONT'!B:C,2,FALSE)</f>
        <v>Asia</v>
      </c>
      <c r="E425" s="29">
        <v>9</v>
      </c>
      <c r="F425" s="28">
        <v>3511</v>
      </c>
      <c r="G425" s="28">
        <v>5027701053</v>
      </c>
      <c r="H425" s="29">
        <v>31.14</v>
      </c>
      <c r="I425" s="142">
        <v>-48.3</v>
      </c>
      <c r="J425" s="29">
        <v>12.12</v>
      </c>
      <c r="K425" s="29">
        <v>10.01</v>
      </c>
      <c r="L425" s="29">
        <v>26.39</v>
      </c>
      <c r="M425" s="368"/>
      <c r="N425" s="368"/>
      <c r="O425" s="271">
        <f>IFERROR(Table17[[#This Row],[PROFIT]]/Table17[[#This Row],[TO]],0)</f>
        <v>0</v>
      </c>
      <c r="P425" s="177"/>
      <c r="Q425" s="177"/>
      <c r="R425" s="177"/>
    </row>
    <row r="426" spans="1:18" hidden="1" x14ac:dyDescent="0.25">
      <c r="A426" s="29" t="s">
        <v>5591</v>
      </c>
      <c r="B426" s="29" t="s">
        <v>5590</v>
      </c>
      <c r="C426" s="29" t="s">
        <v>560</v>
      </c>
      <c r="D426" s="29" t="str">
        <f>VLOOKUP(C:C,'COUNT-CONT'!B:C,2,FALSE)</f>
        <v>Europe</v>
      </c>
      <c r="E426" s="29">
        <v>8</v>
      </c>
      <c r="F426" s="28">
        <v>4544</v>
      </c>
      <c r="G426" s="28">
        <v>7109177464</v>
      </c>
      <c r="H426" s="29">
        <v>31.14</v>
      </c>
      <c r="I426" s="142">
        <v>-48.3</v>
      </c>
      <c r="J426" s="29">
        <v>25.39</v>
      </c>
      <c r="K426" s="29">
        <v>25.39</v>
      </c>
      <c r="L426" s="29">
        <v>40.96</v>
      </c>
      <c r="M426" s="368"/>
      <c r="N426" s="368"/>
      <c r="O426" s="271">
        <f>IFERROR(Table17[[#This Row],[PROFIT]]/Table17[[#This Row],[TO]],0)</f>
        <v>0</v>
      </c>
      <c r="P426" s="177"/>
      <c r="Q426" s="177"/>
      <c r="R426" s="177"/>
    </row>
    <row r="427" spans="1:18" ht="30" hidden="1" x14ac:dyDescent="0.25">
      <c r="A427" s="29" t="s">
        <v>5589</v>
      </c>
      <c r="B427" s="29" t="s">
        <v>5588</v>
      </c>
      <c r="C427" s="29" t="s">
        <v>11732</v>
      </c>
      <c r="D427" s="29" t="str">
        <f>VLOOKUP(C:C,'COUNT-CONT'!B:C,2,FALSE)</f>
        <v>North America</v>
      </c>
      <c r="E427" s="29">
        <v>10</v>
      </c>
      <c r="F427" s="28">
        <v>5768</v>
      </c>
      <c r="G427" s="28">
        <v>7122407350</v>
      </c>
      <c r="H427" s="29">
        <v>31.11</v>
      </c>
      <c r="I427" s="142">
        <v>-48.33</v>
      </c>
      <c r="J427" s="29">
        <v>25.36</v>
      </c>
      <c r="K427" s="29">
        <v>25.36</v>
      </c>
      <c r="L427" s="29">
        <v>40.93</v>
      </c>
      <c r="M427" s="368"/>
      <c r="N427" s="368"/>
      <c r="O427" s="271">
        <f>IFERROR(Table17[[#This Row],[PROFIT]]/Table17[[#This Row],[TO]],0)</f>
        <v>0</v>
      </c>
      <c r="P427" s="177"/>
      <c r="Q427" s="177"/>
      <c r="R427" s="177"/>
    </row>
    <row r="428" spans="1:18" hidden="1" x14ac:dyDescent="0.25">
      <c r="A428" s="29" t="s">
        <v>4436</v>
      </c>
      <c r="B428" s="29" t="s">
        <v>4435</v>
      </c>
      <c r="C428" s="29" t="s">
        <v>4434</v>
      </c>
      <c r="D428" s="29" t="str">
        <f>VLOOKUP(C:C,'COUNT-CONT'!B:C,2,FALSE)</f>
        <v>Europe</v>
      </c>
      <c r="E428" s="29">
        <v>10</v>
      </c>
      <c r="F428" s="28">
        <v>3750</v>
      </c>
      <c r="G428" s="28">
        <v>4582333333</v>
      </c>
      <c r="H428" s="29">
        <v>30.89</v>
      </c>
      <c r="I428" s="142">
        <v>-48.55</v>
      </c>
      <c r="J428" s="29">
        <v>7.83</v>
      </c>
      <c r="K428" s="29">
        <v>5.2</v>
      </c>
      <c r="L428" s="29">
        <v>21.77</v>
      </c>
      <c r="M428" s="368"/>
      <c r="N428" s="368"/>
      <c r="O428" s="271">
        <f>IFERROR(Table17[[#This Row],[PROFIT]]/Table17[[#This Row],[TO]],0)</f>
        <v>0</v>
      </c>
      <c r="P428" s="177"/>
      <c r="Q428" s="177"/>
      <c r="R428" s="177"/>
    </row>
    <row r="429" spans="1:18" ht="30" hidden="1" x14ac:dyDescent="0.25">
      <c r="A429" s="29" t="s">
        <v>5579</v>
      </c>
      <c r="B429" s="29" t="s">
        <v>5578</v>
      </c>
      <c r="C429" s="29" t="s">
        <v>11732</v>
      </c>
      <c r="D429" s="29" t="str">
        <f>VLOOKUP(C:C,'COUNT-CONT'!B:C,2,FALSE)</f>
        <v>North America</v>
      </c>
      <c r="E429" s="29">
        <v>10</v>
      </c>
      <c r="F429" s="28">
        <v>5292</v>
      </c>
      <c r="G429" s="28">
        <v>7075960922</v>
      </c>
      <c r="H429" s="29">
        <v>30.89</v>
      </c>
      <c r="I429" s="142">
        <v>-48.55</v>
      </c>
      <c r="J429" s="29">
        <v>25.21</v>
      </c>
      <c r="K429" s="29">
        <v>25.21</v>
      </c>
      <c r="L429" s="29">
        <v>40.659999999999997</v>
      </c>
      <c r="M429" s="368"/>
      <c r="N429" s="368"/>
      <c r="O429" s="271">
        <f>IFERROR(Table17[[#This Row],[PROFIT]]/Table17[[#This Row],[TO]],0)</f>
        <v>0</v>
      </c>
      <c r="P429" s="177"/>
      <c r="Q429" s="177"/>
      <c r="R429" s="177"/>
    </row>
    <row r="430" spans="1:18" hidden="1" x14ac:dyDescent="0.25">
      <c r="A430" s="29" t="s">
        <v>4096</v>
      </c>
      <c r="B430" s="29" t="s">
        <v>4095</v>
      </c>
      <c r="C430" s="29" t="s">
        <v>1189</v>
      </c>
      <c r="D430" s="29" t="str">
        <f>VLOOKUP(C:C,'COUNT-CONT'!B:C,2,FALSE)</f>
        <v>Africa</v>
      </c>
      <c r="E430" s="29">
        <v>3</v>
      </c>
      <c r="F430" s="28">
        <v>1585</v>
      </c>
      <c r="G430" s="28">
        <v>4513606309</v>
      </c>
      <c r="H430" s="29">
        <v>30.86</v>
      </c>
      <c r="I430" s="142">
        <v>-48.58</v>
      </c>
      <c r="J430" s="29">
        <v>5.83</v>
      </c>
      <c r="K430" s="29">
        <v>2.72</v>
      </c>
      <c r="L430" s="29">
        <v>19.53</v>
      </c>
      <c r="M430" s="368"/>
      <c r="N430" s="368"/>
      <c r="O430" s="271">
        <f>IFERROR(Table17[[#This Row],[PROFIT]]/Table17[[#This Row],[TO]],0)</f>
        <v>0</v>
      </c>
      <c r="P430" s="177"/>
      <c r="Q430" s="177"/>
      <c r="R430" s="177"/>
    </row>
    <row r="431" spans="1:18" ht="30" hidden="1" x14ac:dyDescent="0.25">
      <c r="A431" s="29" t="s">
        <v>4960</v>
      </c>
      <c r="B431" s="29" t="s">
        <v>4959</v>
      </c>
      <c r="C431" s="29" t="s">
        <v>4958</v>
      </c>
      <c r="D431" s="29" t="str">
        <f>VLOOKUP(C:C,'COUNT-CONT'!B:C,2,FALSE)</f>
        <v>North America</v>
      </c>
      <c r="E431" s="29">
        <v>8</v>
      </c>
      <c r="F431" s="28">
        <v>2901</v>
      </c>
      <c r="G431" s="28">
        <v>5139779593</v>
      </c>
      <c r="H431" s="29">
        <v>30.8</v>
      </c>
      <c r="I431" s="142">
        <v>-48.64</v>
      </c>
      <c r="J431" s="29">
        <v>12.97</v>
      </c>
      <c r="K431" s="29">
        <v>10.79</v>
      </c>
      <c r="L431" s="29">
        <v>27.03</v>
      </c>
      <c r="M431" s="368"/>
      <c r="N431" s="368"/>
      <c r="O431" s="271">
        <f>IFERROR(Table17[[#This Row],[PROFIT]]/Table17[[#This Row],[TO]],0)</f>
        <v>0</v>
      </c>
      <c r="P431" s="177"/>
      <c r="Q431" s="177"/>
      <c r="R431" s="177"/>
    </row>
    <row r="432" spans="1:18" hidden="1" x14ac:dyDescent="0.25">
      <c r="A432" s="29" t="s">
        <v>5390</v>
      </c>
      <c r="B432" s="29" t="s">
        <v>5389</v>
      </c>
      <c r="C432" s="29" t="s">
        <v>119</v>
      </c>
      <c r="D432" s="29" t="str">
        <f>VLOOKUP(C:C,'COUNT-CONT'!B:C,2,FALSE)</f>
        <v>Europe</v>
      </c>
      <c r="E432" s="29">
        <v>6</v>
      </c>
      <c r="F432" s="28">
        <v>3147</v>
      </c>
      <c r="G432" s="28">
        <v>6251539243</v>
      </c>
      <c r="H432" s="29">
        <v>30.8</v>
      </c>
      <c r="I432" s="142">
        <v>-48.64</v>
      </c>
      <c r="J432" s="29">
        <v>20.309999999999999</v>
      </c>
      <c r="K432" s="29">
        <v>19.62</v>
      </c>
      <c r="L432" s="29">
        <v>35.04</v>
      </c>
      <c r="M432" s="368"/>
      <c r="N432" s="368"/>
      <c r="O432" s="271">
        <f>IFERROR(Table17[[#This Row],[PROFIT]]/Table17[[#This Row],[TO]],0)</f>
        <v>0</v>
      </c>
      <c r="P432" s="177"/>
      <c r="Q432" s="177"/>
      <c r="R432" s="177"/>
    </row>
    <row r="433" spans="1:18" hidden="1" x14ac:dyDescent="0.25">
      <c r="A433" s="29" t="s">
        <v>24</v>
      </c>
      <c r="B433" s="29" t="s">
        <v>4325</v>
      </c>
      <c r="C433" s="29" t="s">
        <v>1070</v>
      </c>
      <c r="D433" s="29" t="str">
        <f>VLOOKUP(C:C,'COUNT-CONT'!B:C,2,FALSE)</f>
        <v>Asia</v>
      </c>
      <c r="E433" s="29">
        <v>9</v>
      </c>
      <c r="F433" s="28">
        <v>3260</v>
      </c>
      <c r="G433" s="28">
        <v>4422823312</v>
      </c>
      <c r="H433" s="29">
        <v>30.77</v>
      </c>
      <c r="I433" s="142">
        <v>-48.67</v>
      </c>
      <c r="J433" s="29">
        <v>7.16</v>
      </c>
      <c r="K433" s="29">
        <v>4.63</v>
      </c>
      <c r="L433" s="29">
        <v>21.07</v>
      </c>
      <c r="M433" s="368"/>
      <c r="N433" s="368"/>
      <c r="O433" s="271">
        <f>IFERROR(Table17[[#This Row],[PROFIT]]/Table17[[#This Row],[TO]],0)</f>
        <v>0</v>
      </c>
      <c r="P433" s="177"/>
      <c r="Q433" s="177"/>
      <c r="R433" s="177"/>
    </row>
    <row r="434" spans="1:18" ht="30" hidden="1" x14ac:dyDescent="0.25">
      <c r="A434" s="29" t="s">
        <v>5325</v>
      </c>
      <c r="B434" s="29" t="s">
        <v>5324</v>
      </c>
      <c r="C434" s="29" t="s">
        <v>308</v>
      </c>
      <c r="D434" s="29" t="str">
        <f>VLOOKUP(C:C,'COUNT-CONT'!B:C,2,FALSE)</f>
        <v>Europe</v>
      </c>
      <c r="E434" s="29">
        <v>5</v>
      </c>
      <c r="F434" s="28">
        <v>2767</v>
      </c>
      <c r="G434" s="28">
        <v>6064842464</v>
      </c>
      <c r="H434" s="29">
        <v>30.74</v>
      </c>
      <c r="I434" s="142">
        <v>-48.7</v>
      </c>
      <c r="J434" s="29">
        <v>18.71</v>
      </c>
      <c r="K434" s="29">
        <v>18.05</v>
      </c>
      <c r="L434" s="29">
        <v>33.43</v>
      </c>
      <c r="M434" s="368"/>
      <c r="N434" s="368"/>
      <c r="O434" s="271">
        <f>IFERROR(Table17[[#This Row],[PROFIT]]/Table17[[#This Row],[TO]],0)</f>
        <v>0</v>
      </c>
      <c r="P434" s="177"/>
      <c r="Q434" s="177"/>
      <c r="R434" s="177"/>
    </row>
    <row r="435" spans="1:18" ht="30" hidden="1" x14ac:dyDescent="0.25">
      <c r="A435" s="29" t="s">
        <v>4556</v>
      </c>
      <c r="B435" s="29" t="s">
        <v>4555</v>
      </c>
      <c r="C435" s="29" t="s">
        <v>4554</v>
      </c>
      <c r="D435" s="29" t="str">
        <f>VLOOKUP(C:C,'COUNT-CONT'!B:C,2,FALSE)</f>
        <v>North America</v>
      </c>
      <c r="E435" s="29">
        <v>6</v>
      </c>
      <c r="F435" s="28">
        <v>2577</v>
      </c>
      <c r="G435" s="28">
        <v>4622852929</v>
      </c>
      <c r="H435" s="29">
        <v>30.74</v>
      </c>
      <c r="I435" s="142">
        <v>-48.7</v>
      </c>
      <c r="J435" s="29">
        <v>9.16</v>
      </c>
      <c r="K435" s="29">
        <v>6.41</v>
      </c>
      <c r="L435" s="29">
        <v>22.94</v>
      </c>
      <c r="M435" s="368"/>
      <c r="N435" s="368"/>
      <c r="O435" s="271">
        <f>IFERROR(Table17[[#This Row],[PROFIT]]/Table17[[#This Row],[TO]],0)</f>
        <v>0</v>
      </c>
      <c r="P435" s="177"/>
      <c r="Q435" s="177"/>
      <c r="R435" s="177"/>
    </row>
    <row r="436" spans="1:18" hidden="1" x14ac:dyDescent="0.25">
      <c r="A436" s="29" t="s">
        <v>5204</v>
      </c>
      <c r="B436" s="29" t="s">
        <v>5203</v>
      </c>
      <c r="C436" s="29" t="s">
        <v>142</v>
      </c>
      <c r="D436" s="29" t="str">
        <f>VLOOKUP(C:C,'COUNT-CONT'!B:C,2,FALSE)</f>
        <v>Asia</v>
      </c>
      <c r="E436" s="29">
        <v>8</v>
      </c>
      <c r="F436" s="28">
        <v>3541</v>
      </c>
      <c r="G436" s="28">
        <v>5694046709</v>
      </c>
      <c r="H436" s="29">
        <v>30.74</v>
      </c>
      <c r="I436" s="142">
        <v>-48.7</v>
      </c>
      <c r="J436" s="29">
        <v>16.600000000000001</v>
      </c>
      <c r="K436" s="29">
        <v>14.75</v>
      </c>
      <c r="L436" s="29">
        <v>30.74</v>
      </c>
      <c r="M436" s="368"/>
      <c r="N436" s="368"/>
      <c r="O436" s="271">
        <f>IFERROR(Table17[[#This Row],[PROFIT]]/Table17[[#This Row],[TO]],0)</f>
        <v>0</v>
      </c>
      <c r="P436" s="177"/>
      <c r="Q436" s="177"/>
      <c r="R436" s="177"/>
    </row>
    <row r="437" spans="1:18" hidden="1" x14ac:dyDescent="0.25">
      <c r="A437" s="29" t="s">
        <v>5382</v>
      </c>
      <c r="B437" s="29" t="s">
        <v>5381</v>
      </c>
      <c r="C437" s="29" t="s">
        <v>119</v>
      </c>
      <c r="D437" s="29" t="str">
        <f>VLOOKUP(C:C,'COUNT-CONT'!B:C,2,FALSE)</f>
        <v>Europe</v>
      </c>
      <c r="E437" s="29">
        <v>6</v>
      </c>
      <c r="F437" s="28">
        <v>3138</v>
      </c>
      <c r="G437" s="28">
        <v>6236541746</v>
      </c>
      <c r="H437" s="29">
        <v>30.71</v>
      </c>
      <c r="I437" s="142">
        <v>-48.73</v>
      </c>
      <c r="J437" s="29">
        <v>20.22</v>
      </c>
      <c r="K437" s="29">
        <v>19.53</v>
      </c>
      <c r="L437" s="29">
        <v>34.92</v>
      </c>
      <c r="M437" s="368"/>
      <c r="N437" s="368"/>
      <c r="O437" s="271">
        <f>IFERROR(Table17[[#This Row],[PROFIT]]/Table17[[#This Row],[TO]],0)</f>
        <v>0</v>
      </c>
      <c r="P437" s="177"/>
      <c r="Q437" s="177"/>
      <c r="R437" s="177"/>
    </row>
    <row r="438" spans="1:18" hidden="1" x14ac:dyDescent="0.25">
      <c r="A438" s="29" t="s">
        <v>5289</v>
      </c>
      <c r="B438" s="29" t="s">
        <v>5288</v>
      </c>
      <c r="C438" s="29" t="s">
        <v>597</v>
      </c>
      <c r="D438" s="29" t="str">
        <f>VLOOKUP(C:C,'COUNT-CONT'!B:C,2,FALSE)</f>
        <v>Europe</v>
      </c>
      <c r="E438" s="29">
        <v>6</v>
      </c>
      <c r="F438" s="28">
        <v>3005</v>
      </c>
      <c r="G438" s="28">
        <v>5942456572</v>
      </c>
      <c r="H438" s="29">
        <v>30.71</v>
      </c>
      <c r="I438" s="142">
        <v>-48.73</v>
      </c>
      <c r="J438" s="29">
        <v>18.29</v>
      </c>
      <c r="K438" s="29">
        <v>16.989999999999998</v>
      </c>
      <c r="L438" s="29">
        <v>32.68</v>
      </c>
      <c r="M438" s="368"/>
      <c r="N438" s="368"/>
      <c r="O438" s="271">
        <f>IFERROR(Table17[[#This Row],[PROFIT]]/Table17[[#This Row],[TO]],0)</f>
        <v>0</v>
      </c>
      <c r="P438" s="177"/>
      <c r="Q438" s="177"/>
      <c r="R438" s="177"/>
    </row>
    <row r="439" spans="1:18" hidden="1" x14ac:dyDescent="0.25">
      <c r="A439" s="29" t="s">
        <v>4875</v>
      </c>
      <c r="B439" s="29" t="s">
        <v>4874</v>
      </c>
      <c r="C439" s="29" t="s">
        <v>14</v>
      </c>
      <c r="D439" s="29" t="str">
        <f>VLOOKUP(C:C,'COUNT-CONT'!B:C,2,FALSE)</f>
        <v>Asia</v>
      </c>
      <c r="E439" s="29">
        <v>7</v>
      </c>
      <c r="F439" s="28">
        <v>2817</v>
      </c>
      <c r="G439" s="28">
        <v>4994886332</v>
      </c>
      <c r="H439" s="29">
        <v>30.68</v>
      </c>
      <c r="I439" s="142">
        <v>-48.76</v>
      </c>
      <c r="J439" s="29">
        <v>11.97</v>
      </c>
      <c r="K439" s="29">
        <v>9.89</v>
      </c>
      <c r="L439" s="29">
        <v>26.03</v>
      </c>
      <c r="M439" s="368"/>
      <c r="N439" s="368"/>
      <c r="O439" s="271">
        <f>IFERROR(Table17[[#This Row],[PROFIT]]/Table17[[#This Row],[TO]],0)</f>
        <v>0</v>
      </c>
      <c r="P439" s="177"/>
      <c r="Q439" s="177"/>
      <c r="R439" s="177"/>
    </row>
    <row r="440" spans="1:18" ht="30" hidden="1" x14ac:dyDescent="0.25">
      <c r="A440" s="29" t="s">
        <v>5574</v>
      </c>
      <c r="B440" s="29" t="s">
        <v>5573</v>
      </c>
      <c r="C440" s="29" t="s">
        <v>11732</v>
      </c>
      <c r="D440" s="29" t="str">
        <f>VLOOKUP(C:C,'COUNT-CONT'!B:C,2,FALSE)</f>
        <v>North America</v>
      </c>
      <c r="E440" s="29">
        <v>10</v>
      </c>
      <c r="F440" s="28">
        <v>5095</v>
      </c>
      <c r="G440" s="28">
        <v>7031897939</v>
      </c>
      <c r="H440" s="29">
        <v>30.65</v>
      </c>
      <c r="I440" s="142">
        <v>-48.79</v>
      </c>
      <c r="J440" s="29">
        <v>25</v>
      </c>
      <c r="K440" s="29">
        <v>25</v>
      </c>
      <c r="L440" s="29">
        <v>40.36</v>
      </c>
      <c r="M440" s="368"/>
      <c r="N440" s="368"/>
      <c r="O440" s="271">
        <f>IFERROR(Table17[[#This Row],[PROFIT]]/Table17[[#This Row],[TO]],0)</f>
        <v>0</v>
      </c>
      <c r="P440" s="177"/>
      <c r="Q440" s="177"/>
      <c r="R440" s="177"/>
    </row>
    <row r="441" spans="1:18" hidden="1" x14ac:dyDescent="0.25">
      <c r="A441" s="29" t="s">
        <v>4239</v>
      </c>
      <c r="B441" s="29" t="s">
        <v>4238</v>
      </c>
      <c r="C441" s="29" t="s">
        <v>3265</v>
      </c>
      <c r="D441" s="29" t="str">
        <f>VLOOKUP(C:C,'COUNT-CONT'!B:C,2,FALSE)</f>
        <v>Asia</v>
      </c>
      <c r="E441" s="29">
        <v>10</v>
      </c>
      <c r="F441" s="28">
        <v>4346</v>
      </c>
      <c r="G441" s="28">
        <v>4515506304</v>
      </c>
      <c r="H441" s="29">
        <v>30.62</v>
      </c>
      <c r="I441" s="142">
        <v>-48.819999999999993</v>
      </c>
      <c r="J441" s="29">
        <v>6.53</v>
      </c>
      <c r="K441" s="29">
        <v>4.08</v>
      </c>
      <c r="L441" s="29">
        <v>20.41</v>
      </c>
      <c r="M441" s="368"/>
      <c r="N441" s="368"/>
      <c r="O441" s="271">
        <f>IFERROR(Table17[[#This Row],[PROFIT]]/Table17[[#This Row],[TO]],0)</f>
        <v>0</v>
      </c>
      <c r="P441" s="177"/>
      <c r="Q441" s="177"/>
      <c r="R441" s="177"/>
    </row>
    <row r="442" spans="1:18" hidden="1" x14ac:dyDescent="0.25">
      <c r="A442" s="29" t="s">
        <v>4636</v>
      </c>
      <c r="B442" s="29" t="s">
        <v>4635</v>
      </c>
      <c r="C442" s="29" t="s">
        <v>493</v>
      </c>
      <c r="D442" s="29" t="str">
        <f>VLOOKUP(C:C,'COUNT-CONT'!B:C,2,FALSE)</f>
        <v>Africa</v>
      </c>
      <c r="E442" s="29">
        <v>9</v>
      </c>
      <c r="F442" s="28">
        <v>3000</v>
      </c>
      <c r="G442" s="28">
        <v>4715266666</v>
      </c>
      <c r="H442" s="29">
        <v>30.59</v>
      </c>
      <c r="I442" s="142">
        <v>-48.849999999999994</v>
      </c>
      <c r="J442" s="29">
        <v>9.85</v>
      </c>
      <c r="K442" s="29">
        <v>7.04</v>
      </c>
      <c r="L442" s="29">
        <v>23.52</v>
      </c>
      <c r="M442" s="368"/>
      <c r="N442" s="368"/>
      <c r="O442" s="271">
        <f>IFERROR(Table17[[#This Row],[PROFIT]]/Table17[[#This Row],[TO]],0)</f>
        <v>0</v>
      </c>
      <c r="P442" s="177"/>
      <c r="Q442" s="177"/>
      <c r="R442" s="177"/>
    </row>
    <row r="443" spans="1:18" hidden="1" x14ac:dyDescent="0.25">
      <c r="A443" s="29" t="s">
        <v>4310</v>
      </c>
      <c r="B443" s="29" t="s">
        <v>4309</v>
      </c>
      <c r="C443" s="29" t="s">
        <v>1070</v>
      </c>
      <c r="D443" s="29" t="str">
        <f>VLOOKUP(C:C,'COUNT-CONT'!B:C,2,FALSE)</f>
        <v>Asia</v>
      </c>
      <c r="E443" s="29">
        <v>5</v>
      </c>
      <c r="F443" s="28">
        <v>2153</v>
      </c>
      <c r="G443" s="28">
        <v>4466115002</v>
      </c>
      <c r="H443" s="29">
        <v>30.56</v>
      </c>
      <c r="I443" s="142">
        <v>-48.879999999999995</v>
      </c>
      <c r="J443" s="29">
        <v>7.1</v>
      </c>
      <c r="K443" s="29">
        <v>4.59</v>
      </c>
      <c r="L443" s="29">
        <v>20.95</v>
      </c>
      <c r="M443" s="368"/>
      <c r="N443" s="368"/>
      <c r="O443" s="271">
        <f>IFERROR(Table17[[#This Row],[PROFIT]]/Table17[[#This Row],[TO]],0)</f>
        <v>0</v>
      </c>
      <c r="P443" s="177"/>
      <c r="Q443" s="177"/>
      <c r="R443" s="177"/>
    </row>
    <row r="444" spans="1:18" hidden="1" x14ac:dyDescent="0.25">
      <c r="A444" s="29" t="s">
        <v>4677</v>
      </c>
      <c r="B444" s="29" t="s">
        <v>4676</v>
      </c>
      <c r="C444" s="29" t="s">
        <v>588</v>
      </c>
      <c r="D444" s="29" t="str">
        <f>VLOOKUP(C:C,'COUNT-CONT'!B:C,2,FALSE)</f>
        <v>Europe</v>
      </c>
      <c r="E444" s="29">
        <v>10</v>
      </c>
      <c r="F444" s="28">
        <v>3728</v>
      </c>
      <c r="G444" s="28">
        <v>4751664377</v>
      </c>
      <c r="H444" s="29">
        <v>30.56</v>
      </c>
      <c r="I444" s="142">
        <v>-48.879999999999995</v>
      </c>
      <c r="J444" s="29">
        <v>10.039999999999999</v>
      </c>
      <c r="K444" s="29">
        <v>7.62</v>
      </c>
      <c r="L444" s="29">
        <v>23.88</v>
      </c>
      <c r="M444" s="368"/>
      <c r="N444" s="368"/>
      <c r="O444" s="271">
        <f>IFERROR(Table17[[#This Row],[PROFIT]]/Table17[[#This Row],[TO]],0)</f>
        <v>0</v>
      </c>
      <c r="P444" s="177"/>
      <c r="Q444" s="177"/>
      <c r="R444" s="177"/>
    </row>
    <row r="445" spans="1:18" hidden="1" x14ac:dyDescent="0.25">
      <c r="A445" s="29" t="s">
        <v>5187</v>
      </c>
      <c r="B445" s="29" t="s">
        <v>5186</v>
      </c>
      <c r="C445" s="29" t="s">
        <v>142</v>
      </c>
      <c r="D445" s="29" t="str">
        <f>VLOOKUP(C:C,'COUNT-CONT'!B:C,2,FALSE)</f>
        <v>Asia</v>
      </c>
      <c r="E445" s="29">
        <v>8</v>
      </c>
      <c r="F445" s="28">
        <v>3523</v>
      </c>
      <c r="G445" s="28">
        <v>5662033891</v>
      </c>
      <c r="H445" s="29">
        <v>30.47</v>
      </c>
      <c r="I445" s="142">
        <v>-48.97</v>
      </c>
      <c r="J445" s="29">
        <v>16.440000000000001</v>
      </c>
      <c r="K445" s="29">
        <v>14.63</v>
      </c>
      <c r="L445" s="29">
        <v>30.47</v>
      </c>
      <c r="M445" s="368"/>
      <c r="N445" s="368"/>
      <c r="O445" s="271">
        <f>IFERROR(Table17[[#This Row],[PROFIT]]/Table17[[#This Row],[TO]],0)</f>
        <v>0</v>
      </c>
      <c r="P445" s="177"/>
      <c r="Q445" s="177"/>
      <c r="R445" s="177"/>
    </row>
    <row r="446" spans="1:18" ht="30" hidden="1" x14ac:dyDescent="0.25">
      <c r="A446" s="29" t="s">
        <v>5311</v>
      </c>
      <c r="B446" s="29" t="s">
        <v>5310</v>
      </c>
      <c r="C446" s="29" t="s">
        <v>308</v>
      </c>
      <c r="D446" s="29" t="str">
        <f>VLOOKUP(C:C,'COUNT-CONT'!B:C,2,FALSE)</f>
        <v>Europe</v>
      </c>
      <c r="E446" s="29">
        <v>10</v>
      </c>
      <c r="F446" s="28">
        <v>4133</v>
      </c>
      <c r="G446" s="28">
        <v>5997350496</v>
      </c>
      <c r="H446" s="29">
        <v>30.41</v>
      </c>
      <c r="I446" s="142">
        <v>-49.03</v>
      </c>
      <c r="J446" s="29">
        <v>18.5</v>
      </c>
      <c r="K446" s="29">
        <v>17.87</v>
      </c>
      <c r="L446" s="29">
        <v>33.07</v>
      </c>
      <c r="M446" s="368"/>
      <c r="N446" s="368"/>
      <c r="O446" s="271">
        <f>IFERROR(Table17[[#This Row],[PROFIT]]/Table17[[#This Row],[TO]],0)</f>
        <v>0</v>
      </c>
      <c r="P446" s="177"/>
      <c r="Q446" s="177"/>
      <c r="R446" s="177"/>
    </row>
    <row r="447" spans="1:18" ht="30" hidden="1" x14ac:dyDescent="0.25">
      <c r="A447" s="29" t="s">
        <v>5064</v>
      </c>
      <c r="B447" s="29" t="s">
        <v>5063</v>
      </c>
      <c r="C447" s="29" t="s">
        <v>733</v>
      </c>
      <c r="D447" s="29" t="str">
        <f>VLOOKUP(C:C,'COUNT-CONT'!B:C,2,FALSE)</f>
        <v>Europe</v>
      </c>
      <c r="E447" s="29">
        <v>8</v>
      </c>
      <c r="F447" s="28">
        <v>3181</v>
      </c>
      <c r="G447" s="28">
        <v>5372403206</v>
      </c>
      <c r="H447" s="29">
        <v>30.38</v>
      </c>
      <c r="I447" s="142">
        <v>-49.06</v>
      </c>
      <c r="J447" s="29">
        <v>14.33</v>
      </c>
      <c r="K447" s="29">
        <v>13.18</v>
      </c>
      <c r="L447" s="29">
        <v>28.66</v>
      </c>
      <c r="M447" s="368"/>
      <c r="N447" s="368"/>
      <c r="O447" s="271">
        <f>IFERROR(Table17[[#This Row],[PROFIT]]/Table17[[#This Row],[TO]],0)</f>
        <v>0</v>
      </c>
      <c r="P447" s="177"/>
      <c r="Q447" s="177"/>
      <c r="R447" s="177"/>
    </row>
    <row r="448" spans="1:18" hidden="1" x14ac:dyDescent="0.25">
      <c r="A448" s="29" t="s">
        <v>248</v>
      </c>
      <c r="B448" s="29" t="s">
        <v>4296</v>
      </c>
      <c r="C448" s="29" t="s">
        <v>1070</v>
      </c>
      <c r="D448" s="29" t="str">
        <f>VLOOKUP(C:C,'COUNT-CONT'!B:C,2,FALSE)</f>
        <v>Asia</v>
      </c>
      <c r="E448" s="29">
        <v>8</v>
      </c>
      <c r="F448" s="28">
        <v>2851</v>
      </c>
      <c r="G448" s="28">
        <v>4394429533</v>
      </c>
      <c r="H448" s="29">
        <v>30.38</v>
      </c>
      <c r="I448" s="142">
        <v>-49.06</v>
      </c>
      <c r="J448" s="29">
        <v>7.07</v>
      </c>
      <c r="K448" s="29">
        <v>4.5599999999999996</v>
      </c>
      <c r="L448" s="29">
        <v>20.8</v>
      </c>
      <c r="M448" s="368"/>
      <c r="N448" s="368"/>
      <c r="O448" s="271">
        <f>IFERROR(Table17[[#This Row],[PROFIT]]/Table17[[#This Row],[TO]],0)</f>
        <v>0</v>
      </c>
      <c r="P448" s="177"/>
      <c r="Q448" s="177"/>
      <c r="R448" s="177"/>
    </row>
    <row r="449" spans="1:18" ht="30" hidden="1" x14ac:dyDescent="0.25">
      <c r="A449" s="29" t="s">
        <v>5565</v>
      </c>
      <c r="B449" s="29" t="s">
        <v>5564</v>
      </c>
      <c r="C449" s="29" t="s">
        <v>11732</v>
      </c>
      <c r="D449" s="29" t="str">
        <f>VLOOKUP(C:C,'COUNT-CONT'!B:C,2,FALSE)</f>
        <v>North America</v>
      </c>
      <c r="E449" s="29">
        <v>7</v>
      </c>
      <c r="F449" s="28">
        <v>4187</v>
      </c>
      <c r="G449" s="28">
        <v>6969317936</v>
      </c>
      <c r="H449" s="29">
        <v>30.35</v>
      </c>
      <c r="I449" s="142">
        <v>-49.089999999999996</v>
      </c>
      <c r="J449" s="29">
        <v>24.76</v>
      </c>
      <c r="K449" s="29">
        <v>24.76</v>
      </c>
      <c r="L449" s="29">
        <v>39.93</v>
      </c>
      <c r="M449" s="368"/>
      <c r="N449" s="368"/>
      <c r="O449" s="271">
        <f>IFERROR(Table17[[#This Row],[PROFIT]]/Table17[[#This Row],[TO]],0)</f>
        <v>0</v>
      </c>
      <c r="P449" s="177"/>
      <c r="Q449" s="177"/>
      <c r="R449" s="177"/>
    </row>
    <row r="450" spans="1:18" hidden="1" x14ac:dyDescent="0.25">
      <c r="A450" s="29" t="s">
        <v>5175</v>
      </c>
      <c r="B450" s="29" t="s">
        <v>5174</v>
      </c>
      <c r="C450" s="29" t="s">
        <v>142</v>
      </c>
      <c r="D450" s="29" t="str">
        <f>VLOOKUP(C:C,'COUNT-CONT'!B:C,2,FALSE)</f>
        <v>Asia</v>
      </c>
      <c r="E450" s="29">
        <v>6</v>
      </c>
      <c r="F450" s="28">
        <v>2929</v>
      </c>
      <c r="G450" s="28">
        <v>5659354796</v>
      </c>
      <c r="H450" s="29">
        <v>30.35</v>
      </c>
      <c r="I450" s="142">
        <v>-49.089999999999996</v>
      </c>
      <c r="J450" s="29">
        <v>16.38</v>
      </c>
      <c r="K450" s="29">
        <v>14.57</v>
      </c>
      <c r="L450" s="29">
        <v>30.35</v>
      </c>
      <c r="M450" s="368"/>
      <c r="N450" s="368"/>
      <c r="O450" s="271">
        <f>IFERROR(Table17[[#This Row],[PROFIT]]/Table17[[#This Row],[TO]],0)</f>
        <v>0</v>
      </c>
      <c r="P450" s="177"/>
      <c r="Q450" s="177"/>
      <c r="R450" s="177"/>
    </row>
    <row r="451" spans="1:18" ht="30" hidden="1" x14ac:dyDescent="0.25">
      <c r="A451" s="29" t="s">
        <v>5179</v>
      </c>
      <c r="B451" s="29" t="s">
        <v>5178</v>
      </c>
      <c r="C451" s="29" t="s">
        <v>13119</v>
      </c>
      <c r="D451" s="29" t="str">
        <f>VLOOKUP(C:C,'COUNT-CONT'!B:C,2,FALSE)</f>
        <v>North America</v>
      </c>
      <c r="E451" s="29">
        <v>10</v>
      </c>
      <c r="F451" s="28">
        <v>3918</v>
      </c>
      <c r="G451" s="28">
        <v>5542155487</v>
      </c>
      <c r="H451" s="29">
        <v>30.35</v>
      </c>
      <c r="I451" s="142">
        <v>-49.089999999999996</v>
      </c>
      <c r="J451" s="29">
        <v>16.38</v>
      </c>
      <c r="K451" s="29">
        <v>14.54</v>
      </c>
      <c r="L451" s="29">
        <v>30.35</v>
      </c>
      <c r="M451" s="368"/>
      <c r="N451" s="368"/>
      <c r="O451" s="271">
        <f>IFERROR(Table17[[#This Row],[PROFIT]]/Table17[[#This Row],[TO]],0)</f>
        <v>0</v>
      </c>
      <c r="P451" s="177"/>
      <c r="Q451" s="177"/>
      <c r="R451" s="177"/>
    </row>
    <row r="452" spans="1:18" hidden="1" x14ac:dyDescent="0.25">
      <c r="A452" s="29" t="s">
        <v>4609</v>
      </c>
      <c r="B452" s="29" t="s">
        <v>4608</v>
      </c>
      <c r="C452" s="29" t="s">
        <v>700</v>
      </c>
      <c r="D452" s="29" t="str">
        <f>VLOOKUP(C:C,'COUNT-CONT'!B:C,2,FALSE)</f>
        <v>Asia</v>
      </c>
      <c r="E452" s="29">
        <v>10</v>
      </c>
      <c r="F452" s="28">
        <v>3758</v>
      </c>
      <c r="G452" s="28">
        <v>4660808887</v>
      </c>
      <c r="H452" s="29">
        <v>30.29</v>
      </c>
      <c r="I452" s="142">
        <v>-49.15</v>
      </c>
      <c r="J452" s="29">
        <v>9.31</v>
      </c>
      <c r="K452" s="29">
        <v>6.98</v>
      </c>
      <c r="L452" s="29">
        <v>23.31</v>
      </c>
      <c r="M452" s="368"/>
      <c r="N452" s="368"/>
      <c r="O452" s="271">
        <f>IFERROR(Table17[[#This Row],[PROFIT]]/Table17[[#This Row],[TO]],0)</f>
        <v>0</v>
      </c>
      <c r="P452" s="177"/>
      <c r="Q452" s="177"/>
      <c r="R452" s="177"/>
    </row>
    <row r="453" spans="1:18" hidden="1" x14ac:dyDescent="0.25">
      <c r="A453" s="29" t="s">
        <v>5302</v>
      </c>
      <c r="B453" s="29" t="s">
        <v>5301</v>
      </c>
      <c r="C453" s="29" t="s">
        <v>1427</v>
      </c>
      <c r="D453" s="29" t="str">
        <f>VLOOKUP(C:C,'COUNT-CONT'!B:C,2,FALSE)</f>
        <v>Europe</v>
      </c>
      <c r="E453" s="29">
        <v>7</v>
      </c>
      <c r="F453" s="28">
        <v>3403</v>
      </c>
      <c r="G453" s="28">
        <v>5957844196</v>
      </c>
      <c r="H453" s="29">
        <v>30.26</v>
      </c>
      <c r="I453" s="142">
        <v>-49.179999999999993</v>
      </c>
      <c r="J453" s="29">
        <v>18.41</v>
      </c>
      <c r="K453" s="29">
        <v>17.11</v>
      </c>
      <c r="L453" s="29">
        <v>32.89</v>
      </c>
      <c r="M453" s="368"/>
      <c r="N453" s="368"/>
      <c r="O453" s="271">
        <f>IFERROR(Table17[[#This Row],[PROFIT]]/Table17[[#This Row],[TO]],0)</f>
        <v>0</v>
      </c>
      <c r="P453" s="177"/>
      <c r="Q453" s="177"/>
      <c r="R453" s="177"/>
    </row>
    <row r="454" spans="1:18" hidden="1" x14ac:dyDescent="0.25">
      <c r="A454" s="29" t="s">
        <v>4795</v>
      </c>
      <c r="B454" s="29" t="s">
        <v>4794</v>
      </c>
      <c r="C454" s="29" t="s">
        <v>709</v>
      </c>
      <c r="D454" s="29" t="str">
        <f>VLOOKUP(C:C,'COUNT-CONT'!B:C,2,FALSE)</f>
        <v>Asia</v>
      </c>
      <c r="E454" s="29">
        <v>7</v>
      </c>
      <c r="F454" s="28">
        <v>2972</v>
      </c>
      <c r="G454" s="28">
        <v>4881121130</v>
      </c>
      <c r="H454" s="29">
        <v>30.23</v>
      </c>
      <c r="I454" s="142">
        <v>-49.209999999999994</v>
      </c>
      <c r="J454" s="29">
        <v>11.58</v>
      </c>
      <c r="K454" s="29">
        <v>9.07</v>
      </c>
      <c r="L454" s="29">
        <v>25.18</v>
      </c>
      <c r="M454" s="368"/>
      <c r="N454" s="368"/>
      <c r="O454" s="271">
        <f>IFERROR(Table17[[#This Row],[PROFIT]]/Table17[[#This Row],[TO]],0)</f>
        <v>0</v>
      </c>
      <c r="P454" s="177"/>
      <c r="Q454" s="177"/>
      <c r="R454" s="177"/>
    </row>
    <row r="455" spans="1:18" ht="30" hidden="1" x14ac:dyDescent="0.25">
      <c r="A455" s="29" t="s">
        <v>5563</v>
      </c>
      <c r="B455" s="29" t="s">
        <v>5562</v>
      </c>
      <c r="C455" s="29" t="s">
        <v>11732</v>
      </c>
      <c r="D455" s="29" t="str">
        <f>VLOOKUP(C:C,'COUNT-CONT'!B:C,2,FALSE)</f>
        <v>North America</v>
      </c>
      <c r="E455" s="29">
        <v>9</v>
      </c>
      <c r="F455" s="28">
        <v>4610</v>
      </c>
      <c r="G455" s="28">
        <v>6949411713</v>
      </c>
      <c r="H455" s="29">
        <v>30.2</v>
      </c>
      <c r="I455" s="142">
        <v>-49.239999999999995</v>
      </c>
      <c r="J455" s="29">
        <v>24.64</v>
      </c>
      <c r="K455" s="29">
        <v>24.64</v>
      </c>
      <c r="L455" s="29">
        <v>39.75</v>
      </c>
      <c r="M455" s="368"/>
      <c r="N455" s="368"/>
      <c r="O455" s="271">
        <f>IFERROR(Table17[[#This Row],[PROFIT]]/Table17[[#This Row],[TO]],0)</f>
        <v>0</v>
      </c>
      <c r="P455" s="177"/>
      <c r="Q455" s="177"/>
      <c r="R455" s="177"/>
    </row>
    <row r="456" spans="1:18" x14ac:dyDescent="0.25">
      <c r="A456" s="29" t="s">
        <v>5262</v>
      </c>
      <c r="B456" s="29" t="s">
        <v>5261</v>
      </c>
      <c r="C456" s="29" t="s">
        <v>774</v>
      </c>
      <c r="D456" s="29" t="str">
        <f>VLOOKUP(C:C,'COUNT-CONT'!B:C,2,FALSE)</f>
        <v>Oceania</v>
      </c>
      <c r="E456" s="29">
        <v>9</v>
      </c>
      <c r="F456" s="28">
        <v>3846</v>
      </c>
      <c r="G456" s="28">
        <v>5869911440</v>
      </c>
      <c r="H456" s="29">
        <v>30.14</v>
      </c>
      <c r="I456" s="142">
        <v>-49.3</v>
      </c>
      <c r="J456" s="29">
        <v>17.96</v>
      </c>
      <c r="K456" s="29">
        <v>16.66</v>
      </c>
      <c r="L456" s="29">
        <v>32.07</v>
      </c>
      <c r="M456" s="368"/>
      <c r="N456" s="368"/>
      <c r="O456" s="271">
        <f>IFERROR(Table17[[#This Row],[PROFIT]]/Table17[[#This Row],[TO]],0)</f>
        <v>0</v>
      </c>
      <c r="P456" s="177"/>
      <c r="Q456" s="177"/>
      <c r="R456" s="177"/>
    </row>
    <row r="457" spans="1:18" ht="30" hidden="1" x14ac:dyDescent="0.25">
      <c r="A457" s="29" t="s">
        <v>293</v>
      </c>
      <c r="B457" s="29" t="s">
        <v>4026</v>
      </c>
      <c r="C457" s="29" t="s">
        <v>1135</v>
      </c>
      <c r="D457" s="29" t="str">
        <f>VLOOKUP(C:C,'COUNT-CONT'!B:C,2,FALSE)</f>
        <v>Africa</v>
      </c>
      <c r="E457" s="29">
        <v>8</v>
      </c>
      <c r="F457" s="28">
        <v>2976</v>
      </c>
      <c r="G457" s="28">
        <v>4306223655</v>
      </c>
      <c r="H457" s="29">
        <v>30.11</v>
      </c>
      <c r="I457" s="142">
        <v>-49.33</v>
      </c>
      <c r="J457" s="29">
        <v>5.71</v>
      </c>
      <c r="K457" s="29">
        <v>2.66</v>
      </c>
      <c r="L457" s="29">
        <v>19.04</v>
      </c>
      <c r="M457" s="368"/>
      <c r="N457" s="368"/>
      <c r="O457" s="271">
        <f>IFERROR(Table17[[#This Row],[PROFIT]]/Table17[[#This Row],[TO]],0)</f>
        <v>0</v>
      </c>
      <c r="P457" s="177"/>
      <c r="Q457" s="177"/>
      <c r="R457" s="177"/>
    </row>
    <row r="458" spans="1:18" hidden="1" x14ac:dyDescent="0.25">
      <c r="A458" s="29" t="s">
        <v>4264</v>
      </c>
      <c r="B458" s="29" t="s">
        <v>4263</v>
      </c>
      <c r="C458" s="29" t="s">
        <v>1070</v>
      </c>
      <c r="D458" s="29" t="str">
        <f>VLOOKUP(C:C,'COUNT-CONT'!B:C,2,FALSE)</f>
        <v>Asia</v>
      </c>
      <c r="E458" s="29">
        <v>7</v>
      </c>
      <c r="F458" s="28">
        <v>2773</v>
      </c>
      <c r="G458" s="28">
        <v>4369882293</v>
      </c>
      <c r="H458" s="29">
        <v>30.05</v>
      </c>
      <c r="I458" s="142">
        <v>-49.39</v>
      </c>
      <c r="J458" s="29">
        <v>6.98</v>
      </c>
      <c r="K458" s="29">
        <v>4.5</v>
      </c>
      <c r="L458" s="29">
        <v>20.59</v>
      </c>
      <c r="M458" s="368"/>
      <c r="N458" s="368"/>
      <c r="O458" s="271">
        <f>IFERROR(Table17[[#This Row],[PROFIT]]/Table17[[#This Row],[TO]],0)</f>
        <v>0</v>
      </c>
      <c r="P458" s="177"/>
      <c r="Q458" s="177"/>
      <c r="R458" s="177"/>
    </row>
    <row r="459" spans="1:18" hidden="1" x14ac:dyDescent="0.25">
      <c r="A459" s="29" t="s">
        <v>4349</v>
      </c>
      <c r="B459" s="29" t="s">
        <v>4348</v>
      </c>
      <c r="C459" s="29" t="s">
        <v>4347</v>
      </c>
      <c r="D459" s="29" t="str">
        <f>VLOOKUP(C:C,'COUNT-CONT'!B:C,2,FALSE)</f>
        <v>Africa</v>
      </c>
      <c r="E459" s="29">
        <v>8</v>
      </c>
      <c r="F459" s="28">
        <v>3100</v>
      </c>
      <c r="G459" s="28">
        <v>4534838709</v>
      </c>
      <c r="H459" s="29">
        <v>30.05</v>
      </c>
      <c r="I459" s="142">
        <v>-49.39</v>
      </c>
      <c r="J459" s="29">
        <v>7.62</v>
      </c>
      <c r="K459" s="29">
        <v>5.08</v>
      </c>
      <c r="L459" s="29">
        <v>21.16</v>
      </c>
      <c r="M459" s="368"/>
      <c r="N459" s="368"/>
      <c r="O459" s="271">
        <f>IFERROR(Table17[[#This Row],[PROFIT]]/Table17[[#This Row],[TO]],0)</f>
        <v>0</v>
      </c>
      <c r="P459" s="177"/>
      <c r="Q459" s="177"/>
      <c r="R459" s="177"/>
    </row>
    <row r="460" spans="1:18" ht="30" hidden="1" x14ac:dyDescent="0.25">
      <c r="A460" s="29" t="s">
        <v>5555</v>
      </c>
      <c r="B460" s="29" t="s">
        <v>5554</v>
      </c>
      <c r="C460" s="29" t="s">
        <v>11732</v>
      </c>
      <c r="D460" s="29" t="str">
        <f>VLOOKUP(C:C,'COUNT-CONT'!B:C,2,FALSE)</f>
        <v>North America</v>
      </c>
      <c r="E460" s="29">
        <v>7</v>
      </c>
      <c r="F460" s="28">
        <v>3922</v>
      </c>
      <c r="G460" s="28">
        <v>6903869148</v>
      </c>
      <c r="H460" s="29">
        <v>29.96</v>
      </c>
      <c r="I460" s="142">
        <v>-49.48</v>
      </c>
      <c r="J460" s="29">
        <v>24.43</v>
      </c>
      <c r="K460" s="29">
        <v>24.43</v>
      </c>
      <c r="L460" s="29">
        <v>39.42</v>
      </c>
      <c r="M460" s="368"/>
      <c r="N460" s="368"/>
      <c r="O460" s="271">
        <f>IFERROR(Table17[[#This Row],[PROFIT]]/Table17[[#This Row],[TO]],0)</f>
        <v>0</v>
      </c>
      <c r="P460" s="177"/>
      <c r="Q460" s="177"/>
      <c r="R460" s="177"/>
    </row>
    <row r="461" spans="1:18" ht="30" hidden="1" x14ac:dyDescent="0.25">
      <c r="A461" s="29" t="s">
        <v>5553</v>
      </c>
      <c r="B461" s="29" t="s">
        <v>5552</v>
      </c>
      <c r="C461" s="29" t="s">
        <v>11732</v>
      </c>
      <c r="D461" s="29" t="str">
        <f>VLOOKUP(C:C,'COUNT-CONT'!B:C,2,FALSE)</f>
        <v>North America</v>
      </c>
      <c r="E461" s="29">
        <v>9</v>
      </c>
      <c r="F461" s="28">
        <v>4777</v>
      </c>
      <c r="G461" s="28">
        <v>6905070043</v>
      </c>
      <c r="H461" s="29">
        <v>29.93</v>
      </c>
      <c r="I461" s="142">
        <v>-49.51</v>
      </c>
      <c r="J461" s="29">
        <v>24.4</v>
      </c>
      <c r="K461" s="29">
        <v>24.4</v>
      </c>
      <c r="L461" s="29">
        <v>39.39</v>
      </c>
      <c r="M461" s="368"/>
      <c r="N461" s="368"/>
      <c r="O461" s="271">
        <f>IFERROR(Table17[[#This Row],[PROFIT]]/Table17[[#This Row],[TO]],0)</f>
        <v>0</v>
      </c>
      <c r="P461" s="177"/>
      <c r="Q461" s="177"/>
      <c r="R461" s="177"/>
    </row>
    <row r="462" spans="1:18" hidden="1" x14ac:dyDescent="0.25">
      <c r="A462" s="29" t="s">
        <v>4742</v>
      </c>
      <c r="B462" s="29" t="s">
        <v>4741</v>
      </c>
      <c r="C462" s="29" t="s">
        <v>717</v>
      </c>
      <c r="D462" s="29" t="str">
        <f>VLOOKUP(C:C,'COUNT-CONT'!B:C,2,FALSE)</f>
        <v>Asia</v>
      </c>
      <c r="E462" s="29">
        <v>6</v>
      </c>
      <c r="F462" s="28">
        <v>2631</v>
      </c>
      <c r="G462" s="28">
        <v>4808291980</v>
      </c>
      <c r="H462" s="29">
        <v>29.9</v>
      </c>
      <c r="I462" s="142">
        <v>-49.54</v>
      </c>
      <c r="J462" s="29">
        <v>10.76</v>
      </c>
      <c r="K462" s="29">
        <v>8.8000000000000007</v>
      </c>
      <c r="L462" s="29">
        <v>24.52</v>
      </c>
      <c r="M462" s="368"/>
      <c r="N462" s="368"/>
      <c r="O462" s="271">
        <f>IFERROR(Table17[[#This Row],[PROFIT]]/Table17[[#This Row],[TO]],0)</f>
        <v>0</v>
      </c>
      <c r="P462" s="177"/>
      <c r="Q462" s="177"/>
      <c r="R462" s="177"/>
    </row>
    <row r="463" spans="1:18" ht="30" hidden="1" x14ac:dyDescent="0.25">
      <c r="A463" s="29" t="s">
        <v>4462</v>
      </c>
      <c r="B463" s="29" t="s">
        <v>4461</v>
      </c>
      <c r="C463" s="29" t="s">
        <v>1261</v>
      </c>
      <c r="D463" s="29" t="str">
        <f>VLOOKUP(C:C,'COUNT-CONT'!B:C,2,FALSE)</f>
        <v>Asia</v>
      </c>
      <c r="E463" s="29">
        <v>5</v>
      </c>
      <c r="F463" s="28">
        <v>2285</v>
      </c>
      <c r="G463" s="28">
        <v>4570100437</v>
      </c>
      <c r="H463" s="29">
        <v>29.9</v>
      </c>
      <c r="I463" s="142">
        <v>-49.54</v>
      </c>
      <c r="J463" s="29">
        <v>8.34</v>
      </c>
      <c r="K463" s="29">
        <v>6.14</v>
      </c>
      <c r="L463" s="29">
        <v>21.98</v>
      </c>
      <c r="M463" s="368"/>
      <c r="N463" s="368"/>
      <c r="O463" s="271">
        <f>IFERROR(Table17[[#This Row],[PROFIT]]/Table17[[#This Row],[TO]],0)</f>
        <v>0</v>
      </c>
      <c r="P463" s="177"/>
      <c r="Q463" s="177"/>
      <c r="R463" s="177"/>
    </row>
    <row r="464" spans="1:18" hidden="1" x14ac:dyDescent="0.25">
      <c r="A464" s="29" t="s">
        <v>5279</v>
      </c>
      <c r="B464" s="29" t="s">
        <v>5278</v>
      </c>
      <c r="C464" s="29" t="s">
        <v>308</v>
      </c>
      <c r="D464" s="29" t="str">
        <f>VLOOKUP(C:C,'COUNT-CONT'!B:C,2,FALSE)</f>
        <v>Europe</v>
      </c>
      <c r="E464" s="29">
        <v>8</v>
      </c>
      <c r="F464" s="28">
        <v>3669</v>
      </c>
      <c r="G464" s="28">
        <v>5919309212</v>
      </c>
      <c r="H464" s="29">
        <v>29.9</v>
      </c>
      <c r="I464" s="142">
        <v>-49.54</v>
      </c>
      <c r="J464" s="29">
        <v>18.2</v>
      </c>
      <c r="K464" s="29">
        <v>17.53</v>
      </c>
      <c r="L464" s="29">
        <v>32.5</v>
      </c>
      <c r="M464" s="368"/>
      <c r="N464" s="368"/>
      <c r="O464" s="271">
        <f>IFERROR(Table17[[#This Row],[PROFIT]]/Table17[[#This Row],[TO]],0)</f>
        <v>0</v>
      </c>
      <c r="P464" s="177"/>
      <c r="Q464" s="177"/>
      <c r="R464" s="177"/>
    </row>
    <row r="465" spans="1:18" hidden="1" x14ac:dyDescent="0.25">
      <c r="A465" s="29" t="s">
        <v>4327</v>
      </c>
      <c r="B465" s="29" t="s">
        <v>4326</v>
      </c>
      <c r="C465" s="29" t="s">
        <v>580</v>
      </c>
      <c r="D465" s="29" t="str">
        <f>VLOOKUP(C:C,'COUNT-CONT'!B:C,2,FALSE)</f>
        <v>Africa</v>
      </c>
      <c r="E465" s="29">
        <v>10</v>
      </c>
      <c r="F465" s="28">
        <v>4836</v>
      </c>
      <c r="G465" s="28">
        <v>4471560711</v>
      </c>
      <c r="H465" s="29">
        <v>29.9</v>
      </c>
      <c r="I465" s="142">
        <v>-49.54</v>
      </c>
      <c r="J465" s="29">
        <v>7.56</v>
      </c>
      <c r="K465" s="29">
        <v>5.05</v>
      </c>
      <c r="L465" s="29">
        <v>21.07</v>
      </c>
      <c r="M465" s="368"/>
      <c r="N465" s="368"/>
      <c r="O465" s="271">
        <f>IFERROR(Table17[[#This Row],[PROFIT]]/Table17[[#This Row],[TO]],0)</f>
        <v>0</v>
      </c>
      <c r="P465" s="177"/>
      <c r="Q465" s="177"/>
      <c r="R465" s="177"/>
    </row>
    <row r="466" spans="1:18" ht="30" hidden="1" x14ac:dyDescent="0.25">
      <c r="A466" s="29" t="s">
        <v>5551</v>
      </c>
      <c r="B466" s="29" t="s">
        <v>5550</v>
      </c>
      <c r="C466" s="29" t="s">
        <v>11732</v>
      </c>
      <c r="D466" s="29" t="str">
        <f>VLOOKUP(C:C,'COUNT-CONT'!B:C,2,FALSE)</f>
        <v>North America</v>
      </c>
      <c r="E466" s="29">
        <v>10</v>
      </c>
      <c r="F466" s="28">
        <v>5000</v>
      </c>
      <c r="G466" s="28">
        <v>6896600000</v>
      </c>
      <c r="H466" s="29">
        <v>29.84</v>
      </c>
      <c r="I466" s="142">
        <v>-49.599999999999994</v>
      </c>
      <c r="J466" s="29">
        <v>24.33</v>
      </c>
      <c r="K466" s="29">
        <v>24.33</v>
      </c>
      <c r="L466" s="29">
        <v>39.270000000000003</v>
      </c>
      <c r="M466" s="368"/>
      <c r="N466" s="368"/>
      <c r="O466" s="271">
        <f>IFERROR(Table17[[#This Row],[PROFIT]]/Table17[[#This Row],[TO]],0)</f>
        <v>0</v>
      </c>
      <c r="P466" s="177"/>
      <c r="Q466" s="177"/>
      <c r="R466" s="177"/>
    </row>
    <row r="467" spans="1:18" ht="30" hidden="1" x14ac:dyDescent="0.25">
      <c r="A467" s="29" t="s">
        <v>5547</v>
      </c>
      <c r="B467" s="29" t="s">
        <v>5546</v>
      </c>
      <c r="C467" s="29" t="s">
        <v>11732</v>
      </c>
      <c r="D467" s="29" t="str">
        <f>VLOOKUP(C:C,'COUNT-CONT'!B:C,2,FALSE)</f>
        <v>North America</v>
      </c>
      <c r="E467" s="29">
        <v>4</v>
      </c>
      <c r="F467" s="28">
        <v>2662</v>
      </c>
      <c r="G467" s="28">
        <v>6911223140</v>
      </c>
      <c r="H467" s="29">
        <v>29.72</v>
      </c>
      <c r="I467" s="142">
        <v>-49.72</v>
      </c>
      <c r="J467" s="29">
        <v>24.24</v>
      </c>
      <c r="K467" s="29">
        <v>24.24</v>
      </c>
      <c r="L467" s="29">
        <v>39.119999999999997</v>
      </c>
      <c r="M467" s="368"/>
      <c r="N467" s="368"/>
      <c r="O467" s="271">
        <f>IFERROR(Table17[[#This Row],[PROFIT]]/Table17[[#This Row],[TO]],0)</f>
        <v>0</v>
      </c>
      <c r="P467" s="177"/>
      <c r="Q467" s="177"/>
      <c r="R467" s="177"/>
    </row>
    <row r="468" spans="1:18" hidden="1" x14ac:dyDescent="0.25">
      <c r="A468" s="29" t="s">
        <v>21</v>
      </c>
      <c r="B468" s="29" t="s">
        <v>4719</v>
      </c>
      <c r="C468" s="29" t="s">
        <v>78</v>
      </c>
      <c r="D468" s="29" t="str">
        <f>VLOOKUP(C:C,'COUNT-CONT'!B:C,2,FALSE)</f>
        <v>Europe</v>
      </c>
      <c r="E468" s="29">
        <v>10</v>
      </c>
      <c r="F468" s="28">
        <v>3746</v>
      </c>
      <c r="G468" s="28">
        <v>4764446556</v>
      </c>
      <c r="H468" s="29">
        <v>29.69</v>
      </c>
      <c r="I468" s="142">
        <v>-49.75</v>
      </c>
      <c r="J468" s="29">
        <v>10.7</v>
      </c>
      <c r="K468" s="29">
        <v>8.74</v>
      </c>
      <c r="L468" s="29">
        <v>24.33</v>
      </c>
      <c r="M468" s="368"/>
      <c r="N468" s="368"/>
      <c r="O468" s="271">
        <f>IFERROR(Table17[[#This Row],[PROFIT]]/Table17[[#This Row],[TO]],0)</f>
        <v>0</v>
      </c>
      <c r="P468" s="177"/>
      <c r="Q468" s="177"/>
      <c r="R468" s="177"/>
    </row>
    <row r="469" spans="1:18" ht="30" hidden="1" x14ac:dyDescent="0.25">
      <c r="A469" s="29" t="s">
        <v>4793</v>
      </c>
      <c r="B469" s="29" t="s">
        <v>4792</v>
      </c>
      <c r="C469" s="29" t="s">
        <v>517</v>
      </c>
      <c r="D469" s="29" t="str">
        <f>VLOOKUP(C:C,'COUNT-CONT'!B:C,2,FALSE)</f>
        <v>South America</v>
      </c>
      <c r="E469" s="29">
        <v>7</v>
      </c>
      <c r="F469" s="28">
        <v>2740</v>
      </c>
      <c r="G469" s="28">
        <v>4884859854</v>
      </c>
      <c r="H469" s="29">
        <v>29.59</v>
      </c>
      <c r="I469" s="142">
        <v>-49.849999999999994</v>
      </c>
      <c r="J469" s="29">
        <v>11.55</v>
      </c>
      <c r="K469" s="29">
        <v>9.52</v>
      </c>
      <c r="L469" s="29">
        <v>25.09</v>
      </c>
      <c r="M469" s="368"/>
      <c r="N469" s="368"/>
      <c r="O469" s="271">
        <f>IFERROR(Table17[[#This Row],[PROFIT]]/Table17[[#This Row],[TO]],0)</f>
        <v>0</v>
      </c>
      <c r="P469" s="177"/>
      <c r="Q469" s="177"/>
      <c r="R469" s="177"/>
    </row>
    <row r="470" spans="1:18" hidden="1" x14ac:dyDescent="0.25">
      <c r="A470" s="29" t="s">
        <v>4826</v>
      </c>
      <c r="B470" s="29" t="s">
        <v>4825</v>
      </c>
      <c r="C470" s="29" t="s">
        <v>1459</v>
      </c>
      <c r="D470" s="29" t="str">
        <f>VLOOKUP(C:C,'COUNT-CONT'!B:C,2,FALSE)</f>
        <v>Europe</v>
      </c>
      <c r="E470" s="29">
        <v>6</v>
      </c>
      <c r="F470" s="28">
        <v>2713</v>
      </c>
      <c r="G470" s="28">
        <v>4936255215</v>
      </c>
      <c r="H470" s="29">
        <v>29.59</v>
      </c>
      <c r="I470" s="142">
        <v>-49.849999999999994</v>
      </c>
      <c r="J470" s="29">
        <v>11.73</v>
      </c>
      <c r="K470" s="29">
        <v>10.19</v>
      </c>
      <c r="L470" s="29">
        <v>25.51</v>
      </c>
      <c r="M470" s="368"/>
      <c r="N470" s="368"/>
      <c r="O470" s="271">
        <f>IFERROR(Table17[[#This Row],[PROFIT]]/Table17[[#This Row],[TO]],0)</f>
        <v>0</v>
      </c>
      <c r="P470" s="177"/>
      <c r="Q470" s="177"/>
      <c r="R470" s="177"/>
    </row>
    <row r="471" spans="1:18" ht="30" hidden="1" x14ac:dyDescent="0.25">
      <c r="A471" s="29" t="s">
        <v>5543</v>
      </c>
      <c r="B471" s="29" t="s">
        <v>5542</v>
      </c>
      <c r="C471" s="29" t="s">
        <v>560</v>
      </c>
      <c r="D471" s="29" t="str">
        <f>VLOOKUP(C:C,'COUNT-CONT'!B:C,2,FALSE)</f>
        <v>Europe</v>
      </c>
      <c r="E471" s="29">
        <v>10</v>
      </c>
      <c r="F471" s="28">
        <v>5773</v>
      </c>
      <c r="G471" s="28">
        <v>6879742179</v>
      </c>
      <c r="H471" s="29">
        <v>29.56</v>
      </c>
      <c r="I471" s="142">
        <v>-49.879999999999995</v>
      </c>
      <c r="J471" s="29">
        <v>24.09</v>
      </c>
      <c r="K471" s="29">
        <v>24.09</v>
      </c>
      <c r="L471" s="29">
        <v>38.909999999999997</v>
      </c>
      <c r="M471" s="368"/>
      <c r="N471" s="368"/>
      <c r="O471" s="271">
        <f>IFERROR(Table17[[#This Row],[PROFIT]]/Table17[[#This Row],[TO]],0)</f>
        <v>0</v>
      </c>
      <c r="P471" s="177"/>
      <c r="Q471" s="177"/>
      <c r="R471" s="177"/>
    </row>
    <row r="472" spans="1:18" hidden="1" x14ac:dyDescent="0.25">
      <c r="A472" s="29" t="s">
        <v>5333</v>
      </c>
      <c r="B472" s="29" t="s">
        <v>5332</v>
      </c>
      <c r="C472" s="29" t="s">
        <v>119</v>
      </c>
      <c r="D472" s="29" t="str">
        <f>VLOOKUP(C:C,'COUNT-CONT'!B:C,2,FALSE)</f>
        <v>Europe</v>
      </c>
      <c r="E472" s="29">
        <v>8</v>
      </c>
      <c r="F472" s="28">
        <v>3523</v>
      </c>
      <c r="G472" s="28">
        <v>6059633891</v>
      </c>
      <c r="H472" s="29">
        <v>29.53</v>
      </c>
      <c r="I472" s="142">
        <v>-49.91</v>
      </c>
      <c r="J472" s="29">
        <v>19.47</v>
      </c>
      <c r="K472" s="29">
        <v>18.8</v>
      </c>
      <c r="L472" s="29">
        <v>33.590000000000003</v>
      </c>
      <c r="M472" s="368"/>
      <c r="N472" s="368"/>
      <c r="O472" s="271">
        <f>IFERROR(Table17[[#This Row],[PROFIT]]/Table17[[#This Row],[TO]],0)</f>
        <v>0</v>
      </c>
      <c r="P472" s="177"/>
      <c r="Q472" s="177"/>
      <c r="R472" s="177"/>
    </row>
    <row r="473" spans="1:18" hidden="1" x14ac:dyDescent="0.25">
      <c r="A473" s="29" t="s">
        <v>3923</v>
      </c>
      <c r="B473" s="29" t="s">
        <v>3922</v>
      </c>
      <c r="C473" s="29" t="s">
        <v>1516</v>
      </c>
      <c r="D473" s="29" t="str">
        <f>VLOOKUP(C:C,'COUNT-CONT'!B:C,2,FALSE)</f>
        <v>Africa</v>
      </c>
      <c r="E473" s="29">
        <v>6</v>
      </c>
      <c r="F473" s="28">
        <v>2519</v>
      </c>
      <c r="G473" s="28">
        <v>4207681222</v>
      </c>
      <c r="H473" s="29">
        <v>29.53</v>
      </c>
      <c r="I473" s="142">
        <v>-49.91</v>
      </c>
      <c r="J473" s="29">
        <v>5.17</v>
      </c>
      <c r="K473" s="29">
        <v>2.57</v>
      </c>
      <c r="L473" s="29">
        <v>18.47</v>
      </c>
      <c r="M473" s="368"/>
      <c r="N473" s="368"/>
      <c r="O473" s="271">
        <f>IFERROR(Table17[[#This Row],[PROFIT]]/Table17[[#This Row],[TO]],0)</f>
        <v>0</v>
      </c>
      <c r="P473" s="177"/>
      <c r="Q473" s="177"/>
      <c r="R473" s="177"/>
    </row>
    <row r="474" spans="1:18" hidden="1" x14ac:dyDescent="0.25">
      <c r="A474" s="29" t="s">
        <v>4196</v>
      </c>
      <c r="B474" s="29" t="s">
        <v>4195</v>
      </c>
      <c r="C474" s="29" t="s">
        <v>1070</v>
      </c>
      <c r="D474" s="29" t="str">
        <f>VLOOKUP(C:C,'COUNT-CONT'!B:C,2,FALSE)</f>
        <v>Asia</v>
      </c>
      <c r="E474" s="29">
        <v>6</v>
      </c>
      <c r="F474" s="28">
        <v>3704</v>
      </c>
      <c r="G474" s="28">
        <v>4190876241</v>
      </c>
      <c r="H474" s="29">
        <v>29.47</v>
      </c>
      <c r="I474" s="142">
        <v>-49.97</v>
      </c>
      <c r="J474" s="29">
        <v>6.86</v>
      </c>
      <c r="K474" s="29">
        <v>4.41</v>
      </c>
      <c r="L474" s="29">
        <v>20.190000000000001</v>
      </c>
      <c r="M474" s="368"/>
      <c r="N474" s="368"/>
      <c r="O474" s="271">
        <f>IFERROR(Table17[[#This Row],[PROFIT]]/Table17[[#This Row],[TO]],0)</f>
        <v>0</v>
      </c>
      <c r="P474" s="177"/>
      <c r="Q474" s="177"/>
      <c r="R474" s="177"/>
    </row>
    <row r="475" spans="1:18" hidden="1" x14ac:dyDescent="0.25">
      <c r="A475" s="29" t="s">
        <v>3726</v>
      </c>
      <c r="B475" s="29" t="s">
        <v>3725</v>
      </c>
      <c r="C475" s="29" t="s">
        <v>3724</v>
      </c>
      <c r="D475" s="29" t="str">
        <f>VLOOKUP(C:C,'COUNT-CONT'!B:C,2,FALSE)</f>
        <v>Africa</v>
      </c>
      <c r="E475" s="29">
        <v>10</v>
      </c>
      <c r="F475" s="28">
        <v>3662</v>
      </c>
      <c r="G475" s="28">
        <v>4144182304</v>
      </c>
      <c r="H475" s="29">
        <v>29.47</v>
      </c>
      <c r="I475" s="142">
        <v>-49.97</v>
      </c>
      <c r="J475" s="29">
        <v>3.75</v>
      </c>
      <c r="K475" s="29">
        <v>1.36</v>
      </c>
      <c r="L475" s="29">
        <v>17.14</v>
      </c>
      <c r="M475" s="368"/>
      <c r="N475" s="368"/>
      <c r="O475" s="271">
        <f>IFERROR(Table17[[#This Row],[PROFIT]]/Table17[[#This Row],[TO]],0)</f>
        <v>0</v>
      </c>
      <c r="P475" s="177"/>
      <c r="Q475" s="177"/>
      <c r="R475" s="177"/>
    </row>
    <row r="476" spans="1:18" hidden="1" x14ac:dyDescent="0.25">
      <c r="A476" s="29" t="s">
        <v>4705</v>
      </c>
      <c r="B476" s="29" t="s">
        <v>4704</v>
      </c>
      <c r="C476" s="29" t="s">
        <v>78</v>
      </c>
      <c r="D476" s="29" t="str">
        <f>VLOOKUP(C:C,'COUNT-CONT'!B:C,2,FALSE)</f>
        <v>Europe</v>
      </c>
      <c r="E476" s="29">
        <v>10</v>
      </c>
      <c r="F476" s="28">
        <v>5088</v>
      </c>
      <c r="G476" s="28">
        <v>4683794968</v>
      </c>
      <c r="H476" s="29">
        <v>29.44</v>
      </c>
      <c r="I476" s="142">
        <v>-50</v>
      </c>
      <c r="J476" s="29">
        <v>10.61</v>
      </c>
      <c r="K476" s="29">
        <v>8.68</v>
      </c>
      <c r="L476" s="29">
        <v>24.15</v>
      </c>
      <c r="M476" s="368"/>
      <c r="N476" s="368"/>
      <c r="O476" s="271">
        <f>IFERROR(Table17[[#This Row],[PROFIT]]/Table17[[#This Row],[TO]],0)</f>
        <v>0</v>
      </c>
      <c r="P476" s="177"/>
      <c r="Q476" s="177"/>
      <c r="R476" s="177"/>
    </row>
    <row r="477" spans="1:18" hidden="1" x14ac:dyDescent="0.25">
      <c r="A477" s="29" t="s">
        <v>4703</v>
      </c>
      <c r="B477" s="29" t="s">
        <v>4702</v>
      </c>
      <c r="C477" s="29" t="s">
        <v>78</v>
      </c>
      <c r="D477" s="29" t="str">
        <f>VLOOKUP(C:C,'COUNT-CONT'!B:C,2,FALSE)</f>
        <v>Europe</v>
      </c>
      <c r="E477" s="29">
        <v>9</v>
      </c>
      <c r="F477" s="28">
        <v>3204</v>
      </c>
      <c r="G477" s="28">
        <v>4735420848</v>
      </c>
      <c r="H477" s="29">
        <v>29.41</v>
      </c>
      <c r="I477" s="142">
        <v>-50.03</v>
      </c>
      <c r="J477" s="29">
        <v>10.61</v>
      </c>
      <c r="K477" s="29">
        <v>8.68</v>
      </c>
      <c r="L477" s="29">
        <v>24.12</v>
      </c>
      <c r="M477" s="368"/>
      <c r="N477" s="368"/>
      <c r="O477" s="271">
        <f>IFERROR(Table17[[#This Row],[PROFIT]]/Table17[[#This Row],[TO]],0)</f>
        <v>0</v>
      </c>
      <c r="P477" s="177"/>
      <c r="Q477" s="177"/>
      <c r="R477" s="177"/>
    </row>
    <row r="478" spans="1:18" hidden="1" x14ac:dyDescent="0.25">
      <c r="A478" s="29" t="s">
        <v>4781</v>
      </c>
      <c r="B478" s="29" t="s">
        <v>4780</v>
      </c>
      <c r="C478" s="29" t="s">
        <v>14</v>
      </c>
      <c r="D478" s="29" t="str">
        <f>VLOOKUP(C:C,'COUNT-CONT'!B:C,2,FALSE)</f>
        <v>Asia</v>
      </c>
      <c r="E478" s="29">
        <v>10</v>
      </c>
      <c r="F478" s="28">
        <v>4437</v>
      </c>
      <c r="G478" s="28">
        <v>4857515258</v>
      </c>
      <c r="H478" s="29">
        <v>29.38</v>
      </c>
      <c r="I478" s="142">
        <v>-50.06</v>
      </c>
      <c r="J478" s="29">
        <v>11.46</v>
      </c>
      <c r="K478" s="29">
        <v>9.4600000000000009</v>
      </c>
      <c r="L478" s="29">
        <v>24.91</v>
      </c>
      <c r="M478" s="368"/>
      <c r="N478" s="368"/>
      <c r="O478" s="271">
        <f>IFERROR(Table17[[#This Row],[PROFIT]]/Table17[[#This Row],[TO]],0)</f>
        <v>0</v>
      </c>
      <c r="P478" s="177"/>
      <c r="Q478" s="177"/>
      <c r="R478" s="177"/>
    </row>
    <row r="479" spans="1:18" hidden="1" x14ac:dyDescent="0.25">
      <c r="A479" s="29" t="s">
        <v>5116</v>
      </c>
      <c r="B479" s="29" t="s">
        <v>5115</v>
      </c>
      <c r="C479" s="29" t="s">
        <v>142</v>
      </c>
      <c r="D479" s="29" t="str">
        <f>VLOOKUP(C:C,'COUNT-CONT'!B:C,2,FALSE)</f>
        <v>Asia</v>
      </c>
      <c r="E479" s="29">
        <v>6</v>
      </c>
      <c r="F479" s="28">
        <v>2874</v>
      </c>
      <c r="G479" s="28">
        <v>5530541823</v>
      </c>
      <c r="H479" s="29">
        <v>29.35</v>
      </c>
      <c r="I479" s="142">
        <v>-50.089999999999996</v>
      </c>
      <c r="J479" s="29">
        <v>15.84</v>
      </c>
      <c r="K479" s="29">
        <v>14.09</v>
      </c>
      <c r="L479" s="29">
        <v>29.35</v>
      </c>
      <c r="M479" s="368"/>
      <c r="N479" s="368"/>
      <c r="O479" s="271">
        <f>IFERROR(Table17[[#This Row],[PROFIT]]/Table17[[#This Row],[TO]],0)</f>
        <v>0</v>
      </c>
      <c r="P479" s="177"/>
      <c r="Q479" s="177"/>
      <c r="R479" s="177"/>
    </row>
    <row r="480" spans="1:18" ht="30" hidden="1" x14ac:dyDescent="0.25">
      <c r="A480" s="29" t="s">
        <v>5534</v>
      </c>
      <c r="B480" s="29" t="s">
        <v>5533</v>
      </c>
      <c r="C480" s="29" t="s">
        <v>11732</v>
      </c>
      <c r="D480" s="29" t="str">
        <f>VLOOKUP(C:C,'COUNT-CONT'!B:C,2,FALSE)</f>
        <v>North America</v>
      </c>
      <c r="E480" s="29">
        <v>10</v>
      </c>
      <c r="F480" s="28">
        <v>4882</v>
      </c>
      <c r="G480" s="28">
        <v>6814617492</v>
      </c>
      <c r="H480" s="29">
        <v>29.35</v>
      </c>
      <c r="I480" s="142">
        <v>-50.089999999999996</v>
      </c>
      <c r="J480" s="29">
        <v>23.94</v>
      </c>
      <c r="K480" s="29">
        <v>23.94</v>
      </c>
      <c r="L480" s="29">
        <v>38.630000000000003</v>
      </c>
      <c r="M480" s="368"/>
      <c r="N480" s="368"/>
      <c r="O480" s="271">
        <f>IFERROR(Table17[[#This Row],[PROFIT]]/Table17[[#This Row],[TO]],0)</f>
        <v>0</v>
      </c>
      <c r="P480" s="177"/>
      <c r="Q480" s="177"/>
      <c r="R480" s="177"/>
    </row>
    <row r="481" spans="1:18" ht="30" hidden="1" x14ac:dyDescent="0.25">
      <c r="A481" s="29" t="s">
        <v>4768</v>
      </c>
      <c r="B481" s="29" t="s">
        <v>4767</v>
      </c>
      <c r="C481" s="29" t="s">
        <v>517</v>
      </c>
      <c r="D481" s="29" t="str">
        <f>VLOOKUP(C:C,'COUNT-CONT'!B:C,2,FALSE)</f>
        <v>South America</v>
      </c>
      <c r="E481" s="29">
        <v>6</v>
      </c>
      <c r="F481" s="28">
        <v>2527</v>
      </c>
      <c r="G481" s="28">
        <v>4869098773</v>
      </c>
      <c r="H481" s="29">
        <v>29.35</v>
      </c>
      <c r="I481" s="142">
        <v>-50.089999999999996</v>
      </c>
      <c r="J481" s="29">
        <v>11.43</v>
      </c>
      <c r="K481" s="29">
        <v>9.43</v>
      </c>
      <c r="L481" s="29">
        <v>24.88</v>
      </c>
      <c r="M481" s="368"/>
      <c r="N481" s="368"/>
      <c r="O481" s="271">
        <f>IFERROR(Table17[[#This Row],[PROFIT]]/Table17[[#This Row],[TO]],0)</f>
        <v>0</v>
      </c>
      <c r="P481" s="177"/>
      <c r="Q481" s="177"/>
      <c r="R481" s="177"/>
    </row>
    <row r="482" spans="1:18" hidden="1" x14ac:dyDescent="0.25">
      <c r="A482" s="29" t="s">
        <v>5118</v>
      </c>
      <c r="B482" s="29" t="s">
        <v>5117</v>
      </c>
      <c r="C482" s="29" t="s">
        <v>142</v>
      </c>
      <c r="D482" s="29" t="str">
        <f>VLOOKUP(C:C,'COUNT-CONT'!B:C,2,FALSE)</f>
        <v>Asia</v>
      </c>
      <c r="E482" s="29">
        <v>6</v>
      </c>
      <c r="F482" s="28">
        <v>2875</v>
      </c>
      <c r="G482" s="28">
        <v>5532008695</v>
      </c>
      <c r="H482" s="29">
        <v>29.35</v>
      </c>
      <c r="I482" s="142">
        <v>-50.089999999999996</v>
      </c>
      <c r="J482" s="29">
        <v>15.84</v>
      </c>
      <c r="K482" s="29">
        <v>14.09</v>
      </c>
      <c r="L482" s="29">
        <v>29.35</v>
      </c>
      <c r="M482" s="368"/>
      <c r="N482" s="368"/>
      <c r="O482" s="271">
        <f>IFERROR(Table17[[#This Row],[PROFIT]]/Table17[[#This Row],[TO]],0)</f>
        <v>0</v>
      </c>
      <c r="P482" s="177"/>
      <c r="Q482" s="177"/>
      <c r="R482" s="177"/>
    </row>
    <row r="483" spans="1:18" ht="30" hidden="1" x14ac:dyDescent="0.25">
      <c r="A483" s="29" t="s">
        <v>5528</v>
      </c>
      <c r="B483" s="29" t="s">
        <v>5527</v>
      </c>
      <c r="C483" s="29" t="s">
        <v>11732</v>
      </c>
      <c r="D483" s="29" t="str">
        <f>VLOOKUP(C:C,'COUNT-CONT'!B:C,2,FALSE)</f>
        <v>North America</v>
      </c>
      <c r="E483" s="29">
        <v>6</v>
      </c>
      <c r="F483" s="28">
        <v>3369</v>
      </c>
      <c r="G483" s="28">
        <v>6807406381</v>
      </c>
      <c r="H483" s="29">
        <v>29.32</v>
      </c>
      <c r="I483" s="142">
        <v>-50.12</v>
      </c>
      <c r="J483" s="29">
        <v>23.91</v>
      </c>
      <c r="K483" s="29">
        <v>23.91</v>
      </c>
      <c r="L483" s="29">
        <v>38.6</v>
      </c>
      <c r="M483" s="368"/>
      <c r="N483" s="368"/>
      <c r="O483" s="271">
        <f>IFERROR(Table17[[#This Row],[PROFIT]]/Table17[[#This Row],[TO]],0)</f>
        <v>0</v>
      </c>
      <c r="P483" s="177"/>
      <c r="Q483" s="177"/>
      <c r="R483" s="177"/>
    </row>
    <row r="484" spans="1:18" hidden="1" x14ac:dyDescent="0.25">
      <c r="A484" s="29" t="s">
        <v>4687</v>
      </c>
      <c r="B484" s="29" t="s">
        <v>4686</v>
      </c>
      <c r="C484" s="29" t="s">
        <v>78</v>
      </c>
      <c r="D484" s="29" t="str">
        <f>VLOOKUP(C:C,'COUNT-CONT'!B:C,2,FALSE)</f>
        <v>Europe</v>
      </c>
      <c r="E484" s="29">
        <v>6</v>
      </c>
      <c r="F484" s="28">
        <v>2667</v>
      </c>
      <c r="G484" s="28">
        <v>4744848443</v>
      </c>
      <c r="H484" s="29">
        <v>29.32</v>
      </c>
      <c r="I484" s="142">
        <v>-50.12</v>
      </c>
      <c r="J484" s="29">
        <v>10.58</v>
      </c>
      <c r="K484" s="29">
        <v>8.65</v>
      </c>
      <c r="L484" s="29">
        <v>24.03</v>
      </c>
      <c r="M484" s="368"/>
      <c r="N484" s="368"/>
      <c r="O484" s="271">
        <f>IFERROR(Table17[[#This Row],[PROFIT]]/Table17[[#This Row],[TO]],0)</f>
        <v>0</v>
      </c>
      <c r="P484" s="177"/>
      <c r="Q484" s="177"/>
      <c r="R484" s="177"/>
    </row>
    <row r="485" spans="1:18" hidden="1" x14ac:dyDescent="0.25">
      <c r="A485" s="29" t="s">
        <v>4410</v>
      </c>
      <c r="B485" s="29" t="s">
        <v>4409</v>
      </c>
      <c r="C485" s="29" t="s">
        <v>502</v>
      </c>
      <c r="D485" s="29" t="str">
        <f>VLOOKUP(C:C,'COUNT-CONT'!B:C,2,FALSE)</f>
        <v>Asia</v>
      </c>
      <c r="E485" s="29">
        <v>10</v>
      </c>
      <c r="F485" s="28">
        <v>3818</v>
      </c>
      <c r="G485" s="28">
        <v>4526908957</v>
      </c>
      <c r="H485" s="29">
        <v>29.29</v>
      </c>
      <c r="I485" s="142">
        <v>-50.15</v>
      </c>
      <c r="J485" s="29">
        <v>8.16</v>
      </c>
      <c r="K485" s="29">
        <v>6.02</v>
      </c>
      <c r="L485" s="29">
        <v>21.55</v>
      </c>
      <c r="M485" s="368"/>
      <c r="N485" s="368"/>
      <c r="O485" s="271">
        <f>IFERROR(Table17[[#This Row],[PROFIT]]/Table17[[#This Row],[TO]],0)</f>
        <v>0</v>
      </c>
      <c r="P485" s="177"/>
      <c r="Q485" s="177"/>
      <c r="R485" s="177"/>
    </row>
    <row r="486" spans="1:18" hidden="1" x14ac:dyDescent="0.25">
      <c r="A486" s="29" t="s">
        <v>5315</v>
      </c>
      <c r="B486" s="29" t="s">
        <v>5314</v>
      </c>
      <c r="C486" s="29" t="s">
        <v>119</v>
      </c>
      <c r="D486" s="29" t="str">
        <f>VLOOKUP(C:C,'COUNT-CONT'!B:C,2,FALSE)</f>
        <v>Europe</v>
      </c>
      <c r="E486" s="29">
        <v>6</v>
      </c>
      <c r="F486" s="28">
        <v>3011</v>
      </c>
      <c r="G486" s="28">
        <v>6035327133</v>
      </c>
      <c r="H486" s="29">
        <v>29.29</v>
      </c>
      <c r="I486" s="142">
        <v>-50.15</v>
      </c>
      <c r="J486" s="29">
        <v>19.29</v>
      </c>
      <c r="K486" s="29">
        <v>18.62</v>
      </c>
      <c r="L486" s="29">
        <v>33.28</v>
      </c>
      <c r="M486" s="368"/>
      <c r="N486" s="368"/>
      <c r="O486" s="271">
        <f>IFERROR(Table17[[#This Row],[PROFIT]]/Table17[[#This Row],[TO]],0)</f>
        <v>0</v>
      </c>
      <c r="P486" s="177"/>
      <c r="Q486" s="177"/>
      <c r="R486" s="177"/>
    </row>
    <row r="487" spans="1:18" hidden="1" x14ac:dyDescent="0.25">
      <c r="A487" s="29" t="s">
        <v>227</v>
      </c>
      <c r="B487" s="29" t="s">
        <v>5011</v>
      </c>
      <c r="C487" s="29" t="s">
        <v>630</v>
      </c>
      <c r="D487" s="29" t="str">
        <f>VLOOKUP(C:C,'COUNT-CONT'!B:C,2,FALSE)</f>
        <v>Europe</v>
      </c>
      <c r="E487" s="29">
        <v>9</v>
      </c>
      <c r="F487" s="28">
        <v>3347</v>
      </c>
      <c r="G487" s="28">
        <v>5304152524</v>
      </c>
      <c r="H487" s="29">
        <v>29.29</v>
      </c>
      <c r="I487" s="142">
        <v>-50.15</v>
      </c>
      <c r="J487" s="29">
        <v>13.81</v>
      </c>
      <c r="K487" s="29">
        <v>12.15</v>
      </c>
      <c r="L487" s="29">
        <v>27.63</v>
      </c>
      <c r="M487" s="368"/>
      <c r="N487" s="368"/>
      <c r="O487" s="271">
        <f>IFERROR(Table17[[#This Row],[PROFIT]]/Table17[[#This Row],[TO]],0)</f>
        <v>0</v>
      </c>
      <c r="P487" s="177"/>
      <c r="Q487" s="177"/>
      <c r="R487" s="177"/>
    </row>
    <row r="488" spans="1:18" hidden="1" x14ac:dyDescent="0.25">
      <c r="A488" s="29" t="s">
        <v>4445</v>
      </c>
      <c r="B488" s="29" t="s">
        <v>4444</v>
      </c>
      <c r="C488" s="29" t="s">
        <v>1124</v>
      </c>
      <c r="D488" s="29" t="str">
        <f>VLOOKUP(C:C,'COUNT-CONT'!B:C,2,FALSE)</f>
        <v>Africa</v>
      </c>
      <c r="E488" s="29">
        <v>8</v>
      </c>
      <c r="F488" s="28">
        <v>3137</v>
      </c>
      <c r="G488" s="28">
        <v>4456853490</v>
      </c>
      <c r="H488" s="29">
        <v>29.26</v>
      </c>
      <c r="I488" s="142">
        <v>-50.179999999999993</v>
      </c>
      <c r="J488" s="29">
        <v>8.74</v>
      </c>
      <c r="K488" s="29">
        <v>6.11</v>
      </c>
      <c r="L488" s="29">
        <v>21.86</v>
      </c>
      <c r="M488" s="368"/>
      <c r="N488" s="368"/>
      <c r="O488" s="271">
        <f>IFERROR(Table17[[#This Row],[PROFIT]]/Table17[[#This Row],[TO]],0)</f>
        <v>0</v>
      </c>
      <c r="P488" s="177"/>
      <c r="Q488" s="177"/>
      <c r="R488" s="177"/>
    </row>
    <row r="489" spans="1:18" ht="30" hidden="1" x14ac:dyDescent="0.25">
      <c r="A489" s="29" t="s">
        <v>5524</v>
      </c>
      <c r="B489" s="29" t="s">
        <v>5523</v>
      </c>
      <c r="C489" s="29" t="s">
        <v>11732</v>
      </c>
      <c r="D489" s="29" t="str">
        <f>VLOOKUP(C:C,'COUNT-CONT'!B:C,2,FALSE)</f>
        <v>North America</v>
      </c>
      <c r="E489" s="29">
        <v>10</v>
      </c>
      <c r="F489" s="28">
        <v>5403</v>
      </c>
      <c r="G489" s="28">
        <v>6806890597</v>
      </c>
      <c r="H489" s="29">
        <v>29.23</v>
      </c>
      <c r="I489" s="142">
        <v>-50.209999999999994</v>
      </c>
      <c r="J489" s="29">
        <v>23.82</v>
      </c>
      <c r="K489" s="29">
        <v>23.82</v>
      </c>
      <c r="L489" s="29">
        <v>38.450000000000003</v>
      </c>
      <c r="M489" s="368"/>
      <c r="N489" s="368"/>
      <c r="O489" s="271">
        <f>IFERROR(Table17[[#This Row],[PROFIT]]/Table17[[#This Row],[TO]],0)</f>
        <v>0</v>
      </c>
      <c r="P489" s="177"/>
      <c r="Q489" s="177"/>
      <c r="R489" s="177"/>
    </row>
    <row r="490" spans="1:18" hidden="1" x14ac:dyDescent="0.25">
      <c r="A490" s="29" t="s">
        <v>242</v>
      </c>
      <c r="B490" s="29" t="s">
        <v>4179</v>
      </c>
      <c r="C490" s="29" t="s">
        <v>1070</v>
      </c>
      <c r="D490" s="29" t="str">
        <f>VLOOKUP(C:C,'COUNT-CONT'!B:C,2,FALSE)</f>
        <v>Asia</v>
      </c>
      <c r="E490" s="29">
        <v>10</v>
      </c>
      <c r="F490" s="28">
        <v>3434</v>
      </c>
      <c r="G490" s="28">
        <v>4278126150</v>
      </c>
      <c r="H490" s="29">
        <v>29.23</v>
      </c>
      <c r="I490" s="142">
        <v>-50.209999999999994</v>
      </c>
      <c r="J490" s="29">
        <v>6.8</v>
      </c>
      <c r="K490" s="29">
        <v>4.38</v>
      </c>
      <c r="L490" s="29">
        <v>20.04</v>
      </c>
      <c r="M490" s="368"/>
      <c r="N490" s="368"/>
      <c r="O490" s="271">
        <f>IFERROR(Table17[[#This Row],[PROFIT]]/Table17[[#This Row],[TO]],0)</f>
        <v>0</v>
      </c>
      <c r="P490" s="177"/>
      <c r="Q490" s="177"/>
      <c r="R490" s="177"/>
    </row>
    <row r="491" spans="1:18" hidden="1" x14ac:dyDescent="0.25">
      <c r="A491" s="29" t="s">
        <v>5108</v>
      </c>
      <c r="B491" s="29" t="s">
        <v>5107</v>
      </c>
      <c r="C491" s="29" t="s">
        <v>142</v>
      </c>
      <c r="D491" s="29" t="str">
        <f>VLOOKUP(C:C,'COUNT-CONT'!B:C,2,FALSE)</f>
        <v>Asia</v>
      </c>
      <c r="E491" s="29">
        <v>8</v>
      </c>
      <c r="F491" s="28">
        <v>3438</v>
      </c>
      <c r="G491" s="28">
        <v>5496853461</v>
      </c>
      <c r="H491" s="29">
        <v>29.2</v>
      </c>
      <c r="I491" s="142">
        <v>-50.239999999999995</v>
      </c>
      <c r="J491" s="29">
        <v>15.75</v>
      </c>
      <c r="K491" s="29">
        <v>14</v>
      </c>
      <c r="L491" s="29">
        <v>29.2</v>
      </c>
      <c r="M491" s="368"/>
      <c r="N491" s="368"/>
      <c r="O491" s="271">
        <f>IFERROR(Table17[[#This Row],[PROFIT]]/Table17[[#This Row],[TO]],0)</f>
        <v>0</v>
      </c>
      <c r="P491" s="177"/>
      <c r="Q491" s="177"/>
      <c r="R491" s="177"/>
    </row>
    <row r="492" spans="1:18" hidden="1" x14ac:dyDescent="0.25">
      <c r="A492" s="29" t="s">
        <v>4760</v>
      </c>
      <c r="B492" s="29" t="s">
        <v>4759</v>
      </c>
      <c r="C492" s="29" t="s">
        <v>14</v>
      </c>
      <c r="D492" s="29" t="str">
        <f>VLOOKUP(C:C,'COUNT-CONT'!B:C,2,FALSE)</f>
        <v>Asia</v>
      </c>
      <c r="E492" s="29">
        <v>8</v>
      </c>
      <c r="F492" s="28">
        <v>3225</v>
      </c>
      <c r="G492" s="28">
        <v>4817885271</v>
      </c>
      <c r="H492" s="29">
        <v>29.2</v>
      </c>
      <c r="I492" s="142">
        <v>-50.239999999999995</v>
      </c>
      <c r="J492" s="29">
        <v>11.37</v>
      </c>
      <c r="K492" s="29">
        <v>9.4</v>
      </c>
      <c r="L492" s="29">
        <v>24.76</v>
      </c>
      <c r="M492" s="368"/>
      <c r="N492" s="368"/>
      <c r="O492" s="271">
        <f>IFERROR(Table17[[#This Row],[PROFIT]]/Table17[[#This Row],[TO]],0)</f>
        <v>0</v>
      </c>
      <c r="P492" s="177"/>
      <c r="Q492" s="177"/>
      <c r="R492" s="177"/>
    </row>
    <row r="493" spans="1:18" ht="30" hidden="1" x14ac:dyDescent="0.25">
      <c r="A493" s="29" t="s">
        <v>5522</v>
      </c>
      <c r="B493" s="29" t="s">
        <v>5521</v>
      </c>
      <c r="C493" s="29" t="s">
        <v>11732</v>
      </c>
      <c r="D493" s="29" t="str">
        <f>VLOOKUP(C:C,'COUNT-CONT'!B:C,2,FALSE)</f>
        <v>North America</v>
      </c>
      <c r="E493" s="29">
        <v>2</v>
      </c>
      <c r="F493" s="28">
        <v>2169</v>
      </c>
      <c r="G493" s="28">
        <v>6882346150</v>
      </c>
      <c r="H493" s="29">
        <v>29.17</v>
      </c>
      <c r="I493" s="142">
        <v>-50.269999999999996</v>
      </c>
      <c r="J493" s="29">
        <v>23.82</v>
      </c>
      <c r="K493" s="29">
        <v>23.82</v>
      </c>
      <c r="L493" s="29">
        <v>38.42</v>
      </c>
      <c r="M493" s="368"/>
      <c r="N493" s="368"/>
      <c r="O493" s="271">
        <f>IFERROR(Table17[[#This Row],[PROFIT]]/Table17[[#This Row],[TO]],0)</f>
        <v>0</v>
      </c>
      <c r="P493" s="177"/>
      <c r="Q493" s="177"/>
      <c r="R493" s="177"/>
    </row>
    <row r="494" spans="1:18" hidden="1" x14ac:dyDescent="0.25">
      <c r="A494" s="29" t="s">
        <v>4685</v>
      </c>
      <c r="B494" s="29" t="s">
        <v>4684</v>
      </c>
      <c r="C494" s="29" t="s">
        <v>78</v>
      </c>
      <c r="D494" s="29" t="str">
        <f>VLOOKUP(C:C,'COUNT-CONT'!B:C,2,FALSE)</f>
        <v>Europe</v>
      </c>
      <c r="E494" s="29">
        <v>10</v>
      </c>
      <c r="F494" s="28">
        <v>4008</v>
      </c>
      <c r="G494" s="28">
        <v>4716951097</v>
      </c>
      <c r="H494" s="29">
        <v>29.17</v>
      </c>
      <c r="I494" s="142">
        <v>-50.269999999999996</v>
      </c>
      <c r="J494" s="29">
        <v>10.52</v>
      </c>
      <c r="K494" s="29">
        <v>8.59</v>
      </c>
      <c r="L494" s="29">
        <v>23.91</v>
      </c>
      <c r="M494" s="368"/>
      <c r="N494" s="368"/>
      <c r="O494" s="271">
        <f>IFERROR(Table17[[#This Row],[PROFIT]]/Table17[[#This Row],[TO]],0)</f>
        <v>0</v>
      </c>
      <c r="P494" s="177"/>
      <c r="Q494" s="177"/>
      <c r="R494" s="177"/>
    </row>
    <row r="495" spans="1:18" hidden="1" x14ac:dyDescent="0.25">
      <c r="A495" s="29" t="s">
        <v>4381</v>
      </c>
      <c r="B495" s="29" t="s">
        <v>4380</v>
      </c>
      <c r="C495" s="29" t="s">
        <v>717</v>
      </c>
      <c r="D495" s="29" t="str">
        <f>VLOOKUP(C:C,'COUNT-CONT'!B:C,2,FALSE)</f>
        <v>Asia</v>
      </c>
      <c r="E495" s="29">
        <v>4</v>
      </c>
      <c r="F495" s="28">
        <v>1877</v>
      </c>
      <c r="G495" s="28">
        <v>4596041556</v>
      </c>
      <c r="H495" s="29">
        <v>29.14</v>
      </c>
      <c r="I495" s="142">
        <v>-50.3</v>
      </c>
      <c r="J495" s="29">
        <v>8.1300000000000008</v>
      </c>
      <c r="K495" s="29">
        <v>5.56</v>
      </c>
      <c r="L495" s="29">
        <v>21.43</v>
      </c>
      <c r="M495" s="368"/>
      <c r="N495" s="368"/>
      <c r="O495" s="271">
        <f>IFERROR(Table17[[#This Row],[PROFIT]]/Table17[[#This Row],[TO]],0)</f>
        <v>0</v>
      </c>
      <c r="P495" s="177"/>
      <c r="Q495" s="177"/>
      <c r="R495" s="177"/>
    </row>
    <row r="496" spans="1:18" ht="30" hidden="1" x14ac:dyDescent="0.25">
      <c r="A496" s="29" t="s">
        <v>4675</v>
      </c>
      <c r="B496" s="29" t="s">
        <v>4674</v>
      </c>
      <c r="C496" s="29" t="s">
        <v>2791</v>
      </c>
      <c r="D496" s="29" t="str">
        <f>VLOOKUP(C:C,'COUNT-CONT'!B:C,2,FALSE)</f>
        <v>North America</v>
      </c>
      <c r="E496" s="29">
        <v>9</v>
      </c>
      <c r="F496" s="28">
        <v>3408</v>
      </c>
      <c r="G496" s="28">
        <v>4704369953</v>
      </c>
      <c r="H496" s="29">
        <v>29.14</v>
      </c>
      <c r="I496" s="142">
        <v>-50.3</v>
      </c>
      <c r="J496" s="29">
        <v>10.49</v>
      </c>
      <c r="K496" s="29">
        <v>8.59</v>
      </c>
      <c r="L496" s="29">
        <v>23.88</v>
      </c>
      <c r="M496" s="368"/>
      <c r="N496" s="368"/>
      <c r="O496" s="271">
        <f>IFERROR(Table17[[#This Row],[PROFIT]]/Table17[[#This Row],[TO]],0)</f>
        <v>0</v>
      </c>
      <c r="P496" s="177"/>
      <c r="Q496" s="177"/>
      <c r="R496" s="177"/>
    </row>
    <row r="497" spans="1:18" hidden="1" x14ac:dyDescent="0.25">
      <c r="A497" s="29" t="s">
        <v>5313</v>
      </c>
      <c r="B497" s="29" t="s">
        <v>5312</v>
      </c>
      <c r="C497" s="29" t="s">
        <v>119</v>
      </c>
      <c r="D497" s="29" t="str">
        <f>VLOOKUP(C:C,'COUNT-CONT'!B:C,2,FALSE)</f>
        <v>Europe</v>
      </c>
      <c r="E497" s="29">
        <v>10</v>
      </c>
      <c r="F497" s="28">
        <v>4180</v>
      </c>
      <c r="G497" s="28">
        <v>6002557894</v>
      </c>
      <c r="H497" s="29">
        <v>29.14</v>
      </c>
      <c r="I497" s="142">
        <v>-50.3</v>
      </c>
      <c r="J497" s="29">
        <v>19.2</v>
      </c>
      <c r="K497" s="29">
        <v>18.53</v>
      </c>
      <c r="L497" s="29">
        <v>33.1</v>
      </c>
      <c r="M497" s="368"/>
      <c r="N497" s="368"/>
      <c r="O497" s="271">
        <f>IFERROR(Table17[[#This Row],[PROFIT]]/Table17[[#This Row],[TO]],0)</f>
        <v>0</v>
      </c>
      <c r="P497" s="177"/>
      <c r="Q497" s="177"/>
      <c r="R497" s="177"/>
    </row>
    <row r="498" spans="1:18" hidden="1" x14ac:dyDescent="0.25">
      <c r="A498" s="29" t="s">
        <v>4871</v>
      </c>
      <c r="B498" s="29" t="s">
        <v>4870</v>
      </c>
      <c r="C498" s="29" t="s">
        <v>605</v>
      </c>
      <c r="D498" s="29" t="str">
        <f>VLOOKUP(C:C,'COUNT-CONT'!B:C,2,FALSE)</f>
        <v>Europe</v>
      </c>
      <c r="E498" s="29">
        <v>6</v>
      </c>
      <c r="F498" s="28">
        <v>2631</v>
      </c>
      <c r="G498" s="28">
        <v>5137291980</v>
      </c>
      <c r="H498" s="29">
        <v>29.11</v>
      </c>
      <c r="I498" s="142">
        <v>-50.33</v>
      </c>
      <c r="J498" s="29">
        <v>12.45</v>
      </c>
      <c r="K498" s="29">
        <v>10.91</v>
      </c>
      <c r="L498" s="29">
        <v>26</v>
      </c>
      <c r="M498" s="368"/>
      <c r="N498" s="368"/>
      <c r="O498" s="271">
        <f>IFERROR(Table17[[#This Row],[PROFIT]]/Table17[[#This Row],[TO]],0)</f>
        <v>0</v>
      </c>
      <c r="P498" s="177"/>
      <c r="Q498" s="177"/>
      <c r="R498" s="177"/>
    </row>
    <row r="499" spans="1:18" ht="30" hidden="1" x14ac:dyDescent="0.25">
      <c r="A499" s="29" t="s">
        <v>5519</v>
      </c>
      <c r="B499" s="29" t="s">
        <v>5518</v>
      </c>
      <c r="C499" s="29" t="s">
        <v>11732</v>
      </c>
      <c r="D499" s="29" t="str">
        <f>VLOOKUP(C:C,'COUNT-CONT'!B:C,2,FALSE)</f>
        <v>North America</v>
      </c>
      <c r="E499" s="29">
        <v>10</v>
      </c>
      <c r="F499" s="28">
        <v>5046</v>
      </c>
      <c r="G499" s="28">
        <v>6776094451</v>
      </c>
      <c r="H499" s="29">
        <v>29.08</v>
      </c>
      <c r="I499" s="142">
        <v>-50.36</v>
      </c>
      <c r="J499" s="29">
        <v>23.73</v>
      </c>
      <c r="K499" s="29">
        <v>23.73</v>
      </c>
      <c r="L499" s="29">
        <v>38.299999999999997</v>
      </c>
      <c r="M499" s="368"/>
      <c r="N499" s="368"/>
      <c r="O499" s="271">
        <f>IFERROR(Table17[[#This Row],[PROFIT]]/Table17[[#This Row],[TO]],0)</f>
        <v>0</v>
      </c>
      <c r="P499" s="177"/>
      <c r="Q499" s="177"/>
      <c r="R499" s="177"/>
    </row>
    <row r="500" spans="1:18" hidden="1" x14ac:dyDescent="0.25">
      <c r="A500" s="29" t="s">
        <v>5219</v>
      </c>
      <c r="B500" s="29" t="s">
        <v>5218</v>
      </c>
      <c r="C500" s="29" t="s">
        <v>597</v>
      </c>
      <c r="D500" s="29" t="str">
        <f>VLOOKUP(C:C,'COUNT-CONT'!B:C,2,FALSE)</f>
        <v>Europe</v>
      </c>
      <c r="E500" s="29">
        <v>10</v>
      </c>
      <c r="F500" s="28">
        <v>3918</v>
      </c>
      <c r="G500" s="28">
        <v>5706955487</v>
      </c>
      <c r="H500" s="29">
        <v>29.08</v>
      </c>
      <c r="I500" s="142">
        <v>-50.36</v>
      </c>
      <c r="J500" s="29">
        <v>17.32</v>
      </c>
      <c r="K500" s="29">
        <v>16.079999999999998</v>
      </c>
      <c r="L500" s="29">
        <v>30.93</v>
      </c>
      <c r="M500" s="368"/>
      <c r="N500" s="368"/>
      <c r="O500" s="271">
        <f>IFERROR(Table17[[#This Row],[PROFIT]]/Table17[[#This Row],[TO]],0)</f>
        <v>0</v>
      </c>
      <c r="P500" s="177"/>
      <c r="Q500" s="177"/>
      <c r="R500" s="177"/>
    </row>
    <row r="501" spans="1:18" hidden="1" x14ac:dyDescent="0.25">
      <c r="A501" s="29" t="s">
        <v>3950</v>
      </c>
      <c r="B501" s="29" t="s">
        <v>3949</v>
      </c>
      <c r="C501" s="29" t="s">
        <v>1289</v>
      </c>
      <c r="D501" s="29" t="str">
        <f>VLOOKUP(C:C,'COUNT-CONT'!B:C,2,FALSE)</f>
        <v>Asia</v>
      </c>
      <c r="E501" s="29">
        <v>9</v>
      </c>
      <c r="F501" s="28">
        <v>5376</v>
      </c>
      <c r="G501" s="28">
        <v>4070213095</v>
      </c>
      <c r="H501" s="29">
        <v>29.05</v>
      </c>
      <c r="I501" s="142">
        <v>-50.39</v>
      </c>
      <c r="J501" s="29">
        <v>5.56</v>
      </c>
      <c r="K501" s="29">
        <v>2.96</v>
      </c>
      <c r="L501" s="29">
        <v>18.62</v>
      </c>
      <c r="M501" s="368"/>
      <c r="N501" s="368"/>
      <c r="O501" s="271">
        <f>IFERROR(Table17[[#This Row],[PROFIT]]/Table17[[#This Row],[TO]],0)</f>
        <v>0</v>
      </c>
      <c r="P501" s="177"/>
      <c r="Q501" s="177"/>
      <c r="R501" s="177"/>
    </row>
    <row r="502" spans="1:18" hidden="1" x14ac:dyDescent="0.25">
      <c r="A502" s="29" t="s">
        <v>4156</v>
      </c>
      <c r="B502" s="29" t="s">
        <v>4155</v>
      </c>
      <c r="C502" s="29" t="s">
        <v>1070</v>
      </c>
      <c r="D502" s="29" t="str">
        <f>VLOOKUP(C:C,'COUNT-CONT'!B:C,2,FALSE)</f>
        <v>Asia</v>
      </c>
      <c r="E502" s="29">
        <v>7</v>
      </c>
      <c r="F502" s="28">
        <v>2799</v>
      </c>
      <c r="G502" s="28">
        <v>4276597499</v>
      </c>
      <c r="H502" s="29">
        <v>29.05</v>
      </c>
      <c r="I502" s="142">
        <v>-50.39</v>
      </c>
      <c r="J502" s="29">
        <v>6.74</v>
      </c>
      <c r="K502" s="29">
        <v>4.3499999999999996</v>
      </c>
      <c r="L502" s="29">
        <v>19.89</v>
      </c>
      <c r="M502" s="368"/>
      <c r="N502" s="368"/>
      <c r="O502" s="271">
        <f>IFERROR(Table17[[#This Row],[PROFIT]]/Table17[[#This Row],[TO]],0)</f>
        <v>0</v>
      </c>
      <c r="P502" s="177"/>
      <c r="Q502" s="177"/>
      <c r="R502" s="177"/>
    </row>
    <row r="503" spans="1:18" hidden="1" x14ac:dyDescent="0.25">
      <c r="A503" s="29" t="s">
        <v>4750</v>
      </c>
      <c r="B503" s="29" t="s">
        <v>4749</v>
      </c>
      <c r="C503" s="29" t="s">
        <v>14</v>
      </c>
      <c r="D503" s="29" t="str">
        <f>VLOOKUP(C:C,'COUNT-CONT'!B:C,2,FALSE)</f>
        <v>Asia</v>
      </c>
      <c r="E503" s="29">
        <v>10</v>
      </c>
      <c r="F503" s="28">
        <v>3649</v>
      </c>
      <c r="G503" s="28">
        <v>4799052452</v>
      </c>
      <c r="H503" s="29">
        <v>29.05</v>
      </c>
      <c r="I503" s="142">
        <v>-50.39</v>
      </c>
      <c r="J503" s="29">
        <v>11.31</v>
      </c>
      <c r="K503" s="29">
        <v>9.34</v>
      </c>
      <c r="L503" s="29">
        <v>24.61</v>
      </c>
      <c r="M503" s="368"/>
      <c r="N503" s="368"/>
      <c r="O503" s="271">
        <f>IFERROR(Table17[[#This Row],[PROFIT]]/Table17[[#This Row],[TO]],0)</f>
        <v>0</v>
      </c>
      <c r="P503" s="177"/>
      <c r="Q503" s="177"/>
      <c r="R503" s="177"/>
    </row>
    <row r="504" spans="1:18" hidden="1" x14ac:dyDescent="0.25">
      <c r="A504" s="29" t="s">
        <v>4999</v>
      </c>
      <c r="B504" s="29" t="s">
        <v>4998</v>
      </c>
      <c r="C504" s="29" t="s">
        <v>508</v>
      </c>
      <c r="D504" s="29" t="str">
        <f>VLOOKUP(C:C,'COUNT-CONT'!B:C,2,FALSE)</f>
        <v>Europe</v>
      </c>
      <c r="E504" s="29">
        <v>7</v>
      </c>
      <c r="F504" s="28">
        <v>2801</v>
      </c>
      <c r="G504" s="28">
        <v>5179416886</v>
      </c>
      <c r="H504" s="29">
        <v>29.05</v>
      </c>
      <c r="I504" s="142">
        <v>-50.39</v>
      </c>
      <c r="J504" s="29">
        <v>13.69</v>
      </c>
      <c r="K504" s="29">
        <v>12.06</v>
      </c>
      <c r="L504" s="29">
        <v>27.42</v>
      </c>
      <c r="M504" s="368"/>
      <c r="N504" s="368"/>
      <c r="O504" s="271">
        <f>IFERROR(Table17[[#This Row],[PROFIT]]/Table17[[#This Row],[TO]],0)</f>
        <v>0</v>
      </c>
      <c r="P504" s="177"/>
      <c r="Q504" s="177"/>
      <c r="R504" s="177"/>
    </row>
    <row r="505" spans="1:18" hidden="1" x14ac:dyDescent="0.25">
      <c r="A505" s="29" t="s">
        <v>4663</v>
      </c>
      <c r="B505" s="29" t="s">
        <v>4662</v>
      </c>
      <c r="C505" s="29" t="s">
        <v>78</v>
      </c>
      <c r="D505" s="29" t="str">
        <f>VLOOKUP(C:C,'COUNT-CONT'!B:C,2,FALSE)</f>
        <v>Europe</v>
      </c>
      <c r="E505" s="29">
        <v>10</v>
      </c>
      <c r="F505" s="28">
        <v>3936</v>
      </c>
      <c r="G505" s="28">
        <v>4696671544</v>
      </c>
      <c r="H505" s="29">
        <v>29.02</v>
      </c>
      <c r="I505" s="142">
        <v>-50.42</v>
      </c>
      <c r="J505" s="29">
        <v>10.46</v>
      </c>
      <c r="K505" s="29">
        <v>8.56</v>
      </c>
      <c r="L505" s="29">
        <v>23.79</v>
      </c>
      <c r="M505" s="368"/>
      <c r="N505" s="368"/>
      <c r="O505" s="271">
        <f>IFERROR(Table17[[#This Row],[PROFIT]]/Table17[[#This Row],[TO]],0)</f>
        <v>0</v>
      </c>
      <c r="P505" s="177"/>
      <c r="Q505" s="177"/>
      <c r="R505" s="177"/>
    </row>
    <row r="506" spans="1:18" ht="30" hidden="1" x14ac:dyDescent="0.25">
      <c r="A506" s="29" t="s">
        <v>5516</v>
      </c>
      <c r="B506" s="29" t="s">
        <v>5515</v>
      </c>
      <c r="C506" s="29" t="s">
        <v>11732</v>
      </c>
      <c r="D506" s="29" t="str">
        <f>VLOOKUP(C:C,'COUNT-CONT'!B:C,2,FALSE)</f>
        <v>North America</v>
      </c>
      <c r="E506" s="29">
        <v>9</v>
      </c>
      <c r="F506" s="28">
        <v>4420</v>
      </c>
      <c r="G506" s="28">
        <v>6750068778</v>
      </c>
      <c r="H506" s="29">
        <v>29.02</v>
      </c>
      <c r="I506" s="142">
        <v>-50.42</v>
      </c>
      <c r="J506" s="29">
        <v>23.67</v>
      </c>
      <c r="K506" s="29">
        <v>23.67</v>
      </c>
      <c r="L506" s="29">
        <v>38.18</v>
      </c>
      <c r="M506" s="368"/>
      <c r="N506" s="368"/>
      <c r="O506" s="271">
        <f>IFERROR(Table17[[#This Row],[PROFIT]]/Table17[[#This Row],[TO]],0)</f>
        <v>0</v>
      </c>
      <c r="P506" s="177"/>
      <c r="Q506" s="177"/>
      <c r="R506" s="177"/>
    </row>
    <row r="507" spans="1:18" hidden="1" x14ac:dyDescent="0.25">
      <c r="A507" s="29" t="s">
        <v>4865</v>
      </c>
      <c r="B507" s="29" t="s">
        <v>4864</v>
      </c>
      <c r="C507" s="29" t="s">
        <v>605</v>
      </c>
      <c r="D507" s="29" t="str">
        <f>VLOOKUP(C:C,'COUNT-CONT'!B:C,2,FALSE)</f>
        <v>Europe</v>
      </c>
      <c r="E507" s="29">
        <v>10</v>
      </c>
      <c r="F507" s="28">
        <v>3698</v>
      </c>
      <c r="G507" s="28">
        <v>5095858085</v>
      </c>
      <c r="H507" s="29">
        <v>28.96</v>
      </c>
      <c r="I507" s="142">
        <v>-50.48</v>
      </c>
      <c r="J507" s="29">
        <v>12.39</v>
      </c>
      <c r="K507" s="29">
        <v>10.85</v>
      </c>
      <c r="L507" s="29">
        <v>25.85</v>
      </c>
      <c r="M507" s="368"/>
      <c r="N507" s="368"/>
      <c r="O507" s="271">
        <f>IFERROR(Table17[[#This Row],[PROFIT]]/Table17[[#This Row],[TO]],0)</f>
        <v>0</v>
      </c>
      <c r="P507" s="177"/>
      <c r="Q507" s="177"/>
      <c r="R507" s="177"/>
    </row>
    <row r="508" spans="1:18" ht="30" hidden="1" x14ac:dyDescent="0.25">
      <c r="A508" s="29" t="s">
        <v>4990</v>
      </c>
      <c r="B508" s="29" t="s">
        <v>4989</v>
      </c>
      <c r="C508" s="29" t="s">
        <v>4988</v>
      </c>
      <c r="D508" s="29" t="str">
        <f>VLOOKUP(C:C,'COUNT-CONT'!B:C,2,FALSE)</f>
        <v>North America</v>
      </c>
      <c r="E508" s="29">
        <v>10</v>
      </c>
      <c r="F508" s="28">
        <v>3893</v>
      </c>
      <c r="G508" s="28">
        <v>5169958438</v>
      </c>
      <c r="H508" s="29">
        <v>28.96</v>
      </c>
      <c r="I508" s="142">
        <v>-50.48</v>
      </c>
      <c r="J508" s="29">
        <v>14.21</v>
      </c>
      <c r="K508" s="29">
        <v>12</v>
      </c>
      <c r="L508" s="29">
        <v>27.33</v>
      </c>
      <c r="M508" s="368"/>
      <c r="N508" s="368"/>
      <c r="O508" s="271">
        <f>IFERROR(Table17[[#This Row],[PROFIT]]/Table17[[#This Row],[TO]],0)</f>
        <v>0</v>
      </c>
      <c r="P508" s="177"/>
      <c r="Q508" s="177"/>
      <c r="R508" s="177"/>
    </row>
    <row r="509" spans="1:18" hidden="1" x14ac:dyDescent="0.25">
      <c r="A509" s="29" t="s">
        <v>5236</v>
      </c>
      <c r="B509" s="29" t="s">
        <v>5235</v>
      </c>
      <c r="C509" s="29" t="s">
        <v>308</v>
      </c>
      <c r="D509" s="29" t="str">
        <f>VLOOKUP(C:C,'COUNT-CONT'!B:C,2,FALSE)</f>
        <v>Europe</v>
      </c>
      <c r="E509" s="29">
        <v>10</v>
      </c>
      <c r="F509" s="28">
        <v>3953</v>
      </c>
      <c r="G509" s="28">
        <v>5787669668</v>
      </c>
      <c r="H509" s="29">
        <v>28.93</v>
      </c>
      <c r="I509" s="142">
        <v>-50.51</v>
      </c>
      <c r="J509" s="29">
        <v>17.59</v>
      </c>
      <c r="K509" s="29">
        <v>16.96</v>
      </c>
      <c r="L509" s="29">
        <v>31.44</v>
      </c>
      <c r="M509" s="368"/>
      <c r="N509" s="368"/>
      <c r="O509" s="271">
        <f>IFERROR(Table17[[#This Row],[PROFIT]]/Table17[[#This Row],[TO]],0)</f>
        <v>0</v>
      </c>
      <c r="P509" s="177"/>
      <c r="Q509" s="177"/>
      <c r="R509" s="177"/>
    </row>
    <row r="510" spans="1:18" hidden="1" x14ac:dyDescent="0.25">
      <c r="A510" s="29" t="s">
        <v>4148</v>
      </c>
      <c r="B510" s="29" t="s">
        <v>4147</v>
      </c>
      <c r="C510" s="29" t="s">
        <v>1070</v>
      </c>
      <c r="D510" s="29" t="str">
        <f>VLOOKUP(C:C,'COUNT-CONT'!B:C,2,FALSE)</f>
        <v>Asia</v>
      </c>
      <c r="E510" s="29">
        <v>5</v>
      </c>
      <c r="F510" s="28">
        <v>2275</v>
      </c>
      <c r="G510" s="28">
        <v>4304516483</v>
      </c>
      <c r="H510" s="29">
        <v>28.93</v>
      </c>
      <c r="I510" s="142">
        <v>-50.51</v>
      </c>
      <c r="J510" s="29">
        <v>6.74</v>
      </c>
      <c r="K510" s="29">
        <v>4.3499999999999996</v>
      </c>
      <c r="L510" s="29">
        <v>19.829999999999998</v>
      </c>
      <c r="M510" s="368"/>
      <c r="N510" s="368"/>
      <c r="O510" s="271">
        <f>IFERROR(Table17[[#This Row],[PROFIT]]/Table17[[#This Row],[TO]],0)</f>
        <v>0</v>
      </c>
      <c r="P510" s="177"/>
      <c r="Q510" s="177"/>
      <c r="R510" s="177"/>
    </row>
    <row r="511" spans="1:18" x14ac:dyDescent="0.25">
      <c r="A511" s="29" t="s">
        <v>5200</v>
      </c>
      <c r="B511" s="29" t="s">
        <v>5199</v>
      </c>
      <c r="C511" s="29" t="s">
        <v>774</v>
      </c>
      <c r="D511" s="29" t="str">
        <f>VLOOKUP(C:C,'COUNT-CONT'!B:C,2,FALSE)</f>
        <v>Oceania</v>
      </c>
      <c r="E511" s="29">
        <v>10</v>
      </c>
      <c r="F511" s="28">
        <v>4234</v>
      </c>
      <c r="G511" s="28">
        <v>5669901606</v>
      </c>
      <c r="H511" s="29">
        <v>28.87</v>
      </c>
      <c r="I511" s="142">
        <v>-50.569999999999993</v>
      </c>
      <c r="J511" s="29">
        <v>17.2</v>
      </c>
      <c r="K511" s="29">
        <v>15.96</v>
      </c>
      <c r="L511" s="29">
        <v>30.71</v>
      </c>
      <c r="M511" s="368"/>
      <c r="N511" s="368"/>
      <c r="O511" s="271">
        <f>IFERROR(Table17[[#This Row],[PROFIT]]/Table17[[#This Row],[TO]],0)</f>
        <v>0</v>
      </c>
      <c r="P511" s="177"/>
      <c r="Q511" s="177"/>
      <c r="R511" s="177"/>
    </row>
    <row r="512" spans="1:18" ht="30" hidden="1" x14ac:dyDescent="0.25">
      <c r="A512" s="29" t="s">
        <v>4770</v>
      </c>
      <c r="B512" s="29" t="s">
        <v>4769</v>
      </c>
      <c r="C512" s="29" t="s">
        <v>860</v>
      </c>
      <c r="D512" s="29" t="str">
        <f>VLOOKUP(C:C,'COUNT-CONT'!B:C,2,FALSE)</f>
        <v>South America</v>
      </c>
      <c r="E512" s="29">
        <v>7</v>
      </c>
      <c r="F512" s="28">
        <v>2799</v>
      </c>
      <c r="G512" s="28">
        <v>4847397499</v>
      </c>
      <c r="H512" s="29">
        <v>28.87</v>
      </c>
      <c r="I512" s="142">
        <v>-50.569999999999993</v>
      </c>
      <c r="J512" s="29">
        <v>11.43</v>
      </c>
      <c r="K512" s="29">
        <v>9.43</v>
      </c>
      <c r="L512" s="29">
        <v>24.88</v>
      </c>
      <c r="M512" s="368"/>
      <c r="N512" s="368"/>
      <c r="O512" s="271">
        <f>IFERROR(Table17[[#This Row],[PROFIT]]/Table17[[#This Row],[TO]],0)</f>
        <v>0</v>
      </c>
      <c r="P512" s="177"/>
      <c r="Q512" s="177"/>
      <c r="R512" s="177"/>
    </row>
    <row r="513" spans="1:18" ht="30" hidden="1" x14ac:dyDescent="0.25">
      <c r="A513" s="29" t="s">
        <v>4900</v>
      </c>
      <c r="B513" s="29" t="s">
        <v>4899</v>
      </c>
      <c r="C513" s="29" t="s">
        <v>758</v>
      </c>
      <c r="D513" s="29" t="str">
        <f>VLOOKUP(C:C,'COUNT-CONT'!B:C,2,FALSE)</f>
        <v>Europe</v>
      </c>
      <c r="E513" s="29">
        <v>8</v>
      </c>
      <c r="F513" s="28">
        <v>3067</v>
      </c>
      <c r="G513" s="28">
        <v>5032056667</v>
      </c>
      <c r="H513" s="29">
        <v>28.87</v>
      </c>
      <c r="I513" s="142">
        <v>-50.569999999999993</v>
      </c>
      <c r="J513" s="29">
        <v>13.12</v>
      </c>
      <c r="K513" s="29">
        <v>11</v>
      </c>
      <c r="L513" s="29">
        <v>26.27</v>
      </c>
      <c r="M513" s="368"/>
      <c r="N513" s="368"/>
      <c r="O513" s="271">
        <f>IFERROR(Table17[[#This Row],[PROFIT]]/Table17[[#This Row],[TO]],0)</f>
        <v>0</v>
      </c>
      <c r="P513" s="177"/>
      <c r="Q513" s="177"/>
      <c r="R513" s="177"/>
    </row>
    <row r="514" spans="1:18" ht="30" hidden="1" x14ac:dyDescent="0.25">
      <c r="A514" s="29" t="s">
        <v>12</v>
      </c>
      <c r="B514" s="29" t="s">
        <v>5296</v>
      </c>
      <c r="C514" s="29" t="s">
        <v>514</v>
      </c>
      <c r="D514" s="29" t="str">
        <f>VLOOKUP(C:C,'COUNT-CONT'!B:C,2,FALSE)</f>
        <v>North America</v>
      </c>
      <c r="E514" s="29">
        <v>9</v>
      </c>
      <c r="F514" s="28">
        <v>3968</v>
      </c>
      <c r="G514" s="28">
        <v>5960617741</v>
      </c>
      <c r="H514" s="29">
        <v>28.87</v>
      </c>
      <c r="I514" s="142">
        <v>-50.569999999999993</v>
      </c>
      <c r="J514" s="29">
        <v>19.010000000000002</v>
      </c>
      <c r="K514" s="29">
        <v>18.350000000000001</v>
      </c>
      <c r="L514" s="29">
        <v>32.799999999999997</v>
      </c>
      <c r="M514" s="368"/>
      <c r="N514" s="368"/>
      <c r="O514" s="271">
        <f>IFERROR(Table17[[#This Row],[PROFIT]]/Table17[[#This Row],[TO]],0)</f>
        <v>0</v>
      </c>
      <c r="P514" s="177"/>
      <c r="Q514" s="177"/>
      <c r="R514" s="177"/>
    </row>
    <row r="515" spans="1:18" ht="30" hidden="1" x14ac:dyDescent="0.25">
      <c r="A515" s="29" t="s">
        <v>5505</v>
      </c>
      <c r="B515" s="29" t="s">
        <v>5504</v>
      </c>
      <c r="C515" s="29" t="s">
        <v>11732</v>
      </c>
      <c r="D515" s="29" t="str">
        <f>VLOOKUP(C:C,'COUNT-CONT'!B:C,2,FALSE)</f>
        <v>North America</v>
      </c>
      <c r="E515" s="29">
        <v>8</v>
      </c>
      <c r="F515" s="28">
        <v>4209</v>
      </c>
      <c r="G515" s="28">
        <v>6719544737</v>
      </c>
      <c r="H515" s="29">
        <v>28.84</v>
      </c>
      <c r="I515" s="142">
        <v>-50.599999999999994</v>
      </c>
      <c r="J515" s="29">
        <v>23.52</v>
      </c>
      <c r="K515" s="29">
        <v>23.52</v>
      </c>
      <c r="L515" s="29">
        <v>37.97</v>
      </c>
      <c r="M515" s="368"/>
      <c r="N515" s="368"/>
      <c r="O515" s="271">
        <f>IFERROR(Table17[[#This Row],[PROFIT]]/Table17[[#This Row],[TO]],0)</f>
        <v>0</v>
      </c>
      <c r="P515" s="177"/>
      <c r="Q515" s="177"/>
      <c r="R515" s="177"/>
    </row>
    <row r="516" spans="1:18" hidden="1" x14ac:dyDescent="0.25">
      <c r="A516" s="29" t="s">
        <v>4847</v>
      </c>
      <c r="B516" s="29" t="s">
        <v>4846</v>
      </c>
      <c r="C516" s="29" t="s">
        <v>605</v>
      </c>
      <c r="D516" s="29" t="str">
        <f>VLOOKUP(C:C,'COUNT-CONT'!B:C,2,FALSE)</f>
        <v>Europe</v>
      </c>
      <c r="E516" s="29">
        <v>8</v>
      </c>
      <c r="F516" s="28">
        <v>3209</v>
      </c>
      <c r="G516" s="28">
        <v>5083885914</v>
      </c>
      <c r="H516" s="29">
        <v>28.84</v>
      </c>
      <c r="I516" s="142">
        <v>-50.599999999999994</v>
      </c>
      <c r="J516" s="29">
        <v>12.36</v>
      </c>
      <c r="K516" s="29">
        <v>10.82</v>
      </c>
      <c r="L516" s="29">
        <v>25.76</v>
      </c>
      <c r="M516" s="368"/>
      <c r="N516" s="368"/>
      <c r="O516" s="271">
        <f>IFERROR(Table17[[#This Row],[PROFIT]]/Table17[[#This Row],[TO]],0)</f>
        <v>0</v>
      </c>
      <c r="P516" s="177"/>
      <c r="Q516" s="177"/>
      <c r="R516" s="177"/>
    </row>
    <row r="517" spans="1:18" hidden="1" x14ac:dyDescent="0.25">
      <c r="A517" s="29" t="s">
        <v>5076</v>
      </c>
      <c r="B517" s="29" t="s">
        <v>5075</v>
      </c>
      <c r="C517" s="29" t="s">
        <v>142</v>
      </c>
      <c r="D517" s="29" t="str">
        <f>VLOOKUP(C:C,'COUNT-CONT'!B:C,2,FALSE)</f>
        <v>Asia</v>
      </c>
      <c r="E517" s="29">
        <v>7</v>
      </c>
      <c r="F517" s="28">
        <v>3131</v>
      </c>
      <c r="G517" s="28">
        <v>5450525455</v>
      </c>
      <c r="H517" s="29">
        <v>28.81</v>
      </c>
      <c r="I517" s="142">
        <v>-50.629999999999995</v>
      </c>
      <c r="J517" s="29">
        <v>15.54</v>
      </c>
      <c r="K517" s="29">
        <v>13.81</v>
      </c>
      <c r="L517" s="29">
        <v>28.81</v>
      </c>
      <c r="M517" s="368"/>
      <c r="N517" s="368"/>
      <c r="O517" s="271">
        <f>IFERROR(Table17[[#This Row],[PROFIT]]/Table17[[#This Row],[TO]],0)</f>
        <v>0</v>
      </c>
      <c r="P517" s="177"/>
      <c r="Q517" s="177"/>
      <c r="R517" s="177"/>
    </row>
    <row r="518" spans="1:18" hidden="1" x14ac:dyDescent="0.25">
      <c r="A518" s="29" t="s">
        <v>397</v>
      </c>
      <c r="B518" s="29" t="s">
        <v>5349</v>
      </c>
      <c r="C518" s="29" t="s">
        <v>1674</v>
      </c>
      <c r="D518" s="29" t="str">
        <f>VLOOKUP(C:C,'COUNT-CONT'!B:C,2,FALSE)</f>
        <v>Europe</v>
      </c>
      <c r="E518" s="29">
        <v>10</v>
      </c>
      <c r="F518" s="28">
        <v>4822</v>
      </c>
      <c r="G518" s="28">
        <v>6178321111</v>
      </c>
      <c r="H518" s="29">
        <v>28.78</v>
      </c>
      <c r="I518" s="142">
        <v>-50.66</v>
      </c>
      <c r="J518" s="29">
        <v>20.56</v>
      </c>
      <c r="K518" s="29">
        <v>19.86</v>
      </c>
      <c r="L518" s="29">
        <v>34.28</v>
      </c>
      <c r="M518" s="368"/>
      <c r="N518" s="368"/>
      <c r="O518" s="271">
        <f>IFERROR(Table17[[#This Row],[PROFIT]]/Table17[[#This Row],[TO]],0)</f>
        <v>0</v>
      </c>
      <c r="P518" s="177"/>
      <c r="Q518" s="177"/>
      <c r="R518" s="177"/>
    </row>
    <row r="519" spans="1:18" ht="30" hidden="1" x14ac:dyDescent="0.25">
      <c r="A519" s="29" t="s">
        <v>5502</v>
      </c>
      <c r="B519" s="29" t="s">
        <v>5501</v>
      </c>
      <c r="C519" s="29" t="s">
        <v>11732</v>
      </c>
      <c r="D519" s="29" t="str">
        <f>VLOOKUP(C:C,'COUNT-CONT'!B:C,2,FALSE)</f>
        <v>North America</v>
      </c>
      <c r="E519" s="29">
        <v>7</v>
      </c>
      <c r="F519" s="28">
        <v>3683</v>
      </c>
      <c r="G519" s="28">
        <v>6710969562</v>
      </c>
      <c r="H519" s="29">
        <v>28.78</v>
      </c>
      <c r="I519" s="142">
        <v>-50.66</v>
      </c>
      <c r="J519" s="29">
        <v>23.49</v>
      </c>
      <c r="K519" s="29">
        <v>23.49</v>
      </c>
      <c r="L519" s="29">
        <v>37.880000000000003</v>
      </c>
      <c r="M519" s="368"/>
      <c r="N519" s="368"/>
      <c r="O519" s="271">
        <f>IFERROR(Table17[[#This Row],[PROFIT]]/Table17[[#This Row],[TO]],0)</f>
        <v>0</v>
      </c>
      <c r="P519" s="177"/>
      <c r="Q519" s="177"/>
      <c r="R519" s="177"/>
    </row>
    <row r="520" spans="1:18" hidden="1" x14ac:dyDescent="0.25">
      <c r="A520" s="29" t="s">
        <v>4488</v>
      </c>
      <c r="B520" s="29" t="s">
        <v>4487</v>
      </c>
      <c r="C520" s="29" t="s">
        <v>700</v>
      </c>
      <c r="D520" s="29" t="str">
        <f>VLOOKUP(C:C,'COUNT-CONT'!B:C,2,FALSE)</f>
        <v>Asia</v>
      </c>
      <c r="E520" s="29">
        <v>8</v>
      </c>
      <c r="F520" s="28">
        <v>3144</v>
      </c>
      <c r="G520" s="28">
        <v>4511072773</v>
      </c>
      <c r="H520" s="29">
        <v>28.78</v>
      </c>
      <c r="I520" s="142">
        <v>-50.66</v>
      </c>
      <c r="J520" s="29">
        <v>8.86</v>
      </c>
      <c r="K520" s="29">
        <v>6.62</v>
      </c>
      <c r="L520" s="29">
        <v>22.16</v>
      </c>
      <c r="M520" s="368"/>
      <c r="N520" s="368"/>
      <c r="O520" s="271">
        <f>IFERROR(Table17[[#This Row],[PROFIT]]/Table17[[#This Row],[TO]],0)</f>
        <v>0</v>
      </c>
      <c r="P520" s="177"/>
      <c r="Q520" s="177"/>
      <c r="R520" s="177"/>
    </row>
    <row r="521" spans="1:18" hidden="1" x14ac:dyDescent="0.25">
      <c r="A521" s="29" t="s">
        <v>4331</v>
      </c>
      <c r="B521" s="29" t="s">
        <v>4330</v>
      </c>
      <c r="C521" s="29" t="s">
        <v>1261</v>
      </c>
      <c r="D521" s="29" t="str">
        <f>VLOOKUP(C:C,'COUNT-CONT'!B:C,2,FALSE)</f>
        <v>Asia</v>
      </c>
      <c r="E521" s="29">
        <v>6</v>
      </c>
      <c r="F521" s="28">
        <v>2600</v>
      </c>
      <c r="G521" s="28">
        <v>4431476923</v>
      </c>
      <c r="H521" s="29">
        <v>28.75</v>
      </c>
      <c r="I521" s="142">
        <v>-50.69</v>
      </c>
      <c r="J521" s="29">
        <v>8.01</v>
      </c>
      <c r="K521" s="29">
        <v>5.89</v>
      </c>
      <c r="L521" s="29">
        <v>21.13</v>
      </c>
      <c r="M521" s="368"/>
      <c r="N521" s="368"/>
      <c r="O521" s="271">
        <f>IFERROR(Table17[[#This Row],[PROFIT]]/Table17[[#This Row],[TO]],0)</f>
        <v>0</v>
      </c>
      <c r="P521" s="177"/>
      <c r="Q521" s="177"/>
      <c r="R521" s="177"/>
    </row>
    <row r="522" spans="1:18" hidden="1" x14ac:dyDescent="0.25">
      <c r="A522" s="29" t="s">
        <v>5291</v>
      </c>
      <c r="B522" s="29" t="s">
        <v>5290</v>
      </c>
      <c r="C522" s="29" t="s">
        <v>119</v>
      </c>
      <c r="D522" s="29" t="str">
        <f>VLOOKUP(C:C,'COUNT-CONT'!B:C,2,FALSE)</f>
        <v>Europe</v>
      </c>
      <c r="E522" s="29">
        <v>7</v>
      </c>
      <c r="F522" s="28">
        <v>3203</v>
      </c>
      <c r="G522" s="28">
        <v>5950828036</v>
      </c>
      <c r="H522" s="29">
        <v>28.75</v>
      </c>
      <c r="I522" s="142">
        <v>-50.69</v>
      </c>
      <c r="J522" s="29">
        <v>18.95</v>
      </c>
      <c r="K522" s="29">
        <v>18.29</v>
      </c>
      <c r="L522" s="29">
        <v>32.68</v>
      </c>
      <c r="M522" s="368"/>
      <c r="N522" s="368"/>
      <c r="O522" s="271">
        <f>IFERROR(Table17[[#This Row],[PROFIT]]/Table17[[#This Row],[TO]],0)</f>
        <v>0</v>
      </c>
      <c r="P522" s="177"/>
      <c r="Q522" s="177"/>
      <c r="R522" s="177"/>
    </row>
    <row r="523" spans="1:18" hidden="1" x14ac:dyDescent="0.25">
      <c r="A523" s="29" t="s">
        <v>4721</v>
      </c>
      <c r="B523" s="29" t="s">
        <v>4720</v>
      </c>
      <c r="C523" s="29" t="s">
        <v>14</v>
      </c>
      <c r="D523" s="29" t="str">
        <f>VLOOKUP(C:C,'COUNT-CONT'!B:C,2,FALSE)</f>
        <v>Asia</v>
      </c>
      <c r="E523" s="29">
        <v>6</v>
      </c>
      <c r="F523" s="28">
        <v>2676</v>
      </c>
      <c r="G523" s="28">
        <v>4785061285</v>
      </c>
      <c r="H523" s="29">
        <v>28.75</v>
      </c>
      <c r="I523" s="142">
        <v>-50.69</v>
      </c>
      <c r="J523" s="29">
        <v>11.19</v>
      </c>
      <c r="K523" s="29">
        <v>9.25</v>
      </c>
      <c r="L523" s="29">
        <v>24.37</v>
      </c>
      <c r="M523" s="368"/>
      <c r="N523" s="368"/>
      <c r="O523" s="271">
        <f>IFERROR(Table17[[#This Row],[PROFIT]]/Table17[[#This Row],[TO]],0)</f>
        <v>0</v>
      </c>
      <c r="P523" s="177"/>
      <c r="Q523" s="177"/>
      <c r="R523" s="177"/>
    </row>
    <row r="524" spans="1:18" ht="30" hidden="1" x14ac:dyDescent="0.25">
      <c r="A524" s="29" t="s">
        <v>5231</v>
      </c>
      <c r="B524" s="29" t="s">
        <v>5230</v>
      </c>
      <c r="C524" s="29" t="s">
        <v>308</v>
      </c>
      <c r="D524" s="29" t="str">
        <f>VLOOKUP(C:C,'COUNT-CONT'!B:C,2,FALSE)</f>
        <v>Europe</v>
      </c>
      <c r="E524" s="29">
        <v>8</v>
      </c>
      <c r="F524" s="28">
        <v>3342</v>
      </c>
      <c r="G524" s="28">
        <v>5753844225</v>
      </c>
      <c r="H524" s="29">
        <v>28.69</v>
      </c>
      <c r="I524" s="142">
        <v>-50.75</v>
      </c>
      <c r="J524" s="29">
        <v>17.440000000000001</v>
      </c>
      <c r="K524" s="29">
        <v>16.84</v>
      </c>
      <c r="L524" s="29">
        <v>31.2</v>
      </c>
      <c r="M524" s="368"/>
      <c r="N524" s="368"/>
      <c r="O524" s="271">
        <f>IFERROR(Table17[[#This Row],[PROFIT]]/Table17[[#This Row],[TO]],0)</f>
        <v>0</v>
      </c>
      <c r="P524" s="177"/>
      <c r="Q524" s="177"/>
      <c r="R524" s="177"/>
    </row>
    <row r="525" spans="1:18" ht="30" hidden="1" x14ac:dyDescent="0.25">
      <c r="A525" s="29" t="s">
        <v>5499</v>
      </c>
      <c r="B525" s="29" t="s">
        <v>5498</v>
      </c>
      <c r="C525" s="29" t="s">
        <v>11732</v>
      </c>
      <c r="D525" s="29" t="str">
        <f>VLOOKUP(C:C,'COUNT-CONT'!B:C,2,FALSE)</f>
        <v>North America</v>
      </c>
      <c r="E525" s="29">
        <v>10</v>
      </c>
      <c r="F525" s="28">
        <v>4830</v>
      </c>
      <c r="G525" s="28">
        <v>6701543271</v>
      </c>
      <c r="H525" s="29">
        <v>28.66</v>
      </c>
      <c r="I525" s="142">
        <v>-50.78</v>
      </c>
      <c r="J525" s="29">
        <v>23.4</v>
      </c>
      <c r="K525" s="29">
        <v>23.4</v>
      </c>
      <c r="L525" s="29">
        <v>37.729999999999997</v>
      </c>
      <c r="M525" s="368"/>
      <c r="N525" s="368"/>
      <c r="O525" s="271">
        <f>IFERROR(Table17[[#This Row],[PROFIT]]/Table17[[#This Row],[TO]],0)</f>
        <v>0</v>
      </c>
      <c r="P525" s="177"/>
      <c r="Q525" s="177"/>
      <c r="R525" s="177"/>
    </row>
    <row r="526" spans="1:18" ht="30" hidden="1" x14ac:dyDescent="0.25">
      <c r="A526" s="29" t="s">
        <v>351</v>
      </c>
      <c r="B526" s="29" t="s">
        <v>4119</v>
      </c>
      <c r="C526" s="29" t="s">
        <v>717</v>
      </c>
      <c r="D526" s="29" t="str">
        <f>VLOOKUP(C:C,'COUNT-CONT'!B:C,2,FALSE)</f>
        <v>Asia</v>
      </c>
      <c r="E526" s="29">
        <v>9</v>
      </c>
      <c r="F526" s="28">
        <v>3295</v>
      </c>
      <c r="G526" s="28">
        <v>4375639150</v>
      </c>
      <c r="H526" s="29">
        <v>28.63</v>
      </c>
      <c r="I526" s="142">
        <v>-50.81</v>
      </c>
      <c r="J526" s="29">
        <v>6.65</v>
      </c>
      <c r="K526" s="29">
        <v>4.29</v>
      </c>
      <c r="L526" s="29">
        <v>19.62</v>
      </c>
      <c r="M526" s="368"/>
      <c r="N526" s="368"/>
      <c r="O526" s="271">
        <f>IFERROR(Table17[[#This Row],[PROFIT]]/Table17[[#This Row],[TO]],0)</f>
        <v>0</v>
      </c>
      <c r="P526" s="177"/>
      <c r="Q526" s="177"/>
      <c r="R526" s="177"/>
    </row>
    <row r="527" spans="1:18" hidden="1" x14ac:dyDescent="0.25">
      <c r="A527" s="29" t="s">
        <v>221</v>
      </c>
      <c r="B527" s="29" t="s">
        <v>4634</v>
      </c>
      <c r="C527" s="29" t="s">
        <v>78</v>
      </c>
      <c r="D527" s="29" t="str">
        <f>VLOOKUP(C:C,'COUNT-CONT'!B:C,2,FALSE)</f>
        <v>Europe</v>
      </c>
      <c r="E527" s="29">
        <v>10</v>
      </c>
      <c r="F527" s="28">
        <v>4244</v>
      </c>
      <c r="G527" s="28">
        <v>4667989443</v>
      </c>
      <c r="H527" s="29">
        <v>28.63</v>
      </c>
      <c r="I527" s="142">
        <v>-50.81</v>
      </c>
      <c r="J527" s="29">
        <v>10.31</v>
      </c>
      <c r="K527" s="29">
        <v>8.43</v>
      </c>
      <c r="L527" s="29">
        <v>23.49</v>
      </c>
      <c r="M527" s="368"/>
      <c r="N527" s="368"/>
      <c r="O527" s="271">
        <f>IFERROR(Table17[[#This Row],[PROFIT]]/Table17[[#This Row],[TO]],0)</f>
        <v>0</v>
      </c>
      <c r="P527" s="177"/>
      <c r="Q527" s="177"/>
      <c r="R527" s="177"/>
    </row>
    <row r="528" spans="1:18" hidden="1" x14ac:dyDescent="0.25">
      <c r="A528" s="29" t="s">
        <v>4108</v>
      </c>
      <c r="B528" s="29" t="s">
        <v>4107</v>
      </c>
      <c r="C528" s="29" t="s">
        <v>1070</v>
      </c>
      <c r="D528" s="29" t="str">
        <f>VLOOKUP(C:C,'COUNT-CONT'!B:C,2,FALSE)</f>
        <v>Asia</v>
      </c>
      <c r="E528" s="29">
        <v>4</v>
      </c>
      <c r="F528" s="28">
        <v>2006</v>
      </c>
      <c r="G528" s="28">
        <v>4314054935</v>
      </c>
      <c r="H528" s="29">
        <v>28.63</v>
      </c>
      <c r="I528" s="142">
        <v>-50.81</v>
      </c>
      <c r="J528" s="29">
        <v>6.65</v>
      </c>
      <c r="K528" s="29">
        <v>4.29</v>
      </c>
      <c r="L528" s="29">
        <v>19.62</v>
      </c>
      <c r="M528" s="368"/>
      <c r="N528" s="368"/>
      <c r="O528" s="271">
        <f>IFERROR(Table17[[#This Row],[PROFIT]]/Table17[[#This Row],[TO]],0)</f>
        <v>0</v>
      </c>
      <c r="P528" s="177"/>
      <c r="Q528" s="177"/>
      <c r="R528" s="177"/>
    </row>
    <row r="529" spans="1:18" hidden="1" x14ac:dyDescent="0.25">
      <c r="A529" s="29" t="s">
        <v>5227</v>
      </c>
      <c r="B529" s="29" t="s">
        <v>5226</v>
      </c>
      <c r="C529" s="29" t="s">
        <v>308</v>
      </c>
      <c r="D529" s="29" t="str">
        <f>VLOOKUP(C:C,'COUNT-CONT'!B:C,2,FALSE)</f>
        <v>Europe</v>
      </c>
      <c r="E529" s="29">
        <v>6</v>
      </c>
      <c r="F529" s="28">
        <v>2901</v>
      </c>
      <c r="G529" s="28">
        <v>5754579593</v>
      </c>
      <c r="H529" s="29">
        <v>28.6</v>
      </c>
      <c r="I529" s="142">
        <v>-50.839999999999996</v>
      </c>
      <c r="J529" s="29">
        <v>17.38</v>
      </c>
      <c r="K529" s="29">
        <v>16.78</v>
      </c>
      <c r="L529" s="29">
        <v>31.08</v>
      </c>
      <c r="M529" s="368"/>
      <c r="N529" s="368"/>
      <c r="O529" s="271">
        <f>IFERROR(Table17[[#This Row],[PROFIT]]/Table17[[#This Row],[TO]],0)</f>
        <v>0</v>
      </c>
      <c r="P529" s="177"/>
      <c r="Q529" s="177"/>
      <c r="R529" s="177"/>
    </row>
    <row r="530" spans="1:18" ht="45" hidden="1" x14ac:dyDescent="0.25">
      <c r="A530" s="29" t="s">
        <v>4752</v>
      </c>
      <c r="B530" s="29" t="s">
        <v>4751</v>
      </c>
      <c r="C530" s="29" t="s">
        <v>545</v>
      </c>
      <c r="D530" s="29" t="str">
        <f>VLOOKUP(C:C,'COUNT-CONT'!B:C,2,FALSE)</f>
        <v>South America</v>
      </c>
      <c r="E530" s="29">
        <v>9</v>
      </c>
      <c r="F530" s="28">
        <v>3698</v>
      </c>
      <c r="G530" s="28">
        <v>4783058085</v>
      </c>
      <c r="H530" s="29">
        <v>28.6</v>
      </c>
      <c r="I530" s="142">
        <v>-50.839999999999996</v>
      </c>
      <c r="J530" s="29">
        <v>11.34</v>
      </c>
      <c r="K530" s="29">
        <v>9.85</v>
      </c>
      <c r="L530" s="29">
        <v>24.67</v>
      </c>
      <c r="M530" s="368"/>
      <c r="N530" s="368"/>
      <c r="O530" s="271">
        <f>IFERROR(Table17[[#This Row],[PROFIT]]/Table17[[#This Row],[TO]],0)</f>
        <v>0</v>
      </c>
      <c r="P530" s="177"/>
      <c r="Q530" s="177"/>
      <c r="R530" s="177"/>
    </row>
    <row r="531" spans="1:18" hidden="1" x14ac:dyDescent="0.25">
      <c r="A531" s="29" t="s">
        <v>3691</v>
      </c>
      <c r="B531" s="29" t="s">
        <v>3690</v>
      </c>
      <c r="C531" s="29" t="s">
        <v>3689</v>
      </c>
      <c r="D531" s="29" t="str">
        <f>VLOOKUP(C:C,'COUNT-CONT'!B:C,2,FALSE)</f>
        <v>Africa</v>
      </c>
      <c r="E531" s="29">
        <v>6</v>
      </c>
      <c r="F531" s="28">
        <v>2491</v>
      </c>
      <c r="G531" s="28">
        <v>4107789723</v>
      </c>
      <c r="H531" s="29">
        <v>28.57</v>
      </c>
      <c r="I531" s="142">
        <v>-50.87</v>
      </c>
      <c r="J531" s="29">
        <v>4.08</v>
      </c>
      <c r="K531" s="29">
        <v>1.69</v>
      </c>
      <c r="L531" s="29">
        <v>17.02</v>
      </c>
      <c r="M531" s="368"/>
      <c r="N531" s="368"/>
      <c r="O531" s="271">
        <f>IFERROR(Table17[[#This Row],[PROFIT]]/Table17[[#This Row],[TO]],0)</f>
        <v>0</v>
      </c>
      <c r="P531" s="177"/>
      <c r="Q531" s="177"/>
      <c r="R531" s="177"/>
    </row>
    <row r="532" spans="1:18" ht="30" hidden="1" x14ac:dyDescent="0.25">
      <c r="A532" s="29" t="s">
        <v>5493</v>
      </c>
      <c r="B532" s="29" t="s">
        <v>5492</v>
      </c>
      <c r="C532" s="29" t="s">
        <v>11732</v>
      </c>
      <c r="D532" s="29" t="str">
        <f>VLOOKUP(C:C,'COUNT-CONT'!B:C,2,FALSE)</f>
        <v>North America</v>
      </c>
      <c r="E532" s="29">
        <v>7</v>
      </c>
      <c r="F532" s="28">
        <v>3873</v>
      </c>
      <c r="G532" s="28">
        <v>6672217557</v>
      </c>
      <c r="H532" s="29">
        <v>28.57</v>
      </c>
      <c r="I532" s="142">
        <v>-50.87</v>
      </c>
      <c r="J532" s="29">
        <v>23.31</v>
      </c>
      <c r="K532" s="29">
        <v>23.31</v>
      </c>
      <c r="L532" s="29">
        <v>37.61</v>
      </c>
      <c r="M532" s="368"/>
      <c r="N532" s="368"/>
      <c r="O532" s="271">
        <f>IFERROR(Table17[[#This Row],[PROFIT]]/Table17[[#This Row],[TO]],0)</f>
        <v>0</v>
      </c>
      <c r="P532" s="177"/>
      <c r="Q532" s="177"/>
      <c r="R532" s="177"/>
    </row>
    <row r="533" spans="1:18" hidden="1" x14ac:dyDescent="0.25">
      <c r="A533" s="29" t="s">
        <v>5182</v>
      </c>
      <c r="B533" s="29" t="s">
        <v>5181</v>
      </c>
      <c r="C533" s="29" t="s">
        <v>597</v>
      </c>
      <c r="D533" s="29" t="str">
        <f>VLOOKUP(C:C,'COUNT-CONT'!B:C,2,FALSE)</f>
        <v>Europe</v>
      </c>
      <c r="E533" s="29">
        <v>6</v>
      </c>
      <c r="F533" s="28">
        <v>2825</v>
      </c>
      <c r="G533" s="28">
        <v>5652380530</v>
      </c>
      <c r="H533" s="29">
        <v>28.57</v>
      </c>
      <c r="I533" s="142">
        <v>-50.87</v>
      </c>
      <c r="J533" s="29">
        <v>17.02</v>
      </c>
      <c r="K533" s="29">
        <v>15.78</v>
      </c>
      <c r="L533" s="29">
        <v>30.38</v>
      </c>
      <c r="M533" s="368"/>
      <c r="N533" s="368"/>
      <c r="O533" s="271">
        <f>IFERROR(Table17[[#This Row],[PROFIT]]/Table17[[#This Row],[TO]],0)</f>
        <v>0</v>
      </c>
      <c r="P533" s="177"/>
      <c r="Q533" s="177"/>
      <c r="R533" s="177"/>
    </row>
    <row r="534" spans="1:18" hidden="1" x14ac:dyDescent="0.25">
      <c r="A534" s="29" t="s">
        <v>5495</v>
      </c>
      <c r="B534" s="29" t="s">
        <v>5494</v>
      </c>
      <c r="C534" s="29" t="s">
        <v>560</v>
      </c>
      <c r="D534" s="29" t="str">
        <f>VLOOKUP(C:C,'COUNT-CONT'!B:C,2,FALSE)</f>
        <v>Europe</v>
      </c>
      <c r="E534" s="29">
        <v>10</v>
      </c>
      <c r="F534" s="28">
        <v>4963</v>
      </c>
      <c r="G534" s="28">
        <v>6688040137</v>
      </c>
      <c r="H534" s="29">
        <v>28.57</v>
      </c>
      <c r="I534" s="142">
        <v>-50.87</v>
      </c>
      <c r="J534" s="29">
        <v>23.31</v>
      </c>
      <c r="K534" s="29">
        <v>23.31</v>
      </c>
      <c r="L534" s="29">
        <v>37.61</v>
      </c>
      <c r="M534" s="368"/>
      <c r="N534" s="368"/>
      <c r="O534" s="271">
        <f>IFERROR(Table17[[#This Row],[PROFIT]]/Table17[[#This Row],[TO]],0)</f>
        <v>0</v>
      </c>
      <c r="P534" s="177"/>
      <c r="Q534" s="177"/>
      <c r="R534" s="177"/>
    </row>
    <row r="535" spans="1:18" ht="30" hidden="1" x14ac:dyDescent="0.25">
      <c r="A535" s="29" t="s">
        <v>5491</v>
      </c>
      <c r="B535" s="29" t="s">
        <v>5490</v>
      </c>
      <c r="C535" s="29" t="s">
        <v>11732</v>
      </c>
      <c r="D535" s="29" t="str">
        <f>VLOOKUP(C:C,'COUNT-CONT'!B:C,2,FALSE)</f>
        <v>North America</v>
      </c>
      <c r="E535" s="29">
        <v>10</v>
      </c>
      <c r="F535" s="28">
        <v>5149</v>
      </c>
      <c r="G535" s="28">
        <v>6691033715</v>
      </c>
      <c r="H535" s="29">
        <v>28.57</v>
      </c>
      <c r="I535" s="142">
        <v>-50.87</v>
      </c>
      <c r="J535" s="29">
        <v>23.28</v>
      </c>
      <c r="K535" s="29">
        <v>23.28</v>
      </c>
      <c r="L535" s="29">
        <v>37.58</v>
      </c>
      <c r="M535" s="368"/>
      <c r="N535" s="368"/>
      <c r="O535" s="271">
        <f>IFERROR(Table17[[#This Row],[PROFIT]]/Table17[[#This Row],[TO]],0)</f>
        <v>0</v>
      </c>
      <c r="P535" s="177"/>
      <c r="Q535" s="177"/>
      <c r="R535" s="177"/>
    </row>
    <row r="536" spans="1:18" hidden="1" x14ac:dyDescent="0.25">
      <c r="A536" s="29" t="s">
        <v>5277</v>
      </c>
      <c r="B536" s="29" t="s">
        <v>5276</v>
      </c>
      <c r="C536" s="29" t="s">
        <v>119</v>
      </c>
      <c r="D536" s="29" t="str">
        <f>VLOOKUP(C:C,'COUNT-CONT'!B:C,2,FALSE)</f>
        <v>Europe</v>
      </c>
      <c r="E536" s="29">
        <v>10</v>
      </c>
      <c r="F536" s="28">
        <v>4193</v>
      </c>
      <c r="G536" s="28">
        <v>5919341998</v>
      </c>
      <c r="H536" s="29">
        <v>28.57</v>
      </c>
      <c r="I536" s="142">
        <v>-50.87</v>
      </c>
      <c r="J536" s="29">
        <v>18.8</v>
      </c>
      <c r="K536" s="29">
        <v>18.170000000000002</v>
      </c>
      <c r="L536" s="29">
        <v>32.47</v>
      </c>
      <c r="M536" s="368"/>
      <c r="N536" s="368"/>
      <c r="O536" s="271">
        <f>IFERROR(Table17[[#This Row],[PROFIT]]/Table17[[#This Row],[TO]],0)</f>
        <v>0</v>
      </c>
      <c r="P536" s="177"/>
      <c r="Q536" s="177"/>
      <c r="R536" s="177"/>
    </row>
    <row r="537" spans="1:18" ht="30" hidden="1" x14ac:dyDescent="0.25">
      <c r="A537" s="29" t="s">
        <v>4464</v>
      </c>
      <c r="B537" s="29" t="s">
        <v>4463</v>
      </c>
      <c r="C537" s="29" t="s">
        <v>1144</v>
      </c>
      <c r="D537" s="29" t="str">
        <f>VLOOKUP(C:C,'COUNT-CONT'!B:C,2,FALSE)</f>
        <v>South America</v>
      </c>
      <c r="E537" s="29">
        <v>10</v>
      </c>
      <c r="F537" s="28">
        <v>3663</v>
      </c>
      <c r="G537" s="28">
        <v>4459100300</v>
      </c>
      <c r="H537" s="29">
        <v>28.57</v>
      </c>
      <c r="I537" s="142">
        <v>-50.87</v>
      </c>
      <c r="J537" s="29">
        <v>9.2200000000000006</v>
      </c>
      <c r="K537" s="29">
        <v>6.59</v>
      </c>
      <c r="L537" s="29">
        <v>21.98</v>
      </c>
      <c r="M537" s="368"/>
      <c r="N537" s="368"/>
      <c r="O537" s="271">
        <f>IFERROR(Table17[[#This Row],[PROFIT]]/Table17[[#This Row],[TO]],0)</f>
        <v>0</v>
      </c>
      <c r="P537" s="177"/>
      <c r="Q537" s="177"/>
      <c r="R537" s="177"/>
    </row>
    <row r="538" spans="1:18" hidden="1" x14ac:dyDescent="0.25">
      <c r="A538" s="29" t="s">
        <v>5053</v>
      </c>
      <c r="B538" s="29" t="s">
        <v>5052</v>
      </c>
      <c r="C538" s="29" t="s">
        <v>142</v>
      </c>
      <c r="D538" s="29" t="str">
        <f>VLOOKUP(C:C,'COUNT-CONT'!B:C,2,FALSE)</f>
        <v>Asia</v>
      </c>
      <c r="E538" s="29">
        <v>6</v>
      </c>
      <c r="F538" s="28">
        <v>2833</v>
      </c>
      <c r="G538" s="28">
        <v>5425680974</v>
      </c>
      <c r="H538" s="29">
        <v>28.54</v>
      </c>
      <c r="I538" s="142">
        <v>-50.9</v>
      </c>
      <c r="J538" s="29">
        <v>15.39</v>
      </c>
      <c r="K538" s="29">
        <v>13.69</v>
      </c>
      <c r="L538" s="29">
        <v>28.54</v>
      </c>
      <c r="M538" s="368"/>
      <c r="N538" s="368"/>
      <c r="O538" s="271">
        <f>IFERROR(Table17[[#This Row],[PROFIT]]/Table17[[#This Row],[TO]],0)</f>
        <v>0</v>
      </c>
      <c r="P538" s="177"/>
      <c r="Q538" s="177"/>
      <c r="R538" s="177"/>
    </row>
    <row r="539" spans="1:18" ht="30" hidden="1" x14ac:dyDescent="0.25">
      <c r="A539" s="29" t="s">
        <v>4456</v>
      </c>
      <c r="B539" s="29" t="s">
        <v>4455</v>
      </c>
      <c r="C539" s="29" t="s">
        <v>1144</v>
      </c>
      <c r="D539" s="29" t="str">
        <f>VLOOKUP(C:C,'COUNT-CONT'!B:C,2,FALSE)</f>
        <v>South America</v>
      </c>
      <c r="E539" s="29">
        <v>10</v>
      </c>
      <c r="F539" s="28">
        <v>4186</v>
      </c>
      <c r="G539" s="28">
        <v>4468380697</v>
      </c>
      <c r="H539" s="29">
        <v>28.54</v>
      </c>
      <c r="I539" s="142">
        <v>-50.9</v>
      </c>
      <c r="J539" s="29">
        <v>9.2200000000000006</v>
      </c>
      <c r="K539" s="29">
        <v>6.56</v>
      </c>
      <c r="L539" s="29">
        <v>21.95</v>
      </c>
      <c r="M539" s="368"/>
      <c r="N539" s="368"/>
      <c r="O539" s="271">
        <f>IFERROR(Table17[[#This Row],[PROFIT]]/Table17[[#This Row],[TO]],0)</f>
        <v>0</v>
      </c>
      <c r="P539" s="177"/>
      <c r="Q539" s="177"/>
      <c r="R539" s="177"/>
    </row>
    <row r="540" spans="1:18" hidden="1" x14ac:dyDescent="0.25">
      <c r="A540" s="29" t="s">
        <v>4572</v>
      </c>
      <c r="B540" s="29" t="s">
        <v>4571</v>
      </c>
      <c r="C540" s="29" t="s">
        <v>1959</v>
      </c>
      <c r="D540" s="29" t="str">
        <f>VLOOKUP(C:C,'COUNT-CONT'!B:C,2,FALSE)</f>
        <v>Europe</v>
      </c>
      <c r="E540" s="29">
        <v>10</v>
      </c>
      <c r="F540" s="28">
        <v>3845</v>
      </c>
      <c r="G540" s="28">
        <v>4611585825</v>
      </c>
      <c r="H540" s="29">
        <v>28.54</v>
      </c>
      <c r="I540" s="142">
        <v>-50.9</v>
      </c>
      <c r="J540" s="29">
        <v>10.130000000000001</v>
      </c>
      <c r="K540" s="29">
        <v>7.8</v>
      </c>
      <c r="L540" s="29">
        <v>23</v>
      </c>
      <c r="M540" s="368"/>
      <c r="N540" s="368"/>
      <c r="O540" s="271">
        <f>IFERROR(Table17[[#This Row],[PROFIT]]/Table17[[#This Row],[TO]],0)</f>
        <v>0</v>
      </c>
      <c r="P540" s="177"/>
      <c r="Q540" s="177"/>
      <c r="R540" s="177"/>
    </row>
    <row r="541" spans="1:18" hidden="1" x14ac:dyDescent="0.25">
      <c r="A541" s="29" t="s">
        <v>4447</v>
      </c>
      <c r="B541" s="29" t="s">
        <v>4446</v>
      </c>
      <c r="C541" s="29" t="s">
        <v>700</v>
      </c>
      <c r="D541" s="29" t="str">
        <f>VLOOKUP(C:C,'COUNT-CONT'!B:C,2,FALSE)</f>
        <v>Asia</v>
      </c>
      <c r="E541" s="29">
        <v>8</v>
      </c>
      <c r="F541" s="28">
        <v>3139</v>
      </c>
      <c r="G541" s="28">
        <v>4482830073</v>
      </c>
      <c r="H541" s="29">
        <v>28.51</v>
      </c>
      <c r="I541" s="142">
        <v>-50.929999999999993</v>
      </c>
      <c r="J541" s="29">
        <v>8.77</v>
      </c>
      <c r="K541" s="29">
        <v>6.56</v>
      </c>
      <c r="L541" s="29">
        <v>21.92</v>
      </c>
      <c r="M541" s="368"/>
      <c r="N541" s="368"/>
      <c r="O541" s="271">
        <f>IFERROR(Table17[[#This Row],[PROFIT]]/Table17[[#This Row],[TO]],0)</f>
        <v>0</v>
      </c>
      <c r="P541" s="177"/>
      <c r="Q541" s="177"/>
      <c r="R541" s="177"/>
    </row>
    <row r="542" spans="1:18" hidden="1" x14ac:dyDescent="0.25">
      <c r="A542" s="29" t="s">
        <v>236</v>
      </c>
      <c r="B542" s="29" t="s">
        <v>4747</v>
      </c>
      <c r="C542" s="29" t="s">
        <v>709</v>
      </c>
      <c r="D542" s="29" t="str">
        <f>VLOOKUP(C:C,'COUNT-CONT'!B:C,2,FALSE)</f>
        <v>Asia</v>
      </c>
      <c r="E542" s="29">
        <v>10</v>
      </c>
      <c r="F542" s="28">
        <v>3598</v>
      </c>
      <c r="G542" s="28">
        <v>4795525403</v>
      </c>
      <c r="H542" s="29">
        <v>28.51</v>
      </c>
      <c r="I542" s="142">
        <v>-50.929999999999993</v>
      </c>
      <c r="J542" s="29">
        <v>11.31</v>
      </c>
      <c r="K542" s="29">
        <v>9.34</v>
      </c>
      <c r="L542" s="29">
        <v>24.58</v>
      </c>
      <c r="M542" s="368"/>
      <c r="N542" s="368"/>
      <c r="O542" s="271">
        <f>IFERROR(Table17[[#This Row],[PROFIT]]/Table17[[#This Row],[TO]],0)</f>
        <v>0</v>
      </c>
      <c r="P542" s="177"/>
      <c r="Q542" s="177"/>
      <c r="R542" s="177"/>
    </row>
    <row r="543" spans="1:18" ht="30" hidden="1" x14ac:dyDescent="0.25">
      <c r="A543" s="29" t="s">
        <v>3678</v>
      </c>
      <c r="B543" s="29" t="s">
        <v>3677</v>
      </c>
      <c r="C543" s="29" t="s">
        <v>490</v>
      </c>
      <c r="D543" s="29" t="str">
        <f>VLOOKUP(C:C,'COUNT-CONT'!B:C,2,FALSE)</f>
        <v>Africa</v>
      </c>
      <c r="E543" s="29">
        <v>8</v>
      </c>
      <c r="F543" s="28">
        <v>3050</v>
      </c>
      <c r="G543" s="28">
        <v>4075455737</v>
      </c>
      <c r="H543" s="29">
        <v>28.48</v>
      </c>
      <c r="I543" s="142">
        <v>-50.959999999999994</v>
      </c>
      <c r="J543" s="29">
        <v>4.05</v>
      </c>
      <c r="K543" s="29">
        <v>1.69</v>
      </c>
      <c r="L543" s="29">
        <v>16.96</v>
      </c>
      <c r="M543" s="368"/>
      <c r="N543" s="368"/>
      <c r="O543" s="271">
        <f>IFERROR(Table17[[#This Row],[PROFIT]]/Table17[[#This Row],[TO]],0)</f>
        <v>0</v>
      </c>
      <c r="P543" s="177"/>
      <c r="Q543" s="177"/>
      <c r="R543" s="177"/>
    </row>
    <row r="544" spans="1:18" ht="30" hidden="1" x14ac:dyDescent="0.25">
      <c r="A544" s="29" t="s">
        <v>4697</v>
      </c>
      <c r="B544" s="29" t="s">
        <v>4696</v>
      </c>
      <c r="C544" s="29" t="s">
        <v>517</v>
      </c>
      <c r="D544" s="29" t="str">
        <f>VLOOKUP(C:C,'COUNT-CONT'!B:C,2,FALSE)</f>
        <v>South America</v>
      </c>
      <c r="E544" s="29">
        <v>7</v>
      </c>
      <c r="F544" s="28">
        <v>2721</v>
      </c>
      <c r="G544" s="28">
        <v>4749863138</v>
      </c>
      <c r="H544" s="29">
        <v>28.39</v>
      </c>
      <c r="I544" s="142">
        <v>-51.05</v>
      </c>
      <c r="J544" s="29">
        <v>11.06</v>
      </c>
      <c r="K544" s="29">
        <v>9.1300000000000008</v>
      </c>
      <c r="L544" s="29">
        <v>24.06</v>
      </c>
      <c r="M544" s="368"/>
      <c r="N544" s="368"/>
      <c r="O544" s="271">
        <f>IFERROR(Table17[[#This Row],[PROFIT]]/Table17[[#This Row],[TO]],0)</f>
        <v>0</v>
      </c>
      <c r="P544" s="177"/>
      <c r="Q544" s="177"/>
      <c r="R544" s="177"/>
    </row>
    <row r="545" spans="1:18" ht="30" hidden="1" x14ac:dyDescent="0.25">
      <c r="A545" s="29" t="s">
        <v>5212</v>
      </c>
      <c r="B545" s="29" t="s">
        <v>5211</v>
      </c>
      <c r="C545" s="29" t="s">
        <v>83</v>
      </c>
      <c r="D545" s="29" t="str">
        <f>VLOOKUP(C:C,'COUNT-CONT'!B:C,2,FALSE)</f>
        <v>Europe</v>
      </c>
      <c r="E545" s="29">
        <v>4</v>
      </c>
      <c r="F545" s="28">
        <v>2163</v>
      </c>
      <c r="G545" s="28">
        <v>5774252935</v>
      </c>
      <c r="H545" s="29">
        <v>28.36</v>
      </c>
      <c r="I545" s="142">
        <v>-51.08</v>
      </c>
      <c r="J545" s="29">
        <v>17.260000000000002</v>
      </c>
      <c r="K545" s="29">
        <v>16.02</v>
      </c>
      <c r="L545" s="29">
        <v>30.83</v>
      </c>
      <c r="M545" s="368"/>
      <c r="N545" s="368"/>
      <c r="O545" s="271">
        <f>IFERROR(Table17[[#This Row],[PROFIT]]/Table17[[#This Row],[TO]],0)</f>
        <v>0</v>
      </c>
      <c r="P545" s="177"/>
      <c r="Q545" s="177"/>
      <c r="R545" s="177"/>
    </row>
    <row r="546" spans="1:18" hidden="1" x14ac:dyDescent="0.25">
      <c r="A546" s="29" t="s">
        <v>4693</v>
      </c>
      <c r="B546" s="29" t="s">
        <v>4692</v>
      </c>
      <c r="C546" s="29" t="s">
        <v>14</v>
      </c>
      <c r="D546" s="29" t="str">
        <f>VLOOKUP(C:C,'COUNT-CONT'!B:C,2,FALSE)</f>
        <v>Asia</v>
      </c>
      <c r="E546" s="29">
        <v>7</v>
      </c>
      <c r="F546" s="28">
        <v>2774</v>
      </c>
      <c r="G546" s="28">
        <v>4737339293</v>
      </c>
      <c r="H546" s="29">
        <v>28.36</v>
      </c>
      <c r="I546" s="142">
        <v>-51.08</v>
      </c>
      <c r="J546" s="29">
        <v>11.03</v>
      </c>
      <c r="K546" s="29">
        <v>9.1300000000000008</v>
      </c>
      <c r="L546" s="29">
        <v>24.03</v>
      </c>
      <c r="M546" s="368"/>
      <c r="N546" s="368"/>
      <c r="O546" s="271">
        <f>IFERROR(Table17[[#This Row],[PROFIT]]/Table17[[#This Row],[TO]],0)</f>
        <v>0</v>
      </c>
      <c r="P546" s="177"/>
      <c r="Q546" s="177"/>
      <c r="R546" s="177"/>
    </row>
    <row r="547" spans="1:18" hidden="1" x14ac:dyDescent="0.25">
      <c r="A547" s="29" t="s">
        <v>202</v>
      </c>
      <c r="B547" s="29" t="s">
        <v>4645</v>
      </c>
      <c r="C547" s="29" t="s">
        <v>709</v>
      </c>
      <c r="D547" s="29" t="str">
        <f>VLOOKUP(C:C,'COUNT-CONT'!B:C,2,FALSE)</f>
        <v>Asia</v>
      </c>
      <c r="E547" s="29">
        <v>10</v>
      </c>
      <c r="F547" s="28">
        <v>4048</v>
      </c>
      <c r="G547" s="28">
        <v>4680739130</v>
      </c>
      <c r="H547" s="29">
        <v>28.36</v>
      </c>
      <c r="I547" s="142">
        <v>-51.08</v>
      </c>
      <c r="J547" s="29">
        <v>10.85</v>
      </c>
      <c r="K547" s="29">
        <v>8.49</v>
      </c>
      <c r="L547" s="29">
        <v>23.64</v>
      </c>
      <c r="M547" s="368"/>
      <c r="N547" s="368"/>
      <c r="O547" s="271">
        <f>IFERROR(Table17[[#This Row],[PROFIT]]/Table17[[#This Row],[TO]],0)</f>
        <v>0</v>
      </c>
      <c r="P547" s="177"/>
      <c r="Q547" s="177"/>
      <c r="R547" s="177"/>
    </row>
    <row r="548" spans="1:18" hidden="1" x14ac:dyDescent="0.25">
      <c r="A548" s="29" t="s">
        <v>3515</v>
      </c>
      <c r="B548" s="29" t="s">
        <v>3514</v>
      </c>
      <c r="C548" s="29" t="s">
        <v>761</v>
      </c>
      <c r="D548" s="29" t="str">
        <f>VLOOKUP(C:C,'COUNT-CONT'!B:C,2,FALSE)</f>
        <v>Africa</v>
      </c>
      <c r="E548" s="29">
        <v>9</v>
      </c>
      <c r="F548" s="28">
        <v>3069</v>
      </c>
      <c r="G548" s="28">
        <v>4065822939</v>
      </c>
      <c r="H548" s="29">
        <v>28.33</v>
      </c>
      <c r="I548" s="142">
        <v>-51.11</v>
      </c>
      <c r="J548" s="29">
        <v>3.54</v>
      </c>
      <c r="K548" s="29">
        <v>0.63</v>
      </c>
      <c r="L548" s="29">
        <v>16.079999999999998</v>
      </c>
      <c r="M548" s="368"/>
      <c r="N548" s="368"/>
      <c r="O548" s="271">
        <f>IFERROR(Table17[[#This Row],[PROFIT]]/Table17[[#This Row],[TO]],0)</f>
        <v>0</v>
      </c>
      <c r="P548" s="177"/>
      <c r="Q548" s="177"/>
      <c r="R548" s="177"/>
    </row>
    <row r="549" spans="1:18" ht="30" hidden="1" x14ac:dyDescent="0.25">
      <c r="A549" s="29" t="s">
        <v>5208</v>
      </c>
      <c r="B549" s="29" t="s">
        <v>5207</v>
      </c>
      <c r="C549" s="29" t="s">
        <v>83</v>
      </c>
      <c r="D549" s="29" t="str">
        <f>VLOOKUP(C:C,'COUNT-CONT'!B:C,2,FALSE)</f>
        <v>Europe</v>
      </c>
      <c r="E549" s="29">
        <v>3</v>
      </c>
      <c r="F549" s="28">
        <v>1781</v>
      </c>
      <c r="G549" s="28">
        <v>5841630544</v>
      </c>
      <c r="H549" s="29">
        <v>28.3</v>
      </c>
      <c r="I549" s="142">
        <v>-51.14</v>
      </c>
      <c r="J549" s="29">
        <v>17.23</v>
      </c>
      <c r="K549" s="29">
        <v>15.99</v>
      </c>
      <c r="L549" s="29">
        <v>30.77</v>
      </c>
      <c r="M549" s="368"/>
      <c r="N549" s="368"/>
      <c r="O549" s="271">
        <f>IFERROR(Table17[[#This Row],[PROFIT]]/Table17[[#This Row],[TO]],0)</f>
        <v>0</v>
      </c>
      <c r="P549" s="177"/>
      <c r="Q549" s="177"/>
      <c r="R549" s="177"/>
    </row>
    <row r="550" spans="1:18" ht="30" hidden="1" x14ac:dyDescent="0.25">
      <c r="A550" s="29" t="s">
        <v>4729</v>
      </c>
      <c r="B550" s="29" t="s">
        <v>4728</v>
      </c>
      <c r="C550" s="29" t="s">
        <v>683</v>
      </c>
      <c r="D550" s="29" t="str">
        <f>VLOOKUP(C:C,'COUNT-CONT'!B:C,2,FALSE)</f>
        <v>North America</v>
      </c>
      <c r="E550" s="29">
        <v>10</v>
      </c>
      <c r="F550" s="28">
        <v>5058</v>
      </c>
      <c r="G550" s="28">
        <v>4696477263</v>
      </c>
      <c r="H550" s="29">
        <v>28.3</v>
      </c>
      <c r="I550" s="142">
        <v>-51.14</v>
      </c>
      <c r="J550" s="29">
        <v>11.22</v>
      </c>
      <c r="K550" s="29">
        <v>9.25</v>
      </c>
      <c r="L550" s="29">
        <v>24.4</v>
      </c>
      <c r="M550" s="368"/>
      <c r="N550" s="368"/>
      <c r="O550" s="271">
        <f>IFERROR(Table17[[#This Row],[PROFIT]]/Table17[[#This Row],[TO]],0)</f>
        <v>0</v>
      </c>
      <c r="P550" s="177"/>
      <c r="Q550" s="177"/>
      <c r="R550" s="177"/>
    </row>
    <row r="551" spans="1:18" hidden="1" x14ac:dyDescent="0.25">
      <c r="A551" s="29" t="s">
        <v>3996</v>
      </c>
      <c r="B551" s="29" t="s">
        <v>3995</v>
      </c>
      <c r="C551" s="29" t="s">
        <v>974</v>
      </c>
      <c r="D551" s="29" t="str">
        <f>VLOOKUP(C:C,'COUNT-CONT'!B:C,2,FALSE)</f>
        <v>Asia</v>
      </c>
      <c r="E551" s="29">
        <v>8</v>
      </c>
      <c r="F551" s="28">
        <v>3076</v>
      </c>
      <c r="G551" s="28">
        <v>4205207282</v>
      </c>
      <c r="H551" s="29">
        <v>28.3</v>
      </c>
      <c r="I551" s="142">
        <v>-51.14</v>
      </c>
      <c r="J551" s="29">
        <v>6.02</v>
      </c>
      <c r="K551" s="29">
        <v>3.39</v>
      </c>
      <c r="L551" s="29">
        <v>18.86</v>
      </c>
      <c r="M551" s="368"/>
      <c r="N551" s="368"/>
      <c r="O551" s="271">
        <f>IFERROR(Table17[[#This Row],[PROFIT]]/Table17[[#This Row],[TO]],0)</f>
        <v>0</v>
      </c>
      <c r="P551" s="177"/>
      <c r="Q551" s="177"/>
      <c r="R551" s="177"/>
    </row>
    <row r="552" spans="1:18" hidden="1" x14ac:dyDescent="0.25">
      <c r="A552" s="29" t="s">
        <v>5084</v>
      </c>
      <c r="B552" s="29" t="s">
        <v>5083</v>
      </c>
      <c r="C552" s="29" t="s">
        <v>585</v>
      </c>
      <c r="D552" s="29" t="str">
        <f>VLOOKUP(C:C,'COUNT-CONT'!B:C,2,FALSE)</f>
        <v>Europe</v>
      </c>
      <c r="E552" s="29">
        <v>8</v>
      </c>
      <c r="F552" s="28">
        <v>3304</v>
      </c>
      <c r="G552" s="28">
        <v>5451929782</v>
      </c>
      <c r="H552" s="29">
        <v>28.23</v>
      </c>
      <c r="I552" s="142">
        <v>-51.209999999999994</v>
      </c>
      <c r="J552" s="29">
        <v>15.57</v>
      </c>
      <c r="K552" s="29">
        <v>14.42</v>
      </c>
      <c r="L552" s="29">
        <v>28.84</v>
      </c>
      <c r="M552" s="368"/>
      <c r="N552" s="368"/>
      <c r="O552" s="271">
        <f>IFERROR(Table17[[#This Row],[PROFIT]]/Table17[[#This Row],[TO]],0)</f>
        <v>0</v>
      </c>
      <c r="P552" s="177"/>
      <c r="Q552" s="177"/>
      <c r="R552" s="177"/>
    </row>
    <row r="553" spans="1:18" hidden="1" x14ac:dyDescent="0.25">
      <c r="A553" s="29" t="s">
        <v>5475</v>
      </c>
      <c r="B553" s="29" t="s">
        <v>5474</v>
      </c>
      <c r="C553" s="29" t="s">
        <v>560</v>
      </c>
      <c r="D553" s="29" t="str">
        <f>VLOOKUP(C:C,'COUNT-CONT'!B:C,2,FALSE)</f>
        <v>Europe</v>
      </c>
      <c r="E553" s="29">
        <v>10</v>
      </c>
      <c r="F553" s="28">
        <v>4746</v>
      </c>
      <c r="G553" s="28">
        <v>6632574125</v>
      </c>
      <c r="H553" s="29">
        <v>28.2</v>
      </c>
      <c r="I553" s="142">
        <v>-51.239999999999995</v>
      </c>
      <c r="J553" s="29">
        <v>23</v>
      </c>
      <c r="K553" s="29">
        <v>23</v>
      </c>
      <c r="L553" s="29">
        <v>37.119999999999997</v>
      </c>
      <c r="M553" s="368"/>
      <c r="N553" s="368"/>
      <c r="O553" s="271">
        <f>IFERROR(Table17[[#This Row],[PROFIT]]/Table17[[#This Row],[TO]],0)</f>
        <v>0</v>
      </c>
      <c r="P553" s="177"/>
      <c r="Q553" s="177"/>
      <c r="R553" s="177"/>
    </row>
    <row r="554" spans="1:18" hidden="1" x14ac:dyDescent="0.25">
      <c r="A554" s="29" t="s">
        <v>4582</v>
      </c>
      <c r="B554" s="29" t="s">
        <v>4581</v>
      </c>
      <c r="C554" s="29" t="s">
        <v>78</v>
      </c>
      <c r="D554" s="29" t="str">
        <f>VLOOKUP(C:C,'COUNT-CONT'!B:C,2,FALSE)</f>
        <v>Europe</v>
      </c>
      <c r="E554" s="29">
        <v>9</v>
      </c>
      <c r="F554" s="28">
        <v>3381</v>
      </c>
      <c r="G554" s="28">
        <v>4599747530</v>
      </c>
      <c r="H554" s="29">
        <v>28.14</v>
      </c>
      <c r="I554" s="142">
        <v>-51.3</v>
      </c>
      <c r="J554" s="29">
        <v>10.130000000000001</v>
      </c>
      <c r="K554" s="29">
        <v>8.2799999999999994</v>
      </c>
      <c r="L554" s="29">
        <v>23.07</v>
      </c>
      <c r="M554" s="368"/>
      <c r="N554" s="368"/>
      <c r="O554" s="271">
        <f>IFERROR(Table17[[#This Row],[PROFIT]]/Table17[[#This Row],[TO]],0)</f>
        <v>0</v>
      </c>
      <c r="P554" s="177"/>
      <c r="Q554" s="177"/>
      <c r="R554" s="177"/>
    </row>
    <row r="555" spans="1:18" ht="30" hidden="1" x14ac:dyDescent="0.25">
      <c r="A555" s="29" t="s">
        <v>4657</v>
      </c>
      <c r="B555" s="29" t="s">
        <v>4656</v>
      </c>
      <c r="C555" s="29" t="s">
        <v>517</v>
      </c>
      <c r="D555" s="29" t="str">
        <f>VLOOKUP(C:C,'COUNT-CONT'!B:C,2,FALSE)</f>
        <v>South America</v>
      </c>
      <c r="E555" s="29">
        <v>5</v>
      </c>
      <c r="F555" s="28">
        <v>2288</v>
      </c>
      <c r="G555" s="28">
        <v>4750669230</v>
      </c>
      <c r="H555" s="29">
        <v>28.08</v>
      </c>
      <c r="I555" s="142">
        <v>-51.36</v>
      </c>
      <c r="J555" s="29">
        <v>10.94</v>
      </c>
      <c r="K555" s="29">
        <v>9.0399999999999991</v>
      </c>
      <c r="L555" s="29">
        <v>23.79</v>
      </c>
      <c r="M555" s="368"/>
      <c r="N555" s="368"/>
      <c r="O555" s="271">
        <f>IFERROR(Table17[[#This Row],[PROFIT]]/Table17[[#This Row],[TO]],0)</f>
        <v>0</v>
      </c>
      <c r="P555" s="177"/>
      <c r="Q555" s="177"/>
      <c r="R555" s="177"/>
    </row>
    <row r="556" spans="1:18" hidden="1" x14ac:dyDescent="0.25">
      <c r="A556" s="29" t="s">
        <v>4787</v>
      </c>
      <c r="B556" s="29" t="s">
        <v>4786</v>
      </c>
      <c r="C556" s="29" t="s">
        <v>605</v>
      </c>
      <c r="D556" s="29" t="str">
        <f>VLOOKUP(C:C,'COUNT-CONT'!B:C,2,FALSE)</f>
        <v>Europe</v>
      </c>
      <c r="E556" s="29">
        <v>6</v>
      </c>
      <c r="F556" s="28">
        <v>2644</v>
      </c>
      <c r="G556" s="28">
        <v>5016036308</v>
      </c>
      <c r="H556" s="29">
        <v>28.08</v>
      </c>
      <c r="I556" s="142">
        <v>-51.36</v>
      </c>
      <c r="J556" s="29">
        <v>12.03</v>
      </c>
      <c r="K556" s="29">
        <v>10.52</v>
      </c>
      <c r="L556" s="29">
        <v>25.06</v>
      </c>
      <c r="M556" s="368"/>
      <c r="N556" s="368"/>
      <c r="O556" s="271">
        <f>IFERROR(Table17[[#This Row],[PROFIT]]/Table17[[#This Row],[TO]],0)</f>
        <v>0</v>
      </c>
      <c r="P556" s="177"/>
      <c r="Q556" s="177"/>
      <c r="R556" s="177"/>
    </row>
    <row r="557" spans="1:18" hidden="1" x14ac:dyDescent="0.25">
      <c r="A557" s="29" t="s">
        <v>4580</v>
      </c>
      <c r="B557" s="29" t="s">
        <v>4579</v>
      </c>
      <c r="C557" s="29" t="s">
        <v>78</v>
      </c>
      <c r="D557" s="29" t="str">
        <f>VLOOKUP(C:C,'COUNT-CONT'!B:C,2,FALSE)</f>
        <v>Europe</v>
      </c>
      <c r="E557" s="29">
        <v>8</v>
      </c>
      <c r="F557" s="28">
        <v>2958</v>
      </c>
      <c r="G557" s="28">
        <v>4599872887</v>
      </c>
      <c r="H557" s="29">
        <v>28.08</v>
      </c>
      <c r="I557" s="142">
        <v>-51.36</v>
      </c>
      <c r="J557" s="29">
        <v>10.130000000000001</v>
      </c>
      <c r="K557" s="29">
        <v>8.2799999999999994</v>
      </c>
      <c r="L557" s="29">
        <v>23.04</v>
      </c>
      <c r="M557" s="368"/>
      <c r="N557" s="368"/>
      <c r="O557" s="271">
        <f>IFERROR(Table17[[#This Row],[PROFIT]]/Table17[[#This Row],[TO]],0)</f>
        <v>0</v>
      </c>
      <c r="P557" s="177"/>
      <c r="Q557" s="177"/>
      <c r="R557" s="177"/>
    </row>
    <row r="558" spans="1:18" hidden="1" x14ac:dyDescent="0.25">
      <c r="A558" s="29" t="s">
        <v>4404</v>
      </c>
      <c r="B558" s="29" t="s">
        <v>4403</v>
      </c>
      <c r="C558" s="29" t="s">
        <v>700</v>
      </c>
      <c r="D558" s="29" t="str">
        <f>VLOOKUP(C:C,'COUNT-CONT'!B:C,2,FALSE)</f>
        <v>Asia</v>
      </c>
      <c r="E558" s="29">
        <v>8</v>
      </c>
      <c r="F558" s="28">
        <v>3130</v>
      </c>
      <c r="G558" s="28">
        <v>4435837699</v>
      </c>
      <c r="H558" s="29">
        <v>28.02</v>
      </c>
      <c r="I558" s="142">
        <v>-51.42</v>
      </c>
      <c r="J558" s="29">
        <v>8.6199999999999992</v>
      </c>
      <c r="K558" s="29">
        <v>6.47</v>
      </c>
      <c r="L558" s="29">
        <v>21.55</v>
      </c>
      <c r="M558" s="368"/>
      <c r="N558" s="368"/>
      <c r="O558" s="271">
        <f>IFERROR(Table17[[#This Row],[PROFIT]]/Table17[[#This Row],[TO]],0)</f>
        <v>0</v>
      </c>
      <c r="P558" s="177"/>
      <c r="Q558" s="177"/>
      <c r="R558" s="177"/>
    </row>
    <row r="559" spans="1:18" hidden="1" x14ac:dyDescent="0.25">
      <c r="A559" s="29" t="s">
        <v>4268</v>
      </c>
      <c r="B559" s="29" t="s">
        <v>4267</v>
      </c>
      <c r="C559" s="29" t="s">
        <v>1261</v>
      </c>
      <c r="D559" s="29" t="str">
        <f>VLOOKUP(C:C,'COUNT-CONT'!B:C,2,FALSE)</f>
        <v>Asia</v>
      </c>
      <c r="E559" s="29">
        <v>7</v>
      </c>
      <c r="F559" s="28">
        <v>2849</v>
      </c>
      <c r="G559" s="28">
        <v>4349100386</v>
      </c>
      <c r="H559" s="29">
        <v>28.02</v>
      </c>
      <c r="I559" s="142">
        <v>-51.42</v>
      </c>
      <c r="J559" s="29">
        <v>7.83</v>
      </c>
      <c r="K559" s="29">
        <v>5.74</v>
      </c>
      <c r="L559" s="29">
        <v>20.62</v>
      </c>
      <c r="M559" s="368"/>
      <c r="N559" s="368"/>
      <c r="O559" s="271">
        <f>IFERROR(Table17[[#This Row],[PROFIT]]/Table17[[#This Row],[TO]],0)</f>
        <v>0</v>
      </c>
      <c r="P559" s="177"/>
      <c r="Q559" s="177"/>
      <c r="R559" s="177"/>
    </row>
    <row r="560" spans="1:18" ht="30" hidden="1" x14ac:dyDescent="0.25">
      <c r="A560" s="29" t="s">
        <v>5469</v>
      </c>
      <c r="B560" s="29" t="s">
        <v>5468</v>
      </c>
      <c r="C560" s="29" t="s">
        <v>11732</v>
      </c>
      <c r="D560" s="29" t="str">
        <f>VLOOKUP(C:C,'COUNT-CONT'!B:C,2,FALSE)</f>
        <v>North America</v>
      </c>
      <c r="E560" s="29">
        <v>7</v>
      </c>
      <c r="F560" s="28">
        <v>3468</v>
      </c>
      <c r="G560" s="28">
        <v>6575485697</v>
      </c>
      <c r="H560" s="29">
        <v>27.96</v>
      </c>
      <c r="I560" s="142">
        <v>-51.48</v>
      </c>
      <c r="J560" s="29">
        <v>22.79</v>
      </c>
      <c r="K560" s="29">
        <v>22.79</v>
      </c>
      <c r="L560" s="29">
        <v>36.79</v>
      </c>
      <c r="M560" s="368"/>
      <c r="N560" s="368"/>
      <c r="O560" s="271">
        <f>IFERROR(Table17[[#This Row],[PROFIT]]/Table17[[#This Row],[TO]],0)</f>
        <v>0</v>
      </c>
      <c r="P560" s="177"/>
      <c r="Q560" s="177"/>
      <c r="R560" s="177"/>
    </row>
    <row r="561" spans="1:18" hidden="1" x14ac:dyDescent="0.25">
      <c r="A561" s="29" t="s">
        <v>229</v>
      </c>
      <c r="B561" s="29" t="s">
        <v>4399</v>
      </c>
      <c r="C561" s="29" t="s">
        <v>332</v>
      </c>
      <c r="D561" s="29" t="str">
        <f>VLOOKUP(C:C,'COUNT-CONT'!B:C,2,FALSE)</f>
        <v>Asia</v>
      </c>
      <c r="E561" s="29">
        <v>9</v>
      </c>
      <c r="F561" s="28">
        <v>3130</v>
      </c>
      <c r="G561" s="28">
        <v>4428037699</v>
      </c>
      <c r="H561" s="29">
        <v>27.93</v>
      </c>
      <c r="I561" s="142">
        <v>-51.51</v>
      </c>
      <c r="J561" s="29">
        <v>8.59</v>
      </c>
      <c r="K561" s="29">
        <v>6.86</v>
      </c>
      <c r="L561" s="29">
        <v>21.49</v>
      </c>
      <c r="M561" s="368"/>
      <c r="N561" s="368"/>
      <c r="O561" s="271">
        <f>IFERROR(Table17[[#This Row],[PROFIT]]/Table17[[#This Row],[TO]],0)</f>
        <v>0</v>
      </c>
      <c r="P561" s="177"/>
      <c r="Q561" s="177"/>
      <c r="R561" s="177"/>
    </row>
    <row r="562" spans="1:18" hidden="1" x14ac:dyDescent="0.25">
      <c r="A562" s="29" t="s">
        <v>4256</v>
      </c>
      <c r="B562" s="29" t="s">
        <v>4255</v>
      </c>
      <c r="C562" s="29" t="s">
        <v>502</v>
      </c>
      <c r="D562" s="29" t="str">
        <f>VLOOKUP(C:C,'COUNT-CONT'!B:C,2,FALSE)</f>
        <v>Asia</v>
      </c>
      <c r="E562" s="29">
        <v>10</v>
      </c>
      <c r="F562" s="28">
        <v>3984</v>
      </c>
      <c r="G562" s="28">
        <v>4397604417</v>
      </c>
      <c r="H562" s="29">
        <v>27.9</v>
      </c>
      <c r="I562" s="142">
        <v>-51.54</v>
      </c>
      <c r="J562" s="29">
        <v>7.8</v>
      </c>
      <c r="K562" s="29">
        <v>5.74</v>
      </c>
      <c r="L562" s="29">
        <v>20.53</v>
      </c>
      <c r="M562" s="368"/>
      <c r="N562" s="368"/>
      <c r="O562" s="271">
        <f>IFERROR(Table17[[#This Row],[PROFIT]]/Table17[[#This Row],[TO]],0)</f>
        <v>0</v>
      </c>
      <c r="P562" s="177"/>
      <c r="Q562" s="177"/>
      <c r="R562" s="177"/>
    </row>
    <row r="563" spans="1:18" hidden="1" x14ac:dyDescent="0.25">
      <c r="A563" s="29" t="s">
        <v>4202</v>
      </c>
      <c r="B563" s="29" t="s">
        <v>4201</v>
      </c>
      <c r="C563" s="29" t="s">
        <v>13126</v>
      </c>
      <c r="D563" s="29" t="str">
        <f>VLOOKUP(C:C,'COUNT-CONT'!B:C,2,FALSE)</f>
        <v>Europe</v>
      </c>
      <c r="E563" s="29">
        <v>6</v>
      </c>
      <c r="F563" s="28">
        <v>2654</v>
      </c>
      <c r="G563" s="28">
        <v>4431268726</v>
      </c>
      <c r="H563" s="29">
        <v>27.9</v>
      </c>
      <c r="I563" s="142">
        <v>-51.54</v>
      </c>
      <c r="J563" s="29">
        <v>7.68</v>
      </c>
      <c r="K563" s="29">
        <v>5.23</v>
      </c>
      <c r="L563" s="29">
        <v>20.22</v>
      </c>
      <c r="M563" s="368"/>
      <c r="N563" s="368"/>
      <c r="O563" s="271">
        <f>IFERROR(Table17[[#This Row],[PROFIT]]/Table17[[#This Row],[TO]],0)</f>
        <v>0</v>
      </c>
      <c r="P563" s="177"/>
      <c r="Q563" s="177"/>
      <c r="R563" s="177"/>
    </row>
    <row r="564" spans="1:18" hidden="1" x14ac:dyDescent="0.25">
      <c r="A564" s="29" t="s">
        <v>4806</v>
      </c>
      <c r="B564" s="29" t="s">
        <v>4805</v>
      </c>
      <c r="C564" s="29" t="s">
        <v>758</v>
      </c>
      <c r="D564" s="29" t="str">
        <f>VLOOKUP(C:C,'COUNT-CONT'!B:C,2,FALSE)</f>
        <v>Europe</v>
      </c>
      <c r="E564" s="29">
        <v>6</v>
      </c>
      <c r="F564" s="28">
        <v>2706</v>
      </c>
      <c r="G564" s="28">
        <v>4926704065</v>
      </c>
      <c r="H564" s="29">
        <v>27.87</v>
      </c>
      <c r="I564" s="142">
        <v>-51.569999999999993</v>
      </c>
      <c r="J564" s="29">
        <v>12.67</v>
      </c>
      <c r="K564" s="29">
        <v>10.64</v>
      </c>
      <c r="L564" s="29">
        <v>25.33</v>
      </c>
      <c r="M564" s="368"/>
      <c r="N564" s="368"/>
      <c r="O564" s="271">
        <f>IFERROR(Table17[[#This Row],[PROFIT]]/Table17[[#This Row],[TO]],0)</f>
        <v>0</v>
      </c>
      <c r="P564" s="177"/>
      <c r="Q564" s="177"/>
      <c r="R564" s="177"/>
    </row>
    <row r="565" spans="1:18" hidden="1" x14ac:dyDescent="0.25">
      <c r="A565" s="29" t="s">
        <v>3537</v>
      </c>
      <c r="B565" s="29" t="s">
        <v>3536</v>
      </c>
      <c r="C565" s="29" t="s">
        <v>3535</v>
      </c>
      <c r="D565" s="29" t="str">
        <f>VLOOKUP(C:C,'COUNT-CONT'!B:C,2,FALSE)</f>
        <v>Africa</v>
      </c>
      <c r="E565" s="29">
        <v>10</v>
      </c>
      <c r="F565" s="28">
        <v>4789</v>
      </c>
      <c r="G565" s="28">
        <v>3918693046</v>
      </c>
      <c r="H565" s="29">
        <v>27.84</v>
      </c>
      <c r="I565" s="142">
        <v>-51.599999999999994</v>
      </c>
      <c r="J565" s="29">
        <v>3.87</v>
      </c>
      <c r="K565" s="29">
        <v>0.97</v>
      </c>
      <c r="L565" s="29">
        <v>16.2</v>
      </c>
      <c r="M565" s="368"/>
      <c r="N565" s="368"/>
      <c r="O565" s="271">
        <f>IFERROR(Table17[[#This Row],[PROFIT]]/Table17[[#This Row],[TO]],0)</f>
        <v>0</v>
      </c>
      <c r="P565" s="177"/>
      <c r="Q565" s="177"/>
      <c r="R565" s="177"/>
    </row>
    <row r="566" spans="1:18" ht="45" hidden="1" x14ac:dyDescent="0.25">
      <c r="A566" s="29" t="s">
        <v>4642</v>
      </c>
      <c r="B566" s="29" t="s">
        <v>4641</v>
      </c>
      <c r="C566" s="29" t="s">
        <v>505</v>
      </c>
      <c r="D566" s="29" t="e">
        <f>VLOOKUP(C:C,'COUNT-CONT'!B:C,2,FALSE)</f>
        <v>#N/A</v>
      </c>
      <c r="E566" s="29">
        <v>9</v>
      </c>
      <c r="F566" s="28">
        <v>3398</v>
      </c>
      <c r="G566" s="28">
        <v>4665319835</v>
      </c>
      <c r="H566" s="29">
        <v>27.81</v>
      </c>
      <c r="I566" s="142">
        <v>-51.629999999999995</v>
      </c>
      <c r="J566" s="29">
        <v>10.85</v>
      </c>
      <c r="K566" s="29">
        <v>8.9499999999999993</v>
      </c>
      <c r="L566" s="29">
        <v>23.58</v>
      </c>
      <c r="M566" s="368"/>
      <c r="N566" s="368"/>
      <c r="O566" s="271">
        <f>IFERROR(Table17[[#This Row],[PROFIT]]/Table17[[#This Row],[TO]],0)</f>
        <v>0</v>
      </c>
      <c r="P566" s="177"/>
      <c r="Q566" s="177"/>
      <c r="R566" s="177"/>
    </row>
    <row r="567" spans="1:18" ht="30" hidden="1" x14ac:dyDescent="0.25">
      <c r="A567" s="29" t="s">
        <v>4537</v>
      </c>
      <c r="B567" s="29" t="s">
        <v>4536</v>
      </c>
      <c r="C567" s="29" t="s">
        <v>2791</v>
      </c>
      <c r="D567" s="29" t="str">
        <f>VLOOKUP(C:C,'COUNT-CONT'!B:C,2,FALSE)</f>
        <v>North America</v>
      </c>
      <c r="E567" s="29">
        <v>7</v>
      </c>
      <c r="F567" s="28">
        <v>2762</v>
      </c>
      <c r="G567" s="28">
        <v>4577862128</v>
      </c>
      <c r="H567" s="29">
        <v>27.81</v>
      </c>
      <c r="I567" s="142">
        <v>-51.629999999999995</v>
      </c>
      <c r="J567" s="29">
        <v>10.01</v>
      </c>
      <c r="K567" s="29">
        <v>8.19</v>
      </c>
      <c r="L567" s="29">
        <v>22.79</v>
      </c>
      <c r="M567" s="368"/>
      <c r="N567" s="368"/>
      <c r="O567" s="271">
        <f>IFERROR(Table17[[#This Row],[PROFIT]]/Table17[[#This Row],[TO]],0)</f>
        <v>0</v>
      </c>
      <c r="P567" s="177"/>
      <c r="Q567" s="177"/>
      <c r="R567" s="177"/>
    </row>
    <row r="568" spans="1:18" ht="30" hidden="1" x14ac:dyDescent="0.25">
      <c r="A568" s="29" t="s">
        <v>5167</v>
      </c>
      <c r="B568" s="29" t="s">
        <v>5166</v>
      </c>
      <c r="C568" s="29" t="s">
        <v>308</v>
      </c>
      <c r="D568" s="29" t="str">
        <f>VLOOKUP(C:C,'COUNT-CONT'!B:C,2,FALSE)</f>
        <v>Europe</v>
      </c>
      <c r="E568" s="29">
        <v>9</v>
      </c>
      <c r="F568" s="28">
        <v>3583</v>
      </c>
      <c r="G568" s="28">
        <v>5625205302</v>
      </c>
      <c r="H568" s="29">
        <v>27.78</v>
      </c>
      <c r="I568" s="142">
        <v>-51.66</v>
      </c>
      <c r="J568" s="29">
        <v>16.899999999999999</v>
      </c>
      <c r="K568" s="29">
        <v>16.29</v>
      </c>
      <c r="L568" s="29">
        <v>30.2</v>
      </c>
      <c r="M568" s="368"/>
      <c r="N568" s="368"/>
      <c r="O568" s="271">
        <f>IFERROR(Table17[[#This Row],[PROFIT]]/Table17[[#This Row],[TO]],0)</f>
        <v>0</v>
      </c>
      <c r="P568" s="177"/>
      <c r="Q568" s="177"/>
      <c r="R568" s="177"/>
    </row>
    <row r="569" spans="1:18" hidden="1" x14ac:dyDescent="0.25">
      <c r="A569" s="29" t="s">
        <v>4369</v>
      </c>
      <c r="B569" s="29" t="s">
        <v>4368</v>
      </c>
      <c r="C569" s="29" t="s">
        <v>700</v>
      </c>
      <c r="D569" s="29" t="str">
        <f>VLOOKUP(C:C,'COUNT-CONT'!B:C,2,FALSE)</f>
        <v>Asia</v>
      </c>
      <c r="E569" s="29">
        <v>7</v>
      </c>
      <c r="F569" s="28">
        <v>2864</v>
      </c>
      <c r="G569" s="28">
        <v>4413078212</v>
      </c>
      <c r="H569" s="29">
        <v>27.72</v>
      </c>
      <c r="I569" s="142">
        <v>-51.72</v>
      </c>
      <c r="J569" s="29">
        <v>8.52</v>
      </c>
      <c r="K569" s="29">
        <v>6.38</v>
      </c>
      <c r="L569" s="29">
        <v>21.34</v>
      </c>
      <c r="M569" s="368"/>
      <c r="N569" s="368"/>
      <c r="O569" s="271">
        <f>IFERROR(Table17[[#This Row],[PROFIT]]/Table17[[#This Row],[TO]],0)</f>
        <v>0</v>
      </c>
      <c r="P569" s="177"/>
      <c r="Q569" s="177"/>
      <c r="R569" s="177"/>
    </row>
    <row r="570" spans="1:18" hidden="1" x14ac:dyDescent="0.25">
      <c r="A570" s="29" t="s">
        <v>4525</v>
      </c>
      <c r="B570" s="29" t="s">
        <v>4524</v>
      </c>
      <c r="C570" s="29" t="s">
        <v>717</v>
      </c>
      <c r="D570" s="29" t="str">
        <f>VLOOKUP(C:C,'COUNT-CONT'!B:C,2,FALSE)</f>
        <v>Asia</v>
      </c>
      <c r="E570" s="29">
        <v>5</v>
      </c>
      <c r="F570" s="28">
        <v>2303</v>
      </c>
      <c r="G570" s="28">
        <v>4602737863</v>
      </c>
      <c r="H570" s="29">
        <v>27.69</v>
      </c>
      <c r="I570" s="142">
        <v>-51.75</v>
      </c>
      <c r="J570" s="29">
        <v>9.98</v>
      </c>
      <c r="K570" s="29">
        <v>8.16</v>
      </c>
      <c r="L570" s="29">
        <v>22.7</v>
      </c>
      <c r="M570" s="368"/>
      <c r="N570" s="368"/>
      <c r="O570" s="271">
        <f>IFERROR(Table17[[#This Row],[PROFIT]]/Table17[[#This Row],[TO]],0)</f>
        <v>0</v>
      </c>
      <c r="P570" s="177"/>
      <c r="Q570" s="177"/>
      <c r="R570" s="177"/>
    </row>
    <row r="571" spans="1:18" hidden="1" x14ac:dyDescent="0.25">
      <c r="A571" s="29" t="s">
        <v>4979</v>
      </c>
      <c r="B571" s="29" t="s">
        <v>4978</v>
      </c>
      <c r="C571" s="147" t="s">
        <v>12976</v>
      </c>
      <c r="D571" s="29" t="e">
        <f>VLOOKUP(C:C,'COUNT-CONT'!B:C,2,FALSE)</f>
        <v>#N/A</v>
      </c>
      <c r="E571" s="29">
        <v>9</v>
      </c>
      <c r="F571" s="28">
        <v>3550</v>
      </c>
      <c r="G571" s="28">
        <v>5144859154</v>
      </c>
      <c r="H571" s="29">
        <v>27.69</v>
      </c>
      <c r="I571" s="142">
        <v>-51.75</v>
      </c>
      <c r="J571" s="29">
        <v>14.12</v>
      </c>
      <c r="K571" s="29">
        <v>12.48</v>
      </c>
      <c r="L571" s="29">
        <v>27.18</v>
      </c>
      <c r="M571" s="368"/>
      <c r="N571" s="368"/>
      <c r="O571" s="271">
        <f>IFERROR(Table17[[#This Row],[PROFIT]]/Table17[[#This Row],[TO]],0)</f>
        <v>0</v>
      </c>
      <c r="P571" s="177"/>
      <c r="Q571" s="177"/>
      <c r="R571" s="177"/>
    </row>
    <row r="572" spans="1:18" ht="30" hidden="1" x14ac:dyDescent="0.25">
      <c r="A572" s="29" t="s">
        <v>5238</v>
      </c>
      <c r="B572" s="29" t="s">
        <v>5237</v>
      </c>
      <c r="C572" s="29" t="s">
        <v>514</v>
      </c>
      <c r="D572" s="29" t="str">
        <f>VLOOKUP(C:C,'COUNT-CONT'!B:C,2,FALSE)</f>
        <v>North America</v>
      </c>
      <c r="E572" s="29">
        <v>7</v>
      </c>
      <c r="F572" s="28">
        <v>3297</v>
      </c>
      <c r="G572" s="28">
        <v>5792836639</v>
      </c>
      <c r="H572" s="29">
        <v>27.69</v>
      </c>
      <c r="I572" s="142">
        <v>-51.75</v>
      </c>
      <c r="J572" s="29">
        <v>18.260000000000002</v>
      </c>
      <c r="K572" s="29">
        <v>17.62</v>
      </c>
      <c r="L572" s="29">
        <v>31.47</v>
      </c>
      <c r="M572" s="368"/>
      <c r="N572" s="368"/>
      <c r="O572" s="271">
        <f>IFERROR(Table17[[#This Row],[PROFIT]]/Table17[[#This Row],[TO]],0)</f>
        <v>0</v>
      </c>
      <c r="P572" s="177"/>
      <c r="Q572" s="177"/>
      <c r="R572" s="177"/>
    </row>
    <row r="573" spans="1:18" ht="30" hidden="1" x14ac:dyDescent="0.25">
      <c r="A573" s="29" t="s">
        <v>5240</v>
      </c>
      <c r="B573" s="29" t="s">
        <v>5239</v>
      </c>
      <c r="C573" s="29" t="s">
        <v>514</v>
      </c>
      <c r="D573" s="29" t="str">
        <f>VLOOKUP(C:C,'COUNT-CONT'!B:C,2,FALSE)</f>
        <v>North America</v>
      </c>
      <c r="E573" s="29">
        <v>10</v>
      </c>
      <c r="F573" s="28">
        <v>4018</v>
      </c>
      <c r="G573" s="28">
        <v>5791668043</v>
      </c>
      <c r="H573" s="29">
        <v>27.69</v>
      </c>
      <c r="I573" s="142">
        <v>-51.75</v>
      </c>
      <c r="J573" s="29">
        <v>18.260000000000002</v>
      </c>
      <c r="K573" s="29">
        <v>17.62</v>
      </c>
      <c r="L573" s="29">
        <v>31.47</v>
      </c>
      <c r="M573" s="368"/>
      <c r="N573" s="368"/>
      <c r="O573" s="271">
        <f>IFERROR(Table17[[#This Row],[PROFIT]]/Table17[[#This Row],[TO]],0)</f>
        <v>0</v>
      </c>
      <c r="P573" s="177"/>
      <c r="Q573" s="177"/>
      <c r="R573" s="177"/>
    </row>
    <row r="574" spans="1:18" ht="30" hidden="1" x14ac:dyDescent="0.25">
      <c r="A574" s="29" t="s">
        <v>4930</v>
      </c>
      <c r="B574" s="29" t="s">
        <v>4929</v>
      </c>
      <c r="C574" s="29" t="s">
        <v>520</v>
      </c>
      <c r="D574" s="29" t="str">
        <f>VLOOKUP(C:C,'COUNT-CONT'!B:C,2,FALSE)</f>
        <v>Europe</v>
      </c>
      <c r="E574" s="29">
        <v>9</v>
      </c>
      <c r="F574" s="28">
        <v>3522</v>
      </c>
      <c r="G574" s="28">
        <v>5072122544</v>
      </c>
      <c r="H574" s="29">
        <v>27.66</v>
      </c>
      <c r="I574" s="142">
        <v>-51.78</v>
      </c>
      <c r="J574" s="29">
        <v>13.81</v>
      </c>
      <c r="K574" s="29">
        <v>12.24</v>
      </c>
      <c r="L574" s="29">
        <v>26.6</v>
      </c>
      <c r="M574" s="368"/>
      <c r="N574" s="368"/>
      <c r="O574" s="271">
        <f>IFERROR(Table17[[#This Row],[PROFIT]]/Table17[[#This Row],[TO]],0)</f>
        <v>0</v>
      </c>
      <c r="P574" s="177"/>
      <c r="Q574" s="177"/>
      <c r="R574" s="177"/>
    </row>
    <row r="575" spans="1:18" hidden="1" x14ac:dyDescent="0.25">
      <c r="A575" s="29" t="s">
        <v>4619</v>
      </c>
      <c r="B575" s="29" t="s">
        <v>4618</v>
      </c>
      <c r="C575" s="29" t="s">
        <v>14</v>
      </c>
      <c r="D575" s="29" t="str">
        <f>VLOOKUP(C:C,'COUNT-CONT'!B:C,2,FALSE)</f>
        <v>Asia</v>
      </c>
      <c r="E575" s="29">
        <v>6</v>
      </c>
      <c r="F575" s="28">
        <v>2596</v>
      </c>
      <c r="G575" s="28">
        <v>4659928813</v>
      </c>
      <c r="H575" s="29">
        <v>27.57</v>
      </c>
      <c r="I575" s="142">
        <v>-51.87</v>
      </c>
      <c r="J575" s="29">
        <v>10.73</v>
      </c>
      <c r="K575" s="29">
        <v>8.86</v>
      </c>
      <c r="L575" s="29">
        <v>23.37</v>
      </c>
      <c r="M575" s="368"/>
      <c r="N575" s="368"/>
      <c r="O575" s="271">
        <f>IFERROR(Table17[[#This Row],[PROFIT]]/Table17[[#This Row],[TO]],0)</f>
        <v>0</v>
      </c>
      <c r="P575" s="177"/>
      <c r="Q575" s="177"/>
      <c r="R575" s="177"/>
    </row>
    <row r="576" spans="1:18" hidden="1" x14ac:dyDescent="0.25">
      <c r="A576" s="29" t="s">
        <v>5008</v>
      </c>
      <c r="B576" s="29" t="s">
        <v>5007</v>
      </c>
      <c r="C576" s="29" t="s">
        <v>142</v>
      </c>
      <c r="D576" s="29" t="str">
        <f>VLOOKUP(C:C,'COUNT-CONT'!B:C,2,FALSE)</f>
        <v>Asia</v>
      </c>
      <c r="E576" s="29">
        <v>8</v>
      </c>
      <c r="F576" s="28">
        <v>3349</v>
      </c>
      <c r="G576" s="28">
        <v>5289456255</v>
      </c>
      <c r="H576" s="29">
        <v>27.57</v>
      </c>
      <c r="I576" s="142">
        <v>-51.87</v>
      </c>
      <c r="J576" s="29">
        <v>14.87</v>
      </c>
      <c r="K576" s="29">
        <v>13.24</v>
      </c>
      <c r="L576" s="29">
        <v>27.57</v>
      </c>
      <c r="M576" s="368"/>
      <c r="N576" s="368"/>
      <c r="O576" s="271">
        <f>IFERROR(Table17[[#This Row],[PROFIT]]/Table17[[#This Row],[TO]],0)</f>
        <v>0</v>
      </c>
      <c r="P576" s="177"/>
      <c r="Q576" s="177"/>
      <c r="R576" s="177"/>
    </row>
    <row r="577" spans="1:18" ht="30" hidden="1" x14ac:dyDescent="0.25">
      <c r="A577" s="29" t="s">
        <v>4564</v>
      </c>
      <c r="B577" s="29" t="s">
        <v>4563</v>
      </c>
      <c r="C577" s="29" t="s">
        <v>709</v>
      </c>
      <c r="D577" s="29" t="str">
        <f>VLOOKUP(C:C,'COUNT-CONT'!B:C,2,FALSE)</f>
        <v>Asia</v>
      </c>
      <c r="E577" s="29">
        <v>5</v>
      </c>
      <c r="F577" s="28">
        <v>2241</v>
      </c>
      <c r="G577" s="28">
        <v>4647452298</v>
      </c>
      <c r="H577" s="29">
        <v>27.57</v>
      </c>
      <c r="I577" s="142">
        <v>-51.87</v>
      </c>
      <c r="J577" s="29">
        <v>10.55</v>
      </c>
      <c r="K577" s="29">
        <v>8.25</v>
      </c>
      <c r="L577" s="29">
        <v>22.97</v>
      </c>
      <c r="M577" s="368"/>
      <c r="N577" s="368"/>
      <c r="O577" s="271">
        <f>IFERROR(Table17[[#This Row],[PROFIT]]/Table17[[#This Row],[TO]],0)</f>
        <v>0</v>
      </c>
      <c r="P577" s="177"/>
      <c r="Q577" s="177"/>
      <c r="R577" s="177"/>
    </row>
    <row r="578" spans="1:18" ht="30" hidden="1" x14ac:dyDescent="0.25">
      <c r="A578" s="29" t="s">
        <v>4649</v>
      </c>
      <c r="B578" s="29" t="s">
        <v>4648</v>
      </c>
      <c r="C578" s="29" t="s">
        <v>860</v>
      </c>
      <c r="D578" s="29" t="str">
        <f>VLOOKUP(C:C,'COUNT-CONT'!B:C,2,FALSE)</f>
        <v>South America</v>
      </c>
      <c r="E578" s="29">
        <v>8</v>
      </c>
      <c r="F578" s="28">
        <v>3190</v>
      </c>
      <c r="G578" s="28">
        <v>4684027586</v>
      </c>
      <c r="H578" s="29">
        <v>27.51</v>
      </c>
      <c r="I578" s="142">
        <v>-51.929999999999993</v>
      </c>
      <c r="J578" s="29">
        <v>10.91</v>
      </c>
      <c r="K578" s="29">
        <v>9.01</v>
      </c>
      <c r="L578" s="29">
        <v>23.73</v>
      </c>
      <c r="M578" s="368"/>
      <c r="N578" s="368"/>
      <c r="O578" s="271">
        <f>IFERROR(Table17[[#This Row],[PROFIT]]/Table17[[#This Row],[TO]],0)</f>
        <v>0</v>
      </c>
      <c r="P578" s="177"/>
      <c r="Q578" s="177"/>
      <c r="R578" s="177"/>
    </row>
    <row r="579" spans="1:18" hidden="1" x14ac:dyDescent="0.25">
      <c r="A579" s="29" t="s">
        <v>371</v>
      </c>
      <c r="B579" s="29" t="s">
        <v>4338</v>
      </c>
      <c r="C579" s="29" t="s">
        <v>332</v>
      </c>
      <c r="D579" s="29" t="str">
        <f>VLOOKUP(C:C,'COUNT-CONT'!B:C,2,FALSE)</f>
        <v>Asia</v>
      </c>
      <c r="E579" s="29">
        <v>8</v>
      </c>
      <c r="F579" s="28">
        <v>3083</v>
      </c>
      <c r="G579" s="28">
        <v>4383595329</v>
      </c>
      <c r="H579" s="29">
        <v>27.45</v>
      </c>
      <c r="I579" s="142">
        <v>-51.989999999999995</v>
      </c>
      <c r="J579" s="29">
        <v>8.43</v>
      </c>
      <c r="K579" s="29">
        <v>6.74</v>
      </c>
      <c r="L579" s="29">
        <v>21.13</v>
      </c>
      <c r="M579" s="368"/>
      <c r="N579" s="368"/>
      <c r="O579" s="271">
        <f>IFERROR(Table17[[#This Row],[PROFIT]]/Table17[[#This Row],[TO]],0)</f>
        <v>0</v>
      </c>
      <c r="P579" s="177"/>
      <c r="Q579" s="177"/>
      <c r="R579" s="177"/>
    </row>
    <row r="580" spans="1:18" ht="30" hidden="1" x14ac:dyDescent="0.25">
      <c r="A580" s="29" t="s">
        <v>5143</v>
      </c>
      <c r="B580" s="29" t="s">
        <v>5142</v>
      </c>
      <c r="C580" s="29" t="s">
        <v>83</v>
      </c>
      <c r="D580" s="29" t="str">
        <f>VLOOKUP(C:C,'COUNT-CONT'!B:C,2,FALSE)</f>
        <v>Europe</v>
      </c>
      <c r="E580" s="29">
        <v>5</v>
      </c>
      <c r="F580" s="28">
        <v>2609</v>
      </c>
      <c r="G580" s="28">
        <v>5593417477</v>
      </c>
      <c r="H580" s="29">
        <v>27.45</v>
      </c>
      <c r="I580" s="142">
        <v>-51.989999999999995</v>
      </c>
      <c r="J580" s="29">
        <v>16.690000000000001</v>
      </c>
      <c r="K580" s="29">
        <v>15.51</v>
      </c>
      <c r="L580" s="29">
        <v>29.84</v>
      </c>
      <c r="M580" s="368"/>
      <c r="N580" s="368"/>
      <c r="O580" s="271">
        <f>IFERROR(Table17[[#This Row],[PROFIT]]/Table17[[#This Row],[TO]],0)</f>
        <v>0</v>
      </c>
      <c r="P580" s="177"/>
      <c r="Q580" s="177"/>
      <c r="R580" s="177"/>
    </row>
    <row r="581" spans="1:18" ht="30" hidden="1" x14ac:dyDescent="0.25">
      <c r="A581" s="29" t="s">
        <v>4335</v>
      </c>
      <c r="B581" s="29" t="s">
        <v>4334</v>
      </c>
      <c r="C581" s="29" t="s">
        <v>3350</v>
      </c>
      <c r="D581" s="29" t="str">
        <f>VLOOKUP(C:C,'COUNT-CONT'!B:C,2,FALSE)</f>
        <v>North America</v>
      </c>
      <c r="E581" s="29">
        <v>8</v>
      </c>
      <c r="F581" s="28">
        <v>2920</v>
      </c>
      <c r="G581" s="28">
        <v>4353012328</v>
      </c>
      <c r="H581" s="29">
        <v>27.45</v>
      </c>
      <c r="I581" s="142">
        <v>-51.989999999999995</v>
      </c>
      <c r="J581" s="29">
        <v>8.86</v>
      </c>
      <c r="K581" s="29">
        <v>6.32</v>
      </c>
      <c r="L581" s="29">
        <v>21.13</v>
      </c>
      <c r="M581" s="368"/>
      <c r="N581" s="368"/>
      <c r="O581" s="271">
        <f>IFERROR(Table17[[#This Row],[PROFIT]]/Table17[[#This Row],[TO]],0)</f>
        <v>0</v>
      </c>
      <c r="P581" s="177"/>
      <c r="Q581" s="177"/>
      <c r="R581" s="177"/>
    </row>
    <row r="582" spans="1:18" ht="30" hidden="1" x14ac:dyDescent="0.25">
      <c r="A582" s="29" t="s">
        <v>5441</v>
      </c>
      <c r="B582" s="29" t="s">
        <v>5440</v>
      </c>
      <c r="C582" s="29" t="s">
        <v>11732</v>
      </c>
      <c r="D582" s="29" t="str">
        <f>VLOOKUP(C:C,'COUNT-CONT'!B:C,2,FALSE)</f>
        <v>North America</v>
      </c>
      <c r="E582" s="29">
        <v>9</v>
      </c>
      <c r="F582" s="28">
        <v>4301</v>
      </c>
      <c r="G582" s="28">
        <v>6479354475</v>
      </c>
      <c r="H582" s="29">
        <v>27.39</v>
      </c>
      <c r="I582" s="142">
        <v>-52.05</v>
      </c>
      <c r="J582" s="29">
        <v>22.34</v>
      </c>
      <c r="K582" s="29">
        <v>22.34</v>
      </c>
      <c r="L582" s="29">
        <v>36.03</v>
      </c>
      <c r="M582" s="368"/>
      <c r="N582" s="368"/>
      <c r="O582" s="271">
        <f>IFERROR(Table17[[#This Row],[PROFIT]]/Table17[[#This Row],[TO]],0)</f>
        <v>0</v>
      </c>
      <c r="P582" s="177"/>
      <c r="Q582" s="177"/>
      <c r="R582" s="177"/>
    </row>
    <row r="583" spans="1:18" ht="30" hidden="1" x14ac:dyDescent="0.25">
      <c r="A583" s="29" t="s">
        <v>4863</v>
      </c>
      <c r="B583" s="29" t="s">
        <v>4862</v>
      </c>
      <c r="C583" s="29" t="s">
        <v>4861</v>
      </c>
      <c r="D583" s="29" t="str">
        <f>VLOOKUP(C:C,'COUNT-CONT'!B:C,2,FALSE)</f>
        <v>North America</v>
      </c>
      <c r="E583" s="29">
        <v>10</v>
      </c>
      <c r="F583" s="28">
        <v>3630</v>
      </c>
      <c r="G583" s="28">
        <v>4970430303</v>
      </c>
      <c r="H583" s="29">
        <v>27.39</v>
      </c>
      <c r="I583" s="142">
        <v>-52.05</v>
      </c>
      <c r="J583" s="29">
        <v>13.42</v>
      </c>
      <c r="K583" s="29">
        <v>11.37</v>
      </c>
      <c r="L583" s="29">
        <v>25.85</v>
      </c>
      <c r="M583" s="368"/>
      <c r="N583" s="368"/>
      <c r="O583" s="271">
        <f>IFERROR(Table17[[#This Row],[PROFIT]]/Table17[[#This Row],[TO]],0)</f>
        <v>0</v>
      </c>
      <c r="P583" s="177"/>
      <c r="Q583" s="177"/>
      <c r="R583" s="177"/>
    </row>
    <row r="584" spans="1:18" ht="30" hidden="1" x14ac:dyDescent="0.25">
      <c r="A584" s="29" t="s">
        <v>4691</v>
      </c>
      <c r="B584" s="29" t="s">
        <v>4690</v>
      </c>
      <c r="C584" s="29" t="s">
        <v>1117</v>
      </c>
      <c r="D584" s="29" t="str">
        <f>VLOOKUP(C:C,'COUNT-CONT'!B:C,2,FALSE)</f>
        <v>Europe</v>
      </c>
      <c r="E584" s="29">
        <v>7</v>
      </c>
      <c r="F584" s="28">
        <v>2721</v>
      </c>
      <c r="G584" s="28">
        <v>4741663138</v>
      </c>
      <c r="H584" s="29">
        <v>27.39</v>
      </c>
      <c r="I584" s="142">
        <v>-52.05</v>
      </c>
      <c r="J584" s="29">
        <v>11.52</v>
      </c>
      <c r="K584" s="29">
        <v>9.61</v>
      </c>
      <c r="L584" s="29">
        <v>24.03</v>
      </c>
      <c r="M584" s="368"/>
      <c r="N584" s="368"/>
      <c r="O584" s="271">
        <f>IFERROR(Table17[[#This Row],[PROFIT]]/Table17[[#This Row],[TO]],0)</f>
        <v>0</v>
      </c>
      <c r="P584" s="177"/>
      <c r="Q584" s="177"/>
      <c r="R584" s="177"/>
    </row>
    <row r="585" spans="1:18" hidden="1" x14ac:dyDescent="0.25">
      <c r="A585" s="29" t="s">
        <v>4510</v>
      </c>
      <c r="B585" s="29" t="s">
        <v>4509</v>
      </c>
      <c r="C585" s="29" t="s">
        <v>78</v>
      </c>
      <c r="D585" s="29" t="str">
        <f>VLOOKUP(C:C,'COUNT-CONT'!B:C,2,FALSE)</f>
        <v>Europe</v>
      </c>
      <c r="E585" s="29">
        <v>9</v>
      </c>
      <c r="F585" s="28">
        <v>3154</v>
      </c>
      <c r="G585" s="28">
        <v>4513863474</v>
      </c>
      <c r="H585" s="29">
        <v>27.33</v>
      </c>
      <c r="I585" s="142">
        <v>-52.11</v>
      </c>
      <c r="J585" s="29">
        <v>9.85</v>
      </c>
      <c r="K585" s="29">
        <v>8.0399999999999991</v>
      </c>
      <c r="L585" s="29">
        <v>22.4</v>
      </c>
      <c r="M585" s="368"/>
      <c r="N585" s="368"/>
      <c r="O585" s="271">
        <f>IFERROR(Table17[[#This Row],[PROFIT]]/Table17[[#This Row],[TO]],0)</f>
        <v>0</v>
      </c>
      <c r="P585" s="177"/>
      <c r="Q585" s="177"/>
      <c r="R585" s="177"/>
    </row>
    <row r="586" spans="1:18" hidden="1" x14ac:dyDescent="0.25">
      <c r="A586" s="29" t="s">
        <v>4229</v>
      </c>
      <c r="B586" s="29" t="s">
        <v>4228</v>
      </c>
      <c r="C586" s="29" t="s">
        <v>1124</v>
      </c>
      <c r="D586" s="29" t="str">
        <f>VLOOKUP(C:C,'COUNT-CONT'!B:C,2,FALSE)</f>
        <v>Africa</v>
      </c>
      <c r="E586" s="29">
        <v>8</v>
      </c>
      <c r="F586" s="28">
        <v>3104</v>
      </c>
      <c r="G586" s="28">
        <v>4266981443</v>
      </c>
      <c r="H586" s="29">
        <v>27.3</v>
      </c>
      <c r="I586" s="142">
        <v>-52.14</v>
      </c>
      <c r="J586" s="29">
        <v>8.1300000000000008</v>
      </c>
      <c r="K586" s="29">
        <v>5.68</v>
      </c>
      <c r="L586" s="29">
        <v>20.37</v>
      </c>
      <c r="M586" s="368"/>
      <c r="N586" s="368"/>
      <c r="O586" s="271">
        <f>IFERROR(Table17[[#This Row],[PROFIT]]/Table17[[#This Row],[TO]],0)</f>
        <v>0</v>
      </c>
      <c r="P586" s="177"/>
      <c r="Q586" s="177"/>
      <c r="R586" s="177"/>
    </row>
    <row r="587" spans="1:18" hidden="1" x14ac:dyDescent="0.25">
      <c r="A587" s="29" t="s">
        <v>4535</v>
      </c>
      <c r="B587" s="29" t="s">
        <v>4534</v>
      </c>
      <c r="C587" s="29" t="s">
        <v>1420</v>
      </c>
      <c r="D587" s="29" t="str">
        <f>VLOOKUP(C:C,'COUNT-CONT'!B:C,2,FALSE)</f>
        <v>Europe</v>
      </c>
      <c r="E587" s="29">
        <v>10</v>
      </c>
      <c r="F587" s="28">
        <v>3663</v>
      </c>
      <c r="G587" s="28">
        <v>4561500300</v>
      </c>
      <c r="H587" s="29">
        <v>27.3</v>
      </c>
      <c r="I587" s="142">
        <v>-52.14</v>
      </c>
      <c r="J587" s="29">
        <v>10.46</v>
      </c>
      <c r="K587" s="29">
        <v>8.19</v>
      </c>
      <c r="L587" s="29">
        <v>22.76</v>
      </c>
      <c r="M587" s="368"/>
      <c r="N587" s="368"/>
      <c r="O587" s="271">
        <f>IFERROR(Table17[[#This Row],[PROFIT]]/Table17[[#This Row],[TO]],0)</f>
        <v>0</v>
      </c>
      <c r="P587" s="177"/>
      <c r="Q587" s="177"/>
      <c r="R587" s="177"/>
    </row>
    <row r="588" spans="1:18" hidden="1" x14ac:dyDescent="0.25">
      <c r="A588" s="29" t="s">
        <v>4983</v>
      </c>
      <c r="B588" s="29" t="s">
        <v>4982</v>
      </c>
      <c r="C588" s="29" t="s">
        <v>142</v>
      </c>
      <c r="D588" s="29" t="str">
        <f>VLOOKUP(C:C,'COUNT-CONT'!B:C,2,FALSE)</f>
        <v>Asia</v>
      </c>
      <c r="E588" s="29">
        <v>6</v>
      </c>
      <c r="F588" s="28">
        <v>2778</v>
      </c>
      <c r="G588" s="28">
        <v>5265368322</v>
      </c>
      <c r="H588" s="29">
        <v>27.27</v>
      </c>
      <c r="I588" s="142">
        <v>-52.17</v>
      </c>
      <c r="J588" s="29">
        <v>14.72</v>
      </c>
      <c r="K588" s="29">
        <v>13.09</v>
      </c>
      <c r="L588" s="29">
        <v>27.27</v>
      </c>
      <c r="M588" s="368"/>
      <c r="N588" s="368"/>
      <c r="O588" s="271">
        <f>IFERROR(Table17[[#This Row],[PROFIT]]/Table17[[#This Row],[TO]],0)</f>
        <v>0</v>
      </c>
      <c r="P588" s="177"/>
      <c r="Q588" s="177"/>
      <c r="R588" s="177"/>
    </row>
    <row r="589" spans="1:18" hidden="1" x14ac:dyDescent="0.25">
      <c r="A589" s="29" t="s">
        <v>4764</v>
      </c>
      <c r="B589" s="29" t="s">
        <v>4763</v>
      </c>
      <c r="C589" s="29" t="s">
        <v>258</v>
      </c>
      <c r="D589" s="29" t="str">
        <f>VLOOKUP(C:C,'COUNT-CONT'!B:C,2,FALSE)</f>
        <v>Asia</v>
      </c>
      <c r="E589" s="29">
        <v>8</v>
      </c>
      <c r="F589" s="28">
        <v>3050</v>
      </c>
      <c r="G589" s="28">
        <v>4902355737</v>
      </c>
      <c r="H589" s="29">
        <v>27.27</v>
      </c>
      <c r="I589" s="142">
        <v>-52.17</v>
      </c>
      <c r="J589" s="29">
        <v>11.88</v>
      </c>
      <c r="K589" s="29">
        <v>10.4</v>
      </c>
      <c r="L589" s="29">
        <v>24.79</v>
      </c>
      <c r="M589" s="368"/>
      <c r="N589" s="368"/>
      <c r="O589" s="271">
        <f>IFERROR(Table17[[#This Row],[PROFIT]]/Table17[[#This Row],[TO]],0)</f>
        <v>0</v>
      </c>
      <c r="P589" s="177"/>
      <c r="Q589" s="177"/>
      <c r="R589" s="177"/>
    </row>
    <row r="590" spans="1:18" ht="30" hidden="1" x14ac:dyDescent="0.25">
      <c r="A590" s="29" t="s">
        <v>3339</v>
      </c>
      <c r="B590" s="29" t="s">
        <v>3338</v>
      </c>
      <c r="C590" s="29" t="s">
        <v>725</v>
      </c>
      <c r="D590" s="29" t="e">
        <f>VLOOKUP(C:C,'COUNT-CONT'!B:C,2,FALSE)</f>
        <v>#N/A</v>
      </c>
      <c r="E590" s="29">
        <v>10</v>
      </c>
      <c r="F590" s="28">
        <v>3540</v>
      </c>
      <c r="G590" s="28">
        <v>3993934463</v>
      </c>
      <c r="H590" s="29">
        <v>27.18</v>
      </c>
      <c r="I590" s="142">
        <v>-52.26</v>
      </c>
      <c r="J590" s="29">
        <v>3.08</v>
      </c>
      <c r="K590" s="29">
        <v>0.6</v>
      </c>
      <c r="L590" s="29">
        <v>15.45</v>
      </c>
      <c r="M590" s="368"/>
      <c r="N590" s="368"/>
      <c r="O590" s="271">
        <f>IFERROR(Table17[[#This Row],[PROFIT]]/Table17[[#This Row],[TO]],0)</f>
        <v>0</v>
      </c>
      <c r="P590" s="177"/>
      <c r="Q590" s="177"/>
      <c r="R590" s="177"/>
    </row>
    <row r="591" spans="1:18" ht="30" hidden="1" x14ac:dyDescent="0.25">
      <c r="A591" s="29" t="s">
        <v>132</v>
      </c>
      <c r="B591" s="29" t="s">
        <v>5426</v>
      </c>
      <c r="C591" s="29" t="s">
        <v>11732</v>
      </c>
      <c r="D591" s="29" t="str">
        <f>VLOOKUP(C:C,'COUNT-CONT'!B:C,2,FALSE)</f>
        <v>North America</v>
      </c>
      <c r="E591" s="29">
        <v>9</v>
      </c>
      <c r="F591" s="28">
        <v>4268</v>
      </c>
      <c r="G591" s="28">
        <v>6446131958</v>
      </c>
      <c r="H591" s="29">
        <v>27.18</v>
      </c>
      <c r="I591" s="142">
        <v>-52.26</v>
      </c>
      <c r="J591" s="29">
        <v>22.19</v>
      </c>
      <c r="K591" s="29">
        <v>22.19</v>
      </c>
      <c r="L591" s="29">
        <v>35.79</v>
      </c>
      <c r="M591" s="368"/>
      <c r="N591" s="368"/>
      <c r="O591" s="271">
        <f>IFERROR(Table17[[#This Row],[PROFIT]]/Table17[[#This Row],[TO]],0)</f>
        <v>0</v>
      </c>
      <c r="P591" s="177"/>
      <c r="Q591" s="177"/>
      <c r="R591" s="177"/>
    </row>
    <row r="592" spans="1:18" hidden="1" x14ac:dyDescent="0.25">
      <c r="A592" s="29" t="s">
        <v>4651</v>
      </c>
      <c r="B592" s="29" t="s">
        <v>4650</v>
      </c>
      <c r="C592" s="29" t="s">
        <v>1117</v>
      </c>
      <c r="D592" s="29" t="str">
        <f>VLOOKUP(C:C,'COUNT-CONT'!B:C,2,FALSE)</f>
        <v>Europe</v>
      </c>
      <c r="E592" s="29">
        <v>10</v>
      </c>
      <c r="F592" s="28">
        <v>3510</v>
      </c>
      <c r="G592" s="28">
        <v>4685790313</v>
      </c>
      <c r="H592" s="29">
        <v>27.06</v>
      </c>
      <c r="I592" s="142">
        <v>-52.379999999999995</v>
      </c>
      <c r="J592" s="29">
        <v>11.4</v>
      </c>
      <c r="K592" s="29">
        <v>9.49</v>
      </c>
      <c r="L592" s="29">
        <v>23.73</v>
      </c>
      <c r="M592" s="368"/>
      <c r="N592" s="368"/>
      <c r="O592" s="271">
        <f>IFERROR(Table17[[#This Row],[PROFIT]]/Table17[[#This Row],[TO]],0)</f>
        <v>0</v>
      </c>
      <c r="P592" s="177"/>
      <c r="Q592" s="177"/>
      <c r="R592" s="177"/>
    </row>
    <row r="593" spans="1:18" hidden="1" x14ac:dyDescent="0.25">
      <c r="A593" s="29" t="s">
        <v>3668</v>
      </c>
      <c r="B593" s="29" t="s">
        <v>3667</v>
      </c>
      <c r="C593" s="29" t="s">
        <v>1516</v>
      </c>
      <c r="D593" s="29" t="str">
        <f>VLOOKUP(C:C,'COUNT-CONT'!B:C,2,FALSE)</f>
        <v>Africa</v>
      </c>
      <c r="E593" s="29">
        <v>10</v>
      </c>
      <c r="F593" s="28">
        <v>3666</v>
      </c>
      <c r="G593" s="28">
        <v>3979154555</v>
      </c>
      <c r="H593" s="29">
        <v>27.06</v>
      </c>
      <c r="I593" s="142">
        <v>-52.379999999999995</v>
      </c>
      <c r="J593" s="29">
        <v>4.72</v>
      </c>
      <c r="K593" s="29">
        <v>2.36</v>
      </c>
      <c r="L593" s="29">
        <v>16.899999999999999</v>
      </c>
      <c r="M593" s="368"/>
      <c r="N593" s="368"/>
      <c r="O593" s="271">
        <f>IFERROR(Table17[[#This Row],[PROFIT]]/Table17[[#This Row],[TO]],0)</f>
        <v>0</v>
      </c>
      <c r="P593" s="177"/>
      <c r="Q593" s="177"/>
      <c r="R593" s="177"/>
    </row>
    <row r="594" spans="1:18" ht="30" x14ac:dyDescent="0.25">
      <c r="A594" s="29" t="s">
        <v>4835</v>
      </c>
      <c r="B594" s="29" t="s">
        <v>4834</v>
      </c>
      <c r="C594" s="29" t="s">
        <v>662</v>
      </c>
      <c r="D594" s="29" t="str">
        <f>VLOOKUP(C:C,'COUNT-CONT'!B:C,2,FALSE)</f>
        <v>Oceania</v>
      </c>
      <c r="E594" s="29">
        <v>10</v>
      </c>
      <c r="F594" s="28">
        <v>3712</v>
      </c>
      <c r="G594" s="28">
        <v>4935736206</v>
      </c>
      <c r="H594" s="29">
        <v>27.06</v>
      </c>
      <c r="I594" s="142">
        <v>-52.379999999999995</v>
      </c>
      <c r="J594" s="29">
        <v>13.27</v>
      </c>
      <c r="K594" s="29">
        <v>11.22</v>
      </c>
      <c r="L594" s="29">
        <v>25.54</v>
      </c>
      <c r="M594" s="368"/>
      <c r="N594" s="368"/>
      <c r="O594" s="271">
        <f>IFERROR(Table17[[#This Row],[PROFIT]]/Table17[[#This Row],[TO]],0)</f>
        <v>0</v>
      </c>
      <c r="P594" s="177"/>
      <c r="Q594" s="177"/>
      <c r="R594" s="177"/>
    </row>
    <row r="595" spans="1:18" ht="30" hidden="1" x14ac:dyDescent="0.25">
      <c r="A595" s="29" t="s">
        <v>3313</v>
      </c>
      <c r="B595" s="29" t="s">
        <v>3312</v>
      </c>
      <c r="C595" s="29" t="s">
        <v>725</v>
      </c>
      <c r="D595" s="29" t="e">
        <f>VLOOKUP(C:C,'COUNT-CONT'!B:C,2,FALSE)</f>
        <v>#N/A</v>
      </c>
      <c r="E595" s="29">
        <v>9</v>
      </c>
      <c r="F595" s="28">
        <v>3274</v>
      </c>
      <c r="G595" s="28">
        <v>3981780452</v>
      </c>
      <c r="H595" s="29">
        <v>27.03</v>
      </c>
      <c r="I595" s="142">
        <v>-52.41</v>
      </c>
      <c r="J595" s="29">
        <v>3.05</v>
      </c>
      <c r="K595" s="29">
        <v>0.6</v>
      </c>
      <c r="L595" s="29">
        <v>15.36</v>
      </c>
      <c r="M595" s="368"/>
      <c r="N595" s="368"/>
      <c r="O595" s="271">
        <f>IFERROR(Table17[[#This Row],[PROFIT]]/Table17[[#This Row],[TO]],0)</f>
        <v>0</v>
      </c>
      <c r="P595" s="177"/>
      <c r="Q595" s="177"/>
      <c r="R595" s="177"/>
    </row>
    <row r="596" spans="1:18" ht="30" hidden="1" x14ac:dyDescent="0.25">
      <c r="A596" s="29" t="s">
        <v>4160</v>
      </c>
      <c r="B596" s="29" t="s">
        <v>4159</v>
      </c>
      <c r="C596" s="29" t="s">
        <v>502</v>
      </c>
      <c r="D596" s="29" t="str">
        <f>VLOOKUP(C:C,'COUNT-CONT'!B:C,2,FALSE)</f>
        <v>Asia</v>
      </c>
      <c r="E596" s="29">
        <v>10</v>
      </c>
      <c r="F596" s="28">
        <v>3526</v>
      </c>
      <c r="G596" s="28">
        <v>4305868235</v>
      </c>
      <c r="H596" s="29">
        <v>27.03</v>
      </c>
      <c r="I596" s="142">
        <v>-52.41</v>
      </c>
      <c r="J596" s="29">
        <v>7.56</v>
      </c>
      <c r="K596" s="29">
        <v>5.56</v>
      </c>
      <c r="L596" s="29">
        <v>19.89</v>
      </c>
      <c r="M596" s="368"/>
      <c r="N596" s="368"/>
      <c r="O596" s="271">
        <f>IFERROR(Table17[[#This Row],[PROFIT]]/Table17[[#This Row],[TO]],0)</f>
        <v>0</v>
      </c>
      <c r="P596" s="177"/>
      <c r="Q596" s="177"/>
      <c r="R596" s="177"/>
    </row>
    <row r="597" spans="1:18" hidden="1" x14ac:dyDescent="0.25">
      <c r="A597" s="29" t="s">
        <v>4822</v>
      </c>
      <c r="B597" s="29" t="s">
        <v>4821</v>
      </c>
      <c r="C597" s="29" t="s">
        <v>992</v>
      </c>
      <c r="D597" s="29" t="str">
        <f>VLOOKUP(C:C,'COUNT-CONT'!B:C,2,FALSE)</f>
        <v>Europe</v>
      </c>
      <c r="E597" s="29">
        <v>10</v>
      </c>
      <c r="F597" s="28">
        <v>3579</v>
      </c>
      <c r="G597" s="28">
        <v>4988348421</v>
      </c>
      <c r="H597" s="29">
        <v>27.03</v>
      </c>
      <c r="I597" s="142">
        <v>-52.41</v>
      </c>
      <c r="J597" s="29">
        <v>12.73</v>
      </c>
      <c r="K597" s="29">
        <v>11.22</v>
      </c>
      <c r="L597" s="29">
        <v>25.48</v>
      </c>
      <c r="M597" s="368"/>
      <c r="N597" s="368"/>
      <c r="O597" s="271">
        <f>IFERROR(Table17[[#This Row],[PROFIT]]/Table17[[#This Row],[TO]],0)</f>
        <v>0</v>
      </c>
      <c r="P597" s="177"/>
      <c r="Q597" s="177"/>
      <c r="R597" s="177"/>
    </row>
    <row r="598" spans="1:18" ht="30" hidden="1" x14ac:dyDescent="0.25">
      <c r="A598" s="29" t="s">
        <v>4291</v>
      </c>
      <c r="B598" s="29" t="s">
        <v>4290</v>
      </c>
      <c r="C598" s="29" t="s">
        <v>1144</v>
      </c>
      <c r="D598" s="29" t="str">
        <f>VLOOKUP(C:C,'COUNT-CONT'!B:C,2,FALSE)</f>
        <v>South America</v>
      </c>
      <c r="E598" s="29">
        <v>10</v>
      </c>
      <c r="F598" s="28">
        <v>3940</v>
      </c>
      <c r="G598" s="28">
        <v>4309387817</v>
      </c>
      <c r="H598" s="29">
        <v>27</v>
      </c>
      <c r="I598" s="142">
        <v>-52.44</v>
      </c>
      <c r="J598" s="29">
        <v>8.7100000000000009</v>
      </c>
      <c r="K598" s="29">
        <v>6.23</v>
      </c>
      <c r="L598" s="29">
        <v>20.77</v>
      </c>
      <c r="M598" s="368"/>
      <c r="N598" s="368"/>
      <c r="O598" s="271">
        <f>IFERROR(Table17[[#This Row],[PROFIT]]/Table17[[#This Row],[TO]],0)</f>
        <v>0</v>
      </c>
      <c r="P598" s="177"/>
      <c r="Q598" s="177"/>
      <c r="R598" s="177"/>
    </row>
    <row r="599" spans="1:18" hidden="1" x14ac:dyDescent="0.25">
      <c r="A599" s="29" t="s">
        <v>3650</v>
      </c>
      <c r="B599" s="29" t="s">
        <v>3649</v>
      </c>
      <c r="C599" s="29" t="s">
        <v>881</v>
      </c>
      <c r="D599" s="29" t="str">
        <f>VLOOKUP(C:C,'COUNT-CONT'!B:C,2,FALSE)</f>
        <v>Africa</v>
      </c>
      <c r="E599" s="29">
        <v>8</v>
      </c>
      <c r="F599" s="28">
        <v>3030</v>
      </c>
      <c r="G599" s="28">
        <v>3985036303</v>
      </c>
      <c r="H599" s="29">
        <v>26.93</v>
      </c>
      <c r="I599" s="142">
        <v>-52.51</v>
      </c>
      <c r="J599" s="29">
        <v>4.6900000000000004</v>
      </c>
      <c r="K599" s="29">
        <v>2</v>
      </c>
      <c r="L599" s="29">
        <v>16.84</v>
      </c>
      <c r="M599" s="368"/>
      <c r="N599" s="368"/>
      <c r="O599" s="271">
        <f>IFERROR(Table17[[#This Row],[PROFIT]]/Table17[[#This Row],[TO]],0)</f>
        <v>0</v>
      </c>
      <c r="P599" s="177"/>
      <c r="Q599" s="177"/>
      <c r="R599" s="177"/>
    </row>
    <row r="600" spans="1:18" ht="30" hidden="1" x14ac:dyDescent="0.25">
      <c r="A600" s="29" t="s">
        <v>5411</v>
      </c>
      <c r="B600" s="29" t="s">
        <v>5410</v>
      </c>
      <c r="C600" s="29" t="s">
        <v>11732</v>
      </c>
      <c r="D600" s="29" t="str">
        <f>VLOOKUP(C:C,'COUNT-CONT'!B:C,2,FALSE)</f>
        <v>North America</v>
      </c>
      <c r="E600" s="29">
        <v>10</v>
      </c>
      <c r="F600" s="28">
        <v>5550</v>
      </c>
      <c r="G600" s="28">
        <v>6437398198</v>
      </c>
      <c r="H600" s="29">
        <v>26.9</v>
      </c>
      <c r="I600" s="142">
        <v>-52.54</v>
      </c>
      <c r="J600" s="29">
        <v>21.95</v>
      </c>
      <c r="K600" s="29">
        <v>21.95</v>
      </c>
      <c r="L600" s="29">
        <v>35.4</v>
      </c>
      <c r="M600" s="368"/>
      <c r="N600" s="368"/>
      <c r="O600" s="271">
        <f>IFERROR(Table17[[#This Row],[PROFIT]]/Table17[[#This Row],[TO]],0)</f>
        <v>0</v>
      </c>
      <c r="P600" s="177"/>
      <c r="Q600" s="177"/>
      <c r="R600" s="177"/>
    </row>
    <row r="601" spans="1:18" ht="30" hidden="1" x14ac:dyDescent="0.25">
      <c r="A601" s="29" t="s">
        <v>4138</v>
      </c>
      <c r="B601" s="29" t="s">
        <v>4137</v>
      </c>
      <c r="C601" s="29" t="s">
        <v>1261</v>
      </c>
      <c r="D601" s="29" t="str">
        <f>VLOOKUP(C:C,'COUNT-CONT'!B:C,2,FALSE)</f>
        <v>Asia</v>
      </c>
      <c r="E601" s="29">
        <v>6</v>
      </c>
      <c r="F601" s="28">
        <v>2576</v>
      </c>
      <c r="G601" s="28">
        <v>4253018633</v>
      </c>
      <c r="H601" s="29">
        <v>26.87</v>
      </c>
      <c r="I601" s="142">
        <v>-52.569999999999993</v>
      </c>
      <c r="J601" s="29">
        <v>7.5</v>
      </c>
      <c r="K601" s="29">
        <v>5.53</v>
      </c>
      <c r="L601" s="29">
        <v>19.77</v>
      </c>
      <c r="M601" s="368"/>
      <c r="N601" s="368"/>
      <c r="O601" s="271">
        <f>IFERROR(Table17[[#This Row],[PROFIT]]/Table17[[#This Row],[TO]],0)</f>
        <v>0</v>
      </c>
      <c r="P601" s="177"/>
      <c r="Q601" s="177"/>
      <c r="R601" s="177"/>
    </row>
    <row r="602" spans="1:18" ht="45" hidden="1" x14ac:dyDescent="0.25">
      <c r="A602" s="29" t="s">
        <v>4731</v>
      </c>
      <c r="B602" s="29" t="s">
        <v>4730</v>
      </c>
      <c r="C602" s="29" t="s">
        <v>1749</v>
      </c>
      <c r="D602" s="29" t="str">
        <f>VLOOKUP(C:C,'COUNT-CONT'!B:C,2,FALSE)</f>
        <v>North America</v>
      </c>
      <c r="E602" s="29">
        <v>6</v>
      </c>
      <c r="F602" s="28">
        <v>2464</v>
      </c>
      <c r="G602" s="28">
        <v>4811628571</v>
      </c>
      <c r="H602" s="29">
        <v>26.87</v>
      </c>
      <c r="I602" s="142">
        <v>-52.569999999999993</v>
      </c>
      <c r="J602" s="29">
        <v>12.21</v>
      </c>
      <c r="K602" s="29">
        <v>10.25</v>
      </c>
      <c r="L602" s="29">
        <v>24.43</v>
      </c>
      <c r="M602" s="368"/>
      <c r="N602" s="368"/>
      <c r="O602" s="271">
        <f>IFERROR(Table17[[#This Row],[PROFIT]]/Table17[[#This Row],[TO]],0)</f>
        <v>0</v>
      </c>
      <c r="P602" s="177"/>
      <c r="Q602" s="177"/>
      <c r="R602" s="177"/>
    </row>
    <row r="603" spans="1:18" hidden="1" x14ac:dyDescent="0.25">
      <c r="A603" s="29" t="s">
        <v>4477</v>
      </c>
      <c r="B603" s="29" t="s">
        <v>4476</v>
      </c>
      <c r="C603" s="29" t="s">
        <v>722</v>
      </c>
      <c r="D603" s="29" t="str">
        <f>VLOOKUP(C:C,'COUNT-CONT'!B:C,2,FALSE)</f>
        <v>Europe</v>
      </c>
      <c r="E603" s="29">
        <v>10</v>
      </c>
      <c r="F603" s="28">
        <v>3876</v>
      </c>
      <c r="G603" s="28">
        <v>4470697729</v>
      </c>
      <c r="H603" s="29">
        <v>26.87</v>
      </c>
      <c r="I603" s="142">
        <v>-52.569999999999993</v>
      </c>
      <c r="J603" s="29">
        <v>9.67</v>
      </c>
      <c r="K603" s="29">
        <v>7.92</v>
      </c>
      <c r="L603" s="29">
        <v>22.04</v>
      </c>
      <c r="M603" s="368"/>
      <c r="N603" s="368"/>
      <c r="O603" s="271">
        <f>IFERROR(Table17[[#This Row],[PROFIT]]/Table17[[#This Row],[TO]],0)</f>
        <v>0</v>
      </c>
      <c r="P603" s="177"/>
      <c r="Q603" s="177"/>
      <c r="R603" s="177"/>
    </row>
    <row r="604" spans="1:18" hidden="1" x14ac:dyDescent="0.25">
      <c r="A604" s="29" t="s">
        <v>4995</v>
      </c>
      <c r="B604" s="29" t="s">
        <v>4994</v>
      </c>
      <c r="C604" s="29" t="s">
        <v>585</v>
      </c>
      <c r="D604" s="29" t="str">
        <f>VLOOKUP(C:C,'COUNT-CONT'!B:C,2,FALSE)</f>
        <v>Europe</v>
      </c>
      <c r="E604" s="29">
        <v>3</v>
      </c>
      <c r="F604" s="28">
        <v>1857</v>
      </c>
      <c r="G604" s="28">
        <v>5394553257</v>
      </c>
      <c r="H604" s="29">
        <v>26.84</v>
      </c>
      <c r="I604" s="142">
        <v>-52.599999999999994</v>
      </c>
      <c r="J604" s="29">
        <v>14.78</v>
      </c>
      <c r="K604" s="29">
        <v>13.69</v>
      </c>
      <c r="L604" s="29">
        <v>27.39</v>
      </c>
      <c r="M604" s="368"/>
      <c r="N604" s="368"/>
      <c r="O604" s="271">
        <f>IFERROR(Table17[[#This Row],[PROFIT]]/Table17[[#This Row],[TO]],0)</f>
        <v>0</v>
      </c>
      <c r="P604" s="177"/>
      <c r="Q604" s="177"/>
      <c r="R604" s="177"/>
    </row>
    <row r="605" spans="1:18" ht="30" hidden="1" x14ac:dyDescent="0.25">
      <c r="A605" s="29" t="s">
        <v>4735</v>
      </c>
      <c r="B605" s="29" t="s">
        <v>4734</v>
      </c>
      <c r="C605" s="29" t="s">
        <v>1749</v>
      </c>
      <c r="D605" s="29" t="str">
        <f>VLOOKUP(C:C,'COUNT-CONT'!B:C,2,FALSE)</f>
        <v>North America</v>
      </c>
      <c r="E605" s="29">
        <v>9</v>
      </c>
      <c r="F605" s="28">
        <v>3428</v>
      </c>
      <c r="G605" s="28">
        <v>4772886814</v>
      </c>
      <c r="H605" s="29">
        <v>26.84</v>
      </c>
      <c r="I605" s="142">
        <v>-52.599999999999994</v>
      </c>
      <c r="J605" s="29">
        <v>12.21</v>
      </c>
      <c r="K605" s="29">
        <v>10.25</v>
      </c>
      <c r="L605" s="29">
        <v>24.43</v>
      </c>
      <c r="M605" s="368"/>
      <c r="N605" s="368"/>
      <c r="O605" s="271">
        <f>IFERROR(Table17[[#This Row],[PROFIT]]/Table17[[#This Row],[TO]],0)</f>
        <v>0</v>
      </c>
      <c r="P605" s="177"/>
      <c r="Q605" s="177"/>
      <c r="R605" s="177"/>
    </row>
    <row r="606" spans="1:18" hidden="1" x14ac:dyDescent="0.25">
      <c r="A606" s="29" t="s">
        <v>4727</v>
      </c>
      <c r="B606" s="29" t="s">
        <v>4726</v>
      </c>
      <c r="C606" s="29" t="s">
        <v>758</v>
      </c>
      <c r="D606" s="29" t="str">
        <f>VLOOKUP(C:C,'COUNT-CONT'!B:C,2,FALSE)</f>
        <v>Europe</v>
      </c>
      <c r="E606" s="29">
        <v>7</v>
      </c>
      <c r="F606" s="28">
        <v>2681</v>
      </c>
      <c r="G606" s="28">
        <v>4804494666</v>
      </c>
      <c r="H606" s="29">
        <v>26.81</v>
      </c>
      <c r="I606" s="142">
        <v>-52.629999999999995</v>
      </c>
      <c r="J606" s="29">
        <v>12.18</v>
      </c>
      <c r="K606" s="29">
        <v>10.220000000000001</v>
      </c>
      <c r="L606" s="29">
        <v>24.4</v>
      </c>
      <c r="M606" s="368"/>
      <c r="N606" s="368"/>
      <c r="O606" s="271">
        <f>IFERROR(Table17[[#This Row],[PROFIT]]/Table17[[#This Row],[TO]],0)</f>
        <v>0</v>
      </c>
      <c r="P606" s="177"/>
      <c r="Q606" s="177"/>
      <c r="R606" s="177"/>
    </row>
    <row r="607" spans="1:18" ht="30" hidden="1" x14ac:dyDescent="0.25">
      <c r="A607" s="29" t="s">
        <v>4074</v>
      </c>
      <c r="B607" s="29" t="s">
        <v>4073</v>
      </c>
      <c r="C607" s="29" t="s">
        <v>3709</v>
      </c>
      <c r="D607" s="29" t="str">
        <f>VLOOKUP(C:C,'COUNT-CONT'!B:C,2,FALSE)</f>
        <v>North America</v>
      </c>
      <c r="E607" s="29">
        <v>7</v>
      </c>
      <c r="F607" s="28">
        <v>2826</v>
      </c>
      <c r="G607" s="28">
        <v>4332042745</v>
      </c>
      <c r="H607" s="29">
        <v>26.81</v>
      </c>
      <c r="I607" s="142">
        <v>-52.629999999999995</v>
      </c>
      <c r="J607" s="29">
        <v>7.38</v>
      </c>
      <c r="K607" s="29">
        <v>5.05</v>
      </c>
      <c r="L607" s="29">
        <v>19.440000000000001</v>
      </c>
      <c r="M607" s="368"/>
      <c r="N607" s="368"/>
      <c r="O607" s="271">
        <f>IFERROR(Table17[[#This Row],[PROFIT]]/Table17[[#This Row],[TO]],0)</f>
        <v>0</v>
      </c>
      <c r="P607" s="177"/>
      <c r="Q607" s="177"/>
      <c r="R607" s="177"/>
    </row>
    <row r="608" spans="1:18" hidden="1" x14ac:dyDescent="0.25">
      <c r="A608" s="29" t="s">
        <v>3274</v>
      </c>
      <c r="B608" s="29" t="s">
        <v>3273</v>
      </c>
      <c r="C608" s="29" t="s">
        <v>3272</v>
      </c>
      <c r="D608" s="29" t="str">
        <f>VLOOKUP(C:C,'COUNT-CONT'!B:C,2,FALSE)</f>
        <v>Africa</v>
      </c>
      <c r="E608" s="29">
        <v>9</v>
      </c>
      <c r="F608" s="28">
        <v>3887</v>
      </c>
      <c r="G608" s="28">
        <v>3867394560</v>
      </c>
      <c r="H608" s="29">
        <v>26.78</v>
      </c>
      <c r="I608" s="142">
        <v>-52.66</v>
      </c>
      <c r="J608" s="29">
        <v>3.02</v>
      </c>
      <c r="K608" s="29">
        <v>0.6</v>
      </c>
      <c r="L608" s="29">
        <v>15.21</v>
      </c>
      <c r="M608" s="368"/>
      <c r="N608" s="368"/>
      <c r="O608" s="271">
        <f>IFERROR(Table17[[#This Row],[PROFIT]]/Table17[[#This Row],[TO]],0)</f>
        <v>0</v>
      </c>
      <c r="P608" s="177"/>
      <c r="Q608" s="177"/>
      <c r="R608" s="177"/>
    </row>
    <row r="609" spans="1:18" hidden="1" x14ac:dyDescent="0.25">
      <c r="A609" s="29" t="s">
        <v>4943</v>
      </c>
      <c r="B609" s="29" t="s">
        <v>4942</v>
      </c>
      <c r="C609" s="29" t="s">
        <v>142</v>
      </c>
      <c r="D609" s="29" t="str">
        <f>VLOOKUP(C:C,'COUNT-CONT'!B:C,2,FALSE)</f>
        <v>Asia</v>
      </c>
      <c r="E609" s="29">
        <v>8</v>
      </c>
      <c r="F609" s="28">
        <v>3311</v>
      </c>
      <c r="G609" s="28">
        <v>5187625913</v>
      </c>
      <c r="H609" s="29">
        <v>26.78</v>
      </c>
      <c r="I609" s="142">
        <v>-52.66</v>
      </c>
      <c r="J609" s="29">
        <v>14.45</v>
      </c>
      <c r="K609" s="29">
        <v>12.85</v>
      </c>
      <c r="L609" s="29">
        <v>26.78</v>
      </c>
      <c r="M609" s="368"/>
      <c r="N609" s="368"/>
      <c r="O609" s="271">
        <f>IFERROR(Table17[[#This Row],[PROFIT]]/Table17[[#This Row],[TO]],0)</f>
        <v>0</v>
      </c>
      <c r="P609" s="177"/>
      <c r="Q609" s="177"/>
      <c r="R609" s="177"/>
    </row>
    <row r="610" spans="1:18" hidden="1" x14ac:dyDescent="0.25">
      <c r="A610" s="29" t="s">
        <v>50</v>
      </c>
      <c r="B610" s="29" t="s">
        <v>4037</v>
      </c>
      <c r="C610" s="29" t="s">
        <v>608</v>
      </c>
      <c r="D610" s="29" t="str">
        <f>VLOOKUP(C:C,'COUNT-CONT'!B:C,2,FALSE)</f>
        <v>Africa</v>
      </c>
      <c r="E610" s="29">
        <v>10</v>
      </c>
      <c r="F610" s="28">
        <v>3594</v>
      </c>
      <c r="G610" s="28">
        <v>4135465664</v>
      </c>
      <c r="H610" s="29">
        <v>26.78</v>
      </c>
      <c r="I610" s="142">
        <v>-52.66</v>
      </c>
      <c r="J610" s="29">
        <v>6.89</v>
      </c>
      <c r="K610" s="29">
        <v>4.59</v>
      </c>
      <c r="L610" s="29">
        <v>19.14</v>
      </c>
      <c r="M610" s="368"/>
      <c r="N610" s="368"/>
      <c r="O610" s="271">
        <f>IFERROR(Table17[[#This Row],[PROFIT]]/Table17[[#This Row],[TO]],0)</f>
        <v>0</v>
      </c>
      <c r="P610" s="177"/>
      <c r="Q610" s="177"/>
      <c r="R610" s="177"/>
    </row>
    <row r="611" spans="1:18" ht="30" hidden="1" x14ac:dyDescent="0.25">
      <c r="A611" s="29" t="s">
        <v>5099</v>
      </c>
      <c r="B611" s="29" t="s">
        <v>5098</v>
      </c>
      <c r="C611" s="29" t="s">
        <v>83</v>
      </c>
      <c r="D611" s="29" t="str">
        <f>VLOOKUP(C:C,'COUNT-CONT'!B:C,2,FALSE)</f>
        <v>Europe</v>
      </c>
      <c r="E611" s="29">
        <v>4</v>
      </c>
      <c r="F611" s="28">
        <v>2091</v>
      </c>
      <c r="G611" s="28">
        <v>5547064084</v>
      </c>
      <c r="H611" s="29">
        <v>26.69</v>
      </c>
      <c r="I611" s="142">
        <v>-52.75</v>
      </c>
      <c r="J611" s="29">
        <v>16.23</v>
      </c>
      <c r="K611" s="29">
        <v>15.08</v>
      </c>
      <c r="L611" s="29">
        <v>29.02</v>
      </c>
      <c r="M611" s="368"/>
      <c r="N611" s="368"/>
      <c r="O611" s="271">
        <f>IFERROR(Table17[[#This Row],[PROFIT]]/Table17[[#This Row],[TO]],0)</f>
        <v>0</v>
      </c>
      <c r="P611" s="177"/>
      <c r="Q611" s="177"/>
      <c r="R611" s="177"/>
    </row>
    <row r="612" spans="1:18" ht="30" hidden="1" x14ac:dyDescent="0.25">
      <c r="A612" s="29" t="s">
        <v>4578</v>
      </c>
      <c r="B612" s="29" t="s">
        <v>4577</v>
      </c>
      <c r="C612" s="29" t="s">
        <v>860</v>
      </c>
      <c r="D612" s="29" t="str">
        <f>VLOOKUP(C:C,'COUNT-CONT'!B:C,2,FALSE)</f>
        <v>South America</v>
      </c>
      <c r="E612" s="29">
        <v>7</v>
      </c>
      <c r="F612" s="28">
        <v>2651</v>
      </c>
      <c r="G612" s="28">
        <v>4613937759</v>
      </c>
      <c r="H612" s="29">
        <v>26.69</v>
      </c>
      <c r="I612" s="142">
        <v>-52.75</v>
      </c>
      <c r="J612" s="29">
        <v>10.58</v>
      </c>
      <c r="K612" s="29">
        <v>8.74</v>
      </c>
      <c r="L612" s="29">
        <v>23.04</v>
      </c>
      <c r="M612" s="368"/>
      <c r="N612" s="368"/>
      <c r="O612" s="271">
        <f>IFERROR(Table17[[#This Row],[PROFIT]]/Table17[[#This Row],[TO]],0)</f>
        <v>0</v>
      </c>
      <c r="P612" s="177"/>
      <c r="Q612" s="177"/>
      <c r="R612" s="177"/>
    </row>
    <row r="613" spans="1:18" ht="30" hidden="1" x14ac:dyDescent="0.25">
      <c r="A613" s="29" t="s">
        <v>4520</v>
      </c>
      <c r="B613" s="29" t="s">
        <v>4519</v>
      </c>
      <c r="C613" s="29" t="s">
        <v>517</v>
      </c>
      <c r="D613" s="29" t="str">
        <f>VLOOKUP(C:C,'COUNT-CONT'!B:C,2,FALSE)</f>
        <v>South America</v>
      </c>
      <c r="E613" s="29">
        <v>5</v>
      </c>
      <c r="F613" s="28">
        <v>2303</v>
      </c>
      <c r="G613" s="28">
        <v>4591637863</v>
      </c>
      <c r="H613" s="29">
        <v>26.66</v>
      </c>
      <c r="I613" s="142">
        <v>-52.78</v>
      </c>
      <c r="J613" s="29">
        <v>10.4</v>
      </c>
      <c r="K613" s="29">
        <v>8.59</v>
      </c>
      <c r="L613" s="29">
        <v>22.61</v>
      </c>
      <c r="M613" s="368"/>
      <c r="N613" s="368"/>
      <c r="O613" s="271">
        <f>IFERROR(Table17[[#This Row],[PROFIT]]/Table17[[#This Row],[TO]],0)</f>
        <v>0</v>
      </c>
      <c r="P613" s="177"/>
      <c r="Q613" s="177"/>
      <c r="R613" s="177"/>
    </row>
    <row r="614" spans="1:18" hidden="1" x14ac:dyDescent="0.25">
      <c r="A614" s="29" t="s">
        <v>345</v>
      </c>
      <c r="B614" s="29" t="s">
        <v>4254</v>
      </c>
      <c r="C614" s="29" t="s">
        <v>1314</v>
      </c>
      <c r="D614" s="29" t="str">
        <f>VLOOKUP(C:C,'COUNT-CONT'!B:C,2,FALSE)</f>
        <v>Asia</v>
      </c>
      <c r="E614" s="29">
        <v>9</v>
      </c>
      <c r="F614" s="28">
        <v>3313</v>
      </c>
      <c r="G614" s="28">
        <v>4267225354</v>
      </c>
      <c r="H614" s="29">
        <v>26.66</v>
      </c>
      <c r="I614" s="142">
        <v>-52.78</v>
      </c>
      <c r="J614" s="29">
        <v>8.6199999999999992</v>
      </c>
      <c r="K614" s="29">
        <v>6.14</v>
      </c>
      <c r="L614" s="29">
        <v>20.53</v>
      </c>
      <c r="M614" s="368"/>
      <c r="N614" s="368"/>
      <c r="O614" s="271">
        <f>IFERROR(Table17[[#This Row],[PROFIT]]/Table17[[#This Row],[TO]],0)</f>
        <v>0</v>
      </c>
      <c r="P614" s="177"/>
      <c r="Q614" s="177"/>
      <c r="R614" s="177"/>
    </row>
    <row r="615" spans="1:18" ht="30" hidden="1" x14ac:dyDescent="0.25">
      <c r="A615" s="29" t="s">
        <v>5397</v>
      </c>
      <c r="B615" s="29" t="s">
        <v>5396</v>
      </c>
      <c r="C615" s="29" t="s">
        <v>11732</v>
      </c>
      <c r="D615" s="29" t="str">
        <f>VLOOKUP(C:C,'COUNT-CONT'!B:C,2,FALSE)</f>
        <v>North America</v>
      </c>
      <c r="E615" s="29">
        <v>9</v>
      </c>
      <c r="F615" s="28">
        <v>3988</v>
      </c>
      <c r="G615" s="28">
        <v>6356227482</v>
      </c>
      <c r="H615" s="29">
        <v>26.66</v>
      </c>
      <c r="I615" s="142">
        <v>-52.78</v>
      </c>
      <c r="J615" s="29">
        <v>21.74</v>
      </c>
      <c r="K615" s="29">
        <v>21.74</v>
      </c>
      <c r="L615" s="29">
        <v>35.1</v>
      </c>
      <c r="M615" s="368"/>
      <c r="N615" s="368"/>
      <c r="O615" s="271">
        <f>IFERROR(Table17[[#This Row],[PROFIT]]/Table17[[#This Row],[TO]],0)</f>
        <v>0</v>
      </c>
      <c r="P615" s="177"/>
      <c r="Q615" s="177"/>
      <c r="R615" s="177"/>
    </row>
    <row r="616" spans="1:18" hidden="1" x14ac:dyDescent="0.25">
      <c r="A616" s="29" t="s">
        <v>5091</v>
      </c>
      <c r="B616" s="29" t="s">
        <v>5090</v>
      </c>
      <c r="C616" s="29" t="s">
        <v>876</v>
      </c>
      <c r="D616" s="29" t="str">
        <f>VLOOKUP(C:C,'COUNT-CONT'!B:C,2,FALSE)</f>
        <v>Europe</v>
      </c>
      <c r="E616" s="29">
        <v>9</v>
      </c>
      <c r="F616" s="28">
        <v>3653</v>
      </c>
      <c r="G616" s="28">
        <v>5464522365</v>
      </c>
      <c r="H616" s="29">
        <v>26.6</v>
      </c>
      <c r="I616" s="142">
        <v>-52.839999999999996</v>
      </c>
      <c r="J616" s="29">
        <v>16.2</v>
      </c>
      <c r="K616" s="29">
        <v>15.63</v>
      </c>
      <c r="L616" s="29">
        <v>28.93</v>
      </c>
      <c r="M616" s="368"/>
      <c r="N616" s="368"/>
      <c r="O616" s="271">
        <f>IFERROR(Table17[[#This Row],[PROFIT]]/Table17[[#This Row],[TO]],0)</f>
        <v>0</v>
      </c>
      <c r="P616" s="177"/>
      <c r="Q616" s="177"/>
      <c r="R616" s="177"/>
    </row>
    <row r="617" spans="1:18" hidden="1" x14ac:dyDescent="0.25">
      <c r="A617" s="29" t="s">
        <v>4104</v>
      </c>
      <c r="B617" s="29" t="s">
        <v>4103</v>
      </c>
      <c r="C617" s="29" t="s">
        <v>608</v>
      </c>
      <c r="D617" s="29" t="str">
        <f>VLOOKUP(C:C,'COUNT-CONT'!B:C,2,FALSE)</f>
        <v>Africa</v>
      </c>
      <c r="E617" s="29">
        <v>9</v>
      </c>
      <c r="F617" s="28">
        <v>3273</v>
      </c>
      <c r="G617" s="28">
        <v>4144883104</v>
      </c>
      <c r="H617" s="29">
        <v>26.57</v>
      </c>
      <c r="I617" s="142">
        <v>-52.87</v>
      </c>
      <c r="J617" s="29">
        <v>7.41</v>
      </c>
      <c r="K617" s="29">
        <v>5.47</v>
      </c>
      <c r="L617" s="29">
        <v>19.559999999999999</v>
      </c>
      <c r="M617" s="368"/>
      <c r="N617" s="368"/>
      <c r="O617" s="271">
        <f>IFERROR(Table17[[#This Row],[PROFIT]]/Table17[[#This Row],[TO]],0)</f>
        <v>0</v>
      </c>
      <c r="P617" s="177"/>
      <c r="Q617" s="177"/>
      <c r="R617" s="177"/>
    </row>
    <row r="618" spans="1:18" hidden="1" x14ac:dyDescent="0.25">
      <c r="A618" s="29" t="s">
        <v>4926</v>
      </c>
      <c r="B618" s="29" t="s">
        <v>4925</v>
      </c>
      <c r="C618" s="29" t="s">
        <v>142</v>
      </c>
      <c r="D618" s="29" t="str">
        <f>VLOOKUP(C:C,'COUNT-CONT'!B:C,2,FALSE)</f>
        <v>Asia</v>
      </c>
      <c r="E618" s="29">
        <v>2</v>
      </c>
      <c r="F618" s="28">
        <v>1650</v>
      </c>
      <c r="G618" s="28">
        <v>5341666666</v>
      </c>
      <c r="H618" s="29">
        <v>26.57</v>
      </c>
      <c r="I618" s="142">
        <v>-52.87</v>
      </c>
      <c r="J618" s="29">
        <v>14.33</v>
      </c>
      <c r="K618" s="29">
        <v>12.73</v>
      </c>
      <c r="L618" s="29">
        <v>26.57</v>
      </c>
      <c r="M618" s="368"/>
      <c r="N618" s="368"/>
      <c r="O618" s="271">
        <f>IFERROR(Table17[[#This Row],[PROFIT]]/Table17[[#This Row],[TO]],0)</f>
        <v>0</v>
      </c>
      <c r="P618" s="177"/>
      <c r="Q618" s="177"/>
      <c r="R618" s="177"/>
    </row>
    <row r="619" spans="1:18" ht="30" hidden="1" x14ac:dyDescent="0.25">
      <c r="A619" s="29" t="s">
        <v>4516</v>
      </c>
      <c r="B619" s="29" t="s">
        <v>4515</v>
      </c>
      <c r="C619" s="29" t="s">
        <v>517</v>
      </c>
      <c r="D619" s="29" t="str">
        <f>VLOOKUP(C:C,'COUNT-CONT'!B:C,2,FALSE)</f>
        <v>South America</v>
      </c>
      <c r="E619" s="29">
        <v>7</v>
      </c>
      <c r="F619" s="28">
        <v>2578</v>
      </c>
      <c r="G619" s="28">
        <v>4558987354</v>
      </c>
      <c r="H619" s="29">
        <v>26.57</v>
      </c>
      <c r="I619" s="142">
        <v>-52.87</v>
      </c>
      <c r="J619" s="29">
        <v>10.34</v>
      </c>
      <c r="K619" s="29">
        <v>8.56</v>
      </c>
      <c r="L619" s="29">
        <v>22.52</v>
      </c>
      <c r="M619" s="368"/>
      <c r="N619" s="368"/>
      <c r="O619" s="271">
        <f>IFERROR(Table17[[#This Row],[PROFIT]]/Table17[[#This Row],[TO]],0)</f>
        <v>0</v>
      </c>
      <c r="P619" s="177"/>
      <c r="Q619" s="177"/>
      <c r="R619" s="177"/>
    </row>
    <row r="620" spans="1:18" hidden="1" x14ac:dyDescent="0.25">
      <c r="A620" s="29" t="s">
        <v>4551</v>
      </c>
      <c r="B620" s="29" t="s">
        <v>4550</v>
      </c>
      <c r="C620" s="29" t="s">
        <v>4549</v>
      </c>
      <c r="D620" s="29" t="str">
        <f>VLOOKUP(C:C,'COUNT-CONT'!B:C,2,FALSE)</f>
        <v>Africa</v>
      </c>
      <c r="E620" s="29">
        <v>10</v>
      </c>
      <c r="F620" s="28">
        <v>3675</v>
      </c>
      <c r="G620" s="28">
        <v>4582519727</v>
      </c>
      <c r="H620" s="29">
        <v>26.51</v>
      </c>
      <c r="I620" s="142">
        <v>-52.929999999999993</v>
      </c>
      <c r="J620" s="29">
        <v>10.49</v>
      </c>
      <c r="K620" s="29">
        <v>8.68</v>
      </c>
      <c r="L620" s="29">
        <v>22.85</v>
      </c>
      <c r="M620" s="368"/>
      <c r="N620" s="368"/>
      <c r="O620" s="271">
        <f>IFERROR(Table17[[#This Row],[PROFIT]]/Table17[[#This Row],[TO]],0)</f>
        <v>0</v>
      </c>
      <c r="P620" s="177"/>
      <c r="Q620" s="177"/>
      <c r="R620" s="177"/>
    </row>
    <row r="621" spans="1:18" ht="30" hidden="1" x14ac:dyDescent="0.25">
      <c r="A621" s="29" t="s">
        <v>5377</v>
      </c>
      <c r="B621" s="29" t="s">
        <v>5376</v>
      </c>
      <c r="C621" s="29" t="s">
        <v>11732</v>
      </c>
      <c r="D621" s="29" t="str">
        <f>VLOOKUP(C:C,'COUNT-CONT'!B:C,2,FALSE)</f>
        <v>North America</v>
      </c>
      <c r="E621" s="29">
        <v>9</v>
      </c>
      <c r="F621" s="28">
        <v>4160</v>
      </c>
      <c r="G621" s="28">
        <v>6328023076</v>
      </c>
      <c r="H621" s="29">
        <v>26.48</v>
      </c>
      <c r="I621" s="142">
        <v>-52.959999999999994</v>
      </c>
      <c r="J621" s="29">
        <v>21.58</v>
      </c>
      <c r="K621" s="29">
        <v>21.58</v>
      </c>
      <c r="L621" s="29">
        <v>34.85</v>
      </c>
      <c r="M621" s="368"/>
      <c r="N621" s="368"/>
      <c r="O621" s="271">
        <f>IFERROR(Table17[[#This Row],[PROFIT]]/Table17[[#This Row],[TO]],0)</f>
        <v>0</v>
      </c>
      <c r="P621" s="177"/>
      <c r="Q621" s="177"/>
      <c r="R621" s="177"/>
    </row>
    <row r="622" spans="1:18" hidden="1" x14ac:dyDescent="0.25">
      <c r="A622" s="29" t="s">
        <v>3866</v>
      </c>
      <c r="B622" s="29" t="s">
        <v>3865</v>
      </c>
      <c r="C622" s="29" t="s">
        <v>1070</v>
      </c>
      <c r="D622" s="29" t="str">
        <f>VLOOKUP(C:C,'COUNT-CONT'!B:C,2,FALSE)</f>
        <v>Asia</v>
      </c>
      <c r="E622" s="29">
        <v>4</v>
      </c>
      <c r="F622" s="28">
        <v>1857</v>
      </c>
      <c r="G622" s="28">
        <v>4148353257</v>
      </c>
      <c r="H622" s="29">
        <v>26.45</v>
      </c>
      <c r="I622" s="142">
        <v>-52.989999999999995</v>
      </c>
      <c r="J622" s="29">
        <v>6.14</v>
      </c>
      <c r="K622" s="29">
        <v>3.96</v>
      </c>
      <c r="L622" s="29">
        <v>18.11</v>
      </c>
      <c r="M622" s="368"/>
      <c r="N622" s="368"/>
      <c r="O622" s="271">
        <f>IFERROR(Table17[[#This Row],[PROFIT]]/Table17[[#This Row],[TO]],0)</f>
        <v>0</v>
      </c>
      <c r="P622" s="177"/>
      <c r="Q622" s="177"/>
      <c r="R622" s="177"/>
    </row>
    <row r="623" spans="1:18" hidden="1" x14ac:dyDescent="0.25">
      <c r="A623" s="29" t="s">
        <v>4219</v>
      </c>
      <c r="B623" s="29" t="s">
        <v>4218</v>
      </c>
      <c r="C623" s="29" t="s">
        <v>926</v>
      </c>
      <c r="D623" s="29" t="str">
        <f>VLOOKUP(C:C,'COUNT-CONT'!B:C,2,FALSE)</f>
        <v>Africa</v>
      </c>
      <c r="E623" s="29">
        <v>4</v>
      </c>
      <c r="F623" s="28">
        <v>2017</v>
      </c>
      <c r="G623" s="28">
        <v>4333164402</v>
      </c>
      <c r="H623" s="29">
        <v>26.42</v>
      </c>
      <c r="I623" s="142">
        <v>-53.019999999999996</v>
      </c>
      <c r="J623" s="29">
        <v>8.1300000000000008</v>
      </c>
      <c r="K623" s="29">
        <v>6.08</v>
      </c>
      <c r="L623" s="29">
        <v>20.34</v>
      </c>
      <c r="M623" s="368"/>
      <c r="N623" s="368"/>
      <c r="O623" s="271">
        <f>IFERROR(Table17[[#This Row],[PROFIT]]/Table17[[#This Row],[TO]],0)</f>
        <v>0</v>
      </c>
      <c r="P623" s="177"/>
      <c r="Q623" s="177"/>
      <c r="R623" s="177"/>
    </row>
    <row r="624" spans="1:18" hidden="1" x14ac:dyDescent="0.25">
      <c r="A624" s="29" t="s">
        <v>3148</v>
      </c>
      <c r="B624" s="29" t="s">
        <v>3147</v>
      </c>
      <c r="C624" s="29" t="s">
        <v>3146</v>
      </c>
      <c r="D624" s="29" t="str">
        <f>VLOOKUP(C:C,'COUNT-CONT'!B:C,2,FALSE)</f>
        <v>Africa</v>
      </c>
      <c r="E624" s="29">
        <v>9</v>
      </c>
      <c r="F624" s="28">
        <v>3856</v>
      </c>
      <c r="G624" s="28">
        <v>3884269709</v>
      </c>
      <c r="H624" s="29">
        <v>26.42</v>
      </c>
      <c r="I624" s="142">
        <v>-53.019999999999996</v>
      </c>
      <c r="J624" s="29">
        <v>2.63</v>
      </c>
      <c r="K624" s="29">
        <v>0.56999999999999995</v>
      </c>
      <c r="L624" s="29">
        <v>14.69</v>
      </c>
      <c r="M624" s="368"/>
      <c r="N624" s="368"/>
      <c r="O624" s="271">
        <f>IFERROR(Table17[[#This Row],[PROFIT]]/Table17[[#This Row],[TO]],0)</f>
        <v>0</v>
      </c>
      <c r="P624" s="177"/>
      <c r="Q624" s="177"/>
      <c r="R624" s="177"/>
    </row>
    <row r="625" spans="1:18" hidden="1" x14ac:dyDescent="0.25">
      <c r="A625" s="29" t="s">
        <v>4422</v>
      </c>
      <c r="B625" s="29" t="s">
        <v>4421</v>
      </c>
      <c r="C625" s="29" t="s">
        <v>722</v>
      </c>
      <c r="D625" s="29" t="str">
        <f>VLOOKUP(C:C,'COUNT-CONT'!B:C,2,FALSE)</f>
        <v>Europe</v>
      </c>
      <c r="E625" s="29">
        <v>7</v>
      </c>
      <c r="F625" s="28">
        <v>2621</v>
      </c>
      <c r="G625" s="28">
        <v>4439487142</v>
      </c>
      <c r="H625" s="29">
        <v>26.42</v>
      </c>
      <c r="I625" s="142">
        <v>-53.019999999999996</v>
      </c>
      <c r="J625" s="29">
        <v>9.52</v>
      </c>
      <c r="K625" s="29">
        <v>7.8</v>
      </c>
      <c r="L625" s="29">
        <v>21.67</v>
      </c>
      <c r="M625" s="368"/>
      <c r="N625" s="368"/>
      <c r="O625" s="271">
        <f>IFERROR(Table17[[#This Row],[PROFIT]]/Table17[[#This Row],[TO]],0)</f>
        <v>0</v>
      </c>
      <c r="P625" s="177"/>
      <c r="Q625" s="177"/>
      <c r="R625" s="177"/>
    </row>
    <row r="626" spans="1:18" hidden="1" x14ac:dyDescent="0.25">
      <c r="A626" s="29" t="s">
        <v>4223</v>
      </c>
      <c r="B626" s="29" t="s">
        <v>4222</v>
      </c>
      <c r="C626" s="29" t="s">
        <v>1578</v>
      </c>
      <c r="D626" s="29" t="str">
        <f>VLOOKUP(C:C,'COUNT-CONT'!B:C,2,FALSE)</f>
        <v>Europe</v>
      </c>
      <c r="E626" s="29">
        <v>8</v>
      </c>
      <c r="F626" s="28">
        <v>3103</v>
      </c>
      <c r="G626" s="28">
        <v>4275695649</v>
      </c>
      <c r="H626" s="29">
        <v>26.42</v>
      </c>
      <c r="I626" s="142">
        <v>-53.019999999999996</v>
      </c>
      <c r="J626" s="29">
        <v>8.1300000000000008</v>
      </c>
      <c r="K626" s="29">
        <v>6.08</v>
      </c>
      <c r="L626" s="29">
        <v>20.34</v>
      </c>
      <c r="M626" s="368"/>
      <c r="N626" s="368"/>
      <c r="O626" s="271">
        <f>IFERROR(Table17[[#This Row],[PROFIT]]/Table17[[#This Row],[TO]],0)</f>
        <v>0</v>
      </c>
      <c r="P626" s="177"/>
      <c r="Q626" s="177"/>
      <c r="R626" s="177"/>
    </row>
    <row r="627" spans="1:18" ht="30" hidden="1" x14ac:dyDescent="0.25">
      <c r="A627" s="29" t="s">
        <v>5371</v>
      </c>
      <c r="B627" s="29" t="s">
        <v>5370</v>
      </c>
      <c r="C627" s="29" t="s">
        <v>11732</v>
      </c>
      <c r="D627" s="29" t="str">
        <f>VLOOKUP(C:C,'COUNT-CONT'!B:C,2,FALSE)</f>
        <v>North America</v>
      </c>
      <c r="E627" s="29">
        <v>7</v>
      </c>
      <c r="F627" s="28">
        <v>3562</v>
      </c>
      <c r="G627" s="28">
        <v>6308215272</v>
      </c>
      <c r="H627" s="29">
        <v>26.36</v>
      </c>
      <c r="I627" s="142">
        <v>-53.08</v>
      </c>
      <c r="J627" s="29">
        <v>21.52</v>
      </c>
      <c r="K627" s="29">
        <v>21.52</v>
      </c>
      <c r="L627" s="29">
        <v>34.700000000000003</v>
      </c>
      <c r="M627" s="368"/>
      <c r="N627" s="368"/>
      <c r="O627" s="271">
        <f>IFERROR(Table17[[#This Row],[PROFIT]]/Table17[[#This Row],[TO]],0)</f>
        <v>0</v>
      </c>
      <c r="P627" s="177"/>
      <c r="Q627" s="177"/>
      <c r="R627" s="177"/>
    </row>
    <row r="628" spans="1:18" ht="30" hidden="1" x14ac:dyDescent="0.25">
      <c r="A628" s="29" t="s">
        <v>428</v>
      </c>
      <c r="B628" s="29" t="s">
        <v>5366</v>
      </c>
      <c r="C628" s="29" t="s">
        <v>11732</v>
      </c>
      <c r="D628" s="29" t="str">
        <f>VLOOKUP(C:C,'COUNT-CONT'!B:C,2,FALSE)</f>
        <v>North America</v>
      </c>
      <c r="E628" s="29">
        <v>8</v>
      </c>
      <c r="F628" s="28">
        <v>3746</v>
      </c>
      <c r="G628" s="28">
        <v>6293646556</v>
      </c>
      <c r="H628" s="29">
        <v>26.3</v>
      </c>
      <c r="I628" s="142">
        <v>-53.14</v>
      </c>
      <c r="J628" s="29">
        <v>21.43</v>
      </c>
      <c r="K628" s="29">
        <v>21.43</v>
      </c>
      <c r="L628" s="29">
        <v>34.61</v>
      </c>
      <c r="M628" s="368"/>
      <c r="N628" s="368"/>
      <c r="O628" s="271">
        <f>IFERROR(Table17[[#This Row],[PROFIT]]/Table17[[#This Row],[TO]],0)</f>
        <v>0</v>
      </c>
      <c r="P628" s="177"/>
      <c r="Q628" s="177"/>
      <c r="R628" s="177"/>
    </row>
    <row r="629" spans="1:18" hidden="1" x14ac:dyDescent="0.25">
      <c r="A629" s="29" t="s">
        <v>4198</v>
      </c>
      <c r="B629" s="29" t="s">
        <v>4197</v>
      </c>
      <c r="C629" s="29" t="s">
        <v>700</v>
      </c>
      <c r="D629" s="29" t="str">
        <f>VLOOKUP(C:C,'COUNT-CONT'!B:C,2,FALSE)</f>
        <v>Asia</v>
      </c>
      <c r="E629" s="29">
        <v>10</v>
      </c>
      <c r="F629" s="28">
        <v>3937</v>
      </c>
      <c r="G629" s="28">
        <v>4264000558</v>
      </c>
      <c r="H629" s="29">
        <v>26.27</v>
      </c>
      <c r="I629" s="142">
        <v>-53.17</v>
      </c>
      <c r="J629" s="29">
        <v>8.07</v>
      </c>
      <c r="K629" s="29">
        <v>6.05</v>
      </c>
      <c r="L629" s="29">
        <v>20.190000000000001</v>
      </c>
      <c r="M629" s="368"/>
      <c r="N629" s="368"/>
      <c r="O629" s="271">
        <f>IFERROR(Table17[[#This Row],[PROFIT]]/Table17[[#This Row],[TO]],0)</f>
        <v>0</v>
      </c>
      <c r="P629" s="177"/>
      <c r="Q629" s="177"/>
      <c r="R629" s="177"/>
    </row>
    <row r="630" spans="1:18" ht="30" hidden="1" x14ac:dyDescent="0.25">
      <c r="A630" s="29" t="s">
        <v>5057</v>
      </c>
      <c r="B630" s="29" t="s">
        <v>5056</v>
      </c>
      <c r="C630" s="29" t="s">
        <v>83</v>
      </c>
      <c r="D630" s="29" t="str">
        <f>VLOOKUP(C:C,'COUNT-CONT'!B:C,2,FALSE)</f>
        <v>Europe</v>
      </c>
      <c r="E630" s="29">
        <v>8</v>
      </c>
      <c r="F630" s="28">
        <v>3388</v>
      </c>
      <c r="G630" s="28">
        <v>5402175324</v>
      </c>
      <c r="H630" s="29">
        <v>26.27</v>
      </c>
      <c r="I630" s="142">
        <v>-53.17</v>
      </c>
      <c r="J630" s="29">
        <v>15.99</v>
      </c>
      <c r="K630" s="29">
        <v>14.84</v>
      </c>
      <c r="L630" s="29">
        <v>28.57</v>
      </c>
      <c r="M630" s="368"/>
      <c r="N630" s="368"/>
      <c r="O630" s="271">
        <f>IFERROR(Table17[[#This Row],[PROFIT]]/Table17[[#This Row],[TO]],0)</f>
        <v>0</v>
      </c>
      <c r="P630" s="177"/>
      <c r="Q630" s="177"/>
      <c r="R630" s="177"/>
    </row>
    <row r="631" spans="1:18" hidden="1" x14ac:dyDescent="0.25">
      <c r="A631" s="29" t="s">
        <v>3227</v>
      </c>
      <c r="B631" s="29" t="s">
        <v>3226</v>
      </c>
      <c r="C631" s="29" t="s">
        <v>1531</v>
      </c>
      <c r="D631" s="29" t="str">
        <f>VLOOKUP(C:C,'COUNT-CONT'!B:C,2,FALSE)</f>
        <v>Africa</v>
      </c>
      <c r="E631" s="29">
        <v>6</v>
      </c>
      <c r="F631" s="28">
        <v>3949</v>
      </c>
      <c r="G631" s="28">
        <v>3774751532</v>
      </c>
      <c r="H631" s="29">
        <v>26.24</v>
      </c>
      <c r="I631" s="142">
        <v>-53.2</v>
      </c>
      <c r="J631" s="29">
        <v>3.3</v>
      </c>
      <c r="K631" s="29">
        <v>0.88</v>
      </c>
      <c r="L631" s="29">
        <v>15.08</v>
      </c>
      <c r="M631" s="368"/>
      <c r="N631" s="368"/>
      <c r="O631" s="271">
        <f>IFERROR(Table17[[#This Row],[PROFIT]]/Table17[[#This Row],[TO]],0)</f>
        <v>0</v>
      </c>
      <c r="P631" s="177"/>
      <c r="Q631" s="177"/>
      <c r="R631" s="177"/>
    </row>
    <row r="632" spans="1:18" ht="30" hidden="1" x14ac:dyDescent="0.25">
      <c r="A632" s="29" t="s">
        <v>4993</v>
      </c>
      <c r="B632" s="29" t="s">
        <v>4992</v>
      </c>
      <c r="C632" s="29" t="s">
        <v>4991</v>
      </c>
      <c r="D632" s="29" t="str">
        <f>VLOOKUP(C:C,'COUNT-CONT'!B:C,2,FALSE)</f>
        <v>North America</v>
      </c>
      <c r="E632" s="29">
        <v>10</v>
      </c>
      <c r="F632" s="28">
        <v>3739</v>
      </c>
      <c r="G632" s="28">
        <v>5185896309</v>
      </c>
      <c r="H632" s="29">
        <v>26.24</v>
      </c>
      <c r="I632" s="142">
        <v>-53.2</v>
      </c>
      <c r="J632" s="29">
        <v>14.75</v>
      </c>
      <c r="K632" s="29">
        <v>13.66</v>
      </c>
      <c r="L632" s="29">
        <v>27.36</v>
      </c>
      <c r="M632" s="368"/>
      <c r="N632" s="368"/>
      <c r="O632" s="271">
        <f>IFERROR(Table17[[#This Row],[PROFIT]]/Table17[[#This Row],[TO]],0)</f>
        <v>0</v>
      </c>
      <c r="P632" s="177"/>
      <c r="Q632" s="177"/>
      <c r="R632" s="177"/>
    </row>
    <row r="633" spans="1:18" hidden="1" x14ac:dyDescent="0.25">
      <c r="A633" s="29" t="s">
        <v>107</v>
      </c>
      <c r="B633" s="29" t="s">
        <v>4437</v>
      </c>
      <c r="C633" s="29" t="s">
        <v>709</v>
      </c>
      <c r="D633" s="29" t="str">
        <f>VLOOKUP(C:C,'COUNT-CONT'!B:C,2,FALSE)</f>
        <v>Asia</v>
      </c>
      <c r="E633" s="29">
        <v>8</v>
      </c>
      <c r="F633" s="28">
        <v>2878</v>
      </c>
      <c r="G633" s="28">
        <v>4440809867</v>
      </c>
      <c r="H633" s="29">
        <v>26.15</v>
      </c>
      <c r="I633" s="142">
        <v>-53.29</v>
      </c>
      <c r="J633" s="29">
        <v>10.01</v>
      </c>
      <c r="K633" s="29">
        <v>7.83</v>
      </c>
      <c r="L633" s="29">
        <v>21.8</v>
      </c>
      <c r="M633" s="368"/>
      <c r="N633" s="368"/>
      <c r="O633" s="271">
        <f>IFERROR(Table17[[#This Row],[PROFIT]]/Table17[[#This Row],[TO]],0)</f>
        <v>0</v>
      </c>
      <c r="P633" s="177"/>
      <c r="Q633" s="177"/>
      <c r="R633" s="177"/>
    </row>
    <row r="634" spans="1:18" ht="30" hidden="1" x14ac:dyDescent="0.25">
      <c r="A634" s="29" t="s">
        <v>4439</v>
      </c>
      <c r="B634" s="29" t="s">
        <v>4438</v>
      </c>
      <c r="C634" s="29" t="s">
        <v>709</v>
      </c>
      <c r="D634" s="29" t="str">
        <f>VLOOKUP(C:C,'COUNT-CONT'!B:C,2,FALSE)</f>
        <v>Asia</v>
      </c>
      <c r="E634" s="29">
        <v>10</v>
      </c>
      <c r="F634" s="28">
        <v>3950</v>
      </c>
      <c r="G634" s="28">
        <v>4439681012</v>
      </c>
      <c r="H634" s="29">
        <v>26.15</v>
      </c>
      <c r="I634" s="142">
        <v>-53.29</v>
      </c>
      <c r="J634" s="29">
        <v>10.01</v>
      </c>
      <c r="K634" s="29">
        <v>7.83</v>
      </c>
      <c r="L634" s="29">
        <v>21.8</v>
      </c>
      <c r="M634" s="368"/>
      <c r="N634" s="368"/>
      <c r="O634" s="271">
        <f>IFERROR(Table17[[#This Row],[PROFIT]]/Table17[[#This Row],[TO]],0)</f>
        <v>0</v>
      </c>
      <c r="P634" s="177"/>
      <c r="Q634" s="177"/>
      <c r="R634" s="177"/>
    </row>
    <row r="635" spans="1:18" hidden="1" x14ac:dyDescent="0.25">
      <c r="A635" s="29" t="s">
        <v>3833</v>
      </c>
      <c r="B635" s="29" t="s">
        <v>3832</v>
      </c>
      <c r="C635" s="29" t="s">
        <v>1070</v>
      </c>
      <c r="D635" s="29" t="str">
        <f>VLOOKUP(C:C,'COUNT-CONT'!B:C,2,FALSE)</f>
        <v>Asia</v>
      </c>
      <c r="E635" s="29">
        <v>6</v>
      </c>
      <c r="F635" s="28">
        <v>2311</v>
      </c>
      <c r="G635" s="28">
        <v>4047084422</v>
      </c>
      <c r="H635" s="29">
        <v>26.12</v>
      </c>
      <c r="I635" s="142">
        <v>-53.319999999999993</v>
      </c>
      <c r="J635" s="29">
        <v>6.08</v>
      </c>
      <c r="K635" s="29">
        <v>3.93</v>
      </c>
      <c r="L635" s="29">
        <v>17.899999999999999</v>
      </c>
      <c r="M635" s="368"/>
      <c r="N635" s="368"/>
      <c r="O635" s="271">
        <f>IFERROR(Table17[[#This Row],[PROFIT]]/Table17[[#This Row],[TO]],0)</f>
        <v>0</v>
      </c>
      <c r="P635" s="177"/>
      <c r="Q635" s="177"/>
      <c r="R635" s="177"/>
    </row>
    <row r="636" spans="1:18" hidden="1" x14ac:dyDescent="0.25">
      <c r="A636" s="29" t="s">
        <v>5051</v>
      </c>
      <c r="B636" s="29" t="s">
        <v>5050</v>
      </c>
      <c r="C636" s="29" t="s">
        <v>1427</v>
      </c>
      <c r="D636" s="29" t="str">
        <f>VLOOKUP(C:C,'COUNT-CONT'!B:C,2,FALSE)</f>
        <v>Europe</v>
      </c>
      <c r="E636" s="29">
        <v>10</v>
      </c>
      <c r="F636" s="28">
        <v>4070</v>
      </c>
      <c r="G636" s="28">
        <v>5381870270</v>
      </c>
      <c r="H636" s="29">
        <v>26.09</v>
      </c>
      <c r="I636" s="142">
        <v>-53.349999999999994</v>
      </c>
      <c r="J636" s="29">
        <v>15.87</v>
      </c>
      <c r="K636" s="29">
        <v>14.75</v>
      </c>
      <c r="L636" s="29">
        <v>28.39</v>
      </c>
      <c r="M636" s="368"/>
      <c r="N636" s="368"/>
      <c r="O636" s="271">
        <f>IFERROR(Table17[[#This Row],[PROFIT]]/Table17[[#This Row],[TO]],0)</f>
        <v>0</v>
      </c>
      <c r="P636" s="177"/>
      <c r="Q636" s="177"/>
      <c r="R636" s="177"/>
    </row>
    <row r="637" spans="1:18" hidden="1" x14ac:dyDescent="0.25">
      <c r="A637" s="29" t="s">
        <v>5045</v>
      </c>
      <c r="B637" s="29" t="s">
        <v>5044</v>
      </c>
      <c r="C637" s="29" t="s">
        <v>1427</v>
      </c>
      <c r="D637" s="29" t="str">
        <f>VLOOKUP(C:C,'COUNT-CONT'!B:C,2,FALSE)</f>
        <v>Europe</v>
      </c>
      <c r="E637" s="29">
        <v>4</v>
      </c>
      <c r="F637" s="28">
        <v>2259</v>
      </c>
      <c r="G637" s="28">
        <v>5430541124</v>
      </c>
      <c r="H637" s="29">
        <v>26.06</v>
      </c>
      <c r="I637" s="142">
        <v>-53.379999999999995</v>
      </c>
      <c r="J637" s="29">
        <v>15.84</v>
      </c>
      <c r="K637" s="29">
        <v>14.72</v>
      </c>
      <c r="L637" s="29">
        <v>28.33</v>
      </c>
      <c r="M637" s="368"/>
      <c r="N637" s="368"/>
      <c r="O637" s="271">
        <f>IFERROR(Table17[[#This Row],[PROFIT]]/Table17[[#This Row],[TO]],0)</f>
        <v>0</v>
      </c>
      <c r="P637" s="177"/>
      <c r="Q637" s="177"/>
      <c r="R637" s="177"/>
    </row>
    <row r="638" spans="1:18" ht="30" hidden="1" x14ac:dyDescent="0.25">
      <c r="A638" s="29" t="s">
        <v>4878</v>
      </c>
      <c r="B638" s="29" t="s">
        <v>4877</v>
      </c>
      <c r="C638" s="29" t="s">
        <v>2324</v>
      </c>
      <c r="D638" s="29" t="str">
        <f>VLOOKUP(C:C,'COUNT-CONT'!B:C,2,FALSE)</f>
        <v>North America</v>
      </c>
      <c r="E638" s="29">
        <v>5</v>
      </c>
      <c r="F638" s="28">
        <v>2381</v>
      </c>
      <c r="G638" s="28">
        <v>5061190760</v>
      </c>
      <c r="H638" s="29">
        <v>26.06</v>
      </c>
      <c r="I638" s="142">
        <v>-53.379999999999995</v>
      </c>
      <c r="J638" s="29">
        <v>13.54</v>
      </c>
      <c r="K638" s="29">
        <v>12.48</v>
      </c>
      <c r="L638" s="29">
        <v>26.06</v>
      </c>
      <c r="M638" s="368"/>
      <c r="N638" s="368"/>
      <c r="O638" s="271">
        <f>IFERROR(Table17[[#This Row],[PROFIT]]/Table17[[#This Row],[TO]],0)</f>
        <v>0</v>
      </c>
      <c r="P638" s="177"/>
      <c r="Q638" s="177"/>
      <c r="R638" s="177"/>
    </row>
    <row r="639" spans="1:18" hidden="1" x14ac:dyDescent="0.25">
      <c r="A639" s="29" t="s">
        <v>5350</v>
      </c>
      <c r="B639" s="29" t="s">
        <v>5349</v>
      </c>
      <c r="C639" s="29" t="s">
        <v>560</v>
      </c>
      <c r="D639" s="29" t="str">
        <f>VLOOKUP(C:C,'COUNT-CONT'!B:C,2,FALSE)</f>
        <v>Europe</v>
      </c>
      <c r="E639" s="29">
        <v>10</v>
      </c>
      <c r="F639" s="28">
        <v>4794</v>
      </c>
      <c r="G639" s="28">
        <v>6284653483</v>
      </c>
      <c r="H639" s="29">
        <v>26.03</v>
      </c>
      <c r="I639" s="142">
        <v>-53.41</v>
      </c>
      <c r="J639" s="29">
        <v>21.25</v>
      </c>
      <c r="K639" s="29">
        <v>21.25</v>
      </c>
      <c r="L639" s="29">
        <v>34.28</v>
      </c>
      <c r="M639" s="368"/>
      <c r="N639" s="368"/>
      <c r="O639" s="271">
        <f>IFERROR(Table17[[#This Row],[PROFIT]]/Table17[[#This Row],[TO]],0)</f>
        <v>0</v>
      </c>
      <c r="P639" s="177"/>
      <c r="Q639" s="177"/>
      <c r="R639" s="177"/>
    </row>
    <row r="640" spans="1:18" ht="30" hidden="1" x14ac:dyDescent="0.25">
      <c r="A640" s="29" t="s">
        <v>4479</v>
      </c>
      <c r="B640" s="29" t="s">
        <v>4478</v>
      </c>
      <c r="C640" s="29" t="s">
        <v>517</v>
      </c>
      <c r="D640" s="29" t="str">
        <f>VLOOKUP(C:C,'COUNT-CONT'!B:C,2,FALSE)</f>
        <v>South America</v>
      </c>
      <c r="E640" s="29">
        <v>4</v>
      </c>
      <c r="F640" s="28">
        <v>1840</v>
      </c>
      <c r="G640" s="28">
        <v>4597826086</v>
      </c>
      <c r="H640" s="29">
        <v>26.03</v>
      </c>
      <c r="I640" s="142">
        <v>-53.41</v>
      </c>
      <c r="J640" s="29">
        <v>10.130000000000001</v>
      </c>
      <c r="K640" s="29">
        <v>8.3699999999999992</v>
      </c>
      <c r="L640" s="29">
        <v>22.07</v>
      </c>
      <c r="M640" s="368"/>
      <c r="N640" s="368"/>
      <c r="O640" s="271">
        <f>IFERROR(Table17[[#This Row],[PROFIT]]/Table17[[#This Row],[TO]],0)</f>
        <v>0</v>
      </c>
      <c r="P640" s="177"/>
      <c r="Q640" s="177"/>
      <c r="R640" s="177"/>
    </row>
    <row r="641" spans="1:18" ht="30" hidden="1" x14ac:dyDescent="0.25">
      <c r="A641" s="29" t="s">
        <v>4543</v>
      </c>
      <c r="B641" s="29" t="s">
        <v>4542</v>
      </c>
      <c r="C641" s="29" t="s">
        <v>172</v>
      </c>
      <c r="D641" s="29" t="str">
        <f>VLOOKUP(C:C,'COUNT-CONT'!B:C,2,FALSE)</f>
        <v>Asia</v>
      </c>
      <c r="E641" s="29">
        <v>8</v>
      </c>
      <c r="F641" s="28">
        <v>3163</v>
      </c>
      <c r="G641" s="28">
        <v>4568571103</v>
      </c>
      <c r="H641" s="29">
        <v>26</v>
      </c>
      <c r="I641" s="142">
        <v>-53.44</v>
      </c>
      <c r="J641" s="29">
        <v>10.49</v>
      </c>
      <c r="K641" s="29">
        <v>9.1300000000000008</v>
      </c>
      <c r="L641" s="29">
        <v>22.82</v>
      </c>
      <c r="M641" s="368"/>
      <c r="N641" s="368"/>
      <c r="O641" s="271">
        <f>IFERROR(Table17[[#This Row],[PROFIT]]/Table17[[#This Row],[TO]],0)</f>
        <v>0</v>
      </c>
      <c r="P641" s="177"/>
      <c r="Q641" s="177"/>
      <c r="R641" s="177"/>
    </row>
    <row r="642" spans="1:18" hidden="1" x14ac:dyDescent="0.25">
      <c r="A642" s="29" t="s">
        <v>3821</v>
      </c>
      <c r="B642" s="29" t="s">
        <v>3820</v>
      </c>
      <c r="C642" s="29" t="s">
        <v>1070</v>
      </c>
      <c r="D642" s="29" t="str">
        <f>VLOOKUP(C:C,'COUNT-CONT'!B:C,2,FALSE)</f>
        <v>Asia</v>
      </c>
      <c r="E642" s="29">
        <v>7</v>
      </c>
      <c r="F642" s="28">
        <v>2781</v>
      </c>
      <c r="G642" s="28">
        <v>4003941172</v>
      </c>
      <c r="H642" s="29">
        <v>26</v>
      </c>
      <c r="I642" s="142">
        <v>-53.44</v>
      </c>
      <c r="J642" s="29">
        <v>6.05</v>
      </c>
      <c r="K642" s="29">
        <v>3.9</v>
      </c>
      <c r="L642" s="29">
        <v>17.809999999999999</v>
      </c>
      <c r="M642" s="368"/>
      <c r="N642" s="368"/>
      <c r="O642" s="271">
        <f>IFERROR(Table17[[#This Row],[PROFIT]]/Table17[[#This Row],[TO]],0)</f>
        <v>0</v>
      </c>
      <c r="P642" s="177"/>
      <c r="Q642" s="177"/>
      <c r="R642" s="177"/>
    </row>
    <row r="643" spans="1:18" ht="30" hidden="1" x14ac:dyDescent="0.25">
      <c r="A643" s="29" t="s">
        <v>4971</v>
      </c>
      <c r="B643" s="29" t="s">
        <v>4970</v>
      </c>
      <c r="C643" s="29" t="s">
        <v>3915</v>
      </c>
      <c r="D643" s="29" t="str">
        <f>VLOOKUP(C:C,'COUNT-CONT'!B:C,2,FALSE)</f>
        <v>Europe</v>
      </c>
      <c r="E643" s="29">
        <v>7</v>
      </c>
      <c r="F643" s="28">
        <v>3047</v>
      </c>
      <c r="G643" s="28">
        <v>5229810830</v>
      </c>
      <c r="H643" s="29">
        <v>26</v>
      </c>
      <c r="I643" s="142">
        <v>-53.44</v>
      </c>
      <c r="J643" s="29">
        <v>14.6</v>
      </c>
      <c r="K643" s="29">
        <v>14.06</v>
      </c>
      <c r="L643" s="29">
        <v>27.09</v>
      </c>
      <c r="M643" s="368"/>
      <c r="N643" s="368"/>
      <c r="O643" s="271">
        <f>IFERROR(Table17[[#This Row],[PROFIT]]/Table17[[#This Row],[TO]],0)</f>
        <v>0</v>
      </c>
      <c r="P643" s="177"/>
      <c r="Q643" s="177"/>
      <c r="R643" s="177"/>
    </row>
    <row r="644" spans="1:18" ht="30" hidden="1" x14ac:dyDescent="0.25">
      <c r="A644" s="29" t="s">
        <v>5345</v>
      </c>
      <c r="B644" s="29" t="s">
        <v>5344</v>
      </c>
      <c r="C644" s="29" t="s">
        <v>11732</v>
      </c>
      <c r="D644" s="29" t="str">
        <f>VLOOKUP(C:C,'COUNT-CONT'!B:C,2,FALSE)</f>
        <v>North America</v>
      </c>
      <c r="E644" s="29">
        <v>5</v>
      </c>
      <c r="F644" s="28">
        <v>2746</v>
      </c>
      <c r="G644" s="28">
        <v>6267982665</v>
      </c>
      <c r="H644" s="29">
        <v>25.97</v>
      </c>
      <c r="I644" s="142">
        <v>-53.47</v>
      </c>
      <c r="J644" s="29">
        <v>21.19</v>
      </c>
      <c r="K644" s="29">
        <v>21.19</v>
      </c>
      <c r="L644" s="29">
        <v>34.19</v>
      </c>
      <c r="M644" s="368"/>
      <c r="N644" s="368"/>
      <c r="O644" s="271">
        <f>IFERROR(Table17[[#This Row],[PROFIT]]/Table17[[#This Row],[TO]],0)</f>
        <v>0</v>
      </c>
      <c r="P644" s="177"/>
      <c r="Q644" s="177"/>
      <c r="R644" s="177"/>
    </row>
    <row r="645" spans="1:18" ht="30" hidden="1" x14ac:dyDescent="0.25">
      <c r="A645" s="29" t="s">
        <v>4638</v>
      </c>
      <c r="B645" s="29" t="s">
        <v>4637</v>
      </c>
      <c r="C645" s="29" t="s">
        <v>1749</v>
      </c>
      <c r="D645" s="29" t="str">
        <f>VLOOKUP(C:C,'COUNT-CONT'!B:C,2,FALSE)</f>
        <v>North America</v>
      </c>
      <c r="E645" s="29">
        <v>10</v>
      </c>
      <c r="F645" s="28">
        <v>3713</v>
      </c>
      <c r="G645" s="28">
        <v>4659756396</v>
      </c>
      <c r="H645" s="29">
        <v>25.88</v>
      </c>
      <c r="I645" s="142">
        <v>-53.56</v>
      </c>
      <c r="J645" s="29">
        <v>11.76</v>
      </c>
      <c r="K645" s="29">
        <v>9.85</v>
      </c>
      <c r="L645" s="29">
        <v>23.52</v>
      </c>
      <c r="M645" s="368"/>
      <c r="N645" s="368"/>
      <c r="O645" s="271">
        <f>IFERROR(Table17[[#This Row],[PROFIT]]/Table17[[#This Row],[TO]],0)</f>
        <v>0</v>
      </c>
      <c r="P645" s="177"/>
      <c r="Q645" s="177"/>
      <c r="R645" s="177"/>
    </row>
    <row r="646" spans="1:18" ht="30" hidden="1" x14ac:dyDescent="0.25">
      <c r="A646" s="29" t="s">
        <v>4408</v>
      </c>
      <c r="B646" s="29" t="s">
        <v>4407</v>
      </c>
      <c r="C646" s="29" t="s">
        <v>1420</v>
      </c>
      <c r="D646" s="29" t="str">
        <f>VLOOKUP(C:C,'COUNT-CONT'!B:C,2,FALSE)</f>
        <v>Europe</v>
      </c>
      <c r="E646" s="29">
        <v>10</v>
      </c>
      <c r="F646" s="28">
        <v>3651</v>
      </c>
      <c r="G646" s="28">
        <v>4405687318</v>
      </c>
      <c r="H646" s="29">
        <v>25.88</v>
      </c>
      <c r="I646" s="142">
        <v>-53.56</v>
      </c>
      <c r="J646" s="29">
        <v>9.92</v>
      </c>
      <c r="K646" s="29">
        <v>7.74</v>
      </c>
      <c r="L646" s="29">
        <v>21.55</v>
      </c>
      <c r="M646" s="368"/>
      <c r="N646" s="368"/>
      <c r="O646" s="271">
        <f>IFERROR(Table17[[#This Row],[PROFIT]]/Table17[[#This Row],[TO]],0)</f>
        <v>0</v>
      </c>
      <c r="P646" s="177"/>
      <c r="Q646" s="177"/>
      <c r="R646" s="177"/>
    </row>
    <row r="647" spans="1:18" hidden="1" x14ac:dyDescent="0.25">
      <c r="A647" s="29" t="s">
        <v>3081</v>
      </c>
      <c r="B647" s="29" t="s">
        <v>3080</v>
      </c>
      <c r="C647" s="29" t="s">
        <v>3079</v>
      </c>
      <c r="D647" s="29" t="str">
        <f>VLOOKUP(C:C,'COUNT-CONT'!B:C,2,FALSE)</f>
        <v>Africa</v>
      </c>
      <c r="E647" s="29">
        <v>9</v>
      </c>
      <c r="F647" s="28">
        <v>5273</v>
      </c>
      <c r="G647" s="28">
        <v>3782609899</v>
      </c>
      <c r="H647" s="29">
        <v>25.88</v>
      </c>
      <c r="I647" s="142">
        <v>-53.56</v>
      </c>
      <c r="J647" s="29">
        <v>2.57</v>
      </c>
      <c r="K647" s="29">
        <v>0.27</v>
      </c>
      <c r="L647" s="29">
        <v>14.39</v>
      </c>
      <c r="M647" s="368"/>
      <c r="N647" s="368"/>
      <c r="O647" s="271">
        <f>IFERROR(Table17[[#This Row],[PROFIT]]/Table17[[#This Row],[TO]],0)</f>
        <v>0</v>
      </c>
      <c r="P647" s="177"/>
      <c r="Q647" s="177"/>
      <c r="R647" s="177"/>
    </row>
    <row r="648" spans="1:18" ht="30" hidden="1" x14ac:dyDescent="0.25">
      <c r="A648" s="29" t="s">
        <v>4058</v>
      </c>
      <c r="B648" s="29" t="s">
        <v>4057</v>
      </c>
      <c r="C648" s="29" t="s">
        <v>4045</v>
      </c>
      <c r="D648" s="29" t="str">
        <f>VLOOKUP(C:C,'COUNT-CONT'!B:C,2,FALSE)</f>
        <v>South America</v>
      </c>
      <c r="E648" s="29">
        <v>8</v>
      </c>
      <c r="F648" s="28">
        <v>3083</v>
      </c>
      <c r="G648" s="28">
        <v>4291995329</v>
      </c>
      <c r="H648" s="29">
        <v>25.88</v>
      </c>
      <c r="I648" s="142">
        <v>-53.56</v>
      </c>
      <c r="J648" s="29">
        <v>7.32</v>
      </c>
      <c r="K648" s="29">
        <v>5.38</v>
      </c>
      <c r="L648" s="29">
        <v>19.32</v>
      </c>
      <c r="M648" s="368"/>
      <c r="N648" s="368"/>
      <c r="O648" s="271">
        <f>IFERROR(Table17[[#This Row],[PROFIT]]/Table17[[#This Row],[TO]],0)</f>
        <v>0</v>
      </c>
      <c r="P648" s="177"/>
      <c r="Q648" s="177"/>
      <c r="R648" s="177"/>
    </row>
    <row r="649" spans="1:18" ht="30" hidden="1" x14ac:dyDescent="0.25">
      <c r="A649" s="29" t="s">
        <v>4633</v>
      </c>
      <c r="B649" s="29" t="s">
        <v>4632</v>
      </c>
      <c r="C649" s="29" t="s">
        <v>1749</v>
      </c>
      <c r="D649" s="29" t="str">
        <f>VLOOKUP(C:C,'COUNT-CONT'!B:C,2,FALSE)</f>
        <v>North America</v>
      </c>
      <c r="E649" s="29">
        <v>6</v>
      </c>
      <c r="F649" s="28">
        <v>2440</v>
      </c>
      <c r="G649" s="28">
        <v>4691219672</v>
      </c>
      <c r="H649" s="29">
        <v>25.85</v>
      </c>
      <c r="I649" s="142">
        <v>-53.589999999999996</v>
      </c>
      <c r="J649" s="29">
        <v>11.73</v>
      </c>
      <c r="K649" s="29">
        <v>9.85</v>
      </c>
      <c r="L649" s="29">
        <v>23.49</v>
      </c>
      <c r="M649" s="368"/>
      <c r="N649" s="368"/>
      <c r="O649" s="271">
        <f>IFERROR(Table17[[#This Row],[PROFIT]]/Table17[[#This Row],[TO]],0)</f>
        <v>0</v>
      </c>
      <c r="P649" s="177"/>
      <c r="Q649" s="177"/>
      <c r="R649" s="177"/>
    </row>
    <row r="650" spans="1:18" hidden="1" x14ac:dyDescent="0.25">
      <c r="A650" s="29" t="s">
        <v>4353</v>
      </c>
      <c r="B650" s="29" t="s">
        <v>4352</v>
      </c>
      <c r="C650" s="29" t="s">
        <v>78</v>
      </c>
      <c r="D650" s="29" t="str">
        <f>VLOOKUP(C:C,'COUNT-CONT'!B:C,2,FALSE)</f>
        <v>Europe</v>
      </c>
      <c r="E650" s="29">
        <v>6</v>
      </c>
      <c r="F650" s="28">
        <v>2601</v>
      </c>
      <c r="G650" s="28">
        <v>4379314263</v>
      </c>
      <c r="H650" s="29">
        <v>25.85</v>
      </c>
      <c r="I650" s="142">
        <v>-53.589999999999996</v>
      </c>
      <c r="J650" s="29">
        <v>9.31</v>
      </c>
      <c r="K650" s="29">
        <v>7.62</v>
      </c>
      <c r="L650" s="29">
        <v>21.19</v>
      </c>
      <c r="M650" s="368"/>
      <c r="N650" s="368"/>
      <c r="O650" s="271">
        <f>IFERROR(Table17[[#This Row],[PROFIT]]/Table17[[#This Row],[TO]],0)</f>
        <v>0</v>
      </c>
      <c r="P650" s="177"/>
      <c r="Q650" s="177"/>
      <c r="R650" s="177"/>
    </row>
    <row r="651" spans="1:18" hidden="1" x14ac:dyDescent="0.25">
      <c r="A651" s="29" t="s">
        <v>4911</v>
      </c>
      <c r="B651" s="29" t="s">
        <v>4910</v>
      </c>
      <c r="C651" s="29" t="s">
        <v>4909</v>
      </c>
      <c r="D651" s="29" t="str">
        <f>VLOOKUP(C:C,'COUNT-CONT'!B:C,2,FALSE)</f>
        <v>Europe</v>
      </c>
      <c r="E651" s="29">
        <v>7</v>
      </c>
      <c r="F651" s="28">
        <v>3016</v>
      </c>
      <c r="G651" s="28">
        <v>5090921485</v>
      </c>
      <c r="H651" s="29">
        <v>25.82</v>
      </c>
      <c r="I651" s="142">
        <v>-53.62</v>
      </c>
      <c r="J651" s="29">
        <v>14.21</v>
      </c>
      <c r="K651" s="29">
        <v>13.18</v>
      </c>
      <c r="L651" s="29">
        <v>26.36</v>
      </c>
      <c r="M651" s="368"/>
      <c r="N651" s="368"/>
      <c r="O651" s="271">
        <f>IFERROR(Table17[[#This Row],[PROFIT]]/Table17[[#This Row],[TO]],0)</f>
        <v>0</v>
      </c>
      <c r="P651" s="177"/>
      <c r="Q651" s="177"/>
      <c r="R651" s="177"/>
    </row>
    <row r="652" spans="1:18" hidden="1" x14ac:dyDescent="0.25">
      <c r="A652" s="29" t="s">
        <v>4346</v>
      </c>
      <c r="B652" s="29" t="s">
        <v>4345</v>
      </c>
      <c r="C652" s="29" t="s">
        <v>717</v>
      </c>
      <c r="D652" s="29" t="str">
        <f>VLOOKUP(C:C,'COUNT-CONT'!B:C,2,FALSE)</f>
        <v>Asia</v>
      </c>
      <c r="E652" s="29">
        <v>7</v>
      </c>
      <c r="F652" s="28">
        <v>2704</v>
      </c>
      <c r="G652" s="28">
        <v>4366804733</v>
      </c>
      <c r="H652" s="29">
        <v>25.82</v>
      </c>
      <c r="I652" s="142">
        <v>-53.62</v>
      </c>
      <c r="J652" s="29">
        <v>9.31</v>
      </c>
      <c r="K652" s="29">
        <v>7.62</v>
      </c>
      <c r="L652" s="29">
        <v>21.16</v>
      </c>
      <c r="M652" s="368"/>
      <c r="N652" s="368"/>
      <c r="O652" s="271">
        <f>IFERROR(Table17[[#This Row],[PROFIT]]/Table17[[#This Row],[TO]],0)</f>
        <v>0</v>
      </c>
      <c r="P652" s="177"/>
      <c r="Q652" s="177"/>
      <c r="R652" s="177"/>
    </row>
    <row r="653" spans="1:18" hidden="1" x14ac:dyDescent="0.25">
      <c r="A653" s="29" t="s">
        <v>3628</v>
      </c>
      <c r="B653" s="29" t="s">
        <v>3627</v>
      </c>
      <c r="C653" s="29" t="s">
        <v>197</v>
      </c>
      <c r="D653" s="29" t="str">
        <f>VLOOKUP(C:C,'COUNT-CONT'!B:C,2,FALSE)</f>
        <v>Asia</v>
      </c>
      <c r="E653" s="29">
        <v>10</v>
      </c>
      <c r="F653" s="28">
        <v>3716</v>
      </c>
      <c r="G653" s="28">
        <v>3931017222</v>
      </c>
      <c r="H653" s="29">
        <v>25.82</v>
      </c>
      <c r="I653" s="142">
        <v>-53.62</v>
      </c>
      <c r="J653" s="29">
        <v>5.35</v>
      </c>
      <c r="K653" s="29">
        <v>2.66</v>
      </c>
      <c r="L653" s="29">
        <v>16.78</v>
      </c>
      <c r="M653" s="368"/>
      <c r="N653" s="368"/>
      <c r="O653" s="271">
        <f>IFERROR(Table17[[#This Row],[PROFIT]]/Table17[[#This Row],[TO]],0)</f>
        <v>0</v>
      </c>
      <c r="P653" s="177"/>
      <c r="Q653" s="177"/>
      <c r="R653" s="177"/>
    </row>
    <row r="654" spans="1:18" ht="30" hidden="1" x14ac:dyDescent="0.25">
      <c r="A654" s="29" t="s">
        <v>443</v>
      </c>
      <c r="B654" s="29" t="s">
        <v>4400</v>
      </c>
      <c r="C654" s="29" t="s">
        <v>2395</v>
      </c>
      <c r="D654" s="29" t="str">
        <f>VLOOKUP(C:C,'COUNT-CONT'!B:C,2,FALSE)</f>
        <v>South America</v>
      </c>
      <c r="E654" s="29">
        <v>10</v>
      </c>
      <c r="F654" s="28">
        <v>4583</v>
      </c>
      <c r="G654" s="28">
        <v>4321717455</v>
      </c>
      <c r="H654" s="29">
        <v>25.79</v>
      </c>
      <c r="I654" s="142">
        <v>-53.65</v>
      </c>
      <c r="J654" s="29">
        <v>9.4600000000000009</v>
      </c>
      <c r="K654" s="29">
        <v>7.74</v>
      </c>
      <c r="L654" s="29">
        <v>21.49</v>
      </c>
      <c r="M654" s="368"/>
      <c r="N654" s="368"/>
      <c r="O654" s="271">
        <f>IFERROR(Table17[[#This Row],[PROFIT]]/Table17[[#This Row],[TO]],0)</f>
        <v>0</v>
      </c>
      <c r="P654" s="177"/>
      <c r="Q654" s="177"/>
      <c r="R654" s="177"/>
    </row>
    <row r="655" spans="1:18" ht="30" hidden="1" x14ac:dyDescent="0.25">
      <c r="A655" s="29" t="s">
        <v>5341</v>
      </c>
      <c r="B655" s="29" t="s">
        <v>5340</v>
      </c>
      <c r="C655" s="29" t="s">
        <v>11732</v>
      </c>
      <c r="D655" s="29" t="str">
        <f>VLOOKUP(C:C,'COUNT-CONT'!B:C,2,FALSE)</f>
        <v>North America</v>
      </c>
      <c r="E655" s="29">
        <v>10</v>
      </c>
      <c r="F655" s="28">
        <v>4716</v>
      </c>
      <c r="G655" s="28">
        <v>6220648515</v>
      </c>
      <c r="H655" s="29">
        <v>25.76</v>
      </c>
      <c r="I655" s="142">
        <v>-53.679999999999993</v>
      </c>
      <c r="J655" s="29">
        <v>21.01</v>
      </c>
      <c r="K655" s="29">
        <v>21.01</v>
      </c>
      <c r="L655" s="29">
        <v>33.92</v>
      </c>
      <c r="M655" s="368"/>
      <c r="N655" s="368"/>
      <c r="O655" s="271">
        <f>IFERROR(Table17[[#This Row],[PROFIT]]/Table17[[#This Row],[TO]],0)</f>
        <v>0</v>
      </c>
      <c r="P655" s="177"/>
      <c r="Q655" s="177"/>
      <c r="R655" s="177"/>
    </row>
    <row r="656" spans="1:18" ht="30" hidden="1" x14ac:dyDescent="0.25">
      <c r="A656" s="29" t="s">
        <v>4086</v>
      </c>
      <c r="B656" s="29" t="s">
        <v>4085</v>
      </c>
      <c r="C656" s="29" t="s">
        <v>714</v>
      </c>
      <c r="D656" s="29" t="str">
        <f>VLOOKUP(C:C,'COUNT-CONT'!B:C,2,FALSE)</f>
        <v>South America</v>
      </c>
      <c r="E656" s="29">
        <v>6</v>
      </c>
      <c r="F656" s="28">
        <v>2572</v>
      </c>
      <c r="G656" s="28">
        <v>4260282737</v>
      </c>
      <c r="H656" s="29">
        <v>25.7</v>
      </c>
      <c r="I656" s="142">
        <v>-53.739999999999995</v>
      </c>
      <c r="J656" s="29">
        <v>7.77</v>
      </c>
      <c r="K656" s="29">
        <v>5.83</v>
      </c>
      <c r="L656" s="29">
        <v>19.47</v>
      </c>
      <c r="M656" s="368"/>
      <c r="N656" s="368"/>
      <c r="O656" s="271">
        <f>IFERROR(Table17[[#This Row],[PROFIT]]/Table17[[#This Row],[TO]],0)</f>
        <v>0</v>
      </c>
      <c r="P656" s="177"/>
      <c r="Q656" s="177"/>
      <c r="R656" s="177"/>
    </row>
    <row r="657" spans="1:18" hidden="1" x14ac:dyDescent="0.25">
      <c r="A657" s="29" t="s">
        <v>4431</v>
      </c>
      <c r="B657" s="29" t="s">
        <v>4430</v>
      </c>
      <c r="C657" s="29" t="s">
        <v>14</v>
      </c>
      <c r="D657" s="29" t="str">
        <f>VLOOKUP(C:C,'COUNT-CONT'!B:C,2,FALSE)</f>
        <v>Asia</v>
      </c>
      <c r="E657" s="29">
        <v>7</v>
      </c>
      <c r="F657" s="28">
        <v>2717</v>
      </c>
      <c r="G657" s="28">
        <v>4446458299</v>
      </c>
      <c r="H657" s="29">
        <v>25.7</v>
      </c>
      <c r="I657" s="142">
        <v>-53.739999999999995</v>
      </c>
      <c r="J657" s="29">
        <v>10.01</v>
      </c>
      <c r="K657" s="29">
        <v>8.25</v>
      </c>
      <c r="L657" s="29">
        <v>21.77</v>
      </c>
      <c r="M657" s="368"/>
      <c r="N657" s="368"/>
      <c r="O657" s="271">
        <f>IFERROR(Table17[[#This Row],[PROFIT]]/Table17[[#This Row],[TO]],0)</f>
        <v>0</v>
      </c>
      <c r="P657" s="177"/>
      <c r="Q657" s="177"/>
      <c r="R657" s="177"/>
    </row>
    <row r="658" spans="1:18" hidden="1" x14ac:dyDescent="0.25">
      <c r="A658" s="29" t="s">
        <v>4375</v>
      </c>
      <c r="B658" s="29" t="s">
        <v>4374</v>
      </c>
      <c r="C658" s="29" t="s">
        <v>1420</v>
      </c>
      <c r="D658" s="29" t="str">
        <f>VLOOKUP(C:C,'COUNT-CONT'!B:C,2,FALSE)</f>
        <v>Europe</v>
      </c>
      <c r="E658" s="29">
        <v>5</v>
      </c>
      <c r="F658" s="28">
        <v>2188</v>
      </c>
      <c r="G658" s="28">
        <v>4443142230</v>
      </c>
      <c r="H658" s="29">
        <v>25.67</v>
      </c>
      <c r="I658" s="142">
        <v>-53.769999999999996</v>
      </c>
      <c r="J658" s="29">
        <v>9.82</v>
      </c>
      <c r="K658" s="29">
        <v>7.68</v>
      </c>
      <c r="L658" s="29">
        <v>21.37</v>
      </c>
      <c r="M658" s="368"/>
      <c r="N658" s="368"/>
      <c r="O658" s="271">
        <f>IFERROR(Table17[[#This Row],[PROFIT]]/Table17[[#This Row],[TO]],0)</f>
        <v>0</v>
      </c>
      <c r="P658" s="177"/>
      <c r="Q658" s="177"/>
      <c r="R658" s="177"/>
    </row>
    <row r="659" spans="1:18" ht="30" x14ac:dyDescent="0.25">
      <c r="A659" s="29" t="s">
        <v>3656</v>
      </c>
      <c r="B659" s="29" t="s">
        <v>3655</v>
      </c>
      <c r="C659" s="29" t="s">
        <v>1865</v>
      </c>
      <c r="D659" s="29" t="str">
        <f>VLOOKUP(C:C,'COUNT-CONT'!B:C,2,FALSE)</f>
        <v>Oceania</v>
      </c>
      <c r="E659" s="29">
        <v>6</v>
      </c>
      <c r="F659" s="28">
        <v>2479</v>
      </c>
      <c r="G659" s="28">
        <v>3894727309</v>
      </c>
      <c r="H659" s="29">
        <v>25.63</v>
      </c>
      <c r="I659" s="142">
        <v>-53.81</v>
      </c>
      <c r="J659" s="29">
        <v>5.38</v>
      </c>
      <c r="K659" s="29">
        <v>3.02</v>
      </c>
      <c r="L659" s="29">
        <v>16.87</v>
      </c>
      <c r="M659" s="368"/>
      <c r="N659" s="368"/>
      <c r="O659" s="271">
        <f>IFERROR(Table17[[#This Row],[PROFIT]]/Table17[[#This Row],[TO]],0)</f>
        <v>0</v>
      </c>
      <c r="P659" s="177"/>
      <c r="Q659" s="177"/>
      <c r="R659" s="177"/>
    </row>
    <row r="660" spans="1:18" ht="30" hidden="1" x14ac:dyDescent="0.25">
      <c r="A660" s="29" t="s">
        <v>4132</v>
      </c>
      <c r="B660" s="29" t="s">
        <v>4131</v>
      </c>
      <c r="C660" s="29" t="s">
        <v>3350</v>
      </c>
      <c r="D660" s="29" t="str">
        <f>VLOOKUP(C:C,'COUNT-CONT'!B:C,2,FALSE)</f>
        <v>North America</v>
      </c>
      <c r="E660" s="29">
        <v>4</v>
      </c>
      <c r="F660" s="28">
        <v>1919</v>
      </c>
      <c r="G660" s="28">
        <v>4270715216</v>
      </c>
      <c r="H660" s="29">
        <v>25.63</v>
      </c>
      <c r="I660" s="142">
        <v>-53.81</v>
      </c>
      <c r="J660" s="29">
        <v>8.2799999999999994</v>
      </c>
      <c r="K660" s="29">
        <v>5.89</v>
      </c>
      <c r="L660" s="29">
        <v>19.739999999999998</v>
      </c>
      <c r="M660" s="368"/>
      <c r="N660" s="368"/>
      <c r="O660" s="271">
        <f>IFERROR(Table17[[#This Row],[PROFIT]]/Table17[[#This Row],[TO]],0)</f>
        <v>0</v>
      </c>
      <c r="P660" s="177"/>
      <c r="Q660" s="177"/>
      <c r="R660" s="177"/>
    </row>
    <row r="661" spans="1:18" ht="30" hidden="1" x14ac:dyDescent="0.25">
      <c r="A661" s="29" t="s">
        <v>4426</v>
      </c>
      <c r="B661" s="29" t="s">
        <v>4425</v>
      </c>
      <c r="C661" s="29" t="s">
        <v>517</v>
      </c>
      <c r="D661" s="29" t="str">
        <f>VLOOKUP(C:C,'COUNT-CONT'!B:C,2,FALSE)</f>
        <v>South America</v>
      </c>
      <c r="E661" s="29">
        <v>5</v>
      </c>
      <c r="F661" s="28">
        <v>2277</v>
      </c>
      <c r="G661" s="28">
        <v>4477091787</v>
      </c>
      <c r="H661" s="29">
        <v>25.6</v>
      </c>
      <c r="I661" s="142">
        <v>-53.839999999999996</v>
      </c>
      <c r="J661" s="29">
        <v>9.98</v>
      </c>
      <c r="K661" s="29">
        <v>8.2200000000000006</v>
      </c>
      <c r="L661" s="29">
        <v>21.7</v>
      </c>
      <c r="M661" s="368"/>
      <c r="N661" s="368"/>
      <c r="O661" s="271">
        <f>IFERROR(Table17[[#This Row],[PROFIT]]/Table17[[#This Row],[TO]],0)</f>
        <v>0</v>
      </c>
      <c r="P661" s="177"/>
      <c r="Q661" s="177"/>
      <c r="R661" s="177"/>
    </row>
    <row r="662" spans="1:18" hidden="1" x14ac:dyDescent="0.25">
      <c r="A662" s="29" t="s">
        <v>3803</v>
      </c>
      <c r="B662" s="29" t="s">
        <v>3802</v>
      </c>
      <c r="C662" s="29" t="s">
        <v>886</v>
      </c>
      <c r="D662" s="29" t="str">
        <f>VLOOKUP(C:C,'COUNT-CONT'!B:C,2,FALSE)</f>
        <v>Africa</v>
      </c>
      <c r="E662" s="29">
        <v>5</v>
      </c>
      <c r="F662" s="28">
        <v>2138</v>
      </c>
      <c r="G662" s="28">
        <v>4124499532</v>
      </c>
      <c r="H662" s="29">
        <v>25.57</v>
      </c>
      <c r="I662" s="142">
        <v>-53.87</v>
      </c>
      <c r="J662" s="29">
        <v>6.38</v>
      </c>
      <c r="K662" s="29">
        <v>3.9</v>
      </c>
      <c r="L662" s="29">
        <v>17.739999999999998</v>
      </c>
      <c r="M662" s="368"/>
      <c r="N662" s="368"/>
      <c r="O662" s="271">
        <f>IFERROR(Table17[[#This Row],[PROFIT]]/Table17[[#This Row],[TO]],0)</f>
        <v>0</v>
      </c>
      <c r="P662" s="177"/>
      <c r="Q662" s="177"/>
      <c r="R662" s="177"/>
    </row>
    <row r="663" spans="1:18" hidden="1" x14ac:dyDescent="0.25">
      <c r="A663" s="29" t="s">
        <v>5015</v>
      </c>
      <c r="B663" s="29" t="s">
        <v>5014</v>
      </c>
      <c r="C663" s="29" t="s">
        <v>308</v>
      </c>
      <c r="D663" s="29" t="str">
        <f>VLOOKUP(C:C,'COUNT-CONT'!B:C,2,FALSE)</f>
        <v>Europe</v>
      </c>
      <c r="E663" s="29">
        <v>6</v>
      </c>
      <c r="F663" s="28">
        <v>2709</v>
      </c>
      <c r="G663" s="28">
        <v>5333053894</v>
      </c>
      <c r="H663" s="29">
        <v>25.54</v>
      </c>
      <c r="I663" s="142">
        <v>-53.9</v>
      </c>
      <c r="J663" s="29">
        <v>15.54</v>
      </c>
      <c r="K663" s="29">
        <v>14.96</v>
      </c>
      <c r="L663" s="29">
        <v>27.75</v>
      </c>
      <c r="M663" s="368"/>
      <c r="N663" s="368"/>
      <c r="O663" s="271">
        <f>IFERROR(Table17[[#This Row],[PROFIT]]/Table17[[#This Row],[TO]],0)</f>
        <v>0</v>
      </c>
      <c r="P663" s="177"/>
      <c r="Q663" s="177"/>
      <c r="R663" s="177"/>
    </row>
    <row r="664" spans="1:18" hidden="1" x14ac:dyDescent="0.25">
      <c r="A664" s="29" t="s">
        <v>4308</v>
      </c>
      <c r="B664" s="29" t="s">
        <v>4307</v>
      </c>
      <c r="C664" s="29" t="s">
        <v>78</v>
      </c>
      <c r="D664" s="29" t="str">
        <f>VLOOKUP(C:C,'COUNT-CONT'!B:C,2,FALSE)</f>
        <v>Europe</v>
      </c>
      <c r="E664" s="29">
        <v>9</v>
      </c>
      <c r="F664" s="28">
        <v>3328</v>
      </c>
      <c r="G664" s="28">
        <v>4315928846</v>
      </c>
      <c r="H664" s="29">
        <v>25.48</v>
      </c>
      <c r="I664" s="142">
        <v>-53.959999999999994</v>
      </c>
      <c r="J664" s="29">
        <v>9.19</v>
      </c>
      <c r="K664" s="29">
        <v>7.5</v>
      </c>
      <c r="L664" s="29">
        <v>20.89</v>
      </c>
      <c r="M664" s="368"/>
      <c r="N664" s="368"/>
      <c r="O664" s="271">
        <f>IFERROR(Table17[[#This Row],[PROFIT]]/Table17[[#This Row],[TO]],0)</f>
        <v>0</v>
      </c>
      <c r="P664" s="177"/>
      <c r="Q664" s="177"/>
      <c r="R664" s="177"/>
    </row>
    <row r="665" spans="1:18" ht="45" hidden="1" x14ac:dyDescent="0.25">
      <c r="A665" s="29" t="s">
        <v>4412</v>
      </c>
      <c r="B665" s="29" t="s">
        <v>4411</v>
      </c>
      <c r="C665" s="29" t="s">
        <v>505</v>
      </c>
      <c r="D665" s="29" t="e">
        <f>VLOOKUP(C:C,'COUNT-CONT'!B:C,2,FALSE)</f>
        <v>#N/A</v>
      </c>
      <c r="E665" s="29">
        <v>8</v>
      </c>
      <c r="F665" s="28">
        <v>2921</v>
      </c>
      <c r="G665" s="28">
        <v>4412583361</v>
      </c>
      <c r="H665" s="29">
        <v>25.45</v>
      </c>
      <c r="I665" s="142">
        <v>-53.989999999999995</v>
      </c>
      <c r="J665" s="29">
        <v>9.92</v>
      </c>
      <c r="K665" s="29">
        <v>8.19</v>
      </c>
      <c r="L665" s="29">
        <v>21.58</v>
      </c>
      <c r="M665" s="368"/>
      <c r="N665" s="368"/>
      <c r="O665" s="271">
        <f>IFERROR(Table17[[#This Row],[PROFIT]]/Table17[[#This Row],[TO]],0)</f>
        <v>0</v>
      </c>
      <c r="P665" s="177"/>
      <c r="Q665" s="177"/>
      <c r="R665" s="177"/>
    </row>
    <row r="666" spans="1:18" ht="30" hidden="1" x14ac:dyDescent="0.25">
      <c r="A666" s="29" t="s">
        <v>5329</v>
      </c>
      <c r="B666" s="29" t="s">
        <v>5328</v>
      </c>
      <c r="C666" s="29" t="s">
        <v>11732</v>
      </c>
      <c r="D666" s="29" t="str">
        <f>VLOOKUP(C:C,'COUNT-CONT'!B:C,2,FALSE)</f>
        <v>North America</v>
      </c>
      <c r="E666" s="29">
        <v>5</v>
      </c>
      <c r="F666" s="28">
        <v>2634</v>
      </c>
      <c r="G666" s="28">
        <v>6185515793</v>
      </c>
      <c r="H666" s="29">
        <v>25.42</v>
      </c>
      <c r="I666" s="142">
        <v>-54.019999999999996</v>
      </c>
      <c r="J666" s="29">
        <v>20.74</v>
      </c>
      <c r="K666" s="29">
        <v>20.74</v>
      </c>
      <c r="L666" s="29">
        <v>33.46</v>
      </c>
      <c r="M666" s="368"/>
      <c r="N666" s="368"/>
      <c r="O666" s="271">
        <f>IFERROR(Table17[[#This Row],[PROFIT]]/Table17[[#This Row],[TO]],0)</f>
        <v>0</v>
      </c>
      <c r="P666" s="177"/>
      <c r="Q666" s="177"/>
      <c r="R666" s="177"/>
    </row>
    <row r="667" spans="1:18" hidden="1" x14ac:dyDescent="0.25">
      <c r="A667" s="29" t="s">
        <v>4494</v>
      </c>
      <c r="B667" s="29" t="s">
        <v>4493</v>
      </c>
      <c r="C667" s="29" t="s">
        <v>172</v>
      </c>
      <c r="D667" s="29" t="str">
        <f>VLOOKUP(C:C,'COUNT-CONT'!B:C,2,FALSE)</f>
        <v>Asia</v>
      </c>
      <c r="E667" s="29">
        <v>10</v>
      </c>
      <c r="F667" s="28">
        <v>3842</v>
      </c>
      <c r="G667" s="28">
        <v>4502809213</v>
      </c>
      <c r="H667" s="29">
        <v>25.39</v>
      </c>
      <c r="I667" s="142">
        <v>-54.05</v>
      </c>
      <c r="J667" s="29">
        <v>10.25</v>
      </c>
      <c r="K667" s="29">
        <v>8.92</v>
      </c>
      <c r="L667" s="29">
        <v>22.28</v>
      </c>
      <c r="M667" s="368"/>
      <c r="N667" s="368"/>
      <c r="O667" s="271">
        <f>IFERROR(Table17[[#This Row],[PROFIT]]/Table17[[#This Row],[TO]],0)</f>
        <v>0</v>
      </c>
      <c r="P667" s="177"/>
      <c r="Q667" s="177"/>
      <c r="R667" s="177"/>
    </row>
    <row r="668" spans="1:18" ht="30" hidden="1" x14ac:dyDescent="0.25">
      <c r="A668" s="29" t="s">
        <v>5327</v>
      </c>
      <c r="B668" s="29" t="s">
        <v>5326</v>
      </c>
      <c r="C668" s="29" t="s">
        <v>11732</v>
      </c>
      <c r="D668" s="29" t="str">
        <f>VLOOKUP(C:C,'COUNT-CONT'!B:C,2,FALSE)</f>
        <v>North America</v>
      </c>
      <c r="E668" s="29">
        <v>10</v>
      </c>
      <c r="F668" s="28">
        <v>4427</v>
      </c>
      <c r="G668" s="28">
        <v>6153175265</v>
      </c>
      <c r="H668" s="29">
        <v>25.39</v>
      </c>
      <c r="I668" s="142">
        <v>-54.05</v>
      </c>
      <c r="J668" s="29">
        <v>20.71</v>
      </c>
      <c r="K668" s="29">
        <v>20.71</v>
      </c>
      <c r="L668" s="29">
        <v>33.43</v>
      </c>
      <c r="M668" s="368"/>
      <c r="N668" s="368"/>
      <c r="O668" s="271">
        <f>IFERROR(Table17[[#This Row],[PROFIT]]/Table17[[#This Row],[TO]],0)</f>
        <v>0</v>
      </c>
      <c r="P668" s="177"/>
      <c r="Q668" s="177"/>
      <c r="R668" s="177"/>
    </row>
    <row r="669" spans="1:18" hidden="1" x14ac:dyDescent="0.25">
      <c r="A669" s="29" t="s">
        <v>4586</v>
      </c>
      <c r="B669" s="29" t="s">
        <v>4585</v>
      </c>
      <c r="C669" s="29" t="s">
        <v>258</v>
      </c>
      <c r="D669" s="29" t="str">
        <f>VLOOKUP(C:C,'COUNT-CONT'!B:C,2,FALSE)</f>
        <v>Asia</v>
      </c>
      <c r="E669" s="29">
        <v>7</v>
      </c>
      <c r="F669" s="28">
        <v>2899</v>
      </c>
      <c r="G669" s="28">
        <v>4684741186</v>
      </c>
      <c r="H669" s="29">
        <v>25.39</v>
      </c>
      <c r="I669" s="142">
        <v>-54.05</v>
      </c>
      <c r="J669" s="29">
        <v>11.06</v>
      </c>
      <c r="K669" s="29">
        <v>9.67</v>
      </c>
      <c r="L669" s="29">
        <v>23.1</v>
      </c>
      <c r="M669" s="368"/>
      <c r="N669" s="368"/>
      <c r="O669" s="271">
        <f>IFERROR(Table17[[#This Row],[PROFIT]]/Table17[[#This Row],[TO]],0)</f>
        <v>0</v>
      </c>
      <c r="P669" s="177"/>
      <c r="Q669" s="177"/>
      <c r="R669" s="177"/>
    </row>
    <row r="670" spans="1:18" ht="30" hidden="1" x14ac:dyDescent="0.25">
      <c r="A670" s="29" t="s">
        <v>4100</v>
      </c>
      <c r="B670" s="29" t="s">
        <v>4099</v>
      </c>
      <c r="C670" s="29" t="s">
        <v>1144</v>
      </c>
      <c r="D670" s="29" t="str">
        <f>VLOOKUP(C:C,'COUNT-CONT'!B:C,2,FALSE)</f>
        <v>South America</v>
      </c>
      <c r="E670" s="29">
        <v>8</v>
      </c>
      <c r="F670" s="28">
        <v>2882</v>
      </c>
      <c r="G670" s="28">
        <v>4147279389</v>
      </c>
      <c r="H670" s="29">
        <v>25.39</v>
      </c>
      <c r="I670" s="142">
        <v>-54.05</v>
      </c>
      <c r="J670" s="29">
        <v>8.19</v>
      </c>
      <c r="K670" s="29">
        <v>5.83</v>
      </c>
      <c r="L670" s="29">
        <v>19.53</v>
      </c>
      <c r="M670" s="368"/>
      <c r="N670" s="368"/>
      <c r="O670" s="271">
        <f>IFERROR(Table17[[#This Row],[PROFIT]]/Table17[[#This Row],[TO]],0)</f>
        <v>0</v>
      </c>
      <c r="P670" s="177"/>
      <c r="Q670" s="177"/>
      <c r="R670" s="177"/>
    </row>
    <row r="671" spans="1:18" hidden="1" x14ac:dyDescent="0.25">
      <c r="A671" s="29" t="s">
        <v>4812</v>
      </c>
      <c r="B671" s="29" t="s">
        <v>4811</v>
      </c>
      <c r="C671" s="29" t="s">
        <v>142</v>
      </c>
      <c r="D671" s="29" t="str">
        <f>VLOOKUP(C:C,'COUNT-CONT'!B:C,2,FALSE)</f>
        <v>Asia</v>
      </c>
      <c r="E671" s="29">
        <v>6</v>
      </c>
      <c r="F671" s="28">
        <v>2708</v>
      </c>
      <c r="G671" s="28">
        <v>5024403840</v>
      </c>
      <c r="H671" s="29">
        <v>25.39</v>
      </c>
      <c r="I671" s="142">
        <v>-54.05</v>
      </c>
      <c r="J671" s="29">
        <v>13.69</v>
      </c>
      <c r="K671" s="29">
        <v>12.18</v>
      </c>
      <c r="L671" s="29">
        <v>25.39</v>
      </c>
      <c r="M671" s="368"/>
      <c r="N671" s="368"/>
      <c r="O671" s="271">
        <f>IFERROR(Table17[[#This Row],[PROFIT]]/Table17[[#This Row],[TO]],0)</f>
        <v>0</v>
      </c>
      <c r="P671" s="177"/>
      <c r="Q671" s="177"/>
      <c r="R671" s="177"/>
    </row>
    <row r="672" spans="1:18" hidden="1" x14ac:dyDescent="0.25">
      <c r="A672" s="29" t="s">
        <v>3295</v>
      </c>
      <c r="B672" s="29" t="s">
        <v>3294</v>
      </c>
      <c r="C672" s="29" t="s">
        <v>3293</v>
      </c>
      <c r="D672" s="29" t="str">
        <f>VLOOKUP(C:C,'COUNT-CONT'!B:C,2,FALSE)</f>
        <v>Africa</v>
      </c>
      <c r="E672" s="29">
        <v>10</v>
      </c>
      <c r="F672" s="28">
        <v>3428</v>
      </c>
      <c r="G672" s="28">
        <v>3822386814</v>
      </c>
      <c r="H672" s="29">
        <v>25.36</v>
      </c>
      <c r="I672" s="142">
        <v>-54.08</v>
      </c>
      <c r="J672" s="29">
        <v>3.96</v>
      </c>
      <c r="K672" s="29">
        <v>1.51</v>
      </c>
      <c r="L672" s="29">
        <v>15.27</v>
      </c>
      <c r="M672" s="368"/>
      <c r="N672" s="368"/>
      <c r="O672" s="271">
        <f>IFERROR(Table17[[#This Row],[PROFIT]]/Table17[[#This Row],[TO]],0)</f>
        <v>0</v>
      </c>
      <c r="P672" s="177"/>
      <c r="Q672" s="177"/>
      <c r="R672" s="177"/>
    </row>
    <row r="673" spans="1:18" ht="30" hidden="1" x14ac:dyDescent="0.25">
      <c r="A673" s="29" t="s">
        <v>4441</v>
      </c>
      <c r="B673" s="29" t="s">
        <v>4440</v>
      </c>
      <c r="C673" s="29" t="s">
        <v>860</v>
      </c>
      <c r="D673" s="29" t="str">
        <f>VLOOKUP(C:C,'COUNT-CONT'!B:C,2,FALSE)</f>
        <v>South America</v>
      </c>
      <c r="E673" s="29">
        <v>5</v>
      </c>
      <c r="F673" s="28">
        <v>2353</v>
      </c>
      <c r="G673" s="28">
        <v>4485288312</v>
      </c>
      <c r="H673" s="29">
        <v>25.33</v>
      </c>
      <c r="I673" s="142">
        <v>-54.11</v>
      </c>
      <c r="J673" s="29">
        <v>10.039999999999999</v>
      </c>
      <c r="K673" s="29">
        <v>8.2799999999999994</v>
      </c>
      <c r="L673" s="29">
        <v>21.86</v>
      </c>
      <c r="M673" s="368"/>
      <c r="N673" s="368"/>
      <c r="O673" s="271">
        <f>IFERROR(Table17[[#This Row],[PROFIT]]/Table17[[#This Row],[TO]],0)</f>
        <v>0</v>
      </c>
      <c r="P673" s="177"/>
      <c r="Q673" s="177"/>
      <c r="R673" s="177"/>
    </row>
    <row r="674" spans="1:18" hidden="1" x14ac:dyDescent="0.25">
      <c r="A674" s="29" t="s">
        <v>3868</v>
      </c>
      <c r="B674" s="29" t="s">
        <v>3867</v>
      </c>
      <c r="C674" s="29" t="s">
        <v>1625</v>
      </c>
      <c r="D674" s="29" t="str">
        <f>VLOOKUP(C:C,'COUNT-CONT'!B:C,2,FALSE)</f>
        <v>Africa</v>
      </c>
      <c r="E674" s="29">
        <v>8</v>
      </c>
      <c r="F674" s="28">
        <v>3083</v>
      </c>
      <c r="G674" s="28">
        <v>4041995329</v>
      </c>
      <c r="H674" s="29">
        <v>25.33</v>
      </c>
      <c r="I674" s="142">
        <v>-54.11</v>
      </c>
      <c r="J674" s="29">
        <v>6.86</v>
      </c>
      <c r="K674" s="29">
        <v>4.32</v>
      </c>
      <c r="L674" s="29">
        <v>18.11</v>
      </c>
      <c r="M674" s="368"/>
      <c r="N674" s="368"/>
      <c r="O674" s="271">
        <f>IFERROR(Table17[[#This Row],[PROFIT]]/Table17[[#This Row],[TO]],0)</f>
        <v>0</v>
      </c>
      <c r="P674" s="177"/>
      <c r="Q674" s="177"/>
      <c r="R674" s="177"/>
    </row>
    <row r="675" spans="1:18" x14ac:dyDescent="0.25">
      <c r="A675" s="29" t="s">
        <v>4951</v>
      </c>
      <c r="B675" s="29" t="s">
        <v>4950</v>
      </c>
      <c r="C675" s="29" t="s">
        <v>774</v>
      </c>
      <c r="D675" s="29" t="str">
        <f>VLOOKUP(C:C,'COUNT-CONT'!B:C,2,FALSE)</f>
        <v>Oceania</v>
      </c>
      <c r="E675" s="29">
        <v>6</v>
      </c>
      <c r="F675" s="28">
        <v>2485</v>
      </c>
      <c r="G675" s="28">
        <v>5242355935</v>
      </c>
      <c r="H675" s="29">
        <v>25.33</v>
      </c>
      <c r="I675" s="142">
        <v>-54.11</v>
      </c>
      <c r="J675" s="29">
        <v>15.08</v>
      </c>
      <c r="K675" s="29">
        <v>14</v>
      </c>
      <c r="L675" s="29">
        <v>26.93</v>
      </c>
      <c r="M675" s="368"/>
      <c r="N675" s="368"/>
      <c r="O675" s="271">
        <f>IFERROR(Table17[[#This Row],[PROFIT]]/Table17[[#This Row],[TO]],0)</f>
        <v>0</v>
      </c>
      <c r="P675" s="177"/>
      <c r="Q675" s="177"/>
      <c r="R675" s="177"/>
    </row>
    <row r="676" spans="1:18" ht="30" hidden="1" x14ac:dyDescent="0.25">
      <c r="A676" s="29" t="s">
        <v>4683</v>
      </c>
      <c r="B676" s="29" t="s">
        <v>4682</v>
      </c>
      <c r="C676" s="29" t="s">
        <v>258</v>
      </c>
      <c r="D676" s="29" t="str">
        <f>VLOOKUP(C:C,'COUNT-CONT'!B:C,2,FALSE)</f>
        <v>Asia</v>
      </c>
      <c r="E676" s="29">
        <v>8</v>
      </c>
      <c r="F676" s="28">
        <v>2935</v>
      </c>
      <c r="G676" s="28">
        <v>4790087052</v>
      </c>
      <c r="H676" s="29">
        <v>25.33</v>
      </c>
      <c r="I676" s="142">
        <v>-54.11</v>
      </c>
      <c r="J676" s="29">
        <v>11.94</v>
      </c>
      <c r="K676" s="29">
        <v>10.97</v>
      </c>
      <c r="L676" s="29">
        <v>23.91</v>
      </c>
      <c r="M676" s="368"/>
      <c r="N676" s="368"/>
      <c r="O676" s="271">
        <f>IFERROR(Table17[[#This Row],[PROFIT]]/Table17[[#This Row],[TO]],0)</f>
        <v>0</v>
      </c>
      <c r="P676" s="177"/>
      <c r="Q676" s="177"/>
      <c r="R676" s="177"/>
    </row>
    <row r="677" spans="1:18" ht="30" hidden="1" x14ac:dyDescent="0.25">
      <c r="A677" s="29" t="s">
        <v>4393</v>
      </c>
      <c r="B677" s="29" t="s">
        <v>4392</v>
      </c>
      <c r="C677" s="29" t="s">
        <v>517</v>
      </c>
      <c r="D677" s="29" t="str">
        <f>VLOOKUP(C:C,'COUNT-CONT'!B:C,2,FALSE)</f>
        <v>South America</v>
      </c>
      <c r="E677" s="29">
        <v>4</v>
      </c>
      <c r="F677" s="28">
        <v>2004</v>
      </c>
      <c r="G677" s="28">
        <v>4485502195</v>
      </c>
      <c r="H677" s="29">
        <v>25.33</v>
      </c>
      <c r="I677" s="142">
        <v>-54.11</v>
      </c>
      <c r="J677" s="29">
        <v>9.85</v>
      </c>
      <c r="K677" s="29">
        <v>8.1300000000000008</v>
      </c>
      <c r="L677" s="29">
        <v>21.46</v>
      </c>
      <c r="M677" s="368"/>
      <c r="N677" s="368"/>
      <c r="O677" s="271">
        <f>IFERROR(Table17[[#This Row],[PROFIT]]/Table17[[#This Row],[TO]],0)</f>
        <v>0</v>
      </c>
      <c r="P677" s="177"/>
      <c r="Q677" s="177"/>
      <c r="R677" s="177"/>
    </row>
    <row r="678" spans="1:18" hidden="1" x14ac:dyDescent="0.25">
      <c r="A678" s="29" t="s">
        <v>4574</v>
      </c>
      <c r="B678" s="29" t="s">
        <v>4573</v>
      </c>
      <c r="C678" s="29" t="s">
        <v>258</v>
      </c>
      <c r="D678" s="29" t="str">
        <f>VLOOKUP(C:C,'COUNT-CONT'!B:C,2,FALSE)</f>
        <v>Asia</v>
      </c>
      <c r="E678" s="29">
        <v>4</v>
      </c>
      <c r="F678" s="28">
        <v>2113</v>
      </c>
      <c r="G678" s="28">
        <v>4743586843</v>
      </c>
      <c r="H678" s="29">
        <v>25.33</v>
      </c>
      <c r="I678" s="142">
        <v>-54.11</v>
      </c>
      <c r="J678" s="29">
        <v>11.03</v>
      </c>
      <c r="K678" s="29">
        <v>9.67</v>
      </c>
      <c r="L678" s="29">
        <v>23.04</v>
      </c>
      <c r="M678" s="368"/>
      <c r="N678" s="368"/>
      <c r="O678" s="271">
        <f>IFERROR(Table17[[#This Row],[PROFIT]]/Table17[[#This Row],[TO]],0)</f>
        <v>0</v>
      </c>
      <c r="P678" s="177"/>
      <c r="Q678" s="177"/>
      <c r="R678" s="177"/>
    </row>
    <row r="679" spans="1:18" hidden="1" x14ac:dyDescent="0.25">
      <c r="A679" s="29" t="s">
        <v>4851</v>
      </c>
      <c r="B679" s="29" t="s">
        <v>4850</v>
      </c>
      <c r="C679" s="29" t="s">
        <v>585</v>
      </c>
      <c r="D679" s="29" t="str">
        <f>VLOOKUP(C:C,'COUNT-CONT'!B:C,2,FALSE)</f>
        <v>Europe</v>
      </c>
      <c r="E679" s="29">
        <v>8</v>
      </c>
      <c r="F679" s="28">
        <v>3048</v>
      </c>
      <c r="G679" s="28">
        <v>5061892388</v>
      </c>
      <c r="H679" s="29">
        <v>25.27</v>
      </c>
      <c r="I679" s="142">
        <v>-54.17</v>
      </c>
      <c r="J679" s="29">
        <v>13.91</v>
      </c>
      <c r="K679" s="29">
        <v>12.88</v>
      </c>
      <c r="L679" s="29">
        <v>25.79</v>
      </c>
      <c r="M679" s="368"/>
      <c r="N679" s="368"/>
      <c r="O679" s="271">
        <f>IFERROR(Table17[[#This Row],[PROFIT]]/Table17[[#This Row],[TO]],0)</f>
        <v>0</v>
      </c>
      <c r="P679" s="177"/>
      <c r="Q679" s="177"/>
      <c r="R679" s="177"/>
    </row>
    <row r="680" spans="1:18" ht="30" hidden="1" x14ac:dyDescent="0.25">
      <c r="A680" s="29" t="s">
        <v>4387</v>
      </c>
      <c r="B680" s="29" t="s">
        <v>4386</v>
      </c>
      <c r="C680" s="29" t="s">
        <v>517</v>
      </c>
      <c r="D680" s="29" t="str">
        <f>VLOOKUP(C:C,'COUNT-CONT'!B:C,2,FALSE)</f>
        <v>South America</v>
      </c>
      <c r="E680" s="29">
        <v>7</v>
      </c>
      <c r="F680" s="28">
        <v>2619</v>
      </c>
      <c r="G680" s="28">
        <v>4409207636</v>
      </c>
      <c r="H680" s="29">
        <v>25.27</v>
      </c>
      <c r="I680" s="142">
        <v>-54.17</v>
      </c>
      <c r="J680" s="29">
        <v>9.85</v>
      </c>
      <c r="K680" s="29">
        <v>8.1300000000000008</v>
      </c>
      <c r="L680" s="29">
        <v>21.43</v>
      </c>
      <c r="M680" s="368"/>
      <c r="N680" s="368"/>
      <c r="O680" s="271">
        <f>IFERROR(Table17[[#This Row],[PROFIT]]/Table17[[#This Row],[TO]],0)</f>
        <v>0</v>
      </c>
      <c r="P680" s="177"/>
      <c r="Q680" s="177"/>
      <c r="R680" s="177"/>
    </row>
    <row r="681" spans="1:18" hidden="1" x14ac:dyDescent="0.25">
      <c r="A681" s="29" t="s">
        <v>3749</v>
      </c>
      <c r="B681" s="29" t="s">
        <v>3748</v>
      </c>
      <c r="C681" s="29" t="s">
        <v>1070</v>
      </c>
      <c r="D681" s="29" t="str">
        <f>VLOOKUP(C:C,'COUNT-CONT'!B:C,2,FALSE)</f>
        <v>Asia</v>
      </c>
      <c r="E681" s="29">
        <v>5</v>
      </c>
      <c r="F681" s="28">
        <v>2115</v>
      </c>
      <c r="G681" s="28">
        <v>3992094562</v>
      </c>
      <c r="H681" s="29">
        <v>25.24</v>
      </c>
      <c r="I681" s="142">
        <v>-54.2</v>
      </c>
      <c r="J681" s="29">
        <v>5.86</v>
      </c>
      <c r="K681" s="29">
        <v>3.78</v>
      </c>
      <c r="L681" s="29">
        <v>17.29</v>
      </c>
      <c r="M681" s="368"/>
      <c r="N681" s="368"/>
      <c r="O681" s="271">
        <f>IFERROR(Table17[[#This Row],[PROFIT]]/Table17[[#This Row],[TO]],0)</f>
        <v>0</v>
      </c>
      <c r="P681" s="177"/>
      <c r="Q681" s="177"/>
      <c r="R681" s="177"/>
    </row>
    <row r="682" spans="1:18" hidden="1" x14ac:dyDescent="0.25">
      <c r="A682" s="29" t="s">
        <v>3475</v>
      </c>
      <c r="B682" s="29" t="s">
        <v>3474</v>
      </c>
      <c r="C682" s="29" t="s">
        <v>1189</v>
      </c>
      <c r="D682" s="29" t="str">
        <f>VLOOKUP(C:C,'COUNT-CONT'!B:C,2,FALSE)</f>
        <v>Africa</v>
      </c>
      <c r="E682" s="29">
        <v>4</v>
      </c>
      <c r="F682" s="28">
        <v>2011</v>
      </c>
      <c r="G682" s="28">
        <v>3939091546</v>
      </c>
      <c r="H682" s="29">
        <v>25.24</v>
      </c>
      <c r="I682" s="142">
        <v>-54.2</v>
      </c>
      <c r="J682" s="29">
        <v>4.78</v>
      </c>
      <c r="K682" s="29">
        <v>2.21</v>
      </c>
      <c r="L682" s="29">
        <v>15.96</v>
      </c>
      <c r="M682" s="368"/>
      <c r="N682" s="368"/>
      <c r="O682" s="271">
        <f>IFERROR(Table17[[#This Row],[PROFIT]]/Table17[[#This Row],[TO]],0)</f>
        <v>0</v>
      </c>
      <c r="P682" s="177"/>
      <c r="Q682" s="177"/>
      <c r="R682" s="177"/>
    </row>
    <row r="683" spans="1:18" ht="30" hidden="1" x14ac:dyDescent="0.25">
      <c r="A683" s="29" t="s">
        <v>3979</v>
      </c>
      <c r="B683" s="29" t="s">
        <v>3978</v>
      </c>
      <c r="C683" s="29" t="s">
        <v>3977</v>
      </c>
      <c r="D683" s="29" t="str">
        <f>VLOOKUP(C:C,'COUNT-CONT'!B:C,2,FALSE)</f>
        <v>North America</v>
      </c>
      <c r="E683" s="29">
        <v>5</v>
      </c>
      <c r="F683" s="28">
        <v>2218</v>
      </c>
      <c r="G683" s="28">
        <v>4175342290</v>
      </c>
      <c r="H683" s="29">
        <v>25.18</v>
      </c>
      <c r="I683" s="142">
        <v>-54.26</v>
      </c>
      <c r="J683" s="29">
        <v>7.5</v>
      </c>
      <c r="K683" s="29">
        <v>5.26</v>
      </c>
      <c r="L683" s="29">
        <v>18.8</v>
      </c>
      <c r="M683" s="368"/>
      <c r="N683" s="368"/>
      <c r="O683" s="271">
        <f>IFERROR(Table17[[#This Row],[PROFIT]]/Table17[[#This Row],[TO]],0)</f>
        <v>0</v>
      </c>
      <c r="P683" s="177"/>
      <c r="Q683" s="177"/>
      <c r="R683" s="177"/>
    </row>
    <row r="684" spans="1:18" hidden="1" x14ac:dyDescent="0.25">
      <c r="A684" s="29" t="s">
        <v>5059</v>
      </c>
      <c r="B684" s="29" t="s">
        <v>5058</v>
      </c>
      <c r="C684" s="29" t="s">
        <v>119</v>
      </c>
      <c r="D684" s="29" t="str">
        <f>VLOOKUP(C:C,'COUNT-CONT'!B:C,2,FALSE)</f>
        <v>Europe</v>
      </c>
      <c r="E684" s="29">
        <v>6</v>
      </c>
      <c r="F684" s="28">
        <v>2758</v>
      </c>
      <c r="G684" s="28">
        <v>5438439738</v>
      </c>
      <c r="H684" s="29">
        <v>25.15</v>
      </c>
      <c r="I684" s="142">
        <v>-54.29</v>
      </c>
      <c r="J684" s="29">
        <v>16.57</v>
      </c>
      <c r="K684" s="29">
        <v>16.02</v>
      </c>
      <c r="L684" s="29">
        <v>28.6</v>
      </c>
      <c r="M684" s="368"/>
      <c r="N684" s="368"/>
      <c r="O684" s="271">
        <f>IFERROR(Table17[[#This Row],[PROFIT]]/Table17[[#This Row],[TO]],0)</f>
        <v>0</v>
      </c>
      <c r="P684" s="177"/>
      <c r="Q684" s="177"/>
      <c r="R684" s="177"/>
    </row>
    <row r="685" spans="1:18" ht="30" hidden="1" x14ac:dyDescent="0.25">
      <c r="A685" s="29" t="s">
        <v>3361</v>
      </c>
      <c r="B685" s="29" t="s">
        <v>3360</v>
      </c>
      <c r="C685" s="29" t="s">
        <v>511</v>
      </c>
      <c r="D685" s="29" t="e">
        <f>VLOOKUP(C:C,'COUNT-CONT'!B:C,2,FALSE)</f>
        <v>#N/A</v>
      </c>
      <c r="E685" s="29">
        <v>10</v>
      </c>
      <c r="F685" s="28">
        <v>3442</v>
      </c>
      <c r="G685" s="28">
        <v>3823981638</v>
      </c>
      <c r="H685" s="29">
        <v>25.12</v>
      </c>
      <c r="I685" s="142">
        <v>-54.319999999999993</v>
      </c>
      <c r="J685" s="29">
        <v>4.32</v>
      </c>
      <c r="K685" s="29">
        <v>1.84</v>
      </c>
      <c r="L685" s="29">
        <v>15.51</v>
      </c>
      <c r="M685" s="368"/>
      <c r="N685" s="368"/>
      <c r="O685" s="271">
        <f>IFERROR(Table17[[#This Row],[PROFIT]]/Table17[[#This Row],[TO]],0)</f>
        <v>0</v>
      </c>
      <c r="P685" s="177"/>
      <c r="Q685" s="177"/>
      <c r="R685" s="177"/>
    </row>
    <row r="686" spans="1:18" hidden="1" x14ac:dyDescent="0.25">
      <c r="A686" s="29" t="s">
        <v>4054</v>
      </c>
      <c r="B686" s="29" t="s">
        <v>4053</v>
      </c>
      <c r="C686" s="29" t="s">
        <v>493</v>
      </c>
      <c r="D686" s="29" t="str">
        <f>VLOOKUP(C:C,'COUNT-CONT'!B:C,2,FALSE)</f>
        <v>Africa</v>
      </c>
      <c r="E686" s="29">
        <v>8</v>
      </c>
      <c r="F686" s="28">
        <v>2800</v>
      </c>
      <c r="G686" s="28">
        <v>4163057142</v>
      </c>
      <c r="H686" s="29">
        <v>25.09</v>
      </c>
      <c r="I686" s="142">
        <v>-54.349999999999994</v>
      </c>
      <c r="J686" s="29">
        <v>8.1</v>
      </c>
      <c r="K686" s="29">
        <v>5.77</v>
      </c>
      <c r="L686" s="29">
        <v>19.32</v>
      </c>
      <c r="M686" s="368"/>
      <c r="N686" s="368"/>
      <c r="O686" s="271">
        <f>IFERROR(Table17[[#This Row],[PROFIT]]/Table17[[#This Row],[TO]],0)</f>
        <v>0</v>
      </c>
      <c r="P686" s="177"/>
      <c r="Q686" s="177"/>
      <c r="R686" s="177"/>
    </row>
    <row r="687" spans="1:18" hidden="1" x14ac:dyDescent="0.25">
      <c r="A687" s="29" t="s">
        <v>4056</v>
      </c>
      <c r="B687" s="29" t="s">
        <v>4055</v>
      </c>
      <c r="C687" s="29" t="s">
        <v>1314</v>
      </c>
      <c r="D687" s="29" t="str">
        <f>VLOOKUP(C:C,'COUNT-CONT'!B:C,2,FALSE)</f>
        <v>Asia</v>
      </c>
      <c r="E687" s="29">
        <v>7</v>
      </c>
      <c r="F687" s="28">
        <v>2826</v>
      </c>
      <c r="G687" s="28">
        <v>4119442745</v>
      </c>
      <c r="H687" s="29">
        <v>25.09</v>
      </c>
      <c r="I687" s="142">
        <v>-54.349999999999994</v>
      </c>
      <c r="J687" s="29">
        <v>8.1</v>
      </c>
      <c r="K687" s="29">
        <v>5.77</v>
      </c>
      <c r="L687" s="29">
        <v>19.32</v>
      </c>
      <c r="M687" s="368"/>
      <c r="N687" s="368"/>
      <c r="O687" s="271">
        <f>IFERROR(Table17[[#This Row],[PROFIT]]/Table17[[#This Row],[TO]],0)</f>
        <v>0</v>
      </c>
      <c r="P687" s="177"/>
      <c r="Q687" s="177"/>
      <c r="R687" s="177"/>
    </row>
    <row r="688" spans="1:18" ht="30" hidden="1" x14ac:dyDescent="0.25">
      <c r="A688" s="29" t="s">
        <v>4539</v>
      </c>
      <c r="B688" s="29" t="s">
        <v>4538</v>
      </c>
      <c r="C688" s="29" t="s">
        <v>1749</v>
      </c>
      <c r="D688" s="29" t="str">
        <f>VLOOKUP(C:C,'COUNT-CONT'!B:C,2,FALSE)</f>
        <v>North America</v>
      </c>
      <c r="E688" s="29">
        <v>6</v>
      </c>
      <c r="F688" s="28">
        <v>2541</v>
      </c>
      <c r="G688" s="28">
        <v>4593100432</v>
      </c>
      <c r="H688" s="29">
        <v>25.09</v>
      </c>
      <c r="I688" s="142">
        <v>-54.349999999999994</v>
      </c>
      <c r="J688" s="29">
        <v>11.4</v>
      </c>
      <c r="K688" s="29">
        <v>9.58</v>
      </c>
      <c r="L688" s="29">
        <v>22.82</v>
      </c>
      <c r="M688" s="368"/>
      <c r="N688" s="368"/>
      <c r="O688" s="271">
        <f>IFERROR(Table17[[#This Row],[PROFIT]]/Table17[[#This Row],[TO]],0)</f>
        <v>0</v>
      </c>
      <c r="P688" s="177"/>
      <c r="Q688" s="177"/>
      <c r="R688" s="177"/>
    </row>
    <row r="689" spans="1:18" ht="30" hidden="1" x14ac:dyDescent="0.25">
      <c r="A689" s="29" t="s">
        <v>4981</v>
      </c>
      <c r="B689" s="29" t="s">
        <v>4980</v>
      </c>
      <c r="C689" s="29" t="s">
        <v>83</v>
      </c>
      <c r="D689" s="29" t="str">
        <f>VLOOKUP(C:C,'COUNT-CONT'!B:C,2,FALSE)</f>
        <v>Europe</v>
      </c>
      <c r="E689" s="29">
        <v>6</v>
      </c>
      <c r="F689" s="28">
        <v>2677</v>
      </c>
      <c r="G689" s="28">
        <v>5253107732</v>
      </c>
      <c r="H689" s="29">
        <v>25.06</v>
      </c>
      <c r="I689" s="142">
        <v>-54.379999999999995</v>
      </c>
      <c r="J689" s="29">
        <v>15.24</v>
      </c>
      <c r="K689" s="29">
        <v>14.15</v>
      </c>
      <c r="L689" s="29">
        <v>27.24</v>
      </c>
      <c r="M689" s="368"/>
      <c r="N689" s="368"/>
      <c r="O689" s="271">
        <f>IFERROR(Table17[[#This Row],[PROFIT]]/Table17[[#This Row],[TO]],0)</f>
        <v>0</v>
      </c>
      <c r="P689" s="177"/>
      <c r="Q689" s="177"/>
      <c r="R689" s="177"/>
    </row>
    <row r="690" spans="1:18" ht="30" hidden="1" x14ac:dyDescent="0.25">
      <c r="A690" s="29" t="s">
        <v>4359</v>
      </c>
      <c r="B690" s="29" t="s">
        <v>4358</v>
      </c>
      <c r="C690" s="29" t="s">
        <v>517</v>
      </c>
      <c r="D690" s="29" t="str">
        <f>VLOOKUP(C:C,'COUNT-CONT'!B:C,2,FALSE)</f>
        <v>South America</v>
      </c>
      <c r="E690" s="29">
        <v>5</v>
      </c>
      <c r="F690" s="28">
        <v>2159</v>
      </c>
      <c r="G690" s="28">
        <v>4430695136</v>
      </c>
      <c r="H690" s="29">
        <v>25.06</v>
      </c>
      <c r="I690" s="142">
        <v>-54.379999999999995</v>
      </c>
      <c r="J690" s="29">
        <v>9.76</v>
      </c>
      <c r="K690" s="29">
        <v>8.07</v>
      </c>
      <c r="L690" s="29">
        <v>21.25</v>
      </c>
      <c r="M690" s="368"/>
      <c r="N690" s="368"/>
      <c r="O690" s="271">
        <f>IFERROR(Table17[[#This Row],[PROFIT]]/Table17[[#This Row],[TO]],0)</f>
        <v>0</v>
      </c>
      <c r="P690" s="177"/>
      <c r="Q690" s="177"/>
      <c r="R690" s="177"/>
    </row>
    <row r="691" spans="1:18" ht="30" hidden="1" x14ac:dyDescent="0.25">
      <c r="A691" s="29" t="s">
        <v>5306</v>
      </c>
      <c r="B691" s="29" t="s">
        <v>5305</v>
      </c>
      <c r="C691" s="29" t="s">
        <v>11732</v>
      </c>
      <c r="D691" s="29" t="str">
        <f>VLOOKUP(C:C,'COUNT-CONT'!B:C,2,FALSE)</f>
        <v>North America</v>
      </c>
      <c r="E691" s="29">
        <v>5</v>
      </c>
      <c r="F691" s="28">
        <v>2707</v>
      </c>
      <c r="G691" s="28">
        <v>6112353897</v>
      </c>
      <c r="H691" s="29">
        <v>25.03</v>
      </c>
      <c r="I691" s="142">
        <v>-54.41</v>
      </c>
      <c r="J691" s="29">
        <v>20.440000000000001</v>
      </c>
      <c r="K691" s="29">
        <v>20.440000000000001</v>
      </c>
      <c r="L691" s="29">
        <v>32.950000000000003</v>
      </c>
      <c r="M691" s="368"/>
      <c r="N691" s="368"/>
      <c r="O691" s="271">
        <f>IFERROR(Table17[[#This Row],[PROFIT]]/Table17[[#This Row],[TO]],0)</f>
        <v>0</v>
      </c>
      <c r="P691" s="177"/>
      <c r="Q691" s="177"/>
      <c r="R691" s="177"/>
    </row>
    <row r="692" spans="1:18" hidden="1" x14ac:dyDescent="0.25">
      <c r="A692" s="29" t="s">
        <v>3152</v>
      </c>
      <c r="B692" s="29" t="s">
        <v>3151</v>
      </c>
      <c r="C692" s="29" t="s">
        <v>2454</v>
      </c>
      <c r="D692" s="29" t="str">
        <f>VLOOKUP(C:C,'COUNT-CONT'!B:C,2,FALSE)</f>
        <v>Africa</v>
      </c>
      <c r="E692" s="29">
        <v>10</v>
      </c>
      <c r="F692" s="28">
        <v>3385</v>
      </c>
      <c r="G692" s="28">
        <v>3795663072</v>
      </c>
      <c r="H692" s="29">
        <v>25.03</v>
      </c>
      <c r="I692" s="142">
        <v>-54.41</v>
      </c>
      <c r="J692" s="29">
        <v>3.54</v>
      </c>
      <c r="K692" s="29">
        <v>1.18</v>
      </c>
      <c r="L692" s="29">
        <v>14.72</v>
      </c>
      <c r="M692" s="368"/>
      <c r="N692" s="368"/>
      <c r="O692" s="271">
        <f>IFERROR(Table17[[#This Row],[PROFIT]]/Table17[[#This Row],[TO]],0)</f>
        <v>0</v>
      </c>
      <c r="P692" s="177"/>
      <c r="Q692" s="177"/>
      <c r="R692" s="177"/>
    </row>
    <row r="693" spans="1:18" hidden="1" x14ac:dyDescent="0.25">
      <c r="A693" s="29" t="s">
        <v>4304</v>
      </c>
      <c r="B693" s="29" t="s">
        <v>4303</v>
      </c>
      <c r="C693" s="29" t="s">
        <v>709</v>
      </c>
      <c r="D693" s="29" t="str">
        <f>VLOOKUP(C:C,'COUNT-CONT'!B:C,2,FALSE)</f>
        <v>Asia</v>
      </c>
      <c r="E693" s="29">
        <v>7</v>
      </c>
      <c r="F693" s="28">
        <v>2854</v>
      </c>
      <c r="G693" s="28">
        <v>4320423966</v>
      </c>
      <c r="H693" s="29">
        <v>25.03</v>
      </c>
      <c r="I693" s="142">
        <v>-54.41</v>
      </c>
      <c r="J693" s="29">
        <v>9.58</v>
      </c>
      <c r="K693" s="29">
        <v>7.5</v>
      </c>
      <c r="L693" s="29">
        <v>20.86</v>
      </c>
      <c r="M693" s="368"/>
      <c r="N693" s="368"/>
      <c r="O693" s="271">
        <f>IFERROR(Table17[[#This Row],[PROFIT]]/Table17[[#This Row],[TO]],0)</f>
        <v>0</v>
      </c>
      <c r="P693" s="177"/>
      <c r="Q693" s="177"/>
      <c r="R693" s="177"/>
    </row>
    <row r="694" spans="1:18" ht="30" hidden="1" x14ac:dyDescent="0.25">
      <c r="A694" s="29" t="s">
        <v>4351</v>
      </c>
      <c r="B694" s="29" t="s">
        <v>4350</v>
      </c>
      <c r="C694" s="29" t="s">
        <v>505</v>
      </c>
      <c r="D694" s="29" t="e">
        <f>VLOOKUP(C:C,'COUNT-CONT'!B:C,2,FALSE)</f>
        <v>#N/A</v>
      </c>
      <c r="E694" s="29">
        <v>6</v>
      </c>
      <c r="F694" s="28">
        <v>2351</v>
      </c>
      <c r="G694" s="28">
        <v>4397086005</v>
      </c>
      <c r="H694" s="29">
        <v>25</v>
      </c>
      <c r="I694" s="142">
        <v>-54.44</v>
      </c>
      <c r="J694" s="29">
        <v>9.73</v>
      </c>
      <c r="K694" s="29">
        <v>8.0399999999999991</v>
      </c>
      <c r="L694" s="29">
        <v>21.19</v>
      </c>
      <c r="M694" s="368"/>
      <c r="N694" s="368"/>
      <c r="O694" s="271">
        <f>IFERROR(Table17[[#This Row],[PROFIT]]/Table17[[#This Row],[TO]],0)</f>
        <v>0</v>
      </c>
      <c r="P694" s="177"/>
      <c r="Q694" s="177"/>
      <c r="R694" s="177"/>
    </row>
    <row r="695" spans="1:18" ht="30" hidden="1" x14ac:dyDescent="0.25">
      <c r="A695" s="29" t="s">
        <v>4527</v>
      </c>
      <c r="B695" s="29" t="s">
        <v>4526</v>
      </c>
      <c r="C695" s="29" t="s">
        <v>1749</v>
      </c>
      <c r="D695" s="29" t="str">
        <f>VLOOKUP(C:C,'COUNT-CONT'!B:C,2,FALSE)</f>
        <v>North America</v>
      </c>
      <c r="E695" s="29">
        <v>5</v>
      </c>
      <c r="F695" s="28">
        <v>2338</v>
      </c>
      <c r="G695" s="28">
        <v>4598887596</v>
      </c>
      <c r="H695" s="29">
        <v>24.97</v>
      </c>
      <c r="I695" s="142">
        <v>-54.47</v>
      </c>
      <c r="J695" s="29">
        <v>11.34</v>
      </c>
      <c r="K695" s="29">
        <v>9.52</v>
      </c>
      <c r="L695" s="29">
        <v>22.7</v>
      </c>
      <c r="M695" s="368"/>
      <c r="N695" s="368"/>
      <c r="O695" s="271">
        <f>IFERROR(Table17[[#This Row],[PROFIT]]/Table17[[#This Row],[TO]],0)</f>
        <v>0</v>
      </c>
      <c r="P695" s="177"/>
      <c r="Q695" s="177"/>
      <c r="R695" s="177"/>
    </row>
    <row r="696" spans="1:18" ht="30" hidden="1" x14ac:dyDescent="0.25">
      <c r="A696" s="29" t="s">
        <v>4924</v>
      </c>
      <c r="B696" s="29" t="s">
        <v>4923</v>
      </c>
      <c r="C696" s="29" t="s">
        <v>597</v>
      </c>
      <c r="D696" s="29" t="str">
        <f>VLOOKUP(C:C,'COUNT-CONT'!B:C,2,FALSE)</f>
        <v>Europe</v>
      </c>
      <c r="E696" s="29">
        <v>10</v>
      </c>
      <c r="F696" s="28">
        <v>3619</v>
      </c>
      <c r="G696" s="28">
        <v>5147351367</v>
      </c>
      <c r="H696" s="29">
        <v>24.94</v>
      </c>
      <c r="I696" s="142">
        <v>-54.5</v>
      </c>
      <c r="J696" s="29">
        <v>14.84</v>
      </c>
      <c r="K696" s="29">
        <v>13.78</v>
      </c>
      <c r="L696" s="29">
        <v>26.54</v>
      </c>
      <c r="M696" s="368"/>
      <c r="N696" s="368"/>
      <c r="O696" s="271">
        <f>IFERROR(Table17[[#This Row],[PROFIT]]/Table17[[#This Row],[TO]],0)</f>
        <v>0</v>
      </c>
      <c r="P696" s="177"/>
      <c r="Q696" s="177"/>
      <c r="R696" s="177"/>
    </row>
    <row r="697" spans="1:18" hidden="1" x14ac:dyDescent="0.25">
      <c r="A697" s="29" t="s">
        <v>3</v>
      </c>
      <c r="B697" s="29" t="s">
        <v>3386</v>
      </c>
      <c r="C697" s="29" t="s">
        <v>1710</v>
      </c>
      <c r="D697" s="29" t="str">
        <f>VLOOKUP(C:C,'COUNT-CONT'!B:C,2,FALSE)</f>
        <v>Asia</v>
      </c>
      <c r="E697" s="29">
        <v>9</v>
      </c>
      <c r="F697" s="28">
        <v>3238</v>
      </c>
      <c r="G697" s="28">
        <v>3818715873</v>
      </c>
      <c r="H697" s="29">
        <v>24.94</v>
      </c>
      <c r="I697" s="142">
        <v>-54.5</v>
      </c>
      <c r="J697" s="29">
        <v>4.66</v>
      </c>
      <c r="K697" s="29">
        <v>1.84</v>
      </c>
      <c r="L697" s="29">
        <v>15.6</v>
      </c>
      <c r="M697" s="368"/>
      <c r="N697" s="368"/>
      <c r="O697" s="271">
        <f>IFERROR(Table17[[#This Row],[PROFIT]]/Table17[[#This Row],[TO]],0)</f>
        <v>0</v>
      </c>
      <c r="P697" s="177"/>
      <c r="Q697" s="177"/>
      <c r="R697" s="177"/>
    </row>
    <row r="698" spans="1:18" ht="30" hidden="1" x14ac:dyDescent="0.25">
      <c r="A698" s="29" t="s">
        <v>4337</v>
      </c>
      <c r="B698" s="29" t="s">
        <v>4336</v>
      </c>
      <c r="C698" s="29" t="s">
        <v>517</v>
      </c>
      <c r="D698" s="29" t="str">
        <f>VLOOKUP(C:C,'COUNT-CONT'!B:C,2,FALSE)</f>
        <v>South America</v>
      </c>
      <c r="E698" s="29">
        <v>7</v>
      </c>
      <c r="F698" s="28">
        <v>3003</v>
      </c>
      <c r="G698" s="28">
        <v>4331500366</v>
      </c>
      <c r="H698" s="29">
        <v>24.91</v>
      </c>
      <c r="I698" s="142">
        <v>-54.53</v>
      </c>
      <c r="J698" s="29">
        <v>9.6999999999999993</v>
      </c>
      <c r="K698" s="29">
        <v>8.01</v>
      </c>
      <c r="L698" s="29">
        <v>21.13</v>
      </c>
      <c r="M698" s="368"/>
      <c r="N698" s="368"/>
      <c r="O698" s="271">
        <f>IFERROR(Table17[[#This Row],[PROFIT]]/Table17[[#This Row],[TO]],0)</f>
        <v>0</v>
      </c>
      <c r="P698" s="177"/>
      <c r="Q698" s="177"/>
      <c r="R698" s="177"/>
    </row>
    <row r="699" spans="1:18" ht="30" hidden="1" x14ac:dyDescent="0.25">
      <c r="A699" s="29" t="s">
        <v>4391</v>
      </c>
      <c r="B699" s="29" t="s">
        <v>4390</v>
      </c>
      <c r="C699" s="29" t="s">
        <v>683</v>
      </c>
      <c r="D699" s="29" t="str">
        <f>VLOOKUP(C:C,'COUNT-CONT'!B:C,2,FALSE)</f>
        <v>North America</v>
      </c>
      <c r="E699" s="29">
        <v>9</v>
      </c>
      <c r="F699" s="28">
        <v>3375</v>
      </c>
      <c r="G699" s="28">
        <v>4388125925</v>
      </c>
      <c r="H699" s="29">
        <v>24.88</v>
      </c>
      <c r="I699" s="142">
        <v>-54.56</v>
      </c>
      <c r="J699" s="29">
        <v>9.85</v>
      </c>
      <c r="K699" s="29">
        <v>8.1300000000000008</v>
      </c>
      <c r="L699" s="29">
        <v>21.43</v>
      </c>
      <c r="M699" s="368"/>
      <c r="N699" s="368"/>
      <c r="O699" s="271">
        <f>IFERROR(Table17[[#This Row],[PROFIT]]/Table17[[#This Row],[TO]],0)</f>
        <v>0</v>
      </c>
      <c r="P699" s="177"/>
      <c r="Q699" s="177"/>
      <c r="R699" s="177"/>
    </row>
    <row r="700" spans="1:18" hidden="1" x14ac:dyDescent="0.25">
      <c r="A700" s="29" t="s">
        <v>4237</v>
      </c>
      <c r="B700" s="29" t="s">
        <v>4236</v>
      </c>
      <c r="C700" s="29" t="s">
        <v>717</v>
      </c>
      <c r="D700" s="29" t="str">
        <f>VLOOKUP(C:C,'COUNT-CONT'!B:C,2,FALSE)</f>
        <v>Asia</v>
      </c>
      <c r="E700" s="29">
        <v>7</v>
      </c>
      <c r="F700" s="28">
        <v>2701</v>
      </c>
      <c r="G700" s="28">
        <v>4269156571</v>
      </c>
      <c r="H700" s="29">
        <v>24.88</v>
      </c>
      <c r="I700" s="142">
        <v>-54.56</v>
      </c>
      <c r="J700" s="29">
        <v>8.98</v>
      </c>
      <c r="K700" s="29">
        <v>7.35</v>
      </c>
      <c r="L700" s="29">
        <v>20.41</v>
      </c>
      <c r="M700" s="368"/>
      <c r="N700" s="368"/>
      <c r="O700" s="271">
        <f>IFERROR(Table17[[#This Row],[PROFIT]]/Table17[[#This Row],[TO]],0)</f>
        <v>0</v>
      </c>
      <c r="P700" s="177"/>
      <c r="Q700" s="177"/>
      <c r="R700" s="177"/>
    </row>
    <row r="701" spans="1:18" hidden="1" x14ac:dyDescent="0.25">
      <c r="A701" s="29" t="s">
        <v>4227</v>
      </c>
      <c r="B701" s="29" t="s">
        <v>4226</v>
      </c>
      <c r="C701" s="29" t="s">
        <v>78</v>
      </c>
      <c r="D701" s="29" t="str">
        <f>VLOOKUP(C:C,'COUNT-CONT'!B:C,2,FALSE)</f>
        <v>Europe</v>
      </c>
      <c r="E701" s="29">
        <v>6</v>
      </c>
      <c r="F701" s="28">
        <v>2586</v>
      </c>
      <c r="G701" s="28">
        <v>4271367362</v>
      </c>
      <c r="H701" s="29">
        <v>24.85</v>
      </c>
      <c r="I701" s="142">
        <v>-54.589999999999996</v>
      </c>
      <c r="J701" s="29">
        <v>8.9499999999999993</v>
      </c>
      <c r="K701" s="29">
        <v>7.32</v>
      </c>
      <c r="L701" s="29">
        <v>20.37</v>
      </c>
      <c r="M701" s="368"/>
      <c r="N701" s="368"/>
      <c r="O701" s="271">
        <f>IFERROR(Table17[[#This Row],[PROFIT]]/Table17[[#This Row],[TO]],0)</f>
        <v>0</v>
      </c>
      <c r="P701" s="177"/>
      <c r="Q701" s="177"/>
      <c r="R701" s="177"/>
    </row>
    <row r="702" spans="1:18" ht="30" hidden="1" x14ac:dyDescent="0.25">
      <c r="A702" s="29" t="s">
        <v>3988</v>
      </c>
      <c r="B702" s="29" t="s">
        <v>3987</v>
      </c>
      <c r="C702" s="29" t="s">
        <v>2293</v>
      </c>
      <c r="D702" s="29" t="str">
        <f>VLOOKUP(C:C,'COUNT-CONT'!B:C,2,FALSE)</f>
        <v>South America</v>
      </c>
      <c r="E702" s="29">
        <v>4</v>
      </c>
      <c r="F702" s="28">
        <v>1999</v>
      </c>
      <c r="G702" s="28">
        <v>4243075137</v>
      </c>
      <c r="H702" s="29">
        <v>24.85</v>
      </c>
      <c r="I702" s="142">
        <v>-54.589999999999996</v>
      </c>
      <c r="J702" s="29">
        <v>7.53</v>
      </c>
      <c r="K702" s="29">
        <v>5.62</v>
      </c>
      <c r="L702" s="29">
        <v>18.829999999999998</v>
      </c>
      <c r="M702" s="368"/>
      <c r="N702" s="368"/>
      <c r="O702" s="271">
        <f>IFERROR(Table17[[#This Row],[PROFIT]]/Table17[[#This Row],[TO]],0)</f>
        <v>0</v>
      </c>
      <c r="P702" s="177"/>
      <c r="Q702" s="177"/>
      <c r="R702" s="177"/>
    </row>
    <row r="703" spans="1:18" ht="30" hidden="1" x14ac:dyDescent="0.25">
      <c r="A703" s="29" t="s">
        <v>5293</v>
      </c>
      <c r="B703" s="29" t="s">
        <v>5292</v>
      </c>
      <c r="C703" s="29" t="s">
        <v>11732</v>
      </c>
      <c r="D703" s="29" t="str">
        <f>VLOOKUP(C:C,'COUNT-CONT'!B:C,2,FALSE)</f>
        <v>North America</v>
      </c>
      <c r="E703" s="29">
        <v>8</v>
      </c>
      <c r="F703" s="28">
        <v>3572</v>
      </c>
      <c r="G703" s="28">
        <v>6050350727</v>
      </c>
      <c r="H703" s="29">
        <v>24.82</v>
      </c>
      <c r="I703" s="142">
        <v>-54.62</v>
      </c>
      <c r="J703" s="29">
        <v>20.25</v>
      </c>
      <c r="K703" s="29">
        <v>20.25</v>
      </c>
      <c r="L703" s="29">
        <v>32.68</v>
      </c>
      <c r="M703" s="368"/>
      <c r="N703" s="368"/>
      <c r="O703" s="271">
        <f>IFERROR(Table17[[#This Row],[PROFIT]]/Table17[[#This Row],[TO]],0)</f>
        <v>0</v>
      </c>
      <c r="P703" s="177"/>
      <c r="Q703" s="177"/>
      <c r="R703" s="177"/>
    </row>
    <row r="704" spans="1:18" hidden="1" x14ac:dyDescent="0.25">
      <c r="A704" s="29" t="s">
        <v>4953</v>
      </c>
      <c r="B704" s="29" t="s">
        <v>4952</v>
      </c>
      <c r="C704" s="29" t="s">
        <v>308</v>
      </c>
      <c r="D704" s="29" t="str">
        <f>VLOOKUP(C:C,'COUNT-CONT'!B:C,2,FALSE)</f>
        <v>Europe</v>
      </c>
      <c r="E704" s="29">
        <v>6</v>
      </c>
      <c r="F704" s="28">
        <v>2667</v>
      </c>
      <c r="G704" s="28">
        <v>5232848443</v>
      </c>
      <c r="H704" s="29">
        <v>24.82</v>
      </c>
      <c r="I704" s="142">
        <v>-54.62</v>
      </c>
      <c r="J704" s="29">
        <v>15.08</v>
      </c>
      <c r="K704" s="29">
        <v>14.54</v>
      </c>
      <c r="L704" s="29">
        <v>26.96</v>
      </c>
      <c r="M704" s="368"/>
      <c r="N704" s="368"/>
      <c r="O704" s="271">
        <f>IFERROR(Table17[[#This Row],[PROFIT]]/Table17[[#This Row],[TO]],0)</f>
        <v>0</v>
      </c>
      <c r="P704" s="177"/>
      <c r="Q704" s="177"/>
      <c r="R704" s="177"/>
    </row>
    <row r="705" spans="1:18" ht="30" x14ac:dyDescent="0.25">
      <c r="A705" s="29" t="s">
        <v>5082</v>
      </c>
      <c r="B705" s="29" t="s">
        <v>5081</v>
      </c>
      <c r="C705" s="29" t="s">
        <v>5080</v>
      </c>
      <c r="D705" s="29" t="str">
        <f>VLOOKUP(C:C,'COUNT-CONT'!B:C,2,FALSE)</f>
        <v>Oceania</v>
      </c>
      <c r="E705" s="29">
        <v>9</v>
      </c>
      <c r="F705" s="28">
        <v>3645</v>
      </c>
      <c r="G705" s="28">
        <v>5402583264</v>
      </c>
      <c r="H705" s="29">
        <v>24.79</v>
      </c>
      <c r="I705" s="142">
        <v>-54.65</v>
      </c>
      <c r="J705" s="29">
        <v>16.72</v>
      </c>
      <c r="K705" s="29">
        <v>16.11</v>
      </c>
      <c r="L705" s="29">
        <v>28.81</v>
      </c>
      <c r="M705" s="368"/>
      <c r="N705" s="368"/>
      <c r="O705" s="271">
        <f>IFERROR(Table17[[#This Row],[PROFIT]]/Table17[[#This Row],[TO]],0)</f>
        <v>0</v>
      </c>
      <c r="P705" s="177"/>
      <c r="Q705" s="177"/>
      <c r="R705" s="177"/>
    </row>
    <row r="706" spans="1:18" hidden="1" x14ac:dyDescent="0.25">
      <c r="A706" s="29" t="s">
        <v>5010</v>
      </c>
      <c r="B706" s="29" t="s">
        <v>5009</v>
      </c>
      <c r="C706" s="29" t="s">
        <v>1427</v>
      </c>
      <c r="D706" s="29" t="str">
        <f>VLOOKUP(C:C,'COUNT-CONT'!B:C,2,FALSE)</f>
        <v>Europe</v>
      </c>
      <c r="E706" s="29">
        <v>10</v>
      </c>
      <c r="F706" s="28">
        <v>4242</v>
      </c>
      <c r="G706" s="28">
        <v>5285322179</v>
      </c>
      <c r="H706" s="29">
        <v>24.79</v>
      </c>
      <c r="I706" s="142">
        <v>-54.65</v>
      </c>
      <c r="J706" s="29">
        <v>15.96</v>
      </c>
      <c r="K706" s="29">
        <v>14.87</v>
      </c>
      <c r="L706" s="29">
        <v>27.57</v>
      </c>
      <c r="M706" s="368"/>
      <c r="N706" s="368"/>
      <c r="O706" s="271">
        <f>IFERROR(Table17[[#This Row],[PROFIT]]/Table17[[#This Row],[TO]],0)</f>
        <v>0</v>
      </c>
      <c r="P706" s="177"/>
      <c r="Q706" s="177"/>
      <c r="R706" s="177"/>
    </row>
    <row r="707" spans="1:18" hidden="1" x14ac:dyDescent="0.25">
      <c r="A707" s="29" t="s">
        <v>5281</v>
      </c>
      <c r="B707" s="29" t="s">
        <v>5280</v>
      </c>
      <c r="C707" s="29" t="s">
        <v>560</v>
      </c>
      <c r="D707" s="29" t="str">
        <f>VLOOKUP(C:C,'COUNT-CONT'!B:C,2,FALSE)</f>
        <v>Europe</v>
      </c>
      <c r="E707" s="29">
        <v>9</v>
      </c>
      <c r="F707" s="28">
        <v>3730</v>
      </c>
      <c r="G707" s="28">
        <v>6042906166</v>
      </c>
      <c r="H707" s="29">
        <v>24.76</v>
      </c>
      <c r="I707" s="142">
        <v>-54.679999999999993</v>
      </c>
      <c r="J707" s="29">
        <v>20.190000000000001</v>
      </c>
      <c r="K707" s="29">
        <v>20.190000000000001</v>
      </c>
      <c r="L707" s="29">
        <v>32.590000000000003</v>
      </c>
      <c r="M707" s="368"/>
      <c r="N707" s="368"/>
      <c r="O707" s="271">
        <f>IFERROR(Table17[[#This Row],[PROFIT]]/Table17[[#This Row],[TO]],0)</f>
        <v>0</v>
      </c>
      <c r="P707" s="177"/>
      <c r="Q707" s="177"/>
      <c r="R707" s="177"/>
    </row>
    <row r="708" spans="1:18" hidden="1" x14ac:dyDescent="0.25">
      <c r="A708" s="29" t="s">
        <v>4217</v>
      </c>
      <c r="B708" s="29" t="s">
        <v>4216</v>
      </c>
      <c r="C708" s="29" t="s">
        <v>722</v>
      </c>
      <c r="D708" s="29" t="str">
        <f>VLOOKUP(C:C,'COUNT-CONT'!B:C,2,FALSE)</f>
        <v>Europe</v>
      </c>
      <c r="E708" s="29">
        <v>6</v>
      </c>
      <c r="F708" s="28">
        <v>2568</v>
      </c>
      <c r="G708" s="28">
        <v>4264748909</v>
      </c>
      <c r="H708" s="29">
        <v>24.76</v>
      </c>
      <c r="I708" s="142">
        <v>-54.679999999999993</v>
      </c>
      <c r="J708" s="29">
        <v>8.92</v>
      </c>
      <c r="K708" s="29">
        <v>7.29</v>
      </c>
      <c r="L708" s="29">
        <v>20.309999999999999</v>
      </c>
      <c r="M708" s="368"/>
      <c r="N708" s="368"/>
      <c r="O708" s="271">
        <f>IFERROR(Table17[[#This Row],[PROFIT]]/Table17[[#This Row],[TO]],0)</f>
        <v>0</v>
      </c>
      <c r="P708" s="177"/>
      <c r="Q708" s="177"/>
      <c r="R708" s="177"/>
    </row>
    <row r="709" spans="1:18" ht="30" hidden="1" x14ac:dyDescent="0.25">
      <c r="A709" s="29" t="s">
        <v>2988</v>
      </c>
      <c r="B709" s="29" t="s">
        <v>2987</v>
      </c>
      <c r="C709" s="29" t="s">
        <v>725</v>
      </c>
      <c r="D709" s="29" t="e">
        <f>VLOOKUP(C:C,'COUNT-CONT'!B:C,2,FALSE)</f>
        <v>#N/A</v>
      </c>
      <c r="E709" s="29">
        <v>4</v>
      </c>
      <c r="F709" s="28">
        <v>2011</v>
      </c>
      <c r="G709" s="28">
        <v>3898891546</v>
      </c>
      <c r="H709" s="29">
        <v>24.76</v>
      </c>
      <c r="I709" s="142">
        <v>-54.679999999999993</v>
      </c>
      <c r="J709" s="29">
        <v>2.81</v>
      </c>
      <c r="K709" s="29">
        <v>0.54</v>
      </c>
      <c r="L709" s="29">
        <v>14.06</v>
      </c>
      <c r="M709" s="368"/>
      <c r="N709" s="368"/>
      <c r="O709" s="271">
        <f>IFERROR(Table17[[#This Row],[PROFIT]]/Table17[[#This Row],[TO]],0)</f>
        <v>0</v>
      </c>
      <c r="P709" s="177"/>
      <c r="Q709" s="177"/>
      <c r="R709" s="177"/>
    </row>
    <row r="710" spans="1:18" hidden="1" x14ac:dyDescent="0.25">
      <c r="A710" s="29" t="s">
        <v>3513</v>
      </c>
      <c r="B710" s="29" t="s">
        <v>3512</v>
      </c>
      <c r="C710" s="29" t="s">
        <v>197</v>
      </c>
      <c r="D710" s="29" t="str">
        <f>VLOOKUP(C:C,'COUNT-CONT'!B:C,2,FALSE)</f>
        <v>Asia</v>
      </c>
      <c r="E710" s="29">
        <v>7</v>
      </c>
      <c r="F710" s="28">
        <v>2787</v>
      </c>
      <c r="G710" s="28">
        <v>3847689630</v>
      </c>
      <c r="H710" s="29">
        <v>24.76</v>
      </c>
      <c r="I710" s="142">
        <v>-54.679999999999993</v>
      </c>
      <c r="J710" s="29">
        <v>5.14</v>
      </c>
      <c r="K710" s="29">
        <v>2.57</v>
      </c>
      <c r="L710" s="29">
        <v>16.079999999999998</v>
      </c>
      <c r="M710" s="368"/>
      <c r="N710" s="368"/>
      <c r="O710" s="271">
        <f>IFERROR(Table17[[#This Row],[PROFIT]]/Table17[[#This Row],[TO]],0)</f>
        <v>0</v>
      </c>
      <c r="P710" s="177"/>
      <c r="Q710" s="177"/>
      <c r="R710" s="177"/>
    </row>
    <row r="711" spans="1:18" hidden="1" x14ac:dyDescent="0.25">
      <c r="A711" s="29" t="s">
        <v>3799</v>
      </c>
      <c r="B711" s="29" t="s">
        <v>3798</v>
      </c>
      <c r="C711" s="29" t="s">
        <v>608</v>
      </c>
      <c r="D711" s="29" t="str">
        <f>VLOOKUP(C:C,'COUNT-CONT'!B:C,2,FALSE)</f>
        <v>Africa</v>
      </c>
      <c r="E711" s="29">
        <v>10</v>
      </c>
      <c r="F711" s="28">
        <v>3565</v>
      </c>
      <c r="G711" s="28">
        <v>3944355399</v>
      </c>
      <c r="H711" s="29">
        <v>24.76</v>
      </c>
      <c r="I711" s="142">
        <v>-54.679999999999993</v>
      </c>
      <c r="J711" s="29">
        <v>6.35</v>
      </c>
      <c r="K711" s="29">
        <v>4.2300000000000004</v>
      </c>
      <c r="L711" s="29">
        <v>17.68</v>
      </c>
      <c r="M711" s="368"/>
      <c r="N711" s="368"/>
      <c r="O711" s="271">
        <f>IFERROR(Table17[[#This Row],[PROFIT]]/Table17[[#This Row],[TO]],0)</f>
        <v>0</v>
      </c>
      <c r="P711" s="177"/>
      <c r="Q711" s="177"/>
      <c r="R711" s="177"/>
    </row>
    <row r="712" spans="1:18" hidden="1" x14ac:dyDescent="0.25">
      <c r="A712" s="29" t="s">
        <v>4168</v>
      </c>
      <c r="B712" s="29" t="s">
        <v>4167</v>
      </c>
      <c r="C712" s="29" t="s">
        <v>3980</v>
      </c>
      <c r="D712" s="29" t="str">
        <f>VLOOKUP(C:C,'COUNT-CONT'!B:C,2,FALSE)</f>
        <v>Europe</v>
      </c>
      <c r="E712" s="29">
        <v>7</v>
      </c>
      <c r="F712" s="28">
        <v>2582</v>
      </c>
      <c r="G712" s="28">
        <v>4236026336</v>
      </c>
      <c r="H712" s="29">
        <v>24.76</v>
      </c>
      <c r="I712" s="142">
        <v>-54.679999999999993</v>
      </c>
      <c r="J712" s="29">
        <v>8.77</v>
      </c>
      <c r="K712" s="29">
        <v>6.77</v>
      </c>
      <c r="L712" s="29">
        <v>19.98</v>
      </c>
      <c r="M712" s="368"/>
      <c r="N712" s="368"/>
      <c r="O712" s="271">
        <f>IFERROR(Table17[[#This Row],[PROFIT]]/Table17[[#This Row],[TO]],0)</f>
        <v>0</v>
      </c>
      <c r="P712" s="177"/>
      <c r="Q712" s="177"/>
      <c r="R712" s="177"/>
    </row>
    <row r="713" spans="1:18" hidden="1" x14ac:dyDescent="0.25">
      <c r="A713" s="29" t="s">
        <v>4754</v>
      </c>
      <c r="B713" s="29" t="s">
        <v>4753</v>
      </c>
      <c r="C713" s="29" t="s">
        <v>142</v>
      </c>
      <c r="D713" s="29" t="str">
        <f>VLOOKUP(C:C,'COUNT-CONT'!B:C,2,FALSE)</f>
        <v>Asia</v>
      </c>
      <c r="E713" s="29">
        <v>6</v>
      </c>
      <c r="F713" s="28">
        <v>2687</v>
      </c>
      <c r="G713" s="28">
        <v>4934778489</v>
      </c>
      <c r="H713" s="29">
        <v>24.7</v>
      </c>
      <c r="I713" s="142">
        <v>-54.739999999999995</v>
      </c>
      <c r="J713" s="29">
        <v>13.33</v>
      </c>
      <c r="K713" s="29">
        <v>11.85</v>
      </c>
      <c r="L713" s="29">
        <v>24.7</v>
      </c>
      <c r="M713" s="368"/>
      <c r="N713" s="368"/>
      <c r="O713" s="271">
        <f>IFERROR(Table17[[#This Row],[PROFIT]]/Table17[[#This Row],[TO]],0)</f>
        <v>0</v>
      </c>
      <c r="P713" s="177"/>
      <c r="Q713" s="177"/>
      <c r="R713" s="177"/>
    </row>
    <row r="714" spans="1:18" hidden="1" x14ac:dyDescent="0.25">
      <c r="A714" s="29" t="s">
        <v>3547</v>
      </c>
      <c r="B714" s="29" t="s">
        <v>3546</v>
      </c>
      <c r="C714" s="29" t="s">
        <v>867</v>
      </c>
      <c r="D714" s="29" t="str">
        <f>VLOOKUP(C:C,'COUNT-CONT'!B:C,2,FALSE)</f>
        <v>Asia</v>
      </c>
      <c r="E714" s="29">
        <v>3</v>
      </c>
      <c r="F714" s="28">
        <v>1545</v>
      </c>
      <c r="G714" s="28">
        <v>4006374110</v>
      </c>
      <c r="H714" s="29">
        <v>24.7</v>
      </c>
      <c r="I714" s="142">
        <v>-54.739999999999995</v>
      </c>
      <c r="J714" s="29">
        <v>5.2</v>
      </c>
      <c r="K714" s="29">
        <v>2.9</v>
      </c>
      <c r="L714" s="29">
        <v>16.260000000000002</v>
      </c>
      <c r="M714" s="368"/>
      <c r="N714" s="368"/>
      <c r="O714" s="271">
        <f>IFERROR(Table17[[#This Row],[PROFIT]]/Table17[[#This Row],[TO]],0)</f>
        <v>0</v>
      </c>
      <c r="P714" s="177"/>
      <c r="Q714" s="177"/>
      <c r="R714" s="177"/>
    </row>
    <row r="715" spans="1:18" hidden="1" x14ac:dyDescent="0.25">
      <c r="A715" s="29" t="s">
        <v>40</v>
      </c>
      <c r="B715" s="29" t="s">
        <v>4120</v>
      </c>
      <c r="C715" s="29" t="s">
        <v>533</v>
      </c>
      <c r="D715" s="29" t="str">
        <f>VLOOKUP(C:C,'COUNT-CONT'!B:C,2,FALSE)</f>
        <v>Asia</v>
      </c>
      <c r="E715" s="29">
        <v>9</v>
      </c>
      <c r="F715" s="28">
        <v>3561</v>
      </c>
      <c r="G715" s="28">
        <v>4125701993</v>
      </c>
      <c r="H715" s="29">
        <v>24.7</v>
      </c>
      <c r="I715" s="142">
        <v>-54.739999999999995</v>
      </c>
      <c r="J715" s="29">
        <v>8.2200000000000006</v>
      </c>
      <c r="K715" s="29">
        <v>6.26</v>
      </c>
      <c r="L715" s="29">
        <v>19.62</v>
      </c>
      <c r="M715" s="368"/>
      <c r="N715" s="368"/>
      <c r="O715" s="271">
        <f>IFERROR(Table17[[#This Row],[PROFIT]]/Table17[[#This Row],[TO]],0)</f>
        <v>0</v>
      </c>
      <c r="P715" s="177"/>
      <c r="Q715" s="177"/>
      <c r="R715" s="177"/>
    </row>
    <row r="716" spans="1:18" hidden="1" x14ac:dyDescent="0.25">
      <c r="A716" s="29" t="s">
        <v>3329</v>
      </c>
      <c r="B716" s="29" t="s">
        <v>3328</v>
      </c>
      <c r="C716" s="29" t="s">
        <v>1516</v>
      </c>
      <c r="D716" s="29" t="str">
        <f>VLOOKUP(C:C,'COUNT-CONT'!B:C,2,FALSE)</f>
        <v>Africa</v>
      </c>
      <c r="E716" s="29">
        <v>9</v>
      </c>
      <c r="F716" s="28">
        <v>3236</v>
      </c>
      <c r="G716" s="28">
        <v>3779925834</v>
      </c>
      <c r="H716" s="29">
        <v>24.67</v>
      </c>
      <c r="I716" s="142">
        <v>-54.769999999999996</v>
      </c>
      <c r="J716" s="29">
        <v>4.29</v>
      </c>
      <c r="K716" s="29">
        <v>2.15</v>
      </c>
      <c r="L716" s="29">
        <v>15.42</v>
      </c>
      <c r="M716" s="368"/>
      <c r="N716" s="368"/>
      <c r="O716" s="271">
        <f>IFERROR(Table17[[#This Row],[PROFIT]]/Table17[[#This Row],[TO]],0)</f>
        <v>0</v>
      </c>
      <c r="P716" s="177"/>
      <c r="Q716" s="177"/>
      <c r="R716" s="177"/>
    </row>
    <row r="717" spans="1:18" ht="30" hidden="1" x14ac:dyDescent="0.25">
      <c r="A717" s="29" t="s">
        <v>4047</v>
      </c>
      <c r="B717" s="29" t="s">
        <v>4046</v>
      </c>
      <c r="C717" s="29" t="s">
        <v>4045</v>
      </c>
      <c r="D717" s="29" t="str">
        <f>VLOOKUP(C:C,'COUNT-CONT'!B:C,2,FALSE)</f>
        <v>South America</v>
      </c>
      <c r="E717" s="29">
        <v>5</v>
      </c>
      <c r="F717" s="28">
        <v>2107</v>
      </c>
      <c r="G717" s="28">
        <v>4252469292</v>
      </c>
      <c r="H717" s="29">
        <v>24.67</v>
      </c>
      <c r="I717" s="142">
        <v>-54.769999999999996</v>
      </c>
      <c r="J717" s="29">
        <v>8.07</v>
      </c>
      <c r="K717" s="29">
        <v>6.17</v>
      </c>
      <c r="L717" s="29">
        <v>19.260000000000002</v>
      </c>
      <c r="M717" s="368"/>
      <c r="N717" s="368"/>
      <c r="O717" s="271">
        <f>IFERROR(Table17[[#This Row],[PROFIT]]/Table17[[#This Row],[TO]],0)</f>
        <v>0</v>
      </c>
      <c r="P717" s="177"/>
      <c r="Q717" s="177"/>
      <c r="R717" s="177"/>
    </row>
    <row r="718" spans="1:18" hidden="1" x14ac:dyDescent="0.25">
      <c r="A718" s="29" t="s">
        <v>3759</v>
      </c>
      <c r="B718" s="29" t="s">
        <v>3758</v>
      </c>
      <c r="C718" s="29" t="s">
        <v>926</v>
      </c>
      <c r="D718" s="29" t="str">
        <f>VLOOKUP(C:C,'COUNT-CONT'!B:C,2,FALSE)</f>
        <v>Africa</v>
      </c>
      <c r="E718" s="29">
        <v>7</v>
      </c>
      <c r="F718" s="28">
        <v>2605</v>
      </c>
      <c r="G718" s="28">
        <v>3965764875</v>
      </c>
      <c r="H718" s="29">
        <v>24.64</v>
      </c>
      <c r="I718" s="142">
        <v>-54.8</v>
      </c>
      <c r="J718" s="29">
        <v>6.23</v>
      </c>
      <c r="K718" s="29">
        <v>4.1399999999999997</v>
      </c>
      <c r="L718" s="29">
        <v>17.350000000000001</v>
      </c>
      <c r="M718" s="368"/>
      <c r="N718" s="368"/>
      <c r="O718" s="271">
        <f>IFERROR(Table17[[#This Row],[PROFIT]]/Table17[[#This Row],[TO]],0)</f>
        <v>0</v>
      </c>
      <c r="P718" s="177"/>
      <c r="Q718" s="177"/>
      <c r="R718" s="177"/>
    </row>
    <row r="719" spans="1:18" hidden="1" x14ac:dyDescent="0.25">
      <c r="A719" s="29" t="s">
        <v>4937</v>
      </c>
      <c r="B719" s="29" t="s">
        <v>4936</v>
      </c>
      <c r="C719" s="29" t="s">
        <v>1427</v>
      </c>
      <c r="D719" s="29" t="str">
        <f>VLOOKUP(C:C,'COUNT-CONT'!B:C,2,FALSE)</f>
        <v>Europe</v>
      </c>
      <c r="E719" s="29">
        <v>8</v>
      </c>
      <c r="F719" s="28">
        <v>3144</v>
      </c>
      <c r="G719" s="28">
        <v>5170472773</v>
      </c>
      <c r="H719" s="29">
        <v>24.61</v>
      </c>
      <c r="I719" s="142">
        <v>-54.83</v>
      </c>
      <c r="J719" s="29">
        <v>14.96</v>
      </c>
      <c r="K719" s="29">
        <v>13.91</v>
      </c>
      <c r="L719" s="29">
        <v>26.75</v>
      </c>
      <c r="M719" s="368"/>
      <c r="N719" s="368"/>
      <c r="O719" s="271">
        <f>IFERROR(Table17[[#This Row],[PROFIT]]/Table17[[#This Row],[TO]],0)</f>
        <v>0</v>
      </c>
      <c r="P719" s="177"/>
      <c r="Q719" s="177"/>
      <c r="R719" s="177"/>
    </row>
    <row r="720" spans="1:18" hidden="1" x14ac:dyDescent="0.25">
      <c r="A720" s="29" t="s">
        <v>3215</v>
      </c>
      <c r="B720" s="29" t="s">
        <v>3214</v>
      </c>
      <c r="C720" s="29" t="s">
        <v>3213</v>
      </c>
      <c r="D720" s="29" t="str">
        <f>VLOOKUP(C:C,'COUNT-CONT'!B:C,2,FALSE)</f>
        <v>Africa</v>
      </c>
      <c r="E720" s="29">
        <v>9</v>
      </c>
      <c r="F720" s="28">
        <v>3232</v>
      </c>
      <c r="G720" s="28">
        <v>3785946534</v>
      </c>
      <c r="H720" s="29">
        <v>24.61</v>
      </c>
      <c r="I720" s="142">
        <v>-54.83</v>
      </c>
      <c r="J720" s="29">
        <v>3.9</v>
      </c>
      <c r="K720" s="29">
        <v>1.48</v>
      </c>
      <c r="L720" s="29">
        <v>14.99</v>
      </c>
      <c r="M720" s="368"/>
      <c r="N720" s="368"/>
      <c r="O720" s="271">
        <f>IFERROR(Table17[[#This Row],[PROFIT]]/Table17[[#This Row],[TO]],0)</f>
        <v>0</v>
      </c>
      <c r="P720" s="177"/>
      <c r="Q720" s="177"/>
      <c r="R720" s="177"/>
    </row>
    <row r="721" spans="1:18" hidden="1" x14ac:dyDescent="0.25">
      <c r="A721" s="29" t="s">
        <v>4460</v>
      </c>
      <c r="B721" s="29" t="s">
        <v>4459</v>
      </c>
      <c r="C721" s="29" t="s">
        <v>605</v>
      </c>
      <c r="D721" s="29" t="str">
        <f>VLOOKUP(C:C,'COUNT-CONT'!B:C,2,FALSE)</f>
        <v>Europe</v>
      </c>
      <c r="E721" s="29">
        <v>5</v>
      </c>
      <c r="F721" s="28">
        <v>2188</v>
      </c>
      <c r="G721" s="28">
        <v>4655542230</v>
      </c>
      <c r="H721" s="29">
        <v>24.61</v>
      </c>
      <c r="I721" s="142">
        <v>-54.83</v>
      </c>
      <c r="J721" s="29">
        <v>10.52</v>
      </c>
      <c r="K721" s="29">
        <v>9.2200000000000006</v>
      </c>
      <c r="L721" s="29">
        <v>21.98</v>
      </c>
      <c r="M721" s="368"/>
      <c r="N721" s="368"/>
      <c r="O721" s="271">
        <f>IFERROR(Table17[[#This Row],[PROFIT]]/Table17[[#This Row],[TO]],0)</f>
        <v>0</v>
      </c>
      <c r="P721" s="177"/>
      <c r="Q721" s="177"/>
      <c r="R721" s="177"/>
    </row>
    <row r="722" spans="1:18" hidden="1" x14ac:dyDescent="0.25">
      <c r="A722" s="29" t="s">
        <v>4013</v>
      </c>
      <c r="B722" s="29" t="s">
        <v>4012</v>
      </c>
      <c r="C722" s="29" t="s">
        <v>700</v>
      </c>
      <c r="D722" s="29" t="str">
        <f>VLOOKUP(C:C,'COUNT-CONT'!B:C,2,FALSE)</f>
        <v>Asia</v>
      </c>
      <c r="E722" s="29">
        <v>10</v>
      </c>
      <c r="F722" s="28">
        <v>3436</v>
      </c>
      <c r="G722" s="28">
        <v>4090739697</v>
      </c>
      <c r="H722" s="29">
        <v>24.61</v>
      </c>
      <c r="I722" s="142">
        <v>-54.83</v>
      </c>
      <c r="J722" s="29">
        <v>7.56</v>
      </c>
      <c r="K722" s="29">
        <v>5.65</v>
      </c>
      <c r="L722" s="29">
        <v>18.920000000000002</v>
      </c>
      <c r="M722" s="368"/>
      <c r="N722" s="368"/>
      <c r="O722" s="271">
        <f>IFERROR(Table17[[#This Row],[PROFIT]]/Table17[[#This Row],[TO]],0)</f>
        <v>0</v>
      </c>
      <c r="P722" s="177"/>
      <c r="Q722" s="177"/>
      <c r="R722" s="177"/>
    </row>
    <row r="723" spans="1:18" ht="30" hidden="1" x14ac:dyDescent="0.25">
      <c r="A723" s="29" t="s">
        <v>4508</v>
      </c>
      <c r="B723" s="29" t="s">
        <v>4507</v>
      </c>
      <c r="C723" s="29" t="s">
        <v>1749</v>
      </c>
      <c r="D723" s="29" t="str">
        <f>VLOOKUP(C:C,'COUNT-CONT'!B:C,2,FALSE)</f>
        <v>North America</v>
      </c>
      <c r="E723" s="29">
        <v>7</v>
      </c>
      <c r="F723" s="28">
        <v>2835</v>
      </c>
      <c r="G723" s="28">
        <v>4518007054</v>
      </c>
      <c r="H723" s="29">
        <v>24.61</v>
      </c>
      <c r="I723" s="142">
        <v>-54.83</v>
      </c>
      <c r="J723" s="29">
        <v>11.19</v>
      </c>
      <c r="K723" s="29">
        <v>9.3699999999999992</v>
      </c>
      <c r="L723" s="29">
        <v>22.37</v>
      </c>
      <c r="M723" s="368"/>
      <c r="N723" s="368"/>
      <c r="O723" s="271">
        <f>IFERROR(Table17[[#This Row],[PROFIT]]/Table17[[#This Row],[TO]],0)</f>
        <v>0</v>
      </c>
      <c r="P723" s="177"/>
      <c r="Q723" s="177"/>
      <c r="R723" s="177"/>
    </row>
    <row r="724" spans="1:18" hidden="1" x14ac:dyDescent="0.25">
      <c r="A724" s="29" t="s">
        <v>4449</v>
      </c>
      <c r="B724" s="29" t="s">
        <v>4448</v>
      </c>
      <c r="C724" s="29" t="s">
        <v>605</v>
      </c>
      <c r="D724" s="29" t="str">
        <f>VLOOKUP(C:C,'COUNT-CONT'!B:C,2,FALSE)</f>
        <v>Europe</v>
      </c>
      <c r="E724" s="29">
        <v>6</v>
      </c>
      <c r="F724" s="28">
        <v>2421</v>
      </c>
      <c r="G724" s="28">
        <v>4624757703</v>
      </c>
      <c r="H724" s="29">
        <v>24.58</v>
      </c>
      <c r="I724" s="142">
        <v>-54.86</v>
      </c>
      <c r="J724" s="29">
        <v>10.52</v>
      </c>
      <c r="K724" s="29">
        <v>9.19</v>
      </c>
      <c r="L724" s="29">
        <v>21.95</v>
      </c>
      <c r="M724" s="368"/>
      <c r="N724" s="368"/>
      <c r="O724" s="271">
        <f>IFERROR(Table17[[#This Row],[PROFIT]]/Table17[[#This Row],[TO]],0)</f>
        <v>0</v>
      </c>
      <c r="P724" s="177"/>
      <c r="Q724" s="177"/>
      <c r="R724" s="177"/>
    </row>
    <row r="725" spans="1:18" ht="30" hidden="1" x14ac:dyDescent="0.25">
      <c r="A725" s="29" t="s">
        <v>320</v>
      </c>
      <c r="B725" s="29" t="s">
        <v>4502</v>
      </c>
      <c r="C725" s="29" t="s">
        <v>1847</v>
      </c>
      <c r="D725" s="29" t="str">
        <f>VLOOKUP(C:C,'COUNT-CONT'!B:C,2,FALSE)</f>
        <v>Asia</v>
      </c>
      <c r="E725" s="29">
        <v>10</v>
      </c>
      <c r="F725" s="28">
        <v>4726</v>
      </c>
      <c r="G725" s="28">
        <v>4542754972</v>
      </c>
      <c r="H725" s="29">
        <v>24.58</v>
      </c>
      <c r="I725" s="142">
        <v>-54.86</v>
      </c>
      <c r="J725" s="29">
        <v>11.15</v>
      </c>
      <c r="K725" s="29">
        <v>9.3699999999999992</v>
      </c>
      <c r="L725" s="29">
        <v>22.34</v>
      </c>
      <c r="M725" s="368"/>
      <c r="N725" s="368"/>
      <c r="O725" s="271">
        <f>IFERROR(Table17[[#This Row],[PROFIT]]/Table17[[#This Row],[TO]],0)</f>
        <v>0</v>
      </c>
      <c r="P725" s="177"/>
      <c r="Q725" s="177"/>
      <c r="R725" s="177"/>
    </row>
    <row r="726" spans="1:18" ht="30" hidden="1" x14ac:dyDescent="0.25">
      <c r="A726" s="29" t="s">
        <v>4414</v>
      </c>
      <c r="B726" s="29" t="s">
        <v>4413</v>
      </c>
      <c r="C726" s="29" t="s">
        <v>172</v>
      </c>
      <c r="D726" s="29" t="str">
        <f>VLOOKUP(C:C,'COUNT-CONT'!B:C,2,FALSE)</f>
        <v>Asia</v>
      </c>
      <c r="E726" s="29">
        <v>9</v>
      </c>
      <c r="F726" s="28">
        <v>3182</v>
      </c>
      <c r="G726" s="28">
        <v>4406694531</v>
      </c>
      <c r="H726" s="29">
        <v>24.58</v>
      </c>
      <c r="I726" s="142">
        <v>-54.86</v>
      </c>
      <c r="J726" s="29">
        <v>9.92</v>
      </c>
      <c r="K726" s="29">
        <v>8.6199999999999992</v>
      </c>
      <c r="L726" s="29">
        <v>21.58</v>
      </c>
      <c r="M726" s="368"/>
      <c r="N726" s="368"/>
      <c r="O726" s="271">
        <f>IFERROR(Table17[[#This Row],[PROFIT]]/Table17[[#This Row],[TO]],0)</f>
        <v>0</v>
      </c>
      <c r="P726" s="177"/>
      <c r="Q726" s="177"/>
      <c r="R726" s="177"/>
    </row>
    <row r="727" spans="1:18" hidden="1" x14ac:dyDescent="0.25">
      <c r="A727" s="29" t="s">
        <v>4300</v>
      </c>
      <c r="B727" s="29" t="s">
        <v>4299</v>
      </c>
      <c r="C727" s="29" t="s">
        <v>14</v>
      </c>
      <c r="D727" s="29" t="str">
        <f>VLOOKUP(C:C,'COUNT-CONT'!B:C,2,FALSE)</f>
        <v>Asia</v>
      </c>
      <c r="E727" s="29">
        <v>7</v>
      </c>
      <c r="F727" s="28">
        <v>2698</v>
      </c>
      <c r="G727" s="28">
        <v>4322909414</v>
      </c>
      <c r="H727" s="29">
        <v>24.58</v>
      </c>
      <c r="I727" s="142">
        <v>-54.86</v>
      </c>
      <c r="J727" s="29">
        <v>9.5500000000000007</v>
      </c>
      <c r="K727" s="29">
        <v>7.89</v>
      </c>
      <c r="L727" s="29">
        <v>20.83</v>
      </c>
      <c r="M727" s="368"/>
      <c r="N727" s="368"/>
      <c r="O727" s="271">
        <f>IFERROR(Table17[[#This Row],[PROFIT]]/Table17[[#This Row],[TO]],0)</f>
        <v>0</v>
      </c>
      <c r="P727" s="177"/>
      <c r="Q727" s="177"/>
      <c r="R727" s="177"/>
    </row>
    <row r="728" spans="1:18" x14ac:dyDescent="0.25">
      <c r="A728" s="29" t="s">
        <v>4884</v>
      </c>
      <c r="B728" s="29" t="s">
        <v>4883</v>
      </c>
      <c r="C728" s="29" t="s">
        <v>774</v>
      </c>
      <c r="D728" s="29" t="str">
        <f>VLOOKUP(C:C,'COUNT-CONT'!B:C,2,FALSE)</f>
        <v>Oceania</v>
      </c>
      <c r="E728" s="29">
        <v>10</v>
      </c>
      <c r="F728" s="28">
        <v>3641</v>
      </c>
      <c r="G728" s="28">
        <v>5101714803</v>
      </c>
      <c r="H728" s="29">
        <v>24.55</v>
      </c>
      <c r="I728" s="142">
        <v>-54.89</v>
      </c>
      <c r="J728" s="29">
        <v>14.6</v>
      </c>
      <c r="K728" s="29">
        <v>13.57</v>
      </c>
      <c r="L728" s="29">
        <v>26.12</v>
      </c>
      <c r="M728" s="368"/>
      <c r="N728" s="368"/>
      <c r="O728" s="271">
        <f>IFERROR(Table17[[#This Row],[PROFIT]]/Table17[[#This Row],[TO]],0)</f>
        <v>0</v>
      </c>
      <c r="P728" s="177"/>
      <c r="Q728" s="177"/>
      <c r="R728" s="177"/>
    </row>
    <row r="729" spans="1:18" hidden="1" x14ac:dyDescent="0.25">
      <c r="A729" s="29" t="s">
        <v>3371</v>
      </c>
      <c r="B729" s="29" t="s">
        <v>3370</v>
      </c>
      <c r="C729" s="29" t="s">
        <v>644</v>
      </c>
      <c r="D729" s="29" t="str">
        <f>VLOOKUP(C:C,'COUNT-CONT'!B:C,2,FALSE)</f>
        <v>Africa</v>
      </c>
      <c r="E729" s="29">
        <v>9</v>
      </c>
      <c r="F729" s="28">
        <v>3281</v>
      </c>
      <c r="G729" s="28">
        <v>3795563639</v>
      </c>
      <c r="H729" s="29">
        <v>24.55</v>
      </c>
      <c r="I729" s="142">
        <v>-54.89</v>
      </c>
      <c r="J729" s="29">
        <v>4.66</v>
      </c>
      <c r="K729" s="29">
        <v>2.15</v>
      </c>
      <c r="L729" s="29">
        <v>15.54</v>
      </c>
      <c r="M729" s="368"/>
      <c r="N729" s="368"/>
      <c r="O729" s="271">
        <f>IFERROR(Table17[[#This Row],[PROFIT]]/Table17[[#This Row],[TO]],0)</f>
        <v>0</v>
      </c>
      <c r="P729" s="177"/>
      <c r="Q729" s="177"/>
      <c r="R729" s="177"/>
    </row>
    <row r="730" spans="1:18" hidden="1" x14ac:dyDescent="0.25">
      <c r="A730" s="29" t="s">
        <v>2996</v>
      </c>
      <c r="B730" s="29" t="s">
        <v>2995</v>
      </c>
      <c r="C730" s="29" t="s">
        <v>1531</v>
      </c>
      <c r="D730" s="29" t="str">
        <f>VLOOKUP(C:C,'COUNT-CONT'!B:C,2,FALSE)</f>
        <v>Africa</v>
      </c>
      <c r="E730" s="29">
        <v>4</v>
      </c>
      <c r="F730" s="28">
        <v>2016</v>
      </c>
      <c r="G730" s="28">
        <v>3871234920</v>
      </c>
      <c r="H730" s="29">
        <v>24.52</v>
      </c>
      <c r="I730" s="142">
        <v>-54.92</v>
      </c>
      <c r="J730" s="29">
        <v>3.08</v>
      </c>
      <c r="K730" s="29">
        <v>0.82</v>
      </c>
      <c r="L730" s="29">
        <v>14.09</v>
      </c>
      <c r="M730" s="368"/>
      <c r="N730" s="368"/>
      <c r="O730" s="271">
        <f>IFERROR(Table17[[#This Row],[PROFIT]]/Table17[[#This Row],[TO]],0)</f>
        <v>0</v>
      </c>
      <c r="P730" s="177"/>
      <c r="Q730" s="177"/>
      <c r="R730" s="177"/>
    </row>
    <row r="731" spans="1:18" ht="30" hidden="1" x14ac:dyDescent="0.25">
      <c r="A731" s="29" t="s">
        <v>3860</v>
      </c>
      <c r="B731" s="29" t="s">
        <v>3859</v>
      </c>
      <c r="C731" s="29" t="s">
        <v>1261</v>
      </c>
      <c r="D731" s="29" t="str">
        <f>VLOOKUP(C:C,'COUNT-CONT'!B:C,2,FALSE)</f>
        <v>Asia</v>
      </c>
      <c r="E731" s="29">
        <v>5</v>
      </c>
      <c r="F731" s="28">
        <v>2298</v>
      </c>
      <c r="G731" s="28">
        <v>4052477110</v>
      </c>
      <c r="H731" s="29">
        <v>24.52</v>
      </c>
      <c r="I731" s="142">
        <v>-54.92</v>
      </c>
      <c r="J731" s="29">
        <v>6.83</v>
      </c>
      <c r="K731" s="29">
        <v>5.05</v>
      </c>
      <c r="L731" s="29">
        <v>18.05</v>
      </c>
      <c r="M731" s="368"/>
      <c r="N731" s="368"/>
      <c r="O731" s="271">
        <f>IFERROR(Table17[[#This Row],[PROFIT]]/Table17[[#This Row],[TO]],0)</f>
        <v>0</v>
      </c>
      <c r="P731" s="177"/>
      <c r="Q731" s="177"/>
      <c r="R731" s="177"/>
    </row>
    <row r="732" spans="1:18" hidden="1" x14ac:dyDescent="0.25">
      <c r="A732" s="29" t="s">
        <v>4233</v>
      </c>
      <c r="B732" s="29" t="s">
        <v>4232</v>
      </c>
      <c r="C732" s="29" t="s">
        <v>709</v>
      </c>
      <c r="D732" s="29" t="str">
        <f>VLOOKUP(C:C,'COUNT-CONT'!B:C,2,FALSE)</f>
        <v>Asia</v>
      </c>
      <c r="E732" s="29">
        <v>5</v>
      </c>
      <c r="F732" s="28">
        <v>2225</v>
      </c>
      <c r="G732" s="28">
        <v>4311782022</v>
      </c>
      <c r="H732" s="29">
        <v>24.49</v>
      </c>
      <c r="I732" s="142">
        <v>-54.95</v>
      </c>
      <c r="J732" s="29">
        <v>9.3699999999999992</v>
      </c>
      <c r="K732" s="29">
        <v>7.35</v>
      </c>
      <c r="L732" s="29">
        <v>20.41</v>
      </c>
      <c r="M732" s="368"/>
      <c r="N732" s="368"/>
      <c r="O732" s="271">
        <f>IFERROR(Table17[[#This Row],[PROFIT]]/Table17[[#This Row],[TO]],0)</f>
        <v>0</v>
      </c>
      <c r="P732" s="177"/>
      <c r="Q732" s="177"/>
      <c r="R732" s="177"/>
    </row>
    <row r="733" spans="1:18" hidden="1" x14ac:dyDescent="0.25">
      <c r="A733" s="29" t="s">
        <v>3984</v>
      </c>
      <c r="B733" s="29" t="s">
        <v>3983</v>
      </c>
      <c r="C733" s="29" t="s">
        <v>493</v>
      </c>
      <c r="D733" s="29" t="str">
        <f>VLOOKUP(C:C,'COUNT-CONT'!B:C,2,FALSE)</f>
        <v>Africa</v>
      </c>
      <c r="E733" s="29">
        <v>8</v>
      </c>
      <c r="F733" s="28">
        <v>2800</v>
      </c>
      <c r="G733" s="28">
        <v>4095857142</v>
      </c>
      <c r="H733" s="29">
        <v>24.43</v>
      </c>
      <c r="I733" s="142">
        <v>-55.01</v>
      </c>
      <c r="J733" s="29">
        <v>7.89</v>
      </c>
      <c r="K733" s="29">
        <v>5.62</v>
      </c>
      <c r="L733" s="29">
        <v>18.8</v>
      </c>
      <c r="M733" s="368"/>
      <c r="N733" s="368"/>
      <c r="O733" s="271">
        <f>IFERROR(Table17[[#This Row],[PROFIT]]/Table17[[#This Row],[TO]],0)</f>
        <v>0</v>
      </c>
      <c r="P733" s="177"/>
      <c r="Q733" s="177"/>
      <c r="R733" s="177"/>
    </row>
    <row r="734" spans="1:18" hidden="1" x14ac:dyDescent="0.25">
      <c r="A734" s="29" t="s">
        <v>4181</v>
      </c>
      <c r="B734" s="29" t="s">
        <v>4180</v>
      </c>
      <c r="C734" s="29" t="s">
        <v>78</v>
      </c>
      <c r="D734" s="29" t="str">
        <f>VLOOKUP(C:C,'COUNT-CONT'!B:C,2,FALSE)</f>
        <v>Europe</v>
      </c>
      <c r="E734" s="29">
        <v>10</v>
      </c>
      <c r="F734" s="28">
        <v>3510</v>
      </c>
      <c r="G734" s="28">
        <v>4206190313</v>
      </c>
      <c r="H734" s="29">
        <v>24.43</v>
      </c>
      <c r="I734" s="142">
        <v>-55.01</v>
      </c>
      <c r="J734" s="29">
        <v>8.8000000000000007</v>
      </c>
      <c r="K734" s="29">
        <v>7.19</v>
      </c>
      <c r="L734" s="29">
        <v>20.04</v>
      </c>
      <c r="M734" s="368"/>
      <c r="N734" s="368"/>
      <c r="O734" s="271">
        <f>IFERROR(Table17[[#This Row],[PROFIT]]/Table17[[#This Row],[TO]],0)</f>
        <v>0</v>
      </c>
      <c r="P734" s="177"/>
      <c r="Q734" s="177"/>
      <c r="R734" s="177"/>
    </row>
    <row r="735" spans="1:18" ht="30" hidden="1" x14ac:dyDescent="0.25">
      <c r="A735" s="29" t="s">
        <v>4919</v>
      </c>
      <c r="B735" s="29" t="s">
        <v>4918</v>
      </c>
      <c r="C735" s="29" t="s">
        <v>83</v>
      </c>
      <c r="D735" s="29" t="str">
        <f>VLOOKUP(C:C,'COUNT-CONT'!B:C,2,FALSE)</f>
        <v>Europe</v>
      </c>
      <c r="E735" s="29">
        <v>4</v>
      </c>
      <c r="F735" s="28">
        <v>2000</v>
      </c>
      <c r="G735" s="28">
        <v>5235200000</v>
      </c>
      <c r="H735" s="29">
        <v>24.4</v>
      </c>
      <c r="I735" s="142">
        <v>-55.04</v>
      </c>
      <c r="J735" s="29">
        <v>14.84</v>
      </c>
      <c r="K735" s="29">
        <v>13.78</v>
      </c>
      <c r="L735" s="29">
        <v>26.54</v>
      </c>
      <c r="M735" s="368"/>
      <c r="N735" s="368"/>
      <c r="O735" s="271">
        <f>IFERROR(Table17[[#This Row],[PROFIT]]/Table17[[#This Row],[TO]],0)</f>
        <v>0</v>
      </c>
      <c r="P735" s="177"/>
      <c r="Q735" s="177"/>
      <c r="R735" s="177"/>
    </row>
    <row r="736" spans="1:18" hidden="1" x14ac:dyDescent="0.25">
      <c r="A736" s="29" t="s">
        <v>4276</v>
      </c>
      <c r="B736" s="29" t="s">
        <v>4275</v>
      </c>
      <c r="C736" s="29" t="s">
        <v>14</v>
      </c>
      <c r="D736" s="29" t="str">
        <f>VLOOKUP(C:C,'COUNT-CONT'!B:C,2,FALSE)</f>
        <v>Asia</v>
      </c>
      <c r="E736" s="29">
        <v>7</v>
      </c>
      <c r="F736" s="28">
        <v>2695</v>
      </c>
      <c r="G736" s="28">
        <v>4304163265</v>
      </c>
      <c r="H736" s="29">
        <v>24.4</v>
      </c>
      <c r="I736" s="142">
        <v>-55.04</v>
      </c>
      <c r="J736" s="29">
        <v>9.49</v>
      </c>
      <c r="K736" s="29">
        <v>7.83</v>
      </c>
      <c r="L736" s="29">
        <v>20.68</v>
      </c>
      <c r="M736" s="368"/>
      <c r="N736" s="368"/>
      <c r="O736" s="271">
        <f>IFERROR(Table17[[#This Row],[PROFIT]]/Table17[[#This Row],[TO]],0)</f>
        <v>0</v>
      </c>
      <c r="P736" s="177"/>
      <c r="Q736" s="177"/>
      <c r="R736" s="177"/>
    </row>
    <row r="737" spans="1:18" hidden="1" x14ac:dyDescent="0.25">
      <c r="A737" s="29" t="s">
        <v>4725</v>
      </c>
      <c r="B737" s="29" t="s">
        <v>4724</v>
      </c>
      <c r="C737" s="29" t="s">
        <v>142</v>
      </c>
      <c r="D737" s="29" t="str">
        <f>VLOOKUP(C:C,'COUNT-CONT'!B:C,2,FALSE)</f>
        <v>Asia</v>
      </c>
      <c r="E737" s="29">
        <v>9</v>
      </c>
      <c r="F737" s="28">
        <v>3212</v>
      </c>
      <c r="G737" s="28">
        <v>4871565753</v>
      </c>
      <c r="H737" s="29">
        <v>24.37</v>
      </c>
      <c r="I737" s="142">
        <v>-55.069999999999993</v>
      </c>
      <c r="J737" s="29">
        <v>13.15</v>
      </c>
      <c r="K737" s="29">
        <v>11.67</v>
      </c>
      <c r="L737" s="29">
        <v>24.37</v>
      </c>
      <c r="M737" s="368"/>
      <c r="N737" s="368"/>
      <c r="O737" s="271">
        <f>IFERROR(Table17[[#This Row],[PROFIT]]/Table17[[#This Row],[TO]],0)</f>
        <v>0</v>
      </c>
      <c r="P737" s="177"/>
      <c r="Q737" s="177"/>
      <c r="R737" s="177"/>
    </row>
    <row r="738" spans="1:18" x14ac:dyDescent="0.25">
      <c r="A738" s="29" t="s">
        <v>4869</v>
      </c>
      <c r="B738" s="29" t="s">
        <v>4868</v>
      </c>
      <c r="C738" s="29" t="s">
        <v>774</v>
      </c>
      <c r="D738" s="29" t="str">
        <f>VLOOKUP(C:C,'COUNT-CONT'!B:C,2,FALSE)</f>
        <v>Oceania</v>
      </c>
      <c r="E738" s="29">
        <v>6</v>
      </c>
      <c r="F738" s="28">
        <v>2632</v>
      </c>
      <c r="G738" s="28">
        <v>5100333130</v>
      </c>
      <c r="H738" s="29">
        <v>24.37</v>
      </c>
      <c r="I738" s="142">
        <v>-55.069999999999993</v>
      </c>
      <c r="J738" s="29">
        <v>14.51</v>
      </c>
      <c r="K738" s="29">
        <v>13.48</v>
      </c>
      <c r="L738" s="29">
        <v>25.94</v>
      </c>
      <c r="M738" s="368"/>
      <c r="N738" s="368"/>
      <c r="O738" s="271">
        <f>IFERROR(Table17[[#This Row],[PROFIT]]/Table17[[#This Row],[TO]],0)</f>
        <v>0</v>
      </c>
      <c r="P738" s="177"/>
      <c r="Q738" s="177"/>
      <c r="R738" s="177"/>
    </row>
    <row r="739" spans="1:18" x14ac:dyDescent="0.25">
      <c r="A739" s="29" t="s">
        <v>4373</v>
      </c>
      <c r="B739" s="29" t="s">
        <v>4372</v>
      </c>
      <c r="C739" s="29" t="s">
        <v>730</v>
      </c>
      <c r="D739" s="29" t="str">
        <f>VLOOKUP(C:C,'COUNT-CONT'!B:C,2,FALSE)</f>
        <v>Oceania</v>
      </c>
      <c r="E739" s="29">
        <v>4</v>
      </c>
      <c r="F739" s="28">
        <v>2027</v>
      </c>
      <c r="G739" s="28">
        <v>4599873902</v>
      </c>
      <c r="H739" s="29">
        <v>24.33</v>
      </c>
      <c r="I739" s="142">
        <v>-55.11</v>
      </c>
      <c r="J739" s="29">
        <v>10.25</v>
      </c>
      <c r="K739" s="29">
        <v>8.52</v>
      </c>
      <c r="L739" s="29">
        <v>21.37</v>
      </c>
      <c r="M739" s="368"/>
      <c r="N739" s="368"/>
      <c r="O739" s="271">
        <f>IFERROR(Table17[[#This Row],[PROFIT]]/Table17[[#This Row],[TO]],0)</f>
        <v>0</v>
      </c>
      <c r="P739" s="177"/>
      <c r="Q739" s="177"/>
      <c r="R739" s="177"/>
    </row>
    <row r="740" spans="1:18" ht="30" hidden="1" x14ac:dyDescent="0.25">
      <c r="A740" s="29" t="s">
        <v>4469</v>
      </c>
      <c r="B740" s="29" t="s">
        <v>4468</v>
      </c>
      <c r="C740" s="29" t="s">
        <v>1749</v>
      </c>
      <c r="D740" s="29" t="str">
        <f>VLOOKUP(C:C,'COUNT-CONT'!B:C,2,FALSE)</f>
        <v>North America</v>
      </c>
      <c r="E740" s="29">
        <v>10</v>
      </c>
      <c r="F740" s="28">
        <v>3502</v>
      </c>
      <c r="G740" s="28">
        <v>4457906225</v>
      </c>
      <c r="H740" s="29">
        <v>24.21</v>
      </c>
      <c r="I740" s="142">
        <v>-55.23</v>
      </c>
      <c r="J740" s="29">
        <v>11</v>
      </c>
      <c r="K740" s="29">
        <v>9.2200000000000006</v>
      </c>
      <c r="L740" s="29">
        <v>22.01</v>
      </c>
      <c r="M740" s="368"/>
      <c r="N740" s="368"/>
      <c r="O740" s="271">
        <f>IFERROR(Table17[[#This Row],[PROFIT]]/Table17[[#This Row],[TO]],0)</f>
        <v>0</v>
      </c>
      <c r="P740" s="177"/>
      <c r="Q740" s="177"/>
      <c r="R740" s="177"/>
    </row>
    <row r="741" spans="1:18" ht="30" hidden="1" x14ac:dyDescent="0.25">
      <c r="A741" s="29" t="s">
        <v>4904</v>
      </c>
      <c r="B741" s="29" t="s">
        <v>4903</v>
      </c>
      <c r="C741" s="29" t="s">
        <v>308</v>
      </c>
      <c r="D741" s="29" t="str">
        <f>VLOOKUP(C:C,'COUNT-CONT'!B:C,2,FALSE)</f>
        <v>Europe</v>
      </c>
      <c r="E741" s="29">
        <v>3</v>
      </c>
      <c r="F741" s="28">
        <v>1919</v>
      </c>
      <c r="G741" s="28">
        <v>5242815216</v>
      </c>
      <c r="H741" s="29">
        <v>24.21</v>
      </c>
      <c r="I741" s="142">
        <v>-55.23</v>
      </c>
      <c r="J741" s="29">
        <v>14.75</v>
      </c>
      <c r="K741" s="29">
        <v>14.21</v>
      </c>
      <c r="L741" s="29">
        <v>26.33</v>
      </c>
      <c r="M741" s="368"/>
      <c r="N741" s="368"/>
      <c r="O741" s="271">
        <f>IFERROR(Table17[[#This Row],[PROFIT]]/Table17[[#This Row],[TO]],0)</f>
        <v>0</v>
      </c>
      <c r="P741" s="177"/>
      <c r="Q741" s="177"/>
      <c r="R741" s="177"/>
    </row>
    <row r="742" spans="1:18" hidden="1" x14ac:dyDescent="0.25">
      <c r="A742" s="29" t="s">
        <v>4709</v>
      </c>
      <c r="B742" s="29" t="s">
        <v>4708</v>
      </c>
      <c r="C742" s="29" t="s">
        <v>142</v>
      </c>
      <c r="D742" s="29" t="str">
        <f>VLOOKUP(C:C,'COUNT-CONT'!B:C,2,FALSE)</f>
        <v>Asia</v>
      </c>
      <c r="E742" s="29">
        <v>6</v>
      </c>
      <c r="F742" s="28">
        <v>2672</v>
      </c>
      <c r="G742" s="28">
        <v>4869876646</v>
      </c>
      <c r="H742" s="29">
        <v>24.21</v>
      </c>
      <c r="I742" s="142">
        <v>-55.23</v>
      </c>
      <c r="J742" s="29">
        <v>13.06</v>
      </c>
      <c r="K742" s="29">
        <v>11.61</v>
      </c>
      <c r="L742" s="29">
        <v>24.21</v>
      </c>
      <c r="M742" s="368"/>
      <c r="N742" s="368"/>
      <c r="O742" s="271">
        <f>IFERROR(Table17[[#This Row],[PROFIT]]/Table17[[#This Row],[TO]],0)</f>
        <v>0</v>
      </c>
      <c r="P742" s="177"/>
      <c r="Q742" s="177"/>
      <c r="R742" s="177"/>
    </row>
    <row r="743" spans="1:18" hidden="1" x14ac:dyDescent="0.25">
      <c r="A743" s="29" t="s">
        <v>3584</v>
      </c>
      <c r="B743" s="29" t="s">
        <v>3583</v>
      </c>
      <c r="C743" s="29" t="s">
        <v>1070</v>
      </c>
      <c r="D743" s="29" t="str">
        <f>VLOOKUP(C:C,'COUNT-CONT'!B:C,2,FALSE)</f>
        <v>Asia</v>
      </c>
      <c r="E743" s="29">
        <v>6</v>
      </c>
      <c r="F743" s="28">
        <v>2427</v>
      </c>
      <c r="G743" s="28">
        <v>3862834445</v>
      </c>
      <c r="H743" s="29">
        <v>24.18</v>
      </c>
      <c r="I743" s="142">
        <v>-55.26</v>
      </c>
      <c r="J743" s="29">
        <v>5.62</v>
      </c>
      <c r="K743" s="29">
        <v>3.63</v>
      </c>
      <c r="L743" s="29">
        <v>16.57</v>
      </c>
      <c r="M743" s="368"/>
      <c r="N743" s="368"/>
      <c r="O743" s="271">
        <f>IFERROR(Table17[[#This Row],[PROFIT]]/Table17[[#This Row],[TO]],0)</f>
        <v>0</v>
      </c>
      <c r="P743" s="177"/>
      <c r="Q743" s="177"/>
      <c r="R743" s="177"/>
    </row>
    <row r="744" spans="1:18" ht="30" hidden="1" x14ac:dyDescent="0.25">
      <c r="A744" s="29" t="s">
        <v>4451</v>
      </c>
      <c r="B744" s="29" t="s">
        <v>4450</v>
      </c>
      <c r="C744" s="29" t="s">
        <v>1749</v>
      </c>
      <c r="D744" s="29" t="str">
        <f>VLOOKUP(C:C,'COUNT-CONT'!B:C,2,FALSE)</f>
        <v>North America</v>
      </c>
      <c r="E744" s="29">
        <v>7</v>
      </c>
      <c r="F744" s="28">
        <v>2720</v>
      </c>
      <c r="G744" s="28">
        <v>4468411764</v>
      </c>
      <c r="H744" s="29">
        <v>24.12</v>
      </c>
      <c r="I744" s="142">
        <v>-55.319999999999993</v>
      </c>
      <c r="J744" s="29">
        <v>10.97</v>
      </c>
      <c r="K744" s="29">
        <v>9.19</v>
      </c>
      <c r="L744" s="29">
        <v>21.95</v>
      </c>
      <c r="M744" s="368"/>
      <c r="N744" s="368"/>
      <c r="O744" s="271">
        <f>IFERROR(Table17[[#This Row],[PROFIT]]/Table17[[#This Row],[TO]],0)</f>
        <v>0</v>
      </c>
      <c r="P744" s="177"/>
      <c r="Q744" s="177"/>
      <c r="R744" s="177"/>
    </row>
    <row r="745" spans="1:18" hidden="1" x14ac:dyDescent="0.25">
      <c r="A745" s="29" t="s">
        <v>4898</v>
      </c>
      <c r="B745" s="29" t="s">
        <v>4897</v>
      </c>
      <c r="C745" s="29" t="s">
        <v>3204</v>
      </c>
      <c r="D745" s="29" t="str">
        <f>VLOOKUP(C:C,'COUNT-CONT'!B:C,2,FALSE)</f>
        <v>Europe</v>
      </c>
      <c r="E745" s="29">
        <v>8</v>
      </c>
      <c r="F745" s="28">
        <v>3267</v>
      </c>
      <c r="G745" s="28">
        <v>5116900336</v>
      </c>
      <c r="H745" s="29">
        <v>24.12</v>
      </c>
      <c r="I745" s="142">
        <v>-55.319999999999993</v>
      </c>
      <c r="J745" s="29">
        <v>14.69</v>
      </c>
      <c r="K745" s="29">
        <v>14.15</v>
      </c>
      <c r="L745" s="29">
        <v>26.24</v>
      </c>
      <c r="M745" s="368"/>
      <c r="N745" s="368"/>
      <c r="O745" s="271">
        <f>IFERROR(Table17[[#This Row],[PROFIT]]/Table17[[#This Row],[TO]],0)</f>
        <v>0</v>
      </c>
      <c r="P745" s="177"/>
      <c r="Q745" s="177"/>
      <c r="R745" s="177"/>
    </row>
    <row r="746" spans="1:18" ht="30" hidden="1" x14ac:dyDescent="0.25">
      <c r="A746" s="29" t="s">
        <v>4243</v>
      </c>
      <c r="B746" s="29" t="s">
        <v>4242</v>
      </c>
      <c r="C746" s="29" t="s">
        <v>505</v>
      </c>
      <c r="D746" s="29" t="e">
        <f>VLOOKUP(C:C,'COUNT-CONT'!B:C,2,FALSE)</f>
        <v>#N/A</v>
      </c>
      <c r="E746" s="29">
        <v>7</v>
      </c>
      <c r="F746" s="28">
        <v>2660</v>
      </c>
      <c r="G746" s="28">
        <v>4277733834</v>
      </c>
      <c r="H746" s="29">
        <v>24.12</v>
      </c>
      <c r="I746" s="142">
        <v>-55.319999999999993</v>
      </c>
      <c r="J746" s="29">
        <v>9.4</v>
      </c>
      <c r="K746" s="29">
        <v>7.77</v>
      </c>
      <c r="L746" s="29">
        <v>20.47</v>
      </c>
      <c r="M746" s="368"/>
      <c r="N746" s="368"/>
      <c r="O746" s="271">
        <f>IFERROR(Table17[[#This Row],[PROFIT]]/Table17[[#This Row],[TO]],0)</f>
        <v>0</v>
      </c>
      <c r="P746" s="177"/>
      <c r="Q746" s="177"/>
      <c r="R746" s="177"/>
    </row>
    <row r="747" spans="1:18" hidden="1" x14ac:dyDescent="0.25">
      <c r="A747" s="29" t="s">
        <v>4241</v>
      </c>
      <c r="B747" s="29" t="s">
        <v>4240</v>
      </c>
      <c r="C747" s="29" t="s">
        <v>14</v>
      </c>
      <c r="D747" s="29" t="str">
        <f>VLOOKUP(C:C,'COUNT-CONT'!B:C,2,FALSE)</f>
        <v>Asia</v>
      </c>
      <c r="E747" s="29">
        <v>4</v>
      </c>
      <c r="F747" s="28">
        <v>1832</v>
      </c>
      <c r="G747" s="28">
        <v>4386236681</v>
      </c>
      <c r="H747" s="29">
        <v>24.12</v>
      </c>
      <c r="I747" s="142">
        <v>-55.319999999999993</v>
      </c>
      <c r="J747" s="29">
        <v>9.4</v>
      </c>
      <c r="K747" s="29">
        <v>7.77</v>
      </c>
      <c r="L747" s="29">
        <v>20.47</v>
      </c>
      <c r="M747" s="368"/>
      <c r="N747" s="368"/>
      <c r="O747" s="271">
        <f>IFERROR(Table17[[#This Row],[PROFIT]]/Table17[[#This Row],[TO]],0)</f>
        <v>0</v>
      </c>
      <c r="P747" s="177"/>
      <c r="Q747" s="177"/>
      <c r="R747" s="177"/>
    </row>
    <row r="748" spans="1:18" hidden="1" x14ac:dyDescent="0.25">
      <c r="A748" s="29" t="s">
        <v>433</v>
      </c>
      <c r="B748" s="29" t="s">
        <v>2747</v>
      </c>
      <c r="C748" s="29" t="s">
        <v>1513</v>
      </c>
      <c r="D748" s="29" t="str">
        <f>VLOOKUP(C:C,'COUNT-CONT'!B:C,2,FALSE)</f>
        <v>Africa</v>
      </c>
      <c r="E748" s="29">
        <v>10</v>
      </c>
      <c r="F748" s="28">
        <v>4986</v>
      </c>
      <c r="G748" s="28">
        <v>3789817729</v>
      </c>
      <c r="H748" s="29">
        <v>24.09</v>
      </c>
      <c r="I748" s="142">
        <v>-55.349999999999994</v>
      </c>
      <c r="J748" s="29">
        <v>1.81</v>
      </c>
      <c r="K748" s="29" t="s">
        <v>1512</v>
      </c>
      <c r="L748" s="29">
        <v>12.97</v>
      </c>
      <c r="M748" s="368"/>
      <c r="N748" s="368"/>
      <c r="O748" s="271">
        <f>IFERROR(Table17[[#This Row],[PROFIT]]/Table17[[#This Row],[TO]],0)</f>
        <v>0</v>
      </c>
      <c r="P748" s="177"/>
      <c r="Q748" s="177"/>
      <c r="R748" s="177"/>
    </row>
    <row r="749" spans="1:18" hidden="1" x14ac:dyDescent="0.25">
      <c r="A749" s="29" t="s">
        <v>4888</v>
      </c>
      <c r="B749" s="29" t="s">
        <v>4887</v>
      </c>
      <c r="C749" s="29" t="s">
        <v>1427</v>
      </c>
      <c r="D749" s="29" t="str">
        <f>VLOOKUP(C:C,'COUNT-CONT'!B:C,2,FALSE)</f>
        <v>Europe</v>
      </c>
      <c r="E749" s="29">
        <v>5</v>
      </c>
      <c r="F749" s="28">
        <v>2287</v>
      </c>
      <c r="G749" s="28">
        <v>5148779449</v>
      </c>
      <c r="H749" s="29">
        <v>24.09</v>
      </c>
      <c r="I749" s="142">
        <v>-55.349999999999994</v>
      </c>
      <c r="J749" s="29">
        <v>14.66</v>
      </c>
      <c r="K749" s="29">
        <v>13.6</v>
      </c>
      <c r="L749" s="29">
        <v>26.18</v>
      </c>
      <c r="M749" s="368"/>
      <c r="N749" s="368"/>
      <c r="O749" s="271">
        <f>IFERROR(Table17[[#This Row],[PROFIT]]/Table17[[#This Row],[TO]],0)</f>
        <v>0</v>
      </c>
      <c r="P749" s="177"/>
      <c r="Q749" s="177"/>
      <c r="R749" s="177"/>
    </row>
    <row r="750" spans="1:18" hidden="1" x14ac:dyDescent="0.25">
      <c r="A750" s="29" t="s">
        <v>3292</v>
      </c>
      <c r="B750" s="29" t="s">
        <v>3291</v>
      </c>
      <c r="C750" s="29" t="s">
        <v>644</v>
      </c>
      <c r="D750" s="29" t="str">
        <f>VLOOKUP(C:C,'COUNT-CONT'!B:C,2,FALSE)</f>
        <v>Africa</v>
      </c>
      <c r="E750" s="29">
        <v>8</v>
      </c>
      <c r="F750" s="28">
        <v>2949</v>
      </c>
      <c r="G750" s="28">
        <v>3763907799</v>
      </c>
      <c r="H750" s="29">
        <v>24.09</v>
      </c>
      <c r="I750" s="142">
        <v>-55.349999999999994</v>
      </c>
      <c r="J750" s="29">
        <v>4.5599999999999996</v>
      </c>
      <c r="K750" s="29">
        <v>2.12</v>
      </c>
      <c r="L750" s="29">
        <v>15.27</v>
      </c>
      <c r="M750" s="368"/>
      <c r="N750" s="368"/>
      <c r="O750" s="271">
        <f>IFERROR(Table17[[#This Row],[PROFIT]]/Table17[[#This Row],[TO]],0)</f>
        <v>0</v>
      </c>
      <c r="P750" s="177"/>
      <c r="Q750" s="177"/>
      <c r="R750" s="177"/>
    </row>
    <row r="751" spans="1:18" hidden="1" x14ac:dyDescent="0.25">
      <c r="A751" s="29" t="s">
        <v>5249</v>
      </c>
      <c r="B751" s="29" t="s">
        <v>5248</v>
      </c>
      <c r="C751" s="29" t="s">
        <v>560</v>
      </c>
      <c r="D751" s="29" t="str">
        <f>VLOOKUP(C:C,'COUNT-CONT'!B:C,2,FALSE)</f>
        <v>Europe</v>
      </c>
      <c r="E751" s="29">
        <v>6</v>
      </c>
      <c r="F751" s="28">
        <v>2826</v>
      </c>
      <c r="G751" s="28">
        <v>5950242745</v>
      </c>
      <c r="H751" s="29">
        <v>24.06</v>
      </c>
      <c r="I751" s="142">
        <v>-55.379999999999995</v>
      </c>
      <c r="J751" s="29">
        <v>19.649999999999999</v>
      </c>
      <c r="K751" s="29">
        <v>19.649999999999999</v>
      </c>
      <c r="L751" s="29">
        <v>31.68</v>
      </c>
      <c r="M751" s="368"/>
      <c r="N751" s="368"/>
      <c r="O751" s="271">
        <f>IFERROR(Table17[[#This Row],[PROFIT]]/Table17[[#This Row],[TO]],0)</f>
        <v>0</v>
      </c>
      <c r="P751" s="177"/>
      <c r="Q751" s="177"/>
      <c r="R751" s="177"/>
    </row>
    <row r="752" spans="1:18" hidden="1" x14ac:dyDescent="0.25">
      <c r="A752" s="29" t="s">
        <v>4891</v>
      </c>
      <c r="B752" s="29" t="s">
        <v>4890</v>
      </c>
      <c r="C752" s="29" t="s">
        <v>4889</v>
      </c>
      <c r="D752" s="29" t="str">
        <f>VLOOKUP(C:C,'COUNT-CONT'!B:C,2,FALSE)</f>
        <v>Europe</v>
      </c>
      <c r="E752" s="29">
        <v>10</v>
      </c>
      <c r="F752" s="28">
        <v>4377</v>
      </c>
      <c r="G752" s="28">
        <v>5123513685</v>
      </c>
      <c r="H752" s="29">
        <v>24.06</v>
      </c>
      <c r="I752" s="142">
        <v>-55.379999999999995</v>
      </c>
      <c r="J752" s="29">
        <v>14.63</v>
      </c>
      <c r="K752" s="29">
        <v>14.12</v>
      </c>
      <c r="L752" s="29">
        <v>26.18</v>
      </c>
      <c r="M752" s="368"/>
      <c r="N752" s="368"/>
      <c r="O752" s="271">
        <f>IFERROR(Table17[[#This Row],[PROFIT]]/Table17[[#This Row],[TO]],0)</f>
        <v>0</v>
      </c>
      <c r="P752" s="177"/>
      <c r="Q752" s="177"/>
      <c r="R752" s="177"/>
    </row>
    <row r="753" spans="1:18" hidden="1" x14ac:dyDescent="0.25">
      <c r="A753" s="29" t="s">
        <v>3743</v>
      </c>
      <c r="B753" s="29" t="s">
        <v>3742</v>
      </c>
      <c r="C753" s="29" t="s">
        <v>608</v>
      </c>
      <c r="D753" s="29" t="str">
        <f>VLOOKUP(C:C,'COUNT-CONT'!B:C,2,FALSE)</f>
        <v>Africa</v>
      </c>
      <c r="E753" s="29">
        <v>8</v>
      </c>
      <c r="F753" s="28">
        <v>3053</v>
      </c>
      <c r="G753" s="28">
        <v>3882101342</v>
      </c>
      <c r="H753" s="29">
        <v>24.06</v>
      </c>
      <c r="I753" s="142">
        <v>-55.379999999999995</v>
      </c>
      <c r="J753" s="29">
        <v>6.17</v>
      </c>
      <c r="K753" s="29">
        <v>4.1100000000000003</v>
      </c>
      <c r="L753" s="29">
        <v>17.2</v>
      </c>
      <c r="M753" s="368"/>
      <c r="N753" s="368"/>
      <c r="O753" s="271">
        <f>IFERROR(Table17[[#This Row],[PROFIT]]/Table17[[#This Row],[TO]],0)</f>
        <v>0</v>
      </c>
      <c r="P753" s="177"/>
      <c r="Q753" s="177"/>
      <c r="R753" s="177"/>
    </row>
    <row r="754" spans="1:18" hidden="1" x14ac:dyDescent="0.25">
      <c r="A754" s="29" t="s">
        <v>4689</v>
      </c>
      <c r="B754" s="29" t="s">
        <v>4688</v>
      </c>
      <c r="C754" s="29" t="s">
        <v>142</v>
      </c>
      <c r="D754" s="29" t="str">
        <f>VLOOKUP(C:C,'COUNT-CONT'!B:C,2,FALSE)</f>
        <v>Asia</v>
      </c>
      <c r="E754" s="29">
        <v>6</v>
      </c>
      <c r="F754" s="28">
        <v>2667</v>
      </c>
      <c r="G754" s="28">
        <v>4849848443</v>
      </c>
      <c r="H754" s="29">
        <v>24.03</v>
      </c>
      <c r="I754" s="142">
        <v>-55.41</v>
      </c>
      <c r="J754" s="29">
        <v>12.97</v>
      </c>
      <c r="K754" s="29">
        <v>11.52</v>
      </c>
      <c r="L754" s="29">
        <v>24.03</v>
      </c>
      <c r="M754" s="368"/>
      <c r="N754" s="368"/>
      <c r="O754" s="271">
        <f>IFERROR(Table17[[#This Row],[PROFIT]]/Table17[[#This Row],[TO]],0)</f>
        <v>0</v>
      </c>
      <c r="P754" s="177"/>
      <c r="Q754" s="177"/>
      <c r="R754" s="177"/>
    </row>
    <row r="755" spans="1:18" hidden="1" x14ac:dyDescent="0.25">
      <c r="A755" s="29" t="s">
        <v>3446</v>
      </c>
      <c r="B755" s="29" t="s">
        <v>3445</v>
      </c>
      <c r="C755" s="29" t="s">
        <v>867</v>
      </c>
      <c r="D755" s="29" t="str">
        <f>VLOOKUP(C:C,'COUNT-CONT'!B:C,2,FALSE)</f>
        <v>Asia</v>
      </c>
      <c r="E755" s="29">
        <v>2</v>
      </c>
      <c r="F755" s="28">
        <v>1451</v>
      </c>
      <c r="G755" s="28">
        <v>4000797863</v>
      </c>
      <c r="H755" s="29">
        <v>24.03</v>
      </c>
      <c r="I755" s="142">
        <v>-55.41</v>
      </c>
      <c r="J755" s="29">
        <v>5.05</v>
      </c>
      <c r="K755" s="29">
        <v>2.84</v>
      </c>
      <c r="L755" s="29">
        <v>15.81</v>
      </c>
      <c r="M755" s="368"/>
      <c r="N755" s="368"/>
      <c r="O755" s="271">
        <f>IFERROR(Table17[[#This Row],[PROFIT]]/Table17[[#This Row],[TO]],0)</f>
        <v>0</v>
      </c>
      <c r="P755" s="177"/>
      <c r="Q755" s="177"/>
      <c r="R755" s="177"/>
    </row>
    <row r="756" spans="1:18" ht="30" hidden="1" x14ac:dyDescent="0.25">
      <c r="A756" s="29" t="s">
        <v>5247</v>
      </c>
      <c r="B756" s="29" t="s">
        <v>5246</v>
      </c>
      <c r="C756" s="29" t="s">
        <v>11732</v>
      </c>
      <c r="D756" s="29" t="str">
        <f>VLOOKUP(C:C,'COUNT-CONT'!B:C,2,FALSE)</f>
        <v>North America</v>
      </c>
      <c r="E756" s="29">
        <v>10</v>
      </c>
      <c r="F756" s="28">
        <v>4022</v>
      </c>
      <c r="G756" s="28">
        <v>5919395773</v>
      </c>
      <c r="H756" s="29">
        <v>24.03</v>
      </c>
      <c r="I756" s="142">
        <v>-55.41</v>
      </c>
      <c r="J756" s="29">
        <v>19.62</v>
      </c>
      <c r="K756" s="29">
        <v>19.62</v>
      </c>
      <c r="L756" s="29">
        <v>31.65</v>
      </c>
      <c r="M756" s="368"/>
      <c r="N756" s="368"/>
      <c r="O756" s="271">
        <f>IFERROR(Table17[[#This Row],[PROFIT]]/Table17[[#This Row],[TO]],0)</f>
        <v>0</v>
      </c>
      <c r="P756" s="177"/>
      <c r="Q756" s="177"/>
      <c r="R756" s="177"/>
    </row>
    <row r="757" spans="1:18" hidden="1" x14ac:dyDescent="0.25">
      <c r="A757" s="29" t="s">
        <v>4882</v>
      </c>
      <c r="B757" s="29" t="s">
        <v>4881</v>
      </c>
      <c r="C757" s="29" t="s">
        <v>308</v>
      </c>
      <c r="D757" s="29" t="str">
        <f>VLOOKUP(C:C,'COUNT-CONT'!B:C,2,FALSE)</f>
        <v>Europe</v>
      </c>
      <c r="E757" s="29">
        <v>7</v>
      </c>
      <c r="F757" s="28">
        <v>3007</v>
      </c>
      <c r="G757" s="28">
        <v>5106613102</v>
      </c>
      <c r="H757" s="29">
        <v>24.03</v>
      </c>
      <c r="I757" s="142">
        <v>-55.41</v>
      </c>
      <c r="J757" s="29">
        <v>14.63</v>
      </c>
      <c r="K757" s="29">
        <v>14.09</v>
      </c>
      <c r="L757" s="29">
        <v>26.12</v>
      </c>
      <c r="M757" s="368"/>
      <c r="N757" s="368"/>
      <c r="O757" s="271">
        <f>IFERROR(Table17[[#This Row],[PROFIT]]/Table17[[#This Row],[TO]],0)</f>
        <v>0</v>
      </c>
      <c r="P757" s="177"/>
      <c r="Q757" s="177"/>
      <c r="R757" s="177"/>
    </row>
    <row r="758" spans="1:18" hidden="1" x14ac:dyDescent="0.25">
      <c r="A758" s="29" t="s">
        <v>4831</v>
      </c>
      <c r="B758" s="29" t="s">
        <v>4830</v>
      </c>
      <c r="C758" s="29" t="s">
        <v>4829</v>
      </c>
      <c r="D758" s="29" t="str">
        <f>VLOOKUP(C:C,'COUNT-CONT'!B:C,2,FALSE)</f>
        <v>Asia</v>
      </c>
      <c r="E758" s="29">
        <v>10</v>
      </c>
      <c r="F758" s="28">
        <v>3922</v>
      </c>
      <c r="G758" s="28">
        <v>4983869148</v>
      </c>
      <c r="H758" s="29">
        <v>23.97</v>
      </c>
      <c r="I758" s="142">
        <v>-55.47</v>
      </c>
      <c r="J758" s="29">
        <v>14.27</v>
      </c>
      <c r="K758" s="29">
        <v>13.24</v>
      </c>
      <c r="L758" s="29">
        <v>25.51</v>
      </c>
      <c r="M758" s="368"/>
      <c r="N758" s="368"/>
      <c r="O758" s="271">
        <f>IFERROR(Table17[[#This Row],[PROFIT]]/Table17[[#This Row],[TO]],0)</f>
        <v>0</v>
      </c>
      <c r="P758" s="177"/>
      <c r="Q758" s="177"/>
      <c r="R758" s="177"/>
    </row>
    <row r="759" spans="1:18" ht="30" hidden="1" x14ac:dyDescent="0.25">
      <c r="A759" s="29" t="s">
        <v>178</v>
      </c>
      <c r="B759" s="29" t="s">
        <v>4277</v>
      </c>
      <c r="C759" s="29" t="s">
        <v>860</v>
      </c>
      <c r="D759" s="29" t="str">
        <f>VLOOKUP(C:C,'COUNT-CONT'!B:C,2,FALSE)</f>
        <v>South America</v>
      </c>
      <c r="E759" s="29">
        <v>10</v>
      </c>
      <c r="F759" s="28">
        <v>3687</v>
      </c>
      <c r="G759" s="28">
        <v>4290045538</v>
      </c>
      <c r="H759" s="29">
        <v>23.97</v>
      </c>
      <c r="I759" s="142">
        <v>-55.47</v>
      </c>
      <c r="J759" s="29">
        <v>9.49</v>
      </c>
      <c r="K759" s="29">
        <v>7.83</v>
      </c>
      <c r="L759" s="29">
        <v>20.68</v>
      </c>
      <c r="M759" s="368"/>
      <c r="N759" s="368"/>
      <c r="O759" s="271">
        <f>IFERROR(Table17[[#This Row],[PROFIT]]/Table17[[#This Row],[TO]],0)</f>
        <v>0</v>
      </c>
      <c r="P759" s="177"/>
      <c r="Q759" s="177"/>
      <c r="R759" s="177"/>
    </row>
    <row r="760" spans="1:18" ht="30" hidden="1" x14ac:dyDescent="0.25">
      <c r="A760" s="29" t="s">
        <v>3836</v>
      </c>
      <c r="B760" s="29" t="s">
        <v>3835</v>
      </c>
      <c r="C760" s="29" t="s">
        <v>3834</v>
      </c>
      <c r="D760" s="29" t="str">
        <f>VLOOKUP(C:C,'COUNT-CONT'!B:C,2,FALSE)</f>
        <v>South America</v>
      </c>
      <c r="E760" s="29">
        <v>10</v>
      </c>
      <c r="F760" s="28">
        <v>3499</v>
      </c>
      <c r="G760" s="28">
        <v>4005375535</v>
      </c>
      <c r="H760" s="29">
        <v>23.97</v>
      </c>
      <c r="I760" s="142">
        <v>-55.47</v>
      </c>
      <c r="J760" s="29">
        <v>7.13</v>
      </c>
      <c r="K760" s="29">
        <v>4.99</v>
      </c>
      <c r="L760" s="29">
        <v>17.899999999999999</v>
      </c>
      <c r="M760" s="368"/>
      <c r="N760" s="368"/>
      <c r="O760" s="271">
        <f>IFERROR(Table17[[#This Row],[PROFIT]]/Table17[[#This Row],[TO]],0)</f>
        <v>0</v>
      </c>
      <c r="P760" s="177"/>
      <c r="Q760" s="177"/>
      <c r="R760" s="177"/>
    </row>
    <row r="761" spans="1:18" ht="30" hidden="1" x14ac:dyDescent="0.25">
      <c r="A761" s="29" t="s">
        <v>4274</v>
      </c>
      <c r="B761" s="29" t="s">
        <v>4273</v>
      </c>
      <c r="C761" s="29" t="s">
        <v>860</v>
      </c>
      <c r="D761" s="29" t="str">
        <f>VLOOKUP(C:C,'COUNT-CONT'!B:C,2,FALSE)</f>
        <v>South America</v>
      </c>
      <c r="E761" s="29">
        <v>6</v>
      </c>
      <c r="F761" s="28">
        <v>2467</v>
      </c>
      <c r="G761" s="28">
        <v>4318285691</v>
      </c>
      <c r="H761" s="29">
        <v>23.94</v>
      </c>
      <c r="I761" s="142">
        <v>-55.5</v>
      </c>
      <c r="J761" s="29">
        <v>9.49</v>
      </c>
      <c r="K761" s="29">
        <v>7.83</v>
      </c>
      <c r="L761" s="29">
        <v>20.65</v>
      </c>
      <c r="M761" s="368"/>
      <c r="N761" s="368"/>
      <c r="O761" s="271">
        <f>IFERROR(Table17[[#This Row],[PROFIT]]/Table17[[#This Row],[TO]],0)</f>
        <v>0</v>
      </c>
      <c r="P761" s="177"/>
      <c r="Q761" s="177"/>
      <c r="R761" s="177"/>
    </row>
    <row r="762" spans="1:18" hidden="1" x14ac:dyDescent="0.25">
      <c r="A762" s="29" t="s">
        <v>3790</v>
      </c>
      <c r="B762" s="29" t="s">
        <v>3789</v>
      </c>
      <c r="C762" s="29" t="s">
        <v>502</v>
      </c>
      <c r="D762" s="29" t="str">
        <f>VLOOKUP(C:C,'COUNT-CONT'!B:C,2,FALSE)</f>
        <v>Asia</v>
      </c>
      <c r="E762" s="29">
        <v>10</v>
      </c>
      <c r="F762" s="28">
        <v>9311</v>
      </c>
      <c r="G762" s="28">
        <v>3879139834</v>
      </c>
      <c r="H762" s="29">
        <v>23.94</v>
      </c>
      <c r="I762" s="142">
        <v>-55.5</v>
      </c>
      <c r="J762" s="29">
        <v>6.68</v>
      </c>
      <c r="K762" s="29">
        <v>4.93</v>
      </c>
      <c r="L762" s="29">
        <v>17.62</v>
      </c>
      <c r="M762" s="368"/>
      <c r="N762" s="368"/>
      <c r="O762" s="271">
        <f>IFERROR(Table17[[#This Row],[PROFIT]]/Table17[[#This Row],[TO]],0)</f>
        <v>0</v>
      </c>
      <c r="P762" s="177"/>
      <c r="Q762" s="177"/>
      <c r="R762" s="177"/>
    </row>
    <row r="763" spans="1:18" ht="30" hidden="1" x14ac:dyDescent="0.25">
      <c r="A763" s="29" t="s">
        <v>244</v>
      </c>
      <c r="B763" s="29" t="s">
        <v>3572</v>
      </c>
      <c r="C763" s="29" t="s">
        <v>1070</v>
      </c>
      <c r="D763" s="29" t="str">
        <f>VLOOKUP(C:C,'COUNT-CONT'!B:C,2,FALSE)</f>
        <v>Asia</v>
      </c>
      <c r="E763" s="29">
        <v>8</v>
      </c>
      <c r="F763" s="28">
        <v>2782</v>
      </c>
      <c r="G763" s="28">
        <v>3818698993</v>
      </c>
      <c r="H763" s="29">
        <v>23.94</v>
      </c>
      <c r="I763" s="142">
        <v>-55.5</v>
      </c>
      <c r="J763" s="29">
        <v>5.56</v>
      </c>
      <c r="K763" s="29">
        <v>3.6</v>
      </c>
      <c r="L763" s="29">
        <v>16.41</v>
      </c>
      <c r="M763" s="368"/>
      <c r="N763" s="368"/>
      <c r="O763" s="271">
        <f>IFERROR(Table17[[#This Row],[PROFIT]]/Table17[[#This Row],[TO]],0)</f>
        <v>0</v>
      </c>
      <c r="P763" s="177"/>
      <c r="Q763" s="177"/>
      <c r="R763" s="177"/>
    </row>
    <row r="764" spans="1:18" hidden="1" x14ac:dyDescent="0.25">
      <c r="A764" s="29" t="s">
        <v>4873</v>
      </c>
      <c r="B764" s="29" t="s">
        <v>4872</v>
      </c>
      <c r="C764" s="29" t="s">
        <v>308</v>
      </c>
      <c r="D764" s="29" t="str">
        <f>VLOOKUP(C:C,'COUNT-CONT'!B:C,2,FALSE)</f>
        <v>Europe</v>
      </c>
      <c r="E764" s="29">
        <v>6</v>
      </c>
      <c r="F764" s="28">
        <v>2671</v>
      </c>
      <c r="G764" s="28">
        <v>5109430774</v>
      </c>
      <c r="H764" s="29">
        <v>23.94</v>
      </c>
      <c r="I764" s="142">
        <v>-55.5</v>
      </c>
      <c r="J764" s="29">
        <v>14.57</v>
      </c>
      <c r="K764" s="29">
        <v>14.06</v>
      </c>
      <c r="L764" s="29">
        <v>26.03</v>
      </c>
      <c r="M764" s="368"/>
      <c r="N764" s="368"/>
      <c r="O764" s="271">
        <f>IFERROR(Table17[[#This Row],[PROFIT]]/Table17[[#This Row],[TO]],0)</f>
        <v>0</v>
      </c>
      <c r="P764" s="177"/>
      <c r="Q764" s="177"/>
      <c r="R764" s="177"/>
    </row>
    <row r="765" spans="1:18" ht="30" hidden="1" x14ac:dyDescent="0.25">
      <c r="A765" s="29" t="s">
        <v>4433</v>
      </c>
      <c r="B765" s="29" t="s">
        <v>4432</v>
      </c>
      <c r="C765" s="29" t="s">
        <v>530</v>
      </c>
      <c r="D765" s="29" t="str">
        <f>VLOOKUP(C:C,'COUNT-CONT'!B:C,2,FALSE)</f>
        <v>South America</v>
      </c>
      <c r="E765" s="29">
        <v>7</v>
      </c>
      <c r="F765" s="28">
        <v>2836</v>
      </c>
      <c r="G765" s="28">
        <v>4442870239</v>
      </c>
      <c r="H765" s="29">
        <v>23.94</v>
      </c>
      <c r="I765" s="142">
        <v>-55.5</v>
      </c>
      <c r="J765" s="29">
        <v>10.43</v>
      </c>
      <c r="K765" s="29">
        <v>9.1300000000000008</v>
      </c>
      <c r="L765" s="29">
        <v>21.77</v>
      </c>
      <c r="M765" s="368"/>
      <c r="N765" s="368"/>
      <c r="O765" s="271">
        <f>IFERROR(Table17[[#This Row],[PROFIT]]/Table17[[#This Row],[TO]],0)</f>
        <v>0</v>
      </c>
      <c r="P765" s="177"/>
      <c r="Q765" s="177"/>
      <c r="R765" s="177"/>
    </row>
    <row r="766" spans="1:18" ht="30" hidden="1" x14ac:dyDescent="0.25">
      <c r="A766" s="29" t="s">
        <v>5244</v>
      </c>
      <c r="B766" s="29" t="s">
        <v>5243</v>
      </c>
      <c r="C766" s="29" t="s">
        <v>11732</v>
      </c>
      <c r="D766" s="29" t="str">
        <f>VLOOKUP(C:C,'COUNT-CONT'!B:C,2,FALSE)</f>
        <v>North America</v>
      </c>
      <c r="E766" s="29">
        <v>10</v>
      </c>
      <c r="F766" s="28">
        <v>4021</v>
      </c>
      <c r="G766" s="28">
        <v>5901163790</v>
      </c>
      <c r="H766" s="29">
        <v>23.94</v>
      </c>
      <c r="I766" s="142">
        <v>-55.5</v>
      </c>
      <c r="J766" s="29">
        <v>19.53</v>
      </c>
      <c r="K766" s="29">
        <v>19.53</v>
      </c>
      <c r="L766" s="29">
        <v>31.5</v>
      </c>
      <c r="M766" s="368"/>
      <c r="N766" s="368"/>
      <c r="O766" s="271">
        <f>IFERROR(Table17[[#This Row],[PROFIT]]/Table17[[#This Row],[TO]],0)</f>
        <v>0</v>
      </c>
      <c r="P766" s="177"/>
      <c r="Q766" s="177"/>
      <c r="R766" s="177"/>
    </row>
    <row r="767" spans="1:18" hidden="1" x14ac:dyDescent="0.25">
      <c r="A767" s="29" t="s">
        <v>3203</v>
      </c>
      <c r="B767" s="29" t="s">
        <v>3202</v>
      </c>
      <c r="C767" s="29" t="s">
        <v>542</v>
      </c>
      <c r="D767" s="29" t="str">
        <f>VLOOKUP(C:C,'COUNT-CONT'!B:C,2,FALSE)</f>
        <v>Africa</v>
      </c>
      <c r="E767" s="29">
        <v>6</v>
      </c>
      <c r="F767" s="28">
        <v>2434</v>
      </c>
      <c r="G767" s="28">
        <v>3755330977</v>
      </c>
      <c r="H767" s="29">
        <v>23.94</v>
      </c>
      <c r="I767" s="142">
        <v>-55.5</v>
      </c>
      <c r="J767" s="29">
        <v>4.17</v>
      </c>
      <c r="K767" s="29">
        <v>1.78</v>
      </c>
      <c r="L767" s="29">
        <v>14.96</v>
      </c>
      <c r="M767" s="368"/>
      <c r="N767" s="368"/>
      <c r="O767" s="271">
        <f>IFERROR(Table17[[#This Row],[PROFIT]]/Table17[[#This Row],[TO]],0)</f>
        <v>0</v>
      </c>
      <c r="P767" s="177"/>
      <c r="Q767" s="177"/>
      <c r="R767" s="177"/>
    </row>
    <row r="768" spans="1:18" x14ac:dyDescent="0.25">
      <c r="A768" s="29" t="s">
        <v>4318</v>
      </c>
      <c r="B768" s="29" t="s">
        <v>4317</v>
      </c>
      <c r="C768" s="29" t="s">
        <v>730</v>
      </c>
      <c r="D768" s="29" t="str">
        <f>VLOOKUP(C:C,'COUNT-CONT'!B:C,2,FALSE)</f>
        <v>Oceania</v>
      </c>
      <c r="E768" s="29">
        <v>4</v>
      </c>
      <c r="F768" s="28">
        <v>2026</v>
      </c>
      <c r="G768" s="28">
        <v>4552141757</v>
      </c>
      <c r="H768" s="29">
        <v>23.94</v>
      </c>
      <c r="I768" s="142">
        <v>-55.5</v>
      </c>
      <c r="J768" s="29">
        <v>10.07</v>
      </c>
      <c r="K768" s="29">
        <v>8.4</v>
      </c>
      <c r="L768" s="29">
        <v>21.01</v>
      </c>
      <c r="M768" s="368"/>
      <c r="N768" s="368"/>
      <c r="O768" s="271">
        <f>IFERROR(Table17[[#This Row],[PROFIT]]/Table17[[#This Row],[TO]],0)</f>
        <v>0</v>
      </c>
      <c r="P768" s="177"/>
      <c r="Q768" s="177"/>
      <c r="R768" s="177"/>
    </row>
    <row r="769" spans="1:18" ht="30" hidden="1" x14ac:dyDescent="0.25">
      <c r="A769" s="29" t="s">
        <v>4213</v>
      </c>
      <c r="B769" s="29" t="s">
        <v>4212</v>
      </c>
      <c r="C769" s="29" t="s">
        <v>505</v>
      </c>
      <c r="D769" s="29" t="e">
        <f>VLOOKUP(C:C,'COUNT-CONT'!B:C,2,FALSE)</f>
        <v>#N/A</v>
      </c>
      <c r="E769" s="29">
        <v>10</v>
      </c>
      <c r="F769" s="28">
        <v>3411</v>
      </c>
      <c r="G769" s="28">
        <v>4234086074</v>
      </c>
      <c r="H769" s="29">
        <v>23.91</v>
      </c>
      <c r="I769" s="142">
        <v>-55.53</v>
      </c>
      <c r="J769" s="29">
        <v>9.31</v>
      </c>
      <c r="K769" s="29">
        <v>7.68</v>
      </c>
      <c r="L769" s="29">
        <v>20.25</v>
      </c>
      <c r="M769" s="368"/>
      <c r="N769" s="368"/>
      <c r="O769" s="271">
        <f>IFERROR(Table17[[#This Row],[PROFIT]]/Table17[[#This Row],[TO]],0)</f>
        <v>0</v>
      </c>
      <c r="P769" s="177"/>
      <c r="Q769" s="177"/>
      <c r="R769" s="177"/>
    </row>
    <row r="770" spans="1:18" hidden="1" x14ac:dyDescent="0.25">
      <c r="A770" s="29" t="s">
        <v>3705</v>
      </c>
      <c r="B770" s="29" t="s">
        <v>3704</v>
      </c>
      <c r="C770" s="29" t="s">
        <v>608</v>
      </c>
      <c r="D770" s="29" t="str">
        <f>VLOOKUP(C:C,'COUNT-CONT'!B:C,2,FALSE)</f>
        <v>Africa</v>
      </c>
      <c r="E770" s="29">
        <v>8</v>
      </c>
      <c r="F770" s="28">
        <v>3036</v>
      </c>
      <c r="G770" s="28">
        <v>3869718840</v>
      </c>
      <c r="H770" s="29">
        <v>23.91</v>
      </c>
      <c r="I770" s="142">
        <v>-55.53</v>
      </c>
      <c r="J770" s="29">
        <v>6.14</v>
      </c>
      <c r="K770" s="29">
        <v>4.08</v>
      </c>
      <c r="L770" s="29">
        <v>17.079999999999998</v>
      </c>
      <c r="M770" s="368"/>
      <c r="N770" s="368"/>
      <c r="O770" s="271">
        <f>IFERROR(Table17[[#This Row],[PROFIT]]/Table17[[#This Row],[TO]],0)</f>
        <v>0</v>
      </c>
      <c r="P770" s="177"/>
      <c r="Q770" s="177"/>
      <c r="R770" s="177"/>
    </row>
    <row r="771" spans="1:18" ht="45" hidden="1" x14ac:dyDescent="0.25">
      <c r="A771" s="29" t="s">
        <v>4209</v>
      </c>
      <c r="B771" s="29" t="s">
        <v>4208</v>
      </c>
      <c r="C771" s="29" t="s">
        <v>517</v>
      </c>
      <c r="D771" s="29" t="str">
        <f>VLOOKUP(C:C,'COUNT-CONT'!B:C,2,FALSE)</f>
        <v>South America</v>
      </c>
      <c r="E771" s="29">
        <v>6</v>
      </c>
      <c r="F771" s="28">
        <v>2510</v>
      </c>
      <c r="G771" s="28">
        <v>4259847011</v>
      </c>
      <c r="H771" s="29">
        <v>23.88</v>
      </c>
      <c r="I771" s="142">
        <v>-55.56</v>
      </c>
      <c r="J771" s="29">
        <v>9.31</v>
      </c>
      <c r="K771" s="29">
        <v>7.68</v>
      </c>
      <c r="L771" s="29">
        <v>20.25</v>
      </c>
      <c r="M771" s="368"/>
      <c r="N771" s="368"/>
      <c r="O771" s="271">
        <f>IFERROR(Table17[[#This Row],[PROFIT]]/Table17[[#This Row],[TO]],0)</f>
        <v>0</v>
      </c>
      <c r="P771" s="177"/>
      <c r="Q771" s="177"/>
      <c r="R771" s="177"/>
    </row>
    <row r="772" spans="1:18" hidden="1" x14ac:dyDescent="0.25">
      <c r="A772" s="29" t="s">
        <v>3062</v>
      </c>
      <c r="B772" s="29" t="s">
        <v>3061</v>
      </c>
      <c r="C772" s="29" t="s">
        <v>1323</v>
      </c>
      <c r="D772" s="29" t="str">
        <f>VLOOKUP(C:C,'COUNT-CONT'!B:C,2,FALSE)</f>
        <v>Africa</v>
      </c>
      <c r="E772" s="29">
        <v>6</v>
      </c>
      <c r="F772" s="28">
        <v>2258</v>
      </c>
      <c r="G772" s="28">
        <v>3770156775</v>
      </c>
      <c r="H772" s="29">
        <v>23.85</v>
      </c>
      <c r="I772" s="142">
        <v>-55.589999999999996</v>
      </c>
      <c r="J772" s="29">
        <v>3.72</v>
      </c>
      <c r="K772" s="29">
        <v>1.42</v>
      </c>
      <c r="L772" s="29">
        <v>14.36</v>
      </c>
      <c r="M772" s="368"/>
      <c r="N772" s="368"/>
      <c r="O772" s="271">
        <f>IFERROR(Table17[[#This Row],[PROFIT]]/Table17[[#This Row],[TO]],0)</f>
        <v>0</v>
      </c>
      <c r="P772" s="177"/>
      <c r="Q772" s="177"/>
      <c r="R772" s="177"/>
    </row>
    <row r="773" spans="1:18" hidden="1" x14ac:dyDescent="0.25">
      <c r="A773" s="29" t="s">
        <v>4106</v>
      </c>
      <c r="B773" s="29" t="s">
        <v>4105</v>
      </c>
      <c r="C773" s="29" t="s">
        <v>78</v>
      </c>
      <c r="D773" s="29" t="str">
        <f>VLOOKUP(C:C,'COUNT-CONT'!B:C,2,FALSE)</f>
        <v>Europe</v>
      </c>
      <c r="E773" s="29">
        <v>10</v>
      </c>
      <c r="F773" s="28">
        <v>3494</v>
      </c>
      <c r="G773" s="28">
        <v>4143625414</v>
      </c>
      <c r="H773" s="29">
        <v>23.85</v>
      </c>
      <c r="I773" s="142">
        <v>-55.589999999999996</v>
      </c>
      <c r="J773" s="29">
        <v>8.59</v>
      </c>
      <c r="K773" s="29">
        <v>7.01</v>
      </c>
      <c r="L773" s="29">
        <v>19.559999999999999</v>
      </c>
      <c r="M773" s="368"/>
      <c r="N773" s="368"/>
      <c r="O773" s="271">
        <f>IFERROR(Table17[[#This Row],[PROFIT]]/Table17[[#This Row],[TO]],0)</f>
        <v>0</v>
      </c>
      <c r="P773" s="177"/>
      <c r="Q773" s="177"/>
      <c r="R773" s="177"/>
    </row>
    <row r="774" spans="1:18" hidden="1" x14ac:dyDescent="0.25">
      <c r="A774" s="29" t="s">
        <v>4615</v>
      </c>
      <c r="B774" s="29" t="s">
        <v>4614</v>
      </c>
      <c r="C774" s="29" t="s">
        <v>1216</v>
      </c>
      <c r="D774" s="29" t="str">
        <f>VLOOKUP(C:C,'COUNT-CONT'!B:C,2,FALSE)</f>
        <v>Asia</v>
      </c>
      <c r="E774" s="29">
        <v>4</v>
      </c>
      <c r="F774" s="28">
        <v>2013</v>
      </c>
      <c r="G774" s="28">
        <v>4802648087</v>
      </c>
      <c r="H774" s="29">
        <v>23.82</v>
      </c>
      <c r="I774" s="142">
        <v>-55.62</v>
      </c>
      <c r="J774" s="29">
        <v>12.12</v>
      </c>
      <c r="K774" s="29">
        <v>11.22</v>
      </c>
      <c r="L774" s="29">
        <v>23.37</v>
      </c>
      <c r="M774" s="368"/>
      <c r="N774" s="368"/>
      <c r="O774" s="271">
        <f>IFERROR(Table17[[#This Row],[PROFIT]]/Table17[[#This Row],[TO]],0)</f>
        <v>0</v>
      </c>
      <c r="P774" s="177"/>
      <c r="Q774" s="177"/>
      <c r="R774" s="177"/>
    </row>
    <row r="775" spans="1:18" hidden="1" x14ac:dyDescent="0.25">
      <c r="A775" s="29" t="s">
        <v>4858</v>
      </c>
      <c r="B775" s="29" t="s">
        <v>4857</v>
      </c>
      <c r="C775" s="29" t="s">
        <v>1427</v>
      </c>
      <c r="D775" s="29" t="str">
        <f>VLOOKUP(C:C,'COUNT-CONT'!B:C,2,FALSE)</f>
        <v>Europe</v>
      </c>
      <c r="E775" s="29">
        <v>5</v>
      </c>
      <c r="F775" s="28">
        <v>2375</v>
      </c>
      <c r="G775" s="28">
        <v>5095157894</v>
      </c>
      <c r="H775" s="29">
        <v>23.79</v>
      </c>
      <c r="I775" s="142">
        <v>-55.65</v>
      </c>
      <c r="J775" s="29">
        <v>14.48</v>
      </c>
      <c r="K775" s="29">
        <v>13.42</v>
      </c>
      <c r="L775" s="29">
        <v>25.85</v>
      </c>
      <c r="M775" s="368"/>
      <c r="N775" s="368"/>
      <c r="O775" s="271">
        <f>IFERROR(Table17[[#This Row],[PROFIT]]/Table17[[#This Row],[TO]],0)</f>
        <v>0</v>
      </c>
      <c r="P775" s="177"/>
      <c r="Q775" s="177"/>
      <c r="R775" s="177"/>
    </row>
    <row r="776" spans="1:18" hidden="1" x14ac:dyDescent="0.25">
      <c r="A776" s="29" t="s">
        <v>4856</v>
      </c>
      <c r="B776" s="29" t="s">
        <v>4855</v>
      </c>
      <c r="C776" s="29" t="s">
        <v>308</v>
      </c>
      <c r="D776" s="29" t="str">
        <f>VLOOKUP(C:C,'COUNT-CONT'!B:C,2,FALSE)</f>
        <v>Europe</v>
      </c>
      <c r="E776" s="29">
        <v>7</v>
      </c>
      <c r="F776" s="28">
        <v>2758</v>
      </c>
      <c r="G776" s="28">
        <v>5077839738</v>
      </c>
      <c r="H776" s="29">
        <v>23.76</v>
      </c>
      <c r="I776" s="142">
        <v>-55.679999999999993</v>
      </c>
      <c r="J776" s="29">
        <v>14.45</v>
      </c>
      <c r="K776" s="29">
        <v>13.94</v>
      </c>
      <c r="L776" s="29">
        <v>25.82</v>
      </c>
      <c r="M776" s="368"/>
      <c r="N776" s="368"/>
      <c r="O776" s="271">
        <f>IFERROR(Table17[[#This Row],[PROFIT]]/Table17[[#This Row],[TO]],0)</f>
        <v>0</v>
      </c>
      <c r="P776" s="177"/>
      <c r="Q776" s="177"/>
      <c r="R776" s="177"/>
    </row>
    <row r="777" spans="1:18" hidden="1" x14ac:dyDescent="0.25">
      <c r="A777" s="29" t="s">
        <v>4043</v>
      </c>
      <c r="B777" s="29" t="s">
        <v>4042</v>
      </c>
      <c r="C777" s="29" t="s">
        <v>709</v>
      </c>
      <c r="D777" s="29" t="str">
        <f>VLOOKUP(C:C,'COUNT-CONT'!B:C,2,FALSE)</f>
        <v>Asia</v>
      </c>
      <c r="E777" s="29">
        <v>7</v>
      </c>
      <c r="F777" s="28">
        <v>2824</v>
      </c>
      <c r="G777" s="28">
        <v>4117118413</v>
      </c>
      <c r="H777" s="29">
        <v>23.76</v>
      </c>
      <c r="I777" s="142">
        <v>-55.679999999999993</v>
      </c>
      <c r="J777" s="29">
        <v>8.43</v>
      </c>
      <c r="K777" s="29">
        <v>6.5</v>
      </c>
      <c r="L777" s="29">
        <v>19.170000000000002</v>
      </c>
      <c r="M777" s="368"/>
      <c r="N777" s="368"/>
      <c r="O777" s="271">
        <f>IFERROR(Table17[[#This Row],[PROFIT]]/Table17[[#This Row],[TO]],0)</f>
        <v>0</v>
      </c>
      <c r="P777" s="177"/>
      <c r="Q777" s="177"/>
      <c r="R777" s="177"/>
    </row>
    <row r="778" spans="1:18" ht="30" hidden="1" x14ac:dyDescent="0.25">
      <c r="A778" s="29" t="s">
        <v>4955</v>
      </c>
      <c r="B778" s="29" t="s">
        <v>4954</v>
      </c>
      <c r="C778" s="29" t="s">
        <v>119</v>
      </c>
      <c r="D778" s="29" t="str">
        <f>VLOOKUP(C:C,'COUNT-CONT'!B:C,2,FALSE)</f>
        <v>Europe</v>
      </c>
      <c r="E778" s="29">
        <v>9</v>
      </c>
      <c r="F778" s="28">
        <v>3541</v>
      </c>
      <c r="G778" s="28">
        <v>5211646709</v>
      </c>
      <c r="H778" s="29">
        <v>23.73</v>
      </c>
      <c r="I778" s="142">
        <v>-55.709999999999994</v>
      </c>
      <c r="J778" s="29">
        <v>15.63</v>
      </c>
      <c r="K778" s="29">
        <v>15.11</v>
      </c>
      <c r="L778" s="29">
        <v>27</v>
      </c>
      <c r="M778" s="368"/>
      <c r="N778" s="368"/>
      <c r="O778" s="271">
        <f>IFERROR(Table17[[#This Row],[PROFIT]]/Table17[[#This Row],[TO]],0)</f>
        <v>0</v>
      </c>
      <c r="P778" s="177"/>
      <c r="Q778" s="177"/>
      <c r="R778" s="177"/>
    </row>
    <row r="779" spans="1:18" hidden="1" x14ac:dyDescent="0.25">
      <c r="A779" s="29" t="s">
        <v>3162</v>
      </c>
      <c r="B779" s="29" t="s">
        <v>3161</v>
      </c>
      <c r="C779" s="29" t="s">
        <v>2059</v>
      </c>
      <c r="D779" s="29" t="str">
        <f>VLOOKUP(C:C,'COUNT-CONT'!B:C,2,FALSE)</f>
        <v>Africa</v>
      </c>
      <c r="E779" s="29">
        <v>6</v>
      </c>
      <c r="F779" s="28">
        <v>2433</v>
      </c>
      <c r="G779" s="28">
        <v>3734716728</v>
      </c>
      <c r="H779" s="29">
        <v>23.7</v>
      </c>
      <c r="I779" s="142">
        <v>-55.739999999999995</v>
      </c>
      <c r="J779" s="29">
        <v>4.1399999999999997</v>
      </c>
      <c r="K779" s="29">
        <v>1.75</v>
      </c>
      <c r="L779" s="29">
        <v>14.81</v>
      </c>
      <c r="M779" s="368"/>
      <c r="N779" s="368"/>
      <c r="O779" s="271">
        <f>IFERROR(Table17[[#This Row],[PROFIT]]/Table17[[#This Row],[TO]],0)</f>
        <v>0</v>
      </c>
      <c r="P779" s="177"/>
      <c r="Q779" s="177"/>
      <c r="R779" s="177"/>
    </row>
    <row r="780" spans="1:18" ht="30" hidden="1" x14ac:dyDescent="0.25">
      <c r="A780" s="29" t="s">
        <v>4845</v>
      </c>
      <c r="B780" s="29" t="s">
        <v>4844</v>
      </c>
      <c r="C780" s="29" t="s">
        <v>83</v>
      </c>
      <c r="D780" s="29" t="str">
        <f>VLOOKUP(C:C,'COUNT-CONT'!B:C,2,FALSE)</f>
        <v>Europe</v>
      </c>
      <c r="E780" s="29">
        <v>4</v>
      </c>
      <c r="F780" s="28">
        <v>1959</v>
      </c>
      <c r="G780" s="28">
        <v>5144310974</v>
      </c>
      <c r="H780" s="29">
        <v>23.7</v>
      </c>
      <c r="I780" s="142">
        <v>-55.739999999999995</v>
      </c>
      <c r="J780" s="29">
        <v>14.42</v>
      </c>
      <c r="K780" s="29">
        <v>13.39</v>
      </c>
      <c r="L780" s="29">
        <v>25.76</v>
      </c>
      <c r="M780" s="368"/>
      <c r="N780" s="368"/>
      <c r="O780" s="271">
        <f>IFERROR(Table17[[#This Row],[PROFIT]]/Table17[[#This Row],[TO]],0)</f>
        <v>0</v>
      </c>
      <c r="P780" s="177"/>
      <c r="Q780" s="177"/>
      <c r="R780" s="177"/>
    </row>
    <row r="781" spans="1:18" hidden="1" x14ac:dyDescent="0.25">
      <c r="A781" s="29" t="s">
        <v>4080</v>
      </c>
      <c r="B781" s="29" t="s">
        <v>4079</v>
      </c>
      <c r="C781" s="29" t="s">
        <v>78</v>
      </c>
      <c r="D781" s="29" t="str">
        <f>VLOOKUP(C:C,'COUNT-CONT'!B:C,2,FALSE)</f>
        <v>Europe</v>
      </c>
      <c r="E781" s="29">
        <v>10</v>
      </c>
      <c r="F781" s="28">
        <v>4011</v>
      </c>
      <c r="G781" s="28">
        <v>4135445823</v>
      </c>
      <c r="H781" s="29">
        <v>23.7</v>
      </c>
      <c r="I781" s="142">
        <v>-55.739999999999995</v>
      </c>
      <c r="J781" s="29">
        <v>8.52</v>
      </c>
      <c r="K781" s="29">
        <v>6.98</v>
      </c>
      <c r="L781" s="29">
        <v>19.440000000000001</v>
      </c>
      <c r="M781" s="368"/>
      <c r="N781" s="368"/>
      <c r="O781" s="271">
        <f>IFERROR(Table17[[#This Row],[PROFIT]]/Table17[[#This Row],[TO]],0)</f>
        <v>0</v>
      </c>
      <c r="P781" s="177"/>
      <c r="Q781" s="177"/>
      <c r="R781" s="177"/>
    </row>
    <row r="782" spans="1:18" hidden="1" x14ac:dyDescent="0.25">
      <c r="A782" s="29" t="s">
        <v>2962</v>
      </c>
      <c r="B782" s="29" t="s">
        <v>2961</v>
      </c>
      <c r="C782" s="29" t="s">
        <v>1352</v>
      </c>
      <c r="D782" s="29" t="str">
        <f>VLOOKUP(C:C,'COUNT-CONT'!B:C,2,FALSE)</f>
        <v>Africa</v>
      </c>
      <c r="E782" s="29">
        <v>10</v>
      </c>
      <c r="F782" s="28">
        <v>3526</v>
      </c>
      <c r="G782" s="28">
        <v>3703568235</v>
      </c>
      <c r="H782" s="29">
        <v>23.64</v>
      </c>
      <c r="I782" s="142">
        <v>-55.8</v>
      </c>
      <c r="J782" s="29">
        <v>3.05</v>
      </c>
      <c r="K782" s="29">
        <v>1.0900000000000001</v>
      </c>
      <c r="L782" s="29">
        <v>13.91</v>
      </c>
      <c r="M782" s="368"/>
      <c r="N782" s="368"/>
      <c r="O782" s="271">
        <f>IFERROR(Table17[[#This Row],[PROFIT]]/Table17[[#This Row],[TO]],0)</f>
        <v>0</v>
      </c>
      <c r="P782" s="177"/>
      <c r="Q782" s="177"/>
      <c r="R782" s="177"/>
    </row>
    <row r="783" spans="1:18" hidden="1" x14ac:dyDescent="0.25">
      <c r="A783" s="29" t="s">
        <v>4949</v>
      </c>
      <c r="B783" s="29" t="s">
        <v>4948</v>
      </c>
      <c r="C783" s="29" t="s">
        <v>119</v>
      </c>
      <c r="D783" s="29" t="str">
        <f>VLOOKUP(C:C,'COUNT-CONT'!B:C,2,FALSE)</f>
        <v>Europe</v>
      </c>
      <c r="E783" s="29">
        <v>6</v>
      </c>
      <c r="F783" s="28">
        <v>2540</v>
      </c>
      <c r="G783" s="28">
        <v>5226470866</v>
      </c>
      <c r="H783" s="29">
        <v>23.61</v>
      </c>
      <c r="I783" s="142">
        <v>-55.83</v>
      </c>
      <c r="J783" s="29">
        <v>15.57</v>
      </c>
      <c r="K783" s="29">
        <v>15.02</v>
      </c>
      <c r="L783" s="29">
        <v>26.84</v>
      </c>
      <c r="M783" s="368"/>
      <c r="N783" s="368"/>
      <c r="O783" s="271">
        <f>IFERROR(Table17[[#This Row],[PROFIT]]/Table17[[#This Row],[TO]],0)</f>
        <v>0</v>
      </c>
      <c r="P783" s="177"/>
      <c r="Q783" s="177"/>
      <c r="R783" s="177"/>
    </row>
    <row r="784" spans="1:18" ht="30" hidden="1" x14ac:dyDescent="0.25">
      <c r="A784" s="29" t="s">
        <v>5229</v>
      </c>
      <c r="B784" s="29" t="s">
        <v>5228</v>
      </c>
      <c r="C784" s="29" t="s">
        <v>11732</v>
      </c>
      <c r="D784" s="29" t="str">
        <f>VLOOKUP(C:C,'COUNT-CONT'!B:C,2,FALSE)</f>
        <v>North America</v>
      </c>
      <c r="E784" s="29">
        <v>7</v>
      </c>
      <c r="F784" s="28">
        <v>3270</v>
      </c>
      <c r="G784" s="28">
        <v>5847791437</v>
      </c>
      <c r="H784" s="29">
        <v>23.61</v>
      </c>
      <c r="I784" s="142">
        <v>-55.83</v>
      </c>
      <c r="J784" s="29">
        <v>19.260000000000002</v>
      </c>
      <c r="K784" s="29">
        <v>19.260000000000002</v>
      </c>
      <c r="L784" s="29">
        <v>31.08</v>
      </c>
      <c r="M784" s="368"/>
      <c r="N784" s="368"/>
      <c r="O784" s="271">
        <f>IFERROR(Table17[[#This Row],[PROFIT]]/Table17[[#This Row],[TO]],0)</f>
        <v>0</v>
      </c>
      <c r="P784" s="177"/>
      <c r="Q784" s="177"/>
      <c r="R784" s="177"/>
    </row>
    <row r="785" spans="1:18" ht="30" hidden="1" x14ac:dyDescent="0.25">
      <c r="A785" s="29" t="s">
        <v>3711</v>
      </c>
      <c r="B785" s="29" t="s">
        <v>3710</v>
      </c>
      <c r="C785" s="29" t="s">
        <v>3709</v>
      </c>
      <c r="D785" s="29" t="str">
        <f>VLOOKUP(C:C,'COUNT-CONT'!B:C,2,FALSE)</f>
        <v>North America</v>
      </c>
      <c r="E785" s="29">
        <v>4</v>
      </c>
      <c r="F785" s="28">
        <v>1839</v>
      </c>
      <c r="G785" s="28">
        <v>4138751169</v>
      </c>
      <c r="H785" s="29">
        <v>23.61</v>
      </c>
      <c r="I785" s="142">
        <v>-55.83</v>
      </c>
      <c r="J785" s="29">
        <v>6.5</v>
      </c>
      <c r="K785" s="29">
        <v>4.4400000000000004</v>
      </c>
      <c r="L785" s="29">
        <v>17.11</v>
      </c>
      <c r="M785" s="368"/>
      <c r="N785" s="368"/>
      <c r="O785" s="271">
        <f>IFERROR(Table17[[#This Row],[PROFIT]]/Table17[[#This Row],[TO]],0)</f>
        <v>0</v>
      </c>
      <c r="P785" s="177"/>
      <c r="Q785" s="177"/>
      <c r="R785" s="177"/>
    </row>
    <row r="786" spans="1:18" hidden="1" x14ac:dyDescent="0.25">
      <c r="A786" s="29" t="s">
        <v>3829</v>
      </c>
      <c r="B786" s="29" t="s">
        <v>3828</v>
      </c>
      <c r="C786" s="29" t="s">
        <v>1261</v>
      </c>
      <c r="D786" s="29" t="str">
        <f>VLOOKUP(C:C,'COUNT-CONT'!B:C,2,FALSE)</f>
        <v>Asia</v>
      </c>
      <c r="E786" s="29">
        <v>7</v>
      </c>
      <c r="F786" s="28">
        <v>2704</v>
      </c>
      <c r="G786" s="28">
        <v>3966604733</v>
      </c>
      <c r="H786" s="29">
        <v>23.58</v>
      </c>
      <c r="I786" s="142">
        <v>-55.86</v>
      </c>
      <c r="J786" s="29">
        <v>7.13</v>
      </c>
      <c r="K786" s="29">
        <v>4.99</v>
      </c>
      <c r="L786" s="29">
        <v>17.87</v>
      </c>
      <c r="M786" s="368"/>
      <c r="N786" s="368"/>
      <c r="O786" s="271">
        <f>IFERROR(Table17[[#This Row],[PROFIT]]/Table17[[#This Row],[TO]],0)</f>
        <v>0</v>
      </c>
      <c r="P786" s="177"/>
      <c r="Q786" s="177"/>
      <c r="R786" s="177"/>
    </row>
    <row r="787" spans="1:18" hidden="1" x14ac:dyDescent="0.25">
      <c r="A787" s="29" t="s">
        <v>4172</v>
      </c>
      <c r="B787" s="29" t="s">
        <v>4171</v>
      </c>
      <c r="C787" s="29" t="s">
        <v>14</v>
      </c>
      <c r="D787" s="29" t="str">
        <f>VLOOKUP(C:C,'COUNT-CONT'!B:C,2,FALSE)</f>
        <v>Asia</v>
      </c>
      <c r="E787" s="29">
        <v>9</v>
      </c>
      <c r="F787" s="28">
        <v>3302</v>
      </c>
      <c r="G787" s="28">
        <v>4197931435</v>
      </c>
      <c r="H787" s="29">
        <v>23.55</v>
      </c>
      <c r="I787" s="142">
        <v>-55.89</v>
      </c>
      <c r="J787" s="29">
        <v>9.19</v>
      </c>
      <c r="K787" s="29">
        <v>7.59</v>
      </c>
      <c r="L787" s="29">
        <v>19.98</v>
      </c>
      <c r="M787" s="368"/>
      <c r="N787" s="368"/>
      <c r="O787" s="271">
        <f>IFERROR(Table17[[#This Row],[PROFIT]]/Table17[[#This Row],[TO]],0)</f>
        <v>0</v>
      </c>
      <c r="P787" s="177"/>
      <c r="Q787" s="177"/>
      <c r="R787" s="177"/>
    </row>
    <row r="788" spans="1:18" hidden="1" x14ac:dyDescent="0.25">
      <c r="A788" s="29" t="s">
        <v>4112</v>
      </c>
      <c r="B788" s="29" t="s">
        <v>4111</v>
      </c>
      <c r="C788" s="29" t="s">
        <v>709</v>
      </c>
      <c r="D788" s="29" t="str">
        <f>VLOOKUP(C:C,'COUNT-CONT'!B:C,2,FALSE)</f>
        <v>Asia</v>
      </c>
      <c r="E788" s="29">
        <v>6</v>
      </c>
      <c r="F788" s="28">
        <v>2368</v>
      </c>
      <c r="G788" s="28">
        <v>4192927027</v>
      </c>
      <c r="H788" s="29">
        <v>23.55</v>
      </c>
      <c r="I788" s="142">
        <v>-55.89</v>
      </c>
      <c r="J788" s="29">
        <v>9.01</v>
      </c>
      <c r="K788" s="29">
        <v>7.04</v>
      </c>
      <c r="L788" s="29">
        <v>19.62</v>
      </c>
      <c r="M788" s="368"/>
      <c r="N788" s="368"/>
      <c r="O788" s="271">
        <f>IFERROR(Table17[[#This Row],[PROFIT]]/Table17[[#This Row],[TO]],0)</f>
        <v>0</v>
      </c>
      <c r="P788" s="177"/>
      <c r="Q788" s="177"/>
      <c r="R788" s="177"/>
    </row>
    <row r="789" spans="1:18" hidden="1" x14ac:dyDescent="0.25">
      <c r="A789" s="29" t="s">
        <v>4490</v>
      </c>
      <c r="B789" s="29" t="s">
        <v>4489</v>
      </c>
      <c r="C789" s="29" t="s">
        <v>733</v>
      </c>
      <c r="D789" s="29" t="str">
        <f>VLOOKUP(C:C,'COUNT-CONT'!B:C,2,FALSE)</f>
        <v>Europe</v>
      </c>
      <c r="E789" s="29">
        <v>6</v>
      </c>
      <c r="F789" s="28">
        <v>2621</v>
      </c>
      <c r="G789" s="28">
        <v>4552287142</v>
      </c>
      <c r="H789" s="29">
        <v>23.52</v>
      </c>
      <c r="I789" s="142">
        <v>-55.92</v>
      </c>
      <c r="J789" s="29">
        <v>11.09</v>
      </c>
      <c r="K789" s="29">
        <v>10.19</v>
      </c>
      <c r="L789" s="29">
        <v>22.19</v>
      </c>
      <c r="M789" s="368"/>
      <c r="N789" s="368"/>
      <c r="O789" s="271">
        <f>IFERROR(Table17[[#This Row],[PROFIT]]/Table17[[#This Row],[TO]],0)</f>
        <v>0</v>
      </c>
      <c r="P789" s="177"/>
      <c r="Q789" s="177"/>
      <c r="R789" s="177"/>
    </row>
    <row r="790" spans="1:18" hidden="1" x14ac:dyDescent="0.25">
      <c r="A790" s="29" t="s">
        <v>3145</v>
      </c>
      <c r="B790" s="29" t="s">
        <v>3144</v>
      </c>
      <c r="C790" s="29" t="s">
        <v>2059</v>
      </c>
      <c r="D790" s="29" t="str">
        <f>VLOOKUP(C:C,'COUNT-CONT'!B:C,2,FALSE)</f>
        <v>Africa</v>
      </c>
      <c r="E790" s="29">
        <v>6</v>
      </c>
      <c r="F790" s="28">
        <v>2474</v>
      </c>
      <c r="G790" s="28">
        <v>3713724090</v>
      </c>
      <c r="H790" s="29">
        <v>23.49</v>
      </c>
      <c r="I790" s="142">
        <v>-55.95</v>
      </c>
      <c r="J790" s="29">
        <v>4.1100000000000003</v>
      </c>
      <c r="K790" s="29">
        <v>1.75</v>
      </c>
      <c r="L790" s="29">
        <v>14.69</v>
      </c>
      <c r="M790" s="368"/>
      <c r="N790" s="368"/>
      <c r="O790" s="271">
        <f>IFERROR(Table17[[#This Row],[PROFIT]]/Table17[[#This Row],[TO]],0)</f>
        <v>0</v>
      </c>
      <c r="P790" s="177"/>
      <c r="Q790" s="177"/>
      <c r="R790" s="177"/>
    </row>
    <row r="791" spans="1:18" ht="30" hidden="1" x14ac:dyDescent="0.25">
      <c r="A791" s="29" t="s">
        <v>5217</v>
      </c>
      <c r="B791" s="29" t="s">
        <v>5216</v>
      </c>
      <c r="C791" s="29" t="s">
        <v>11732</v>
      </c>
      <c r="D791" s="29" t="str">
        <f>VLOOKUP(C:C,'COUNT-CONT'!B:C,2,FALSE)</f>
        <v>North America</v>
      </c>
      <c r="E791" s="29">
        <v>8</v>
      </c>
      <c r="F791" s="28">
        <v>3540</v>
      </c>
      <c r="G791" s="28">
        <v>5823534463</v>
      </c>
      <c r="H791" s="29">
        <v>23.49</v>
      </c>
      <c r="I791" s="142">
        <v>-55.95</v>
      </c>
      <c r="J791" s="29">
        <v>19.170000000000002</v>
      </c>
      <c r="K791" s="29">
        <v>19.170000000000002</v>
      </c>
      <c r="L791" s="29">
        <v>30.93</v>
      </c>
      <c r="M791" s="368"/>
      <c r="N791" s="368"/>
      <c r="O791" s="271">
        <f>IFERROR(Table17[[#This Row],[PROFIT]]/Table17[[#This Row],[TO]],0)</f>
        <v>0</v>
      </c>
      <c r="P791" s="177"/>
      <c r="Q791" s="177"/>
      <c r="R791" s="177"/>
    </row>
    <row r="792" spans="1:18" hidden="1" x14ac:dyDescent="0.25">
      <c r="A792" s="29" t="s">
        <v>4820</v>
      </c>
      <c r="B792" s="29" t="s">
        <v>4819</v>
      </c>
      <c r="C792" s="29" t="s">
        <v>1427</v>
      </c>
      <c r="D792" s="29" t="str">
        <f>VLOOKUP(C:C,'COUNT-CONT'!B:C,2,FALSE)</f>
        <v>Europe</v>
      </c>
      <c r="E792" s="29">
        <v>6</v>
      </c>
      <c r="F792" s="28">
        <v>2658</v>
      </c>
      <c r="G792" s="28">
        <v>5024844996</v>
      </c>
      <c r="H792" s="29">
        <v>23.46</v>
      </c>
      <c r="I792" s="142">
        <v>-55.98</v>
      </c>
      <c r="J792" s="29">
        <v>14.27</v>
      </c>
      <c r="K792" s="29">
        <v>13.24</v>
      </c>
      <c r="L792" s="29">
        <v>25.48</v>
      </c>
      <c r="M792" s="368"/>
      <c r="N792" s="368"/>
      <c r="O792" s="271">
        <f>IFERROR(Table17[[#This Row],[PROFIT]]/Table17[[#This Row],[TO]],0)</f>
        <v>0</v>
      </c>
      <c r="P792" s="177"/>
      <c r="Q792" s="177"/>
      <c r="R792" s="177"/>
    </row>
    <row r="793" spans="1:18" hidden="1" x14ac:dyDescent="0.25">
      <c r="A793" s="29" t="s">
        <v>4625</v>
      </c>
      <c r="B793" s="29" t="s">
        <v>4624</v>
      </c>
      <c r="C793" s="29" t="s">
        <v>142</v>
      </c>
      <c r="D793" s="29" t="str">
        <f>VLOOKUP(C:C,'COUNT-CONT'!B:C,2,FALSE)</f>
        <v>Asia</v>
      </c>
      <c r="E793" s="29">
        <v>4</v>
      </c>
      <c r="F793" s="28">
        <v>2119</v>
      </c>
      <c r="G793" s="28">
        <v>4823212789</v>
      </c>
      <c r="H793" s="29">
        <v>23.43</v>
      </c>
      <c r="I793" s="142">
        <v>-56.01</v>
      </c>
      <c r="J793" s="29">
        <v>12.64</v>
      </c>
      <c r="K793" s="29">
        <v>11.25</v>
      </c>
      <c r="L793" s="29">
        <v>23.43</v>
      </c>
      <c r="M793" s="368"/>
      <c r="N793" s="368"/>
      <c r="O793" s="271">
        <f>IFERROR(Table17[[#This Row],[PROFIT]]/Table17[[#This Row],[TO]],0)</f>
        <v>0</v>
      </c>
      <c r="P793" s="177"/>
      <c r="Q793" s="177"/>
      <c r="R793" s="177"/>
    </row>
    <row r="794" spans="1:18" ht="30" hidden="1" x14ac:dyDescent="0.25">
      <c r="A794" s="29" t="s">
        <v>5214</v>
      </c>
      <c r="B794" s="29" t="s">
        <v>5213</v>
      </c>
      <c r="C794" s="29" t="s">
        <v>11732</v>
      </c>
      <c r="D794" s="29" t="str">
        <f>VLOOKUP(C:C,'COUNT-CONT'!B:C,2,FALSE)</f>
        <v>North America</v>
      </c>
      <c r="E794" s="29">
        <v>7</v>
      </c>
      <c r="F794" s="28">
        <v>3254</v>
      </c>
      <c r="G794" s="28">
        <v>5819045482</v>
      </c>
      <c r="H794" s="29">
        <v>23.43</v>
      </c>
      <c r="I794" s="142">
        <v>-56.01</v>
      </c>
      <c r="J794" s="29">
        <v>19.14</v>
      </c>
      <c r="K794" s="29">
        <v>19.14</v>
      </c>
      <c r="L794" s="29">
        <v>30.86</v>
      </c>
      <c r="M794" s="368"/>
      <c r="N794" s="368"/>
      <c r="O794" s="271">
        <f>IFERROR(Table17[[#This Row],[PROFIT]]/Table17[[#This Row],[TO]],0)</f>
        <v>0</v>
      </c>
      <c r="P794" s="177"/>
      <c r="Q794" s="177"/>
      <c r="R794" s="177"/>
    </row>
    <row r="795" spans="1:18" hidden="1" x14ac:dyDescent="0.25">
      <c r="A795" s="29" t="s">
        <v>4152</v>
      </c>
      <c r="B795" s="29" t="s">
        <v>4151</v>
      </c>
      <c r="C795" s="29" t="s">
        <v>14</v>
      </c>
      <c r="D795" s="29" t="str">
        <f>VLOOKUP(C:C,'COUNT-CONT'!B:C,2,FALSE)</f>
        <v>Asia</v>
      </c>
      <c r="E795" s="29">
        <v>6</v>
      </c>
      <c r="F795" s="28">
        <v>2578</v>
      </c>
      <c r="G795" s="28">
        <v>4205487354</v>
      </c>
      <c r="H795" s="29">
        <v>23.43</v>
      </c>
      <c r="I795" s="142">
        <v>-56.01</v>
      </c>
      <c r="J795" s="29">
        <v>9.1300000000000008</v>
      </c>
      <c r="K795" s="29">
        <v>7.53</v>
      </c>
      <c r="L795" s="29">
        <v>19.86</v>
      </c>
      <c r="M795" s="368"/>
      <c r="N795" s="368"/>
      <c r="O795" s="271">
        <f>IFERROR(Table17[[#This Row],[PROFIT]]/Table17[[#This Row],[TO]],0)</f>
        <v>0</v>
      </c>
      <c r="P795" s="177"/>
      <c r="Q795" s="177"/>
      <c r="R795" s="177"/>
    </row>
    <row r="796" spans="1:18" hidden="1" x14ac:dyDescent="0.25">
      <c r="A796" s="29" t="s">
        <v>3165</v>
      </c>
      <c r="B796" s="29" t="s">
        <v>3164</v>
      </c>
      <c r="C796" s="29" t="s">
        <v>3163</v>
      </c>
      <c r="D796" s="29" t="str">
        <f>VLOOKUP(C:C,'COUNT-CONT'!B:C,2,FALSE)</f>
        <v>Asia</v>
      </c>
      <c r="E796" s="29">
        <v>10</v>
      </c>
      <c r="F796" s="28">
        <v>6689</v>
      </c>
      <c r="G796" s="28">
        <v>3636049095</v>
      </c>
      <c r="H796" s="29">
        <v>23.4</v>
      </c>
      <c r="I796" s="142">
        <v>-56.04</v>
      </c>
      <c r="J796" s="29">
        <v>4.4400000000000004</v>
      </c>
      <c r="K796" s="29">
        <v>2.06</v>
      </c>
      <c r="L796" s="29">
        <v>14.81</v>
      </c>
      <c r="M796" s="368"/>
      <c r="N796" s="368"/>
      <c r="O796" s="271">
        <f>IFERROR(Table17[[#This Row],[PROFIT]]/Table17[[#This Row],[TO]],0)</f>
        <v>0</v>
      </c>
      <c r="P796" s="177"/>
      <c r="Q796" s="177"/>
      <c r="R796" s="177"/>
    </row>
    <row r="797" spans="1:18" ht="30" hidden="1" x14ac:dyDescent="0.25">
      <c r="A797" s="29" t="s">
        <v>4363</v>
      </c>
      <c r="B797" s="29" t="s">
        <v>4362</v>
      </c>
      <c r="C797" s="29" t="s">
        <v>1749</v>
      </c>
      <c r="D797" s="29" t="str">
        <f>VLOOKUP(C:C,'COUNT-CONT'!B:C,2,FALSE)</f>
        <v>North America</v>
      </c>
      <c r="E797" s="29">
        <v>7</v>
      </c>
      <c r="F797" s="28">
        <v>2810</v>
      </c>
      <c r="G797" s="28">
        <v>4374259074</v>
      </c>
      <c r="H797" s="29">
        <v>23.37</v>
      </c>
      <c r="I797" s="142">
        <v>-56.069999999999993</v>
      </c>
      <c r="J797" s="29">
        <v>10.61</v>
      </c>
      <c r="K797" s="29">
        <v>8.92</v>
      </c>
      <c r="L797" s="29">
        <v>21.25</v>
      </c>
      <c r="M797" s="368"/>
      <c r="N797" s="368"/>
      <c r="O797" s="271">
        <f>IFERROR(Table17[[#This Row],[PROFIT]]/Table17[[#This Row],[TO]],0)</f>
        <v>0</v>
      </c>
      <c r="P797" s="177"/>
      <c r="Q797" s="177"/>
      <c r="R797" s="177"/>
    </row>
    <row r="798" spans="1:18" ht="30" hidden="1" x14ac:dyDescent="0.25">
      <c r="A798" s="29" t="s">
        <v>4621</v>
      </c>
      <c r="B798" s="29" t="s">
        <v>4620</v>
      </c>
      <c r="C798" s="29" t="s">
        <v>2324</v>
      </c>
      <c r="D798" s="29" t="str">
        <f>VLOOKUP(C:C,'COUNT-CONT'!B:C,2,FALSE)</f>
        <v>North America</v>
      </c>
      <c r="E798" s="29">
        <v>10</v>
      </c>
      <c r="F798" s="28">
        <v>3613</v>
      </c>
      <c r="G798" s="28">
        <v>4666656130</v>
      </c>
      <c r="H798" s="29">
        <v>23.37</v>
      </c>
      <c r="I798" s="142">
        <v>-56.069999999999993</v>
      </c>
      <c r="J798" s="29">
        <v>12.12</v>
      </c>
      <c r="K798" s="29">
        <v>11.22</v>
      </c>
      <c r="L798" s="29">
        <v>23.37</v>
      </c>
      <c r="M798" s="368"/>
      <c r="N798" s="368"/>
      <c r="O798" s="271">
        <f>IFERROR(Table17[[#This Row],[PROFIT]]/Table17[[#This Row],[TO]],0)</f>
        <v>0</v>
      </c>
      <c r="P798" s="177"/>
      <c r="Q798" s="177"/>
      <c r="R798" s="177"/>
    </row>
    <row r="799" spans="1:18" hidden="1" x14ac:dyDescent="0.25">
      <c r="A799" s="29" t="s">
        <v>3539</v>
      </c>
      <c r="B799" s="29" t="s">
        <v>3538</v>
      </c>
      <c r="C799" s="29" t="s">
        <v>2764</v>
      </c>
      <c r="D799" s="29" t="str">
        <f>VLOOKUP(C:C,'COUNT-CONT'!B:C,2,FALSE)</f>
        <v>Asia</v>
      </c>
      <c r="E799" s="29">
        <v>8</v>
      </c>
      <c r="F799" s="28">
        <v>6333</v>
      </c>
      <c r="G799" s="28">
        <v>3669293352</v>
      </c>
      <c r="H799" s="29">
        <v>23.34</v>
      </c>
      <c r="I799" s="142">
        <v>-56.099999999999994</v>
      </c>
      <c r="J799" s="29">
        <v>5.83</v>
      </c>
      <c r="K799" s="29">
        <v>3.57</v>
      </c>
      <c r="L799" s="29">
        <v>16.2</v>
      </c>
      <c r="M799" s="368"/>
      <c r="N799" s="368"/>
      <c r="O799" s="271">
        <f>IFERROR(Table17[[#This Row],[PROFIT]]/Table17[[#This Row],[TO]],0)</f>
        <v>0</v>
      </c>
      <c r="P799" s="177"/>
      <c r="Q799" s="177"/>
      <c r="R799" s="177"/>
    </row>
    <row r="800" spans="1:18" ht="30" hidden="1" x14ac:dyDescent="0.25">
      <c r="A800" s="29" t="s">
        <v>5202</v>
      </c>
      <c r="B800" s="29" t="s">
        <v>5201</v>
      </c>
      <c r="C800" s="29" t="s">
        <v>560</v>
      </c>
      <c r="D800" s="29" t="str">
        <f>VLOOKUP(C:C,'COUNT-CONT'!B:C,2,FALSE)</f>
        <v>Europe</v>
      </c>
      <c r="E800" s="29">
        <v>8</v>
      </c>
      <c r="F800" s="28">
        <v>3388</v>
      </c>
      <c r="G800" s="28">
        <v>5803075324</v>
      </c>
      <c r="H800" s="29">
        <v>23.34</v>
      </c>
      <c r="I800" s="142">
        <v>-56.099999999999994</v>
      </c>
      <c r="J800" s="29">
        <v>19.04</v>
      </c>
      <c r="K800" s="29">
        <v>19.04</v>
      </c>
      <c r="L800" s="29">
        <v>30.74</v>
      </c>
      <c r="M800" s="368"/>
      <c r="N800" s="368"/>
      <c r="O800" s="271">
        <f>IFERROR(Table17[[#This Row],[PROFIT]]/Table17[[#This Row],[TO]],0)</f>
        <v>0</v>
      </c>
      <c r="P800" s="177"/>
      <c r="Q800" s="177"/>
      <c r="R800" s="177"/>
    </row>
    <row r="801" spans="1:18" ht="30" hidden="1" x14ac:dyDescent="0.25">
      <c r="A801" s="29" t="s">
        <v>5206</v>
      </c>
      <c r="B801" s="29" t="s">
        <v>5205</v>
      </c>
      <c r="C801" s="29" t="s">
        <v>11732</v>
      </c>
      <c r="D801" s="29" t="str">
        <f>VLOOKUP(C:C,'COUNT-CONT'!B:C,2,FALSE)</f>
        <v>North America</v>
      </c>
      <c r="E801" s="29">
        <v>10</v>
      </c>
      <c r="F801" s="28">
        <v>4514</v>
      </c>
      <c r="G801" s="28">
        <v>5814486309</v>
      </c>
      <c r="H801" s="29">
        <v>23.34</v>
      </c>
      <c r="I801" s="142">
        <v>-56.099999999999994</v>
      </c>
      <c r="J801" s="29">
        <v>19.04</v>
      </c>
      <c r="K801" s="29">
        <v>19.04</v>
      </c>
      <c r="L801" s="29">
        <v>30.74</v>
      </c>
      <c r="M801" s="368"/>
      <c r="N801" s="368"/>
      <c r="O801" s="271">
        <f>IFERROR(Table17[[#This Row],[PROFIT]]/Table17[[#This Row],[TO]],0)</f>
        <v>0</v>
      </c>
      <c r="P801" s="177"/>
      <c r="Q801" s="177"/>
      <c r="R801" s="177"/>
    </row>
    <row r="802" spans="1:18" ht="30" hidden="1" x14ac:dyDescent="0.25">
      <c r="A802" s="29" t="s">
        <v>2740</v>
      </c>
      <c r="B802" s="29" t="s">
        <v>2739</v>
      </c>
      <c r="C802" s="29" t="s">
        <v>2738</v>
      </c>
      <c r="D802" s="29" t="str">
        <f>VLOOKUP(C:C,'COUNT-CONT'!B:C,2,FALSE)</f>
        <v>Africa</v>
      </c>
      <c r="E802" s="29">
        <v>7</v>
      </c>
      <c r="F802" s="28">
        <v>2983</v>
      </c>
      <c r="G802" s="28">
        <v>3677356288</v>
      </c>
      <c r="H802" s="29">
        <v>23.31</v>
      </c>
      <c r="I802" s="142">
        <v>-56.129999999999995</v>
      </c>
      <c r="J802" s="29">
        <v>2.33</v>
      </c>
      <c r="K802" s="29">
        <v>0.51</v>
      </c>
      <c r="L802" s="29">
        <v>12.94</v>
      </c>
      <c r="M802" s="368"/>
      <c r="N802" s="368"/>
      <c r="O802" s="271">
        <f>IFERROR(Table17[[#This Row],[PROFIT]]/Table17[[#This Row],[TO]],0)</f>
        <v>0</v>
      </c>
      <c r="P802" s="177"/>
      <c r="Q802" s="177"/>
      <c r="R802" s="177"/>
    </row>
    <row r="803" spans="1:18" hidden="1" x14ac:dyDescent="0.25">
      <c r="A803" s="29" t="s">
        <v>3243</v>
      </c>
      <c r="B803" s="29" t="s">
        <v>3242</v>
      </c>
      <c r="C803" s="29" t="s">
        <v>197</v>
      </c>
      <c r="D803" s="29" t="str">
        <f>VLOOKUP(C:C,'COUNT-CONT'!B:C,2,FALSE)</f>
        <v>Asia</v>
      </c>
      <c r="E803" s="29">
        <v>8</v>
      </c>
      <c r="F803" s="28">
        <v>2856</v>
      </c>
      <c r="G803" s="28">
        <v>3722554061</v>
      </c>
      <c r="H803" s="29">
        <v>23.31</v>
      </c>
      <c r="I803" s="142">
        <v>-56.129999999999995</v>
      </c>
      <c r="J803" s="29">
        <v>4.84</v>
      </c>
      <c r="K803" s="29">
        <v>2.42</v>
      </c>
      <c r="L803" s="29">
        <v>15.15</v>
      </c>
      <c r="M803" s="368"/>
      <c r="N803" s="368"/>
      <c r="O803" s="271">
        <f>IFERROR(Table17[[#This Row],[PROFIT]]/Table17[[#This Row],[TO]],0)</f>
        <v>0</v>
      </c>
      <c r="P803" s="177"/>
      <c r="Q803" s="177"/>
      <c r="R803" s="177"/>
    </row>
    <row r="804" spans="1:18" hidden="1" x14ac:dyDescent="0.25">
      <c r="A804" s="29" t="s">
        <v>3473</v>
      </c>
      <c r="B804" s="29" t="s">
        <v>3472</v>
      </c>
      <c r="C804" s="29" t="s">
        <v>1070</v>
      </c>
      <c r="D804" s="29" t="str">
        <f>VLOOKUP(C:C,'COUNT-CONT'!B:C,2,FALSE)</f>
        <v>Asia</v>
      </c>
      <c r="E804" s="29">
        <v>4</v>
      </c>
      <c r="F804" s="28">
        <v>1857</v>
      </c>
      <c r="G804" s="28">
        <v>3865053257</v>
      </c>
      <c r="H804" s="29">
        <v>23.31</v>
      </c>
      <c r="I804" s="142">
        <v>-56.129999999999995</v>
      </c>
      <c r="J804" s="29">
        <v>5.41</v>
      </c>
      <c r="K804" s="29">
        <v>3.51</v>
      </c>
      <c r="L804" s="29">
        <v>15.96</v>
      </c>
      <c r="M804" s="368"/>
      <c r="N804" s="368"/>
      <c r="O804" s="271">
        <f>IFERROR(Table17[[#This Row],[PROFIT]]/Table17[[#This Row],[TO]],0)</f>
        <v>0</v>
      </c>
      <c r="P804" s="177"/>
      <c r="Q804" s="177"/>
      <c r="R804" s="177"/>
    </row>
    <row r="805" spans="1:18" hidden="1" x14ac:dyDescent="0.25">
      <c r="A805" s="29" t="s">
        <v>3982</v>
      </c>
      <c r="B805" s="29" t="s">
        <v>3981</v>
      </c>
      <c r="C805" s="29" t="s">
        <v>3980</v>
      </c>
      <c r="D805" s="29" t="str">
        <f>VLOOKUP(C:C,'COUNT-CONT'!B:C,2,FALSE)</f>
        <v>Europe</v>
      </c>
      <c r="E805" s="29">
        <v>6</v>
      </c>
      <c r="F805" s="28">
        <v>2569</v>
      </c>
      <c r="G805" s="28">
        <v>4082782172</v>
      </c>
      <c r="H805" s="29">
        <v>23.31</v>
      </c>
      <c r="I805" s="142">
        <v>-56.129999999999995</v>
      </c>
      <c r="J805" s="29">
        <v>8.25</v>
      </c>
      <c r="K805" s="29">
        <v>6.38</v>
      </c>
      <c r="L805" s="29">
        <v>18.8</v>
      </c>
      <c r="M805" s="368"/>
      <c r="N805" s="368"/>
      <c r="O805" s="271">
        <f>IFERROR(Table17[[#This Row],[PROFIT]]/Table17[[#This Row],[TO]],0)</f>
        <v>0</v>
      </c>
      <c r="P805" s="177"/>
      <c r="Q805" s="177"/>
      <c r="R805" s="177"/>
    </row>
    <row r="806" spans="1:18" hidden="1" x14ac:dyDescent="0.25">
      <c r="A806" s="29" t="s">
        <v>4245</v>
      </c>
      <c r="B806" s="29" t="s">
        <v>4244</v>
      </c>
      <c r="C806" s="29" t="s">
        <v>172</v>
      </c>
      <c r="D806" s="29" t="str">
        <f>VLOOKUP(C:C,'COUNT-CONT'!B:C,2,FALSE)</f>
        <v>Asia</v>
      </c>
      <c r="E806" s="29">
        <v>9</v>
      </c>
      <c r="F806" s="28">
        <v>3312</v>
      </c>
      <c r="G806" s="28">
        <v>4259325603</v>
      </c>
      <c r="H806" s="29">
        <v>23.31</v>
      </c>
      <c r="I806" s="142">
        <v>-56.129999999999995</v>
      </c>
      <c r="J806" s="29">
        <v>9.4</v>
      </c>
      <c r="K806" s="29">
        <v>8.16</v>
      </c>
      <c r="L806" s="29">
        <v>20.47</v>
      </c>
      <c r="M806" s="368"/>
      <c r="N806" s="368"/>
      <c r="O806" s="271">
        <f>IFERROR(Table17[[#This Row],[PROFIT]]/Table17[[#This Row],[TO]],0)</f>
        <v>0</v>
      </c>
      <c r="P806" s="177"/>
      <c r="Q806" s="177"/>
      <c r="R806" s="177"/>
    </row>
    <row r="807" spans="1:18" hidden="1" x14ac:dyDescent="0.25">
      <c r="A807" s="29" t="s">
        <v>3465</v>
      </c>
      <c r="B807" s="29" t="s">
        <v>3464</v>
      </c>
      <c r="C807" s="29" t="s">
        <v>1070</v>
      </c>
      <c r="D807" s="29" t="str">
        <f>VLOOKUP(C:C,'COUNT-CONT'!B:C,2,FALSE)</f>
        <v>Asia</v>
      </c>
      <c r="E807" s="29">
        <v>4</v>
      </c>
      <c r="F807" s="28">
        <v>1841</v>
      </c>
      <c r="G807" s="28">
        <v>3865801357</v>
      </c>
      <c r="H807" s="29">
        <v>23.28</v>
      </c>
      <c r="I807" s="142">
        <v>-56.16</v>
      </c>
      <c r="J807" s="29">
        <v>5.41</v>
      </c>
      <c r="K807" s="29">
        <v>3.51</v>
      </c>
      <c r="L807" s="29">
        <v>15.93</v>
      </c>
      <c r="M807" s="368"/>
      <c r="N807" s="368"/>
      <c r="O807" s="271">
        <f>IFERROR(Table17[[#This Row],[PROFIT]]/Table17[[#This Row],[TO]],0)</f>
        <v>0</v>
      </c>
      <c r="P807" s="177"/>
      <c r="Q807" s="177"/>
      <c r="R807" s="177"/>
    </row>
    <row r="808" spans="1:18" hidden="1" x14ac:dyDescent="0.25">
      <c r="A808" s="29" t="s">
        <v>3590</v>
      </c>
      <c r="B808" s="29" t="s">
        <v>3589</v>
      </c>
      <c r="C808" s="29" t="s">
        <v>1625</v>
      </c>
      <c r="D808" s="29" t="str">
        <f>VLOOKUP(C:C,'COUNT-CONT'!B:C,2,FALSE)</f>
        <v>Africa</v>
      </c>
      <c r="E808" s="29">
        <v>4</v>
      </c>
      <c r="F808" s="28">
        <v>2030</v>
      </c>
      <c r="G808" s="28">
        <v>3930271921</v>
      </c>
      <c r="H808" s="29">
        <v>23.25</v>
      </c>
      <c r="I808" s="142">
        <v>-56.19</v>
      </c>
      <c r="J808" s="29">
        <v>6.29</v>
      </c>
      <c r="K808" s="29">
        <v>3.96</v>
      </c>
      <c r="L808" s="29">
        <v>16.600000000000001</v>
      </c>
      <c r="M808" s="368"/>
      <c r="N808" s="368"/>
      <c r="O808" s="271">
        <f>IFERROR(Table17[[#This Row],[PROFIT]]/Table17[[#This Row],[TO]],0)</f>
        <v>0</v>
      </c>
      <c r="P808" s="177"/>
      <c r="Q808" s="177"/>
      <c r="R808" s="177"/>
    </row>
    <row r="809" spans="1:18" ht="30" hidden="1" x14ac:dyDescent="0.25">
      <c r="A809" s="29" t="s">
        <v>4066</v>
      </c>
      <c r="B809" s="29" t="s">
        <v>4065</v>
      </c>
      <c r="C809" s="29" t="s">
        <v>656</v>
      </c>
      <c r="D809" s="29" t="str">
        <f>VLOOKUP(C:C,'COUNT-CONT'!B:C,2,FALSE)</f>
        <v>Europe</v>
      </c>
      <c r="E809" s="29">
        <v>7</v>
      </c>
      <c r="F809" s="28">
        <v>2827</v>
      </c>
      <c r="G809" s="28">
        <v>4127305058</v>
      </c>
      <c r="H809" s="29">
        <v>23.25</v>
      </c>
      <c r="I809" s="142">
        <v>-56.19</v>
      </c>
      <c r="J809" s="29">
        <v>8.52</v>
      </c>
      <c r="K809" s="29">
        <v>6.95</v>
      </c>
      <c r="L809" s="29">
        <v>19.38</v>
      </c>
      <c r="M809" s="368"/>
      <c r="N809" s="368"/>
      <c r="O809" s="271">
        <f>IFERROR(Table17[[#This Row],[PROFIT]]/Table17[[#This Row],[TO]],0)</f>
        <v>0</v>
      </c>
      <c r="P809" s="177"/>
      <c r="Q809" s="177"/>
      <c r="R809" s="177"/>
    </row>
    <row r="810" spans="1:18" ht="30" hidden="1" x14ac:dyDescent="0.25">
      <c r="A810" s="29" t="s">
        <v>4124</v>
      </c>
      <c r="B810" s="29" t="s">
        <v>4123</v>
      </c>
      <c r="C810" s="29" t="s">
        <v>517</v>
      </c>
      <c r="D810" s="29" t="str">
        <f>VLOOKUP(C:C,'COUNT-CONT'!B:C,2,FALSE)</f>
        <v>South America</v>
      </c>
      <c r="E810" s="29">
        <v>5</v>
      </c>
      <c r="F810" s="28">
        <v>2158</v>
      </c>
      <c r="G810" s="28">
        <v>4226131232</v>
      </c>
      <c r="H810" s="29">
        <v>23.22</v>
      </c>
      <c r="I810" s="142">
        <v>-56.22</v>
      </c>
      <c r="J810" s="29">
        <v>9.0399999999999991</v>
      </c>
      <c r="K810" s="29">
        <v>7.47</v>
      </c>
      <c r="L810" s="29">
        <v>19.68</v>
      </c>
      <c r="M810" s="368"/>
      <c r="N810" s="368"/>
      <c r="O810" s="271">
        <f>IFERROR(Table17[[#This Row],[PROFIT]]/Table17[[#This Row],[TO]],0)</f>
        <v>0</v>
      </c>
      <c r="P810" s="177"/>
      <c r="Q810" s="177"/>
      <c r="R810" s="177"/>
    </row>
    <row r="811" spans="1:18" hidden="1" x14ac:dyDescent="0.25">
      <c r="A811" s="29" t="s">
        <v>3751</v>
      </c>
      <c r="B811" s="29" t="s">
        <v>3750</v>
      </c>
      <c r="C811" s="29" t="s">
        <v>1124</v>
      </c>
      <c r="D811" s="29" t="str">
        <f>VLOOKUP(C:C,'COUNT-CONT'!B:C,2,FALSE)</f>
        <v>Africa</v>
      </c>
      <c r="E811" s="29">
        <v>9</v>
      </c>
      <c r="F811" s="28">
        <v>3073</v>
      </c>
      <c r="G811" s="28">
        <v>3866056394</v>
      </c>
      <c r="H811" s="29">
        <v>23.19</v>
      </c>
      <c r="I811" s="142">
        <v>-56.25</v>
      </c>
      <c r="J811" s="29">
        <v>6.92</v>
      </c>
      <c r="K811" s="29">
        <v>4.84</v>
      </c>
      <c r="L811" s="29">
        <v>17.32</v>
      </c>
      <c r="M811" s="368"/>
      <c r="N811" s="368"/>
      <c r="O811" s="271">
        <f>IFERROR(Table17[[#This Row],[PROFIT]]/Table17[[#This Row],[TO]],0)</f>
        <v>0</v>
      </c>
      <c r="P811" s="177"/>
      <c r="Q811" s="177"/>
      <c r="R811" s="177"/>
    </row>
    <row r="812" spans="1:18" ht="30" hidden="1" x14ac:dyDescent="0.25">
      <c r="A812" s="29" t="s">
        <v>5192</v>
      </c>
      <c r="B812" s="29" t="s">
        <v>5191</v>
      </c>
      <c r="C812" s="29" t="s">
        <v>11732</v>
      </c>
      <c r="D812" s="29" t="str">
        <f>VLOOKUP(C:C,'COUNT-CONT'!B:C,2,FALSE)</f>
        <v>North America</v>
      </c>
      <c r="E812" s="29">
        <v>8</v>
      </c>
      <c r="F812" s="28">
        <v>3313</v>
      </c>
      <c r="G812" s="28">
        <v>5775125354</v>
      </c>
      <c r="H812" s="29">
        <v>23.19</v>
      </c>
      <c r="I812" s="142">
        <v>-56.25</v>
      </c>
      <c r="J812" s="29">
        <v>18.920000000000002</v>
      </c>
      <c r="K812" s="29">
        <v>18.920000000000002</v>
      </c>
      <c r="L812" s="29">
        <v>30.53</v>
      </c>
      <c r="M812" s="368"/>
      <c r="N812" s="368"/>
      <c r="O812" s="271">
        <f>IFERROR(Table17[[#This Row],[PROFIT]]/Table17[[#This Row],[TO]],0)</f>
        <v>0</v>
      </c>
      <c r="P812" s="177"/>
      <c r="Q812" s="177"/>
      <c r="R812" s="177"/>
    </row>
    <row r="813" spans="1:18" ht="30" hidden="1" x14ac:dyDescent="0.25">
      <c r="A813" s="29" t="s">
        <v>4122</v>
      </c>
      <c r="B813" s="29" t="s">
        <v>4121</v>
      </c>
      <c r="C813" s="29" t="s">
        <v>14</v>
      </c>
      <c r="D813" s="29" t="str">
        <f>VLOOKUP(C:C,'COUNT-CONT'!B:C,2,FALSE)</f>
        <v>Asia</v>
      </c>
      <c r="E813" s="29">
        <v>5</v>
      </c>
      <c r="F813" s="28">
        <v>2162</v>
      </c>
      <c r="G813" s="28">
        <v>4218788159</v>
      </c>
      <c r="H813" s="29">
        <v>23.19</v>
      </c>
      <c r="I813" s="142">
        <v>-56.25</v>
      </c>
      <c r="J813" s="29">
        <v>9.0399999999999991</v>
      </c>
      <c r="K813" s="29">
        <v>7.47</v>
      </c>
      <c r="L813" s="29">
        <v>19.649999999999999</v>
      </c>
      <c r="M813" s="368"/>
      <c r="N813" s="368"/>
      <c r="O813" s="271">
        <f>IFERROR(Table17[[#This Row],[PROFIT]]/Table17[[#This Row],[TO]],0)</f>
        <v>0</v>
      </c>
      <c r="P813" s="177"/>
      <c r="Q813" s="177"/>
      <c r="R813" s="177"/>
    </row>
    <row r="814" spans="1:18" hidden="1" x14ac:dyDescent="0.25">
      <c r="A814" s="29" t="s">
        <v>4118</v>
      </c>
      <c r="B814" s="29" t="s">
        <v>4117</v>
      </c>
      <c r="C814" s="29" t="s">
        <v>14</v>
      </c>
      <c r="D814" s="29" t="str">
        <f>VLOOKUP(C:C,'COUNT-CONT'!B:C,2,FALSE)</f>
        <v>Asia</v>
      </c>
      <c r="E814" s="29">
        <v>8</v>
      </c>
      <c r="F814" s="28">
        <v>2883</v>
      </c>
      <c r="G814" s="28">
        <v>4159946999</v>
      </c>
      <c r="H814" s="29">
        <v>23.16</v>
      </c>
      <c r="I814" s="142">
        <v>-56.28</v>
      </c>
      <c r="J814" s="29">
        <v>9.01</v>
      </c>
      <c r="K814" s="29">
        <v>7.44</v>
      </c>
      <c r="L814" s="29">
        <v>19.62</v>
      </c>
      <c r="M814" s="368"/>
      <c r="N814" s="368"/>
      <c r="O814" s="271">
        <f>IFERROR(Table17[[#This Row],[PROFIT]]/Table17[[#This Row],[TO]],0)</f>
        <v>0</v>
      </c>
      <c r="P814" s="177"/>
      <c r="Q814" s="177"/>
      <c r="R814" s="177"/>
    </row>
    <row r="815" spans="1:18" hidden="1" x14ac:dyDescent="0.25">
      <c r="A815" s="29" t="s">
        <v>3697</v>
      </c>
      <c r="B815" s="29" t="s">
        <v>3696</v>
      </c>
      <c r="C815" s="29" t="s">
        <v>1261</v>
      </c>
      <c r="D815" s="29" t="str">
        <f>VLOOKUP(C:C,'COUNT-CONT'!B:C,2,FALSE)</f>
        <v>Asia</v>
      </c>
      <c r="E815" s="29">
        <v>7</v>
      </c>
      <c r="F815" s="28">
        <v>2644</v>
      </c>
      <c r="G815" s="28">
        <v>3890436308</v>
      </c>
      <c r="H815" s="29">
        <v>23.16</v>
      </c>
      <c r="I815" s="142">
        <v>-56.28</v>
      </c>
      <c r="J815" s="29">
        <v>6.47</v>
      </c>
      <c r="K815" s="29">
        <v>4.75</v>
      </c>
      <c r="L815" s="29">
        <v>17.02</v>
      </c>
      <c r="M815" s="368"/>
      <c r="N815" s="368"/>
      <c r="O815" s="271">
        <f>IFERROR(Table17[[#This Row],[PROFIT]]/Table17[[#This Row],[TO]],0)</f>
        <v>0</v>
      </c>
      <c r="P815" s="177"/>
      <c r="Q815" s="177"/>
      <c r="R815" s="177"/>
    </row>
    <row r="816" spans="1:18" hidden="1" x14ac:dyDescent="0.25">
      <c r="A816" s="29" t="s">
        <v>3680</v>
      </c>
      <c r="B816" s="29" t="s">
        <v>3679</v>
      </c>
      <c r="C816" s="29" t="s">
        <v>926</v>
      </c>
      <c r="D816" s="29" t="str">
        <f>VLOOKUP(C:C,'COUNT-CONT'!B:C,2,FALSE)</f>
        <v>Africa</v>
      </c>
      <c r="E816" s="29">
        <v>4</v>
      </c>
      <c r="F816" s="28">
        <v>2033</v>
      </c>
      <c r="G816" s="28">
        <v>3920672306</v>
      </c>
      <c r="H816" s="29">
        <v>23.13</v>
      </c>
      <c r="I816" s="142">
        <v>-56.31</v>
      </c>
      <c r="J816" s="29">
        <v>6.44</v>
      </c>
      <c r="K816" s="29">
        <v>4.41</v>
      </c>
      <c r="L816" s="29">
        <v>16.989999999999998</v>
      </c>
      <c r="M816" s="368"/>
      <c r="N816" s="368"/>
      <c r="O816" s="271">
        <f>IFERROR(Table17[[#This Row],[PROFIT]]/Table17[[#This Row],[TO]],0)</f>
        <v>0</v>
      </c>
      <c r="P816" s="177"/>
      <c r="Q816" s="177"/>
      <c r="R816" s="177"/>
    </row>
    <row r="817" spans="1:18" hidden="1" x14ac:dyDescent="0.25">
      <c r="A817" s="29" t="s">
        <v>4114</v>
      </c>
      <c r="B817" s="29" t="s">
        <v>4113</v>
      </c>
      <c r="C817" s="29" t="s">
        <v>14</v>
      </c>
      <c r="D817" s="29" t="str">
        <f>VLOOKUP(C:C,'COUNT-CONT'!B:C,2,FALSE)</f>
        <v>Asia</v>
      </c>
      <c r="E817" s="29">
        <v>7</v>
      </c>
      <c r="F817" s="28">
        <v>2677</v>
      </c>
      <c r="G817" s="28">
        <v>4166107732</v>
      </c>
      <c r="H817" s="29">
        <v>23.13</v>
      </c>
      <c r="I817" s="142">
        <v>-56.31</v>
      </c>
      <c r="J817" s="29">
        <v>9.01</v>
      </c>
      <c r="K817" s="29">
        <v>7.44</v>
      </c>
      <c r="L817" s="29">
        <v>19.62</v>
      </c>
      <c r="M817" s="368"/>
      <c r="N817" s="368"/>
      <c r="O817" s="271">
        <f>IFERROR(Table17[[#This Row],[PROFIT]]/Table17[[#This Row],[TO]],0)</f>
        <v>0</v>
      </c>
      <c r="P817" s="177"/>
      <c r="Q817" s="177"/>
      <c r="R817" s="177"/>
    </row>
    <row r="818" spans="1:18" hidden="1" x14ac:dyDescent="0.25">
      <c r="A818" s="29" t="s">
        <v>4102</v>
      </c>
      <c r="B818" s="29" t="s">
        <v>4101</v>
      </c>
      <c r="C818" s="29" t="s">
        <v>14</v>
      </c>
      <c r="D818" s="29" t="str">
        <f>VLOOKUP(C:C,'COUNT-CONT'!B:C,2,FALSE)</f>
        <v>Asia</v>
      </c>
      <c r="E818" s="29">
        <v>6</v>
      </c>
      <c r="F818" s="28">
        <v>2573</v>
      </c>
      <c r="G818" s="28">
        <v>4166316517</v>
      </c>
      <c r="H818" s="29">
        <v>23.07</v>
      </c>
      <c r="I818" s="142">
        <v>-56.37</v>
      </c>
      <c r="J818" s="29">
        <v>8.98</v>
      </c>
      <c r="K818" s="29">
        <v>7.41</v>
      </c>
      <c r="L818" s="29">
        <v>19.559999999999999</v>
      </c>
      <c r="M818" s="368"/>
      <c r="N818" s="368"/>
      <c r="O818" s="271">
        <f>IFERROR(Table17[[#This Row],[PROFIT]]/Table17[[#This Row],[TO]],0)</f>
        <v>0</v>
      </c>
      <c r="P818" s="177"/>
      <c r="Q818" s="177"/>
      <c r="R818" s="177"/>
    </row>
    <row r="819" spans="1:18" hidden="1" x14ac:dyDescent="0.25">
      <c r="A819" s="29" t="s">
        <v>4576</v>
      </c>
      <c r="B819" s="29" t="s">
        <v>4575</v>
      </c>
      <c r="C819" s="29" t="s">
        <v>142</v>
      </c>
      <c r="D819" s="29" t="str">
        <f>VLOOKUP(C:C,'COUNT-CONT'!B:C,2,FALSE)</f>
        <v>Asia</v>
      </c>
      <c r="E819" s="29">
        <v>6</v>
      </c>
      <c r="F819" s="28">
        <v>2641</v>
      </c>
      <c r="G819" s="28">
        <v>4721108898</v>
      </c>
      <c r="H819" s="29">
        <v>23.04</v>
      </c>
      <c r="I819" s="142">
        <v>-56.4</v>
      </c>
      <c r="J819" s="29">
        <v>12.42</v>
      </c>
      <c r="K819" s="29">
        <v>11.06</v>
      </c>
      <c r="L819" s="29">
        <v>23.04</v>
      </c>
      <c r="M819" s="368"/>
      <c r="N819" s="368"/>
      <c r="O819" s="271">
        <f>IFERROR(Table17[[#This Row],[PROFIT]]/Table17[[#This Row],[TO]],0)</f>
        <v>0</v>
      </c>
      <c r="P819" s="177"/>
      <c r="Q819" s="177"/>
      <c r="R819" s="177"/>
    </row>
    <row r="820" spans="1:18" ht="30" hidden="1" x14ac:dyDescent="0.25">
      <c r="A820" s="29" t="s">
        <v>4486</v>
      </c>
      <c r="B820" s="29" t="s">
        <v>4485</v>
      </c>
      <c r="C820" s="29" t="s">
        <v>4484</v>
      </c>
      <c r="D820" s="29" t="e">
        <f>VLOOKUP(C:C,'COUNT-CONT'!B:C,2,FALSE)</f>
        <v>#N/A</v>
      </c>
      <c r="E820" s="29">
        <v>7</v>
      </c>
      <c r="F820" s="28">
        <v>2882</v>
      </c>
      <c r="G820" s="28">
        <v>4486279389</v>
      </c>
      <c r="H820" s="29">
        <v>23</v>
      </c>
      <c r="I820" s="142">
        <v>-56.44</v>
      </c>
      <c r="J820" s="29">
        <v>11.49</v>
      </c>
      <c r="K820" s="29">
        <v>10.16</v>
      </c>
      <c r="L820" s="29">
        <v>22.13</v>
      </c>
      <c r="M820" s="368"/>
      <c r="N820" s="368"/>
      <c r="O820" s="271">
        <f>IFERROR(Table17[[#This Row],[PROFIT]]/Table17[[#This Row],[TO]],0)</f>
        <v>0</v>
      </c>
      <c r="P820" s="177"/>
      <c r="Q820" s="177"/>
      <c r="R820" s="177"/>
    </row>
    <row r="821" spans="1:18" hidden="1" x14ac:dyDescent="0.25">
      <c r="A821" s="29" t="s">
        <v>3121</v>
      </c>
      <c r="B821" s="29" t="s">
        <v>3120</v>
      </c>
      <c r="C821" s="29" t="s">
        <v>644</v>
      </c>
      <c r="D821" s="29" t="str">
        <f>VLOOKUP(C:C,'COUNT-CONT'!B:C,2,FALSE)</f>
        <v>Africa</v>
      </c>
      <c r="E821" s="29">
        <v>6</v>
      </c>
      <c r="F821" s="28">
        <v>2523</v>
      </c>
      <c r="G821" s="28">
        <v>3693988902</v>
      </c>
      <c r="H821" s="29">
        <v>23</v>
      </c>
      <c r="I821" s="142">
        <v>-56.44</v>
      </c>
      <c r="J821" s="29">
        <v>4.3499999999999996</v>
      </c>
      <c r="K821" s="29">
        <v>2.0299999999999998</v>
      </c>
      <c r="L821" s="29">
        <v>14.57</v>
      </c>
      <c r="M821" s="368"/>
      <c r="N821" s="368"/>
      <c r="O821" s="271">
        <f>IFERROR(Table17[[#This Row],[PROFIT]]/Table17[[#This Row],[TO]],0)</f>
        <v>0</v>
      </c>
      <c r="P821" s="177"/>
      <c r="Q821" s="177"/>
      <c r="R821" s="177"/>
    </row>
    <row r="822" spans="1:18" hidden="1" x14ac:dyDescent="0.25">
      <c r="A822" s="29" t="s">
        <v>302</v>
      </c>
      <c r="B822" s="29" t="s">
        <v>3997</v>
      </c>
      <c r="C822" s="29" t="s">
        <v>717</v>
      </c>
      <c r="D822" s="29" t="str">
        <f>VLOOKUP(C:C,'COUNT-CONT'!B:C,2,FALSE)</f>
        <v>Asia</v>
      </c>
      <c r="E822" s="29">
        <v>9</v>
      </c>
      <c r="F822" s="28">
        <v>3309</v>
      </c>
      <c r="G822" s="28">
        <v>4052726715</v>
      </c>
      <c r="H822" s="29">
        <v>23</v>
      </c>
      <c r="I822" s="142">
        <v>-56.44</v>
      </c>
      <c r="J822" s="29">
        <v>8.2799999999999994</v>
      </c>
      <c r="K822" s="29">
        <v>6.77</v>
      </c>
      <c r="L822" s="29">
        <v>18.86</v>
      </c>
      <c r="M822" s="368"/>
      <c r="N822" s="368"/>
      <c r="O822" s="271">
        <f>IFERROR(Table17[[#This Row],[PROFIT]]/Table17[[#This Row],[TO]],0)</f>
        <v>0</v>
      </c>
      <c r="P822" s="177"/>
      <c r="Q822" s="177"/>
      <c r="R822" s="177"/>
    </row>
    <row r="823" spans="1:18" hidden="1" x14ac:dyDescent="0.25">
      <c r="A823" s="29" t="s">
        <v>4886</v>
      </c>
      <c r="B823" s="29" t="s">
        <v>4885</v>
      </c>
      <c r="C823" s="29" t="s">
        <v>119</v>
      </c>
      <c r="D823" s="29" t="str">
        <f>VLOOKUP(C:C,'COUNT-CONT'!B:C,2,FALSE)</f>
        <v>Europe</v>
      </c>
      <c r="E823" s="29">
        <v>6</v>
      </c>
      <c r="F823" s="28">
        <v>2646</v>
      </c>
      <c r="G823" s="28">
        <v>5131821844</v>
      </c>
      <c r="H823" s="29">
        <v>23</v>
      </c>
      <c r="I823" s="142">
        <v>-56.44</v>
      </c>
      <c r="J823" s="29">
        <v>15.15</v>
      </c>
      <c r="K823" s="29">
        <v>14.63</v>
      </c>
      <c r="L823" s="29">
        <v>26.15</v>
      </c>
      <c r="M823" s="368"/>
      <c r="N823" s="368"/>
      <c r="O823" s="271">
        <f>IFERROR(Table17[[#This Row],[PROFIT]]/Table17[[#This Row],[TO]],0)</f>
        <v>0</v>
      </c>
      <c r="P823" s="177"/>
      <c r="Q823" s="177"/>
      <c r="R823" s="177"/>
    </row>
    <row r="824" spans="1:18" ht="30" hidden="1" x14ac:dyDescent="0.25">
      <c r="A824" s="29" t="s">
        <v>3994</v>
      </c>
      <c r="B824" s="29" t="s">
        <v>3993</v>
      </c>
      <c r="C824" s="29" t="s">
        <v>2540</v>
      </c>
      <c r="D824" s="29" t="str">
        <f>VLOOKUP(C:C,'COUNT-CONT'!B:C,2,FALSE)</f>
        <v>North America</v>
      </c>
      <c r="E824" s="29">
        <v>6</v>
      </c>
      <c r="F824" s="28">
        <v>2512</v>
      </c>
      <c r="G824" s="28">
        <v>4080498089</v>
      </c>
      <c r="H824" s="29">
        <v>23</v>
      </c>
      <c r="I824" s="142">
        <v>-56.44</v>
      </c>
      <c r="J824" s="29">
        <v>8.2799999999999994</v>
      </c>
      <c r="K824" s="29">
        <v>6.77</v>
      </c>
      <c r="L824" s="29">
        <v>18.86</v>
      </c>
      <c r="M824" s="368"/>
      <c r="N824" s="368"/>
      <c r="O824" s="271">
        <f>IFERROR(Table17[[#This Row],[PROFIT]]/Table17[[#This Row],[TO]],0)</f>
        <v>0</v>
      </c>
      <c r="P824" s="177"/>
      <c r="Q824" s="177"/>
      <c r="R824" s="177"/>
    </row>
    <row r="825" spans="1:18" ht="30" hidden="1" x14ac:dyDescent="0.25">
      <c r="A825" s="29" t="s">
        <v>4146</v>
      </c>
      <c r="B825" s="29" t="s">
        <v>4145</v>
      </c>
      <c r="C825" s="29" t="s">
        <v>860</v>
      </c>
      <c r="D825" s="29" t="str">
        <f>VLOOKUP(C:C,'COUNT-CONT'!B:C,2,FALSE)</f>
        <v>South America</v>
      </c>
      <c r="E825" s="29">
        <v>4</v>
      </c>
      <c r="F825" s="28">
        <v>1856</v>
      </c>
      <c r="G825" s="28">
        <v>4296672413</v>
      </c>
      <c r="H825" s="29">
        <v>22.97</v>
      </c>
      <c r="I825" s="142">
        <v>-56.47</v>
      </c>
      <c r="J825" s="29">
        <v>9.1</v>
      </c>
      <c r="K825" s="29">
        <v>7.53</v>
      </c>
      <c r="L825" s="29">
        <v>19.829999999999998</v>
      </c>
      <c r="M825" s="368"/>
      <c r="N825" s="368"/>
      <c r="O825" s="271">
        <f>IFERROR(Table17[[#This Row],[PROFIT]]/Table17[[#This Row],[TO]],0)</f>
        <v>0</v>
      </c>
      <c r="P825" s="177"/>
      <c r="Q825" s="177"/>
      <c r="R825" s="177"/>
    </row>
    <row r="826" spans="1:18" ht="30" hidden="1" x14ac:dyDescent="0.25">
      <c r="A826" s="29" t="s">
        <v>4776</v>
      </c>
      <c r="B826" s="29" t="s">
        <v>4775</v>
      </c>
      <c r="C826" s="29" t="s">
        <v>308</v>
      </c>
      <c r="D826" s="29" t="str">
        <f>VLOOKUP(C:C,'COUNT-CONT'!B:C,2,FALSE)</f>
        <v>Europe</v>
      </c>
      <c r="E826" s="29">
        <v>8</v>
      </c>
      <c r="F826" s="28">
        <v>3231</v>
      </c>
      <c r="G826" s="28">
        <v>4943051872</v>
      </c>
      <c r="H826" s="29">
        <v>22.91</v>
      </c>
      <c r="I826" s="142">
        <v>-56.53</v>
      </c>
      <c r="J826" s="29">
        <v>13.94</v>
      </c>
      <c r="K826" s="29">
        <v>13.42</v>
      </c>
      <c r="L826" s="29">
        <v>24.91</v>
      </c>
      <c r="M826" s="368"/>
      <c r="N826" s="368"/>
      <c r="O826" s="271">
        <f>IFERROR(Table17[[#This Row],[PROFIT]]/Table17[[#This Row],[TO]],0)</f>
        <v>0</v>
      </c>
      <c r="P826" s="177"/>
      <c r="Q826" s="177"/>
      <c r="R826" s="177"/>
    </row>
    <row r="827" spans="1:18" ht="30" hidden="1" x14ac:dyDescent="0.25">
      <c r="A827" s="29" t="s">
        <v>5161</v>
      </c>
      <c r="B827" s="29" t="s">
        <v>5160</v>
      </c>
      <c r="C827" s="29" t="s">
        <v>11732</v>
      </c>
      <c r="D827" s="29" t="str">
        <f>VLOOKUP(C:C,'COUNT-CONT'!B:C,2,FALSE)</f>
        <v>North America</v>
      </c>
      <c r="E827" s="29">
        <v>9</v>
      </c>
      <c r="F827" s="28">
        <v>3556</v>
      </c>
      <c r="G827" s="28">
        <v>5724136332</v>
      </c>
      <c r="H827" s="29">
        <v>22.91</v>
      </c>
      <c r="I827" s="142">
        <v>-56.53</v>
      </c>
      <c r="J827" s="29">
        <v>18.68</v>
      </c>
      <c r="K827" s="29">
        <v>18.68</v>
      </c>
      <c r="L827" s="29">
        <v>30.14</v>
      </c>
      <c r="M827" s="368"/>
      <c r="N827" s="368"/>
      <c r="O827" s="271">
        <f>IFERROR(Table17[[#This Row],[PROFIT]]/Table17[[#This Row],[TO]],0)</f>
        <v>0</v>
      </c>
      <c r="P827" s="177"/>
      <c r="Q827" s="177"/>
      <c r="R827" s="177"/>
    </row>
    <row r="828" spans="1:18" ht="30" x14ac:dyDescent="0.25">
      <c r="A828" s="29" t="s">
        <v>4032</v>
      </c>
      <c r="B828" s="29" t="s">
        <v>4031</v>
      </c>
      <c r="C828" s="29" t="s">
        <v>523</v>
      </c>
      <c r="D828" s="29" t="str">
        <f>VLOOKUP(C:C,'COUNT-CONT'!B:C,2,FALSE)</f>
        <v>Oceania</v>
      </c>
      <c r="E828" s="29">
        <v>9</v>
      </c>
      <c r="F828" s="28">
        <v>3337</v>
      </c>
      <c r="G828" s="28">
        <v>4082637398</v>
      </c>
      <c r="H828" s="29">
        <v>22.91</v>
      </c>
      <c r="I828" s="142">
        <v>-56.53</v>
      </c>
      <c r="J828" s="29">
        <v>8.4</v>
      </c>
      <c r="K828" s="29">
        <v>6.86</v>
      </c>
      <c r="L828" s="29">
        <v>19.11</v>
      </c>
      <c r="M828" s="368"/>
      <c r="N828" s="368"/>
      <c r="O828" s="271">
        <f>IFERROR(Table17[[#This Row],[PROFIT]]/Table17[[#This Row],[TO]],0)</f>
        <v>0</v>
      </c>
      <c r="P828" s="177"/>
      <c r="Q828" s="177"/>
      <c r="R828" s="177"/>
    </row>
    <row r="829" spans="1:18" hidden="1" x14ac:dyDescent="0.25">
      <c r="A829" s="29" t="s">
        <v>4072</v>
      </c>
      <c r="B829" s="29" t="s">
        <v>4071</v>
      </c>
      <c r="C829" s="29" t="s">
        <v>14</v>
      </c>
      <c r="D829" s="29" t="str">
        <f>VLOOKUP(C:C,'COUNT-CONT'!B:C,2,FALSE)</f>
        <v>Asia</v>
      </c>
      <c r="E829" s="29">
        <v>10</v>
      </c>
      <c r="F829" s="28">
        <v>3497</v>
      </c>
      <c r="G829" s="28">
        <v>4124155333</v>
      </c>
      <c r="H829" s="29">
        <v>22.91</v>
      </c>
      <c r="I829" s="142">
        <v>-56.53</v>
      </c>
      <c r="J829" s="29">
        <v>8.92</v>
      </c>
      <c r="K829" s="29">
        <v>7.38</v>
      </c>
      <c r="L829" s="29">
        <v>19.41</v>
      </c>
      <c r="M829" s="368"/>
      <c r="N829" s="368"/>
      <c r="O829" s="271">
        <f>IFERROR(Table17[[#This Row],[PROFIT]]/Table17[[#This Row],[TO]],0)</f>
        <v>0</v>
      </c>
      <c r="P829" s="177"/>
      <c r="Q829" s="177"/>
      <c r="R829" s="177"/>
    </row>
    <row r="830" spans="1:18" hidden="1" x14ac:dyDescent="0.25">
      <c r="A830" s="29" t="s">
        <v>4772</v>
      </c>
      <c r="B830" s="29" t="s">
        <v>4771</v>
      </c>
      <c r="C830" s="29" t="s">
        <v>876</v>
      </c>
      <c r="D830" s="29" t="str">
        <f>VLOOKUP(C:C,'COUNT-CONT'!B:C,2,FALSE)</f>
        <v>Europe</v>
      </c>
      <c r="E830" s="29">
        <v>7</v>
      </c>
      <c r="F830" s="28">
        <v>2801</v>
      </c>
      <c r="G830" s="28">
        <v>4955916886</v>
      </c>
      <c r="H830" s="29">
        <v>22.88</v>
      </c>
      <c r="I830" s="142">
        <v>-56.56</v>
      </c>
      <c r="J830" s="29">
        <v>13.91</v>
      </c>
      <c r="K830" s="29">
        <v>13.42</v>
      </c>
      <c r="L830" s="29">
        <v>24.88</v>
      </c>
      <c r="M830" s="368"/>
      <c r="N830" s="368"/>
      <c r="O830" s="271">
        <f>IFERROR(Table17[[#This Row],[PROFIT]]/Table17[[#This Row],[TO]],0)</f>
        <v>0</v>
      </c>
      <c r="P830" s="177"/>
      <c r="Q830" s="177"/>
      <c r="R830" s="177"/>
    </row>
    <row r="831" spans="1:18" ht="30" hidden="1" x14ac:dyDescent="0.25">
      <c r="A831" s="29" t="s">
        <v>5157</v>
      </c>
      <c r="B831" s="29" t="s">
        <v>5156</v>
      </c>
      <c r="C831" s="29" t="s">
        <v>11732</v>
      </c>
      <c r="D831" s="29" t="str">
        <f>VLOOKUP(C:C,'COUNT-CONT'!B:C,2,FALSE)</f>
        <v>North America</v>
      </c>
      <c r="E831" s="29">
        <v>10</v>
      </c>
      <c r="F831" s="28">
        <v>4273</v>
      </c>
      <c r="G831" s="28">
        <v>5730630376</v>
      </c>
      <c r="H831" s="29">
        <v>22.88</v>
      </c>
      <c r="I831" s="142">
        <v>-56.56</v>
      </c>
      <c r="J831" s="29">
        <v>18.649999999999999</v>
      </c>
      <c r="K831" s="29">
        <v>18.649999999999999</v>
      </c>
      <c r="L831" s="29">
        <v>30.11</v>
      </c>
      <c r="M831" s="368"/>
      <c r="N831" s="368"/>
      <c r="O831" s="271">
        <f>IFERROR(Table17[[#This Row],[PROFIT]]/Table17[[#This Row],[TO]],0)</f>
        <v>0</v>
      </c>
      <c r="P831" s="177"/>
      <c r="Q831" s="177"/>
      <c r="R831" s="177"/>
    </row>
    <row r="832" spans="1:18" ht="30" hidden="1" x14ac:dyDescent="0.25">
      <c r="A832" s="29" t="s">
        <v>5153</v>
      </c>
      <c r="B832" s="29" t="s">
        <v>5152</v>
      </c>
      <c r="C832" s="29" t="s">
        <v>11732</v>
      </c>
      <c r="D832" s="29" t="str">
        <f>VLOOKUP(C:C,'COUNT-CONT'!B:C,2,FALSE)</f>
        <v>North America</v>
      </c>
      <c r="E832" s="29">
        <v>7</v>
      </c>
      <c r="F832" s="28">
        <v>3207</v>
      </c>
      <c r="G832" s="28">
        <v>5723199688</v>
      </c>
      <c r="H832" s="29">
        <v>22.88</v>
      </c>
      <c r="I832" s="142">
        <v>-56.56</v>
      </c>
      <c r="J832" s="29">
        <v>18.649999999999999</v>
      </c>
      <c r="K832" s="29">
        <v>18.649999999999999</v>
      </c>
      <c r="L832" s="29">
        <v>30.11</v>
      </c>
      <c r="M832" s="368"/>
      <c r="N832" s="368"/>
      <c r="O832" s="271">
        <f>IFERROR(Table17[[#This Row],[PROFIT]]/Table17[[#This Row],[TO]],0)</f>
        <v>0</v>
      </c>
      <c r="P832" s="177"/>
      <c r="Q832" s="177"/>
      <c r="R832" s="177"/>
    </row>
    <row r="833" spans="1:18" hidden="1" x14ac:dyDescent="0.25">
      <c r="A833" s="29" t="s">
        <v>3784</v>
      </c>
      <c r="B833" s="29" t="s">
        <v>3783</v>
      </c>
      <c r="C833" s="29" t="s">
        <v>700</v>
      </c>
      <c r="D833" s="29" t="str">
        <f>VLOOKUP(C:C,'COUNT-CONT'!B:C,2,FALSE)</f>
        <v>Asia</v>
      </c>
      <c r="E833" s="29">
        <v>3</v>
      </c>
      <c r="F833" s="28">
        <v>1753</v>
      </c>
      <c r="G833" s="28">
        <v>4057495721</v>
      </c>
      <c r="H833" s="29">
        <v>22.85</v>
      </c>
      <c r="I833" s="142">
        <v>-56.589999999999996</v>
      </c>
      <c r="J833" s="29">
        <v>7.01</v>
      </c>
      <c r="K833" s="29">
        <v>5.26</v>
      </c>
      <c r="L833" s="29">
        <v>17.59</v>
      </c>
      <c r="M833" s="368"/>
      <c r="N833" s="368"/>
      <c r="O833" s="271">
        <f>IFERROR(Table17[[#This Row],[PROFIT]]/Table17[[#This Row],[TO]],0)</f>
        <v>0</v>
      </c>
      <c r="P833" s="177"/>
      <c r="Q833" s="177"/>
      <c r="R833" s="177"/>
    </row>
    <row r="834" spans="1:18" hidden="1" x14ac:dyDescent="0.25">
      <c r="A834" s="29" t="s">
        <v>4070</v>
      </c>
      <c r="B834" s="29" t="s">
        <v>4069</v>
      </c>
      <c r="C834" s="29" t="s">
        <v>14</v>
      </c>
      <c r="D834" s="29" t="str">
        <f>VLOOKUP(C:C,'COUNT-CONT'!B:C,2,FALSE)</f>
        <v>Asia</v>
      </c>
      <c r="E834" s="29">
        <v>8</v>
      </c>
      <c r="F834" s="28">
        <v>3084</v>
      </c>
      <c r="G834" s="28">
        <v>4119879636</v>
      </c>
      <c r="H834" s="29">
        <v>22.85</v>
      </c>
      <c r="I834" s="142">
        <v>-56.589999999999996</v>
      </c>
      <c r="J834" s="29">
        <v>8.89</v>
      </c>
      <c r="K834" s="29">
        <v>7.35</v>
      </c>
      <c r="L834" s="29">
        <v>19.38</v>
      </c>
      <c r="M834" s="368"/>
      <c r="N834" s="368"/>
      <c r="O834" s="271">
        <f>IFERROR(Table17[[#This Row],[PROFIT]]/Table17[[#This Row],[TO]],0)</f>
        <v>0</v>
      </c>
      <c r="P834" s="177"/>
      <c r="Q834" s="177"/>
      <c r="R834" s="177"/>
    </row>
    <row r="835" spans="1:18" hidden="1" x14ac:dyDescent="0.25">
      <c r="A835" s="29" t="s">
        <v>4064</v>
      </c>
      <c r="B835" s="29" t="s">
        <v>4063</v>
      </c>
      <c r="C835" s="29" t="s">
        <v>14</v>
      </c>
      <c r="D835" s="29" t="str">
        <f>VLOOKUP(C:C,'COUNT-CONT'!B:C,2,FALSE)</f>
        <v>Asia</v>
      </c>
      <c r="E835" s="29">
        <v>9</v>
      </c>
      <c r="F835" s="28">
        <v>3290</v>
      </c>
      <c r="G835" s="28">
        <v>4115946504</v>
      </c>
      <c r="H835" s="29">
        <v>22.82</v>
      </c>
      <c r="I835" s="142">
        <v>-56.62</v>
      </c>
      <c r="J835" s="29">
        <v>8.89</v>
      </c>
      <c r="K835" s="29">
        <v>7.35</v>
      </c>
      <c r="L835" s="29">
        <v>19.350000000000001</v>
      </c>
      <c r="M835" s="368"/>
      <c r="N835" s="368"/>
      <c r="O835" s="271">
        <f>IFERROR(Table17[[#This Row],[PROFIT]]/Table17[[#This Row],[TO]],0)</f>
        <v>0</v>
      </c>
      <c r="P835" s="177"/>
      <c r="Q835" s="177"/>
      <c r="R835" s="177"/>
    </row>
    <row r="836" spans="1:18" ht="30" hidden="1" x14ac:dyDescent="0.25">
      <c r="A836" s="29" t="s">
        <v>4289</v>
      </c>
      <c r="B836" s="29" t="s">
        <v>4288</v>
      </c>
      <c r="C836" s="29" t="s">
        <v>1749</v>
      </c>
      <c r="D836" s="29" t="str">
        <f>VLOOKUP(C:C,'COUNT-CONT'!B:C,2,FALSE)</f>
        <v>North America</v>
      </c>
      <c r="E836" s="29">
        <v>6</v>
      </c>
      <c r="F836" s="28">
        <v>2593</v>
      </c>
      <c r="G836" s="28">
        <v>4323019051</v>
      </c>
      <c r="H836" s="29">
        <v>22.82</v>
      </c>
      <c r="I836" s="142">
        <v>-56.62</v>
      </c>
      <c r="J836" s="29">
        <v>10.37</v>
      </c>
      <c r="K836" s="29">
        <v>8.7100000000000009</v>
      </c>
      <c r="L836" s="29">
        <v>20.77</v>
      </c>
      <c r="M836" s="368"/>
      <c r="N836" s="368"/>
      <c r="O836" s="271">
        <f>IFERROR(Table17[[#This Row],[PROFIT]]/Table17[[#This Row],[TO]],0)</f>
        <v>0</v>
      </c>
      <c r="P836" s="177"/>
      <c r="Q836" s="177"/>
      <c r="R836" s="177"/>
    </row>
    <row r="837" spans="1:18" hidden="1" x14ac:dyDescent="0.25">
      <c r="A837" s="29" t="s">
        <v>3267</v>
      </c>
      <c r="B837" s="29" t="s">
        <v>3266</v>
      </c>
      <c r="C837" s="29" t="s">
        <v>3265</v>
      </c>
      <c r="D837" s="29" t="str">
        <f>VLOOKUP(C:C,'COUNT-CONT'!B:C,2,FALSE)</f>
        <v>Asia</v>
      </c>
      <c r="E837" s="29">
        <v>7</v>
      </c>
      <c r="F837" s="28">
        <v>2642</v>
      </c>
      <c r="G837" s="28">
        <v>3830551249</v>
      </c>
      <c r="H837" s="29">
        <v>22.79</v>
      </c>
      <c r="I837" s="142">
        <v>-56.65</v>
      </c>
      <c r="J837" s="29">
        <v>4.84</v>
      </c>
      <c r="K837" s="29">
        <v>3.02</v>
      </c>
      <c r="L837" s="29">
        <v>15.21</v>
      </c>
      <c r="M837" s="368"/>
      <c r="N837" s="368"/>
      <c r="O837" s="271">
        <f>IFERROR(Table17[[#This Row],[PROFIT]]/Table17[[#This Row],[TO]],0)</f>
        <v>0</v>
      </c>
      <c r="P837" s="177"/>
      <c r="Q837" s="177"/>
      <c r="R837" s="177"/>
    </row>
    <row r="838" spans="1:18" hidden="1" x14ac:dyDescent="0.25">
      <c r="A838" s="29" t="s">
        <v>3954</v>
      </c>
      <c r="B838" s="29" t="s">
        <v>3953</v>
      </c>
      <c r="C838" s="29" t="s">
        <v>717</v>
      </c>
      <c r="D838" s="29" t="str">
        <f>VLOOKUP(C:C,'COUNT-CONT'!B:C,2,FALSE)</f>
        <v>Asia</v>
      </c>
      <c r="E838" s="29">
        <v>6</v>
      </c>
      <c r="F838" s="28">
        <v>2335</v>
      </c>
      <c r="G838" s="28">
        <v>4066292077</v>
      </c>
      <c r="H838" s="29">
        <v>22.73</v>
      </c>
      <c r="I838" s="142">
        <v>-56.709999999999994</v>
      </c>
      <c r="J838" s="29">
        <v>8.19</v>
      </c>
      <c r="K838" s="29">
        <v>6.71</v>
      </c>
      <c r="L838" s="29">
        <v>18.649999999999999</v>
      </c>
      <c r="M838" s="368"/>
      <c r="N838" s="368"/>
      <c r="O838" s="271">
        <f>IFERROR(Table17[[#This Row],[PROFIT]]/Table17[[#This Row],[TO]],0)</f>
        <v>0</v>
      </c>
      <c r="P838" s="177"/>
      <c r="Q838" s="177"/>
      <c r="R838" s="177"/>
    </row>
    <row r="839" spans="1:18" ht="30" hidden="1" x14ac:dyDescent="0.25">
      <c r="A839" s="29" t="s">
        <v>4110</v>
      </c>
      <c r="B839" s="29" t="s">
        <v>4109</v>
      </c>
      <c r="C839" s="29" t="s">
        <v>860</v>
      </c>
      <c r="D839" s="29" t="str">
        <f>VLOOKUP(C:C,'COUNT-CONT'!B:C,2,FALSE)</f>
        <v>South America</v>
      </c>
      <c r="E839" s="29">
        <v>5</v>
      </c>
      <c r="F839" s="28">
        <v>2080</v>
      </c>
      <c r="G839" s="28">
        <v>4227646153</v>
      </c>
      <c r="H839" s="29">
        <v>22.73</v>
      </c>
      <c r="I839" s="142">
        <v>-56.709999999999994</v>
      </c>
      <c r="J839" s="29">
        <v>9.01</v>
      </c>
      <c r="K839" s="29">
        <v>7.44</v>
      </c>
      <c r="L839" s="29">
        <v>19.62</v>
      </c>
      <c r="M839" s="368"/>
      <c r="N839" s="368"/>
      <c r="O839" s="271">
        <f>IFERROR(Table17[[#This Row],[PROFIT]]/Table17[[#This Row],[TO]],0)</f>
        <v>0</v>
      </c>
      <c r="P839" s="177"/>
      <c r="Q839" s="177"/>
      <c r="R839" s="177"/>
    </row>
    <row r="840" spans="1:18" ht="30" hidden="1" x14ac:dyDescent="0.25">
      <c r="A840" s="29" t="s">
        <v>5145</v>
      </c>
      <c r="B840" s="29" t="s">
        <v>5144</v>
      </c>
      <c r="C840" s="29" t="s">
        <v>11732</v>
      </c>
      <c r="D840" s="29" t="str">
        <f>VLOOKUP(C:C,'COUNT-CONT'!B:C,2,FALSE)</f>
        <v>North America</v>
      </c>
      <c r="E840" s="29">
        <v>9</v>
      </c>
      <c r="F840" s="28">
        <v>3536</v>
      </c>
      <c r="G840" s="28">
        <v>5685885972</v>
      </c>
      <c r="H840" s="29">
        <v>22.67</v>
      </c>
      <c r="I840" s="142">
        <v>-56.769999999999996</v>
      </c>
      <c r="J840" s="29">
        <v>18.5</v>
      </c>
      <c r="K840" s="29">
        <v>18.5</v>
      </c>
      <c r="L840" s="29">
        <v>29.84</v>
      </c>
      <c r="M840" s="368"/>
      <c r="N840" s="368"/>
      <c r="O840" s="271">
        <f>IFERROR(Table17[[#This Row],[PROFIT]]/Table17[[#This Row],[TO]],0)</f>
        <v>0</v>
      </c>
      <c r="P840" s="177"/>
      <c r="Q840" s="177"/>
      <c r="R840" s="177"/>
    </row>
    <row r="841" spans="1:18" ht="30" x14ac:dyDescent="0.25">
      <c r="A841" s="29" t="s">
        <v>3191</v>
      </c>
      <c r="B841" s="29" t="s">
        <v>3190</v>
      </c>
      <c r="C841" s="29" t="s">
        <v>1865</v>
      </c>
      <c r="D841" s="29" t="str">
        <f>VLOOKUP(C:C,'COUNT-CONT'!B:C,2,FALSE)</f>
        <v>Oceania</v>
      </c>
      <c r="E841" s="29">
        <v>3</v>
      </c>
      <c r="F841" s="28">
        <v>1737</v>
      </c>
      <c r="G841" s="28">
        <v>3756275762</v>
      </c>
      <c r="H841" s="29">
        <v>22.67</v>
      </c>
      <c r="I841" s="142">
        <v>-56.769999999999996</v>
      </c>
      <c r="J841" s="29">
        <v>4.78</v>
      </c>
      <c r="K841" s="29">
        <v>2.66</v>
      </c>
      <c r="L841" s="29">
        <v>14.93</v>
      </c>
      <c r="M841" s="368"/>
      <c r="N841" s="368"/>
      <c r="O841" s="271">
        <f>IFERROR(Table17[[#This Row],[PROFIT]]/Table17[[#This Row],[TO]],0)</f>
        <v>0</v>
      </c>
      <c r="P841" s="177"/>
      <c r="Q841" s="177"/>
      <c r="R841" s="177"/>
    </row>
    <row r="842" spans="1:18" ht="30" hidden="1" x14ac:dyDescent="0.25">
      <c r="A842" s="29" t="s">
        <v>4098</v>
      </c>
      <c r="B842" s="29" t="s">
        <v>4097</v>
      </c>
      <c r="C842" s="29" t="s">
        <v>860</v>
      </c>
      <c r="D842" s="29" t="str">
        <f>VLOOKUP(C:C,'COUNT-CONT'!B:C,2,FALSE)</f>
        <v>South America</v>
      </c>
      <c r="E842" s="29">
        <v>6</v>
      </c>
      <c r="F842" s="28">
        <v>2415</v>
      </c>
      <c r="G842" s="28">
        <v>4174186542</v>
      </c>
      <c r="H842" s="29">
        <v>22.64</v>
      </c>
      <c r="I842" s="142">
        <v>-56.8</v>
      </c>
      <c r="J842" s="29">
        <v>8.98</v>
      </c>
      <c r="K842" s="29">
        <v>7.41</v>
      </c>
      <c r="L842" s="29">
        <v>19.53</v>
      </c>
      <c r="M842" s="368"/>
      <c r="N842" s="368"/>
      <c r="O842" s="271">
        <f>IFERROR(Table17[[#This Row],[PROFIT]]/Table17[[#This Row],[TO]],0)</f>
        <v>0</v>
      </c>
      <c r="P842" s="177"/>
      <c r="Q842" s="177"/>
      <c r="R842" s="177"/>
    </row>
    <row r="843" spans="1:18" ht="30" hidden="1" x14ac:dyDescent="0.25">
      <c r="A843" s="29" t="s">
        <v>4266</v>
      </c>
      <c r="B843" s="29" t="s">
        <v>4265</v>
      </c>
      <c r="C843" s="29" t="s">
        <v>1749</v>
      </c>
      <c r="D843" s="29" t="str">
        <f>VLOOKUP(C:C,'COUNT-CONT'!B:C,2,FALSE)</f>
        <v>North America</v>
      </c>
      <c r="E843" s="29">
        <v>10</v>
      </c>
      <c r="F843" s="28">
        <v>3522</v>
      </c>
      <c r="G843" s="28">
        <v>4277122544</v>
      </c>
      <c r="H843" s="29">
        <v>22.64</v>
      </c>
      <c r="I843" s="142">
        <v>-56.8</v>
      </c>
      <c r="J843" s="29">
        <v>10.28</v>
      </c>
      <c r="K843" s="29">
        <v>8.65</v>
      </c>
      <c r="L843" s="29">
        <v>20.59</v>
      </c>
      <c r="M843" s="368"/>
      <c r="N843" s="368"/>
      <c r="O843" s="271">
        <f>IFERROR(Table17[[#This Row],[PROFIT]]/Table17[[#This Row],[TO]],0)</f>
        <v>0</v>
      </c>
      <c r="P843" s="177"/>
      <c r="Q843" s="177"/>
      <c r="R843" s="177"/>
    </row>
    <row r="844" spans="1:18" ht="30" hidden="1" x14ac:dyDescent="0.25">
      <c r="A844" s="29" t="s">
        <v>4262</v>
      </c>
      <c r="B844" s="29" t="s">
        <v>4261</v>
      </c>
      <c r="C844" s="29" t="s">
        <v>1749</v>
      </c>
      <c r="D844" s="29" t="str">
        <f>VLOOKUP(C:C,'COUNT-CONT'!B:C,2,FALSE)</f>
        <v>North America</v>
      </c>
      <c r="E844" s="29">
        <v>6</v>
      </c>
      <c r="F844" s="28">
        <v>2590</v>
      </c>
      <c r="G844" s="28">
        <v>4297910424</v>
      </c>
      <c r="H844" s="29">
        <v>22.64</v>
      </c>
      <c r="I844" s="142">
        <v>-56.8</v>
      </c>
      <c r="J844" s="29">
        <v>10.28</v>
      </c>
      <c r="K844" s="29">
        <v>8.65</v>
      </c>
      <c r="L844" s="29">
        <v>20.59</v>
      </c>
      <c r="M844" s="368"/>
      <c r="N844" s="368"/>
      <c r="O844" s="271">
        <f>IFERROR(Table17[[#This Row],[PROFIT]]/Table17[[#This Row],[TO]],0)</f>
        <v>0</v>
      </c>
      <c r="P844" s="177"/>
      <c r="Q844" s="177"/>
      <c r="R844" s="177"/>
    </row>
    <row r="845" spans="1:18" ht="30" hidden="1" x14ac:dyDescent="0.25">
      <c r="A845" s="29" t="s">
        <v>5139</v>
      </c>
      <c r="B845" s="29" t="s">
        <v>5138</v>
      </c>
      <c r="C845" s="29" t="s">
        <v>11732</v>
      </c>
      <c r="D845" s="29" t="str">
        <f>VLOOKUP(C:C,'COUNT-CONT'!B:C,2,FALSE)</f>
        <v>North America</v>
      </c>
      <c r="E845" s="29">
        <v>9</v>
      </c>
      <c r="F845" s="28">
        <v>3528</v>
      </c>
      <c r="G845" s="28">
        <v>5668991383</v>
      </c>
      <c r="H845" s="29">
        <v>22.58</v>
      </c>
      <c r="I845" s="142">
        <v>-56.86</v>
      </c>
      <c r="J845" s="29">
        <v>18.41</v>
      </c>
      <c r="K845" s="29">
        <v>18.41</v>
      </c>
      <c r="L845" s="29">
        <v>29.72</v>
      </c>
      <c r="M845" s="368"/>
      <c r="N845" s="368"/>
      <c r="O845" s="271">
        <f>IFERROR(Table17[[#This Row],[PROFIT]]/Table17[[#This Row],[TO]],0)</f>
        <v>0</v>
      </c>
      <c r="P845" s="177"/>
      <c r="Q845" s="177"/>
      <c r="R845" s="177"/>
    </row>
    <row r="846" spans="1:18" hidden="1" x14ac:dyDescent="0.25">
      <c r="A846" s="29" t="s">
        <v>32</v>
      </c>
      <c r="B846" s="29" t="s">
        <v>3766</v>
      </c>
      <c r="C846" s="29" t="s">
        <v>332</v>
      </c>
      <c r="D846" s="29" t="str">
        <f>VLOOKUP(C:C,'COUNT-CONT'!B:C,2,FALSE)</f>
        <v>Asia</v>
      </c>
      <c r="E846" s="29">
        <v>8</v>
      </c>
      <c r="F846" s="28">
        <v>3055</v>
      </c>
      <c r="G846" s="28">
        <v>3889265466</v>
      </c>
      <c r="H846" s="29">
        <v>22.58</v>
      </c>
      <c r="I846" s="142">
        <v>-56.86</v>
      </c>
      <c r="J846" s="29">
        <v>6.95</v>
      </c>
      <c r="K846" s="29">
        <v>5.56</v>
      </c>
      <c r="L846" s="29">
        <v>17.38</v>
      </c>
      <c r="M846" s="368"/>
      <c r="N846" s="368"/>
      <c r="O846" s="271">
        <f>IFERROR(Table17[[#This Row],[PROFIT]]/Table17[[#This Row],[TO]],0)</f>
        <v>0</v>
      </c>
      <c r="P846" s="177"/>
      <c r="Q846" s="177"/>
      <c r="R846" s="177"/>
    </row>
    <row r="847" spans="1:18" hidden="1" x14ac:dyDescent="0.25">
      <c r="A847" s="29" t="s">
        <v>4839</v>
      </c>
      <c r="B847" s="29" t="s">
        <v>4838</v>
      </c>
      <c r="C847" s="29" t="s">
        <v>119</v>
      </c>
      <c r="D847" s="29" t="str">
        <f>VLOOKUP(C:C,'COUNT-CONT'!B:C,2,FALSE)</f>
        <v>Europe</v>
      </c>
      <c r="E847" s="29">
        <v>5</v>
      </c>
      <c r="F847" s="28">
        <v>2413</v>
      </c>
      <c r="G847" s="28">
        <v>5079664069</v>
      </c>
      <c r="H847" s="29">
        <v>22.55</v>
      </c>
      <c r="I847" s="142">
        <v>-56.89</v>
      </c>
      <c r="J847" s="29">
        <v>14.87</v>
      </c>
      <c r="K847" s="29">
        <v>14.36</v>
      </c>
      <c r="L847" s="29">
        <v>25.63</v>
      </c>
      <c r="M847" s="368"/>
      <c r="N847" s="368"/>
      <c r="O847" s="271">
        <f>IFERROR(Table17[[#This Row],[PROFIT]]/Table17[[#This Row],[TO]],0)</f>
        <v>0</v>
      </c>
      <c r="P847" s="177"/>
      <c r="Q847" s="177"/>
      <c r="R847" s="177"/>
    </row>
    <row r="848" spans="1:18" ht="30" hidden="1" x14ac:dyDescent="0.25">
      <c r="A848" s="29" t="s">
        <v>5132</v>
      </c>
      <c r="B848" s="29" t="s">
        <v>5131</v>
      </c>
      <c r="C848" s="29" t="s">
        <v>11732</v>
      </c>
      <c r="D848" s="29" t="str">
        <f>VLOOKUP(C:C,'COUNT-CONT'!B:C,2,FALSE)</f>
        <v>North America</v>
      </c>
      <c r="E848" s="29">
        <v>9</v>
      </c>
      <c r="F848" s="28">
        <v>3522</v>
      </c>
      <c r="G848" s="28">
        <v>5658322544</v>
      </c>
      <c r="H848" s="29">
        <v>22.52</v>
      </c>
      <c r="I848" s="142">
        <v>-56.92</v>
      </c>
      <c r="J848" s="29">
        <v>18.350000000000001</v>
      </c>
      <c r="K848" s="29">
        <v>18.350000000000001</v>
      </c>
      <c r="L848" s="29">
        <v>29.63</v>
      </c>
      <c r="M848" s="368"/>
      <c r="N848" s="368"/>
      <c r="O848" s="271">
        <f>IFERROR(Table17[[#This Row],[PROFIT]]/Table17[[#This Row],[TO]],0)</f>
        <v>0</v>
      </c>
      <c r="P848" s="177"/>
      <c r="Q848" s="177"/>
      <c r="R848" s="177"/>
    </row>
    <row r="849" spans="1:18" hidden="1" x14ac:dyDescent="0.25">
      <c r="A849" s="29" t="s">
        <v>3753</v>
      </c>
      <c r="B849" s="29" t="s">
        <v>3752</v>
      </c>
      <c r="C849" s="29" t="s">
        <v>700</v>
      </c>
      <c r="D849" s="29" t="str">
        <f>VLOOKUP(C:C,'COUNT-CONT'!B:C,2,FALSE)</f>
        <v>Asia</v>
      </c>
      <c r="E849" s="29">
        <v>9</v>
      </c>
      <c r="F849" s="28">
        <v>3100</v>
      </c>
      <c r="G849" s="28">
        <v>3883738709</v>
      </c>
      <c r="H849" s="29">
        <v>22.52</v>
      </c>
      <c r="I849" s="142">
        <v>-56.92</v>
      </c>
      <c r="J849" s="29">
        <v>6.92</v>
      </c>
      <c r="K849" s="29">
        <v>5.2</v>
      </c>
      <c r="L849" s="29">
        <v>17.32</v>
      </c>
      <c r="M849" s="368"/>
      <c r="N849" s="368"/>
      <c r="O849" s="271">
        <f>IFERROR(Table17[[#This Row],[PROFIT]]/Table17[[#This Row],[TO]],0)</f>
        <v>0</v>
      </c>
      <c r="P849" s="177"/>
      <c r="Q849" s="177"/>
      <c r="R849" s="177"/>
    </row>
    <row r="850" spans="1:18" hidden="1" x14ac:dyDescent="0.25">
      <c r="A850" s="29" t="s">
        <v>4187</v>
      </c>
      <c r="B850" s="29" t="s">
        <v>4186</v>
      </c>
      <c r="C850" s="29" t="s">
        <v>659</v>
      </c>
      <c r="D850" s="29" t="str">
        <f>VLOOKUP(C:C,'COUNT-CONT'!B:C,2,FALSE)</f>
        <v>Europe</v>
      </c>
      <c r="E850" s="29">
        <v>9</v>
      </c>
      <c r="F850" s="28">
        <v>3305</v>
      </c>
      <c r="G850" s="28">
        <v>4231829046</v>
      </c>
      <c r="H850" s="29">
        <v>22.52</v>
      </c>
      <c r="I850" s="142">
        <v>-56.92</v>
      </c>
      <c r="J850" s="29">
        <v>9.64</v>
      </c>
      <c r="K850" s="29">
        <v>8.0399999999999991</v>
      </c>
      <c r="L850" s="29">
        <v>20.13</v>
      </c>
      <c r="M850" s="368"/>
      <c r="N850" s="368"/>
      <c r="O850" s="271">
        <f>IFERROR(Table17[[#This Row],[PROFIT]]/Table17[[#This Row],[TO]],0)</f>
        <v>0</v>
      </c>
      <c r="P850" s="177"/>
      <c r="Q850" s="177"/>
      <c r="R850" s="177"/>
    </row>
    <row r="851" spans="1:18" ht="30" hidden="1" x14ac:dyDescent="0.25">
      <c r="A851" s="29" t="s">
        <v>5135</v>
      </c>
      <c r="B851" s="29" t="s">
        <v>5134</v>
      </c>
      <c r="C851" s="29" t="s">
        <v>11732</v>
      </c>
      <c r="D851" s="29" t="str">
        <f>VLOOKUP(C:C,'COUNT-CONT'!B:C,2,FALSE)</f>
        <v>North America</v>
      </c>
      <c r="E851" s="29">
        <v>9</v>
      </c>
      <c r="F851" s="28">
        <v>3523</v>
      </c>
      <c r="G851" s="28">
        <v>5659833891</v>
      </c>
      <c r="H851" s="29">
        <v>22.52</v>
      </c>
      <c r="I851" s="142">
        <v>-56.92</v>
      </c>
      <c r="J851" s="29">
        <v>18.38</v>
      </c>
      <c r="K851" s="29">
        <v>18.38</v>
      </c>
      <c r="L851" s="29">
        <v>29.66</v>
      </c>
      <c r="M851" s="368"/>
      <c r="N851" s="368"/>
      <c r="O851" s="271">
        <f>IFERROR(Table17[[#This Row],[PROFIT]]/Table17[[#This Row],[TO]],0)</f>
        <v>0</v>
      </c>
      <c r="P851" s="177"/>
      <c r="Q851" s="177"/>
      <c r="R851" s="177"/>
    </row>
    <row r="852" spans="1:18" ht="30" hidden="1" x14ac:dyDescent="0.25">
      <c r="A852" s="29" t="s">
        <v>4078</v>
      </c>
      <c r="B852" s="29" t="s">
        <v>4077</v>
      </c>
      <c r="C852" s="29" t="s">
        <v>505</v>
      </c>
      <c r="D852" s="29" t="e">
        <f>VLOOKUP(C:C,'COUNT-CONT'!B:C,2,FALSE)</f>
        <v>#N/A</v>
      </c>
      <c r="E852" s="29">
        <v>8</v>
      </c>
      <c r="F852" s="28">
        <v>2997</v>
      </c>
      <c r="G852" s="28">
        <v>4131233700</v>
      </c>
      <c r="H852" s="29">
        <v>22.52</v>
      </c>
      <c r="I852" s="142">
        <v>-56.92</v>
      </c>
      <c r="J852" s="29">
        <v>8.92</v>
      </c>
      <c r="K852" s="29">
        <v>7.77</v>
      </c>
      <c r="L852" s="29">
        <v>19.440000000000001</v>
      </c>
      <c r="M852" s="368"/>
      <c r="N852" s="368"/>
      <c r="O852" s="271">
        <f>IFERROR(Table17[[#This Row],[PROFIT]]/Table17[[#This Row],[TO]],0)</f>
        <v>0</v>
      </c>
      <c r="P852" s="177"/>
      <c r="Q852" s="177"/>
      <c r="R852" s="177"/>
    </row>
    <row r="853" spans="1:18" ht="30" hidden="1" x14ac:dyDescent="0.25">
      <c r="A853" s="29" t="s">
        <v>299</v>
      </c>
      <c r="B853" s="29" t="s">
        <v>4736</v>
      </c>
      <c r="C853" s="29" t="s">
        <v>308</v>
      </c>
      <c r="D853" s="29" t="str">
        <f>VLOOKUP(C:C,'COUNT-CONT'!B:C,2,FALSE)</f>
        <v>Europe</v>
      </c>
      <c r="E853" s="29">
        <v>10</v>
      </c>
      <c r="F853" s="28">
        <v>3552</v>
      </c>
      <c r="G853" s="28">
        <v>4882984684</v>
      </c>
      <c r="H853" s="29">
        <v>22.49</v>
      </c>
      <c r="I853" s="142">
        <v>-56.95</v>
      </c>
      <c r="J853" s="29">
        <v>13.69</v>
      </c>
      <c r="K853" s="29">
        <v>13.18</v>
      </c>
      <c r="L853" s="29">
        <v>24.46</v>
      </c>
      <c r="M853" s="368"/>
      <c r="N853" s="368"/>
      <c r="O853" s="271">
        <f>IFERROR(Table17[[#This Row],[PROFIT]]/Table17[[#This Row],[TO]],0)</f>
        <v>0</v>
      </c>
      <c r="P853" s="177"/>
      <c r="Q853" s="177"/>
      <c r="R853" s="177"/>
    </row>
    <row r="854" spans="1:18" ht="30" hidden="1" x14ac:dyDescent="0.25">
      <c r="A854" s="29" t="s">
        <v>4833</v>
      </c>
      <c r="B854" s="29" t="s">
        <v>4832</v>
      </c>
      <c r="C854" s="29" t="s">
        <v>514</v>
      </c>
      <c r="D854" s="29" t="str">
        <f>VLOOKUP(C:C,'COUNT-CONT'!B:C,2,FALSE)</f>
        <v>North America</v>
      </c>
      <c r="E854" s="29">
        <v>5</v>
      </c>
      <c r="F854" s="28">
        <v>2334</v>
      </c>
      <c r="G854" s="28">
        <v>5075293916</v>
      </c>
      <c r="H854" s="29">
        <v>22.49</v>
      </c>
      <c r="I854" s="142">
        <v>-56.95</v>
      </c>
      <c r="J854" s="29">
        <v>14.81</v>
      </c>
      <c r="K854" s="29">
        <v>14.3</v>
      </c>
      <c r="L854" s="29">
        <v>25.54</v>
      </c>
      <c r="M854" s="368"/>
      <c r="N854" s="368"/>
      <c r="O854" s="271">
        <f>IFERROR(Table17[[#This Row],[PROFIT]]/Table17[[#This Row],[TO]],0)</f>
        <v>0</v>
      </c>
      <c r="P854" s="177"/>
      <c r="Q854" s="177"/>
      <c r="R854" s="177"/>
    </row>
    <row r="855" spans="1:18" hidden="1" x14ac:dyDescent="0.25">
      <c r="A855" s="29" t="s">
        <v>4023</v>
      </c>
      <c r="B855" s="29" t="s">
        <v>4022</v>
      </c>
      <c r="C855" s="29" t="s">
        <v>14</v>
      </c>
      <c r="D855" s="29" t="str">
        <f>VLOOKUP(C:C,'COUNT-CONT'!B:C,2,FALSE)</f>
        <v>Asia</v>
      </c>
      <c r="E855" s="29">
        <v>6</v>
      </c>
      <c r="F855" s="28">
        <v>2463</v>
      </c>
      <c r="G855" s="28">
        <v>4106609825</v>
      </c>
      <c r="H855" s="29">
        <v>22.46</v>
      </c>
      <c r="I855" s="142">
        <v>-56.98</v>
      </c>
      <c r="J855" s="29">
        <v>8.74</v>
      </c>
      <c r="K855" s="29">
        <v>7.22</v>
      </c>
      <c r="L855" s="29">
        <v>19.04</v>
      </c>
      <c r="M855" s="368"/>
      <c r="N855" s="368"/>
      <c r="O855" s="271">
        <f>IFERROR(Table17[[#This Row],[PROFIT]]/Table17[[#This Row],[TO]],0)</f>
        <v>0</v>
      </c>
      <c r="P855" s="177"/>
      <c r="Q855" s="177"/>
      <c r="R855" s="177"/>
    </row>
    <row r="856" spans="1:18" hidden="1" x14ac:dyDescent="0.25">
      <c r="A856" s="29" t="s">
        <v>4021</v>
      </c>
      <c r="B856" s="29" t="s">
        <v>4020</v>
      </c>
      <c r="C856" s="29" t="s">
        <v>14</v>
      </c>
      <c r="D856" s="29" t="str">
        <f>VLOOKUP(C:C,'COUNT-CONT'!B:C,2,FALSE)</f>
        <v>Asia</v>
      </c>
      <c r="E856" s="29">
        <v>5</v>
      </c>
      <c r="F856" s="28">
        <v>2155</v>
      </c>
      <c r="G856" s="28">
        <v>4140440835</v>
      </c>
      <c r="H856" s="29">
        <v>22.46</v>
      </c>
      <c r="I856" s="142">
        <v>-56.98</v>
      </c>
      <c r="J856" s="29">
        <v>8.74</v>
      </c>
      <c r="K856" s="29">
        <v>7.22</v>
      </c>
      <c r="L856" s="29">
        <v>19.04</v>
      </c>
      <c r="M856" s="368"/>
      <c r="N856" s="368"/>
      <c r="O856" s="271">
        <f>IFERROR(Table17[[#This Row],[PROFIT]]/Table17[[#This Row],[TO]],0)</f>
        <v>0</v>
      </c>
      <c r="P856" s="177"/>
      <c r="Q856" s="177"/>
      <c r="R856" s="177"/>
    </row>
    <row r="857" spans="1:18" ht="30" hidden="1" x14ac:dyDescent="0.25">
      <c r="A857" s="29" t="s">
        <v>3688</v>
      </c>
      <c r="B857" s="29" t="s">
        <v>3687</v>
      </c>
      <c r="C857" s="29" t="s">
        <v>2293</v>
      </c>
      <c r="D857" s="29" t="str">
        <f>VLOOKUP(C:C,'COUNT-CONT'!B:C,2,FALSE)</f>
        <v>South America</v>
      </c>
      <c r="E857" s="29">
        <v>6</v>
      </c>
      <c r="F857" s="28">
        <v>2450</v>
      </c>
      <c r="G857" s="28">
        <v>3947779591</v>
      </c>
      <c r="H857" s="29">
        <v>22.46</v>
      </c>
      <c r="I857" s="142">
        <v>-56.98</v>
      </c>
      <c r="J857" s="29">
        <v>6.8</v>
      </c>
      <c r="K857" s="29">
        <v>5.08</v>
      </c>
      <c r="L857" s="29">
        <v>17.02</v>
      </c>
      <c r="M857" s="368"/>
      <c r="N857" s="368"/>
      <c r="O857" s="271">
        <f>IFERROR(Table17[[#This Row],[PROFIT]]/Table17[[#This Row],[TO]],0)</f>
        <v>0</v>
      </c>
      <c r="P857" s="177"/>
      <c r="Q857" s="177"/>
      <c r="R857" s="177"/>
    </row>
    <row r="858" spans="1:18" x14ac:dyDescent="0.25">
      <c r="A858" s="29" t="s">
        <v>4673</v>
      </c>
      <c r="B858" s="29" t="s">
        <v>4672</v>
      </c>
      <c r="C858" s="29" t="s">
        <v>774</v>
      </c>
      <c r="D858" s="29" t="str">
        <f>VLOOKUP(C:C,'COUNT-CONT'!B:C,2,FALSE)</f>
        <v>Oceania</v>
      </c>
      <c r="E858" s="29">
        <v>6</v>
      </c>
      <c r="F858" s="28">
        <v>2610</v>
      </c>
      <c r="G858" s="28">
        <v>4833055938</v>
      </c>
      <c r="H858" s="29">
        <v>22.46</v>
      </c>
      <c r="I858" s="142">
        <v>-56.98</v>
      </c>
      <c r="J858" s="29">
        <v>13.36</v>
      </c>
      <c r="K858" s="29">
        <v>12.42</v>
      </c>
      <c r="L858" s="29">
        <v>23.88</v>
      </c>
      <c r="M858" s="368"/>
      <c r="N858" s="368"/>
      <c r="O858" s="271">
        <f>IFERROR(Table17[[#This Row],[PROFIT]]/Table17[[#This Row],[TO]],0)</f>
        <v>0</v>
      </c>
      <c r="P858" s="177"/>
      <c r="Q858" s="177"/>
      <c r="R858" s="177"/>
    </row>
    <row r="859" spans="1:18" x14ac:dyDescent="0.25">
      <c r="A859" s="29" t="s">
        <v>4126</v>
      </c>
      <c r="B859" s="29" t="s">
        <v>4125</v>
      </c>
      <c r="C859" s="29" t="s">
        <v>730</v>
      </c>
      <c r="D859" s="29" t="str">
        <f>VLOOKUP(C:C,'COUNT-CONT'!B:C,2,FALSE)</f>
        <v>Oceania</v>
      </c>
      <c r="E859" s="29">
        <v>4</v>
      </c>
      <c r="F859" s="28">
        <v>1959</v>
      </c>
      <c r="G859" s="28">
        <v>4394710974</v>
      </c>
      <c r="H859" s="29">
        <v>22.46</v>
      </c>
      <c r="I859" s="142">
        <v>-56.98</v>
      </c>
      <c r="J859" s="29">
        <v>9.43</v>
      </c>
      <c r="K859" s="29">
        <v>7.86</v>
      </c>
      <c r="L859" s="29">
        <v>19.71</v>
      </c>
      <c r="M859" s="368"/>
      <c r="N859" s="368"/>
      <c r="O859" s="271">
        <f>IFERROR(Table17[[#This Row],[PROFIT]]/Table17[[#This Row],[TO]],0)</f>
        <v>0</v>
      </c>
      <c r="P859" s="177"/>
      <c r="Q859" s="177"/>
      <c r="R859" s="177"/>
    </row>
    <row r="860" spans="1:18" hidden="1" x14ac:dyDescent="0.25">
      <c r="A860" s="29" t="s">
        <v>3078</v>
      </c>
      <c r="B860" s="29" t="s">
        <v>3077</v>
      </c>
      <c r="C860" s="29" t="s">
        <v>1289</v>
      </c>
      <c r="D860" s="29" t="str">
        <f>VLOOKUP(C:C,'COUNT-CONT'!B:C,2,FALSE)</f>
        <v>Asia</v>
      </c>
      <c r="E860" s="29">
        <v>9</v>
      </c>
      <c r="F860" s="28">
        <v>3027</v>
      </c>
      <c r="G860" s="28">
        <v>3649096101</v>
      </c>
      <c r="H860" s="29">
        <v>22.46</v>
      </c>
      <c r="I860" s="142">
        <v>-56.98</v>
      </c>
      <c r="J860" s="29">
        <v>4.29</v>
      </c>
      <c r="K860" s="29">
        <v>2.2999999999999998</v>
      </c>
      <c r="L860" s="29">
        <v>14.39</v>
      </c>
      <c r="M860" s="368"/>
      <c r="N860" s="368"/>
      <c r="O860" s="271">
        <f>IFERROR(Table17[[#This Row],[PROFIT]]/Table17[[#This Row],[TO]],0)</f>
        <v>0</v>
      </c>
      <c r="P860" s="177"/>
      <c r="Q860" s="177"/>
      <c r="R860" s="177"/>
    </row>
    <row r="861" spans="1:18" ht="30" hidden="1" x14ac:dyDescent="0.25">
      <c r="A861" s="29" t="s">
        <v>3618</v>
      </c>
      <c r="B861" s="29" t="s">
        <v>3617</v>
      </c>
      <c r="C861" s="29" t="s">
        <v>3616</v>
      </c>
      <c r="D861" s="29" t="str">
        <f>VLOOKUP(C:C,'COUNT-CONT'!B:C,2,FALSE)</f>
        <v>Africa</v>
      </c>
      <c r="E861" s="29">
        <v>8</v>
      </c>
      <c r="F861" s="28">
        <v>3017</v>
      </c>
      <c r="G861" s="28">
        <v>3806200596</v>
      </c>
      <c r="H861" s="29">
        <v>22.46</v>
      </c>
      <c r="I861" s="142">
        <v>-56.98</v>
      </c>
      <c r="J861" s="29">
        <v>6.35</v>
      </c>
      <c r="K861" s="29">
        <v>4.6900000000000004</v>
      </c>
      <c r="L861" s="29">
        <v>16.75</v>
      </c>
      <c r="M861" s="368"/>
      <c r="N861" s="368"/>
      <c r="O861" s="271">
        <f>IFERROR(Table17[[#This Row],[PROFIT]]/Table17[[#This Row],[TO]],0)</f>
        <v>0</v>
      </c>
      <c r="P861" s="177"/>
      <c r="Q861" s="177"/>
      <c r="R861" s="177"/>
    </row>
    <row r="862" spans="1:18" hidden="1" x14ac:dyDescent="0.25">
      <c r="A862" s="29" t="s">
        <v>4545</v>
      </c>
      <c r="B862" s="29" t="s">
        <v>4544</v>
      </c>
      <c r="C862" s="29" t="s">
        <v>585</v>
      </c>
      <c r="D862" s="29" t="str">
        <f>VLOOKUP(C:C,'COUNT-CONT'!B:C,2,FALSE)</f>
        <v>Europe</v>
      </c>
      <c r="E862" s="29">
        <v>10</v>
      </c>
      <c r="F862" s="28">
        <v>3532</v>
      </c>
      <c r="G862" s="28">
        <v>4673838278</v>
      </c>
      <c r="H862" s="29">
        <v>22.37</v>
      </c>
      <c r="I862" s="142">
        <v>-57.069999999999993</v>
      </c>
      <c r="J862" s="29">
        <v>12.3</v>
      </c>
      <c r="K862" s="29">
        <v>11.4</v>
      </c>
      <c r="L862" s="29">
        <v>22.82</v>
      </c>
      <c r="M862" s="368"/>
      <c r="N862" s="368"/>
      <c r="O862" s="271">
        <f>IFERROR(Table17[[#This Row],[PROFIT]]/Table17[[#This Row],[TO]],0)</f>
        <v>0</v>
      </c>
      <c r="P862" s="177"/>
      <c r="Q862" s="177"/>
      <c r="R862" s="177"/>
    </row>
    <row r="863" spans="1:18" x14ac:dyDescent="0.25">
      <c r="A863" s="29" t="s">
        <v>4655</v>
      </c>
      <c r="B863" s="29" t="s">
        <v>4654</v>
      </c>
      <c r="C863" s="29" t="s">
        <v>774</v>
      </c>
      <c r="D863" s="29" t="str">
        <f>VLOOKUP(C:C,'COUNT-CONT'!B:C,2,FALSE)</f>
        <v>Oceania</v>
      </c>
      <c r="E863" s="29">
        <v>4</v>
      </c>
      <c r="F863" s="28">
        <v>2105</v>
      </c>
      <c r="G863" s="28">
        <v>4876065320</v>
      </c>
      <c r="H863" s="29">
        <v>22.37</v>
      </c>
      <c r="I863" s="142">
        <v>-57.069999999999993</v>
      </c>
      <c r="J863" s="29">
        <v>13.33</v>
      </c>
      <c r="K863" s="29">
        <v>12.36</v>
      </c>
      <c r="L863" s="29">
        <v>23.79</v>
      </c>
      <c r="M863" s="368"/>
      <c r="N863" s="368"/>
      <c r="O863" s="271">
        <f>IFERROR(Table17[[#This Row],[PROFIT]]/Table17[[#This Row],[TO]],0)</f>
        <v>0</v>
      </c>
      <c r="P863" s="177"/>
      <c r="Q863" s="177"/>
      <c r="R863" s="177"/>
    </row>
    <row r="864" spans="1:18" ht="30" hidden="1" x14ac:dyDescent="0.25">
      <c r="A864" s="29" t="s">
        <v>4017</v>
      </c>
      <c r="B864" s="29" t="s">
        <v>4016</v>
      </c>
      <c r="C864" s="29" t="s">
        <v>505</v>
      </c>
      <c r="D864" s="29" t="e">
        <f>VLOOKUP(C:C,'COUNT-CONT'!B:C,2,FALSE)</f>
        <v>#N/A</v>
      </c>
      <c r="E864" s="29">
        <v>8</v>
      </c>
      <c r="F864" s="28">
        <v>3078</v>
      </c>
      <c r="G864" s="28">
        <v>4067774918</v>
      </c>
      <c r="H864" s="29">
        <v>22.37</v>
      </c>
      <c r="I864" s="142">
        <v>-57.069999999999993</v>
      </c>
      <c r="J864" s="29">
        <v>8.7100000000000009</v>
      </c>
      <c r="K864" s="29">
        <v>7.19</v>
      </c>
      <c r="L864" s="29">
        <v>18.95</v>
      </c>
      <c r="M864" s="368"/>
      <c r="N864" s="368"/>
      <c r="O864" s="271">
        <f>IFERROR(Table17[[#This Row],[PROFIT]]/Table17[[#This Row],[TO]],0)</f>
        <v>0</v>
      </c>
      <c r="P864" s="177"/>
      <c r="Q864" s="177"/>
      <c r="R864" s="177"/>
    </row>
    <row r="865" spans="1:18" hidden="1" x14ac:dyDescent="0.25">
      <c r="A865" s="29" t="s">
        <v>4215</v>
      </c>
      <c r="B865" s="29" t="s">
        <v>4214</v>
      </c>
      <c r="C865" s="29" t="s">
        <v>258</v>
      </c>
      <c r="D865" s="29" t="str">
        <f>VLOOKUP(C:C,'COUNT-CONT'!B:C,2,FALSE)</f>
        <v>Asia</v>
      </c>
      <c r="E865" s="29">
        <v>5</v>
      </c>
      <c r="F865" s="28">
        <v>2172</v>
      </c>
      <c r="G865" s="28">
        <v>4379445672</v>
      </c>
      <c r="H865" s="29">
        <v>22.34</v>
      </c>
      <c r="I865" s="142">
        <v>-57.099999999999994</v>
      </c>
      <c r="J865" s="29">
        <v>9.73</v>
      </c>
      <c r="K865" s="29">
        <v>8.52</v>
      </c>
      <c r="L865" s="29">
        <v>20.309999999999999</v>
      </c>
      <c r="M865" s="368"/>
      <c r="N865" s="368"/>
      <c r="O865" s="271">
        <f>IFERROR(Table17[[#This Row],[PROFIT]]/Table17[[#This Row],[TO]],0)</f>
        <v>0</v>
      </c>
      <c r="P865" s="177"/>
      <c r="Q865" s="177"/>
      <c r="R865" s="177"/>
    </row>
    <row r="866" spans="1:18" ht="30" hidden="1" x14ac:dyDescent="0.25">
      <c r="A866" s="29" t="s">
        <v>3889</v>
      </c>
      <c r="B866" s="29" t="s">
        <v>3888</v>
      </c>
      <c r="C866" s="29" t="s">
        <v>2791</v>
      </c>
      <c r="D866" s="29" t="str">
        <f>VLOOKUP(C:C,'COUNT-CONT'!B:C,2,FALSE)</f>
        <v>North America</v>
      </c>
      <c r="E866" s="29">
        <v>8</v>
      </c>
      <c r="F866" s="28">
        <v>3015</v>
      </c>
      <c r="G866" s="28">
        <v>3977342454</v>
      </c>
      <c r="H866" s="29">
        <v>22.28</v>
      </c>
      <c r="I866" s="142">
        <v>-57.16</v>
      </c>
      <c r="J866" s="29">
        <v>8.01</v>
      </c>
      <c r="K866" s="29">
        <v>6.56</v>
      </c>
      <c r="L866" s="29">
        <v>18.260000000000002</v>
      </c>
      <c r="M866" s="368"/>
      <c r="N866" s="368"/>
      <c r="O866" s="271">
        <f>IFERROR(Table17[[#This Row],[PROFIT]]/Table17[[#This Row],[TO]],0)</f>
        <v>0</v>
      </c>
      <c r="P866" s="177"/>
      <c r="Q866" s="177"/>
      <c r="R866" s="177"/>
    </row>
    <row r="867" spans="1:18" ht="30" hidden="1" x14ac:dyDescent="0.25">
      <c r="A867" s="29" t="s">
        <v>4712</v>
      </c>
      <c r="B867" s="29" t="s">
        <v>4711</v>
      </c>
      <c r="C867" s="29" t="s">
        <v>1427</v>
      </c>
      <c r="D867" s="29" t="str">
        <f>VLOOKUP(C:C,'COUNT-CONT'!B:C,2,FALSE)</f>
        <v>Europe</v>
      </c>
      <c r="E867" s="29">
        <v>6</v>
      </c>
      <c r="F867" s="28">
        <v>2587</v>
      </c>
      <c r="G867" s="28">
        <v>4865202937</v>
      </c>
      <c r="H867" s="29">
        <v>22.28</v>
      </c>
      <c r="I867" s="142">
        <v>-57.16</v>
      </c>
      <c r="J867" s="29">
        <v>13.57</v>
      </c>
      <c r="K867" s="29">
        <v>12.61</v>
      </c>
      <c r="L867" s="29">
        <v>24.24</v>
      </c>
      <c r="M867" s="368"/>
      <c r="N867" s="368"/>
      <c r="O867" s="271">
        <f>IFERROR(Table17[[#This Row],[PROFIT]]/Table17[[#This Row],[TO]],0)</f>
        <v>0</v>
      </c>
      <c r="P867" s="177"/>
      <c r="Q867" s="177"/>
      <c r="R867" s="177"/>
    </row>
    <row r="868" spans="1:18" hidden="1" x14ac:dyDescent="0.25">
      <c r="A868" s="29" t="s">
        <v>61</v>
      </c>
      <c r="B868" s="29" t="s">
        <v>4044</v>
      </c>
      <c r="C868" s="29" t="s">
        <v>709</v>
      </c>
      <c r="D868" s="29" t="str">
        <f>VLOOKUP(C:C,'COUNT-CONT'!B:C,2,FALSE)</f>
        <v>Asia</v>
      </c>
      <c r="E868" s="29">
        <v>8</v>
      </c>
      <c r="F868" s="28">
        <v>2876</v>
      </c>
      <c r="G868" s="28">
        <v>4101675660</v>
      </c>
      <c r="H868" s="29">
        <v>22.25</v>
      </c>
      <c r="I868" s="142">
        <v>-57.19</v>
      </c>
      <c r="J868" s="29">
        <v>8.83</v>
      </c>
      <c r="K868" s="29">
        <v>7.29</v>
      </c>
      <c r="L868" s="29">
        <v>19.2</v>
      </c>
      <c r="M868" s="368"/>
      <c r="N868" s="368"/>
      <c r="O868" s="271">
        <f>IFERROR(Table17[[#This Row],[PROFIT]]/Table17[[#This Row],[TO]],0)</f>
        <v>0</v>
      </c>
      <c r="P868" s="177"/>
      <c r="Q868" s="177"/>
      <c r="R868" s="177"/>
    </row>
    <row r="869" spans="1:18" ht="30" x14ac:dyDescent="0.25">
      <c r="A869" s="29" t="s">
        <v>3786</v>
      </c>
      <c r="B869" s="29" t="s">
        <v>3785</v>
      </c>
      <c r="C869" s="29" t="s">
        <v>523</v>
      </c>
      <c r="D869" s="29" t="str">
        <f>VLOOKUP(C:C,'COUNT-CONT'!B:C,2,FALSE)</f>
        <v>Oceania</v>
      </c>
      <c r="E869" s="29">
        <v>1</v>
      </c>
      <c r="F869" s="28">
        <v>1274</v>
      </c>
      <c r="G869" s="28">
        <v>4252822291</v>
      </c>
      <c r="H869" s="29">
        <v>22.22</v>
      </c>
      <c r="I869" s="142">
        <v>-57.22</v>
      </c>
      <c r="J869" s="29">
        <v>7.41</v>
      </c>
      <c r="K869" s="29">
        <v>5.62</v>
      </c>
      <c r="L869" s="29">
        <v>17.62</v>
      </c>
      <c r="M869" s="368"/>
      <c r="N869" s="368"/>
      <c r="O869" s="271">
        <f>IFERROR(Table17[[#This Row],[PROFIT]]/Table17[[#This Row],[TO]],0)</f>
        <v>0</v>
      </c>
      <c r="P869" s="177"/>
      <c r="Q869" s="177"/>
      <c r="R869" s="177"/>
    </row>
    <row r="870" spans="1:18" hidden="1" x14ac:dyDescent="0.25">
      <c r="A870" s="29" t="s">
        <v>4150</v>
      </c>
      <c r="B870" s="29" t="s">
        <v>4149</v>
      </c>
      <c r="C870" s="29" t="s">
        <v>605</v>
      </c>
      <c r="D870" s="29" t="str">
        <f>VLOOKUP(C:C,'COUNT-CONT'!B:C,2,FALSE)</f>
        <v>Europe</v>
      </c>
      <c r="E870" s="29">
        <v>5</v>
      </c>
      <c r="F870" s="28">
        <v>2217</v>
      </c>
      <c r="G870" s="28">
        <v>4373365990</v>
      </c>
      <c r="H870" s="29">
        <v>22.22</v>
      </c>
      <c r="I870" s="142">
        <v>-57.22</v>
      </c>
      <c r="J870" s="29">
        <v>9.52</v>
      </c>
      <c r="K870" s="29">
        <v>8.31</v>
      </c>
      <c r="L870" s="29">
        <v>19.86</v>
      </c>
      <c r="M870" s="368"/>
      <c r="N870" s="368"/>
      <c r="O870" s="271">
        <f>IFERROR(Table17[[#This Row],[PROFIT]]/Table17[[#This Row],[TO]],0)</f>
        <v>0</v>
      </c>
      <c r="P870" s="177"/>
      <c r="Q870" s="177"/>
      <c r="R870" s="177"/>
    </row>
    <row r="871" spans="1:18" hidden="1" x14ac:dyDescent="0.25">
      <c r="A871" s="29" t="s">
        <v>3876</v>
      </c>
      <c r="B871" s="29" t="s">
        <v>3875</v>
      </c>
      <c r="C871" s="29" t="s">
        <v>78</v>
      </c>
      <c r="D871" s="29" t="str">
        <f>VLOOKUP(C:C,'COUNT-CONT'!B:C,2,FALSE)</f>
        <v>Europe</v>
      </c>
      <c r="E871" s="29">
        <v>10</v>
      </c>
      <c r="F871" s="28">
        <v>3505</v>
      </c>
      <c r="G871" s="28">
        <v>3966437375</v>
      </c>
      <c r="H871" s="29">
        <v>22.22</v>
      </c>
      <c r="I871" s="142">
        <v>-57.22</v>
      </c>
      <c r="J871" s="29">
        <v>8.01</v>
      </c>
      <c r="K871" s="29">
        <v>6.53</v>
      </c>
      <c r="L871" s="29">
        <v>18.2</v>
      </c>
      <c r="M871" s="368"/>
      <c r="N871" s="368"/>
      <c r="O871" s="271">
        <f>IFERROR(Table17[[#This Row],[PROFIT]]/Table17[[#This Row],[TO]],0)</f>
        <v>0</v>
      </c>
      <c r="P871" s="177"/>
      <c r="Q871" s="177"/>
      <c r="R871" s="177"/>
    </row>
    <row r="872" spans="1:18" hidden="1" x14ac:dyDescent="0.25">
      <c r="A872" s="29" t="s">
        <v>4142</v>
      </c>
      <c r="B872" s="29" t="s">
        <v>4141</v>
      </c>
      <c r="C872" s="29" t="s">
        <v>605</v>
      </c>
      <c r="D872" s="29" t="str">
        <f>VLOOKUP(C:C,'COUNT-CONT'!B:C,2,FALSE)</f>
        <v>Europe</v>
      </c>
      <c r="E872" s="29">
        <v>8</v>
      </c>
      <c r="F872" s="28">
        <v>2901</v>
      </c>
      <c r="G872" s="28">
        <v>4314879593</v>
      </c>
      <c r="H872" s="29">
        <v>22.16</v>
      </c>
      <c r="I872" s="142">
        <v>-57.28</v>
      </c>
      <c r="J872" s="29">
        <v>9.49</v>
      </c>
      <c r="K872" s="29">
        <v>8.31</v>
      </c>
      <c r="L872" s="29">
        <v>19.8</v>
      </c>
      <c r="M872" s="368"/>
      <c r="N872" s="368"/>
      <c r="O872" s="271">
        <f>IFERROR(Table17[[#This Row],[PROFIT]]/Table17[[#This Row],[TO]],0)</f>
        <v>0</v>
      </c>
      <c r="P872" s="177"/>
      <c r="Q872" s="177"/>
      <c r="R872" s="177"/>
    </row>
    <row r="873" spans="1:18" hidden="1" x14ac:dyDescent="0.25">
      <c r="A873" s="29" t="s">
        <v>3968</v>
      </c>
      <c r="B873" s="29" t="s">
        <v>3967</v>
      </c>
      <c r="C873" s="29" t="s">
        <v>14</v>
      </c>
      <c r="D873" s="29" t="str">
        <f>VLOOKUP(C:C,'COUNT-CONT'!B:C,2,FALSE)</f>
        <v>Asia</v>
      </c>
      <c r="E873" s="29">
        <v>6</v>
      </c>
      <c r="F873" s="28">
        <v>2357</v>
      </c>
      <c r="G873" s="28">
        <v>4083094951</v>
      </c>
      <c r="H873" s="29">
        <v>22.16</v>
      </c>
      <c r="I873" s="142">
        <v>-57.28</v>
      </c>
      <c r="J873" s="29">
        <v>8.6199999999999992</v>
      </c>
      <c r="K873" s="29">
        <v>7.13</v>
      </c>
      <c r="L873" s="29">
        <v>18.77</v>
      </c>
      <c r="M873" s="368"/>
      <c r="N873" s="368"/>
      <c r="O873" s="271">
        <f>IFERROR(Table17[[#This Row],[PROFIT]]/Table17[[#This Row],[TO]],0)</f>
        <v>0</v>
      </c>
      <c r="P873" s="177"/>
      <c r="Q873" s="177"/>
      <c r="R873" s="177"/>
    </row>
    <row r="874" spans="1:18" ht="30" hidden="1" x14ac:dyDescent="0.25">
      <c r="A874" s="29" t="s">
        <v>5101</v>
      </c>
      <c r="B874" s="29" t="s">
        <v>5100</v>
      </c>
      <c r="C874" s="29" t="s">
        <v>11732</v>
      </c>
      <c r="D874" s="29" t="str">
        <f>VLOOKUP(C:C,'COUNT-CONT'!B:C,2,FALSE)</f>
        <v>North America</v>
      </c>
      <c r="E874" s="29">
        <v>7</v>
      </c>
      <c r="F874" s="28">
        <v>2966</v>
      </c>
      <c r="G874" s="28">
        <v>5600769858</v>
      </c>
      <c r="H874" s="29">
        <v>22.1</v>
      </c>
      <c r="I874" s="142">
        <v>-57.339999999999996</v>
      </c>
      <c r="J874" s="29">
        <v>18.05</v>
      </c>
      <c r="K874" s="29">
        <v>18.05</v>
      </c>
      <c r="L874" s="29">
        <v>29.11</v>
      </c>
      <c r="M874" s="368"/>
      <c r="N874" s="368"/>
      <c r="O874" s="271">
        <f>IFERROR(Table17[[#This Row],[PROFIT]]/Table17[[#This Row],[TO]],0)</f>
        <v>0</v>
      </c>
      <c r="P874" s="177"/>
      <c r="Q874" s="177"/>
      <c r="R874" s="177"/>
    </row>
    <row r="875" spans="1:18" ht="30" hidden="1" x14ac:dyDescent="0.25">
      <c r="A875" s="29" t="s">
        <v>3693</v>
      </c>
      <c r="B875" s="29" t="s">
        <v>3692</v>
      </c>
      <c r="C875" s="29" t="s">
        <v>493</v>
      </c>
      <c r="D875" s="29" t="str">
        <f>VLOOKUP(C:C,'COUNT-CONT'!B:C,2,FALSE)</f>
        <v>Africa</v>
      </c>
      <c r="E875" s="29">
        <v>8</v>
      </c>
      <c r="F875" s="28">
        <v>2500</v>
      </c>
      <c r="G875" s="28">
        <v>3906200000</v>
      </c>
      <c r="H875" s="29">
        <v>22.1</v>
      </c>
      <c r="I875" s="142">
        <v>-57.339999999999996</v>
      </c>
      <c r="J875" s="29">
        <v>7.13</v>
      </c>
      <c r="K875" s="29">
        <v>5.08</v>
      </c>
      <c r="L875" s="29">
        <v>17.02</v>
      </c>
      <c r="M875" s="368"/>
      <c r="N875" s="368"/>
      <c r="O875" s="271">
        <f>IFERROR(Table17[[#This Row],[PROFIT]]/Table17[[#This Row],[TO]],0)</f>
        <v>0</v>
      </c>
      <c r="P875" s="177"/>
      <c r="Q875" s="177"/>
      <c r="R875" s="177"/>
    </row>
    <row r="876" spans="1:18" hidden="1" x14ac:dyDescent="0.25">
      <c r="A876" s="29" t="s">
        <v>3699</v>
      </c>
      <c r="B876" s="29" t="s">
        <v>3698</v>
      </c>
      <c r="C876" s="29" t="s">
        <v>700</v>
      </c>
      <c r="D876" s="29" t="str">
        <f>VLOOKUP(C:C,'COUNT-CONT'!B:C,2,FALSE)</f>
        <v>Asia</v>
      </c>
      <c r="E876" s="29">
        <v>10</v>
      </c>
      <c r="F876" s="28">
        <v>3406</v>
      </c>
      <c r="G876" s="28">
        <v>3839159483</v>
      </c>
      <c r="H876" s="29">
        <v>22.1</v>
      </c>
      <c r="I876" s="142">
        <v>-57.339999999999996</v>
      </c>
      <c r="J876" s="29">
        <v>6.8</v>
      </c>
      <c r="K876" s="29">
        <v>5.08</v>
      </c>
      <c r="L876" s="29">
        <v>17.02</v>
      </c>
      <c r="M876" s="368"/>
      <c r="N876" s="368"/>
      <c r="O876" s="271">
        <f>IFERROR(Table17[[#This Row],[PROFIT]]/Table17[[#This Row],[TO]],0)</f>
        <v>0</v>
      </c>
      <c r="P876" s="177"/>
      <c r="Q876" s="177"/>
      <c r="R876" s="177"/>
    </row>
    <row r="877" spans="1:18" hidden="1" x14ac:dyDescent="0.25">
      <c r="A877" s="29" t="s">
        <v>2614</v>
      </c>
      <c r="B877" s="29" t="s">
        <v>2613</v>
      </c>
      <c r="C877" s="29" t="s">
        <v>2612</v>
      </c>
      <c r="D877" s="29" t="str">
        <f>VLOOKUP(C:C,'COUNT-CONT'!B:C,2,FALSE)</f>
        <v>Africa</v>
      </c>
      <c r="E877" s="29">
        <v>10</v>
      </c>
      <c r="F877" s="28">
        <v>3617</v>
      </c>
      <c r="G877" s="28">
        <v>3625719435</v>
      </c>
      <c r="H877" s="29">
        <v>22.07</v>
      </c>
      <c r="I877" s="142">
        <v>-57.37</v>
      </c>
      <c r="J877" s="29">
        <v>2.21</v>
      </c>
      <c r="K877" s="29">
        <v>0.48</v>
      </c>
      <c r="L877" s="29">
        <v>12.39</v>
      </c>
      <c r="M877" s="368"/>
      <c r="N877" s="368"/>
      <c r="O877" s="271">
        <f>IFERROR(Table17[[#This Row],[PROFIT]]/Table17[[#This Row],[TO]],0)</f>
        <v>0</v>
      </c>
      <c r="P877" s="177"/>
      <c r="Q877" s="177"/>
      <c r="R877" s="177"/>
    </row>
    <row r="878" spans="1:18" hidden="1" x14ac:dyDescent="0.25">
      <c r="A878" s="29" t="s">
        <v>4568</v>
      </c>
      <c r="B878" s="29" t="s">
        <v>4567</v>
      </c>
      <c r="C878" s="29" t="s">
        <v>3915</v>
      </c>
      <c r="D878" s="29" t="str">
        <f>VLOOKUP(C:C,'COUNT-CONT'!B:C,2,FALSE)</f>
        <v>Europe</v>
      </c>
      <c r="E878" s="29">
        <v>8</v>
      </c>
      <c r="F878" s="28">
        <v>3168</v>
      </c>
      <c r="G878" s="28">
        <v>4697022222</v>
      </c>
      <c r="H878" s="29">
        <v>22.07</v>
      </c>
      <c r="I878" s="142">
        <v>-57.37</v>
      </c>
      <c r="J878" s="29">
        <v>12.39</v>
      </c>
      <c r="K878" s="29">
        <v>11.94</v>
      </c>
      <c r="L878" s="29">
        <v>23</v>
      </c>
      <c r="M878" s="368"/>
      <c r="N878" s="368"/>
      <c r="O878" s="271">
        <f>IFERROR(Table17[[#This Row],[PROFIT]]/Table17[[#This Row],[TO]],0)</f>
        <v>0</v>
      </c>
      <c r="P878" s="177"/>
      <c r="Q878" s="177"/>
      <c r="R878" s="177"/>
    </row>
    <row r="879" spans="1:18" ht="30" hidden="1" x14ac:dyDescent="0.25">
      <c r="A879" s="29" t="s">
        <v>4789</v>
      </c>
      <c r="B879" s="29" t="s">
        <v>4788</v>
      </c>
      <c r="C879" s="29" t="s">
        <v>119</v>
      </c>
      <c r="D879" s="29" t="str">
        <f>VLOOKUP(C:C,'COUNT-CONT'!B:C,2,FALSE)</f>
        <v>Europe</v>
      </c>
      <c r="E879" s="29">
        <v>8</v>
      </c>
      <c r="F879" s="28">
        <v>3129</v>
      </c>
      <c r="G879" s="28">
        <v>4964950015</v>
      </c>
      <c r="H879" s="29">
        <v>22.04</v>
      </c>
      <c r="I879" s="142">
        <v>-57.4</v>
      </c>
      <c r="J879" s="29">
        <v>14.54</v>
      </c>
      <c r="K879" s="29">
        <v>14.03</v>
      </c>
      <c r="L879" s="29">
        <v>25.06</v>
      </c>
      <c r="M879" s="368"/>
      <c r="N879" s="368"/>
      <c r="O879" s="271">
        <f>IFERROR(Table17[[#This Row],[PROFIT]]/Table17[[#This Row],[TO]],0)</f>
        <v>0</v>
      </c>
      <c r="P879" s="177"/>
      <c r="Q879" s="177"/>
      <c r="R879" s="177"/>
    </row>
    <row r="880" spans="1:18" hidden="1" x14ac:dyDescent="0.25">
      <c r="A880" s="29" t="s">
        <v>4471</v>
      </c>
      <c r="B880" s="29" t="s">
        <v>4470</v>
      </c>
      <c r="C880" s="29" t="s">
        <v>142</v>
      </c>
      <c r="D880" s="29" t="str">
        <f>VLOOKUP(C:C,'COUNT-CONT'!B:C,2,FALSE)</f>
        <v>Asia</v>
      </c>
      <c r="E880" s="29">
        <v>6</v>
      </c>
      <c r="F880" s="28">
        <v>2618</v>
      </c>
      <c r="G880" s="28">
        <v>4591968067</v>
      </c>
      <c r="H880" s="29">
        <v>22.04</v>
      </c>
      <c r="I880" s="142">
        <v>-57.4</v>
      </c>
      <c r="J880" s="29">
        <v>11.88</v>
      </c>
      <c r="K880" s="29">
        <v>10.55</v>
      </c>
      <c r="L880" s="29">
        <v>22.04</v>
      </c>
      <c r="M880" s="368"/>
      <c r="N880" s="368"/>
      <c r="O880" s="271">
        <f>IFERROR(Table17[[#This Row],[PROFIT]]/Table17[[#This Row],[TO]],0)</f>
        <v>0</v>
      </c>
      <c r="P880" s="177"/>
      <c r="Q880" s="177"/>
      <c r="R880" s="177"/>
    </row>
    <row r="881" spans="1:18" hidden="1" x14ac:dyDescent="0.25">
      <c r="A881" s="29" t="s">
        <v>3858</v>
      </c>
      <c r="B881" s="29" t="s">
        <v>3857</v>
      </c>
      <c r="C881" s="29" t="s">
        <v>717</v>
      </c>
      <c r="D881" s="29" t="str">
        <f>VLOOKUP(C:C,'COUNT-CONT'!B:C,2,FALSE)</f>
        <v>Asia</v>
      </c>
      <c r="E881" s="29">
        <v>4</v>
      </c>
      <c r="F881" s="28">
        <v>2008</v>
      </c>
      <c r="G881" s="28">
        <v>4033208764</v>
      </c>
      <c r="H881" s="29">
        <v>22.01</v>
      </c>
      <c r="I881" s="142">
        <v>-57.429999999999993</v>
      </c>
      <c r="J881" s="29">
        <v>7.92</v>
      </c>
      <c r="K881" s="29">
        <v>6.47</v>
      </c>
      <c r="L881" s="29">
        <v>18.05</v>
      </c>
      <c r="M881" s="368"/>
      <c r="N881" s="368"/>
      <c r="O881" s="271">
        <f>IFERROR(Table17[[#This Row],[PROFIT]]/Table17[[#This Row],[TO]],0)</f>
        <v>0</v>
      </c>
      <c r="P881" s="177"/>
      <c r="Q881" s="177"/>
      <c r="R881" s="177"/>
    </row>
    <row r="882" spans="1:18" ht="30" hidden="1" x14ac:dyDescent="0.25">
      <c r="A882" s="29" t="s">
        <v>5095</v>
      </c>
      <c r="B882" s="29" t="s">
        <v>5094</v>
      </c>
      <c r="C882" s="29" t="s">
        <v>11732</v>
      </c>
      <c r="D882" s="29" t="str">
        <f>VLOOKUP(C:C,'COUNT-CONT'!B:C,2,FALSE)</f>
        <v>North America</v>
      </c>
      <c r="E882" s="29">
        <v>10</v>
      </c>
      <c r="F882" s="28">
        <v>3830</v>
      </c>
      <c r="G882" s="28">
        <v>5575706266</v>
      </c>
      <c r="H882" s="29">
        <v>22.01</v>
      </c>
      <c r="I882" s="142">
        <v>-57.429999999999993</v>
      </c>
      <c r="J882" s="29">
        <v>17.96</v>
      </c>
      <c r="K882" s="29">
        <v>17.96</v>
      </c>
      <c r="L882" s="29">
        <v>28.99</v>
      </c>
      <c r="M882" s="368"/>
      <c r="N882" s="368"/>
      <c r="O882" s="271">
        <f>IFERROR(Table17[[#This Row],[PROFIT]]/Table17[[#This Row],[TO]],0)</f>
        <v>0</v>
      </c>
      <c r="P882" s="177"/>
      <c r="Q882" s="177"/>
      <c r="R882" s="177"/>
    </row>
    <row r="883" spans="1:18" hidden="1" x14ac:dyDescent="0.25">
      <c r="A883" s="29" t="s">
        <v>3856</v>
      </c>
      <c r="B883" s="29" t="s">
        <v>3855</v>
      </c>
      <c r="C883" s="29" t="s">
        <v>567</v>
      </c>
      <c r="D883" s="29" t="str">
        <f>VLOOKUP(C:C,'COUNT-CONT'!B:C,2,FALSE)</f>
        <v>Asia</v>
      </c>
      <c r="E883" s="29">
        <v>7</v>
      </c>
      <c r="F883" s="28">
        <v>2558</v>
      </c>
      <c r="G883" s="28">
        <v>4041123455</v>
      </c>
      <c r="H883" s="29">
        <v>21.98</v>
      </c>
      <c r="I883" s="142">
        <v>-57.459999999999994</v>
      </c>
      <c r="J883" s="29">
        <v>7.92</v>
      </c>
      <c r="K883" s="29">
        <v>6.47</v>
      </c>
      <c r="L883" s="29">
        <v>18.02</v>
      </c>
      <c r="M883" s="368"/>
      <c r="N883" s="368"/>
      <c r="O883" s="271">
        <f>IFERROR(Table17[[#This Row],[PROFIT]]/Table17[[#This Row],[TO]],0)</f>
        <v>0</v>
      </c>
      <c r="P883" s="177"/>
      <c r="Q883" s="177"/>
      <c r="R883" s="177"/>
    </row>
    <row r="884" spans="1:18" ht="30" hidden="1" x14ac:dyDescent="0.25">
      <c r="A884" s="29" t="s">
        <v>3948</v>
      </c>
      <c r="B884" s="29" t="s">
        <v>3947</v>
      </c>
      <c r="C884" s="29" t="s">
        <v>3946</v>
      </c>
      <c r="D884" s="29" t="str">
        <f>VLOOKUP(C:C,'COUNT-CONT'!B:C,2,FALSE)</f>
        <v>North America</v>
      </c>
      <c r="E884" s="29">
        <v>6</v>
      </c>
      <c r="F884" s="28">
        <v>2372</v>
      </c>
      <c r="G884" s="28">
        <v>4105943676</v>
      </c>
      <c r="H884" s="29">
        <v>21.98</v>
      </c>
      <c r="I884" s="142">
        <v>-57.459999999999994</v>
      </c>
      <c r="J884" s="29">
        <v>8.56</v>
      </c>
      <c r="K884" s="29">
        <v>7.07</v>
      </c>
      <c r="L884" s="29">
        <v>18.62</v>
      </c>
      <c r="M884" s="368"/>
      <c r="N884" s="368"/>
      <c r="O884" s="271">
        <f>IFERROR(Table17[[#This Row],[PROFIT]]/Table17[[#This Row],[TO]],0)</f>
        <v>0</v>
      </c>
      <c r="P884" s="177"/>
      <c r="Q884" s="177"/>
      <c r="R884" s="177"/>
    </row>
    <row r="885" spans="1:18" ht="30" hidden="1" x14ac:dyDescent="0.25">
      <c r="A885" s="29" t="s">
        <v>5087</v>
      </c>
      <c r="B885" s="29" t="s">
        <v>5086</v>
      </c>
      <c r="C885" s="29" t="s">
        <v>11732</v>
      </c>
      <c r="D885" s="29" t="str">
        <f>VLOOKUP(C:C,'COUNT-CONT'!B:C,2,FALSE)</f>
        <v>North America</v>
      </c>
      <c r="E885" s="29">
        <v>6</v>
      </c>
      <c r="F885" s="28">
        <v>2797</v>
      </c>
      <c r="G885" s="28">
        <v>5586678512</v>
      </c>
      <c r="H885" s="29">
        <v>21.98</v>
      </c>
      <c r="I885" s="142">
        <v>-57.459999999999994</v>
      </c>
      <c r="J885" s="29">
        <v>17.93</v>
      </c>
      <c r="K885" s="29">
        <v>17.93</v>
      </c>
      <c r="L885" s="29">
        <v>28.93</v>
      </c>
      <c r="M885" s="368"/>
      <c r="N885" s="368"/>
      <c r="O885" s="271">
        <f>IFERROR(Table17[[#This Row],[PROFIT]]/Table17[[#This Row],[TO]],0)</f>
        <v>0</v>
      </c>
      <c r="P885" s="177"/>
      <c r="Q885" s="177"/>
      <c r="R885" s="177"/>
    </row>
    <row r="886" spans="1:18" ht="30" hidden="1" x14ac:dyDescent="0.25">
      <c r="A886" s="29" t="s">
        <v>4052</v>
      </c>
      <c r="B886" s="29" t="s">
        <v>4051</v>
      </c>
      <c r="C886" s="29" t="s">
        <v>4050</v>
      </c>
      <c r="D886" s="29" t="str">
        <f>VLOOKUP(C:C,'COUNT-CONT'!B:C,2,FALSE)</f>
        <v>South America</v>
      </c>
      <c r="E886" s="29">
        <v>9</v>
      </c>
      <c r="F886" s="28">
        <v>3289</v>
      </c>
      <c r="G886" s="28">
        <v>4104848161</v>
      </c>
      <c r="H886" s="29">
        <v>21.95</v>
      </c>
      <c r="I886" s="142">
        <v>-57.489999999999995</v>
      </c>
      <c r="J886" s="29">
        <v>9.25</v>
      </c>
      <c r="K886" s="29">
        <v>7.71</v>
      </c>
      <c r="L886" s="29">
        <v>19.260000000000002</v>
      </c>
      <c r="M886" s="368"/>
      <c r="N886" s="368"/>
      <c r="O886" s="271">
        <f>IFERROR(Table17[[#This Row],[PROFIT]]/Table17[[#This Row],[TO]],0)</f>
        <v>0</v>
      </c>
      <c r="P886" s="177"/>
      <c r="Q886" s="177"/>
      <c r="R886" s="177"/>
    </row>
    <row r="887" spans="1:18" ht="30" hidden="1" x14ac:dyDescent="0.25">
      <c r="A887" s="29" t="s">
        <v>2800</v>
      </c>
      <c r="B887" s="29" t="s">
        <v>2799</v>
      </c>
      <c r="C887" s="29" t="s">
        <v>2798</v>
      </c>
      <c r="D887" s="29" t="str">
        <f>VLOOKUP(C:C,'COUNT-CONT'!B:C,2,FALSE)</f>
        <v>Asia</v>
      </c>
      <c r="E887" s="29">
        <v>4</v>
      </c>
      <c r="F887" s="28">
        <v>1861</v>
      </c>
      <c r="G887" s="28">
        <v>3681480064</v>
      </c>
      <c r="H887" s="29">
        <v>21.95</v>
      </c>
      <c r="I887" s="142">
        <v>-57.489999999999995</v>
      </c>
      <c r="J887" s="29">
        <v>3.42</v>
      </c>
      <c r="K887" s="29">
        <v>1.3</v>
      </c>
      <c r="L887" s="29">
        <v>13.21</v>
      </c>
      <c r="M887" s="368"/>
      <c r="N887" s="368"/>
      <c r="O887" s="271">
        <f>IFERROR(Table17[[#This Row],[PROFIT]]/Table17[[#This Row],[TO]],0)</f>
        <v>0</v>
      </c>
      <c r="P887" s="177"/>
      <c r="Q887" s="177"/>
      <c r="R887" s="177"/>
    </row>
    <row r="888" spans="1:18" hidden="1" x14ac:dyDescent="0.25">
      <c r="A888" s="29" t="s">
        <v>2657</v>
      </c>
      <c r="B888" s="29" t="s">
        <v>2656</v>
      </c>
      <c r="C888" s="29" t="s">
        <v>1531</v>
      </c>
      <c r="D888" s="29" t="str">
        <f>VLOOKUP(C:C,'COUNT-CONT'!B:C,2,FALSE)</f>
        <v>Africa</v>
      </c>
      <c r="E888" s="29">
        <v>4</v>
      </c>
      <c r="F888" s="28">
        <v>1809</v>
      </c>
      <c r="G888" s="28">
        <v>3718470757</v>
      </c>
      <c r="H888" s="29">
        <v>21.95</v>
      </c>
      <c r="I888" s="142">
        <v>-57.489999999999995</v>
      </c>
      <c r="J888" s="29">
        <v>2.75</v>
      </c>
      <c r="K888" s="29">
        <v>0.76</v>
      </c>
      <c r="L888" s="29">
        <v>12.61</v>
      </c>
      <c r="M888" s="368"/>
      <c r="N888" s="368"/>
      <c r="O888" s="271">
        <f>IFERROR(Table17[[#This Row],[PROFIT]]/Table17[[#This Row],[TO]],0)</f>
        <v>0</v>
      </c>
      <c r="P888" s="177"/>
      <c r="Q888" s="177"/>
      <c r="R888" s="177"/>
    </row>
    <row r="889" spans="1:18" hidden="1" x14ac:dyDescent="0.25">
      <c r="A889" s="29" t="s">
        <v>4661</v>
      </c>
      <c r="B889" s="29" t="s">
        <v>4660</v>
      </c>
      <c r="C889" s="29" t="s">
        <v>1427</v>
      </c>
      <c r="D889" s="29" t="str">
        <f>VLOOKUP(C:C,'COUNT-CONT'!B:C,2,FALSE)</f>
        <v>Europe</v>
      </c>
      <c r="E889" s="29">
        <v>10</v>
      </c>
      <c r="F889" s="28">
        <v>3511</v>
      </c>
      <c r="G889" s="28">
        <v>4782101053</v>
      </c>
      <c r="H889" s="29">
        <v>21.89</v>
      </c>
      <c r="I889" s="142">
        <v>-57.55</v>
      </c>
      <c r="J889" s="29">
        <v>13.3</v>
      </c>
      <c r="K889" s="29">
        <v>12.36</v>
      </c>
      <c r="L889" s="29">
        <v>23.79</v>
      </c>
      <c r="M889" s="368"/>
      <c r="N889" s="368"/>
      <c r="O889" s="271">
        <f>IFERROR(Table17[[#This Row],[PROFIT]]/Table17[[#This Row],[TO]],0)</f>
        <v>0</v>
      </c>
      <c r="P889" s="177"/>
      <c r="Q889" s="177"/>
      <c r="R889" s="177"/>
    </row>
    <row r="890" spans="1:18" hidden="1" x14ac:dyDescent="0.25">
      <c r="A890" s="29" t="s">
        <v>2907</v>
      </c>
      <c r="B890" s="29" t="s">
        <v>2906</v>
      </c>
      <c r="C890" s="29" t="s">
        <v>2059</v>
      </c>
      <c r="D890" s="29" t="str">
        <f>VLOOKUP(C:C,'COUNT-CONT'!B:C,2,FALSE)</f>
        <v>Africa</v>
      </c>
      <c r="E890" s="29">
        <v>8</v>
      </c>
      <c r="F890" s="28">
        <v>3021</v>
      </c>
      <c r="G890" s="28">
        <v>3553717841</v>
      </c>
      <c r="H890" s="29">
        <v>21.89</v>
      </c>
      <c r="I890" s="142">
        <v>-57.55</v>
      </c>
      <c r="J890" s="29">
        <v>3.81</v>
      </c>
      <c r="K890" s="29">
        <v>1.63</v>
      </c>
      <c r="L890" s="29">
        <v>13.66</v>
      </c>
      <c r="M890" s="368"/>
      <c r="N890" s="368"/>
      <c r="O890" s="271">
        <f>IFERROR(Table17[[#This Row],[PROFIT]]/Table17[[#This Row],[TO]],0)</f>
        <v>0</v>
      </c>
      <c r="P890" s="177"/>
      <c r="Q890" s="177"/>
      <c r="R890" s="177"/>
    </row>
    <row r="891" spans="1:18" ht="30" hidden="1" x14ac:dyDescent="0.25">
      <c r="A891" s="29" t="s">
        <v>3595</v>
      </c>
      <c r="B891" s="29" t="s">
        <v>3594</v>
      </c>
      <c r="C891" s="29" t="s">
        <v>2293</v>
      </c>
      <c r="D891" s="29" t="str">
        <f>VLOOKUP(C:C,'COUNT-CONT'!B:C,2,FALSE)</f>
        <v>South America</v>
      </c>
      <c r="E891" s="29">
        <v>8</v>
      </c>
      <c r="F891" s="28">
        <v>2903</v>
      </c>
      <c r="G891" s="28">
        <v>3866718360</v>
      </c>
      <c r="H891" s="29">
        <v>21.89</v>
      </c>
      <c r="I891" s="142">
        <v>-57.55</v>
      </c>
      <c r="J891" s="29">
        <v>6.62</v>
      </c>
      <c r="K891" s="29">
        <v>4.96</v>
      </c>
      <c r="L891" s="29">
        <v>16.600000000000001</v>
      </c>
      <c r="M891" s="368"/>
      <c r="N891" s="368"/>
      <c r="O891" s="271">
        <f>IFERROR(Table17[[#This Row],[PROFIT]]/Table17[[#This Row],[TO]],0)</f>
        <v>0</v>
      </c>
      <c r="P891" s="177"/>
      <c r="Q891" s="177"/>
      <c r="R891" s="177"/>
    </row>
    <row r="892" spans="1:18" ht="30" hidden="1" x14ac:dyDescent="0.25">
      <c r="A892" s="29" t="s">
        <v>4659</v>
      </c>
      <c r="B892" s="29" t="s">
        <v>4658</v>
      </c>
      <c r="C892" s="29" t="s">
        <v>3204</v>
      </c>
      <c r="D892" s="29" t="str">
        <f>VLOOKUP(C:C,'COUNT-CONT'!B:C,2,FALSE)</f>
        <v>Europe</v>
      </c>
      <c r="E892" s="29">
        <v>6</v>
      </c>
      <c r="F892" s="28">
        <v>2404</v>
      </c>
      <c r="G892" s="28">
        <v>4835770715</v>
      </c>
      <c r="H892" s="29">
        <v>21.89</v>
      </c>
      <c r="I892" s="142">
        <v>-57.55</v>
      </c>
      <c r="J892" s="29">
        <v>13.3</v>
      </c>
      <c r="K892" s="29">
        <v>12.82</v>
      </c>
      <c r="L892" s="29">
        <v>23.79</v>
      </c>
      <c r="M892" s="368"/>
      <c r="N892" s="368"/>
      <c r="O892" s="271">
        <f>IFERROR(Table17[[#This Row],[PROFIT]]/Table17[[#This Row],[TO]],0)</f>
        <v>0</v>
      </c>
      <c r="P892" s="177"/>
      <c r="Q892" s="177"/>
      <c r="R892" s="177"/>
    </row>
    <row r="893" spans="1:18" x14ac:dyDescent="0.25">
      <c r="A893" s="29" t="s">
        <v>3708</v>
      </c>
      <c r="B893" s="29" t="s">
        <v>3707</v>
      </c>
      <c r="C893" s="29" t="s">
        <v>3706</v>
      </c>
      <c r="D893" s="29" t="str">
        <f>VLOOKUP(C:C,'COUNT-CONT'!B:C,2,FALSE)</f>
        <v>Oceania</v>
      </c>
      <c r="E893" s="29">
        <v>8</v>
      </c>
      <c r="F893" s="28">
        <v>3051</v>
      </c>
      <c r="G893" s="28">
        <v>3836337528</v>
      </c>
      <c r="H893" s="29">
        <v>21.86</v>
      </c>
      <c r="I893" s="142">
        <v>-57.58</v>
      </c>
      <c r="J893" s="29">
        <v>7.16</v>
      </c>
      <c r="K893" s="29">
        <v>5.44</v>
      </c>
      <c r="L893" s="29">
        <v>17.079999999999998</v>
      </c>
      <c r="M893" s="368"/>
      <c r="N893" s="368"/>
      <c r="O893" s="271">
        <f>IFERROR(Table17[[#This Row],[PROFIT]]/Table17[[#This Row],[TO]],0)</f>
        <v>0</v>
      </c>
      <c r="P893" s="177"/>
      <c r="Q893" s="177"/>
      <c r="R893" s="177"/>
    </row>
    <row r="894" spans="1:18" ht="30" hidden="1" x14ac:dyDescent="0.25">
      <c r="A894" s="29" t="s">
        <v>5074</v>
      </c>
      <c r="B894" s="29" t="s">
        <v>5073</v>
      </c>
      <c r="C894" s="29" t="s">
        <v>11732</v>
      </c>
      <c r="D894" s="29" t="str">
        <f>VLOOKUP(C:C,'COUNT-CONT'!B:C,2,FALSE)</f>
        <v>North America</v>
      </c>
      <c r="E894" s="29">
        <v>10</v>
      </c>
      <c r="F894" s="28">
        <v>3780</v>
      </c>
      <c r="G894" s="28">
        <v>5547605291</v>
      </c>
      <c r="H894" s="29">
        <v>21.86</v>
      </c>
      <c r="I894" s="142">
        <v>-57.58</v>
      </c>
      <c r="J894" s="29">
        <v>17.84</v>
      </c>
      <c r="K894" s="29">
        <v>17.84</v>
      </c>
      <c r="L894" s="29">
        <v>28.78</v>
      </c>
      <c r="M894" s="368"/>
      <c r="N894" s="368"/>
      <c r="O894" s="271">
        <f>IFERROR(Table17[[#This Row],[PROFIT]]/Table17[[#This Row],[TO]],0)</f>
        <v>0</v>
      </c>
      <c r="P894" s="177"/>
      <c r="Q894" s="177"/>
      <c r="R894" s="177"/>
    </row>
    <row r="895" spans="1:18" hidden="1" x14ac:dyDescent="0.25">
      <c r="A895" s="29" t="s">
        <v>4531</v>
      </c>
      <c r="B895" s="29" t="s">
        <v>4530</v>
      </c>
      <c r="C895" s="29" t="s">
        <v>3915</v>
      </c>
      <c r="D895" s="29" t="str">
        <f>VLOOKUP(C:C,'COUNT-CONT'!B:C,2,FALSE)</f>
        <v>Europe</v>
      </c>
      <c r="E895" s="29">
        <v>4</v>
      </c>
      <c r="F895" s="28">
        <v>2108</v>
      </c>
      <c r="G895" s="28">
        <v>4741221631</v>
      </c>
      <c r="H895" s="29">
        <v>21.86</v>
      </c>
      <c r="I895" s="142">
        <v>-57.58</v>
      </c>
      <c r="J895" s="29">
        <v>12.27</v>
      </c>
      <c r="K895" s="29">
        <v>11.82</v>
      </c>
      <c r="L895" s="29">
        <v>22.76</v>
      </c>
      <c r="M895" s="368"/>
      <c r="N895" s="368"/>
      <c r="O895" s="271">
        <f>IFERROR(Table17[[#This Row],[PROFIT]]/Table17[[#This Row],[TO]],0)</f>
        <v>0</v>
      </c>
      <c r="P895" s="177"/>
      <c r="Q895" s="177"/>
      <c r="R895" s="177"/>
    </row>
    <row r="896" spans="1:18" hidden="1" x14ac:dyDescent="0.25">
      <c r="A896" s="29" t="s">
        <v>3640</v>
      </c>
      <c r="B896" s="29" t="s">
        <v>3639</v>
      </c>
      <c r="C896" s="29" t="s">
        <v>700</v>
      </c>
      <c r="D896" s="29" t="str">
        <f>VLOOKUP(C:C,'COUNT-CONT'!B:C,2,FALSE)</f>
        <v>Asia</v>
      </c>
      <c r="E896" s="29">
        <v>10</v>
      </c>
      <c r="F896" s="28">
        <v>3556</v>
      </c>
      <c r="G896" s="28">
        <v>3814936332</v>
      </c>
      <c r="H896" s="29">
        <v>21.86</v>
      </c>
      <c r="I896" s="142">
        <v>-57.58</v>
      </c>
      <c r="J896" s="29">
        <v>6.71</v>
      </c>
      <c r="K896" s="29">
        <v>5.0199999999999996</v>
      </c>
      <c r="L896" s="29">
        <v>16.809999999999999</v>
      </c>
      <c r="M896" s="368"/>
      <c r="N896" s="368"/>
      <c r="O896" s="271">
        <f>IFERROR(Table17[[#This Row],[PROFIT]]/Table17[[#This Row],[TO]],0)</f>
        <v>0</v>
      </c>
      <c r="P896" s="177"/>
      <c r="Q896" s="177"/>
      <c r="R896" s="177"/>
    </row>
    <row r="897" spans="1:18" x14ac:dyDescent="0.25">
      <c r="A897" s="29" t="s">
        <v>4603</v>
      </c>
      <c r="B897" s="29" t="s">
        <v>4602</v>
      </c>
      <c r="C897" s="29" t="s">
        <v>774</v>
      </c>
      <c r="D897" s="29" t="str">
        <f>VLOOKUP(C:C,'COUNT-CONT'!B:C,2,FALSE)</f>
        <v>Oceania</v>
      </c>
      <c r="E897" s="29">
        <v>4</v>
      </c>
      <c r="F897" s="28">
        <v>2085</v>
      </c>
      <c r="G897" s="28">
        <v>4805877937</v>
      </c>
      <c r="H897" s="29">
        <v>21.83</v>
      </c>
      <c r="I897" s="142">
        <v>-57.61</v>
      </c>
      <c r="J897" s="29">
        <v>13</v>
      </c>
      <c r="K897" s="29">
        <v>12.06</v>
      </c>
      <c r="L897" s="29">
        <v>23.25</v>
      </c>
      <c r="M897" s="368"/>
      <c r="N897" s="368"/>
      <c r="O897" s="271">
        <f>IFERROR(Table17[[#This Row],[PROFIT]]/Table17[[#This Row],[TO]],0)</f>
        <v>0</v>
      </c>
      <c r="P897" s="177"/>
      <c r="Q897" s="177"/>
      <c r="R897" s="177"/>
    </row>
    <row r="898" spans="1:18" ht="30" hidden="1" x14ac:dyDescent="0.25">
      <c r="A898" s="29" t="s">
        <v>4766</v>
      </c>
      <c r="B898" s="29" t="s">
        <v>4765</v>
      </c>
      <c r="C898" s="29" t="s">
        <v>514</v>
      </c>
      <c r="D898" s="29" t="str">
        <f>VLOOKUP(C:C,'COUNT-CONT'!B:C,2,FALSE)</f>
        <v>North America</v>
      </c>
      <c r="E898" s="29">
        <v>7</v>
      </c>
      <c r="F898" s="28">
        <v>2959</v>
      </c>
      <c r="G898" s="28">
        <v>4938147211</v>
      </c>
      <c r="H898" s="29">
        <v>21.83</v>
      </c>
      <c r="I898" s="142">
        <v>-57.61</v>
      </c>
      <c r="J898" s="29">
        <v>14.39</v>
      </c>
      <c r="K898" s="29">
        <v>13.91</v>
      </c>
      <c r="L898" s="29">
        <v>24.82</v>
      </c>
      <c r="M898" s="368"/>
      <c r="N898" s="368"/>
      <c r="O898" s="271">
        <f>IFERROR(Table17[[#This Row],[PROFIT]]/Table17[[#This Row],[TO]],0)</f>
        <v>0</v>
      </c>
      <c r="P898" s="177"/>
      <c r="Q898" s="177"/>
      <c r="R898" s="177"/>
    </row>
    <row r="899" spans="1:18" ht="30" hidden="1" x14ac:dyDescent="0.25">
      <c r="A899" s="29" t="s">
        <v>5066</v>
      </c>
      <c r="B899" s="29" t="s">
        <v>5065</v>
      </c>
      <c r="C899" s="29" t="s">
        <v>11732</v>
      </c>
      <c r="D899" s="29" t="str">
        <f>VLOOKUP(C:C,'COUNT-CONT'!B:C,2,FALSE)</f>
        <v>North America</v>
      </c>
      <c r="E899" s="29">
        <v>4</v>
      </c>
      <c r="F899" s="28">
        <v>2251</v>
      </c>
      <c r="G899" s="28">
        <v>5601571701</v>
      </c>
      <c r="H899" s="29">
        <v>21.8</v>
      </c>
      <c r="I899" s="142">
        <v>-57.64</v>
      </c>
      <c r="J899" s="29">
        <v>17.78</v>
      </c>
      <c r="K899" s="29">
        <v>17.78</v>
      </c>
      <c r="L899" s="29">
        <v>28.69</v>
      </c>
      <c r="M899" s="368"/>
      <c r="N899" s="368"/>
      <c r="O899" s="271">
        <f>IFERROR(Table17[[#This Row],[PROFIT]]/Table17[[#This Row],[TO]],0)</f>
        <v>0</v>
      </c>
      <c r="P899" s="177"/>
      <c r="Q899" s="177"/>
      <c r="R899" s="177"/>
    </row>
    <row r="900" spans="1:18" ht="30" hidden="1" x14ac:dyDescent="0.25">
      <c r="A900" s="29" t="s">
        <v>4429</v>
      </c>
      <c r="B900" s="29" t="s">
        <v>4428</v>
      </c>
      <c r="C900" s="29" t="s">
        <v>4427</v>
      </c>
      <c r="D900" s="29" t="str">
        <f>VLOOKUP(C:C,'COUNT-CONT'!B:C,2,FALSE)</f>
        <v>North America</v>
      </c>
      <c r="E900" s="29">
        <v>8</v>
      </c>
      <c r="F900" s="28">
        <v>3109</v>
      </c>
      <c r="G900" s="28">
        <v>4458311514</v>
      </c>
      <c r="H900" s="29">
        <v>21.74</v>
      </c>
      <c r="I900" s="142">
        <v>-57.7</v>
      </c>
      <c r="J900" s="29">
        <v>11.31</v>
      </c>
      <c r="K900" s="29">
        <v>10.43</v>
      </c>
      <c r="L900" s="29">
        <v>21.74</v>
      </c>
      <c r="M900" s="368"/>
      <c r="N900" s="368"/>
      <c r="O900" s="271">
        <f>IFERROR(Table17[[#This Row],[PROFIT]]/Table17[[#This Row],[TO]],0)</f>
        <v>0</v>
      </c>
      <c r="P900" s="177"/>
      <c r="Q900" s="177"/>
      <c r="R900" s="177"/>
    </row>
    <row r="901" spans="1:18" hidden="1" x14ac:dyDescent="0.25">
      <c r="A901" s="29" t="s">
        <v>3819</v>
      </c>
      <c r="B901" s="29" t="s">
        <v>3818</v>
      </c>
      <c r="C901" s="29" t="s">
        <v>717</v>
      </c>
      <c r="D901" s="29" t="str">
        <f>VLOOKUP(C:C,'COUNT-CONT'!B:C,2,FALSE)</f>
        <v>Asia</v>
      </c>
      <c r="E901" s="29">
        <v>4</v>
      </c>
      <c r="F901" s="28">
        <v>1908</v>
      </c>
      <c r="G901" s="28">
        <v>4021919916</v>
      </c>
      <c r="H901" s="29">
        <v>21.74</v>
      </c>
      <c r="I901" s="142">
        <v>-57.7</v>
      </c>
      <c r="J901" s="29">
        <v>7.83</v>
      </c>
      <c r="K901" s="29">
        <v>6.41</v>
      </c>
      <c r="L901" s="29">
        <v>17.809999999999999</v>
      </c>
      <c r="M901" s="368"/>
      <c r="N901" s="368"/>
      <c r="O901" s="271">
        <f>IFERROR(Table17[[#This Row],[PROFIT]]/Table17[[#This Row],[TO]],0)</f>
        <v>0</v>
      </c>
      <c r="P901" s="177"/>
      <c r="Q901" s="177"/>
      <c r="R901" s="177"/>
    </row>
    <row r="902" spans="1:18" ht="30" hidden="1" x14ac:dyDescent="0.25">
      <c r="A902" s="29" t="s">
        <v>3919</v>
      </c>
      <c r="B902" s="29" t="s">
        <v>3918</v>
      </c>
      <c r="C902" s="29" t="s">
        <v>517</v>
      </c>
      <c r="D902" s="29" t="str">
        <f>VLOOKUP(C:C,'COUNT-CONT'!B:C,2,FALSE)</f>
        <v>South America</v>
      </c>
      <c r="E902" s="29">
        <v>3</v>
      </c>
      <c r="F902" s="28">
        <v>1635</v>
      </c>
      <c r="G902" s="28">
        <v>4167982874</v>
      </c>
      <c r="H902" s="29">
        <v>21.7</v>
      </c>
      <c r="I902" s="142">
        <v>-57.739999999999995</v>
      </c>
      <c r="J902" s="29">
        <v>8.4600000000000009</v>
      </c>
      <c r="K902" s="29">
        <v>6.98</v>
      </c>
      <c r="L902" s="29">
        <v>18.41</v>
      </c>
      <c r="M902" s="368"/>
      <c r="N902" s="368"/>
      <c r="O902" s="271">
        <f>IFERROR(Table17[[#This Row],[PROFIT]]/Table17[[#This Row],[TO]],0)</f>
        <v>0</v>
      </c>
      <c r="P902" s="177"/>
      <c r="Q902" s="177"/>
      <c r="R902" s="177"/>
    </row>
    <row r="903" spans="1:18" ht="30" hidden="1" x14ac:dyDescent="0.25">
      <c r="A903" s="29" t="s">
        <v>3908</v>
      </c>
      <c r="B903" s="29" t="s">
        <v>3907</v>
      </c>
      <c r="C903" s="29" t="s">
        <v>517</v>
      </c>
      <c r="D903" s="29" t="str">
        <f>VLOOKUP(C:C,'COUNT-CONT'!B:C,2,FALSE)</f>
        <v>South America</v>
      </c>
      <c r="E903" s="29">
        <v>1</v>
      </c>
      <c r="F903" s="28">
        <v>1226</v>
      </c>
      <c r="G903" s="28">
        <v>4349226753</v>
      </c>
      <c r="H903" s="29">
        <v>21.67</v>
      </c>
      <c r="I903" s="142">
        <v>-57.769999999999996</v>
      </c>
      <c r="J903" s="29">
        <v>8.43</v>
      </c>
      <c r="K903" s="29">
        <v>6.98</v>
      </c>
      <c r="L903" s="29">
        <v>18.38</v>
      </c>
      <c r="M903" s="368"/>
      <c r="N903" s="368"/>
      <c r="O903" s="271">
        <f>IFERROR(Table17[[#This Row],[PROFIT]]/Table17[[#This Row],[TO]],0)</f>
        <v>0</v>
      </c>
      <c r="P903" s="177"/>
      <c r="Q903" s="177"/>
      <c r="R903" s="177"/>
    </row>
    <row r="904" spans="1:18" ht="30" hidden="1" x14ac:dyDescent="0.25">
      <c r="A904" s="29" t="s">
        <v>3901</v>
      </c>
      <c r="B904" s="29" t="s">
        <v>3900</v>
      </c>
      <c r="C904" s="29" t="s">
        <v>505</v>
      </c>
      <c r="D904" s="29" t="e">
        <f>VLOOKUP(C:C,'COUNT-CONT'!B:C,2,FALSE)</f>
        <v>#N/A</v>
      </c>
      <c r="E904" s="29">
        <v>7</v>
      </c>
      <c r="F904" s="28">
        <v>2608</v>
      </c>
      <c r="G904" s="28">
        <v>4005579141</v>
      </c>
      <c r="H904" s="29">
        <v>21.64</v>
      </c>
      <c r="I904" s="142">
        <v>-57.8</v>
      </c>
      <c r="J904" s="29">
        <v>8.43</v>
      </c>
      <c r="K904" s="29">
        <v>6.95</v>
      </c>
      <c r="L904" s="29">
        <v>18.350000000000001</v>
      </c>
      <c r="M904" s="368"/>
      <c r="N904" s="368"/>
      <c r="O904" s="271">
        <f>IFERROR(Table17[[#This Row],[PROFIT]]/Table17[[#This Row],[TO]],0)</f>
        <v>0</v>
      </c>
      <c r="P904" s="177"/>
      <c r="Q904" s="177"/>
      <c r="R904" s="177"/>
    </row>
    <row r="905" spans="1:18" ht="30" x14ac:dyDescent="0.25">
      <c r="A905" s="29" t="s">
        <v>3412</v>
      </c>
      <c r="B905" s="29" t="s">
        <v>3411</v>
      </c>
      <c r="C905" s="29" t="s">
        <v>3410</v>
      </c>
      <c r="D905" s="29" t="str">
        <f>VLOOKUP(C:C,'COUNT-CONT'!B:C,2,FALSE)</f>
        <v>Oceania</v>
      </c>
      <c r="E905" s="29">
        <v>5</v>
      </c>
      <c r="F905" s="28">
        <v>2297</v>
      </c>
      <c r="G905" s="28">
        <v>3677685502</v>
      </c>
      <c r="H905" s="29">
        <v>21.64</v>
      </c>
      <c r="I905" s="142">
        <v>-57.8</v>
      </c>
      <c r="J905" s="29">
        <v>5.96</v>
      </c>
      <c r="K905" s="29">
        <v>4.05</v>
      </c>
      <c r="L905" s="29">
        <v>15.69</v>
      </c>
      <c r="M905" s="368"/>
      <c r="N905" s="368"/>
      <c r="O905" s="271">
        <f>IFERROR(Table17[[#This Row],[PROFIT]]/Table17[[#This Row],[TO]],0)</f>
        <v>0</v>
      </c>
      <c r="P905" s="177"/>
      <c r="Q905" s="177"/>
      <c r="R905" s="177"/>
    </row>
    <row r="906" spans="1:18" hidden="1" x14ac:dyDescent="0.25">
      <c r="A906" s="29" t="s">
        <v>3813</v>
      </c>
      <c r="B906" s="29" t="s">
        <v>3812</v>
      </c>
      <c r="C906" s="29" t="s">
        <v>78</v>
      </c>
      <c r="D906" s="29" t="str">
        <f>VLOOKUP(C:C,'COUNT-CONT'!B:C,2,FALSE)</f>
        <v>Europe</v>
      </c>
      <c r="E906" s="29">
        <v>7</v>
      </c>
      <c r="F906" s="28">
        <v>2601</v>
      </c>
      <c r="G906" s="28">
        <v>3926714263</v>
      </c>
      <c r="H906" s="29">
        <v>21.64</v>
      </c>
      <c r="I906" s="142">
        <v>-57.8</v>
      </c>
      <c r="J906" s="29">
        <v>7.8</v>
      </c>
      <c r="K906" s="29">
        <v>6.38</v>
      </c>
      <c r="L906" s="29">
        <v>17.739999999999998</v>
      </c>
      <c r="M906" s="368"/>
      <c r="N906" s="368"/>
      <c r="O906" s="271">
        <f>IFERROR(Table17[[#This Row],[PROFIT]]/Table17[[#This Row],[TO]],0)</f>
        <v>0</v>
      </c>
      <c r="P906" s="177"/>
      <c r="Q906" s="177"/>
      <c r="R906" s="177"/>
    </row>
    <row r="907" spans="1:18" hidden="1" x14ac:dyDescent="0.25">
      <c r="A907" s="29" t="s">
        <v>90</v>
      </c>
      <c r="B907" s="29" t="s">
        <v>3902</v>
      </c>
      <c r="C907" s="29" t="s">
        <v>1456</v>
      </c>
      <c r="D907" s="29" t="str">
        <f>VLOOKUP(C:C,'COUNT-CONT'!B:C,2,FALSE)</f>
        <v>Asia</v>
      </c>
      <c r="E907" s="29">
        <v>10</v>
      </c>
      <c r="F907" s="28">
        <v>3416</v>
      </c>
      <c r="G907" s="28">
        <v>3983214051</v>
      </c>
      <c r="H907" s="29">
        <v>21.64</v>
      </c>
      <c r="I907" s="142">
        <v>-57.8</v>
      </c>
      <c r="J907" s="29">
        <v>8.43</v>
      </c>
      <c r="K907" s="29">
        <v>6.95</v>
      </c>
      <c r="L907" s="29">
        <v>18.350000000000001</v>
      </c>
      <c r="M907" s="368"/>
      <c r="N907" s="368"/>
      <c r="O907" s="271">
        <f>IFERROR(Table17[[#This Row],[PROFIT]]/Table17[[#This Row],[TO]],0)</f>
        <v>0</v>
      </c>
      <c r="P907" s="177"/>
      <c r="Q907" s="177"/>
      <c r="R907" s="177"/>
    </row>
    <row r="908" spans="1:18" hidden="1" x14ac:dyDescent="0.25">
      <c r="A908" s="29" t="s">
        <v>3160</v>
      </c>
      <c r="B908" s="29" t="s">
        <v>3159</v>
      </c>
      <c r="C908" s="29" t="s">
        <v>1070</v>
      </c>
      <c r="D908" s="29" t="str">
        <f>VLOOKUP(C:C,'COUNT-CONT'!B:C,2,FALSE)</f>
        <v>Asia</v>
      </c>
      <c r="E908" s="29">
        <v>6</v>
      </c>
      <c r="F908" s="28">
        <v>2308</v>
      </c>
      <c r="G908" s="28">
        <v>3641803119</v>
      </c>
      <c r="H908" s="29">
        <v>21.64</v>
      </c>
      <c r="I908" s="142">
        <v>-57.8</v>
      </c>
      <c r="J908" s="29">
        <v>5.0199999999999996</v>
      </c>
      <c r="K908" s="29">
        <v>3.23</v>
      </c>
      <c r="L908" s="29">
        <v>14.81</v>
      </c>
      <c r="M908" s="368"/>
      <c r="N908" s="368"/>
      <c r="O908" s="271">
        <f>IFERROR(Table17[[#This Row],[PROFIT]]/Table17[[#This Row],[TO]],0)</f>
        <v>0</v>
      </c>
      <c r="P908" s="177"/>
      <c r="Q908" s="177"/>
      <c r="R908" s="177"/>
    </row>
    <row r="909" spans="1:18" ht="30" hidden="1" x14ac:dyDescent="0.25">
      <c r="A909" s="29" t="s">
        <v>3895</v>
      </c>
      <c r="B909" s="29" t="s">
        <v>3894</v>
      </c>
      <c r="C909" s="29" t="s">
        <v>517</v>
      </c>
      <c r="D909" s="29" t="str">
        <f>VLOOKUP(C:C,'COUNT-CONT'!B:C,2,FALSE)</f>
        <v>South America</v>
      </c>
      <c r="E909" s="29">
        <v>6</v>
      </c>
      <c r="F909" s="28">
        <v>2462</v>
      </c>
      <c r="G909" s="28">
        <v>4011791226</v>
      </c>
      <c r="H909" s="29">
        <v>21.61</v>
      </c>
      <c r="I909" s="142">
        <v>-57.83</v>
      </c>
      <c r="J909" s="29">
        <v>8.4</v>
      </c>
      <c r="K909" s="29">
        <v>6.95</v>
      </c>
      <c r="L909" s="29">
        <v>18.32</v>
      </c>
      <c r="M909" s="368"/>
      <c r="N909" s="368"/>
      <c r="O909" s="271">
        <f>IFERROR(Table17[[#This Row],[PROFIT]]/Table17[[#This Row],[TO]],0)</f>
        <v>0</v>
      </c>
      <c r="P909" s="177"/>
      <c r="Q909" s="177"/>
      <c r="R909" s="177"/>
    </row>
    <row r="910" spans="1:18" ht="30" hidden="1" x14ac:dyDescent="0.25">
      <c r="A910" s="29" t="s">
        <v>272</v>
      </c>
      <c r="B910" s="29" t="s">
        <v>3459</v>
      </c>
      <c r="C910" s="29" t="s">
        <v>1261</v>
      </c>
      <c r="D910" s="29" t="str">
        <f>VLOOKUP(C:C,'COUNT-CONT'!B:C,2,FALSE)</f>
        <v>Asia</v>
      </c>
      <c r="E910" s="29">
        <v>8</v>
      </c>
      <c r="F910" s="28">
        <v>3038</v>
      </c>
      <c r="G910" s="28">
        <v>3722880315</v>
      </c>
      <c r="H910" s="29">
        <v>21.58</v>
      </c>
      <c r="I910" s="142">
        <v>-57.86</v>
      </c>
      <c r="J910" s="29">
        <v>6.02</v>
      </c>
      <c r="K910" s="29">
        <v>4.4400000000000004</v>
      </c>
      <c r="L910" s="29">
        <v>15.87</v>
      </c>
      <c r="M910" s="368"/>
      <c r="N910" s="368"/>
      <c r="O910" s="271">
        <f>IFERROR(Table17[[#This Row],[PROFIT]]/Table17[[#This Row],[TO]],0)</f>
        <v>0</v>
      </c>
      <c r="P910" s="177"/>
      <c r="Q910" s="177"/>
      <c r="R910" s="177"/>
    </row>
    <row r="911" spans="1:18" ht="30" hidden="1" x14ac:dyDescent="0.25">
      <c r="A911" s="29" t="s">
        <v>4225</v>
      </c>
      <c r="B911" s="29" t="s">
        <v>4224</v>
      </c>
      <c r="C911" s="29" t="s">
        <v>1858</v>
      </c>
      <c r="D911" s="29" t="str">
        <f>VLOOKUP(C:C,'COUNT-CONT'!B:C,2,FALSE)</f>
        <v>Europe</v>
      </c>
      <c r="E911" s="29">
        <v>6</v>
      </c>
      <c r="F911" s="28">
        <v>2493</v>
      </c>
      <c r="G911" s="28">
        <v>4384835459</v>
      </c>
      <c r="H911" s="29">
        <v>21.58</v>
      </c>
      <c r="I911" s="142">
        <v>-57.86</v>
      </c>
      <c r="J911" s="29">
        <v>10.19</v>
      </c>
      <c r="K911" s="29">
        <v>8.9499999999999993</v>
      </c>
      <c r="L911" s="29">
        <v>20.37</v>
      </c>
      <c r="M911" s="368"/>
      <c r="N911" s="368"/>
      <c r="O911" s="271">
        <f>IFERROR(Table17[[#This Row],[PROFIT]]/Table17[[#This Row],[TO]],0)</f>
        <v>0</v>
      </c>
      <c r="P911" s="177"/>
      <c r="Q911" s="177"/>
      <c r="R911" s="177"/>
    </row>
    <row r="912" spans="1:18" hidden="1" x14ac:dyDescent="0.25">
      <c r="A912" s="29" t="s">
        <v>4740</v>
      </c>
      <c r="B912" s="29" t="s">
        <v>4739</v>
      </c>
      <c r="C912" s="29" t="s">
        <v>119</v>
      </c>
      <c r="D912" s="29" t="str">
        <f>VLOOKUP(C:C,'COUNT-CONT'!B:C,2,FALSE)</f>
        <v>Europe</v>
      </c>
      <c r="E912" s="29">
        <v>6</v>
      </c>
      <c r="F912" s="28">
        <v>2467</v>
      </c>
      <c r="G912" s="28">
        <v>4927285691</v>
      </c>
      <c r="H912" s="29">
        <v>21.58</v>
      </c>
      <c r="I912" s="142">
        <v>-57.86</v>
      </c>
      <c r="J912" s="29">
        <v>14.21</v>
      </c>
      <c r="K912" s="29">
        <v>13.72</v>
      </c>
      <c r="L912" s="29">
        <v>24.52</v>
      </c>
      <c r="M912" s="368"/>
      <c r="N912" s="368"/>
      <c r="O912" s="271">
        <f>IFERROR(Table17[[#This Row],[PROFIT]]/Table17[[#This Row],[TO]],0)</f>
        <v>0</v>
      </c>
      <c r="P912" s="177"/>
      <c r="Q912" s="177"/>
      <c r="R912" s="177"/>
    </row>
    <row r="913" spans="1:18" ht="30" hidden="1" x14ac:dyDescent="0.25">
      <c r="A913" s="29" t="s">
        <v>4627</v>
      </c>
      <c r="B913" s="29" t="s">
        <v>4626</v>
      </c>
      <c r="C913" s="29" t="s">
        <v>83</v>
      </c>
      <c r="D913" s="29" t="str">
        <f>VLOOKUP(C:C,'COUNT-CONT'!B:C,2,FALSE)</f>
        <v>Europe</v>
      </c>
      <c r="E913" s="29">
        <v>6</v>
      </c>
      <c r="F913" s="28">
        <v>2408</v>
      </c>
      <c r="G913" s="28">
        <v>4774710631</v>
      </c>
      <c r="H913" s="29">
        <v>21.55</v>
      </c>
      <c r="I913" s="142">
        <v>-57.89</v>
      </c>
      <c r="J913" s="29">
        <v>13.12</v>
      </c>
      <c r="K913" s="29">
        <v>12.18</v>
      </c>
      <c r="L913" s="29">
        <v>23.43</v>
      </c>
      <c r="M913" s="368"/>
      <c r="N913" s="368"/>
      <c r="O913" s="271">
        <f>IFERROR(Table17[[#This Row],[PROFIT]]/Table17[[#This Row],[TO]],0)</f>
        <v>0</v>
      </c>
      <c r="P913" s="177"/>
      <c r="Q913" s="177"/>
      <c r="R913" s="177"/>
    </row>
    <row r="914" spans="1:18" hidden="1" x14ac:dyDescent="0.25">
      <c r="A914" s="29" t="s">
        <v>4466</v>
      </c>
      <c r="B914" s="29" t="s">
        <v>4465</v>
      </c>
      <c r="C914" s="29" t="s">
        <v>585</v>
      </c>
      <c r="D914" s="29" t="str">
        <f>VLOOKUP(C:C,'COUNT-CONT'!B:C,2,FALSE)</f>
        <v>Europe</v>
      </c>
      <c r="E914" s="29">
        <v>6</v>
      </c>
      <c r="F914" s="28">
        <v>2410</v>
      </c>
      <c r="G914" s="28">
        <v>4605231535</v>
      </c>
      <c r="H914" s="29">
        <v>21.55</v>
      </c>
      <c r="I914" s="142">
        <v>-57.89</v>
      </c>
      <c r="J914" s="29">
        <v>11.88</v>
      </c>
      <c r="K914" s="29">
        <v>11</v>
      </c>
      <c r="L914" s="29">
        <v>22.01</v>
      </c>
      <c r="M914" s="368"/>
      <c r="N914" s="368"/>
      <c r="O914" s="271">
        <f>IFERROR(Table17[[#This Row],[PROFIT]]/Table17[[#This Row],[TO]],0)</f>
        <v>0</v>
      </c>
      <c r="P914" s="177"/>
      <c r="Q914" s="177"/>
      <c r="R914" s="177"/>
    </row>
    <row r="915" spans="1:18" hidden="1" x14ac:dyDescent="0.25">
      <c r="A915" s="29" t="s">
        <v>3703</v>
      </c>
      <c r="B915" s="29" t="s">
        <v>3702</v>
      </c>
      <c r="C915" s="29" t="s">
        <v>533</v>
      </c>
      <c r="D915" s="29" t="str">
        <f>VLOOKUP(C:C,'COUNT-CONT'!B:C,2,FALSE)</f>
        <v>Asia</v>
      </c>
      <c r="E915" s="29">
        <v>6</v>
      </c>
      <c r="F915" s="28">
        <v>2329</v>
      </c>
      <c r="G915" s="28">
        <v>3858905710</v>
      </c>
      <c r="H915" s="29">
        <v>21.49</v>
      </c>
      <c r="I915" s="142">
        <v>-57.95</v>
      </c>
      <c r="J915" s="29">
        <v>7.16</v>
      </c>
      <c r="K915" s="29">
        <v>5.44</v>
      </c>
      <c r="L915" s="29">
        <v>17.05</v>
      </c>
      <c r="M915" s="368"/>
      <c r="N915" s="368"/>
      <c r="O915" s="271">
        <f>IFERROR(Table17[[#This Row],[PROFIT]]/Table17[[#This Row],[TO]],0)</f>
        <v>0</v>
      </c>
      <c r="P915" s="177"/>
      <c r="Q915" s="177"/>
      <c r="R915" s="177"/>
    </row>
    <row r="916" spans="1:18" hidden="1" x14ac:dyDescent="0.25">
      <c r="A916" s="29" t="s">
        <v>4733</v>
      </c>
      <c r="B916" s="29" t="s">
        <v>4732</v>
      </c>
      <c r="C916" s="29" t="s">
        <v>119</v>
      </c>
      <c r="D916" s="29" t="str">
        <f>VLOOKUP(C:C,'COUNT-CONT'!B:C,2,FALSE)</f>
        <v>Europe</v>
      </c>
      <c r="E916" s="29">
        <v>6</v>
      </c>
      <c r="F916" s="28">
        <v>2581</v>
      </c>
      <c r="G916" s="28">
        <v>4904191398</v>
      </c>
      <c r="H916" s="29">
        <v>21.49</v>
      </c>
      <c r="I916" s="142">
        <v>-57.95</v>
      </c>
      <c r="J916" s="29">
        <v>14.15</v>
      </c>
      <c r="K916" s="29">
        <v>13.66</v>
      </c>
      <c r="L916" s="29">
        <v>24.43</v>
      </c>
      <c r="M916" s="368"/>
      <c r="N916" s="368"/>
      <c r="O916" s="271">
        <f>IFERROR(Table17[[#This Row],[PROFIT]]/Table17[[#This Row],[TO]],0)</f>
        <v>0</v>
      </c>
      <c r="P916" s="177"/>
      <c r="Q916" s="177"/>
      <c r="R916" s="177"/>
    </row>
    <row r="917" spans="1:18" hidden="1" x14ac:dyDescent="0.25">
      <c r="A917" s="29" t="s">
        <v>3879</v>
      </c>
      <c r="B917" s="29" t="s">
        <v>3878</v>
      </c>
      <c r="C917" s="29" t="s">
        <v>14</v>
      </c>
      <c r="D917" s="29" t="str">
        <f>VLOOKUP(C:C,'COUNT-CONT'!B:C,2,FALSE)</f>
        <v>Asia</v>
      </c>
      <c r="E917" s="29">
        <v>6</v>
      </c>
      <c r="F917" s="28">
        <v>2351</v>
      </c>
      <c r="G917" s="28">
        <v>4009086005</v>
      </c>
      <c r="H917" s="29">
        <v>21.49</v>
      </c>
      <c r="I917" s="142">
        <v>-57.95</v>
      </c>
      <c r="J917" s="29">
        <v>8.3699999999999992</v>
      </c>
      <c r="K917" s="29">
        <v>6.92</v>
      </c>
      <c r="L917" s="29">
        <v>18.23</v>
      </c>
      <c r="M917" s="368"/>
      <c r="N917" s="368"/>
      <c r="O917" s="271">
        <f>IFERROR(Table17[[#This Row],[PROFIT]]/Table17[[#This Row],[TO]],0)</f>
        <v>0</v>
      </c>
      <c r="P917" s="177"/>
      <c r="Q917" s="177"/>
      <c r="R917" s="177"/>
    </row>
    <row r="918" spans="1:18" ht="30" hidden="1" x14ac:dyDescent="0.25">
      <c r="A918" s="29" t="s">
        <v>2529</v>
      </c>
      <c r="B918" s="29" t="s">
        <v>2528</v>
      </c>
      <c r="C918" s="29" t="s">
        <v>2527</v>
      </c>
      <c r="D918" s="29" t="str">
        <f>VLOOKUP(C:C,'COUNT-CONT'!B:C,2,FALSE)</f>
        <v>Africa</v>
      </c>
      <c r="E918" s="29">
        <v>7</v>
      </c>
      <c r="F918" s="28">
        <v>2762</v>
      </c>
      <c r="G918" s="28">
        <v>3559462128</v>
      </c>
      <c r="H918" s="29">
        <v>21.43</v>
      </c>
      <c r="I918" s="142">
        <v>-58.01</v>
      </c>
      <c r="J918" s="29">
        <v>2.42</v>
      </c>
      <c r="K918" s="29">
        <v>0.73</v>
      </c>
      <c r="L918" s="29">
        <v>12.18</v>
      </c>
      <c r="M918" s="368"/>
      <c r="N918" s="368"/>
      <c r="O918" s="271">
        <f>IFERROR(Table17[[#This Row],[PROFIT]]/Table17[[#This Row],[TO]],0)</f>
        <v>0</v>
      </c>
      <c r="P918" s="177"/>
      <c r="Q918" s="177"/>
      <c r="R918" s="177"/>
    </row>
    <row r="919" spans="1:18" hidden="1" x14ac:dyDescent="0.25">
      <c r="A919" s="29" t="s">
        <v>4385</v>
      </c>
      <c r="B919" s="29" t="s">
        <v>4384</v>
      </c>
      <c r="C919" s="29" t="s">
        <v>142</v>
      </c>
      <c r="D919" s="29" t="str">
        <f>VLOOKUP(C:C,'COUNT-CONT'!B:C,2,FALSE)</f>
        <v>Asia</v>
      </c>
      <c r="E919" s="29">
        <v>6</v>
      </c>
      <c r="F919" s="28">
        <v>2605</v>
      </c>
      <c r="G919" s="28">
        <v>4512464875</v>
      </c>
      <c r="H919" s="29">
        <v>21.43</v>
      </c>
      <c r="I919" s="142">
        <v>-58.01</v>
      </c>
      <c r="J919" s="29">
        <v>11.55</v>
      </c>
      <c r="K919" s="29">
        <v>10.28</v>
      </c>
      <c r="L919" s="29">
        <v>21.43</v>
      </c>
      <c r="M919" s="368"/>
      <c r="N919" s="368"/>
      <c r="O919" s="271">
        <f>IFERROR(Table17[[#This Row],[PROFIT]]/Table17[[#This Row],[TO]],0)</f>
        <v>0</v>
      </c>
      <c r="P919" s="177"/>
      <c r="Q919" s="177"/>
      <c r="R919" s="177"/>
    </row>
    <row r="920" spans="1:18" ht="30" hidden="1" x14ac:dyDescent="0.25">
      <c r="A920" s="29" t="s">
        <v>4090</v>
      </c>
      <c r="B920" s="29" t="s">
        <v>4089</v>
      </c>
      <c r="C920" s="29" t="s">
        <v>1749</v>
      </c>
      <c r="D920" s="29" t="str">
        <f>VLOOKUP(C:C,'COUNT-CONT'!B:C,2,FALSE)</f>
        <v>North America</v>
      </c>
      <c r="E920" s="29">
        <v>6</v>
      </c>
      <c r="F920" s="28">
        <v>2572</v>
      </c>
      <c r="G920" s="28">
        <v>4156882737</v>
      </c>
      <c r="H920" s="29">
        <v>21.43</v>
      </c>
      <c r="I920" s="142">
        <v>-58.01</v>
      </c>
      <c r="J920" s="29">
        <v>9.73</v>
      </c>
      <c r="K920" s="29">
        <v>8.16</v>
      </c>
      <c r="L920" s="29">
        <v>19.5</v>
      </c>
      <c r="M920" s="368"/>
      <c r="N920" s="368"/>
      <c r="O920" s="271">
        <f>IFERROR(Table17[[#This Row],[PROFIT]]/Table17[[#This Row],[TO]],0)</f>
        <v>0</v>
      </c>
      <c r="P920" s="177"/>
      <c r="Q920" s="177"/>
      <c r="R920" s="177"/>
    </row>
    <row r="921" spans="1:18" x14ac:dyDescent="0.25">
      <c r="A921" s="29" t="s">
        <v>3974</v>
      </c>
      <c r="B921" s="29" t="s">
        <v>3973</v>
      </c>
      <c r="C921" s="29" t="s">
        <v>730</v>
      </c>
      <c r="D921" s="29" t="str">
        <f>VLOOKUP(C:C,'COUNT-CONT'!B:C,2,FALSE)</f>
        <v>Oceania</v>
      </c>
      <c r="E921" s="29">
        <v>2</v>
      </c>
      <c r="F921" s="28">
        <v>1343</v>
      </c>
      <c r="G921" s="28">
        <v>4473061801</v>
      </c>
      <c r="H921" s="29">
        <v>21.43</v>
      </c>
      <c r="I921" s="142">
        <v>-58.01</v>
      </c>
      <c r="J921" s="29">
        <v>9.01</v>
      </c>
      <c r="K921" s="29">
        <v>7.5</v>
      </c>
      <c r="L921" s="29">
        <v>18.8</v>
      </c>
      <c r="M921" s="368"/>
      <c r="N921" s="368"/>
      <c r="O921" s="271">
        <f>IFERROR(Table17[[#This Row],[PROFIT]]/Table17[[#This Row],[TO]],0)</f>
        <v>0</v>
      </c>
      <c r="P921" s="177"/>
      <c r="Q921" s="177"/>
      <c r="R921" s="177"/>
    </row>
    <row r="922" spans="1:18" ht="30" hidden="1" x14ac:dyDescent="0.25">
      <c r="A922" s="29" t="s">
        <v>3872</v>
      </c>
      <c r="B922" s="29" t="s">
        <v>3871</v>
      </c>
      <c r="C922" s="29" t="s">
        <v>517</v>
      </c>
      <c r="D922" s="29" t="str">
        <f>VLOOKUP(C:C,'COUNT-CONT'!B:C,2,FALSE)</f>
        <v>South America</v>
      </c>
      <c r="E922" s="29">
        <v>6</v>
      </c>
      <c r="F922" s="28">
        <v>2536</v>
      </c>
      <c r="G922" s="28">
        <v>3983753943</v>
      </c>
      <c r="H922" s="29">
        <v>21.4</v>
      </c>
      <c r="I922" s="142">
        <v>-58.04</v>
      </c>
      <c r="J922" s="29">
        <v>8.34</v>
      </c>
      <c r="K922" s="29">
        <v>6.89</v>
      </c>
      <c r="L922" s="29">
        <v>18.14</v>
      </c>
      <c r="M922" s="368"/>
      <c r="N922" s="368"/>
      <c r="O922" s="271">
        <f>IFERROR(Table17[[#This Row],[PROFIT]]/Table17[[#This Row],[TO]],0)</f>
        <v>0</v>
      </c>
      <c r="P922" s="177"/>
      <c r="Q922" s="177"/>
      <c r="R922" s="177"/>
    </row>
    <row r="923" spans="1:18" ht="30" hidden="1" x14ac:dyDescent="0.25">
      <c r="A923" s="29" t="s">
        <v>3864</v>
      </c>
      <c r="B923" s="29" t="s">
        <v>3863</v>
      </c>
      <c r="C923" s="29" t="s">
        <v>517</v>
      </c>
      <c r="D923" s="29" t="str">
        <f>VLOOKUP(C:C,'COUNT-CONT'!B:C,2,FALSE)</f>
        <v>South America</v>
      </c>
      <c r="E923" s="29">
        <v>3</v>
      </c>
      <c r="F923" s="28">
        <v>1675</v>
      </c>
      <c r="G923" s="28">
        <v>4119116417</v>
      </c>
      <c r="H923" s="29">
        <v>21.37</v>
      </c>
      <c r="I923" s="142">
        <v>-58.069999999999993</v>
      </c>
      <c r="J923" s="29">
        <v>8.31</v>
      </c>
      <c r="K923" s="29">
        <v>6.86</v>
      </c>
      <c r="L923" s="29">
        <v>18.11</v>
      </c>
      <c r="M923" s="368"/>
      <c r="N923" s="368"/>
      <c r="O923" s="271">
        <f>IFERROR(Table17[[#This Row],[PROFIT]]/Table17[[#This Row],[TO]],0)</f>
        <v>0</v>
      </c>
      <c r="P923" s="177"/>
      <c r="Q923" s="177"/>
      <c r="R923" s="177"/>
    </row>
    <row r="924" spans="1:18" hidden="1" x14ac:dyDescent="0.25">
      <c r="A924" s="29" t="s">
        <v>3463</v>
      </c>
      <c r="B924" s="29" t="s">
        <v>3462</v>
      </c>
      <c r="C924" s="29" t="s">
        <v>1124</v>
      </c>
      <c r="D924" s="29" t="str">
        <f>VLOOKUP(C:C,'COUNT-CONT'!B:C,2,FALSE)</f>
        <v>Africa</v>
      </c>
      <c r="E924" s="29">
        <v>10</v>
      </c>
      <c r="F924" s="28">
        <v>3443</v>
      </c>
      <c r="G924" s="28">
        <v>3678488817</v>
      </c>
      <c r="H924" s="29">
        <v>21.28</v>
      </c>
      <c r="I924" s="142">
        <v>-58.16</v>
      </c>
      <c r="J924" s="29">
        <v>6.35</v>
      </c>
      <c r="K924" s="29">
        <v>4.4400000000000004</v>
      </c>
      <c r="L924" s="29">
        <v>15.9</v>
      </c>
      <c r="M924" s="368"/>
      <c r="N924" s="368"/>
      <c r="O924" s="271">
        <f>IFERROR(Table17[[#This Row],[PROFIT]]/Table17[[#This Row],[TO]],0)</f>
        <v>0</v>
      </c>
      <c r="P924" s="177"/>
      <c r="Q924" s="177"/>
      <c r="R924" s="177"/>
    </row>
    <row r="925" spans="1:18" ht="30" hidden="1" x14ac:dyDescent="0.25">
      <c r="A925" s="29" t="s">
        <v>4060</v>
      </c>
      <c r="B925" s="29" t="s">
        <v>4059</v>
      </c>
      <c r="C925" s="29" t="s">
        <v>1749</v>
      </c>
      <c r="D925" s="29" t="str">
        <f>VLOOKUP(C:C,'COUNT-CONT'!B:C,2,FALSE)</f>
        <v>North America</v>
      </c>
      <c r="E925" s="29">
        <v>6</v>
      </c>
      <c r="F925" s="28">
        <v>2519</v>
      </c>
      <c r="G925" s="28">
        <v>4141681222</v>
      </c>
      <c r="H925" s="29">
        <v>21.28</v>
      </c>
      <c r="I925" s="142">
        <v>-58.16</v>
      </c>
      <c r="J925" s="29">
        <v>9.67</v>
      </c>
      <c r="K925" s="29">
        <v>8.1</v>
      </c>
      <c r="L925" s="29">
        <v>19.350000000000001</v>
      </c>
      <c r="M925" s="368"/>
      <c r="N925" s="368"/>
      <c r="O925" s="271">
        <f>IFERROR(Table17[[#This Row],[PROFIT]]/Table17[[#This Row],[TO]],0)</f>
        <v>0</v>
      </c>
      <c r="P925" s="177"/>
      <c r="Q925" s="177"/>
      <c r="R925" s="177"/>
    </row>
    <row r="926" spans="1:18" ht="30" hidden="1" x14ac:dyDescent="0.25">
      <c r="A926" s="29" t="s">
        <v>5027</v>
      </c>
      <c r="B926" s="29" t="s">
        <v>5026</v>
      </c>
      <c r="C926" s="29" t="s">
        <v>11732</v>
      </c>
      <c r="D926" s="29" t="str">
        <f>VLOOKUP(C:C,'COUNT-CONT'!B:C,2,FALSE)</f>
        <v>North America</v>
      </c>
      <c r="E926" s="29">
        <v>7</v>
      </c>
      <c r="F926" s="28">
        <v>2833</v>
      </c>
      <c r="G926" s="28">
        <v>5457680974</v>
      </c>
      <c r="H926" s="29">
        <v>21.25</v>
      </c>
      <c r="I926" s="142">
        <v>-58.19</v>
      </c>
      <c r="J926" s="29">
        <v>17.32</v>
      </c>
      <c r="K926" s="29">
        <v>17.32</v>
      </c>
      <c r="L926" s="29">
        <v>27.96</v>
      </c>
      <c r="M926" s="368"/>
      <c r="N926" s="368"/>
      <c r="O926" s="271">
        <f>IFERROR(Table17[[#This Row],[PROFIT]]/Table17[[#This Row],[TO]],0)</f>
        <v>0</v>
      </c>
      <c r="P926" s="177"/>
      <c r="Q926" s="177"/>
      <c r="R926" s="177"/>
    </row>
    <row r="927" spans="1:18" hidden="1" x14ac:dyDescent="0.25">
      <c r="A927" s="29" t="s">
        <v>3854</v>
      </c>
      <c r="B927" s="29" t="s">
        <v>3853</v>
      </c>
      <c r="C927" s="29" t="s">
        <v>14</v>
      </c>
      <c r="D927" s="29" t="str">
        <f>VLOOKUP(C:C,'COUNT-CONT'!B:C,2,FALSE)</f>
        <v>Asia</v>
      </c>
      <c r="E927" s="29">
        <v>5</v>
      </c>
      <c r="F927" s="28">
        <v>2267</v>
      </c>
      <c r="G927" s="28">
        <v>3992822761</v>
      </c>
      <c r="H927" s="29">
        <v>21.25</v>
      </c>
      <c r="I927" s="142">
        <v>-58.19</v>
      </c>
      <c r="J927" s="29">
        <v>8.2799999999999994</v>
      </c>
      <c r="K927" s="29">
        <v>6.83</v>
      </c>
      <c r="L927" s="29">
        <v>18.02</v>
      </c>
      <c r="M927" s="368"/>
      <c r="N927" s="368"/>
      <c r="O927" s="271">
        <f>IFERROR(Table17[[#This Row],[PROFIT]]/Table17[[#This Row],[TO]],0)</f>
        <v>0</v>
      </c>
      <c r="P927" s="177"/>
      <c r="Q927" s="177"/>
      <c r="R927" s="177"/>
    </row>
    <row r="928" spans="1:18" hidden="1" x14ac:dyDescent="0.25">
      <c r="A928" s="29" t="s">
        <v>2814</v>
      </c>
      <c r="B928" s="29" t="s">
        <v>2813</v>
      </c>
      <c r="C928" s="29" t="s">
        <v>881</v>
      </c>
      <c r="D928" s="29" t="str">
        <f>VLOOKUP(C:C,'COUNT-CONT'!B:C,2,FALSE)</f>
        <v>Africa</v>
      </c>
      <c r="E928" s="29">
        <v>6</v>
      </c>
      <c r="F928" s="28">
        <v>2515</v>
      </c>
      <c r="G928" s="28">
        <v>3537575745</v>
      </c>
      <c r="H928" s="29">
        <v>21.22</v>
      </c>
      <c r="I928" s="142">
        <v>-58.22</v>
      </c>
      <c r="J928" s="29">
        <v>3.69</v>
      </c>
      <c r="K928" s="29">
        <v>1.57</v>
      </c>
      <c r="L928" s="29">
        <v>13.27</v>
      </c>
      <c r="M928" s="368"/>
      <c r="N928" s="368"/>
      <c r="O928" s="271">
        <f>IFERROR(Table17[[#This Row],[PROFIT]]/Table17[[#This Row],[TO]],0)</f>
        <v>0</v>
      </c>
      <c r="P928" s="177"/>
      <c r="Q928" s="177"/>
      <c r="R928" s="177"/>
    </row>
    <row r="929" spans="1:18" ht="30" hidden="1" x14ac:dyDescent="0.25">
      <c r="A929" s="29" t="s">
        <v>3850</v>
      </c>
      <c r="B929" s="29" t="s">
        <v>3849</v>
      </c>
      <c r="C929" s="29" t="s">
        <v>505</v>
      </c>
      <c r="D929" s="29" t="e">
        <f>VLOOKUP(C:C,'COUNT-CONT'!B:C,2,FALSE)</f>
        <v>#N/A</v>
      </c>
      <c r="E929" s="29">
        <v>7</v>
      </c>
      <c r="F929" s="28">
        <v>2614</v>
      </c>
      <c r="G929" s="28">
        <v>3957611017</v>
      </c>
      <c r="H929" s="29">
        <v>21.22</v>
      </c>
      <c r="I929" s="142">
        <v>-58.22</v>
      </c>
      <c r="J929" s="29">
        <v>8.25</v>
      </c>
      <c r="K929" s="29">
        <v>6.83</v>
      </c>
      <c r="L929" s="29">
        <v>17.989999999999998</v>
      </c>
      <c r="M929" s="368"/>
      <c r="N929" s="368"/>
      <c r="O929" s="271">
        <f>IFERROR(Table17[[#This Row],[PROFIT]]/Table17[[#This Row],[TO]],0)</f>
        <v>0</v>
      </c>
      <c r="P929" s="177"/>
      <c r="Q929" s="177"/>
      <c r="R929" s="177"/>
    </row>
    <row r="930" spans="1:18" ht="30" hidden="1" x14ac:dyDescent="0.25">
      <c r="A930" s="29" t="s">
        <v>5023</v>
      </c>
      <c r="B930" s="29" t="s">
        <v>5022</v>
      </c>
      <c r="C930" s="29" t="s">
        <v>11732</v>
      </c>
      <c r="D930" s="29" t="str">
        <f>VLOOKUP(C:C,'COUNT-CONT'!B:C,2,FALSE)</f>
        <v>North America</v>
      </c>
      <c r="E930" s="29">
        <v>7</v>
      </c>
      <c r="F930" s="28">
        <v>3085</v>
      </c>
      <c r="G930" s="28">
        <v>5437564019</v>
      </c>
      <c r="H930" s="29">
        <v>21.19</v>
      </c>
      <c r="I930" s="142">
        <v>-58.25</v>
      </c>
      <c r="J930" s="29">
        <v>17.260000000000002</v>
      </c>
      <c r="K930" s="29">
        <v>17.260000000000002</v>
      </c>
      <c r="L930" s="29">
        <v>27.87</v>
      </c>
      <c r="M930" s="368"/>
      <c r="N930" s="368"/>
      <c r="O930" s="271">
        <f>IFERROR(Table17[[#This Row],[PROFIT]]/Table17[[#This Row],[TO]],0)</f>
        <v>0</v>
      </c>
      <c r="P930" s="177"/>
      <c r="Q930" s="177"/>
      <c r="R930" s="177"/>
    </row>
    <row r="931" spans="1:18" hidden="1" x14ac:dyDescent="0.25">
      <c r="A931" s="29" t="s">
        <v>3939</v>
      </c>
      <c r="B931" s="29" t="s">
        <v>3938</v>
      </c>
      <c r="C931" s="29" t="s">
        <v>172</v>
      </c>
      <c r="D931" s="29" t="str">
        <f>VLOOKUP(C:C,'COUNT-CONT'!B:C,2,FALSE)</f>
        <v>Asia</v>
      </c>
      <c r="E931" s="29">
        <v>9</v>
      </c>
      <c r="F931" s="28">
        <v>3276</v>
      </c>
      <c r="G931" s="28">
        <v>4018175335</v>
      </c>
      <c r="H931" s="29">
        <v>21.19</v>
      </c>
      <c r="I931" s="142">
        <v>-58.25</v>
      </c>
      <c r="J931" s="29">
        <v>8.56</v>
      </c>
      <c r="K931" s="29">
        <v>7.44</v>
      </c>
      <c r="L931" s="29">
        <v>18.59</v>
      </c>
      <c r="M931" s="368"/>
      <c r="N931" s="368"/>
      <c r="O931" s="271">
        <f>IFERROR(Table17[[#This Row],[PROFIT]]/Table17[[#This Row],[TO]],0)</f>
        <v>0</v>
      </c>
      <c r="P931" s="177"/>
      <c r="Q931" s="177"/>
      <c r="R931" s="177"/>
    </row>
    <row r="932" spans="1:18" ht="45" hidden="1" x14ac:dyDescent="0.25">
      <c r="A932" s="29" t="s">
        <v>4049</v>
      </c>
      <c r="B932" s="29" t="s">
        <v>4048</v>
      </c>
      <c r="C932" s="29" t="s">
        <v>1749</v>
      </c>
      <c r="D932" s="29" t="str">
        <f>VLOOKUP(C:C,'COUNT-CONT'!B:C,2,FALSE)</f>
        <v>North America</v>
      </c>
      <c r="E932" s="29">
        <v>7</v>
      </c>
      <c r="F932" s="28">
        <v>2672</v>
      </c>
      <c r="G932" s="28">
        <v>4122076646</v>
      </c>
      <c r="H932" s="29">
        <v>21.19</v>
      </c>
      <c r="I932" s="142">
        <v>-58.25</v>
      </c>
      <c r="J932" s="29">
        <v>9.61</v>
      </c>
      <c r="K932" s="29">
        <v>8.07</v>
      </c>
      <c r="L932" s="29">
        <v>19.260000000000002</v>
      </c>
      <c r="M932" s="368"/>
      <c r="N932" s="368"/>
      <c r="O932" s="271">
        <f>IFERROR(Table17[[#This Row],[PROFIT]]/Table17[[#This Row],[TO]],0)</f>
        <v>0</v>
      </c>
      <c r="P932" s="177"/>
      <c r="Q932" s="177"/>
      <c r="R932" s="177"/>
    </row>
    <row r="933" spans="1:18" hidden="1" x14ac:dyDescent="0.25">
      <c r="A933" s="29" t="s">
        <v>3842</v>
      </c>
      <c r="B933" s="29" t="s">
        <v>3841</v>
      </c>
      <c r="C933" s="29" t="s">
        <v>14</v>
      </c>
      <c r="D933" s="29" t="str">
        <f>VLOOKUP(C:C,'COUNT-CONT'!B:C,2,FALSE)</f>
        <v>Asia</v>
      </c>
      <c r="E933" s="29">
        <v>10</v>
      </c>
      <c r="F933" s="28">
        <v>3675</v>
      </c>
      <c r="G933" s="28">
        <v>3936919727</v>
      </c>
      <c r="H933" s="29">
        <v>21.19</v>
      </c>
      <c r="I933" s="142">
        <v>-58.25</v>
      </c>
      <c r="J933" s="29">
        <v>8.25</v>
      </c>
      <c r="K933" s="29">
        <v>6.8</v>
      </c>
      <c r="L933" s="29">
        <v>17.96</v>
      </c>
      <c r="M933" s="368"/>
      <c r="N933" s="368"/>
      <c r="O933" s="271">
        <f>IFERROR(Table17[[#This Row],[PROFIT]]/Table17[[#This Row],[TO]],0)</f>
        <v>0</v>
      </c>
      <c r="P933" s="177"/>
      <c r="Q933" s="177"/>
      <c r="R933" s="177"/>
    </row>
    <row r="934" spans="1:18" hidden="1" x14ac:dyDescent="0.25">
      <c r="A934" s="29" t="s">
        <v>3006</v>
      </c>
      <c r="B934" s="29" t="s">
        <v>3005</v>
      </c>
      <c r="C934" s="29" t="s">
        <v>974</v>
      </c>
      <c r="D934" s="29" t="str">
        <f>VLOOKUP(C:C,'COUNT-CONT'!B:C,2,FALSE)</f>
        <v>Asia</v>
      </c>
      <c r="E934" s="29">
        <v>5</v>
      </c>
      <c r="F934" s="28">
        <v>2238</v>
      </c>
      <c r="G934" s="28">
        <v>3632310277</v>
      </c>
      <c r="H934" s="29">
        <v>21.16</v>
      </c>
      <c r="I934" s="142">
        <v>-58.28</v>
      </c>
      <c r="J934" s="29">
        <v>4.5</v>
      </c>
      <c r="K934" s="29">
        <v>2.54</v>
      </c>
      <c r="L934" s="29">
        <v>14.12</v>
      </c>
      <c r="M934" s="368"/>
      <c r="N934" s="368"/>
      <c r="O934" s="271">
        <f>IFERROR(Table17[[#This Row],[PROFIT]]/Table17[[#This Row],[TO]],0)</f>
        <v>0</v>
      </c>
      <c r="P934" s="177"/>
      <c r="Q934" s="177"/>
      <c r="R934" s="177"/>
    </row>
    <row r="935" spans="1:18" hidden="1" x14ac:dyDescent="0.25">
      <c r="A935" s="29" t="s">
        <v>3095</v>
      </c>
      <c r="B935" s="29" t="s">
        <v>3094</v>
      </c>
      <c r="C935" s="29" t="s">
        <v>1070</v>
      </c>
      <c r="D935" s="29" t="str">
        <f>VLOOKUP(C:C,'COUNT-CONT'!B:C,2,FALSE)</f>
        <v>Asia</v>
      </c>
      <c r="E935" s="29">
        <v>4</v>
      </c>
      <c r="F935" s="28">
        <v>1842</v>
      </c>
      <c r="G935" s="28">
        <v>3671676981</v>
      </c>
      <c r="H935" s="29">
        <v>21.13</v>
      </c>
      <c r="I935" s="142">
        <v>-58.31</v>
      </c>
      <c r="J935" s="29">
        <v>4.9000000000000004</v>
      </c>
      <c r="K935" s="29">
        <v>3.17</v>
      </c>
      <c r="L935" s="29">
        <v>14.48</v>
      </c>
      <c r="M935" s="368"/>
      <c r="N935" s="368"/>
      <c r="O935" s="271">
        <f>IFERROR(Table17[[#This Row],[PROFIT]]/Table17[[#This Row],[TO]],0)</f>
        <v>0</v>
      </c>
      <c r="P935" s="177"/>
      <c r="Q935" s="177"/>
      <c r="R935" s="177"/>
    </row>
    <row r="936" spans="1:18" hidden="1" x14ac:dyDescent="0.25">
      <c r="A936" s="29" t="s">
        <v>3755</v>
      </c>
      <c r="B936" s="29" t="s">
        <v>3754</v>
      </c>
      <c r="C936" s="29" t="s">
        <v>78</v>
      </c>
      <c r="D936" s="29" t="str">
        <f>VLOOKUP(C:C,'COUNT-CONT'!B:C,2,FALSE)</f>
        <v>Europe</v>
      </c>
      <c r="E936" s="29">
        <v>9</v>
      </c>
      <c r="F936" s="28">
        <v>3258</v>
      </c>
      <c r="G936" s="28">
        <v>3852030448</v>
      </c>
      <c r="H936" s="29">
        <v>21.13</v>
      </c>
      <c r="I936" s="142">
        <v>-58.31</v>
      </c>
      <c r="J936" s="29">
        <v>7.62</v>
      </c>
      <c r="K936" s="29">
        <v>6.23</v>
      </c>
      <c r="L936" s="29">
        <v>17.32</v>
      </c>
      <c r="M936" s="368"/>
      <c r="N936" s="368"/>
      <c r="O936" s="271">
        <f>IFERROR(Table17[[#This Row],[PROFIT]]/Table17[[#This Row],[TO]],0)</f>
        <v>0</v>
      </c>
      <c r="P936" s="177"/>
      <c r="Q936" s="177"/>
      <c r="R936" s="177"/>
    </row>
    <row r="937" spans="1:18" hidden="1" x14ac:dyDescent="0.25">
      <c r="A937" s="29" t="s">
        <v>3931</v>
      </c>
      <c r="B937" s="29" t="s">
        <v>3930</v>
      </c>
      <c r="C937" s="29" t="s">
        <v>172</v>
      </c>
      <c r="D937" s="29" t="str">
        <f>VLOOKUP(C:C,'COUNT-CONT'!B:C,2,FALSE)</f>
        <v>Asia</v>
      </c>
      <c r="E937" s="29">
        <v>10</v>
      </c>
      <c r="F937" s="28">
        <v>3823</v>
      </c>
      <c r="G937" s="28">
        <v>4015632147</v>
      </c>
      <c r="H937" s="29">
        <v>21.13</v>
      </c>
      <c r="I937" s="142">
        <v>-58.31</v>
      </c>
      <c r="J937" s="29">
        <v>8.52</v>
      </c>
      <c r="K937" s="29">
        <v>7.41</v>
      </c>
      <c r="L937" s="29">
        <v>18.53</v>
      </c>
      <c r="M937" s="368"/>
      <c r="N937" s="368"/>
      <c r="O937" s="271">
        <f>IFERROR(Table17[[#This Row],[PROFIT]]/Table17[[#This Row],[TO]],0)</f>
        <v>0</v>
      </c>
      <c r="P937" s="177"/>
      <c r="Q937" s="177"/>
      <c r="R937" s="177"/>
    </row>
    <row r="938" spans="1:18" x14ac:dyDescent="0.25">
      <c r="A938" s="29" t="s">
        <v>3927</v>
      </c>
      <c r="B938" s="29" t="s">
        <v>3926</v>
      </c>
      <c r="C938" s="29" t="s">
        <v>730</v>
      </c>
      <c r="D938" s="29" t="str">
        <f>VLOOKUP(C:C,'COUNT-CONT'!B:C,2,FALSE)</f>
        <v>Oceania</v>
      </c>
      <c r="E938" s="29">
        <v>5</v>
      </c>
      <c r="F938" s="28">
        <v>2247</v>
      </c>
      <c r="G938" s="28">
        <v>4196841611</v>
      </c>
      <c r="H938" s="29">
        <v>21.1</v>
      </c>
      <c r="I938" s="142">
        <v>-58.339999999999996</v>
      </c>
      <c r="J938" s="29">
        <v>8.89</v>
      </c>
      <c r="K938" s="29">
        <v>7.41</v>
      </c>
      <c r="L938" s="29">
        <v>18.53</v>
      </c>
      <c r="M938" s="368"/>
      <c r="N938" s="368"/>
      <c r="O938" s="271">
        <f>IFERROR(Table17[[#This Row],[PROFIT]]/Table17[[#This Row],[TO]],0)</f>
        <v>0</v>
      </c>
      <c r="P938" s="177"/>
      <c r="Q938" s="177"/>
      <c r="R938" s="177"/>
    </row>
    <row r="939" spans="1:18" x14ac:dyDescent="0.25">
      <c r="A939" s="29" t="s">
        <v>4514</v>
      </c>
      <c r="B939" s="29" t="s">
        <v>4513</v>
      </c>
      <c r="C939" s="29" t="s">
        <v>774</v>
      </c>
      <c r="D939" s="29" t="str">
        <f>VLOOKUP(C:C,'COUNT-CONT'!B:C,2,FALSE)</f>
        <v>Oceania</v>
      </c>
      <c r="E939" s="29">
        <v>4</v>
      </c>
      <c r="F939" s="28">
        <v>1892</v>
      </c>
      <c r="G939" s="28">
        <v>4737595348</v>
      </c>
      <c r="H939" s="29">
        <v>21.1</v>
      </c>
      <c r="I939" s="142">
        <v>-58.339999999999996</v>
      </c>
      <c r="J939" s="29">
        <v>12.58</v>
      </c>
      <c r="K939" s="29">
        <v>11.67</v>
      </c>
      <c r="L939" s="29">
        <v>22.46</v>
      </c>
      <c r="M939" s="368"/>
      <c r="N939" s="368"/>
      <c r="O939" s="271">
        <f>IFERROR(Table17[[#This Row],[PROFIT]]/Table17[[#This Row],[TO]],0)</f>
        <v>0</v>
      </c>
      <c r="P939" s="177"/>
      <c r="Q939" s="177"/>
      <c r="R939" s="177"/>
    </row>
    <row r="940" spans="1:18" ht="30" hidden="1" x14ac:dyDescent="0.25">
      <c r="A940" s="29" t="s">
        <v>163</v>
      </c>
      <c r="B940" s="29" t="s">
        <v>3359</v>
      </c>
      <c r="C940" s="29" t="s">
        <v>926</v>
      </c>
      <c r="D940" s="29" t="str">
        <f>VLOOKUP(C:C,'COUNT-CONT'!B:C,2,FALSE)</f>
        <v>Africa</v>
      </c>
      <c r="E940" s="29">
        <v>9</v>
      </c>
      <c r="F940" s="28">
        <v>3224</v>
      </c>
      <c r="G940" s="28">
        <v>3645591066</v>
      </c>
      <c r="H940" s="29">
        <v>21.1</v>
      </c>
      <c r="I940" s="142">
        <v>-58.339999999999996</v>
      </c>
      <c r="J940" s="29">
        <v>5.89</v>
      </c>
      <c r="K940" s="29">
        <v>4.0199999999999996</v>
      </c>
      <c r="L940" s="29">
        <v>15.51</v>
      </c>
      <c r="M940" s="368"/>
      <c r="N940" s="368"/>
      <c r="O940" s="271">
        <f>IFERROR(Table17[[#This Row],[PROFIT]]/Table17[[#This Row],[TO]],0)</f>
        <v>0</v>
      </c>
      <c r="P940" s="177"/>
      <c r="Q940" s="177"/>
      <c r="R940" s="177"/>
    </row>
    <row r="941" spans="1:18" hidden="1" x14ac:dyDescent="0.25">
      <c r="A941" s="29" t="s">
        <v>4679</v>
      </c>
      <c r="B941" s="29" t="s">
        <v>4678</v>
      </c>
      <c r="C941" s="29" t="s">
        <v>119</v>
      </c>
      <c r="D941" s="29" t="str">
        <f>VLOOKUP(C:C,'COUNT-CONT'!B:C,2,FALSE)</f>
        <v>Europe</v>
      </c>
      <c r="E941" s="29">
        <v>4</v>
      </c>
      <c r="F941" s="28">
        <v>2077</v>
      </c>
      <c r="G941" s="28">
        <v>4892810014</v>
      </c>
      <c r="H941" s="29">
        <v>21.04</v>
      </c>
      <c r="I941" s="142">
        <v>-58.4</v>
      </c>
      <c r="J941" s="29">
        <v>13.85</v>
      </c>
      <c r="K941" s="29">
        <v>13.36</v>
      </c>
      <c r="L941" s="29">
        <v>23.91</v>
      </c>
      <c r="M941" s="368"/>
      <c r="N941" s="368"/>
      <c r="O941" s="271">
        <f>IFERROR(Table17[[#This Row],[PROFIT]]/Table17[[#This Row],[TO]],0)</f>
        <v>0</v>
      </c>
      <c r="P941" s="177"/>
      <c r="Q941" s="177"/>
      <c r="R941" s="177"/>
    </row>
    <row r="942" spans="1:18" hidden="1" x14ac:dyDescent="0.25">
      <c r="A942" s="29" t="s">
        <v>2824</v>
      </c>
      <c r="B942" s="29" t="s">
        <v>2823</v>
      </c>
      <c r="C942" s="29" t="s">
        <v>1189</v>
      </c>
      <c r="D942" s="29" t="str">
        <f>VLOOKUP(C:C,'COUNT-CONT'!B:C,2,FALSE)</f>
        <v>Africa</v>
      </c>
      <c r="E942" s="29">
        <v>2</v>
      </c>
      <c r="F942" s="28">
        <v>1411</v>
      </c>
      <c r="G942" s="28">
        <v>3764588944</v>
      </c>
      <c r="H942" s="29">
        <v>21.04</v>
      </c>
      <c r="I942" s="142">
        <v>-58.4</v>
      </c>
      <c r="J942" s="29">
        <v>3.99</v>
      </c>
      <c r="K942" s="29">
        <v>1.84</v>
      </c>
      <c r="L942" s="29">
        <v>13.33</v>
      </c>
      <c r="M942" s="368"/>
      <c r="N942" s="368"/>
      <c r="O942" s="271">
        <f>IFERROR(Table17[[#This Row],[PROFIT]]/Table17[[#This Row],[TO]],0)</f>
        <v>0</v>
      </c>
      <c r="P942" s="177"/>
      <c r="Q942" s="177"/>
      <c r="R942" s="177"/>
    </row>
    <row r="943" spans="1:18" ht="30" hidden="1" x14ac:dyDescent="0.25">
      <c r="A943" s="29" t="s">
        <v>3481</v>
      </c>
      <c r="B943" s="29" t="s">
        <v>3480</v>
      </c>
      <c r="C943" s="29" t="s">
        <v>714</v>
      </c>
      <c r="D943" s="29" t="str">
        <f>VLOOKUP(C:C,'COUNT-CONT'!B:C,2,FALSE)</f>
        <v>South America</v>
      </c>
      <c r="E943" s="29">
        <v>8</v>
      </c>
      <c r="F943" s="28">
        <v>2836</v>
      </c>
      <c r="G943" s="28">
        <v>3784870239</v>
      </c>
      <c r="H943" s="29">
        <v>21.04</v>
      </c>
      <c r="I943" s="142">
        <v>-58.4</v>
      </c>
      <c r="J943" s="29">
        <v>6.38</v>
      </c>
      <c r="K943" s="29">
        <v>4.78</v>
      </c>
      <c r="L943" s="29">
        <v>15.96</v>
      </c>
      <c r="M943" s="368"/>
      <c r="N943" s="368"/>
      <c r="O943" s="271">
        <f>IFERROR(Table17[[#This Row],[PROFIT]]/Table17[[#This Row],[TO]],0)</f>
        <v>0</v>
      </c>
      <c r="P943" s="177"/>
      <c r="Q943" s="177"/>
      <c r="R943" s="177"/>
    </row>
    <row r="944" spans="1:18" ht="30" hidden="1" x14ac:dyDescent="0.25">
      <c r="A944" s="29" t="s">
        <v>4034</v>
      </c>
      <c r="B944" s="29" t="s">
        <v>4033</v>
      </c>
      <c r="C944" s="29" t="s">
        <v>1749</v>
      </c>
      <c r="D944" s="29" t="str">
        <f>VLOOKUP(C:C,'COUNT-CONT'!B:C,2,FALSE)</f>
        <v>North America</v>
      </c>
      <c r="E944" s="29">
        <v>7</v>
      </c>
      <c r="F944" s="28">
        <v>2824</v>
      </c>
      <c r="G944" s="28">
        <v>4095718413</v>
      </c>
      <c r="H944" s="29">
        <v>21.04</v>
      </c>
      <c r="I944" s="142">
        <v>-58.4</v>
      </c>
      <c r="J944" s="29">
        <v>9.5500000000000007</v>
      </c>
      <c r="K944" s="29">
        <v>8.01</v>
      </c>
      <c r="L944" s="29">
        <v>19.14</v>
      </c>
      <c r="M944" s="368"/>
      <c r="N944" s="368"/>
      <c r="O944" s="271">
        <f>IFERROR(Table17[[#This Row],[PROFIT]]/Table17[[#This Row],[TO]],0)</f>
        <v>0</v>
      </c>
      <c r="P944" s="177"/>
      <c r="Q944" s="177"/>
      <c r="R944" s="177"/>
    </row>
    <row r="945" spans="1:18" ht="30" hidden="1" x14ac:dyDescent="0.25">
      <c r="A945" s="29" t="s">
        <v>4506</v>
      </c>
      <c r="B945" s="29" t="s">
        <v>4505</v>
      </c>
      <c r="C945" s="29" t="s">
        <v>597</v>
      </c>
      <c r="D945" s="29" t="str">
        <f>VLOOKUP(C:C,'COUNT-CONT'!B:C,2,FALSE)</f>
        <v>Europe</v>
      </c>
      <c r="E945" s="29">
        <v>5</v>
      </c>
      <c r="F945" s="28">
        <v>2346</v>
      </c>
      <c r="G945" s="28">
        <v>4640883205</v>
      </c>
      <c r="H945" s="29">
        <v>21.01</v>
      </c>
      <c r="I945" s="142">
        <v>-58.429999999999993</v>
      </c>
      <c r="J945" s="29">
        <v>12.52</v>
      </c>
      <c r="K945" s="29">
        <v>11.61</v>
      </c>
      <c r="L945" s="29">
        <v>22.37</v>
      </c>
      <c r="M945" s="368"/>
      <c r="N945" s="368"/>
      <c r="O945" s="271">
        <f>IFERROR(Table17[[#This Row],[PROFIT]]/Table17[[#This Row],[TO]],0)</f>
        <v>0</v>
      </c>
      <c r="P945" s="177"/>
      <c r="Q945" s="177"/>
      <c r="R945" s="177"/>
    </row>
    <row r="946" spans="1:18" ht="30" hidden="1" x14ac:dyDescent="0.25">
      <c r="A946" s="29" t="s">
        <v>4501</v>
      </c>
      <c r="B946" s="29" t="s">
        <v>4500</v>
      </c>
      <c r="C946" s="29" t="s">
        <v>597</v>
      </c>
      <c r="D946" s="29" t="str">
        <f>VLOOKUP(C:C,'COUNT-CONT'!B:C,2,FALSE)</f>
        <v>Europe</v>
      </c>
      <c r="E946" s="29">
        <v>6</v>
      </c>
      <c r="F946" s="28">
        <v>2530</v>
      </c>
      <c r="G946" s="28">
        <v>4622582608</v>
      </c>
      <c r="H946" s="29">
        <v>20.98</v>
      </c>
      <c r="I946" s="142">
        <v>-58.459999999999994</v>
      </c>
      <c r="J946" s="29">
        <v>12.48</v>
      </c>
      <c r="K946" s="29">
        <v>11.61</v>
      </c>
      <c r="L946" s="29">
        <v>22.34</v>
      </c>
      <c r="M946" s="368"/>
      <c r="N946" s="368"/>
      <c r="O946" s="271">
        <f>IFERROR(Table17[[#This Row],[PROFIT]]/Table17[[#This Row],[TO]],0)</f>
        <v>0</v>
      </c>
      <c r="P946" s="177"/>
      <c r="Q946" s="177"/>
      <c r="R946" s="177"/>
    </row>
    <row r="947" spans="1:18" hidden="1" x14ac:dyDescent="0.25">
      <c r="A947" s="29" t="s">
        <v>4258</v>
      </c>
      <c r="B947" s="29" t="s">
        <v>4257</v>
      </c>
      <c r="C947" s="29" t="s">
        <v>1216</v>
      </c>
      <c r="D947" s="29" t="str">
        <f>VLOOKUP(C:C,'COUNT-CONT'!B:C,2,FALSE)</f>
        <v>Asia</v>
      </c>
      <c r="E947" s="29">
        <v>4</v>
      </c>
      <c r="F947" s="28">
        <v>1864</v>
      </c>
      <c r="G947" s="28">
        <v>4466728755</v>
      </c>
      <c r="H947" s="29">
        <v>20.98</v>
      </c>
      <c r="I947" s="142">
        <v>-58.459999999999994</v>
      </c>
      <c r="J947" s="29">
        <v>10.67</v>
      </c>
      <c r="K947" s="29">
        <v>9.85</v>
      </c>
      <c r="L947" s="29">
        <v>20.56</v>
      </c>
      <c r="M947" s="368"/>
      <c r="N947" s="368"/>
      <c r="O947" s="271">
        <f>IFERROR(Table17[[#This Row],[PROFIT]]/Table17[[#This Row],[TO]],0)</f>
        <v>0</v>
      </c>
      <c r="P947" s="177"/>
      <c r="Q947" s="177"/>
      <c r="R947" s="177"/>
    </row>
    <row r="948" spans="1:18" ht="30" hidden="1" x14ac:dyDescent="0.25">
      <c r="A948" s="29" t="s">
        <v>4669</v>
      </c>
      <c r="B948" s="29" t="s">
        <v>4668</v>
      </c>
      <c r="C948" s="29" t="s">
        <v>514</v>
      </c>
      <c r="D948" s="29" t="str">
        <f>VLOOKUP(C:C,'COUNT-CONT'!B:C,2,FALSE)</f>
        <v>North America</v>
      </c>
      <c r="E948" s="29">
        <v>7</v>
      </c>
      <c r="F948" s="28">
        <v>2759</v>
      </c>
      <c r="G948" s="28">
        <v>4819595179</v>
      </c>
      <c r="H948" s="29">
        <v>20.98</v>
      </c>
      <c r="I948" s="142">
        <v>-58.459999999999994</v>
      </c>
      <c r="J948" s="29">
        <v>13.81</v>
      </c>
      <c r="K948" s="29">
        <v>13.33</v>
      </c>
      <c r="L948" s="29">
        <v>23.85</v>
      </c>
      <c r="M948" s="368"/>
      <c r="N948" s="368"/>
      <c r="O948" s="271">
        <f>IFERROR(Table17[[#This Row],[PROFIT]]/Table17[[#This Row],[TO]],0)</f>
        <v>0</v>
      </c>
      <c r="P948" s="177"/>
      <c r="Q948" s="177"/>
      <c r="R948" s="177"/>
    </row>
    <row r="949" spans="1:18" ht="30" hidden="1" x14ac:dyDescent="0.25">
      <c r="A949" s="29" t="s">
        <v>3662</v>
      </c>
      <c r="B949" s="29" t="s">
        <v>3661</v>
      </c>
      <c r="C949" s="29" t="s">
        <v>709</v>
      </c>
      <c r="D949" s="29" t="str">
        <f>VLOOKUP(C:C,'COUNT-CONT'!B:C,2,FALSE)</f>
        <v>Asia</v>
      </c>
      <c r="E949" s="29">
        <v>7</v>
      </c>
      <c r="F949" s="28">
        <v>2795</v>
      </c>
      <c r="G949" s="28">
        <v>3818759928</v>
      </c>
      <c r="H949" s="29">
        <v>20.95</v>
      </c>
      <c r="I949" s="142">
        <v>-58.489999999999995</v>
      </c>
      <c r="J949" s="29">
        <v>7.41</v>
      </c>
      <c r="K949" s="29">
        <v>5.74</v>
      </c>
      <c r="L949" s="29">
        <v>16.899999999999999</v>
      </c>
      <c r="M949" s="368"/>
      <c r="N949" s="368"/>
      <c r="O949" s="271">
        <f>IFERROR(Table17[[#This Row],[PROFIT]]/Table17[[#This Row],[TO]],0)</f>
        <v>0</v>
      </c>
      <c r="P949" s="177"/>
      <c r="Q949" s="177"/>
      <c r="R949" s="177"/>
    </row>
    <row r="950" spans="1:18" ht="30" hidden="1" x14ac:dyDescent="0.25">
      <c r="A950" s="29" t="s">
        <v>4533</v>
      </c>
      <c r="B950" s="29" t="s">
        <v>4532</v>
      </c>
      <c r="C950" s="29" t="s">
        <v>83</v>
      </c>
      <c r="D950" s="29" t="str">
        <f>VLOOKUP(C:C,'COUNT-CONT'!B:C,2,FALSE)</f>
        <v>Europe</v>
      </c>
      <c r="E950" s="29">
        <v>8</v>
      </c>
      <c r="F950" s="28">
        <v>3056</v>
      </c>
      <c r="G950" s="28">
        <v>4654347643</v>
      </c>
      <c r="H950" s="29">
        <v>20.95</v>
      </c>
      <c r="I950" s="142">
        <v>-58.489999999999995</v>
      </c>
      <c r="J950" s="29">
        <v>12.73</v>
      </c>
      <c r="K950" s="29">
        <v>11.82</v>
      </c>
      <c r="L950" s="29">
        <v>22.76</v>
      </c>
      <c r="M950" s="368"/>
      <c r="N950" s="368"/>
      <c r="O950" s="271">
        <f>IFERROR(Table17[[#This Row],[PROFIT]]/Table17[[#This Row],[TO]],0)</f>
        <v>0</v>
      </c>
      <c r="P950" s="177"/>
      <c r="Q950" s="177"/>
      <c r="R950" s="177"/>
    </row>
    <row r="951" spans="1:18" ht="30" hidden="1" x14ac:dyDescent="0.25">
      <c r="A951" s="29" t="s">
        <v>4025</v>
      </c>
      <c r="B951" s="29" t="s">
        <v>4024</v>
      </c>
      <c r="C951" s="29" t="s">
        <v>1749</v>
      </c>
      <c r="D951" s="29" t="str">
        <f>VLOOKUP(C:C,'COUNT-CONT'!B:C,2,FALSE)</f>
        <v>North America</v>
      </c>
      <c r="E951" s="29">
        <v>7</v>
      </c>
      <c r="F951" s="28">
        <v>2632</v>
      </c>
      <c r="G951" s="28">
        <v>4094533130</v>
      </c>
      <c r="H951" s="29">
        <v>20.95</v>
      </c>
      <c r="I951" s="142">
        <v>-58.489999999999995</v>
      </c>
      <c r="J951" s="29">
        <v>9.52</v>
      </c>
      <c r="K951" s="29">
        <v>7.98</v>
      </c>
      <c r="L951" s="29">
        <v>19.04</v>
      </c>
      <c r="M951" s="368"/>
      <c r="N951" s="368"/>
      <c r="O951" s="271">
        <f>IFERROR(Table17[[#This Row],[PROFIT]]/Table17[[#This Row],[TO]],0)</f>
        <v>0</v>
      </c>
      <c r="P951" s="177"/>
      <c r="Q951" s="177"/>
      <c r="R951" s="177"/>
    </row>
    <row r="952" spans="1:18" ht="30" hidden="1" x14ac:dyDescent="0.25">
      <c r="A952" s="29" t="s">
        <v>3805</v>
      </c>
      <c r="B952" s="29" t="s">
        <v>3804</v>
      </c>
      <c r="C952" s="29" t="s">
        <v>517</v>
      </c>
      <c r="D952" s="29" t="str">
        <f>VLOOKUP(C:C,'COUNT-CONT'!B:C,2,FALSE)</f>
        <v>South America</v>
      </c>
      <c r="E952" s="29">
        <v>5</v>
      </c>
      <c r="F952" s="28">
        <v>2194</v>
      </c>
      <c r="G952" s="28">
        <v>3964367365</v>
      </c>
      <c r="H952" s="29">
        <v>20.92</v>
      </c>
      <c r="I952" s="142">
        <v>-58.519999999999996</v>
      </c>
      <c r="J952" s="29">
        <v>8.16</v>
      </c>
      <c r="K952" s="29">
        <v>6.74</v>
      </c>
      <c r="L952" s="29">
        <v>17.739999999999998</v>
      </c>
      <c r="M952" s="368"/>
      <c r="N952" s="368"/>
      <c r="O952" s="271">
        <f>IFERROR(Table17[[#This Row],[PROFIT]]/Table17[[#This Row],[TO]],0)</f>
        <v>0</v>
      </c>
      <c r="P952" s="177"/>
      <c r="Q952" s="177"/>
      <c r="R952" s="177"/>
    </row>
    <row r="953" spans="1:18" hidden="1" x14ac:dyDescent="0.25">
      <c r="A953" s="29" t="s">
        <v>3906</v>
      </c>
      <c r="B953" s="29" t="s">
        <v>3905</v>
      </c>
      <c r="C953" s="29" t="s">
        <v>172</v>
      </c>
      <c r="D953" s="29" t="str">
        <f>VLOOKUP(C:C,'COUNT-CONT'!B:C,2,FALSE)</f>
        <v>Asia</v>
      </c>
      <c r="E953" s="29">
        <v>10</v>
      </c>
      <c r="F953" s="28">
        <v>3804</v>
      </c>
      <c r="G953" s="28">
        <v>3989969408</v>
      </c>
      <c r="H953" s="29">
        <v>20.89</v>
      </c>
      <c r="I953" s="142">
        <v>-58.55</v>
      </c>
      <c r="J953" s="29">
        <v>8.43</v>
      </c>
      <c r="K953" s="29">
        <v>7.32</v>
      </c>
      <c r="L953" s="29">
        <v>18.350000000000001</v>
      </c>
      <c r="M953" s="368"/>
      <c r="N953" s="368"/>
      <c r="O953" s="271">
        <f>IFERROR(Table17[[#This Row],[PROFIT]]/Table17[[#This Row],[TO]],0)</f>
        <v>0</v>
      </c>
      <c r="P953" s="177"/>
      <c r="Q953" s="177"/>
      <c r="R953" s="177"/>
    </row>
    <row r="954" spans="1:18" hidden="1" x14ac:dyDescent="0.25">
      <c r="A954" s="29" t="s">
        <v>2258</v>
      </c>
      <c r="B954" s="29" t="s">
        <v>2257</v>
      </c>
      <c r="C954" s="29" t="s">
        <v>1513</v>
      </c>
      <c r="D954" s="29" t="str">
        <f>VLOOKUP(C:C,'COUNT-CONT'!B:C,2,FALSE)</f>
        <v>Africa</v>
      </c>
      <c r="E954" s="29">
        <v>9</v>
      </c>
      <c r="F954" s="28">
        <v>3635</v>
      </c>
      <c r="G954" s="28">
        <v>3532413480</v>
      </c>
      <c r="H954" s="29">
        <v>20.89</v>
      </c>
      <c r="I954" s="142">
        <v>-58.55</v>
      </c>
      <c r="J954" s="29">
        <v>1.57</v>
      </c>
      <c r="K954" s="29" t="s">
        <v>1512</v>
      </c>
      <c r="L954" s="29">
        <v>11.25</v>
      </c>
      <c r="M954" s="368"/>
      <c r="N954" s="368"/>
      <c r="O954" s="271">
        <f>IFERROR(Table17[[#This Row],[PROFIT]]/Table17[[#This Row],[TO]],0)</f>
        <v>0</v>
      </c>
      <c r="P954" s="177"/>
      <c r="Q954" s="177"/>
      <c r="R954" s="177"/>
    </row>
    <row r="955" spans="1:18" ht="30" hidden="1" x14ac:dyDescent="0.25">
      <c r="A955" s="29" t="s">
        <v>3801</v>
      </c>
      <c r="B955" s="29" t="s">
        <v>3800</v>
      </c>
      <c r="C955" s="29" t="s">
        <v>517</v>
      </c>
      <c r="D955" s="29" t="str">
        <f>VLOOKUP(C:C,'COUNT-CONT'!B:C,2,FALSE)</f>
        <v>South America</v>
      </c>
      <c r="E955" s="29">
        <v>5</v>
      </c>
      <c r="F955" s="28">
        <v>2141</v>
      </c>
      <c r="G955" s="28">
        <v>3967778608</v>
      </c>
      <c r="H955" s="29">
        <v>20.89</v>
      </c>
      <c r="I955" s="142">
        <v>-58.55</v>
      </c>
      <c r="J955" s="29">
        <v>8.1300000000000008</v>
      </c>
      <c r="K955" s="29">
        <v>6.71</v>
      </c>
      <c r="L955" s="29">
        <v>17.71</v>
      </c>
      <c r="M955" s="368"/>
      <c r="N955" s="368"/>
      <c r="O955" s="271">
        <f>IFERROR(Table17[[#This Row],[PROFIT]]/Table17[[#This Row],[TO]],0)</f>
        <v>0</v>
      </c>
      <c r="P955" s="177"/>
      <c r="Q955" s="177"/>
      <c r="R955" s="177"/>
    </row>
    <row r="956" spans="1:18" ht="45" hidden="1" x14ac:dyDescent="0.25">
      <c r="A956" s="29" t="s">
        <v>3442</v>
      </c>
      <c r="B956" s="29" t="s">
        <v>3441</v>
      </c>
      <c r="C956" s="29" t="s">
        <v>714</v>
      </c>
      <c r="D956" s="29" t="str">
        <f>VLOOKUP(C:C,'COUNT-CONT'!B:C,2,FALSE)</f>
        <v>South America</v>
      </c>
      <c r="E956" s="29">
        <v>9</v>
      </c>
      <c r="F956" s="28">
        <v>3061</v>
      </c>
      <c r="G956" s="28">
        <v>3754759686</v>
      </c>
      <c r="H956" s="29">
        <v>20.83</v>
      </c>
      <c r="I956" s="142">
        <v>-58.61</v>
      </c>
      <c r="J956" s="29">
        <v>6.29</v>
      </c>
      <c r="K956" s="29">
        <v>4.72</v>
      </c>
      <c r="L956" s="29">
        <v>15.78</v>
      </c>
      <c r="M956" s="368"/>
      <c r="N956" s="368"/>
      <c r="O956" s="271">
        <f>IFERROR(Table17[[#This Row],[PROFIT]]/Table17[[#This Row],[TO]],0)</f>
        <v>0</v>
      </c>
      <c r="P956" s="177"/>
      <c r="Q956" s="177"/>
      <c r="R956" s="177"/>
    </row>
    <row r="957" spans="1:18" ht="30" hidden="1" x14ac:dyDescent="0.25">
      <c r="A957" s="29" t="s">
        <v>4997</v>
      </c>
      <c r="B957" s="29" t="s">
        <v>4996</v>
      </c>
      <c r="C957" s="29" t="s">
        <v>11732</v>
      </c>
      <c r="D957" s="29" t="str">
        <f>VLOOKUP(C:C,'COUNT-CONT'!B:C,2,FALSE)</f>
        <v>North America</v>
      </c>
      <c r="E957" s="29">
        <v>7</v>
      </c>
      <c r="F957" s="28">
        <v>3061</v>
      </c>
      <c r="G957" s="28">
        <v>5373159686</v>
      </c>
      <c r="H957" s="29">
        <v>20.8</v>
      </c>
      <c r="I957" s="142">
        <v>-58.64</v>
      </c>
      <c r="J957" s="29">
        <v>16.96</v>
      </c>
      <c r="K957" s="29">
        <v>16.96</v>
      </c>
      <c r="L957" s="29">
        <v>27.39</v>
      </c>
      <c r="M957" s="368"/>
      <c r="N957" s="368"/>
      <c r="O957" s="271">
        <f>IFERROR(Table17[[#This Row],[PROFIT]]/Table17[[#This Row],[TO]],0)</f>
        <v>0</v>
      </c>
      <c r="P957" s="177"/>
      <c r="Q957" s="177"/>
      <c r="R957" s="177"/>
    </row>
    <row r="958" spans="1:18" hidden="1" x14ac:dyDescent="0.25">
      <c r="A958" s="29" t="s">
        <v>3373</v>
      </c>
      <c r="B958" s="29" t="s">
        <v>3372</v>
      </c>
      <c r="C958" s="29" t="s">
        <v>1124</v>
      </c>
      <c r="D958" s="29" t="str">
        <f>VLOOKUP(C:C,'COUNT-CONT'!B:C,2,FALSE)</f>
        <v>Africa</v>
      </c>
      <c r="E958" s="29">
        <v>10</v>
      </c>
      <c r="F958" s="28">
        <v>4047</v>
      </c>
      <c r="G958" s="28">
        <v>3642806276</v>
      </c>
      <c r="H958" s="29">
        <v>20.8</v>
      </c>
      <c r="I958" s="142">
        <v>-58.64</v>
      </c>
      <c r="J958" s="29">
        <v>6.2</v>
      </c>
      <c r="K958" s="29">
        <v>4.32</v>
      </c>
      <c r="L958" s="29">
        <v>15.54</v>
      </c>
      <c r="M958" s="368"/>
      <c r="N958" s="368"/>
      <c r="O958" s="271">
        <f>IFERROR(Table17[[#This Row],[PROFIT]]/Table17[[#This Row],[TO]],0)</f>
        <v>0</v>
      </c>
      <c r="P958" s="177"/>
      <c r="Q958" s="177"/>
      <c r="R958" s="177"/>
    </row>
    <row r="959" spans="1:18" hidden="1" x14ac:dyDescent="0.25">
      <c r="A959" s="29" t="s">
        <v>3883</v>
      </c>
      <c r="B959" s="29" t="s">
        <v>3882</v>
      </c>
      <c r="C959" s="29" t="s">
        <v>172</v>
      </c>
      <c r="D959" s="29" t="str">
        <f>VLOOKUP(C:C,'COUNT-CONT'!B:C,2,FALSE)</f>
        <v>Asia</v>
      </c>
      <c r="E959" s="29">
        <v>8</v>
      </c>
      <c r="F959" s="28">
        <v>3066</v>
      </c>
      <c r="G959" s="28">
        <v>3973173646</v>
      </c>
      <c r="H959" s="29">
        <v>20.77</v>
      </c>
      <c r="I959" s="142">
        <v>-58.67</v>
      </c>
      <c r="J959" s="29">
        <v>8.3699999999999992</v>
      </c>
      <c r="K959" s="29">
        <v>7.29</v>
      </c>
      <c r="L959" s="29">
        <v>18.23</v>
      </c>
      <c r="M959" s="368"/>
      <c r="N959" s="368"/>
      <c r="O959" s="271">
        <f>IFERROR(Table17[[#This Row],[PROFIT]]/Table17[[#This Row],[TO]],0)</f>
        <v>0</v>
      </c>
      <c r="P959" s="177"/>
      <c r="Q959" s="177"/>
      <c r="R959" s="177"/>
    </row>
    <row r="960" spans="1:18" hidden="1" x14ac:dyDescent="0.25">
      <c r="A960" s="29" t="s">
        <v>2227</v>
      </c>
      <c r="B960" s="29" t="s">
        <v>2226</v>
      </c>
      <c r="C960" s="29" t="s">
        <v>1513</v>
      </c>
      <c r="D960" s="29" t="str">
        <f>VLOOKUP(C:C,'COUNT-CONT'!B:C,2,FALSE)</f>
        <v>Africa</v>
      </c>
      <c r="E960" s="29">
        <v>6</v>
      </c>
      <c r="F960" s="28">
        <v>2458</v>
      </c>
      <c r="G960" s="28">
        <v>3610918307</v>
      </c>
      <c r="H960" s="29">
        <v>20.77</v>
      </c>
      <c r="I960" s="142">
        <v>-58.67</v>
      </c>
      <c r="J960" s="29">
        <v>1.54</v>
      </c>
      <c r="K960" s="29" t="s">
        <v>1512</v>
      </c>
      <c r="L960" s="29">
        <v>11.15</v>
      </c>
      <c r="M960" s="368"/>
      <c r="N960" s="368"/>
      <c r="O960" s="271">
        <f>IFERROR(Table17[[#This Row],[PROFIT]]/Table17[[#This Row],[TO]],0)</f>
        <v>0</v>
      </c>
      <c r="P960" s="177"/>
      <c r="Q960" s="177"/>
      <c r="R960" s="177"/>
    </row>
    <row r="961" spans="1:18" ht="30" hidden="1" x14ac:dyDescent="0.25">
      <c r="A961" s="29" t="s">
        <v>3838</v>
      </c>
      <c r="B961" s="29" t="s">
        <v>3837</v>
      </c>
      <c r="C961" s="29" t="s">
        <v>860</v>
      </c>
      <c r="D961" s="29" t="str">
        <f>VLOOKUP(C:C,'COUNT-CONT'!B:C,2,FALSE)</f>
        <v>South America</v>
      </c>
      <c r="E961" s="29">
        <v>4</v>
      </c>
      <c r="F961" s="28">
        <v>1990</v>
      </c>
      <c r="G961" s="28">
        <v>4020563819</v>
      </c>
      <c r="H961" s="29">
        <v>20.77</v>
      </c>
      <c r="I961" s="142">
        <v>-58.67</v>
      </c>
      <c r="J961" s="29">
        <v>8.2200000000000006</v>
      </c>
      <c r="K961" s="29">
        <v>6.8</v>
      </c>
      <c r="L961" s="29">
        <v>17.93</v>
      </c>
      <c r="M961" s="368"/>
      <c r="N961" s="368"/>
      <c r="O961" s="271">
        <f>IFERROR(Table17[[#This Row],[PROFIT]]/Table17[[#This Row],[TO]],0)</f>
        <v>0</v>
      </c>
      <c r="P961" s="177"/>
      <c r="Q961" s="177"/>
      <c r="R961" s="177"/>
    </row>
    <row r="962" spans="1:18" hidden="1" x14ac:dyDescent="0.25">
      <c r="A962" s="29" t="s">
        <v>3479</v>
      </c>
      <c r="B962" s="29" t="s">
        <v>3478</v>
      </c>
      <c r="C962" s="29" t="s">
        <v>700</v>
      </c>
      <c r="D962" s="29" t="str">
        <f>VLOOKUP(C:C,'COUNT-CONT'!B:C,2,FALSE)</f>
        <v>Asia</v>
      </c>
      <c r="E962" s="29">
        <v>7</v>
      </c>
      <c r="F962" s="28">
        <v>2533</v>
      </c>
      <c r="G962" s="28">
        <v>3726367666</v>
      </c>
      <c r="H962" s="29">
        <v>20.74</v>
      </c>
      <c r="I962" s="142">
        <v>-58.7</v>
      </c>
      <c r="J962" s="29">
        <v>6.38</v>
      </c>
      <c r="K962" s="29">
        <v>4.78</v>
      </c>
      <c r="L962" s="29">
        <v>15.96</v>
      </c>
      <c r="M962" s="368"/>
      <c r="N962" s="368"/>
      <c r="O962" s="271">
        <f>IFERROR(Table17[[#This Row],[PROFIT]]/Table17[[#This Row],[TO]],0)</f>
        <v>0</v>
      </c>
      <c r="P962" s="177"/>
      <c r="Q962" s="177"/>
      <c r="R962" s="177"/>
    </row>
    <row r="963" spans="1:18" hidden="1" x14ac:dyDescent="0.25">
      <c r="A963" s="29" t="s">
        <v>4285</v>
      </c>
      <c r="B963" s="29" t="s">
        <v>4284</v>
      </c>
      <c r="C963" s="29" t="s">
        <v>142</v>
      </c>
      <c r="D963" s="29" t="str">
        <f>VLOOKUP(C:C,'COUNT-CONT'!B:C,2,FALSE)</f>
        <v>Asia</v>
      </c>
      <c r="E963" s="29">
        <v>6</v>
      </c>
      <c r="F963" s="28">
        <v>2593</v>
      </c>
      <c r="G963" s="28">
        <v>4424819051</v>
      </c>
      <c r="H963" s="29">
        <v>20.74</v>
      </c>
      <c r="I963" s="142">
        <v>-58.7</v>
      </c>
      <c r="J963" s="29">
        <v>11.19</v>
      </c>
      <c r="K963" s="29">
        <v>9.9499999999999993</v>
      </c>
      <c r="L963" s="29">
        <v>20.74</v>
      </c>
      <c r="M963" s="368"/>
      <c r="N963" s="368"/>
      <c r="O963" s="271">
        <f>IFERROR(Table17[[#This Row],[PROFIT]]/Table17[[#This Row],[TO]],0)</f>
        <v>0</v>
      </c>
      <c r="P963" s="177"/>
      <c r="Q963" s="177"/>
      <c r="R963" s="177"/>
    </row>
    <row r="964" spans="1:18" hidden="1" x14ac:dyDescent="0.25">
      <c r="A964" s="29" t="s">
        <v>3682</v>
      </c>
      <c r="B964" s="29" t="s">
        <v>3681</v>
      </c>
      <c r="C964" s="29" t="s">
        <v>78</v>
      </c>
      <c r="D964" s="29" t="str">
        <f>VLOOKUP(C:C,'COUNT-CONT'!B:C,2,FALSE)</f>
        <v>Europe</v>
      </c>
      <c r="E964" s="29">
        <v>6</v>
      </c>
      <c r="F964" s="28">
        <v>2542</v>
      </c>
      <c r="G964" s="28">
        <v>3830730133</v>
      </c>
      <c r="H964" s="29">
        <v>20.71</v>
      </c>
      <c r="I964" s="142">
        <v>-58.73</v>
      </c>
      <c r="J964" s="29">
        <v>7.47</v>
      </c>
      <c r="K964" s="29">
        <v>6.11</v>
      </c>
      <c r="L964" s="29">
        <v>16.989999999999998</v>
      </c>
      <c r="M964" s="368"/>
      <c r="N964" s="368"/>
      <c r="O964" s="271">
        <f>IFERROR(Table17[[#This Row],[PROFIT]]/Table17[[#This Row],[TO]],0)</f>
        <v>0</v>
      </c>
      <c r="P964" s="177"/>
      <c r="Q964" s="177"/>
      <c r="R964" s="177"/>
    </row>
    <row r="965" spans="1:18" ht="30" hidden="1" x14ac:dyDescent="0.25">
      <c r="A965" s="29" t="s">
        <v>3416</v>
      </c>
      <c r="B965" s="29" t="s">
        <v>3415</v>
      </c>
      <c r="C965" s="29" t="s">
        <v>714</v>
      </c>
      <c r="D965" s="29" t="str">
        <f>VLOOKUP(C:C,'COUNT-CONT'!B:C,2,FALSE)</f>
        <v>South America</v>
      </c>
      <c r="E965" s="29">
        <v>7</v>
      </c>
      <c r="F965" s="28">
        <v>2631</v>
      </c>
      <c r="G965" s="28">
        <v>3758291980</v>
      </c>
      <c r="H965" s="29">
        <v>20.71</v>
      </c>
      <c r="I965" s="142">
        <v>-58.73</v>
      </c>
      <c r="J965" s="29">
        <v>6.26</v>
      </c>
      <c r="K965" s="29">
        <v>4.6900000000000004</v>
      </c>
      <c r="L965" s="29">
        <v>15.69</v>
      </c>
      <c r="M965" s="368"/>
      <c r="N965" s="368"/>
      <c r="O965" s="271">
        <f>IFERROR(Table17[[#This Row],[PROFIT]]/Table17[[#This Row],[TO]],0)</f>
        <v>0</v>
      </c>
      <c r="P965" s="177"/>
      <c r="Q965" s="177"/>
      <c r="R965" s="177"/>
    </row>
    <row r="966" spans="1:18" hidden="1" x14ac:dyDescent="0.25">
      <c r="A966" s="29" t="s">
        <v>3782</v>
      </c>
      <c r="B966" s="29" t="s">
        <v>3781</v>
      </c>
      <c r="C966" s="29" t="s">
        <v>14</v>
      </c>
      <c r="D966" s="29" t="str">
        <f>VLOOKUP(C:C,'COUNT-CONT'!B:C,2,FALSE)</f>
        <v>Asia</v>
      </c>
      <c r="E966" s="29">
        <v>7</v>
      </c>
      <c r="F966" s="28">
        <v>2649</v>
      </c>
      <c r="G966" s="28">
        <v>3896851038</v>
      </c>
      <c r="H966" s="29">
        <v>20.68</v>
      </c>
      <c r="I966" s="142">
        <v>-58.76</v>
      </c>
      <c r="J966" s="29">
        <v>8.07</v>
      </c>
      <c r="K966" s="29">
        <v>6.65</v>
      </c>
      <c r="L966" s="29">
        <v>17.53</v>
      </c>
      <c r="M966" s="368"/>
      <c r="N966" s="368"/>
      <c r="O966" s="271">
        <f>IFERROR(Table17[[#This Row],[PROFIT]]/Table17[[#This Row],[TO]],0)</f>
        <v>0</v>
      </c>
      <c r="P966" s="177"/>
      <c r="Q966" s="177"/>
      <c r="R966" s="177"/>
    </row>
    <row r="967" spans="1:18" hidden="1" x14ac:dyDescent="0.25">
      <c r="A967" s="29" t="s">
        <v>4329</v>
      </c>
      <c r="B967" s="29" t="s">
        <v>4328</v>
      </c>
      <c r="C967" s="29" t="s">
        <v>585</v>
      </c>
      <c r="D967" s="29" t="str">
        <f>VLOOKUP(C:C,'COUNT-CONT'!B:C,2,FALSE)</f>
        <v>Europe</v>
      </c>
      <c r="E967" s="29">
        <v>5</v>
      </c>
      <c r="F967" s="28">
        <v>2120</v>
      </c>
      <c r="G967" s="28">
        <v>4521367924</v>
      </c>
      <c r="H967" s="29">
        <v>20.68</v>
      </c>
      <c r="I967" s="142">
        <v>-58.76</v>
      </c>
      <c r="J967" s="29">
        <v>11.4</v>
      </c>
      <c r="K967" s="29">
        <v>10.55</v>
      </c>
      <c r="L967" s="29">
        <v>21.1</v>
      </c>
      <c r="M967" s="368"/>
      <c r="N967" s="368"/>
      <c r="O967" s="271">
        <f>IFERROR(Table17[[#This Row],[PROFIT]]/Table17[[#This Row],[TO]],0)</f>
        <v>0</v>
      </c>
      <c r="P967" s="177"/>
      <c r="Q967" s="177"/>
      <c r="R967" s="177"/>
    </row>
    <row r="968" spans="1:18" ht="30" hidden="1" x14ac:dyDescent="0.25">
      <c r="A968" s="29" t="s">
        <v>3461</v>
      </c>
      <c r="B968" s="29" t="s">
        <v>3460</v>
      </c>
      <c r="C968" s="29" t="s">
        <v>3350</v>
      </c>
      <c r="D968" s="29" t="str">
        <f>VLOOKUP(C:C,'COUNT-CONT'!B:C,2,FALSE)</f>
        <v>North America</v>
      </c>
      <c r="E968" s="29">
        <v>9</v>
      </c>
      <c r="F968" s="28">
        <v>3049</v>
      </c>
      <c r="G968" s="28">
        <v>3667374024</v>
      </c>
      <c r="H968" s="29">
        <v>20.68</v>
      </c>
      <c r="I968" s="142">
        <v>-58.76</v>
      </c>
      <c r="J968" s="29">
        <v>6.68</v>
      </c>
      <c r="K968" s="29">
        <v>4.75</v>
      </c>
      <c r="L968" s="29">
        <v>15.9</v>
      </c>
      <c r="M968" s="368"/>
      <c r="N968" s="368"/>
      <c r="O968" s="271">
        <f>IFERROR(Table17[[#This Row],[PROFIT]]/Table17[[#This Row],[TO]],0)</f>
        <v>0</v>
      </c>
      <c r="P968" s="177"/>
      <c r="Q968" s="177"/>
      <c r="R968" s="177"/>
    </row>
    <row r="969" spans="1:18" hidden="1" x14ac:dyDescent="0.25">
      <c r="A969" s="29" t="s">
        <v>4402</v>
      </c>
      <c r="B969" s="29" t="s">
        <v>4401</v>
      </c>
      <c r="C969" s="29" t="s">
        <v>3915</v>
      </c>
      <c r="D969" s="29" t="str">
        <f>VLOOKUP(C:C,'COUNT-CONT'!B:C,2,FALSE)</f>
        <v>Europe</v>
      </c>
      <c r="E969" s="29">
        <v>8</v>
      </c>
      <c r="F969" s="28">
        <v>3129</v>
      </c>
      <c r="G969" s="28">
        <v>4506150015</v>
      </c>
      <c r="H969" s="29">
        <v>20.68</v>
      </c>
      <c r="I969" s="142">
        <v>-58.76</v>
      </c>
      <c r="J969" s="29">
        <v>11.61</v>
      </c>
      <c r="K969" s="29">
        <v>11.19</v>
      </c>
      <c r="L969" s="29">
        <v>21.52</v>
      </c>
      <c r="M969" s="368"/>
      <c r="N969" s="368"/>
      <c r="O969" s="271">
        <f>IFERROR(Table17[[#This Row],[PROFIT]]/Table17[[#This Row],[TO]],0)</f>
        <v>0</v>
      </c>
      <c r="P969" s="177"/>
      <c r="Q969" s="177"/>
      <c r="R969" s="177"/>
    </row>
    <row r="970" spans="1:18" ht="30" hidden="1" x14ac:dyDescent="0.25">
      <c r="A970" s="29" t="s">
        <v>3970</v>
      </c>
      <c r="B970" s="29" t="s">
        <v>3969</v>
      </c>
      <c r="C970" s="29" t="s">
        <v>1749</v>
      </c>
      <c r="D970" s="29" t="str">
        <f>VLOOKUP(C:C,'COUNT-CONT'!B:C,2,FALSE)</f>
        <v>North America</v>
      </c>
      <c r="E970" s="29">
        <v>7</v>
      </c>
      <c r="F970" s="28">
        <v>2830</v>
      </c>
      <c r="G970" s="28">
        <v>4048492579</v>
      </c>
      <c r="H970" s="29">
        <v>20.65</v>
      </c>
      <c r="I970" s="142">
        <v>-58.79</v>
      </c>
      <c r="J970" s="29">
        <v>9.3699999999999992</v>
      </c>
      <c r="K970" s="29">
        <v>7.86</v>
      </c>
      <c r="L970" s="29">
        <v>18.77</v>
      </c>
      <c r="M970" s="368"/>
      <c r="N970" s="368"/>
      <c r="O970" s="271">
        <f>IFERROR(Table17[[#This Row],[PROFIT]]/Table17[[#This Row],[TO]],0)</f>
        <v>0</v>
      </c>
      <c r="P970" s="177"/>
      <c r="Q970" s="177"/>
      <c r="R970" s="177"/>
    </row>
    <row r="971" spans="1:18" ht="30" hidden="1" x14ac:dyDescent="0.25">
      <c r="A971" s="29" t="s">
        <v>4512</v>
      </c>
      <c r="B971" s="29" t="s">
        <v>4511</v>
      </c>
      <c r="C971" s="29" t="s">
        <v>83</v>
      </c>
      <c r="D971" s="29" t="str">
        <f>VLOOKUP(C:C,'COUNT-CONT'!B:C,2,FALSE)</f>
        <v>Europe</v>
      </c>
      <c r="E971" s="29">
        <v>2</v>
      </c>
      <c r="F971" s="28">
        <v>1576</v>
      </c>
      <c r="G971" s="28">
        <v>4809169543</v>
      </c>
      <c r="H971" s="29">
        <v>20.65</v>
      </c>
      <c r="I971" s="142">
        <v>-58.79</v>
      </c>
      <c r="J971" s="29">
        <v>12.58</v>
      </c>
      <c r="K971" s="29">
        <v>11.67</v>
      </c>
      <c r="L971" s="29">
        <v>22.46</v>
      </c>
      <c r="M971" s="368"/>
      <c r="N971" s="368"/>
      <c r="O971" s="271">
        <f>IFERROR(Table17[[#This Row],[PROFIT]]/Table17[[#This Row],[TO]],0)</f>
        <v>0</v>
      </c>
      <c r="P971" s="177"/>
      <c r="Q971" s="177"/>
      <c r="R971" s="177"/>
    </row>
    <row r="972" spans="1:18" hidden="1" x14ac:dyDescent="0.25">
      <c r="A972" s="29" t="s">
        <v>3674</v>
      </c>
      <c r="B972" s="29" t="s">
        <v>3673</v>
      </c>
      <c r="C972" s="29" t="s">
        <v>567</v>
      </c>
      <c r="D972" s="29" t="str">
        <f>VLOOKUP(C:C,'COUNT-CONT'!B:C,2,FALSE)</f>
        <v>Asia</v>
      </c>
      <c r="E972" s="29">
        <v>9</v>
      </c>
      <c r="F972" s="28">
        <v>3263</v>
      </c>
      <c r="G972" s="28">
        <v>3874713086</v>
      </c>
      <c r="H972" s="29">
        <v>20.65</v>
      </c>
      <c r="I972" s="142">
        <v>-58.79</v>
      </c>
      <c r="J972" s="29">
        <v>7.44</v>
      </c>
      <c r="K972" s="29">
        <v>6.08</v>
      </c>
      <c r="L972" s="29">
        <v>16.93</v>
      </c>
      <c r="M972" s="368"/>
      <c r="N972" s="368"/>
      <c r="O972" s="271">
        <f>IFERROR(Table17[[#This Row],[PROFIT]]/Table17[[#This Row],[TO]],0)</f>
        <v>0</v>
      </c>
      <c r="P972" s="177"/>
      <c r="Q972" s="177"/>
      <c r="R972" s="177"/>
    </row>
    <row r="973" spans="1:18" ht="45" x14ac:dyDescent="0.25">
      <c r="A973" s="29" t="s">
        <v>4398</v>
      </c>
      <c r="B973" s="29" t="s">
        <v>4397</v>
      </c>
      <c r="C973" s="29" t="s">
        <v>1931</v>
      </c>
      <c r="D973" s="29" t="str">
        <f>VLOOKUP(C:C,'COUNT-CONT'!B:C,2,FALSE)</f>
        <v>Oceania</v>
      </c>
      <c r="E973" s="29">
        <v>7</v>
      </c>
      <c r="F973" s="28">
        <v>2765</v>
      </c>
      <c r="G973" s="28">
        <v>4439430018</v>
      </c>
      <c r="H973" s="29">
        <v>20.65</v>
      </c>
      <c r="I973" s="142">
        <v>-58.79</v>
      </c>
      <c r="J973" s="29">
        <v>11.61</v>
      </c>
      <c r="K973" s="29">
        <v>10.73</v>
      </c>
      <c r="L973" s="29">
        <v>21.49</v>
      </c>
      <c r="M973" s="368"/>
      <c r="N973" s="368"/>
      <c r="O973" s="271">
        <f>IFERROR(Table17[[#This Row],[PROFIT]]/Table17[[#This Row],[TO]],0)</f>
        <v>0</v>
      </c>
      <c r="P973" s="177"/>
      <c r="Q973" s="177"/>
      <c r="R973" s="177"/>
    </row>
    <row r="974" spans="1:18" ht="30" hidden="1" x14ac:dyDescent="0.25">
      <c r="A974" s="29" t="s">
        <v>3972</v>
      </c>
      <c r="B974" s="29" t="s">
        <v>3971</v>
      </c>
      <c r="C974" s="29" t="s">
        <v>1749</v>
      </c>
      <c r="D974" s="29" t="str">
        <f>VLOOKUP(C:C,'COUNT-CONT'!B:C,2,FALSE)</f>
        <v>North America</v>
      </c>
      <c r="E974" s="29">
        <v>8</v>
      </c>
      <c r="F974" s="28">
        <v>3075</v>
      </c>
      <c r="G974" s="28">
        <v>4044123577</v>
      </c>
      <c r="H974" s="29">
        <v>20.65</v>
      </c>
      <c r="I974" s="142">
        <v>-58.79</v>
      </c>
      <c r="J974" s="29">
        <v>9.3699999999999992</v>
      </c>
      <c r="K974" s="29">
        <v>7.89</v>
      </c>
      <c r="L974" s="29">
        <v>18.77</v>
      </c>
      <c r="M974" s="368"/>
      <c r="N974" s="368"/>
      <c r="O974" s="271">
        <f>IFERROR(Table17[[#This Row],[PROFIT]]/Table17[[#This Row],[TO]],0)</f>
        <v>0</v>
      </c>
      <c r="P974" s="177"/>
      <c r="Q974" s="177"/>
      <c r="R974" s="177"/>
    </row>
    <row r="975" spans="1:18" ht="30" hidden="1" x14ac:dyDescent="0.25">
      <c r="A975" s="29" t="s">
        <v>3964</v>
      </c>
      <c r="B975" s="29" t="s">
        <v>3963</v>
      </c>
      <c r="C975" s="29" t="s">
        <v>530</v>
      </c>
      <c r="D975" s="29" t="str">
        <f>VLOOKUP(C:C,'COUNT-CONT'!B:C,2,FALSE)</f>
        <v>South America</v>
      </c>
      <c r="E975" s="29">
        <v>10</v>
      </c>
      <c r="F975" s="28">
        <v>3433</v>
      </c>
      <c r="G975" s="28">
        <v>4035419458</v>
      </c>
      <c r="H975" s="29">
        <v>20.62</v>
      </c>
      <c r="I975" s="142">
        <v>-58.819999999999993</v>
      </c>
      <c r="J975" s="29">
        <v>8.98</v>
      </c>
      <c r="K975" s="29">
        <v>7.86</v>
      </c>
      <c r="L975" s="29">
        <v>18.739999999999998</v>
      </c>
      <c r="M975" s="368"/>
      <c r="N975" s="368"/>
      <c r="O975" s="271">
        <f>IFERROR(Table17[[#This Row],[PROFIT]]/Table17[[#This Row],[TO]],0)</f>
        <v>0</v>
      </c>
      <c r="P975" s="177"/>
      <c r="Q975" s="177"/>
      <c r="R975" s="177"/>
    </row>
    <row r="976" spans="1:18" hidden="1" x14ac:dyDescent="0.25">
      <c r="A976" s="29" t="s">
        <v>3454</v>
      </c>
      <c r="B976" s="29" t="s">
        <v>3453</v>
      </c>
      <c r="C976" s="29" t="s">
        <v>1314</v>
      </c>
      <c r="D976" s="29" t="str">
        <f>VLOOKUP(C:C,'COUNT-CONT'!B:C,2,FALSE)</f>
        <v>Asia</v>
      </c>
      <c r="E976" s="29">
        <v>2</v>
      </c>
      <c r="F976" s="28">
        <v>1438</v>
      </c>
      <c r="G976" s="28">
        <v>3902951321</v>
      </c>
      <c r="H976" s="29">
        <v>20.59</v>
      </c>
      <c r="I976" s="142">
        <v>-58.849999999999994</v>
      </c>
      <c r="J976" s="29">
        <v>6.65</v>
      </c>
      <c r="K976" s="29">
        <v>4.75</v>
      </c>
      <c r="L976" s="29">
        <v>15.84</v>
      </c>
      <c r="M976" s="368"/>
      <c r="N976" s="368"/>
      <c r="O976" s="271">
        <f>IFERROR(Table17[[#This Row],[PROFIT]]/Table17[[#This Row],[TO]],0)</f>
        <v>0</v>
      </c>
      <c r="P976" s="177"/>
      <c r="Q976" s="177"/>
      <c r="R976" s="177"/>
    </row>
    <row r="977" spans="1:18" ht="30" hidden="1" x14ac:dyDescent="0.25">
      <c r="A977" s="29" t="s">
        <v>213</v>
      </c>
      <c r="B977" s="29" t="s">
        <v>3593</v>
      </c>
      <c r="C977" s="29" t="s">
        <v>709</v>
      </c>
      <c r="D977" s="29" t="str">
        <f>VLOOKUP(C:C,'COUNT-CONT'!B:C,2,FALSE)</f>
        <v>Asia</v>
      </c>
      <c r="E977" s="29">
        <v>8</v>
      </c>
      <c r="F977" s="28">
        <v>2847</v>
      </c>
      <c r="G977" s="28">
        <v>3778571619</v>
      </c>
      <c r="H977" s="29">
        <v>20.56</v>
      </c>
      <c r="I977" s="142">
        <v>-58.879999999999995</v>
      </c>
      <c r="J977" s="29">
        <v>7.29</v>
      </c>
      <c r="K977" s="29">
        <v>5.62</v>
      </c>
      <c r="L977" s="29">
        <v>16.600000000000001</v>
      </c>
      <c r="M977" s="368"/>
      <c r="N977" s="368"/>
      <c r="O977" s="271">
        <f>IFERROR(Table17[[#This Row],[PROFIT]]/Table17[[#This Row],[TO]],0)</f>
        <v>0</v>
      </c>
      <c r="P977" s="177"/>
      <c r="Q977" s="177"/>
      <c r="R977" s="177"/>
    </row>
    <row r="978" spans="1:18" ht="30" hidden="1" x14ac:dyDescent="0.25">
      <c r="A978" s="29" t="s">
        <v>4068</v>
      </c>
      <c r="B978" s="29" t="s">
        <v>4067</v>
      </c>
      <c r="C978" s="29" t="s">
        <v>2441</v>
      </c>
      <c r="D978" s="29" t="e">
        <f>VLOOKUP(C:C,'COUNT-CONT'!B:C,2,FALSE)</f>
        <v>#N/A</v>
      </c>
      <c r="E978" s="29">
        <v>7</v>
      </c>
      <c r="F978" s="28">
        <v>2827</v>
      </c>
      <c r="G978" s="28">
        <v>4157305058</v>
      </c>
      <c r="H978" s="29">
        <v>20.53</v>
      </c>
      <c r="I978" s="142">
        <v>-58.91</v>
      </c>
      <c r="J978" s="29">
        <v>9.67</v>
      </c>
      <c r="K978" s="29">
        <v>8.52</v>
      </c>
      <c r="L978" s="29">
        <v>19.38</v>
      </c>
      <c r="M978" s="368"/>
      <c r="N978" s="368"/>
      <c r="O978" s="271">
        <f>IFERROR(Table17[[#This Row],[PROFIT]]/Table17[[#This Row],[TO]],0)</f>
        <v>0</v>
      </c>
      <c r="P978" s="177"/>
      <c r="Q978" s="177"/>
      <c r="R978" s="177"/>
    </row>
    <row r="979" spans="1:18" ht="30" hidden="1" x14ac:dyDescent="0.25">
      <c r="A979" s="29" t="s">
        <v>3797</v>
      </c>
      <c r="B979" s="29" t="s">
        <v>3796</v>
      </c>
      <c r="C979" s="29" t="s">
        <v>3795</v>
      </c>
      <c r="D979" s="29" t="str">
        <f>VLOOKUP(C:C,'COUNT-CONT'!B:C,2,FALSE)</f>
        <v>North America</v>
      </c>
      <c r="E979" s="29">
        <v>7</v>
      </c>
      <c r="F979" s="28">
        <v>2798</v>
      </c>
      <c r="G979" s="28">
        <v>3909937955</v>
      </c>
      <c r="H979" s="29">
        <v>20.53</v>
      </c>
      <c r="I979" s="142">
        <v>-58.91</v>
      </c>
      <c r="J979" s="29">
        <v>8.1300000000000008</v>
      </c>
      <c r="K979" s="29">
        <v>7.07</v>
      </c>
      <c r="L979" s="29">
        <v>17.68</v>
      </c>
      <c r="M979" s="368"/>
      <c r="N979" s="368"/>
      <c r="O979" s="271">
        <f>IFERROR(Table17[[#This Row],[PROFIT]]/Table17[[#This Row],[TO]],0)</f>
        <v>0</v>
      </c>
      <c r="P979" s="177"/>
      <c r="Q979" s="177"/>
      <c r="R979" s="177"/>
    </row>
    <row r="980" spans="1:18" ht="30" hidden="1" x14ac:dyDescent="0.25">
      <c r="A980" s="29" t="s">
        <v>4957</v>
      </c>
      <c r="B980" s="29" t="s">
        <v>4956</v>
      </c>
      <c r="C980" s="29" t="s">
        <v>11732</v>
      </c>
      <c r="D980" s="29" t="str">
        <f>VLOOKUP(C:C,'COUNT-CONT'!B:C,2,FALSE)</f>
        <v>North America</v>
      </c>
      <c r="E980" s="29">
        <v>4</v>
      </c>
      <c r="F980" s="28">
        <v>2210</v>
      </c>
      <c r="G980" s="28">
        <v>5388137556</v>
      </c>
      <c r="H980" s="29">
        <v>20.53</v>
      </c>
      <c r="I980" s="142">
        <v>-58.91</v>
      </c>
      <c r="J980" s="29">
        <v>16.75</v>
      </c>
      <c r="K980" s="29">
        <v>16.75</v>
      </c>
      <c r="L980" s="29">
        <v>27.03</v>
      </c>
      <c r="M980" s="368"/>
      <c r="N980" s="368"/>
      <c r="O980" s="271">
        <f>IFERROR(Table17[[#This Row],[PROFIT]]/Table17[[#This Row],[TO]],0)</f>
        <v>0</v>
      </c>
      <c r="P980" s="177"/>
      <c r="Q980" s="177"/>
      <c r="R980" s="177"/>
    </row>
    <row r="981" spans="1:18" hidden="1" x14ac:dyDescent="0.25">
      <c r="A981" s="29" t="s">
        <v>2910</v>
      </c>
      <c r="B981" s="29" t="s">
        <v>2909</v>
      </c>
      <c r="C981" s="29" t="s">
        <v>2908</v>
      </c>
      <c r="D981" s="29" t="str">
        <f>VLOOKUP(C:C,'COUNT-CONT'!B:C,2,FALSE)</f>
        <v>Asia</v>
      </c>
      <c r="E981" s="29">
        <v>4</v>
      </c>
      <c r="F981" s="28">
        <v>1977</v>
      </c>
      <c r="G981" s="28">
        <v>3615598583</v>
      </c>
      <c r="H981" s="29">
        <v>20.53</v>
      </c>
      <c r="I981" s="142">
        <v>-58.91</v>
      </c>
      <c r="J981" s="29">
        <v>4.3499999999999996</v>
      </c>
      <c r="K981" s="29">
        <v>2.4500000000000002</v>
      </c>
      <c r="L981" s="29">
        <v>13.69</v>
      </c>
      <c r="M981" s="368"/>
      <c r="N981" s="368"/>
      <c r="O981" s="271">
        <f>IFERROR(Table17[[#This Row],[PROFIT]]/Table17[[#This Row],[TO]],0)</f>
        <v>0</v>
      </c>
      <c r="P981" s="177"/>
      <c r="Q981" s="177"/>
      <c r="R981" s="177"/>
    </row>
    <row r="982" spans="1:18" ht="30" hidden="1" x14ac:dyDescent="0.25">
      <c r="A982" s="29" t="s">
        <v>3440</v>
      </c>
      <c r="B982" s="29" t="s">
        <v>3439</v>
      </c>
      <c r="C982" s="29" t="s">
        <v>493</v>
      </c>
      <c r="D982" s="29" t="str">
        <f>VLOOKUP(C:C,'COUNT-CONT'!B:C,2,FALSE)</f>
        <v>Africa</v>
      </c>
      <c r="E982" s="29">
        <v>6</v>
      </c>
      <c r="F982" s="28">
        <v>2500</v>
      </c>
      <c r="G982" s="28">
        <v>3684000000</v>
      </c>
      <c r="H982" s="29">
        <v>20.5</v>
      </c>
      <c r="I982" s="142">
        <v>-58.94</v>
      </c>
      <c r="J982" s="29">
        <v>6.62</v>
      </c>
      <c r="K982" s="29">
        <v>4.72</v>
      </c>
      <c r="L982" s="29">
        <v>15.78</v>
      </c>
      <c r="M982" s="368"/>
      <c r="N982" s="368"/>
      <c r="O982" s="271">
        <f>IFERROR(Table17[[#This Row],[PROFIT]]/Table17[[#This Row],[TO]],0)</f>
        <v>0</v>
      </c>
      <c r="P982" s="177"/>
      <c r="Q982" s="177"/>
      <c r="R982" s="177"/>
    </row>
    <row r="983" spans="1:18" hidden="1" x14ac:dyDescent="0.25">
      <c r="A983" s="29" t="s">
        <v>4247</v>
      </c>
      <c r="B983" s="29" t="s">
        <v>4246</v>
      </c>
      <c r="C983" s="29" t="s">
        <v>142</v>
      </c>
      <c r="D983" s="29" t="str">
        <f>VLOOKUP(C:C,'COUNT-CONT'!B:C,2,FALSE)</f>
        <v>Asia</v>
      </c>
      <c r="E983" s="29">
        <v>6</v>
      </c>
      <c r="F983" s="28">
        <v>2588</v>
      </c>
      <c r="G983" s="28">
        <v>4392038639</v>
      </c>
      <c r="H983" s="29">
        <v>20.5</v>
      </c>
      <c r="I983" s="142">
        <v>-58.94</v>
      </c>
      <c r="J983" s="29">
        <v>11.06</v>
      </c>
      <c r="K983" s="29">
        <v>9.82</v>
      </c>
      <c r="L983" s="29">
        <v>20.5</v>
      </c>
      <c r="M983" s="368"/>
      <c r="N983" s="368"/>
      <c r="O983" s="271">
        <f>IFERROR(Table17[[#This Row],[PROFIT]]/Table17[[#This Row],[TO]],0)</f>
        <v>0</v>
      </c>
      <c r="P983" s="177"/>
      <c r="Q983" s="177"/>
      <c r="R983" s="177"/>
    </row>
    <row r="984" spans="1:18" hidden="1" x14ac:dyDescent="0.25">
      <c r="A984" s="29" t="s">
        <v>3365</v>
      </c>
      <c r="B984" s="29" t="s">
        <v>3364</v>
      </c>
      <c r="C984" s="29" t="s">
        <v>588</v>
      </c>
      <c r="D984" s="29" t="str">
        <f>VLOOKUP(C:C,'COUNT-CONT'!B:C,2,FALSE)</f>
        <v>Europe</v>
      </c>
      <c r="E984" s="29">
        <v>9</v>
      </c>
      <c r="F984" s="28">
        <v>3961</v>
      </c>
      <c r="G984" s="28">
        <v>3653907649</v>
      </c>
      <c r="H984" s="29">
        <v>20.47</v>
      </c>
      <c r="I984" s="142">
        <v>-58.97</v>
      </c>
      <c r="J984" s="29">
        <v>6.2</v>
      </c>
      <c r="K984" s="29">
        <v>4.63</v>
      </c>
      <c r="L984" s="29">
        <v>15.51</v>
      </c>
      <c r="M984" s="368"/>
      <c r="N984" s="368"/>
      <c r="O984" s="271">
        <f>IFERROR(Table17[[#This Row],[PROFIT]]/Table17[[#This Row],[TO]],0)</f>
        <v>0</v>
      </c>
      <c r="P984" s="177"/>
      <c r="Q984" s="177"/>
      <c r="R984" s="177"/>
    </row>
    <row r="985" spans="1:18" hidden="1" x14ac:dyDescent="0.25">
      <c r="A985" s="29" t="s">
        <v>3626</v>
      </c>
      <c r="B985" s="29" t="s">
        <v>3625</v>
      </c>
      <c r="C985" s="29" t="s">
        <v>78</v>
      </c>
      <c r="D985" s="29" t="str">
        <f>VLOOKUP(C:C,'COUNT-CONT'!B:C,2,FALSE)</f>
        <v>Europe</v>
      </c>
      <c r="E985" s="29">
        <v>8</v>
      </c>
      <c r="F985" s="28">
        <v>2844</v>
      </c>
      <c r="G985" s="28">
        <v>3789179184</v>
      </c>
      <c r="H985" s="29">
        <v>20.47</v>
      </c>
      <c r="I985" s="142">
        <v>-58.97</v>
      </c>
      <c r="J985" s="29">
        <v>7.38</v>
      </c>
      <c r="K985" s="29">
        <v>6.02</v>
      </c>
      <c r="L985" s="29">
        <v>16.78</v>
      </c>
      <c r="M985" s="368"/>
      <c r="N985" s="368"/>
      <c r="O985" s="271">
        <f>IFERROR(Table17[[#This Row],[PROFIT]]/Table17[[#This Row],[TO]],0)</f>
        <v>0</v>
      </c>
      <c r="P985" s="177"/>
      <c r="Q985" s="177"/>
      <c r="R985" s="177"/>
    </row>
    <row r="986" spans="1:18" hidden="1" x14ac:dyDescent="0.25">
      <c r="A986" s="29" t="s">
        <v>3431</v>
      </c>
      <c r="B986" s="29" t="s">
        <v>3430</v>
      </c>
      <c r="C986" s="29" t="s">
        <v>700</v>
      </c>
      <c r="D986" s="29" t="str">
        <f>VLOOKUP(C:C,'COUNT-CONT'!B:C,2,FALSE)</f>
        <v>Asia</v>
      </c>
      <c r="E986" s="29">
        <v>5</v>
      </c>
      <c r="F986" s="28">
        <v>2192</v>
      </c>
      <c r="G986" s="28">
        <v>3734724817</v>
      </c>
      <c r="H986" s="29">
        <v>20.47</v>
      </c>
      <c r="I986" s="142">
        <v>-58.97</v>
      </c>
      <c r="J986" s="29">
        <v>6.29</v>
      </c>
      <c r="K986" s="29">
        <v>4.72</v>
      </c>
      <c r="L986" s="29">
        <v>15.75</v>
      </c>
      <c r="M986" s="368"/>
      <c r="N986" s="368"/>
      <c r="O986" s="271">
        <f>IFERROR(Table17[[#This Row],[PROFIT]]/Table17[[#This Row],[TO]],0)</f>
        <v>0</v>
      </c>
      <c r="P986" s="177"/>
      <c r="Q986" s="177"/>
      <c r="R986" s="177"/>
    </row>
    <row r="987" spans="1:18" hidden="1" x14ac:dyDescent="0.25">
      <c r="A987" s="29" t="s">
        <v>4596</v>
      </c>
      <c r="B987" s="29" t="s">
        <v>4595</v>
      </c>
      <c r="C987" s="29" t="s">
        <v>119</v>
      </c>
      <c r="D987" s="29" t="str">
        <f>VLOOKUP(C:C,'COUNT-CONT'!B:C,2,FALSE)</f>
        <v>Europe</v>
      </c>
      <c r="E987" s="29">
        <v>5</v>
      </c>
      <c r="F987" s="28">
        <v>2362</v>
      </c>
      <c r="G987" s="28">
        <v>4763107027</v>
      </c>
      <c r="H987" s="29">
        <v>20.41</v>
      </c>
      <c r="I987" s="142">
        <v>-59.03</v>
      </c>
      <c r="J987" s="29">
        <v>13.45</v>
      </c>
      <c r="K987" s="29">
        <v>12.97</v>
      </c>
      <c r="L987" s="29">
        <v>23.19</v>
      </c>
      <c r="M987" s="368"/>
      <c r="N987" s="368"/>
      <c r="O987" s="271">
        <f>IFERROR(Table17[[#This Row],[PROFIT]]/Table17[[#This Row],[TO]],0)</f>
        <v>0</v>
      </c>
      <c r="P987" s="177"/>
      <c r="Q987" s="177"/>
      <c r="R987" s="177"/>
    </row>
    <row r="988" spans="1:18" hidden="1" x14ac:dyDescent="0.25">
      <c r="A988" s="29" t="s">
        <v>3615</v>
      </c>
      <c r="B988" s="29" t="s">
        <v>3614</v>
      </c>
      <c r="C988" s="29" t="s">
        <v>78</v>
      </c>
      <c r="D988" s="29" t="str">
        <f>VLOOKUP(C:C,'COUNT-CONT'!B:C,2,FALSE)</f>
        <v>Europe</v>
      </c>
      <c r="E988" s="29">
        <v>8</v>
      </c>
      <c r="F988" s="28">
        <v>3841</v>
      </c>
      <c r="G988" s="28">
        <v>3678683754</v>
      </c>
      <c r="H988" s="29">
        <v>20.37</v>
      </c>
      <c r="I988" s="142">
        <v>-59.069999999999993</v>
      </c>
      <c r="J988" s="29">
        <v>7.35</v>
      </c>
      <c r="K988" s="29">
        <v>6.02</v>
      </c>
      <c r="L988" s="29">
        <v>16.72</v>
      </c>
      <c r="M988" s="368"/>
      <c r="N988" s="368"/>
      <c r="O988" s="271">
        <f>IFERROR(Table17[[#This Row],[PROFIT]]/Table17[[#This Row],[TO]],0)</f>
        <v>0</v>
      </c>
      <c r="P988" s="177"/>
      <c r="Q988" s="177"/>
      <c r="R988" s="177"/>
    </row>
    <row r="989" spans="1:18" ht="30" hidden="1" x14ac:dyDescent="0.25">
      <c r="A989" s="29" t="s">
        <v>4594</v>
      </c>
      <c r="B989" s="29" t="s">
        <v>4593</v>
      </c>
      <c r="C989" s="29" t="s">
        <v>514</v>
      </c>
      <c r="D989" s="29" t="str">
        <f>VLOOKUP(C:C,'COUNT-CONT'!B:C,2,FALSE)</f>
        <v>North America</v>
      </c>
      <c r="E989" s="29">
        <v>7</v>
      </c>
      <c r="F989" s="28">
        <v>2676</v>
      </c>
      <c r="G989" s="28">
        <v>4734661285</v>
      </c>
      <c r="H989" s="29">
        <v>20.37</v>
      </c>
      <c r="I989" s="142">
        <v>-59.069999999999993</v>
      </c>
      <c r="J989" s="29">
        <v>13.42</v>
      </c>
      <c r="K989" s="29">
        <v>12.97</v>
      </c>
      <c r="L989" s="29">
        <v>23.16</v>
      </c>
      <c r="M989" s="368"/>
      <c r="N989" s="368"/>
      <c r="O989" s="271">
        <f>IFERROR(Table17[[#This Row],[PROFIT]]/Table17[[#This Row],[TO]],0)</f>
        <v>0</v>
      </c>
      <c r="P989" s="177"/>
      <c r="Q989" s="177"/>
      <c r="R989" s="177"/>
    </row>
    <row r="990" spans="1:18" ht="30" hidden="1" x14ac:dyDescent="0.25">
      <c r="A990" s="29" t="s">
        <v>3925</v>
      </c>
      <c r="B990" s="29" t="s">
        <v>3924</v>
      </c>
      <c r="C990" s="29" t="s">
        <v>1749</v>
      </c>
      <c r="D990" s="29" t="str">
        <f>VLOOKUP(C:C,'COUNT-CONT'!B:C,2,FALSE)</f>
        <v>North America</v>
      </c>
      <c r="E990" s="29">
        <v>8</v>
      </c>
      <c r="F990" s="28">
        <v>3070</v>
      </c>
      <c r="G990" s="28">
        <v>4006306188</v>
      </c>
      <c r="H990" s="29">
        <v>20.34</v>
      </c>
      <c r="I990" s="142">
        <v>-59.099999999999994</v>
      </c>
      <c r="J990" s="29">
        <v>9.25</v>
      </c>
      <c r="K990" s="29">
        <v>7.77</v>
      </c>
      <c r="L990" s="29">
        <v>18.5</v>
      </c>
      <c r="M990" s="368"/>
      <c r="N990" s="368"/>
      <c r="O990" s="271">
        <f>IFERROR(Table17[[#This Row],[PROFIT]]/Table17[[#This Row],[TO]],0)</f>
        <v>0</v>
      </c>
      <c r="P990" s="177"/>
      <c r="Q990" s="177"/>
      <c r="R990" s="177"/>
    </row>
    <row r="991" spans="1:18" ht="30" hidden="1" x14ac:dyDescent="0.25">
      <c r="A991" s="29" t="s">
        <v>4947</v>
      </c>
      <c r="B991" s="29" t="s">
        <v>4946</v>
      </c>
      <c r="C991" s="29" t="s">
        <v>11732</v>
      </c>
      <c r="D991" s="29" t="str">
        <f>VLOOKUP(C:C,'COUNT-CONT'!B:C,2,FALSE)</f>
        <v>North America</v>
      </c>
      <c r="E991" s="29">
        <v>10</v>
      </c>
      <c r="F991" s="28">
        <v>4541</v>
      </c>
      <c r="G991" s="28">
        <v>5314137392</v>
      </c>
      <c r="H991" s="29">
        <v>20.34</v>
      </c>
      <c r="I991" s="142">
        <v>-59.099999999999994</v>
      </c>
      <c r="J991" s="29">
        <v>16.600000000000001</v>
      </c>
      <c r="K991" s="29">
        <v>16.600000000000001</v>
      </c>
      <c r="L991" s="29">
        <v>26.78</v>
      </c>
      <c r="M991" s="368"/>
      <c r="N991" s="368"/>
      <c r="O991" s="271">
        <f>IFERROR(Table17[[#This Row],[PROFIT]]/Table17[[#This Row],[TO]],0)</f>
        <v>0</v>
      </c>
      <c r="P991" s="177"/>
      <c r="Q991" s="177"/>
      <c r="R991" s="177"/>
    </row>
    <row r="992" spans="1:18" ht="30" hidden="1" x14ac:dyDescent="0.25">
      <c r="A992" s="29" t="s">
        <v>3405</v>
      </c>
      <c r="B992" s="29" t="s">
        <v>3404</v>
      </c>
      <c r="C992" s="29" t="s">
        <v>3403</v>
      </c>
      <c r="D992" s="29" t="str">
        <f>VLOOKUP(C:C,'COUNT-CONT'!B:C,2,FALSE)</f>
        <v>South America</v>
      </c>
      <c r="E992" s="29">
        <v>6</v>
      </c>
      <c r="F992" s="28">
        <v>2297</v>
      </c>
      <c r="G992" s="28">
        <v>3692885502</v>
      </c>
      <c r="H992" s="29">
        <v>20.34</v>
      </c>
      <c r="I992" s="142">
        <v>-59.099999999999994</v>
      </c>
      <c r="J992" s="29">
        <v>6.26</v>
      </c>
      <c r="K992" s="29">
        <v>4.6900000000000004</v>
      </c>
      <c r="L992" s="29">
        <v>15.66</v>
      </c>
      <c r="M992" s="368"/>
      <c r="N992" s="368"/>
      <c r="O992" s="271">
        <f>IFERROR(Table17[[#This Row],[PROFIT]]/Table17[[#This Row],[TO]],0)</f>
        <v>0</v>
      </c>
      <c r="P992" s="177"/>
      <c r="Q992" s="177"/>
      <c r="R992" s="177"/>
    </row>
    <row r="993" spans="1:18" ht="30" hidden="1" x14ac:dyDescent="0.25">
      <c r="A993" s="29" t="s">
        <v>4939</v>
      </c>
      <c r="B993" s="29" t="s">
        <v>4938</v>
      </c>
      <c r="C993" s="29" t="s">
        <v>11732</v>
      </c>
      <c r="D993" s="29" t="str">
        <f>VLOOKUP(C:C,'COUNT-CONT'!B:C,2,FALSE)</f>
        <v>North America</v>
      </c>
      <c r="E993" s="29">
        <v>5</v>
      </c>
      <c r="F993" s="28">
        <v>2372</v>
      </c>
      <c r="G993" s="28">
        <v>5337543676</v>
      </c>
      <c r="H993" s="29">
        <v>20.34</v>
      </c>
      <c r="I993" s="142">
        <v>-59.099999999999994</v>
      </c>
      <c r="J993" s="29">
        <v>16.600000000000001</v>
      </c>
      <c r="K993" s="29">
        <v>16.600000000000001</v>
      </c>
      <c r="L993" s="29">
        <v>26.78</v>
      </c>
      <c r="M993" s="368"/>
      <c r="N993" s="368"/>
      <c r="O993" s="271">
        <f>IFERROR(Table17[[#This Row],[PROFIT]]/Table17[[#This Row],[TO]],0)</f>
        <v>0</v>
      </c>
      <c r="P993" s="177"/>
      <c r="Q993" s="177"/>
      <c r="R993" s="177"/>
    </row>
    <row r="994" spans="1:18" hidden="1" x14ac:dyDescent="0.25">
      <c r="A994" s="29" t="s">
        <v>3874</v>
      </c>
      <c r="B994" s="29" t="s">
        <v>3873</v>
      </c>
      <c r="C994" s="29" t="s">
        <v>605</v>
      </c>
      <c r="D994" s="29" t="str">
        <f>VLOOKUP(C:C,'COUNT-CONT'!B:C,2,FALSE)</f>
        <v>Europe</v>
      </c>
      <c r="E994" s="29">
        <v>3</v>
      </c>
      <c r="F994" s="28">
        <v>1636</v>
      </c>
      <c r="G994" s="28">
        <v>4272271638</v>
      </c>
      <c r="H994" s="29">
        <v>20.34</v>
      </c>
      <c r="I994" s="142">
        <v>-59.099999999999994</v>
      </c>
      <c r="J994" s="29">
        <v>8.7100000000000009</v>
      </c>
      <c r="K994" s="29">
        <v>7.62</v>
      </c>
      <c r="L994" s="29">
        <v>18.170000000000002</v>
      </c>
      <c r="M994" s="368"/>
      <c r="N994" s="368"/>
      <c r="O994" s="271">
        <f>IFERROR(Table17[[#This Row],[PROFIT]]/Table17[[#This Row],[TO]],0)</f>
        <v>0</v>
      </c>
      <c r="P994" s="177"/>
      <c r="Q994" s="177"/>
      <c r="R994" s="177"/>
    </row>
    <row r="995" spans="1:18" hidden="1" x14ac:dyDescent="0.25">
      <c r="A995" s="29" t="s">
        <v>4590</v>
      </c>
      <c r="B995" s="29" t="s">
        <v>4589</v>
      </c>
      <c r="C995" s="29" t="s">
        <v>119</v>
      </c>
      <c r="D995" s="29" t="str">
        <f>VLOOKUP(C:C,'COUNT-CONT'!B:C,2,FALSE)</f>
        <v>Europe</v>
      </c>
      <c r="E995" s="29">
        <v>9</v>
      </c>
      <c r="F995" s="28">
        <v>3382</v>
      </c>
      <c r="G995" s="28">
        <v>4707851330</v>
      </c>
      <c r="H995" s="29">
        <v>20.309999999999999</v>
      </c>
      <c r="I995" s="142">
        <v>-59.129999999999995</v>
      </c>
      <c r="J995" s="29">
        <v>13.39</v>
      </c>
      <c r="K995" s="29">
        <v>12.94</v>
      </c>
      <c r="L995" s="29">
        <v>23.1</v>
      </c>
      <c r="M995" s="368"/>
      <c r="N995" s="368"/>
      <c r="O995" s="271">
        <f>IFERROR(Table17[[#This Row],[PROFIT]]/Table17[[#This Row],[TO]],0)</f>
        <v>0</v>
      </c>
      <c r="P995" s="177"/>
      <c r="Q995" s="177"/>
      <c r="R995" s="177"/>
    </row>
    <row r="996" spans="1:18" hidden="1" x14ac:dyDescent="0.25">
      <c r="A996" s="29" t="s">
        <v>3603</v>
      </c>
      <c r="B996" s="29" t="s">
        <v>3602</v>
      </c>
      <c r="C996" s="29" t="s">
        <v>78</v>
      </c>
      <c r="D996" s="29" t="str">
        <f>VLOOKUP(C:C,'COUNT-CONT'!B:C,2,FALSE)</f>
        <v>Europe</v>
      </c>
      <c r="E996" s="29">
        <v>6</v>
      </c>
      <c r="F996" s="28">
        <v>2538</v>
      </c>
      <c r="G996" s="28">
        <v>3786612135</v>
      </c>
      <c r="H996" s="29">
        <v>20.309999999999999</v>
      </c>
      <c r="I996" s="142">
        <v>-59.129999999999995</v>
      </c>
      <c r="J996" s="29">
        <v>7.32</v>
      </c>
      <c r="K996" s="29">
        <v>5.99</v>
      </c>
      <c r="L996" s="29">
        <v>16.66</v>
      </c>
      <c r="M996" s="368"/>
      <c r="N996" s="368"/>
      <c r="O996" s="271">
        <f>IFERROR(Table17[[#This Row],[PROFIT]]/Table17[[#This Row],[TO]],0)</f>
        <v>0</v>
      </c>
      <c r="P996" s="177"/>
      <c r="Q996" s="177"/>
      <c r="R996" s="177"/>
    </row>
    <row r="997" spans="1:18" ht="30" hidden="1" x14ac:dyDescent="0.25">
      <c r="A997" s="29" t="s">
        <v>4588</v>
      </c>
      <c r="B997" s="29" t="s">
        <v>4587</v>
      </c>
      <c r="C997" s="29" t="s">
        <v>514</v>
      </c>
      <c r="D997" s="29" t="str">
        <f>VLOOKUP(C:C,'COUNT-CONT'!B:C,2,FALSE)</f>
        <v>North America</v>
      </c>
      <c r="E997" s="29">
        <v>7</v>
      </c>
      <c r="F997" s="28">
        <v>2907</v>
      </c>
      <c r="G997" s="28">
        <v>4715996972</v>
      </c>
      <c r="H997" s="29">
        <v>20.309999999999999</v>
      </c>
      <c r="I997" s="142">
        <v>-59.129999999999995</v>
      </c>
      <c r="J997" s="29">
        <v>13.39</v>
      </c>
      <c r="K997" s="29">
        <v>12.94</v>
      </c>
      <c r="L997" s="29">
        <v>23.1</v>
      </c>
      <c r="M997" s="368"/>
      <c r="N997" s="368"/>
      <c r="O997" s="271">
        <f>IFERROR(Table17[[#This Row],[PROFIT]]/Table17[[#This Row],[TO]],0)</f>
        <v>0</v>
      </c>
      <c r="P997" s="177"/>
      <c r="Q997" s="177"/>
      <c r="R997" s="177"/>
    </row>
    <row r="998" spans="1:18" ht="30" hidden="1" x14ac:dyDescent="0.25">
      <c r="A998" s="29" t="s">
        <v>3317</v>
      </c>
      <c r="B998" s="29" t="s">
        <v>3316</v>
      </c>
      <c r="C998" s="29" t="s">
        <v>2293</v>
      </c>
      <c r="D998" s="29" t="str">
        <f>VLOOKUP(C:C,'COUNT-CONT'!B:C,2,FALSE)</f>
        <v>South America</v>
      </c>
      <c r="E998" s="29">
        <v>5</v>
      </c>
      <c r="F998" s="28">
        <v>2113</v>
      </c>
      <c r="G998" s="28">
        <v>3771386843</v>
      </c>
      <c r="H998" s="29">
        <v>20.28</v>
      </c>
      <c r="I998" s="142">
        <v>-59.16</v>
      </c>
      <c r="J998" s="29">
        <v>6.14</v>
      </c>
      <c r="K998" s="29">
        <v>4.59</v>
      </c>
      <c r="L998" s="29">
        <v>15.39</v>
      </c>
      <c r="M998" s="368"/>
      <c r="N998" s="368"/>
      <c r="O998" s="271">
        <f>IFERROR(Table17[[#This Row],[PROFIT]]/Table17[[#This Row],[TO]],0)</f>
        <v>0</v>
      </c>
      <c r="P998" s="177"/>
      <c r="Q998" s="177"/>
      <c r="R998" s="177"/>
    </row>
    <row r="999" spans="1:18" hidden="1" x14ac:dyDescent="0.25">
      <c r="A999" s="29" t="s">
        <v>4207</v>
      </c>
      <c r="B999" s="29" t="s">
        <v>4206</v>
      </c>
      <c r="C999" s="29" t="s">
        <v>142</v>
      </c>
      <c r="D999" s="29" t="str">
        <f>VLOOKUP(C:C,'COUNT-CONT'!B:C,2,FALSE)</f>
        <v>Asia</v>
      </c>
      <c r="E999" s="29">
        <v>4</v>
      </c>
      <c r="F999" s="28">
        <v>2066</v>
      </c>
      <c r="G999" s="28">
        <v>4417329816</v>
      </c>
      <c r="H999" s="29">
        <v>20.25</v>
      </c>
      <c r="I999" s="142">
        <v>-59.19</v>
      </c>
      <c r="J999" s="29">
        <v>10.91</v>
      </c>
      <c r="K999" s="29">
        <v>9.6999999999999993</v>
      </c>
      <c r="L999" s="29">
        <v>20.25</v>
      </c>
      <c r="M999" s="368"/>
      <c r="N999" s="368"/>
      <c r="O999" s="271">
        <f>IFERROR(Table17[[#This Row],[PROFIT]]/Table17[[#This Row],[TO]],0)</f>
        <v>0</v>
      </c>
      <c r="P999" s="177"/>
      <c r="Q999" s="177"/>
      <c r="R999" s="177"/>
    </row>
    <row r="1000" spans="1:18" ht="30" hidden="1" x14ac:dyDescent="0.25">
      <c r="A1000" s="29" t="s">
        <v>3921</v>
      </c>
      <c r="B1000" s="29" t="s">
        <v>3920</v>
      </c>
      <c r="C1000" s="29" t="s">
        <v>812</v>
      </c>
      <c r="D1000" s="29" t="str">
        <f>VLOOKUP(C:C,'COUNT-CONT'!B:C,2,FALSE)</f>
        <v>North America</v>
      </c>
      <c r="E1000" s="29">
        <v>7</v>
      </c>
      <c r="F1000" s="28">
        <v>2813</v>
      </c>
      <c r="G1000" s="28">
        <v>4004441592</v>
      </c>
      <c r="H1000" s="29">
        <v>20.25</v>
      </c>
      <c r="I1000" s="142">
        <v>-59.19</v>
      </c>
      <c r="J1000" s="29">
        <v>9.19</v>
      </c>
      <c r="K1000" s="29">
        <v>7.71</v>
      </c>
      <c r="L1000" s="29">
        <v>18.41</v>
      </c>
      <c r="M1000" s="368"/>
      <c r="N1000" s="368"/>
      <c r="O1000" s="271">
        <f>IFERROR(Table17[[#This Row],[PROFIT]]/Table17[[#This Row],[TO]],0)</f>
        <v>0</v>
      </c>
      <c r="P1000" s="177"/>
      <c r="Q1000" s="177"/>
      <c r="R1000" s="177"/>
    </row>
    <row r="1001" spans="1:18" hidden="1" x14ac:dyDescent="0.25">
      <c r="A1001" s="29" t="s">
        <v>2456</v>
      </c>
      <c r="B1001" s="29" t="s">
        <v>2455</v>
      </c>
      <c r="C1001" s="29" t="s">
        <v>2454</v>
      </c>
      <c r="D1001" s="29" t="str">
        <f>VLOOKUP(C:C,'COUNT-CONT'!B:C,2,FALSE)</f>
        <v>Africa</v>
      </c>
      <c r="E1001" s="29">
        <v>4</v>
      </c>
      <c r="F1001" s="28">
        <v>1836</v>
      </c>
      <c r="G1001" s="28">
        <v>3544628540</v>
      </c>
      <c r="H1001" s="29">
        <v>20.25</v>
      </c>
      <c r="I1001" s="142">
        <v>-59.19</v>
      </c>
      <c r="J1001" s="29">
        <v>2.84</v>
      </c>
      <c r="K1001" s="29">
        <v>0.94</v>
      </c>
      <c r="L1001" s="29">
        <v>11.91</v>
      </c>
      <c r="M1001" s="368"/>
      <c r="N1001" s="368"/>
      <c r="O1001" s="271">
        <f>IFERROR(Table17[[#This Row],[PROFIT]]/Table17[[#This Row],[TO]],0)</f>
        <v>0</v>
      </c>
      <c r="P1001" s="177"/>
      <c r="Q1001" s="177"/>
      <c r="R1001" s="177"/>
    </row>
    <row r="1002" spans="1:18" ht="30" hidden="1" x14ac:dyDescent="0.25">
      <c r="A1002" s="29" t="s">
        <v>3307</v>
      </c>
      <c r="B1002" s="29" t="s">
        <v>3306</v>
      </c>
      <c r="C1002" s="29" t="s">
        <v>714</v>
      </c>
      <c r="D1002" s="29" t="str">
        <f>VLOOKUP(C:C,'COUNT-CONT'!B:C,2,FALSE)</f>
        <v>South America</v>
      </c>
      <c r="E1002" s="29">
        <v>10</v>
      </c>
      <c r="F1002" s="28">
        <v>4247</v>
      </c>
      <c r="G1002" s="28">
        <v>3714406357</v>
      </c>
      <c r="H1002" s="29">
        <v>20.22</v>
      </c>
      <c r="I1002" s="142">
        <v>-59.22</v>
      </c>
      <c r="J1002" s="29">
        <v>6.14</v>
      </c>
      <c r="K1002" s="29">
        <v>4.59</v>
      </c>
      <c r="L1002" s="29">
        <v>15.33</v>
      </c>
      <c r="M1002" s="368"/>
      <c r="N1002" s="368"/>
      <c r="O1002" s="271">
        <f>IFERROR(Table17[[#This Row],[PROFIT]]/Table17[[#This Row],[TO]],0)</f>
        <v>0</v>
      </c>
      <c r="P1002" s="177"/>
      <c r="Q1002" s="177"/>
      <c r="R1002" s="177"/>
    </row>
    <row r="1003" spans="1:18" hidden="1" x14ac:dyDescent="0.25">
      <c r="A1003" s="29" t="s">
        <v>3588</v>
      </c>
      <c r="B1003" s="29" t="s">
        <v>3587</v>
      </c>
      <c r="C1003" s="29" t="s">
        <v>78</v>
      </c>
      <c r="D1003" s="29" t="str">
        <f>VLOOKUP(C:C,'COUNT-CONT'!B:C,2,FALSE)</f>
        <v>Europe</v>
      </c>
      <c r="E1003" s="29">
        <v>9</v>
      </c>
      <c r="F1003" s="28">
        <v>3248</v>
      </c>
      <c r="G1003" s="28">
        <v>3752269950</v>
      </c>
      <c r="H1003" s="29">
        <v>20.22</v>
      </c>
      <c r="I1003" s="142">
        <v>-59.22</v>
      </c>
      <c r="J1003" s="29">
        <v>7.29</v>
      </c>
      <c r="K1003" s="29">
        <v>5.96</v>
      </c>
      <c r="L1003" s="29">
        <v>16.57</v>
      </c>
      <c r="M1003" s="368"/>
      <c r="N1003" s="368"/>
      <c r="O1003" s="271">
        <f>IFERROR(Table17[[#This Row],[PROFIT]]/Table17[[#This Row],[TO]],0)</f>
        <v>0</v>
      </c>
      <c r="P1003" s="177"/>
      <c r="Q1003" s="177"/>
      <c r="R1003" s="177"/>
    </row>
    <row r="1004" spans="1:18" ht="30" hidden="1" x14ac:dyDescent="0.25">
      <c r="A1004" s="29" t="s">
        <v>4566</v>
      </c>
      <c r="B1004" s="29" t="s">
        <v>4565</v>
      </c>
      <c r="C1004" s="29" t="s">
        <v>514</v>
      </c>
      <c r="D1004" s="29" t="str">
        <f>VLOOKUP(C:C,'COUNT-CONT'!B:C,2,FALSE)</f>
        <v>North America</v>
      </c>
      <c r="E1004" s="29">
        <v>6</v>
      </c>
      <c r="F1004" s="28">
        <v>2545</v>
      </c>
      <c r="G1004" s="28">
        <v>4721420039</v>
      </c>
      <c r="H1004" s="29">
        <v>20.22</v>
      </c>
      <c r="I1004" s="142">
        <v>-59.22</v>
      </c>
      <c r="J1004" s="29">
        <v>13.33</v>
      </c>
      <c r="K1004" s="29">
        <v>12.88</v>
      </c>
      <c r="L1004" s="29">
        <v>23</v>
      </c>
      <c r="M1004" s="368"/>
      <c r="N1004" s="368"/>
      <c r="O1004" s="271">
        <f>IFERROR(Table17[[#This Row],[PROFIT]]/Table17[[#This Row],[TO]],0)</f>
        <v>0</v>
      </c>
      <c r="P1004" s="177"/>
      <c r="Q1004" s="177"/>
      <c r="R1004" s="177"/>
    </row>
    <row r="1005" spans="1:18" hidden="1" x14ac:dyDescent="0.25">
      <c r="A1005" s="29" t="s">
        <v>3717</v>
      </c>
      <c r="B1005" s="29" t="s">
        <v>3716</v>
      </c>
      <c r="C1005" s="29" t="s">
        <v>14</v>
      </c>
      <c r="D1005" s="29" t="str">
        <f>VLOOKUP(C:C,'COUNT-CONT'!B:C,2,FALSE)</f>
        <v>Asia</v>
      </c>
      <c r="E1005" s="29">
        <v>6</v>
      </c>
      <c r="F1005" s="28">
        <v>2543</v>
      </c>
      <c r="G1005" s="28">
        <v>3848159968</v>
      </c>
      <c r="H1005" s="29">
        <v>20.190000000000001</v>
      </c>
      <c r="I1005" s="142">
        <v>-59.25</v>
      </c>
      <c r="J1005" s="29">
        <v>7.86</v>
      </c>
      <c r="K1005" s="29">
        <v>6.5</v>
      </c>
      <c r="L1005" s="29">
        <v>17.11</v>
      </c>
      <c r="M1005" s="368"/>
      <c r="N1005" s="368"/>
      <c r="O1005" s="271">
        <f>IFERROR(Table17[[#This Row],[PROFIT]]/Table17[[#This Row],[TO]],0)</f>
        <v>0</v>
      </c>
      <c r="P1005" s="177"/>
      <c r="Q1005" s="177"/>
      <c r="R1005" s="177"/>
    </row>
    <row r="1006" spans="1:18" hidden="1" x14ac:dyDescent="0.25">
      <c r="A1006" s="29" t="s">
        <v>4320</v>
      </c>
      <c r="B1006" s="29" t="s">
        <v>4319</v>
      </c>
      <c r="C1006" s="29" t="s">
        <v>807</v>
      </c>
      <c r="D1006" s="29" t="str">
        <f>VLOOKUP(C:C,'COUNT-CONT'!B:C,2,FALSE)</f>
        <v>Europe</v>
      </c>
      <c r="E1006" s="29">
        <v>7</v>
      </c>
      <c r="F1006" s="28">
        <v>2598</v>
      </c>
      <c r="G1006" s="28">
        <v>4457702617</v>
      </c>
      <c r="H1006" s="29">
        <v>20.16</v>
      </c>
      <c r="I1006" s="142">
        <v>-59.28</v>
      </c>
      <c r="J1006" s="29">
        <v>11.34</v>
      </c>
      <c r="K1006" s="29">
        <v>10.91</v>
      </c>
      <c r="L1006" s="29">
        <v>21.01</v>
      </c>
      <c r="M1006" s="368"/>
      <c r="N1006" s="368"/>
      <c r="O1006" s="271">
        <f>IFERROR(Table17[[#This Row],[PROFIT]]/Table17[[#This Row],[TO]],0)</f>
        <v>0</v>
      </c>
      <c r="P1006" s="177"/>
      <c r="Q1006" s="177"/>
      <c r="R1006" s="177"/>
    </row>
    <row r="1007" spans="1:18" hidden="1" x14ac:dyDescent="0.25">
      <c r="A1007" s="29" t="s">
        <v>3299</v>
      </c>
      <c r="B1007" s="29" t="s">
        <v>3298</v>
      </c>
      <c r="C1007" s="29" t="s">
        <v>588</v>
      </c>
      <c r="D1007" s="29" t="str">
        <f>VLOOKUP(C:C,'COUNT-CONT'!B:C,2,FALSE)</f>
        <v>Europe</v>
      </c>
      <c r="E1007" s="29">
        <v>6</v>
      </c>
      <c r="F1007" s="28">
        <v>2426</v>
      </c>
      <c r="G1007" s="28">
        <v>3722421269</v>
      </c>
      <c r="H1007" s="29">
        <v>20.16</v>
      </c>
      <c r="I1007" s="142">
        <v>-59.28</v>
      </c>
      <c r="J1007" s="29">
        <v>6.11</v>
      </c>
      <c r="K1007" s="29">
        <v>4.5599999999999996</v>
      </c>
      <c r="L1007" s="29">
        <v>15.3</v>
      </c>
      <c r="M1007" s="368"/>
      <c r="N1007" s="368"/>
      <c r="O1007" s="271">
        <f>IFERROR(Table17[[#This Row],[PROFIT]]/Table17[[#This Row],[TO]],0)</f>
        <v>0</v>
      </c>
      <c r="P1007" s="177"/>
      <c r="Q1007" s="177"/>
      <c r="R1007" s="177"/>
    </row>
    <row r="1008" spans="1:18" ht="30" hidden="1" x14ac:dyDescent="0.25">
      <c r="A1008" s="29" t="s">
        <v>3352</v>
      </c>
      <c r="B1008" s="29" t="s">
        <v>3351</v>
      </c>
      <c r="C1008" s="29" t="s">
        <v>3350</v>
      </c>
      <c r="D1008" s="29" t="str">
        <f>VLOOKUP(C:C,'COUNT-CONT'!B:C,2,FALSE)</f>
        <v>North America</v>
      </c>
      <c r="E1008" s="29">
        <v>5</v>
      </c>
      <c r="F1008" s="28">
        <v>2266</v>
      </c>
      <c r="G1008" s="28">
        <v>3662236893</v>
      </c>
      <c r="H1008" s="29">
        <v>20.13</v>
      </c>
      <c r="I1008" s="142">
        <v>-59.31</v>
      </c>
      <c r="J1008" s="29">
        <v>6.5</v>
      </c>
      <c r="K1008" s="29">
        <v>4.63</v>
      </c>
      <c r="L1008" s="29">
        <v>15.51</v>
      </c>
      <c r="M1008" s="368"/>
      <c r="N1008" s="368"/>
      <c r="O1008" s="271">
        <f>IFERROR(Table17[[#This Row],[PROFIT]]/Table17[[#This Row],[TO]],0)</f>
        <v>0</v>
      </c>
      <c r="P1008" s="177"/>
      <c r="Q1008" s="177"/>
      <c r="R1008" s="177"/>
    </row>
    <row r="1009" spans="1:18" ht="30" hidden="1" x14ac:dyDescent="0.25">
      <c r="A1009" s="29" t="s">
        <v>4917</v>
      </c>
      <c r="B1009" s="29" t="s">
        <v>4916</v>
      </c>
      <c r="C1009" s="29" t="s">
        <v>11732</v>
      </c>
      <c r="D1009" s="29" t="str">
        <f>VLOOKUP(C:C,'COUNT-CONT'!B:C,2,FALSE)</f>
        <v>North America</v>
      </c>
      <c r="E1009" s="29">
        <v>9</v>
      </c>
      <c r="F1009" s="28">
        <v>3347</v>
      </c>
      <c r="G1009" s="28">
        <v>5247452524</v>
      </c>
      <c r="H1009" s="29">
        <v>20.100000000000001</v>
      </c>
      <c r="I1009" s="142">
        <v>-59.339999999999996</v>
      </c>
      <c r="J1009" s="29">
        <v>16.38</v>
      </c>
      <c r="K1009" s="29">
        <v>16.38</v>
      </c>
      <c r="L1009" s="29">
        <v>26.45</v>
      </c>
      <c r="M1009" s="368"/>
      <c r="N1009" s="368"/>
      <c r="O1009" s="271">
        <f>IFERROR(Table17[[#This Row],[PROFIT]]/Table17[[#This Row],[TO]],0)</f>
        <v>0</v>
      </c>
      <c r="P1009" s="177"/>
      <c r="Q1009" s="177"/>
      <c r="R1009" s="177"/>
    </row>
    <row r="1010" spans="1:18" hidden="1" x14ac:dyDescent="0.25">
      <c r="A1010" s="29" t="s">
        <v>3686</v>
      </c>
      <c r="B1010" s="29" t="s">
        <v>3685</v>
      </c>
      <c r="C1010" s="29" t="s">
        <v>14</v>
      </c>
      <c r="D1010" s="29" t="str">
        <f>VLOOKUP(C:C,'COUNT-CONT'!B:C,2,FALSE)</f>
        <v>Asia</v>
      </c>
      <c r="E1010" s="29">
        <v>6</v>
      </c>
      <c r="F1010" s="28">
        <v>2339</v>
      </c>
      <c r="G1010" s="28">
        <v>3851486447</v>
      </c>
      <c r="H1010" s="29">
        <v>20.07</v>
      </c>
      <c r="I1010" s="142">
        <v>-59.37</v>
      </c>
      <c r="J1010" s="29">
        <v>7.8</v>
      </c>
      <c r="K1010" s="29">
        <v>6.44</v>
      </c>
      <c r="L1010" s="29">
        <v>17.02</v>
      </c>
      <c r="M1010" s="368"/>
      <c r="N1010" s="368"/>
      <c r="O1010" s="271">
        <f>IFERROR(Table17[[#This Row],[PROFIT]]/Table17[[#This Row],[TO]],0)</f>
        <v>0</v>
      </c>
      <c r="P1010" s="177"/>
      <c r="Q1010" s="177"/>
      <c r="R1010" s="177"/>
    </row>
    <row r="1011" spans="1:18" hidden="1" x14ac:dyDescent="0.25">
      <c r="A1011" s="29" t="s">
        <v>2964</v>
      </c>
      <c r="B1011" s="29" t="s">
        <v>2963</v>
      </c>
      <c r="C1011" s="29" t="s">
        <v>886</v>
      </c>
      <c r="D1011" s="29" t="str">
        <f>VLOOKUP(C:C,'COUNT-CONT'!B:C,2,FALSE)</f>
        <v>Africa</v>
      </c>
      <c r="E1011" s="29">
        <v>4</v>
      </c>
      <c r="F1011" s="28">
        <v>1965</v>
      </c>
      <c r="G1011" s="28">
        <v>3651196437</v>
      </c>
      <c r="H1011" s="29">
        <v>20.07</v>
      </c>
      <c r="I1011" s="142">
        <v>-59.37</v>
      </c>
      <c r="J1011" s="29">
        <v>5.0199999999999996</v>
      </c>
      <c r="K1011" s="29">
        <v>3.05</v>
      </c>
      <c r="L1011" s="29">
        <v>13.94</v>
      </c>
      <c r="M1011" s="368"/>
      <c r="N1011" s="368"/>
      <c r="O1011" s="271">
        <f>IFERROR(Table17[[#This Row],[PROFIT]]/Table17[[#This Row],[TO]],0)</f>
        <v>0</v>
      </c>
      <c r="P1011" s="177"/>
      <c r="Q1011" s="177"/>
      <c r="R1011" s="177"/>
    </row>
    <row r="1012" spans="1:18" hidden="1" x14ac:dyDescent="0.25">
      <c r="A1012" s="29" t="s">
        <v>3571</v>
      </c>
      <c r="B1012" s="29" t="s">
        <v>3570</v>
      </c>
      <c r="C1012" s="29" t="s">
        <v>722</v>
      </c>
      <c r="D1012" s="29" t="str">
        <f>VLOOKUP(C:C,'COUNT-CONT'!B:C,2,FALSE)</f>
        <v>Europe</v>
      </c>
      <c r="E1012" s="29">
        <v>5</v>
      </c>
      <c r="F1012" s="28">
        <v>2252</v>
      </c>
      <c r="G1012" s="28">
        <v>3784854706</v>
      </c>
      <c r="H1012" s="29">
        <v>20.04</v>
      </c>
      <c r="I1012" s="142">
        <v>-59.4</v>
      </c>
      <c r="J1012" s="29">
        <v>7.22</v>
      </c>
      <c r="K1012" s="29">
        <v>5.89</v>
      </c>
      <c r="L1012" s="29">
        <v>16.41</v>
      </c>
      <c r="M1012" s="368"/>
      <c r="N1012" s="368"/>
      <c r="O1012" s="271">
        <f>IFERROR(Table17[[#This Row],[PROFIT]]/Table17[[#This Row],[TO]],0)</f>
        <v>0</v>
      </c>
      <c r="P1012" s="177"/>
      <c r="Q1012" s="177"/>
      <c r="R1012" s="177"/>
    </row>
    <row r="1013" spans="1:18" ht="30" hidden="1" x14ac:dyDescent="0.25">
      <c r="A1013" s="29" t="s">
        <v>4365</v>
      </c>
      <c r="B1013" s="29" t="s">
        <v>4364</v>
      </c>
      <c r="C1013" s="29" t="s">
        <v>597</v>
      </c>
      <c r="D1013" s="29" t="str">
        <f>VLOOKUP(C:C,'COUNT-CONT'!B:C,2,FALSE)</f>
        <v>Europe</v>
      </c>
      <c r="E1013" s="29">
        <v>5</v>
      </c>
      <c r="F1013" s="28">
        <v>2239</v>
      </c>
      <c r="G1013" s="28">
        <v>4520290754</v>
      </c>
      <c r="H1013" s="29">
        <v>20.04</v>
      </c>
      <c r="I1013" s="142">
        <v>-59.4</v>
      </c>
      <c r="J1013" s="29">
        <v>11.94</v>
      </c>
      <c r="K1013" s="29">
        <v>11.09</v>
      </c>
      <c r="L1013" s="29">
        <v>21.34</v>
      </c>
      <c r="M1013" s="368"/>
      <c r="N1013" s="368"/>
      <c r="O1013" s="271">
        <f>IFERROR(Table17[[#This Row],[PROFIT]]/Table17[[#This Row],[TO]],0)</f>
        <v>0</v>
      </c>
      <c r="P1013" s="177"/>
      <c r="Q1013" s="177"/>
      <c r="R1013" s="177"/>
    </row>
    <row r="1014" spans="1:18" ht="30" hidden="1" x14ac:dyDescent="0.25">
      <c r="A1014" s="29" t="s">
        <v>4908</v>
      </c>
      <c r="B1014" s="29" t="s">
        <v>4907</v>
      </c>
      <c r="C1014" s="29" t="s">
        <v>11732</v>
      </c>
      <c r="D1014" s="29" t="str">
        <f>VLOOKUP(C:C,'COUNT-CONT'!B:C,2,FALSE)</f>
        <v>North America</v>
      </c>
      <c r="E1014" s="29">
        <v>5</v>
      </c>
      <c r="F1014" s="28">
        <v>2407</v>
      </c>
      <c r="G1014" s="28">
        <v>5277700415</v>
      </c>
      <c r="H1014" s="29">
        <v>20.010000000000002</v>
      </c>
      <c r="I1014" s="142">
        <v>-59.429999999999993</v>
      </c>
      <c r="J1014" s="29">
        <v>16.32</v>
      </c>
      <c r="K1014" s="29">
        <v>16.32</v>
      </c>
      <c r="L1014" s="29">
        <v>26.36</v>
      </c>
      <c r="M1014" s="368"/>
      <c r="N1014" s="368"/>
      <c r="O1014" s="271">
        <f>IFERROR(Table17[[#This Row],[PROFIT]]/Table17[[#This Row],[TO]],0)</f>
        <v>0</v>
      </c>
      <c r="P1014" s="177"/>
      <c r="Q1014" s="177"/>
      <c r="R1014" s="177"/>
    </row>
    <row r="1015" spans="1:18" ht="30" hidden="1" x14ac:dyDescent="0.25">
      <c r="A1015" s="29" t="s">
        <v>4902</v>
      </c>
      <c r="B1015" s="29" t="s">
        <v>4901</v>
      </c>
      <c r="C1015" s="29" t="s">
        <v>11732</v>
      </c>
      <c r="D1015" s="29" t="str">
        <f>VLOOKUP(C:C,'COUNT-CONT'!B:C,2,FALSE)</f>
        <v>North America</v>
      </c>
      <c r="E1015" s="29">
        <v>9</v>
      </c>
      <c r="F1015" s="28">
        <v>3340</v>
      </c>
      <c r="G1015" s="28">
        <v>5227341317</v>
      </c>
      <c r="H1015" s="29">
        <v>19.98</v>
      </c>
      <c r="I1015" s="142">
        <v>-59.459999999999994</v>
      </c>
      <c r="J1015" s="29">
        <v>16.29</v>
      </c>
      <c r="K1015" s="29">
        <v>16.29</v>
      </c>
      <c r="L1015" s="29">
        <v>26.3</v>
      </c>
      <c r="M1015" s="368"/>
      <c r="N1015" s="368"/>
      <c r="O1015" s="271">
        <f>IFERROR(Table17[[#This Row],[PROFIT]]/Table17[[#This Row],[TO]],0)</f>
        <v>0</v>
      </c>
      <c r="P1015" s="177"/>
      <c r="Q1015" s="177"/>
      <c r="R1015" s="177"/>
    </row>
    <row r="1016" spans="1:18" hidden="1" x14ac:dyDescent="0.25">
      <c r="A1016" s="29" t="s">
        <v>3999</v>
      </c>
      <c r="B1016" s="29" t="s">
        <v>3998</v>
      </c>
      <c r="C1016" s="29" t="s">
        <v>508</v>
      </c>
      <c r="D1016" s="29" t="str">
        <f>VLOOKUP(C:C,'COUNT-CONT'!B:C,2,FALSE)</f>
        <v>Europe</v>
      </c>
      <c r="E1016" s="29">
        <v>10</v>
      </c>
      <c r="F1016" s="28">
        <v>3375</v>
      </c>
      <c r="G1016" s="28">
        <v>4053525925</v>
      </c>
      <c r="H1016" s="29">
        <v>19.98</v>
      </c>
      <c r="I1016" s="142">
        <v>-59.459999999999994</v>
      </c>
      <c r="J1016" s="29">
        <v>9.43</v>
      </c>
      <c r="K1016" s="29">
        <v>8.2799999999999994</v>
      </c>
      <c r="L1016" s="29">
        <v>18.86</v>
      </c>
      <c r="M1016" s="368"/>
      <c r="N1016" s="368"/>
      <c r="O1016" s="271">
        <f>IFERROR(Table17[[#This Row],[PROFIT]]/Table17[[#This Row],[TO]],0)</f>
        <v>0</v>
      </c>
      <c r="P1016" s="177"/>
      <c r="Q1016" s="177"/>
      <c r="R1016" s="177"/>
    </row>
    <row r="1017" spans="1:18" hidden="1" x14ac:dyDescent="0.25">
      <c r="A1017" s="29" t="s">
        <v>2633</v>
      </c>
      <c r="B1017" s="29" t="s">
        <v>2632</v>
      </c>
      <c r="C1017" s="29" t="s">
        <v>938</v>
      </c>
      <c r="D1017" s="29" t="str">
        <f>VLOOKUP(C:C,'COUNT-CONT'!B:C,2,FALSE)</f>
        <v>Africa</v>
      </c>
      <c r="E1017" s="29">
        <v>5</v>
      </c>
      <c r="F1017" s="28">
        <v>2201</v>
      </c>
      <c r="G1017" s="28">
        <v>3466572830</v>
      </c>
      <c r="H1017" s="29">
        <v>19.95</v>
      </c>
      <c r="I1017" s="142">
        <v>-59.489999999999995</v>
      </c>
      <c r="J1017" s="29">
        <v>3.72</v>
      </c>
      <c r="K1017" s="29">
        <v>1.48</v>
      </c>
      <c r="L1017" s="29">
        <v>12.48</v>
      </c>
      <c r="M1017" s="368"/>
      <c r="N1017" s="368"/>
      <c r="O1017" s="271">
        <f>IFERROR(Table17[[#This Row],[PROFIT]]/Table17[[#This Row],[TO]],0)</f>
        <v>0</v>
      </c>
      <c r="P1017" s="177"/>
      <c r="Q1017" s="177"/>
      <c r="R1017" s="177"/>
    </row>
    <row r="1018" spans="1:18" ht="30" hidden="1" x14ac:dyDescent="0.25">
      <c r="A1018" s="29" t="s">
        <v>4893</v>
      </c>
      <c r="B1018" s="29" t="s">
        <v>4892</v>
      </c>
      <c r="C1018" s="29" t="s">
        <v>11732</v>
      </c>
      <c r="D1018" s="29" t="str">
        <f>VLOOKUP(C:C,'COUNT-CONT'!B:C,2,FALSE)</f>
        <v>North America</v>
      </c>
      <c r="E1018" s="29">
        <v>7</v>
      </c>
      <c r="F1018" s="28">
        <v>3011</v>
      </c>
      <c r="G1018" s="28">
        <v>5223927133</v>
      </c>
      <c r="H1018" s="29">
        <v>19.920000000000002</v>
      </c>
      <c r="I1018" s="142">
        <v>-59.519999999999996</v>
      </c>
      <c r="J1018" s="29">
        <v>16.23</v>
      </c>
      <c r="K1018" s="29">
        <v>16.23</v>
      </c>
      <c r="L1018" s="29">
        <v>26.21</v>
      </c>
      <c r="M1018" s="368"/>
      <c r="N1018" s="368"/>
      <c r="O1018" s="271">
        <f>IFERROR(Table17[[#This Row],[PROFIT]]/Table17[[#This Row],[TO]],0)</f>
        <v>0</v>
      </c>
      <c r="P1018" s="177"/>
      <c r="Q1018" s="177"/>
      <c r="R1018" s="177"/>
    </row>
    <row r="1019" spans="1:18" ht="30" hidden="1" x14ac:dyDescent="0.25">
      <c r="A1019" s="29" t="s">
        <v>4418</v>
      </c>
      <c r="B1019" s="29" t="s">
        <v>4417</v>
      </c>
      <c r="C1019" s="29" t="s">
        <v>83</v>
      </c>
      <c r="D1019" s="29" t="str">
        <f>VLOOKUP(C:C,'COUNT-CONT'!B:C,2,FALSE)</f>
        <v>Europe</v>
      </c>
      <c r="E1019" s="29">
        <v>5</v>
      </c>
      <c r="F1019" s="28">
        <v>2200</v>
      </c>
      <c r="G1019" s="28">
        <v>4567800000</v>
      </c>
      <c r="H1019" s="29">
        <v>19.920000000000002</v>
      </c>
      <c r="I1019" s="142">
        <v>-59.519999999999996</v>
      </c>
      <c r="J1019" s="29">
        <v>12.12</v>
      </c>
      <c r="K1019" s="29">
        <v>11.25</v>
      </c>
      <c r="L1019" s="29">
        <v>21.67</v>
      </c>
      <c r="M1019" s="368"/>
      <c r="N1019" s="368"/>
      <c r="O1019" s="271">
        <f>IFERROR(Table17[[#This Row],[PROFIT]]/Table17[[#This Row],[TO]],0)</f>
        <v>0</v>
      </c>
      <c r="P1019" s="177"/>
      <c r="Q1019" s="177"/>
      <c r="R1019" s="177"/>
    </row>
    <row r="1020" spans="1:18" hidden="1" x14ac:dyDescent="0.25">
      <c r="A1020" s="29" t="s">
        <v>3658</v>
      </c>
      <c r="B1020" s="29" t="s">
        <v>3657</v>
      </c>
      <c r="C1020" s="29" t="s">
        <v>14</v>
      </c>
      <c r="D1020" s="29" t="str">
        <f>VLOOKUP(C:C,'COUNT-CONT'!B:C,2,FALSE)</f>
        <v>Asia</v>
      </c>
      <c r="E1020" s="29">
        <v>6</v>
      </c>
      <c r="F1020" s="28">
        <v>2540</v>
      </c>
      <c r="G1020" s="28">
        <v>3815070866</v>
      </c>
      <c r="H1020" s="29">
        <v>19.89</v>
      </c>
      <c r="I1020" s="142">
        <v>-59.55</v>
      </c>
      <c r="J1020" s="29">
        <v>7.74</v>
      </c>
      <c r="K1020" s="29">
        <v>6.41</v>
      </c>
      <c r="L1020" s="29">
        <v>16.87</v>
      </c>
      <c r="M1020" s="368"/>
      <c r="N1020" s="368"/>
      <c r="O1020" s="271">
        <f>IFERROR(Table17[[#This Row],[PROFIT]]/Table17[[#This Row],[TO]],0)</f>
        <v>0</v>
      </c>
      <c r="P1020" s="177"/>
      <c r="Q1020" s="177"/>
      <c r="R1020" s="177"/>
    </row>
    <row r="1021" spans="1:18" ht="30" hidden="1" x14ac:dyDescent="0.25">
      <c r="A1021" s="29" t="s">
        <v>3225</v>
      </c>
      <c r="B1021" s="29" t="s">
        <v>3224</v>
      </c>
      <c r="C1021" s="29" t="s">
        <v>714</v>
      </c>
      <c r="D1021" s="29" t="str">
        <f>VLOOKUP(C:C,'COUNT-CONT'!B:C,2,FALSE)</f>
        <v>South America</v>
      </c>
      <c r="E1021" s="29">
        <v>10</v>
      </c>
      <c r="F1021" s="28">
        <v>3536</v>
      </c>
      <c r="G1021" s="28">
        <v>3662885972</v>
      </c>
      <c r="H1021" s="29">
        <v>19.89</v>
      </c>
      <c r="I1021" s="142">
        <v>-59.55</v>
      </c>
      <c r="J1021" s="29">
        <v>6.02</v>
      </c>
      <c r="K1021" s="29">
        <v>4.5</v>
      </c>
      <c r="L1021" s="29">
        <v>15.08</v>
      </c>
      <c r="M1021" s="368"/>
      <c r="N1021" s="368"/>
      <c r="O1021" s="271">
        <f>IFERROR(Table17[[#This Row],[PROFIT]]/Table17[[#This Row],[TO]],0)</f>
        <v>0</v>
      </c>
      <c r="P1021" s="177"/>
      <c r="Q1021" s="177"/>
      <c r="R1021" s="177"/>
    </row>
    <row r="1022" spans="1:18" ht="30" hidden="1" x14ac:dyDescent="0.25">
      <c r="A1022" s="29" t="s">
        <v>3642</v>
      </c>
      <c r="B1022" s="29" t="s">
        <v>3641</v>
      </c>
      <c r="C1022" s="29" t="s">
        <v>517</v>
      </c>
      <c r="D1022" s="29" t="str">
        <f>VLOOKUP(C:C,'COUNT-CONT'!B:C,2,FALSE)</f>
        <v>South America</v>
      </c>
      <c r="E1022" s="29">
        <v>3</v>
      </c>
      <c r="F1022" s="28">
        <v>1662</v>
      </c>
      <c r="G1022" s="28">
        <v>3953053188</v>
      </c>
      <c r="H1022" s="29">
        <v>19.86</v>
      </c>
      <c r="I1022" s="142">
        <v>-59.58</v>
      </c>
      <c r="J1022" s="29">
        <v>7.74</v>
      </c>
      <c r="K1022" s="29">
        <v>6.38</v>
      </c>
      <c r="L1022" s="29">
        <v>16.84</v>
      </c>
      <c r="M1022" s="368"/>
      <c r="N1022" s="368"/>
      <c r="O1022" s="271">
        <f>IFERROR(Table17[[#This Row],[PROFIT]]/Table17[[#This Row],[TO]],0)</f>
        <v>0</v>
      </c>
      <c r="P1022" s="177"/>
      <c r="Q1022" s="177"/>
      <c r="R1022" s="177"/>
    </row>
    <row r="1023" spans="1:18" hidden="1" x14ac:dyDescent="0.25">
      <c r="A1023" s="29" t="s">
        <v>2895</v>
      </c>
      <c r="B1023" s="29" t="s">
        <v>2894</v>
      </c>
      <c r="C1023" s="29" t="s">
        <v>1070</v>
      </c>
      <c r="D1023" s="29" t="str">
        <f>VLOOKUP(C:C,'COUNT-CONT'!B:C,2,FALSE)</f>
        <v>Asia</v>
      </c>
      <c r="E1023" s="29">
        <v>3</v>
      </c>
      <c r="F1023" s="28">
        <v>1752</v>
      </c>
      <c r="G1023" s="28">
        <v>3578453881</v>
      </c>
      <c r="H1023" s="29">
        <v>19.86</v>
      </c>
      <c r="I1023" s="142">
        <v>-59.58</v>
      </c>
      <c r="J1023" s="29">
        <v>4.63</v>
      </c>
      <c r="K1023" s="29">
        <v>2.99</v>
      </c>
      <c r="L1023" s="29">
        <v>13.6</v>
      </c>
      <c r="M1023" s="368"/>
      <c r="N1023" s="368"/>
      <c r="O1023" s="271">
        <f>IFERROR(Table17[[#This Row],[PROFIT]]/Table17[[#This Row],[TO]],0)</f>
        <v>0</v>
      </c>
      <c r="P1023" s="177"/>
      <c r="Q1023" s="177"/>
      <c r="R1023" s="177"/>
    </row>
    <row r="1024" spans="1:18" x14ac:dyDescent="0.25">
      <c r="A1024" s="29" t="s">
        <v>4333</v>
      </c>
      <c r="B1024" s="29" t="s">
        <v>4332</v>
      </c>
      <c r="C1024" s="29" t="s">
        <v>774</v>
      </c>
      <c r="D1024" s="29" t="str">
        <f>VLOOKUP(C:C,'COUNT-CONT'!B:C,2,FALSE)</f>
        <v>Oceania</v>
      </c>
      <c r="E1024" s="29">
        <v>7</v>
      </c>
      <c r="F1024" s="28">
        <v>2861</v>
      </c>
      <c r="G1024" s="28">
        <v>4462880950</v>
      </c>
      <c r="H1024" s="29">
        <v>19.86</v>
      </c>
      <c r="I1024" s="142">
        <v>-59.58</v>
      </c>
      <c r="J1024" s="29">
        <v>11.82</v>
      </c>
      <c r="K1024" s="29">
        <v>10.97</v>
      </c>
      <c r="L1024" s="29">
        <v>21.13</v>
      </c>
      <c r="M1024" s="368"/>
      <c r="N1024" s="368"/>
      <c r="O1024" s="271">
        <f>IFERROR(Table17[[#This Row],[PROFIT]]/Table17[[#This Row],[TO]],0)</f>
        <v>0</v>
      </c>
      <c r="P1024" s="177"/>
      <c r="Q1024" s="177"/>
      <c r="R1024" s="177"/>
    </row>
    <row r="1025" spans="1:18" hidden="1" x14ac:dyDescent="0.25">
      <c r="A1025" s="29" t="s">
        <v>2549</v>
      </c>
      <c r="B1025" s="29" t="s">
        <v>2548</v>
      </c>
      <c r="C1025" s="29" t="s">
        <v>2547</v>
      </c>
      <c r="D1025" s="29" t="str">
        <f>VLOOKUP(C:C,'COUNT-CONT'!B:C,2,FALSE)</f>
        <v>Africa</v>
      </c>
      <c r="E1025" s="29">
        <v>6</v>
      </c>
      <c r="F1025" s="28">
        <v>2438</v>
      </c>
      <c r="G1025" s="28">
        <v>3409689499</v>
      </c>
      <c r="H1025" s="29">
        <v>19.829999999999998</v>
      </c>
      <c r="I1025" s="142">
        <v>-59.61</v>
      </c>
      <c r="J1025" s="29">
        <v>3.42</v>
      </c>
      <c r="K1025" s="29">
        <v>1.45</v>
      </c>
      <c r="L1025" s="29">
        <v>12.24</v>
      </c>
      <c r="M1025" s="368"/>
      <c r="N1025" s="368"/>
      <c r="O1025" s="271">
        <f>IFERROR(Table17[[#This Row],[PROFIT]]/Table17[[#This Row],[TO]],0)</f>
        <v>0</v>
      </c>
      <c r="P1025" s="177"/>
      <c r="Q1025" s="177"/>
      <c r="R1025" s="177"/>
    </row>
    <row r="1026" spans="1:18" ht="30" hidden="1" x14ac:dyDescent="0.25">
      <c r="A1026" s="29" t="s">
        <v>4880</v>
      </c>
      <c r="B1026" s="29" t="s">
        <v>4879</v>
      </c>
      <c r="C1026" s="29" t="s">
        <v>11732</v>
      </c>
      <c r="D1026" s="29" t="str">
        <f>VLOOKUP(C:C,'COUNT-CONT'!B:C,2,FALSE)</f>
        <v>North America</v>
      </c>
      <c r="E1026" s="29">
        <v>8</v>
      </c>
      <c r="F1026" s="28">
        <v>3198</v>
      </c>
      <c r="G1026" s="28">
        <v>5202564978</v>
      </c>
      <c r="H1026" s="29">
        <v>19.829999999999998</v>
      </c>
      <c r="I1026" s="142">
        <v>-59.61</v>
      </c>
      <c r="J1026" s="29">
        <v>16.170000000000002</v>
      </c>
      <c r="K1026" s="29">
        <v>16.170000000000002</v>
      </c>
      <c r="L1026" s="29">
        <v>26.09</v>
      </c>
      <c r="M1026" s="368"/>
      <c r="N1026" s="368"/>
      <c r="O1026" s="271">
        <f>IFERROR(Table17[[#This Row],[PROFIT]]/Table17[[#This Row],[TO]],0)</f>
        <v>0</v>
      </c>
      <c r="P1026" s="177"/>
      <c r="Q1026" s="177"/>
      <c r="R1026" s="177"/>
    </row>
    <row r="1027" spans="1:18" ht="30" hidden="1" x14ac:dyDescent="0.25">
      <c r="A1027" s="29" t="s">
        <v>3636</v>
      </c>
      <c r="B1027" s="29" t="s">
        <v>3635</v>
      </c>
      <c r="C1027" s="29" t="s">
        <v>505</v>
      </c>
      <c r="D1027" s="29" t="e">
        <f>VLOOKUP(C:C,'COUNT-CONT'!B:C,2,FALSE)</f>
        <v>#N/A</v>
      </c>
      <c r="E1027" s="29">
        <v>8</v>
      </c>
      <c r="F1027" s="28">
        <v>2946</v>
      </c>
      <c r="G1027" s="28">
        <v>3787387644</v>
      </c>
      <c r="H1027" s="29">
        <v>19.829999999999998</v>
      </c>
      <c r="I1027" s="142">
        <v>-59.61</v>
      </c>
      <c r="J1027" s="29">
        <v>7.71</v>
      </c>
      <c r="K1027" s="29">
        <v>6.38</v>
      </c>
      <c r="L1027" s="29">
        <v>16.809999999999999</v>
      </c>
      <c r="M1027" s="368"/>
      <c r="N1027" s="368"/>
      <c r="O1027" s="271">
        <f>IFERROR(Table17[[#This Row],[PROFIT]]/Table17[[#This Row],[TO]],0)</f>
        <v>0</v>
      </c>
      <c r="P1027" s="177"/>
      <c r="Q1027" s="177"/>
      <c r="R1027" s="177"/>
    </row>
    <row r="1028" spans="1:18" ht="30" hidden="1" x14ac:dyDescent="0.25">
      <c r="A1028" s="29" t="s">
        <v>3848</v>
      </c>
      <c r="B1028" s="29" t="s">
        <v>3847</v>
      </c>
      <c r="C1028" s="29" t="s">
        <v>530</v>
      </c>
      <c r="D1028" s="29" t="str">
        <f>VLOOKUP(C:C,'COUNT-CONT'!B:C,2,FALSE)</f>
        <v>South America</v>
      </c>
      <c r="E1028" s="29">
        <v>6</v>
      </c>
      <c r="F1028" s="28">
        <v>2346</v>
      </c>
      <c r="G1028" s="28">
        <v>3981083205</v>
      </c>
      <c r="H1028" s="29">
        <v>19.8</v>
      </c>
      <c r="I1028" s="142">
        <v>-59.64</v>
      </c>
      <c r="J1028" s="29">
        <v>8.6199999999999992</v>
      </c>
      <c r="K1028" s="29">
        <v>7.56</v>
      </c>
      <c r="L1028" s="29">
        <v>17.989999999999998</v>
      </c>
      <c r="M1028" s="368"/>
      <c r="N1028" s="368"/>
      <c r="O1028" s="271">
        <f>IFERROR(Table17[[#This Row],[PROFIT]]/Table17[[#This Row],[TO]],0)</f>
        <v>0</v>
      </c>
      <c r="P1028" s="177"/>
      <c r="Q1028" s="177"/>
      <c r="R1028" s="177"/>
    </row>
    <row r="1029" spans="1:18" ht="30" hidden="1" x14ac:dyDescent="0.25">
      <c r="A1029" s="29" t="s">
        <v>3852</v>
      </c>
      <c r="B1029" s="29" t="s">
        <v>3851</v>
      </c>
      <c r="C1029" s="29" t="s">
        <v>1749</v>
      </c>
      <c r="D1029" s="29" t="str">
        <f>VLOOKUP(C:C,'COUNT-CONT'!B:C,2,FALSE)</f>
        <v>North America</v>
      </c>
      <c r="E1029" s="29">
        <v>7</v>
      </c>
      <c r="F1029" s="28">
        <v>2757</v>
      </c>
      <c r="G1029" s="28">
        <v>3951384403</v>
      </c>
      <c r="H1029" s="29">
        <v>19.8</v>
      </c>
      <c r="I1029" s="142">
        <v>-59.64</v>
      </c>
      <c r="J1029" s="29">
        <v>8.98</v>
      </c>
      <c r="K1029" s="29">
        <v>7.56</v>
      </c>
      <c r="L1029" s="29">
        <v>17.989999999999998</v>
      </c>
      <c r="M1029" s="368"/>
      <c r="N1029" s="368"/>
      <c r="O1029" s="271">
        <f>IFERROR(Table17[[#This Row],[PROFIT]]/Table17[[#This Row],[TO]],0)</f>
        <v>0</v>
      </c>
      <c r="P1029" s="177"/>
      <c r="Q1029" s="177"/>
      <c r="R1029" s="177"/>
    </row>
    <row r="1030" spans="1:18" ht="30" hidden="1" x14ac:dyDescent="0.25">
      <c r="A1030" s="29" t="s">
        <v>3419</v>
      </c>
      <c r="B1030" s="29" t="s">
        <v>3418</v>
      </c>
      <c r="C1030" s="29" t="s">
        <v>3417</v>
      </c>
      <c r="D1030" s="29" t="str">
        <f>VLOOKUP(C:C,'COUNT-CONT'!B:C,2,FALSE)</f>
        <v>North America</v>
      </c>
      <c r="E1030" s="29">
        <v>10</v>
      </c>
      <c r="F1030" s="28">
        <v>3543</v>
      </c>
      <c r="G1030" s="28">
        <v>3653871351</v>
      </c>
      <c r="H1030" s="29">
        <v>19.77</v>
      </c>
      <c r="I1030" s="142">
        <v>-59.67</v>
      </c>
      <c r="J1030" s="29">
        <v>6.59</v>
      </c>
      <c r="K1030" s="29">
        <v>5.32</v>
      </c>
      <c r="L1030" s="29">
        <v>15.69</v>
      </c>
      <c r="M1030" s="368"/>
      <c r="N1030" s="368"/>
      <c r="O1030" s="271">
        <f>IFERROR(Table17[[#This Row],[PROFIT]]/Table17[[#This Row],[TO]],0)</f>
        <v>0</v>
      </c>
      <c r="P1030" s="177"/>
      <c r="Q1030" s="177"/>
      <c r="R1030" s="177"/>
    </row>
    <row r="1031" spans="1:18" ht="45" hidden="1" x14ac:dyDescent="0.25">
      <c r="A1031" s="29" t="s">
        <v>3256</v>
      </c>
      <c r="B1031" s="29" t="s">
        <v>3255</v>
      </c>
      <c r="C1031" s="29" t="s">
        <v>3254</v>
      </c>
      <c r="D1031" s="29" t="str">
        <f>VLOOKUP(C:C,'COUNT-CONT'!B:C,2,FALSE)</f>
        <v>North America</v>
      </c>
      <c r="E1031" s="29">
        <v>2</v>
      </c>
      <c r="F1031" s="28">
        <v>1432</v>
      </c>
      <c r="G1031" s="28">
        <v>3854256424</v>
      </c>
      <c r="H1031" s="29">
        <v>19.77</v>
      </c>
      <c r="I1031" s="142">
        <v>-59.67</v>
      </c>
      <c r="J1031" s="29">
        <v>6.08</v>
      </c>
      <c r="K1031" s="29">
        <v>4.5599999999999996</v>
      </c>
      <c r="L1031" s="29">
        <v>15.21</v>
      </c>
      <c r="M1031" s="368"/>
      <c r="N1031" s="368"/>
      <c r="O1031" s="271">
        <f>IFERROR(Table17[[#This Row],[PROFIT]]/Table17[[#This Row],[TO]],0)</f>
        <v>0</v>
      </c>
      <c r="P1031" s="177"/>
      <c r="Q1031" s="177"/>
      <c r="R1031" s="177"/>
    </row>
    <row r="1032" spans="1:18" hidden="1" x14ac:dyDescent="0.25">
      <c r="A1032" s="29" t="s">
        <v>3624</v>
      </c>
      <c r="B1032" s="29" t="s">
        <v>3623</v>
      </c>
      <c r="C1032" s="29" t="s">
        <v>14</v>
      </c>
      <c r="D1032" s="29" t="str">
        <f>VLOOKUP(C:C,'COUNT-CONT'!B:C,2,FALSE)</f>
        <v>Asia</v>
      </c>
      <c r="E1032" s="29">
        <v>7</v>
      </c>
      <c r="F1032" s="28">
        <v>2641</v>
      </c>
      <c r="G1032" s="28">
        <v>3797308898</v>
      </c>
      <c r="H1032" s="29">
        <v>19.77</v>
      </c>
      <c r="I1032" s="142">
        <v>-59.67</v>
      </c>
      <c r="J1032" s="29">
        <v>7.71</v>
      </c>
      <c r="K1032" s="29">
        <v>6.35</v>
      </c>
      <c r="L1032" s="29">
        <v>16.78</v>
      </c>
      <c r="M1032" s="368"/>
      <c r="N1032" s="368"/>
      <c r="O1032" s="271">
        <f>IFERROR(Table17[[#This Row],[PROFIT]]/Table17[[#This Row],[TO]],0)</f>
        <v>0</v>
      </c>
      <c r="P1032" s="177"/>
      <c r="Q1032" s="177"/>
      <c r="R1032" s="177"/>
    </row>
    <row r="1033" spans="1:18" hidden="1" x14ac:dyDescent="0.25">
      <c r="A1033" s="29" t="s">
        <v>273</v>
      </c>
      <c r="B1033" s="29" t="s">
        <v>3108</v>
      </c>
      <c r="C1033" s="29" t="s">
        <v>926</v>
      </c>
      <c r="D1033" s="29" t="str">
        <f>VLOOKUP(C:C,'COUNT-CONT'!B:C,2,FALSE)</f>
        <v>Africa</v>
      </c>
      <c r="E1033" s="29">
        <v>8</v>
      </c>
      <c r="F1033" s="28">
        <v>2944</v>
      </c>
      <c r="G1033" s="28">
        <v>3517041304</v>
      </c>
      <c r="H1033" s="29">
        <v>19.739999999999998</v>
      </c>
      <c r="I1033" s="142">
        <v>-59.7</v>
      </c>
      <c r="J1033" s="29">
        <v>5.5</v>
      </c>
      <c r="K1033" s="29">
        <v>3.75</v>
      </c>
      <c r="L1033" s="29">
        <v>14.51</v>
      </c>
      <c r="M1033" s="368"/>
      <c r="N1033" s="368"/>
      <c r="O1033" s="271">
        <f>IFERROR(Table17[[#This Row],[PROFIT]]/Table17[[#This Row],[TO]],0)</f>
        <v>0</v>
      </c>
      <c r="P1033" s="177"/>
      <c r="Q1033" s="177"/>
      <c r="R1033" s="177"/>
    </row>
    <row r="1034" spans="1:18" hidden="1" x14ac:dyDescent="0.25">
      <c r="A1034" s="29" t="s">
        <v>2749</v>
      </c>
      <c r="B1034" s="29" t="s">
        <v>2748</v>
      </c>
      <c r="C1034" s="29" t="s">
        <v>867</v>
      </c>
      <c r="D1034" s="29" t="str">
        <f>VLOOKUP(C:C,'COUNT-CONT'!B:C,2,FALSE)</f>
        <v>Asia</v>
      </c>
      <c r="E1034" s="29">
        <v>3</v>
      </c>
      <c r="F1034" s="28">
        <v>1543</v>
      </c>
      <c r="G1034" s="28">
        <v>3576296953</v>
      </c>
      <c r="H1034" s="29">
        <v>19.739999999999998</v>
      </c>
      <c r="I1034" s="142">
        <v>-59.7</v>
      </c>
      <c r="J1034" s="29">
        <v>4.1399999999999997</v>
      </c>
      <c r="K1034" s="29">
        <v>2.33</v>
      </c>
      <c r="L1034" s="29">
        <v>13</v>
      </c>
      <c r="M1034" s="368"/>
      <c r="N1034" s="368"/>
      <c r="O1034" s="271">
        <f>IFERROR(Table17[[#This Row],[PROFIT]]/Table17[[#This Row],[TO]],0)</f>
        <v>0</v>
      </c>
      <c r="P1034" s="177"/>
      <c r="Q1034" s="177"/>
      <c r="R1034" s="177"/>
    </row>
    <row r="1035" spans="1:18" ht="30" hidden="1" x14ac:dyDescent="0.25">
      <c r="A1035" s="29" t="s">
        <v>2243</v>
      </c>
      <c r="B1035" s="29" t="s">
        <v>2242</v>
      </c>
      <c r="C1035" s="29" t="s">
        <v>725</v>
      </c>
      <c r="D1035" s="29" t="e">
        <f>VLOOKUP(C:C,'COUNT-CONT'!B:C,2,FALSE)</f>
        <v>#N/A</v>
      </c>
      <c r="E1035" s="29">
        <v>5</v>
      </c>
      <c r="F1035" s="28">
        <v>2207</v>
      </c>
      <c r="G1035" s="28">
        <v>3494814136</v>
      </c>
      <c r="H1035" s="29">
        <v>19.739999999999998</v>
      </c>
      <c r="I1035" s="142">
        <v>-59.7</v>
      </c>
      <c r="J1035" s="29">
        <v>2.2400000000000002</v>
      </c>
      <c r="K1035" s="29">
        <v>0.42</v>
      </c>
      <c r="L1035" s="29">
        <v>11.22</v>
      </c>
      <c r="M1035" s="368"/>
      <c r="N1035" s="368"/>
      <c r="O1035" s="271">
        <f>IFERROR(Table17[[#This Row],[PROFIT]]/Table17[[#This Row],[TO]],0)</f>
        <v>0</v>
      </c>
      <c r="P1035" s="177"/>
      <c r="Q1035" s="177"/>
      <c r="R1035" s="177"/>
    </row>
    <row r="1036" spans="1:18" ht="30" hidden="1" x14ac:dyDescent="0.25">
      <c r="A1036" s="29" t="s">
        <v>3251</v>
      </c>
      <c r="B1036" s="29" t="s">
        <v>3250</v>
      </c>
      <c r="C1036" s="29" t="s">
        <v>1144</v>
      </c>
      <c r="D1036" s="29" t="str">
        <f>VLOOKUP(C:C,'COUNT-CONT'!B:C,2,FALSE)</f>
        <v>South America</v>
      </c>
      <c r="E1036" s="29">
        <v>9</v>
      </c>
      <c r="F1036" s="28">
        <v>3082</v>
      </c>
      <c r="G1036" s="28">
        <v>3571511096</v>
      </c>
      <c r="H1036" s="29">
        <v>19.739999999999998</v>
      </c>
      <c r="I1036" s="142">
        <v>-59.7</v>
      </c>
      <c r="J1036" s="29">
        <v>6.38</v>
      </c>
      <c r="K1036" s="29">
        <v>4.53</v>
      </c>
      <c r="L1036" s="29">
        <v>15.18</v>
      </c>
      <c r="M1036" s="368"/>
      <c r="N1036" s="368"/>
      <c r="O1036" s="271">
        <f>IFERROR(Table17[[#This Row],[PROFIT]]/Table17[[#This Row],[TO]],0)</f>
        <v>0</v>
      </c>
      <c r="P1036" s="177"/>
      <c r="Q1036" s="177"/>
      <c r="R1036" s="177"/>
    </row>
    <row r="1037" spans="1:18" hidden="1" x14ac:dyDescent="0.25">
      <c r="A1037" s="29" t="s">
        <v>3788</v>
      </c>
      <c r="B1037" s="29" t="s">
        <v>3787</v>
      </c>
      <c r="C1037" s="29" t="s">
        <v>605</v>
      </c>
      <c r="D1037" s="29" t="str">
        <f>VLOOKUP(C:C,'COUNT-CONT'!B:C,2,FALSE)</f>
        <v>Europe</v>
      </c>
      <c r="E1037" s="29">
        <v>4</v>
      </c>
      <c r="F1037" s="28">
        <v>1876</v>
      </c>
      <c r="G1037" s="28">
        <v>4138153944</v>
      </c>
      <c r="H1037" s="29">
        <v>19.71</v>
      </c>
      <c r="I1037" s="142">
        <v>-59.73</v>
      </c>
      <c r="J1037" s="29">
        <v>8.43</v>
      </c>
      <c r="K1037" s="29">
        <v>7.38</v>
      </c>
      <c r="L1037" s="29">
        <v>17.62</v>
      </c>
      <c r="M1037" s="368"/>
      <c r="N1037" s="368"/>
      <c r="O1037" s="271">
        <f>IFERROR(Table17[[#This Row],[PROFIT]]/Table17[[#This Row],[TO]],0)</f>
        <v>0</v>
      </c>
      <c r="P1037" s="177"/>
      <c r="Q1037" s="177"/>
      <c r="R1037" s="177"/>
    </row>
    <row r="1038" spans="1:18" hidden="1" x14ac:dyDescent="0.25">
      <c r="A1038" s="29" t="s">
        <v>3609</v>
      </c>
      <c r="B1038" s="29" t="s">
        <v>3608</v>
      </c>
      <c r="C1038" s="29" t="s">
        <v>14</v>
      </c>
      <c r="D1038" s="29" t="str">
        <f>VLOOKUP(C:C,'COUNT-CONT'!B:C,2,FALSE)</f>
        <v>Asia</v>
      </c>
      <c r="E1038" s="29">
        <v>2</v>
      </c>
      <c r="F1038" s="28">
        <v>1422</v>
      </c>
      <c r="G1038" s="28">
        <v>4024758368</v>
      </c>
      <c r="H1038" s="29">
        <v>19.71</v>
      </c>
      <c r="I1038" s="142">
        <v>-59.73</v>
      </c>
      <c r="J1038" s="29">
        <v>7.68</v>
      </c>
      <c r="K1038" s="29">
        <v>6.35</v>
      </c>
      <c r="L1038" s="29">
        <v>16.72</v>
      </c>
      <c r="M1038" s="368"/>
      <c r="N1038" s="368"/>
      <c r="O1038" s="271">
        <f>IFERROR(Table17[[#This Row],[PROFIT]]/Table17[[#This Row],[TO]],0)</f>
        <v>0</v>
      </c>
      <c r="P1038" s="177"/>
      <c r="Q1038" s="177"/>
      <c r="R1038" s="177"/>
    </row>
    <row r="1039" spans="1:18" ht="30" hidden="1" x14ac:dyDescent="0.25">
      <c r="A1039" s="29" t="s">
        <v>3184</v>
      </c>
      <c r="B1039" s="29" t="s">
        <v>3183</v>
      </c>
      <c r="C1039" s="29" t="s">
        <v>2293</v>
      </c>
      <c r="D1039" s="29" t="str">
        <f>VLOOKUP(C:C,'COUNT-CONT'!B:C,2,FALSE)</f>
        <v>South America</v>
      </c>
      <c r="E1039" s="29">
        <v>5</v>
      </c>
      <c r="F1039" s="28">
        <v>2070</v>
      </c>
      <c r="G1039" s="28">
        <v>3714200966</v>
      </c>
      <c r="H1039" s="29">
        <v>19.649999999999999</v>
      </c>
      <c r="I1039" s="142">
        <v>-59.79</v>
      </c>
      <c r="J1039" s="29">
        <v>5.96</v>
      </c>
      <c r="K1039" s="29">
        <v>4.4400000000000004</v>
      </c>
      <c r="L1039" s="29">
        <v>14.9</v>
      </c>
      <c r="M1039" s="368"/>
      <c r="N1039" s="368"/>
      <c r="O1039" s="271">
        <f>IFERROR(Table17[[#This Row],[PROFIT]]/Table17[[#This Row],[TO]],0)</f>
        <v>0</v>
      </c>
      <c r="P1039" s="177"/>
      <c r="Q1039" s="177"/>
      <c r="R1039" s="177"/>
    </row>
    <row r="1040" spans="1:18" ht="30" hidden="1" x14ac:dyDescent="0.25">
      <c r="A1040" s="29" t="s">
        <v>4867</v>
      </c>
      <c r="B1040" s="29" t="s">
        <v>4866</v>
      </c>
      <c r="C1040" s="29" t="s">
        <v>11732</v>
      </c>
      <c r="D1040" s="29" t="str">
        <f>VLOOKUP(C:C,'COUNT-CONT'!B:C,2,FALSE)</f>
        <v>North America</v>
      </c>
      <c r="E1040" s="29">
        <v>7</v>
      </c>
      <c r="F1040" s="28">
        <v>2998</v>
      </c>
      <c r="G1040" s="28">
        <v>5180711274</v>
      </c>
      <c r="H1040" s="29">
        <v>19.649999999999999</v>
      </c>
      <c r="I1040" s="142">
        <v>-59.79</v>
      </c>
      <c r="J1040" s="29">
        <v>16.05</v>
      </c>
      <c r="K1040" s="29">
        <v>16.05</v>
      </c>
      <c r="L1040" s="29">
        <v>25.88</v>
      </c>
      <c r="M1040" s="368"/>
      <c r="N1040" s="368"/>
      <c r="O1040" s="271">
        <f>IFERROR(Table17[[#This Row],[PROFIT]]/Table17[[#This Row],[TO]],0)</f>
        <v>0</v>
      </c>
      <c r="P1040" s="177"/>
      <c r="Q1040" s="177"/>
      <c r="R1040" s="177"/>
    </row>
    <row r="1041" spans="1:18" hidden="1" x14ac:dyDescent="0.25">
      <c r="A1041" s="29" t="s">
        <v>2007</v>
      </c>
      <c r="B1041" s="29" t="s">
        <v>2006</v>
      </c>
      <c r="C1041" s="29" t="s">
        <v>1513</v>
      </c>
      <c r="D1041" s="29" t="str">
        <f>VLOOKUP(C:C,'COUNT-CONT'!B:C,2,FALSE)</f>
        <v>Africa</v>
      </c>
      <c r="E1041" s="29">
        <v>8</v>
      </c>
      <c r="F1041" s="28">
        <v>3007</v>
      </c>
      <c r="G1041" s="28">
        <v>3499413102</v>
      </c>
      <c r="H1041" s="29">
        <v>19.59</v>
      </c>
      <c r="I1041" s="142">
        <v>-59.849999999999994</v>
      </c>
      <c r="J1041" s="29">
        <v>1.45</v>
      </c>
      <c r="K1041" s="29" t="s">
        <v>1512</v>
      </c>
      <c r="L1041" s="29">
        <v>10.52</v>
      </c>
      <c r="M1041" s="368"/>
      <c r="N1041" s="368"/>
      <c r="O1041" s="271">
        <f>IFERROR(Table17[[#This Row],[PROFIT]]/Table17[[#This Row],[TO]],0)</f>
        <v>0</v>
      </c>
      <c r="P1041" s="177"/>
      <c r="Q1041" s="177"/>
      <c r="R1041" s="177"/>
    </row>
    <row r="1042" spans="1:18" hidden="1" x14ac:dyDescent="0.25">
      <c r="A1042" s="29" t="s">
        <v>3741</v>
      </c>
      <c r="B1042" s="29" t="s">
        <v>3740</v>
      </c>
      <c r="C1042" s="29" t="s">
        <v>1117</v>
      </c>
      <c r="D1042" s="29" t="str">
        <f>VLOOKUP(C:C,'COUNT-CONT'!B:C,2,FALSE)</f>
        <v>Europe</v>
      </c>
      <c r="E1042" s="29">
        <v>8</v>
      </c>
      <c r="F1042" s="28">
        <v>3013</v>
      </c>
      <c r="G1042" s="28">
        <v>3836884633</v>
      </c>
      <c r="H1042" s="29">
        <v>19.59</v>
      </c>
      <c r="I1042" s="142">
        <v>-59.849999999999994</v>
      </c>
      <c r="J1042" s="29">
        <v>8.25</v>
      </c>
      <c r="K1042" s="29">
        <v>6.86</v>
      </c>
      <c r="L1042" s="29">
        <v>17.2</v>
      </c>
      <c r="M1042" s="368"/>
      <c r="N1042" s="368"/>
      <c r="O1042" s="271">
        <f>IFERROR(Table17[[#This Row],[PROFIT]]/Table17[[#This Row],[TO]],0)</f>
        <v>0</v>
      </c>
      <c r="P1042" s="177"/>
      <c r="Q1042" s="177"/>
      <c r="R1042" s="177"/>
    </row>
    <row r="1043" spans="1:18" ht="30" hidden="1" x14ac:dyDescent="0.25">
      <c r="A1043" s="29" t="s">
        <v>4852</v>
      </c>
      <c r="B1043" s="29" t="s">
        <v>2947</v>
      </c>
      <c r="C1043" s="29" t="s">
        <v>11732</v>
      </c>
      <c r="D1043" s="29" t="str">
        <f>VLOOKUP(C:C,'COUNT-CONT'!B:C,2,FALSE)</f>
        <v>North America</v>
      </c>
      <c r="E1043" s="29">
        <v>8</v>
      </c>
      <c r="F1043" s="28">
        <v>3103</v>
      </c>
      <c r="G1043" s="28">
        <v>5165495649</v>
      </c>
      <c r="H1043" s="29">
        <v>19.59</v>
      </c>
      <c r="I1043" s="142">
        <v>-59.849999999999994</v>
      </c>
      <c r="J1043" s="29">
        <v>15.99</v>
      </c>
      <c r="K1043" s="29">
        <v>15.99</v>
      </c>
      <c r="L1043" s="29">
        <v>25.79</v>
      </c>
      <c r="M1043" s="368"/>
      <c r="N1043" s="368"/>
      <c r="O1043" s="271">
        <f>IFERROR(Table17[[#This Row],[PROFIT]]/Table17[[#This Row],[TO]],0)</f>
        <v>0</v>
      </c>
      <c r="P1043" s="177"/>
      <c r="Q1043" s="177"/>
      <c r="R1043" s="177"/>
    </row>
    <row r="1044" spans="1:18" ht="30" hidden="1" x14ac:dyDescent="0.25">
      <c r="A1044" s="29" t="s">
        <v>3169</v>
      </c>
      <c r="B1044" s="29" t="s">
        <v>3168</v>
      </c>
      <c r="C1044" s="29" t="s">
        <v>714</v>
      </c>
      <c r="D1044" s="29" t="str">
        <f>VLOOKUP(C:C,'COUNT-CONT'!B:C,2,FALSE)</f>
        <v>South America</v>
      </c>
      <c r="E1044" s="29">
        <v>6</v>
      </c>
      <c r="F1044" s="28">
        <v>2524</v>
      </c>
      <c r="G1044" s="28">
        <v>3655616164</v>
      </c>
      <c r="H1044" s="29">
        <v>19.59</v>
      </c>
      <c r="I1044" s="142">
        <v>-59.849999999999994</v>
      </c>
      <c r="J1044" s="29">
        <v>5.93</v>
      </c>
      <c r="K1044" s="29">
        <v>4.4400000000000004</v>
      </c>
      <c r="L1044" s="29">
        <v>14.84</v>
      </c>
      <c r="M1044" s="368"/>
      <c r="N1044" s="368"/>
      <c r="O1044" s="271">
        <f>IFERROR(Table17[[#This Row],[PROFIT]]/Table17[[#This Row],[TO]],0)</f>
        <v>0</v>
      </c>
      <c r="P1044" s="177"/>
      <c r="Q1044" s="177"/>
      <c r="R1044" s="177"/>
    </row>
    <row r="1045" spans="1:18" x14ac:dyDescent="0.25">
      <c r="A1045" s="29" t="s">
        <v>4293</v>
      </c>
      <c r="B1045" s="29" t="s">
        <v>4292</v>
      </c>
      <c r="C1045" s="29" t="s">
        <v>774</v>
      </c>
      <c r="D1045" s="29" t="str">
        <f>VLOOKUP(C:C,'COUNT-CONT'!B:C,2,FALSE)</f>
        <v>Oceania</v>
      </c>
      <c r="E1045" s="29">
        <v>4</v>
      </c>
      <c r="F1045" s="28">
        <v>1900</v>
      </c>
      <c r="G1045" s="28">
        <v>4522547368</v>
      </c>
      <c r="H1045" s="29">
        <v>19.559999999999999</v>
      </c>
      <c r="I1045" s="142">
        <v>-59.879999999999995</v>
      </c>
      <c r="J1045" s="29">
        <v>11.64</v>
      </c>
      <c r="K1045" s="29">
        <v>10.82</v>
      </c>
      <c r="L1045" s="29">
        <v>20.8</v>
      </c>
      <c r="M1045" s="368"/>
      <c r="N1045" s="368"/>
      <c r="O1045" s="271">
        <f>IFERROR(Table17[[#This Row],[PROFIT]]/Table17[[#This Row],[TO]],0)</f>
        <v>0</v>
      </c>
      <c r="P1045" s="177"/>
      <c r="Q1045" s="177"/>
      <c r="R1045" s="177"/>
    </row>
    <row r="1046" spans="1:18" hidden="1" x14ac:dyDescent="0.25">
      <c r="A1046" s="29" t="s">
        <v>2972</v>
      </c>
      <c r="B1046" s="29" t="s">
        <v>2971</v>
      </c>
      <c r="C1046" s="29" t="s">
        <v>1654</v>
      </c>
      <c r="D1046" s="29" t="str">
        <f>VLOOKUP(C:C,'COUNT-CONT'!B:C,2,FALSE)</f>
        <v>Asia</v>
      </c>
      <c r="E1046" s="29">
        <v>8</v>
      </c>
      <c r="F1046" s="28">
        <v>2818</v>
      </c>
      <c r="G1046" s="28">
        <v>3569647764</v>
      </c>
      <c r="H1046" s="29">
        <v>19.559999999999999</v>
      </c>
      <c r="I1046" s="142">
        <v>-59.879999999999995</v>
      </c>
      <c r="J1046" s="29">
        <v>5.0199999999999996</v>
      </c>
      <c r="K1046" s="29">
        <v>3.36</v>
      </c>
      <c r="L1046" s="29">
        <v>13.97</v>
      </c>
      <c r="M1046" s="368"/>
      <c r="N1046" s="368"/>
      <c r="O1046" s="271">
        <f>IFERROR(Table17[[#This Row],[PROFIT]]/Table17[[#This Row],[TO]],0)</f>
        <v>0</v>
      </c>
      <c r="P1046" s="177"/>
      <c r="Q1046" s="177"/>
      <c r="R1046" s="177"/>
    </row>
    <row r="1047" spans="1:18" hidden="1" x14ac:dyDescent="0.25">
      <c r="A1047" s="29" t="s">
        <v>3768</v>
      </c>
      <c r="B1047" s="29" t="s">
        <v>3767</v>
      </c>
      <c r="C1047" s="29" t="s">
        <v>605</v>
      </c>
      <c r="D1047" s="29" t="str">
        <f>VLOOKUP(C:C,'COUNT-CONT'!B:C,2,FALSE)</f>
        <v>Europe</v>
      </c>
      <c r="E1047" s="29">
        <v>5</v>
      </c>
      <c r="F1047" s="28">
        <v>2224</v>
      </c>
      <c r="G1047" s="28">
        <v>4056804316</v>
      </c>
      <c r="H1047" s="29">
        <v>19.53</v>
      </c>
      <c r="I1047" s="142">
        <v>-59.91</v>
      </c>
      <c r="J1047" s="29">
        <v>8.34</v>
      </c>
      <c r="K1047" s="29">
        <v>7.32</v>
      </c>
      <c r="L1047" s="29">
        <v>17.440000000000001</v>
      </c>
      <c r="M1047" s="368"/>
      <c r="N1047" s="368"/>
      <c r="O1047" s="271">
        <f>IFERROR(Table17[[#This Row],[PROFIT]]/Table17[[#This Row],[TO]],0)</f>
        <v>0</v>
      </c>
      <c r="P1047" s="177"/>
      <c r="Q1047" s="177"/>
      <c r="R1047" s="177"/>
    </row>
    <row r="1048" spans="1:18" hidden="1" x14ac:dyDescent="0.25">
      <c r="A1048" s="29" t="s">
        <v>3586</v>
      </c>
      <c r="B1048" s="29" t="s">
        <v>3585</v>
      </c>
      <c r="C1048" s="29" t="s">
        <v>14</v>
      </c>
      <c r="D1048" s="29" t="str">
        <f>VLOOKUP(C:C,'COUNT-CONT'!B:C,2,FALSE)</f>
        <v>Asia</v>
      </c>
      <c r="E1048" s="29">
        <v>8</v>
      </c>
      <c r="F1048" s="28">
        <v>2822</v>
      </c>
      <c r="G1048" s="28">
        <v>3759794472</v>
      </c>
      <c r="H1048" s="29">
        <v>19.53</v>
      </c>
      <c r="I1048" s="142">
        <v>-59.91</v>
      </c>
      <c r="J1048" s="29">
        <v>7.62</v>
      </c>
      <c r="K1048" s="29">
        <v>6.29</v>
      </c>
      <c r="L1048" s="29">
        <v>16.57</v>
      </c>
      <c r="M1048" s="368"/>
      <c r="N1048" s="368"/>
      <c r="O1048" s="271">
        <f>IFERROR(Table17[[#This Row],[PROFIT]]/Table17[[#This Row],[TO]],0)</f>
        <v>0</v>
      </c>
      <c r="P1048" s="177"/>
      <c r="Q1048" s="177"/>
      <c r="R1048" s="177"/>
    </row>
    <row r="1049" spans="1:18" hidden="1" x14ac:dyDescent="0.25">
      <c r="A1049" s="29" t="s">
        <v>4221</v>
      </c>
      <c r="B1049" s="29" t="s">
        <v>4220</v>
      </c>
      <c r="C1049" s="29" t="s">
        <v>807</v>
      </c>
      <c r="D1049" s="29" t="str">
        <f>VLOOKUP(C:C,'COUNT-CONT'!B:C,2,FALSE)</f>
        <v>Europe</v>
      </c>
      <c r="E1049" s="29">
        <v>7</v>
      </c>
      <c r="F1049" s="28">
        <v>2793</v>
      </c>
      <c r="G1049" s="28">
        <v>4363241747</v>
      </c>
      <c r="H1049" s="29">
        <v>19.53</v>
      </c>
      <c r="I1049" s="142">
        <v>-59.91</v>
      </c>
      <c r="J1049" s="29">
        <v>10.97</v>
      </c>
      <c r="K1049" s="29">
        <v>10.58</v>
      </c>
      <c r="L1049" s="29">
        <v>20.34</v>
      </c>
      <c r="M1049" s="368"/>
      <c r="N1049" s="368"/>
      <c r="O1049" s="271">
        <f>IFERROR(Table17[[#This Row],[PROFIT]]/Table17[[#This Row],[TO]],0)</f>
        <v>0</v>
      </c>
      <c r="P1049" s="177"/>
      <c r="Q1049" s="177"/>
      <c r="R1049" s="177"/>
    </row>
    <row r="1050" spans="1:18" hidden="1" x14ac:dyDescent="0.25">
      <c r="A1050" s="29" t="s">
        <v>2239</v>
      </c>
      <c r="B1050" s="29" t="s">
        <v>2238</v>
      </c>
      <c r="C1050" s="29" t="s">
        <v>1531</v>
      </c>
      <c r="D1050" s="29" t="str">
        <f>VLOOKUP(C:C,'COUNT-CONT'!B:C,2,FALSE)</f>
        <v>Africa</v>
      </c>
      <c r="E1050" s="29">
        <v>2</v>
      </c>
      <c r="F1050" s="28">
        <v>1505</v>
      </c>
      <c r="G1050" s="28">
        <v>3627297009</v>
      </c>
      <c r="H1050" s="29">
        <v>19.53</v>
      </c>
      <c r="I1050" s="142">
        <v>-59.91</v>
      </c>
      <c r="J1050" s="29">
        <v>2.4500000000000002</v>
      </c>
      <c r="K1050" s="29">
        <v>0.67</v>
      </c>
      <c r="L1050" s="29">
        <v>11.22</v>
      </c>
      <c r="M1050" s="368"/>
      <c r="N1050" s="368"/>
      <c r="O1050" s="271">
        <f>IFERROR(Table17[[#This Row],[PROFIT]]/Table17[[#This Row],[TO]],0)</f>
        <v>0</v>
      </c>
      <c r="P1050" s="177"/>
      <c r="Q1050" s="177"/>
      <c r="R1050" s="177"/>
    </row>
    <row r="1051" spans="1:18" ht="30" hidden="1" x14ac:dyDescent="0.25">
      <c r="A1051" s="29" t="s">
        <v>3910</v>
      </c>
      <c r="B1051" s="29" t="s">
        <v>3909</v>
      </c>
      <c r="C1051" s="29" t="s">
        <v>630</v>
      </c>
      <c r="D1051" s="29" t="str">
        <f>VLOOKUP(C:C,'COUNT-CONT'!B:C,2,FALSE)</f>
        <v>Europe</v>
      </c>
      <c r="E1051" s="29">
        <v>3</v>
      </c>
      <c r="F1051" s="28">
        <v>1637</v>
      </c>
      <c r="G1051" s="28">
        <v>4270560904</v>
      </c>
      <c r="H1051" s="29">
        <v>19.5</v>
      </c>
      <c r="I1051" s="142">
        <v>-59.94</v>
      </c>
      <c r="J1051" s="29">
        <v>9.19</v>
      </c>
      <c r="K1051" s="29">
        <v>8.07</v>
      </c>
      <c r="L1051" s="29">
        <v>18.38</v>
      </c>
      <c r="M1051" s="368"/>
      <c r="N1051" s="368"/>
      <c r="O1051" s="271">
        <f>IFERROR(Table17[[#This Row],[PROFIT]]/Table17[[#This Row],[TO]],0)</f>
        <v>0</v>
      </c>
      <c r="P1051" s="177"/>
      <c r="Q1051" s="177"/>
      <c r="R1051" s="177"/>
    </row>
    <row r="1052" spans="1:18" ht="45" hidden="1" x14ac:dyDescent="0.25">
      <c r="A1052" s="29" t="s">
        <v>4355</v>
      </c>
      <c r="B1052" s="29" t="s">
        <v>4354</v>
      </c>
      <c r="C1052" s="29" t="s">
        <v>308</v>
      </c>
      <c r="D1052" s="29" t="str">
        <f>VLOOKUP(C:C,'COUNT-CONT'!B:C,2,FALSE)</f>
        <v>Europe</v>
      </c>
      <c r="E1052" s="29">
        <v>8</v>
      </c>
      <c r="F1052" s="28">
        <v>3121</v>
      </c>
      <c r="G1052" s="28">
        <v>4463851137</v>
      </c>
      <c r="H1052" s="29">
        <v>19.5</v>
      </c>
      <c r="I1052" s="142">
        <v>-59.94</v>
      </c>
      <c r="J1052" s="29">
        <v>11.85</v>
      </c>
      <c r="K1052" s="29">
        <v>11.43</v>
      </c>
      <c r="L1052" s="29">
        <v>21.19</v>
      </c>
      <c r="M1052" s="368"/>
      <c r="N1052" s="368"/>
      <c r="O1052" s="271">
        <f>IFERROR(Table17[[#This Row],[PROFIT]]/Table17[[#This Row],[TO]],0)</f>
        <v>0</v>
      </c>
      <c r="P1052" s="177"/>
      <c r="Q1052" s="177"/>
      <c r="R1052" s="177"/>
    </row>
    <row r="1053" spans="1:18" ht="30" hidden="1" x14ac:dyDescent="0.25">
      <c r="A1053" s="29" t="s">
        <v>2533</v>
      </c>
      <c r="B1053" s="29" t="s">
        <v>2532</v>
      </c>
      <c r="C1053" s="29" t="s">
        <v>542</v>
      </c>
      <c r="D1053" s="29" t="str">
        <f>VLOOKUP(C:C,'COUNT-CONT'!B:C,2,FALSE)</f>
        <v>Africa</v>
      </c>
      <c r="E1053" s="29">
        <v>7</v>
      </c>
      <c r="F1053" s="28">
        <v>3729</v>
      </c>
      <c r="G1053" s="28">
        <v>3240985250</v>
      </c>
      <c r="H1053" s="29">
        <v>19.47</v>
      </c>
      <c r="I1053" s="142">
        <v>-59.97</v>
      </c>
      <c r="J1053" s="29">
        <v>3.39</v>
      </c>
      <c r="K1053" s="29">
        <v>1.45</v>
      </c>
      <c r="L1053" s="29">
        <v>12.18</v>
      </c>
      <c r="M1053" s="368"/>
      <c r="N1053" s="368"/>
      <c r="O1053" s="271">
        <f>IFERROR(Table17[[#This Row],[PROFIT]]/Table17[[#This Row],[TO]],0)</f>
        <v>0</v>
      </c>
      <c r="P1053" s="177"/>
      <c r="Q1053" s="177"/>
      <c r="R1053" s="177"/>
    </row>
    <row r="1054" spans="1:18" ht="30" hidden="1" x14ac:dyDescent="0.25">
      <c r="A1054" s="29" t="s">
        <v>2201</v>
      </c>
      <c r="B1054" s="29" t="s">
        <v>2200</v>
      </c>
      <c r="C1054" s="29" t="s">
        <v>725</v>
      </c>
      <c r="D1054" s="29" t="e">
        <f>VLOOKUP(C:C,'COUNT-CONT'!B:C,2,FALSE)</f>
        <v>#N/A</v>
      </c>
      <c r="E1054" s="29">
        <v>3</v>
      </c>
      <c r="F1054" s="28">
        <v>1755</v>
      </c>
      <c r="G1054" s="28">
        <v>3555780626</v>
      </c>
      <c r="H1054" s="29">
        <v>19.47</v>
      </c>
      <c r="I1054" s="142">
        <v>-59.97</v>
      </c>
      <c r="J1054" s="29">
        <v>2.21</v>
      </c>
      <c r="K1054" s="29">
        <v>0.42</v>
      </c>
      <c r="L1054" s="29">
        <v>11.06</v>
      </c>
      <c r="M1054" s="368"/>
      <c r="N1054" s="368"/>
      <c r="O1054" s="271">
        <f>IFERROR(Table17[[#This Row],[PROFIT]]/Table17[[#This Row],[TO]],0)</f>
        <v>0</v>
      </c>
      <c r="P1054" s="177"/>
      <c r="Q1054" s="177"/>
      <c r="R1054" s="177"/>
    </row>
    <row r="1055" spans="1:18" ht="30" hidden="1" x14ac:dyDescent="0.25">
      <c r="A1055" s="29" t="s">
        <v>4340</v>
      </c>
      <c r="B1055" s="29" t="s">
        <v>4339</v>
      </c>
      <c r="C1055" s="29" t="s">
        <v>83</v>
      </c>
      <c r="D1055" s="29" t="str">
        <f>VLOOKUP(C:C,'COUNT-CONT'!B:C,2,FALSE)</f>
        <v>Europe</v>
      </c>
      <c r="E1055" s="29">
        <v>4</v>
      </c>
      <c r="F1055" s="28">
        <v>1875</v>
      </c>
      <c r="G1055" s="28">
        <v>4558266666</v>
      </c>
      <c r="H1055" s="29">
        <v>19.47</v>
      </c>
      <c r="I1055" s="142">
        <v>-59.97</v>
      </c>
      <c r="J1055" s="29">
        <v>11.85</v>
      </c>
      <c r="K1055" s="29">
        <v>11</v>
      </c>
      <c r="L1055" s="29">
        <v>21.16</v>
      </c>
      <c r="M1055" s="368"/>
      <c r="N1055" s="368"/>
      <c r="O1055" s="271">
        <f>IFERROR(Table17[[#This Row],[PROFIT]]/Table17[[#This Row],[TO]],0)</f>
        <v>0</v>
      </c>
      <c r="P1055" s="177"/>
      <c r="Q1055" s="177"/>
      <c r="R1055" s="177"/>
    </row>
    <row r="1056" spans="1:18" ht="30" hidden="1" x14ac:dyDescent="0.25">
      <c r="A1056" s="29" t="s">
        <v>4837</v>
      </c>
      <c r="B1056" s="29" t="s">
        <v>4836</v>
      </c>
      <c r="C1056" s="29" t="s">
        <v>11732</v>
      </c>
      <c r="D1056" s="29" t="str">
        <f>VLOOKUP(C:C,'COUNT-CONT'!B:C,2,FALSE)</f>
        <v>North America</v>
      </c>
      <c r="E1056" s="29">
        <v>8</v>
      </c>
      <c r="F1056" s="28">
        <v>3184</v>
      </c>
      <c r="G1056" s="28">
        <v>5137477386</v>
      </c>
      <c r="H1056" s="29">
        <v>19.440000000000001</v>
      </c>
      <c r="I1056" s="142">
        <v>-60</v>
      </c>
      <c r="J1056" s="29">
        <v>15.84</v>
      </c>
      <c r="K1056" s="29">
        <v>15.84</v>
      </c>
      <c r="L1056" s="29">
        <v>25.57</v>
      </c>
      <c r="M1056" s="368"/>
      <c r="N1056" s="368"/>
      <c r="O1056" s="271">
        <f>IFERROR(Table17[[#This Row],[PROFIT]]/Table17[[#This Row],[TO]],0)</f>
        <v>0</v>
      </c>
      <c r="P1056" s="177"/>
      <c r="Q1056" s="177"/>
      <c r="R1056" s="177"/>
    </row>
    <row r="1057" spans="1:18" ht="30" hidden="1" x14ac:dyDescent="0.25">
      <c r="A1057" s="29" t="s">
        <v>4076</v>
      </c>
      <c r="B1057" s="29" t="s">
        <v>4075</v>
      </c>
      <c r="C1057" s="29" t="s">
        <v>2324</v>
      </c>
      <c r="D1057" s="29" t="str">
        <f>VLOOKUP(C:C,'COUNT-CONT'!B:C,2,FALSE)</f>
        <v>North America</v>
      </c>
      <c r="E1057" s="29">
        <v>8</v>
      </c>
      <c r="F1057" s="28">
        <v>2983</v>
      </c>
      <c r="G1057" s="28">
        <v>4161556285</v>
      </c>
      <c r="H1057" s="29">
        <v>19.440000000000001</v>
      </c>
      <c r="I1057" s="142">
        <v>-60</v>
      </c>
      <c r="J1057" s="29">
        <v>10.1</v>
      </c>
      <c r="K1057" s="29">
        <v>9.31</v>
      </c>
      <c r="L1057" s="29">
        <v>19.440000000000001</v>
      </c>
      <c r="M1057" s="368"/>
      <c r="N1057" s="368"/>
      <c r="O1057" s="271">
        <f>IFERROR(Table17[[#This Row],[PROFIT]]/Table17[[#This Row],[TO]],0)</f>
        <v>0</v>
      </c>
      <c r="P1057" s="177"/>
      <c r="Q1057" s="177"/>
      <c r="R1057" s="177"/>
    </row>
    <row r="1058" spans="1:18" hidden="1" x14ac:dyDescent="0.25">
      <c r="A1058" s="29" t="s">
        <v>4483</v>
      </c>
      <c r="B1058" s="29" t="s">
        <v>4482</v>
      </c>
      <c r="C1058" s="29" t="s">
        <v>119</v>
      </c>
      <c r="D1058" s="29" t="str">
        <f>VLOOKUP(C:C,'COUNT-CONT'!B:C,2,FALSE)</f>
        <v>Europe</v>
      </c>
      <c r="E1058" s="29">
        <v>6</v>
      </c>
      <c r="F1058" s="28">
        <v>2430</v>
      </c>
      <c r="G1058" s="28">
        <v>4612874897</v>
      </c>
      <c r="H1058" s="29">
        <v>19.440000000000001</v>
      </c>
      <c r="I1058" s="142">
        <v>-60</v>
      </c>
      <c r="J1058" s="29">
        <v>12.79</v>
      </c>
      <c r="K1058" s="29">
        <v>12.36</v>
      </c>
      <c r="L1058" s="29">
        <v>22.1</v>
      </c>
      <c r="M1058" s="368"/>
      <c r="N1058" s="368"/>
      <c r="O1058" s="271">
        <f>IFERROR(Table17[[#This Row],[PROFIT]]/Table17[[#This Row],[TO]],0)</f>
        <v>0</v>
      </c>
      <c r="P1058" s="177"/>
      <c r="Q1058" s="177"/>
      <c r="R1058" s="177"/>
    </row>
    <row r="1059" spans="1:18" ht="30" hidden="1" x14ac:dyDescent="0.25">
      <c r="A1059" s="29" t="s">
        <v>3792</v>
      </c>
      <c r="B1059" s="29" t="s">
        <v>3791</v>
      </c>
      <c r="C1059" s="29" t="s">
        <v>1749</v>
      </c>
      <c r="D1059" s="29" t="str">
        <f>VLOOKUP(C:C,'COUNT-CONT'!B:C,2,FALSE)</f>
        <v>North America</v>
      </c>
      <c r="E1059" s="29">
        <v>10</v>
      </c>
      <c r="F1059" s="28">
        <v>3710</v>
      </c>
      <c r="G1059" s="28">
        <v>3892495956</v>
      </c>
      <c r="H1059" s="29">
        <v>19.41</v>
      </c>
      <c r="I1059" s="142">
        <v>-60.03</v>
      </c>
      <c r="J1059" s="29">
        <v>8.83</v>
      </c>
      <c r="K1059" s="29">
        <v>7.41</v>
      </c>
      <c r="L1059" s="29">
        <v>17.649999999999999</v>
      </c>
      <c r="M1059" s="368"/>
      <c r="N1059" s="368"/>
      <c r="O1059" s="271">
        <f>IFERROR(Table17[[#This Row],[PROFIT]]/Table17[[#This Row],[TO]],0)</f>
        <v>0</v>
      </c>
      <c r="P1059" s="177"/>
      <c r="Q1059" s="177"/>
      <c r="R1059" s="177"/>
    </row>
    <row r="1060" spans="1:18" ht="30" hidden="1" x14ac:dyDescent="0.25">
      <c r="A1060" s="29" t="s">
        <v>2181</v>
      </c>
      <c r="B1060" s="29" t="s">
        <v>2180</v>
      </c>
      <c r="C1060" s="29" t="s">
        <v>725</v>
      </c>
      <c r="D1060" s="29" t="e">
        <f>VLOOKUP(C:C,'COUNT-CONT'!B:C,2,FALSE)</f>
        <v>#N/A</v>
      </c>
      <c r="E1060" s="29">
        <v>4</v>
      </c>
      <c r="F1060" s="28">
        <v>1855</v>
      </c>
      <c r="G1060" s="28">
        <v>3525591913</v>
      </c>
      <c r="H1060" s="29">
        <v>19.38</v>
      </c>
      <c r="I1060" s="142">
        <v>-60.06</v>
      </c>
      <c r="J1060" s="29">
        <v>2.1800000000000002</v>
      </c>
      <c r="K1060" s="29">
        <v>0.42</v>
      </c>
      <c r="L1060" s="29">
        <v>11</v>
      </c>
      <c r="M1060" s="368"/>
      <c r="N1060" s="368"/>
      <c r="O1060" s="271">
        <f>IFERROR(Table17[[#This Row],[PROFIT]]/Table17[[#This Row],[TO]],0)</f>
        <v>0</v>
      </c>
      <c r="P1060" s="177"/>
      <c r="Q1060" s="177"/>
      <c r="R1060" s="177"/>
    </row>
    <row r="1061" spans="1:18" hidden="1" x14ac:dyDescent="0.25">
      <c r="A1061" s="29" t="s">
        <v>3563</v>
      </c>
      <c r="B1061" s="29" t="s">
        <v>3562</v>
      </c>
      <c r="C1061" s="29" t="s">
        <v>14</v>
      </c>
      <c r="D1061" s="29" t="str">
        <f>VLOOKUP(C:C,'COUNT-CONT'!B:C,2,FALSE)</f>
        <v>Asia</v>
      </c>
      <c r="E1061" s="29">
        <v>7</v>
      </c>
      <c r="F1061" s="28">
        <v>2638</v>
      </c>
      <c r="G1061" s="28">
        <v>3746582562</v>
      </c>
      <c r="H1061" s="29">
        <v>19.350000000000001</v>
      </c>
      <c r="I1061" s="142">
        <v>-60.089999999999996</v>
      </c>
      <c r="J1061" s="29">
        <v>7.53</v>
      </c>
      <c r="K1061" s="29">
        <v>6.23</v>
      </c>
      <c r="L1061" s="29">
        <v>16.38</v>
      </c>
      <c r="M1061" s="368"/>
      <c r="N1061" s="368"/>
      <c r="O1061" s="271">
        <f>IFERROR(Table17[[#This Row],[PROFIT]]/Table17[[#This Row],[TO]],0)</f>
        <v>0</v>
      </c>
      <c r="P1061" s="177"/>
      <c r="Q1061" s="177"/>
      <c r="R1061" s="177"/>
    </row>
    <row r="1062" spans="1:18" ht="30" hidden="1" x14ac:dyDescent="0.25">
      <c r="A1062" s="29" t="s">
        <v>3780</v>
      </c>
      <c r="B1062" s="29" t="s">
        <v>3779</v>
      </c>
      <c r="C1062" s="29" t="s">
        <v>530</v>
      </c>
      <c r="D1062" s="29" t="str">
        <f>VLOOKUP(C:C,'COUNT-CONT'!B:C,2,FALSE)</f>
        <v>South America</v>
      </c>
      <c r="E1062" s="29">
        <v>7</v>
      </c>
      <c r="F1062" s="28">
        <v>2648</v>
      </c>
      <c r="G1062" s="28">
        <v>3896907854</v>
      </c>
      <c r="H1062" s="29">
        <v>19.29</v>
      </c>
      <c r="I1062" s="142">
        <v>-60.15</v>
      </c>
      <c r="J1062" s="29">
        <v>8.4</v>
      </c>
      <c r="K1062" s="29">
        <v>7.35</v>
      </c>
      <c r="L1062" s="29">
        <v>17.53</v>
      </c>
      <c r="M1062" s="368"/>
      <c r="N1062" s="368"/>
      <c r="O1062" s="271">
        <f>IFERROR(Table17[[#This Row],[PROFIT]]/Table17[[#This Row],[TO]],0)</f>
        <v>0</v>
      </c>
      <c r="P1062" s="177"/>
      <c r="Q1062" s="177"/>
      <c r="R1062" s="177"/>
    </row>
    <row r="1063" spans="1:18" hidden="1" x14ac:dyDescent="0.25">
      <c r="A1063" s="29" t="s">
        <v>2492</v>
      </c>
      <c r="B1063" s="29" t="s">
        <v>2491</v>
      </c>
      <c r="C1063" s="29" t="s">
        <v>1516</v>
      </c>
      <c r="D1063" s="29" t="str">
        <f>VLOOKUP(C:C,'COUNT-CONT'!B:C,2,FALSE)</f>
        <v>Africa</v>
      </c>
      <c r="E1063" s="29">
        <v>3</v>
      </c>
      <c r="F1063" s="28">
        <v>1646</v>
      </c>
      <c r="G1063" s="28">
        <v>3507386755</v>
      </c>
      <c r="H1063" s="29">
        <v>19.29</v>
      </c>
      <c r="I1063" s="142">
        <v>-60.15</v>
      </c>
      <c r="J1063" s="29">
        <v>3.36</v>
      </c>
      <c r="K1063" s="29">
        <v>1.66</v>
      </c>
      <c r="L1063" s="29">
        <v>12.06</v>
      </c>
      <c r="M1063" s="368"/>
      <c r="N1063" s="368"/>
      <c r="O1063" s="271">
        <f>IFERROR(Table17[[#This Row],[PROFIT]]/Table17[[#This Row],[TO]],0)</f>
        <v>0</v>
      </c>
      <c r="P1063" s="177"/>
      <c r="Q1063" s="177"/>
      <c r="R1063" s="177"/>
    </row>
    <row r="1064" spans="1:18" x14ac:dyDescent="0.25">
      <c r="A1064" s="29" t="s">
        <v>4251</v>
      </c>
      <c r="B1064" s="29" t="s">
        <v>4250</v>
      </c>
      <c r="C1064" s="29" t="s">
        <v>774</v>
      </c>
      <c r="D1064" s="29" t="str">
        <f>VLOOKUP(C:C,'COUNT-CONT'!B:C,2,FALSE)</f>
        <v>Oceania</v>
      </c>
      <c r="E1064" s="29">
        <v>6</v>
      </c>
      <c r="F1064" s="28">
        <v>2540</v>
      </c>
      <c r="G1064" s="28">
        <v>4400270866</v>
      </c>
      <c r="H1064" s="29">
        <v>19.29</v>
      </c>
      <c r="I1064" s="142">
        <v>-60.15</v>
      </c>
      <c r="J1064" s="29">
        <v>11.49</v>
      </c>
      <c r="K1064" s="29">
        <v>10.67</v>
      </c>
      <c r="L1064" s="29">
        <v>20.53</v>
      </c>
      <c r="M1064" s="368"/>
      <c r="N1064" s="368"/>
      <c r="O1064" s="271">
        <f>IFERROR(Table17[[#This Row],[PROFIT]]/Table17[[#This Row],[TO]],0)</f>
        <v>0</v>
      </c>
      <c r="P1064" s="177"/>
      <c r="Q1064" s="177"/>
      <c r="R1064" s="177"/>
    </row>
    <row r="1065" spans="1:18" ht="30" hidden="1" x14ac:dyDescent="0.25">
      <c r="A1065" s="29" t="s">
        <v>4810</v>
      </c>
      <c r="B1065" s="29" t="s">
        <v>4809</v>
      </c>
      <c r="C1065" s="29" t="s">
        <v>11732</v>
      </c>
      <c r="D1065" s="29" t="str">
        <f>VLOOKUP(C:C,'COUNT-CONT'!B:C,2,FALSE)</f>
        <v>North America</v>
      </c>
      <c r="E1065" s="29">
        <v>7</v>
      </c>
      <c r="F1065" s="28">
        <v>2979</v>
      </c>
      <c r="G1065" s="28">
        <v>5114251426</v>
      </c>
      <c r="H1065" s="29">
        <v>19.29</v>
      </c>
      <c r="I1065" s="142">
        <v>-60.15</v>
      </c>
      <c r="J1065" s="29">
        <v>15.72</v>
      </c>
      <c r="K1065" s="29">
        <v>15.72</v>
      </c>
      <c r="L1065" s="29">
        <v>25.36</v>
      </c>
      <c r="M1065" s="368"/>
      <c r="N1065" s="368"/>
      <c r="O1065" s="271">
        <f>IFERROR(Table17[[#This Row],[PROFIT]]/Table17[[#This Row],[TO]],0)</f>
        <v>0</v>
      </c>
      <c r="P1065" s="177"/>
      <c r="Q1065" s="177"/>
      <c r="R1065" s="177"/>
    </row>
    <row r="1066" spans="1:18" hidden="1" x14ac:dyDescent="0.25">
      <c r="A1066" s="29" t="s">
        <v>2531</v>
      </c>
      <c r="B1066" s="29" t="s">
        <v>2530</v>
      </c>
      <c r="C1066" s="29" t="s">
        <v>644</v>
      </c>
      <c r="D1066" s="29" t="str">
        <f>VLOOKUP(C:C,'COUNT-CONT'!B:C,2,FALSE)</f>
        <v>Africa</v>
      </c>
      <c r="E1066" s="29">
        <v>10</v>
      </c>
      <c r="F1066" s="28">
        <v>3716</v>
      </c>
      <c r="G1066" s="28">
        <v>3360417222</v>
      </c>
      <c r="H1066" s="29">
        <v>19.260000000000002</v>
      </c>
      <c r="I1066" s="142">
        <v>-60.179999999999993</v>
      </c>
      <c r="J1066" s="29">
        <v>3.66</v>
      </c>
      <c r="K1066" s="29">
        <v>1.69</v>
      </c>
      <c r="L1066" s="29">
        <v>12.18</v>
      </c>
      <c r="M1066" s="368"/>
      <c r="N1066" s="368"/>
      <c r="O1066" s="271">
        <f>IFERROR(Table17[[#This Row],[PROFIT]]/Table17[[#This Row],[TO]],0)</f>
        <v>0</v>
      </c>
      <c r="P1066" s="177"/>
      <c r="Q1066" s="177"/>
      <c r="R1066" s="177"/>
    </row>
    <row r="1067" spans="1:18" hidden="1" x14ac:dyDescent="0.25">
      <c r="A1067" s="29" t="s">
        <v>2893</v>
      </c>
      <c r="B1067" s="29" t="s">
        <v>2892</v>
      </c>
      <c r="C1067" s="29" t="s">
        <v>2891</v>
      </c>
      <c r="D1067" s="29" t="str">
        <f>VLOOKUP(C:C,'COUNT-CONT'!B:C,2,FALSE)</f>
        <v>Asia</v>
      </c>
      <c r="E1067" s="29">
        <v>10</v>
      </c>
      <c r="F1067" s="28">
        <v>6406</v>
      </c>
      <c r="G1067" s="28">
        <v>3457114018</v>
      </c>
      <c r="H1067" s="29">
        <v>19.260000000000002</v>
      </c>
      <c r="I1067" s="142">
        <v>-60.179999999999993</v>
      </c>
      <c r="J1067" s="29">
        <v>4.87</v>
      </c>
      <c r="K1067" s="29">
        <v>3.23</v>
      </c>
      <c r="L1067" s="29">
        <v>13.57</v>
      </c>
      <c r="M1067" s="368"/>
      <c r="N1067" s="368"/>
      <c r="O1067" s="271">
        <f>IFERROR(Table17[[#This Row],[PROFIT]]/Table17[[#This Row],[TO]],0)</f>
        <v>0</v>
      </c>
      <c r="P1067" s="177"/>
      <c r="Q1067" s="177"/>
      <c r="R1067" s="177"/>
    </row>
    <row r="1068" spans="1:18" ht="30" hidden="1" x14ac:dyDescent="0.25">
      <c r="A1068" s="29" t="s">
        <v>3553</v>
      </c>
      <c r="B1068" s="29" t="s">
        <v>3552</v>
      </c>
      <c r="C1068" s="29" t="s">
        <v>517</v>
      </c>
      <c r="D1068" s="29" t="str">
        <f>VLOOKUP(C:C,'COUNT-CONT'!B:C,2,FALSE)</f>
        <v>South America</v>
      </c>
      <c r="E1068" s="29">
        <v>9</v>
      </c>
      <c r="F1068" s="28">
        <v>3273</v>
      </c>
      <c r="G1068" s="28">
        <v>3717383104</v>
      </c>
      <c r="H1068" s="29">
        <v>19.23</v>
      </c>
      <c r="I1068" s="142">
        <v>-60.209999999999994</v>
      </c>
      <c r="J1068" s="29">
        <v>7.47</v>
      </c>
      <c r="K1068" s="29">
        <v>6.17</v>
      </c>
      <c r="L1068" s="29">
        <v>16.29</v>
      </c>
      <c r="M1068" s="368"/>
      <c r="N1068" s="368"/>
      <c r="O1068" s="271">
        <f>IFERROR(Table17[[#This Row],[PROFIT]]/Table17[[#This Row],[TO]],0)</f>
        <v>0</v>
      </c>
      <c r="P1068" s="177"/>
      <c r="Q1068" s="177"/>
      <c r="R1068" s="177"/>
    </row>
    <row r="1069" spans="1:18" ht="30" hidden="1" x14ac:dyDescent="0.25">
      <c r="A1069" s="29" t="s">
        <v>4802</v>
      </c>
      <c r="B1069" s="29" t="s">
        <v>4801</v>
      </c>
      <c r="C1069" s="29" t="s">
        <v>11732</v>
      </c>
      <c r="D1069" s="29" t="str">
        <f>VLOOKUP(C:C,'COUNT-CONT'!B:C,2,FALSE)</f>
        <v>North America</v>
      </c>
      <c r="E1069" s="29">
        <v>9</v>
      </c>
      <c r="F1069" s="28">
        <v>3298</v>
      </c>
      <c r="G1069" s="28">
        <v>5098735476</v>
      </c>
      <c r="H1069" s="29">
        <v>19.23</v>
      </c>
      <c r="I1069" s="142">
        <v>-60.209999999999994</v>
      </c>
      <c r="J1069" s="29">
        <v>15.66</v>
      </c>
      <c r="K1069" s="29">
        <v>15.66</v>
      </c>
      <c r="L1069" s="29">
        <v>25.3</v>
      </c>
      <c r="M1069" s="368"/>
      <c r="N1069" s="368"/>
      <c r="O1069" s="271">
        <f>IFERROR(Table17[[#This Row],[PROFIT]]/Table17[[#This Row],[TO]],0)</f>
        <v>0</v>
      </c>
      <c r="P1069" s="177"/>
      <c r="Q1069" s="177"/>
      <c r="R1069" s="177"/>
    </row>
    <row r="1070" spans="1:18" hidden="1" x14ac:dyDescent="0.25">
      <c r="A1070" s="29" t="s">
        <v>3772</v>
      </c>
      <c r="B1070" s="29" t="s">
        <v>3771</v>
      </c>
      <c r="C1070" s="29" t="s">
        <v>2851</v>
      </c>
      <c r="D1070" s="29" t="str">
        <f>VLOOKUP(C:C,'COUNT-CONT'!B:C,2,FALSE)</f>
        <v>Africa</v>
      </c>
      <c r="E1070" s="29">
        <v>8</v>
      </c>
      <c r="F1070" s="28">
        <v>3043</v>
      </c>
      <c r="G1070" s="28">
        <v>3875385376</v>
      </c>
      <c r="H1070" s="29">
        <v>19.23</v>
      </c>
      <c r="I1070" s="142">
        <v>-60.209999999999994</v>
      </c>
      <c r="J1070" s="29">
        <v>8.3699999999999992</v>
      </c>
      <c r="K1070" s="29">
        <v>7.35</v>
      </c>
      <c r="L1070" s="29">
        <v>17.5</v>
      </c>
      <c r="M1070" s="368"/>
      <c r="N1070" s="368"/>
      <c r="O1070" s="271">
        <f>IFERROR(Table17[[#This Row],[PROFIT]]/Table17[[#This Row],[TO]],0)</f>
        <v>0</v>
      </c>
      <c r="P1070" s="177"/>
      <c r="Q1070" s="177"/>
      <c r="R1070" s="177"/>
    </row>
    <row r="1071" spans="1:18" hidden="1" x14ac:dyDescent="0.25">
      <c r="A1071" s="29" t="s">
        <v>2490</v>
      </c>
      <c r="B1071" s="29" t="s">
        <v>2489</v>
      </c>
      <c r="C1071" s="29" t="s">
        <v>881</v>
      </c>
      <c r="D1071" s="29" t="str">
        <f>VLOOKUP(C:C,'COUNT-CONT'!B:C,2,FALSE)</f>
        <v>Africa</v>
      </c>
      <c r="E1071" s="29">
        <v>9</v>
      </c>
      <c r="F1071" s="28">
        <v>3024</v>
      </c>
      <c r="G1071" s="28">
        <v>3351856613</v>
      </c>
      <c r="H1071" s="29">
        <v>19.23</v>
      </c>
      <c r="I1071" s="142">
        <v>-60.209999999999994</v>
      </c>
      <c r="J1071" s="29">
        <v>3.36</v>
      </c>
      <c r="K1071" s="29">
        <v>1.42</v>
      </c>
      <c r="L1071" s="29">
        <v>12.03</v>
      </c>
      <c r="M1071" s="368"/>
      <c r="N1071" s="368"/>
      <c r="O1071" s="271">
        <f>IFERROR(Table17[[#This Row],[PROFIT]]/Table17[[#This Row],[TO]],0)</f>
        <v>0</v>
      </c>
      <c r="P1071" s="177"/>
      <c r="Q1071" s="177"/>
      <c r="R1071" s="177"/>
    </row>
    <row r="1072" spans="1:18" ht="30" hidden="1" x14ac:dyDescent="0.25">
      <c r="A1072" s="29" t="s">
        <v>3423</v>
      </c>
      <c r="B1072" s="29" t="s">
        <v>3422</v>
      </c>
      <c r="C1072" s="29" t="s">
        <v>78</v>
      </c>
      <c r="D1072" s="29" t="str">
        <f>VLOOKUP(C:C,'COUNT-CONT'!B:C,2,FALSE)</f>
        <v>Europe</v>
      </c>
      <c r="E1072" s="29">
        <v>5</v>
      </c>
      <c r="F1072" s="28">
        <v>2247</v>
      </c>
      <c r="G1072" s="28">
        <v>3693141611</v>
      </c>
      <c r="H1072" s="29">
        <v>19.2</v>
      </c>
      <c r="I1072" s="142">
        <v>-60.239999999999995</v>
      </c>
      <c r="J1072" s="29">
        <v>6.92</v>
      </c>
      <c r="K1072" s="29">
        <v>5.65</v>
      </c>
      <c r="L1072" s="29">
        <v>15.72</v>
      </c>
      <c r="M1072" s="368"/>
      <c r="N1072" s="368"/>
      <c r="O1072" s="271">
        <f>IFERROR(Table17[[#This Row],[PROFIT]]/Table17[[#This Row],[TO]],0)</f>
        <v>0</v>
      </c>
      <c r="P1072" s="177"/>
      <c r="Q1072" s="177"/>
      <c r="R1072" s="177"/>
    </row>
    <row r="1073" spans="1:18" ht="30" hidden="1" x14ac:dyDescent="0.25">
      <c r="A1073" s="29" t="s">
        <v>4798</v>
      </c>
      <c r="B1073" s="29" t="s">
        <v>4797</v>
      </c>
      <c r="C1073" s="29" t="s">
        <v>11732</v>
      </c>
      <c r="D1073" s="29" t="str">
        <f>VLOOKUP(C:C,'COUNT-CONT'!B:C,2,FALSE)</f>
        <v>North America</v>
      </c>
      <c r="E1073" s="29">
        <v>9</v>
      </c>
      <c r="F1073" s="28">
        <v>3460</v>
      </c>
      <c r="G1073" s="28">
        <v>5088719075</v>
      </c>
      <c r="H1073" s="29">
        <v>19.170000000000002</v>
      </c>
      <c r="I1073" s="142">
        <v>-60.269999999999996</v>
      </c>
      <c r="J1073" s="29">
        <v>15.63</v>
      </c>
      <c r="K1073" s="29">
        <v>15.63</v>
      </c>
      <c r="L1073" s="29">
        <v>25.24</v>
      </c>
      <c r="M1073" s="368"/>
      <c r="N1073" s="368"/>
      <c r="O1073" s="271">
        <f>IFERROR(Table17[[#This Row],[PROFIT]]/Table17[[#This Row],[TO]],0)</f>
        <v>0</v>
      </c>
      <c r="P1073" s="177"/>
      <c r="Q1073" s="177"/>
      <c r="R1073" s="177"/>
    </row>
    <row r="1074" spans="1:18" ht="30" hidden="1" x14ac:dyDescent="0.25">
      <c r="A1074" s="29" t="s">
        <v>4298</v>
      </c>
      <c r="B1074" s="29" t="s">
        <v>4297</v>
      </c>
      <c r="C1074" s="29" t="s">
        <v>83</v>
      </c>
      <c r="D1074" s="29" t="str">
        <f>VLOOKUP(C:C,'COUNT-CONT'!B:C,2,FALSE)</f>
        <v>Europe</v>
      </c>
      <c r="E1074" s="29">
        <v>4</v>
      </c>
      <c r="F1074" s="28">
        <v>2024</v>
      </c>
      <c r="G1074" s="28">
        <v>4486878260</v>
      </c>
      <c r="H1074" s="29">
        <v>19.170000000000002</v>
      </c>
      <c r="I1074" s="142">
        <v>-60.269999999999996</v>
      </c>
      <c r="J1074" s="29">
        <v>11.67</v>
      </c>
      <c r="K1074" s="29">
        <v>10.82</v>
      </c>
      <c r="L1074" s="29">
        <v>20.83</v>
      </c>
      <c r="M1074" s="368"/>
      <c r="N1074" s="368"/>
      <c r="O1074" s="271">
        <f>IFERROR(Table17[[#This Row],[PROFIT]]/Table17[[#This Row],[TO]],0)</f>
        <v>0</v>
      </c>
      <c r="P1074" s="177"/>
      <c r="Q1074" s="177"/>
      <c r="R1074" s="177"/>
    </row>
    <row r="1075" spans="1:18" ht="30" hidden="1" x14ac:dyDescent="0.25">
      <c r="A1075" s="29" t="s">
        <v>2124</v>
      </c>
      <c r="B1075" s="29" t="s">
        <v>2123</v>
      </c>
      <c r="C1075" s="29" t="s">
        <v>725</v>
      </c>
      <c r="D1075" s="29" t="e">
        <f>VLOOKUP(C:C,'COUNT-CONT'!B:C,2,FALSE)</f>
        <v>#N/A</v>
      </c>
      <c r="E1075" s="29">
        <v>4</v>
      </c>
      <c r="F1075" s="28">
        <v>2002</v>
      </c>
      <c r="G1075" s="28">
        <v>3477450549</v>
      </c>
      <c r="H1075" s="29">
        <v>19.11</v>
      </c>
      <c r="I1075" s="142">
        <v>-60.33</v>
      </c>
      <c r="J1075" s="29">
        <v>2.15</v>
      </c>
      <c r="K1075" s="29">
        <v>0.42</v>
      </c>
      <c r="L1075" s="29">
        <v>10.85</v>
      </c>
      <c r="M1075" s="368"/>
      <c r="N1075" s="368"/>
      <c r="O1075" s="271">
        <f>IFERROR(Table17[[#This Row],[PROFIT]]/Table17[[#This Row],[TO]],0)</f>
        <v>0</v>
      </c>
      <c r="P1075" s="177"/>
      <c r="Q1075" s="177"/>
      <c r="R1075" s="177"/>
    </row>
    <row r="1076" spans="1:18" ht="30" hidden="1" x14ac:dyDescent="0.25">
      <c r="A1076" s="29" t="s">
        <v>4791</v>
      </c>
      <c r="B1076" s="29" t="s">
        <v>4790</v>
      </c>
      <c r="C1076" s="29" t="s">
        <v>11732</v>
      </c>
      <c r="D1076" s="29" t="str">
        <f>VLOOKUP(C:C,'COUNT-CONT'!B:C,2,FALSE)</f>
        <v>North America</v>
      </c>
      <c r="E1076" s="29">
        <v>6</v>
      </c>
      <c r="F1076" s="28">
        <v>2699</v>
      </c>
      <c r="G1076" s="28">
        <v>5090758354</v>
      </c>
      <c r="H1076" s="29">
        <v>19.07</v>
      </c>
      <c r="I1076" s="142">
        <v>-60.37</v>
      </c>
      <c r="J1076" s="29">
        <v>15.54</v>
      </c>
      <c r="K1076" s="29">
        <v>15.54</v>
      </c>
      <c r="L1076" s="29">
        <v>25.09</v>
      </c>
      <c r="M1076" s="368"/>
      <c r="N1076" s="368"/>
      <c r="O1076" s="271">
        <f>IFERROR(Table17[[#This Row],[PROFIT]]/Table17[[#This Row],[TO]],0)</f>
        <v>0</v>
      </c>
      <c r="P1076" s="177"/>
      <c r="Q1076" s="177"/>
      <c r="R1076" s="177"/>
    </row>
    <row r="1077" spans="1:18" hidden="1" x14ac:dyDescent="0.25">
      <c r="A1077" s="29" t="s">
        <v>4283</v>
      </c>
      <c r="B1077" s="29" t="s">
        <v>4282</v>
      </c>
      <c r="C1077" s="29" t="s">
        <v>1427</v>
      </c>
      <c r="D1077" s="29" t="str">
        <f>VLOOKUP(C:C,'COUNT-CONT'!B:C,2,FALSE)</f>
        <v>Europe</v>
      </c>
      <c r="E1077" s="29">
        <v>6</v>
      </c>
      <c r="F1077" s="28">
        <v>2499</v>
      </c>
      <c r="G1077" s="28">
        <v>4416776070</v>
      </c>
      <c r="H1077" s="29">
        <v>19.07</v>
      </c>
      <c r="I1077" s="142">
        <v>-60.37</v>
      </c>
      <c r="J1077" s="29">
        <v>11.61</v>
      </c>
      <c r="K1077" s="29">
        <v>10.76</v>
      </c>
      <c r="L1077" s="29">
        <v>20.74</v>
      </c>
      <c r="M1077" s="368"/>
      <c r="N1077" s="368"/>
      <c r="O1077" s="271">
        <f>IFERROR(Table17[[#This Row],[PROFIT]]/Table17[[#This Row],[TO]],0)</f>
        <v>0</v>
      </c>
      <c r="P1077" s="177"/>
      <c r="Q1077" s="177"/>
      <c r="R1077" s="177"/>
    </row>
    <row r="1078" spans="1:18" ht="30" hidden="1" x14ac:dyDescent="0.25">
      <c r="A1078" s="29" t="s">
        <v>4281</v>
      </c>
      <c r="B1078" s="29" t="s">
        <v>4280</v>
      </c>
      <c r="C1078" s="29" t="s">
        <v>83</v>
      </c>
      <c r="D1078" s="29" t="str">
        <f>VLOOKUP(C:C,'COUNT-CONT'!B:C,2,FALSE)</f>
        <v>Europe</v>
      </c>
      <c r="E1078" s="29">
        <v>6</v>
      </c>
      <c r="F1078" s="28">
        <v>2376</v>
      </c>
      <c r="G1078" s="28">
        <v>4426062962</v>
      </c>
      <c r="H1078" s="29">
        <v>19.07</v>
      </c>
      <c r="I1078" s="142">
        <v>-60.37</v>
      </c>
      <c r="J1078" s="29">
        <v>11.61</v>
      </c>
      <c r="K1078" s="29">
        <v>10.76</v>
      </c>
      <c r="L1078" s="29">
        <v>20.74</v>
      </c>
      <c r="M1078" s="368"/>
      <c r="N1078" s="368"/>
      <c r="O1078" s="271">
        <f>IFERROR(Table17[[#This Row],[PROFIT]]/Table17[[#This Row],[TO]],0)</f>
        <v>0</v>
      </c>
      <c r="P1078" s="177"/>
      <c r="Q1078" s="177"/>
      <c r="R1078" s="177"/>
    </row>
    <row r="1079" spans="1:18" ht="30" hidden="1" x14ac:dyDescent="0.25">
      <c r="A1079" s="29" t="s">
        <v>3684</v>
      </c>
      <c r="B1079" s="29" t="s">
        <v>3683</v>
      </c>
      <c r="C1079" s="29" t="s">
        <v>2329</v>
      </c>
      <c r="D1079" s="29" t="str">
        <f>VLOOKUP(C:C,'COUNT-CONT'!B:C,2,FALSE)</f>
        <v>North America</v>
      </c>
      <c r="E1079" s="29">
        <v>4</v>
      </c>
      <c r="F1079" s="28">
        <v>1830</v>
      </c>
      <c r="G1079" s="28">
        <v>3935492896</v>
      </c>
      <c r="H1079" s="29">
        <v>19.07</v>
      </c>
      <c r="I1079" s="142">
        <v>-60.37</v>
      </c>
      <c r="J1079" s="29">
        <v>8.16</v>
      </c>
      <c r="K1079" s="29">
        <v>7.13</v>
      </c>
      <c r="L1079" s="29">
        <v>17.02</v>
      </c>
      <c r="M1079" s="368"/>
      <c r="N1079" s="368"/>
      <c r="O1079" s="271">
        <f>IFERROR(Table17[[#This Row],[PROFIT]]/Table17[[#This Row],[TO]],0)</f>
        <v>0</v>
      </c>
      <c r="P1079" s="177"/>
      <c r="Q1079" s="177"/>
      <c r="R1079" s="177"/>
    </row>
    <row r="1080" spans="1:18" ht="45" hidden="1" x14ac:dyDescent="0.25">
      <c r="A1080" s="29" t="s">
        <v>3761</v>
      </c>
      <c r="B1080" s="29" t="s">
        <v>3760</v>
      </c>
      <c r="C1080" s="29" t="s">
        <v>530</v>
      </c>
      <c r="D1080" s="29" t="str">
        <f>VLOOKUP(C:C,'COUNT-CONT'!B:C,2,FALSE)</f>
        <v>South America</v>
      </c>
      <c r="E1080" s="29">
        <v>8</v>
      </c>
      <c r="F1080" s="28">
        <v>2851</v>
      </c>
      <c r="G1080" s="28">
        <v>3861829533</v>
      </c>
      <c r="H1080" s="29">
        <v>19.07</v>
      </c>
      <c r="I1080" s="142">
        <v>-60.37</v>
      </c>
      <c r="J1080" s="29">
        <v>8.31</v>
      </c>
      <c r="K1080" s="29">
        <v>7.29</v>
      </c>
      <c r="L1080" s="29">
        <v>17.350000000000001</v>
      </c>
      <c r="M1080" s="368"/>
      <c r="N1080" s="368"/>
      <c r="O1080" s="271">
        <f>IFERROR(Table17[[#This Row],[PROFIT]]/Table17[[#This Row],[TO]],0)</f>
        <v>0</v>
      </c>
      <c r="P1080" s="177"/>
      <c r="Q1080" s="177"/>
      <c r="R1080" s="177"/>
    </row>
    <row r="1081" spans="1:18" ht="30" hidden="1" x14ac:dyDescent="0.25">
      <c r="A1081" s="29" t="s">
        <v>3530</v>
      </c>
      <c r="B1081" s="29" t="s">
        <v>3529</v>
      </c>
      <c r="C1081" s="29" t="s">
        <v>517</v>
      </c>
      <c r="D1081" s="29" t="str">
        <f>VLOOKUP(C:C,'COUNT-CONT'!B:C,2,FALSE)</f>
        <v>South America</v>
      </c>
      <c r="E1081" s="29">
        <v>4</v>
      </c>
      <c r="F1081" s="28">
        <v>1817</v>
      </c>
      <c r="G1081" s="28">
        <v>3822993505</v>
      </c>
      <c r="H1081" s="29">
        <v>19.04</v>
      </c>
      <c r="I1081" s="142">
        <v>-60.4</v>
      </c>
      <c r="J1081" s="29">
        <v>7.41</v>
      </c>
      <c r="K1081" s="29">
        <v>6.14</v>
      </c>
      <c r="L1081" s="29">
        <v>16.14</v>
      </c>
      <c r="M1081" s="368"/>
      <c r="N1081" s="368"/>
      <c r="O1081" s="271">
        <f>IFERROR(Table17[[#This Row],[PROFIT]]/Table17[[#This Row],[TO]],0)</f>
        <v>0</v>
      </c>
      <c r="P1081" s="177"/>
      <c r="Q1081" s="177"/>
      <c r="R1081" s="177"/>
    </row>
    <row r="1082" spans="1:18" hidden="1" x14ac:dyDescent="0.25">
      <c r="A1082" s="29" t="s">
        <v>3385</v>
      </c>
      <c r="B1082" s="29" t="s">
        <v>3384</v>
      </c>
      <c r="C1082" s="29" t="s">
        <v>78</v>
      </c>
      <c r="D1082" s="29" t="str">
        <f>VLOOKUP(C:C,'COUNT-CONT'!B:C,2,FALSE)</f>
        <v>Europe</v>
      </c>
      <c r="E1082" s="29">
        <v>7</v>
      </c>
      <c r="F1082" s="28">
        <v>2537</v>
      </c>
      <c r="G1082" s="28">
        <v>3649882972</v>
      </c>
      <c r="H1082" s="29">
        <v>19.04</v>
      </c>
      <c r="I1082" s="142">
        <v>-60.4</v>
      </c>
      <c r="J1082" s="29">
        <v>6.86</v>
      </c>
      <c r="K1082" s="29">
        <v>5.59</v>
      </c>
      <c r="L1082" s="29">
        <v>15.6</v>
      </c>
      <c r="M1082" s="368"/>
      <c r="N1082" s="368"/>
      <c r="O1082" s="271">
        <f>IFERROR(Table17[[#This Row],[PROFIT]]/Table17[[#This Row],[TO]],0)</f>
        <v>0</v>
      </c>
      <c r="P1082" s="177"/>
      <c r="Q1082" s="177"/>
      <c r="R1082" s="177"/>
    </row>
    <row r="1083" spans="1:18" hidden="1" x14ac:dyDescent="0.25">
      <c r="A1083" s="29" t="s">
        <v>3396</v>
      </c>
      <c r="B1083" s="29" t="s">
        <v>3395</v>
      </c>
      <c r="C1083" s="29" t="s">
        <v>78</v>
      </c>
      <c r="D1083" s="29" t="str">
        <f>VLOOKUP(C:C,'COUNT-CONT'!B:C,2,FALSE)</f>
        <v>Europe</v>
      </c>
      <c r="E1083" s="29">
        <v>7</v>
      </c>
      <c r="F1083" s="28">
        <v>2783</v>
      </c>
      <c r="G1083" s="28">
        <v>3639056916</v>
      </c>
      <c r="H1083" s="29">
        <v>19.04</v>
      </c>
      <c r="I1083" s="142">
        <v>-60.4</v>
      </c>
      <c r="J1083" s="29">
        <v>6.86</v>
      </c>
      <c r="K1083" s="29">
        <v>5.62</v>
      </c>
      <c r="L1083" s="29">
        <v>15.63</v>
      </c>
      <c r="M1083" s="368"/>
      <c r="N1083" s="368"/>
      <c r="O1083" s="271">
        <f>IFERROR(Table17[[#This Row],[PROFIT]]/Table17[[#This Row],[TO]],0)</f>
        <v>0</v>
      </c>
      <c r="P1083" s="177"/>
      <c r="Q1083" s="177"/>
      <c r="R1083" s="177"/>
    </row>
    <row r="1084" spans="1:18" hidden="1" x14ac:dyDescent="0.25">
      <c r="A1084" s="29" t="s">
        <v>4279</v>
      </c>
      <c r="B1084" s="29" t="s">
        <v>4278</v>
      </c>
      <c r="C1084" s="29" t="s">
        <v>1427</v>
      </c>
      <c r="D1084" s="29" t="str">
        <f>VLOOKUP(C:C,'COUNT-CONT'!B:C,2,FALSE)</f>
        <v>Europe</v>
      </c>
      <c r="E1084" s="29">
        <v>8</v>
      </c>
      <c r="F1084" s="28">
        <v>3111</v>
      </c>
      <c r="G1084" s="28">
        <v>4385984056</v>
      </c>
      <c r="H1084" s="29">
        <v>19.04</v>
      </c>
      <c r="I1084" s="142">
        <v>-60.4</v>
      </c>
      <c r="J1084" s="29">
        <v>11.58</v>
      </c>
      <c r="K1084" s="29">
        <v>10.76</v>
      </c>
      <c r="L1084" s="29">
        <v>20.71</v>
      </c>
      <c r="M1084" s="368"/>
      <c r="N1084" s="368"/>
      <c r="O1084" s="271">
        <f>IFERROR(Table17[[#This Row],[PROFIT]]/Table17[[#This Row],[TO]],0)</f>
        <v>0</v>
      </c>
      <c r="P1084" s="177"/>
      <c r="Q1084" s="177"/>
      <c r="R1084" s="177"/>
    </row>
    <row r="1085" spans="1:18" hidden="1" x14ac:dyDescent="0.25">
      <c r="A1085" s="29" t="s">
        <v>3129</v>
      </c>
      <c r="B1085" s="29" t="s">
        <v>3128</v>
      </c>
      <c r="C1085" s="29" t="s">
        <v>700</v>
      </c>
      <c r="D1085" s="29" t="str">
        <f>VLOOKUP(C:C,'COUNT-CONT'!B:C,2,FALSE)</f>
        <v>Asia</v>
      </c>
      <c r="E1085" s="29">
        <v>9</v>
      </c>
      <c r="F1085" s="28">
        <v>3076</v>
      </c>
      <c r="G1085" s="28">
        <v>3530007282</v>
      </c>
      <c r="H1085" s="29">
        <v>19.010000000000002</v>
      </c>
      <c r="I1085" s="142">
        <v>-60.429999999999993</v>
      </c>
      <c r="J1085" s="29">
        <v>5.83</v>
      </c>
      <c r="K1085" s="29">
        <v>4.38</v>
      </c>
      <c r="L1085" s="29">
        <v>14.63</v>
      </c>
      <c r="M1085" s="368"/>
      <c r="N1085" s="368"/>
      <c r="O1085" s="271">
        <f>IFERROR(Table17[[#This Row],[PROFIT]]/Table17[[#This Row],[TO]],0)</f>
        <v>0</v>
      </c>
      <c r="P1085" s="177"/>
      <c r="Q1085" s="177"/>
      <c r="R1085" s="177"/>
    </row>
    <row r="1086" spans="1:18" ht="30" hidden="1" x14ac:dyDescent="0.25">
      <c r="A1086" s="29" t="s">
        <v>3526</v>
      </c>
      <c r="B1086" s="29" t="s">
        <v>3525</v>
      </c>
      <c r="C1086" s="29" t="s">
        <v>517</v>
      </c>
      <c r="D1086" s="29" t="str">
        <f>VLOOKUP(C:C,'COUNT-CONT'!B:C,2,FALSE)</f>
        <v>South America</v>
      </c>
      <c r="E1086" s="29">
        <v>7</v>
      </c>
      <c r="F1086" s="28">
        <v>2731</v>
      </c>
      <c r="G1086" s="28">
        <v>3703982863</v>
      </c>
      <c r="H1086" s="29">
        <v>18.98</v>
      </c>
      <c r="I1086" s="142">
        <v>-60.459999999999994</v>
      </c>
      <c r="J1086" s="29">
        <v>7.41</v>
      </c>
      <c r="K1086" s="29">
        <v>6.11</v>
      </c>
      <c r="L1086" s="29">
        <v>16.11</v>
      </c>
      <c r="M1086" s="368"/>
      <c r="N1086" s="368"/>
      <c r="O1086" s="271">
        <f>IFERROR(Table17[[#This Row],[PROFIT]]/Table17[[#This Row],[TO]],0)</f>
        <v>0</v>
      </c>
      <c r="P1086" s="177"/>
      <c r="Q1086" s="177"/>
      <c r="R1086" s="177"/>
    </row>
    <row r="1087" spans="1:18" hidden="1" x14ac:dyDescent="0.25">
      <c r="A1087" s="29" t="s">
        <v>3375</v>
      </c>
      <c r="B1087" s="29" t="s">
        <v>3374</v>
      </c>
      <c r="C1087" s="29" t="s">
        <v>717</v>
      </c>
      <c r="D1087" s="29" t="str">
        <f>VLOOKUP(C:C,'COUNT-CONT'!B:C,2,FALSE)</f>
        <v>Asia</v>
      </c>
      <c r="E1087" s="29">
        <v>4</v>
      </c>
      <c r="F1087" s="28">
        <v>1922</v>
      </c>
      <c r="G1087" s="28">
        <v>3724720499</v>
      </c>
      <c r="H1087" s="29">
        <v>18.98</v>
      </c>
      <c r="I1087" s="142">
        <v>-60.459999999999994</v>
      </c>
      <c r="J1087" s="29">
        <v>6.83</v>
      </c>
      <c r="K1087" s="29">
        <v>5.59</v>
      </c>
      <c r="L1087" s="29">
        <v>15.57</v>
      </c>
      <c r="M1087" s="368"/>
      <c r="N1087" s="368"/>
      <c r="O1087" s="271">
        <f>IFERROR(Table17[[#This Row],[PROFIT]]/Table17[[#This Row],[TO]],0)</f>
        <v>0</v>
      </c>
      <c r="P1087" s="177"/>
      <c r="Q1087" s="177"/>
      <c r="R1087" s="177"/>
    </row>
    <row r="1088" spans="1:18" hidden="1" x14ac:dyDescent="0.25">
      <c r="A1088" s="29" t="s">
        <v>3524</v>
      </c>
      <c r="B1088" s="29" t="s">
        <v>3523</v>
      </c>
      <c r="C1088" s="29" t="s">
        <v>14</v>
      </c>
      <c r="D1088" s="29" t="str">
        <f>VLOOKUP(C:C,'COUNT-CONT'!B:C,2,FALSE)</f>
        <v>Asia</v>
      </c>
      <c r="E1088" s="29">
        <v>6</v>
      </c>
      <c r="F1088" s="28">
        <v>2432</v>
      </c>
      <c r="G1088" s="28">
        <v>3725102631</v>
      </c>
      <c r="H1088" s="29">
        <v>18.98</v>
      </c>
      <c r="I1088" s="142">
        <v>-60.459999999999994</v>
      </c>
      <c r="J1088" s="29">
        <v>7.41</v>
      </c>
      <c r="K1088" s="29">
        <v>6.11</v>
      </c>
      <c r="L1088" s="29">
        <v>16.11</v>
      </c>
      <c r="M1088" s="368"/>
      <c r="N1088" s="368"/>
      <c r="O1088" s="271">
        <f>IFERROR(Table17[[#This Row],[PROFIT]]/Table17[[#This Row],[TO]],0)</f>
        <v>0</v>
      </c>
      <c r="P1088" s="177"/>
      <c r="Q1088" s="177"/>
      <c r="R1088" s="177"/>
    </row>
    <row r="1089" spans="1:18" hidden="1" x14ac:dyDescent="0.25">
      <c r="A1089" s="29" t="s">
        <v>2440</v>
      </c>
      <c r="B1089" s="29" t="s">
        <v>2439</v>
      </c>
      <c r="C1089" s="29" t="s">
        <v>1710</v>
      </c>
      <c r="D1089" s="29" t="str">
        <f>VLOOKUP(C:C,'COUNT-CONT'!B:C,2,FALSE)</f>
        <v>Asia</v>
      </c>
      <c r="E1089" s="29">
        <v>6</v>
      </c>
      <c r="F1089" s="28">
        <v>2448</v>
      </c>
      <c r="G1089" s="28">
        <v>3357746405</v>
      </c>
      <c r="H1089" s="29">
        <v>18.98</v>
      </c>
      <c r="I1089" s="142">
        <v>-60.459999999999994</v>
      </c>
      <c r="J1089" s="29">
        <v>3.54</v>
      </c>
      <c r="K1089" s="29">
        <v>1.42</v>
      </c>
      <c r="L1089" s="29">
        <v>11.85</v>
      </c>
      <c r="M1089" s="368"/>
      <c r="N1089" s="368"/>
      <c r="O1089" s="271">
        <f>IFERROR(Table17[[#This Row],[PROFIT]]/Table17[[#This Row],[TO]],0)</f>
        <v>0</v>
      </c>
      <c r="P1089" s="177"/>
      <c r="Q1089" s="177"/>
      <c r="R1089" s="177"/>
    </row>
    <row r="1090" spans="1:18" ht="30" hidden="1" x14ac:dyDescent="0.25">
      <c r="A1090" s="29" t="s">
        <v>3522</v>
      </c>
      <c r="B1090" s="29" t="s">
        <v>3521</v>
      </c>
      <c r="C1090" s="29" t="s">
        <v>517</v>
      </c>
      <c r="D1090" s="29" t="str">
        <f>VLOOKUP(C:C,'COUNT-CONT'!B:C,2,FALSE)</f>
        <v>South America</v>
      </c>
      <c r="E1090" s="29">
        <v>4</v>
      </c>
      <c r="F1090" s="28">
        <v>2028</v>
      </c>
      <c r="G1090" s="28">
        <v>3773606311</v>
      </c>
      <c r="H1090" s="29">
        <v>18.98</v>
      </c>
      <c r="I1090" s="142">
        <v>-60.459999999999994</v>
      </c>
      <c r="J1090" s="29">
        <v>7.41</v>
      </c>
      <c r="K1090" s="29">
        <v>6.11</v>
      </c>
      <c r="L1090" s="29">
        <v>16.11</v>
      </c>
      <c r="M1090" s="368"/>
      <c r="N1090" s="368"/>
      <c r="O1090" s="271">
        <f>IFERROR(Table17[[#This Row],[PROFIT]]/Table17[[#This Row],[TO]],0)</f>
        <v>0</v>
      </c>
      <c r="P1090" s="177"/>
      <c r="Q1090" s="177"/>
      <c r="R1090" s="177"/>
    </row>
    <row r="1091" spans="1:18" ht="30" hidden="1" x14ac:dyDescent="0.25">
      <c r="A1091" s="29" t="s">
        <v>4785</v>
      </c>
      <c r="B1091" s="29" t="s">
        <v>4784</v>
      </c>
      <c r="C1091" s="29" t="s">
        <v>11732</v>
      </c>
      <c r="D1091" s="29" t="str">
        <f>VLOOKUP(C:C,'COUNT-CONT'!B:C,2,FALSE)</f>
        <v>North America</v>
      </c>
      <c r="E1091" s="29">
        <v>8</v>
      </c>
      <c r="F1091" s="28">
        <v>3127</v>
      </c>
      <c r="G1091" s="28">
        <v>5062174864</v>
      </c>
      <c r="H1091" s="29">
        <v>18.98</v>
      </c>
      <c r="I1091" s="142">
        <v>-60.459999999999994</v>
      </c>
      <c r="J1091" s="29">
        <v>15.51</v>
      </c>
      <c r="K1091" s="29">
        <v>15.51</v>
      </c>
      <c r="L1091" s="29">
        <v>25</v>
      </c>
      <c r="M1091" s="368"/>
      <c r="N1091" s="368"/>
      <c r="O1091" s="271">
        <f>IFERROR(Table17[[#This Row],[PROFIT]]/Table17[[#This Row],[TO]],0)</f>
        <v>0</v>
      </c>
      <c r="P1091" s="177"/>
      <c r="Q1091" s="177"/>
      <c r="R1091" s="177"/>
    </row>
    <row r="1092" spans="1:18" hidden="1" x14ac:dyDescent="0.25">
      <c r="A1092" s="29" t="s">
        <v>3381</v>
      </c>
      <c r="B1092" s="29" t="s">
        <v>3380</v>
      </c>
      <c r="C1092" s="29" t="s">
        <v>971</v>
      </c>
      <c r="D1092" s="29" t="str">
        <f>VLOOKUP(C:C,'COUNT-CONT'!B:C,2,FALSE)</f>
        <v>Africa</v>
      </c>
      <c r="E1092" s="29">
        <v>10</v>
      </c>
      <c r="F1092" s="28">
        <v>3339</v>
      </c>
      <c r="G1092" s="28">
        <v>3618639952</v>
      </c>
      <c r="H1092" s="29">
        <v>18.98</v>
      </c>
      <c r="I1092" s="142">
        <v>-60.459999999999994</v>
      </c>
      <c r="J1092" s="29">
        <v>6.83</v>
      </c>
      <c r="K1092" s="29">
        <v>5.59</v>
      </c>
      <c r="L1092" s="29">
        <v>15.57</v>
      </c>
      <c r="M1092" s="368"/>
      <c r="N1092" s="368"/>
      <c r="O1092" s="271">
        <f>IFERROR(Table17[[#This Row],[PROFIT]]/Table17[[#This Row],[TO]],0)</f>
        <v>0</v>
      </c>
      <c r="P1092" s="177"/>
      <c r="Q1092" s="177"/>
      <c r="R1092" s="177"/>
    </row>
    <row r="1093" spans="1:18" ht="30" hidden="1" x14ac:dyDescent="0.25">
      <c r="A1093" s="29" t="s">
        <v>4783</v>
      </c>
      <c r="B1093" s="29" t="s">
        <v>4782</v>
      </c>
      <c r="C1093" s="29" t="s">
        <v>11732</v>
      </c>
      <c r="D1093" s="29" t="str">
        <f>VLOOKUP(C:C,'COUNT-CONT'!B:C,2,FALSE)</f>
        <v>North America</v>
      </c>
      <c r="E1093" s="29">
        <v>7</v>
      </c>
      <c r="F1093" s="28">
        <v>2733</v>
      </c>
      <c r="G1093" s="28">
        <v>5071688108</v>
      </c>
      <c r="H1093" s="29">
        <v>18.95</v>
      </c>
      <c r="I1093" s="142">
        <v>-60.489999999999995</v>
      </c>
      <c r="J1093" s="29">
        <v>15.48</v>
      </c>
      <c r="K1093" s="29">
        <v>15.48</v>
      </c>
      <c r="L1093" s="29">
        <v>24.97</v>
      </c>
      <c r="M1093" s="368"/>
      <c r="N1093" s="368"/>
      <c r="O1093" s="271">
        <f>IFERROR(Table17[[#This Row],[PROFIT]]/Table17[[#This Row],[TO]],0)</f>
        <v>0</v>
      </c>
      <c r="P1093" s="177"/>
      <c r="Q1093" s="177"/>
      <c r="R1093" s="177"/>
    </row>
    <row r="1094" spans="1:18" ht="30" hidden="1" x14ac:dyDescent="0.25">
      <c r="A1094" s="29" t="s">
        <v>4774</v>
      </c>
      <c r="B1094" s="29" t="s">
        <v>4773</v>
      </c>
      <c r="C1094" s="29" t="s">
        <v>11732</v>
      </c>
      <c r="D1094" s="29" t="str">
        <f>VLOOKUP(C:C,'COUNT-CONT'!B:C,2,FALSE)</f>
        <v>North America</v>
      </c>
      <c r="E1094" s="29">
        <v>5</v>
      </c>
      <c r="F1094" s="28">
        <v>2316</v>
      </c>
      <c r="G1094" s="28">
        <v>5099156822</v>
      </c>
      <c r="H1094" s="29">
        <v>18.920000000000002</v>
      </c>
      <c r="I1094" s="142">
        <v>-60.519999999999996</v>
      </c>
      <c r="J1094" s="29">
        <v>15.45</v>
      </c>
      <c r="K1094" s="29">
        <v>15.45</v>
      </c>
      <c r="L1094" s="29">
        <v>24.91</v>
      </c>
      <c r="M1094" s="368"/>
      <c r="N1094" s="368"/>
      <c r="O1094" s="271">
        <f>IFERROR(Table17[[#This Row],[PROFIT]]/Table17[[#This Row],[TO]],0)</f>
        <v>0</v>
      </c>
      <c r="P1094" s="177"/>
      <c r="Q1094" s="177"/>
      <c r="R1094" s="177"/>
    </row>
    <row r="1095" spans="1:18" hidden="1" x14ac:dyDescent="0.25">
      <c r="A1095" s="29" t="s">
        <v>2567</v>
      </c>
      <c r="B1095" s="29" t="s">
        <v>2566</v>
      </c>
      <c r="C1095" s="29" t="s">
        <v>197</v>
      </c>
      <c r="D1095" s="29" t="str">
        <f>VLOOKUP(C:C,'COUNT-CONT'!B:C,2,FALSE)</f>
        <v>Asia</v>
      </c>
      <c r="E1095" s="29">
        <v>7</v>
      </c>
      <c r="F1095" s="28">
        <v>2763</v>
      </c>
      <c r="G1095" s="28">
        <v>3348717987</v>
      </c>
      <c r="H1095" s="29">
        <v>18.920000000000002</v>
      </c>
      <c r="I1095" s="142">
        <v>-60.519999999999996</v>
      </c>
      <c r="J1095" s="29">
        <v>3.93</v>
      </c>
      <c r="K1095" s="29">
        <v>1.96</v>
      </c>
      <c r="L1095" s="29">
        <v>12.27</v>
      </c>
      <c r="M1095" s="368"/>
      <c r="N1095" s="368"/>
      <c r="O1095" s="271">
        <f>IFERROR(Table17[[#This Row],[PROFIT]]/Table17[[#This Row],[TO]],0)</f>
        <v>0</v>
      </c>
      <c r="P1095" s="177"/>
      <c r="Q1095" s="177"/>
      <c r="R1095" s="177"/>
    </row>
    <row r="1096" spans="1:18" ht="30" hidden="1" x14ac:dyDescent="0.25">
      <c r="A1096" s="29" t="s">
        <v>4396</v>
      </c>
      <c r="B1096" s="29" t="s">
        <v>4395</v>
      </c>
      <c r="C1096" s="29" t="s">
        <v>514</v>
      </c>
      <c r="D1096" s="29" t="str">
        <f>VLOOKUP(C:C,'COUNT-CONT'!B:C,2,FALSE)</f>
        <v>North America</v>
      </c>
      <c r="E1096" s="29">
        <v>1</v>
      </c>
      <c r="F1096" s="28">
        <v>1271</v>
      </c>
      <c r="G1096" s="28">
        <v>4838760267</v>
      </c>
      <c r="H1096" s="29">
        <v>18.920000000000002</v>
      </c>
      <c r="I1096" s="142">
        <v>-60.519999999999996</v>
      </c>
      <c r="J1096" s="29">
        <v>12.45</v>
      </c>
      <c r="K1096" s="29">
        <v>12.03</v>
      </c>
      <c r="L1096" s="29">
        <v>21.49</v>
      </c>
      <c r="M1096" s="368"/>
      <c r="N1096" s="368"/>
      <c r="O1096" s="271">
        <f>IFERROR(Table17[[#This Row],[PROFIT]]/Table17[[#This Row],[TO]],0)</f>
        <v>0</v>
      </c>
      <c r="P1096" s="177"/>
      <c r="Q1096" s="177"/>
      <c r="R1096" s="177"/>
    </row>
    <row r="1097" spans="1:18" ht="30" hidden="1" x14ac:dyDescent="0.25">
      <c r="A1097" s="29" t="s">
        <v>3739</v>
      </c>
      <c r="B1097" s="29" t="s">
        <v>3738</v>
      </c>
      <c r="C1097" s="29" t="s">
        <v>530</v>
      </c>
      <c r="D1097" s="29" t="str">
        <f>VLOOKUP(C:C,'COUNT-CONT'!B:C,2,FALSE)</f>
        <v>South America</v>
      </c>
      <c r="E1097" s="29">
        <v>8</v>
      </c>
      <c r="F1097" s="28">
        <v>2951</v>
      </c>
      <c r="G1097" s="28">
        <v>3839554998</v>
      </c>
      <c r="H1097" s="29">
        <v>18.89</v>
      </c>
      <c r="I1097" s="142">
        <v>-60.55</v>
      </c>
      <c r="J1097" s="29">
        <v>8.25</v>
      </c>
      <c r="K1097" s="29">
        <v>7.19</v>
      </c>
      <c r="L1097" s="29">
        <v>17.2</v>
      </c>
      <c r="M1097" s="368"/>
      <c r="N1097" s="368"/>
      <c r="O1097" s="271">
        <f>IFERROR(Table17[[#This Row],[PROFIT]]/Table17[[#This Row],[TO]],0)</f>
        <v>0</v>
      </c>
      <c r="P1097" s="177"/>
      <c r="Q1097" s="177"/>
      <c r="R1097" s="177"/>
    </row>
    <row r="1098" spans="1:18" hidden="1" x14ac:dyDescent="0.25">
      <c r="A1098" s="29" t="s">
        <v>4249</v>
      </c>
      <c r="B1098" s="29" t="s">
        <v>4248</v>
      </c>
      <c r="C1098" s="29" t="s">
        <v>308</v>
      </c>
      <c r="D1098" s="29" t="str">
        <f>VLOOKUP(C:C,'COUNT-CONT'!B:C,2,FALSE)</f>
        <v>Europe</v>
      </c>
      <c r="E1098" s="29">
        <v>6</v>
      </c>
      <c r="F1098" s="28">
        <v>2496</v>
      </c>
      <c r="G1098" s="28">
        <v>4405105128</v>
      </c>
      <c r="H1098" s="29">
        <v>18.89</v>
      </c>
      <c r="I1098" s="142">
        <v>-60.55</v>
      </c>
      <c r="J1098" s="29">
        <v>11.49</v>
      </c>
      <c r="K1098" s="29">
        <v>11.06</v>
      </c>
      <c r="L1098" s="29">
        <v>20.53</v>
      </c>
      <c r="M1098" s="368"/>
      <c r="N1098" s="368"/>
      <c r="O1098" s="271">
        <f>IFERROR(Table17[[#This Row],[PROFIT]]/Table17[[#This Row],[TO]],0)</f>
        <v>0</v>
      </c>
      <c r="P1098" s="177"/>
      <c r="Q1098" s="177"/>
      <c r="R1098" s="177"/>
    </row>
    <row r="1099" spans="1:18" hidden="1" x14ac:dyDescent="0.25">
      <c r="A1099" s="29" t="s">
        <v>105</v>
      </c>
      <c r="B1099" s="29" t="s">
        <v>3436</v>
      </c>
      <c r="C1099" s="29" t="s">
        <v>1420</v>
      </c>
      <c r="D1099" s="29" t="str">
        <f>VLOOKUP(C:C,'COUNT-CONT'!B:C,2,FALSE)</f>
        <v>Europe</v>
      </c>
      <c r="E1099" s="29">
        <v>9</v>
      </c>
      <c r="F1099" s="28">
        <v>4652</v>
      </c>
      <c r="G1099" s="28">
        <v>3539657437</v>
      </c>
      <c r="H1099" s="29">
        <v>18.89</v>
      </c>
      <c r="I1099" s="142">
        <v>-60.55</v>
      </c>
      <c r="J1099" s="29">
        <v>7.22</v>
      </c>
      <c r="K1099" s="29">
        <v>5.65</v>
      </c>
      <c r="L1099" s="29">
        <v>15.75</v>
      </c>
      <c r="M1099" s="368"/>
      <c r="N1099" s="368"/>
      <c r="O1099" s="271">
        <f>IFERROR(Table17[[#This Row],[PROFIT]]/Table17[[#This Row],[TO]],0)</f>
        <v>0</v>
      </c>
      <c r="P1099" s="177"/>
      <c r="Q1099" s="177"/>
      <c r="R1099" s="177"/>
    </row>
    <row r="1100" spans="1:18" x14ac:dyDescent="0.25">
      <c r="A1100" s="29" t="s">
        <v>3012</v>
      </c>
      <c r="B1100" s="29" t="s">
        <v>3011</v>
      </c>
      <c r="C1100" s="29" t="s">
        <v>1646</v>
      </c>
      <c r="D1100" s="29" t="str">
        <f>VLOOKUP(C:C,'COUNT-CONT'!B:C,2,FALSE)</f>
        <v>Oceania</v>
      </c>
      <c r="E1100" s="29">
        <v>7</v>
      </c>
      <c r="F1100" s="28">
        <v>2702</v>
      </c>
      <c r="G1100" s="28">
        <v>3517405952</v>
      </c>
      <c r="H1100" s="29">
        <v>18.89</v>
      </c>
      <c r="I1100" s="142">
        <v>-60.55</v>
      </c>
      <c r="J1100" s="29">
        <v>5.62</v>
      </c>
      <c r="K1100" s="29">
        <v>3.93</v>
      </c>
      <c r="L1100" s="29">
        <v>14.12</v>
      </c>
      <c r="M1100" s="368"/>
      <c r="N1100" s="368"/>
      <c r="O1100" s="271">
        <f>IFERROR(Table17[[#This Row],[PROFIT]]/Table17[[#This Row],[TO]],0)</f>
        <v>0</v>
      </c>
      <c r="P1100" s="177"/>
      <c r="Q1100" s="177"/>
      <c r="R1100" s="177"/>
    </row>
    <row r="1101" spans="1:18" hidden="1" x14ac:dyDescent="0.25">
      <c r="A1101" s="29" t="s">
        <v>3493</v>
      </c>
      <c r="B1101" s="29" t="s">
        <v>3492</v>
      </c>
      <c r="C1101" s="29" t="s">
        <v>14</v>
      </c>
      <c r="D1101" s="29" t="str">
        <f>VLOOKUP(C:C,'COUNT-CONT'!B:C,2,FALSE)</f>
        <v>Asia</v>
      </c>
      <c r="E1101" s="29">
        <v>7</v>
      </c>
      <c r="F1101" s="28">
        <v>2583</v>
      </c>
      <c r="G1101" s="28">
        <v>3699261401</v>
      </c>
      <c r="H1101" s="29">
        <v>18.86</v>
      </c>
      <c r="I1101" s="142">
        <v>-60.58</v>
      </c>
      <c r="J1101" s="29">
        <v>7.35</v>
      </c>
      <c r="K1101" s="29">
        <v>6.08</v>
      </c>
      <c r="L1101" s="29">
        <v>15.99</v>
      </c>
      <c r="M1101" s="368"/>
      <c r="N1101" s="368"/>
      <c r="O1101" s="271">
        <f>IFERROR(Table17[[#This Row],[PROFIT]]/Table17[[#This Row],[TO]],0)</f>
        <v>0</v>
      </c>
      <c r="P1101" s="177"/>
      <c r="Q1101" s="177"/>
      <c r="R1101" s="177"/>
    </row>
    <row r="1102" spans="1:18" ht="30" hidden="1" x14ac:dyDescent="0.25">
      <c r="A1102" s="29" t="s">
        <v>3495</v>
      </c>
      <c r="B1102" s="29" t="s">
        <v>3494</v>
      </c>
      <c r="C1102" s="29" t="s">
        <v>505</v>
      </c>
      <c r="D1102" s="29" t="e">
        <f>VLOOKUP(C:C,'COUNT-CONT'!B:C,2,FALSE)</f>
        <v>#N/A</v>
      </c>
      <c r="E1102" s="29">
        <v>7</v>
      </c>
      <c r="F1102" s="28">
        <v>2786</v>
      </c>
      <c r="G1102" s="28">
        <v>3686631299</v>
      </c>
      <c r="H1102" s="29">
        <v>18.86</v>
      </c>
      <c r="I1102" s="142">
        <v>-60.58</v>
      </c>
      <c r="J1102" s="29">
        <v>7.35</v>
      </c>
      <c r="K1102" s="29">
        <v>6.08</v>
      </c>
      <c r="L1102" s="29">
        <v>15.99</v>
      </c>
      <c r="M1102" s="368"/>
      <c r="N1102" s="368"/>
      <c r="O1102" s="271">
        <f>IFERROR(Table17[[#This Row],[PROFIT]]/Table17[[#This Row],[TO]],0)</f>
        <v>0</v>
      </c>
      <c r="P1102" s="177"/>
      <c r="Q1102" s="177"/>
      <c r="R1102" s="177"/>
    </row>
    <row r="1103" spans="1:18" ht="30" hidden="1" x14ac:dyDescent="0.25">
      <c r="A1103" s="29" t="s">
        <v>3728</v>
      </c>
      <c r="B1103" s="29" t="s">
        <v>3727</v>
      </c>
      <c r="C1103" s="29" t="s">
        <v>758</v>
      </c>
      <c r="D1103" s="29" t="str">
        <f>VLOOKUP(C:C,'COUNT-CONT'!B:C,2,FALSE)</f>
        <v>Europe</v>
      </c>
      <c r="E1103" s="29">
        <v>6</v>
      </c>
      <c r="F1103" s="28">
        <v>2543</v>
      </c>
      <c r="G1103" s="28">
        <v>3869559968</v>
      </c>
      <c r="H1103" s="29">
        <v>18.86</v>
      </c>
      <c r="I1103" s="142">
        <v>-60.58</v>
      </c>
      <c r="J1103" s="29">
        <v>8.59</v>
      </c>
      <c r="K1103" s="29">
        <v>7.19</v>
      </c>
      <c r="L1103" s="29">
        <v>17.170000000000002</v>
      </c>
      <c r="M1103" s="368"/>
      <c r="N1103" s="368"/>
      <c r="O1103" s="271">
        <f>IFERROR(Table17[[#This Row],[PROFIT]]/Table17[[#This Row],[TO]],0)</f>
        <v>0</v>
      </c>
      <c r="P1103" s="177"/>
      <c r="Q1103" s="177"/>
      <c r="R1103" s="177"/>
    </row>
    <row r="1104" spans="1:18" hidden="1" x14ac:dyDescent="0.25">
      <c r="A1104" s="29" t="s">
        <v>3341</v>
      </c>
      <c r="B1104" s="29" t="s">
        <v>3340</v>
      </c>
      <c r="C1104" s="29" t="s">
        <v>717</v>
      </c>
      <c r="D1104" s="29" t="str">
        <f>VLOOKUP(C:C,'COUNT-CONT'!B:C,2,FALSE)</f>
        <v>Asia</v>
      </c>
      <c r="E1104" s="29">
        <v>3</v>
      </c>
      <c r="F1104" s="28">
        <v>1763</v>
      </c>
      <c r="G1104" s="28">
        <v>3746236471</v>
      </c>
      <c r="H1104" s="29">
        <v>18.86</v>
      </c>
      <c r="I1104" s="142">
        <v>-60.58</v>
      </c>
      <c r="J1104" s="29">
        <v>6.8</v>
      </c>
      <c r="K1104" s="29">
        <v>5.56</v>
      </c>
      <c r="L1104" s="29">
        <v>15.48</v>
      </c>
      <c r="M1104" s="368"/>
      <c r="N1104" s="368"/>
      <c r="O1104" s="271">
        <f>IFERROR(Table17[[#This Row],[PROFIT]]/Table17[[#This Row],[TO]],0)</f>
        <v>0</v>
      </c>
      <c r="P1104" s="177"/>
      <c r="Q1104" s="177"/>
      <c r="R1104" s="177"/>
    </row>
    <row r="1105" spans="1:18" ht="30" hidden="1" x14ac:dyDescent="0.25">
      <c r="A1105" s="29" t="s">
        <v>3107</v>
      </c>
      <c r="B1105" s="29" t="s">
        <v>3106</v>
      </c>
      <c r="C1105" s="29" t="s">
        <v>1144</v>
      </c>
      <c r="D1105" s="29" t="str">
        <f>VLOOKUP(C:C,'COUNT-CONT'!B:C,2,FALSE)</f>
        <v>South America</v>
      </c>
      <c r="E1105" s="29">
        <v>8</v>
      </c>
      <c r="F1105" s="28">
        <v>2860</v>
      </c>
      <c r="G1105" s="28">
        <v>3488115384</v>
      </c>
      <c r="H1105" s="29">
        <v>18.86</v>
      </c>
      <c r="I1105" s="142">
        <v>-60.58</v>
      </c>
      <c r="J1105" s="29">
        <v>6.08</v>
      </c>
      <c r="K1105" s="29">
        <v>4.3499999999999996</v>
      </c>
      <c r="L1105" s="29">
        <v>14.51</v>
      </c>
      <c r="M1105" s="368"/>
      <c r="N1105" s="368"/>
      <c r="O1105" s="271">
        <f>IFERROR(Table17[[#This Row],[PROFIT]]/Table17[[#This Row],[TO]],0)</f>
        <v>0</v>
      </c>
      <c r="P1105" s="177"/>
      <c r="Q1105" s="177"/>
      <c r="R1105" s="177"/>
    </row>
    <row r="1106" spans="1:18" ht="30" hidden="1" x14ac:dyDescent="0.25">
      <c r="A1106" s="29" t="s">
        <v>3471</v>
      </c>
      <c r="B1106" s="29" t="s">
        <v>3470</v>
      </c>
      <c r="C1106" s="29" t="s">
        <v>517</v>
      </c>
      <c r="D1106" s="29" t="str">
        <f>VLOOKUP(C:C,'COUNT-CONT'!B:C,2,FALSE)</f>
        <v>South America</v>
      </c>
      <c r="E1106" s="29">
        <v>4</v>
      </c>
      <c r="F1106" s="28">
        <v>1817</v>
      </c>
      <c r="G1106" s="28">
        <v>3798993505</v>
      </c>
      <c r="H1106" s="29">
        <v>18.829999999999998</v>
      </c>
      <c r="I1106" s="142">
        <v>-60.61</v>
      </c>
      <c r="J1106" s="29">
        <v>7.35</v>
      </c>
      <c r="K1106" s="29">
        <v>6.05</v>
      </c>
      <c r="L1106" s="29">
        <v>15.96</v>
      </c>
      <c r="M1106" s="368"/>
      <c r="N1106" s="368"/>
      <c r="O1106" s="271">
        <f>IFERROR(Table17[[#This Row],[PROFIT]]/Table17[[#This Row],[TO]],0)</f>
        <v>0</v>
      </c>
      <c r="P1106" s="177"/>
      <c r="Q1106" s="177"/>
      <c r="R1106" s="177"/>
    </row>
    <row r="1107" spans="1:18" hidden="1" x14ac:dyDescent="0.25">
      <c r="A1107" s="29" t="s">
        <v>4176</v>
      </c>
      <c r="B1107" s="29" t="s">
        <v>4175</v>
      </c>
      <c r="C1107" s="29" t="s">
        <v>597</v>
      </c>
      <c r="D1107" s="29" t="str">
        <f>VLOOKUP(C:C,'COUNT-CONT'!B:C,2,FALSE)</f>
        <v>Europe</v>
      </c>
      <c r="E1107" s="29">
        <v>6</v>
      </c>
      <c r="F1107" s="28">
        <v>2468</v>
      </c>
      <c r="G1107" s="28">
        <v>4331105024</v>
      </c>
      <c r="H1107" s="29">
        <v>18.829999999999998</v>
      </c>
      <c r="I1107" s="142">
        <v>-60.61</v>
      </c>
      <c r="J1107" s="29">
        <v>11.22</v>
      </c>
      <c r="K1107" s="29">
        <v>10.43</v>
      </c>
      <c r="L1107" s="29">
        <v>20.04</v>
      </c>
      <c r="M1107" s="368"/>
      <c r="N1107" s="368"/>
      <c r="O1107" s="271">
        <f>IFERROR(Table17[[#This Row],[PROFIT]]/Table17[[#This Row],[TO]],0)</f>
        <v>0</v>
      </c>
      <c r="P1107" s="177"/>
      <c r="Q1107" s="177"/>
      <c r="R1107" s="177"/>
    </row>
    <row r="1108" spans="1:18" hidden="1" x14ac:dyDescent="0.25">
      <c r="A1108" s="29" t="s">
        <v>3325</v>
      </c>
      <c r="B1108" s="29" t="s">
        <v>3324</v>
      </c>
      <c r="C1108" s="29" t="s">
        <v>717</v>
      </c>
      <c r="D1108" s="29" t="str">
        <f>VLOOKUP(C:C,'COUNT-CONT'!B:C,2,FALSE)</f>
        <v>Asia</v>
      </c>
      <c r="E1108" s="29">
        <v>4</v>
      </c>
      <c r="F1108" s="28">
        <v>1911</v>
      </c>
      <c r="G1108" s="28">
        <v>3706214861</v>
      </c>
      <c r="H1108" s="29">
        <v>18.8</v>
      </c>
      <c r="I1108" s="142">
        <v>-60.64</v>
      </c>
      <c r="J1108" s="29">
        <v>6.77</v>
      </c>
      <c r="K1108" s="29">
        <v>5.53</v>
      </c>
      <c r="L1108" s="29">
        <v>15.42</v>
      </c>
      <c r="M1108" s="368"/>
      <c r="N1108" s="368"/>
      <c r="O1108" s="271">
        <f>IFERROR(Table17[[#This Row],[PROFIT]]/Table17[[#This Row],[TO]],0)</f>
        <v>0</v>
      </c>
      <c r="P1108" s="177"/>
      <c r="Q1108" s="177"/>
      <c r="R1108" s="177"/>
    </row>
    <row r="1109" spans="1:18" hidden="1" x14ac:dyDescent="0.25">
      <c r="A1109" s="29" t="s">
        <v>2766</v>
      </c>
      <c r="B1109" s="29" t="s">
        <v>2765</v>
      </c>
      <c r="C1109" s="29" t="s">
        <v>2764</v>
      </c>
      <c r="D1109" s="29" t="str">
        <f>VLOOKUP(C:C,'COUNT-CONT'!B:C,2,FALSE)</f>
        <v>Asia</v>
      </c>
      <c r="E1109" s="29">
        <v>9</v>
      </c>
      <c r="F1109" s="28">
        <v>3219</v>
      </c>
      <c r="G1109" s="28">
        <v>3441321031</v>
      </c>
      <c r="H1109" s="29">
        <v>18.8</v>
      </c>
      <c r="I1109" s="142">
        <v>-60.64</v>
      </c>
      <c r="J1109" s="29">
        <v>4.6900000000000004</v>
      </c>
      <c r="K1109" s="29">
        <v>2.87</v>
      </c>
      <c r="L1109" s="29">
        <v>13.06</v>
      </c>
      <c r="M1109" s="368"/>
      <c r="N1109" s="368"/>
      <c r="O1109" s="271">
        <f>IFERROR(Table17[[#This Row],[PROFIT]]/Table17[[#This Row],[TO]],0)</f>
        <v>0</v>
      </c>
      <c r="P1109" s="177"/>
      <c r="Q1109" s="177"/>
      <c r="R1109" s="177"/>
    </row>
    <row r="1110" spans="1:18" ht="30" hidden="1" x14ac:dyDescent="0.25">
      <c r="A1110" s="29" t="s">
        <v>4758</v>
      </c>
      <c r="B1110" s="29" t="s">
        <v>4757</v>
      </c>
      <c r="C1110" s="29" t="s">
        <v>11732</v>
      </c>
      <c r="D1110" s="29" t="str">
        <f>VLOOKUP(C:C,'COUNT-CONT'!B:C,2,FALSE)</f>
        <v>North America</v>
      </c>
      <c r="E1110" s="29">
        <v>8</v>
      </c>
      <c r="F1110" s="28">
        <v>3118</v>
      </c>
      <c r="G1110" s="28">
        <v>5029590250</v>
      </c>
      <c r="H1110" s="29">
        <v>18.8</v>
      </c>
      <c r="I1110" s="142">
        <v>-60.64</v>
      </c>
      <c r="J1110" s="29">
        <v>15.33</v>
      </c>
      <c r="K1110" s="29">
        <v>15.33</v>
      </c>
      <c r="L1110" s="29">
        <v>24.76</v>
      </c>
      <c r="M1110" s="368"/>
      <c r="N1110" s="368"/>
      <c r="O1110" s="271">
        <f>IFERROR(Table17[[#This Row],[PROFIT]]/Table17[[#This Row],[TO]],0)</f>
        <v>0</v>
      </c>
      <c r="P1110" s="177"/>
      <c r="Q1110" s="177"/>
      <c r="R1110" s="177"/>
    </row>
    <row r="1111" spans="1:18" hidden="1" x14ac:dyDescent="0.25">
      <c r="A1111" s="29" t="s">
        <v>3467</v>
      </c>
      <c r="B1111" s="29" t="s">
        <v>3466</v>
      </c>
      <c r="C1111" s="29" t="s">
        <v>14</v>
      </c>
      <c r="D1111" s="29" t="str">
        <f>VLOOKUP(C:C,'COUNT-CONT'!B:C,2,FALSE)</f>
        <v>Asia</v>
      </c>
      <c r="E1111" s="29">
        <v>6</v>
      </c>
      <c r="F1111" s="28">
        <v>2532</v>
      </c>
      <c r="G1111" s="28">
        <v>3693239178</v>
      </c>
      <c r="H1111" s="29">
        <v>18.77</v>
      </c>
      <c r="I1111" s="142">
        <v>-60.67</v>
      </c>
      <c r="J1111" s="29">
        <v>7.32</v>
      </c>
      <c r="K1111" s="29">
        <v>6.05</v>
      </c>
      <c r="L1111" s="29">
        <v>15.93</v>
      </c>
      <c r="M1111" s="368"/>
      <c r="N1111" s="368"/>
      <c r="O1111" s="271">
        <f>IFERROR(Table17[[#This Row],[PROFIT]]/Table17[[#This Row],[TO]],0)</f>
        <v>0</v>
      </c>
      <c r="P1111" s="177"/>
      <c r="Q1111" s="177"/>
      <c r="R1111" s="177"/>
    </row>
    <row r="1112" spans="1:18" x14ac:dyDescent="0.25">
      <c r="A1112" s="29" t="s">
        <v>3023</v>
      </c>
      <c r="B1112" s="29" t="s">
        <v>3022</v>
      </c>
      <c r="C1112" s="29" t="s">
        <v>2680</v>
      </c>
      <c r="D1112" s="29" t="str">
        <f>VLOOKUP(C:C,'COUNT-CONT'!B:C,2,FALSE)</f>
        <v>Oceania</v>
      </c>
      <c r="E1112" s="29">
        <v>7</v>
      </c>
      <c r="F1112" s="28">
        <v>2621</v>
      </c>
      <c r="G1112" s="28">
        <v>3461287142</v>
      </c>
      <c r="H1112" s="29">
        <v>18.77</v>
      </c>
      <c r="I1112" s="142">
        <v>-60.67</v>
      </c>
      <c r="J1112" s="29">
        <v>5.68</v>
      </c>
      <c r="K1112" s="29">
        <v>3.96</v>
      </c>
      <c r="L1112" s="29">
        <v>14.21</v>
      </c>
      <c r="M1112" s="368"/>
      <c r="N1112" s="368"/>
      <c r="O1112" s="271">
        <f>IFERROR(Table17[[#This Row],[PROFIT]]/Table17[[#This Row],[TO]],0)</f>
        <v>0</v>
      </c>
      <c r="P1112" s="177"/>
      <c r="Q1112" s="177"/>
      <c r="R1112" s="177"/>
    </row>
    <row r="1113" spans="1:18" hidden="1" x14ac:dyDescent="0.25">
      <c r="A1113" s="29" t="s">
        <v>3701</v>
      </c>
      <c r="B1113" s="29" t="s">
        <v>3700</v>
      </c>
      <c r="C1113" s="29" t="s">
        <v>258</v>
      </c>
      <c r="D1113" s="29" t="str">
        <f>VLOOKUP(C:C,'COUNT-CONT'!B:C,2,FALSE)</f>
        <v>Asia</v>
      </c>
      <c r="E1113" s="29">
        <v>5</v>
      </c>
      <c r="F1113" s="28">
        <v>2170</v>
      </c>
      <c r="G1113" s="28">
        <v>3951312442</v>
      </c>
      <c r="H1113" s="29">
        <v>18.739999999999998</v>
      </c>
      <c r="I1113" s="142">
        <v>-60.7</v>
      </c>
      <c r="J1113" s="29">
        <v>8.16</v>
      </c>
      <c r="K1113" s="29">
        <v>7.13</v>
      </c>
      <c r="L1113" s="29">
        <v>17.05</v>
      </c>
      <c r="M1113" s="368"/>
      <c r="N1113" s="368"/>
      <c r="O1113" s="271">
        <f>IFERROR(Table17[[#This Row],[PROFIT]]/Table17[[#This Row],[TO]],0)</f>
        <v>0</v>
      </c>
      <c r="P1113" s="177"/>
      <c r="Q1113" s="177"/>
      <c r="R1113" s="177"/>
    </row>
    <row r="1114" spans="1:18" hidden="1" x14ac:dyDescent="0.25">
      <c r="A1114" s="29" t="s">
        <v>3611</v>
      </c>
      <c r="B1114" s="29" t="s">
        <v>3610</v>
      </c>
      <c r="C1114" s="29" t="s">
        <v>605</v>
      </c>
      <c r="D1114" s="29" t="str">
        <f>VLOOKUP(C:C,'COUNT-CONT'!B:C,2,FALSE)</f>
        <v>Europe</v>
      </c>
      <c r="E1114" s="29">
        <v>5</v>
      </c>
      <c r="F1114" s="28">
        <v>2148</v>
      </c>
      <c r="G1114" s="28">
        <v>3971404283</v>
      </c>
      <c r="H1114" s="29">
        <v>18.71</v>
      </c>
      <c r="I1114" s="142">
        <v>-60.73</v>
      </c>
      <c r="J1114" s="29">
        <v>8.01</v>
      </c>
      <c r="K1114" s="29">
        <v>7.01</v>
      </c>
      <c r="L1114" s="29">
        <v>16.72</v>
      </c>
      <c r="M1114" s="368"/>
      <c r="N1114" s="368"/>
      <c r="O1114" s="271">
        <f>IFERROR(Table17[[#This Row],[PROFIT]]/Table17[[#This Row],[TO]],0)</f>
        <v>0</v>
      </c>
      <c r="P1114" s="177"/>
      <c r="Q1114" s="177"/>
      <c r="R1114" s="177"/>
    </row>
    <row r="1115" spans="1:18" ht="30" hidden="1" x14ac:dyDescent="0.25">
      <c r="A1115" s="29" t="s">
        <v>3695</v>
      </c>
      <c r="B1115" s="29" t="s">
        <v>3694</v>
      </c>
      <c r="C1115" s="29" t="s">
        <v>758</v>
      </c>
      <c r="D1115" s="29" t="str">
        <f>VLOOKUP(C:C,'COUNT-CONT'!B:C,2,FALSE)</f>
        <v>Europe</v>
      </c>
      <c r="E1115" s="29">
        <v>6</v>
      </c>
      <c r="F1115" s="28">
        <v>2542</v>
      </c>
      <c r="G1115" s="28">
        <v>3850530133</v>
      </c>
      <c r="H1115" s="29">
        <v>18.71</v>
      </c>
      <c r="I1115" s="142">
        <v>-60.73</v>
      </c>
      <c r="J1115" s="29">
        <v>8.49</v>
      </c>
      <c r="K1115" s="29">
        <v>7.13</v>
      </c>
      <c r="L1115" s="29">
        <v>17.02</v>
      </c>
      <c r="M1115" s="368"/>
      <c r="N1115" s="368"/>
      <c r="O1115" s="271">
        <f>IFERROR(Table17[[#This Row],[PROFIT]]/Table17[[#This Row],[TO]],0)</f>
        <v>0</v>
      </c>
      <c r="P1115" s="177"/>
      <c r="Q1115" s="177"/>
      <c r="R1115" s="177"/>
    </row>
    <row r="1116" spans="1:18" hidden="1" x14ac:dyDescent="0.25">
      <c r="A1116" s="29" t="s">
        <v>3518</v>
      </c>
      <c r="B1116" s="29" t="s">
        <v>3517</v>
      </c>
      <c r="C1116" s="29" t="s">
        <v>3516</v>
      </c>
      <c r="D1116" s="29" t="str">
        <f>VLOOKUP(C:C,'COUNT-CONT'!B:C,2,FALSE)</f>
        <v>Africa</v>
      </c>
      <c r="E1116" s="29">
        <v>4</v>
      </c>
      <c r="F1116" s="28">
        <v>1976</v>
      </c>
      <c r="G1116" s="28">
        <v>3799480161</v>
      </c>
      <c r="H1116" s="29">
        <v>18.68</v>
      </c>
      <c r="I1116" s="142">
        <v>-60.76</v>
      </c>
      <c r="J1116" s="29">
        <v>7.41</v>
      </c>
      <c r="K1116" s="29">
        <v>6.11</v>
      </c>
      <c r="L1116" s="29">
        <v>16.11</v>
      </c>
      <c r="M1116" s="368"/>
      <c r="N1116" s="368"/>
      <c r="O1116" s="271">
        <f>IFERROR(Table17[[#This Row],[PROFIT]]/Table17[[#This Row],[TO]],0)</f>
        <v>0</v>
      </c>
      <c r="P1116" s="177"/>
      <c r="Q1116" s="177"/>
      <c r="R1116" s="177"/>
    </row>
    <row r="1117" spans="1:18" ht="30" hidden="1" x14ac:dyDescent="0.25">
      <c r="A1117" s="29" t="s">
        <v>2026</v>
      </c>
      <c r="B1117" s="29" t="s">
        <v>2025</v>
      </c>
      <c r="C1117" s="29" t="s">
        <v>725</v>
      </c>
      <c r="D1117" s="29" t="e">
        <f>VLOOKUP(C:C,'COUNT-CONT'!B:C,2,FALSE)</f>
        <v>#N/A</v>
      </c>
      <c r="E1117" s="29">
        <v>1</v>
      </c>
      <c r="F1117" s="28">
        <v>1003</v>
      </c>
      <c r="G1117" s="28">
        <v>3891509870</v>
      </c>
      <c r="H1117" s="29">
        <v>18.649999999999999</v>
      </c>
      <c r="I1117" s="142">
        <v>-60.79</v>
      </c>
      <c r="J1117" s="29">
        <v>2.12</v>
      </c>
      <c r="K1117" s="29">
        <v>0.42</v>
      </c>
      <c r="L1117" s="29">
        <v>10.61</v>
      </c>
      <c r="M1117" s="368"/>
      <c r="N1117" s="368"/>
      <c r="O1117" s="271">
        <f>IFERROR(Table17[[#This Row],[PROFIT]]/Table17[[#This Row],[TO]],0)</f>
        <v>0</v>
      </c>
      <c r="P1117" s="177"/>
      <c r="Q1117" s="177"/>
      <c r="R1117" s="177"/>
    </row>
    <row r="1118" spans="1:18" ht="30" hidden="1" x14ac:dyDescent="0.25">
      <c r="A1118" s="29" t="s">
        <v>4746</v>
      </c>
      <c r="B1118" s="29" t="s">
        <v>4745</v>
      </c>
      <c r="C1118" s="29" t="s">
        <v>560</v>
      </c>
      <c r="D1118" s="29" t="str">
        <f>VLOOKUP(C:C,'COUNT-CONT'!B:C,2,FALSE)</f>
        <v>Europe</v>
      </c>
      <c r="E1118" s="29">
        <v>7</v>
      </c>
      <c r="F1118" s="28">
        <v>2771</v>
      </c>
      <c r="G1118" s="28">
        <v>5019768603</v>
      </c>
      <c r="H1118" s="29">
        <v>18.649999999999999</v>
      </c>
      <c r="I1118" s="142">
        <v>-60.79</v>
      </c>
      <c r="J1118" s="29">
        <v>15.24</v>
      </c>
      <c r="K1118" s="29">
        <v>15.24</v>
      </c>
      <c r="L1118" s="29">
        <v>24.58</v>
      </c>
      <c r="M1118" s="368"/>
      <c r="N1118" s="368"/>
      <c r="O1118" s="271">
        <f>IFERROR(Table17[[#This Row],[PROFIT]]/Table17[[#This Row],[TO]],0)</f>
        <v>0</v>
      </c>
      <c r="P1118" s="177"/>
      <c r="Q1118" s="177"/>
      <c r="R1118" s="177"/>
    </row>
    <row r="1119" spans="1:18" hidden="1" x14ac:dyDescent="0.25">
      <c r="A1119" s="29" t="s">
        <v>2394</v>
      </c>
      <c r="B1119" s="29" t="s">
        <v>2393</v>
      </c>
      <c r="C1119" s="29" t="s">
        <v>881</v>
      </c>
      <c r="D1119" s="29" t="str">
        <f>VLOOKUP(C:C,'COUNT-CONT'!B:C,2,FALSE)</f>
        <v>Africa</v>
      </c>
      <c r="E1119" s="29">
        <v>8</v>
      </c>
      <c r="F1119" s="28">
        <v>2981</v>
      </c>
      <c r="G1119" s="28">
        <v>3301803690</v>
      </c>
      <c r="H1119" s="29">
        <v>18.62</v>
      </c>
      <c r="I1119" s="142">
        <v>-60.819999999999993</v>
      </c>
      <c r="J1119" s="29">
        <v>3.23</v>
      </c>
      <c r="K1119" s="29">
        <v>1.39</v>
      </c>
      <c r="L1119" s="29">
        <v>11.64</v>
      </c>
      <c r="M1119" s="368"/>
      <c r="N1119" s="368"/>
      <c r="O1119" s="271">
        <f>IFERROR(Table17[[#This Row],[PROFIT]]/Table17[[#This Row],[TO]],0)</f>
        <v>0</v>
      </c>
      <c r="P1119" s="177"/>
      <c r="Q1119" s="177"/>
      <c r="R1119" s="177"/>
    </row>
    <row r="1120" spans="1:18" ht="30" hidden="1" x14ac:dyDescent="0.25">
      <c r="A1120" s="29" t="s">
        <v>4744</v>
      </c>
      <c r="B1120" s="29" t="s">
        <v>4743</v>
      </c>
      <c r="C1120" s="29" t="s">
        <v>11732</v>
      </c>
      <c r="D1120" s="29" t="str">
        <f>VLOOKUP(C:C,'COUNT-CONT'!B:C,2,FALSE)</f>
        <v>North America</v>
      </c>
      <c r="E1120" s="29">
        <v>8</v>
      </c>
      <c r="F1120" s="28">
        <v>3203</v>
      </c>
      <c r="G1120" s="28">
        <v>4998528036</v>
      </c>
      <c r="H1120" s="29">
        <v>18.62</v>
      </c>
      <c r="I1120" s="142">
        <v>-60.819999999999993</v>
      </c>
      <c r="J1120" s="29">
        <v>15.21</v>
      </c>
      <c r="K1120" s="29">
        <v>15.21</v>
      </c>
      <c r="L1120" s="29">
        <v>24.52</v>
      </c>
      <c r="M1120" s="368"/>
      <c r="N1120" s="368"/>
      <c r="O1120" s="271">
        <f>IFERROR(Table17[[#This Row],[PROFIT]]/Table17[[#This Row],[TO]],0)</f>
        <v>0</v>
      </c>
      <c r="P1120" s="177"/>
      <c r="Q1120" s="177"/>
      <c r="R1120" s="177"/>
    </row>
    <row r="1121" spans="1:18" ht="30" hidden="1" x14ac:dyDescent="0.25">
      <c r="A1121" s="29" t="s">
        <v>4200</v>
      </c>
      <c r="B1121" s="29" t="s">
        <v>4199</v>
      </c>
      <c r="C1121" s="29" t="s">
        <v>83</v>
      </c>
      <c r="D1121" s="29" t="str">
        <f>VLOOKUP(C:C,'COUNT-CONT'!B:C,2,FALSE)</f>
        <v>Europe</v>
      </c>
      <c r="E1121" s="29">
        <v>5</v>
      </c>
      <c r="F1121" s="28">
        <v>2075</v>
      </c>
      <c r="G1121" s="28">
        <v>4396120481</v>
      </c>
      <c r="H1121" s="29">
        <v>18.59</v>
      </c>
      <c r="I1121" s="142">
        <v>-60.849999999999994</v>
      </c>
      <c r="J1121" s="29">
        <v>11.31</v>
      </c>
      <c r="K1121" s="29">
        <v>10.49</v>
      </c>
      <c r="L1121" s="29">
        <v>20.22</v>
      </c>
      <c r="M1121" s="368"/>
      <c r="N1121" s="368"/>
      <c r="O1121" s="271">
        <f>IFERROR(Table17[[#This Row],[PROFIT]]/Table17[[#This Row],[TO]],0)</f>
        <v>0</v>
      </c>
      <c r="P1121" s="177"/>
      <c r="Q1121" s="177"/>
      <c r="R1121" s="177"/>
    </row>
    <row r="1122" spans="1:18" hidden="1" x14ac:dyDescent="0.25">
      <c r="A1122" s="29" t="s">
        <v>2425</v>
      </c>
      <c r="B1122" s="29" t="s">
        <v>2424</v>
      </c>
      <c r="C1122" s="29" t="s">
        <v>644</v>
      </c>
      <c r="D1122" s="29" t="str">
        <f>VLOOKUP(C:C,'COUNT-CONT'!B:C,2,FALSE)</f>
        <v>Africa</v>
      </c>
      <c r="E1122" s="29">
        <v>7</v>
      </c>
      <c r="F1122" s="28">
        <v>2670</v>
      </c>
      <c r="G1122" s="28">
        <v>3316385018</v>
      </c>
      <c r="H1122" s="29">
        <v>18.59</v>
      </c>
      <c r="I1122" s="142">
        <v>-60.849999999999994</v>
      </c>
      <c r="J1122" s="29">
        <v>3.51</v>
      </c>
      <c r="K1122" s="29">
        <v>1.63</v>
      </c>
      <c r="L1122" s="29">
        <v>11.76</v>
      </c>
      <c r="M1122" s="368"/>
      <c r="N1122" s="368"/>
      <c r="O1122" s="271">
        <f>IFERROR(Table17[[#This Row],[PROFIT]]/Table17[[#This Row],[TO]],0)</f>
        <v>0</v>
      </c>
      <c r="P1122" s="177"/>
      <c r="Q1122" s="177"/>
      <c r="R1122" s="177"/>
    </row>
    <row r="1123" spans="1:18" hidden="1" x14ac:dyDescent="0.25">
      <c r="A1123" s="29" t="s">
        <v>3435</v>
      </c>
      <c r="B1123" s="29" t="s">
        <v>3434</v>
      </c>
      <c r="C1123" s="29" t="s">
        <v>14</v>
      </c>
      <c r="D1123" s="29" t="str">
        <f>VLOOKUP(C:C,'COUNT-CONT'!B:C,2,FALSE)</f>
        <v>Asia</v>
      </c>
      <c r="E1123" s="29">
        <v>10</v>
      </c>
      <c r="F1123" s="28">
        <v>3594</v>
      </c>
      <c r="G1123" s="28">
        <v>3644265664</v>
      </c>
      <c r="H1123" s="29">
        <v>18.559999999999999</v>
      </c>
      <c r="I1123" s="142">
        <v>-60.879999999999995</v>
      </c>
      <c r="J1123" s="29">
        <v>7.22</v>
      </c>
      <c r="K1123" s="29">
        <v>5.96</v>
      </c>
      <c r="L1123" s="29">
        <v>15.75</v>
      </c>
      <c r="M1123" s="368"/>
      <c r="N1123" s="368"/>
      <c r="O1123" s="271">
        <f>IFERROR(Table17[[#This Row],[PROFIT]]/Table17[[#This Row],[TO]],0)</f>
        <v>0</v>
      </c>
      <c r="P1123" s="177"/>
      <c r="Q1123" s="177"/>
      <c r="R1123" s="177"/>
    </row>
    <row r="1124" spans="1:18" hidden="1" x14ac:dyDescent="0.25">
      <c r="A1124" s="29" t="s">
        <v>3046</v>
      </c>
      <c r="B1124" s="29" t="s">
        <v>3045</v>
      </c>
      <c r="C1124" s="29" t="s">
        <v>700</v>
      </c>
      <c r="D1124" s="29" t="str">
        <f>VLOOKUP(C:C,'COUNT-CONT'!B:C,2,FALSE)</f>
        <v>Asia</v>
      </c>
      <c r="E1124" s="29">
        <v>8</v>
      </c>
      <c r="F1124" s="28">
        <v>3025</v>
      </c>
      <c r="G1124" s="28">
        <v>3486436363</v>
      </c>
      <c r="H1124" s="29">
        <v>18.559999999999999</v>
      </c>
      <c r="I1124" s="142">
        <v>-60.879999999999995</v>
      </c>
      <c r="J1124" s="29">
        <v>5.71</v>
      </c>
      <c r="K1124" s="29">
        <v>4.26</v>
      </c>
      <c r="L1124" s="29">
        <v>14.3</v>
      </c>
      <c r="M1124" s="368"/>
      <c r="N1124" s="368"/>
      <c r="O1124" s="271">
        <f>IFERROR(Table17[[#This Row],[PROFIT]]/Table17[[#This Row],[TO]],0)</f>
        <v>0</v>
      </c>
      <c r="P1124" s="177"/>
      <c r="Q1124" s="177"/>
      <c r="R1124" s="177"/>
    </row>
    <row r="1125" spans="1:18" hidden="1" x14ac:dyDescent="0.25">
      <c r="A1125" s="29" t="s">
        <v>3425</v>
      </c>
      <c r="B1125" s="29" t="s">
        <v>3424</v>
      </c>
      <c r="C1125" s="29" t="s">
        <v>14</v>
      </c>
      <c r="D1125" s="29" t="str">
        <f>VLOOKUP(C:C,'COUNT-CONT'!B:C,2,FALSE)</f>
        <v>Asia</v>
      </c>
      <c r="E1125" s="29">
        <v>6</v>
      </c>
      <c r="F1125" s="28">
        <v>2328</v>
      </c>
      <c r="G1125" s="28">
        <v>3684108591</v>
      </c>
      <c r="H1125" s="29">
        <v>18.559999999999999</v>
      </c>
      <c r="I1125" s="142">
        <v>-60.879999999999995</v>
      </c>
      <c r="J1125" s="29">
        <v>7.22</v>
      </c>
      <c r="K1125" s="29">
        <v>5.96</v>
      </c>
      <c r="L1125" s="29">
        <v>15.72</v>
      </c>
      <c r="M1125" s="368"/>
      <c r="N1125" s="368"/>
      <c r="O1125" s="271">
        <f>IFERROR(Table17[[#This Row],[PROFIT]]/Table17[[#This Row],[TO]],0)</f>
        <v>0</v>
      </c>
      <c r="P1125" s="177"/>
      <c r="Q1125" s="177"/>
      <c r="R1125" s="177"/>
    </row>
    <row r="1126" spans="1:18" hidden="1" x14ac:dyDescent="0.25">
      <c r="A1126" s="29" t="s">
        <v>3271</v>
      </c>
      <c r="B1126" s="29" t="s">
        <v>3270</v>
      </c>
      <c r="C1126" s="29" t="s">
        <v>78</v>
      </c>
      <c r="D1126" s="29" t="str">
        <f>VLOOKUP(C:C,'COUNT-CONT'!B:C,2,FALSE)</f>
        <v>Europe</v>
      </c>
      <c r="E1126" s="29">
        <v>8</v>
      </c>
      <c r="F1126" s="28">
        <v>3032</v>
      </c>
      <c r="G1126" s="28">
        <v>3577196833</v>
      </c>
      <c r="H1126" s="29">
        <v>18.559999999999999</v>
      </c>
      <c r="I1126" s="142">
        <v>-60.879999999999995</v>
      </c>
      <c r="J1126" s="29">
        <v>6.68</v>
      </c>
      <c r="K1126" s="29">
        <v>5.47</v>
      </c>
      <c r="L1126" s="29">
        <v>15.21</v>
      </c>
      <c r="M1126" s="368"/>
      <c r="N1126" s="368"/>
      <c r="O1126" s="271">
        <f>IFERROR(Table17[[#This Row],[PROFIT]]/Table17[[#This Row],[TO]],0)</f>
        <v>0</v>
      </c>
      <c r="P1126" s="177"/>
      <c r="Q1126" s="177"/>
      <c r="R1126" s="177"/>
    </row>
    <row r="1127" spans="1:18" ht="30" hidden="1" x14ac:dyDescent="0.25">
      <c r="A1127" s="29" t="s">
        <v>4723</v>
      </c>
      <c r="B1127" s="29" t="s">
        <v>4722</v>
      </c>
      <c r="C1127" s="29" t="s">
        <v>11732</v>
      </c>
      <c r="D1127" s="29" t="str">
        <f>VLOOKUP(C:C,'COUNT-CONT'!B:C,2,FALSE)</f>
        <v>North America</v>
      </c>
      <c r="E1127" s="29">
        <v>7</v>
      </c>
      <c r="F1127" s="28">
        <v>2774</v>
      </c>
      <c r="G1127" s="28">
        <v>4991239293</v>
      </c>
      <c r="H1127" s="29">
        <v>18.5</v>
      </c>
      <c r="I1127" s="142">
        <v>-60.94</v>
      </c>
      <c r="J1127" s="29">
        <v>15.11</v>
      </c>
      <c r="K1127" s="29">
        <v>15.11</v>
      </c>
      <c r="L1127" s="29">
        <v>24.37</v>
      </c>
      <c r="M1127" s="368"/>
      <c r="N1127" s="368"/>
      <c r="O1127" s="271">
        <f>IFERROR(Table17[[#This Row],[PROFIT]]/Table17[[#This Row],[TO]],0)</f>
        <v>0</v>
      </c>
      <c r="P1127" s="177"/>
      <c r="Q1127" s="177"/>
      <c r="R1127" s="177"/>
    </row>
    <row r="1128" spans="1:18" ht="30" hidden="1" x14ac:dyDescent="0.25">
      <c r="A1128" s="29" t="s">
        <v>3033</v>
      </c>
      <c r="B1128" s="29" t="s">
        <v>3032</v>
      </c>
      <c r="C1128" s="29" t="s">
        <v>493</v>
      </c>
      <c r="D1128" s="29" t="str">
        <f>VLOOKUP(C:C,'COUNT-CONT'!B:C,2,FALSE)</f>
        <v>Africa</v>
      </c>
      <c r="E1128" s="29">
        <v>7</v>
      </c>
      <c r="F1128" s="28">
        <v>2500</v>
      </c>
      <c r="G1128" s="28">
        <v>3499800000</v>
      </c>
      <c r="H1128" s="29">
        <v>18.5</v>
      </c>
      <c r="I1128" s="142">
        <v>-60.94</v>
      </c>
      <c r="J1128" s="29">
        <v>5.96</v>
      </c>
      <c r="K1128" s="29">
        <v>4.26</v>
      </c>
      <c r="L1128" s="29">
        <v>14.24</v>
      </c>
      <c r="M1128" s="368"/>
      <c r="N1128" s="368"/>
      <c r="O1128" s="271">
        <f>IFERROR(Table17[[#This Row],[PROFIT]]/Table17[[#This Row],[TO]],0)</f>
        <v>0</v>
      </c>
      <c r="P1128" s="177"/>
      <c r="Q1128" s="177"/>
      <c r="R1128" s="177"/>
    </row>
    <row r="1129" spans="1:18" ht="30" hidden="1" x14ac:dyDescent="0.25">
      <c r="A1129" s="29" t="s">
        <v>4718</v>
      </c>
      <c r="B1129" s="29" t="s">
        <v>4717</v>
      </c>
      <c r="C1129" s="29" t="s">
        <v>11732</v>
      </c>
      <c r="D1129" s="29" t="str">
        <f>VLOOKUP(C:C,'COUNT-CONT'!B:C,2,FALSE)</f>
        <v>North America</v>
      </c>
      <c r="E1129" s="29">
        <v>10</v>
      </c>
      <c r="F1129" s="28">
        <v>3586</v>
      </c>
      <c r="G1129" s="28">
        <v>4966448466</v>
      </c>
      <c r="H1129" s="29">
        <v>18.440000000000001</v>
      </c>
      <c r="I1129" s="142">
        <v>-61</v>
      </c>
      <c r="J1129" s="29">
        <v>15.05</v>
      </c>
      <c r="K1129" s="29">
        <v>15.05</v>
      </c>
      <c r="L1129" s="29">
        <v>24.27</v>
      </c>
      <c r="M1129" s="368"/>
      <c r="N1129" s="368"/>
      <c r="O1129" s="271">
        <f>IFERROR(Table17[[#This Row],[PROFIT]]/Table17[[#This Row],[TO]],0)</f>
        <v>0</v>
      </c>
      <c r="P1129" s="177"/>
      <c r="Q1129" s="177"/>
      <c r="R1129" s="177"/>
    </row>
    <row r="1130" spans="1:18" hidden="1" x14ac:dyDescent="0.25">
      <c r="A1130" s="29" t="s">
        <v>2024</v>
      </c>
      <c r="B1130" s="29" t="s">
        <v>2023</v>
      </c>
      <c r="C1130" s="29" t="s">
        <v>2022</v>
      </c>
      <c r="D1130" s="29" t="str">
        <f>VLOOKUP(C:C,'COUNT-CONT'!B:C,2,FALSE)</f>
        <v>Africa</v>
      </c>
      <c r="E1130" s="29">
        <v>9</v>
      </c>
      <c r="F1130" s="28">
        <v>3208</v>
      </c>
      <c r="G1130" s="28">
        <v>3324492768</v>
      </c>
      <c r="H1130" s="29">
        <v>18.41</v>
      </c>
      <c r="I1130" s="142">
        <v>-61.03</v>
      </c>
      <c r="J1130" s="29">
        <v>2.33</v>
      </c>
      <c r="K1130" s="29">
        <v>0.63</v>
      </c>
      <c r="L1130" s="29">
        <v>10.58</v>
      </c>
      <c r="M1130" s="368"/>
      <c r="N1130" s="368"/>
      <c r="O1130" s="271">
        <f>IFERROR(Table17[[#This Row],[PROFIT]]/Table17[[#This Row],[TO]],0)</f>
        <v>0</v>
      </c>
      <c r="P1130" s="177"/>
      <c r="Q1130" s="177"/>
      <c r="R1130" s="177"/>
    </row>
    <row r="1131" spans="1:18" ht="30" hidden="1" x14ac:dyDescent="0.25">
      <c r="A1131" s="29" t="s">
        <v>4707</v>
      </c>
      <c r="B1131" s="29" t="s">
        <v>4706</v>
      </c>
      <c r="C1131" s="29" t="s">
        <v>11732</v>
      </c>
      <c r="D1131" s="29" t="str">
        <f>VLOOKUP(C:C,'COUNT-CONT'!B:C,2,FALSE)</f>
        <v>North America</v>
      </c>
      <c r="E1131" s="29">
        <v>9</v>
      </c>
      <c r="F1131" s="28">
        <v>3256</v>
      </c>
      <c r="G1131" s="28">
        <v>4952637837</v>
      </c>
      <c r="H1131" s="29">
        <v>18.38</v>
      </c>
      <c r="I1131" s="142">
        <v>-61.06</v>
      </c>
      <c r="J1131" s="29">
        <v>14.99</v>
      </c>
      <c r="K1131" s="29">
        <v>14.99</v>
      </c>
      <c r="L1131" s="29">
        <v>24.18</v>
      </c>
      <c r="M1131" s="368"/>
      <c r="N1131" s="368"/>
      <c r="O1131" s="271">
        <f>IFERROR(Table17[[#This Row],[PROFIT]]/Table17[[#This Row],[TO]],0)</f>
        <v>0</v>
      </c>
      <c r="P1131" s="177"/>
      <c r="Q1131" s="177"/>
      <c r="R1131" s="177"/>
    </row>
    <row r="1132" spans="1:18" hidden="1" x14ac:dyDescent="0.25">
      <c r="A1132" s="29" t="s">
        <v>4164</v>
      </c>
      <c r="B1132" s="29" t="s">
        <v>4163</v>
      </c>
      <c r="C1132" s="29" t="s">
        <v>876</v>
      </c>
      <c r="D1132" s="29" t="str">
        <f>VLOOKUP(C:C,'COUNT-CONT'!B:C,2,FALSE)</f>
        <v>Europe</v>
      </c>
      <c r="E1132" s="29">
        <v>8</v>
      </c>
      <c r="F1132" s="28">
        <v>2889</v>
      </c>
      <c r="G1132" s="28">
        <v>4307354586</v>
      </c>
      <c r="H1132" s="29">
        <v>18.350000000000001</v>
      </c>
      <c r="I1132" s="142">
        <v>-61.089999999999996</v>
      </c>
      <c r="J1132" s="29">
        <v>11.15</v>
      </c>
      <c r="K1132" s="29">
        <v>10.76</v>
      </c>
      <c r="L1132" s="29">
        <v>19.95</v>
      </c>
      <c r="M1132" s="368"/>
      <c r="N1132" s="368"/>
      <c r="O1132" s="271">
        <f>IFERROR(Table17[[#This Row],[PROFIT]]/Table17[[#This Row],[TO]],0)</f>
        <v>0</v>
      </c>
      <c r="P1132" s="177"/>
      <c r="Q1132" s="177"/>
      <c r="R1132" s="177"/>
    </row>
    <row r="1133" spans="1:18" hidden="1" x14ac:dyDescent="0.25">
      <c r="A1133" s="29" t="s">
        <v>3369</v>
      </c>
      <c r="B1133" s="29" t="s">
        <v>3368</v>
      </c>
      <c r="C1133" s="29" t="s">
        <v>14</v>
      </c>
      <c r="D1133" s="29" t="str">
        <f>VLOOKUP(C:C,'COUNT-CONT'!B:C,2,FALSE)</f>
        <v>Asia</v>
      </c>
      <c r="E1133" s="29">
        <v>6</v>
      </c>
      <c r="F1133" s="28">
        <v>2529</v>
      </c>
      <c r="G1133" s="28">
        <v>3642554527</v>
      </c>
      <c r="H1133" s="29">
        <v>18.350000000000001</v>
      </c>
      <c r="I1133" s="142">
        <v>-61.089999999999996</v>
      </c>
      <c r="J1133" s="29">
        <v>7.13</v>
      </c>
      <c r="K1133" s="29">
        <v>5.89</v>
      </c>
      <c r="L1133" s="29">
        <v>15.54</v>
      </c>
      <c r="M1133" s="368"/>
      <c r="N1133" s="368"/>
      <c r="O1133" s="271">
        <f>IFERROR(Table17[[#This Row],[PROFIT]]/Table17[[#This Row],[TO]],0)</f>
        <v>0</v>
      </c>
      <c r="P1133" s="177"/>
      <c r="Q1133" s="177"/>
      <c r="R1133" s="177"/>
    </row>
    <row r="1134" spans="1:18" hidden="1" x14ac:dyDescent="0.25">
      <c r="A1134" s="29" t="s">
        <v>3008</v>
      </c>
      <c r="B1134" s="29" t="s">
        <v>3007</v>
      </c>
      <c r="C1134" s="29" t="s">
        <v>493</v>
      </c>
      <c r="D1134" s="29" t="str">
        <f>VLOOKUP(C:C,'COUNT-CONT'!B:C,2,FALSE)</f>
        <v>Africa</v>
      </c>
      <c r="E1134" s="29">
        <v>8</v>
      </c>
      <c r="F1134" s="28">
        <v>2500</v>
      </c>
      <c r="G1134" s="28">
        <v>3523800000</v>
      </c>
      <c r="H1134" s="29">
        <v>18.350000000000001</v>
      </c>
      <c r="I1134" s="142">
        <v>-61.089999999999996</v>
      </c>
      <c r="J1134" s="29">
        <v>5.93</v>
      </c>
      <c r="K1134" s="29">
        <v>4.2300000000000004</v>
      </c>
      <c r="L1134" s="29">
        <v>14.12</v>
      </c>
      <c r="M1134" s="368"/>
      <c r="N1134" s="368"/>
      <c r="O1134" s="271">
        <f>IFERROR(Table17[[#This Row],[PROFIT]]/Table17[[#This Row],[TO]],0)</f>
        <v>0</v>
      </c>
      <c r="P1134" s="177"/>
      <c r="Q1134" s="177"/>
      <c r="R1134" s="177"/>
    </row>
    <row r="1135" spans="1:18" ht="30" hidden="1" x14ac:dyDescent="0.25">
      <c r="A1135" s="29" t="s">
        <v>2960</v>
      </c>
      <c r="B1135" s="29" t="s">
        <v>2959</v>
      </c>
      <c r="C1135" s="29" t="s">
        <v>2293</v>
      </c>
      <c r="D1135" s="29" t="str">
        <f>VLOOKUP(C:C,'COUNT-CONT'!B:C,2,FALSE)</f>
        <v>South America</v>
      </c>
      <c r="E1135" s="29">
        <v>1</v>
      </c>
      <c r="F1135" s="28">
        <v>1085</v>
      </c>
      <c r="G1135" s="28">
        <v>3968124884</v>
      </c>
      <c r="H1135" s="29">
        <v>18.350000000000001</v>
      </c>
      <c r="I1135" s="142">
        <v>-61.089999999999996</v>
      </c>
      <c r="J1135" s="29">
        <v>5.56</v>
      </c>
      <c r="K1135" s="29">
        <v>4.17</v>
      </c>
      <c r="L1135" s="29">
        <v>13.91</v>
      </c>
      <c r="M1135" s="368"/>
      <c r="N1135" s="368"/>
      <c r="O1135" s="271">
        <f>IFERROR(Table17[[#This Row],[PROFIT]]/Table17[[#This Row],[TO]],0)</f>
        <v>0</v>
      </c>
      <c r="P1135" s="177"/>
      <c r="Q1135" s="177"/>
      <c r="R1135" s="177"/>
    </row>
    <row r="1136" spans="1:18" ht="30" hidden="1" x14ac:dyDescent="0.25">
      <c r="A1136" s="29" t="s">
        <v>3452</v>
      </c>
      <c r="B1136" s="29" t="s">
        <v>3451</v>
      </c>
      <c r="C1136" s="29" t="s">
        <v>683</v>
      </c>
      <c r="D1136" s="29" t="str">
        <f>VLOOKUP(C:C,'COUNT-CONT'!B:C,2,FALSE)</f>
        <v>North America</v>
      </c>
      <c r="E1136" s="29">
        <v>10</v>
      </c>
      <c r="F1136" s="28">
        <v>5778</v>
      </c>
      <c r="G1136" s="28">
        <v>3584777293</v>
      </c>
      <c r="H1136" s="29">
        <v>18.350000000000001</v>
      </c>
      <c r="I1136" s="142">
        <v>-61.089999999999996</v>
      </c>
      <c r="J1136" s="29">
        <v>7.26</v>
      </c>
      <c r="K1136" s="29">
        <v>5.99</v>
      </c>
      <c r="L1136" s="29">
        <v>15.81</v>
      </c>
      <c r="M1136" s="368"/>
      <c r="N1136" s="368"/>
      <c r="O1136" s="271">
        <f>IFERROR(Table17[[#This Row],[PROFIT]]/Table17[[#This Row],[TO]],0)</f>
        <v>0</v>
      </c>
      <c r="P1136" s="177"/>
      <c r="Q1136" s="177"/>
      <c r="R1136" s="177"/>
    </row>
    <row r="1137" spans="1:18" hidden="1" x14ac:dyDescent="0.25">
      <c r="A1137" s="29" t="s">
        <v>3379</v>
      </c>
      <c r="B1137" s="29" t="s">
        <v>3378</v>
      </c>
      <c r="C1137" s="29" t="s">
        <v>14</v>
      </c>
      <c r="D1137" s="29" t="str">
        <f>VLOOKUP(C:C,'COUNT-CONT'!B:C,2,FALSE)</f>
        <v>Asia</v>
      </c>
      <c r="E1137" s="29">
        <v>5</v>
      </c>
      <c r="F1137" s="28">
        <v>2175</v>
      </c>
      <c r="G1137" s="28">
        <v>3679947126</v>
      </c>
      <c r="H1137" s="29">
        <v>18.350000000000001</v>
      </c>
      <c r="I1137" s="142">
        <v>-61.089999999999996</v>
      </c>
      <c r="J1137" s="29">
        <v>7.13</v>
      </c>
      <c r="K1137" s="29">
        <v>5.89</v>
      </c>
      <c r="L1137" s="29">
        <v>15.57</v>
      </c>
      <c r="M1137" s="368"/>
      <c r="N1137" s="368"/>
      <c r="O1137" s="271">
        <f>IFERROR(Table17[[#This Row],[PROFIT]]/Table17[[#This Row],[TO]],0)</f>
        <v>0</v>
      </c>
      <c r="P1137" s="177"/>
      <c r="Q1137" s="177"/>
      <c r="R1137" s="177"/>
    </row>
    <row r="1138" spans="1:18" hidden="1" x14ac:dyDescent="0.25">
      <c r="A1138" s="29" t="s">
        <v>3290</v>
      </c>
      <c r="B1138" s="29" t="s">
        <v>3289</v>
      </c>
      <c r="C1138" s="29" t="s">
        <v>1420</v>
      </c>
      <c r="D1138" s="29" t="str">
        <f>VLOOKUP(C:C,'COUNT-CONT'!B:C,2,FALSE)</f>
        <v>Europe</v>
      </c>
      <c r="E1138" s="29">
        <v>6</v>
      </c>
      <c r="F1138" s="28">
        <v>2516</v>
      </c>
      <c r="G1138" s="28">
        <v>3609601907</v>
      </c>
      <c r="H1138" s="29">
        <v>18.32</v>
      </c>
      <c r="I1138" s="142">
        <v>-61.12</v>
      </c>
      <c r="J1138" s="29">
        <v>7.01</v>
      </c>
      <c r="K1138" s="29">
        <v>5.47</v>
      </c>
      <c r="L1138" s="29">
        <v>15.27</v>
      </c>
      <c r="M1138" s="368"/>
      <c r="N1138" s="368"/>
      <c r="O1138" s="271">
        <f>IFERROR(Table17[[#This Row],[PROFIT]]/Table17[[#This Row],[TO]],0)</f>
        <v>0</v>
      </c>
      <c r="P1138" s="177"/>
      <c r="Q1138" s="177"/>
      <c r="R1138" s="177"/>
    </row>
    <row r="1139" spans="1:18" hidden="1" x14ac:dyDescent="0.25">
      <c r="A1139" s="29" t="s">
        <v>2365</v>
      </c>
      <c r="B1139" s="29" t="s">
        <v>2364</v>
      </c>
      <c r="C1139" s="29" t="s">
        <v>2363</v>
      </c>
      <c r="D1139" s="29" t="str">
        <f>VLOOKUP(C:C,'COUNT-CONT'!B:C,2,FALSE)</f>
        <v>Africa</v>
      </c>
      <c r="E1139" s="29">
        <v>7</v>
      </c>
      <c r="F1139" s="28">
        <v>2609</v>
      </c>
      <c r="G1139" s="28">
        <v>3341017477</v>
      </c>
      <c r="H1139" s="29">
        <v>18.29</v>
      </c>
      <c r="I1139" s="142">
        <v>-61.15</v>
      </c>
      <c r="J1139" s="29">
        <v>3.48</v>
      </c>
      <c r="K1139" s="29">
        <v>1.6</v>
      </c>
      <c r="L1139" s="29">
        <v>11.58</v>
      </c>
      <c r="M1139" s="368"/>
      <c r="N1139" s="368"/>
      <c r="O1139" s="271">
        <f>IFERROR(Table17[[#This Row],[PROFIT]]/Table17[[#This Row],[TO]],0)</f>
        <v>0</v>
      </c>
      <c r="P1139" s="177"/>
      <c r="Q1139" s="177"/>
      <c r="R1139" s="177"/>
    </row>
    <row r="1140" spans="1:18" hidden="1" x14ac:dyDescent="0.25">
      <c r="A1140" s="29" t="s">
        <v>3358</v>
      </c>
      <c r="B1140" s="29" t="s">
        <v>3357</v>
      </c>
      <c r="C1140" s="29" t="s">
        <v>14</v>
      </c>
      <c r="D1140" s="29" t="str">
        <f>VLOOKUP(C:C,'COUNT-CONT'!B:C,2,FALSE)</f>
        <v>Asia</v>
      </c>
      <c r="E1140" s="29">
        <v>8</v>
      </c>
      <c r="F1140" s="28">
        <v>3035</v>
      </c>
      <c r="G1140" s="28">
        <v>3616838220</v>
      </c>
      <c r="H1140" s="29">
        <v>18.29</v>
      </c>
      <c r="I1140" s="142">
        <v>-61.15</v>
      </c>
      <c r="J1140" s="29">
        <v>7.13</v>
      </c>
      <c r="K1140" s="29">
        <v>5.89</v>
      </c>
      <c r="L1140" s="29">
        <v>15.51</v>
      </c>
      <c r="M1140" s="368"/>
      <c r="N1140" s="368"/>
      <c r="O1140" s="271">
        <f>IFERROR(Table17[[#This Row],[PROFIT]]/Table17[[#This Row],[TO]],0)</f>
        <v>0</v>
      </c>
      <c r="P1140" s="177"/>
      <c r="Q1140" s="177"/>
      <c r="R1140" s="177"/>
    </row>
    <row r="1141" spans="1:18" hidden="1" x14ac:dyDescent="0.25">
      <c r="A1141" s="29" t="s">
        <v>3197</v>
      </c>
      <c r="B1141" s="29" t="s">
        <v>3196</v>
      </c>
      <c r="C1141" s="29" t="s">
        <v>717</v>
      </c>
      <c r="D1141" s="29" t="str">
        <f>VLOOKUP(C:C,'COUNT-CONT'!B:C,2,FALSE)</f>
        <v>Asia</v>
      </c>
      <c r="E1141" s="29">
        <v>4</v>
      </c>
      <c r="F1141" s="28">
        <v>1931</v>
      </c>
      <c r="G1141" s="28">
        <v>3643253029</v>
      </c>
      <c r="H1141" s="29">
        <v>18.260000000000002</v>
      </c>
      <c r="I1141" s="142">
        <v>-61.179999999999993</v>
      </c>
      <c r="J1141" s="29">
        <v>6.59</v>
      </c>
      <c r="K1141" s="29">
        <v>5.38</v>
      </c>
      <c r="L1141" s="29">
        <v>14.96</v>
      </c>
      <c r="M1141" s="368"/>
      <c r="N1141" s="368"/>
      <c r="O1141" s="271">
        <f>IFERROR(Table17[[#This Row],[PROFIT]]/Table17[[#This Row],[TO]],0)</f>
        <v>0</v>
      </c>
      <c r="P1141" s="177"/>
      <c r="Q1141" s="177"/>
      <c r="R1141" s="177"/>
    </row>
    <row r="1142" spans="1:18" ht="30" hidden="1" x14ac:dyDescent="0.25">
      <c r="A1142" s="29" t="s">
        <v>3891</v>
      </c>
      <c r="B1142" s="29" t="s">
        <v>3890</v>
      </c>
      <c r="C1142" s="29" t="s">
        <v>13119</v>
      </c>
      <c r="D1142" s="29" t="str">
        <f>VLOOKUP(C:C,'COUNT-CONT'!B:C,2,FALSE)</f>
        <v>North America</v>
      </c>
      <c r="E1142" s="29">
        <v>10</v>
      </c>
      <c r="F1142" s="28">
        <v>3434</v>
      </c>
      <c r="G1142" s="28">
        <v>3972226150</v>
      </c>
      <c r="H1142" s="29">
        <v>18.260000000000002</v>
      </c>
      <c r="I1142" s="142">
        <v>-61.179999999999993</v>
      </c>
      <c r="J1142" s="29">
        <v>9.85</v>
      </c>
      <c r="K1142" s="29">
        <v>8.74</v>
      </c>
      <c r="L1142" s="29">
        <v>18.260000000000002</v>
      </c>
      <c r="M1142" s="368"/>
      <c r="N1142" s="368"/>
      <c r="O1142" s="271">
        <f>IFERROR(Table17[[#This Row],[PROFIT]]/Table17[[#This Row],[TO]],0)</f>
        <v>0</v>
      </c>
      <c r="P1142" s="177"/>
      <c r="Q1142" s="177"/>
      <c r="R1142" s="177"/>
    </row>
    <row r="1143" spans="1:18" hidden="1" x14ac:dyDescent="0.25">
      <c r="A1143" s="29" t="s">
        <v>3597</v>
      </c>
      <c r="B1143" s="29" t="s">
        <v>3596</v>
      </c>
      <c r="C1143" s="29" t="s">
        <v>758</v>
      </c>
      <c r="D1143" s="29" t="str">
        <f>VLOOKUP(C:C,'COUNT-CONT'!B:C,2,FALSE)</f>
        <v>Europe</v>
      </c>
      <c r="E1143" s="29">
        <v>9</v>
      </c>
      <c r="F1143" s="28">
        <v>3249</v>
      </c>
      <c r="G1143" s="28">
        <v>3771965712</v>
      </c>
      <c r="H1143" s="29">
        <v>18.260000000000002</v>
      </c>
      <c r="I1143" s="142">
        <v>-61.179999999999993</v>
      </c>
      <c r="J1143" s="29">
        <v>8.2799999999999994</v>
      </c>
      <c r="K1143" s="29">
        <v>6.95</v>
      </c>
      <c r="L1143" s="29">
        <v>16.600000000000001</v>
      </c>
      <c r="M1143" s="368"/>
      <c r="N1143" s="368"/>
      <c r="O1143" s="271">
        <f>IFERROR(Table17[[#This Row],[PROFIT]]/Table17[[#This Row],[TO]],0)</f>
        <v>0</v>
      </c>
      <c r="P1143" s="177"/>
      <c r="Q1143" s="177"/>
      <c r="R1143" s="177"/>
    </row>
    <row r="1144" spans="1:18" hidden="1" x14ac:dyDescent="0.25">
      <c r="A1144" s="29" t="s">
        <v>3497</v>
      </c>
      <c r="B1144" s="29" t="s">
        <v>3496</v>
      </c>
      <c r="C1144" s="29" t="s">
        <v>172</v>
      </c>
      <c r="D1144" s="29" t="str">
        <f>VLOOKUP(C:C,'COUNT-CONT'!B:C,2,FALSE)</f>
        <v>Asia</v>
      </c>
      <c r="E1144" s="29">
        <v>10</v>
      </c>
      <c r="F1144" s="28">
        <v>3394</v>
      </c>
      <c r="G1144" s="28">
        <v>3677501355</v>
      </c>
      <c r="H1144" s="29">
        <v>18.23</v>
      </c>
      <c r="I1144" s="142">
        <v>-61.209999999999994</v>
      </c>
      <c r="J1144" s="29">
        <v>7.35</v>
      </c>
      <c r="K1144" s="29">
        <v>6.38</v>
      </c>
      <c r="L1144" s="29">
        <v>15.99</v>
      </c>
      <c r="M1144" s="368"/>
      <c r="N1144" s="368"/>
      <c r="O1144" s="271">
        <f>IFERROR(Table17[[#This Row],[PROFIT]]/Table17[[#This Row],[TO]],0)</f>
        <v>0</v>
      </c>
      <c r="P1144" s="177"/>
      <c r="Q1144" s="177"/>
      <c r="R1144" s="177"/>
    </row>
    <row r="1145" spans="1:18" ht="30" x14ac:dyDescent="0.25">
      <c r="A1145" s="29" t="s">
        <v>3730</v>
      </c>
      <c r="B1145" s="29" t="s">
        <v>3729</v>
      </c>
      <c r="C1145" s="29" t="s">
        <v>662</v>
      </c>
      <c r="D1145" s="29" t="str">
        <f>VLOOKUP(C:C,'COUNT-CONT'!B:C,2,FALSE)</f>
        <v>Oceania</v>
      </c>
      <c r="E1145" s="29">
        <v>2</v>
      </c>
      <c r="F1145" s="28">
        <v>1526</v>
      </c>
      <c r="G1145" s="28">
        <v>4062638794</v>
      </c>
      <c r="H1145" s="29">
        <v>18.23</v>
      </c>
      <c r="I1145" s="142">
        <v>-61.209999999999994</v>
      </c>
      <c r="J1145" s="29">
        <v>8.92</v>
      </c>
      <c r="K1145" s="29">
        <v>7.56</v>
      </c>
      <c r="L1145" s="29">
        <v>17.2</v>
      </c>
      <c r="M1145" s="368"/>
      <c r="N1145" s="368"/>
      <c r="O1145" s="271">
        <f>IFERROR(Table17[[#This Row],[PROFIT]]/Table17[[#This Row],[TO]],0)</f>
        <v>0</v>
      </c>
      <c r="P1145" s="177"/>
      <c r="Q1145" s="177"/>
      <c r="R1145" s="177"/>
    </row>
    <row r="1146" spans="1:18" ht="30" hidden="1" x14ac:dyDescent="0.25">
      <c r="A1146" s="29" t="s">
        <v>4140</v>
      </c>
      <c r="B1146" s="29" t="s">
        <v>4139</v>
      </c>
      <c r="C1146" s="29" t="s">
        <v>83</v>
      </c>
      <c r="D1146" s="29" t="str">
        <f>VLOOKUP(C:C,'COUNT-CONT'!B:C,2,FALSE)</f>
        <v>Europe</v>
      </c>
      <c r="E1146" s="29">
        <v>4</v>
      </c>
      <c r="F1146" s="28">
        <v>1926</v>
      </c>
      <c r="G1146" s="28">
        <v>4368831879</v>
      </c>
      <c r="H1146" s="29">
        <v>18.2</v>
      </c>
      <c r="I1146" s="142">
        <v>-61.239999999999995</v>
      </c>
      <c r="J1146" s="29">
        <v>11.06</v>
      </c>
      <c r="K1146" s="29">
        <v>10.28</v>
      </c>
      <c r="L1146" s="29">
        <v>19.8</v>
      </c>
      <c r="M1146" s="368"/>
      <c r="N1146" s="368"/>
      <c r="O1146" s="271">
        <f>IFERROR(Table17[[#This Row],[PROFIT]]/Table17[[#This Row],[TO]],0)</f>
        <v>0</v>
      </c>
      <c r="P1146" s="177"/>
      <c r="Q1146" s="177"/>
      <c r="R1146" s="177"/>
    </row>
    <row r="1147" spans="1:18" hidden="1" x14ac:dyDescent="0.25">
      <c r="A1147" s="29" t="s">
        <v>4144</v>
      </c>
      <c r="B1147" s="29" t="s">
        <v>4143</v>
      </c>
      <c r="C1147" s="29" t="s">
        <v>308</v>
      </c>
      <c r="D1147" s="29" t="str">
        <f>VLOOKUP(C:C,'COUNT-CONT'!B:C,2,FALSE)</f>
        <v>Europe</v>
      </c>
      <c r="E1147" s="29">
        <v>8</v>
      </c>
      <c r="F1147" s="28">
        <v>3088</v>
      </c>
      <c r="G1147" s="28">
        <v>4281617616</v>
      </c>
      <c r="H1147" s="29">
        <v>18.2</v>
      </c>
      <c r="I1147" s="142">
        <v>-61.239999999999995</v>
      </c>
      <c r="J1147" s="29">
        <v>11.06</v>
      </c>
      <c r="K1147" s="29">
        <v>10.67</v>
      </c>
      <c r="L1147" s="29">
        <v>19.8</v>
      </c>
      <c r="M1147" s="368"/>
      <c r="N1147" s="368"/>
      <c r="O1147" s="271">
        <f>IFERROR(Table17[[#This Row],[PROFIT]]/Table17[[#This Row],[TO]],0)</f>
        <v>0</v>
      </c>
      <c r="P1147" s="177"/>
      <c r="Q1147" s="177"/>
      <c r="R1147" s="177"/>
    </row>
    <row r="1148" spans="1:18" ht="30" hidden="1" x14ac:dyDescent="0.25">
      <c r="A1148" s="29" t="s">
        <v>4681</v>
      </c>
      <c r="B1148" s="29" t="s">
        <v>4680</v>
      </c>
      <c r="C1148" s="29" t="s">
        <v>560</v>
      </c>
      <c r="D1148" s="29" t="str">
        <f>VLOOKUP(C:C,'COUNT-CONT'!B:C,2,FALSE)</f>
        <v>Europe</v>
      </c>
      <c r="E1148" s="29">
        <v>6</v>
      </c>
      <c r="F1148" s="28">
        <v>2556</v>
      </c>
      <c r="G1148" s="28">
        <v>4945859937</v>
      </c>
      <c r="H1148" s="29">
        <v>18.170000000000002</v>
      </c>
      <c r="I1148" s="142">
        <v>-61.269999999999996</v>
      </c>
      <c r="J1148" s="29">
        <v>14.81</v>
      </c>
      <c r="K1148" s="29">
        <v>14.81</v>
      </c>
      <c r="L1148" s="29">
        <v>23.91</v>
      </c>
      <c r="M1148" s="368"/>
      <c r="N1148" s="368"/>
      <c r="O1148" s="271">
        <f>IFERROR(Table17[[#This Row],[PROFIT]]/Table17[[#This Row],[TO]],0)</f>
        <v>0</v>
      </c>
      <c r="P1148" s="177"/>
      <c r="Q1148" s="177"/>
      <c r="R1148" s="177"/>
    </row>
    <row r="1149" spans="1:18" x14ac:dyDescent="0.25">
      <c r="A1149" s="29" t="s">
        <v>2315</v>
      </c>
      <c r="B1149" s="29" t="s">
        <v>2314</v>
      </c>
      <c r="C1149" s="29" t="s">
        <v>1870</v>
      </c>
      <c r="D1149" s="29" t="str">
        <f>VLOOKUP(C:C,'COUNT-CONT'!B:C,2,FALSE)</f>
        <v>Oceania</v>
      </c>
      <c r="E1149" s="29">
        <v>4</v>
      </c>
      <c r="F1149" s="28">
        <v>1759</v>
      </c>
      <c r="G1149" s="28">
        <v>3432255315</v>
      </c>
      <c r="H1149" s="29">
        <v>18.170000000000002</v>
      </c>
      <c r="I1149" s="142">
        <v>-61.269999999999996</v>
      </c>
      <c r="J1149" s="29">
        <v>3.45</v>
      </c>
      <c r="K1149" s="29">
        <v>1.6</v>
      </c>
      <c r="L1149" s="29">
        <v>11.49</v>
      </c>
      <c r="M1149" s="368"/>
      <c r="N1149" s="368"/>
      <c r="O1149" s="271">
        <f>IFERROR(Table17[[#This Row],[PROFIT]]/Table17[[#This Row],[TO]],0)</f>
        <v>0</v>
      </c>
      <c r="P1149" s="177"/>
      <c r="Q1149" s="177"/>
      <c r="R1149" s="177"/>
    </row>
    <row r="1150" spans="1:18" hidden="1" x14ac:dyDescent="0.25">
      <c r="A1150" s="29" t="s">
        <v>206</v>
      </c>
      <c r="B1150" s="29" t="s">
        <v>3187</v>
      </c>
      <c r="C1150" s="29" t="s">
        <v>717</v>
      </c>
      <c r="D1150" s="29" t="str">
        <f>VLOOKUP(C:C,'COUNT-CONT'!B:C,2,FALSE)</f>
        <v>Asia</v>
      </c>
      <c r="E1150" s="29">
        <v>8</v>
      </c>
      <c r="F1150" s="28">
        <v>2807</v>
      </c>
      <c r="G1150" s="28">
        <v>3541077449</v>
      </c>
      <c r="H1150" s="29">
        <v>18.170000000000002</v>
      </c>
      <c r="I1150" s="142">
        <v>-61.269999999999996</v>
      </c>
      <c r="J1150" s="29">
        <v>6.53</v>
      </c>
      <c r="K1150" s="29">
        <v>5.35</v>
      </c>
      <c r="L1150" s="29">
        <v>14.9</v>
      </c>
      <c r="M1150" s="368"/>
      <c r="N1150" s="368"/>
      <c r="O1150" s="271">
        <f>IFERROR(Table17[[#This Row],[PROFIT]]/Table17[[#This Row],[TO]],0)</f>
        <v>0</v>
      </c>
      <c r="P1150" s="177"/>
      <c r="Q1150" s="177"/>
      <c r="R1150" s="177"/>
    </row>
    <row r="1151" spans="1:18" hidden="1" x14ac:dyDescent="0.25">
      <c r="A1151" s="29" t="s">
        <v>3327</v>
      </c>
      <c r="B1151" s="29" t="s">
        <v>3326</v>
      </c>
      <c r="C1151" s="29" t="s">
        <v>14</v>
      </c>
      <c r="D1151" s="29" t="str">
        <f>VLOOKUP(C:C,'COUNT-CONT'!B:C,2,FALSE)</f>
        <v>Asia</v>
      </c>
      <c r="E1151" s="29">
        <v>6</v>
      </c>
      <c r="F1151" s="28">
        <v>2427</v>
      </c>
      <c r="G1151" s="28">
        <v>3633234445</v>
      </c>
      <c r="H1151" s="29">
        <v>18.170000000000002</v>
      </c>
      <c r="I1151" s="142">
        <v>-61.269999999999996</v>
      </c>
      <c r="J1151" s="29">
        <v>7.07</v>
      </c>
      <c r="K1151" s="29">
        <v>5.83</v>
      </c>
      <c r="L1151" s="29">
        <v>15.42</v>
      </c>
      <c r="M1151" s="368"/>
      <c r="N1151" s="368"/>
      <c r="O1151" s="271">
        <f>IFERROR(Table17[[#This Row],[PROFIT]]/Table17[[#This Row],[TO]],0)</f>
        <v>0</v>
      </c>
      <c r="P1151" s="177"/>
      <c r="Q1151" s="177"/>
      <c r="R1151" s="177"/>
    </row>
    <row r="1152" spans="1:18" hidden="1" x14ac:dyDescent="0.25">
      <c r="A1152" s="29" t="s">
        <v>4134</v>
      </c>
      <c r="B1152" s="29" t="s">
        <v>4133</v>
      </c>
      <c r="C1152" s="29" t="s">
        <v>308</v>
      </c>
      <c r="D1152" s="29" t="str">
        <f>VLOOKUP(C:C,'COUNT-CONT'!B:C,2,FALSE)</f>
        <v>Europe</v>
      </c>
      <c r="E1152" s="29">
        <v>4</v>
      </c>
      <c r="F1152" s="28">
        <v>2057</v>
      </c>
      <c r="G1152" s="28">
        <v>4353759358</v>
      </c>
      <c r="H1152" s="29">
        <v>18.170000000000002</v>
      </c>
      <c r="I1152" s="142">
        <v>-61.269999999999996</v>
      </c>
      <c r="J1152" s="29">
        <v>11.03</v>
      </c>
      <c r="K1152" s="29">
        <v>10.64</v>
      </c>
      <c r="L1152" s="29">
        <v>19.739999999999998</v>
      </c>
      <c r="M1152" s="368"/>
      <c r="N1152" s="368"/>
      <c r="O1152" s="271">
        <f>IFERROR(Table17[[#This Row],[PROFIT]]/Table17[[#This Row],[TO]],0)</f>
        <v>0</v>
      </c>
      <c r="P1152" s="177"/>
      <c r="Q1152" s="177"/>
      <c r="R1152" s="177"/>
    </row>
    <row r="1153" spans="1:18" ht="30" hidden="1" x14ac:dyDescent="0.25">
      <c r="A1153" s="29" t="s">
        <v>4270</v>
      </c>
      <c r="B1153" s="29" t="s">
        <v>4269</v>
      </c>
      <c r="C1153" s="29" t="s">
        <v>514</v>
      </c>
      <c r="D1153" s="29" t="str">
        <f>VLOOKUP(C:C,'COUNT-CONT'!B:C,2,FALSE)</f>
        <v>North America</v>
      </c>
      <c r="E1153" s="29">
        <v>4</v>
      </c>
      <c r="F1153" s="28">
        <v>1895</v>
      </c>
      <c r="G1153" s="28">
        <v>4501174934</v>
      </c>
      <c r="H1153" s="29">
        <v>18.170000000000002</v>
      </c>
      <c r="I1153" s="142">
        <v>-61.269999999999996</v>
      </c>
      <c r="J1153" s="29">
        <v>11.97</v>
      </c>
      <c r="K1153" s="29">
        <v>11.55</v>
      </c>
      <c r="L1153" s="29">
        <v>20.65</v>
      </c>
      <c r="M1153" s="368"/>
      <c r="N1153" s="368"/>
      <c r="O1153" s="271">
        <f>IFERROR(Table17[[#This Row],[PROFIT]]/Table17[[#This Row],[TO]],0)</f>
        <v>0</v>
      </c>
      <c r="P1153" s="177"/>
      <c r="Q1153" s="177"/>
      <c r="R1153" s="177"/>
    </row>
    <row r="1154" spans="1:18" hidden="1" x14ac:dyDescent="0.25">
      <c r="A1154" s="29" t="s">
        <v>3469</v>
      </c>
      <c r="B1154" s="29" t="s">
        <v>3468</v>
      </c>
      <c r="C1154" s="29" t="s">
        <v>172</v>
      </c>
      <c r="D1154" s="29" t="str">
        <f>VLOOKUP(C:C,'COUNT-CONT'!B:C,2,FALSE)</f>
        <v>Asia</v>
      </c>
      <c r="E1154" s="29">
        <v>9</v>
      </c>
      <c r="F1154" s="28">
        <v>3241</v>
      </c>
      <c r="G1154" s="28">
        <v>3668201419</v>
      </c>
      <c r="H1154" s="29">
        <v>18.14</v>
      </c>
      <c r="I1154" s="142">
        <v>-61.3</v>
      </c>
      <c r="J1154" s="29">
        <v>7.32</v>
      </c>
      <c r="K1154" s="29">
        <v>6.35</v>
      </c>
      <c r="L1154" s="29">
        <v>15.93</v>
      </c>
      <c r="M1154" s="368"/>
      <c r="N1154" s="368"/>
      <c r="O1154" s="271">
        <f>IFERROR(Table17[[#This Row],[PROFIT]]/Table17[[#This Row],[TO]],0)</f>
        <v>0</v>
      </c>
      <c r="P1154" s="177"/>
      <c r="Q1154" s="177"/>
      <c r="R1154" s="177"/>
    </row>
    <row r="1155" spans="1:18" ht="30" hidden="1" x14ac:dyDescent="0.25">
      <c r="A1155" s="29" t="s">
        <v>4128</v>
      </c>
      <c r="B1155" s="29" t="s">
        <v>4127</v>
      </c>
      <c r="C1155" s="29" t="s">
        <v>1427</v>
      </c>
      <c r="D1155" s="29" t="str">
        <f>VLOOKUP(C:C,'COUNT-CONT'!B:C,2,FALSE)</f>
        <v>Europe</v>
      </c>
      <c r="E1155" s="29">
        <v>5</v>
      </c>
      <c r="F1155" s="28">
        <v>2166</v>
      </c>
      <c r="G1155" s="28">
        <v>4317648568</v>
      </c>
      <c r="H1155" s="29">
        <v>18.14</v>
      </c>
      <c r="I1155" s="142">
        <v>-61.3</v>
      </c>
      <c r="J1155" s="29">
        <v>11.03</v>
      </c>
      <c r="K1155" s="29">
        <v>10.25</v>
      </c>
      <c r="L1155" s="29">
        <v>19.71</v>
      </c>
      <c r="M1155" s="368"/>
      <c r="N1155" s="368"/>
      <c r="O1155" s="271">
        <f>IFERROR(Table17[[#This Row],[PROFIT]]/Table17[[#This Row],[TO]],0)</f>
        <v>0</v>
      </c>
      <c r="P1155" s="177"/>
      <c r="Q1155" s="177"/>
      <c r="R1155" s="177"/>
    </row>
    <row r="1156" spans="1:18" ht="30" hidden="1" x14ac:dyDescent="0.25">
      <c r="A1156" s="29" t="s">
        <v>3323</v>
      </c>
      <c r="B1156" s="29" t="s">
        <v>3322</v>
      </c>
      <c r="C1156" s="29" t="s">
        <v>505</v>
      </c>
      <c r="D1156" s="29" t="e">
        <f>VLOOKUP(C:C,'COUNT-CONT'!B:C,2,FALSE)</f>
        <v>#N/A</v>
      </c>
      <c r="E1156" s="29">
        <v>10</v>
      </c>
      <c r="F1156" s="28">
        <v>3590</v>
      </c>
      <c r="G1156" s="28">
        <v>3596606685</v>
      </c>
      <c r="H1156" s="29">
        <v>18.14</v>
      </c>
      <c r="I1156" s="142">
        <v>-61.3</v>
      </c>
      <c r="J1156" s="29">
        <v>7.07</v>
      </c>
      <c r="K1156" s="29">
        <v>5.83</v>
      </c>
      <c r="L1156" s="29">
        <v>15.39</v>
      </c>
      <c r="M1156" s="368"/>
      <c r="N1156" s="368"/>
      <c r="O1156" s="271">
        <f>IFERROR(Table17[[#This Row],[PROFIT]]/Table17[[#This Row],[TO]],0)</f>
        <v>0</v>
      </c>
      <c r="P1156" s="177"/>
      <c r="Q1156" s="177"/>
      <c r="R1156" s="177"/>
    </row>
    <row r="1157" spans="1:18" hidden="1" x14ac:dyDescent="0.25">
      <c r="A1157" s="29" t="s">
        <v>3319</v>
      </c>
      <c r="B1157" s="29" t="s">
        <v>3318</v>
      </c>
      <c r="C1157" s="29" t="s">
        <v>14</v>
      </c>
      <c r="D1157" s="29" t="str">
        <f>VLOOKUP(C:C,'COUNT-CONT'!B:C,2,FALSE)</f>
        <v>Asia</v>
      </c>
      <c r="E1157" s="29">
        <v>6</v>
      </c>
      <c r="F1157" s="28">
        <v>2437</v>
      </c>
      <c r="G1157" s="28">
        <v>3629174640</v>
      </c>
      <c r="H1157" s="29">
        <v>18.14</v>
      </c>
      <c r="I1157" s="142">
        <v>-61.3</v>
      </c>
      <c r="J1157" s="29">
        <v>7.07</v>
      </c>
      <c r="K1157" s="29">
        <v>5.83</v>
      </c>
      <c r="L1157" s="29">
        <v>15.39</v>
      </c>
      <c r="M1157" s="368"/>
      <c r="N1157" s="368"/>
      <c r="O1157" s="271">
        <f>IFERROR(Table17[[#This Row],[PROFIT]]/Table17[[#This Row],[TO]],0)</f>
        <v>0</v>
      </c>
      <c r="P1157" s="177"/>
      <c r="Q1157" s="177"/>
      <c r="R1157" s="177"/>
    </row>
    <row r="1158" spans="1:18" ht="30" hidden="1" x14ac:dyDescent="0.25">
      <c r="A1158" s="29" t="s">
        <v>4665</v>
      </c>
      <c r="B1158" s="29" t="s">
        <v>4664</v>
      </c>
      <c r="C1158" s="29" t="s">
        <v>11732</v>
      </c>
      <c r="D1158" s="29" t="str">
        <f>VLOOKUP(C:C,'COUNT-CONT'!B:C,2,FALSE)</f>
        <v>North America</v>
      </c>
      <c r="E1158" s="29">
        <v>8</v>
      </c>
      <c r="F1158" s="28">
        <v>2992</v>
      </c>
      <c r="G1158" s="28">
        <v>4912347058</v>
      </c>
      <c r="H1158" s="29">
        <v>18.11</v>
      </c>
      <c r="I1158" s="142">
        <v>-61.33</v>
      </c>
      <c r="J1158" s="29">
        <v>14.75</v>
      </c>
      <c r="K1158" s="29">
        <v>14.75</v>
      </c>
      <c r="L1158" s="29">
        <v>23.82</v>
      </c>
      <c r="M1158" s="368"/>
      <c r="N1158" s="368"/>
      <c r="O1158" s="271">
        <f>IFERROR(Table17[[#This Row],[PROFIT]]/Table17[[#This Row],[TO]],0)</f>
        <v>0</v>
      </c>
      <c r="P1158" s="177"/>
      <c r="Q1158" s="177"/>
      <c r="R1158" s="177"/>
    </row>
    <row r="1159" spans="1:18" hidden="1" x14ac:dyDescent="0.25">
      <c r="A1159" s="29" t="s">
        <v>4671</v>
      </c>
      <c r="B1159" s="29" t="s">
        <v>4670</v>
      </c>
      <c r="C1159" s="29" t="s">
        <v>560</v>
      </c>
      <c r="D1159" s="29" t="str">
        <f>VLOOKUP(C:C,'COUNT-CONT'!B:C,2,FALSE)</f>
        <v>Europe</v>
      </c>
      <c r="E1159" s="29">
        <v>8</v>
      </c>
      <c r="F1159" s="28">
        <v>3035</v>
      </c>
      <c r="G1159" s="28">
        <v>4914238220</v>
      </c>
      <c r="H1159" s="29">
        <v>18.11</v>
      </c>
      <c r="I1159" s="142">
        <v>-61.33</v>
      </c>
      <c r="J1159" s="29">
        <v>14.78</v>
      </c>
      <c r="K1159" s="29">
        <v>14.78</v>
      </c>
      <c r="L1159" s="29">
        <v>23.85</v>
      </c>
      <c r="M1159" s="368"/>
      <c r="N1159" s="368"/>
      <c r="O1159" s="271">
        <f>IFERROR(Table17[[#This Row],[PROFIT]]/Table17[[#This Row],[TO]],0)</f>
        <v>0</v>
      </c>
      <c r="P1159" s="177"/>
      <c r="Q1159" s="177"/>
      <c r="R1159" s="177"/>
    </row>
    <row r="1160" spans="1:18" hidden="1" x14ac:dyDescent="0.25">
      <c r="A1160" s="29" t="s">
        <v>3171</v>
      </c>
      <c r="B1160" s="29" t="s">
        <v>3170</v>
      </c>
      <c r="C1160" s="29" t="s">
        <v>78</v>
      </c>
      <c r="D1160" s="29" t="str">
        <f>VLOOKUP(C:C,'COUNT-CONT'!B:C,2,FALSE)</f>
        <v>Europe</v>
      </c>
      <c r="E1160" s="29">
        <v>7</v>
      </c>
      <c r="F1160" s="28">
        <v>2530</v>
      </c>
      <c r="G1160" s="28">
        <v>3548582608</v>
      </c>
      <c r="H1160" s="29">
        <v>18.11</v>
      </c>
      <c r="I1160" s="142">
        <v>-61.33</v>
      </c>
      <c r="J1160" s="29">
        <v>6.53</v>
      </c>
      <c r="K1160" s="29">
        <v>5.32</v>
      </c>
      <c r="L1160" s="29">
        <v>14.84</v>
      </c>
      <c r="M1160" s="368"/>
      <c r="N1160" s="368"/>
      <c r="O1160" s="271">
        <f>IFERROR(Table17[[#This Row],[PROFIT]]/Table17[[#This Row],[TO]],0)</f>
        <v>0</v>
      </c>
      <c r="P1160" s="177"/>
      <c r="Q1160" s="177"/>
      <c r="R1160" s="177"/>
    </row>
    <row r="1161" spans="1:18" ht="30" hidden="1" x14ac:dyDescent="0.25">
      <c r="A1161" s="29" t="s">
        <v>2966</v>
      </c>
      <c r="B1161" s="29" t="s">
        <v>2965</v>
      </c>
      <c r="C1161" s="29" t="s">
        <v>1144</v>
      </c>
      <c r="D1161" s="29" t="str">
        <f>VLOOKUP(C:C,'COUNT-CONT'!B:C,2,FALSE)</f>
        <v>South America</v>
      </c>
      <c r="E1161" s="29">
        <v>6</v>
      </c>
      <c r="F1161" s="28">
        <v>2418</v>
      </c>
      <c r="G1161" s="28">
        <v>3441321422</v>
      </c>
      <c r="H1161" s="29">
        <v>18.11</v>
      </c>
      <c r="I1161" s="142">
        <v>-61.33</v>
      </c>
      <c r="J1161" s="29">
        <v>5.83</v>
      </c>
      <c r="K1161" s="29">
        <v>4.17</v>
      </c>
      <c r="L1161" s="29">
        <v>13.94</v>
      </c>
      <c r="M1161" s="368"/>
      <c r="N1161" s="368"/>
      <c r="O1161" s="271">
        <f>IFERROR(Table17[[#This Row],[PROFIT]]/Table17[[#This Row],[TO]],0)</f>
        <v>0</v>
      </c>
      <c r="P1161" s="177"/>
      <c r="Q1161" s="177"/>
      <c r="R1161" s="177"/>
    </row>
    <row r="1162" spans="1:18" ht="45" hidden="1" x14ac:dyDescent="0.25">
      <c r="A1162" s="29" t="s">
        <v>2912</v>
      </c>
      <c r="B1162" s="29" t="s">
        <v>2911</v>
      </c>
      <c r="C1162" s="29" t="s">
        <v>714</v>
      </c>
      <c r="D1162" s="29" t="str">
        <f>VLOOKUP(C:C,'COUNT-CONT'!B:C,2,FALSE)</f>
        <v>South America</v>
      </c>
      <c r="E1162" s="29">
        <v>6</v>
      </c>
      <c r="F1162" s="28">
        <v>2518</v>
      </c>
      <c r="G1162" s="28">
        <v>3504654646</v>
      </c>
      <c r="H1162" s="29">
        <v>18.05</v>
      </c>
      <c r="I1162" s="142">
        <v>-61.39</v>
      </c>
      <c r="J1162" s="29">
        <v>5.47</v>
      </c>
      <c r="K1162" s="29">
        <v>4.08</v>
      </c>
      <c r="L1162" s="29">
        <v>13.69</v>
      </c>
      <c r="M1162" s="368"/>
      <c r="N1162" s="368"/>
      <c r="O1162" s="271">
        <f>IFERROR(Table17[[#This Row],[PROFIT]]/Table17[[#This Row],[TO]],0)</f>
        <v>0</v>
      </c>
      <c r="P1162" s="177"/>
      <c r="Q1162" s="177"/>
      <c r="R1162" s="177"/>
    </row>
    <row r="1163" spans="1:18" ht="30" hidden="1" x14ac:dyDescent="0.25">
      <c r="A1163" s="29" t="s">
        <v>4653</v>
      </c>
      <c r="B1163" s="29" t="s">
        <v>4652</v>
      </c>
      <c r="C1163" s="29" t="s">
        <v>11732</v>
      </c>
      <c r="D1163" s="29" t="str">
        <f>VLOOKUP(C:C,'COUNT-CONT'!B:C,2,FALSE)</f>
        <v>North America</v>
      </c>
      <c r="E1163" s="29">
        <v>10</v>
      </c>
      <c r="F1163" s="28">
        <v>4084</v>
      </c>
      <c r="G1163" s="28">
        <v>4907343780</v>
      </c>
      <c r="H1163" s="29">
        <v>18.05</v>
      </c>
      <c r="I1163" s="142">
        <v>-61.39</v>
      </c>
      <c r="J1163" s="29">
        <v>14.72</v>
      </c>
      <c r="K1163" s="29">
        <v>14.72</v>
      </c>
      <c r="L1163" s="29">
        <v>23.76</v>
      </c>
      <c r="M1163" s="368"/>
      <c r="N1163" s="368"/>
      <c r="O1163" s="271">
        <f>IFERROR(Table17[[#This Row],[PROFIT]]/Table17[[#This Row],[TO]],0)</f>
        <v>0</v>
      </c>
      <c r="P1163" s="177"/>
      <c r="Q1163" s="177"/>
      <c r="R1163" s="177"/>
    </row>
    <row r="1164" spans="1:18" ht="30" hidden="1" x14ac:dyDescent="0.25">
      <c r="A1164" s="29" t="s">
        <v>3567</v>
      </c>
      <c r="B1164" s="29" t="s">
        <v>3566</v>
      </c>
      <c r="C1164" s="29" t="s">
        <v>1749</v>
      </c>
      <c r="D1164" s="29" t="str">
        <f>VLOOKUP(C:C,'COUNT-CONT'!B:C,2,FALSE)</f>
        <v>North America</v>
      </c>
      <c r="E1164" s="29">
        <v>4</v>
      </c>
      <c r="F1164" s="28">
        <v>2029</v>
      </c>
      <c r="G1164" s="28">
        <v>3813338984</v>
      </c>
      <c r="H1164" s="29">
        <v>18.05</v>
      </c>
      <c r="I1164" s="142">
        <v>-61.39</v>
      </c>
      <c r="J1164" s="29">
        <v>8.19</v>
      </c>
      <c r="K1164" s="29">
        <v>6.89</v>
      </c>
      <c r="L1164" s="29">
        <v>16.41</v>
      </c>
      <c r="M1164" s="368"/>
      <c r="N1164" s="368"/>
      <c r="O1164" s="271">
        <f>IFERROR(Table17[[#This Row],[PROFIT]]/Table17[[#This Row],[TO]],0)</f>
        <v>0</v>
      </c>
      <c r="P1164" s="177"/>
      <c r="Q1164" s="177"/>
      <c r="R1164" s="177"/>
    </row>
    <row r="1165" spans="1:18" ht="30" hidden="1" x14ac:dyDescent="0.25">
      <c r="A1165" s="29" t="s">
        <v>3377</v>
      </c>
      <c r="B1165" s="29" t="s">
        <v>3376</v>
      </c>
      <c r="C1165" s="29" t="s">
        <v>545</v>
      </c>
      <c r="D1165" s="29" t="str">
        <f>VLOOKUP(C:C,'COUNT-CONT'!B:C,2,FALSE)</f>
        <v>South America</v>
      </c>
      <c r="E1165" s="29">
        <v>5</v>
      </c>
      <c r="F1165" s="28">
        <v>2175</v>
      </c>
      <c r="G1165" s="28">
        <v>3679947126</v>
      </c>
      <c r="H1165" s="29">
        <v>18.05</v>
      </c>
      <c r="I1165" s="142">
        <v>-61.39</v>
      </c>
      <c r="J1165" s="29">
        <v>7.13</v>
      </c>
      <c r="K1165" s="29">
        <v>6.23</v>
      </c>
      <c r="L1165" s="29">
        <v>15.57</v>
      </c>
      <c r="M1165" s="368"/>
      <c r="N1165" s="368"/>
      <c r="O1165" s="271">
        <f>IFERROR(Table17[[#This Row],[PROFIT]]/Table17[[#This Row],[TO]],0)</f>
        <v>0</v>
      </c>
      <c r="P1165" s="177"/>
      <c r="Q1165" s="177"/>
      <c r="R1165" s="177"/>
    </row>
    <row r="1166" spans="1:18" ht="30" hidden="1" x14ac:dyDescent="0.25">
      <c r="A1166" s="29" t="s">
        <v>3574</v>
      </c>
      <c r="B1166" s="29" t="s">
        <v>3573</v>
      </c>
      <c r="C1166" s="29" t="s">
        <v>1749</v>
      </c>
      <c r="D1166" s="29" t="str">
        <f>VLOOKUP(C:C,'COUNT-CONT'!B:C,2,FALSE)</f>
        <v>North America</v>
      </c>
      <c r="E1166" s="29">
        <v>9</v>
      </c>
      <c r="F1166" s="28">
        <v>3051</v>
      </c>
      <c r="G1166" s="28">
        <v>3732437528</v>
      </c>
      <c r="H1166" s="29">
        <v>18.05</v>
      </c>
      <c r="I1166" s="142">
        <v>-61.39</v>
      </c>
      <c r="J1166" s="29">
        <v>8.19</v>
      </c>
      <c r="K1166" s="29">
        <v>6.89</v>
      </c>
      <c r="L1166" s="29">
        <v>16.41</v>
      </c>
      <c r="M1166" s="368"/>
      <c r="N1166" s="368"/>
      <c r="O1166" s="271">
        <f>IFERROR(Table17[[#This Row],[PROFIT]]/Table17[[#This Row],[TO]],0)</f>
        <v>0</v>
      </c>
      <c r="P1166" s="177"/>
      <c r="Q1166" s="177"/>
      <c r="R1166" s="177"/>
    </row>
    <row r="1167" spans="1:18" hidden="1" x14ac:dyDescent="0.25">
      <c r="A1167" s="29" t="s">
        <v>2587</v>
      </c>
      <c r="B1167" s="29" t="s">
        <v>2586</v>
      </c>
      <c r="C1167" s="29" t="s">
        <v>1070</v>
      </c>
      <c r="D1167" s="29" t="str">
        <f>VLOOKUP(C:C,'COUNT-CONT'!B:C,2,FALSE)</f>
        <v>Asia</v>
      </c>
      <c r="E1167" s="29">
        <v>7</v>
      </c>
      <c r="F1167" s="28">
        <v>2758</v>
      </c>
      <c r="G1167" s="28">
        <v>3281939738</v>
      </c>
      <c r="H1167" s="29">
        <v>18.02</v>
      </c>
      <c r="I1167" s="142">
        <v>-61.42</v>
      </c>
      <c r="J1167" s="29">
        <v>4.17</v>
      </c>
      <c r="K1167" s="29">
        <v>2.69</v>
      </c>
      <c r="L1167" s="29">
        <v>12.33</v>
      </c>
      <c r="M1167" s="368"/>
      <c r="N1167" s="368"/>
      <c r="O1167" s="271">
        <f>IFERROR(Table17[[#This Row],[PROFIT]]/Table17[[#This Row],[TO]],0)</f>
        <v>0</v>
      </c>
      <c r="P1167" s="177"/>
      <c r="Q1167" s="177"/>
      <c r="R1167" s="177"/>
    </row>
    <row r="1168" spans="1:18" hidden="1" x14ac:dyDescent="0.25">
      <c r="A1168" s="29" t="s">
        <v>3000</v>
      </c>
      <c r="B1168" s="29" t="s">
        <v>2999</v>
      </c>
      <c r="C1168" s="29" t="s">
        <v>1377</v>
      </c>
      <c r="D1168" s="29" t="str">
        <f>VLOOKUP(C:C,'COUNT-CONT'!B:C,2,FALSE)</f>
        <v>Europe</v>
      </c>
      <c r="E1168" s="29">
        <v>7</v>
      </c>
      <c r="F1168" s="28">
        <v>2525</v>
      </c>
      <c r="G1168" s="28">
        <v>3480143564</v>
      </c>
      <c r="H1168" s="29">
        <v>18.02</v>
      </c>
      <c r="I1168" s="142">
        <v>-61.42</v>
      </c>
      <c r="J1168" s="29">
        <v>5.89</v>
      </c>
      <c r="K1168" s="29">
        <v>4.5</v>
      </c>
      <c r="L1168" s="29">
        <v>14.09</v>
      </c>
      <c r="M1168" s="368"/>
      <c r="N1168" s="368"/>
      <c r="O1168" s="271">
        <f>IFERROR(Table17[[#This Row],[PROFIT]]/Table17[[#This Row],[TO]],0)</f>
        <v>0</v>
      </c>
      <c r="P1168" s="177"/>
      <c r="Q1168" s="177"/>
      <c r="R1168" s="177"/>
    </row>
    <row r="1169" spans="1:18" ht="30" hidden="1" x14ac:dyDescent="0.25">
      <c r="A1169" s="29" t="s">
        <v>3557</v>
      </c>
      <c r="B1169" s="29" t="s">
        <v>3556</v>
      </c>
      <c r="C1169" s="29" t="s">
        <v>530</v>
      </c>
      <c r="D1169" s="29" t="str">
        <f>VLOOKUP(C:C,'COUNT-CONT'!B:C,2,FALSE)</f>
        <v>South America</v>
      </c>
      <c r="E1169" s="29">
        <v>7</v>
      </c>
      <c r="F1169" s="28">
        <v>2537</v>
      </c>
      <c r="G1169" s="28">
        <v>3746882972</v>
      </c>
      <c r="H1169" s="29">
        <v>17.989999999999998</v>
      </c>
      <c r="I1169" s="142">
        <v>-61.45</v>
      </c>
      <c r="J1169" s="29">
        <v>7.83</v>
      </c>
      <c r="K1169" s="29">
        <v>6.86</v>
      </c>
      <c r="L1169" s="29">
        <v>16.350000000000001</v>
      </c>
      <c r="M1169" s="368"/>
      <c r="N1169" s="368"/>
      <c r="O1169" s="271">
        <f>IFERROR(Table17[[#This Row],[PROFIT]]/Table17[[#This Row],[TO]],0)</f>
        <v>0</v>
      </c>
      <c r="P1169" s="177"/>
      <c r="Q1169" s="177"/>
      <c r="R1169" s="177"/>
    </row>
    <row r="1170" spans="1:18" ht="30" hidden="1" x14ac:dyDescent="0.25">
      <c r="A1170" s="29" t="s">
        <v>4647</v>
      </c>
      <c r="B1170" s="29" t="s">
        <v>4646</v>
      </c>
      <c r="C1170" s="29" t="s">
        <v>11732</v>
      </c>
      <c r="D1170" s="29" t="str">
        <f>VLOOKUP(C:C,'COUNT-CONT'!B:C,2,FALSE)</f>
        <v>North America</v>
      </c>
      <c r="E1170" s="29">
        <v>4</v>
      </c>
      <c r="F1170" s="28">
        <v>1946</v>
      </c>
      <c r="G1170" s="28">
        <v>4994362076</v>
      </c>
      <c r="H1170" s="29">
        <v>17.989999999999998</v>
      </c>
      <c r="I1170" s="142">
        <v>-61.45</v>
      </c>
      <c r="J1170" s="29">
        <v>14.69</v>
      </c>
      <c r="K1170" s="29">
        <v>14.69</v>
      </c>
      <c r="L1170" s="29">
        <v>23.7</v>
      </c>
      <c r="M1170" s="368"/>
      <c r="N1170" s="368"/>
      <c r="O1170" s="271">
        <f>IFERROR(Table17[[#This Row],[PROFIT]]/Table17[[#This Row],[TO]],0)</f>
        <v>0</v>
      </c>
      <c r="P1170" s="177"/>
      <c r="Q1170" s="177"/>
      <c r="R1170" s="177"/>
    </row>
    <row r="1171" spans="1:18" ht="30" hidden="1" x14ac:dyDescent="0.25">
      <c r="A1171" s="29" t="s">
        <v>2946</v>
      </c>
      <c r="B1171" s="29" t="s">
        <v>2945</v>
      </c>
      <c r="C1171" s="29" t="s">
        <v>493</v>
      </c>
      <c r="D1171" s="29" t="str">
        <f>VLOOKUP(C:C,'COUNT-CONT'!B:C,2,FALSE)</f>
        <v>Africa</v>
      </c>
      <c r="E1171" s="29">
        <v>10</v>
      </c>
      <c r="F1171" s="28">
        <v>2500</v>
      </c>
      <c r="G1171" s="28">
        <v>3547000000</v>
      </c>
      <c r="H1171" s="29">
        <v>17.989999999999998</v>
      </c>
      <c r="I1171" s="142">
        <v>-61.45</v>
      </c>
      <c r="J1171" s="29">
        <v>5.8</v>
      </c>
      <c r="K1171" s="29">
        <v>4.1399999999999997</v>
      </c>
      <c r="L1171" s="29">
        <v>13.85</v>
      </c>
      <c r="M1171" s="368"/>
      <c r="N1171" s="368"/>
      <c r="O1171" s="271">
        <f>IFERROR(Table17[[#This Row],[PROFIT]]/Table17[[#This Row],[TO]],0)</f>
        <v>0</v>
      </c>
      <c r="P1171" s="177"/>
      <c r="Q1171" s="177"/>
      <c r="R1171" s="177"/>
    </row>
    <row r="1172" spans="1:18" ht="30" hidden="1" x14ac:dyDescent="0.25">
      <c r="A1172" s="29" t="s">
        <v>4231</v>
      </c>
      <c r="B1172" s="29" t="s">
        <v>4230</v>
      </c>
      <c r="C1172" s="29" t="s">
        <v>514</v>
      </c>
      <c r="D1172" s="29" t="str">
        <f>VLOOKUP(C:C,'COUNT-CONT'!B:C,2,FALSE)</f>
        <v>North America</v>
      </c>
      <c r="E1172" s="29">
        <v>4</v>
      </c>
      <c r="F1172" s="28">
        <v>2018</v>
      </c>
      <c r="G1172" s="28">
        <v>4447494152</v>
      </c>
      <c r="H1172" s="29">
        <v>17.96</v>
      </c>
      <c r="I1172" s="142">
        <v>-61.48</v>
      </c>
      <c r="J1172" s="29">
        <v>11.82</v>
      </c>
      <c r="K1172" s="29">
        <v>11.43</v>
      </c>
      <c r="L1172" s="29">
        <v>20.41</v>
      </c>
      <c r="M1172" s="368"/>
      <c r="N1172" s="368"/>
      <c r="O1172" s="271">
        <f>IFERROR(Table17[[#This Row],[PROFIT]]/Table17[[#This Row],[TO]],0)</f>
        <v>0</v>
      </c>
      <c r="P1172" s="177"/>
      <c r="Q1172" s="177"/>
      <c r="R1172" s="177"/>
    </row>
    <row r="1173" spans="1:18" hidden="1" x14ac:dyDescent="0.25">
      <c r="A1173" s="29" t="s">
        <v>4092</v>
      </c>
      <c r="B1173" s="29" t="s">
        <v>4091</v>
      </c>
      <c r="C1173" s="29" t="s">
        <v>308</v>
      </c>
      <c r="D1173" s="29" t="str">
        <f>VLOOKUP(C:C,'COUNT-CONT'!B:C,2,FALSE)</f>
        <v>Europe</v>
      </c>
      <c r="E1173" s="29">
        <v>8</v>
      </c>
      <c r="F1173" s="28">
        <v>3048</v>
      </c>
      <c r="G1173" s="28">
        <v>4242892388</v>
      </c>
      <c r="H1173" s="29">
        <v>17.93</v>
      </c>
      <c r="I1173" s="142">
        <v>-61.51</v>
      </c>
      <c r="J1173" s="29">
        <v>10.91</v>
      </c>
      <c r="K1173" s="29">
        <v>10.52</v>
      </c>
      <c r="L1173" s="29">
        <v>19.5</v>
      </c>
      <c r="M1173" s="368"/>
      <c r="N1173" s="368"/>
      <c r="O1173" s="271">
        <f>IFERROR(Table17[[#This Row],[PROFIT]]/Table17[[#This Row],[TO]],0)</f>
        <v>0</v>
      </c>
      <c r="P1173" s="177"/>
      <c r="Q1173" s="177"/>
      <c r="R1173" s="177"/>
    </row>
    <row r="1174" spans="1:18" hidden="1" x14ac:dyDescent="0.25">
      <c r="A1174" s="29" t="s">
        <v>2233</v>
      </c>
      <c r="B1174" s="29" t="s">
        <v>2232</v>
      </c>
      <c r="C1174" s="29" t="s">
        <v>938</v>
      </c>
      <c r="D1174" s="29" t="str">
        <f>VLOOKUP(C:C,'COUNT-CONT'!B:C,2,FALSE)</f>
        <v>Africa</v>
      </c>
      <c r="E1174" s="29">
        <v>2</v>
      </c>
      <c r="F1174" s="28">
        <v>2102</v>
      </c>
      <c r="G1174" s="28">
        <v>3249911132</v>
      </c>
      <c r="H1174" s="29">
        <v>17.899999999999999</v>
      </c>
      <c r="I1174" s="142">
        <v>-61.54</v>
      </c>
      <c r="J1174" s="29">
        <v>3.36</v>
      </c>
      <c r="K1174" s="29">
        <v>1.33</v>
      </c>
      <c r="L1174" s="29">
        <v>11.19</v>
      </c>
      <c r="M1174" s="368"/>
      <c r="N1174" s="368"/>
      <c r="O1174" s="271">
        <f>IFERROR(Table17[[#This Row],[PROFIT]]/Table17[[#This Row],[TO]],0)</f>
        <v>0</v>
      </c>
      <c r="P1174" s="177"/>
      <c r="Q1174" s="177"/>
      <c r="R1174" s="177"/>
    </row>
    <row r="1175" spans="1:18" hidden="1" x14ac:dyDescent="0.25">
      <c r="A1175" s="29" t="s">
        <v>4082</v>
      </c>
      <c r="B1175" s="29" t="s">
        <v>4081</v>
      </c>
      <c r="C1175" s="29" t="s">
        <v>1427</v>
      </c>
      <c r="D1175" s="29" t="str">
        <f>VLOOKUP(C:C,'COUNT-CONT'!B:C,2,FALSE)</f>
        <v>Europe</v>
      </c>
      <c r="E1175" s="29">
        <v>4</v>
      </c>
      <c r="F1175" s="28">
        <v>2058</v>
      </c>
      <c r="G1175" s="28">
        <v>4302099514</v>
      </c>
      <c r="H1175" s="29">
        <v>17.899999999999999</v>
      </c>
      <c r="I1175" s="142">
        <v>-61.54</v>
      </c>
      <c r="J1175" s="29">
        <v>10.88</v>
      </c>
      <c r="K1175" s="29">
        <v>10.130000000000001</v>
      </c>
      <c r="L1175" s="29">
        <v>19.47</v>
      </c>
      <c r="M1175" s="368"/>
      <c r="N1175" s="368"/>
      <c r="O1175" s="271">
        <f>IFERROR(Table17[[#This Row],[PROFIT]]/Table17[[#This Row],[TO]],0)</f>
        <v>0</v>
      </c>
      <c r="P1175" s="177"/>
      <c r="Q1175" s="177"/>
      <c r="R1175" s="177"/>
    </row>
    <row r="1176" spans="1:18" hidden="1" x14ac:dyDescent="0.25">
      <c r="A1176" s="29" t="s">
        <v>3249</v>
      </c>
      <c r="B1176" s="29" t="s">
        <v>3248</v>
      </c>
      <c r="C1176" s="29" t="s">
        <v>14</v>
      </c>
      <c r="D1176" s="29" t="str">
        <f>VLOOKUP(C:C,'COUNT-CONT'!B:C,2,FALSE)</f>
        <v>Asia</v>
      </c>
      <c r="E1176" s="29">
        <v>6</v>
      </c>
      <c r="F1176" s="28">
        <v>2496</v>
      </c>
      <c r="G1176" s="28">
        <v>3595705128</v>
      </c>
      <c r="H1176" s="29">
        <v>17.899999999999999</v>
      </c>
      <c r="I1176" s="142">
        <v>-61.54</v>
      </c>
      <c r="J1176" s="29">
        <v>6.95</v>
      </c>
      <c r="K1176" s="29">
        <v>5.74</v>
      </c>
      <c r="L1176" s="29">
        <v>15.18</v>
      </c>
      <c r="M1176" s="368"/>
      <c r="N1176" s="368"/>
      <c r="O1176" s="271">
        <f>IFERROR(Table17[[#This Row],[PROFIT]]/Table17[[#This Row],[TO]],0)</f>
        <v>0</v>
      </c>
      <c r="P1176" s="177"/>
      <c r="Q1176" s="177"/>
      <c r="R1176" s="177"/>
    </row>
    <row r="1177" spans="1:18" ht="30" hidden="1" x14ac:dyDescent="0.25">
      <c r="A1177" s="29" t="s">
        <v>3143</v>
      </c>
      <c r="B1177" s="29" t="s">
        <v>3142</v>
      </c>
      <c r="C1177" s="29" t="s">
        <v>717</v>
      </c>
      <c r="D1177" s="29" t="str">
        <f>VLOOKUP(C:C,'COUNT-CONT'!B:C,2,FALSE)</f>
        <v>Asia</v>
      </c>
      <c r="E1177" s="29">
        <v>1</v>
      </c>
      <c r="F1177" s="28">
        <v>1015</v>
      </c>
      <c r="G1177" s="28">
        <v>4028343842</v>
      </c>
      <c r="H1177" s="29">
        <v>17.899999999999999</v>
      </c>
      <c r="I1177" s="142">
        <v>-61.54</v>
      </c>
      <c r="J1177" s="29">
        <v>6.44</v>
      </c>
      <c r="K1177" s="29">
        <v>5.26</v>
      </c>
      <c r="L1177" s="29">
        <v>14.69</v>
      </c>
      <c r="M1177" s="368"/>
      <c r="N1177" s="368"/>
      <c r="O1177" s="271">
        <f>IFERROR(Table17[[#This Row],[PROFIT]]/Table17[[#This Row],[TO]],0)</f>
        <v>0</v>
      </c>
      <c r="P1177" s="177"/>
      <c r="Q1177" s="177"/>
      <c r="R1177" s="177"/>
    </row>
    <row r="1178" spans="1:18" hidden="1" x14ac:dyDescent="0.25">
      <c r="A1178" s="29" t="s">
        <v>2661</v>
      </c>
      <c r="B1178" s="29" t="s">
        <v>2660</v>
      </c>
      <c r="C1178" s="29" t="s">
        <v>580</v>
      </c>
      <c r="D1178" s="29" t="str">
        <f>VLOOKUP(C:C,'COUNT-CONT'!B:C,2,FALSE)</f>
        <v>Africa</v>
      </c>
      <c r="E1178" s="29">
        <v>5</v>
      </c>
      <c r="F1178" s="28">
        <v>2157</v>
      </c>
      <c r="G1178" s="28">
        <v>3382167547</v>
      </c>
      <c r="H1178" s="29">
        <v>17.899999999999999</v>
      </c>
      <c r="I1178" s="142">
        <v>-61.54</v>
      </c>
      <c r="J1178" s="29">
        <v>4.53</v>
      </c>
      <c r="K1178" s="29">
        <v>3.02</v>
      </c>
      <c r="L1178" s="29">
        <v>12.61</v>
      </c>
      <c r="M1178" s="368"/>
      <c r="N1178" s="368"/>
      <c r="O1178" s="271">
        <f>IFERROR(Table17[[#This Row],[PROFIT]]/Table17[[#This Row],[TO]],0)</f>
        <v>0</v>
      </c>
      <c r="P1178" s="177"/>
      <c r="Q1178" s="177"/>
      <c r="R1178" s="177"/>
    </row>
    <row r="1179" spans="1:18" hidden="1" x14ac:dyDescent="0.25">
      <c r="A1179" s="29" t="s">
        <v>3239</v>
      </c>
      <c r="B1179" s="29" t="s">
        <v>3238</v>
      </c>
      <c r="C1179" s="29" t="s">
        <v>14</v>
      </c>
      <c r="D1179" s="29" t="str">
        <f>VLOOKUP(C:C,'COUNT-CONT'!B:C,2,FALSE)</f>
        <v>Asia</v>
      </c>
      <c r="E1179" s="29">
        <v>5</v>
      </c>
      <c r="F1179" s="28">
        <v>2223</v>
      </c>
      <c r="G1179" s="28">
        <v>3618026810</v>
      </c>
      <c r="H1179" s="29">
        <v>17.87</v>
      </c>
      <c r="I1179" s="142">
        <v>-61.569999999999993</v>
      </c>
      <c r="J1179" s="29">
        <v>6.95</v>
      </c>
      <c r="K1179" s="29">
        <v>5.74</v>
      </c>
      <c r="L1179" s="29">
        <v>15.15</v>
      </c>
      <c r="M1179" s="368"/>
      <c r="N1179" s="368"/>
      <c r="O1179" s="271">
        <f>IFERROR(Table17[[#This Row],[PROFIT]]/Table17[[#This Row],[TO]],0)</f>
        <v>0</v>
      </c>
      <c r="P1179" s="177"/>
      <c r="Q1179" s="177"/>
      <c r="R1179" s="177"/>
    </row>
    <row r="1180" spans="1:18" hidden="1" x14ac:dyDescent="0.25">
      <c r="A1180" s="29" t="s">
        <v>3235</v>
      </c>
      <c r="B1180" s="29" t="s">
        <v>3234</v>
      </c>
      <c r="C1180" s="29" t="s">
        <v>14</v>
      </c>
      <c r="D1180" s="29" t="str">
        <f>VLOOKUP(C:C,'COUNT-CONT'!B:C,2,FALSE)</f>
        <v>Asia</v>
      </c>
      <c r="E1180" s="29">
        <v>9</v>
      </c>
      <c r="F1180" s="28">
        <v>3233</v>
      </c>
      <c r="G1180" s="28">
        <v>3561841261</v>
      </c>
      <c r="H1180" s="29">
        <v>17.84</v>
      </c>
      <c r="I1180" s="142">
        <v>-61.599999999999994</v>
      </c>
      <c r="J1180" s="29">
        <v>6.95</v>
      </c>
      <c r="K1180" s="29">
        <v>5.74</v>
      </c>
      <c r="L1180" s="29">
        <v>15.11</v>
      </c>
      <c r="M1180" s="368"/>
      <c r="N1180" s="368"/>
      <c r="O1180" s="271">
        <f>IFERROR(Table17[[#This Row],[PROFIT]]/Table17[[#This Row],[TO]],0)</f>
        <v>0</v>
      </c>
      <c r="P1180" s="177"/>
      <c r="Q1180" s="177"/>
      <c r="R1180" s="177"/>
    </row>
    <row r="1181" spans="1:18" ht="30" hidden="1" x14ac:dyDescent="0.25">
      <c r="A1181" s="29" t="s">
        <v>3315</v>
      </c>
      <c r="B1181" s="29" t="s">
        <v>3314</v>
      </c>
      <c r="C1181" s="29" t="s">
        <v>860</v>
      </c>
      <c r="D1181" s="29" t="str">
        <f>VLOOKUP(C:C,'COUNT-CONT'!B:C,2,FALSE)</f>
        <v>South America</v>
      </c>
      <c r="E1181" s="29">
        <v>4</v>
      </c>
      <c r="F1181" s="28">
        <v>1820</v>
      </c>
      <c r="G1181" s="28">
        <v>3721195604</v>
      </c>
      <c r="H1181" s="29">
        <v>17.84</v>
      </c>
      <c r="I1181" s="142">
        <v>-61.599999999999994</v>
      </c>
      <c r="J1181" s="29">
        <v>7.07</v>
      </c>
      <c r="K1181" s="29">
        <v>5.83</v>
      </c>
      <c r="L1181" s="29">
        <v>15.39</v>
      </c>
      <c r="M1181" s="368"/>
      <c r="N1181" s="368"/>
      <c r="O1181" s="271">
        <f>IFERROR(Table17[[#This Row],[PROFIT]]/Table17[[#This Row],[TO]],0)</f>
        <v>0</v>
      </c>
      <c r="P1181" s="177"/>
      <c r="Q1181" s="177"/>
      <c r="R1181" s="177"/>
    </row>
    <row r="1182" spans="1:18" hidden="1" x14ac:dyDescent="0.25">
      <c r="A1182" s="29" t="s">
        <v>2914</v>
      </c>
      <c r="B1182" s="29" t="s">
        <v>2913</v>
      </c>
      <c r="C1182" s="29" t="s">
        <v>700</v>
      </c>
      <c r="D1182" s="29" t="str">
        <f>VLOOKUP(C:C,'COUNT-CONT'!B:C,2,FALSE)</f>
        <v>Asia</v>
      </c>
      <c r="E1182" s="29">
        <v>8</v>
      </c>
      <c r="F1182" s="28">
        <v>3021</v>
      </c>
      <c r="G1182" s="28">
        <v>3408517841</v>
      </c>
      <c r="H1182" s="29">
        <v>17.809999999999999</v>
      </c>
      <c r="I1182" s="142">
        <v>-61.629999999999995</v>
      </c>
      <c r="J1182" s="29">
        <v>5.47</v>
      </c>
      <c r="K1182" s="29">
        <v>4.1100000000000003</v>
      </c>
      <c r="L1182" s="29">
        <v>13.69</v>
      </c>
      <c r="M1182" s="368"/>
      <c r="N1182" s="368"/>
      <c r="O1182" s="271">
        <f>IFERROR(Table17[[#This Row],[PROFIT]]/Table17[[#This Row],[TO]],0)</f>
        <v>0</v>
      </c>
      <c r="P1182" s="177"/>
      <c r="Q1182" s="177"/>
      <c r="R1182" s="177"/>
    </row>
    <row r="1183" spans="1:18" hidden="1" x14ac:dyDescent="0.25">
      <c r="A1183" s="29" t="s">
        <v>4623</v>
      </c>
      <c r="B1183" s="29" t="s">
        <v>4622</v>
      </c>
      <c r="C1183" s="29" t="s">
        <v>560</v>
      </c>
      <c r="D1183" s="29" t="str">
        <f>VLOOKUP(C:C,'COUNT-CONT'!B:C,2,FALSE)</f>
        <v>Europe</v>
      </c>
      <c r="E1183" s="29">
        <v>6</v>
      </c>
      <c r="F1183" s="28">
        <v>2541</v>
      </c>
      <c r="G1183" s="28">
        <v>4880500432</v>
      </c>
      <c r="H1183" s="29">
        <v>17.78</v>
      </c>
      <c r="I1183" s="142">
        <v>-61.66</v>
      </c>
      <c r="J1183" s="29">
        <v>14.51</v>
      </c>
      <c r="K1183" s="29">
        <v>14.51</v>
      </c>
      <c r="L1183" s="29">
        <v>23.4</v>
      </c>
      <c r="M1183" s="368"/>
      <c r="N1183" s="368"/>
      <c r="O1183" s="271">
        <f>IFERROR(Table17[[#This Row],[PROFIT]]/Table17[[#This Row],[TO]],0)</f>
        <v>0</v>
      </c>
      <c r="P1183" s="177"/>
      <c r="Q1183" s="177"/>
      <c r="R1183" s="177"/>
    </row>
    <row r="1184" spans="1:18" ht="30" x14ac:dyDescent="0.25">
      <c r="A1184" s="29" t="s">
        <v>4001</v>
      </c>
      <c r="B1184" s="29" t="s">
        <v>4000</v>
      </c>
      <c r="C1184" s="29" t="s">
        <v>774</v>
      </c>
      <c r="D1184" s="29" t="str">
        <f>VLOOKUP(C:C,'COUNT-CONT'!B:C,2,FALSE)</f>
        <v>Oceania</v>
      </c>
      <c r="E1184" s="29">
        <v>3</v>
      </c>
      <c r="F1184" s="28">
        <v>1745</v>
      </c>
      <c r="G1184" s="28">
        <v>4304972492</v>
      </c>
      <c r="H1184" s="29">
        <v>17.739999999999998</v>
      </c>
      <c r="I1184" s="142">
        <v>-61.7</v>
      </c>
      <c r="J1184" s="29">
        <v>10.58</v>
      </c>
      <c r="K1184" s="29">
        <v>9.82</v>
      </c>
      <c r="L1184" s="29">
        <v>18.89</v>
      </c>
      <c r="M1184" s="368"/>
      <c r="N1184" s="368"/>
      <c r="O1184" s="271">
        <f>IFERROR(Table17[[#This Row],[PROFIT]]/Table17[[#This Row],[TO]],0)</f>
        <v>0</v>
      </c>
      <c r="P1184" s="177"/>
      <c r="Q1184" s="177"/>
      <c r="R1184" s="177"/>
    </row>
    <row r="1185" spans="1:18" ht="30" hidden="1" x14ac:dyDescent="0.25">
      <c r="A1185" s="29" t="s">
        <v>4613</v>
      </c>
      <c r="B1185" s="29" t="s">
        <v>4612</v>
      </c>
      <c r="C1185" s="29" t="s">
        <v>11732</v>
      </c>
      <c r="D1185" s="29" t="str">
        <f>VLOOKUP(C:C,'COUNT-CONT'!B:C,2,FALSE)</f>
        <v>North America</v>
      </c>
      <c r="E1185" s="29">
        <v>10</v>
      </c>
      <c r="F1185" s="28">
        <v>3710</v>
      </c>
      <c r="G1185" s="28">
        <v>4846295956</v>
      </c>
      <c r="H1185" s="29">
        <v>17.739999999999998</v>
      </c>
      <c r="I1185" s="142">
        <v>-61.7</v>
      </c>
      <c r="J1185" s="29">
        <v>14.45</v>
      </c>
      <c r="K1185" s="29">
        <v>14.45</v>
      </c>
      <c r="L1185" s="29">
        <v>23.34</v>
      </c>
      <c r="M1185" s="368"/>
      <c r="N1185" s="368"/>
      <c r="O1185" s="271">
        <f>IFERROR(Table17[[#This Row],[PROFIT]]/Table17[[#This Row],[TO]],0)</f>
        <v>0</v>
      </c>
      <c r="P1185" s="177"/>
      <c r="Q1185" s="177"/>
      <c r="R1185" s="177"/>
    </row>
    <row r="1186" spans="1:18" hidden="1" x14ac:dyDescent="0.25">
      <c r="A1186" s="29" t="s">
        <v>3110</v>
      </c>
      <c r="B1186" s="29" t="s">
        <v>3109</v>
      </c>
      <c r="C1186" s="29" t="s">
        <v>717</v>
      </c>
      <c r="D1186" s="29" t="str">
        <f>VLOOKUP(C:C,'COUNT-CONT'!B:C,2,FALSE)</f>
        <v>Asia</v>
      </c>
      <c r="E1186" s="29">
        <v>2</v>
      </c>
      <c r="F1186" s="28">
        <v>1415</v>
      </c>
      <c r="G1186" s="28">
        <v>3743985159</v>
      </c>
      <c r="H1186" s="29">
        <v>17.739999999999998</v>
      </c>
      <c r="I1186" s="142">
        <v>-61.7</v>
      </c>
      <c r="J1186" s="29">
        <v>6.38</v>
      </c>
      <c r="K1186" s="29">
        <v>5.23</v>
      </c>
      <c r="L1186" s="29">
        <v>14.54</v>
      </c>
      <c r="M1186" s="368"/>
      <c r="N1186" s="368"/>
      <c r="O1186" s="271">
        <f>IFERROR(Table17[[#This Row],[PROFIT]]/Table17[[#This Row],[TO]],0)</f>
        <v>0</v>
      </c>
      <c r="P1186" s="177"/>
      <c r="Q1186" s="177"/>
      <c r="R1186" s="177"/>
    </row>
    <row r="1187" spans="1:18" hidden="1" x14ac:dyDescent="0.25">
      <c r="A1187" s="29" t="s">
        <v>2241</v>
      </c>
      <c r="B1187" s="29" t="s">
        <v>2240</v>
      </c>
      <c r="C1187" s="29" t="s">
        <v>644</v>
      </c>
      <c r="D1187" s="29" t="str">
        <f>VLOOKUP(C:C,'COUNT-CONT'!B:C,2,FALSE)</f>
        <v>Africa</v>
      </c>
      <c r="E1187" s="29">
        <v>5</v>
      </c>
      <c r="F1187" s="28">
        <v>2097</v>
      </c>
      <c r="G1187" s="28">
        <v>3296758893</v>
      </c>
      <c r="H1187" s="29">
        <v>17.71</v>
      </c>
      <c r="I1187" s="142">
        <v>-61.73</v>
      </c>
      <c r="J1187" s="29">
        <v>3.36</v>
      </c>
      <c r="K1187" s="29">
        <v>1.54</v>
      </c>
      <c r="L1187" s="29">
        <v>11.22</v>
      </c>
      <c r="M1187" s="368"/>
      <c r="N1187" s="368"/>
      <c r="O1187" s="271">
        <f>IFERROR(Table17[[#This Row],[PROFIT]]/Table17[[#This Row],[TO]],0)</f>
        <v>0</v>
      </c>
      <c r="P1187" s="177"/>
      <c r="Q1187" s="177"/>
      <c r="R1187" s="177"/>
    </row>
    <row r="1188" spans="1:18" hidden="1" x14ac:dyDescent="0.25">
      <c r="A1188" s="29" t="s">
        <v>2903</v>
      </c>
      <c r="B1188" s="29" t="s">
        <v>2902</v>
      </c>
      <c r="C1188" s="29" t="s">
        <v>700</v>
      </c>
      <c r="D1188" s="29" t="str">
        <f>VLOOKUP(C:C,'COUNT-CONT'!B:C,2,FALSE)</f>
        <v>Asia</v>
      </c>
      <c r="E1188" s="29">
        <v>10</v>
      </c>
      <c r="F1188" s="28">
        <v>3837</v>
      </c>
      <c r="G1188" s="28">
        <v>3400982303</v>
      </c>
      <c r="H1188" s="29">
        <v>17.71</v>
      </c>
      <c r="I1188" s="142">
        <v>-61.73</v>
      </c>
      <c r="J1188" s="29">
        <v>5.44</v>
      </c>
      <c r="K1188" s="29">
        <v>4.08</v>
      </c>
      <c r="L1188" s="29">
        <v>13.63</v>
      </c>
      <c r="M1188" s="368"/>
      <c r="N1188" s="368"/>
      <c r="O1188" s="271">
        <f>IFERROR(Table17[[#This Row],[PROFIT]]/Table17[[#This Row],[TO]],0)</f>
        <v>0</v>
      </c>
      <c r="P1188" s="177"/>
      <c r="Q1188" s="177"/>
      <c r="R1188" s="177"/>
    </row>
    <row r="1189" spans="1:18" hidden="1" x14ac:dyDescent="0.25">
      <c r="A1189" s="29" t="s">
        <v>4194</v>
      </c>
      <c r="B1189" s="29" t="s">
        <v>4193</v>
      </c>
      <c r="C1189" s="29" t="s">
        <v>119</v>
      </c>
      <c r="D1189" s="29" t="str">
        <f>VLOOKUP(C:C,'COUNT-CONT'!B:C,2,FALSE)</f>
        <v>Europe</v>
      </c>
      <c r="E1189" s="29">
        <v>10</v>
      </c>
      <c r="F1189" s="28">
        <v>3841</v>
      </c>
      <c r="G1189" s="28">
        <v>4331983754</v>
      </c>
      <c r="H1189" s="29">
        <v>17.71</v>
      </c>
      <c r="I1189" s="142">
        <v>-61.73</v>
      </c>
      <c r="J1189" s="29">
        <v>11.67</v>
      </c>
      <c r="K1189" s="29">
        <v>11.28</v>
      </c>
      <c r="L1189" s="29">
        <v>20.16</v>
      </c>
      <c r="M1189" s="368"/>
      <c r="N1189" s="368"/>
      <c r="O1189" s="271">
        <f>IFERROR(Table17[[#This Row],[PROFIT]]/Table17[[#This Row],[TO]],0)</f>
        <v>0</v>
      </c>
      <c r="P1189" s="177"/>
      <c r="Q1189" s="177"/>
      <c r="R1189" s="177"/>
    </row>
    <row r="1190" spans="1:18" hidden="1" x14ac:dyDescent="0.25">
      <c r="A1190" s="29" t="s">
        <v>2101</v>
      </c>
      <c r="B1190" s="29" t="s">
        <v>2100</v>
      </c>
      <c r="C1190" s="29" t="s">
        <v>1441</v>
      </c>
      <c r="D1190" s="29" t="str">
        <f>VLOOKUP(C:C,'COUNT-CONT'!B:C,2,FALSE)</f>
        <v>Africa</v>
      </c>
      <c r="E1190" s="29">
        <v>4</v>
      </c>
      <c r="F1190" s="28">
        <v>1987</v>
      </c>
      <c r="G1190" s="28">
        <v>3318998389</v>
      </c>
      <c r="H1190" s="29">
        <v>17.68</v>
      </c>
      <c r="I1190" s="142">
        <v>-61.76</v>
      </c>
      <c r="J1190" s="29">
        <v>2.78</v>
      </c>
      <c r="K1190" s="29">
        <v>1.27</v>
      </c>
      <c r="L1190" s="29">
        <v>10.79</v>
      </c>
      <c r="M1190" s="368"/>
      <c r="N1190" s="368"/>
      <c r="O1190" s="271">
        <f>IFERROR(Table17[[#This Row],[PROFIT]]/Table17[[#This Row],[TO]],0)</f>
        <v>0</v>
      </c>
      <c r="P1190" s="177"/>
      <c r="Q1190" s="177"/>
      <c r="R1190" s="177"/>
    </row>
    <row r="1191" spans="1:18" hidden="1" x14ac:dyDescent="0.25">
      <c r="A1191" s="29" t="s">
        <v>2106</v>
      </c>
      <c r="B1191" s="29" t="s">
        <v>2105</v>
      </c>
      <c r="C1191" s="29" t="s">
        <v>2104</v>
      </c>
      <c r="D1191" s="29" t="str">
        <f>VLOOKUP(C:C,'COUNT-CONT'!B:C,2,FALSE)</f>
        <v>Africa</v>
      </c>
      <c r="E1191" s="29">
        <v>9</v>
      </c>
      <c r="F1191" s="28">
        <v>3209</v>
      </c>
      <c r="G1191" s="28">
        <v>3231585914</v>
      </c>
      <c r="H1191" s="29">
        <v>17.68</v>
      </c>
      <c r="I1191" s="142">
        <v>-61.76</v>
      </c>
      <c r="J1191" s="29">
        <v>2.78</v>
      </c>
      <c r="K1191" s="29">
        <v>1.06</v>
      </c>
      <c r="L1191" s="29">
        <v>10.79</v>
      </c>
      <c r="M1191" s="368"/>
      <c r="N1191" s="368"/>
      <c r="O1191" s="271">
        <f>IFERROR(Table17[[#This Row],[PROFIT]]/Table17[[#This Row],[TO]],0)</f>
        <v>0</v>
      </c>
      <c r="P1191" s="177"/>
      <c r="Q1191" s="177"/>
      <c r="R1191" s="177"/>
    </row>
    <row r="1192" spans="1:18" hidden="1" x14ac:dyDescent="0.25">
      <c r="A1192" s="29" t="s">
        <v>3367</v>
      </c>
      <c r="B1192" s="29" t="s">
        <v>3366</v>
      </c>
      <c r="C1192" s="29" t="s">
        <v>1117</v>
      </c>
      <c r="D1192" s="29" t="str">
        <f>VLOOKUP(C:C,'COUNT-CONT'!B:C,2,FALSE)</f>
        <v>Europe</v>
      </c>
      <c r="E1192" s="29">
        <v>6</v>
      </c>
      <c r="F1192" s="28">
        <v>2529</v>
      </c>
      <c r="G1192" s="28">
        <v>3640954527</v>
      </c>
      <c r="H1192" s="29">
        <v>17.68</v>
      </c>
      <c r="I1192" s="142">
        <v>-61.76</v>
      </c>
      <c r="J1192" s="29">
        <v>7.44</v>
      </c>
      <c r="K1192" s="29">
        <v>6.2</v>
      </c>
      <c r="L1192" s="29">
        <v>15.54</v>
      </c>
      <c r="M1192" s="368"/>
      <c r="N1192" s="368"/>
      <c r="O1192" s="271">
        <f>IFERROR(Table17[[#This Row],[PROFIT]]/Table17[[#This Row],[TO]],0)</f>
        <v>0</v>
      </c>
      <c r="P1192" s="177"/>
      <c r="Q1192" s="177"/>
      <c r="R1192" s="177"/>
    </row>
    <row r="1193" spans="1:18" hidden="1" x14ac:dyDescent="0.25">
      <c r="A1193" s="29" t="s">
        <v>2378</v>
      </c>
      <c r="B1193" s="29" t="s">
        <v>2377</v>
      </c>
      <c r="C1193" s="29" t="s">
        <v>867</v>
      </c>
      <c r="D1193" s="29" t="str">
        <f>VLOOKUP(C:C,'COUNT-CONT'!B:C,2,FALSE)</f>
        <v>Asia</v>
      </c>
      <c r="E1193" s="29">
        <v>1</v>
      </c>
      <c r="F1193" s="28">
        <v>1196</v>
      </c>
      <c r="G1193" s="28">
        <v>3569732441</v>
      </c>
      <c r="H1193" s="29">
        <v>17.68</v>
      </c>
      <c r="I1193" s="142">
        <v>-61.76</v>
      </c>
      <c r="J1193" s="29">
        <v>3.72</v>
      </c>
      <c r="K1193" s="29">
        <v>2.09</v>
      </c>
      <c r="L1193" s="29">
        <v>11.64</v>
      </c>
      <c r="M1193" s="368"/>
      <c r="N1193" s="368"/>
      <c r="O1193" s="271">
        <f>IFERROR(Table17[[#This Row],[PROFIT]]/Table17[[#This Row],[TO]],0)</f>
        <v>0</v>
      </c>
      <c r="P1193" s="177"/>
      <c r="Q1193" s="177"/>
      <c r="R1193" s="177"/>
    </row>
    <row r="1194" spans="1:18" ht="30" hidden="1" x14ac:dyDescent="0.25">
      <c r="A1194" s="29" t="s">
        <v>4607</v>
      </c>
      <c r="B1194" s="29" t="s">
        <v>4606</v>
      </c>
      <c r="C1194" s="29" t="s">
        <v>11732</v>
      </c>
      <c r="D1194" s="29" t="str">
        <f>VLOOKUP(C:C,'COUNT-CONT'!B:C,2,FALSE)</f>
        <v>North America</v>
      </c>
      <c r="E1194" s="29">
        <v>7</v>
      </c>
      <c r="F1194" s="28">
        <v>2912</v>
      </c>
      <c r="G1194" s="28">
        <v>4845947252</v>
      </c>
      <c r="H1194" s="29">
        <v>17.68</v>
      </c>
      <c r="I1194" s="142">
        <v>-61.76</v>
      </c>
      <c r="J1194" s="29">
        <v>14.45</v>
      </c>
      <c r="K1194" s="29">
        <v>14.45</v>
      </c>
      <c r="L1194" s="29">
        <v>23.31</v>
      </c>
      <c r="M1194" s="368"/>
      <c r="N1194" s="368"/>
      <c r="O1194" s="271">
        <f>IFERROR(Table17[[#This Row],[PROFIT]]/Table17[[#This Row],[TO]],0)</f>
        <v>0</v>
      </c>
      <c r="P1194" s="177"/>
      <c r="Q1194" s="177"/>
      <c r="R1194" s="177"/>
    </row>
    <row r="1195" spans="1:18" ht="30" hidden="1" x14ac:dyDescent="0.25">
      <c r="A1195" s="29" t="s">
        <v>4605</v>
      </c>
      <c r="B1195" s="29" t="s">
        <v>4604</v>
      </c>
      <c r="C1195" s="29" t="s">
        <v>11732</v>
      </c>
      <c r="D1195" s="29" t="str">
        <f>VLOOKUP(C:C,'COUNT-CONT'!B:C,2,FALSE)</f>
        <v>North America</v>
      </c>
      <c r="E1195" s="29">
        <v>9</v>
      </c>
      <c r="F1195" s="28">
        <v>3226</v>
      </c>
      <c r="G1195" s="28">
        <v>4832579541</v>
      </c>
      <c r="H1195" s="29">
        <v>17.649999999999999</v>
      </c>
      <c r="I1195" s="142">
        <v>-61.79</v>
      </c>
      <c r="J1195" s="29">
        <v>14.39</v>
      </c>
      <c r="K1195" s="29">
        <v>14.39</v>
      </c>
      <c r="L1195" s="29">
        <v>23.25</v>
      </c>
      <c r="M1195" s="368"/>
      <c r="N1195" s="368"/>
      <c r="O1195" s="271">
        <f>IFERROR(Table17[[#This Row],[PROFIT]]/Table17[[#This Row],[TO]],0)</f>
        <v>0</v>
      </c>
      <c r="P1195" s="177"/>
      <c r="Q1195" s="177"/>
      <c r="R1195" s="177"/>
    </row>
    <row r="1196" spans="1:18" ht="30" hidden="1" x14ac:dyDescent="0.25">
      <c r="A1196" s="29" t="s">
        <v>3503</v>
      </c>
      <c r="B1196" s="29" t="s">
        <v>3502</v>
      </c>
      <c r="C1196" s="29" t="s">
        <v>530</v>
      </c>
      <c r="D1196" s="29" t="str">
        <f>VLOOKUP(C:C,'COUNT-CONT'!B:C,2,FALSE)</f>
        <v>South America</v>
      </c>
      <c r="E1196" s="29">
        <v>5</v>
      </c>
      <c r="F1196" s="28">
        <v>2209</v>
      </c>
      <c r="G1196" s="28">
        <v>3742362879</v>
      </c>
      <c r="H1196" s="29">
        <v>17.649999999999999</v>
      </c>
      <c r="I1196" s="142">
        <v>-61.79</v>
      </c>
      <c r="J1196" s="29">
        <v>7.71</v>
      </c>
      <c r="K1196" s="29">
        <v>6.74</v>
      </c>
      <c r="L1196" s="29">
        <v>16.05</v>
      </c>
      <c r="M1196" s="368"/>
      <c r="N1196" s="368"/>
      <c r="O1196" s="271">
        <f>IFERROR(Table17[[#This Row],[PROFIT]]/Table17[[#This Row],[TO]],0)</f>
        <v>0</v>
      </c>
      <c r="P1196" s="177"/>
      <c r="Q1196" s="177"/>
      <c r="R1196" s="177"/>
    </row>
    <row r="1197" spans="1:18" ht="30" hidden="1" x14ac:dyDescent="0.25">
      <c r="A1197" s="29" t="s">
        <v>2890</v>
      </c>
      <c r="B1197" s="29" t="s">
        <v>2889</v>
      </c>
      <c r="C1197" s="29" t="s">
        <v>700</v>
      </c>
      <c r="D1197" s="29" t="str">
        <f>VLOOKUP(C:C,'COUNT-CONT'!B:C,2,FALSE)</f>
        <v>Asia</v>
      </c>
      <c r="E1197" s="29">
        <v>8</v>
      </c>
      <c r="F1197" s="28">
        <v>3020</v>
      </c>
      <c r="G1197" s="28">
        <v>3392638410</v>
      </c>
      <c r="H1197" s="29">
        <v>17.649999999999999</v>
      </c>
      <c r="I1197" s="142">
        <v>-61.79</v>
      </c>
      <c r="J1197" s="29">
        <v>5.41</v>
      </c>
      <c r="K1197" s="29">
        <v>4.05</v>
      </c>
      <c r="L1197" s="29">
        <v>13.57</v>
      </c>
      <c r="M1197" s="368"/>
      <c r="N1197" s="368"/>
      <c r="O1197" s="271">
        <f>IFERROR(Table17[[#This Row],[PROFIT]]/Table17[[#This Row],[TO]],0)</f>
        <v>0</v>
      </c>
      <c r="P1197" s="177"/>
      <c r="Q1197" s="177"/>
      <c r="R1197" s="177"/>
    </row>
    <row r="1198" spans="1:18" hidden="1" x14ac:dyDescent="0.25">
      <c r="A1198" s="29" t="s">
        <v>3846</v>
      </c>
      <c r="B1198" s="29" t="s">
        <v>3845</v>
      </c>
      <c r="C1198" s="29" t="s">
        <v>585</v>
      </c>
      <c r="D1198" s="29" t="str">
        <f>VLOOKUP(C:C,'COUNT-CONT'!B:C,2,FALSE)</f>
        <v>Europe</v>
      </c>
      <c r="E1198" s="29">
        <v>4</v>
      </c>
      <c r="F1198" s="28">
        <v>1991</v>
      </c>
      <c r="G1198" s="28">
        <v>4131686187</v>
      </c>
      <c r="H1198" s="29">
        <v>17.62</v>
      </c>
      <c r="I1198" s="142">
        <v>-61.819999999999993</v>
      </c>
      <c r="J1198" s="29">
        <v>9.6999999999999993</v>
      </c>
      <c r="K1198" s="29">
        <v>8.98</v>
      </c>
      <c r="L1198" s="29">
        <v>17.989999999999998</v>
      </c>
      <c r="M1198" s="368"/>
      <c r="N1198" s="368"/>
      <c r="O1198" s="271">
        <f>IFERROR(Table17[[#This Row],[PROFIT]]/Table17[[#This Row],[TO]],0)</f>
        <v>0</v>
      </c>
      <c r="P1198" s="177"/>
      <c r="Q1198" s="177"/>
      <c r="R1198" s="177"/>
    </row>
    <row r="1199" spans="1:18" ht="30" hidden="1" x14ac:dyDescent="0.25">
      <c r="A1199" s="29" t="s">
        <v>4598</v>
      </c>
      <c r="B1199" s="29" t="s">
        <v>4597</v>
      </c>
      <c r="C1199" s="29" t="s">
        <v>11732</v>
      </c>
      <c r="D1199" s="29" t="str">
        <f>VLOOKUP(C:C,'COUNT-CONT'!B:C,2,FALSE)</f>
        <v>North America</v>
      </c>
      <c r="E1199" s="29">
        <v>7</v>
      </c>
      <c r="F1199" s="28">
        <v>2909</v>
      </c>
      <c r="G1199" s="28">
        <v>4833536816</v>
      </c>
      <c r="H1199" s="29">
        <v>17.62</v>
      </c>
      <c r="I1199" s="142">
        <v>-61.819999999999993</v>
      </c>
      <c r="J1199" s="29">
        <v>14.36</v>
      </c>
      <c r="K1199" s="29">
        <v>14.36</v>
      </c>
      <c r="L1199" s="29">
        <v>23.19</v>
      </c>
      <c r="M1199" s="368"/>
      <c r="N1199" s="368"/>
      <c r="O1199" s="271">
        <f>IFERROR(Table17[[#This Row],[PROFIT]]/Table17[[#This Row],[TO]],0)</f>
        <v>0</v>
      </c>
      <c r="P1199" s="177"/>
      <c r="Q1199" s="177"/>
      <c r="R1199" s="177"/>
    </row>
    <row r="1200" spans="1:18" hidden="1" x14ac:dyDescent="0.25">
      <c r="A1200" s="29" t="s">
        <v>3917</v>
      </c>
      <c r="B1200" s="29" t="s">
        <v>3916</v>
      </c>
      <c r="C1200" s="29" t="s">
        <v>3915</v>
      </c>
      <c r="D1200" s="29" t="str">
        <f>VLOOKUP(C:C,'COUNT-CONT'!B:C,2,FALSE)</f>
        <v>Europe</v>
      </c>
      <c r="E1200" s="29">
        <v>7</v>
      </c>
      <c r="F1200" s="28">
        <v>2822</v>
      </c>
      <c r="G1200" s="28">
        <v>4101794472</v>
      </c>
      <c r="H1200" s="29">
        <v>17.62</v>
      </c>
      <c r="I1200" s="142">
        <v>-61.819999999999993</v>
      </c>
      <c r="J1200" s="29">
        <v>9.92</v>
      </c>
      <c r="K1200" s="29">
        <v>9.5500000000000007</v>
      </c>
      <c r="L1200" s="29">
        <v>18.38</v>
      </c>
      <c r="M1200" s="368"/>
      <c r="N1200" s="368"/>
      <c r="O1200" s="271">
        <f>IFERROR(Table17[[#This Row],[PROFIT]]/Table17[[#This Row],[TO]],0)</f>
        <v>0</v>
      </c>
      <c r="P1200" s="177"/>
      <c r="Q1200" s="177"/>
      <c r="R1200" s="177"/>
    </row>
    <row r="1201" spans="1:18" hidden="1" x14ac:dyDescent="0.25">
      <c r="A1201" s="29" t="s">
        <v>3966</v>
      </c>
      <c r="B1201" s="29" t="s">
        <v>3965</v>
      </c>
      <c r="C1201" s="29" t="s">
        <v>597</v>
      </c>
      <c r="D1201" s="29" t="str">
        <f>VLOOKUP(C:C,'COUNT-CONT'!B:C,2,FALSE)</f>
        <v>Europe</v>
      </c>
      <c r="E1201" s="29">
        <v>5</v>
      </c>
      <c r="F1201" s="28">
        <v>2136</v>
      </c>
      <c r="G1201" s="28">
        <v>4198781273</v>
      </c>
      <c r="H1201" s="29">
        <v>17.62</v>
      </c>
      <c r="I1201" s="142">
        <v>-61.819999999999993</v>
      </c>
      <c r="J1201" s="29">
        <v>10.49</v>
      </c>
      <c r="K1201" s="29">
        <v>9.73</v>
      </c>
      <c r="L1201" s="29">
        <v>18.77</v>
      </c>
      <c r="M1201" s="368"/>
      <c r="N1201" s="368"/>
      <c r="O1201" s="271">
        <f>IFERROR(Table17[[#This Row],[PROFIT]]/Table17[[#This Row],[TO]],0)</f>
        <v>0</v>
      </c>
      <c r="P1201" s="177"/>
      <c r="Q1201" s="177"/>
      <c r="R1201" s="177"/>
    </row>
    <row r="1202" spans="1:18" hidden="1" x14ac:dyDescent="0.25">
      <c r="A1202" s="29" t="s">
        <v>2215</v>
      </c>
      <c r="B1202" s="29" t="s">
        <v>2214</v>
      </c>
      <c r="C1202" s="29" t="s">
        <v>1135</v>
      </c>
      <c r="D1202" s="29" t="str">
        <f>VLOOKUP(C:C,'COUNT-CONT'!B:C,2,FALSE)</f>
        <v>Africa</v>
      </c>
      <c r="E1202" s="29">
        <v>2</v>
      </c>
      <c r="F1202" s="28">
        <v>1354</v>
      </c>
      <c r="G1202" s="28">
        <v>3546007680</v>
      </c>
      <c r="H1202" s="29">
        <v>17.59</v>
      </c>
      <c r="I1202" s="142">
        <v>-61.849999999999994</v>
      </c>
      <c r="J1202" s="29">
        <v>3.33</v>
      </c>
      <c r="K1202" s="29">
        <v>1.54</v>
      </c>
      <c r="L1202" s="29">
        <v>11.12</v>
      </c>
      <c r="M1202" s="368"/>
      <c r="N1202" s="368"/>
      <c r="O1202" s="271">
        <f>IFERROR(Table17[[#This Row],[PROFIT]]/Table17[[#This Row],[TO]],0)</f>
        <v>0</v>
      </c>
      <c r="P1202" s="177"/>
      <c r="Q1202" s="177"/>
      <c r="R1202" s="177"/>
    </row>
    <row r="1203" spans="1:18" hidden="1" x14ac:dyDescent="0.25">
      <c r="A1203" s="29" t="s">
        <v>4592</v>
      </c>
      <c r="B1203" s="29" t="s">
        <v>4591</v>
      </c>
      <c r="C1203" s="29" t="s">
        <v>560</v>
      </c>
      <c r="D1203" s="29" t="str">
        <f>VLOOKUP(C:C,'COUNT-CONT'!B:C,2,FALSE)</f>
        <v>Europe</v>
      </c>
      <c r="E1203" s="29">
        <v>5</v>
      </c>
      <c r="F1203" s="28">
        <v>2374</v>
      </c>
      <c r="G1203" s="28">
        <v>4862352990</v>
      </c>
      <c r="H1203" s="29">
        <v>17.59</v>
      </c>
      <c r="I1203" s="142">
        <v>-61.849999999999994</v>
      </c>
      <c r="J1203" s="29">
        <v>14.33</v>
      </c>
      <c r="K1203" s="29">
        <v>14.33</v>
      </c>
      <c r="L1203" s="29">
        <v>23.16</v>
      </c>
      <c r="M1203" s="368"/>
      <c r="N1203" s="368"/>
      <c r="O1203" s="271">
        <f>IFERROR(Table17[[#This Row],[PROFIT]]/Table17[[#This Row],[TO]],0)</f>
        <v>0</v>
      </c>
      <c r="P1203" s="177"/>
      <c r="Q1203" s="177"/>
      <c r="R1203" s="177"/>
    </row>
    <row r="1204" spans="1:18" ht="30" hidden="1" x14ac:dyDescent="0.25">
      <c r="A1204" s="29" t="s">
        <v>3491</v>
      </c>
      <c r="B1204" s="29" t="s">
        <v>3490</v>
      </c>
      <c r="C1204" s="29" t="s">
        <v>1749</v>
      </c>
      <c r="D1204" s="29" t="str">
        <f>VLOOKUP(C:C,'COUNT-CONT'!B:C,2,FALSE)</f>
        <v>North America</v>
      </c>
      <c r="E1204" s="29">
        <v>5</v>
      </c>
      <c r="F1204" s="28">
        <v>2229</v>
      </c>
      <c r="G1204" s="28">
        <v>3731894840</v>
      </c>
      <c r="H1204" s="29">
        <v>17.59</v>
      </c>
      <c r="I1204" s="142">
        <v>-61.849999999999994</v>
      </c>
      <c r="J1204" s="29">
        <v>7.98</v>
      </c>
      <c r="K1204" s="29">
        <v>6.71</v>
      </c>
      <c r="L1204" s="29">
        <v>15.99</v>
      </c>
      <c r="M1204" s="368"/>
      <c r="N1204" s="368"/>
      <c r="O1204" s="271">
        <f>IFERROR(Table17[[#This Row],[PROFIT]]/Table17[[#This Row],[TO]],0)</f>
        <v>0</v>
      </c>
      <c r="P1204" s="177"/>
      <c r="Q1204" s="177"/>
      <c r="R1204" s="177"/>
    </row>
    <row r="1205" spans="1:18" hidden="1" x14ac:dyDescent="0.25">
      <c r="A1205" s="29" t="s">
        <v>4584</v>
      </c>
      <c r="B1205" s="29" t="s">
        <v>4583</v>
      </c>
      <c r="C1205" s="29" t="s">
        <v>560</v>
      </c>
      <c r="D1205" s="29" t="str">
        <f>VLOOKUP(C:C,'COUNT-CONT'!B:C,2,FALSE)</f>
        <v>Europe</v>
      </c>
      <c r="E1205" s="29">
        <v>7</v>
      </c>
      <c r="F1205" s="28">
        <v>2661</v>
      </c>
      <c r="G1205" s="28">
        <v>4832978429</v>
      </c>
      <c r="H1205" s="29">
        <v>17.559999999999999</v>
      </c>
      <c r="I1205" s="142">
        <v>-61.879999999999995</v>
      </c>
      <c r="J1205" s="29">
        <v>14.3</v>
      </c>
      <c r="K1205" s="29">
        <v>14.3</v>
      </c>
      <c r="L1205" s="29">
        <v>23.1</v>
      </c>
      <c r="M1205" s="368"/>
      <c r="N1205" s="368"/>
      <c r="O1205" s="271">
        <f>IFERROR(Table17[[#This Row],[PROFIT]]/Table17[[#This Row],[TO]],0)</f>
        <v>0</v>
      </c>
      <c r="P1205" s="177"/>
      <c r="Q1205" s="177"/>
      <c r="R1205" s="177"/>
    </row>
    <row r="1206" spans="1:18" ht="30" hidden="1" x14ac:dyDescent="0.25">
      <c r="A1206" s="29" t="s">
        <v>3189</v>
      </c>
      <c r="B1206" s="29" t="s">
        <v>3188</v>
      </c>
      <c r="C1206" s="29" t="s">
        <v>14</v>
      </c>
      <c r="D1206" s="29" t="str">
        <f>VLOOKUP(C:C,'COUNT-CONT'!B:C,2,FALSE)</f>
        <v>Asia</v>
      </c>
      <c r="E1206" s="29">
        <v>8</v>
      </c>
      <c r="F1206" s="28">
        <v>2828</v>
      </c>
      <c r="G1206" s="28">
        <v>3540167468</v>
      </c>
      <c r="H1206" s="29">
        <v>17.559999999999999</v>
      </c>
      <c r="I1206" s="142">
        <v>-61.879999999999995</v>
      </c>
      <c r="J1206" s="29">
        <v>6.83</v>
      </c>
      <c r="K1206" s="29">
        <v>5.65</v>
      </c>
      <c r="L1206" s="29">
        <v>14.9</v>
      </c>
      <c r="M1206" s="368"/>
      <c r="N1206" s="368"/>
      <c r="O1206" s="271">
        <f>IFERROR(Table17[[#This Row],[PROFIT]]/Table17[[#This Row],[TO]],0)</f>
        <v>0</v>
      </c>
      <c r="P1206" s="177"/>
      <c r="Q1206" s="177"/>
      <c r="R1206" s="177"/>
    </row>
    <row r="1207" spans="1:18" ht="30" hidden="1" x14ac:dyDescent="0.25">
      <c r="A1207" s="29" t="s">
        <v>4166</v>
      </c>
      <c r="B1207" s="29" t="s">
        <v>4165</v>
      </c>
      <c r="C1207" s="29" t="s">
        <v>514</v>
      </c>
      <c r="D1207" s="29" t="str">
        <f>VLOOKUP(C:C,'COUNT-CONT'!B:C,2,FALSE)</f>
        <v>North America</v>
      </c>
      <c r="E1207" s="29">
        <v>6</v>
      </c>
      <c r="F1207" s="28">
        <v>2528</v>
      </c>
      <c r="G1207" s="28">
        <v>4329926582</v>
      </c>
      <c r="H1207" s="29">
        <v>17.559999999999999</v>
      </c>
      <c r="I1207" s="142">
        <v>-61.879999999999995</v>
      </c>
      <c r="J1207" s="29">
        <v>11.58</v>
      </c>
      <c r="K1207" s="29">
        <v>11.19</v>
      </c>
      <c r="L1207" s="29">
        <v>19.98</v>
      </c>
      <c r="M1207" s="368"/>
      <c r="N1207" s="368"/>
      <c r="O1207" s="271">
        <f>IFERROR(Table17[[#This Row],[PROFIT]]/Table17[[#This Row],[TO]],0)</f>
        <v>0</v>
      </c>
      <c r="P1207" s="177"/>
      <c r="Q1207" s="177"/>
      <c r="R1207" s="177"/>
    </row>
    <row r="1208" spans="1:18" ht="30" hidden="1" x14ac:dyDescent="0.25">
      <c r="A1208" s="29" t="s">
        <v>3483</v>
      </c>
      <c r="B1208" s="29" t="s">
        <v>3482</v>
      </c>
      <c r="C1208" s="29" t="s">
        <v>1749</v>
      </c>
      <c r="D1208" s="29" t="str">
        <f>VLOOKUP(C:C,'COUNT-CONT'!B:C,2,FALSE)</f>
        <v>North America</v>
      </c>
      <c r="E1208" s="29">
        <v>8</v>
      </c>
      <c r="F1208" s="28">
        <v>2938</v>
      </c>
      <c r="G1208" s="28">
        <v>3676404356</v>
      </c>
      <c r="H1208" s="29">
        <v>17.53</v>
      </c>
      <c r="I1208" s="142">
        <v>-61.91</v>
      </c>
      <c r="J1208" s="29">
        <v>7.98</v>
      </c>
      <c r="K1208" s="29">
        <v>6.68</v>
      </c>
      <c r="L1208" s="29">
        <v>15.96</v>
      </c>
      <c r="M1208" s="368"/>
      <c r="N1208" s="368"/>
      <c r="O1208" s="271">
        <f>IFERROR(Table17[[#This Row],[PROFIT]]/Table17[[#This Row],[TO]],0)</f>
        <v>0</v>
      </c>
      <c r="P1208" s="177"/>
      <c r="Q1208" s="177"/>
      <c r="R1208" s="177"/>
    </row>
    <row r="1209" spans="1:18" hidden="1" x14ac:dyDescent="0.25">
      <c r="A1209" s="29" t="s">
        <v>3072</v>
      </c>
      <c r="B1209" s="29" t="s">
        <v>3071</v>
      </c>
      <c r="C1209" s="29" t="s">
        <v>567</v>
      </c>
      <c r="D1209" s="29" t="str">
        <f>VLOOKUP(C:C,'COUNT-CONT'!B:C,2,FALSE)</f>
        <v>Asia</v>
      </c>
      <c r="E1209" s="29">
        <v>9</v>
      </c>
      <c r="F1209" s="28">
        <v>3185</v>
      </c>
      <c r="G1209" s="28">
        <v>3538568916</v>
      </c>
      <c r="H1209" s="29">
        <v>17.53</v>
      </c>
      <c r="I1209" s="142">
        <v>-61.91</v>
      </c>
      <c r="J1209" s="29">
        <v>6.32</v>
      </c>
      <c r="K1209" s="29">
        <v>5.17</v>
      </c>
      <c r="L1209" s="29">
        <v>14.36</v>
      </c>
      <c r="M1209" s="368"/>
      <c r="N1209" s="368"/>
      <c r="O1209" s="271">
        <f>IFERROR(Table17[[#This Row],[PROFIT]]/Table17[[#This Row],[TO]],0)</f>
        <v>0</v>
      </c>
      <c r="P1209" s="177"/>
      <c r="Q1209" s="177"/>
      <c r="R1209" s="177"/>
    </row>
    <row r="1210" spans="1:18" hidden="1" x14ac:dyDescent="0.25">
      <c r="A1210" s="29" t="s">
        <v>2482</v>
      </c>
      <c r="B1210" s="29" t="s">
        <v>2481</v>
      </c>
      <c r="C1210" s="29" t="s">
        <v>1070</v>
      </c>
      <c r="D1210" s="29" t="str">
        <f>VLOOKUP(C:C,'COUNT-CONT'!B:C,2,FALSE)</f>
        <v>Asia</v>
      </c>
      <c r="E1210" s="29">
        <v>7</v>
      </c>
      <c r="F1210" s="28">
        <v>2522</v>
      </c>
      <c r="G1210" s="28">
        <v>3249561776</v>
      </c>
      <c r="H1210" s="29">
        <v>17.5</v>
      </c>
      <c r="I1210" s="142">
        <v>-61.94</v>
      </c>
      <c r="J1210" s="29">
        <v>4.05</v>
      </c>
      <c r="K1210" s="29">
        <v>2.63</v>
      </c>
      <c r="L1210" s="29">
        <v>12</v>
      </c>
      <c r="M1210" s="368"/>
      <c r="N1210" s="368"/>
      <c r="O1210" s="271">
        <f>IFERROR(Table17[[#This Row],[PROFIT]]/Table17[[#This Row],[TO]],0)</f>
        <v>0</v>
      </c>
      <c r="P1210" s="177"/>
      <c r="Q1210" s="177"/>
      <c r="R1210" s="177"/>
    </row>
    <row r="1211" spans="1:18" ht="30" hidden="1" x14ac:dyDescent="0.25">
      <c r="A1211" s="29" t="s">
        <v>3576</v>
      </c>
      <c r="B1211" s="29" t="s">
        <v>3575</v>
      </c>
      <c r="C1211" s="29" t="s">
        <v>2441</v>
      </c>
      <c r="D1211" s="29" t="e">
        <f>VLOOKUP(C:C,'COUNT-CONT'!B:C,2,FALSE)</f>
        <v>#N/A</v>
      </c>
      <c r="E1211" s="29">
        <v>10</v>
      </c>
      <c r="F1211" s="28">
        <v>3552</v>
      </c>
      <c r="G1211" s="28">
        <v>3772084684</v>
      </c>
      <c r="H1211" s="29">
        <v>17.47</v>
      </c>
      <c r="I1211" s="142">
        <v>-61.97</v>
      </c>
      <c r="J1211" s="29">
        <v>8.2200000000000006</v>
      </c>
      <c r="K1211" s="29">
        <v>7.26</v>
      </c>
      <c r="L1211" s="29">
        <v>16.48</v>
      </c>
      <c r="M1211" s="368"/>
      <c r="N1211" s="368"/>
      <c r="O1211" s="271">
        <f>IFERROR(Table17[[#This Row],[PROFIT]]/Table17[[#This Row],[TO]],0)</f>
        <v>0</v>
      </c>
      <c r="P1211" s="177"/>
      <c r="Q1211" s="177"/>
      <c r="R1211" s="177"/>
    </row>
    <row r="1212" spans="1:18" x14ac:dyDescent="0.25">
      <c r="A1212" s="29" t="s">
        <v>3297</v>
      </c>
      <c r="B1212" s="29" t="s">
        <v>3296</v>
      </c>
      <c r="C1212" s="29" t="s">
        <v>730</v>
      </c>
      <c r="D1212" s="29" t="str">
        <f>VLOOKUP(C:C,'COUNT-CONT'!B:C,2,FALSE)</f>
        <v>Oceania</v>
      </c>
      <c r="E1212" s="29">
        <v>2</v>
      </c>
      <c r="F1212" s="28">
        <v>1516</v>
      </c>
      <c r="G1212" s="28">
        <v>3936193667</v>
      </c>
      <c r="H1212" s="29">
        <v>17.440000000000001</v>
      </c>
      <c r="I1212" s="142">
        <v>-62</v>
      </c>
      <c r="J1212" s="29">
        <v>7.35</v>
      </c>
      <c r="K1212" s="29">
        <v>6.11</v>
      </c>
      <c r="L1212" s="29">
        <v>15.3</v>
      </c>
      <c r="M1212" s="368"/>
      <c r="N1212" s="368"/>
      <c r="O1212" s="271">
        <f>IFERROR(Table17[[#This Row],[PROFIT]]/Table17[[#This Row],[TO]],0)</f>
        <v>0</v>
      </c>
      <c r="P1212" s="177"/>
      <c r="Q1212" s="177"/>
      <c r="R1212" s="177"/>
    </row>
    <row r="1213" spans="1:18" hidden="1" x14ac:dyDescent="0.25">
      <c r="A1213" s="29" t="s">
        <v>2848</v>
      </c>
      <c r="B1213" s="29" t="s">
        <v>2847</v>
      </c>
      <c r="C1213" s="29" t="s">
        <v>1314</v>
      </c>
      <c r="D1213" s="29" t="str">
        <f>VLOOKUP(C:C,'COUNT-CONT'!B:C,2,FALSE)</f>
        <v>Asia</v>
      </c>
      <c r="E1213" s="29">
        <v>6</v>
      </c>
      <c r="F1213" s="28">
        <v>2418</v>
      </c>
      <c r="G1213" s="28">
        <v>3371121422</v>
      </c>
      <c r="H1213" s="29">
        <v>17.440000000000001</v>
      </c>
      <c r="I1213" s="142">
        <v>-62</v>
      </c>
      <c r="J1213" s="29">
        <v>5.62</v>
      </c>
      <c r="K1213" s="29">
        <v>4.0199999999999996</v>
      </c>
      <c r="L1213" s="29">
        <v>13.42</v>
      </c>
      <c r="M1213" s="368"/>
      <c r="N1213" s="368"/>
      <c r="O1213" s="271">
        <f>IFERROR(Table17[[#This Row],[PROFIT]]/Table17[[#This Row],[TO]],0)</f>
        <v>0</v>
      </c>
      <c r="P1213" s="177"/>
      <c r="Q1213" s="177"/>
      <c r="R1213" s="177"/>
    </row>
    <row r="1214" spans="1:18" hidden="1" x14ac:dyDescent="0.25">
      <c r="A1214" s="29" t="s">
        <v>3935</v>
      </c>
      <c r="B1214" s="29" t="s">
        <v>3934</v>
      </c>
      <c r="C1214" s="29" t="s">
        <v>597</v>
      </c>
      <c r="D1214" s="29" t="str">
        <f>VLOOKUP(C:C,'COUNT-CONT'!B:C,2,FALSE)</f>
        <v>Europe</v>
      </c>
      <c r="E1214" s="29">
        <v>4</v>
      </c>
      <c r="F1214" s="28">
        <v>1986</v>
      </c>
      <c r="G1214" s="28">
        <v>4194877139</v>
      </c>
      <c r="H1214" s="29">
        <v>17.440000000000001</v>
      </c>
      <c r="I1214" s="142">
        <v>-62</v>
      </c>
      <c r="J1214" s="29">
        <v>10.37</v>
      </c>
      <c r="K1214" s="29">
        <v>9.64</v>
      </c>
      <c r="L1214" s="29">
        <v>18.559999999999999</v>
      </c>
      <c r="M1214" s="368"/>
      <c r="N1214" s="368"/>
      <c r="O1214" s="271">
        <f>IFERROR(Table17[[#This Row],[PROFIT]]/Table17[[#This Row],[TO]],0)</f>
        <v>0</v>
      </c>
      <c r="P1214" s="177"/>
      <c r="Q1214" s="177"/>
      <c r="R1214" s="177"/>
    </row>
    <row r="1215" spans="1:18" ht="30" hidden="1" x14ac:dyDescent="0.25">
      <c r="A1215" s="29" t="s">
        <v>4015</v>
      </c>
      <c r="B1215" s="29" t="s">
        <v>4014</v>
      </c>
      <c r="C1215" s="29" t="s">
        <v>83</v>
      </c>
      <c r="D1215" s="29" t="str">
        <f>VLOOKUP(C:C,'COUNT-CONT'!B:C,2,FALSE)</f>
        <v>Europe</v>
      </c>
      <c r="E1215" s="29">
        <v>7</v>
      </c>
      <c r="F1215" s="28">
        <v>2821</v>
      </c>
      <c r="G1215" s="28">
        <v>4165332647</v>
      </c>
      <c r="H1215" s="29">
        <v>17.440000000000001</v>
      </c>
      <c r="I1215" s="142">
        <v>-62</v>
      </c>
      <c r="J1215" s="29">
        <v>10.61</v>
      </c>
      <c r="K1215" s="29">
        <v>9.85</v>
      </c>
      <c r="L1215" s="29">
        <v>18.95</v>
      </c>
      <c r="M1215" s="368"/>
      <c r="N1215" s="368"/>
      <c r="O1215" s="271">
        <f>IFERROR(Table17[[#This Row],[PROFIT]]/Table17[[#This Row],[TO]],0)</f>
        <v>0</v>
      </c>
      <c r="P1215" s="177"/>
      <c r="Q1215" s="177"/>
      <c r="R1215" s="177"/>
    </row>
    <row r="1216" spans="1:18" hidden="1" x14ac:dyDescent="0.25">
      <c r="A1216" s="29" t="s">
        <v>3042</v>
      </c>
      <c r="B1216" s="29" t="s">
        <v>3041</v>
      </c>
      <c r="C1216" s="29" t="s">
        <v>78</v>
      </c>
      <c r="D1216" s="29" t="str">
        <f>VLOOKUP(C:C,'COUNT-CONT'!B:C,2,FALSE)</f>
        <v>Europe</v>
      </c>
      <c r="E1216" s="29">
        <v>7</v>
      </c>
      <c r="F1216" s="28">
        <v>2653</v>
      </c>
      <c r="G1216" s="28">
        <v>3468924952</v>
      </c>
      <c r="H1216" s="29">
        <v>17.440000000000001</v>
      </c>
      <c r="I1216" s="142">
        <v>-62</v>
      </c>
      <c r="J1216" s="29">
        <v>6.29</v>
      </c>
      <c r="K1216" s="29">
        <v>5.14</v>
      </c>
      <c r="L1216" s="29">
        <v>14.3</v>
      </c>
      <c r="M1216" s="368"/>
      <c r="N1216" s="368"/>
      <c r="O1216" s="271">
        <f>IFERROR(Table17[[#This Row],[PROFIT]]/Table17[[#This Row],[TO]],0)</f>
        <v>0</v>
      </c>
      <c r="P1216" s="177"/>
      <c r="Q1216" s="177"/>
      <c r="R1216" s="177"/>
    </row>
    <row r="1217" spans="1:18" hidden="1" x14ac:dyDescent="0.25">
      <c r="A1217" s="29" t="s">
        <v>3044</v>
      </c>
      <c r="B1217" s="29" t="s">
        <v>3043</v>
      </c>
      <c r="C1217" s="29" t="s">
        <v>78</v>
      </c>
      <c r="D1217" s="29" t="str">
        <f>VLOOKUP(C:C,'COUNT-CONT'!B:C,2,FALSE)</f>
        <v>Europe</v>
      </c>
      <c r="E1217" s="29">
        <v>8</v>
      </c>
      <c r="F1217" s="28">
        <v>3022</v>
      </c>
      <c r="G1217" s="28">
        <v>3454897352</v>
      </c>
      <c r="H1217" s="29">
        <v>17.440000000000001</v>
      </c>
      <c r="I1217" s="142">
        <v>-62</v>
      </c>
      <c r="J1217" s="29">
        <v>6.29</v>
      </c>
      <c r="K1217" s="29">
        <v>5.14</v>
      </c>
      <c r="L1217" s="29">
        <v>14.3</v>
      </c>
      <c r="M1217" s="368"/>
      <c r="N1217" s="368"/>
      <c r="O1217" s="271">
        <f>IFERROR(Table17[[#This Row],[PROFIT]]/Table17[[#This Row],[TO]],0)</f>
        <v>0</v>
      </c>
      <c r="P1217" s="177"/>
      <c r="Q1217" s="177"/>
      <c r="R1217" s="177"/>
    </row>
    <row r="1218" spans="1:18" hidden="1" x14ac:dyDescent="0.25">
      <c r="A1218" s="29" t="s">
        <v>4553</v>
      </c>
      <c r="B1218" s="29" t="s">
        <v>4552</v>
      </c>
      <c r="C1218" s="29" t="s">
        <v>560</v>
      </c>
      <c r="D1218" s="29" t="str">
        <f>VLOOKUP(C:C,'COUNT-CONT'!B:C,2,FALSE)</f>
        <v>Europe</v>
      </c>
      <c r="E1218" s="29">
        <v>9</v>
      </c>
      <c r="F1218" s="28">
        <v>3257</v>
      </c>
      <c r="G1218" s="28">
        <v>4789734111</v>
      </c>
      <c r="H1218" s="29">
        <v>17.41</v>
      </c>
      <c r="I1218" s="142">
        <v>-62.03</v>
      </c>
      <c r="J1218" s="29">
        <v>14.18</v>
      </c>
      <c r="K1218" s="29">
        <v>14.18</v>
      </c>
      <c r="L1218" s="29">
        <v>22.91</v>
      </c>
      <c r="M1218" s="368"/>
      <c r="N1218" s="368"/>
      <c r="O1218" s="271">
        <f>IFERROR(Table17[[#This Row],[PROFIT]]/Table17[[#This Row],[TO]],0)</f>
        <v>0</v>
      </c>
      <c r="P1218" s="177"/>
      <c r="Q1218" s="177"/>
      <c r="R1218" s="177"/>
    </row>
    <row r="1219" spans="1:18" ht="45" hidden="1" x14ac:dyDescent="0.25">
      <c r="A1219" s="29" t="s">
        <v>2806</v>
      </c>
      <c r="B1219" s="29" t="s">
        <v>2805</v>
      </c>
      <c r="C1219" s="29" t="s">
        <v>714</v>
      </c>
      <c r="D1219" s="29" t="str">
        <f>VLOOKUP(C:C,'COUNT-CONT'!B:C,2,FALSE)</f>
        <v>South America</v>
      </c>
      <c r="E1219" s="29">
        <v>7</v>
      </c>
      <c r="F1219" s="28">
        <v>2534</v>
      </c>
      <c r="G1219" s="28">
        <v>3439796290</v>
      </c>
      <c r="H1219" s="29">
        <v>17.41</v>
      </c>
      <c r="I1219" s="142">
        <v>-62.03</v>
      </c>
      <c r="J1219" s="29">
        <v>5.26</v>
      </c>
      <c r="K1219" s="29">
        <v>3.96</v>
      </c>
      <c r="L1219" s="29">
        <v>13.21</v>
      </c>
      <c r="M1219" s="368"/>
      <c r="N1219" s="368"/>
      <c r="O1219" s="271">
        <f>IFERROR(Table17[[#This Row],[PROFIT]]/Table17[[#This Row],[TO]],0)</f>
        <v>0</v>
      </c>
      <c r="P1219" s="177"/>
      <c r="Q1219" s="177"/>
      <c r="R1219" s="177"/>
    </row>
    <row r="1220" spans="1:18" ht="30" hidden="1" x14ac:dyDescent="0.25">
      <c r="A1220" s="29" t="s">
        <v>4558</v>
      </c>
      <c r="B1220" s="29" t="s">
        <v>4557</v>
      </c>
      <c r="C1220" s="29" t="s">
        <v>11732</v>
      </c>
      <c r="D1220" s="29" t="str">
        <f>VLOOKUP(C:C,'COUNT-CONT'!B:C,2,FALSE)</f>
        <v>North America</v>
      </c>
      <c r="E1220" s="29">
        <v>6</v>
      </c>
      <c r="F1220" s="28">
        <v>2586</v>
      </c>
      <c r="G1220" s="28">
        <v>4815567362</v>
      </c>
      <c r="H1220" s="29">
        <v>17.41</v>
      </c>
      <c r="I1220" s="142">
        <v>-62.03</v>
      </c>
      <c r="J1220" s="29">
        <v>14.21</v>
      </c>
      <c r="K1220" s="29">
        <v>14.21</v>
      </c>
      <c r="L1220" s="29">
        <v>22.94</v>
      </c>
      <c r="M1220" s="368"/>
      <c r="N1220" s="368"/>
      <c r="O1220" s="271">
        <f>IFERROR(Table17[[#This Row],[PROFIT]]/Table17[[#This Row],[TO]],0)</f>
        <v>0</v>
      </c>
      <c r="P1220" s="177"/>
      <c r="Q1220" s="177"/>
      <c r="R1220" s="177"/>
    </row>
    <row r="1221" spans="1:18" hidden="1" x14ac:dyDescent="0.25">
      <c r="A1221" s="29" t="s">
        <v>3156</v>
      </c>
      <c r="B1221" s="29" t="s">
        <v>3155</v>
      </c>
      <c r="C1221" s="29" t="s">
        <v>14</v>
      </c>
      <c r="D1221" s="29" t="str">
        <f>VLOOKUP(C:C,'COUNT-CONT'!B:C,2,FALSE)</f>
        <v>Asia</v>
      </c>
      <c r="E1221" s="29">
        <v>6</v>
      </c>
      <c r="F1221" s="28">
        <v>2433</v>
      </c>
      <c r="G1221" s="28">
        <v>3545116728</v>
      </c>
      <c r="H1221" s="29">
        <v>17.38</v>
      </c>
      <c r="I1221" s="142">
        <v>-62.06</v>
      </c>
      <c r="J1221" s="29">
        <v>6.77</v>
      </c>
      <c r="K1221" s="29">
        <v>5.59</v>
      </c>
      <c r="L1221" s="29">
        <v>14.75</v>
      </c>
      <c r="M1221" s="368"/>
      <c r="N1221" s="368"/>
      <c r="O1221" s="271">
        <f>IFERROR(Table17[[#This Row],[PROFIT]]/Table17[[#This Row],[TO]],0)</f>
        <v>0</v>
      </c>
      <c r="P1221" s="177"/>
      <c r="Q1221" s="177"/>
      <c r="R1221" s="177"/>
    </row>
    <row r="1222" spans="1:18" hidden="1" x14ac:dyDescent="0.25">
      <c r="A1222" s="29" t="s">
        <v>4003</v>
      </c>
      <c r="B1222" s="29" t="s">
        <v>4002</v>
      </c>
      <c r="C1222" s="29" t="s">
        <v>1427</v>
      </c>
      <c r="D1222" s="29" t="str">
        <f>VLOOKUP(C:C,'COUNT-CONT'!B:C,2,FALSE)</f>
        <v>Europe</v>
      </c>
      <c r="E1222" s="29">
        <v>8</v>
      </c>
      <c r="F1222" s="28">
        <v>3057</v>
      </c>
      <c r="G1222" s="28">
        <v>4150329898</v>
      </c>
      <c r="H1222" s="29">
        <v>17.38</v>
      </c>
      <c r="I1222" s="142">
        <v>-62.06</v>
      </c>
      <c r="J1222" s="29">
        <v>10.58</v>
      </c>
      <c r="K1222" s="29">
        <v>9.82</v>
      </c>
      <c r="L1222" s="29">
        <v>18.89</v>
      </c>
      <c r="M1222" s="368"/>
      <c r="N1222" s="368"/>
      <c r="O1222" s="271">
        <f>IFERROR(Table17[[#This Row],[PROFIT]]/Table17[[#This Row],[TO]],0)</f>
        <v>0</v>
      </c>
      <c r="P1222" s="177"/>
      <c r="Q1222" s="177"/>
      <c r="R1222" s="177"/>
    </row>
    <row r="1223" spans="1:18" ht="30" x14ac:dyDescent="0.25">
      <c r="A1223" s="29" t="s">
        <v>2934</v>
      </c>
      <c r="B1223" s="29" t="s">
        <v>2933</v>
      </c>
      <c r="C1223" s="29" t="s">
        <v>523</v>
      </c>
      <c r="D1223" s="29" t="str">
        <f>VLOOKUP(C:C,'COUNT-CONT'!B:C,2,FALSE)</f>
        <v>Oceania</v>
      </c>
      <c r="E1223" s="29">
        <v>1</v>
      </c>
      <c r="F1223" s="28">
        <v>1108</v>
      </c>
      <c r="G1223" s="28">
        <v>3861579783</v>
      </c>
      <c r="H1223" s="29">
        <v>17.38</v>
      </c>
      <c r="I1223" s="142">
        <v>-62.06</v>
      </c>
      <c r="J1223" s="29">
        <v>5.77</v>
      </c>
      <c r="K1223" s="29">
        <v>4.41</v>
      </c>
      <c r="L1223" s="29">
        <v>13.81</v>
      </c>
      <c r="M1223" s="368"/>
      <c r="N1223" s="368"/>
      <c r="O1223" s="271">
        <f>IFERROR(Table17[[#This Row],[PROFIT]]/Table17[[#This Row],[TO]],0)</f>
        <v>0</v>
      </c>
      <c r="P1223" s="177"/>
      <c r="Q1223" s="177"/>
      <c r="R1223" s="177"/>
    </row>
    <row r="1224" spans="1:18" hidden="1" x14ac:dyDescent="0.25">
      <c r="A1224" s="29" t="s">
        <v>2846</v>
      </c>
      <c r="B1224" s="29" t="s">
        <v>2845</v>
      </c>
      <c r="C1224" s="29" t="s">
        <v>700</v>
      </c>
      <c r="D1224" s="29" t="str">
        <f>VLOOKUP(C:C,'COUNT-CONT'!B:C,2,FALSE)</f>
        <v>Asia</v>
      </c>
      <c r="E1224" s="29">
        <v>10</v>
      </c>
      <c r="F1224" s="28">
        <v>3574</v>
      </c>
      <c r="G1224" s="28">
        <v>3365678399</v>
      </c>
      <c r="H1224" s="29">
        <v>17.38</v>
      </c>
      <c r="I1224" s="142">
        <v>-62.06</v>
      </c>
      <c r="J1224" s="29">
        <v>5.35</v>
      </c>
      <c r="K1224" s="29">
        <v>3.99</v>
      </c>
      <c r="L1224" s="29">
        <v>13.39</v>
      </c>
      <c r="M1224" s="368"/>
      <c r="N1224" s="368"/>
      <c r="O1224" s="271">
        <f>IFERROR(Table17[[#This Row],[PROFIT]]/Table17[[#This Row],[TO]],0)</f>
        <v>0</v>
      </c>
      <c r="P1224" s="177"/>
      <c r="Q1224" s="177"/>
      <c r="R1224" s="177"/>
    </row>
    <row r="1225" spans="1:18" hidden="1" x14ac:dyDescent="0.25">
      <c r="A1225" s="29" t="s">
        <v>3809</v>
      </c>
      <c r="B1225" s="29" t="s">
        <v>3808</v>
      </c>
      <c r="C1225" s="29" t="s">
        <v>585</v>
      </c>
      <c r="D1225" s="29" t="str">
        <f>VLOOKUP(C:C,'COUNT-CONT'!B:C,2,FALSE)</f>
        <v>Europe</v>
      </c>
      <c r="E1225" s="29">
        <v>6</v>
      </c>
      <c r="F1225" s="28">
        <v>2549</v>
      </c>
      <c r="G1225" s="28">
        <v>4033741781</v>
      </c>
      <c r="H1225" s="29">
        <v>17.38</v>
      </c>
      <c r="I1225" s="142">
        <v>-62.06</v>
      </c>
      <c r="J1225" s="29">
        <v>9.5500000000000007</v>
      </c>
      <c r="K1225" s="29">
        <v>8.86</v>
      </c>
      <c r="L1225" s="29">
        <v>17.739999999999998</v>
      </c>
      <c r="M1225" s="368"/>
      <c r="N1225" s="368"/>
      <c r="O1225" s="271">
        <f>IFERROR(Table17[[#This Row],[PROFIT]]/Table17[[#This Row],[TO]],0)</f>
        <v>0</v>
      </c>
      <c r="P1225" s="177"/>
      <c r="Q1225" s="177"/>
      <c r="R1225" s="177"/>
    </row>
    <row r="1226" spans="1:18" hidden="1" x14ac:dyDescent="0.25">
      <c r="A1226" s="29" t="s">
        <v>4009</v>
      </c>
      <c r="B1226" s="29" t="s">
        <v>4008</v>
      </c>
      <c r="C1226" s="29" t="s">
        <v>308</v>
      </c>
      <c r="D1226" s="29" t="str">
        <f>VLOOKUP(C:C,'COUNT-CONT'!B:C,2,FALSE)</f>
        <v>Europe</v>
      </c>
      <c r="E1226" s="29">
        <v>6</v>
      </c>
      <c r="F1226" s="28">
        <v>2480</v>
      </c>
      <c r="G1226" s="28">
        <v>4194348387</v>
      </c>
      <c r="H1226" s="29">
        <v>17.38</v>
      </c>
      <c r="I1226" s="142">
        <v>-62.06</v>
      </c>
      <c r="J1226" s="29">
        <v>10.58</v>
      </c>
      <c r="K1226" s="29">
        <v>10.220000000000001</v>
      </c>
      <c r="L1226" s="29">
        <v>18.920000000000002</v>
      </c>
      <c r="M1226" s="368"/>
      <c r="N1226" s="368"/>
      <c r="O1226" s="271">
        <f>IFERROR(Table17[[#This Row],[PROFIT]]/Table17[[#This Row],[TO]],0)</f>
        <v>0</v>
      </c>
      <c r="P1226" s="177"/>
      <c r="Q1226" s="177"/>
      <c r="R1226" s="177"/>
    </row>
    <row r="1227" spans="1:18" ht="30" hidden="1" x14ac:dyDescent="0.25">
      <c r="A1227" s="29" t="s">
        <v>3150</v>
      </c>
      <c r="B1227" s="29" t="s">
        <v>3149</v>
      </c>
      <c r="C1227" s="29" t="s">
        <v>517</v>
      </c>
      <c r="D1227" s="29" t="str">
        <f>VLOOKUP(C:C,'COUNT-CONT'!B:C,2,FALSE)</f>
        <v>South America</v>
      </c>
      <c r="E1227" s="29">
        <v>2</v>
      </c>
      <c r="F1227" s="28">
        <v>1429</v>
      </c>
      <c r="G1227" s="28">
        <v>3760169069</v>
      </c>
      <c r="H1227" s="29">
        <v>17.350000000000001</v>
      </c>
      <c r="I1227" s="142">
        <v>-62.089999999999996</v>
      </c>
      <c r="J1227" s="29">
        <v>6.77</v>
      </c>
      <c r="K1227" s="29">
        <v>5.59</v>
      </c>
      <c r="L1227" s="29">
        <v>14.72</v>
      </c>
      <c r="M1227" s="368"/>
      <c r="N1227" s="368"/>
      <c r="O1227" s="271">
        <f>IFERROR(Table17[[#This Row],[PROFIT]]/Table17[[#This Row],[TO]],0)</f>
        <v>0</v>
      </c>
      <c r="P1227" s="177"/>
      <c r="Q1227" s="177"/>
      <c r="R1227" s="177"/>
    </row>
    <row r="1228" spans="1:18" ht="30" hidden="1" x14ac:dyDescent="0.25">
      <c r="A1228" s="29" t="s">
        <v>4541</v>
      </c>
      <c r="B1228" s="29" t="s">
        <v>4540</v>
      </c>
      <c r="C1228" s="29" t="s">
        <v>11732</v>
      </c>
      <c r="D1228" s="29" t="str">
        <f>VLOOKUP(C:C,'COUNT-CONT'!B:C,2,FALSE)</f>
        <v>North America</v>
      </c>
      <c r="E1228" s="29">
        <v>6</v>
      </c>
      <c r="F1228" s="28">
        <v>2541</v>
      </c>
      <c r="G1228" s="28">
        <v>4806300432</v>
      </c>
      <c r="H1228" s="29">
        <v>17.350000000000001</v>
      </c>
      <c r="I1228" s="142">
        <v>-62.089999999999996</v>
      </c>
      <c r="J1228" s="29">
        <v>14.15</v>
      </c>
      <c r="K1228" s="29">
        <v>14.15</v>
      </c>
      <c r="L1228" s="29">
        <v>22.82</v>
      </c>
      <c r="M1228" s="368"/>
      <c r="N1228" s="368"/>
      <c r="O1228" s="271">
        <f>IFERROR(Table17[[#This Row],[PROFIT]]/Table17[[#This Row],[TO]],0)</f>
        <v>0</v>
      </c>
      <c r="P1228" s="177"/>
      <c r="Q1228" s="177"/>
      <c r="R1228" s="177"/>
    </row>
    <row r="1229" spans="1:18" hidden="1" x14ac:dyDescent="0.25">
      <c r="A1229" s="29" t="s">
        <v>3757</v>
      </c>
      <c r="B1229" s="29" t="s">
        <v>3756</v>
      </c>
      <c r="C1229" s="29" t="s">
        <v>142</v>
      </c>
      <c r="D1229" s="29" t="str">
        <f>VLOOKUP(C:C,'COUNT-CONT'!B:C,2,FALSE)</f>
        <v>Asia</v>
      </c>
      <c r="E1229" s="29">
        <v>2</v>
      </c>
      <c r="F1229" s="28">
        <v>1527</v>
      </c>
      <c r="G1229" s="28">
        <v>4172966732</v>
      </c>
      <c r="H1229" s="29">
        <v>17.350000000000001</v>
      </c>
      <c r="I1229" s="142">
        <v>-62.089999999999996</v>
      </c>
      <c r="J1229" s="29">
        <v>9.3699999999999992</v>
      </c>
      <c r="K1229" s="29">
        <v>8.31</v>
      </c>
      <c r="L1229" s="29">
        <v>17.350000000000001</v>
      </c>
      <c r="M1229" s="368"/>
      <c r="N1229" s="368"/>
      <c r="O1229" s="271">
        <f>IFERROR(Table17[[#This Row],[PROFIT]]/Table17[[#This Row],[TO]],0)</f>
        <v>0</v>
      </c>
      <c r="P1229" s="177"/>
      <c r="Q1229" s="177"/>
      <c r="R1229" s="177"/>
    </row>
    <row r="1230" spans="1:18" ht="30" hidden="1" x14ac:dyDescent="0.25">
      <c r="A1230" s="29" t="s">
        <v>4136</v>
      </c>
      <c r="B1230" s="29" t="s">
        <v>4135</v>
      </c>
      <c r="C1230" s="29" t="s">
        <v>514</v>
      </c>
      <c r="D1230" s="29" t="str">
        <f>VLOOKUP(C:C,'COUNT-CONT'!B:C,2,FALSE)</f>
        <v>North America</v>
      </c>
      <c r="E1230" s="29">
        <v>9</v>
      </c>
      <c r="F1230" s="28">
        <v>3297</v>
      </c>
      <c r="G1230" s="28">
        <v>4269836639</v>
      </c>
      <c r="H1230" s="29">
        <v>17.350000000000001</v>
      </c>
      <c r="I1230" s="142">
        <v>-62.089999999999996</v>
      </c>
      <c r="J1230" s="29">
        <v>11.43</v>
      </c>
      <c r="K1230" s="29">
        <v>11.03</v>
      </c>
      <c r="L1230" s="29">
        <v>19.739999999999998</v>
      </c>
      <c r="M1230" s="368"/>
      <c r="N1230" s="368"/>
      <c r="O1230" s="271">
        <f>IFERROR(Table17[[#This Row],[PROFIT]]/Table17[[#This Row],[TO]],0)</f>
        <v>0</v>
      </c>
      <c r="P1230" s="177"/>
      <c r="Q1230" s="177"/>
      <c r="R1230" s="177"/>
    </row>
    <row r="1231" spans="1:18" ht="30" hidden="1" x14ac:dyDescent="0.25">
      <c r="A1231" s="29" t="s">
        <v>3992</v>
      </c>
      <c r="B1231" s="29" t="s">
        <v>3991</v>
      </c>
      <c r="C1231" s="29" t="s">
        <v>1946</v>
      </c>
      <c r="D1231" s="29" t="str">
        <f>VLOOKUP(C:C,'COUNT-CONT'!B:C,2,FALSE)</f>
        <v>North America</v>
      </c>
      <c r="E1231" s="29">
        <v>10</v>
      </c>
      <c r="F1231" s="28">
        <v>3657</v>
      </c>
      <c r="G1231" s="28">
        <v>4153692999</v>
      </c>
      <c r="H1231" s="29">
        <v>17.32</v>
      </c>
      <c r="I1231" s="142">
        <v>-62.12</v>
      </c>
      <c r="J1231" s="29">
        <v>10.52</v>
      </c>
      <c r="K1231" s="29">
        <v>10.16</v>
      </c>
      <c r="L1231" s="29">
        <v>18.829999999999998</v>
      </c>
      <c r="M1231" s="368"/>
      <c r="N1231" s="368"/>
      <c r="O1231" s="271">
        <f>IFERROR(Table17[[#This Row],[PROFIT]]/Table17[[#This Row],[TO]],0)</f>
        <v>0</v>
      </c>
      <c r="P1231" s="177"/>
      <c r="Q1231" s="177"/>
      <c r="R1231" s="177"/>
    </row>
    <row r="1232" spans="1:18" hidden="1" x14ac:dyDescent="0.25">
      <c r="A1232" s="29" t="s">
        <v>2288</v>
      </c>
      <c r="B1232" s="29" t="s">
        <v>2287</v>
      </c>
      <c r="C1232" s="29" t="s">
        <v>867</v>
      </c>
      <c r="D1232" s="29" t="str">
        <f>VLOOKUP(C:C,'COUNT-CONT'!B:C,2,FALSE)</f>
        <v>Asia</v>
      </c>
      <c r="E1232" s="29">
        <v>3</v>
      </c>
      <c r="F1232" s="28">
        <v>1519</v>
      </c>
      <c r="G1232" s="28">
        <v>3374360631</v>
      </c>
      <c r="H1232" s="29">
        <v>17.32</v>
      </c>
      <c r="I1232" s="142">
        <v>-62.12</v>
      </c>
      <c r="J1232" s="29">
        <v>3.63</v>
      </c>
      <c r="K1232" s="29">
        <v>2.0299999999999998</v>
      </c>
      <c r="L1232" s="29">
        <v>11.4</v>
      </c>
      <c r="M1232" s="368"/>
      <c r="N1232" s="368"/>
      <c r="O1232" s="271">
        <f>IFERROR(Table17[[#This Row],[PROFIT]]/Table17[[#This Row],[TO]],0)</f>
        <v>0</v>
      </c>
      <c r="P1232" s="177"/>
      <c r="Q1232" s="177"/>
      <c r="R1232" s="177"/>
    </row>
    <row r="1233" spans="1:18" x14ac:dyDescent="0.25">
      <c r="A1233" s="29" t="s">
        <v>3262</v>
      </c>
      <c r="B1233" s="29" t="s">
        <v>3261</v>
      </c>
      <c r="C1233" s="29" t="s">
        <v>730</v>
      </c>
      <c r="D1233" s="29" t="str">
        <f>VLOOKUP(C:C,'COUNT-CONT'!B:C,2,FALSE)</f>
        <v>Oceania</v>
      </c>
      <c r="E1233" s="29">
        <v>4</v>
      </c>
      <c r="F1233" s="28">
        <v>1894</v>
      </c>
      <c r="G1233" s="28">
        <v>3807181414</v>
      </c>
      <c r="H1233" s="29">
        <v>17.32</v>
      </c>
      <c r="I1233" s="142">
        <v>-62.12</v>
      </c>
      <c r="J1233" s="29">
        <v>7.29</v>
      </c>
      <c r="K1233" s="29">
        <v>6.08</v>
      </c>
      <c r="L1233" s="29">
        <v>15.21</v>
      </c>
      <c r="M1233" s="368"/>
      <c r="N1233" s="368"/>
      <c r="O1233" s="271">
        <f>IFERROR(Table17[[#This Row],[PROFIT]]/Table17[[#This Row],[TO]],0)</f>
        <v>0</v>
      </c>
      <c r="P1233" s="177"/>
      <c r="Q1233" s="177"/>
      <c r="R1233" s="177"/>
    </row>
    <row r="1234" spans="1:18" ht="30" hidden="1" x14ac:dyDescent="0.25">
      <c r="A1234" s="29" t="s">
        <v>3186</v>
      </c>
      <c r="B1234" s="29" t="s">
        <v>3185</v>
      </c>
      <c r="C1234" s="29" t="s">
        <v>860</v>
      </c>
      <c r="D1234" s="29" t="str">
        <f>VLOOKUP(C:C,'COUNT-CONT'!B:C,2,FALSE)</f>
        <v>South America</v>
      </c>
      <c r="E1234" s="29">
        <v>5</v>
      </c>
      <c r="F1234" s="28">
        <v>2171</v>
      </c>
      <c r="G1234" s="28">
        <v>3596078949</v>
      </c>
      <c r="H1234" s="29">
        <v>17.29</v>
      </c>
      <c r="I1234" s="142">
        <v>-62.15</v>
      </c>
      <c r="J1234" s="29">
        <v>6.86</v>
      </c>
      <c r="K1234" s="29">
        <v>5.65</v>
      </c>
      <c r="L1234" s="29">
        <v>14.9</v>
      </c>
      <c r="M1234" s="368"/>
      <c r="N1234" s="368"/>
      <c r="O1234" s="271">
        <f>IFERROR(Table17[[#This Row],[PROFIT]]/Table17[[#This Row],[TO]],0)</f>
        <v>0</v>
      </c>
      <c r="P1234" s="177"/>
      <c r="Q1234" s="177"/>
      <c r="R1234" s="177"/>
    </row>
    <row r="1235" spans="1:18" hidden="1" x14ac:dyDescent="0.25">
      <c r="A1235" s="29" t="s">
        <v>2282</v>
      </c>
      <c r="B1235" s="29" t="s">
        <v>2281</v>
      </c>
      <c r="C1235" s="29" t="s">
        <v>867</v>
      </c>
      <c r="D1235" s="29" t="str">
        <f>VLOOKUP(C:C,'COUNT-CONT'!B:C,2,FALSE)</f>
        <v>Asia</v>
      </c>
      <c r="E1235" s="29">
        <v>2</v>
      </c>
      <c r="F1235" s="28">
        <v>1429</v>
      </c>
      <c r="G1235" s="28">
        <v>3407769069</v>
      </c>
      <c r="H1235" s="29">
        <v>17.29</v>
      </c>
      <c r="I1235" s="142">
        <v>-62.15</v>
      </c>
      <c r="J1235" s="29">
        <v>3.63</v>
      </c>
      <c r="K1235" s="29">
        <v>2.0299999999999998</v>
      </c>
      <c r="L1235" s="29">
        <v>11.37</v>
      </c>
      <c r="M1235" s="368"/>
      <c r="N1235" s="368"/>
      <c r="O1235" s="271">
        <f>IFERROR(Table17[[#This Row],[PROFIT]]/Table17[[#This Row],[TO]],0)</f>
        <v>0</v>
      </c>
      <c r="P1235" s="177"/>
      <c r="Q1235" s="177"/>
      <c r="R1235" s="177"/>
    </row>
    <row r="1236" spans="1:18" hidden="1" x14ac:dyDescent="0.25">
      <c r="A1236" s="29" t="s">
        <v>3137</v>
      </c>
      <c r="B1236" s="29" t="s">
        <v>3136</v>
      </c>
      <c r="C1236" s="29" t="s">
        <v>14</v>
      </c>
      <c r="D1236" s="29" t="str">
        <f>VLOOKUP(C:C,'COUNT-CONT'!B:C,2,FALSE)</f>
        <v>Asia</v>
      </c>
      <c r="E1236" s="29">
        <v>5</v>
      </c>
      <c r="F1236" s="28">
        <v>2220</v>
      </c>
      <c r="G1236" s="28">
        <v>3554695495</v>
      </c>
      <c r="H1236" s="29">
        <v>17.29</v>
      </c>
      <c r="I1236" s="142">
        <v>-62.15</v>
      </c>
      <c r="J1236" s="29">
        <v>6.74</v>
      </c>
      <c r="K1236" s="29">
        <v>5.56</v>
      </c>
      <c r="L1236" s="29">
        <v>14.66</v>
      </c>
      <c r="M1236" s="368"/>
      <c r="N1236" s="368"/>
      <c r="O1236" s="271">
        <f>IFERROR(Table17[[#This Row],[PROFIT]]/Table17[[#This Row],[TO]],0)</f>
        <v>0</v>
      </c>
      <c r="P1236" s="177"/>
      <c r="Q1236" s="177"/>
      <c r="R1236" s="177"/>
    </row>
    <row r="1237" spans="1:18" hidden="1" x14ac:dyDescent="0.25">
      <c r="A1237" s="29" t="s">
        <v>3125</v>
      </c>
      <c r="B1237" s="29" t="s">
        <v>3124</v>
      </c>
      <c r="C1237" s="29" t="s">
        <v>14</v>
      </c>
      <c r="D1237" s="29" t="str">
        <f>VLOOKUP(C:C,'COUNT-CONT'!B:C,2,FALSE)</f>
        <v>Asia</v>
      </c>
      <c r="E1237" s="29">
        <v>4</v>
      </c>
      <c r="F1237" s="28">
        <v>1776</v>
      </c>
      <c r="G1237" s="28">
        <v>3632969369</v>
      </c>
      <c r="H1237" s="29">
        <v>17.260000000000002</v>
      </c>
      <c r="I1237" s="142">
        <v>-62.179999999999993</v>
      </c>
      <c r="J1237" s="29">
        <v>6.71</v>
      </c>
      <c r="K1237" s="29">
        <v>5.56</v>
      </c>
      <c r="L1237" s="29">
        <v>14.63</v>
      </c>
      <c r="M1237" s="368"/>
      <c r="N1237" s="368"/>
      <c r="O1237" s="271">
        <f>IFERROR(Table17[[#This Row],[PROFIT]]/Table17[[#This Row],[TO]],0)</f>
        <v>0</v>
      </c>
      <c r="P1237" s="177"/>
      <c r="Q1237" s="177"/>
      <c r="R1237" s="177"/>
    </row>
    <row r="1238" spans="1:18" ht="30" x14ac:dyDescent="0.25">
      <c r="A1238" s="29" t="s">
        <v>2280</v>
      </c>
      <c r="B1238" s="29" t="s">
        <v>2279</v>
      </c>
      <c r="C1238" s="29" t="s">
        <v>1865</v>
      </c>
      <c r="D1238" s="29" t="str">
        <f>VLOOKUP(C:C,'COUNT-CONT'!B:C,2,FALSE)</f>
        <v>Oceania</v>
      </c>
      <c r="E1238" s="29">
        <v>3</v>
      </c>
      <c r="F1238" s="28">
        <v>1710</v>
      </c>
      <c r="G1238" s="28">
        <v>3291074853</v>
      </c>
      <c r="H1238" s="29">
        <v>17.23</v>
      </c>
      <c r="I1238" s="142">
        <v>-62.209999999999994</v>
      </c>
      <c r="J1238" s="29">
        <v>3.63</v>
      </c>
      <c r="K1238" s="29">
        <v>2.0299999999999998</v>
      </c>
      <c r="L1238" s="29">
        <v>11.34</v>
      </c>
      <c r="M1238" s="368"/>
      <c r="N1238" s="368"/>
      <c r="O1238" s="271">
        <f>IFERROR(Table17[[#This Row],[PROFIT]]/Table17[[#This Row],[TO]],0)</f>
        <v>0</v>
      </c>
      <c r="P1238" s="177"/>
      <c r="Q1238" s="177"/>
      <c r="R1238" s="177"/>
    </row>
    <row r="1239" spans="1:18" ht="30" hidden="1" x14ac:dyDescent="0.25">
      <c r="A1239" s="29" t="s">
        <v>4522</v>
      </c>
      <c r="B1239" s="29" t="s">
        <v>4521</v>
      </c>
      <c r="C1239" s="29" t="s">
        <v>11732</v>
      </c>
      <c r="D1239" s="29" t="str">
        <f>VLOOKUP(C:C,'COUNT-CONT'!B:C,2,FALSE)</f>
        <v>North America</v>
      </c>
      <c r="E1239" s="29">
        <v>7</v>
      </c>
      <c r="F1239" s="28">
        <v>2760</v>
      </c>
      <c r="G1239" s="28">
        <v>4769150724</v>
      </c>
      <c r="H1239" s="29">
        <v>17.2</v>
      </c>
      <c r="I1239" s="142">
        <v>-62.239999999999995</v>
      </c>
      <c r="J1239" s="29">
        <v>14.03</v>
      </c>
      <c r="K1239" s="29">
        <v>14.03</v>
      </c>
      <c r="L1239" s="29">
        <v>22.64</v>
      </c>
      <c r="M1239" s="368"/>
      <c r="N1239" s="368"/>
      <c r="O1239" s="271">
        <f>IFERROR(Table17[[#This Row],[PROFIT]]/Table17[[#This Row],[TO]],0)</f>
        <v>0</v>
      </c>
      <c r="P1239" s="177"/>
      <c r="Q1239" s="177"/>
      <c r="R1239" s="177"/>
    </row>
    <row r="1240" spans="1:18" hidden="1" x14ac:dyDescent="0.25">
      <c r="A1240" s="29" t="s">
        <v>3735</v>
      </c>
      <c r="B1240" s="29" t="s">
        <v>3734</v>
      </c>
      <c r="C1240" s="29" t="s">
        <v>3733</v>
      </c>
      <c r="D1240" s="29" t="str">
        <f>VLOOKUP(C:C,'COUNT-CONT'!B:C,2,FALSE)</f>
        <v>Europe</v>
      </c>
      <c r="E1240" s="29">
        <v>4</v>
      </c>
      <c r="F1240" s="28">
        <v>1861</v>
      </c>
      <c r="G1240" s="28">
        <v>3979180064</v>
      </c>
      <c r="H1240" s="29">
        <v>17.2</v>
      </c>
      <c r="I1240" s="142">
        <v>-62.239999999999995</v>
      </c>
      <c r="J1240" s="29">
        <v>8.92</v>
      </c>
      <c r="K1240" s="29">
        <v>8.25</v>
      </c>
      <c r="L1240" s="29">
        <v>17.2</v>
      </c>
      <c r="M1240" s="368"/>
      <c r="N1240" s="368"/>
      <c r="O1240" s="271">
        <f>IFERROR(Table17[[#This Row],[PROFIT]]/Table17[[#This Row],[TO]],0)</f>
        <v>0</v>
      </c>
      <c r="P1240" s="177"/>
      <c r="Q1240" s="177"/>
      <c r="R1240" s="177"/>
    </row>
    <row r="1241" spans="1:18" ht="30" hidden="1" x14ac:dyDescent="0.25">
      <c r="A1241" s="29" t="s">
        <v>3958</v>
      </c>
      <c r="B1241" s="29" t="s">
        <v>3957</v>
      </c>
      <c r="C1241" s="29" t="s">
        <v>83</v>
      </c>
      <c r="D1241" s="29" t="str">
        <f>VLOOKUP(C:C,'COUNT-CONT'!B:C,2,FALSE)</f>
        <v>Europe</v>
      </c>
      <c r="E1241" s="29">
        <v>4</v>
      </c>
      <c r="F1241" s="28">
        <v>2015</v>
      </c>
      <c r="G1241" s="28">
        <v>4206205707</v>
      </c>
      <c r="H1241" s="29">
        <v>17.2</v>
      </c>
      <c r="I1241" s="142">
        <v>-62.239999999999995</v>
      </c>
      <c r="J1241" s="29">
        <v>10.46</v>
      </c>
      <c r="K1241" s="29">
        <v>9.6999999999999993</v>
      </c>
      <c r="L1241" s="29">
        <v>18.68</v>
      </c>
      <c r="M1241" s="368"/>
      <c r="N1241" s="368"/>
      <c r="O1241" s="271">
        <f>IFERROR(Table17[[#This Row],[PROFIT]]/Table17[[#This Row],[TO]],0)</f>
        <v>0</v>
      </c>
      <c r="P1241" s="177"/>
      <c r="Q1241" s="177"/>
      <c r="R1241" s="177"/>
    </row>
    <row r="1242" spans="1:18" x14ac:dyDescent="0.25">
      <c r="A1242" s="29" t="s">
        <v>3541</v>
      </c>
      <c r="B1242" s="29" t="s">
        <v>3540</v>
      </c>
      <c r="C1242" s="29" t="s">
        <v>730</v>
      </c>
      <c r="D1242" s="29" t="str">
        <f>VLOOKUP(C:C,'COUNT-CONT'!B:C,2,FALSE)</f>
        <v>Oceania</v>
      </c>
      <c r="E1242" s="29">
        <v>2</v>
      </c>
      <c r="F1242" s="28">
        <v>1328</v>
      </c>
      <c r="G1242" s="28">
        <v>4113113253</v>
      </c>
      <c r="H1242" s="29">
        <v>17.2</v>
      </c>
      <c r="I1242" s="142">
        <v>-62.239999999999995</v>
      </c>
      <c r="J1242" s="29">
        <v>8.1</v>
      </c>
      <c r="K1242" s="29">
        <v>7.13</v>
      </c>
      <c r="L1242" s="29">
        <v>16.23</v>
      </c>
      <c r="M1242" s="368"/>
      <c r="N1242" s="368"/>
      <c r="O1242" s="271">
        <f>IFERROR(Table17[[#This Row],[PROFIT]]/Table17[[#This Row],[TO]],0)</f>
        <v>0</v>
      </c>
      <c r="P1242" s="177"/>
      <c r="Q1242" s="177"/>
      <c r="R1242" s="177"/>
    </row>
    <row r="1243" spans="1:18" ht="30" hidden="1" x14ac:dyDescent="0.25">
      <c r="A1243" s="29" t="s">
        <v>3390</v>
      </c>
      <c r="B1243" s="29" t="s">
        <v>3389</v>
      </c>
      <c r="C1243" s="29" t="s">
        <v>1749</v>
      </c>
      <c r="D1243" s="29" t="str">
        <f>VLOOKUP(C:C,'COUNT-CONT'!B:C,2,FALSE)</f>
        <v>North America</v>
      </c>
      <c r="E1243" s="29">
        <v>4</v>
      </c>
      <c r="F1243" s="28">
        <v>1926</v>
      </c>
      <c r="G1243" s="28">
        <v>3731831879</v>
      </c>
      <c r="H1243" s="29">
        <v>17.2</v>
      </c>
      <c r="I1243" s="142">
        <v>-62.239999999999995</v>
      </c>
      <c r="J1243" s="29">
        <v>7.8</v>
      </c>
      <c r="K1243" s="29">
        <v>6.56</v>
      </c>
      <c r="L1243" s="29">
        <v>15.63</v>
      </c>
      <c r="M1243" s="368"/>
      <c r="N1243" s="368"/>
      <c r="O1243" s="271">
        <f>IFERROR(Table17[[#This Row],[PROFIT]]/Table17[[#This Row],[TO]],0)</f>
        <v>0</v>
      </c>
      <c r="P1243" s="177"/>
      <c r="Q1243" s="177"/>
      <c r="R1243" s="177"/>
    </row>
    <row r="1244" spans="1:18" ht="30" hidden="1" x14ac:dyDescent="0.25">
      <c r="A1244" s="29" t="s">
        <v>3167</v>
      </c>
      <c r="B1244" s="29" t="s">
        <v>3166</v>
      </c>
      <c r="C1244" s="29" t="s">
        <v>860</v>
      </c>
      <c r="D1244" s="29" t="str">
        <f>VLOOKUP(C:C,'COUNT-CONT'!B:C,2,FALSE)</f>
        <v>South America</v>
      </c>
      <c r="E1244" s="29">
        <v>2</v>
      </c>
      <c r="F1244" s="28">
        <v>1414</v>
      </c>
      <c r="G1244" s="28">
        <v>3782734936</v>
      </c>
      <c r="H1244" s="29">
        <v>17.2</v>
      </c>
      <c r="I1244" s="142">
        <v>-62.239999999999995</v>
      </c>
      <c r="J1244" s="29">
        <v>6.8</v>
      </c>
      <c r="K1244" s="29">
        <v>5.62</v>
      </c>
      <c r="L1244" s="29">
        <v>14.84</v>
      </c>
      <c r="M1244" s="368"/>
      <c r="N1244" s="368"/>
      <c r="O1244" s="271">
        <f>IFERROR(Table17[[#This Row],[PROFIT]]/Table17[[#This Row],[TO]],0)</f>
        <v>0</v>
      </c>
      <c r="P1244" s="177"/>
      <c r="Q1244" s="177"/>
      <c r="R1244" s="177"/>
    </row>
    <row r="1245" spans="1:18" ht="30" hidden="1" x14ac:dyDescent="0.25">
      <c r="A1245" s="29" t="s">
        <v>3402</v>
      </c>
      <c r="B1245" s="29" t="s">
        <v>3401</v>
      </c>
      <c r="C1245" s="29" t="s">
        <v>530</v>
      </c>
      <c r="D1245" s="29" t="str">
        <f>VLOOKUP(C:C,'COUNT-CONT'!B:C,2,FALSE)</f>
        <v>South America</v>
      </c>
      <c r="E1245" s="29">
        <v>4</v>
      </c>
      <c r="F1245" s="28">
        <v>1822</v>
      </c>
      <c r="G1245" s="28">
        <v>3755732162</v>
      </c>
      <c r="H1245" s="29">
        <v>17.2</v>
      </c>
      <c r="I1245" s="142">
        <v>-62.239999999999995</v>
      </c>
      <c r="J1245" s="29">
        <v>7.5</v>
      </c>
      <c r="K1245" s="29">
        <v>6.56</v>
      </c>
      <c r="L1245" s="29">
        <v>15.66</v>
      </c>
      <c r="M1245" s="368"/>
      <c r="N1245" s="368"/>
      <c r="O1245" s="271">
        <f>IFERROR(Table17[[#This Row],[PROFIT]]/Table17[[#This Row],[TO]],0)</f>
        <v>0</v>
      </c>
      <c r="P1245" s="177"/>
      <c r="Q1245" s="177"/>
      <c r="R1245" s="177"/>
    </row>
    <row r="1246" spans="1:18" hidden="1" x14ac:dyDescent="0.25">
      <c r="A1246" s="29" t="s">
        <v>2462</v>
      </c>
      <c r="B1246" s="29" t="s">
        <v>2461</v>
      </c>
      <c r="C1246" s="29" t="s">
        <v>886</v>
      </c>
      <c r="D1246" s="29" t="str">
        <f>VLOOKUP(C:C,'COUNT-CONT'!B:C,2,FALSE)</f>
        <v>Africa</v>
      </c>
      <c r="E1246" s="29">
        <v>5</v>
      </c>
      <c r="F1246" s="28">
        <v>2229</v>
      </c>
      <c r="G1246" s="28">
        <v>3343094840</v>
      </c>
      <c r="H1246" s="29">
        <v>17.170000000000002</v>
      </c>
      <c r="I1246" s="142">
        <v>-62.269999999999996</v>
      </c>
      <c r="J1246" s="29">
        <v>4.29</v>
      </c>
      <c r="K1246" s="29">
        <v>2.6</v>
      </c>
      <c r="L1246" s="29">
        <v>11.91</v>
      </c>
      <c r="M1246" s="368"/>
      <c r="N1246" s="368"/>
      <c r="O1246" s="271">
        <f>IFERROR(Table17[[#This Row],[PROFIT]]/Table17[[#This Row],[TO]],0)</f>
        <v>0</v>
      </c>
      <c r="P1246" s="177"/>
      <c r="Q1246" s="177"/>
      <c r="R1246" s="177"/>
    </row>
    <row r="1247" spans="1:18" hidden="1" x14ac:dyDescent="0.25">
      <c r="A1247" s="29" t="s">
        <v>2998</v>
      </c>
      <c r="B1247" s="29" t="s">
        <v>2997</v>
      </c>
      <c r="C1247" s="29" t="s">
        <v>78</v>
      </c>
      <c r="D1247" s="29" t="str">
        <f>VLOOKUP(C:C,'COUNT-CONT'!B:C,2,FALSE)</f>
        <v>Europe</v>
      </c>
      <c r="E1247" s="29">
        <v>5</v>
      </c>
      <c r="F1247" s="28">
        <v>2217</v>
      </c>
      <c r="G1247" s="28">
        <v>3480165990</v>
      </c>
      <c r="H1247" s="29">
        <v>17.170000000000002</v>
      </c>
      <c r="I1247" s="142">
        <v>-62.269999999999996</v>
      </c>
      <c r="J1247" s="29">
        <v>6.2</v>
      </c>
      <c r="K1247" s="29">
        <v>5.05</v>
      </c>
      <c r="L1247" s="29">
        <v>14.09</v>
      </c>
      <c r="M1247" s="368"/>
      <c r="N1247" s="368"/>
      <c r="O1247" s="271">
        <f>IFERROR(Table17[[#This Row],[PROFIT]]/Table17[[#This Row],[TO]],0)</f>
        <v>0</v>
      </c>
      <c r="P1247" s="177"/>
      <c r="Q1247" s="177"/>
      <c r="R1247" s="177"/>
    </row>
    <row r="1248" spans="1:18" hidden="1" x14ac:dyDescent="0.25">
      <c r="A1248" s="29" t="s">
        <v>3113</v>
      </c>
      <c r="B1248" s="29" t="s">
        <v>2953</v>
      </c>
      <c r="C1248" s="29" t="s">
        <v>14</v>
      </c>
      <c r="D1248" s="29" t="str">
        <f>VLOOKUP(C:C,'COUNT-CONT'!B:C,2,FALSE)</f>
        <v>Asia</v>
      </c>
      <c r="E1248" s="29">
        <v>5</v>
      </c>
      <c r="F1248" s="28">
        <v>2220</v>
      </c>
      <c r="G1248" s="28">
        <v>3541895495</v>
      </c>
      <c r="H1248" s="29">
        <v>17.170000000000002</v>
      </c>
      <c r="I1248" s="142">
        <v>-62.269999999999996</v>
      </c>
      <c r="J1248" s="29">
        <v>6.68</v>
      </c>
      <c r="K1248" s="29">
        <v>5.5</v>
      </c>
      <c r="L1248" s="29">
        <v>14.54</v>
      </c>
      <c r="M1248" s="368"/>
      <c r="N1248" s="368"/>
      <c r="O1248" s="271">
        <f>IFERROR(Table17[[#This Row],[PROFIT]]/Table17[[#This Row],[TO]],0)</f>
        <v>0</v>
      </c>
      <c r="P1248" s="177"/>
      <c r="Q1248" s="177"/>
      <c r="R1248" s="177"/>
    </row>
    <row r="1249" spans="1:18" hidden="1" x14ac:dyDescent="0.25">
      <c r="A1249" s="29" t="s">
        <v>1515</v>
      </c>
      <c r="B1249" s="29" t="s">
        <v>1514</v>
      </c>
      <c r="C1249" s="29" t="s">
        <v>1513</v>
      </c>
      <c r="D1249" s="29" t="str">
        <f>VLOOKUP(C:C,'COUNT-CONT'!B:C,2,FALSE)</f>
        <v>Africa</v>
      </c>
      <c r="E1249" s="29">
        <v>4</v>
      </c>
      <c r="F1249" s="28">
        <v>1793</v>
      </c>
      <c r="G1249" s="28">
        <v>3451696932</v>
      </c>
      <c r="H1249" s="29">
        <v>17.14</v>
      </c>
      <c r="I1249" s="142">
        <v>-62.3</v>
      </c>
      <c r="J1249" s="29">
        <v>1.27</v>
      </c>
      <c r="K1249" s="29" t="s">
        <v>1512</v>
      </c>
      <c r="L1249" s="29">
        <v>9.2200000000000006</v>
      </c>
      <c r="M1249" s="368"/>
      <c r="N1249" s="368"/>
      <c r="O1249" s="271">
        <f>IFERROR(Table17[[#This Row],[PROFIT]]/Table17[[#This Row],[TO]],0)</f>
        <v>0</v>
      </c>
      <c r="P1249" s="177"/>
      <c r="Q1249" s="177"/>
      <c r="R1249" s="177"/>
    </row>
    <row r="1250" spans="1:18" hidden="1" x14ac:dyDescent="0.25">
      <c r="A1250" s="29" t="s">
        <v>2663</v>
      </c>
      <c r="B1250" s="29" t="s">
        <v>2662</v>
      </c>
      <c r="C1250" s="29" t="s">
        <v>926</v>
      </c>
      <c r="D1250" s="29" t="str">
        <f>VLOOKUP(C:C,'COUNT-CONT'!B:C,2,FALSE)</f>
        <v>Africa</v>
      </c>
      <c r="E1250" s="29">
        <v>7</v>
      </c>
      <c r="F1250" s="28">
        <v>2573</v>
      </c>
      <c r="G1250" s="28">
        <v>3282316517</v>
      </c>
      <c r="H1250" s="29">
        <v>17.14</v>
      </c>
      <c r="I1250" s="142">
        <v>-62.3</v>
      </c>
      <c r="J1250" s="29">
        <v>4.78</v>
      </c>
      <c r="K1250" s="29">
        <v>3.26</v>
      </c>
      <c r="L1250" s="29">
        <v>12.61</v>
      </c>
      <c r="M1250" s="368"/>
      <c r="N1250" s="368"/>
      <c r="O1250" s="271">
        <f>IFERROR(Table17[[#This Row],[PROFIT]]/Table17[[#This Row],[TO]],0)</f>
        <v>0</v>
      </c>
      <c r="P1250" s="177"/>
      <c r="Q1250" s="177"/>
      <c r="R1250" s="177"/>
    </row>
    <row r="1251" spans="1:18" hidden="1" x14ac:dyDescent="0.25">
      <c r="A1251" s="29" t="s">
        <v>3219</v>
      </c>
      <c r="B1251" s="29" t="s">
        <v>3218</v>
      </c>
      <c r="C1251" s="29" t="s">
        <v>172</v>
      </c>
      <c r="D1251" s="29" t="str">
        <f>VLOOKUP(C:C,'COUNT-CONT'!B:C,2,FALSE)</f>
        <v>Asia</v>
      </c>
      <c r="E1251" s="29">
        <v>9</v>
      </c>
      <c r="F1251" s="28">
        <v>3242</v>
      </c>
      <c r="G1251" s="28">
        <v>3550696730</v>
      </c>
      <c r="H1251" s="29">
        <v>17.14</v>
      </c>
      <c r="I1251" s="142">
        <v>-62.3</v>
      </c>
      <c r="J1251" s="29">
        <v>6.89</v>
      </c>
      <c r="K1251" s="29">
        <v>6.02</v>
      </c>
      <c r="L1251" s="29">
        <v>15.02</v>
      </c>
      <c r="M1251" s="368"/>
      <c r="N1251" s="368"/>
      <c r="O1251" s="271">
        <f>IFERROR(Table17[[#This Row],[PROFIT]]/Table17[[#This Row],[TO]],0)</f>
        <v>0</v>
      </c>
      <c r="P1251" s="177"/>
      <c r="Q1251" s="177"/>
      <c r="R1251" s="177"/>
    </row>
    <row r="1252" spans="1:18" hidden="1" x14ac:dyDescent="0.25">
      <c r="A1252" s="29" t="s">
        <v>2986</v>
      </c>
      <c r="B1252" s="29" t="s">
        <v>2985</v>
      </c>
      <c r="C1252" s="29" t="s">
        <v>78</v>
      </c>
      <c r="D1252" s="29" t="str">
        <f>VLOOKUP(C:C,'COUNT-CONT'!B:C,2,FALSE)</f>
        <v>Europe</v>
      </c>
      <c r="E1252" s="29">
        <v>8</v>
      </c>
      <c r="F1252" s="28">
        <v>2822</v>
      </c>
      <c r="G1252" s="28">
        <v>3427394472</v>
      </c>
      <c r="H1252" s="29">
        <v>17.11</v>
      </c>
      <c r="I1252" s="142">
        <v>-62.33</v>
      </c>
      <c r="J1252" s="29">
        <v>6.17</v>
      </c>
      <c r="K1252" s="29">
        <v>5.05</v>
      </c>
      <c r="L1252" s="29">
        <v>14.03</v>
      </c>
      <c r="M1252" s="368"/>
      <c r="N1252" s="368"/>
      <c r="O1252" s="271">
        <f>IFERROR(Table17[[#This Row],[PROFIT]]/Table17[[#This Row],[TO]],0)</f>
        <v>0</v>
      </c>
      <c r="P1252" s="177"/>
      <c r="Q1252" s="177"/>
      <c r="R1252" s="177"/>
    </row>
    <row r="1253" spans="1:18" ht="30" hidden="1" x14ac:dyDescent="0.25">
      <c r="A1253" s="29" t="s">
        <v>4518</v>
      </c>
      <c r="B1253" s="29" t="s">
        <v>4517</v>
      </c>
      <c r="C1253" s="29" t="s">
        <v>11732</v>
      </c>
      <c r="D1253" s="29" t="str">
        <f>VLOOKUP(C:C,'COUNT-CONT'!B:C,2,FALSE)</f>
        <v>North America</v>
      </c>
      <c r="E1253" s="29">
        <v>9</v>
      </c>
      <c r="F1253" s="28">
        <v>3364</v>
      </c>
      <c r="G1253" s="28">
        <v>4736191676</v>
      </c>
      <c r="H1253" s="29">
        <v>17.11</v>
      </c>
      <c r="I1253" s="142">
        <v>-62.33</v>
      </c>
      <c r="J1253" s="29">
        <v>13.94</v>
      </c>
      <c r="K1253" s="29">
        <v>13.94</v>
      </c>
      <c r="L1253" s="29">
        <v>22.52</v>
      </c>
      <c r="M1253" s="368"/>
      <c r="N1253" s="368"/>
      <c r="O1253" s="271">
        <f>IFERROR(Table17[[#This Row],[PROFIT]]/Table17[[#This Row],[TO]],0)</f>
        <v>0</v>
      </c>
      <c r="P1253" s="177"/>
      <c r="Q1253" s="177"/>
      <c r="R1253" s="177"/>
    </row>
    <row r="1254" spans="1:18" hidden="1" x14ac:dyDescent="0.25">
      <c r="A1254" s="29" t="s">
        <v>3027</v>
      </c>
      <c r="B1254" s="29" t="s">
        <v>3026</v>
      </c>
      <c r="C1254" s="29" t="s">
        <v>1420</v>
      </c>
      <c r="D1254" s="29" t="str">
        <f>VLOOKUP(C:C,'COUNT-CONT'!B:C,2,FALSE)</f>
        <v>Europe</v>
      </c>
      <c r="E1254" s="29">
        <v>4</v>
      </c>
      <c r="F1254" s="28">
        <v>1815</v>
      </c>
      <c r="G1254" s="28">
        <v>3572460606</v>
      </c>
      <c r="H1254" s="29">
        <v>17.079999999999998</v>
      </c>
      <c r="I1254" s="142">
        <v>-62.36</v>
      </c>
      <c r="J1254" s="29">
        <v>6.53</v>
      </c>
      <c r="K1254" s="29">
        <v>5.1100000000000003</v>
      </c>
      <c r="L1254" s="29">
        <v>14.24</v>
      </c>
      <c r="M1254" s="368"/>
      <c r="N1254" s="368"/>
      <c r="O1254" s="271">
        <f>IFERROR(Table17[[#This Row],[PROFIT]]/Table17[[#This Row],[TO]],0)</f>
        <v>0</v>
      </c>
      <c r="P1254" s="177"/>
      <c r="Q1254" s="177"/>
      <c r="R1254" s="177"/>
    </row>
    <row r="1255" spans="1:18" ht="30" hidden="1" x14ac:dyDescent="0.25">
      <c r="A1255" s="29" t="s">
        <v>3937</v>
      </c>
      <c r="B1255" s="29" t="s">
        <v>3936</v>
      </c>
      <c r="C1255" s="29" t="s">
        <v>83</v>
      </c>
      <c r="D1255" s="29" t="str">
        <f>VLOOKUP(C:C,'COUNT-CONT'!B:C,2,FALSE)</f>
        <v>Europe</v>
      </c>
      <c r="E1255" s="29">
        <v>4</v>
      </c>
      <c r="F1255" s="28">
        <v>1901</v>
      </c>
      <c r="G1255" s="28">
        <v>4213542819</v>
      </c>
      <c r="H1255" s="29">
        <v>17.079999999999998</v>
      </c>
      <c r="I1255" s="142">
        <v>-62.36</v>
      </c>
      <c r="J1255" s="29">
        <v>10.4</v>
      </c>
      <c r="K1255" s="29">
        <v>9.64</v>
      </c>
      <c r="L1255" s="29">
        <v>18.59</v>
      </c>
      <c r="M1255" s="368"/>
      <c r="N1255" s="368"/>
      <c r="O1255" s="271">
        <f>IFERROR(Table17[[#This Row],[PROFIT]]/Table17[[#This Row],[TO]],0)</f>
        <v>0</v>
      </c>
      <c r="P1255" s="177"/>
      <c r="Q1255" s="177"/>
      <c r="R1255" s="177"/>
    </row>
    <row r="1256" spans="1:18" hidden="1" x14ac:dyDescent="0.25">
      <c r="A1256" s="29" t="s">
        <v>2984</v>
      </c>
      <c r="B1256" s="29" t="s">
        <v>2983</v>
      </c>
      <c r="C1256" s="29" t="s">
        <v>78</v>
      </c>
      <c r="D1256" s="29" t="str">
        <f>VLOOKUP(C:C,'COUNT-CONT'!B:C,2,FALSE)</f>
        <v>Europe</v>
      </c>
      <c r="E1256" s="29">
        <v>10</v>
      </c>
      <c r="F1256" s="28">
        <v>3426</v>
      </c>
      <c r="G1256" s="28">
        <v>3415474138</v>
      </c>
      <c r="H1256" s="29">
        <v>17.079999999999998</v>
      </c>
      <c r="I1256" s="142">
        <v>-62.36</v>
      </c>
      <c r="J1256" s="29">
        <v>6.14</v>
      </c>
      <c r="K1256" s="29">
        <v>5.0199999999999996</v>
      </c>
      <c r="L1256" s="29">
        <v>14</v>
      </c>
      <c r="M1256" s="368"/>
      <c r="N1256" s="368"/>
      <c r="O1256" s="271">
        <f>IFERROR(Table17[[#This Row],[PROFIT]]/Table17[[#This Row],[TO]],0)</f>
        <v>0</v>
      </c>
      <c r="P1256" s="177"/>
      <c r="Q1256" s="177"/>
      <c r="R1256" s="177"/>
    </row>
    <row r="1257" spans="1:18" x14ac:dyDescent="0.25">
      <c r="A1257" s="29" t="s">
        <v>3511</v>
      </c>
      <c r="B1257" s="29" t="s">
        <v>3510</v>
      </c>
      <c r="C1257" s="29" t="s">
        <v>730</v>
      </c>
      <c r="D1257" s="29" t="str">
        <f>VLOOKUP(C:C,'COUNT-CONT'!B:C,2,FALSE)</f>
        <v>Oceania</v>
      </c>
      <c r="E1257" s="29">
        <v>5</v>
      </c>
      <c r="F1257" s="28">
        <v>2240</v>
      </c>
      <c r="G1257" s="28">
        <v>3846671428</v>
      </c>
      <c r="H1257" s="29">
        <v>17.05</v>
      </c>
      <c r="I1257" s="142">
        <v>-62.39</v>
      </c>
      <c r="J1257" s="29">
        <v>8.0399999999999991</v>
      </c>
      <c r="K1257" s="29">
        <v>7.07</v>
      </c>
      <c r="L1257" s="29">
        <v>16.079999999999998</v>
      </c>
      <c r="M1257" s="368"/>
      <c r="N1257" s="368"/>
      <c r="O1257" s="271">
        <f>IFERROR(Table17[[#This Row],[PROFIT]]/Table17[[#This Row],[TO]],0)</f>
        <v>0</v>
      </c>
      <c r="P1257" s="177"/>
      <c r="Q1257" s="177"/>
      <c r="R1257" s="177"/>
    </row>
    <row r="1258" spans="1:18" hidden="1" x14ac:dyDescent="0.25">
      <c r="A1258" s="29" t="s">
        <v>3929</v>
      </c>
      <c r="B1258" s="29" t="s">
        <v>3928</v>
      </c>
      <c r="C1258" s="29" t="s">
        <v>3180</v>
      </c>
      <c r="D1258" s="29" t="str">
        <f>VLOOKUP(C:C,'COUNT-CONT'!B:C,2,FALSE)</f>
        <v>Europe</v>
      </c>
      <c r="E1258" s="29">
        <v>10</v>
      </c>
      <c r="F1258" s="28">
        <v>3777</v>
      </c>
      <c r="G1258" s="28">
        <v>4119636431</v>
      </c>
      <c r="H1258" s="29">
        <v>17.05</v>
      </c>
      <c r="I1258" s="142">
        <v>-62.39</v>
      </c>
      <c r="J1258" s="29">
        <v>10.37</v>
      </c>
      <c r="K1258" s="29">
        <v>10.01</v>
      </c>
      <c r="L1258" s="29">
        <v>18.53</v>
      </c>
      <c r="M1258" s="368"/>
      <c r="N1258" s="368"/>
      <c r="O1258" s="271">
        <f>IFERROR(Table17[[#This Row],[PROFIT]]/Table17[[#This Row],[TO]],0)</f>
        <v>0</v>
      </c>
      <c r="P1258" s="177"/>
      <c r="Q1258" s="177"/>
      <c r="R1258" s="177"/>
    </row>
    <row r="1259" spans="1:18" hidden="1" x14ac:dyDescent="0.25">
      <c r="A1259" s="29" t="s">
        <v>2061</v>
      </c>
      <c r="B1259" s="29" t="s">
        <v>2060</v>
      </c>
      <c r="C1259" s="29" t="s">
        <v>2059</v>
      </c>
      <c r="D1259" s="29" t="str">
        <f>VLOOKUP(C:C,'COUNT-CONT'!B:C,2,FALSE)</f>
        <v>Africa</v>
      </c>
      <c r="E1259" s="29">
        <v>8</v>
      </c>
      <c r="F1259" s="28">
        <v>3007</v>
      </c>
      <c r="G1259" s="28">
        <v>3156913102</v>
      </c>
      <c r="H1259" s="29">
        <v>17.05</v>
      </c>
      <c r="I1259" s="142">
        <v>-62.39</v>
      </c>
      <c r="J1259" s="29">
        <v>2.96</v>
      </c>
      <c r="K1259" s="29">
        <v>1.27</v>
      </c>
      <c r="L1259" s="29">
        <v>10.67</v>
      </c>
      <c r="M1259" s="368"/>
      <c r="N1259" s="368"/>
      <c r="O1259" s="271">
        <f>IFERROR(Table17[[#This Row],[PROFIT]]/Table17[[#This Row],[TO]],0)</f>
        <v>0</v>
      </c>
      <c r="P1259" s="177"/>
      <c r="Q1259" s="177"/>
      <c r="R1259" s="177"/>
    </row>
    <row r="1260" spans="1:18" hidden="1" x14ac:dyDescent="0.25">
      <c r="A1260" s="29" t="s">
        <v>2480</v>
      </c>
      <c r="B1260" s="29" t="s">
        <v>2479</v>
      </c>
      <c r="C1260" s="29" t="s">
        <v>580</v>
      </c>
      <c r="D1260" s="29" t="str">
        <f>VLOOKUP(C:C,'COUNT-CONT'!B:C,2,FALSE)</f>
        <v>Africa</v>
      </c>
      <c r="E1260" s="29">
        <v>5</v>
      </c>
      <c r="F1260" s="28">
        <v>2259</v>
      </c>
      <c r="G1260" s="28">
        <v>3289141124</v>
      </c>
      <c r="H1260" s="29">
        <v>17.02</v>
      </c>
      <c r="I1260" s="142">
        <v>-62.42</v>
      </c>
      <c r="J1260" s="29">
        <v>4.29</v>
      </c>
      <c r="K1260" s="29">
        <v>2.87</v>
      </c>
      <c r="L1260" s="29">
        <v>12</v>
      </c>
      <c r="M1260" s="368"/>
      <c r="N1260" s="368"/>
      <c r="O1260" s="271">
        <f>IFERROR(Table17[[#This Row],[PROFIT]]/Table17[[#This Row],[TO]],0)</f>
        <v>0</v>
      </c>
      <c r="P1260" s="177"/>
      <c r="Q1260" s="177"/>
      <c r="R1260" s="177"/>
    </row>
    <row r="1261" spans="1:18" hidden="1" x14ac:dyDescent="0.25">
      <c r="A1261" s="29" t="s">
        <v>3811</v>
      </c>
      <c r="B1261" s="29" t="s">
        <v>3810</v>
      </c>
      <c r="C1261" s="29" t="s">
        <v>807</v>
      </c>
      <c r="D1261" s="29" t="str">
        <f>VLOOKUP(C:C,'COUNT-CONT'!B:C,2,FALSE)</f>
        <v>Europe</v>
      </c>
      <c r="E1261" s="29">
        <v>6</v>
      </c>
      <c r="F1261" s="28">
        <v>2550</v>
      </c>
      <c r="G1261" s="28">
        <v>4035172549</v>
      </c>
      <c r="H1261" s="29">
        <v>17.02</v>
      </c>
      <c r="I1261" s="142">
        <v>-62.42</v>
      </c>
      <c r="J1261" s="29">
        <v>9.5500000000000007</v>
      </c>
      <c r="K1261" s="29">
        <v>9.2200000000000006</v>
      </c>
      <c r="L1261" s="29">
        <v>17.739999999999998</v>
      </c>
      <c r="M1261" s="368"/>
      <c r="N1261" s="368"/>
      <c r="O1261" s="271">
        <f>IFERROR(Table17[[#This Row],[PROFIT]]/Table17[[#This Row],[TO]],0)</f>
        <v>0</v>
      </c>
      <c r="P1261" s="177"/>
      <c r="Q1261" s="177"/>
      <c r="R1261" s="177"/>
    </row>
    <row r="1262" spans="1:18" ht="30" hidden="1" x14ac:dyDescent="0.25">
      <c r="A1262" s="29" t="s">
        <v>4062</v>
      </c>
      <c r="B1262" s="29" t="s">
        <v>4061</v>
      </c>
      <c r="C1262" s="29" t="s">
        <v>514</v>
      </c>
      <c r="D1262" s="29" t="str">
        <f>VLOOKUP(C:C,'COUNT-CONT'!B:C,2,FALSE)</f>
        <v>North America</v>
      </c>
      <c r="E1262" s="29">
        <v>8</v>
      </c>
      <c r="F1262" s="28">
        <v>3007</v>
      </c>
      <c r="G1262" s="28">
        <v>4223313102</v>
      </c>
      <c r="H1262" s="29">
        <v>17.02</v>
      </c>
      <c r="I1262" s="142">
        <v>-62.42</v>
      </c>
      <c r="J1262" s="29">
        <v>11.22</v>
      </c>
      <c r="K1262" s="29">
        <v>10.82</v>
      </c>
      <c r="L1262" s="29">
        <v>19.350000000000001</v>
      </c>
      <c r="M1262" s="368"/>
      <c r="N1262" s="368"/>
      <c r="O1262" s="271">
        <f>IFERROR(Table17[[#This Row],[PROFIT]]/Table17[[#This Row],[TO]],0)</f>
        <v>0</v>
      </c>
      <c r="P1262" s="177"/>
      <c r="Q1262" s="177"/>
      <c r="R1262" s="177"/>
    </row>
    <row r="1263" spans="1:18" hidden="1" x14ac:dyDescent="0.25">
      <c r="A1263" s="29" t="s">
        <v>3247</v>
      </c>
      <c r="B1263" s="29" t="s">
        <v>3246</v>
      </c>
      <c r="C1263" s="29" t="s">
        <v>605</v>
      </c>
      <c r="D1263" s="29" t="str">
        <f>VLOOKUP(C:C,'COUNT-CONT'!B:C,2,FALSE)</f>
        <v>Europe</v>
      </c>
      <c r="E1263" s="29">
        <v>6</v>
      </c>
      <c r="F1263" s="28">
        <v>2469</v>
      </c>
      <c r="G1263" s="28">
        <v>3732824503</v>
      </c>
      <c r="H1263" s="29">
        <v>16.989999999999998</v>
      </c>
      <c r="I1263" s="142">
        <v>-62.45</v>
      </c>
      <c r="J1263" s="29">
        <v>7.26</v>
      </c>
      <c r="K1263" s="29">
        <v>6.35</v>
      </c>
      <c r="L1263" s="29">
        <v>15.18</v>
      </c>
      <c r="M1263" s="368"/>
      <c r="N1263" s="368"/>
      <c r="O1263" s="271">
        <f>IFERROR(Table17[[#This Row],[PROFIT]]/Table17[[#This Row],[TO]],0)</f>
        <v>0</v>
      </c>
      <c r="P1263" s="177"/>
      <c r="Q1263" s="177"/>
      <c r="R1263" s="177"/>
    </row>
    <row r="1264" spans="1:18" hidden="1" x14ac:dyDescent="0.25">
      <c r="A1264" s="29" t="s">
        <v>2388</v>
      </c>
      <c r="B1264" s="29" t="s">
        <v>2387</v>
      </c>
      <c r="C1264" s="29" t="s">
        <v>1070</v>
      </c>
      <c r="D1264" s="29" t="str">
        <f>VLOOKUP(C:C,'COUNT-CONT'!B:C,2,FALSE)</f>
        <v>Asia</v>
      </c>
      <c r="E1264" s="29">
        <v>6</v>
      </c>
      <c r="F1264" s="28">
        <v>2282</v>
      </c>
      <c r="G1264" s="28">
        <v>3226833304</v>
      </c>
      <c r="H1264" s="29">
        <v>16.989999999999998</v>
      </c>
      <c r="I1264" s="142">
        <v>-62.45</v>
      </c>
      <c r="J1264" s="29">
        <v>3.96</v>
      </c>
      <c r="K1264" s="29">
        <v>2.54</v>
      </c>
      <c r="L1264" s="29">
        <v>11.64</v>
      </c>
      <c r="M1264" s="368"/>
      <c r="N1264" s="368"/>
      <c r="O1264" s="271">
        <f>IFERROR(Table17[[#This Row],[PROFIT]]/Table17[[#This Row],[TO]],0)</f>
        <v>0</v>
      </c>
      <c r="P1264" s="177"/>
      <c r="Q1264" s="177"/>
      <c r="R1264" s="177"/>
    </row>
    <row r="1265" spans="1:18" ht="30" hidden="1" x14ac:dyDescent="0.25">
      <c r="A1265" s="29" t="s">
        <v>4504</v>
      </c>
      <c r="B1265" s="29" t="s">
        <v>4503</v>
      </c>
      <c r="C1265" s="29" t="s">
        <v>11732</v>
      </c>
      <c r="D1265" s="29" t="str">
        <f>VLOOKUP(C:C,'COUNT-CONT'!B:C,2,FALSE)</f>
        <v>North America</v>
      </c>
      <c r="E1265" s="29">
        <v>5</v>
      </c>
      <c r="F1265" s="28">
        <v>2258</v>
      </c>
      <c r="G1265" s="28">
        <v>4772156775</v>
      </c>
      <c r="H1265" s="29">
        <v>16.989999999999998</v>
      </c>
      <c r="I1265" s="142">
        <v>-62.45</v>
      </c>
      <c r="J1265" s="29">
        <v>13.85</v>
      </c>
      <c r="K1265" s="29">
        <v>13.85</v>
      </c>
      <c r="L1265" s="29">
        <v>22.37</v>
      </c>
      <c r="M1265" s="368"/>
      <c r="N1265" s="368"/>
      <c r="O1265" s="271">
        <f>IFERROR(Table17[[#This Row],[PROFIT]]/Table17[[#This Row],[TO]],0)</f>
        <v>0</v>
      </c>
      <c r="P1265" s="177"/>
      <c r="Q1265" s="177"/>
      <c r="R1265" s="177"/>
    </row>
    <row r="1266" spans="1:18" hidden="1" x14ac:dyDescent="0.25">
      <c r="A1266" s="29" t="s">
        <v>2087</v>
      </c>
      <c r="B1266" s="29" t="s">
        <v>2086</v>
      </c>
      <c r="C1266" s="29" t="s">
        <v>644</v>
      </c>
      <c r="D1266" s="29" t="str">
        <f>VLOOKUP(C:C,'COUNT-CONT'!B:C,2,FALSE)</f>
        <v>Africa</v>
      </c>
      <c r="E1266" s="29">
        <v>6</v>
      </c>
      <c r="F1266" s="28">
        <v>2406</v>
      </c>
      <c r="G1266" s="28">
        <v>3201190357</v>
      </c>
      <c r="H1266" s="29">
        <v>16.989999999999998</v>
      </c>
      <c r="I1266" s="142">
        <v>-62.45</v>
      </c>
      <c r="J1266" s="29">
        <v>3.2</v>
      </c>
      <c r="K1266" s="29">
        <v>1.48</v>
      </c>
      <c r="L1266" s="29">
        <v>10.76</v>
      </c>
      <c r="M1266" s="368"/>
      <c r="N1266" s="368"/>
      <c r="O1266" s="271">
        <f>IFERROR(Table17[[#This Row],[PROFIT]]/Table17[[#This Row],[TO]],0)</f>
        <v>0</v>
      </c>
      <c r="P1266" s="177"/>
      <c r="Q1266" s="177"/>
      <c r="R1266" s="177"/>
    </row>
    <row r="1267" spans="1:18" hidden="1" x14ac:dyDescent="0.25">
      <c r="A1267" s="29" t="s">
        <v>2091</v>
      </c>
      <c r="B1267" s="29" t="s">
        <v>2090</v>
      </c>
      <c r="C1267" s="29" t="s">
        <v>644</v>
      </c>
      <c r="D1267" s="29" t="str">
        <f>VLOOKUP(C:C,'COUNT-CONT'!B:C,2,FALSE)</f>
        <v>Africa</v>
      </c>
      <c r="E1267" s="29">
        <v>6</v>
      </c>
      <c r="F1267" s="28">
        <v>2507</v>
      </c>
      <c r="G1267" s="28">
        <v>3192771439</v>
      </c>
      <c r="H1267" s="29">
        <v>16.989999999999998</v>
      </c>
      <c r="I1267" s="142">
        <v>-62.45</v>
      </c>
      <c r="J1267" s="29">
        <v>3.2</v>
      </c>
      <c r="K1267" s="29">
        <v>1.48</v>
      </c>
      <c r="L1267" s="29">
        <v>10.76</v>
      </c>
      <c r="M1267" s="368"/>
      <c r="N1267" s="368"/>
      <c r="O1267" s="271">
        <f>IFERROR(Table17[[#This Row],[PROFIT]]/Table17[[#This Row],[TO]],0)</f>
        <v>0</v>
      </c>
      <c r="P1267" s="177"/>
      <c r="Q1267" s="177"/>
      <c r="R1267" s="177"/>
    </row>
    <row r="1268" spans="1:18" hidden="1" x14ac:dyDescent="0.25">
      <c r="A1268" s="29" t="s">
        <v>3070</v>
      </c>
      <c r="B1268" s="29" t="s">
        <v>3069</v>
      </c>
      <c r="C1268" s="29" t="s">
        <v>14</v>
      </c>
      <c r="D1268" s="29" t="str">
        <f>VLOOKUP(C:C,'COUNT-CONT'!B:C,2,FALSE)</f>
        <v>Asia</v>
      </c>
      <c r="E1268" s="29">
        <v>8</v>
      </c>
      <c r="F1268" s="28">
        <v>2824</v>
      </c>
      <c r="G1268" s="28">
        <v>3468718413</v>
      </c>
      <c r="H1268" s="29">
        <v>16.93</v>
      </c>
      <c r="I1268" s="142">
        <v>-62.51</v>
      </c>
      <c r="J1268" s="29">
        <v>6.59</v>
      </c>
      <c r="K1268" s="29">
        <v>5.44</v>
      </c>
      <c r="L1268" s="29">
        <v>14.36</v>
      </c>
      <c r="M1268" s="368"/>
      <c r="N1268" s="368"/>
      <c r="O1268" s="271">
        <f>IFERROR(Table17[[#This Row],[PROFIT]]/Table17[[#This Row],[TO]],0)</f>
        <v>0</v>
      </c>
      <c r="P1268" s="177"/>
      <c r="Q1268" s="177"/>
      <c r="R1268" s="177"/>
    </row>
    <row r="1269" spans="1:18" x14ac:dyDescent="0.25">
      <c r="A1269" s="29" t="s">
        <v>1930</v>
      </c>
      <c r="B1269" s="29" t="s">
        <v>1929</v>
      </c>
      <c r="C1269" s="29" t="s">
        <v>1037</v>
      </c>
      <c r="D1269" s="29" t="str">
        <f>VLOOKUP(C:C,'COUNT-CONT'!B:C,2,FALSE)</f>
        <v>Oceania</v>
      </c>
      <c r="E1269" s="29">
        <v>5</v>
      </c>
      <c r="F1269" s="28">
        <v>2016</v>
      </c>
      <c r="G1269" s="28">
        <v>3251534920</v>
      </c>
      <c r="H1269" s="29">
        <v>16.899999999999999</v>
      </c>
      <c r="I1269" s="142">
        <v>-62.54</v>
      </c>
      <c r="J1269" s="29">
        <v>2.66</v>
      </c>
      <c r="K1269" s="29">
        <v>1.03</v>
      </c>
      <c r="L1269" s="29">
        <v>10.31</v>
      </c>
      <c r="M1269" s="368"/>
      <c r="N1269" s="368"/>
      <c r="O1269" s="271">
        <f>IFERROR(Table17[[#This Row],[PROFIT]]/Table17[[#This Row],[TO]],0)</f>
        <v>0</v>
      </c>
      <c r="P1269" s="177"/>
      <c r="Q1269" s="177"/>
      <c r="R1269" s="177"/>
    </row>
    <row r="1270" spans="1:18" ht="30" hidden="1" x14ac:dyDescent="0.25">
      <c r="A1270" s="29" t="s">
        <v>3103</v>
      </c>
      <c r="B1270" s="29" t="s">
        <v>3102</v>
      </c>
      <c r="C1270" s="29" t="s">
        <v>860</v>
      </c>
      <c r="D1270" s="29" t="str">
        <f>VLOOKUP(C:C,'COUNT-CONT'!B:C,2,FALSE)</f>
        <v>South America</v>
      </c>
      <c r="E1270" s="29">
        <v>2</v>
      </c>
      <c r="F1270" s="28">
        <v>1513</v>
      </c>
      <c r="G1270" s="28">
        <v>3697032385</v>
      </c>
      <c r="H1270" s="29">
        <v>16.809999999999999</v>
      </c>
      <c r="I1270" s="142">
        <v>-62.629999999999995</v>
      </c>
      <c r="J1270" s="29">
        <v>6.65</v>
      </c>
      <c r="K1270" s="29">
        <v>5.5</v>
      </c>
      <c r="L1270" s="29">
        <v>14.51</v>
      </c>
      <c r="M1270" s="368"/>
      <c r="N1270" s="368"/>
      <c r="O1270" s="271">
        <f>IFERROR(Table17[[#This Row],[PROFIT]]/Table17[[#This Row],[TO]],0)</f>
        <v>0</v>
      </c>
      <c r="P1270" s="177"/>
      <c r="Q1270" s="177"/>
      <c r="R1270" s="177"/>
    </row>
    <row r="1271" spans="1:18" x14ac:dyDescent="0.25">
      <c r="A1271" s="29" t="s">
        <v>3827</v>
      </c>
      <c r="B1271" s="29" t="s">
        <v>3826</v>
      </c>
      <c r="C1271" s="29" t="s">
        <v>774</v>
      </c>
      <c r="D1271" s="29" t="str">
        <f>VLOOKUP(C:C,'COUNT-CONT'!B:C,2,FALSE)</f>
        <v>Oceania</v>
      </c>
      <c r="E1271" s="29">
        <v>6</v>
      </c>
      <c r="F1271" s="28">
        <v>2529</v>
      </c>
      <c r="G1271" s="28">
        <v>4056354527</v>
      </c>
      <c r="H1271" s="29">
        <v>16.809999999999999</v>
      </c>
      <c r="I1271" s="142">
        <v>-62.629999999999995</v>
      </c>
      <c r="J1271" s="29">
        <v>10.01</v>
      </c>
      <c r="K1271" s="29">
        <v>9.2799999999999994</v>
      </c>
      <c r="L1271" s="29">
        <v>17.87</v>
      </c>
      <c r="M1271" s="368"/>
      <c r="N1271" s="368"/>
      <c r="O1271" s="271">
        <f>IFERROR(Table17[[#This Row],[PROFIT]]/Table17[[#This Row],[TO]],0)</f>
        <v>0</v>
      </c>
      <c r="P1271" s="177"/>
      <c r="Q1271" s="177"/>
      <c r="R1271" s="177"/>
    </row>
    <row r="1272" spans="1:18" hidden="1" x14ac:dyDescent="0.25">
      <c r="A1272" s="29" t="s">
        <v>3632</v>
      </c>
      <c r="B1272" s="29" t="s">
        <v>3631</v>
      </c>
      <c r="C1272" s="29" t="s">
        <v>142</v>
      </c>
      <c r="D1272" s="29" t="str">
        <f>VLOOKUP(C:C,'COUNT-CONT'!B:C,2,FALSE)</f>
        <v>Asia</v>
      </c>
      <c r="E1272" s="29">
        <v>4</v>
      </c>
      <c r="F1272" s="28">
        <v>1981</v>
      </c>
      <c r="G1272" s="28">
        <v>3980875113</v>
      </c>
      <c r="H1272" s="29">
        <v>16.809999999999999</v>
      </c>
      <c r="I1272" s="142">
        <v>-62.629999999999995</v>
      </c>
      <c r="J1272" s="29">
        <v>9.07</v>
      </c>
      <c r="K1272" s="29">
        <v>8.07</v>
      </c>
      <c r="L1272" s="29">
        <v>16.809999999999999</v>
      </c>
      <c r="M1272" s="368"/>
      <c r="N1272" s="368"/>
      <c r="O1272" s="271">
        <f>IFERROR(Table17[[#This Row],[PROFIT]]/Table17[[#This Row],[TO]],0)</f>
        <v>0</v>
      </c>
      <c r="P1272" s="177"/>
      <c r="Q1272" s="177"/>
      <c r="R1272" s="177"/>
    </row>
    <row r="1273" spans="1:18" hidden="1" x14ac:dyDescent="0.25">
      <c r="A1273" s="29" t="s">
        <v>2333</v>
      </c>
      <c r="B1273" s="29" t="s">
        <v>2332</v>
      </c>
      <c r="C1273" s="29" t="s">
        <v>1070</v>
      </c>
      <c r="D1273" s="29" t="str">
        <f>VLOOKUP(C:C,'COUNT-CONT'!B:C,2,FALSE)</f>
        <v>Asia</v>
      </c>
      <c r="E1273" s="29">
        <v>3</v>
      </c>
      <c r="F1273" s="28">
        <v>1751</v>
      </c>
      <c r="G1273" s="28">
        <v>3304112450</v>
      </c>
      <c r="H1273" s="29">
        <v>16.809999999999999</v>
      </c>
      <c r="I1273" s="142">
        <v>-62.629999999999995</v>
      </c>
      <c r="J1273" s="29">
        <v>3.9</v>
      </c>
      <c r="K1273" s="29">
        <v>2.5099999999999998</v>
      </c>
      <c r="L1273" s="29">
        <v>11.52</v>
      </c>
      <c r="M1273" s="368"/>
      <c r="N1273" s="368"/>
      <c r="O1273" s="271">
        <f>IFERROR(Table17[[#This Row],[PROFIT]]/Table17[[#This Row],[TO]],0)</f>
        <v>0</v>
      </c>
      <c r="P1273" s="177"/>
      <c r="Q1273" s="177"/>
      <c r="R1273" s="177"/>
    </row>
    <row r="1274" spans="1:18" hidden="1" x14ac:dyDescent="0.25">
      <c r="A1274" s="29" t="s">
        <v>4030</v>
      </c>
      <c r="B1274" s="29" t="s">
        <v>4029</v>
      </c>
      <c r="C1274" s="29" t="s">
        <v>119</v>
      </c>
      <c r="D1274" s="29" t="str">
        <f>VLOOKUP(C:C,'COUNT-CONT'!B:C,2,FALSE)</f>
        <v>Europe</v>
      </c>
      <c r="E1274" s="29">
        <v>8</v>
      </c>
      <c r="F1274" s="28">
        <v>3080</v>
      </c>
      <c r="G1274" s="28">
        <v>4190142857</v>
      </c>
      <c r="H1274" s="29">
        <v>16.809999999999999</v>
      </c>
      <c r="I1274" s="142">
        <v>-62.629999999999995</v>
      </c>
      <c r="J1274" s="29">
        <v>11.06</v>
      </c>
      <c r="K1274" s="29">
        <v>10.67</v>
      </c>
      <c r="L1274" s="29">
        <v>19.11</v>
      </c>
      <c r="M1274" s="368"/>
      <c r="N1274" s="368"/>
      <c r="O1274" s="271">
        <f>IFERROR(Table17[[#This Row],[PROFIT]]/Table17[[#This Row],[TO]],0)</f>
        <v>0</v>
      </c>
      <c r="P1274" s="177"/>
      <c r="Q1274" s="177"/>
      <c r="R1274" s="177"/>
    </row>
    <row r="1275" spans="1:18" ht="30" hidden="1" x14ac:dyDescent="0.25">
      <c r="A1275" s="29" t="s">
        <v>3887</v>
      </c>
      <c r="B1275" s="29" t="s">
        <v>3886</v>
      </c>
      <c r="C1275" s="29" t="s">
        <v>308</v>
      </c>
      <c r="D1275" s="29" t="str">
        <f>VLOOKUP(C:C,'COUNT-CONT'!B:C,2,FALSE)</f>
        <v>Europe</v>
      </c>
      <c r="E1275" s="29">
        <v>6</v>
      </c>
      <c r="F1275" s="28">
        <v>2515</v>
      </c>
      <c r="G1275" s="28">
        <v>4104375745</v>
      </c>
      <c r="H1275" s="29">
        <v>16.78</v>
      </c>
      <c r="I1275" s="142">
        <v>-62.66</v>
      </c>
      <c r="J1275" s="29">
        <v>10.220000000000001</v>
      </c>
      <c r="K1275" s="29">
        <v>9.85</v>
      </c>
      <c r="L1275" s="29">
        <v>18.260000000000002</v>
      </c>
      <c r="M1275" s="368"/>
      <c r="N1275" s="368"/>
      <c r="O1275" s="271">
        <f>IFERROR(Table17[[#This Row],[PROFIT]]/Table17[[#This Row],[TO]],0)</f>
        <v>0</v>
      </c>
      <c r="P1275" s="177"/>
      <c r="Q1275" s="177"/>
      <c r="R1275" s="177"/>
    </row>
    <row r="1276" spans="1:18" hidden="1" x14ac:dyDescent="0.25">
      <c r="A1276" s="29" t="s">
        <v>3622</v>
      </c>
      <c r="B1276" s="29" t="s">
        <v>3621</v>
      </c>
      <c r="C1276" s="29" t="s">
        <v>142</v>
      </c>
      <c r="D1276" s="29" t="str">
        <f>VLOOKUP(C:C,'COUNT-CONT'!B:C,2,FALSE)</f>
        <v>Asia</v>
      </c>
      <c r="E1276" s="29">
        <v>4</v>
      </c>
      <c r="F1276" s="28">
        <v>2032</v>
      </c>
      <c r="G1276" s="28">
        <v>3968738582</v>
      </c>
      <c r="H1276" s="29">
        <v>16.78</v>
      </c>
      <c r="I1276" s="142">
        <v>-62.66</v>
      </c>
      <c r="J1276" s="29">
        <v>9.0399999999999991</v>
      </c>
      <c r="K1276" s="29">
        <v>8.0399999999999991</v>
      </c>
      <c r="L1276" s="29">
        <v>16.78</v>
      </c>
      <c r="M1276" s="368"/>
      <c r="N1276" s="368"/>
      <c r="O1276" s="271">
        <f>IFERROR(Table17[[#This Row],[PROFIT]]/Table17[[#This Row],[TO]],0)</f>
        <v>0</v>
      </c>
      <c r="P1276" s="177"/>
      <c r="Q1276" s="177"/>
      <c r="R1276" s="177"/>
    </row>
    <row r="1277" spans="1:18" hidden="1" x14ac:dyDescent="0.25">
      <c r="A1277" s="29" t="s">
        <v>3025</v>
      </c>
      <c r="B1277" s="29" t="s">
        <v>3024</v>
      </c>
      <c r="C1277" s="29" t="s">
        <v>14</v>
      </c>
      <c r="D1277" s="29" t="str">
        <f>VLOOKUP(C:C,'COUNT-CONT'!B:C,2,FALSE)</f>
        <v>Asia</v>
      </c>
      <c r="E1277" s="29">
        <v>8</v>
      </c>
      <c r="F1277" s="28">
        <v>2843</v>
      </c>
      <c r="G1277" s="28">
        <v>3450515230</v>
      </c>
      <c r="H1277" s="29">
        <v>16.78</v>
      </c>
      <c r="I1277" s="142">
        <v>-62.66</v>
      </c>
      <c r="J1277" s="29">
        <v>6.53</v>
      </c>
      <c r="K1277" s="29">
        <v>5.38</v>
      </c>
      <c r="L1277" s="29">
        <v>14.21</v>
      </c>
      <c r="M1277" s="368"/>
      <c r="N1277" s="368"/>
      <c r="O1277" s="271">
        <f>IFERROR(Table17[[#This Row],[PROFIT]]/Table17[[#This Row],[TO]],0)</f>
        <v>0</v>
      </c>
      <c r="P1277" s="177"/>
      <c r="Q1277" s="177"/>
      <c r="R1277" s="177"/>
    </row>
    <row r="1278" spans="1:18" x14ac:dyDescent="0.25">
      <c r="A1278" s="29" t="s">
        <v>2682</v>
      </c>
      <c r="B1278" s="29" t="s">
        <v>2681</v>
      </c>
      <c r="C1278" s="29" t="s">
        <v>2680</v>
      </c>
      <c r="D1278" s="29" t="str">
        <f>VLOOKUP(C:C,'COUNT-CONT'!B:C,2,FALSE)</f>
        <v>Oceania</v>
      </c>
      <c r="E1278" s="29">
        <v>4</v>
      </c>
      <c r="F1278" s="28">
        <v>1998</v>
      </c>
      <c r="G1278" s="28">
        <v>3330950550</v>
      </c>
      <c r="H1278" s="29">
        <v>16.78</v>
      </c>
      <c r="I1278" s="142">
        <v>-62.66</v>
      </c>
      <c r="J1278" s="29">
        <v>5.08</v>
      </c>
      <c r="K1278" s="29">
        <v>3.54</v>
      </c>
      <c r="L1278" s="29">
        <v>12.7</v>
      </c>
      <c r="M1278" s="368"/>
      <c r="N1278" s="368"/>
      <c r="O1278" s="271">
        <f>IFERROR(Table17[[#This Row],[PROFIT]]/Table17[[#This Row],[TO]],0)</f>
        <v>0</v>
      </c>
      <c r="P1278" s="177"/>
      <c r="Q1278" s="177"/>
      <c r="R1278" s="177"/>
    </row>
    <row r="1279" spans="1:18" hidden="1" x14ac:dyDescent="0.25">
      <c r="A1279" s="29" t="s">
        <v>2728</v>
      </c>
      <c r="B1279" s="29" t="s">
        <v>2727</v>
      </c>
      <c r="C1279" s="29" t="s">
        <v>332</v>
      </c>
      <c r="D1279" s="29" t="str">
        <f>VLOOKUP(C:C,'COUNT-CONT'!B:C,2,FALSE)</f>
        <v>Asia</v>
      </c>
      <c r="E1279" s="29">
        <v>5</v>
      </c>
      <c r="F1279" s="28">
        <v>2112</v>
      </c>
      <c r="G1279" s="28">
        <v>3368033333</v>
      </c>
      <c r="H1279" s="29">
        <v>16.78</v>
      </c>
      <c r="I1279" s="142">
        <v>-62.66</v>
      </c>
      <c r="J1279" s="29">
        <v>5.14</v>
      </c>
      <c r="K1279" s="29">
        <v>4.1100000000000003</v>
      </c>
      <c r="L1279" s="29">
        <v>12.91</v>
      </c>
      <c r="M1279" s="368"/>
      <c r="N1279" s="368"/>
      <c r="O1279" s="271">
        <f>IFERROR(Table17[[#This Row],[PROFIT]]/Table17[[#This Row],[TO]],0)</f>
        <v>0</v>
      </c>
      <c r="P1279" s="177"/>
      <c r="Q1279" s="177"/>
      <c r="R1279" s="177"/>
    </row>
    <row r="1280" spans="1:18" ht="30" hidden="1" x14ac:dyDescent="0.25">
      <c r="A1280" s="29" t="s">
        <v>4475</v>
      </c>
      <c r="B1280" s="29" t="s">
        <v>4474</v>
      </c>
      <c r="C1280" s="29" t="s">
        <v>11732</v>
      </c>
      <c r="D1280" s="29" t="str">
        <f>VLOOKUP(C:C,'COUNT-CONT'!B:C,2,FALSE)</f>
        <v>North America</v>
      </c>
      <c r="E1280" s="29">
        <v>10</v>
      </c>
      <c r="F1280" s="28">
        <v>3767</v>
      </c>
      <c r="G1280" s="28">
        <v>4678509556</v>
      </c>
      <c r="H1280" s="29">
        <v>16.75</v>
      </c>
      <c r="I1280" s="142">
        <v>-62.69</v>
      </c>
      <c r="J1280" s="29">
        <v>13.63</v>
      </c>
      <c r="K1280" s="29">
        <v>13.63</v>
      </c>
      <c r="L1280" s="29">
        <v>22.04</v>
      </c>
      <c r="M1280" s="368"/>
      <c r="N1280" s="368"/>
      <c r="O1280" s="271">
        <f>IFERROR(Table17[[#This Row],[PROFIT]]/Table17[[#This Row],[TO]],0)</f>
        <v>0</v>
      </c>
      <c r="P1280" s="177"/>
      <c r="Q1280" s="177"/>
      <c r="R1280" s="177"/>
    </row>
    <row r="1281" spans="1:18" hidden="1" x14ac:dyDescent="0.25">
      <c r="A1281" s="29" t="s">
        <v>2028</v>
      </c>
      <c r="B1281" s="29" t="s">
        <v>2027</v>
      </c>
      <c r="C1281" s="29" t="s">
        <v>1189</v>
      </c>
      <c r="D1281" s="29" t="str">
        <f>VLOOKUP(C:C,'COUNT-CONT'!B:C,2,FALSE)</f>
        <v>Africa</v>
      </c>
      <c r="E1281" s="29">
        <v>1</v>
      </c>
      <c r="F1281" s="28">
        <v>1007</v>
      </c>
      <c r="G1281" s="28">
        <v>3677553525</v>
      </c>
      <c r="H1281" s="29">
        <v>16.75</v>
      </c>
      <c r="I1281" s="142">
        <v>-62.69</v>
      </c>
      <c r="J1281" s="29">
        <v>3.17</v>
      </c>
      <c r="K1281" s="29">
        <v>1.48</v>
      </c>
      <c r="L1281" s="29">
        <v>10.61</v>
      </c>
      <c r="M1281" s="368"/>
      <c r="N1281" s="368"/>
      <c r="O1281" s="271">
        <f>IFERROR(Table17[[#This Row],[PROFIT]]/Table17[[#This Row],[TO]],0)</f>
        <v>0</v>
      </c>
      <c r="P1281" s="177"/>
      <c r="Q1281" s="177"/>
      <c r="R1281" s="177"/>
    </row>
    <row r="1282" spans="1:18" ht="30" hidden="1" x14ac:dyDescent="0.25">
      <c r="A1282" s="29" t="s">
        <v>4473</v>
      </c>
      <c r="B1282" s="29" t="s">
        <v>4472</v>
      </c>
      <c r="C1282" s="29" t="s">
        <v>11732</v>
      </c>
      <c r="D1282" s="29" t="str">
        <f>VLOOKUP(C:C,'COUNT-CONT'!B:C,2,FALSE)</f>
        <v>North America</v>
      </c>
      <c r="E1282" s="29">
        <v>8</v>
      </c>
      <c r="F1282" s="28">
        <v>3037</v>
      </c>
      <c r="G1282" s="28">
        <v>4677399539</v>
      </c>
      <c r="H1282" s="29">
        <v>16.75</v>
      </c>
      <c r="I1282" s="142">
        <v>-62.69</v>
      </c>
      <c r="J1282" s="29">
        <v>13.63</v>
      </c>
      <c r="K1282" s="29">
        <v>13.63</v>
      </c>
      <c r="L1282" s="29">
        <v>22.04</v>
      </c>
      <c r="M1282" s="368"/>
      <c r="N1282" s="368"/>
      <c r="O1282" s="271">
        <f>IFERROR(Table17[[#This Row],[PROFIT]]/Table17[[#This Row],[TO]],0)</f>
        <v>0</v>
      </c>
      <c r="P1282" s="177"/>
      <c r="Q1282" s="177"/>
      <c r="R1282" s="177"/>
    </row>
    <row r="1283" spans="1:18" ht="30" x14ac:dyDescent="0.25">
      <c r="A1283" s="29" t="s">
        <v>3444</v>
      </c>
      <c r="B1283" s="29" t="s">
        <v>3443</v>
      </c>
      <c r="C1283" s="29" t="s">
        <v>662</v>
      </c>
      <c r="D1283" s="29" t="str">
        <f>VLOOKUP(C:C,'COUNT-CONT'!B:C,2,FALSE)</f>
        <v>Oceania</v>
      </c>
      <c r="E1283" s="29">
        <v>2</v>
      </c>
      <c r="F1283" s="28">
        <v>1418</v>
      </c>
      <c r="G1283" s="28">
        <v>3925140479</v>
      </c>
      <c r="H1283" s="29">
        <v>16.75</v>
      </c>
      <c r="I1283" s="142">
        <v>-62.69</v>
      </c>
      <c r="J1283" s="29">
        <v>8.2200000000000006</v>
      </c>
      <c r="K1283" s="29">
        <v>6.95</v>
      </c>
      <c r="L1283" s="29">
        <v>15.81</v>
      </c>
      <c r="M1283" s="368"/>
      <c r="N1283" s="368"/>
      <c r="O1283" s="271">
        <f>IFERROR(Table17[[#This Row],[PROFIT]]/Table17[[#This Row],[TO]],0)</f>
        <v>0</v>
      </c>
      <c r="P1283" s="177"/>
      <c r="Q1283" s="177"/>
      <c r="R1283" s="177"/>
    </row>
    <row r="1284" spans="1:18" hidden="1" x14ac:dyDescent="0.25">
      <c r="A1284" s="29" t="s">
        <v>3713</v>
      </c>
      <c r="B1284" s="29" t="s">
        <v>3712</v>
      </c>
      <c r="C1284" s="29" t="s">
        <v>585</v>
      </c>
      <c r="D1284" s="29" t="str">
        <f>VLOOKUP(C:C,'COUNT-CONT'!B:C,2,FALSE)</f>
        <v>Europe</v>
      </c>
      <c r="E1284" s="29">
        <v>4</v>
      </c>
      <c r="F1284" s="28">
        <v>2034</v>
      </c>
      <c r="G1284" s="28">
        <v>4009806293</v>
      </c>
      <c r="H1284" s="29">
        <v>16.75</v>
      </c>
      <c r="I1284" s="142">
        <v>-62.69</v>
      </c>
      <c r="J1284" s="29">
        <v>9.2200000000000006</v>
      </c>
      <c r="K1284" s="29">
        <v>8.56</v>
      </c>
      <c r="L1284" s="29">
        <v>17.11</v>
      </c>
      <c r="M1284" s="368"/>
      <c r="N1284" s="368"/>
      <c r="O1284" s="271">
        <f>IFERROR(Table17[[#This Row],[PROFIT]]/Table17[[#This Row],[TO]],0)</f>
        <v>0</v>
      </c>
      <c r="P1284" s="177"/>
      <c r="Q1284" s="177"/>
      <c r="R1284" s="177"/>
    </row>
    <row r="1285" spans="1:18" hidden="1" x14ac:dyDescent="0.25">
      <c r="A1285" s="29" t="s">
        <v>412</v>
      </c>
      <c r="B1285" s="29" t="s">
        <v>2714</v>
      </c>
      <c r="C1285" s="29" t="s">
        <v>1314</v>
      </c>
      <c r="D1285" s="29" t="str">
        <f>VLOOKUP(C:C,'COUNT-CONT'!B:C,2,FALSE)</f>
        <v>Asia</v>
      </c>
      <c r="E1285" s="29">
        <v>8</v>
      </c>
      <c r="F1285" s="28">
        <v>3016</v>
      </c>
      <c r="G1285" s="28">
        <v>3263921485</v>
      </c>
      <c r="H1285" s="29">
        <v>16.690000000000001</v>
      </c>
      <c r="I1285" s="142">
        <v>-62.75</v>
      </c>
      <c r="J1285" s="29">
        <v>5.38</v>
      </c>
      <c r="K1285" s="29">
        <v>3.84</v>
      </c>
      <c r="L1285" s="29">
        <v>12.85</v>
      </c>
      <c r="M1285" s="368"/>
      <c r="N1285" s="368"/>
      <c r="O1285" s="271">
        <f>IFERROR(Table17[[#This Row],[PROFIT]]/Table17[[#This Row],[TO]],0)</f>
        <v>0</v>
      </c>
      <c r="P1285" s="177"/>
      <c r="Q1285" s="177"/>
      <c r="R1285" s="177"/>
    </row>
    <row r="1286" spans="1:18" hidden="1" x14ac:dyDescent="0.25">
      <c r="A1286" s="29" t="s">
        <v>3016</v>
      </c>
      <c r="B1286" s="29" t="s">
        <v>3015</v>
      </c>
      <c r="C1286" s="29" t="s">
        <v>14</v>
      </c>
      <c r="D1286" s="29" t="str">
        <f>VLOOKUP(C:C,'COUNT-CONT'!B:C,2,FALSE)</f>
        <v>Asia</v>
      </c>
      <c r="E1286" s="29">
        <v>5</v>
      </c>
      <c r="F1286" s="28">
        <v>2117</v>
      </c>
      <c r="G1286" s="28">
        <v>3501603212</v>
      </c>
      <c r="H1286" s="29">
        <v>16.690000000000001</v>
      </c>
      <c r="I1286" s="142">
        <v>-62.75</v>
      </c>
      <c r="J1286" s="29">
        <v>6.5</v>
      </c>
      <c r="K1286" s="29">
        <v>5.35</v>
      </c>
      <c r="L1286" s="29">
        <v>14.15</v>
      </c>
      <c r="M1286" s="368"/>
      <c r="N1286" s="368"/>
      <c r="O1286" s="271">
        <f>IFERROR(Table17[[#This Row],[PROFIT]]/Table17[[#This Row],[TO]],0)</f>
        <v>0</v>
      </c>
      <c r="P1286" s="177"/>
      <c r="Q1286" s="177"/>
      <c r="R1286" s="177"/>
    </row>
    <row r="1287" spans="1:18" hidden="1" x14ac:dyDescent="0.25">
      <c r="A1287" s="29" t="s">
        <v>2569</v>
      </c>
      <c r="B1287" s="29" t="s">
        <v>2568</v>
      </c>
      <c r="C1287" s="29" t="s">
        <v>608</v>
      </c>
      <c r="D1287" s="29" t="str">
        <f>VLOOKUP(C:C,'COUNT-CONT'!B:C,2,FALSE)</f>
        <v>Africa</v>
      </c>
      <c r="E1287" s="29">
        <v>8</v>
      </c>
      <c r="F1287" s="28">
        <v>3020</v>
      </c>
      <c r="G1287" s="28">
        <v>3188238410</v>
      </c>
      <c r="H1287" s="29">
        <v>16.690000000000001</v>
      </c>
      <c r="I1287" s="142">
        <v>-62.75</v>
      </c>
      <c r="J1287" s="29">
        <v>4.66</v>
      </c>
      <c r="K1287" s="29">
        <v>3.42</v>
      </c>
      <c r="L1287" s="29">
        <v>12.27</v>
      </c>
      <c r="M1287" s="368"/>
      <c r="N1287" s="368"/>
      <c r="O1287" s="271">
        <f>IFERROR(Table17[[#This Row],[PROFIT]]/Table17[[#This Row],[TO]],0)</f>
        <v>0</v>
      </c>
      <c r="P1287" s="177"/>
      <c r="Q1287" s="177"/>
      <c r="R1287" s="177"/>
    </row>
    <row r="1288" spans="1:18" ht="30" hidden="1" x14ac:dyDescent="0.25">
      <c r="A1288" s="29" t="s">
        <v>3245</v>
      </c>
      <c r="B1288" s="29" t="s">
        <v>3244</v>
      </c>
      <c r="C1288" s="29" t="s">
        <v>1749</v>
      </c>
      <c r="D1288" s="29" t="str">
        <f>VLOOKUP(C:C,'COUNT-CONT'!B:C,2,FALSE)</f>
        <v>North America</v>
      </c>
      <c r="E1288" s="29">
        <v>4</v>
      </c>
      <c r="F1288" s="28">
        <v>2021</v>
      </c>
      <c r="G1288" s="28">
        <v>3652285007</v>
      </c>
      <c r="H1288" s="29">
        <v>16.690000000000001</v>
      </c>
      <c r="I1288" s="142">
        <v>-62.75</v>
      </c>
      <c r="J1288" s="29">
        <v>7.59</v>
      </c>
      <c r="K1288" s="29">
        <v>6.35</v>
      </c>
      <c r="L1288" s="29">
        <v>15.18</v>
      </c>
      <c r="M1288" s="368"/>
      <c r="N1288" s="368"/>
      <c r="O1288" s="271">
        <f>IFERROR(Table17[[#This Row],[PROFIT]]/Table17[[#This Row],[TO]],0)</f>
        <v>0</v>
      </c>
      <c r="P1288" s="177"/>
      <c r="Q1288" s="177"/>
      <c r="R1288" s="177"/>
    </row>
    <row r="1289" spans="1:18" hidden="1" x14ac:dyDescent="0.25">
      <c r="A1289" s="29" t="s">
        <v>2713</v>
      </c>
      <c r="B1289" s="29" t="s">
        <v>2712</v>
      </c>
      <c r="C1289" s="29" t="s">
        <v>2711</v>
      </c>
      <c r="D1289" s="29" t="str">
        <f>VLOOKUP(C:C,'COUNT-CONT'!B:C,2,FALSE)</f>
        <v>Asia</v>
      </c>
      <c r="E1289" s="29">
        <v>8</v>
      </c>
      <c r="F1289" s="28">
        <v>3016</v>
      </c>
      <c r="G1289" s="28">
        <v>3290721485</v>
      </c>
      <c r="H1289" s="29">
        <v>16.66</v>
      </c>
      <c r="I1289" s="142">
        <v>-62.78</v>
      </c>
      <c r="J1289" s="29">
        <v>5.1100000000000003</v>
      </c>
      <c r="K1289" s="29">
        <v>3.84</v>
      </c>
      <c r="L1289" s="29">
        <v>12.82</v>
      </c>
      <c r="M1289" s="368"/>
      <c r="N1289" s="368"/>
      <c r="O1289" s="271">
        <f>IFERROR(Table17[[#This Row],[PROFIT]]/Table17[[#This Row],[TO]],0)</f>
        <v>0</v>
      </c>
      <c r="P1289" s="177"/>
      <c r="Q1289" s="177"/>
      <c r="R1289" s="177"/>
    </row>
    <row r="1290" spans="1:18" hidden="1" x14ac:dyDescent="0.25">
      <c r="A1290" s="29" t="s">
        <v>3807</v>
      </c>
      <c r="B1290" s="29" t="s">
        <v>3806</v>
      </c>
      <c r="C1290" s="29" t="s">
        <v>597</v>
      </c>
      <c r="D1290" s="29" t="str">
        <f>VLOOKUP(C:C,'COUNT-CONT'!B:C,2,FALSE)</f>
        <v>Europe</v>
      </c>
      <c r="E1290" s="29">
        <v>6</v>
      </c>
      <c r="F1290" s="28">
        <v>2502</v>
      </c>
      <c r="G1290" s="28">
        <v>4021848281</v>
      </c>
      <c r="H1290" s="29">
        <v>16.66</v>
      </c>
      <c r="I1290" s="142">
        <v>-62.78</v>
      </c>
      <c r="J1290" s="29">
        <v>9.92</v>
      </c>
      <c r="K1290" s="29">
        <v>9.2200000000000006</v>
      </c>
      <c r="L1290" s="29">
        <v>17.739999999999998</v>
      </c>
      <c r="M1290" s="368"/>
      <c r="N1290" s="368"/>
      <c r="O1290" s="271">
        <f>IFERROR(Table17[[#This Row],[PROFIT]]/Table17[[#This Row],[TO]],0)</f>
        <v>0</v>
      </c>
      <c r="P1290" s="177"/>
      <c r="Q1290" s="177"/>
      <c r="R1290" s="177"/>
    </row>
    <row r="1291" spans="1:18" ht="30" hidden="1" x14ac:dyDescent="0.25">
      <c r="A1291" s="29" t="s">
        <v>3066</v>
      </c>
      <c r="B1291" s="29" t="s">
        <v>3065</v>
      </c>
      <c r="C1291" s="29" t="s">
        <v>860</v>
      </c>
      <c r="D1291" s="29" t="str">
        <f>VLOOKUP(C:C,'COUNT-CONT'!B:C,2,FALSE)</f>
        <v>South America</v>
      </c>
      <c r="E1291" s="29">
        <v>7</v>
      </c>
      <c r="F1291" s="28">
        <v>2597</v>
      </c>
      <c r="G1291" s="28">
        <v>3480265652</v>
      </c>
      <c r="H1291" s="29">
        <v>16.66</v>
      </c>
      <c r="I1291" s="142">
        <v>-62.78</v>
      </c>
      <c r="J1291" s="29">
        <v>6.59</v>
      </c>
      <c r="K1291" s="29">
        <v>5.44</v>
      </c>
      <c r="L1291" s="29">
        <v>14.36</v>
      </c>
      <c r="M1291" s="368"/>
      <c r="N1291" s="368"/>
      <c r="O1291" s="271">
        <f>IFERROR(Table17[[#This Row],[PROFIT]]/Table17[[#This Row],[TO]],0)</f>
        <v>0</v>
      </c>
      <c r="P1291" s="177"/>
      <c r="Q1291" s="177"/>
      <c r="R1291" s="177"/>
    </row>
    <row r="1292" spans="1:18" hidden="1" x14ac:dyDescent="0.25">
      <c r="A1292" s="29" t="s">
        <v>2297</v>
      </c>
      <c r="B1292" s="29" t="s">
        <v>2296</v>
      </c>
      <c r="C1292" s="29" t="s">
        <v>1070</v>
      </c>
      <c r="D1292" s="29" t="str">
        <f>VLOOKUP(C:C,'COUNT-CONT'!B:C,2,FALSE)</f>
        <v>Asia</v>
      </c>
      <c r="E1292" s="29">
        <v>4</v>
      </c>
      <c r="F1292" s="28">
        <v>1927</v>
      </c>
      <c r="G1292" s="28">
        <v>3246635495</v>
      </c>
      <c r="H1292" s="29">
        <v>16.63</v>
      </c>
      <c r="I1292" s="142">
        <v>-62.81</v>
      </c>
      <c r="J1292" s="29">
        <v>3.87</v>
      </c>
      <c r="K1292" s="29">
        <v>2.48</v>
      </c>
      <c r="L1292" s="29">
        <v>11.4</v>
      </c>
      <c r="M1292" s="368"/>
      <c r="N1292" s="368"/>
      <c r="O1292" s="271">
        <f>IFERROR(Table17[[#This Row],[PROFIT]]/Table17[[#This Row],[TO]],0)</f>
        <v>0</v>
      </c>
      <c r="P1292" s="177"/>
      <c r="Q1292" s="177"/>
      <c r="R1292" s="177"/>
    </row>
    <row r="1293" spans="1:18" ht="30" hidden="1" x14ac:dyDescent="0.25">
      <c r="A1293" s="29" t="s">
        <v>3231</v>
      </c>
      <c r="B1293" s="29" t="s">
        <v>3230</v>
      </c>
      <c r="C1293" s="29" t="s">
        <v>1749</v>
      </c>
      <c r="D1293" s="29" t="str">
        <f>VLOOKUP(C:C,'COUNT-CONT'!B:C,2,FALSE)</f>
        <v>North America</v>
      </c>
      <c r="E1293" s="29">
        <v>6</v>
      </c>
      <c r="F1293" s="28">
        <v>2324</v>
      </c>
      <c r="G1293" s="28">
        <v>3603321858</v>
      </c>
      <c r="H1293" s="29">
        <v>16.63</v>
      </c>
      <c r="I1293" s="142">
        <v>-62.81</v>
      </c>
      <c r="J1293" s="29">
        <v>7.56</v>
      </c>
      <c r="K1293" s="29">
        <v>6.35</v>
      </c>
      <c r="L1293" s="29">
        <v>15.11</v>
      </c>
      <c r="M1293" s="368"/>
      <c r="N1293" s="368"/>
      <c r="O1293" s="271">
        <f>IFERROR(Table17[[#This Row],[PROFIT]]/Table17[[#This Row],[TO]],0)</f>
        <v>0</v>
      </c>
      <c r="P1293" s="177"/>
      <c r="Q1293" s="177"/>
      <c r="R1293" s="177"/>
    </row>
    <row r="1294" spans="1:18" hidden="1" x14ac:dyDescent="0.25">
      <c r="A1294" s="29" t="s">
        <v>3233</v>
      </c>
      <c r="B1294" s="29" t="s">
        <v>3232</v>
      </c>
      <c r="C1294" s="29" t="s">
        <v>258</v>
      </c>
      <c r="D1294" s="29" t="str">
        <f>VLOOKUP(C:C,'COUNT-CONT'!B:C,2,FALSE)</f>
        <v>Asia</v>
      </c>
      <c r="E1294" s="29">
        <v>7</v>
      </c>
      <c r="F1294" s="28">
        <v>2772</v>
      </c>
      <c r="G1294" s="28">
        <v>3646125396</v>
      </c>
      <c r="H1294" s="29">
        <v>16.63</v>
      </c>
      <c r="I1294" s="142">
        <v>-62.81</v>
      </c>
      <c r="J1294" s="29">
        <v>7.26</v>
      </c>
      <c r="K1294" s="29">
        <v>6.35</v>
      </c>
      <c r="L1294" s="29">
        <v>15.11</v>
      </c>
      <c r="M1294" s="368"/>
      <c r="N1294" s="368"/>
      <c r="O1294" s="271">
        <f>IFERROR(Table17[[#This Row],[PROFIT]]/Table17[[#This Row],[TO]],0)</f>
        <v>0</v>
      </c>
      <c r="P1294" s="177"/>
      <c r="Q1294" s="177"/>
      <c r="R1294" s="177"/>
    </row>
    <row r="1295" spans="1:18" x14ac:dyDescent="0.25">
      <c r="A1295" s="29" t="s">
        <v>3409</v>
      </c>
      <c r="B1295" s="29" t="s">
        <v>3408</v>
      </c>
      <c r="C1295" s="29" t="s">
        <v>730</v>
      </c>
      <c r="D1295" s="29" t="str">
        <f>VLOOKUP(C:C,'COUNT-CONT'!B:C,2,FALSE)</f>
        <v>Oceania</v>
      </c>
      <c r="E1295" s="29">
        <v>4</v>
      </c>
      <c r="F1295" s="28">
        <v>1847</v>
      </c>
      <c r="G1295" s="28">
        <v>3859860368</v>
      </c>
      <c r="H1295" s="29">
        <v>16.63</v>
      </c>
      <c r="I1295" s="142">
        <v>-62.81</v>
      </c>
      <c r="J1295" s="29">
        <v>7.83</v>
      </c>
      <c r="K1295" s="29">
        <v>6.89</v>
      </c>
      <c r="L1295" s="29">
        <v>15.69</v>
      </c>
      <c r="M1295" s="368"/>
      <c r="N1295" s="368"/>
      <c r="O1295" s="271">
        <f>IFERROR(Table17[[#This Row],[PROFIT]]/Table17[[#This Row],[TO]],0)</f>
        <v>0</v>
      </c>
      <c r="P1295" s="177"/>
      <c r="Q1295" s="177"/>
      <c r="R1295" s="177"/>
    </row>
    <row r="1296" spans="1:18" ht="30" hidden="1" x14ac:dyDescent="0.25">
      <c r="A1296" s="29" t="s">
        <v>3052</v>
      </c>
      <c r="B1296" s="29" t="s">
        <v>3051</v>
      </c>
      <c r="C1296" s="29" t="s">
        <v>860</v>
      </c>
      <c r="D1296" s="29" t="str">
        <f>VLOOKUP(C:C,'COUNT-CONT'!B:C,2,FALSE)</f>
        <v>South America</v>
      </c>
      <c r="E1296" s="29">
        <v>5</v>
      </c>
      <c r="F1296" s="28">
        <v>2118</v>
      </c>
      <c r="G1296" s="28">
        <v>3526957884</v>
      </c>
      <c r="H1296" s="29">
        <v>16.63</v>
      </c>
      <c r="I1296" s="142">
        <v>-62.81</v>
      </c>
      <c r="J1296" s="29">
        <v>6.59</v>
      </c>
      <c r="K1296" s="29">
        <v>5.44</v>
      </c>
      <c r="L1296" s="29">
        <v>14.33</v>
      </c>
      <c r="M1296" s="368"/>
      <c r="N1296" s="368"/>
      <c r="O1296" s="271">
        <f>IFERROR(Table17[[#This Row],[PROFIT]]/Table17[[#This Row],[TO]],0)</f>
        <v>0</v>
      </c>
      <c r="P1296" s="177"/>
      <c r="Q1296" s="177"/>
      <c r="R1296" s="177"/>
    </row>
    <row r="1297" spans="1:18" ht="30" hidden="1" x14ac:dyDescent="0.25">
      <c r="A1297" s="29" t="s">
        <v>4443</v>
      </c>
      <c r="B1297" s="29" t="s">
        <v>4442</v>
      </c>
      <c r="C1297" s="29" t="s">
        <v>11732</v>
      </c>
      <c r="D1297" s="29" t="str">
        <f>VLOOKUP(C:C,'COUNT-CONT'!B:C,2,FALSE)</f>
        <v>North America</v>
      </c>
      <c r="E1297" s="29">
        <v>7</v>
      </c>
      <c r="F1297" s="28">
        <v>2876</v>
      </c>
      <c r="G1297" s="28">
        <v>4661875660</v>
      </c>
      <c r="H1297" s="29">
        <v>16.600000000000001</v>
      </c>
      <c r="I1297" s="142">
        <v>-62.839999999999996</v>
      </c>
      <c r="J1297" s="29">
        <v>13.54</v>
      </c>
      <c r="K1297" s="29">
        <v>13.54</v>
      </c>
      <c r="L1297" s="29">
        <v>21.86</v>
      </c>
      <c r="M1297" s="368"/>
      <c r="N1297" s="368"/>
      <c r="O1297" s="271">
        <f>IFERROR(Table17[[#This Row],[PROFIT]]/Table17[[#This Row],[TO]],0)</f>
        <v>0</v>
      </c>
      <c r="P1297" s="177"/>
      <c r="Q1297" s="177"/>
      <c r="R1297" s="177"/>
    </row>
    <row r="1298" spans="1:18" hidden="1" x14ac:dyDescent="0.25">
      <c r="A1298" s="29" t="s">
        <v>2445</v>
      </c>
      <c r="B1298" s="29" t="s">
        <v>2444</v>
      </c>
      <c r="C1298" s="29" t="s">
        <v>608</v>
      </c>
      <c r="D1298" s="29" t="str">
        <f>VLOOKUP(C:C,'COUNT-CONT'!B:C,2,FALSE)</f>
        <v>Africa</v>
      </c>
      <c r="E1298" s="29">
        <v>7</v>
      </c>
      <c r="F1298" s="28">
        <v>2761</v>
      </c>
      <c r="G1298" s="28">
        <v>3186406374</v>
      </c>
      <c r="H1298" s="29">
        <v>16.57</v>
      </c>
      <c r="I1298" s="142">
        <v>-62.87</v>
      </c>
      <c r="J1298" s="29">
        <v>4.26</v>
      </c>
      <c r="K1298" s="29">
        <v>2.84</v>
      </c>
      <c r="L1298" s="29">
        <v>11.85</v>
      </c>
      <c r="M1298" s="368"/>
      <c r="N1298" s="368"/>
      <c r="O1298" s="271">
        <f>IFERROR(Table17[[#This Row],[PROFIT]]/Table17[[#This Row],[TO]],0)</f>
        <v>0</v>
      </c>
      <c r="P1298" s="177"/>
      <c r="Q1298" s="177"/>
      <c r="R1298" s="177"/>
    </row>
    <row r="1299" spans="1:18" hidden="1" x14ac:dyDescent="0.25">
      <c r="A1299" s="29" t="s">
        <v>3844</v>
      </c>
      <c r="B1299" s="29" t="s">
        <v>3843</v>
      </c>
      <c r="C1299" s="29" t="s">
        <v>876</v>
      </c>
      <c r="D1299" s="29" t="str">
        <f>VLOOKUP(C:C,'COUNT-CONT'!B:C,2,FALSE)</f>
        <v>Europe</v>
      </c>
      <c r="E1299" s="29">
        <v>4</v>
      </c>
      <c r="F1299" s="28">
        <v>1838</v>
      </c>
      <c r="G1299" s="28">
        <v>4165947825</v>
      </c>
      <c r="H1299" s="29">
        <v>16.54</v>
      </c>
      <c r="I1299" s="142">
        <v>-62.9</v>
      </c>
      <c r="J1299" s="29">
        <v>10.07</v>
      </c>
      <c r="K1299" s="29">
        <v>9.6999999999999993</v>
      </c>
      <c r="L1299" s="29">
        <v>17.989999999999998</v>
      </c>
      <c r="M1299" s="368"/>
      <c r="N1299" s="368"/>
      <c r="O1299" s="271">
        <f>IFERROR(Table17[[#This Row],[PROFIT]]/Table17[[#This Row],[TO]],0)</f>
        <v>0</v>
      </c>
      <c r="P1299" s="177"/>
      <c r="Q1299" s="177"/>
      <c r="R1299" s="177"/>
    </row>
    <row r="1300" spans="1:18" hidden="1" x14ac:dyDescent="0.25">
      <c r="A1300" s="29" t="s">
        <v>2274</v>
      </c>
      <c r="B1300" s="29" t="s">
        <v>2273</v>
      </c>
      <c r="C1300" s="29" t="s">
        <v>1070</v>
      </c>
      <c r="D1300" s="29" t="str">
        <f>VLOOKUP(C:C,'COUNT-CONT'!B:C,2,FALSE)</f>
        <v>Asia</v>
      </c>
      <c r="E1300" s="29">
        <v>3</v>
      </c>
      <c r="F1300" s="28">
        <v>1676</v>
      </c>
      <c r="G1300" s="28">
        <v>3299124582</v>
      </c>
      <c r="H1300" s="29">
        <v>16.54</v>
      </c>
      <c r="I1300" s="142">
        <v>-62.9</v>
      </c>
      <c r="J1300" s="29">
        <v>3.84</v>
      </c>
      <c r="K1300" s="29">
        <v>2.48</v>
      </c>
      <c r="L1300" s="29">
        <v>11.34</v>
      </c>
      <c r="M1300" s="368"/>
      <c r="N1300" s="368"/>
      <c r="O1300" s="271">
        <f>IFERROR(Table17[[#This Row],[PROFIT]]/Table17[[#This Row],[TO]],0)</f>
        <v>0</v>
      </c>
      <c r="P1300" s="177"/>
      <c r="Q1300" s="177"/>
      <c r="R1300" s="177"/>
    </row>
    <row r="1301" spans="1:18" hidden="1" x14ac:dyDescent="0.25">
      <c r="A1301" s="29" t="s">
        <v>3388</v>
      </c>
      <c r="B1301" s="29" t="s">
        <v>3387</v>
      </c>
      <c r="C1301" s="29" t="s">
        <v>733</v>
      </c>
      <c r="D1301" s="29" t="str">
        <f>VLOOKUP(C:C,'COUNT-CONT'!B:C,2,FALSE)</f>
        <v>Europe</v>
      </c>
      <c r="E1301" s="29">
        <v>10</v>
      </c>
      <c r="F1301" s="28">
        <v>3352</v>
      </c>
      <c r="G1301" s="28">
        <v>3670062291</v>
      </c>
      <c r="H1301" s="29">
        <v>16.54</v>
      </c>
      <c r="I1301" s="142">
        <v>-62.9</v>
      </c>
      <c r="J1301" s="29">
        <v>7.8</v>
      </c>
      <c r="K1301" s="29">
        <v>7.16</v>
      </c>
      <c r="L1301" s="29">
        <v>15.6</v>
      </c>
      <c r="M1301" s="368"/>
      <c r="N1301" s="368"/>
      <c r="O1301" s="271">
        <f>IFERROR(Table17[[#This Row],[PROFIT]]/Table17[[#This Row],[TO]],0)</f>
        <v>0</v>
      </c>
      <c r="P1301" s="177"/>
      <c r="Q1301" s="177"/>
      <c r="R1301" s="177"/>
    </row>
    <row r="1302" spans="1:18" ht="30" hidden="1" x14ac:dyDescent="0.25">
      <c r="A1302" s="29" t="s">
        <v>3976</v>
      </c>
      <c r="B1302" s="29" t="s">
        <v>3975</v>
      </c>
      <c r="C1302" s="29" t="s">
        <v>514</v>
      </c>
      <c r="D1302" s="29" t="str">
        <f>VLOOKUP(C:C,'COUNT-CONT'!B:C,2,FALSE)</f>
        <v>North America</v>
      </c>
      <c r="E1302" s="29">
        <v>3</v>
      </c>
      <c r="F1302" s="28">
        <v>1562</v>
      </c>
      <c r="G1302" s="28">
        <v>4349625352</v>
      </c>
      <c r="H1302" s="29">
        <v>16.54</v>
      </c>
      <c r="I1302" s="142">
        <v>-62.9</v>
      </c>
      <c r="J1302" s="29">
        <v>10.88</v>
      </c>
      <c r="K1302" s="29">
        <v>10.52</v>
      </c>
      <c r="L1302" s="29">
        <v>18.8</v>
      </c>
      <c r="M1302" s="368"/>
      <c r="N1302" s="368"/>
      <c r="O1302" s="271">
        <f>IFERROR(Table17[[#This Row],[PROFIT]]/Table17[[#This Row],[TO]],0)</f>
        <v>0</v>
      </c>
      <c r="P1302" s="177"/>
      <c r="Q1302" s="177"/>
      <c r="R1302" s="177"/>
    </row>
    <row r="1303" spans="1:18" ht="30" hidden="1" x14ac:dyDescent="0.25">
      <c r="A1303" s="29" t="s">
        <v>3986</v>
      </c>
      <c r="B1303" s="29" t="s">
        <v>3985</v>
      </c>
      <c r="C1303" s="29" t="s">
        <v>514</v>
      </c>
      <c r="D1303" s="29" t="str">
        <f>VLOOKUP(C:C,'COUNT-CONT'!B:C,2,FALSE)</f>
        <v>North America</v>
      </c>
      <c r="E1303" s="29">
        <v>7</v>
      </c>
      <c r="F1303" s="28">
        <v>2819</v>
      </c>
      <c r="G1303" s="28">
        <v>4158209294</v>
      </c>
      <c r="H1303" s="29">
        <v>16.54</v>
      </c>
      <c r="I1303" s="142">
        <v>-62.9</v>
      </c>
      <c r="J1303" s="29">
        <v>10.88</v>
      </c>
      <c r="K1303" s="29">
        <v>10.52</v>
      </c>
      <c r="L1303" s="29">
        <v>18.8</v>
      </c>
      <c r="M1303" s="368"/>
      <c r="N1303" s="368"/>
      <c r="O1303" s="271">
        <f>IFERROR(Table17[[#This Row],[PROFIT]]/Table17[[#This Row],[TO]],0)</f>
        <v>0</v>
      </c>
      <c r="P1303" s="177"/>
      <c r="Q1303" s="177"/>
      <c r="R1303" s="177"/>
    </row>
    <row r="1304" spans="1:18" ht="30" hidden="1" x14ac:dyDescent="0.25">
      <c r="A1304" s="29" t="s">
        <v>3031</v>
      </c>
      <c r="B1304" s="29" t="s">
        <v>3030</v>
      </c>
      <c r="C1304" s="29" t="s">
        <v>860</v>
      </c>
      <c r="D1304" s="29" t="str">
        <f>VLOOKUP(C:C,'COUNT-CONT'!B:C,2,FALSE)</f>
        <v>South America</v>
      </c>
      <c r="E1304" s="29">
        <v>6</v>
      </c>
      <c r="F1304" s="28">
        <v>2331</v>
      </c>
      <c r="G1304" s="28">
        <v>3486300471</v>
      </c>
      <c r="H1304" s="29">
        <v>16.510000000000002</v>
      </c>
      <c r="I1304" s="142">
        <v>-62.929999999999993</v>
      </c>
      <c r="J1304" s="29">
        <v>6.53</v>
      </c>
      <c r="K1304" s="29">
        <v>5.38</v>
      </c>
      <c r="L1304" s="29">
        <v>14.24</v>
      </c>
      <c r="M1304" s="368"/>
      <c r="N1304" s="368"/>
      <c r="O1304" s="271">
        <f>IFERROR(Table17[[#This Row],[PROFIT]]/Table17[[#This Row],[TO]],0)</f>
        <v>0</v>
      </c>
      <c r="P1304" s="177"/>
      <c r="Q1304" s="177"/>
      <c r="R1304" s="177"/>
    </row>
    <row r="1305" spans="1:18" hidden="1" x14ac:dyDescent="0.25">
      <c r="A1305" s="29" t="s">
        <v>3101</v>
      </c>
      <c r="B1305" s="29" t="s">
        <v>3100</v>
      </c>
      <c r="C1305" s="29" t="s">
        <v>1117</v>
      </c>
      <c r="D1305" s="29" t="str">
        <f>VLOOKUP(C:C,'COUNT-CONT'!B:C,2,FALSE)</f>
        <v>Europe</v>
      </c>
      <c r="E1305" s="29">
        <v>6</v>
      </c>
      <c r="F1305" s="28">
        <v>2522</v>
      </c>
      <c r="G1305" s="28">
        <v>3501361776</v>
      </c>
      <c r="H1305" s="29">
        <v>16.510000000000002</v>
      </c>
      <c r="I1305" s="142">
        <v>-62.929999999999993</v>
      </c>
      <c r="J1305" s="29">
        <v>6.92</v>
      </c>
      <c r="K1305" s="29">
        <v>5.77</v>
      </c>
      <c r="L1305" s="29">
        <v>14.48</v>
      </c>
      <c r="M1305" s="368"/>
      <c r="N1305" s="368"/>
      <c r="O1305" s="271">
        <f>IFERROR(Table17[[#This Row],[PROFIT]]/Table17[[#This Row],[TO]],0)</f>
        <v>0</v>
      </c>
      <c r="P1305" s="177"/>
      <c r="Q1305" s="177"/>
      <c r="R1305" s="177"/>
    </row>
    <row r="1306" spans="1:18" ht="30" hidden="1" x14ac:dyDescent="0.25">
      <c r="A1306" s="29" t="s">
        <v>3212</v>
      </c>
      <c r="B1306" s="29" t="s">
        <v>3211</v>
      </c>
      <c r="C1306" s="29" t="s">
        <v>758</v>
      </c>
      <c r="D1306" s="29" t="str">
        <f>VLOOKUP(C:C,'COUNT-CONT'!B:C,2,FALSE)</f>
        <v>Europe</v>
      </c>
      <c r="E1306" s="29">
        <v>6</v>
      </c>
      <c r="F1306" s="28">
        <v>2525</v>
      </c>
      <c r="G1306" s="28">
        <v>3584643564</v>
      </c>
      <c r="H1306" s="29">
        <v>16.48</v>
      </c>
      <c r="I1306" s="142">
        <v>-62.959999999999994</v>
      </c>
      <c r="J1306" s="29">
        <v>7.5</v>
      </c>
      <c r="K1306" s="29">
        <v>6.29</v>
      </c>
      <c r="L1306" s="29">
        <v>14.99</v>
      </c>
      <c r="M1306" s="368"/>
      <c r="N1306" s="368"/>
      <c r="O1306" s="271">
        <f>IFERROR(Table17[[#This Row],[PROFIT]]/Table17[[#This Row],[TO]],0)</f>
        <v>0</v>
      </c>
      <c r="P1306" s="177"/>
      <c r="Q1306" s="177"/>
      <c r="R1306" s="177"/>
    </row>
    <row r="1307" spans="1:18" x14ac:dyDescent="0.25">
      <c r="A1307" s="29" t="s">
        <v>3776</v>
      </c>
      <c r="B1307" s="29" t="s">
        <v>3775</v>
      </c>
      <c r="C1307" s="29" t="s">
        <v>774</v>
      </c>
      <c r="D1307" s="29" t="str">
        <f>VLOOKUP(C:C,'COUNT-CONT'!B:C,2,FALSE)</f>
        <v>Oceania</v>
      </c>
      <c r="E1307" s="29">
        <v>5</v>
      </c>
      <c r="F1307" s="28">
        <v>2127</v>
      </c>
      <c r="G1307" s="28">
        <v>4052760319</v>
      </c>
      <c r="H1307" s="29">
        <v>16.48</v>
      </c>
      <c r="I1307" s="142">
        <v>-62.959999999999994</v>
      </c>
      <c r="J1307" s="29">
        <v>9.82</v>
      </c>
      <c r="K1307" s="29">
        <v>9.1</v>
      </c>
      <c r="L1307" s="29">
        <v>17.53</v>
      </c>
      <c r="M1307" s="368"/>
      <c r="N1307" s="368"/>
      <c r="O1307" s="271">
        <f>IFERROR(Table17[[#This Row],[PROFIT]]/Table17[[#This Row],[TO]],0)</f>
        <v>0</v>
      </c>
      <c r="P1307" s="177"/>
      <c r="Q1307" s="177"/>
      <c r="R1307" s="177"/>
    </row>
    <row r="1308" spans="1:18" ht="30" hidden="1" x14ac:dyDescent="0.25">
      <c r="A1308" s="29" t="s">
        <v>4420</v>
      </c>
      <c r="B1308" s="29" t="s">
        <v>4419</v>
      </c>
      <c r="C1308" s="29" t="s">
        <v>11732</v>
      </c>
      <c r="D1308" s="29" t="str">
        <f>VLOOKUP(C:C,'COUNT-CONT'!B:C,2,FALSE)</f>
        <v>North America</v>
      </c>
      <c r="E1308" s="29">
        <v>6</v>
      </c>
      <c r="F1308" s="28">
        <v>2546</v>
      </c>
      <c r="G1308" s="28">
        <v>4656250274</v>
      </c>
      <c r="H1308" s="29">
        <v>16.48</v>
      </c>
      <c r="I1308" s="142">
        <v>-62.959999999999994</v>
      </c>
      <c r="J1308" s="29">
        <v>13.42</v>
      </c>
      <c r="K1308" s="29">
        <v>13.42</v>
      </c>
      <c r="L1308" s="29">
        <v>21.67</v>
      </c>
      <c r="M1308" s="368"/>
      <c r="N1308" s="368"/>
      <c r="O1308" s="271">
        <f>IFERROR(Table17[[#This Row],[PROFIT]]/Table17[[#This Row],[TO]],0)</f>
        <v>0</v>
      </c>
      <c r="P1308" s="177"/>
      <c r="Q1308" s="177"/>
      <c r="R1308" s="177"/>
    </row>
    <row r="1309" spans="1:18" hidden="1" x14ac:dyDescent="0.25">
      <c r="A1309" s="29" t="s">
        <v>2970</v>
      </c>
      <c r="B1309" s="29" t="s">
        <v>2969</v>
      </c>
      <c r="C1309" s="29" t="s">
        <v>14</v>
      </c>
      <c r="D1309" s="29" t="str">
        <f>VLOOKUP(C:C,'COUNT-CONT'!B:C,2,FALSE)</f>
        <v>Asia</v>
      </c>
      <c r="E1309" s="29">
        <v>6</v>
      </c>
      <c r="F1309" s="28">
        <v>2398</v>
      </c>
      <c r="G1309" s="28">
        <v>3446315596</v>
      </c>
      <c r="H1309" s="29">
        <v>16.48</v>
      </c>
      <c r="I1309" s="142">
        <v>-62.959999999999994</v>
      </c>
      <c r="J1309" s="29">
        <v>6.41</v>
      </c>
      <c r="K1309" s="29">
        <v>5.29</v>
      </c>
      <c r="L1309" s="29">
        <v>13.97</v>
      </c>
      <c r="M1309" s="368"/>
      <c r="N1309" s="368"/>
      <c r="O1309" s="271">
        <f>IFERROR(Table17[[#This Row],[PROFIT]]/Table17[[#This Row],[TO]],0)</f>
        <v>0</v>
      </c>
      <c r="P1309" s="177"/>
      <c r="Q1309" s="177"/>
      <c r="R1309" s="177"/>
    </row>
    <row r="1310" spans="1:18" ht="30" hidden="1" x14ac:dyDescent="0.25">
      <c r="A1310" s="29" t="s">
        <v>4416</v>
      </c>
      <c r="B1310" s="29" t="s">
        <v>4415</v>
      </c>
      <c r="C1310" s="29" t="s">
        <v>11732</v>
      </c>
      <c r="D1310" s="29" t="str">
        <f>VLOOKUP(C:C,'COUNT-CONT'!B:C,2,FALSE)</f>
        <v>North America</v>
      </c>
      <c r="E1310" s="29">
        <v>10</v>
      </c>
      <c r="F1310" s="28">
        <v>4295</v>
      </c>
      <c r="G1310" s="28">
        <v>4641611757</v>
      </c>
      <c r="H1310" s="29">
        <v>16.440000000000001</v>
      </c>
      <c r="I1310" s="142">
        <v>-63</v>
      </c>
      <c r="J1310" s="29">
        <v>13.39</v>
      </c>
      <c r="K1310" s="29">
        <v>13.39</v>
      </c>
      <c r="L1310" s="29">
        <v>21.64</v>
      </c>
      <c r="M1310" s="368"/>
      <c r="N1310" s="368"/>
      <c r="O1310" s="271">
        <f>IFERROR(Table17[[#This Row],[PROFIT]]/Table17[[#This Row],[TO]],0)</f>
        <v>0</v>
      </c>
      <c r="P1310" s="177"/>
      <c r="Q1310" s="177"/>
      <c r="R1310" s="177"/>
    </row>
    <row r="1311" spans="1:18" ht="30" hidden="1" x14ac:dyDescent="0.25">
      <c r="A1311" s="29" t="s">
        <v>4424</v>
      </c>
      <c r="B1311" s="29" t="s">
        <v>4423</v>
      </c>
      <c r="C1311" s="29" t="s">
        <v>11732</v>
      </c>
      <c r="D1311" s="29" t="str">
        <f>VLOOKUP(C:C,'COUNT-CONT'!B:C,2,FALSE)</f>
        <v>North America</v>
      </c>
      <c r="E1311" s="29">
        <v>9</v>
      </c>
      <c r="F1311" s="28">
        <v>3347</v>
      </c>
      <c r="G1311" s="28">
        <v>4628052524</v>
      </c>
      <c r="H1311" s="29">
        <v>16.440000000000001</v>
      </c>
      <c r="I1311" s="142">
        <v>-63</v>
      </c>
      <c r="J1311" s="29">
        <v>13.42</v>
      </c>
      <c r="K1311" s="29">
        <v>13.42</v>
      </c>
      <c r="L1311" s="29">
        <v>21.67</v>
      </c>
      <c r="M1311" s="368"/>
      <c r="N1311" s="368"/>
      <c r="O1311" s="271">
        <f>IFERROR(Table17[[#This Row],[PROFIT]]/Table17[[#This Row],[TO]],0)</f>
        <v>0</v>
      </c>
      <c r="P1311" s="177"/>
      <c r="Q1311" s="177"/>
      <c r="R1311" s="177"/>
    </row>
    <row r="1312" spans="1:18" hidden="1" x14ac:dyDescent="0.25">
      <c r="A1312" s="29" t="s">
        <v>2870</v>
      </c>
      <c r="B1312" s="29" t="s">
        <v>2869</v>
      </c>
      <c r="C1312" s="29" t="s">
        <v>78</v>
      </c>
      <c r="D1312" s="29" t="str">
        <f>VLOOKUP(C:C,'COUNT-CONT'!B:C,2,FALSE)</f>
        <v>Europe</v>
      </c>
      <c r="E1312" s="29">
        <v>8</v>
      </c>
      <c r="F1312" s="28">
        <v>2840</v>
      </c>
      <c r="G1312" s="28">
        <v>3353423943</v>
      </c>
      <c r="H1312" s="29">
        <v>16.440000000000001</v>
      </c>
      <c r="I1312" s="142">
        <v>-63</v>
      </c>
      <c r="J1312" s="29">
        <v>5.93</v>
      </c>
      <c r="K1312" s="29">
        <v>4.84</v>
      </c>
      <c r="L1312" s="29">
        <v>13.48</v>
      </c>
      <c r="M1312" s="368"/>
      <c r="N1312" s="368"/>
      <c r="O1312" s="271">
        <f>IFERROR(Table17[[#This Row],[PROFIT]]/Table17[[#This Row],[TO]],0)</f>
        <v>0</v>
      </c>
      <c r="P1312" s="177"/>
      <c r="Q1312" s="177"/>
      <c r="R1312" s="177"/>
    </row>
    <row r="1313" spans="1:18" hidden="1" x14ac:dyDescent="0.25">
      <c r="A1313" s="29" t="s">
        <v>2968</v>
      </c>
      <c r="B1313" s="29" t="s">
        <v>2967</v>
      </c>
      <c r="C1313" s="29" t="s">
        <v>14</v>
      </c>
      <c r="D1313" s="29" t="str">
        <f>VLOOKUP(C:C,'COUNT-CONT'!B:C,2,FALSE)</f>
        <v>Asia</v>
      </c>
      <c r="E1313" s="29">
        <v>6</v>
      </c>
      <c r="F1313" s="28">
        <v>2428</v>
      </c>
      <c r="G1313" s="28">
        <v>3440447775</v>
      </c>
      <c r="H1313" s="29">
        <v>16.440000000000001</v>
      </c>
      <c r="I1313" s="142">
        <v>-63</v>
      </c>
      <c r="J1313" s="29">
        <v>6.41</v>
      </c>
      <c r="K1313" s="29">
        <v>5.29</v>
      </c>
      <c r="L1313" s="29">
        <v>13.94</v>
      </c>
      <c r="M1313" s="368"/>
      <c r="N1313" s="368"/>
      <c r="O1313" s="271">
        <f>IFERROR(Table17[[#This Row],[PROFIT]]/Table17[[#This Row],[TO]],0)</f>
        <v>0</v>
      </c>
      <c r="P1313" s="177"/>
      <c r="Q1313" s="177"/>
      <c r="R1313" s="177"/>
    </row>
    <row r="1314" spans="1:18" hidden="1" x14ac:dyDescent="0.25">
      <c r="A1314" s="29" t="s">
        <v>3723</v>
      </c>
      <c r="B1314" s="29" t="s">
        <v>3722</v>
      </c>
      <c r="C1314" s="29" t="s">
        <v>807</v>
      </c>
      <c r="D1314" s="29" t="str">
        <f>VLOOKUP(C:C,'COUNT-CONT'!B:C,2,FALSE)</f>
        <v>Europe</v>
      </c>
      <c r="E1314" s="29">
        <v>9</v>
      </c>
      <c r="F1314" s="28">
        <v>3054</v>
      </c>
      <c r="G1314" s="28">
        <v>3932583366</v>
      </c>
      <c r="H1314" s="29">
        <v>16.440000000000001</v>
      </c>
      <c r="I1314" s="142">
        <v>-63</v>
      </c>
      <c r="J1314" s="29">
        <v>9.25</v>
      </c>
      <c r="K1314" s="29">
        <v>8.89</v>
      </c>
      <c r="L1314" s="29">
        <v>17.14</v>
      </c>
      <c r="M1314" s="368"/>
      <c r="N1314" s="368"/>
      <c r="O1314" s="271">
        <f>IFERROR(Table17[[#This Row],[PROFIT]]/Table17[[#This Row],[TO]],0)</f>
        <v>0</v>
      </c>
      <c r="P1314" s="177"/>
      <c r="Q1314" s="177"/>
      <c r="R1314" s="177"/>
    </row>
    <row r="1315" spans="1:18" ht="30" hidden="1" x14ac:dyDescent="0.25">
      <c r="A1315" s="29" t="s">
        <v>3195</v>
      </c>
      <c r="B1315" s="29" t="s">
        <v>3194</v>
      </c>
      <c r="C1315" s="29" t="s">
        <v>1749</v>
      </c>
      <c r="D1315" s="29" t="str">
        <f>VLOOKUP(C:C,'COUNT-CONT'!B:C,2,FALSE)</f>
        <v>North America</v>
      </c>
      <c r="E1315" s="29">
        <v>5</v>
      </c>
      <c r="F1315" s="28">
        <v>2121</v>
      </c>
      <c r="G1315" s="28">
        <v>3604623290</v>
      </c>
      <c r="H1315" s="29">
        <v>16.41</v>
      </c>
      <c r="I1315" s="142">
        <v>-63.03</v>
      </c>
      <c r="J1315" s="29">
        <v>7.47</v>
      </c>
      <c r="K1315" s="29">
        <v>6.26</v>
      </c>
      <c r="L1315" s="29">
        <v>14.93</v>
      </c>
      <c r="M1315" s="368"/>
      <c r="N1315" s="368"/>
      <c r="O1315" s="271">
        <f>IFERROR(Table17[[#This Row],[PROFIT]]/Table17[[#This Row],[TO]],0)</f>
        <v>0</v>
      </c>
      <c r="P1315" s="177"/>
      <c r="Q1315" s="177"/>
      <c r="R1315" s="177"/>
    </row>
    <row r="1316" spans="1:18" x14ac:dyDescent="0.25">
      <c r="A1316" s="29" t="s">
        <v>1967</v>
      </c>
      <c r="B1316" s="29" t="s">
        <v>1966</v>
      </c>
      <c r="C1316" s="29" t="s">
        <v>1870</v>
      </c>
      <c r="D1316" s="29" t="str">
        <f>VLOOKUP(C:C,'COUNT-CONT'!B:C,2,FALSE)</f>
        <v>Oceania</v>
      </c>
      <c r="E1316" s="29">
        <v>4</v>
      </c>
      <c r="F1316" s="28">
        <v>1833</v>
      </c>
      <c r="G1316" s="28">
        <v>3269009110</v>
      </c>
      <c r="H1316" s="29">
        <v>16.41</v>
      </c>
      <c r="I1316" s="142">
        <v>-63.03</v>
      </c>
      <c r="J1316" s="29">
        <v>3.11</v>
      </c>
      <c r="K1316" s="29">
        <v>1.45</v>
      </c>
      <c r="L1316" s="29">
        <v>10.4</v>
      </c>
      <c r="M1316" s="368"/>
      <c r="N1316" s="368"/>
      <c r="O1316" s="271">
        <f>IFERROR(Table17[[#This Row],[PROFIT]]/Table17[[#This Row],[TO]],0)</f>
        <v>0</v>
      </c>
      <c r="P1316" s="177"/>
      <c r="Q1316" s="177"/>
      <c r="R1316" s="177"/>
    </row>
    <row r="1317" spans="1:18" hidden="1" x14ac:dyDescent="0.25">
      <c r="A1317" s="29" t="s">
        <v>2954</v>
      </c>
      <c r="B1317" s="29" t="s">
        <v>2953</v>
      </c>
      <c r="C1317" s="29" t="s">
        <v>14</v>
      </c>
      <c r="D1317" s="29" t="str">
        <f>VLOOKUP(C:C,'COUNT-CONT'!B:C,2,FALSE)</f>
        <v>Asia</v>
      </c>
      <c r="E1317" s="29">
        <v>6</v>
      </c>
      <c r="F1317" s="28">
        <v>2317</v>
      </c>
      <c r="G1317" s="28">
        <v>3443151834</v>
      </c>
      <c r="H1317" s="29">
        <v>16.38</v>
      </c>
      <c r="I1317" s="142">
        <v>-63.06</v>
      </c>
      <c r="J1317" s="29">
        <v>6.38</v>
      </c>
      <c r="K1317" s="29">
        <v>5.26</v>
      </c>
      <c r="L1317" s="29">
        <v>13.88</v>
      </c>
      <c r="M1317" s="368"/>
      <c r="N1317" s="368"/>
      <c r="O1317" s="271">
        <f>IFERROR(Table17[[#This Row],[PROFIT]]/Table17[[#This Row],[TO]],0)</f>
        <v>0</v>
      </c>
      <c r="P1317" s="177"/>
      <c r="Q1317" s="177"/>
      <c r="R1317" s="177"/>
    </row>
    <row r="1318" spans="1:18" hidden="1" x14ac:dyDescent="0.25">
      <c r="A1318" s="29" t="s">
        <v>3952</v>
      </c>
      <c r="B1318" s="29" t="s">
        <v>3951</v>
      </c>
      <c r="C1318" s="29" t="s">
        <v>119</v>
      </c>
      <c r="D1318" s="29" t="str">
        <f>VLOOKUP(C:C,'COUNT-CONT'!B:C,2,FALSE)</f>
        <v>Europe</v>
      </c>
      <c r="E1318" s="29">
        <v>5</v>
      </c>
      <c r="F1318" s="28">
        <v>2274</v>
      </c>
      <c r="G1318" s="28">
        <v>4177929111</v>
      </c>
      <c r="H1318" s="29">
        <v>16.38</v>
      </c>
      <c r="I1318" s="142">
        <v>-63.06</v>
      </c>
      <c r="J1318" s="29">
        <v>10.79</v>
      </c>
      <c r="K1318" s="29">
        <v>10.43</v>
      </c>
      <c r="L1318" s="29">
        <v>18.649999999999999</v>
      </c>
      <c r="M1318" s="368"/>
      <c r="N1318" s="368"/>
      <c r="O1318" s="271">
        <f>IFERROR(Table17[[#This Row],[PROFIT]]/Table17[[#This Row],[TO]],0)</f>
        <v>0</v>
      </c>
      <c r="P1318" s="177"/>
      <c r="Q1318" s="177"/>
      <c r="R1318" s="177"/>
    </row>
    <row r="1319" spans="1:18" ht="30" hidden="1" x14ac:dyDescent="0.25">
      <c r="A1319" s="29" t="s">
        <v>4406</v>
      </c>
      <c r="B1319" s="29" t="s">
        <v>4405</v>
      </c>
      <c r="C1319" s="29" t="s">
        <v>11732</v>
      </c>
      <c r="D1319" s="29" t="str">
        <f>VLOOKUP(C:C,'COUNT-CONT'!B:C,2,FALSE)</f>
        <v>North America</v>
      </c>
      <c r="E1319" s="29">
        <v>10</v>
      </c>
      <c r="F1319" s="28">
        <v>3638</v>
      </c>
      <c r="G1319" s="28">
        <v>4613863936</v>
      </c>
      <c r="H1319" s="29">
        <v>16.350000000000001</v>
      </c>
      <c r="I1319" s="142">
        <v>-63.089999999999996</v>
      </c>
      <c r="J1319" s="29">
        <v>13.36</v>
      </c>
      <c r="K1319" s="29">
        <v>13.36</v>
      </c>
      <c r="L1319" s="29">
        <v>21.55</v>
      </c>
      <c r="M1319" s="368"/>
      <c r="N1319" s="368"/>
      <c r="O1319" s="271">
        <f>IFERROR(Table17[[#This Row],[PROFIT]]/Table17[[#This Row],[TO]],0)</f>
        <v>0</v>
      </c>
      <c r="P1319" s="177"/>
      <c r="Q1319" s="177"/>
      <c r="R1319" s="177"/>
    </row>
    <row r="1320" spans="1:18" ht="30" hidden="1" x14ac:dyDescent="0.25">
      <c r="A1320" s="29" t="s">
        <v>2645</v>
      </c>
      <c r="B1320" s="29" t="s">
        <v>2644</v>
      </c>
      <c r="C1320" s="29" t="s">
        <v>1144</v>
      </c>
      <c r="D1320" s="29" t="str">
        <f>VLOOKUP(C:C,'COUNT-CONT'!B:C,2,FALSE)</f>
        <v>South America</v>
      </c>
      <c r="E1320" s="29">
        <v>4</v>
      </c>
      <c r="F1320" s="28">
        <v>2010</v>
      </c>
      <c r="G1320" s="28">
        <v>3312863681</v>
      </c>
      <c r="H1320" s="29">
        <v>16.350000000000001</v>
      </c>
      <c r="I1320" s="142">
        <v>-63.089999999999996</v>
      </c>
      <c r="J1320" s="29">
        <v>5.26</v>
      </c>
      <c r="K1320" s="29">
        <v>3.75</v>
      </c>
      <c r="L1320" s="29">
        <v>12.58</v>
      </c>
      <c r="M1320" s="368"/>
      <c r="N1320" s="368"/>
      <c r="O1320" s="271">
        <f>IFERROR(Table17[[#This Row],[PROFIT]]/Table17[[#This Row],[TO]],0)</f>
        <v>0</v>
      </c>
      <c r="P1320" s="177"/>
      <c r="Q1320" s="177"/>
      <c r="R1320" s="177"/>
    </row>
    <row r="1321" spans="1:18" hidden="1" x14ac:dyDescent="0.25">
      <c r="A1321" s="29" t="s">
        <v>3074</v>
      </c>
      <c r="B1321" s="29" t="s">
        <v>3073</v>
      </c>
      <c r="C1321" s="29" t="s">
        <v>172</v>
      </c>
      <c r="D1321" s="29" t="str">
        <f>VLOOKUP(C:C,'COUNT-CONT'!B:C,2,FALSE)</f>
        <v>Asia</v>
      </c>
      <c r="E1321" s="29">
        <v>9</v>
      </c>
      <c r="F1321" s="28">
        <v>3227</v>
      </c>
      <c r="G1321" s="28">
        <v>3461673876</v>
      </c>
      <c r="H1321" s="29">
        <v>16.350000000000001</v>
      </c>
      <c r="I1321" s="142">
        <v>-63.089999999999996</v>
      </c>
      <c r="J1321" s="29">
        <v>6.59</v>
      </c>
      <c r="K1321" s="29">
        <v>5.74</v>
      </c>
      <c r="L1321" s="29">
        <v>14.36</v>
      </c>
      <c r="M1321" s="368"/>
      <c r="N1321" s="368"/>
      <c r="O1321" s="271">
        <f>IFERROR(Table17[[#This Row],[PROFIT]]/Table17[[#This Row],[TO]],0)</f>
        <v>0</v>
      </c>
      <c r="P1321" s="177"/>
      <c r="Q1321" s="177"/>
      <c r="R1321" s="177"/>
    </row>
    <row r="1322" spans="1:18" hidden="1" x14ac:dyDescent="0.25">
      <c r="A1322" s="29" t="s">
        <v>1965</v>
      </c>
      <c r="B1322" s="29" t="s">
        <v>1964</v>
      </c>
      <c r="C1322" s="29" t="s">
        <v>644</v>
      </c>
      <c r="D1322" s="29" t="str">
        <f>VLOOKUP(C:C,'COUNT-CONT'!B:C,2,FALSE)</f>
        <v>Africa</v>
      </c>
      <c r="E1322" s="29">
        <v>10</v>
      </c>
      <c r="F1322" s="28">
        <v>3508</v>
      </c>
      <c r="G1322" s="28">
        <v>3114768985</v>
      </c>
      <c r="H1322" s="29">
        <v>16.350000000000001</v>
      </c>
      <c r="I1322" s="142">
        <v>-63.089999999999996</v>
      </c>
      <c r="J1322" s="29">
        <v>3.08</v>
      </c>
      <c r="K1322" s="29">
        <v>1.45</v>
      </c>
      <c r="L1322" s="29">
        <v>10.37</v>
      </c>
      <c r="M1322" s="368"/>
      <c r="N1322" s="368"/>
      <c r="O1322" s="271">
        <f>IFERROR(Table17[[#This Row],[PROFIT]]/Table17[[#This Row],[TO]],0)</f>
        <v>0</v>
      </c>
      <c r="P1322" s="177"/>
      <c r="Q1322" s="177"/>
      <c r="R1322" s="177"/>
    </row>
    <row r="1323" spans="1:18" ht="30" hidden="1" x14ac:dyDescent="0.25">
      <c r="A1323" s="29" t="s">
        <v>3763</v>
      </c>
      <c r="B1323" s="29" t="s">
        <v>3762</v>
      </c>
      <c r="C1323" s="29" t="s">
        <v>597</v>
      </c>
      <c r="D1323" s="29" t="str">
        <f>VLOOKUP(C:C,'COUNT-CONT'!B:C,2,FALSE)</f>
        <v>Europe</v>
      </c>
      <c r="E1323" s="29">
        <v>8</v>
      </c>
      <c r="F1323" s="28">
        <v>3032</v>
      </c>
      <c r="G1323" s="28">
        <v>3950396833</v>
      </c>
      <c r="H1323" s="29">
        <v>16.32</v>
      </c>
      <c r="I1323" s="142">
        <v>-63.12</v>
      </c>
      <c r="J1323" s="29">
        <v>9.6999999999999993</v>
      </c>
      <c r="K1323" s="29">
        <v>9.01</v>
      </c>
      <c r="L1323" s="29">
        <v>17.350000000000001</v>
      </c>
      <c r="M1323" s="368"/>
      <c r="N1323" s="368"/>
      <c r="O1323" s="271">
        <f>IFERROR(Table17[[#This Row],[PROFIT]]/Table17[[#This Row],[TO]],0)</f>
        <v>0</v>
      </c>
      <c r="P1323" s="177"/>
      <c r="Q1323" s="177"/>
      <c r="R1323" s="177"/>
    </row>
    <row r="1324" spans="1:18" hidden="1" x14ac:dyDescent="0.25">
      <c r="A1324" s="29" t="s">
        <v>1906</v>
      </c>
      <c r="B1324" s="29" t="s">
        <v>1905</v>
      </c>
      <c r="C1324" s="29" t="s">
        <v>938</v>
      </c>
      <c r="D1324" s="29" t="str">
        <f>VLOOKUP(C:C,'COUNT-CONT'!B:C,2,FALSE)</f>
        <v>Africa</v>
      </c>
      <c r="E1324" s="29">
        <v>5</v>
      </c>
      <c r="F1324" s="28">
        <v>3046</v>
      </c>
      <c r="G1324" s="28">
        <v>3030129349</v>
      </c>
      <c r="H1324" s="29">
        <v>16.32</v>
      </c>
      <c r="I1324" s="142">
        <v>-63.12</v>
      </c>
      <c r="J1324" s="29">
        <v>3.05</v>
      </c>
      <c r="K1324" s="29">
        <v>1.21</v>
      </c>
      <c r="L1324" s="29">
        <v>10.220000000000001</v>
      </c>
      <c r="M1324" s="368"/>
      <c r="N1324" s="368"/>
      <c r="O1324" s="271">
        <f>IFERROR(Table17[[#This Row],[PROFIT]]/Table17[[#This Row],[TO]],0)</f>
        <v>0</v>
      </c>
      <c r="P1324" s="177"/>
      <c r="Q1324" s="177"/>
      <c r="R1324" s="177"/>
    </row>
    <row r="1325" spans="1:18" hidden="1" x14ac:dyDescent="0.25">
      <c r="A1325" s="29" t="s">
        <v>1989</v>
      </c>
      <c r="B1325" s="29" t="s">
        <v>1988</v>
      </c>
      <c r="C1325" s="29" t="s">
        <v>1289</v>
      </c>
      <c r="D1325" s="29" t="str">
        <f>VLOOKUP(C:C,'COUNT-CONT'!B:C,2,FALSE)</f>
        <v>Asia</v>
      </c>
      <c r="E1325" s="29">
        <v>9</v>
      </c>
      <c r="F1325" s="28">
        <v>3208</v>
      </c>
      <c r="G1325" s="28">
        <v>3128492800</v>
      </c>
      <c r="H1325" s="29">
        <v>16.32</v>
      </c>
      <c r="I1325" s="142">
        <v>-63.12</v>
      </c>
      <c r="J1325" s="29">
        <v>3.11</v>
      </c>
      <c r="K1325" s="29">
        <v>1.66</v>
      </c>
      <c r="L1325" s="29">
        <v>10.46</v>
      </c>
      <c r="M1325" s="368"/>
      <c r="N1325" s="368"/>
      <c r="O1325" s="271">
        <f>IFERROR(Table17[[#This Row],[PROFIT]]/Table17[[#This Row],[TO]],0)</f>
        <v>0</v>
      </c>
      <c r="P1325" s="177"/>
      <c r="Q1325" s="177"/>
      <c r="R1325" s="177"/>
    </row>
    <row r="1326" spans="1:18" hidden="1" x14ac:dyDescent="0.25">
      <c r="A1326" s="29" t="s">
        <v>2836</v>
      </c>
      <c r="B1326" s="29" t="s">
        <v>2835</v>
      </c>
      <c r="C1326" s="29" t="s">
        <v>717</v>
      </c>
      <c r="D1326" s="29" t="str">
        <f>VLOOKUP(C:C,'COUNT-CONT'!B:C,2,FALSE)</f>
        <v>Asia</v>
      </c>
      <c r="E1326" s="29">
        <v>4</v>
      </c>
      <c r="F1326" s="28">
        <v>1980</v>
      </c>
      <c r="G1326" s="28">
        <v>3423455555</v>
      </c>
      <c r="H1326" s="29">
        <v>16.32</v>
      </c>
      <c r="I1326" s="142">
        <v>-63.12</v>
      </c>
      <c r="J1326" s="29">
        <v>5.86</v>
      </c>
      <c r="K1326" s="29">
        <v>4.8099999999999996</v>
      </c>
      <c r="L1326" s="29">
        <v>13.39</v>
      </c>
      <c r="M1326" s="368"/>
      <c r="N1326" s="368"/>
      <c r="O1326" s="271">
        <f>IFERROR(Table17[[#This Row],[PROFIT]]/Table17[[#This Row],[TO]],0)</f>
        <v>0</v>
      </c>
      <c r="P1326" s="177"/>
      <c r="Q1326" s="177"/>
      <c r="R1326" s="177"/>
    </row>
    <row r="1327" spans="1:18" ht="30" hidden="1" x14ac:dyDescent="0.25">
      <c r="A1327" s="29" t="s">
        <v>4389</v>
      </c>
      <c r="B1327" s="29" t="s">
        <v>4388</v>
      </c>
      <c r="C1327" s="29" t="s">
        <v>11732</v>
      </c>
      <c r="D1327" s="29" t="str">
        <f>VLOOKUP(C:C,'COUNT-CONT'!B:C,2,FALSE)</f>
        <v>North America</v>
      </c>
      <c r="E1327" s="29">
        <v>8</v>
      </c>
      <c r="F1327" s="28">
        <v>3123</v>
      </c>
      <c r="G1327" s="28">
        <v>4600225424</v>
      </c>
      <c r="H1327" s="29">
        <v>16.29</v>
      </c>
      <c r="I1327" s="142">
        <v>-63.15</v>
      </c>
      <c r="J1327" s="29">
        <v>13.27</v>
      </c>
      <c r="K1327" s="29">
        <v>13.27</v>
      </c>
      <c r="L1327" s="29">
        <v>21.43</v>
      </c>
      <c r="M1327" s="368"/>
      <c r="N1327" s="368"/>
      <c r="O1327" s="271">
        <f>IFERROR(Table17[[#This Row],[PROFIT]]/Table17[[#This Row],[TO]],0)</f>
        <v>0</v>
      </c>
      <c r="P1327" s="177"/>
      <c r="Q1327" s="177"/>
      <c r="R1327" s="177"/>
    </row>
    <row r="1328" spans="1:18" hidden="1" x14ac:dyDescent="0.25">
      <c r="A1328" s="29" t="s">
        <v>2994</v>
      </c>
      <c r="B1328" s="29" t="s">
        <v>2993</v>
      </c>
      <c r="C1328" s="29" t="s">
        <v>758</v>
      </c>
      <c r="D1328" s="29" t="str">
        <f>VLOOKUP(C:C,'COUNT-CONT'!B:C,2,FALSE)</f>
        <v>Europe</v>
      </c>
      <c r="E1328" s="29">
        <v>6</v>
      </c>
      <c r="F1328" s="28">
        <v>2520</v>
      </c>
      <c r="G1328" s="28">
        <v>3460707937</v>
      </c>
      <c r="H1328" s="29">
        <v>16.29</v>
      </c>
      <c r="I1328" s="142">
        <v>-63.15</v>
      </c>
      <c r="J1328" s="29">
        <v>6.44</v>
      </c>
      <c r="K1328" s="29">
        <v>5.32</v>
      </c>
      <c r="L1328" s="29">
        <v>14.06</v>
      </c>
      <c r="M1328" s="368"/>
      <c r="N1328" s="368"/>
      <c r="O1328" s="271">
        <f>IFERROR(Table17[[#This Row],[PROFIT]]/Table17[[#This Row],[TO]],0)</f>
        <v>0</v>
      </c>
      <c r="P1328" s="177"/>
      <c r="Q1328" s="177"/>
      <c r="R1328" s="177"/>
    </row>
    <row r="1329" spans="1:18" hidden="1" x14ac:dyDescent="0.25">
      <c r="A1329" s="29" t="s">
        <v>3048</v>
      </c>
      <c r="B1329" s="29" t="s">
        <v>3047</v>
      </c>
      <c r="C1329" s="29" t="s">
        <v>172</v>
      </c>
      <c r="D1329" s="29" t="str">
        <f>VLOOKUP(C:C,'COUNT-CONT'!B:C,2,FALSE)</f>
        <v>Asia</v>
      </c>
      <c r="E1329" s="29">
        <v>9</v>
      </c>
      <c r="F1329" s="28">
        <v>3227</v>
      </c>
      <c r="G1329" s="28">
        <v>3452073876</v>
      </c>
      <c r="H1329" s="29">
        <v>16.29</v>
      </c>
      <c r="I1329" s="142">
        <v>-63.15</v>
      </c>
      <c r="J1329" s="29">
        <v>6.56</v>
      </c>
      <c r="K1329" s="29">
        <v>5.71</v>
      </c>
      <c r="L1329" s="29">
        <v>14.3</v>
      </c>
      <c r="M1329" s="368"/>
      <c r="N1329" s="368"/>
      <c r="O1329" s="271">
        <f>IFERROR(Table17[[#This Row],[PROFIT]]/Table17[[#This Row],[TO]],0)</f>
        <v>0</v>
      </c>
      <c r="P1329" s="177"/>
      <c r="Q1329" s="177"/>
      <c r="R1329" s="177"/>
    </row>
    <row r="1330" spans="1:18" hidden="1" x14ac:dyDescent="0.25">
      <c r="A1330" s="29" t="s">
        <v>2938</v>
      </c>
      <c r="B1330" s="29" t="s">
        <v>2937</v>
      </c>
      <c r="C1330" s="29" t="s">
        <v>14</v>
      </c>
      <c r="D1330" s="29" t="str">
        <f>VLOOKUP(C:C,'COUNT-CONT'!B:C,2,FALSE)</f>
        <v>Asia</v>
      </c>
      <c r="E1330" s="29">
        <v>4</v>
      </c>
      <c r="F1330" s="28">
        <v>1813</v>
      </c>
      <c r="G1330" s="28">
        <v>3517129178</v>
      </c>
      <c r="H1330" s="29">
        <v>16.29</v>
      </c>
      <c r="I1330" s="142">
        <v>-63.15</v>
      </c>
      <c r="J1330" s="29">
        <v>6.35</v>
      </c>
      <c r="K1330" s="29">
        <v>5.23</v>
      </c>
      <c r="L1330" s="29">
        <v>13.81</v>
      </c>
      <c r="M1330" s="368"/>
      <c r="N1330" s="368"/>
      <c r="O1330" s="271">
        <f>IFERROR(Table17[[#This Row],[PROFIT]]/Table17[[#This Row],[TO]],0)</f>
        <v>0</v>
      </c>
      <c r="P1330" s="177"/>
      <c r="Q1330" s="177"/>
      <c r="R1330" s="177"/>
    </row>
    <row r="1331" spans="1:18" hidden="1" x14ac:dyDescent="0.25">
      <c r="A1331" s="29" t="s">
        <v>2229</v>
      </c>
      <c r="B1331" s="29" t="s">
        <v>2228</v>
      </c>
      <c r="C1331" s="29" t="s">
        <v>1070</v>
      </c>
      <c r="D1331" s="29" t="str">
        <f>VLOOKUP(C:C,'COUNT-CONT'!B:C,2,FALSE)</f>
        <v>Asia</v>
      </c>
      <c r="E1331" s="29">
        <v>7</v>
      </c>
      <c r="F1331" s="28">
        <v>2752</v>
      </c>
      <c r="G1331" s="28">
        <v>3125809302</v>
      </c>
      <c r="H1331" s="29">
        <v>16.260000000000002</v>
      </c>
      <c r="I1331" s="142">
        <v>-63.179999999999993</v>
      </c>
      <c r="J1331" s="29">
        <v>3.78</v>
      </c>
      <c r="K1331" s="29">
        <v>2.4500000000000002</v>
      </c>
      <c r="L1331" s="29">
        <v>11.15</v>
      </c>
      <c r="M1331" s="368"/>
      <c r="N1331" s="368"/>
      <c r="O1331" s="271">
        <f>IFERROR(Table17[[#This Row],[PROFIT]]/Table17[[#This Row],[TO]],0)</f>
        <v>0</v>
      </c>
      <c r="P1331" s="177"/>
      <c r="Q1331" s="177"/>
      <c r="R1331" s="177"/>
    </row>
    <row r="1332" spans="1:18" x14ac:dyDescent="0.25">
      <c r="A1332" s="29" t="s">
        <v>3670</v>
      </c>
      <c r="B1332" s="29" t="s">
        <v>3669</v>
      </c>
      <c r="C1332" s="29" t="s">
        <v>674</v>
      </c>
      <c r="D1332" s="29" t="str">
        <f>VLOOKUP(C:C,'COUNT-CONT'!B:C,2,FALSE)</f>
        <v>Oceania</v>
      </c>
      <c r="E1332" s="29">
        <v>6</v>
      </c>
      <c r="F1332" s="28">
        <v>2341</v>
      </c>
      <c r="G1332" s="28">
        <v>3874284664</v>
      </c>
      <c r="H1332" s="29">
        <v>16.260000000000002</v>
      </c>
      <c r="I1332" s="142">
        <v>-63.179999999999993</v>
      </c>
      <c r="J1332" s="29">
        <v>9.1300000000000008</v>
      </c>
      <c r="K1332" s="29">
        <v>8.4600000000000009</v>
      </c>
      <c r="L1332" s="29">
        <v>16.93</v>
      </c>
      <c r="M1332" s="368"/>
      <c r="N1332" s="368"/>
      <c r="O1332" s="271">
        <f>IFERROR(Table17[[#This Row],[PROFIT]]/Table17[[#This Row],[TO]],0)</f>
        <v>0</v>
      </c>
      <c r="P1332" s="177"/>
      <c r="Q1332" s="177"/>
      <c r="R1332" s="177"/>
    </row>
    <row r="1333" spans="1:18" ht="30" hidden="1" x14ac:dyDescent="0.25">
      <c r="A1333" s="29" t="s">
        <v>4383</v>
      </c>
      <c r="B1333" s="29" t="s">
        <v>4382</v>
      </c>
      <c r="C1333" s="29" t="s">
        <v>11732</v>
      </c>
      <c r="D1333" s="29" t="str">
        <f>VLOOKUP(C:C,'COUNT-CONT'!B:C,2,FALSE)</f>
        <v>North America</v>
      </c>
      <c r="E1333" s="29">
        <v>4</v>
      </c>
      <c r="F1333" s="28">
        <v>1922</v>
      </c>
      <c r="G1333" s="28">
        <v>4703520499</v>
      </c>
      <c r="H1333" s="29">
        <v>16.260000000000002</v>
      </c>
      <c r="I1333" s="142">
        <v>-63.179999999999993</v>
      </c>
      <c r="J1333" s="29">
        <v>13.27</v>
      </c>
      <c r="K1333" s="29">
        <v>13.27</v>
      </c>
      <c r="L1333" s="29">
        <v>21.43</v>
      </c>
      <c r="M1333" s="368"/>
      <c r="N1333" s="368"/>
      <c r="O1333" s="271">
        <f>IFERROR(Table17[[#This Row],[PROFIT]]/Table17[[#This Row],[TO]],0)</f>
        <v>0</v>
      </c>
      <c r="P1333" s="177"/>
      <c r="Q1333" s="177"/>
      <c r="R1333" s="177"/>
    </row>
    <row r="1334" spans="1:18" hidden="1" x14ac:dyDescent="0.25">
      <c r="A1334" s="29" t="s">
        <v>3549</v>
      </c>
      <c r="B1334" s="29" t="s">
        <v>3548</v>
      </c>
      <c r="C1334" s="29" t="s">
        <v>142</v>
      </c>
      <c r="D1334" s="29" t="str">
        <f>VLOOKUP(C:C,'COUNT-CONT'!B:C,2,FALSE)</f>
        <v>Asia</v>
      </c>
      <c r="E1334" s="29">
        <v>4</v>
      </c>
      <c r="F1334" s="28">
        <v>2028</v>
      </c>
      <c r="G1334" s="28">
        <v>3901006311</v>
      </c>
      <c r="H1334" s="29">
        <v>16.260000000000002</v>
      </c>
      <c r="I1334" s="142">
        <v>-63.179999999999993</v>
      </c>
      <c r="J1334" s="29">
        <v>8.77</v>
      </c>
      <c r="K1334" s="29">
        <v>7.8</v>
      </c>
      <c r="L1334" s="29">
        <v>16.260000000000002</v>
      </c>
      <c r="M1334" s="368"/>
      <c r="N1334" s="368"/>
      <c r="O1334" s="271">
        <f>IFERROR(Table17[[#This Row],[PROFIT]]/Table17[[#This Row],[TO]],0)</f>
        <v>0</v>
      </c>
      <c r="P1334" s="177"/>
      <c r="Q1334" s="177"/>
      <c r="R1334" s="177"/>
    </row>
    <row r="1335" spans="1:18" ht="30" hidden="1" x14ac:dyDescent="0.25">
      <c r="A1335" s="29" t="s">
        <v>4377</v>
      </c>
      <c r="B1335" s="29" t="s">
        <v>4376</v>
      </c>
      <c r="C1335" s="29" t="s">
        <v>11732</v>
      </c>
      <c r="D1335" s="29" t="str">
        <f>VLOOKUP(C:C,'COUNT-CONT'!B:C,2,FALSE)</f>
        <v>North America</v>
      </c>
      <c r="E1335" s="29">
        <v>6</v>
      </c>
      <c r="F1335" s="28">
        <v>2413</v>
      </c>
      <c r="G1335" s="28">
        <v>4627864069</v>
      </c>
      <c r="H1335" s="29">
        <v>16.23</v>
      </c>
      <c r="I1335" s="142">
        <v>-63.209999999999994</v>
      </c>
      <c r="J1335" s="29">
        <v>13.24</v>
      </c>
      <c r="K1335" s="29">
        <v>13.24</v>
      </c>
      <c r="L1335" s="29">
        <v>21.37</v>
      </c>
      <c r="M1335" s="368"/>
      <c r="N1335" s="368"/>
      <c r="O1335" s="271">
        <f>IFERROR(Table17[[#This Row],[PROFIT]]/Table17[[#This Row],[TO]],0)</f>
        <v>0</v>
      </c>
      <c r="P1335" s="177"/>
      <c r="Q1335" s="177"/>
      <c r="R1335" s="177"/>
    </row>
    <row r="1336" spans="1:18" hidden="1" x14ac:dyDescent="0.25">
      <c r="A1336" s="29" t="s">
        <v>3745</v>
      </c>
      <c r="B1336" s="29" t="s">
        <v>3744</v>
      </c>
      <c r="C1336" s="29" t="s">
        <v>597</v>
      </c>
      <c r="D1336" s="29" t="str">
        <f>VLOOKUP(C:C,'COUNT-CONT'!B:C,2,FALSE)</f>
        <v>Europe</v>
      </c>
      <c r="E1336" s="29">
        <v>7</v>
      </c>
      <c r="F1336" s="28">
        <v>2616</v>
      </c>
      <c r="G1336" s="28">
        <v>3955089296</v>
      </c>
      <c r="H1336" s="29">
        <v>16.23</v>
      </c>
      <c r="I1336" s="142">
        <v>-63.209999999999994</v>
      </c>
      <c r="J1336" s="29">
        <v>9.67</v>
      </c>
      <c r="K1336" s="29">
        <v>8.98</v>
      </c>
      <c r="L1336" s="29">
        <v>17.260000000000002</v>
      </c>
      <c r="M1336" s="368"/>
      <c r="N1336" s="368"/>
      <c r="O1336" s="271">
        <f>IFERROR(Table17[[#This Row],[PROFIT]]/Table17[[#This Row],[TO]],0)</f>
        <v>0</v>
      </c>
      <c r="P1336" s="177"/>
      <c r="Q1336" s="177"/>
      <c r="R1336" s="177"/>
    </row>
    <row r="1337" spans="1:18" hidden="1" x14ac:dyDescent="0.25">
      <c r="A1337" s="29" t="s">
        <v>3093</v>
      </c>
      <c r="B1337" s="29" t="s">
        <v>3092</v>
      </c>
      <c r="C1337" s="29" t="s">
        <v>605</v>
      </c>
      <c r="D1337" s="29" t="str">
        <f>VLOOKUP(C:C,'COUNT-CONT'!B:C,2,FALSE)</f>
        <v>Europe</v>
      </c>
      <c r="E1337" s="29">
        <v>1</v>
      </c>
      <c r="F1337" s="28">
        <v>1210</v>
      </c>
      <c r="G1337" s="28">
        <v>3982390909</v>
      </c>
      <c r="H1337" s="29">
        <v>16.23</v>
      </c>
      <c r="I1337" s="142">
        <v>-63.209999999999994</v>
      </c>
      <c r="J1337" s="29">
        <v>6.95</v>
      </c>
      <c r="K1337" s="29">
        <v>6.08</v>
      </c>
      <c r="L1337" s="29">
        <v>14.48</v>
      </c>
      <c r="M1337" s="368"/>
      <c r="N1337" s="368"/>
      <c r="O1337" s="271">
        <f>IFERROR(Table17[[#This Row],[PROFIT]]/Table17[[#This Row],[TO]],0)</f>
        <v>0</v>
      </c>
      <c r="P1337" s="177"/>
      <c r="Q1337" s="177"/>
      <c r="R1337" s="177"/>
    </row>
    <row r="1338" spans="1:18" hidden="1" x14ac:dyDescent="0.25">
      <c r="A1338" s="29" t="s">
        <v>2918</v>
      </c>
      <c r="B1338" s="29" t="s">
        <v>2917</v>
      </c>
      <c r="C1338" s="29" t="s">
        <v>14</v>
      </c>
      <c r="D1338" s="29" t="str">
        <f>VLOOKUP(C:C,'COUNT-CONT'!B:C,2,FALSE)</f>
        <v>Asia</v>
      </c>
      <c r="E1338" s="29">
        <v>4</v>
      </c>
      <c r="F1338" s="28">
        <v>1914</v>
      </c>
      <c r="G1338" s="28">
        <v>3483912643</v>
      </c>
      <c r="H1338" s="29">
        <v>16.2</v>
      </c>
      <c r="I1338" s="142">
        <v>-63.239999999999995</v>
      </c>
      <c r="J1338" s="29">
        <v>6.32</v>
      </c>
      <c r="K1338" s="29">
        <v>5.2</v>
      </c>
      <c r="L1338" s="29">
        <v>13.75</v>
      </c>
      <c r="M1338" s="368"/>
      <c r="N1338" s="368"/>
      <c r="O1338" s="271">
        <f>IFERROR(Table17[[#This Row],[PROFIT]]/Table17[[#This Row],[TO]],0)</f>
        <v>0</v>
      </c>
      <c r="P1338" s="177"/>
      <c r="Q1338" s="177"/>
      <c r="R1338" s="177"/>
    </row>
    <row r="1339" spans="1:18" ht="30" hidden="1" x14ac:dyDescent="0.25">
      <c r="A1339" s="29" t="s">
        <v>4371</v>
      </c>
      <c r="B1339" s="29" t="s">
        <v>4370</v>
      </c>
      <c r="C1339" s="29" t="s">
        <v>11732</v>
      </c>
      <c r="D1339" s="29" t="str">
        <f>VLOOKUP(C:C,'COUNT-CONT'!B:C,2,FALSE)</f>
        <v>North America</v>
      </c>
      <c r="E1339" s="29">
        <v>10</v>
      </c>
      <c r="F1339" s="28">
        <v>3811</v>
      </c>
      <c r="G1339" s="28">
        <v>4590138152</v>
      </c>
      <c r="H1339" s="29">
        <v>16.2</v>
      </c>
      <c r="I1339" s="142">
        <v>-63.239999999999995</v>
      </c>
      <c r="J1339" s="29">
        <v>13.24</v>
      </c>
      <c r="K1339" s="29">
        <v>13.24</v>
      </c>
      <c r="L1339" s="29">
        <v>21.34</v>
      </c>
      <c r="M1339" s="368"/>
      <c r="N1339" s="368"/>
      <c r="O1339" s="271">
        <f>IFERROR(Table17[[#This Row],[PROFIT]]/Table17[[#This Row],[TO]],0)</f>
        <v>0</v>
      </c>
      <c r="P1339" s="177"/>
      <c r="Q1339" s="177"/>
      <c r="R1339" s="177"/>
    </row>
    <row r="1340" spans="1:18" hidden="1" x14ac:dyDescent="0.25">
      <c r="A1340" s="29" t="s">
        <v>3276</v>
      </c>
      <c r="B1340" s="29" t="s">
        <v>3275</v>
      </c>
      <c r="C1340" s="29" t="s">
        <v>1858</v>
      </c>
      <c r="D1340" s="29" t="str">
        <f>VLOOKUP(C:C,'COUNT-CONT'!B:C,2,FALSE)</f>
        <v>Europe</v>
      </c>
      <c r="E1340" s="29">
        <v>2</v>
      </c>
      <c r="F1340" s="28">
        <v>1322</v>
      </c>
      <c r="G1340" s="28">
        <v>3983072617</v>
      </c>
      <c r="H1340" s="29">
        <v>16.14</v>
      </c>
      <c r="I1340" s="142">
        <v>-63.3</v>
      </c>
      <c r="J1340" s="29">
        <v>7.62</v>
      </c>
      <c r="K1340" s="29">
        <v>6.68</v>
      </c>
      <c r="L1340" s="29">
        <v>15.24</v>
      </c>
      <c r="M1340" s="368"/>
      <c r="N1340" s="368"/>
      <c r="O1340" s="271">
        <f>IFERROR(Table17[[#This Row],[PROFIT]]/Table17[[#This Row],[TO]],0)</f>
        <v>0</v>
      </c>
      <c r="P1340" s="177"/>
      <c r="Q1340" s="177"/>
      <c r="R1340" s="177"/>
    </row>
    <row r="1341" spans="1:18" ht="30" hidden="1" x14ac:dyDescent="0.25">
      <c r="A1341" s="29" t="s">
        <v>4361</v>
      </c>
      <c r="B1341" s="29" t="s">
        <v>4360</v>
      </c>
      <c r="C1341" s="29" t="s">
        <v>11732</v>
      </c>
      <c r="D1341" s="29" t="str">
        <f>VLOOKUP(C:C,'COUNT-CONT'!B:C,2,FALSE)</f>
        <v>North America</v>
      </c>
      <c r="E1341" s="29">
        <v>7</v>
      </c>
      <c r="F1341" s="28">
        <v>2633</v>
      </c>
      <c r="G1341" s="28">
        <v>4593574401</v>
      </c>
      <c r="H1341" s="29">
        <v>16.14</v>
      </c>
      <c r="I1341" s="142">
        <v>-63.3</v>
      </c>
      <c r="J1341" s="29">
        <v>13.15</v>
      </c>
      <c r="K1341" s="29">
        <v>13.15</v>
      </c>
      <c r="L1341" s="29">
        <v>21.25</v>
      </c>
      <c r="M1341" s="368"/>
      <c r="N1341" s="368"/>
      <c r="O1341" s="271">
        <f>IFERROR(Table17[[#This Row],[PROFIT]]/Table17[[#This Row],[TO]],0)</f>
        <v>0</v>
      </c>
      <c r="P1341" s="177"/>
      <c r="Q1341" s="177"/>
      <c r="R1341" s="177"/>
    </row>
    <row r="1342" spans="1:18" ht="30" hidden="1" x14ac:dyDescent="0.25">
      <c r="A1342" s="29" t="s">
        <v>3778</v>
      </c>
      <c r="B1342" s="29" t="s">
        <v>3777</v>
      </c>
      <c r="C1342" s="29" t="s">
        <v>83</v>
      </c>
      <c r="D1342" s="29" t="str">
        <f>VLOOKUP(C:C,'COUNT-CONT'!B:C,2,FALSE)</f>
        <v>Europe</v>
      </c>
      <c r="E1342" s="29">
        <v>5</v>
      </c>
      <c r="F1342" s="28">
        <v>2272</v>
      </c>
      <c r="G1342" s="28">
        <v>4017754929</v>
      </c>
      <c r="H1342" s="29">
        <v>16.14</v>
      </c>
      <c r="I1342" s="142">
        <v>-63.3</v>
      </c>
      <c r="J1342" s="29">
        <v>9.82</v>
      </c>
      <c r="K1342" s="29">
        <v>9.1</v>
      </c>
      <c r="L1342" s="29">
        <v>17.53</v>
      </c>
      <c r="M1342" s="368"/>
      <c r="N1342" s="368"/>
      <c r="O1342" s="271">
        <f>IFERROR(Table17[[#This Row],[PROFIT]]/Table17[[#This Row],[TO]],0)</f>
        <v>0</v>
      </c>
      <c r="P1342" s="177"/>
      <c r="Q1342" s="177"/>
      <c r="R1342" s="177"/>
    </row>
    <row r="1343" spans="1:18" hidden="1" x14ac:dyDescent="0.25">
      <c r="A1343" s="29" t="s">
        <v>3634</v>
      </c>
      <c r="B1343" s="29" t="s">
        <v>3633</v>
      </c>
      <c r="C1343" s="29" t="s">
        <v>807</v>
      </c>
      <c r="D1343" s="29" t="str">
        <f>VLOOKUP(C:C,'COUNT-CONT'!B:C,2,FALSE)</f>
        <v>Europe</v>
      </c>
      <c r="E1343" s="29">
        <v>7</v>
      </c>
      <c r="F1343" s="28">
        <v>2794</v>
      </c>
      <c r="G1343" s="28">
        <v>3899300787</v>
      </c>
      <c r="H1343" s="29">
        <v>16.14</v>
      </c>
      <c r="I1343" s="142">
        <v>-63.3</v>
      </c>
      <c r="J1343" s="29">
        <v>9.07</v>
      </c>
      <c r="K1343" s="29">
        <v>8.74</v>
      </c>
      <c r="L1343" s="29">
        <v>16.809999999999999</v>
      </c>
      <c r="M1343" s="368"/>
      <c r="N1343" s="368"/>
      <c r="O1343" s="271">
        <f>IFERROR(Table17[[#This Row],[PROFIT]]/Table17[[#This Row],[TO]],0)</f>
        <v>0</v>
      </c>
      <c r="P1343" s="177"/>
      <c r="Q1343" s="177"/>
      <c r="R1343" s="177"/>
    </row>
    <row r="1344" spans="1:18" ht="30" hidden="1" x14ac:dyDescent="0.25">
      <c r="A1344" s="29" t="s">
        <v>3904</v>
      </c>
      <c r="B1344" s="29" t="s">
        <v>3903</v>
      </c>
      <c r="C1344" s="29" t="s">
        <v>514</v>
      </c>
      <c r="D1344" s="29" t="str">
        <f>VLOOKUP(C:C,'COUNT-CONT'!B:C,2,FALSE)</f>
        <v>North America</v>
      </c>
      <c r="E1344" s="29">
        <v>10</v>
      </c>
      <c r="F1344" s="28">
        <v>3569</v>
      </c>
      <c r="G1344" s="28">
        <v>4089409582</v>
      </c>
      <c r="H1344" s="29">
        <v>16.14</v>
      </c>
      <c r="I1344" s="142">
        <v>-63.3</v>
      </c>
      <c r="J1344" s="29">
        <v>10.64</v>
      </c>
      <c r="K1344" s="29">
        <v>10.25</v>
      </c>
      <c r="L1344" s="29">
        <v>18.350000000000001</v>
      </c>
      <c r="M1344" s="368"/>
      <c r="N1344" s="368"/>
      <c r="O1344" s="271">
        <f>IFERROR(Table17[[#This Row],[PROFIT]]/Table17[[#This Row],[TO]],0)</f>
        <v>0</v>
      </c>
      <c r="P1344" s="177"/>
      <c r="Q1344" s="177"/>
      <c r="R1344" s="177"/>
    </row>
    <row r="1345" spans="1:18" hidden="1" x14ac:dyDescent="0.25">
      <c r="A1345" s="29" t="s">
        <v>2609</v>
      </c>
      <c r="B1345" s="29" t="s">
        <v>2608</v>
      </c>
      <c r="C1345" s="29" t="s">
        <v>700</v>
      </c>
      <c r="D1345" s="29" t="str">
        <f>VLOOKUP(C:C,'COUNT-CONT'!B:C,2,FALSE)</f>
        <v>Asia</v>
      </c>
      <c r="E1345" s="29">
        <v>7</v>
      </c>
      <c r="F1345" s="28">
        <v>2515</v>
      </c>
      <c r="G1345" s="28">
        <v>3259275745</v>
      </c>
      <c r="H1345" s="29">
        <v>16.11</v>
      </c>
      <c r="I1345" s="142">
        <v>-63.33</v>
      </c>
      <c r="J1345" s="29">
        <v>4.96</v>
      </c>
      <c r="K1345" s="29">
        <v>3.72</v>
      </c>
      <c r="L1345" s="29">
        <v>12.39</v>
      </c>
      <c r="M1345" s="368"/>
      <c r="N1345" s="368"/>
      <c r="O1345" s="271">
        <f>IFERROR(Table17[[#This Row],[PROFIT]]/Table17[[#This Row],[TO]],0)</f>
        <v>0</v>
      </c>
      <c r="P1345" s="177"/>
      <c r="Q1345" s="177"/>
      <c r="R1345" s="177"/>
    </row>
    <row r="1346" spans="1:18" hidden="1" x14ac:dyDescent="0.25">
      <c r="A1346" s="29" t="s">
        <v>3253</v>
      </c>
      <c r="B1346" s="29" t="s">
        <v>3252</v>
      </c>
      <c r="C1346" s="29" t="s">
        <v>560</v>
      </c>
      <c r="D1346" s="29" t="str">
        <f>VLOOKUP(C:C,'COUNT-CONT'!B:C,2,FALSE)</f>
        <v>Europe</v>
      </c>
      <c r="E1346" s="29">
        <v>1</v>
      </c>
      <c r="F1346" s="28">
        <v>1213</v>
      </c>
      <c r="G1346" s="28">
        <v>4044642560</v>
      </c>
      <c r="H1346" s="29">
        <v>16.11</v>
      </c>
      <c r="I1346" s="142">
        <v>-63.33</v>
      </c>
      <c r="J1346" s="29">
        <v>7.59</v>
      </c>
      <c r="K1346" s="29">
        <v>6.68</v>
      </c>
      <c r="L1346" s="29">
        <v>15.21</v>
      </c>
      <c r="M1346" s="368"/>
      <c r="N1346" s="368"/>
      <c r="O1346" s="271">
        <f>IFERROR(Table17[[#This Row],[PROFIT]]/Table17[[#This Row],[TO]],0)</f>
        <v>0</v>
      </c>
      <c r="P1346" s="177"/>
      <c r="Q1346" s="177"/>
      <c r="R1346" s="177"/>
    </row>
    <row r="1347" spans="1:18" hidden="1" x14ac:dyDescent="0.25">
      <c r="A1347" s="29" t="s">
        <v>3258</v>
      </c>
      <c r="B1347" s="29" t="s">
        <v>3257</v>
      </c>
      <c r="C1347" s="29" t="s">
        <v>733</v>
      </c>
      <c r="D1347" s="29" t="str">
        <f>VLOOKUP(C:C,'COUNT-CONT'!B:C,2,FALSE)</f>
        <v>Europe</v>
      </c>
      <c r="E1347" s="29">
        <v>4</v>
      </c>
      <c r="F1347" s="28">
        <v>1820</v>
      </c>
      <c r="G1347" s="28">
        <v>3740595604</v>
      </c>
      <c r="H1347" s="29">
        <v>16.11</v>
      </c>
      <c r="I1347" s="142">
        <v>-63.33</v>
      </c>
      <c r="J1347" s="29">
        <v>7.59</v>
      </c>
      <c r="K1347" s="29">
        <v>6.98</v>
      </c>
      <c r="L1347" s="29">
        <v>15.21</v>
      </c>
      <c r="M1347" s="368"/>
      <c r="N1347" s="368"/>
      <c r="O1347" s="271">
        <f>IFERROR(Table17[[#This Row],[PROFIT]]/Table17[[#This Row],[TO]],0)</f>
        <v>0</v>
      </c>
      <c r="P1347" s="177"/>
      <c r="Q1347" s="177"/>
      <c r="R1347" s="177"/>
    </row>
    <row r="1348" spans="1:18" x14ac:dyDescent="0.25">
      <c r="A1348" s="29" t="s">
        <v>3719</v>
      </c>
      <c r="B1348" s="29" t="s">
        <v>3718</v>
      </c>
      <c r="C1348" s="29" t="s">
        <v>774</v>
      </c>
      <c r="D1348" s="29" t="str">
        <f>VLOOKUP(C:C,'COUNT-CONT'!B:C,2,FALSE)</f>
        <v>Oceania</v>
      </c>
      <c r="E1348" s="29">
        <v>7</v>
      </c>
      <c r="F1348" s="28">
        <v>2657</v>
      </c>
      <c r="G1348" s="28">
        <v>3944500752</v>
      </c>
      <c r="H1348" s="29">
        <v>16.079999999999998</v>
      </c>
      <c r="I1348" s="142">
        <v>-63.36</v>
      </c>
      <c r="J1348" s="29">
        <v>9.58</v>
      </c>
      <c r="K1348" s="29">
        <v>8.89</v>
      </c>
      <c r="L1348" s="29">
        <v>17.11</v>
      </c>
      <c r="M1348" s="368"/>
      <c r="N1348" s="368"/>
      <c r="O1348" s="271">
        <f>IFERROR(Table17[[#This Row],[PROFIT]]/Table17[[#This Row],[TO]],0)</f>
        <v>0</v>
      </c>
      <c r="P1348" s="177"/>
      <c r="Q1348" s="177"/>
      <c r="R1348" s="177"/>
    </row>
    <row r="1349" spans="1:18" ht="30" hidden="1" x14ac:dyDescent="0.25">
      <c r="A1349" s="29" t="s">
        <v>2793</v>
      </c>
      <c r="B1349" s="29" t="s">
        <v>2792</v>
      </c>
      <c r="C1349" s="29" t="s">
        <v>2791</v>
      </c>
      <c r="D1349" s="29" t="str">
        <f>VLOOKUP(C:C,'COUNT-CONT'!B:C,2,FALSE)</f>
        <v>North America</v>
      </c>
      <c r="E1349" s="29">
        <v>8</v>
      </c>
      <c r="F1349" s="28">
        <v>3018</v>
      </c>
      <c r="G1349" s="28">
        <v>3310079787</v>
      </c>
      <c r="H1349" s="29">
        <v>16.079999999999998</v>
      </c>
      <c r="I1349" s="142">
        <v>-63.36</v>
      </c>
      <c r="J1349" s="29">
        <v>5.8</v>
      </c>
      <c r="K1349" s="29">
        <v>4.75</v>
      </c>
      <c r="L1349" s="29">
        <v>13.18</v>
      </c>
      <c r="M1349" s="368"/>
      <c r="N1349" s="368"/>
      <c r="O1349" s="271">
        <f>IFERROR(Table17[[#This Row],[PROFIT]]/Table17[[#This Row],[TO]],0)</f>
        <v>0</v>
      </c>
      <c r="P1349" s="177"/>
      <c r="Q1349" s="177"/>
      <c r="R1349" s="177"/>
    </row>
    <row r="1350" spans="1:18" ht="30" hidden="1" x14ac:dyDescent="0.25">
      <c r="A1350" s="29" t="s">
        <v>2901</v>
      </c>
      <c r="B1350" s="29" t="s">
        <v>2900</v>
      </c>
      <c r="C1350" s="29" t="s">
        <v>517</v>
      </c>
      <c r="D1350" s="29" t="str">
        <f>VLOOKUP(C:C,'COUNT-CONT'!B:C,2,FALSE)</f>
        <v>South America</v>
      </c>
      <c r="E1350" s="29">
        <v>6</v>
      </c>
      <c r="F1350" s="28">
        <v>2410</v>
      </c>
      <c r="G1350" s="28">
        <v>3402831535</v>
      </c>
      <c r="H1350" s="29">
        <v>16.079999999999998</v>
      </c>
      <c r="I1350" s="142">
        <v>-63.36</v>
      </c>
      <c r="J1350" s="29">
        <v>6.26</v>
      </c>
      <c r="K1350" s="29">
        <v>5.17</v>
      </c>
      <c r="L1350" s="29">
        <v>13.63</v>
      </c>
      <c r="M1350" s="368"/>
      <c r="N1350" s="368"/>
      <c r="O1350" s="271">
        <f>IFERROR(Table17[[#This Row],[PROFIT]]/Table17[[#This Row],[TO]],0)</f>
        <v>0</v>
      </c>
      <c r="P1350" s="177"/>
      <c r="Q1350" s="177"/>
      <c r="R1350" s="177"/>
    </row>
    <row r="1351" spans="1:18" hidden="1" x14ac:dyDescent="0.25">
      <c r="A1351" s="29" t="s">
        <v>3893</v>
      </c>
      <c r="B1351" s="29" t="s">
        <v>3892</v>
      </c>
      <c r="C1351" s="29" t="s">
        <v>119</v>
      </c>
      <c r="D1351" s="29" t="str">
        <f>VLOOKUP(C:C,'COUNT-CONT'!B:C,2,FALSE)</f>
        <v>Europe</v>
      </c>
      <c r="E1351" s="29">
        <v>4</v>
      </c>
      <c r="F1351" s="28">
        <v>1793</v>
      </c>
      <c r="G1351" s="28">
        <v>4214696932</v>
      </c>
      <c r="H1351" s="29">
        <v>16.079999999999998</v>
      </c>
      <c r="I1351" s="142">
        <v>-63.36</v>
      </c>
      <c r="J1351" s="29">
        <v>10.58</v>
      </c>
      <c r="K1351" s="29">
        <v>10.220000000000001</v>
      </c>
      <c r="L1351" s="29">
        <v>18.29</v>
      </c>
      <c r="M1351" s="368"/>
      <c r="N1351" s="368"/>
      <c r="O1351" s="271">
        <f>IFERROR(Table17[[#This Row],[PROFIT]]/Table17[[#This Row],[TO]],0)</f>
        <v>0</v>
      </c>
      <c r="P1351" s="177"/>
      <c r="Q1351" s="177"/>
      <c r="R1351" s="177"/>
    </row>
    <row r="1352" spans="1:18" ht="30" hidden="1" x14ac:dyDescent="0.25">
      <c r="A1352" s="29" t="s">
        <v>4342</v>
      </c>
      <c r="B1352" s="29" t="s">
        <v>4341</v>
      </c>
      <c r="C1352" s="29" t="s">
        <v>11732</v>
      </c>
      <c r="D1352" s="29" t="str">
        <f>VLOOKUP(C:C,'COUNT-CONT'!B:C,2,FALSE)</f>
        <v>North America</v>
      </c>
      <c r="E1352" s="29">
        <v>5</v>
      </c>
      <c r="F1352" s="28">
        <v>2268</v>
      </c>
      <c r="G1352" s="28">
        <v>4614608818</v>
      </c>
      <c r="H1352" s="29">
        <v>16.079999999999998</v>
      </c>
      <c r="I1352" s="142">
        <v>-63.36</v>
      </c>
      <c r="J1352" s="29">
        <v>13.12</v>
      </c>
      <c r="K1352" s="29">
        <v>13.12</v>
      </c>
      <c r="L1352" s="29">
        <v>21.16</v>
      </c>
      <c r="M1352" s="368"/>
      <c r="N1352" s="368"/>
      <c r="O1352" s="271">
        <f>IFERROR(Table17[[#This Row],[PROFIT]]/Table17[[#This Row],[TO]],0)</f>
        <v>0</v>
      </c>
      <c r="P1352" s="177"/>
      <c r="Q1352" s="177"/>
      <c r="R1352" s="177"/>
    </row>
    <row r="1353" spans="1:18" ht="30" hidden="1" x14ac:dyDescent="0.25">
      <c r="A1353" s="29" t="s">
        <v>4344</v>
      </c>
      <c r="B1353" s="29" t="s">
        <v>4343</v>
      </c>
      <c r="C1353" s="29" t="s">
        <v>11732</v>
      </c>
      <c r="D1353" s="29" t="str">
        <f>VLOOKUP(C:C,'COUNT-CONT'!B:C,2,FALSE)</f>
        <v>North America</v>
      </c>
      <c r="E1353" s="29">
        <v>6</v>
      </c>
      <c r="F1353" s="28">
        <v>2548</v>
      </c>
      <c r="G1353" s="28">
        <v>4586711145</v>
      </c>
      <c r="H1353" s="29">
        <v>16.079999999999998</v>
      </c>
      <c r="I1353" s="142">
        <v>-63.36</v>
      </c>
      <c r="J1353" s="29">
        <v>13.12</v>
      </c>
      <c r="K1353" s="29">
        <v>13.12</v>
      </c>
      <c r="L1353" s="29">
        <v>21.16</v>
      </c>
      <c r="M1353" s="368"/>
      <c r="N1353" s="368"/>
      <c r="O1353" s="271">
        <f>IFERROR(Table17[[#This Row],[PROFIT]]/Table17[[#This Row],[TO]],0)</f>
        <v>0</v>
      </c>
      <c r="P1353" s="177"/>
      <c r="Q1353" s="177"/>
      <c r="R1353" s="177"/>
    </row>
    <row r="1354" spans="1:18" hidden="1" x14ac:dyDescent="0.25">
      <c r="A1354" s="29" t="s">
        <v>1533</v>
      </c>
      <c r="B1354" s="29" t="s">
        <v>1532</v>
      </c>
      <c r="C1354" s="29" t="s">
        <v>1531</v>
      </c>
      <c r="D1354" s="29" t="str">
        <f>VLOOKUP(C:C,'COUNT-CONT'!B:C,2,FALSE)</f>
        <v>Africa</v>
      </c>
      <c r="E1354" s="29">
        <v>7</v>
      </c>
      <c r="F1354" s="28">
        <v>2534</v>
      </c>
      <c r="G1354" s="28">
        <v>3171096290</v>
      </c>
      <c r="H1354" s="29">
        <v>16.079999999999998</v>
      </c>
      <c r="I1354" s="142">
        <v>-63.36</v>
      </c>
      <c r="J1354" s="29">
        <v>2.0299999999999998</v>
      </c>
      <c r="K1354" s="29">
        <v>0.54</v>
      </c>
      <c r="L1354" s="29">
        <v>9.25</v>
      </c>
      <c r="M1354" s="368"/>
      <c r="N1354" s="368"/>
      <c r="O1354" s="271">
        <f>IFERROR(Table17[[#This Row],[PROFIT]]/Table17[[#This Row],[TO]],0)</f>
        <v>0</v>
      </c>
      <c r="P1354" s="177"/>
      <c r="Q1354" s="177"/>
      <c r="R1354" s="177"/>
    </row>
    <row r="1355" spans="1:18" hidden="1" x14ac:dyDescent="0.25">
      <c r="A1355" s="29" t="s">
        <v>3241</v>
      </c>
      <c r="B1355" s="29" t="s">
        <v>3240</v>
      </c>
      <c r="C1355" s="29" t="s">
        <v>630</v>
      </c>
      <c r="D1355" s="29" t="str">
        <f>VLOOKUP(C:C,'COUNT-CONT'!B:C,2,FALSE)</f>
        <v>Europe</v>
      </c>
      <c r="E1355" s="29">
        <v>6</v>
      </c>
      <c r="F1355" s="28">
        <v>2425</v>
      </c>
      <c r="G1355" s="28">
        <v>3705008247</v>
      </c>
      <c r="H1355" s="29">
        <v>16.05</v>
      </c>
      <c r="I1355" s="142">
        <v>-63.39</v>
      </c>
      <c r="J1355" s="29">
        <v>7.56</v>
      </c>
      <c r="K1355" s="29">
        <v>6.65</v>
      </c>
      <c r="L1355" s="29">
        <v>15.15</v>
      </c>
      <c r="M1355" s="368"/>
      <c r="N1355" s="368"/>
      <c r="O1355" s="271">
        <f>IFERROR(Table17[[#This Row],[PROFIT]]/Table17[[#This Row],[TO]],0)</f>
        <v>0</v>
      </c>
      <c r="P1355" s="177"/>
      <c r="Q1355" s="177"/>
      <c r="R1355" s="177"/>
    </row>
    <row r="1356" spans="1:18" hidden="1" x14ac:dyDescent="0.25">
      <c r="A1356" s="29" t="s">
        <v>2601</v>
      </c>
      <c r="B1356" s="29" t="s">
        <v>2600</v>
      </c>
      <c r="C1356" s="29" t="s">
        <v>588</v>
      </c>
      <c r="D1356" s="29" t="str">
        <f>VLOOKUP(C:C,'COUNT-CONT'!B:C,2,FALSE)</f>
        <v>Europe</v>
      </c>
      <c r="E1356" s="29">
        <v>10</v>
      </c>
      <c r="F1356" s="28">
        <v>4321</v>
      </c>
      <c r="G1356" s="28">
        <v>3194870701</v>
      </c>
      <c r="H1356" s="29">
        <v>16.05</v>
      </c>
      <c r="I1356" s="142">
        <v>-63.39</v>
      </c>
      <c r="J1356" s="29">
        <v>4.93</v>
      </c>
      <c r="K1356" s="29">
        <v>3.69</v>
      </c>
      <c r="L1356" s="29">
        <v>12.36</v>
      </c>
      <c r="M1356" s="368"/>
      <c r="N1356" s="368"/>
      <c r="O1356" s="271">
        <f>IFERROR(Table17[[#This Row],[PROFIT]]/Table17[[#This Row],[TO]],0)</f>
        <v>0</v>
      </c>
      <c r="P1356" s="177"/>
      <c r="Q1356" s="177"/>
      <c r="R1356" s="177"/>
    </row>
    <row r="1357" spans="1:18" ht="30" hidden="1" x14ac:dyDescent="0.25">
      <c r="A1357" s="29" t="s">
        <v>1493</v>
      </c>
      <c r="B1357" s="29" t="s">
        <v>1492</v>
      </c>
      <c r="C1357" s="29" t="s">
        <v>725</v>
      </c>
      <c r="D1357" s="29" t="e">
        <f>VLOOKUP(C:C,'COUNT-CONT'!B:C,2,FALSE)</f>
        <v>#N/A</v>
      </c>
      <c r="E1357" s="29">
        <v>4</v>
      </c>
      <c r="F1357" s="28">
        <v>2003</v>
      </c>
      <c r="G1357" s="28">
        <v>3243976235</v>
      </c>
      <c r="H1357" s="29">
        <v>15.99</v>
      </c>
      <c r="I1357" s="142">
        <v>-63.449999999999996</v>
      </c>
      <c r="J1357" s="29">
        <v>1.81</v>
      </c>
      <c r="K1357" s="29">
        <v>0.36</v>
      </c>
      <c r="L1357" s="29">
        <v>9.1</v>
      </c>
      <c r="M1357" s="368"/>
      <c r="N1357" s="368"/>
      <c r="O1357" s="271">
        <f>IFERROR(Table17[[#This Row],[PROFIT]]/Table17[[#This Row],[TO]],0)</f>
        <v>0</v>
      </c>
      <c r="P1357" s="177"/>
      <c r="Q1357" s="177"/>
      <c r="R1357" s="177"/>
    </row>
    <row r="1358" spans="1:18" ht="30" hidden="1" x14ac:dyDescent="0.25">
      <c r="A1358" s="29" t="s">
        <v>2926</v>
      </c>
      <c r="B1358" s="29" t="s">
        <v>2925</v>
      </c>
      <c r="C1358" s="29" t="s">
        <v>2366</v>
      </c>
      <c r="D1358" s="29" t="str">
        <f>VLOOKUP(C:C,'COUNT-CONT'!B:C,2,FALSE)</f>
        <v>Asia</v>
      </c>
      <c r="E1358" s="29">
        <v>1</v>
      </c>
      <c r="F1358" s="28">
        <v>1229</v>
      </c>
      <c r="G1358" s="28">
        <v>3742636615</v>
      </c>
      <c r="H1358" s="29">
        <v>15.99</v>
      </c>
      <c r="I1358" s="142">
        <v>-63.449999999999996</v>
      </c>
      <c r="J1358" s="29">
        <v>6.32</v>
      </c>
      <c r="K1358" s="29">
        <v>5.23</v>
      </c>
      <c r="L1358" s="29">
        <v>13.78</v>
      </c>
      <c r="M1358" s="368"/>
      <c r="N1358" s="368"/>
      <c r="O1358" s="271">
        <f>IFERROR(Table17[[#This Row],[PROFIT]]/Table17[[#This Row],[TO]],0)</f>
        <v>0</v>
      </c>
      <c r="P1358" s="177"/>
      <c r="Q1358" s="177"/>
      <c r="R1358" s="177"/>
    </row>
    <row r="1359" spans="1:18" x14ac:dyDescent="0.25">
      <c r="A1359" s="29" t="s">
        <v>1872</v>
      </c>
      <c r="B1359" s="29" t="s">
        <v>1871</v>
      </c>
      <c r="C1359" s="29" t="s">
        <v>1870</v>
      </c>
      <c r="D1359" s="29" t="str">
        <f>VLOOKUP(C:C,'COUNT-CONT'!B:C,2,FALSE)</f>
        <v>Oceania</v>
      </c>
      <c r="E1359" s="29">
        <v>4</v>
      </c>
      <c r="F1359" s="28">
        <v>1833</v>
      </c>
      <c r="G1359" s="28">
        <v>3232209110</v>
      </c>
      <c r="H1359" s="29">
        <v>15.99</v>
      </c>
      <c r="I1359" s="142">
        <v>-63.449999999999996</v>
      </c>
      <c r="J1359" s="29">
        <v>3.02</v>
      </c>
      <c r="K1359" s="29">
        <v>1.39</v>
      </c>
      <c r="L1359" s="29">
        <v>10.130000000000001</v>
      </c>
      <c r="M1359" s="368"/>
      <c r="N1359" s="368"/>
      <c r="O1359" s="271">
        <f>IFERROR(Table17[[#This Row],[PROFIT]]/Table17[[#This Row],[TO]],0)</f>
        <v>0</v>
      </c>
      <c r="P1359" s="177"/>
      <c r="Q1359" s="177"/>
      <c r="R1359" s="177"/>
    </row>
    <row r="1360" spans="1:18" hidden="1" x14ac:dyDescent="0.25">
      <c r="A1360" s="29" t="s">
        <v>2419</v>
      </c>
      <c r="B1360" s="29" t="s">
        <v>2418</v>
      </c>
      <c r="C1360" s="29" t="s">
        <v>926</v>
      </c>
      <c r="D1360" s="29" t="str">
        <f>VLOOKUP(C:C,'COUNT-CONT'!B:C,2,FALSE)</f>
        <v>Africa</v>
      </c>
      <c r="E1360" s="29">
        <v>3</v>
      </c>
      <c r="F1360" s="28">
        <v>1543</v>
      </c>
      <c r="G1360" s="28">
        <v>3351796953</v>
      </c>
      <c r="H1360" s="29">
        <v>15.99</v>
      </c>
      <c r="I1360" s="142">
        <v>-63.449999999999996</v>
      </c>
      <c r="J1360" s="29">
        <v>4.4400000000000004</v>
      </c>
      <c r="K1360" s="29">
        <v>3.05</v>
      </c>
      <c r="L1360" s="29">
        <v>11.76</v>
      </c>
      <c r="M1360" s="368"/>
      <c r="N1360" s="368"/>
      <c r="O1360" s="271">
        <f>IFERROR(Table17[[#This Row],[PROFIT]]/Table17[[#This Row],[TO]],0)</f>
        <v>0</v>
      </c>
      <c r="P1360" s="177"/>
      <c r="Q1360" s="177"/>
      <c r="R1360" s="177"/>
    </row>
    <row r="1361" spans="1:18" ht="30" hidden="1" x14ac:dyDescent="0.25">
      <c r="A1361" s="29" t="s">
        <v>2577</v>
      </c>
      <c r="B1361" s="29" t="s">
        <v>2576</v>
      </c>
      <c r="C1361" s="29" t="s">
        <v>493</v>
      </c>
      <c r="D1361" s="29" t="str">
        <f>VLOOKUP(C:C,'COUNT-CONT'!B:C,2,FALSE)</f>
        <v>Africa</v>
      </c>
      <c r="E1361" s="29">
        <v>6</v>
      </c>
      <c r="F1361" s="28">
        <v>2500</v>
      </c>
      <c r="G1361" s="28">
        <v>3226400000</v>
      </c>
      <c r="H1361" s="29">
        <v>15.99</v>
      </c>
      <c r="I1361" s="142">
        <v>-63.449999999999996</v>
      </c>
      <c r="J1361" s="29">
        <v>5.17</v>
      </c>
      <c r="K1361" s="29">
        <v>3.69</v>
      </c>
      <c r="L1361" s="29">
        <v>12.3</v>
      </c>
      <c r="M1361" s="368"/>
      <c r="N1361" s="368"/>
      <c r="O1361" s="271">
        <f>IFERROR(Table17[[#This Row],[PROFIT]]/Table17[[#This Row],[TO]],0)</f>
        <v>0</v>
      </c>
      <c r="P1361" s="177"/>
      <c r="Q1361" s="177"/>
      <c r="R1361" s="177"/>
    </row>
    <row r="1362" spans="1:18" hidden="1" x14ac:dyDescent="0.25">
      <c r="A1362" s="29" t="s">
        <v>3555</v>
      </c>
      <c r="B1362" s="29" t="s">
        <v>3554</v>
      </c>
      <c r="C1362" s="29" t="s">
        <v>585</v>
      </c>
      <c r="D1362" s="29" t="str">
        <f>VLOOKUP(C:C,'COUNT-CONT'!B:C,2,FALSE)</f>
        <v>Europe</v>
      </c>
      <c r="E1362" s="29">
        <v>5</v>
      </c>
      <c r="F1362" s="28">
        <v>2120</v>
      </c>
      <c r="G1362" s="28">
        <v>3894467924</v>
      </c>
      <c r="H1362" s="29">
        <v>15.99</v>
      </c>
      <c r="I1362" s="142">
        <v>-63.449999999999996</v>
      </c>
      <c r="J1362" s="29">
        <v>8.8000000000000007</v>
      </c>
      <c r="K1362" s="29">
        <v>8.16</v>
      </c>
      <c r="L1362" s="29">
        <v>16.32</v>
      </c>
      <c r="M1362" s="368"/>
      <c r="N1362" s="368"/>
      <c r="O1362" s="271">
        <f>IFERROR(Table17[[#This Row],[PROFIT]]/Table17[[#This Row],[TO]],0)</f>
        <v>0</v>
      </c>
      <c r="P1362" s="177"/>
      <c r="Q1362" s="177"/>
      <c r="R1362" s="177"/>
    </row>
    <row r="1363" spans="1:18" ht="30" hidden="1" x14ac:dyDescent="0.25">
      <c r="A1363" s="29" t="s">
        <v>2506</v>
      </c>
      <c r="B1363" s="29" t="s">
        <v>2505</v>
      </c>
      <c r="C1363" s="29" t="s">
        <v>714</v>
      </c>
      <c r="D1363" s="29" t="str">
        <f>VLOOKUP(C:C,'COUNT-CONT'!B:C,2,FALSE)</f>
        <v>South America</v>
      </c>
      <c r="E1363" s="29">
        <v>6</v>
      </c>
      <c r="F1363" s="28">
        <v>2511</v>
      </c>
      <c r="G1363" s="28">
        <v>3299472481</v>
      </c>
      <c r="H1363" s="29">
        <v>15.99</v>
      </c>
      <c r="I1363" s="142">
        <v>-63.449999999999996</v>
      </c>
      <c r="J1363" s="29">
        <v>4.84</v>
      </c>
      <c r="K1363" s="29">
        <v>3.63</v>
      </c>
      <c r="L1363" s="29">
        <v>12.12</v>
      </c>
      <c r="M1363" s="368"/>
      <c r="N1363" s="368"/>
      <c r="O1363" s="271">
        <f>IFERROR(Table17[[#This Row],[PROFIT]]/Table17[[#This Row],[TO]],0)</f>
        <v>0</v>
      </c>
      <c r="P1363" s="177"/>
      <c r="Q1363" s="177"/>
      <c r="R1363" s="177"/>
    </row>
    <row r="1364" spans="1:18" ht="30" hidden="1" x14ac:dyDescent="0.25">
      <c r="A1364" s="29" t="s">
        <v>2579</v>
      </c>
      <c r="B1364" s="29" t="s">
        <v>2578</v>
      </c>
      <c r="C1364" s="29" t="s">
        <v>493</v>
      </c>
      <c r="D1364" s="29" t="str">
        <f>VLOOKUP(C:C,'COUNT-CONT'!B:C,2,FALSE)</f>
        <v>Africa</v>
      </c>
      <c r="E1364" s="29">
        <v>8</v>
      </c>
      <c r="F1364" s="28">
        <v>2500</v>
      </c>
      <c r="G1364" s="28">
        <v>3285400000</v>
      </c>
      <c r="H1364" s="29">
        <v>15.99</v>
      </c>
      <c r="I1364" s="142">
        <v>-63.449999999999996</v>
      </c>
      <c r="J1364" s="29">
        <v>5.17</v>
      </c>
      <c r="K1364" s="29">
        <v>3.69</v>
      </c>
      <c r="L1364" s="29">
        <v>12.3</v>
      </c>
      <c r="M1364" s="368"/>
      <c r="N1364" s="368"/>
      <c r="O1364" s="271">
        <f>IFERROR(Table17[[#This Row],[PROFIT]]/Table17[[#This Row],[TO]],0)</f>
        <v>0</v>
      </c>
      <c r="P1364" s="177"/>
      <c r="Q1364" s="177"/>
      <c r="R1364" s="177"/>
    </row>
    <row r="1365" spans="1:18" hidden="1" x14ac:dyDescent="0.25">
      <c r="A1365" s="29" t="s">
        <v>3489</v>
      </c>
      <c r="B1365" s="29" t="s">
        <v>3488</v>
      </c>
      <c r="C1365" s="29" t="s">
        <v>142</v>
      </c>
      <c r="D1365" s="29" t="str">
        <f>VLOOKUP(C:C,'COUNT-CONT'!B:C,2,FALSE)</f>
        <v>Asia</v>
      </c>
      <c r="E1365" s="29">
        <v>4</v>
      </c>
      <c r="F1365" s="28">
        <v>2026</v>
      </c>
      <c r="G1365" s="28">
        <v>3863141757</v>
      </c>
      <c r="H1365" s="29">
        <v>15.99</v>
      </c>
      <c r="I1365" s="142">
        <v>-63.449999999999996</v>
      </c>
      <c r="J1365" s="29">
        <v>8.6199999999999992</v>
      </c>
      <c r="K1365" s="29">
        <v>7.65</v>
      </c>
      <c r="L1365" s="29">
        <v>15.99</v>
      </c>
      <c r="M1365" s="368"/>
      <c r="N1365" s="368"/>
      <c r="O1365" s="271">
        <f>IFERROR(Table17[[#This Row],[PROFIT]]/Table17[[#This Row],[TO]],0)</f>
        <v>0</v>
      </c>
      <c r="P1365" s="177"/>
      <c r="Q1365" s="177"/>
      <c r="R1365" s="177"/>
    </row>
    <row r="1366" spans="1:18" hidden="1" x14ac:dyDescent="0.25">
      <c r="A1366" s="29" t="s">
        <v>2774</v>
      </c>
      <c r="B1366" s="29" t="s">
        <v>2773</v>
      </c>
      <c r="C1366" s="29" t="s">
        <v>78</v>
      </c>
      <c r="D1366" s="29" t="str">
        <f>VLOOKUP(C:C,'COUNT-CONT'!B:C,2,FALSE)</f>
        <v>Europe</v>
      </c>
      <c r="E1366" s="29">
        <v>6</v>
      </c>
      <c r="F1366" s="28">
        <v>2515</v>
      </c>
      <c r="G1366" s="28">
        <v>3320175745</v>
      </c>
      <c r="H1366" s="29">
        <v>15.96</v>
      </c>
      <c r="I1366" s="142">
        <v>-63.48</v>
      </c>
      <c r="J1366" s="29">
        <v>5.74</v>
      </c>
      <c r="K1366" s="29">
        <v>4.6900000000000004</v>
      </c>
      <c r="L1366" s="29">
        <v>13.09</v>
      </c>
      <c r="M1366" s="368"/>
      <c r="N1366" s="368"/>
      <c r="O1366" s="271">
        <f>IFERROR(Table17[[#This Row],[PROFIT]]/Table17[[#This Row],[TO]],0)</f>
        <v>0</v>
      </c>
      <c r="P1366" s="177"/>
      <c r="Q1366" s="177"/>
      <c r="R1366" s="177"/>
    </row>
    <row r="1367" spans="1:18" ht="30" hidden="1" x14ac:dyDescent="0.25">
      <c r="A1367" s="29" t="s">
        <v>4322</v>
      </c>
      <c r="B1367" s="29" t="s">
        <v>4321</v>
      </c>
      <c r="C1367" s="29" t="s">
        <v>11732</v>
      </c>
      <c r="D1367" s="29" t="str">
        <f>VLOOKUP(C:C,'COUNT-CONT'!B:C,2,FALSE)</f>
        <v>North America</v>
      </c>
      <c r="E1367" s="29">
        <v>7</v>
      </c>
      <c r="F1367" s="28">
        <v>2858</v>
      </c>
      <c r="G1367" s="28">
        <v>4553884534</v>
      </c>
      <c r="H1367" s="29">
        <v>15.96</v>
      </c>
      <c r="I1367" s="142">
        <v>-63.48</v>
      </c>
      <c r="J1367" s="29">
        <v>13.03</v>
      </c>
      <c r="K1367" s="29">
        <v>13.03</v>
      </c>
      <c r="L1367" s="29">
        <v>21.04</v>
      </c>
      <c r="M1367" s="368"/>
      <c r="N1367" s="368"/>
      <c r="O1367" s="271">
        <f>IFERROR(Table17[[#This Row],[PROFIT]]/Table17[[#This Row],[TO]],0)</f>
        <v>0</v>
      </c>
      <c r="P1367" s="177"/>
      <c r="Q1367" s="177"/>
      <c r="R1367" s="177"/>
    </row>
    <row r="1368" spans="1:18" ht="30" hidden="1" x14ac:dyDescent="0.25">
      <c r="A1368" s="29" t="s">
        <v>2888</v>
      </c>
      <c r="B1368" s="29" t="s">
        <v>2887</v>
      </c>
      <c r="C1368" s="29" t="s">
        <v>517</v>
      </c>
      <c r="D1368" s="29" t="str">
        <f>VLOOKUP(C:C,'COUNT-CONT'!B:C,2,FALSE)</f>
        <v>South America</v>
      </c>
      <c r="E1368" s="29">
        <v>5</v>
      </c>
      <c r="F1368" s="28">
        <v>2109</v>
      </c>
      <c r="G1368" s="28">
        <v>3423574205</v>
      </c>
      <c r="H1368" s="29">
        <v>15.96</v>
      </c>
      <c r="I1368" s="142">
        <v>-63.48</v>
      </c>
      <c r="J1368" s="29">
        <v>6.23</v>
      </c>
      <c r="K1368" s="29">
        <v>5.14</v>
      </c>
      <c r="L1368" s="29">
        <v>13.54</v>
      </c>
      <c r="M1368" s="368"/>
      <c r="N1368" s="368"/>
      <c r="O1368" s="271">
        <f>IFERROR(Table17[[#This Row],[PROFIT]]/Table17[[#This Row],[TO]],0)</f>
        <v>0</v>
      </c>
      <c r="P1368" s="177"/>
      <c r="Q1368" s="177"/>
      <c r="R1368" s="177"/>
    </row>
    <row r="1369" spans="1:18" ht="30" hidden="1" x14ac:dyDescent="0.25">
      <c r="A1369" s="29" t="s">
        <v>4312</v>
      </c>
      <c r="B1369" s="29" t="s">
        <v>4311</v>
      </c>
      <c r="C1369" s="29" t="s">
        <v>11732</v>
      </c>
      <c r="D1369" s="29" t="str">
        <f>VLOOKUP(C:C,'COUNT-CONT'!B:C,2,FALSE)</f>
        <v>North America</v>
      </c>
      <c r="E1369" s="29">
        <v>6</v>
      </c>
      <c r="F1369" s="28">
        <v>2374</v>
      </c>
      <c r="G1369" s="28">
        <v>4576352990</v>
      </c>
      <c r="H1369" s="29">
        <v>15.93</v>
      </c>
      <c r="I1369" s="142">
        <v>-63.51</v>
      </c>
      <c r="J1369" s="29">
        <v>12.97</v>
      </c>
      <c r="K1369" s="29">
        <v>12.97</v>
      </c>
      <c r="L1369" s="29">
        <v>20.95</v>
      </c>
      <c r="M1369" s="368"/>
      <c r="N1369" s="368"/>
      <c r="O1369" s="271">
        <f>IFERROR(Table17[[#This Row],[PROFIT]]/Table17[[#This Row],[TO]],0)</f>
        <v>0</v>
      </c>
      <c r="P1369" s="177"/>
      <c r="Q1369" s="177"/>
      <c r="R1369" s="177"/>
    </row>
    <row r="1370" spans="1:18" ht="30" hidden="1" x14ac:dyDescent="0.25">
      <c r="A1370" s="29" t="s">
        <v>4314</v>
      </c>
      <c r="B1370" s="29" t="s">
        <v>4313</v>
      </c>
      <c r="C1370" s="29" t="s">
        <v>11732</v>
      </c>
      <c r="D1370" s="29" t="str">
        <f>VLOOKUP(C:C,'COUNT-CONT'!B:C,2,FALSE)</f>
        <v>North America</v>
      </c>
      <c r="E1370" s="29">
        <v>6</v>
      </c>
      <c r="F1370" s="28">
        <v>2377</v>
      </c>
      <c r="G1370" s="28">
        <v>4579168195</v>
      </c>
      <c r="H1370" s="29">
        <v>15.93</v>
      </c>
      <c r="I1370" s="142">
        <v>-63.51</v>
      </c>
      <c r="J1370" s="29">
        <v>13</v>
      </c>
      <c r="K1370" s="29">
        <v>13</v>
      </c>
      <c r="L1370" s="29">
        <v>20.98</v>
      </c>
      <c r="M1370" s="368"/>
      <c r="N1370" s="368"/>
      <c r="O1370" s="271">
        <f>IFERROR(Table17[[#This Row],[PROFIT]]/Table17[[#This Row],[TO]],0)</f>
        <v>0</v>
      </c>
      <c r="P1370" s="177"/>
      <c r="Q1370" s="177"/>
      <c r="R1370" s="177"/>
    </row>
    <row r="1371" spans="1:18" hidden="1" x14ac:dyDescent="0.25">
      <c r="A1371" s="29" t="s">
        <v>2144</v>
      </c>
      <c r="B1371" s="29" t="s">
        <v>2143</v>
      </c>
      <c r="C1371" s="29" t="s">
        <v>1070</v>
      </c>
      <c r="D1371" s="29" t="str">
        <f>VLOOKUP(C:C,'COUNT-CONT'!B:C,2,FALSE)</f>
        <v>Asia</v>
      </c>
      <c r="E1371" s="29">
        <v>1</v>
      </c>
      <c r="F1371" s="28">
        <v>1148</v>
      </c>
      <c r="G1371" s="28">
        <v>3492488153</v>
      </c>
      <c r="H1371" s="29">
        <v>15.93</v>
      </c>
      <c r="I1371" s="142">
        <v>-63.51</v>
      </c>
      <c r="J1371" s="29">
        <v>3.69</v>
      </c>
      <c r="K1371" s="29">
        <v>2.39</v>
      </c>
      <c r="L1371" s="29">
        <v>10.91</v>
      </c>
      <c r="M1371" s="368"/>
      <c r="N1371" s="368"/>
      <c r="O1371" s="271">
        <f>IFERROR(Table17[[#This Row],[PROFIT]]/Table17[[#This Row],[TO]],0)</f>
        <v>0</v>
      </c>
      <c r="P1371" s="177"/>
      <c r="Q1371" s="177"/>
      <c r="R1371" s="177"/>
    </row>
    <row r="1372" spans="1:18" ht="30" hidden="1" x14ac:dyDescent="0.25">
      <c r="A1372" s="29" t="s">
        <v>4316</v>
      </c>
      <c r="B1372" s="29" t="s">
        <v>4315</v>
      </c>
      <c r="C1372" s="29" t="s">
        <v>11732</v>
      </c>
      <c r="D1372" s="29" t="str">
        <f>VLOOKUP(C:C,'COUNT-CONT'!B:C,2,FALSE)</f>
        <v>North America</v>
      </c>
      <c r="E1372" s="29">
        <v>7</v>
      </c>
      <c r="F1372" s="28">
        <v>2856</v>
      </c>
      <c r="G1372" s="28">
        <v>4546154061</v>
      </c>
      <c r="H1372" s="29">
        <v>15.93</v>
      </c>
      <c r="I1372" s="142">
        <v>-63.51</v>
      </c>
      <c r="J1372" s="29">
        <v>13</v>
      </c>
      <c r="K1372" s="29">
        <v>13</v>
      </c>
      <c r="L1372" s="29">
        <v>20.98</v>
      </c>
      <c r="M1372" s="368"/>
      <c r="N1372" s="368"/>
      <c r="O1372" s="271">
        <f>IFERROR(Table17[[#This Row],[PROFIT]]/Table17[[#This Row],[TO]],0)</f>
        <v>0</v>
      </c>
      <c r="P1372" s="177"/>
      <c r="Q1372" s="177"/>
      <c r="R1372" s="177"/>
    </row>
    <row r="1373" spans="1:18" hidden="1" x14ac:dyDescent="0.25">
      <c r="A1373" s="29" t="s">
        <v>2546</v>
      </c>
      <c r="B1373" s="29" t="s">
        <v>2545</v>
      </c>
      <c r="C1373" s="29" t="s">
        <v>700</v>
      </c>
      <c r="D1373" s="29" t="str">
        <f>VLOOKUP(C:C,'COUNT-CONT'!B:C,2,FALSE)</f>
        <v>Asia</v>
      </c>
      <c r="E1373" s="29">
        <v>6</v>
      </c>
      <c r="F1373" s="28">
        <v>2310</v>
      </c>
      <c r="G1373" s="28">
        <v>3258590476</v>
      </c>
      <c r="H1373" s="29">
        <v>15.93</v>
      </c>
      <c r="I1373" s="142">
        <v>-63.51</v>
      </c>
      <c r="J1373" s="29">
        <v>4.9000000000000004</v>
      </c>
      <c r="K1373" s="29">
        <v>3.66</v>
      </c>
      <c r="L1373" s="29">
        <v>12.24</v>
      </c>
      <c r="M1373" s="368"/>
      <c r="N1373" s="368"/>
      <c r="O1373" s="271">
        <f>IFERROR(Table17[[#This Row],[PROFIT]]/Table17[[#This Row],[TO]],0)</f>
        <v>0</v>
      </c>
      <c r="P1373" s="177"/>
      <c r="Q1373" s="177"/>
      <c r="R1373" s="177"/>
    </row>
    <row r="1374" spans="1:18" hidden="1" x14ac:dyDescent="0.25">
      <c r="A1374" s="29" t="s">
        <v>3221</v>
      </c>
      <c r="B1374" s="29" t="s">
        <v>3220</v>
      </c>
      <c r="C1374" s="29" t="s">
        <v>1858</v>
      </c>
      <c r="D1374" s="29" t="str">
        <f>VLOOKUP(C:C,'COUNT-CONT'!B:C,2,FALSE)</f>
        <v>Europe</v>
      </c>
      <c r="E1374" s="29">
        <v>4</v>
      </c>
      <c r="F1374" s="28">
        <v>2021</v>
      </c>
      <c r="G1374" s="28">
        <v>3741285007</v>
      </c>
      <c r="H1374" s="29">
        <v>15.93</v>
      </c>
      <c r="I1374" s="142">
        <v>-63.51</v>
      </c>
      <c r="J1374" s="29">
        <v>7.53</v>
      </c>
      <c r="K1374" s="29">
        <v>6.62</v>
      </c>
      <c r="L1374" s="29">
        <v>15.05</v>
      </c>
      <c r="M1374" s="368"/>
      <c r="N1374" s="368"/>
      <c r="O1374" s="271">
        <f>IFERROR(Table17[[#This Row],[PROFIT]]/Table17[[#This Row],[TO]],0)</f>
        <v>0</v>
      </c>
      <c r="P1374" s="177"/>
      <c r="Q1374" s="177"/>
      <c r="R1374" s="177"/>
    </row>
    <row r="1375" spans="1:18" hidden="1" x14ac:dyDescent="0.25">
      <c r="A1375" s="29" t="s">
        <v>2884</v>
      </c>
      <c r="B1375" s="29" t="s">
        <v>2883</v>
      </c>
      <c r="C1375" s="29" t="s">
        <v>14</v>
      </c>
      <c r="D1375" s="29" t="str">
        <f>VLOOKUP(C:C,'COUNT-CONT'!B:C,2,FALSE)</f>
        <v>Asia</v>
      </c>
      <c r="E1375" s="29">
        <v>8</v>
      </c>
      <c r="F1375" s="28">
        <v>3020</v>
      </c>
      <c r="G1375" s="28">
        <v>3351438410</v>
      </c>
      <c r="H1375" s="29">
        <v>15.93</v>
      </c>
      <c r="I1375" s="142">
        <v>-63.51</v>
      </c>
      <c r="J1375" s="29">
        <v>6.2</v>
      </c>
      <c r="K1375" s="29">
        <v>5.1100000000000003</v>
      </c>
      <c r="L1375" s="29">
        <v>13.51</v>
      </c>
      <c r="M1375" s="368"/>
      <c r="N1375" s="368"/>
      <c r="O1375" s="271">
        <f>IFERROR(Table17[[#This Row],[PROFIT]]/Table17[[#This Row],[TO]],0)</f>
        <v>0</v>
      </c>
      <c r="P1375" s="177"/>
      <c r="Q1375" s="177"/>
      <c r="R1375" s="177"/>
    </row>
    <row r="1376" spans="1:18" hidden="1" x14ac:dyDescent="0.25">
      <c r="A1376" s="29" t="s">
        <v>2882</v>
      </c>
      <c r="B1376" s="29" t="s">
        <v>2881</v>
      </c>
      <c r="C1376" s="29" t="s">
        <v>14</v>
      </c>
      <c r="D1376" s="29" t="str">
        <f>VLOOKUP(C:C,'COUNT-CONT'!B:C,2,FALSE)</f>
        <v>Asia</v>
      </c>
      <c r="E1376" s="29">
        <v>7</v>
      </c>
      <c r="F1376" s="28">
        <v>2617</v>
      </c>
      <c r="G1376" s="28">
        <v>3369128620</v>
      </c>
      <c r="H1376" s="29">
        <v>15.93</v>
      </c>
      <c r="I1376" s="142">
        <v>-63.51</v>
      </c>
      <c r="J1376" s="29">
        <v>6.2</v>
      </c>
      <c r="K1376" s="29">
        <v>5.1100000000000003</v>
      </c>
      <c r="L1376" s="29">
        <v>13.51</v>
      </c>
      <c r="M1376" s="368"/>
      <c r="N1376" s="368"/>
      <c r="O1376" s="271">
        <f>IFERROR(Table17[[#This Row],[PROFIT]]/Table17[[#This Row],[TO]],0)</f>
        <v>0</v>
      </c>
      <c r="P1376" s="177"/>
      <c r="Q1376" s="177"/>
      <c r="R1376" s="177"/>
    </row>
    <row r="1377" spans="1:18" hidden="1" x14ac:dyDescent="0.25">
      <c r="A1377" s="29" t="s">
        <v>2138</v>
      </c>
      <c r="B1377" s="29" t="s">
        <v>2137</v>
      </c>
      <c r="C1377" s="29" t="s">
        <v>1070</v>
      </c>
      <c r="D1377" s="29" t="str">
        <f>VLOOKUP(C:C,'COUNT-CONT'!B:C,2,FALSE)</f>
        <v>Asia</v>
      </c>
      <c r="E1377" s="29">
        <v>6</v>
      </c>
      <c r="F1377" s="28">
        <v>2292</v>
      </c>
      <c r="G1377" s="28">
        <v>3125130191</v>
      </c>
      <c r="H1377" s="29">
        <v>15.9</v>
      </c>
      <c r="I1377" s="142">
        <v>-63.54</v>
      </c>
      <c r="J1377" s="29">
        <v>3.69</v>
      </c>
      <c r="K1377" s="29">
        <v>2.39</v>
      </c>
      <c r="L1377" s="29">
        <v>10.88</v>
      </c>
      <c r="M1377" s="368"/>
      <c r="N1377" s="368"/>
      <c r="O1377" s="271">
        <f>IFERROR(Table17[[#This Row],[PROFIT]]/Table17[[#This Row],[TO]],0)</f>
        <v>0</v>
      </c>
      <c r="P1377" s="177"/>
      <c r="Q1377" s="177"/>
      <c r="R1377" s="177"/>
    </row>
    <row r="1378" spans="1:18" hidden="1" x14ac:dyDescent="0.25">
      <c r="A1378" s="29" t="s">
        <v>2868</v>
      </c>
      <c r="B1378" s="29" t="s">
        <v>2867</v>
      </c>
      <c r="C1378" s="29" t="s">
        <v>14</v>
      </c>
      <c r="D1378" s="29" t="str">
        <f>VLOOKUP(C:C,'COUNT-CONT'!B:C,2,FALSE)</f>
        <v>Asia</v>
      </c>
      <c r="E1378" s="29">
        <v>8</v>
      </c>
      <c r="F1378" s="28">
        <v>2819</v>
      </c>
      <c r="G1378" s="28">
        <v>3355809294</v>
      </c>
      <c r="H1378" s="29">
        <v>15.9</v>
      </c>
      <c r="I1378" s="142">
        <v>-63.54</v>
      </c>
      <c r="J1378" s="29">
        <v>6.2</v>
      </c>
      <c r="K1378" s="29">
        <v>5.1100000000000003</v>
      </c>
      <c r="L1378" s="29">
        <v>13.48</v>
      </c>
      <c r="M1378" s="368"/>
      <c r="N1378" s="368"/>
      <c r="O1378" s="271">
        <f>IFERROR(Table17[[#This Row],[PROFIT]]/Table17[[#This Row],[TO]],0)</f>
        <v>0</v>
      </c>
      <c r="P1378" s="177"/>
      <c r="Q1378" s="177"/>
      <c r="R1378" s="177"/>
    </row>
    <row r="1379" spans="1:18" ht="30" hidden="1" x14ac:dyDescent="0.25">
      <c r="A1379" s="29" t="s">
        <v>4306</v>
      </c>
      <c r="B1379" s="29" t="s">
        <v>4305</v>
      </c>
      <c r="C1379" s="29" t="s">
        <v>11732</v>
      </c>
      <c r="D1379" s="29" t="str">
        <f>VLOOKUP(C:C,'COUNT-CONT'!B:C,2,FALSE)</f>
        <v>North America</v>
      </c>
      <c r="E1379" s="29">
        <v>7</v>
      </c>
      <c r="F1379" s="28">
        <v>2855</v>
      </c>
      <c r="G1379" s="28">
        <v>4536688966</v>
      </c>
      <c r="H1379" s="29">
        <v>15.87</v>
      </c>
      <c r="I1379" s="142">
        <v>-63.57</v>
      </c>
      <c r="J1379" s="29">
        <v>12.94</v>
      </c>
      <c r="K1379" s="29">
        <v>12.94</v>
      </c>
      <c r="L1379" s="29">
        <v>20.89</v>
      </c>
      <c r="M1379" s="368"/>
      <c r="N1379" s="368"/>
      <c r="O1379" s="271">
        <f>IFERROR(Table17[[#This Row],[PROFIT]]/Table17[[#This Row],[TO]],0)</f>
        <v>0</v>
      </c>
      <c r="P1379" s="177"/>
      <c r="Q1379" s="177"/>
      <c r="R1379" s="177"/>
    </row>
    <row r="1380" spans="1:18" hidden="1" x14ac:dyDescent="0.25">
      <c r="A1380" s="29" t="s">
        <v>2535</v>
      </c>
      <c r="B1380" s="29" t="s">
        <v>2534</v>
      </c>
      <c r="C1380" s="29" t="s">
        <v>1314</v>
      </c>
      <c r="D1380" s="29" t="str">
        <f>VLOOKUP(C:C,'COUNT-CONT'!B:C,2,FALSE)</f>
        <v>Asia</v>
      </c>
      <c r="E1380" s="29">
        <v>6</v>
      </c>
      <c r="F1380" s="28">
        <v>2364</v>
      </c>
      <c r="G1380" s="28">
        <v>3216713028</v>
      </c>
      <c r="H1380" s="29">
        <v>15.87</v>
      </c>
      <c r="I1380" s="142">
        <v>-63.57</v>
      </c>
      <c r="J1380" s="29">
        <v>5.1100000000000003</v>
      </c>
      <c r="K1380" s="29">
        <v>3.66</v>
      </c>
      <c r="L1380" s="29">
        <v>12.21</v>
      </c>
      <c r="M1380" s="368"/>
      <c r="N1380" s="368"/>
      <c r="O1380" s="271">
        <f>IFERROR(Table17[[#This Row],[PROFIT]]/Table17[[#This Row],[TO]],0)</f>
        <v>0</v>
      </c>
      <c r="P1380" s="177"/>
      <c r="Q1380" s="177"/>
      <c r="R1380" s="177"/>
    </row>
    <row r="1381" spans="1:18" hidden="1" x14ac:dyDescent="0.25">
      <c r="A1381" s="29" t="s">
        <v>3085</v>
      </c>
      <c r="B1381" s="29" t="s">
        <v>3084</v>
      </c>
      <c r="C1381" s="29" t="s">
        <v>258</v>
      </c>
      <c r="D1381" s="29" t="str">
        <f>VLOOKUP(C:C,'COUNT-CONT'!B:C,2,FALSE)</f>
        <v>Asia</v>
      </c>
      <c r="E1381" s="29">
        <v>7</v>
      </c>
      <c r="F1381" s="28">
        <v>2767</v>
      </c>
      <c r="G1381" s="28">
        <v>3557242464</v>
      </c>
      <c r="H1381" s="29">
        <v>15.87</v>
      </c>
      <c r="I1381" s="142">
        <v>-63.57</v>
      </c>
      <c r="J1381" s="29">
        <v>6.92</v>
      </c>
      <c r="K1381" s="29">
        <v>6.05</v>
      </c>
      <c r="L1381" s="29">
        <v>14.42</v>
      </c>
      <c r="M1381" s="368"/>
      <c r="N1381" s="368"/>
      <c r="O1381" s="271">
        <f>IFERROR(Table17[[#This Row],[PROFIT]]/Table17[[#This Row],[TO]],0)</f>
        <v>0</v>
      </c>
      <c r="P1381" s="177"/>
      <c r="Q1381" s="177"/>
      <c r="R1381" s="177"/>
    </row>
    <row r="1382" spans="1:18" x14ac:dyDescent="0.25">
      <c r="A1382" s="29" t="s">
        <v>3654</v>
      </c>
      <c r="B1382" s="29" t="s">
        <v>3653</v>
      </c>
      <c r="C1382" s="29" t="s">
        <v>774</v>
      </c>
      <c r="D1382" s="29" t="str">
        <f>VLOOKUP(C:C,'COUNT-CONT'!B:C,2,FALSE)</f>
        <v>Oceania</v>
      </c>
      <c r="E1382" s="29">
        <v>4</v>
      </c>
      <c r="F1382" s="28">
        <v>1986</v>
      </c>
      <c r="G1382" s="28">
        <v>3985877139</v>
      </c>
      <c r="H1382" s="29">
        <v>15.84</v>
      </c>
      <c r="I1382" s="142">
        <v>-63.599999999999994</v>
      </c>
      <c r="J1382" s="29">
        <v>9.43</v>
      </c>
      <c r="K1382" s="29">
        <v>8.77</v>
      </c>
      <c r="L1382" s="29">
        <v>16.87</v>
      </c>
      <c r="M1382" s="368"/>
      <c r="N1382" s="368"/>
      <c r="O1382" s="271">
        <f>IFERROR(Table17[[#This Row],[PROFIT]]/Table17[[#This Row],[TO]],0)</f>
        <v>0</v>
      </c>
      <c r="P1382" s="177"/>
      <c r="Q1382" s="177"/>
      <c r="R1382" s="177"/>
    </row>
    <row r="1383" spans="1:18" ht="30" hidden="1" x14ac:dyDescent="0.25">
      <c r="A1383" s="29" t="s">
        <v>4302</v>
      </c>
      <c r="B1383" s="29" t="s">
        <v>4301</v>
      </c>
      <c r="C1383" s="29" t="s">
        <v>11732</v>
      </c>
      <c r="D1383" s="29" t="str">
        <f>VLOOKUP(C:C,'COUNT-CONT'!B:C,2,FALSE)</f>
        <v>North America</v>
      </c>
      <c r="E1383" s="29">
        <v>6</v>
      </c>
      <c r="F1383" s="28">
        <v>2533</v>
      </c>
      <c r="G1383" s="28">
        <v>4548367666</v>
      </c>
      <c r="H1383" s="29">
        <v>15.84</v>
      </c>
      <c r="I1383" s="142">
        <v>-63.599999999999994</v>
      </c>
      <c r="J1383" s="29">
        <v>12.91</v>
      </c>
      <c r="K1383" s="29">
        <v>12.91</v>
      </c>
      <c r="L1383" s="29">
        <v>20.86</v>
      </c>
      <c r="M1383" s="368"/>
      <c r="N1383" s="368"/>
      <c r="O1383" s="271">
        <f>IFERROR(Table17[[#This Row],[PROFIT]]/Table17[[#This Row],[TO]],0)</f>
        <v>0</v>
      </c>
      <c r="P1383" s="177"/>
      <c r="Q1383" s="177"/>
      <c r="R1383" s="177"/>
    </row>
    <row r="1384" spans="1:18" hidden="1" x14ac:dyDescent="0.25">
      <c r="A1384" s="29" t="s">
        <v>3737</v>
      </c>
      <c r="B1384" s="29" t="s">
        <v>3736</v>
      </c>
      <c r="C1384" s="29" t="s">
        <v>1427</v>
      </c>
      <c r="D1384" s="29" t="str">
        <f>VLOOKUP(C:C,'COUNT-CONT'!B:C,2,FALSE)</f>
        <v>Europe</v>
      </c>
      <c r="E1384" s="29">
        <v>7</v>
      </c>
      <c r="F1384" s="28">
        <v>2646</v>
      </c>
      <c r="G1384" s="28">
        <v>3942521844</v>
      </c>
      <c r="H1384" s="29">
        <v>15.81</v>
      </c>
      <c r="I1384" s="142">
        <v>-63.629999999999995</v>
      </c>
      <c r="J1384" s="29">
        <v>9.61</v>
      </c>
      <c r="K1384" s="29">
        <v>8.92</v>
      </c>
      <c r="L1384" s="29">
        <v>17.2</v>
      </c>
      <c r="M1384" s="368"/>
      <c r="N1384" s="368"/>
      <c r="O1384" s="271">
        <f>IFERROR(Table17[[#This Row],[PROFIT]]/Table17[[#This Row],[TO]],0)</f>
        <v>0</v>
      </c>
      <c r="P1384" s="177"/>
      <c r="Q1384" s="177"/>
      <c r="R1384" s="177"/>
    </row>
    <row r="1385" spans="1:18" hidden="1" x14ac:dyDescent="0.25">
      <c r="A1385" s="29" t="s">
        <v>1769</v>
      </c>
      <c r="B1385" s="29" t="s">
        <v>1768</v>
      </c>
      <c r="C1385" s="29" t="s">
        <v>511</v>
      </c>
      <c r="D1385" s="29" t="e">
        <f>VLOOKUP(C:C,'COUNT-CONT'!B:C,2,FALSE)</f>
        <v>#N/A</v>
      </c>
      <c r="E1385" s="29">
        <v>10</v>
      </c>
      <c r="F1385" s="28">
        <v>4540</v>
      </c>
      <c r="G1385" s="28">
        <v>2983490748</v>
      </c>
      <c r="H1385" s="29">
        <v>15.81</v>
      </c>
      <c r="I1385" s="142">
        <v>-63.629999999999995</v>
      </c>
      <c r="J1385" s="29">
        <v>2.72</v>
      </c>
      <c r="K1385" s="29">
        <v>1.1499999999999999</v>
      </c>
      <c r="L1385" s="29">
        <v>9.76</v>
      </c>
      <c r="M1385" s="368"/>
      <c r="N1385" s="368"/>
      <c r="O1385" s="271">
        <f>IFERROR(Table17[[#This Row],[PROFIT]]/Table17[[#This Row],[TO]],0)</f>
        <v>0</v>
      </c>
      <c r="P1385" s="177"/>
      <c r="Q1385" s="177"/>
      <c r="R1385" s="177"/>
    </row>
    <row r="1386" spans="1:18" ht="30" hidden="1" x14ac:dyDescent="0.25">
      <c r="A1386" s="29" t="s">
        <v>4295</v>
      </c>
      <c r="B1386" s="29" t="s">
        <v>4294</v>
      </c>
      <c r="C1386" s="29" t="s">
        <v>11732</v>
      </c>
      <c r="D1386" s="29" t="str">
        <f>VLOOKUP(C:C,'COUNT-CONT'!B:C,2,FALSE)</f>
        <v>North America</v>
      </c>
      <c r="E1386" s="29">
        <v>7</v>
      </c>
      <c r="F1386" s="28">
        <v>2675</v>
      </c>
      <c r="G1386" s="28">
        <v>4532614953</v>
      </c>
      <c r="H1386" s="29">
        <v>15.81</v>
      </c>
      <c r="I1386" s="142">
        <v>-63.629999999999995</v>
      </c>
      <c r="J1386" s="29">
        <v>12.88</v>
      </c>
      <c r="K1386" s="29">
        <v>12.88</v>
      </c>
      <c r="L1386" s="29">
        <v>20.8</v>
      </c>
      <c r="M1386" s="368"/>
      <c r="N1386" s="368"/>
      <c r="O1386" s="271">
        <f>IFERROR(Table17[[#This Row],[PROFIT]]/Table17[[#This Row],[TO]],0)</f>
        <v>0</v>
      </c>
      <c r="P1386" s="177"/>
      <c r="Q1386" s="177"/>
      <c r="R1386" s="177"/>
    </row>
    <row r="1387" spans="1:18" ht="30" hidden="1" x14ac:dyDescent="0.25">
      <c r="A1387" s="29" t="s">
        <v>2958</v>
      </c>
      <c r="B1387" s="29" t="s">
        <v>2957</v>
      </c>
      <c r="C1387" s="29" t="s">
        <v>600</v>
      </c>
      <c r="D1387" s="29" t="str">
        <f>VLOOKUP(C:C,'COUNT-CONT'!B:C,2,FALSE)</f>
        <v>North America</v>
      </c>
      <c r="E1387" s="29">
        <v>8</v>
      </c>
      <c r="F1387" s="28">
        <v>2836</v>
      </c>
      <c r="G1387" s="28">
        <v>3481170239</v>
      </c>
      <c r="H1387" s="29">
        <v>15.81</v>
      </c>
      <c r="I1387" s="142">
        <v>-63.629999999999995</v>
      </c>
      <c r="J1387" s="29">
        <v>6.65</v>
      </c>
      <c r="K1387" s="29">
        <v>5.53</v>
      </c>
      <c r="L1387" s="29">
        <v>13.88</v>
      </c>
      <c r="M1387" s="368"/>
      <c r="N1387" s="368"/>
      <c r="O1387" s="271">
        <f>IFERROR(Table17[[#This Row],[PROFIT]]/Table17[[#This Row],[TO]],0)</f>
        <v>0</v>
      </c>
      <c r="P1387" s="177"/>
      <c r="Q1387" s="177"/>
      <c r="R1387" s="177"/>
    </row>
    <row r="1388" spans="1:18" hidden="1" x14ac:dyDescent="0.25">
      <c r="A1388" s="29" t="s">
        <v>2742</v>
      </c>
      <c r="B1388" s="29" t="s">
        <v>2741</v>
      </c>
      <c r="C1388" s="29" t="s">
        <v>717</v>
      </c>
      <c r="D1388" s="29" t="str">
        <f>VLOOKUP(C:C,'COUNT-CONT'!B:C,2,FALSE)</f>
        <v>Asia</v>
      </c>
      <c r="E1388" s="29">
        <v>4</v>
      </c>
      <c r="F1388" s="28">
        <v>1846</v>
      </c>
      <c r="G1388" s="28">
        <v>3394682990</v>
      </c>
      <c r="H1388" s="29">
        <v>15.81</v>
      </c>
      <c r="I1388" s="142">
        <v>-63.629999999999995</v>
      </c>
      <c r="J1388" s="29">
        <v>5.68</v>
      </c>
      <c r="K1388" s="29">
        <v>4.66</v>
      </c>
      <c r="L1388" s="29">
        <v>12.97</v>
      </c>
      <c r="M1388" s="368"/>
      <c r="N1388" s="368"/>
      <c r="O1388" s="271">
        <f>IFERROR(Table17[[#This Row],[PROFIT]]/Table17[[#This Row],[TO]],0)</f>
        <v>0</v>
      </c>
      <c r="P1388" s="177"/>
      <c r="Q1388" s="177"/>
      <c r="R1388" s="177"/>
    </row>
    <row r="1389" spans="1:18" ht="30" hidden="1" x14ac:dyDescent="0.25">
      <c r="A1389" s="29" t="s">
        <v>2512</v>
      </c>
      <c r="B1389" s="29" t="s">
        <v>2511</v>
      </c>
      <c r="C1389" s="29" t="s">
        <v>493</v>
      </c>
      <c r="D1389" s="29" t="str">
        <f>VLOOKUP(C:C,'COUNT-CONT'!B:C,2,FALSE)</f>
        <v>Africa</v>
      </c>
      <c r="E1389" s="29">
        <v>8</v>
      </c>
      <c r="F1389" s="28">
        <v>2000</v>
      </c>
      <c r="G1389" s="28">
        <v>3373000000</v>
      </c>
      <c r="H1389" s="29">
        <v>15.78</v>
      </c>
      <c r="I1389" s="142">
        <v>-63.66</v>
      </c>
      <c r="J1389" s="29">
        <v>5.08</v>
      </c>
      <c r="K1389" s="29">
        <v>3.63</v>
      </c>
      <c r="L1389" s="29">
        <v>12.15</v>
      </c>
      <c r="M1389" s="368"/>
      <c r="N1389" s="368"/>
      <c r="O1389" s="271">
        <f>IFERROR(Table17[[#This Row],[PROFIT]]/Table17[[#This Row],[TO]],0)</f>
        <v>0</v>
      </c>
      <c r="P1389" s="177"/>
      <c r="Q1389" s="177"/>
      <c r="R1389" s="177"/>
    </row>
    <row r="1390" spans="1:18" hidden="1" x14ac:dyDescent="0.25">
      <c r="A1390" s="29" t="s">
        <v>2374</v>
      </c>
      <c r="B1390" s="29" t="s">
        <v>2373</v>
      </c>
      <c r="C1390" s="29" t="s">
        <v>926</v>
      </c>
      <c r="D1390" s="29" t="str">
        <f>VLOOKUP(C:C,'COUNT-CONT'!B:C,2,FALSE)</f>
        <v>Africa</v>
      </c>
      <c r="E1390" s="29">
        <v>8</v>
      </c>
      <c r="F1390" s="28">
        <v>3011</v>
      </c>
      <c r="G1390" s="28">
        <v>3132927133</v>
      </c>
      <c r="H1390" s="29">
        <v>15.78</v>
      </c>
      <c r="I1390" s="142">
        <v>-63.66</v>
      </c>
      <c r="J1390" s="29">
        <v>4.41</v>
      </c>
      <c r="K1390" s="29">
        <v>2.99</v>
      </c>
      <c r="L1390" s="29">
        <v>11.61</v>
      </c>
      <c r="M1390" s="368"/>
      <c r="N1390" s="368"/>
      <c r="O1390" s="271">
        <f>IFERROR(Table17[[#This Row],[PROFIT]]/Table17[[#This Row],[TO]],0)</f>
        <v>0</v>
      </c>
      <c r="P1390" s="177"/>
      <c r="Q1390" s="177"/>
      <c r="R1390" s="177"/>
    </row>
    <row r="1391" spans="1:18" hidden="1" x14ac:dyDescent="0.25">
      <c r="A1391" s="29" t="s">
        <v>2840</v>
      </c>
      <c r="B1391" s="29" t="s">
        <v>2839</v>
      </c>
      <c r="C1391" s="29" t="s">
        <v>14</v>
      </c>
      <c r="D1391" s="29" t="str">
        <f>VLOOKUP(C:C,'COUNT-CONT'!B:C,2,FALSE)</f>
        <v>Asia</v>
      </c>
      <c r="E1391" s="29">
        <v>6</v>
      </c>
      <c r="F1391" s="28">
        <v>2315</v>
      </c>
      <c r="G1391" s="28">
        <v>3376361987</v>
      </c>
      <c r="H1391" s="29">
        <v>15.78</v>
      </c>
      <c r="I1391" s="142">
        <v>-63.66</v>
      </c>
      <c r="J1391" s="29">
        <v>6.14</v>
      </c>
      <c r="K1391" s="29">
        <v>5.08</v>
      </c>
      <c r="L1391" s="29">
        <v>13.39</v>
      </c>
      <c r="M1391" s="368"/>
      <c r="N1391" s="368"/>
      <c r="O1391" s="271">
        <f>IFERROR(Table17[[#This Row],[PROFIT]]/Table17[[#This Row],[TO]],0)</f>
        <v>0</v>
      </c>
      <c r="P1391" s="177"/>
      <c r="Q1391" s="177"/>
      <c r="R1391" s="177"/>
    </row>
    <row r="1392" spans="1:18" x14ac:dyDescent="0.25">
      <c r="A1392" s="29" t="s">
        <v>3620</v>
      </c>
      <c r="B1392" s="29" t="s">
        <v>3619</v>
      </c>
      <c r="C1392" s="29" t="s">
        <v>774</v>
      </c>
      <c r="D1392" s="29" t="str">
        <f>VLOOKUP(C:C,'COUNT-CONT'!B:C,2,FALSE)</f>
        <v>Oceania</v>
      </c>
      <c r="E1392" s="29">
        <v>4</v>
      </c>
      <c r="F1392" s="28">
        <v>1981</v>
      </c>
      <c r="G1392" s="28">
        <v>3974475113</v>
      </c>
      <c r="H1392" s="29">
        <v>15.75</v>
      </c>
      <c r="I1392" s="142">
        <v>-63.69</v>
      </c>
      <c r="J1392" s="29">
        <v>9.3699999999999992</v>
      </c>
      <c r="K1392" s="29">
        <v>8.7100000000000009</v>
      </c>
      <c r="L1392" s="29">
        <v>16.78</v>
      </c>
      <c r="M1392" s="368"/>
      <c r="N1392" s="368"/>
      <c r="O1392" s="271">
        <f>IFERROR(Table17[[#This Row],[PROFIT]]/Table17[[#This Row],[TO]],0)</f>
        <v>0</v>
      </c>
      <c r="P1392" s="177"/>
      <c r="Q1392" s="177"/>
      <c r="R1392" s="177"/>
    </row>
    <row r="1393" spans="1:18" hidden="1" x14ac:dyDescent="0.25">
      <c r="A1393" s="29" t="s">
        <v>2508</v>
      </c>
      <c r="B1393" s="29" t="s">
        <v>2507</v>
      </c>
      <c r="C1393" s="29" t="s">
        <v>700</v>
      </c>
      <c r="D1393" s="29" t="str">
        <f>VLOOKUP(C:C,'COUNT-CONT'!B:C,2,FALSE)</f>
        <v>Asia</v>
      </c>
      <c r="E1393" s="29">
        <v>7</v>
      </c>
      <c r="F1393" s="28">
        <v>2529</v>
      </c>
      <c r="G1393" s="28">
        <v>3223154527</v>
      </c>
      <c r="H1393" s="29">
        <v>15.75</v>
      </c>
      <c r="I1393" s="142">
        <v>-63.69</v>
      </c>
      <c r="J1393" s="29">
        <v>4.84</v>
      </c>
      <c r="K1393" s="29">
        <v>3.63</v>
      </c>
      <c r="L1393" s="29">
        <v>12.12</v>
      </c>
      <c r="M1393" s="368"/>
      <c r="N1393" s="368"/>
      <c r="O1393" s="271">
        <f>IFERROR(Table17[[#This Row],[PROFIT]]/Table17[[#This Row],[TO]],0)</f>
        <v>0</v>
      </c>
      <c r="P1393" s="177"/>
      <c r="Q1393" s="177"/>
      <c r="R1393" s="177"/>
    </row>
    <row r="1394" spans="1:18" ht="30" hidden="1" x14ac:dyDescent="0.25">
      <c r="A1394" s="29" t="s">
        <v>4287</v>
      </c>
      <c r="B1394" s="29" t="s">
        <v>4286</v>
      </c>
      <c r="C1394" s="29" t="s">
        <v>11732</v>
      </c>
      <c r="D1394" s="29" t="str">
        <f>VLOOKUP(C:C,'COUNT-CONT'!B:C,2,FALSE)</f>
        <v>North America</v>
      </c>
      <c r="E1394" s="29">
        <v>7</v>
      </c>
      <c r="F1394" s="28">
        <v>2852</v>
      </c>
      <c r="G1394" s="28">
        <v>4514694249</v>
      </c>
      <c r="H1394" s="29">
        <v>15.75</v>
      </c>
      <c r="I1394" s="142">
        <v>-63.69</v>
      </c>
      <c r="J1394" s="29">
        <v>12.85</v>
      </c>
      <c r="K1394" s="29">
        <v>12.85</v>
      </c>
      <c r="L1394" s="29">
        <v>20.74</v>
      </c>
      <c r="M1394" s="368"/>
      <c r="N1394" s="368"/>
      <c r="O1394" s="271">
        <f>IFERROR(Table17[[#This Row],[PROFIT]]/Table17[[#This Row],[TO]],0)</f>
        <v>0</v>
      </c>
      <c r="P1394" s="177"/>
      <c r="Q1394" s="177"/>
      <c r="R1394" s="177"/>
    </row>
    <row r="1395" spans="1:18" hidden="1" x14ac:dyDescent="0.25">
      <c r="A1395" s="29" t="s">
        <v>2834</v>
      </c>
      <c r="B1395" s="29" t="s">
        <v>2833</v>
      </c>
      <c r="C1395" s="29" t="s">
        <v>14</v>
      </c>
      <c r="D1395" s="29" t="str">
        <f>VLOOKUP(C:C,'COUNT-CONT'!B:C,2,FALSE)</f>
        <v>Asia</v>
      </c>
      <c r="E1395" s="29">
        <v>6</v>
      </c>
      <c r="F1395" s="28">
        <v>2425</v>
      </c>
      <c r="G1395" s="28">
        <v>3362608247</v>
      </c>
      <c r="H1395" s="29">
        <v>15.75</v>
      </c>
      <c r="I1395" s="142">
        <v>-63.69</v>
      </c>
      <c r="J1395" s="29">
        <v>6.14</v>
      </c>
      <c r="K1395" s="29">
        <v>5.05</v>
      </c>
      <c r="L1395" s="29">
        <v>13.36</v>
      </c>
      <c r="M1395" s="368"/>
      <c r="N1395" s="368"/>
      <c r="O1395" s="271">
        <f>IFERROR(Table17[[#This Row],[PROFIT]]/Table17[[#This Row],[TO]],0)</f>
        <v>0</v>
      </c>
      <c r="P1395" s="177"/>
      <c r="Q1395" s="177"/>
      <c r="R1395" s="177"/>
    </row>
    <row r="1396" spans="1:18" hidden="1" x14ac:dyDescent="0.25">
      <c r="A1396" s="29" t="s">
        <v>1904</v>
      </c>
      <c r="B1396" s="29" t="s">
        <v>1903</v>
      </c>
      <c r="C1396" s="29" t="s">
        <v>197</v>
      </c>
      <c r="D1396" s="29" t="str">
        <f>VLOOKUP(C:C,'COUNT-CONT'!B:C,2,FALSE)</f>
        <v>Asia</v>
      </c>
      <c r="E1396" s="29">
        <v>8</v>
      </c>
      <c r="F1396" s="28">
        <v>3007</v>
      </c>
      <c r="G1396" s="28">
        <v>3069413102</v>
      </c>
      <c r="H1396" s="29">
        <v>15.75</v>
      </c>
      <c r="I1396" s="142">
        <v>-63.69</v>
      </c>
      <c r="J1396" s="29">
        <v>3.26</v>
      </c>
      <c r="K1396" s="29">
        <v>1.63</v>
      </c>
      <c r="L1396" s="29">
        <v>10.220000000000001</v>
      </c>
      <c r="M1396" s="368"/>
      <c r="N1396" s="368"/>
      <c r="O1396" s="271">
        <f>IFERROR(Table17[[#This Row],[PROFIT]]/Table17[[#This Row],[TO]],0)</f>
        <v>0</v>
      </c>
      <c r="P1396" s="177"/>
      <c r="Q1396" s="177"/>
      <c r="R1396" s="177"/>
    </row>
    <row r="1397" spans="1:18" ht="30" hidden="1" x14ac:dyDescent="0.25">
      <c r="A1397" s="29" t="s">
        <v>2826</v>
      </c>
      <c r="B1397" s="29" t="s">
        <v>2825</v>
      </c>
      <c r="C1397" s="29" t="s">
        <v>517</v>
      </c>
      <c r="D1397" s="29" t="str">
        <f>VLOOKUP(C:C,'COUNT-CONT'!B:C,2,FALSE)</f>
        <v>South America</v>
      </c>
      <c r="E1397" s="29">
        <v>3</v>
      </c>
      <c r="F1397" s="28">
        <v>1607</v>
      </c>
      <c r="G1397" s="28">
        <v>3510905289</v>
      </c>
      <c r="H1397" s="29">
        <v>15.72</v>
      </c>
      <c r="I1397" s="142">
        <v>-63.72</v>
      </c>
      <c r="J1397" s="29">
        <v>6.14</v>
      </c>
      <c r="K1397" s="29">
        <v>5.05</v>
      </c>
      <c r="L1397" s="29">
        <v>13.33</v>
      </c>
      <c r="M1397" s="368"/>
      <c r="N1397" s="368"/>
      <c r="O1397" s="271">
        <f>IFERROR(Table17[[#This Row],[PROFIT]]/Table17[[#This Row],[TO]],0)</f>
        <v>0</v>
      </c>
      <c r="P1397" s="177"/>
      <c r="Q1397" s="177"/>
      <c r="R1397" s="177"/>
    </row>
    <row r="1398" spans="1:18" ht="30" hidden="1" x14ac:dyDescent="0.25">
      <c r="A1398" s="29" t="s">
        <v>2737</v>
      </c>
      <c r="B1398" s="29" t="s">
        <v>2736</v>
      </c>
      <c r="C1398" s="29" t="s">
        <v>78</v>
      </c>
      <c r="D1398" s="29" t="str">
        <f>VLOOKUP(C:C,'COUNT-CONT'!B:C,2,FALSE)</f>
        <v>Europe</v>
      </c>
      <c r="E1398" s="29">
        <v>10</v>
      </c>
      <c r="F1398" s="28">
        <v>5028</v>
      </c>
      <c r="G1398" s="28">
        <v>3327574860</v>
      </c>
      <c r="H1398" s="29">
        <v>15.72</v>
      </c>
      <c r="I1398" s="142">
        <v>-63.72</v>
      </c>
      <c r="J1398" s="29">
        <v>5.65</v>
      </c>
      <c r="K1398" s="29">
        <v>4.63</v>
      </c>
      <c r="L1398" s="29">
        <v>12.91</v>
      </c>
      <c r="M1398" s="368"/>
      <c r="N1398" s="368"/>
      <c r="O1398" s="271">
        <f>IFERROR(Table17[[#This Row],[PROFIT]]/Table17[[#This Row],[TO]],0)</f>
        <v>0</v>
      </c>
      <c r="P1398" s="177"/>
      <c r="Q1398" s="177"/>
      <c r="R1398" s="177"/>
    </row>
    <row r="1399" spans="1:18" ht="30" hidden="1" x14ac:dyDescent="0.25">
      <c r="A1399" s="29" t="s">
        <v>4272</v>
      </c>
      <c r="B1399" s="29" t="s">
        <v>4271</v>
      </c>
      <c r="C1399" s="29" t="s">
        <v>11732</v>
      </c>
      <c r="D1399" s="29" t="str">
        <f>VLOOKUP(C:C,'COUNT-CONT'!B:C,2,FALSE)</f>
        <v>North America</v>
      </c>
      <c r="E1399" s="29">
        <v>5</v>
      </c>
      <c r="F1399" s="28">
        <v>2166</v>
      </c>
      <c r="G1399" s="28">
        <v>4559648568</v>
      </c>
      <c r="H1399" s="29">
        <v>15.69</v>
      </c>
      <c r="I1399" s="142">
        <v>-63.75</v>
      </c>
      <c r="J1399" s="29">
        <v>12.79</v>
      </c>
      <c r="K1399" s="29">
        <v>12.79</v>
      </c>
      <c r="L1399" s="29">
        <v>20.65</v>
      </c>
      <c r="M1399" s="368"/>
      <c r="N1399" s="368"/>
      <c r="O1399" s="271">
        <f>IFERROR(Table17[[#This Row],[PROFIT]]/Table17[[#This Row],[TO]],0)</f>
        <v>0</v>
      </c>
      <c r="P1399" s="177"/>
      <c r="Q1399" s="177"/>
      <c r="R1399" s="177"/>
    </row>
    <row r="1400" spans="1:18" hidden="1" x14ac:dyDescent="0.25">
      <c r="A1400" s="29" t="s">
        <v>2822</v>
      </c>
      <c r="B1400" s="29" t="s">
        <v>2821</v>
      </c>
      <c r="C1400" s="29" t="s">
        <v>14</v>
      </c>
      <c r="D1400" s="29" t="str">
        <f>VLOOKUP(C:C,'COUNT-CONT'!B:C,2,FALSE)</f>
        <v>Asia</v>
      </c>
      <c r="E1400" s="29">
        <v>6</v>
      </c>
      <c r="F1400" s="28">
        <v>2415</v>
      </c>
      <c r="G1400" s="28">
        <v>3355486542</v>
      </c>
      <c r="H1400" s="29">
        <v>15.69</v>
      </c>
      <c r="I1400" s="142">
        <v>-63.75</v>
      </c>
      <c r="J1400" s="29">
        <v>6.11</v>
      </c>
      <c r="K1400" s="29">
        <v>5.05</v>
      </c>
      <c r="L1400" s="29">
        <v>13.3</v>
      </c>
      <c r="M1400" s="368"/>
      <c r="N1400" s="368"/>
      <c r="O1400" s="271">
        <f>IFERROR(Table17[[#This Row],[PROFIT]]/Table17[[#This Row],[TO]],0)</f>
        <v>0</v>
      </c>
      <c r="P1400" s="177"/>
      <c r="Q1400" s="177"/>
      <c r="R1400" s="177"/>
    </row>
    <row r="1401" spans="1:18" ht="30" x14ac:dyDescent="0.25">
      <c r="A1401" s="29" t="s">
        <v>2620</v>
      </c>
      <c r="B1401" s="29" t="s">
        <v>2619</v>
      </c>
      <c r="C1401" s="29" t="s">
        <v>523</v>
      </c>
      <c r="D1401" s="29" t="str">
        <f>VLOOKUP(C:C,'COUNT-CONT'!B:C,2,FALSE)</f>
        <v>Oceania</v>
      </c>
      <c r="E1401" s="29">
        <v>1</v>
      </c>
      <c r="F1401" s="28">
        <v>1256</v>
      </c>
      <c r="G1401" s="28">
        <v>3578796288</v>
      </c>
      <c r="H1401" s="29">
        <v>15.69</v>
      </c>
      <c r="I1401" s="142">
        <v>-63.75</v>
      </c>
      <c r="J1401" s="29">
        <v>5.23</v>
      </c>
      <c r="K1401" s="29">
        <v>3.96</v>
      </c>
      <c r="L1401" s="29">
        <v>12.45</v>
      </c>
      <c r="M1401" s="368"/>
      <c r="N1401" s="368"/>
      <c r="O1401" s="271">
        <f>IFERROR(Table17[[#This Row],[PROFIT]]/Table17[[#This Row],[TO]],0)</f>
        <v>0</v>
      </c>
      <c r="P1401" s="177"/>
      <c r="Q1401" s="177"/>
      <c r="R1401" s="177"/>
    </row>
    <row r="1402" spans="1:18" ht="30" hidden="1" x14ac:dyDescent="0.25">
      <c r="A1402" s="29" t="s">
        <v>3036</v>
      </c>
      <c r="B1402" s="29" t="s">
        <v>1821</v>
      </c>
      <c r="C1402" s="29" t="s">
        <v>530</v>
      </c>
      <c r="D1402" s="29" t="str">
        <f>VLOOKUP(C:C,'COUNT-CONT'!B:C,2,FALSE)</f>
        <v>South America</v>
      </c>
      <c r="E1402" s="29">
        <v>4</v>
      </c>
      <c r="F1402" s="28">
        <v>1966</v>
      </c>
      <c r="G1402" s="28">
        <v>3544111698</v>
      </c>
      <c r="H1402" s="29">
        <v>15.69</v>
      </c>
      <c r="I1402" s="142">
        <v>-63.75</v>
      </c>
      <c r="J1402" s="29">
        <v>6.83</v>
      </c>
      <c r="K1402" s="29">
        <v>5.99</v>
      </c>
      <c r="L1402" s="29">
        <v>14.27</v>
      </c>
      <c r="M1402" s="368"/>
      <c r="N1402" s="368"/>
      <c r="O1402" s="271">
        <f>IFERROR(Table17[[#This Row],[PROFIT]]/Table17[[#This Row],[TO]],0)</f>
        <v>0</v>
      </c>
      <c r="P1402" s="177"/>
      <c r="Q1402" s="177"/>
      <c r="R1402" s="177"/>
    </row>
    <row r="1403" spans="1:18" hidden="1" x14ac:dyDescent="0.25">
      <c r="A1403" s="29" t="s">
        <v>2453</v>
      </c>
      <c r="B1403" s="29" t="s">
        <v>2452</v>
      </c>
      <c r="C1403" s="29" t="s">
        <v>588</v>
      </c>
      <c r="D1403" s="29" t="str">
        <f>VLOOKUP(C:C,'COUNT-CONT'!B:C,2,FALSE)</f>
        <v>Europe</v>
      </c>
      <c r="E1403" s="29">
        <v>6</v>
      </c>
      <c r="F1403" s="28">
        <v>3175</v>
      </c>
      <c r="G1403" s="28">
        <v>3175856692</v>
      </c>
      <c r="H1403" s="29">
        <v>15.69</v>
      </c>
      <c r="I1403" s="142">
        <v>-63.75</v>
      </c>
      <c r="J1403" s="29">
        <v>4.75</v>
      </c>
      <c r="K1403" s="29">
        <v>3.57</v>
      </c>
      <c r="L1403" s="29">
        <v>11.88</v>
      </c>
      <c r="M1403" s="368"/>
      <c r="N1403" s="368"/>
      <c r="O1403" s="271">
        <f>IFERROR(Table17[[#This Row],[PROFIT]]/Table17[[#This Row],[TO]],0)</f>
        <v>0</v>
      </c>
      <c r="P1403" s="177"/>
      <c r="Q1403" s="177"/>
      <c r="R1403" s="177"/>
    </row>
    <row r="1404" spans="1:18" x14ac:dyDescent="0.25">
      <c r="A1404" s="29" t="s">
        <v>2916</v>
      </c>
      <c r="B1404" s="29" t="s">
        <v>2915</v>
      </c>
      <c r="C1404" s="29" t="s">
        <v>730</v>
      </c>
      <c r="D1404" s="29" t="str">
        <f>VLOOKUP(C:C,'COUNT-CONT'!B:C,2,FALSE)</f>
        <v>Oceania</v>
      </c>
      <c r="E1404" s="29">
        <v>2</v>
      </c>
      <c r="F1404" s="28">
        <v>1319</v>
      </c>
      <c r="G1404" s="28">
        <v>3817565125</v>
      </c>
      <c r="H1404" s="29">
        <v>15.66</v>
      </c>
      <c r="I1404" s="142">
        <v>-63.78</v>
      </c>
      <c r="J1404" s="29">
        <v>6.59</v>
      </c>
      <c r="K1404" s="29">
        <v>5.47</v>
      </c>
      <c r="L1404" s="29">
        <v>13.72</v>
      </c>
      <c r="M1404" s="368"/>
      <c r="N1404" s="368"/>
      <c r="O1404" s="271">
        <f>IFERROR(Table17[[#This Row],[PROFIT]]/Table17[[#This Row],[TO]],0)</f>
        <v>0</v>
      </c>
      <c r="P1404" s="177"/>
      <c r="Q1404" s="177"/>
      <c r="R1404" s="177"/>
    </row>
    <row r="1405" spans="1:18" hidden="1" x14ac:dyDescent="0.25">
      <c r="A1405" s="29" t="s">
        <v>1876</v>
      </c>
      <c r="B1405" s="29" t="s">
        <v>1875</v>
      </c>
      <c r="C1405" s="29" t="s">
        <v>197</v>
      </c>
      <c r="D1405" s="29" t="str">
        <f>VLOOKUP(C:C,'COUNT-CONT'!B:C,2,FALSE)</f>
        <v>Asia</v>
      </c>
      <c r="E1405" s="29">
        <v>4</v>
      </c>
      <c r="F1405" s="28">
        <v>1985</v>
      </c>
      <c r="G1405" s="28">
        <v>3146256171</v>
      </c>
      <c r="H1405" s="29">
        <v>15.63</v>
      </c>
      <c r="I1405" s="142">
        <v>-63.809999999999995</v>
      </c>
      <c r="J1405" s="29">
        <v>3.23</v>
      </c>
      <c r="K1405" s="29">
        <v>1.6</v>
      </c>
      <c r="L1405" s="29">
        <v>10.16</v>
      </c>
      <c r="M1405" s="368"/>
      <c r="N1405" s="368"/>
      <c r="O1405" s="271">
        <f>IFERROR(Table17[[#This Row],[PROFIT]]/Table17[[#This Row],[TO]],0)</f>
        <v>0</v>
      </c>
      <c r="P1405" s="177"/>
      <c r="Q1405" s="177"/>
      <c r="R1405" s="177"/>
    </row>
    <row r="1406" spans="1:18" hidden="1" x14ac:dyDescent="0.25">
      <c r="A1406" s="29" t="s">
        <v>2866</v>
      </c>
      <c r="B1406" s="29" t="s">
        <v>2865</v>
      </c>
      <c r="C1406" s="29" t="s">
        <v>2366</v>
      </c>
      <c r="D1406" s="29" t="str">
        <f>VLOOKUP(C:C,'COUNT-CONT'!B:C,2,FALSE)</f>
        <v>Asia</v>
      </c>
      <c r="E1406" s="29">
        <v>7</v>
      </c>
      <c r="F1406" s="28">
        <v>2668</v>
      </c>
      <c r="G1406" s="28">
        <v>3361293853</v>
      </c>
      <c r="H1406" s="29">
        <v>15.63</v>
      </c>
      <c r="I1406" s="142">
        <v>-63.809999999999995</v>
      </c>
      <c r="J1406" s="29">
        <v>6.2</v>
      </c>
      <c r="K1406" s="29">
        <v>5.1100000000000003</v>
      </c>
      <c r="L1406" s="29">
        <v>13.48</v>
      </c>
      <c r="M1406" s="368"/>
      <c r="N1406" s="368"/>
      <c r="O1406" s="271">
        <f>IFERROR(Table17[[#This Row],[PROFIT]]/Table17[[#This Row],[TO]],0)</f>
        <v>0</v>
      </c>
      <c r="P1406" s="177"/>
      <c r="Q1406" s="177"/>
      <c r="R1406" s="177"/>
    </row>
    <row r="1407" spans="1:18" hidden="1" x14ac:dyDescent="0.25">
      <c r="A1407" s="29" t="s">
        <v>3551</v>
      </c>
      <c r="B1407" s="29" t="s">
        <v>3550</v>
      </c>
      <c r="C1407" s="29" t="s">
        <v>807</v>
      </c>
      <c r="D1407" s="29" t="str">
        <f>VLOOKUP(C:C,'COUNT-CONT'!B:C,2,FALSE)</f>
        <v>Europe</v>
      </c>
      <c r="E1407" s="29">
        <v>8</v>
      </c>
      <c r="F1407" s="28">
        <v>2839</v>
      </c>
      <c r="G1407" s="28">
        <v>3829260373</v>
      </c>
      <c r="H1407" s="29">
        <v>15.63</v>
      </c>
      <c r="I1407" s="142">
        <v>-63.809999999999995</v>
      </c>
      <c r="J1407" s="29">
        <v>8.8000000000000007</v>
      </c>
      <c r="K1407" s="29">
        <v>8.4600000000000009</v>
      </c>
      <c r="L1407" s="29">
        <v>16.29</v>
      </c>
      <c r="M1407" s="368"/>
      <c r="N1407" s="368"/>
      <c r="O1407" s="271">
        <f>IFERROR(Table17[[#This Row],[PROFIT]]/Table17[[#This Row],[TO]],0)</f>
        <v>0</v>
      </c>
      <c r="P1407" s="177"/>
      <c r="Q1407" s="177"/>
      <c r="R1407" s="177"/>
    </row>
    <row r="1408" spans="1:18" hidden="1" x14ac:dyDescent="0.25">
      <c r="A1408" s="29" t="s">
        <v>1799</v>
      </c>
      <c r="B1408" s="29" t="s">
        <v>1798</v>
      </c>
      <c r="C1408" s="29" t="s">
        <v>644</v>
      </c>
      <c r="D1408" s="29" t="str">
        <f>VLOOKUP(C:C,'COUNT-CONT'!B:C,2,FALSE)</f>
        <v>Africa</v>
      </c>
      <c r="E1408" s="29">
        <v>6</v>
      </c>
      <c r="F1408" s="28">
        <v>2505</v>
      </c>
      <c r="G1408" s="28">
        <v>3079521756</v>
      </c>
      <c r="H1408" s="29">
        <v>15.63</v>
      </c>
      <c r="I1408" s="142">
        <v>-63.809999999999995</v>
      </c>
      <c r="J1408" s="29">
        <v>2.96</v>
      </c>
      <c r="K1408" s="29">
        <v>1.36</v>
      </c>
      <c r="L1408" s="29">
        <v>9.89</v>
      </c>
      <c r="M1408" s="368"/>
      <c r="N1408" s="368"/>
      <c r="O1408" s="271">
        <f>IFERROR(Table17[[#This Row],[PROFIT]]/Table17[[#This Row],[TO]],0)</f>
        <v>0</v>
      </c>
      <c r="P1408" s="177"/>
      <c r="Q1408" s="177"/>
      <c r="R1408" s="177"/>
    </row>
    <row r="1409" spans="1:18" ht="30" hidden="1" x14ac:dyDescent="0.25">
      <c r="A1409" s="29" t="s">
        <v>3815</v>
      </c>
      <c r="B1409" s="29" t="s">
        <v>3814</v>
      </c>
      <c r="C1409" s="29" t="s">
        <v>514</v>
      </c>
      <c r="D1409" s="29" t="str">
        <f>VLOOKUP(C:C,'COUNT-CONT'!B:C,2,FALSE)</f>
        <v>North America</v>
      </c>
      <c r="E1409" s="29">
        <v>4</v>
      </c>
      <c r="F1409" s="28">
        <v>2020</v>
      </c>
      <c r="G1409" s="28">
        <v>4099654455</v>
      </c>
      <c r="H1409" s="29">
        <v>15.63</v>
      </c>
      <c r="I1409" s="142">
        <v>-63.809999999999995</v>
      </c>
      <c r="J1409" s="29">
        <v>10.31</v>
      </c>
      <c r="K1409" s="29">
        <v>9.9499999999999993</v>
      </c>
      <c r="L1409" s="29">
        <v>17.78</v>
      </c>
      <c r="M1409" s="368"/>
      <c r="N1409" s="368"/>
      <c r="O1409" s="271">
        <f>IFERROR(Table17[[#This Row],[PROFIT]]/Table17[[#This Row],[TO]],0)</f>
        <v>0</v>
      </c>
      <c r="P1409" s="177"/>
      <c r="Q1409" s="177"/>
      <c r="R1409" s="177"/>
    </row>
    <row r="1410" spans="1:18" hidden="1" x14ac:dyDescent="0.25">
      <c r="A1410" s="29" t="s">
        <v>2753</v>
      </c>
      <c r="B1410" s="29" t="s">
        <v>2752</v>
      </c>
      <c r="C1410" s="29" t="s">
        <v>1420</v>
      </c>
      <c r="D1410" s="29" t="str">
        <f>VLOOKUP(C:C,'COUNT-CONT'!B:C,2,FALSE)</f>
        <v>Europe</v>
      </c>
      <c r="E1410" s="29">
        <v>4</v>
      </c>
      <c r="F1410" s="28">
        <v>2044</v>
      </c>
      <c r="G1410" s="28">
        <v>3358160469</v>
      </c>
      <c r="H1410" s="29">
        <v>15.6</v>
      </c>
      <c r="I1410" s="142">
        <v>-63.839999999999996</v>
      </c>
      <c r="J1410" s="29">
        <v>5.96</v>
      </c>
      <c r="K1410" s="29">
        <v>4.66</v>
      </c>
      <c r="L1410" s="29">
        <v>13</v>
      </c>
      <c r="M1410" s="368"/>
      <c r="N1410" s="368"/>
      <c r="O1410" s="271">
        <f>IFERROR(Table17[[#This Row],[PROFIT]]/Table17[[#This Row],[TO]],0)</f>
        <v>0</v>
      </c>
      <c r="P1410" s="177"/>
      <c r="Q1410" s="177"/>
      <c r="R1410" s="177"/>
    </row>
    <row r="1411" spans="1:18" hidden="1" x14ac:dyDescent="0.25">
      <c r="A1411" s="29" t="s">
        <v>1740</v>
      </c>
      <c r="B1411" s="29" t="s">
        <v>1739</v>
      </c>
      <c r="C1411" s="29" t="s">
        <v>938</v>
      </c>
      <c r="D1411" s="29" t="str">
        <f>VLOOKUP(C:C,'COUNT-CONT'!B:C,2,FALSE)</f>
        <v>Africa</v>
      </c>
      <c r="E1411" s="29">
        <v>2</v>
      </c>
      <c r="F1411" s="28">
        <v>1501</v>
      </c>
      <c r="G1411" s="28">
        <v>3267244770</v>
      </c>
      <c r="H1411" s="29">
        <v>15.6</v>
      </c>
      <c r="I1411" s="142">
        <v>-63.839999999999996</v>
      </c>
      <c r="J1411" s="29">
        <v>2.9</v>
      </c>
      <c r="K1411" s="29">
        <v>1.1499999999999999</v>
      </c>
      <c r="L1411" s="29">
        <v>9.73</v>
      </c>
      <c r="M1411" s="368"/>
      <c r="N1411" s="368"/>
      <c r="O1411" s="271">
        <f>IFERROR(Table17[[#This Row],[PROFIT]]/Table17[[#This Row],[TO]],0)</f>
        <v>0</v>
      </c>
      <c r="P1411" s="177"/>
      <c r="Q1411" s="177"/>
      <c r="R1411" s="177"/>
    </row>
    <row r="1412" spans="1:18" hidden="1" x14ac:dyDescent="0.25">
      <c r="A1412" s="29" t="s">
        <v>2702</v>
      </c>
      <c r="B1412" s="29" t="s">
        <v>2701</v>
      </c>
      <c r="C1412" s="29" t="s">
        <v>722</v>
      </c>
      <c r="D1412" s="29" t="str">
        <f>VLOOKUP(C:C,'COUNT-CONT'!B:C,2,FALSE)</f>
        <v>Europe</v>
      </c>
      <c r="E1412" s="29">
        <v>7</v>
      </c>
      <c r="F1412" s="28">
        <v>2520</v>
      </c>
      <c r="G1412" s="28">
        <v>3280007936</v>
      </c>
      <c r="H1412" s="29">
        <v>15.6</v>
      </c>
      <c r="I1412" s="142">
        <v>-63.839999999999996</v>
      </c>
      <c r="J1412" s="29">
        <v>5.62</v>
      </c>
      <c r="K1412" s="29">
        <v>4.59</v>
      </c>
      <c r="L1412" s="29">
        <v>12.79</v>
      </c>
      <c r="M1412" s="368"/>
      <c r="N1412" s="368"/>
      <c r="O1412" s="271">
        <f>IFERROR(Table17[[#This Row],[PROFIT]]/Table17[[#This Row],[TO]],0)</f>
        <v>0</v>
      </c>
      <c r="P1412" s="177"/>
      <c r="Q1412" s="177"/>
      <c r="R1412" s="177"/>
    </row>
    <row r="1413" spans="1:18" hidden="1" x14ac:dyDescent="0.25">
      <c r="A1413" s="29" t="s">
        <v>2704</v>
      </c>
      <c r="B1413" s="29" t="s">
        <v>2703</v>
      </c>
      <c r="C1413" s="29" t="s">
        <v>78</v>
      </c>
      <c r="D1413" s="29" t="str">
        <f>VLOOKUP(C:C,'COUNT-CONT'!B:C,2,FALSE)</f>
        <v>Europe</v>
      </c>
      <c r="E1413" s="29">
        <v>7</v>
      </c>
      <c r="F1413" s="28">
        <v>2522</v>
      </c>
      <c r="G1413" s="28">
        <v>3281461776</v>
      </c>
      <c r="H1413" s="29">
        <v>15.6</v>
      </c>
      <c r="I1413" s="142">
        <v>-63.839999999999996</v>
      </c>
      <c r="J1413" s="29">
        <v>5.62</v>
      </c>
      <c r="K1413" s="29">
        <v>4.59</v>
      </c>
      <c r="L1413" s="29">
        <v>12.79</v>
      </c>
      <c r="M1413" s="368"/>
      <c r="N1413" s="368"/>
      <c r="O1413" s="271">
        <f>IFERROR(Table17[[#This Row],[PROFIT]]/Table17[[#This Row],[TO]],0)</f>
        <v>0</v>
      </c>
      <c r="P1413" s="177"/>
      <c r="Q1413" s="177"/>
      <c r="R1413" s="177"/>
    </row>
    <row r="1414" spans="1:18" hidden="1" x14ac:dyDescent="0.25">
      <c r="A1414" s="29" t="s">
        <v>4260</v>
      </c>
      <c r="B1414" s="29" t="s">
        <v>4259</v>
      </c>
      <c r="C1414" s="29" t="s">
        <v>560</v>
      </c>
      <c r="D1414" s="29" t="str">
        <f>VLOOKUP(C:C,'COUNT-CONT'!B:C,2,FALSE)</f>
        <v>Europe</v>
      </c>
      <c r="E1414" s="29">
        <v>6</v>
      </c>
      <c r="F1414" s="28">
        <v>2594</v>
      </c>
      <c r="G1414" s="28">
        <v>4504055512</v>
      </c>
      <c r="H1414" s="29">
        <v>15.6</v>
      </c>
      <c r="I1414" s="142">
        <v>-63.839999999999996</v>
      </c>
      <c r="J1414" s="29">
        <v>12.73</v>
      </c>
      <c r="K1414" s="29">
        <v>12.73</v>
      </c>
      <c r="L1414" s="29">
        <v>20.56</v>
      </c>
      <c r="M1414" s="368"/>
      <c r="N1414" s="368"/>
      <c r="O1414" s="271">
        <f>IFERROR(Table17[[#This Row],[PROFIT]]/Table17[[#This Row],[TO]],0)</f>
        <v>0</v>
      </c>
      <c r="P1414" s="177"/>
      <c r="Q1414" s="177"/>
      <c r="R1414" s="177"/>
    </row>
    <row r="1415" spans="1:18" ht="30" hidden="1" x14ac:dyDescent="0.25">
      <c r="A1415" s="29" t="s">
        <v>4253</v>
      </c>
      <c r="B1415" s="29" t="s">
        <v>4252</v>
      </c>
      <c r="C1415" s="29" t="s">
        <v>11732</v>
      </c>
      <c r="D1415" s="29" t="str">
        <f>VLOOKUP(C:C,'COUNT-CONT'!B:C,2,FALSE)</f>
        <v>North America</v>
      </c>
      <c r="E1415" s="29">
        <v>7</v>
      </c>
      <c r="F1415" s="28">
        <v>2847</v>
      </c>
      <c r="G1415" s="28">
        <v>4486571619</v>
      </c>
      <c r="H1415" s="29">
        <v>15.6</v>
      </c>
      <c r="I1415" s="142">
        <v>-63.839999999999996</v>
      </c>
      <c r="J1415" s="29">
        <v>12.7</v>
      </c>
      <c r="K1415" s="29">
        <v>12.7</v>
      </c>
      <c r="L1415" s="29">
        <v>20.53</v>
      </c>
      <c r="M1415" s="368"/>
      <c r="N1415" s="368"/>
      <c r="O1415" s="271">
        <f>IFERROR(Table17[[#This Row],[PROFIT]]/Table17[[#This Row],[TO]],0)</f>
        <v>0</v>
      </c>
      <c r="P1415" s="177"/>
      <c r="Q1415" s="177"/>
      <c r="R1415" s="177"/>
    </row>
    <row r="1416" spans="1:18" hidden="1" x14ac:dyDescent="0.25">
      <c r="A1416" s="29" t="s">
        <v>3933</v>
      </c>
      <c r="B1416" s="29" t="s">
        <v>3932</v>
      </c>
      <c r="C1416" s="29" t="s">
        <v>1674</v>
      </c>
      <c r="D1416" s="29" t="str">
        <f>VLOOKUP(C:C,'COUNT-CONT'!B:C,2,FALSE)</f>
        <v>Europe</v>
      </c>
      <c r="E1416" s="29">
        <v>4</v>
      </c>
      <c r="F1416" s="28">
        <v>1843</v>
      </c>
      <c r="G1416" s="28">
        <v>4237852957</v>
      </c>
      <c r="H1416" s="29">
        <v>15.57</v>
      </c>
      <c r="I1416" s="142">
        <v>-63.87</v>
      </c>
      <c r="J1416" s="29">
        <v>11.12</v>
      </c>
      <c r="K1416" s="29">
        <v>10.76</v>
      </c>
      <c r="L1416" s="29">
        <v>18.559999999999999</v>
      </c>
      <c r="M1416" s="368"/>
      <c r="N1416" s="368"/>
      <c r="O1416" s="271">
        <f>IFERROR(Table17[[#This Row],[PROFIT]]/Table17[[#This Row],[TO]],0)</f>
        <v>0</v>
      </c>
      <c r="P1416" s="177"/>
      <c r="Q1416" s="177"/>
      <c r="R1416" s="177"/>
    </row>
    <row r="1417" spans="1:18" ht="30" hidden="1" x14ac:dyDescent="0.25">
      <c r="A1417" s="29" t="s">
        <v>2844</v>
      </c>
      <c r="B1417" s="29" t="s">
        <v>2843</v>
      </c>
      <c r="C1417" s="29" t="s">
        <v>683</v>
      </c>
      <c r="D1417" s="29" t="str">
        <f>VLOOKUP(C:C,'COUNT-CONT'!B:C,2,FALSE)</f>
        <v>North America</v>
      </c>
      <c r="E1417" s="29">
        <v>9</v>
      </c>
      <c r="F1417" s="28">
        <v>3027</v>
      </c>
      <c r="G1417" s="28">
        <v>3338596101</v>
      </c>
      <c r="H1417" s="29">
        <v>15.54</v>
      </c>
      <c r="I1417" s="142">
        <v>-63.9</v>
      </c>
      <c r="J1417" s="29">
        <v>6.17</v>
      </c>
      <c r="K1417" s="29">
        <v>5.08</v>
      </c>
      <c r="L1417" s="29">
        <v>13.39</v>
      </c>
      <c r="M1417" s="368"/>
      <c r="N1417" s="368"/>
      <c r="O1417" s="271">
        <f>IFERROR(Table17[[#This Row],[PROFIT]]/Table17[[#This Row],[TO]],0)</f>
        <v>0</v>
      </c>
      <c r="P1417" s="177"/>
      <c r="Q1417" s="177"/>
      <c r="R1417" s="177"/>
    </row>
    <row r="1418" spans="1:18" hidden="1" x14ac:dyDescent="0.25">
      <c r="A1418" s="29" t="s">
        <v>3664</v>
      </c>
      <c r="B1418" s="29" t="s">
        <v>3663</v>
      </c>
      <c r="C1418" s="29" t="s">
        <v>876</v>
      </c>
      <c r="D1418" s="29" t="str">
        <f>VLOOKUP(C:C,'COUNT-CONT'!B:C,2,FALSE)</f>
        <v>Europe</v>
      </c>
      <c r="E1418" s="29">
        <v>8</v>
      </c>
      <c r="F1418" s="28">
        <v>3025</v>
      </c>
      <c r="G1418" s="28">
        <v>3903036363</v>
      </c>
      <c r="H1418" s="29">
        <v>15.54</v>
      </c>
      <c r="I1418" s="142">
        <v>-63.9</v>
      </c>
      <c r="J1418" s="29">
        <v>9.4600000000000009</v>
      </c>
      <c r="K1418" s="29">
        <v>9.1</v>
      </c>
      <c r="L1418" s="29">
        <v>16.899999999999999</v>
      </c>
      <c r="M1418" s="368"/>
      <c r="N1418" s="368"/>
      <c r="O1418" s="271">
        <f>IFERROR(Table17[[#This Row],[PROFIT]]/Table17[[#This Row],[TO]],0)</f>
        <v>0</v>
      </c>
      <c r="P1418" s="177"/>
      <c r="Q1418" s="177"/>
      <c r="R1418" s="177"/>
    </row>
    <row r="1419" spans="1:18" hidden="1" x14ac:dyDescent="0.25">
      <c r="A1419" s="29" t="s">
        <v>2466</v>
      </c>
      <c r="B1419" s="29" t="s">
        <v>2465</v>
      </c>
      <c r="C1419" s="29" t="s">
        <v>700</v>
      </c>
      <c r="D1419" s="29" t="str">
        <f>VLOOKUP(C:C,'COUNT-CONT'!B:C,2,FALSE)</f>
        <v>Asia</v>
      </c>
      <c r="E1419" s="29">
        <v>8</v>
      </c>
      <c r="F1419" s="28">
        <v>3005</v>
      </c>
      <c r="G1419" s="28">
        <v>3177756572</v>
      </c>
      <c r="H1419" s="29">
        <v>15.54</v>
      </c>
      <c r="I1419" s="142">
        <v>-63.9</v>
      </c>
      <c r="J1419" s="29">
        <v>4.78</v>
      </c>
      <c r="K1419" s="29">
        <v>3.57</v>
      </c>
      <c r="L1419" s="29">
        <v>11.94</v>
      </c>
      <c r="M1419" s="368"/>
      <c r="N1419" s="368"/>
      <c r="O1419" s="271">
        <f>IFERROR(Table17[[#This Row],[PROFIT]]/Table17[[#This Row],[TO]],0)</f>
        <v>0</v>
      </c>
      <c r="P1419" s="177"/>
      <c r="Q1419" s="177"/>
      <c r="R1419" s="177"/>
    </row>
    <row r="1420" spans="1:18" ht="30" hidden="1" x14ac:dyDescent="0.25">
      <c r="A1420" s="29" t="s">
        <v>4235</v>
      </c>
      <c r="B1420" s="29" t="s">
        <v>4234</v>
      </c>
      <c r="C1420" s="29" t="s">
        <v>11732</v>
      </c>
      <c r="D1420" s="29" t="str">
        <f>VLOOKUP(C:C,'COUNT-CONT'!B:C,2,FALSE)</f>
        <v>North America</v>
      </c>
      <c r="E1420" s="29">
        <v>6</v>
      </c>
      <c r="F1420" s="28">
        <v>2334</v>
      </c>
      <c r="G1420" s="28">
        <v>4506093916</v>
      </c>
      <c r="H1420" s="29">
        <v>15.51</v>
      </c>
      <c r="I1420" s="142">
        <v>-63.93</v>
      </c>
      <c r="J1420" s="29">
        <v>12.64</v>
      </c>
      <c r="K1420" s="29">
        <v>12.64</v>
      </c>
      <c r="L1420" s="29">
        <v>20.41</v>
      </c>
      <c r="M1420" s="368"/>
      <c r="N1420" s="368"/>
      <c r="O1420" s="271">
        <f>IFERROR(Table17[[#This Row],[PROFIT]]/Table17[[#This Row],[TO]],0)</f>
        <v>0</v>
      </c>
      <c r="P1420" s="177"/>
      <c r="Q1420" s="177"/>
      <c r="R1420" s="177"/>
    </row>
    <row r="1421" spans="1:18" hidden="1" x14ac:dyDescent="0.25">
      <c r="A1421" s="29" t="s">
        <v>3363</v>
      </c>
      <c r="B1421" s="29" t="s">
        <v>3362</v>
      </c>
      <c r="C1421" s="29" t="s">
        <v>1216</v>
      </c>
      <c r="D1421" s="29" t="str">
        <f>VLOOKUP(C:C,'COUNT-CONT'!B:C,2,FALSE)</f>
        <v>Asia</v>
      </c>
      <c r="E1421" s="29">
        <v>10</v>
      </c>
      <c r="F1421" s="28">
        <v>3642</v>
      </c>
      <c r="G1421" s="28">
        <v>3646431851</v>
      </c>
      <c r="H1421" s="29">
        <v>15.51</v>
      </c>
      <c r="I1421" s="142">
        <v>-63.93</v>
      </c>
      <c r="J1421" s="29">
        <v>8.3699999999999992</v>
      </c>
      <c r="K1421" s="29">
        <v>7.44</v>
      </c>
      <c r="L1421" s="29">
        <v>15.51</v>
      </c>
      <c r="M1421" s="368"/>
      <c r="N1421" s="368"/>
      <c r="O1421" s="271">
        <f>IFERROR(Table17[[#This Row],[PROFIT]]/Table17[[#This Row],[TO]],0)</f>
        <v>0</v>
      </c>
      <c r="P1421" s="177"/>
      <c r="Q1421" s="177"/>
      <c r="R1421" s="177"/>
    </row>
    <row r="1422" spans="1:18" hidden="1" x14ac:dyDescent="0.25">
      <c r="A1422" s="29" t="s">
        <v>3349</v>
      </c>
      <c r="B1422" s="29" t="s">
        <v>3348</v>
      </c>
      <c r="C1422" s="29" t="s">
        <v>142</v>
      </c>
      <c r="D1422" s="29" t="str">
        <f>VLOOKUP(C:C,'COUNT-CONT'!B:C,2,FALSE)</f>
        <v>Asia</v>
      </c>
      <c r="E1422" s="29">
        <v>4</v>
      </c>
      <c r="F1422" s="28">
        <v>2023</v>
      </c>
      <c r="G1422" s="28">
        <v>3799946910</v>
      </c>
      <c r="H1422" s="29">
        <v>15.51</v>
      </c>
      <c r="I1422" s="142">
        <v>-63.93</v>
      </c>
      <c r="J1422" s="29">
        <v>8.3699999999999992</v>
      </c>
      <c r="K1422" s="29">
        <v>7.44</v>
      </c>
      <c r="L1422" s="29">
        <v>15.51</v>
      </c>
      <c r="M1422" s="368"/>
      <c r="N1422" s="368"/>
      <c r="O1422" s="271">
        <f>IFERROR(Table17[[#This Row],[PROFIT]]/Table17[[#This Row],[TO]],0)</f>
        <v>0</v>
      </c>
      <c r="P1422" s="177"/>
      <c r="Q1422" s="177"/>
      <c r="R1422" s="177"/>
    </row>
    <row r="1423" spans="1:18" ht="30" hidden="1" x14ac:dyDescent="0.25">
      <c r="A1423" s="29" t="s">
        <v>3578</v>
      </c>
      <c r="B1423" s="29" t="s">
        <v>3577</v>
      </c>
      <c r="C1423" s="29" t="s">
        <v>597</v>
      </c>
      <c r="D1423" s="29" t="str">
        <f>VLOOKUP(C:C,'COUNT-CONT'!B:C,2,FALSE)</f>
        <v>Europe</v>
      </c>
      <c r="E1423" s="29">
        <v>3</v>
      </c>
      <c r="F1423" s="28">
        <v>1526</v>
      </c>
      <c r="G1423" s="28">
        <v>4047538794</v>
      </c>
      <c r="H1423" s="29">
        <v>15.51</v>
      </c>
      <c r="I1423" s="142">
        <v>-63.93</v>
      </c>
      <c r="J1423" s="29">
        <v>9.25</v>
      </c>
      <c r="K1423" s="29">
        <v>8.59</v>
      </c>
      <c r="L1423" s="29">
        <v>16.510000000000002</v>
      </c>
      <c r="M1423" s="368"/>
      <c r="N1423" s="368"/>
      <c r="O1423" s="271">
        <f>IFERROR(Table17[[#This Row],[PROFIT]]/Table17[[#This Row],[TO]],0)</f>
        <v>0</v>
      </c>
      <c r="P1423" s="177"/>
      <c r="Q1423" s="177"/>
      <c r="R1423" s="177"/>
    </row>
    <row r="1424" spans="1:18" hidden="1" x14ac:dyDescent="0.25">
      <c r="A1424" s="29" t="s">
        <v>1736</v>
      </c>
      <c r="B1424" s="29" t="s">
        <v>1735</v>
      </c>
      <c r="C1424" s="29" t="s">
        <v>938</v>
      </c>
      <c r="D1424" s="29" t="str">
        <f>VLOOKUP(C:C,'COUNT-CONT'!B:C,2,FALSE)</f>
        <v>Africa</v>
      </c>
      <c r="E1424" s="29">
        <v>4</v>
      </c>
      <c r="F1424" s="28">
        <v>2004</v>
      </c>
      <c r="G1424" s="28">
        <v>3128702195</v>
      </c>
      <c r="H1424" s="29">
        <v>15.51</v>
      </c>
      <c r="I1424" s="142">
        <v>-63.93</v>
      </c>
      <c r="J1424" s="29">
        <v>2.9</v>
      </c>
      <c r="K1424" s="29">
        <v>1.1499999999999999</v>
      </c>
      <c r="L1424" s="29">
        <v>9.6999999999999993</v>
      </c>
      <c r="M1424" s="368"/>
      <c r="N1424" s="368"/>
      <c r="O1424" s="271">
        <f>IFERROR(Table17[[#This Row],[PROFIT]]/Table17[[#This Row],[TO]],0)</f>
        <v>0</v>
      </c>
      <c r="P1424" s="177"/>
      <c r="Q1424" s="177"/>
      <c r="R1424" s="177"/>
    </row>
    <row r="1425" spans="1:18" hidden="1" x14ac:dyDescent="0.25">
      <c r="A1425" s="29" t="s">
        <v>2040</v>
      </c>
      <c r="B1425" s="29" t="s">
        <v>2039</v>
      </c>
      <c r="C1425" s="29" t="s">
        <v>1070</v>
      </c>
      <c r="D1425" s="29" t="str">
        <f>VLOOKUP(C:C,'COUNT-CONT'!B:C,2,FALSE)</f>
        <v>Asia</v>
      </c>
      <c r="E1425" s="29">
        <v>6</v>
      </c>
      <c r="F1425" s="28">
        <v>2296</v>
      </c>
      <c r="G1425" s="28">
        <v>3086294076</v>
      </c>
      <c r="H1425" s="29">
        <v>15.48</v>
      </c>
      <c r="I1425" s="142">
        <v>-63.959999999999994</v>
      </c>
      <c r="J1425" s="29">
        <v>3.6</v>
      </c>
      <c r="K1425" s="29">
        <v>2.33</v>
      </c>
      <c r="L1425" s="29">
        <v>10.61</v>
      </c>
      <c r="M1425" s="368"/>
      <c r="N1425" s="368"/>
      <c r="O1425" s="271">
        <f>IFERROR(Table17[[#This Row],[PROFIT]]/Table17[[#This Row],[TO]],0)</f>
        <v>0</v>
      </c>
      <c r="P1425" s="177"/>
      <c r="Q1425" s="177"/>
      <c r="R1425" s="177"/>
    </row>
    <row r="1426" spans="1:18" hidden="1" x14ac:dyDescent="0.25">
      <c r="A1426" s="29" t="s">
        <v>3450</v>
      </c>
      <c r="B1426" s="29" t="s">
        <v>3449</v>
      </c>
      <c r="C1426" s="29" t="s">
        <v>585</v>
      </c>
      <c r="D1426" s="29" t="str">
        <f>VLOOKUP(C:C,'COUNT-CONT'!B:C,2,FALSE)</f>
        <v>Europe</v>
      </c>
      <c r="E1426" s="29">
        <v>5</v>
      </c>
      <c r="F1426" s="28">
        <v>2126</v>
      </c>
      <c r="G1426" s="28">
        <v>3823603574</v>
      </c>
      <c r="H1426" s="29">
        <v>15.48</v>
      </c>
      <c r="I1426" s="142">
        <v>-63.959999999999994</v>
      </c>
      <c r="J1426" s="29">
        <v>8.52</v>
      </c>
      <c r="K1426" s="29">
        <v>7.89</v>
      </c>
      <c r="L1426" s="29">
        <v>15.81</v>
      </c>
      <c r="M1426" s="368"/>
      <c r="N1426" s="368"/>
      <c r="O1426" s="271">
        <f>IFERROR(Table17[[#This Row],[PROFIT]]/Table17[[#This Row],[TO]],0)</f>
        <v>0</v>
      </c>
      <c r="P1426" s="177"/>
      <c r="Q1426" s="177"/>
      <c r="R1426" s="177"/>
    </row>
    <row r="1427" spans="1:18" hidden="1" x14ac:dyDescent="0.25">
      <c r="A1427" s="29" t="s">
        <v>2780</v>
      </c>
      <c r="B1427" s="29" t="s">
        <v>2779</v>
      </c>
      <c r="C1427" s="29" t="s">
        <v>14</v>
      </c>
      <c r="D1427" s="29" t="str">
        <f>VLOOKUP(C:C,'COUNT-CONT'!B:C,2,FALSE)</f>
        <v>Asia</v>
      </c>
      <c r="E1427" s="29">
        <v>7</v>
      </c>
      <c r="F1427" s="28">
        <v>2615</v>
      </c>
      <c r="G1427" s="28">
        <v>3318250095</v>
      </c>
      <c r="H1427" s="29">
        <v>15.48</v>
      </c>
      <c r="I1427" s="142">
        <v>-63.959999999999994</v>
      </c>
      <c r="J1427" s="29">
        <v>6.02</v>
      </c>
      <c r="K1427" s="29">
        <v>4.99</v>
      </c>
      <c r="L1427" s="29">
        <v>13.12</v>
      </c>
      <c r="M1427" s="368"/>
      <c r="N1427" s="368"/>
      <c r="O1427" s="271">
        <f>IFERROR(Table17[[#This Row],[PROFIT]]/Table17[[#This Row],[TO]],0)</f>
        <v>0</v>
      </c>
      <c r="P1427" s="177"/>
      <c r="Q1427" s="177"/>
      <c r="R1427" s="177"/>
    </row>
    <row r="1428" spans="1:18" ht="30" hidden="1" x14ac:dyDescent="0.25">
      <c r="A1428" s="29" t="s">
        <v>2830</v>
      </c>
      <c r="B1428" s="29" t="s">
        <v>2829</v>
      </c>
      <c r="C1428" s="29" t="s">
        <v>860</v>
      </c>
      <c r="D1428" s="29" t="str">
        <f>VLOOKUP(C:C,'COUNT-CONT'!B:C,2,FALSE)</f>
        <v>South America</v>
      </c>
      <c r="E1428" s="29">
        <v>5</v>
      </c>
      <c r="F1428" s="28">
        <v>2194</v>
      </c>
      <c r="G1428" s="28">
        <v>3382567365</v>
      </c>
      <c r="H1428" s="29">
        <v>15.45</v>
      </c>
      <c r="I1428" s="142">
        <v>-63.989999999999995</v>
      </c>
      <c r="J1428" s="29">
        <v>6.11</v>
      </c>
      <c r="K1428" s="29">
        <v>5.05</v>
      </c>
      <c r="L1428" s="29">
        <v>13.33</v>
      </c>
      <c r="M1428" s="368"/>
      <c r="N1428" s="368"/>
      <c r="O1428" s="271">
        <f>IFERROR(Table17[[#This Row],[PROFIT]]/Table17[[#This Row],[TO]],0)</f>
        <v>0</v>
      </c>
      <c r="P1428" s="177"/>
      <c r="Q1428" s="177"/>
      <c r="R1428" s="177"/>
    </row>
    <row r="1429" spans="1:18" hidden="1" x14ac:dyDescent="0.25">
      <c r="A1429" s="29" t="s">
        <v>2924</v>
      </c>
      <c r="B1429" s="29" t="s">
        <v>2923</v>
      </c>
      <c r="C1429" s="29" t="s">
        <v>605</v>
      </c>
      <c r="D1429" s="29" t="str">
        <f>VLOOKUP(C:C,'COUNT-CONT'!B:C,2,FALSE)</f>
        <v>Europe</v>
      </c>
      <c r="E1429" s="29">
        <v>1</v>
      </c>
      <c r="F1429" s="28">
        <v>1209</v>
      </c>
      <c r="G1429" s="28">
        <v>3890442845</v>
      </c>
      <c r="H1429" s="29">
        <v>15.45</v>
      </c>
      <c r="I1429" s="142">
        <v>-63.989999999999995</v>
      </c>
      <c r="J1429" s="29">
        <v>6.62</v>
      </c>
      <c r="K1429" s="29">
        <v>5.77</v>
      </c>
      <c r="L1429" s="29">
        <v>13.78</v>
      </c>
      <c r="M1429" s="368"/>
      <c r="N1429" s="368"/>
      <c r="O1429" s="271">
        <f>IFERROR(Table17[[#This Row],[PROFIT]]/Table17[[#This Row],[TO]],0)</f>
        <v>0</v>
      </c>
      <c r="P1429" s="177"/>
      <c r="Q1429" s="177"/>
      <c r="R1429" s="177"/>
    </row>
    <row r="1430" spans="1:18" ht="30" x14ac:dyDescent="0.25">
      <c r="A1430" s="29" t="s">
        <v>2625</v>
      </c>
      <c r="B1430" s="29" t="s">
        <v>2624</v>
      </c>
      <c r="C1430" s="29" t="s">
        <v>2623</v>
      </c>
      <c r="D1430" s="29" t="str">
        <f>VLOOKUP(C:C,'COUNT-CONT'!B:C,2,FALSE)</f>
        <v>Oceania</v>
      </c>
      <c r="E1430" s="29">
        <v>9</v>
      </c>
      <c r="F1430" s="28">
        <v>3063</v>
      </c>
      <c r="G1430" s="28">
        <v>3213525040</v>
      </c>
      <c r="H1430" s="29">
        <v>15.45</v>
      </c>
      <c r="I1430" s="142">
        <v>-63.989999999999995</v>
      </c>
      <c r="J1430" s="29">
        <v>5.47</v>
      </c>
      <c r="K1430" s="29">
        <v>4.2300000000000004</v>
      </c>
      <c r="L1430" s="29">
        <v>12.45</v>
      </c>
      <c r="M1430" s="368"/>
      <c r="N1430" s="368"/>
      <c r="O1430" s="271">
        <f>IFERROR(Table17[[#This Row],[PROFIT]]/Table17[[#This Row],[TO]],0)</f>
        <v>0</v>
      </c>
      <c r="P1430" s="177"/>
      <c r="Q1430" s="177"/>
      <c r="R1430" s="177"/>
    </row>
    <row r="1431" spans="1:18" hidden="1" x14ac:dyDescent="0.25">
      <c r="A1431" s="29" t="s">
        <v>3638</v>
      </c>
      <c r="B1431" s="29" t="s">
        <v>3637</v>
      </c>
      <c r="C1431" s="29" t="s">
        <v>1427</v>
      </c>
      <c r="D1431" s="29" t="str">
        <f>VLOOKUP(C:C,'COUNT-CONT'!B:C,2,FALSE)</f>
        <v>Europe</v>
      </c>
      <c r="E1431" s="29">
        <v>8</v>
      </c>
      <c r="F1431" s="28">
        <v>2997</v>
      </c>
      <c r="G1431" s="28">
        <v>3876033700</v>
      </c>
      <c r="H1431" s="29">
        <v>15.45</v>
      </c>
      <c r="I1431" s="142">
        <v>-63.989999999999995</v>
      </c>
      <c r="J1431" s="29">
        <v>9.4</v>
      </c>
      <c r="K1431" s="29">
        <v>8.74</v>
      </c>
      <c r="L1431" s="29">
        <v>16.809999999999999</v>
      </c>
      <c r="M1431" s="368"/>
      <c r="N1431" s="368"/>
      <c r="O1431" s="271">
        <f>IFERROR(Table17[[#This Row],[PROFIT]]/Table17[[#This Row],[TO]],0)</f>
        <v>0</v>
      </c>
      <c r="P1431" s="177"/>
      <c r="Q1431" s="177"/>
      <c r="R1431" s="177"/>
    </row>
    <row r="1432" spans="1:18" hidden="1" x14ac:dyDescent="0.25">
      <c r="A1432" s="29" t="s">
        <v>1712</v>
      </c>
      <c r="B1432" s="29" t="s">
        <v>1711</v>
      </c>
      <c r="C1432" s="29" t="s">
        <v>1710</v>
      </c>
      <c r="D1432" s="29" t="str">
        <f>VLOOKUP(C:C,'COUNT-CONT'!B:C,2,FALSE)</f>
        <v>Asia</v>
      </c>
      <c r="E1432" s="29">
        <v>5</v>
      </c>
      <c r="F1432" s="28">
        <v>2074</v>
      </c>
      <c r="G1432" s="28">
        <v>3109176064</v>
      </c>
      <c r="H1432" s="29">
        <v>15.42</v>
      </c>
      <c r="I1432" s="142">
        <v>-64.02</v>
      </c>
      <c r="J1432" s="29">
        <v>2.87</v>
      </c>
      <c r="K1432" s="29">
        <v>1.1499999999999999</v>
      </c>
      <c r="L1432" s="29">
        <v>9.64</v>
      </c>
      <c r="M1432" s="368"/>
      <c r="N1432" s="368"/>
      <c r="O1432" s="271">
        <f>IFERROR(Table17[[#This Row],[PROFIT]]/Table17[[#This Row],[TO]],0)</f>
        <v>0</v>
      </c>
      <c r="P1432" s="177"/>
      <c r="Q1432" s="177"/>
      <c r="R1432" s="177"/>
    </row>
    <row r="1433" spans="1:18" hidden="1" x14ac:dyDescent="0.25">
      <c r="A1433" s="29" t="s">
        <v>2776</v>
      </c>
      <c r="B1433" s="29" t="s">
        <v>2775</v>
      </c>
      <c r="C1433" s="29" t="s">
        <v>14</v>
      </c>
      <c r="D1433" s="29" t="str">
        <f>VLOOKUP(C:C,'COUNT-CONT'!B:C,2,FALSE)</f>
        <v>Asia</v>
      </c>
      <c r="E1433" s="29">
        <v>7</v>
      </c>
      <c r="F1433" s="28">
        <v>2615</v>
      </c>
      <c r="G1433" s="28">
        <v>3313450095</v>
      </c>
      <c r="H1433" s="29">
        <v>15.42</v>
      </c>
      <c r="I1433" s="142">
        <v>-64.02</v>
      </c>
      <c r="J1433" s="29">
        <v>6.02</v>
      </c>
      <c r="K1433" s="29">
        <v>4.96</v>
      </c>
      <c r="L1433" s="29">
        <v>13.09</v>
      </c>
      <c r="M1433" s="368"/>
      <c r="N1433" s="368"/>
      <c r="O1433" s="271">
        <f>IFERROR(Table17[[#This Row],[PROFIT]]/Table17[[#This Row],[TO]],0)</f>
        <v>0</v>
      </c>
      <c r="P1433" s="177"/>
      <c r="Q1433" s="177"/>
      <c r="R1433" s="177"/>
    </row>
    <row r="1434" spans="1:18" ht="30" x14ac:dyDescent="0.25">
      <c r="A1434" s="29" t="s">
        <v>1867</v>
      </c>
      <c r="B1434" s="29" t="s">
        <v>1866</v>
      </c>
      <c r="C1434" s="29" t="s">
        <v>1865</v>
      </c>
      <c r="D1434" s="29" t="str">
        <f>VLOOKUP(C:C,'COUNT-CONT'!B:C,2,FALSE)</f>
        <v>Oceania</v>
      </c>
      <c r="E1434" s="29">
        <v>3</v>
      </c>
      <c r="F1434" s="28">
        <v>1565</v>
      </c>
      <c r="G1434" s="28">
        <v>3176475399</v>
      </c>
      <c r="H1434" s="29">
        <v>15.39</v>
      </c>
      <c r="I1434" s="142">
        <v>-64.05</v>
      </c>
      <c r="J1434" s="29">
        <v>3.23</v>
      </c>
      <c r="K1434" s="29">
        <v>1.81</v>
      </c>
      <c r="L1434" s="29">
        <v>10.130000000000001</v>
      </c>
      <c r="M1434" s="368"/>
      <c r="N1434" s="368"/>
      <c r="O1434" s="271">
        <f>IFERROR(Table17[[#This Row],[PROFIT]]/Table17[[#This Row],[TO]],0)</f>
        <v>0</v>
      </c>
      <c r="P1434" s="177"/>
      <c r="Q1434" s="177"/>
      <c r="R1434" s="177"/>
    </row>
    <row r="1435" spans="1:18" hidden="1" x14ac:dyDescent="0.25">
      <c r="A1435" s="29" t="s">
        <v>1691</v>
      </c>
      <c r="B1435" s="29" t="s">
        <v>1690</v>
      </c>
      <c r="C1435" s="29" t="s">
        <v>881</v>
      </c>
      <c r="D1435" s="29" t="str">
        <f>VLOOKUP(C:C,'COUNT-CONT'!B:C,2,FALSE)</f>
        <v>Africa</v>
      </c>
      <c r="E1435" s="29">
        <v>4</v>
      </c>
      <c r="F1435" s="28">
        <v>1892</v>
      </c>
      <c r="G1435" s="28">
        <v>3138895348</v>
      </c>
      <c r="H1435" s="29">
        <v>15.39</v>
      </c>
      <c r="I1435" s="142">
        <v>-64.05</v>
      </c>
      <c r="J1435" s="29">
        <v>2.69</v>
      </c>
      <c r="K1435" s="29">
        <v>1.1499999999999999</v>
      </c>
      <c r="L1435" s="29">
        <v>9.61</v>
      </c>
      <c r="M1435" s="368"/>
      <c r="N1435" s="368"/>
      <c r="O1435" s="271">
        <f>IFERROR(Table17[[#This Row],[PROFIT]]/Table17[[#This Row],[TO]],0)</f>
        <v>0</v>
      </c>
      <c r="P1435" s="177"/>
      <c r="Q1435" s="177"/>
      <c r="R1435" s="177"/>
    </row>
    <row r="1436" spans="1:18" x14ac:dyDescent="0.25">
      <c r="A1436" s="29" t="s">
        <v>3561</v>
      </c>
      <c r="B1436" s="29" t="s">
        <v>3560</v>
      </c>
      <c r="C1436" s="29" t="s">
        <v>774</v>
      </c>
      <c r="D1436" s="29" t="str">
        <f>VLOOKUP(C:C,'COUNT-CONT'!B:C,2,FALSE)</f>
        <v>Oceania</v>
      </c>
      <c r="E1436" s="29">
        <v>4</v>
      </c>
      <c r="F1436" s="28">
        <v>2026</v>
      </c>
      <c r="G1436" s="28">
        <v>3917541757</v>
      </c>
      <c r="H1436" s="29">
        <v>15.39</v>
      </c>
      <c r="I1436" s="142">
        <v>-64.05</v>
      </c>
      <c r="J1436" s="29">
        <v>9.16</v>
      </c>
      <c r="K1436" s="29">
        <v>8.52</v>
      </c>
      <c r="L1436" s="29">
        <v>16.38</v>
      </c>
      <c r="M1436" s="368"/>
      <c r="N1436" s="368"/>
      <c r="O1436" s="271">
        <f>IFERROR(Table17[[#This Row],[PROFIT]]/Table17[[#This Row],[TO]],0)</f>
        <v>0</v>
      </c>
      <c r="P1436" s="177"/>
      <c r="Q1436" s="177"/>
      <c r="R1436" s="177"/>
    </row>
    <row r="1437" spans="1:18" x14ac:dyDescent="0.25">
      <c r="A1437" s="29" t="s">
        <v>2874</v>
      </c>
      <c r="B1437" s="29" t="s">
        <v>2873</v>
      </c>
      <c r="C1437" s="29" t="s">
        <v>730</v>
      </c>
      <c r="D1437" s="29" t="str">
        <f>VLOOKUP(C:C,'COUNT-CONT'!B:C,2,FALSE)</f>
        <v>Oceania</v>
      </c>
      <c r="E1437" s="29">
        <v>2</v>
      </c>
      <c r="F1437" s="28">
        <v>1364</v>
      </c>
      <c r="G1437" s="28">
        <v>3765751612</v>
      </c>
      <c r="H1437" s="29">
        <v>15.39</v>
      </c>
      <c r="I1437" s="142">
        <v>-64.05</v>
      </c>
      <c r="J1437" s="29">
        <v>6.47</v>
      </c>
      <c r="K1437" s="29">
        <v>5.38</v>
      </c>
      <c r="L1437" s="29">
        <v>13.51</v>
      </c>
      <c r="M1437" s="368"/>
      <c r="N1437" s="368"/>
      <c r="O1437" s="271">
        <f>IFERROR(Table17[[#This Row],[PROFIT]]/Table17[[#This Row],[TO]],0)</f>
        <v>0</v>
      </c>
      <c r="P1437" s="177"/>
      <c r="Q1437" s="177"/>
      <c r="R1437" s="177"/>
    </row>
    <row r="1438" spans="1:18" hidden="1" x14ac:dyDescent="0.25">
      <c r="A1438" s="29" t="s">
        <v>2665</v>
      </c>
      <c r="B1438" s="29" t="s">
        <v>2664</v>
      </c>
      <c r="C1438" s="29" t="s">
        <v>971</v>
      </c>
      <c r="D1438" s="29" t="str">
        <f>VLOOKUP(C:C,'COUNT-CONT'!B:C,2,FALSE)</f>
        <v>Africa</v>
      </c>
      <c r="E1438" s="29">
        <v>9</v>
      </c>
      <c r="F1438" s="28">
        <v>3241</v>
      </c>
      <c r="G1438" s="28">
        <v>3232301419</v>
      </c>
      <c r="H1438" s="29">
        <v>15.39</v>
      </c>
      <c r="I1438" s="142">
        <v>-64.05</v>
      </c>
      <c r="J1438" s="29">
        <v>5.53</v>
      </c>
      <c r="K1438" s="29">
        <v>4.53</v>
      </c>
      <c r="L1438" s="29">
        <v>12.61</v>
      </c>
      <c r="M1438" s="368"/>
      <c r="N1438" s="368"/>
      <c r="O1438" s="271">
        <f>IFERROR(Table17[[#This Row],[PROFIT]]/Table17[[#This Row],[TO]],0)</f>
        <v>0</v>
      </c>
      <c r="P1438" s="177"/>
      <c r="Q1438" s="177"/>
      <c r="R1438" s="177"/>
    </row>
    <row r="1439" spans="1:18" hidden="1" x14ac:dyDescent="0.25">
      <c r="A1439" s="29" t="s">
        <v>487</v>
      </c>
      <c r="B1439" s="29" t="s">
        <v>2432</v>
      </c>
      <c r="C1439" s="29" t="s">
        <v>1578</v>
      </c>
      <c r="D1439" s="29" t="str">
        <f>VLOOKUP(C:C,'COUNT-CONT'!B:C,2,FALSE)</f>
        <v>Europe</v>
      </c>
      <c r="E1439" s="29">
        <v>5</v>
      </c>
      <c r="F1439" s="28">
        <v>2242</v>
      </c>
      <c r="G1439" s="28">
        <v>3208733363</v>
      </c>
      <c r="H1439" s="29">
        <v>15.36</v>
      </c>
      <c r="I1439" s="142">
        <v>-64.08</v>
      </c>
      <c r="J1439" s="29">
        <v>4.72</v>
      </c>
      <c r="K1439" s="29">
        <v>3.54</v>
      </c>
      <c r="L1439" s="29">
        <v>11.82</v>
      </c>
      <c r="M1439" s="368"/>
      <c r="N1439" s="368"/>
      <c r="O1439" s="271">
        <f>IFERROR(Table17[[#This Row],[PROFIT]]/Table17[[#This Row],[TO]],0)</f>
        <v>0</v>
      </c>
      <c r="P1439" s="177"/>
      <c r="Q1439" s="177"/>
      <c r="R1439" s="177"/>
    </row>
    <row r="1440" spans="1:18" hidden="1" x14ac:dyDescent="0.25">
      <c r="A1440" s="29" t="s">
        <v>2003</v>
      </c>
      <c r="B1440" s="29" t="s">
        <v>2002</v>
      </c>
      <c r="C1440" s="29" t="s">
        <v>1070</v>
      </c>
      <c r="D1440" s="29" t="str">
        <f>VLOOKUP(C:C,'COUNT-CONT'!B:C,2,FALSE)</f>
        <v>Asia</v>
      </c>
      <c r="E1440" s="29">
        <v>4</v>
      </c>
      <c r="F1440" s="28">
        <v>1993</v>
      </c>
      <c r="G1440" s="28">
        <v>3117731761</v>
      </c>
      <c r="H1440" s="29">
        <v>15.36</v>
      </c>
      <c r="I1440" s="142">
        <v>-64.08</v>
      </c>
      <c r="J1440" s="29">
        <v>3.57</v>
      </c>
      <c r="K1440" s="29">
        <v>2.2999999999999998</v>
      </c>
      <c r="L1440" s="29">
        <v>10.52</v>
      </c>
      <c r="M1440" s="368"/>
      <c r="N1440" s="368"/>
      <c r="O1440" s="271">
        <f>IFERROR(Table17[[#This Row],[PROFIT]]/Table17[[#This Row],[TO]],0)</f>
        <v>0</v>
      </c>
      <c r="P1440" s="177"/>
      <c r="Q1440" s="177"/>
      <c r="R1440" s="177"/>
    </row>
    <row r="1441" spans="1:18" hidden="1" x14ac:dyDescent="0.25">
      <c r="A1441" s="29" t="s">
        <v>2643</v>
      </c>
      <c r="B1441" s="29" t="s">
        <v>2642</v>
      </c>
      <c r="C1441" s="29" t="s">
        <v>717</v>
      </c>
      <c r="D1441" s="29" t="str">
        <f>VLOOKUP(C:C,'COUNT-CONT'!B:C,2,FALSE)</f>
        <v>Asia</v>
      </c>
      <c r="E1441" s="29">
        <v>3</v>
      </c>
      <c r="F1441" s="28">
        <v>1717</v>
      </c>
      <c r="G1441" s="28">
        <v>3377052300</v>
      </c>
      <c r="H1441" s="29">
        <v>15.36</v>
      </c>
      <c r="I1441" s="142">
        <v>-64.08</v>
      </c>
      <c r="J1441" s="29">
        <v>5.53</v>
      </c>
      <c r="K1441" s="29">
        <v>4.5</v>
      </c>
      <c r="L1441" s="29">
        <v>12.58</v>
      </c>
      <c r="M1441" s="368"/>
      <c r="N1441" s="368"/>
      <c r="O1441" s="271">
        <f>IFERROR(Table17[[#This Row],[PROFIT]]/Table17[[#This Row],[TO]],0)</f>
        <v>0</v>
      </c>
      <c r="P1441" s="177"/>
      <c r="Q1441" s="177"/>
      <c r="R1441" s="177"/>
    </row>
    <row r="1442" spans="1:18" ht="30" hidden="1" x14ac:dyDescent="0.25">
      <c r="A1442" s="29" t="s">
        <v>4192</v>
      </c>
      <c r="B1442" s="29" t="s">
        <v>4191</v>
      </c>
      <c r="C1442" s="29" t="s">
        <v>11732</v>
      </c>
      <c r="D1442" s="29" t="str">
        <f>VLOOKUP(C:C,'COUNT-CONT'!B:C,2,FALSE)</f>
        <v>North America</v>
      </c>
      <c r="E1442" s="29">
        <v>7</v>
      </c>
      <c r="F1442" s="28">
        <v>2834</v>
      </c>
      <c r="G1442" s="28">
        <v>4441243966</v>
      </c>
      <c r="H1442" s="29">
        <v>15.3</v>
      </c>
      <c r="I1442" s="142">
        <v>-64.14</v>
      </c>
      <c r="J1442" s="29">
        <v>12.48</v>
      </c>
      <c r="K1442" s="29">
        <v>12.48</v>
      </c>
      <c r="L1442" s="29">
        <v>20.16</v>
      </c>
      <c r="M1442" s="368"/>
      <c r="N1442" s="368"/>
      <c r="O1442" s="271">
        <f>IFERROR(Table17[[#This Row],[PROFIT]]/Table17[[#This Row],[TO]],0)</f>
        <v>0</v>
      </c>
      <c r="P1442" s="177"/>
      <c r="Q1442" s="177"/>
      <c r="R1442" s="177"/>
    </row>
    <row r="1443" spans="1:18" hidden="1" x14ac:dyDescent="0.25">
      <c r="A1443" s="29" t="s">
        <v>2905</v>
      </c>
      <c r="B1443" s="29" t="s">
        <v>2904</v>
      </c>
      <c r="C1443" s="29" t="s">
        <v>605</v>
      </c>
      <c r="D1443" s="29" t="str">
        <f>VLOOKUP(C:C,'COUNT-CONT'!B:C,2,FALSE)</f>
        <v>Europe</v>
      </c>
      <c r="E1443" s="29">
        <v>6</v>
      </c>
      <c r="F1443" s="28">
        <v>2339</v>
      </c>
      <c r="G1443" s="28">
        <v>3547186447</v>
      </c>
      <c r="H1443" s="29">
        <v>15.3</v>
      </c>
      <c r="I1443" s="142">
        <v>-64.14</v>
      </c>
      <c r="J1443" s="29">
        <v>6.56</v>
      </c>
      <c r="K1443" s="29">
        <v>5.74</v>
      </c>
      <c r="L1443" s="29">
        <v>13.66</v>
      </c>
      <c r="M1443" s="368"/>
      <c r="N1443" s="368"/>
      <c r="O1443" s="271">
        <f>IFERROR(Table17[[#This Row],[PROFIT]]/Table17[[#This Row],[TO]],0)</f>
        <v>0</v>
      </c>
      <c r="P1443" s="177"/>
      <c r="Q1443" s="177"/>
      <c r="R1443" s="177"/>
    </row>
    <row r="1444" spans="1:18" ht="30" hidden="1" x14ac:dyDescent="0.25">
      <c r="A1444" s="29" t="s">
        <v>4190</v>
      </c>
      <c r="B1444" s="29" t="s">
        <v>4189</v>
      </c>
      <c r="C1444" s="29" t="s">
        <v>11732</v>
      </c>
      <c r="D1444" s="29" t="str">
        <f>VLOOKUP(C:C,'COUNT-CONT'!B:C,2,FALSE)</f>
        <v>North America</v>
      </c>
      <c r="E1444" s="29">
        <v>5</v>
      </c>
      <c r="F1444" s="28">
        <v>2159</v>
      </c>
      <c r="G1444" s="28">
        <v>4497295136</v>
      </c>
      <c r="H1444" s="29">
        <v>15.3</v>
      </c>
      <c r="I1444" s="142">
        <v>-64.14</v>
      </c>
      <c r="J1444" s="29">
        <v>12.48</v>
      </c>
      <c r="K1444" s="29">
        <v>12.48</v>
      </c>
      <c r="L1444" s="29">
        <v>20.16</v>
      </c>
      <c r="M1444" s="368"/>
      <c r="N1444" s="368"/>
      <c r="O1444" s="271">
        <f>IFERROR(Table17[[#This Row],[PROFIT]]/Table17[[#This Row],[TO]],0)</f>
        <v>0</v>
      </c>
      <c r="P1444" s="177"/>
      <c r="Q1444" s="177"/>
      <c r="R1444" s="177"/>
    </row>
    <row r="1445" spans="1:18" ht="30" hidden="1" x14ac:dyDescent="0.25">
      <c r="A1445" s="29" t="s">
        <v>4183</v>
      </c>
      <c r="B1445" s="29" t="s">
        <v>4182</v>
      </c>
      <c r="C1445" s="29" t="s">
        <v>11732</v>
      </c>
      <c r="D1445" s="29" t="str">
        <f>VLOOKUP(C:C,'COUNT-CONT'!B:C,2,FALSE)</f>
        <v>North America</v>
      </c>
      <c r="E1445" s="29">
        <v>8</v>
      </c>
      <c r="F1445" s="28">
        <v>3021</v>
      </c>
      <c r="G1445" s="28">
        <v>4424317841</v>
      </c>
      <c r="H1445" s="29">
        <v>15.27</v>
      </c>
      <c r="I1445" s="142">
        <v>-64.17</v>
      </c>
      <c r="J1445" s="29">
        <v>12.42</v>
      </c>
      <c r="K1445" s="29">
        <v>12.42</v>
      </c>
      <c r="L1445" s="29">
        <v>20.07</v>
      </c>
      <c r="M1445" s="368"/>
      <c r="N1445" s="368"/>
      <c r="O1445" s="271">
        <f>IFERROR(Table17[[#This Row],[PROFIT]]/Table17[[#This Row],[TO]],0)</f>
        <v>0</v>
      </c>
      <c r="P1445" s="177"/>
      <c r="Q1445" s="177"/>
      <c r="R1445" s="177"/>
    </row>
    <row r="1446" spans="1:18" ht="30" hidden="1" x14ac:dyDescent="0.25">
      <c r="A1446" s="29" t="s">
        <v>4185</v>
      </c>
      <c r="B1446" s="29" t="s">
        <v>4184</v>
      </c>
      <c r="C1446" s="29" t="s">
        <v>11732</v>
      </c>
      <c r="D1446" s="29" t="str">
        <f>VLOOKUP(C:C,'COUNT-CONT'!B:C,2,FALSE)</f>
        <v>North America</v>
      </c>
      <c r="E1446" s="29">
        <v>6</v>
      </c>
      <c r="F1446" s="28">
        <v>2530</v>
      </c>
      <c r="G1446" s="28">
        <v>4450582608</v>
      </c>
      <c r="H1446" s="29">
        <v>15.27</v>
      </c>
      <c r="I1446" s="142">
        <v>-64.17</v>
      </c>
      <c r="J1446" s="29">
        <v>12.45</v>
      </c>
      <c r="K1446" s="29">
        <v>12.45</v>
      </c>
      <c r="L1446" s="29">
        <v>20.100000000000001</v>
      </c>
      <c r="M1446" s="368"/>
      <c r="N1446" s="368"/>
      <c r="O1446" s="271">
        <f>IFERROR(Table17[[#This Row],[PROFIT]]/Table17[[#This Row],[TO]],0)</f>
        <v>0</v>
      </c>
      <c r="P1446" s="177"/>
      <c r="Q1446" s="177"/>
      <c r="R1446" s="177"/>
    </row>
    <row r="1447" spans="1:18" ht="30" hidden="1" x14ac:dyDescent="0.25">
      <c r="A1447" s="29" t="s">
        <v>1366</v>
      </c>
      <c r="B1447" s="29" t="s">
        <v>1365</v>
      </c>
      <c r="C1447" s="29" t="s">
        <v>725</v>
      </c>
      <c r="D1447" s="29" t="e">
        <f>VLOOKUP(C:C,'COUNT-CONT'!B:C,2,FALSE)</f>
        <v>#N/A</v>
      </c>
      <c r="E1447" s="29">
        <v>4</v>
      </c>
      <c r="F1447" s="28">
        <v>3115</v>
      </c>
      <c r="G1447" s="28">
        <v>2990230016</v>
      </c>
      <c r="H1447" s="29">
        <v>15.27</v>
      </c>
      <c r="I1447" s="142">
        <v>-64.17</v>
      </c>
      <c r="J1447" s="29">
        <v>1.72</v>
      </c>
      <c r="K1447" s="29">
        <v>0.33</v>
      </c>
      <c r="L1447" s="29">
        <v>8.68</v>
      </c>
      <c r="M1447" s="368"/>
      <c r="N1447" s="368"/>
      <c r="O1447" s="271">
        <f>IFERROR(Table17[[#This Row],[PROFIT]]/Table17[[#This Row],[TO]],0)</f>
        <v>0</v>
      </c>
      <c r="P1447" s="177"/>
      <c r="Q1447" s="177"/>
      <c r="R1447" s="177"/>
    </row>
    <row r="1448" spans="1:18" ht="30" hidden="1" x14ac:dyDescent="0.25">
      <c r="A1448" s="29" t="s">
        <v>2203</v>
      </c>
      <c r="B1448" s="29" t="s">
        <v>2202</v>
      </c>
      <c r="C1448" s="29" t="s">
        <v>13126</v>
      </c>
      <c r="D1448" s="29" t="str">
        <f>VLOOKUP(C:C,'COUNT-CONT'!B:C,2,FALSE)</f>
        <v>Europe</v>
      </c>
      <c r="E1448" s="29">
        <v>7</v>
      </c>
      <c r="F1448" s="28">
        <v>2558</v>
      </c>
      <c r="G1448" s="28">
        <v>3244023455</v>
      </c>
      <c r="H1448" s="29">
        <v>15.27</v>
      </c>
      <c r="I1448" s="142">
        <v>-64.17</v>
      </c>
      <c r="J1448" s="29">
        <v>4.2</v>
      </c>
      <c r="K1448" s="29">
        <v>2.87</v>
      </c>
      <c r="L1448" s="29">
        <v>11.06</v>
      </c>
      <c r="M1448" s="368"/>
      <c r="N1448" s="368"/>
      <c r="O1448" s="271">
        <f>IFERROR(Table17[[#This Row],[PROFIT]]/Table17[[#This Row],[TO]],0)</f>
        <v>0</v>
      </c>
      <c r="P1448" s="177"/>
      <c r="Q1448" s="177"/>
      <c r="R1448" s="177"/>
    </row>
    <row r="1449" spans="1:18" ht="30" hidden="1" x14ac:dyDescent="0.25">
      <c r="A1449" s="29" t="s">
        <v>2778</v>
      </c>
      <c r="B1449" s="29" t="s">
        <v>2777</v>
      </c>
      <c r="C1449" s="29" t="s">
        <v>860</v>
      </c>
      <c r="D1449" s="29" t="str">
        <f>VLOOKUP(C:C,'COUNT-CONT'!B:C,2,FALSE)</f>
        <v>South America</v>
      </c>
      <c r="E1449" s="29">
        <v>4</v>
      </c>
      <c r="F1449" s="28">
        <v>1811</v>
      </c>
      <c r="G1449" s="28">
        <v>3424999226</v>
      </c>
      <c r="H1449" s="29">
        <v>15.24</v>
      </c>
      <c r="I1449" s="142">
        <v>-64.2</v>
      </c>
      <c r="J1449" s="29">
        <v>6.02</v>
      </c>
      <c r="K1449" s="29">
        <v>4.99</v>
      </c>
      <c r="L1449" s="29">
        <v>13.12</v>
      </c>
      <c r="M1449" s="368"/>
      <c r="N1449" s="368"/>
      <c r="O1449" s="271">
        <f>IFERROR(Table17[[#This Row],[PROFIT]]/Table17[[#This Row],[TO]],0)</f>
        <v>0</v>
      </c>
      <c r="P1449" s="177"/>
      <c r="Q1449" s="177"/>
      <c r="R1449" s="177"/>
    </row>
    <row r="1450" spans="1:18" hidden="1" x14ac:dyDescent="0.25">
      <c r="A1450" s="29" t="s">
        <v>3543</v>
      </c>
      <c r="B1450" s="29" t="s">
        <v>3542</v>
      </c>
      <c r="C1450" s="29" t="s">
        <v>597</v>
      </c>
      <c r="D1450" s="29" t="str">
        <f>VLOOKUP(C:C,'COUNT-CONT'!B:C,2,FALSE)</f>
        <v>Europe</v>
      </c>
      <c r="E1450" s="29">
        <v>8</v>
      </c>
      <c r="F1450" s="28">
        <v>2911</v>
      </c>
      <c r="G1450" s="28">
        <v>3803777018</v>
      </c>
      <c r="H1450" s="29">
        <v>15.24</v>
      </c>
      <c r="I1450" s="142">
        <v>-64.2</v>
      </c>
      <c r="J1450" s="29">
        <v>9.07</v>
      </c>
      <c r="K1450" s="29">
        <v>8.43</v>
      </c>
      <c r="L1450" s="29">
        <v>16.23</v>
      </c>
      <c r="M1450" s="368"/>
      <c r="N1450" s="368"/>
      <c r="O1450" s="271">
        <f>IFERROR(Table17[[#This Row],[PROFIT]]/Table17[[#This Row],[TO]],0)</f>
        <v>0</v>
      </c>
      <c r="P1450" s="177"/>
      <c r="Q1450" s="177"/>
      <c r="R1450" s="177"/>
    </row>
    <row r="1451" spans="1:18" ht="30" hidden="1" x14ac:dyDescent="0.25">
      <c r="A1451" s="29" t="s">
        <v>3141</v>
      </c>
      <c r="B1451" s="29" t="s">
        <v>3140</v>
      </c>
      <c r="C1451" s="29" t="s">
        <v>1847</v>
      </c>
      <c r="D1451" s="29" t="str">
        <f>VLOOKUP(C:C,'COUNT-CONT'!B:C,2,FALSE)</f>
        <v>Asia</v>
      </c>
      <c r="E1451" s="29">
        <v>10</v>
      </c>
      <c r="F1451" s="28">
        <v>3795</v>
      </c>
      <c r="G1451" s="28">
        <v>3538255072</v>
      </c>
      <c r="H1451" s="29">
        <v>15.24</v>
      </c>
      <c r="I1451" s="142">
        <v>-64.2</v>
      </c>
      <c r="J1451" s="29">
        <v>7.62</v>
      </c>
      <c r="K1451" s="29">
        <v>6.74</v>
      </c>
      <c r="L1451" s="29">
        <v>14.66</v>
      </c>
      <c r="M1451" s="368"/>
      <c r="N1451" s="368"/>
      <c r="O1451" s="271">
        <f>IFERROR(Table17[[#This Row],[PROFIT]]/Table17[[#This Row],[TO]],0)</f>
        <v>0</v>
      </c>
      <c r="P1451" s="177"/>
      <c r="Q1451" s="177"/>
      <c r="R1451" s="177"/>
    </row>
    <row r="1452" spans="1:18" ht="30" hidden="1" x14ac:dyDescent="0.25">
      <c r="A1452" s="29" t="s">
        <v>4178</v>
      </c>
      <c r="B1452" s="29" t="s">
        <v>4177</v>
      </c>
      <c r="C1452" s="29" t="s">
        <v>11732</v>
      </c>
      <c r="D1452" s="29" t="str">
        <f>VLOOKUP(C:C,'COUNT-CONT'!B:C,2,FALSE)</f>
        <v>North America</v>
      </c>
      <c r="E1452" s="29">
        <v>9</v>
      </c>
      <c r="F1452" s="28">
        <v>3272</v>
      </c>
      <c r="G1452" s="28">
        <v>4414385819</v>
      </c>
      <c r="H1452" s="29">
        <v>15.21</v>
      </c>
      <c r="I1452" s="142">
        <v>-64.22999999999999</v>
      </c>
      <c r="J1452" s="29">
        <v>12.42</v>
      </c>
      <c r="K1452" s="29">
        <v>12.42</v>
      </c>
      <c r="L1452" s="29">
        <v>20.04</v>
      </c>
      <c r="M1452" s="368"/>
      <c r="N1452" s="368"/>
      <c r="O1452" s="271">
        <f>IFERROR(Table17[[#This Row],[PROFIT]]/Table17[[#This Row],[TO]],0)</f>
        <v>0</v>
      </c>
      <c r="P1452" s="177"/>
      <c r="Q1452" s="177"/>
      <c r="R1452" s="177"/>
    </row>
    <row r="1453" spans="1:18" ht="30" hidden="1" x14ac:dyDescent="0.25">
      <c r="A1453" s="29" t="s">
        <v>2627</v>
      </c>
      <c r="B1453" s="29" t="s">
        <v>2626</v>
      </c>
      <c r="C1453" s="29" t="s">
        <v>717</v>
      </c>
      <c r="D1453" s="29" t="str">
        <f>VLOOKUP(C:C,'COUNT-CONT'!B:C,2,FALSE)</f>
        <v>Asia</v>
      </c>
      <c r="E1453" s="29">
        <v>2</v>
      </c>
      <c r="F1453" s="28">
        <v>1357</v>
      </c>
      <c r="G1453" s="28">
        <v>3498411643</v>
      </c>
      <c r="H1453" s="29">
        <v>15.21</v>
      </c>
      <c r="I1453" s="142">
        <v>-64.22999999999999</v>
      </c>
      <c r="J1453" s="29">
        <v>5.47</v>
      </c>
      <c r="K1453" s="29">
        <v>4.47</v>
      </c>
      <c r="L1453" s="29">
        <v>12.48</v>
      </c>
      <c r="M1453" s="368"/>
      <c r="N1453" s="368"/>
      <c r="O1453" s="271">
        <f>IFERROR(Table17[[#This Row],[PROFIT]]/Table17[[#This Row],[TO]],0)</f>
        <v>0</v>
      </c>
      <c r="P1453" s="177"/>
      <c r="Q1453" s="177"/>
      <c r="R1453" s="177"/>
    </row>
    <row r="1454" spans="1:18" hidden="1" x14ac:dyDescent="0.25">
      <c r="A1454" s="29" t="s">
        <v>1755</v>
      </c>
      <c r="B1454" s="29" t="s">
        <v>1754</v>
      </c>
      <c r="C1454" s="29" t="s">
        <v>1289</v>
      </c>
      <c r="D1454" s="29" t="str">
        <f>VLOOKUP(C:C,'COUNT-CONT'!B:C,2,FALSE)</f>
        <v>Asia</v>
      </c>
      <c r="E1454" s="29">
        <v>8</v>
      </c>
      <c r="F1454" s="28">
        <v>3005</v>
      </c>
      <c r="G1454" s="28">
        <v>3035656572</v>
      </c>
      <c r="H1454" s="29">
        <v>15.21</v>
      </c>
      <c r="I1454" s="142">
        <v>-64.22999999999999</v>
      </c>
      <c r="J1454" s="29">
        <v>2.9</v>
      </c>
      <c r="K1454" s="29">
        <v>1.54</v>
      </c>
      <c r="L1454" s="29">
        <v>9.73</v>
      </c>
      <c r="M1454" s="368"/>
      <c r="N1454" s="368"/>
      <c r="O1454" s="271">
        <f>IFERROR(Table17[[#This Row],[PROFIT]]/Table17[[#This Row],[TO]],0)</f>
        <v>0</v>
      </c>
      <c r="P1454" s="177"/>
      <c r="Q1454" s="177"/>
      <c r="R1454" s="177"/>
    </row>
    <row r="1455" spans="1:18" hidden="1" x14ac:dyDescent="0.25">
      <c r="A1455" s="29" t="s">
        <v>3354</v>
      </c>
      <c r="B1455" s="29" t="s">
        <v>3353</v>
      </c>
      <c r="C1455" s="29" t="s">
        <v>585</v>
      </c>
      <c r="D1455" s="29" t="str">
        <f>VLOOKUP(C:C,'COUNT-CONT'!B:C,2,FALSE)</f>
        <v>Europe</v>
      </c>
      <c r="E1455" s="29">
        <v>6</v>
      </c>
      <c r="F1455" s="28">
        <v>2438</v>
      </c>
      <c r="G1455" s="28">
        <v>3751589499</v>
      </c>
      <c r="H1455" s="29">
        <v>15.21</v>
      </c>
      <c r="I1455" s="142">
        <v>-64.22999999999999</v>
      </c>
      <c r="J1455" s="29">
        <v>8.3699999999999992</v>
      </c>
      <c r="K1455" s="29">
        <v>7.74</v>
      </c>
      <c r="L1455" s="29">
        <v>15.51</v>
      </c>
      <c r="M1455" s="368"/>
      <c r="N1455" s="368"/>
      <c r="O1455" s="271">
        <f>IFERROR(Table17[[#This Row],[PROFIT]]/Table17[[#This Row],[TO]],0)</f>
        <v>0</v>
      </c>
      <c r="P1455" s="177"/>
      <c r="Q1455" s="177"/>
      <c r="R1455" s="177"/>
    </row>
    <row r="1456" spans="1:18" hidden="1" x14ac:dyDescent="0.25">
      <c r="A1456" s="29" t="s">
        <v>4174</v>
      </c>
      <c r="B1456" s="29" t="s">
        <v>4173</v>
      </c>
      <c r="C1456" s="29" t="s">
        <v>560</v>
      </c>
      <c r="D1456" s="29" t="str">
        <f>VLOOKUP(C:C,'COUNT-CONT'!B:C,2,FALSE)</f>
        <v>Europe</v>
      </c>
      <c r="E1456" s="29">
        <v>5</v>
      </c>
      <c r="F1456" s="28">
        <v>2179</v>
      </c>
      <c r="G1456" s="28">
        <v>4476418724</v>
      </c>
      <c r="H1456" s="29">
        <v>15.21</v>
      </c>
      <c r="I1456" s="142">
        <v>-64.22999999999999</v>
      </c>
      <c r="J1456" s="29">
        <v>12.39</v>
      </c>
      <c r="K1456" s="29">
        <v>12.39</v>
      </c>
      <c r="L1456" s="29">
        <v>20.010000000000002</v>
      </c>
      <c r="M1456" s="368"/>
      <c r="N1456" s="368"/>
      <c r="O1456" s="271">
        <f>IFERROR(Table17[[#This Row],[PROFIT]]/Table17[[#This Row],[TO]],0)</f>
        <v>0</v>
      </c>
      <c r="P1456" s="177"/>
      <c r="Q1456" s="177"/>
      <c r="R1456" s="177"/>
    </row>
    <row r="1457" spans="1:18" ht="30" hidden="1" x14ac:dyDescent="0.25">
      <c r="A1457" s="29" t="s">
        <v>3068</v>
      </c>
      <c r="B1457" s="29" t="s">
        <v>3067</v>
      </c>
      <c r="C1457" s="29" t="s">
        <v>514</v>
      </c>
      <c r="D1457" s="29" t="str">
        <f>VLOOKUP(C:C,'COUNT-CONT'!B:C,2,FALSE)</f>
        <v>North America</v>
      </c>
      <c r="E1457" s="29">
        <v>7</v>
      </c>
      <c r="F1457" s="28">
        <v>2643</v>
      </c>
      <c r="G1457" s="28">
        <v>3582493719</v>
      </c>
      <c r="H1457" s="29">
        <v>15.21</v>
      </c>
      <c r="I1457" s="142">
        <v>-64.22999999999999</v>
      </c>
      <c r="J1457" s="29">
        <v>7.16</v>
      </c>
      <c r="K1457" s="29">
        <v>6.32</v>
      </c>
      <c r="L1457" s="29">
        <v>14.36</v>
      </c>
      <c r="M1457" s="368"/>
      <c r="N1457" s="368"/>
      <c r="O1457" s="271">
        <f>IFERROR(Table17[[#This Row],[PROFIT]]/Table17[[#This Row],[TO]],0)</f>
        <v>0</v>
      </c>
      <c r="P1457" s="177"/>
      <c r="Q1457" s="177"/>
      <c r="R1457" s="177"/>
    </row>
    <row r="1458" spans="1:18" ht="30" x14ac:dyDescent="0.25">
      <c r="A1458" s="29" t="s">
        <v>3050</v>
      </c>
      <c r="B1458" s="29" t="s">
        <v>3049</v>
      </c>
      <c r="C1458" s="29" t="s">
        <v>662</v>
      </c>
      <c r="D1458" s="29" t="str">
        <f>VLOOKUP(C:C,'COUNT-CONT'!B:C,2,FALSE)</f>
        <v>Oceania</v>
      </c>
      <c r="E1458" s="29">
        <v>2</v>
      </c>
      <c r="F1458" s="28">
        <v>1513</v>
      </c>
      <c r="G1458" s="28">
        <v>3689632385</v>
      </c>
      <c r="H1458" s="29">
        <v>15.18</v>
      </c>
      <c r="I1458" s="142">
        <v>-64.259999999999991</v>
      </c>
      <c r="J1458" s="29">
        <v>7.44</v>
      </c>
      <c r="K1458" s="29">
        <v>6.29</v>
      </c>
      <c r="L1458" s="29">
        <v>14.33</v>
      </c>
      <c r="M1458" s="368"/>
      <c r="N1458" s="368"/>
      <c r="O1458" s="271">
        <f>IFERROR(Table17[[#This Row],[PROFIT]]/Table17[[#This Row],[TO]],0)</f>
        <v>0</v>
      </c>
      <c r="P1458" s="177"/>
      <c r="Q1458" s="177"/>
      <c r="R1458" s="177"/>
    </row>
    <row r="1459" spans="1:18" ht="30" hidden="1" x14ac:dyDescent="0.25">
      <c r="A1459" s="29" t="s">
        <v>2770</v>
      </c>
      <c r="B1459" s="29" t="s">
        <v>2769</v>
      </c>
      <c r="C1459" s="29" t="s">
        <v>860</v>
      </c>
      <c r="D1459" s="29" t="str">
        <f>VLOOKUP(C:C,'COUNT-CONT'!B:C,2,FALSE)</f>
        <v>South America</v>
      </c>
      <c r="E1459" s="29">
        <v>5</v>
      </c>
      <c r="F1459" s="28">
        <v>2022</v>
      </c>
      <c r="G1459" s="28">
        <v>3376215825</v>
      </c>
      <c r="H1459" s="29">
        <v>15.18</v>
      </c>
      <c r="I1459" s="142">
        <v>-64.259999999999991</v>
      </c>
      <c r="J1459" s="29">
        <v>6.02</v>
      </c>
      <c r="K1459" s="29">
        <v>4.96</v>
      </c>
      <c r="L1459" s="29">
        <v>13.09</v>
      </c>
      <c r="M1459" s="368"/>
      <c r="N1459" s="368"/>
      <c r="O1459" s="271">
        <f>IFERROR(Table17[[#This Row],[PROFIT]]/Table17[[#This Row],[TO]],0)</f>
        <v>0</v>
      </c>
      <c r="P1459" s="177"/>
      <c r="Q1459" s="177"/>
      <c r="R1459" s="177"/>
    </row>
    <row r="1460" spans="1:18" ht="30" hidden="1" x14ac:dyDescent="0.25">
      <c r="A1460" s="29" t="s">
        <v>4170</v>
      </c>
      <c r="B1460" s="29" t="s">
        <v>4169</v>
      </c>
      <c r="C1460" s="29" t="s">
        <v>11732</v>
      </c>
      <c r="D1460" s="29" t="str">
        <f>VLOOKUP(C:C,'COUNT-CONT'!B:C,2,FALSE)</f>
        <v>North America</v>
      </c>
      <c r="E1460" s="29">
        <v>7</v>
      </c>
      <c r="F1460" s="28">
        <v>2838</v>
      </c>
      <c r="G1460" s="28">
        <v>4418996899</v>
      </c>
      <c r="H1460" s="29">
        <v>15.18</v>
      </c>
      <c r="I1460" s="142">
        <v>-64.259999999999991</v>
      </c>
      <c r="J1460" s="29">
        <v>12.39</v>
      </c>
      <c r="K1460" s="29">
        <v>12.39</v>
      </c>
      <c r="L1460" s="29">
        <v>19.98</v>
      </c>
      <c r="M1460" s="368"/>
      <c r="N1460" s="368"/>
      <c r="O1460" s="271">
        <f>IFERROR(Table17[[#This Row],[PROFIT]]/Table17[[#This Row],[TO]],0)</f>
        <v>0</v>
      </c>
      <c r="P1460" s="177"/>
      <c r="Q1460" s="177"/>
      <c r="R1460" s="177"/>
    </row>
    <row r="1461" spans="1:18" ht="30" hidden="1" x14ac:dyDescent="0.25">
      <c r="A1461" s="29" t="s">
        <v>4162</v>
      </c>
      <c r="B1461" s="29" t="s">
        <v>4161</v>
      </c>
      <c r="C1461" s="29" t="s">
        <v>11732</v>
      </c>
      <c r="D1461" s="29" t="str">
        <f>VLOOKUP(C:C,'COUNT-CONT'!B:C,2,FALSE)</f>
        <v>North America</v>
      </c>
      <c r="E1461" s="29">
        <v>4</v>
      </c>
      <c r="F1461" s="28">
        <v>1981</v>
      </c>
      <c r="G1461" s="28">
        <v>4495675113</v>
      </c>
      <c r="H1461" s="29">
        <v>15.15</v>
      </c>
      <c r="I1461" s="142">
        <v>-64.289999999999992</v>
      </c>
      <c r="J1461" s="29">
        <v>12.33</v>
      </c>
      <c r="K1461" s="29">
        <v>12.33</v>
      </c>
      <c r="L1461" s="29">
        <v>19.920000000000002</v>
      </c>
      <c r="M1461" s="368"/>
      <c r="N1461" s="368"/>
      <c r="O1461" s="271">
        <f>IFERROR(Table17[[#This Row],[PROFIT]]/Table17[[#This Row],[TO]],0)</f>
        <v>0</v>
      </c>
      <c r="P1461" s="177"/>
      <c r="Q1461" s="177"/>
      <c r="R1461" s="177"/>
    </row>
    <row r="1462" spans="1:18" hidden="1" x14ac:dyDescent="0.25">
      <c r="A1462" s="29" t="s">
        <v>2380</v>
      </c>
      <c r="B1462" s="29" t="s">
        <v>2379</v>
      </c>
      <c r="C1462" s="29" t="s">
        <v>332</v>
      </c>
      <c r="D1462" s="29" t="str">
        <f>VLOOKUP(C:C,'COUNT-CONT'!B:C,2,FALSE)</f>
        <v>Asia</v>
      </c>
      <c r="E1462" s="29">
        <v>3</v>
      </c>
      <c r="F1462" s="28">
        <v>1515</v>
      </c>
      <c r="G1462" s="28">
        <v>3349372607</v>
      </c>
      <c r="H1462" s="29">
        <v>15.15</v>
      </c>
      <c r="I1462" s="142">
        <v>-64.289999999999992</v>
      </c>
      <c r="J1462" s="29">
        <v>4.66</v>
      </c>
      <c r="K1462" s="29">
        <v>3.72</v>
      </c>
      <c r="L1462" s="29">
        <v>11.64</v>
      </c>
      <c r="M1462" s="368"/>
      <c r="N1462" s="368"/>
      <c r="O1462" s="271">
        <f>IFERROR(Table17[[#This Row],[PROFIT]]/Table17[[#This Row],[TO]],0)</f>
        <v>0</v>
      </c>
      <c r="P1462" s="177"/>
      <c r="Q1462" s="177"/>
      <c r="R1462" s="177"/>
    </row>
    <row r="1463" spans="1:18" hidden="1" x14ac:dyDescent="0.25">
      <c r="A1463" s="29" t="s">
        <v>1813</v>
      </c>
      <c r="B1463" s="29" t="s">
        <v>1812</v>
      </c>
      <c r="C1463" s="29" t="s">
        <v>867</v>
      </c>
      <c r="D1463" s="29" t="str">
        <f>VLOOKUP(C:C,'COUNT-CONT'!B:C,2,FALSE)</f>
        <v>Asia</v>
      </c>
      <c r="E1463" s="29">
        <v>1</v>
      </c>
      <c r="F1463" s="28">
        <v>1167</v>
      </c>
      <c r="G1463" s="28">
        <v>3365887832</v>
      </c>
      <c r="H1463" s="29">
        <v>15.11</v>
      </c>
      <c r="I1463" s="142">
        <v>-64.33</v>
      </c>
      <c r="J1463" s="29">
        <v>3.17</v>
      </c>
      <c r="K1463" s="29">
        <v>1.78</v>
      </c>
      <c r="L1463" s="29">
        <v>9.9499999999999993</v>
      </c>
      <c r="M1463" s="368"/>
      <c r="N1463" s="368"/>
      <c r="O1463" s="271">
        <f>IFERROR(Table17[[#This Row],[PROFIT]]/Table17[[#This Row],[TO]],0)</f>
        <v>0</v>
      </c>
      <c r="P1463" s="177"/>
      <c r="Q1463" s="177"/>
      <c r="R1463" s="177"/>
    </row>
    <row r="1464" spans="1:18" ht="30" hidden="1" x14ac:dyDescent="0.25">
      <c r="A1464" s="29" t="s">
        <v>3229</v>
      </c>
      <c r="B1464" s="29" t="s">
        <v>3228</v>
      </c>
      <c r="C1464" s="29" t="s">
        <v>13119</v>
      </c>
      <c r="D1464" s="29" t="str">
        <f>VLOOKUP(C:C,'COUNT-CONT'!B:C,2,FALSE)</f>
        <v>North America</v>
      </c>
      <c r="E1464" s="29">
        <v>3</v>
      </c>
      <c r="F1464" s="28">
        <v>1539</v>
      </c>
      <c r="G1464" s="28">
        <v>3767049837</v>
      </c>
      <c r="H1464" s="29">
        <v>15.11</v>
      </c>
      <c r="I1464" s="142">
        <v>-64.33</v>
      </c>
      <c r="J1464" s="29">
        <v>8.16</v>
      </c>
      <c r="K1464" s="29">
        <v>7.26</v>
      </c>
      <c r="L1464" s="29">
        <v>15.11</v>
      </c>
      <c r="M1464" s="368"/>
      <c r="N1464" s="368"/>
      <c r="O1464" s="271">
        <f>IFERROR(Table17[[#This Row],[PROFIT]]/Table17[[#This Row],[TO]],0)</f>
        <v>0</v>
      </c>
      <c r="P1464" s="177"/>
      <c r="Q1464" s="177"/>
      <c r="R1464" s="177"/>
    </row>
    <row r="1465" spans="1:18" hidden="1" x14ac:dyDescent="0.25">
      <c r="A1465" s="29" t="s">
        <v>3732</v>
      </c>
      <c r="B1465" s="29" t="s">
        <v>3731</v>
      </c>
      <c r="C1465" s="29" t="s">
        <v>119</v>
      </c>
      <c r="D1465" s="29" t="str">
        <f>VLOOKUP(C:C,'COUNT-CONT'!B:C,2,FALSE)</f>
        <v>Europe</v>
      </c>
      <c r="E1465" s="29">
        <v>2</v>
      </c>
      <c r="F1465" s="28">
        <v>1526</v>
      </c>
      <c r="G1465" s="28">
        <v>4151038794</v>
      </c>
      <c r="H1465" s="29">
        <v>15.11</v>
      </c>
      <c r="I1465" s="142">
        <v>-64.33</v>
      </c>
      <c r="J1465" s="29">
        <v>9.98</v>
      </c>
      <c r="K1465" s="29">
        <v>9.61</v>
      </c>
      <c r="L1465" s="29">
        <v>17.2</v>
      </c>
      <c r="M1465" s="368"/>
      <c r="N1465" s="368"/>
      <c r="O1465" s="271">
        <f>IFERROR(Table17[[#This Row],[PROFIT]]/Table17[[#This Row],[TO]],0)</f>
        <v>0</v>
      </c>
      <c r="P1465" s="177"/>
      <c r="Q1465" s="177"/>
      <c r="R1465" s="177"/>
    </row>
    <row r="1466" spans="1:18" ht="30" hidden="1" x14ac:dyDescent="0.25">
      <c r="A1466" s="29" t="s">
        <v>4158</v>
      </c>
      <c r="B1466" s="29" t="s">
        <v>4157</v>
      </c>
      <c r="C1466" s="29" t="s">
        <v>11732</v>
      </c>
      <c r="D1466" s="29" t="str">
        <f>VLOOKUP(C:C,'COUNT-CONT'!B:C,2,FALSE)</f>
        <v>North America</v>
      </c>
      <c r="E1466" s="29">
        <v>8</v>
      </c>
      <c r="F1466" s="28">
        <v>2991</v>
      </c>
      <c r="G1466" s="28">
        <v>4399769976</v>
      </c>
      <c r="H1466" s="29">
        <v>15.11</v>
      </c>
      <c r="I1466" s="142">
        <v>-64.33</v>
      </c>
      <c r="J1466" s="29">
        <v>12.3</v>
      </c>
      <c r="K1466" s="29">
        <v>12.3</v>
      </c>
      <c r="L1466" s="29">
        <v>19.89</v>
      </c>
      <c r="M1466" s="368"/>
      <c r="N1466" s="368"/>
      <c r="O1466" s="271">
        <f>IFERROR(Table17[[#This Row],[PROFIT]]/Table17[[#This Row],[TO]],0)</f>
        <v>0</v>
      </c>
      <c r="P1466" s="177"/>
      <c r="Q1466" s="177"/>
      <c r="R1466" s="177"/>
    </row>
    <row r="1467" spans="1:18" x14ac:dyDescent="0.25">
      <c r="A1467" s="29" t="s">
        <v>3499</v>
      </c>
      <c r="B1467" s="29" t="s">
        <v>3498</v>
      </c>
      <c r="C1467" s="29" t="s">
        <v>774</v>
      </c>
      <c r="D1467" s="29" t="str">
        <f>VLOOKUP(C:C,'COUNT-CONT'!B:C,2,FALSE)</f>
        <v>Oceania</v>
      </c>
      <c r="E1467" s="29">
        <v>3</v>
      </c>
      <c r="F1467" s="28">
        <v>1653</v>
      </c>
      <c r="G1467" s="28">
        <v>3960356745</v>
      </c>
      <c r="H1467" s="29">
        <v>15.08</v>
      </c>
      <c r="I1467" s="142">
        <v>-64.36</v>
      </c>
      <c r="J1467" s="29">
        <v>8.98</v>
      </c>
      <c r="K1467" s="29">
        <v>8.34</v>
      </c>
      <c r="L1467" s="29">
        <v>16.05</v>
      </c>
      <c r="M1467" s="368"/>
      <c r="N1467" s="368"/>
      <c r="O1467" s="271">
        <f>IFERROR(Table17[[#This Row],[PROFIT]]/Table17[[#This Row],[TO]],0)</f>
        <v>0</v>
      </c>
      <c r="P1467" s="177"/>
      <c r="Q1467" s="177"/>
      <c r="R1467" s="177"/>
    </row>
    <row r="1468" spans="1:18" ht="30" hidden="1" x14ac:dyDescent="0.25">
      <c r="A1468" s="29" t="s">
        <v>4154</v>
      </c>
      <c r="B1468" s="29" t="s">
        <v>4153</v>
      </c>
      <c r="C1468" s="29" t="s">
        <v>11732</v>
      </c>
      <c r="D1468" s="29" t="str">
        <f>VLOOKUP(C:C,'COUNT-CONT'!B:C,2,FALSE)</f>
        <v>North America</v>
      </c>
      <c r="E1468" s="29">
        <v>7</v>
      </c>
      <c r="F1468" s="28">
        <v>2678</v>
      </c>
      <c r="G1468" s="28">
        <v>4409254294</v>
      </c>
      <c r="H1468" s="29">
        <v>15.08</v>
      </c>
      <c r="I1468" s="142">
        <v>-64.36</v>
      </c>
      <c r="J1468" s="29">
        <v>12.3</v>
      </c>
      <c r="K1468" s="29">
        <v>12.3</v>
      </c>
      <c r="L1468" s="29">
        <v>19.86</v>
      </c>
      <c r="M1468" s="368"/>
      <c r="N1468" s="368"/>
      <c r="O1468" s="271">
        <f>IFERROR(Table17[[#This Row],[PROFIT]]/Table17[[#This Row],[TO]],0)</f>
        <v>0</v>
      </c>
      <c r="P1468" s="177"/>
      <c r="Q1468" s="177"/>
      <c r="R1468" s="177"/>
    </row>
    <row r="1469" spans="1:18" ht="30" hidden="1" x14ac:dyDescent="0.25">
      <c r="A1469" s="29" t="s">
        <v>2372</v>
      </c>
      <c r="B1469" s="29" t="s">
        <v>2371</v>
      </c>
      <c r="C1469" s="29" t="s">
        <v>1144</v>
      </c>
      <c r="D1469" s="29" t="str">
        <f>VLOOKUP(C:C,'COUNT-CONT'!B:C,2,FALSE)</f>
        <v>South America</v>
      </c>
      <c r="E1469" s="29">
        <v>4</v>
      </c>
      <c r="F1469" s="28">
        <v>1807</v>
      </c>
      <c r="G1469" s="28">
        <v>3226343774</v>
      </c>
      <c r="H1469" s="29">
        <v>15.08</v>
      </c>
      <c r="I1469" s="142">
        <v>-64.36</v>
      </c>
      <c r="J1469" s="29">
        <v>4.87</v>
      </c>
      <c r="K1469" s="29">
        <v>3.48</v>
      </c>
      <c r="L1469" s="29">
        <v>11.61</v>
      </c>
      <c r="M1469" s="368"/>
      <c r="N1469" s="368"/>
      <c r="O1469" s="271">
        <f>IFERROR(Table17[[#This Row],[PROFIT]]/Table17[[#This Row],[TO]],0)</f>
        <v>0</v>
      </c>
      <c r="P1469" s="177"/>
      <c r="Q1469" s="177"/>
      <c r="R1469" s="177"/>
    </row>
    <row r="1470" spans="1:18" ht="30" x14ac:dyDescent="0.25">
      <c r="A1470" s="29" t="s">
        <v>3019</v>
      </c>
      <c r="B1470" s="29" t="s">
        <v>3018</v>
      </c>
      <c r="C1470" s="29" t="s">
        <v>662</v>
      </c>
      <c r="D1470" s="29" t="str">
        <f>VLOOKUP(C:C,'COUNT-CONT'!B:C,2,FALSE)</f>
        <v>Oceania</v>
      </c>
      <c r="E1470" s="29">
        <v>1</v>
      </c>
      <c r="F1470" s="28">
        <v>1240</v>
      </c>
      <c r="G1470" s="28">
        <v>3805096774</v>
      </c>
      <c r="H1470" s="29">
        <v>15.05</v>
      </c>
      <c r="I1470" s="142">
        <v>-64.39</v>
      </c>
      <c r="J1470" s="29">
        <v>7.38</v>
      </c>
      <c r="K1470" s="29">
        <v>6.23</v>
      </c>
      <c r="L1470" s="29">
        <v>14.21</v>
      </c>
      <c r="M1470" s="368"/>
      <c r="N1470" s="368"/>
      <c r="O1470" s="271">
        <f>IFERROR(Table17[[#This Row],[PROFIT]]/Table17[[#This Row],[TO]],0)</f>
        <v>0</v>
      </c>
      <c r="P1470" s="177"/>
      <c r="Q1470" s="177"/>
      <c r="R1470" s="177"/>
    </row>
    <row r="1471" spans="1:18" hidden="1" x14ac:dyDescent="0.25">
      <c r="A1471" s="29" t="s">
        <v>1757</v>
      </c>
      <c r="B1471" s="29" t="s">
        <v>1756</v>
      </c>
      <c r="C1471" s="29" t="s">
        <v>197</v>
      </c>
      <c r="D1471" s="29" t="str">
        <f>VLOOKUP(C:C,'COUNT-CONT'!B:C,2,FALSE)</f>
        <v>Asia</v>
      </c>
      <c r="E1471" s="29">
        <v>3</v>
      </c>
      <c r="F1471" s="28">
        <v>1515</v>
      </c>
      <c r="G1471" s="28">
        <v>3220072607</v>
      </c>
      <c r="H1471" s="29">
        <v>15.02</v>
      </c>
      <c r="I1471" s="142">
        <v>-64.42</v>
      </c>
      <c r="J1471" s="29">
        <v>3.11</v>
      </c>
      <c r="K1471" s="29">
        <v>1.54</v>
      </c>
      <c r="L1471" s="29">
        <v>9.76</v>
      </c>
      <c r="M1471" s="368"/>
      <c r="N1471" s="368"/>
      <c r="O1471" s="271">
        <f>IFERROR(Table17[[#This Row],[PROFIT]]/Table17[[#This Row],[TO]],0)</f>
        <v>0</v>
      </c>
      <c r="P1471" s="177"/>
      <c r="Q1471" s="177"/>
      <c r="R1471" s="177"/>
    </row>
    <row r="1472" spans="1:18" hidden="1" x14ac:dyDescent="0.25">
      <c r="A1472" s="29" t="s">
        <v>3485</v>
      </c>
      <c r="B1472" s="29" t="s">
        <v>3484</v>
      </c>
      <c r="C1472" s="29" t="s">
        <v>597</v>
      </c>
      <c r="D1472" s="29" t="str">
        <f>VLOOKUP(C:C,'COUNT-CONT'!B:C,2,FALSE)</f>
        <v>Europe</v>
      </c>
      <c r="E1472" s="29">
        <v>3</v>
      </c>
      <c r="F1472" s="28">
        <v>1655</v>
      </c>
      <c r="G1472" s="28">
        <v>3932652567</v>
      </c>
      <c r="H1472" s="29">
        <v>15.02</v>
      </c>
      <c r="I1472" s="142">
        <v>-64.42</v>
      </c>
      <c r="J1472" s="29">
        <v>8.9499999999999993</v>
      </c>
      <c r="K1472" s="29">
        <v>8.31</v>
      </c>
      <c r="L1472" s="29">
        <v>15.99</v>
      </c>
      <c r="M1472" s="368"/>
      <c r="N1472" s="368"/>
      <c r="O1472" s="271">
        <f>IFERROR(Table17[[#This Row],[PROFIT]]/Table17[[#This Row],[TO]],0)</f>
        <v>0</v>
      </c>
      <c r="P1472" s="177"/>
      <c r="Q1472" s="177"/>
      <c r="R1472" s="177"/>
    </row>
    <row r="1473" spans="1:18" hidden="1" x14ac:dyDescent="0.25">
      <c r="A1473" s="29" t="s">
        <v>2690</v>
      </c>
      <c r="B1473" s="29" t="s">
        <v>2689</v>
      </c>
      <c r="C1473" s="29" t="s">
        <v>14</v>
      </c>
      <c r="D1473" s="29" t="str">
        <f>VLOOKUP(C:C,'COUNT-CONT'!B:C,2,FALSE)</f>
        <v>Asia</v>
      </c>
      <c r="E1473" s="29">
        <v>6</v>
      </c>
      <c r="F1473" s="28">
        <v>2312</v>
      </c>
      <c r="G1473" s="28">
        <v>3292178546</v>
      </c>
      <c r="H1473" s="29">
        <v>15.02</v>
      </c>
      <c r="I1473" s="142">
        <v>-64.42</v>
      </c>
      <c r="J1473" s="29">
        <v>5.83</v>
      </c>
      <c r="K1473" s="29">
        <v>4.84</v>
      </c>
      <c r="L1473" s="29">
        <v>12.73</v>
      </c>
      <c r="M1473" s="368"/>
      <c r="N1473" s="368"/>
      <c r="O1473" s="271">
        <f>IFERROR(Table17[[#This Row],[PROFIT]]/Table17[[#This Row],[TO]],0)</f>
        <v>0</v>
      </c>
      <c r="P1473" s="177"/>
      <c r="Q1473" s="177"/>
      <c r="R1473" s="177"/>
    </row>
    <row r="1474" spans="1:18" hidden="1" x14ac:dyDescent="0.25">
      <c r="A1474" s="29" t="s">
        <v>3305</v>
      </c>
      <c r="B1474" s="29" t="s">
        <v>3304</v>
      </c>
      <c r="C1474" s="29" t="s">
        <v>585</v>
      </c>
      <c r="D1474" s="29" t="str">
        <f>VLOOKUP(C:C,'COUNT-CONT'!B:C,2,FALSE)</f>
        <v>Europe</v>
      </c>
      <c r="E1474" s="29">
        <v>7</v>
      </c>
      <c r="F1474" s="28">
        <v>2530</v>
      </c>
      <c r="G1474" s="28">
        <v>3718782608</v>
      </c>
      <c r="H1474" s="29">
        <v>14.99</v>
      </c>
      <c r="I1474" s="142">
        <v>-64.45</v>
      </c>
      <c r="J1474" s="29">
        <v>8.25</v>
      </c>
      <c r="K1474" s="29">
        <v>7.65</v>
      </c>
      <c r="L1474" s="29">
        <v>15.33</v>
      </c>
      <c r="M1474" s="368"/>
      <c r="N1474" s="368"/>
      <c r="O1474" s="271">
        <f>IFERROR(Table17[[#This Row],[PROFIT]]/Table17[[#This Row],[TO]],0)</f>
        <v>0</v>
      </c>
      <c r="P1474" s="177"/>
      <c r="Q1474" s="177"/>
      <c r="R1474" s="177"/>
    </row>
    <row r="1475" spans="1:18" hidden="1" x14ac:dyDescent="0.25">
      <c r="A1475" s="29" t="s">
        <v>3394</v>
      </c>
      <c r="B1475" s="29" t="s">
        <v>3393</v>
      </c>
      <c r="C1475" s="29" t="s">
        <v>807</v>
      </c>
      <c r="D1475" s="29" t="str">
        <f>VLOOKUP(C:C,'COUNT-CONT'!B:C,2,FALSE)</f>
        <v>Europe</v>
      </c>
      <c r="E1475" s="29">
        <v>6</v>
      </c>
      <c r="F1475" s="28">
        <v>2530</v>
      </c>
      <c r="G1475" s="28">
        <v>3756982608</v>
      </c>
      <c r="H1475" s="29">
        <v>14.99</v>
      </c>
      <c r="I1475" s="142">
        <v>-64.45</v>
      </c>
      <c r="J1475" s="29">
        <v>8.43</v>
      </c>
      <c r="K1475" s="29">
        <v>8.1</v>
      </c>
      <c r="L1475" s="29">
        <v>15.63</v>
      </c>
      <c r="M1475" s="368"/>
      <c r="N1475" s="368"/>
      <c r="O1475" s="271">
        <f>IFERROR(Table17[[#This Row],[PROFIT]]/Table17[[#This Row],[TO]],0)</f>
        <v>0</v>
      </c>
      <c r="P1475" s="177"/>
      <c r="Q1475" s="177"/>
      <c r="R1475" s="177"/>
    </row>
    <row r="1476" spans="1:18" hidden="1" x14ac:dyDescent="0.25">
      <c r="A1476" s="29" t="s">
        <v>3014</v>
      </c>
      <c r="B1476" s="29" t="s">
        <v>3013</v>
      </c>
      <c r="C1476" s="29" t="s">
        <v>1858</v>
      </c>
      <c r="D1476" s="29" t="str">
        <f>VLOOKUP(C:C,'COUNT-CONT'!B:C,2,FALSE)</f>
        <v>Europe</v>
      </c>
      <c r="E1476" s="29">
        <v>2</v>
      </c>
      <c r="F1476" s="28">
        <v>1512</v>
      </c>
      <c r="G1476" s="28">
        <v>3754513227</v>
      </c>
      <c r="H1476" s="29">
        <v>14.99</v>
      </c>
      <c r="I1476" s="142">
        <v>-64.45</v>
      </c>
      <c r="J1476" s="29">
        <v>7.07</v>
      </c>
      <c r="K1476" s="29">
        <v>6.2</v>
      </c>
      <c r="L1476" s="29">
        <v>14.15</v>
      </c>
      <c r="M1476" s="368"/>
      <c r="N1476" s="368"/>
      <c r="O1476" s="271">
        <f>IFERROR(Table17[[#This Row],[PROFIT]]/Table17[[#This Row],[TO]],0)</f>
        <v>0</v>
      </c>
      <c r="P1476" s="177"/>
      <c r="Q1476" s="177"/>
      <c r="R1476" s="177"/>
    </row>
    <row r="1477" spans="1:18" ht="30" hidden="1" x14ac:dyDescent="0.25">
      <c r="A1477" s="29" t="s">
        <v>4130</v>
      </c>
      <c r="B1477" s="29" t="s">
        <v>4129</v>
      </c>
      <c r="C1477" s="29" t="s">
        <v>11732</v>
      </c>
      <c r="D1477" s="29" t="str">
        <f>VLOOKUP(C:C,'COUNT-CONT'!B:C,2,FALSE)</f>
        <v>North America</v>
      </c>
      <c r="E1477" s="29">
        <v>6</v>
      </c>
      <c r="F1477" s="28">
        <v>2524</v>
      </c>
      <c r="G1477" s="28">
        <v>4400416164</v>
      </c>
      <c r="H1477" s="29">
        <v>14.96</v>
      </c>
      <c r="I1477" s="142">
        <v>-64.47999999999999</v>
      </c>
      <c r="J1477" s="29">
        <v>12.21</v>
      </c>
      <c r="K1477" s="29">
        <v>12.21</v>
      </c>
      <c r="L1477" s="29">
        <v>19.71</v>
      </c>
      <c r="M1477" s="368"/>
      <c r="N1477" s="368"/>
      <c r="O1477" s="271">
        <f>IFERROR(Table17[[#This Row],[PROFIT]]/Table17[[#This Row],[TO]],0)</f>
        <v>0</v>
      </c>
      <c r="P1477" s="177"/>
      <c r="Q1477" s="177"/>
      <c r="R1477" s="177"/>
    </row>
    <row r="1478" spans="1:18" hidden="1" x14ac:dyDescent="0.25">
      <c r="A1478" s="29" t="s">
        <v>2067</v>
      </c>
      <c r="B1478" s="29" t="s">
        <v>2066</v>
      </c>
      <c r="C1478" s="29" t="s">
        <v>1654</v>
      </c>
      <c r="D1478" s="29" t="str">
        <f>VLOOKUP(C:C,'COUNT-CONT'!B:C,2,FALSE)</f>
        <v>Asia</v>
      </c>
      <c r="E1478" s="29">
        <v>10</v>
      </c>
      <c r="F1478" s="28">
        <v>3362</v>
      </c>
      <c r="G1478" s="28">
        <v>3128486198</v>
      </c>
      <c r="H1478" s="29">
        <v>14.96</v>
      </c>
      <c r="I1478" s="142">
        <v>-64.47999999999999</v>
      </c>
      <c r="J1478" s="29">
        <v>3.84</v>
      </c>
      <c r="K1478" s="29">
        <v>2.54</v>
      </c>
      <c r="L1478" s="29">
        <v>10.7</v>
      </c>
      <c r="M1478" s="368"/>
      <c r="N1478" s="368"/>
      <c r="O1478" s="271">
        <f>IFERROR(Table17[[#This Row],[PROFIT]]/Table17[[#This Row],[TO]],0)</f>
        <v>0</v>
      </c>
      <c r="P1478" s="177"/>
      <c r="Q1478" s="177"/>
      <c r="R1478" s="177"/>
    </row>
    <row r="1479" spans="1:18" hidden="1" x14ac:dyDescent="0.25">
      <c r="A1479" s="29" t="s">
        <v>2720</v>
      </c>
      <c r="B1479" s="29" t="s">
        <v>2719</v>
      </c>
      <c r="C1479" s="29" t="s">
        <v>709</v>
      </c>
      <c r="D1479" s="29" t="str">
        <f>VLOOKUP(C:C,'COUNT-CONT'!B:C,2,FALSE)</f>
        <v>Asia</v>
      </c>
      <c r="E1479" s="29">
        <v>2</v>
      </c>
      <c r="F1479" s="28">
        <v>1379</v>
      </c>
      <c r="G1479" s="28">
        <v>3543579477</v>
      </c>
      <c r="H1479" s="29">
        <v>14.96</v>
      </c>
      <c r="I1479" s="142">
        <v>-64.47999999999999</v>
      </c>
      <c r="J1479" s="29">
        <v>5.93</v>
      </c>
      <c r="K1479" s="29">
        <v>4.9000000000000004</v>
      </c>
      <c r="L1479" s="29">
        <v>12.91</v>
      </c>
      <c r="M1479" s="368"/>
      <c r="N1479" s="368"/>
      <c r="O1479" s="271">
        <f>IFERROR(Table17[[#This Row],[PROFIT]]/Table17[[#This Row],[TO]],0)</f>
        <v>0</v>
      </c>
      <c r="P1479" s="177"/>
      <c r="Q1479" s="177"/>
      <c r="R1479" s="177"/>
    </row>
    <row r="1480" spans="1:18" ht="30" hidden="1" x14ac:dyDescent="0.25">
      <c r="A1480" s="29" t="s">
        <v>2542</v>
      </c>
      <c r="B1480" s="29" t="s">
        <v>2541</v>
      </c>
      <c r="C1480" s="29" t="s">
        <v>2540</v>
      </c>
      <c r="D1480" s="29" t="str">
        <f>VLOOKUP(C:C,'COUNT-CONT'!B:C,2,FALSE)</f>
        <v>North America</v>
      </c>
      <c r="E1480" s="29">
        <v>1</v>
      </c>
      <c r="F1480" s="28">
        <v>1225</v>
      </c>
      <c r="G1480" s="28">
        <v>3540759183</v>
      </c>
      <c r="H1480" s="29">
        <v>14.93</v>
      </c>
      <c r="I1480" s="142">
        <v>-64.509999999999991</v>
      </c>
      <c r="J1480" s="29">
        <v>5.38</v>
      </c>
      <c r="K1480" s="29">
        <v>4.38</v>
      </c>
      <c r="L1480" s="29">
        <v>12.24</v>
      </c>
      <c r="M1480" s="368"/>
      <c r="N1480" s="368"/>
      <c r="O1480" s="271">
        <f>IFERROR(Table17[[#This Row],[PROFIT]]/Table17[[#This Row],[TO]],0)</f>
        <v>0</v>
      </c>
      <c r="P1480" s="177"/>
      <c r="Q1480" s="177"/>
      <c r="R1480" s="177"/>
    </row>
    <row r="1481" spans="1:18" hidden="1" x14ac:dyDescent="0.25">
      <c r="A1481" s="29" t="s">
        <v>1633</v>
      </c>
      <c r="B1481" s="29" t="s">
        <v>1632</v>
      </c>
      <c r="C1481" s="29" t="s">
        <v>1189</v>
      </c>
      <c r="D1481" s="29" t="str">
        <f>VLOOKUP(C:C,'COUNT-CONT'!B:C,2,FALSE)</f>
        <v>Africa</v>
      </c>
      <c r="E1481" s="29">
        <v>1</v>
      </c>
      <c r="F1481" s="28">
        <v>1002</v>
      </c>
      <c r="G1481" s="28">
        <v>3529004391</v>
      </c>
      <c r="H1481" s="29">
        <v>14.93</v>
      </c>
      <c r="I1481" s="142">
        <v>-64.509999999999991</v>
      </c>
      <c r="J1481" s="29">
        <v>2.81</v>
      </c>
      <c r="K1481" s="29">
        <v>1.3</v>
      </c>
      <c r="L1481" s="29">
        <v>9.4600000000000009</v>
      </c>
      <c r="M1481" s="368"/>
      <c r="N1481" s="368"/>
      <c r="O1481" s="271">
        <f>IFERROR(Table17[[#This Row],[PROFIT]]/Table17[[#This Row],[TO]],0)</f>
        <v>0</v>
      </c>
      <c r="P1481" s="177"/>
      <c r="Q1481" s="177"/>
      <c r="R1481" s="177"/>
    </row>
    <row r="1482" spans="1:18" hidden="1" x14ac:dyDescent="0.25">
      <c r="A1482" s="29" t="s">
        <v>2319</v>
      </c>
      <c r="B1482" s="29" t="s">
        <v>2318</v>
      </c>
      <c r="C1482" s="29" t="s">
        <v>1314</v>
      </c>
      <c r="D1482" s="29" t="str">
        <f>VLOOKUP(C:C,'COUNT-CONT'!B:C,2,FALSE)</f>
        <v>Asia</v>
      </c>
      <c r="E1482" s="29">
        <v>6</v>
      </c>
      <c r="F1482" s="28">
        <v>2408</v>
      </c>
      <c r="G1482" s="28">
        <v>3116810631</v>
      </c>
      <c r="H1482" s="29">
        <v>14.93</v>
      </c>
      <c r="I1482" s="142">
        <v>-64.509999999999991</v>
      </c>
      <c r="J1482" s="29">
        <v>4.8099999999999996</v>
      </c>
      <c r="K1482" s="29">
        <v>3.45</v>
      </c>
      <c r="L1482" s="29">
        <v>11.49</v>
      </c>
      <c r="M1482" s="368"/>
      <c r="N1482" s="368"/>
      <c r="O1482" s="271">
        <f>IFERROR(Table17[[#This Row],[PROFIT]]/Table17[[#This Row],[TO]],0)</f>
        <v>0</v>
      </c>
      <c r="P1482" s="177"/>
      <c r="Q1482" s="177"/>
      <c r="R1482" s="177"/>
    </row>
    <row r="1483" spans="1:18" ht="30" hidden="1" x14ac:dyDescent="0.25">
      <c r="A1483" s="29" t="s">
        <v>4116</v>
      </c>
      <c r="B1483" s="29" t="s">
        <v>4115</v>
      </c>
      <c r="C1483" s="29" t="s">
        <v>11732</v>
      </c>
      <c r="D1483" s="29" t="str">
        <f>VLOOKUP(C:C,'COUNT-CONT'!B:C,2,FALSE)</f>
        <v>North America</v>
      </c>
      <c r="E1483" s="29">
        <v>7</v>
      </c>
      <c r="F1483" s="28">
        <v>2831</v>
      </c>
      <c r="G1483" s="28">
        <v>4370355280</v>
      </c>
      <c r="H1483" s="29">
        <v>14.9</v>
      </c>
      <c r="I1483" s="142">
        <v>-64.539999999999992</v>
      </c>
      <c r="J1483" s="29">
        <v>12.15</v>
      </c>
      <c r="K1483" s="29">
        <v>12.15</v>
      </c>
      <c r="L1483" s="29">
        <v>19.62</v>
      </c>
      <c r="M1483" s="368"/>
      <c r="N1483" s="368"/>
      <c r="O1483" s="271">
        <f>IFERROR(Table17[[#This Row],[PROFIT]]/Table17[[#This Row],[TO]],0)</f>
        <v>0</v>
      </c>
      <c r="P1483" s="177"/>
      <c r="Q1483" s="177"/>
      <c r="R1483" s="177"/>
    </row>
    <row r="1484" spans="1:18" hidden="1" x14ac:dyDescent="0.25">
      <c r="A1484" s="29" t="s">
        <v>2671</v>
      </c>
      <c r="B1484" s="29" t="s">
        <v>2670</v>
      </c>
      <c r="C1484" s="29" t="s">
        <v>505</v>
      </c>
      <c r="D1484" s="29" t="e">
        <f>VLOOKUP(C:C,'COUNT-CONT'!B:C,2,FALSE)</f>
        <v>#N/A</v>
      </c>
      <c r="E1484" s="29">
        <v>8</v>
      </c>
      <c r="F1484" s="28">
        <v>3015</v>
      </c>
      <c r="G1484" s="28">
        <v>3236842454</v>
      </c>
      <c r="H1484" s="29">
        <v>14.9</v>
      </c>
      <c r="I1484" s="142">
        <v>-64.539999999999992</v>
      </c>
      <c r="J1484" s="29">
        <v>5.8</v>
      </c>
      <c r="K1484" s="29">
        <v>4.78</v>
      </c>
      <c r="L1484" s="29">
        <v>12.64</v>
      </c>
      <c r="M1484" s="368"/>
      <c r="N1484" s="368"/>
      <c r="O1484" s="271">
        <f>IFERROR(Table17[[#This Row],[PROFIT]]/Table17[[#This Row],[TO]],0)</f>
        <v>0</v>
      </c>
      <c r="P1484" s="177"/>
      <c r="Q1484" s="177"/>
      <c r="R1484" s="177"/>
    </row>
    <row r="1485" spans="1:18" ht="30" hidden="1" x14ac:dyDescent="0.25">
      <c r="A1485" s="29" t="s">
        <v>3676</v>
      </c>
      <c r="B1485" s="29" t="s">
        <v>3675</v>
      </c>
      <c r="C1485" s="29" t="s">
        <v>514</v>
      </c>
      <c r="D1485" s="29" t="str">
        <f>VLOOKUP(C:C,'COUNT-CONT'!B:C,2,FALSE)</f>
        <v>North America</v>
      </c>
      <c r="E1485" s="29">
        <v>6</v>
      </c>
      <c r="F1485" s="28">
        <v>2324</v>
      </c>
      <c r="G1485" s="28">
        <v>3951721858</v>
      </c>
      <c r="H1485" s="29">
        <v>14.9</v>
      </c>
      <c r="I1485" s="142">
        <v>-64.539999999999992</v>
      </c>
      <c r="J1485" s="29">
        <v>9.82</v>
      </c>
      <c r="K1485" s="29">
        <v>9.49</v>
      </c>
      <c r="L1485" s="29">
        <v>16.96</v>
      </c>
      <c r="M1485" s="368"/>
      <c r="N1485" s="368"/>
      <c r="O1485" s="271">
        <f>IFERROR(Table17[[#This Row],[PROFIT]]/Table17[[#This Row],[TO]],0)</f>
        <v>0</v>
      </c>
      <c r="P1485" s="177"/>
      <c r="Q1485" s="177"/>
      <c r="R1485" s="177"/>
    </row>
    <row r="1486" spans="1:18" ht="30" hidden="1" x14ac:dyDescent="0.25">
      <c r="A1486" s="29" t="s">
        <v>2710</v>
      </c>
      <c r="B1486" s="29" t="s">
        <v>2709</v>
      </c>
      <c r="C1486" s="29" t="s">
        <v>683</v>
      </c>
      <c r="D1486" s="29" t="str">
        <f>VLOOKUP(C:C,'COUNT-CONT'!B:C,2,FALSE)</f>
        <v>North America</v>
      </c>
      <c r="E1486" s="29">
        <v>8</v>
      </c>
      <c r="F1486" s="28">
        <v>3016</v>
      </c>
      <c r="G1486" s="28">
        <v>3262321485</v>
      </c>
      <c r="H1486" s="29">
        <v>14.87</v>
      </c>
      <c r="I1486" s="142">
        <v>-64.569999999999993</v>
      </c>
      <c r="J1486" s="29">
        <v>5.89</v>
      </c>
      <c r="K1486" s="29">
        <v>4.87</v>
      </c>
      <c r="L1486" s="29">
        <v>12.82</v>
      </c>
      <c r="M1486" s="368"/>
      <c r="N1486" s="368"/>
      <c r="O1486" s="271">
        <f>IFERROR(Table17[[#This Row],[PROFIT]]/Table17[[#This Row],[TO]],0)</f>
        <v>0</v>
      </c>
      <c r="P1486" s="177"/>
      <c r="Q1486" s="177"/>
      <c r="R1486" s="177"/>
    </row>
    <row r="1487" spans="1:18" hidden="1" x14ac:dyDescent="0.25">
      <c r="A1487" s="29" t="s">
        <v>1614</v>
      </c>
      <c r="B1487" s="29" t="s">
        <v>1613</v>
      </c>
      <c r="C1487" s="29" t="s">
        <v>1189</v>
      </c>
      <c r="D1487" s="29" t="str">
        <f>VLOOKUP(C:C,'COUNT-CONT'!B:C,2,FALSE)</f>
        <v>Africa</v>
      </c>
      <c r="E1487" s="29">
        <v>1</v>
      </c>
      <c r="F1487" s="28">
        <v>1052</v>
      </c>
      <c r="G1487" s="28">
        <v>3478627376</v>
      </c>
      <c r="H1487" s="29">
        <v>14.87</v>
      </c>
      <c r="I1487" s="142">
        <v>-64.569999999999993</v>
      </c>
      <c r="J1487" s="29">
        <v>2.81</v>
      </c>
      <c r="K1487" s="29">
        <v>1.3</v>
      </c>
      <c r="L1487" s="29">
        <v>9.43</v>
      </c>
      <c r="M1487" s="368"/>
      <c r="N1487" s="368"/>
      <c r="O1487" s="271">
        <f>IFERROR(Table17[[#This Row],[PROFIT]]/Table17[[#This Row],[TO]],0)</f>
        <v>0</v>
      </c>
      <c r="P1487" s="177"/>
      <c r="Q1487" s="177"/>
      <c r="R1487" s="177"/>
    </row>
    <row r="1488" spans="1:18" hidden="1" x14ac:dyDescent="0.25">
      <c r="A1488" s="29" t="s">
        <v>1485</v>
      </c>
      <c r="B1488" s="29" t="s">
        <v>1484</v>
      </c>
      <c r="C1488" s="29" t="s">
        <v>637</v>
      </c>
      <c r="D1488" s="29" t="str">
        <f>VLOOKUP(C:C,'COUNT-CONT'!B:C,2,FALSE)</f>
        <v>Africa</v>
      </c>
      <c r="E1488" s="29">
        <v>3</v>
      </c>
      <c r="F1488" s="28">
        <v>1709</v>
      </c>
      <c r="G1488" s="28">
        <v>3155951258</v>
      </c>
      <c r="H1488" s="29">
        <v>14.87</v>
      </c>
      <c r="I1488" s="142">
        <v>-64.569999999999993</v>
      </c>
      <c r="J1488" s="29">
        <v>2.36</v>
      </c>
      <c r="K1488" s="29">
        <v>0.91</v>
      </c>
      <c r="L1488" s="29">
        <v>9.07</v>
      </c>
      <c r="M1488" s="368"/>
      <c r="N1488" s="368"/>
      <c r="O1488" s="271">
        <f>IFERROR(Table17[[#This Row],[PROFIT]]/Table17[[#This Row],[TO]],0)</f>
        <v>0</v>
      </c>
      <c r="P1488" s="177"/>
      <c r="Q1488" s="177"/>
      <c r="R1488" s="177"/>
    </row>
    <row r="1489" spans="1:18" ht="30" hidden="1" x14ac:dyDescent="0.25">
      <c r="A1489" s="29" t="s">
        <v>1941</v>
      </c>
      <c r="B1489" s="29" t="s">
        <v>1940</v>
      </c>
      <c r="C1489" s="29" t="s">
        <v>886</v>
      </c>
      <c r="D1489" s="29" t="str">
        <f>VLOOKUP(C:C,'COUNT-CONT'!B:C,2,FALSE)</f>
        <v>Africa</v>
      </c>
      <c r="E1489" s="29">
        <v>1</v>
      </c>
      <c r="F1489" s="28">
        <v>1200</v>
      </c>
      <c r="G1489" s="28">
        <v>3454366666</v>
      </c>
      <c r="H1489" s="29">
        <v>14.87</v>
      </c>
      <c r="I1489" s="142">
        <v>-64.569999999999993</v>
      </c>
      <c r="J1489" s="29">
        <v>3.72</v>
      </c>
      <c r="K1489" s="29">
        <v>2.27</v>
      </c>
      <c r="L1489" s="29">
        <v>10.34</v>
      </c>
      <c r="M1489" s="368"/>
      <c r="N1489" s="368"/>
      <c r="O1489" s="271">
        <f>IFERROR(Table17[[#This Row],[PROFIT]]/Table17[[#This Row],[TO]],0)</f>
        <v>0</v>
      </c>
      <c r="P1489" s="177"/>
      <c r="Q1489" s="177"/>
      <c r="R1489" s="177"/>
    </row>
    <row r="1490" spans="1:18" hidden="1" x14ac:dyDescent="0.25">
      <c r="A1490" s="29" t="s">
        <v>1884</v>
      </c>
      <c r="B1490" s="29" t="s">
        <v>1883</v>
      </c>
      <c r="C1490" s="29" t="s">
        <v>1070</v>
      </c>
      <c r="D1490" s="29" t="str">
        <f>VLOOKUP(C:C,'COUNT-CONT'!B:C,2,FALSE)</f>
        <v>Asia</v>
      </c>
      <c r="E1490" s="29">
        <v>2</v>
      </c>
      <c r="F1490" s="28">
        <v>1354</v>
      </c>
      <c r="G1490" s="28">
        <v>3269707680</v>
      </c>
      <c r="H1490" s="29">
        <v>14.87</v>
      </c>
      <c r="I1490" s="142">
        <v>-64.569999999999993</v>
      </c>
      <c r="J1490" s="29">
        <v>3.45</v>
      </c>
      <c r="K1490" s="29">
        <v>2.2400000000000002</v>
      </c>
      <c r="L1490" s="29">
        <v>10.19</v>
      </c>
      <c r="M1490" s="368"/>
      <c r="N1490" s="368"/>
      <c r="O1490" s="271">
        <f>IFERROR(Table17[[#This Row],[PROFIT]]/Table17[[#This Row],[TO]],0)</f>
        <v>0</v>
      </c>
      <c r="P1490" s="177"/>
      <c r="Q1490" s="177"/>
      <c r="R1490" s="177"/>
    </row>
    <row r="1491" spans="1:18" hidden="1" x14ac:dyDescent="0.25">
      <c r="A1491" s="29" t="s">
        <v>2647</v>
      </c>
      <c r="B1491" s="29" t="s">
        <v>2646</v>
      </c>
      <c r="C1491" s="29" t="s">
        <v>505</v>
      </c>
      <c r="D1491" s="29" t="e">
        <f>VLOOKUP(C:C,'COUNT-CONT'!B:C,2,FALSE)</f>
        <v>#N/A</v>
      </c>
      <c r="E1491" s="29">
        <v>5</v>
      </c>
      <c r="F1491" s="28">
        <v>2231</v>
      </c>
      <c r="G1491" s="28">
        <v>3280652442</v>
      </c>
      <c r="H1491" s="29">
        <v>14.84</v>
      </c>
      <c r="I1491" s="142">
        <v>-64.599999999999994</v>
      </c>
      <c r="J1491" s="29">
        <v>5.77</v>
      </c>
      <c r="K1491" s="29">
        <v>4.78</v>
      </c>
      <c r="L1491" s="29">
        <v>12.58</v>
      </c>
      <c r="M1491" s="368"/>
      <c r="N1491" s="368"/>
      <c r="O1491" s="271">
        <f>IFERROR(Table17[[#This Row],[PROFIT]]/Table17[[#This Row],[TO]],0)</f>
        <v>0</v>
      </c>
      <c r="P1491" s="177"/>
      <c r="Q1491" s="177"/>
      <c r="R1491" s="177"/>
    </row>
    <row r="1492" spans="1:18" x14ac:dyDescent="0.25">
      <c r="A1492" s="29" t="s">
        <v>2256</v>
      </c>
      <c r="B1492" s="29" t="s">
        <v>2255</v>
      </c>
      <c r="C1492" s="29" t="s">
        <v>2254</v>
      </c>
      <c r="D1492" s="29" t="str">
        <f>VLOOKUP(C:C,'COUNT-CONT'!B:C,2,FALSE)</f>
        <v>Oceania</v>
      </c>
      <c r="E1492" s="29">
        <v>4</v>
      </c>
      <c r="F1492" s="28">
        <v>3481</v>
      </c>
      <c r="G1492" s="28">
        <v>3005601149</v>
      </c>
      <c r="H1492" s="29">
        <v>14.84</v>
      </c>
      <c r="I1492" s="142">
        <v>-64.599999999999994</v>
      </c>
      <c r="J1492" s="29">
        <v>4.5</v>
      </c>
      <c r="K1492" s="29">
        <v>3.36</v>
      </c>
      <c r="L1492" s="29">
        <v>11.25</v>
      </c>
      <c r="M1492" s="368"/>
      <c r="N1492" s="368"/>
      <c r="O1492" s="271">
        <f>IFERROR(Table17[[#This Row],[PROFIT]]/Table17[[#This Row],[TO]],0)</f>
        <v>0</v>
      </c>
      <c r="P1492" s="177"/>
      <c r="Q1492" s="177"/>
      <c r="R1492" s="177"/>
    </row>
    <row r="1493" spans="1:18" ht="30" hidden="1" x14ac:dyDescent="0.25">
      <c r="A1493" s="29" t="s">
        <v>2593</v>
      </c>
      <c r="B1493" s="29" t="s">
        <v>2592</v>
      </c>
      <c r="C1493" s="29" t="s">
        <v>1420</v>
      </c>
      <c r="D1493" s="29" t="str">
        <f>VLOOKUP(C:C,'COUNT-CONT'!B:C,2,FALSE)</f>
        <v>Europe</v>
      </c>
      <c r="E1493" s="29">
        <v>4</v>
      </c>
      <c r="F1493" s="28">
        <v>2022</v>
      </c>
      <c r="G1493" s="28">
        <v>3282415825</v>
      </c>
      <c r="H1493" s="29">
        <v>14.84</v>
      </c>
      <c r="I1493" s="142">
        <v>-64.599999999999994</v>
      </c>
      <c r="J1493" s="29">
        <v>5.68</v>
      </c>
      <c r="K1493" s="29">
        <v>4.4400000000000004</v>
      </c>
      <c r="L1493" s="29">
        <v>12.36</v>
      </c>
      <c r="M1493" s="368"/>
      <c r="N1493" s="368"/>
      <c r="O1493" s="271">
        <f>IFERROR(Table17[[#This Row],[PROFIT]]/Table17[[#This Row],[TO]],0)</f>
        <v>0</v>
      </c>
      <c r="P1493" s="177"/>
      <c r="Q1493" s="177"/>
      <c r="R1493" s="177"/>
    </row>
    <row r="1494" spans="1:18" ht="30" hidden="1" x14ac:dyDescent="0.25">
      <c r="A1494" s="29" t="s">
        <v>4094</v>
      </c>
      <c r="B1494" s="29" t="s">
        <v>4093</v>
      </c>
      <c r="C1494" s="29" t="s">
        <v>11732</v>
      </c>
      <c r="D1494" s="29" t="str">
        <f>VLOOKUP(C:C,'COUNT-CONT'!B:C,2,FALSE)</f>
        <v>North America</v>
      </c>
      <c r="E1494" s="29">
        <v>10</v>
      </c>
      <c r="F1494" s="28">
        <v>3763</v>
      </c>
      <c r="G1494" s="28">
        <v>4347319957</v>
      </c>
      <c r="H1494" s="29">
        <v>14.81</v>
      </c>
      <c r="I1494" s="142">
        <v>-64.63</v>
      </c>
      <c r="J1494" s="29">
        <v>12.06</v>
      </c>
      <c r="K1494" s="29">
        <v>12.06</v>
      </c>
      <c r="L1494" s="29">
        <v>19.5</v>
      </c>
      <c r="M1494" s="368"/>
      <c r="N1494" s="368"/>
      <c r="O1494" s="271">
        <f>IFERROR(Table17[[#This Row],[PROFIT]]/Table17[[#This Row],[TO]],0)</f>
        <v>0</v>
      </c>
      <c r="P1494" s="177"/>
      <c r="Q1494" s="177"/>
      <c r="R1494" s="177"/>
    </row>
    <row r="1495" spans="1:18" hidden="1" x14ac:dyDescent="0.25">
      <c r="A1495" s="29" t="s">
        <v>2518</v>
      </c>
      <c r="B1495" s="29" t="s">
        <v>2517</v>
      </c>
      <c r="C1495" s="29" t="s">
        <v>78</v>
      </c>
      <c r="D1495" s="29" t="str">
        <f>VLOOKUP(C:C,'COUNT-CONT'!B:C,2,FALSE)</f>
        <v>Europe</v>
      </c>
      <c r="E1495" s="29">
        <v>7</v>
      </c>
      <c r="F1495" s="28">
        <v>2541</v>
      </c>
      <c r="G1495" s="28">
        <v>3193900432</v>
      </c>
      <c r="H1495" s="29">
        <v>14.81</v>
      </c>
      <c r="I1495" s="142">
        <v>-64.63</v>
      </c>
      <c r="J1495" s="29">
        <v>5.32</v>
      </c>
      <c r="K1495" s="29">
        <v>4.3499999999999996</v>
      </c>
      <c r="L1495" s="29">
        <v>12.15</v>
      </c>
      <c r="M1495" s="368"/>
      <c r="N1495" s="368"/>
      <c r="O1495" s="271">
        <f>IFERROR(Table17[[#This Row],[PROFIT]]/Table17[[#This Row],[TO]],0)</f>
        <v>0</v>
      </c>
      <c r="P1495" s="177"/>
      <c r="Q1495" s="177"/>
      <c r="R1495" s="177"/>
    </row>
    <row r="1496" spans="1:18" ht="30" hidden="1" x14ac:dyDescent="0.25">
      <c r="A1496" s="29" t="s">
        <v>2290</v>
      </c>
      <c r="B1496" s="29" t="s">
        <v>2289</v>
      </c>
      <c r="C1496" s="29" t="s">
        <v>1144</v>
      </c>
      <c r="D1496" s="29" t="str">
        <f>VLOOKUP(C:C,'COUNT-CONT'!B:C,2,FALSE)</f>
        <v>South America</v>
      </c>
      <c r="E1496" s="29">
        <v>4</v>
      </c>
      <c r="F1496" s="28">
        <v>1806</v>
      </c>
      <c r="G1496" s="28">
        <v>3196280841</v>
      </c>
      <c r="H1496" s="29">
        <v>14.81</v>
      </c>
      <c r="I1496" s="142">
        <v>-64.63</v>
      </c>
      <c r="J1496" s="29">
        <v>4.78</v>
      </c>
      <c r="K1496" s="29">
        <v>3.42</v>
      </c>
      <c r="L1496" s="29">
        <v>11.4</v>
      </c>
      <c r="M1496" s="368"/>
      <c r="N1496" s="368"/>
      <c r="O1496" s="271">
        <f>IFERROR(Table17[[#This Row],[PROFIT]]/Table17[[#This Row],[TO]],0)</f>
        <v>0</v>
      </c>
      <c r="P1496" s="177"/>
      <c r="Q1496" s="177"/>
      <c r="R1496" s="177"/>
    </row>
    <row r="1497" spans="1:18" hidden="1" x14ac:dyDescent="0.25">
      <c r="A1497" s="29" t="s">
        <v>2641</v>
      </c>
      <c r="B1497" s="29" t="s">
        <v>2640</v>
      </c>
      <c r="C1497" s="29" t="s">
        <v>14</v>
      </c>
      <c r="D1497" s="29" t="str">
        <f>VLOOKUP(C:C,'COUNT-CONT'!B:C,2,FALSE)</f>
        <v>Asia</v>
      </c>
      <c r="E1497" s="29">
        <v>5</v>
      </c>
      <c r="F1497" s="28">
        <v>2186</v>
      </c>
      <c r="G1497" s="28">
        <v>3283102195</v>
      </c>
      <c r="H1497" s="29">
        <v>14.81</v>
      </c>
      <c r="I1497" s="142">
        <v>-64.63</v>
      </c>
      <c r="J1497" s="29">
        <v>5.77</v>
      </c>
      <c r="K1497" s="29">
        <v>4.75</v>
      </c>
      <c r="L1497" s="29">
        <v>12.55</v>
      </c>
      <c r="M1497" s="368"/>
      <c r="N1497" s="368"/>
      <c r="O1497" s="271">
        <f>IFERROR(Table17[[#This Row],[PROFIT]]/Table17[[#This Row],[TO]],0)</f>
        <v>0</v>
      </c>
      <c r="P1497" s="177"/>
      <c r="Q1497" s="177"/>
      <c r="R1497" s="177"/>
    </row>
    <row r="1498" spans="1:18" ht="30" hidden="1" x14ac:dyDescent="0.25">
      <c r="A1498" s="29" t="s">
        <v>2295</v>
      </c>
      <c r="B1498" s="29" t="s">
        <v>2294</v>
      </c>
      <c r="C1498" s="29" t="s">
        <v>2293</v>
      </c>
      <c r="D1498" s="29" t="str">
        <f>VLOOKUP(C:C,'COUNT-CONT'!B:C,2,FALSE)</f>
        <v>South America</v>
      </c>
      <c r="E1498" s="29">
        <v>4</v>
      </c>
      <c r="F1498" s="28">
        <v>1900</v>
      </c>
      <c r="G1498" s="28">
        <v>3253747368</v>
      </c>
      <c r="H1498" s="29">
        <v>14.81</v>
      </c>
      <c r="I1498" s="142">
        <v>-64.63</v>
      </c>
      <c r="J1498" s="29">
        <v>4.5599999999999996</v>
      </c>
      <c r="K1498" s="29">
        <v>3.42</v>
      </c>
      <c r="L1498" s="29">
        <v>11.4</v>
      </c>
      <c r="M1498" s="368"/>
      <c r="N1498" s="368"/>
      <c r="O1498" s="271">
        <f>IFERROR(Table17[[#This Row],[PROFIT]]/Table17[[#This Row],[TO]],0)</f>
        <v>0</v>
      </c>
      <c r="P1498" s="177"/>
      <c r="Q1498" s="177"/>
      <c r="R1498" s="177"/>
    </row>
    <row r="1499" spans="1:18" ht="30" hidden="1" x14ac:dyDescent="0.25">
      <c r="A1499" s="29" t="s">
        <v>3652</v>
      </c>
      <c r="B1499" s="29" t="s">
        <v>3651</v>
      </c>
      <c r="C1499" s="29" t="s">
        <v>514</v>
      </c>
      <c r="D1499" s="29" t="str">
        <f>VLOOKUP(C:C,'COUNT-CONT'!B:C,2,FALSE)</f>
        <v>North America</v>
      </c>
      <c r="E1499" s="29">
        <v>9</v>
      </c>
      <c r="F1499" s="28">
        <v>3252</v>
      </c>
      <c r="G1499" s="28">
        <v>3892053382</v>
      </c>
      <c r="H1499" s="29">
        <v>14.81</v>
      </c>
      <c r="I1499" s="142">
        <v>-64.63</v>
      </c>
      <c r="J1499" s="29">
        <v>9.76</v>
      </c>
      <c r="K1499" s="29">
        <v>9.4</v>
      </c>
      <c r="L1499" s="29">
        <v>16.84</v>
      </c>
      <c r="M1499" s="368"/>
      <c r="N1499" s="368"/>
      <c r="O1499" s="271">
        <f>IFERROR(Table17[[#This Row],[PROFIT]]/Table17[[#This Row],[TO]],0)</f>
        <v>0</v>
      </c>
      <c r="P1499" s="177"/>
      <c r="Q1499" s="177"/>
      <c r="R1499" s="177"/>
    </row>
    <row r="1500" spans="1:18" hidden="1" x14ac:dyDescent="0.25">
      <c r="A1500" s="29" t="s">
        <v>2637</v>
      </c>
      <c r="B1500" s="29" t="s">
        <v>2636</v>
      </c>
      <c r="C1500" s="29" t="s">
        <v>14</v>
      </c>
      <c r="D1500" s="29" t="str">
        <f>VLOOKUP(C:C,'COUNT-CONT'!B:C,2,FALSE)</f>
        <v>Asia</v>
      </c>
      <c r="E1500" s="29">
        <v>7</v>
      </c>
      <c r="F1500" s="28">
        <v>2613</v>
      </c>
      <c r="G1500" s="28">
        <v>3238572062</v>
      </c>
      <c r="H1500" s="29">
        <v>14.78</v>
      </c>
      <c r="I1500" s="142">
        <v>-64.66</v>
      </c>
      <c r="J1500" s="29">
        <v>5.74</v>
      </c>
      <c r="K1500" s="29">
        <v>4.75</v>
      </c>
      <c r="L1500" s="29">
        <v>12.52</v>
      </c>
      <c r="M1500" s="368"/>
      <c r="N1500" s="368"/>
      <c r="O1500" s="271">
        <f>IFERROR(Table17[[#This Row],[PROFIT]]/Table17[[#This Row],[TO]],0)</f>
        <v>0</v>
      </c>
      <c r="P1500" s="177"/>
      <c r="Q1500" s="177"/>
      <c r="R1500" s="177"/>
    </row>
    <row r="1501" spans="1:18" hidden="1" x14ac:dyDescent="0.25">
      <c r="A1501" s="29" t="s">
        <v>3509</v>
      </c>
      <c r="B1501" s="29" t="s">
        <v>3508</v>
      </c>
      <c r="C1501" s="29" t="s">
        <v>308</v>
      </c>
      <c r="D1501" s="29" t="str">
        <f>VLOOKUP(C:C,'COUNT-CONT'!B:C,2,FALSE)</f>
        <v>Europe</v>
      </c>
      <c r="E1501" s="29">
        <v>5</v>
      </c>
      <c r="F1501" s="28">
        <v>2150</v>
      </c>
      <c r="G1501" s="28">
        <v>3856827906</v>
      </c>
      <c r="H1501" s="29">
        <v>14.78</v>
      </c>
      <c r="I1501" s="142">
        <v>-64.66</v>
      </c>
      <c r="J1501" s="29">
        <v>8.98</v>
      </c>
      <c r="K1501" s="29">
        <v>8.68</v>
      </c>
      <c r="L1501" s="29">
        <v>16.079999999999998</v>
      </c>
      <c r="M1501" s="368"/>
      <c r="N1501" s="368"/>
      <c r="O1501" s="271">
        <f>IFERROR(Table17[[#This Row],[PROFIT]]/Table17[[#This Row],[TO]],0)</f>
        <v>0</v>
      </c>
      <c r="P1501" s="177"/>
      <c r="Q1501" s="177"/>
      <c r="R1501" s="177"/>
    </row>
    <row r="1502" spans="1:18" hidden="1" x14ac:dyDescent="0.25">
      <c r="A1502" s="29" t="s">
        <v>2853</v>
      </c>
      <c r="B1502" s="29" t="s">
        <v>2852</v>
      </c>
      <c r="C1502" s="29" t="s">
        <v>2851</v>
      </c>
      <c r="D1502" s="29" t="str">
        <f>VLOOKUP(C:C,'COUNT-CONT'!B:C,2,FALSE)</f>
        <v>Africa</v>
      </c>
      <c r="E1502" s="29">
        <v>2</v>
      </c>
      <c r="F1502" s="28">
        <v>1414</v>
      </c>
      <c r="G1502" s="28">
        <v>3599234936</v>
      </c>
      <c r="H1502" s="29">
        <v>14.78</v>
      </c>
      <c r="I1502" s="142">
        <v>-64.66</v>
      </c>
      <c r="J1502" s="29">
        <v>6.44</v>
      </c>
      <c r="K1502" s="29">
        <v>5.62</v>
      </c>
      <c r="L1502" s="29">
        <v>13.45</v>
      </c>
      <c r="M1502" s="368"/>
      <c r="N1502" s="368"/>
      <c r="O1502" s="271">
        <f>IFERROR(Table17[[#This Row],[PROFIT]]/Table17[[#This Row],[TO]],0)</f>
        <v>0</v>
      </c>
      <c r="P1502" s="177"/>
      <c r="Q1502" s="177"/>
      <c r="R1502" s="177"/>
    </row>
    <row r="1503" spans="1:18" ht="30" hidden="1" x14ac:dyDescent="0.25">
      <c r="A1503" s="29" t="s">
        <v>4084</v>
      </c>
      <c r="B1503" s="29" t="s">
        <v>4083</v>
      </c>
      <c r="C1503" s="29" t="s">
        <v>11732</v>
      </c>
      <c r="D1503" s="29" t="str">
        <f>VLOOKUP(C:C,'COUNT-CONT'!B:C,2,FALSE)</f>
        <v>North America</v>
      </c>
      <c r="E1503" s="29">
        <v>6</v>
      </c>
      <c r="F1503" s="28">
        <v>2418</v>
      </c>
      <c r="G1503" s="28">
        <v>4375921422</v>
      </c>
      <c r="H1503" s="29">
        <v>14.78</v>
      </c>
      <c r="I1503" s="142">
        <v>-64.66</v>
      </c>
      <c r="J1503" s="29">
        <v>12.06</v>
      </c>
      <c r="K1503" s="29">
        <v>12.06</v>
      </c>
      <c r="L1503" s="29">
        <v>19.47</v>
      </c>
      <c r="M1503" s="368"/>
      <c r="N1503" s="368"/>
      <c r="O1503" s="271">
        <f>IFERROR(Table17[[#This Row],[PROFIT]]/Table17[[#This Row],[TO]],0)</f>
        <v>0</v>
      </c>
      <c r="P1503" s="177"/>
      <c r="Q1503" s="177"/>
      <c r="R1503" s="177"/>
    </row>
    <row r="1504" spans="1:18" hidden="1" x14ac:dyDescent="0.25">
      <c r="A1504" s="29" t="s">
        <v>1598</v>
      </c>
      <c r="B1504" s="29" t="s">
        <v>1597</v>
      </c>
      <c r="C1504" s="29" t="s">
        <v>644</v>
      </c>
      <c r="D1504" s="29" t="str">
        <f>VLOOKUP(C:C,'COUNT-CONT'!B:C,2,FALSE)</f>
        <v>Africa</v>
      </c>
      <c r="E1504" s="29">
        <v>10</v>
      </c>
      <c r="F1504" s="28">
        <v>3405</v>
      </c>
      <c r="G1504" s="28">
        <v>2981454331</v>
      </c>
      <c r="H1504" s="29">
        <v>14.78</v>
      </c>
      <c r="I1504" s="142">
        <v>-64.66</v>
      </c>
      <c r="J1504" s="29">
        <v>2.78</v>
      </c>
      <c r="K1504" s="29">
        <v>1.3</v>
      </c>
      <c r="L1504" s="29">
        <v>9.34</v>
      </c>
      <c r="M1504" s="368"/>
      <c r="N1504" s="368"/>
      <c r="O1504" s="271">
        <f>IFERROR(Table17[[#This Row],[PROFIT]]/Table17[[#This Row],[TO]],0)</f>
        <v>0</v>
      </c>
      <c r="P1504" s="177"/>
      <c r="Q1504" s="177"/>
      <c r="R1504" s="177"/>
    </row>
    <row r="1505" spans="1:18" x14ac:dyDescent="0.25">
      <c r="A1505" s="29" t="s">
        <v>3427</v>
      </c>
      <c r="B1505" s="29" t="s">
        <v>3426</v>
      </c>
      <c r="C1505" s="29" t="s">
        <v>774</v>
      </c>
      <c r="D1505" s="29" t="str">
        <f>VLOOKUP(C:C,'COUNT-CONT'!B:C,2,FALSE)</f>
        <v>Oceania</v>
      </c>
      <c r="E1505" s="29">
        <v>5</v>
      </c>
      <c r="F1505" s="28">
        <v>2111</v>
      </c>
      <c r="G1505" s="28">
        <v>3818280056</v>
      </c>
      <c r="H1505" s="29">
        <v>14.78</v>
      </c>
      <c r="I1505" s="142">
        <v>-64.66</v>
      </c>
      <c r="J1505" s="29">
        <v>8.8000000000000007</v>
      </c>
      <c r="K1505" s="29">
        <v>8.16</v>
      </c>
      <c r="L1505" s="29">
        <v>15.75</v>
      </c>
      <c r="M1505" s="368"/>
      <c r="N1505" s="368"/>
      <c r="O1505" s="271">
        <f>IFERROR(Table17[[#This Row],[PROFIT]]/Table17[[#This Row],[TO]],0)</f>
        <v>0</v>
      </c>
      <c r="P1505" s="177"/>
      <c r="Q1505" s="177"/>
      <c r="R1505" s="177"/>
    </row>
    <row r="1506" spans="1:18" hidden="1" x14ac:dyDescent="0.25">
      <c r="A1506" s="29" t="s">
        <v>1600</v>
      </c>
      <c r="B1506" s="29" t="s">
        <v>1599</v>
      </c>
      <c r="C1506" s="29" t="s">
        <v>1189</v>
      </c>
      <c r="D1506" s="29" t="str">
        <f>VLOOKUP(C:C,'COUNT-CONT'!B:C,2,FALSE)</f>
        <v>Africa</v>
      </c>
      <c r="E1506" s="29">
        <v>10</v>
      </c>
      <c r="F1506" s="28">
        <v>3505</v>
      </c>
      <c r="G1506" s="28">
        <v>2980637375</v>
      </c>
      <c r="H1506" s="29">
        <v>14.75</v>
      </c>
      <c r="I1506" s="142">
        <v>-64.69</v>
      </c>
      <c r="J1506" s="29">
        <v>2.78</v>
      </c>
      <c r="K1506" s="29">
        <v>1.3</v>
      </c>
      <c r="L1506" s="29">
        <v>9.34</v>
      </c>
      <c r="M1506" s="368"/>
      <c r="N1506" s="368"/>
      <c r="O1506" s="271">
        <f>IFERROR(Table17[[#This Row],[PROFIT]]/Table17[[#This Row],[TO]],0)</f>
        <v>0</v>
      </c>
      <c r="P1506" s="177"/>
      <c r="Q1506" s="177"/>
      <c r="R1506" s="177"/>
    </row>
    <row r="1507" spans="1:18" ht="30" hidden="1" x14ac:dyDescent="0.25">
      <c r="A1507" s="29" t="s">
        <v>2688</v>
      </c>
      <c r="B1507" s="29" t="s">
        <v>2687</v>
      </c>
      <c r="C1507" s="29" t="s">
        <v>860</v>
      </c>
      <c r="D1507" s="29" t="str">
        <f>VLOOKUP(C:C,'COUNT-CONT'!B:C,2,FALSE)</f>
        <v>South America</v>
      </c>
      <c r="E1507" s="29">
        <v>4</v>
      </c>
      <c r="F1507" s="28">
        <v>1809</v>
      </c>
      <c r="G1507" s="28">
        <v>3372870757</v>
      </c>
      <c r="H1507" s="29">
        <v>14.75</v>
      </c>
      <c r="I1507" s="142">
        <v>-64.69</v>
      </c>
      <c r="J1507" s="29">
        <v>5.83</v>
      </c>
      <c r="K1507" s="29">
        <v>4.8099999999999996</v>
      </c>
      <c r="L1507" s="29">
        <v>12.73</v>
      </c>
      <c r="M1507" s="368"/>
      <c r="N1507" s="368"/>
      <c r="O1507" s="271">
        <f>IFERROR(Table17[[#This Row],[PROFIT]]/Table17[[#This Row],[TO]],0)</f>
        <v>0</v>
      </c>
      <c r="P1507" s="177"/>
      <c r="Q1507" s="177"/>
      <c r="R1507" s="177"/>
    </row>
    <row r="1508" spans="1:18" x14ac:dyDescent="0.25">
      <c r="A1508" s="29" t="s">
        <v>3407</v>
      </c>
      <c r="B1508" s="29" t="s">
        <v>3406</v>
      </c>
      <c r="C1508" s="29" t="s">
        <v>774</v>
      </c>
      <c r="D1508" s="29" t="str">
        <f>VLOOKUP(C:C,'COUNT-CONT'!B:C,2,FALSE)</f>
        <v>Oceania</v>
      </c>
      <c r="E1508" s="29">
        <v>3</v>
      </c>
      <c r="F1508" s="28">
        <v>1617</v>
      </c>
      <c r="G1508" s="28">
        <v>3923672108</v>
      </c>
      <c r="H1508" s="29">
        <v>14.75</v>
      </c>
      <c r="I1508" s="142">
        <v>-64.69</v>
      </c>
      <c r="J1508" s="29">
        <v>8.77</v>
      </c>
      <c r="K1508" s="29">
        <v>8.16</v>
      </c>
      <c r="L1508" s="29">
        <v>15.69</v>
      </c>
      <c r="M1508" s="368"/>
      <c r="N1508" s="368"/>
      <c r="O1508" s="271">
        <f>IFERROR(Table17[[#This Row],[PROFIT]]/Table17[[#This Row],[TO]],0)</f>
        <v>0</v>
      </c>
      <c r="P1508" s="177"/>
      <c r="Q1508" s="177"/>
      <c r="R1508" s="177"/>
    </row>
    <row r="1509" spans="1:18" hidden="1" x14ac:dyDescent="0.25">
      <c r="A1509" s="29" t="s">
        <v>1518</v>
      </c>
      <c r="B1509" s="29" t="s">
        <v>1517</v>
      </c>
      <c r="C1509" s="29" t="s">
        <v>1516</v>
      </c>
      <c r="D1509" s="29" t="str">
        <f>VLOOKUP(C:C,'COUNT-CONT'!B:C,2,FALSE)</f>
        <v>Africa</v>
      </c>
      <c r="E1509" s="29">
        <v>4</v>
      </c>
      <c r="F1509" s="28">
        <v>1803</v>
      </c>
      <c r="G1509" s="28">
        <v>3089294287</v>
      </c>
      <c r="H1509" s="29">
        <v>14.75</v>
      </c>
      <c r="I1509" s="142">
        <v>-64.69</v>
      </c>
      <c r="J1509" s="29">
        <v>2.57</v>
      </c>
      <c r="K1509" s="29">
        <v>1.27</v>
      </c>
      <c r="L1509" s="29">
        <v>9.2200000000000006</v>
      </c>
      <c r="M1509" s="368"/>
      <c r="N1509" s="368"/>
      <c r="O1509" s="271">
        <f>IFERROR(Table17[[#This Row],[PROFIT]]/Table17[[#This Row],[TO]],0)</f>
        <v>0</v>
      </c>
      <c r="P1509" s="177"/>
      <c r="Q1509" s="177"/>
      <c r="R1509" s="177"/>
    </row>
    <row r="1510" spans="1:18" x14ac:dyDescent="0.25">
      <c r="A1510" s="29" t="s">
        <v>3414</v>
      </c>
      <c r="B1510" s="29" t="s">
        <v>3413</v>
      </c>
      <c r="C1510" s="29" t="s">
        <v>774</v>
      </c>
      <c r="D1510" s="29" t="str">
        <f>VLOOKUP(C:C,'COUNT-CONT'!B:C,2,FALSE)</f>
        <v>Oceania</v>
      </c>
      <c r="E1510" s="29">
        <v>7</v>
      </c>
      <c r="F1510" s="28">
        <v>2585</v>
      </c>
      <c r="G1510" s="28">
        <v>3761731914</v>
      </c>
      <c r="H1510" s="29">
        <v>14.72</v>
      </c>
      <c r="I1510" s="142">
        <v>-64.72</v>
      </c>
      <c r="J1510" s="29">
        <v>8.77</v>
      </c>
      <c r="K1510" s="29">
        <v>8.1300000000000008</v>
      </c>
      <c r="L1510" s="29">
        <v>15.69</v>
      </c>
      <c r="M1510" s="368"/>
      <c r="N1510" s="368"/>
      <c r="O1510" s="271">
        <f>IFERROR(Table17[[#This Row],[PROFIT]]/Table17[[#This Row],[TO]],0)</f>
        <v>0</v>
      </c>
      <c r="P1510" s="177"/>
      <c r="Q1510" s="177"/>
      <c r="R1510" s="177"/>
    </row>
    <row r="1511" spans="1:18" hidden="1" x14ac:dyDescent="0.25">
      <c r="A1511" s="29" t="s">
        <v>1354</v>
      </c>
      <c r="B1511" s="29" t="s">
        <v>1353</v>
      </c>
      <c r="C1511" s="29" t="s">
        <v>1352</v>
      </c>
      <c r="D1511" s="29" t="str">
        <f>VLOOKUP(C:C,'COUNT-CONT'!B:C,2,FALSE)</f>
        <v>Africa</v>
      </c>
      <c r="E1511" s="29">
        <v>2</v>
      </c>
      <c r="F1511" s="28">
        <v>1502</v>
      </c>
      <c r="G1511" s="28">
        <v>3229556857</v>
      </c>
      <c r="H1511" s="29">
        <v>14.72</v>
      </c>
      <c r="I1511" s="142">
        <v>-64.72</v>
      </c>
      <c r="J1511" s="29">
        <v>1.9</v>
      </c>
      <c r="K1511" s="29">
        <v>0.67</v>
      </c>
      <c r="L1511" s="29">
        <v>8.68</v>
      </c>
      <c r="M1511" s="368"/>
      <c r="N1511" s="368"/>
      <c r="O1511" s="271">
        <f>IFERROR(Table17[[#This Row],[PROFIT]]/Table17[[#This Row],[TO]],0)</f>
        <v>0</v>
      </c>
      <c r="P1511" s="177"/>
      <c r="Q1511" s="177"/>
      <c r="R1511" s="177"/>
    </row>
    <row r="1512" spans="1:18" ht="30" hidden="1" x14ac:dyDescent="0.25">
      <c r="A1512" s="29" t="s">
        <v>3613</v>
      </c>
      <c r="B1512" s="29" t="s">
        <v>3612</v>
      </c>
      <c r="C1512" s="29" t="s">
        <v>514</v>
      </c>
      <c r="D1512" s="29" t="str">
        <f>VLOOKUP(C:C,'COUNT-CONT'!B:C,2,FALSE)</f>
        <v>North America</v>
      </c>
      <c r="E1512" s="29">
        <v>5</v>
      </c>
      <c r="F1512" s="28">
        <v>2184</v>
      </c>
      <c r="G1512" s="28">
        <v>3938063003</v>
      </c>
      <c r="H1512" s="29">
        <v>14.72</v>
      </c>
      <c r="I1512" s="142">
        <v>-64.72</v>
      </c>
      <c r="J1512" s="29">
        <v>9.6999999999999993</v>
      </c>
      <c r="K1512" s="29">
        <v>9.34</v>
      </c>
      <c r="L1512" s="29">
        <v>16.72</v>
      </c>
      <c r="M1512" s="368"/>
      <c r="N1512" s="368"/>
      <c r="O1512" s="271">
        <f>IFERROR(Table17[[#This Row],[PROFIT]]/Table17[[#This Row],[TO]],0)</f>
        <v>0</v>
      </c>
      <c r="P1512" s="177"/>
      <c r="Q1512" s="177"/>
      <c r="R1512" s="177"/>
    </row>
    <row r="1513" spans="1:18" hidden="1" x14ac:dyDescent="0.25">
      <c r="A1513" s="29" t="s">
        <v>2618</v>
      </c>
      <c r="B1513" s="29" t="s">
        <v>2617</v>
      </c>
      <c r="C1513" s="29" t="s">
        <v>14</v>
      </c>
      <c r="D1513" s="29" t="str">
        <f>VLOOKUP(C:C,'COUNT-CONT'!B:C,2,FALSE)</f>
        <v>Asia</v>
      </c>
      <c r="E1513" s="29">
        <v>9</v>
      </c>
      <c r="F1513" s="28">
        <v>2813</v>
      </c>
      <c r="G1513" s="28">
        <v>3217441536</v>
      </c>
      <c r="H1513" s="29">
        <v>14.66</v>
      </c>
      <c r="I1513" s="142">
        <v>-64.78</v>
      </c>
      <c r="J1513" s="29">
        <v>5.71</v>
      </c>
      <c r="K1513" s="29">
        <v>4.72</v>
      </c>
      <c r="L1513" s="29">
        <v>12.42</v>
      </c>
      <c r="M1513" s="368"/>
      <c r="N1513" s="368"/>
      <c r="O1513" s="271">
        <f>IFERROR(Table17[[#This Row],[PROFIT]]/Table17[[#This Row],[TO]],0)</f>
        <v>0</v>
      </c>
      <c r="P1513" s="177"/>
      <c r="Q1513" s="177"/>
      <c r="R1513" s="177"/>
    </row>
    <row r="1514" spans="1:18" hidden="1" x14ac:dyDescent="0.25">
      <c r="A1514" s="29" t="s">
        <v>2162</v>
      </c>
      <c r="B1514" s="29" t="s">
        <v>2161</v>
      </c>
      <c r="C1514" s="29" t="s">
        <v>1124</v>
      </c>
      <c r="D1514" s="29" t="str">
        <f>VLOOKUP(C:C,'COUNT-CONT'!B:C,2,FALSE)</f>
        <v>Africa</v>
      </c>
      <c r="E1514" s="29">
        <v>6</v>
      </c>
      <c r="F1514" s="28">
        <v>2417</v>
      </c>
      <c r="G1514" s="28">
        <v>3060709640</v>
      </c>
      <c r="H1514" s="29">
        <v>14.66</v>
      </c>
      <c r="I1514" s="142">
        <v>-64.78</v>
      </c>
      <c r="J1514" s="29">
        <v>4.38</v>
      </c>
      <c r="K1514" s="29">
        <v>3.05</v>
      </c>
      <c r="L1514" s="29">
        <v>10.94</v>
      </c>
      <c r="M1514" s="368"/>
      <c r="N1514" s="368"/>
      <c r="O1514" s="271">
        <f>IFERROR(Table17[[#This Row],[PROFIT]]/Table17[[#This Row],[TO]],0)</f>
        <v>0</v>
      </c>
      <c r="P1514" s="177"/>
      <c r="Q1514" s="177"/>
      <c r="R1514" s="177"/>
    </row>
    <row r="1515" spans="1:18" x14ac:dyDescent="0.25">
      <c r="A1515" s="29" t="s">
        <v>3383</v>
      </c>
      <c r="B1515" s="29" t="s">
        <v>3382</v>
      </c>
      <c r="C1515" s="29" t="s">
        <v>774</v>
      </c>
      <c r="D1515" s="29" t="str">
        <f>VLOOKUP(C:C,'COUNT-CONT'!B:C,2,FALSE)</f>
        <v>Oceania</v>
      </c>
      <c r="E1515" s="29">
        <v>4</v>
      </c>
      <c r="F1515" s="28">
        <v>1823</v>
      </c>
      <c r="G1515" s="28">
        <v>3854000987</v>
      </c>
      <c r="H1515" s="29">
        <v>14.66</v>
      </c>
      <c r="I1515" s="142">
        <v>-64.78</v>
      </c>
      <c r="J1515" s="29">
        <v>8.74</v>
      </c>
      <c r="K1515" s="29">
        <v>8.1</v>
      </c>
      <c r="L1515" s="29">
        <v>15.6</v>
      </c>
      <c r="M1515" s="368"/>
      <c r="N1515" s="368"/>
      <c r="O1515" s="271">
        <f>IFERROR(Table17[[#This Row],[PROFIT]]/Table17[[#This Row],[TO]],0)</f>
        <v>0</v>
      </c>
      <c r="P1515" s="177"/>
      <c r="Q1515" s="177"/>
      <c r="R1515" s="177"/>
    </row>
    <row r="1516" spans="1:18" hidden="1" x14ac:dyDescent="0.25">
      <c r="A1516" s="29" t="s">
        <v>2605</v>
      </c>
      <c r="B1516" s="29" t="s">
        <v>2604</v>
      </c>
      <c r="C1516" s="29" t="s">
        <v>14</v>
      </c>
      <c r="D1516" s="29" t="str">
        <f>VLOOKUP(C:C,'COUNT-CONT'!B:C,2,FALSE)</f>
        <v>Asia</v>
      </c>
      <c r="E1516" s="29">
        <v>5</v>
      </c>
      <c r="F1516" s="28">
        <v>2231</v>
      </c>
      <c r="G1516" s="28">
        <v>3256652442</v>
      </c>
      <c r="H1516" s="29">
        <v>14.63</v>
      </c>
      <c r="I1516" s="142">
        <v>-64.81</v>
      </c>
      <c r="J1516" s="29">
        <v>5.68</v>
      </c>
      <c r="K1516" s="29">
        <v>4.6900000000000004</v>
      </c>
      <c r="L1516" s="29">
        <v>12.39</v>
      </c>
      <c r="M1516" s="368"/>
      <c r="N1516" s="368"/>
      <c r="O1516" s="271">
        <f>IFERROR(Table17[[#This Row],[PROFIT]]/Table17[[#This Row],[TO]],0)</f>
        <v>0</v>
      </c>
      <c r="P1516" s="177"/>
      <c r="Q1516" s="177"/>
      <c r="R1516" s="177"/>
    </row>
    <row r="1517" spans="1:18" hidden="1" x14ac:dyDescent="0.25">
      <c r="A1517" s="29" t="s">
        <v>2607</v>
      </c>
      <c r="B1517" s="29" t="s">
        <v>2606</v>
      </c>
      <c r="C1517" s="29" t="s">
        <v>14</v>
      </c>
      <c r="D1517" s="29" t="str">
        <f>VLOOKUP(C:C,'COUNT-CONT'!B:C,2,FALSE)</f>
        <v>Asia</v>
      </c>
      <c r="E1517" s="29">
        <v>6</v>
      </c>
      <c r="F1517" s="28">
        <v>2512</v>
      </c>
      <c r="G1517" s="28">
        <v>3227898089</v>
      </c>
      <c r="H1517" s="29">
        <v>14.6</v>
      </c>
      <c r="I1517" s="142">
        <v>-64.84</v>
      </c>
      <c r="J1517" s="29">
        <v>5.68</v>
      </c>
      <c r="K1517" s="29">
        <v>4.6900000000000004</v>
      </c>
      <c r="L1517" s="29">
        <v>12.39</v>
      </c>
      <c r="M1517" s="368"/>
      <c r="N1517" s="368"/>
      <c r="O1517" s="271">
        <f>IFERROR(Table17[[#This Row],[PROFIT]]/Table17[[#This Row],[TO]],0)</f>
        <v>0</v>
      </c>
      <c r="P1517" s="177"/>
      <c r="Q1517" s="177"/>
      <c r="R1517" s="177"/>
    </row>
    <row r="1518" spans="1:18" hidden="1" x14ac:dyDescent="0.25">
      <c r="A1518" s="29" t="s">
        <v>2611</v>
      </c>
      <c r="B1518" s="29" t="s">
        <v>2610</v>
      </c>
      <c r="C1518" s="29" t="s">
        <v>505</v>
      </c>
      <c r="D1518" s="29" t="e">
        <f>VLOOKUP(C:C,'COUNT-CONT'!B:C,2,FALSE)</f>
        <v>#N/A</v>
      </c>
      <c r="E1518" s="29">
        <v>8</v>
      </c>
      <c r="F1518" s="28">
        <v>2783</v>
      </c>
      <c r="G1518" s="28">
        <v>3212256916</v>
      </c>
      <c r="H1518" s="29">
        <v>14.6</v>
      </c>
      <c r="I1518" s="142">
        <v>-64.84</v>
      </c>
      <c r="J1518" s="29">
        <v>5.68</v>
      </c>
      <c r="K1518" s="29">
        <v>4.6900000000000004</v>
      </c>
      <c r="L1518" s="29">
        <v>12.39</v>
      </c>
      <c r="M1518" s="368"/>
      <c r="N1518" s="368"/>
      <c r="O1518" s="271">
        <f>IFERROR(Table17[[#This Row],[PROFIT]]/Table17[[#This Row],[TO]],0)</f>
        <v>0</v>
      </c>
      <c r="P1518" s="177"/>
      <c r="Q1518" s="177"/>
      <c r="R1518" s="177"/>
    </row>
    <row r="1519" spans="1:18" hidden="1" x14ac:dyDescent="0.25">
      <c r="A1519" s="29" t="s">
        <v>2476</v>
      </c>
      <c r="B1519" s="29" t="s">
        <v>2475</v>
      </c>
      <c r="C1519" s="29" t="s">
        <v>971</v>
      </c>
      <c r="D1519" s="29" t="str">
        <f>VLOOKUP(C:C,'COUNT-CONT'!B:C,2,FALSE)</f>
        <v>Africa</v>
      </c>
      <c r="E1519" s="29">
        <v>8</v>
      </c>
      <c r="F1519" s="28">
        <v>3012</v>
      </c>
      <c r="G1519" s="28">
        <v>3150805843</v>
      </c>
      <c r="H1519" s="29">
        <v>14.6</v>
      </c>
      <c r="I1519" s="142">
        <v>-64.84</v>
      </c>
      <c r="J1519" s="29">
        <v>5.26</v>
      </c>
      <c r="K1519" s="29">
        <v>4.29</v>
      </c>
      <c r="L1519" s="29">
        <v>11.97</v>
      </c>
      <c r="M1519" s="368"/>
      <c r="N1519" s="368"/>
      <c r="O1519" s="271">
        <f>IFERROR(Table17[[#This Row],[PROFIT]]/Table17[[#This Row],[TO]],0)</f>
        <v>0</v>
      </c>
      <c r="P1519" s="177"/>
      <c r="Q1519" s="177"/>
      <c r="R1519" s="177"/>
    </row>
    <row r="1520" spans="1:18" x14ac:dyDescent="0.25">
      <c r="A1520" s="29" t="s">
        <v>2358</v>
      </c>
      <c r="B1520" s="29" t="s">
        <v>2357</v>
      </c>
      <c r="C1520" s="29" t="s">
        <v>2356</v>
      </c>
      <c r="D1520" s="29" t="str">
        <f>VLOOKUP(C:C,'COUNT-CONT'!B:C,2,FALSE)</f>
        <v>Oceania</v>
      </c>
      <c r="E1520" s="29">
        <v>4</v>
      </c>
      <c r="F1520" s="28">
        <v>1875</v>
      </c>
      <c r="G1520" s="28">
        <v>3207866666</v>
      </c>
      <c r="H1520" s="29">
        <v>14.6</v>
      </c>
      <c r="I1520" s="142">
        <v>-64.84</v>
      </c>
      <c r="J1520" s="29">
        <v>4.87</v>
      </c>
      <c r="K1520" s="29">
        <v>3.93</v>
      </c>
      <c r="L1520" s="29">
        <v>11.58</v>
      </c>
      <c r="M1520" s="368"/>
      <c r="N1520" s="368"/>
      <c r="O1520" s="271">
        <f>IFERROR(Table17[[#This Row],[PROFIT]]/Table17[[#This Row],[TO]],0)</f>
        <v>0</v>
      </c>
      <c r="P1520" s="177"/>
      <c r="Q1520" s="177"/>
      <c r="R1520" s="177"/>
    </row>
    <row r="1521" spans="1:18" ht="30" hidden="1" x14ac:dyDescent="0.25">
      <c r="A1521" s="29" t="s">
        <v>2812</v>
      </c>
      <c r="B1521" s="29" t="s">
        <v>2811</v>
      </c>
      <c r="C1521" s="29" t="s">
        <v>812</v>
      </c>
      <c r="D1521" s="29" t="str">
        <f>VLOOKUP(C:C,'COUNT-CONT'!B:C,2,FALSE)</f>
        <v>North America</v>
      </c>
      <c r="E1521" s="29">
        <v>3</v>
      </c>
      <c r="F1521" s="28">
        <v>1610</v>
      </c>
      <c r="G1521" s="28">
        <v>3501629813</v>
      </c>
      <c r="H1521" s="29">
        <v>14.6</v>
      </c>
      <c r="I1521" s="142">
        <v>-64.84</v>
      </c>
      <c r="J1521" s="29">
        <v>6.62</v>
      </c>
      <c r="K1521" s="29">
        <v>5.56</v>
      </c>
      <c r="L1521" s="29">
        <v>13.27</v>
      </c>
      <c r="M1521" s="368"/>
      <c r="N1521" s="368"/>
      <c r="O1521" s="271">
        <f>IFERROR(Table17[[#This Row],[PROFIT]]/Table17[[#This Row],[TO]],0)</f>
        <v>0</v>
      </c>
      <c r="P1521" s="177"/>
      <c r="Q1521" s="177"/>
      <c r="R1521" s="177"/>
    </row>
    <row r="1522" spans="1:18" hidden="1" x14ac:dyDescent="0.25">
      <c r="A1522" s="29" t="s">
        <v>1443</v>
      </c>
      <c r="B1522" s="29" t="s">
        <v>1442</v>
      </c>
      <c r="C1522" s="29" t="s">
        <v>1441</v>
      </c>
      <c r="D1522" s="29" t="str">
        <f>VLOOKUP(C:C,'COUNT-CONT'!B:C,2,FALSE)</f>
        <v>Africa</v>
      </c>
      <c r="E1522" s="29">
        <v>6</v>
      </c>
      <c r="F1522" s="28">
        <v>2441</v>
      </c>
      <c r="G1522" s="28">
        <v>3013634985</v>
      </c>
      <c r="H1522" s="29">
        <v>14.6</v>
      </c>
      <c r="I1522" s="142">
        <v>-64.84</v>
      </c>
      <c r="J1522" s="29">
        <v>2.2999999999999998</v>
      </c>
      <c r="K1522" s="29">
        <v>1.06</v>
      </c>
      <c r="L1522" s="29">
        <v>8.92</v>
      </c>
      <c r="M1522" s="368"/>
      <c r="N1522" s="368"/>
      <c r="O1522" s="271">
        <f>IFERROR(Table17[[#This Row],[PROFIT]]/Table17[[#This Row],[TO]],0)</f>
        <v>0</v>
      </c>
      <c r="P1522" s="177"/>
      <c r="Q1522" s="177"/>
      <c r="R1522" s="177"/>
    </row>
    <row r="1523" spans="1:18" ht="30" hidden="1" x14ac:dyDescent="0.25">
      <c r="A1523" s="29" t="s">
        <v>3592</v>
      </c>
      <c r="B1523" s="29" t="s">
        <v>3591</v>
      </c>
      <c r="C1523" s="29" t="s">
        <v>514</v>
      </c>
      <c r="D1523" s="29" t="str">
        <f>VLOOKUP(C:C,'COUNT-CONT'!B:C,2,FALSE)</f>
        <v>North America</v>
      </c>
      <c r="E1523" s="29">
        <v>6</v>
      </c>
      <c r="F1523" s="28">
        <v>2486</v>
      </c>
      <c r="G1523" s="28">
        <v>3890877876</v>
      </c>
      <c r="H1523" s="29">
        <v>14.6</v>
      </c>
      <c r="I1523" s="142">
        <v>-64.84</v>
      </c>
      <c r="J1523" s="29">
        <v>9.61</v>
      </c>
      <c r="K1523" s="29">
        <v>9.2799999999999994</v>
      </c>
      <c r="L1523" s="29">
        <v>16.600000000000001</v>
      </c>
      <c r="M1523" s="368"/>
      <c r="N1523" s="368"/>
      <c r="O1523" s="271">
        <f>IFERROR(Table17[[#This Row],[PROFIT]]/Table17[[#This Row],[TO]],0)</f>
        <v>0</v>
      </c>
      <c r="P1523" s="177"/>
      <c r="Q1523" s="177"/>
      <c r="R1523" s="177"/>
    </row>
    <row r="1524" spans="1:18" ht="30" hidden="1" x14ac:dyDescent="0.25">
      <c r="A1524" s="29" t="s">
        <v>4039</v>
      </c>
      <c r="B1524" s="29" t="s">
        <v>4038</v>
      </c>
      <c r="C1524" s="29" t="s">
        <v>11732</v>
      </c>
      <c r="D1524" s="29" t="str">
        <f>VLOOKUP(C:C,'COUNT-CONT'!B:C,2,FALSE)</f>
        <v>North America</v>
      </c>
      <c r="E1524" s="29">
        <v>6</v>
      </c>
      <c r="F1524" s="28">
        <v>2504</v>
      </c>
      <c r="G1524" s="28">
        <v>4330697124</v>
      </c>
      <c r="H1524" s="29">
        <v>14.57</v>
      </c>
      <c r="I1524" s="142">
        <v>-64.87</v>
      </c>
      <c r="J1524" s="29">
        <v>11.88</v>
      </c>
      <c r="K1524" s="29">
        <v>11.88</v>
      </c>
      <c r="L1524" s="29">
        <v>19.170000000000002</v>
      </c>
      <c r="M1524" s="368"/>
      <c r="N1524" s="368"/>
      <c r="O1524" s="271">
        <f>IFERROR(Table17[[#This Row],[PROFIT]]/Table17[[#This Row],[TO]],0)</f>
        <v>0</v>
      </c>
      <c r="P1524" s="177"/>
      <c r="Q1524" s="177"/>
      <c r="R1524" s="177"/>
    </row>
    <row r="1525" spans="1:18" ht="30" hidden="1" x14ac:dyDescent="0.25">
      <c r="A1525" s="29" t="s">
        <v>2597</v>
      </c>
      <c r="B1525" s="29" t="s">
        <v>2596</v>
      </c>
      <c r="C1525" s="29" t="s">
        <v>517</v>
      </c>
      <c r="D1525" s="29" t="str">
        <f>VLOOKUP(C:C,'COUNT-CONT'!B:C,2,FALSE)</f>
        <v>South America</v>
      </c>
      <c r="E1525" s="29">
        <v>7</v>
      </c>
      <c r="F1525" s="28">
        <v>2680</v>
      </c>
      <c r="G1525" s="28">
        <v>3214847761</v>
      </c>
      <c r="H1525" s="29">
        <v>14.57</v>
      </c>
      <c r="I1525" s="142">
        <v>-64.87</v>
      </c>
      <c r="J1525" s="29">
        <v>5.68</v>
      </c>
      <c r="K1525" s="29">
        <v>4.6900000000000004</v>
      </c>
      <c r="L1525" s="29">
        <v>12.36</v>
      </c>
      <c r="M1525" s="368"/>
      <c r="N1525" s="368"/>
      <c r="O1525" s="271">
        <f>IFERROR(Table17[[#This Row],[PROFIT]]/Table17[[#This Row],[TO]],0)</f>
        <v>0</v>
      </c>
      <c r="P1525" s="177"/>
      <c r="Q1525" s="177"/>
      <c r="R1525" s="177"/>
    </row>
    <row r="1526" spans="1:18" ht="30" hidden="1" x14ac:dyDescent="0.25">
      <c r="A1526" s="29" t="s">
        <v>3582</v>
      </c>
      <c r="B1526" s="29" t="s">
        <v>3581</v>
      </c>
      <c r="C1526" s="29" t="s">
        <v>514</v>
      </c>
      <c r="D1526" s="29" t="str">
        <f>VLOOKUP(C:C,'COUNT-CONT'!B:C,2,FALSE)</f>
        <v>North America</v>
      </c>
      <c r="E1526" s="29">
        <v>4</v>
      </c>
      <c r="F1526" s="28">
        <v>1857</v>
      </c>
      <c r="G1526" s="28">
        <v>3973853257</v>
      </c>
      <c r="H1526" s="29">
        <v>14.57</v>
      </c>
      <c r="I1526" s="142">
        <v>-64.87</v>
      </c>
      <c r="J1526" s="29">
        <v>9.61</v>
      </c>
      <c r="K1526" s="29">
        <v>9.2799999999999994</v>
      </c>
      <c r="L1526" s="29">
        <v>16.57</v>
      </c>
      <c r="M1526" s="368"/>
      <c r="N1526" s="368"/>
      <c r="O1526" s="271">
        <f>IFERROR(Table17[[#This Row],[PROFIT]]/Table17[[#This Row],[TO]],0)</f>
        <v>0</v>
      </c>
      <c r="P1526" s="177"/>
      <c r="Q1526" s="177"/>
      <c r="R1526" s="177"/>
    </row>
    <row r="1527" spans="1:18" ht="30" x14ac:dyDescent="0.25">
      <c r="A1527" s="29" t="s">
        <v>2347</v>
      </c>
      <c r="B1527" s="29" t="s">
        <v>2346</v>
      </c>
      <c r="C1527" s="29" t="s">
        <v>523</v>
      </c>
      <c r="D1527" s="29" t="str">
        <f>VLOOKUP(C:C,'COUNT-CONT'!B:C,2,FALSE)</f>
        <v>Oceania</v>
      </c>
      <c r="E1527" s="29">
        <v>1</v>
      </c>
      <c r="F1527" s="28">
        <v>1004</v>
      </c>
      <c r="G1527" s="28">
        <v>3653617529</v>
      </c>
      <c r="H1527" s="29">
        <v>14.54</v>
      </c>
      <c r="I1527" s="142">
        <v>-64.900000000000006</v>
      </c>
      <c r="J1527" s="29">
        <v>4.84</v>
      </c>
      <c r="K1527" s="29">
        <v>3.69</v>
      </c>
      <c r="L1527" s="29">
        <v>11.55</v>
      </c>
      <c r="M1527" s="368"/>
      <c r="N1527" s="368"/>
      <c r="O1527" s="271">
        <f>IFERROR(Table17[[#This Row],[PROFIT]]/Table17[[#This Row],[TO]],0)</f>
        <v>0</v>
      </c>
      <c r="P1527" s="177"/>
      <c r="Q1527" s="177"/>
      <c r="R1527" s="177"/>
    </row>
    <row r="1528" spans="1:18" x14ac:dyDescent="0.25">
      <c r="A1528" s="29" t="s">
        <v>3343</v>
      </c>
      <c r="B1528" s="29" t="s">
        <v>3342</v>
      </c>
      <c r="C1528" s="29" t="s">
        <v>774</v>
      </c>
      <c r="D1528" s="29" t="str">
        <f>VLOOKUP(C:C,'COUNT-CONT'!B:C,2,FALSE)</f>
        <v>Oceania</v>
      </c>
      <c r="E1528" s="29">
        <v>4</v>
      </c>
      <c r="F1528" s="28">
        <v>1849</v>
      </c>
      <c r="G1528" s="28">
        <v>3832516170</v>
      </c>
      <c r="H1528" s="29">
        <v>14.54</v>
      </c>
      <c r="I1528" s="142">
        <v>-64.900000000000006</v>
      </c>
      <c r="J1528" s="29">
        <v>8.68</v>
      </c>
      <c r="K1528" s="29">
        <v>8.0399999999999991</v>
      </c>
      <c r="L1528" s="29">
        <v>15.48</v>
      </c>
      <c r="M1528" s="368"/>
      <c r="N1528" s="368"/>
      <c r="O1528" s="271">
        <f>IFERROR(Table17[[#This Row],[PROFIT]]/Table17[[#This Row],[TO]],0)</f>
        <v>0</v>
      </c>
      <c r="P1528" s="177"/>
      <c r="Q1528" s="177"/>
      <c r="R1528" s="177"/>
    </row>
    <row r="1529" spans="1:18" ht="30" hidden="1" x14ac:dyDescent="0.25">
      <c r="A1529" s="29" t="s">
        <v>4036</v>
      </c>
      <c r="B1529" s="29" t="s">
        <v>4035</v>
      </c>
      <c r="C1529" s="29" t="s">
        <v>11732</v>
      </c>
      <c r="D1529" s="29" t="str">
        <f>VLOOKUP(C:C,'COUNT-CONT'!B:C,2,FALSE)</f>
        <v>North America</v>
      </c>
      <c r="E1529" s="29">
        <v>9</v>
      </c>
      <c r="F1529" s="28">
        <v>3286</v>
      </c>
      <c r="G1529" s="28">
        <v>4299153499</v>
      </c>
      <c r="H1529" s="29">
        <v>14.54</v>
      </c>
      <c r="I1529" s="142">
        <v>-64.900000000000006</v>
      </c>
      <c r="J1529" s="29">
        <v>11.85</v>
      </c>
      <c r="K1529" s="29">
        <v>11.85</v>
      </c>
      <c r="L1529" s="29">
        <v>19.14</v>
      </c>
      <c r="M1529" s="368"/>
      <c r="N1529" s="368"/>
      <c r="O1529" s="271">
        <f>IFERROR(Table17[[#This Row],[PROFIT]]/Table17[[#This Row],[TO]],0)</f>
        <v>0</v>
      </c>
      <c r="P1529" s="177"/>
      <c r="Q1529" s="177"/>
      <c r="R1529" s="177"/>
    </row>
    <row r="1530" spans="1:18" ht="30" hidden="1" x14ac:dyDescent="0.25">
      <c r="A1530" s="29" t="s">
        <v>4041</v>
      </c>
      <c r="B1530" s="29" t="s">
        <v>4040</v>
      </c>
      <c r="C1530" s="29" t="s">
        <v>11732</v>
      </c>
      <c r="D1530" s="29" t="str">
        <f>VLOOKUP(C:C,'COUNT-CONT'!B:C,2,FALSE)</f>
        <v>North America</v>
      </c>
      <c r="E1530" s="29">
        <v>7</v>
      </c>
      <c r="F1530" s="28">
        <v>2614</v>
      </c>
      <c r="G1530" s="28">
        <v>4321311017</v>
      </c>
      <c r="H1530" s="29">
        <v>14.54</v>
      </c>
      <c r="I1530" s="142">
        <v>-64.900000000000006</v>
      </c>
      <c r="J1530" s="29">
        <v>11.88</v>
      </c>
      <c r="K1530" s="29">
        <v>11.88</v>
      </c>
      <c r="L1530" s="29">
        <v>19.170000000000002</v>
      </c>
      <c r="M1530" s="368"/>
      <c r="N1530" s="368"/>
      <c r="O1530" s="271">
        <f>IFERROR(Table17[[#This Row],[PROFIT]]/Table17[[#This Row],[TO]],0)</f>
        <v>0</v>
      </c>
      <c r="P1530" s="177"/>
      <c r="Q1530" s="177"/>
      <c r="R1530" s="177"/>
    </row>
    <row r="1531" spans="1:18" x14ac:dyDescent="0.25">
      <c r="A1531" s="29" t="s">
        <v>3335</v>
      </c>
      <c r="B1531" s="29" t="s">
        <v>3334</v>
      </c>
      <c r="C1531" s="29" t="s">
        <v>774</v>
      </c>
      <c r="D1531" s="29" t="str">
        <f>VLOOKUP(C:C,'COUNT-CONT'!B:C,2,FALSE)</f>
        <v>Oceania</v>
      </c>
      <c r="E1531" s="29">
        <v>5</v>
      </c>
      <c r="F1531" s="28">
        <v>2147</v>
      </c>
      <c r="G1531" s="28">
        <v>3775342803</v>
      </c>
      <c r="H1531" s="29">
        <v>14.51</v>
      </c>
      <c r="I1531" s="142">
        <v>-64.929999999999993</v>
      </c>
      <c r="J1531" s="29">
        <v>8.65</v>
      </c>
      <c r="K1531" s="29">
        <v>8.01</v>
      </c>
      <c r="L1531" s="29">
        <v>15.45</v>
      </c>
      <c r="M1531" s="368"/>
      <c r="N1531" s="368"/>
      <c r="O1531" s="271">
        <f>IFERROR(Table17[[#This Row],[PROFIT]]/Table17[[#This Row],[TO]],0)</f>
        <v>0</v>
      </c>
      <c r="P1531" s="177"/>
      <c r="Q1531" s="177"/>
      <c r="R1531" s="177"/>
    </row>
    <row r="1532" spans="1:18" ht="30" x14ac:dyDescent="0.25">
      <c r="A1532" s="29" t="s">
        <v>3333</v>
      </c>
      <c r="B1532" s="29" t="s">
        <v>3332</v>
      </c>
      <c r="C1532" s="29" t="s">
        <v>774</v>
      </c>
      <c r="D1532" s="29" t="str">
        <f>VLOOKUP(C:C,'COUNT-CONT'!B:C,2,FALSE)</f>
        <v>Oceania</v>
      </c>
      <c r="E1532" s="29">
        <v>5</v>
      </c>
      <c r="F1532" s="28">
        <v>2100</v>
      </c>
      <c r="G1532" s="28">
        <v>3780909523</v>
      </c>
      <c r="H1532" s="29">
        <v>14.51</v>
      </c>
      <c r="I1532" s="142">
        <v>-64.929999999999993</v>
      </c>
      <c r="J1532" s="29">
        <v>8.65</v>
      </c>
      <c r="K1532" s="29">
        <v>8.01</v>
      </c>
      <c r="L1532" s="29">
        <v>15.45</v>
      </c>
      <c r="M1532" s="368"/>
      <c r="N1532" s="368"/>
      <c r="O1532" s="271">
        <f>IFERROR(Table17[[#This Row],[PROFIT]]/Table17[[#This Row],[TO]],0)</f>
        <v>0</v>
      </c>
      <c r="P1532" s="177"/>
      <c r="Q1532" s="177"/>
      <c r="R1532" s="177"/>
    </row>
    <row r="1533" spans="1:18" hidden="1" x14ac:dyDescent="0.25">
      <c r="A1533" s="29" t="s">
        <v>3438</v>
      </c>
      <c r="B1533" s="29" t="s">
        <v>3437</v>
      </c>
      <c r="C1533" s="29" t="s">
        <v>876</v>
      </c>
      <c r="D1533" s="29" t="str">
        <f>VLOOKUP(C:C,'COUNT-CONT'!B:C,2,FALSE)</f>
        <v>Europe</v>
      </c>
      <c r="E1533" s="29">
        <v>5</v>
      </c>
      <c r="F1533" s="28">
        <v>2027</v>
      </c>
      <c r="G1533" s="28">
        <v>3837473902</v>
      </c>
      <c r="H1533" s="29">
        <v>14.51</v>
      </c>
      <c r="I1533" s="142">
        <v>-64.929999999999993</v>
      </c>
      <c r="J1533" s="29">
        <v>8.83</v>
      </c>
      <c r="K1533" s="29">
        <v>8.52</v>
      </c>
      <c r="L1533" s="29">
        <v>15.78</v>
      </c>
      <c r="M1533" s="368"/>
      <c r="N1533" s="368"/>
      <c r="O1533" s="271">
        <f>IFERROR(Table17[[#This Row],[PROFIT]]/Table17[[#This Row],[TO]],0)</f>
        <v>0</v>
      </c>
      <c r="P1533" s="177"/>
      <c r="Q1533" s="177"/>
      <c r="R1533" s="177"/>
    </row>
    <row r="1534" spans="1:18" hidden="1" x14ac:dyDescent="0.25">
      <c r="A1534" s="29" t="s">
        <v>3105</v>
      </c>
      <c r="B1534" s="29" t="s">
        <v>3104</v>
      </c>
      <c r="C1534" s="29" t="s">
        <v>142</v>
      </c>
      <c r="D1534" s="29" t="str">
        <f>VLOOKUP(C:C,'COUNT-CONT'!B:C,2,FALSE)</f>
        <v>Asia</v>
      </c>
      <c r="E1534" s="29">
        <v>4</v>
      </c>
      <c r="F1534" s="28">
        <v>2018</v>
      </c>
      <c r="G1534" s="28">
        <v>3671694152</v>
      </c>
      <c r="H1534" s="29">
        <v>14.51</v>
      </c>
      <c r="I1534" s="142">
        <v>-64.929999999999993</v>
      </c>
      <c r="J1534" s="29">
        <v>7.83</v>
      </c>
      <c r="K1534" s="29">
        <v>6.95</v>
      </c>
      <c r="L1534" s="29">
        <v>14.51</v>
      </c>
      <c r="M1534" s="368"/>
      <c r="N1534" s="368"/>
      <c r="O1534" s="271">
        <f>IFERROR(Table17[[#This Row],[PROFIT]]/Table17[[#This Row],[TO]],0)</f>
        <v>0</v>
      </c>
      <c r="P1534" s="177"/>
      <c r="Q1534" s="177"/>
      <c r="R1534" s="177"/>
    </row>
    <row r="1535" spans="1:18" ht="30" x14ac:dyDescent="0.25">
      <c r="A1535" s="29" t="s">
        <v>2323</v>
      </c>
      <c r="B1535" s="29" t="s">
        <v>2322</v>
      </c>
      <c r="C1535" s="29" t="s">
        <v>523</v>
      </c>
      <c r="D1535" s="29" t="str">
        <f>VLOOKUP(C:C,'COUNT-CONT'!B:C,2,FALSE)</f>
        <v>Oceania</v>
      </c>
      <c r="E1535" s="29">
        <v>1</v>
      </c>
      <c r="F1535" s="28">
        <v>1104</v>
      </c>
      <c r="G1535" s="28">
        <v>3562776811</v>
      </c>
      <c r="H1535" s="29">
        <v>14.51</v>
      </c>
      <c r="I1535" s="142">
        <v>-64.929999999999993</v>
      </c>
      <c r="J1535" s="29">
        <v>4.84</v>
      </c>
      <c r="K1535" s="29">
        <v>3.69</v>
      </c>
      <c r="L1535" s="29">
        <v>11.52</v>
      </c>
      <c r="M1535" s="368"/>
      <c r="N1535" s="368"/>
      <c r="O1535" s="271">
        <f>IFERROR(Table17[[#This Row],[PROFIT]]/Table17[[#This Row],[TO]],0)</f>
        <v>0</v>
      </c>
      <c r="P1535" s="177"/>
      <c r="Q1535" s="177"/>
      <c r="R1535" s="177"/>
    </row>
    <row r="1536" spans="1:18" ht="30" hidden="1" x14ac:dyDescent="0.25">
      <c r="A1536" s="29" t="s">
        <v>2561</v>
      </c>
      <c r="B1536" s="29" t="s">
        <v>2560</v>
      </c>
      <c r="C1536" s="29" t="s">
        <v>517</v>
      </c>
      <c r="D1536" s="29" t="str">
        <f>VLOOKUP(C:C,'COUNT-CONT'!B:C,2,FALSE)</f>
        <v>South America</v>
      </c>
      <c r="E1536" s="29">
        <v>5</v>
      </c>
      <c r="F1536" s="28">
        <v>2013</v>
      </c>
      <c r="G1536" s="28">
        <v>3270748087</v>
      </c>
      <c r="H1536" s="29">
        <v>14.48</v>
      </c>
      <c r="I1536" s="142">
        <v>-64.959999999999994</v>
      </c>
      <c r="J1536" s="29">
        <v>5.62</v>
      </c>
      <c r="K1536" s="29">
        <v>4.66</v>
      </c>
      <c r="L1536" s="29">
        <v>12.27</v>
      </c>
      <c r="M1536" s="368"/>
      <c r="N1536" s="368"/>
      <c r="O1536" s="271">
        <f>IFERROR(Table17[[#This Row],[PROFIT]]/Table17[[#This Row],[TO]],0)</f>
        <v>0</v>
      </c>
      <c r="P1536" s="177"/>
      <c r="Q1536" s="177"/>
      <c r="R1536" s="177"/>
    </row>
    <row r="1537" spans="1:18" ht="30" hidden="1" x14ac:dyDescent="0.25">
      <c r="A1537" s="29" t="s">
        <v>2565</v>
      </c>
      <c r="B1537" s="29" t="s">
        <v>2564</v>
      </c>
      <c r="C1537" s="29" t="s">
        <v>505</v>
      </c>
      <c r="D1537" s="29" t="e">
        <f>VLOOKUP(C:C,'COUNT-CONT'!B:C,2,FALSE)</f>
        <v>#N/A</v>
      </c>
      <c r="E1537" s="29">
        <v>7</v>
      </c>
      <c r="F1537" s="28">
        <v>2627</v>
      </c>
      <c r="G1537" s="28">
        <v>3204228587</v>
      </c>
      <c r="H1537" s="29">
        <v>14.48</v>
      </c>
      <c r="I1537" s="142">
        <v>-64.959999999999994</v>
      </c>
      <c r="J1537" s="29">
        <v>5.62</v>
      </c>
      <c r="K1537" s="29">
        <v>4.66</v>
      </c>
      <c r="L1537" s="29">
        <v>12.27</v>
      </c>
      <c r="M1537" s="368"/>
      <c r="N1537" s="368"/>
      <c r="O1537" s="271">
        <f>IFERROR(Table17[[#This Row],[PROFIT]]/Table17[[#This Row],[TO]],0)</f>
        <v>0</v>
      </c>
      <c r="P1537" s="177"/>
      <c r="Q1537" s="177"/>
      <c r="R1537" s="177"/>
    </row>
    <row r="1538" spans="1:18" ht="30" hidden="1" x14ac:dyDescent="0.25">
      <c r="A1538" s="29" t="s">
        <v>4028</v>
      </c>
      <c r="B1538" s="29" t="s">
        <v>4027</v>
      </c>
      <c r="C1538" s="29" t="s">
        <v>11732</v>
      </c>
      <c r="D1538" s="29" t="str">
        <f>VLOOKUP(C:C,'COUNT-CONT'!B:C,2,FALSE)</f>
        <v>North America</v>
      </c>
      <c r="E1538" s="29">
        <v>4</v>
      </c>
      <c r="F1538" s="28">
        <v>2002</v>
      </c>
      <c r="G1538" s="28">
        <v>4379250549</v>
      </c>
      <c r="H1538" s="29">
        <v>14.48</v>
      </c>
      <c r="I1538" s="142">
        <v>-64.959999999999994</v>
      </c>
      <c r="J1538" s="29">
        <v>11.82</v>
      </c>
      <c r="K1538" s="29">
        <v>11.82</v>
      </c>
      <c r="L1538" s="29">
        <v>19.07</v>
      </c>
      <c r="M1538" s="368"/>
      <c r="N1538" s="368"/>
      <c r="O1538" s="271">
        <f>IFERROR(Table17[[#This Row],[PROFIT]]/Table17[[#This Row],[TO]],0)</f>
        <v>0</v>
      </c>
      <c r="P1538" s="177"/>
      <c r="Q1538" s="177"/>
      <c r="R1538" s="177"/>
    </row>
    <row r="1539" spans="1:18" ht="30" hidden="1" x14ac:dyDescent="0.25">
      <c r="A1539" s="29" t="s">
        <v>4019</v>
      </c>
      <c r="B1539" s="29" t="s">
        <v>4018</v>
      </c>
      <c r="C1539" s="29" t="s">
        <v>11732</v>
      </c>
      <c r="D1539" s="29" t="str">
        <f>VLOOKUP(C:C,'COUNT-CONT'!B:C,2,FALSE)</f>
        <v>North America</v>
      </c>
      <c r="E1539" s="29">
        <v>2</v>
      </c>
      <c r="F1539" s="28">
        <v>1539</v>
      </c>
      <c r="G1539" s="28">
        <v>4488349837</v>
      </c>
      <c r="H1539" s="29">
        <v>14.42</v>
      </c>
      <c r="I1539" s="142">
        <v>-65.02</v>
      </c>
      <c r="J1539" s="29">
        <v>11.76</v>
      </c>
      <c r="K1539" s="29">
        <v>11.76</v>
      </c>
      <c r="L1539" s="29">
        <v>18.98</v>
      </c>
      <c r="M1539" s="368"/>
      <c r="N1539" s="368"/>
      <c r="O1539" s="271">
        <f>IFERROR(Table17[[#This Row],[PROFIT]]/Table17[[#This Row],[TO]],0)</f>
        <v>0</v>
      </c>
      <c r="P1539" s="177"/>
      <c r="Q1539" s="177"/>
      <c r="R1539" s="177"/>
    </row>
    <row r="1540" spans="1:18" hidden="1" x14ac:dyDescent="0.25">
      <c r="A1540" s="29" t="s">
        <v>3083</v>
      </c>
      <c r="B1540" s="29" t="s">
        <v>3082</v>
      </c>
      <c r="C1540" s="29" t="s">
        <v>142</v>
      </c>
      <c r="D1540" s="29" t="str">
        <f>VLOOKUP(C:C,'COUNT-CONT'!B:C,2,FALSE)</f>
        <v>Asia</v>
      </c>
      <c r="E1540" s="29">
        <v>4</v>
      </c>
      <c r="F1540" s="28">
        <v>2017</v>
      </c>
      <c r="G1540" s="28">
        <v>3659164402</v>
      </c>
      <c r="H1540" s="29">
        <v>14.42</v>
      </c>
      <c r="I1540" s="142">
        <v>-65.02</v>
      </c>
      <c r="J1540" s="29">
        <v>7.77</v>
      </c>
      <c r="K1540" s="29">
        <v>6.89</v>
      </c>
      <c r="L1540" s="29">
        <v>14.42</v>
      </c>
      <c r="M1540" s="368"/>
      <c r="N1540" s="368"/>
      <c r="O1540" s="271">
        <f>IFERROR(Table17[[#This Row],[PROFIT]]/Table17[[#This Row],[TO]],0)</f>
        <v>0</v>
      </c>
      <c r="P1540" s="177"/>
      <c r="Q1540" s="177"/>
      <c r="R1540" s="177"/>
    </row>
    <row r="1541" spans="1:18" ht="30" hidden="1" x14ac:dyDescent="0.25">
      <c r="A1541" s="29" t="s">
        <v>1197</v>
      </c>
      <c r="B1541" s="29" t="s">
        <v>1196</v>
      </c>
      <c r="C1541" s="29" t="s">
        <v>725</v>
      </c>
      <c r="D1541" s="29" t="e">
        <f>VLOOKUP(C:C,'COUNT-CONT'!B:C,2,FALSE)</f>
        <v>#N/A</v>
      </c>
      <c r="E1541" s="29">
        <v>7</v>
      </c>
      <c r="F1541" s="28">
        <v>2702</v>
      </c>
      <c r="G1541" s="28">
        <v>3053505847</v>
      </c>
      <c r="H1541" s="29">
        <v>14.42</v>
      </c>
      <c r="I1541" s="142">
        <v>-65.02</v>
      </c>
      <c r="J1541" s="29">
        <v>1.63</v>
      </c>
      <c r="K1541" s="29">
        <v>0.3</v>
      </c>
      <c r="L1541" s="29">
        <v>8.19</v>
      </c>
      <c r="M1541" s="368"/>
      <c r="N1541" s="368"/>
      <c r="O1541" s="271">
        <f>IFERROR(Table17[[#This Row],[PROFIT]]/Table17[[#This Row],[TO]],0)</f>
        <v>0</v>
      </c>
      <c r="P1541" s="177"/>
      <c r="Q1541" s="177"/>
      <c r="R1541" s="177"/>
    </row>
    <row r="1542" spans="1:18" x14ac:dyDescent="0.25">
      <c r="A1542" s="29" t="s">
        <v>3303</v>
      </c>
      <c r="B1542" s="29" t="s">
        <v>3302</v>
      </c>
      <c r="C1542" s="29" t="s">
        <v>774</v>
      </c>
      <c r="D1542" s="29" t="str">
        <f>VLOOKUP(C:C,'COUNT-CONT'!B:C,2,FALSE)</f>
        <v>Oceania</v>
      </c>
      <c r="E1542" s="29">
        <v>2</v>
      </c>
      <c r="F1542" s="28">
        <v>1512</v>
      </c>
      <c r="G1542" s="28">
        <v>3912913227</v>
      </c>
      <c r="H1542" s="29">
        <v>14.42</v>
      </c>
      <c r="I1542" s="142">
        <v>-65.02</v>
      </c>
      <c r="J1542" s="29">
        <v>8.59</v>
      </c>
      <c r="K1542" s="29">
        <v>7.95</v>
      </c>
      <c r="L1542" s="29">
        <v>15.33</v>
      </c>
      <c r="M1542" s="368"/>
      <c r="N1542" s="368"/>
      <c r="O1542" s="271">
        <f>IFERROR(Table17[[#This Row],[PROFIT]]/Table17[[#This Row],[TO]],0)</f>
        <v>0</v>
      </c>
      <c r="P1542" s="177"/>
      <c r="Q1542" s="177"/>
      <c r="R1542" s="177"/>
    </row>
    <row r="1543" spans="1:18" hidden="1" x14ac:dyDescent="0.25">
      <c r="A1543" s="29" t="s">
        <v>2034</v>
      </c>
      <c r="B1543" s="29" t="s">
        <v>2033</v>
      </c>
      <c r="C1543" s="29" t="s">
        <v>926</v>
      </c>
      <c r="D1543" s="29" t="str">
        <f>VLOOKUP(C:C,'COUNT-CONT'!B:C,2,FALSE)</f>
        <v>Africa</v>
      </c>
      <c r="E1543" s="29">
        <v>2</v>
      </c>
      <c r="F1543" s="28">
        <v>1303</v>
      </c>
      <c r="G1543" s="28">
        <v>3307405679</v>
      </c>
      <c r="H1543" s="29">
        <v>14.42</v>
      </c>
      <c r="I1543" s="142">
        <v>-65.02</v>
      </c>
      <c r="J1543" s="29">
        <v>4.0199999999999996</v>
      </c>
      <c r="K1543" s="29">
        <v>2.75</v>
      </c>
      <c r="L1543" s="29">
        <v>10.61</v>
      </c>
      <c r="M1543" s="368"/>
      <c r="N1543" s="368"/>
      <c r="O1543" s="271">
        <f>IFERROR(Table17[[#This Row],[PROFIT]]/Table17[[#This Row],[TO]],0)</f>
        <v>0</v>
      </c>
      <c r="P1543" s="177"/>
      <c r="Q1543" s="177"/>
      <c r="R1543" s="177"/>
    </row>
    <row r="1544" spans="1:18" hidden="1" x14ac:dyDescent="0.25">
      <c r="A1544" s="29" t="s">
        <v>2434</v>
      </c>
      <c r="B1544" s="29" t="s">
        <v>2433</v>
      </c>
      <c r="C1544" s="29" t="s">
        <v>971</v>
      </c>
      <c r="D1544" s="29" t="str">
        <f>VLOOKUP(C:C,'COUNT-CONT'!B:C,2,FALSE)</f>
        <v>Africa</v>
      </c>
      <c r="E1544" s="29">
        <v>8</v>
      </c>
      <c r="F1544" s="28">
        <v>2881</v>
      </c>
      <c r="G1544" s="28">
        <v>3132011870</v>
      </c>
      <c r="H1544" s="29">
        <v>14.42</v>
      </c>
      <c r="I1544" s="142">
        <v>-65.02</v>
      </c>
      <c r="J1544" s="29">
        <v>5.2</v>
      </c>
      <c r="K1544" s="29">
        <v>4.2300000000000004</v>
      </c>
      <c r="L1544" s="29">
        <v>11.82</v>
      </c>
      <c r="M1544" s="368"/>
      <c r="N1544" s="368"/>
      <c r="O1544" s="271">
        <f>IFERROR(Table17[[#This Row],[PROFIT]]/Table17[[#This Row],[TO]],0)</f>
        <v>0</v>
      </c>
      <c r="P1544" s="177"/>
      <c r="Q1544" s="177"/>
      <c r="R1544" s="177"/>
    </row>
    <row r="1545" spans="1:18" ht="30" hidden="1" x14ac:dyDescent="0.25">
      <c r="A1545" s="29" t="s">
        <v>4007</v>
      </c>
      <c r="B1545" s="29" t="s">
        <v>4006</v>
      </c>
      <c r="C1545" s="29" t="s">
        <v>11732</v>
      </c>
      <c r="D1545" s="29" t="str">
        <f>VLOOKUP(C:C,'COUNT-CONT'!B:C,2,FALSE)</f>
        <v>North America</v>
      </c>
      <c r="E1545" s="29">
        <v>6</v>
      </c>
      <c r="F1545" s="28">
        <v>2472</v>
      </c>
      <c r="G1545" s="28">
        <v>4301583818</v>
      </c>
      <c r="H1545" s="29">
        <v>14.39</v>
      </c>
      <c r="I1545" s="142">
        <v>-65.05</v>
      </c>
      <c r="J1545" s="29">
        <v>11.73</v>
      </c>
      <c r="K1545" s="29">
        <v>11.73</v>
      </c>
      <c r="L1545" s="29">
        <v>18.920000000000002</v>
      </c>
      <c r="M1545" s="368"/>
      <c r="N1545" s="368"/>
      <c r="O1545" s="271">
        <f>IFERROR(Table17[[#This Row],[PROFIT]]/Table17[[#This Row],[TO]],0)</f>
        <v>0</v>
      </c>
      <c r="P1545" s="177"/>
      <c r="Q1545" s="177"/>
      <c r="R1545" s="177"/>
    </row>
    <row r="1546" spans="1:18" ht="30" hidden="1" x14ac:dyDescent="0.25">
      <c r="A1546" s="29" t="s">
        <v>4011</v>
      </c>
      <c r="B1546" s="29" t="s">
        <v>4010</v>
      </c>
      <c r="C1546" s="29" t="s">
        <v>11732</v>
      </c>
      <c r="D1546" s="29" t="str">
        <f>VLOOKUP(C:C,'COUNT-CONT'!B:C,2,FALSE)</f>
        <v>North America</v>
      </c>
      <c r="E1546" s="29">
        <v>9</v>
      </c>
      <c r="F1546" s="28">
        <v>3126</v>
      </c>
      <c r="G1546" s="28">
        <v>4272287396</v>
      </c>
      <c r="H1546" s="29">
        <v>14.39</v>
      </c>
      <c r="I1546" s="142">
        <v>-65.05</v>
      </c>
      <c r="J1546" s="29">
        <v>11.73</v>
      </c>
      <c r="K1546" s="29">
        <v>11.73</v>
      </c>
      <c r="L1546" s="29">
        <v>18.920000000000002</v>
      </c>
      <c r="M1546" s="368"/>
      <c r="N1546" s="368"/>
      <c r="O1546" s="271">
        <f>IFERROR(Table17[[#This Row],[PROFIT]]/Table17[[#This Row],[TO]],0)</f>
        <v>0</v>
      </c>
      <c r="P1546" s="177"/>
      <c r="Q1546" s="177"/>
      <c r="R1546" s="177"/>
    </row>
    <row r="1547" spans="1:18" ht="30" hidden="1" x14ac:dyDescent="0.25">
      <c r="A1547" s="29" t="s">
        <v>4005</v>
      </c>
      <c r="B1547" s="29" t="s">
        <v>4004</v>
      </c>
      <c r="C1547" s="29" t="s">
        <v>11732</v>
      </c>
      <c r="D1547" s="29" t="str">
        <f>VLOOKUP(C:C,'COUNT-CONT'!B:C,2,FALSE)</f>
        <v>North America</v>
      </c>
      <c r="E1547" s="29">
        <v>9</v>
      </c>
      <c r="F1547" s="28">
        <v>3282</v>
      </c>
      <c r="G1547" s="28">
        <v>4264461486</v>
      </c>
      <c r="H1547" s="29">
        <v>14.36</v>
      </c>
      <c r="I1547" s="142">
        <v>-65.08</v>
      </c>
      <c r="J1547" s="29">
        <v>11.7</v>
      </c>
      <c r="K1547" s="29">
        <v>11.7</v>
      </c>
      <c r="L1547" s="29">
        <v>18.89</v>
      </c>
      <c r="M1547" s="368"/>
      <c r="N1547" s="368"/>
      <c r="O1547" s="271">
        <f>IFERROR(Table17[[#This Row],[PROFIT]]/Table17[[#This Row],[TO]],0)</f>
        <v>0</v>
      </c>
      <c r="P1547" s="177"/>
      <c r="Q1547" s="177"/>
      <c r="R1547" s="177"/>
    </row>
    <row r="1548" spans="1:18" hidden="1" x14ac:dyDescent="0.25">
      <c r="A1548" s="29" t="s">
        <v>3135</v>
      </c>
      <c r="B1548" s="29" t="s">
        <v>3134</v>
      </c>
      <c r="C1548" s="29" t="s">
        <v>585</v>
      </c>
      <c r="D1548" s="29" t="str">
        <f>VLOOKUP(C:C,'COUNT-CONT'!B:C,2,FALSE)</f>
        <v>Europe</v>
      </c>
      <c r="E1548" s="29">
        <v>5</v>
      </c>
      <c r="F1548" s="28">
        <v>2069</v>
      </c>
      <c r="G1548" s="28">
        <v>3682457805</v>
      </c>
      <c r="H1548" s="29">
        <v>14.36</v>
      </c>
      <c r="I1548" s="142">
        <v>-65.08</v>
      </c>
      <c r="J1548" s="29">
        <v>7.89</v>
      </c>
      <c r="K1548" s="29">
        <v>7.32</v>
      </c>
      <c r="L1548" s="29">
        <v>14.66</v>
      </c>
      <c r="M1548" s="368"/>
      <c r="N1548" s="368"/>
      <c r="O1548" s="271">
        <f>IFERROR(Table17[[#This Row],[PROFIT]]/Table17[[#This Row],[TO]],0)</f>
        <v>0</v>
      </c>
      <c r="P1548" s="177"/>
      <c r="Q1548" s="177"/>
      <c r="R1548" s="177"/>
    </row>
    <row r="1549" spans="1:18" hidden="1" x14ac:dyDescent="0.25">
      <c r="A1549" s="29" t="s">
        <v>3056</v>
      </c>
      <c r="B1549" s="29" t="s">
        <v>3055</v>
      </c>
      <c r="C1549" s="29" t="s">
        <v>142</v>
      </c>
      <c r="D1549" s="29" t="str">
        <f>VLOOKUP(C:C,'COUNT-CONT'!B:C,2,FALSE)</f>
        <v>Asia</v>
      </c>
      <c r="E1549" s="29">
        <v>2</v>
      </c>
      <c r="F1549" s="28">
        <v>1513</v>
      </c>
      <c r="G1549" s="28">
        <v>3781232385</v>
      </c>
      <c r="H1549" s="29">
        <v>14.36</v>
      </c>
      <c r="I1549" s="142">
        <v>-65.08</v>
      </c>
      <c r="J1549" s="29">
        <v>7.74</v>
      </c>
      <c r="K1549" s="29">
        <v>6.89</v>
      </c>
      <c r="L1549" s="29">
        <v>14.36</v>
      </c>
      <c r="M1549" s="368"/>
      <c r="N1549" s="368"/>
      <c r="O1549" s="271">
        <f>IFERROR(Table17[[#This Row],[PROFIT]]/Table17[[#This Row],[TO]],0)</f>
        <v>0</v>
      </c>
      <c r="P1549" s="177"/>
      <c r="Q1549" s="177"/>
      <c r="R1549" s="177"/>
    </row>
    <row r="1550" spans="1:18" hidden="1" x14ac:dyDescent="0.25">
      <c r="A1550" s="29" t="s">
        <v>1588</v>
      </c>
      <c r="B1550" s="29" t="s">
        <v>1587</v>
      </c>
      <c r="C1550" s="29" t="s">
        <v>197</v>
      </c>
      <c r="D1550" s="29" t="str">
        <f>VLOOKUP(C:C,'COUNT-CONT'!B:C,2,FALSE)</f>
        <v>Asia</v>
      </c>
      <c r="E1550" s="29">
        <v>4</v>
      </c>
      <c r="F1550" s="28">
        <v>1832</v>
      </c>
      <c r="G1550" s="28">
        <v>3070136681</v>
      </c>
      <c r="H1550" s="29">
        <v>14.36</v>
      </c>
      <c r="I1550" s="142">
        <v>-65.08</v>
      </c>
      <c r="J1550" s="29">
        <v>2.96</v>
      </c>
      <c r="K1550" s="29">
        <v>1.48</v>
      </c>
      <c r="L1550" s="29">
        <v>9.34</v>
      </c>
      <c r="M1550" s="368"/>
      <c r="N1550" s="368"/>
      <c r="O1550" s="271">
        <f>IFERROR(Table17[[#This Row],[PROFIT]]/Table17[[#This Row],[TO]],0)</f>
        <v>0</v>
      </c>
      <c r="P1550" s="177"/>
      <c r="Q1550" s="177"/>
      <c r="R1550" s="177"/>
    </row>
    <row r="1551" spans="1:18" hidden="1" x14ac:dyDescent="0.25">
      <c r="A1551" s="29" t="s">
        <v>2514</v>
      </c>
      <c r="B1551" s="29" t="s">
        <v>2513</v>
      </c>
      <c r="C1551" s="29" t="s">
        <v>505</v>
      </c>
      <c r="D1551" s="29" t="e">
        <f>VLOOKUP(C:C,'COUNT-CONT'!B:C,2,FALSE)</f>
        <v>#N/A</v>
      </c>
      <c r="E1551" s="29">
        <v>4</v>
      </c>
      <c r="F1551" s="28">
        <v>2009</v>
      </c>
      <c r="G1551" s="28">
        <v>3255536087</v>
      </c>
      <c r="H1551" s="29">
        <v>14.33</v>
      </c>
      <c r="I1551" s="142">
        <v>-65.11</v>
      </c>
      <c r="J1551" s="29">
        <v>5.56</v>
      </c>
      <c r="K1551" s="29">
        <v>4.59</v>
      </c>
      <c r="L1551" s="29">
        <v>12.15</v>
      </c>
      <c r="M1551" s="368"/>
      <c r="N1551" s="368"/>
      <c r="O1551" s="271">
        <f>IFERROR(Table17[[#This Row],[PROFIT]]/Table17[[#This Row],[TO]],0)</f>
        <v>0</v>
      </c>
      <c r="P1551" s="177"/>
      <c r="Q1551" s="177"/>
      <c r="R1551" s="177"/>
    </row>
    <row r="1552" spans="1:18" hidden="1" x14ac:dyDescent="0.25">
      <c r="A1552" s="29" t="s">
        <v>2653</v>
      </c>
      <c r="B1552" s="29" t="s">
        <v>2652</v>
      </c>
      <c r="C1552" s="29" t="s">
        <v>172</v>
      </c>
      <c r="D1552" s="29" t="str">
        <f>VLOOKUP(C:C,'COUNT-CONT'!B:C,2,FALSE)</f>
        <v>Asia</v>
      </c>
      <c r="E1552" s="29">
        <v>9</v>
      </c>
      <c r="F1552" s="28">
        <v>3065</v>
      </c>
      <c r="G1552" s="28">
        <v>3227890701</v>
      </c>
      <c r="H1552" s="29">
        <v>14.33</v>
      </c>
      <c r="I1552" s="142">
        <v>-65.11</v>
      </c>
      <c r="J1552" s="29">
        <v>5.77</v>
      </c>
      <c r="K1552" s="29">
        <v>5.0199999999999996</v>
      </c>
      <c r="L1552" s="29">
        <v>12.58</v>
      </c>
      <c r="M1552" s="368"/>
      <c r="N1552" s="368"/>
      <c r="O1552" s="271">
        <f>IFERROR(Table17[[#This Row],[PROFIT]]/Table17[[#This Row],[TO]],0)</f>
        <v>0</v>
      </c>
      <c r="P1552" s="177"/>
      <c r="Q1552" s="177"/>
      <c r="R1552" s="177"/>
    </row>
    <row r="1553" spans="1:18" ht="30" hidden="1" x14ac:dyDescent="0.25">
      <c r="A1553" s="29" t="s">
        <v>2500</v>
      </c>
      <c r="B1553" s="29" t="s">
        <v>2499</v>
      </c>
      <c r="C1553" s="29" t="s">
        <v>517</v>
      </c>
      <c r="D1553" s="29" t="str">
        <f>VLOOKUP(C:C,'COUNT-CONT'!B:C,2,FALSE)</f>
        <v>South America</v>
      </c>
      <c r="E1553" s="29">
        <v>3</v>
      </c>
      <c r="F1553" s="28">
        <v>1507</v>
      </c>
      <c r="G1553" s="28">
        <v>3383227007</v>
      </c>
      <c r="H1553" s="29">
        <v>14.3</v>
      </c>
      <c r="I1553" s="142">
        <v>-65.14</v>
      </c>
      <c r="J1553" s="29">
        <v>5.56</v>
      </c>
      <c r="K1553" s="29">
        <v>4.59</v>
      </c>
      <c r="L1553" s="29">
        <v>12.12</v>
      </c>
      <c r="M1553" s="368"/>
      <c r="N1553" s="368"/>
      <c r="O1553" s="271">
        <f>IFERROR(Table17[[#This Row],[PROFIT]]/Table17[[#This Row],[TO]],0)</f>
        <v>0</v>
      </c>
      <c r="P1553" s="177"/>
      <c r="Q1553" s="177"/>
      <c r="R1553" s="177"/>
    </row>
    <row r="1554" spans="1:18" hidden="1" x14ac:dyDescent="0.25">
      <c r="A1554" s="29" t="s">
        <v>2179</v>
      </c>
      <c r="B1554" s="29" t="s">
        <v>2178</v>
      </c>
      <c r="C1554" s="29" t="s">
        <v>1314</v>
      </c>
      <c r="D1554" s="29" t="str">
        <f>VLOOKUP(C:C,'COUNT-CONT'!B:C,2,FALSE)</f>
        <v>Asia</v>
      </c>
      <c r="E1554" s="29">
        <v>4</v>
      </c>
      <c r="F1554" s="28">
        <v>1835</v>
      </c>
      <c r="G1554" s="28">
        <v>3140055040</v>
      </c>
      <c r="H1554" s="29">
        <v>14.3</v>
      </c>
      <c r="I1554" s="142">
        <v>-65.14</v>
      </c>
      <c r="J1554" s="29">
        <v>4.63</v>
      </c>
      <c r="K1554" s="29">
        <v>3.3</v>
      </c>
      <c r="L1554" s="29">
        <v>11</v>
      </c>
      <c r="M1554" s="368"/>
      <c r="N1554" s="368"/>
      <c r="O1554" s="271">
        <f>IFERROR(Table17[[#This Row],[PROFIT]]/Table17[[#This Row],[TO]],0)</f>
        <v>0</v>
      </c>
      <c r="P1554" s="177"/>
      <c r="Q1554" s="177"/>
      <c r="R1554" s="177"/>
    </row>
    <row r="1555" spans="1:18" hidden="1" x14ac:dyDescent="0.25">
      <c r="A1555" s="29" t="s">
        <v>2502</v>
      </c>
      <c r="B1555" s="29" t="s">
        <v>2501</v>
      </c>
      <c r="C1555" s="29" t="s">
        <v>14</v>
      </c>
      <c r="D1555" s="29" t="str">
        <f>VLOOKUP(C:C,'COUNT-CONT'!B:C,2,FALSE)</f>
        <v>Asia</v>
      </c>
      <c r="E1555" s="29">
        <v>4</v>
      </c>
      <c r="F1555" s="28">
        <v>1808</v>
      </c>
      <c r="G1555" s="28">
        <v>3291607079</v>
      </c>
      <c r="H1555" s="29">
        <v>14.3</v>
      </c>
      <c r="I1555" s="142">
        <v>-65.14</v>
      </c>
      <c r="J1555" s="29">
        <v>5.56</v>
      </c>
      <c r="K1555" s="29">
        <v>4.59</v>
      </c>
      <c r="L1555" s="29">
        <v>12.12</v>
      </c>
      <c r="M1555" s="368"/>
      <c r="N1555" s="368"/>
      <c r="O1555" s="271">
        <f>IFERROR(Table17[[#This Row],[PROFIT]]/Table17[[#This Row],[TO]],0)</f>
        <v>0</v>
      </c>
      <c r="P1555" s="177"/>
      <c r="Q1555" s="177"/>
      <c r="R1555" s="177"/>
    </row>
    <row r="1556" spans="1:18" hidden="1" x14ac:dyDescent="0.25">
      <c r="A1556" s="29" t="s">
        <v>1771</v>
      </c>
      <c r="B1556" s="29" t="s">
        <v>1770</v>
      </c>
      <c r="C1556" s="29" t="s">
        <v>1070</v>
      </c>
      <c r="D1556" s="29" t="str">
        <f>VLOOKUP(C:C,'COUNT-CONT'!B:C,2,FALSE)</f>
        <v>Asia</v>
      </c>
      <c r="E1556" s="29">
        <v>1</v>
      </c>
      <c r="F1556" s="28">
        <v>1127</v>
      </c>
      <c r="G1556" s="28">
        <v>3359542590</v>
      </c>
      <c r="H1556" s="29">
        <v>14.3</v>
      </c>
      <c r="I1556" s="142">
        <v>-65.14</v>
      </c>
      <c r="J1556" s="29">
        <v>3.33</v>
      </c>
      <c r="K1556" s="29">
        <v>2.15</v>
      </c>
      <c r="L1556" s="29">
        <v>9.7899999999999991</v>
      </c>
      <c r="M1556" s="368"/>
      <c r="N1556" s="368"/>
      <c r="O1556" s="271">
        <f>IFERROR(Table17[[#This Row],[PROFIT]]/Table17[[#This Row],[TO]],0)</f>
        <v>0</v>
      </c>
      <c r="P1556" s="177"/>
      <c r="Q1556" s="177"/>
      <c r="R1556" s="177"/>
    </row>
    <row r="1557" spans="1:18" hidden="1" x14ac:dyDescent="0.25">
      <c r="A1557" s="29" t="s">
        <v>3990</v>
      </c>
      <c r="B1557" s="29" t="s">
        <v>3989</v>
      </c>
      <c r="C1557" s="29" t="s">
        <v>560</v>
      </c>
      <c r="D1557" s="29" t="str">
        <f>VLOOKUP(C:C,'COUNT-CONT'!B:C,2,FALSE)</f>
        <v>Europe</v>
      </c>
      <c r="E1557" s="29">
        <v>8</v>
      </c>
      <c r="F1557" s="28">
        <v>3073</v>
      </c>
      <c r="G1557" s="28">
        <v>4259156394</v>
      </c>
      <c r="H1557" s="29">
        <v>14.3</v>
      </c>
      <c r="I1557" s="142">
        <v>-65.14</v>
      </c>
      <c r="J1557" s="29">
        <v>11.67</v>
      </c>
      <c r="K1557" s="29">
        <v>11.67</v>
      </c>
      <c r="L1557" s="29">
        <v>18.829999999999998</v>
      </c>
      <c r="M1557" s="368"/>
      <c r="N1557" s="368"/>
      <c r="O1557" s="271">
        <f>IFERROR(Table17[[#This Row],[PROFIT]]/Table17[[#This Row],[TO]],0)</f>
        <v>0</v>
      </c>
      <c r="P1557" s="177"/>
      <c r="Q1557" s="177"/>
      <c r="R1557" s="177"/>
    </row>
    <row r="1558" spans="1:18" hidden="1" x14ac:dyDescent="0.25">
      <c r="A1558" s="29" t="s">
        <v>1325</v>
      </c>
      <c r="B1558" s="29" t="s">
        <v>1324</v>
      </c>
      <c r="C1558" s="29" t="s">
        <v>1323</v>
      </c>
      <c r="D1558" s="29" t="str">
        <f>VLOOKUP(C:C,'COUNT-CONT'!B:C,2,FALSE)</f>
        <v>Africa</v>
      </c>
      <c r="E1558" s="29">
        <v>5</v>
      </c>
      <c r="F1558" s="28">
        <v>2222</v>
      </c>
      <c r="G1558" s="28">
        <v>3011249504</v>
      </c>
      <c r="H1558" s="29">
        <v>14.3</v>
      </c>
      <c r="I1558" s="142">
        <v>-65.14</v>
      </c>
      <c r="J1558" s="29">
        <v>2.2400000000000002</v>
      </c>
      <c r="K1558" s="29">
        <v>0.85</v>
      </c>
      <c r="L1558" s="29">
        <v>8.6199999999999992</v>
      </c>
      <c r="M1558" s="368"/>
      <c r="N1558" s="368"/>
      <c r="O1558" s="271">
        <f>IFERROR(Table17[[#This Row],[PROFIT]]/Table17[[#This Row],[TO]],0)</f>
        <v>0</v>
      </c>
      <c r="P1558" s="177"/>
      <c r="Q1558" s="177"/>
      <c r="R1558" s="177"/>
    </row>
    <row r="1559" spans="1:18" hidden="1" x14ac:dyDescent="0.25">
      <c r="A1559" s="29" t="s">
        <v>2886</v>
      </c>
      <c r="B1559" s="29" t="s">
        <v>2885</v>
      </c>
      <c r="C1559" s="29" t="s">
        <v>733</v>
      </c>
      <c r="D1559" s="29" t="str">
        <f>VLOOKUP(C:C,'COUNT-CONT'!B:C,2,FALSE)</f>
        <v>Europe</v>
      </c>
      <c r="E1559" s="29">
        <v>9</v>
      </c>
      <c r="F1559" s="28">
        <v>3034</v>
      </c>
      <c r="G1559" s="28">
        <v>3396957679</v>
      </c>
      <c r="H1559" s="29">
        <v>14.3</v>
      </c>
      <c r="I1559" s="142">
        <v>-65.14</v>
      </c>
      <c r="J1559" s="29">
        <v>6.74</v>
      </c>
      <c r="K1559" s="29">
        <v>6.2</v>
      </c>
      <c r="L1559" s="29">
        <v>13.51</v>
      </c>
      <c r="M1559" s="368"/>
      <c r="N1559" s="368"/>
      <c r="O1559" s="271">
        <f>IFERROR(Table17[[#This Row],[PROFIT]]/Table17[[#This Row],[TO]],0)</f>
        <v>0</v>
      </c>
      <c r="P1559" s="177"/>
      <c r="Q1559" s="177"/>
      <c r="R1559" s="177"/>
    </row>
    <row r="1560" spans="1:18" hidden="1" x14ac:dyDescent="0.25">
      <c r="A1560" s="29" t="s">
        <v>3117</v>
      </c>
      <c r="B1560" s="29" t="s">
        <v>3116</v>
      </c>
      <c r="C1560" s="29" t="s">
        <v>585</v>
      </c>
      <c r="D1560" s="29" t="str">
        <f>VLOOKUP(C:C,'COUNT-CONT'!B:C,2,FALSE)</f>
        <v>Europe</v>
      </c>
      <c r="E1560" s="29">
        <v>5</v>
      </c>
      <c r="F1560" s="28">
        <v>2122</v>
      </c>
      <c r="G1560" s="28">
        <v>3663278887</v>
      </c>
      <c r="H1560" s="29">
        <v>14.27</v>
      </c>
      <c r="I1560" s="142">
        <v>-65.17</v>
      </c>
      <c r="J1560" s="29">
        <v>7.86</v>
      </c>
      <c r="K1560" s="29">
        <v>7.29</v>
      </c>
      <c r="L1560" s="29">
        <v>14.57</v>
      </c>
      <c r="M1560" s="368"/>
      <c r="N1560" s="368"/>
      <c r="O1560" s="271">
        <f>IFERROR(Table17[[#This Row],[PROFIT]]/Table17[[#This Row],[TO]],0)</f>
        <v>0</v>
      </c>
      <c r="P1560" s="177"/>
      <c r="Q1560" s="177"/>
      <c r="R1560" s="177"/>
    </row>
    <row r="1561" spans="1:18" hidden="1" x14ac:dyDescent="0.25">
      <c r="A1561" s="29" t="s">
        <v>2496</v>
      </c>
      <c r="B1561" s="29" t="s">
        <v>2495</v>
      </c>
      <c r="C1561" s="29" t="s">
        <v>14</v>
      </c>
      <c r="D1561" s="29" t="str">
        <f>VLOOKUP(C:C,'COUNT-CONT'!B:C,2,FALSE)</f>
        <v>Asia</v>
      </c>
      <c r="E1561" s="29">
        <v>10</v>
      </c>
      <c r="F1561" s="28">
        <v>5523</v>
      </c>
      <c r="G1561" s="28">
        <v>3247567119</v>
      </c>
      <c r="H1561" s="29">
        <v>14.24</v>
      </c>
      <c r="I1561" s="142">
        <v>-65.2</v>
      </c>
      <c r="J1561" s="29">
        <v>5.53</v>
      </c>
      <c r="K1561" s="29">
        <v>4.5599999999999996</v>
      </c>
      <c r="L1561" s="29">
        <v>12.06</v>
      </c>
      <c r="M1561" s="368"/>
      <c r="N1561" s="368"/>
      <c r="O1561" s="271">
        <f>IFERROR(Table17[[#This Row],[PROFIT]]/Table17[[#This Row],[TO]],0)</f>
        <v>0</v>
      </c>
      <c r="P1561" s="177"/>
      <c r="Q1561" s="177"/>
      <c r="R1561" s="177"/>
    </row>
    <row r="1562" spans="1:18" hidden="1" x14ac:dyDescent="0.25">
      <c r="A1562" s="29" t="s">
        <v>3962</v>
      </c>
      <c r="B1562" s="29" t="s">
        <v>3961</v>
      </c>
      <c r="C1562" s="29" t="s">
        <v>560</v>
      </c>
      <c r="D1562" s="29" t="str">
        <f>VLOOKUP(C:C,'COUNT-CONT'!B:C,2,FALSE)</f>
        <v>Europe</v>
      </c>
      <c r="E1562" s="29">
        <v>6</v>
      </c>
      <c r="F1562" s="28">
        <v>2540</v>
      </c>
      <c r="G1562" s="28">
        <v>4271070866</v>
      </c>
      <c r="H1562" s="29">
        <v>14.24</v>
      </c>
      <c r="I1562" s="142">
        <v>-65.2</v>
      </c>
      <c r="J1562" s="29">
        <v>11.61</v>
      </c>
      <c r="K1562" s="29">
        <v>11.61</v>
      </c>
      <c r="L1562" s="29">
        <v>18.739999999999998</v>
      </c>
      <c r="M1562" s="368"/>
      <c r="N1562" s="368"/>
      <c r="O1562" s="271">
        <f>IFERROR(Table17[[#This Row],[PROFIT]]/Table17[[#This Row],[TO]],0)</f>
        <v>0</v>
      </c>
      <c r="P1562" s="177"/>
      <c r="Q1562" s="177"/>
      <c r="R1562" s="177"/>
    </row>
    <row r="1563" spans="1:18" hidden="1" x14ac:dyDescent="0.25">
      <c r="A1563" s="29" t="s">
        <v>3345</v>
      </c>
      <c r="B1563" s="29" t="s">
        <v>3344</v>
      </c>
      <c r="C1563" s="29" t="s">
        <v>308</v>
      </c>
      <c r="D1563" s="29" t="str">
        <f>VLOOKUP(C:C,'COUNT-CONT'!B:C,2,FALSE)</f>
        <v>Europe</v>
      </c>
      <c r="E1563" s="29">
        <v>4</v>
      </c>
      <c r="F1563" s="28">
        <v>1821</v>
      </c>
      <c r="G1563" s="28">
        <v>3841863701</v>
      </c>
      <c r="H1563" s="29">
        <v>14.24</v>
      </c>
      <c r="I1563" s="142">
        <v>-65.2</v>
      </c>
      <c r="J1563" s="29">
        <v>8.68</v>
      </c>
      <c r="K1563" s="29">
        <v>8.3699999999999992</v>
      </c>
      <c r="L1563" s="29">
        <v>15.51</v>
      </c>
      <c r="M1563" s="368"/>
      <c r="N1563" s="368"/>
      <c r="O1563" s="271">
        <f>IFERROR(Table17[[#This Row],[PROFIT]]/Table17[[#This Row],[TO]],0)</f>
        <v>0</v>
      </c>
      <c r="P1563" s="177"/>
      <c r="Q1563" s="177"/>
      <c r="R1563" s="177"/>
    </row>
    <row r="1564" spans="1:18" hidden="1" x14ac:dyDescent="0.25">
      <c r="A1564" s="29" t="s">
        <v>30</v>
      </c>
      <c r="B1564" s="29" t="s">
        <v>2171</v>
      </c>
      <c r="C1564" s="29" t="s">
        <v>332</v>
      </c>
      <c r="D1564" s="29" t="str">
        <f>VLOOKUP(C:C,'COUNT-CONT'!B:C,2,FALSE)</f>
        <v>Asia</v>
      </c>
      <c r="E1564" s="29">
        <v>10</v>
      </c>
      <c r="F1564" s="28">
        <v>3515</v>
      </c>
      <c r="G1564" s="28">
        <v>3044644523</v>
      </c>
      <c r="H1564" s="29">
        <v>14.24</v>
      </c>
      <c r="I1564" s="142">
        <v>-65.2</v>
      </c>
      <c r="J1564" s="29">
        <v>4.38</v>
      </c>
      <c r="K1564" s="29">
        <v>3.51</v>
      </c>
      <c r="L1564" s="29">
        <v>10.97</v>
      </c>
      <c r="M1564" s="368"/>
      <c r="N1564" s="368"/>
      <c r="O1564" s="271">
        <f>IFERROR(Table17[[#This Row],[PROFIT]]/Table17[[#This Row],[TO]],0)</f>
        <v>0</v>
      </c>
      <c r="P1564" s="177"/>
      <c r="Q1564" s="177"/>
      <c r="R1564" s="177"/>
    </row>
    <row r="1565" spans="1:18" hidden="1" x14ac:dyDescent="0.25">
      <c r="A1565" s="29" t="s">
        <v>2675</v>
      </c>
      <c r="B1565" s="29" t="s">
        <v>2674</v>
      </c>
      <c r="C1565" s="29" t="s">
        <v>605</v>
      </c>
      <c r="D1565" s="29" t="str">
        <f>VLOOKUP(C:C,'COUNT-CONT'!B:C,2,FALSE)</f>
        <v>Europe</v>
      </c>
      <c r="E1565" s="29">
        <v>1</v>
      </c>
      <c r="F1565" s="28">
        <v>1106</v>
      </c>
      <c r="G1565" s="28">
        <v>3819575045</v>
      </c>
      <c r="H1565" s="29">
        <v>14.21</v>
      </c>
      <c r="I1565" s="142">
        <v>-65.22999999999999</v>
      </c>
      <c r="J1565" s="29">
        <v>6.08</v>
      </c>
      <c r="K1565" s="29">
        <v>5.32</v>
      </c>
      <c r="L1565" s="29">
        <v>12.7</v>
      </c>
      <c r="M1565" s="368"/>
      <c r="N1565" s="368"/>
      <c r="O1565" s="271">
        <f>IFERROR(Table17[[#This Row],[PROFIT]]/Table17[[#This Row],[TO]],0)</f>
        <v>0</v>
      </c>
      <c r="P1565" s="177"/>
      <c r="Q1565" s="177"/>
      <c r="R1565" s="177"/>
    </row>
    <row r="1566" spans="1:18" hidden="1" x14ac:dyDescent="0.25">
      <c r="A1566" s="29" t="s">
        <v>2401</v>
      </c>
      <c r="B1566" s="29" t="s">
        <v>2400</v>
      </c>
      <c r="C1566" s="29" t="s">
        <v>78</v>
      </c>
      <c r="D1566" s="29" t="str">
        <f>VLOOKUP(C:C,'COUNT-CONT'!B:C,2,FALSE)</f>
        <v>Europe</v>
      </c>
      <c r="E1566" s="29">
        <v>10</v>
      </c>
      <c r="F1566" s="28">
        <v>3465</v>
      </c>
      <c r="G1566" s="28">
        <v>3106660317</v>
      </c>
      <c r="H1566" s="29">
        <v>14.21</v>
      </c>
      <c r="I1566" s="142">
        <v>-65.22999999999999</v>
      </c>
      <c r="J1566" s="29">
        <v>5.1100000000000003</v>
      </c>
      <c r="K1566" s="29">
        <v>4.17</v>
      </c>
      <c r="L1566" s="29">
        <v>11.67</v>
      </c>
      <c r="M1566" s="368"/>
      <c r="N1566" s="368"/>
      <c r="O1566" s="271">
        <f>IFERROR(Table17[[#This Row],[PROFIT]]/Table17[[#This Row],[TO]],0)</f>
        <v>0</v>
      </c>
      <c r="P1566" s="177"/>
      <c r="Q1566" s="177"/>
      <c r="R1566" s="177"/>
    </row>
    <row r="1567" spans="1:18" ht="30" hidden="1" x14ac:dyDescent="0.25">
      <c r="A1567" s="29" t="s">
        <v>3960</v>
      </c>
      <c r="B1567" s="29" t="s">
        <v>3959</v>
      </c>
      <c r="C1567" s="29" t="s">
        <v>11732</v>
      </c>
      <c r="D1567" s="29" t="str">
        <f>VLOOKUP(C:C,'COUNT-CONT'!B:C,2,FALSE)</f>
        <v>North America</v>
      </c>
      <c r="E1567" s="29">
        <v>5</v>
      </c>
      <c r="F1567" s="28">
        <v>2203</v>
      </c>
      <c r="G1567" s="28">
        <v>4302719110</v>
      </c>
      <c r="H1567" s="29">
        <v>14.21</v>
      </c>
      <c r="I1567" s="142">
        <v>-65.22999999999999</v>
      </c>
      <c r="J1567" s="29">
        <v>11.61</v>
      </c>
      <c r="K1567" s="29">
        <v>11.61</v>
      </c>
      <c r="L1567" s="29">
        <v>18.71</v>
      </c>
      <c r="M1567" s="368"/>
      <c r="N1567" s="368"/>
      <c r="O1567" s="271">
        <f>IFERROR(Table17[[#This Row],[PROFIT]]/Table17[[#This Row],[TO]],0)</f>
        <v>0</v>
      </c>
      <c r="P1567" s="177"/>
      <c r="Q1567" s="177"/>
      <c r="R1567" s="177"/>
    </row>
    <row r="1568" spans="1:18" hidden="1" x14ac:dyDescent="0.25">
      <c r="A1568" s="29" t="s">
        <v>2677</v>
      </c>
      <c r="B1568" s="29" t="s">
        <v>2676</v>
      </c>
      <c r="C1568" s="29" t="s">
        <v>605</v>
      </c>
      <c r="D1568" s="29" t="str">
        <f>VLOOKUP(C:C,'COUNT-CONT'!B:C,2,FALSE)</f>
        <v>Europe</v>
      </c>
      <c r="E1568" s="29">
        <v>1</v>
      </c>
      <c r="F1568" s="28">
        <v>1171</v>
      </c>
      <c r="G1568" s="28">
        <v>3770868061</v>
      </c>
      <c r="H1568" s="29">
        <v>14.21</v>
      </c>
      <c r="I1568" s="142">
        <v>-65.22999999999999</v>
      </c>
      <c r="J1568" s="29">
        <v>6.08</v>
      </c>
      <c r="K1568" s="29">
        <v>5.32</v>
      </c>
      <c r="L1568" s="29">
        <v>12.7</v>
      </c>
      <c r="M1568" s="368"/>
      <c r="N1568" s="368"/>
      <c r="O1568" s="271">
        <f>IFERROR(Table17[[#This Row],[PROFIT]]/Table17[[#This Row],[TO]],0)</f>
        <v>0</v>
      </c>
      <c r="P1568" s="177"/>
      <c r="Q1568" s="177"/>
      <c r="R1568" s="177"/>
    </row>
    <row r="1569" spans="1:18" ht="30" hidden="1" x14ac:dyDescent="0.25">
      <c r="A1569" s="29" t="s">
        <v>3534</v>
      </c>
      <c r="B1569" s="29" t="s">
        <v>3533</v>
      </c>
      <c r="C1569" s="29" t="s">
        <v>514</v>
      </c>
      <c r="D1569" s="29" t="str">
        <f>VLOOKUP(C:C,'COUNT-CONT'!B:C,2,FALSE)</f>
        <v>North America</v>
      </c>
      <c r="E1569" s="29">
        <v>4</v>
      </c>
      <c r="F1569" s="28">
        <v>1854</v>
      </c>
      <c r="G1569" s="28">
        <v>3922011758</v>
      </c>
      <c r="H1569" s="29">
        <v>14.21</v>
      </c>
      <c r="I1569" s="142">
        <v>-65.22999999999999</v>
      </c>
      <c r="J1569" s="29">
        <v>9.3699999999999992</v>
      </c>
      <c r="K1569" s="29">
        <v>9.0399999999999991</v>
      </c>
      <c r="L1569" s="29">
        <v>16.170000000000002</v>
      </c>
      <c r="M1569" s="368"/>
      <c r="N1569" s="368"/>
      <c r="O1569" s="271">
        <f>IFERROR(Table17[[#This Row],[PROFIT]]/Table17[[#This Row],[TO]],0)</f>
        <v>0</v>
      </c>
      <c r="P1569" s="177"/>
      <c r="Q1569" s="177"/>
      <c r="R1569" s="177"/>
    </row>
    <row r="1570" spans="1:18" hidden="1" x14ac:dyDescent="0.25">
      <c r="A1570" s="29" t="s">
        <v>2733</v>
      </c>
      <c r="B1570" s="29" t="s">
        <v>2732</v>
      </c>
      <c r="C1570" s="29" t="s">
        <v>2729</v>
      </c>
      <c r="D1570" s="29" t="str">
        <f>VLOOKUP(C:C,'COUNT-CONT'!B:C,2,FALSE)</f>
        <v>Europe</v>
      </c>
      <c r="E1570" s="29">
        <v>6</v>
      </c>
      <c r="F1570" s="28">
        <v>2514</v>
      </c>
      <c r="G1570" s="28">
        <v>3311349721</v>
      </c>
      <c r="H1570" s="29">
        <v>14.18</v>
      </c>
      <c r="I1570" s="142">
        <v>-65.259999999999991</v>
      </c>
      <c r="J1570" s="29">
        <v>6.44</v>
      </c>
      <c r="K1570" s="29">
        <v>5.41</v>
      </c>
      <c r="L1570" s="29">
        <v>12.91</v>
      </c>
      <c r="M1570" s="368"/>
      <c r="N1570" s="368"/>
      <c r="O1570" s="271">
        <f>IFERROR(Table17[[#This Row],[PROFIT]]/Table17[[#This Row],[TO]],0)</f>
        <v>0</v>
      </c>
      <c r="P1570" s="177"/>
      <c r="Q1570" s="177"/>
      <c r="R1570" s="177"/>
    </row>
    <row r="1571" spans="1:18" hidden="1" x14ac:dyDescent="0.25">
      <c r="A1571" s="29" t="s">
        <v>2488</v>
      </c>
      <c r="B1571" s="29" t="s">
        <v>2487</v>
      </c>
      <c r="C1571" s="29" t="s">
        <v>14</v>
      </c>
      <c r="D1571" s="29" t="str">
        <f>VLOOKUP(C:C,'COUNT-CONT'!B:C,2,FALSE)</f>
        <v>Asia</v>
      </c>
      <c r="E1571" s="29">
        <v>5</v>
      </c>
      <c r="F1571" s="28">
        <v>2109</v>
      </c>
      <c r="G1571" s="28">
        <v>3223574205</v>
      </c>
      <c r="H1571" s="29">
        <v>14.18</v>
      </c>
      <c r="I1571" s="142">
        <v>-65.259999999999991</v>
      </c>
      <c r="J1571" s="29">
        <v>5.53</v>
      </c>
      <c r="K1571" s="29">
        <v>4.5599999999999996</v>
      </c>
      <c r="L1571" s="29">
        <v>12.03</v>
      </c>
      <c r="M1571" s="368"/>
      <c r="N1571" s="368"/>
      <c r="O1571" s="271">
        <f>IFERROR(Table17[[#This Row],[PROFIT]]/Table17[[#This Row],[TO]],0)</f>
        <v>0</v>
      </c>
      <c r="P1571" s="177"/>
      <c r="Q1571" s="177"/>
      <c r="R1571" s="177"/>
    </row>
    <row r="1572" spans="1:18" ht="30" hidden="1" x14ac:dyDescent="0.25">
      <c r="A1572" s="29" t="s">
        <v>2539</v>
      </c>
      <c r="B1572" s="29" t="s">
        <v>2538</v>
      </c>
      <c r="C1572" s="29" t="s">
        <v>2366</v>
      </c>
      <c r="D1572" s="29" t="str">
        <f>VLOOKUP(C:C,'COUNT-CONT'!B:C,2,FALSE)</f>
        <v>Asia</v>
      </c>
      <c r="E1572" s="29">
        <v>1</v>
      </c>
      <c r="F1572" s="28">
        <v>1225</v>
      </c>
      <c r="G1572" s="28">
        <v>3539159183</v>
      </c>
      <c r="H1572" s="29">
        <v>14.18</v>
      </c>
      <c r="I1572" s="142">
        <v>-65.259999999999991</v>
      </c>
      <c r="J1572" s="29">
        <v>5.62</v>
      </c>
      <c r="K1572" s="29">
        <v>4.63</v>
      </c>
      <c r="L1572" s="29">
        <v>12.24</v>
      </c>
      <c r="M1572" s="368"/>
      <c r="N1572" s="368"/>
      <c r="O1572" s="271">
        <f>IFERROR(Table17[[#This Row],[PROFIT]]/Table17[[#This Row],[TO]],0)</f>
        <v>0</v>
      </c>
      <c r="P1572" s="177"/>
      <c r="Q1572" s="177"/>
      <c r="R1572" s="177"/>
    </row>
    <row r="1573" spans="1:18" hidden="1" x14ac:dyDescent="0.25">
      <c r="A1573" s="29" t="s">
        <v>2731</v>
      </c>
      <c r="B1573" s="29" t="s">
        <v>2730</v>
      </c>
      <c r="C1573" s="29" t="s">
        <v>2729</v>
      </c>
      <c r="D1573" s="29" t="str">
        <f>VLOOKUP(C:C,'COUNT-CONT'!B:C,2,FALSE)</f>
        <v>Europe</v>
      </c>
      <c r="E1573" s="29">
        <v>6</v>
      </c>
      <c r="F1573" s="28">
        <v>2514</v>
      </c>
      <c r="G1573" s="28">
        <v>3311349721</v>
      </c>
      <c r="H1573" s="29">
        <v>14.18</v>
      </c>
      <c r="I1573" s="142">
        <v>-65.259999999999991</v>
      </c>
      <c r="J1573" s="29">
        <v>6.44</v>
      </c>
      <c r="K1573" s="29">
        <v>5.41</v>
      </c>
      <c r="L1573" s="29">
        <v>12.91</v>
      </c>
      <c r="M1573" s="368"/>
      <c r="N1573" s="368"/>
      <c r="O1573" s="271">
        <f>IFERROR(Table17[[#This Row],[PROFIT]]/Table17[[#This Row],[TO]],0)</f>
        <v>0</v>
      </c>
      <c r="P1573" s="177"/>
      <c r="Q1573" s="177"/>
      <c r="R1573" s="177"/>
    </row>
    <row r="1574" spans="1:18" ht="30" hidden="1" x14ac:dyDescent="0.25">
      <c r="A1574" s="29" t="s">
        <v>2486</v>
      </c>
      <c r="B1574" s="29" t="s">
        <v>2485</v>
      </c>
      <c r="C1574" s="29" t="s">
        <v>517</v>
      </c>
      <c r="D1574" s="29" t="str">
        <f>VLOOKUP(C:C,'COUNT-CONT'!B:C,2,FALSE)</f>
        <v>South America</v>
      </c>
      <c r="E1574" s="29">
        <v>4</v>
      </c>
      <c r="F1574" s="28">
        <v>1766</v>
      </c>
      <c r="G1574" s="28">
        <v>3290776557</v>
      </c>
      <c r="H1574" s="29">
        <v>14.18</v>
      </c>
      <c r="I1574" s="142">
        <v>-65.259999999999991</v>
      </c>
      <c r="J1574" s="29">
        <v>5.53</v>
      </c>
      <c r="K1574" s="29">
        <v>4.5599999999999996</v>
      </c>
      <c r="L1574" s="29">
        <v>12.03</v>
      </c>
      <c r="M1574" s="368"/>
      <c r="N1574" s="368"/>
      <c r="O1574" s="271">
        <f>IFERROR(Table17[[#This Row],[PROFIT]]/Table17[[#This Row],[TO]],0)</f>
        <v>0</v>
      </c>
      <c r="P1574" s="177"/>
      <c r="Q1574" s="177"/>
      <c r="R1574" s="177"/>
    </row>
    <row r="1575" spans="1:18" ht="30" hidden="1" x14ac:dyDescent="0.25">
      <c r="A1575" s="29" t="s">
        <v>3528</v>
      </c>
      <c r="B1575" s="29" t="s">
        <v>3527</v>
      </c>
      <c r="C1575" s="29" t="s">
        <v>514</v>
      </c>
      <c r="D1575" s="29" t="str">
        <f>VLOOKUP(C:C,'COUNT-CONT'!B:C,2,FALSE)</f>
        <v>North America</v>
      </c>
      <c r="E1575" s="29">
        <v>4</v>
      </c>
      <c r="F1575" s="28">
        <v>1792</v>
      </c>
      <c r="G1575" s="28">
        <v>3931639285</v>
      </c>
      <c r="H1575" s="29">
        <v>14.18</v>
      </c>
      <c r="I1575" s="142">
        <v>-65.259999999999991</v>
      </c>
      <c r="J1575" s="29">
        <v>9.34</v>
      </c>
      <c r="K1575" s="29">
        <v>9.0399999999999991</v>
      </c>
      <c r="L1575" s="29">
        <v>16.14</v>
      </c>
      <c r="M1575" s="368"/>
      <c r="N1575" s="368"/>
      <c r="O1575" s="271">
        <f>IFERROR(Table17[[#This Row],[PROFIT]]/Table17[[#This Row],[TO]],0)</f>
        <v>0</v>
      </c>
      <c r="P1575" s="177"/>
      <c r="Q1575" s="177"/>
      <c r="R1575" s="177"/>
    </row>
    <row r="1576" spans="1:18" ht="30" hidden="1" x14ac:dyDescent="0.25">
      <c r="A1576" s="29" t="s">
        <v>3945</v>
      </c>
      <c r="B1576" s="29" t="s">
        <v>3944</v>
      </c>
      <c r="C1576" s="29" t="s">
        <v>11732</v>
      </c>
      <c r="D1576" s="29" t="str">
        <f>VLOOKUP(C:C,'COUNT-CONT'!B:C,2,FALSE)</f>
        <v>North America</v>
      </c>
      <c r="E1576" s="29">
        <v>5</v>
      </c>
      <c r="F1576" s="28">
        <v>2186</v>
      </c>
      <c r="G1576" s="28">
        <v>4292302195</v>
      </c>
      <c r="H1576" s="29">
        <v>14.15</v>
      </c>
      <c r="I1576" s="142">
        <v>-65.289999999999992</v>
      </c>
      <c r="J1576" s="29">
        <v>11.55</v>
      </c>
      <c r="K1576" s="29">
        <v>11.55</v>
      </c>
      <c r="L1576" s="29">
        <v>18.62</v>
      </c>
      <c r="M1576" s="368"/>
      <c r="N1576" s="368"/>
      <c r="O1576" s="271">
        <f>IFERROR(Table17[[#This Row],[PROFIT]]/Table17[[#This Row],[TO]],0)</f>
        <v>0</v>
      </c>
      <c r="P1576" s="177"/>
      <c r="Q1576" s="177"/>
      <c r="R1576" s="177"/>
    </row>
    <row r="1577" spans="1:18" ht="30" hidden="1" x14ac:dyDescent="0.25">
      <c r="A1577" s="29" t="s">
        <v>3943</v>
      </c>
      <c r="B1577" s="29" t="s">
        <v>3942</v>
      </c>
      <c r="C1577" s="29" t="s">
        <v>560</v>
      </c>
      <c r="D1577" s="29" t="str">
        <f>VLOOKUP(C:C,'COUNT-CONT'!B:C,2,FALSE)</f>
        <v>Europe</v>
      </c>
      <c r="E1577" s="29">
        <v>5</v>
      </c>
      <c r="F1577" s="28">
        <v>2148</v>
      </c>
      <c r="G1577" s="28">
        <v>4296104283</v>
      </c>
      <c r="H1577" s="29">
        <v>14.15</v>
      </c>
      <c r="I1577" s="142">
        <v>-65.289999999999992</v>
      </c>
      <c r="J1577" s="29">
        <v>11.52</v>
      </c>
      <c r="K1577" s="29">
        <v>11.52</v>
      </c>
      <c r="L1577" s="29">
        <v>18.62</v>
      </c>
      <c r="M1577" s="368"/>
      <c r="N1577" s="368"/>
      <c r="O1577" s="271">
        <f>IFERROR(Table17[[#This Row],[PROFIT]]/Table17[[#This Row],[TO]],0)</f>
        <v>0</v>
      </c>
      <c r="P1577" s="177"/>
      <c r="Q1577" s="177"/>
      <c r="R1577" s="177"/>
    </row>
    <row r="1578" spans="1:18" ht="30" hidden="1" x14ac:dyDescent="0.25">
      <c r="A1578" s="29" t="s">
        <v>3956</v>
      </c>
      <c r="B1578" s="29" t="s">
        <v>3955</v>
      </c>
      <c r="C1578" s="29" t="s">
        <v>11732</v>
      </c>
      <c r="D1578" s="29" t="str">
        <f>VLOOKUP(C:C,'COUNT-CONT'!B:C,2,FALSE)</f>
        <v>North America</v>
      </c>
      <c r="E1578" s="29">
        <v>6</v>
      </c>
      <c r="F1578" s="28">
        <v>2509</v>
      </c>
      <c r="G1578" s="28">
        <v>4262221681</v>
      </c>
      <c r="H1578" s="29">
        <v>14.15</v>
      </c>
      <c r="I1578" s="142">
        <v>-65.289999999999992</v>
      </c>
      <c r="J1578" s="29">
        <v>11.55</v>
      </c>
      <c r="K1578" s="29">
        <v>11.55</v>
      </c>
      <c r="L1578" s="29">
        <v>18.649999999999999</v>
      </c>
      <c r="M1578" s="368"/>
      <c r="N1578" s="368"/>
      <c r="O1578" s="271">
        <f>IFERROR(Table17[[#This Row],[PROFIT]]/Table17[[#This Row],[TO]],0)</f>
        <v>0</v>
      </c>
      <c r="P1578" s="177"/>
      <c r="Q1578" s="177"/>
      <c r="R1578" s="177"/>
    </row>
    <row r="1579" spans="1:18" ht="30" hidden="1" x14ac:dyDescent="0.25">
      <c r="A1579" s="29" t="s">
        <v>2526</v>
      </c>
      <c r="B1579" s="29" t="s">
        <v>2525</v>
      </c>
      <c r="C1579" s="29" t="s">
        <v>860</v>
      </c>
      <c r="D1579" s="29" t="str">
        <f>VLOOKUP(C:C,'COUNT-CONT'!B:C,2,FALSE)</f>
        <v>South America</v>
      </c>
      <c r="E1579" s="29">
        <v>4</v>
      </c>
      <c r="F1579" s="28">
        <v>2009</v>
      </c>
      <c r="G1579" s="28">
        <v>3261936087</v>
      </c>
      <c r="H1579" s="29">
        <v>14.15</v>
      </c>
      <c r="I1579" s="142">
        <v>-65.289999999999992</v>
      </c>
      <c r="J1579" s="29">
        <v>5.59</v>
      </c>
      <c r="K1579" s="29">
        <v>4.63</v>
      </c>
      <c r="L1579" s="29">
        <v>12.18</v>
      </c>
      <c r="M1579" s="368"/>
      <c r="N1579" s="368"/>
      <c r="O1579" s="271">
        <f>IFERROR(Table17[[#This Row],[PROFIT]]/Table17[[#This Row],[TO]],0)</f>
        <v>0</v>
      </c>
      <c r="P1579" s="177"/>
      <c r="Q1579" s="177"/>
      <c r="R1579" s="177"/>
    </row>
    <row r="1580" spans="1:18" hidden="1" x14ac:dyDescent="0.25">
      <c r="A1580" s="29" t="s">
        <v>1620</v>
      </c>
      <c r="B1580" s="29" t="s">
        <v>1619</v>
      </c>
      <c r="C1580" s="29" t="s">
        <v>974</v>
      </c>
      <c r="D1580" s="29" t="str">
        <f>VLOOKUP(C:C,'COUNT-CONT'!B:C,2,FALSE)</f>
        <v>Asia</v>
      </c>
      <c r="E1580" s="29">
        <v>2</v>
      </c>
      <c r="F1580" s="28">
        <v>1502</v>
      </c>
      <c r="G1580" s="28">
        <v>3180356857</v>
      </c>
      <c r="H1580" s="29">
        <v>14.15</v>
      </c>
      <c r="I1580" s="142">
        <v>-65.289999999999992</v>
      </c>
      <c r="J1580" s="29">
        <v>2.99</v>
      </c>
      <c r="K1580" s="29">
        <v>1.69</v>
      </c>
      <c r="L1580" s="29">
        <v>9.43</v>
      </c>
      <c r="M1580" s="368"/>
      <c r="N1580" s="368"/>
      <c r="O1580" s="271">
        <f>IFERROR(Table17[[#This Row],[PROFIT]]/Table17[[#This Row],[TO]],0)</f>
        <v>0</v>
      </c>
      <c r="P1580" s="177"/>
      <c r="Q1580" s="177"/>
      <c r="R1580" s="177"/>
    </row>
    <row r="1581" spans="1:18" ht="30" hidden="1" x14ac:dyDescent="0.25">
      <c r="A1581" s="29" t="s">
        <v>3004</v>
      </c>
      <c r="B1581" s="29" t="s">
        <v>3003</v>
      </c>
      <c r="C1581" s="29" t="s">
        <v>13119</v>
      </c>
      <c r="D1581" s="29" t="str">
        <f>VLOOKUP(C:C,'COUNT-CONT'!B:C,2,FALSE)</f>
        <v>North America</v>
      </c>
      <c r="E1581" s="29">
        <v>5</v>
      </c>
      <c r="F1581" s="28">
        <v>2151</v>
      </c>
      <c r="G1581" s="28">
        <v>3493590051</v>
      </c>
      <c r="H1581" s="29">
        <v>14.12</v>
      </c>
      <c r="I1581" s="142">
        <v>-65.319999999999993</v>
      </c>
      <c r="J1581" s="29">
        <v>7.62</v>
      </c>
      <c r="K1581" s="29">
        <v>6.77</v>
      </c>
      <c r="L1581" s="29">
        <v>14.12</v>
      </c>
      <c r="M1581" s="368"/>
      <c r="N1581" s="368"/>
      <c r="O1581" s="271">
        <f>IFERROR(Table17[[#This Row],[PROFIT]]/Table17[[#This Row],[TO]],0)</f>
        <v>0</v>
      </c>
      <c r="P1581" s="177"/>
      <c r="Q1581" s="177"/>
      <c r="R1581" s="177"/>
    </row>
    <row r="1582" spans="1:18" hidden="1" x14ac:dyDescent="0.25">
      <c r="A1582" s="29" t="s">
        <v>3311</v>
      </c>
      <c r="B1582" s="29" t="s">
        <v>3310</v>
      </c>
      <c r="C1582" s="29" t="s">
        <v>3180</v>
      </c>
      <c r="D1582" s="29" t="str">
        <f>VLOOKUP(C:C,'COUNT-CONT'!B:C,2,FALSE)</f>
        <v>Europe</v>
      </c>
      <c r="E1582" s="29">
        <v>9</v>
      </c>
      <c r="F1582" s="28">
        <v>3236</v>
      </c>
      <c r="G1582" s="28">
        <v>3696925834</v>
      </c>
      <c r="H1582" s="29">
        <v>14.12</v>
      </c>
      <c r="I1582" s="142">
        <v>-65.319999999999993</v>
      </c>
      <c r="J1582" s="29">
        <v>8.59</v>
      </c>
      <c r="K1582" s="29">
        <v>8.2799999999999994</v>
      </c>
      <c r="L1582" s="29">
        <v>15.36</v>
      </c>
      <c r="M1582" s="368"/>
      <c r="N1582" s="368"/>
      <c r="O1582" s="271">
        <f>IFERROR(Table17[[#This Row],[PROFIT]]/Table17[[#This Row],[TO]],0)</f>
        <v>0</v>
      </c>
      <c r="P1582" s="177"/>
      <c r="Q1582" s="177"/>
      <c r="R1582" s="177"/>
    </row>
    <row r="1583" spans="1:18" ht="30" hidden="1" x14ac:dyDescent="0.25">
      <c r="A1583" s="29" t="s">
        <v>3507</v>
      </c>
      <c r="B1583" s="29" t="s">
        <v>3506</v>
      </c>
      <c r="C1583" s="29" t="s">
        <v>514</v>
      </c>
      <c r="D1583" s="29" t="str">
        <f>VLOOKUP(C:C,'COUNT-CONT'!B:C,2,FALSE)</f>
        <v>North America</v>
      </c>
      <c r="E1583" s="29">
        <v>9</v>
      </c>
      <c r="F1583" s="28">
        <v>3088</v>
      </c>
      <c r="G1583" s="28">
        <v>3789217616</v>
      </c>
      <c r="H1583" s="29">
        <v>14.12</v>
      </c>
      <c r="I1583" s="142">
        <v>-65.319999999999993</v>
      </c>
      <c r="J1583" s="29">
        <v>9.2799999999999994</v>
      </c>
      <c r="K1583" s="29">
        <v>8.98</v>
      </c>
      <c r="L1583" s="29">
        <v>16.05</v>
      </c>
      <c r="M1583" s="368"/>
      <c r="N1583" s="368"/>
      <c r="O1583" s="271">
        <f>IFERROR(Table17[[#This Row],[PROFIT]]/Table17[[#This Row],[TO]],0)</f>
        <v>0</v>
      </c>
      <c r="P1583" s="177"/>
      <c r="Q1583" s="177"/>
      <c r="R1583" s="177"/>
    </row>
    <row r="1584" spans="1:18" ht="30" hidden="1" x14ac:dyDescent="0.25">
      <c r="A1584" s="29" t="s">
        <v>2520</v>
      </c>
      <c r="B1584" s="29" t="s">
        <v>2519</v>
      </c>
      <c r="C1584" s="29" t="s">
        <v>683</v>
      </c>
      <c r="D1584" s="29" t="str">
        <f>VLOOKUP(C:C,'COUNT-CONT'!B:C,2,FALSE)</f>
        <v>North America</v>
      </c>
      <c r="E1584" s="29">
        <v>8</v>
      </c>
      <c r="F1584" s="28">
        <v>3013</v>
      </c>
      <c r="G1584" s="28">
        <v>3173084633</v>
      </c>
      <c r="H1584" s="29">
        <v>14.09</v>
      </c>
      <c r="I1584" s="142">
        <v>-65.349999999999994</v>
      </c>
      <c r="J1584" s="29">
        <v>5.56</v>
      </c>
      <c r="K1584" s="29">
        <v>4.59</v>
      </c>
      <c r="L1584" s="29">
        <v>12.15</v>
      </c>
      <c r="M1584" s="368"/>
      <c r="N1584" s="368"/>
      <c r="O1584" s="271">
        <f>IFERROR(Table17[[#This Row],[PROFIT]]/Table17[[#This Row],[TO]],0)</f>
        <v>0</v>
      </c>
      <c r="P1584" s="177"/>
      <c r="Q1584" s="177"/>
      <c r="R1584" s="177"/>
    </row>
    <row r="1585" spans="1:18" hidden="1" x14ac:dyDescent="0.25">
      <c r="A1585" s="29" t="s">
        <v>2464</v>
      </c>
      <c r="B1585" s="29" t="s">
        <v>2463</v>
      </c>
      <c r="C1585" s="29" t="s">
        <v>14</v>
      </c>
      <c r="D1585" s="29" t="str">
        <f>VLOOKUP(C:C,'COUNT-CONT'!B:C,2,FALSE)</f>
        <v>Asia</v>
      </c>
      <c r="E1585" s="29">
        <v>1</v>
      </c>
      <c r="F1585" s="28">
        <v>1141</v>
      </c>
      <c r="G1585" s="28">
        <v>3556866608</v>
      </c>
      <c r="H1585" s="29">
        <v>14.09</v>
      </c>
      <c r="I1585" s="142">
        <v>-65.349999999999994</v>
      </c>
      <c r="J1585" s="29">
        <v>5.47</v>
      </c>
      <c r="K1585" s="29">
        <v>4.53</v>
      </c>
      <c r="L1585" s="29">
        <v>11.94</v>
      </c>
      <c r="M1585" s="368"/>
      <c r="N1585" s="368"/>
      <c r="O1585" s="271">
        <f>IFERROR(Table17[[#This Row],[PROFIT]]/Table17[[#This Row],[TO]],0)</f>
        <v>0</v>
      </c>
      <c r="P1585" s="177"/>
      <c r="Q1585" s="177"/>
      <c r="R1585" s="177"/>
    </row>
    <row r="1586" spans="1:18" hidden="1" x14ac:dyDescent="0.25">
      <c r="A1586" s="29" t="s">
        <v>1475</v>
      </c>
      <c r="B1586" s="29" t="s">
        <v>1474</v>
      </c>
      <c r="C1586" s="29" t="s">
        <v>1289</v>
      </c>
      <c r="D1586" s="29" t="str">
        <f>VLOOKUP(C:C,'COUNT-CONT'!B:C,2,FALSE)</f>
        <v>Asia</v>
      </c>
      <c r="E1586" s="29">
        <v>8</v>
      </c>
      <c r="F1586" s="28">
        <v>3004</v>
      </c>
      <c r="G1586" s="28">
        <v>2941378428</v>
      </c>
      <c r="H1586" s="29">
        <v>14.09</v>
      </c>
      <c r="I1586" s="142">
        <v>-65.349999999999994</v>
      </c>
      <c r="J1586" s="29">
        <v>2.69</v>
      </c>
      <c r="K1586" s="29">
        <v>1.42</v>
      </c>
      <c r="L1586" s="29">
        <v>9.0399999999999991</v>
      </c>
      <c r="M1586" s="368"/>
      <c r="N1586" s="368"/>
      <c r="O1586" s="271">
        <f>IFERROR(Table17[[#This Row],[PROFIT]]/Table17[[#This Row],[TO]],0)</f>
        <v>0</v>
      </c>
      <c r="P1586" s="177"/>
      <c r="Q1586" s="177"/>
      <c r="R1586" s="177"/>
    </row>
    <row r="1587" spans="1:18" hidden="1" x14ac:dyDescent="0.25">
      <c r="A1587" s="29" t="s">
        <v>1709</v>
      </c>
      <c r="B1587" s="29" t="s">
        <v>1708</v>
      </c>
      <c r="C1587" s="29" t="s">
        <v>1070</v>
      </c>
      <c r="D1587" s="29" t="str">
        <f>VLOOKUP(C:C,'COUNT-CONT'!B:C,2,FALSE)</f>
        <v>Asia</v>
      </c>
      <c r="E1587" s="29">
        <v>3</v>
      </c>
      <c r="F1587" s="28">
        <v>1743</v>
      </c>
      <c r="G1587" s="28">
        <v>3058495811</v>
      </c>
      <c r="H1587" s="29">
        <v>14.09</v>
      </c>
      <c r="I1587" s="142">
        <v>-65.349999999999994</v>
      </c>
      <c r="J1587" s="29">
        <v>3.26</v>
      </c>
      <c r="K1587" s="29">
        <v>2.12</v>
      </c>
      <c r="L1587" s="29">
        <v>9.64</v>
      </c>
      <c r="M1587" s="368"/>
      <c r="N1587" s="368"/>
      <c r="O1587" s="271">
        <f>IFERROR(Table17[[#This Row],[PROFIT]]/Table17[[#This Row],[TO]],0)</f>
        <v>0</v>
      </c>
      <c r="P1587" s="177"/>
      <c r="Q1587" s="177"/>
      <c r="R1587" s="177"/>
    </row>
    <row r="1588" spans="1:18" hidden="1" x14ac:dyDescent="0.25">
      <c r="A1588" s="29" t="s">
        <v>3301</v>
      </c>
      <c r="B1588" s="29" t="s">
        <v>3300</v>
      </c>
      <c r="C1588" s="29" t="s">
        <v>876</v>
      </c>
      <c r="D1588" s="29" t="str">
        <f>VLOOKUP(C:C,'COUNT-CONT'!B:C,2,FALSE)</f>
        <v>Europe</v>
      </c>
      <c r="E1588" s="29">
        <v>7</v>
      </c>
      <c r="F1588" s="28">
        <v>2628</v>
      </c>
      <c r="G1588" s="28">
        <v>3709069254</v>
      </c>
      <c r="H1588" s="29">
        <v>14.06</v>
      </c>
      <c r="I1588" s="142">
        <v>-65.38</v>
      </c>
      <c r="J1588" s="29">
        <v>8.56</v>
      </c>
      <c r="K1588" s="29">
        <v>8.25</v>
      </c>
      <c r="L1588" s="29">
        <v>15.3</v>
      </c>
      <c r="M1588" s="368"/>
      <c r="N1588" s="368"/>
      <c r="O1588" s="271">
        <f>IFERROR(Table17[[#This Row],[PROFIT]]/Table17[[#This Row],[TO]],0)</f>
        <v>0</v>
      </c>
      <c r="P1588" s="177"/>
      <c r="Q1588" s="177"/>
      <c r="R1588" s="177"/>
    </row>
    <row r="1589" spans="1:18" hidden="1" x14ac:dyDescent="0.25">
      <c r="A1589" s="29" t="s">
        <v>2990</v>
      </c>
      <c r="B1589" s="29" t="s">
        <v>2989</v>
      </c>
      <c r="C1589" s="29" t="s">
        <v>142</v>
      </c>
      <c r="D1589" s="29" t="str">
        <f>VLOOKUP(C:C,'COUNT-CONT'!B:C,2,FALSE)</f>
        <v>Asia</v>
      </c>
      <c r="E1589" s="29">
        <v>4</v>
      </c>
      <c r="F1589" s="28">
        <v>2015</v>
      </c>
      <c r="G1589" s="28">
        <v>3611605707</v>
      </c>
      <c r="H1589" s="29">
        <v>14.06</v>
      </c>
      <c r="I1589" s="142">
        <v>-65.38</v>
      </c>
      <c r="J1589" s="29">
        <v>7.59</v>
      </c>
      <c r="K1589" s="29">
        <v>6.74</v>
      </c>
      <c r="L1589" s="29">
        <v>14.06</v>
      </c>
      <c r="M1589" s="368"/>
      <c r="N1589" s="368"/>
      <c r="O1589" s="271">
        <f>IFERROR(Table17[[#This Row],[PROFIT]]/Table17[[#This Row],[TO]],0)</f>
        <v>0</v>
      </c>
      <c r="P1589" s="177"/>
      <c r="Q1589" s="177"/>
      <c r="R1589" s="177"/>
    </row>
    <row r="1590" spans="1:18" ht="30" hidden="1" x14ac:dyDescent="0.25">
      <c r="A1590" s="29" t="s">
        <v>2449</v>
      </c>
      <c r="B1590" s="29" t="s">
        <v>2448</v>
      </c>
      <c r="C1590" s="29" t="s">
        <v>517</v>
      </c>
      <c r="D1590" s="29" t="str">
        <f>VLOOKUP(C:C,'COUNT-CONT'!B:C,2,FALSE)</f>
        <v>South America</v>
      </c>
      <c r="E1590" s="29">
        <v>4</v>
      </c>
      <c r="F1590" s="28">
        <v>1807</v>
      </c>
      <c r="G1590" s="28">
        <v>3263143774</v>
      </c>
      <c r="H1590" s="29">
        <v>14.03</v>
      </c>
      <c r="I1590" s="142">
        <v>-65.41</v>
      </c>
      <c r="J1590" s="29">
        <v>5.47</v>
      </c>
      <c r="K1590" s="29">
        <v>4.5</v>
      </c>
      <c r="L1590" s="29">
        <v>11.88</v>
      </c>
      <c r="M1590" s="368"/>
      <c r="N1590" s="368"/>
      <c r="O1590" s="271">
        <f>IFERROR(Table17[[#This Row],[PROFIT]]/Table17[[#This Row],[TO]],0)</f>
        <v>0</v>
      </c>
      <c r="P1590" s="177"/>
      <c r="Q1590" s="177"/>
      <c r="R1590" s="177"/>
    </row>
    <row r="1591" spans="1:18" hidden="1" x14ac:dyDescent="0.25">
      <c r="A1591" s="29" t="s">
        <v>2345</v>
      </c>
      <c r="B1591" s="29" t="s">
        <v>2344</v>
      </c>
      <c r="C1591" s="29" t="s">
        <v>78</v>
      </c>
      <c r="D1591" s="29" t="str">
        <f>VLOOKUP(C:C,'COUNT-CONT'!B:C,2,FALSE)</f>
        <v>Europe</v>
      </c>
      <c r="E1591" s="29">
        <v>7</v>
      </c>
      <c r="F1591" s="28">
        <v>2657</v>
      </c>
      <c r="G1591" s="28">
        <v>3102000752</v>
      </c>
      <c r="H1591" s="29">
        <v>14.03</v>
      </c>
      <c r="I1591" s="142">
        <v>-65.41</v>
      </c>
      <c r="J1591" s="29">
        <v>5.05</v>
      </c>
      <c r="K1591" s="29">
        <v>4.1399999999999997</v>
      </c>
      <c r="L1591" s="29">
        <v>11.52</v>
      </c>
      <c r="M1591" s="368"/>
      <c r="N1591" s="368"/>
      <c r="O1591" s="271">
        <f>IFERROR(Table17[[#This Row],[PROFIT]]/Table17[[#This Row],[TO]],0)</f>
        <v>0</v>
      </c>
      <c r="P1591" s="177"/>
      <c r="Q1591" s="177"/>
      <c r="R1591" s="177"/>
    </row>
    <row r="1592" spans="1:18" hidden="1" x14ac:dyDescent="0.25">
      <c r="A1592" s="29" t="s">
        <v>2103</v>
      </c>
      <c r="B1592" s="29" t="s">
        <v>2102</v>
      </c>
      <c r="C1592" s="29" t="s">
        <v>493</v>
      </c>
      <c r="D1592" s="29" t="str">
        <f>VLOOKUP(C:C,'COUNT-CONT'!B:C,2,FALSE)</f>
        <v>Africa</v>
      </c>
      <c r="E1592" s="29">
        <v>8</v>
      </c>
      <c r="F1592" s="28">
        <v>2000</v>
      </c>
      <c r="G1592" s="28">
        <v>3195300000</v>
      </c>
      <c r="H1592" s="29">
        <v>14.03</v>
      </c>
      <c r="I1592" s="142">
        <v>-65.41</v>
      </c>
      <c r="J1592" s="29">
        <v>4.53</v>
      </c>
      <c r="K1592" s="29">
        <v>3.23</v>
      </c>
      <c r="L1592" s="29">
        <v>10.79</v>
      </c>
      <c r="M1592" s="368"/>
      <c r="N1592" s="368"/>
      <c r="O1592" s="271">
        <f>IFERROR(Table17[[#This Row],[PROFIT]]/Table17[[#This Row],[TO]],0)</f>
        <v>0</v>
      </c>
      <c r="P1592" s="177"/>
      <c r="Q1592" s="177"/>
      <c r="R1592" s="177"/>
    </row>
    <row r="1593" spans="1:18" ht="30" hidden="1" x14ac:dyDescent="0.25">
      <c r="A1593" s="29" t="s">
        <v>2872</v>
      </c>
      <c r="B1593" s="29" t="s">
        <v>2871</v>
      </c>
      <c r="C1593" s="29" t="s">
        <v>1847</v>
      </c>
      <c r="D1593" s="29" t="str">
        <f>VLOOKUP(C:C,'COUNT-CONT'!B:C,2,FALSE)</f>
        <v>Asia</v>
      </c>
      <c r="E1593" s="29">
        <v>10</v>
      </c>
      <c r="F1593" s="28">
        <v>4026</v>
      </c>
      <c r="G1593" s="28">
        <v>3387224043</v>
      </c>
      <c r="H1593" s="29">
        <v>14</v>
      </c>
      <c r="I1593" s="142">
        <v>-65.44</v>
      </c>
      <c r="J1593" s="29">
        <v>6.98</v>
      </c>
      <c r="K1593" s="29">
        <v>6.2</v>
      </c>
      <c r="L1593" s="29">
        <v>13.48</v>
      </c>
      <c r="M1593" s="368"/>
      <c r="N1593" s="368"/>
      <c r="O1593" s="271">
        <f>IFERROR(Table17[[#This Row],[PROFIT]]/Table17[[#This Row],[TO]],0)</f>
        <v>0</v>
      </c>
      <c r="P1593" s="177"/>
      <c r="Q1593" s="177"/>
      <c r="R1593" s="177"/>
    </row>
    <row r="1594" spans="1:18" hidden="1" x14ac:dyDescent="0.25">
      <c r="A1594" s="29" t="s">
        <v>3040</v>
      </c>
      <c r="B1594" s="29" t="s">
        <v>3039</v>
      </c>
      <c r="C1594" s="29" t="s">
        <v>585</v>
      </c>
      <c r="D1594" s="29" t="str">
        <f>VLOOKUP(C:C,'COUNT-CONT'!B:C,2,FALSE)</f>
        <v>Europe</v>
      </c>
      <c r="E1594" s="29">
        <v>7</v>
      </c>
      <c r="F1594" s="28">
        <v>2603</v>
      </c>
      <c r="G1594" s="28">
        <v>3578489320</v>
      </c>
      <c r="H1594" s="29">
        <v>14</v>
      </c>
      <c r="I1594" s="142">
        <v>-65.44</v>
      </c>
      <c r="J1594" s="29">
        <v>7.71</v>
      </c>
      <c r="K1594" s="29">
        <v>7.13</v>
      </c>
      <c r="L1594" s="29">
        <v>14.3</v>
      </c>
      <c r="M1594" s="368"/>
      <c r="N1594" s="368"/>
      <c r="O1594" s="271">
        <f>IFERROR(Table17[[#This Row],[PROFIT]]/Table17[[#This Row],[TO]],0)</f>
        <v>0</v>
      </c>
      <c r="P1594" s="177"/>
      <c r="Q1594" s="177"/>
      <c r="R1594" s="177"/>
    </row>
    <row r="1595" spans="1:18" ht="30" hidden="1" x14ac:dyDescent="0.25">
      <c r="A1595" s="29" t="s">
        <v>3912</v>
      </c>
      <c r="B1595" s="29" t="s">
        <v>3911</v>
      </c>
      <c r="C1595" s="29" t="s">
        <v>11732</v>
      </c>
      <c r="D1595" s="29" t="str">
        <f>VLOOKUP(C:C,'COUNT-CONT'!B:C,2,FALSE)</f>
        <v>North America</v>
      </c>
      <c r="E1595" s="29">
        <v>4</v>
      </c>
      <c r="F1595" s="28">
        <v>1994</v>
      </c>
      <c r="G1595" s="28">
        <v>4288654964</v>
      </c>
      <c r="H1595" s="29">
        <v>13.97</v>
      </c>
      <c r="I1595" s="142">
        <v>-65.47</v>
      </c>
      <c r="J1595" s="29">
        <v>11.37</v>
      </c>
      <c r="K1595" s="29">
        <v>11.37</v>
      </c>
      <c r="L1595" s="29">
        <v>18.38</v>
      </c>
      <c r="M1595" s="368"/>
      <c r="N1595" s="368"/>
      <c r="O1595" s="271">
        <f>IFERROR(Table17[[#This Row],[PROFIT]]/Table17[[#This Row],[TO]],0)</f>
        <v>0</v>
      </c>
      <c r="P1595" s="177"/>
      <c r="Q1595" s="177"/>
      <c r="R1595" s="177"/>
    </row>
    <row r="1596" spans="1:18" ht="30" hidden="1" x14ac:dyDescent="0.25">
      <c r="A1596" s="29" t="s">
        <v>2397</v>
      </c>
      <c r="B1596" s="29" t="s">
        <v>2396</v>
      </c>
      <c r="C1596" s="29" t="s">
        <v>2395</v>
      </c>
      <c r="D1596" s="29" t="str">
        <f>VLOOKUP(C:C,'COUNT-CONT'!B:C,2,FALSE)</f>
        <v>South America</v>
      </c>
      <c r="E1596" s="29">
        <v>10</v>
      </c>
      <c r="F1596" s="28">
        <v>3413</v>
      </c>
      <c r="G1596" s="28">
        <v>3104697099</v>
      </c>
      <c r="H1596" s="29">
        <v>13.97</v>
      </c>
      <c r="I1596" s="142">
        <v>-65.47</v>
      </c>
      <c r="J1596" s="29">
        <v>5.1100000000000003</v>
      </c>
      <c r="K1596" s="29">
        <v>4.17</v>
      </c>
      <c r="L1596" s="29">
        <v>11.64</v>
      </c>
      <c r="M1596" s="368"/>
      <c r="N1596" s="368"/>
      <c r="O1596" s="271">
        <f>IFERROR(Table17[[#This Row],[PROFIT]]/Table17[[#This Row],[TO]],0)</f>
        <v>0</v>
      </c>
      <c r="P1596" s="177"/>
      <c r="Q1596" s="177"/>
      <c r="R1596" s="177"/>
    </row>
    <row r="1597" spans="1:18" x14ac:dyDescent="0.25">
      <c r="A1597" s="29" t="s">
        <v>3175</v>
      </c>
      <c r="B1597" s="29" t="s">
        <v>3174</v>
      </c>
      <c r="C1597" s="29" t="s">
        <v>774</v>
      </c>
      <c r="D1597" s="29" t="str">
        <f>VLOOKUP(C:C,'COUNT-CONT'!B:C,2,FALSE)</f>
        <v>Oceania</v>
      </c>
      <c r="E1597" s="29">
        <v>4</v>
      </c>
      <c r="F1597" s="28">
        <v>1886</v>
      </c>
      <c r="G1597" s="28">
        <v>3737844962</v>
      </c>
      <c r="H1597" s="29">
        <v>13.97</v>
      </c>
      <c r="I1597" s="142">
        <v>-65.47</v>
      </c>
      <c r="J1597" s="29">
        <v>8.31</v>
      </c>
      <c r="K1597" s="29">
        <v>7.74</v>
      </c>
      <c r="L1597" s="29">
        <v>14.87</v>
      </c>
      <c r="M1597" s="368"/>
      <c r="N1597" s="368"/>
      <c r="O1597" s="271">
        <f>IFERROR(Table17[[#This Row],[PROFIT]]/Table17[[#This Row],[TO]],0)</f>
        <v>0</v>
      </c>
      <c r="P1597" s="177"/>
      <c r="Q1597" s="177"/>
      <c r="R1597" s="177"/>
    </row>
    <row r="1598" spans="1:18" ht="30" hidden="1" x14ac:dyDescent="0.25">
      <c r="A1598" s="29" t="s">
        <v>3914</v>
      </c>
      <c r="B1598" s="29" t="s">
        <v>3913</v>
      </c>
      <c r="C1598" s="29" t="s">
        <v>11732</v>
      </c>
      <c r="D1598" s="29" t="str">
        <f>VLOOKUP(C:C,'COUNT-CONT'!B:C,2,FALSE)</f>
        <v>North America</v>
      </c>
      <c r="E1598" s="29">
        <v>6</v>
      </c>
      <c r="F1598" s="28">
        <v>2385</v>
      </c>
      <c r="G1598" s="28">
        <v>4238015932</v>
      </c>
      <c r="H1598" s="29">
        <v>13.97</v>
      </c>
      <c r="I1598" s="142">
        <v>-65.47</v>
      </c>
      <c r="J1598" s="29">
        <v>11.4</v>
      </c>
      <c r="K1598" s="29">
        <v>11.4</v>
      </c>
      <c r="L1598" s="29">
        <v>18.38</v>
      </c>
      <c r="M1598" s="368"/>
      <c r="N1598" s="368"/>
      <c r="O1598" s="271">
        <f>IFERROR(Table17[[#This Row],[PROFIT]]/Table17[[#This Row],[TO]],0)</f>
        <v>0</v>
      </c>
      <c r="P1598" s="177"/>
      <c r="Q1598" s="177"/>
      <c r="R1598" s="177"/>
    </row>
    <row r="1599" spans="1:18" ht="30" hidden="1" x14ac:dyDescent="0.25">
      <c r="A1599" s="29" t="s">
        <v>2557</v>
      </c>
      <c r="B1599" s="29" t="s">
        <v>2556</v>
      </c>
      <c r="C1599" s="29" t="s">
        <v>172</v>
      </c>
      <c r="D1599" s="29" t="str">
        <f>VLOOKUP(C:C,'COUNT-CONT'!B:C,2,FALSE)</f>
        <v>Asia</v>
      </c>
      <c r="E1599" s="29">
        <v>10</v>
      </c>
      <c r="F1599" s="28">
        <v>3666</v>
      </c>
      <c r="G1599" s="28">
        <v>3187454555</v>
      </c>
      <c r="H1599" s="29">
        <v>13.97</v>
      </c>
      <c r="I1599" s="142">
        <v>-65.47</v>
      </c>
      <c r="J1599" s="29">
        <v>5.62</v>
      </c>
      <c r="K1599" s="29">
        <v>4.9000000000000004</v>
      </c>
      <c r="L1599" s="29">
        <v>12.24</v>
      </c>
      <c r="M1599" s="368"/>
      <c r="N1599" s="368"/>
      <c r="O1599" s="271">
        <f>IFERROR(Table17[[#This Row],[PROFIT]]/Table17[[#This Row],[TO]],0)</f>
        <v>0</v>
      </c>
      <c r="P1599" s="177"/>
      <c r="Q1599" s="177"/>
      <c r="R1599" s="177"/>
    </row>
    <row r="1600" spans="1:18" ht="30" hidden="1" x14ac:dyDescent="0.25">
      <c r="A1600" s="29" t="s">
        <v>3899</v>
      </c>
      <c r="B1600" s="29" t="s">
        <v>3898</v>
      </c>
      <c r="C1600" s="29" t="s">
        <v>11732</v>
      </c>
      <c r="D1600" s="29" t="str">
        <f>VLOOKUP(C:C,'COUNT-CONT'!B:C,2,FALSE)</f>
        <v>North America</v>
      </c>
      <c r="E1600" s="29">
        <v>6</v>
      </c>
      <c r="F1600" s="28">
        <v>2338</v>
      </c>
      <c r="G1600" s="28">
        <v>4237887596</v>
      </c>
      <c r="H1600" s="29">
        <v>13.94</v>
      </c>
      <c r="I1600" s="142">
        <v>-65.5</v>
      </c>
      <c r="J1600" s="29">
        <v>11.37</v>
      </c>
      <c r="K1600" s="29">
        <v>11.37</v>
      </c>
      <c r="L1600" s="29">
        <v>18.350000000000001</v>
      </c>
      <c r="M1600" s="368"/>
      <c r="N1600" s="368"/>
      <c r="O1600" s="271">
        <f>IFERROR(Table17[[#This Row],[PROFIT]]/Table17[[#This Row],[TO]],0)</f>
        <v>0</v>
      </c>
      <c r="P1600" s="177"/>
      <c r="Q1600" s="177"/>
      <c r="R1600" s="177"/>
    </row>
    <row r="1601" spans="1:18" ht="30" hidden="1" x14ac:dyDescent="0.25">
      <c r="A1601" s="29" t="s">
        <v>2079</v>
      </c>
      <c r="B1601" s="29" t="s">
        <v>2078</v>
      </c>
      <c r="C1601" s="29" t="s">
        <v>493</v>
      </c>
      <c r="D1601" s="29" t="str">
        <f>VLOOKUP(C:C,'COUNT-CONT'!B:C,2,FALSE)</f>
        <v>Africa</v>
      </c>
      <c r="E1601" s="29">
        <v>9</v>
      </c>
      <c r="F1601" s="28">
        <v>2000</v>
      </c>
      <c r="G1601" s="28">
        <v>3204200000</v>
      </c>
      <c r="H1601" s="29">
        <v>13.94</v>
      </c>
      <c r="I1601" s="142">
        <v>-65.5</v>
      </c>
      <c r="J1601" s="29">
        <v>4.5</v>
      </c>
      <c r="K1601" s="29">
        <v>3.2</v>
      </c>
      <c r="L1601" s="29">
        <v>10.73</v>
      </c>
      <c r="M1601" s="368"/>
      <c r="N1601" s="368"/>
      <c r="O1601" s="271">
        <f>IFERROR(Table17[[#This Row],[PROFIT]]/Table17[[#This Row],[TO]],0)</f>
        <v>0</v>
      </c>
      <c r="P1601" s="177"/>
      <c r="Q1601" s="177"/>
      <c r="R1601" s="177"/>
    </row>
    <row r="1602" spans="1:18" hidden="1" x14ac:dyDescent="0.25">
      <c r="A1602" s="29" t="s">
        <v>3237</v>
      </c>
      <c r="B1602" s="29" t="s">
        <v>3236</v>
      </c>
      <c r="C1602" s="29" t="s">
        <v>3204</v>
      </c>
      <c r="D1602" s="29" t="str">
        <f>VLOOKUP(C:C,'COUNT-CONT'!B:C,2,FALSE)</f>
        <v>Europe</v>
      </c>
      <c r="E1602" s="29">
        <v>4</v>
      </c>
      <c r="F1602" s="28">
        <v>1819</v>
      </c>
      <c r="G1602" s="28">
        <v>3796127872</v>
      </c>
      <c r="H1602" s="29">
        <v>13.94</v>
      </c>
      <c r="I1602" s="142">
        <v>-65.5</v>
      </c>
      <c r="J1602" s="29">
        <v>8.4600000000000009</v>
      </c>
      <c r="K1602" s="29">
        <v>8.16</v>
      </c>
      <c r="L1602" s="29">
        <v>15.15</v>
      </c>
      <c r="M1602" s="368"/>
      <c r="N1602" s="368"/>
      <c r="O1602" s="271">
        <f>IFERROR(Table17[[#This Row],[PROFIT]]/Table17[[#This Row],[TO]],0)</f>
        <v>0</v>
      </c>
      <c r="P1602" s="177"/>
      <c r="Q1602" s="177"/>
      <c r="R1602" s="177"/>
    </row>
    <row r="1603" spans="1:18" ht="30" hidden="1" x14ac:dyDescent="0.25">
      <c r="A1603" s="29" t="s">
        <v>3897</v>
      </c>
      <c r="B1603" s="29" t="s">
        <v>3896</v>
      </c>
      <c r="C1603" s="29" t="s">
        <v>11732</v>
      </c>
      <c r="D1603" s="29" t="str">
        <f>VLOOKUP(C:C,'COUNT-CONT'!B:C,2,FALSE)</f>
        <v>North America</v>
      </c>
      <c r="E1603" s="29">
        <v>9</v>
      </c>
      <c r="F1603" s="28">
        <v>3272</v>
      </c>
      <c r="G1603" s="28">
        <v>4190185819</v>
      </c>
      <c r="H1603" s="29">
        <v>13.91</v>
      </c>
      <c r="I1603" s="142">
        <v>-65.53</v>
      </c>
      <c r="J1603" s="29">
        <v>11.34</v>
      </c>
      <c r="K1603" s="29">
        <v>11.34</v>
      </c>
      <c r="L1603" s="29">
        <v>18.32</v>
      </c>
      <c r="M1603" s="368"/>
      <c r="N1603" s="368"/>
      <c r="O1603" s="271">
        <f>IFERROR(Table17[[#This Row],[PROFIT]]/Table17[[#This Row],[TO]],0)</f>
        <v>0</v>
      </c>
      <c r="P1603" s="177"/>
      <c r="Q1603" s="177"/>
      <c r="R1603" s="177"/>
    </row>
    <row r="1604" spans="1:18" hidden="1" x14ac:dyDescent="0.25">
      <c r="A1604" s="29" t="s">
        <v>2065</v>
      </c>
      <c r="B1604" s="29" t="s">
        <v>2064</v>
      </c>
      <c r="C1604" s="29" t="s">
        <v>700</v>
      </c>
      <c r="D1604" s="29" t="str">
        <f>VLOOKUP(C:C,'COUNT-CONT'!B:C,2,FALSE)</f>
        <v>Asia</v>
      </c>
      <c r="E1604" s="29">
        <v>3</v>
      </c>
      <c r="F1604" s="28">
        <v>1656</v>
      </c>
      <c r="G1604" s="28">
        <v>3175451207</v>
      </c>
      <c r="H1604" s="29">
        <v>13.91</v>
      </c>
      <c r="I1604" s="142">
        <v>-65.53</v>
      </c>
      <c r="J1604" s="29">
        <v>4.26</v>
      </c>
      <c r="K1604" s="29">
        <v>3.2</v>
      </c>
      <c r="L1604" s="29">
        <v>10.7</v>
      </c>
      <c r="M1604" s="368"/>
      <c r="N1604" s="368"/>
      <c r="O1604" s="271">
        <f>IFERROR(Table17[[#This Row],[PROFIT]]/Table17[[#This Row],[TO]],0)</f>
        <v>0</v>
      </c>
      <c r="P1604" s="177"/>
      <c r="Q1604" s="177"/>
      <c r="R1604" s="177"/>
    </row>
    <row r="1605" spans="1:18" ht="30" hidden="1" x14ac:dyDescent="0.25">
      <c r="A1605" s="29" t="s">
        <v>2484</v>
      </c>
      <c r="B1605" s="29" t="s">
        <v>2483</v>
      </c>
      <c r="C1605" s="29" t="s">
        <v>683</v>
      </c>
      <c r="D1605" s="29" t="str">
        <f>VLOOKUP(C:C,'COUNT-CONT'!B:C,2,FALSE)</f>
        <v>North America</v>
      </c>
      <c r="E1605" s="29">
        <v>9</v>
      </c>
      <c r="F1605" s="28">
        <v>3030</v>
      </c>
      <c r="G1605" s="28">
        <v>3153536303</v>
      </c>
      <c r="H1605" s="29">
        <v>13.91</v>
      </c>
      <c r="I1605" s="142">
        <v>-65.53</v>
      </c>
      <c r="J1605" s="29">
        <v>5.5</v>
      </c>
      <c r="K1605" s="29">
        <v>4.53</v>
      </c>
      <c r="L1605" s="29">
        <v>12</v>
      </c>
      <c r="M1605" s="368"/>
      <c r="N1605" s="368"/>
      <c r="O1605" s="271">
        <f>IFERROR(Table17[[#This Row],[PROFIT]]/Table17[[#This Row],[TO]],0)</f>
        <v>0</v>
      </c>
      <c r="P1605" s="177"/>
      <c r="Q1605" s="177"/>
      <c r="R1605" s="177"/>
    </row>
    <row r="1606" spans="1:18" ht="30" hidden="1" x14ac:dyDescent="0.25">
      <c r="A1606" s="29" t="s">
        <v>2423</v>
      </c>
      <c r="B1606" s="29" t="s">
        <v>2422</v>
      </c>
      <c r="C1606" s="29" t="s">
        <v>517</v>
      </c>
      <c r="D1606" s="29" t="str">
        <f>VLOOKUP(C:C,'COUNT-CONT'!B:C,2,FALSE)</f>
        <v>South America</v>
      </c>
      <c r="E1606" s="29">
        <v>4</v>
      </c>
      <c r="F1606" s="28">
        <v>2004</v>
      </c>
      <c r="G1606" s="28">
        <v>3204102195</v>
      </c>
      <c r="H1606" s="29">
        <v>13.88</v>
      </c>
      <c r="I1606" s="142">
        <v>-65.56</v>
      </c>
      <c r="J1606" s="29">
        <v>5.38</v>
      </c>
      <c r="K1606" s="29">
        <v>4.4400000000000004</v>
      </c>
      <c r="L1606" s="29">
        <v>11.76</v>
      </c>
      <c r="M1606" s="368"/>
      <c r="N1606" s="368"/>
      <c r="O1606" s="271">
        <f>IFERROR(Table17[[#This Row],[PROFIT]]/Table17[[#This Row],[TO]],0)</f>
        <v>0</v>
      </c>
      <c r="P1606" s="177"/>
      <c r="Q1606" s="177"/>
      <c r="R1606" s="177"/>
    </row>
    <row r="1607" spans="1:18" hidden="1" x14ac:dyDescent="0.25">
      <c r="A1607" s="29" t="s">
        <v>1349</v>
      </c>
      <c r="B1607" s="29" t="s">
        <v>1348</v>
      </c>
      <c r="C1607" s="29" t="s">
        <v>938</v>
      </c>
      <c r="D1607" s="29" t="str">
        <f>VLOOKUP(C:C,'COUNT-CONT'!B:C,2,FALSE)</f>
        <v>Africa</v>
      </c>
      <c r="E1607" s="29">
        <v>2</v>
      </c>
      <c r="F1607" s="28">
        <v>1397</v>
      </c>
      <c r="G1607" s="28">
        <v>3170701574</v>
      </c>
      <c r="H1607" s="29">
        <v>13.88</v>
      </c>
      <c r="I1607" s="142">
        <v>-65.56</v>
      </c>
      <c r="J1607" s="29">
        <v>2.6</v>
      </c>
      <c r="K1607" s="29">
        <v>1.03</v>
      </c>
      <c r="L1607" s="29">
        <v>8.68</v>
      </c>
      <c r="M1607" s="368"/>
      <c r="N1607" s="368"/>
      <c r="O1607" s="271">
        <f>IFERROR(Table17[[#This Row],[PROFIT]]/Table17[[#This Row],[TO]],0)</f>
        <v>0</v>
      </c>
      <c r="P1607" s="177"/>
      <c r="Q1607" s="177"/>
      <c r="R1607" s="177"/>
    </row>
    <row r="1608" spans="1:18" ht="30" hidden="1" x14ac:dyDescent="0.25">
      <c r="A1608" s="29" t="s">
        <v>3881</v>
      </c>
      <c r="B1608" s="29" t="s">
        <v>3880</v>
      </c>
      <c r="C1608" s="29" t="s">
        <v>11732</v>
      </c>
      <c r="D1608" s="29" t="str">
        <f>VLOOKUP(C:C,'COUNT-CONT'!B:C,2,FALSE)</f>
        <v>North America</v>
      </c>
      <c r="E1608" s="29">
        <v>6</v>
      </c>
      <c r="F1608" s="28">
        <v>2504</v>
      </c>
      <c r="G1608" s="28">
        <v>4205497124</v>
      </c>
      <c r="H1608" s="29">
        <v>13.85</v>
      </c>
      <c r="I1608" s="142">
        <v>-65.59</v>
      </c>
      <c r="J1608" s="29">
        <v>11.28</v>
      </c>
      <c r="K1608" s="29">
        <v>11.28</v>
      </c>
      <c r="L1608" s="29">
        <v>18.23</v>
      </c>
      <c r="M1608" s="368"/>
      <c r="N1608" s="368"/>
      <c r="O1608" s="271">
        <f>IFERROR(Table17[[#This Row],[PROFIT]]/Table17[[#This Row],[TO]],0)</f>
        <v>0</v>
      </c>
      <c r="P1608" s="177"/>
      <c r="Q1608" s="177"/>
      <c r="R1608" s="177"/>
    </row>
    <row r="1609" spans="1:18" hidden="1" x14ac:dyDescent="0.25">
      <c r="A1609" s="29" t="s">
        <v>3885</v>
      </c>
      <c r="B1609" s="29" t="s">
        <v>3884</v>
      </c>
      <c r="C1609" s="29" t="s">
        <v>560</v>
      </c>
      <c r="D1609" s="29" t="str">
        <f>VLOOKUP(C:C,'COUNT-CONT'!B:C,2,FALSE)</f>
        <v>Europe</v>
      </c>
      <c r="E1609" s="29">
        <v>9</v>
      </c>
      <c r="F1609" s="28">
        <v>3078</v>
      </c>
      <c r="G1609" s="28">
        <v>4183274918</v>
      </c>
      <c r="H1609" s="29">
        <v>13.85</v>
      </c>
      <c r="I1609" s="142">
        <v>-65.59</v>
      </c>
      <c r="J1609" s="29">
        <v>11.31</v>
      </c>
      <c r="K1609" s="29">
        <v>11.31</v>
      </c>
      <c r="L1609" s="29">
        <v>18.23</v>
      </c>
      <c r="M1609" s="368"/>
      <c r="N1609" s="368"/>
      <c r="O1609" s="271">
        <f>IFERROR(Table17[[#This Row],[PROFIT]]/Table17[[#This Row],[TO]],0)</f>
        <v>0</v>
      </c>
      <c r="P1609" s="177"/>
      <c r="Q1609" s="177"/>
      <c r="R1609" s="177"/>
    </row>
    <row r="1610" spans="1:18" ht="30" hidden="1" x14ac:dyDescent="0.25">
      <c r="A1610" s="29" t="s">
        <v>2649</v>
      </c>
      <c r="B1610" s="29" t="s">
        <v>2648</v>
      </c>
      <c r="C1610" s="29" t="s">
        <v>1749</v>
      </c>
      <c r="D1610" s="29" t="str">
        <f>VLOOKUP(C:C,'COUNT-CONT'!B:C,2,FALSE)</f>
        <v>North America</v>
      </c>
      <c r="E1610" s="29">
        <v>6</v>
      </c>
      <c r="F1610" s="28">
        <v>2420</v>
      </c>
      <c r="G1610" s="28">
        <v>3260145454</v>
      </c>
      <c r="H1610" s="29">
        <v>13.85</v>
      </c>
      <c r="I1610" s="142">
        <v>-65.59</v>
      </c>
      <c r="J1610" s="29">
        <v>6.29</v>
      </c>
      <c r="K1610" s="29">
        <v>5.26</v>
      </c>
      <c r="L1610" s="29">
        <v>12.58</v>
      </c>
      <c r="M1610" s="368"/>
      <c r="N1610" s="368"/>
      <c r="O1610" s="271">
        <f>IFERROR(Table17[[#This Row],[PROFIT]]/Table17[[#This Row],[TO]],0)</f>
        <v>0</v>
      </c>
      <c r="P1610" s="177"/>
      <c r="Q1610" s="177"/>
      <c r="R1610" s="177"/>
    </row>
    <row r="1611" spans="1:18" ht="30" hidden="1" x14ac:dyDescent="0.25">
      <c r="A1611" s="29" t="s">
        <v>3429</v>
      </c>
      <c r="B1611" s="29" t="s">
        <v>3428</v>
      </c>
      <c r="C1611" s="29" t="s">
        <v>514</v>
      </c>
      <c r="D1611" s="29" t="str">
        <f>VLOOKUP(C:C,'COUNT-CONT'!B:C,2,FALSE)</f>
        <v>North America</v>
      </c>
      <c r="E1611" s="29">
        <v>5</v>
      </c>
      <c r="F1611" s="28">
        <v>2179</v>
      </c>
      <c r="G1611" s="28">
        <v>3811218724</v>
      </c>
      <c r="H1611" s="29">
        <v>13.85</v>
      </c>
      <c r="I1611" s="142">
        <v>-65.59</v>
      </c>
      <c r="J1611" s="29">
        <v>9.1300000000000008</v>
      </c>
      <c r="K1611" s="29">
        <v>8.83</v>
      </c>
      <c r="L1611" s="29">
        <v>15.75</v>
      </c>
      <c r="M1611" s="368"/>
      <c r="N1611" s="368"/>
      <c r="O1611" s="271">
        <f>IFERROR(Table17[[#This Row],[PROFIT]]/Table17[[#This Row],[TO]],0)</f>
        <v>0</v>
      </c>
      <c r="P1611" s="177"/>
      <c r="Q1611" s="177"/>
      <c r="R1611" s="177"/>
    </row>
    <row r="1612" spans="1:18" hidden="1" x14ac:dyDescent="0.25">
      <c r="A1612" s="29" t="s">
        <v>2413</v>
      </c>
      <c r="B1612" s="29" t="s">
        <v>2412</v>
      </c>
      <c r="C1612" s="29" t="s">
        <v>14</v>
      </c>
      <c r="D1612" s="29" t="str">
        <f>VLOOKUP(C:C,'COUNT-CONT'!B:C,2,FALSE)</f>
        <v>Asia</v>
      </c>
      <c r="E1612" s="29">
        <v>5</v>
      </c>
      <c r="F1612" s="28">
        <v>2208</v>
      </c>
      <c r="G1612" s="28">
        <v>3170188405</v>
      </c>
      <c r="H1612" s="29">
        <v>13.81</v>
      </c>
      <c r="I1612" s="142">
        <v>-65.63</v>
      </c>
      <c r="J1612" s="29">
        <v>5.38</v>
      </c>
      <c r="K1612" s="29">
        <v>4.4400000000000004</v>
      </c>
      <c r="L1612" s="29">
        <v>11.73</v>
      </c>
      <c r="M1612" s="368"/>
      <c r="N1612" s="368"/>
      <c r="O1612" s="271">
        <f>IFERROR(Table17[[#This Row],[PROFIT]]/Table17[[#This Row],[TO]],0)</f>
        <v>0</v>
      </c>
      <c r="P1612" s="177"/>
      <c r="Q1612" s="177"/>
      <c r="R1612" s="177"/>
    </row>
    <row r="1613" spans="1:18" ht="30" hidden="1" x14ac:dyDescent="0.25">
      <c r="A1613" s="29" t="s">
        <v>76</v>
      </c>
      <c r="B1613" s="29" t="s">
        <v>3877</v>
      </c>
      <c r="C1613" s="29" t="s">
        <v>11732</v>
      </c>
      <c r="D1613" s="29" t="str">
        <f>VLOOKUP(C:C,'COUNT-CONT'!B:C,2,FALSE)</f>
        <v>North America</v>
      </c>
      <c r="E1613" s="29">
        <v>10</v>
      </c>
      <c r="F1613" s="28">
        <v>3681</v>
      </c>
      <c r="G1613" s="28">
        <v>4178631839</v>
      </c>
      <c r="H1613" s="29">
        <v>13.81</v>
      </c>
      <c r="I1613" s="142">
        <v>-65.63</v>
      </c>
      <c r="J1613" s="29">
        <v>11.28</v>
      </c>
      <c r="K1613" s="29">
        <v>11.28</v>
      </c>
      <c r="L1613" s="29">
        <v>18.2</v>
      </c>
      <c r="M1613" s="368"/>
      <c r="N1613" s="368"/>
      <c r="O1613" s="271">
        <f>IFERROR(Table17[[#This Row],[PROFIT]]/Table17[[#This Row],[TO]],0)</f>
        <v>0</v>
      </c>
      <c r="P1613" s="177"/>
      <c r="Q1613" s="177"/>
      <c r="R1613" s="177"/>
    </row>
    <row r="1614" spans="1:18" ht="30" hidden="1" x14ac:dyDescent="0.25">
      <c r="A1614" s="29" t="s">
        <v>3870</v>
      </c>
      <c r="B1614" s="29" t="s">
        <v>3869</v>
      </c>
      <c r="C1614" s="29" t="s">
        <v>11732</v>
      </c>
      <c r="D1614" s="29" t="str">
        <f>VLOOKUP(C:C,'COUNT-CONT'!B:C,2,FALSE)</f>
        <v>North America</v>
      </c>
      <c r="E1614" s="29">
        <v>2</v>
      </c>
      <c r="F1614" s="28">
        <v>1495</v>
      </c>
      <c r="G1614" s="28">
        <v>4392085953</v>
      </c>
      <c r="H1614" s="29">
        <v>13.78</v>
      </c>
      <c r="I1614" s="142">
        <v>-65.66</v>
      </c>
      <c r="J1614" s="29">
        <v>11.25</v>
      </c>
      <c r="K1614" s="29">
        <v>11.25</v>
      </c>
      <c r="L1614" s="29">
        <v>18.14</v>
      </c>
      <c r="M1614" s="368"/>
      <c r="N1614" s="368"/>
      <c r="O1614" s="271">
        <f>IFERROR(Table17[[#This Row],[PROFIT]]/Table17[[#This Row],[TO]],0)</f>
        <v>0</v>
      </c>
      <c r="P1614" s="177"/>
      <c r="Q1614" s="177"/>
      <c r="R1614" s="177"/>
    </row>
    <row r="1615" spans="1:18" hidden="1" x14ac:dyDescent="0.25">
      <c r="A1615" s="29" t="s">
        <v>2930</v>
      </c>
      <c r="B1615" s="29" t="s">
        <v>2929</v>
      </c>
      <c r="C1615" s="29" t="s">
        <v>142</v>
      </c>
      <c r="D1615" s="29" t="str">
        <f>VLOOKUP(C:C,'COUNT-CONT'!B:C,2,FALSE)</f>
        <v>Asia</v>
      </c>
      <c r="E1615" s="29">
        <v>4</v>
      </c>
      <c r="F1615" s="28">
        <v>2014</v>
      </c>
      <c r="G1615" s="28">
        <v>3575176762</v>
      </c>
      <c r="H1615" s="29">
        <v>13.78</v>
      </c>
      <c r="I1615" s="142">
        <v>-65.66</v>
      </c>
      <c r="J1615" s="29">
        <v>7.44</v>
      </c>
      <c r="K1615" s="29">
        <v>6.59</v>
      </c>
      <c r="L1615" s="29">
        <v>13.78</v>
      </c>
      <c r="M1615" s="368"/>
      <c r="N1615" s="368"/>
      <c r="O1615" s="271">
        <f>IFERROR(Table17[[#This Row],[PROFIT]]/Table17[[#This Row],[TO]],0)</f>
        <v>0</v>
      </c>
      <c r="P1615" s="177"/>
      <c r="Q1615" s="177"/>
      <c r="R1615" s="177"/>
    </row>
    <row r="1616" spans="1:18" hidden="1" x14ac:dyDescent="0.25">
      <c r="A1616" s="29" t="s">
        <v>2036</v>
      </c>
      <c r="B1616" s="29" t="s">
        <v>2035</v>
      </c>
      <c r="C1616" s="29" t="s">
        <v>1314</v>
      </c>
      <c r="D1616" s="29" t="str">
        <f>VLOOKUP(C:C,'COUNT-CONT'!B:C,2,FALSE)</f>
        <v>Asia</v>
      </c>
      <c r="E1616" s="29">
        <v>2</v>
      </c>
      <c r="F1616" s="28">
        <v>1504</v>
      </c>
      <c r="G1616" s="28">
        <v>3186182978</v>
      </c>
      <c r="H1616" s="29">
        <v>13.78</v>
      </c>
      <c r="I1616" s="142">
        <v>-65.66</v>
      </c>
      <c r="J1616" s="29">
        <v>4.4400000000000004</v>
      </c>
      <c r="K1616" s="29">
        <v>3.17</v>
      </c>
      <c r="L1616" s="29">
        <v>10.61</v>
      </c>
      <c r="M1616" s="368"/>
      <c r="N1616" s="368"/>
      <c r="O1616" s="271">
        <f>IFERROR(Table17[[#This Row],[PROFIT]]/Table17[[#This Row],[TO]],0)</f>
        <v>0</v>
      </c>
      <c r="P1616" s="177"/>
      <c r="Q1616" s="177"/>
      <c r="R1616" s="177"/>
    </row>
    <row r="1617" spans="1:18" hidden="1" x14ac:dyDescent="0.25">
      <c r="A1617" s="29" t="s">
        <v>2268</v>
      </c>
      <c r="B1617" s="29" t="s">
        <v>2267</v>
      </c>
      <c r="C1617" s="29" t="s">
        <v>78</v>
      </c>
      <c r="D1617" s="29" t="str">
        <f>VLOOKUP(C:C,'COUNT-CONT'!B:C,2,FALSE)</f>
        <v>Europe</v>
      </c>
      <c r="E1617" s="29">
        <v>10</v>
      </c>
      <c r="F1617" s="28">
        <v>3311</v>
      </c>
      <c r="G1617" s="28">
        <v>3053425913</v>
      </c>
      <c r="H1617" s="29">
        <v>13.75</v>
      </c>
      <c r="I1617" s="142">
        <v>-65.69</v>
      </c>
      <c r="J1617" s="29">
        <v>4.96</v>
      </c>
      <c r="K1617" s="29">
        <v>4.05</v>
      </c>
      <c r="L1617" s="29">
        <v>11.28</v>
      </c>
      <c r="M1617" s="368"/>
      <c r="N1617" s="368"/>
      <c r="O1617" s="271">
        <f>IFERROR(Table17[[#This Row],[PROFIT]]/Table17[[#This Row],[TO]],0)</f>
        <v>0</v>
      </c>
      <c r="P1617" s="177"/>
      <c r="Q1617" s="177"/>
      <c r="R1617" s="177"/>
    </row>
    <row r="1618" spans="1:18" ht="30" hidden="1" x14ac:dyDescent="0.25">
      <c r="A1618" s="29" t="s">
        <v>3139</v>
      </c>
      <c r="B1618" s="29" t="s">
        <v>3138</v>
      </c>
      <c r="C1618" s="29" t="s">
        <v>597</v>
      </c>
      <c r="D1618" s="29" t="str">
        <f>VLOOKUP(C:C,'COUNT-CONT'!B:C,2,FALSE)</f>
        <v>Europe</v>
      </c>
      <c r="E1618" s="29">
        <v>6</v>
      </c>
      <c r="F1618" s="28">
        <v>2430</v>
      </c>
      <c r="G1618" s="28">
        <v>3622874897</v>
      </c>
      <c r="H1618" s="29">
        <v>13.75</v>
      </c>
      <c r="I1618" s="142">
        <v>-65.69</v>
      </c>
      <c r="J1618" s="29">
        <v>8.19</v>
      </c>
      <c r="K1618" s="29">
        <v>7.62</v>
      </c>
      <c r="L1618" s="29">
        <v>14.66</v>
      </c>
      <c r="M1618" s="368"/>
      <c r="N1618" s="368"/>
      <c r="O1618" s="271">
        <f>IFERROR(Table17[[#This Row],[PROFIT]]/Table17[[#This Row],[TO]],0)</f>
        <v>0</v>
      </c>
      <c r="P1618" s="177"/>
      <c r="Q1618" s="177"/>
      <c r="R1618" s="177"/>
    </row>
    <row r="1619" spans="1:18" hidden="1" x14ac:dyDescent="0.25">
      <c r="A1619" s="29" t="s">
        <v>3201</v>
      </c>
      <c r="B1619" s="29" t="s">
        <v>3200</v>
      </c>
      <c r="C1619" s="29" t="s">
        <v>308</v>
      </c>
      <c r="D1619" s="29" t="str">
        <f>VLOOKUP(C:C,'COUNT-CONT'!B:C,2,FALSE)</f>
        <v>Europe</v>
      </c>
      <c r="E1619" s="29">
        <v>5</v>
      </c>
      <c r="F1619" s="28">
        <v>2125</v>
      </c>
      <c r="G1619" s="28">
        <v>3713847058</v>
      </c>
      <c r="H1619" s="29">
        <v>13.75</v>
      </c>
      <c r="I1619" s="142">
        <v>-65.69</v>
      </c>
      <c r="J1619" s="29">
        <v>8.3699999999999992</v>
      </c>
      <c r="K1619" s="29">
        <v>8.07</v>
      </c>
      <c r="L1619" s="29">
        <v>14.96</v>
      </c>
      <c r="M1619" s="368"/>
      <c r="N1619" s="368"/>
      <c r="O1619" s="271">
        <f>IFERROR(Table17[[#This Row],[PROFIT]]/Table17[[#This Row],[TO]],0)</f>
        <v>0</v>
      </c>
      <c r="P1619" s="177"/>
      <c r="Q1619" s="177"/>
      <c r="R1619" s="177"/>
    </row>
    <row r="1620" spans="1:18" x14ac:dyDescent="0.25">
      <c r="A1620" s="29" t="s">
        <v>3133</v>
      </c>
      <c r="B1620" s="29" t="s">
        <v>3132</v>
      </c>
      <c r="C1620" s="29" t="s">
        <v>774</v>
      </c>
      <c r="D1620" s="29" t="str">
        <f>VLOOKUP(C:C,'COUNT-CONT'!B:C,2,FALSE)</f>
        <v>Oceania</v>
      </c>
      <c r="E1620" s="29">
        <v>4</v>
      </c>
      <c r="F1620" s="28">
        <v>1913</v>
      </c>
      <c r="G1620" s="28">
        <v>3709213068</v>
      </c>
      <c r="H1620" s="29">
        <v>13.75</v>
      </c>
      <c r="I1620" s="142">
        <v>-65.69</v>
      </c>
      <c r="J1620" s="29">
        <v>8.19</v>
      </c>
      <c r="K1620" s="29">
        <v>7.62</v>
      </c>
      <c r="L1620" s="29">
        <v>14.66</v>
      </c>
      <c r="M1620" s="368"/>
      <c r="N1620" s="368"/>
      <c r="O1620" s="271">
        <f>IFERROR(Table17[[#This Row],[PROFIT]]/Table17[[#This Row],[TO]],0)</f>
        <v>0</v>
      </c>
      <c r="P1620" s="177"/>
      <c r="Q1620" s="177"/>
      <c r="R1620" s="177"/>
    </row>
    <row r="1621" spans="1:18" ht="30" hidden="1" x14ac:dyDescent="0.25">
      <c r="A1621" s="29" t="s">
        <v>3206</v>
      </c>
      <c r="B1621" s="29" t="s">
        <v>3205</v>
      </c>
      <c r="C1621" s="29" t="s">
        <v>3204</v>
      </c>
      <c r="D1621" s="29" t="str">
        <f>VLOOKUP(C:C,'COUNT-CONT'!B:C,2,FALSE)</f>
        <v>Europe</v>
      </c>
      <c r="E1621" s="29">
        <v>6</v>
      </c>
      <c r="F1621" s="28">
        <v>2535</v>
      </c>
      <c r="G1621" s="28">
        <v>3669725049</v>
      </c>
      <c r="H1621" s="29">
        <v>13.75</v>
      </c>
      <c r="I1621" s="142">
        <v>-65.69</v>
      </c>
      <c r="J1621" s="29">
        <v>8.3699999999999992</v>
      </c>
      <c r="K1621" s="29">
        <v>8.07</v>
      </c>
      <c r="L1621" s="29">
        <v>14.96</v>
      </c>
      <c r="M1621" s="368"/>
      <c r="N1621" s="368"/>
      <c r="O1621" s="271">
        <f>IFERROR(Table17[[#This Row],[PROFIT]]/Table17[[#This Row],[TO]],0)</f>
        <v>0</v>
      </c>
      <c r="P1621" s="177"/>
      <c r="Q1621" s="177"/>
      <c r="R1621" s="177"/>
    </row>
    <row r="1622" spans="1:18" ht="30" hidden="1" x14ac:dyDescent="0.25">
      <c r="A1622" s="29" t="s">
        <v>3199</v>
      </c>
      <c r="B1622" s="29" t="s">
        <v>3198</v>
      </c>
      <c r="C1622" s="29" t="s">
        <v>1946</v>
      </c>
      <c r="D1622" s="29" t="str">
        <f>VLOOKUP(C:C,'COUNT-CONT'!B:C,2,FALSE)</f>
        <v>North America</v>
      </c>
      <c r="E1622" s="29">
        <v>5</v>
      </c>
      <c r="F1622" s="28">
        <v>2125</v>
      </c>
      <c r="G1622" s="28">
        <v>3713847058</v>
      </c>
      <c r="H1622" s="29">
        <v>13.75</v>
      </c>
      <c r="I1622" s="142">
        <v>-65.69</v>
      </c>
      <c r="J1622" s="29">
        <v>8.3699999999999992</v>
      </c>
      <c r="K1622" s="29">
        <v>8.07</v>
      </c>
      <c r="L1622" s="29">
        <v>14.96</v>
      </c>
      <c r="M1622" s="368"/>
      <c r="N1622" s="368"/>
      <c r="O1622" s="271">
        <f>IFERROR(Table17[[#This Row],[PROFIT]]/Table17[[#This Row],[TO]],0)</f>
        <v>0</v>
      </c>
      <c r="P1622" s="177"/>
      <c r="Q1622" s="177"/>
      <c r="R1622" s="177"/>
    </row>
    <row r="1623" spans="1:18" hidden="1" x14ac:dyDescent="0.25">
      <c r="A1623" s="29" t="s">
        <v>1616</v>
      </c>
      <c r="B1623" s="29" t="s">
        <v>1615</v>
      </c>
      <c r="C1623" s="29" t="s">
        <v>1070</v>
      </c>
      <c r="D1623" s="29" t="str">
        <f>VLOOKUP(C:C,'COUNT-CONT'!B:C,2,FALSE)</f>
        <v>Asia</v>
      </c>
      <c r="E1623" s="29">
        <v>1</v>
      </c>
      <c r="F1623" s="28">
        <v>1099</v>
      </c>
      <c r="G1623" s="28">
        <v>3333609918</v>
      </c>
      <c r="H1623" s="29">
        <v>13.75</v>
      </c>
      <c r="I1623" s="142">
        <v>-65.69</v>
      </c>
      <c r="J1623" s="29">
        <v>3.2</v>
      </c>
      <c r="K1623" s="29">
        <v>2.06</v>
      </c>
      <c r="L1623" s="29">
        <v>9.43</v>
      </c>
      <c r="M1623" s="368"/>
      <c r="N1623" s="368"/>
      <c r="O1623" s="271">
        <f>IFERROR(Table17[[#This Row],[PROFIT]]/Table17[[#This Row],[TO]],0)</f>
        <v>0</v>
      </c>
      <c r="P1623" s="177"/>
      <c r="Q1623" s="177"/>
      <c r="R1623" s="177"/>
    </row>
    <row r="1624" spans="1:18" ht="30" hidden="1" x14ac:dyDescent="0.25">
      <c r="A1624" s="29" t="s">
        <v>3400</v>
      </c>
      <c r="B1624" s="29" t="s">
        <v>3399</v>
      </c>
      <c r="C1624" s="29" t="s">
        <v>514</v>
      </c>
      <c r="D1624" s="29" t="str">
        <f>VLOOKUP(C:C,'COUNT-CONT'!B:C,2,FALSE)</f>
        <v>North America</v>
      </c>
      <c r="E1624" s="29">
        <v>3</v>
      </c>
      <c r="F1624" s="28">
        <v>1634</v>
      </c>
      <c r="G1624" s="28">
        <v>3911694614</v>
      </c>
      <c r="H1624" s="29">
        <v>13.75</v>
      </c>
      <c r="I1624" s="142">
        <v>-65.69</v>
      </c>
      <c r="J1624" s="29">
        <v>9.07</v>
      </c>
      <c r="K1624" s="29">
        <v>8.77</v>
      </c>
      <c r="L1624" s="29">
        <v>15.66</v>
      </c>
      <c r="M1624" s="368"/>
      <c r="N1624" s="368"/>
      <c r="O1624" s="271">
        <f>IFERROR(Table17[[#This Row],[PROFIT]]/Table17[[#This Row],[TO]],0)</f>
        <v>0</v>
      </c>
      <c r="P1624" s="177"/>
      <c r="Q1624" s="177"/>
      <c r="R1624" s="177"/>
    </row>
    <row r="1625" spans="1:18" ht="30" hidden="1" x14ac:dyDescent="0.25">
      <c r="A1625" s="29" t="s">
        <v>3398</v>
      </c>
      <c r="B1625" s="29" t="s">
        <v>3397</v>
      </c>
      <c r="C1625" s="29" t="s">
        <v>514</v>
      </c>
      <c r="D1625" s="29" t="str">
        <f>VLOOKUP(C:C,'COUNT-CONT'!B:C,2,FALSE)</f>
        <v>North America</v>
      </c>
      <c r="E1625" s="29">
        <v>10</v>
      </c>
      <c r="F1625" s="28">
        <v>3407</v>
      </c>
      <c r="G1625" s="28">
        <v>3734964690</v>
      </c>
      <c r="H1625" s="29">
        <v>13.75</v>
      </c>
      <c r="I1625" s="142">
        <v>-65.69</v>
      </c>
      <c r="J1625" s="29">
        <v>9.07</v>
      </c>
      <c r="K1625" s="29">
        <v>8.74</v>
      </c>
      <c r="L1625" s="29">
        <v>15.63</v>
      </c>
      <c r="M1625" s="368"/>
      <c r="N1625" s="368"/>
      <c r="O1625" s="271">
        <f>IFERROR(Table17[[#This Row],[PROFIT]]/Table17[[#This Row],[TO]],0)</f>
        <v>0</v>
      </c>
      <c r="P1625" s="177"/>
      <c r="Q1625" s="177"/>
      <c r="R1625" s="177"/>
    </row>
    <row r="1626" spans="1:18" hidden="1" x14ac:dyDescent="0.25">
      <c r="A1626" s="29" t="s">
        <v>2862</v>
      </c>
      <c r="B1626" s="29" t="s">
        <v>2861</v>
      </c>
      <c r="C1626" s="147" t="s">
        <v>12976</v>
      </c>
      <c r="D1626" s="29" t="e">
        <f>VLOOKUP(C:C,'COUNT-CONT'!B:C,2,FALSE)</f>
        <v>#N/A</v>
      </c>
      <c r="E1626" s="29">
        <v>5</v>
      </c>
      <c r="F1626" s="28">
        <v>2114</v>
      </c>
      <c r="G1626" s="28">
        <v>3430940586</v>
      </c>
      <c r="H1626" s="29">
        <v>13.75</v>
      </c>
      <c r="I1626" s="142">
        <v>-65.69</v>
      </c>
      <c r="J1626" s="29">
        <v>7.01</v>
      </c>
      <c r="K1626" s="29">
        <v>6.2</v>
      </c>
      <c r="L1626" s="29">
        <v>13.48</v>
      </c>
      <c r="M1626" s="368"/>
      <c r="N1626" s="368"/>
      <c r="O1626" s="271">
        <f>IFERROR(Table17[[#This Row],[PROFIT]]/Table17[[#This Row],[TO]],0)</f>
        <v>0</v>
      </c>
      <c r="P1626" s="177"/>
      <c r="Q1626" s="177"/>
      <c r="R1626" s="177"/>
    </row>
    <row r="1627" spans="1:18" ht="30" hidden="1" x14ac:dyDescent="0.25">
      <c r="A1627" s="29" t="s">
        <v>3862</v>
      </c>
      <c r="B1627" s="29" t="s">
        <v>3861</v>
      </c>
      <c r="C1627" s="29" t="s">
        <v>11732</v>
      </c>
      <c r="D1627" s="29" t="str">
        <f>VLOOKUP(C:C,'COUNT-CONT'!B:C,2,FALSE)</f>
        <v>North America</v>
      </c>
      <c r="E1627" s="29">
        <v>6</v>
      </c>
      <c r="F1627" s="28">
        <v>2370</v>
      </c>
      <c r="G1627" s="28">
        <v>4196635021</v>
      </c>
      <c r="H1627" s="29">
        <v>13.72</v>
      </c>
      <c r="I1627" s="142">
        <v>-65.72</v>
      </c>
      <c r="J1627" s="29">
        <v>11.19</v>
      </c>
      <c r="K1627" s="29">
        <v>11.19</v>
      </c>
      <c r="L1627" s="29">
        <v>18.05</v>
      </c>
      <c r="M1627" s="368"/>
      <c r="N1627" s="368"/>
      <c r="O1627" s="271">
        <f>IFERROR(Table17[[#This Row],[PROFIT]]/Table17[[#This Row],[TO]],0)</f>
        <v>0</v>
      </c>
      <c r="P1627" s="177"/>
      <c r="Q1627" s="177"/>
      <c r="R1627" s="177"/>
    </row>
    <row r="1628" spans="1:18" hidden="1" x14ac:dyDescent="0.25">
      <c r="A1628" s="29" t="s">
        <v>2744</v>
      </c>
      <c r="B1628" s="29" t="s">
        <v>2743</v>
      </c>
      <c r="C1628" s="29" t="s">
        <v>508</v>
      </c>
      <c r="D1628" s="29" t="str">
        <f>VLOOKUP(C:C,'COUNT-CONT'!B:C,2,FALSE)</f>
        <v>Europe</v>
      </c>
      <c r="E1628" s="29">
        <v>6</v>
      </c>
      <c r="F1628" s="28">
        <v>2293</v>
      </c>
      <c r="G1628" s="28">
        <v>3322920889</v>
      </c>
      <c r="H1628" s="29">
        <v>13.72</v>
      </c>
      <c r="I1628" s="142">
        <v>-65.72</v>
      </c>
      <c r="J1628" s="29">
        <v>6.47</v>
      </c>
      <c r="K1628" s="29">
        <v>5.68</v>
      </c>
      <c r="L1628" s="29">
        <v>12.97</v>
      </c>
      <c r="M1628" s="368"/>
      <c r="N1628" s="368"/>
      <c r="O1628" s="271">
        <f>IFERROR(Table17[[#This Row],[PROFIT]]/Table17[[#This Row],[TO]],0)</f>
        <v>0</v>
      </c>
      <c r="P1628" s="177"/>
      <c r="Q1628" s="177"/>
      <c r="R1628" s="177"/>
    </row>
    <row r="1629" spans="1:18" hidden="1" x14ac:dyDescent="0.25">
      <c r="A1629" s="29" t="s">
        <v>3182</v>
      </c>
      <c r="B1629" s="29" t="s">
        <v>3181</v>
      </c>
      <c r="C1629" s="29" t="s">
        <v>3180</v>
      </c>
      <c r="D1629" s="29" t="str">
        <f>VLOOKUP(C:C,'COUNT-CONT'!B:C,2,FALSE)</f>
        <v>Europe</v>
      </c>
      <c r="E1629" s="29">
        <v>3</v>
      </c>
      <c r="F1629" s="28">
        <v>1525</v>
      </c>
      <c r="G1629" s="28">
        <v>3848511475</v>
      </c>
      <c r="H1629" s="29">
        <v>13.69</v>
      </c>
      <c r="I1629" s="142">
        <v>-65.75</v>
      </c>
      <c r="J1629" s="29">
        <v>8.34</v>
      </c>
      <c r="K1629" s="29">
        <v>8.0399999999999991</v>
      </c>
      <c r="L1629" s="29">
        <v>14.9</v>
      </c>
      <c r="M1629" s="368"/>
      <c r="N1629" s="368"/>
      <c r="O1629" s="271">
        <f>IFERROR(Table17[[#This Row],[PROFIT]]/Table17[[#This Row],[TO]],0)</f>
        <v>0</v>
      </c>
      <c r="P1629" s="177"/>
      <c r="Q1629" s="177"/>
      <c r="R1629" s="177"/>
    </row>
    <row r="1630" spans="1:18" hidden="1" x14ac:dyDescent="0.25">
      <c r="A1630" s="29" t="s">
        <v>3173</v>
      </c>
      <c r="B1630" s="29" t="s">
        <v>3172</v>
      </c>
      <c r="C1630" s="29" t="s">
        <v>1427</v>
      </c>
      <c r="D1630" s="29" t="str">
        <f>VLOOKUP(C:C,'COUNT-CONT'!B:C,2,FALSE)</f>
        <v>Europe</v>
      </c>
      <c r="E1630" s="29">
        <v>7</v>
      </c>
      <c r="F1630" s="28">
        <v>2545</v>
      </c>
      <c r="G1630" s="28">
        <v>3640620039</v>
      </c>
      <c r="H1630" s="29">
        <v>13.66</v>
      </c>
      <c r="I1630" s="142">
        <v>-65.78</v>
      </c>
      <c r="J1630" s="29">
        <v>8.31</v>
      </c>
      <c r="K1630" s="29">
        <v>7.71</v>
      </c>
      <c r="L1630" s="29">
        <v>14.84</v>
      </c>
      <c r="M1630" s="368"/>
      <c r="N1630" s="368"/>
      <c r="O1630" s="271">
        <f>IFERROR(Table17[[#This Row],[PROFIT]]/Table17[[#This Row],[TO]],0)</f>
        <v>0</v>
      </c>
      <c r="P1630" s="177"/>
      <c r="Q1630" s="177"/>
      <c r="R1630" s="177"/>
    </row>
    <row r="1631" spans="1:18" hidden="1" x14ac:dyDescent="0.25">
      <c r="A1631" s="29" t="s">
        <v>1851</v>
      </c>
      <c r="B1631" s="29" t="s">
        <v>1850</v>
      </c>
      <c r="C1631" s="29" t="s">
        <v>926</v>
      </c>
      <c r="D1631" s="29" t="str">
        <f>VLOOKUP(C:C,'COUNT-CONT'!B:C,2,FALSE)</f>
        <v>Africa</v>
      </c>
      <c r="E1631" s="29">
        <v>10</v>
      </c>
      <c r="F1631" s="28">
        <v>4910</v>
      </c>
      <c r="G1631" s="28">
        <v>2976832586</v>
      </c>
      <c r="H1631" s="29">
        <v>13.66</v>
      </c>
      <c r="I1631" s="142">
        <v>-65.78</v>
      </c>
      <c r="J1631" s="29">
        <v>3.81</v>
      </c>
      <c r="K1631" s="29">
        <v>2.6</v>
      </c>
      <c r="L1631" s="29">
        <v>10.07</v>
      </c>
      <c r="M1631" s="368"/>
      <c r="N1631" s="368"/>
      <c r="O1631" s="271">
        <f>IFERROR(Table17[[#This Row],[PROFIT]]/Table17[[#This Row],[TO]],0)</f>
        <v>0</v>
      </c>
      <c r="P1631" s="177"/>
      <c r="Q1631" s="177"/>
      <c r="R1631" s="177"/>
    </row>
    <row r="1632" spans="1:18" ht="30" hidden="1" x14ac:dyDescent="0.25">
      <c r="A1632" s="29" t="s">
        <v>2353</v>
      </c>
      <c r="B1632" s="29" t="s">
        <v>2352</v>
      </c>
      <c r="C1632" s="29" t="s">
        <v>517</v>
      </c>
      <c r="D1632" s="29" t="str">
        <f>VLOOKUP(C:C,'COUNT-CONT'!B:C,2,FALSE)</f>
        <v>South America</v>
      </c>
      <c r="E1632" s="29">
        <v>3</v>
      </c>
      <c r="F1632" s="28">
        <v>1606</v>
      </c>
      <c r="G1632" s="28">
        <v>3277731506</v>
      </c>
      <c r="H1632" s="29">
        <v>13.63</v>
      </c>
      <c r="I1632" s="142">
        <v>-65.81</v>
      </c>
      <c r="J1632" s="29">
        <v>5.32</v>
      </c>
      <c r="K1632" s="29">
        <v>4.38</v>
      </c>
      <c r="L1632" s="29">
        <v>11.58</v>
      </c>
      <c r="M1632" s="368"/>
      <c r="N1632" s="368"/>
      <c r="O1632" s="271">
        <f>IFERROR(Table17[[#This Row],[PROFIT]]/Table17[[#This Row],[TO]],0)</f>
        <v>0</v>
      </c>
      <c r="P1632" s="177"/>
      <c r="Q1632" s="177"/>
      <c r="R1632" s="177"/>
    </row>
    <row r="1633" spans="1:18" x14ac:dyDescent="0.25">
      <c r="A1633" s="29" t="s">
        <v>3099</v>
      </c>
      <c r="B1633" s="29" t="s">
        <v>3098</v>
      </c>
      <c r="C1633" s="29" t="s">
        <v>774</v>
      </c>
      <c r="D1633" s="29" t="str">
        <f>VLOOKUP(C:C,'COUNT-CONT'!B:C,2,FALSE)</f>
        <v>Oceania</v>
      </c>
      <c r="E1633" s="29">
        <v>4</v>
      </c>
      <c r="F1633" s="28">
        <v>2047</v>
      </c>
      <c r="G1633" s="28">
        <v>3659171763</v>
      </c>
      <c r="H1633" s="29">
        <v>13.6</v>
      </c>
      <c r="I1633" s="142">
        <v>-65.84</v>
      </c>
      <c r="J1633" s="29">
        <v>8.1</v>
      </c>
      <c r="K1633" s="29">
        <v>7.53</v>
      </c>
      <c r="L1633" s="29">
        <v>14.48</v>
      </c>
      <c r="M1633" s="368"/>
      <c r="N1633" s="368"/>
      <c r="O1633" s="271">
        <f>IFERROR(Table17[[#This Row],[PROFIT]]/Table17[[#This Row],[TO]],0)</f>
        <v>0</v>
      </c>
      <c r="P1633" s="177"/>
      <c r="Q1633" s="177"/>
      <c r="R1633" s="177"/>
    </row>
    <row r="1634" spans="1:18" hidden="1" x14ac:dyDescent="0.25">
      <c r="A1634" s="29" t="s">
        <v>2337</v>
      </c>
      <c r="B1634" s="29" t="s">
        <v>2336</v>
      </c>
      <c r="C1634" s="29" t="s">
        <v>14</v>
      </c>
      <c r="D1634" s="29" t="str">
        <f>VLOOKUP(C:C,'COUNT-CONT'!B:C,2,FALSE)</f>
        <v>Asia</v>
      </c>
      <c r="E1634" s="29">
        <v>4</v>
      </c>
      <c r="F1634" s="28">
        <v>1806</v>
      </c>
      <c r="G1634" s="28">
        <v>3215480841</v>
      </c>
      <c r="H1634" s="29">
        <v>13.6</v>
      </c>
      <c r="I1634" s="142">
        <v>-65.84</v>
      </c>
      <c r="J1634" s="29">
        <v>5.29</v>
      </c>
      <c r="K1634" s="29">
        <v>4.3499999999999996</v>
      </c>
      <c r="L1634" s="29">
        <v>11.52</v>
      </c>
      <c r="M1634" s="368"/>
      <c r="N1634" s="368"/>
      <c r="O1634" s="271">
        <f>IFERROR(Table17[[#This Row],[PROFIT]]/Table17[[#This Row],[TO]],0)</f>
        <v>0</v>
      </c>
      <c r="P1634" s="177"/>
      <c r="Q1634" s="177"/>
      <c r="R1634" s="177"/>
    </row>
    <row r="1635" spans="1:18" hidden="1" x14ac:dyDescent="0.25">
      <c r="A1635" s="29" t="s">
        <v>3840</v>
      </c>
      <c r="B1635" s="29" t="s">
        <v>3839</v>
      </c>
      <c r="C1635" s="29" t="s">
        <v>560</v>
      </c>
      <c r="D1635" s="29" t="str">
        <f>VLOOKUP(C:C,'COUNT-CONT'!B:C,2,FALSE)</f>
        <v>Europe</v>
      </c>
      <c r="E1635" s="29">
        <v>6</v>
      </c>
      <c r="F1635" s="28">
        <v>2551</v>
      </c>
      <c r="G1635" s="28">
        <v>4162403449</v>
      </c>
      <c r="H1635" s="29">
        <v>13.6</v>
      </c>
      <c r="I1635" s="142">
        <v>-65.84</v>
      </c>
      <c r="J1635" s="29">
        <v>11.09</v>
      </c>
      <c r="K1635" s="29">
        <v>11.09</v>
      </c>
      <c r="L1635" s="29">
        <v>17.93</v>
      </c>
      <c r="M1635" s="368"/>
      <c r="N1635" s="368"/>
      <c r="O1635" s="271">
        <f>IFERROR(Table17[[#This Row],[PROFIT]]/Table17[[#This Row],[TO]],0)</f>
        <v>0</v>
      </c>
      <c r="P1635" s="177"/>
      <c r="Q1635" s="177"/>
      <c r="R1635" s="177"/>
    </row>
    <row r="1636" spans="1:18" ht="30" hidden="1" x14ac:dyDescent="0.25">
      <c r="A1636" s="29" t="s">
        <v>3831</v>
      </c>
      <c r="B1636" s="29" t="s">
        <v>3830</v>
      </c>
      <c r="C1636" s="29" t="s">
        <v>11732</v>
      </c>
      <c r="D1636" s="29" t="str">
        <f>VLOOKUP(C:C,'COUNT-CONT'!B:C,2,FALSE)</f>
        <v>North America</v>
      </c>
      <c r="E1636" s="29">
        <v>7</v>
      </c>
      <c r="F1636" s="28">
        <v>2806</v>
      </c>
      <c r="G1636" s="28">
        <v>4143417106</v>
      </c>
      <c r="H1636" s="29">
        <v>13.57</v>
      </c>
      <c r="I1636" s="142">
        <v>-65.87</v>
      </c>
      <c r="J1636" s="29">
        <v>11.06</v>
      </c>
      <c r="K1636" s="29">
        <v>11.06</v>
      </c>
      <c r="L1636" s="29">
        <v>17.87</v>
      </c>
      <c r="M1636" s="368"/>
      <c r="N1636" s="368"/>
      <c r="O1636" s="271">
        <f>IFERROR(Table17[[#This Row],[PROFIT]]/Table17[[#This Row],[TO]],0)</f>
        <v>0</v>
      </c>
      <c r="P1636" s="177"/>
      <c r="Q1636" s="177"/>
      <c r="R1636" s="177"/>
    </row>
    <row r="1637" spans="1:18" ht="30" hidden="1" x14ac:dyDescent="0.25">
      <c r="A1637" s="29" t="s">
        <v>3825</v>
      </c>
      <c r="B1637" s="29" t="s">
        <v>3824</v>
      </c>
      <c r="C1637" s="29" t="s">
        <v>560</v>
      </c>
      <c r="D1637" s="29" t="str">
        <f>VLOOKUP(C:C,'COUNT-CONT'!B:C,2,FALSE)</f>
        <v>Europe</v>
      </c>
      <c r="E1637" s="29">
        <v>5</v>
      </c>
      <c r="F1637" s="28">
        <v>2095</v>
      </c>
      <c r="G1637" s="28">
        <v>4206459665</v>
      </c>
      <c r="H1637" s="29">
        <v>13.57</v>
      </c>
      <c r="I1637" s="142">
        <v>-65.87</v>
      </c>
      <c r="J1637" s="29">
        <v>11.06</v>
      </c>
      <c r="K1637" s="29">
        <v>11.06</v>
      </c>
      <c r="L1637" s="29">
        <v>17.87</v>
      </c>
      <c r="M1637" s="368"/>
      <c r="N1637" s="368"/>
      <c r="O1637" s="271">
        <f>IFERROR(Table17[[#This Row],[PROFIT]]/Table17[[#This Row],[TO]],0)</f>
        <v>0</v>
      </c>
      <c r="P1637" s="177"/>
      <c r="Q1637" s="177"/>
      <c r="R1637" s="177"/>
    </row>
    <row r="1638" spans="1:18" ht="30" hidden="1" x14ac:dyDescent="0.25">
      <c r="A1638" s="29" t="s">
        <v>2589</v>
      </c>
      <c r="B1638" s="29" t="s">
        <v>2588</v>
      </c>
      <c r="C1638" s="29" t="s">
        <v>530</v>
      </c>
      <c r="D1638" s="29" t="str">
        <f>VLOOKUP(C:C,'COUNT-CONT'!B:C,2,FALSE)</f>
        <v>South America</v>
      </c>
      <c r="E1638" s="29">
        <v>3</v>
      </c>
      <c r="F1638" s="28">
        <v>1668</v>
      </c>
      <c r="G1638" s="28">
        <v>3362272422</v>
      </c>
      <c r="H1638" s="29">
        <v>13.57</v>
      </c>
      <c r="I1638" s="142">
        <v>-65.87</v>
      </c>
      <c r="J1638" s="29">
        <v>5.93</v>
      </c>
      <c r="K1638" s="29">
        <v>5.17</v>
      </c>
      <c r="L1638" s="29">
        <v>12.36</v>
      </c>
      <c r="M1638" s="368"/>
      <c r="N1638" s="368"/>
      <c r="O1638" s="271">
        <f>IFERROR(Table17[[#This Row],[PROFIT]]/Table17[[#This Row],[TO]],0)</f>
        <v>0</v>
      </c>
      <c r="P1638" s="177"/>
      <c r="Q1638" s="177"/>
      <c r="R1638" s="177"/>
    </row>
    <row r="1639" spans="1:18" hidden="1" x14ac:dyDescent="0.25">
      <c r="A1639" s="29" t="s">
        <v>2706</v>
      </c>
      <c r="B1639" s="29" t="s">
        <v>2705</v>
      </c>
      <c r="C1639" s="29" t="s">
        <v>630</v>
      </c>
      <c r="D1639" s="29" t="str">
        <f>VLOOKUP(C:C,'COUNT-CONT'!B:C,2,FALSE)</f>
        <v>Europe</v>
      </c>
      <c r="E1639" s="29">
        <v>4</v>
      </c>
      <c r="F1639" s="28">
        <v>2011</v>
      </c>
      <c r="G1639" s="28">
        <v>3449591546</v>
      </c>
      <c r="H1639" s="29">
        <v>13.57</v>
      </c>
      <c r="I1639" s="142">
        <v>-65.87</v>
      </c>
      <c r="J1639" s="29">
        <v>6.41</v>
      </c>
      <c r="K1639" s="29">
        <v>5.62</v>
      </c>
      <c r="L1639" s="29">
        <v>12.82</v>
      </c>
      <c r="M1639" s="368"/>
      <c r="N1639" s="368"/>
      <c r="O1639" s="271">
        <f>IFERROR(Table17[[#This Row],[PROFIT]]/Table17[[#This Row],[TO]],0)</f>
        <v>0</v>
      </c>
      <c r="P1639" s="177"/>
      <c r="Q1639" s="177"/>
      <c r="R1639" s="177"/>
    </row>
    <row r="1640" spans="1:18" hidden="1" x14ac:dyDescent="0.25">
      <c r="A1640" s="29" t="s">
        <v>1573</v>
      </c>
      <c r="B1640" s="29" t="s">
        <v>1572</v>
      </c>
      <c r="C1640" s="29" t="s">
        <v>1070</v>
      </c>
      <c r="D1640" s="29" t="str">
        <f>VLOOKUP(C:C,'COUNT-CONT'!B:C,2,FALSE)</f>
        <v>Asia</v>
      </c>
      <c r="E1640" s="29">
        <v>3</v>
      </c>
      <c r="F1640" s="28">
        <v>1525</v>
      </c>
      <c r="G1640" s="28">
        <v>3080611475</v>
      </c>
      <c r="H1640" s="29">
        <v>13.57</v>
      </c>
      <c r="I1640" s="142">
        <v>-65.87</v>
      </c>
      <c r="J1640" s="29">
        <v>3.14</v>
      </c>
      <c r="K1640" s="29">
        <v>2.0299999999999998</v>
      </c>
      <c r="L1640" s="29">
        <v>9.31</v>
      </c>
      <c r="M1640" s="368"/>
      <c r="N1640" s="368"/>
      <c r="O1640" s="271">
        <f>IFERROR(Table17[[#This Row],[PROFIT]]/Table17[[#This Row],[TO]],0)</f>
        <v>0</v>
      </c>
      <c r="P1640" s="177"/>
      <c r="Q1640" s="177"/>
      <c r="R1640" s="177"/>
    </row>
    <row r="1641" spans="1:18" ht="30" hidden="1" x14ac:dyDescent="0.25">
      <c r="A1641" s="29" t="s">
        <v>3823</v>
      </c>
      <c r="B1641" s="29" t="s">
        <v>3822</v>
      </c>
      <c r="C1641" s="29" t="s">
        <v>11732</v>
      </c>
      <c r="D1641" s="29" t="str">
        <f>VLOOKUP(C:C,'COUNT-CONT'!B:C,2,FALSE)</f>
        <v>North America</v>
      </c>
      <c r="E1641" s="29">
        <v>7</v>
      </c>
      <c r="F1641" s="28">
        <v>2798</v>
      </c>
      <c r="G1641" s="28">
        <v>4135837955</v>
      </c>
      <c r="H1641" s="29">
        <v>13.54</v>
      </c>
      <c r="I1641" s="142">
        <v>-65.900000000000006</v>
      </c>
      <c r="J1641" s="29">
        <v>11.03</v>
      </c>
      <c r="K1641" s="29">
        <v>11.03</v>
      </c>
      <c r="L1641" s="29">
        <v>17.809999999999999</v>
      </c>
      <c r="M1641" s="368"/>
      <c r="N1641" s="368"/>
      <c r="O1641" s="271">
        <f>IFERROR(Table17[[#This Row],[PROFIT]]/Table17[[#This Row],[TO]],0)</f>
        <v>0</v>
      </c>
      <c r="P1641" s="177"/>
      <c r="Q1641" s="177"/>
      <c r="R1641" s="177"/>
    </row>
    <row r="1642" spans="1:18" ht="30" hidden="1" x14ac:dyDescent="0.25">
      <c r="A1642" s="29" t="s">
        <v>2407</v>
      </c>
      <c r="B1642" s="29" t="s">
        <v>2406</v>
      </c>
      <c r="C1642" s="29" t="s">
        <v>683</v>
      </c>
      <c r="D1642" s="29" t="str">
        <f>VLOOKUP(C:C,'COUNT-CONT'!B:C,2,FALSE)</f>
        <v>North America</v>
      </c>
      <c r="E1642" s="29">
        <v>6</v>
      </c>
      <c r="F1642" s="28">
        <v>2509</v>
      </c>
      <c r="G1642" s="28">
        <v>3137221681</v>
      </c>
      <c r="H1642" s="29">
        <v>13.54</v>
      </c>
      <c r="I1642" s="142">
        <v>-65.900000000000006</v>
      </c>
      <c r="J1642" s="29">
        <v>5.38</v>
      </c>
      <c r="K1642" s="29">
        <v>4.4400000000000004</v>
      </c>
      <c r="L1642" s="29">
        <v>11.7</v>
      </c>
      <c r="M1642" s="368"/>
      <c r="N1642" s="368"/>
      <c r="O1642" s="271">
        <f>IFERROR(Table17[[#This Row],[PROFIT]]/Table17[[#This Row],[TO]],0)</f>
        <v>0</v>
      </c>
      <c r="P1642" s="177"/>
      <c r="Q1642" s="177"/>
      <c r="R1642" s="177"/>
    </row>
    <row r="1643" spans="1:18" ht="30" hidden="1" x14ac:dyDescent="0.25">
      <c r="A1643" s="29" t="s">
        <v>2405</v>
      </c>
      <c r="B1643" s="29" t="s">
        <v>2404</v>
      </c>
      <c r="C1643" s="29" t="s">
        <v>860</v>
      </c>
      <c r="D1643" s="29" t="str">
        <f>VLOOKUP(C:C,'COUNT-CONT'!B:C,2,FALSE)</f>
        <v>South America</v>
      </c>
      <c r="E1643" s="29">
        <v>4</v>
      </c>
      <c r="F1643" s="28">
        <v>1917</v>
      </c>
      <c r="G1643" s="28">
        <v>3213613249</v>
      </c>
      <c r="H1643" s="29">
        <v>13.54</v>
      </c>
      <c r="I1643" s="142">
        <v>-65.900000000000006</v>
      </c>
      <c r="J1643" s="29">
        <v>5.38</v>
      </c>
      <c r="K1643" s="29">
        <v>4.4400000000000004</v>
      </c>
      <c r="L1643" s="29">
        <v>11.7</v>
      </c>
      <c r="M1643" s="368"/>
      <c r="N1643" s="368"/>
      <c r="O1643" s="271">
        <f>IFERROR(Table17[[#This Row],[PROFIT]]/Table17[[#This Row],[TO]],0)</f>
        <v>0</v>
      </c>
      <c r="P1643" s="177"/>
      <c r="Q1643" s="177"/>
      <c r="R1643" s="177"/>
    </row>
    <row r="1644" spans="1:18" ht="30" hidden="1" x14ac:dyDescent="0.25">
      <c r="A1644" s="29" t="s">
        <v>3817</v>
      </c>
      <c r="B1644" s="29" t="s">
        <v>3816</v>
      </c>
      <c r="C1644" s="29" t="s">
        <v>11732</v>
      </c>
      <c r="D1644" s="29" t="str">
        <f>VLOOKUP(C:C,'COUNT-CONT'!B:C,2,FALSE)</f>
        <v>North America</v>
      </c>
      <c r="E1644" s="29">
        <v>4</v>
      </c>
      <c r="F1644" s="28">
        <v>1866</v>
      </c>
      <c r="G1644" s="28">
        <v>4237596248</v>
      </c>
      <c r="H1644" s="29">
        <v>13.51</v>
      </c>
      <c r="I1644" s="142">
        <v>-65.929999999999993</v>
      </c>
      <c r="J1644" s="29">
        <v>11.03</v>
      </c>
      <c r="K1644" s="29">
        <v>11.03</v>
      </c>
      <c r="L1644" s="29">
        <v>17.809999999999999</v>
      </c>
      <c r="M1644" s="368"/>
      <c r="N1644" s="368"/>
      <c r="O1644" s="271">
        <f>IFERROR(Table17[[#This Row],[PROFIT]]/Table17[[#This Row],[TO]],0)</f>
        <v>0</v>
      </c>
      <c r="P1644" s="177"/>
      <c r="Q1644" s="177"/>
      <c r="R1644" s="177"/>
    </row>
    <row r="1645" spans="1:18" hidden="1" x14ac:dyDescent="0.25">
      <c r="A1645" s="29" t="s">
        <v>2313</v>
      </c>
      <c r="B1645" s="29" t="s">
        <v>2312</v>
      </c>
      <c r="C1645" s="29" t="s">
        <v>14</v>
      </c>
      <c r="D1645" s="29" t="str">
        <f>VLOOKUP(C:C,'COUNT-CONT'!B:C,2,FALSE)</f>
        <v>Asia</v>
      </c>
      <c r="E1645" s="29">
        <v>8</v>
      </c>
      <c r="F1645" s="28">
        <v>2810</v>
      </c>
      <c r="G1645" s="28">
        <v>3089859074</v>
      </c>
      <c r="H1645" s="29">
        <v>13.51</v>
      </c>
      <c r="I1645" s="142">
        <v>-65.929999999999993</v>
      </c>
      <c r="J1645" s="29">
        <v>5.26</v>
      </c>
      <c r="K1645" s="29">
        <v>4.3499999999999996</v>
      </c>
      <c r="L1645" s="29">
        <v>11.46</v>
      </c>
      <c r="M1645" s="368"/>
      <c r="N1645" s="368"/>
      <c r="O1645" s="271">
        <f>IFERROR(Table17[[#This Row],[PROFIT]]/Table17[[#This Row],[TO]],0)</f>
        <v>0</v>
      </c>
      <c r="P1645" s="177"/>
      <c r="Q1645" s="177"/>
      <c r="R1645" s="177"/>
    </row>
    <row r="1646" spans="1:18" ht="30" hidden="1" x14ac:dyDescent="0.25">
      <c r="A1646" s="29" t="s">
        <v>3309</v>
      </c>
      <c r="B1646" s="29" t="s">
        <v>3308</v>
      </c>
      <c r="C1646" s="29" t="s">
        <v>514</v>
      </c>
      <c r="D1646" s="29" t="str">
        <f>VLOOKUP(C:C,'COUNT-CONT'!B:C,2,FALSE)</f>
        <v>North America</v>
      </c>
      <c r="E1646" s="29">
        <v>6</v>
      </c>
      <c r="F1646" s="28">
        <v>2477</v>
      </c>
      <c r="G1646" s="28">
        <v>3727685587</v>
      </c>
      <c r="H1646" s="29">
        <v>13.51</v>
      </c>
      <c r="I1646" s="142">
        <v>-65.929999999999993</v>
      </c>
      <c r="J1646" s="29">
        <v>8.89</v>
      </c>
      <c r="K1646" s="29">
        <v>8.59</v>
      </c>
      <c r="L1646" s="29">
        <v>15.36</v>
      </c>
      <c r="M1646" s="368"/>
      <c r="N1646" s="368"/>
      <c r="O1646" s="271">
        <f>IFERROR(Table17[[#This Row],[PROFIT]]/Table17[[#This Row],[TO]],0)</f>
        <v>0</v>
      </c>
      <c r="P1646" s="177"/>
      <c r="Q1646" s="177"/>
      <c r="R1646" s="177"/>
    </row>
    <row r="1647" spans="1:18" ht="30" hidden="1" x14ac:dyDescent="0.25">
      <c r="A1647" s="29" t="s">
        <v>2301</v>
      </c>
      <c r="B1647" s="29" t="s">
        <v>2300</v>
      </c>
      <c r="C1647" s="29" t="s">
        <v>505</v>
      </c>
      <c r="D1647" s="29" t="e">
        <f>VLOOKUP(C:C,'COUNT-CONT'!B:C,2,FALSE)</f>
        <v>#N/A</v>
      </c>
      <c r="E1647" s="29">
        <v>5</v>
      </c>
      <c r="F1647" s="28">
        <v>2107</v>
      </c>
      <c r="G1647" s="28">
        <v>3144069292</v>
      </c>
      <c r="H1647" s="29">
        <v>13.48</v>
      </c>
      <c r="I1647" s="142">
        <v>-65.959999999999994</v>
      </c>
      <c r="J1647" s="29">
        <v>5.23</v>
      </c>
      <c r="K1647" s="29">
        <v>4.32</v>
      </c>
      <c r="L1647" s="29">
        <v>11.43</v>
      </c>
      <c r="M1647" s="368"/>
      <c r="N1647" s="368"/>
      <c r="O1647" s="271">
        <f>IFERROR(Table17[[#This Row],[PROFIT]]/Table17[[#This Row],[TO]],0)</f>
        <v>0</v>
      </c>
      <c r="P1647" s="177"/>
      <c r="Q1647" s="177"/>
      <c r="R1647" s="177"/>
    </row>
    <row r="1648" spans="1:18" hidden="1" x14ac:dyDescent="0.25">
      <c r="A1648" s="29" t="s">
        <v>3131</v>
      </c>
      <c r="B1648" s="29" t="s">
        <v>3130</v>
      </c>
      <c r="C1648" s="29" t="s">
        <v>308</v>
      </c>
      <c r="D1648" s="29" t="str">
        <f>VLOOKUP(C:C,'COUNT-CONT'!B:C,2,FALSE)</f>
        <v>Europe</v>
      </c>
      <c r="E1648" s="29">
        <v>3</v>
      </c>
      <c r="F1648" s="28">
        <v>1690</v>
      </c>
      <c r="G1648" s="28">
        <v>3762587573</v>
      </c>
      <c r="H1648" s="29">
        <v>13.48</v>
      </c>
      <c r="I1648" s="142">
        <v>-65.959999999999994</v>
      </c>
      <c r="J1648" s="29">
        <v>8.19</v>
      </c>
      <c r="K1648" s="29">
        <v>7.89</v>
      </c>
      <c r="L1648" s="29">
        <v>14.66</v>
      </c>
      <c r="M1648" s="368"/>
      <c r="N1648" s="368"/>
      <c r="O1648" s="271">
        <f>IFERROR(Table17[[#This Row],[PROFIT]]/Table17[[#This Row],[TO]],0)</f>
        <v>0</v>
      </c>
      <c r="P1648" s="177"/>
      <c r="Q1648" s="177"/>
      <c r="R1648" s="177"/>
    </row>
    <row r="1649" spans="1:18" hidden="1" x14ac:dyDescent="0.25">
      <c r="A1649" s="29" t="s">
        <v>2303</v>
      </c>
      <c r="B1649" s="29" t="s">
        <v>2302</v>
      </c>
      <c r="C1649" s="29" t="s">
        <v>14</v>
      </c>
      <c r="D1649" s="29" t="str">
        <f>VLOOKUP(C:C,'COUNT-CONT'!B:C,2,FALSE)</f>
        <v>Asia</v>
      </c>
      <c r="E1649" s="29">
        <v>6</v>
      </c>
      <c r="F1649" s="28">
        <v>2448</v>
      </c>
      <c r="G1649" s="28">
        <v>3106946405</v>
      </c>
      <c r="H1649" s="29">
        <v>13.48</v>
      </c>
      <c r="I1649" s="142">
        <v>-65.959999999999994</v>
      </c>
      <c r="J1649" s="29">
        <v>5.26</v>
      </c>
      <c r="K1649" s="29">
        <v>4.32</v>
      </c>
      <c r="L1649" s="29">
        <v>11.43</v>
      </c>
      <c r="M1649" s="368"/>
      <c r="N1649" s="368"/>
      <c r="O1649" s="271">
        <f>IFERROR(Table17[[#This Row],[PROFIT]]/Table17[[#This Row],[TO]],0)</f>
        <v>0</v>
      </c>
      <c r="P1649" s="177"/>
      <c r="Q1649" s="177"/>
      <c r="R1649" s="177"/>
    </row>
    <row r="1650" spans="1:18" x14ac:dyDescent="0.25">
      <c r="A1650" s="29" t="s">
        <v>3060</v>
      </c>
      <c r="B1650" s="29" t="s">
        <v>3059</v>
      </c>
      <c r="C1650" s="29" t="s">
        <v>774</v>
      </c>
      <c r="D1650" s="29" t="str">
        <f>VLOOKUP(C:C,'COUNT-CONT'!B:C,2,FALSE)</f>
        <v>Oceania</v>
      </c>
      <c r="E1650" s="29">
        <v>5</v>
      </c>
      <c r="F1650" s="28">
        <v>2214</v>
      </c>
      <c r="G1650" s="28">
        <v>3624238301</v>
      </c>
      <c r="H1650" s="29">
        <v>13.48</v>
      </c>
      <c r="I1650" s="142">
        <v>-65.959999999999994</v>
      </c>
      <c r="J1650" s="29">
        <v>8.0399999999999991</v>
      </c>
      <c r="K1650" s="29">
        <v>7.47</v>
      </c>
      <c r="L1650" s="29">
        <v>14.36</v>
      </c>
      <c r="M1650" s="368"/>
      <c r="N1650" s="368"/>
      <c r="O1650" s="271">
        <f>IFERROR(Table17[[#This Row],[PROFIT]]/Table17[[#This Row],[TO]],0)</f>
        <v>0</v>
      </c>
      <c r="P1650" s="177"/>
      <c r="Q1650" s="177"/>
      <c r="R1650" s="177"/>
    </row>
    <row r="1651" spans="1:18" hidden="1" x14ac:dyDescent="0.25">
      <c r="A1651" s="29" t="s">
        <v>1280</v>
      </c>
      <c r="B1651" s="29" t="s">
        <v>1279</v>
      </c>
      <c r="C1651" s="29" t="s">
        <v>1189</v>
      </c>
      <c r="D1651" s="29" t="str">
        <f>VLOOKUP(C:C,'COUNT-CONT'!B:C,2,FALSE)</f>
        <v>Africa</v>
      </c>
      <c r="E1651" s="29">
        <v>1</v>
      </c>
      <c r="F1651" s="28">
        <v>1001</v>
      </c>
      <c r="G1651" s="28">
        <v>3406901098</v>
      </c>
      <c r="H1651" s="29">
        <v>13.45</v>
      </c>
      <c r="I1651" s="142">
        <v>-65.989999999999995</v>
      </c>
      <c r="J1651" s="29">
        <v>2.54</v>
      </c>
      <c r="K1651" s="29">
        <v>1.18</v>
      </c>
      <c r="L1651" s="29">
        <v>8.52</v>
      </c>
      <c r="M1651" s="368"/>
      <c r="N1651" s="368"/>
      <c r="O1651" s="271">
        <f>IFERROR(Table17[[#This Row],[PROFIT]]/Table17[[#This Row],[TO]],0)</f>
        <v>0</v>
      </c>
      <c r="P1651" s="177"/>
      <c r="Q1651" s="177"/>
      <c r="R1651" s="177"/>
    </row>
    <row r="1652" spans="1:18" hidden="1" x14ac:dyDescent="0.25">
      <c r="A1652" s="29" t="s">
        <v>2368</v>
      </c>
      <c r="B1652" s="29" t="s">
        <v>2367</v>
      </c>
      <c r="C1652" s="29" t="s">
        <v>2366</v>
      </c>
      <c r="D1652" s="29" t="str">
        <f>VLOOKUP(C:C,'COUNT-CONT'!B:C,2,FALSE)</f>
        <v>Asia</v>
      </c>
      <c r="E1652" s="29">
        <v>1</v>
      </c>
      <c r="F1652" s="28">
        <v>1224</v>
      </c>
      <c r="G1652" s="28">
        <v>3456692810</v>
      </c>
      <c r="H1652" s="29">
        <v>13.45</v>
      </c>
      <c r="I1652" s="142">
        <v>-65.989999999999995</v>
      </c>
      <c r="J1652" s="29">
        <v>5.32</v>
      </c>
      <c r="K1652" s="29">
        <v>4.38</v>
      </c>
      <c r="L1652" s="29">
        <v>11.61</v>
      </c>
      <c r="M1652" s="368"/>
      <c r="N1652" s="368"/>
      <c r="O1652" s="271">
        <f>IFERROR(Table17[[#This Row],[PROFIT]]/Table17[[#This Row],[TO]],0)</f>
        <v>0</v>
      </c>
      <c r="P1652" s="177"/>
      <c r="Q1652" s="177"/>
      <c r="R1652" s="177"/>
    </row>
    <row r="1653" spans="1:18" hidden="1" x14ac:dyDescent="0.25">
      <c r="A1653" s="29" t="s">
        <v>1284</v>
      </c>
      <c r="B1653" s="29" t="s">
        <v>1283</v>
      </c>
      <c r="C1653" s="29" t="s">
        <v>1189</v>
      </c>
      <c r="D1653" s="29" t="str">
        <f>VLOOKUP(C:C,'COUNT-CONT'!B:C,2,FALSE)</f>
        <v>Africa</v>
      </c>
      <c r="E1653" s="29">
        <v>1</v>
      </c>
      <c r="F1653" s="28">
        <v>1201</v>
      </c>
      <c r="G1653" s="28">
        <v>3243903413</v>
      </c>
      <c r="H1653" s="29">
        <v>13.45</v>
      </c>
      <c r="I1653" s="142">
        <v>-65.989999999999995</v>
      </c>
      <c r="J1653" s="29">
        <v>2.54</v>
      </c>
      <c r="K1653" s="29">
        <v>1.18</v>
      </c>
      <c r="L1653" s="29">
        <v>8.52</v>
      </c>
      <c r="M1653" s="368"/>
      <c r="N1653" s="368"/>
      <c r="O1653" s="271">
        <f>IFERROR(Table17[[#This Row],[PROFIT]]/Table17[[#This Row],[TO]],0)</f>
        <v>0</v>
      </c>
      <c r="P1653" s="177"/>
      <c r="Q1653" s="177"/>
      <c r="R1653" s="177"/>
    </row>
    <row r="1654" spans="1:18" hidden="1" x14ac:dyDescent="0.25">
      <c r="A1654" s="29" t="s">
        <v>2686</v>
      </c>
      <c r="B1654" s="29" t="s">
        <v>2685</v>
      </c>
      <c r="C1654" s="29" t="s">
        <v>733</v>
      </c>
      <c r="D1654" s="29" t="str">
        <f>VLOOKUP(C:C,'COUNT-CONT'!B:C,2,FALSE)</f>
        <v>Europe</v>
      </c>
      <c r="E1654" s="29">
        <v>9</v>
      </c>
      <c r="F1654" s="28">
        <v>3227</v>
      </c>
      <c r="G1654" s="28">
        <v>3285873876</v>
      </c>
      <c r="H1654" s="29">
        <v>13.45</v>
      </c>
      <c r="I1654" s="142">
        <v>-65.989999999999995</v>
      </c>
      <c r="J1654" s="29">
        <v>6.35</v>
      </c>
      <c r="K1654" s="29">
        <v>5.83</v>
      </c>
      <c r="L1654" s="29">
        <v>12.7</v>
      </c>
      <c r="M1654" s="368"/>
      <c r="N1654" s="368"/>
      <c r="O1654" s="271">
        <f>IFERROR(Table17[[#This Row],[PROFIT]]/Table17[[#This Row],[TO]],0)</f>
        <v>0</v>
      </c>
      <c r="P1654" s="177"/>
      <c r="Q1654" s="177"/>
      <c r="R1654" s="177"/>
    </row>
    <row r="1655" spans="1:18" ht="30" hidden="1" x14ac:dyDescent="0.25">
      <c r="A1655" s="29" t="s">
        <v>3127</v>
      </c>
      <c r="B1655" s="29" t="s">
        <v>3126</v>
      </c>
      <c r="C1655" s="29" t="s">
        <v>308</v>
      </c>
      <c r="D1655" s="29" t="str">
        <f>VLOOKUP(C:C,'COUNT-CONT'!B:C,2,FALSE)</f>
        <v>Europe</v>
      </c>
      <c r="E1655" s="29">
        <v>8</v>
      </c>
      <c r="F1655" s="28">
        <v>3017</v>
      </c>
      <c r="G1655" s="28">
        <v>3604600596</v>
      </c>
      <c r="H1655" s="29">
        <v>13.45</v>
      </c>
      <c r="I1655" s="142">
        <v>-65.989999999999995</v>
      </c>
      <c r="J1655" s="29">
        <v>8.19</v>
      </c>
      <c r="K1655" s="29">
        <v>7.89</v>
      </c>
      <c r="L1655" s="29">
        <v>14.63</v>
      </c>
      <c r="M1655" s="368"/>
      <c r="N1655" s="368"/>
      <c r="O1655" s="271">
        <f>IFERROR(Table17[[#This Row],[PROFIT]]/Table17[[#This Row],[TO]],0)</f>
        <v>0</v>
      </c>
      <c r="P1655" s="177"/>
      <c r="Q1655" s="177"/>
      <c r="R1655" s="177"/>
    </row>
    <row r="1656" spans="1:18" ht="30" hidden="1" x14ac:dyDescent="0.25">
      <c r="A1656" s="29" t="s">
        <v>3794</v>
      </c>
      <c r="B1656" s="29" t="s">
        <v>3793</v>
      </c>
      <c r="C1656" s="29" t="s">
        <v>11732</v>
      </c>
      <c r="D1656" s="29" t="str">
        <f>VLOOKUP(C:C,'COUNT-CONT'!B:C,2,FALSE)</f>
        <v>North America</v>
      </c>
      <c r="E1656" s="29">
        <v>4</v>
      </c>
      <c r="F1656" s="28">
        <v>2020</v>
      </c>
      <c r="G1656" s="28">
        <v>4191854455</v>
      </c>
      <c r="H1656" s="29">
        <v>13.42</v>
      </c>
      <c r="I1656" s="142">
        <v>-66.02</v>
      </c>
      <c r="J1656" s="29">
        <v>10.94</v>
      </c>
      <c r="K1656" s="29">
        <v>10.94</v>
      </c>
      <c r="L1656" s="29">
        <v>17.68</v>
      </c>
      <c r="M1656" s="368"/>
      <c r="N1656" s="368"/>
      <c r="O1656" s="271">
        <f>IFERROR(Table17[[#This Row],[PROFIT]]/Table17[[#This Row],[TO]],0)</f>
        <v>0</v>
      </c>
      <c r="P1656" s="177"/>
      <c r="Q1656" s="177"/>
      <c r="R1656" s="177"/>
    </row>
    <row r="1657" spans="1:18" hidden="1" x14ac:dyDescent="0.25">
      <c r="A1657" s="29" t="s">
        <v>3286</v>
      </c>
      <c r="B1657" s="29" t="s">
        <v>3285</v>
      </c>
      <c r="C1657" s="29" t="s">
        <v>119</v>
      </c>
      <c r="D1657" s="29" t="str">
        <f>VLOOKUP(C:C,'COUNT-CONT'!B:C,2,FALSE)</f>
        <v>Europe</v>
      </c>
      <c r="E1657" s="29">
        <v>1</v>
      </c>
      <c r="F1657" s="28">
        <v>1264</v>
      </c>
      <c r="G1657" s="28">
        <v>4021053164</v>
      </c>
      <c r="H1657" s="29">
        <v>13.42</v>
      </c>
      <c r="I1657" s="142">
        <v>-66.02</v>
      </c>
      <c r="J1657" s="29">
        <v>8.83</v>
      </c>
      <c r="K1657" s="29">
        <v>8.52</v>
      </c>
      <c r="L1657" s="29">
        <v>15.27</v>
      </c>
      <c r="M1657" s="368"/>
      <c r="N1657" s="368"/>
      <c r="O1657" s="271">
        <f>IFERROR(Table17[[#This Row],[PROFIT]]/Table17[[#This Row],[TO]],0)</f>
        <v>0</v>
      </c>
      <c r="P1657" s="177"/>
      <c r="Q1657" s="177"/>
      <c r="R1657" s="177"/>
    </row>
    <row r="1658" spans="1:18" hidden="1" x14ac:dyDescent="0.25">
      <c r="A1658" s="29" t="s">
        <v>2164</v>
      </c>
      <c r="B1658" s="29" t="s">
        <v>2163</v>
      </c>
      <c r="C1658" s="29" t="s">
        <v>717</v>
      </c>
      <c r="D1658" s="29" t="str">
        <f>VLOOKUP(C:C,'COUNT-CONT'!B:C,2,FALSE)</f>
        <v>Asia</v>
      </c>
      <c r="E1658" s="29">
        <v>2</v>
      </c>
      <c r="F1658" s="28">
        <v>1480</v>
      </c>
      <c r="G1658" s="28">
        <v>3245243243</v>
      </c>
      <c r="H1658" s="29">
        <v>13.39</v>
      </c>
      <c r="I1658" s="142">
        <v>-66.05</v>
      </c>
      <c r="J1658" s="29">
        <v>4.8099999999999996</v>
      </c>
      <c r="K1658" s="29">
        <v>3.93</v>
      </c>
      <c r="L1658" s="29">
        <v>10.97</v>
      </c>
      <c r="M1658" s="368"/>
      <c r="N1658" s="368"/>
      <c r="O1658" s="271">
        <f>IFERROR(Table17[[#This Row],[PROFIT]]/Table17[[#This Row],[TO]],0)</f>
        <v>0</v>
      </c>
      <c r="P1658" s="177"/>
      <c r="Q1658" s="177"/>
      <c r="R1658" s="177"/>
    </row>
    <row r="1659" spans="1:18" ht="30" hidden="1" x14ac:dyDescent="0.25">
      <c r="A1659" s="29" t="s">
        <v>2278</v>
      </c>
      <c r="B1659" s="29" t="s">
        <v>2277</v>
      </c>
      <c r="C1659" s="29" t="s">
        <v>517</v>
      </c>
      <c r="D1659" s="29" t="str">
        <f>VLOOKUP(C:C,'COUNT-CONT'!B:C,2,FALSE)</f>
        <v>South America</v>
      </c>
      <c r="E1659" s="29">
        <v>3</v>
      </c>
      <c r="F1659" s="28">
        <v>1692</v>
      </c>
      <c r="G1659" s="28">
        <v>3221118203</v>
      </c>
      <c r="H1659" s="29">
        <v>13.39</v>
      </c>
      <c r="I1659" s="142">
        <v>-66.05</v>
      </c>
      <c r="J1659" s="29">
        <v>5.2</v>
      </c>
      <c r="K1659" s="29">
        <v>4.29</v>
      </c>
      <c r="L1659" s="29">
        <v>11.34</v>
      </c>
      <c r="M1659" s="368"/>
      <c r="N1659" s="368"/>
      <c r="O1659" s="271">
        <f>IFERROR(Table17[[#This Row],[PROFIT]]/Table17[[#This Row],[TO]],0)</f>
        <v>0</v>
      </c>
      <c r="P1659" s="177"/>
      <c r="Q1659" s="177"/>
      <c r="R1659" s="177"/>
    </row>
    <row r="1660" spans="1:18" ht="30" x14ac:dyDescent="0.25">
      <c r="A1660" s="29" t="s">
        <v>2669</v>
      </c>
      <c r="B1660" s="29" t="s">
        <v>2668</v>
      </c>
      <c r="C1660" s="29" t="s">
        <v>662</v>
      </c>
      <c r="D1660" s="29" t="str">
        <f>VLOOKUP(C:C,'COUNT-CONT'!B:C,2,FALSE)</f>
        <v>Oceania</v>
      </c>
      <c r="E1660" s="29">
        <v>5</v>
      </c>
      <c r="F1660" s="28">
        <v>2111</v>
      </c>
      <c r="G1660" s="28">
        <v>3318080056</v>
      </c>
      <c r="H1660" s="29">
        <v>13.39</v>
      </c>
      <c r="I1660" s="142">
        <v>-66.05</v>
      </c>
      <c r="J1660" s="29">
        <v>6.56</v>
      </c>
      <c r="K1660" s="29">
        <v>5.53</v>
      </c>
      <c r="L1660" s="29">
        <v>12.64</v>
      </c>
      <c r="M1660" s="368"/>
      <c r="N1660" s="368"/>
      <c r="O1660" s="271">
        <f>IFERROR(Table17[[#This Row],[PROFIT]]/Table17[[#This Row],[TO]],0)</f>
        <v>0</v>
      </c>
      <c r="P1660" s="177"/>
      <c r="Q1660" s="177"/>
      <c r="R1660" s="177"/>
    </row>
    <row r="1661" spans="1:18" hidden="1" x14ac:dyDescent="0.25">
      <c r="A1661" s="29" t="s">
        <v>1935</v>
      </c>
      <c r="B1661" s="29" t="s">
        <v>1934</v>
      </c>
      <c r="C1661" s="29" t="s">
        <v>700</v>
      </c>
      <c r="D1661" s="29" t="str">
        <f>VLOOKUP(C:C,'COUNT-CONT'!B:C,2,FALSE)</f>
        <v>Asia</v>
      </c>
      <c r="E1661" s="29">
        <v>8</v>
      </c>
      <c r="F1661" s="28">
        <v>3007</v>
      </c>
      <c r="G1661" s="28">
        <v>2960613102</v>
      </c>
      <c r="H1661" s="29">
        <v>13.39</v>
      </c>
      <c r="I1661" s="142">
        <v>-66.05</v>
      </c>
      <c r="J1661" s="29">
        <v>4.1100000000000003</v>
      </c>
      <c r="K1661" s="29">
        <v>3.08</v>
      </c>
      <c r="L1661" s="29">
        <v>10.31</v>
      </c>
      <c r="M1661" s="368"/>
      <c r="N1661" s="368"/>
      <c r="O1661" s="271">
        <f>IFERROR(Table17[[#This Row],[PROFIT]]/Table17[[#This Row],[TO]],0)</f>
        <v>0</v>
      </c>
      <c r="P1661" s="177"/>
      <c r="Q1661" s="177"/>
      <c r="R1661" s="177"/>
    </row>
    <row r="1662" spans="1:18" ht="30" hidden="1" x14ac:dyDescent="0.25">
      <c r="A1662" s="29" t="s">
        <v>3260</v>
      </c>
      <c r="B1662" s="29" t="s">
        <v>3259</v>
      </c>
      <c r="C1662" s="29" t="s">
        <v>514</v>
      </c>
      <c r="D1662" s="29" t="str">
        <f>VLOOKUP(C:C,'COUNT-CONT'!B:C,2,FALSE)</f>
        <v>North America</v>
      </c>
      <c r="E1662" s="29">
        <v>4</v>
      </c>
      <c r="F1662" s="28">
        <v>1849</v>
      </c>
      <c r="G1662" s="28">
        <v>3797216170</v>
      </c>
      <c r="H1662" s="29">
        <v>13.39</v>
      </c>
      <c r="I1662" s="142">
        <v>-66.05</v>
      </c>
      <c r="J1662" s="29">
        <v>8.83</v>
      </c>
      <c r="K1662" s="29">
        <v>8.49</v>
      </c>
      <c r="L1662" s="29">
        <v>15.21</v>
      </c>
      <c r="M1662" s="368"/>
      <c r="N1662" s="368"/>
      <c r="O1662" s="271">
        <f>IFERROR(Table17[[#This Row],[PROFIT]]/Table17[[#This Row],[TO]],0)</f>
        <v>0</v>
      </c>
      <c r="P1662" s="177"/>
      <c r="Q1662" s="177"/>
      <c r="R1662" s="177"/>
    </row>
    <row r="1663" spans="1:18" ht="45" hidden="1" x14ac:dyDescent="0.25">
      <c r="A1663" s="29" t="s">
        <v>1920</v>
      </c>
      <c r="B1663" s="29" t="s">
        <v>1919</v>
      </c>
      <c r="C1663" s="29" t="s">
        <v>493</v>
      </c>
      <c r="D1663" s="29" t="str">
        <f>VLOOKUP(C:C,'COUNT-CONT'!B:C,2,FALSE)</f>
        <v>Africa</v>
      </c>
      <c r="E1663" s="29">
        <v>8</v>
      </c>
      <c r="F1663" s="28">
        <v>2000</v>
      </c>
      <c r="G1663" s="28">
        <v>3126600000</v>
      </c>
      <c r="H1663" s="29">
        <v>13.36</v>
      </c>
      <c r="I1663" s="142">
        <v>-66.08</v>
      </c>
      <c r="J1663" s="29">
        <v>4.32</v>
      </c>
      <c r="K1663" s="29">
        <v>3.08</v>
      </c>
      <c r="L1663" s="29">
        <v>10.28</v>
      </c>
      <c r="M1663" s="368"/>
      <c r="N1663" s="368"/>
      <c r="O1663" s="271">
        <f>IFERROR(Table17[[#This Row],[PROFIT]]/Table17[[#This Row],[TO]],0)</f>
        <v>0</v>
      </c>
      <c r="P1663" s="177"/>
      <c r="Q1663" s="177"/>
      <c r="R1663" s="177"/>
    </row>
    <row r="1664" spans="1:18" ht="30" hidden="1" x14ac:dyDescent="0.25">
      <c r="A1664" s="29" t="s">
        <v>3269</v>
      </c>
      <c r="B1664" s="29" t="s">
        <v>3268</v>
      </c>
      <c r="C1664" s="29" t="s">
        <v>514</v>
      </c>
      <c r="D1664" s="29" t="str">
        <f>VLOOKUP(C:C,'COUNT-CONT'!B:C,2,FALSE)</f>
        <v>North America</v>
      </c>
      <c r="E1664" s="29">
        <v>8</v>
      </c>
      <c r="F1664" s="28">
        <v>2931</v>
      </c>
      <c r="G1664" s="28">
        <v>3681498532</v>
      </c>
      <c r="H1664" s="29">
        <v>13.36</v>
      </c>
      <c r="I1664" s="142">
        <v>-66.08</v>
      </c>
      <c r="J1664" s="29">
        <v>8.8000000000000007</v>
      </c>
      <c r="K1664" s="29">
        <v>8.49</v>
      </c>
      <c r="L1664" s="29">
        <v>15.21</v>
      </c>
      <c r="M1664" s="368"/>
      <c r="N1664" s="368"/>
      <c r="O1664" s="271">
        <f>IFERROR(Table17[[#This Row],[PROFIT]]/Table17[[#This Row],[TO]],0)</f>
        <v>0</v>
      </c>
      <c r="P1664" s="177"/>
      <c r="Q1664" s="177"/>
      <c r="R1664" s="177"/>
    </row>
    <row r="1665" spans="1:18" ht="30" hidden="1" x14ac:dyDescent="0.25">
      <c r="A1665" s="29" t="s">
        <v>1842</v>
      </c>
      <c r="B1665" s="29" t="s">
        <v>1841</v>
      </c>
      <c r="C1665" s="29" t="s">
        <v>714</v>
      </c>
      <c r="D1665" s="29" t="str">
        <f>VLOOKUP(C:C,'COUNT-CONT'!B:C,2,FALSE)</f>
        <v>South America</v>
      </c>
      <c r="E1665" s="29">
        <v>8</v>
      </c>
      <c r="F1665" s="28">
        <v>2806</v>
      </c>
      <c r="G1665" s="28">
        <v>3011417106</v>
      </c>
      <c r="H1665" s="29">
        <v>13.3</v>
      </c>
      <c r="I1665" s="142">
        <v>-66.14</v>
      </c>
      <c r="J1665" s="29">
        <v>4.0199999999999996</v>
      </c>
      <c r="K1665" s="29">
        <v>3.02</v>
      </c>
      <c r="L1665" s="29">
        <v>10.07</v>
      </c>
      <c r="M1665" s="368"/>
      <c r="N1665" s="368"/>
      <c r="O1665" s="271">
        <f>IFERROR(Table17[[#This Row],[PROFIT]]/Table17[[#This Row],[TO]],0)</f>
        <v>0</v>
      </c>
      <c r="P1665" s="177"/>
      <c r="Q1665" s="177"/>
      <c r="R1665" s="177"/>
    </row>
    <row r="1666" spans="1:18" ht="30" hidden="1" x14ac:dyDescent="0.25">
      <c r="A1666" s="29" t="s">
        <v>2818</v>
      </c>
      <c r="B1666" s="29" t="s">
        <v>2817</v>
      </c>
      <c r="C1666" s="29" t="s">
        <v>13119</v>
      </c>
      <c r="D1666" s="29" t="str">
        <f>VLOOKUP(C:C,'COUNT-CONT'!B:C,2,FALSE)</f>
        <v>North America</v>
      </c>
      <c r="E1666" s="29">
        <v>4</v>
      </c>
      <c r="F1666" s="28">
        <v>1847</v>
      </c>
      <c r="G1666" s="28">
        <v>3440660368</v>
      </c>
      <c r="H1666" s="29">
        <v>13.3</v>
      </c>
      <c r="I1666" s="142">
        <v>-66.14</v>
      </c>
      <c r="J1666" s="29">
        <v>7.16</v>
      </c>
      <c r="K1666" s="29">
        <v>6.38</v>
      </c>
      <c r="L1666" s="29">
        <v>13.3</v>
      </c>
      <c r="M1666" s="368"/>
      <c r="N1666" s="368"/>
      <c r="O1666" s="271">
        <f>IFERROR(Table17[[#This Row],[PROFIT]]/Table17[[#This Row],[TO]],0)</f>
        <v>0</v>
      </c>
      <c r="P1666" s="177"/>
      <c r="Q1666" s="177"/>
      <c r="R1666" s="177"/>
    </row>
    <row r="1667" spans="1:18" hidden="1" x14ac:dyDescent="0.25">
      <c r="A1667" s="29" t="s">
        <v>3774</v>
      </c>
      <c r="B1667" s="29" t="s">
        <v>3773</v>
      </c>
      <c r="C1667" s="29" t="s">
        <v>560</v>
      </c>
      <c r="D1667" s="29" t="str">
        <f>VLOOKUP(C:C,'COUNT-CONT'!B:C,2,FALSE)</f>
        <v>Europe</v>
      </c>
      <c r="E1667" s="29">
        <v>9</v>
      </c>
      <c r="F1667" s="28">
        <v>3110</v>
      </c>
      <c r="G1667" s="28">
        <v>4083897749</v>
      </c>
      <c r="H1667" s="29">
        <v>13.3</v>
      </c>
      <c r="I1667" s="142">
        <v>-66.14</v>
      </c>
      <c r="J1667" s="29">
        <v>10.82</v>
      </c>
      <c r="K1667" s="29">
        <v>10.82</v>
      </c>
      <c r="L1667" s="29">
        <v>17.5</v>
      </c>
      <c r="M1667" s="368"/>
      <c r="N1667" s="368"/>
      <c r="O1667" s="271">
        <f>IFERROR(Table17[[#This Row],[PROFIT]]/Table17[[#This Row],[TO]],0)</f>
        <v>0</v>
      </c>
      <c r="P1667" s="177"/>
      <c r="Q1667" s="177"/>
      <c r="R1667" s="177"/>
    </row>
    <row r="1668" spans="1:18" hidden="1" x14ac:dyDescent="0.25">
      <c r="A1668" s="29" t="s">
        <v>1916</v>
      </c>
      <c r="B1668" s="29" t="s">
        <v>1915</v>
      </c>
      <c r="C1668" s="29" t="s">
        <v>700</v>
      </c>
      <c r="D1668" s="29" t="str">
        <f>VLOOKUP(C:C,'COUNT-CONT'!B:C,2,FALSE)</f>
        <v>Asia</v>
      </c>
      <c r="E1668" s="29">
        <v>8</v>
      </c>
      <c r="F1668" s="28">
        <v>2932</v>
      </c>
      <c r="G1668" s="28">
        <v>2952970532</v>
      </c>
      <c r="H1668" s="29">
        <v>13.3</v>
      </c>
      <c r="I1668" s="142">
        <v>-66.14</v>
      </c>
      <c r="J1668" s="29">
        <v>4.08</v>
      </c>
      <c r="K1668" s="29">
        <v>3.05</v>
      </c>
      <c r="L1668" s="29">
        <v>10.25</v>
      </c>
      <c r="M1668" s="368"/>
      <c r="N1668" s="368"/>
      <c r="O1668" s="271">
        <f>IFERROR(Table17[[#This Row],[PROFIT]]/Table17[[#This Row],[TO]],0)</f>
        <v>0</v>
      </c>
      <c r="P1668" s="177"/>
      <c r="Q1668" s="177"/>
      <c r="R1668" s="177"/>
    </row>
    <row r="1669" spans="1:18" hidden="1" x14ac:dyDescent="0.25">
      <c r="A1669" s="29" t="s">
        <v>1238</v>
      </c>
      <c r="B1669" s="29" t="s">
        <v>1237</v>
      </c>
      <c r="C1669" s="29" t="s">
        <v>938</v>
      </c>
      <c r="D1669" s="29" t="str">
        <f>VLOOKUP(C:C,'COUNT-CONT'!B:C,2,FALSE)</f>
        <v>Africa</v>
      </c>
      <c r="E1669" s="29">
        <v>1</v>
      </c>
      <c r="F1669" s="28">
        <v>1053</v>
      </c>
      <c r="G1669" s="28">
        <v>3347234377</v>
      </c>
      <c r="H1669" s="29">
        <v>13.3</v>
      </c>
      <c r="I1669" s="142">
        <v>-66.14</v>
      </c>
      <c r="J1669" s="29">
        <v>2.48</v>
      </c>
      <c r="K1669" s="29">
        <v>1</v>
      </c>
      <c r="L1669" s="29">
        <v>8.31</v>
      </c>
      <c r="M1669" s="368"/>
      <c r="N1669" s="368"/>
      <c r="O1669" s="271">
        <f>IFERROR(Table17[[#This Row],[PROFIT]]/Table17[[#This Row],[TO]],0)</f>
        <v>0</v>
      </c>
      <c r="P1669" s="177"/>
      <c r="Q1669" s="177"/>
      <c r="R1669" s="177"/>
    </row>
    <row r="1670" spans="1:18" hidden="1" x14ac:dyDescent="0.25">
      <c r="A1670" s="29" t="s">
        <v>2264</v>
      </c>
      <c r="B1670" s="29" t="s">
        <v>2263</v>
      </c>
      <c r="C1670" s="29" t="s">
        <v>505</v>
      </c>
      <c r="D1670" s="29" t="e">
        <f>VLOOKUP(C:C,'COUNT-CONT'!B:C,2,FALSE)</f>
        <v>#N/A</v>
      </c>
      <c r="E1670" s="29">
        <v>6</v>
      </c>
      <c r="F1670" s="28">
        <v>2468</v>
      </c>
      <c r="G1670" s="28">
        <v>3082905024</v>
      </c>
      <c r="H1670" s="29">
        <v>13.3</v>
      </c>
      <c r="I1670" s="142">
        <v>-66.14</v>
      </c>
      <c r="J1670" s="29">
        <v>5.17</v>
      </c>
      <c r="K1670" s="29">
        <v>4.26</v>
      </c>
      <c r="L1670" s="29">
        <v>11.28</v>
      </c>
      <c r="M1670" s="368"/>
      <c r="N1670" s="368"/>
      <c r="O1670" s="271">
        <f>IFERROR(Table17[[#This Row],[PROFIT]]/Table17[[#This Row],[TO]],0)</f>
        <v>0</v>
      </c>
      <c r="P1670" s="177"/>
      <c r="Q1670" s="177"/>
      <c r="R1670" s="177"/>
    </row>
    <row r="1671" spans="1:18" hidden="1" x14ac:dyDescent="0.25">
      <c r="A1671" s="29" t="s">
        <v>1650</v>
      </c>
      <c r="B1671" s="29" t="s">
        <v>1649</v>
      </c>
      <c r="C1671" s="29" t="s">
        <v>1625</v>
      </c>
      <c r="D1671" s="29" t="str">
        <f>VLOOKUP(C:C,'COUNT-CONT'!B:C,2,FALSE)</f>
        <v>Africa</v>
      </c>
      <c r="E1671" s="29">
        <v>5</v>
      </c>
      <c r="F1671" s="28">
        <v>2204</v>
      </c>
      <c r="G1671" s="28">
        <v>2965092558</v>
      </c>
      <c r="H1671" s="29">
        <v>13.27</v>
      </c>
      <c r="I1671" s="142">
        <v>-66.17</v>
      </c>
      <c r="J1671" s="29">
        <v>3.6</v>
      </c>
      <c r="K1671" s="29">
        <v>2.27</v>
      </c>
      <c r="L1671" s="29">
        <v>9.49</v>
      </c>
      <c r="M1671" s="368"/>
      <c r="N1671" s="368"/>
      <c r="O1671" s="271">
        <f>IFERROR(Table17[[#This Row],[PROFIT]]/Table17[[#This Row],[TO]],0)</f>
        <v>0</v>
      </c>
      <c r="P1671" s="177"/>
      <c r="Q1671" s="177"/>
      <c r="R1671" s="177"/>
    </row>
    <row r="1672" spans="1:18" hidden="1" x14ac:dyDescent="0.25">
      <c r="A1672" s="29" t="s">
        <v>2251</v>
      </c>
      <c r="B1672" s="29" t="s">
        <v>2250</v>
      </c>
      <c r="C1672" s="29" t="s">
        <v>14</v>
      </c>
      <c r="D1672" s="29" t="str">
        <f>VLOOKUP(C:C,'COUNT-CONT'!B:C,2,FALSE)</f>
        <v>Asia</v>
      </c>
      <c r="E1672" s="29">
        <v>7</v>
      </c>
      <c r="F1672" s="28">
        <v>2608</v>
      </c>
      <c r="G1672" s="28">
        <v>3071379141</v>
      </c>
      <c r="H1672" s="29">
        <v>13.27</v>
      </c>
      <c r="I1672" s="142">
        <v>-66.17</v>
      </c>
      <c r="J1672" s="29">
        <v>5.17</v>
      </c>
      <c r="K1672" s="29">
        <v>4.26</v>
      </c>
      <c r="L1672" s="29">
        <v>11.25</v>
      </c>
      <c r="M1672" s="368"/>
      <c r="N1672" s="368"/>
      <c r="O1672" s="271">
        <f>IFERROR(Table17[[#This Row],[PROFIT]]/Table17[[#This Row],[TO]],0)</f>
        <v>0</v>
      </c>
      <c r="P1672" s="177"/>
      <c r="Q1672" s="177"/>
      <c r="R1672" s="177"/>
    </row>
    <row r="1673" spans="1:18" hidden="1" x14ac:dyDescent="0.25">
      <c r="A1673" s="29" t="s">
        <v>1656</v>
      </c>
      <c r="B1673" s="29" t="s">
        <v>1655</v>
      </c>
      <c r="C1673" s="29" t="s">
        <v>1654</v>
      </c>
      <c r="D1673" s="29" t="str">
        <f>VLOOKUP(C:C,'COUNT-CONT'!B:C,2,FALSE)</f>
        <v>Asia</v>
      </c>
      <c r="E1673" s="29">
        <v>10</v>
      </c>
      <c r="F1673" s="28">
        <v>3621</v>
      </c>
      <c r="G1673" s="28">
        <v>2971283485</v>
      </c>
      <c r="H1673" s="29">
        <v>13.27</v>
      </c>
      <c r="I1673" s="142">
        <v>-66.17</v>
      </c>
      <c r="J1673" s="29">
        <v>3.42</v>
      </c>
      <c r="K1673" s="29">
        <v>2.27</v>
      </c>
      <c r="L1673" s="29">
        <v>9.49</v>
      </c>
      <c r="M1673" s="368"/>
      <c r="N1673" s="368"/>
      <c r="O1673" s="271">
        <f>IFERROR(Table17[[#This Row],[PROFIT]]/Table17[[#This Row],[TO]],0)</f>
        <v>0</v>
      </c>
      <c r="P1673" s="177"/>
      <c r="Q1673" s="177"/>
      <c r="R1673" s="177"/>
    </row>
    <row r="1674" spans="1:18" hidden="1" x14ac:dyDescent="0.25">
      <c r="A1674" s="29" t="s">
        <v>1291</v>
      </c>
      <c r="B1674" s="29" t="s">
        <v>1290</v>
      </c>
      <c r="C1674" s="29" t="s">
        <v>1289</v>
      </c>
      <c r="D1674" s="29" t="str">
        <f>VLOOKUP(C:C,'COUNT-CONT'!B:C,2,FALSE)</f>
        <v>Asia</v>
      </c>
      <c r="E1674" s="29">
        <v>10</v>
      </c>
      <c r="F1674" s="28">
        <v>3303</v>
      </c>
      <c r="G1674" s="28">
        <v>2871030578</v>
      </c>
      <c r="H1674" s="29">
        <v>13.27</v>
      </c>
      <c r="I1674" s="142">
        <v>-66.17</v>
      </c>
      <c r="J1674" s="29">
        <v>2.54</v>
      </c>
      <c r="K1674" s="29">
        <v>1.36</v>
      </c>
      <c r="L1674" s="29">
        <v>8.52</v>
      </c>
      <c r="M1674" s="368"/>
      <c r="N1674" s="368"/>
      <c r="O1674" s="271">
        <f>IFERROR(Table17[[#This Row],[PROFIT]]/Table17[[#This Row],[TO]],0)</f>
        <v>0</v>
      </c>
      <c r="P1674" s="177"/>
      <c r="Q1674" s="177"/>
      <c r="R1674" s="177"/>
    </row>
    <row r="1675" spans="1:18" ht="30" hidden="1" x14ac:dyDescent="0.25">
      <c r="A1675" s="29" t="s">
        <v>2235</v>
      </c>
      <c r="B1675" s="29" t="s">
        <v>2234</v>
      </c>
      <c r="C1675" s="29" t="s">
        <v>517</v>
      </c>
      <c r="D1675" s="29" t="str">
        <f>VLOOKUP(C:C,'COUNT-CONT'!B:C,2,FALSE)</f>
        <v>South America</v>
      </c>
      <c r="E1675" s="29">
        <v>2</v>
      </c>
      <c r="F1675" s="28">
        <v>1304</v>
      </c>
      <c r="G1675" s="28">
        <v>3359958282</v>
      </c>
      <c r="H1675" s="29">
        <v>13.24</v>
      </c>
      <c r="I1675" s="142">
        <v>-66.2</v>
      </c>
      <c r="J1675" s="29">
        <v>5.14</v>
      </c>
      <c r="K1675" s="29">
        <v>4.26</v>
      </c>
      <c r="L1675" s="29">
        <v>11.22</v>
      </c>
      <c r="M1675" s="368"/>
      <c r="N1675" s="368"/>
      <c r="O1675" s="271">
        <f>IFERROR(Table17[[#This Row],[PROFIT]]/Table17[[#This Row],[TO]],0)</f>
        <v>0</v>
      </c>
      <c r="P1675" s="177"/>
      <c r="Q1675" s="177"/>
      <c r="R1675" s="177"/>
    </row>
    <row r="1676" spans="1:18" hidden="1" x14ac:dyDescent="0.25">
      <c r="A1676" s="29" t="s">
        <v>3770</v>
      </c>
      <c r="B1676" s="29" t="s">
        <v>3769</v>
      </c>
      <c r="C1676" s="29" t="s">
        <v>560</v>
      </c>
      <c r="D1676" s="29" t="str">
        <f>VLOOKUP(C:C,'COUNT-CONT'!B:C,2,FALSE)</f>
        <v>Europe</v>
      </c>
      <c r="E1676" s="29">
        <v>6</v>
      </c>
      <c r="F1676" s="28">
        <v>2547</v>
      </c>
      <c r="G1676" s="28">
        <v>4102280643</v>
      </c>
      <c r="H1676" s="29">
        <v>13.24</v>
      </c>
      <c r="I1676" s="142">
        <v>-66.2</v>
      </c>
      <c r="J1676" s="29">
        <v>10.82</v>
      </c>
      <c r="K1676" s="29">
        <v>10.82</v>
      </c>
      <c r="L1676" s="29">
        <v>17.440000000000001</v>
      </c>
      <c r="M1676" s="368"/>
      <c r="N1676" s="368"/>
      <c r="O1676" s="271">
        <f>IFERROR(Table17[[#This Row],[PROFIT]]/Table17[[#This Row],[TO]],0)</f>
        <v>0</v>
      </c>
      <c r="P1676" s="177"/>
      <c r="Q1676" s="177"/>
      <c r="R1676" s="177"/>
    </row>
    <row r="1677" spans="1:18" hidden="1" x14ac:dyDescent="0.25">
      <c r="A1677" s="29" t="s">
        <v>1627</v>
      </c>
      <c r="B1677" s="29" t="s">
        <v>1626</v>
      </c>
      <c r="C1677" s="29" t="s">
        <v>1625</v>
      </c>
      <c r="D1677" s="29" t="str">
        <f>VLOOKUP(C:C,'COUNT-CONT'!B:C,2,FALSE)</f>
        <v>Africa</v>
      </c>
      <c r="E1677" s="29">
        <v>4</v>
      </c>
      <c r="F1677" s="28">
        <v>2003</v>
      </c>
      <c r="G1677" s="28">
        <v>2988776235</v>
      </c>
      <c r="H1677" s="29">
        <v>13.21</v>
      </c>
      <c r="I1677" s="142">
        <v>-66.22999999999999</v>
      </c>
      <c r="J1677" s="29">
        <v>3.57</v>
      </c>
      <c r="K1677" s="29">
        <v>2.27</v>
      </c>
      <c r="L1677" s="29">
        <v>9.43</v>
      </c>
      <c r="M1677" s="368"/>
      <c r="N1677" s="368"/>
      <c r="O1677" s="271">
        <f>IFERROR(Table17[[#This Row],[PROFIT]]/Table17[[#This Row],[TO]],0)</f>
        <v>0</v>
      </c>
      <c r="P1677" s="177"/>
      <c r="Q1677" s="177"/>
      <c r="R1677" s="177"/>
    </row>
    <row r="1678" spans="1:18" hidden="1" x14ac:dyDescent="0.25">
      <c r="A1678" s="29" t="s">
        <v>3058</v>
      </c>
      <c r="B1678" s="29" t="s">
        <v>3057</v>
      </c>
      <c r="C1678" s="29" t="s">
        <v>1427</v>
      </c>
      <c r="D1678" s="29" t="str">
        <f>VLOOKUP(C:C,'COUNT-CONT'!B:C,2,FALSE)</f>
        <v>Europe</v>
      </c>
      <c r="E1678" s="29">
        <v>5</v>
      </c>
      <c r="F1678" s="28">
        <v>2168</v>
      </c>
      <c r="G1678" s="28">
        <v>3613180073</v>
      </c>
      <c r="H1678" s="29">
        <v>13.21</v>
      </c>
      <c r="I1678" s="142">
        <v>-66.22999999999999</v>
      </c>
      <c r="J1678" s="29">
        <v>8.0399999999999991</v>
      </c>
      <c r="K1678" s="29">
        <v>7.47</v>
      </c>
      <c r="L1678" s="29">
        <v>14.36</v>
      </c>
      <c r="M1678" s="368"/>
      <c r="N1678" s="368"/>
      <c r="O1678" s="271">
        <f>IFERROR(Table17[[#This Row],[PROFIT]]/Table17[[#This Row],[TO]],0)</f>
        <v>0</v>
      </c>
      <c r="P1678" s="177"/>
      <c r="Q1678" s="177"/>
      <c r="R1678" s="177"/>
    </row>
    <row r="1679" spans="1:18" ht="30" hidden="1" x14ac:dyDescent="0.25">
      <c r="A1679" s="29" t="s">
        <v>3054</v>
      </c>
      <c r="B1679" s="29" t="s">
        <v>3053</v>
      </c>
      <c r="C1679" s="29" t="s">
        <v>83</v>
      </c>
      <c r="D1679" s="29" t="str">
        <f>VLOOKUP(C:C,'COUNT-CONT'!B:C,2,FALSE)</f>
        <v>Europe</v>
      </c>
      <c r="E1679" s="29">
        <v>2</v>
      </c>
      <c r="F1679" s="28">
        <v>1513</v>
      </c>
      <c r="G1679" s="28">
        <v>3769432385</v>
      </c>
      <c r="H1679" s="29">
        <v>13.21</v>
      </c>
      <c r="I1679" s="142">
        <v>-66.22999999999999</v>
      </c>
      <c r="J1679" s="29">
        <v>8.0399999999999991</v>
      </c>
      <c r="K1679" s="29">
        <v>7.47</v>
      </c>
      <c r="L1679" s="29">
        <v>14.36</v>
      </c>
      <c r="M1679" s="368"/>
      <c r="N1679" s="368"/>
      <c r="O1679" s="271">
        <f>IFERROR(Table17[[#This Row],[PROFIT]]/Table17[[#This Row],[TO]],0)</f>
        <v>0</v>
      </c>
      <c r="P1679" s="177"/>
      <c r="Q1679" s="177"/>
      <c r="R1679" s="177"/>
    </row>
    <row r="1680" spans="1:18" ht="30" hidden="1" x14ac:dyDescent="0.25">
      <c r="A1680" s="29" t="s">
        <v>3765</v>
      </c>
      <c r="B1680" s="29" t="s">
        <v>3764</v>
      </c>
      <c r="C1680" s="29" t="s">
        <v>11732</v>
      </c>
      <c r="D1680" s="29" t="str">
        <f>VLOOKUP(C:C,'COUNT-CONT'!B:C,2,FALSE)</f>
        <v>North America</v>
      </c>
      <c r="E1680" s="29">
        <v>7</v>
      </c>
      <c r="F1680" s="28">
        <v>2796</v>
      </c>
      <c r="G1680" s="28">
        <v>4077219170</v>
      </c>
      <c r="H1680" s="29">
        <v>13.21</v>
      </c>
      <c r="I1680" s="142">
        <v>-66.22999999999999</v>
      </c>
      <c r="J1680" s="29">
        <v>10.76</v>
      </c>
      <c r="K1680" s="29">
        <v>10.76</v>
      </c>
      <c r="L1680" s="29">
        <v>17.38</v>
      </c>
      <c r="M1680" s="368"/>
      <c r="N1680" s="368"/>
      <c r="O1680" s="271">
        <f>IFERROR(Table17[[#This Row],[PROFIT]]/Table17[[#This Row],[TO]],0)</f>
        <v>0</v>
      </c>
      <c r="P1680" s="177"/>
      <c r="Q1680" s="177"/>
      <c r="R1680" s="177"/>
    </row>
    <row r="1681" spans="1:18" hidden="1" x14ac:dyDescent="0.25">
      <c r="A1681" s="29" t="s">
        <v>2245</v>
      </c>
      <c r="B1681" s="29" t="s">
        <v>2244</v>
      </c>
      <c r="C1681" s="29" t="s">
        <v>14</v>
      </c>
      <c r="D1681" s="29" t="str">
        <f>VLOOKUP(C:C,'COUNT-CONT'!B:C,2,FALSE)</f>
        <v>Asia</v>
      </c>
      <c r="E1681" s="29">
        <v>6</v>
      </c>
      <c r="F1681" s="28">
        <v>2408</v>
      </c>
      <c r="G1681" s="28">
        <v>3080010631</v>
      </c>
      <c r="H1681" s="29">
        <v>13.21</v>
      </c>
      <c r="I1681" s="142">
        <v>-66.22999999999999</v>
      </c>
      <c r="J1681" s="29">
        <v>5.14</v>
      </c>
      <c r="K1681" s="29">
        <v>4.2300000000000004</v>
      </c>
      <c r="L1681" s="29">
        <v>11.22</v>
      </c>
      <c r="M1681" s="368"/>
      <c r="N1681" s="368"/>
      <c r="O1681" s="271">
        <f>IFERROR(Table17[[#This Row],[PROFIT]]/Table17[[#This Row],[TO]],0)</f>
        <v>0</v>
      </c>
      <c r="P1681" s="177"/>
      <c r="Q1681" s="177"/>
      <c r="R1681" s="177"/>
    </row>
    <row r="1682" spans="1:18" ht="30" hidden="1" x14ac:dyDescent="0.25">
      <c r="A1682" s="29" t="s">
        <v>2223</v>
      </c>
      <c r="B1682" s="29" t="s">
        <v>2222</v>
      </c>
      <c r="C1682" s="29" t="s">
        <v>505</v>
      </c>
      <c r="D1682" s="29" t="e">
        <f>VLOOKUP(C:C,'COUNT-CONT'!B:C,2,FALSE)</f>
        <v>#N/A</v>
      </c>
      <c r="E1682" s="29">
        <v>6</v>
      </c>
      <c r="F1682" s="28">
        <v>2264</v>
      </c>
      <c r="G1682" s="28">
        <v>3089965724</v>
      </c>
      <c r="H1682" s="29">
        <v>13.18</v>
      </c>
      <c r="I1682" s="142">
        <v>-66.259999999999991</v>
      </c>
      <c r="J1682" s="29">
        <v>5.1100000000000003</v>
      </c>
      <c r="K1682" s="29">
        <v>4.2300000000000004</v>
      </c>
      <c r="L1682" s="29">
        <v>11.15</v>
      </c>
      <c r="M1682" s="368"/>
      <c r="N1682" s="368"/>
      <c r="O1682" s="271">
        <f>IFERROR(Table17[[#This Row],[PROFIT]]/Table17[[#This Row],[TO]],0)</f>
        <v>0</v>
      </c>
      <c r="P1682" s="177"/>
      <c r="Q1682" s="177"/>
      <c r="R1682" s="177"/>
    </row>
    <row r="1683" spans="1:18" hidden="1" x14ac:dyDescent="0.25">
      <c r="A1683" s="29" t="s">
        <v>2474</v>
      </c>
      <c r="B1683" s="29" t="s">
        <v>2473</v>
      </c>
      <c r="C1683" s="29" t="s">
        <v>258</v>
      </c>
      <c r="D1683" s="29" t="str">
        <f>VLOOKUP(C:C,'COUNT-CONT'!B:C,2,FALSE)</f>
        <v>Asia</v>
      </c>
      <c r="E1683" s="29">
        <v>7</v>
      </c>
      <c r="F1683" s="28">
        <v>2754</v>
      </c>
      <c r="G1683" s="28">
        <v>3234319026</v>
      </c>
      <c r="H1683" s="29">
        <v>13.18</v>
      </c>
      <c r="I1683" s="142">
        <v>-66.259999999999991</v>
      </c>
      <c r="J1683" s="29">
        <v>5.74</v>
      </c>
      <c r="K1683" s="29">
        <v>5.0199999999999996</v>
      </c>
      <c r="L1683" s="29">
        <v>11.97</v>
      </c>
      <c r="M1683" s="368"/>
      <c r="N1683" s="368"/>
      <c r="O1683" s="271">
        <f>IFERROR(Table17[[#This Row],[PROFIT]]/Table17[[#This Row],[TO]],0)</f>
        <v>0</v>
      </c>
      <c r="P1683" s="177"/>
      <c r="Q1683" s="177"/>
      <c r="R1683" s="177"/>
    </row>
    <row r="1684" spans="1:18" x14ac:dyDescent="0.25">
      <c r="A1684" s="29" t="s">
        <v>2978</v>
      </c>
      <c r="B1684" s="29" t="s">
        <v>2977</v>
      </c>
      <c r="C1684" s="29" t="s">
        <v>774</v>
      </c>
      <c r="D1684" s="29" t="str">
        <f>VLOOKUP(C:C,'COUNT-CONT'!B:C,2,FALSE)</f>
        <v>Oceania</v>
      </c>
      <c r="E1684" s="29">
        <v>4</v>
      </c>
      <c r="F1684" s="28">
        <v>1850</v>
      </c>
      <c r="G1684" s="28">
        <v>3637794594</v>
      </c>
      <c r="H1684" s="29">
        <v>13.15</v>
      </c>
      <c r="I1684" s="142">
        <v>-66.289999999999992</v>
      </c>
      <c r="J1684" s="29">
        <v>7.83</v>
      </c>
      <c r="K1684" s="29">
        <v>7.29</v>
      </c>
      <c r="L1684" s="29">
        <v>14</v>
      </c>
      <c r="M1684" s="368"/>
      <c r="N1684" s="368"/>
      <c r="O1684" s="271">
        <f>IFERROR(Table17[[#This Row],[PROFIT]]/Table17[[#This Row],[TO]],0)</f>
        <v>0</v>
      </c>
      <c r="P1684" s="177"/>
      <c r="Q1684" s="177"/>
      <c r="R1684" s="177"/>
    </row>
    <row r="1685" spans="1:18" hidden="1" x14ac:dyDescent="0.25">
      <c r="A1685" s="29" t="s">
        <v>2982</v>
      </c>
      <c r="B1685" s="29" t="s">
        <v>2981</v>
      </c>
      <c r="C1685" s="29" t="s">
        <v>597</v>
      </c>
      <c r="D1685" s="29" t="str">
        <f>VLOOKUP(C:C,'COUNT-CONT'!B:C,2,FALSE)</f>
        <v>Europe</v>
      </c>
      <c r="E1685" s="29">
        <v>6</v>
      </c>
      <c r="F1685" s="28">
        <v>2428</v>
      </c>
      <c r="G1685" s="28">
        <v>3535247775</v>
      </c>
      <c r="H1685" s="29">
        <v>13.15</v>
      </c>
      <c r="I1685" s="142">
        <v>-66.289999999999992</v>
      </c>
      <c r="J1685" s="29">
        <v>7.83</v>
      </c>
      <c r="K1685" s="29">
        <v>7.26</v>
      </c>
      <c r="L1685" s="29">
        <v>14</v>
      </c>
      <c r="M1685" s="368"/>
      <c r="N1685" s="368"/>
      <c r="O1685" s="271">
        <f>IFERROR(Table17[[#This Row],[PROFIT]]/Table17[[#This Row],[TO]],0)</f>
        <v>0</v>
      </c>
      <c r="P1685" s="177"/>
      <c r="Q1685" s="177"/>
      <c r="R1685" s="177"/>
    </row>
    <row r="1686" spans="1:18" ht="30" hidden="1" x14ac:dyDescent="0.25">
      <c r="A1686" s="29" t="s">
        <v>2468</v>
      </c>
      <c r="B1686" s="29" t="s">
        <v>2467</v>
      </c>
      <c r="C1686" s="29" t="s">
        <v>812</v>
      </c>
      <c r="D1686" s="29" t="str">
        <f>VLOOKUP(C:C,'COUNT-CONT'!B:C,2,FALSE)</f>
        <v>North America</v>
      </c>
      <c r="E1686" s="29">
        <v>1</v>
      </c>
      <c r="F1686" s="28">
        <v>1105</v>
      </c>
      <c r="G1686" s="28">
        <v>3589475113</v>
      </c>
      <c r="H1686" s="29">
        <v>13.15</v>
      </c>
      <c r="I1686" s="142">
        <v>-66.289999999999992</v>
      </c>
      <c r="J1686" s="29">
        <v>5.99</v>
      </c>
      <c r="K1686" s="29">
        <v>5.0199999999999996</v>
      </c>
      <c r="L1686" s="29">
        <v>11.97</v>
      </c>
      <c r="M1686" s="368"/>
      <c r="N1686" s="368"/>
      <c r="O1686" s="271">
        <f>IFERROR(Table17[[#This Row],[PROFIT]]/Table17[[#This Row],[TO]],0)</f>
        <v>0</v>
      </c>
      <c r="P1686" s="177"/>
      <c r="Q1686" s="177"/>
      <c r="R1686" s="177"/>
    </row>
    <row r="1687" spans="1:18" ht="30" hidden="1" x14ac:dyDescent="0.25">
      <c r="A1687" s="29" t="s">
        <v>3747</v>
      </c>
      <c r="B1687" s="29" t="s">
        <v>3746</v>
      </c>
      <c r="C1687" s="29" t="s">
        <v>11732</v>
      </c>
      <c r="D1687" s="29" t="str">
        <f>VLOOKUP(C:C,'COUNT-CONT'!B:C,2,FALSE)</f>
        <v>North America</v>
      </c>
      <c r="E1687" s="29">
        <v>7</v>
      </c>
      <c r="F1687" s="28">
        <v>2794</v>
      </c>
      <c r="G1687" s="28">
        <v>4064600787</v>
      </c>
      <c r="H1687" s="29">
        <v>13.12</v>
      </c>
      <c r="I1687" s="142">
        <v>-66.319999999999993</v>
      </c>
      <c r="J1687" s="29">
        <v>10.7</v>
      </c>
      <c r="K1687" s="29">
        <v>10.7</v>
      </c>
      <c r="L1687" s="29">
        <v>17.260000000000002</v>
      </c>
      <c r="M1687" s="368"/>
      <c r="N1687" s="368"/>
      <c r="O1687" s="271">
        <f>IFERROR(Table17[[#This Row],[PROFIT]]/Table17[[#This Row],[TO]],0)</f>
        <v>0</v>
      </c>
      <c r="P1687" s="177"/>
      <c r="Q1687" s="177"/>
      <c r="R1687" s="177"/>
    </row>
    <row r="1688" spans="1:18" hidden="1" x14ac:dyDescent="0.25">
      <c r="A1688" s="29" t="s">
        <v>2838</v>
      </c>
      <c r="B1688" s="29" t="s">
        <v>2837</v>
      </c>
      <c r="C1688" s="29" t="s">
        <v>585</v>
      </c>
      <c r="D1688" s="29" t="str">
        <f>VLOOKUP(C:C,'COUNT-CONT'!B:C,2,FALSE)</f>
        <v>Europe</v>
      </c>
      <c r="E1688" s="29">
        <v>5</v>
      </c>
      <c r="F1688" s="28">
        <v>2234</v>
      </c>
      <c r="G1688" s="28">
        <v>3490590331</v>
      </c>
      <c r="H1688" s="29">
        <v>13.12</v>
      </c>
      <c r="I1688" s="142">
        <v>-66.319999999999993</v>
      </c>
      <c r="J1688" s="29">
        <v>7.22</v>
      </c>
      <c r="K1688" s="29">
        <v>6.68</v>
      </c>
      <c r="L1688" s="29">
        <v>13.39</v>
      </c>
      <c r="M1688" s="368"/>
      <c r="N1688" s="368"/>
      <c r="O1688" s="271">
        <f>IFERROR(Table17[[#This Row],[PROFIT]]/Table17[[#This Row],[TO]],0)</f>
        <v>0</v>
      </c>
      <c r="P1688" s="177"/>
      <c r="Q1688" s="177"/>
      <c r="R1688" s="177"/>
    </row>
    <row r="1689" spans="1:18" ht="30" hidden="1" x14ac:dyDescent="0.25">
      <c r="A1689" s="29" t="s">
        <v>3193</v>
      </c>
      <c r="B1689" s="29" t="s">
        <v>3192</v>
      </c>
      <c r="C1689" s="29" t="s">
        <v>514</v>
      </c>
      <c r="D1689" s="29" t="str">
        <f>VLOOKUP(C:C,'COUNT-CONT'!B:C,2,FALSE)</f>
        <v>North America</v>
      </c>
      <c r="E1689" s="29">
        <v>4</v>
      </c>
      <c r="F1689" s="28">
        <v>1846</v>
      </c>
      <c r="G1689" s="28">
        <v>3759682990</v>
      </c>
      <c r="H1689" s="29">
        <v>13.12</v>
      </c>
      <c r="I1689" s="142">
        <v>-66.319999999999993</v>
      </c>
      <c r="J1689" s="29">
        <v>8.65</v>
      </c>
      <c r="K1689" s="29">
        <v>8.34</v>
      </c>
      <c r="L1689" s="29">
        <v>14.93</v>
      </c>
      <c r="M1689" s="368"/>
      <c r="N1689" s="368"/>
      <c r="O1689" s="271">
        <f>IFERROR(Table17[[#This Row],[PROFIT]]/Table17[[#This Row],[TO]],0)</f>
        <v>0</v>
      </c>
      <c r="P1689" s="177"/>
      <c r="Q1689" s="177"/>
      <c r="R1689" s="177"/>
    </row>
    <row r="1690" spans="1:18" hidden="1" x14ac:dyDescent="0.25">
      <c r="A1690" s="29" t="s">
        <v>1838</v>
      </c>
      <c r="B1690" s="29" t="s">
        <v>1837</v>
      </c>
      <c r="C1690" s="29" t="s">
        <v>493</v>
      </c>
      <c r="D1690" s="29" t="str">
        <f>VLOOKUP(C:C,'COUNT-CONT'!B:C,2,FALSE)</f>
        <v>Africa</v>
      </c>
      <c r="E1690" s="29">
        <v>8</v>
      </c>
      <c r="F1690" s="28">
        <v>2000</v>
      </c>
      <c r="G1690" s="28">
        <v>3099400000</v>
      </c>
      <c r="H1690" s="29">
        <v>13.09</v>
      </c>
      <c r="I1690" s="142">
        <v>-66.349999999999994</v>
      </c>
      <c r="J1690" s="29">
        <v>4.2300000000000004</v>
      </c>
      <c r="K1690" s="29">
        <v>3.02</v>
      </c>
      <c r="L1690" s="29">
        <v>10.07</v>
      </c>
      <c r="M1690" s="368"/>
      <c r="N1690" s="368"/>
      <c r="O1690" s="271">
        <f>IFERROR(Table17[[#This Row],[PROFIT]]/Table17[[#This Row],[TO]],0)</f>
        <v>0</v>
      </c>
      <c r="P1690" s="177"/>
      <c r="Q1690" s="177"/>
      <c r="R1690" s="177"/>
    </row>
    <row r="1691" spans="1:18" hidden="1" x14ac:dyDescent="0.25">
      <c r="A1691" s="29" t="s">
        <v>2083</v>
      </c>
      <c r="B1691" s="29" t="s">
        <v>2082</v>
      </c>
      <c r="C1691" s="29" t="s">
        <v>717</v>
      </c>
      <c r="D1691" s="29" t="str">
        <f>VLOOKUP(C:C,'COUNT-CONT'!B:C,2,FALSE)</f>
        <v>Asia</v>
      </c>
      <c r="E1691" s="29">
        <v>7</v>
      </c>
      <c r="F1691" s="28">
        <v>2751</v>
      </c>
      <c r="G1691" s="28">
        <v>2996654598</v>
      </c>
      <c r="H1691" s="29">
        <v>13.09</v>
      </c>
      <c r="I1691" s="142">
        <v>-66.349999999999994</v>
      </c>
      <c r="J1691" s="29">
        <v>4.72</v>
      </c>
      <c r="K1691" s="29">
        <v>3.84</v>
      </c>
      <c r="L1691" s="29">
        <v>10.73</v>
      </c>
      <c r="M1691" s="368"/>
      <c r="N1691" s="368"/>
      <c r="O1691" s="271">
        <f>IFERROR(Table17[[#This Row],[PROFIT]]/Table17[[#This Row],[TO]],0)</f>
        <v>0</v>
      </c>
      <c r="P1691" s="177"/>
      <c r="Q1691" s="177"/>
      <c r="R1691" s="177"/>
    </row>
    <row r="1692" spans="1:18" ht="30" hidden="1" x14ac:dyDescent="0.25">
      <c r="A1692" s="29" t="s">
        <v>2460</v>
      </c>
      <c r="B1692" s="29" t="s">
        <v>2459</v>
      </c>
      <c r="C1692" s="29" t="s">
        <v>530</v>
      </c>
      <c r="D1692" s="29" t="str">
        <f>VLOOKUP(C:C,'COUNT-CONT'!B:C,2,FALSE)</f>
        <v>South America</v>
      </c>
      <c r="E1692" s="29">
        <v>5</v>
      </c>
      <c r="F1692" s="28">
        <v>2102</v>
      </c>
      <c r="G1692" s="28">
        <v>3208711132</v>
      </c>
      <c r="H1692" s="29">
        <v>13.09</v>
      </c>
      <c r="I1692" s="142">
        <v>-66.349999999999994</v>
      </c>
      <c r="J1692" s="29">
        <v>5.71</v>
      </c>
      <c r="K1692" s="29">
        <v>4.99</v>
      </c>
      <c r="L1692" s="29">
        <v>11.91</v>
      </c>
      <c r="M1692" s="368"/>
      <c r="N1692" s="368"/>
      <c r="O1692" s="271">
        <f>IFERROR(Table17[[#This Row],[PROFIT]]/Table17[[#This Row],[TO]],0)</f>
        <v>0</v>
      </c>
      <c r="P1692" s="177"/>
      <c r="Q1692" s="177"/>
      <c r="R1692" s="177"/>
    </row>
    <row r="1693" spans="1:18" hidden="1" x14ac:dyDescent="0.25">
      <c r="A1693" s="29" t="s">
        <v>2249</v>
      </c>
      <c r="B1693" s="29" t="s">
        <v>2248</v>
      </c>
      <c r="C1693" s="29" t="s">
        <v>709</v>
      </c>
      <c r="D1693" s="29" t="str">
        <f>VLOOKUP(C:C,'COUNT-CONT'!B:C,2,FALSE)</f>
        <v>Asia</v>
      </c>
      <c r="E1693" s="29">
        <v>1</v>
      </c>
      <c r="F1693" s="28">
        <v>995</v>
      </c>
      <c r="G1693" s="28">
        <v>3592727638</v>
      </c>
      <c r="H1693" s="29">
        <v>13.03</v>
      </c>
      <c r="I1693" s="142">
        <v>-66.41</v>
      </c>
      <c r="J1693" s="29">
        <v>5.17</v>
      </c>
      <c r="K1693" s="29">
        <v>4.26</v>
      </c>
      <c r="L1693" s="29">
        <v>11.25</v>
      </c>
      <c r="M1693" s="368"/>
      <c r="N1693" s="368"/>
      <c r="O1693" s="271">
        <f>IFERROR(Table17[[#This Row],[PROFIT]]/Table17[[#This Row],[TO]],0)</f>
        <v>0</v>
      </c>
      <c r="P1693" s="177"/>
      <c r="Q1693" s="177"/>
      <c r="R1693" s="177"/>
    </row>
    <row r="1694" spans="1:18" ht="30" hidden="1" x14ac:dyDescent="0.25">
      <c r="A1694" s="29" t="s">
        <v>3721</v>
      </c>
      <c r="B1694" s="29" t="s">
        <v>3720</v>
      </c>
      <c r="C1694" s="29" t="s">
        <v>11732</v>
      </c>
      <c r="D1694" s="29" t="str">
        <f>VLOOKUP(C:C,'COUNT-CONT'!B:C,2,FALSE)</f>
        <v>North America</v>
      </c>
      <c r="E1694" s="29">
        <v>8</v>
      </c>
      <c r="F1694" s="28">
        <v>2899</v>
      </c>
      <c r="G1694" s="28">
        <v>4040041186</v>
      </c>
      <c r="H1694" s="29">
        <v>13</v>
      </c>
      <c r="I1694" s="142">
        <v>-66.44</v>
      </c>
      <c r="J1694" s="29">
        <v>10.61</v>
      </c>
      <c r="K1694" s="29">
        <v>10.61</v>
      </c>
      <c r="L1694" s="29">
        <v>17.11</v>
      </c>
      <c r="M1694" s="368"/>
      <c r="N1694" s="368"/>
      <c r="O1694" s="271">
        <f>IFERROR(Table17[[#This Row],[PROFIT]]/Table17[[#This Row],[TO]],0)</f>
        <v>0</v>
      </c>
      <c r="P1694" s="177"/>
      <c r="Q1694" s="177"/>
      <c r="R1694" s="177"/>
    </row>
    <row r="1695" spans="1:18" x14ac:dyDescent="0.25">
      <c r="A1695" s="29" t="s">
        <v>2942</v>
      </c>
      <c r="B1695" s="29" t="s">
        <v>2941</v>
      </c>
      <c r="C1695" s="29" t="s">
        <v>774</v>
      </c>
      <c r="D1695" s="29" t="str">
        <f>VLOOKUP(C:C,'COUNT-CONT'!B:C,2,FALSE)</f>
        <v>Oceania</v>
      </c>
      <c r="E1695" s="29">
        <v>3</v>
      </c>
      <c r="F1695" s="28">
        <v>1544</v>
      </c>
      <c r="G1695" s="28">
        <v>3704435233</v>
      </c>
      <c r="H1695" s="29">
        <v>13</v>
      </c>
      <c r="I1695" s="142">
        <v>-66.44</v>
      </c>
      <c r="J1695" s="29">
        <v>7.74</v>
      </c>
      <c r="K1695" s="29">
        <v>7.19</v>
      </c>
      <c r="L1695" s="29">
        <v>13.85</v>
      </c>
      <c r="M1695" s="368"/>
      <c r="N1695" s="368"/>
      <c r="O1695" s="271">
        <f>IFERROR(Table17[[#This Row],[PROFIT]]/Table17[[#This Row],[TO]],0)</f>
        <v>0</v>
      </c>
      <c r="P1695" s="177"/>
      <c r="Q1695" s="177"/>
      <c r="R1695" s="177"/>
    </row>
    <row r="1696" spans="1:18" ht="30" hidden="1" x14ac:dyDescent="0.25">
      <c r="A1696" s="29" t="s">
        <v>3715</v>
      </c>
      <c r="B1696" s="29" t="s">
        <v>3714</v>
      </c>
      <c r="C1696" s="29" t="s">
        <v>11732</v>
      </c>
      <c r="D1696" s="29" t="str">
        <f>VLOOKUP(C:C,'COUNT-CONT'!B:C,2,FALSE)</f>
        <v>North America</v>
      </c>
      <c r="E1696" s="29">
        <v>6</v>
      </c>
      <c r="F1696" s="28">
        <v>2492</v>
      </c>
      <c r="G1696" s="28">
        <v>4060412520</v>
      </c>
      <c r="H1696" s="29">
        <v>13</v>
      </c>
      <c r="I1696" s="142">
        <v>-66.44</v>
      </c>
      <c r="J1696" s="29">
        <v>10.58</v>
      </c>
      <c r="K1696" s="29">
        <v>10.58</v>
      </c>
      <c r="L1696" s="29">
        <v>17.11</v>
      </c>
      <c r="M1696" s="368"/>
      <c r="N1696" s="368"/>
      <c r="O1696" s="271">
        <f>IFERROR(Table17[[#This Row],[PROFIT]]/Table17[[#This Row],[TO]],0)</f>
        <v>0</v>
      </c>
      <c r="P1696" s="177"/>
      <c r="Q1696" s="177"/>
      <c r="R1696" s="177"/>
    </row>
    <row r="1697" spans="1:18" ht="30" hidden="1" x14ac:dyDescent="0.25">
      <c r="A1697" s="29" t="s">
        <v>2563</v>
      </c>
      <c r="B1697" s="29" t="s">
        <v>2562</v>
      </c>
      <c r="C1697" s="29" t="s">
        <v>2441</v>
      </c>
      <c r="D1697" s="29" t="e">
        <f>VLOOKUP(C:C,'COUNT-CONT'!B:C,2,FALSE)</f>
        <v>#N/A</v>
      </c>
      <c r="E1697" s="29">
        <v>5</v>
      </c>
      <c r="F1697" s="28">
        <v>2160</v>
      </c>
      <c r="G1697" s="28">
        <v>3278259259</v>
      </c>
      <c r="H1697" s="29">
        <v>13</v>
      </c>
      <c r="I1697" s="142">
        <v>-66.44</v>
      </c>
      <c r="J1697" s="29">
        <v>6.14</v>
      </c>
      <c r="K1697" s="29">
        <v>5.38</v>
      </c>
      <c r="L1697" s="29">
        <v>12.27</v>
      </c>
      <c r="M1697" s="368"/>
      <c r="N1697" s="368"/>
      <c r="O1697" s="271">
        <f>IFERROR(Table17[[#This Row],[PROFIT]]/Table17[[#This Row],[TO]],0)</f>
        <v>0</v>
      </c>
      <c r="P1697" s="177"/>
      <c r="Q1697" s="177"/>
      <c r="R1697" s="177"/>
    </row>
    <row r="1698" spans="1:18" ht="30" hidden="1" x14ac:dyDescent="0.25">
      <c r="A1698" s="29" t="s">
        <v>2237</v>
      </c>
      <c r="B1698" s="29" t="s">
        <v>2236</v>
      </c>
      <c r="C1698" s="29" t="s">
        <v>860</v>
      </c>
      <c r="D1698" s="29" t="str">
        <f>VLOOKUP(C:C,'COUNT-CONT'!B:C,2,FALSE)</f>
        <v>South America</v>
      </c>
      <c r="E1698" s="29">
        <v>2</v>
      </c>
      <c r="F1698" s="28">
        <v>1491</v>
      </c>
      <c r="G1698" s="28">
        <v>3269559892</v>
      </c>
      <c r="H1698" s="29">
        <v>13</v>
      </c>
      <c r="I1698" s="142">
        <v>-66.44</v>
      </c>
      <c r="J1698" s="29">
        <v>5.14</v>
      </c>
      <c r="K1698" s="29">
        <v>4.2300000000000004</v>
      </c>
      <c r="L1698" s="29">
        <v>11.22</v>
      </c>
      <c r="M1698" s="368"/>
      <c r="N1698" s="368"/>
      <c r="O1698" s="271">
        <f>IFERROR(Table17[[#This Row],[PROFIT]]/Table17[[#This Row],[TO]],0)</f>
        <v>0</v>
      </c>
      <c r="P1698" s="177"/>
      <c r="Q1698" s="177"/>
      <c r="R1698" s="177"/>
    </row>
    <row r="1699" spans="1:18" hidden="1" x14ac:dyDescent="0.25">
      <c r="A1699" s="29" t="s">
        <v>2864</v>
      </c>
      <c r="B1699" s="29" t="s">
        <v>2863</v>
      </c>
      <c r="C1699" s="29" t="s">
        <v>807</v>
      </c>
      <c r="D1699" s="29" t="str">
        <f>VLOOKUP(C:C,'COUNT-CONT'!B:C,2,FALSE)</f>
        <v>Europe</v>
      </c>
      <c r="E1699" s="29">
        <v>6</v>
      </c>
      <c r="F1699" s="28">
        <v>2516</v>
      </c>
      <c r="G1699" s="28">
        <v>3476201907</v>
      </c>
      <c r="H1699" s="29">
        <v>12.94</v>
      </c>
      <c r="I1699" s="142">
        <v>-66.5</v>
      </c>
      <c r="J1699" s="29">
        <v>7.26</v>
      </c>
      <c r="K1699" s="29">
        <v>6.98</v>
      </c>
      <c r="L1699" s="29">
        <v>13.48</v>
      </c>
      <c r="M1699" s="368"/>
      <c r="N1699" s="368"/>
      <c r="O1699" s="271">
        <f>IFERROR(Table17[[#This Row],[PROFIT]]/Table17[[#This Row],[TO]],0)</f>
        <v>0</v>
      </c>
      <c r="P1699" s="177"/>
      <c r="Q1699" s="177"/>
      <c r="R1699" s="177"/>
    </row>
    <row r="1700" spans="1:18" hidden="1" x14ac:dyDescent="0.25">
      <c r="A1700" s="29" t="s">
        <v>1191</v>
      </c>
      <c r="B1700" s="29" t="s">
        <v>1190</v>
      </c>
      <c r="C1700" s="29" t="s">
        <v>1189</v>
      </c>
      <c r="D1700" s="29" t="str">
        <f>VLOOKUP(C:C,'COUNT-CONT'!B:C,2,FALSE)</f>
        <v>Africa</v>
      </c>
      <c r="E1700" s="29">
        <v>4</v>
      </c>
      <c r="F1700" s="28">
        <v>1802</v>
      </c>
      <c r="G1700" s="28">
        <v>2955232852</v>
      </c>
      <c r="H1700" s="29">
        <v>12.94</v>
      </c>
      <c r="I1700" s="142">
        <v>-66.5</v>
      </c>
      <c r="J1700" s="29">
        <v>2.4500000000000002</v>
      </c>
      <c r="K1700" s="29">
        <v>1.1200000000000001</v>
      </c>
      <c r="L1700" s="29">
        <v>8.19</v>
      </c>
      <c r="M1700" s="368"/>
      <c r="N1700" s="368"/>
      <c r="O1700" s="271">
        <f>IFERROR(Table17[[#This Row],[PROFIT]]/Table17[[#This Row],[TO]],0)</f>
        <v>0</v>
      </c>
      <c r="P1700" s="177"/>
      <c r="Q1700" s="177"/>
      <c r="R1700" s="177"/>
    </row>
    <row r="1701" spans="1:18" hidden="1" x14ac:dyDescent="0.25">
      <c r="A1701" s="29" t="s">
        <v>2922</v>
      </c>
      <c r="B1701" s="29" t="s">
        <v>2921</v>
      </c>
      <c r="C1701" s="29" t="s">
        <v>597</v>
      </c>
      <c r="D1701" s="29" t="str">
        <f>VLOOKUP(C:C,'COUNT-CONT'!B:C,2,FALSE)</f>
        <v>Europe</v>
      </c>
      <c r="E1701" s="29">
        <v>9</v>
      </c>
      <c r="F1701" s="28">
        <v>3035</v>
      </c>
      <c r="G1701" s="28">
        <v>3476438220</v>
      </c>
      <c r="H1701" s="29">
        <v>12.94</v>
      </c>
      <c r="I1701" s="142">
        <v>-66.5</v>
      </c>
      <c r="J1701" s="29">
        <v>7.71</v>
      </c>
      <c r="K1701" s="29">
        <v>7.13</v>
      </c>
      <c r="L1701" s="29">
        <v>13.75</v>
      </c>
      <c r="M1701" s="368"/>
      <c r="N1701" s="368"/>
      <c r="O1701" s="271">
        <f>IFERROR(Table17[[#This Row],[PROFIT]]/Table17[[#This Row],[TO]],0)</f>
        <v>0</v>
      </c>
      <c r="P1701" s="177"/>
      <c r="Q1701" s="177"/>
      <c r="R1701" s="177"/>
    </row>
    <row r="1702" spans="1:18" ht="30" hidden="1" x14ac:dyDescent="0.25">
      <c r="A1702" s="29" t="s">
        <v>2166</v>
      </c>
      <c r="B1702" s="29" t="s">
        <v>2165</v>
      </c>
      <c r="C1702" s="29" t="s">
        <v>517</v>
      </c>
      <c r="D1702" s="29" t="str">
        <f>VLOOKUP(C:C,'COUNT-CONT'!B:C,2,FALSE)</f>
        <v>South America</v>
      </c>
      <c r="E1702" s="29">
        <v>2</v>
      </c>
      <c r="F1702" s="28">
        <v>1484</v>
      </c>
      <c r="G1702" s="28">
        <v>3240439892</v>
      </c>
      <c r="H1702" s="29">
        <v>12.94</v>
      </c>
      <c r="I1702" s="142">
        <v>-66.5</v>
      </c>
      <c r="J1702" s="29">
        <v>5.0199999999999996</v>
      </c>
      <c r="K1702" s="29">
        <v>4.1399999999999997</v>
      </c>
      <c r="L1702" s="29">
        <v>10.97</v>
      </c>
      <c r="M1702" s="368"/>
      <c r="N1702" s="368"/>
      <c r="O1702" s="271">
        <f>IFERROR(Table17[[#This Row],[PROFIT]]/Table17[[#This Row],[TO]],0)</f>
        <v>0</v>
      </c>
      <c r="P1702" s="177"/>
      <c r="Q1702" s="177"/>
      <c r="R1702" s="177"/>
    </row>
    <row r="1703" spans="1:18" x14ac:dyDescent="0.25">
      <c r="A1703" s="29" t="s">
        <v>2928</v>
      </c>
      <c r="B1703" s="29" t="s">
        <v>2927</v>
      </c>
      <c r="C1703" s="29" t="s">
        <v>774</v>
      </c>
      <c r="D1703" s="29" t="str">
        <f>VLOOKUP(C:C,'COUNT-CONT'!B:C,2,FALSE)</f>
        <v>Oceania</v>
      </c>
      <c r="E1703" s="29">
        <v>2</v>
      </c>
      <c r="F1703" s="28">
        <v>1420</v>
      </c>
      <c r="G1703" s="28">
        <v>3744647887</v>
      </c>
      <c r="H1703" s="29">
        <v>12.94</v>
      </c>
      <c r="I1703" s="142">
        <v>-66.5</v>
      </c>
      <c r="J1703" s="29">
        <v>7.71</v>
      </c>
      <c r="K1703" s="29">
        <v>7.16</v>
      </c>
      <c r="L1703" s="29">
        <v>13.78</v>
      </c>
      <c r="M1703" s="368"/>
      <c r="N1703" s="368"/>
      <c r="O1703" s="271">
        <f>IFERROR(Table17[[#This Row],[PROFIT]]/Table17[[#This Row],[TO]],0)</f>
        <v>0</v>
      </c>
      <c r="P1703" s="177"/>
      <c r="Q1703" s="177"/>
      <c r="R1703" s="177"/>
    </row>
    <row r="1704" spans="1:18" hidden="1" x14ac:dyDescent="0.25">
      <c r="A1704" s="29" t="s">
        <v>2726</v>
      </c>
      <c r="B1704" s="29" t="s">
        <v>2725</v>
      </c>
      <c r="C1704" s="29" t="s">
        <v>12987</v>
      </c>
      <c r="D1704" s="29" t="str">
        <f>VLOOKUP(C:C,'COUNT-CONT'!B:C,2,FALSE)</f>
        <v>Africa</v>
      </c>
      <c r="E1704" s="29">
        <v>4</v>
      </c>
      <c r="F1704" s="28">
        <v>1961</v>
      </c>
      <c r="G1704" s="28">
        <v>3379785975</v>
      </c>
      <c r="H1704" s="29">
        <v>12.91</v>
      </c>
      <c r="I1704" s="142">
        <v>-66.53</v>
      </c>
      <c r="J1704" s="29">
        <v>6.95</v>
      </c>
      <c r="K1704" s="29">
        <v>6.2</v>
      </c>
      <c r="L1704" s="29">
        <v>12.91</v>
      </c>
      <c r="M1704" s="368"/>
      <c r="N1704" s="368"/>
      <c r="O1704" s="271">
        <f>IFERROR(Table17[[#This Row],[PROFIT]]/Table17[[#This Row],[TO]],0)</f>
        <v>0</v>
      </c>
      <c r="P1704" s="177"/>
      <c r="Q1704" s="177"/>
      <c r="R1704" s="177"/>
    </row>
    <row r="1705" spans="1:18" hidden="1" x14ac:dyDescent="0.25">
      <c r="A1705" s="29" t="s">
        <v>1415</v>
      </c>
      <c r="B1705" s="29" t="s">
        <v>1414</v>
      </c>
      <c r="C1705" s="29" t="s">
        <v>1070</v>
      </c>
      <c r="D1705" s="29" t="str">
        <f>VLOOKUP(C:C,'COUNT-CONT'!B:C,2,FALSE)</f>
        <v>Asia</v>
      </c>
      <c r="E1705" s="29">
        <v>2</v>
      </c>
      <c r="F1705" s="28">
        <v>1372</v>
      </c>
      <c r="G1705" s="28">
        <v>3086549271</v>
      </c>
      <c r="H1705" s="29">
        <v>12.91</v>
      </c>
      <c r="I1705" s="142">
        <v>-66.53</v>
      </c>
      <c r="J1705" s="29">
        <v>2.99</v>
      </c>
      <c r="K1705" s="29">
        <v>1.93</v>
      </c>
      <c r="L1705" s="29">
        <v>8.86</v>
      </c>
      <c r="M1705" s="368"/>
      <c r="N1705" s="368"/>
      <c r="O1705" s="271">
        <f>IFERROR(Table17[[#This Row],[PROFIT]]/Table17[[#This Row],[TO]],0)</f>
        <v>0</v>
      </c>
      <c r="P1705" s="177"/>
      <c r="Q1705" s="177"/>
      <c r="R1705" s="177"/>
    </row>
    <row r="1706" spans="1:18" ht="30" hidden="1" x14ac:dyDescent="0.25">
      <c r="A1706" s="29" t="s">
        <v>2421</v>
      </c>
      <c r="B1706" s="29" t="s">
        <v>2420</v>
      </c>
      <c r="C1706" s="29" t="s">
        <v>530</v>
      </c>
      <c r="D1706" s="29" t="str">
        <f>VLOOKUP(C:C,'COUNT-CONT'!B:C,2,FALSE)</f>
        <v>South America</v>
      </c>
      <c r="E1706" s="29">
        <v>4</v>
      </c>
      <c r="F1706" s="28">
        <v>1807</v>
      </c>
      <c r="G1706" s="28">
        <v>3243943774</v>
      </c>
      <c r="H1706" s="29">
        <v>12.91</v>
      </c>
      <c r="I1706" s="142">
        <v>-66.53</v>
      </c>
      <c r="J1706" s="29">
        <v>5.62</v>
      </c>
      <c r="K1706" s="29">
        <v>4.93</v>
      </c>
      <c r="L1706" s="29">
        <v>11.76</v>
      </c>
      <c r="M1706" s="368"/>
      <c r="N1706" s="368"/>
      <c r="O1706" s="271">
        <f>IFERROR(Table17[[#This Row],[PROFIT]]/Table17[[#This Row],[TO]],0)</f>
        <v>0</v>
      </c>
      <c r="P1706" s="177"/>
      <c r="Q1706" s="177"/>
      <c r="R1706" s="177"/>
    </row>
    <row r="1707" spans="1:18" ht="30" hidden="1" x14ac:dyDescent="0.25">
      <c r="A1707" s="29" t="s">
        <v>2331</v>
      </c>
      <c r="B1707" s="29" t="s">
        <v>2330</v>
      </c>
      <c r="C1707" s="29" t="s">
        <v>2329</v>
      </c>
      <c r="D1707" s="29" t="str">
        <f>VLOOKUP(C:C,'COUNT-CONT'!B:C,2,FALSE)</f>
        <v>North America</v>
      </c>
      <c r="E1707" s="29">
        <v>2</v>
      </c>
      <c r="F1707" s="28">
        <v>1505</v>
      </c>
      <c r="G1707" s="28">
        <v>3304097009</v>
      </c>
      <c r="H1707" s="29">
        <v>12.88</v>
      </c>
      <c r="I1707" s="142">
        <v>-66.56</v>
      </c>
      <c r="J1707" s="29">
        <v>5.5</v>
      </c>
      <c r="K1707" s="29">
        <v>4.84</v>
      </c>
      <c r="L1707" s="29">
        <v>11.52</v>
      </c>
      <c r="M1707" s="368"/>
      <c r="N1707" s="368"/>
      <c r="O1707" s="271">
        <f>IFERROR(Table17[[#This Row],[PROFIT]]/Table17[[#This Row],[TO]],0)</f>
        <v>0</v>
      </c>
      <c r="P1707" s="177"/>
      <c r="Q1707" s="177"/>
      <c r="R1707" s="177"/>
    </row>
    <row r="1708" spans="1:18" hidden="1" x14ac:dyDescent="0.25">
      <c r="A1708" s="29" t="s">
        <v>3660</v>
      </c>
      <c r="B1708" s="29" t="s">
        <v>3659</v>
      </c>
      <c r="C1708" s="29" t="s">
        <v>560</v>
      </c>
      <c r="D1708" s="29" t="str">
        <f>VLOOKUP(C:C,'COUNT-CONT'!B:C,2,FALSE)</f>
        <v>Europe</v>
      </c>
      <c r="E1708" s="29">
        <v>6</v>
      </c>
      <c r="F1708" s="28">
        <v>2345</v>
      </c>
      <c r="G1708" s="28">
        <v>4048483155</v>
      </c>
      <c r="H1708" s="29">
        <v>12.85</v>
      </c>
      <c r="I1708" s="142">
        <v>-66.59</v>
      </c>
      <c r="J1708" s="29">
        <v>10.46</v>
      </c>
      <c r="K1708" s="29">
        <v>10.46</v>
      </c>
      <c r="L1708" s="29">
        <v>16.899999999999999</v>
      </c>
      <c r="M1708" s="368"/>
      <c r="N1708" s="368"/>
      <c r="O1708" s="271">
        <f>IFERROR(Table17[[#This Row],[PROFIT]]/Table17[[#This Row],[TO]],0)</f>
        <v>0</v>
      </c>
      <c r="P1708" s="177"/>
      <c r="Q1708" s="177"/>
      <c r="R1708" s="177"/>
    </row>
    <row r="1709" spans="1:18" ht="30" hidden="1" x14ac:dyDescent="0.25">
      <c r="A1709" s="29" t="s">
        <v>3672</v>
      </c>
      <c r="B1709" s="29" t="s">
        <v>3671</v>
      </c>
      <c r="C1709" s="29" t="s">
        <v>11732</v>
      </c>
      <c r="D1709" s="29" t="str">
        <f>VLOOKUP(C:C,'COUNT-CONT'!B:C,2,FALSE)</f>
        <v>North America</v>
      </c>
      <c r="E1709" s="29">
        <v>8</v>
      </c>
      <c r="F1709" s="28">
        <v>2857</v>
      </c>
      <c r="G1709" s="28">
        <v>4017719250</v>
      </c>
      <c r="H1709" s="29">
        <v>12.85</v>
      </c>
      <c r="I1709" s="142">
        <v>-66.59</v>
      </c>
      <c r="J1709" s="29">
        <v>10.49</v>
      </c>
      <c r="K1709" s="29">
        <v>10.49</v>
      </c>
      <c r="L1709" s="29">
        <v>16.93</v>
      </c>
      <c r="M1709" s="368"/>
      <c r="N1709" s="368"/>
      <c r="O1709" s="271">
        <f>IFERROR(Table17[[#This Row],[PROFIT]]/Table17[[#This Row],[TO]],0)</f>
        <v>0</v>
      </c>
      <c r="P1709" s="177"/>
      <c r="Q1709" s="177"/>
      <c r="R1709" s="177"/>
    </row>
    <row r="1710" spans="1:18" hidden="1" x14ac:dyDescent="0.25">
      <c r="A1710" s="29" t="s">
        <v>1961</v>
      </c>
      <c r="B1710" s="29" t="s">
        <v>1960</v>
      </c>
      <c r="C1710" s="29" t="s">
        <v>1959</v>
      </c>
      <c r="D1710" s="29" t="str">
        <f>VLOOKUP(C:C,'COUNT-CONT'!B:C,2,FALSE)</f>
        <v>Europe</v>
      </c>
      <c r="E1710" s="29">
        <v>7</v>
      </c>
      <c r="F1710" s="28">
        <v>2576</v>
      </c>
      <c r="G1710" s="28">
        <v>2973418633</v>
      </c>
      <c r="H1710" s="29">
        <v>12.85</v>
      </c>
      <c r="I1710" s="142">
        <v>-66.59</v>
      </c>
      <c r="J1710" s="29">
        <v>4.5599999999999996</v>
      </c>
      <c r="K1710" s="29">
        <v>3.51</v>
      </c>
      <c r="L1710" s="29">
        <v>10.37</v>
      </c>
      <c r="M1710" s="368"/>
      <c r="N1710" s="368"/>
      <c r="O1710" s="271">
        <f>IFERROR(Table17[[#This Row],[PROFIT]]/Table17[[#This Row],[TO]],0)</f>
        <v>0</v>
      </c>
      <c r="P1710" s="177"/>
      <c r="Q1710" s="177"/>
      <c r="R1710" s="177"/>
    </row>
    <row r="1711" spans="1:18" ht="30" hidden="1" x14ac:dyDescent="0.25">
      <c r="A1711" s="29" t="s">
        <v>2976</v>
      </c>
      <c r="B1711" s="29" t="s">
        <v>2975</v>
      </c>
      <c r="C1711" s="29" t="s">
        <v>83</v>
      </c>
      <c r="D1711" s="29" t="str">
        <f>VLOOKUP(C:C,'COUNT-CONT'!B:C,2,FALSE)</f>
        <v>Europe</v>
      </c>
      <c r="E1711" s="29">
        <v>2</v>
      </c>
      <c r="F1711" s="28">
        <v>1512</v>
      </c>
      <c r="G1711" s="28">
        <v>3718713227</v>
      </c>
      <c r="H1711" s="29">
        <v>12.85</v>
      </c>
      <c r="I1711" s="142">
        <v>-66.59</v>
      </c>
      <c r="J1711" s="29">
        <v>7.83</v>
      </c>
      <c r="K1711" s="29">
        <v>7.26</v>
      </c>
      <c r="L1711" s="29">
        <v>14</v>
      </c>
      <c r="M1711" s="368"/>
      <c r="N1711" s="368"/>
      <c r="O1711" s="271">
        <f>IFERROR(Table17[[#This Row],[PROFIT]]/Table17[[#This Row],[TO]],0)</f>
        <v>0</v>
      </c>
      <c r="P1711" s="177"/>
      <c r="Q1711" s="177"/>
      <c r="R1711" s="177"/>
    </row>
    <row r="1712" spans="1:18" x14ac:dyDescent="0.25">
      <c r="A1712" s="29" t="s">
        <v>1039</v>
      </c>
      <c r="B1712" s="29" t="s">
        <v>1038</v>
      </c>
      <c r="C1712" s="29" t="s">
        <v>1037</v>
      </c>
      <c r="D1712" s="29" t="str">
        <f>VLOOKUP(C:C,'COUNT-CONT'!B:C,2,FALSE)</f>
        <v>Oceania</v>
      </c>
      <c r="E1712" s="29">
        <v>5</v>
      </c>
      <c r="F1712" s="28">
        <v>2105</v>
      </c>
      <c r="G1712" s="28">
        <v>2909665320</v>
      </c>
      <c r="H1712" s="29">
        <v>12.82</v>
      </c>
      <c r="I1712" s="142">
        <v>-66.62</v>
      </c>
      <c r="J1712" s="29">
        <v>2.0299999999999998</v>
      </c>
      <c r="K1712" s="29">
        <v>0.76</v>
      </c>
      <c r="L1712" s="29">
        <v>7.83</v>
      </c>
      <c r="M1712" s="368"/>
      <c r="N1712" s="368"/>
      <c r="O1712" s="271">
        <f>IFERROR(Table17[[#This Row],[PROFIT]]/Table17[[#This Row],[TO]],0)</f>
        <v>0</v>
      </c>
      <c r="P1712" s="177"/>
      <c r="Q1712" s="177"/>
      <c r="R1712" s="177"/>
    </row>
    <row r="1713" spans="1:18" ht="30" hidden="1" x14ac:dyDescent="0.25">
      <c r="A1713" s="29" t="s">
        <v>3666</v>
      </c>
      <c r="B1713" s="29" t="s">
        <v>3665</v>
      </c>
      <c r="C1713" s="29" t="s">
        <v>11732</v>
      </c>
      <c r="D1713" s="29" t="str">
        <f>VLOOKUP(C:C,'COUNT-CONT'!B:C,2,FALSE)</f>
        <v>North America</v>
      </c>
      <c r="E1713" s="29">
        <v>9</v>
      </c>
      <c r="F1713" s="28">
        <v>3253</v>
      </c>
      <c r="G1713" s="28">
        <v>4003449400</v>
      </c>
      <c r="H1713" s="29">
        <v>12.82</v>
      </c>
      <c r="I1713" s="142">
        <v>-66.62</v>
      </c>
      <c r="J1713" s="29">
        <v>10.46</v>
      </c>
      <c r="K1713" s="29">
        <v>10.46</v>
      </c>
      <c r="L1713" s="29">
        <v>16.899999999999999</v>
      </c>
      <c r="M1713" s="368"/>
      <c r="N1713" s="368"/>
      <c r="O1713" s="271">
        <f>IFERROR(Table17[[#This Row],[PROFIT]]/Table17[[#This Row],[TO]],0)</f>
        <v>0</v>
      </c>
      <c r="P1713" s="177"/>
      <c r="Q1713" s="177"/>
      <c r="R1713" s="177"/>
    </row>
    <row r="1714" spans="1:18" ht="30" hidden="1" x14ac:dyDescent="0.25">
      <c r="A1714" s="29" t="s">
        <v>3646</v>
      </c>
      <c r="B1714" s="29" t="s">
        <v>3645</v>
      </c>
      <c r="C1714" s="29" t="s">
        <v>11732</v>
      </c>
      <c r="D1714" s="29" t="str">
        <f>VLOOKUP(C:C,'COUNT-CONT'!B:C,2,FALSE)</f>
        <v>North America</v>
      </c>
      <c r="E1714" s="29">
        <v>6</v>
      </c>
      <c r="F1714" s="28">
        <v>2449</v>
      </c>
      <c r="G1714" s="28">
        <v>4028962923</v>
      </c>
      <c r="H1714" s="29">
        <v>12.79</v>
      </c>
      <c r="I1714" s="142">
        <v>-66.650000000000006</v>
      </c>
      <c r="J1714" s="29">
        <v>10.43</v>
      </c>
      <c r="K1714" s="29">
        <v>10.43</v>
      </c>
      <c r="L1714" s="29">
        <v>16.84</v>
      </c>
      <c r="M1714" s="368"/>
      <c r="N1714" s="368"/>
      <c r="O1714" s="271">
        <f>IFERROR(Table17[[#This Row],[PROFIT]]/Table17[[#This Row],[TO]],0)</f>
        <v>0</v>
      </c>
      <c r="P1714" s="177"/>
      <c r="Q1714" s="177"/>
      <c r="R1714" s="177"/>
    </row>
    <row r="1715" spans="1:18" ht="30" hidden="1" x14ac:dyDescent="0.25">
      <c r="A1715" s="29" t="s">
        <v>3644</v>
      </c>
      <c r="B1715" s="29" t="s">
        <v>3643</v>
      </c>
      <c r="C1715" s="29" t="s">
        <v>560</v>
      </c>
      <c r="D1715" s="29" t="str">
        <f>VLOOKUP(C:C,'COUNT-CONT'!B:C,2,FALSE)</f>
        <v>Europe</v>
      </c>
      <c r="E1715" s="29">
        <v>5</v>
      </c>
      <c r="F1715" s="28">
        <v>2252</v>
      </c>
      <c r="G1715" s="28">
        <v>4047654706</v>
      </c>
      <c r="H1715" s="29">
        <v>12.79</v>
      </c>
      <c r="I1715" s="142">
        <v>-66.650000000000006</v>
      </c>
      <c r="J1715" s="29">
        <v>10.43</v>
      </c>
      <c r="K1715" s="29">
        <v>10.43</v>
      </c>
      <c r="L1715" s="29">
        <v>16.84</v>
      </c>
      <c r="M1715" s="368"/>
      <c r="N1715" s="368"/>
      <c r="O1715" s="271">
        <f>IFERROR(Table17[[#This Row],[PROFIT]]/Table17[[#This Row],[TO]],0)</f>
        <v>0</v>
      </c>
      <c r="P1715" s="177"/>
      <c r="Q1715" s="177"/>
      <c r="R1715" s="177"/>
    </row>
    <row r="1716" spans="1:18" hidden="1" x14ac:dyDescent="0.25">
      <c r="A1716" s="29" t="s">
        <v>3112</v>
      </c>
      <c r="B1716" s="29" t="s">
        <v>3111</v>
      </c>
      <c r="C1716" s="29" t="s">
        <v>119</v>
      </c>
      <c r="D1716" s="29" t="str">
        <f>VLOOKUP(C:C,'COUNT-CONT'!B:C,2,FALSE)</f>
        <v>Europe</v>
      </c>
      <c r="E1716" s="29">
        <v>5</v>
      </c>
      <c r="F1716" s="28">
        <v>2119</v>
      </c>
      <c r="G1716" s="28">
        <v>3660512789</v>
      </c>
      <c r="H1716" s="29">
        <v>12.79</v>
      </c>
      <c r="I1716" s="142">
        <v>-66.650000000000006</v>
      </c>
      <c r="J1716" s="29">
        <v>8.43</v>
      </c>
      <c r="K1716" s="29">
        <v>8.1300000000000008</v>
      </c>
      <c r="L1716" s="29">
        <v>14.54</v>
      </c>
      <c r="M1716" s="368"/>
      <c r="N1716" s="368"/>
      <c r="O1716" s="271">
        <f>IFERROR(Table17[[#This Row],[PROFIT]]/Table17[[#This Row],[TO]],0)</f>
        <v>0</v>
      </c>
      <c r="P1716" s="177"/>
      <c r="Q1716" s="177"/>
      <c r="R1716" s="177"/>
    </row>
    <row r="1717" spans="1:18" ht="30" hidden="1" x14ac:dyDescent="0.25">
      <c r="A1717" s="29" t="s">
        <v>3648</v>
      </c>
      <c r="B1717" s="29" t="s">
        <v>3647</v>
      </c>
      <c r="C1717" s="29" t="s">
        <v>11732</v>
      </c>
      <c r="D1717" s="29" t="str">
        <f>VLOOKUP(C:C,'COUNT-CONT'!B:C,2,FALSE)</f>
        <v>North America</v>
      </c>
      <c r="E1717" s="29">
        <v>6</v>
      </c>
      <c r="F1717" s="28">
        <v>2478</v>
      </c>
      <c r="G1717" s="28">
        <v>4026606376</v>
      </c>
      <c r="H1717" s="29">
        <v>12.79</v>
      </c>
      <c r="I1717" s="142">
        <v>-66.650000000000006</v>
      </c>
      <c r="J1717" s="29">
        <v>10.43</v>
      </c>
      <c r="K1717" s="29">
        <v>10.43</v>
      </c>
      <c r="L1717" s="29">
        <v>16.84</v>
      </c>
      <c r="M1717" s="368"/>
      <c r="N1717" s="368"/>
      <c r="O1717" s="271">
        <f>IFERROR(Table17[[#This Row],[PROFIT]]/Table17[[#This Row],[TO]],0)</f>
        <v>0</v>
      </c>
      <c r="P1717" s="177"/>
      <c r="Q1717" s="177"/>
      <c r="R1717" s="177"/>
    </row>
    <row r="1718" spans="1:18" hidden="1" x14ac:dyDescent="0.25">
      <c r="A1718" s="29" t="s">
        <v>1465</v>
      </c>
      <c r="B1718" s="29" t="s">
        <v>1464</v>
      </c>
      <c r="C1718" s="29" t="s">
        <v>580</v>
      </c>
      <c r="D1718" s="29" t="str">
        <f>VLOOKUP(C:C,'COUNT-CONT'!B:C,2,FALSE)</f>
        <v>Africa</v>
      </c>
      <c r="E1718" s="29">
        <v>8</v>
      </c>
      <c r="F1718" s="28">
        <v>2993</v>
      </c>
      <c r="G1718" s="28">
        <v>2848524223</v>
      </c>
      <c r="H1718" s="29">
        <v>12.79</v>
      </c>
      <c r="I1718" s="142">
        <v>-66.650000000000006</v>
      </c>
      <c r="J1718" s="29">
        <v>3.23</v>
      </c>
      <c r="K1718" s="29">
        <v>2.15</v>
      </c>
      <c r="L1718" s="29">
        <v>9.01</v>
      </c>
      <c r="M1718" s="368"/>
      <c r="N1718" s="368"/>
      <c r="O1718" s="271">
        <f>IFERROR(Table17[[#This Row],[PROFIT]]/Table17[[#This Row],[TO]],0)</f>
        <v>0</v>
      </c>
      <c r="P1718" s="177"/>
      <c r="Q1718" s="177"/>
      <c r="R1718" s="177"/>
    </row>
    <row r="1719" spans="1:18" hidden="1" x14ac:dyDescent="0.25">
      <c r="A1719" s="29" t="s">
        <v>1137</v>
      </c>
      <c r="B1719" s="29" t="s">
        <v>1136</v>
      </c>
      <c r="C1719" s="29" t="s">
        <v>1135</v>
      </c>
      <c r="D1719" s="29" t="str">
        <f>VLOOKUP(C:C,'COUNT-CONT'!B:C,2,FALSE)</f>
        <v>Africa</v>
      </c>
      <c r="E1719" s="29">
        <v>2</v>
      </c>
      <c r="F1719" s="28">
        <v>1301</v>
      </c>
      <c r="G1719" s="28">
        <v>3170903458</v>
      </c>
      <c r="H1719" s="29">
        <v>12.76</v>
      </c>
      <c r="I1719" s="142">
        <v>-66.679999999999993</v>
      </c>
      <c r="J1719" s="29">
        <v>2.42</v>
      </c>
      <c r="K1719" s="29">
        <v>1.1200000000000001</v>
      </c>
      <c r="L1719" s="29">
        <v>8.07</v>
      </c>
      <c r="M1719" s="368"/>
      <c r="N1719" s="368"/>
      <c r="O1719" s="271">
        <f>IFERROR(Table17[[#This Row],[PROFIT]]/Table17[[#This Row],[TO]],0)</f>
        <v>0</v>
      </c>
      <c r="P1719" s="177"/>
      <c r="Q1719" s="177"/>
      <c r="R1719" s="177"/>
    </row>
    <row r="1720" spans="1:18" ht="30" hidden="1" x14ac:dyDescent="0.25">
      <c r="A1720" s="29" t="s">
        <v>2694</v>
      </c>
      <c r="B1720" s="29" t="s">
        <v>2693</v>
      </c>
      <c r="C1720" s="29" t="s">
        <v>142</v>
      </c>
      <c r="D1720" s="29" t="str">
        <f>VLOOKUP(C:C,'COUNT-CONT'!B:C,2,FALSE)</f>
        <v>Asia</v>
      </c>
      <c r="E1720" s="29">
        <v>4</v>
      </c>
      <c r="F1720" s="28">
        <v>2006</v>
      </c>
      <c r="G1720" s="28">
        <v>3442454935</v>
      </c>
      <c r="H1720" s="29">
        <v>12.76</v>
      </c>
      <c r="I1720" s="142">
        <v>-66.679999999999993</v>
      </c>
      <c r="J1720" s="29">
        <v>6.89</v>
      </c>
      <c r="K1720" s="29">
        <v>6.11</v>
      </c>
      <c r="L1720" s="29">
        <v>12.76</v>
      </c>
      <c r="M1720" s="368"/>
      <c r="N1720" s="368"/>
      <c r="O1720" s="271">
        <f>IFERROR(Table17[[#This Row],[PROFIT]]/Table17[[#This Row],[TO]],0)</f>
        <v>0</v>
      </c>
      <c r="P1720" s="177"/>
      <c r="Q1720" s="177"/>
      <c r="R1720" s="177"/>
    </row>
    <row r="1721" spans="1:18" ht="30" hidden="1" x14ac:dyDescent="0.25">
      <c r="A1721" s="29" t="s">
        <v>2168</v>
      </c>
      <c r="B1721" s="29" t="s">
        <v>2167</v>
      </c>
      <c r="C1721" s="29" t="s">
        <v>860</v>
      </c>
      <c r="D1721" s="29" t="str">
        <f>VLOOKUP(C:C,'COUNT-CONT'!B:C,2,FALSE)</f>
        <v>South America</v>
      </c>
      <c r="E1721" s="29">
        <v>5</v>
      </c>
      <c r="F1721" s="28">
        <v>2106</v>
      </c>
      <c r="G1721" s="28">
        <v>3086717188</v>
      </c>
      <c r="H1721" s="29">
        <v>12.73</v>
      </c>
      <c r="I1721" s="142">
        <v>-66.709999999999994</v>
      </c>
      <c r="J1721" s="29">
        <v>5.05</v>
      </c>
      <c r="K1721" s="29">
        <v>4.17</v>
      </c>
      <c r="L1721" s="29">
        <v>10.97</v>
      </c>
      <c r="M1721" s="368"/>
      <c r="N1721" s="368"/>
      <c r="O1721" s="271">
        <f>IFERROR(Table17[[#This Row],[PROFIT]]/Table17[[#This Row],[TO]],0)</f>
        <v>0</v>
      </c>
      <c r="P1721" s="177"/>
      <c r="Q1721" s="177"/>
      <c r="R1721" s="177"/>
    </row>
    <row r="1722" spans="1:18" hidden="1" x14ac:dyDescent="0.25">
      <c r="A1722" s="29" t="s">
        <v>2816</v>
      </c>
      <c r="B1722" s="29" t="s">
        <v>2815</v>
      </c>
      <c r="C1722" s="29" t="s">
        <v>807</v>
      </c>
      <c r="D1722" s="29" t="str">
        <f>VLOOKUP(C:C,'COUNT-CONT'!B:C,2,FALSE)</f>
        <v>Europe</v>
      </c>
      <c r="E1722" s="29">
        <v>6</v>
      </c>
      <c r="F1722" s="28">
        <v>2516</v>
      </c>
      <c r="G1722" s="28">
        <v>3449001907</v>
      </c>
      <c r="H1722" s="29">
        <v>12.73</v>
      </c>
      <c r="I1722" s="142">
        <v>-66.709999999999994</v>
      </c>
      <c r="J1722" s="29">
        <v>7.16</v>
      </c>
      <c r="K1722" s="29">
        <v>6.89</v>
      </c>
      <c r="L1722" s="29">
        <v>13.27</v>
      </c>
      <c r="M1722" s="368"/>
      <c r="N1722" s="368"/>
      <c r="O1722" s="271">
        <f>IFERROR(Table17[[#This Row],[PROFIT]]/Table17[[#This Row],[TO]],0)</f>
        <v>0</v>
      </c>
      <c r="P1722" s="177"/>
      <c r="Q1722" s="177"/>
      <c r="R1722" s="177"/>
    </row>
    <row r="1723" spans="1:18" ht="30" hidden="1" x14ac:dyDescent="0.25">
      <c r="A1723" s="29" t="s">
        <v>3630</v>
      </c>
      <c r="B1723" s="29" t="s">
        <v>3629</v>
      </c>
      <c r="C1723" s="29" t="s">
        <v>11732</v>
      </c>
      <c r="D1723" s="29" t="str">
        <f>VLOOKUP(C:C,'COUNT-CONT'!B:C,2,FALSE)</f>
        <v>North America</v>
      </c>
      <c r="E1723" s="29">
        <v>10</v>
      </c>
      <c r="F1723" s="28">
        <v>3994</v>
      </c>
      <c r="G1723" s="28">
        <v>3997813119</v>
      </c>
      <c r="H1723" s="29">
        <v>12.73</v>
      </c>
      <c r="I1723" s="142">
        <v>-66.709999999999994</v>
      </c>
      <c r="J1723" s="29">
        <v>10.4</v>
      </c>
      <c r="K1723" s="29">
        <v>10.4</v>
      </c>
      <c r="L1723" s="29">
        <v>16.78</v>
      </c>
      <c r="M1723" s="368"/>
      <c r="N1723" s="368"/>
      <c r="O1723" s="271">
        <f>IFERROR(Table17[[#This Row],[PROFIT]]/Table17[[#This Row],[TO]],0)</f>
        <v>0</v>
      </c>
      <c r="P1723" s="177"/>
      <c r="Q1723" s="177"/>
      <c r="R1723" s="177"/>
    </row>
    <row r="1724" spans="1:18" hidden="1" x14ac:dyDescent="0.25">
      <c r="A1724" s="29" t="s">
        <v>2286</v>
      </c>
      <c r="B1724" s="29" t="s">
        <v>2285</v>
      </c>
      <c r="C1724" s="29" t="s">
        <v>659</v>
      </c>
      <c r="D1724" s="29" t="str">
        <f>VLOOKUP(C:C,'COUNT-CONT'!B:C,2,FALSE)</f>
        <v>Europe</v>
      </c>
      <c r="E1724" s="29">
        <v>7</v>
      </c>
      <c r="F1724" s="28">
        <v>2609</v>
      </c>
      <c r="G1724" s="28">
        <v>3100617477</v>
      </c>
      <c r="H1724" s="29">
        <v>12.73</v>
      </c>
      <c r="I1724" s="142">
        <v>-66.709999999999994</v>
      </c>
      <c r="J1724" s="29">
        <v>5.44</v>
      </c>
      <c r="K1724" s="29">
        <v>4.53</v>
      </c>
      <c r="L1724" s="29">
        <v>11.37</v>
      </c>
      <c r="M1724" s="368"/>
      <c r="N1724" s="368"/>
      <c r="O1724" s="271">
        <f>IFERROR(Table17[[#This Row],[PROFIT]]/Table17[[#This Row],[TO]],0)</f>
        <v>0</v>
      </c>
      <c r="P1724" s="177"/>
      <c r="Q1724" s="177"/>
      <c r="R1724" s="177"/>
    </row>
    <row r="1725" spans="1:18" ht="30" hidden="1" x14ac:dyDescent="0.25">
      <c r="A1725" s="29" t="s">
        <v>3097</v>
      </c>
      <c r="B1725" s="29" t="s">
        <v>3096</v>
      </c>
      <c r="C1725" s="29" t="s">
        <v>514</v>
      </c>
      <c r="D1725" s="29" t="str">
        <f>VLOOKUP(C:C,'COUNT-CONT'!B:C,2,FALSE)</f>
        <v>North America</v>
      </c>
      <c r="E1725" s="29">
        <v>5</v>
      </c>
      <c r="F1725" s="28">
        <v>2030</v>
      </c>
      <c r="G1725" s="28">
        <v>3664871921</v>
      </c>
      <c r="H1725" s="29">
        <v>12.73</v>
      </c>
      <c r="I1725" s="142">
        <v>-66.709999999999994</v>
      </c>
      <c r="J1725" s="29">
        <v>8.3699999999999992</v>
      </c>
      <c r="K1725" s="29">
        <v>8.1</v>
      </c>
      <c r="L1725" s="29">
        <v>14.48</v>
      </c>
      <c r="M1725" s="368"/>
      <c r="N1725" s="368"/>
      <c r="O1725" s="271">
        <f>IFERROR(Table17[[#This Row],[PROFIT]]/Table17[[#This Row],[TO]],0)</f>
        <v>0</v>
      </c>
      <c r="P1725" s="177"/>
      <c r="Q1725" s="177"/>
      <c r="R1725" s="177"/>
    </row>
    <row r="1726" spans="1:18" hidden="1" x14ac:dyDescent="0.25">
      <c r="A1726" s="29" t="s">
        <v>849</v>
      </c>
      <c r="B1726" s="29" t="s">
        <v>848</v>
      </c>
      <c r="C1726" s="29" t="s">
        <v>669</v>
      </c>
      <c r="D1726" s="29" t="str">
        <f>VLOOKUP(C:C,'COUNT-CONT'!B:C,2,FALSE)</f>
        <v>Africa</v>
      </c>
      <c r="E1726" s="29">
        <v>3</v>
      </c>
      <c r="F1726" s="28">
        <v>1606</v>
      </c>
      <c r="G1726" s="28">
        <v>3096031506</v>
      </c>
      <c r="H1726" s="29">
        <v>12.7</v>
      </c>
      <c r="I1726" s="142">
        <v>-66.739999999999995</v>
      </c>
      <c r="J1726" s="29">
        <v>1.42</v>
      </c>
      <c r="K1726" s="29">
        <v>0.27</v>
      </c>
      <c r="L1726" s="29">
        <v>7.13</v>
      </c>
      <c r="M1726" s="368"/>
      <c r="N1726" s="368"/>
      <c r="O1726" s="271">
        <f>IFERROR(Table17[[#This Row],[PROFIT]]/Table17[[#This Row],[TO]],0)</f>
        <v>0</v>
      </c>
      <c r="P1726" s="177"/>
      <c r="Q1726" s="177"/>
      <c r="R1726" s="177"/>
    </row>
    <row r="1727" spans="1:18" ht="30" hidden="1" x14ac:dyDescent="0.25">
      <c r="A1727" s="29" t="s">
        <v>1975</v>
      </c>
      <c r="B1727" s="29" t="s">
        <v>1974</v>
      </c>
      <c r="C1727" s="29" t="s">
        <v>717</v>
      </c>
      <c r="D1727" s="29" t="str">
        <f>VLOOKUP(C:C,'COUNT-CONT'!B:C,2,FALSE)</f>
        <v>Asia</v>
      </c>
      <c r="E1727" s="29">
        <v>1</v>
      </c>
      <c r="F1727" s="28">
        <v>1203</v>
      </c>
      <c r="G1727" s="28">
        <v>3315180714</v>
      </c>
      <c r="H1727" s="29">
        <v>12.7</v>
      </c>
      <c r="I1727" s="142">
        <v>-66.739999999999995</v>
      </c>
      <c r="J1727" s="29">
        <v>4.5599999999999996</v>
      </c>
      <c r="K1727" s="29">
        <v>3.75</v>
      </c>
      <c r="L1727" s="29">
        <v>10.43</v>
      </c>
      <c r="M1727" s="368"/>
      <c r="N1727" s="368"/>
      <c r="O1727" s="271">
        <f>IFERROR(Table17[[#This Row],[PROFIT]]/Table17[[#This Row],[TO]],0)</f>
        <v>0</v>
      </c>
      <c r="P1727" s="177"/>
      <c r="Q1727" s="177"/>
      <c r="R1727" s="177"/>
    </row>
    <row r="1728" spans="1:18" hidden="1" x14ac:dyDescent="0.25">
      <c r="A1728" s="29" t="s">
        <v>1586</v>
      </c>
      <c r="B1728" s="29" t="s">
        <v>1585</v>
      </c>
      <c r="C1728" s="29" t="s">
        <v>926</v>
      </c>
      <c r="D1728" s="29" t="str">
        <f>VLOOKUP(C:C,'COUNT-CONT'!B:C,2,FALSE)</f>
        <v>Africa</v>
      </c>
      <c r="E1728" s="29">
        <v>2</v>
      </c>
      <c r="F1728" s="28">
        <v>1371</v>
      </c>
      <c r="G1728" s="28">
        <v>3106034062</v>
      </c>
      <c r="H1728" s="29">
        <v>12.7</v>
      </c>
      <c r="I1728" s="142">
        <v>-66.739999999999995</v>
      </c>
      <c r="J1728" s="29">
        <v>3.54</v>
      </c>
      <c r="K1728" s="29">
        <v>2.42</v>
      </c>
      <c r="L1728" s="29">
        <v>9.34</v>
      </c>
      <c r="M1728" s="368"/>
      <c r="N1728" s="368"/>
      <c r="O1728" s="271">
        <f>IFERROR(Table17[[#This Row],[PROFIT]]/Table17[[#This Row],[TO]],0)</f>
        <v>0</v>
      </c>
      <c r="P1728" s="177"/>
      <c r="Q1728" s="177"/>
      <c r="R1728" s="177"/>
    </row>
    <row r="1729" spans="1:18" ht="30" hidden="1" x14ac:dyDescent="0.25">
      <c r="A1729" s="29" t="s">
        <v>2940</v>
      </c>
      <c r="B1729" s="29" t="s">
        <v>2939</v>
      </c>
      <c r="C1729" s="29" t="s">
        <v>83</v>
      </c>
      <c r="D1729" s="29" t="str">
        <f>VLOOKUP(C:C,'COUNT-CONT'!B:C,2,FALSE)</f>
        <v>Europe</v>
      </c>
      <c r="E1729" s="29">
        <v>5</v>
      </c>
      <c r="F1729" s="28">
        <v>2236</v>
      </c>
      <c r="G1729" s="28">
        <v>3531149910</v>
      </c>
      <c r="H1729" s="29">
        <v>12.7</v>
      </c>
      <c r="I1729" s="142">
        <v>-66.739999999999995</v>
      </c>
      <c r="J1729" s="29">
        <v>7.71</v>
      </c>
      <c r="K1729" s="29">
        <v>7.16</v>
      </c>
      <c r="L1729" s="29">
        <v>13.81</v>
      </c>
      <c r="M1729" s="368"/>
      <c r="N1729" s="368"/>
      <c r="O1729" s="271">
        <f>IFERROR(Table17[[#This Row],[PROFIT]]/Table17[[#This Row],[TO]],0)</f>
        <v>0</v>
      </c>
      <c r="P1729" s="177"/>
      <c r="Q1729" s="177"/>
      <c r="R1729" s="177"/>
    </row>
    <row r="1730" spans="1:18" hidden="1" x14ac:dyDescent="0.25">
      <c r="A1730" s="29" t="s">
        <v>1590</v>
      </c>
      <c r="B1730" s="29" t="s">
        <v>1589</v>
      </c>
      <c r="C1730" s="29" t="s">
        <v>926</v>
      </c>
      <c r="D1730" s="29" t="str">
        <f>VLOOKUP(C:C,'COUNT-CONT'!B:C,2,FALSE)</f>
        <v>Africa</v>
      </c>
      <c r="E1730" s="29">
        <v>4</v>
      </c>
      <c r="F1730" s="28">
        <v>2003</v>
      </c>
      <c r="G1730" s="28">
        <v>2915976235</v>
      </c>
      <c r="H1730" s="29">
        <v>12.7</v>
      </c>
      <c r="I1730" s="142">
        <v>-66.739999999999995</v>
      </c>
      <c r="J1730" s="29">
        <v>3.54</v>
      </c>
      <c r="K1730" s="29">
        <v>2.42</v>
      </c>
      <c r="L1730" s="29">
        <v>9.34</v>
      </c>
      <c r="M1730" s="368"/>
      <c r="N1730" s="368"/>
      <c r="O1730" s="271">
        <f>IFERROR(Table17[[#This Row],[PROFIT]]/Table17[[#This Row],[TO]],0)</f>
        <v>0</v>
      </c>
      <c r="P1730" s="177"/>
      <c r="Q1730" s="177"/>
      <c r="R1730" s="177"/>
    </row>
    <row r="1731" spans="1:18" x14ac:dyDescent="0.25">
      <c r="A1731" s="29" t="s">
        <v>1648</v>
      </c>
      <c r="B1731" s="29" t="s">
        <v>1647</v>
      </c>
      <c r="C1731" s="29" t="s">
        <v>1646</v>
      </c>
      <c r="D1731" s="29" t="str">
        <f>VLOOKUP(C:C,'COUNT-CONT'!B:C,2,FALSE)</f>
        <v>Oceania</v>
      </c>
      <c r="E1731" s="29">
        <v>3</v>
      </c>
      <c r="F1731" s="28">
        <v>1708</v>
      </c>
      <c r="G1731" s="28">
        <v>3045528103</v>
      </c>
      <c r="H1731" s="29">
        <v>12.7</v>
      </c>
      <c r="I1731" s="142">
        <v>-66.739999999999995</v>
      </c>
      <c r="J1731" s="29">
        <v>3.78</v>
      </c>
      <c r="K1731" s="29">
        <v>2.63</v>
      </c>
      <c r="L1731" s="29">
        <v>9.49</v>
      </c>
      <c r="M1731" s="368"/>
      <c r="N1731" s="368"/>
      <c r="O1731" s="271">
        <f>IFERROR(Table17[[#This Row],[PROFIT]]/Table17[[#This Row],[TO]],0)</f>
        <v>0</v>
      </c>
      <c r="P1731" s="177"/>
      <c r="Q1731" s="177"/>
      <c r="R1731" s="177"/>
    </row>
    <row r="1732" spans="1:18" hidden="1" x14ac:dyDescent="0.25">
      <c r="A1732" s="29" t="s">
        <v>1981</v>
      </c>
      <c r="B1732" s="29" t="s">
        <v>1980</v>
      </c>
      <c r="C1732" s="29" t="s">
        <v>717</v>
      </c>
      <c r="D1732" s="29" t="str">
        <f>VLOOKUP(C:C,'COUNT-CONT'!B:C,2,FALSE)</f>
        <v>Asia</v>
      </c>
      <c r="E1732" s="29">
        <v>3</v>
      </c>
      <c r="F1732" s="28">
        <v>1564</v>
      </c>
      <c r="G1732" s="28">
        <v>3138524808</v>
      </c>
      <c r="H1732" s="29">
        <v>12.7</v>
      </c>
      <c r="I1732" s="142">
        <v>-66.739999999999995</v>
      </c>
      <c r="J1732" s="29">
        <v>4.5599999999999996</v>
      </c>
      <c r="K1732" s="29">
        <v>3.75</v>
      </c>
      <c r="L1732" s="29">
        <v>10.43</v>
      </c>
      <c r="M1732" s="368"/>
      <c r="N1732" s="368"/>
      <c r="O1732" s="271">
        <f>IFERROR(Table17[[#This Row],[PROFIT]]/Table17[[#This Row],[TO]],0)</f>
        <v>0</v>
      </c>
      <c r="P1732" s="177"/>
      <c r="Q1732" s="177"/>
      <c r="R1732" s="177"/>
    </row>
    <row r="1733" spans="1:18" hidden="1" x14ac:dyDescent="0.25">
      <c r="A1733" s="29" t="s">
        <v>1742</v>
      </c>
      <c r="B1733" s="29" t="s">
        <v>1741</v>
      </c>
      <c r="C1733" s="29" t="s">
        <v>1314</v>
      </c>
      <c r="D1733" s="29" t="str">
        <f>VLOOKUP(C:C,'COUNT-CONT'!B:C,2,FALSE)</f>
        <v>Asia</v>
      </c>
      <c r="E1733" s="29">
        <v>2</v>
      </c>
      <c r="F1733" s="28">
        <v>1503</v>
      </c>
      <c r="G1733" s="28">
        <v>3071469594</v>
      </c>
      <c r="H1733" s="29">
        <v>12.67</v>
      </c>
      <c r="I1733" s="142">
        <v>-66.77</v>
      </c>
      <c r="J1733" s="29">
        <v>4.08</v>
      </c>
      <c r="K1733" s="29">
        <v>2.9</v>
      </c>
      <c r="L1733" s="29">
        <v>9.73</v>
      </c>
      <c r="M1733" s="368"/>
      <c r="N1733" s="368"/>
      <c r="O1733" s="271">
        <f>IFERROR(Table17[[#This Row],[PROFIT]]/Table17[[#This Row],[TO]],0)</f>
        <v>0</v>
      </c>
      <c r="P1733" s="177"/>
      <c r="Q1733" s="177"/>
      <c r="R1733" s="177"/>
    </row>
    <row r="1734" spans="1:18" hidden="1" x14ac:dyDescent="0.25">
      <c r="A1734" s="29" t="s">
        <v>3607</v>
      </c>
      <c r="B1734" s="29" t="s">
        <v>3606</v>
      </c>
      <c r="C1734" s="29" t="s">
        <v>560</v>
      </c>
      <c r="D1734" s="29" t="str">
        <f>VLOOKUP(C:C,'COUNT-CONT'!B:C,2,FALSE)</f>
        <v>Europe</v>
      </c>
      <c r="E1734" s="29">
        <v>9</v>
      </c>
      <c r="F1734" s="28">
        <v>3093</v>
      </c>
      <c r="G1734" s="28">
        <v>3978641771</v>
      </c>
      <c r="H1734" s="29">
        <v>12.67</v>
      </c>
      <c r="I1734" s="142">
        <v>-66.77</v>
      </c>
      <c r="J1734" s="29">
        <v>10.34</v>
      </c>
      <c r="K1734" s="29">
        <v>10.34</v>
      </c>
      <c r="L1734" s="29">
        <v>16.690000000000001</v>
      </c>
      <c r="M1734" s="368"/>
      <c r="N1734" s="368"/>
      <c r="O1734" s="271">
        <f>IFERROR(Table17[[#This Row],[PROFIT]]/Table17[[#This Row],[TO]],0)</f>
        <v>0</v>
      </c>
      <c r="P1734" s="177"/>
      <c r="Q1734" s="177"/>
      <c r="R1734" s="177"/>
    </row>
    <row r="1735" spans="1:18" ht="30" hidden="1" x14ac:dyDescent="0.25">
      <c r="A1735" s="29" t="s">
        <v>3605</v>
      </c>
      <c r="B1735" s="29" t="s">
        <v>3604</v>
      </c>
      <c r="C1735" s="29" t="s">
        <v>11732</v>
      </c>
      <c r="D1735" s="29" t="str">
        <f>VLOOKUP(C:C,'COUNT-CONT'!B:C,2,FALSE)</f>
        <v>North America</v>
      </c>
      <c r="E1735" s="29">
        <v>7</v>
      </c>
      <c r="F1735" s="28">
        <v>2786</v>
      </c>
      <c r="G1735" s="28">
        <v>3985631299</v>
      </c>
      <c r="H1735" s="29">
        <v>12.67</v>
      </c>
      <c r="I1735" s="142">
        <v>-66.77</v>
      </c>
      <c r="J1735" s="29">
        <v>10.31</v>
      </c>
      <c r="K1735" s="29">
        <v>10.31</v>
      </c>
      <c r="L1735" s="29">
        <v>16.66</v>
      </c>
      <c r="M1735" s="368"/>
      <c r="N1735" s="368"/>
      <c r="O1735" s="271">
        <f>IFERROR(Table17[[#This Row],[PROFIT]]/Table17[[#This Row],[TO]],0)</f>
        <v>0</v>
      </c>
      <c r="P1735" s="177"/>
      <c r="Q1735" s="177"/>
      <c r="R1735" s="177"/>
    </row>
    <row r="1736" spans="1:18" ht="30" hidden="1" x14ac:dyDescent="0.25">
      <c r="A1736" s="29" t="s">
        <v>3601</v>
      </c>
      <c r="B1736" s="29" t="s">
        <v>3600</v>
      </c>
      <c r="C1736" s="29" t="s">
        <v>11732</v>
      </c>
      <c r="D1736" s="29" t="str">
        <f>VLOOKUP(C:C,'COUNT-CONT'!B:C,2,FALSE)</f>
        <v>North America</v>
      </c>
      <c r="E1736" s="29">
        <v>6</v>
      </c>
      <c r="F1736" s="28">
        <v>2488</v>
      </c>
      <c r="G1736" s="28">
        <v>4003522186</v>
      </c>
      <c r="H1736" s="29">
        <v>12.67</v>
      </c>
      <c r="I1736" s="142">
        <v>-66.77</v>
      </c>
      <c r="J1736" s="29">
        <v>10.31</v>
      </c>
      <c r="K1736" s="29">
        <v>10.31</v>
      </c>
      <c r="L1736" s="29">
        <v>16.66</v>
      </c>
      <c r="M1736" s="368"/>
      <c r="N1736" s="368"/>
      <c r="O1736" s="271">
        <f>IFERROR(Table17[[#This Row],[PROFIT]]/Table17[[#This Row],[TO]],0)</f>
        <v>0</v>
      </c>
      <c r="P1736" s="177"/>
      <c r="Q1736" s="177"/>
      <c r="R1736" s="177"/>
    </row>
    <row r="1737" spans="1:18" ht="30" hidden="1" x14ac:dyDescent="0.25">
      <c r="A1737" s="29" t="s">
        <v>3599</v>
      </c>
      <c r="B1737" s="29" t="s">
        <v>3598</v>
      </c>
      <c r="C1737" s="29" t="s">
        <v>11732</v>
      </c>
      <c r="D1737" s="29" t="str">
        <f>VLOOKUP(C:C,'COUNT-CONT'!B:C,2,FALSE)</f>
        <v>North America</v>
      </c>
      <c r="E1737" s="29">
        <v>3</v>
      </c>
      <c r="F1737" s="28">
        <v>1680</v>
      </c>
      <c r="G1737" s="28">
        <v>4134961904</v>
      </c>
      <c r="H1737" s="29">
        <v>12.64</v>
      </c>
      <c r="I1737" s="142">
        <v>-66.8</v>
      </c>
      <c r="J1737" s="29">
        <v>10.31</v>
      </c>
      <c r="K1737" s="29">
        <v>10.31</v>
      </c>
      <c r="L1737" s="29">
        <v>16.66</v>
      </c>
      <c r="M1737" s="368"/>
      <c r="N1737" s="368"/>
      <c r="O1737" s="271">
        <f>IFERROR(Table17[[#This Row],[PROFIT]]/Table17[[#This Row],[TO]],0)</f>
        <v>0</v>
      </c>
      <c r="P1737" s="177"/>
      <c r="Q1737" s="177"/>
      <c r="R1737" s="177"/>
    </row>
    <row r="1738" spans="1:18" ht="30" hidden="1" x14ac:dyDescent="0.25">
      <c r="A1738" s="29" t="s">
        <v>2085</v>
      </c>
      <c r="B1738" s="29" t="s">
        <v>2084</v>
      </c>
      <c r="C1738" s="29" t="s">
        <v>505</v>
      </c>
      <c r="D1738" s="29" t="e">
        <f>VLOOKUP(C:C,'COUNT-CONT'!B:C,2,FALSE)</f>
        <v>#N/A</v>
      </c>
      <c r="E1738" s="29">
        <v>8</v>
      </c>
      <c r="F1738" s="28">
        <v>2964</v>
      </c>
      <c r="G1738" s="28">
        <v>2985920107</v>
      </c>
      <c r="H1738" s="29">
        <v>12.64</v>
      </c>
      <c r="I1738" s="142">
        <v>-66.8</v>
      </c>
      <c r="J1738" s="29">
        <v>4.93</v>
      </c>
      <c r="K1738" s="29">
        <v>4.05</v>
      </c>
      <c r="L1738" s="29">
        <v>10.73</v>
      </c>
      <c r="M1738" s="368"/>
      <c r="N1738" s="368"/>
      <c r="O1738" s="271">
        <f>IFERROR(Table17[[#This Row],[PROFIT]]/Table17[[#This Row],[TO]],0)</f>
        <v>0</v>
      </c>
      <c r="P1738" s="177"/>
      <c r="Q1738" s="177"/>
      <c r="R1738" s="177"/>
    </row>
    <row r="1739" spans="1:18" hidden="1" x14ac:dyDescent="0.25">
      <c r="A1739" s="29" t="s">
        <v>1473</v>
      </c>
      <c r="B1739" s="29" t="s">
        <v>1472</v>
      </c>
      <c r="C1739" s="29" t="s">
        <v>608</v>
      </c>
      <c r="D1739" s="29" t="str">
        <f>VLOOKUP(C:C,'COUNT-CONT'!B:C,2,FALSE)</f>
        <v>Africa</v>
      </c>
      <c r="E1739" s="29">
        <v>6</v>
      </c>
      <c r="F1739" s="28">
        <v>2303</v>
      </c>
      <c r="G1739" s="28">
        <v>2847837863</v>
      </c>
      <c r="H1739" s="29">
        <v>12.64</v>
      </c>
      <c r="I1739" s="142">
        <v>-66.8</v>
      </c>
      <c r="J1739" s="29">
        <v>3.23</v>
      </c>
      <c r="K1739" s="29">
        <v>2.15</v>
      </c>
      <c r="L1739" s="29">
        <v>9.0399999999999991</v>
      </c>
      <c r="M1739" s="368"/>
      <c r="N1739" s="368"/>
      <c r="O1739" s="271">
        <f>IFERROR(Table17[[#This Row],[PROFIT]]/Table17[[#This Row],[TO]],0)</f>
        <v>0</v>
      </c>
      <c r="P1739" s="177"/>
      <c r="Q1739" s="177"/>
      <c r="R1739" s="177"/>
    </row>
    <row r="1740" spans="1:18" hidden="1" x14ac:dyDescent="0.25">
      <c r="A1740" s="29" t="s">
        <v>2266</v>
      </c>
      <c r="B1740" s="29" t="s">
        <v>2265</v>
      </c>
      <c r="C1740" s="29" t="s">
        <v>605</v>
      </c>
      <c r="D1740" s="29" t="str">
        <f>VLOOKUP(C:C,'COUNT-CONT'!B:C,2,FALSE)</f>
        <v>Europe</v>
      </c>
      <c r="E1740" s="29">
        <v>8</v>
      </c>
      <c r="F1740" s="28">
        <v>2809</v>
      </c>
      <c r="G1740" s="28">
        <v>3199398433</v>
      </c>
      <c r="H1740" s="29">
        <v>12.61</v>
      </c>
      <c r="I1740" s="142">
        <v>-66.83</v>
      </c>
      <c r="J1740" s="29">
        <v>5.41</v>
      </c>
      <c r="K1740" s="29">
        <v>4.72</v>
      </c>
      <c r="L1740" s="29">
        <v>11.28</v>
      </c>
      <c r="M1740" s="368"/>
      <c r="N1740" s="368"/>
      <c r="O1740" s="271">
        <f>IFERROR(Table17[[#This Row],[PROFIT]]/Table17[[#This Row],[TO]],0)</f>
        <v>0</v>
      </c>
      <c r="P1740" s="177"/>
      <c r="Q1740" s="177"/>
      <c r="R1740" s="177"/>
    </row>
    <row r="1741" spans="1:18" x14ac:dyDescent="0.25">
      <c r="A1741" s="29" t="s">
        <v>2436</v>
      </c>
      <c r="B1741" s="29" t="s">
        <v>2435</v>
      </c>
      <c r="C1741" s="29" t="s">
        <v>730</v>
      </c>
      <c r="D1741" s="29" t="str">
        <f>VLOOKUP(C:C,'COUNT-CONT'!B:C,2,FALSE)</f>
        <v>Oceania</v>
      </c>
      <c r="E1741" s="29">
        <v>1</v>
      </c>
      <c r="F1741" s="28">
        <v>1101</v>
      </c>
      <c r="G1741" s="28">
        <v>3683391734</v>
      </c>
      <c r="H1741" s="29">
        <v>12.58</v>
      </c>
      <c r="I1741" s="142">
        <v>-66.86</v>
      </c>
      <c r="J1741" s="29">
        <v>5.93</v>
      </c>
      <c r="K1741" s="29">
        <v>5.2</v>
      </c>
      <c r="L1741" s="29">
        <v>11.85</v>
      </c>
      <c r="M1741" s="368"/>
      <c r="N1741" s="368"/>
      <c r="O1741" s="271">
        <f>IFERROR(Table17[[#This Row],[PROFIT]]/Table17[[#This Row],[TO]],0)</f>
        <v>0</v>
      </c>
      <c r="P1741" s="177"/>
      <c r="Q1741" s="177"/>
      <c r="R1741" s="177"/>
    </row>
    <row r="1742" spans="1:18" hidden="1" x14ac:dyDescent="0.25">
      <c r="A1742" s="29" t="s">
        <v>2058</v>
      </c>
      <c r="B1742" s="29" t="s">
        <v>2057</v>
      </c>
      <c r="C1742" s="29" t="s">
        <v>14</v>
      </c>
      <c r="D1742" s="29" t="str">
        <f>VLOOKUP(C:C,'COUNT-CONT'!B:C,2,FALSE)</f>
        <v>Asia</v>
      </c>
      <c r="E1742" s="29">
        <v>4</v>
      </c>
      <c r="F1742" s="28">
        <v>1805</v>
      </c>
      <c r="G1742" s="28">
        <v>3100618282</v>
      </c>
      <c r="H1742" s="29">
        <v>12.58</v>
      </c>
      <c r="I1742" s="142">
        <v>-66.86</v>
      </c>
      <c r="J1742" s="29">
        <v>4.9000000000000004</v>
      </c>
      <c r="K1742" s="29">
        <v>4.05</v>
      </c>
      <c r="L1742" s="29">
        <v>10.67</v>
      </c>
      <c r="M1742" s="368"/>
      <c r="N1742" s="368"/>
      <c r="O1742" s="271">
        <f>IFERROR(Table17[[#This Row],[PROFIT]]/Table17[[#This Row],[TO]],0)</f>
        <v>0</v>
      </c>
      <c r="P1742" s="177"/>
      <c r="Q1742" s="177"/>
      <c r="R1742" s="177"/>
    </row>
    <row r="1743" spans="1:18" ht="30" hidden="1" x14ac:dyDescent="0.25">
      <c r="A1743" s="29" t="s">
        <v>3038</v>
      </c>
      <c r="B1743" s="29" t="s">
        <v>3037</v>
      </c>
      <c r="C1743" s="29" t="s">
        <v>514</v>
      </c>
      <c r="D1743" s="29" t="str">
        <f>VLOOKUP(C:C,'COUNT-CONT'!B:C,2,FALSE)</f>
        <v>North America</v>
      </c>
      <c r="E1743" s="29">
        <v>4</v>
      </c>
      <c r="F1743" s="28">
        <v>1844</v>
      </c>
      <c r="G1743" s="28">
        <v>3675629284</v>
      </c>
      <c r="H1743" s="29">
        <v>12.58</v>
      </c>
      <c r="I1743" s="142">
        <v>-66.86</v>
      </c>
      <c r="J1743" s="29">
        <v>8.2799999999999994</v>
      </c>
      <c r="K1743" s="29">
        <v>7.98</v>
      </c>
      <c r="L1743" s="29">
        <v>14.3</v>
      </c>
      <c r="M1743" s="368"/>
      <c r="N1743" s="368"/>
      <c r="O1743" s="271">
        <f>IFERROR(Table17[[#This Row],[PROFIT]]/Table17[[#This Row],[TO]],0)</f>
        <v>0</v>
      </c>
      <c r="P1743" s="177"/>
      <c r="Q1743" s="177"/>
      <c r="R1743" s="177"/>
    </row>
    <row r="1744" spans="1:18" ht="30" hidden="1" x14ac:dyDescent="0.25">
      <c r="A1744" s="29" t="s">
        <v>3580</v>
      </c>
      <c r="B1744" s="29" t="s">
        <v>3579</v>
      </c>
      <c r="C1744" s="29" t="s">
        <v>11732</v>
      </c>
      <c r="D1744" s="29" t="str">
        <f>VLOOKUP(C:C,'COUNT-CONT'!B:C,2,FALSE)</f>
        <v>North America</v>
      </c>
      <c r="E1744" s="29">
        <v>4</v>
      </c>
      <c r="F1744" s="28">
        <v>1980</v>
      </c>
      <c r="G1744" s="28">
        <v>4049455555</v>
      </c>
      <c r="H1744" s="29">
        <v>12.55</v>
      </c>
      <c r="I1744" s="142">
        <v>-66.89</v>
      </c>
      <c r="J1744" s="29">
        <v>10.25</v>
      </c>
      <c r="K1744" s="29">
        <v>10.25</v>
      </c>
      <c r="L1744" s="29">
        <v>16.54</v>
      </c>
      <c r="M1744" s="368"/>
      <c r="N1744" s="368"/>
      <c r="O1744" s="271">
        <f>IFERROR(Table17[[#This Row],[PROFIT]]/Table17[[#This Row],[TO]],0)</f>
        <v>0</v>
      </c>
      <c r="P1744" s="177"/>
      <c r="Q1744" s="177"/>
      <c r="R1744" s="177"/>
    </row>
    <row r="1745" spans="1:18" ht="30" hidden="1" x14ac:dyDescent="0.25">
      <c r="A1745" s="29" t="s">
        <v>2044</v>
      </c>
      <c r="B1745" s="29" t="s">
        <v>2043</v>
      </c>
      <c r="C1745" s="29" t="s">
        <v>517</v>
      </c>
      <c r="D1745" s="29" t="str">
        <f>VLOOKUP(C:C,'COUNT-CONT'!B:C,2,FALSE)</f>
        <v>South America</v>
      </c>
      <c r="E1745" s="29">
        <v>1</v>
      </c>
      <c r="F1745" s="28">
        <v>1203</v>
      </c>
      <c r="G1745" s="28">
        <v>3342380714</v>
      </c>
      <c r="H1745" s="29">
        <v>12.55</v>
      </c>
      <c r="I1745" s="142">
        <v>-66.89</v>
      </c>
      <c r="J1745" s="29">
        <v>4.87</v>
      </c>
      <c r="K1745" s="29">
        <v>4.0199999999999996</v>
      </c>
      <c r="L1745" s="29">
        <v>10.64</v>
      </c>
      <c r="M1745" s="368"/>
      <c r="N1745" s="368"/>
      <c r="O1745" s="271">
        <f>IFERROR(Table17[[#This Row],[PROFIT]]/Table17[[#This Row],[TO]],0)</f>
        <v>0</v>
      </c>
      <c r="P1745" s="177"/>
      <c r="Q1745" s="177"/>
      <c r="R1745" s="177"/>
    </row>
    <row r="1746" spans="1:18" ht="30" hidden="1" x14ac:dyDescent="0.25">
      <c r="A1746" s="29" t="s">
        <v>2443</v>
      </c>
      <c r="B1746" s="29" t="s">
        <v>2442</v>
      </c>
      <c r="C1746" s="29" t="s">
        <v>2441</v>
      </c>
      <c r="D1746" s="29" t="e">
        <f>VLOOKUP(C:C,'COUNT-CONT'!B:C,2,FALSE)</f>
        <v>#N/A</v>
      </c>
      <c r="E1746" s="29">
        <v>6</v>
      </c>
      <c r="F1746" s="28">
        <v>2510</v>
      </c>
      <c r="G1746" s="28">
        <v>3186247011</v>
      </c>
      <c r="H1746" s="29">
        <v>12.55</v>
      </c>
      <c r="I1746" s="142">
        <v>-66.89</v>
      </c>
      <c r="J1746" s="29">
        <v>5.93</v>
      </c>
      <c r="K1746" s="29">
        <v>5.2</v>
      </c>
      <c r="L1746" s="29">
        <v>11.85</v>
      </c>
      <c r="M1746" s="368"/>
      <c r="N1746" s="368"/>
      <c r="O1746" s="271">
        <f>IFERROR(Table17[[#This Row],[PROFIT]]/Table17[[#This Row],[TO]],0)</f>
        <v>0</v>
      </c>
      <c r="P1746" s="177"/>
      <c r="Q1746" s="177"/>
      <c r="R1746" s="177"/>
    </row>
    <row r="1747" spans="1:18" ht="30" hidden="1" x14ac:dyDescent="0.25">
      <c r="A1747" s="29" t="s">
        <v>2114</v>
      </c>
      <c r="B1747" s="29" t="s">
        <v>2113</v>
      </c>
      <c r="C1747" s="29" t="s">
        <v>683</v>
      </c>
      <c r="D1747" s="29" t="str">
        <f>VLOOKUP(C:C,'COUNT-CONT'!B:C,2,FALSE)</f>
        <v>North America</v>
      </c>
      <c r="E1747" s="29">
        <v>6</v>
      </c>
      <c r="F1747" s="28">
        <v>2311</v>
      </c>
      <c r="G1747" s="28">
        <v>3038484422</v>
      </c>
      <c r="H1747" s="29">
        <v>12.55</v>
      </c>
      <c r="I1747" s="142">
        <v>-66.89</v>
      </c>
      <c r="J1747" s="29">
        <v>4.96</v>
      </c>
      <c r="K1747" s="29">
        <v>4.1100000000000003</v>
      </c>
      <c r="L1747" s="29">
        <v>10.82</v>
      </c>
      <c r="M1747" s="368"/>
      <c r="N1747" s="368"/>
      <c r="O1747" s="271">
        <f>IFERROR(Table17[[#This Row],[PROFIT]]/Table17[[#This Row],[TO]],0)</f>
        <v>0</v>
      </c>
      <c r="P1747" s="177"/>
      <c r="Q1747" s="177"/>
      <c r="R1747" s="177"/>
    </row>
    <row r="1748" spans="1:18" x14ac:dyDescent="0.25">
      <c r="A1748" s="29" t="s">
        <v>1172</v>
      </c>
      <c r="B1748" s="29" t="s">
        <v>1171</v>
      </c>
      <c r="C1748" s="29" t="s">
        <v>1170</v>
      </c>
      <c r="D1748" s="29" t="str">
        <f>VLOOKUP(C:C,'COUNT-CONT'!B:C,2,FALSE)</f>
        <v>Oceania</v>
      </c>
      <c r="E1748" s="29">
        <v>5</v>
      </c>
      <c r="F1748" s="28">
        <v>2152</v>
      </c>
      <c r="G1748" s="28">
        <v>2896352416</v>
      </c>
      <c r="H1748" s="29">
        <v>12.52</v>
      </c>
      <c r="I1748" s="142">
        <v>-66.92</v>
      </c>
      <c r="J1748" s="29">
        <v>2.6</v>
      </c>
      <c r="K1748" s="29">
        <v>1.3</v>
      </c>
      <c r="L1748" s="29">
        <v>8.1300000000000008</v>
      </c>
      <c r="M1748" s="368"/>
      <c r="N1748" s="368"/>
      <c r="O1748" s="271">
        <f>IFERROR(Table17[[#This Row],[PROFIT]]/Table17[[#This Row],[TO]],0)</f>
        <v>0</v>
      </c>
      <c r="P1748" s="177"/>
      <c r="Q1748" s="177"/>
      <c r="R1748" s="177"/>
    </row>
    <row r="1749" spans="1:18" hidden="1" x14ac:dyDescent="0.25">
      <c r="A1749" s="29" t="s">
        <v>2095</v>
      </c>
      <c r="B1749" s="29" t="s">
        <v>2094</v>
      </c>
      <c r="C1749" s="29" t="s">
        <v>709</v>
      </c>
      <c r="D1749" s="29" t="str">
        <f>VLOOKUP(C:C,'COUNT-CONT'!B:C,2,FALSE)</f>
        <v>Asia</v>
      </c>
      <c r="E1749" s="29">
        <v>2</v>
      </c>
      <c r="F1749" s="28">
        <v>1504</v>
      </c>
      <c r="G1749" s="28">
        <v>3211782978</v>
      </c>
      <c r="H1749" s="29">
        <v>12.52</v>
      </c>
      <c r="I1749" s="142">
        <v>-66.92</v>
      </c>
      <c r="J1749" s="29">
        <v>4.96</v>
      </c>
      <c r="K1749" s="29">
        <v>4.08</v>
      </c>
      <c r="L1749" s="29">
        <v>10.79</v>
      </c>
      <c r="M1749" s="368"/>
      <c r="N1749" s="368"/>
      <c r="O1749" s="271">
        <f>IFERROR(Table17[[#This Row],[PROFIT]]/Table17[[#This Row],[TO]],0)</f>
        <v>0</v>
      </c>
      <c r="P1749" s="177"/>
      <c r="Q1749" s="177"/>
      <c r="R1749" s="177"/>
    </row>
    <row r="1750" spans="1:18" hidden="1" x14ac:dyDescent="0.25">
      <c r="A1750" s="29" t="s">
        <v>1036</v>
      </c>
      <c r="B1750" s="29" t="s">
        <v>1035</v>
      </c>
      <c r="C1750" s="29" t="s">
        <v>881</v>
      </c>
      <c r="D1750" s="29" t="str">
        <f>VLOOKUP(C:C,'COUNT-CONT'!B:C,2,FALSE)</f>
        <v>Africa</v>
      </c>
      <c r="E1750" s="29">
        <v>4</v>
      </c>
      <c r="F1750" s="28">
        <v>2002</v>
      </c>
      <c r="G1750" s="28">
        <v>2881250549</v>
      </c>
      <c r="H1750" s="29">
        <v>12.52</v>
      </c>
      <c r="I1750" s="142">
        <v>-66.92</v>
      </c>
      <c r="J1750" s="29">
        <v>2.1800000000000002</v>
      </c>
      <c r="K1750" s="29">
        <v>0.94</v>
      </c>
      <c r="L1750" s="29">
        <v>7.83</v>
      </c>
      <c r="M1750" s="368"/>
      <c r="N1750" s="368"/>
      <c r="O1750" s="271">
        <f>IFERROR(Table17[[#This Row],[PROFIT]]/Table17[[#This Row],[TO]],0)</f>
        <v>0</v>
      </c>
      <c r="P1750" s="177"/>
      <c r="Q1750" s="177"/>
      <c r="R1750" s="177"/>
    </row>
    <row r="1751" spans="1:18" hidden="1" x14ac:dyDescent="0.25">
      <c r="A1751" s="29" t="s">
        <v>837</v>
      </c>
      <c r="B1751" s="29" t="s">
        <v>836</v>
      </c>
      <c r="C1751" s="29" t="s">
        <v>669</v>
      </c>
      <c r="D1751" s="29" t="str">
        <f>VLOOKUP(C:C,'COUNT-CONT'!B:C,2,FALSE)</f>
        <v>Africa</v>
      </c>
      <c r="E1751" s="29">
        <v>7</v>
      </c>
      <c r="F1751" s="28">
        <v>2543</v>
      </c>
      <c r="G1751" s="28">
        <v>2924559968</v>
      </c>
      <c r="H1751" s="29">
        <v>12.52</v>
      </c>
      <c r="I1751" s="142">
        <v>-66.92</v>
      </c>
      <c r="J1751" s="29">
        <v>1.39</v>
      </c>
      <c r="K1751" s="29">
        <v>0.27</v>
      </c>
      <c r="L1751" s="29">
        <v>7.04</v>
      </c>
      <c r="M1751" s="368"/>
      <c r="N1751" s="368"/>
      <c r="O1751" s="271">
        <f>IFERROR(Table17[[#This Row],[PROFIT]]/Table17[[#This Row],[TO]],0)</f>
        <v>0</v>
      </c>
      <c r="P1751" s="177"/>
      <c r="Q1751" s="177"/>
      <c r="R1751" s="177"/>
    </row>
    <row r="1752" spans="1:18" hidden="1" x14ac:dyDescent="0.25">
      <c r="A1752" s="29" t="s">
        <v>2093</v>
      </c>
      <c r="B1752" s="29" t="s">
        <v>2092</v>
      </c>
      <c r="C1752" s="29" t="s">
        <v>709</v>
      </c>
      <c r="D1752" s="29" t="str">
        <f>VLOOKUP(C:C,'COUNT-CONT'!B:C,2,FALSE)</f>
        <v>Asia</v>
      </c>
      <c r="E1752" s="29">
        <v>1</v>
      </c>
      <c r="F1752" s="28">
        <v>1198</v>
      </c>
      <c r="G1752" s="28">
        <v>3364896994</v>
      </c>
      <c r="H1752" s="29">
        <v>12.52</v>
      </c>
      <c r="I1752" s="142">
        <v>-66.92</v>
      </c>
      <c r="J1752" s="29">
        <v>4.96</v>
      </c>
      <c r="K1752" s="29">
        <v>4.08</v>
      </c>
      <c r="L1752" s="29">
        <v>10.79</v>
      </c>
      <c r="M1752" s="368"/>
      <c r="N1752" s="368"/>
      <c r="O1752" s="271">
        <f>IFERROR(Table17[[#This Row],[PROFIT]]/Table17[[#This Row],[TO]],0)</f>
        <v>0</v>
      </c>
      <c r="P1752" s="177"/>
      <c r="Q1752" s="177"/>
      <c r="R1752" s="177"/>
    </row>
    <row r="1753" spans="1:18" hidden="1" x14ac:dyDescent="0.25">
      <c r="A1753" s="29" t="s">
        <v>1351</v>
      </c>
      <c r="B1753" s="29" t="s">
        <v>1350</v>
      </c>
      <c r="C1753" s="29" t="s">
        <v>886</v>
      </c>
      <c r="D1753" s="29" t="str">
        <f>VLOOKUP(C:C,'COUNT-CONT'!B:C,2,FALSE)</f>
        <v>Africa</v>
      </c>
      <c r="E1753" s="29">
        <v>2</v>
      </c>
      <c r="F1753" s="28">
        <v>1402</v>
      </c>
      <c r="G1753" s="28">
        <v>3124993437</v>
      </c>
      <c r="H1753" s="29">
        <v>12.52</v>
      </c>
      <c r="I1753" s="142">
        <v>-66.92</v>
      </c>
      <c r="J1753" s="29">
        <v>3.11</v>
      </c>
      <c r="K1753" s="29">
        <v>1.9</v>
      </c>
      <c r="L1753" s="29">
        <v>8.68</v>
      </c>
      <c r="M1753" s="368"/>
      <c r="N1753" s="368"/>
      <c r="O1753" s="271">
        <f>IFERROR(Table17[[#This Row],[PROFIT]]/Table17[[#This Row],[TO]],0)</f>
        <v>0</v>
      </c>
      <c r="P1753" s="177"/>
      <c r="Q1753" s="177"/>
      <c r="R1753" s="177"/>
    </row>
    <row r="1754" spans="1:18" hidden="1" x14ac:dyDescent="0.25">
      <c r="A1754" s="29" t="s">
        <v>1297</v>
      </c>
      <c r="B1754" s="29" t="s">
        <v>1296</v>
      </c>
      <c r="C1754" s="29" t="s">
        <v>1070</v>
      </c>
      <c r="D1754" s="29" t="str">
        <f>VLOOKUP(C:C,'COUNT-CONT'!B:C,2,FALSE)</f>
        <v>Asia</v>
      </c>
      <c r="E1754" s="29">
        <v>2</v>
      </c>
      <c r="F1754" s="28">
        <v>1292</v>
      </c>
      <c r="G1754" s="28">
        <v>3088293188</v>
      </c>
      <c r="H1754" s="29">
        <v>12.48</v>
      </c>
      <c r="I1754" s="142">
        <v>-66.959999999999994</v>
      </c>
      <c r="J1754" s="29">
        <v>2.9</v>
      </c>
      <c r="K1754" s="29">
        <v>1.87</v>
      </c>
      <c r="L1754" s="29">
        <v>8.56</v>
      </c>
      <c r="M1754" s="368"/>
      <c r="N1754" s="368"/>
      <c r="O1754" s="271">
        <f>IFERROR(Table17[[#This Row],[PROFIT]]/Table17[[#This Row],[TO]],0)</f>
        <v>0</v>
      </c>
      <c r="P1754" s="177"/>
      <c r="Q1754" s="177"/>
      <c r="R1754" s="177"/>
    </row>
    <row r="1755" spans="1:18" hidden="1" x14ac:dyDescent="0.25">
      <c r="A1755" s="29" t="s">
        <v>1695</v>
      </c>
      <c r="B1755" s="29" t="s">
        <v>1694</v>
      </c>
      <c r="C1755" s="29" t="s">
        <v>493</v>
      </c>
      <c r="D1755" s="29" t="str">
        <f>VLOOKUP(C:C,'COUNT-CONT'!B:C,2,FALSE)</f>
        <v>Africa</v>
      </c>
      <c r="E1755" s="29">
        <v>8</v>
      </c>
      <c r="F1755" s="28">
        <v>2000</v>
      </c>
      <c r="G1755" s="28">
        <v>3027000000</v>
      </c>
      <c r="H1755" s="29">
        <v>12.48</v>
      </c>
      <c r="I1755" s="142">
        <v>-66.959999999999994</v>
      </c>
      <c r="J1755" s="29">
        <v>4.0199999999999996</v>
      </c>
      <c r="K1755" s="29">
        <v>2.87</v>
      </c>
      <c r="L1755" s="29">
        <v>9.61</v>
      </c>
      <c r="M1755" s="368"/>
      <c r="N1755" s="368"/>
      <c r="O1755" s="271">
        <f>IFERROR(Table17[[#This Row],[PROFIT]]/Table17[[#This Row],[TO]],0)</f>
        <v>0</v>
      </c>
      <c r="P1755" s="177"/>
      <c r="Q1755" s="177"/>
      <c r="R1755" s="177"/>
    </row>
    <row r="1756" spans="1:18" hidden="1" x14ac:dyDescent="0.25">
      <c r="A1756" s="29" t="s">
        <v>2629</v>
      </c>
      <c r="B1756" s="29" t="s">
        <v>2628</v>
      </c>
      <c r="C1756" s="29" t="s">
        <v>142</v>
      </c>
      <c r="D1756" s="29" t="str">
        <f>VLOOKUP(C:C,'COUNT-CONT'!B:C,2,FALSE)</f>
        <v>Asia</v>
      </c>
      <c r="E1756" s="29">
        <v>2</v>
      </c>
      <c r="F1756" s="28">
        <v>1362</v>
      </c>
      <c r="G1756" s="28">
        <v>3599335829</v>
      </c>
      <c r="H1756" s="29">
        <v>12.48</v>
      </c>
      <c r="I1756" s="142">
        <v>-66.959999999999994</v>
      </c>
      <c r="J1756" s="29">
        <v>6.74</v>
      </c>
      <c r="K1756" s="29">
        <v>5.99</v>
      </c>
      <c r="L1756" s="29">
        <v>12.48</v>
      </c>
      <c r="M1756" s="368"/>
      <c r="N1756" s="368"/>
      <c r="O1756" s="271">
        <f>IFERROR(Table17[[#This Row],[PROFIT]]/Table17[[#This Row],[TO]],0)</f>
        <v>0</v>
      </c>
      <c r="P1756" s="177"/>
      <c r="Q1756" s="177"/>
      <c r="R1756" s="177"/>
    </row>
    <row r="1757" spans="1:18" ht="30" hidden="1" x14ac:dyDescent="0.25">
      <c r="A1757" s="29" t="s">
        <v>2021</v>
      </c>
      <c r="B1757" s="29" t="s">
        <v>2020</v>
      </c>
      <c r="C1757" s="29" t="s">
        <v>505</v>
      </c>
      <c r="D1757" s="29" t="e">
        <f>VLOOKUP(C:C,'COUNT-CONT'!B:C,2,FALSE)</f>
        <v>#N/A</v>
      </c>
      <c r="E1757" s="29">
        <v>6</v>
      </c>
      <c r="F1757" s="28">
        <v>2428</v>
      </c>
      <c r="G1757" s="28">
        <v>2995247775</v>
      </c>
      <c r="H1757" s="29">
        <v>12.48</v>
      </c>
      <c r="I1757" s="142">
        <v>-66.959999999999994</v>
      </c>
      <c r="J1757" s="29">
        <v>4.87</v>
      </c>
      <c r="K1757" s="29">
        <v>4.0199999999999996</v>
      </c>
      <c r="L1757" s="29">
        <v>10.58</v>
      </c>
      <c r="M1757" s="368"/>
      <c r="N1757" s="368"/>
      <c r="O1757" s="271">
        <f>IFERROR(Table17[[#This Row],[PROFIT]]/Table17[[#This Row],[TO]],0)</f>
        <v>0</v>
      </c>
      <c r="P1757" s="177"/>
      <c r="Q1757" s="177"/>
      <c r="R1757" s="177"/>
    </row>
    <row r="1758" spans="1:18" hidden="1" x14ac:dyDescent="0.25">
      <c r="A1758" s="29" t="s">
        <v>2555</v>
      </c>
      <c r="B1758" s="29" t="s">
        <v>2554</v>
      </c>
      <c r="C1758" s="29" t="s">
        <v>1216</v>
      </c>
      <c r="D1758" s="29" t="str">
        <f>VLOOKUP(C:C,'COUNT-CONT'!B:C,2,FALSE)</f>
        <v>Asia</v>
      </c>
      <c r="E1758" s="29">
        <v>8</v>
      </c>
      <c r="F1758" s="28">
        <v>3014</v>
      </c>
      <c r="G1758" s="28">
        <v>3262363503</v>
      </c>
      <c r="H1758" s="29">
        <v>12.48</v>
      </c>
      <c r="I1758" s="142">
        <v>-66.959999999999994</v>
      </c>
      <c r="J1758" s="29">
        <v>6.35</v>
      </c>
      <c r="K1758" s="29">
        <v>5.86</v>
      </c>
      <c r="L1758" s="29">
        <v>12.24</v>
      </c>
      <c r="M1758" s="368"/>
      <c r="N1758" s="368"/>
      <c r="O1758" s="271">
        <f>IFERROR(Table17[[#This Row],[PROFIT]]/Table17[[#This Row],[TO]],0)</f>
        <v>0</v>
      </c>
      <c r="P1758" s="177"/>
      <c r="Q1758" s="177"/>
      <c r="R1758" s="177"/>
    </row>
    <row r="1759" spans="1:18" ht="30" hidden="1" x14ac:dyDescent="0.25">
      <c r="A1759" s="29" t="s">
        <v>3565</v>
      </c>
      <c r="B1759" s="29" t="s">
        <v>3564</v>
      </c>
      <c r="C1759" s="29" t="s">
        <v>11732</v>
      </c>
      <c r="D1759" s="29" t="str">
        <f>VLOOKUP(C:C,'COUNT-CONT'!B:C,2,FALSE)</f>
        <v>North America</v>
      </c>
      <c r="E1759" s="29">
        <v>4</v>
      </c>
      <c r="F1759" s="28">
        <v>2010</v>
      </c>
      <c r="G1759" s="28">
        <v>4028163681</v>
      </c>
      <c r="H1759" s="29">
        <v>12.45</v>
      </c>
      <c r="I1759" s="142">
        <v>-66.989999999999995</v>
      </c>
      <c r="J1759" s="29">
        <v>10.16</v>
      </c>
      <c r="K1759" s="29">
        <v>10.16</v>
      </c>
      <c r="L1759" s="29">
        <v>16.41</v>
      </c>
      <c r="M1759" s="368"/>
      <c r="N1759" s="368"/>
      <c r="O1759" s="271">
        <f>IFERROR(Table17[[#This Row],[PROFIT]]/Table17[[#This Row],[TO]],0)</f>
        <v>0</v>
      </c>
      <c r="P1759" s="177"/>
      <c r="Q1759" s="177"/>
      <c r="R1759" s="177"/>
    </row>
    <row r="1760" spans="1:18" ht="30" hidden="1" x14ac:dyDescent="0.25">
      <c r="A1760" s="29" t="s">
        <v>1685</v>
      </c>
      <c r="B1760" s="29" t="s">
        <v>1684</v>
      </c>
      <c r="C1760" s="29" t="s">
        <v>1683</v>
      </c>
      <c r="D1760" s="29" t="str">
        <f>VLOOKUP(C:C,'COUNT-CONT'!B:C,2,FALSE)</f>
        <v>Europe</v>
      </c>
      <c r="E1760" s="29">
        <v>6</v>
      </c>
      <c r="F1760" s="28">
        <v>2504</v>
      </c>
      <c r="G1760" s="28">
        <v>2948097124</v>
      </c>
      <c r="H1760" s="29">
        <v>12.45</v>
      </c>
      <c r="I1760" s="142">
        <v>-66.989999999999995</v>
      </c>
      <c r="J1760" s="29">
        <v>4.0199999999999996</v>
      </c>
      <c r="K1760" s="29">
        <v>2.87</v>
      </c>
      <c r="L1760" s="29">
        <v>9.58</v>
      </c>
      <c r="M1760" s="368"/>
      <c r="N1760" s="368"/>
      <c r="O1760" s="271">
        <f>IFERROR(Table17[[#This Row],[PROFIT]]/Table17[[#This Row],[TO]],0)</f>
        <v>0</v>
      </c>
      <c r="P1760" s="177"/>
      <c r="Q1760" s="177"/>
      <c r="R1760" s="177"/>
    </row>
    <row r="1761" spans="1:18" hidden="1" x14ac:dyDescent="0.25">
      <c r="A1761" s="29" t="s">
        <v>2808</v>
      </c>
      <c r="B1761" s="29" t="s">
        <v>2807</v>
      </c>
      <c r="C1761" s="29" t="s">
        <v>597</v>
      </c>
      <c r="D1761" s="29" t="str">
        <f>VLOOKUP(C:C,'COUNT-CONT'!B:C,2,FALSE)</f>
        <v>Europe</v>
      </c>
      <c r="E1761" s="29">
        <v>8</v>
      </c>
      <c r="F1761" s="28">
        <v>2918</v>
      </c>
      <c r="G1761" s="28">
        <v>3410570527</v>
      </c>
      <c r="H1761" s="29">
        <v>12.45</v>
      </c>
      <c r="I1761" s="142">
        <v>-66.989999999999995</v>
      </c>
      <c r="J1761" s="29">
        <v>7.41</v>
      </c>
      <c r="K1761" s="29">
        <v>6.89</v>
      </c>
      <c r="L1761" s="29">
        <v>13.24</v>
      </c>
      <c r="M1761" s="368"/>
      <c r="N1761" s="368"/>
      <c r="O1761" s="271">
        <f>IFERROR(Table17[[#This Row],[PROFIT]]/Table17[[#This Row],[TO]],0)</f>
        <v>0</v>
      </c>
      <c r="P1761" s="177"/>
      <c r="Q1761" s="177"/>
      <c r="R1761" s="177"/>
    </row>
    <row r="1762" spans="1:18" ht="30" hidden="1" x14ac:dyDescent="0.25">
      <c r="A1762" s="29" t="s">
        <v>3569</v>
      </c>
      <c r="B1762" s="29" t="s">
        <v>3568</v>
      </c>
      <c r="C1762" s="29" t="s">
        <v>11732</v>
      </c>
      <c r="D1762" s="29" t="str">
        <f>VLOOKUP(C:C,'COUNT-CONT'!B:C,2,FALSE)</f>
        <v>North America</v>
      </c>
      <c r="E1762" s="29">
        <v>5</v>
      </c>
      <c r="F1762" s="28">
        <v>2072</v>
      </c>
      <c r="G1762" s="28">
        <v>4016288030</v>
      </c>
      <c r="H1762" s="29">
        <v>12.45</v>
      </c>
      <c r="I1762" s="142">
        <v>-66.989999999999995</v>
      </c>
      <c r="J1762" s="29">
        <v>10.16</v>
      </c>
      <c r="K1762" s="29">
        <v>10.16</v>
      </c>
      <c r="L1762" s="29">
        <v>16.41</v>
      </c>
      <c r="M1762" s="368"/>
      <c r="N1762" s="368"/>
      <c r="O1762" s="271">
        <f>IFERROR(Table17[[#This Row],[PROFIT]]/Table17[[#This Row],[TO]],0)</f>
        <v>0</v>
      </c>
      <c r="P1762" s="177"/>
      <c r="Q1762" s="177"/>
      <c r="R1762" s="177"/>
    </row>
    <row r="1763" spans="1:18" hidden="1" x14ac:dyDescent="0.25">
      <c r="A1763" s="29" t="s">
        <v>2684</v>
      </c>
      <c r="B1763" s="29" t="s">
        <v>2683</v>
      </c>
      <c r="C1763" s="29" t="s">
        <v>585</v>
      </c>
      <c r="D1763" s="29" t="str">
        <f>VLOOKUP(C:C,'COUNT-CONT'!B:C,2,FALSE)</f>
        <v>Europe</v>
      </c>
      <c r="E1763" s="29">
        <v>6</v>
      </c>
      <c r="F1763" s="28">
        <v>2273</v>
      </c>
      <c r="G1763" s="28">
        <v>3395041926</v>
      </c>
      <c r="H1763" s="29">
        <v>12.42</v>
      </c>
      <c r="I1763" s="142">
        <v>-67.02</v>
      </c>
      <c r="J1763" s="29">
        <v>6.83</v>
      </c>
      <c r="K1763" s="29">
        <v>6.35</v>
      </c>
      <c r="L1763" s="29">
        <v>12.7</v>
      </c>
      <c r="M1763" s="368"/>
      <c r="N1763" s="368"/>
      <c r="O1763" s="271">
        <f>IFERROR(Table17[[#This Row],[PROFIT]]/Table17[[#This Row],[TO]],0)</f>
        <v>0</v>
      </c>
      <c r="P1763" s="177"/>
      <c r="Q1763" s="177"/>
      <c r="R1763" s="177"/>
    </row>
    <row r="1764" spans="1:18" hidden="1" x14ac:dyDescent="0.25">
      <c r="A1764" s="29" t="s">
        <v>1047</v>
      </c>
      <c r="B1764" s="29" t="s">
        <v>1046</v>
      </c>
      <c r="C1764" s="29" t="s">
        <v>644</v>
      </c>
      <c r="D1764" s="29" t="str">
        <f>VLOOKUP(C:C,'COUNT-CONT'!B:C,2,FALSE)</f>
        <v>Africa</v>
      </c>
      <c r="E1764" s="29">
        <v>5</v>
      </c>
      <c r="F1764" s="28">
        <v>2222</v>
      </c>
      <c r="G1764" s="28">
        <v>2838649504</v>
      </c>
      <c r="H1764" s="29">
        <v>12.42</v>
      </c>
      <c r="I1764" s="142">
        <v>-67.02</v>
      </c>
      <c r="J1764" s="29">
        <v>2.36</v>
      </c>
      <c r="K1764" s="29">
        <v>1.0900000000000001</v>
      </c>
      <c r="L1764" s="29">
        <v>7.86</v>
      </c>
      <c r="M1764" s="368"/>
      <c r="N1764" s="368"/>
      <c r="O1764" s="271">
        <f>IFERROR(Table17[[#This Row],[PROFIT]]/Table17[[#This Row],[TO]],0)</f>
        <v>0</v>
      </c>
      <c r="P1764" s="177"/>
      <c r="Q1764" s="177"/>
      <c r="R1764" s="177"/>
    </row>
    <row r="1765" spans="1:18" ht="30" hidden="1" x14ac:dyDescent="0.25">
      <c r="A1765" s="29" t="s">
        <v>3559</v>
      </c>
      <c r="B1765" s="29" t="s">
        <v>3558</v>
      </c>
      <c r="C1765" s="29" t="s">
        <v>11732</v>
      </c>
      <c r="D1765" s="29" t="str">
        <f>VLOOKUP(C:C,'COUNT-CONT'!B:C,2,FALSE)</f>
        <v>North America</v>
      </c>
      <c r="E1765" s="29">
        <v>8</v>
      </c>
      <c r="F1765" s="28">
        <v>2792</v>
      </c>
      <c r="G1765" s="28">
        <v>3942482808</v>
      </c>
      <c r="H1765" s="29">
        <v>12.42</v>
      </c>
      <c r="I1765" s="142">
        <v>-67.02</v>
      </c>
      <c r="J1765" s="29">
        <v>10.130000000000001</v>
      </c>
      <c r="K1765" s="29">
        <v>10.130000000000001</v>
      </c>
      <c r="L1765" s="29">
        <v>16.350000000000001</v>
      </c>
      <c r="M1765" s="368"/>
      <c r="N1765" s="368"/>
      <c r="O1765" s="271">
        <f>IFERROR(Table17[[#This Row],[PROFIT]]/Table17[[#This Row],[TO]],0)</f>
        <v>0</v>
      </c>
      <c r="P1765" s="177"/>
      <c r="Q1765" s="177"/>
      <c r="R1765" s="177"/>
    </row>
    <row r="1766" spans="1:18" ht="30" hidden="1" x14ac:dyDescent="0.25">
      <c r="A1766" s="29" t="s">
        <v>3002</v>
      </c>
      <c r="B1766" s="29" t="s">
        <v>3001</v>
      </c>
      <c r="C1766" s="29" t="s">
        <v>514</v>
      </c>
      <c r="D1766" s="29" t="str">
        <f>VLOOKUP(C:C,'COUNT-CONT'!B:C,2,FALSE)</f>
        <v>North America</v>
      </c>
      <c r="E1766" s="29">
        <v>4</v>
      </c>
      <c r="F1766" s="28">
        <v>1844</v>
      </c>
      <c r="G1766" s="28">
        <v>3654829284</v>
      </c>
      <c r="H1766" s="29">
        <v>12.42</v>
      </c>
      <c r="I1766" s="142">
        <v>-67.02</v>
      </c>
      <c r="J1766" s="29">
        <v>8.19</v>
      </c>
      <c r="K1766" s="29">
        <v>7.89</v>
      </c>
      <c r="L1766" s="29">
        <v>14.12</v>
      </c>
      <c r="M1766" s="368"/>
      <c r="N1766" s="368"/>
      <c r="O1766" s="271">
        <f>IFERROR(Table17[[#This Row],[PROFIT]]/Table17[[#This Row],[TO]],0)</f>
        <v>0</v>
      </c>
      <c r="P1766" s="177"/>
      <c r="Q1766" s="177"/>
      <c r="R1766" s="177"/>
    </row>
    <row r="1767" spans="1:18" ht="30" hidden="1" x14ac:dyDescent="0.25">
      <c r="A1767" s="29" t="s">
        <v>1995</v>
      </c>
      <c r="B1767" s="29" t="s">
        <v>1994</v>
      </c>
      <c r="C1767" s="29" t="s">
        <v>517</v>
      </c>
      <c r="D1767" s="29" t="str">
        <f>VLOOKUP(C:C,'COUNT-CONT'!B:C,2,FALSE)</f>
        <v>South America</v>
      </c>
      <c r="E1767" s="29">
        <v>5</v>
      </c>
      <c r="F1767" s="28">
        <v>2155</v>
      </c>
      <c r="G1767" s="28">
        <v>3015840835</v>
      </c>
      <c r="H1767" s="29">
        <v>12.39</v>
      </c>
      <c r="I1767" s="142">
        <v>-67.05</v>
      </c>
      <c r="J1767" s="29">
        <v>4.8099999999999996</v>
      </c>
      <c r="K1767" s="29">
        <v>3.99</v>
      </c>
      <c r="L1767" s="29">
        <v>10.49</v>
      </c>
      <c r="M1767" s="368"/>
      <c r="N1767" s="368"/>
      <c r="O1767" s="271">
        <f>IFERROR(Table17[[#This Row],[PROFIT]]/Table17[[#This Row],[TO]],0)</f>
        <v>0</v>
      </c>
      <c r="P1767" s="177"/>
      <c r="Q1767" s="177"/>
      <c r="R1767" s="177"/>
    </row>
    <row r="1768" spans="1:18" hidden="1" x14ac:dyDescent="0.25">
      <c r="A1768" s="29" t="s">
        <v>2857</v>
      </c>
      <c r="B1768" s="29" t="s">
        <v>2856</v>
      </c>
      <c r="C1768" s="29" t="s">
        <v>1427</v>
      </c>
      <c r="D1768" s="29" t="str">
        <f>VLOOKUP(C:C,'COUNT-CONT'!B:C,2,FALSE)</f>
        <v>Europe</v>
      </c>
      <c r="E1768" s="29">
        <v>5</v>
      </c>
      <c r="F1768" s="28">
        <v>2265</v>
      </c>
      <c r="G1768" s="28">
        <v>3481451214</v>
      </c>
      <c r="H1768" s="29">
        <v>12.36</v>
      </c>
      <c r="I1768" s="142">
        <v>-67.08</v>
      </c>
      <c r="J1768" s="29">
        <v>7.53</v>
      </c>
      <c r="K1768" s="29">
        <v>6.98</v>
      </c>
      <c r="L1768" s="29">
        <v>13.45</v>
      </c>
      <c r="M1768" s="368"/>
      <c r="N1768" s="368"/>
      <c r="O1768" s="271">
        <f>IFERROR(Table17[[#This Row],[PROFIT]]/Table17[[#This Row],[TO]],0)</f>
        <v>0</v>
      </c>
      <c r="P1768" s="177"/>
      <c r="Q1768" s="177"/>
      <c r="R1768" s="177"/>
    </row>
    <row r="1769" spans="1:18" x14ac:dyDescent="0.25">
      <c r="A1769" s="29" t="s">
        <v>2784</v>
      </c>
      <c r="B1769" s="29" t="s">
        <v>2783</v>
      </c>
      <c r="C1769" s="29" t="s">
        <v>774</v>
      </c>
      <c r="D1769" s="29" t="str">
        <f>VLOOKUP(C:C,'COUNT-CONT'!B:C,2,FALSE)</f>
        <v>Oceania</v>
      </c>
      <c r="E1769" s="29">
        <v>5</v>
      </c>
      <c r="F1769" s="28">
        <v>2235</v>
      </c>
      <c r="G1769" s="28">
        <v>3461570022</v>
      </c>
      <c r="H1769" s="29">
        <v>12.36</v>
      </c>
      <c r="I1769" s="142">
        <v>-67.08</v>
      </c>
      <c r="J1769" s="29">
        <v>7.35</v>
      </c>
      <c r="K1769" s="29">
        <v>6.83</v>
      </c>
      <c r="L1769" s="29">
        <v>13.15</v>
      </c>
      <c r="M1769" s="368"/>
      <c r="N1769" s="368"/>
      <c r="O1769" s="271">
        <f>IFERROR(Table17[[#This Row],[PROFIT]]/Table17[[#This Row],[TO]],0)</f>
        <v>0</v>
      </c>
      <c r="P1769" s="177"/>
      <c r="Q1769" s="177"/>
      <c r="R1769" s="177"/>
    </row>
    <row r="1770" spans="1:18" hidden="1" x14ac:dyDescent="0.25">
      <c r="A1770" s="29" t="s">
        <v>1997</v>
      </c>
      <c r="B1770" s="29" t="s">
        <v>1996</v>
      </c>
      <c r="C1770" s="29" t="s">
        <v>14</v>
      </c>
      <c r="D1770" s="29" t="str">
        <f>VLOOKUP(C:C,'COUNT-CONT'!B:C,2,FALSE)</f>
        <v>Asia</v>
      </c>
      <c r="E1770" s="29">
        <v>6</v>
      </c>
      <c r="F1770" s="28">
        <v>2406</v>
      </c>
      <c r="G1770" s="28">
        <v>2984390357</v>
      </c>
      <c r="H1770" s="29">
        <v>12.36</v>
      </c>
      <c r="I1770" s="142">
        <v>-67.08</v>
      </c>
      <c r="J1770" s="29">
        <v>4.8099999999999996</v>
      </c>
      <c r="K1770" s="29">
        <v>3.96</v>
      </c>
      <c r="L1770" s="29">
        <v>10.49</v>
      </c>
      <c r="M1770" s="368"/>
      <c r="N1770" s="368"/>
      <c r="O1770" s="271">
        <f>IFERROR(Table17[[#This Row],[PROFIT]]/Table17[[#This Row],[TO]],0)</f>
        <v>0</v>
      </c>
      <c r="P1770" s="177"/>
      <c r="Q1770" s="177"/>
      <c r="R1770" s="177"/>
    </row>
    <row r="1771" spans="1:18" hidden="1" x14ac:dyDescent="0.25">
      <c r="A1771" s="29" t="s">
        <v>2659</v>
      </c>
      <c r="B1771" s="29" t="s">
        <v>2658</v>
      </c>
      <c r="C1771" s="29" t="s">
        <v>585</v>
      </c>
      <c r="D1771" s="29" t="str">
        <f>VLOOKUP(C:C,'COUNT-CONT'!B:C,2,FALSE)</f>
        <v>Europe</v>
      </c>
      <c r="E1771" s="29">
        <v>5</v>
      </c>
      <c r="F1771" s="28">
        <v>2141</v>
      </c>
      <c r="G1771" s="28">
        <v>3402178608</v>
      </c>
      <c r="H1771" s="29">
        <v>12.36</v>
      </c>
      <c r="I1771" s="142">
        <v>-67.08</v>
      </c>
      <c r="J1771" s="29">
        <v>6.8</v>
      </c>
      <c r="K1771" s="29">
        <v>6.29</v>
      </c>
      <c r="L1771" s="29">
        <v>12.61</v>
      </c>
      <c r="M1771" s="368"/>
      <c r="N1771" s="368"/>
      <c r="O1771" s="271">
        <f>IFERROR(Table17[[#This Row],[PROFIT]]/Table17[[#This Row],[TO]],0)</f>
        <v>0</v>
      </c>
      <c r="P1771" s="177"/>
      <c r="Q1771" s="177"/>
      <c r="R1771" s="177"/>
    </row>
    <row r="1772" spans="1:18" hidden="1" x14ac:dyDescent="0.25">
      <c r="A1772" s="29" t="s">
        <v>2253</v>
      </c>
      <c r="B1772" s="29" t="s">
        <v>2252</v>
      </c>
      <c r="C1772" s="29" t="s">
        <v>258</v>
      </c>
      <c r="D1772" s="29" t="str">
        <f>VLOOKUP(C:C,'COUNT-CONT'!B:C,2,FALSE)</f>
        <v>Asia</v>
      </c>
      <c r="E1772" s="29">
        <v>8</v>
      </c>
      <c r="F1772" s="28">
        <v>2809</v>
      </c>
      <c r="G1772" s="28">
        <v>3136198433</v>
      </c>
      <c r="H1772" s="29">
        <v>12.36</v>
      </c>
      <c r="I1772" s="142">
        <v>-67.08</v>
      </c>
      <c r="J1772" s="29">
        <v>5.38</v>
      </c>
      <c r="K1772" s="29">
        <v>4.72</v>
      </c>
      <c r="L1772" s="29">
        <v>11.25</v>
      </c>
      <c r="M1772" s="368"/>
      <c r="N1772" s="368"/>
      <c r="O1772" s="271">
        <f>IFERROR(Table17[[#This Row],[PROFIT]]/Table17[[#This Row],[TO]],0)</f>
        <v>0</v>
      </c>
      <c r="P1772" s="177"/>
      <c r="Q1772" s="177"/>
      <c r="R1772" s="177"/>
    </row>
    <row r="1773" spans="1:18" ht="30" hidden="1" x14ac:dyDescent="0.25">
      <c r="A1773" s="29" t="s">
        <v>2850</v>
      </c>
      <c r="B1773" s="29" t="s">
        <v>2849</v>
      </c>
      <c r="C1773" s="29" t="s">
        <v>83</v>
      </c>
      <c r="D1773" s="29" t="str">
        <f>VLOOKUP(C:C,'COUNT-CONT'!B:C,2,FALSE)</f>
        <v>Europe</v>
      </c>
      <c r="E1773" s="29">
        <v>1</v>
      </c>
      <c r="F1773" s="28">
        <v>1173</v>
      </c>
      <c r="G1773" s="28">
        <v>3823466410</v>
      </c>
      <c r="H1773" s="29">
        <v>12.36</v>
      </c>
      <c r="I1773" s="142">
        <v>-67.08</v>
      </c>
      <c r="J1773" s="29">
        <v>7.53</v>
      </c>
      <c r="K1773" s="29">
        <v>6.98</v>
      </c>
      <c r="L1773" s="29">
        <v>13.45</v>
      </c>
      <c r="M1773" s="368"/>
      <c r="N1773" s="368"/>
      <c r="O1773" s="271">
        <f>IFERROR(Table17[[#This Row],[PROFIT]]/Table17[[#This Row],[TO]],0)</f>
        <v>0</v>
      </c>
      <c r="P1773" s="177"/>
      <c r="Q1773" s="177"/>
      <c r="R1773" s="177"/>
    </row>
    <row r="1774" spans="1:18" x14ac:dyDescent="0.25">
      <c r="A1774" s="29" t="s">
        <v>2118</v>
      </c>
      <c r="B1774" s="29" t="s">
        <v>2117</v>
      </c>
      <c r="C1774" s="29" t="s">
        <v>730</v>
      </c>
      <c r="D1774" s="29" t="str">
        <f>VLOOKUP(C:C,'COUNT-CONT'!B:C,2,FALSE)</f>
        <v>Oceania</v>
      </c>
      <c r="E1774" s="29">
        <v>1</v>
      </c>
      <c r="F1774" s="28">
        <v>1203</v>
      </c>
      <c r="G1774" s="28">
        <v>3504580714</v>
      </c>
      <c r="H1774" s="29">
        <v>12.36</v>
      </c>
      <c r="I1774" s="142">
        <v>-67.08</v>
      </c>
      <c r="J1774" s="29">
        <v>5.2</v>
      </c>
      <c r="K1774" s="29">
        <v>4.32</v>
      </c>
      <c r="L1774" s="29">
        <v>10.85</v>
      </c>
      <c r="M1774" s="368"/>
      <c r="N1774" s="368"/>
      <c r="O1774" s="271">
        <f>IFERROR(Table17[[#This Row],[PROFIT]]/Table17[[#This Row],[TO]],0)</f>
        <v>0</v>
      </c>
      <c r="P1774" s="177"/>
      <c r="Q1774" s="177"/>
      <c r="R1774" s="177"/>
    </row>
    <row r="1775" spans="1:18" ht="30" hidden="1" x14ac:dyDescent="0.25">
      <c r="A1775" s="29" t="s">
        <v>3545</v>
      </c>
      <c r="B1775" s="29" t="s">
        <v>3544</v>
      </c>
      <c r="C1775" s="29" t="s">
        <v>11732</v>
      </c>
      <c r="D1775" s="29" t="str">
        <f>VLOOKUP(C:C,'COUNT-CONT'!B:C,2,FALSE)</f>
        <v>North America</v>
      </c>
      <c r="E1775" s="29">
        <v>9</v>
      </c>
      <c r="F1775" s="28">
        <v>3140</v>
      </c>
      <c r="G1775" s="28">
        <v>3920418471</v>
      </c>
      <c r="H1775" s="29">
        <v>12.33</v>
      </c>
      <c r="I1775" s="142">
        <v>-67.11</v>
      </c>
      <c r="J1775" s="29">
        <v>10.07</v>
      </c>
      <c r="K1775" s="29">
        <v>10.07</v>
      </c>
      <c r="L1775" s="29">
        <v>16.23</v>
      </c>
      <c r="M1775" s="368"/>
      <c r="N1775" s="368"/>
      <c r="O1775" s="271">
        <f>IFERROR(Table17[[#This Row],[PROFIT]]/Table17[[#This Row],[TO]],0)</f>
        <v>0</v>
      </c>
      <c r="P1775" s="177"/>
      <c r="Q1775" s="177"/>
      <c r="R1775" s="177"/>
    </row>
    <row r="1776" spans="1:18" ht="30" hidden="1" x14ac:dyDescent="0.25">
      <c r="A1776" s="29" t="s">
        <v>2980</v>
      </c>
      <c r="B1776" s="29" t="s">
        <v>2979</v>
      </c>
      <c r="C1776" s="29" t="s">
        <v>514</v>
      </c>
      <c r="D1776" s="29" t="str">
        <f>VLOOKUP(C:C,'COUNT-CONT'!B:C,2,FALSE)</f>
        <v>North America</v>
      </c>
      <c r="E1776" s="29">
        <v>5</v>
      </c>
      <c r="F1776" s="28">
        <v>2027</v>
      </c>
      <c r="G1776" s="28">
        <v>3600073902</v>
      </c>
      <c r="H1776" s="29">
        <v>12.3</v>
      </c>
      <c r="I1776" s="142">
        <v>-67.14</v>
      </c>
      <c r="J1776" s="29">
        <v>8.1</v>
      </c>
      <c r="K1776" s="29">
        <v>7.83</v>
      </c>
      <c r="L1776" s="29">
        <v>14</v>
      </c>
      <c r="M1776" s="368"/>
      <c r="N1776" s="368"/>
      <c r="O1776" s="271">
        <f>IFERROR(Table17[[#This Row],[PROFIT]]/Table17[[#This Row],[TO]],0)</f>
        <v>0</v>
      </c>
      <c r="P1776" s="177"/>
      <c r="Q1776" s="177"/>
      <c r="R1776" s="177"/>
    </row>
    <row r="1777" spans="1:18" ht="30" hidden="1" x14ac:dyDescent="0.25">
      <c r="A1777" s="29" t="s">
        <v>2974</v>
      </c>
      <c r="B1777" s="29" t="s">
        <v>2973</v>
      </c>
      <c r="C1777" s="29" t="s">
        <v>514</v>
      </c>
      <c r="D1777" s="29" t="str">
        <f>VLOOKUP(C:C,'COUNT-CONT'!B:C,2,FALSE)</f>
        <v>North America</v>
      </c>
      <c r="E1777" s="29">
        <v>9</v>
      </c>
      <c r="F1777" s="28">
        <v>3099</v>
      </c>
      <c r="G1777" s="28">
        <v>3514353210</v>
      </c>
      <c r="H1777" s="29">
        <v>12.3</v>
      </c>
      <c r="I1777" s="142">
        <v>-67.14</v>
      </c>
      <c r="J1777" s="29">
        <v>8.1</v>
      </c>
      <c r="K1777" s="29">
        <v>7.83</v>
      </c>
      <c r="L1777" s="29">
        <v>13.97</v>
      </c>
      <c r="M1777" s="368"/>
      <c r="N1777" s="368"/>
      <c r="O1777" s="271">
        <f>IFERROR(Table17[[#This Row],[PROFIT]]/Table17[[#This Row],[TO]],0)</f>
        <v>0</v>
      </c>
      <c r="P1777" s="177"/>
      <c r="Q1777" s="177"/>
      <c r="R1777" s="177"/>
    </row>
    <row r="1778" spans="1:18" x14ac:dyDescent="0.25">
      <c r="A1778" s="29" t="s">
        <v>2761</v>
      </c>
      <c r="B1778" s="29" t="s">
        <v>2760</v>
      </c>
      <c r="C1778" s="29" t="s">
        <v>774</v>
      </c>
      <c r="D1778" s="29" t="str">
        <f>VLOOKUP(C:C,'COUNT-CONT'!B:C,2,FALSE)</f>
        <v>Oceania</v>
      </c>
      <c r="E1778" s="29">
        <v>3</v>
      </c>
      <c r="F1778" s="28">
        <v>1747</v>
      </c>
      <c r="G1778" s="28">
        <v>3538050829</v>
      </c>
      <c r="H1778" s="29">
        <v>12.27</v>
      </c>
      <c r="I1778" s="142">
        <v>-67.17</v>
      </c>
      <c r="J1778" s="29">
        <v>7.32</v>
      </c>
      <c r="K1778" s="29">
        <v>6.77</v>
      </c>
      <c r="L1778" s="29">
        <v>13.06</v>
      </c>
      <c r="M1778" s="368"/>
      <c r="N1778" s="368"/>
      <c r="O1778" s="271">
        <f>IFERROR(Table17[[#This Row],[PROFIT]]/Table17[[#This Row],[TO]],0)</f>
        <v>0</v>
      </c>
      <c r="P1778" s="177"/>
      <c r="Q1778" s="177"/>
      <c r="R1778" s="177"/>
    </row>
    <row r="1779" spans="1:18" ht="30" hidden="1" x14ac:dyDescent="0.25">
      <c r="A1779" s="29" t="s">
        <v>3532</v>
      </c>
      <c r="B1779" s="29" t="s">
        <v>3531</v>
      </c>
      <c r="C1779" s="29" t="s">
        <v>11732</v>
      </c>
      <c r="D1779" s="29" t="str">
        <f>VLOOKUP(C:C,'COUNT-CONT'!B:C,2,FALSE)</f>
        <v>North America</v>
      </c>
      <c r="E1779" s="29">
        <v>9</v>
      </c>
      <c r="F1779" s="28">
        <v>3088</v>
      </c>
      <c r="G1779" s="28">
        <v>3908517616</v>
      </c>
      <c r="H1779" s="29">
        <v>12.27</v>
      </c>
      <c r="I1779" s="142">
        <v>-67.17</v>
      </c>
      <c r="J1779" s="29">
        <v>10.01</v>
      </c>
      <c r="K1779" s="29">
        <v>10.01</v>
      </c>
      <c r="L1779" s="29">
        <v>16.14</v>
      </c>
      <c r="M1779" s="368"/>
      <c r="N1779" s="368"/>
      <c r="O1779" s="271">
        <f>IFERROR(Table17[[#This Row],[PROFIT]]/Table17[[#This Row],[TO]],0)</f>
        <v>0</v>
      </c>
      <c r="P1779" s="177"/>
      <c r="Q1779" s="177"/>
      <c r="R1779" s="177"/>
    </row>
    <row r="1780" spans="1:18" hidden="1" x14ac:dyDescent="0.25">
      <c r="A1780" s="29" t="s">
        <v>1643</v>
      </c>
      <c r="B1780" s="29" t="s">
        <v>1642</v>
      </c>
      <c r="C1780" s="29" t="s">
        <v>493</v>
      </c>
      <c r="D1780" s="29" t="str">
        <f>VLOOKUP(C:C,'COUNT-CONT'!B:C,2,FALSE)</f>
        <v>Africa</v>
      </c>
      <c r="E1780" s="29">
        <v>8</v>
      </c>
      <c r="F1780" s="28">
        <v>2000</v>
      </c>
      <c r="G1780" s="28">
        <v>3016000000</v>
      </c>
      <c r="H1780" s="29">
        <v>12.27</v>
      </c>
      <c r="I1780" s="142">
        <v>-67.17</v>
      </c>
      <c r="J1780" s="29">
        <v>3.96</v>
      </c>
      <c r="K1780" s="29">
        <v>2.81</v>
      </c>
      <c r="L1780" s="29">
        <v>9.4600000000000009</v>
      </c>
      <c r="M1780" s="368"/>
      <c r="N1780" s="368"/>
      <c r="O1780" s="271">
        <f>IFERROR(Table17[[#This Row],[PROFIT]]/Table17[[#This Row],[TO]],0)</f>
        <v>0</v>
      </c>
      <c r="P1780" s="177"/>
      <c r="Q1780" s="177"/>
      <c r="R1780" s="177"/>
    </row>
    <row r="1781" spans="1:18" hidden="1" x14ac:dyDescent="0.25">
      <c r="A1781" s="29" t="s">
        <v>2700</v>
      </c>
      <c r="B1781" s="29" t="s">
        <v>2699</v>
      </c>
      <c r="C1781" s="29" t="s">
        <v>807</v>
      </c>
      <c r="D1781" s="29" t="str">
        <f>VLOOKUP(C:C,'COUNT-CONT'!B:C,2,FALSE)</f>
        <v>Europe</v>
      </c>
      <c r="E1781" s="29">
        <v>7</v>
      </c>
      <c r="F1781" s="28">
        <v>2516</v>
      </c>
      <c r="G1781" s="28">
        <v>3385301907</v>
      </c>
      <c r="H1781" s="29">
        <v>12.27</v>
      </c>
      <c r="I1781" s="142">
        <v>-67.17</v>
      </c>
      <c r="J1781" s="29">
        <v>6.89</v>
      </c>
      <c r="K1781" s="29">
        <v>6.62</v>
      </c>
      <c r="L1781" s="29">
        <v>12.79</v>
      </c>
      <c r="M1781" s="368"/>
      <c r="N1781" s="368"/>
      <c r="O1781" s="271">
        <f>IFERROR(Table17[[#This Row],[PROFIT]]/Table17[[#This Row],[TO]],0)</f>
        <v>0</v>
      </c>
      <c r="P1781" s="177"/>
      <c r="Q1781" s="177"/>
      <c r="R1781" s="177"/>
    </row>
    <row r="1782" spans="1:18" hidden="1" x14ac:dyDescent="0.25">
      <c r="A1782" s="29" t="s">
        <v>1186</v>
      </c>
      <c r="B1782" s="29" t="s">
        <v>1185</v>
      </c>
      <c r="C1782" s="29" t="s">
        <v>974</v>
      </c>
      <c r="D1782" s="29" t="str">
        <f>VLOOKUP(C:C,'COUNT-CONT'!B:C,2,FALSE)</f>
        <v>Asia</v>
      </c>
      <c r="E1782" s="29">
        <v>2</v>
      </c>
      <c r="F1782" s="28">
        <v>1351</v>
      </c>
      <c r="G1782" s="28">
        <v>3084011695</v>
      </c>
      <c r="H1782" s="29">
        <v>12.27</v>
      </c>
      <c r="I1782" s="142">
        <v>-67.17</v>
      </c>
      <c r="J1782" s="29">
        <v>2.6</v>
      </c>
      <c r="K1782" s="29">
        <v>1.45</v>
      </c>
      <c r="L1782" s="29">
        <v>8.19</v>
      </c>
      <c r="M1782" s="368"/>
      <c r="N1782" s="368"/>
      <c r="O1782" s="271">
        <f>IFERROR(Table17[[#This Row],[PROFIT]]/Table17[[#This Row],[TO]],0)</f>
        <v>0</v>
      </c>
      <c r="P1782" s="177"/>
      <c r="Q1782" s="177"/>
      <c r="R1782" s="177"/>
    </row>
    <row r="1783" spans="1:18" hidden="1" x14ac:dyDescent="0.25">
      <c r="A1783" s="29" t="s">
        <v>1393</v>
      </c>
      <c r="B1783" s="29" t="s">
        <v>1392</v>
      </c>
      <c r="C1783" s="29" t="s">
        <v>608</v>
      </c>
      <c r="D1783" s="29" t="str">
        <f>VLOOKUP(C:C,'COUNT-CONT'!B:C,2,FALSE)</f>
        <v>Africa</v>
      </c>
      <c r="E1783" s="29">
        <v>8</v>
      </c>
      <c r="F1783" s="28">
        <v>3004</v>
      </c>
      <c r="G1783" s="28">
        <v>2771178428</v>
      </c>
      <c r="H1783" s="29">
        <v>12.27</v>
      </c>
      <c r="I1783" s="142">
        <v>-67.17</v>
      </c>
      <c r="J1783" s="29">
        <v>3.14</v>
      </c>
      <c r="K1783" s="29">
        <v>2.09</v>
      </c>
      <c r="L1783" s="29">
        <v>8.77</v>
      </c>
      <c r="M1783" s="368"/>
      <c r="N1783" s="368"/>
      <c r="O1783" s="271">
        <f>IFERROR(Table17[[#This Row],[PROFIT]]/Table17[[#This Row],[TO]],0)</f>
        <v>0</v>
      </c>
      <c r="P1783" s="177"/>
      <c r="Q1783" s="177"/>
      <c r="R1783" s="177"/>
    </row>
    <row r="1784" spans="1:18" ht="30" hidden="1" x14ac:dyDescent="0.25">
      <c r="A1784" s="29" t="s">
        <v>3520</v>
      </c>
      <c r="B1784" s="29" t="s">
        <v>3519</v>
      </c>
      <c r="C1784" s="29" t="s">
        <v>11732</v>
      </c>
      <c r="D1784" s="29" t="str">
        <f>VLOOKUP(C:C,'COUNT-CONT'!B:C,2,FALSE)</f>
        <v>North America</v>
      </c>
      <c r="E1784" s="29">
        <v>4</v>
      </c>
      <c r="F1784" s="28">
        <v>2008</v>
      </c>
      <c r="G1784" s="28">
        <v>3987108764</v>
      </c>
      <c r="H1784" s="29">
        <v>12.24</v>
      </c>
      <c r="I1784" s="142">
        <v>-67.2</v>
      </c>
      <c r="J1784" s="29">
        <v>9.98</v>
      </c>
      <c r="K1784" s="29">
        <v>9.98</v>
      </c>
      <c r="L1784" s="29">
        <v>16.11</v>
      </c>
      <c r="M1784" s="368"/>
      <c r="N1784" s="368"/>
      <c r="O1784" s="271">
        <f>IFERROR(Table17[[#This Row],[PROFIT]]/Table17[[#This Row],[TO]],0)</f>
        <v>0</v>
      </c>
      <c r="P1784" s="177"/>
      <c r="Q1784" s="177"/>
      <c r="R1784" s="177"/>
    </row>
    <row r="1785" spans="1:18" x14ac:dyDescent="0.25">
      <c r="A1785" s="29" t="s">
        <v>2755</v>
      </c>
      <c r="B1785" s="29" t="s">
        <v>2754</v>
      </c>
      <c r="C1785" s="29" t="s">
        <v>774</v>
      </c>
      <c r="D1785" s="29" t="str">
        <f>VLOOKUP(C:C,'COUNT-CONT'!B:C,2,FALSE)</f>
        <v>Oceania</v>
      </c>
      <c r="E1785" s="29">
        <v>4</v>
      </c>
      <c r="F1785" s="28">
        <v>1992</v>
      </c>
      <c r="G1785" s="28">
        <v>3480108835</v>
      </c>
      <c r="H1785" s="29">
        <v>12.24</v>
      </c>
      <c r="I1785" s="142">
        <v>-67.2</v>
      </c>
      <c r="J1785" s="29">
        <v>7.29</v>
      </c>
      <c r="K1785" s="29">
        <v>6.77</v>
      </c>
      <c r="L1785" s="29">
        <v>13.03</v>
      </c>
      <c r="M1785" s="368"/>
      <c r="N1785" s="368"/>
      <c r="O1785" s="271">
        <f>IFERROR(Table17[[#This Row],[PROFIT]]/Table17[[#This Row],[TO]],0)</f>
        <v>0</v>
      </c>
      <c r="P1785" s="177"/>
      <c r="Q1785" s="177"/>
      <c r="R1785" s="177"/>
    </row>
    <row r="1786" spans="1:18" hidden="1" x14ac:dyDescent="0.25">
      <c r="A1786" s="29" t="s">
        <v>1890</v>
      </c>
      <c r="B1786" s="29" t="s">
        <v>1889</v>
      </c>
      <c r="C1786" s="29" t="s">
        <v>1420</v>
      </c>
      <c r="D1786" s="29" t="str">
        <f>VLOOKUP(C:C,'COUNT-CONT'!B:C,2,FALSE)</f>
        <v>Europe</v>
      </c>
      <c r="E1786" s="29">
        <v>4</v>
      </c>
      <c r="F1786" s="28">
        <v>1805</v>
      </c>
      <c r="G1786" s="28">
        <v>3039818282</v>
      </c>
      <c r="H1786" s="29">
        <v>12.24</v>
      </c>
      <c r="I1786" s="142">
        <v>-67.2</v>
      </c>
      <c r="J1786" s="29">
        <v>4.6900000000000004</v>
      </c>
      <c r="K1786" s="29">
        <v>3.66</v>
      </c>
      <c r="L1786" s="29">
        <v>10.19</v>
      </c>
      <c r="M1786" s="368"/>
      <c r="N1786" s="368"/>
      <c r="O1786" s="271">
        <f>IFERROR(Table17[[#This Row],[PROFIT]]/Table17[[#This Row],[TO]],0)</f>
        <v>0</v>
      </c>
      <c r="P1786" s="177"/>
      <c r="Q1786" s="177"/>
      <c r="R1786" s="177"/>
    </row>
    <row r="1787" spans="1:18" hidden="1" x14ac:dyDescent="0.25">
      <c r="A1787" s="29" t="s">
        <v>2828</v>
      </c>
      <c r="B1787" s="29" t="s">
        <v>2827</v>
      </c>
      <c r="C1787" s="29" t="s">
        <v>308</v>
      </c>
      <c r="D1787" s="29" t="str">
        <f>VLOOKUP(C:C,'COUNT-CONT'!B:C,2,FALSE)</f>
        <v>Europe</v>
      </c>
      <c r="E1787" s="29">
        <v>3</v>
      </c>
      <c r="F1787" s="28">
        <v>1707</v>
      </c>
      <c r="G1787" s="28">
        <v>3582205389</v>
      </c>
      <c r="H1787" s="29">
        <v>12.24</v>
      </c>
      <c r="I1787" s="142">
        <v>-67.2</v>
      </c>
      <c r="J1787" s="29">
        <v>7.44</v>
      </c>
      <c r="K1787" s="29">
        <v>7.19</v>
      </c>
      <c r="L1787" s="29">
        <v>13.33</v>
      </c>
      <c r="M1787" s="368"/>
      <c r="N1787" s="368"/>
      <c r="O1787" s="271">
        <f>IFERROR(Table17[[#This Row],[PROFIT]]/Table17[[#This Row],[TO]],0)</f>
        <v>0</v>
      </c>
      <c r="P1787" s="177"/>
      <c r="Q1787" s="177"/>
      <c r="R1787" s="177"/>
    </row>
    <row r="1788" spans="1:18" ht="30" hidden="1" x14ac:dyDescent="0.25">
      <c r="A1788" s="29" t="s">
        <v>1624</v>
      </c>
      <c r="B1788" s="29" t="s">
        <v>1623</v>
      </c>
      <c r="C1788" s="29" t="s">
        <v>1144</v>
      </c>
      <c r="D1788" s="29" t="str">
        <f>VLOOKUP(C:C,'COUNT-CONT'!B:C,2,FALSE)</f>
        <v>South America</v>
      </c>
      <c r="E1788" s="29">
        <v>4</v>
      </c>
      <c r="F1788" s="28">
        <v>2003</v>
      </c>
      <c r="G1788" s="28">
        <v>2897176235</v>
      </c>
      <c r="H1788" s="29">
        <v>12.24</v>
      </c>
      <c r="I1788" s="142">
        <v>-67.2</v>
      </c>
      <c r="J1788" s="29">
        <v>3.96</v>
      </c>
      <c r="K1788" s="29">
        <v>2.81</v>
      </c>
      <c r="L1788" s="29">
        <v>9.43</v>
      </c>
      <c r="M1788" s="368"/>
      <c r="N1788" s="368"/>
      <c r="O1788" s="271">
        <f>IFERROR(Table17[[#This Row],[PROFIT]]/Table17[[#This Row],[TO]],0)</f>
        <v>0</v>
      </c>
      <c r="P1788" s="177"/>
      <c r="Q1788" s="177"/>
      <c r="R1788" s="177"/>
    </row>
    <row r="1789" spans="1:18" hidden="1" x14ac:dyDescent="0.25">
      <c r="A1789" s="29" t="s">
        <v>1963</v>
      </c>
      <c r="B1789" s="29" t="s">
        <v>1962</v>
      </c>
      <c r="C1789" s="29" t="s">
        <v>14</v>
      </c>
      <c r="D1789" s="29" t="str">
        <f>VLOOKUP(C:C,'COUNT-CONT'!B:C,2,FALSE)</f>
        <v>Asia</v>
      </c>
      <c r="E1789" s="29">
        <v>8</v>
      </c>
      <c r="F1789" s="28">
        <v>2806</v>
      </c>
      <c r="G1789" s="28">
        <v>2944817106</v>
      </c>
      <c r="H1789" s="29">
        <v>12.21</v>
      </c>
      <c r="I1789" s="142">
        <v>-67.22999999999999</v>
      </c>
      <c r="J1789" s="29">
        <v>4.75</v>
      </c>
      <c r="K1789" s="29">
        <v>3.93</v>
      </c>
      <c r="L1789" s="29">
        <v>10.37</v>
      </c>
      <c r="M1789" s="368"/>
      <c r="N1789" s="368"/>
      <c r="O1789" s="271">
        <f>IFERROR(Table17[[#This Row],[PROFIT]]/Table17[[#This Row],[TO]],0)</f>
        <v>0</v>
      </c>
      <c r="P1789" s="177"/>
      <c r="Q1789" s="177"/>
      <c r="R1789" s="177"/>
    </row>
    <row r="1790" spans="1:18" hidden="1" x14ac:dyDescent="0.25">
      <c r="A1790" s="29" t="s">
        <v>1724</v>
      </c>
      <c r="B1790" s="29" t="s">
        <v>1723</v>
      </c>
      <c r="C1790" s="29" t="s">
        <v>533</v>
      </c>
      <c r="D1790" s="29" t="str">
        <f>VLOOKUP(C:C,'COUNT-CONT'!B:C,2,FALSE)</f>
        <v>Asia</v>
      </c>
      <c r="E1790" s="29">
        <v>6</v>
      </c>
      <c r="F1790" s="28">
        <v>2444</v>
      </c>
      <c r="G1790" s="28">
        <v>2874081833</v>
      </c>
      <c r="H1790" s="29">
        <v>12.18</v>
      </c>
      <c r="I1790" s="142">
        <v>-67.259999999999991</v>
      </c>
      <c r="J1790" s="29">
        <v>4.05</v>
      </c>
      <c r="K1790" s="29">
        <v>3.08</v>
      </c>
      <c r="L1790" s="29">
        <v>9.67</v>
      </c>
      <c r="M1790" s="368"/>
      <c r="N1790" s="368"/>
      <c r="O1790" s="271">
        <f>IFERROR(Table17[[#This Row],[PROFIT]]/Table17[[#This Row],[TO]],0)</f>
        <v>0</v>
      </c>
      <c r="P1790" s="177"/>
      <c r="Q1790" s="177"/>
      <c r="R1790" s="177"/>
    </row>
    <row r="1791" spans="1:18" ht="30" hidden="1" x14ac:dyDescent="0.25">
      <c r="A1791" s="29" t="s">
        <v>3501</v>
      </c>
      <c r="B1791" s="29" t="s">
        <v>3500</v>
      </c>
      <c r="C1791" s="29" t="s">
        <v>11732</v>
      </c>
      <c r="D1791" s="29" t="str">
        <f>VLOOKUP(C:C,'COUNT-CONT'!B:C,2,FALSE)</f>
        <v>North America</v>
      </c>
      <c r="E1791" s="29">
        <v>5</v>
      </c>
      <c r="F1791" s="28">
        <v>2193</v>
      </c>
      <c r="G1791" s="28">
        <v>3954395987</v>
      </c>
      <c r="H1791" s="29">
        <v>12.18</v>
      </c>
      <c r="I1791" s="142">
        <v>-67.259999999999991</v>
      </c>
      <c r="J1791" s="29">
        <v>9.9499999999999993</v>
      </c>
      <c r="K1791" s="29">
        <v>9.9499999999999993</v>
      </c>
      <c r="L1791" s="29">
        <v>16.05</v>
      </c>
      <c r="M1791" s="368"/>
      <c r="N1791" s="368"/>
      <c r="O1791" s="271">
        <f>IFERROR(Table17[[#This Row],[PROFIT]]/Table17[[#This Row],[TO]],0)</f>
        <v>0</v>
      </c>
      <c r="P1791" s="177"/>
      <c r="Q1791" s="177"/>
      <c r="R1791" s="177"/>
    </row>
    <row r="1792" spans="1:18" hidden="1" x14ac:dyDescent="0.25">
      <c r="A1792" s="29" t="s">
        <v>2616</v>
      </c>
      <c r="B1792" s="29" t="s">
        <v>2615</v>
      </c>
      <c r="C1792" s="29" t="s">
        <v>585</v>
      </c>
      <c r="D1792" s="29" t="str">
        <f>VLOOKUP(C:C,'COUNT-CONT'!B:C,2,FALSE)</f>
        <v>Europe</v>
      </c>
      <c r="E1792" s="29">
        <v>5</v>
      </c>
      <c r="F1792" s="28">
        <v>2024</v>
      </c>
      <c r="G1792" s="28">
        <v>3396278260</v>
      </c>
      <c r="H1792" s="29">
        <v>12.18</v>
      </c>
      <c r="I1792" s="142">
        <v>-67.259999999999991</v>
      </c>
      <c r="J1792" s="29">
        <v>6.71</v>
      </c>
      <c r="K1792" s="29">
        <v>6.2</v>
      </c>
      <c r="L1792" s="29">
        <v>12.42</v>
      </c>
      <c r="M1792" s="368"/>
      <c r="N1792" s="368"/>
      <c r="O1792" s="271">
        <f>IFERROR(Table17[[#This Row],[PROFIT]]/Table17[[#This Row],[TO]],0)</f>
        <v>0</v>
      </c>
      <c r="P1792" s="177"/>
      <c r="Q1792" s="177"/>
      <c r="R1792" s="177"/>
    </row>
    <row r="1793" spans="1:18" ht="30" hidden="1" x14ac:dyDescent="0.25">
      <c r="A1793" s="29" t="s">
        <v>3505</v>
      </c>
      <c r="B1793" s="29" t="s">
        <v>3504</v>
      </c>
      <c r="C1793" s="29" t="s">
        <v>11732</v>
      </c>
      <c r="D1793" s="29" t="str">
        <f>VLOOKUP(C:C,'COUNT-CONT'!B:C,2,FALSE)</f>
        <v>North America</v>
      </c>
      <c r="E1793" s="29">
        <v>6</v>
      </c>
      <c r="F1793" s="28">
        <v>2290</v>
      </c>
      <c r="G1793" s="28">
        <v>3941149344</v>
      </c>
      <c r="H1793" s="29">
        <v>12.18</v>
      </c>
      <c r="I1793" s="142">
        <v>-67.259999999999991</v>
      </c>
      <c r="J1793" s="29">
        <v>9.9499999999999993</v>
      </c>
      <c r="K1793" s="29">
        <v>9.9499999999999993</v>
      </c>
      <c r="L1793" s="29">
        <v>16.05</v>
      </c>
      <c r="M1793" s="368"/>
      <c r="N1793" s="368"/>
      <c r="O1793" s="271">
        <f>IFERROR(Table17[[#This Row],[PROFIT]]/Table17[[#This Row],[TO]],0)</f>
        <v>0</v>
      </c>
      <c r="P1793" s="177"/>
      <c r="Q1793" s="177"/>
      <c r="R1793" s="177"/>
    </row>
    <row r="1794" spans="1:18" hidden="1" x14ac:dyDescent="0.25">
      <c r="A1794" s="29" t="s">
        <v>2128</v>
      </c>
      <c r="B1794" s="29" t="s">
        <v>2127</v>
      </c>
      <c r="C1794" s="29" t="s">
        <v>605</v>
      </c>
      <c r="D1794" s="29" t="str">
        <f>VLOOKUP(C:C,'COUNT-CONT'!B:C,2,FALSE)</f>
        <v>Europe</v>
      </c>
      <c r="E1794" s="29">
        <v>6</v>
      </c>
      <c r="F1794" s="28">
        <v>2475</v>
      </c>
      <c r="G1794" s="28">
        <v>3164644444</v>
      </c>
      <c r="H1794" s="29">
        <v>12.15</v>
      </c>
      <c r="I1794" s="142">
        <v>-67.289999999999992</v>
      </c>
      <c r="J1794" s="29">
        <v>5.2</v>
      </c>
      <c r="K1794" s="29">
        <v>4.53</v>
      </c>
      <c r="L1794" s="29">
        <v>10.85</v>
      </c>
      <c r="M1794" s="368"/>
      <c r="N1794" s="368"/>
      <c r="O1794" s="271">
        <f>IFERROR(Table17[[#This Row],[PROFIT]]/Table17[[#This Row],[TO]],0)</f>
        <v>0</v>
      </c>
      <c r="P1794" s="177"/>
      <c r="Q1794" s="177"/>
      <c r="R1794" s="177"/>
    </row>
    <row r="1795" spans="1:18" hidden="1" x14ac:dyDescent="0.25">
      <c r="A1795" s="29" t="s">
        <v>1104</v>
      </c>
      <c r="B1795" s="29" t="s">
        <v>1103</v>
      </c>
      <c r="C1795" s="29" t="s">
        <v>867</v>
      </c>
      <c r="D1795" s="29" t="str">
        <f>VLOOKUP(C:C,'COUNT-CONT'!B:C,2,FALSE)</f>
        <v>Asia</v>
      </c>
      <c r="E1795" s="29">
        <v>1</v>
      </c>
      <c r="F1795" s="28">
        <v>1007</v>
      </c>
      <c r="G1795" s="28">
        <v>3242153525</v>
      </c>
      <c r="H1795" s="29">
        <v>12.15</v>
      </c>
      <c r="I1795" s="142">
        <v>-67.289999999999992</v>
      </c>
      <c r="J1795" s="29">
        <v>2.54</v>
      </c>
      <c r="K1795" s="29">
        <v>1.42</v>
      </c>
      <c r="L1795" s="29">
        <v>8.01</v>
      </c>
      <c r="M1795" s="368"/>
      <c r="N1795" s="368"/>
      <c r="O1795" s="271">
        <f>IFERROR(Table17[[#This Row],[PROFIT]]/Table17[[#This Row],[TO]],0)</f>
        <v>0</v>
      </c>
      <c r="P1795" s="177"/>
      <c r="Q1795" s="177"/>
      <c r="R1795" s="177"/>
    </row>
    <row r="1796" spans="1:18" hidden="1" x14ac:dyDescent="0.25">
      <c r="A1796" s="29" t="s">
        <v>2516</v>
      </c>
      <c r="B1796" s="29" t="s">
        <v>2515</v>
      </c>
      <c r="C1796" s="29" t="s">
        <v>142</v>
      </c>
      <c r="D1796" s="29" t="str">
        <f>VLOOKUP(C:C,'COUNT-CONT'!B:C,2,FALSE)</f>
        <v>Asia</v>
      </c>
      <c r="E1796" s="29">
        <v>4</v>
      </c>
      <c r="F1796" s="28">
        <v>2009</v>
      </c>
      <c r="G1796" s="28">
        <v>3360536087</v>
      </c>
      <c r="H1796" s="29">
        <v>12.15</v>
      </c>
      <c r="I1796" s="142">
        <v>-67.289999999999992</v>
      </c>
      <c r="J1796" s="29">
        <v>6.56</v>
      </c>
      <c r="K1796" s="29">
        <v>5.8</v>
      </c>
      <c r="L1796" s="29">
        <v>12.15</v>
      </c>
      <c r="M1796" s="368"/>
      <c r="N1796" s="368"/>
      <c r="O1796" s="271">
        <f>IFERROR(Table17[[#This Row],[PROFIT]]/Table17[[#This Row],[TO]],0)</f>
        <v>0</v>
      </c>
      <c r="P1796" s="177"/>
      <c r="Q1796" s="177"/>
      <c r="R1796" s="177"/>
    </row>
    <row r="1797" spans="1:18" ht="30" hidden="1" x14ac:dyDescent="0.25">
      <c r="A1797" s="29" t="s">
        <v>3487</v>
      </c>
      <c r="B1797" s="29" t="s">
        <v>3486</v>
      </c>
      <c r="C1797" s="29" t="s">
        <v>11732</v>
      </c>
      <c r="D1797" s="29" t="str">
        <f>VLOOKUP(C:C,'COUNT-CONT'!B:C,2,FALSE)</f>
        <v>North America</v>
      </c>
      <c r="E1797" s="29">
        <v>4</v>
      </c>
      <c r="F1797" s="28">
        <v>1883</v>
      </c>
      <c r="G1797" s="28">
        <v>3998474190</v>
      </c>
      <c r="H1797" s="29">
        <v>12.15</v>
      </c>
      <c r="I1797" s="142">
        <v>-67.289999999999992</v>
      </c>
      <c r="J1797" s="29">
        <v>9.92</v>
      </c>
      <c r="K1797" s="29">
        <v>9.92</v>
      </c>
      <c r="L1797" s="29">
        <v>15.99</v>
      </c>
      <c r="M1797" s="368"/>
      <c r="N1797" s="368"/>
      <c r="O1797" s="271">
        <f>IFERROR(Table17[[#This Row],[PROFIT]]/Table17[[#This Row],[TO]],0)</f>
        <v>0</v>
      </c>
      <c r="P1797" s="177"/>
      <c r="Q1797" s="177"/>
      <c r="R1797" s="177"/>
    </row>
    <row r="1798" spans="1:18" hidden="1" x14ac:dyDescent="0.25">
      <c r="A1798" s="29" t="s">
        <v>3477</v>
      </c>
      <c r="B1798" s="29" t="s">
        <v>3476</v>
      </c>
      <c r="C1798" s="29" t="s">
        <v>560</v>
      </c>
      <c r="D1798" s="29" t="str">
        <f>VLOOKUP(C:C,'COUNT-CONT'!B:C,2,FALSE)</f>
        <v>Europe</v>
      </c>
      <c r="E1798" s="29">
        <v>5</v>
      </c>
      <c r="F1798" s="28">
        <v>2117</v>
      </c>
      <c r="G1798" s="28">
        <v>3950603212</v>
      </c>
      <c r="H1798" s="29">
        <v>12.12</v>
      </c>
      <c r="I1798" s="142">
        <v>-67.319999999999993</v>
      </c>
      <c r="J1798" s="29">
        <v>9.89</v>
      </c>
      <c r="K1798" s="29">
        <v>9.89</v>
      </c>
      <c r="L1798" s="29">
        <v>15.96</v>
      </c>
      <c r="M1798" s="368"/>
      <c r="N1798" s="368"/>
      <c r="O1798" s="271">
        <f>IFERROR(Table17[[#This Row],[PROFIT]]/Table17[[#This Row],[TO]],0)</f>
        <v>0</v>
      </c>
      <c r="P1798" s="177"/>
      <c r="Q1798" s="177"/>
      <c r="R1798" s="177"/>
    </row>
    <row r="1799" spans="1:18" hidden="1" x14ac:dyDescent="0.25">
      <c r="A1799" s="29" t="s">
        <v>1240</v>
      </c>
      <c r="B1799" s="29" t="s">
        <v>1239</v>
      </c>
      <c r="C1799" s="29" t="s">
        <v>1070</v>
      </c>
      <c r="D1799" s="29" t="str">
        <f>VLOOKUP(C:C,'COUNT-CONT'!B:C,2,FALSE)</f>
        <v>Asia</v>
      </c>
      <c r="E1799" s="29">
        <v>2</v>
      </c>
      <c r="F1799" s="28">
        <v>1460</v>
      </c>
      <c r="G1799" s="28">
        <v>2973524657</v>
      </c>
      <c r="H1799" s="29">
        <v>12.12</v>
      </c>
      <c r="I1799" s="142">
        <v>-67.319999999999993</v>
      </c>
      <c r="J1799" s="29">
        <v>2.81</v>
      </c>
      <c r="K1799" s="29">
        <v>1.81</v>
      </c>
      <c r="L1799" s="29">
        <v>8.31</v>
      </c>
      <c r="M1799" s="368"/>
      <c r="N1799" s="368"/>
      <c r="O1799" s="271">
        <f>IFERROR(Table17[[#This Row],[PROFIT]]/Table17[[#This Row],[TO]],0)</f>
        <v>0</v>
      </c>
      <c r="P1799" s="177"/>
      <c r="Q1799" s="177"/>
      <c r="R1799" s="177"/>
    </row>
    <row r="1800" spans="1:18" hidden="1" x14ac:dyDescent="0.25">
      <c r="A1800" s="29" t="s">
        <v>3087</v>
      </c>
      <c r="B1800" s="29" t="s">
        <v>3086</v>
      </c>
      <c r="C1800" s="29" t="s">
        <v>1674</v>
      </c>
      <c r="D1800" s="29" t="str">
        <f>VLOOKUP(C:C,'COUNT-CONT'!B:C,2,FALSE)</f>
        <v>Europe</v>
      </c>
      <c r="E1800" s="29">
        <v>2</v>
      </c>
      <c r="F1800" s="28">
        <v>1378</v>
      </c>
      <c r="G1800" s="28">
        <v>3850758345</v>
      </c>
      <c r="H1800" s="29">
        <v>12.12</v>
      </c>
      <c r="I1800" s="142">
        <v>-67.319999999999993</v>
      </c>
      <c r="J1800" s="29">
        <v>8.65</v>
      </c>
      <c r="K1800" s="29">
        <v>8.3699999999999992</v>
      </c>
      <c r="L1800" s="29">
        <v>14.45</v>
      </c>
      <c r="M1800" s="368"/>
      <c r="N1800" s="368"/>
      <c r="O1800" s="271">
        <f>IFERROR(Table17[[#This Row],[PROFIT]]/Table17[[#This Row],[TO]],0)</f>
        <v>0</v>
      </c>
      <c r="P1800" s="177"/>
      <c r="Q1800" s="177"/>
      <c r="R1800" s="177"/>
    </row>
    <row r="1801" spans="1:18" hidden="1" x14ac:dyDescent="0.25">
      <c r="A1801" s="29" t="s">
        <v>1580</v>
      </c>
      <c r="B1801" s="29" t="s">
        <v>1579</v>
      </c>
      <c r="C1801" s="29" t="s">
        <v>1578</v>
      </c>
      <c r="D1801" s="29" t="str">
        <f>VLOOKUP(C:C,'COUNT-CONT'!B:C,2,FALSE)</f>
        <v>Europe</v>
      </c>
      <c r="E1801" s="29">
        <v>6</v>
      </c>
      <c r="F1801" s="28">
        <v>2504</v>
      </c>
      <c r="G1801" s="28">
        <v>2851297124</v>
      </c>
      <c r="H1801" s="29">
        <v>12.09</v>
      </c>
      <c r="I1801" s="142">
        <v>-67.349999999999994</v>
      </c>
      <c r="J1801" s="29">
        <v>3.72</v>
      </c>
      <c r="K1801" s="29">
        <v>2.78</v>
      </c>
      <c r="L1801" s="29">
        <v>9.31</v>
      </c>
      <c r="M1801" s="368"/>
      <c r="N1801" s="368"/>
      <c r="O1801" s="271">
        <f>IFERROR(Table17[[#This Row],[PROFIT]]/Table17[[#This Row],[TO]],0)</f>
        <v>0</v>
      </c>
      <c r="P1801" s="177"/>
      <c r="Q1801" s="177"/>
      <c r="R1801" s="177"/>
    </row>
    <row r="1802" spans="1:18" ht="30" hidden="1" x14ac:dyDescent="0.25">
      <c r="A1802" s="29" t="s">
        <v>3456</v>
      </c>
      <c r="B1802" s="29" t="s">
        <v>3455</v>
      </c>
      <c r="C1802" s="29" t="s">
        <v>11732</v>
      </c>
      <c r="D1802" s="29" t="str">
        <f>VLOOKUP(C:C,'COUNT-CONT'!B:C,2,FALSE)</f>
        <v>North America</v>
      </c>
      <c r="E1802" s="29">
        <v>5</v>
      </c>
      <c r="F1802" s="28">
        <v>2177</v>
      </c>
      <c r="G1802" s="28">
        <v>3932682498</v>
      </c>
      <c r="H1802" s="29">
        <v>12.06</v>
      </c>
      <c r="I1802" s="142">
        <v>-67.38</v>
      </c>
      <c r="J1802" s="29">
        <v>9.82</v>
      </c>
      <c r="K1802" s="29">
        <v>9.82</v>
      </c>
      <c r="L1802" s="29">
        <v>15.87</v>
      </c>
      <c r="M1802" s="368"/>
      <c r="N1802" s="368"/>
      <c r="O1802" s="271">
        <f>IFERROR(Table17[[#This Row],[PROFIT]]/Table17[[#This Row],[TO]],0)</f>
        <v>0</v>
      </c>
      <c r="P1802" s="177"/>
      <c r="Q1802" s="177"/>
      <c r="R1802" s="177"/>
    </row>
    <row r="1803" spans="1:18" ht="30" hidden="1" x14ac:dyDescent="0.25">
      <c r="A1803" s="29" t="s">
        <v>1322</v>
      </c>
      <c r="B1803" s="29" t="s">
        <v>1321</v>
      </c>
      <c r="C1803" s="29" t="s">
        <v>608</v>
      </c>
      <c r="D1803" s="29" t="str">
        <f>VLOOKUP(C:C,'COUNT-CONT'!B:C,2,FALSE)</f>
        <v>Africa</v>
      </c>
      <c r="E1803" s="29">
        <v>5</v>
      </c>
      <c r="F1803" s="28">
        <v>2102</v>
      </c>
      <c r="G1803" s="28">
        <v>2819111132</v>
      </c>
      <c r="H1803" s="29">
        <v>12.06</v>
      </c>
      <c r="I1803" s="142">
        <v>-67.38</v>
      </c>
      <c r="J1803" s="29">
        <v>3.08</v>
      </c>
      <c r="K1803" s="29">
        <v>2.06</v>
      </c>
      <c r="L1803" s="29">
        <v>8.6199999999999992</v>
      </c>
      <c r="M1803" s="368"/>
      <c r="N1803" s="368"/>
      <c r="O1803" s="271">
        <f>IFERROR(Table17[[#This Row],[PROFIT]]/Table17[[#This Row],[TO]],0)</f>
        <v>0</v>
      </c>
      <c r="P1803" s="177"/>
      <c r="Q1803" s="177"/>
      <c r="R1803" s="177"/>
    </row>
    <row r="1804" spans="1:18" hidden="1" x14ac:dyDescent="0.25">
      <c r="A1804" s="29" t="s">
        <v>3458</v>
      </c>
      <c r="B1804" s="29" t="s">
        <v>3457</v>
      </c>
      <c r="C1804" s="29" t="s">
        <v>560</v>
      </c>
      <c r="D1804" s="29" t="str">
        <f>VLOOKUP(C:C,'COUNT-CONT'!B:C,2,FALSE)</f>
        <v>Europe</v>
      </c>
      <c r="E1804" s="29">
        <v>6</v>
      </c>
      <c r="F1804" s="28">
        <v>2279</v>
      </c>
      <c r="G1804" s="28">
        <v>3920567836</v>
      </c>
      <c r="H1804" s="29">
        <v>12.06</v>
      </c>
      <c r="I1804" s="142">
        <v>-67.38</v>
      </c>
      <c r="J1804" s="29">
        <v>9.82</v>
      </c>
      <c r="K1804" s="29">
        <v>9.82</v>
      </c>
      <c r="L1804" s="29">
        <v>15.87</v>
      </c>
      <c r="M1804" s="368"/>
      <c r="N1804" s="368"/>
      <c r="O1804" s="271">
        <f>IFERROR(Table17[[#This Row],[PROFIT]]/Table17[[#This Row],[TO]],0)</f>
        <v>0</v>
      </c>
      <c r="P1804" s="177"/>
      <c r="Q1804" s="177"/>
      <c r="R1804" s="177"/>
    </row>
    <row r="1805" spans="1:18" hidden="1" x14ac:dyDescent="0.25">
      <c r="A1805" s="29" t="s">
        <v>1553</v>
      </c>
      <c r="B1805" s="29" t="s">
        <v>1552</v>
      </c>
      <c r="C1805" s="29" t="s">
        <v>493</v>
      </c>
      <c r="D1805" s="29" t="str">
        <f>VLOOKUP(C:C,'COUNT-CONT'!B:C,2,FALSE)</f>
        <v>Africa</v>
      </c>
      <c r="E1805" s="29">
        <v>8</v>
      </c>
      <c r="F1805" s="28">
        <v>2000</v>
      </c>
      <c r="G1805" s="28">
        <v>2992200000</v>
      </c>
      <c r="H1805" s="29">
        <v>12.06</v>
      </c>
      <c r="I1805" s="142">
        <v>-67.38</v>
      </c>
      <c r="J1805" s="29">
        <v>3.87</v>
      </c>
      <c r="K1805" s="29">
        <v>2.78</v>
      </c>
      <c r="L1805" s="29">
        <v>9.2799999999999994</v>
      </c>
      <c r="M1805" s="368"/>
      <c r="N1805" s="368"/>
      <c r="O1805" s="271">
        <f>IFERROR(Table17[[#This Row],[PROFIT]]/Table17[[#This Row],[TO]],0)</f>
        <v>0</v>
      </c>
      <c r="P1805" s="177"/>
      <c r="Q1805" s="177"/>
      <c r="R1805" s="177"/>
    </row>
    <row r="1806" spans="1:18" ht="30" hidden="1" x14ac:dyDescent="0.25">
      <c r="A1806" s="29" t="s">
        <v>1886</v>
      </c>
      <c r="B1806" s="29" t="s">
        <v>1885</v>
      </c>
      <c r="C1806" s="29" t="s">
        <v>517</v>
      </c>
      <c r="D1806" s="29" t="str">
        <f>VLOOKUP(C:C,'COUNT-CONT'!B:C,2,FALSE)</f>
        <v>South America</v>
      </c>
      <c r="E1806" s="29">
        <v>3</v>
      </c>
      <c r="F1806" s="28">
        <v>1538</v>
      </c>
      <c r="G1806" s="28">
        <v>3119114564</v>
      </c>
      <c r="H1806" s="29">
        <v>12.03</v>
      </c>
      <c r="I1806" s="142">
        <v>-67.41</v>
      </c>
      <c r="J1806" s="29">
        <v>4.6900000000000004</v>
      </c>
      <c r="K1806" s="29">
        <v>3.87</v>
      </c>
      <c r="L1806" s="29">
        <v>10.19</v>
      </c>
      <c r="M1806" s="368"/>
      <c r="N1806" s="368"/>
      <c r="O1806" s="271">
        <f>IFERROR(Table17[[#This Row],[PROFIT]]/Table17[[#This Row],[TO]],0)</f>
        <v>0</v>
      </c>
      <c r="P1806" s="177"/>
      <c r="Q1806" s="177"/>
      <c r="R1806" s="177"/>
    </row>
    <row r="1807" spans="1:18" hidden="1" x14ac:dyDescent="0.25">
      <c r="A1807" s="29" t="s">
        <v>2583</v>
      </c>
      <c r="B1807" s="29" t="s">
        <v>2582</v>
      </c>
      <c r="C1807" s="29" t="s">
        <v>585</v>
      </c>
      <c r="D1807" s="29" t="str">
        <f>VLOOKUP(C:C,'COUNT-CONT'!B:C,2,FALSE)</f>
        <v>Europe</v>
      </c>
      <c r="E1807" s="29">
        <v>7</v>
      </c>
      <c r="F1807" s="28">
        <v>2528</v>
      </c>
      <c r="G1807" s="28">
        <v>3318926582</v>
      </c>
      <c r="H1807" s="29">
        <v>12.03</v>
      </c>
      <c r="I1807" s="142">
        <v>-67.41</v>
      </c>
      <c r="J1807" s="29">
        <v>6.62</v>
      </c>
      <c r="K1807" s="29">
        <v>6.14</v>
      </c>
      <c r="L1807" s="29">
        <v>12.3</v>
      </c>
      <c r="M1807" s="368"/>
      <c r="N1807" s="368"/>
      <c r="O1807" s="271">
        <f>IFERROR(Table17[[#This Row],[PROFIT]]/Table17[[#This Row],[TO]],0)</f>
        <v>0</v>
      </c>
      <c r="P1807" s="177"/>
      <c r="Q1807" s="177"/>
      <c r="R1807" s="177"/>
    </row>
    <row r="1808" spans="1:18" hidden="1" x14ac:dyDescent="0.25">
      <c r="A1808" s="29" t="s">
        <v>2071</v>
      </c>
      <c r="B1808" s="29" t="s">
        <v>2070</v>
      </c>
      <c r="C1808" s="29" t="s">
        <v>605</v>
      </c>
      <c r="D1808" s="29" t="str">
        <f>VLOOKUP(C:C,'COUNT-CONT'!B:C,2,FALSE)</f>
        <v>Europe</v>
      </c>
      <c r="E1808" s="29">
        <v>2</v>
      </c>
      <c r="F1808" s="28">
        <v>1405</v>
      </c>
      <c r="G1808" s="28">
        <v>3380418149</v>
      </c>
      <c r="H1808" s="29">
        <v>12.03</v>
      </c>
      <c r="I1808" s="142">
        <v>-67.41</v>
      </c>
      <c r="J1808" s="29">
        <v>5.14</v>
      </c>
      <c r="K1808" s="29">
        <v>4.5</v>
      </c>
      <c r="L1808" s="29">
        <v>10.73</v>
      </c>
      <c r="M1808" s="368"/>
      <c r="N1808" s="368"/>
      <c r="O1808" s="271">
        <f>IFERROR(Table17[[#This Row],[PROFIT]]/Table17[[#This Row],[TO]],0)</f>
        <v>0</v>
      </c>
      <c r="P1808" s="177"/>
      <c r="Q1808" s="177"/>
      <c r="R1808" s="177"/>
    </row>
    <row r="1809" spans="1:18" ht="30" hidden="1" x14ac:dyDescent="0.25">
      <c r="A1809" s="29" t="s">
        <v>1522</v>
      </c>
      <c r="B1809" s="29" t="s">
        <v>1521</v>
      </c>
      <c r="C1809" s="29" t="s">
        <v>493</v>
      </c>
      <c r="D1809" s="29" t="str">
        <f>VLOOKUP(C:C,'COUNT-CONT'!B:C,2,FALSE)</f>
        <v>Africa</v>
      </c>
      <c r="E1809" s="29">
        <v>10</v>
      </c>
      <c r="F1809" s="28">
        <v>2000</v>
      </c>
      <c r="G1809" s="28">
        <v>3060600000</v>
      </c>
      <c r="H1809" s="29">
        <v>12</v>
      </c>
      <c r="I1809" s="142">
        <v>-67.44</v>
      </c>
      <c r="J1809" s="29">
        <v>3.87</v>
      </c>
      <c r="K1809" s="29">
        <v>2.75</v>
      </c>
      <c r="L1809" s="29">
        <v>9.2200000000000006</v>
      </c>
      <c r="M1809" s="368"/>
      <c r="N1809" s="368"/>
      <c r="O1809" s="271">
        <f>IFERROR(Table17[[#This Row],[PROFIT]]/Table17[[#This Row],[TO]],0)</f>
        <v>0</v>
      </c>
      <c r="P1809" s="177"/>
      <c r="Q1809" s="177"/>
      <c r="R1809" s="177"/>
    </row>
    <row r="1810" spans="1:18" ht="30" hidden="1" x14ac:dyDescent="0.25">
      <c r="A1810" s="29" t="s">
        <v>1954</v>
      </c>
      <c r="B1810" s="29" t="s">
        <v>1953</v>
      </c>
      <c r="C1810" s="29" t="s">
        <v>860</v>
      </c>
      <c r="D1810" s="29" t="str">
        <f>VLOOKUP(C:C,'COUNT-CONT'!B:C,2,FALSE)</f>
        <v>South America</v>
      </c>
      <c r="E1810" s="29">
        <v>3</v>
      </c>
      <c r="F1810" s="28">
        <v>1506</v>
      </c>
      <c r="G1810" s="28">
        <v>3153511686</v>
      </c>
      <c r="H1810" s="29">
        <v>12</v>
      </c>
      <c r="I1810" s="142">
        <v>-67.44</v>
      </c>
      <c r="J1810" s="29">
        <v>4.75</v>
      </c>
      <c r="K1810" s="29">
        <v>3.93</v>
      </c>
      <c r="L1810" s="29">
        <v>10.37</v>
      </c>
      <c r="M1810" s="368"/>
      <c r="N1810" s="368"/>
      <c r="O1810" s="271">
        <f>IFERROR(Table17[[#This Row],[PROFIT]]/Table17[[#This Row],[TO]],0)</f>
        <v>0</v>
      </c>
      <c r="P1810" s="177"/>
      <c r="Q1810" s="177"/>
      <c r="R1810" s="177"/>
    </row>
    <row r="1811" spans="1:18" ht="30" hidden="1" x14ac:dyDescent="0.25">
      <c r="A1811" s="29" t="s">
        <v>3448</v>
      </c>
      <c r="B1811" s="29" t="s">
        <v>3447</v>
      </c>
      <c r="C1811" s="29" t="s">
        <v>11732</v>
      </c>
      <c r="D1811" s="29" t="str">
        <f>VLOOKUP(C:C,'COUNT-CONT'!B:C,2,FALSE)</f>
        <v>North America</v>
      </c>
      <c r="E1811" s="29">
        <v>4</v>
      </c>
      <c r="F1811" s="28">
        <v>1853</v>
      </c>
      <c r="G1811" s="28">
        <v>3981031948</v>
      </c>
      <c r="H1811" s="29">
        <v>12</v>
      </c>
      <c r="I1811" s="142">
        <v>-67.44</v>
      </c>
      <c r="J1811" s="29">
        <v>9.7899999999999991</v>
      </c>
      <c r="K1811" s="29">
        <v>9.7899999999999991</v>
      </c>
      <c r="L1811" s="29">
        <v>15.81</v>
      </c>
      <c r="M1811" s="368"/>
      <c r="N1811" s="368"/>
      <c r="O1811" s="271">
        <f>IFERROR(Table17[[#This Row],[PROFIT]]/Table17[[#This Row],[TO]],0)</f>
        <v>0</v>
      </c>
      <c r="P1811" s="177"/>
      <c r="Q1811" s="177"/>
      <c r="R1811" s="177"/>
    </row>
    <row r="1812" spans="1:18" hidden="1" x14ac:dyDescent="0.25">
      <c r="A1812" s="29" t="s">
        <v>1882</v>
      </c>
      <c r="B1812" s="29" t="s">
        <v>1881</v>
      </c>
      <c r="C1812" s="29" t="s">
        <v>14</v>
      </c>
      <c r="D1812" s="29" t="str">
        <f>VLOOKUP(C:C,'COUNT-CONT'!B:C,2,FALSE)</f>
        <v>Asia</v>
      </c>
      <c r="E1812" s="29">
        <v>10</v>
      </c>
      <c r="F1812" s="28">
        <v>4810</v>
      </c>
      <c r="G1812" s="28">
        <v>2954290228</v>
      </c>
      <c r="H1812" s="29">
        <v>12</v>
      </c>
      <c r="I1812" s="142">
        <v>-67.44</v>
      </c>
      <c r="J1812" s="29">
        <v>4.66</v>
      </c>
      <c r="K1812" s="29">
        <v>3.84</v>
      </c>
      <c r="L1812" s="29">
        <v>10.16</v>
      </c>
      <c r="M1812" s="368"/>
      <c r="N1812" s="368"/>
      <c r="O1812" s="271">
        <f>IFERROR(Table17[[#This Row],[PROFIT]]/Table17[[#This Row],[TO]],0)</f>
        <v>0</v>
      </c>
      <c r="P1812" s="177"/>
      <c r="Q1812" s="177"/>
      <c r="R1812" s="177"/>
    </row>
    <row r="1813" spans="1:18" hidden="1" x14ac:dyDescent="0.25">
      <c r="A1813" s="29" t="s">
        <v>2639</v>
      </c>
      <c r="B1813" s="29" t="s">
        <v>2638</v>
      </c>
      <c r="C1813" s="29" t="s">
        <v>807</v>
      </c>
      <c r="D1813" s="29" t="str">
        <f>VLOOKUP(C:C,'COUNT-CONT'!B:C,2,FALSE)</f>
        <v>Europe</v>
      </c>
      <c r="E1813" s="29">
        <v>7</v>
      </c>
      <c r="F1813" s="28">
        <v>2614</v>
      </c>
      <c r="G1813" s="28">
        <v>3343511017</v>
      </c>
      <c r="H1813" s="29">
        <v>12</v>
      </c>
      <c r="I1813" s="142">
        <v>-67.44</v>
      </c>
      <c r="J1813" s="29">
        <v>6.74</v>
      </c>
      <c r="K1813" s="29">
        <v>6.5</v>
      </c>
      <c r="L1813" s="29">
        <v>12.52</v>
      </c>
      <c r="M1813" s="368"/>
      <c r="N1813" s="368"/>
      <c r="O1813" s="271">
        <f>IFERROR(Table17[[#This Row],[PROFIT]]/Table17[[#This Row],[TO]],0)</f>
        <v>0</v>
      </c>
      <c r="P1813" s="177"/>
      <c r="Q1813" s="177"/>
      <c r="R1813" s="177"/>
    </row>
    <row r="1814" spans="1:18" hidden="1" x14ac:dyDescent="0.25">
      <c r="A1814" s="29" t="s">
        <v>1880</v>
      </c>
      <c r="B1814" s="29" t="s">
        <v>1879</v>
      </c>
      <c r="C1814" s="29" t="s">
        <v>505</v>
      </c>
      <c r="D1814" s="29" t="e">
        <f>VLOOKUP(C:C,'COUNT-CONT'!B:C,2,FALSE)</f>
        <v>#N/A</v>
      </c>
      <c r="E1814" s="29">
        <v>6</v>
      </c>
      <c r="F1814" s="28">
        <v>2505</v>
      </c>
      <c r="G1814" s="28">
        <v>2934721756</v>
      </c>
      <c r="H1814" s="29">
        <v>12</v>
      </c>
      <c r="I1814" s="142">
        <v>-67.44</v>
      </c>
      <c r="J1814" s="29">
        <v>4.66</v>
      </c>
      <c r="K1814" s="29">
        <v>3.84</v>
      </c>
      <c r="L1814" s="29">
        <v>10.16</v>
      </c>
      <c r="M1814" s="368"/>
      <c r="N1814" s="368"/>
      <c r="O1814" s="271">
        <f>IFERROR(Table17[[#This Row],[PROFIT]]/Table17[[#This Row],[TO]],0)</f>
        <v>0</v>
      </c>
      <c r="P1814" s="177"/>
      <c r="Q1814" s="177"/>
      <c r="R1814" s="177"/>
    </row>
    <row r="1815" spans="1:18" ht="30" hidden="1" x14ac:dyDescent="0.25">
      <c r="A1815" s="29" t="s">
        <v>1958</v>
      </c>
      <c r="B1815" s="29" t="s">
        <v>1957</v>
      </c>
      <c r="C1815" s="29" t="s">
        <v>860</v>
      </c>
      <c r="D1815" s="29" t="str">
        <f>VLOOKUP(C:C,'COUNT-CONT'!B:C,2,FALSE)</f>
        <v>South America</v>
      </c>
      <c r="E1815" s="29">
        <v>3</v>
      </c>
      <c r="F1815" s="28">
        <v>1629</v>
      </c>
      <c r="G1815" s="28">
        <v>3108960896</v>
      </c>
      <c r="H1815" s="29">
        <v>12</v>
      </c>
      <c r="I1815" s="142">
        <v>-67.44</v>
      </c>
      <c r="J1815" s="29">
        <v>4.75</v>
      </c>
      <c r="K1815" s="29">
        <v>3.93</v>
      </c>
      <c r="L1815" s="29">
        <v>10.37</v>
      </c>
      <c r="M1815" s="368"/>
      <c r="N1815" s="368"/>
      <c r="O1815" s="271">
        <f>IFERROR(Table17[[#This Row],[PROFIT]]/Table17[[#This Row],[TO]],0)</f>
        <v>0</v>
      </c>
      <c r="P1815" s="177"/>
      <c r="Q1815" s="177"/>
      <c r="R1815" s="177"/>
    </row>
    <row r="1816" spans="1:18" ht="30" hidden="1" x14ac:dyDescent="0.25">
      <c r="A1816" s="29" t="s">
        <v>2757</v>
      </c>
      <c r="B1816" s="29" t="s">
        <v>2756</v>
      </c>
      <c r="C1816" s="29" t="s">
        <v>308</v>
      </c>
      <c r="D1816" s="29" t="str">
        <f>VLOOKUP(C:C,'COUNT-CONT'!B:C,2,FALSE)</f>
        <v>Europe</v>
      </c>
      <c r="E1816" s="29">
        <v>4</v>
      </c>
      <c r="F1816" s="28">
        <v>2012</v>
      </c>
      <c r="G1816" s="28">
        <v>3476519681</v>
      </c>
      <c r="H1816" s="29">
        <v>11.97</v>
      </c>
      <c r="I1816" s="142">
        <v>-67.47</v>
      </c>
      <c r="J1816" s="29">
        <v>7.29</v>
      </c>
      <c r="K1816" s="29">
        <v>7.01</v>
      </c>
      <c r="L1816" s="29">
        <v>13.03</v>
      </c>
      <c r="M1816" s="368"/>
      <c r="N1816" s="368"/>
      <c r="O1816" s="271">
        <f>IFERROR(Table17[[#This Row],[PROFIT]]/Table17[[#This Row],[TO]],0)</f>
        <v>0</v>
      </c>
      <c r="P1816" s="177"/>
      <c r="Q1816" s="177"/>
      <c r="R1816" s="177"/>
    </row>
    <row r="1817" spans="1:18" hidden="1" x14ac:dyDescent="0.25">
      <c r="A1817" s="29" t="s">
        <v>940</v>
      </c>
      <c r="B1817" s="29" t="s">
        <v>939</v>
      </c>
      <c r="C1817" s="29" t="s">
        <v>938</v>
      </c>
      <c r="D1817" s="29" t="str">
        <f>VLOOKUP(C:C,'COUNT-CONT'!B:C,2,FALSE)</f>
        <v>Africa</v>
      </c>
      <c r="E1817" s="29">
        <v>2</v>
      </c>
      <c r="F1817" s="28">
        <v>1501</v>
      </c>
      <c r="G1817" s="28">
        <v>2969844770</v>
      </c>
      <c r="H1817" s="29">
        <v>11.97</v>
      </c>
      <c r="I1817" s="142">
        <v>-67.47</v>
      </c>
      <c r="J1817" s="29">
        <v>2.2400000000000002</v>
      </c>
      <c r="K1817" s="29">
        <v>0.88</v>
      </c>
      <c r="L1817" s="29">
        <v>7.5</v>
      </c>
      <c r="M1817" s="368"/>
      <c r="N1817" s="368"/>
      <c r="O1817" s="271">
        <f>IFERROR(Table17[[#This Row],[PROFIT]]/Table17[[#This Row],[TO]],0)</f>
        <v>0</v>
      </c>
      <c r="P1817" s="177"/>
      <c r="Q1817" s="177"/>
      <c r="R1817" s="177"/>
    </row>
    <row r="1818" spans="1:18" x14ac:dyDescent="0.25">
      <c r="A1818" s="29" t="s">
        <v>2692</v>
      </c>
      <c r="B1818" s="29" t="s">
        <v>2691</v>
      </c>
      <c r="C1818" s="29" t="s">
        <v>774</v>
      </c>
      <c r="D1818" s="29" t="str">
        <f>VLOOKUP(C:C,'COUNT-CONT'!B:C,2,FALSE)</f>
        <v>Oceania</v>
      </c>
      <c r="E1818" s="29">
        <v>9</v>
      </c>
      <c r="F1818" s="28">
        <v>3285</v>
      </c>
      <c r="G1818" s="28">
        <v>3327855403</v>
      </c>
      <c r="H1818" s="29">
        <v>11.94</v>
      </c>
      <c r="I1818" s="142">
        <v>-67.5</v>
      </c>
      <c r="J1818" s="29">
        <v>7.1</v>
      </c>
      <c r="K1818" s="29">
        <v>6.59</v>
      </c>
      <c r="L1818" s="29">
        <v>12.73</v>
      </c>
      <c r="M1818" s="368"/>
      <c r="N1818" s="368"/>
      <c r="O1818" s="271">
        <f>IFERROR(Table17[[#This Row],[PROFIT]]/Table17[[#This Row],[TO]],0)</f>
        <v>0</v>
      </c>
      <c r="P1818" s="177"/>
      <c r="Q1818" s="177"/>
      <c r="R1818" s="177"/>
    </row>
    <row r="1819" spans="1:18" ht="30" hidden="1" x14ac:dyDescent="0.25">
      <c r="A1819" s="29" t="s">
        <v>1509</v>
      </c>
      <c r="B1819" s="29" t="s">
        <v>1508</v>
      </c>
      <c r="C1819" s="29" t="s">
        <v>1144</v>
      </c>
      <c r="D1819" s="29" t="str">
        <f>VLOOKUP(C:C,'COUNT-CONT'!B:C,2,FALSE)</f>
        <v>South America</v>
      </c>
      <c r="E1819" s="29">
        <v>5</v>
      </c>
      <c r="F1819" s="28">
        <v>2103</v>
      </c>
      <c r="G1819" s="28">
        <v>2850662291</v>
      </c>
      <c r="H1819" s="29">
        <v>11.94</v>
      </c>
      <c r="I1819" s="142">
        <v>-67.5</v>
      </c>
      <c r="J1819" s="29">
        <v>3.84</v>
      </c>
      <c r="K1819" s="29">
        <v>2.75</v>
      </c>
      <c r="L1819" s="29">
        <v>9.19</v>
      </c>
      <c r="M1819" s="368"/>
      <c r="N1819" s="368"/>
      <c r="O1819" s="271">
        <f>IFERROR(Table17[[#This Row],[PROFIT]]/Table17[[#This Row],[TO]],0)</f>
        <v>0</v>
      </c>
      <c r="P1819" s="177"/>
      <c r="Q1819" s="177"/>
      <c r="R1819" s="177"/>
    </row>
    <row r="1820" spans="1:18" hidden="1" x14ac:dyDescent="0.25">
      <c r="A1820" s="29" t="s">
        <v>1773</v>
      </c>
      <c r="B1820" s="29" t="s">
        <v>1772</v>
      </c>
      <c r="C1820" s="29" t="s">
        <v>567</v>
      </c>
      <c r="D1820" s="29" t="str">
        <f>VLOOKUP(C:C,'COUNT-CONT'!B:C,2,FALSE)</f>
        <v>Asia</v>
      </c>
      <c r="E1820" s="29">
        <v>4</v>
      </c>
      <c r="F1820" s="28">
        <v>1803</v>
      </c>
      <c r="G1820" s="28">
        <v>3061094287</v>
      </c>
      <c r="H1820" s="29">
        <v>11.94</v>
      </c>
      <c r="I1820" s="142">
        <v>-67.5</v>
      </c>
      <c r="J1820" s="29">
        <v>4.29</v>
      </c>
      <c r="K1820" s="29">
        <v>3.51</v>
      </c>
      <c r="L1820" s="29">
        <v>9.7899999999999991</v>
      </c>
      <c r="M1820" s="368"/>
      <c r="N1820" s="368"/>
      <c r="O1820" s="271">
        <f>IFERROR(Table17[[#This Row],[PROFIT]]/Table17[[#This Row],[TO]],0)</f>
        <v>0</v>
      </c>
      <c r="P1820" s="177"/>
      <c r="Q1820" s="177"/>
      <c r="R1820" s="177"/>
    </row>
    <row r="1821" spans="1:18" hidden="1" x14ac:dyDescent="0.25">
      <c r="A1821" s="29" t="s">
        <v>2746</v>
      </c>
      <c r="B1821" s="29" t="s">
        <v>2745</v>
      </c>
      <c r="C1821" s="29" t="s">
        <v>1427</v>
      </c>
      <c r="D1821" s="29" t="str">
        <f>VLOOKUP(C:C,'COUNT-CONT'!B:C,2,FALSE)</f>
        <v>Europe</v>
      </c>
      <c r="E1821" s="29">
        <v>6</v>
      </c>
      <c r="F1821" s="28">
        <v>2514</v>
      </c>
      <c r="G1821" s="28">
        <v>3395949721</v>
      </c>
      <c r="H1821" s="29">
        <v>11.94</v>
      </c>
      <c r="I1821" s="142">
        <v>-67.5</v>
      </c>
      <c r="J1821" s="29">
        <v>7.26</v>
      </c>
      <c r="K1821" s="29">
        <v>6.74</v>
      </c>
      <c r="L1821" s="29">
        <v>12.97</v>
      </c>
      <c r="M1821" s="368"/>
      <c r="N1821" s="368"/>
      <c r="O1821" s="271">
        <f>IFERROR(Table17[[#This Row],[PROFIT]]/Table17[[#This Row],[TO]],0)</f>
        <v>0</v>
      </c>
      <c r="P1821" s="177"/>
      <c r="Q1821" s="177"/>
      <c r="R1821" s="177"/>
    </row>
    <row r="1822" spans="1:18" ht="30" hidden="1" x14ac:dyDescent="0.25">
      <c r="A1822" s="29" t="s">
        <v>3421</v>
      </c>
      <c r="B1822" s="29" t="s">
        <v>3420</v>
      </c>
      <c r="C1822" s="29" t="s">
        <v>11732</v>
      </c>
      <c r="D1822" s="29" t="str">
        <f>VLOOKUP(C:C,'COUNT-CONT'!B:C,2,FALSE)</f>
        <v>North America</v>
      </c>
      <c r="E1822" s="29">
        <v>5</v>
      </c>
      <c r="F1822" s="28">
        <v>2037</v>
      </c>
      <c r="G1822" s="28">
        <v>3931209818</v>
      </c>
      <c r="H1822" s="29">
        <v>11.94</v>
      </c>
      <c r="I1822" s="142">
        <v>-67.5</v>
      </c>
      <c r="J1822" s="29">
        <v>9.73</v>
      </c>
      <c r="K1822" s="29">
        <v>9.73</v>
      </c>
      <c r="L1822" s="29">
        <v>15.72</v>
      </c>
      <c r="M1822" s="368"/>
      <c r="N1822" s="368"/>
      <c r="O1822" s="271">
        <f>IFERROR(Table17[[#This Row],[PROFIT]]/Table17[[#This Row],[TO]],0)</f>
        <v>0</v>
      </c>
      <c r="P1822" s="177"/>
      <c r="Q1822" s="177"/>
      <c r="R1822" s="177"/>
    </row>
    <row r="1823" spans="1:18" ht="30" hidden="1" x14ac:dyDescent="0.25">
      <c r="A1823" s="29" t="s">
        <v>3433</v>
      </c>
      <c r="B1823" s="29" t="s">
        <v>3432</v>
      </c>
      <c r="C1823" s="29" t="s">
        <v>11732</v>
      </c>
      <c r="D1823" s="29" t="str">
        <f>VLOOKUP(C:C,'COUNT-CONT'!B:C,2,FALSE)</f>
        <v>North America</v>
      </c>
      <c r="E1823" s="29">
        <v>9</v>
      </c>
      <c r="F1823" s="28">
        <v>3239</v>
      </c>
      <c r="G1823" s="28">
        <v>3852810991</v>
      </c>
      <c r="H1823" s="29">
        <v>11.94</v>
      </c>
      <c r="I1823" s="142">
        <v>-67.5</v>
      </c>
      <c r="J1823" s="29">
        <v>9.76</v>
      </c>
      <c r="K1823" s="29">
        <v>9.76</v>
      </c>
      <c r="L1823" s="29">
        <v>15.75</v>
      </c>
      <c r="M1823" s="368"/>
      <c r="N1823" s="368"/>
      <c r="O1823" s="271">
        <f>IFERROR(Table17[[#This Row],[PROFIT]]/Table17[[#This Row],[TO]],0)</f>
        <v>0</v>
      </c>
      <c r="P1823" s="177"/>
      <c r="Q1823" s="177"/>
      <c r="R1823" s="177"/>
    </row>
    <row r="1824" spans="1:18" hidden="1" x14ac:dyDescent="0.25">
      <c r="A1824" s="29" t="s">
        <v>1775</v>
      </c>
      <c r="B1824" s="29" t="s">
        <v>1774</v>
      </c>
      <c r="C1824" s="29" t="s">
        <v>722</v>
      </c>
      <c r="D1824" s="29" t="str">
        <f>VLOOKUP(C:C,'COUNT-CONT'!B:C,2,FALSE)</f>
        <v>Europe</v>
      </c>
      <c r="E1824" s="29">
        <v>7</v>
      </c>
      <c r="F1824" s="28">
        <v>2507</v>
      </c>
      <c r="G1824" s="28">
        <v>2886571439</v>
      </c>
      <c r="H1824" s="29">
        <v>11.94</v>
      </c>
      <c r="I1824" s="142">
        <v>-67.5</v>
      </c>
      <c r="J1824" s="29">
        <v>4.29</v>
      </c>
      <c r="K1824" s="29">
        <v>3.51</v>
      </c>
      <c r="L1824" s="29">
        <v>9.7899999999999991</v>
      </c>
      <c r="M1824" s="368"/>
      <c r="N1824" s="368"/>
      <c r="O1824" s="271">
        <f>IFERROR(Table17[[#This Row],[PROFIT]]/Table17[[#This Row],[TO]],0)</f>
        <v>0</v>
      </c>
      <c r="P1824" s="177"/>
      <c r="Q1824" s="177"/>
      <c r="R1824" s="177"/>
    </row>
    <row r="1825" spans="1:18" hidden="1" x14ac:dyDescent="0.25">
      <c r="A1825" s="29" t="s">
        <v>2260</v>
      </c>
      <c r="B1825" s="29" t="s">
        <v>2259</v>
      </c>
      <c r="C1825" s="29" t="s">
        <v>733</v>
      </c>
      <c r="D1825" s="29" t="str">
        <f>VLOOKUP(C:C,'COUNT-CONT'!B:C,2,FALSE)</f>
        <v>Europe</v>
      </c>
      <c r="E1825" s="29">
        <v>4</v>
      </c>
      <c r="F1825" s="28">
        <v>1806</v>
      </c>
      <c r="G1825" s="28">
        <v>3225280841</v>
      </c>
      <c r="H1825" s="29">
        <v>11.94</v>
      </c>
      <c r="I1825" s="142">
        <v>-67.5</v>
      </c>
      <c r="J1825" s="29">
        <v>5.62</v>
      </c>
      <c r="K1825" s="29">
        <v>5.17</v>
      </c>
      <c r="L1825" s="29">
        <v>11.28</v>
      </c>
      <c r="M1825" s="368"/>
      <c r="N1825" s="368"/>
      <c r="O1825" s="271">
        <f>IFERROR(Table17[[#This Row],[PROFIT]]/Table17[[#This Row],[TO]],0)</f>
        <v>0</v>
      </c>
      <c r="P1825" s="177"/>
      <c r="Q1825" s="177"/>
      <c r="R1825" s="177"/>
    </row>
    <row r="1826" spans="1:18" hidden="1" x14ac:dyDescent="0.25">
      <c r="A1826" s="29" t="s">
        <v>1180</v>
      </c>
      <c r="B1826" s="29" t="s">
        <v>1179</v>
      </c>
      <c r="C1826" s="29" t="s">
        <v>1070</v>
      </c>
      <c r="D1826" s="29" t="str">
        <f>VLOOKUP(C:C,'COUNT-CONT'!B:C,2,FALSE)</f>
        <v>Asia</v>
      </c>
      <c r="E1826" s="29">
        <v>6</v>
      </c>
      <c r="F1826" s="28">
        <v>2474</v>
      </c>
      <c r="G1826" s="28">
        <v>2748424090</v>
      </c>
      <c r="H1826" s="29">
        <v>11.91</v>
      </c>
      <c r="I1826" s="142">
        <v>-67.53</v>
      </c>
      <c r="J1826" s="29">
        <v>2.75</v>
      </c>
      <c r="K1826" s="29">
        <v>1.78</v>
      </c>
      <c r="L1826" s="29">
        <v>8.16</v>
      </c>
      <c r="M1826" s="368"/>
      <c r="N1826" s="368"/>
      <c r="O1826" s="271">
        <f>IFERROR(Table17[[#This Row],[PROFIT]]/Table17[[#This Row],[TO]],0)</f>
        <v>0</v>
      </c>
      <c r="P1826" s="177"/>
      <c r="Q1826" s="177"/>
      <c r="R1826" s="177"/>
    </row>
    <row r="1827" spans="1:18" ht="30" hidden="1" x14ac:dyDescent="0.25">
      <c r="A1827" s="29" t="s">
        <v>1503</v>
      </c>
      <c r="B1827" s="29" t="s">
        <v>1502</v>
      </c>
      <c r="C1827" s="29" t="s">
        <v>493</v>
      </c>
      <c r="D1827" s="29" t="str">
        <f>VLOOKUP(C:C,'COUNT-CONT'!B:C,2,FALSE)</f>
        <v>Africa</v>
      </c>
      <c r="E1827" s="29">
        <v>3</v>
      </c>
      <c r="F1827" s="28">
        <v>2000</v>
      </c>
      <c r="G1827" s="28">
        <v>2839600000</v>
      </c>
      <c r="H1827" s="29">
        <v>11.88</v>
      </c>
      <c r="I1827" s="142">
        <v>-67.56</v>
      </c>
      <c r="J1827" s="29">
        <v>3.84</v>
      </c>
      <c r="K1827" s="29">
        <v>2.72</v>
      </c>
      <c r="L1827" s="29">
        <v>9.1300000000000008</v>
      </c>
      <c r="M1827" s="368"/>
      <c r="N1827" s="368"/>
      <c r="O1827" s="271">
        <f>IFERROR(Table17[[#This Row],[PROFIT]]/Table17[[#This Row],[TO]],0)</f>
        <v>0</v>
      </c>
      <c r="P1827" s="177"/>
      <c r="Q1827" s="177"/>
      <c r="R1827" s="177"/>
    </row>
    <row r="1828" spans="1:18" x14ac:dyDescent="0.25">
      <c r="A1828" s="29" t="s">
        <v>2667</v>
      </c>
      <c r="B1828" s="29" t="s">
        <v>2666</v>
      </c>
      <c r="C1828" s="29" t="s">
        <v>774</v>
      </c>
      <c r="D1828" s="29" t="str">
        <f>VLOOKUP(C:C,'COUNT-CONT'!B:C,2,FALSE)</f>
        <v>Oceania</v>
      </c>
      <c r="E1828" s="29">
        <v>3</v>
      </c>
      <c r="F1828" s="28">
        <v>1544</v>
      </c>
      <c r="G1828" s="28">
        <v>3544435233</v>
      </c>
      <c r="H1828" s="29">
        <v>11.88</v>
      </c>
      <c r="I1828" s="142">
        <v>-67.56</v>
      </c>
      <c r="J1828" s="29">
        <v>7.07</v>
      </c>
      <c r="K1828" s="29">
        <v>6.56</v>
      </c>
      <c r="L1828" s="29">
        <v>12.64</v>
      </c>
      <c r="M1828" s="368"/>
      <c r="N1828" s="368"/>
      <c r="O1828" s="271">
        <f>IFERROR(Table17[[#This Row],[PROFIT]]/Table17[[#This Row],[TO]],0)</f>
        <v>0</v>
      </c>
      <c r="P1828" s="177"/>
      <c r="Q1828" s="177"/>
      <c r="R1828" s="177"/>
    </row>
    <row r="1829" spans="1:18" ht="30" hidden="1" x14ac:dyDescent="0.25">
      <c r="A1829" s="29" t="s">
        <v>1840</v>
      </c>
      <c r="B1829" s="29" t="s">
        <v>1839</v>
      </c>
      <c r="C1829" s="29" t="s">
        <v>517</v>
      </c>
      <c r="D1829" s="29" t="str">
        <f>VLOOKUP(C:C,'COUNT-CONT'!B:C,2,FALSE)</f>
        <v>South America</v>
      </c>
      <c r="E1829" s="29">
        <v>5</v>
      </c>
      <c r="F1829" s="28">
        <v>2114</v>
      </c>
      <c r="G1829" s="28">
        <v>2965740586</v>
      </c>
      <c r="H1829" s="29">
        <v>11.88</v>
      </c>
      <c r="I1829" s="142">
        <v>-67.56</v>
      </c>
      <c r="J1829" s="29">
        <v>4.63</v>
      </c>
      <c r="K1829" s="29">
        <v>3.81</v>
      </c>
      <c r="L1829" s="29">
        <v>10.07</v>
      </c>
      <c r="M1829" s="368"/>
      <c r="N1829" s="368"/>
      <c r="O1829" s="271">
        <f>IFERROR(Table17[[#This Row],[PROFIT]]/Table17[[#This Row],[TO]],0)</f>
        <v>0</v>
      </c>
      <c r="P1829" s="177"/>
      <c r="Q1829" s="177"/>
      <c r="R1829" s="177"/>
    </row>
    <row r="1830" spans="1:18" ht="30" hidden="1" x14ac:dyDescent="0.25">
      <c r="A1830" s="29" t="s">
        <v>2876</v>
      </c>
      <c r="B1830" s="29" t="s">
        <v>2875</v>
      </c>
      <c r="C1830" s="29" t="s">
        <v>514</v>
      </c>
      <c r="D1830" s="29" t="str">
        <f>VLOOKUP(C:C,'COUNT-CONT'!B:C,2,FALSE)</f>
        <v>North America</v>
      </c>
      <c r="E1830" s="29">
        <v>6</v>
      </c>
      <c r="F1830" s="28">
        <v>2300</v>
      </c>
      <c r="G1830" s="28">
        <v>3500560869</v>
      </c>
      <c r="H1830" s="29">
        <v>11.88</v>
      </c>
      <c r="I1830" s="142">
        <v>-67.56</v>
      </c>
      <c r="J1830" s="29">
        <v>7.83</v>
      </c>
      <c r="K1830" s="29">
        <v>7.56</v>
      </c>
      <c r="L1830" s="29">
        <v>13.51</v>
      </c>
      <c r="M1830" s="368"/>
      <c r="N1830" s="368"/>
      <c r="O1830" s="271">
        <f>IFERROR(Table17[[#This Row],[PROFIT]]/Table17[[#This Row],[TO]],0)</f>
        <v>0</v>
      </c>
      <c r="P1830" s="177"/>
      <c r="Q1830" s="177"/>
      <c r="R1830" s="177"/>
    </row>
    <row r="1831" spans="1:18" hidden="1" x14ac:dyDescent="0.25">
      <c r="A1831" s="29" t="s">
        <v>1834</v>
      </c>
      <c r="B1831" s="29" t="s">
        <v>1833</v>
      </c>
      <c r="C1831" s="29" t="s">
        <v>505</v>
      </c>
      <c r="D1831" s="29" t="e">
        <f>VLOOKUP(C:C,'COUNT-CONT'!B:C,2,FALSE)</f>
        <v>#N/A</v>
      </c>
      <c r="E1831" s="29">
        <v>4</v>
      </c>
      <c r="F1831" s="28">
        <v>1804</v>
      </c>
      <c r="G1831" s="28">
        <v>3020956097</v>
      </c>
      <c r="H1831" s="29">
        <v>11.85</v>
      </c>
      <c r="I1831" s="142">
        <v>-67.59</v>
      </c>
      <c r="J1831" s="29">
        <v>4.63</v>
      </c>
      <c r="K1831" s="29">
        <v>3.81</v>
      </c>
      <c r="L1831" s="29">
        <v>10.07</v>
      </c>
      <c r="M1831" s="368"/>
      <c r="N1831" s="368"/>
      <c r="O1831" s="271">
        <f>IFERROR(Table17[[#This Row],[PROFIT]]/Table17[[#This Row],[TO]],0)</f>
        <v>0</v>
      </c>
      <c r="P1831" s="177"/>
      <c r="Q1831" s="177"/>
      <c r="R1831" s="177"/>
    </row>
    <row r="1832" spans="1:18" hidden="1" x14ac:dyDescent="0.25">
      <c r="A1832" s="29" t="s">
        <v>2370</v>
      </c>
      <c r="B1832" s="29" t="s">
        <v>2369</v>
      </c>
      <c r="C1832" s="29" t="s">
        <v>1216</v>
      </c>
      <c r="D1832" s="29" t="str">
        <f>VLOOKUP(C:C,'COUNT-CONT'!B:C,2,FALSE)</f>
        <v>Asia</v>
      </c>
      <c r="E1832" s="29">
        <v>2</v>
      </c>
      <c r="F1832" s="28">
        <v>1323</v>
      </c>
      <c r="G1832" s="28">
        <v>3475843688</v>
      </c>
      <c r="H1832" s="29">
        <v>11.85</v>
      </c>
      <c r="I1832" s="142">
        <v>-67.59</v>
      </c>
      <c r="J1832" s="29">
        <v>6.02</v>
      </c>
      <c r="K1832" s="29">
        <v>5.56</v>
      </c>
      <c r="L1832" s="29">
        <v>11.61</v>
      </c>
      <c r="M1832" s="368"/>
      <c r="N1832" s="368"/>
      <c r="O1832" s="271">
        <f>IFERROR(Table17[[#This Row],[PROFIT]]/Table17[[#This Row],[TO]],0)</f>
        <v>0</v>
      </c>
      <c r="P1832" s="177"/>
      <c r="Q1832" s="177"/>
      <c r="R1832" s="177"/>
    </row>
    <row r="1833" spans="1:18" ht="30" hidden="1" x14ac:dyDescent="0.25">
      <c r="A1833" s="29" t="s">
        <v>3392</v>
      </c>
      <c r="B1833" s="29" t="s">
        <v>3391</v>
      </c>
      <c r="C1833" s="29" t="s">
        <v>11732</v>
      </c>
      <c r="D1833" s="29" t="str">
        <f>VLOOKUP(C:C,'COUNT-CONT'!B:C,2,FALSE)</f>
        <v>North America</v>
      </c>
      <c r="E1833" s="29">
        <v>6</v>
      </c>
      <c r="F1833" s="28">
        <v>2313</v>
      </c>
      <c r="G1833" s="28">
        <v>3882972849</v>
      </c>
      <c r="H1833" s="29">
        <v>11.85</v>
      </c>
      <c r="I1833" s="142">
        <v>-67.59</v>
      </c>
      <c r="J1833" s="29">
        <v>9.67</v>
      </c>
      <c r="K1833" s="29">
        <v>9.67</v>
      </c>
      <c r="L1833" s="29">
        <v>15.63</v>
      </c>
      <c r="M1833" s="368"/>
      <c r="N1833" s="368"/>
      <c r="O1833" s="271">
        <f>IFERROR(Table17[[#This Row],[PROFIT]]/Table17[[#This Row],[TO]],0)</f>
        <v>0</v>
      </c>
      <c r="P1833" s="177"/>
      <c r="Q1833" s="177"/>
      <c r="R1833" s="177"/>
    </row>
    <row r="1834" spans="1:18" hidden="1" x14ac:dyDescent="0.25">
      <c r="A1834" s="29" t="s">
        <v>1734</v>
      </c>
      <c r="B1834" s="29" t="s">
        <v>1733</v>
      </c>
      <c r="C1834" s="29" t="s">
        <v>717</v>
      </c>
      <c r="D1834" s="29" t="str">
        <f>VLOOKUP(C:C,'COUNT-CONT'!B:C,2,FALSE)</f>
        <v>Asia</v>
      </c>
      <c r="E1834" s="29">
        <v>4</v>
      </c>
      <c r="F1834" s="28">
        <v>1868</v>
      </c>
      <c r="G1834" s="28">
        <v>2961765096</v>
      </c>
      <c r="H1834" s="29">
        <v>11.85</v>
      </c>
      <c r="I1834" s="142">
        <v>-67.59</v>
      </c>
      <c r="J1834" s="29">
        <v>4.26</v>
      </c>
      <c r="K1834" s="29">
        <v>3.48</v>
      </c>
      <c r="L1834" s="29">
        <v>9.6999999999999993</v>
      </c>
      <c r="M1834" s="368"/>
      <c r="N1834" s="368"/>
      <c r="O1834" s="271">
        <f>IFERROR(Table17[[#This Row],[PROFIT]]/Table17[[#This Row],[TO]],0)</f>
        <v>0</v>
      </c>
      <c r="P1834" s="177"/>
      <c r="Q1834" s="177"/>
      <c r="R1834" s="177"/>
    </row>
    <row r="1835" spans="1:18" ht="30" hidden="1" x14ac:dyDescent="0.25">
      <c r="A1835" s="29" t="s">
        <v>1828</v>
      </c>
      <c r="B1835" s="29" t="s">
        <v>1827</v>
      </c>
      <c r="C1835" s="29" t="s">
        <v>505</v>
      </c>
      <c r="D1835" s="29" t="e">
        <f>VLOOKUP(C:C,'COUNT-CONT'!B:C,2,FALSE)</f>
        <v>#N/A</v>
      </c>
      <c r="E1835" s="29">
        <v>8</v>
      </c>
      <c r="F1835" s="28">
        <v>2806</v>
      </c>
      <c r="G1835" s="28">
        <v>2900017106</v>
      </c>
      <c r="H1835" s="29">
        <v>11.82</v>
      </c>
      <c r="I1835" s="142">
        <v>-67.62</v>
      </c>
      <c r="J1835" s="29">
        <v>4.59</v>
      </c>
      <c r="K1835" s="29">
        <v>3.81</v>
      </c>
      <c r="L1835" s="29">
        <v>10.039999999999999</v>
      </c>
      <c r="M1835" s="368"/>
      <c r="N1835" s="368"/>
      <c r="O1835" s="271">
        <f>IFERROR(Table17[[#This Row],[PROFIT]]/Table17[[#This Row],[TO]],0)</f>
        <v>0</v>
      </c>
      <c r="P1835" s="177"/>
      <c r="Q1835" s="177"/>
      <c r="R1835" s="177"/>
    </row>
    <row r="1836" spans="1:18" hidden="1" x14ac:dyDescent="0.25">
      <c r="A1836" s="29" t="s">
        <v>1491</v>
      </c>
      <c r="B1836" s="29" t="s">
        <v>1490</v>
      </c>
      <c r="C1836" s="29" t="s">
        <v>493</v>
      </c>
      <c r="D1836" s="29" t="str">
        <f>VLOOKUP(C:C,'COUNT-CONT'!B:C,2,FALSE)</f>
        <v>Africa</v>
      </c>
      <c r="E1836" s="29">
        <v>6</v>
      </c>
      <c r="F1836" s="28">
        <v>2000</v>
      </c>
      <c r="G1836" s="28">
        <v>2908200000</v>
      </c>
      <c r="H1836" s="29">
        <v>11.82</v>
      </c>
      <c r="I1836" s="142">
        <v>-67.62</v>
      </c>
      <c r="J1836" s="29">
        <v>3.81</v>
      </c>
      <c r="K1836" s="29">
        <v>2.72</v>
      </c>
      <c r="L1836" s="29">
        <v>9.1</v>
      </c>
      <c r="M1836" s="368"/>
      <c r="N1836" s="368"/>
      <c r="O1836" s="271">
        <f>IFERROR(Table17[[#This Row],[PROFIT]]/Table17[[#This Row],[TO]],0)</f>
        <v>0</v>
      </c>
      <c r="P1836" s="177"/>
      <c r="Q1836" s="177"/>
      <c r="R1836" s="177"/>
    </row>
    <row r="1837" spans="1:18" hidden="1" x14ac:dyDescent="0.25">
      <c r="A1837" s="29" t="s">
        <v>880</v>
      </c>
      <c r="B1837" s="29" t="s">
        <v>879</v>
      </c>
      <c r="C1837" s="29" t="s">
        <v>511</v>
      </c>
      <c r="D1837" s="29" t="e">
        <f>VLOOKUP(C:C,'COUNT-CONT'!B:C,2,FALSE)</f>
        <v>#N/A</v>
      </c>
      <c r="E1837" s="29">
        <v>7</v>
      </c>
      <c r="F1837" s="28">
        <v>2752</v>
      </c>
      <c r="G1837" s="28">
        <v>2751109302</v>
      </c>
      <c r="H1837" s="29">
        <v>11.82</v>
      </c>
      <c r="I1837" s="142">
        <v>-67.62</v>
      </c>
      <c r="J1837" s="29">
        <v>2.0299999999999998</v>
      </c>
      <c r="K1837" s="29">
        <v>0.85</v>
      </c>
      <c r="L1837" s="29">
        <v>7.29</v>
      </c>
      <c r="M1837" s="368"/>
      <c r="N1837" s="368"/>
      <c r="O1837" s="271">
        <f>IFERROR(Table17[[#This Row],[PROFIT]]/Table17[[#This Row],[TO]],0)</f>
        <v>0</v>
      </c>
      <c r="P1837" s="177"/>
      <c r="Q1837" s="177"/>
      <c r="R1837" s="177"/>
    </row>
    <row r="1838" spans="1:18" x14ac:dyDescent="0.25">
      <c r="A1838" s="29" t="s">
        <v>2655</v>
      </c>
      <c r="B1838" s="29" t="s">
        <v>2654</v>
      </c>
      <c r="C1838" s="29" t="s">
        <v>774</v>
      </c>
      <c r="D1838" s="29" t="str">
        <f>VLOOKUP(C:C,'COUNT-CONT'!B:C,2,FALSE)</f>
        <v>Oceania</v>
      </c>
      <c r="E1838" s="29">
        <v>2</v>
      </c>
      <c r="F1838" s="28">
        <v>1394</v>
      </c>
      <c r="G1838" s="28">
        <v>3601796126</v>
      </c>
      <c r="H1838" s="29">
        <v>11.82</v>
      </c>
      <c r="I1838" s="142">
        <v>-67.62</v>
      </c>
      <c r="J1838" s="29">
        <v>7.04</v>
      </c>
      <c r="K1838" s="29">
        <v>6.53</v>
      </c>
      <c r="L1838" s="29">
        <v>12.61</v>
      </c>
      <c r="M1838" s="368"/>
      <c r="N1838" s="368"/>
      <c r="O1838" s="271">
        <f>IFERROR(Table17[[#This Row],[PROFIT]]/Table17[[#This Row],[TO]],0)</f>
        <v>0</v>
      </c>
      <c r="P1838" s="177"/>
      <c r="Q1838" s="177"/>
      <c r="R1838" s="177"/>
    </row>
    <row r="1839" spans="1:18" hidden="1" x14ac:dyDescent="0.25">
      <c r="A1839" s="29" t="s">
        <v>2581</v>
      </c>
      <c r="B1839" s="29" t="s">
        <v>2580</v>
      </c>
      <c r="C1839" s="29" t="s">
        <v>807</v>
      </c>
      <c r="D1839" s="29" t="str">
        <f>VLOOKUP(C:C,'COUNT-CONT'!B:C,2,FALSE)</f>
        <v>Europe</v>
      </c>
      <c r="E1839" s="29">
        <v>6</v>
      </c>
      <c r="F1839" s="28">
        <v>2511</v>
      </c>
      <c r="G1839" s="28">
        <v>3321872481</v>
      </c>
      <c r="H1839" s="29">
        <v>11.79</v>
      </c>
      <c r="I1839" s="142">
        <v>-67.650000000000006</v>
      </c>
      <c r="J1839" s="29">
        <v>6.62</v>
      </c>
      <c r="K1839" s="29">
        <v>6.38</v>
      </c>
      <c r="L1839" s="29">
        <v>12.3</v>
      </c>
      <c r="M1839" s="368"/>
      <c r="N1839" s="368"/>
      <c r="O1839" s="271">
        <f>IFERROR(Table17[[#This Row],[PROFIT]]/Table17[[#This Row],[TO]],0)</f>
        <v>0</v>
      </c>
      <c r="P1839" s="177"/>
      <c r="Q1839" s="177"/>
      <c r="R1839" s="177"/>
    </row>
    <row r="1840" spans="1:18" x14ac:dyDescent="0.25">
      <c r="A1840" s="29" t="s">
        <v>2211</v>
      </c>
      <c r="B1840" s="29" t="s">
        <v>2210</v>
      </c>
      <c r="C1840" s="29" t="s">
        <v>730</v>
      </c>
      <c r="D1840" s="29" t="str">
        <f>VLOOKUP(C:C,'COUNT-CONT'!B:C,2,FALSE)</f>
        <v>Oceania</v>
      </c>
      <c r="E1840" s="29">
        <v>1</v>
      </c>
      <c r="F1840" s="28">
        <v>1194</v>
      </c>
      <c r="G1840" s="28">
        <v>3517273031</v>
      </c>
      <c r="H1840" s="29">
        <v>11.79</v>
      </c>
      <c r="I1840" s="142">
        <v>-67.650000000000006</v>
      </c>
      <c r="J1840" s="29">
        <v>5.56</v>
      </c>
      <c r="K1840" s="29">
        <v>4.87</v>
      </c>
      <c r="L1840" s="29">
        <v>11.12</v>
      </c>
      <c r="M1840" s="368"/>
      <c r="N1840" s="368"/>
      <c r="O1840" s="271">
        <f>IFERROR(Table17[[#This Row],[PROFIT]]/Table17[[#This Row],[TO]],0)</f>
        <v>0</v>
      </c>
      <c r="P1840" s="177"/>
      <c r="Q1840" s="177"/>
      <c r="R1840" s="177"/>
    </row>
    <row r="1841" spans="1:18" ht="30" hidden="1" x14ac:dyDescent="0.25">
      <c r="A1841" s="29" t="s">
        <v>3356</v>
      </c>
      <c r="B1841" s="29" t="s">
        <v>3355</v>
      </c>
      <c r="C1841" s="29" t="s">
        <v>11732</v>
      </c>
      <c r="D1841" s="29" t="str">
        <f>VLOOKUP(C:C,'COUNT-CONT'!B:C,2,FALSE)</f>
        <v>North America</v>
      </c>
      <c r="E1841" s="29">
        <v>7</v>
      </c>
      <c r="F1841" s="28">
        <v>2782</v>
      </c>
      <c r="G1841" s="28">
        <v>3834798993</v>
      </c>
      <c r="H1841" s="29">
        <v>11.79</v>
      </c>
      <c r="I1841" s="142">
        <v>-67.650000000000006</v>
      </c>
      <c r="J1841" s="29">
        <v>9.61</v>
      </c>
      <c r="K1841" s="29">
        <v>9.61</v>
      </c>
      <c r="L1841" s="29">
        <v>15.51</v>
      </c>
      <c r="M1841" s="368"/>
      <c r="N1841" s="368"/>
      <c r="O1841" s="271">
        <f>IFERROR(Table17[[#This Row],[PROFIT]]/Table17[[#This Row],[TO]],0)</f>
        <v>0</v>
      </c>
      <c r="P1841" s="177"/>
      <c r="Q1841" s="177"/>
      <c r="R1841" s="177"/>
    </row>
    <row r="1842" spans="1:18" hidden="1" x14ac:dyDescent="0.25">
      <c r="A1842" s="29" t="s">
        <v>2213</v>
      </c>
      <c r="B1842" s="29" t="s">
        <v>2212</v>
      </c>
      <c r="C1842" s="29" t="s">
        <v>630</v>
      </c>
      <c r="D1842" s="29" t="str">
        <f>VLOOKUP(C:C,'COUNT-CONT'!B:C,2,FALSE)</f>
        <v>Europe</v>
      </c>
      <c r="E1842" s="29">
        <v>1</v>
      </c>
      <c r="F1842" s="28">
        <v>1203</v>
      </c>
      <c r="G1842" s="28">
        <v>3512880714</v>
      </c>
      <c r="H1842" s="29">
        <v>11.79</v>
      </c>
      <c r="I1842" s="142">
        <v>-67.650000000000006</v>
      </c>
      <c r="J1842" s="29">
        <v>5.56</v>
      </c>
      <c r="K1842" s="29">
        <v>4.9000000000000004</v>
      </c>
      <c r="L1842" s="29">
        <v>11.12</v>
      </c>
      <c r="M1842" s="368"/>
      <c r="N1842" s="368"/>
      <c r="O1842" s="271">
        <f>IFERROR(Table17[[#This Row],[PROFIT]]/Table17[[#This Row],[TO]],0)</f>
        <v>0</v>
      </c>
      <c r="P1842" s="177"/>
      <c r="Q1842" s="177"/>
      <c r="R1842" s="177"/>
    </row>
    <row r="1843" spans="1:18" hidden="1" x14ac:dyDescent="0.25">
      <c r="A1843" s="29" t="s">
        <v>1714</v>
      </c>
      <c r="B1843" s="29" t="s">
        <v>1713</v>
      </c>
      <c r="C1843" s="29" t="s">
        <v>717</v>
      </c>
      <c r="D1843" s="29" t="str">
        <f>VLOOKUP(C:C,'COUNT-CONT'!B:C,2,FALSE)</f>
        <v>Asia</v>
      </c>
      <c r="E1843" s="29">
        <v>5</v>
      </c>
      <c r="F1843" s="28">
        <v>2104</v>
      </c>
      <c r="G1843" s="28">
        <v>2909613688</v>
      </c>
      <c r="H1843" s="29">
        <v>11.76</v>
      </c>
      <c r="I1843" s="142">
        <v>-67.679999999999993</v>
      </c>
      <c r="J1843" s="29">
        <v>4.2300000000000004</v>
      </c>
      <c r="K1843" s="29">
        <v>3.45</v>
      </c>
      <c r="L1843" s="29">
        <v>9.64</v>
      </c>
      <c r="M1843" s="368"/>
      <c r="N1843" s="368"/>
      <c r="O1843" s="271">
        <f>IFERROR(Table17[[#This Row],[PROFIT]]/Table17[[#This Row],[TO]],0)</f>
        <v>0</v>
      </c>
      <c r="P1843" s="177"/>
      <c r="Q1843" s="177"/>
      <c r="R1843" s="177"/>
    </row>
    <row r="1844" spans="1:18" hidden="1" x14ac:dyDescent="0.25">
      <c r="A1844" s="29" t="s">
        <v>1150</v>
      </c>
      <c r="B1844" s="29" t="s">
        <v>1149</v>
      </c>
      <c r="C1844" s="29" t="s">
        <v>1070</v>
      </c>
      <c r="D1844" s="29" t="str">
        <f>VLOOKUP(C:C,'COUNT-CONT'!B:C,2,FALSE)</f>
        <v>Asia</v>
      </c>
      <c r="E1844" s="29">
        <v>4</v>
      </c>
      <c r="F1844" s="28">
        <v>1825</v>
      </c>
      <c r="G1844" s="28">
        <v>2828839726</v>
      </c>
      <c r="H1844" s="29">
        <v>11.76</v>
      </c>
      <c r="I1844" s="142">
        <v>-67.679999999999993</v>
      </c>
      <c r="J1844" s="29">
        <v>2.72</v>
      </c>
      <c r="K1844" s="29">
        <v>1.75</v>
      </c>
      <c r="L1844" s="29">
        <v>8.07</v>
      </c>
      <c r="M1844" s="368"/>
      <c r="N1844" s="368"/>
      <c r="O1844" s="271">
        <f>IFERROR(Table17[[#This Row],[PROFIT]]/Table17[[#This Row],[TO]],0)</f>
        <v>0</v>
      </c>
      <c r="P1844" s="177"/>
      <c r="Q1844" s="177"/>
      <c r="R1844" s="177"/>
    </row>
    <row r="1845" spans="1:18" ht="30" hidden="1" x14ac:dyDescent="0.25">
      <c r="A1845" s="29" t="s">
        <v>3347</v>
      </c>
      <c r="B1845" s="29" t="s">
        <v>3346</v>
      </c>
      <c r="C1845" s="29" t="s">
        <v>11732</v>
      </c>
      <c r="D1845" s="29" t="str">
        <f>VLOOKUP(C:C,'COUNT-CONT'!B:C,2,FALSE)</f>
        <v>North America</v>
      </c>
      <c r="E1845" s="29">
        <v>4</v>
      </c>
      <c r="F1845" s="28">
        <v>2009</v>
      </c>
      <c r="G1845" s="28">
        <v>3907336087</v>
      </c>
      <c r="H1845" s="29">
        <v>11.76</v>
      </c>
      <c r="I1845" s="142">
        <v>-67.679999999999993</v>
      </c>
      <c r="J1845" s="29">
        <v>9.61</v>
      </c>
      <c r="K1845" s="29">
        <v>9.61</v>
      </c>
      <c r="L1845" s="29">
        <v>15.51</v>
      </c>
      <c r="M1845" s="368"/>
      <c r="N1845" s="368"/>
      <c r="O1845" s="271">
        <f>IFERROR(Table17[[#This Row],[PROFIT]]/Table17[[#This Row],[TO]],0)</f>
        <v>0</v>
      </c>
      <c r="P1845" s="177"/>
      <c r="Q1845" s="177"/>
      <c r="R1845" s="177"/>
    </row>
    <row r="1846" spans="1:18" ht="30" hidden="1" x14ac:dyDescent="0.25">
      <c r="A1846" s="29" t="s">
        <v>3331</v>
      </c>
      <c r="B1846" s="29" t="s">
        <v>3330</v>
      </c>
      <c r="C1846" s="29" t="s">
        <v>11732</v>
      </c>
      <c r="D1846" s="29" t="str">
        <f>VLOOKUP(C:C,'COUNT-CONT'!B:C,2,FALSE)</f>
        <v>North America</v>
      </c>
      <c r="E1846" s="29">
        <v>4</v>
      </c>
      <c r="F1846" s="28">
        <v>1850</v>
      </c>
      <c r="G1846" s="28">
        <v>3932294594</v>
      </c>
      <c r="H1846" s="29">
        <v>11.73</v>
      </c>
      <c r="I1846" s="142">
        <v>-67.709999999999994</v>
      </c>
      <c r="J1846" s="29">
        <v>9.5500000000000007</v>
      </c>
      <c r="K1846" s="29">
        <v>9.5500000000000007</v>
      </c>
      <c r="L1846" s="29">
        <v>15.45</v>
      </c>
      <c r="M1846" s="368"/>
      <c r="N1846" s="368"/>
      <c r="O1846" s="271">
        <f>IFERROR(Table17[[#This Row],[PROFIT]]/Table17[[#This Row],[TO]],0)</f>
        <v>0</v>
      </c>
      <c r="P1846" s="177"/>
      <c r="Q1846" s="177"/>
      <c r="R1846" s="177"/>
    </row>
    <row r="1847" spans="1:18" ht="30" hidden="1" x14ac:dyDescent="0.25">
      <c r="A1847" s="29" t="s">
        <v>3337</v>
      </c>
      <c r="B1847" s="29" t="s">
        <v>3336</v>
      </c>
      <c r="C1847" s="29" t="s">
        <v>11732</v>
      </c>
      <c r="D1847" s="29" t="str">
        <f>VLOOKUP(C:C,'COUNT-CONT'!B:C,2,FALSE)</f>
        <v>North America</v>
      </c>
      <c r="E1847" s="29">
        <v>10</v>
      </c>
      <c r="F1847" s="28">
        <v>3347</v>
      </c>
      <c r="G1847" s="28">
        <v>3815952524</v>
      </c>
      <c r="H1847" s="29">
        <v>11.73</v>
      </c>
      <c r="I1847" s="142">
        <v>-67.709999999999994</v>
      </c>
      <c r="J1847" s="29">
        <v>9.58</v>
      </c>
      <c r="K1847" s="29">
        <v>9.58</v>
      </c>
      <c r="L1847" s="29">
        <v>15.45</v>
      </c>
      <c r="M1847" s="368"/>
      <c r="N1847" s="368"/>
      <c r="O1847" s="271">
        <f>IFERROR(Table17[[#This Row],[PROFIT]]/Table17[[#This Row],[TO]],0)</f>
        <v>0</v>
      </c>
      <c r="P1847" s="177"/>
      <c r="Q1847" s="177"/>
      <c r="R1847" s="177"/>
    </row>
    <row r="1848" spans="1:18" hidden="1" x14ac:dyDescent="0.25">
      <c r="A1848" s="29" t="s">
        <v>1939</v>
      </c>
      <c r="B1848" s="29" t="s">
        <v>1938</v>
      </c>
      <c r="C1848" s="29" t="s">
        <v>172</v>
      </c>
      <c r="D1848" s="29" t="str">
        <f>VLOOKUP(C:C,'COUNT-CONT'!B:C,2,FALSE)</f>
        <v>Asia</v>
      </c>
      <c r="E1848" s="29">
        <v>9</v>
      </c>
      <c r="F1848" s="28">
        <v>3207</v>
      </c>
      <c r="G1848" s="28">
        <v>2926199688</v>
      </c>
      <c r="H1848" s="29">
        <v>11.73</v>
      </c>
      <c r="I1848" s="142">
        <v>-67.709999999999994</v>
      </c>
      <c r="J1848" s="29">
        <v>4.72</v>
      </c>
      <c r="K1848" s="29">
        <v>4.1100000000000003</v>
      </c>
      <c r="L1848" s="29">
        <v>10.31</v>
      </c>
      <c r="M1848" s="368"/>
      <c r="N1848" s="368"/>
      <c r="O1848" s="271">
        <f>IFERROR(Table17[[#This Row],[PROFIT]]/Table17[[#This Row],[TO]],0)</f>
        <v>0</v>
      </c>
      <c r="P1848" s="177"/>
      <c r="Q1848" s="177"/>
      <c r="R1848" s="177"/>
    </row>
    <row r="1849" spans="1:18" ht="30" hidden="1" x14ac:dyDescent="0.25">
      <c r="A1849" s="29" t="s">
        <v>1857</v>
      </c>
      <c r="B1849" s="29" t="s">
        <v>1856</v>
      </c>
      <c r="C1849" s="29" t="s">
        <v>860</v>
      </c>
      <c r="D1849" s="29" t="str">
        <f>VLOOKUP(C:C,'COUNT-CONT'!B:C,2,FALSE)</f>
        <v>South America</v>
      </c>
      <c r="E1849" s="29">
        <v>3</v>
      </c>
      <c r="F1849" s="28">
        <v>1653</v>
      </c>
      <c r="G1849" s="28">
        <v>3068056745</v>
      </c>
      <c r="H1849" s="29">
        <v>11.73</v>
      </c>
      <c r="I1849" s="142">
        <v>-67.709999999999994</v>
      </c>
      <c r="J1849" s="29">
        <v>4.63</v>
      </c>
      <c r="K1849" s="29">
        <v>3.84</v>
      </c>
      <c r="L1849" s="29">
        <v>10.1</v>
      </c>
      <c r="M1849" s="368"/>
      <c r="N1849" s="368"/>
      <c r="O1849" s="271">
        <f>IFERROR(Table17[[#This Row],[PROFIT]]/Table17[[#This Row],[TO]],0)</f>
        <v>0</v>
      </c>
      <c r="P1849" s="177"/>
      <c r="Q1849" s="177"/>
      <c r="R1849" s="177"/>
    </row>
    <row r="1850" spans="1:18" x14ac:dyDescent="0.25">
      <c r="A1850" s="29" t="s">
        <v>2622</v>
      </c>
      <c r="B1850" s="29" t="s">
        <v>2621</v>
      </c>
      <c r="C1850" s="29" t="s">
        <v>774</v>
      </c>
      <c r="D1850" s="29" t="str">
        <f>VLOOKUP(C:C,'COUNT-CONT'!B:C,2,FALSE)</f>
        <v>Oceania</v>
      </c>
      <c r="E1850" s="29">
        <v>4</v>
      </c>
      <c r="F1850" s="28">
        <v>1837</v>
      </c>
      <c r="G1850" s="28">
        <v>3436302395</v>
      </c>
      <c r="H1850" s="29">
        <v>11.7</v>
      </c>
      <c r="I1850" s="142">
        <v>-67.739999999999995</v>
      </c>
      <c r="J1850" s="29">
        <v>6.98</v>
      </c>
      <c r="K1850" s="29">
        <v>6.47</v>
      </c>
      <c r="L1850" s="29">
        <v>12.45</v>
      </c>
      <c r="M1850" s="368"/>
      <c r="N1850" s="368"/>
      <c r="O1850" s="271">
        <f>IFERROR(Table17[[#This Row],[PROFIT]]/Table17[[#This Row],[TO]],0)</f>
        <v>0</v>
      </c>
      <c r="P1850" s="177"/>
      <c r="Q1850" s="177"/>
      <c r="R1850" s="177"/>
    </row>
    <row r="1851" spans="1:18" hidden="1" x14ac:dyDescent="0.25">
      <c r="A1851" s="29" t="s">
        <v>2537</v>
      </c>
      <c r="B1851" s="29" t="s">
        <v>2536</v>
      </c>
      <c r="C1851" s="29" t="s">
        <v>807</v>
      </c>
      <c r="D1851" s="29" t="str">
        <f>VLOOKUP(C:C,'COUNT-CONT'!B:C,2,FALSE)</f>
        <v>Europe</v>
      </c>
      <c r="E1851" s="29">
        <v>6</v>
      </c>
      <c r="F1851" s="28">
        <v>2511</v>
      </c>
      <c r="G1851" s="28">
        <v>3309072481</v>
      </c>
      <c r="H1851" s="29">
        <v>11.7</v>
      </c>
      <c r="I1851" s="142">
        <v>-67.739999999999995</v>
      </c>
      <c r="J1851" s="29">
        <v>6.59</v>
      </c>
      <c r="K1851" s="29">
        <v>6.35</v>
      </c>
      <c r="L1851" s="29">
        <v>12.21</v>
      </c>
      <c r="M1851" s="368"/>
      <c r="N1851" s="368"/>
      <c r="O1851" s="271">
        <f>IFERROR(Table17[[#This Row],[PROFIT]]/Table17[[#This Row],[TO]],0)</f>
        <v>0</v>
      </c>
      <c r="P1851" s="177"/>
      <c r="Q1851" s="177"/>
      <c r="R1851" s="177"/>
    </row>
    <row r="1852" spans="1:18" ht="30" hidden="1" x14ac:dyDescent="0.25">
      <c r="A1852" s="29" t="s">
        <v>3321</v>
      </c>
      <c r="B1852" s="29" t="s">
        <v>3320</v>
      </c>
      <c r="C1852" s="29" t="s">
        <v>11732</v>
      </c>
      <c r="D1852" s="29" t="str">
        <f>VLOOKUP(C:C,'COUNT-CONT'!B:C,2,FALSE)</f>
        <v>North America</v>
      </c>
      <c r="E1852" s="29">
        <v>7</v>
      </c>
      <c r="F1852" s="28">
        <v>2538</v>
      </c>
      <c r="G1852" s="28">
        <v>3832812135</v>
      </c>
      <c r="H1852" s="29">
        <v>11.7</v>
      </c>
      <c r="I1852" s="142">
        <v>-67.739999999999995</v>
      </c>
      <c r="J1852" s="29">
        <v>9.52</v>
      </c>
      <c r="K1852" s="29">
        <v>9.52</v>
      </c>
      <c r="L1852" s="29">
        <v>15.39</v>
      </c>
      <c r="M1852" s="368"/>
      <c r="N1852" s="368"/>
      <c r="O1852" s="271">
        <f>IFERROR(Table17[[#This Row],[PROFIT]]/Table17[[#This Row],[TO]],0)</f>
        <v>0</v>
      </c>
      <c r="P1852" s="177"/>
      <c r="Q1852" s="177"/>
      <c r="R1852" s="177"/>
    </row>
    <row r="1853" spans="1:18" ht="30" hidden="1" x14ac:dyDescent="0.25">
      <c r="A1853" s="29" t="s">
        <v>1753</v>
      </c>
      <c r="B1853" s="29" t="s">
        <v>1752</v>
      </c>
      <c r="C1853" s="29" t="s">
        <v>1420</v>
      </c>
      <c r="D1853" s="29" t="str">
        <f>VLOOKUP(C:C,'COUNT-CONT'!B:C,2,FALSE)</f>
        <v>Europe</v>
      </c>
      <c r="E1853" s="29">
        <v>4</v>
      </c>
      <c r="F1853" s="28">
        <v>2617</v>
      </c>
      <c r="G1853" s="28">
        <v>2789928620</v>
      </c>
      <c r="H1853" s="29">
        <v>11.7</v>
      </c>
      <c r="I1853" s="142">
        <v>-67.739999999999995</v>
      </c>
      <c r="J1853" s="29">
        <v>4.47</v>
      </c>
      <c r="K1853" s="29">
        <v>3.51</v>
      </c>
      <c r="L1853" s="29">
        <v>9.73</v>
      </c>
      <c r="M1853" s="368"/>
      <c r="N1853" s="368"/>
      <c r="O1853" s="271">
        <f>IFERROR(Table17[[#This Row],[PROFIT]]/Table17[[#This Row],[TO]],0)</f>
        <v>0</v>
      </c>
      <c r="P1853" s="177"/>
      <c r="Q1853" s="177"/>
      <c r="R1853" s="177"/>
    </row>
    <row r="1854" spans="1:18" hidden="1" x14ac:dyDescent="0.25">
      <c r="A1854" s="29" t="s">
        <v>1110</v>
      </c>
      <c r="B1854" s="29" t="s">
        <v>1109</v>
      </c>
      <c r="C1854" s="29" t="s">
        <v>1070</v>
      </c>
      <c r="D1854" s="29" t="str">
        <f>VLOOKUP(C:C,'COUNT-CONT'!B:C,2,FALSE)</f>
        <v>Asia</v>
      </c>
      <c r="E1854" s="29">
        <v>1</v>
      </c>
      <c r="F1854" s="28">
        <v>1231</v>
      </c>
      <c r="G1854" s="28">
        <v>3053982453</v>
      </c>
      <c r="H1854" s="29">
        <v>11.7</v>
      </c>
      <c r="I1854" s="142">
        <v>-67.739999999999995</v>
      </c>
      <c r="J1854" s="29">
        <v>2.72</v>
      </c>
      <c r="K1854" s="29">
        <v>1.75</v>
      </c>
      <c r="L1854" s="29">
        <v>8.01</v>
      </c>
      <c r="M1854" s="368"/>
      <c r="N1854" s="368"/>
      <c r="O1854" s="271">
        <f>IFERROR(Table17[[#This Row],[PROFIT]]/Table17[[#This Row],[TO]],0)</f>
        <v>0</v>
      </c>
      <c r="P1854" s="177"/>
      <c r="Q1854" s="177"/>
      <c r="R1854" s="177"/>
    </row>
    <row r="1855" spans="1:18" ht="30" hidden="1" x14ac:dyDescent="0.25">
      <c r="A1855" s="29" t="s">
        <v>1830</v>
      </c>
      <c r="B1855" s="29" t="s">
        <v>1829</v>
      </c>
      <c r="C1855" s="29" t="s">
        <v>860</v>
      </c>
      <c r="D1855" s="29" t="str">
        <f>VLOOKUP(C:C,'COUNT-CONT'!B:C,2,FALSE)</f>
        <v>South America</v>
      </c>
      <c r="E1855" s="29">
        <v>2</v>
      </c>
      <c r="F1855" s="28">
        <v>1503</v>
      </c>
      <c r="G1855" s="28">
        <v>3114669594</v>
      </c>
      <c r="H1855" s="29">
        <v>11.67</v>
      </c>
      <c r="I1855" s="142">
        <v>-67.77</v>
      </c>
      <c r="J1855" s="29">
        <v>4.63</v>
      </c>
      <c r="K1855" s="29">
        <v>3.81</v>
      </c>
      <c r="L1855" s="29">
        <v>10.07</v>
      </c>
      <c r="M1855" s="368"/>
      <c r="N1855" s="368"/>
      <c r="O1855" s="271">
        <f>IFERROR(Table17[[#This Row],[PROFIT]]/Table17[[#This Row],[TO]],0)</f>
        <v>0</v>
      </c>
      <c r="P1855" s="177"/>
      <c r="Q1855" s="177"/>
      <c r="R1855" s="177"/>
    </row>
    <row r="1856" spans="1:18" ht="30" hidden="1" x14ac:dyDescent="0.25">
      <c r="A1856" s="29" t="s">
        <v>2810</v>
      </c>
      <c r="B1856" s="29" t="s">
        <v>2809</v>
      </c>
      <c r="C1856" s="29" t="s">
        <v>514</v>
      </c>
      <c r="D1856" s="29" t="str">
        <f>VLOOKUP(C:C,'COUNT-CONT'!B:C,2,FALSE)</f>
        <v>North America</v>
      </c>
      <c r="E1856" s="29">
        <v>3</v>
      </c>
      <c r="F1856" s="28">
        <v>1533</v>
      </c>
      <c r="G1856" s="28">
        <v>3633347292</v>
      </c>
      <c r="H1856" s="29">
        <v>11.67</v>
      </c>
      <c r="I1856" s="142">
        <v>-67.77</v>
      </c>
      <c r="J1856" s="29">
        <v>7.68</v>
      </c>
      <c r="K1856" s="29">
        <v>7.44</v>
      </c>
      <c r="L1856" s="29">
        <v>13.27</v>
      </c>
      <c r="M1856" s="368"/>
      <c r="N1856" s="368"/>
      <c r="O1856" s="271">
        <f>IFERROR(Table17[[#This Row],[PROFIT]]/Table17[[#This Row],[TO]],0)</f>
        <v>0</v>
      </c>
      <c r="P1856" s="177"/>
      <c r="Q1856" s="177"/>
      <c r="R1856" s="177"/>
    </row>
    <row r="1857" spans="1:18" hidden="1" x14ac:dyDescent="0.25">
      <c r="A1857" s="29" t="s">
        <v>1801</v>
      </c>
      <c r="B1857" s="29" t="s">
        <v>1800</v>
      </c>
      <c r="C1857" s="29" t="s">
        <v>14</v>
      </c>
      <c r="D1857" s="29" t="str">
        <f>VLOOKUP(C:C,'COUNT-CONT'!B:C,2,FALSE)</f>
        <v>Asia</v>
      </c>
      <c r="E1857" s="29">
        <v>7</v>
      </c>
      <c r="F1857" s="28">
        <v>2585</v>
      </c>
      <c r="G1857" s="28">
        <v>2893931914</v>
      </c>
      <c r="H1857" s="29">
        <v>11.67</v>
      </c>
      <c r="I1857" s="142">
        <v>-67.77</v>
      </c>
      <c r="J1857" s="29">
        <v>4.53</v>
      </c>
      <c r="K1857" s="29">
        <v>3.75</v>
      </c>
      <c r="L1857" s="29">
        <v>9.89</v>
      </c>
      <c r="M1857" s="368"/>
      <c r="N1857" s="368"/>
      <c r="O1857" s="271">
        <f>IFERROR(Table17[[#This Row],[PROFIT]]/Table17[[#This Row],[TO]],0)</f>
        <v>0</v>
      </c>
      <c r="P1857" s="177"/>
      <c r="Q1857" s="177"/>
      <c r="R1857" s="177"/>
    </row>
    <row r="1858" spans="1:18" hidden="1" x14ac:dyDescent="0.25">
      <c r="A1858" s="29" t="s">
        <v>883</v>
      </c>
      <c r="B1858" s="29" t="s">
        <v>882</v>
      </c>
      <c r="C1858" s="29" t="s">
        <v>881</v>
      </c>
      <c r="D1858" s="29" t="str">
        <f>VLOOKUP(C:C,'COUNT-CONT'!B:C,2,FALSE)</f>
        <v>Africa</v>
      </c>
      <c r="E1858" s="29">
        <v>8</v>
      </c>
      <c r="F1858" s="28">
        <v>3002</v>
      </c>
      <c r="G1858" s="28">
        <v>2726222385</v>
      </c>
      <c r="H1858" s="29">
        <v>11.64</v>
      </c>
      <c r="I1858" s="142">
        <v>-67.8</v>
      </c>
      <c r="J1858" s="29">
        <v>2.0299999999999998</v>
      </c>
      <c r="K1858" s="29">
        <v>0.85</v>
      </c>
      <c r="L1858" s="29">
        <v>7.29</v>
      </c>
      <c r="M1858" s="368"/>
      <c r="N1858" s="368"/>
      <c r="O1858" s="271">
        <f>IFERROR(Table17[[#This Row],[PROFIT]]/Table17[[#This Row],[TO]],0)</f>
        <v>0</v>
      </c>
      <c r="P1858" s="177"/>
      <c r="Q1858" s="177"/>
      <c r="R1858" s="177"/>
    </row>
    <row r="1859" spans="1:18" ht="45" hidden="1" x14ac:dyDescent="0.25">
      <c r="A1859" s="29" t="s">
        <v>1795</v>
      </c>
      <c r="B1859" s="29" t="s">
        <v>1794</v>
      </c>
      <c r="C1859" s="29" t="s">
        <v>505</v>
      </c>
      <c r="D1859" s="29" t="e">
        <f>VLOOKUP(C:C,'COUNT-CONT'!B:C,2,FALSE)</f>
        <v>#N/A</v>
      </c>
      <c r="E1859" s="29">
        <v>8</v>
      </c>
      <c r="F1859" s="28">
        <v>2865</v>
      </c>
      <c r="G1859" s="28">
        <v>2875544153</v>
      </c>
      <c r="H1859" s="29">
        <v>11.64</v>
      </c>
      <c r="I1859" s="142">
        <v>-67.8</v>
      </c>
      <c r="J1859" s="29">
        <v>4.53</v>
      </c>
      <c r="K1859" s="29">
        <v>3.75</v>
      </c>
      <c r="L1859" s="29">
        <v>9.85</v>
      </c>
      <c r="M1859" s="368"/>
      <c r="N1859" s="368"/>
      <c r="O1859" s="271">
        <f>IFERROR(Table17[[#This Row],[PROFIT]]/Table17[[#This Row],[TO]],0)</f>
        <v>0</v>
      </c>
      <c r="P1859" s="177"/>
      <c r="Q1859" s="177"/>
      <c r="R1859" s="177"/>
    </row>
    <row r="1860" spans="1:18" x14ac:dyDescent="0.25">
      <c r="A1860" s="29" t="s">
        <v>935</v>
      </c>
      <c r="B1860" s="29" t="s">
        <v>934</v>
      </c>
      <c r="C1860" s="29" t="s">
        <v>933</v>
      </c>
      <c r="D1860" s="29" t="str">
        <f>VLOOKUP(C:C,'COUNT-CONT'!B:C,2,FALSE)</f>
        <v>Oceania</v>
      </c>
      <c r="E1860" s="29">
        <v>6</v>
      </c>
      <c r="F1860" s="28">
        <v>2336</v>
      </c>
      <c r="G1860" s="28">
        <v>2816590410</v>
      </c>
      <c r="H1860" s="29">
        <v>11.64</v>
      </c>
      <c r="I1860" s="142">
        <v>-67.8</v>
      </c>
      <c r="J1860" s="29">
        <v>2.2400000000000002</v>
      </c>
      <c r="K1860" s="29">
        <v>1.03</v>
      </c>
      <c r="L1860" s="29">
        <v>7.47</v>
      </c>
      <c r="M1860" s="368"/>
      <c r="N1860" s="368"/>
      <c r="O1860" s="271">
        <f>IFERROR(Table17[[#This Row],[PROFIT]]/Table17[[#This Row],[TO]],0)</f>
        <v>0</v>
      </c>
      <c r="P1860" s="177"/>
      <c r="Q1860" s="177"/>
      <c r="R1860" s="177"/>
    </row>
    <row r="1861" spans="1:18" ht="30" hidden="1" x14ac:dyDescent="0.25">
      <c r="A1861" s="29" t="s">
        <v>3288</v>
      </c>
      <c r="B1861" s="29" t="s">
        <v>3287</v>
      </c>
      <c r="C1861" s="29" t="s">
        <v>11732</v>
      </c>
      <c r="D1861" s="29" t="str">
        <f>VLOOKUP(C:C,'COUNT-CONT'!B:C,2,FALSE)</f>
        <v>North America</v>
      </c>
      <c r="E1861" s="29">
        <v>5</v>
      </c>
      <c r="F1861" s="28">
        <v>2204</v>
      </c>
      <c r="G1861" s="28">
        <v>3849492558</v>
      </c>
      <c r="H1861" s="29">
        <v>11.61</v>
      </c>
      <c r="I1861" s="142">
        <v>-67.83</v>
      </c>
      <c r="J1861" s="29">
        <v>9.4600000000000009</v>
      </c>
      <c r="K1861" s="29">
        <v>9.4600000000000009</v>
      </c>
      <c r="L1861" s="29">
        <v>15.27</v>
      </c>
      <c r="M1861" s="368"/>
      <c r="N1861" s="368"/>
      <c r="O1861" s="271">
        <f>IFERROR(Table17[[#This Row],[PROFIT]]/Table17[[#This Row],[TO]],0)</f>
        <v>0</v>
      </c>
      <c r="P1861" s="177"/>
      <c r="Q1861" s="177"/>
      <c r="R1861" s="177"/>
    </row>
    <row r="1862" spans="1:18" hidden="1" x14ac:dyDescent="0.25">
      <c r="A1862" s="29" t="s">
        <v>1779</v>
      </c>
      <c r="B1862" s="29" t="s">
        <v>1778</v>
      </c>
      <c r="C1862" s="29" t="s">
        <v>14</v>
      </c>
      <c r="D1862" s="29" t="str">
        <f>VLOOKUP(C:C,'COUNT-CONT'!B:C,2,FALSE)</f>
        <v>Asia</v>
      </c>
      <c r="E1862" s="29">
        <v>4</v>
      </c>
      <c r="F1862" s="28">
        <v>1803</v>
      </c>
      <c r="G1862" s="28">
        <v>2992494287</v>
      </c>
      <c r="H1862" s="29">
        <v>11.61</v>
      </c>
      <c r="I1862" s="142">
        <v>-67.83</v>
      </c>
      <c r="J1862" s="29">
        <v>4.5</v>
      </c>
      <c r="K1862" s="29">
        <v>3.72</v>
      </c>
      <c r="L1862" s="29">
        <v>9.82</v>
      </c>
      <c r="M1862" s="368"/>
      <c r="N1862" s="368"/>
      <c r="O1862" s="271">
        <f>IFERROR(Table17[[#This Row],[PROFIT]]/Table17[[#This Row],[TO]],0)</f>
        <v>0</v>
      </c>
      <c r="P1862" s="177"/>
      <c r="Q1862" s="177"/>
      <c r="R1862" s="177"/>
    </row>
    <row r="1863" spans="1:18" hidden="1" x14ac:dyDescent="0.25">
      <c r="A1863" s="29" t="s">
        <v>3278</v>
      </c>
      <c r="B1863" s="29" t="s">
        <v>3277</v>
      </c>
      <c r="C1863" s="29" t="s">
        <v>560</v>
      </c>
      <c r="D1863" s="29" t="str">
        <f>VLOOKUP(C:C,'COUNT-CONT'!B:C,2,FALSE)</f>
        <v>Europe</v>
      </c>
      <c r="E1863" s="29">
        <v>4</v>
      </c>
      <c r="F1863" s="28">
        <v>2014</v>
      </c>
      <c r="G1863" s="28">
        <v>3872176762</v>
      </c>
      <c r="H1863" s="29">
        <v>11.58</v>
      </c>
      <c r="I1863" s="142">
        <v>-67.86</v>
      </c>
      <c r="J1863" s="29">
        <v>9.43</v>
      </c>
      <c r="K1863" s="29">
        <v>9.43</v>
      </c>
      <c r="L1863" s="29">
        <v>15.24</v>
      </c>
      <c r="M1863" s="368"/>
      <c r="N1863" s="368"/>
      <c r="O1863" s="271">
        <f>IFERROR(Table17[[#This Row],[PROFIT]]/Table17[[#This Row],[TO]],0)</f>
        <v>0</v>
      </c>
      <c r="P1863" s="177"/>
      <c r="Q1863" s="177"/>
      <c r="R1863" s="177"/>
    </row>
    <row r="1864" spans="1:18" hidden="1" x14ac:dyDescent="0.25">
      <c r="A1864" s="29" t="s">
        <v>1653</v>
      </c>
      <c r="B1864" s="29" t="s">
        <v>1652</v>
      </c>
      <c r="C1864" s="29" t="s">
        <v>78</v>
      </c>
      <c r="D1864" s="29" t="str">
        <f>VLOOKUP(C:C,'COUNT-CONT'!B:C,2,FALSE)</f>
        <v>Europe</v>
      </c>
      <c r="E1864" s="29">
        <v>10</v>
      </c>
      <c r="F1864" s="28">
        <v>3506</v>
      </c>
      <c r="G1864" s="28">
        <v>2819747860</v>
      </c>
      <c r="H1864" s="29">
        <v>11.58</v>
      </c>
      <c r="I1864" s="142">
        <v>-67.86</v>
      </c>
      <c r="J1864" s="29">
        <v>4.17</v>
      </c>
      <c r="K1864" s="29">
        <v>3.42</v>
      </c>
      <c r="L1864" s="29">
        <v>9.49</v>
      </c>
      <c r="M1864" s="368"/>
      <c r="N1864" s="368"/>
      <c r="O1864" s="271">
        <f>IFERROR(Table17[[#This Row],[PROFIT]]/Table17[[#This Row],[TO]],0)</f>
        <v>0</v>
      </c>
      <c r="P1864" s="177"/>
      <c r="Q1864" s="177"/>
      <c r="R1864" s="177"/>
    </row>
    <row r="1865" spans="1:18" ht="30" hidden="1" x14ac:dyDescent="0.25">
      <c r="A1865" s="29" t="s">
        <v>3280</v>
      </c>
      <c r="B1865" s="29" t="s">
        <v>3279</v>
      </c>
      <c r="C1865" s="29" t="s">
        <v>11732</v>
      </c>
      <c r="D1865" s="29" t="str">
        <f>VLOOKUP(C:C,'COUNT-CONT'!B:C,2,FALSE)</f>
        <v>North America</v>
      </c>
      <c r="E1865" s="29">
        <v>5</v>
      </c>
      <c r="F1865" s="28">
        <v>2274</v>
      </c>
      <c r="G1865" s="28">
        <v>3836329111</v>
      </c>
      <c r="H1865" s="29">
        <v>11.58</v>
      </c>
      <c r="I1865" s="142">
        <v>-67.86</v>
      </c>
      <c r="J1865" s="29">
        <v>9.43</v>
      </c>
      <c r="K1865" s="29">
        <v>9.43</v>
      </c>
      <c r="L1865" s="29">
        <v>15.24</v>
      </c>
      <c r="M1865" s="368"/>
      <c r="N1865" s="368"/>
      <c r="O1865" s="271">
        <f>IFERROR(Table17[[#This Row],[PROFIT]]/Table17[[#This Row],[TO]],0)</f>
        <v>0</v>
      </c>
      <c r="P1865" s="177"/>
      <c r="Q1865" s="177"/>
      <c r="R1865" s="177"/>
    </row>
    <row r="1866" spans="1:18" ht="30" hidden="1" x14ac:dyDescent="0.25">
      <c r="A1866" s="29" t="s">
        <v>2362</v>
      </c>
      <c r="B1866" s="29" t="s">
        <v>2361</v>
      </c>
      <c r="C1866" s="29" t="s">
        <v>13119</v>
      </c>
      <c r="D1866" s="29" t="str">
        <f>VLOOKUP(C:C,'COUNT-CONT'!B:C,2,FALSE)</f>
        <v>North America</v>
      </c>
      <c r="E1866" s="29">
        <v>6</v>
      </c>
      <c r="F1866" s="28">
        <v>2455</v>
      </c>
      <c r="G1866" s="28">
        <v>3123865088</v>
      </c>
      <c r="H1866" s="29">
        <v>11.58</v>
      </c>
      <c r="I1866" s="142">
        <v>-67.86</v>
      </c>
      <c r="J1866" s="29">
        <v>6.23</v>
      </c>
      <c r="K1866" s="29">
        <v>5.53</v>
      </c>
      <c r="L1866" s="29">
        <v>11.58</v>
      </c>
      <c r="M1866" s="368"/>
      <c r="N1866" s="368"/>
      <c r="O1866" s="271">
        <f>IFERROR(Table17[[#This Row],[PROFIT]]/Table17[[#This Row],[TO]],0)</f>
        <v>0</v>
      </c>
      <c r="P1866" s="177"/>
      <c r="Q1866" s="177"/>
      <c r="R1866" s="177"/>
    </row>
    <row r="1867" spans="1:18" ht="30" hidden="1" x14ac:dyDescent="0.25">
      <c r="A1867" s="29" t="s">
        <v>3282</v>
      </c>
      <c r="B1867" s="29" t="s">
        <v>3281</v>
      </c>
      <c r="C1867" s="29" t="s">
        <v>11732</v>
      </c>
      <c r="D1867" s="29" t="str">
        <f>VLOOKUP(C:C,'COUNT-CONT'!B:C,2,FALSE)</f>
        <v>North America</v>
      </c>
      <c r="E1867" s="29">
        <v>6</v>
      </c>
      <c r="F1867" s="28">
        <v>2311</v>
      </c>
      <c r="G1867" s="28">
        <v>3830584422</v>
      </c>
      <c r="H1867" s="29">
        <v>11.58</v>
      </c>
      <c r="I1867" s="142">
        <v>-67.86</v>
      </c>
      <c r="J1867" s="29">
        <v>9.43</v>
      </c>
      <c r="K1867" s="29">
        <v>9.43</v>
      </c>
      <c r="L1867" s="29">
        <v>15.24</v>
      </c>
      <c r="M1867" s="368"/>
      <c r="N1867" s="368"/>
      <c r="O1867" s="271">
        <f>IFERROR(Table17[[#This Row],[PROFIT]]/Table17[[#This Row],[TO]],0)</f>
        <v>0</v>
      </c>
      <c r="P1867" s="177"/>
      <c r="Q1867" s="177"/>
      <c r="R1867" s="177"/>
    </row>
    <row r="1868" spans="1:18" hidden="1" x14ac:dyDescent="0.25">
      <c r="A1868" s="29" t="s">
        <v>1072</v>
      </c>
      <c r="B1868" s="29" t="s">
        <v>1071</v>
      </c>
      <c r="C1868" s="29" t="s">
        <v>1070</v>
      </c>
      <c r="D1868" s="29" t="str">
        <f>VLOOKUP(C:C,'COUNT-CONT'!B:C,2,FALSE)</f>
        <v>Asia</v>
      </c>
      <c r="E1868" s="29">
        <v>2</v>
      </c>
      <c r="F1868" s="28">
        <v>1373</v>
      </c>
      <c r="G1868" s="28">
        <v>2962965331</v>
      </c>
      <c r="H1868" s="29">
        <v>11.58</v>
      </c>
      <c r="I1868" s="142">
        <v>-67.86</v>
      </c>
      <c r="J1868" s="29">
        <v>2.69</v>
      </c>
      <c r="K1868" s="29">
        <v>1.72</v>
      </c>
      <c r="L1868" s="29">
        <v>7.92</v>
      </c>
      <c r="M1868" s="368"/>
      <c r="N1868" s="368"/>
      <c r="O1868" s="271">
        <f>IFERROR(Table17[[#This Row],[PROFIT]]/Table17[[#This Row],[TO]],0)</f>
        <v>0</v>
      </c>
      <c r="P1868" s="177"/>
      <c r="Q1868" s="177"/>
      <c r="R1868" s="177"/>
    </row>
    <row r="1869" spans="1:18" ht="30" hidden="1" x14ac:dyDescent="0.25">
      <c r="A1869" s="29" t="s">
        <v>3284</v>
      </c>
      <c r="B1869" s="29" t="s">
        <v>3283</v>
      </c>
      <c r="C1869" s="29" t="s">
        <v>11732</v>
      </c>
      <c r="D1869" s="29" t="str">
        <f>VLOOKUP(C:C,'COUNT-CONT'!B:C,2,FALSE)</f>
        <v>North America</v>
      </c>
      <c r="E1869" s="29">
        <v>9</v>
      </c>
      <c r="F1869" s="28">
        <v>3234</v>
      </c>
      <c r="G1869" s="28">
        <v>3786136054</v>
      </c>
      <c r="H1869" s="29">
        <v>11.58</v>
      </c>
      <c r="I1869" s="142">
        <v>-67.86</v>
      </c>
      <c r="J1869" s="29">
        <v>9.43</v>
      </c>
      <c r="K1869" s="29">
        <v>9.43</v>
      </c>
      <c r="L1869" s="29">
        <v>15.24</v>
      </c>
      <c r="M1869" s="368"/>
      <c r="N1869" s="368"/>
      <c r="O1869" s="271">
        <f>IFERROR(Table17[[#This Row],[PROFIT]]/Table17[[#This Row],[TO]],0)</f>
        <v>0</v>
      </c>
      <c r="P1869" s="177"/>
      <c r="Q1869" s="177"/>
      <c r="R1869" s="177"/>
    </row>
    <row r="1870" spans="1:18" hidden="1" x14ac:dyDescent="0.25">
      <c r="A1870" s="29" t="s">
        <v>1433</v>
      </c>
      <c r="B1870" s="29" t="s">
        <v>1432</v>
      </c>
      <c r="C1870" s="29" t="s">
        <v>493</v>
      </c>
      <c r="D1870" s="29" t="str">
        <f>VLOOKUP(C:C,'COUNT-CONT'!B:C,2,FALSE)</f>
        <v>Africa</v>
      </c>
      <c r="E1870" s="29">
        <v>8</v>
      </c>
      <c r="F1870" s="28">
        <v>2000</v>
      </c>
      <c r="G1870" s="28">
        <v>2944200000</v>
      </c>
      <c r="H1870" s="29">
        <v>11.58</v>
      </c>
      <c r="I1870" s="142">
        <v>-67.86</v>
      </c>
      <c r="J1870" s="29">
        <v>3.72</v>
      </c>
      <c r="K1870" s="29">
        <v>2.66</v>
      </c>
      <c r="L1870" s="29">
        <v>8.92</v>
      </c>
      <c r="M1870" s="368"/>
      <c r="N1870" s="368"/>
      <c r="O1870" s="271">
        <f>IFERROR(Table17[[#This Row],[PROFIT]]/Table17[[#This Row],[TO]],0)</f>
        <v>0</v>
      </c>
      <c r="P1870" s="177"/>
      <c r="Q1870" s="177"/>
      <c r="R1870" s="177"/>
    </row>
    <row r="1871" spans="1:18" hidden="1" x14ac:dyDescent="0.25">
      <c r="A1871" s="29" t="s">
        <v>1230</v>
      </c>
      <c r="B1871" s="29" t="s">
        <v>1229</v>
      </c>
      <c r="C1871" s="29" t="s">
        <v>608</v>
      </c>
      <c r="D1871" s="29" t="str">
        <f>VLOOKUP(C:C,'COUNT-CONT'!B:C,2,FALSE)</f>
        <v>Africa</v>
      </c>
      <c r="E1871" s="29">
        <v>5</v>
      </c>
      <c r="F1871" s="28">
        <v>2203</v>
      </c>
      <c r="G1871" s="28">
        <v>2753119110</v>
      </c>
      <c r="H1871" s="29">
        <v>11.55</v>
      </c>
      <c r="I1871" s="142">
        <v>-67.89</v>
      </c>
      <c r="J1871" s="29">
        <v>2.96</v>
      </c>
      <c r="K1871" s="29">
        <v>1.96</v>
      </c>
      <c r="L1871" s="29">
        <v>8.25</v>
      </c>
      <c r="M1871" s="368"/>
      <c r="N1871" s="368"/>
      <c r="O1871" s="271">
        <f>IFERROR(Table17[[#This Row],[PROFIT]]/Table17[[#This Row],[TO]],0)</f>
        <v>0</v>
      </c>
      <c r="P1871" s="177"/>
      <c r="Q1871" s="177"/>
      <c r="R1871" s="177"/>
    </row>
    <row r="1872" spans="1:18" hidden="1" x14ac:dyDescent="0.25">
      <c r="A1872" s="29" t="s">
        <v>3264</v>
      </c>
      <c r="B1872" s="29" t="s">
        <v>3263</v>
      </c>
      <c r="C1872" s="29" t="s">
        <v>560</v>
      </c>
      <c r="D1872" s="29" t="str">
        <f>VLOOKUP(C:C,'COUNT-CONT'!B:C,2,FALSE)</f>
        <v>Europe</v>
      </c>
      <c r="E1872" s="29">
        <v>6</v>
      </c>
      <c r="F1872" s="28">
        <v>2464</v>
      </c>
      <c r="G1872" s="28">
        <v>3813228571</v>
      </c>
      <c r="H1872" s="29">
        <v>11.55</v>
      </c>
      <c r="I1872" s="142">
        <v>-67.89</v>
      </c>
      <c r="J1872" s="29">
        <v>9.4</v>
      </c>
      <c r="K1872" s="29">
        <v>9.4</v>
      </c>
      <c r="L1872" s="29">
        <v>15.21</v>
      </c>
      <c r="M1872" s="368"/>
      <c r="N1872" s="368"/>
      <c r="O1872" s="271">
        <f>IFERROR(Table17[[#This Row],[PROFIT]]/Table17[[#This Row],[TO]],0)</f>
        <v>0</v>
      </c>
      <c r="P1872" s="177"/>
      <c r="Q1872" s="177"/>
      <c r="R1872" s="177"/>
    </row>
    <row r="1873" spans="1:18" hidden="1" x14ac:dyDescent="0.25">
      <c r="A1873" s="29" t="s">
        <v>2571</v>
      </c>
      <c r="B1873" s="29" t="s">
        <v>2570</v>
      </c>
      <c r="C1873" s="29" t="s">
        <v>597</v>
      </c>
      <c r="D1873" s="29" t="str">
        <f>VLOOKUP(C:C,'COUNT-CONT'!B:C,2,FALSE)</f>
        <v>Europe</v>
      </c>
      <c r="E1873" s="29">
        <v>10</v>
      </c>
      <c r="F1873" s="28">
        <v>3374</v>
      </c>
      <c r="G1873" s="28">
        <v>3276822525</v>
      </c>
      <c r="H1873" s="29">
        <v>11.55</v>
      </c>
      <c r="I1873" s="142">
        <v>-67.89</v>
      </c>
      <c r="J1873" s="29">
        <v>6.86</v>
      </c>
      <c r="K1873" s="29">
        <v>6.38</v>
      </c>
      <c r="L1873" s="29">
        <v>12.27</v>
      </c>
      <c r="M1873" s="368"/>
      <c r="N1873" s="368"/>
      <c r="O1873" s="271">
        <f>IFERROR(Table17[[#This Row],[PROFIT]]/Table17[[#This Row],[TO]],0)</f>
        <v>0</v>
      </c>
      <c r="P1873" s="177"/>
      <c r="Q1873" s="177"/>
      <c r="R1873" s="177"/>
    </row>
    <row r="1874" spans="1:18" ht="30" x14ac:dyDescent="0.25">
      <c r="A1874" s="29" t="s">
        <v>2134</v>
      </c>
      <c r="B1874" s="29" t="s">
        <v>2133</v>
      </c>
      <c r="C1874" s="29" t="s">
        <v>662</v>
      </c>
      <c r="D1874" s="29" t="str">
        <f>VLOOKUP(C:C,'COUNT-CONT'!B:C,2,FALSE)</f>
        <v>Oceania</v>
      </c>
      <c r="E1874" s="29">
        <v>3</v>
      </c>
      <c r="F1874" s="28">
        <v>1705</v>
      </c>
      <c r="G1874" s="28">
        <v>3171761290</v>
      </c>
      <c r="H1874" s="29">
        <v>11.55</v>
      </c>
      <c r="I1874" s="142">
        <v>-67.89</v>
      </c>
      <c r="J1874" s="29">
        <v>5.65</v>
      </c>
      <c r="K1874" s="29">
        <v>4.78</v>
      </c>
      <c r="L1874" s="29">
        <v>10.88</v>
      </c>
      <c r="M1874" s="368"/>
      <c r="N1874" s="368"/>
      <c r="O1874" s="271">
        <f>IFERROR(Table17[[#This Row],[PROFIT]]/Table17[[#This Row],[TO]],0)</f>
        <v>0</v>
      </c>
      <c r="P1874" s="177"/>
      <c r="Q1874" s="177"/>
      <c r="R1874" s="177"/>
    </row>
    <row r="1875" spans="1:18" ht="30" hidden="1" x14ac:dyDescent="0.25">
      <c r="A1875" s="29" t="s">
        <v>1822</v>
      </c>
      <c r="B1875" s="29" t="s">
        <v>1821</v>
      </c>
      <c r="C1875" s="29" t="s">
        <v>860</v>
      </c>
      <c r="D1875" s="29" t="str">
        <f>VLOOKUP(C:C,'COUNT-CONT'!B:C,2,FALSE)</f>
        <v>South America</v>
      </c>
      <c r="E1875" s="29">
        <v>3</v>
      </c>
      <c r="F1875" s="28">
        <v>1603</v>
      </c>
      <c r="G1875" s="28">
        <v>3066213349</v>
      </c>
      <c r="H1875" s="29">
        <v>11.55</v>
      </c>
      <c r="I1875" s="142">
        <v>-67.89</v>
      </c>
      <c r="J1875" s="29">
        <v>4.5599999999999996</v>
      </c>
      <c r="K1875" s="29">
        <v>3.78</v>
      </c>
      <c r="L1875" s="29">
        <v>9.98</v>
      </c>
      <c r="M1875" s="368"/>
      <c r="N1875" s="368"/>
      <c r="O1875" s="271">
        <f>IFERROR(Table17[[#This Row],[PROFIT]]/Table17[[#This Row],[TO]],0)</f>
        <v>0</v>
      </c>
      <c r="P1875" s="177"/>
      <c r="Q1875" s="177"/>
      <c r="R1875" s="177"/>
    </row>
    <row r="1876" spans="1:18" ht="30" hidden="1" x14ac:dyDescent="0.25">
      <c r="A1876" s="29" t="s">
        <v>2788</v>
      </c>
      <c r="B1876" s="29" t="s">
        <v>2787</v>
      </c>
      <c r="C1876" s="29" t="s">
        <v>514</v>
      </c>
      <c r="D1876" s="29" t="str">
        <f>VLOOKUP(C:C,'COUNT-CONT'!B:C,2,FALSE)</f>
        <v>North America</v>
      </c>
      <c r="E1876" s="29">
        <v>7</v>
      </c>
      <c r="F1876" s="28">
        <v>2768</v>
      </c>
      <c r="G1876" s="28">
        <v>3416598843</v>
      </c>
      <c r="H1876" s="29">
        <v>11.55</v>
      </c>
      <c r="I1876" s="142">
        <v>-67.89</v>
      </c>
      <c r="J1876" s="29">
        <v>7.62</v>
      </c>
      <c r="K1876" s="29">
        <v>7.35</v>
      </c>
      <c r="L1876" s="29">
        <v>13.15</v>
      </c>
      <c r="M1876" s="368"/>
      <c r="N1876" s="368"/>
      <c r="O1876" s="271">
        <f>IFERROR(Table17[[#This Row],[PROFIT]]/Table17[[#This Row],[TO]],0)</f>
        <v>0</v>
      </c>
      <c r="P1876" s="177"/>
      <c r="Q1876" s="177"/>
      <c r="R1876" s="177"/>
    </row>
    <row r="1877" spans="1:18" hidden="1" x14ac:dyDescent="0.25">
      <c r="A1877" s="29" t="s">
        <v>763</v>
      </c>
      <c r="B1877" s="29" t="s">
        <v>762</v>
      </c>
      <c r="C1877" s="29" t="s">
        <v>761</v>
      </c>
      <c r="D1877" s="29" t="str">
        <f>VLOOKUP(C:C,'COUNT-CONT'!B:C,2,FALSE)</f>
        <v>Africa</v>
      </c>
      <c r="E1877" s="29">
        <v>10</v>
      </c>
      <c r="F1877" s="28">
        <v>3301</v>
      </c>
      <c r="G1877" s="28">
        <v>2807032353</v>
      </c>
      <c r="H1877" s="29">
        <v>11.52</v>
      </c>
      <c r="I1877" s="142">
        <v>-67.92</v>
      </c>
      <c r="J1877" s="29">
        <v>1.42</v>
      </c>
      <c r="K1877" s="29">
        <v>0.24</v>
      </c>
      <c r="L1877" s="29">
        <v>6.56</v>
      </c>
      <c r="M1877" s="368"/>
      <c r="N1877" s="368"/>
      <c r="O1877" s="271">
        <f>IFERROR(Table17[[#This Row],[PROFIT]]/Table17[[#This Row],[TO]],0)</f>
        <v>0</v>
      </c>
      <c r="P1877" s="177"/>
      <c r="Q1877" s="177"/>
      <c r="R1877" s="177"/>
    </row>
    <row r="1878" spans="1:18" ht="30" hidden="1" x14ac:dyDescent="0.25">
      <c r="A1878" s="29" t="s">
        <v>2326</v>
      </c>
      <c r="B1878" s="29" t="s">
        <v>2325</v>
      </c>
      <c r="C1878" s="29" t="s">
        <v>2324</v>
      </c>
      <c r="D1878" s="29" t="str">
        <f>VLOOKUP(C:C,'COUNT-CONT'!B:C,2,FALSE)</f>
        <v>North America</v>
      </c>
      <c r="E1878" s="29">
        <v>2</v>
      </c>
      <c r="F1878" s="28">
        <v>1305</v>
      </c>
      <c r="G1878" s="28">
        <v>3426111877</v>
      </c>
      <c r="H1878" s="29">
        <v>11.52</v>
      </c>
      <c r="I1878" s="142">
        <v>-67.92</v>
      </c>
      <c r="J1878" s="29">
        <v>5.99</v>
      </c>
      <c r="K1878" s="29">
        <v>5.5</v>
      </c>
      <c r="L1878" s="29">
        <v>11.52</v>
      </c>
      <c r="M1878" s="368"/>
      <c r="N1878" s="368"/>
      <c r="O1878" s="271">
        <f>IFERROR(Table17[[#This Row],[PROFIT]]/Table17[[#This Row],[TO]],0)</f>
        <v>0</v>
      </c>
      <c r="P1878" s="177"/>
      <c r="Q1878" s="177"/>
      <c r="R1878" s="177"/>
    </row>
    <row r="1879" spans="1:18" hidden="1" x14ac:dyDescent="0.25">
      <c r="A1879" s="29" t="s">
        <v>1767</v>
      </c>
      <c r="B1879" s="29" t="s">
        <v>1766</v>
      </c>
      <c r="C1879" s="29" t="s">
        <v>14</v>
      </c>
      <c r="D1879" s="29" t="str">
        <f>VLOOKUP(C:C,'COUNT-CONT'!B:C,2,FALSE)</f>
        <v>Asia</v>
      </c>
      <c r="E1879" s="29">
        <v>7</v>
      </c>
      <c r="F1879" s="28">
        <v>2605</v>
      </c>
      <c r="G1879" s="28">
        <v>2875064875</v>
      </c>
      <c r="H1879" s="29">
        <v>11.52</v>
      </c>
      <c r="I1879" s="142">
        <v>-67.92</v>
      </c>
      <c r="J1879" s="29">
        <v>4.47</v>
      </c>
      <c r="K1879" s="29">
        <v>3.69</v>
      </c>
      <c r="L1879" s="29">
        <v>9.76</v>
      </c>
      <c r="M1879" s="368"/>
      <c r="N1879" s="368"/>
      <c r="O1879" s="271">
        <f>IFERROR(Table17[[#This Row],[PROFIT]]/Table17[[#This Row],[TO]],0)</f>
        <v>0</v>
      </c>
      <c r="P1879" s="177"/>
      <c r="Q1879" s="177"/>
      <c r="R1879" s="177"/>
    </row>
    <row r="1880" spans="1:18" ht="30" hidden="1" x14ac:dyDescent="0.25">
      <c r="A1880" s="29" t="s">
        <v>1803</v>
      </c>
      <c r="B1880" s="29" t="s">
        <v>1802</v>
      </c>
      <c r="C1880" s="29" t="s">
        <v>860</v>
      </c>
      <c r="D1880" s="29" t="str">
        <f>VLOOKUP(C:C,'COUNT-CONT'!B:C,2,FALSE)</f>
        <v>South America</v>
      </c>
      <c r="E1880" s="29">
        <v>1</v>
      </c>
      <c r="F1880" s="28">
        <v>1170</v>
      </c>
      <c r="G1880" s="28">
        <v>3270570940</v>
      </c>
      <c r="H1880" s="29">
        <v>11.52</v>
      </c>
      <c r="I1880" s="142">
        <v>-67.92</v>
      </c>
      <c r="J1880" s="29">
        <v>4.5599999999999996</v>
      </c>
      <c r="K1880" s="29">
        <v>3.75</v>
      </c>
      <c r="L1880" s="29">
        <v>9.92</v>
      </c>
      <c r="M1880" s="368"/>
      <c r="N1880" s="368"/>
      <c r="O1880" s="271">
        <f>IFERROR(Table17[[#This Row],[PROFIT]]/Table17[[#This Row],[TO]],0)</f>
        <v>0</v>
      </c>
      <c r="P1880" s="177"/>
      <c r="Q1880" s="177"/>
      <c r="R1880" s="177"/>
    </row>
    <row r="1881" spans="1:18" ht="30" hidden="1" x14ac:dyDescent="0.25">
      <c r="A1881" s="29" t="s">
        <v>2772</v>
      </c>
      <c r="B1881" s="29" t="s">
        <v>2771</v>
      </c>
      <c r="C1881" s="29" t="s">
        <v>514</v>
      </c>
      <c r="D1881" s="29" t="str">
        <f>VLOOKUP(C:C,'COUNT-CONT'!B:C,2,FALSE)</f>
        <v>North America</v>
      </c>
      <c r="E1881" s="29">
        <v>5</v>
      </c>
      <c r="F1881" s="28">
        <v>2166</v>
      </c>
      <c r="G1881" s="28">
        <v>3459048568</v>
      </c>
      <c r="H1881" s="29">
        <v>11.52</v>
      </c>
      <c r="I1881" s="142">
        <v>-67.92</v>
      </c>
      <c r="J1881" s="29">
        <v>7.59</v>
      </c>
      <c r="K1881" s="29">
        <v>7.32</v>
      </c>
      <c r="L1881" s="29">
        <v>13.09</v>
      </c>
      <c r="M1881" s="368"/>
      <c r="N1881" s="368"/>
      <c r="O1881" s="271">
        <f>IFERROR(Table17[[#This Row],[PROFIT]]/Table17[[#This Row],[TO]],0)</f>
        <v>0</v>
      </c>
      <c r="P1881" s="177"/>
      <c r="Q1881" s="177"/>
      <c r="R1881" s="177"/>
    </row>
    <row r="1882" spans="1:18" ht="30" hidden="1" x14ac:dyDescent="0.25">
      <c r="A1882" s="29" t="s">
        <v>2768</v>
      </c>
      <c r="B1882" s="29" t="s">
        <v>2767</v>
      </c>
      <c r="C1882" s="29" t="s">
        <v>514</v>
      </c>
      <c r="D1882" s="29" t="str">
        <f>VLOOKUP(C:C,'COUNT-CONT'!B:C,2,FALSE)</f>
        <v>North America</v>
      </c>
      <c r="E1882" s="29">
        <v>4</v>
      </c>
      <c r="F1882" s="28">
        <v>2009</v>
      </c>
      <c r="G1882" s="28">
        <v>3485036087</v>
      </c>
      <c r="H1882" s="29">
        <v>11.52</v>
      </c>
      <c r="I1882" s="142">
        <v>-67.92</v>
      </c>
      <c r="J1882" s="29">
        <v>7.59</v>
      </c>
      <c r="K1882" s="29">
        <v>7.32</v>
      </c>
      <c r="L1882" s="29">
        <v>13.09</v>
      </c>
      <c r="M1882" s="368"/>
      <c r="N1882" s="368"/>
      <c r="O1882" s="271">
        <f>IFERROR(Table17[[#This Row],[PROFIT]]/Table17[[#This Row],[TO]],0)</f>
        <v>0</v>
      </c>
      <c r="P1882" s="177"/>
      <c r="Q1882" s="177"/>
      <c r="R1882" s="177"/>
    </row>
    <row r="1883" spans="1:18" hidden="1" x14ac:dyDescent="0.25">
      <c r="A1883" s="29" t="s">
        <v>2415</v>
      </c>
      <c r="B1883" s="29" t="s">
        <v>2414</v>
      </c>
      <c r="C1883" s="29" t="s">
        <v>585</v>
      </c>
      <c r="D1883" s="29" t="str">
        <f>VLOOKUP(C:C,'COUNT-CONT'!B:C,2,FALSE)</f>
        <v>Europe</v>
      </c>
      <c r="E1883" s="29">
        <v>7</v>
      </c>
      <c r="F1883" s="28">
        <v>2611</v>
      </c>
      <c r="G1883" s="28">
        <v>3239994523</v>
      </c>
      <c r="H1883" s="29">
        <v>11.49</v>
      </c>
      <c r="I1883" s="142">
        <v>-67.95</v>
      </c>
      <c r="J1883" s="29">
        <v>6.32</v>
      </c>
      <c r="K1883" s="29">
        <v>5.86</v>
      </c>
      <c r="L1883" s="29">
        <v>11.73</v>
      </c>
      <c r="M1883" s="368"/>
      <c r="N1883" s="368"/>
      <c r="O1883" s="271">
        <f>IFERROR(Table17[[#This Row],[PROFIT]]/Table17[[#This Row],[TO]],0)</f>
        <v>0</v>
      </c>
      <c r="P1883" s="177"/>
      <c r="Q1883" s="177"/>
      <c r="R1883" s="177"/>
    </row>
    <row r="1884" spans="1:18" ht="30" hidden="1" x14ac:dyDescent="0.25">
      <c r="A1884" s="29" t="s">
        <v>2763</v>
      </c>
      <c r="B1884" s="29" t="s">
        <v>2762</v>
      </c>
      <c r="C1884" s="29" t="s">
        <v>514</v>
      </c>
      <c r="D1884" s="29" t="str">
        <f>VLOOKUP(C:C,'COUNT-CONT'!B:C,2,FALSE)</f>
        <v>North America</v>
      </c>
      <c r="E1884" s="29">
        <v>5</v>
      </c>
      <c r="F1884" s="28">
        <v>2115</v>
      </c>
      <c r="G1884" s="28">
        <v>3464994562</v>
      </c>
      <c r="H1884" s="29">
        <v>11.49</v>
      </c>
      <c r="I1884" s="142">
        <v>-67.95</v>
      </c>
      <c r="J1884" s="29">
        <v>7.56</v>
      </c>
      <c r="K1884" s="29">
        <v>7.32</v>
      </c>
      <c r="L1884" s="29">
        <v>13.06</v>
      </c>
      <c r="M1884" s="368"/>
      <c r="N1884" s="368"/>
      <c r="O1884" s="271">
        <f>IFERROR(Table17[[#This Row],[PROFIT]]/Table17[[#This Row],[TO]],0)</f>
        <v>0</v>
      </c>
      <c r="P1884" s="177"/>
      <c r="Q1884" s="177"/>
      <c r="R1884" s="177"/>
    </row>
    <row r="1885" spans="1:18" hidden="1" x14ac:dyDescent="0.25">
      <c r="A1885" s="29" t="s">
        <v>1844</v>
      </c>
      <c r="B1885" s="29" t="s">
        <v>1843</v>
      </c>
      <c r="C1885" s="29" t="s">
        <v>172</v>
      </c>
      <c r="D1885" s="29" t="str">
        <f>VLOOKUP(C:C,'COUNT-CONT'!B:C,2,FALSE)</f>
        <v>Asia</v>
      </c>
      <c r="E1885" s="29">
        <v>8</v>
      </c>
      <c r="F1885" s="28">
        <v>3003</v>
      </c>
      <c r="G1885" s="28">
        <v>2898800366</v>
      </c>
      <c r="H1885" s="29">
        <v>11.46</v>
      </c>
      <c r="I1885" s="142">
        <v>-67.97999999999999</v>
      </c>
      <c r="J1885" s="29">
        <v>4.63</v>
      </c>
      <c r="K1885" s="29">
        <v>4.0199999999999996</v>
      </c>
      <c r="L1885" s="29">
        <v>10.07</v>
      </c>
      <c r="M1885" s="368"/>
      <c r="N1885" s="368"/>
      <c r="O1885" s="271">
        <f>IFERROR(Table17[[#This Row],[PROFIT]]/Table17[[#This Row],[TO]],0)</f>
        <v>0</v>
      </c>
      <c r="P1885" s="177"/>
      <c r="Q1885" s="177"/>
      <c r="R1885" s="177"/>
    </row>
    <row r="1886" spans="1:18" ht="30" hidden="1" x14ac:dyDescent="0.25">
      <c r="A1886" s="29" t="s">
        <v>1738</v>
      </c>
      <c r="B1886" s="29" t="s">
        <v>1737</v>
      </c>
      <c r="C1886" s="29" t="s">
        <v>517</v>
      </c>
      <c r="D1886" s="29" t="str">
        <f>VLOOKUP(C:C,'COUNT-CONT'!B:C,2,FALSE)</f>
        <v>South America</v>
      </c>
      <c r="E1886" s="29">
        <v>5</v>
      </c>
      <c r="F1886" s="28">
        <v>2204</v>
      </c>
      <c r="G1886" s="28">
        <v>2905492558</v>
      </c>
      <c r="H1886" s="29">
        <v>11.46</v>
      </c>
      <c r="I1886" s="142">
        <v>-67.97999999999999</v>
      </c>
      <c r="J1886" s="29">
        <v>4.4400000000000004</v>
      </c>
      <c r="K1886" s="29">
        <v>3.69</v>
      </c>
      <c r="L1886" s="29">
        <v>9.6999999999999993</v>
      </c>
      <c r="M1886" s="368"/>
      <c r="N1886" s="368"/>
      <c r="O1886" s="271">
        <f>IFERROR(Table17[[#This Row],[PROFIT]]/Table17[[#This Row],[TO]],0)</f>
        <v>0</v>
      </c>
      <c r="P1886" s="177"/>
      <c r="Q1886" s="177"/>
      <c r="R1886" s="177"/>
    </row>
    <row r="1887" spans="1:18" ht="30" hidden="1" x14ac:dyDescent="0.25">
      <c r="A1887" s="29" t="s">
        <v>3223</v>
      </c>
      <c r="B1887" s="29" t="s">
        <v>3222</v>
      </c>
      <c r="C1887" s="29" t="s">
        <v>11732</v>
      </c>
      <c r="D1887" s="29" t="str">
        <f>VLOOKUP(C:C,'COUNT-CONT'!B:C,2,FALSE)</f>
        <v>North America</v>
      </c>
      <c r="E1887" s="29">
        <v>9</v>
      </c>
      <c r="F1887" s="28">
        <v>3265</v>
      </c>
      <c r="G1887" s="28">
        <v>3768406584</v>
      </c>
      <c r="H1887" s="29">
        <v>11.46</v>
      </c>
      <c r="I1887" s="142">
        <v>-67.97999999999999</v>
      </c>
      <c r="J1887" s="29">
        <v>9.34</v>
      </c>
      <c r="K1887" s="29">
        <v>9.34</v>
      </c>
      <c r="L1887" s="29">
        <v>15.08</v>
      </c>
      <c r="M1887" s="368"/>
      <c r="N1887" s="368"/>
      <c r="O1887" s="271">
        <f>IFERROR(Table17[[#This Row],[PROFIT]]/Table17[[#This Row],[TO]],0)</f>
        <v>0</v>
      </c>
      <c r="P1887" s="177"/>
      <c r="Q1887" s="177"/>
      <c r="R1887" s="177"/>
    </row>
    <row r="1888" spans="1:18" ht="30" hidden="1" x14ac:dyDescent="0.25">
      <c r="A1888" s="29" t="s">
        <v>2759</v>
      </c>
      <c r="B1888" s="29" t="s">
        <v>2758</v>
      </c>
      <c r="C1888" s="29" t="s">
        <v>514</v>
      </c>
      <c r="D1888" s="29" t="str">
        <f>VLOOKUP(C:C,'COUNT-CONT'!B:C,2,FALSE)</f>
        <v>North America</v>
      </c>
      <c r="E1888" s="29">
        <v>8</v>
      </c>
      <c r="F1888" s="28">
        <v>2820</v>
      </c>
      <c r="G1888" s="28">
        <v>3398670921</v>
      </c>
      <c r="H1888" s="29">
        <v>11.46</v>
      </c>
      <c r="I1888" s="142">
        <v>-67.97999999999999</v>
      </c>
      <c r="J1888" s="29">
        <v>7.53</v>
      </c>
      <c r="K1888" s="29">
        <v>7.29</v>
      </c>
      <c r="L1888" s="29">
        <v>13.03</v>
      </c>
      <c r="M1888" s="368"/>
      <c r="N1888" s="368"/>
      <c r="O1888" s="271">
        <f>IFERROR(Table17[[#This Row],[PROFIT]]/Table17[[#This Row],[TO]],0)</f>
        <v>0</v>
      </c>
      <c r="P1888" s="177"/>
      <c r="Q1888" s="177"/>
      <c r="R1888" s="177"/>
    </row>
    <row r="1889" spans="1:18" ht="30" hidden="1" x14ac:dyDescent="0.25">
      <c r="A1889" s="29" t="s">
        <v>3217</v>
      </c>
      <c r="B1889" s="29" t="s">
        <v>3216</v>
      </c>
      <c r="C1889" s="29" t="s">
        <v>11732</v>
      </c>
      <c r="D1889" s="29" t="str">
        <f>VLOOKUP(C:C,'COUNT-CONT'!B:C,2,FALSE)</f>
        <v>North America</v>
      </c>
      <c r="E1889" s="29">
        <v>9</v>
      </c>
      <c r="F1889" s="28">
        <v>3079</v>
      </c>
      <c r="G1889" s="28">
        <v>3762458850</v>
      </c>
      <c r="H1889" s="29">
        <v>11.43</v>
      </c>
      <c r="I1889" s="142">
        <v>-68.009999999999991</v>
      </c>
      <c r="J1889" s="29">
        <v>9.31</v>
      </c>
      <c r="K1889" s="29">
        <v>9.31</v>
      </c>
      <c r="L1889" s="29">
        <v>15.02</v>
      </c>
      <c r="M1889" s="368"/>
      <c r="N1889" s="368"/>
      <c r="O1889" s="271">
        <f>IFERROR(Table17[[#This Row],[PROFIT]]/Table17[[#This Row],[TO]],0)</f>
        <v>0</v>
      </c>
      <c r="P1889" s="177"/>
      <c r="Q1889" s="177"/>
      <c r="R1889" s="177"/>
    </row>
    <row r="1890" spans="1:18" hidden="1" x14ac:dyDescent="0.25">
      <c r="A1890" s="29" t="s">
        <v>976</v>
      </c>
      <c r="B1890" s="29" t="s">
        <v>975</v>
      </c>
      <c r="C1890" s="29" t="s">
        <v>974</v>
      </c>
      <c r="D1890" s="29" t="str">
        <f>VLOOKUP(C:C,'COUNT-CONT'!B:C,2,FALSE)</f>
        <v>Asia</v>
      </c>
      <c r="E1890" s="29">
        <v>1</v>
      </c>
      <c r="F1890" s="28">
        <v>1201</v>
      </c>
      <c r="G1890" s="28">
        <v>3095503413</v>
      </c>
      <c r="H1890" s="29">
        <v>11.43</v>
      </c>
      <c r="I1890" s="142">
        <v>-68.009999999999991</v>
      </c>
      <c r="J1890" s="29">
        <v>2.42</v>
      </c>
      <c r="K1890" s="29">
        <v>1.36</v>
      </c>
      <c r="L1890" s="29">
        <v>7.62</v>
      </c>
      <c r="M1890" s="368"/>
      <c r="N1890" s="368"/>
      <c r="O1890" s="271">
        <f>IFERROR(Table17[[#This Row],[PROFIT]]/Table17[[#This Row],[TO]],0)</f>
        <v>0</v>
      </c>
      <c r="P1890" s="177"/>
      <c r="Q1890" s="177"/>
      <c r="R1890" s="177"/>
    </row>
    <row r="1891" spans="1:18" hidden="1" x14ac:dyDescent="0.25">
      <c r="A1891" s="29" t="s">
        <v>978</v>
      </c>
      <c r="B1891" s="29" t="s">
        <v>977</v>
      </c>
      <c r="C1891" s="29" t="s">
        <v>974</v>
      </c>
      <c r="D1891" s="29" t="str">
        <f>VLOOKUP(C:C,'COUNT-CONT'!B:C,2,FALSE)</f>
        <v>Asia</v>
      </c>
      <c r="E1891" s="29">
        <v>2</v>
      </c>
      <c r="F1891" s="28">
        <v>1473</v>
      </c>
      <c r="G1891" s="28">
        <v>2953575288</v>
      </c>
      <c r="H1891" s="29">
        <v>11.43</v>
      </c>
      <c r="I1891" s="142">
        <v>-68.009999999999991</v>
      </c>
      <c r="J1891" s="29">
        <v>2.42</v>
      </c>
      <c r="K1891" s="29">
        <v>1.36</v>
      </c>
      <c r="L1891" s="29">
        <v>7.62</v>
      </c>
      <c r="M1891" s="368"/>
      <c r="N1891" s="368"/>
      <c r="O1891" s="271">
        <f>IFERROR(Table17[[#This Row],[PROFIT]]/Table17[[#This Row],[TO]],0)</f>
        <v>0</v>
      </c>
      <c r="P1891" s="177"/>
      <c r="Q1891" s="177"/>
      <c r="R1891" s="177"/>
    </row>
    <row r="1892" spans="1:18" ht="30" hidden="1" x14ac:dyDescent="0.25">
      <c r="A1892" s="29" t="s">
        <v>1263</v>
      </c>
      <c r="B1892" s="29" t="s">
        <v>1262</v>
      </c>
      <c r="C1892" s="29" t="s">
        <v>1261</v>
      </c>
      <c r="D1892" s="29" t="str">
        <f>VLOOKUP(C:C,'COUNT-CONT'!B:C,2,FALSE)</f>
        <v>Asia</v>
      </c>
      <c r="E1892" s="29">
        <v>4</v>
      </c>
      <c r="F1892" s="28">
        <v>1858</v>
      </c>
      <c r="G1892" s="28">
        <v>2851234445</v>
      </c>
      <c r="H1892" s="29">
        <v>11.43</v>
      </c>
      <c r="I1892" s="142">
        <v>-68.009999999999991</v>
      </c>
      <c r="J1892" s="29">
        <v>3.17</v>
      </c>
      <c r="K1892" s="29">
        <v>2.33</v>
      </c>
      <c r="L1892" s="29">
        <v>8.4</v>
      </c>
      <c r="M1892" s="368"/>
      <c r="N1892" s="368"/>
      <c r="O1892" s="271">
        <f>IFERROR(Table17[[#This Row],[PROFIT]]/Table17[[#This Row],[TO]],0)</f>
        <v>0</v>
      </c>
      <c r="P1892" s="177"/>
      <c r="Q1892" s="177"/>
      <c r="R1892" s="177"/>
    </row>
    <row r="1893" spans="1:18" hidden="1" x14ac:dyDescent="0.25">
      <c r="A1893" s="29" t="s">
        <v>982</v>
      </c>
      <c r="B1893" s="29" t="s">
        <v>981</v>
      </c>
      <c r="C1893" s="29" t="s">
        <v>974</v>
      </c>
      <c r="D1893" s="29" t="str">
        <f>VLOOKUP(C:C,'COUNT-CONT'!B:C,2,FALSE)</f>
        <v>Asia</v>
      </c>
      <c r="E1893" s="29">
        <v>3</v>
      </c>
      <c r="F1893" s="28">
        <v>1634</v>
      </c>
      <c r="G1893" s="28">
        <v>2896094614</v>
      </c>
      <c r="H1893" s="29">
        <v>11.43</v>
      </c>
      <c r="I1893" s="142">
        <v>-68.009999999999991</v>
      </c>
      <c r="J1893" s="29">
        <v>2.42</v>
      </c>
      <c r="K1893" s="29">
        <v>1.36</v>
      </c>
      <c r="L1893" s="29">
        <v>7.62</v>
      </c>
      <c r="M1893" s="368"/>
      <c r="N1893" s="368"/>
      <c r="O1893" s="271">
        <f>IFERROR(Table17[[#This Row],[PROFIT]]/Table17[[#This Row],[TO]],0)</f>
        <v>0</v>
      </c>
      <c r="P1893" s="177"/>
      <c r="Q1893" s="177"/>
      <c r="R1893" s="177"/>
    </row>
    <row r="1894" spans="1:18" ht="30" hidden="1" x14ac:dyDescent="0.25">
      <c r="A1894" s="29" t="s">
        <v>1716</v>
      </c>
      <c r="B1894" s="29" t="s">
        <v>1715</v>
      </c>
      <c r="C1894" s="29" t="s">
        <v>517</v>
      </c>
      <c r="D1894" s="29" t="str">
        <f>VLOOKUP(C:C,'COUNT-CONT'!B:C,2,FALSE)</f>
        <v>South America</v>
      </c>
      <c r="E1894" s="29">
        <v>5</v>
      </c>
      <c r="F1894" s="28">
        <v>2124</v>
      </c>
      <c r="G1894" s="28">
        <v>2908290772</v>
      </c>
      <c r="H1894" s="29">
        <v>11.4</v>
      </c>
      <c r="I1894" s="142">
        <v>-68.039999999999992</v>
      </c>
      <c r="J1894" s="29">
        <v>4.41</v>
      </c>
      <c r="K1894" s="29">
        <v>3.66</v>
      </c>
      <c r="L1894" s="29">
        <v>9.64</v>
      </c>
      <c r="M1894" s="368"/>
      <c r="N1894" s="368"/>
      <c r="O1894" s="271">
        <f>IFERROR(Table17[[#This Row],[PROFIT]]/Table17[[#This Row],[TO]],0)</f>
        <v>0</v>
      </c>
      <c r="P1894" s="177"/>
      <c r="Q1894" s="177"/>
      <c r="R1894" s="177"/>
    </row>
    <row r="1895" spans="1:18" ht="30" hidden="1" x14ac:dyDescent="0.25">
      <c r="A1895" s="29" t="s">
        <v>3208</v>
      </c>
      <c r="B1895" s="29" t="s">
        <v>3207</v>
      </c>
      <c r="C1895" s="29" t="s">
        <v>11732</v>
      </c>
      <c r="D1895" s="29" t="str">
        <f>VLOOKUP(C:C,'COUNT-CONT'!B:C,2,FALSE)</f>
        <v>North America</v>
      </c>
      <c r="E1895" s="29">
        <v>3</v>
      </c>
      <c r="F1895" s="28">
        <v>1576</v>
      </c>
      <c r="G1895" s="28">
        <v>3949569543</v>
      </c>
      <c r="H1895" s="29">
        <v>11.4</v>
      </c>
      <c r="I1895" s="142">
        <v>-68.039999999999992</v>
      </c>
      <c r="J1895" s="29">
        <v>9.2799999999999994</v>
      </c>
      <c r="K1895" s="29">
        <v>9.2799999999999994</v>
      </c>
      <c r="L1895" s="29">
        <v>14.99</v>
      </c>
      <c r="M1895" s="368"/>
      <c r="N1895" s="368"/>
      <c r="O1895" s="271">
        <f>IFERROR(Table17[[#This Row],[PROFIT]]/Table17[[#This Row],[TO]],0)</f>
        <v>0</v>
      </c>
      <c r="P1895" s="177"/>
      <c r="Q1895" s="177"/>
      <c r="R1895" s="177"/>
    </row>
    <row r="1896" spans="1:18" ht="30" hidden="1" x14ac:dyDescent="0.25">
      <c r="A1896" s="29" t="s">
        <v>1943</v>
      </c>
      <c r="B1896" s="29" t="s">
        <v>1942</v>
      </c>
      <c r="C1896" s="29" t="s">
        <v>812</v>
      </c>
      <c r="D1896" s="29" t="str">
        <f>VLOOKUP(C:C,'COUNT-CONT'!B:C,2,FALSE)</f>
        <v>North America</v>
      </c>
      <c r="E1896" s="29">
        <v>2</v>
      </c>
      <c r="F1896" s="28">
        <v>1399</v>
      </c>
      <c r="G1896" s="28">
        <v>3195475911</v>
      </c>
      <c r="H1896" s="29">
        <v>11.37</v>
      </c>
      <c r="I1896" s="142">
        <v>-68.069999999999993</v>
      </c>
      <c r="J1896" s="29">
        <v>5.17</v>
      </c>
      <c r="K1896" s="29">
        <v>4.32</v>
      </c>
      <c r="L1896" s="29">
        <v>10.34</v>
      </c>
      <c r="M1896" s="368"/>
      <c r="N1896" s="368"/>
      <c r="O1896" s="271">
        <f>IFERROR(Table17[[#This Row],[PROFIT]]/Table17[[#This Row],[TO]],0)</f>
        <v>0</v>
      </c>
      <c r="P1896" s="177"/>
      <c r="Q1896" s="177"/>
      <c r="R1896" s="177"/>
    </row>
    <row r="1897" spans="1:18" hidden="1" x14ac:dyDescent="0.25">
      <c r="A1897" s="29" t="s">
        <v>3210</v>
      </c>
      <c r="B1897" s="29" t="s">
        <v>3209</v>
      </c>
      <c r="C1897" s="29" t="s">
        <v>560</v>
      </c>
      <c r="D1897" s="29" t="str">
        <f>VLOOKUP(C:C,'COUNT-CONT'!B:C,2,FALSE)</f>
        <v>Europe</v>
      </c>
      <c r="E1897" s="29">
        <v>6</v>
      </c>
      <c r="F1897" s="28">
        <v>2464</v>
      </c>
      <c r="G1897" s="28">
        <v>3784428571</v>
      </c>
      <c r="H1897" s="29">
        <v>11.37</v>
      </c>
      <c r="I1897" s="142">
        <v>-68.069999999999993</v>
      </c>
      <c r="J1897" s="29">
        <v>9.2799999999999994</v>
      </c>
      <c r="K1897" s="29">
        <v>9.2799999999999994</v>
      </c>
      <c r="L1897" s="29">
        <v>14.99</v>
      </c>
      <c r="M1897" s="368"/>
      <c r="N1897" s="368"/>
      <c r="O1897" s="271">
        <f>IFERROR(Table17[[#This Row],[PROFIT]]/Table17[[#This Row],[TO]],0)</f>
        <v>0</v>
      </c>
      <c r="P1897" s="177"/>
      <c r="Q1897" s="177"/>
      <c r="R1897" s="177"/>
    </row>
    <row r="1898" spans="1:18" hidden="1" x14ac:dyDescent="0.25">
      <c r="A1898" s="29" t="s">
        <v>1577</v>
      </c>
      <c r="B1898" s="29" t="s">
        <v>1576</v>
      </c>
      <c r="C1898" s="29" t="s">
        <v>78</v>
      </c>
      <c r="D1898" s="29" t="str">
        <f>VLOOKUP(C:C,'COUNT-CONT'!B:C,2,FALSE)</f>
        <v>Europe</v>
      </c>
      <c r="E1898" s="29">
        <v>6</v>
      </c>
      <c r="F1898" s="28">
        <v>2303</v>
      </c>
      <c r="G1898" s="28">
        <v>2839637863</v>
      </c>
      <c r="H1898" s="29">
        <v>11.34</v>
      </c>
      <c r="I1898" s="142">
        <v>-68.099999999999994</v>
      </c>
      <c r="J1898" s="29">
        <v>4.08</v>
      </c>
      <c r="K1898" s="29">
        <v>3.33</v>
      </c>
      <c r="L1898" s="29">
        <v>9.31</v>
      </c>
      <c r="M1898" s="368"/>
      <c r="N1898" s="368"/>
      <c r="O1898" s="271">
        <f>IFERROR(Table17[[#This Row],[PROFIT]]/Table17[[#This Row],[TO]],0)</f>
        <v>0</v>
      </c>
      <c r="P1898" s="177"/>
      <c r="Q1898" s="177"/>
      <c r="R1898" s="177"/>
    </row>
    <row r="1899" spans="1:18" hidden="1" x14ac:dyDescent="0.25">
      <c r="A1899" s="29" t="s">
        <v>1820</v>
      </c>
      <c r="B1899" s="29" t="s">
        <v>1819</v>
      </c>
      <c r="C1899" s="29" t="s">
        <v>172</v>
      </c>
      <c r="D1899" s="29" t="str">
        <f>VLOOKUP(C:C,'COUNT-CONT'!B:C,2,FALSE)</f>
        <v>Asia</v>
      </c>
      <c r="E1899" s="29">
        <v>8</v>
      </c>
      <c r="F1899" s="28">
        <v>3006</v>
      </c>
      <c r="G1899" s="28">
        <v>2881134797</v>
      </c>
      <c r="H1899" s="29">
        <v>11.34</v>
      </c>
      <c r="I1899" s="142">
        <v>-68.099999999999994</v>
      </c>
      <c r="J1899" s="29">
        <v>4.5599999999999996</v>
      </c>
      <c r="K1899" s="29">
        <v>3.96</v>
      </c>
      <c r="L1899" s="29">
        <v>9.9499999999999993</v>
      </c>
      <c r="M1899" s="368"/>
      <c r="N1899" s="368"/>
      <c r="O1899" s="271">
        <f>IFERROR(Table17[[#This Row],[PROFIT]]/Table17[[#This Row],[TO]],0)</f>
        <v>0</v>
      </c>
      <c r="P1899" s="177"/>
      <c r="Q1899" s="177"/>
      <c r="R1899" s="177"/>
    </row>
    <row r="1900" spans="1:18" ht="30" hidden="1" x14ac:dyDescent="0.25">
      <c r="A1900" s="29" t="s">
        <v>2716</v>
      </c>
      <c r="B1900" s="29" t="s">
        <v>2715</v>
      </c>
      <c r="C1900" s="29" t="s">
        <v>514</v>
      </c>
      <c r="D1900" s="29" t="str">
        <f>VLOOKUP(C:C,'COUNT-CONT'!B:C,2,FALSE)</f>
        <v>North America</v>
      </c>
      <c r="E1900" s="29">
        <v>6</v>
      </c>
      <c r="F1900" s="28">
        <v>2294</v>
      </c>
      <c r="G1900" s="28">
        <v>3418211769</v>
      </c>
      <c r="H1900" s="29">
        <v>11.34</v>
      </c>
      <c r="I1900" s="142">
        <v>-68.099999999999994</v>
      </c>
      <c r="J1900" s="29">
        <v>7.47</v>
      </c>
      <c r="K1900" s="29">
        <v>7.19</v>
      </c>
      <c r="L1900" s="29">
        <v>12.88</v>
      </c>
      <c r="M1900" s="368"/>
      <c r="N1900" s="368"/>
      <c r="O1900" s="271">
        <f>IFERROR(Table17[[#This Row],[PROFIT]]/Table17[[#This Row],[TO]],0)</f>
        <v>0</v>
      </c>
      <c r="P1900" s="177"/>
      <c r="Q1900" s="177"/>
      <c r="R1900" s="177"/>
    </row>
    <row r="1901" spans="1:18" ht="30" hidden="1" x14ac:dyDescent="0.25">
      <c r="A1901" s="29" t="s">
        <v>3179</v>
      </c>
      <c r="B1901" s="29" t="s">
        <v>3178</v>
      </c>
      <c r="C1901" s="29" t="s">
        <v>11732</v>
      </c>
      <c r="D1901" s="29" t="str">
        <f>VLOOKUP(C:C,'COUNT-CONT'!B:C,2,FALSE)</f>
        <v>North America</v>
      </c>
      <c r="E1901" s="29">
        <v>7</v>
      </c>
      <c r="F1901" s="28">
        <v>2770</v>
      </c>
      <c r="G1901" s="28">
        <v>3751011913</v>
      </c>
      <c r="H1901" s="29">
        <v>11.31</v>
      </c>
      <c r="I1901" s="142">
        <v>-68.13</v>
      </c>
      <c r="J1901" s="29">
        <v>9.2200000000000006</v>
      </c>
      <c r="K1901" s="29">
        <v>9.2200000000000006</v>
      </c>
      <c r="L1901" s="29">
        <v>14.87</v>
      </c>
      <c r="M1901" s="368"/>
      <c r="N1901" s="368"/>
      <c r="O1901" s="271">
        <f>IFERROR(Table17[[#This Row],[PROFIT]]/Table17[[#This Row],[TO]],0)</f>
        <v>0</v>
      </c>
      <c r="P1901" s="177"/>
      <c r="Q1901" s="177"/>
      <c r="R1901" s="177"/>
    </row>
    <row r="1902" spans="1:18" hidden="1" x14ac:dyDescent="0.25">
      <c r="A1902" s="29" t="s">
        <v>2054</v>
      </c>
      <c r="B1902" s="29" t="s">
        <v>2053</v>
      </c>
      <c r="C1902" s="29" t="s">
        <v>630</v>
      </c>
      <c r="D1902" s="29" t="str">
        <f>VLOOKUP(C:C,'COUNT-CONT'!B:C,2,FALSE)</f>
        <v>Europe</v>
      </c>
      <c r="E1902" s="29">
        <v>2</v>
      </c>
      <c r="F1902" s="28">
        <v>1404</v>
      </c>
      <c r="G1902" s="28">
        <v>3342875783</v>
      </c>
      <c r="H1902" s="29">
        <v>11.31</v>
      </c>
      <c r="I1902" s="142">
        <v>-68.13</v>
      </c>
      <c r="J1902" s="29">
        <v>5.32</v>
      </c>
      <c r="K1902" s="29">
        <v>4.6900000000000004</v>
      </c>
      <c r="L1902" s="29">
        <v>10.67</v>
      </c>
      <c r="M1902" s="368"/>
      <c r="N1902" s="368"/>
      <c r="O1902" s="271">
        <f>IFERROR(Table17[[#This Row],[PROFIT]]/Table17[[#This Row],[TO]],0)</f>
        <v>0</v>
      </c>
      <c r="P1902" s="177"/>
      <c r="Q1902" s="177"/>
      <c r="R1902" s="177"/>
    </row>
    <row r="1903" spans="1:18" hidden="1" x14ac:dyDescent="0.25">
      <c r="A1903" s="29" t="s">
        <v>1682</v>
      </c>
      <c r="B1903" s="29" t="s">
        <v>1681</v>
      </c>
      <c r="C1903" s="29" t="s">
        <v>14</v>
      </c>
      <c r="D1903" s="29" t="str">
        <f>VLOOKUP(C:C,'COUNT-CONT'!B:C,2,FALSE)</f>
        <v>Asia</v>
      </c>
      <c r="E1903" s="29">
        <v>4</v>
      </c>
      <c r="F1903" s="28">
        <v>1803</v>
      </c>
      <c r="G1903" s="28">
        <v>2958894287</v>
      </c>
      <c r="H1903" s="29">
        <v>11.31</v>
      </c>
      <c r="I1903" s="142">
        <v>-68.13</v>
      </c>
      <c r="J1903" s="29">
        <v>4.38</v>
      </c>
      <c r="K1903" s="29">
        <v>3.63</v>
      </c>
      <c r="L1903" s="29">
        <v>9.58</v>
      </c>
      <c r="M1903" s="368"/>
      <c r="N1903" s="368"/>
      <c r="O1903" s="271">
        <f>IFERROR(Table17[[#This Row],[PROFIT]]/Table17[[#This Row],[TO]],0)</f>
        <v>0</v>
      </c>
      <c r="P1903" s="177"/>
      <c r="Q1903" s="177"/>
      <c r="R1903" s="177"/>
    </row>
    <row r="1904" spans="1:18" hidden="1" x14ac:dyDescent="0.25">
      <c r="A1904" s="29" t="s">
        <v>1678</v>
      </c>
      <c r="B1904" s="29" t="s">
        <v>1677</v>
      </c>
      <c r="C1904" s="29" t="s">
        <v>14</v>
      </c>
      <c r="D1904" s="29" t="str">
        <f>VLOOKUP(C:C,'COUNT-CONT'!B:C,2,FALSE)</f>
        <v>Asia</v>
      </c>
      <c r="E1904" s="29">
        <v>8</v>
      </c>
      <c r="F1904" s="28">
        <v>2805</v>
      </c>
      <c r="G1904" s="28">
        <v>2837756862</v>
      </c>
      <c r="H1904" s="29">
        <v>11.28</v>
      </c>
      <c r="I1904" s="142">
        <v>-68.16</v>
      </c>
      <c r="J1904" s="29">
        <v>4.38</v>
      </c>
      <c r="K1904" s="29">
        <v>3.63</v>
      </c>
      <c r="L1904" s="29">
        <v>9.5500000000000007</v>
      </c>
      <c r="M1904" s="368"/>
      <c r="N1904" s="368"/>
      <c r="O1904" s="271">
        <f>IFERROR(Table17[[#This Row],[PROFIT]]/Table17[[#This Row],[TO]],0)</f>
        <v>0</v>
      </c>
      <c r="P1904" s="177"/>
      <c r="Q1904" s="177"/>
      <c r="R1904" s="177"/>
    </row>
    <row r="1905" spans="1:18" ht="30" hidden="1" x14ac:dyDescent="0.25">
      <c r="A1905" s="29" t="s">
        <v>3177</v>
      </c>
      <c r="B1905" s="29" t="s">
        <v>3176</v>
      </c>
      <c r="C1905" s="29" t="s">
        <v>11732</v>
      </c>
      <c r="D1905" s="29" t="str">
        <f>VLOOKUP(C:C,'COUNT-CONT'!B:C,2,FALSE)</f>
        <v>North America</v>
      </c>
      <c r="E1905" s="29">
        <v>6</v>
      </c>
      <c r="F1905" s="28">
        <v>2493</v>
      </c>
      <c r="G1905" s="28">
        <v>3766135459</v>
      </c>
      <c r="H1905" s="29">
        <v>11.28</v>
      </c>
      <c r="I1905" s="142">
        <v>-68.16</v>
      </c>
      <c r="J1905" s="29">
        <v>9.2200000000000006</v>
      </c>
      <c r="K1905" s="29">
        <v>9.2200000000000006</v>
      </c>
      <c r="L1905" s="29">
        <v>14.87</v>
      </c>
      <c r="M1905" s="368"/>
      <c r="N1905" s="368"/>
      <c r="O1905" s="271">
        <f>IFERROR(Table17[[#This Row],[PROFIT]]/Table17[[#This Row],[TO]],0)</f>
        <v>0</v>
      </c>
      <c r="P1905" s="177"/>
      <c r="Q1905" s="177"/>
      <c r="R1905" s="177"/>
    </row>
    <row r="1906" spans="1:18" hidden="1" x14ac:dyDescent="0.25">
      <c r="A1906" s="29" t="s">
        <v>2341</v>
      </c>
      <c r="B1906" s="29" t="s">
        <v>2340</v>
      </c>
      <c r="C1906" s="29" t="s">
        <v>585</v>
      </c>
      <c r="D1906" s="29" t="str">
        <f>VLOOKUP(C:C,'COUNT-CONT'!B:C,2,FALSE)</f>
        <v>Europe</v>
      </c>
      <c r="E1906" s="29">
        <v>5</v>
      </c>
      <c r="F1906" s="28">
        <v>2212</v>
      </c>
      <c r="G1906" s="28">
        <v>3248987522</v>
      </c>
      <c r="H1906" s="29">
        <v>11.28</v>
      </c>
      <c r="I1906" s="142">
        <v>-68.16</v>
      </c>
      <c r="J1906" s="29">
        <v>6.23</v>
      </c>
      <c r="K1906" s="29">
        <v>5.74</v>
      </c>
      <c r="L1906" s="29">
        <v>11.52</v>
      </c>
      <c r="M1906" s="368"/>
      <c r="N1906" s="368"/>
      <c r="O1906" s="271">
        <f>IFERROR(Table17[[#This Row],[PROFIT]]/Table17[[#This Row],[TO]],0)</f>
        <v>0</v>
      </c>
      <c r="P1906" s="177"/>
      <c r="Q1906" s="177"/>
      <c r="R1906" s="177"/>
    </row>
    <row r="1907" spans="1:18" ht="30" hidden="1" x14ac:dyDescent="0.25">
      <c r="A1907" s="29" t="s">
        <v>1914</v>
      </c>
      <c r="B1907" s="29" t="s">
        <v>1913</v>
      </c>
      <c r="C1907" s="29" t="s">
        <v>1749</v>
      </c>
      <c r="D1907" s="29" t="str">
        <f>VLOOKUP(C:C,'COUNT-CONT'!B:C,2,FALSE)</f>
        <v>North America</v>
      </c>
      <c r="E1907" s="29">
        <v>6</v>
      </c>
      <c r="F1907" s="28">
        <v>2306</v>
      </c>
      <c r="G1907" s="28">
        <v>2963816478</v>
      </c>
      <c r="H1907" s="29">
        <v>11.25</v>
      </c>
      <c r="I1907" s="142">
        <v>-68.19</v>
      </c>
      <c r="J1907" s="29">
        <v>5.1100000000000003</v>
      </c>
      <c r="K1907" s="29">
        <v>4.29</v>
      </c>
      <c r="L1907" s="29">
        <v>10.25</v>
      </c>
      <c r="M1907" s="368"/>
      <c r="N1907" s="368"/>
      <c r="O1907" s="271">
        <f>IFERROR(Table17[[#This Row],[PROFIT]]/Table17[[#This Row],[TO]],0)</f>
        <v>0</v>
      </c>
      <c r="P1907" s="177"/>
      <c r="Q1907" s="177"/>
      <c r="R1907" s="177"/>
    </row>
    <row r="1908" spans="1:18" ht="30" hidden="1" x14ac:dyDescent="0.25">
      <c r="A1908" s="29" t="s">
        <v>3158</v>
      </c>
      <c r="B1908" s="29" t="s">
        <v>3157</v>
      </c>
      <c r="C1908" s="29" t="s">
        <v>11732</v>
      </c>
      <c r="D1908" s="29" t="str">
        <f>VLOOKUP(C:C,'COUNT-CONT'!B:C,2,FALSE)</f>
        <v>North America</v>
      </c>
      <c r="E1908" s="29">
        <v>5</v>
      </c>
      <c r="F1908" s="28">
        <v>2201</v>
      </c>
      <c r="G1908" s="28">
        <v>3786172830</v>
      </c>
      <c r="H1908" s="29">
        <v>11.25</v>
      </c>
      <c r="I1908" s="142">
        <v>-68.19</v>
      </c>
      <c r="J1908" s="29">
        <v>9.16</v>
      </c>
      <c r="K1908" s="29">
        <v>9.16</v>
      </c>
      <c r="L1908" s="29">
        <v>14.78</v>
      </c>
      <c r="M1908" s="368"/>
      <c r="N1908" s="368"/>
      <c r="O1908" s="271">
        <f>IFERROR(Table17[[#This Row],[PROFIT]]/Table17[[#This Row],[TO]],0)</f>
        <v>0</v>
      </c>
      <c r="P1908" s="177"/>
      <c r="Q1908" s="177"/>
      <c r="R1908" s="177"/>
    </row>
    <row r="1909" spans="1:18" hidden="1" x14ac:dyDescent="0.25">
      <c r="A1909" s="29" t="s">
        <v>1511</v>
      </c>
      <c r="B1909" s="29" t="s">
        <v>1510</v>
      </c>
      <c r="C1909" s="29" t="s">
        <v>717</v>
      </c>
      <c r="D1909" s="29" t="str">
        <f>VLOOKUP(C:C,'COUNT-CONT'!B:C,2,FALSE)</f>
        <v>Asia</v>
      </c>
      <c r="E1909" s="29">
        <v>3</v>
      </c>
      <c r="F1909" s="28">
        <v>1682</v>
      </c>
      <c r="G1909" s="28">
        <v>2942783353</v>
      </c>
      <c r="H1909" s="29">
        <v>11.25</v>
      </c>
      <c r="I1909" s="142">
        <v>-68.19</v>
      </c>
      <c r="J1909" s="29">
        <v>4.05</v>
      </c>
      <c r="K1909" s="29">
        <v>3.3</v>
      </c>
      <c r="L1909" s="29">
        <v>9.2200000000000006</v>
      </c>
      <c r="M1909" s="368"/>
      <c r="N1909" s="368"/>
      <c r="O1909" s="271">
        <f>IFERROR(Table17[[#This Row],[PROFIT]]/Table17[[#This Row],[TO]],0)</f>
        <v>0</v>
      </c>
      <c r="P1909" s="177"/>
      <c r="Q1909" s="177"/>
      <c r="R1909" s="177"/>
    </row>
    <row r="1910" spans="1:18" ht="30" x14ac:dyDescent="0.25">
      <c r="A1910" s="29" t="s">
        <v>2032</v>
      </c>
      <c r="B1910" s="29" t="s">
        <v>2031</v>
      </c>
      <c r="C1910" s="29" t="s">
        <v>662</v>
      </c>
      <c r="D1910" s="29" t="str">
        <f>VLOOKUP(C:C,'COUNT-CONT'!B:C,2,FALSE)</f>
        <v>Oceania</v>
      </c>
      <c r="E1910" s="29">
        <v>1</v>
      </c>
      <c r="F1910" s="28">
        <v>1203</v>
      </c>
      <c r="G1910" s="28">
        <v>3355780714</v>
      </c>
      <c r="H1910" s="29">
        <v>11.25</v>
      </c>
      <c r="I1910" s="142">
        <v>-68.19</v>
      </c>
      <c r="J1910" s="29">
        <v>5.5</v>
      </c>
      <c r="K1910" s="29">
        <v>4.66</v>
      </c>
      <c r="L1910" s="29">
        <v>10.61</v>
      </c>
      <c r="M1910" s="368"/>
      <c r="N1910" s="368"/>
      <c r="O1910" s="271">
        <f>IFERROR(Table17[[#This Row],[PROFIT]]/Table17[[#This Row],[TO]],0)</f>
        <v>0</v>
      </c>
      <c r="P1910" s="177"/>
      <c r="Q1910" s="177"/>
      <c r="R1910" s="177"/>
    </row>
    <row r="1911" spans="1:18" ht="30" hidden="1" x14ac:dyDescent="0.25">
      <c r="A1911" s="29" t="s">
        <v>2696</v>
      </c>
      <c r="B1911" s="29" t="s">
        <v>2695</v>
      </c>
      <c r="C1911" s="29" t="s">
        <v>514</v>
      </c>
      <c r="D1911" s="29" t="str">
        <f>VLOOKUP(C:C,'COUNT-CONT'!B:C,2,FALSE)</f>
        <v>North America</v>
      </c>
      <c r="E1911" s="29">
        <v>4</v>
      </c>
      <c r="F1911" s="28">
        <v>1885</v>
      </c>
      <c r="G1911" s="28">
        <v>3467254376</v>
      </c>
      <c r="H1911" s="29">
        <v>11.25</v>
      </c>
      <c r="I1911" s="142">
        <v>-68.19</v>
      </c>
      <c r="J1911" s="29">
        <v>7.41</v>
      </c>
      <c r="K1911" s="29">
        <v>7.13</v>
      </c>
      <c r="L1911" s="29">
        <v>12.79</v>
      </c>
      <c r="M1911" s="368"/>
      <c r="N1911" s="368"/>
      <c r="O1911" s="271">
        <f>IFERROR(Table17[[#This Row],[PROFIT]]/Table17[[#This Row],[TO]],0)</f>
        <v>0</v>
      </c>
      <c r="P1911" s="177"/>
      <c r="Q1911" s="177"/>
      <c r="R1911" s="177"/>
    </row>
    <row r="1912" spans="1:18" ht="30" hidden="1" x14ac:dyDescent="0.25">
      <c r="A1912" s="29" t="s">
        <v>2698</v>
      </c>
      <c r="B1912" s="29" t="s">
        <v>2697</v>
      </c>
      <c r="C1912" s="29" t="s">
        <v>514</v>
      </c>
      <c r="D1912" s="29" t="str">
        <f>VLOOKUP(C:C,'COUNT-CONT'!B:C,2,FALSE)</f>
        <v>North America</v>
      </c>
      <c r="E1912" s="29">
        <v>5</v>
      </c>
      <c r="F1912" s="28">
        <v>2166</v>
      </c>
      <c r="G1912" s="28">
        <v>3419548568</v>
      </c>
      <c r="H1912" s="29">
        <v>11.25</v>
      </c>
      <c r="I1912" s="142">
        <v>-68.19</v>
      </c>
      <c r="J1912" s="29">
        <v>7.41</v>
      </c>
      <c r="K1912" s="29">
        <v>7.13</v>
      </c>
      <c r="L1912" s="29">
        <v>12.79</v>
      </c>
      <c r="M1912" s="368"/>
      <c r="N1912" s="368"/>
      <c r="O1912" s="271">
        <f>IFERROR(Table17[[#This Row],[PROFIT]]/Table17[[#This Row],[TO]],0)</f>
        <v>0</v>
      </c>
      <c r="P1912" s="177"/>
      <c r="Q1912" s="177"/>
      <c r="R1912" s="177"/>
    </row>
    <row r="1913" spans="1:18" hidden="1" x14ac:dyDescent="0.25">
      <c r="A1913" s="29" t="s">
        <v>1335</v>
      </c>
      <c r="B1913" s="29" t="s">
        <v>1334</v>
      </c>
      <c r="C1913" s="29" t="s">
        <v>588</v>
      </c>
      <c r="D1913" s="29" t="str">
        <f>VLOOKUP(C:C,'COUNT-CONT'!B:C,2,FALSE)</f>
        <v>Europe</v>
      </c>
      <c r="E1913" s="29">
        <v>9</v>
      </c>
      <c r="F1913" s="28">
        <v>4204</v>
      </c>
      <c r="G1913" s="28">
        <v>2699055566</v>
      </c>
      <c r="H1913" s="29">
        <v>11.22</v>
      </c>
      <c r="I1913" s="142">
        <v>-68.22</v>
      </c>
      <c r="J1913" s="29">
        <v>3.45</v>
      </c>
      <c r="K1913" s="29">
        <v>2.57</v>
      </c>
      <c r="L1913" s="29">
        <v>8.6199999999999992</v>
      </c>
      <c r="M1913" s="368"/>
      <c r="N1913" s="368"/>
      <c r="O1913" s="271">
        <f>IFERROR(Table17[[#This Row],[PROFIT]]/Table17[[#This Row],[TO]],0)</f>
        <v>0</v>
      </c>
      <c r="P1913" s="177"/>
      <c r="Q1913" s="177"/>
      <c r="R1913" s="177"/>
    </row>
    <row r="1914" spans="1:18" hidden="1" x14ac:dyDescent="0.25">
      <c r="A1914" s="29" t="s">
        <v>1316</v>
      </c>
      <c r="B1914" s="29" t="s">
        <v>1315</v>
      </c>
      <c r="C1914" s="29" t="s">
        <v>1314</v>
      </c>
      <c r="D1914" s="29" t="str">
        <f>VLOOKUP(C:C,'COUNT-CONT'!B:C,2,FALSE)</f>
        <v>Asia</v>
      </c>
      <c r="E1914" s="29">
        <v>2</v>
      </c>
      <c r="F1914" s="28">
        <v>1288</v>
      </c>
      <c r="G1914" s="28">
        <v>3025137267</v>
      </c>
      <c r="H1914" s="29">
        <v>11.22</v>
      </c>
      <c r="I1914" s="142">
        <v>-68.22</v>
      </c>
      <c r="J1914" s="29">
        <v>3.6</v>
      </c>
      <c r="K1914" s="29">
        <v>2.57</v>
      </c>
      <c r="L1914" s="29">
        <v>8.6199999999999992</v>
      </c>
      <c r="M1914" s="368"/>
      <c r="N1914" s="368"/>
      <c r="O1914" s="271">
        <f>IFERROR(Table17[[#This Row],[PROFIT]]/Table17[[#This Row],[TO]],0)</f>
        <v>0</v>
      </c>
      <c r="P1914" s="177"/>
      <c r="Q1914" s="177"/>
      <c r="R1914" s="177"/>
    </row>
    <row r="1915" spans="1:18" hidden="1" x14ac:dyDescent="0.25">
      <c r="A1915" s="29" t="s">
        <v>2522</v>
      </c>
      <c r="B1915" s="29" t="s">
        <v>2521</v>
      </c>
      <c r="C1915" s="29" t="s">
        <v>1427</v>
      </c>
      <c r="D1915" s="29" t="str">
        <f>VLOOKUP(C:C,'COUNT-CONT'!B:C,2,FALSE)</f>
        <v>Europe</v>
      </c>
      <c r="E1915" s="29">
        <v>3</v>
      </c>
      <c r="F1915" s="28">
        <v>1687</v>
      </c>
      <c r="G1915" s="28">
        <v>3422845050</v>
      </c>
      <c r="H1915" s="29">
        <v>11.19</v>
      </c>
      <c r="I1915" s="142">
        <v>-68.25</v>
      </c>
      <c r="J1915" s="29">
        <v>6.8</v>
      </c>
      <c r="K1915" s="29">
        <v>6.32</v>
      </c>
      <c r="L1915" s="29">
        <v>12.18</v>
      </c>
      <c r="M1915" s="368"/>
      <c r="N1915" s="368"/>
      <c r="O1915" s="271">
        <f>IFERROR(Table17[[#This Row],[PROFIT]]/Table17[[#This Row],[TO]],0)</f>
        <v>0</v>
      </c>
      <c r="P1915" s="177"/>
      <c r="Q1915" s="177"/>
      <c r="R1915" s="177"/>
    </row>
    <row r="1916" spans="1:18" ht="30" hidden="1" x14ac:dyDescent="0.25">
      <c r="A1916" s="29" t="s">
        <v>1894</v>
      </c>
      <c r="B1916" s="29" t="s">
        <v>1893</v>
      </c>
      <c r="C1916" s="29" t="s">
        <v>1749</v>
      </c>
      <c r="D1916" s="29" t="str">
        <f>VLOOKUP(C:C,'COUNT-CONT'!B:C,2,FALSE)</f>
        <v>North America</v>
      </c>
      <c r="E1916" s="29">
        <v>6</v>
      </c>
      <c r="F1916" s="28">
        <v>2355</v>
      </c>
      <c r="G1916" s="28">
        <v>2950891295</v>
      </c>
      <c r="H1916" s="29">
        <v>11.19</v>
      </c>
      <c r="I1916" s="142">
        <v>-68.25</v>
      </c>
      <c r="J1916" s="29">
        <v>5.08</v>
      </c>
      <c r="K1916" s="29">
        <v>4.26</v>
      </c>
      <c r="L1916" s="29">
        <v>10.19</v>
      </c>
      <c r="M1916" s="368"/>
      <c r="N1916" s="368"/>
      <c r="O1916" s="271">
        <f>IFERROR(Table17[[#This Row],[PROFIT]]/Table17[[#This Row],[TO]],0)</f>
        <v>0</v>
      </c>
      <c r="P1916" s="177"/>
      <c r="Q1916" s="177"/>
      <c r="R1916" s="177"/>
    </row>
    <row r="1917" spans="1:18" ht="30" hidden="1" x14ac:dyDescent="0.25">
      <c r="A1917" s="29" t="s">
        <v>3154</v>
      </c>
      <c r="B1917" s="29" t="s">
        <v>3153</v>
      </c>
      <c r="C1917" s="29" t="s">
        <v>11732</v>
      </c>
      <c r="D1917" s="29" t="str">
        <f>VLOOKUP(C:C,'COUNT-CONT'!B:C,2,FALSE)</f>
        <v>North America</v>
      </c>
      <c r="E1917" s="29">
        <v>6</v>
      </c>
      <c r="F1917" s="28">
        <v>2310</v>
      </c>
      <c r="G1917" s="28">
        <v>3766990476</v>
      </c>
      <c r="H1917" s="29">
        <v>11.19</v>
      </c>
      <c r="I1917" s="142">
        <v>-68.25</v>
      </c>
      <c r="J1917" s="29">
        <v>9.1300000000000008</v>
      </c>
      <c r="K1917" s="29">
        <v>9.1300000000000008</v>
      </c>
      <c r="L1917" s="29">
        <v>14.75</v>
      </c>
      <c r="M1917" s="368"/>
      <c r="N1917" s="368"/>
      <c r="O1917" s="271">
        <f>IFERROR(Table17[[#This Row],[PROFIT]]/Table17[[#This Row],[TO]],0)</f>
        <v>0</v>
      </c>
      <c r="P1917" s="177"/>
      <c r="Q1917" s="177"/>
      <c r="R1917" s="177"/>
    </row>
    <row r="1918" spans="1:18" hidden="1" x14ac:dyDescent="0.25">
      <c r="A1918" s="29" t="s">
        <v>1594</v>
      </c>
      <c r="B1918" s="29" t="s">
        <v>1593</v>
      </c>
      <c r="C1918" s="29" t="s">
        <v>1420</v>
      </c>
      <c r="D1918" s="29" t="str">
        <f>VLOOKUP(C:C,'COUNT-CONT'!B:C,2,FALSE)</f>
        <v>Europe</v>
      </c>
      <c r="E1918" s="29">
        <v>6</v>
      </c>
      <c r="F1918" s="28">
        <v>2461</v>
      </c>
      <c r="G1918" s="28">
        <v>2829472775</v>
      </c>
      <c r="H1918" s="29">
        <v>11.19</v>
      </c>
      <c r="I1918" s="142">
        <v>-68.25</v>
      </c>
      <c r="J1918" s="29">
        <v>4.29</v>
      </c>
      <c r="K1918" s="29">
        <v>3.36</v>
      </c>
      <c r="L1918" s="29">
        <v>9.34</v>
      </c>
      <c r="M1918" s="368"/>
      <c r="N1918" s="368"/>
      <c r="O1918" s="271">
        <f>IFERROR(Table17[[#This Row],[PROFIT]]/Table17[[#This Row],[TO]],0)</f>
        <v>0</v>
      </c>
      <c r="P1918" s="177"/>
      <c r="Q1918" s="177"/>
      <c r="R1918" s="177"/>
    </row>
    <row r="1919" spans="1:18" ht="30" hidden="1" x14ac:dyDescent="0.25">
      <c r="A1919" s="29" t="s">
        <v>1781</v>
      </c>
      <c r="B1919" s="29" t="s">
        <v>1780</v>
      </c>
      <c r="C1919" s="29" t="s">
        <v>600</v>
      </c>
      <c r="D1919" s="29" t="str">
        <f>VLOOKUP(C:C,'COUNT-CONT'!B:C,2,FALSE)</f>
        <v>North America</v>
      </c>
      <c r="E1919" s="29">
        <v>4</v>
      </c>
      <c r="F1919" s="28">
        <v>1833</v>
      </c>
      <c r="G1919" s="28">
        <v>3057309110</v>
      </c>
      <c r="H1919" s="29">
        <v>11.19</v>
      </c>
      <c r="I1919" s="142">
        <v>-68.25</v>
      </c>
      <c r="J1919" s="29">
        <v>4.72</v>
      </c>
      <c r="K1919" s="29">
        <v>3.93</v>
      </c>
      <c r="L1919" s="29">
        <v>9.82</v>
      </c>
      <c r="M1919" s="368"/>
      <c r="N1919" s="368"/>
      <c r="O1919" s="271">
        <f>IFERROR(Table17[[#This Row],[PROFIT]]/Table17[[#This Row],[TO]],0)</f>
        <v>0</v>
      </c>
      <c r="P1919" s="177"/>
      <c r="Q1919" s="177"/>
      <c r="R1919" s="177"/>
    </row>
    <row r="1920" spans="1:18" ht="30" hidden="1" x14ac:dyDescent="0.25">
      <c r="A1920" s="29" t="s">
        <v>2679</v>
      </c>
      <c r="B1920" s="29" t="s">
        <v>2678</v>
      </c>
      <c r="C1920" s="29" t="s">
        <v>514</v>
      </c>
      <c r="D1920" s="29" t="str">
        <f>VLOOKUP(C:C,'COUNT-CONT'!B:C,2,FALSE)</f>
        <v>North America</v>
      </c>
      <c r="E1920" s="29">
        <v>3</v>
      </c>
      <c r="F1920" s="28">
        <v>1532</v>
      </c>
      <c r="G1920" s="28">
        <v>3557015665</v>
      </c>
      <c r="H1920" s="29">
        <v>11.19</v>
      </c>
      <c r="I1920" s="142">
        <v>-68.25</v>
      </c>
      <c r="J1920" s="29">
        <v>7.35</v>
      </c>
      <c r="K1920" s="29">
        <v>7.1</v>
      </c>
      <c r="L1920" s="29">
        <v>12.7</v>
      </c>
      <c r="M1920" s="368"/>
      <c r="N1920" s="368"/>
      <c r="O1920" s="271">
        <f>IFERROR(Table17[[#This Row],[PROFIT]]/Table17[[#This Row],[TO]],0)</f>
        <v>0</v>
      </c>
      <c r="P1920" s="177"/>
      <c r="Q1920" s="177"/>
      <c r="R1920" s="177"/>
    </row>
    <row r="1921" spans="1:18" hidden="1" x14ac:dyDescent="0.25">
      <c r="A1921" s="29" t="s">
        <v>1645</v>
      </c>
      <c r="B1921" s="29" t="s">
        <v>1644</v>
      </c>
      <c r="C1921" s="29" t="s">
        <v>14</v>
      </c>
      <c r="D1921" s="29" t="str">
        <f>VLOOKUP(C:C,'COUNT-CONT'!B:C,2,FALSE)</f>
        <v>Asia</v>
      </c>
      <c r="E1921" s="29">
        <v>6</v>
      </c>
      <c r="F1921" s="28">
        <v>2504</v>
      </c>
      <c r="G1921" s="28">
        <v>2843697124</v>
      </c>
      <c r="H1921" s="29">
        <v>11.15</v>
      </c>
      <c r="I1921" s="142">
        <v>-68.289999999999992</v>
      </c>
      <c r="J1921" s="29">
        <v>4.3499999999999996</v>
      </c>
      <c r="K1921" s="29">
        <v>3.6</v>
      </c>
      <c r="L1921" s="29">
        <v>9.4600000000000009</v>
      </c>
      <c r="M1921" s="368"/>
      <c r="N1921" s="368"/>
      <c r="O1921" s="271">
        <f>IFERROR(Table17[[#This Row],[PROFIT]]/Table17[[#This Row],[TO]],0)</f>
        <v>0</v>
      </c>
      <c r="P1921" s="177"/>
      <c r="Q1921" s="177"/>
      <c r="R1921" s="177"/>
    </row>
    <row r="1922" spans="1:18" hidden="1" x14ac:dyDescent="0.25">
      <c r="A1922" s="29" t="s">
        <v>2390</v>
      </c>
      <c r="B1922" s="29" t="s">
        <v>2389</v>
      </c>
      <c r="C1922" s="29" t="s">
        <v>807</v>
      </c>
      <c r="D1922" s="29" t="str">
        <f>VLOOKUP(C:C,'COUNT-CONT'!B:C,2,FALSE)</f>
        <v>Europe</v>
      </c>
      <c r="E1922" s="29">
        <v>6</v>
      </c>
      <c r="F1922" s="28">
        <v>2509</v>
      </c>
      <c r="G1922" s="28">
        <v>3232621681</v>
      </c>
      <c r="H1922" s="29">
        <v>11.15</v>
      </c>
      <c r="I1922" s="142">
        <v>-68.289999999999992</v>
      </c>
      <c r="J1922" s="29">
        <v>6.26</v>
      </c>
      <c r="K1922" s="29">
        <v>6.05</v>
      </c>
      <c r="L1922" s="29">
        <v>11.64</v>
      </c>
      <c r="M1922" s="368"/>
      <c r="N1922" s="368"/>
      <c r="O1922" s="271">
        <f>IFERROR(Table17[[#This Row],[PROFIT]]/Table17[[#This Row],[TO]],0)</f>
        <v>0</v>
      </c>
      <c r="P1922" s="177"/>
      <c r="Q1922" s="177"/>
      <c r="R1922" s="177"/>
    </row>
    <row r="1923" spans="1:18" hidden="1" x14ac:dyDescent="0.25">
      <c r="A1923" s="29" t="s">
        <v>1379</v>
      </c>
      <c r="B1923" s="29" t="s">
        <v>1378</v>
      </c>
      <c r="C1923" s="29" t="s">
        <v>1377</v>
      </c>
      <c r="D1923" s="29" t="str">
        <f>VLOOKUP(C:C,'COUNT-CONT'!B:C,2,FALSE)</f>
        <v>Europe</v>
      </c>
      <c r="E1923" s="29">
        <v>10</v>
      </c>
      <c r="F1923" s="28">
        <v>3304</v>
      </c>
      <c r="G1923" s="28">
        <v>2746529782</v>
      </c>
      <c r="H1923" s="29">
        <v>11.15</v>
      </c>
      <c r="I1923" s="142">
        <v>-68.289999999999992</v>
      </c>
      <c r="J1923" s="29">
        <v>3.66</v>
      </c>
      <c r="K1923" s="29">
        <v>2.78</v>
      </c>
      <c r="L1923" s="29">
        <v>8.7100000000000009</v>
      </c>
      <c r="M1923" s="368"/>
      <c r="N1923" s="368"/>
      <c r="O1923" s="271">
        <f>IFERROR(Table17[[#This Row],[PROFIT]]/Table17[[#This Row],[TO]],0)</f>
        <v>0</v>
      </c>
      <c r="P1923" s="177"/>
      <c r="Q1923" s="177"/>
      <c r="R1923" s="177"/>
    </row>
    <row r="1924" spans="1:18" x14ac:dyDescent="0.25">
      <c r="A1924" s="29" t="s">
        <v>2447</v>
      </c>
      <c r="B1924" s="29" t="s">
        <v>2446</v>
      </c>
      <c r="C1924" s="29" t="s">
        <v>774</v>
      </c>
      <c r="D1924" s="29" t="str">
        <f>VLOOKUP(C:C,'COUNT-CONT'!B:C,2,FALSE)</f>
        <v>Oceania</v>
      </c>
      <c r="E1924" s="29">
        <v>3</v>
      </c>
      <c r="F1924" s="28">
        <v>1598</v>
      </c>
      <c r="G1924" s="28">
        <v>3426860450</v>
      </c>
      <c r="H1924" s="29">
        <v>11.15</v>
      </c>
      <c r="I1924" s="142">
        <v>-68.289999999999992</v>
      </c>
      <c r="J1924" s="29">
        <v>6.65</v>
      </c>
      <c r="K1924" s="29">
        <v>6.17</v>
      </c>
      <c r="L1924" s="29">
        <v>11.88</v>
      </c>
      <c r="M1924" s="368"/>
      <c r="N1924" s="368"/>
      <c r="O1924" s="271">
        <f>IFERROR(Table17[[#This Row],[PROFIT]]/Table17[[#This Row],[TO]],0)</f>
        <v>0</v>
      </c>
      <c r="P1924" s="177"/>
      <c r="Q1924" s="177"/>
      <c r="R1924" s="177"/>
    </row>
    <row r="1925" spans="1:18" ht="30" hidden="1" x14ac:dyDescent="0.25">
      <c r="A1925" s="29" t="s">
        <v>2673</v>
      </c>
      <c r="B1925" s="29" t="s">
        <v>2672</v>
      </c>
      <c r="C1925" s="29" t="s">
        <v>514</v>
      </c>
      <c r="D1925" s="29" t="str">
        <f>VLOOKUP(C:C,'COUNT-CONT'!B:C,2,FALSE)</f>
        <v>North America</v>
      </c>
      <c r="E1925" s="29">
        <v>6</v>
      </c>
      <c r="F1925" s="28">
        <v>2451</v>
      </c>
      <c r="G1925" s="28">
        <v>3374396409</v>
      </c>
      <c r="H1925" s="29">
        <v>11.12</v>
      </c>
      <c r="I1925" s="142">
        <v>-68.319999999999993</v>
      </c>
      <c r="J1925" s="29">
        <v>7.35</v>
      </c>
      <c r="K1925" s="29">
        <v>7.07</v>
      </c>
      <c r="L1925" s="29">
        <v>12.67</v>
      </c>
      <c r="M1925" s="368"/>
      <c r="N1925" s="368"/>
      <c r="O1925" s="271">
        <f>IFERROR(Table17[[#This Row],[PROFIT]]/Table17[[#This Row],[TO]],0)</f>
        <v>0</v>
      </c>
      <c r="P1925" s="177"/>
      <c r="Q1925" s="177"/>
      <c r="R1925" s="177"/>
    </row>
    <row r="1926" spans="1:18" hidden="1" x14ac:dyDescent="0.25">
      <c r="A1926" s="29" t="s">
        <v>2795</v>
      </c>
      <c r="B1926" s="29" t="s">
        <v>2794</v>
      </c>
      <c r="C1926" s="29" t="s">
        <v>1674</v>
      </c>
      <c r="D1926" s="29" t="str">
        <f>VLOOKUP(C:C,'COUNT-CONT'!B:C,2,FALSE)</f>
        <v>Europe</v>
      </c>
      <c r="E1926" s="29">
        <v>2</v>
      </c>
      <c r="F1926" s="28">
        <v>1509</v>
      </c>
      <c r="G1926" s="28">
        <v>3631159575</v>
      </c>
      <c r="H1926" s="29">
        <v>11.09</v>
      </c>
      <c r="I1926" s="142">
        <v>-68.349999999999994</v>
      </c>
      <c r="J1926" s="29">
        <v>7.92</v>
      </c>
      <c r="K1926" s="29">
        <v>7.65</v>
      </c>
      <c r="L1926" s="29">
        <v>13.21</v>
      </c>
      <c r="M1926" s="368"/>
      <c r="N1926" s="368"/>
      <c r="O1926" s="271">
        <f>IFERROR(Table17[[#This Row],[PROFIT]]/Table17[[#This Row],[TO]],0)</f>
        <v>0</v>
      </c>
      <c r="P1926" s="177"/>
      <c r="Q1926" s="177"/>
      <c r="R1926" s="177"/>
    </row>
    <row r="1927" spans="1:18" x14ac:dyDescent="0.25">
      <c r="A1927" s="29" t="s">
        <v>2429</v>
      </c>
      <c r="B1927" s="29" t="s">
        <v>2428</v>
      </c>
      <c r="C1927" s="29" t="s">
        <v>774</v>
      </c>
      <c r="D1927" s="29" t="str">
        <f>VLOOKUP(C:C,'COUNT-CONT'!B:C,2,FALSE)</f>
        <v>Oceania</v>
      </c>
      <c r="E1927" s="29">
        <v>3</v>
      </c>
      <c r="F1927" s="28">
        <v>1658</v>
      </c>
      <c r="G1927" s="28">
        <v>3398249939</v>
      </c>
      <c r="H1927" s="29">
        <v>11.09</v>
      </c>
      <c r="I1927" s="142">
        <v>-68.349999999999994</v>
      </c>
      <c r="J1927" s="29">
        <v>6.59</v>
      </c>
      <c r="K1927" s="29">
        <v>6.14</v>
      </c>
      <c r="L1927" s="29">
        <v>11.82</v>
      </c>
      <c r="M1927" s="368"/>
      <c r="N1927" s="368"/>
      <c r="O1927" s="271">
        <f>IFERROR(Table17[[#This Row],[PROFIT]]/Table17[[#This Row],[TO]],0)</f>
        <v>0</v>
      </c>
      <c r="P1927" s="177"/>
      <c r="Q1927" s="177"/>
      <c r="R1927" s="177"/>
    </row>
    <row r="1928" spans="1:18" hidden="1" x14ac:dyDescent="0.25">
      <c r="A1928" s="29" t="s">
        <v>1305</v>
      </c>
      <c r="B1928" s="29" t="s">
        <v>1304</v>
      </c>
      <c r="C1928" s="29" t="s">
        <v>700</v>
      </c>
      <c r="D1928" s="29" t="str">
        <f>VLOOKUP(C:C,'COUNT-CONT'!B:C,2,FALSE)</f>
        <v>Asia</v>
      </c>
      <c r="E1928" s="29">
        <v>4</v>
      </c>
      <c r="F1928" s="28">
        <v>1802</v>
      </c>
      <c r="G1928" s="28">
        <v>2851632852</v>
      </c>
      <c r="H1928" s="29">
        <v>11.09</v>
      </c>
      <c r="I1928" s="142">
        <v>-68.349999999999994</v>
      </c>
      <c r="J1928" s="29">
        <v>3.42</v>
      </c>
      <c r="K1928" s="29">
        <v>2.54</v>
      </c>
      <c r="L1928" s="29">
        <v>8.56</v>
      </c>
      <c r="M1928" s="368"/>
      <c r="N1928" s="368"/>
      <c r="O1928" s="271">
        <f>IFERROR(Table17[[#This Row],[PROFIT]]/Table17[[#This Row],[TO]],0)</f>
        <v>0</v>
      </c>
      <c r="P1928" s="177"/>
      <c r="Q1928" s="177"/>
      <c r="R1928" s="177"/>
    </row>
    <row r="1929" spans="1:18" ht="30" hidden="1" x14ac:dyDescent="0.25">
      <c r="A1929" s="29" t="s">
        <v>3123</v>
      </c>
      <c r="B1929" s="29" t="s">
        <v>3122</v>
      </c>
      <c r="C1929" s="29" t="s">
        <v>11732</v>
      </c>
      <c r="D1929" s="29" t="str">
        <f>VLOOKUP(C:C,'COUNT-CONT'!B:C,2,FALSE)</f>
        <v>North America</v>
      </c>
      <c r="E1929" s="29">
        <v>6</v>
      </c>
      <c r="F1929" s="28">
        <v>2409</v>
      </c>
      <c r="G1929" s="28">
        <v>3739721004</v>
      </c>
      <c r="H1929" s="29">
        <v>11.09</v>
      </c>
      <c r="I1929" s="142">
        <v>-68.349999999999994</v>
      </c>
      <c r="J1929" s="29">
        <v>9.0399999999999991</v>
      </c>
      <c r="K1929" s="29">
        <v>9.0399999999999991</v>
      </c>
      <c r="L1929" s="29">
        <v>14.6</v>
      </c>
      <c r="M1929" s="368"/>
      <c r="N1929" s="368"/>
      <c r="O1929" s="271">
        <f>IFERROR(Table17[[#This Row],[PROFIT]]/Table17[[#This Row],[TO]],0)</f>
        <v>0</v>
      </c>
      <c r="P1929" s="177"/>
      <c r="Q1929" s="177"/>
      <c r="R1929" s="177"/>
    </row>
    <row r="1930" spans="1:18" ht="30" hidden="1" x14ac:dyDescent="0.25">
      <c r="A1930" s="29" t="s">
        <v>727</v>
      </c>
      <c r="B1930" s="29" t="s">
        <v>726</v>
      </c>
      <c r="C1930" s="29" t="s">
        <v>725</v>
      </c>
      <c r="D1930" s="29" t="e">
        <f>VLOOKUP(C:C,'COUNT-CONT'!B:C,2,FALSE)</f>
        <v>#N/A</v>
      </c>
      <c r="E1930" s="29">
        <v>6</v>
      </c>
      <c r="F1930" s="28">
        <v>2266</v>
      </c>
      <c r="G1930" s="28">
        <v>2838736893</v>
      </c>
      <c r="H1930" s="29">
        <v>11.09</v>
      </c>
      <c r="I1930" s="142">
        <v>-68.349999999999994</v>
      </c>
      <c r="J1930" s="29">
        <v>1.24</v>
      </c>
      <c r="K1930" s="29">
        <v>0.24</v>
      </c>
      <c r="L1930" s="29">
        <v>6.32</v>
      </c>
      <c r="M1930" s="368"/>
      <c r="N1930" s="368"/>
      <c r="O1930" s="271">
        <f>IFERROR(Table17[[#This Row],[PROFIT]]/Table17[[#This Row],[TO]],0)</f>
        <v>0</v>
      </c>
      <c r="P1930" s="177"/>
      <c r="Q1930" s="177"/>
      <c r="R1930" s="177"/>
    </row>
    <row r="1931" spans="1:18" ht="30" hidden="1" x14ac:dyDescent="0.25">
      <c r="A1931" s="29" t="s">
        <v>3119</v>
      </c>
      <c r="B1931" s="29" t="s">
        <v>3118</v>
      </c>
      <c r="C1931" s="29" t="s">
        <v>11732</v>
      </c>
      <c r="D1931" s="29" t="str">
        <f>VLOOKUP(C:C,'COUNT-CONT'!B:C,2,FALSE)</f>
        <v>North America</v>
      </c>
      <c r="E1931" s="29">
        <v>5</v>
      </c>
      <c r="F1931" s="28">
        <v>2215</v>
      </c>
      <c r="G1931" s="28">
        <v>3754113995</v>
      </c>
      <c r="H1931" s="29">
        <v>11.06</v>
      </c>
      <c r="I1931" s="142">
        <v>-68.38</v>
      </c>
      <c r="J1931" s="29">
        <v>9.01</v>
      </c>
      <c r="K1931" s="29">
        <v>9.01</v>
      </c>
      <c r="L1931" s="29">
        <v>14.57</v>
      </c>
      <c r="M1931" s="368"/>
      <c r="N1931" s="368"/>
      <c r="O1931" s="271">
        <f>IFERROR(Table17[[#This Row],[PROFIT]]/Table17[[#This Row],[TO]],0)</f>
        <v>0</v>
      </c>
      <c r="P1931" s="177"/>
      <c r="Q1931" s="177"/>
      <c r="R1931" s="177"/>
    </row>
    <row r="1932" spans="1:18" ht="30" hidden="1" x14ac:dyDescent="0.25">
      <c r="A1932" s="29" t="s">
        <v>1608</v>
      </c>
      <c r="B1932" s="29" t="s">
        <v>1607</v>
      </c>
      <c r="C1932" s="29" t="s">
        <v>517</v>
      </c>
      <c r="D1932" s="29" t="str">
        <f>VLOOKUP(C:C,'COUNT-CONT'!B:C,2,FALSE)</f>
        <v>South America</v>
      </c>
      <c r="E1932" s="29">
        <v>5</v>
      </c>
      <c r="F1932" s="28">
        <v>2005</v>
      </c>
      <c r="G1932" s="28">
        <v>2891928428</v>
      </c>
      <c r="H1932" s="29">
        <v>11.06</v>
      </c>
      <c r="I1932" s="142">
        <v>-68.38</v>
      </c>
      <c r="J1932" s="29">
        <v>4.32</v>
      </c>
      <c r="K1932" s="29">
        <v>3.57</v>
      </c>
      <c r="L1932" s="29">
        <v>9.4</v>
      </c>
      <c r="M1932" s="368"/>
      <c r="N1932" s="368"/>
      <c r="O1932" s="271">
        <f>IFERROR(Table17[[#This Row],[PROFIT]]/Table17[[#This Row],[TO]],0)</f>
        <v>0</v>
      </c>
      <c r="P1932" s="177"/>
      <c r="Q1932" s="177"/>
      <c r="R1932" s="177"/>
    </row>
    <row r="1933" spans="1:18" hidden="1" x14ac:dyDescent="0.25">
      <c r="A1933" s="29" t="s">
        <v>869</v>
      </c>
      <c r="B1933" s="29" t="s">
        <v>868</v>
      </c>
      <c r="C1933" s="29" t="s">
        <v>867</v>
      </c>
      <c r="D1933" s="29" t="str">
        <f>VLOOKUP(C:C,'COUNT-CONT'!B:C,2,FALSE)</f>
        <v>Asia</v>
      </c>
      <c r="E1933" s="29">
        <v>3</v>
      </c>
      <c r="F1933" s="28">
        <v>1525</v>
      </c>
      <c r="G1933" s="28">
        <v>2826911475</v>
      </c>
      <c r="H1933" s="29">
        <v>11.06</v>
      </c>
      <c r="I1933" s="142">
        <v>-68.38</v>
      </c>
      <c r="J1933" s="29">
        <v>2.33</v>
      </c>
      <c r="K1933" s="29">
        <v>1.3</v>
      </c>
      <c r="L1933" s="29">
        <v>7.29</v>
      </c>
      <c r="M1933" s="368"/>
      <c r="N1933" s="368"/>
      <c r="O1933" s="271">
        <f>IFERROR(Table17[[#This Row],[PROFIT]]/Table17[[#This Row],[TO]],0)</f>
        <v>0</v>
      </c>
      <c r="P1933" s="177"/>
      <c r="Q1933" s="177"/>
      <c r="R1933" s="177"/>
    </row>
    <row r="1934" spans="1:18" hidden="1" x14ac:dyDescent="0.25">
      <c r="A1934" s="29" t="s">
        <v>1979</v>
      </c>
      <c r="B1934" s="29" t="s">
        <v>1978</v>
      </c>
      <c r="C1934" s="29" t="s">
        <v>733</v>
      </c>
      <c r="D1934" s="29" t="str">
        <f>VLOOKUP(C:C,'COUNT-CONT'!B:C,2,FALSE)</f>
        <v>Europe</v>
      </c>
      <c r="E1934" s="29">
        <v>2</v>
      </c>
      <c r="F1934" s="28">
        <v>1403</v>
      </c>
      <c r="G1934" s="28">
        <v>3251434212</v>
      </c>
      <c r="H1934" s="29">
        <v>11.06</v>
      </c>
      <c r="I1934" s="142">
        <v>-68.38</v>
      </c>
      <c r="J1934" s="29">
        <v>5.2</v>
      </c>
      <c r="K1934" s="29">
        <v>4.78</v>
      </c>
      <c r="L1934" s="29">
        <v>10.43</v>
      </c>
      <c r="M1934" s="368"/>
      <c r="N1934" s="368"/>
      <c r="O1934" s="271">
        <f>IFERROR(Table17[[#This Row],[PROFIT]]/Table17[[#This Row],[TO]],0)</f>
        <v>0</v>
      </c>
      <c r="P1934" s="177"/>
      <c r="Q1934" s="177"/>
      <c r="R1934" s="177"/>
    </row>
    <row r="1935" spans="1:18" x14ac:dyDescent="0.25">
      <c r="A1935" s="29" t="s">
        <v>2417</v>
      </c>
      <c r="B1935" s="29" t="s">
        <v>2416</v>
      </c>
      <c r="C1935" s="29" t="s">
        <v>774</v>
      </c>
      <c r="D1935" s="29" t="str">
        <f>VLOOKUP(C:C,'COUNT-CONT'!B:C,2,FALSE)</f>
        <v>Oceania</v>
      </c>
      <c r="E1935" s="29">
        <v>3</v>
      </c>
      <c r="F1935" s="28">
        <v>1508</v>
      </c>
      <c r="G1935" s="28">
        <v>3443142970</v>
      </c>
      <c r="H1935" s="29">
        <v>11.06</v>
      </c>
      <c r="I1935" s="142">
        <v>-68.38</v>
      </c>
      <c r="J1935" s="29">
        <v>6.59</v>
      </c>
      <c r="K1935" s="29">
        <v>6.11</v>
      </c>
      <c r="L1935" s="29">
        <v>11.76</v>
      </c>
      <c r="M1935" s="368"/>
      <c r="N1935" s="368"/>
      <c r="O1935" s="271">
        <f>IFERROR(Table17[[#This Row],[PROFIT]]/Table17[[#This Row],[TO]],0)</f>
        <v>0</v>
      </c>
      <c r="P1935" s="177"/>
      <c r="Q1935" s="177"/>
      <c r="R1935" s="177"/>
    </row>
    <row r="1936" spans="1:18" ht="30" hidden="1" x14ac:dyDescent="0.25">
      <c r="A1936" s="29" t="s">
        <v>2651</v>
      </c>
      <c r="B1936" s="29" t="s">
        <v>2650</v>
      </c>
      <c r="C1936" s="29" t="s">
        <v>514</v>
      </c>
      <c r="D1936" s="29" t="str">
        <f>VLOOKUP(C:C,'COUNT-CONT'!B:C,2,FALSE)</f>
        <v>North America</v>
      </c>
      <c r="E1936" s="29">
        <v>9</v>
      </c>
      <c r="F1936" s="28">
        <v>3063</v>
      </c>
      <c r="G1936" s="28">
        <v>3332925040</v>
      </c>
      <c r="H1936" s="29">
        <v>11.06</v>
      </c>
      <c r="I1936" s="142">
        <v>-68.38</v>
      </c>
      <c r="J1936" s="29">
        <v>7.29</v>
      </c>
      <c r="K1936" s="29">
        <v>7.01</v>
      </c>
      <c r="L1936" s="29">
        <v>12.58</v>
      </c>
      <c r="M1936" s="368"/>
      <c r="N1936" s="368"/>
      <c r="O1936" s="271">
        <f>IFERROR(Table17[[#This Row],[PROFIT]]/Table17[[#This Row],[TO]],0)</f>
        <v>0</v>
      </c>
      <c r="P1936" s="177"/>
      <c r="Q1936" s="177"/>
      <c r="R1936" s="177"/>
    </row>
    <row r="1937" spans="1:18" ht="30" hidden="1" x14ac:dyDescent="0.25">
      <c r="A1937" s="29" t="s">
        <v>3115</v>
      </c>
      <c r="B1937" s="29" t="s">
        <v>3114</v>
      </c>
      <c r="C1937" s="29" t="s">
        <v>11732</v>
      </c>
      <c r="D1937" s="29" t="str">
        <f>VLOOKUP(C:C,'COUNT-CONT'!B:C,2,FALSE)</f>
        <v>North America</v>
      </c>
      <c r="E1937" s="29">
        <v>6</v>
      </c>
      <c r="F1937" s="28">
        <v>2276</v>
      </c>
      <c r="G1937" s="28">
        <v>3742104042</v>
      </c>
      <c r="H1937" s="29">
        <v>11.03</v>
      </c>
      <c r="I1937" s="142">
        <v>-68.41</v>
      </c>
      <c r="J1937" s="29">
        <v>9.01</v>
      </c>
      <c r="K1937" s="29">
        <v>9.01</v>
      </c>
      <c r="L1937" s="29">
        <v>14.54</v>
      </c>
      <c r="M1937" s="368"/>
      <c r="N1937" s="368"/>
      <c r="O1937" s="271">
        <f>IFERROR(Table17[[#This Row],[PROFIT]]/Table17[[#This Row],[TO]],0)</f>
        <v>0</v>
      </c>
      <c r="P1937" s="177"/>
      <c r="Q1937" s="177"/>
      <c r="R1937" s="177"/>
    </row>
    <row r="1938" spans="1:18" x14ac:dyDescent="0.25">
      <c r="A1938" s="29" t="s">
        <v>825</v>
      </c>
      <c r="B1938" s="29" t="s">
        <v>824</v>
      </c>
      <c r="C1938" s="29" t="s">
        <v>823</v>
      </c>
      <c r="D1938" s="29" t="str">
        <f>VLOOKUP(C:C,'COUNT-CONT'!B:C,2,FALSE)</f>
        <v>Oceania</v>
      </c>
      <c r="E1938" s="29">
        <v>3</v>
      </c>
      <c r="F1938" s="28">
        <v>1525</v>
      </c>
      <c r="G1938" s="28">
        <v>2921911475</v>
      </c>
      <c r="H1938" s="29">
        <v>11</v>
      </c>
      <c r="I1938" s="142">
        <v>-68.44</v>
      </c>
      <c r="J1938" s="29">
        <v>2.09</v>
      </c>
      <c r="K1938" s="29">
        <v>0.97</v>
      </c>
      <c r="L1938" s="29">
        <v>6.98</v>
      </c>
      <c r="M1938" s="368"/>
      <c r="N1938" s="368"/>
      <c r="O1938" s="271">
        <f>IFERROR(Table17[[#This Row],[PROFIT]]/Table17[[#This Row],[TO]],0)</f>
        <v>0</v>
      </c>
      <c r="P1938" s="177"/>
      <c r="Q1938" s="177"/>
      <c r="R1938" s="177"/>
    </row>
    <row r="1939" spans="1:18" hidden="1" x14ac:dyDescent="0.25">
      <c r="A1939" s="29" t="s">
        <v>1950</v>
      </c>
      <c r="B1939" s="29" t="s">
        <v>1949</v>
      </c>
      <c r="C1939" s="29" t="s">
        <v>733</v>
      </c>
      <c r="D1939" s="29" t="str">
        <f>VLOOKUP(C:C,'COUNT-CONT'!B:C,2,FALSE)</f>
        <v>Europe</v>
      </c>
      <c r="E1939" s="29">
        <v>2</v>
      </c>
      <c r="F1939" s="28">
        <v>1383</v>
      </c>
      <c r="G1939" s="28">
        <v>3252772378</v>
      </c>
      <c r="H1939" s="29">
        <v>11</v>
      </c>
      <c r="I1939" s="142">
        <v>-68.44</v>
      </c>
      <c r="J1939" s="29">
        <v>5.17</v>
      </c>
      <c r="K1939" s="29">
        <v>4.78</v>
      </c>
      <c r="L1939" s="29">
        <v>10.37</v>
      </c>
      <c r="M1939" s="368"/>
      <c r="N1939" s="368"/>
      <c r="O1939" s="271">
        <f>IFERROR(Table17[[#This Row],[PROFIT]]/Table17[[#This Row],[TO]],0)</f>
        <v>0</v>
      </c>
      <c r="P1939" s="177"/>
      <c r="Q1939" s="177"/>
      <c r="R1939" s="177"/>
    </row>
    <row r="1940" spans="1:18" ht="30" hidden="1" x14ac:dyDescent="0.25">
      <c r="A1940" s="29" t="s">
        <v>1596</v>
      </c>
      <c r="B1940" s="29" t="s">
        <v>1595</v>
      </c>
      <c r="C1940" s="29" t="s">
        <v>505</v>
      </c>
      <c r="D1940" s="29" t="e">
        <f>VLOOKUP(C:C,'COUNT-CONT'!B:C,2,FALSE)</f>
        <v>#N/A</v>
      </c>
      <c r="E1940" s="29">
        <v>8</v>
      </c>
      <c r="F1940" s="28">
        <v>2954</v>
      </c>
      <c r="G1940" s="28">
        <v>2804176438</v>
      </c>
      <c r="H1940" s="29">
        <v>11</v>
      </c>
      <c r="I1940" s="142">
        <v>-68.44</v>
      </c>
      <c r="J1940" s="29">
        <v>4.29</v>
      </c>
      <c r="K1940" s="29">
        <v>3.54</v>
      </c>
      <c r="L1940" s="29">
        <v>9.34</v>
      </c>
      <c r="M1940" s="368"/>
      <c r="N1940" s="368"/>
      <c r="O1940" s="271">
        <f>IFERROR(Table17[[#This Row],[PROFIT]]/Table17[[#This Row],[TO]],0)</f>
        <v>0</v>
      </c>
      <c r="P1940" s="177"/>
      <c r="Q1940" s="177"/>
      <c r="R1940" s="177"/>
    </row>
    <row r="1941" spans="1:18" hidden="1" x14ac:dyDescent="0.25">
      <c r="A1941" s="29" t="s">
        <v>1272</v>
      </c>
      <c r="B1941" s="29" t="s">
        <v>1271</v>
      </c>
      <c r="C1941" s="29" t="s">
        <v>1270</v>
      </c>
      <c r="D1941" s="29" t="str">
        <f>VLOOKUP(C:C,'COUNT-CONT'!B:C,2,FALSE)</f>
        <v>Asia</v>
      </c>
      <c r="E1941" s="29">
        <v>9</v>
      </c>
      <c r="F1941" s="28">
        <v>3223</v>
      </c>
      <c r="G1941" s="28">
        <v>2729896928</v>
      </c>
      <c r="H1941" s="29">
        <v>11</v>
      </c>
      <c r="I1941" s="142">
        <v>-68.44</v>
      </c>
      <c r="J1941" s="29">
        <v>3.54</v>
      </c>
      <c r="K1941" s="29">
        <v>2.54</v>
      </c>
      <c r="L1941" s="29">
        <v>8.4600000000000009</v>
      </c>
      <c r="M1941" s="368"/>
      <c r="N1941" s="368"/>
      <c r="O1941" s="271">
        <f>IFERROR(Table17[[#This Row],[PROFIT]]/Table17[[#This Row],[TO]],0)</f>
        <v>0</v>
      </c>
      <c r="P1941" s="177"/>
      <c r="Q1941" s="177"/>
      <c r="R1941" s="177"/>
    </row>
    <row r="1942" spans="1:18" ht="30" hidden="1" x14ac:dyDescent="0.25">
      <c r="A1942" s="29" t="s">
        <v>3089</v>
      </c>
      <c r="B1942" s="29" t="s">
        <v>3088</v>
      </c>
      <c r="C1942" s="29" t="s">
        <v>11732</v>
      </c>
      <c r="D1942" s="29" t="str">
        <f>VLOOKUP(C:C,'COUNT-CONT'!B:C,2,FALSE)</f>
        <v>North America</v>
      </c>
      <c r="E1942" s="29">
        <v>6</v>
      </c>
      <c r="F1942" s="28">
        <v>2319</v>
      </c>
      <c r="G1942" s="28">
        <v>3726242388</v>
      </c>
      <c r="H1942" s="29">
        <v>10.97</v>
      </c>
      <c r="I1942" s="142">
        <v>-68.47</v>
      </c>
      <c r="J1942" s="29">
        <v>8.9499999999999993</v>
      </c>
      <c r="K1942" s="29">
        <v>8.9499999999999993</v>
      </c>
      <c r="L1942" s="29">
        <v>14.45</v>
      </c>
      <c r="M1942" s="368"/>
      <c r="N1942" s="368"/>
      <c r="O1942" s="271">
        <f>IFERROR(Table17[[#This Row],[PROFIT]]/Table17[[#This Row],[TO]],0)</f>
        <v>0</v>
      </c>
      <c r="P1942" s="177"/>
      <c r="Q1942" s="177"/>
      <c r="R1942" s="177"/>
    </row>
    <row r="1943" spans="1:18" hidden="1" x14ac:dyDescent="0.25">
      <c r="A1943" s="29" t="s">
        <v>1703</v>
      </c>
      <c r="B1943" s="29" t="s">
        <v>1702</v>
      </c>
      <c r="C1943" s="29" t="s">
        <v>172</v>
      </c>
      <c r="D1943" s="29" t="str">
        <f>VLOOKUP(C:C,'COUNT-CONT'!B:C,2,FALSE)</f>
        <v>Asia</v>
      </c>
      <c r="E1943" s="29">
        <v>9</v>
      </c>
      <c r="F1943" s="28">
        <v>3206</v>
      </c>
      <c r="G1943" s="28">
        <v>2836706674</v>
      </c>
      <c r="H1943" s="29">
        <v>10.97</v>
      </c>
      <c r="I1943" s="142">
        <v>-68.47</v>
      </c>
      <c r="J1943" s="29">
        <v>4.41</v>
      </c>
      <c r="K1943" s="29">
        <v>3.84</v>
      </c>
      <c r="L1943" s="29">
        <v>9.61</v>
      </c>
      <c r="M1943" s="368"/>
      <c r="N1943" s="368"/>
      <c r="O1943" s="271">
        <f>IFERROR(Table17[[#This Row],[PROFIT]]/Table17[[#This Row],[TO]],0)</f>
        <v>0</v>
      </c>
      <c r="P1943" s="177"/>
      <c r="Q1943" s="177"/>
      <c r="R1943" s="177"/>
    </row>
    <row r="1944" spans="1:18" hidden="1" x14ac:dyDescent="0.25">
      <c r="A1944" s="29" t="s">
        <v>1467</v>
      </c>
      <c r="B1944" s="29" t="s">
        <v>1466</v>
      </c>
      <c r="C1944" s="29" t="s">
        <v>78</v>
      </c>
      <c r="D1944" s="29" t="str">
        <f>VLOOKUP(C:C,'COUNT-CONT'!B:C,2,FALSE)</f>
        <v>Europe</v>
      </c>
      <c r="E1944" s="29">
        <v>9</v>
      </c>
      <c r="F1944" s="28">
        <v>3005</v>
      </c>
      <c r="G1944" s="28">
        <v>2758156572</v>
      </c>
      <c r="H1944" s="29">
        <v>10.97</v>
      </c>
      <c r="I1944" s="142">
        <v>-68.47</v>
      </c>
      <c r="J1944" s="29">
        <v>3.96</v>
      </c>
      <c r="K1944" s="29">
        <v>3.23</v>
      </c>
      <c r="L1944" s="29">
        <v>9.01</v>
      </c>
      <c r="M1944" s="368"/>
      <c r="N1944" s="368"/>
      <c r="O1944" s="271">
        <f>IFERROR(Table17[[#This Row],[PROFIT]]/Table17[[#This Row],[TO]],0)</f>
        <v>0</v>
      </c>
      <c r="P1944" s="177"/>
      <c r="Q1944" s="177"/>
      <c r="R1944" s="177"/>
    </row>
    <row r="1945" spans="1:18" ht="30" hidden="1" x14ac:dyDescent="0.25">
      <c r="A1945" s="29" t="s">
        <v>3091</v>
      </c>
      <c r="B1945" s="29" t="s">
        <v>3090</v>
      </c>
      <c r="C1945" s="29" t="s">
        <v>11732</v>
      </c>
      <c r="D1945" s="29" t="str">
        <f>VLOOKUP(C:C,'COUNT-CONT'!B:C,2,FALSE)</f>
        <v>North America</v>
      </c>
      <c r="E1945" s="29">
        <v>10</v>
      </c>
      <c r="F1945" s="28">
        <v>4089</v>
      </c>
      <c r="G1945" s="28">
        <v>3696414428</v>
      </c>
      <c r="H1945" s="29">
        <v>10.97</v>
      </c>
      <c r="I1945" s="142">
        <v>-68.47</v>
      </c>
      <c r="J1945" s="29">
        <v>8.9499999999999993</v>
      </c>
      <c r="K1945" s="29">
        <v>8.9499999999999993</v>
      </c>
      <c r="L1945" s="29">
        <v>14.45</v>
      </c>
      <c r="M1945" s="368"/>
      <c r="N1945" s="368"/>
      <c r="O1945" s="271">
        <f>IFERROR(Table17[[#This Row],[PROFIT]]/Table17[[#This Row],[TO]],0)</f>
        <v>0</v>
      </c>
      <c r="P1945" s="177"/>
      <c r="Q1945" s="177"/>
      <c r="R1945" s="177"/>
    </row>
    <row r="1946" spans="1:18" hidden="1" x14ac:dyDescent="0.25">
      <c r="A1946" s="29" t="s">
        <v>1559</v>
      </c>
      <c r="B1946" s="29" t="s">
        <v>1558</v>
      </c>
      <c r="C1946" s="29" t="s">
        <v>505</v>
      </c>
      <c r="D1946" s="29" t="e">
        <f>VLOOKUP(C:C,'COUNT-CONT'!B:C,2,FALSE)</f>
        <v>#N/A</v>
      </c>
      <c r="E1946" s="29">
        <v>6</v>
      </c>
      <c r="F1946" s="28">
        <v>2377</v>
      </c>
      <c r="G1946" s="28">
        <v>2827268195</v>
      </c>
      <c r="H1946" s="29">
        <v>10.94</v>
      </c>
      <c r="I1946" s="142">
        <v>-68.5</v>
      </c>
      <c r="J1946" s="29">
        <v>4.26</v>
      </c>
      <c r="K1946" s="29">
        <v>3.51</v>
      </c>
      <c r="L1946" s="29">
        <v>9.2799999999999994</v>
      </c>
      <c r="M1946" s="368"/>
      <c r="N1946" s="368"/>
      <c r="O1946" s="271">
        <f>IFERROR(Table17[[#This Row],[PROFIT]]/Table17[[#This Row],[TO]],0)</f>
        <v>0</v>
      </c>
      <c r="P1946" s="177"/>
      <c r="Q1946" s="177"/>
      <c r="R1946" s="177"/>
    </row>
    <row r="1947" spans="1:18" x14ac:dyDescent="0.25">
      <c r="A1947" s="29" t="s">
        <v>2382</v>
      </c>
      <c r="B1947" s="29" t="s">
        <v>2381</v>
      </c>
      <c r="C1947" s="29" t="s">
        <v>774</v>
      </c>
      <c r="D1947" s="29" t="str">
        <f>VLOOKUP(C:C,'COUNT-CONT'!B:C,2,FALSE)</f>
        <v>Oceania</v>
      </c>
      <c r="E1947" s="29">
        <v>3</v>
      </c>
      <c r="F1947" s="28">
        <v>1692</v>
      </c>
      <c r="G1947" s="28">
        <v>3366118203</v>
      </c>
      <c r="H1947" s="29">
        <v>10.94</v>
      </c>
      <c r="I1947" s="142">
        <v>-68.5</v>
      </c>
      <c r="J1947" s="29">
        <v>6.5</v>
      </c>
      <c r="K1947" s="29">
        <v>6.05</v>
      </c>
      <c r="L1947" s="29">
        <v>11.64</v>
      </c>
      <c r="M1947" s="368"/>
      <c r="N1947" s="368"/>
      <c r="O1947" s="271">
        <f>IFERROR(Table17[[#This Row],[PROFIT]]/Table17[[#This Row],[TO]],0)</f>
        <v>0</v>
      </c>
      <c r="P1947" s="177"/>
      <c r="Q1947" s="177"/>
      <c r="R1947" s="177"/>
    </row>
    <row r="1948" spans="1:18" hidden="1" x14ac:dyDescent="0.25">
      <c r="A1948" s="29" t="s">
        <v>1495</v>
      </c>
      <c r="B1948" s="29" t="s">
        <v>1494</v>
      </c>
      <c r="C1948" s="29" t="s">
        <v>1420</v>
      </c>
      <c r="D1948" s="29" t="str">
        <f>VLOOKUP(C:C,'COUNT-CONT'!B:C,2,FALSE)</f>
        <v>Europe</v>
      </c>
      <c r="E1948" s="29">
        <v>4</v>
      </c>
      <c r="F1948" s="28">
        <v>2617</v>
      </c>
      <c r="G1948" s="28">
        <v>2706728620</v>
      </c>
      <c r="H1948" s="29">
        <v>10.91</v>
      </c>
      <c r="I1948" s="142">
        <v>-68.53</v>
      </c>
      <c r="J1948" s="29">
        <v>4.17</v>
      </c>
      <c r="K1948" s="29">
        <v>3.26</v>
      </c>
      <c r="L1948" s="29">
        <v>9.1</v>
      </c>
      <c r="M1948" s="368"/>
      <c r="N1948" s="368"/>
      <c r="O1948" s="271">
        <f>IFERROR(Table17[[#This Row],[PROFIT]]/Table17[[#This Row],[TO]],0)</f>
        <v>0</v>
      </c>
      <c r="P1948" s="177"/>
      <c r="Q1948" s="177"/>
      <c r="R1948" s="177"/>
    </row>
    <row r="1949" spans="1:18" ht="30" hidden="1" x14ac:dyDescent="0.25">
      <c r="A1949" s="29" t="s">
        <v>3076</v>
      </c>
      <c r="B1949" s="29" t="s">
        <v>3075</v>
      </c>
      <c r="C1949" s="29" t="s">
        <v>11732</v>
      </c>
      <c r="D1949" s="29" t="str">
        <f>VLOOKUP(C:C,'COUNT-CONT'!B:C,2,FALSE)</f>
        <v>North America</v>
      </c>
      <c r="E1949" s="29">
        <v>4</v>
      </c>
      <c r="F1949" s="28">
        <v>1998</v>
      </c>
      <c r="G1949" s="28">
        <v>3762650550</v>
      </c>
      <c r="H1949" s="29">
        <v>10.91</v>
      </c>
      <c r="I1949" s="142">
        <v>-68.53</v>
      </c>
      <c r="J1949" s="29">
        <v>8.92</v>
      </c>
      <c r="K1949" s="29">
        <v>8.92</v>
      </c>
      <c r="L1949" s="29">
        <v>14.39</v>
      </c>
      <c r="M1949" s="368"/>
      <c r="N1949" s="368"/>
      <c r="O1949" s="271">
        <f>IFERROR(Table17[[#This Row],[PROFIT]]/Table17[[#This Row],[TO]],0)</f>
        <v>0</v>
      </c>
      <c r="P1949" s="177"/>
      <c r="Q1949" s="177"/>
      <c r="R1949" s="177"/>
    </row>
    <row r="1950" spans="1:18" ht="30" hidden="1" x14ac:dyDescent="0.25">
      <c r="A1950" s="29" t="s">
        <v>3064</v>
      </c>
      <c r="B1950" s="29" t="s">
        <v>3063</v>
      </c>
      <c r="C1950" s="29" t="s">
        <v>11732</v>
      </c>
      <c r="D1950" s="29" t="str">
        <f>VLOOKUP(C:C,'COUNT-CONT'!B:C,2,FALSE)</f>
        <v>North America</v>
      </c>
      <c r="E1950" s="29">
        <v>6</v>
      </c>
      <c r="F1950" s="28">
        <v>2459</v>
      </c>
      <c r="G1950" s="28">
        <v>3700336315</v>
      </c>
      <c r="H1950" s="29">
        <v>10.91</v>
      </c>
      <c r="I1950" s="142">
        <v>-68.53</v>
      </c>
      <c r="J1950" s="29">
        <v>8.89</v>
      </c>
      <c r="K1950" s="29">
        <v>8.89</v>
      </c>
      <c r="L1950" s="29">
        <v>14.36</v>
      </c>
      <c r="M1950" s="368"/>
      <c r="N1950" s="368"/>
      <c r="O1950" s="271">
        <f>IFERROR(Table17[[#This Row],[PROFIT]]/Table17[[#This Row],[TO]],0)</f>
        <v>0</v>
      </c>
      <c r="P1950" s="177"/>
      <c r="Q1950" s="177"/>
      <c r="R1950" s="177"/>
    </row>
    <row r="1951" spans="1:18" hidden="1" x14ac:dyDescent="0.25">
      <c r="A1951" s="29" t="s">
        <v>2438</v>
      </c>
      <c r="B1951" s="29" t="s">
        <v>2437</v>
      </c>
      <c r="C1951" s="29" t="s">
        <v>308</v>
      </c>
      <c r="D1951" s="29" t="str">
        <f>VLOOKUP(C:C,'COUNT-CONT'!B:C,2,FALSE)</f>
        <v>Europe</v>
      </c>
      <c r="E1951" s="29">
        <v>2</v>
      </c>
      <c r="F1951" s="28">
        <v>1446</v>
      </c>
      <c r="G1951" s="28">
        <v>3477719225</v>
      </c>
      <c r="H1951" s="29">
        <v>10.88</v>
      </c>
      <c r="I1951" s="142">
        <v>-68.56</v>
      </c>
      <c r="J1951" s="29">
        <v>6.62</v>
      </c>
      <c r="K1951" s="29">
        <v>6.38</v>
      </c>
      <c r="L1951" s="29">
        <v>11.85</v>
      </c>
      <c r="M1951" s="368"/>
      <c r="N1951" s="368"/>
      <c r="O1951" s="271">
        <f>IFERROR(Table17[[#This Row],[PROFIT]]/Table17[[#This Row],[TO]],0)</f>
        <v>0</v>
      </c>
      <c r="P1951" s="177"/>
      <c r="Q1951" s="177"/>
      <c r="R1951" s="177"/>
    </row>
    <row r="1952" spans="1:18" x14ac:dyDescent="0.25">
      <c r="A1952" s="29" t="s">
        <v>1918</v>
      </c>
      <c r="B1952" s="29" t="s">
        <v>1917</v>
      </c>
      <c r="C1952" s="29" t="s">
        <v>730</v>
      </c>
      <c r="D1952" s="29" t="str">
        <f>VLOOKUP(C:C,'COUNT-CONT'!B:C,2,FALSE)</f>
        <v>Oceania</v>
      </c>
      <c r="E1952" s="29">
        <v>2</v>
      </c>
      <c r="F1952" s="28">
        <v>1389</v>
      </c>
      <c r="G1952" s="28">
        <v>3297136645</v>
      </c>
      <c r="H1952" s="29">
        <v>10.88</v>
      </c>
      <c r="I1952" s="142">
        <v>-68.56</v>
      </c>
      <c r="J1952" s="29">
        <v>5.14</v>
      </c>
      <c r="K1952" s="29">
        <v>4.5</v>
      </c>
      <c r="L1952" s="29">
        <v>10.28</v>
      </c>
      <c r="M1952" s="368"/>
      <c r="N1952" s="368"/>
      <c r="O1952" s="271">
        <f>IFERROR(Table17[[#This Row],[PROFIT]]/Table17[[#This Row],[TO]],0)</f>
        <v>0</v>
      </c>
      <c r="P1952" s="177"/>
      <c r="Q1952" s="177"/>
      <c r="R1952" s="177"/>
    </row>
    <row r="1953" spans="1:18" ht="30" hidden="1" x14ac:dyDescent="0.25">
      <c r="A1953" s="29" t="s">
        <v>2585</v>
      </c>
      <c r="B1953" s="29" t="s">
        <v>2584</v>
      </c>
      <c r="C1953" s="29" t="s">
        <v>514</v>
      </c>
      <c r="D1953" s="29" t="str">
        <f>VLOOKUP(C:C,'COUNT-CONT'!B:C,2,FALSE)</f>
        <v>North America</v>
      </c>
      <c r="E1953" s="29">
        <v>3</v>
      </c>
      <c r="F1953" s="28">
        <v>1531</v>
      </c>
      <c r="G1953" s="28">
        <v>3509484650</v>
      </c>
      <c r="H1953" s="29">
        <v>10.85</v>
      </c>
      <c r="I1953" s="142">
        <v>-68.59</v>
      </c>
      <c r="J1953" s="29">
        <v>7.13</v>
      </c>
      <c r="K1953" s="29">
        <v>6.89</v>
      </c>
      <c r="L1953" s="29">
        <v>12.33</v>
      </c>
      <c r="M1953" s="368"/>
      <c r="N1953" s="368"/>
      <c r="O1953" s="271">
        <f>IFERROR(Table17[[#This Row],[PROFIT]]/Table17[[#This Row],[TO]],0)</f>
        <v>0</v>
      </c>
      <c r="P1953" s="177"/>
      <c r="Q1953" s="177"/>
      <c r="R1953" s="177"/>
    </row>
    <row r="1954" spans="1:18" x14ac:dyDescent="0.25">
      <c r="A1954" s="29" t="s">
        <v>2343</v>
      </c>
      <c r="B1954" s="29" t="s">
        <v>2342</v>
      </c>
      <c r="C1954" s="29" t="s">
        <v>774</v>
      </c>
      <c r="D1954" s="29" t="str">
        <f>VLOOKUP(C:C,'COUNT-CONT'!B:C,2,FALSE)</f>
        <v>Oceania</v>
      </c>
      <c r="E1954" s="29">
        <v>7</v>
      </c>
      <c r="F1954" s="28">
        <v>2523</v>
      </c>
      <c r="G1954" s="28">
        <v>3215688902</v>
      </c>
      <c r="H1954" s="29">
        <v>10.82</v>
      </c>
      <c r="I1954" s="142">
        <v>-68.62</v>
      </c>
      <c r="J1954" s="29">
        <v>6.44</v>
      </c>
      <c r="K1954" s="29">
        <v>5.99</v>
      </c>
      <c r="L1954" s="29">
        <v>11.52</v>
      </c>
      <c r="M1954" s="368"/>
      <c r="N1954" s="368"/>
      <c r="O1954" s="271">
        <f>IFERROR(Table17[[#This Row],[PROFIT]]/Table17[[#This Row],[TO]],0)</f>
        <v>0</v>
      </c>
      <c r="P1954" s="177"/>
      <c r="Q1954" s="177"/>
      <c r="R1954" s="177"/>
    </row>
    <row r="1955" spans="1:18" x14ac:dyDescent="0.25">
      <c r="A1955" s="29" t="s">
        <v>1900</v>
      </c>
      <c r="B1955" s="29" t="s">
        <v>1899</v>
      </c>
      <c r="C1955" s="29" t="s">
        <v>730</v>
      </c>
      <c r="D1955" s="29" t="str">
        <f>VLOOKUP(C:C,'COUNT-CONT'!B:C,2,FALSE)</f>
        <v>Oceania</v>
      </c>
      <c r="E1955" s="29">
        <v>2</v>
      </c>
      <c r="F1955" s="28">
        <v>1381</v>
      </c>
      <c r="G1955" s="28">
        <v>3291324257</v>
      </c>
      <c r="H1955" s="29">
        <v>10.82</v>
      </c>
      <c r="I1955" s="142">
        <v>-68.62</v>
      </c>
      <c r="J1955" s="29">
        <v>5.1100000000000003</v>
      </c>
      <c r="K1955" s="29">
        <v>4.47</v>
      </c>
      <c r="L1955" s="29">
        <v>10.220000000000001</v>
      </c>
      <c r="M1955" s="368"/>
      <c r="N1955" s="368"/>
      <c r="O1955" s="271">
        <f>IFERROR(Table17[[#This Row],[PROFIT]]/Table17[[#This Row],[TO]],0)</f>
        <v>0</v>
      </c>
      <c r="P1955" s="177"/>
      <c r="Q1955" s="177"/>
      <c r="R1955" s="177"/>
    </row>
    <row r="1956" spans="1:18" ht="30" hidden="1" x14ac:dyDescent="0.25">
      <c r="A1956" s="29" t="s">
        <v>2573</v>
      </c>
      <c r="B1956" s="29" t="s">
        <v>2572</v>
      </c>
      <c r="C1956" s="29" t="s">
        <v>514</v>
      </c>
      <c r="D1956" s="29" t="str">
        <f>VLOOKUP(C:C,'COUNT-CONT'!B:C,2,FALSE)</f>
        <v>North America</v>
      </c>
      <c r="E1956" s="29">
        <v>2</v>
      </c>
      <c r="F1956" s="28">
        <v>1378</v>
      </c>
      <c r="G1956" s="28">
        <v>3569258345</v>
      </c>
      <c r="H1956" s="29">
        <v>10.82</v>
      </c>
      <c r="I1956" s="142">
        <v>-68.62</v>
      </c>
      <c r="J1956" s="29">
        <v>7.13</v>
      </c>
      <c r="K1956" s="29">
        <v>6.86</v>
      </c>
      <c r="L1956" s="29">
        <v>12.3</v>
      </c>
      <c r="M1956" s="368"/>
      <c r="N1956" s="368"/>
      <c r="O1956" s="271">
        <f>IFERROR(Table17[[#This Row],[PROFIT]]/Table17[[#This Row],[TO]],0)</f>
        <v>0</v>
      </c>
      <c r="P1956" s="177"/>
      <c r="Q1956" s="177"/>
      <c r="R1956" s="177"/>
    </row>
    <row r="1957" spans="1:18" hidden="1" x14ac:dyDescent="0.25">
      <c r="A1957" s="29" t="s">
        <v>1126</v>
      </c>
      <c r="B1957" s="29" t="s">
        <v>1125</v>
      </c>
      <c r="C1957" s="29" t="s">
        <v>1124</v>
      </c>
      <c r="D1957" s="29" t="str">
        <f>VLOOKUP(C:C,'COUNT-CONT'!B:C,2,FALSE)</f>
        <v>Africa</v>
      </c>
      <c r="E1957" s="29">
        <v>9</v>
      </c>
      <c r="F1957" s="28">
        <v>3022</v>
      </c>
      <c r="G1957" s="28">
        <v>2646497352</v>
      </c>
      <c r="H1957" s="29">
        <v>10.79</v>
      </c>
      <c r="I1957" s="142">
        <v>-68.650000000000006</v>
      </c>
      <c r="J1957" s="29">
        <v>3.2</v>
      </c>
      <c r="K1957" s="29">
        <v>2.2400000000000002</v>
      </c>
      <c r="L1957" s="29">
        <v>8.0399999999999991</v>
      </c>
      <c r="M1957" s="368"/>
      <c r="N1957" s="368"/>
      <c r="O1957" s="271">
        <f>IFERROR(Table17[[#This Row],[PROFIT]]/Table17[[#This Row],[TO]],0)</f>
        <v>0</v>
      </c>
      <c r="P1957" s="177"/>
      <c r="Q1957" s="177"/>
      <c r="R1957" s="177"/>
    </row>
    <row r="1958" spans="1:18" ht="30" hidden="1" x14ac:dyDescent="0.25">
      <c r="A1958" s="29" t="s">
        <v>3021</v>
      </c>
      <c r="B1958" s="29" t="s">
        <v>3020</v>
      </c>
      <c r="C1958" s="29" t="s">
        <v>11732</v>
      </c>
      <c r="D1958" s="29" t="str">
        <f>VLOOKUP(C:C,'COUNT-CONT'!B:C,2,FALSE)</f>
        <v>North America</v>
      </c>
      <c r="E1958" s="29">
        <v>5</v>
      </c>
      <c r="F1958" s="28">
        <v>2151</v>
      </c>
      <c r="G1958" s="28">
        <v>3714790051</v>
      </c>
      <c r="H1958" s="29">
        <v>10.79</v>
      </c>
      <c r="I1958" s="142">
        <v>-68.650000000000006</v>
      </c>
      <c r="J1958" s="29">
        <v>8.8000000000000007</v>
      </c>
      <c r="K1958" s="29">
        <v>8.8000000000000007</v>
      </c>
      <c r="L1958" s="29">
        <v>14.21</v>
      </c>
      <c r="M1958" s="368"/>
      <c r="N1958" s="368"/>
      <c r="O1958" s="271">
        <f>IFERROR(Table17[[#This Row],[PROFIT]]/Table17[[#This Row],[TO]],0)</f>
        <v>0</v>
      </c>
      <c r="P1958" s="177"/>
      <c r="Q1958" s="177"/>
      <c r="R1958" s="177"/>
    </row>
    <row r="1959" spans="1:18" ht="30" hidden="1" x14ac:dyDescent="0.25">
      <c r="A1959" s="29" t="s">
        <v>3035</v>
      </c>
      <c r="B1959" s="29" t="s">
        <v>3034</v>
      </c>
      <c r="C1959" s="29" t="s">
        <v>11732</v>
      </c>
      <c r="D1959" s="29" t="str">
        <f>VLOOKUP(C:C,'COUNT-CONT'!B:C,2,FALSE)</f>
        <v>North America</v>
      </c>
      <c r="E1959" s="29">
        <v>9</v>
      </c>
      <c r="F1959" s="28">
        <v>3226</v>
      </c>
      <c r="G1959" s="28">
        <v>3655779541</v>
      </c>
      <c r="H1959" s="29">
        <v>10.79</v>
      </c>
      <c r="I1959" s="142">
        <v>-68.650000000000006</v>
      </c>
      <c r="J1959" s="29">
        <v>8.83</v>
      </c>
      <c r="K1959" s="29">
        <v>8.83</v>
      </c>
      <c r="L1959" s="29">
        <v>14.24</v>
      </c>
      <c r="M1959" s="368"/>
      <c r="N1959" s="368"/>
      <c r="O1959" s="271">
        <f>IFERROR(Table17[[#This Row],[PROFIT]]/Table17[[#This Row],[TO]],0)</f>
        <v>0</v>
      </c>
      <c r="P1959" s="177"/>
      <c r="Q1959" s="177"/>
      <c r="R1959" s="177"/>
    </row>
    <row r="1960" spans="1:18" ht="30" hidden="1" x14ac:dyDescent="0.25">
      <c r="A1960" s="29" t="s">
        <v>1785</v>
      </c>
      <c r="B1960" s="29" t="s">
        <v>1784</v>
      </c>
      <c r="C1960" s="29" t="s">
        <v>530</v>
      </c>
      <c r="D1960" s="29" t="str">
        <f>VLOOKUP(C:C,'COUNT-CONT'!B:C,2,FALSE)</f>
        <v>South America</v>
      </c>
      <c r="E1960" s="29">
        <v>6</v>
      </c>
      <c r="F1960" s="28">
        <v>2304</v>
      </c>
      <c r="G1960" s="28">
        <v>2908230555</v>
      </c>
      <c r="H1960" s="29">
        <v>10.79</v>
      </c>
      <c r="I1960" s="142">
        <v>-68.650000000000006</v>
      </c>
      <c r="J1960" s="29">
        <v>4.72</v>
      </c>
      <c r="K1960" s="29">
        <v>4.1100000000000003</v>
      </c>
      <c r="L1960" s="29">
        <v>9.82</v>
      </c>
      <c r="M1960" s="368"/>
      <c r="N1960" s="368"/>
      <c r="O1960" s="271">
        <f>IFERROR(Table17[[#This Row],[PROFIT]]/Table17[[#This Row],[TO]],0)</f>
        <v>0</v>
      </c>
      <c r="P1960" s="177"/>
      <c r="Q1960" s="177"/>
      <c r="R1960" s="177"/>
    </row>
    <row r="1961" spans="1:18" hidden="1" x14ac:dyDescent="0.25">
      <c r="A1961" s="29" t="s">
        <v>2411</v>
      </c>
      <c r="B1961" s="29" t="s">
        <v>2410</v>
      </c>
      <c r="C1961" s="29" t="s">
        <v>1427</v>
      </c>
      <c r="D1961" s="29" t="str">
        <f>VLOOKUP(C:C,'COUNT-CONT'!B:C,2,FALSE)</f>
        <v>Europe</v>
      </c>
      <c r="E1961" s="29">
        <v>1</v>
      </c>
      <c r="F1961" s="28">
        <v>1070</v>
      </c>
      <c r="G1961" s="28">
        <v>3678237383</v>
      </c>
      <c r="H1961" s="29">
        <v>10.79</v>
      </c>
      <c r="I1961" s="142">
        <v>-68.650000000000006</v>
      </c>
      <c r="J1961" s="29">
        <v>6.56</v>
      </c>
      <c r="K1961" s="29">
        <v>6.11</v>
      </c>
      <c r="L1961" s="29">
        <v>11.73</v>
      </c>
      <c r="M1961" s="368"/>
      <c r="N1961" s="368"/>
      <c r="O1961" s="271">
        <f>IFERROR(Table17[[#This Row],[PROFIT]]/Table17[[#This Row],[TO]],0)</f>
        <v>0</v>
      </c>
      <c r="P1961" s="177"/>
      <c r="Q1961" s="177"/>
      <c r="R1961" s="177"/>
    </row>
    <row r="1962" spans="1:18" ht="30" hidden="1" x14ac:dyDescent="0.25">
      <c r="A1962" s="29" t="s">
        <v>3029</v>
      </c>
      <c r="B1962" s="29" t="s">
        <v>3028</v>
      </c>
      <c r="C1962" s="29" t="s">
        <v>11732</v>
      </c>
      <c r="D1962" s="29" t="str">
        <f>VLOOKUP(C:C,'COUNT-CONT'!B:C,2,FALSE)</f>
        <v>North America</v>
      </c>
      <c r="E1962" s="29">
        <v>5</v>
      </c>
      <c r="F1962" s="28">
        <v>2212</v>
      </c>
      <c r="G1962" s="28">
        <v>3709887522</v>
      </c>
      <c r="H1962" s="29">
        <v>10.79</v>
      </c>
      <c r="I1962" s="142">
        <v>-68.650000000000006</v>
      </c>
      <c r="J1962" s="29">
        <v>8.83</v>
      </c>
      <c r="K1962" s="29">
        <v>8.83</v>
      </c>
      <c r="L1962" s="29">
        <v>14.24</v>
      </c>
      <c r="M1962" s="368"/>
      <c r="N1962" s="368"/>
      <c r="O1962" s="271">
        <f>IFERROR(Table17[[#This Row],[PROFIT]]/Table17[[#This Row],[TO]],0)</f>
        <v>0</v>
      </c>
      <c r="P1962" s="177"/>
      <c r="Q1962" s="177"/>
      <c r="R1962" s="177"/>
    </row>
    <row r="1963" spans="1:18" ht="30" hidden="1" x14ac:dyDescent="0.25">
      <c r="A1963" s="29" t="s">
        <v>2559</v>
      </c>
      <c r="B1963" s="29" t="s">
        <v>2558</v>
      </c>
      <c r="C1963" s="29" t="s">
        <v>514</v>
      </c>
      <c r="D1963" s="29" t="str">
        <f>VLOOKUP(C:C,'COUNT-CONT'!B:C,2,FALSE)</f>
        <v>North America</v>
      </c>
      <c r="E1963" s="29">
        <v>1</v>
      </c>
      <c r="F1963" s="28">
        <v>1227</v>
      </c>
      <c r="G1963" s="28">
        <v>3649195517</v>
      </c>
      <c r="H1963" s="29">
        <v>10.79</v>
      </c>
      <c r="I1963" s="142">
        <v>-68.650000000000006</v>
      </c>
      <c r="J1963" s="29">
        <v>7.1</v>
      </c>
      <c r="K1963" s="29">
        <v>6.86</v>
      </c>
      <c r="L1963" s="29">
        <v>12.27</v>
      </c>
      <c r="M1963" s="368"/>
      <c r="N1963" s="368"/>
      <c r="O1963" s="271">
        <f>IFERROR(Table17[[#This Row],[PROFIT]]/Table17[[#This Row],[TO]],0)</f>
        <v>0</v>
      </c>
      <c r="P1963" s="177"/>
      <c r="Q1963" s="177"/>
      <c r="R1963" s="177"/>
    </row>
    <row r="1964" spans="1:18" hidden="1" x14ac:dyDescent="0.25">
      <c r="A1964" s="29" t="s">
        <v>2553</v>
      </c>
      <c r="B1964" s="29" t="s">
        <v>2552</v>
      </c>
      <c r="C1964" s="29" t="s">
        <v>119</v>
      </c>
      <c r="D1964" s="29" t="str">
        <f>VLOOKUP(C:C,'COUNT-CONT'!B:C,2,FALSE)</f>
        <v>Europe</v>
      </c>
      <c r="E1964" s="29">
        <v>8</v>
      </c>
      <c r="F1964" s="28">
        <v>2863</v>
      </c>
      <c r="G1964" s="28">
        <v>3295012364</v>
      </c>
      <c r="H1964" s="29">
        <v>10.76</v>
      </c>
      <c r="I1964" s="142">
        <v>-68.679999999999993</v>
      </c>
      <c r="J1964" s="29">
        <v>7.07</v>
      </c>
      <c r="K1964" s="29">
        <v>6.83</v>
      </c>
      <c r="L1964" s="29">
        <v>12.24</v>
      </c>
      <c r="M1964" s="368"/>
      <c r="N1964" s="368"/>
      <c r="O1964" s="271">
        <f>IFERROR(Table17[[#This Row],[PROFIT]]/Table17[[#This Row],[TO]],0)</f>
        <v>0</v>
      </c>
      <c r="P1964" s="177"/>
      <c r="Q1964" s="177"/>
      <c r="R1964" s="177"/>
    </row>
    <row r="1965" spans="1:18" ht="30" hidden="1" x14ac:dyDescent="0.25">
      <c r="A1965" s="29" t="s">
        <v>1561</v>
      </c>
      <c r="B1965" s="29" t="s">
        <v>1560</v>
      </c>
      <c r="C1965" s="29" t="s">
        <v>683</v>
      </c>
      <c r="D1965" s="29" t="str">
        <f>VLOOKUP(C:C,'COUNT-CONT'!B:C,2,FALSE)</f>
        <v>North America</v>
      </c>
      <c r="E1965" s="29">
        <v>6</v>
      </c>
      <c r="F1965" s="28">
        <v>2404</v>
      </c>
      <c r="G1965" s="28">
        <v>2827970715</v>
      </c>
      <c r="H1965" s="29">
        <v>10.76</v>
      </c>
      <c r="I1965" s="142">
        <v>-68.679999999999993</v>
      </c>
      <c r="J1965" s="29">
        <v>4.26</v>
      </c>
      <c r="K1965" s="29">
        <v>3.51</v>
      </c>
      <c r="L1965" s="29">
        <v>9.2799999999999994</v>
      </c>
      <c r="M1965" s="368"/>
      <c r="N1965" s="368"/>
      <c r="O1965" s="271">
        <f>IFERROR(Table17[[#This Row],[PROFIT]]/Table17[[#This Row],[TO]],0)</f>
        <v>0</v>
      </c>
      <c r="P1965" s="177"/>
      <c r="Q1965" s="177"/>
      <c r="R1965" s="177"/>
    </row>
    <row r="1966" spans="1:18" ht="30" hidden="1" x14ac:dyDescent="0.25">
      <c r="A1966" s="29" t="s">
        <v>134</v>
      </c>
      <c r="B1966" s="29" t="s">
        <v>3017</v>
      </c>
      <c r="C1966" s="29" t="s">
        <v>11732</v>
      </c>
      <c r="D1966" s="29" t="str">
        <f>VLOOKUP(C:C,'COUNT-CONT'!B:C,2,FALSE)</f>
        <v>North America</v>
      </c>
      <c r="E1966" s="29">
        <v>10</v>
      </c>
      <c r="F1966" s="28">
        <v>3613</v>
      </c>
      <c r="G1966" s="28">
        <v>3651256130</v>
      </c>
      <c r="H1966" s="29">
        <v>10.76</v>
      </c>
      <c r="I1966" s="142">
        <v>-68.679999999999993</v>
      </c>
      <c r="J1966" s="29">
        <v>8.8000000000000007</v>
      </c>
      <c r="K1966" s="29">
        <v>8.8000000000000007</v>
      </c>
      <c r="L1966" s="29">
        <v>14.18</v>
      </c>
      <c r="M1966" s="368"/>
      <c r="N1966" s="368"/>
      <c r="O1966" s="271">
        <f>IFERROR(Table17[[#This Row],[PROFIT]]/Table17[[#This Row],[TO]],0)</f>
        <v>0</v>
      </c>
      <c r="P1966" s="177"/>
      <c r="Q1966" s="177"/>
      <c r="R1966" s="177"/>
    </row>
    <row r="1967" spans="1:18" ht="30" hidden="1" x14ac:dyDescent="0.25">
      <c r="A1967" s="29" t="s">
        <v>2544</v>
      </c>
      <c r="B1967" s="29" t="s">
        <v>2543</v>
      </c>
      <c r="C1967" s="29" t="s">
        <v>514</v>
      </c>
      <c r="D1967" s="29" t="str">
        <f>VLOOKUP(C:C,'COUNT-CONT'!B:C,2,FALSE)</f>
        <v>North America</v>
      </c>
      <c r="E1967" s="29">
        <v>3</v>
      </c>
      <c r="F1967" s="28">
        <v>1622</v>
      </c>
      <c r="G1967" s="28">
        <v>3465475092</v>
      </c>
      <c r="H1967" s="29">
        <v>10.76</v>
      </c>
      <c r="I1967" s="142">
        <v>-68.679999999999993</v>
      </c>
      <c r="J1967" s="29">
        <v>7.07</v>
      </c>
      <c r="K1967" s="29">
        <v>6.83</v>
      </c>
      <c r="L1967" s="29">
        <v>12.24</v>
      </c>
      <c r="M1967" s="368"/>
      <c r="N1967" s="368"/>
      <c r="O1967" s="271">
        <f>IFERROR(Table17[[#This Row],[PROFIT]]/Table17[[#This Row],[TO]],0)</f>
        <v>0</v>
      </c>
      <c r="P1967" s="177"/>
      <c r="Q1967" s="177"/>
      <c r="R1967" s="177"/>
    </row>
    <row r="1968" spans="1:18" ht="30" hidden="1" x14ac:dyDescent="0.25">
      <c r="A1968" s="29" t="s">
        <v>2089</v>
      </c>
      <c r="B1968" s="29" t="s">
        <v>2088</v>
      </c>
      <c r="C1968" s="29" t="s">
        <v>13119</v>
      </c>
      <c r="D1968" s="29" t="str">
        <f>VLOOKUP(C:C,'COUNT-CONT'!B:C,2,FALSE)</f>
        <v>North America</v>
      </c>
      <c r="E1968" s="29">
        <v>6</v>
      </c>
      <c r="F1968" s="28">
        <v>2445</v>
      </c>
      <c r="G1968" s="28">
        <v>3019297750</v>
      </c>
      <c r="H1968" s="29">
        <v>10.76</v>
      </c>
      <c r="I1968" s="142">
        <v>-68.679999999999993</v>
      </c>
      <c r="J1968" s="29">
        <v>5.8</v>
      </c>
      <c r="K1968" s="29">
        <v>5.17</v>
      </c>
      <c r="L1968" s="29">
        <v>10.76</v>
      </c>
      <c r="M1968" s="368"/>
      <c r="N1968" s="368"/>
      <c r="O1968" s="271">
        <f>IFERROR(Table17[[#This Row],[PROFIT]]/Table17[[#This Row],[TO]],0)</f>
        <v>0</v>
      </c>
      <c r="P1968" s="177"/>
      <c r="Q1968" s="177"/>
      <c r="R1968" s="177"/>
    </row>
    <row r="1969" spans="1:18" hidden="1" x14ac:dyDescent="0.25">
      <c r="A1969" s="29" t="s">
        <v>1860</v>
      </c>
      <c r="B1969" s="29" t="s">
        <v>1859</v>
      </c>
      <c r="C1969" s="29" t="s">
        <v>1858</v>
      </c>
      <c r="D1969" s="29" t="str">
        <f>VLOOKUP(C:C,'COUNT-CONT'!B:C,2,FALSE)</f>
        <v>Europe</v>
      </c>
      <c r="E1969" s="29">
        <v>1</v>
      </c>
      <c r="F1969" s="28">
        <v>1202</v>
      </c>
      <c r="G1969" s="28">
        <v>3380841430</v>
      </c>
      <c r="H1969" s="29">
        <v>10.73</v>
      </c>
      <c r="I1969" s="142">
        <v>-68.709999999999994</v>
      </c>
      <c r="J1969" s="29">
        <v>5.05</v>
      </c>
      <c r="K1969" s="29">
        <v>4.4400000000000004</v>
      </c>
      <c r="L1969" s="29">
        <v>10.130000000000001</v>
      </c>
      <c r="M1969" s="368"/>
      <c r="N1969" s="368"/>
      <c r="O1969" s="271">
        <f>IFERROR(Table17[[#This Row],[PROFIT]]/Table17[[#This Row],[TO]],0)</f>
        <v>0</v>
      </c>
      <c r="P1969" s="177"/>
      <c r="Q1969" s="177"/>
      <c r="R1969" s="177"/>
    </row>
    <row r="1970" spans="1:18" hidden="1" x14ac:dyDescent="0.25">
      <c r="A1970" s="29" t="s">
        <v>1288</v>
      </c>
      <c r="B1970" s="29" t="s">
        <v>1287</v>
      </c>
      <c r="C1970" s="29" t="s">
        <v>533</v>
      </c>
      <c r="D1970" s="29" t="str">
        <f>VLOOKUP(C:C,'COUNT-CONT'!B:C,2,FALSE)</f>
        <v>Asia</v>
      </c>
      <c r="E1970" s="29">
        <v>4</v>
      </c>
      <c r="F1970" s="28">
        <v>1952</v>
      </c>
      <c r="G1970" s="28">
        <v>2786524590</v>
      </c>
      <c r="H1970" s="29">
        <v>10.73</v>
      </c>
      <c r="I1970" s="142">
        <v>-68.709999999999994</v>
      </c>
      <c r="J1970" s="29">
        <v>3.57</v>
      </c>
      <c r="K1970" s="29">
        <v>2.72</v>
      </c>
      <c r="L1970" s="29">
        <v>8.52</v>
      </c>
      <c r="M1970" s="368"/>
      <c r="N1970" s="368"/>
      <c r="O1970" s="271">
        <f>IFERROR(Table17[[#This Row],[PROFIT]]/Table17[[#This Row],[TO]],0)</f>
        <v>0</v>
      </c>
      <c r="P1970" s="177"/>
      <c r="Q1970" s="177"/>
      <c r="R1970" s="177"/>
    </row>
    <row r="1971" spans="1:18" x14ac:dyDescent="0.25">
      <c r="A1971" s="29" t="s">
        <v>1864</v>
      </c>
      <c r="B1971" s="29" t="s">
        <v>1863</v>
      </c>
      <c r="C1971" s="29" t="s">
        <v>730</v>
      </c>
      <c r="D1971" s="29" t="str">
        <f>VLOOKUP(C:C,'COUNT-CONT'!B:C,2,FALSE)</f>
        <v>Oceania</v>
      </c>
      <c r="E1971" s="29">
        <v>2</v>
      </c>
      <c r="F1971" s="28">
        <v>1283</v>
      </c>
      <c r="G1971" s="28">
        <v>3331165549</v>
      </c>
      <c r="H1971" s="29">
        <v>10.73</v>
      </c>
      <c r="I1971" s="142">
        <v>-68.709999999999994</v>
      </c>
      <c r="J1971" s="29">
        <v>5.05</v>
      </c>
      <c r="K1971" s="29">
        <v>4.4400000000000004</v>
      </c>
      <c r="L1971" s="29">
        <v>10.130000000000001</v>
      </c>
      <c r="M1971" s="368"/>
      <c r="N1971" s="368"/>
      <c r="O1971" s="271">
        <f>IFERROR(Table17[[#This Row],[PROFIT]]/Table17[[#This Row],[TO]],0)</f>
        <v>0</v>
      </c>
      <c r="P1971" s="177"/>
      <c r="Q1971" s="177"/>
      <c r="R1971" s="177"/>
    </row>
    <row r="1972" spans="1:18" ht="30" hidden="1" x14ac:dyDescent="0.25">
      <c r="A1972" s="29" t="s">
        <v>3010</v>
      </c>
      <c r="B1972" s="29" t="s">
        <v>3009</v>
      </c>
      <c r="C1972" s="29" t="s">
        <v>11732</v>
      </c>
      <c r="D1972" s="29" t="str">
        <f>VLOOKUP(C:C,'COUNT-CONT'!B:C,2,FALSE)</f>
        <v>North America</v>
      </c>
      <c r="E1972" s="29">
        <v>7</v>
      </c>
      <c r="F1972" s="28">
        <v>2642</v>
      </c>
      <c r="G1972" s="28">
        <v>3655651249</v>
      </c>
      <c r="H1972" s="29">
        <v>10.7</v>
      </c>
      <c r="I1972" s="142">
        <v>-68.739999999999995</v>
      </c>
      <c r="J1972" s="29">
        <v>8.74</v>
      </c>
      <c r="K1972" s="29">
        <v>8.74</v>
      </c>
      <c r="L1972" s="29">
        <v>14.12</v>
      </c>
      <c r="M1972" s="368"/>
      <c r="N1972" s="368"/>
      <c r="O1972" s="271">
        <f>IFERROR(Table17[[#This Row],[PROFIT]]/Table17[[#This Row],[TO]],0)</f>
        <v>0</v>
      </c>
      <c r="P1972" s="177"/>
      <c r="Q1972" s="177"/>
      <c r="R1972" s="177"/>
    </row>
    <row r="1973" spans="1:18" ht="30" hidden="1" x14ac:dyDescent="0.25">
      <c r="A1973" s="29" t="s">
        <v>1751</v>
      </c>
      <c r="B1973" s="29" t="s">
        <v>1750</v>
      </c>
      <c r="C1973" s="29" t="s">
        <v>1749</v>
      </c>
      <c r="D1973" s="29" t="str">
        <f>VLOOKUP(C:C,'COUNT-CONT'!B:C,2,FALSE)</f>
        <v>North America</v>
      </c>
      <c r="E1973" s="29">
        <v>6</v>
      </c>
      <c r="F1973" s="28">
        <v>2306</v>
      </c>
      <c r="G1973" s="28">
        <v>2895016478</v>
      </c>
      <c r="H1973" s="29">
        <v>10.7</v>
      </c>
      <c r="I1973" s="142">
        <v>-68.739999999999995</v>
      </c>
      <c r="J1973" s="29">
        <v>4.87</v>
      </c>
      <c r="K1973" s="29">
        <v>4.08</v>
      </c>
      <c r="L1973" s="29">
        <v>9.73</v>
      </c>
      <c r="M1973" s="368"/>
      <c r="N1973" s="368"/>
      <c r="O1973" s="271">
        <f>IFERROR(Table17[[#This Row],[PROFIT]]/Table17[[#This Row],[TO]],0)</f>
        <v>0</v>
      </c>
      <c r="P1973" s="177"/>
      <c r="Q1973" s="177"/>
      <c r="R1973" s="177"/>
    </row>
    <row r="1974" spans="1:18" hidden="1" x14ac:dyDescent="0.25">
      <c r="A1974" s="29" t="s">
        <v>1278</v>
      </c>
      <c r="B1974" s="29" t="s">
        <v>1277</v>
      </c>
      <c r="C1974" s="29" t="s">
        <v>533</v>
      </c>
      <c r="D1974" s="29" t="str">
        <f>VLOOKUP(C:C,'COUNT-CONT'!B:C,2,FALSE)</f>
        <v>Asia</v>
      </c>
      <c r="E1974" s="29">
        <v>4</v>
      </c>
      <c r="F1974" s="28">
        <v>1952</v>
      </c>
      <c r="G1974" s="28">
        <v>2783324590</v>
      </c>
      <c r="H1974" s="29">
        <v>10.7</v>
      </c>
      <c r="I1974" s="142">
        <v>-68.739999999999995</v>
      </c>
      <c r="J1974" s="29">
        <v>3.57</v>
      </c>
      <c r="K1974" s="29">
        <v>2.69</v>
      </c>
      <c r="L1974" s="29">
        <v>8.49</v>
      </c>
      <c r="M1974" s="368"/>
      <c r="N1974" s="368"/>
      <c r="O1974" s="271">
        <f>IFERROR(Table17[[#This Row],[PROFIT]]/Table17[[#This Row],[TO]],0)</f>
        <v>0</v>
      </c>
      <c r="P1974" s="177"/>
      <c r="Q1974" s="177"/>
      <c r="R1974" s="177"/>
    </row>
    <row r="1975" spans="1:18" hidden="1" x14ac:dyDescent="0.25">
      <c r="A1975" s="29" t="s">
        <v>1604</v>
      </c>
      <c r="B1975" s="29" t="s">
        <v>1603</v>
      </c>
      <c r="C1975" s="29" t="s">
        <v>1117</v>
      </c>
      <c r="D1975" s="29" t="str">
        <f>VLOOKUP(C:C,'COUNT-CONT'!B:C,2,FALSE)</f>
        <v>Europe</v>
      </c>
      <c r="E1975" s="29">
        <v>2</v>
      </c>
      <c r="F1975" s="28">
        <v>1442</v>
      </c>
      <c r="G1975" s="28">
        <v>3048429403</v>
      </c>
      <c r="H1975" s="29">
        <v>10.67</v>
      </c>
      <c r="I1975" s="142">
        <v>-68.77</v>
      </c>
      <c r="J1975" s="29">
        <v>4.5</v>
      </c>
      <c r="K1975" s="29">
        <v>3.75</v>
      </c>
      <c r="L1975" s="29">
        <v>9.3699999999999992</v>
      </c>
      <c r="M1975" s="368"/>
      <c r="N1975" s="368"/>
      <c r="O1975" s="271">
        <f>IFERROR(Table17[[#This Row],[PROFIT]]/Table17[[#This Row],[TO]],0)</f>
        <v>0</v>
      </c>
      <c r="P1975" s="177"/>
      <c r="Q1975" s="177"/>
      <c r="R1975" s="177"/>
    </row>
    <row r="1976" spans="1:18" ht="30" hidden="1" x14ac:dyDescent="0.25">
      <c r="A1976" s="29" t="s">
        <v>1673</v>
      </c>
      <c r="B1976" s="29" t="s">
        <v>1672</v>
      </c>
      <c r="C1976" s="29" t="s">
        <v>1671</v>
      </c>
      <c r="D1976" s="29" t="str">
        <f>VLOOKUP(C:C,'COUNT-CONT'!B:C,2,FALSE)</f>
        <v>North America</v>
      </c>
      <c r="E1976" s="29">
        <v>4</v>
      </c>
      <c r="F1976" s="28">
        <v>1803</v>
      </c>
      <c r="G1976" s="28">
        <v>2969094287</v>
      </c>
      <c r="H1976" s="29">
        <v>10.67</v>
      </c>
      <c r="I1976" s="142">
        <v>-68.77</v>
      </c>
      <c r="J1976" s="29">
        <v>4.5599999999999996</v>
      </c>
      <c r="K1976" s="29">
        <v>3.81</v>
      </c>
      <c r="L1976" s="29">
        <v>9.5500000000000007</v>
      </c>
      <c r="M1976" s="368"/>
      <c r="N1976" s="368"/>
      <c r="O1976" s="271">
        <f>IFERROR(Table17[[#This Row],[PROFIT]]/Table17[[#This Row],[TO]],0)</f>
        <v>0</v>
      </c>
      <c r="P1976" s="177"/>
      <c r="Q1976" s="177"/>
      <c r="R1976" s="177"/>
    </row>
    <row r="1977" spans="1:18" ht="30" hidden="1" x14ac:dyDescent="0.25">
      <c r="A1977" s="29" t="s">
        <v>1211</v>
      </c>
      <c r="B1977" s="29" t="s">
        <v>1210</v>
      </c>
      <c r="C1977" s="29" t="s">
        <v>700</v>
      </c>
      <c r="D1977" s="29" t="str">
        <f>VLOOKUP(C:C,'COUNT-CONT'!B:C,2,FALSE)</f>
        <v>Asia</v>
      </c>
      <c r="E1977" s="29">
        <v>8</v>
      </c>
      <c r="F1977" s="28">
        <v>3003</v>
      </c>
      <c r="G1977" s="28">
        <v>2684300366</v>
      </c>
      <c r="H1977" s="29">
        <v>10.67</v>
      </c>
      <c r="I1977" s="142">
        <v>-68.77</v>
      </c>
      <c r="J1977" s="29">
        <v>3.26</v>
      </c>
      <c r="K1977" s="29">
        <v>2.4500000000000002</v>
      </c>
      <c r="L1977" s="29">
        <v>8.2200000000000006</v>
      </c>
      <c r="M1977" s="368"/>
      <c r="N1977" s="368"/>
      <c r="O1977" s="271">
        <f>IFERROR(Table17[[#This Row],[PROFIT]]/Table17[[#This Row],[TO]],0)</f>
        <v>0</v>
      </c>
      <c r="P1977" s="177"/>
      <c r="Q1977" s="177"/>
      <c r="R1977" s="177"/>
    </row>
    <row r="1978" spans="1:18" hidden="1" x14ac:dyDescent="0.25">
      <c r="A1978" s="29" t="s">
        <v>2992</v>
      </c>
      <c r="B1978" s="29" t="s">
        <v>2991</v>
      </c>
      <c r="C1978" s="29" t="s">
        <v>560</v>
      </c>
      <c r="D1978" s="29" t="str">
        <f>VLOOKUP(C:C,'COUNT-CONT'!B:C,2,FALSE)</f>
        <v>Europe</v>
      </c>
      <c r="E1978" s="29">
        <v>5</v>
      </c>
      <c r="F1978" s="28">
        <v>2056</v>
      </c>
      <c r="G1978" s="28">
        <v>3711419455</v>
      </c>
      <c r="H1978" s="29">
        <v>10.67</v>
      </c>
      <c r="I1978" s="142">
        <v>-68.77</v>
      </c>
      <c r="J1978" s="29">
        <v>8.7100000000000009</v>
      </c>
      <c r="K1978" s="29">
        <v>8.7100000000000009</v>
      </c>
      <c r="L1978" s="29">
        <v>14.06</v>
      </c>
      <c r="M1978" s="368"/>
      <c r="N1978" s="368"/>
      <c r="O1978" s="271">
        <f>IFERROR(Table17[[#This Row],[PROFIT]]/Table17[[#This Row],[TO]],0)</f>
        <v>0</v>
      </c>
      <c r="P1978" s="177"/>
      <c r="Q1978" s="177"/>
      <c r="R1978" s="177"/>
    </row>
    <row r="1979" spans="1:18" hidden="1" x14ac:dyDescent="0.25">
      <c r="A1979" s="29" t="s">
        <v>1385</v>
      </c>
      <c r="B1979" s="29" t="s">
        <v>1384</v>
      </c>
      <c r="C1979" s="29" t="s">
        <v>567</v>
      </c>
      <c r="D1979" s="29" t="str">
        <f>VLOOKUP(C:C,'COUNT-CONT'!B:C,2,FALSE)</f>
        <v>Asia</v>
      </c>
      <c r="E1979" s="29">
        <v>4</v>
      </c>
      <c r="F1979" s="28">
        <v>2001</v>
      </c>
      <c r="G1979" s="28">
        <v>2883025137</v>
      </c>
      <c r="H1979" s="29">
        <v>10.67</v>
      </c>
      <c r="I1979" s="142">
        <v>-68.77</v>
      </c>
      <c r="J1979" s="29">
        <v>3.84</v>
      </c>
      <c r="K1979" s="29">
        <v>3.14</v>
      </c>
      <c r="L1979" s="29">
        <v>8.74</v>
      </c>
      <c r="M1979" s="368"/>
      <c r="N1979" s="368"/>
      <c r="O1979" s="271">
        <f>IFERROR(Table17[[#This Row],[PROFIT]]/Table17[[#This Row],[TO]],0)</f>
        <v>0</v>
      </c>
      <c r="P1979" s="177"/>
      <c r="Q1979" s="177"/>
      <c r="R1979" s="177"/>
    </row>
    <row r="1980" spans="1:18" hidden="1" x14ac:dyDescent="0.25">
      <c r="A1980" s="29" t="s">
        <v>1422</v>
      </c>
      <c r="B1980" s="29" t="s">
        <v>1421</v>
      </c>
      <c r="C1980" s="29" t="s">
        <v>1420</v>
      </c>
      <c r="D1980" s="29" t="str">
        <f>VLOOKUP(C:C,'COUNT-CONT'!B:C,2,FALSE)</f>
        <v>Europe</v>
      </c>
      <c r="E1980" s="29">
        <v>6</v>
      </c>
      <c r="F1980" s="28">
        <v>2503</v>
      </c>
      <c r="G1980" s="28">
        <v>2763872632</v>
      </c>
      <c r="H1980" s="29">
        <v>10.64</v>
      </c>
      <c r="I1980" s="142">
        <v>-68.8</v>
      </c>
      <c r="J1980" s="29">
        <v>4.08</v>
      </c>
      <c r="K1980" s="29">
        <v>3.17</v>
      </c>
      <c r="L1980" s="29">
        <v>8.86</v>
      </c>
      <c r="M1980" s="368"/>
      <c r="N1980" s="368"/>
      <c r="O1980" s="271">
        <f>IFERROR(Table17[[#This Row],[PROFIT]]/Table17[[#This Row],[TO]],0)</f>
        <v>0</v>
      </c>
      <c r="P1980" s="177"/>
      <c r="Q1980" s="177"/>
      <c r="R1980" s="177"/>
    </row>
    <row r="1981" spans="1:18" hidden="1" x14ac:dyDescent="0.25">
      <c r="A1981" s="29" t="s">
        <v>1267</v>
      </c>
      <c r="B1981" s="29" t="s">
        <v>1266</v>
      </c>
      <c r="C1981" s="29" t="s">
        <v>533</v>
      </c>
      <c r="D1981" s="29" t="str">
        <f>VLOOKUP(C:C,'COUNT-CONT'!B:C,2,FALSE)</f>
        <v>Asia</v>
      </c>
      <c r="E1981" s="29">
        <v>8</v>
      </c>
      <c r="F1981" s="28">
        <v>2853</v>
      </c>
      <c r="G1981" s="28">
        <v>2690559060</v>
      </c>
      <c r="H1981" s="29">
        <v>10.64</v>
      </c>
      <c r="I1981" s="142">
        <v>-68.8</v>
      </c>
      <c r="J1981" s="29">
        <v>3.54</v>
      </c>
      <c r="K1981" s="29">
        <v>2.69</v>
      </c>
      <c r="L1981" s="29">
        <v>8.4600000000000009</v>
      </c>
      <c r="M1981" s="368"/>
      <c r="N1981" s="368"/>
      <c r="O1981" s="271">
        <f>IFERROR(Table17[[#This Row],[PROFIT]]/Table17[[#This Row],[TO]],0)</f>
        <v>0</v>
      </c>
      <c r="P1981" s="177"/>
      <c r="Q1981" s="177"/>
      <c r="R1981" s="177"/>
    </row>
    <row r="1982" spans="1:18" x14ac:dyDescent="0.25">
      <c r="A1982" s="29" t="s">
        <v>2276</v>
      </c>
      <c r="B1982" s="29" t="s">
        <v>2275</v>
      </c>
      <c r="C1982" s="29" t="s">
        <v>774</v>
      </c>
      <c r="D1982" s="29" t="str">
        <f>VLOOKUP(C:C,'COUNT-CONT'!B:C,2,FALSE)</f>
        <v>Oceania</v>
      </c>
      <c r="E1982" s="29">
        <v>3</v>
      </c>
      <c r="F1982" s="28">
        <v>1681</v>
      </c>
      <c r="G1982" s="28">
        <v>3329372397</v>
      </c>
      <c r="H1982" s="29">
        <v>10.64</v>
      </c>
      <c r="I1982" s="142">
        <v>-68.8</v>
      </c>
      <c r="J1982" s="29">
        <v>6.35</v>
      </c>
      <c r="K1982" s="29">
        <v>5.89</v>
      </c>
      <c r="L1982" s="29">
        <v>11.34</v>
      </c>
      <c r="M1982" s="368"/>
      <c r="N1982" s="368"/>
      <c r="O1982" s="271">
        <f>IFERROR(Table17[[#This Row],[PROFIT]]/Table17[[#This Row],[TO]],0)</f>
        <v>0</v>
      </c>
      <c r="P1982" s="177"/>
      <c r="Q1982" s="177"/>
      <c r="R1982" s="177"/>
    </row>
    <row r="1983" spans="1:18" x14ac:dyDescent="0.25">
      <c r="A1983" s="29" t="s">
        <v>2272</v>
      </c>
      <c r="B1983" s="29" t="s">
        <v>2271</v>
      </c>
      <c r="C1983" s="29" t="s">
        <v>774</v>
      </c>
      <c r="D1983" s="29" t="str">
        <f>VLOOKUP(C:C,'COUNT-CONT'!B:C,2,FALSE)</f>
        <v>Oceania</v>
      </c>
      <c r="E1983" s="29">
        <v>3</v>
      </c>
      <c r="F1983" s="28">
        <v>1507</v>
      </c>
      <c r="G1983" s="28">
        <v>3386127007</v>
      </c>
      <c r="H1983" s="29">
        <v>10.64</v>
      </c>
      <c r="I1983" s="142">
        <v>-68.8</v>
      </c>
      <c r="J1983" s="29">
        <v>6.35</v>
      </c>
      <c r="K1983" s="29">
        <v>5.89</v>
      </c>
      <c r="L1983" s="29">
        <v>11.34</v>
      </c>
      <c r="M1983" s="368"/>
      <c r="N1983" s="368"/>
      <c r="O1983" s="271">
        <f>IFERROR(Table17[[#This Row],[PROFIT]]/Table17[[#This Row],[TO]],0)</f>
        <v>0</v>
      </c>
      <c r="P1983" s="177"/>
      <c r="Q1983" s="177"/>
      <c r="R1983" s="177"/>
    </row>
    <row r="1984" spans="1:18" hidden="1" x14ac:dyDescent="0.25">
      <c r="A1984" s="29" t="s">
        <v>2355</v>
      </c>
      <c r="B1984" s="29" t="s">
        <v>2354</v>
      </c>
      <c r="C1984" s="29" t="s">
        <v>876</v>
      </c>
      <c r="D1984" s="29" t="str">
        <f>VLOOKUP(C:C,'COUNT-CONT'!B:C,2,FALSE)</f>
        <v>Europe</v>
      </c>
      <c r="E1984" s="29">
        <v>4</v>
      </c>
      <c r="F1984" s="28">
        <v>1803</v>
      </c>
      <c r="G1984" s="28">
        <v>3327594287</v>
      </c>
      <c r="H1984" s="29">
        <v>10.64</v>
      </c>
      <c r="I1984" s="142">
        <v>-68.8</v>
      </c>
      <c r="J1984" s="29">
        <v>6.47</v>
      </c>
      <c r="K1984" s="29">
        <v>6.23</v>
      </c>
      <c r="L1984" s="29">
        <v>11.58</v>
      </c>
      <c r="M1984" s="368"/>
      <c r="N1984" s="368"/>
      <c r="O1984" s="271">
        <f>IFERROR(Table17[[#This Row],[PROFIT]]/Table17[[#This Row],[TO]],0)</f>
        <v>0</v>
      </c>
      <c r="P1984" s="177"/>
      <c r="Q1984" s="177"/>
      <c r="R1984" s="177"/>
    </row>
    <row r="1985" spans="1:18" hidden="1" x14ac:dyDescent="0.25">
      <c r="A1985" s="29" t="s">
        <v>1458</v>
      </c>
      <c r="B1985" s="29" t="s">
        <v>1457</v>
      </c>
      <c r="C1985" s="29" t="s">
        <v>1456</v>
      </c>
      <c r="D1985" s="29" t="str">
        <f>VLOOKUP(C:C,'COUNT-CONT'!B:C,2,FALSE)</f>
        <v>Asia</v>
      </c>
      <c r="E1985" s="29">
        <v>6</v>
      </c>
      <c r="F1985" s="28">
        <v>2503</v>
      </c>
      <c r="G1985" s="28">
        <v>2781472632</v>
      </c>
      <c r="H1985" s="29">
        <v>10.61</v>
      </c>
      <c r="I1985" s="142">
        <v>-68.83</v>
      </c>
      <c r="J1985" s="29">
        <v>4.1399999999999997</v>
      </c>
      <c r="K1985" s="29">
        <v>3.42</v>
      </c>
      <c r="L1985" s="29">
        <v>9.01</v>
      </c>
      <c r="M1985" s="368"/>
      <c r="N1985" s="368"/>
      <c r="O1985" s="271">
        <f>IFERROR(Table17[[#This Row],[PROFIT]]/Table17[[#This Row],[TO]],0)</f>
        <v>0</v>
      </c>
      <c r="P1985" s="177"/>
      <c r="Q1985" s="177"/>
      <c r="R1985" s="177"/>
    </row>
    <row r="1986" spans="1:18" hidden="1" x14ac:dyDescent="0.25">
      <c r="A1986" s="29" t="s">
        <v>1463</v>
      </c>
      <c r="B1986" s="29" t="s">
        <v>1462</v>
      </c>
      <c r="C1986" s="29" t="s">
        <v>14</v>
      </c>
      <c r="D1986" s="29" t="str">
        <f>VLOOKUP(C:C,'COUNT-CONT'!B:C,2,FALSE)</f>
        <v>Asia</v>
      </c>
      <c r="E1986" s="29">
        <v>8</v>
      </c>
      <c r="F1986" s="28">
        <v>2804</v>
      </c>
      <c r="G1986" s="28">
        <v>2764296718</v>
      </c>
      <c r="H1986" s="29">
        <v>10.61</v>
      </c>
      <c r="I1986" s="142">
        <v>-68.83</v>
      </c>
      <c r="J1986" s="29">
        <v>4.1399999999999997</v>
      </c>
      <c r="K1986" s="29">
        <v>3.42</v>
      </c>
      <c r="L1986" s="29">
        <v>9.01</v>
      </c>
      <c r="M1986" s="368"/>
      <c r="N1986" s="368"/>
      <c r="O1986" s="271">
        <f>IFERROR(Table17[[#This Row],[PROFIT]]/Table17[[#This Row],[TO]],0)</f>
        <v>0</v>
      </c>
      <c r="P1986" s="177"/>
      <c r="Q1986" s="177"/>
      <c r="R1986" s="177"/>
    </row>
    <row r="1987" spans="1:18" x14ac:dyDescent="0.25">
      <c r="A1987" s="29" t="s">
        <v>2270</v>
      </c>
      <c r="B1987" s="29" t="s">
        <v>2269</v>
      </c>
      <c r="C1987" s="29" t="s">
        <v>774</v>
      </c>
      <c r="D1987" s="29" t="str">
        <f>VLOOKUP(C:C,'COUNT-CONT'!B:C,2,FALSE)</f>
        <v>Oceania</v>
      </c>
      <c r="E1987" s="29">
        <v>3</v>
      </c>
      <c r="F1987" s="28">
        <v>1650</v>
      </c>
      <c r="G1987" s="28">
        <v>3332166666</v>
      </c>
      <c r="H1987" s="29">
        <v>10.61</v>
      </c>
      <c r="I1987" s="142">
        <v>-68.83</v>
      </c>
      <c r="J1987" s="29">
        <v>6.32</v>
      </c>
      <c r="K1987" s="29">
        <v>5.86</v>
      </c>
      <c r="L1987" s="29">
        <v>11.31</v>
      </c>
      <c r="M1987" s="368"/>
      <c r="N1987" s="368"/>
      <c r="O1987" s="271">
        <f>IFERROR(Table17[[#This Row],[PROFIT]]/Table17[[#This Row],[TO]],0)</f>
        <v>0</v>
      </c>
      <c r="P1987" s="177"/>
      <c r="Q1987" s="177"/>
      <c r="R1987" s="177"/>
    </row>
    <row r="1988" spans="1:18" hidden="1" x14ac:dyDescent="0.25">
      <c r="A1988" s="29" t="s">
        <v>2019</v>
      </c>
      <c r="B1988" s="29" t="s">
        <v>2018</v>
      </c>
      <c r="C1988" s="29" t="s">
        <v>142</v>
      </c>
      <c r="D1988" s="29" t="str">
        <f>VLOOKUP(C:C,'COUNT-CONT'!B:C,2,FALSE)</f>
        <v>Asia</v>
      </c>
      <c r="E1988" s="29">
        <v>4</v>
      </c>
      <c r="F1988" s="28">
        <v>1996</v>
      </c>
      <c r="G1988" s="28">
        <v>3156802204</v>
      </c>
      <c r="H1988" s="29">
        <v>10.58</v>
      </c>
      <c r="I1988" s="142">
        <v>-68.86</v>
      </c>
      <c r="J1988" s="29">
        <v>5.71</v>
      </c>
      <c r="K1988" s="29">
        <v>5.08</v>
      </c>
      <c r="L1988" s="29">
        <v>10.58</v>
      </c>
      <c r="M1988" s="368"/>
      <c r="N1988" s="368"/>
      <c r="O1988" s="271">
        <f>IFERROR(Table17[[#This Row],[PROFIT]]/Table17[[#This Row],[TO]],0)</f>
        <v>0</v>
      </c>
      <c r="P1988" s="177"/>
      <c r="Q1988" s="177"/>
      <c r="R1988" s="177"/>
    </row>
    <row r="1989" spans="1:18" hidden="1" x14ac:dyDescent="0.25">
      <c r="A1989" s="29" t="s">
        <v>1874</v>
      </c>
      <c r="B1989" s="29" t="s">
        <v>1873</v>
      </c>
      <c r="C1989" s="29" t="s">
        <v>1858</v>
      </c>
      <c r="D1989" s="29" t="str">
        <f>VLOOKUP(C:C,'COUNT-CONT'!B:C,2,FALSE)</f>
        <v>Europe</v>
      </c>
      <c r="E1989" s="29">
        <v>2</v>
      </c>
      <c r="F1989" s="28">
        <v>1499</v>
      </c>
      <c r="G1989" s="28">
        <v>3232422548</v>
      </c>
      <c r="H1989" s="29">
        <v>10.55</v>
      </c>
      <c r="I1989" s="142">
        <v>-68.89</v>
      </c>
      <c r="J1989" s="29">
        <v>5.26</v>
      </c>
      <c r="K1989" s="29">
        <v>4.66</v>
      </c>
      <c r="L1989" s="29">
        <v>10.16</v>
      </c>
      <c r="M1989" s="368"/>
      <c r="N1989" s="368"/>
      <c r="O1989" s="271">
        <f>IFERROR(Table17[[#This Row],[PROFIT]]/Table17[[#This Row],[TO]],0)</f>
        <v>0</v>
      </c>
      <c r="P1989" s="177"/>
      <c r="Q1989" s="177"/>
      <c r="R1989" s="177"/>
    </row>
    <row r="1990" spans="1:18" hidden="1" x14ac:dyDescent="0.25">
      <c r="A1990" s="29" t="s">
        <v>2952</v>
      </c>
      <c r="B1990" s="29" t="s">
        <v>2951</v>
      </c>
      <c r="C1990" s="29" t="s">
        <v>560</v>
      </c>
      <c r="D1990" s="29" t="str">
        <f>VLOOKUP(C:C,'COUNT-CONT'!B:C,2,FALSE)</f>
        <v>Europe</v>
      </c>
      <c r="E1990" s="29">
        <v>5</v>
      </c>
      <c r="F1990" s="28">
        <v>2215</v>
      </c>
      <c r="G1990" s="28">
        <v>3665013995</v>
      </c>
      <c r="H1990" s="29">
        <v>10.55</v>
      </c>
      <c r="I1990" s="142">
        <v>-68.89</v>
      </c>
      <c r="J1990" s="29">
        <v>8.59</v>
      </c>
      <c r="K1990" s="29">
        <v>8.59</v>
      </c>
      <c r="L1990" s="29">
        <v>13.88</v>
      </c>
      <c r="M1990" s="368"/>
      <c r="N1990" s="368"/>
      <c r="O1990" s="271">
        <f>IFERROR(Table17[[#This Row],[PROFIT]]/Table17[[#This Row],[TO]],0)</f>
        <v>0</v>
      </c>
      <c r="P1990" s="177"/>
      <c r="Q1990" s="177"/>
      <c r="R1990" s="177"/>
    </row>
    <row r="1991" spans="1:18" hidden="1" x14ac:dyDescent="0.25">
      <c r="A1991" s="29" t="s">
        <v>1163</v>
      </c>
      <c r="B1991" s="29" t="s">
        <v>1162</v>
      </c>
      <c r="C1991" s="29" t="s">
        <v>493</v>
      </c>
      <c r="D1991" s="29" t="str">
        <f>VLOOKUP(C:C,'COUNT-CONT'!B:C,2,FALSE)</f>
        <v>Africa</v>
      </c>
      <c r="E1991" s="29">
        <v>8</v>
      </c>
      <c r="F1991" s="28">
        <v>2000</v>
      </c>
      <c r="G1991" s="28">
        <v>2838600000</v>
      </c>
      <c r="H1991" s="29">
        <v>10.55</v>
      </c>
      <c r="I1991" s="142">
        <v>-68.89</v>
      </c>
      <c r="J1991" s="29">
        <v>3.39</v>
      </c>
      <c r="K1991" s="29">
        <v>2.42</v>
      </c>
      <c r="L1991" s="29">
        <v>8.1</v>
      </c>
      <c r="M1991" s="368"/>
      <c r="N1991" s="368"/>
      <c r="O1991" s="271">
        <f>IFERROR(Table17[[#This Row],[PROFIT]]/Table17[[#This Row],[TO]],0)</f>
        <v>0</v>
      </c>
      <c r="P1991" s="177"/>
      <c r="Q1991" s="177"/>
      <c r="R1991" s="177"/>
    </row>
    <row r="1992" spans="1:18" hidden="1" x14ac:dyDescent="0.25">
      <c r="A1992" s="29" t="s">
        <v>1169</v>
      </c>
      <c r="B1992" s="29" t="s">
        <v>1168</v>
      </c>
      <c r="C1992" s="29" t="s">
        <v>493</v>
      </c>
      <c r="D1992" s="29" t="str">
        <f>VLOOKUP(C:C,'COUNT-CONT'!B:C,2,FALSE)</f>
        <v>Africa</v>
      </c>
      <c r="E1992" s="29">
        <v>8</v>
      </c>
      <c r="F1992" s="28">
        <v>2000</v>
      </c>
      <c r="G1992" s="28">
        <v>2841800000</v>
      </c>
      <c r="H1992" s="29">
        <v>10.55</v>
      </c>
      <c r="I1992" s="142">
        <v>-68.89</v>
      </c>
      <c r="J1992" s="29">
        <v>3.39</v>
      </c>
      <c r="K1992" s="29">
        <v>2.42</v>
      </c>
      <c r="L1992" s="29">
        <v>8.1300000000000008</v>
      </c>
      <c r="M1992" s="368"/>
      <c r="N1992" s="368"/>
      <c r="O1992" s="271">
        <f>IFERROR(Table17[[#This Row],[PROFIT]]/Table17[[#This Row],[TO]],0)</f>
        <v>0</v>
      </c>
      <c r="P1992" s="177"/>
      <c r="Q1992" s="177"/>
      <c r="R1992" s="177"/>
    </row>
    <row r="1993" spans="1:18" hidden="1" x14ac:dyDescent="0.25">
      <c r="A1993" s="29" t="s">
        <v>888</v>
      </c>
      <c r="B1993" s="29" t="s">
        <v>887</v>
      </c>
      <c r="C1993" s="29" t="s">
        <v>886</v>
      </c>
      <c r="D1993" s="29" t="str">
        <f>VLOOKUP(C:C,'COUNT-CONT'!B:C,2,FALSE)</f>
        <v>Africa</v>
      </c>
      <c r="E1993" s="29">
        <v>1</v>
      </c>
      <c r="F1993" s="28">
        <v>1197</v>
      </c>
      <c r="G1993" s="28">
        <v>3058164076</v>
      </c>
      <c r="H1993" s="29">
        <v>10.55</v>
      </c>
      <c r="I1993" s="142">
        <v>-68.89</v>
      </c>
      <c r="J1993" s="29">
        <v>2.63</v>
      </c>
      <c r="K1993" s="29">
        <v>1.6</v>
      </c>
      <c r="L1993" s="29">
        <v>7.32</v>
      </c>
      <c r="M1993" s="368"/>
      <c r="N1993" s="368"/>
      <c r="O1993" s="271">
        <f>IFERROR(Table17[[#This Row],[PROFIT]]/Table17[[#This Row],[TO]],0)</f>
        <v>0</v>
      </c>
      <c r="P1993" s="177"/>
      <c r="Q1993" s="177"/>
      <c r="R1993" s="177"/>
    </row>
    <row r="1994" spans="1:18" ht="30" hidden="1" x14ac:dyDescent="0.25">
      <c r="A1994" s="29" t="s">
        <v>2956</v>
      </c>
      <c r="B1994" s="29" t="s">
        <v>2955</v>
      </c>
      <c r="C1994" s="29" t="s">
        <v>11732</v>
      </c>
      <c r="D1994" s="29" t="str">
        <f>VLOOKUP(C:C,'COUNT-CONT'!B:C,2,FALSE)</f>
        <v>North America</v>
      </c>
      <c r="E1994" s="29">
        <v>6</v>
      </c>
      <c r="F1994" s="28">
        <v>2428</v>
      </c>
      <c r="G1994" s="28">
        <v>3642447775</v>
      </c>
      <c r="H1994" s="29">
        <v>10.55</v>
      </c>
      <c r="I1994" s="142">
        <v>-68.89</v>
      </c>
      <c r="J1994" s="29">
        <v>8.59</v>
      </c>
      <c r="K1994" s="29">
        <v>8.59</v>
      </c>
      <c r="L1994" s="29">
        <v>13.88</v>
      </c>
      <c r="M1994" s="368"/>
      <c r="N1994" s="368"/>
      <c r="O1994" s="271">
        <f>IFERROR(Table17[[#This Row],[PROFIT]]/Table17[[#This Row],[TO]],0)</f>
        <v>0</v>
      </c>
      <c r="P1994" s="177"/>
      <c r="Q1994" s="177"/>
      <c r="R1994" s="177"/>
    </row>
    <row r="1995" spans="1:18" ht="30" hidden="1" x14ac:dyDescent="0.25">
      <c r="A1995" s="29" t="s">
        <v>2478</v>
      </c>
      <c r="B1995" s="29" t="s">
        <v>2477</v>
      </c>
      <c r="C1995" s="29" t="s">
        <v>514</v>
      </c>
      <c r="D1995" s="29" t="str">
        <f>VLOOKUP(C:C,'COUNT-CONT'!B:C,2,FALSE)</f>
        <v>North America</v>
      </c>
      <c r="E1995" s="29">
        <v>3</v>
      </c>
      <c r="F1995" s="28">
        <v>1540</v>
      </c>
      <c r="G1995" s="28">
        <v>3463085714</v>
      </c>
      <c r="H1995" s="29">
        <v>10.55</v>
      </c>
      <c r="I1995" s="142">
        <v>-68.89</v>
      </c>
      <c r="J1995" s="29">
        <v>6.95</v>
      </c>
      <c r="K1995" s="29">
        <v>6.71</v>
      </c>
      <c r="L1995" s="29">
        <v>12</v>
      </c>
      <c r="M1995" s="368"/>
      <c r="N1995" s="368"/>
      <c r="O1995" s="271">
        <f>IFERROR(Table17[[#This Row],[PROFIT]]/Table17[[#This Row],[TO]],0)</f>
        <v>0</v>
      </c>
      <c r="P1995" s="177"/>
      <c r="Q1995" s="177"/>
      <c r="R1995" s="177"/>
    </row>
    <row r="1996" spans="1:18" ht="30" hidden="1" x14ac:dyDescent="0.25">
      <c r="A1996" s="29" t="s">
        <v>2944</v>
      </c>
      <c r="B1996" s="29" t="s">
        <v>2943</v>
      </c>
      <c r="C1996" s="29" t="s">
        <v>11732</v>
      </c>
      <c r="D1996" s="29" t="str">
        <f>VLOOKUP(C:C,'COUNT-CONT'!B:C,2,FALSE)</f>
        <v>North America</v>
      </c>
      <c r="E1996" s="29">
        <v>5</v>
      </c>
      <c r="F1996" s="28">
        <v>2025</v>
      </c>
      <c r="G1996" s="28">
        <v>3686209876</v>
      </c>
      <c r="H1996" s="29">
        <v>10.52</v>
      </c>
      <c r="I1996" s="142">
        <v>-68.92</v>
      </c>
      <c r="J1996" s="29">
        <v>8.56</v>
      </c>
      <c r="K1996" s="29">
        <v>8.56</v>
      </c>
      <c r="L1996" s="29">
        <v>13.85</v>
      </c>
      <c r="M1996" s="368"/>
      <c r="N1996" s="368"/>
      <c r="O1996" s="271">
        <f>IFERROR(Table17[[#This Row],[PROFIT]]/Table17[[#This Row],[TO]],0)</f>
        <v>0</v>
      </c>
      <c r="P1996" s="177"/>
      <c r="Q1996" s="177"/>
      <c r="R1996" s="177"/>
    </row>
    <row r="1997" spans="1:18" hidden="1" x14ac:dyDescent="0.25">
      <c r="A1997" s="29" t="s">
        <v>2307</v>
      </c>
      <c r="B1997" s="29" t="s">
        <v>2306</v>
      </c>
      <c r="C1997" s="29" t="s">
        <v>308</v>
      </c>
      <c r="D1997" s="29" t="str">
        <f>VLOOKUP(C:C,'COUNT-CONT'!B:C,2,FALSE)</f>
        <v>Europe</v>
      </c>
      <c r="E1997" s="29">
        <v>2</v>
      </c>
      <c r="F1997" s="28">
        <v>1304</v>
      </c>
      <c r="G1997" s="28">
        <v>3495358282</v>
      </c>
      <c r="H1997" s="29">
        <v>10.52</v>
      </c>
      <c r="I1997" s="142">
        <v>-68.92</v>
      </c>
      <c r="J1997" s="29">
        <v>6.41</v>
      </c>
      <c r="K1997" s="29">
        <v>6.17</v>
      </c>
      <c r="L1997" s="29">
        <v>11.46</v>
      </c>
      <c r="M1997" s="368"/>
      <c r="N1997" s="368"/>
      <c r="O1997" s="271">
        <f>IFERROR(Table17[[#This Row],[PROFIT]]/Table17[[#This Row],[TO]],0)</f>
        <v>0</v>
      </c>
      <c r="P1997" s="177"/>
      <c r="Q1997" s="177"/>
      <c r="R1997" s="177"/>
    </row>
    <row r="1998" spans="1:18" ht="30" hidden="1" x14ac:dyDescent="0.25">
      <c r="A1998" s="29" t="s">
        <v>2305</v>
      </c>
      <c r="B1998" s="29" t="s">
        <v>2304</v>
      </c>
      <c r="C1998" s="29" t="s">
        <v>83</v>
      </c>
      <c r="D1998" s="29" t="str">
        <f>VLOOKUP(C:C,'COUNT-CONT'!B:C,2,FALSE)</f>
        <v>Europe</v>
      </c>
      <c r="E1998" s="29">
        <v>2</v>
      </c>
      <c r="F1998" s="28">
        <v>3416</v>
      </c>
      <c r="G1998" s="28">
        <v>2965614051</v>
      </c>
      <c r="H1998" s="29">
        <v>10.52</v>
      </c>
      <c r="I1998" s="142">
        <v>-68.92</v>
      </c>
      <c r="J1998" s="29">
        <v>6.38</v>
      </c>
      <c r="K1998" s="29">
        <v>5.93</v>
      </c>
      <c r="L1998" s="29">
        <v>11.43</v>
      </c>
      <c r="M1998" s="368"/>
      <c r="N1998" s="368"/>
      <c r="O1998" s="271">
        <f>IFERROR(Table17[[#This Row],[PROFIT]]/Table17[[#This Row],[TO]],0)</f>
        <v>0</v>
      </c>
      <c r="P1998" s="177"/>
      <c r="Q1998" s="177"/>
      <c r="R1998" s="177"/>
    </row>
    <row r="1999" spans="1:18" ht="30" hidden="1" x14ac:dyDescent="0.25">
      <c r="A1999" s="29" t="s">
        <v>2950</v>
      </c>
      <c r="B1999" s="29" t="s">
        <v>2949</v>
      </c>
      <c r="C1999" s="29" t="s">
        <v>11732</v>
      </c>
      <c r="D1999" s="29" t="str">
        <f>VLOOKUP(C:C,'COUNT-CONT'!B:C,2,FALSE)</f>
        <v>North America</v>
      </c>
      <c r="E1999" s="29">
        <v>5</v>
      </c>
      <c r="F1999" s="28">
        <v>2166</v>
      </c>
      <c r="G1999" s="28">
        <v>3668048568</v>
      </c>
      <c r="H1999" s="29">
        <v>10.52</v>
      </c>
      <c r="I1999" s="142">
        <v>-68.92</v>
      </c>
      <c r="J1999" s="29">
        <v>8.59</v>
      </c>
      <c r="K1999" s="29">
        <v>8.59</v>
      </c>
      <c r="L1999" s="29">
        <v>13.88</v>
      </c>
      <c r="M1999" s="368"/>
      <c r="N1999" s="368"/>
      <c r="O1999" s="271">
        <f>IFERROR(Table17[[#This Row],[PROFIT]]/Table17[[#This Row],[TO]],0)</f>
        <v>0</v>
      </c>
      <c r="P1999" s="177"/>
      <c r="Q1999" s="177"/>
      <c r="R1999" s="177"/>
    </row>
    <row r="2000" spans="1:18" ht="30" hidden="1" x14ac:dyDescent="0.25">
      <c r="A2000" s="29" t="s">
        <v>2948</v>
      </c>
      <c r="B2000" s="29" t="s">
        <v>2947</v>
      </c>
      <c r="C2000" s="29" t="s">
        <v>11732</v>
      </c>
      <c r="D2000" s="29" t="str">
        <f>VLOOKUP(C:C,'COUNT-CONT'!B:C,2,FALSE)</f>
        <v>North America</v>
      </c>
      <c r="E2000" s="29">
        <v>2</v>
      </c>
      <c r="F2000" s="28">
        <v>1321</v>
      </c>
      <c r="G2000" s="28">
        <v>3910602498</v>
      </c>
      <c r="H2000" s="29">
        <v>10.52</v>
      </c>
      <c r="I2000" s="142">
        <v>-68.92</v>
      </c>
      <c r="J2000" s="29">
        <v>8.59</v>
      </c>
      <c r="K2000" s="29">
        <v>8.59</v>
      </c>
      <c r="L2000" s="29">
        <v>13.88</v>
      </c>
      <c r="M2000" s="368"/>
      <c r="N2000" s="368"/>
      <c r="O2000" s="271">
        <f>IFERROR(Table17[[#This Row],[PROFIT]]/Table17[[#This Row],[TO]],0)</f>
        <v>0</v>
      </c>
      <c r="P2000" s="177"/>
      <c r="Q2000" s="177"/>
      <c r="R2000" s="177"/>
    </row>
    <row r="2001" spans="1:18" hidden="1" x14ac:dyDescent="0.25">
      <c r="A2001" s="29" t="s">
        <v>1329</v>
      </c>
      <c r="B2001" s="29" t="s">
        <v>1328</v>
      </c>
      <c r="C2001" s="29" t="s">
        <v>722</v>
      </c>
      <c r="D2001" s="29" t="str">
        <f>VLOOKUP(C:C,'COUNT-CONT'!B:C,2,FALSE)</f>
        <v>Europe</v>
      </c>
      <c r="E2001" s="29">
        <v>7</v>
      </c>
      <c r="F2001" s="28">
        <v>2573</v>
      </c>
      <c r="G2001" s="28">
        <v>2726916517</v>
      </c>
      <c r="H2001" s="29">
        <v>10.52</v>
      </c>
      <c r="I2001" s="142">
        <v>-68.92</v>
      </c>
      <c r="J2001" s="29">
        <v>3.78</v>
      </c>
      <c r="K2001" s="29">
        <v>3.08</v>
      </c>
      <c r="L2001" s="29">
        <v>8.6199999999999992</v>
      </c>
      <c r="M2001" s="368"/>
      <c r="N2001" s="368"/>
      <c r="O2001" s="271">
        <f>IFERROR(Table17[[#This Row],[PROFIT]]/Table17[[#This Row],[TO]],0)</f>
        <v>0</v>
      </c>
      <c r="P2001" s="177"/>
      <c r="Q2001" s="177"/>
      <c r="R2001" s="177"/>
    </row>
    <row r="2002" spans="1:18" ht="45" x14ac:dyDescent="0.25">
      <c r="A2002" s="29" t="s">
        <v>2170</v>
      </c>
      <c r="B2002" s="29" t="s">
        <v>2169</v>
      </c>
      <c r="C2002" s="29" t="s">
        <v>1931</v>
      </c>
      <c r="D2002" s="29" t="str">
        <f>VLOOKUP(C:C,'COUNT-CONT'!B:C,2,FALSE)</f>
        <v>Oceania</v>
      </c>
      <c r="E2002" s="29">
        <v>5</v>
      </c>
      <c r="F2002" s="28">
        <v>2140</v>
      </c>
      <c r="G2002" s="28">
        <v>3108618691</v>
      </c>
      <c r="H2002" s="29">
        <v>10.52</v>
      </c>
      <c r="I2002" s="142">
        <v>-68.92</v>
      </c>
      <c r="J2002" s="29">
        <v>5.93</v>
      </c>
      <c r="K2002" s="29">
        <v>5.47</v>
      </c>
      <c r="L2002" s="29">
        <v>10.97</v>
      </c>
      <c r="M2002" s="368"/>
      <c r="N2002" s="368"/>
      <c r="O2002" s="271">
        <f>IFERROR(Table17[[#This Row],[PROFIT]]/Table17[[#This Row],[TO]],0)</f>
        <v>0</v>
      </c>
      <c r="P2002" s="177"/>
      <c r="Q2002" s="177"/>
      <c r="R2002" s="177"/>
    </row>
    <row r="2003" spans="1:18" ht="30" hidden="1" x14ac:dyDescent="0.25">
      <c r="A2003" s="29" t="s">
        <v>2005</v>
      </c>
      <c r="B2003" s="29" t="s">
        <v>2004</v>
      </c>
      <c r="C2003" s="29" t="s">
        <v>13119</v>
      </c>
      <c r="D2003" s="29" t="str">
        <f>VLOOKUP(C:C,'COUNT-CONT'!B:C,2,FALSE)</f>
        <v>North America</v>
      </c>
      <c r="E2003" s="29">
        <v>5</v>
      </c>
      <c r="F2003" s="28">
        <v>2139</v>
      </c>
      <c r="G2003" s="28">
        <v>3019658999</v>
      </c>
      <c r="H2003" s="29">
        <v>10.52</v>
      </c>
      <c r="I2003" s="142">
        <v>-68.92</v>
      </c>
      <c r="J2003" s="29">
        <v>5.65</v>
      </c>
      <c r="K2003" s="29">
        <v>5.05</v>
      </c>
      <c r="L2003" s="29">
        <v>10.52</v>
      </c>
      <c r="M2003" s="368"/>
      <c r="N2003" s="368"/>
      <c r="O2003" s="271">
        <f>IFERROR(Table17[[#This Row],[PROFIT]]/Table17[[#This Row],[TO]],0)</f>
        <v>0</v>
      </c>
      <c r="P2003" s="177"/>
      <c r="Q2003" s="177"/>
      <c r="R2003" s="177"/>
    </row>
    <row r="2004" spans="1:18" hidden="1" x14ac:dyDescent="0.25">
      <c r="A2004" s="29" t="s">
        <v>671</v>
      </c>
      <c r="B2004" s="29" t="s">
        <v>670</v>
      </c>
      <c r="C2004" s="29" t="s">
        <v>669</v>
      </c>
      <c r="D2004" s="29" t="str">
        <f>VLOOKUP(C:C,'COUNT-CONT'!B:C,2,FALSE)</f>
        <v>Africa</v>
      </c>
      <c r="E2004" s="29">
        <v>5</v>
      </c>
      <c r="F2004" s="28">
        <v>2111</v>
      </c>
      <c r="G2004" s="28">
        <v>2821080056</v>
      </c>
      <c r="H2004" s="29">
        <v>10.52</v>
      </c>
      <c r="I2004" s="142">
        <v>-68.92</v>
      </c>
      <c r="J2004" s="29">
        <v>1.18</v>
      </c>
      <c r="K2004" s="29">
        <v>0.21</v>
      </c>
      <c r="L2004" s="29">
        <v>5.93</v>
      </c>
      <c r="M2004" s="368"/>
      <c r="N2004" s="368"/>
      <c r="O2004" s="271">
        <f>IFERROR(Table17[[#This Row],[PROFIT]]/Table17[[#This Row],[TO]],0)</f>
        <v>0</v>
      </c>
      <c r="P2004" s="177"/>
      <c r="Q2004" s="177"/>
      <c r="R2004" s="177"/>
    </row>
    <row r="2005" spans="1:18" ht="30" hidden="1" x14ac:dyDescent="0.25">
      <c r="A2005" s="29" t="s">
        <v>2472</v>
      </c>
      <c r="B2005" s="29" t="s">
        <v>2471</v>
      </c>
      <c r="C2005" s="29" t="s">
        <v>514</v>
      </c>
      <c r="D2005" s="29" t="str">
        <f>VLOOKUP(C:C,'COUNT-CONT'!B:C,2,FALSE)</f>
        <v>North America</v>
      </c>
      <c r="E2005" s="29">
        <v>4</v>
      </c>
      <c r="F2005" s="28">
        <v>1989</v>
      </c>
      <c r="G2005" s="28">
        <v>3340141729</v>
      </c>
      <c r="H2005" s="29">
        <v>10.52</v>
      </c>
      <c r="I2005" s="142">
        <v>-68.92</v>
      </c>
      <c r="J2005" s="29">
        <v>6.92</v>
      </c>
      <c r="K2005" s="29">
        <v>6.68</v>
      </c>
      <c r="L2005" s="29">
        <v>11.97</v>
      </c>
      <c r="M2005" s="368"/>
      <c r="N2005" s="368"/>
      <c r="O2005" s="271">
        <f>IFERROR(Table17[[#This Row],[PROFIT]]/Table17[[#This Row],[TO]],0)</f>
        <v>0</v>
      </c>
      <c r="P2005" s="177"/>
      <c r="Q2005" s="177"/>
      <c r="R2005" s="177"/>
    </row>
    <row r="2006" spans="1:18" ht="30" hidden="1" x14ac:dyDescent="0.25">
      <c r="A2006" s="29" t="s">
        <v>2470</v>
      </c>
      <c r="B2006" s="29" t="s">
        <v>2469</v>
      </c>
      <c r="C2006" s="29" t="s">
        <v>514</v>
      </c>
      <c r="D2006" s="29" t="str">
        <f>VLOOKUP(C:C,'COUNT-CONT'!B:C,2,FALSE)</f>
        <v>North America</v>
      </c>
      <c r="E2006" s="29">
        <v>4</v>
      </c>
      <c r="F2006" s="28">
        <v>1837</v>
      </c>
      <c r="G2006" s="28">
        <v>3372302395</v>
      </c>
      <c r="H2006" s="29">
        <v>10.52</v>
      </c>
      <c r="I2006" s="142">
        <v>-68.92</v>
      </c>
      <c r="J2006" s="29">
        <v>6.92</v>
      </c>
      <c r="K2006" s="29">
        <v>6.71</v>
      </c>
      <c r="L2006" s="29">
        <v>11.97</v>
      </c>
      <c r="M2006" s="368"/>
      <c r="N2006" s="368"/>
      <c r="O2006" s="271">
        <f>IFERROR(Table17[[#This Row],[PROFIT]]/Table17[[#This Row],[TO]],0)</f>
        <v>0</v>
      </c>
      <c r="P2006" s="177"/>
      <c r="Q2006" s="177"/>
      <c r="R2006" s="177"/>
    </row>
    <row r="2007" spans="1:18" ht="30" x14ac:dyDescent="0.25">
      <c r="A2007" s="29" t="s">
        <v>2221</v>
      </c>
      <c r="B2007" s="29" t="s">
        <v>2220</v>
      </c>
      <c r="C2007" s="29" t="s">
        <v>774</v>
      </c>
      <c r="D2007" s="29" t="str">
        <f>VLOOKUP(C:C,'COUNT-CONT'!B:C,2,FALSE)</f>
        <v>Oceania</v>
      </c>
      <c r="E2007" s="29">
        <v>4</v>
      </c>
      <c r="F2007" s="28">
        <v>1805</v>
      </c>
      <c r="G2007" s="28">
        <v>3272818282</v>
      </c>
      <c r="H2007" s="29">
        <v>10.49</v>
      </c>
      <c r="I2007" s="142">
        <v>-68.95</v>
      </c>
      <c r="J2007" s="29">
        <v>6.23</v>
      </c>
      <c r="K2007" s="29">
        <v>5.8</v>
      </c>
      <c r="L2007" s="29">
        <v>11.15</v>
      </c>
      <c r="M2007" s="368"/>
      <c r="N2007" s="368"/>
      <c r="O2007" s="271">
        <f>IFERROR(Table17[[#This Row],[PROFIT]]/Table17[[#This Row],[TO]],0)</f>
        <v>0</v>
      </c>
      <c r="P2007" s="177"/>
      <c r="Q2007" s="177"/>
      <c r="R2007" s="177"/>
    </row>
    <row r="2008" spans="1:18" ht="30" hidden="1" x14ac:dyDescent="0.25">
      <c r="A2008" s="29" t="s">
        <v>2936</v>
      </c>
      <c r="B2008" s="29" t="s">
        <v>2935</v>
      </c>
      <c r="C2008" s="29" t="s">
        <v>11732</v>
      </c>
      <c r="D2008" s="29" t="str">
        <f>VLOOKUP(C:C,'COUNT-CONT'!B:C,2,FALSE)</f>
        <v>North America</v>
      </c>
      <c r="E2008" s="29">
        <v>2</v>
      </c>
      <c r="F2008" s="28">
        <v>1380</v>
      </c>
      <c r="G2008" s="28">
        <v>3874501449</v>
      </c>
      <c r="H2008" s="29">
        <v>10.49</v>
      </c>
      <c r="I2008" s="142">
        <v>-68.95</v>
      </c>
      <c r="J2008" s="29">
        <v>8.56</v>
      </c>
      <c r="K2008" s="29">
        <v>8.56</v>
      </c>
      <c r="L2008" s="29">
        <v>13.81</v>
      </c>
      <c r="M2008" s="368"/>
      <c r="N2008" s="368"/>
      <c r="O2008" s="271">
        <f>IFERROR(Table17[[#This Row],[PROFIT]]/Table17[[#This Row],[TO]],0)</f>
        <v>0</v>
      </c>
      <c r="P2008" s="177"/>
      <c r="Q2008" s="177"/>
      <c r="R2008" s="177"/>
    </row>
    <row r="2009" spans="1:18" ht="30" hidden="1" x14ac:dyDescent="0.25">
      <c r="A2009" s="29" t="s">
        <v>1146</v>
      </c>
      <c r="B2009" s="29" t="s">
        <v>1145</v>
      </c>
      <c r="C2009" s="29" t="s">
        <v>1144</v>
      </c>
      <c r="D2009" s="29" t="str">
        <f>VLOOKUP(C:C,'COUNT-CONT'!B:C,2,FALSE)</f>
        <v>South America</v>
      </c>
      <c r="E2009" s="29">
        <v>4</v>
      </c>
      <c r="F2009" s="28">
        <v>1757</v>
      </c>
      <c r="G2009" s="28">
        <v>2771967159</v>
      </c>
      <c r="H2009" s="29">
        <v>10.49</v>
      </c>
      <c r="I2009" s="142">
        <v>-68.95</v>
      </c>
      <c r="J2009" s="29">
        <v>3.39</v>
      </c>
      <c r="K2009" s="29">
        <v>2.42</v>
      </c>
      <c r="L2009" s="29">
        <v>8.07</v>
      </c>
      <c r="M2009" s="368"/>
      <c r="N2009" s="368"/>
      <c r="O2009" s="271">
        <f>IFERROR(Table17[[#This Row],[PROFIT]]/Table17[[#This Row],[TO]],0)</f>
        <v>0</v>
      </c>
      <c r="P2009" s="177"/>
      <c r="Q2009" s="177"/>
      <c r="R2009" s="177"/>
    </row>
    <row r="2010" spans="1:18" hidden="1" x14ac:dyDescent="0.25">
      <c r="A2010" s="29" t="s">
        <v>1602</v>
      </c>
      <c r="B2010" s="29" t="s">
        <v>1601</v>
      </c>
      <c r="C2010" s="29" t="s">
        <v>605</v>
      </c>
      <c r="D2010" s="29" t="str">
        <f>VLOOKUP(C:C,'COUNT-CONT'!B:C,2,FALSE)</f>
        <v>Europe</v>
      </c>
      <c r="E2010" s="29">
        <v>1</v>
      </c>
      <c r="F2010" s="28">
        <v>1167</v>
      </c>
      <c r="G2010" s="28">
        <v>3335687832</v>
      </c>
      <c r="H2010" s="29">
        <v>10.49</v>
      </c>
      <c r="I2010" s="142">
        <v>-68.95</v>
      </c>
      <c r="J2010" s="29">
        <v>4.5</v>
      </c>
      <c r="K2010" s="29">
        <v>3.93</v>
      </c>
      <c r="L2010" s="29">
        <v>9.3699999999999992</v>
      </c>
      <c r="M2010" s="368"/>
      <c r="N2010" s="368"/>
      <c r="O2010" s="271">
        <f>IFERROR(Table17[[#This Row],[PROFIT]]/Table17[[#This Row],[TO]],0)</f>
        <v>0</v>
      </c>
      <c r="P2010" s="177"/>
      <c r="Q2010" s="177"/>
      <c r="R2010" s="177"/>
    </row>
    <row r="2011" spans="1:18" ht="30" hidden="1" x14ac:dyDescent="0.25">
      <c r="A2011" s="29" t="s">
        <v>1387</v>
      </c>
      <c r="B2011" s="29" t="s">
        <v>1386</v>
      </c>
      <c r="C2011" s="29" t="s">
        <v>656</v>
      </c>
      <c r="D2011" s="29" t="str">
        <f>VLOOKUP(C:C,'COUNT-CONT'!B:C,2,FALSE)</f>
        <v>Europe</v>
      </c>
      <c r="E2011" s="29">
        <v>7</v>
      </c>
      <c r="F2011" s="28">
        <v>2506</v>
      </c>
      <c r="G2011" s="28">
        <v>2744446528</v>
      </c>
      <c r="H2011" s="29">
        <v>10.46</v>
      </c>
      <c r="I2011" s="142">
        <v>-68.97999999999999</v>
      </c>
      <c r="J2011" s="29">
        <v>3.84</v>
      </c>
      <c r="K2011" s="29">
        <v>3.14</v>
      </c>
      <c r="L2011" s="29">
        <v>8.74</v>
      </c>
      <c r="M2011" s="368"/>
      <c r="N2011" s="368"/>
      <c r="O2011" s="271">
        <f>IFERROR(Table17[[#This Row],[PROFIT]]/Table17[[#This Row],[TO]],0)</f>
        <v>0</v>
      </c>
      <c r="P2011" s="177"/>
      <c r="Q2011" s="177"/>
      <c r="R2011" s="177"/>
    </row>
    <row r="2012" spans="1:18" ht="30" hidden="1" x14ac:dyDescent="0.25">
      <c r="A2012" s="29" t="s">
        <v>2932</v>
      </c>
      <c r="B2012" s="29" t="s">
        <v>2931</v>
      </c>
      <c r="C2012" s="29" t="s">
        <v>560</v>
      </c>
      <c r="D2012" s="29" t="str">
        <f>VLOOKUP(C:C,'COUNT-CONT'!B:C,2,FALSE)</f>
        <v>Europe</v>
      </c>
      <c r="E2012" s="29">
        <v>7</v>
      </c>
      <c r="F2012" s="28">
        <v>2568</v>
      </c>
      <c r="G2012" s="28">
        <v>3617348909</v>
      </c>
      <c r="H2012" s="29">
        <v>10.46</v>
      </c>
      <c r="I2012" s="142">
        <v>-68.97999999999999</v>
      </c>
      <c r="J2012" s="29">
        <v>8.52</v>
      </c>
      <c r="K2012" s="29">
        <v>8.52</v>
      </c>
      <c r="L2012" s="29">
        <v>13.78</v>
      </c>
      <c r="M2012" s="368"/>
      <c r="N2012" s="368"/>
      <c r="O2012" s="271">
        <f>IFERROR(Table17[[#This Row],[PROFIT]]/Table17[[#This Row],[TO]],0)</f>
        <v>0</v>
      </c>
      <c r="P2012" s="177"/>
      <c r="Q2012" s="177"/>
      <c r="R2012" s="177"/>
    </row>
    <row r="2013" spans="1:18" ht="30" hidden="1" x14ac:dyDescent="0.25">
      <c r="A2013" s="29" t="s">
        <v>1849</v>
      </c>
      <c r="B2013" s="29" t="s">
        <v>1848</v>
      </c>
      <c r="C2013" s="29" t="s">
        <v>1847</v>
      </c>
      <c r="D2013" s="29" t="str">
        <f>VLOOKUP(C:C,'COUNT-CONT'!B:C,2,FALSE)</f>
        <v>Asia</v>
      </c>
      <c r="E2013" s="29">
        <v>10</v>
      </c>
      <c r="F2013" s="28">
        <v>3758</v>
      </c>
      <c r="G2013" s="28">
        <v>2932108887</v>
      </c>
      <c r="H2013" s="29">
        <v>10.46</v>
      </c>
      <c r="I2013" s="142">
        <v>-68.97999999999999</v>
      </c>
      <c r="J2013" s="29">
        <v>5.23</v>
      </c>
      <c r="K2013" s="29">
        <v>4.63</v>
      </c>
      <c r="L2013" s="29">
        <v>10.07</v>
      </c>
      <c r="M2013" s="368"/>
      <c r="N2013" s="368"/>
      <c r="O2013" s="271">
        <f>IFERROR(Table17[[#This Row],[PROFIT]]/Table17[[#This Row],[TO]],0)</f>
        <v>0</v>
      </c>
      <c r="P2013" s="177"/>
      <c r="Q2013" s="177"/>
      <c r="R2013" s="177"/>
    </row>
    <row r="2014" spans="1:18" x14ac:dyDescent="0.25">
      <c r="A2014" s="29" t="s">
        <v>2231</v>
      </c>
      <c r="B2014" s="29" t="s">
        <v>2230</v>
      </c>
      <c r="C2014" s="29" t="s">
        <v>774</v>
      </c>
      <c r="D2014" s="29" t="str">
        <f>VLOOKUP(C:C,'COUNT-CONT'!B:C,2,FALSE)</f>
        <v>Oceania</v>
      </c>
      <c r="E2014" s="29">
        <v>9</v>
      </c>
      <c r="F2014" s="28">
        <v>3054</v>
      </c>
      <c r="G2014" s="28">
        <v>3146683366</v>
      </c>
      <c r="H2014" s="29">
        <v>10.46</v>
      </c>
      <c r="I2014" s="142">
        <v>-68.97999999999999</v>
      </c>
      <c r="J2014" s="29">
        <v>6.23</v>
      </c>
      <c r="K2014" s="29">
        <v>5.77</v>
      </c>
      <c r="L2014" s="29">
        <v>11.15</v>
      </c>
      <c r="M2014" s="368"/>
      <c r="N2014" s="368"/>
      <c r="O2014" s="271">
        <f>IFERROR(Table17[[#This Row],[PROFIT]]/Table17[[#This Row],[TO]],0)</f>
        <v>0</v>
      </c>
      <c r="P2014" s="177"/>
      <c r="Q2014" s="177"/>
      <c r="R2014" s="177"/>
    </row>
    <row r="2015" spans="1:18" ht="30" hidden="1" x14ac:dyDescent="0.25">
      <c r="A2015" s="29" t="s">
        <v>2920</v>
      </c>
      <c r="B2015" s="29" t="s">
        <v>2919</v>
      </c>
      <c r="C2015" s="29" t="s">
        <v>11732</v>
      </c>
      <c r="D2015" s="29" t="str">
        <f>VLOOKUP(C:C,'COUNT-CONT'!B:C,2,FALSE)</f>
        <v>North America</v>
      </c>
      <c r="E2015" s="29">
        <v>5</v>
      </c>
      <c r="F2015" s="28">
        <v>2208</v>
      </c>
      <c r="G2015" s="28">
        <v>3649788405</v>
      </c>
      <c r="H2015" s="29">
        <v>10.46</v>
      </c>
      <c r="I2015" s="142">
        <v>-68.97999999999999</v>
      </c>
      <c r="J2015" s="29">
        <v>8.52</v>
      </c>
      <c r="K2015" s="29">
        <v>8.52</v>
      </c>
      <c r="L2015" s="29">
        <v>13.75</v>
      </c>
      <c r="M2015" s="368"/>
      <c r="N2015" s="368"/>
      <c r="O2015" s="271">
        <f>IFERROR(Table17[[#This Row],[PROFIT]]/Table17[[#This Row],[TO]],0)</f>
        <v>0</v>
      </c>
      <c r="P2015" s="177"/>
      <c r="Q2015" s="177"/>
      <c r="R2015" s="177"/>
    </row>
    <row r="2016" spans="1:18" hidden="1" x14ac:dyDescent="0.25">
      <c r="A2016" s="29" t="s">
        <v>1455</v>
      </c>
      <c r="B2016" s="29" t="s">
        <v>1454</v>
      </c>
      <c r="C2016" s="29" t="s">
        <v>709</v>
      </c>
      <c r="D2016" s="29" t="str">
        <f>VLOOKUP(C:C,'COUNT-CONT'!B:C,2,FALSE)</f>
        <v>Asia</v>
      </c>
      <c r="E2016" s="29">
        <v>2</v>
      </c>
      <c r="F2016" s="28">
        <v>1502</v>
      </c>
      <c r="G2016" s="28">
        <v>2974356857</v>
      </c>
      <c r="H2016" s="29">
        <v>10.43</v>
      </c>
      <c r="I2016" s="142">
        <v>-69.009999999999991</v>
      </c>
      <c r="J2016" s="29">
        <v>4.1399999999999997</v>
      </c>
      <c r="K2016" s="29">
        <v>3.42</v>
      </c>
      <c r="L2016" s="29">
        <v>9.01</v>
      </c>
      <c r="M2016" s="368"/>
      <c r="N2016" s="368"/>
      <c r="O2016" s="271">
        <f>IFERROR(Table17[[#This Row],[PROFIT]]/Table17[[#This Row],[TO]],0)</f>
        <v>0</v>
      </c>
      <c r="P2016" s="177"/>
      <c r="Q2016" s="177"/>
      <c r="R2016" s="177"/>
    </row>
    <row r="2017" spans="1:18" hidden="1" x14ac:dyDescent="0.25">
      <c r="A2017" s="29" t="s">
        <v>1461</v>
      </c>
      <c r="B2017" s="29" t="s">
        <v>1460</v>
      </c>
      <c r="C2017" s="29" t="s">
        <v>1459</v>
      </c>
      <c r="D2017" s="29" t="str">
        <f>VLOOKUP(C:C,'COUNT-CONT'!B:C,2,FALSE)</f>
        <v>Europe</v>
      </c>
      <c r="E2017" s="29">
        <v>6</v>
      </c>
      <c r="F2017" s="28">
        <v>2569</v>
      </c>
      <c r="G2017" s="28">
        <v>2770182172</v>
      </c>
      <c r="H2017" s="29">
        <v>10.43</v>
      </c>
      <c r="I2017" s="142">
        <v>-69.009999999999991</v>
      </c>
      <c r="J2017" s="29">
        <v>4.1399999999999997</v>
      </c>
      <c r="K2017" s="29">
        <v>3.6</v>
      </c>
      <c r="L2017" s="29">
        <v>9.01</v>
      </c>
      <c r="M2017" s="368"/>
      <c r="N2017" s="368"/>
      <c r="O2017" s="271">
        <f>IFERROR(Table17[[#This Row],[PROFIT]]/Table17[[#This Row],[TO]],0)</f>
        <v>0</v>
      </c>
      <c r="P2017" s="177"/>
      <c r="Q2017" s="177"/>
      <c r="R2017" s="177"/>
    </row>
    <row r="2018" spans="1:18" hidden="1" x14ac:dyDescent="0.25">
      <c r="A2018" s="29" t="s">
        <v>1413</v>
      </c>
      <c r="B2018" s="29" t="s">
        <v>1412</v>
      </c>
      <c r="C2018" s="29" t="s">
        <v>14</v>
      </c>
      <c r="D2018" s="29" t="str">
        <f>VLOOKUP(C:C,'COUNT-CONT'!B:C,2,FALSE)</f>
        <v>Asia</v>
      </c>
      <c r="E2018" s="29">
        <v>4</v>
      </c>
      <c r="F2018" s="28">
        <v>2002</v>
      </c>
      <c r="G2018" s="28">
        <v>2817450549</v>
      </c>
      <c r="H2018" s="29">
        <v>10.4</v>
      </c>
      <c r="I2018" s="142">
        <v>-69.039999999999992</v>
      </c>
      <c r="J2018" s="29">
        <v>4.05</v>
      </c>
      <c r="K2018" s="29">
        <v>3.33</v>
      </c>
      <c r="L2018" s="29">
        <v>8.83</v>
      </c>
      <c r="M2018" s="368"/>
      <c r="N2018" s="368"/>
      <c r="O2018" s="271">
        <f>IFERROR(Table17[[#This Row],[PROFIT]]/Table17[[#This Row],[TO]],0)</f>
        <v>0</v>
      </c>
      <c r="P2018" s="177"/>
      <c r="Q2018" s="177"/>
      <c r="R2018" s="177"/>
    </row>
    <row r="2019" spans="1:18" ht="30" hidden="1" x14ac:dyDescent="0.25">
      <c r="A2019" s="29" t="s">
        <v>2427</v>
      </c>
      <c r="B2019" s="29" t="s">
        <v>2426</v>
      </c>
      <c r="C2019" s="29" t="s">
        <v>514</v>
      </c>
      <c r="D2019" s="29" t="str">
        <f>VLOOKUP(C:C,'COUNT-CONT'!B:C,2,FALSE)</f>
        <v>North America</v>
      </c>
      <c r="E2019" s="29">
        <v>2</v>
      </c>
      <c r="F2019" s="28">
        <v>1295</v>
      </c>
      <c r="G2019" s="28">
        <v>3548220849</v>
      </c>
      <c r="H2019" s="29">
        <v>10.4</v>
      </c>
      <c r="I2019" s="142">
        <v>-69.039999999999992</v>
      </c>
      <c r="J2019" s="29">
        <v>6.83</v>
      </c>
      <c r="K2019" s="29">
        <v>6.59</v>
      </c>
      <c r="L2019" s="29">
        <v>11.82</v>
      </c>
      <c r="M2019" s="368"/>
      <c r="N2019" s="368"/>
      <c r="O2019" s="271">
        <f>IFERROR(Table17[[#This Row],[PROFIT]]/Table17[[#This Row],[TO]],0)</f>
        <v>0</v>
      </c>
      <c r="P2019" s="177"/>
      <c r="Q2019" s="177"/>
      <c r="R2019" s="177"/>
    </row>
    <row r="2020" spans="1:18" ht="30" hidden="1" x14ac:dyDescent="0.25">
      <c r="A2020" s="29" t="s">
        <v>2431</v>
      </c>
      <c r="B2020" s="29" t="s">
        <v>2430</v>
      </c>
      <c r="C2020" s="29" t="s">
        <v>514</v>
      </c>
      <c r="D2020" s="29" t="str">
        <f>VLOOKUP(C:C,'COUNT-CONT'!B:C,2,FALSE)</f>
        <v>North America</v>
      </c>
      <c r="E2020" s="29">
        <v>4</v>
      </c>
      <c r="F2020" s="28">
        <v>1836</v>
      </c>
      <c r="G2020" s="28">
        <v>3353428540</v>
      </c>
      <c r="H2020" s="29">
        <v>10.4</v>
      </c>
      <c r="I2020" s="142">
        <v>-69.039999999999992</v>
      </c>
      <c r="J2020" s="29">
        <v>6.86</v>
      </c>
      <c r="K2020" s="29">
        <v>6.62</v>
      </c>
      <c r="L2020" s="29">
        <v>11.82</v>
      </c>
      <c r="M2020" s="368"/>
      <c r="N2020" s="368"/>
      <c r="O2020" s="271">
        <f>IFERROR(Table17[[#This Row],[PROFIT]]/Table17[[#This Row],[TO]],0)</f>
        <v>0</v>
      </c>
      <c r="P2020" s="177"/>
      <c r="Q2020" s="177"/>
      <c r="R2020" s="177"/>
    </row>
    <row r="2021" spans="1:18" ht="30" hidden="1" x14ac:dyDescent="0.25">
      <c r="A2021" s="29" t="s">
        <v>2897</v>
      </c>
      <c r="B2021" s="29" t="s">
        <v>2896</v>
      </c>
      <c r="C2021" s="29" t="s">
        <v>11732</v>
      </c>
      <c r="D2021" s="29" t="str">
        <f>VLOOKUP(C:C,'COUNT-CONT'!B:C,2,FALSE)</f>
        <v>North America</v>
      </c>
      <c r="E2021" s="29">
        <v>4</v>
      </c>
      <c r="F2021" s="28">
        <v>1995</v>
      </c>
      <c r="G2021" s="28">
        <v>3665878446</v>
      </c>
      <c r="H2021" s="29">
        <v>10.37</v>
      </c>
      <c r="I2021" s="142">
        <v>-69.069999999999993</v>
      </c>
      <c r="J2021" s="29">
        <v>8.43</v>
      </c>
      <c r="K2021" s="29">
        <v>8.43</v>
      </c>
      <c r="L2021" s="29">
        <v>13.63</v>
      </c>
      <c r="M2021" s="368"/>
      <c r="N2021" s="368"/>
      <c r="O2021" s="271">
        <f>IFERROR(Table17[[#This Row],[PROFIT]]/Table17[[#This Row],[TO]],0)</f>
        <v>0</v>
      </c>
      <c r="P2021" s="177"/>
      <c r="Q2021" s="177"/>
      <c r="R2021" s="177"/>
    </row>
    <row r="2022" spans="1:18" ht="30" hidden="1" x14ac:dyDescent="0.25">
      <c r="A2022" s="29" t="s">
        <v>1389</v>
      </c>
      <c r="B2022" s="29" t="s">
        <v>1388</v>
      </c>
      <c r="C2022" s="29" t="s">
        <v>505</v>
      </c>
      <c r="D2022" s="29" t="e">
        <f>VLOOKUP(C:C,'COUNT-CONT'!B:C,2,FALSE)</f>
        <v>#N/A</v>
      </c>
      <c r="E2022" s="29">
        <v>6</v>
      </c>
      <c r="F2022" s="28">
        <v>2413</v>
      </c>
      <c r="G2022" s="28">
        <v>2756864069</v>
      </c>
      <c r="H2022" s="29">
        <v>10.34</v>
      </c>
      <c r="I2022" s="142">
        <v>-69.099999999999994</v>
      </c>
      <c r="J2022" s="29">
        <v>4.0199999999999996</v>
      </c>
      <c r="K2022" s="29">
        <v>3.33</v>
      </c>
      <c r="L2022" s="29">
        <v>8.77</v>
      </c>
      <c r="M2022" s="368"/>
      <c r="N2022" s="368"/>
      <c r="O2022" s="271">
        <f>IFERROR(Table17[[#This Row],[PROFIT]]/Table17[[#This Row],[TO]],0)</f>
        <v>0</v>
      </c>
      <c r="P2022" s="177"/>
      <c r="Q2022" s="177"/>
      <c r="R2022" s="177"/>
    </row>
    <row r="2023" spans="1:18" hidden="1" x14ac:dyDescent="0.25">
      <c r="A2023" s="29" t="s">
        <v>1274</v>
      </c>
      <c r="B2023" s="29" t="s">
        <v>1273</v>
      </c>
      <c r="C2023" s="29" t="s">
        <v>717</v>
      </c>
      <c r="D2023" s="29" t="str">
        <f>VLOOKUP(C:C,'COUNT-CONT'!B:C,2,FALSE)</f>
        <v>Asia</v>
      </c>
      <c r="E2023" s="29">
        <v>1</v>
      </c>
      <c r="F2023" s="28">
        <v>1251</v>
      </c>
      <c r="G2023" s="28">
        <v>3029096562</v>
      </c>
      <c r="H2023" s="29">
        <v>10.34</v>
      </c>
      <c r="I2023" s="142">
        <v>-69.099999999999994</v>
      </c>
      <c r="J2023" s="29">
        <v>3.72</v>
      </c>
      <c r="K2023" s="29">
        <v>3.05</v>
      </c>
      <c r="L2023" s="29">
        <v>8.49</v>
      </c>
      <c r="M2023" s="368"/>
      <c r="N2023" s="368"/>
      <c r="O2023" s="271">
        <f>IFERROR(Table17[[#This Row],[PROFIT]]/Table17[[#This Row],[TO]],0)</f>
        <v>0</v>
      </c>
      <c r="P2023" s="177"/>
      <c r="Q2023" s="177"/>
      <c r="R2023" s="177"/>
    </row>
    <row r="2024" spans="1:18" ht="30" hidden="1" x14ac:dyDescent="0.25">
      <c r="A2024" s="29" t="s">
        <v>2899</v>
      </c>
      <c r="B2024" s="29" t="s">
        <v>2898</v>
      </c>
      <c r="C2024" s="29" t="s">
        <v>11732</v>
      </c>
      <c r="D2024" s="29" t="str">
        <f>VLOOKUP(C:C,'COUNT-CONT'!B:C,2,FALSE)</f>
        <v>North America</v>
      </c>
      <c r="E2024" s="29">
        <v>4</v>
      </c>
      <c r="F2024" s="28">
        <v>1999</v>
      </c>
      <c r="G2024" s="28">
        <v>3663575137</v>
      </c>
      <c r="H2024" s="29">
        <v>10.34</v>
      </c>
      <c r="I2024" s="142">
        <v>-69.099999999999994</v>
      </c>
      <c r="J2024" s="29">
        <v>8.43</v>
      </c>
      <c r="K2024" s="29">
        <v>8.43</v>
      </c>
      <c r="L2024" s="29">
        <v>13.63</v>
      </c>
      <c r="M2024" s="368"/>
      <c r="N2024" s="368"/>
      <c r="O2024" s="271">
        <f>IFERROR(Table17[[#This Row],[PROFIT]]/Table17[[#This Row],[TO]],0)</f>
        <v>0</v>
      </c>
      <c r="P2024" s="177"/>
      <c r="Q2024" s="177"/>
      <c r="R2024" s="177"/>
    </row>
    <row r="2025" spans="1:18" hidden="1" x14ac:dyDescent="0.25">
      <c r="A2025" s="29" t="s">
        <v>2099</v>
      </c>
      <c r="B2025" s="29" t="s">
        <v>2098</v>
      </c>
      <c r="C2025" s="29" t="s">
        <v>807</v>
      </c>
      <c r="D2025" s="29" t="str">
        <f>VLOOKUP(C:C,'COUNT-CONT'!B:C,2,FALSE)</f>
        <v>Europe</v>
      </c>
      <c r="E2025" s="29">
        <v>4</v>
      </c>
      <c r="F2025" s="28">
        <v>1955</v>
      </c>
      <c r="G2025" s="28">
        <v>3189859846</v>
      </c>
      <c r="H2025" s="29">
        <v>10.34</v>
      </c>
      <c r="I2025" s="142">
        <v>-69.099999999999994</v>
      </c>
      <c r="J2025" s="29">
        <v>5.8</v>
      </c>
      <c r="K2025" s="29">
        <v>5.59</v>
      </c>
      <c r="L2025" s="29">
        <v>10.79</v>
      </c>
      <c r="M2025" s="368"/>
      <c r="N2025" s="368"/>
      <c r="O2025" s="271">
        <f>IFERROR(Table17[[#This Row],[PROFIT]]/Table17[[#This Row],[TO]],0)</f>
        <v>0</v>
      </c>
      <c r="P2025" s="177"/>
      <c r="Q2025" s="177"/>
      <c r="R2025" s="177"/>
    </row>
    <row r="2026" spans="1:18" ht="30" x14ac:dyDescent="0.25">
      <c r="A2026" s="29" t="s">
        <v>1440</v>
      </c>
      <c r="B2026" s="29" t="s">
        <v>1439</v>
      </c>
      <c r="C2026" s="29" t="s">
        <v>1438</v>
      </c>
      <c r="D2026" s="29" t="str">
        <f>VLOOKUP(C:C,'COUNT-CONT'!B:C,2,FALSE)</f>
        <v>Oceania</v>
      </c>
      <c r="E2026" s="29">
        <v>5</v>
      </c>
      <c r="F2026" s="28">
        <v>2103</v>
      </c>
      <c r="G2026" s="28">
        <v>2830462291</v>
      </c>
      <c r="H2026" s="29">
        <v>10.34</v>
      </c>
      <c r="I2026" s="142">
        <v>-69.099999999999994</v>
      </c>
      <c r="J2026" s="29">
        <v>4.08</v>
      </c>
      <c r="K2026" s="29">
        <v>3.39</v>
      </c>
      <c r="L2026" s="29">
        <v>8.92</v>
      </c>
      <c r="M2026" s="368"/>
      <c r="N2026" s="368"/>
      <c r="O2026" s="271">
        <f>IFERROR(Table17[[#This Row],[PROFIT]]/Table17[[#This Row],[TO]],0)</f>
        <v>0</v>
      </c>
      <c r="P2026" s="177"/>
      <c r="Q2026" s="177"/>
      <c r="R2026" s="177"/>
    </row>
    <row r="2027" spans="1:18" hidden="1" x14ac:dyDescent="0.25">
      <c r="A2027" s="29" t="s">
        <v>2409</v>
      </c>
      <c r="B2027" s="29" t="s">
        <v>2408</v>
      </c>
      <c r="C2027" s="29" t="s">
        <v>119</v>
      </c>
      <c r="D2027" s="29" t="str">
        <f>VLOOKUP(C:C,'COUNT-CONT'!B:C,2,FALSE)</f>
        <v>Europe</v>
      </c>
      <c r="E2027" s="29">
        <v>10</v>
      </c>
      <c r="F2027" s="28">
        <v>3513</v>
      </c>
      <c r="G2027" s="28">
        <v>3218522687</v>
      </c>
      <c r="H2027" s="29">
        <v>10.31</v>
      </c>
      <c r="I2027" s="142">
        <v>-69.13</v>
      </c>
      <c r="J2027" s="29">
        <v>6.77</v>
      </c>
      <c r="K2027" s="29">
        <v>6.56</v>
      </c>
      <c r="L2027" s="29">
        <v>11.7</v>
      </c>
      <c r="M2027" s="368"/>
      <c r="N2027" s="368"/>
      <c r="O2027" s="271">
        <f>IFERROR(Table17[[#This Row],[PROFIT]]/Table17[[#This Row],[TO]],0)</f>
        <v>0</v>
      </c>
      <c r="P2027" s="177"/>
      <c r="Q2027" s="177"/>
      <c r="R2027" s="177"/>
    </row>
    <row r="2028" spans="1:18" ht="30" hidden="1" x14ac:dyDescent="0.25">
      <c r="A2028" s="29" t="s">
        <v>2403</v>
      </c>
      <c r="B2028" s="29" t="s">
        <v>2402</v>
      </c>
      <c r="C2028" s="29" t="s">
        <v>514</v>
      </c>
      <c r="D2028" s="29" t="str">
        <f>VLOOKUP(C:C,'COUNT-CONT'!B:C,2,FALSE)</f>
        <v>North America</v>
      </c>
      <c r="E2028" s="29">
        <v>4</v>
      </c>
      <c r="F2028" s="28">
        <v>1836</v>
      </c>
      <c r="G2028" s="28">
        <v>3337428540</v>
      </c>
      <c r="H2028" s="29">
        <v>10.31</v>
      </c>
      <c r="I2028" s="142">
        <v>-69.13</v>
      </c>
      <c r="J2028" s="29">
        <v>6.77</v>
      </c>
      <c r="K2028" s="29">
        <v>6.56</v>
      </c>
      <c r="L2028" s="29">
        <v>11.7</v>
      </c>
      <c r="M2028" s="368"/>
      <c r="N2028" s="368"/>
      <c r="O2028" s="271">
        <f>IFERROR(Table17[[#This Row],[PROFIT]]/Table17[[#This Row],[TO]],0)</f>
        <v>0</v>
      </c>
      <c r="P2028" s="177"/>
      <c r="Q2028" s="177"/>
      <c r="R2028" s="177"/>
    </row>
    <row r="2029" spans="1:18" hidden="1" x14ac:dyDescent="0.25">
      <c r="A2029" s="29" t="s">
        <v>1086</v>
      </c>
      <c r="B2029" s="29" t="s">
        <v>1085</v>
      </c>
      <c r="C2029" s="29" t="s">
        <v>700</v>
      </c>
      <c r="D2029" s="29" t="str">
        <f>VLOOKUP(C:C,'COUNT-CONT'!B:C,2,FALSE)</f>
        <v>Asia</v>
      </c>
      <c r="E2029" s="29">
        <v>4</v>
      </c>
      <c r="F2029" s="28">
        <v>2002</v>
      </c>
      <c r="G2029" s="28">
        <v>2727450549</v>
      </c>
      <c r="H2029" s="29">
        <v>10.28</v>
      </c>
      <c r="I2029" s="142">
        <v>-69.16</v>
      </c>
      <c r="J2029" s="29">
        <v>3.14</v>
      </c>
      <c r="K2029" s="29">
        <v>2.36</v>
      </c>
      <c r="L2029" s="29">
        <v>7.92</v>
      </c>
      <c r="M2029" s="368"/>
      <c r="N2029" s="368"/>
      <c r="O2029" s="271">
        <f>IFERROR(Table17[[#This Row],[PROFIT]]/Table17[[#This Row],[TO]],0)</f>
        <v>0</v>
      </c>
      <c r="P2029" s="177"/>
      <c r="Q2029" s="177"/>
      <c r="R2029" s="177"/>
    </row>
    <row r="2030" spans="1:18" ht="30" hidden="1" x14ac:dyDescent="0.25">
      <c r="A2030" s="29" t="s">
        <v>2880</v>
      </c>
      <c r="B2030" s="29" t="s">
        <v>2879</v>
      </c>
      <c r="C2030" s="29" t="s">
        <v>11732</v>
      </c>
      <c r="D2030" s="29" t="str">
        <f>VLOOKUP(C:C,'COUNT-CONT'!B:C,2,FALSE)</f>
        <v>North America</v>
      </c>
      <c r="E2030" s="29">
        <v>6</v>
      </c>
      <c r="F2030" s="28">
        <v>2469</v>
      </c>
      <c r="G2030" s="28">
        <v>3591224503</v>
      </c>
      <c r="H2030" s="29">
        <v>10.28</v>
      </c>
      <c r="I2030" s="142">
        <v>-69.16</v>
      </c>
      <c r="J2030" s="29">
        <v>8.3699999999999992</v>
      </c>
      <c r="K2030" s="29">
        <v>8.3699999999999992</v>
      </c>
      <c r="L2030" s="29">
        <v>13.51</v>
      </c>
      <c r="M2030" s="368"/>
      <c r="N2030" s="368"/>
      <c r="O2030" s="271">
        <f>IFERROR(Table17[[#This Row],[PROFIT]]/Table17[[#This Row],[TO]],0)</f>
        <v>0</v>
      </c>
      <c r="P2030" s="177"/>
      <c r="Q2030" s="177"/>
      <c r="R2030" s="177"/>
    </row>
    <row r="2031" spans="1:18" ht="30" x14ac:dyDescent="0.25">
      <c r="A2031" s="29" t="s">
        <v>1718</v>
      </c>
      <c r="B2031" s="29" t="s">
        <v>1717</v>
      </c>
      <c r="C2031" s="29" t="s">
        <v>662</v>
      </c>
      <c r="D2031" s="29" t="str">
        <f>VLOOKUP(C:C,'COUNT-CONT'!B:C,2,FALSE)</f>
        <v>Oceania</v>
      </c>
      <c r="E2031" s="29">
        <v>2</v>
      </c>
      <c r="F2031" s="28">
        <v>1402</v>
      </c>
      <c r="G2031" s="28">
        <v>3121193437</v>
      </c>
      <c r="H2031" s="29">
        <v>10.25</v>
      </c>
      <c r="I2031" s="142">
        <v>-69.19</v>
      </c>
      <c r="J2031" s="29">
        <v>5.0199999999999996</v>
      </c>
      <c r="K2031" s="29">
        <v>4.26</v>
      </c>
      <c r="L2031" s="29">
        <v>9.67</v>
      </c>
      <c r="M2031" s="368"/>
      <c r="N2031" s="368"/>
      <c r="O2031" s="271">
        <f>IFERROR(Table17[[#This Row],[PROFIT]]/Table17[[#This Row],[TO]],0)</f>
        <v>0</v>
      </c>
      <c r="P2031" s="177"/>
      <c r="Q2031" s="177"/>
      <c r="R2031" s="177"/>
    </row>
    <row r="2032" spans="1:18" hidden="1" x14ac:dyDescent="0.25">
      <c r="A2032" s="29" t="s">
        <v>1358</v>
      </c>
      <c r="B2032" s="29" t="s">
        <v>1357</v>
      </c>
      <c r="C2032" s="29" t="s">
        <v>14</v>
      </c>
      <c r="D2032" s="29" t="str">
        <f>VLOOKUP(C:C,'COUNT-CONT'!B:C,2,FALSE)</f>
        <v>Asia</v>
      </c>
      <c r="E2032" s="29">
        <v>4</v>
      </c>
      <c r="F2032" s="28">
        <v>1767</v>
      </c>
      <c r="G2032" s="28">
        <v>2849424052</v>
      </c>
      <c r="H2032" s="29">
        <v>10.25</v>
      </c>
      <c r="I2032" s="142">
        <v>-69.19</v>
      </c>
      <c r="J2032" s="29">
        <v>3.99</v>
      </c>
      <c r="K2032" s="29">
        <v>3.3</v>
      </c>
      <c r="L2032" s="29">
        <v>8.68</v>
      </c>
      <c r="M2032" s="368"/>
      <c r="N2032" s="368"/>
      <c r="O2032" s="271">
        <f>IFERROR(Table17[[#This Row],[PROFIT]]/Table17[[#This Row],[TO]],0)</f>
        <v>0</v>
      </c>
      <c r="P2032" s="177"/>
      <c r="Q2032" s="177"/>
      <c r="R2032" s="177"/>
    </row>
    <row r="2033" spans="1:18" x14ac:dyDescent="0.25">
      <c r="A2033" s="29" t="s">
        <v>2146</v>
      </c>
      <c r="B2033" s="29" t="s">
        <v>2145</v>
      </c>
      <c r="C2033" s="29" t="s">
        <v>774</v>
      </c>
      <c r="D2033" s="29" t="str">
        <f>VLOOKUP(C:C,'COUNT-CONT'!B:C,2,FALSE)</f>
        <v>Oceania</v>
      </c>
      <c r="E2033" s="29">
        <v>2</v>
      </c>
      <c r="F2033" s="28">
        <v>1407</v>
      </c>
      <c r="G2033" s="28">
        <v>3370205259</v>
      </c>
      <c r="H2033" s="29">
        <v>10.25</v>
      </c>
      <c r="I2033" s="142">
        <v>-69.19</v>
      </c>
      <c r="J2033" s="29">
        <v>6.11</v>
      </c>
      <c r="K2033" s="29">
        <v>5.65</v>
      </c>
      <c r="L2033" s="29">
        <v>10.91</v>
      </c>
      <c r="M2033" s="368"/>
      <c r="N2033" s="368"/>
      <c r="O2033" s="271">
        <f>IFERROR(Table17[[#This Row],[PROFIT]]/Table17[[#This Row],[TO]],0)</f>
        <v>0</v>
      </c>
      <c r="P2033" s="177"/>
      <c r="Q2033" s="177"/>
      <c r="R2033" s="177"/>
    </row>
    <row r="2034" spans="1:18" x14ac:dyDescent="0.25">
      <c r="A2034" s="29" t="s">
        <v>2152</v>
      </c>
      <c r="B2034" s="29" t="s">
        <v>2151</v>
      </c>
      <c r="C2034" s="29" t="s">
        <v>774</v>
      </c>
      <c r="D2034" s="29" t="str">
        <f>VLOOKUP(C:C,'COUNT-CONT'!B:C,2,FALSE)</f>
        <v>Oceania</v>
      </c>
      <c r="E2034" s="29">
        <v>3</v>
      </c>
      <c r="F2034" s="28">
        <v>1607</v>
      </c>
      <c r="G2034" s="28">
        <v>3296105289</v>
      </c>
      <c r="H2034" s="29">
        <v>10.25</v>
      </c>
      <c r="I2034" s="142">
        <v>-69.19</v>
      </c>
      <c r="J2034" s="29">
        <v>6.11</v>
      </c>
      <c r="K2034" s="29">
        <v>5.65</v>
      </c>
      <c r="L2034" s="29">
        <v>10.91</v>
      </c>
      <c r="M2034" s="368"/>
      <c r="N2034" s="368"/>
      <c r="O2034" s="271">
        <f>IFERROR(Table17[[#This Row],[PROFIT]]/Table17[[#This Row],[TO]],0)</f>
        <v>0</v>
      </c>
      <c r="P2034" s="177"/>
      <c r="Q2034" s="177"/>
      <c r="R2034" s="177"/>
    </row>
    <row r="2035" spans="1:18" ht="30" hidden="1" x14ac:dyDescent="0.25">
      <c r="A2035" s="29" t="s">
        <v>1582</v>
      </c>
      <c r="B2035" s="29" t="s">
        <v>1581</v>
      </c>
      <c r="C2035" s="29" t="s">
        <v>812</v>
      </c>
      <c r="D2035" s="29" t="str">
        <f>VLOOKUP(C:C,'COUNT-CONT'!B:C,2,FALSE)</f>
        <v>North America</v>
      </c>
      <c r="E2035" s="29">
        <v>1</v>
      </c>
      <c r="F2035" s="28">
        <v>1002</v>
      </c>
      <c r="G2035" s="28">
        <v>3334604391</v>
      </c>
      <c r="H2035" s="29">
        <v>10.25</v>
      </c>
      <c r="I2035" s="142">
        <v>-69.19</v>
      </c>
      <c r="J2035" s="29">
        <v>4.66</v>
      </c>
      <c r="K2035" s="29">
        <v>3.9</v>
      </c>
      <c r="L2035" s="29">
        <v>9.34</v>
      </c>
      <c r="M2035" s="368"/>
      <c r="N2035" s="368"/>
      <c r="O2035" s="271">
        <f>IFERROR(Table17[[#This Row],[PROFIT]]/Table17[[#This Row],[TO]],0)</f>
        <v>0</v>
      </c>
      <c r="P2035" s="177"/>
      <c r="Q2035" s="177"/>
      <c r="R2035" s="177"/>
    </row>
    <row r="2036" spans="1:18" ht="30" hidden="1" x14ac:dyDescent="0.25">
      <c r="A2036" s="29" t="s">
        <v>2859</v>
      </c>
      <c r="B2036" s="29" t="s">
        <v>2858</v>
      </c>
      <c r="C2036" s="29" t="s">
        <v>11732</v>
      </c>
      <c r="D2036" s="29" t="str">
        <f>VLOOKUP(C:C,'COUNT-CONT'!B:C,2,FALSE)</f>
        <v>North America</v>
      </c>
      <c r="E2036" s="29">
        <v>3</v>
      </c>
      <c r="F2036" s="28">
        <v>1687</v>
      </c>
      <c r="G2036" s="28">
        <v>3715245050</v>
      </c>
      <c r="H2036" s="29">
        <v>10.25</v>
      </c>
      <c r="I2036" s="142">
        <v>-69.19</v>
      </c>
      <c r="J2036" s="29">
        <v>8.34</v>
      </c>
      <c r="K2036" s="29">
        <v>8.34</v>
      </c>
      <c r="L2036" s="29">
        <v>13.48</v>
      </c>
      <c r="M2036" s="368"/>
      <c r="N2036" s="368"/>
      <c r="O2036" s="271">
        <f>IFERROR(Table17[[#This Row],[PROFIT]]/Table17[[#This Row],[TO]],0)</f>
        <v>0</v>
      </c>
      <c r="P2036" s="177"/>
      <c r="Q2036" s="177"/>
      <c r="R2036" s="177"/>
    </row>
    <row r="2037" spans="1:18" ht="30" hidden="1" x14ac:dyDescent="0.25">
      <c r="A2037" s="29" t="s">
        <v>2878</v>
      </c>
      <c r="B2037" s="29" t="s">
        <v>2877</v>
      </c>
      <c r="C2037" s="29" t="s">
        <v>11732</v>
      </c>
      <c r="D2037" s="29" t="str">
        <f>VLOOKUP(C:C,'COUNT-CONT'!B:C,2,FALSE)</f>
        <v>North America</v>
      </c>
      <c r="E2037" s="29">
        <v>6</v>
      </c>
      <c r="F2037" s="28">
        <v>2333</v>
      </c>
      <c r="G2037" s="28">
        <v>3602095927</v>
      </c>
      <c r="H2037" s="29">
        <v>10.25</v>
      </c>
      <c r="I2037" s="142">
        <v>-69.19</v>
      </c>
      <c r="J2037" s="29">
        <v>8.3699999999999992</v>
      </c>
      <c r="K2037" s="29">
        <v>8.3699999999999992</v>
      </c>
      <c r="L2037" s="29">
        <v>13.51</v>
      </c>
      <c r="M2037" s="368"/>
      <c r="N2037" s="368"/>
      <c r="O2037" s="271">
        <f>IFERROR(Table17[[#This Row],[PROFIT]]/Table17[[#This Row],[TO]],0)</f>
        <v>0</v>
      </c>
      <c r="P2037" s="177"/>
      <c r="Q2037" s="177"/>
      <c r="R2037" s="177"/>
    </row>
    <row r="2038" spans="1:18" hidden="1" x14ac:dyDescent="0.25">
      <c r="A2038" s="29" t="s">
        <v>950</v>
      </c>
      <c r="B2038" s="29" t="s">
        <v>949</v>
      </c>
      <c r="C2038" s="29" t="s">
        <v>926</v>
      </c>
      <c r="D2038" s="29" t="str">
        <f>VLOOKUP(C:C,'COUNT-CONT'!B:C,2,FALSE)</f>
        <v>Africa</v>
      </c>
      <c r="E2038" s="29">
        <v>2</v>
      </c>
      <c r="F2038" s="28">
        <v>1301</v>
      </c>
      <c r="G2038" s="28">
        <v>2900703458</v>
      </c>
      <c r="H2038" s="29">
        <v>10.220000000000001</v>
      </c>
      <c r="I2038" s="142">
        <v>-69.22</v>
      </c>
      <c r="J2038" s="29">
        <v>2.84</v>
      </c>
      <c r="K2038" s="29">
        <v>1.93</v>
      </c>
      <c r="L2038" s="29">
        <v>7.53</v>
      </c>
      <c r="M2038" s="368"/>
      <c r="N2038" s="368"/>
      <c r="O2038" s="271">
        <f>IFERROR(Table17[[#This Row],[PROFIT]]/Table17[[#This Row],[TO]],0)</f>
        <v>0</v>
      </c>
      <c r="P2038" s="177"/>
      <c r="Q2038" s="177"/>
      <c r="R2038" s="177"/>
    </row>
    <row r="2039" spans="1:18" hidden="1" x14ac:dyDescent="0.25">
      <c r="A2039" s="29" t="s">
        <v>1985</v>
      </c>
      <c r="B2039" s="29" t="s">
        <v>1984</v>
      </c>
      <c r="C2039" s="29" t="s">
        <v>585</v>
      </c>
      <c r="D2039" s="29" t="str">
        <f>VLOOKUP(C:C,'COUNT-CONT'!B:C,2,FALSE)</f>
        <v>Europe</v>
      </c>
      <c r="E2039" s="29">
        <v>6</v>
      </c>
      <c r="F2039" s="28">
        <v>2506</v>
      </c>
      <c r="G2039" s="28">
        <v>3073146528</v>
      </c>
      <c r="H2039" s="29">
        <v>10.220000000000001</v>
      </c>
      <c r="I2039" s="142">
        <v>-69.22</v>
      </c>
      <c r="J2039" s="29">
        <v>5.62</v>
      </c>
      <c r="K2039" s="29">
        <v>5.2</v>
      </c>
      <c r="L2039" s="29">
        <v>10.43</v>
      </c>
      <c r="M2039" s="368"/>
      <c r="N2039" s="368"/>
      <c r="O2039" s="271">
        <f>IFERROR(Table17[[#This Row],[PROFIT]]/Table17[[#This Row],[TO]],0)</f>
        <v>0</v>
      </c>
      <c r="P2039" s="177"/>
      <c r="Q2039" s="177"/>
      <c r="R2039" s="177"/>
    </row>
    <row r="2040" spans="1:18" ht="30" hidden="1" x14ac:dyDescent="0.25">
      <c r="A2040" s="29" t="s">
        <v>2855</v>
      </c>
      <c r="B2040" s="29" t="s">
        <v>2854</v>
      </c>
      <c r="C2040" s="29" t="s">
        <v>11732</v>
      </c>
      <c r="D2040" s="29" t="str">
        <f>VLOOKUP(C:C,'COUNT-CONT'!B:C,2,FALSE)</f>
        <v>North America</v>
      </c>
      <c r="E2040" s="29">
        <v>4</v>
      </c>
      <c r="F2040" s="28">
        <v>1996</v>
      </c>
      <c r="G2040" s="28">
        <v>3640202204</v>
      </c>
      <c r="H2040" s="29">
        <v>10.220000000000001</v>
      </c>
      <c r="I2040" s="142">
        <v>-69.22</v>
      </c>
      <c r="J2040" s="29">
        <v>8.31</v>
      </c>
      <c r="K2040" s="29">
        <v>8.31</v>
      </c>
      <c r="L2040" s="29">
        <v>13.45</v>
      </c>
      <c r="M2040" s="368"/>
      <c r="N2040" s="368"/>
      <c r="O2040" s="271">
        <f>IFERROR(Table17[[#This Row],[PROFIT]]/Table17[[#This Row],[TO]],0)</f>
        <v>0</v>
      </c>
      <c r="P2040" s="177"/>
      <c r="Q2040" s="177"/>
      <c r="R2040" s="177"/>
    </row>
    <row r="2041" spans="1:18" ht="30" hidden="1" x14ac:dyDescent="0.25">
      <c r="A2041" s="29" t="s">
        <v>2376</v>
      </c>
      <c r="B2041" s="29" t="s">
        <v>2375</v>
      </c>
      <c r="C2041" s="29" t="s">
        <v>514</v>
      </c>
      <c r="D2041" s="29" t="str">
        <f>VLOOKUP(C:C,'COUNT-CONT'!B:C,2,FALSE)</f>
        <v>North America</v>
      </c>
      <c r="E2041" s="29">
        <v>1</v>
      </c>
      <c r="F2041" s="28">
        <v>1071</v>
      </c>
      <c r="G2041" s="28">
        <v>3679577497</v>
      </c>
      <c r="H2041" s="29">
        <v>10.220000000000001</v>
      </c>
      <c r="I2041" s="142">
        <v>-69.22</v>
      </c>
      <c r="J2041" s="29">
        <v>6.74</v>
      </c>
      <c r="K2041" s="29">
        <v>6.5</v>
      </c>
      <c r="L2041" s="29">
        <v>11.64</v>
      </c>
      <c r="M2041" s="368"/>
      <c r="N2041" s="368"/>
      <c r="O2041" s="271">
        <f>IFERROR(Table17[[#This Row],[PROFIT]]/Table17[[#This Row],[TO]],0)</f>
        <v>0</v>
      </c>
      <c r="P2041" s="177"/>
      <c r="Q2041" s="177"/>
      <c r="R2041" s="177"/>
    </row>
    <row r="2042" spans="1:18" hidden="1" x14ac:dyDescent="0.25">
      <c r="A2042" s="29" t="s">
        <v>1154</v>
      </c>
      <c r="B2042" s="29" t="s">
        <v>1153</v>
      </c>
      <c r="C2042" s="29" t="s">
        <v>533</v>
      </c>
      <c r="D2042" s="29" t="str">
        <f>VLOOKUP(C:C,'COUNT-CONT'!B:C,2,FALSE)</f>
        <v>Asia</v>
      </c>
      <c r="E2042" s="29">
        <v>6</v>
      </c>
      <c r="F2042" s="28">
        <v>2302</v>
      </c>
      <c r="G2042" s="28">
        <v>2678245351</v>
      </c>
      <c r="H2042" s="29">
        <v>10.19</v>
      </c>
      <c r="I2042" s="142">
        <v>-69.25</v>
      </c>
      <c r="J2042" s="29">
        <v>3.39</v>
      </c>
      <c r="K2042" s="29">
        <v>2.57</v>
      </c>
      <c r="L2042" s="29">
        <v>8.07</v>
      </c>
      <c r="M2042" s="368"/>
      <c r="N2042" s="368"/>
      <c r="O2042" s="271">
        <f>IFERROR(Table17[[#This Row],[PROFIT]]/Table17[[#This Row],[TO]],0)</f>
        <v>0</v>
      </c>
      <c r="P2042" s="177"/>
      <c r="Q2042" s="177"/>
      <c r="R2042" s="177"/>
    </row>
    <row r="2043" spans="1:18" ht="30" hidden="1" x14ac:dyDescent="0.25">
      <c r="A2043" s="29" t="s">
        <v>2842</v>
      </c>
      <c r="B2043" s="29" t="s">
        <v>2841</v>
      </c>
      <c r="C2043" s="29" t="s">
        <v>11732</v>
      </c>
      <c r="D2043" s="29" t="str">
        <f>VLOOKUP(C:C,'COUNT-CONT'!B:C,2,FALSE)</f>
        <v>North America</v>
      </c>
      <c r="E2043" s="29">
        <v>6</v>
      </c>
      <c r="F2043" s="28">
        <v>2466</v>
      </c>
      <c r="G2043" s="28">
        <v>3575466504</v>
      </c>
      <c r="H2043" s="29">
        <v>10.19</v>
      </c>
      <c r="I2043" s="142">
        <v>-69.25</v>
      </c>
      <c r="J2043" s="29">
        <v>8.2799999999999994</v>
      </c>
      <c r="K2043" s="29">
        <v>8.2799999999999994</v>
      </c>
      <c r="L2043" s="29">
        <v>13.39</v>
      </c>
      <c r="M2043" s="368"/>
      <c r="N2043" s="368"/>
      <c r="O2043" s="271">
        <f>IFERROR(Table17[[#This Row],[PROFIT]]/Table17[[#This Row],[TO]],0)</f>
        <v>0</v>
      </c>
      <c r="P2043" s="177"/>
      <c r="Q2043" s="177"/>
      <c r="R2043" s="177"/>
    </row>
    <row r="2044" spans="1:18" ht="30" hidden="1" x14ac:dyDescent="0.25">
      <c r="A2044" s="29" t="s">
        <v>2351</v>
      </c>
      <c r="B2044" s="29" t="s">
        <v>2350</v>
      </c>
      <c r="C2044" s="29" t="s">
        <v>514</v>
      </c>
      <c r="D2044" s="29" t="str">
        <f>VLOOKUP(C:C,'COUNT-CONT'!B:C,2,FALSE)</f>
        <v>North America</v>
      </c>
      <c r="E2044" s="29">
        <v>1</v>
      </c>
      <c r="F2044" s="28">
        <v>1223</v>
      </c>
      <c r="G2044" s="28">
        <v>3559127636</v>
      </c>
      <c r="H2044" s="29">
        <v>10.19</v>
      </c>
      <c r="I2044" s="142">
        <v>-69.25</v>
      </c>
      <c r="J2044" s="29">
        <v>6.71</v>
      </c>
      <c r="K2044" s="29">
        <v>6.47</v>
      </c>
      <c r="L2044" s="29">
        <v>11.58</v>
      </c>
      <c r="M2044" s="368"/>
      <c r="N2044" s="368"/>
      <c r="O2044" s="271">
        <f>IFERROR(Table17[[#This Row],[PROFIT]]/Table17[[#This Row],[TO]],0)</f>
        <v>0</v>
      </c>
      <c r="P2044" s="177"/>
      <c r="Q2044" s="177"/>
      <c r="R2044" s="177"/>
    </row>
    <row r="2045" spans="1:18" hidden="1" x14ac:dyDescent="0.25">
      <c r="A2045" s="29" t="s">
        <v>1479</v>
      </c>
      <c r="B2045" s="29" t="s">
        <v>1478</v>
      </c>
      <c r="C2045" s="29" t="s">
        <v>605</v>
      </c>
      <c r="D2045" s="29" t="str">
        <f>VLOOKUP(C:C,'COUNT-CONT'!B:C,2,FALSE)</f>
        <v>Europe</v>
      </c>
      <c r="E2045" s="29">
        <v>1</v>
      </c>
      <c r="F2045" s="28">
        <v>1001</v>
      </c>
      <c r="G2045" s="28">
        <v>3433901098</v>
      </c>
      <c r="H2045" s="29">
        <v>10.16</v>
      </c>
      <c r="I2045" s="142">
        <v>-69.28</v>
      </c>
      <c r="J2045" s="29">
        <v>4.3499999999999996</v>
      </c>
      <c r="K2045" s="29">
        <v>3.81</v>
      </c>
      <c r="L2045" s="29">
        <v>9.07</v>
      </c>
      <c r="M2045" s="368"/>
      <c r="N2045" s="368"/>
      <c r="O2045" s="271">
        <f>IFERROR(Table17[[#This Row],[PROFIT]]/Table17[[#This Row],[TO]],0)</f>
        <v>0</v>
      </c>
      <c r="P2045" s="177"/>
      <c r="Q2045" s="177"/>
      <c r="R2045" s="177"/>
    </row>
    <row r="2046" spans="1:18" x14ac:dyDescent="0.25">
      <c r="A2046" s="29" t="s">
        <v>2110</v>
      </c>
      <c r="B2046" s="29" t="s">
        <v>2109</v>
      </c>
      <c r="C2046" s="29" t="s">
        <v>774</v>
      </c>
      <c r="D2046" s="29" t="str">
        <f>VLOOKUP(C:C,'COUNT-CONT'!B:C,2,FALSE)</f>
        <v>Oceania</v>
      </c>
      <c r="E2046" s="29">
        <v>3</v>
      </c>
      <c r="F2046" s="28">
        <v>1653</v>
      </c>
      <c r="G2046" s="28">
        <v>3267156745</v>
      </c>
      <c r="H2046" s="29">
        <v>10.16</v>
      </c>
      <c r="I2046" s="142">
        <v>-69.28</v>
      </c>
      <c r="J2046" s="29">
        <v>6.05</v>
      </c>
      <c r="K2046" s="29">
        <v>5.62</v>
      </c>
      <c r="L2046" s="29">
        <v>10.82</v>
      </c>
      <c r="M2046" s="368"/>
      <c r="N2046" s="368"/>
      <c r="O2046" s="271">
        <f>IFERROR(Table17[[#This Row],[PROFIT]]/Table17[[#This Row],[TO]],0)</f>
        <v>0</v>
      </c>
      <c r="P2046" s="177"/>
      <c r="Q2046" s="177"/>
      <c r="R2046" s="177"/>
    </row>
    <row r="2047" spans="1:18" hidden="1" x14ac:dyDescent="0.25">
      <c r="A2047" s="29" t="s">
        <v>855</v>
      </c>
      <c r="B2047" s="29" t="s">
        <v>854</v>
      </c>
      <c r="C2047" s="29" t="s">
        <v>580</v>
      </c>
      <c r="D2047" s="29" t="str">
        <f>VLOOKUP(C:C,'COUNT-CONT'!B:C,2,FALSE)</f>
        <v>Africa</v>
      </c>
      <c r="E2047" s="29">
        <v>4</v>
      </c>
      <c r="F2047" s="28">
        <v>1831</v>
      </c>
      <c r="G2047" s="28">
        <v>2722564609</v>
      </c>
      <c r="H2047" s="29">
        <v>10.16</v>
      </c>
      <c r="I2047" s="142">
        <v>-69.28</v>
      </c>
      <c r="J2047" s="29">
        <v>2.57</v>
      </c>
      <c r="K2047" s="29">
        <v>1.69</v>
      </c>
      <c r="L2047" s="29">
        <v>7.16</v>
      </c>
      <c r="M2047" s="368"/>
      <c r="N2047" s="368"/>
      <c r="O2047" s="271">
        <f>IFERROR(Table17[[#This Row],[PROFIT]]/Table17[[#This Row],[TO]],0)</f>
        <v>0</v>
      </c>
      <c r="P2047" s="177"/>
      <c r="Q2047" s="177"/>
      <c r="R2047" s="177"/>
    </row>
    <row r="2048" spans="1:18" ht="30" hidden="1" x14ac:dyDescent="0.25">
      <c r="A2048" s="29" t="s">
        <v>2832</v>
      </c>
      <c r="B2048" s="29" t="s">
        <v>2831</v>
      </c>
      <c r="C2048" s="29" t="s">
        <v>11732</v>
      </c>
      <c r="D2048" s="29" t="str">
        <f>VLOOKUP(C:C,'COUNT-CONT'!B:C,2,FALSE)</f>
        <v>North America</v>
      </c>
      <c r="E2048" s="29">
        <v>4</v>
      </c>
      <c r="F2048" s="28">
        <v>1809</v>
      </c>
      <c r="G2048" s="28">
        <v>3667470757</v>
      </c>
      <c r="H2048" s="29">
        <v>10.16</v>
      </c>
      <c r="I2048" s="142">
        <v>-69.28</v>
      </c>
      <c r="J2048" s="29">
        <v>8.2799999999999994</v>
      </c>
      <c r="K2048" s="29">
        <v>8.2799999999999994</v>
      </c>
      <c r="L2048" s="29">
        <v>13.36</v>
      </c>
      <c r="M2048" s="368"/>
      <c r="N2048" s="368"/>
      <c r="O2048" s="271">
        <f>IFERROR(Table17[[#This Row],[PROFIT]]/Table17[[#This Row],[TO]],0)</f>
        <v>0</v>
      </c>
      <c r="P2048" s="177"/>
      <c r="Q2048" s="177"/>
      <c r="R2048" s="177"/>
    </row>
    <row r="2049" spans="1:18" ht="30" hidden="1" x14ac:dyDescent="0.25">
      <c r="A2049" s="29" t="s">
        <v>2349</v>
      </c>
      <c r="B2049" s="29" t="s">
        <v>2348</v>
      </c>
      <c r="C2049" s="29" t="s">
        <v>514</v>
      </c>
      <c r="D2049" s="29" t="str">
        <f>VLOOKUP(C:C,'COUNT-CONT'!B:C,2,FALSE)</f>
        <v>North America</v>
      </c>
      <c r="E2049" s="29">
        <v>2</v>
      </c>
      <c r="F2049" s="28">
        <v>1295</v>
      </c>
      <c r="G2049" s="28">
        <v>3513020849</v>
      </c>
      <c r="H2049" s="29">
        <v>10.16</v>
      </c>
      <c r="I2049" s="142">
        <v>-69.28</v>
      </c>
      <c r="J2049" s="29">
        <v>6.68</v>
      </c>
      <c r="K2049" s="29">
        <v>6.47</v>
      </c>
      <c r="L2049" s="29">
        <v>11.55</v>
      </c>
      <c r="M2049" s="368"/>
      <c r="N2049" s="368"/>
      <c r="O2049" s="271">
        <f>IFERROR(Table17[[#This Row],[PROFIT]]/Table17[[#This Row],[TO]],0)</f>
        <v>0</v>
      </c>
      <c r="P2049" s="177"/>
      <c r="Q2049" s="177"/>
      <c r="R2049" s="177"/>
    </row>
    <row r="2050" spans="1:18" ht="30" hidden="1" x14ac:dyDescent="0.25">
      <c r="A2050" s="29" t="s">
        <v>1309</v>
      </c>
      <c r="B2050" s="29" t="s">
        <v>1308</v>
      </c>
      <c r="C2050" s="29" t="s">
        <v>517</v>
      </c>
      <c r="D2050" s="29" t="str">
        <f>VLOOKUP(C:C,'COUNT-CONT'!B:C,2,FALSE)</f>
        <v>South America</v>
      </c>
      <c r="E2050" s="29">
        <v>4</v>
      </c>
      <c r="F2050" s="28">
        <v>2002</v>
      </c>
      <c r="G2050" s="28">
        <v>2785450549</v>
      </c>
      <c r="H2050" s="29">
        <v>10.130000000000001</v>
      </c>
      <c r="I2050" s="142">
        <v>-69.31</v>
      </c>
      <c r="J2050" s="29">
        <v>3.93</v>
      </c>
      <c r="K2050" s="29">
        <v>3.23</v>
      </c>
      <c r="L2050" s="29">
        <v>8.59</v>
      </c>
      <c r="M2050" s="368"/>
      <c r="N2050" s="368"/>
      <c r="O2050" s="271">
        <f>IFERROR(Table17[[#This Row],[PROFIT]]/Table17[[#This Row],[TO]],0)</f>
        <v>0</v>
      </c>
      <c r="P2050" s="177"/>
      <c r="Q2050" s="177"/>
      <c r="R2050" s="177"/>
    </row>
    <row r="2051" spans="1:18" ht="30" hidden="1" x14ac:dyDescent="0.25">
      <c r="A2051" s="29" t="s">
        <v>2328</v>
      </c>
      <c r="B2051" s="29" t="s">
        <v>2327</v>
      </c>
      <c r="C2051" s="29" t="s">
        <v>514</v>
      </c>
      <c r="D2051" s="29" t="str">
        <f>VLOOKUP(C:C,'COUNT-CONT'!B:C,2,FALSE)</f>
        <v>North America</v>
      </c>
      <c r="E2051" s="29">
        <v>2</v>
      </c>
      <c r="F2051" s="28">
        <v>1377</v>
      </c>
      <c r="G2051" s="28">
        <v>3465838053</v>
      </c>
      <c r="H2051" s="29">
        <v>10.130000000000001</v>
      </c>
      <c r="I2051" s="142">
        <v>-69.31</v>
      </c>
      <c r="J2051" s="29">
        <v>6.65</v>
      </c>
      <c r="K2051" s="29">
        <v>6.44</v>
      </c>
      <c r="L2051" s="29">
        <v>11.52</v>
      </c>
      <c r="M2051" s="368"/>
      <c r="N2051" s="368"/>
      <c r="O2051" s="271">
        <f>IFERROR(Table17[[#This Row],[PROFIT]]/Table17[[#This Row],[TO]],0)</f>
        <v>0</v>
      </c>
      <c r="P2051" s="177"/>
      <c r="Q2051" s="177"/>
      <c r="R2051" s="177"/>
    </row>
    <row r="2052" spans="1:18" ht="30" hidden="1" x14ac:dyDescent="0.25">
      <c r="A2052" s="29" t="s">
        <v>2335</v>
      </c>
      <c r="B2052" s="29" t="s">
        <v>2334</v>
      </c>
      <c r="C2052" s="29" t="s">
        <v>514</v>
      </c>
      <c r="D2052" s="29" t="str">
        <f>VLOOKUP(C:C,'COUNT-CONT'!B:C,2,FALSE)</f>
        <v>North America</v>
      </c>
      <c r="E2052" s="29">
        <v>4</v>
      </c>
      <c r="F2052" s="28">
        <v>1774</v>
      </c>
      <c r="G2052" s="28">
        <v>3325067643</v>
      </c>
      <c r="H2052" s="29">
        <v>10.130000000000001</v>
      </c>
      <c r="I2052" s="142">
        <v>-69.31</v>
      </c>
      <c r="J2052" s="29">
        <v>6.65</v>
      </c>
      <c r="K2052" s="29">
        <v>6.44</v>
      </c>
      <c r="L2052" s="29">
        <v>11.52</v>
      </c>
      <c r="M2052" s="368"/>
      <c r="N2052" s="368"/>
      <c r="O2052" s="271">
        <f>IFERROR(Table17[[#This Row],[PROFIT]]/Table17[[#This Row],[TO]],0)</f>
        <v>0</v>
      </c>
      <c r="P2052" s="177"/>
      <c r="Q2052" s="177"/>
      <c r="R2052" s="177"/>
    </row>
    <row r="2053" spans="1:18" ht="30" hidden="1" x14ac:dyDescent="0.25">
      <c r="A2053" s="29" t="s">
        <v>2339</v>
      </c>
      <c r="B2053" s="29" t="s">
        <v>2338</v>
      </c>
      <c r="C2053" s="29" t="s">
        <v>514</v>
      </c>
      <c r="D2053" s="29" t="str">
        <f>VLOOKUP(C:C,'COUNT-CONT'!B:C,2,FALSE)</f>
        <v>North America</v>
      </c>
      <c r="E2053" s="29">
        <v>4</v>
      </c>
      <c r="F2053" s="28">
        <v>1988</v>
      </c>
      <c r="G2053" s="28">
        <v>3282819919</v>
      </c>
      <c r="H2053" s="29">
        <v>10.130000000000001</v>
      </c>
      <c r="I2053" s="142">
        <v>-69.31</v>
      </c>
      <c r="J2053" s="29">
        <v>6.68</v>
      </c>
      <c r="K2053" s="29">
        <v>6.44</v>
      </c>
      <c r="L2053" s="29">
        <v>11.52</v>
      </c>
      <c r="M2053" s="368"/>
      <c r="N2053" s="368"/>
      <c r="O2053" s="271">
        <f>IFERROR(Table17[[#This Row],[PROFIT]]/Table17[[#This Row],[TO]],0)</f>
        <v>0</v>
      </c>
      <c r="P2053" s="177"/>
      <c r="Q2053" s="177"/>
      <c r="R2053" s="177"/>
    </row>
    <row r="2054" spans="1:18" ht="45" hidden="1" x14ac:dyDescent="0.25">
      <c r="A2054" s="29" t="s">
        <v>996</v>
      </c>
      <c r="B2054" s="29" t="s">
        <v>995</v>
      </c>
      <c r="C2054" s="29" t="s">
        <v>714</v>
      </c>
      <c r="D2054" s="29" t="str">
        <f>VLOOKUP(C:C,'COUNT-CONT'!B:C,2,FALSE)</f>
        <v>South America</v>
      </c>
      <c r="E2054" s="29">
        <v>6</v>
      </c>
      <c r="F2054" s="28">
        <v>2502</v>
      </c>
      <c r="G2054" s="28">
        <v>2709048281</v>
      </c>
      <c r="H2054" s="29">
        <v>10.1</v>
      </c>
      <c r="I2054" s="142">
        <v>-69.34</v>
      </c>
      <c r="J2054" s="29">
        <v>3.05</v>
      </c>
      <c r="K2054" s="29">
        <v>2.2999999999999998</v>
      </c>
      <c r="L2054" s="29">
        <v>7.65</v>
      </c>
      <c r="M2054" s="368"/>
      <c r="N2054" s="368"/>
      <c r="O2054" s="271">
        <f>IFERROR(Table17[[#This Row],[PROFIT]]/Table17[[#This Row],[TO]],0)</f>
        <v>0</v>
      </c>
      <c r="P2054" s="177"/>
      <c r="Q2054" s="177"/>
      <c r="R2054" s="177"/>
    </row>
    <row r="2055" spans="1:18" hidden="1" x14ac:dyDescent="0.25">
      <c r="A2055" s="29" t="s">
        <v>928</v>
      </c>
      <c r="B2055" s="29" t="s">
        <v>927</v>
      </c>
      <c r="C2055" s="29" t="s">
        <v>926</v>
      </c>
      <c r="D2055" s="29" t="str">
        <f>VLOOKUP(C:C,'COUNT-CONT'!B:C,2,FALSE)</f>
        <v>Africa</v>
      </c>
      <c r="E2055" s="29">
        <v>7</v>
      </c>
      <c r="F2055" s="28">
        <v>2752</v>
      </c>
      <c r="G2055" s="28">
        <v>2588709302</v>
      </c>
      <c r="H2055" s="29">
        <v>10.1</v>
      </c>
      <c r="I2055" s="142">
        <v>-69.34</v>
      </c>
      <c r="J2055" s="29">
        <v>2.81</v>
      </c>
      <c r="K2055" s="29">
        <v>1.9</v>
      </c>
      <c r="L2055" s="29">
        <v>7.44</v>
      </c>
      <c r="M2055" s="368"/>
      <c r="N2055" s="368"/>
      <c r="O2055" s="271">
        <f>IFERROR(Table17[[#This Row],[PROFIT]]/Table17[[#This Row],[TO]],0)</f>
        <v>0</v>
      </c>
      <c r="P2055" s="177"/>
      <c r="Q2055" s="177"/>
      <c r="R2055" s="177"/>
    </row>
    <row r="2056" spans="1:18" hidden="1" x14ac:dyDescent="0.25">
      <c r="A2056" s="29" t="s">
        <v>1234</v>
      </c>
      <c r="B2056" s="29" t="s">
        <v>1233</v>
      </c>
      <c r="C2056" s="29" t="s">
        <v>717</v>
      </c>
      <c r="D2056" s="29" t="str">
        <f>VLOOKUP(C:C,'COUNT-CONT'!B:C,2,FALSE)</f>
        <v>Asia</v>
      </c>
      <c r="E2056" s="29">
        <v>2</v>
      </c>
      <c r="F2056" s="28">
        <v>1391</v>
      </c>
      <c r="G2056" s="28">
        <v>2925797987</v>
      </c>
      <c r="H2056" s="29">
        <v>10.1</v>
      </c>
      <c r="I2056" s="142">
        <v>-69.34</v>
      </c>
      <c r="J2056" s="29">
        <v>3.63</v>
      </c>
      <c r="K2056" s="29">
        <v>2.96</v>
      </c>
      <c r="L2056" s="29">
        <v>8.2799999999999994</v>
      </c>
      <c r="M2056" s="368"/>
      <c r="N2056" s="368"/>
      <c r="O2056" s="271">
        <f>IFERROR(Table17[[#This Row],[PROFIT]]/Table17[[#This Row],[TO]],0)</f>
        <v>0</v>
      </c>
      <c r="P2056" s="177"/>
      <c r="Q2056" s="177"/>
      <c r="R2056" s="177"/>
    </row>
    <row r="2057" spans="1:18" ht="30" hidden="1" x14ac:dyDescent="0.25">
      <c r="A2057" s="29" t="s">
        <v>1855</v>
      </c>
      <c r="B2057" s="29" t="s">
        <v>1854</v>
      </c>
      <c r="C2057" s="29" t="s">
        <v>13119</v>
      </c>
      <c r="D2057" s="29" t="str">
        <f>VLOOKUP(C:C,'COUNT-CONT'!B:C,2,FALSE)</f>
        <v>North America</v>
      </c>
      <c r="E2057" s="29">
        <v>3</v>
      </c>
      <c r="F2057" s="28">
        <v>1542</v>
      </c>
      <c r="G2057" s="28">
        <v>3103259273</v>
      </c>
      <c r="H2057" s="29">
        <v>10.1</v>
      </c>
      <c r="I2057" s="142">
        <v>-69.34</v>
      </c>
      <c r="J2057" s="29">
        <v>5.44</v>
      </c>
      <c r="K2057" s="29">
        <v>4.84</v>
      </c>
      <c r="L2057" s="29">
        <v>10.1</v>
      </c>
      <c r="M2057" s="368"/>
      <c r="N2057" s="368"/>
      <c r="O2057" s="271">
        <f>IFERROR(Table17[[#This Row],[PROFIT]]/Table17[[#This Row],[TO]],0)</f>
        <v>0</v>
      </c>
      <c r="P2057" s="177"/>
      <c r="Q2057" s="177"/>
      <c r="R2057" s="177"/>
    </row>
    <row r="2058" spans="1:18" hidden="1" x14ac:dyDescent="0.25">
      <c r="A2058" s="29" t="s">
        <v>2820</v>
      </c>
      <c r="B2058" s="29" t="s">
        <v>2819</v>
      </c>
      <c r="C2058" s="29" t="s">
        <v>560</v>
      </c>
      <c r="D2058" s="29" t="str">
        <f>VLOOKUP(C:C,'COUNT-CONT'!B:C,2,FALSE)</f>
        <v>Europe</v>
      </c>
      <c r="E2058" s="29">
        <v>5</v>
      </c>
      <c r="F2058" s="28">
        <v>2163</v>
      </c>
      <c r="G2058" s="28">
        <v>3593552935</v>
      </c>
      <c r="H2058" s="29">
        <v>10.1</v>
      </c>
      <c r="I2058" s="142">
        <v>-69.34</v>
      </c>
      <c r="J2058" s="29">
        <v>8.2200000000000006</v>
      </c>
      <c r="K2058" s="29">
        <v>8.2200000000000006</v>
      </c>
      <c r="L2058" s="29">
        <v>13.3</v>
      </c>
      <c r="M2058" s="368"/>
      <c r="N2058" s="368"/>
      <c r="O2058" s="271">
        <f>IFERROR(Table17[[#This Row],[PROFIT]]/Table17[[#This Row],[TO]],0)</f>
        <v>0</v>
      </c>
      <c r="P2058" s="177"/>
      <c r="Q2058" s="177"/>
      <c r="R2058" s="177"/>
    </row>
    <row r="2059" spans="1:18" ht="30" hidden="1" x14ac:dyDescent="0.25">
      <c r="A2059" s="29" t="s">
        <v>2321</v>
      </c>
      <c r="B2059" s="29" t="s">
        <v>2320</v>
      </c>
      <c r="C2059" s="29" t="s">
        <v>514</v>
      </c>
      <c r="D2059" s="29" t="str">
        <f>VLOOKUP(C:C,'COUNT-CONT'!B:C,2,FALSE)</f>
        <v>North America</v>
      </c>
      <c r="E2059" s="29">
        <v>9</v>
      </c>
      <c r="F2059" s="28">
        <v>3059</v>
      </c>
      <c r="G2059" s="28">
        <v>3190994638</v>
      </c>
      <c r="H2059" s="29">
        <v>10.1</v>
      </c>
      <c r="I2059" s="142">
        <v>-69.34</v>
      </c>
      <c r="J2059" s="29">
        <v>6.65</v>
      </c>
      <c r="K2059" s="29">
        <v>6.44</v>
      </c>
      <c r="L2059" s="29">
        <v>11.49</v>
      </c>
      <c r="M2059" s="368"/>
      <c r="N2059" s="368"/>
      <c r="O2059" s="271">
        <f>IFERROR(Table17[[#This Row],[PROFIT]]/Table17[[#This Row],[TO]],0)</f>
        <v>0</v>
      </c>
      <c r="P2059" s="177"/>
      <c r="Q2059" s="177"/>
      <c r="R2059" s="177"/>
    </row>
    <row r="2060" spans="1:18" x14ac:dyDescent="0.25">
      <c r="A2060" s="29" t="s">
        <v>1662</v>
      </c>
      <c r="B2060" s="29" t="s">
        <v>1661</v>
      </c>
      <c r="C2060" s="29" t="s">
        <v>730</v>
      </c>
      <c r="D2060" s="29" t="str">
        <f>VLOOKUP(C:C,'COUNT-CONT'!B:C,2,FALSE)</f>
        <v>Oceania</v>
      </c>
      <c r="E2060" s="29">
        <v>2</v>
      </c>
      <c r="F2060" s="28">
        <v>1316</v>
      </c>
      <c r="G2060" s="28">
        <v>3233066261</v>
      </c>
      <c r="H2060" s="29">
        <v>10.07</v>
      </c>
      <c r="I2060" s="142">
        <v>-69.37</v>
      </c>
      <c r="J2060" s="29">
        <v>4.75</v>
      </c>
      <c r="K2060" s="29">
        <v>4.17</v>
      </c>
      <c r="L2060" s="29">
        <v>9.52</v>
      </c>
      <c r="M2060" s="368"/>
      <c r="N2060" s="368"/>
      <c r="O2060" s="271">
        <f>IFERROR(Table17[[#This Row],[PROFIT]]/Table17[[#This Row],[TO]],0)</f>
        <v>0</v>
      </c>
      <c r="P2060" s="177"/>
      <c r="Q2060" s="177"/>
      <c r="R2060" s="177"/>
    </row>
    <row r="2061" spans="1:18" hidden="1" x14ac:dyDescent="0.25">
      <c r="A2061" s="29" t="s">
        <v>2309</v>
      </c>
      <c r="B2061" s="29" t="s">
        <v>2308</v>
      </c>
      <c r="C2061" s="29" t="s">
        <v>119</v>
      </c>
      <c r="D2061" s="29" t="str">
        <f>VLOOKUP(C:C,'COUNT-CONT'!B:C,2,FALSE)</f>
        <v>Europe</v>
      </c>
      <c r="E2061" s="29">
        <v>6</v>
      </c>
      <c r="F2061" s="28">
        <v>2509</v>
      </c>
      <c r="G2061" s="28">
        <v>3208621681</v>
      </c>
      <c r="H2061" s="29">
        <v>10.07</v>
      </c>
      <c r="I2061" s="142">
        <v>-69.37</v>
      </c>
      <c r="J2061" s="29">
        <v>6.62</v>
      </c>
      <c r="K2061" s="29">
        <v>6.41</v>
      </c>
      <c r="L2061" s="29">
        <v>11.46</v>
      </c>
      <c r="M2061" s="368"/>
      <c r="N2061" s="368"/>
      <c r="O2061" s="271">
        <f>IFERROR(Table17[[#This Row],[PROFIT]]/Table17[[#This Row],[TO]],0)</f>
        <v>0</v>
      </c>
      <c r="P2061" s="177"/>
      <c r="Q2061" s="177"/>
      <c r="R2061" s="177"/>
    </row>
    <row r="2062" spans="1:18" hidden="1" x14ac:dyDescent="0.25">
      <c r="A2062" s="29" t="s">
        <v>1205</v>
      </c>
      <c r="B2062" s="29" t="s">
        <v>1204</v>
      </c>
      <c r="C2062" s="29" t="s">
        <v>567</v>
      </c>
      <c r="D2062" s="29" t="str">
        <f>VLOOKUP(C:C,'COUNT-CONT'!B:C,2,FALSE)</f>
        <v>Asia</v>
      </c>
      <c r="E2062" s="29">
        <v>4</v>
      </c>
      <c r="F2062" s="28">
        <v>2002</v>
      </c>
      <c r="G2062" s="28">
        <v>2814050549</v>
      </c>
      <c r="H2062" s="29">
        <v>10.039999999999999</v>
      </c>
      <c r="I2062" s="142">
        <v>-69.400000000000006</v>
      </c>
      <c r="J2062" s="29">
        <v>3.6</v>
      </c>
      <c r="K2062" s="29">
        <v>2.96</v>
      </c>
      <c r="L2062" s="29">
        <v>8.2200000000000006</v>
      </c>
      <c r="M2062" s="368"/>
      <c r="N2062" s="368"/>
      <c r="O2062" s="271">
        <f>IFERROR(Table17[[#This Row],[PROFIT]]/Table17[[#This Row],[TO]],0)</f>
        <v>0</v>
      </c>
      <c r="P2062" s="177"/>
      <c r="Q2062" s="177"/>
      <c r="R2062" s="177"/>
    </row>
    <row r="2063" spans="1:18" ht="30" hidden="1" x14ac:dyDescent="0.25">
      <c r="A2063" s="29" t="s">
        <v>2802</v>
      </c>
      <c r="B2063" s="29" t="s">
        <v>2801</v>
      </c>
      <c r="C2063" s="29" t="s">
        <v>11732</v>
      </c>
      <c r="D2063" s="29" t="str">
        <f>VLOOKUP(C:C,'COUNT-CONT'!B:C,2,FALSE)</f>
        <v>North America</v>
      </c>
      <c r="E2063" s="29">
        <v>4</v>
      </c>
      <c r="F2063" s="28">
        <v>1993</v>
      </c>
      <c r="G2063" s="28">
        <v>3610431761</v>
      </c>
      <c r="H2063" s="29">
        <v>10.039999999999999</v>
      </c>
      <c r="I2063" s="142">
        <v>-69.400000000000006</v>
      </c>
      <c r="J2063" s="29">
        <v>8.19</v>
      </c>
      <c r="K2063" s="29">
        <v>8.19</v>
      </c>
      <c r="L2063" s="29">
        <v>13.21</v>
      </c>
      <c r="M2063" s="368"/>
      <c r="N2063" s="368"/>
      <c r="O2063" s="271">
        <f>IFERROR(Table17[[#This Row],[PROFIT]]/Table17[[#This Row],[TO]],0)</f>
        <v>0</v>
      </c>
      <c r="P2063" s="177"/>
      <c r="Q2063" s="177"/>
      <c r="R2063" s="177"/>
    </row>
    <row r="2064" spans="1:18" ht="30" hidden="1" x14ac:dyDescent="0.25">
      <c r="A2064" s="29" t="s">
        <v>2797</v>
      </c>
      <c r="B2064" s="29" t="s">
        <v>2796</v>
      </c>
      <c r="C2064" s="29" t="s">
        <v>11732</v>
      </c>
      <c r="D2064" s="29" t="str">
        <f>VLOOKUP(C:C,'COUNT-CONT'!B:C,2,FALSE)</f>
        <v>North America</v>
      </c>
      <c r="E2064" s="29">
        <v>4</v>
      </c>
      <c r="F2064" s="28">
        <v>1840</v>
      </c>
      <c r="G2064" s="28">
        <v>3639526086</v>
      </c>
      <c r="H2064" s="29">
        <v>10.039999999999999</v>
      </c>
      <c r="I2064" s="142">
        <v>-69.400000000000006</v>
      </c>
      <c r="J2064" s="29">
        <v>8.16</v>
      </c>
      <c r="K2064" s="29">
        <v>8.16</v>
      </c>
      <c r="L2064" s="29">
        <v>13.21</v>
      </c>
      <c r="M2064" s="368"/>
      <c r="N2064" s="368"/>
      <c r="O2064" s="271">
        <f>IFERROR(Table17[[#This Row],[PROFIT]]/Table17[[#This Row],[TO]],0)</f>
        <v>0</v>
      </c>
      <c r="P2064" s="177"/>
      <c r="Q2064" s="177"/>
      <c r="R2064" s="177"/>
    </row>
    <row r="2065" spans="1:18" ht="30" hidden="1" x14ac:dyDescent="0.25">
      <c r="A2065" s="29" t="s">
        <v>2150</v>
      </c>
      <c r="B2065" s="29" t="s">
        <v>2149</v>
      </c>
      <c r="C2065" s="29" t="s">
        <v>83</v>
      </c>
      <c r="D2065" s="29" t="str">
        <f>VLOOKUP(C:C,'COUNT-CONT'!B:C,2,FALSE)</f>
        <v>Europe</v>
      </c>
      <c r="E2065" s="29">
        <v>3</v>
      </c>
      <c r="F2065" s="28">
        <v>1557</v>
      </c>
      <c r="G2065" s="28">
        <v>3294986833</v>
      </c>
      <c r="H2065" s="29">
        <v>10.039999999999999</v>
      </c>
      <c r="I2065" s="142">
        <v>-69.400000000000006</v>
      </c>
      <c r="J2065" s="29">
        <v>6.11</v>
      </c>
      <c r="K2065" s="29">
        <v>5.65</v>
      </c>
      <c r="L2065" s="29">
        <v>10.91</v>
      </c>
      <c r="M2065" s="368"/>
      <c r="N2065" s="368"/>
      <c r="O2065" s="271">
        <f>IFERROR(Table17[[#This Row],[PROFIT]]/Table17[[#This Row],[TO]],0)</f>
        <v>0</v>
      </c>
      <c r="P2065" s="177"/>
      <c r="Q2065" s="177"/>
      <c r="R2065" s="177"/>
    </row>
    <row r="2066" spans="1:18" hidden="1" x14ac:dyDescent="0.25">
      <c r="A2066" s="29" t="s">
        <v>2804</v>
      </c>
      <c r="B2066" s="29" t="s">
        <v>2803</v>
      </c>
      <c r="C2066" s="29" t="s">
        <v>560</v>
      </c>
      <c r="D2066" s="29" t="str">
        <f>VLOOKUP(C:C,'COUNT-CONT'!B:C,2,FALSE)</f>
        <v>Europe</v>
      </c>
      <c r="E2066" s="29">
        <v>6</v>
      </c>
      <c r="F2066" s="28">
        <v>2425</v>
      </c>
      <c r="G2066" s="28">
        <v>3551808247</v>
      </c>
      <c r="H2066" s="29">
        <v>10.039999999999999</v>
      </c>
      <c r="I2066" s="142">
        <v>-69.400000000000006</v>
      </c>
      <c r="J2066" s="29">
        <v>8.16</v>
      </c>
      <c r="K2066" s="29">
        <v>8.16</v>
      </c>
      <c r="L2066" s="29">
        <v>13.21</v>
      </c>
      <c r="M2066" s="368"/>
      <c r="N2066" s="368"/>
      <c r="O2066" s="271">
        <f>IFERROR(Table17[[#This Row],[PROFIT]]/Table17[[#This Row],[TO]],0)</f>
        <v>0</v>
      </c>
      <c r="P2066" s="177"/>
      <c r="Q2066" s="177"/>
      <c r="R2066" s="177"/>
    </row>
    <row r="2067" spans="1:18" hidden="1" x14ac:dyDescent="0.25">
      <c r="A2067" s="29" t="s">
        <v>1987</v>
      </c>
      <c r="B2067" s="29" t="s">
        <v>1986</v>
      </c>
      <c r="C2067" s="29" t="s">
        <v>807</v>
      </c>
      <c r="D2067" s="29" t="str">
        <f>VLOOKUP(C:C,'COUNT-CONT'!B:C,2,FALSE)</f>
        <v>Europe</v>
      </c>
      <c r="E2067" s="29">
        <v>4</v>
      </c>
      <c r="F2067" s="28">
        <v>2005</v>
      </c>
      <c r="G2067" s="28">
        <v>3137628428</v>
      </c>
      <c r="H2067" s="29">
        <v>10.039999999999999</v>
      </c>
      <c r="I2067" s="142">
        <v>-69.400000000000006</v>
      </c>
      <c r="J2067" s="29">
        <v>5.62</v>
      </c>
      <c r="K2067" s="29">
        <v>5.41</v>
      </c>
      <c r="L2067" s="29">
        <v>10.46</v>
      </c>
      <c r="M2067" s="368"/>
      <c r="N2067" s="368"/>
      <c r="O2067" s="271">
        <f>IFERROR(Table17[[#This Row],[PROFIT]]/Table17[[#This Row],[TO]],0)</f>
        <v>0</v>
      </c>
      <c r="P2067" s="177"/>
      <c r="Q2067" s="177"/>
      <c r="R2067" s="177"/>
    </row>
    <row r="2068" spans="1:18" hidden="1" x14ac:dyDescent="0.25">
      <c r="A2068" s="29" t="s">
        <v>1910</v>
      </c>
      <c r="B2068" s="29" t="s">
        <v>1909</v>
      </c>
      <c r="C2068" s="29" t="s">
        <v>585</v>
      </c>
      <c r="D2068" s="29" t="str">
        <f>VLOOKUP(C:C,'COUNT-CONT'!B:C,2,FALSE)</f>
        <v>Europe</v>
      </c>
      <c r="E2068" s="29">
        <v>3</v>
      </c>
      <c r="F2068" s="28">
        <v>1714</v>
      </c>
      <c r="G2068" s="28">
        <v>3172973628</v>
      </c>
      <c r="H2068" s="29">
        <v>10.039999999999999</v>
      </c>
      <c r="I2068" s="142">
        <v>-69.400000000000006</v>
      </c>
      <c r="J2068" s="29">
        <v>5.53</v>
      </c>
      <c r="K2068" s="29">
        <v>5.1100000000000003</v>
      </c>
      <c r="L2068" s="29">
        <v>10.25</v>
      </c>
      <c r="M2068" s="368"/>
      <c r="N2068" s="368"/>
      <c r="O2068" s="271">
        <f>IFERROR(Table17[[#This Row],[PROFIT]]/Table17[[#This Row],[TO]],0)</f>
        <v>0</v>
      </c>
      <c r="P2068" s="177"/>
      <c r="Q2068" s="177"/>
      <c r="R2068" s="177"/>
    </row>
    <row r="2069" spans="1:18" hidden="1" x14ac:dyDescent="0.25">
      <c r="A2069" s="29" t="s">
        <v>1207</v>
      </c>
      <c r="B2069" s="29" t="s">
        <v>1206</v>
      </c>
      <c r="C2069" s="29" t="s">
        <v>567</v>
      </c>
      <c r="D2069" s="29" t="str">
        <f>VLOOKUP(C:C,'COUNT-CONT'!B:C,2,FALSE)</f>
        <v>Asia</v>
      </c>
      <c r="E2069" s="29">
        <v>4</v>
      </c>
      <c r="F2069" s="28">
        <v>2002</v>
      </c>
      <c r="G2069" s="28">
        <v>2814050549</v>
      </c>
      <c r="H2069" s="29">
        <v>10.039999999999999</v>
      </c>
      <c r="I2069" s="142">
        <v>-69.400000000000006</v>
      </c>
      <c r="J2069" s="29">
        <v>3.6</v>
      </c>
      <c r="K2069" s="29">
        <v>2.96</v>
      </c>
      <c r="L2069" s="29">
        <v>8.2200000000000006</v>
      </c>
      <c r="M2069" s="368"/>
      <c r="N2069" s="368"/>
      <c r="O2069" s="271">
        <f>IFERROR(Table17[[#This Row],[PROFIT]]/Table17[[#This Row],[TO]],0)</f>
        <v>0</v>
      </c>
      <c r="P2069" s="177"/>
      <c r="Q2069" s="177"/>
      <c r="R2069" s="177"/>
    </row>
    <row r="2070" spans="1:18" ht="30" hidden="1" x14ac:dyDescent="0.25">
      <c r="A2070" s="29" t="s">
        <v>970</v>
      </c>
      <c r="B2070" s="29" t="s">
        <v>969</v>
      </c>
      <c r="C2070" s="29" t="s">
        <v>714</v>
      </c>
      <c r="D2070" s="29" t="str">
        <f>VLOOKUP(C:C,'COUNT-CONT'!B:C,2,FALSE)</f>
        <v>South America</v>
      </c>
      <c r="E2070" s="29">
        <v>6</v>
      </c>
      <c r="F2070" s="28">
        <v>2502</v>
      </c>
      <c r="G2070" s="28">
        <v>2701048281</v>
      </c>
      <c r="H2070" s="29">
        <v>10.01</v>
      </c>
      <c r="I2070" s="142">
        <v>-69.429999999999993</v>
      </c>
      <c r="J2070" s="29">
        <v>3.02</v>
      </c>
      <c r="K2070" s="29">
        <v>2.27</v>
      </c>
      <c r="L2070" s="29">
        <v>7.59</v>
      </c>
      <c r="M2070" s="368"/>
      <c r="N2070" s="368"/>
      <c r="O2070" s="271">
        <f>IFERROR(Table17[[#This Row],[PROFIT]]/Table17[[#This Row],[TO]],0)</f>
        <v>0</v>
      </c>
      <c r="P2070" s="177"/>
      <c r="Q2070" s="177"/>
      <c r="R2070" s="177"/>
    </row>
    <row r="2071" spans="1:18" x14ac:dyDescent="0.25">
      <c r="A2071" s="29" t="s">
        <v>2056</v>
      </c>
      <c r="B2071" s="29" t="s">
        <v>2055</v>
      </c>
      <c r="C2071" s="29" t="s">
        <v>774</v>
      </c>
      <c r="D2071" s="29" t="str">
        <f>VLOOKUP(C:C,'COUNT-CONT'!B:C,2,FALSE)</f>
        <v>Oceania</v>
      </c>
      <c r="E2071" s="29">
        <v>2</v>
      </c>
      <c r="F2071" s="28">
        <v>1504</v>
      </c>
      <c r="G2071" s="28">
        <v>3297582978</v>
      </c>
      <c r="H2071" s="29">
        <v>10.01</v>
      </c>
      <c r="I2071" s="142">
        <v>-69.429999999999993</v>
      </c>
      <c r="J2071" s="29">
        <v>5.96</v>
      </c>
      <c r="K2071" s="29">
        <v>5.53</v>
      </c>
      <c r="L2071" s="29">
        <v>10.67</v>
      </c>
      <c r="M2071" s="368"/>
      <c r="N2071" s="368"/>
      <c r="O2071" s="271">
        <f>IFERROR(Table17[[#This Row],[PROFIT]]/Table17[[#This Row],[TO]],0)</f>
        <v>0</v>
      </c>
      <c r="P2071" s="177"/>
      <c r="Q2071" s="177"/>
      <c r="R2071" s="177"/>
    </row>
    <row r="2072" spans="1:18" hidden="1" x14ac:dyDescent="0.25">
      <c r="A2072" s="29" t="s">
        <v>853</v>
      </c>
      <c r="B2072" s="29" t="s">
        <v>852</v>
      </c>
      <c r="C2072" s="29" t="s">
        <v>608</v>
      </c>
      <c r="D2072" s="29" t="str">
        <f>VLOOKUP(C:C,'COUNT-CONT'!B:C,2,FALSE)</f>
        <v>Africa</v>
      </c>
      <c r="E2072" s="29">
        <v>9</v>
      </c>
      <c r="F2072" s="28">
        <v>3202</v>
      </c>
      <c r="G2072" s="28">
        <v>2554135290</v>
      </c>
      <c r="H2072" s="29">
        <v>10.01</v>
      </c>
      <c r="I2072" s="142">
        <v>-69.429999999999993</v>
      </c>
      <c r="J2072" s="29">
        <v>2.57</v>
      </c>
      <c r="K2072" s="29">
        <v>1.69</v>
      </c>
      <c r="L2072" s="29">
        <v>7.13</v>
      </c>
      <c r="M2072" s="368"/>
      <c r="N2072" s="368"/>
      <c r="O2072" s="271">
        <f>IFERROR(Table17[[#This Row],[PROFIT]]/Table17[[#This Row],[TO]],0)</f>
        <v>0</v>
      </c>
      <c r="P2072" s="177"/>
      <c r="Q2072" s="177"/>
      <c r="R2072" s="177"/>
    </row>
    <row r="2073" spans="1:18" hidden="1" x14ac:dyDescent="0.25">
      <c r="A2073" s="29" t="s">
        <v>2786</v>
      </c>
      <c r="B2073" s="29" t="s">
        <v>2785</v>
      </c>
      <c r="C2073" s="29" t="s">
        <v>560</v>
      </c>
      <c r="D2073" s="29" t="str">
        <f>VLOOKUP(C:C,'COUNT-CONT'!B:C,2,FALSE)</f>
        <v>Europe</v>
      </c>
      <c r="E2073" s="29">
        <v>6</v>
      </c>
      <c r="F2073" s="28">
        <v>2309</v>
      </c>
      <c r="G2073" s="28">
        <v>3557196708</v>
      </c>
      <c r="H2073" s="29">
        <v>9.98</v>
      </c>
      <c r="I2073" s="142">
        <v>-69.459999999999994</v>
      </c>
      <c r="J2073" s="29">
        <v>8.1300000000000008</v>
      </c>
      <c r="K2073" s="29">
        <v>8.1300000000000008</v>
      </c>
      <c r="L2073" s="29">
        <v>13.15</v>
      </c>
      <c r="M2073" s="368"/>
      <c r="N2073" s="368"/>
      <c r="O2073" s="271">
        <f>IFERROR(Table17[[#This Row],[PROFIT]]/Table17[[#This Row],[TO]],0)</f>
        <v>0</v>
      </c>
      <c r="P2073" s="177"/>
      <c r="Q2073" s="177"/>
      <c r="R2073" s="177"/>
    </row>
    <row r="2074" spans="1:18" ht="30" hidden="1" x14ac:dyDescent="0.25">
      <c r="A2074" s="29" t="s">
        <v>2790</v>
      </c>
      <c r="B2074" s="29" t="s">
        <v>2789</v>
      </c>
      <c r="C2074" s="29" t="s">
        <v>11732</v>
      </c>
      <c r="D2074" s="29" t="str">
        <f>VLOOKUP(C:C,'COUNT-CONT'!B:C,2,FALSE)</f>
        <v>North America</v>
      </c>
      <c r="E2074" s="29">
        <v>10</v>
      </c>
      <c r="F2074" s="28">
        <v>3792</v>
      </c>
      <c r="G2074" s="28">
        <v>3516184388</v>
      </c>
      <c r="H2074" s="29">
        <v>9.98</v>
      </c>
      <c r="I2074" s="142">
        <v>-69.459999999999994</v>
      </c>
      <c r="J2074" s="29">
        <v>8.1300000000000008</v>
      </c>
      <c r="K2074" s="29">
        <v>8.1300000000000008</v>
      </c>
      <c r="L2074" s="29">
        <v>13.15</v>
      </c>
      <c r="M2074" s="368"/>
      <c r="N2074" s="368"/>
      <c r="O2074" s="271">
        <f>IFERROR(Table17[[#This Row],[PROFIT]]/Table17[[#This Row],[TO]],0)</f>
        <v>0</v>
      </c>
      <c r="P2074" s="177"/>
      <c r="Q2074" s="177"/>
      <c r="R2074" s="177"/>
    </row>
    <row r="2075" spans="1:18" ht="30" hidden="1" x14ac:dyDescent="0.25">
      <c r="A2075" s="29" t="s">
        <v>2782</v>
      </c>
      <c r="B2075" s="29" t="s">
        <v>2781</v>
      </c>
      <c r="C2075" s="29" t="s">
        <v>11732</v>
      </c>
      <c r="D2075" s="29" t="str">
        <f>VLOOKUP(C:C,'COUNT-CONT'!B:C,2,FALSE)</f>
        <v>North America</v>
      </c>
      <c r="E2075" s="29">
        <v>5</v>
      </c>
      <c r="F2075" s="28">
        <v>2148</v>
      </c>
      <c r="G2075" s="28">
        <v>3578004283</v>
      </c>
      <c r="H2075" s="29">
        <v>9.98</v>
      </c>
      <c r="I2075" s="142">
        <v>-69.459999999999994</v>
      </c>
      <c r="J2075" s="29">
        <v>8.16</v>
      </c>
      <c r="K2075" s="29">
        <v>8.16</v>
      </c>
      <c r="L2075" s="29">
        <v>13.15</v>
      </c>
      <c r="M2075" s="368"/>
      <c r="N2075" s="368"/>
      <c r="O2075" s="271">
        <f>IFERROR(Table17[[#This Row],[PROFIT]]/Table17[[#This Row],[TO]],0)</f>
        <v>0</v>
      </c>
      <c r="P2075" s="177"/>
      <c r="Q2075" s="177"/>
      <c r="R2075" s="177"/>
    </row>
    <row r="2076" spans="1:18" hidden="1" x14ac:dyDescent="0.25">
      <c r="A2076" s="29" t="s">
        <v>2284</v>
      </c>
      <c r="B2076" s="29" t="s">
        <v>2283</v>
      </c>
      <c r="C2076" s="29" t="s">
        <v>119</v>
      </c>
      <c r="D2076" s="29" t="str">
        <f>VLOOKUP(C:C,'COUNT-CONT'!B:C,2,FALSE)</f>
        <v>Europe</v>
      </c>
      <c r="E2076" s="29">
        <v>6</v>
      </c>
      <c r="F2076" s="28">
        <v>2508</v>
      </c>
      <c r="G2076" s="28">
        <v>3197596491</v>
      </c>
      <c r="H2076" s="29">
        <v>9.98</v>
      </c>
      <c r="I2076" s="142">
        <v>-69.459999999999994</v>
      </c>
      <c r="J2076" s="29">
        <v>6.59</v>
      </c>
      <c r="K2076" s="29">
        <v>6.35</v>
      </c>
      <c r="L2076" s="29">
        <v>11.37</v>
      </c>
      <c r="M2076" s="368"/>
      <c r="N2076" s="368"/>
      <c r="O2076" s="271">
        <f>IFERROR(Table17[[#This Row],[PROFIT]]/Table17[[#This Row],[TO]],0)</f>
        <v>0</v>
      </c>
      <c r="P2076" s="177"/>
      <c r="Q2076" s="177"/>
      <c r="R2076" s="177"/>
    </row>
    <row r="2077" spans="1:18" hidden="1" x14ac:dyDescent="0.25">
      <c r="A2077" s="29" t="s">
        <v>2116</v>
      </c>
      <c r="B2077" s="29" t="s">
        <v>2115</v>
      </c>
      <c r="C2077" s="29" t="s">
        <v>308</v>
      </c>
      <c r="D2077" s="29" t="str">
        <f>VLOOKUP(C:C,'COUNT-CONT'!B:C,2,FALSE)</f>
        <v>Europe</v>
      </c>
      <c r="E2077" s="29">
        <v>2</v>
      </c>
      <c r="F2077" s="30"/>
      <c r="G2077" s="28">
        <v>3343333700</v>
      </c>
      <c r="H2077" s="29">
        <v>9.98</v>
      </c>
      <c r="I2077" s="142">
        <v>-69.459999999999994</v>
      </c>
      <c r="J2077" s="29">
        <v>6.08</v>
      </c>
      <c r="K2077" s="29">
        <v>5.83</v>
      </c>
      <c r="L2077" s="29">
        <v>10.85</v>
      </c>
      <c r="M2077" s="368"/>
      <c r="N2077" s="368"/>
      <c r="O2077" s="271">
        <f>IFERROR(Table17[[#This Row],[PROFIT]]/Table17[[#This Row],[TO]],0)</f>
        <v>0</v>
      </c>
      <c r="P2077" s="177"/>
      <c r="Q2077" s="177"/>
      <c r="R2077" s="177"/>
    </row>
    <row r="2078" spans="1:18" hidden="1" x14ac:dyDescent="0.25">
      <c r="A2078" s="29" t="s">
        <v>1090</v>
      </c>
      <c r="B2078" s="29" t="s">
        <v>1089</v>
      </c>
      <c r="C2078" s="29" t="s">
        <v>533</v>
      </c>
      <c r="D2078" s="29" t="str">
        <f>VLOOKUP(C:C,'COUNT-CONT'!B:C,2,FALSE)</f>
        <v>Asia</v>
      </c>
      <c r="E2078" s="29">
        <v>6</v>
      </c>
      <c r="F2078" s="28">
        <v>2402</v>
      </c>
      <c r="G2078" s="28">
        <v>2647551706</v>
      </c>
      <c r="H2078" s="29">
        <v>9.98</v>
      </c>
      <c r="I2078" s="142">
        <v>-69.459999999999994</v>
      </c>
      <c r="J2078" s="29">
        <v>3.33</v>
      </c>
      <c r="K2078" s="29">
        <v>2.54</v>
      </c>
      <c r="L2078" s="29">
        <v>7.92</v>
      </c>
      <c r="M2078" s="368"/>
      <c r="N2078" s="368"/>
      <c r="O2078" s="271">
        <f>IFERROR(Table17[[#This Row],[PROFIT]]/Table17[[#This Row],[TO]],0)</f>
        <v>0</v>
      </c>
      <c r="P2078" s="177"/>
      <c r="Q2078" s="177"/>
      <c r="R2078" s="177"/>
    </row>
    <row r="2079" spans="1:18" hidden="1" x14ac:dyDescent="0.25">
      <c r="A2079" s="29" t="s">
        <v>1878</v>
      </c>
      <c r="B2079" s="29" t="s">
        <v>1877</v>
      </c>
      <c r="C2079" s="29" t="s">
        <v>585</v>
      </c>
      <c r="D2079" s="29" t="str">
        <f>VLOOKUP(C:C,'COUNT-CONT'!B:C,2,FALSE)</f>
        <v>Europe</v>
      </c>
      <c r="E2079" s="29">
        <v>5</v>
      </c>
      <c r="F2079" s="28">
        <v>2220</v>
      </c>
      <c r="G2079" s="28">
        <v>3065995495</v>
      </c>
      <c r="H2079" s="29">
        <v>9.9499999999999993</v>
      </c>
      <c r="I2079" s="142">
        <v>-69.489999999999995</v>
      </c>
      <c r="J2079" s="29">
        <v>5.47</v>
      </c>
      <c r="K2079" s="29">
        <v>5.08</v>
      </c>
      <c r="L2079" s="29">
        <v>10.16</v>
      </c>
      <c r="M2079" s="368"/>
      <c r="N2079" s="368"/>
      <c r="O2079" s="271">
        <f>IFERROR(Table17[[#This Row],[PROFIT]]/Table17[[#This Row],[TO]],0)</f>
        <v>0</v>
      </c>
      <c r="P2079" s="177"/>
      <c r="Q2079" s="177"/>
      <c r="R2079" s="177"/>
    </row>
    <row r="2080" spans="1:18" hidden="1" x14ac:dyDescent="0.25">
      <c r="A2080" s="29" t="s">
        <v>1426</v>
      </c>
      <c r="B2080" s="29" t="s">
        <v>1425</v>
      </c>
      <c r="C2080" s="29" t="s">
        <v>605</v>
      </c>
      <c r="D2080" s="29" t="str">
        <f>VLOOKUP(C:C,'COUNT-CONT'!B:C,2,FALSE)</f>
        <v>Europe</v>
      </c>
      <c r="E2080" s="29">
        <v>2</v>
      </c>
      <c r="F2080" s="28">
        <v>1502</v>
      </c>
      <c r="G2080" s="28">
        <v>3094956857</v>
      </c>
      <c r="H2080" s="29">
        <v>9.9499999999999993</v>
      </c>
      <c r="I2080" s="142">
        <v>-69.489999999999995</v>
      </c>
      <c r="J2080" s="29">
        <v>4.26</v>
      </c>
      <c r="K2080" s="29">
        <v>3.72</v>
      </c>
      <c r="L2080" s="29">
        <v>8.89</v>
      </c>
      <c r="M2080" s="368"/>
      <c r="N2080" s="368"/>
      <c r="O2080" s="271">
        <f>IFERROR(Table17[[#This Row],[PROFIT]]/Table17[[#This Row],[TO]],0)</f>
        <v>0</v>
      </c>
      <c r="P2080" s="177"/>
      <c r="Q2080" s="177"/>
      <c r="R2080" s="177"/>
    </row>
    <row r="2081" spans="1:18" ht="30" hidden="1" x14ac:dyDescent="0.25">
      <c r="A2081" s="29" t="s">
        <v>1282</v>
      </c>
      <c r="B2081" s="29" t="s">
        <v>1281</v>
      </c>
      <c r="C2081" s="29" t="s">
        <v>860</v>
      </c>
      <c r="D2081" s="29" t="str">
        <f>VLOOKUP(C:C,'COUNT-CONT'!B:C,2,FALSE)</f>
        <v>South America</v>
      </c>
      <c r="E2081" s="29">
        <v>1</v>
      </c>
      <c r="F2081" s="28">
        <v>1157</v>
      </c>
      <c r="G2081" s="28">
        <v>3095934658</v>
      </c>
      <c r="H2081" s="29">
        <v>9.89</v>
      </c>
      <c r="I2081" s="142">
        <v>-69.55</v>
      </c>
      <c r="J2081" s="29">
        <v>3.9</v>
      </c>
      <c r="K2081" s="29">
        <v>3.23</v>
      </c>
      <c r="L2081" s="29">
        <v>8.52</v>
      </c>
      <c r="M2081" s="368"/>
      <c r="N2081" s="368"/>
      <c r="O2081" s="271">
        <f>IFERROR(Table17[[#This Row],[PROFIT]]/Table17[[#This Row],[TO]],0)</f>
        <v>0</v>
      </c>
      <c r="P2081" s="177"/>
      <c r="Q2081" s="177"/>
      <c r="R2081" s="177"/>
    </row>
    <row r="2082" spans="1:18" ht="30" hidden="1" x14ac:dyDescent="0.25">
      <c r="A2082" s="29" t="s">
        <v>2751</v>
      </c>
      <c r="B2082" s="29" t="s">
        <v>2750</v>
      </c>
      <c r="C2082" s="29" t="s">
        <v>11732</v>
      </c>
      <c r="D2082" s="29" t="str">
        <f>VLOOKUP(C:C,'COUNT-CONT'!B:C,2,FALSE)</f>
        <v>North America</v>
      </c>
      <c r="E2082" s="29">
        <v>3</v>
      </c>
      <c r="F2082" s="28">
        <v>1686</v>
      </c>
      <c r="G2082" s="28">
        <v>3651631791</v>
      </c>
      <c r="H2082" s="29">
        <v>9.89</v>
      </c>
      <c r="I2082" s="142">
        <v>-69.55</v>
      </c>
      <c r="J2082" s="29">
        <v>8.0399999999999991</v>
      </c>
      <c r="K2082" s="29">
        <v>8.0399999999999991</v>
      </c>
      <c r="L2082" s="29">
        <v>13</v>
      </c>
      <c r="M2082" s="368"/>
      <c r="N2082" s="368"/>
      <c r="O2082" s="271">
        <f>IFERROR(Table17[[#This Row],[PROFIT]]/Table17[[#This Row],[TO]],0)</f>
        <v>0</v>
      </c>
      <c r="P2082" s="177"/>
      <c r="Q2082" s="177"/>
      <c r="R2082" s="177"/>
    </row>
    <row r="2083" spans="1:18" ht="45" x14ac:dyDescent="0.25">
      <c r="A2083" s="29" t="s">
        <v>1933</v>
      </c>
      <c r="B2083" s="29" t="s">
        <v>1932</v>
      </c>
      <c r="C2083" s="29" t="s">
        <v>1931</v>
      </c>
      <c r="D2083" s="29" t="str">
        <f>VLOOKUP(C:C,'COUNT-CONT'!B:C,2,FALSE)</f>
        <v>Oceania</v>
      </c>
      <c r="E2083" s="29">
        <v>7</v>
      </c>
      <c r="F2083" s="28">
        <v>2627</v>
      </c>
      <c r="G2083" s="28">
        <v>2974028587</v>
      </c>
      <c r="H2083" s="29">
        <v>9.89</v>
      </c>
      <c r="I2083" s="142">
        <v>-69.55</v>
      </c>
      <c r="J2083" s="29">
        <v>5.56</v>
      </c>
      <c r="K2083" s="29">
        <v>5.14</v>
      </c>
      <c r="L2083" s="29">
        <v>10.31</v>
      </c>
      <c r="M2083" s="368"/>
      <c r="N2083" s="368"/>
      <c r="O2083" s="271">
        <f>IFERROR(Table17[[#This Row],[PROFIT]]/Table17[[#This Row],[TO]],0)</f>
        <v>0</v>
      </c>
      <c r="P2083" s="177"/>
      <c r="Q2083" s="177"/>
      <c r="R2083" s="177"/>
    </row>
    <row r="2084" spans="1:18" hidden="1" x14ac:dyDescent="0.25">
      <c r="A2084" s="29" t="s">
        <v>1242</v>
      </c>
      <c r="B2084" s="29" t="s">
        <v>1241</v>
      </c>
      <c r="C2084" s="29" t="s">
        <v>14</v>
      </c>
      <c r="D2084" s="29" t="str">
        <f>VLOOKUP(C:C,'COUNT-CONT'!B:C,2,FALSE)</f>
        <v>Asia</v>
      </c>
      <c r="E2084" s="29">
        <v>6</v>
      </c>
      <c r="F2084" s="28">
        <v>2402</v>
      </c>
      <c r="G2084" s="28">
        <v>2700351706</v>
      </c>
      <c r="H2084" s="29">
        <v>9.82</v>
      </c>
      <c r="I2084" s="142">
        <v>-69.62</v>
      </c>
      <c r="J2084" s="29">
        <v>3.81</v>
      </c>
      <c r="K2084" s="29">
        <v>3.14</v>
      </c>
      <c r="L2084" s="29">
        <v>8.31</v>
      </c>
      <c r="M2084" s="368"/>
      <c r="N2084" s="368"/>
      <c r="O2084" s="271">
        <f>IFERROR(Table17[[#This Row],[PROFIT]]/Table17[[#This Row],[TO]],0)</f>
        <v>0</v>
      </c>
      <c r="P2084" s="177"/>
      <c r="Q2084" s="177"/>
      <c r="R2084" s="177"/>
    </row>
    <row r="2085" spans="1:18" ht="30" x14ac:dyDescent="0.25">
      <c r="A2085" s="29" t="s">
        <v>1535</v>
      </c>
      <c r="B2085" s="29" t="s">
        <v>1534</v>
      </c>
      <c r="C2085" s="29" t="s">
        <v>662</v>
      </c>
      <c r="D2085" s="29" t="str">
        <f>VLOOKUP(C:C,'COUNT-CONT'!B:C,2,FALSE)</f>
        <v>Oceania</v>
      </c>
      <c r="E2085" s="29">
        <v>2</v>
      </c>
      <c r="F2085" s="28">
        <v>1452</v>
      </c>
      <c r="G2085" s="28">
        <v>3047975757</v>
      </c>
      <c r="H2085" s="29">
        <v>9.82</v>
      </c>
      <c r="I2085" s="142">
        <v>-69.62</v>
      </c>
      <c r="J2085" s="29">
        <v>4.8099999999999996</v>
      </c>
      <c r="K2085" s="29">
        <v>4.08</v>
      </c>
      <c r="L2085" s="29">
        <v>9.2799999999999994</v>
      </c>
      <c r="M2085" s="368"/>
      <c r="N2085" s="368"/>
      <c r="O2085" s="271">
        <f>IFERROR(Table17[[#This Row],[PROFIT]]/Table17[[#This Row],[TO]],0)</f>
        <v>0</v>
      </c>
      <c r="P2085" s="177"/>
      <c r="Q2085" s="177"/>
      <c r="R2085" s="177"/>
    </row>
    <row r="2086" spans="1:18" hidden="1" x14ac:dyDescent="0.25">
      <c r="A2086" s="29" t="s">
        <v>2724</v>
      </c>
      <c r="B2086" s="29" t="s">
        <v>2723</v>
      </c>
      <c r="C2086" s="29" t="s">
        <v>560</v>
      </c>
      <c r="D2086" s="29" t="str">
        <f>VLOOKUP(C:C,'COUNT-CONT'!B:C,2,FALSE)</f>
        <v>Europe</v>
      </c>
      <c r="E2086" s="29">
        <v>4</v>
      </c>
      <c r="F2086" s="28">
        <v>1908</v>
      </c>
      <c r="G2086" s="28">
        <v>3585319916</v>
      </c>
      <c r="H2086" s="29">
        <v>9.7899999999999991</v>
      </c>
      <c r="I2086" s="142">
        <v>-69.650000000000006</v>
      </c>
      <c r="J2086" s="29">
        <v>7.98</v>
      </c>
      <c r="K2086" s="29">
        <v>7.98</v>
      </c>
      <c r="L2086" s="29">
        <v>12.91</v>
      </c>
      <c r="M2086" s="368"/>
      <c r="N2086" s="368"/>
      <c r="O2086" s="271">
        <f>IFERROR(Table17[[#This Row],[PROFIT]]/Table17[[#This Row],[TO]],0)</f>
        <v>0</v>
      </c>
      <c r="P2086" s="177"/>
      <c r="Q2086" s="177"/>
      <c r="R2086" s="177"/>
    </row>
    <row r="2087" spans="1:18" ht="30" hidden="1" x14ac:dyDescent="0.25">
      <c r="A2087" s="29" t="s">
        <v>1265</v>
      </c>
      <c r="B2087" s="29" t="s">
        <v>1264</v>
      </c>
      <c r="C2087" s="29" t="s">
        <v>860</v>
      </c>
      <c r="D2087" s="29" t="str">
        <f>VLOOKUP(C:C,'COUNT-CONT'!B:C,2,FALSE)</f>
        <v>South America</v>
      </c>
      <c r="E2087" s="29">
        <v>4</v>
      </c>
      <c r="F2087" s="28">
        <v>1802</v>
      </c>
      <c r="G2087" s="28">
        <v>2810432852</v>
      </c>
      <c r="H2087" s="29">
        <v>9.7899999999999991</v>
      </c>
      <c r="I2087" s="142">
        <v>-69.650000000000006</v>
      </c>
      <c r="J2087" s="29">
        <v>3.87</v>
      </c>
      <c r="K2087" s="29">
        <v>3.2</v>
      </c>
      <c r="L2087" s="29">
        <v>8.4600000000000009</v>
      </c>
      <c r="M2087" s="368"/>
      <c r="N2087" s="368"/>
      <c r="O2087" s="271">
        <f>IFERROR(Table17[[#This Row],[PROFIT]]/Table17[[#This Row],[TO]],0)</f>
        <v>0</v>
      </c>
      <c r="P2087" s="177"/>
      <c r="Q2087" s="177"/>
      <c r="R2087" s="177"/>
    </row>
    <row r="2088" spans="1:18" ht="30" hidden="1" x14ac:dyDescent="0.25">
      <c r="A2088" s="29" t="s">
        <v>2735</v>
      </c>
      <c r="B2088" s="29" t="s">
        <v>2734</v>
      </c>
      <c r="C2088" s="29" t="s">
        <v>11732</v>
      </c>
      <c r="D2088" s="29" t="str">
        <f>VLOOKUP(C:C,'COUNT-CONT'!B:C,2,FALSE)</f>
        <v>North America</v>
      </c>
      <c r="E2088" s="29">
        <v>10</v>
      </c>
      <c r="F2088" s="28">
        <v>3470</v>
      </c>
      <c r="G2088" s="28">
        <v>3480902881</v>
      </c>
      <c r="H2088" s="29">
        <v>9.7899999999999991</v>
      </c>
      <c r="I2088" s="142">
        <v>-69.650000000000006</v>
      </c>
      <c r="J2088" s="29">
        <v>7.98</v>
      </c>
      <c r="K2088" s="29">
        <v>7.98</v>
      </c>
      <c r="L2088" s="29">
        <v>12.91</v>
      </c>
      <c r="M2088" s="368"/>
      <c r="N2088" s="368"/>
      <c r="O2088" s="271">
        <f>IFERROR(Table17[[#This Row],[PROFIT]]/Table17[[#This Row],[TO]],0)</f>
        <v>0</v>
      </c>
      <c r="P2088" s="177"/>
      <c r="Q2088" s="177"/>
      <c r="R2088" s="177"/>
    </row>
    <row r="2089" spans="1:18" ht="30" x14ac:dyDescent="0.25">
      <c r="A2089" s="29" t="s">
        <v>1526</v>
      </c>
      <c r="B2089" s="29" t="s">
        <v>1525</v>
      </c>
      <c r="C2089" s="29" t="s">
        <v>662</v>
      </c>
      <c r="D2089" s="29" t="str">
        <f>VLOOKUP(C:C,'COUNT-CONT'!B:C,2,FALSE)</f>
        <v>Oceania</v>
      </c>
      <c r="E2089" s="29">
        <v>2</v>
      </c>
      <c r="F2089" s="28">
        <v>1502</v>
      </c>
      <c r="G2089" s="28">
        <v>3022956857</v>
      </c>
      <c r="H2089" s="29">
        <v>9.7899999999999991</v>
      </c>
      <c r="I2089" s="142">
        <v>-69.650000000000006</v>
      </c>
      <c r="J2089" s="29">
        <v>4.8099999999999996</v>
      </c>
      <c r="K2089" s="29">
        <v>4.05</v>
      </c>
      <c r="L2089" s="29">
        <v>9.25</v>
      </c>
      <c r="M2089" s="368"/>
      <c r="N2089" s="368"/>
      <c r="O2089" s="271">
        <f>IFERROR(Table17[[#This Row],[PROFIT]]/Table17[[#This Row],[TO]],0)</f>
        <v>0</v>
      </c>
      <c r="P2089" s="177"/>
      <c r="Q2089" s="177"/>
      <c r="R2089" s="177"/>
    </row>
    <row r="2090" spans="1:18" ht="30" hidden="1" x14ac:dyDescent="0.25">
      <c r="A2090" s="29" t="s">
        <v>2722</v>
      </c>
      <c r="B2090" s="29" t="s">
        <v>2721</v>
      </c>
      <c r="C2090" s="29" t="s">
        <v>11732</v>
      </c>
      <c r="D2090" s="29" t="str">
        <f>VLOOKUP(C:C,'COUNT-CONT'!B:C,2,FALSE)</f>
        <v>North America</v>
      </c>
      <c r="E2090" s="29">
        <v>3</v>
      </c>
      <c r="F2090" s="28">
        <v>1529</v>
      </c>
      <c r="G2090" s="28">
        <v>3690724460</v>
      </c>
      <c r="H2090" s="29">
        <v>9.7899999999999991</v>
      </c>
      <c r="I2090" s="142">
        <v>-69.650000000000006</v>
      </c>
      <c r="J2090" s="29">
        <v>7.98</v>
      </c>
      <c r="K2090" s="29">
        <v>7.98</v>
      </c>
      <c r="L2090" s="29">
        <v>12.91</v>
      </c>
      <c r="M2090" s="368"/>
      <c r="N2090" s="368"/>
      <c r="O2090" s="271">
        <f>IFERROR(Table17[[#This Row],[PROFIT]]/Table17[[#This Row],[TO]],0)</f>
        <v>0</v>
      </c>
      <c r="P2090" s="177"/>
      <c r="Q2090" s="177"/>
      <c r="R2090" s="177"/>
    </row>
    <row r="2091" spans="1:18" ht="30" hidden="1" x14ac:dyDescent="0.25">
      <c r="A2091" s="29" t="s">
        <v>2219</v>
      </c>
      <c r="B2091" s="29" t="s">
        <v>2218</v>
      </c>
      <c r="C2091" s="29" t="s">
        <v>514</v>
      </c>
      <c r="D2091" s="29" t="str">
        <f>VLOOKUP(C:C,'COUNT-CONT'!B:C,2,FALSE)</f>
        <v>North America</v>
      </c>
      <c r="E2091" s="29">
        <v>2</v>
      </c>
      <c r="F2091" s="28">
        <v>1294</v>
      </c>
      <c r="G2091" s="28">
        <v>3459277279</v>
      </c>
      <c r="H2091" s="29">
        <v>9.7899999999999991</v>
      </c>
      <c r="I2091" s="142">
        <v>-69.650000000000006</v>
      </c>
      <c r="J2091" s="29">
        <v>6.47</v>
      </c>
      <c r="K2091" s="29">
        <v>6.23</v>
      </c>
      <c r="L2091" s="29">
        <v>11.15</v>
      </c>
      <c r="M2091" s="368"/>
      <c r="N2091" s="368"/>
      <c r="O2091" s="271">
        <f>IFERROR(Table17[[#This Row],[PROFIT]]/Table17[[#This Row],[TO]],0)</f>
        <v>0</v>
      </c>
      <c r="P2091" s="177"/>
      <c r="Q2091" s="177"/>
      <c r="R2091" s="177"/>
    </row>
    <row r="2092" spans="1:18" ht="30" hidden="1" x14ac:dyDescent="0.25">
      <c r="A2092" s="29" t="s">
        <v>917</v>
      </c>
      <c r="B2092" s="29" t="s">
        <v>916</v>
      </c>
      <c r="C2092" s="29" t="s">
        <v>714</v>
      </c>
      <c r="D2092" s="29" t="str">
        <f>VLOOKUP(C:C,'COUNT-CONT'!B:C,2,FALSE)</f>
        <v>South America</v>
      </c>
      <c r="E2092" s="29">
        <v>8</v>
      </c>
      <c r="F2092" s="28">
        <v>2812</v>
      </c>
      <c r="G2092" s="28">
        <v>2656380654</v>
      </c>
      <c r="H2092" s="29">
        <v>9.76</v>
      </c>
      <c r="I2092" s="142">
        <v>-69.679999999999993</v>
      </c>
      <c r="J2092" s="29">
        <v>2.96</v>
      </c>
      <c r="K2092" s="29">
        <v>2.21</v>
      </c>
      <c r="L2092" s="29">
        <v>7.41</v>
      </c>
      <c r="M2092" s="368"/>
      <c r="N2092" s="368"/>
      <c r="O2092" s="271">
        <f>IFERROR(Table17[[#This Row],[PROFIT]]/Table17[[#This Row],[TO]],0)</f>
        <v>0</v>
      </c>
      <c r="P2092" s="177"/>
      <c r="Q2092" s="177"/>
      <c r="R2092" s="177"/>
    </row>
    <row r="2093" spans="1:18" ht="30" hidden="1" x14ac:dyDescent="0.25">
      <c r="A2093" s="29" t="s">
        <v>2048</v>
      </c>
      <c r="B2093" s="29" t="s">
        <v>2047</v>
      </c>
      <c r="C2093" s="29" t="s">
        <v>1946</v>
      </c>
      <c r="D2093" s="29" t="str">
        <f>VLOOKUP(C:C,'COUNT-CONT'!B:C,2,FALSE)</f>
        <v>North America</v>
      </c>
      <c r="E2093" s="29">
        <v>3</v>
      </c>
      <c r="F2093" s="28">
        <v>1625</v>
      </c>
      <c r="G2093" s="28">
        <v>3252023076</v>
      </c>
      <c r="H2093" s="29">
        <v>9.76</v>
      </c>
      <c r="I2093" s="142">
        <v>-69.679999999999993</v>
      </c>
      <c r="J2093" s="29">
        <v>5.96</v>
      </c>
      <c r="K2093" s="29">
        <v>5.74</v>
      </c>
      <c r="L2093" s="29">
        <v>10.64</v>
      </c>
      <c r="M2093" s="368"/>
      <c r="N2093" s="368"/>
      <c r="O2093" s="271">
        <f>IFERROR(Table17[[#This Row],[PROFIT]]/Table17[[#This Row],[TO]],0)</f>
        <v>0</v>
      </c>
      <c r="P2093" s="177"/>
      <c r="Q2093" s="177"/>
      <c r="R2093" s="177"/>
    </row>
    <row r="2094" spans="1:18" ht="30" hidden="1" x14ac:dyDescent="0.25">
      <c r="A2094" s="29" t="s">
        <v>2718</v>
      </c>
      <c r="B2094" s="29" t="s">
        <v>2717</v>
      </c>
      <c r="C2094" s="29" t="s">
        <v>11732</v>
      </c>
      <c r="D2094" s="29" t="str">
        <f>VLOOKUP(C:C,'COUNT-CONT'!B:C,2,FALSE)</f>
        <v>North America</v>
      </c>
      <c r="E2094" s="29">
        <v>6</v>
      </c>
      <c r="F2094" s="28">
        <v>2314</v>
      </c>
      <c r="G2094" s="28">
        <v>3519467329</v>
      </c>
      <c r="H2094" s="29">
        <v>9.76</v>
      </c>
      <c r="I2094" s="142">
        <v>-69.679999999999993</v>
      </c>
      <c r="J2094" s="29">
        <v>7.98</v>
      </c>
      <c r="K2094" s="29">
        <v>7.98</v>
      </c>
      <c r="L2094" s="29">
        <v>12.88</v>
      </c>
      <c r="M2094" s="368"/>
      <c r="N2094" s="368"/>
      <c r="O2094" s="271">
        <f>IFERROR(Table17[[#This Row],[PROFIT]]/Table17[[#This Row],[TO]],0)</f>
        <v>0</v>
      </c>
      <c r="P2094" s="177"/>
      <c r="Q2094" s="177"/>
      <c r="R2094" s="177"/>
    </row>
    <row r="2095" spans="1:18" ht="30" hidden="1" x14ac:dyDescent="0.25">
      <c r="A2095" s="29" t="s">
        <v>2209</v>
      </c>
      <c r="B2095" s="29" t="s">
        <v>2208</v>
      </c>
      <c r="C2095" s="29" t="s">
        <v>514</v>
      </c>
      <c r="D2095" s="29" t="str">
        <f>VLOOKUP(C:C,'COUNT-CONT'!B:C,2,FALSE)</f>
        <v>North America</v>
      </c>
      <c r="E2095" s="29">
        <v>1</v>
      </c>
      <c r="F2095" s="28">
        <v>1070</v>
      </c>
      <c r="G2095" s="28">
        <v>3611737383</v>
      </c>
      <c r="H2095" s="29">
        <v>9.76</v>
      </c>
      <c r="I2095" s="142">
        <v>-69.679999999999993</v>
      </c>
      <c r="J2095" s="29">
        <v>6.44</v>
      </c>
      <c r="K2095" s="29">
        <v>6.23</v>
      </c>
      <c r="L2095" s="29">
        <v>11.12</v>
      </c>
      <c r="M2095" s="368"/>
      <c r="N2095" s="368"/>
      <c r="O2095" s="271">
        <f>IFERROR(Table17[[#This Row],[PROFIT]]/Table17[[#This Row],[TO]],0)</f>
        <v>0</v>
      </c>
      <c r="P2095" s="177"/>
      <c r="Q2095" s="177"/>
      <c r="R2095" s="177"/>
    </row>
    <row r="2096" spans="1:18" ht="30" hidden="1" x14ac:dyDescent="0.25">
      <c r="A2096" s="29" t="s">
        <v>2217</v>
      </c>
      <c r="B2096" s="29" t="s">
        <v>2216</v>
      </c>
      <c r="C2096" s="29" t="s">
        <v>514</v>
      </c>
      <c r="D2096" s="29" t="str">
        <f>VLOOKUP(C:C,'COUNT-CONT'!B:C,2,FALSE)</f>
        <v>North America</v>
      </c>
      <c r="E2096" s="29">
        <v>3</v>
      </c>
      <c r="F2096" s="28">
        <v>1681</v>
      </c>
      <c r="G2096" s="28">
        <v>3298972397</v>
      </c>
      <c r="H2096" s="29">
        <v>9.76</v>
      </c>
      <c r="I2096" s="142">
        <v>-69.679999999999993</v>
      </c>
      <c r="J2096" s="29">
        <v>6.44</v>
      </c>
      <c r="K2096" s="29">
        <v>6.23</v>
      </c>
      <c r="L2096" s="29">
        <v>11.12</v>
      </c>
      <c r="M2096" s="368"/>
      <c r="N2096" s="368"/>
      <c r="O2096" s="271">
        <f>IFERROR(Table17[[#This Row],[PROFIT]]/Table17[[#This Row],[TO]],0)</f>
        <v>0</v>
      </c>
      <c r="P2096" s="177"/>
      <c r="Q2096" s="177"/>
      <c r="R2096" s="177"/>
    </row>
    <row r="2097" spans="1:18" hidden="1" x14ac:dyDescent="0.25">
      <c r="A2097" s="29" t="s">
        <v>2013</v>
      </c>
      <c r="B2097" s="29" t="s">
        <v>2012</v>
      </c>
      <c r="C2097" s="29" t="s">
        <v>1427</v>
      </c>
      <c r="D2097" s="29" t="str">
        <f>VLOOKUP(C:C,'COUNT-CONT'!B:C,2,FALSE)</f>
        <v>Europe</v>
      </c>
      <c r="E2097" s="29">
        <v>2</v>
      </c>
      <c r="F2097" s="28">
        <v>1303</v>
      </c>
      <c r="G2097" s="28">
        <v>3364205679</v>
      </c>
      <c r="H2097" s="29">
        <v>9.73</v>
      </c>
      <c r="I2097" s="142">
        <v>-69.709999999999994</v>
      </c>
      <c r="J2097" s="29">
        <v>5.93</v>
      </c>
      <c r="K2097" s="29">
        <v>5.5</v>
      </c>
      <c r="L2097" s="29">
        <v>10.58</v>
      </c>
      <c r="M2097" s="368"/>
      <c r="N2097" s="368"/>
      <c r="O2097" s="271">
        <f>IFERROR(Table17[[#This Row],[PROFIT]]/Table17[[#This Row],[TO]],0)</f>
        <v>0</v>
      </c>
      <c r="P2097" s="177"/>
      <c r="Q2097" s="177"/>
      <c r="R2097" s="177"/>
    </row>
    <row r="2098" spans="1:18" ht="30" hidden="1" x14ac:dyDescent="0.25">
      <c r="A2098" s="29" t="s">
        <v>2708</v>
      </c>
      <c r="B2098" s="29" t="s">
        <v>2707</v>
      </c>
      <c r="C2098" s="29" t="s">
        <v>11732</v>
      </c>
      <c r="D2098" s="29" t="str">
        <f>VLOOKUP(C:C,'COUNT-CONT'!B:C,2,FALSE)</f>
        <v>North America</v>
      </c>
      <c r="E2098" s="29">
        <v>5</v>
      </c>
      <c r="F2098" s="28">
        <v>2145</v>
      </c>
      <c r="G2098" s="28">
        <v>3532120512</v>
      </c>
      <c r="H2098" s="29">
        <v>9.73</v>
      </c>
      <c r="I2098" s="142">
        <v>-69.709999999999994</v>
      </c>
      <c r="J2098" s="29">
        <v>7.92</v>
      </c>
      <c r="K2098" s="29">
        <v>7.92</v>
      </c>
      <c r="L2098" s="29">
        <v>12.82</v>
      </c>
      <c r="M2098" s="368"/>
      <c r="N2098" s="368"/>
      <c r="O2098" s="271">
        <f>IFERROR(Table17[[#This Row],[PROFIT]]/Table17[[#This Row],[TO]],0)</f>
        <v>0</v>
      </c>
      <c r="P2098" s="177"/>
      <c r="Q2098" s="177"/>
      <c r="R2098" s="177"/>
    </row>
    <row r="2099" spans="1:18" hidden="1" x14ac:dyDescent="0.25">
      <c r="A2099" s="29" t="s">
        <v>1100</v>
      </c>
      <c r="B2099" s="29" t="s">
        <v>1099</v>
      </c>
      <c r="C2099" s="29" t="s">
        <v>717</v>
      </c>
      <c r="D2099" s="29" t="str">
        <f>VLOOKUP(C:C,'COUNT-CONT'!B:C,2,FALSE)</f>
        <v>Asia</v>
      </c>
      <c r="E2099" s="29">
        <v>2</v>
      </c>
      <c r="F2099" s="28">
        <v>1271</v>
      </c>
      <c r="G2099" s="28">
        <v>2948460267</v>
      </c>
      <c r="H2099" s="29">
        <v>9.73</v>
      </c>
      <c r="I2099" s="142">
        <v>-69.709999999999994</v>
      </c>
      <c r="J2099" s="29">
        <v>3.51</v>
      </c>
      <c r="K2099" s="29">
        <v>2.87</v>
      </c>
      <c r="L2099" s="29">
        <v>7.98</v>
      </c>
      <c r="M2099" s="368"/>
      <c r="N2099" s="368"/>
      <c r="O2099" s="271">
        <f>IFERROR(Table17[[#This Row],[PROFIT]]/Table17[[#This Row],[TO]],0)</f>
        <v>0</v>
      </c>
      <c r="P2099" s="177"/>
      <c r="Q2099" s="177"/>
      <c r="R2099" s="177"/>
    </row>
    <row r="2100" spans="1:18" x14ac:dyDescent="0.25">
      <c r="A2100" s="29" t="s">
        <v>1956</v>
      </c>
      <c r="B2100" s="29" t="s">
        <v>1955</v>
      </c>
      <c r="C2100" s="29" t="s">
        <v>774</v>
      </c>
      <c r="D2100" s="29" t="str">
        <f>VLOOKUP(C:C,'COUNT-CONT'!B:C,2,FALSE)</f>
        <v>Oceania</v>
      </c>
      <c r="E2100" s="29">
        <v>3</v>
      </c>
      <c r="F2100" s="28">
        <v>1525</v>
      </c>
      <c r="G2100" s="28">
        <v>3249911475</v>
      </c>
      <c r="H2100" s="29">
        <v>9.73</v>
      </c>
      <c r="I2100" s="142">
        <v>-69.709999999999994</v>
      </c>
      <c r="J2100" s="29">
        <v>5.8</v>
      </c>
      <c r="K2100" s="29">
        <v>5.38</v>
      </c>
      <c r="L2100" s="29">
        <v>10.37</v>
      </c>
      <c r="M2100" s="368"/>
      <c r="N2100" s="368"/>
      <c r="O2100" s="271">
        <f>IFERROR(Table17[[#This Row],[PROFIT]]/Table17[[#This Row],[TO]],0)</f>
        <v>0</v>
      </c>
      <c r="P2100" s="177"/>
      <c r="Q2100" s="177"/>
      <c r="R2100" s="177"/>
    </row>
    <row r="2101" spans="1:18" hidden="1" x14ac:dyDescent="0.25">
      <c r="A2101" s="29" t="s">
        <v>1374</v>
      </c>
      <c r="B2101" s="29" t="s">
        <v>1373</v>
      </c>
      <c r="C2101" s="29" t="s">
        <v>659</v>
      </c>
      <c r="D2101" s="29" t="str">
        <f>VLOOKUP(C:C,'COUNT-CONT'!B:C,2,FALSE)</f>
        <v>Europe</v>
      </c>
      <c r="E2101" s="29">
        <v>6</v>
      </c>
      <c r="F2101" s="28">
        <v>2413</v>
      </c>
      <c r="G2101" s="28">
        <v>2763864069</v>
      </c>
      <c r="H2101" s="29">
        <v>9.73</v>
      </c>
      <c r="I2101" s="142">
        <v>-69.709999999999994</v>
      </c>
      <c r="J2101" s="29">
        <v>4.17</v>
      </c>
      <c r="K2101" s="29">
        <v>3.48</v>
      </c>
      <c r="L2101" s="29">
        <v>8.7100000000000009</v>
      </c>
      <c r="M2101" s="368"/>
      <c r="N2101" s="368"/>
      <c r="O2101" s="271">
        <f>IFERROR(Table17[[#This Row],[PROFIT]]/Table17[[#This Row],[TO]],0)</f>
        <v>0</v>
      </c>
      <c r="P2101" s="177"/>
      <c r="Q2101" s="177"/>
      <c r="R2101" s="177"/>
    </row>
    <row r="2102" spans="1:18" ht="30" hidden="1" x14ac:dyDescent="0.25">
      <c r="A2102" s="29" t="s">
        <v>2199</v>
      </c>
      <c r="B2102" s="29" t="s">
        <v>2198</v>
      </c>
      <c r="C2102" s="29" t="s">
        <v>514</v>
      </c>
      <c r="D2102" s="29" t="str">
        <f>VLOOKUP(C:C,'COUNT-CONT'!B:C,2,FALSE)</f>
        <v>North America</v>
      </c>
      <c r="E2102" s="29">
        <v>2</v>
      </c>
      <c r="F2102" s="28">
        <v>1376</v>
      </c>
      <c r="G2102" s="28">
        <v>3407218604</v>
      </c>
      <c r="H2102" s="29">
        <v>9.73</v>
      </c>
      <c r="I2102" s="142">
        <v>-69.709999999999994</v>
      </c>
      <c r="J2102" s="29">
        <v>6.41</v>
      </c>
      <c r="K2102" s="29">
        <v>6.2</v>
      </c>
      <c r="L2102" s="29">
        <v>11.06</v>
      </c>
      <c r="M2102" s="368"/>
      <c r="N2102" s="368"/>
      <c r="O2102" s="271">
        <f>IFERROR(Table17[[#This Row],[PROFIT]]/Table17[[#This Row],[TO]],0)</f>
        <v>0</v>
      </c>
      <c r="P2102" s="177"/>
      <c r="Q2102" s="177"/>
      <c r="R2102" s="177"/>
    </row>
    <row r="2103" spans="1:18" ht="30" hidden="1" x14ac:dyDescent="0.25">
      <c r="A2103" s="29" t="s">
        <v>1728</v>
      </c>
      <c r="B2103" s="29" t="s">
        <v>1727</v>
      </c>
      <c r="C2103" s="29" t="s">
        <v>13119</v>
      </c>
      <c r="D2103" s="29" t="str">
        <f>VLOOKUP(C:C,'COUNT-CONT'!B:C,2,FALSE)</f>
        <v>North America</v>
      </c>
      <c r="E2103" s="29">
        <v>1</v>
      </c>
      <c r="F2103" s="28">
        <v>1239</v>
      </c>
      <c r="G2103" s="28">
        <v>3197912752</v>
      </c>
      <c r="H2103" s="29">
        <v>9.6999999999999993</v>
      </c>
      <c r="I2103" s="142">
        <v>-69.739999999999995</v>
      </c>
      <c r="J2103" s="29">
        <v>5.23</v>
      </c>
      <c r="K2103" s="29">
        <v>4.66</v>
      </c>
      <c r="L2103" s="29">
        <v>9.6999999999999993</v>
      </c>
      <c r="M2103" s="368"/>
      <c r="N2103" s="368"/>
      <c r="O2103" s="271">
        <f>IFERROR(Table17[[#This Row],[PROFIT]]/Table17[[#This Row],[TO]],0)</f>
        <v>0</v>
      </c>
      <c r="P2103" s="177"/>
      <c r="Q2103" s="177"/>
      <c r="R2103" s="177"/>
    </row>
    <row r="2104" spans="1:18" hidden="1" x14ac:dyDescent="0.25">
      <c r="A2104" s="29" t="s">
        <v>1209</v>
      </c>
      <c r="B2104" s="29" t="s">
        <v>1208</v>
      </c>
      <c r="C2104" s="29" t="s">
        <v>14</v>
      </c>
      <c r="D2104" s="29" t="str">
        <f>VLOOKUP(C:C,'COUNT-CONT'!B:C,2,FALSE)</f>
        <v>Asia</v>
      </c>
      <c r="E2104" s="29">
        <v>5</v>
      </c>
      <c r="F2104" s="28">
        <v>2252</v>
      </c>
      <c r="G2104" s="28">
        <v>2703054706</v>
      </c>
      <c r="H2104" s="29">
        <v>9.6999999999999993</v>
      </c>
      <c r="I2104" s="142">
        <v>-69.739999999999995</v>
      </c>
      <c r="J2104" s="29">
        <v>3.78</v>
      </c>
      <c r="K2104" s="29">
        <v>3.11</v>
      </c>
      <c r="L2104" s="29">
        <v>8.2200000000000006</v>
      </c>
      <c r="M2104" s="368"/>
      <c r="N2104" s="368"/>
      <c r="O2104" s="271">
        <f>IFERROR(Table17[[#This Row],[PROFIT]]/Table17[[#This Row],[TO]],0)</f>
        <v>0</v>
      </c>
      <c r="P2104" s="177"/>
      <c r="Q2104" s="177"/>
      <c r="R2104" s="177"/>
    </row>
    <row r="2105" spans="1:18" ht="30" hidden="1" x14ac:dyDescent="0.25">
      <c r="A2105" s="29" t="s">
        <v>2183</v>
      </c>
      <c r="B2105" s="29" t="s">
        <v>2182</v>
      </c>
      <c r="C2105" s="29" t="s">
        <v>514</v>
      </c>
      <c r="D2105" s="29" t="str">
        <f>VLOOKUP(C:C,'COUNT-CONT'!B:C,2,FALSE)</f>
        <v>North America</v>
      </c>
      <c r="E2105" s="29">
        <v>1</v>
      </c>
      <c r="F2105" s="28">
        <v>1070</v>
      </c>
      <c r="G2105" s="28">
        <v>3598937383</v>
      </c>
      <c r="H2105" s="29">
        <v>9.6999999999999993</v>
      </c>
      <c r="I2105" s="142">
        <v>-69.739999999999995</v>
      </c>
      <c r="J2105" s="29">
        <v>6.38</v>
      </c>
      <c r="K2105" s="29">
        <v>6.17</v>
      </c>
      <c r="L2105" s="29">
        <v>11.03</v>
      </c>
      <c r="M2105" s="368"/>
      <c r="N2105" s="368"/>
      <c r="O2105" s="271">
        <f>IFERROR(Table17[[#This Row],[PROFIT]]/Table17[[#This Row],[TO]],0)</f>
        <v>0</v>
      </c>
      <c r="P2105" s="177"/>
      <c r="Q2105" s="177"/>
      <c r="R2105" s="177"/>
    </row>
    <row r="2106" spans="1:18" ht="30" hidden="1" x14ac:dyDescent="0.25">
      <c r="A2106" s="29" t="s">
        <v>2193</v>
      </c>
      <c r="B2106" s="29" t="s">
        <v>2192</v>
      </c>
      <c r="C2106" s="29" t="s">
        <v>514</v>
      </c>
      <c r="D2106" s="29" t="str">
        <f>VLOOKUP(C:C,'COUNT-CONT'!B:C,2,FALSE)</f>
        <v>North America</v>
      </c>
      <c r="E2106" s="29">
        <v>5</v>
      </c>
      <c r="F2106" s="28">
        <v>2140</v>
      </c>
      <c r="G2106" s="28">
        <v>3194818691</v>
      </c>
      <c r="H2106" s="29">
        <v>9.6999999999999993</v>
      </c>
      <c r="I2106" s="142">
        <v>-69.739999999999995</v>
      </c>
      <c r="J2106" s="29">
        <v>6.38</v>
      </c>
      <c r="K2106" s="29">
        <v>6.17</v>
      </c>
      <c r="L2106" s="29">
        <v>11.03</v>
      </c>
      <c r="M2106" s="368"/>
      <c r="N2106" s="368"/>
      <c r="O2106" s="271">
        <f>IFERROR(Table17[[#This Row],[PROFIT]]/Table17[[#This Row],[TO]],0)</f>
        <v>0</v>
      </c>
      <c r="P2106" s="177"/>
      <c r="Q2106" s="177"/>
      <c r="R2106" s="177"/>
    </row>
    <row r="2107" spans="1:18" x14ac:dyDescent="0.25">
      <c r="A2107" s="29" t="s">
        <v>1937</v>
      </c>
      <c r="B2107" s="29" t="s">
        <v>1936</v>
      </c>
      <c r="C2107" s="29" t="s">
        <v>774</v>
      </c>
      <c r="D2107" s="29" t="str">
        <f>VLOOKUP(C:C,'COUNT-CONT'!B:C,2,FALSE)</f>
        <v>Oceania</v>
      </c>
      <c r="E2107" s="29">
        <v>9</v>
      </c>
      <c r="F2107" s="28">
        <v>3053</v>
      </c>
      <c r="G2107" s="28">
        <v>3035001342</v>
      </c>
      <c r="H2107" s="29">
        <v>9.67</v>
      </c>
      <c r="I2107" s="142">
        <v>-69.77</v>
      </c>
      <c r="J2107" s="29">
        <v>5.74</v>
      </c>
      <c r="K2107" s="29">
        <v>5.35</v>
      </c>
      <c r="L2107" s="29">
        <v>10.31</v>
      </c>
      <c r="M2107" s="368"/>
      <c r="N2107" s="368"/>
      <c r="O2107" s="271">
        <f>IFERROR(Table17[[#This Row],[PROFIT]]/Table17[[#This Row],[TO]],0)</f>
        <v>0</v>
      </c>
      <c r="P2107" s="177"/>
      <c r="Q2107" s="177"/>
      <c r="R2107" s="177"/>
    </row>
    <row r="2108" spans="1:18" hidden="1" x14ac:dyDescent="0.25">
      <c r="A2108" s="29" t="s">
        <v>1080</v>
      </c>
      <c r="B2108" s="29" t="s">
        <v>1079</v>
      </c>
      <c r="C2108" s="29" t="s">
        <v>567</v>
      </c>
      <c r="D2108" s="29" t="str">
        <f>VLOOKUP(C:C,'COUNT-CONT'!B:C,2,FALSE)</f>
        <v>Asia</v>
      </c>
      <c r="E2108" s="29">
        <v>3</v>
      </c>
      <c r="F2108" s="28">
        <v>1727</v>
      </c>
      <c r="G2108" s="28">
        <v>2834142675</v>
      </c>
      <c r="H2108" s="29">
        <v>9.67</v>
      </c>
      <c r="I2108" s="142">
        <v>-69.77</v>
      </c>
      <c r="J2108" s="29">
        <v>3.48</v>
      </c>
      <c r="K2108" s="29">
        <v>2.84</v>
      </c>
      <c r="L2108" s="29">
        <v>7.92</v>
      </c>
      <c r="M2108" s="368"/>
      <c r="N2108" s="368"/>
      <c r="O2108" s="271">
        <f>IFERROR(Table17[[#This Row],[PROFIT]]/Table17[[#This Row],[TO]],0)</f>
        <v>0</v>
      </c>
      <c r="P2108" s="177"/>
      <c r="Q2108" s="177"/>
      <c r="R2108" s="177"/>
    </row>
    <row r="2109" spans="1:18" ht="30" hidden="1" x14ac:dyDescent="0.25">
      <c r="A2109" s="29" t="s">
        <v>2001</v>
      </c>
      <c r="B2109" s="29" t="s">
        <v>2000</v>
      </c>
      <c r="C2109" s="29" t="s">
        <v>83</v>
      </c>
      <c r="D2109" s="29" t="str">
        <f>VLOOKUP(C:C,'COUNT-CONT'!B:C,2,FALSE)</f>
        <v>Europe</v>
      </c>
      <c r="E2109" s="29">
        <v>3</v>
      </c>
      <c r="F2109" s="28">
        <v>1609</v>
      </c>
      <c r="G2109" s="28">
        <v>3226154443</v>
      </c>
      <c r="H2109" s="29">
        <v>9.67</v>
      </c>
      <c r="I2109" s="142">
        <v>-69.77</v>
      </c>
      <c r="J2109" s="29">
        <v>5.86</v>
      </c>
      <c r="K2109" s="29">
        <v>5.44</v>
      </c>
      <c r="L2109" s="29">
        <v>10.52</v>
      </c>
      <c r="M2109" s="368"/>
      <c r="N2109" s="368"/>
      <c r="O2109" s="271">
        <f>IFERROR(Table17[[#This Row],[PROFIT]]/Table17[[#This Row],[TO]],0)</f>
        <v>0</v>
      </c>
      <c r="P2109" s="177"/>
      <c r="Q2109" s="177"/>
      <c r="R2109" s="177"/>
    </row>
    <row r="2110" spans="1:18" hidden="1" x14ac:dyDescent="0.25">
      <c r="A2110" s="29" t="s">
        <v>1078</v>
      </c>
      <c r="B2110" s="29" t="s">
        <v>1077</v>
      </c>
      <c r="C2110" s="29" t="s">
        <v>717</v>
      </c>
      <c r="D2110" s="29" t="str">
        <f>VLOOKUP(C:C,'COUNT-CONT'!B:C,2,FALSE)</f>
        <v>Asia</v>
      </c>
      <c r="E2110" s="29">
        <v>3</v>
      </c>
      <c r="F2110" s="28">
        <v>1555</v>
      </c>
      <c r="G2110" s="28">
        <v>2812395498</v>
      </c>
      <c r="H2110" s="29">
        <v>9.67</v>
      </c>
      <c r="I2110" s="142">
        <v>-69.77</v>
      </c>
      <c r="J2110" s="29">
        <v>3.48</v>
      </c>
      <c r="K2110" s="29">
        <v>2.84</v>
      </c>
      <c r="L2110" s="29">
        <v>7.92</v>
      </c>
      <c r="M2110" s="368"/>
      <c r="N2110" s="368"/>
      <c r="O2110" s="271">
        <f>IFERROR(Table17[[#This Row],[PROFIT]]/Table17[[#This Row],[TO]],0)</f>
        <v>0</v>
      </c>
      <c r="P2110" s="177"/>
      <c r="Q2110" s="177"/>
      <c r="R2110" s="177"/>
    </row>
    <row r="2111" spans="1:18" ht="30" hidden="1" x14ac:dyDescent="0.25">
      <c r="A2111" s="29" t="s">
        <v>2177</v>
      </c>
      <c r="B2111" s="29" t="s">
        <v>2176</v>
      </c>
      <c r="C2111" s="29" t="s">
        <v>514</v>
      </c>
      <c r="D2111" s="29" t="str">
        <f>VLOOKUP(C:C,'COUNT-CONT'!B:C,2,FALSE)</f>
        <v>North America</v>
      </c>
      <c r="E2111" s="29">
        <v>4</v>
      </c>
      <c r="F2111" s="28">
        <v>1834</v>
      </c>
      <c r="G2111" s="28">
        <v>3243681897</v>
      </c>
      <c r="H2111" s="29">
        <v>9.67</v>
      </c>
      <c r="I2111" s="142">
        <v>-69.77</v>
      </c>
      <c r="J2111" s="29">
        <v>6.38</v>
      </c>
      <c r="K2111" s="29">
        <v>6.14</v>
      </c>
      <c r="L2111" s="29">
        <v>11</v>
      </c>
      <c r="M2111" s="368"/>
      <c r="N2111" s="368"/>
      <c r="O2111" s="271">
        <f>IFERROR(Table17[[#This Row],[PROFIT]]/Table17[[#This Row],[TO]],0)</f>
        <v>0</v>
      </c>
      <c r="P2111" s="177"/>
      <c r="Q2111" s="177"/>
      <c r="R2111" s="177"/>
    </row>
    <row r="2112" spans="1:18" ht="30" hidden="1" x14ac:dyDescent="0.25">
      <c r="A2112" s="29" t="s">
        <v>2173</v>
      </c>
      <c r="B2112" s="29" t="s">
        <v>2172</v>
      </c>
      <c r="C2112" s="29" t="s">
        <v>514</v>
      </c>
      <c r="D2112" s="29" t="str">
        <f>VLOOKUP(C:C,'COUNT-CONT'!B:C,2,FALSE)</f>
        <v>North America</v>
      </c>
      <c r="E2112" s="29">
        <v>1</v>
      </c>
      <c r="F2112" s="28">
        <v>1070</v>
      </c>
      <c r="G2112" s="28">
        <v>3595737383</v>
      </c>
      <c r="H2112" s="29">
        <v>9.67</v>
      </c>
      <c r="I2112" s="142">
        <v>-69.77</v>
      </c>
      <c r="J2112" s="29">
        <v>6.38</v>
      </c>
      <c r="K2112" s="29">
        <v>6.14</v>
      </c>
      <c r="L2112" s="29">
        <v>11</v>
      </c>
      <c r="M2112" s="368"/>
      <c r="N2112" s="368"/>
      <c r="O2112" s="271">
        <f>IFERROR(Table17[[#This Row],[PROFIT]]/Table17[[#This Row],[TO]],0)</f>
        <v>0</v>
      </c>
      <c r="P2112" s="177"/>
      <c r="Q2112" s="177"/>
      <c r="R2112" s="177"/>
    </row>
    <row r="2113" spans="1:18" ht="45" hidden="1" x14ac:dyDescent="0.25">
      <c r="A2113" s="29" t="s">
        <v>1269</v>
      </c>
      <c r="B2113" s="29" t="s">
        <v>1268</v>
      </c>
      <c r="C2113" s="29" t="s">
        <v>172</v>
      </c>
      <c r="D2113" s="29" t="str">
        <f>VLOOKUP(C:C,'COUNT-CONT'!B:C,2,FALSE)</f>
        <v>Asia</v>
      </c>
      <c r="E2113" s="29">
        <v>8</v>
      </c>
      <c r="F2113" s="28">
        <v>3003</v>
      </c>
      <c r="G2113" s="28">
        <v>2687900366</v>
      </c>
      <c r="H2113" s="29">
        <v>9.64</v>
      </c>
      <c r="I2113" s="142">
        <v>-69.8</v>
      </c>
      <c r="J2113" s="29">
        <v>3.9</v>
      </c>
      <c r="K2113" s="29">
        <v>3.39</v>
      </c>
      <c r="L2113" s="29">
        <v>8.4600000000000009</v>
      </c>
      <c r="M2113" s="368"/>
      <c r="N2113" s="368"/>
      <c r="O2113" s="271">
        <f>IFERROR(Table17[[#This Row],[PROFIT]]/Table17[[#This Row],[TO]],0)</f>
        <v>0</v>
      </c>
      <c r="P2113" s="177"/>
      <c r="Q2113" s="177"/>
      <c r="R2113" s="177"/>
    </row>
    <row r="2114" spans="1:18" hidden="1" x14ac:dyDescent="0.25">
      <c r="A2114" s="29" t="s">
        <v>1793</v>
      </c>
      <c r="B2114" s="29" t="s">
        <v>1792</v>
      </c>
      <c r="C2114" s="29" t="s">
        <v>585</v>
      </c>
      <c r="D2114" s="29" t="str">
        <f>VLOOKUP(C:C,'COUNT-CONT'!B:C,2,FALSE)</f>
        <v>Europe</v>
      </c>
      <c r="E2114" s="29">
        <v>4</v>
      </c>
      <c r="F2114" s="28">
        <v>1803</v>
      </c>
      <c r="G2114" s="28">
        <v>3100694287</v>
      </c>
      <c r="H2114" s="29">
        <v>9.64</v>
      </c>
      <c r="I2114" s="142">
        <v>-69.8</v>
      </c>
      <c r="J2114" s="29">
        <v>5.32</v>
      </c>
      <c r="K2114" s="29">
        <v>4.93</v>
      </c>
      <c r="L2114" s="29">
        <v>9.85</v>
      </c>
      <c r="M2114" s="368"/>
      <c r="N2114" s="368"/>
      <c r="O2114" s="271">
        <f>IFERROR(Table17[[#This Row],[PROFIT]]/Table17[[#This Row],[TO]],0)</f>
        <v>0</v>
      </c>
      <c r="P2114" s="177"/>
      <c r="Q2114" s="177"/>
      <c r="R2114" s="177"/>
    </row>
    <row r="2115" spans="1:18" ht="30" hidden="1" x14ac:dyDescent="0.25">
      <c r="A2115" s="29" t="s">
        <v>2160</v>
      </c>
      <c r="B2115" s="29" t="s">
        <v>2159</v>
      </c>
      <c r="C2115" s="29" t="s">
        <v>514</v>
      </c>
      <c r="D2115" s="29" t="str">
        <f>VLOOKUP(C:C,'COUNT-CONT'!B:C,2,FALSE)</f>
        <v>North America</v>
      </c>
      <c r="E2115" s="29">
        <v>4</v>
      </c>
      <c r="F2115" s="28">
        <v>1834</v>
      </c>
      <c r="G2115" s="28">
        <v>3237281897</v>
      </c>
      <c r="H2115" s="29">
        <v>9.64</v>
      </c>
      <c r="I2115" s="142">
        <v>-69.8</v>
      </c>
      <c r="J2115" s="29">
        <v>6.35</v>
      </c>
      <c r="K2115" s="29">
        <v>6.14</v>
      </c>
      <c r="L2115" s="29">
        <v>10.94</v>
      </c>
      <c r="M2115" s="368"/>
      <c r="N2115" s="368"/>
      <c r="O2115" s="271">
        <f>IFERROR(Table17[[#This Row],[PROFIT]]/Table17[[#This Row],[TO]],0)</f>
        <v>0</v>
      </c>
      <c r="P2115" s="177"/>
      <c r="Q2115" s="177"/>
      <c r="R2115" s="177"/>
    </row>
    <row r="2116" spans="1:18" hidden="1" x14ac:dyDescent="0.25">
      <c r="A2116" s="29" t="s">
        <v>1787</v>
      </c>
      <c r="B2116" s="29" t="s">
        <v>1786</v>
      </c>
      <c r="C2116" s="29" t="s">
        <v>585</v>
      </c>
      <c r="D2116" s="29" t="str">
        <f>VLOOKUP(C:C,'COUNT-CONT'!B:C,2,FALSE)</f>
        <v>Europe</v>
      </c>
      <c r="E2116" s="29">
        <v>6</v>
      </c>
      <c r="F2116" s="28">
        <v>2314</v>
      </c>
      <c r="G2116" s="28">
        <v>3013767329</v>
      </c>
      <c r="H2116" s="29">
        <v>9.61</v>
      </c>
      <c r="I2116" s="142">
        <v>-69.83</v>
      </c>
      <c r="J2116" s="29">
        <v>5.29</v>
      </c>
      <c r="K2116" s="29">
        <v>4.9000000000000004</v>
      </c>
      <c r="L2116" s="29">
        <v>9.82</v>
      </c>
      <c r="M2116" s="368"/>
      <c r="N2116" s="368"/>
      <c r="O2116" s="271">
        <f>IFERROR(Table17[[#This Row],[PROFIT]]/Table17[[#This Row],[TO]],0)</f>
        <v>0</v>
      </c>
      <c r="P2116" s="177"/>
      <c r="Q2116" s="177"/>
      <c r="R2116" s="177"/>
    </row>
    <row r="2117" spans="1:18" hidden="1" x14ac:dyDescent="0.25">
      <c r="A2117" s="29" t="s">
        <v>390</v>
      </c>
      <c r="B2117" s="29" t="s">
        <v>983</v>
      </c>
      <c r="C2117" s="29" t="s">
        <v>533</v>
      </c>
      <c r="D2117" s="29" t="str">
        <f>VLOOKUP(C:C,'COUNT-CONT'!B:C,2,FALSE)</f>
        <v>Asia</v>
      </c>
      <c r="E2117" s="29">
        <v>8</v>
      </c>
      <c r="F2117" s="28">
        <v>2802</v>
      </c>
      <c r="G2117" s="28">
        <v>2582176730</v>
      </c>
      <c r="H2117" s="29">
        <v>9.61</v>
      </c>
      <c r="I2117" s="142">
        <v>-69.83</v>
      </c>
      <c r="J2117" s="29">
        <v>3.2</v>
      </c>
      <c r="K2117" s="29">
        <v>2.42</v>
      </c>
      <c r="L2117" s="29">
        <v>7.62</v>
      </c>
      <c r="M2117" s="368"/>
      <c r="N2117" s="368"/>
      <c r="O2117" s="271">
        <f>IFERROR(Table17[[#This Row],[PROFIT]]/Table17[[#This Row],[TO]],0)</f>
        <v>0</v>
      </c>
      <c r="P2117" s="177"/>
      <c r="Q2117" s="177"/>
      <c r="R2117" s="177"/>
    </row>
    <row r="2118" spans="1:18" ht="30" hidden="1" x14ac:dyDescent="0.25">
      <c r="A2118" s="29" t="s">
        <v>2148</v>
      </c>
      <c r="B2118" s="29" t="s">
        <v>2147</v>
      </c>
      <c r="C2118" s="29" t="s">
        <v>514</v>
      </c>
      <c r="D2118" s="29" t="str">
        <f>VLOOKUP(C:C,'COUNT-CONT'!B:C,2,FALSE)</f>
        <v>North America</v>
      </c>
      <c r="E2118" s="29">
        <v>3</v>
      </c>
      <c r="F2118" s="28">
        <v>1528</v>
      </c>
      <c r="G2118" s="28">
        <v>3323695287</v>
      </c>
      <c r="H2118" s="29">
        <v>9.61</v>
      </c>
      <c r="I2118" s="142">
        <v>-69.83</v>
      </c>
      <c r="J2118" s="29">
        <v>6.32</v>
      </c>
      <c r="K2118" s="29">
        <v>6.11</v>
      </c>
      <c r="L2118" s="29">
        <v>10.91</v>
      </c>
      <c r="M2118" s="368"/>
      <c r="N2118" s="368"/>
      <c r="O2118" s="271">
        <f>IFERROR(Table17[[#This Row],[PROFIT]]/Table17[[#This Row],[TO]],0)</f>
        <v>0</v>
      </c>
      <c r="P2118" s="177"/>
      <c r="Q2118" s="177"/>
      <c r="R2118" s="177"/>
    </row>
    <row r="2119" spans="1:18" ht="30" hidden="1" x14ac:dyDescent="0.25">
      <c r="A2119" s="29" t="s">
        <v>2158</v>
      </c>
      <c r="B2119" s="29" t="s">
        <v>2157</v>
      </c>
      <c r="C2119" s="29" t="s">
        <v>514</v>
      </c>
      <c r="D2119" s="29" t="str">
        <f>VLOOKUP(C:C,'COUNT-CONT'!B:C,2,FALSE)</f>
        <v>North America</v>
      </c>
      <c r="E2119" s="29">
        <v>2</v>
      </c>
      <c r="F2119" s="28">
        <v>1294</v>
      </c>
      <c r="G2119" s="28">
        <v>3432077279</v>
      </c>
      <c r="H2119" s="29">
        <v>9.61</v>
      </c>
      <c r="I2119" s="142">
        <v>-69.83</v>
      </c>
      <c r="J2119" s="29">
        <v>6.32</v>
      </c>
      <c r="K2119" s="29">
        <v>6.11</v>
      </c>
      <c r="L2119" s="29">
        <v>10.94</v>
      </c>
      <c r="M2119" s="368"/>
      <c r="N2119" s="368"/>
      <c r="O2119" s="271">
        <f>IFERROR(Table17[[#This Row],[PROFIT]]/Table17[[#This Row],[TO]],0)</f>
        <v>0</v>
      </c>
      <c r="P2119" s="177"/>
      <c r="Q2119" s="177"/>
      <c r="R2119" s="177"/>
    </row>
    <row r="2120" spans="1:18" ht="30" hidden="1" x14ac:dyDescent="0.25">
      <c r="A2120" s="29" t="s">
        <v>2140</v>
      </c>
      <c r="B2120" s="29" t="s">
        <v>2139</v>
      </c>
      <c r="C2120" s="29" t="s">
        <v>514</v>
      </c>
      <c r="D2120" s="29" t="str">
        <f>VLOOKUP(C:C,'COUNT-CONT'!B:C,2,FALSE)</f>
        <v>North America</v>
      </c>
      <c r="E2120" s="29">
        <v>1</v>
      </c>
      <c r="F2120" s="28">
        <v>1070</v>
      </c>
      <c r="G2120" s="28">
        <v>3586137383</v>
      </c>
      <c r="H2120" s="29">
        <v>9.61</v>
      </c>
      <c r="I2120" s="142">
        <v>-69.83</v>
      </c>
      <c r="J2120" s="29">
        <v>6.32</v>
      </c>
      <c r="K2120" s="29">
        <v>6.11</v>
      </c>
      <c r="L2120" s="29">
        <v>10.91</v>
      </c>
      <c r="M2120" s="368"/>
      <c r="N2120" s="368"/>
      <c r="O2120" s="271">
        <f>IFERROR(Table17[[#This Row],[PROFIT]]/Table17[[#This Row],[TO]],0)</f>
        <v>0</v>
      </c>
      <c r="P2120" s="177"/>
      <c r="Q2120" s="177"/>
      <c r="R2120" s="177"/>
    </row>
    <row r="2121" spans="1:18" ht="45" hidden="1" x14ac:dyDescent="0.25">
      <c r="A2121" s="29" t="s">
        <v>1176</v>
      </c>
      <c r="B2121" s="29" t="s">
        <v>1175</v>
      </c>
      <c r="C2121" s="147" t="s">
        <v>12755</v>
      </c>
      <c r="D2121" s="29" t="str">
        <f>VLOOKUP(C:C,'COUNT-CONT'!B:C,2,FALSE)</f>
        <v>Asia</v>
      </c>
      <c r="E2121" s="29">
        <v>6</v>
      </c>
      <c r="F2121" s="28">
        <v>2438</v>
      </c>
      <c r="G2121" s="28">
        <v>2775189499</v>
      </c>
      <c r="H2121" s="29">
        <v>9.58</v>
      </c>
      <c r="I2121" s="142">
        <v>-69.86</v>
      </c>
      <c r="J2121" s="29">
        <v>3.72</v>
      </c>
      <c r="K2121" s="29">
        <v>3.08</v>
      </c>
      <c r="L2121" s="29">
        <v>8.1300000000000008</v>
      </c>
      <c r="M2121" s="368"/>
      <c r="N2121" s="368"/>
      <c r="O2121" s="271">
        <f>IFERROR(Table17[[#This Row],[PROFIT]]/Table17[[#This Row],[TO]],0)</f>
        <v>0</v>
      </c>
      <c r="P2121" s="177"/>
      <c r="Q2121" s="177"/>
      <c r="R2121" s="177"/>
    </row>
    <row r="2122" spans="1:18" x14ac:dyDescent="0.25">
      <c r="A2122" s="29" t="s">
        <v>1888</v>
      </c>
      <c r="B2122" s="29" t="s">
        <v>1887</v>
      </c>
      <c r="C2122" s="29" t="s">
        <v>774</v>
      </c>
      <c r="D2122" s="29" t="str">
        <f>VLOOKUP(C:C,'COUNT-CONT'!B:C,2,FALSE)</f>
        <v>Oceania</v>
      </c>
      <c r="E2122" s="29">
        <v>3</v>
      </c>
      <c r="F2122" s="28">
        <v>1684</v>
      </c>
      <c r="G2122" s="28">
        <v>3176606650</v>
      </c>
      <c r="H2122" s="29">
        <v>9.58</v>
      </c>
      <c r="I2122" s="142">
        <v>-69.86</v>
      </c>
      <c r="J2122" s="29">
        <v>5.71</v>
      </c>
      <c r="K2122" s="29">
        <v>5.29</v>
      </c>
      <c r="L2122" s="29">
        <v>10.19</v>
      </c>
      <c r="M2122" s="368"/>
      <c r="N2122" s="368"/>
      <c r="O2122" s="271">
        <f>IFERROR(Table17[[#This Row],[PROFIT]]/Table17[[#This Row],[TO]],0)</f>
        <v>0</v>
      </c>
      <c r="P2122" s="177"/>
      <c r="Q2122" s="177"/>
      <c r="R2122" s="177"/>
    </row>
    <row r="2123" spans="1:18" ht="30" hidden="1" x14ac:dyDescent="0.25">
      <c r="A2123" s="29" t="s">
        <v>2142</v>
      </c>
      <c r="B2123" s="29" t="s">
        <v>2141</v>
      </c>
      <c r="C2123" s="29" t="s">
        <v>514</v>
      </c>
      <c r="D2123" s="29" t="str">
        <f>VLOOKUP(C:C,'COUNT-CONT'!B:C,2,FALSE)</f>
        <v>North America</v>
      </c>
      <c r="E2123" s="29">
        <v>1</v>
      </c>
      <c r="F2123" s="28">
        <v>1107</v>
      </c>
      <c r="G2123" s="28">
        <v>3553876603</v>
      </c>
      <c r="H2123" s="29">
        <v>9.58</v>
      </c>
      <c r="I2123" s="142">
        <v>-69.86</v>
      </c>
      <c r="J2123" s="29">
        <v>6.32</v>
      </c>
      <c r="K2123" s="29">
        <v>6.11</v>
      </c>
      <c r="L2123" s="29">
        <v>10.91</v>
      </c>
      <c r="M2123" s="368"/>
      <c r="N2123" s="368"/>
      <c r="O2123" s="271">
        <f>IFERROR(Table17[[#This Row],[PROFIT]]/Table17[[#This Row],[TO]],0)</f>
        <v>0</v>
      </c>
      <c r="P2123" s="177"/>
      <c r="Q2123" s="177"/>
      <c r="R2123" s="177"/>
    </row>
    <row r="2124" spans="1:18" ht="30" hidden="1" x14ac:dyDescent="0.25">
      <c r="A2124" s="29" t="s">
        <v>2156</v>
      </c>
      <c r="B2124" s="29" t="s">
        <v>2155</v>
      </c>
      <c r="C2124" s="29" t="s">
        <v>514</v>
      </c>
      <c r="D2124" s="29" t="str">
        <f>VLOOKUP(C:C,'COUNT-CONT'!B:C,2,FALSE)</f>
        <v>North America</v>
      </c>
      <c r="E2124" s="29">
        <v>7</v>
      </c>
      <c r="F2124" s="28">
        <v>5082</v>
      </c>
      <c r="G2124" s="28">
        <v>2940650216</v>
      </c>
      <c r="H2124" s="29">
        <v>9.58</v>
      </c>
      <c r="I2124" s="142">
        <v>-69.86</v>
      </c>
      <c r="J2124" s="29">
        <v>6.32</v>
      </c>
      <c r="K2124" s="29">
        <v>6.11</v>
      </c>
      <c r="L2124" s="29">
        <v>10.91</v>
      </c>
      <c r="M2124" s="368"/>
      <c r="N2124" s="368"/>
      <c r="O2124" s="271">
        <f>IFERROR(Table17[[#This Row],[PROFIT]]/Table17[[#This Row],[TO]],0)</f>
        <v>0</v>
      </c>
      <c r="P2124" s="177"/>
      <c r="Q2124" s="177"/>
      <c r="R2124" s="177"/>
    </row>
    <row r="2125" spans="1:18" ht="30" hidden="1" x14ac:dyDescent="0.25">
      <c r="A2125" s="29" t="s">
        <v>1220</v>
      </c>
      <c r="B2125" s="29" t="s">
        <v>1219</v>
      </c>
      <c r="C2125" s="29" t="s">
        <v>860</v>
      </c>
      <c r="D2125" s="29" t="str">
        <f>VLOOKUP(C:C,'COUNT-CONT'!B:C,2,FALSE)</f>
        <v>South America</v>
      </c>
      <c r="E2125" s="29">
        <v>1</v>
      </c>
      <c r="F2125" s="28">
        <v>1212</v>
      </c>
      <c r="G2125" s="28">
        <v>3019890759</v>
      </c>
      <c r="H2125" s="29">
        <v>9.5500000000000007</v>
      </c>
      <c r="I2125" s="142">
        <v>-69.89</v>
      </c>
      <c r="J2125" s="29">
        <v>3.78</v>
      </c>
      <c r="K2125" s="29">
        <v>3.11</v>
      </c>
      <c r="L2125" s="29">
        <v>8.25</v>
      </c>
      <c r="M2125" s="368"/>
      <c r="N2125" s="368"/>
      <c r="O2125" s="271">
        <f>IFERROR(Table17[[#This Row],[PROFIT]]/Table17[[#This Row],[TO]],0)</f>
        <v>0</v>
      </c>
      <c r="P2125" s="177"/>
      <c r="Q2125" s="177"/>
      <c r="R2125" s="177"/>
    </row>
    <row r="2126" spans="1:18" ht="30" x14ac:dyDescent="0.25">
      <c r="A2126" s="29" t="s">
        <v>1469</v>
      </c>
      <c r="B2126" s="29" t="s">
        <v>1468</v>
      </c>
      <c r="C2126" s="29" t="s">
        <v>662</v>
      </c>
      <c r="D2126" s="29" t="str">
        <f>VLOOKUP(C:C,'COUNT-CONT'!B:C,2,FALSE)</f>
        <v>Oceania</v>
      </c>
      <c r="E2126" s="29">
        <v>1</v>
      </c>
      <c r="F2126" s="28">
        <v>1217</v>
      </c>
      <c r="G2126" s="28">
        <v>3135561955</v>
      </c>
      <c r="H2126" s="29">
        <v>9.5500000000000007</v>
      </c>
      <c r="I2126" s="142">
        <v>-69.89</v>
      </c>
      <c r="J2126" s="29">
        <v>4.6900000000000004</v>
      </c>
      <c r="K2126" s="29">
        <v>3.96</v>
      </c>
      <c r="L2126" s="29">
        <v>9.0399999999999991</v>
      </c>
      <c r="M2126" s="368"/>
      <c r="N2126" s="368"/>
      <c r="O2126" s="271">
        <f>IFERROR(Table17[[#This Row],[PROFIT]]/Table17[[#This Row],[TO]],0)</f>
        <v>0</v>
      </c>
      <c r="P2126" s="177"/>
      <c r="Q2126" s="177"/>
      <c r="R2126" s="177"/>
    </row>
    <row r="2127" spans="1:18" ht="30" hidden="1" x14ac:dyDescent="0.25">
      <c r="A2127" s="29" t="s">
        <v>2120</v>
      </c>
      <c r="B2127" s="29" t="s">
        <v>2119</v>
      </c>
      <c r="C2127" s="29" t="s">
        <v>514</v>
      </c>
      <c r="D2127" s="29" t="str">
        <f>VLOOKUP(C:C,'COUNT-CONT'!B:C,2,FALSE)</f>
        <v>North America</v>
      </c>
      <c r="E2127" s="29">
        <v>1</v>
      </c>
      <c r="F2127" s="28">
        <v>1251</v>
      </c>
      <c r="G2127" s="28">
        <v>3447496562</v>
      </c>
      <c r="H2127" s="29">
        <v>9.5500000000000007</v>
      </c>
      <c r="I2127" s="142">
        <v>-69.89</v>
      </c>
      <c r="J2127" s="29">
        <v>6.29</v>
      </c>
      <c r="K2127" s="29">
        <v>6.08</v>
      </c>
      <c r="L2127" s="29">
        <v>10.85</v>
      </c>
      <c r="M2127" s="368"/>
      <c r="N2127" s="368"/>
      <c r="O2127" s="271">
        <f>IFERROR(Table17[[#This Row],[PROFIT]]/Table17[[#This Row],[TO]],0)</f>
        <v>0</v>
      </c>
      <c r="P2127" s="177"/>
      <c r="Q2127" s="177"/>
      <c r="R2127" s="177"/>
    </row>
    <row r="2128" spans="1:18" ht="30" hidden="1" x14ac:dyDescent="0.25">
      <c r="A2128" s="29" t="s">
        <v>1148</v>
      </c>
      <c r="B2128" s="29" t="s">
        <v>1147</v>
      </c>
      <c r="C2128" s="29" t="s">
        <v>517</v>
      </c>
      <c r="D2128" s="29" t="str">
        <f>VLOOKUP(C:C,'COUNT-CONT'!B:C,2,FALSE)</f>
        <v>South America</v>
      </c>
      <c r="E2128" s="29">
        <v>4</v>
      </c>
      <c r="F2128" s="28">
        <v>1802</v>
      </c>
      <c r="G2128" s="28">
        <v>2760832852</v>
      </c>
      <c r="H2128" s="29">
        <v>9.52</v>
      </c>
      <c r="I2128" s="142">
        <v>-69.92</v>
      </c>
      <c r="J2128" s="29">
        <v>3.72</v>
      </c>
      <c r="K2128" s="29">
        <v>3.05</v>
      </c>
      <c r="L2128" s="29">
        <v>8.07</v>
      </c>
      <c r="M2128" s="368"/>
      <c r="N2128" s="368"/>
      <c r="O2128" s="271">
        <f>IFERROR(Table17[[#This Row],[PROFIT]]/Table17[[#This Row],[TO]],0)</f>
        <v>0</v>
      </c>
      <c r="P2128" s="177"/>
      <c r="Q2128" s="177"/>
      <c r="R2128" s="177"/>
    </row>
    <row r="2129" spans="1:18" hidden="1" x14ac:dyDescent="0.25">
      <c r="A2129" s="29" t="s">
        <v>1141</v>
      </c>
      <c r="B2129" s="29" t="s">
        <v>1140</v>
      </c>
      <c r="C2129" s="29" t="s">
        <v>14</v>
      </c>
      <c r="D2129" s="29" t="str">
        <f>VLOOKUP(C:C,'COUNT-CONT'!B:C,2,FALSE)</f>
        <v>Asia</v>
      </c>
      <c r="E2129" s="29">
        <v>3</v>
      </c>
      <c r="F2129" s="28">
        <v>1541</v>
      </c>
      <c r="G2129" s="28">
        <v>2838222193</v>
      </c>
      <c r="H2129" s="29">
        <v>9.52</v>
      </c>
      <c r="I2129" s="142">
        <v>-69.92</v>
      </c>
      <c r="J2129" s="29">
        <v>3.72</v>
      </c>
      <c r="K2129" s="29">
        <v>3.05</v>
      </c>
      <c r="L2129" s="29">
        <v>8.07</v>
      </c>
      <c r="M2129" s="368"/>
      <c r="N2129" s="368"/>
      <c r="O2129" s="271">
        <f>IFERROR(Table17[[#This Row],[PROFIT]]/Table17[[#This Row],[TO]],0)</f>
        <v>0</v>
      </c>
      <c r="P2129" s="177"/>
      <c r="Q2129" s="177"/>
      <c r="R2129" s="177"/>
    </row>
    <row r="2130" spans="1:18" ht="30" hidden="1" x14ac:dyDescent="0.25">
      <c r="A2130" s="29" t="s">
        <v>1948</v>
      </c>
      <c r="B2130" s="29" t="s">
        <v>1947</v>
      </c>
      <c r="C2130" s="29" t="s">
        <v>1946</v>
      </c>
      <c r="D2130" s="29" t="str">
        <f>VLOOKUP(C:C,'COUNT-CONT'!B:C,2,FALSE)</f>
        <v>North America</v>
      </c>
      <c r="E2130" s="29">
        <v>2</v>
      </c>
      <c r="F2130" s="28">
        <v>1314</v>
      </c>
      <c r="G2130" s="28">
        <v>3344438508</v>
      </c>
      <c r="H2130" s="29">
        <v>9.52</v>
      </c>
      <c r="I2130" s="142">
        <v>-69.92</v>
      </c>
      <c r="J2130" s="29">
        <v>5.8</v>
      </c>
      <c r="K2130" s="29">
        <v>5.59</v>
      </c>
      <c r="L2130" s="29">
        <v>10.37</v>
      </c>
      <c r="M2130" s="368"/>
      <c r="N2130" s="368"/>
      <c r="O2130" s="271">
        <f>IFERROR(Table17[[#This Row],[PROFIT]]/Table17[[#This Row],[TO]],0)</f>
        <v>0</v>
      </c>
      <c r="P2130" s="177"/>
      <c r="Q2130" s="177"/>
      <c r="R2130" s="177"/>
    </row>
    <row r="2131" spans="1:18" ht="30" hidden="1" x14ac:dyDescent="0.25">
      <c r="A2131" s="29" t="s">
        <v>2108</v>
      </c>
      <c r="B2131" s="29" t="s">
        <v>2107</v>
      </c>
      <c r="C2131" s="29" t="s">
        <v>514</v>
      </c>
      <c r="D2131" s="29" t="str">
        <f>VLOOKUP(C:C,'COUNT-CONT'!B:C,2,FALSE)</f>
        <v>North America</v>
      </c>
      <c r="E2131" s="29">
        <v>1</v>
      </c>
      <c r="F2131" s="28">
        <v>1070</v>
      </c>
      <c r="G2131" s="28">
        <v>3573337383</v>
      </c>
      <c r="H2131" s="29">
        <v>9.52</v>
      </c>
      <c r="I2131" s="142">
        <v>-69.92</v>
      </c>
      <c r="J2131" s="29">
        <v>6.26</v>
      </c>
      <c r="K2131" s="29">
        <v>6.05</v>
      </c>
      <c r="L2131" s="29">
        <v>10.82</v>
      </c>
      <c r="M2131" s="368"/>
      <c r="N2131" s="368"/>
      <c r="O2131" s="271">
        <f>IFERROR(Table17[[#This Row],[PROFIT]]/Table17[[#This Row],[TO]],0)</f>
        <v>0</v>
      </c>
      <c r="P2131" s="177"/>
      <c r="Q2131" s="177"/>
      <c r="R2131" s="177"/>
    </row>
    <row r="2132" spans="1:18" hidden="1" x14ac:dyDescent="0.25">
      <c r="A2132" s="29" t="s">
        <v>958</v>
      </c>
      <c r="B2132" s="29" t="s">
        <v>957</v>
      </c>
      <c r="C2132" s="29" t="s">
        <v>533</v>
      </c>
      <c r="D2132" s="29" t="str">
        <f>VLOOKUP(C:C,'COUNT-CONT'!B:C,2,FALSE)</f>
        <v>Asia</v>
      </c>
      <c r="E2132" s="29">
        <v>7</v>
      </c>
      <c r="F2132" s="28">
        <v>2602</v>
      </c>
      <c r="G2132" s="28">
        <v>2581151729</v>
      </c>
      <c r="H2132" s="29">
        <v>9.49</v>
      </c>
      <c r="I2132" s="142">
        <v>-69.95</v>
      </c>
      <c r="J2132" s="29">
        <v>3.14</v>
      </c>
      <c r="K2132" s="29">
        <v>2.39</v>
      </c>
      <c r="L2132" s="29">
        <v>7.53</v>
      </c>
      <c r="M2132" s="368"/>
      <c r="N2132" s="368"/>
      <c r="O2132" s="271">
        <f>IFERROR(Table17[[#This Row],[PROFIT]]/Table17[[#This Row],[TO]],0)</f>
        <v>0</v>
      </c>
      <c r="P2132" s="177"/>
      <c r="Q2132" s="177"/>
      <c r="R2132" s="177"/>
    </row>
    <row r="2133" spans="1:18" ht="30" hidden="1" x14ac:dyDescent="0.25">
      <c r="A2133" s="29" t="s">
        <v>1184</v>
      </c>
      <c r="B2133" s="29" t="s">
        <v>1183</v>
      </c>
      <c r="C2133" s="29" t="s">
        <v>860</v>
      </c>
      <c r="D2133" s="29" t="str">
        <f>VLOOKUP(C:C,'COUNT-CONT'!B:C,2,FALSE)</f>
        <v>South America</v>
      </c>
      <c r="E2133" s="29">
        <v>2</v>
      </c>
      <c r="F2133" s="28">
        <v>1301</v>
      </c>
      <c r="G2133" s="28">
        <v>2960303458</v>
      </c>
      <c r="H2133" s="29">
        <v>9.49</v>
      </c>
      <c r="I2133" s="142">
        <v>-69.95</v>
      </c>
      <c r="J2133" s="29">
        <v>3.75</v>
      </c>
      <c r="K2133" s="29">
        <v>3.08</v>
      </c>
      <c r="L2133" s="29">
        <v>8.19</v>
      </c>
      <c r="M2133" s="368"/>
      <c r="N2133" s="368"/>
      <c r="O2133" s="271">
        <f>IFERROR(Table17[[#This Row],[PROFIT]]/Table17[[#This Row],[TO]],0)</f>
        <v>0</v>
      </c>
      <c r="P2133" s="177"/>
      <c r="Q2133" s="177"/>
      <c r="R2133" s="177"/>
    </row>
    <row r="2134" spans="1:18" ht="30" hidden="1" x14ac:dyDescent="0.25">
      <c r="A2134" s="29" t="s">
        <v>1188</v>
      </c>
      <c r="B2134" s="29" t="s">
        <v>1187</v>
      </c>
      <c r="C2134" s="29" t="s">
        <v>860</v>
      </c>
      <c r="D2134" s="29" t="str">
        <f>VLOOKUP(C:C,'COUNT-CONT'!B:C,2,FALSE)</f>
        <v>South America</v>
      </c>
      <c r="E2134" s="29">
        <v>4</v>
      </c>
      <c r="F2134" s="28">
        <v>1797</v>
      </c>
      <c r="G2134" s="28">
        <v>2774831329</v>
      </c>
      <c r="H2134" s="29">
        <v>9.49</v>
      </c>
      <c r="I2134" s="142">
        <v>-69.95</v>
      </c>
      <c r="J2134" s="29">
        <v>3.75</v>
      </c>
      <c r="K2134" s="29">
        <v>3.08</v>
      </c>
      <c r="L2134" s="29">
        <v>8.19</v>
      </c>
      <c r="M2134" s="368"/>
      <c r="N2134" s="368"/>
      <c r="O2134" s="271">
        <f>IFERROR(Table17[[#This Row],[PROFIT]]/Table17[[#This Row],[TO]],0)</f>
        <v>0</v>
      </c>
      <c r="P2134" s="177"/>
      <c r="Q2134" s="177"/>
      <c r="R2134" s="177"/>
    </row>
    <row r="2135" spans="1:18" ht="30" hidden="1" x14ac:dyDescent="0.25">
      <c r="A2135" s="29" t="s">
        <v>1195</v>
      </c>
      <c r="B2135" s="29" t="s">
        <v>1194</v>
      </c>
      <c r="C2135" s="29" t="s">
        <v>683</v>
      </c>
      <c r="D2135" s="29" t="str">
        <f>VLOOKUP(C:C,'COUNT-CONT'!B:C,2,FALSE)</f>
        <v>North America</v>
      </c>
      <c r="E2135" s="29">
        <v>6</v>
      </c>
      <c r="F2135" s="28">
        <v>2402</v>
      </c>
      <c r="G2135" s="28">
        <v>2681151706</v>
      </c>
      <c r="H2135" s="29">
        <v>9.49</v>
      </c>
      <c r="I2135" s="142">
        <v>-69.95</v>
      </c>
      <c r="J2135" s="29">
        <v>3.75</v>
      </c>
      <c r="K2135" s="29">
        <v>3.08</v>
      </c>
      <c r="L2135" s="29">
        <v>8.19</v>
      </c>
      <c r="M2135" s="368"/>
      <c r="N2135" s="368"/>
      <c r="O2135" s="271">
        <f>IFERROR(Table17[[#This Row],[PROFIT]]/Table17[[#This Row],[TO]],0)</f>
        <v>0</v>
      </c>
      <c r="P2135" s="177"/>
      <c r="Q2135" s="177"/>
      <c r="R2135" s="177"/>
    </row>
    <row r="2136" spans="1:18" ht="30" hidden="1" x14ac:dyDescent="0.25">
      <c r="A2136" s="29" t="s">
        <v>2635</v>
      </c>
      <c r="B2136" s="29" t="s">
        <v>2634</v>
      </c>
      <c r="C2136" s="29" t="s">
        <v>11732</v>
      </c>
      <c r="D2136" s="29" t="str">
        <f>VLOOKUP(C:C,'COUNT-CONT'!B:C,2,FALSE)</f>
        <v>North America</v>
      </c>
      <c r="E2136" s="29">
        <v>10</v>
      </c>
      <c r="F2136" s="28">
        <v>4013</v>
      </c>
      <c r="G2136" s="28">
        <v>3437809145</v>
      </c>
      <c r="H2136" s="29">
        <v>9.49</v>
      </c>
      <c r="I2136" s="142">
        <v>-69.95</v>
      </c>
      <c r="J2136" s="29">
        <v>7.74</v>
      </c>
      <c r="K2136" s="29">
        <v>7.74</v>
      </c>
      <c r="L2136" s="29">
        <v>12.48</v>
      </c>
      <c r="M2136" s="368"/>
      <c r="N2136" s="368"/>
      <c r="O2136" s="271">
        <f>IFERROR(Table17[[#This Row],[PROFIT]]/Table17[[#This Row],[TO]],0)</f>
        <v>0</v>
      </c>
      <c r="P2136" s="177"/>
      <c r="Q2136" s="177"/>
      <c r="R2136" s="177"/>
    </row>
    <row r="2137" spans="1:18" hidden="1" x14ac:dyDescent="0.25">
      <c r="A2137" s="29" t="s">
        <v>898</v>
      </c>
      <c r="B2137" s="29" t="s">
        <v>897</v>
      </c>
      <c r="C2137" s="29" t="s">
        <v>700</v>
      </c>
      <c r="D2137" s="29" t="str">
        <f>VLOOKUP(C:C,'COUNT-CONT'!B:C,2,FALSE)</f>
        <v>Asia</v>
      </c>
      <c r="E2137" s="29">
        <v>7</v>
      </c>
      <c r="F2137" s="28">
        <v>2557</v>
      </c>
      <c r="G2137" s="28">
        <v>2583791630</v>
      </c>
      <c r="H2137" s="29">
        <v>9.49</v>
      </c>
      <c r="I2137" s="142">
        <v>-69.95</v>
      </c>
      <c r="J2137" s="29">
        <v>2.9</v>
      </c>
      <c r="K2137" s="29">
        <v>2.1800000000000002</v>
      </c>
      <c r="L2137" s="29">
        <v>7.32</v>
      </c>
      <c r="M2137" s="368"/>
      <c r="N2137" s="368"/>
      <c r="O2137" s="271">
        <f>IFERROR(Table17[[#This Row],[PROFIT]]/Table17[[#This Row],[TO]],0)</f>
        <v>0</v>
      </c>
      <c r="P2137" s="177"/>
      <c r="Q2137" s="177"/>
      <c r="R2137" s="177"/>
    </row>
    <row r="2138" spans="1:18" hidden="1" x14ac:dyDescent="0.25">
      <c r="A2138" s="29" t="s">
        <v>1123</v>
      </c>
      <c r="B2138" s="29" t="s">
        <v>1122</v>
      </c>
      <c r="C2138" s="29" t="s">
        <v>14</v>
      </c>
      <c r="D2138" s="29" t="str">
        <f>VLOOKUP(C:C,'COUNT-CONT'!B:C,2,FALSE)</f>
        <v>Asia</v>
      </c>
      <c r="E2138" s="29">
        <v>5</v>
      </c>
      <c r="F2138" s="28">
        <v>2202</v>
      </c>
      <c r="G2138" s="28">
        <v>2683545867</v>
      </c>
      <c r="H2138" s="29">
        <v>9.4600000000000009</v>
      </c>
      <c r="I2138" s="142">
        <v>-69.97999999999999</v>
      </c>
      <c r="J2138" s="29">
        <v>3.69</v>
      </c>
      <c r="K2138" s="29">
        <v>3.05</v>
      </c>
      <c r="L2138" s="29">
        <v>8.0399999999999991</v>
      </c>
      <c r="M2138" s="368"/>
      <c r="N2138" s="368"/>
      <c r="O2138" s="271">
        <f>IFERROR(Table17[[#This Row],[PROFIT]]/Table17[[#This Row],[TO]],0)</f>
        <v>0</v>
      </c>
      <c r="P2138" s="177"/>
      <c r="Q2138" s="177"/>
      <c r="R2138" s="177"/>
    </row>
    <row r="2139" spans="1:18" ht="30" hidden="1" x14ac:dyDescent="0.25">
      <c r="A2139" s="29" t="s">
        <v>2631</v>
      </c>
      <c r="B2139" s="29" t="s">
        <v>2630</v>
      </c>
      <c r="C2139" s="29" t="s">
        <v>11732</v>
      </c>
      <c r="D2139" s="29" t="str">
        <f>VLOOKUP(C:C,'COUNT-CONT'!B:C,2,FALSE)</f>
        <v>North America</v>
      </c>
      <c r="E2139" s="29">
        <v>4</v>
      </c>
      <c r="F2139" s="28">
        <v>1930</v>
      </c>
      <c r="G2139" s="28">
        <v>3523248186</v>
      </c>
      <c r="H2139" s="29">
        <v>9.4600000000000009</v>
      </c>
      <c r="I2139" s="142">
        <v>-69.97999999999999</v>
      </c>
      <c r="J2139" s="29">
        <v>7.74</v>
      </c>
      <c r="K2139" s="29">
        <v>7.74</v>
      </c>
      <c r="L2139" s="29">
        <v>12.48</v>
      </c>
      <c r="M2139" s="368"/>
      <c r="N2139" s="368"/>
      <c r="O2139" s="271">
        <f>IFERROR(Table17[[#This Row],[PROFIT]]/Table17[[#This Row],[TO]],0)</f>
        <v>0</v>
      </c>
      <c r="P2139" s="177"/>
      <c r="Q2139" s="177"/>
      <c r="R2139" s="177"/>
    </row>
    <row r="2140" spans="1:18" hidden="1" x14ac:dyDescent="0.25">
      <c r="A2140" s="29" t="s">
        <v>2081</v>
      </c>
      <c r="B2140" s="29" t="s">
        <v>2080</v>
      </c>
      <c r="C2140" s="29" t="s">
        <v>119</v>
      </c>
      <c r="D2140" s="29" t="str">
        <f>VLOOKUP(C:C,'COUNT-CONT'!B:C,2,FALSE)</f>
        <v>Europe</v>
      </c>
      <c r="E2140" s="29">
        <v>4</v>
      </c>
      <c r="F2140" s="28">
        <v>2005</v>
      </c>
      <c r="G2140" s="28">
        <v>3174428428</v>
      </c>
      <c r="H2140" s="29">
        <v>9.43</v>
      </c>
      <c r="I2140" s="142">
        <v>-70.009999999999991</v>
      </c>
      <c r="J2140" s="29">
        <v>6.2</v>
      </c>
      <c r="K2140" s="29">
        <v>5.99</v>
      </c>
      <c r="L2140" s="29">
        <v>10.73</v>
      </c>
      <c r="M2140" s="368"/>
      <c r="N2140" s="368"/>
      <c r="O2140" s="271">
        <f>IFERROR(Table17[[#This Row],[PROFIT]]/Table17[[#This Row],[TO]],0)</f>
        <v>0</v>
      </c>
      <c r="P2140" s="177"/>
      <c r="Q2140" s="177"/>
      <c r="R2140" s="177"/>
    </row>
    <row r="2141" spans="1:18" ht="30" hidden="1" x14ac:dyDescent="0.25">
      <c r="A2141" s="29" t="s">
        <v>1631</v>
      </c>
      <c r="B2141" s="29" t="s">
        <v>1630</v>
      </c>
      <c r="C2141" s="29" t="s">
        <v>13119</v>
      </c>
      <c r="D2141" s="29" t="str">
        <f>VLOOKUP(C:C,'COUNT-CONT'!B:C,2,FALSE)</f>
        <v>North America</v>
      </c>
      <c r="E2141" s="29">
        <v>5</v>
      </c>
      <c r="F2141" s="28">
        <v>2202</v>
      </c>
      <c r="G2141" s="28">
        <v>2867445867</v>
      </c>
      <c r="H2141" s="29">
        <v>9.43</v>
      </c>
      <c r="I2141" s="142">
        <v>-70.009999999999991</v>
      </c>
      <c r="J2141" s="29">
        <v>5.08</v>
      </c>
      <c r="K2141" s="29">
        <v>4.5</v>
      </c>
      <c r="L2141" s="29">
        <v>9.43</v>
      </c>
      <c r="M2141" s="368"/>
      <c r="N2141" s="368"/>
      <c r="O2141" s="271">
        <f>IFERROR(Table17[[#This Row],[PROFIT]]/Table17[[#This Row],[TO]],0)</f>
        <v>0</v>
      </c>
      <c r="P2141" s="177"/>
      <c r="Q2141" s="177"/>
      <c r="R2141" s="177"/>
    </row>
    <row r="2142" spans="1:18" hidden="1" x14ac:dyDescent="0.25">
      <c r="A2142" s="29" t="s">
        <v>1791</v>
      </c>
      <c r="B2142" s="29" t="s">
        <v>1790</v>
      </c>
      <c r="C2142" s="29" t="s">
        <v>807</v>
      </c>
      <c r="D2142" s="29" t="str">
        <f>VLOOKUP(C:C,'COUNT-CONT'!B:C,2,FALSE)</f>
        <v>Europe</v>
      </c>
      <c r="E2142" s="29">
        <v>3</v>
      </c>
      <c r="F2142" s="28">
        <v>1546</v>
      </c>
      <c r="G2142" s="28">
        <v>3174813583</v>
      </c>
      <c r="H2142" s="29">
        <v>9.43</v>
      </c>
      <c r="I2142" s="142">
        <v>-70.009999999999991</v>
      </c>
      <c r="J2142" s="29">
        <v>5.32</v>
      </c>
      <c r="K2142" s="29">
        <v>5.1100000000000003</v>
      </c>
      <c r="L2142" s="29">
        <v>9.85</v>
      </c>
      <c r="M2142" s="368"/>
      <c r="N2142" s="368"/>
      <c r="O2142" s="271">
        <f>IFERROR(Table17[[#This Row],[PROFIT]]/Table17[[#This Row],[TO]],0)</f>
        <v>0</v>
      </c>
      <c r="P2142" s="177"/>
      <c r="Q2142" s="177"/>
      <c r="R2142" s="177"/>
    </row>
    <row r="2143" spans="1:18" x14ac:dyDescent="0.25">
      <c r="A2143" s="29" t="s">
        <v>1424</v>
      </c>
      <c r="B2143" s="29" t="s">
        <v>1423</v>
      </c>
      <c r="C2143" s="29" t="s">
        <v>730</v>
      </c>
      <c r="D2143" s="29" t="str">
        <f>VLOOKUP(C:C,'COUNT-CONT'!B:C,2,FALSE)</f>
        <v>Oceania</v>
      </c>
      <c r="E2143" s="29">
        <v>2</v>
      </c>
      <c r="F2143" s="28">
        <v>1282</v>
      </c>
      <c r="G2143" s="28">
        <v>3168634321</v>
      </c>
      <c r="H2143" s="29">
        <v>9.43</v>
      </c>
      <c r="I2143" s="142">
        <v>-70.009999999999991</v>
      </c>
      <c r="J2143" s="29">
        <v>4.4400000000000004</v>
      </c>
      <c r="K2143" s="29">
        <v>3.9</v>
      </c>
      <c r="L2143" s="29">
        <v>8.89</v>
      </c>
      <c r="M2143" s="368"/>
      <c r="N2143" s="368"/>
      <c r="O2143" s="271">
        <f>IFERROR(Table17[[#This Row],[PROFIT]]/Table17[[#This Row],[TO]],0)</f>
        <v>0</v>
      </c>
      <c r="P2143" s="177"/>
      <c r="Q2143" s="177"/>
      <c r="R2143" s="177"/>
    </row>
    <row r="2144" spans="1:18" ht="30" hidden="1" x14ac:dyDescent="0.25">
      <c r="A2144" s="29" t="s">
        <v>2069</v>
      </c>
      <c r="B2144" s="29" t="s">
        <v>2068</v>
      </c>
      <c r="C2144" s="29" t="s">
        <v>514</v>
      </c>
      <c r="D2144" s="29" t="str">
        <f>VLOOKUP(C:C,'COUNT-CONT'!B:C,2,FALSE)</f>
        <v>North America</v>
      </c>
      <c r="E2144" s="29">
        <v>2</v>
      </c>
      <c r="F2144" s="28">
        <v>1376</v>
      </c>
      <c r="G2144" s="28">
        <v>3360818604</v>
      </c>
      <c r="H2144" s="29">
        <v>9.43</v>
      </c>
      <c r="I2144" s="142">
        <v>-70.009999999999991</v>
      </c>
      <c r="J2144" s="29">
        <v>6.2</v>
      </c>
      <c r="K2144" s="29">
        <v>5.99</v>
      </c>
      <c r="L2144" s="29">
        <v>10.73</v>
      </c>
      <c r="M2144" s="368"/>
      <c r="N2144" s="368"/>
      <c r="O2144" s="271">
        <f>IFERROR(Table17[[#This Row],[PROFIT]]/Table17[[#This Row],[TO]],0)</f>
        <v>0</v>
      </c>
      <c r="P2144" s="177"/>
      <c r="Q2144" s="177"/>
      <c r="R2144" s="177"/>
    </row>
    <row r="2145" spans="1:18" ht="30" hidden="1" x14ac:dyDescent="0.25">
      <c r="A2145" s="29" t="s">
        <v>2073</v>
      </c>
      <c r="B2145" s="29" t="s">
        <v>2072</v>
      </c>
      <c r="C2145" s="29" t="s">
        <v>514</v>
      </c>
      <c r="D2145" s="29" t="str">
        <f>VLOOKUP(C:C,'COUNT-CONT'!B:C,2,FALSE)</f>
        <v>North America</v>
      </c>
      <c r="E2145" s="29">
        <v>4</v>
      </c>
      <c r="F2145" s="28">
        <v>1803</v>
      </c>
      <c r="G2145" s="28">
        <v>3214094287</v>
      </c>
      <c r="H2145" s="29">
        <v>9.43</v>
      </c>
      <c r="I2145" s="142">
        <v>-70.009999999999991</v>
      </c>
      <c r="J2145" s="29">
        <v>6.2</v>
      </c>
      <c r="K2145" s="29">
        <v>5.99</v>
      </c>
      <c r="L2145" s="29">
        <v>10.73</v>
      </c>
      <c r="M2145" s="368"/>
      <c r="N2145" s="368"/>
      <c r="O2145" s="271">
        <f>IFERROR(Table17[[#This Row],[PROFIT]]/Table17[[#This Row],[TO]],0)</f>
        <v>0</v>
      </c>
      <c r="P2145" s="177"/>
      <c r="Q2145" s="177"/>
      <c r="R2145" s="177"/>
    </row>
    <row r="2146" spans="1:18" ht="30" hidden="1" x14ac:dyDescent="0.25">
      <c r="A2146" s="29" t="s">
        <v>2075</v>
      </c>
      <c r="B2146" s="29" t="s">
        <v>2074</v>
      </c>
      <c r="C2146" s="29" t="s">
        <v>514</v>
      </c>
      <c r="D2146" s="29" t="str">
        <f>VLOOKUP(C:C,'COUNT-CONT'!B:C,2,FALSE)</f>
        <v>North America</v>
      </c>
      <c r="E2146" s="29">
        <v>4</v>
      </c>
      <c r="F2146" s="28">
        <v>1834</v>
      </c>
      <c r="G2146" s="28">
        <v>3210081897</v>
      </c>
      <c r="H2146" s="29">
        <v>9.43</v>
      </c>
      <c r="I2146" s="142">
        <v>-70.009999999999991</v>
      </c>
      <c r="J2146" s="29">
        <v>6.23</v>
      </c>
      <c r="K2146" s="29">
        <v>6.02</v>
      </c>
      <c r="L2146" s="29">
        <v>10.73</v>
      </c>
      <c r="M2146" s="368"/>
      <c r="N2146" s="368"/>
      <c r="O2146" s="271">
        <f>IFERROR(Table17[[#This Row],[PROFIT]]/Table17[[#This Row],[TO]],0)</f>
        <v>0</v>
      </c>
      <c r="P2146" s="177"/>
      <c r="Q2146" s="177"/>
      <c r="R2146" s="177"/>
    </row>
    <row r="2147" spans="1:18" ht="30" hidden="1" x14ac:dyDescent="0.25">
      <c r="A2147" s="29" t="s">
        <v>2603</v>
      </c>
      <c r="B2147" s="29" t="s">
        <v>2602</v>
      </c>
      <c r="C2147" s="29" t="s">
        <v>11732</v>
      </c>
      <c r="D2147" s="29" t="str">
        <f>VLOOKUP(C:C,'COUNT-CONT'!B:C,2,FALSE)</f>
        <v>North America</v>
      </c>
      <c r="E2147" s="29">
        <v>3</v>
      </c>
      <c r="F2147" s="28">
        <v>1531</v>
      </c>
      <c r="G2147" s="28">
        <v>3622484650</v>
      </c>
      <c r="H2147" s="29">
        <v>9.4</v>
      </c>
      <c r="I2147" s="142">
        <v>-70.039999999999992</v>
      </c>
      <c r="J2147" s="29">
        <v>7.68</v>
      </c>
      <c r="K2147" s="29">
        <v>7.68</v>
      </c>
      <c r="L2147" s="29">
        <v>12.39</v>
      </c>
      <c r="M2147" s="368"/>
      <c r="N2147" s="368"/>
      <c r="O2147" s="271">
        <f>IFERROR(Table17[[#This Row],[PROFIT]]/Table17[[#This Row],[TO]],0)</f>
        <v>0</v>
      </c>
      <c r="P2147" s="177"/>
      <c r="Q2147" s="177"/>
      <c r="R2147" s="177"/>
    </row>
    <row r="2148" spans="1:18" ht="30" hidden="1" x14ac:dyDescent="0.25">
      <c r="A2148" s="29" t="s">
        <v>2591</v>
      </c>
      <c r="B2148" s="29" t="s">
        <v>2590</v>
      </c>
      <c r="C2148" s="29" t="s">
        <v>11732</v>
      </c>
      <c r="D2148" s="29" t="str">
        <f>VLOOKUP(C:C,'COUNT-CONT'!B:C,2,FALSE)</f>
        <v>North America</v>
      </c>
      <c r="E2148" s="29">
        <v>3</v>
      </c>
      <c r="F2148" s="28">
        <v>1686</v>
      </c>
      <c r="G2148" s="28">
        <v>3568631791</v>
      </c>
      <c r="H2148" s="29">
        <v>9.4</v>
      </c>
      <c r="I2148" s="142">
        <v>-70.039999999999992</v>
      </c>
      <c r="J2148" s="29">
        <v>7.65</v>
      </c>
      <c r="K2148" s="29">
        <v>7.65</v>
      </c>
      <c r="L2148" s="29">
        <v>12.36</v>
      </c>
      <c r="M2148" s="368"/>
      <c r="N2148" s="368"/>
      <c r="O2148" s="271">
        <f>IFERROR(Table17[[#This Row],[PROFIT]]/Table17[[#This Row],[TO]],0)</f>
        <v>0</v>
      </c>
      <c r="P2148" s="177"/>
      <c r="Q2148" s="177"/>
      <c r="R2148" s="177"/>
    </row>
    <row r="2149" spans="1:18" ht="30" hidden="1" x14ac:dyDescent="0.25">
      <c r="A2149" s="29" t="s">
        <v>2063</v>
      </c>
      <c r="B2149" s="29" t="s">
        <v>2062</v>
      </c>
      <c r="C2149" s="29" t="s">
        <v>514</v>
      </c>
      <c r="D2149" s="29" t="str">
        <f>VLOOKUP(C:C,'COUNT-CONT'!B:C,2,FALSE)</f>
        <v>North America</v>
      </c>
      <c r="E2149" s="29">
        <v>1</v>
      </c>
      <c r="F2149" s="28">
        <v>1222</v>
      </c>
      <c r="G2149" s="28">
        <v>3443063666</v>
      </c>
      <c r="H2149" s="29">
        <v>9.4</v>
      </c>
      <c r="I2149" s="142">
        <v>-70.039999999999992</v>
      </c>
      <c r="J2149" s="29">
        <v>6.2</v>
      </c>
      <c r="K2149" s="29">
        <v>5.99</v>
      </c>
      <c r="L2149" s="29">
        <v>10.7</v>
      </c>
      <c r="M2149" s="368"/>
      <c r="N2149" s="368"/>
      <c r="O2149" s="271">
        <f>IFERROR(Table17[[#This Row],[PROFIT]]/Table17[[#This Row],[TO]],0)</f>
        <v>0</v>
      </c>
      <c r="P2149" s="177"/>
      <c r="Q2149" s="177"/>
      <c r="R2149" s="177"/>
    </row>
    <row r="2150" spans="1:18" ht="30" hidden="1" x14ac:dyDescent="0.25">
      <c r="A2150" s="29" t="s">
        <v>2595</v>
      </c>
      <c r="B2150" s="29" t="s">
        <v>2594</v>
      </c>
      <c r="C2150" s="29" t="s">
        <v>11732</v>
      </c>
      <c r="D2150" s="29" t="str">
        <f>VLOOKUP(C:C,'COUNT-CONT'!B:C,2,FALSE)</f>
        <v>North America</v>
      </c>
      <c r="E2150" s="29">
        <v>7</v>
      </c>
      <c r="F2150" s="28">
        <v>2602</v>
      </c>
      <c r="G2150" s="28">
        <v>3428551729</v>
      </c>
      <c r="H2150" s="29">
        <v>9.3699999999999992</v>
      </c>
      <c r="I2150" s="142">
        <v>-70.069999999999993</v>
      </c>
      <c r="J2150" s="29">
        <v>7.65</v>
      </c>
      <c r="K2150" s="29">
        <v>7.65</v>
      </c>
      <c r="L2150" s="29">
        <v>12.36</v>
      </c>
      <c r="M2150" s="368"/>
      <c r="N2150" s="368"/>
      <c r="O2150" s="271">
        <f>IFERROR(Table17[[#This Row],[PROFIT]]/Table17[[#This Row],[TO]],0)</f>
        <v>0</v>
      </c>
      <c r="P2150" s="177"/>
      <c r="Q2150" s="177"/>
      <c r="R2150" s="177"/>
    </row>
    <row r="2151" spans="1:18" ht="30" hidden="1" x14ac:dyDescent="0.25">
      <c r="A2151" s="29" t="s">
        <v>2599</v>
      </c>
      <c r="B2151" s="29" t="s">
        <v>2598</v>
      </c>
      <c r="C2151" s="29" t="s">
        <v>11732</v>
      </c>
      <c r="D2151" s="29" t="str">
        <f>VLOOKUP(C:C,'COUNT-CONT'!B:C,2,FALSE)</f>
        <v>North America</v>
      </c>
      <c r="E2151" s="29">
        <v>8</v>
      </c>
      <c r="F2151" s="28">
        <v>2878</v>
      </c>
      <c r="G2151" s="28">
        <v>3415509867</v>
      </c>
      <c r="H2151" s="29">
        <v>9.3699999999999992</v>
      </c>
      <c r="I2151" s="142">
        <v>-70.069999999999993</v>
      </c>
      <c r="J2151" s="29">
        <v>7.65</v>
      </c>
      <c r="K2151" s="29">
        <v>7.65</v>
      </c>
      <c r="L2151" s="29">
        <v>12.36</v>
      </c>
      <c r="M2151" s="368"/>
      <c r="N2151" s="368"/>
      <c r="O2151" s="271">
        <f>IFERROR(Table17[[#This Row],[PROFIT]]/Table17[[#This Row],[TO]],0)</f>
        <v>0</v>
      </c>
      <c r="P2151" s="177"/>
      <c r="Q2151" s="177"/>
      <c r="R2151" s="177"/>
    </row>
    <row r="2152" spans="1:18" ht="30" hidden="1" x14ac:dyDescent="0.25">
      <c r="A2152" s="29" t="s">
        <v>2046</v>
      </c>
      <c r="B2152" s="29" t="s">
        <v>2045</v>
      </c>
      <c r="C2152" s="29" t="s">
        <v>514</v>
      </c>
      <c r="D2152" s="29" t="str">
        <f>VLOOKUP(C:C,'COUNT-CONT'!B:C,2,FALSE)</f>
        <v>North America</v>
      </c>
      <c r="E2152" s="29">
        <v>1</v>
      </c>
      <c r="F2152" s="28">
        <v>1222</v>
      </c>
      <c r="G2152" s="28">
        <v>3436663666</v>
      </c>
      <c r="H2152" s="29">
        <v>9.3699999999999992</v>
      </c>
      <c r="I2152" s="142">
        <v>-70.069999999999993</v>
      </c>
      <c r="J2152" s="29">
        <v>6.17</v>
      </c>
      <c r="K2152" s="29">
        <v>5.96</v>
      </c>
      <c r="L2152" s="29">
        <v>10.64</v>
      </c>
      <c r="M2152" s="368"/>
      <c r="N2152" s="368"/>
      <c r="O2152" s="271">
        <f>IFERROR(Table17[[#This Row],[PROFIT]]/Table17[[#This Row],[TO]],0)</f>
        <v>0</v>
      </c>
      <c r="P2152" s="177"/>
      <c r="Q2152" s="177"/>
      <c r="R2152" s="177"/>
    </row>
    <row r="2153" spans="1:18" hidden="1" x14ac:dyDescent="0.25">
      <c r="A2153" s="29" t="s">
        <v>639</v>
      </c>
      <c r="B2153" s="29" t="s">
        <v>638</v>
      </c>
      <c r="C2153" s="29" t="s">
        <v>637</v>
      </c>
      <c r="D2153" s="29" t="str">
        <f>VLOOKUP(C:C,'COUNT-CONT'!B:C,2,FALSE)</f>
        <v>Africa</v>
      </c>
      <c r="E2153" s="29">
        <v>1</v>
      </c>
      <c r="F2153" s="28">
        <v>1200</v>
      </c>
      <c r="G2153" s="28">
        <v>2933466666</v>
      </c>
      <c r="H2153" s="29">
        <v>9.34</v>
      </c>
      <c r="I2153" s="142">
        <v>-70.099999999999994</v>
      </c>
      <c r="J2153" s="29">
        <v>1.48</v>
      </c>
      <c r="K2153" s="29">
        <v>0.54</v>
      </c>
      <c r="L2153" s="29">
        <v>5.71</v>
      </c>
      <c r="M2153" s="368"/>
      <c r="N2153" s="368"/>
      <c r="O2153" s="271">
        <f>IFERROR(Table17[[#This Row],[PROFIT]]/Table17[[#This Row],[TO]],0)</f>
        <v>0</v>
      </c>
      <c r="P2153" s="177"/>
      <c r="Q2153" s="177"/>
      <c r="R2153" s="177"/>
    </row>
    <row r="2154" spans="1:18" hidden="1" x14ac:dyDescent="0.25">
      <c r="A2154" s="29" t="s">
        <v>651</v>
      </c>
      <c r="B2154" s="29" t="s">
        <v>650</v>
      </c>
      <c r="C2154" s="29" t="s">
        <v>637</v>
      </c>
      <c r="D2154" s="29" t="str">
        <f>VLOOKUP(C:C,'COUNT-CONT'!B:C,2,FALSE)</f>
        <v>Africa</v>
      </c>
      <c r="E2154" s="29">
        <v>9</v>
      </c>
      <c r="F2154" s="28">
        <v>3145</v>
      </c>
      <c r="G2154" s="28">
        <v>2560961526</v>
      </c>
      <c r="H2154" s="29">
        <v>9.34</v>
      </c>
      <c r="I2154" s="142">
        <v>-70.099999999999994</v>
      </c>
      <c r="J2154" s="29">
        <v>1.48</v>
      </c>
      <c r="K2154" s="29">
        <v>0.54</v>
      </c>
      <c r="L2154" s="29">
        <v>5.71</v>
      </c>
      <c r="M2154" s="368"/>
      <c r="N2154" s="368"/>
      <c r="O2154" s="271">
        <f>IFERROR(Table17[[#This Row],[PROFIT]]/Table17[[#This Row],[TO]],0)</f>
        <v>0</v>
      </c>
      <c r="P2154" s="177"/>
      <c r="Q2154" s="177"/>
      <c r="R2154" s="177"/>
    </row>
    <row r="2155" spans="1:18" ht="30" hidden="1" x14ac:dyDescent="0.25">
      <c r="A2155" s="29" t="s">
        <v>2575</v>
      </c>
      <c r="B2155" s="29" t="s">
        <v>2574</v>
      </c>
      <c r="C2155" s="29" t="s">
        <v>11732</v>
      </c>
      <c r="D2155" s="29" t="str">
        <f>VLOOKUP(C:C,'COUNT-CONT'!B:C,2,FALSE)</f>
        <v>North America</v>
      </c>
      <c r="E2155" s="29">
        <v>6</v>
      </c>
      <c r="F2155" s="28">
        <v>2461</v>
      </c>
      <c r="G2155" s="28">
        <v>3432372775</v>
      </c>
      <c r="H2155" s="29">
        <v>9.34</v>
      </c>
      <c r="I2155" s="142">
        <v>-70.099999999999994</v>
      </c>
      <c r="J2155" s="29">
        <v>7.62</v>
      </c>
      <c r="K2155" s="29">
        <v>7.62</v>
      </c>
      <c r="L2155" s="29">
        <v>12.3</v>
      </c>
      <c r="M2155" s="368"/>
      <c r="N2155" s="368"/>
      <c r="O2155" s="271">
        <f>IFERROR(Table17[[#This Row],[PROFIT]]/Table17[[#This Row],[TO]],0)</f>
        <v>0</v>
      </c>
      <c r="P2155" s="177"/>
      <c r="Q2155" s="177"/>
      <c r="R2155" s="177"/>
    </row>
    <row r="2156" spans="1:18" ht="30" hidden="1" x14ac:dyDescent="0.25">
      <c r="A2156" s="29" t="s">
        <v>2030</v>
      </c>
      <c r="B2156" s="29" t="s">
        <v>2029</v>
      </c>
      <c r="C2156" s="29" t="s">
        <v>514</v>
      </c>
      <c r="D2156" s="29" t="str">
        <f>VLOOKUP(C:C,'COUNT-CONT'!B:C,2,FALSE)</f>
        <v>North America</v>
      </c>
      <c r="E2156" s="29">
        <v>1</v>
      </c>
      <c r="F2156" s="28">
        <v>1064</v>
      </c>
      <c r="G2156" s="28">
        <v>3551334586</v>
      </c>
      <c r="H2156" s="29">
        <v>9.34</v>
      </c>
      <c r="I2156" s="142">
        <v>-70.099999999999994</v>
      </c>
      <c r="J2156" s="29">
        <v>6.14</v>
      </c>
      <c r="K2156" s="29">
        <v>5.93</v>
      </c>
      <c r="L2156" s="29">
        <v>10.61</v>
      </c>
      <c r="M2156" s="368"/>
      <c r="N2156" s="368"/>
      <c r="O2156" s="271">
        <f>IFERROR(Table17[[#This Row],[PROFIT]]/Table17[[#This Row],[TO]],0)</f>
        <v>0</v>
      </c>
      <c r="P2156" s="177"/>
      <c r="Q2156" s="177"/>
      <c r="R2156" s="177"/>
    </row>
    <row r="2157" spans="1:18" ht="30" hidden="1" x14ac:dyDescent="0.25">
      <c r="A2157" s="29" t="s">
        <v>2042</v>
      </c>
      <c r="B2157" s="29" t="s">
        <v>2041</v>
      </c>
      <c r="C2157" s="29" t="s">
        <v>514</v>
      </c>
      <c r="D2157" s="29" t="str">
        <f>VLOOKUP(C:C,'COUNT-CONT'!B:C,2,FALSE)</f>
        <v>North America</v>
      </c>
      <c r="E2157" s="29">
        <v>1</v>
      </c>
      <c r="F2157" s="28">
        <v>1171</v>
      </c>
      <c r="G2157" s="28">
        <v>3469168061</v>
      </c>
      <c r="H2157" s="29">
        <v>9.34</v>
      </c>
      <c r="I2157" s="142">
        <v>-70.099999999999994</v>
      </c>
      <c r="J2157" s="29">
        <v>6.17</v>
      </c>
      <c r="K2157" s="29">
        <v>5.96</v>
      </c>
      <c r="L2157" s="29">
        <v>10.64</v>
      </c>
      <c r="M2157" s="368"/>
      <c r="N2157" s="368"/>
      <c r="O2157" s="271">
        <f>IFERROR(Table17[[#This Row],[PROFIT]]/Table17[[#This Row],[TO]],0)</f>
        <v>0</v>
      </c>
      <c r="P2157" s="177"/>
      <c r="Q2157" s="177"/>
      <c r="R2157" s="177"/>
    </row>
    <row r="2158" spans="1:18" hidden="1" x14ac:dyDescent="0.25">
      <c r="A2158" s="29" t="s">
        <v>1395</v>
      </c>
      <c r="B2158" s="29" t="s">
        <v>1394</v>
      </c>
      <c r="C2158" s="29" t="s">
        <v>630</v>
      </c>
      <c r="D2158" s="29" t="str">
        <f>VLOOKUP(C:C,'COUNT-CONT'!B:C,2,FALSE)</f>
        <v>Europe</v>
      </c>
      <c r="E2158" s="29">
        <v>1</v>
      </c>
      <c r="F2158" s="28">
        <v>1001</v>
      </c>
      <c r="G2158" s="28">
        <v>3367101098</v>
      </c>
      <c r="H2158" s="29">
        <v>9.31</v>
      </c>
      <c r="I2158" s="142">
        <v>-70.13</v>
      </c>
      <c r="J2158" s="29">
        <v>4.38</v>
      </c>
      <c r="K2158" s="29">
        <v>3.87</v>
      </c>
      <c r="L2158" s="29">
        <v>8.8000000000000007</v>
      </c>
      <c r="M2158" s="368"/>
      <c r="N2158" s="368"/>
      <c r="O2158" s="271">
        <f>IFERROR(Table17[[#This Row],[PROFIT]]/Table17[[#This Row],[TO]],0)</f>
        <v>0</v>
      </c>
      <c r="P2158" s="177"/>
      <c r="Q2158" s="177"/>
      <c r="R2158" s="177"/>
    </row>
    <row r="2159" spans="1:18" ht="30" hidden="1" x14ac:dyDescent="0.25">
      <c r="A2159" s="29" t="s">
        <v>1121</v>
      </c>
      <c r="B2159" s="29" t="s">
        <v>1120</v>
      </c>
      <c r="C2159" s="29" t="s">
        <v>860</v>
      </c>
      <c r="D2159" s="29" t="str">
        <f>VLOOKUP(C:C,'COUNT-CONT'!B:C,2,FALSE)</f>
        <v>South America</v>
      </c>
      <c r="E2159" s="29">
        <v>2</v>
      </c>
      <c r="F2159" s="28">
        <v>1494</v>
      </c>
      <c r="G2159" s="28">
        <v>2849578447</v>
      </c>
      <c r="H2159" s="29">
        <v>9.31</v>
      </c>
      <c r="I2159" s="142">
        <v>-70.13</v>
      </c>
      <c r="J2159" s="29">
        <v>3.69</v>
      </c>
      <c r="K2159" s="29">
        <v>3.05</v>
      </c>
      <c r="L2159" s="29">
        <v>8.0399999999999991</v>
      </c>
      <c r="M2159" s="368"/>
      <c r="N2159" s="368"/>
      <c r="O2159" s="271">
        <f>IFERROR(Table17[[#This Row],[PROFIT]]/Table17[[#This Row],[TO]],0)</f>
        <v>0</v>
      </c>
      <c r="P2159" s="177"/>
      <c r="Q2159" s="177"/>
      <c r="R2159" s="177"/>
    </row>
    <row r="2160" spans="1:18" hidden="1" x14ac:dyDescent="0.25">
      <c r="A2160" s="29" t="s">
        <v>1567</v>
      </c>
      <c r="B2160" s="29" t="s">
        <v>1566</v>
      </c>
      <c r="C2160" s="29" t="s">
        <v>142</v>
      </c>
      <c r="D2160" s="29" t="str">
        <f>VLOOKUP(C:C,'COUNT-CONT'!B:C,2,FALSE)</f>
        <v>Asia</v>
      </c>
      <c r="E2160" s="29">
        <v>1</v>
      </c>
      <c r="F2160" s="28">
        <v>1202</v>
      </c>
      <c r="G2160" s="28">
        <v>3272141430</v>
      </c>
      <c r="H2160" s="29">
        <v>9.31</v>
      </c>
      <c r="I2160" s="142">
        <v>-70.13</v>
      </c>
      <c r="J2160" s="29">
        <v>5.0199999999999996</v>
      </c>
      <c r="K2160" s="29">
        <v>4.4400000000000004</v>
      </c>
      <c r="L2160" s="29">
        <v>9.31</v>
      </c>
      <c r="M2160" s="368"/>
      <c r="N2160" s="368"/>
      <c r="O2160" s="271">
        <f>IFERROR(Table17[[#This Row],[PROFIT]]/Table17[[#This Row],[TO]],0)</f>
        <v>0</v>
      </c>
      <c r="P2160" s="177"/>
      <c r="Q2160" s="177"/>
      <c r="R2160" s="177"/>
    </row>
    <row r="2161" spans="1:18" ht="30" hidden="1" x14ac:dyDescent="0.25">
      <c r="A2161" s="29" t="s">
        <v>2015</v>
      </c>
      <c r="B2161" s="29" t="s">
        <v>2014</v>
      </c>
      <c r="C2161" s="29" t="s">
        <v>514</v>
      </c>
      <c r="D2161" s="29" t="str">
        <f>VLOOKUP(C:C,'COUNT-CONT'!B:C,2,FALSE)</f>
        <v>North America</v>
      </c>
      <c r="E2161" s="29">
        <v>2</v>
      </c>
      <c r="F2161" s="28">
        <v>1375</v>
      </c>
      <c r="G2161" s="28">
        <v>3342200000</v>
      </c>
      <c r="H2161" s="29">
        <v>9.31</v>
      </c>
      <c r="I2161" s="142">
        <v>-70.13</v>
      </c>
      <c r="J2161" s="29">
        <v>6.14</v>
      </c>
      <c r="K2161" s="29">
        <v>5.93</v>
      </c>
      <c r="L2161" s="29">
        <v>10.58</v>
      </c>
      <c r="M2161" s="368"/>
      <c r="N2161" s="368"/>
      <c r="O2161" s="271">
        <f>IFERROR(Table17[[#This Row],[PROFIT]]/Table17[[#This Row],[TO]],0)</f>
        <v>0</v>
      </c>
      <c r="P2161" s="177"/>
      <c r="Q2161" s="177"/>
      <c r="R2161" s="177"/>
    </row>
    <row r="2162" spans="1:18" ht="30" hidden="1" x14ac:dyDescent="0.25">
      <c r="A2162" s="29" t="s">
        <v>2017</v>
      </c>
      <c r="B2162" s="29" t="s">
        <v>2016</v>
      </c>
      <c r="C2162" s="29" t="s">
        <v>514</v>
      </c>
      <c r="D2162" s="29" t="str">
        <f>VLOOKUP(C:C,'COUNT-CONT'!B:C,2,FALSE)</f>
        <v>North America</v>
      </c>
      <c r="E2162" s="29">
        <v>3</v>
      </c>
      <c r="F2162" s="28">
        <v>1528</v>
      </c>
      <c r="G2162" s="28">
        <v>3277295287</v>
      </c>
      <c r="H2162" s="29">
        <v>9.31</v>
      </c>
      <c r="I2162" s="142">
        <v>-70.13</v>
      </c>
      <c r="J2162" s="29">
        <v>6.14</v>
      </c>
      <c r="K2162" s="29">
        <v>5.93</v>
      </c>
      <c r="L2162" s="29">
        <v>10.58</v>
      </c>
      <c r="M2162" s="368"/>
      <c r="N2162" s="368"/>
      <c r="O2162" s="271">
        <f>IFERROR(Table17[[#This Row],[PROFIT]]/Table17[[#This Row],[TO]],0)</f>
        <v>0</v>
      </c>
      <c r="P2162" s="177"/>
      <c r="Q2162" s="177"/>
      <c r="R2162" s="177"/>
    </row>
    <row r="2163" spans="1:18" ht="30" hidden="1" x14ac:dyDescent="0.25">
      <c r="A2163" s="29" t="s">
        <v>2551</v>
      </c>
      <c r="B2163" s="29" t="s">
        <v>2550</v>
      </c>
      <c r="C2163" s="29" t="s">
        <v>11732</v>
      </c>
      <c r="D2163" s="29" t="str">
        <f>VLOOKUP(C:C,'COUNT-CONT'!B:C,2,FALSE)</f>
        <v>North America</v>
      </c>
      <c r="E2163" s="29">
        <v>7</v>
      </c>
      <c r="F2163" s="28">
        <v>2725</v>
      </c>
      <c r="G2163" s="28">
        <v>3405769724</v>
      </c>
      <c r="H2163" s="29">
        <v>9.2799999999999994</v>
      </c>
      <c r="I2163" s="142">
        <v>-70.16</v>
      </c>
      <c r="J2163" s="29">
        <v>7.59</v>
      </c>
      <c r="K2163" s="29">
        <v>7.59</v>
      </c>
      <c r="L2163" s="29">
        <v>12.24</v>
      </c>
      <c r="M2163" s="368"/>
      <c r="N2163" s="368"/>
      <c r="O2163" s="271">
        <f>IFERROR(Table17[[#This Row],[PROFIT]]/Table17[[#This Row],[TO]],0)</f>
        <v>0</v>
      </c>
      <c r="P2163" s="177"/>
      <c r="Q2163" s="177"/>
      <c r="R2163" s="177"/>
    </row>
    <row r="2164" spans="1:18" ht="30" hidden="1" x14ac:dyDescent="0.25">
      <c r="A2164" s="29" t="s">
        <v>2524</v>
      </c>
      <c r="B2164" s="29" t="s">
        <v>2523</v>
      </c>
      <c r="C2164" s="29" t="s">
        <v>11732</v>
      </c>
      <c r="D2164" s="29" t="str">
        <f>VLOOKUP(C:C,'COUNT-CONT'!B:C,2,FALSE)</f>
        <v>North America</v>
      </c>
      <c r="E2164" s="29">
        <v>4</v>
      </c>
      <c r="F2164" s="28">
        <v>1990</v>
      </c>
      <c r="G2164" s="28">
        <v>3472063819</v>
      </c>
      <c r="H2164" s="29">
        <v>9.25</v>
      </c>
      <c r="I2164" s="142">
        <v>-70.19</v>
      </c>
      <c r="J2164" s="29">
        <v>7.53</v>
      </c>
      <c r="K2164" s="29">
        <v>7.53</v>
      </c>
      <c r="L2164" s="29">
        <v>12.18</v>
      </c>
      <c r="M2164" s="368"/>
      <c r="N2164" s="368"/>
      <c r="O2164" s="271">
        <f>IFERROR(Table17[[#This Row],[PROFIT]]/Table17[[#This Row],[TO]],0)</f>
        <v>0</v>
      </c>
      <c r="P2164" s="177"/>
      <c r="Q2164" s="177"/>
      <c r="R2164" s="177"/>
    </row>
    <row r="2165" spans="1:18" hidden="1" x14ac:dyDescent="0.25">
      <c r="A2165" s="29" t="s">
        <v>973</v>
      </c>
      <c r="B2165" s="29" t="s">
        <v>972</v>
      </c>
      <c r="C2165" s="29" t="s">
        <v>971</v>
      </c>
      <c r="D2165" s="29" t="str">
        <f>VLOOKUP(C:C,'COUNT-CONT'!B:C,2,FALSE)</f>
        <v>Africa</v>
      </c>
      <c r="E2165" s="29">
        <v>8</v>
      </c>
      <c r="F2165" s="28">
        <v>2902</v>
      </c>
      <c r="G2165" s="28">
        <v>2572248931</v>
      </c>
      <c r="H2165" s="29">
        <v>9.25</v>
      </c>
      <c r="I2165" s="142">
        <v>-70.19</v>
      </c>
      <c r="J2165" s="29">
        <v>3.33</v>
      </c>
      <c r="K2165" s="29">
        <v>2.72</v>
      </c>
      <c r="L2165" s="29">
        <v>7.59</v>
      </c>
      <c r="M2165" s="368"/>
      <c r="N2165" s="368"/>
      <c r="O2165" s="271">
        <f>IFERROR(Table17[[#This Row],[PROFIT]]/Table17[[#This Row],[TO]],0)</f>
        <v>0</v>
      </c>
      <c r="P2165" s="177"/>
      <c r="Q2165" s="177"/>
      <c r="R2165" s="177"/>
    </row>
    <row r="2166" spans="1:18" ht="30" hidden="1" x14ac:dyDescent="0.25">
      <c r="A2166" s="29" t="s">
        <v>1999</v>
      </c>
      <c r="B2166" s="29" t="s">
        <v>1998</v>
      </c>
      <c r="C2166" s="29" t="s">
        <v>514</v>
      </c>
      <c r="D2166" s="29" t="str">
        <f>VLOOKUP(C:C,'COUNT-CONT'!B:C,2,FALSE)</f>
        <v>North America</v>
      </c>
      <c r="E2166" s="29">
        <v>1</v>
      </c>
      <c r="F2166" s="28">
        <v>1070</v>
      </c>
      <c r="G2166" s="28">
        <v>3531737383</v>
      </c>
      <c r="H2166" s="29">
        <v>9.25</v>
      </c>
      <c r="I2166" s="142">
        <v>-70.19</v>
      </c>
      <c r="J2166" s="29">
        <v>6.08</v>
      </c>
      <c r="K2166" s="29">
        <v>5.86</v>
      </c>
      <c r="L2166" s="29">
        <v>10.52</v>
      </c>
      <c r="M2166" s="368"/>
      <c r="N2166" s="368"/>
      <c r="O2166" s="271">
        <f>IFERROR(Table17[[#This Row],[PROFIT]]/Table17[[#This Row],[TO]],0)</f>
        <v>0</v>
      </c>
      <c r="P2166" s="177"/>
      <c r="Q2166" s="177"/>
      <c r="R2166" s="177"/>
    </row>
    <row r="2167" spans="1:18" ht="30" hidden="1" x14ac:dyDescent="0.25">
      <c r="A2167" s="29" t="s">
        <v>2510</v>
      </c>
      <c r="B2167" s="29" t="s">
        <v>2509</v>
      </c>
      <c r="C2167" s="29" t="s">
        <v>11732</v>
      </c>
      <c r="D2167" s="29" t="str">
        <f>VLOOKUP(C:C,'COUNT-CONT'!B:C,2,FALSE)</f>
        <v>North America</v>
      </c>
      <c r="E2167" s="29">
        <v>4</v>
      </c>
      <c r="F2167" s="28">
        <v>1991</v>
      </c>
      <c r="G2167" s="28">
        <v>3470286187</v>
      </c>
      <c r="H2167" s="29">
        <v>9.2200000000000006</v>
      </c>
      <c r="I2167" s="142">
        <v>-70.22</v>
      </c>
      <c r="J2167" s="29">
        <v>7.53</v>
      </c>
      <c r="K2167" s="29">
        <v>7.53</v>
      </c>
      <c r="L2167" s="29">
        <v>12.15</v>
      </c>
      <c r="M2167" s="368"/>
      <c r="N2167" s="368"/>
      <c r="O2167" s="271">
        <f>IFERROR(Table17[[#This Row],[PROFIT]]/Table17[[#This Row],[TO]],0)</f>
        <v>0</v>
      </c>
      <c r="P2167" s="177"/>
      <c r="Q2167" s="177"/>
      <c r="R2167" s="177"/>
    </row>
    <row r="2168" spans="1:18" x14ac:dyDescent="0.25">
      <c r="A2168" s="29" t="s">
        <v>1783</v>
      </c>
      <c r="B2168" s="29" t="s">
        <v>1782</v>
      </c>
      <c r="C2168" s="29" t="s">
        <v>774</v>
      </c>
      <c r="D2168" s="29" t="str">
        <f>VLOOKUP(C:C,'COUNT-CONT'!B:C,2,FALSE)</f>
        <v>Oceania</v>
      </c>
      <c r="E2168" s="29">
        <v>4</v>
      </c>
      <c r="F2168" s="28">
        <v>1905</v>
      </c>
      <c r="G2168" s="28">
        <v>3074927821</v>
      </c>
      <c r="H2168" s="29">
        <v>9.2200000000000006</v>
      </c>
      <c r="I2168" s="142">
        <v>-70.22</v>
      </c>
      <c r="J2168" s="29">
        <v>5.5</v>
      </c>
      <c r="K2168" s="29">
        <v>5.1100000000000003</v>
      </c>
      <c r="L2168" s="29">
        <v>9.82</v>
      </c>
      <c r="M2168" s="368"/>
      <c r="N2168" s="368"/>
      <c r="O2168" s="271">
        <f>IFERROR(Table17[[#This Row],[PROFIT]]/Table17[[#This Row],[TO]],0)</f>
        <v>0</v>
      </c>
      <c r="P2168" s="177"/>
      <c r="Q2168" s="177"/>
      <c r="R2168" s="177"/>
    </row>
    <row r="2169" spans="1:18" ht="30" hidden="1" x14ac:dyDescent="0.25">
      <c r="A2169" s="29" t="s">
        <v>1777</v>
      </c>
      <c r="B2169" s="29" t="s">
        <v>1776</v>
      </c>
      <c r="C2169" s="29" t="s">
        <v>597</v>
      </c>
      <c r="D2169" s="29" t="str">
        <f>VLOOKUP(C:C,'COUNT-CONT'!B:C,2,FALSE)</f>
        <v>Europe</v>
      </c>
      <c r="E2169" s="29">
        <v>1</v>
      </c>
      <c r="F2169" s="28">
        <v>1032</v>
      </c>
      <c r="G2169" s="28">
        <v>3458091472</v>
      </c>
      <c r="H2169" s="29">
        <v>9.2200000000000006</v>
      </c>
      <c r="I2169" s="142">
        <v>-70.22</v>
      </c>
      <c r="J2169" s="29">
        <v>5.5</v>
      </c>
      <c r="K2169" s="29">
        <v>5.1100000000000003</v>
      </c>
      <c r="L2169" s="29">
        <v>9.82</v>
      </c>
      <c r="M2169" s="368"/>
      <c r="N2169" s="368"/>
      <c r="O2169" s="271">
        <f>IFERROR(Table17[[#This Row],[PROFIT]]/Table17[[#This Row],[TO]],0)</f>
        <v>0</v>
      </c>
      <c r="P2169" s="177"/>
      <c r="Q2169" s="177"/>
      <c r="R2169" s="177"/>
    </row>
    <row r="2170" spans="1:18" ht="30" hidden="1" x14ac:dyDescent="0.25">
      <c r="A2170" s="29" t="s">
        <v>1096</v>
      </c>
      <c r="B2170" s="29" t="s">
        <v>1095</v>
      </c>
      <c r="C2170" s="29" t="s">
        <v>860</v>
      </c>
      <c r="D2170" s="29" t="str">
        <f>VLOOKUP(C:C,'COUNT-CONT'!B:C,2,FALSE)</f>
        <v>South America</v>
      </c>
      <c r="E2170" s="29">
        <v>4</v>
      </c>
      <c r="F2170" s="28">
        <v>1802</v>
      </c>
      <c r="G2170" s="28">
        <v>2744932852</v>
      </c>
      <c r="H2170" s="29">
        <v>9.2200000000000006</v>
      </c>
      <c r="I2170" s="142">
        <v>-70.22</v>
      </c>
      <c r="J2170" s="29">
        <v>3.66</v>
      </c>
      <c r="K2170" s="29">
        <v>3.02</v>
      </c>
      <c r="L2170" s="29">
        <v>7.95</v>
      </c>
      <c r="M2170" s="368"/>
      <c r="N2170" s="368"/>
      <c r="O2170" s="271">
        <f>IFERROR(Table17[[#This Row],[PROFIT]]/Table17[[#This Row],[TO]],0)</f>
        <v>0</v>
      </c>
      <c r="P2170" s="177"/>
      <c r="Q2170" s="177"/>
      <c r="R2170" s="177"/>
    </row>
    <row r="2171" spans="1:18" ht="30" hidden="1" x14ac:dyDescent="0.25">
      <c r="A2171" s="29" t="s">
        <v>2504</v>
      </c>
      <c r="B2171" s="29" t="s">
        <v>2503</v>
      </c>
      <c r="C2171" s="29" t="s">
        <v>11732</v>
      </c>
      <c r="D2171" s="29" t="str">
        <f>VLOOKUP(C:C,'COUNT-CONT'!B:C,2,FALSE)</f>
        <v>North America</v>
      </c>
      <c r="E2171" s="29">
        <v>5</v>
      </c>
      <c r="F2171" s="28">
        <v>2023</v>
      </c>
      <c r="G2171" s="28">
        <v>3461546910</v>
      </c>
      <c r="H2171" s="29">
        <v>9.2200000000000006</v>
      </c>
      <c r="I2171" s="142">
        <v>-70.22</v>
      </c>
      <c r="J2171" s="29">
        <v>7.5</v>
      </c>
      <c r="K2171" s="29">
        <v>7.5</v>
      </c>
      <c r="L2171" s="29">
        <v>12.12</v>
      </c>
      <c r="M2171" s="368"/>
      <c r="N2171" s="368"/>
      <c r="O2171" s="271">
        <f>IFERROR(Table17[[#This Row],[PROFIT]]/Table17[[#This Row],[TO]],0)</f>
        <v>0</v>
      </c>
      <c r="P2171" s="177"/>
      <c r="Q2171" s="177"/>
      <c r="R2171" s="177"/>
    </row>
    <row r="2172" spans="1:18" ht="30" hidden="1" x14ac:dyDescent="0.25">
      <c r="A2172" s="29" t="s">
        <v>1991</v>
      </c>
      <c r="B2172" s="29" t="s">
        <v>1990</v>
      </c>
      <c r="C2172" s="29" t="s">
        <v>514</v>
      </c>
      <c r="D2172" s="29" t="str">
        <f>VLOOKUP(C:C,'COUNT-CONT'!B:C,2,FALSE)</f>
        <v>North America</v>
      </c>
      <c r="E2172" s="29">
        <v>2</v>
      </c>
      <c r="F2172" s="28">
        <v>1402</v>
      </c>
      <c r="G2172" s="28">
        <v>3318293437</v>
      </c>
      <c r="H2172" s="29">
        <v>9.2200000000000006</v>
      </c>
      <c r="I2172" s="142">
        <v>-70.22</v>
      </c>
      <c r="J2172" s="29">
        <v>6.08</v>
      </c>
      <c r="K2172" s="29">
        <v>5.86</v>
      </c>
      <c r="L2172" s="29">
        <v>10.49</v>
      </c>
      <c r="M2172" s="368"/>
      <c r="N2172" s="368"/>
      <c r="O2172" s="271">
        <f>IFERROR(Table17[[#This Row],[PROFIT]]/Table17[[#This Row],[TO]],0)</f>
        <v>0</v>
      </c>
      <c r="P2172" s="177"/>
      <c r="Q2172" s="177"/>
      <c r="R2172" s="177"/>
    </row>
    <row r="2173" spans="1:18" ht="30" hidden="1" x14ac:dyDescent="0.25">
      <c r="A2173" s="29" t="s">
        <v>2498</v>
      </c>
      <c r="B2173" s="29" t="s">
        <v>2497</v>
      </c>
      <c r="C2173" s="29" t="s">
        <v>11732</v>
      </c>
      <c r="D2173" s="29" t="str">
        <f>VLOOKUP(C:C,'COUNT-CONT'!B:C,2,FALSE)</f>
        <v>North America</v>
      </c>
      <c r="E2173" s="29">
        <v>5</v>
      </c>
      <c r="F2173" s="28">
        <v>2051</v>
      </c>
      <c r="G2173" s="28">
        <v>3450523744</v>
      </c>
      <c r="H2173" s="29">
        <v>9.19</v>
      </c>
      <c r="I2173" s="142">
        <v>-70.25</v>
      </c>
      <c r="J2173" s="29">
        <v>7.5</v>
      </c>
      <c r="K2173" s="29">
        <v>7.5</v>
      </c>
      <c r="L2173" s="29">
        <v>12.09</v>
      </c>
      <c r="M2173" s="368"/>
      <c r="N2173" s="368"/>
      <c r="O2173" s="271">
        <f>IFERROR(Table17[[#This Row],[PROFIT]]/Table17[[#This Row],[TO]],0)</f>
        <v>0</v>
      </c>
      <c r="P2173" s="177"/>
      <c r="Q2173" s="177"/>
      <c r="R2173" s="177"/>
    </row>
    <row r="2174" spans="1:18" x14ac:dyDescent="0.25">
      <c r="A2174" s="29" t="s">
        <v>1763</v>
      </c>
      <c r="B2174" s="29" t="s">
        <v>1762</v>
      </c>
      <c r="C2174" s="29" t="s">
        <v>774</v>
      </c>
      <c r="D2174" s="29" t="str">
        <f>VLOOKUP(C:C,'COUNT-CONT'!B:C,2,FALSE)</f>
        <v>Oceania</v>
      </c>
      <c r="E2174" s="29">
        <v>4</v>
      </c>
      <c r="F2174" s="28">
        <v>1939</v>
      </c>
      <c r="G2174" s="28">
        <v>3057102733</v>
      </c>
      <c r="H2174" s="29">
        <v>9.16</v>
      </c>
      <c r="I2174" s="142">
        <v>-70.28</v>
      </c>
      <c r="J2174" s="29">
        <v>5.44</v>
      </c>
      <c r="K2174" s="29">
        <v>5.05</v>
      </c>
      <c r="L2174" s="29">
        <v>9.76</v>
      </c>
      <c r="M2174" s="368"/>
      <c r="N2174" s="368"/>
      <c r="O2174" s="271">
        <f>IFERROR(Table17[[#This Row],[PROFIT]]/Table17[[#This Row],[TO]],0)</f>
        <v>0</v>
      </c>
      <c r="P2174" s="177"/>
      <c r="Q2174" s="177"/>
      <c r="R2174" s="177"/>
    </row>
    <row r="2175" spans="1:18" ht="30" hidden="1" x14ac:dyDescent="0.25">
      <c r="A2175" s="29" t="s">
        <v>2494</v>
      </c>
      <c r="B2175" s="29" t="s">
        <v>2493</v>
      </c>
      <c r="C2175" s="29" t="s">
        <v>11732</v>
      </c>
      <c r="D2175" s="29" t="str">
        <f>VLOOKUP(C:C,'COUNT-CONT'!B:C,2,FALSE)</f>
        <v>North America</v>
      </c>
      <c r="E2175" s="29">
        <v>10</v>
      </c>
      <c r="F2175" s="28">
        <v>3980</v>
      </c>
      <c r="G2175" s="28">
        <v>3381081909</v>
      </c>
      <c r="H2175" s="29">
        <v>9.16</v>
      </c>
      <c r="I2175" s="142">
        <v>-70.28</v>
      </c>
      <c r="J2175" s="29">
        <v>7.47</v>
      </c>
      <c r="K2175" s="29">
        <v>7.47</v>
      </c>
      <c r="L2175" s="29">
        <v>12.06</v>
      </c>
      <c r="M2175" s="368"/>
      <c r="N2175" s="368"/>
      <c r="O2175" s="271">
        <f>IFERROR(Table17[[#This Row],[PROFIT]]/Table17[[#This Row],[TO]],0)</f>
        <v>0</v>
      </c>
      <c r="P2175" s="177"/>
      <c r="Q2175" s="177"/>
      <c r="R2175" s="177"/>
    </row>
    <row r="2176" spans="1:18" ht="30" hidden="1" x14ac:dyDescent="0.25">
      <c r="A2176" s="29" t="s">
        <v>1973</v>
      </c>
      <c r="B2176" s="29" t="s">
        <v>1972</v>
      </c>
      <c r="C2176" s="29" t="s">
        <v>514</v>
      </c>
      <c r="D2176" s="29" t="str">
        <f>VLOOKUP(C:C,'COUNT-CONT'!B:C,2,FALSE)</f>
        <v>North America</v>
      </c>
      <c r="E2176" s="29">
        <v>1</v>
      </c>
      <c r="F2176" s="28">
        <v>1161</v>
      </c>
      <c r="G2176" s="28">
        <v>3449059086</v>
      </c>
      <c r="H2176" s="29">
        <v>9.16</v>
      </c>
      <c r="I2176" s="142">
        <v>-70.28</v>
      </c>
      <c r="J2176" s="29">
        <v>6.05</v>
      </c>
      <c r="K2176" s="29">
        <v>5.83</v>
      </c>
      <c r="L2176" s="29">
        <v>10.43</v>
      </c>
      <c r="M2176" s="368"/>
      <c r="N2176" s="368"/>
      <c r="O2176" s="271">
        <f>IFERROR(Table17[[#This Row],[PROFIT]]/Table17[[#This Row],[TO]],0)</f>
        <v>0</v>
      </c>
      <c r="P2176" s="177"/>
      <c r="Q2176" s="177"/>
      <c r="R2176" s="177"/>
    </row>
    <row r="2177" spans="1:18" ht="30" hidden="1" x14ac:dyDescent="0.25">
      <c r="A2177" s="29" t="s">
        <v>1977</v>
      </c>
      <c r="B2177" s="29" t="s">
        <v>1976</v>
      </c>
      <c r="C2177" s="29" t="s">
        <v>514</v>
      </c>
      <c r="D2177" s="29" t="str">
        <f>VLOOKUP(C:C,'COUNT-CONT'!B:C,2,FALSE)</f>
        <v>North America</v>
      </c>
      <c r="E2177" s="29">
        <v>2</v>
      </c>
      <c r="F2177" s="28">
        <v>1293</v>
      </c>
      <c r="G2177" s="28">
        <v>3365534725</v>
      </c>
      <c r="H2177" s="29">
        <v>9.16</v>
      </c>
      <c r="I2177" s="142">
        <v>-70.28</v>
      </c>
      <c r="J2177" s="29">
        <v>6.05</v>
      </c>
      <c r="K2177" s="29">
        <v>5.83</v>
      </c>
      <c r="L2177" s="29">
        <v>10.43</v>
      </c>
      <c r="M2177" s="368"/>
      <c r="N2177" s="368"/>
      <c r="O2177" s="271">
        <f>IFERROR(Table17[[#This Row],[PROFIT]]/Table17[[#This Row],[TO]],0)</f>
        <v>0</v>
      </c>
      <c r="P2177" s="177"/>
      <c r="Q2177" s="177"/>
      <c r="R2177" s="177"/>
    </row>
    <row r="2178" spans="1:18" hidden="1" x14ac:dyDescent="0.25">
      <c r="A2178" s="29" t="s">
        <v>1952</v>
      </c>
      <c r="B2178" s="29" t="s">
        <v>1951</v>
      </c>
      <c r="C2178" s="29" t="s">
        <v>119</v>
      </c>
      <c r="D2178" s="29" t="str">
        <f>VLOOKUP(C:C,'COUNT-CONT'!B:C,2,FALSE)</f>
        <v>Europe</v>
      </c>
      <c r="E2178" s="29">
        <v>2</v>
      </c>
      <c r="F2178" s="28">
        <v>1503</v>
      </c>
      <c r="G2178" s="28">
        <v>3261269594</v>
      </c>
      <c r="H2178" s="29">
        <v>9.1300000000000008</v>
      </c>
      <c r="I2178" s="142">
        <v>-70.31</v>
      </c>
      <c r="J2178" s="29">
        <v>6.02</v>
      </c>
      <c r="K2178" s="29">
        <v>5.8</v>
      </c>
      <c r="L2178" s="29">
        <v>10.37</v>
      </c>
      <c r="M2178" s="368"/>
      <c r="N2178" s="368"/>
      <c r="O2178" s="271">
        <f>IFERROR(Table17[[#This Row],[PROFIT]]/Table17[[#This Row],[TO]],0)</f>
        <v>0</v>
      </c>
      <c r="P2178" s="177"/>
      <c r="Q2178" s="177"/>
      <c r="R2178" s="177"/>
    </row>
    <row r="2179" spans="1:18" ht="30" x14ac:dyDescent="0.25">
      <c r="A2179" s="29" t="s">
        <v>1333</v>
      </c>
      <c r="B2179" s="29" t="s">
        <v>1332</v>
      </c>
      <c r="C2179" s="29" t="s">
        <v>662</v>
      </c>
      <c r="D2179" s="29" t="str">
        <f>VLOOKUP(C:C,'COUNT-CONT'!B:C,2,FALSE)</f>
        <v>Oceania</v>
      </c>
      <c r="E2179" s="29">
        <v>10</v>
      </c>
      <c r="F2179" s="28">
        <v>3339</v>
      </c>
      <c r="G2179" s="28">
        <v>2720339952</v>
      </c>
      <c r="H2179" s="29">
        <v>9.1300000000000008</v>
      </c>
      <c r="I2179" s="142">
        <v>-70.31</v>
      </c>
      <c r="J2179" s="29">
        <v>4.47</v>
      </c>
      <c r="K2179" s="29">
        <v>3.78</v>
      </c>
      <c r="L2179" s="29">
        <v>8.6199999999999992</v>
      </c>
      <c r="M2179" s="368"/>
      <c r="N2179" s="368"/>
      <c r="O2179" s="271">
        <f>IFERROR(Table17[[#This Row],[PROFIT]]/Table17[[#This Row],[TO]],0)</f>
        <v>0</v>
      </c>
      <c r="P2179" s="177"/>
      <c r="Q2179" s="177"/>
      <c r="R2179" s="177"/>
    </row>
    <row r="2180" spans="1:18" hidden="1" x14ac:dyDescent="0.25">
      <c r="A2180" s="29" t="s">
        <v>741</v>
      </c>
      <c r="B2180" s="29" t="s">
        <v>740</v>
      </c>
      <c r="C2180" s="29" t="s">
        <v>580</v>
      </c>
      <c r="D2180" s="29" t="str">
        <f>VLOOKUP(C:C,'COUNT-CONT'!B:C,2,FALSE)</f>
        <v>Africa</v>
      </c>
      <c r="E2180" s="29">
        <v>6</v>
      </c>
      <c r="F2180" s="28">
        <v>2293</v>
      </c>
      <c r="G2180" s="28">
        <v>2551720889</v>
      </c>
      <c r="H2180" s="29">
        <v>9.1300000000000008</v>
      </c>
      <c r="I2180" s="142">
        <v>-70.31</v>
      </c>
      <c r="J2180" s="29">
        <v>2.2999999999999998</v>
      </c>
      <c r="K2180" s="29">
        <v>1.54</v>
      </c>
      <c r="L2180" s="29">
        <v>6.44</v>
      </c>
      <c r="M2180" s="368"/>
      <c r="N2180" s="368"/>
      <c r="O2180" s="271">
        <f>IFERROR(Table17[[#This Row],[PROFIT]]/Table17[[#This Row],[TO]],0)</f>
        <v>0</v>
      </c>
      <c r="P2180" s="177"/>
      <c r="Q2180" s="177"/>
      <c r="R2180" s="177"/>
    </row>
    <row r="2181" spans="1:18" x14ac:dyDescent="0.25">
      <c r="A2181" s="29" t="s">
        <v>1730</v>
      </c>
      <c r="B2181" s="29" t="s">
        <v>1729</v>
      </c>
      <c r="C2181" s="29" t="s">
        <v>774</v>
      </c>
      <c r="D2181" s="29" t="str">
        <f>VLOOKUP(C:C,'COUNT-CONT'!B:C,2,FALSE)</f>
        <v>Oceania</v>
      </c>
      <c r="E2181" s="29">
        <v>3</v>
      </c>
      <c r="F2181" s="28">
        <v>1615</v>
      </c>
      <c r="G2181" s="28">
        <v>3133814551</v>
      </c>
      <c r="H2181" s="29">
        <v>9.1300000000000008</v>
      </c>
      <c r="I2181" s="142">
        <v>-70.31</v>
      </c>
      <c r="J2181" s="29">
        <v>5.44</v>
      </c>
      <c r="K2181" s="29">
        <v>5.05</v>
      </c>
      <c r="L2181" s="29">
        <v>9.6999999999999993</v>
      </c>
      <c r="M2181" s="368"/>
      <c r="N2181" s="368"/>
      <c r="O2181" s="271">
        <f>IFERROR(Table17[[#This Row],[PROFIT]]/Table17[[#This Row],[TO]],0)</f>
        <v>0</v>
      </c>
      <c r="P2181" s="177"/>
      <c r="Q2181" s="177"/>
      <c r="R2181" s="177"/>
    </row>
    <row r="2182" spans="1:18" hidden="1" x14ac:dyDescent="0.25">
      <c r="A2182" s="29" t="s">
        <v>1119</v>
      </c>
      <c r="B2182" s="29" t="s">
        <v>1118</v>
      </c>
      <c r="C2182" s="29" t="s">
        <v>1117</v>
      </c>
      <c r="D2182" s="29" t="str">
        <f>VLOOKUP(C:C,'COUNT-CONT'!B:C,2,FALSE)</f>
        <v>Europe</v>
      </c>
      <c r="E2182" s="29">
        <v>6</v>
      </c>
      <c r="F2182" s="28">
        <v>2502</v>
      </c>
      <c r="G2182" s="28">
        <v>2650448281</v>
      </c>
      <c r="H2182" s="29">
        <v>9.1300000000000008</v>
      </c>
      <c r="I2182" s="142">
        <v>-70.31</v>
      </c>
      <c r="J2182" s="29">
        <v>3.84</v>
      </c>
      <c r="K2182" s="29">
        <v>3.2</v>
      </c>
      <c r="L2182" s="29">
        <v>8.01</v>
      </c>
      <c r="M2182" s="368"/>
      <c r="N2182" s="368"/>
      <c r="O2182" s="271">
        <f>IFERROR(Table17[[#This Row],[PROFIT]]/Table17[[#This Row],[TO]],0)</f>
        <v>0</v>
      </c>
      <c r="P2182" s="177"/>
      <c r="Q2182" s="177"/>
      <c r="R2182" s="177"/>
    </row>
    <row r="2183" spans="1:18" x14ac:dyDescent="0.25">
      <c r="A2183" s="29" t="s">
        <v>1746</v>
      </c>
      <c r="B2183" s="29" t="s">
        <v>1745</v>
      </c>
      <c r="C2183" s="29" t="s">
        <v>774</v>
      </c>
      <c r="D2183" s="29" t="str">
        <f>VLOOKUP(C:C,'COUNT-CONT'!B:C,2,FALSE)</f>
        <v>Oceania</v>
      </c>
      <c r="E2183" s="29">
        <v>3</v>
      </c>
      <c r="F2183" s="28">
        <v>1687</v>
      </c>
      <c r="G2183" s="28">
        <v>3113445050</v>
      </c>
      <c r="H2183" s="29">
        <v>9.1300000000000008</v>
      </c>
      <c r="I2183" s="142">
        <v>-70.31</v>
      </c>
      <c r="J2183" s="29">
        <v>5.44</v>
      </c>
      <c r="K2183" s="29">
        <v>5.05</v>
      </c>
      <c r="L2183" s="29">
        <v>9.73</v>
      </c>
      <c r="M2183" s="368"/>
      <c r="N2183" s="368"/>
      <c r="O2183" s="271">
        <f>IFERROR(Table17[[#This Row],[PROFIT]]/Table17[[#This Row],[TO]],0)</f>
        <v>0</v>
      </c>
      <c r="P2183" s="177"/>
      <c r="Q2183" s="177"/>
      <c r="R2183" s="177"/>
    </row>
    <row r="2184" spans="1:18" hidden="1" x14ac:dyDescent="0.25">
      <c r="A2184" s="29" t="s">
        <v>1167</v>
      </c>
      <c r="B2184" s="29" t="s">
        <v>1166</v>
      </c>
      <c r="C2184" s="29" t="s">
        <v>605</v>
      </c>
      <c r="D2184" s="29" t="str">
        <f>VLOOKUP(C:C,'COUNT-CONT'!B:C,2,FALSE)</f>
        <v>Europe</v>
      </c>
      <c r="E2184" s="29">
        <v>3</v>
      </c>
      <c r="F2184" s="28">
        <v>1722</v>
      </c>
      <c r="G2184" s="28">
        <v>2922592102</v>
      </c>
      <c r="H2184" s="29">
        <v>9.1</v>
      </c>
      <c r="I2184" s="142">
        <v>-70.34</v>
      </c>
      <c r="J2184" s="29">
        <v>3.9</v>
      </c>
      <c r="K2184" s="29">
        <v>3.39</v>
      </c>
      <c r="L2184" s="29">
        <v>8.1300000000000008</v>
      </c>
      <c r="M2184" s="368"/>
      <c r="N2184" s="368"/>
      <c r="O2184" s="271">
        <f>IFERROR(Table17[[#This Row],[PROFIT]]/Table17[[#This Row],[TO]],0)</f>
        <v>0</v>
      </c>
      <c r="P2184" s="177"/>
      <c r="Q2184" s="177"/>
      <c r="R2184" s="177"/>
    </row>
    <row r="2185" spans="1:18" ht="30" hidden="1" x14ac:dyDescent="0.25">
      <c r="A2185" s="29" t="s">
        <v>1026</v>
      </c>
      <c r="B2185" s="29" t="s">
        <v>1025</v>
      </c>
      <c r="C2185" s="29" t="s">
        <v>505</v>
      </c>
      <c r="D2185" s="29" t="e">
        <f>VLOOKUP(C:C,'COUNT-CONT'!B:C,2,FALSE)</f>
        <v>#N/A</v>
      </c>
      <c r="E2185" s="29">
        <v>5</v>
      </c>
      <c r="F2185" s="28">
        <v>2101</v>
      </c>
      <c r="G2185" s="28">
        <v>2652760209</v>
      </c>
      <c r="H2185" s="29">
        <v>9.07</v>
      </c>
      <c r="I2185" s="142">
        <v>-70.37</v>
      </c>
      <c r="J2185" s="29">
        <v>3.54</v>
      </c>
      <c r="K2185" s="29">
        <v>2.9</v>
      </c>
      <c r="L2185" s="29">
        <v>7.71</v>
      </c>
      <c r="M2185" s="368"/>
      <c r="N2185" s="368"/>
      <c r="O2185" s="271">
        <f>IFERROR(Table17[[#This Row],[PROFIT]]/Table17[[#This Row],[TO]],0)</f>
        <v>0</v>
      </c>
      <c r="P2185" s="177"/>
      <c r="Q2185" s="177"/>
      <c r="R2185" s="177"/>
    </row>
    <row r="2186" spans="1:18" ht="30" hidden="1" x14ac:dyDescent="0.25">
      <c r="A2186" s="29" t="s">
        <v>1926</v>
      </c>
      <c r="B2186" s="29" t="s">
        <v>1925</v>
      </c>
      <c r="C2186" s="29" t="s">
        <v>514</v>
      </c>
      <c r="D2186" s="29" t="str">
        <f>VLOOKUP(C:C,'COUNT-CONT'!B:C,2,FALSE)</f>
        <v>North America</v>
      </c>
      <c r="E2186" s="29">
        <v>1</v>
      </c>
      <c r="F2186" s="28">
        <v>1222</v>
      </c>
      <c r="G2186" s="28">
        <v>3391863666</v>
      </c>
      <c r="H2186" s="29">
        <v>9.07</v>
      </c>
      <c r="I2186" s="142">
        <v>-70.37</v>
      </c>
      <c r="J2186" s="29">
        <v>5.96</v>
      </c>
      <c r="K2186" s="29">
        <v>5.74</v>
      </c>
      <c r="L2186" s="29">
        <v>10.31</v>
      </c>
      <c r="M2186" s="368"/>
      <c r="N2186" s="368"/>
      <c r="O2186" s="271">
        <f>IFERROR(Table17[[#This Row],[PROFIT]]/Table17[[#This Row],[TO]],0)</f>
        <v>0</v>
      </c>
      <c r="P2186" s="177"/>
      <c r="Q2186" s="177"/>
      <c r="R2186" s="177"/>
    </row>
    <row r="2187" spans="1:18" ht="30" hidden="1" x14ac:dyDescent="0.25">
      <c r="A2187" s="29" t="s">
        <v>1928</v>
      </c>
      <c r="B2187" s="29" t="s">
        <v>1927</v>
      </c>
      <c r="C2187" s="29" t="s">
        <v>514</v>
      </c>
      <c r="D2187" s="29" t="str">
        <f>VLOOKUP(C:C,'COUNT-CONT'!B:C,2,FALSE)</f>
        <v>North America</v>
      </c>
      <c r="E2187" s="29">
        <v>1</v>
      </c>
      <c r="F2187" s="28">
        <v>1222</v>
      </c>
      <c r="G2187" s="28">
        <v>3393463666</v>
      </c>
      <c r="H2187" s="29">
        <v>9.07</v>
      </c>
      <c r="I2187" s="142">
        <v>-70.37</v>
      </c>
      <c r="J2187" s="29">
        <v>5.99</v>
      </c>
      <c r="K2187" s="29">
        <v>5.77</v>
      </c>
      <c r="L2187" s="29">
        <v>10.31</v>
      </c>
      <c r="M2187" s="368"/>
      <c r="N2187" s="368"/>
      <c r="O2187" s="271">
        <f>IFERROR(Table17[[#This Row],[PROFIT]]/Table17[[#This Row],[TO]],0)</f>
        <v>0</v>
      </c>
      <c r="P2187" s="177"/>
      <c r="Q2187" s="177"/>
      <c r="R2187" s="177"/>
    </row>
    <row r="2188" spans="1:18" ht="30" hidden="1" x14ac:dyDescent="0.25">
      <c r="A2188" s="29" t="s">
        <v>2458</v>
      </c>
      <c r="B2188" s="29" t="s">
        <v>2457</v>
      </c>
      <c r="C2188" s="29" t="s">
        <v>11732</v>
      </c>
      <c r="D2188" s="29" t="str">
        <f>VLOOKUP(C:C,'COUNT-CONT'!B:C,2,FALSE)</f>
        <v>North America</v>
      </c>
      <c r="E2188" s="29">
        <v>4</v>
      </c>
      <c r="F2188" s="28">
        <v>1988</v>
      </c>
      <c r="G2188" s="28">
        <v>3437319919</v>
      </c>
      <c r="H2188" s="29">
        <v>9.0399999999999991</v>
      </c>
      <c r="I2188" s="142">
        <v>-70.400000000000006</v>
      </c>
      <c r="J2188" s="29">
        <v>7.38</v>
      </c>
      <c r="K2188" s="29">
        <v>7.38</v>
      </c>
      <c r="L2188" s="29">
        <v>11.91</v>
      </c>
      <c r="M2188" s="368"/>
      <c r="N2188" s="368"/>
      <c r="O2188" s="271">
        <f>IFERROR(Table17[[#This Row],[PROFIT]]/Table17[[#This Row],[TO]],0)</f>
        <v>0</v>
      </c>
      <c r="P2188" s="177"/>
      <c r="Q2188" s="177"/>
      <c r="R2188" s="177"/>
    </row>
    <row r="2189" spans="1:18" x14ac:dyDescent="0.25">
      <c r="A2189" s="29" t="s">
        <v>1707</v>
      </c>
      <c r="B2189" s="29" t="s">
        <v>1706</v>
      </c>
      <c r="C2189" s="29" t="s">
        <v>774</v>
      </c>
      <c r="D2189" s="29" t="str">
        <f>VLOOKUP(C:C,'COUNT-CONT'!B:C,2,FALSE)</f>
        <v>Oceania</v>
      </c>
      <c r="E2189" s="29">
        <v>3</v>
      </c>
      <c r="F2189" s="28">
        <v>1603</v>
      </c>
      <c r="G2189" s="28">
        <v>3126413349</v>
      </c>
      <c r="H2189" s="29">
        <v>9.0399999999999991</v>
      </c>
      <c r="I2189" s="142">
        <v>-70.400000000000006</v>
      </c>
      <c r="J2189" s="29">
        <v>5.38</v>
      </c>
      <c r="K2189" s="29">
        <v>4.99</v>
      </c>
      <c r="L2189" s="29">
        <v>9.64</v>
      </c>
      <c r="M2189" s="368"/>
      <c r="N2189" s="368"/>
      <c r="O2189" s="271">
        <f>IFERROR(Table17[[#This Row],[PROFIT]]/Table17[[#This Row],[TO]],0)</f>
        <v>0</v>
      </c>
      <c r="P2189" s="177"/>
      <c r="Q2189" s="177"/>
      <c r="R2189" s="177"/>
    </row>
    <row r="2190" spans="1:18" hidden="1" x14ac:dyDescent="0.25">
      <c r="A2190" s="29" t="s">
        <v>613</v>
      </c>
      <c r="B2190" s="29" t="s">
        <v>612</v>
      </c>
      <c r="C2190" s="29" t="s">
        <v>611</v>
      </c>
      <c r="D2190" s="29" t="str">
        <f>VLOOKUP(C:C,'COUNT-CONT'!B:C,2,FALSE)</f>
        <v>Africa</v>
      </c>
      <c r="E2190" s="29">
        <v>4</v>
      </c>
      <c r="F2190" s="28">
        <v>2841</v>
      </c>
      <c r="G2190" s="28">
        <v>2428787609</v>
      </c>
      <c r="H2190" s="29">
        <v>9.0399999999999991</v>
      </c>
      <c r="I2190" s="142">
        <v>-70.400000000000006</v>
      </c>
      <c r="J2190" s="29">
        <v>1.39</v>
      </c>
      <c r="K2190" s="29">
        <v>0.54</v>
      </c>
      <c r="L2190" s="29">
        <v>5.44</v>
      </c>
      <c r="M2190" s="368"/>
      <c r="N2190" s="368"/>
      <c r="O2190" s="271">
        <f>IFERROR(Table17[[#This Row],[PROFIT]]/Table17[[#This Row],[TO]],0)</f>
        <v>0</v>
      </c>
      <c r="P2190" s="177"/>
      <c r="Q2190" s="177"/>
      <c r="R2190" s="177"/>
    </row>
    <row r="2191" spans="1:18" ht="30" hidden="1" x14ac:dyDescent="0.25">
      <c r="A2191" s="29" t="s">
        <v>2451</v>
      </c>
      <c r="B2191" s="29" t="s">
        <v>2450</v>
      </c>
      <c r="C2191" s="29" t="s">
        <v>11732</v>
      </c>
      <c r="D2191" s="29" t="str">
        <f>VLOOKUP(C:C,'COUNT-CONT'!B:C,2,FALSE)</f>
        <v>North America</v>
      </c>
      <c r="E2191" s="29">
        <v>9</v>
      </c>
      <c r="F2191" s="28">
        <v>3060</v>
      </c>
      <c r="G2191" s="28">
        <v>3347077124</v>
      </c>
      <c r="H2191" s="29">
        <v>9.01</v>
      </c>
      <c r="I2191" s="142">
        <v>-70.429999999999993</v>
      </c>
      <c r="J2191" s="29">
        <v>7.35</v>
      </c>
      <c r="K2191" s="29">
        <v>7.35</v>
      </c>
      <c r="L2191" s="29">
        <v>11.88</v>
      </c>
      <c r="M2191" s="368"/>
      <c r="N2191" s="368"/>
      <c r="O2191" s="271">
        <f>IFERROR(Table17[[#This Row],[PROFIT]]/Table17[[#This Row],[TO]],0)</f>
        <v>0</v>
      </c>
      <c r="P2191" s="177"/>
      <c r="Q2191" s="177"/>
      <c r="R2191" s="177"/>
    </row>
    <row r="2192" spans="1:18" ht="30" hidden="1" x14ac:dyDescent="0.25">
      <c r="A2192" s="29" t="s">
        <v>646</v>
      </c>
      <c r="B2192" s="29" t="s">
        <v>645</v>
      </c>
      <c r="C2192" s="29" t="s">
        <v>644</v>
      </c>
      <c r="D2192" s="29" t="str">
        <f>VLOOKUP(C:C,'COUNT-CONT'!B:C,2,FALSE)</f>
        <v>Africa</v>
      </c>
      <c r="E2192" s="29">
        <v>3</v>
      </c>
      <c r="F2192" s="28">
        <v>1620</v>
      </c>
      <c r="G2192" s="28">
        <v>2677812345</v>
      </c>
      <c r="H2192" s="29">
        <v>9.01</v>
      </c>
      <c r="I2192" s="142">
        <v>-70.429999999999993</v>
      </c>
      <c r="J2192" s="29">
        <v>1.69</v>
      </c>
      <c r="K2192" s="29">
        <v>0.79</v>
      </c>
      <c r="L2192" s="29">
        <v>5.71</v>
      </c>
      <c r="M2192" s="368"/>
      <c r="N2192" s="368"/>
      <c r="O2192" s="271">
        <f>IFERROR(Table17[[#This Row],[PROFIT]]/Table17[[#This Row],[TO]],0)</f>
        <v>0</v>
      </c>
      <c r="P2192" s="177"/>
      <c r="Q2192" s="177"/>
      <c r="R2192" s="177"/>
    </row>
    <row r="2193" spans="1:18" ht="30" hidden="1" x14ac:dyDescent="0.25">
      <c r="A2193" s="29" t="s">
        <v>1049</v>
      </c>
      <c r="B2193" s="29" t="s">
        <v>1048</v>
      </c>
      <c r="C2193" s="29" t="s">
        <v>600</v>
      </c>
      <c r="D2193" s="29" t="str">
        <f>VLOOKUP(C:C,'COUNT-CONT'!B:C,2,FALSE)</f>
        <v>North America</v>
      </c>
      <c r="E2193" s="29">
        <v>1</v>
      </c>
      <c r="F2193" s="28">
        <v>1200</v>
      </c>
      <c r="G2193" s="28">
        <v>3057966666</v>
      </c>
      <c r="H2193" s="29">
        <v>9.01</v>
      </c>
      <c r="I2193" s="142">
        <v>-70.429999999999993</v>
      </c>
      <c r="J2193" s="29">
        <v>3.78</v>
      </c>
      <c r="K2193" s="29">
        <v>3.14</v>
      </c>
      <c r="L2193" s="29">
        <v>7.89</v>
      </c>
      <c r="M2193" s="368"/>
      <c r="N2193" s="368"/>
      <c r="O2193" s="271">
        <f>IFERROR(Table17[[#This Row],[PROFIT]]/Table17[[#This Row],[TO]],0)</f>
        <v>0</v>
      </c>
      <c r="P2193" s="177"/>
      <c r="Q2193" s="177"/>
      <c r="R2193" s="177"/>
    </row>
    <row r="2194" spans="1:18" ht="30" hidden="1" x14ac:dyDescent="0.25">
      <c r="A2194" s="29" t="s">
        <v>1908</v>
      </c>
      <c r="B2194" s="29" t="s">
        <v>1907</v>
      </c>
      <c r="C2194" s="29" t="s">
        <v>514</v>
      </c>
      <c r="D2194" s="29" t="str">
        <f>VLOOKUP(C:C,'COUNT-CONT'!B:C,2,FALSE)</f>
        <v>North America</v>
      </c>
      <c r="E2194" s="29">
        <v>3</v>
      </c>
      <c r="F2194" s="28">
        <v>1527</v>
      </c>
      <c r="G2194" s="28">
        <v>3236166732</v>
      </c>
      <c r="H2194" s="29">
        <v>9.01</v>
      </c>
      <c r="I2194" s="142">
        <v>-70.429999999999993</v>
      </c>
      <c r="J2194" s="29">
        <v>5.93</v>
      </c>
      <c r="K2194" s="29">
        <v>5.74</v>
      </c>
      <c r="L2194" s="29">
        <v>10.25</v>
      </c>
      <c r="M2194" s="368"/>
      <c r="N2194" s="368"/>
      <c r="O2194" s="271">
        <f>IFERROR(Table17[[#This Row],[PROFIT]]/Table17[[#This Row],[TO]],0)</f>
        <v>0</v>
      </c>
      <c r="P2194" s="177"/>
      <c r="Q2194" s="177"/>
      <c r="R2194" s="177"/>
    </row>
    <row r="2195" spans="1:18" ht="30" hidden="1" x14ac:dyDescent="0.25">
      <c r="A2195" s="29" t="s">
        <v>1761</v>
      </c>
      <c r="B2195" s="29" t="s">
        <v>1760</v>
      </c>
      <c r="C2195" s="29" t="s">
        <v>83</v>
      </c>
      <c r="D2195" s="29" t="str">
        <f>VLOOKUP(C:C,'COUNT-CONT'!B:C,2,FALSE)</f>
        <v>Europe</v>
      </c>
      <c r="E2195" s="29">
        <v>4</v>
      </c>
      <c r="F2195" s="28">
        <v>1839</v>
      </c>
      <c r="G2195" s="28">
        <v>3066151169</v>
      </c>
      <c r="H2195" s="29">
        <v>8.98</v>
      </c>
      <c r="I2195" s="142">
        <v>-70.459999999999994</v>
      </c>
      <c r="J2195" s="29">
        <v>5.47</v>
      </c>
      <c r="K2195" s="29">
        <v>5.08</v>
      </c>
      <c r="L2195" s="29">
        <v>9.76</v>
      </c>
      <c r="M2195" s="368"/>
      <c r="N2195" s="368"/>
      <c r="O2195" s="271">
        <f>IFERROR(Table17[[#This Row],[PROFIT]]/Table17[[#This Row],[TO]],0)</f>
        <v>0</v>
      </c>
      <c r="P2195" s="177"/>
      <c r="Q2195" s="177"/>
      <c r="R2195" s="177"/>
    </row>
    <row r="2196" spans="1:18" hidden="1" x14ac:dyDescent="0.25">
      <c r="A2196" s="29" t="s">
        <v>1759</v>
      </c>
      <c r="B2196" s="29" t="s">
        <v>1758</v>
      </c>
      <c r="C2196" s="29" t="s">
        <v>1427</v>
      </c>
      <c r="D2196" s="29" t="str">
        <f>VLOOKUP(C:C,'COUNT-CONT'!B:C,2,FALSE)</f>
        <v>Europe</v>
      </c>
      <c r="E2196" s="29">
        <v>3</v>
      </c>
      <c r="F2196" s="28">
        <v>1556</v>
      </c>
      <c r="G2196" s="28">
        <v>3146640874</v>
      </c>
      <c r="H2196" s="29">
        <v>8.98</v>
      </c>
      <c r="I2196" s="142">
        <v>-70.459999999999994</v>
      </c>
      <c r="J2196" s="29">
        <v>5.47</v>
      </c>
      <c r="K2196" s="29">
        <v>5.08</v>
      </c>
      <c r="L2196" s="29">
        <v>9.76</v>
      </c>
      <c r="M2196" s="368"/>
      <c r="N2196" s="368"/>
      <c r="O2196" s="271">
        <f>IFERROR(Table17[[#This Row],[PROFIT]]/Table17[[#This Row],[TO]],0)</f>
        <v>0</v>
      </c>
      <c r="P2196" s="177"/>
      <c r="Q2196" s="177"/>
      <c r="R2196" s="177"/>
    </row>
    <row r="2197" spans="1:18" ht="30" hidden="1" x14ac:dyDescent="0.25">
      <c r="A2197" s="29" t="s">
        <v>1030</v>
      </c>
      <c r="B2197" s="29" t="s">
        <v>1029</v>
      </c>
      <c r="C2197" s="29" t="s">
        <v>683</v>
      </c>
      <c r="D2197" s="29" t="str">
        <f>VLOOKUP(C:C,'COUNT-CONT'!B:C,2,FALSE)</f>
        <v>North America</v>
      </c>
      <c r="E2197" s="29">
        <v>6</v>
      </c>
      <c r="F2197" s="28">
        <v>2360</v>
      </c>
      <c r="G2197" s="28">
        <v>2627501694</v>
      </c>
      <c r="H2197" s="29">
        <v>8.98</v>
      </c>
      <c r="I2197" s="142">
        <v>-70.459999999999994</v>
      </c>
      <c r="J2197" s="29">
        <v>3.54</v>
      </c>
      <c r="K2197" s="29">
        <v>2.93</v>
      </c>
      <c r="L2197" s="29">
        <v>7.74</v>
      </c>
      <c r="M2197" s="368"/>
      <c r="N2197" s="368"/>
      <c r="O2197" s="271">
        <f>IFERROR(Table17[[#This Row],[PROFIT]]/Table17[[#This Row],[TO]],0)</f>
        <v>0</v>
      </c>
      <c r="P2197" s="177"/>
      <c r="Q2197" s="177"/>
      <c r="R2197" s="177"/>
    </row>
    <row r="2198" spans="1:18" hidden="1" x14ac:dyDescent="0.25">
      <c r="A2198" s="29" t="s">
        <v>820</v>
      </c>
      <c r="B2198" s="29" t="s">
        <v>819</v>
      </c>
      <c r="C2198" s="29" t="s">
        <v>493</v>
      </c>
      <c r="D2198" s="29" t="str">
        <f>VLOOKUP(C:C,'COUNT-CONT'!B:C,2,FALSE)</f>
        <v>Africa</v>
      </c>
      <c r="E2198" s="29">
        <v>8</v>
      </c>
      <c r="F2198" s="28">
        <v>1500</v>
      </c>
      <c r="G2198" s="28">
        <v>2863533333</v>
      </c>
      <c r="H2198" s="29">
        <v>8.98</v>
      </c>
      <c r="I2198" s="142">
        <v>-70.459999999999994</v>
      </c>
      <c r="J2198" s="29">
        <v>2.9</v>
      </c>
      <c r="K2198" s="29">
        <v>2.06</v>
      </c>
      <c r="L2198" s="29">
        <v>6.92</v>
      </c>
      <c r="M2198" s="368"/>
      <c r="N2198" s="368"/>
      <c r="O2198" s="271">
        <f>IFERROR(Table17[[#This Row],[PROFIT]]/Table17[[#This Row],[TO]],0)</f>
        <v>0</v>
      </c>
      <c r="P2198" s="177"/>
      <c r="Q2198" s="177"/>
      <c r="R2198" s="177"/>
    </row>
    <row r="2199" spans="1:18" ht="30" hidden="1" x14ac:dyDescent="0.25">
      <c r="A2199" s="29" t="s">
        <v>1447</v>
      </c>
      <c r="B2199" s="29" t="s">
        <v>1446</v>
      </c>
      <c r="C2199" s="29" t="s">
        <v>13119</v>
      </c>
      <c r="D2199" s="29" t="str">
        <f>VLOOKUP(C:C,'COUNT-CONT'!B:C,2,FALSE)</f>
        <v>North America</v>
      </c>
      <c r="E2199" s="29">
        <v>3</v>
      </c>
      <c r="F2199" s="28">
        <v>1657</v>
      </c>
      <c r="G2199" s="28">
        <v>2914950331</v>
      </c>
      <c r="H2199" s="29">
        <v>8.9499999999999993</v>
      </c>
      <c r="I2199" s="142">
        <v>-70.489999999999995</v>
      </c>
      <c r="J2199" s="29">
        <v>4.84</v>
      </c>
      <c r="K2199" s="29">
        <v>4.29</v>
      </c>
      <c r="L2199" s="29">
        <v>8.9499999999999993</v>
      </c>
      <c r="M2199" s="368"/>
      <c r="N2199" s="368"/>
      <c r="O2199" s="271">
        <f>IFERROR(Table17[[#This Row],[PROFIT]]/Table17[[#This Row],[TO]],0)</f>
        <v>0</v>
      </c>
      <c r="P2199" s="177"/>
      <c r="Q2199" s="177"/>
      <c r="R2199" s="177"/>
    </row>
    <row r="2200" spans="1:18" ht="30" hidden="1" x14ac:dyDescent="0.25">
      <c r="A2200" s="29" t="s">
        <v>1892</v>
      </c>
      <c r="B2200" s="29" t="s">
        <v>1891</v>
      </c>
      <c r="C2200" s="29" t="s">
        <v>514</v>
      </c>
      <c r="D2200" s="29" t="str">
        <f>VLOOKUP(C:C,'COUNT-CONT'!B:C,2,FALSE)</f>
        <v>North America</v>
      </c>
      <c r="E2200" s="29">
        <v>4</v>
      </c>
      <c r="F2200" s="28">
        <v>1955</v>
      </c>
      <c r="G2200" s="28">
        <v>3109959846</v>
      </c>
      <c r="H2200" s="29">
        <v>8.9499999999999993</v>
      </c>
      <c r="I2200" s="142">
        <v>-70.489999999999995</v>
      </c>
      <c r="J2200" s="29">
        <v>5.89</v>
      </c>
      <c r="K2200" s="29">
        <v>5.68</v>
      </c>
      <c r="L2200" s="29">
        <v>10.19</v>
      </c>
      <c r="M2200" s="368"/>
      <c r="N2200" s="368"/>
      <c r="O2200" s="271">
        <f>IFERROR(Table17[[#This Row],[PROFIT]]/Table17[[#This Row],[TO]],0)</f>
        <v>0</v>
      </c>
      <c r="P2200" s="177"/>
      <c r="Q2200" s="177"/>
      <c r="R2200" s="177"/>
    </row>
    <row r="2201" spans="1:18" ht="30" hidden="1" x14ac:dyDescent="0.25">
      <c r="A2201" s="29" t="s">
        <v>1853</v>
      </c>
      <c r="B2201" s="29" t="s">
        <v>1852</v>
      </c>
      <c r="C2201" s="29" t="s">
        <v>514</v>
      </c>
      <c r="D2201" s="29" t="str">
        <f>VLOOKUP(C:C,'COUNT-CONT'!B:C,2,FALSE)</f>
        <v>North America</v>
      </c>
      <c r="E2201" s="29">
        <v>1</v>
      </c>
      <c r="F2201" s="28">
        <v>1072</v>
      </c>
      <c r="G2201" s="28">
        <v>3475719402</v>
      </c>
      <c r="H2201" s="29">
        <v>8.89</v>
      </c>
      <c r="I2201" s="142">
        <v>-70.55</v>
      </c>
      <c r="J2201" s="29">
        <v>5.86</v>
      </c>
      <c r="K2201" s="29">
        <v>5.65</v>
      </c>
      <c r="L2201" s="29">
        <v>10.1</v>
      </c>
      <c r="M2201" s="368"/>
      <c r="N2201" s="368"/>
      <c r="O2201" s="271">
        <f>IFERROR(Table17[[#This Row],[PROFIT]]/Table17[[#This Row],[TO]],0)</f>
        <v>0</v>
      </c>
      <c r="P2201" s="177"/>
      <c r="Q2201" s="177"/>
      <c r="R2201" s="177"/>
    </row>
    <row r="2202" spans="1:18" ht="30" hidden="1" x14ac:dyDescent="0.25">
      <c r="A2202" s="29" t="s">
        <v>1635</v>
      </c>
      <c r="B2202" s="29" t="s">
        <v>1634</v>
      </c>
      <c r="C2202" s="29" t="s">
        <v>597</v>
      </c>
      <c r="D2202" s="29" t="str">
        <f>VLOOKUP(C:C,'COUNT-CONT'!B:C,2,FALSE)</f>
        <v>Europe</v>
      </c>
      <c r="E2202" s="29">
        <v>2</v>
      </c>
      <c r="F2202" s="28">
        <v>1312</v>
      </c>
      <c r="G2202" s="28">
        <v>3212214634</v>
      </c>
      <c r="H2202" s="29">
        <v>8.89</v>
      </c>
      <c r="I2202" s="142">
        <v>-70.55</v>
      </c>
      <c r="J2202" s="29">
        <v>5.29</v>
      </c>
      <c r="K2202" s="29">
        <v>4.9000000000000004</v>
      </c>
      <c r="L2202" s="29">
        <v>9.4600000000000009</v>
      </c>
      <c r="M2202" s="368"/>
      <c r="N2202" s="368"/>
      <c r="O2202" s="271">
        <f>IFERROR(Table17[[#This Row],[PROFIT]]/Table17[[#This Row],[TO]],0)</f>
        <v>0</v>
      </c>
      <c r="P2202" s="177"/>
      <c r="Q2202" s="177"/>
      <c r="R2202" s="177"/>
    </row>
    <row r="2203" spans="1:18" ht="30" hidden="1" x14ac:dyDescent="0.25">
      <c r="A2203" s="29" t="s">
        <v>1637</v>
      </c>
      <c r="B2203" s="29" t="s">
        <v>1636</v>
      </c>
      <c r="C2203" s="29" t="s">
        <v>597</v>
      </c>
      <c r="D2203" s="29" t="str">
        <f>VLOOKUP(C:C,'COUNT-CONT'!B:C,2,FALSE)</f>
        <v>Europe</v>
      </c>
      <c r="E2203" s="29">
        <v>2</v>
      </c>
      <c r="F2203" s="28">
        <v>1502</v>
      </c>
      <c r="G2203" s="28">
        <v>3126756857</v>
      </c>
      <c r="H2203" s="29">
        <v>8.89</v>
      </c>
      <c r="I2203" s="142">
        <v>-70.55</v>
      </c>
      <c r="J2203" s="29">
        <v>5.29</v>
      </c>
      <c r="K2203" s="29">
        <v>4.93</v>
      </c>
      <c r="L2203" s="29">
        <v>9.4600000000000009</v>
      </c>
      <c r="M2203" s="368"/>
      <c r="N2203" s="368"/>
      <c r="O2203" s="271">
        <f>IFERROR(Table17[[#This Row],[PROFIT]]/Table17[[#This Row],[TO]],0)</f>
        <v>0</v>
      </c>
      <c r="P2203" s="177"/>
      <c r="Q2203" s="177"/>
      <c r="R2203" s="177"/>
    </row>
    <row r="2204" spans="1:18" hidden="1" x14ac:dyDescent="0.25">
      <c r="A2204" s="29" t="s">
        <v>866</v>
      </c>
      <c r="B2204" s="29" t="s">
        <v>865</v>
      </c>
      <c r="C2204" s="29" t="s">
        <v>717</v>
      </c>
      <c r="D2204" s="29" t="str">
        <f>VLOOKUP(C:C,'COUNT-CONT'!B:C,2,FALSE)</f>
        <v>Asia</v>
      </c>
      <c r="E2204" s="29">
        <v>2</v>
      </c>
      <c r="F2204" s="28">
        <v>1459</v>
      </c>
      <c r="G2204" s="28">
        <v>2762941055</v>
      </c>
      <c r="H2204" s="29">
        <v>8.89</v>
      </c>
      <c r="I2204" s="142">
        <v>-70.55</v>
      </c>
      <c r="J2204" s="29">
        <v>3.2</v>
      </c>
      <c r="K2204" s="29">
        <v>2.6</v>
      </c>
      <c r="L2204" s="29">
        <v>7.29</v>
      </c>
      <c r="M2204" s="368"/>
      <c r="N2204" s="368"/>
      <c r="O2204" s="271">
        <f>IFERROR(Table17[[#This Row],[PROFIT]]/Table17[[#This Row],[TO]],0)</f>
        <v>0</v>
      </c>
      <c r="P2204" s="177"/>
      <c r="Q2204" s="177"/>
      <c r="R2204" s="177"/>
    </row>
    <row r="2205" spans="1:18" ht="30" hidden="1" x14ac:dyDescent="0.25">
      <c r="A2205" s="29" t="s">
        <v>1862</v>
      </c>
      <c r="B2205" s="29" t="s">
        <v>1861</v>
      </c>
      <c r="C2205" s="29" t="s">
        <v>514</v>
      </c>
      <c r="D2205" s="29" t="str">
        <f>VLOOKUP(C:C,'COUNT-CONT'!B:C,2,FALSE)</f>
        <v>North America</v>
      </c>
      <c r="E2205" s="29">
        <v>1</v>
      </c>
      <c r="F2205" s="28">
        <v>1228</v>
      </c>
      <c r="G2205" s="28">
        <v>3362465472</v>
      </c>
      <c r="H2205" s="29">
        <v>8.89</v>
      </c>
      <c r="I2205" s="142">
        <v>-70.55</v>
      </c>
      <c r="J2205" s="29">
        <v>5.86</v>
      </c>
      <c r="K2205" s="29">
        <v>5.65</v>
      </c>
      <c r="L2205" s="29">
        <v>10.130000000000001</v>
      </c>
      <c r="M2205" s="368"/>
      <c r="N2205" s="368"/>
      <c r="O2205" s="271">
        <f>IFERROR(Table17[[#This Row],[PROFIT]]/Table17[[#This Row],[TO]],0)</f>
        <v>0</v>
      </c>
      <c r="P2205" s="177"/>
      <c r="Q2205" s="177"/>
      <c r="R2205" s="177"/>
    </row>
    <row r="2206" spans="1:18" ht="30" hidden="1" x14ac:dyDescent="0.25">
      <c r="A2206" s="29" t="s">
        <v>2399</v>
      </c>
      <c r="B2206" s="29" t="s">
        <v>2398</v>
      </c>
      <c r="C2206" s="29" t="s">
        <v>11732</v>
      </c>
      <c r="D2206" s="29" t="str">
        <f>VLOOKUP(C:C,'COUNT-CONT'!B:C,2,FALSE)</f>
        <v>North America</v>
      </c>
      <c r="E2206" s="29">
        <v>4</v>
      </c>
      <c r="F2206" s="28">
        <v>1996</v>
      </c>
      <c r="G2206" s="28">
        <v>3405602204</v>
      </c>
      <c r="H2206" s="29">
        <v>8.86</v>
      </c>
      <c r="I2206" s="142">
        <v>-70.58</v>
      </c>
      <c r="J2206" s="29">
        <v>7.22</v>
      </c>
      <c r="K2206" s="29">
        <v>7.22</v>
      </c>
      <c r="L2206" s="29">
        <v>11.67</v>
      </c>
      <c r="M2206" s="368"/>
      <c r="N2206" s="368"/>
      <c r="O2206" s="271">
        <f>IFERROR(Table17[[#This Row],[PROFIT]]/Table17[[#This Row],[TO]],0)</f>
        <v>0</v>
      </c>
      <c r="P2206" s="177"/>
      <c r="Q2206" s="177"/>
      <c r="R2206" s="177"/>
    </row>
    <row r="2207" spans="1:18" ht="30" hidden="1" x14ac:dyDescent="0.25">
      <c r="A2207" s="29" t="s">
        <v>1705</v>
      </c>
      <c r="B2207" s="29" t="s">
        <v>1704</v>
      </c>
      <c r="C2207" s="29" t="s">
        <v>1427</v>
      </c>
      <c r="D2207" s="29" t="str">
        <f>VLOOKUP(C:C,'COUNT-CONT'!B:C,2,FALSE)</f>
        <v>Europe</v>
      </c>
      <c r="E2207" s="29">
        <v>1</v>
      </c>
      <c r="F2207" s="28">
        <v>1202</v>
      </c>
      <c r="G2207" s="28">
        <v>3301941430</v>
      </c>
      <c r="H2207" s="29">
        <v>8.86</v>
      </c>
      <c r="I2207" s="142">
        <v>-70.58</v>
      </c>
      <c r="J2207" s="29">
        <v>5.38</v>
      </c>
      <c r="K2207" s="29">
        <v>4.99</v>
      </c>
      <c r="L2207" s="29">
        <v>9.64</v>
      </c>
      <c r="M2207" s="368"/>
      <c r="N2207" s="368"/>
      <c r="O2207" s="271">
        <f>IFERROR(Table17[[#This Row],[PROFIT]]/Table17[[#This Row],[TO]],0)</f>
        <v>0</v>
      </c>
      <c r="P2207" s="177"/>
      <c r="Q2207" s="177"/>
      <c r="R2207" s="177"/>
    </row>
    <row r="2208" spans="1:18" ht="30" hidden="1" x14ac:dyDescent="0.25">
      <c r="A2208" s="29" t="s">
        <v>1832</v>
      </c>
      <c r="B2208" s="29" t="s">
        <v>1831</v>
      </c>
      <c r="C2208" s="29" t="s">
        <v>514</v>
      </c>
      <c r="D2208" s="29" t="str">
        <f>VLOOKUP(C:C,'COUNT-CONT'!B:C,2,FALSE)</f>
        <v>North America</v>
      </c>
      <c r="E2208" s="29">
        <v>3</v>
      </c>
      <c r="F2208" s="28">
        <v>1527</v>
      </c>
      <c r="G2208" s="28">
        <v>3210566732</v>
      </c>
      <c r="H2208" s="29">
        <v>8.86</v>
      </c>
      <c r="I2208" s="142">
        <v>-70.58</v>
      </c>
      <c r="J2208" s="29">
        <v>5.83</v>
      </c>
      <c r="K2208" s="29">
        <v>5.62</v>
      </c>
      <c r="L2208" s="29">
        <v>10.07</v>
      </c>
      <c r="M2208" s="368"/>
      <c r="N2208" s="368"/>
      <c r="O2208" s="271">
        <f>IFERROR(Table17[[#This Row],[PROFIT]]/Table17[[#This Row],[TO]],0)</f>
        <v>0</v>
      </c>
      <c r="P2208" s="177"/>
      <c r="Q2208" s="177"/>
      <c r="R2208" s="177"/>
    </row>
    <row r="2209" spans="1:18" ht="30" hidden="1" x14ac:dyDescent="0.25">
      <c r="A2209" s="29" t="s">
        <v>2386</v>
      </c>
      <c r="B2209" s="29" t="s">
        <v>2385</v>
      </c>
      <c r="C2209" s="29" t="s">
        <v>11732</v>
      </c>
      <c r="D2209" s="29" t="str">
        <f>VLOOKUP(C:C,'COUNT-CONT'!B:C,2,FALSE)</f>
        <v>North America</v>
      </c>
      <c r="E2209" s="29">
        <v>5</v>
      </c>
      <c r="F2209" s="28">
        <v>2019</v>
      </c>
      <c r="G2209" s="28">
        <v>3396824170</v>
      </c>
      <c r="H2209" s="29">
        <v>8.83</v>
      </c>
      <c r="I2209" s="142">
        <v>-70.61</v>
      </c>
      <c r="J2209" s="29">
        <v>7.19</v>
      </c>
      <c r="K2209" s="29">
        <v>7.19</v>
      </c>
      <c r="L2209" s="29">
        <v>11.64</v>
      </c>
      <c r="M2209" s="368"/>
      <c r="N2209" s="368"/>
      <c r="O2209" s="271">
        <f>IFERROR(Table17[[#This Row],[PROFIT]]/Table17[[#This Row],[TO]],0)</f>
        <v>0</v>
      </c>
      <c r="P2209" s="177"/>
      <c r="Q2209" s="177"/>
      <c r="R2209" s="177"/>
    </row>
    <row r="2210" spans="1:18" hidden="1" x14ac:dyDescent="0.25">
      <c r="A2210" s="29" t="s">
        <v>1699</v>
      </c>
      <c r="B2210" s="29" t="s">
        <v>1698</v>
      </c>
      <c r="C2210" s="29" t="s">
        <v>1427</v>
      </c>
      <c r="D2210" s="29" t="str">
        <f>VLOOKUP(C:C,'COUNT-CONT'!B:C,2,FALSE)</f>
        <v>Europe</v>
      </c>
      <c r="E2210" s="29">
        <v>6</v>
      </c>
      <c r="F2210" s="28">
        <v>2309</v>
      </c>
      <c r="G2210" s="28">
        <v>2968896708</v>
      </c>
      <c r="H2210" s="29">
        <v>8.83</v>
      </c>
      <c r="I2210" s="142">
        <v>-70.61</v>
      </c>
      <c r="J2210" s="29">
        <v>5.38</v>
      </c>
      <c r="K2210" s="29">
        <v>4.99</v>
      </c>
      <c r="L2210" s="29">
        <v>9.61</v>
      </c>
      <c r="M2210" s="368"/>
      <c r="N2210" s="368"/>
      <c r="O2210" s="271">
        <f>IFERROR(Table17[[#This Row],[PROFIT]]/Table17[[#This Row],[TO]],0)</f>
        <v>0</v>
      </c>
      <c r="P2210" s="177"/>
      <c r="Q2210" s="177"/>
      <c r="R2210" s="177"/>
    </row>
    <row r="2211" spans="1:18" ht="30" hidden="1" x14ac:dyDescent="0.25">
      <c r="A2211" s="29" t="s">
        <v>2384</v>
      </c>
      <c r="B2211" s="29" t="s">
        <v>2383</v>
      </c>
      <c r="C2211" s="29" t="s">
        <v>11732</v>
      </c>
      <c r="D2211" s="29" t="str">
        <f>VLOOKUP(C:C,'COUNT-CONT'!B:C,2,FALSE)</f>
        <v>North America</v>
      </c>
      <c r="E2211" s="29">
        <v>4</v>
      </c>
      <c r="F2211" s="28">
        <v>1807</v>
      </c>
      <c r="G2211" s="28">
        <v>3437943774</v>
      </c>
      <c r="H2211" s="29">
        <v>8.83</v>
      </c>
      <c r="I2211" s="142">
        <v>-70.61</v>
      </c>
      <c r="J2211" s="29">
        <v>7.19</v>
      </c>
      <c r="K2211" s="29">
        <v>7.19</v>
      </c>
      <c r="L2211" s="29">
        <v>11.64</v>
      </c>
      <c r="M2211" s="368"/>
      <c r="N2211" s="368"/>
      <c r="O2211" s="271">
        <f>IFERROR(Table17[[#This Row],[PROFIT]]/Table17[[#This Row],[TO]],0)</f>
        <v>0</v>
      </c>
      <c r="P2211" s="177"/>
      <c r="Q2211" s="177"/>
      <c r="R2211" s="177"/>
    </row>
    <row r="2212" spans="1:18" hidden="1" x14ac:dyDescent="0.25">
      <c r="A2212" s="29" t="s">
        <v>944</v>
      </c>
      <c r="B2212" s="29" t="s">
        <v>943</v>
      </c>
      <c r="C2212" s="29" t="s">
        <v>14</v>
      </c>
      <c r="D2212" s="29" t="str">
        <f>VLOOKUP(C:C,'COUNT-CONT'!B:C,2,FALSE)</f>
        <v>Asia</v>
      </c>
      <c r="E2212" s="29">
        <v>5</v>
      </c>
      <c r="F2212" s="28">
        <v>2151</v>
      </c>
      <c r="G2212" s="28">
        <v>2618390051</v>
      </c>
      <c r="H2212" s="29">
        <v>8.83</v>
      </c>
      <c r="I2212" s="142">
        <v>-70.61</v>
      </c>
      <c r="J2212" s="29">
        <v>3.45</v>
      </c>
      <c r="K2212" s="29">
        <v>2.84</v>
      </c>
      <c r="L2212" s="29">
        <v>7.5</v>
      </c>
      <c r="M2212" s="368"/>
      <c r="N2212" s="368"/>
      <c r="O2212" s="271">
        <f>IFERROR(Table17[[#This Row],[PROFIT]]/Table17[[#This Row],[TO]],0)</f>
        <v>0</v>
      </c>
      <c r="P2212" s="177"/>
      <c r="Q2212" s="177"/>
      <c r="R2212" s="177"/>
    </row>
    <row r="2213" spans="1:18" hidden="1" x14ac:dyDescent="0.25">
      <c r="A2213" s="29" t="s">
        <v>857</v>
      </c>
      <c r="B2213" s="29" t="s">
        <v>856</v>
      </c>
      <c r="C2213" s="29" t="s">
        <v>717</v>
      </c>
      <c r="D2213" s="29" t="str">
        <f>VLOOKUP(C:C,'COUNT-CONT'!B:C,2,FALSE)</f>
        <v>Asia</v>
      </c>
      <c r="E2213" s="29">
        <v>2</v>
      </c>
      <c r="F2213" s="28">
        <v>1264</v>
      </c>
      <c r="G2213" s="28">
        <v>2854953164</v>
      </c>
      <c r="H2213" s="29">
        <v>8.83</v>
      </c>
      <c r="I2213" s="142">
        <v>-70.61</v>
      </c>
      <c r="J2213" s="29">
        <v>3.17</v>
      </c>
      <c r="K2213" s="29">
        <v>2.6</v>
      </c>
      <c r="L2213" s="29">
        <v>7.22</v>
      </c>
      <c r="M2213" s="368"/>
      <c r="N2213" s="368"/>
      <c r="O2213" s="271">
        <f>IFERROR(Table17[[#This Row],[PROFIT]]/Table17[[#This Row],[TO]],0)</f>
        <v>0</v>
      </c>
      <c r="P2213" s="177"/>
      <c r="Q2213" s="177"/>
      <c r="R2213" s="177"/>
    </row>
    <row r="2214" spans="1:18" hidden="1" x14ac:dyDescent="0.25">
      <c r="A2214" s="29" t="s">
        <v>1680</v>
      </c>
      <c r="B2214" s="29" t="s">
        <v>1679</v>
      </c>
      <c r="C2214" s="29" t="s">
        <v>1427</v>
      </c>
      <c r="D2214" s="29" t="str">
        <f>VLOOKUP(C:C,'COUNT-CONT'!B:C,2,FALSE)</f>
        <v>Europe</v>
      </c>
      <c r="E2214" s="29">
        <v>2</v>
      </c>
      <c r="F2214" s="28">
        <v>1302</v>
      </c>
      <c r="G2214" s="28">
        <v>3235254070</v>
      </c>
      <c r="H2214" s="29">
        <v>8.83</v>
      </c>
      <c r="I2214" s="142">
        <v>-70.61</v>
      </c>
      <c r="J2214" s="29">
        <v>5.35</v>
      </c>
      <c r="K2214" s="29">
        <v>4.99</v>
      </c>
      <c r="L2214" s="29">
        <v>9.58</v>
      </c>
      <c r="M2214" s="368"/>
      <c r="N2214" s="368"/>
      <c r="O2214" s="271">
        <f>IFERROR(Table17[[#This Row],[PROFIT]]/Table17[[#This Row],[TO]],0)</f>
        <v>0</v>
      </c>
      <c r="P2214" s="177"/>
      <c r="Q2214" s="177"/>
      <c r="R2214" s="177"/>
    </row>
    <row r="2215" spans="1:18" hidden="1" x14ac:dyDescent="0.25">
      <c r="A2215" s="29" t="s">
        <v>1606</v>
      </c>
      <c r="B2215" s="29" t="s">
        <v>1605</v>
      </c>
      <c r="C2215" s="29" t="s">
        <v>597</v>
      </c>
      <c r="D2215" s="29" t="str">
        <f>VLOOKUP(C:C,'COUNT-CONT'!B:C,2,FALSE)</f>
        <v>Europe</v>
      </c>
      <c r="E2215" s="29">
        <v>1</v>
      </c>
      <c r="F2215" s="28">
        <v>1014</v>
      </c>
      <c r="G2215" s="28">
        <v>3422412623</v>
      </c>
      <c r="H2215" s="29">
        <v>8.83</v>
      </c>
      <c r="I2215" s="142">
        <v>-70.61</v>
      </c>
      <c r="J2215" s="29">
        <v>5.26</v>
      </c>
      <c r="K2215" s="29">
        <v>4.87</v>
      </c>
      <c r="L2215" s="29">
        <v>9.4</v>
      </c>
      <c r="M2215" s="368"/>
      <c r="N2215" s="368"/>
      <c r="O2215" s="271">
        <f>IFERROR(Table17[[#This Row],[PROFIT]]/Table17[[#This Row],[TO]],0)</f>
        <v>0</v>
      </c>
      <c r="P2215" s="177"/>
      <c r="Q2215" s="177"/>
      <c r="R2215" s="177"/>
    </row>
    <row r="2216" spans="1:18" ht="30" hidden="1" x14ac:dyDescent="0.25">
      <c r="A2216" s="29" t="s">
        <v>2392</v>
      </c>
      <c r="B2216" s="29" t="s">
        <v>2391</v>
      </c>
      <c r="C2216" s="29" t="s">
        <v>11732</v>
      </c>
      <c r="D2216" s="29" t="str">
        <f>VLOOKUP(C:C,'COUNT-CONT'!B:C,2,FALSE)</f>
        <v>North America</v>
      </c>
      <c r="E2216" s="29">
        <v>7</v>
      </c>
      <c r="F2216" s="28">
        <v>2760</v>
      </c>
      <c r="G2216" s="28">
        <v>3324350724</v>
      </c>
      <c r="H2216" s="29">
        <v>8.83</v>
      </c>
      <c r="I2216" s="142">
        <v>-70.61</v>
      </c>
      <c r="J2216" s="29">
        <v>7.19</v>
      </c>
      <c r="K2216" s="29">
        <v>7.19</v>
      </c>
      <c r="L2216" s="29">
        <v>11.64</v>
      </c>
      <c r="M2216" s="368"/>
      <c r="N2216" s="368"/>
      <c r="O2216" s="271">
        <f>IFERROR(Table17[[#This Row],[PROFIT]]/Table17[[#This Row],[TO]],0)</f>
        <v>0</v>
      </c>
      <c r="P2216" s="177"/>
      <c r="Q2216" s="177"/>
      <c r="R2216" s="177"/>
    </row>
    <row r="2217" spans="1:18" ht="30" hidden="1" x14ac:dyDescent="0.25">
      <c r="A2217" s="29" t="s">
        <v>2360</v>
      </c>
      <c r="B2217" s="29" t="s">
        <v>2359</v>
      </c>
      <c r="C2217" s="29" t="s">
        <v>11732</v>
      </c>
      <c r="D2217" s="29" t="str">
        <f>VLOOKUP(C:C,'COUNT-CONT'!B:C,2,FALSE)</f>
        <v>North America</v>
      </c>
      <c r="E2217" s="29">
        <v>5</v>
      </c>
      <c r="F2217" s="28">
        <v>2058</v>
      </c>
      <c r="G2217" s="28">
        <v>3382399514</v>
      </c>
      <c r="H2217" s="29">
        <v>8.8000000000000007</v>
      </c>
      <c r="I2217" s="142">
        <v>-70.64</v>
      </c>
      <c r="J2217" s="29">
        <v>7.16</v>
      </c>
      <c r="K2217" s="29">
        <v>7.16</v>
      </c>
      <c r="L2217" s="29">
        <v>11.58</v>
      </c>
      <c r="M2217" s="368"/>
      <c r="N2217" s="368"/>
      <c r="O2217" s="271">
        <f>IFERROR(Table17[[#This Row],[PROFIT]]/Table17[[#This Row],[TO]],0)</f>
        <v>0</v>
      </c>
      <c r="P2217" s="177"/>
      <c r="Q2217" s="177"/>
      <c r="R2217" s="177"/>
    </row>
    <row r="2218" spans="1:18" ht="30" hidden="1" x14ac:dyDescent="0.25">
      <c r="A2218" s="29" t="s">
        <v>1826</v>
      </c>
      <c r="B2218" s="29" t="s">
        <v>1825</v>
      </c>
      <c r="C2218" s="29" t="s">
        <v>514</v>
      </c>
      <c r="D2218" s="29" t="str">
        <f>VLOOKUP(C:C,'COUNT-CONT'!B:C,2,FALSE)</f>
        <v>North America</v>
      </c>
      <c r="E2218" s="29">
        <v>6</v>
      </c>
      <c r="F2218" s="28">
        <v>2395</v>
      </c>
      <c r="G2218" s="28">
        <v>3026490187</v>
      </c>
      <c r="H2218" s="29">
        <v>8.8000000000000007</v>
      </c>
      <c r="I2218" s="142">
        <v>-70.64</v>
      </c>
      <c r="J2218" s="29">
        <v>5.77</v>
      </c>
      <c r="K2218" s="29">
        <v>5.59</v>
      </c>
      <c r="L2218" s="29">
        <v>10.01</v>
      </c>
      <c r="M2218" s="368"/>
      <c r="N2218" s="368"/>
      <c r="O2218" s="271">
        <f>IFERROR(Table17[[#This Row],[PROFIT]]/Table17[[#This Row],[TO]],0)</f>
        <v>0</v>
      </c>
      <c r="P2218" s="177"/>
      <c r="Q2218" s="177"/>
      <c r="R2218" s="177"/>
    </row>
    <row r="2219" spans="1:18" hidden="1" x14ac:dyDescent="0.25">
      <c r="A2219" s="29" t="s">
        <v>1670</v>
      </c>
      <c r="B2219" s="29" t="s">
        <v>1669</v>
      </c>
      <c r="C2219" s="29" t="s">
        <v>1427</v>
      </c>
      <c r="D2219" s="29" t="str">
        <f>VLOOKUP(C:C,'COUNT-CONT'!B:C,2,FALSE)</f>
        <v>Europe</v>
      </c>
      <c r="E2219" s="29">
        <v>2</v>
      </c>
      <c r="F2219" s="28">
        <v>1503</v>
      </c>
      <c r="G2219" s="28">
        <v>3135869594</v>
      </c>
      <c r="H2219" s="29">
        <v>8.77</v>
      </c>
      <c r="I2219" s="142">
        <v>-70.67</v>
      </c>
      <c r="J2219" s="29">
        <v>5.32</v>
      </c>
      <c r="K2219" s="29">
        <v>4.96</v>
      </c>
      <c r="L2219" s="29">
        <v>9.5500000000000007</v>
      </c>
      <c r="M2219" s="368"/>
      <c r="N2219" s="368"/>
      <c r="O2219" s="271">
        <f>IFERROR(Table17[[#This Row],[PROFIT]]/Table17[[#This Row],[TO]],0)</f>
        <v>0</v>
      </c>
      <c r="P2219" s="177"/>
      <c r="Q2219" s="177"/>
      <c r="R2219" s="177"/>
    </row>
    <row r="2220" spans="1:18" x14ac:dyDescent="0.25">
      <c r="A2220" s="29" t="s">
        <v>1584</v>
      </c>
      <c r="B2220" s="29" t="s">
        <v>1583</v>
      </c>
      <c r="C2220" s="29" t="s">
        <v>774</v>
      </c>
      <c r="D2220" s="29" t="str">
        <f>VLOOKUP(C:C,'COUNT-CONT'!B:C,2,FALSE)</f>
        <v>Oceania</v>
      </c>
      <c r="E2220" s="29">
        <v>1</v>
      </c>
      <c r="F2220" s="28">
        <v>1138</v>
      </c>
      <c r="G2220" s="28">
        <v>3322108084</v>
      </c>
      <c r="H2220" s="29">
        <v>8.77</v>
      </c>
      <c r="I2220" s="142">
        <v>-70.67</v>
      </c>
      <c r="J2220" s="29">
        <v>5.23</v>
      </c>
      <c r="K2220" s="29">
        <v>4.84</v>
      </c>
      <c r="L2220" s="29">
        <v>9.34</v>
      </c>
      <c r="M2220" s="368"/>
      <c r="N2220" s="368"/>
      <c r="O2220" s="271">
        <f>IFERROR(Table17[[#This Row],[PROFIT]]/Table17[[#This Row],[TO]],0)</f>
        <v>0</v>
      </c>
      <c r="P2220" s="177"/>
      <c r="Q2220" s="177"/>
      <c r="R2220" s="177"/>
    </row>
    <row r="2221" spans="1:18" ht="30" hidden="1" x14ac:dyDescent="0.25">
      <c r="A2221" s="29" t="s">
        <v>1811</v>
      </c>
      <c r="B2221" s="29" t="s">
        <v>1810</v>
      </c>
      <c r="C2221" s="29" t="s">
        <v>514</v>
      </c>
      <c r="D2221" s="29" t="str">
        <f>VLOOKUP(C:C,'COUNT-CONT'!B:C,2,FALSE)</f>
        <v>North America</v>
      </c>
      <c r="E2221" s="29">
        <v>1</v>
      </c>
      <c r="F2221" s="28">
        <v>1075</v>
      </c>
      <c r="G2221" s="28">
        <v>3450755813</v>
      </c>
      <c r="H2221" s="29">
        <v>8.74</v>
      </c>
      <c r="I2221" s="142">
        <v>-70.7</v>
      </c>
      <c r="J2221" s="29">
        <v>5.74</v>
      </c>
      <c r="K2221" s="29">
        <v>5.56</v>
      </c>
      <c r="L2221" s="29">
        <v>9.9499999999999993</v>
      </c>
      <c r="M2221" s="368"/>
      <c r="N2221" s="368"/>
      <c r="O2221" s="271">
        <f>IFERROR(Table17[[#This Row],[PROFIT]]/Table17[[#This Row],[TO]],0)</f>
        <v>0</v>
      </c>
      <c r="P2221" s="177"/>
      <c r="Q2221" s="177"/>
      <c r="R2221" s="177"/>
    </row>
    <row r="2222" spans="1:18" ht="30" hidden="1" x14ac:dyDescent="0.25">
      <c r="A2222" s="29" t="s">
        <v>1809</v>
      </c>
      <c r="B2222" s="29" t="s">
        <v>1808</v>
      </c>
      <c r="C2222" s="29" t="s">
        <v>514</v>
      </c>
      <c r="D2222" s="29" t="str">
        <f>VLOOKUP(C:C,'COUNT-CONT'!B:C,2,FALSE)</f>
        <v>North America</v>
      </c>
      <c r="E2222" s="29">
        <v>1</v>
      </c>
      <c r="F2222" s="28">
        <v>1072</v>
      </c>
      <c r="G2222" s="28">
        <v>3453319402</v>
      </c>
      <c r="H2222" s="29">
        <v>8.74</v>
      </c>
      <c r="I2222" s="142">
        <v>-70.7</v>
      </c>
      <c r="J2222" s="29">
        <v>5.74</v>
      </c>
      <c r="K2222" s="29">
        <v>5.56</v>
      </c>
      <c r="L2222" s="29">
        <v>9.9499999999999993</v>
      </c>
      <c r="M2222" s="368"/>
      <c r="N2222" s="368"/>
      <c r="O2222" s="271">
        <f>IFERROR(Table17[[#This Row],[PROFIT]]/Table17[[#This Row],[TO]],0)</f>
        <v>0</v>
      </c>
      <c r="P2222" s="177"/>
      <c r="Q2222" s="177"/>
      <c r="R2222" s="177"/>
    </row>
    <row r="2223" spans="1:18" ht="30" hidden="1" x14ac:dyDescent="0.25">
      <c r="A2223" s="29" t="s">
        <v>1807</v>
      </c>
      <c r="B2223" s="29" t="s">
        <v>1806</v>
      </c>
      <c r="C2223" s="29" t="s">
        <v>514</v>
      </c>
      <c r="D2223" s="29" t="str">
        <f>VLOOKUP(C:C,'COUNT-CONT'!B:C,2,FALSE)</f>
        <v>North America</v>
      </c>
      <c r="E2223" s="29">
        <v>1</v>
      </c>
      <c r="F2223" s="28">
        <v>1069</v>
      </c>
      <c r="G2223" s="28">
        <v>3455899064</v>
      </c>
      <c r="H2223" s="29">
        <v>8.74</v>
      </c>
      <c r="I2223" s="142">
        <v>-70.7</v>
      </c>
      <c r="J2223" s="29">
        <v>5.74</v>
      </c>
      <c r="K2223" s="29">
        <v>5.56</v>
      </c>
      <c r="L2223" s="29">
        <v>9.9499999999999993</v>
      </c>
      <c r="M2223" s="368"/>
      <c r="N2223" s="368"/>
      <c r="O2223" s="271">
        <f>IFERROR(Table17[[#This Row],[PROFIT]]/Table17[[#This Row],[TO]],0)</f>
        <v>0</v>
      </c>
      <c r="P2223" s="177"/>
      <c r="Q2223" s="177"/>
      <c r="R2223" s="177"/>
    </row>
    <row r="2224" spans="1:18" ht="30" hidden="1" x14ac:dyDescent="0.25">
      <c r="A2224" s="29" t="s">
        <v>1814</v>
      </c>
      <c r="B2224" s="29" t="s">
        <v>1542</v>
      </c>
      <c r="C2224" s="29" t="s">
        <v>514</v>
      </c>
      <c r="D2224" s="29" t="str">
        <f>VLOOKUP(C:C,'COUNT-CONT'!B:C,2,FALSE)</f>
        <v>North America</v>
      </c>
      <c r="E2224" s="29">
        <v>2</v>
      </c>
      <c r="F2224" s="28">
        <v>1375</v>
      </c>
      <c r="G2224" s="28">
        <v>3257400000</v>
      </c>
      <c r="H2224" s="29">
        <v>8.74</v>
      </c>
      <c r="I2224" s="142">
        <v>-70.7</v>
      </c>
      <c r="J2224" s="29">
        <v>5.74</v>
      </c>
      <c r="K2224" s="29">
        <v>5.56</v>
      </c>
      <c r="L2224" s="29">
        <v>9.9499999999999993</v>
      </c>
      <c r="M2224" s="368"/>
      <c r="N2224" s="368"/>
      <c r="O2224" s="271">
        <f>IFERROR(Table17[[#This Row],[PROFIT]]/Table17[[#This Row],[TO]],0)</f>
        <v>0</v>
      </c>
      <c r="P2224" s="177"/>
      <c r="Q2224" s="177"/>
      <c r="R2224" s="177"/>
    </row>
    <row r="2225" spans="1:18" x14ac:dyDescent="0.25">
      <c r="A2225" s="29" t="s">
        <v>1543</v>
      </c>
      <c r="B2225" s="29" t="s">
        <v>1542</v>
      </c>
      <c r="C2225" s="29" t="s">
        <v>774</v>
      </c>
      <c r="D2225" s="29" t="str">
        <f>VLOOKUP(C:C,'COUNT-CONT'!B:C,2,FALSE)</f>
        <v>Oceania</v>
      </c>
      <c r="E2225" s="29">
        <v>3</v>
      </c>
      <c r="F2225" s="28">
        <v>1707</v>
      </c>
      <c r="G2225" s="28">
        <v>3048705389</v>
      </c>
      <c r="H2225" s="29">
        <v>8.7100000000000009</v>
      </c>
      <c r="I2225" s="142">
        <v>-70.72999999999999</v>
      </c>
      <c r="J2225" s="29">
        <v>5.17</v>
      </c>
      <c r="K2225" s="29">
        <v>4.8099999999999996</v>
      </c>
      <c r="L2225" s="29">
        <v>9.2799999999999994</v>
      </c>
      <c r="M2225" s="368"/>
      <c r="N2225" s="368"/>
      <c r="O2225" s="271">
        <f>IFERROR(Table17[[#This Row],[PROFIT]]/Table17[[#This Row],[TO]],0)</f>
        <v>0</v>
      </c>
      <c r="P2225" s="177"/>
      <c r="Q2225" s="177"/>
      <c r="R2225" s="177"/>
    </row>
    <row r="2226" spans="1:18" x14ac:dyDescent="0.25">
      <c r="A2226" s="29" t="s">
        <v>1541</v>
      </c>
      <c r="B2226" s="29" t="s">
        <v>1540</v>
      </c>
      <c r="C2226" s="29" t="s">
        <v>774</v>
      </c>
      <c r="D2226" s="29" t="str">
        <f>VLOOKUP(C:C,'COUNT-CONT'!B:C,2,FALSE)</f>
        <v>Oceania</v>
      </c>
      <c r="E2226" s="29">
        <v>3</v>
      </c>
      <c r="F2226" s="28">
        <v>1681</v>
      </c>
      <c r="G2226" s="28">
        <v>3056072397</v>
      </c>
      <c r="H2226" s="29">
        <v>8.7100000000000009</v>
      </c>
      <c r="I2226" s="142">
        <v>-70.72999999999999</v>
      </c>
      <c r="J2226" s="29">
        <v>5.17</v>
      </c>
      <c r="K2226" s="29">
        <v>4.8099999999999996</v>
      </c>
      <c r="L2226" s="29">
        <v>9.2799999999999994</v>
      </c>
      <c r="M2226" s="368"/>
      <c r="N2226" s="368"/>
      <c r="O2226" s="271">
        <f>IFERROR(Table17[[#This Row],[PROFIT]]/Table17[[#This Row],[TO]],0)</f>
        <v>0</v>
      </c>
      <c r="P2226" s="177"/>
      <c r="Q2226" s="177"/>
      <c r="R2226" s="177"/>
    </row>
    <row r="2227" spans="1:18" ht="30" hidden="1" x14ac:dyDescent="0.25">
      <c r="A2227" s="29" t="s">
        <v>2311</v>
      </c>
      <c r="B2227" s="29" t="s">
        <v>2310</v>
      </c>
      <c r="C2227" s="29" t="s">
        <v>11732</v>
      </c>
      <c r="D2227" s="29" t="str">
        <f>VLOOKUP(C:C,'COUNT-CONT'!B:C,2,FALSE)</f>
        <v>North America</v>
      </c>
      <c r="E2227" s="29">
        <v>7</v>
      </c>
      <c r="F2227" s="28">
        <v>2600</v>
      </c>
      <c r="G2227" s="28">
        <v>3308976923</v>
      </c>
      <c r="H2227" s="29">
        <v>8.7100000000000009</v>
      </c>
      <c r="I2227" s="142">
        <v>-70.72999999999999</v>
      </c>
      <c r="J2227" s="29">
        <v>7.07</v>
      </c>
      <c r="K2227" s="29">
        <v>7.07</v>
      </c>
      <c r="L2227" s="29">
        <v>11.46</v>
      </c>
      <c r="M2227" s="368"/>
      <c r="N2227" s="368"/>
      <c r="O2227" s="271">
        <f>IFERROR(Table17[[#This Row],[PROFIT]]/Table17[[#This Row],[TO]],0)</f>
        <v>0</v>
      </c>
      <c r="P2227" s="177"/>
      <c r="Q2227" s="177"/>
      <c r="R2227" s="177"/>
    </row>
    <row r="2228" spans="1:18" ht="30" hidden="1" x14ac:dyDescent="0.25">
      <c r="A2228" s="29" t="s">
        <v>1368</v>
      </c>
      <c r="B2228" s="29" t="s">
        <v>1367</v>
      </c>
      <c r="C2228" s="29" t="s">
        <v>13119</v>
      </c>
      <c r="D2228" s="29" t="str">
        <f>VLOOKUP(C:C,'COUNT-CONT'!B:C,2,FALSE)</f>
        <v>North America</v>
      </c>
      <c r="E2228" s="29">
        <v>1</v>
      </c>
      <c r="F2228" s="28">
        <v>1220</v>
      </c>
      <c r="G2228" s="28">
        <v>3075539456</v>
      </c>
      <c r="H2228" s="29">
        <v>8.7100000000000009</v>
      </c>
      <c r="I2228" s="142">
        <v>-70.72999999999999</v>
      </c>
      <c r="J2228" s="29">
        <v>4.6900000000000004</v>
      </c>
      <c r="K2228" s="29">
        <v>4.17</v>
      </c>
      <c r="L2228" s="29">
        <v>8.7100000000000009</v>
      </c>
      <c r="M2228" s="368"/>
      <c r="N2228" s="368"/>
      <c r="O2228" s="271">
        <f>IFERROR(Table17[[#This Row],[PROFIT]]/Table17[[#This Row],[TO]],0)</f>
        <v>0</v>
      </c>
      <c r="P2228" s="177"/>
      <c r="Q2228" s="177"/>
      <c r="R2228" s="177"/>
    </row>
    <row r="2229" spans="1:18" ht="30" hidden="1" x14ac:dyDescent="0.25">
      <c r="A2229" s="29" t="s">
        <v>2317</v>
      </c>
      <c r="B2229" s="29" t="s">
        <v>2316</v>
      </c>
      <c r="C2229" s="29" t="s">
        <v>11732</v>
      </c>
      <c r="D2229" s="29" t="str">
        <f>VLOOKUP(C:C,'COUNT-CONT'!B:C,2,FALSE)</f>
        <v>North America</v>
      </c>
      <c r="E2229" s="29">
        <v>4</v>
      </c>
      <c r="F2229" s="28">
        <v>1988</v>
      </c>
      <c r="G2229" s="28">
        <v>3381419919</v>
      </c>
      <c r="H2229" s="29">
        <v>8.7100000000000009</v>
      </c>
      <c r="I2229" s="142">
        <v>-70.72999999999999</v>
      </c>
      <c r="J2229" s="29">
        <v>7.1</v>
      </c>
      <c r="K2229" s="29">
        <v>7.1</v>
      </c>
      <c r="L2229" s="29">
        <v>11.49</v>
      </c>
      <c r="M2229" s="368"/>
      <c r="N2229" s="368"/>
      <c r="O2229" s="271">
        <f>IFERROR(Table17[[#This Row],[PROFIT]]/Table17[[#This Row],[TO]],0)</f>
        <v>0</v>
      </c>
      <c r="P2229" s="177"/>
      <c r="Q2229" s="177"/>
      <c r="R2229" s="177"/>
    </row>
    <row r="2230" spans="1:18" ht="30" hidden="1" x14ac:dyDescent="0.25">
      <c r="A2230" s="29" t="s">
        <v>1622</v>
      </c>
      <c r="B2230" s="29" t="s">
        <v>1621</v>
      </c>
      <c r="C2230" s="29" t="s">
        <v>83</v>
      </c>
      <c r="D2230" s="29" t="str">
        <f>VLOOKUP(C:C,'COUNT-CONT'!B:C,2,FALSE)</f>
        <v>Europe</v>
      </c>
      <c r="E2230" s="29">
        <v>3</v>
      </c>
      <c r="F2230" s="28">
        <v>1547</v>
      </c>
      <c r="G2230" s="28">
        <v>3103553652</v>
      </c>
      <c r="H2230" s="29">
        <v>8.68</v>
      </c>
      <c r="I2230" s="142">
        <v>-70.759999999999991</v>
      </c>
      <c r="J2230" s="29">
        <v>5.26</v>
      </c>
      <c r="K2230" s="29">
        <v>4.9000000000000004</v>
      </c>
      <c r="L2230" s="29">
        <v>9.43</v>
      </c>
      <c r="M2230" s="368"/>
      <c r="N2230" s="368"/>
      <c r="O2230" s="271">
        <f>IFERROR(Table17[[#This Row],[PROFIT]]/Table17[[#This Row],[TO]],0)</f>
        <v>0</v>
      </c>
      <c r="P2230" s="177"/>
      <c r="Q2230" s="177"/>
      <c r="R2230" s="177"/>
    </row>
    <row r="2231" spans="1:18" ht="30" hidden="1" x14ac:dyDescent="0.25">
      <c r="A2231" s="29" t="s">
        <v>1797</v>
      </c>
      <c r="B2231" s="29" t="s">
        <v>1796</v>
      </c>
      <c r="C2231" s="29" t="s">
        <v>514</v>
      </c>
      <c r="D2231" s="29" t="str">
        <f>VLOOKUP(C:C,'COUNT-CONT'!B:C,2,FALSE)</f>
        <v>North America</v>
      </c>
      <c r="E2231" s="29">
        <v>1</v>
      </c>
      <c r="F2231" s="28">
        <v>1038</v>
      </c>
      <c r="G2231" s="28">
        <v>3477130250</v>
      </c>
      <c r="H2231" s="29">
        <v>8.68</v>
      </c>
      <c r="I2231" s="142">
        <v>-70.759999999999991</v>
      </c>
      <c r="J2231" s="29">
        <v>5.71</v>
      </c>
      <c r="K2231" s="29">
        <v>5.53</v>
      </c>
      <c r="L2231" s="29">
        <v>9.89</v>
      </c>
      <c r="M2231" s="368"/>
      <c r="N2231" s="368"/>
      <c r="O2231" s="271">
        <f>IFERROR(Table17[[#This Row],[PROFIT]]/Table17[[#This Row],[TO]],0)</f>
        <v>0</v>
      </c>
      <c r="P2231" s="177"/>
      <c r="Q2231" s="177"/>
      <c r="R2231" s="177"/>
    </row>
    <row r="2232" spans="1:18" ht="30" hidden="1" x14ac:dyDescent="0.25">
      <c r="A2232" s="29" t="s">
        <v>1789</v>
      </c>
      <c r="B2232" s="29" t="s">
        <v>1788</v>
      </c>
      <c r="C2232" s="29" t="s">
        <v>514</v>
      </c>
      <c r="D2232" s="29" t="str">
        <f>VLOOKUP(C:C,'COUNT-CONT'!B:C,2,FALSE)</f>
        <v>North America</v>
      </c>
      <c r="E2232" s="29">
        <v>2</v>
      </c>
      <c r="F2232" s="28">
        <v>1292</v>
      </c>
      <c r="G2232" s="28">
        <v>3290993188</v>
      </c>
      <c r="H2232" s="29">
        <v>8.68</v>
      </c>
      <c r="I2232" s="142">
        <v>-70.759999999999991</v>
      </c>
      <c r="J2232" s="29">
        <v>5.71</v>
      </c>
      <c r="K2232" s="29">
        <v>5.5</v>
      </c>
      <c r="L2232" s="29">
        <v>9.85</v>
      </c>
      <c r="M2232" s="368"/>
      <c r="N2232" s="368"/>
      <c r="O2232" s="271">
        <f>IFERROR(Table17[[#This Row],[PROFIT]]/Table17[[#This Row],[TO]],0)</f>
        <v>0</v>
      </c>
      <c r="P2232" s="177"/>
      <c r="Q2232" s="177"/>
      <c r="R2232" s="177"/>
    </row>
    <row r="2233" spans="1:18" ht="30" hidden="1" x14ac:dyDescent="0.25">
      <c r="A2233" s="29" t="s">
        <v>2299</v>
      </c>
      <c r="B2233" s="29" t="s">
        <v>2298</v>
      </c>
      <c r="C2233" s="29" t="s">
        <v>560</v>
      </c>
      <c r="D2233" s="29" t="str">
        <f>VLOOKUP(C:C,'COUNT-CONT'!B:C,2,FALSE)</f>
        <v>Europe</v>
      </c>
      <c r="E2233" s="29">
        <v>5</v>
      </c>
      <c r="F2233" s="28">
        <v>2104</v>
      </c>
      <c r="G2233" s="28">
        <v>3353213688</v>
      </c>
      <c r="H2233" s="29">
        <v>8.65</v>
      </c>
      <c r="I2233" s="142">
        <v>-70.789999999999992</v>
      </c>
      <c r="J2233" s="29">
        <v>7.07</v>
      </c>
      <c r="K2233" s="29">
        <v>7.07</v>
      </c>
      <c r="L2233" s="29">
        <v>11.4</v>
      </c>
      <c r="M2233" s="368"/>
      <c r="N2233" s="368"/>
      <c r="O2233" s="271">
        <f>IFERROR(Table17[[#This Row],[PROFIT]]/Table17[[#This Row],[TO]],0)</f>
        <v>0</v>
      </c>
      <c r="P2233" s="177"/>
      <c r="Q2233" s="177"/>
      <c r="R2233" s="177"/>
    </row>
    <row r="2234" spans="1:18" ht="30" hidden="1" x14ac:dyDescent="0.25">
      <c r="A2234" s="29" t="s">
        <v>2292</v>
      </c>
      <c r="B2234" s="29" t="s">
        <v>2291</v>
      </c>
      <c r="C2234" s="29" t="s">
        <v>11732</v>
      </c>
      <c r="D2234" s="29" t="str">
        <f>VLOOKUP(C:C,'COUNT-CONT'!B:C,2,FALSE)</f>
        <v>North America</v>
      </c>
      <c r="E2234" s="29">
        <v>4</v>
      </c>
      <c r="F2234" s="28">
        <v>1820</v>
      </c>
      <c r="G2234" s="28">
        <v>3406195604</v>
      </c>
      <c r="H2234" s="29">
        <v>8.65</v>
      </c>
      <c r="I2234" s="142">
        <v>-70.789999999999992</v>
      </c>
      <c r="J2234" s="29">
        <v>7.07</v>
      </c>
      <c r="K2234" s="29">
        <v>7.07</v>
      </c>
      <c r="L2234" s="29">
        <v>11.4</v>
      </c>
      <c r="M2234" s="368"/>
      <c r="N2234" s="368"/>
      <c r="O2234" s="271">
        <f>IFERROR(Table17[[#This Row],[PROFIT]]/Table17[[#This Row],[TO]],0)</f>
        <v>0</v>
      </c>
      <c r="P2234" s="177"/>
      <c r="Q2234" s="177"/>
      <c r="R2234" s="177"/>
    </row>
    <row r="2235" spans="1:18" ht="30" hidden="1" x14ac:dyDescent="0.25">
      <c r="A2235" s="29" t="s">
        <v>1041</v>
      </c>
      <c r="B2235" s="29" t="s">
        <v>1040</v>
      </c>
      <c r="C2235" s="29" t="s">
        <v>812</v>
      </c>
      <c r="D2235" s="29" t="str">
        <f>VLOOKUP(C:C,'COUNT-CONT'!B:C,2,FALSE)</f>
        <v>North America</v>
      </c>
      <c r="E2235" s="29">
        <v>2</v>
      </c>
      <c r="F2235" s="28">
        <v>1401</v>
      </c>
      <c r="G2235" s="28">
        <v>2865153461</v>
      </c>
      <c r="H2235" s="29">
        <v>8.65</v>
      </c>
      <c r="I2235" s="142">
        <v>-70.789999999999992</v>
      </c>
      <c r="J2235" s="29">
        <v>3.93</v>
      </c>
      <c r="K2235" s="29">
        <v>3.3</v>
      </c>
      <c r="L2235" s="29">
        <v>7.86</v>
      </c>
      <c r="M2235" s="368"/>
      <c r="N2235" s="368"/>
      <c r="O2235" s="271">
        <f>IFERROR(Table17[[#This Row],[PROFIT]]/Table17[[#This Row],[TO]],0)</f>
        <v>0</v>
      </c>
      <c r="P2235" s="177"/>
      <c r="Q2235" s="177"/>
      <c r="R2235" s="177"/>
    </row>
    <row r="2236" spans="1:18" hidden="1" x14ac:dyDescent="0.25">
      <c r="A2236" s="29" t="s">
        <v>1407</v>
      </c>
      <c r="B2236" s="29" t="s">
        <v>1406</v>
      </c>
      <c r="C2236" s="29" t="s">
        <v>585</v>
      </c>
      <c r="D2236" s="29" t="str">
        <f>VLOOKUP(C:C,'COUNT-CONT'!B:C,2,FALSE)</f>
        <v>Europe</v>
      </c>
      <c r="E2236" s="29">
        <v>5</v>
      </c>
      <c r="F2236" s="28">
        <v>2003</v>
      </c>
      <c r="G2236" s="28">
        <v>2919076235</v>
      </c>
      <c r="H2236" s="29">
        <v>8.6199999999999992</v>
      </c>
      <c r="I2236" s="142">
        <v>-70.819999999999993</v>
      </c>
      <c r="J2236" s="29">
        <v>4.75</v>
      </c>
      <c r="K2236" s="29">
        <v>4.38</v>
      </c>
      <c r="L2236" s="29">
        <v>8.8000000000000007</v>
      </c>
      <c r="M2236" s="368"/>
      <c r="N2236" s="368"/>
      <c r="O2236" s="271">
        <f>IFERROR(Table17[[#This Row],[PROFIT]]/Table17[[#This Row],[TO]],0)</f>
        <v>0</v>
      </c>
      <c r="P2236" s="177"/>
      <c r="Q2236" s="177"/>
      <c r="R2236" s="177"/>
    </row>
    <row r="2237" spans="1:18" hidden="1" x14ac:dyDescent="0.25">
      <c r="A2237" s="29" t="s">
        <v>1405</v>
      </c>
      <c r="B2237" s="29" t="s">
        <v>1404</v>
      </c>
      <c r="C2237" s="29" t="s">
        <v>585</v>
      </c>
      <c r="D2237" s="29" t="str">
        <f>VLOOKUP(C:C,'COUNT-CONT'!B:C,2,FALSE)</f>
        <v>Europe</v>
      </c>
      <c r="E2237" s="29">
        <v>5</v>
      </c>
      <c r="F2237" s="28">
        <v>2003</v>
      </c>
      <c r="G2237" s="28">
        <v>2917476235</v>
      </c>
      <c r="H2237" s="29">
        <v>8.6199999999999992</v>
      </c>
      <c r="I2237" s="142">
        <v>-70.819999999999993</v>
      </c>
      <c r="J2237" s="29">
        <v>4.75</v>
      </c>
      <c r="K2237" s="29">
        <v>4.38</v>
      </c>
      <c r="L2237" s="29">
        <v>8.8000000000000007</v>
      </c>
      <c r="M2237" s="368"/>
      <c r="N2237" s="368"/>
      <c r="O2237" s="271">
        <f>IFERROR(Table17[[#This Row],[PROFIT]]/Table17[[#This Row],[TO]],0)</f>
        <v>0</v>
      </c>
      <c r="P2237" s="177"/>
      <c r="Q2237" s="177"/>
      <c r="R2237" s="177"/>
    </row>
    <row r="2238" spans="1:18" ht="30" hidden="1" x14ac:dyDescent="0.25">
      <c r="A2238" s="29" t="s">
        <v>1161</v>
      </c>
      <c r="B2238" s="29" t="s">
        <v>1160</v>
      </c>
      <c r="C2238" s="29" t="s">
        <v>1159</v>
      </c>
      <c r="D2238" s="29" t="str">
        <f>VLOOKUP(C:C,'COUNT-CONT'!B:C,2,FALSE)</f>
        <v>North America</v>
      </c>
      <c r="E2238" s="29">
        <v>3</v>
      </c>
      <c r="F2238" s="28">
        <v>1666</v>
      </c>
      <c r="G2238" s="28">
        <v>2798764105</v>
      </c>
      <c r="H2238" s="29">
        <v>8.59</v>
      </c>
      <c r="I2238" s="142">
        <v>-70.849999999999994</v>
      </c>
      <c r="J2238" s="29">
        <v>4.05</v>
      </c>
      <c r="K2238" s="29">
        <v>3.54</v>
      </c>
      <c r="L2238" s="29">
        <v>8.1</v>
      </c>
      <c r="M2238" s="368"/>
      <c r="N2238" s="368"/>
      <c r="O2238" s="271">
        <f>IFERROR(Table17[[#This Row],[PROFIT]]/Table17[[#This Row],[TO]],0)</f>
        <v>0</v>
      </c>
      <c r="P2238" s="177"/>
      <c r="Q2238" s="177"/>
      <c r="R2238" s="177"/>
    </row>
    <row r="2239" spans="1:18" ht="30" hidden="1" x14ac:dyDescent="0.25">
      <c r="A2239" s="29" t="s">
        <v>1765</v>
      </c>
      <c r="B2239" s="29" t="s">
        <v>1764</v>
      </c>
      <c r="C2239" s="29" t="s">
        <v>514</v>
      </c>
      <c r="D2239" s="29" t="str">
        <f>VLOOKUP(C:C,'COUNT-CONT'!B:C,2,FALSE)</f>
        <v>North America</v>
      </c>
      <c r="E2239" s="29">
        <v>4</v>
      </c>
      <c r="F2239" s="28">
        <v>1984</v>
      </c>
      <c r="G2239" s="28">
        <v>3048635483</v>
      </c>
      <c r="H2239" s="29">
        <v>8.59</v>
      </c>
      <c r="I2239" s="142">
        <v>-70.849999999999994</v>
      </c>
      <c r="J2239" s="29">
        <v>5.65</v>
      </c>
      <c r="K2239" s="29">
        <v>5.44</v>
      </c>
      <c r="L2239" s="29">
        <v>9.76</v>
      </c>
      <c r="M2239" s="368"/>
      <c r="N2239" s="368"/>
      <c r="O2239" s="271">
        <f>IFERROR(Table17[[#This Row],[PROFIT]]/Table17[[#This Row],[TO]],0)</f>
        <v>0</v>
      </c>
      <c r="P2239" s="177"/>
      <c r="Q2239" s="177"/>
      <c r="R2239" s="177"/>
    </row>
    <row r="2240" spans="1:18" ht="30" hidden="1" x14ac:dyDescent="0.25">
      <c r="A2240" s="29" t="s">
        <v>859</v>
      </c>
      <c r="B2240" s="29" t="s">
        <v>858</v>
      </c>
      <c r="C2240" s="29" t="s">
        <v>517</v>
      </c>
      <c r="D2240" s="29" t="str">
        <f>VLOOKUP(C:C,'COUNT-CONT'!B:C,2,FALSE)</f>
        <v>South America</v>
      </c>
      <c r="E2240" s="29">
        <v>3</v>
      </c>
      <c r="F2240" s="28">
        <v>1545</v>
      </c>
      <c r="G2240" s="28">
        <v>2726374110</v>
      </c>
      <c r="H2240" s="29">
        <v>8.56</v>
      </c>
      <c r="I2240" s="142">
        <v>-70.88</v>
      </c>
      <c r="J2240" s="29">
        <v>3.33</v>
      </c>
      <c r="K2240" s="29">
        <v>2.75</v>
      </c>
      <c r="L2240" s="29">
        <v>7.26</v>
      </c>
      <c r="M2240" s="368"/>
      <c r="N2240" s="368"/>
      <c r="O2240" s="271">
        <f>IFERROR(Table17[[#This Row],[PROFIT]]/Table17[[#This Row],[TO]],0)</f>
        <v>0</v>
      </c>
      <c r="P2240" s="177"/>
      <c r="Q2240" s="177"/>
      <c r="R2240" s="177"/>
    </row>
    <row r="2241" spans="1:18" x14ac:dyDescent="0.25">
      <c r="A2241" s="29" t="s">
        <v>1501</v>
      </c>
      <c r="B2241" s="29" t="s">
        <v>1500</v>
      </c>
      <c r="C2241" s="29" t="s">
        <v>774</v>
      </c>
      <c r="D2241" s="29" t="str">
        <f>VLOOKUP(C:C,'COUNT-CONT'!B:C,2,FALSE)</f>
        <v>Oceania</v>
      </c>
      <c r="E2241" s="29">
        <v>3</v>
      </c>
      <c r="F2241" s="28">
        <v>1742</v>
      </c>
      <c r="G2241" s="28">
        <v>3018458094</v>
      </c>
      <c r="H2241" s="29">
        <v>8.56</v>
      </c>
      <c r="I2241" s="142">
        <v>-70.88</v>
      </c>
      <c r="J2241" s="29">
        <v>5.1100000000000003</v>
      </c>
      <c r="K2241" s="29">
        <v>4.75</v>
      </c>
      <c r="L2241" s="29">
        <v>9.1300000000000008</v>
      </c>
      <c r="M2241" s="368"/>
      <c r="N2241" s="368"/>
      <c r="O2241" s="271">
        <f>IFERROR(Table17[[#This Row],[PROFIT]]/Table17[[#This Row],[TO]],0)</f>
        <v>0</v>
      </c>
      <c r="P2241" s="177"/>
      <c r="Q2241" s="177"/>
      <c r="R2241" s="177"/>
    </row>
    <row r="2242" spans="1:18" ht="30" hidden="1" x14ac:dyDescent="0.25">
      <c r="A2242" s="29" t="s">
        <v>2262</v>
      </c>
      <c r="B2242" s="29" t="s">
        <v>2261</v>
      </c>
      <c r="C2242" s="29" t="s">
        <v>11732</v>
      </c>
      <c r="D2242" s="29" t="str">
        <f>VLOOKUP(C:C,'COUNT-CONT'!B:C,2,FALSE)</f>
        <v>North America</v>
      </c>
      <c r="E2242" s="29">
        <v>4</v>
      </c>
      <c r="F2242" s="28">
        <v>1957</v>
      </c>
      <c r="G2242" s="28">
        <v>3359984823</v>
      </c>
      <c r="H2242" s="29">
        <v>8.56</v>
      </c>
      <c r="I2242" s="142">
        <v>-70.88</v>
      </c>
      <c r="J2242" s="29">
        <v>6.98</v>
      </c>
      <c r="K2242" s="29">
        <v>6.98</v>
      </c>
      <c r="L2242" s="29">
        <v>11.28</v>
      </c>
      <c r="M2242" s="368"/>
      <c r="N2242" s="368"/>
      <c r="O2242" s="271">
        <f>IFERROR(Table17[[#This Row],[PROFIT]]/Table17[[#This Row],[TO]],0)</f>
        <v>0</v>
      </c>
      <c r="P2242" s="177"/>
      <c r="Q2242" s="177"/>
      <c r="R2242" s="177"/>
    </row>
    <row r="2243" spans="1:18" hidden="1" x14ac:dyDescent="0.25">
      <c r="A2243" s="29" t="s">
        <v>985</v>
      </c>
      <c r="B2243" s="29" t="s">
        <v>984</v>
      </c>
      <c r="C2243" s="29" t="s">
        <v>659</v>
      </c>
      <c r="D2243" s="29" t="str">
        <f>VLOOKUP(C:C,'COUNT-CONT'!B:C,2,FALSE)</f>
        <v>Europe</v>
      </c>
      <c r="E2243" s="29">
        <v>1</v>
      </c>
      <c r="F2243" s="28">
        <v>1151</v>
      </c>
      <c r="G2243" s="28">
        <v>2998490703</v>
      </c>
      <c r="H2243" s="29">
        <v>8.56</v>
      </c>
      <c r="I2243" s="142">
        <v>-70.88</v>
      </c>
      <c r="J2243" s="29">
        <v>3.66</v>
      </c>
      <c r="K2243" s="29">
        <v>3.05</v>
      </c>
      <c r="L2243" s="29">
        <v>7.65</v>
      </c>
      <c r="M2243" s="368"/>
      <c r="N2243" s="368"/>
      <c r="O2243" s="271">
        <f>IFERROR(Table17[[#This Row],[PROFIT]]/Table17[[#This Row],[TO]],0)</f>
        <v>0</v>
      </c>
      <c r="P2243" s="177"/>
      <c r="Q2243" s="177"/>
      <c r="R2243" s="177"/>
    </row>
    <row r="2244" spans="1:18" ht="30" hidden="1" x14ac:dyDescent="0.25">
      <c r="A2244" s="29" t="s">
        <v>1744</v>
      </c>
      <c r="B2244" s="29" t="s">
        <v>1743</v>
      </c>
      <c r="C2244" s="29" t="s">
        <v>514</v>
      </c>
      <c r="D2244" s="29" t="str">
        <f>VLOOKUP(C:C,'COUNT-CONT'!B:C,2,FALSE)</f>
        <v>North America</v>
      </c>
      <c r="E2244" s="29">
        <v>3</v>
      </c>
      <c r="F2244" s="28">
        <v>1527</v>
      </c>
      <c r="G2244" s="28">
        <v>3165766732</v>
      </c>
      <c r="H2244" s="29">
        <v>8.56</v>
      </c>
      <c r="I2244" s="142">
        <v>-70.88</v>
      </c>
      <c r="J2244" s="29">
        <v>5.62</v>
      </c>
      <c r="K2244" s="29">
        <v>5.44</v>
      </c>
      <c r="L2244" s="29">
        <v>9.73</v>
      </c>
      <c r="M2244" s="368"/>
      <c r="N2244" s="368"/>
      <c r="O2244" s="271">
        <f>IFERROR(Table17[[#This Row],[PROFIT]]/Table17[[#This Row],[TO]],0)</f>
        <v>0</v>
      </c>
      <c r="P2244" s="177"/>
      <c r="Q2244" s="177"/>
      <c r="R2244" s="177"/>
    </row>
    <row r="2245" spans="1:18" hidden="1" x14ac:dyDescent="0.25">
      <c r="A2245" s="29" t="s">
        <v>1537</v>
      </c>
      <c r="B2245" s="29" t="s">
        <v>1536</v>
      </c>
      <c r="C2245" s="29" t="s">
        <v>1427</v>
      </c>
      <c r="D2245" s="29" t="str">
        <f>VLOOKUP(C:C,'COUNT-CONT'!B:C,2,FALSE)</f>
        <v>Europe</v>
      </c>
      <c r="E2245" s="29">
        <v>2</v>
      </c>
      <c r="F2245" s="28">
        <v>1502</v>
      </c>
      <c r="G2245" s="28">
        <v>3101156857</v>
      </c>
      <c r="H2245" s="29">
        <v>8.52</v>
      </c>
      <c r="I2245" s="142">
        <v>-70.92</v>
      </c>
      <c r="J2245" s="29">
        <v>5.17</v>
      </c>
      <c r="K2245" s="29">
        <v>4.8099999999999996</v>
      </c>
      <c r="L2245" s="29">
        <v>9.2799999999999994</v>
      </c>
      <c r="M2245" s="368"/>
      <c r="N2245" s="368"/>
      <c r="O2245" s="271">
        <f>IFERROR(Table17[[#This Row],[PROFIT]]/Table17[[#This Row],[TO]],0)</f>
        <v>0</v>
      </c>
      <c r="P2245" s="177"/>
      <c r="Q2245" s="177"/>
      <c r="R2245" s="177"/>
    </row>
    <row r="2246" spans="1:18" ht="30" hidden="1" x14ac:dyDescent="0.25">
      <c r="A2246" s="29" t="s">
        <v>1726</v>
      </c>
      <c r="B2246" s="29" t="s">
        <v>1725</v>
      </c>
      <c r="C2246" s="29" t="s">
        <v>514</v>
      </c>
      <c r="D2246" s="29" t="str">
        <f>VLOOKUP(C:C,'COUNT-CONT'!B:C,2,FALSE)</f>
        <v>North America</v>
      </c>
      <c r="E2246" s="29">
        <v>1</v>
      </c>
      <c r="F2246" s="28">
        <v>1099</v>
      </c>
      <c r="G2246" s="28">
        <v>3402009918</v>
      </c>
      <c r="H2246" s="29">
        <v>8.52</v>
      </c>
      <c r="I2246" s="142">
        <v>-70.92</v>
      </c>
      <c r="J2246" s="29">
        <v>5.62</v>
      </c>
      <c r="K2246" s="29">
        <v>5.44</v>
      </c>
      <c r="L2246" s="29">
        <v>9.6999999999999993</v>
      </c>
      <c r="M2246" s="368"/>
      <c r="N2246" s="368"/>
      <c r="O2246" s="271">
        <f>IFERROR(Table17[[#This Row],[PROFIT]]/Table17[[#This Row],[TO]],0)</f>
        <v>0</v>
      </c>
      <c r="P2246" s="177"/>
      <c r="Q2246" s="177"/>
      <c r="R2246" s="177"/>
    </row>
    <row r="2247" spans="1:18" ht="30" hidden="1" x14ac:dyDescent="0.25">
      <c r="A2247" s="29" t="s">
        <v>1732</v>
      </c>
      <c r="B2247" s="29" t="s">
        <v>1731</v>
      </c>
      <c r="C2247" s="29" t="s">
        <v>514</v>
      </c>
      <c r="D2247" s="29" t="str">
        <f>VLOOKUP(C:C,'COUNT-CONT'!B:C,2,FALSE)</f>
        <v>North America</v>
      </c>
      <c r="E2247" s="29">
        <v>4</v>
      </c>
      <c r="F2247" s="28">
        <v>1832</v>
      </c>
      <c r="G2247" s="28">
        <v>3074736681</v>
      </c>
      <c r="H2247" s="29">
        <v>8.52</v>
      </c>
      <c r="I2247" s="142">
        <v>-70.92</v>
      </c>
      <c r="J2247" s="29">
        <v>5.62</v>
      </c>
      <c r="K2247" s="29">
        <v>5.44</v>
      </c>
      <c r="L2247" s="29">
        <v>9.6999999999999993</v>
      </c>
      <c r="M2247" s="368"/>
      <c r="N2247" s="368"/>
      <c r="O2247" s="271">
        <f>IFERROR(Table17[[#This Row],[PROFIT]]/Table17[[#This Row],[TO]],0)</f>
        <v>0</v>
      </c>
      <c r="P2247" s="177"/>
      <c r="Q2247" s="177"/>
      <c r="R2247" s="177"/>
    </row>
    <row r="2248" spans="1:18" x14ac:dyDescent="0.25">
      <c r="A2248" s="29" t="s">
        <v>1471</v>
      </c>
      <c r="B2248" s="29" t="s">
        <v>1470</v>
      </c>
      <c r="C2248" s="29" t="s">
        <v>774</v>
      </c>
      <c r="D2248" s="29" t="str">
        <f>VLOOKUP(C:C,'COUNT-CONT'!B:C,2,FALSE)</f>
        <v>Oceania</v>
      </c>
      <c r="E2248" s="29">
        <v>2</v>
      </c>
      <c r="F2248" s="28">
        <v>1471</v>
      </c>
      <c r="G2248" s="28">
        <v>3096590618</v>
      </c>
      <c r="H2248" s="29">
        <v>8.49</v>
      </c>
      <c r="I2248" s="142">
        <v>-70.95</v>
      </c>
      <c r="J2248" s="29">
        <v>5.05</v>
      </c>
      <c r="K2248" s="29">
        <v>4.6900000000000004</v>
      </c>
      <c r="L2248" s="29">
        <v>9.0399999999999991</v>
      </c>
      <c r="M2248" s="368"/>
      <c r="N2248" s="368"/>
      <c r="O2248" s="271">
        <f>IFERROR(Table17[[#This Row],[PROFIT]]/Table17[[#This Row],[TO]],0)</f>
        <v>0</v>
      </c>
      <c r="P2248" s="177"/>
      <c r="Q2248" s="177"/>
      <c r="R2248" s="177"/>
    </row>
    <row r="2249" spans="1:18" ht="30" hidden="1" x14ac:dyDescent="0.25">
      <c r="A2249" s="29" t="s">
        <v>2247</v>
      </c>
      <c r="B2249" s="29" t="s">
        <v>2246</v>
      </c>
      <c r="C2249" s="29" t="s">
        <v>11732</v>
      </c>
      <c r="D2249" s="29" t="str">
        <f>VLOOKUP(C:C,'COUNT-CONT'!B:C,2,FALSE)</f>
        <v>North America</v>
      </c>
      <c r="E2249" s="29">
        <v>9</v>
      </c>
      <c r="F2249" s="28">
        <v>3256</v>
      </c>
      <c r="G2249" s="28">
        <v>3255637837</v>
      </c>
      <c r="H2249" s="29">
        <v>8.49</v>
      </c>
      <c r="I2249" s="142">
        <v>-70.95</v>
      </c>
      <c r="J2249" s="29">
        <v>6.95</v>
      </c>
      <c r="K2249" s="29">
        <v>6.95</v>
      </c>
      <c r="L2249" s="29">
        <v>11.22</v>
      </c>
      <c r="M2249" s="368"/>
      <c r="N2249" s="368"/>
      <c r="O2249" s="271">
        <f>IFERROR(Table17[[#This Row],[PROFIT]]/Table17[[#This Row],[TO]],0)</f>
        <v>0</v>
      </c>
      <c r="P2249" s="177"/>
      <c r="Q2249" s="177"/>
      <c r="R2249" s="177"/>
    </row>
    <row r="2250" spans="1:18" ht="30" x14ac:dyDescent="0.25">
      <c r="A2250" s="29" t="s">
        <v>1106</v>
      </c>
      <c r="B2250" s="29" t="s">
        <v>1105</v>
      </c>
      <c r="C2250" s="29" t="s">
        <v>662</v>
      </c>
      <c r="D2250" s="29" t="str">
        <f>VLOOKUP(C:C,'COUNT-CONT'!B:C,2,FALSE)</f>
        <v>Oceania</v>
      </c>
      <c r="E2250" s="29">
        <v>1</v>
      </c>
      <c r="F2250" s="28">
        <v>1051</v>
      </c>
      <c r="G2250" s="28">
        <v>3129022264</v>
      </c>
      <c r="H2250" s="29">
        <v>8.49</v>
      </c>
      <c r="I2250" s="142">
        <v>-70.95</v>
      </c>
      <c r="J2250" s="29">
        <v>4.17</v>
      </c>
      <c r="K2250" s="29">
        <v>3.51</v>
      </c>
      <c r="L2250" s="29">
        <v>8.01</v>
      </c>
      <c r="M2250" s="368"/>
      <c r="N2250" s="368"/>
      <c r="O2250" s="271">
        <f>IFERROR(Table17[[#This Row],[PROFIT]]/Table17[[#This Row],[TO]],0)</f>
        <v>0</v>
      </c>
      <c r="P2250" s="177"/>
      <c r="Q2250" s="177"/>
      <c r="R2250" s="177"/>
    </row>
    <row r="2251" spans="1:18" ht="30" hidden="1" x14ac:dyDescent="0.25">
      <c r="A2251" s="29" t="s">
        <v>2225</v>
      </c>
      <c r="B2251" s="29" t="s">
        <v>2224</v>
      </c>
      <c r="C2251" s="29" t="s">
        <v>11732</v>
      </c>
      <c r="D2251" s="29" t="str">
        <f>VLOOKUP(C:C,'COUNT-CONT'!B:C,2,FALSE)</f>
        <v>North America</v>
      </c>
      <c r="E2251" s="29">
        <v>6</v>
      </c>
      <c r="F2251" s="28">
        <v>2447</v>
      </c>
      <c r="G2251" s="28">
        <v>3280230036</v>
      </c>
      <c r="H2251" s="29">
        <v>8.4600000000000009</v>
      </c>
      <c r="I2251" s="142">
        <v>-70.97999999999999</v>
      </c>
      <c r="J2251" s="29">
        <v>6.89</v>
      </c>
      <c r="K2251" s="29">
        <v>6.89</v>
      </c>
      <c r="L2251" s="29">
        <v>11.15</v>
      </c>
      <c r="M2251" s="368"/>
      <c r="N2251" s="368"/>
      <c r="O2251" s="271">
        <f>IFERROR(Table17[[#This Row],[PROFIT]]/Table17[[#This Row],[TO]],0)</f>
        <v>0</v>
      </c>
      <c r="P2251" s="177"/>
      <c r="Q2251" s="177"/>
      <c r="R2251" s="177"/>
    </row>
    <row r="2252" spans="1:18" ht="30" x14ac:dyDescent="0.25">
      <c r="A2252" s="29" t="s">
        <v>1112</v>
      </c>
      <c r="B2252" s="29" t="s">
        <v>1111</v>
      </c>
      <c r="C2252" s="29" t="s">
        <v>662</v>
      </c>
      <c r="D2252" s="29" t="str">
        <f>VLOOKUP(C:C,'COUNT-CONT'!B:C,2,FALSE)</f>
        <v>Oceania</v>
      </c>
      <c r="E2252" s="29">
        <v>2</v>
      </c>
      <c r="F2252" s="28">
        <v>1501</v>
      </c>
      <c r="G2252" s="28">
        <v>2858644770</v>
      </c>
      <c r="H2252" s="29">
        <v>8.4600000000000009</v>
      </c>
      <c r="I2252" s="142">
        <v>-70.97999999999999</v>
      </c>
      <c r="J2252" s="29">
        <v>4.1399999999999997</v>
      </c>
      <c r="K2252" s="29">
        <v>3.51</v>
      </c>
      <c r="L2252" s="29">
        <v>8.01</v>
      </c>
      <c r="M2252" s="368"/>
      <c r="N2252" s="368"/>
      <c r="O2252" s="271">
        <f>IFERROR(Table17[[#This Row],[PROFIT]]/Table17[[#This Row],[TO]],0)</f>
        <v>0</v>
      </c>
      <c r="P2252" s="177"/>
      <c r="Q2252" s="177"/>
      <c r="R2252" s="177"/>
    </row>
    <row r="2253" spans="1:18" ht="30" hidden="1" x14ac:dyDescent="0.25">
      <c r="A2253" s="29" t="s">
        <v>1689</v>
      </c>
      <c r="B2253" s="29" t="s">
        <v>1688</v>
      </c>
      <c r="C2253" s="29" t="s">
        <v>514</v>
      </c>
      <c r="D2253" s="29" t="str">
        <f>VLOOKUP(C:C,'COUNT-CONT'!B:C,2,FALSE)</f>
        <v>North America</v>
      </c>
      <c r="E2253" s="29">
        <v>3</v>
      </c>
      <c r="F2253" s="28">
        <v>1557</v>
      </c>
      <c r="G2253" s="28">
        <v>3140486833</v>
      </c>
      <c r="H2253" s="29">
        <v>8.4600000000000009</v>
      </c>
      <c r="I2253" s="142">
        <v>-70.97999999999999</v>
      </c>
      <c r="J2253" s="29">
        <v>5.56</v>
      </c>
      <c r="K2253" s="29">
        <v>5.38</v>
      </c>
      <c r="L2253" s="29">
        <v>9.61</v>
      </c>
      <c r="M2253" s="368"/>
      <c r="N2253" s="368"/>
      <c r="O2253" s="271">
        <f>IFERROR(Table17[[#This Row],[PROFIT]]/Table17[[#This Row],[TO]],0)</f>
        <v>0</v>
      </c>
      <c r="P2253" s="177"/>
      <c r="Q2253" s="177"/>
      <c r="R2253" s="177"/>
    </row>
    <row r="2254" spans="1:18" ht="30" hidden="1" x14ac:dyDescent="0.25">
      <c r="A2254" s="29" t="s">
        <v>875</v>
      </c>
      <c r="B2254" s="29" t="s">
        <v>874</v>
      </c>
      <c r="C2254" s="29" t="s">
        <v>683</v>
      </c>
      <c r="D2254" s="29" t="str">
        <f>VLOOKUP(C:C,'COUNT-CONT'!B:C,2,FALSE)</f>
        <v>North America</v>
      </c>
      <c r="E2254" s="29">
        <v>4</v>
      </c>
      <c r="F2254" s="28">
        <v>1851</v>
      </c>
      <c r="G2254" s="28">
        <v>2644073365</v>
      </c>
      <c r="H2254" s="29">
        <v>8.43</v>
      </c>
      <c r="I2254" s="142">
        <v>-71.009999999999991</v>
      </c>
      <c r="J2254" s="29">
        <v>3.33</v>
      </c>
      <c r="K2254" s="29">
        <v>2.75</v>
      </c>
      <c r="L2254" s="29">
        <v>7.29</v>
      </c>
      <c r="M2254" s="368"/>
      <c r="N2254" s="368"/>
      <c r="O2254" s="271">
        <f>IFERROR(Table17[[#This Row],[PROFIT]]/Table17[[#This Row],[TO]],0)</f>
        <v>0</v>
      </c>
      <c r="P2254" s="177"/>
      <c r="Q2254" s="177"/>
      <c r="R2254" s="177"/>
    </row>
    <row r="2255" spans="1:18" hidden="1" x14ac:dyDescent="0.25">
      <c r="A2255" s="29" t="s">
        <v>1165</v>
      </c>
      <c r="B2255" s="29" t="s">
        <v>1164</v>
      </c>
      <c r="C2255" s="29" t="s">
        <v>520</v>
      </c>
      <c r="D2255" s="29" t="str">
        <f>VLOOKUP(C:C,'COUNT-CONT'!B:C,2,FALSE)</f>
        <v>Europe</v>
      </c>
      <c r="E2255" s="29">
        <v>3</v>
      </c>
      <c r="F2255" s="28">
        <v>1535</v>
      </c>
      <c r="G2255" s="28">
        <v>2860212377</v>
      </c>
      <c r="H2255" s="29">
        <v>8.43</v>
      </c>
      <c r="I2255" s="142">
        <v>-71.009999999999991</v>
      </c>
      <c r="J2255" s="29">
        <v>4.2</v>
      </c>
      <c r="K2255" s="29">
        <v>3.72</v>
      </c>
      <c r="L2255" s="29">
        <v>8.1300000000000008</v>
      </c>
      <c r="M2255" s="368"/>
      <c r="N2255" s="368"/>
      <c r="O2255" s="271">
        <f>IFERROR(Table17[[#This Row],[PROFIT]]/Table17[[#This Row],[TO]],0)</f>
        <v>0</v>
      </c>
      <c r="P2255" s="177"/>
      <c r="Q2255" s="177"/>
      <c r="R2255" s="177"/>
    </row>
    <row r="2256" spans="1:18" ht="30" hidden="1" x14ac:dyDescent="0.25">
      <c r="A2256" s="29" t="s">
        <v>862</v>
      </c>
      <c r="B2256" s="29" t="s">
        <v>861</v>
      </c>
      <c r="C2256" s="29" t="s">
        <v>860</v>
      </c>
      <c r="D2256" s="29" t="str">
        <f>VLOOKUP(C:C,'COUNT-CONT'!B:C,2,FALSE)</f>
        <v>South America</v>
      </c>
      <c r="E2256" s="29">
        <v>1</v>
      </c>
      <c r="F2256" s="28">
        <v>1037</v>
      </c>
      <c r="G2256" s="28">
        <v>3029152169</v>
      </c>
      <c r="H2256" s="29">
        <v>8.43</v>
      </c>
      <c r="I2256" s="142">
        <v>-71.009999999999991</v>
      </c>
      <c r="J2256" s="29">
        <v>3.33</v>
      </c>
      <c r="K2256" s="29">
        <v>2.75</v>
      </c>
      <c r="L2256" s="29">
        <v>7.29</v>
      </c>
      <c r="M2256" s="368"/>
      <c r="N2256" s="368"/>
      <c r="O2256" s="271">
        <f>IFERROR(Table17[[#This Row],[PROFIT]]/Table17[[#This Row],[TO]],0)</f>
        <v>0</v>
      </c>
      <c r="P2256" s="177"/>
      <c r="Q2256" s="177"/>
      <c r="R2256" s="177"/>
    </row>
    <row r="2257" spans="1:18" ht="30" hidden="1" x14ac:dyDescent="0.25">
      <c r="A2257" s="29" t="s">
        <v>2207</v>
      </c>
      <c r="B2257" s="29" t="s">
        <v>2206</v>
      </c>
      <c r="C2257" s="29" t="s">
        <v>11732</v>
      </c>
      <c r="D2257" s="29" t="str">
        <f>VLOOKUP(C:C,'COUNT-CONT'!B:C,2,FALSE)</f>
        <v>North America</v>
      </c>
      <c r="E2257" s="29">
        <v>9</v>
      </c>
      <c r="F2257" s="28">
        <v>3057</v>
      </c>
      <c r="G2257" s="28">
        <v>3238629898</v>
      </c>
      <c r="H2257" s="29">
        <v>8.4</v>
      </c>
      <c r="I2257" s="142">
        <v>-71.039999999999992</v>
      </c>
      <c r="J2257" s="29">
        <v>6.83</v>
      </c>
      <c r="K2257" s="29">
        <v>6.83</v>
      </c>
      <c r="L2257" s="29">
        <v>11.06</v>
      </c>
      <c r="M2257" s="368"/>
      <c r="N2257" s="368"/>
      <c r="O2257" s="271">
        <f>IFERROR(Table17[[#This Row],[PROFIT]]/Table17[[#This Row],[TO]],0)</f>
        <v>0</v>
      </c>
      <c r="P2257" s="177"/>
      <c r="Q2257" s="177"/>
      <c r="R2257" s="177"/>
    </row>
    <row r="2258" spans="1:18" x14ac:dyDescent="0.25">
      <c r="A2258" s="29" t="s">
        <v>1074</v>
      </c>
      <c r="B2258" s="29" t="s">
        <v>1073</v>
      </c>
      <c r="C2258" s="29" t="s">
        <v>730</v>
      </c>
      <c r="D2258" s="29" t="str">
        <f>VLOOKUP(C:C,'COUNT-CONT'!B:C,2,FALSE)</f>
        <v>Oceania</v>
      </c>
      <c r="E2258" s="29">
        <v>2</v>
      </c>
      <c r="F2258" s="28">
        <v>1403</v>
      </c>
      <c r="G2258" s="28">
        <v>2978834212</v>
      </c>
      <c r="H2258" s="29">
        <v>8.4</v>
      </c>
      <c r="I2258" s="142">
        <v>-71.039999999999992</v>
      </c>
      <c r="J2258" s="29">
        <v>3.96</v>
      </c>
      <c r="K2258" s="29">
        <v>3.48</v>
      </c>
      <c r="L2258" s="29">
        <v>7.92</v>
      </c>
      <c r="M2258" s="368"/>
      <c r="N2258" s="368"/>
      <c r="O2258" s="271">
        <f>IFERROR(Table17[[#This Row],[PROFIT]]/Table17[[#This Row],[TO]],0)</f>
        <v>0</v>
      </c>
      <c r="P2258" s="177"/>
      <c r="Q2258" s="177"/>
      <c r="R2258" s="177"/>
    </row>
    <row r="2259" spans="1:18" ht="30" hidden="1" x14ac:dyDescent="0.25">
      <c r="A2259" s="29" t="s">
        <v>851</v>
      </c>
      <c r="B2259" s="29" t="s">
        <v>850</v>
      </c>
      <c r="C2259" s="29" t="s">
        <v>505</v>
      </c>
      <c r="D2259" s="29" t="e">
        <f>VLOOKUP(C:C,'COUNT-CONT'!B:C,2,FALSE)</f>
        <v>#N/A</v>
      </c>
      <c r="E2259" s="29">
        <v>7</v>
      </c>
      <c r="F2259" s="28">
        <v>2646</v>
      </c>
      <c r="G2259" s="28">
        <v>2524221844</v>
      </c>
      <c r="H2259" s="29">
        <v>8.4</v>
      </c>
      <c r="I2259" s="142">
        <v>-71.039999999999992</v>
      </c>
      <c r="J2259" s="29">
        <v>3.26</v>
      </c>
      <c r="K2259" s="29">
        <v>2.69</v>
      </c>
      <c r="L2259" s="29">
        <v>7.13</v>
      </c>
      <c r="M2259" s="368"/>
      <c r="N2259" s="368"/>
      <c r="O2259" s="271">
        <f>IFERROR(Table17[[#This Row],[PROFIT]]/Table17[[#This Row],[TO]],0)</f>
        <v>0</v>
      </c>
      <c r="P2259" s="177"/>
      <c r="Q2259" s="177"/>
      <c r="R2259" s="177"/>
    </row>
    <row r="2260" spans="1:18" hidden="1" x14ac:dyDescent="0.25">
      <c r="A2260" s="29" t="s">
        <v>1218</v>
      </c>
      <c r="B2260" s="29" t="s">
        <v>1217</v>
      </c>
      <c r="C2260" s="29" t="s">
        <v>1216</v>
      </c>
      <c r="D2260" s="29" t="str">
        <f>VLOOKUP(C:C,'COUNT-CONT'!B:C,2,FALSE)</f>
        <v>Asia</v>
      </c>
      <c r="E2260" s="29">
        <v>1</v>
      </c>
      <c r="F2260" s="28">
        <v>1166</v>
      </c>
      <c r="G2260" s="28">
        <v>3127696226</v>
      </c>
      <c r="H2260" s="29">
        <v>8.4</v>
      </c>
      <c r="I2260" s="142">
        <v>-71.039999999999992</v>
      </c>
      <c r="J2260" s="29">
        <v>4.26</v>
      </c>
      <c r="K2260" s="29">
        <v>3.96</v>
      </c>
      <c r="L2260" s="29">
        <v>8.25</v>
      </c>
      <c r="M2260" s="368"/>
      <c r="N2260" s="368"/>
      <c r="O2260" s="271">
        <f>IFERROR(Table17[[#This Row],[PROFIT]]/Table17[[#This Row],[TO]],0)</f>
        <v>0</v>
      </c>
      <c r="P2260" s="177"/>
      <c r="Q2260" s="177"/>
      <c r="R2260" s="177"/>
    </row>
    <row r="2261" spans="1:18" ht="30" hidden="1" x14ac:dyDescent="0.25">
      <c r="A2261" s="29" t="s">
        <v>2205</v>
      </c>
      <c r="B2261" s="29" t="s">
        <v>2204</v>
      </c>
      <c r="C2261" s="29" t="s">
        <v>11732</v>
      </c>
      <c r="D2261" s="29" t="str">
        <f>VLOOKUP(C:C,'COUNT-CONT'!B:C,2,FALSE)</f>
        <v>North America</v>
      </c>
      <c r="E2261" s="29">
        <v>7</v>
      </c>
      <c r="F2261" s="28">
        <v>2661</v>
      </c>
      <c r="G2261" s="28">
        <v>3252678429</v>
      </c>
      <c r="H2261" s="29">
        <v>8.4</v>
      </c>
      <c r="I2261" s="142">
        <v>-71.039999999999992</v>
      </c>
      <c r="J2261" s="29">
        <v>6.83</v>
      </c>
      <c r="K2261" s="29">
        <v>6.83</v>
      </c>
      <c r="L2261" s="29">
        <v>11.06</v>
      </c>
      <c r="M2261" s="368"/>
      <c r="N2261" s="368"/>
      <c r="O2261" s="271">
        <f>IFERROR(Table17[[#This Row],[PROFIT]]/Table17[[#This Row],[TO]],0)</f>
        <v>0</v>
      </c>
      <c r="P2261" s="177"/>
      <c r="Q2261" s="177"/>
      <c r="R2261" s="177"/>
    </row>
    <row r="2262" spans="1:18" x14ac:dyDescent="0.25">
      <c r="A2262" s="29" t="s">
        <v>1069</v>
      </c>
      <c r="B2262" s="29" t="s">
        <v>1068</v>
      </c>
      <c r="C2262" s="29" t="s">
        <v>730</v>
      </c>
      <c r="D2262" s="29" t="str">
        <f>VLOOKUP(C:C,'COUNT-CONT'!B:C,2,FALSE)</f>
        <v>Oceania</v>
      </c>
      <c r="E2262" s="29">
        <v>2</v>
      </c>
      <c r="F2262" s="28">
        <v>1281</v>
      </c>
      <c r="G2262" s="28">
        <v>3041304137</v>
      </c>
      <c r="H2262" s="29">
        <v>8.4</v>
      </c>
      <c r="I2262" s="142">
        <v>-71.039999999999992</v>
      </c>
      <c r="J2262" s="29">
        <v>3.96</v>
      </c>
      <c r="K2262" s="29">
        <v>3.48</v>
      </c>
      <c r="L2262" s="29">
        <v>7.92</v>
      </c>
      <c r="M2262" s="368"/>
      <c r="N2262" s="368"/>
      <c r="O2262" s="271">
        <f>IFERROR(Table17[[#This Row],[PROFIT]]/Table17[[#This Row],[TO]],0)</f>
        <v>0</v>
      </c>
      <c r="P2262" s="177"/>
      <c r="Q2262" s="177"/>
      <c r="R2262" s="177"/>
    </row>
    <row r="2263" spans="1:18" ht="30" hidden="1" x14ac:dyDescent="0.25">
      <c r="A2263" s="29" t="s">
        <v>1668</v>
      </c>
      <c r="B2263" s="29" t="s">
        <v>1667</v>
      </c>
      <c r="C2263" s="29" t="s">
        <v>514</v>
      </c>
      <c r="D2263" s="29" t="str">
        <f>VLOOKUP(C:C,'COUNT-CONT'!B:C,2,FALSE)</f>
        <v>North America</v>
      </c>
      <c r="E2263" s="29">
        <v>2</v>
      </c>
      <c r="F2263" s="28">
        <v>1292</v>
      </c>
      <c r="G2263" s="28">
        <v>3249393188</v>
      </c>
      <c r="H2263" s="29">
        <v>8.4</v>
      </c>
      <c r="I2263" s="142">
        <v>-71.039999999999992</v>
      </c>
      <c r="J2263" s="29">
        <v>5.53</v>
      </c>
      <c r="K2263" s="29">
        <v>5.32</v>
      </c>
      <c r="L2263" s="29">
        <v>9.5500000000000007</v>
      </c>
      <c r="M2263" s="368"/>
      <c r="N2263" s="368"/>
      <c r="O2263" s="271">
        <f>IFERROR(Table17[[#This Row],[PROFIT]]/Table17[[#This Row],[TO]],0)</f>
        <v>0</v>
      </c>
      <c r="P2263" s="177"/>
      <c r="Q2263" s="177"/>
      <c r="R2263" s="177"/>
    </row>
    <row r="2264" spans="1:18" ht="30" hidden="1" x14ac:dyDescent="0.25">
      <c r="A2264" s="29" t="s">
        <v>1666</v>
      </c>
      <c r="B2264" s="29" t="s">
        <v>1665</v>
      </c>
      <c r="C2264" s="29" t="s">
        <v>514</v>
      </c>
      <c r="D2264" s="29" t="str">
        <f>VLOOKUP(C:C,'COUNT-CONT'!B:C,2,FALSE)</f>
        <v>North America</v>
      </c>
      <c r="E2264" s="29">
        <v>1</v>
      </c>
      <c r="F2264" s="28">
        <v>1193</v>
      </c>
      <c r="G2264" s="28">
        <v>3310145264</v>
      </c>
      <c r="H2264" s="29">
        <v>8.4</v>
      </c>
      <c r="I2264" s="142">
        <v>-71.039999999999992</v>
      </c>
      <c r="J2264" s="29">
        <v>5.53</v>
      </c>
      <c r="K2264" s="29">
        <v>5.32</v>
      </c>
      <c r="L2264" s="29">
        <v>9.5500000000000007</v>
      </c>
      <c r="M2264" s="368"/>
      <c r="N2264" s="368"/>
      <c r="O2264" s="271">
        <f>IFERROR(Table17[[#This Row],[PROFIT]]/Table17[[#This Row],[TO]],0)</f>
        <v>0</v>
      </c>
      <c r="P2264" s="177"/>
      <c r="Q2264" s="177"/>
      <c r="R2264" s="177"/>
    </row>
    <row r="2265" spans="1:18" ht="30" hidden="1" x14ac:dyDescent="0.25">
      <c r="A2265" s="29" t="s">
        <v>1664</v>
      </c>
      <c r="B2265" s="29" t="s">
        <v>1663</v>
      </c>
      <c r="C2265" s="29" t="s">
        <v>514</v>
      </c>
      <c r="D2265" s="29" t="str">
        <f>VLOOKUP(C:C,'COUNT-CONT'!B:C,2,FALSE)</f>
        <v>North America</v>
      </c>
      <c r="E2265" s="29">
        <v>1</v>
      </c>
      <c r="F2265" s="28">
        <v>1191</v>
      </c>
      <c r="G2265" s="28">
        <v>3313093618</v>
      </c>
      <c r="H2265" s="29">
        <v>8.4</v>
      </c>
      <c r="I2265" s="142">
        <v>-71.039999999999992</v>
      </c>
      <c r="J2265" s="29">
        <v>5.53</v>
      </c>
      <c r="K2265" s="29">
        <v>5.35</v>
      </c>
      <c r="L2265" s="29">
        <v>9.5500000000000007</v>
      </c>
      <c r="M2265" s="368"/>
      <c r="N2265" s="368"/>
      <c r="O2265" s="271">
        <f>IFERROR(Table17[[#This Row],[PROFIT]]/Table17[[#This Row],[TO]],0)</f>
        <v>0</v>
      </c>
      <c r="P2265" s="177"/>
      <c r="Q2265" s="177"/>
      <c r="R2265" s="177"/>
    </row>
    <row r="2266" spans="1:18" ht="30" hidden="1" x14ac:dyDescent="0.25">
      <c r="A2266" s="29" t="s">
        <v>845</v>
      </c>
      <c r="B2266" s="29" t="s">
        <v>844</v>
      </c>
      <c r="C2266" s="29" t="s">
        <v>517</v>
      </c>
      <c r="D2266" s="29" t="str">
        <f>VLOOKUP(C:C,'COUNT-CONT'!B:C,2,FALSE)</f>
        <v>South America</v>
      </c>
      <c r="E2266" s="29">
        <v>3</v>
      </c>
      <c r="F2266" s="28">
        <v>1687</v>
      </c>
      <c r="G2266" s="28">
        <v>2659845050</v>
      </c>
      <c r="H2266" s="29">
        <v>8.3699999999999992</v>
      </c>
      <c r="I2266" s="142">
        <v>-71.069999999999993</v>
      </c>
      <c r="J2266" s="29">
        <v>3.26</v>
      </c>
      <c r="K2266" s="29">
        <v>2.69</v>
      </c>
      <c r="L2266" s="29">
        <v>7.1</v>
      </c>
      <c r="M2266" s="368"/>
      <c r="N2266" s="368"/>
      <c r="O2266" s="271">
        <f>IFERROR(Table17[[#This Row],[PROFIT]]/Table17[[#This Row],[TO]],0)</f>
        <v>0</v>
      </c>
      <c r="P2266" s="177"/>
      <c r="Q2266" s="177"/>
      <c r="R2266" s="177"/>
    </row>
    <row r="2267" spans="1:18" ht="30" hidden="1" x14ac:dyDescent="0.25">
      <c r="A2267" s="29" t="s">
        <v>2197</v>
      </c>
      <c r="B2267" s="29" t="s">
        <v>2196</v>
      </c>
      <c r="C2267" s="29" t="s">
        <v>11732</v>
      </c>
      <c r="D2267" s="29" t="str">
        <f>VLOOKUP(C:C,'COUNT-CONT'!B:C,2,FALSE)</f>
        <v>North America</v>
      </c>
      <c r="E2267" s="29">
        <v>7</v>
      </c>
      <c r="F2267" s="28">
        <v>2527</v>
      </c>
      <c r="G2267" s="28">
        <v>3256498773</v>
      </c>
      <c r="H2267" s="29">
        <v>8.3699999999999992</v>
      </c>
      <c r="I2267" s="142">
        <v>-71.069999999999993</v>
      </c>
      <c r="J2267" s="29">
        <v>6.83</v>
      </c>
      <c r="K2267" s="29">
        <v>6.83</v>
      </c>
      <c r="L2267" s="29">
        <v>11.03</v>
      </c>
      <c r="M2267" s="368"/>
      <c r="N2267" s="368"/>
      <c r="O2267" s="271">
        <f>IFERROR(Table17[[#This Row],[PROFIT]]/Table17[[#This Row],[TO]],0)</f>
        <v>0</v>
      </c>
      <c r="P2267" s="177"/>
      <c r="Q2267" s="177"/>
      <c r="R2267" s="177"/>
    </row>
    <row r="2268" spans="1:18" ht="30" hidden="1" x14ac:dyDescent="0.25">
      <c r="A2268" s="29" t="s">
        <v>2187</v>
      </c>
      <c r="B2268" s="29" t="s">
        <v>2186</v>
      </c>
      <c r="C2268" s="29" t="s">
        <v>11732</v>
      </c>
      <c r="D2268" s="29" t="str">
        <f>VLOOKUP(C:C,'COUNT-CONT'!B:C,2,FALSE)</f>
        <v>North America</v>
      </c>
      <c r="E2268" s="29">
        <v>4</v>
      </c>
      <c r="F2268" s="28">
        <v>1988</v>
      </c>
      <c r="G2268" s="28">
        <v>3323919919</v>
      </c>
      <c r="H2268" s="29">
        <v>8.3699999999999992</v>
      </c>
      <c r="I2268" s="142">
        <v>-71.069999999999993</v>
      </c>
      <c r="J2268" s="29">
        <v>6.83</v>
      </c>
      <c r="K2268" s="29">
        <v>6.83</v>
      </c>
      <c r="L2268" s="29">
        <v>11.03</v>
      </c>
      <c r="M2268" s="368"/>
      <c r="N2268" s="368"/>
      <c r="O2268" s="271">
        <f>IFERROR(Table17[[#This Row],[PROFIT]]/Table17[[#This Row],[TO]],0)</f>
        <v>0</v>
      </c>
      <c r="P2268" s="177"/>
      <c r="Q2268" s="177"/>
      <c r="R2268" s="177"/>
    </row>
    <row r="2269" spans="1:18" ht="30" hidden="1" x14ac:dyDescent="0.25">
      <c r="A2269" s="29" t="s">
        <v>2175</v>
      </c>
      <c r="B2269" s="29" t="s">
        <v>2174</v>
      </c>
      <c r="C2269" s="29" t="s">
        <v>11732</v>
      </c>
      <c r="D2269" s="29" t="str">
        <f>VLOOKUP(C:C,'COUNT-CONT'!B:C,2,FALSE)</f>
        <v>North America</v>
      </c>
      <c r="E2269" s="29">
        <v>3</v>
      </c>
      <c r="F2269" s="28">
        <v>1556</v>
      </c>
      <c r="G2269" s="28">
        <v>3429640874</v>
      </c>
      <c r="H2269" s="29">
        <v>8.3699999999999992</v>
      </c>
      <c r="I2269" s="142">
        <v>-71.069999999999993</v>
      </c>
      <c r="J2269" s="29">
        <v>6.8</v>
      </c>
      <c r="K2269" s="29">
        <v>6.8</v>
      </c>
      <c r="L2269" s="29">
        <v>11</v>
      </c>
      <c r="M2269" s="368"/>
      <c r="N2269" s="368"/>
      <c r="O2269" s="271">
        <f>IFERROR(Table17[[#This Row],[PROFIT]]/Table17[[#This Row],[TO]],0)</f>
        <v>0</v>
      </c>
      <c r="P2269" s="177"/>
      <c r="Q2269" s="177"/>
      <c r="R2269" s="177"/>
    </row>
    <row r="2270" spans="1:18" ht="30" hidden="1" x14ac:dyDescent="0.25">
      <c r="A2270" s="29" t="s">
        <v>2185</v>
      </c>
      <c r="B2270" s="29" t="s">
        <v>2184</v>
      </c>
      <c r="C2270" s="29" t="s">
        <v>11732</v>
      </c>
      <c r="D2270" s="29" t="str">
        <f>VLOOKUP(C:C,'COUNT-CONT'!B:C,2,FALSE)</f>
        <v>North America</v>
      </c>
      <c r="E2270" s="29">
        <v>1</v>
      </c>
      <c r="F2270" s="28">
        <v>1193</v>
      </c>
      <c r="G2270" s="28">
        <v>3611745264</v>
      </c>
      <c r="H2270" s="29">
        <v>8.3699999999999992</v>
      </c>
      <c r="I2270" s="142">
        <v>-71.069999999999993</v>
      </c>
      <c r="J2270" s="29">
        <v>6.83</v>
      </c>
      <c r="K2270" s="29">
        <v>6.83</v>
      </c>
      <c r="L2270" s="29">
        <v>11.03</v>
      </c>
      <c r="M2270" s="368"/>
      <c r="N2270" s="368"/>
      <c r="O2270" s="271">
        <f>IFERROR(Table17[[#This Row],[PROFIT]]/Table17[[#This Row],[TO]],0)</f>
        <v>0</v>
      </c>
      <c r="P2270" s="177"/>
      <c r="Q2270" s="177"/>
      <c r="R2270" s="177"/>
    </row>
    <row r="2271" spans="1:18" ht="30" hidden="1" x14ac:dyDescent="0.25">
      <c r="A2271" s="29" t="s">
        <v>2195</v>
      </c>
      <c r="B2271" s="29" t="s">
        <v>2194</v>
      </c>
      <c r="C2271" s="29" t="s">
        <v>11732</v>
      </c>
      <c r="D2271" s="29" t="str">
        <f>VLOOKUP(C:C,'COUNT-CONT'!B:C,2,FALSE)</f>
        <v>North America</v>
      </c>
      <c r="E2271" s="29">
        <v>6</v>
      </c>
      <c r="F2271" s="28">
        <v>2293</v>
      </c>
      <c r="G2271" s="28">
        <v>3280720889</v>
      </c>
      <c r="H2271" s="29">
        <v>8.3699999999999992</v>
      </c>
      <c r="I2271" s="142">
        <v>-71.069999999999993</v>
      </c>
      <c r="J2271" s="29">
        <v>6.83</v>
      </c>
      <c r="K2271" s="29">
        <v>6.83</v>
      </c>
      <c r="L2271" s="29">
        <v>11.03</v>
      </c>
      <c r="M2271" s="368"/>
      <c r="N2271" s="368"/>
      <c r="O2271" s="271">
        <f>IFERROR(Table17[[#This Row],[PROFIT]]/Table17[[#This Row],[TO]],0)</f>
        <v>0</v>
      </c>
      <c r="P2271" s="177"/>
      <c r="Q2271" s="177"/>
      <c r="R2271" s="177"/>
    </row>
    <row r="2272" spans="1:18" hidden="1" x14ac:dyDescent="0.25">
      <c r="A2272" s="29" t="s">
        <v>1437</v>
      </c>
      <c r="B2272" s="29" t="s">
        <v>1436</v>
      </c>
      <c r="C2272" s="29" t="s">
        <v>597</v>
      </c>
      <c r="D2272" s="29" t="str">
        <f>VLOOKUP(C:C,'COUNT-CONT'!B:C,2,FALSE)</f>
        <v>Europe</v>
      </c>
      <c r="E2272" s="29">
        <v>5</v>
      </c>
      <c r="F2272" s="28">
        <v>2077</v>
      </c>
      <c r="G2272" s="28">
        <v>2906210014</v>
      </c>
      <c r="H2272" s="29">
        <v>8.3699999999999992</v>
      </c>
      <c r="I2272" s="142">
        <v>-71.069999999999993</v>
      </c>
      <c r="J2272" s="29">
        <v>4.99</v>
      </c>
      <c r="K2272" s="29">
        <v>4.63</v>
      </c>
      <c r="L2272" s="29">
        <v>8.92</v>
      </c>
      <c r="M2272" s="368"/>
      <c r="N2272" s="368"/>
      <c r="O2272" s="271">
        <f>IFERROR(Table17[[#This Row],[PROFIT]]/Table17[[#This Row],[TO]],0)</f>
        <v>0</v>
      </c>
      <c r="P2272" s="177"/>
      <c r="Q2272" s="177"/>
      <c r="R2272" s="177"/>
    </row>
    <row r="2273" spans="1:18" ht="30" hidden="1" x14ac:dyDescent="0.25">
      <c r="A2273" s="29" t="s">
        <v>2191</v>
      </c>
      <c r="B2273" s="29" t="s">
        <v>2190</v>
      </c>
      <c r="C2273" s="29" t="s">
        <v>11732</v>
      </c>
      <c r="D2273" s="29" t="str">
        <f>VLOOKUP(C:C,'COUNT-CONT'!B:C,2,FALSE)</f>
        <v>North America</v>
      </c>
      <c r="E2273" s="29">
        <v>5</v>
      </c>
      <c r="F2273" s="28">
        <v>2096</v>
      </c>
      <c r="G2273" s="28">
        <v>3304609160</v>
      </c>
      <c r="H2273" s="29">
        <v>8.3699999999999992</v>
      </c>
      <c r="I2273" s="142">
        <v>-71.069999999999993</v>
      </c>
      <c r="J2273" s="29">
        <v>6.83</v>
      </c>
      <c r="K2273" s="29">
        <v>6.83</v>
      </c>
      <c r="L2273" s="29">
        <v>11.03</v>
      </c>
      <c r="M2273" s="368"/>
      <c r="N2273" s="368"/>
      <c r="O2273" s="271">
        <f>IFERROR(Table17[[#This Row],[PROFIT]]/Table17[[#This Row],[TO]],0)</f>
        <v>0</v>
      </c>
      <c r="P2273" s="177"/>
      <c r="Q2273" s="177"/>
      <c r="R2273" s="177"/>
    </row>
    <row r="2274" spans="1:18" ht="30" hidden="1" x14ac:dyDescent="0.25">
      <c r="A2274" s="29" t="s">
        <v>2189</v>
      </c>
      <c r="B2274" s="29" t="s">
        <v>2188</v>
      </c>
      <c r="C2274" s="29" t="s">
        <v>11732</v>
      </c>
      <c r="D2274" s="29" t="str">
        <f>VLOOKUP(C:C,'COUNT-CONT'!B:C,2,FALSE)</f>
        <v>North America</v>
      </c>
      <c r="E2274" s="29">
        <v>5</v>
      </c>
      <c r="F2274" s="28">
        <v>2018</v>
      </c>
      <c r="G2274" s="28">
        <v>3317094152</v>
      </c>
      <c r="H2274" s="29">
        <v>8.3699999999999992</v>
      </c>
      <c r="I2274" s="142">
        <v>-71.069999999999993</v>
      </c>
      <c r="J2274" s="29">
        <v>6.83</v>
      </c>
      <c r="K2274" s="29">
        <v>6.83</v>
      </c>
      <c r="L2274" s="29">
        <v>11.03</v>
      </c>
      <c r="M2274" s="368"/>
      <c r="N2274" s="368"/>
      <c r="O2274" s="271">
        <f>IFERROR(Table17[[#This Row],[PROFIT]]/Table17[[#This Row],[TO]],0)</f>
        <v>0</v>
      </c>
      <c r="P2274" s="177"/>
      <c r="Q2274" s="177"/>
      <c r="R2274" s="177"/>
    </row>
    <row r="2275" spans="1:18" ht="30" hidden="1" x14ac:dyDescent="0.25">
      <c r="A2275" s="29" t="s">
        <v>1658</v>
      </c>
      <c r="B2275" s="29" t="s">
        <v>1657</v>
      </c>
      <c r="C2275" s="29" t="s">
        <v>514</v>
      </c>
      <c r="D2275" s="29" t="str">
        <f>VLOOKUP(C:C,'COUNT-CONT'!B:C,2,FALSE)</f>
        <v>North America</v>
      </c>
      <c r="E2275" s="29">
        <v>1</v>
      </c>
      <c r="F2275" s="28">
        <v>1044</v>
      </c>
      <c r="G2275" s="28">
        <v>3425239846</v>
      </c>
      <c r="H2275" s="29">
        <v>8.3699999999999992</v>
      </c>
      <c r="I2275" s="142">
        <v>-71.069999999999993</v>
      </c>
      <c r="J2275" s="29">
        <v>5.5</v>
      </c>
      <c r="K2275" s="29">
        <v>5.32</v>
      </c>
      <c r="L2275" s="29">
        <v>9.52</v>
      </c>
      <c r="M2275" s="368"/>
      <c r="N2275" s="368"/>
      <c r="O2275" s="271">
        <f>IFERROR(Table17[[#This Row],[PROFIT]]/Table17[[#This Row],[TO]],0)</f>
        <v>0</v>
      </c>
      <c r="P2275" s="177"/>
      <c r="Q2275" s="177"/>
      <c r="R2275" s="177"/>
    </row>
    <row r="2276" spans="1:18" ht="30" hidden="1" x14ac:dyDescent="0.25">
      <c r="A2276" s="29" t="s">
        <v>1660</v>
      </c>
      <c r="B2276" s="29" t="s">
        <v>1659</v>
      </c>
      <c r="C2276" s="29" t="s">
        <v>514</v>
      </c>
      <c r="D2276" s="29" t="str">
        <f>VLOOKUP(C:C,'COUNT-CONT'!B:C,2,FALSE)</f>
        <v>North America</v>
      </c>
      <c r="E2276" s="29">
        <v>1</v>
      </c>
      <c r="F2276" s="28">
        <v>1160</v>
      </c>
      <c r="G2276" s="28">
        <v>3328275862</v>
      </c>
      <c r="H2276" s="29">
        <v>8.3699999999999992</v>
      </c>
      <c r="I2276" s="142">
        <v>-71.069999999999993</v>
      </c>
      <c r="J2276" s="29">
        <v>5.5</v>
      </c>
      <c r="K2276" s="29">
        <v>5.32</v>
      </c>
      <c r="L2276" s="29">
        <v>9.52</v>
      </c>
      <c r="M2276" s="368"/>
      <c r="N2276" s="368"/>
      <c r="O2276" s="271">
        <f>IFERROR(Table17[[#This Row],[PROFIT]]/Table17[[#This Row],[TO]],0)</f>
        <v>0</v>
      </c>
      <c r="P2276" s="177"/>
      <c r="Q2276" s="177"/>
      <c r="R2276" s="177"/>
    </row>
    <row r="2277" spans="1:18" ht="30" hidden="1" x14ac:dyDescent="0.25">
      <c r="A2277" s="29" t="s">
        <v>841</v>
      </c>
      <c r="B2277" s="29" t="s">
        <v>840</v>
      </c>
      <c r="C2277" s="29" t="s">
        <v>505</v>
      </c>
      <c r="D2277" s="29" t="e">
        <f>VLOOKUP(C:C,'COUNT-CONT'!B:C,2,FALSE)</f>
        <v>#N/A</v>
      </c>
      <c r="E2277" s="29">
        <v>7</v>
      </c>
      <c r="F2277" s="28">
        <v>2601</v>
      </c>
      <c r="G2277" s="28">
        <v>2518914263</v>
      </c>
      <c r="H2277" s="29">
        <v>8.34</v>
      </c>
      <c r="I2277" s="142">
        <v>-71.099999999999994</v>
      </c>
      <c r="J2277" s="29">
        <v>3.23</v>
      </c>
      <c r="K2277" s="29">
        <v>2.66</v>
      </c>
      <c r="L2277" s="29">
        <v>7.07</v>
      </c>
      <c r="M2277" s="368"/>
      <c r="N2277" s="368"/>
      <c r="O2277" s="271">
        <f>IFERROR(Table17[[#This Row],[PROFIT]]/Table17[[#This Row],[TO]],0)</f>
        <v>0</v>
      </c>
      <c r="P2277" s="177"/>
      <c r="Q2277" s="177"/>
      <c r="R2277" s="177"/>
    </row>
    <row r="2278" spans="1:18" ht="30" x14ac:dyDescent="0.25">
      <c r="A2278" s="29" t="s">
        <v>1051</v>
      </c>
      <c r="B2278" s="29" t="s">
        <v>1050</v>
      </c>
      <c r="C2278" s="29" t="s">
        <v>662</v>
      </c>
      <c r="D2278" s="29" t="str">
        <f>VLOOKUP(C:C,'COUNT-CONT'!B:C,2,FALSE)</f>
        <v>Oceania</v>
      </c>
      <c r="E2278" s="29">
        <v>2</v>
      </c>
      <c r="F2278" s="28">
        <v>1401</v>
      </c>
      <c r="G2278" s="28">
        <v>2883353461</v>
      </c>
      <c r="H2278" s="29">
        <v>8.34</v>
      </c>
      <c r="I2278" s="142">
        <v>-71.099999999999994</v>
      </c>
      <c r="J2278" s="29">
        <v>4.08</v>
      </c>
      <c r="K2278" s="29">
        <v>3.45</v>
      </c>
      <c r="L2278" s="29">
        <v>7.89</v>
      </c>
      <c r="M2278" s="368"/>
      <c r="N2278" s="368"/>
      <c r="O2278" s="271">
        <f>IFERROR(Table17[[#This Row],[PROFIT]]/Table17[[#This Row],[TO]],0)</f>
        <v>0</v>
      </c>
      <c r="P2278" s="177"/>
      <c r="Q2278" s="177"/>
      <c r="R2278" s="177"/>
    </row>
    <row r="2279" spans="1:18" hidden="1" x14ac:dyDescent="0.25">
      <c r="A2279" s="29" t="s">
        <v>902</v>
      </c>
      <c r="B2279" s="29" t="s">
        <v>901</v>
      </c>
      <c r="C2279" s="29" t="s">
        <v>172</v>
      </c>
      <c r="D2279" s="29" t="str">
        <f>VLOOKUP(C:C,'COUNT-CONT'!B:C,2,FALSE)</f>
        <v>Asia</v>
      </c>
      <c r="E2279" s="29">
        <v>10</v>
      </c>
      <c r="F2279" s="28">
        <v>3661</v>
      </c>
      <c r="G2279" s="28">
        <v>2534364354</v>
      </c>
      <c r="H2279" s="29">
        <v>8.31</v>
      </c>
      <c r="I2279" s="142">
        <v>-71.13</v>
      </c>
      <c r="J2279" s="29">
        <v>3.36</v>
      </c>
      <c r="K2279" s="29">
        <v>2.9</v>
      </c>
      <c r="L2279" s="29">
        <v>7.32</v>
      </c>
      <c r="M2279" s="368"/>
      <c r="N2279" s="368"/>
      <c r="O2279" s="271">
        <f>IFERROR(Table17[[#This Row],[PROFIT]]/Table17[[#This Row],[TO]],0)</f>
        <v>0</v>
      </c>
      <c r="P2279" s="177"/>
      <c r="Q2279" s="177"/>
      <c r="R2279" s="177"/>
    </row>
    <row r="2280" spans="1:18" ht="30" hidden="1" x14ac:dyDescent="0.25">
      <c r="A2280" s="29" t="s">
        <v>1108</v>
      </c>
      <c r="B2280" s="29" t="s">
        <v>1107</v>
      </c>
      <c r="C2280" s="29" t="s">
        <v>992</v>
      </c>
      <c r="D2280" s="29" t="str">
        <f>VLOOKUP(C:C,'COUNT-CONT'!B:C,2,FALSE)</f>
        <v>Europe</v>
      </c>
      <c r="E2280" s="29">
        <v>1</v>
      </c>
      <c r="F2280" s="28">
        <v>1201</v>
      </c>
      <c r="G2280" s="28">
        <v>3071703413</v>
      </c>
      <c r="H2280" s="29">
        <v>8.31</v>
      </c>
      <c r="I2280" s="142">
        <v>-71.13</v>
      </c>
      <c r="J2280" s="29">
        <v>4.1399999999999997</v>
      </c>
      <c r="K2280" s="29">
        <v>3.66</v>
      </c>
      <c r="L2280" s="29">
        <v>8.01</v>
      </c>
      <c r="M2280" s="368"/>
      <c r="N2280" s="368"/>
      <c r="O2280" s="271">
        <f>IFERROR(Table17[[#This Row],[PROFIT]]/Table17[[#This Row],[TO]],0)</f>
        <v>0</v>
      </c>
      <c r="P2280" s="177"/>
      <c r="Q2280" s="177"/>
      <c r="R2280" s="177"/>
    </row>
    <row r="2281" spans="1:18" hidden="1" x14ac:dyDescent="0.25">
      <c r="A2281" s="29" t="s">
        <v>2154</v>
      </c>
      <c r="B2281" s="29" t="s">
        <v>2153</v>
      </c>
      <c r="C2281" s="29" t="s">
        <v>560</v>
      </c>
      <c r="D2281" s="29" t="str">
        <f>VLOOKUP(C:C,'COUNT-CONT'!B:C,2,FALSE)</f>
        <v>Europe</v>
      </c>
      <c r="E2281" s="29">
        <v>10</v>
      </c>
      <c r="F2281" s="28">
        <v>3865</v>
      </c>
      <c r="G2281" s="28">
        <v>3225405433</v>
      </c>
      <c r="H2281" s="29">
        <v>8.2799999999999994</v>
      </c>
      <c r="I2281" s="142">
        <v>-71.16</v>
      </c>
      <c r="J2281" s="29">
        <v>6.74</v>
      </c>
      <c r="K2281" s="29">
        <v>6.74</v>
      </c>
      <c r="L2281" s="29">
        <v>10.91</v>
      </c>
      <c r="M2281" s="368"/>
      <c r="N2281" s="368"/>
      <c r="O2281" s="271">
        <f>IFERROR(Table17[[#This Row],[PROFIT]]/Table17[[#This Row],[TO]],0)</f>
        <v>0</v>
      </c>
      <c r="P2281" s="177"/>
      <c r="Q2281" s="177"/>
      <c r="R2281" s="177"/>
    </row>
    <row r="2282" spans="1:18" ht="30" hidden="1" x14ac:dyDescent="0.25">
      <c r="A2282" s="29" t="s">
        <v>1618</v>
      </c>
      <c r="B2282" s="29" t="s">
        <v>1617</v>
      </c>
      <c r="C2282" s="29" t="s">
        <v>514</v>
      </c>
      <c r="D2282" s="29" t="str">
        <f>VLOOKUP(C:C,'COUNT-CONT'!B:C,2,FALSE)</f>
        <v>North America</v>
      </c>
      <c r="E2282" s="29">
        <v>1</v>
      </c>
      <c r="F2282" s="28">
        <v>1221</v>
      </c>
      <c r="G2282" s="28">
        <v>3275800900</v>
      </c>
      <c r="H2282" s="29">
        <v>8.2799999999999994</v>
      </c>
      <c r="I2282" s="142">
        <v>-71.16</v>
      </c>
      <c r="J2282" s="29">
        <v>5.44</v>
      </c>
      <c r="K2282" s="29">
        <v>5.26</v>
      </c>
      <c r="L2282" s="29">
        <v>9.43</v>
      </c>
      <c r="M2282" s="368"/>
      <c r="N2282" s="368"/>
      <c r="O2282" s="271">
        <f>IFERROR(Table17[[#This Row],[PROFIT]]/Table17[[#This Row],[TO]],0)</f>
        <v>0</v>
      </c>
      <c r="P2282" s="177"/>
      <c r="Q2282" s="177"/>
      <c r="R2282" s="177"/>
    </row>
    <row r="2283" spans="1:18" ht="30" hidden="1" x14ac:dyDescent="0.25">
      <c r="A2283" s="29" t="s">
        <v>2130</v>
      </c>
      <c r="B2283" s="29" t="s">
        <v>2129</v>
      </c>
      <c r="C2283" s="29" t="s">
        <v>11732</v>
      </c>
      <c r="D2283" s="29" t="str">
        <f>VLOOKUP(C:C,'COUNT-CONT'!B:C,2,FALSE)</f>
        <v>North America</v>
      </c>
      <c r="E2283" s="29">
        <v>7</v>
      </c>
      <c r="F2283" s="28">
        <v>2758</v>
      </c>
      <c r="G2283" s="28">
        <v>3222239738</v>
      </c>
      <c r="H2283" s="29">
        <v>8.25</v>
      </c>
      <c r="I2283" s="142">
        <v>-71.19</v>
      </c>
      <c r="J2283" s="29">
        <v>6.71</v>
      </c>
      <c r="K2283" s="29">
        <v>6.71</v>
      </c>
      <c r="L2283" s="29">
        <v>10.85</v>
      </c>
      <c r="M2283" s="368"/>
      <c r="N2283" s="368"/>
      <c r="O2283" s="271">
        <f>IFERROR(Table17[[#This Row],[PROFIT]]/Table17[[#This Row],[TO]],0)</f>
        <v>0</v>
      </c>
      <c r="P2283" s="177"/>
      <c r="Q2283" s="177"/>
      <c r="R2283" s="177"/>
    </row>
    <row r="2284" spans="1:18" ht="45" hidden="1" x14ac:dyDescent="0.25">
      <c r="A2284" s="29" t="s">
        <v>716</v>
      </c>
      <c r="B2284" s="29" t="s">
        <v>715</v>
      </c>
      <c r="C2284" s="29" t="s">
        <v>714</v>
      </c>
      <c r="D2284" s="29" t="str">
        <f>VLOOKUP(C:C,'COUNT-CONT'!B:C,2,FALSE)</f>
        <v>South America</v>
      </c>
      <c r="E2284" s="29">
        <v>4</v>
      </c>
      <c r="F2284" s="28">
        <v>1801</v>
      </c>
      <c r="G2284" s="28">
        <v>2622971793</v>
      </c>
      <c r="H2284" s="29">
        <v>8.25</v>
      </c>
      <c r="I2284" s="142">
        <v>-71.19</v>
      </c>
      <c r="J2284" s="29">
        <v>2.48</v>
      </c>
      <c r="K2284" s="29">
        <v>1.87</v>
      </c>
      <c r="L2284" s="29">
        <v>6.26</v>
      </c>
      <c r="M2284" s="368"/>
      <c r="N2284" s="368"/>
      <c r="O2284" s="271">
        <f>IFERROR(Table17[[#This Row],[PROFIT]]/Table17[[#This Row],[TO]],0)</f>
        <v>0</v>
      </c>
      <c r="P2284" s="177"/>
      <c r="Q2284" s="177"/>
      <c r="R2284" s="177"/>
    </row>
    <row r="2285" spans="1:18" ht="30" hidden="1" x14ac:dyDescent="0.25">
      <c r="A2285" s="29" t="s">
        <v>2122</v>
      </c>
      <c r="B2285" s="29" t="s">
        <v>2121</v>
      </c>
      <c r="C2285" s="29" t="s">
        <v>11732</v>
      </c>
      <c r="D2285" s="29" t="str">
        <f>VLOOKUP(C:C,'COUNT-CONT'!B:C,2,FALSE)</f>
        <v>North America</v>
      </c>
      <c r="E2285" s="29">
        <v>2</v>
      </c>
      <c r="F2285" s="28">
        <v>1497</v>
      </c>
      <c r="G2285" s="28">
        <v>3432502939</v>
      </c>
      <c r="H2285" s="29">
        <v>8.25</v>
      </c>
      <c r="I2285" s="142">
        <v>-71.19</v>
      </c>
      <c r="J2285" s="29">
        <v>6.71</v>
      </c>
      <c r="K2285" s="29">
        <v>6.71</v>
      </c>
      <c r="L2285" s="29">
        <v>10.85</v>
      </c>
      <c r="M2285" s="368"/>
      <c r="N2285" s="368"/>
      <c r="O2285" s="271">
        <f>IFERROR(Table17[[#This Row],[PROFIT]]/Table17[[#This Row],[TO]],0)</f>
        <v>0</v>
      </c>
      <c r="P2285" s="177"/>
      <c r="Q2285" s="177"/>
      <c r="R2285" s="177"/>
    </row>
    <row r="2286" spans="1:18" ht="30" hidden="1" x14ac:dyDescent="0.25">
      <c r="A2286" s="29" t="s">
        <v>2136</v>
      </c>
      <c r="B2286" s="29" t="s">
        <v>2135</v>
      </c>
      <c r="C2286" s="29" t="s">
        <v>11732</v>
      </c>
      <c r="D2286" s="29" t="str">
        <f>VLOOKUP(C:C,'COUNT-CONT'!B:C,2,FALSE)</f>
        <v>North America</v>
      </c>
      <c r="E2286" s="29">
        <v>4</v>
      </c>
      <c r="F2286" s="28">
        <v>1807</v>
      </c>
      <c r="G2286" s="28">
        <v>3338943774</v>
      </c>
      <c r="H2286" s="29">
        <v>8.25</v>
      </c>
      <c r="I2286" s="142">
        <v>-71.19</v>
      </c>
      <c r="J2286" s="29">
        <v>6.74</v>
      </c>
      <c r="K2286" s="29">
        <v>6.74</v>
      </c>
      <c r="L2286" s="29">
        <v>10.88</v>
      </c>
      <c r="M2286" s="368"/>
      <c r="N2286" s="368"/>
      <c r="O2286" s="271">
        <f>IFERROR(Table17[[#This Row],[PROFIT]]/Table17[[#This Row],[TO]],0)</f>
        <v>0</v>
      </c>
      <c r="P2286" s="177"/>
      <c r="Q2286" s="177"/>
      <c r="R2286" s="177"/>
    </row>
    <row r="2287" spans="1:18" ht="30" hidden="1" x14ac:dyDescent="0.25">
      <c r="A2287" s="29" t="s">
        <v>2112</v>
      </c>
      <c r="B2287" s="29" t="s">
        <v>2111</v>
      </c>
      <c r="C2287" s="29" t="s">
        <v>11732</v>
      </c>
      <c r="D2287" s="29" t="str">
        <f>VLOOKUP(C:C,'COUNT-CONT'!B:C,2,FALSE)</f>
        <v>North America</v>
      </c>
      <c r="E2287" s="29">
        <v>4</v>
      </c>
      <c r="F2287" s="28">
        <v>1987</v>
      </c>
      <c r="G2287" s="28">
        <v>3295398389</v>
      </c>
      <c r="H2287" s="29">
        <v>8.2200000000000006</v>
      </c>
      <c r="I2287" s="142">
        <v>-71.22</v>
      </c>
      <c r="J2287" s="29">
        <v>6.71</v>
      </c>
      <c r="K2287" s="29">
        <v>6.71</v>
      </c>
      <c r="L2287" s="29">
        <v>10.82</v>
      </c>
      <c r="M2287" s="368"/>
      <c r="N2287" s="368"/>
      <c r="O2287" s="271">
        <f>IFERROR(Table17[[#This Row],[PROFIT]]/Table17[[#This Row],[TO]],0)</f>
        <v>0</v>
      </c>
      <c r="P2287" s="177"/>
      <c r="Q2287" s="177"/>
      <c r="R2287" s="177"/>
    </row>
    <row r="2288" spans="1:18" ht="30" hidden="1" x14ac:dyDescent="0.25">
      <c r="A2288" s="29" t="s">
        <v>2132</v>
      </c>
      <c r="B2288" s="29" t="s">
        <v>2131</v>
      </c>
      <c r="C2288" s="29" t="s">
        <v>11732</v>
      </c>
      <c r="D2288" s="29" t="str">
        <f>VLOOKUP(C:C,'COUNT-CONT'!B:C,2,FALSE)</f>
        <v>North America</v>
      </c>
      <c r="E2288" s="29">
        <v>9</v>
      </c>
      <c r="F2288" s="28">
        <v>3056</v>
      </c>
      <c r="G2288" s="28">
        <v>3209947643</v>
      </c>
      <c r="H2288" s="29">
        <v>8.2200000000000006</v>
      </c>
      <c r="I2288" s="142">
        <v>-71.22</v>
      </c>
      <c r="J2288" s="29">
        <v>6.71</v>
      </c>
      <c r="K2288" s="29">
        <v>6.71</v>
      </c>
      <c r="L2288" s="29">
        <v>10.85</v>
      </c>
      <c r="M2288" s="368"/>
      <c r="N2288" s="368"/>
      <c r="O2288" s="271">
        <f>IFERROR(Table17[[#This Row],[PROFIT]]/Table17[[#This Row],[TO]],0)</f>
        <v>0</v>
      </c>
      <c r="P2288" s="177"/>
      <c r="Q2288" s="177"/>
      <c r="R2288" s="177"/>
    </row>
    <row r="2289" spans="1:18" ht="30" hidden="1" x14ac:dyDescent="0.25">
      <c r="A2289" s="29" t="s">
        <v>2126</v>
      </c>
      <c r="B2289" s="29" t="s">
        <v>2125</v>
      </c>
      <c r="C2289" s="29" t="s">
        <v>11732</v>
      </c>
      <c r="D2289" s="29" t="str">
        <f>VLOOKUP(C:C,'COUNT-CONT'!B:C,2,FALSE)</f>
        <v>North America</v>
      </c>
      <c r="E2289" s="29">
        <v>5</v>
      </c>
      <c r="F2289" s="28">
        <v>2140</v>
      </c>
      <c r="G2289" s="28">
        <v>3274218691</v>
      </c>
      <c r="H2289" s="29">
        <v>8.2200000000000006</v>
      </c>
      <c r="I2289" s="142">
        <v>-71.22</v>
      </c>
      <c r="J2289" s="29">
        <v>6.71</v>
      </c>
      <c r="K2289" s="29">
        <v>6.71</v>
      </c>
      <c r="L2289" s="29">
        <v>10.85</v>
      </c>
      <c r="M2289" s="368"/>
      <c r="N2289" s="368"/>
      <c r="O2289" s="271">
        <f>IFERROR(Table17[[#This Row],[PROFIT]]/Table17[[#This Row],[TO]],0)</f>
        <v>0</v>
      </c>
      <c r="P2289" s="177"/>
      <c r="Q2289" s="177"/>
      <c r="R2289" s="177"/>
    </row>
    <row r="2290" spans="1:18" hidden="1" x14ac:dyDescent="0.25">
      <c r="A2290" s="29" t="s">
        <v>1429</v>
      </c>
      <c r="B2290" s="29" t="s">
        <v>1428</v>
      </c>
      <c r="C2290" s="29" t="s">
        <v>1427</v>
      </c>
      <c r="D2290" s="29" t="str">
        <f>VLOOKUP(C:C,'COUNT-CONT'!B:C,2,FALSE)</f>
        <v>Europe</v>
      </c>
      <c r="E2290" s="29">
        <v>1</v>
      </c>
      <c r="F2290" s="28">
        <v>1202</v>
      </c>
      <c r="G2290" s="28">
        <v>3207541430</v>
      </c>
      <c r="H2290" s="29">
        <v>8.19</v>
      </c>
      <c r="I2290" s="142">
        <v>-71.25</v>
      </c>
      <c r="J2290" s="29">
        <v>4.99</v>
      </c>
      <c r="K2290" s="29">
        <v>4.63</v>
      </c>
      <c r="L2290" s="29">
        <v>8.92</v>
      </c>
      <c r="M2290" s="368"/>
      <c r="N2290" s="368"/>
      <c r="O2290" s="271">
        <f>IFERROR(Table17[[#This Row],[PROFIT]]/Table17[[#This Row],[TO]],0)</f>
        <v>0</v>
      </c>
      <c r="P2290" s="177"/>
      <c r="Q2290" s="177"/>
      <c r="R2290" s="177"/>
    </row>
    <row r="2291" spans="1:18" x14ac:dyDescent="0.25">
      <c r="A2291" s="29" t="s">
        <v>1372</v>
      </c>
      <c r="B2291" s="29" t="s">
        <v>1371</v>
      </c>
      <c r="C2291" s="29" t="s">
        <v>774</v>
      </c>
      <c r="D2291" s="29" t="str">
        <f>VLOOKUP(C:C,'COUNT-CONT'!B:C,2,FALSE)</f>
        <v>Oceania</v>
      </c>
      <c r="E2291" s="29">
        <v>5</v>
      </c>
      <c r="F2291" s="28">
        <v>2020</v>
      </c>
      <c r="G2291" s="28">
        <v>2904954455</v>
      </c>
      <c r="H2291" s="29">
        <v>8.19</v>
      </c>
      <c r="I2291" s="142">
        <v>-71.25</v>
      </c>
      <c r="J2291" s="29">
        <v>4.87</v>
      </c>
      <c r="K2291" s="29">
        <v>4.53</v>
      </c>
      <c r="L2291" s="29">
        <v>8.7100000000000009</v>
      </c>
      <c r="M2291" s="368"/>
      <c r="N2291" s="368"/>
      <c r="O2291" s="271">
        <f>IFERROR(Table17[[#This Row],[PROFIT]]/Table17[[#This Row],[TO]],0)</f>
        <v>0</v>
      </c>
      <c r="P2291" s="177"/>
      <c r="Q2291" s="177"/>
      <c r="R2291" s="177"/>
    </row>
    <row r="2292" spans="1:18" ht="30" hidden="1" x14ac:dyDescent="0.25">
      <c r="A2292" s="29" t="s">
        <v>2097</v>
      </c>
      <c r="B2292" s="29" t="s">
        <v>2096</v>
      </c>
      <c r="C2292" s="29" t="s">
        <v>11732</v>
      </c>
      <c r="D2292" s="29" t="str">
        <f>VLOOKUP(C:C,'COUNT-CONT'!B:C,2,FALSE)</f>
        <v>North America</v>
      </c>
      <c r="E2292" s="29">
        <v>4</v>
      </c>
      <c r="F2292" s="28">
        <v>1836</v>
      </c>
      <c r="G2292" s="28">
        <v>3321028540</v>
      </c>
      <c r="H2292" s="29">
        <v>8.19</v>
      </c>
      <c r="I2292" s="142">
        <v>-71.25</v>
      </c>
      <c r="J2292" s="29">
        <v>6.68</v>
      </c>
      <c r="K2292" s="29">
        <v>6.68</v>
      </c>
      <c r="L2292" s="29">
        <v>10.79</v>
      </c>
      <c r="M2292" s="368"/>
      <c r="N2292" s="368"/>
      <c r="O2292" s="271">
        <f>IFERROR(Table17[[#This Row],[PROFIT]]/Table17[[#This Row],[TO]],0)</f>
        <v>0</v>
      </c>
      <c r="P2292" s="177"/>
      <c r="Q2292" s="177"/>
      <c r="R2292" s="177"/>
    </row>
    <row r="2293" spans="1:18" ht="30" hidden="1" x14ac:dyDescent="0.25">
      <c r="A2293" s="29" t="s">
        <v>1571</v>
      </c>
      <c r="B2293" s="29" t="s">
        <v>1570</v>
      </c>
      <c r="C2293" s="29" t="s">
        <v>514</v>
      </c>
      <c r="D2293" s="29" t="str">
        <f>VLOOKUP(C:C,'COUNT-CONT'!B:C,2,FALSE)</f>
        <v>North America</v>
      </c>
      <c r="E2293" s="29">
        <v>2</v>
      </c>
      <c r="F2293" s="28">
        <v>1292</v>
      </c>
      <c r="G2293" s="28">
        <v>3217393188</v>
      </c>
      <c r="H2293" s="29">
        <v>8.19</v>
      </c>
      <c r="I2293" s="142">
        <v>-71.25</v>
      </c>
      <c r="J2293" s="29">
        <v>5.38</v>
      </c>
      <c r="K2293" s="29">
        <v>5.2</v>
      </c>
      <c r="L2293" s="29">
        <v>9.31</v>
      </c>
      <c r="M2293" s="368"/>
      <c r="N2293" s="368"/>
      <c r="O2293" s="271">
        <f>IFERROR(Table17[[#This Row],[PROFIT]]/Table17[[#This Row],[TO]],0)</f>
        <v>0</v>
      </c>
      <c r="P2293" s="177"/>
      <c r="Q2293" s="177"/>
      <c r="R2293" s="177"/>
    </row>
    <row r="2294" spans="1:18" ht="30" hidden="1" x14ac:dyDescent="0.25">
      <c r="A2294" s="29" t="s">
        <v>1569</v>
      </c>
      <c r="B2294" s="29" t="s">
        <v>1568</v>
      </c>
      <c r="C2294" s="29" t="s">
        <v>514</v>
      </c>
      <c r="D2294" s="29" t="str">
        <f>VLOOKUP(C:C,'COUNT-CONT'!B:C,2,FALSE)</f>
        <v>North America</v>
      </c>
      <c r="E2294" s="29">
        <v>2</v>
      </c>
      <c r="F2294" s="28">
        <v>1292</v>
      </c>
      <c r="G2294" s="28">
        <v>3217393188</v>
      </c>
      <c r="H2294" s="29">
        <v>8.19</v>
      </c>
      <c r="I2294" s="142">
        <v>-71.25</v>
      </c>
      <c r="J2294" s="29">
        <v>5.38</v>
      </c>
      <c r="K2294" s="29">
        <v>5.2</v>
      </c>
      <c r="L2294" s="29">
        <v>9.31</v>
      </c>
      <c r="M2294" s="368"/>
      <c r="N2294" s="368"/>
      <c r="O2294" s="271">
        <f>IFERROR(Table17[[#This Row],[PROFIT]]/Table17[[#This Row],[TO]],0)</f>
        <v>0</v>
      </c>
      <c r="P2294" s="177"/>
      <c r="Q2294" s="177"/>
      <c r="R2294" s="177"/>
    </row>
    <row r="2295" spans="1:18" ht="30" hidden="1" x14ac:dyDescent="0.25">
      <c r="A2295" s="29" t="s">
        <v>1565</v>
      </c>
      <c r="B2295" s="29" t="s">
        <v>1564</v>
      </c>
      <c r="C2295" s="29" t="s">
        <v>514</v>
      </c>
      <c r="D2295" s="29" t="str">
        <f>VLOOKUP(C:C,'COUNT-CONT'!B:C,2,FALSE)</f>
        <v>North America</v>
      </c>
      <c r="E2295" s="29">
        <v>1</v>
      </c>
      <c r="F2295" s="28">
        <v>1069</v>
      </c>
      <c r="G2295" s="28">
        <v>3372699064</v>
      </c>
      <c r="H2295" s="29">
        <v>8.19</v>
      </c>
      <c r="I2295" s="142">
        <v>-71.25</v>
      </c>
      <c r="J2295" s="29">
        <v>5.38</v>
      </c>
      <c r="K2295" s="29">
        <v>5.2</v>
      </c>
      <c r="L2295" s="29">
        <v>9.31</v>
      </c>
      <c r="M2295" s="368"/>
      <c r="N2295" s="368"/>
      <c r="O2295" s="271">
        <f>IFERROR(Table17[[#This Row],[PROFIT]]/Table17[[#This Row],[TO]],0)</f>
        <v>0</v>
      </c>
      <c r="P2295" s="177"/>
      <c r="Q2295" s="177"/>
      <c r="R2295" s="177"/>
    </row>
    <row r="2296" spans="1:18" ht="30" hidden="1" x14ac:dyDescent="0.25">
      <c r="A2296" s="29" t="s">
        <v>1539</v>
      </c>
      <c r="B2296" s="29" t="s">
        <v>1538</v>
      </c>
      <c r="C2296" s="29" t="s">
        <v>514</v>
      </c>
      <c r="D2296" s="29" t="str">
        <f>VLOOKUP(C:C,'COUNT-CONT'!B:C,2,FALSE)</f>
        <v>North America</v>
      </c>
      <c r="E2296" s="29">
        <v>3</v>
      </c>
      <c r="F2296" s="28">
        <v>1678</v>
      </c>
      <c r="G2296" s="28">
        <v>3055342312</v>
      </c>
      <c r="H2296" s="29">
        <v>8.16</v>
      </c>
      <c r="I2296" s="142">
        <v>-71.28</v>
      </c>
      <c r="J2296" s="29">
        <v>5.38</v>
      </c>
      <c r="K2296" s="29">
        <v>5.17</v>
      </c>
      <c r="L2296" s="29">
        <v>9.2799999999999994</v>
      </c>
      <c r="M2296" s="368"/>
      <c r="N2296" s="368"/>
      <c r="O2296" s="271">
        <f>IFERROR(Table17[[#This Row],[PROFIT]]/Table17[[#This Row],[TO]],0)</f>
        <v>0</v>
      </c>
      <c r="P2296" s="177"/>
      <c r="Q2296" s="177"/>
      <c r="R2296" s="177"/>
    </row>
    <row r="2297" spans="1:18" ht="30" hidden="1" x14ac:dyDescent="0.25">
      <c r="A2297" s="29" t="s">
        <v>2077</v>
      </c>
      <c r="B2297" s="29" t="s">
        <v>2076</v>
      </c>
      <c r="C2297" s="29" t="s">
        <v>11732</v>
      </c>
      <c r="D2297" s="29" t="str">
        <f>VLOOKUP(C:C,'COUNT-CONT'!B:C,2,FALSE)</f>
        <v>North America</v>
      </c>
      <c r="E2297" s="29">
        <v>4</v>
      </c>
      <c r="F2297" s="28">
        <v>1990</v>
      </c>
      <c r="G2297" s="28">
        <v>3282063819</v>
      </c>
      <c r="H2297" s="29">
        <v>8.1300000000000008</v>
      </c>
      <c r="I2297" s="142">
        <v>-71.31</v>
      </c>
      <c r="J2297" s="29">
        <v>6.65</v>
      </c>
      <c r="K2297" s="29">
        <v>6.65</v>
      </c>
      <c r="L2297" s="29">
        <v>10.73</v>
      </c>
      <c r="M2297" s="368"/>
      <c r="N2297" s="368"/>
      <c r="O2297" s="271">
        <f>IFERROR(Table17[[#This Row],[PROFIT]]/Table17[[#This Row],[TO]],0)</f>
        <v>0</v>
      </c>
      <c r="P2297" s="177"/>
      <c r="Q2297" s="177"/>
      <c r="R2297" s="177"/>
    </row>
    <row r="2298" spans="1:18" ht="30" hidden="1" x14ac:dyDescent="0.25">
      <c r="A2298" s="29" t="s">
        <v>1524</v>
      </c>
      <c r="B2298" s="29" t="s">
        <v>1523</v>
      </c>
      <c r="C2298" s="29" t="s">
        <v>514</v>
      </c>
      <c r="D2298" s="29" t="str">
        <f>VLOOKUP(C:C,'COUNT-CONT'!B:C,2,FALSE)</f>
        <v>North America</v>
      </c>
      <c r="E2298" s="29">
        <v>1</v>
      </c>
      <c r="F2298" s="28">
        <v>1069</v>
      </c>
      <c r="G2298" s="28">
        <v>3364699064</v>
      </c>
      <c r="H2298" s="29">
        <v>8.1300000000000008</v>
      </c>
      <c r="I2298" s="142">
        <v>-71.31</v>
      </c>
      <c r="J2298" s="29">
        <v>5.35</v>
      </c>
      <c r="K2298" s="29">
        <v>5.17</v>
      </c>
      <c r="L2298" s="29">
        <v>9.25</v>
      </c>
      <c r="M2298" s="368"/>
      <c r="N2298" s="368"/>
      <c r="O2298" s="271">
        <f>IFERROR(Table17[[#This Row],[PROFIT]]/Table17[[#This Row],[TO]],0)</f>
        <v>0</v>
      </c>
      <c r="P2298" s="177"/>
      <c r="Q2298" s="177"/>
      <c r="R2298" s="177"/>
    </row>
    <row r="2299" spans="1:18" ht="30" x14ac:dyDescent="0.25">
      <c r="A2299" s="29" t="s">
        <v>987</v>
      </c>
      <c r="B2299" s="29" t="s">
        <v>986</v>
      </c>
      <c r="C2299" s="29" t="s">
        <v>662</v>
      </c>
      <c r="D2299" s="29" t="str">
        <f>VLOOKUP(C:C,'COUNT-CONT'!B:C,2,FALSE)</f>
        <v>Oceania</v>
      </c>
      <c r="E2299" s="29">
        <v>1</v>
      </c>
      <c r="F2299" s="28">
        <v>1241</v>
      </c>
      <c r="G2299" s="28">
        <v>2938181950</v>
      </c>
      <c r="H2299" s="29">
        <v>8.1</v>
      </c>
      <c r="I2299" s="142">
        <v>-71.34</v>
      </c>
      <c r="J2299" s="29">
        <v>3.96</v>
      </c>
      <c r="K2299" s="29">
        <v>3.36</v>
      </c>
      <c r="L2299" s="29">
        <v>7.65</v>
      </c>
      <c r="M2299" s="368"/>
      <c r="N2299" s="368"/>
      <c r="O2299" s="271">
        <f>IFERROR(Table17[[#This Row],[PROFIT]]/Table17[[#This Row],[TO]],0)</f>
        <v>0</v>
      </c>
      <c r="P2299" s="177"/>
      <c r="Q2299" s="177"/>
      <c r="R2299" s="177"/>
    </row>
    <row r="2300" spans="1:18" hidden="1" x14ac:dyDescent="0.25">
      <c r="A2300" s="29" t="s">
        <v>994</v>
      </c>
      <c r="B2300" s="29" t="s">
        <v>993</v>
      </c>
      <c r="C2300" s="29" t="s">
        <v>992</v>
      </c>
      <c r="D2300" s="29" t="str">
        <f>VLOOKUP(C:C,'COUNT-CONT'!B:C,2,FALSE)</f>
        <v>Europe</v>
      </c>
      <c r="E2300" s="29">
        <v>6</v>
      </c>
      <c r="F2300" s="28">
        <v>2502</v>
      </c>
      <c r="G2300" s="28">
        <v>2679048281</v>
      </c>
      <c r="H2300" s="29">
        <v>8.1</v>
      </c>
      <c r="I2300" s="142">
        <v>-71.34</v>
      </c>
      <c r="J2300" s="29">
        <v>3.81</v>
      </c>
      <c r="K2300" s="29">
        <v>3.36</v>
      </c>
      <c r="L2300" s="29">
        <v>7.65</v>
      </c>
      <c r="M2300" s="368"/>
      <c r="N2300" s="368"/>
      <c r="O2300" s="271">
        <f>IFERROR(Table17[[#This Row],[PROFIT]]/Table17[[#This Row],[TO]],0)</f>
        <v>0</v>
      </c>
      <c r="P2300" s="177"/>
      <c r="Q2300" s="177"/>
      <c r="R2300" s="177"/>
    </row>
    <row r="2301" spans="1:18" x14ac:dyDescent="0.25">
      <c r="A2301" s="29" t="s">
        <v>1339</v>
      </c>
      <c r="B2301" s="29" t="s">
        <v>1338</v>
      </c>
      <c r="C2301" s="29" t="s">
        <v>774</v>
      </c>
      <c r="D2301" s="29" t="str">
        <f>VLOOKUP(C:C,'COUNT-CONT'!B:C,2,FALSE)</f>
        <v>Oceania</v>
      </c>
      <c r="E2301" s="29">
        <v>3</v>
      </c>
      <c r="F2301" s="28">
        <v>1525</v>
      </c>
      <c r="G2301" s="28">
        <v>3022611475</v>
      </c>
      <c r="H2301" s="29">
        <v>8.1</v>
      </c>
      <c r="I2301" s="142">
        <v>-71.34</v>
      </c>
      <c r="J2301" s="29">
        <v>4.84</v>
      </c>
      <c r="K2301" s="29">
        <v>4.47</v>
      </c>
      <c r="L2301" s="29">
        <v>8.65</v>
      </c>
      <c r="M2301" s="368"/>
      <c r="N2301" s="368"/>
      <c r="O2301" s="271">
        <f>IFERROR(Table17[[#This Row],[PROFIT]]/Table17[[#This Row],[TO]],0)</f>
        <v>0</v>
      </c>
      <c r="P2301" s="177"/>
      <c r="Q2301" s="177"/>
      <c r="R2301" s="177"/>
    </row>
    <row r="2302" spans="1:18" x14ac:dyDescent="0.25">
      <c r="A2302" s="29" t="s">
        <v>1318</v>
      </c>
      <c r="B2302" s="29" t="s">
        <v>1317</v>
      </c>
      <c r="C2302" s="29" t="s">
        <v>774</v>
      </c>
      <c r="D2302" s="29" t="str">
        <f>VLOOKUP(C:C,'COUNT-CONT'!B:C,2,FALSE)</f>
        <v>Oceania</v>
      </c>
      <c r="E2302" s="29">
        <v>3</v>
      </c>
      <c r="F2302" s="28">
        <v>1524</v>
      </c>
      <c r="G2302" s="28">
        <v>3021384776</v>
      </c>
      <c r="H2302" s="29">
        <v>8.1</v>
      </c>
      <c r="I2302" s="142">
        <v>-71.34</v>
      </c>
      <c r="J2302" s="29">
        <v>4.8099999999999996</v>
      </c>
      <c r="K2302" s="29">
        <v>4.47</v>
      </c>
      <c r="L2302" s="29">
        <v>8.6199999999999992</v>
      </c>
      <c r="M2302" s="368"/>
      <c r="N2302" s="368"/>
      <c r="O2302" s="271">
        <f>IFERROR(Table17[[#This Row],[PROFIT]]/Table17[[#This Row],[TO]],0)</f>
        <v>0</v>
      </c>
      <c r="P2302" s="177"/>
      <c r="Q2302" s="177"/>
      <c r="R2302" s="177"/>
    </row>
    <row r="2303" spans="1:18" ht="30" hidden="1" x14ac:dyDescent="0.25">
      <c r="A2303" s="29" t="s">
        <v>2050</v>
      </c>
      <c r="B2303" s="29" t="s">
        <v>2049</v>
      </c>
      <c r="C2303" s="29" t="s">
        <v>11732</v>
      </c>
      <c r="D2303" s="29" t="str">
        <f>VLOOKUP(C:C,'COUNT-CONT'!B:C,2,FALSE)</f>
        <v>North America</v>
      </c>
      <c r="E2303" s="29">
        <v>5</v>
      </c>
      <c r="F2303" s="28">
        <v>2054</v>
      </c>
      <c r="G2303" s="28">
        <v>3260040408</v>
      </c>
      <c r="H2303" s="29">
        <v>8.07</v>
      </c>
      <c r="I2303" s="142">
        <v>-71.37</v>
      </c>
      <c r="J2303" s="29">
        <v>6.59</v>
      </c>
      <c r="K2303" s="29">
        <v>6.59</v>
      </c>
      <c r="L2303" s="29">
        <v>10.64</v>
      </c>
      <c r="M2303" s="368"/>
      <c r="N2303" s="368"/>
      <c r="O2303" s="271">
        <f>IFERROR(Table17[[#This Row],[PROFIT]]/Table17[[#This Row],[TO]],0)</f>
        <v>0</v>
      </c>
      <c r="P2303" s="177"/>
      <c r="Q2303" s="177"/>
      <c r="R2303" s="177"/>
    </row>
    <row r="2304" spans="1:18" hidden="1" x14ac:dyDescent="0.25">
      <c r="A2304" s="29" t="s">
        <v>2052</v>
      </c>
      <c r="B2304" s="29" t="s">
        <v>2051</v>
      </c>
      <c r="C2304" s="29" t="s">
        <v>560</v>
      </c>
      <c r="D2304" s="29" t="str">
        <f>VLOOKUP(C:C,'COUNT-CONT'!B:C,2,FALSE)</f>
        <v>Europe</v>
      </c>
      <c r="E2304" s="29">
        <v>6</v>
      </c>
      <c r="F2304" s="28">
        <v>2413</v>
      </c>
      <c r="G2304" s="28">
        <v>3214864069</v>
      </c>
      <c r="H2304" s="29">
        <v>8.07</v>
      </c>
      <c r="I2304" s="142">
        <v>-71.37</v>
      </c>
      <c r="J2304" s="29">
        <v>6.59</v>
      </c>
      <c r="K2304" s="29">
        <v>6.59</v>
      </c>
      <c r="L2304" s="29">
        <v>10.64</v>
      </c>
      <c r="M2304" s="368"/>
      <c r="N2304" s="368"/>
      <c r="O2304" s="271">
        <f>IFERROR(Table17[[#This Row],[PROFIT]]/Table17[[#This Row],[TO]],0)</f>
        <v>0</v>
      </c>
      <c r="P2304" s="177"/>
      <c r="Q2304" s="177"/>
      <c r="R2304" s="177"/>
    </row>
    <row r="2305" spans="1:18" ht="30" hidden="1" x14ac:dyDescent="0.25">
      <c r="A2305" s="29" t="s">
        <v>256</v>
      </c>
      <c r="B2305" s="29" t="s">
        <v>905</v>
      </c>
      <c r="C2305" s="29" t="s">
        <v>530</v>
      </c>
      <c r="D2305" s="29" t="str">
        <f>VLOOKUP(C:C,'COUNT-CONT'!B:C,2,FALSE)</f>
        <v>South America</v>
      </c>
      <c r="E2305" s="29">
        <v>10</v>
      </c>
      <c r="F2305" s="28">
        <v>3320</v>
      </c>
      <c r="G2305" s="28">
        <v>2535925301</v>
      </c>
      <c r="H2305" s="29">
        <v>8.07</v>
      </c>
      <c r="I2305" s="142">
        <v>-71.37</v>
      </c>
      <c r="J2305" s="29">
        <v>3.51</v>
      </c>
      <c r="K2305" s="29">
        <v>3.08</v>
      </c>
      <c r="L2305" s="29">
        <v>7.35</v>
      </c>
      <c r="M2305" s="368"/>
      <c r="N2305" s="368"/>
      <c r="O2305" s="271">
        <f>IFERROR(Table17[[#This Row],[PROFIT]]/Table17[[#This Row],[TO]],0)</f>
        <v>0</v>
      </c>
      <c r="P2305" s="177"/>
      <c r="Q2305" s="177"/>
      <c r="R2305" s="177"/>
    </row>
    <row r="2306" spans="1:18" ht="30" hidden="1" x14ac:dyDescent="0.25">
      <c r="A2306" s="29" t="s">
        <v>1507</v>
      </c>
      <c r="B2306" s="29" t="s">
        <v>1506</v>
      </c>
      <c r="C2306" s="29" t="s">
        <v>514</v>
      </c>
      <c r="D2306" s="29" t="str">
        <f>VLOOKUP(C:C,'COUNT-CONT'!B:C,2,FALSE)</f>
        <v>North America</v>
      </c>
      <c r="E2306" s="29">
        <v>4</v>
      </c>
      <c r="F2306" s="28">
        <v>1832</v>
      </c>
      <c r="G2306" s="28">
        <v>3005936681</v>
      </c>
      <c r="H2306" s="29">
        <v>8.07</v>
      </c>
      <c r="I2306" s="142">
        <v>-71.37</v>
      </c>
      <c r="J2306" s="29">
        <v>5.32</v>
      </c>
      <c r="K2306" s="29">
        <v>5.14</v>
      </c>
      <c r="L2306" s="29">
        <v>9.19</v>
      </c>
      <c r="M2306" s="368"/>
      <c r="N2306" s="368"/>
      <c r="O2306" s="271">
        <f>IFERROR(Table17[[#This Row],[PROFIT]]/Table17[[#This Row],[TO]],0)</f>
        <v>0</v>
      </c>
      <c r="P2306" s="177"/>
      <c r="Q2306" s="177"/>
      <c r="R2306" s="177"/>
    </row>
    <row r="2307" spans="1:18" hidden="1" x14ac:dyDescent="0.25">
      <c r="A2307" s="29" t="s">
        <v>2038</v>
      </c>
      <c r="B2307" s="29" t="s">
        <v>2037</v>
      </c>
      <c r="C2307" s="29" t="s">
        <v>560</v>
      </c>
      <c r="D2307" s="29" t="str">
        <f>VLOOKUP(C:C,'COUNT-CONT'!B:C,2,FALSE)</f>
        <v>Europe</v>
      </c>
      <c r="E2307" s="29">
        <v>3</v>
      </c>
      <c r="F2307" s="28">
        <v>1635</v>
      </c>
      <c r="G2307" s="28">
        <v>3348982874</v>
      </c>
      <c r="H2307" s="29">
        <v>8.0399999999999991</v>
      </c>
      <c r="I2307" s="142">
        <v>-71.400000000000006</v>
      </c>
      <c r="J2307" s="29">
        <v>6.56</v>
      </c>
      <c r="K2307" s="29">
        <v>6.56</v>
      </c>
      <c r="L2307" s="29">
        <v>10.61</v>
      </c>
      <c r="M2307" s="368"/>
      <c r="N2307" s="368"/>
      <c r="O2307" s="271">
        <f>IFERROR(Table17[[#This Row],[PROFIT]]/Table17[[#This Row],[TO]],0)</f>
        <v>0</v>
      </c>
      <c r="P2307" s="177"/>
      <c r="Q2307" s="177"/>
      <c r="R2307" s="177"/>
    </row>
    <row r="2308" spans="1:18" x14ac:dyDescent="0.25">
      <c r="A2308" s="29" t="s">
        <v>1303</v>
      </c>
      <c r="B2308" s="29" t="s">
        <v>1302</v>
      </c>
      <c r="C2308" s="29" t="s">
        <v>774</v>
      </c>
      <c r="D2308" s="29" t="str">
        <f>VLOOKUP(C:C,'COUNT-CONT'!B:C,2,FALSE)</f>
        <v>Oceania</v>
      </c>
      <c r="E2308" s="29">
        <v>3</v>
      </c>
      <c r="F2308" s="28">
        <v>1506</v>
      </c>
      <c r="G2308" s="28">
        <v>3017011686</v>
      </c>
      <c r="H2308" s="29">
        <v>8.0399999999999991</v>
      </c>
      <c r="I2308" s="142">
        <v>-71.400000000000006</v>
      </c>
      <c r="J2308" s="29">
        <v>4.78</v>
      </c>
      <c r="K2308" s="29">
        <v>4.4400000000000004</v>
      </c>
      <c r="L2308" s="29">
        <v>8.56</v>
      </c>
      <c r="M2308" s="368"/>
      <c r="N2308" s="368"/>
      <c r="O2308" s="271">
        <f>IFERROR(Table17[[#This Row],[PROFIT]]/Table17[[#This Row],[TO]],0)</f>
        <v>0</v>
      </c>
      <c r="P2308" s="177"/>
      <c r="Q2308" s="177"/>
      <c r="R2308" s="177"/>
    </row>
    <row r="2309" spans="1:18" ht="30" hidden="1" x14ac:dyDescent="0.25">
      <c r="A2309" s="29" t="s">
        <v>2011</v>
      </c>
      <c r="B2309" s="29" t="s">
        <v>2010</v>
      </c>
      <c r="C2309" s="29" t="s">
        <v>11732</v>
      </c>
      <c r="D2309" s="29" t="str">
        <f>VLOOKUP(C:C,'COUNT-CONT'!B:C,2,FALSE)</f>
        <v>North America</v>
      </c>
      <c r="E2309" s="29">
        <v>7</v>
      </c>
      <c r="F2309" s="28">
        <v>2566</v>
      </c>
      <c r="G2309" s="28">
        <v>3189882774</v>
      </c>
      <c r="H2309" s="29">
        <v>8.01</v>
      </c>
      <c r="I2309" s="142">
        <v>-71.429999999999993</v>
      </c>
      <c r="J2309" s="29">
        <v>6.53</v>
      </c>
      <c r="K2309" s="29">
        <v>6.53</v>
      </c>
      <c r="L2309" s="29">
        <v>10.55</v>
      </c>
      <c r="M2309" s="368"/>
      <c r="N2309" s="368"/>
      <c r="O2309" s="271">
        <f>IFERROR(Table17[[#This Row],[PROFIT]]/Table17[[#This Row],[TO]],0)</f>
        <v>0</v>
      </c>
      <c r="P2309" s="177"/>
      <c r="Q2309" s="177"/>
      <c r="R2309" s="177"/>
    </row>
    <row r="2310" spans="1:18" ht="30" x14ac:dyDescent="0.25">
      <c r="A2310" s="29" t="s">
        <v>960</v>
      </c>
      <c r="B2310" s="29" t="s">
        <v>959</v>
      </c>
      <c r="C2310" s="29" t="s">
        <v>662</v>
      </c>
      <c r="D2310" s="29" t="str">
        <f>VLOOKUP(C:C,'COUNT-CONT'!B:C,2,FALSE)</f>
        <v>Oceania</v>
      </c>
      <c r="E2310" s="29">
        <v>2</v>
      </c>
      <c r="F2310" s="28">
        <v>1301</v>
      </c>
      <c r="G2310" s="28">
        <v>2892103458</v>
      </c>
      <c r="H2310" s="29">
        <v>8.01</v>
      </c>
      <c r="I2310" s="142">
        <v>-71.429999999999993</v>
      </c>
      <c r="J2310" s="29">
        <v>3.93</v>
      </c>
      <c r="K2310" s="29">
        <v>3.33</v>
      </c>
      <c r="L2310" s="29">
        <v>7.56</v>
      </c>
      <c r="M2310" s="368"/>
      <c r="N2310" s="368"/>
      <c r="O2310" s="271">
        <f>IFERROR(Table17[[#This Row],[PROFIT]]/Table17[[#This Row],[TO]],0)</f>
        <v>0</v>
      </c>
      <c r="P2310" s="177"/>
      <c r="Q2310" s="177"/>
      <c r="R2310" s="177"/>
    </row>
    <row r="2311" spans="1:18" x14ac:dyDescent="0.25">
      <c r="A2311" s="29" t="s">
        <v>1286</v>
      </c>
      <c r="B2311" s="29" t="s">
        <v>1285</v>
      </c>
      <c r="C2311" s="29" t="s">
        <v>774</v>
      </c>
      <c r="D2311" s="29" t="str">
        <f>VLOOKUP(C:C,'COUNT-CONT'!B:C,2,FALSE)</f>
        <v>Oceania</v>
      </c>
      <c r="E2311" s="29">
        <v>3</v>
      </c>
      <c r="F2311" s="28">
        <v>1722</v>
      </c>
      <c r="G2311" s="28">
        <v>2943792102</v>
      </c>
      <c r="H2311" s="29">
        <v>8.01</v>
      </c>
      <c r="I2311" s="142">
        <v>-71.429999999999993</v>
      </c>
      <c r="J2311" s="29">
        <v>4.75</v>
      </c>
      <c r="K2311" s="29">
        <v>4.41</v>
      </c>
      <c r="L2311" s="29">
        <v>8.52</v>
      </c>
      <c r="M2311" s="368"/>
      <c r="N2311" s="368"/>
      <c r="O2311" s="271">
        <f>IFERROR(Table17[[#This Row],[PROFIT]]/Table17[[#This Row],[TO]],0)</f>
        <v>0</v>
      </c>
      <c r="P2311" s="177"/>
      <c r="Q2311" s="177"/>
      <c r="R2311" s="177"/>
    </row>
    <row r="2312" spans="1:18" ht="30" hidden="1" x14ac:dyDescent="0.25">
      <c r="A2312" s="29" t="s">
        <v>2009</v>
      </c>
      <c r="B2312" s="29" t="s">
        <v>2008</v>
      </c>
      <c r="C2312" s="29" t="s">
        <v>11732</v>
      </c>
      <c r="D2312" s="29" t="str">
        <f>VLOOKUP(C:C,'COUNT-CONT'!B:C,2,FALSE)</f>
        <v>North America</v>
      </c>
      <c r="E2312" s="29">
        <v>4</v>
      </c>
      <c r="F2312" s="28">
        <v>1828</v>
      </c>
      <c r="G2312" s="28">
        <v>3290850547</v>
      </c>
      <c r="H2312" s="29">
        <v>8.01</v>
      </c>
      <c r="I2312" s="142">
        <v>-71.429999999999993</v>
      </c>
      <c r="J2312" s="29">
        <v>6.53</v>
      </c>
      <c r="K2312" s="29">
        <v>6.53</v>
      </c>
      <c r="L2312" s="29">
        <v>10.55</v>
      </c>
      <c r="M2312" s="368"/>
      <c r="N2312" s="368"/>
      <c r="O2312" s="271">
        <f>IFERROR(Table17[[#This Row],[PROFIT]]/Table17[[#This Row],[TO]],0)</f>
        <v>0</v>
      </c>
      <c r="P2312" s="177"/>
      <c r="Q2312" s="177"/>
      <c r="R2312" s="177"/>
    </row>
    <row r="2313" spans="1:18" hidden="1" x14ac:dyDescent="0.25">
      <c r="A2313" s="29" t="s">
        <v>806</v>
      </c>
      <c r="B2313" s="29" t="s">
        <v>805</v>
      </c>
      <c r="C2313" s="29" t="s">
        <v>505</v>
      </c>
      <c r="D2313" s="29" t="e">
        <f>VLOOKUP(C:C,'COUNT-CONT'!B:C,2,FALSE)</f>
        <v>#N/A</v>
      </c>
      <c r="E2313" s="29">
        <v>6</v>
      </c>
      <c r="F2313" s="28">
        <v>2301</v>
      </c>
      <c r="G2313" s="28">
        <v>2507253020</v>
      </c>
      <c r="H2313" s="29">
        <v>8.01</v>
      </c>
      <c r="I2313" s="142">
        <v>-71.429999999999993</v>
      </c>
      <c r="J2313" s="29">
        <v>3.11</v>
      </c>
      <c r="K2313" s="29">
        <v>2.57</v>
      </c>
      <c r="L2313" s="29">
        <v>6.8</v>
      </c>
      <c r="M2313" s="368"/>
      <c r="N2313" s="368"/>
      <c r="O2313" s="271">
        <f>IFERROR(Table17[[#This Row],[PROFIT]]/Table17[[#This Row],[TO]],0)</f>
        <v>0</v>
      </c>
      <c r="P2313" s="177"/>
      <c r="Q2313" s="177"/>
      <c r="R2313" s="177"/>
    </row>
    <row r="2314" spans="1:18" hidden="1" x14ac:dyDescent="0.25">
      <c r="A2314" s="29" t="s">
        <v>1676</v>
      </c>
      <c r="B2314" s="29" t="s">
        <v>1675</v>
      </c>
      <c r="C2314" s="29" t="s">
        <v>1674</v>
      </c>
      <c r="D2314" s="29" t="str">
        <f>VLOOKUP(C:C,'COUNT-CONT'!B:C,2,FALSE)</f>
        <v>Europe</v>
      </c>
      <c r="E2314" s="29">
        <v>4</v>
      </c>
      <c r="F2314" s="28">
        <v>2003</v>
      </c>
      <c r="G2314" s="28">
        <v>3018176235</v>
      </c>
      <c r="H2314" s="29">
        <v>8.01</v>
      </c>
      <c r="I2314" s="142">
        <v>-71.429999999999993</v>
      </c>
      <c r="J2314" s="29">
        <v>5.71</v>
      </c>
      <c r="K2314" s="29">
        <v>5.53</v>
      </c>
      <c r="L2314" s="29">
        <v>9.5500000000000007</v>
      </c>
      <c r="M2314" s="368"/>
      <c r="N2314" s="368"/>
      <c r="O2314" s="271">
        <f>IFERROR(Table17[[#This Row],[PROFIT]]/Table17[[#This Row],[TO]],0)</f>
        <v>0</v>
      </c>
      <c r="P2314" s="177"/>
      <c r="Q2314" s="177"/>
      <c r="R2314" s="177"/>
    </row>
    <row r="2315" spans="1:18" ht="30" hidden="1" x14ac:dyDescent="0.25">
      <c r="A2315" s="29" t="s">
        <v>1499</v>
      </c>
      <c r="B2315" s="29" t="s">
        <v>1498</v>
      </c>
      <c r="C2315" s="29" t="s">
        <v>514</v>
      </c>
      <c r="D2315" s="29" t="str">
        <f>VLOOKUP(C:C,'COUNT-CONT'!B:C,2,FALSE)</f>
        <v>North America</v>
      </c>
      <c r="E2315" s="29">
        <v>1</v>
      </c>
      <c r="F2315" s="28">
        <v>1071</v>
      </c>
      <c r="G2315" s="28">
        <v>3347077497</v>
      </c>
      <c r="H2315" s="29">
        <v>8.01</v>
      </c>
      <c r="I2315" s="142">
        <v>-71.429999999999993</v>
      </c>
      <c r="J2315" s="29">
        <v>5.29</v>
      </c>
      <c r="K2315" s="29">
        <v>5.1100000000000003</v>
      </c>
      <c r="L2315" s="29">
        <v>9.1300000000000008</v>
      </c>
      <c r="M2315" s="368"/>
      <c r="N2315" s="368"/>
      <c r="O2315" s="271">
        <f>IFERROR(Table17[[#This Row],[PROFIT]]/Table17[[#This Row],[TO]],0)</f>
        <v>0</v>
      </c>
      <c r="P2315" s="177"/>
      <c r="Q2315" s="177"/>
      <c r="R2315" s="177"/>
    </row>
    <row r="2316" spans="1:18" ht="30" hidden="1" x14ac:dyDescent="0.25">
      <c r="A2316" s="29" t="s">
        <v>1497</v>
      </c>
      <c r="B2316" s="29" t="s">
        <v>1496</v>
      </c>
      <c r="C2316" s="29" t="s">
        <v>514</v>
      </c>
      <c r="D2316" s="29" t="str">
        <f>VLOOKUP(C:C,'COUNT-CONT'!B:C,2,FALSE)</f>
        <v>North America</v>
      </c>
      <c r="E2316" s="29">
        <v>1</v>
      </c>
      <c r="F2316" s="28">
        <v>1071</v>
      </c>
      <c r="G2316" s="28">
        <v>3347077497</v>
      </c>
      <c r="H2316" s="29">
        <v>8.01</v>
      </c>
      <c r="I2316" s="142">
        <v>-71.429999999999993</v>
      </c>
      <c r="J2316" s="29">
        <v>5.29</v>
      </c>
      <c r="K2316" s="29">
        <v>5.1100000000000003</v>
      </c>
      <c r="L2316" s="29">
        <v>9.1300000000000008</v>
      </c>
      <c r="M2316" s="368"/>
      <c r="N2316" s="368"/>
      <c r="O2316" s="271">
        <f>IFERROR(Table17[[#This Row],[PROFIT]]/Table17[[#This Row],[TO]],0)</f>
        <v>0</v>
      </c>
      <c r="P2316" s="177"/>
      <c r="Q2316" s="177"/>
      <c r="R2316" s="177"/>
    </row>
    <row r="2317" spans="1:18" ht="30" hidden="1" x14ac:dyDescent="0.25">
      <c r="A2317" s="29" t="s">
        <v>1993</v>
      </c>
      <c r="B2317" s="29" t="s">
        <v>1992</v>
      </c>
      <c r="C2317" s="29" t="s">
        <v>11732</v>
      </c>
      <c r="D2317" s="29" t="str">
        <f>VLOOKUP(C:C,'COUNT-CONT'!B:C,2,FALSE)</f>
        <v>North America</v>
      </c>
      <c r="E2317" s="29">
        <v>5</v>
      </c>
      <c r="F2317" s="28">
        <v>2139</v>
      </c>
      <c r="G2317" s="28">
        <v>3228058999</v>
      </c>
      <c r="H2317" s="29">
        <v>7.98</v>
      </c>
      <c r="I2317" s="142">
        <v>-71.459999999999994</v>
      </c>
      <c r="J2317" s="29">
        <v>6.5</v>
      </c>
      <c r="K2317" s="29">
        <v>6.5</v>
      </c>
      <c r="L2317" s="29">
        <v>10.49</v>
      </c>
      <c r="M2317" s="368"/>
      <c r="N2317" s="368"/>
      <c r="O2317" s="271">
        <f>IFERROR(Table17[[#This Row],[PROFIT]]/Table17[[#This Row],[TO]],0)</f>
        <v>0</v>
      </c>
      <c r="P2317" s="177"/>
      <c r="Q2317" s="177"/>
      <c r="R2317" s="177"/>
    </row>
    <row r="2318" spans="1:18" ht="30" x14ac:dyDescent="0.25">
      <c r="A2318" s="29" t="s">
        <v>1276</v>
      </c>
      <c r="B2318" s="29" t="s">
        <v>1275</v>
      </c>
      <c r="C2318" s="29" t="s">
        <v>774</v>
      </c>
      <c r="D2318" s="29" t="str">
        <f>VLOOKUP(C:C,'COUNT-CONT'!B:C,2,FALSE)</f>
        <v>Oceania</v>
      </c>
      <c r="E2318" s="29">
        <v>3</v>
      </c>
      <c r="F2318" s="28">
        <v>1711</v>
      </c>
      <c r="G2318" s="28">
        <v>2943598889</v>
      </c>
      <c r="H2318" s="29">
        <v>7.98</v>
      </c>
      <c r="I2318" s="142">
        <v>-71.459999999999994</v>
      </c>
      <c r="J2318" s="29">
        <v>4.75</v>
      </c>
      <c r="K2318" s="29">
        <v>4.41</v>
      </c>
      <c r="L2318" s="29">
        <v>8.49</v>
      </c>
      <c r="M2318" s="368"/>
      <c r="N2318" s="368"/>
      <c r="O2318" s="271">
        <f>IFERROR(Table17[[#This Row],[PROFIT]]/Table17[[#This Row],[TO]],0)</f>
        <v>0</v>
      </c>
      <c r="P2318" s="177"/>
      <c r="Q2318" s="177"/>
      <c r="R2318" s="177"/>
    </row>
    <row r="2319" spans="1:18" ht="30" hidden="1" x14ac:dyDescent="0.25">
      <c r="A2319" s="29" t="s">
        <v>1489</v>
      </c>
      <c r="B2319" s="29" t="s">
        <v>1488</v>
      </c>
      <c r="C2319" s="29" t="s">
        <v>514</v>
      </c>
      <c r="D2319" s="29" t="str">
        <f>VLOOKUP(C:C,'COUNT-CONT'!B:C,2,FALSE)</f>
        <v>North America</v>
      </c>
      <c r="E2319" s="29">
        <v>4</v>
      </c>
      <c r="F2319" s="28">
        <v>1832</v>
      </c>
      <c r="G2319" s="28">
        <v>2993136681</v>
      </c>
      <c r="H2319" s="29">
        <v>7.98</v>
      </c>
      <c r="I2319" s="142">
        <v>-71.459999999999994</v>
      </c>
      <c r="J2319" s="29">
        <v>5.26</v>
      </c>
      <c r="K2319" s="29">
        <v>5.08</v>
      </c>
      <c r="L2319" s="29">
        <v>9.1</v>
      </c>
      <c r="M2319" s="368"/>
      <c r="N2319" s="368"/>
      <c r="O2319" s="271">
        <f>IFERROR(Table17[[#This Row],[PROFIT]]/Table17[[#This Row],[TO]],0)</f>
        <v>0</v>
      </c>
      <c r="P2319" s="177"/>
      <c r="Q2319" s="177"/>
      <c r="R2319" s="177"/>
    </row>
    <row r="2320" spans="1:18" ht="30" hidden="1" x14ac:dyDescent="0.25">
      <c r="A2320" s="29" t="s">
        <v>1483</v>
      </c>
      <c r="B2320" s="29" t="s">
        <v>1482</v>
      </c>
      <c r="C2320" s="29" t="s">
        <v>514</v>
      </c>
      <c r="D2320" s="29" t="str">
        <f>VLOOKUP(C:C,'COUNT-CONT'!B:C,2,FALSE)</f>
        <v>North America</v>
      </c>
      <c r="E2320" s="29">
        <v>2</v>
      </c>
      <c r="F2320" s="28">
        <v>1292</v>
      </c>
      <c r="G2320" s="28">
        <v>3185393188</v>
      </c>
      <c r="H2320" s="29">
        <v>7.98</v>
      </c>
      <c r="I2320" s="142">
        <v>-71.459999999999994</v>
      </c>
      <c r="J2320" s="29">
        <v>5.26</v>
      </c>
      <c r="K2320" s="29">
        <v>5.08</v>
      </c>
      <c r="L2320" s="29">
        <v>9.07</v>
      </c>
      <c r="M2320" s="368"/>
      <c r="N2320" s="368"/>
      <c r="O2320" s="271">
        <f>IFERROR(Table17[[#This Row],[PROFIT]]/Table17[[#This Row],[TO]],0)</f>
        <v>0</v>
      </c>
      <c r="P2320" s="177"/>
      <c r="Q2320" s="177"/>
      <c r="R2320" s="177"/>
    </row>
    <row r="2321" spans="1:18" ht="30" hidden="1" x14ac:dyDescent="0.25">
      <c r="A2321" s="29" t="s">
        <v>1481</v>
      </c>
      <c r="B2321" s="29" t="s">
        <v>1480</v>
      </c>
      <c r="C2321" s="29" t="s">
        <v>514</v>
      </c>
      <c r="D2321" s="29" t="str">
        <f>VLOOKUP(C:C,'COUNT-CONT'!B:C,2,FALSE)</f>
        <v>North America</v>
      </c>
      <c r="E2321" s="29">
        <v>1</v>
      </c>
      <c r="F2321" s="28">
        <v>1071</v>
      </c>
      <c r="G2321" s="28">
        <v>3339077497</v>
      </c>
      <c r="H2321" s="29">
        <v>7.98</v>
      </c>
      <c r="I2321" s="142">
        <v>-71.459999999999994</v>
      </c>
      <c r="J2321" s="29">
        <v>5.26</v>
      </c>
      <c r="K2321" s="29">
        <v>5.08</v>
      </c>
      <c r="L2321" s="29">
        <v>9.07</v>
      </c>
      <c r="M2321" s="368"/>
      <c r="N2321" s="368"/>
      <c r="O2321" s="271">
        <f>IFERROR(Table17[[#This Row],[PROFIT]]/Table17[[#This Row],[TO]],0)</f>
        <v>0</v>
      </c>
      <c r="P2321" s="177"/>
      <c r="Q2321" s="177"/>
      <c r="R2321" s="177"/>
    </row>
    <row r="2322" spans="1:18" ht="30" hidden="1" x14ac:dyDescent="0.25">
      <c r="A2322" s="29" t="s">
        <v>1337</v>
      </c>
      <c r="B2322" s="29" t="s">
        <v>1336</v>
      </c>
      <c r="C2322" s="29" t="s">
        <v>83</v>
      </c>
      <c r="D2322" s="29" t="str">
        <f>VLOOKUP(C:C,'COUNT-CONT'!B:C,2,FALSE)</f>
        <v>Europe</v>
      </c>
      <c r="E2322" s="29">
        <v>2</v>
      </c>
      <c r="F2322" s="28">
        <v>1421</v>
      </c>
      <c r="G2322" s="28">
        <v>3050002744</v>
      </c>
      <c r="H2322" s="29">
        <v>7.95</v>
      </c>
      <c r="I2322" s="142">
        <v>-71.489999999999995</v>
      </c>
      <c r="J2322" s="29">
        <v>4.84</v>
      </c>
      <c r="K2322" s="29">
        <v>4.47</v>
      </c>
      <c r="L2322" s="29">
        <v>8.65</v>
      </c>
      <c r="M2322" s="368"/>
      <c r="N2322" s="368"/>
      <c r="O2322" s="271">
        <f>IFERROR(Table17[[#This Row],[PROFIT]]/Table17[[#This Row],[TO]],0)</f>
        <v>0</v>
      </c>
      <c r="P2322" s="177"/>
      <c r="Q2322" s="177"/>
      <c r="R2322" s="177"/>
    </row>
    <row r="2323" spans="1:18" hidden="1" x14ac:dyDescent="0.25">
      <c r="A2323" s="29" t="s">
        <v>788</v>
      </c>
      <c r="B2323" s="29" t="s">
        <v>787</v>
      </c>
      <c r="C2323" s="29" t="s">
        <v>14</v>
      </c>
      <c r="D2323" s="29" t="str">
        <f>VLOOKUP(C:C,'COUNT-CONT'!B:C,2,FALSE)</f>
        <v>Asia</v>
      </c>
      <c r="E2323" s="29">
        <v>4</v>
      </c>
      <c r="F2323" s="28">
        <v>1800</v>
      </c>
      <c r="G2323" s="28">
        <v>2585511111</v>
      </c>
      <c r="H2323" s="29">
        <v>7.95</v>
      </c>
      <c r="I2323" s="142">
        <v>-71.489999999999995</v>
      </c>
      <c r="J2323" s="29">
        <v>3.08</v>
      </c>
      <c r="K2323" s="29">
        <v>2.54</v>
      </c>
      <c r="L2323" s="29">
        <v>6.74</v>
      </c>
      <c r="M2323" s="368"/>
      <c r="N2323" s="368"/>
      <c r="O2323" s="271">
        <f>IFERROR(Table17[[#This Row],[PROFIT]]/Table17[[#This Row],[TO]],0)</f>
        <v>0</v>
      </c>
      <c r="P2323" s="177"/>
      <c r="Q2323" s="177"/>
      <c r="R2323" s="177"/>
    </row>
    <row r="2324" spans="1:18" ht="30" hidden="1" x14ac:dyDescent="0.25">
      <c r="A2324" s="29" t="s">
        <v>786</v>
      </c>
      <c r="B2324" s="29" t="s">
        <v>785</v>
      </c>
      <c r="C2324" s="29" t="s">
        <v>517</v>
      </c>
      <c r="D2324" s="29" t="str">
        <f>VLOOKUP(C:C,'COUNT-CONT'!B:C,2,FALSE)</f>
        <v>South America</v>
      </c>
      <c r="E2324" s="29">
        <v>3</v>
      </c>
      <c r="F2324" s="28">
        <v>1722</v>
      </c>
      <c r="G2324" s="28">
        <v>2603692102</v>
      </c>
      <c r="H2324" s="29">
        <v>7.95</v>
      </c>
      <c r="I2324" s="142">
        <v>-71.489999999999995</v>
      </c>
      <c r="J2324" s="29">
        <v>3.08</v>
      </c>
      <c r="K2324" s="29">
        <v>2.54</v>
      </c>
      <c r="L2324" s="29">
        <v>6.74</v>
      </c>
      <c r="M2324" s="368"/>
      <c r="N2324" s="368"/>
      <c r="O2324" s="271">
        <f>IFERROR(Table17[[#This Row],[PROFIT]]/Table17[[#This Row],[TO]],0)</f>
        <v>0</v>
      </c>
      <c r="P2324" s="177"/>
      <c r="Q2324" s="177"/>
      <c r="R2324" s="177"/>
    </row>
    <row r="2325" spans="1:18" hidden="1" x14ac:dyDescent="0.25">
      <c r="A2325" s="29" t="s">
        <v>702</v>
      </c>
      <c r="B2325" s="29" t="s">
        <v>701</v>
      </c>
      <c r="C2325" s="29" t="s">
        <v>700</v>
      </c>
      <c r="D2325" s="29" t="str">
        <f>VLOOKUP(C:C,'COUNT-CONT'!B:C,2,FALSE)</f>
        <v>Asia</v>
      </c>
      <c r="E2325" s="29">
        <v>4</v>
      </c>
      <c r="F2325" s="28">
        <v>1801</v>
      </c>
      <c r="G2325" s="28">
        <v>2533571793</v>
      </c>
      <c r="H2325" s="29">
        <v>7.95</v>
      </c>
      <c r="I2325" s="142">
        <v>-71.489999999999995</v>
      </c>
      <c r="J2325" s="29">
        <v>2.4500000000000002</v>
      </c>
      <c r="K2325" s="29">
        <v>1.81</v>
      </c>
      <c r="L2325" s="29">
        <v>6.14</v>
      </c>
      <c r="M2325" s="368"/>
      <c r="N2325" s="368"/>
      <c r="O2325" s="271">
        <f>IFERROR(Table17[[#This Row],[PROFIT]]/Table17[[#This Row],[TO]],0)</f>
        <v>0</v>
      </c>
      <c r="P2325" s="177"/>
      <c r="Q2325" s="177"/>
      <c r="R2325" s="177"/>
    </row>
    <row r="2326" spans="1:18" ht="30" hidden="1" x14ac:dyDescent="0.25">
      <c r="A2326" s="29" t="s">
        <v>1477</v>
      </c>
      <c r="B2326" s="29" t="s">
        <v>1476</v>
      </c>
      <c r="C2326" s="29" t="s">
        <v>514</v>
      </c>
      <c r="D2326" s="29" t="str">
        <f>VLOOKUP(C:C,'COUNT-CONT'!B:C,2,FALSE)</f>
        <v>North America</v>
      </c>
      <c r="E2326" s="29">
        <v>9</v>
      </c>
      <c r="F2326" s="28">
        <v>3052</v>
      </c>
      <c r="G2326" s="28">
        <v>2867019397</v>
      </c>
      <c r="H2326" s="29">
        <v>7.95</v>
      </c>
      <c r="I2326" s="142">
        <v>-71.489999999999995</v>
      </c>
      <c r="J2326" s="29">
        <v>5.23</v>
      </c>
      <c r="K2326" s="29">
        <v>5.05</v>
      </c>
      <c r="L2326" s="29">
        <v>9.0399999999999991</v>
      </c>
      <c r="M2326" s="368"/>
      <c r="N2326" s="368"/>
      <c r="O2326" s="271">
        <f>IFERROR(Table17[[#This Row],[PROFIT]]/Table17[[#This Row],[TO]],0)</f>
        <v>0</v>
      </c>
      <c r="P2326" s="177"/>
      <c r="Q2326" s="177"/>
      <c r="R2326" s="177"/>
    </row>
    <row r="2327" spans="1:18" ht="30" hidden="1" x14ac:dyDescent="0.25">
      <c r="A2327" s="29" t="s">
        <v>1983</v>
      </c>
      <c r="B2327" s="29" t="s">
        <v>1982</v>
      </c>
      <c r="C2327" s="29" t="s">
        <v>11732</v>
      </c>
      <c r="D2327" s="29" t="str">
        <f>VLOOKUP(C:C,'COUNT-CONT'!B:C,2,FALSE)</f>
        <v>North America</v>
      </c>
      <c r="E2327" s="29">
        <v>5</v>
      </c>
      <c r="F2327" s="28">
        <v>2062</v>
      </c>
      <c r="G2327" s="28">
        <v>3228362657</v>
      </c>
      <c r="H2327" s="29">
        <v>7.92</v>
      </c>
      <c r="I2327" s="142">
        <v>-71.52</v>
      </c>
      <c r="J2327" s="29">
        <v>6.44</v>
      </c>
      <c r="K2327" s="29">
        <v>6.44</v>
      </c>
      <c r="L2327" s="29">
        <v>10.43</v>
      </c>
      <c r="M2327" s="368"/>
      <c r="N2327" s="368"/>
      <c r="O2327" s="271">
        <f>IFERROR(Table17[[#This Row],[PROFIT]]/Table17[[#This Row],[TO]],0)</f>
        <v>0</v>
      </c>
      <c r="P2327" s="177"/>
      <c r="Q2327" s="177"/>
      <c r="R2327" s="177"/>
    </row>
    <row r="2328" spans="1:18" hidden="1" x14ac:dyDescent="0.25">
      <c r="A2328" s="29" t="s">
        <v>753</v>
      </c>
      <c r="B2328" s="29" t="s">
        <v>752</v>
      </c>
      <c r="C2328" s="29" t="s">
        <v>78</v>
      </c>
      <c r="D2328" s="29" t="str">
        <f>VLOOKUP(C:C,'COUNT-CONT'!B:C,2,FALSE)</f>
        <v>Europe</v>
      </c>
      <c r="E2328" s="29">
        <v>4</v>
      </c>
      <c r="F2328" s="28">
        <v>2001</v>
      </c>
      <c r="G2328" s="28">
        <v>2512125137</v>
      </c>
      <c r="H2328" s="29">
        <v>7.92</v>
      </c>
      <c r="I2328" s="142">
        <v>-71.52</v>
      </c>
      <c r="J2328" s="29">
        <v>2.84</v>
      </c>
      <c r="K2328" s="29">
        <v>2.33</v>
      </c>
      <c r="L2328" s="29">
        <v>6.5</v>
      </c>
      <c r="M2328" s="368"/>
      <c r="N2328" s="368"/>
      <c r="O2328" s="271">
        <f>IFERROR(Table17[[#This Row],[PROFIT]]/Table17[[#This Row],[TO]],0)</f>
        <v>0</v>
      </c>
      <c r="P2328" s="177"/>
      <c r="Q2328" s="177"/>
      <c r="R2328" s="177"/>
    </row>
    <row r="2329" spans="1:18" ht="30" hidden="1" x14ac:dyDescent="0.25">
      <c r="A2329" s="29" t="s">
        <v>1320</v>
      </c>
      <c r="B2329" s="29" t="s">
        <v>1319</v>
      </c>
      <c r="C2329" s="29" t="s">
        <v>83</v>
      </c>
      <c r="D2329" s="29" t="str">
        <f>VLOOKUP(C:C,'COUNT-CONT'!B:C,2,FALSE)</f>
        <v>Europe</v>
      </c>
      <c r="E2329" s="29">
        <v>4</v>
      </c>
      <c r="F2329" s="28">
        <v>1827</v>
      </c>
      <c r="G2329" s="28">
        <v>2916979912</v>
      </c>
      <c r="H2329" s="29">
        <v>7.92</v>
      </c>
      <c r="I2329" s="142">
        <v>-71.52</v>
      </c>
      <c r="J2329" s="29">
        <v>4.8099999999999996</v>
      </c>
      <c r="K2329" s="29">
        <v>4.47</v>
      </c>
      <c r="L2329" s="29">
        <v>8.6199999999999992</v>
      </c>
      <c r="M2329" s="368"/>
      <c r="N2329" s="368"/>
      <c r="O2329" s="271">
        <f>IFERROR(Table17[[#This Row],[PROFIT]]/Table17[[#This Row],[TO]],0)</f>
        <v>0</v>
      </c>
      <c r="P2329" s="177"/>
      <c r="Q2329" s="177"/>
      <c r="R2329" s="177"/>
    </row>
    <row r="2330" spans="1:18" ht="30" hidden="1" x14ac:dyDescent="0.25">
      <c r="A2330" s="29" t="s">
        <v>1969</v>
      </c>
      <c r="B2330" s="29" t="s">
        <v>1968</v>
      </c>
      <c r="C2330" s="29" t="s">
        <v>11732</v>
      </c>
      <c r="D2330" s="29" t="str">
        <f>VLOOKUP(C:C,'COUNT-CONT'!B:C,2,FALSE)</f>
        <v>North America</v>
      </c>
      <c r="E2330" s="29">
        <v>5</v>
      </c>
      <c r="F2330" s="28">
        <v>2108</v>
      </c>
      <c r="G2330" s="28">
        <v>3218121631</v>
      </c>
      <c r="H2330" s="29">
        <v>7.89</v>
      </c>
      <c r="I2330" s="142">
        <v>-71.55</v>
      </c>
      <c r="J2330" s="29">
        <v>6.44</v>
      </c>
      <c r="K2330" s="29">
        <v>6.44</v>
      </c>
      <c r="L2330" s="29">
        <v>10.4</v>
      </c>
      <c r="M2330" s="368"/>
      <c r="N2330" s="368"/>
      <c r="O2330" s="271">
        <f>IFERROR(Table17[[#This Row],[PROFIT]]/Table17[[#This Row],[TO]],0)</f>
        <v>0</v>
      </c>
      <c r="P2330" s="177"/>
      <c r="Q2330" s="177"/>
      <c r="R2330" s="177"/>
    </row>
    <row r="2331" spans="1:18" ht="30" hidden="1" x14ac:dyDescent="0.25">
      <c r="A2331" s="29" t="s">
        <v>1971</v>
      </c>
      <c r="B2331" s="29" t="s">
        <v>1970</v>
      </c>
      <c r="C2331" s="29" t="s">
        <v>11732</v>
      </c>
      <c r="D2331" s="29" t="str">
        <f>VLOOKUP(C:C,'COUNT-CONT'!B:C,2,FALSE)</f>
        <v>North America</v>
      </c>
      <c r="E2331" s="29">
        <v>8</v>
      </c>
      <c r="F2331" s="28">
        <v>2767</v>
      </c>
      <c r="G2331" s="28">
        <v>3159642464</v>
      </c>
      <c r="H2331" s="29">
        <v>7.89</v>
      </c>
      <c r="I2331" s="142">
        <v>-71.55</v>
      </c>
      <c r="J2331" s="29">
        <v>6.44</v>
      </c>
      <c r="K2331" s="29">
        <v>6.44</v>
      </c>
      <c r="L2331" s="29">
        <v>10.4</v>
      </c>
      <c r="M2331" s="368"/>
      <c r="N2331" s="368"/>
      <c r="O2331" s="271">
        <f>IFERROR(Table17[[#This Row],[PROFIT]]/Table17[[#This Row],[TO]],0)</f>
        <v>0</v>
      </c>
      <c r="P2331" s="177"/>
      <c r="Q2331" s="177"/>
      <c r="R2331" s="177"/>
    </row>
    <row r="2332" spans="1:18" hidden="1" x14ac:dyDescent="0.25">
      <c r="A2332" s="29" t="s">
        <v>835</v>
      </c>
      <c r="B2332" s="29" t="s">
        <v>834</v>
      </c>
      <c r="C2332" s="29" t="s">
        <v>605</v>
      </c>
      <c r="D2332" s="29" t="str">
        <f>VLOOKUP(C:C,'COUNT-CONT'!B:C,2,FALSE)</f>
        <v>Europe</v>
      </c>
      <c r="E2332" s="29">
        <v>4</v>
      </c>
      <c r="F2332" s="28">
        <v>1801</v>
      </c>
      <c r="G2332" s="28">
        <v>2756971793</v>
      </c>
      <c r="H2332" s="29">
        <v>7.86</v>
      </c>
      <c r="I2332" s="142">
        <v>-71.58</v>
      </c>
      <c r="J2332" s="29">
        <v>3.36</v>
      </c>
      <c r="K2332" s="29">
        <v>2.93</v>
      </c>
      <c r="L2332" s="29">
        <v>7.04</v>
      </c>
      <c r="M2332" s="368"/>
      <c r="N2332" s="368"/>
      <c r="O2332" s="271">
        <f>IFERROR(Table17[[#This Row],[PROFIT]]/Table17[[#This Row],[TO]],0)</f>
        <v>0</v>
      </c>
      <c r="P2332" s="177"/>
      <c r="Q2332" s="177"/>
      <c r="R2332" s="177"/>
    </row>
    <row r="2333" spans="1:18" ht="30" hidden="1" x14ac:dyDescent="0.25">
      <c r="A2333" s="29" t="s">
        <v>1945</v>
      </c>
      <c r="B2333" s="29" t="s">
        <v>1944</v>
      </c>
      <c r="C2333" s="29" t="s">
        <v>11732</v>
      </c>
      <c r="D2333" s="29" t="str">
        <f>VLOOKUP(C:C,'COUNT-CONT'!B:C,2,FALSE)</f>
        <v>North America</v>
      </c>
      <c r="E2333" s="29">
        <v>5</v>
      </c>
      <c r="F2333" s="28">
        <v>2204</v>
      </c>
      <c r="G2333" s="28">
        <v>3198592558</v>
      </c>
      <c r="H2333" s="29">
        <v>7.86</v>
      </c>
      <c r="I2333" s="142">
        <v>-71.58</v>
      </c>
      <c r="J2333" s="29">
        <v>6.41</v>
      </c>
      <c r="K2333" s="29">
        <v>6.41</v>
      </c>
      <c r="L2333" s="29">
        <v>10.34</v>
      </c>
      <c r="M2333" s="368"/>
      <c r="N2333" s="368"/>
      <c r="O2333" s="271">
        <f>IFERROR(Table17[[#This Row],[PROFIT]]/Table17[[#This Row],[TO]],0)</f>
        <v>0</v>
      </c>
      <c r="P2333" s="177"/>
      <c r="Q2333" s="177"/>
      <c r="R2333" s="177"/>
    </row>
    <row r="2334" spans="1:18" ht="30" hidden="1" x14ac:dyDescent="0.25">
      <c r="A2334" s="29" t="s">
        <v>1248</v>
      </c>
      <c r="B2334" s="29" t="s">
        <v>1247</v>
      </c>
      <c r="C2334" s="29" t="s">
        <v>597</v>
      </c>
      <c r="D2334" s="29" t="str">
        <f>VLOOKUP(C:C,'COUNT-CONT'!B:C,2,FALSE)</f>
        <v>Europe</v>
      </c>
      <c r="E2334" s="29">
        <v>1</v>
      </c>
      <c r="F2334" s="28">
        <v>1136</v>
      </c>
      <c r="G2334" s="28">
        <v>3180609859</v>
      </c>
      <c r="H2334" s="29">
        <v>7.86</v>
      </c>
      <c r="I2334" s="142">
        <v>-71.58</v>
      </c>
      <c r="J2334" s="29">
        <v>4.6900000000000004</v>
      </c>
      <c r="K2334" s="29">
        <v>4.3499999999999996</v>
      </c>
      <c r="L2334" s="29">
        <v>8.3699999999999992</v>
      </c>
      <c r="M2334" s="368"/>
      <c r="N2334" s="368"/>
      <c r="O2334" s="271">
        <f>IFERROR(Table17[[#This Row],[PROFIT]]/Table17[[#This Row],[TO]],0)</f>
        <v>0</v>
      </c>
      <c r="P2334" s="177"/>
      <c r="Q2334" s="177"/>
      <c r="R2334" s="177"/>
    </row>
    <row r="2335" spans="1:18" ht="30" hidden="1" x14ac:dyDescent="0.25">
      <c r="A2335" s="29" t="s">
        <v>1445</v>
      </c>
      <c r="B2335" s="29" t="s">
        <v>1444</v>
      </c>
      <c r="C2335" s="29" t="s">
        <v>514</v>
      </c>
      <c r="D2335" s="29" t="str">
        <f>VLOOKUP(C:C,'COUNT-CONT'!B:C,2,FALSE)</f>
        <v>North America</v>
      </c>
      <c r="E2335" s="29">
        <v>1</v>
      </c>
      <c r="F2335" s="28">
        <v>1071</v>
      </c>
      <c r="G2335" s="28">
        <v>3323077497</v>
      </c>
      <c r="H2335" s="29">
        <v>7.86</v>
      </c>
      <c r="I2335" s="142">
        <v>-71.58</v>
      </c>
      <c r="J2335" s="29">
        <v>5.17</v>
      </c>
      <c r="K2335" s="29">
        <v>4.99</v>
      </c>
      <c r="L2335" s="29">
        <v>8.9499999999999993</v>
      </c>
      <c r="M2335" s="368"/>
      <c r="N2335" s="368"/>
      <c r="O2335" s="271">
        <f>IFERROR(Table17[[#This Row],[PROFIT]]/Table17[[#This Row],[TO]],0)</f>
        <v>0</v>
      </c>
      <c r="P2335" s="177"/>
      <c r="Q2335" s="177"/>
      <c r="R2335" s="177"/>
    </row>
    <row r="2336" spans="1:18" hidden="1" x14ac:dyDescent="0.25">
      <c r="A2336" s="29" t="s">
        <v>1178</v>
      </c>
      <c r="B2336" s="29" t="s">
        <v>1177</v>
      </c>
      <c r="C2336" s="29" t="s">
        <v>807</v>
      </c>
      <c r="D2336" s="29" t="str">
        <f>VLOOKUP(C:C,'COUNT-CONT'!B:C,2,FALSE)</f>
        <v>Europe</v>
      </c>
      <c r="E2336" s="29">
        <v>5</v>
      </c>
      <c r="F2336" s="28">
        <v>2003</v>
      </c>
      <c r="G2336" s="28">
        <v>2834276235</v>
      </c>
      <c r="H2336" s="29">
        <v>7.83</v>
      </c>
      <c r="I2336" s="142">
        <v>-71.61</v>
      </c>
      <c r="J2336" s="29">
        <v>4.38</v>
      </c>
      <c r="K2336" s="29">
        <v>4.2300000000000004</v>
      </c>
      <c r="L2336" s="29">
        <v>8.16</v>
      </c>
      <c r="M2336" s="368"/>
      <c r="N2336" s="368"/>
      <c r="O2336" s="271">
        <f>IFERROR(Table17[[#This Row],[PROFIT]]/Table17[[#This Row],[TO]],0)</f>
        <v>0</v>
      </c>
      <c r="P2336" s="177"/>
      <c r="Q2336" s="177"/>
      <c r="R2336" s="177"/>
    </row>
    <row r="2337" spans="1:18" ht="30" hidden="1" x14ac:dyDescent="0.25">
      <c r="A2337" s="29" t="s">
        <v>1922</v>
      </c>
      <c r="B2337" s="29" t="s">
        <v>1921</v>
      </c>
      <c r="C2337" s="29" t="s">
        <v>11732</v>
      </c>
      <c r="D2337" s="29" t="str">
        <f>VLOOKUP(C:C,'COUNT-CONT'!B:C,2,FALSE)</f>
        <v>North America</v>
      </c>
      <c r="E2337" s="29">
        <v>5</v>
      </c>
      <c r="F2337" s="28">
        <v>2139</v>
      </c>
      <c r="G2337" s="28">
        <v>3197658999</v>
      </c>
      <c r="H2337" s="29">
        <v>7.8</v>
      </c>
      <c r="I2337" s="142">
        <v>-71.64</v>
      </c>
      <c r="J2337" s="29">
        <v>6.35</v>
      </c>
      <c r="K2337" s="29">
        <v>6.35</v>
      </c>
      <c r="L2337" s="29">
        <v>10.28</v>
      </c>
      <c r="M2337" s="368"/>
      <c r="N2337" s="368"/>
      <c r="O2337" s="271">
        <f>IFERROR(Table17[[#This Row],[PROFIT]]/Table17[[#This Row],[TO]],0)</f>
        <v>0</v>
      </c>
      <c r="P2337" s="177"/>
      <c r="Q2337" s="177"/>
      <c r="R2337" s="177"/>
    </row>
    <row r="2338" spans="1:18" hidden="1" x14ac:dyDescent="0.25">
      <c r="A2338" s="29" t="s">
        <v>904</v>
      </c>
      <c r="B2338" s="29" t="s">
        <v>903</v>
      </c>
      <c r="C2338" s="29" t="s">
        <v>630</v>
      </c>
      <c r="D2338" s="29" t="str">
        <f>VLOOKUP(C:C,'COUNT-CONT'!B:C,2,FALSE)</f>
        <v>Europe</v>
      </c>
      <c r="E2338" s="29">
        <v>2</v>
      </c>
      <c r="F2338" s="28">
        <v>1501</v>
      </c>
      <c r="G2338" s="28">
        <v>2862244770</v>
      </c>
      <c r="H2338" s="29">
        <v>7.8</v>
      </c>
      <c r="I2338" s="142">
        <v>-71.64</v>
      </c>
      <c r="J2338" s="29">
        <v>3.66</v>
      </c>
      <c r="K2338" s="29">
        <v>3.23</v>
      </c>
      <c r="L2338" s="29">
        <v>7.35</v>
      </c>
      <c r="M2338" s="368"/>
      <c r="N2338" s="368"/>
      <c r="O2338" s="271">
        <f>IFERROR(Table17[[#This Row],[PROFIT]]/Table17[[#This Row],[TO]],0)</f>
        <v>0</v>
      </c>
      <c r="P2338" s="177"/>
      <c r="Q2338" s="177"/>
      <c r="R2338" s="177"/>
    </row>
    <row r="2339" spans="1:18" ht="30" hidden="1" x14ac:dyDescent="0.25">
      <c r="A2339" s="29" t="s">
        <v>1924</v>
      </c>
      <c r="B2339" s="29" t="s">
        <v>1923</v>
      </c>
      <c r="C2339" s="29" t="s">
        <v>11732</v>
      </c>
      <c r="D2339" s="29" t="str">
        <f>VLOOKUP(C:C,'COUNT-CONT'!B:C,2,FALSE)</f>
        <v>North America</v>
      </c>
      <c r="E2339" s="29">
        <v>9</v>
      </c>
      <c r="F2339" s="28">
        <v>3147</v>
      </c>
      <c r="G2339" s="28">
        <v>3133539243</v>
      </c>
      <c r="H2339" s="29">
        <v>7.8</v>
      </c>
      <c r="I2339" s="142">
        <v>-71.64</v>
      </c>
      <c r="J2339" s="29">
        <v>6.35</v>
      </c>
      <c r="K2339" s="29">
        <v>6.35</v>
      </c>
      <c r="L2339" s="29">
        <v>10.28</v>
      </c>
      <c r="M2339" s="368"/>
      <c r="N2339" s="368"/>
      <c r="O2339" s="271">
        <f>IFERROR(Table17[[#This Row],[PROFIT]]/Table17[[#This Row],[TO]],0)</f>
        <v>0</v>
      </c>
      <c r="P2339" s="177"/>
      <c r="Q2339" s="177"/>
      <c r="R2339" s="177"/>
    </row>
    <row r="2340" spans="1:18" hidden="1" x14ac:dyDescent="0.25">
      <c r="A2340" s="29" t="s">
        <v>1174</v>
      </c>
      <c r="B2340" s="29" t="s">
        <v>1173</v>
      </c>
      <c r="C2340" s="29" t="s">
        <v>807</v>
      </c>
      <c r="D2340" s="29" t="str">
        <f>VLOOKUP(C:C,'COUNT-CONT'!B:C,2,FALSE)</f>
        <v>Europe</v>
      </c>
      <c r="E2340" s="29">
        <v>6</v>
      </c>
      <c r="F2340" s="28">
        <v>2302</v>
      </c>
      <c r="G2340" s="28">
        <v>2791245351</v>
      </c>
      <c r="H2340" s="29">
        <v>7.8</v>
      </c>
      <c r="I2340" s="142">
        <v>-71.64</v>
      </c>
      <c r="J2340" s="29">
        <v>4.38</v>
      </c>
      <c r="K2340" s="29">
        <v>4.2300000000000004</v>
      </c>
      <c r="L2340" s="29">
        <v>8.1300000000000008</v>
      </c>
      <c r="M2340" s="368"/>
      <c r="N2340" s="368"/>
      <c r="O2340" s="271">
        <f>IFERROR(Table17[[#This Row],[PROFIT]]/Table17[[#This Row],[TO]],0)</f>
        <v>0</v>
      </c>
      <c r="P2340" s="177"/>
      <c r="Q2340" s="177"/>
      <c r="R2340" s="177"/>
    </row>
    <row r="2341" spans="1:18" ht="30" hidden="1" x14ac:dyDescent="0.25">
      <c r="A2341" s="29" t="s">
        <v>1912</v>
      </c>
      <c r="B2341" s="29" t="s">
        <v>1911</v>
      </c>
      <c r="C2341" s="29" t="s">
        <v>11732</v>
      </c>
      <c r="D2341" s="29" t="str">
        <f>VLOOKUP(C:C,'COUNT-CONT'!B:C,2,FALSE)</f>
        <v>North America</v>
      </c>
      <c r="E2341" s="29">
        <v>4</v>
      </c>
      <c r="F2341" s="28">
        <v>1977</v>
      </c>
      <c r="G2341" s="28">
        <v>3218898583</v>
      </c>
      <c r="H2341" s="29">
        <v>7.77</v>
      </c>
      <c r="I2341" s="142">
        <v>-71.67</v>
      </c>
      <c r="J2341" s="29">
        <v>6.35</v>
      </c>
      <c r="K2341" s="29">
        <v>6.35</v>
      </c>
      <c r="L2341" s="29">
        <v>10.25</v>
      </c>
      <c r="M2341" s="368"/>
      <c r="N2341" s="368"/>
      <c r="O2341" s="271">
        <f>IFERROR(Table17[[#This Row],[PROFIT]]/Table17[[#This Row],[TO]],0)</f>
        <v>0</v>
      </c>
      <c r="P2341" s="177"/>
      <c r="Q2341" s="177"/>
      <c r="R2341" s="177"/>
    </row>
    <row r="2342" spans="1:18" hidden="1" x14ac:dyDescent="0.25">
      <c r="A2342" s="29" t="s">
        <v>555</v>
      </c>
      <c r="B2342" s="29" t="s">
        <v>554</v>
      </c>
      <c r="C2342" s="29" t="s">
        <v>542</v>
      </c>
      <c r="D2342" s="29" t="str">
        <f>VLOOKUP(C:C,'COUNT-CONT'!B:C,2,FALSE)</f>
        <v>Africa</v>
      </c>
      <c r="E2342" s="29">
        <v>3</v>
      </c>
      <c r="F2342" s="28">
        <v>1650</v>
      </c>
      <c r="G2342" s="28">
        <v>2554866666</v>
      </c>
      <c r="H2342" s="29">
        <v>7.77</v>
      </c>
      <c r="I2342" s="142">
        <v>-71.67</v>
      </c>
      <c r="J2342" s="29">
        <v>1.36</v>
      </c>
      <c r="K2342" s="29">
        <v>0.56999999999999995</v>
      </c>
      <c r="L2342" s="29">
        <v>4.87</v>
      </c>
      <c r="M2342" s="368"/>
      <c r="N2342" s="368"/>
      <c r="O2342" s="271">
        <f>IFERROR(Table17[[#This Row],[PROFIT]]/Table17[[#This Row],[TO]],0)</f>
        <v>0</v>
      </c>
      <c r="P2342" s="177"/>
      <c r="Q2342" s="177"/>
      <c r="R2342" s="177"/>
    </row>
    <row r="2343" spans="1:18" ht="30" hidden="1" x14ac:dyDescent="0.25">
      <c r="A2343" s="29" t="s">
        <v>1411</v>
      </c>
      <c r="B2343" s="29" t="s">
        <v>1410</v>
      </c>
      <c r="C2343" s="29" t="s">
        <v>514</v>
      </c>
      <c r="D2343" s="29" t="str">
        <f>VLOOKUP(C:C,'COUNT-CONT'!B:C,2,FALSE)</f>
        <v>North America</v>
      </c>
      <c r="E2343" s="29">
        <v>3</v>
      </c>
      <c r="F2343" s="28">
        <v>1678</v>
      </c>
      <c r="G2343" s="28">
        <v>2997742312</v>
      </c>
      <c r="H2343" s="29">
        <v>7.77</v>
      </c>
      <c r="I2343" s="142">
        <v>-71.67</v>
      </c>
      <c r="J2343" s="29">
        <v>5.1100000000000003</v>
      </c>
      <c r="K2343" s="29">
        <v>4.93</v>
      </c>
      <c r="L2343" s="29">
        <v>8.83</v>
      </c>
      <c r="M2343" s="368"/>
      <c r="N2343" s="368"/>
      <c r="O2343" s="271">
        <f>IFERROR(Table17[[#This Row],[PROFIT]]/Table17[[#This Row],[TO]],0)</f>
        <v>0</v>
      </c>
      <c r="P2343" s="177"/>
      <c r="Q2343" s="177"/>
      <c r="R2343" s="177"/>
    </row>
    <row r="2344" spans="1:18" hidden="1" x14ac:dyDescent="0.25">
      <c r="A2344" s="29" t="s">
        <v>1902</v>
      </c>
      <c r="B2344" s="29" t="s">
        <v>1901</v>
      </c>
      <c r="C2344" s="29" t="s">
        <v>560</v>
      </c>
      <c r="D2344" s="29" t="str">
        <f>VLOOKUP(C:C,'COUNT-CONT'!B:C,2,FALSE)</f>
        <v>Europe</v>
      </c>
      <c r="E2344" s="29">
        <v>4</v>
      </c>
      <c r="F2344" s="28">
        <v>1884</v>
      </c>
      <c r="G2344" s="28">
        <v>3233864118</v>
      </c>
      <c r="H2344" s="29">
        <v>7.74</v>
      </c>
      <c r="I2344" s="142">
        <v>-71.7</v>
      </c>
      <c r="J2344" s="29">
        <v>6.32</v>
      </c>
      <c r="K2344" s="29">
        <v>6.32</v>
      </c>
      <c r="L2344" s="29">
        <v>10.220000000000001</v>
      </c>
      <c r="M2344" s="368"/>
      <c r="N2344" s="368"/>
      <c r="O2344" s="271">
        <f>IFERROR(Table17[[#This Row],[PROFIT]]/Table17[[#This Row],[TO]],0)</f>
        <v>0</v>
      </c>
      <c r="P2344" s="177"/>
      <c r="Q2344" s="177"/>
      <c r="R2344" s="177"/>
    </row>
    <row r="2345" spans="1:18" ht="30" hidden="1" x14ac:dyDescent="0.25">
      <c r="A2345" s="29" t="s">
        <v>1898</v>
      </c>
      <c r="B2345" s="29" t="s">
        <v>1897</v>
      </c>
      <c r="C2345" s="29" t="s">
        <v>11732</v>
      </c>
      <c r="D2345" s="29" t="str">
        <f>VLOOKUP(C:C,'COUNT-CONT'!B:C,2,FALSE)</f>
        <v>North America</v>
      </c>
      <c r="E2345" s="29">
        <v>9</v>
      </c>
      <c r="F2345" s="28">
        <v>3055</v>
      </c>
      <c r="G2345" s="28">
        <v>3123665466</v>
      </c>
      <c r="H2345" s="29">
        <v>7.74</v>
      </c>
      <c r="I2345" s="142">
        <v>-71.7</v>
      </c>
      <c r="J2345" s="29">
        <v>6.29</v>
      </c>
      <c r="K2345" s="29">
        <v>6.29</v>
      </c>
      <c r="L2345" s="29">
        <v>10.19</v>
      </c>
      <c r="M2345" s="368"/>
      <c r="N2345" s="368"/>
      <c r="O2345" s="271">
        <f>IFERROR(Table17[[#This Row],[PROFIT]]/Table17[[#This Row],[TO]],0)</f>
        <v>0</v>
      </c>
      <c r="P2345" s="177"/>
      <c r="Q2345" s="177"/>
      <c r="R2345" s="177"/>
    </row>
    <row r="2346" spans="1:18" hidden="1" x14ac:dyDescent="0.25">
      <c r="A2346" s="29" t="s">
        <v>673</v>
      </c>
      <c r="B2346" s="29" t="s">
        <v>672</v>
      </c>
      <c r="C2346" s="29" t="s">
        <v>493</v>
      </c>
      <c r="D2346" s="29" t="str">
        <f>VLOOKUP(C:C,'COUNT-CONT'!B:C,2,FALSE)</f>
        <v>Africa</v>
      </c>
      <c r="E2346" s="29">
        <v>8</v>
      </c>
      <c r="F2346" s="28">
        <v>1500</v>
      </c>
      <c r="G2346" s="28">
        <v>2735533333</v>
      </c>
      <c r="H2346" s="29">
        <v>7.74</v>
      </c>
      <c r="I2346" s="142">
        <v>-71.7</v>
      </c>
      <c r="J2346" s="29">
        <v>2.48</v>
      </c>
      <c r="K2346" s="29">
        <v>1.78</v>
      </c>
      <c r="L2346" s="29">
        <v>5.96</v>
      </c>
      <c r="M2346" s="368"/>
      <c r="N2346" s="368"/>
      <c r="O2346" s="271">
        <f>IFERROR(Table17[[#This Row],[PROFIT]]/Table17[[#This Row],[TO]],0)</f>
        <v>0</v>
      </c>
      <c r="P2346" s="177"/>
      <c r="Q2346" s="177"/>
      <c r="R2346" s="177"/>
    </row>
    <row r="2347" spans="1:18" ht="30" hidden="1" x14ac:dyDescent="0.25">
      <c r="A2347" s="29" t="s">
        <v>1896</v>
      </c>
      <c r="B2347" s="29" t="s">
        <v>1895</v>
      </c>
      <c r="C2347" s="29" t="s">
        <v>11732</v>
      </c>
      <c r="D2347" s="29" t="str">
        <f>VLOOKUP(C:C,'COUNT-CONT'!B:C,2,FALSE)</f>
        <v>North America</v>
      </c>
      <c r="E2347" s="29">
        <v>6</v>
      </c>
      <c r="F2347" s="28">
        <v>2442</v>
      </c>
      <c r="G2347" s="28">
        <v>3154550450</v>
      </c>
      <c r="H2347" s="29">
        <v>7.74</v>
      </c>
      <c r="I2347" s="142">
        <v>-71.7</v>
      </c>
      <c r="J2347" s="29">
        <v>6.32</v>
      </c>
      <c r="K2347" s="29">
        <v>6.32</v>
      </c>
      <c r="L2347" s="29">
        <v>10.19</v>
      </c>
      <c r="M2347" s="368"/>
      <c r="N2347" s="368"/>
      <c r="O2347" s="271">
        <f>IFERROR(Table17[[#This Row],[PROFIT]]/Table17[[#This Row],[TO]],0)</f>
        <v>0</v>
      </c>
      <c r="P2347" s="177"/>
      <c r="Q2347" s="177"/>
      <c r="R2347" s="177"/>
    </row>
    <row r="2348" spans="1:18" ht="30" hidden="1" x14ac:dyDescent="0.25">
      <c r="A2348" s="29" t="s">
        <v>1401</v>
      </c>
      <c r="B2348" s="29" t="s">
        <v>1400</v>
      </c>
      <c r="C2348" s="29" t="s">
        <v>514</v>
      </c>
      <c r="D2348" s="29" t="str">
        <f>VLOOKUP(C:C,'COUNT-CONT'!B:C,2,FALSE)</f>
        <v>North America</v>
      </c>
      <c r="E2348" s="29">
        <v>2</v>
      </c>
      <c r="F2348" s="28">
        <v>1292</v>
      </c>
      <c r="G2348" s="28">
        <v>3151793188</v>
      </c>
      <c r="H2348" s="29">
        <v>7.74</v>
      </c>
      <c r="I2348" s="142">
        <v>-71.7</v>
      </c>
      <c r="J2348" s="29">
        <v>5.1100000000000003</v>
      </c>
      <c r="K2348" s="29">
        <v>4.93</v>
      </c>
      <c r="L2348" s="29">
        <v>8.8000000000000007</v>
      </c>
      <c r="M2348" s="368"/>
      <c r="N2348" s="368"/>
      <c r="O2348" s="271">
        <f>IFERROR(Table17[[#This Row],[PROFIT]]/Table17[[#This Row],[TO]],0)</f>
        <v>0</v>
      </c>
      <c r="P2348" s="177"/>
      <c r="Q2348" s="177"/>
      <c r="R2348" s="177"/>
    </row>
    <row r="2349" spans="1:18" hidden="1" x14ac:dyDescent="0.25">
      <c r="A2349" s="29" t="s">
        <v>1053</v>
      </c>
      <c r="B2349" s="29" t="s">
        <v>1052</v>
      </c>
      <c r="C2349" s="29" t="s">
        <v>585</v>
      </c>
      <c r="D2349" s="29" t="str">
        <f>VLOOKUP(C:C,'COUNT-CONT'!B:C,2,FALSE)</f>
        <v>Europe</v>
      </c>
      <c r="E2349" s="29">
        <v>3</v>
      </c>
      <c r="F2349" s="28">
        <v>1503</v>
      </c>
      <c r="G2349" s="28">
        <v>2930269594</v>
      </c>
      <c r="H2349" s="29">
        <v>7.71</v>
      </c>
      <c r="I2349" s="142">
        <v>-71.73</v>
      </c>
      <c r="J2349" s="29">
        <v>4.2300000000000004</v>
      </c>
      <c r="K2349" s="29">
        <v>3.93</v>
      </c>
      <c r="L2349" s="29">
        <v>7.89</v>
      </c>
      <c r="M2349" s="368"/>
      <c r="N2349" s="368"/>
      <c r="O2349" s="271">
        <f>IFERROR(Table17[[#This Row],[PROFIT]]/Table17[[#This Row],[TO]],0)</f>
        <v>0</v>
      </c>
      <c r="P2349" s="177"/>
      <c r="Q2349" s="177"/>
      <c r="R2349" s="177"/>
    </row>
    <row r="2350" spans="1:18" hidden="1" x14ac:dyDescent="0.25">
      <c r="A2350" s="29" t="s">
        <v>1869</v>
      </c>
      <c r="B2350" s="29" t="s">
        <v>1868</v>
      </c>
      <c r="C2350" s="29" t="s">
        <v>560</v>
      </c>
      <c r="D2350" s="29" t="str">
        <f>VLOOKUP(C:C,'COUNT-CONT'!B:C,2,FALSE)</f>
        <v>Europe</v>
      </c>
      <c r="E2350" s="29">
        <v>4</v>
      </c>
      <c r="F2350" s="28">
        <v>1829</v>
      </c>
      <c r="G2350" s="28">
        <v>3233121541</v>
      </c>
      <c r="H2350" s="29">
        <v>7.68</v>
      </c>
      <c r="I2350" s="142">
        <v>-71.759999999999991</v>
      </c>
      <c r="J2350" s="29">
        <v>6.26</v>
      </c>
      <c r="K2350" s="29">
        <v>6.26</v>
      </c>
      <c r="L2350" s="29">
        <v>10.130000000000001</v>
      </c>
      <c r="M2350" s="368"/>
      <c r="N2350" s="368"/>
      <c r="O2350" s="271">
        <f>IFERROR(Table17[[#This Row],[PROFIT]]/Table17[[#This Row],[TO]],0)</f>
        <v>0</v>
      </c>
      <c r="P2350" s="177"/>
      <c r="Q2350" s="177"/>
      <c r="R2350" s="177"/>
    </row>
    <row r="2351" spans="1:18" hidden="1" x14ac:dyDescent="0.25">
      <c r="A2351" s="29" t="s">
        <v>724</v>
      </c>
      <c r="B2351" s="29" t="s">
        <v>723</v>
      </c>
      <c r="C2351" s="29" t="s">
        <v>722</v>
      </c>
      <c r="D2351" s="29" t="str">
        <f>VLOOKUP(C:C,'COUNT-CONT'!B:C,2,FALSE)</f>
        <v>Europe</v>
      </c>
      <c r="E2351" s="29">
        <v>6</v>
      </c>
      <c r="F2351" s="28">
        <v>2501</v>
      </c>
      <c r="G2351" s="28">
        <v>2423424070</v>
      </c>
      <c r="H2351" s="29">
        <v>7.68</v>
      </c>
      <c r="I2351" s="142">
        <v>-71.759999999999991</v>
      </c>
      <c r="J2351" s="29">
        <v>2.75</v>
      </c>
      <c r="K2351" s="29">
        <v>2.27</v>
      </c>
      <c r="L2351" s="29">
        <v>6.29</v>
      </c>
      <c r="M2351" s="368"/>
      <c r="N2351" s="368"/>
      <c r="O2351" s="271">
        <f>IFERROR(Table17[[#This Row],[PROFIT]]/Table17[[#This Row],[TO]],0)</f>
        <v>0</v>
      </c>
      <c r="P2351" s="177"/>
      <c r="Q2351" s="177"/>
      <c r="R2351" s="177"/>
    </row>
    <row r="2352" spans="1:18" hidden="1" x14ac:dyDescent="0.25">
      <c r="A2352" s="29" t="s">
        <v>719</v>
      </c>
      <c r="B2352" s="29" t="s">
        <v>718</v>
      </c>
      <c r="C2352" s="29" t="s">
        <v>717</v>
      </c>
      <c r="D2352" s="29" t="str">
        <f>VLOOKUP(C:C,'COUNT-CONT'!B:C,2,FALSE)</f>
        <v>Asia</v>
      </c>
      <c r="E2352" s="29">
        <v>1</v>
      </c>
      <c r="F2352" s="28">
        <v>1075</v>
      </c>
      <c r="G2352" s="28">
        <v>2864355813</v>
      </c>
      <c r="H2352" s="29">
        <v>7.68</v>
      </c>
      <c r="I2352" s="142">
        <v>-71.759999999999991</v>
      </c>
      <c r="J2352" s="29">
        <v>2.75</v>
      </c>
      <c r="K2352" s="29">
        <v>2.27</v>
      </c>
      <c r="L2352" s="29">
        <v>6.29</v>
      </c>
      <c r="M2352" s="368"/>
      <c r="N2352" s="368"/>
      <c r="O2352" s="271">
        <f>IFERROR(Table17[[#This Row],[PROFIT]]/Table17[[#This Row],[TO]],0)</f>
        <v>0</v>
      </c>
      <c r="P2352" s="177"/>
      <c r="Q2352" s="177"/>
      <c r="R2352" s="177"/>
    </row>
    <row r="2353" spans="1:18" ht="30" hidden="1" x14ac:dyDescent="0.25">
      <c r="A2353" s="29" t="s">
        <v>1381</v>
      </c>
      <c r="B2353" s="29" t="s">
        <v>1380</v>
      </c>
      <c r="C2353" s="29" t="s">
        <v>514</v>
      </c>
      <c r="D2353" s="29" t="str">
        <f>VLOOKUP(C:C,'COUNT-CONT'!B:C,2,FALSE)</f>
        <v>North America</v>
      </c>
      <c r="E2353" s="29">
        <v>1</v>
      </c>
      <c r="F2353" s="28">
        <v>1037</v>
      </c>
      <c r="G2353" s="28">
        <v>3324552169</v>
      </c>
      <c r="H2353" s="29">
        <v>7.68</v>
      </c>
      <c r="I2353" s="142">
        <v>-71.759999999999991</v>
      </c>
      <c r="J2353" s="29">
        <v>5.05</v>
      </c>
      <c r="K2353" s="29">
        <v>4.87</v>
      </c>
      <c r="L2353" s="29">
        <v>8.74</v>
      </c>
      <c r="M2353" s="368"/>
      <c r="N2353" s="368"/>
      <c r="O2353" s="271">
        <f>IFERROR(Table17[[#This Row],[PROFIT]]/Table17[[#This Row],[TO]],0)</f>
        <v>0</v>
      </c>
      <c r="P2353" s="177"/>
      <c r="Q2353" s="177"/>
      <c r="R2353" s="177"/>
    </row>
    <row r="2354" spans="1:18" ht="30" hidden="1" x14ac:dyDescent="0.25">
      <c r="A2354" s="29" t="s">
        <v>1846</v>
      </c>
      <c r="B2354" s="29" t="s">
        <v>1845</v>
      </c>
      <c r="C2354" s="29" t="s">
        <v>11732</v>
      </c>
      <c r="D2354" s="29" t="str">
        <f>VLOOKUP(C:C,'COUNT-CONT'!B:C,2,FALSE)</f>
        <v>North America</v>
      </c>
      <c r="E2354" s="29">
        <v>9</v>
      </c>
      <c r="F2354" s="28">
        <v>3207</v>
      </c>
      <c r="G2354" s="28">
        <v>3105799688</v>
      </c>
      <c r="H2354" s="29">
        <v>7.65</v>
      </c>
      <c r="I2354" s="142">
        <v>-71.789999999999992</v>
      </c>
      <c r="J2354" s="29">
        <v>6.23</v>
      </c>
      <c r="K2354" s="29">
        <v>6.23</v>
      </c>
      <c r="L2354" s="29">
        <v>10.07</v>
      </c>
      <c r="M2354" s="368"/>
      <c r="N2354" s="368"/>
      <c r="O2354" s="271">
        <f>IFERROR(Table17[[#This Row],[PROFIT]]/Table17[[#This Row],[TO]],0)</f>
        <v>0</v>
      </c>
      <c r="P2354" s="177"/>
      <c r="Q2354" s="177"/>
      <c r="R2354" s="177"/>
    </row>
    <row r="2355" spans="1:18" ht="30" hidden="1" x14ac:dyDescent="0.25">
      <c r="A2355" s="29" t="s">
        <v>1836</v>
      </c>
      <c r="B2355" s="29" t="s">
        <v>1835</v>
      </c>
      <c r="C2355" s="29" t="s">
        <v>11732</v>
      </c>
      <c r="D2355" s="29" t="str">
        <f>VLOOKUP(C:C,'COUNT-CONT'!B:C,2,FALSE)</f>
        <v>North America</v>
      </c>
      <c r="E2355" s="29">
        <v>4</v>
      </c>
      <c r="F2355" s="28">
        <v>1985</v>
      </c>
      <c r="G2355" s="28">
        <v>3195056171</v>
      </c>
      <c r="H2355" s="29">
        <v>7.65</v>
      </c>
      <c r="I2355" s="142">
        <v>-71.789999999999992</v>
      </c>
      <c r="J2355" s="29">
        <v>6.23</v>
      </c>
      <c r="K2355" s="29">
        <v>6.23</v>
      </c>
      <c r="L2355" s="29">
        <v>10.07</v>
      </c>
      <c r="M2355" s="368"/>
      <c r="N2355" s="368"/>
      <c r="O2355" s="271">
        <f>IFERROR(Table17[[#This Row],[PROFIT]]/Table17[[#This Row],[TO]],0)</f>
        <v>0</v>
      </c>
      <c r="P2355" s="177"/>
      <c r="Q2355" s="177"/>
      <c r="R2355" s="177"/>
    </row>
    <row r="2356" spans="1:18" ht="30" hidden="1" x14ac:dyDescent="0.25">
      <c r="A2356" s="29" t="s">
        <v>1370</v>
      </c>
      <c r="B2356" s="29" t="s">
        <v>1369</v>
      </c>
      <c r="C2356" s="29" t="s">
        <v>514</v>
      </c>
      <c r="D2356" s="29" t="str">
        <f>VLOOKUP(C:C,'COUNT-CONT'!B:C,2,FALSE)</f>
        <v>North America</v>
      </c>
      <c r="E2356" s="29">
        <v>2</v>
      </c>
      <c r="F2356" s="28">
        <v>1502</v>
      </c>
      <c r="G2356" s="28">
        <v>3040956857</v>
      </c>
      <c r="H2356" s="29">
        <v>7.65</v>
      </c>
      <c r="I2356" s="142">
        <v>-71.789999999999992</v>
      </c>
      <c r="J2356" s="29">
        <v>5.05</v>
      </c>
      <c r="K2356" s="29">
        <v>4.87</v>
      </c>
      <c r="L2356" s="29">
        <v>8.7100000000000009</v>
      </c>
      <c r="M2356" s="368"/>
      <c r="N2356" s="368"/>
      <c r="O2356" s="271">
        <f>IFERROR(Table17[[#This Row],[PROFIT]]/Table17[[#This Row],[TO]],0)</f>
        <v>0</v>
      </c>
      <c r="P2356" s="177"/>
      <c r="Q2356" s="177"/>
      <c r="R2356" s="177"/>
    </row>
    <row r="2357" spans="1:18" ht="30" hidden="1" x14ac:dyDescent="0.25">
      <c r="A2357" s="29" t="s">
        <v>1356</v>
      </c>
      <c r="B2357" s="29" t="s">
        <v>1355</v>
      </c>
      <c r="C2357" s="29" t="s">
        <v>514</v>
      </c>
      <c r="D2357" s="29" t="str">
        <f>VLOOKUP(C:C,'COUNT-CONT'!B:C,2,FALSE)</f>
        <v>North America</v>
      </c>
      <c r="E2357" s="29">
        <v>3</v>
      </c>
      <c r="F2357" s="28">
        <v>1541</v>
      </c>
      <c r="G2357" s="28">
        <v>3023122193</v>
      </c>
      <c r="H2357" s="29">
        <v>7.65</v>
      </c>
      <c r="I2357" s="142">
        <v>-71.789999999999992</v>
      </c>
      <c r="J2357" s="29">
        <v>5.0199999999999996</v>
      </c>
      <c r="K2357" s="29">
        <v>4.87</v>
      </c>
      <c r="L2357" s="29">
        <v>8.68</v>
      </c>
      <c r="M2357" s="368"/>
      <c r="N2357" s="368"/>
      <c r="O2357" s="271">
        <f>IFERROR(Table17[[#This Row],[PROFIT]]/Table17[[#This Row],[TO]],0)</f>
        <v>0</v>
      </c>
      <c r="P2357" s="177"/>
      <c r="Q2357" s="177"/>
      <c r="R2357" s="177"/>
    </row>
    <row r="2358" spans="1:18" ht="30" hidden="1" x14ac:dyDescent="0.25">
      <c r="A2358" s="29" t="s">
        <v>1347</v>
      </c>
      <c r="B2358" s="29" t="s">
        <v>1346</v>
      </c>
      <c r="C2358" s="29" t="s">
        <v>514</v>
      </c>
      <c r="D2358" s="29" t="str">
        <f>VLOOKUP(C:C,'COUNT-CONT'!B:C,2,FALSE)</f>
        <v>North America</v>
      </c>
      <c r="E2358" s="29">
        <v>1</v>
      </c>
      <c r="F2358" s="28">
        <v>1200</v>
      </c>
      <c r="G2358" s="28">
        <v>3191966666</v>
      </c>
      <c r="H2358" s="29">
        <v>7.65</v>
      </c>
      <c r="I2358" s="142">
        <v>-71.789999999999992</v>
      </c>
      <c r="J2358" s="29">
        <v>5.0199999999999996</v>
      </c>
      <c r="K2358" s="29">
        <v>4.87</v>
      </c>
      <c r="L2358" s="29">
        <v>8.68</v>
      </c>
      <c r="M2358" s="368"/>
      <c r="N2358" s="368"/>
      <c r="O2358" s="271">
        <f>IFERROR(Table17[[#This Row],[PROFIT]]/Table17[[#This Row],[TO]],0)</f>
        <v>0</v>
      </c>
      <c r="P2358" s="177"/>
      <c r="Q2358" s="177"/>
      <c r="R2358" s="177"/>
    </row>
    <row r="2359" spans="1:18" hidden="1" x14ac:dyDescent="0.25">
      <c r="A2359" s="29" t="s">
        <v>544</v>
      </c>
      <c r="B2359" s="29" t="s">
        <v>543</v>
      </c>
      <c r="C2359" s="29" t="s">
        <v>542</v>
      </c>
      <c r="D2359" s="29" t="str">
        <f>VLOOKUP(C:C,'COUNT-CONT'!B:C,2,FALSE)</f>
        <v>Africa</v>
      </c>
      <c r="E2359" s="29">
        <v>4</v>
      </c>
      <c r="F2359" s="28">
        <v>1800</v>
      </c>
      <c r="G2359" s="28">
        <v>2503111111</v>
      </c>
      <c r="H2359" s="29">
        <v>7.62</v>
      </c>
      <c r="I2359" s="142">
        <v>-71.819999999999993</v>
      </c>
      <c r="J2359" s="29">
        <v>1.33</v>
      </c>
      <c r="K2359" s="29">
        <v>0.54</v>
      </c>
      <c r="L2359" s="29">
        <v>4.78</v>
      </c>
      <c r="M2359" s="368"/>
      <c r="N2359" s="368"/>
      <c r="O2359" s="271">
        <f>IFERROR(Table17[[#This Row],[PROFIT]]/Table17[[#This Row],[TO]],0)</f>
        <v>0</v>
      </c>
      <c r="P2359" s="177"/>
      <c r="Q2359" s="177"/>
      <c r="R2359" s="177"/>
    </row>
    <row r="2360" spans="1:18" ht="30" hidden="1" x14ac:dyDescent="0.25">
      <c r="A2360" s="29" t="s">
        <v>769</v>
      </c>
      <c r="B2360" s="29" t="s">
        <v>768</v>
      </c>
      <c r="C2360" s="29" t="s">
        <v>683</v>
      </c>
      <c r="D2360" s="29" t="str">
        <f>VLOOKUP(C:C,'COUNT-CONT'!B:C,2,FALSE)</f>
        <v>North America</v>
      </c>
      <c r="E2360" s="29">
        <v>4</v>
      </c>
      <c r="F2360" s="28">
        <v>1934</v>
      </c>
      <c r="G2360" s="28">
        <v>2534069389</v>
      </c>
      <c r="H2360" s="29">
        <v>7.62</v>
      </c>
      <c r="I2360" s="142">
        <v>-71.819999999999993</v>
      </c>
      <c r="J2360" s="29">
        <v>3.02</v>
      </c>
      <c r="K2360" s="29">
        <v>2.48</v>
      </c>
      <c r="L2360" s="29">
        <v>6.59</v>
      </c>
      <c r="M2360" s="368"/>
      <c r="N2360" s="368"/>
      <c r="O2360" s="271">
        <f>IFERROR(Table17[[#This Row],[PROFIT]]/Table17[[#This Row],[TO]],0)</f>
        <v>0</v>
      </c>
      <c r="P2360" s="177"/>
      <c r="Q2360" s="177"/>
      <c r="R2360" s="177"/>
    </row>
    <row r="2361" spans="1:18" hidden="1" x14ac:dyDescent="0.25">
      <c r="A2361" s="29" t="s">
        <v>1098</v>
      </c>
      <c r="B2361" s="29" t="s">
        <v>1097</v>
      </c>
      <c r="C2361" s="29" t="s">
        <v>807</v>
      </c>
      <c r="D2361" s="29" t="str">
        <f>VLOOKUP(C:C,'COUNT-CONT'!B:C,2,FALSE)</f>
        <v>Europe</v>
      </c>
      <c r="E2361" s="29">
        <v>4</v>
      </c>
      <c r="F2361" s="28">
        <v>2007</v>
      </c>
      <c r="G2361" s="28">
        <v>2804281714</v>
      </c>
      <c r="H2361" s="29">
        <v>7.62</v>
      </c>
      <c r="I2361" s="142">
        <v>-71.819999999999993</v>
      </c>
      <c r="J2361" s="29">
        <v>4.29</v>
      </c>
      <c r="K2361" s="29">
        <v>4.1100000000000003</v>
      </c>
      <c r="L2361" s="29">
        <v>7.95</v>
      </c>
      <c r="M2361" s="368"/>
      <c r="N2361" s="368"/>
      <c r="O2361" s="271">
        <f>IFERROR(Table17[[#This Row],[PROFIT]]/Table17[[#This Row],[TO]],0)</f>
        <v>0</v>
      </c>
      <c r="P2361" s="177"/>
      <c r="Q2361" s="177"/>
      <c r="R2361" s="177"/>
    </row>
    <row r="2362" spans="1:18" hidden="1" x14ac:dyDescent="0.25">
      <c r="A2362" s="29" t="s">
        <v>610</v>
      </c>
      <c r="B2362" s="29" t="s">
        <v>609</v>
      </c>
      <c r="C2362" s="29" t="s">
        <v>608</v>
      </c>
      <c r="D2362" s="29" t="str">
        <f>VLOOKUP(C:C,'COUNT-CONT'!B:C,2,FALSE)</f>
        <v>Africa</v>
      </c>
      <c r="E2362" s="29">
        <v>4</v>
      </c>
      <c r="F2362" s="28">
        <v>2000</v>
      </c>
      <c r="G2362" s="28">
        <v>2416600000</v>
      </c>
      <c r="H2362" s="29">
        <v>7.62</v>
      </c>
      <c r="I2362" s="142">
        <v>-71.819999999999993</v>
      </c>
      <c r="J2362" s="29">
        <v>1.93</v>
      </c>
      <c r="K2362" s="29">
        <v>1.3</v>
      </c>
      <c r="L2362" s="29">
        <v>5.44</v>
      </c>
      <c r="M2362" s="368"/>
      <c r="N2362" s="368"/>
      <c r="O2362" s="271">
        <f>IFERROR(Table17[[#This Row],[PROFIT]]/Table17[[#This Row],[TO]],0)</f>
        <v>0</v>
      </c>
      <c r="P2362" s="177"/>
      <c r="Q2362" s="177"/>
      <c r="R2362" s="177"/>
    </row>
    <row r="2363" spans="1:18" ht="30" hidden="1" x14ac:dyDescent="0.25">
      <c r="A2363" s="29" t="s">
        <v>765</v>
      </c>
      <c r="B2363" s="29" t="s">
        <v>764</v>
      </c>
      <c r="C2363" s="29" t="s">
        <v>683</v>
      </c>
      <c r="D2363" s="29" t="str">
        <f>VLOOKUP(C:C,'COUNT-CONT'!B:C,2,FALSE)</f>
        <v>North America</v>
      </c>
      <c r="E2363" s="29">
        <v>4</v>
      </c>
      <c r="F2363" s="28">
        <v>1821</v>
      </c>
      <c r="G2363" s="28">
        <v>2558063701</v>
      </c>
      <c r="H2363" s="29">
        <v>7.62</v>
      </c>
      <c r="I2363" s="142">
        <v>-71.819999999999993</v>
      </c>
      <c r="J2363" s="29">
        <v>3.02</v>
      </c>
      <c r="K2363" s="29">
        <v>2.48</v>
      </c>
      <c r="L2363" s="29">
        <v>6.59</v>
      </c>
      <c r="M2363" s="368"/>
      <c r="N2363" s="368"/>
      <c r="O2363" s="271">
        <f>IFERROR(Table17[[#This Row],[PROFIT]]/Table17[[#This Row],[TO]],0)</f>
        <v>0</v>
      </c>
      <c r="P2363" s="177"/>
      <c r="Q2363" s="177"/>
      <c r="R2363" s="177"/>
    </row>
    <row r="2364" spans="1:18" ht="30" hidden="1" x14ac:dyDescent="0.25">
      <c r="A2364" s="29" t="s">
        <v>1345</v>
      </c>
      <c r="B2364" s="29" t="s">
        <v>1344</v>
      </c>
      <c r="C2364" s="29" t="s">
        <v>514</v>
      </c>
      <c r="D2364" s="29" t="str">
        <f>VLOOKUP(C:C,'COUNT-CONT'!B:C,2,FALSE)</f>
        <v>North America</v>
      </c>
      <c r="E2364" s="29">
        <v>1</v>
      </c>
      <c r="F2364" s="28">
        <v>1068</v>
      </c>
      <c r="G2364" s="28">
        <v>3288862546</v>
      </c>
      <c r="H2364" s="29">
        <v>7.62</v>
      </c>
      <c r="I2364" s="142">
        <v>-71.819999999999993</v>
      </c>
      <c r="J2364" s="29">
        <v>5.0199999999999996</v>
      </c>
      <c r="K2364" s="29">
        <v>4.84</v>
      </c>
      <c r="L2364" s="29">
        <v>8.68</v>
      </c>
      <c r="M2364" s="368"/>
      <c r="N2364" s="368"/>
      <c r="O2364" s="271">
        <f>IFERROR(Table17[[#This Row],[PROFIT]]/Table17[[#This Row],[TO]],0)</f>
        <v>0</v>
      </c>
      <c r="P2364" s="177"/>
      <c r="Q2364" s="177"/>
      <c r="R2364" s="177"/>
    </row>
    <row r="2365" spans="1:18" ht="30" hidden="1" x14ac:dyDescent="0.25">
      <c r="A2365" s="29" t="s">
        <v>1824</v>
      </c>
      <c r="B2365" s="29" t="s">
        <v>1823</v>
      </c>
      <c r="C2365" s="29" t="s">
        <v>11732</v>
      </c>
      <c r="D2365" s="29" t="str">
        <f>VLOOKUP(C:C,'COUNT-CONT'!B:C,2,FALSE)</f>
        <v>North America</v>
      </c>
      <c r="E2365" s="29">
        <v>4</v>
      </c>
      <c r="F2365" s="28">
        <v>1833</v>
      </c>
      <c r="G2365" s="28">
        <v>3216209110</v>
      </c>
      <c r="H2365" s="29">
        <v>7.59</v>
      </c>
      <c r="I2365" s="142">
        <v>-71.849999999999994</v>
      </c>
      <c r="J2365" s="29">
        <v>6.2</v>
      </c>
      <c r="K2365" s="29">
        <v>6.2</v>
      </c>
      <c r="L2365" s="29">
        <v>10.01</v>
      </c>
      <c r="M2365" s="368"/>
      <c r="N2365" s="368"/>
      <c r="O2365" s="271">
        <f>IFERROR(Table17[[#This Row],[PROFIT]]/Table17[[#This Row],[TO]],0)</f>
        <v>0</v>
      </c>
      <c r="P2365" s="177"/>
      <c r="Q2365" s="177"/>
      <c r="R2365" s="177"/>
    </row>
    <row r="2366" spans="1:18" ht="30" hidden="1" x14ac:dyDescent="0.25">
      <c r="A2366" s="29" t="s">
        <v>743</v>
      </c>
      <c r="B2366" s="29" t="s">
        <v>742</v>
      </c>
      <c r="C2366" s="29" t="s">
        <v>505</v>
      </c>
      <c r="D2366" s="29" t="e">
        <f>VLOOKUP(C:C,'COUNT-CONT'!B:C,2,FALSE)</f>
        <v>#N/A</v>
      </c>
      <c r="E2366" s="29">
        <v>7</v>
      </c>
      <c r="F2366" s="28">
        <v>2551</v>
      </c>
      <c r="G2366" s="28">
        <v>2437403449</v>
      </c>
      <c r="H2366" s="29">
        <v>7.59</v>
      </c>
      <c r="I2366" s="142">
        <v>-71.849999999999994</v>
      </c>
      <c r="J2366" s="29">
        <v>2.93</v>
      </c>
      <c r="K2366" s="29">
        <v>2.42</v>
      </c>
      <c r="L2366" s="29">
        <v>6.44</v>
      </c>
      <c r="M2366" s="368"/>
      <c r="N2366" s="368"/>
      <c r="O2366" s="271">
        <f>IFERROR(Table17[[#This Row],[PROFIT]]/Table17[[#This Row],[TO]],0)</f>
        <v>0</v>
      </c>
      <c r="P2366" s="177"/>
      <c r="Q2366" s="177"/>
      <c r="R2366" s="177"/>
    </row>
    <row r="2367" spans="1:18" ht="30" hidden="1" x14ac:dyDescent="0.25">
      <c r="A2367" s="29" t="s">
        <v>1313</v>
      </c>
      <c r="B2367" s="29" t="s">
        <v>1312</v>
      </c>
      <c r="C2367" s="29" t="s">
        <v>514</v>
      </c>
      <c r="D2367" s="29" t="str">
        <f>VLOOKUP(C:C,'COUNT-CONT'!B:C,2,FALSE)</f>
        <v>North America</v>
      </c>
      <c r="E2367" s="29">
        <v>1</v>
      </c>
      <c r="F2367" s="28">
        <v>1068</v>
      </c>
      <c r="G2367" s="28">
        <v>3284062546</v>
      </c>
      <c r="H2367" s="29">
        <v>7.59</v>
      </c>
      <c r="I2367" s="142">
        <v>-71.849999999999994</v>
      </c>
      <c r="J2367" s="29">
        <v>4.99</v>
      </c>
      <c r="K2367" s="29">
        <v>4.8099999999999996</v>
      </c>
      <c r="L2367" s="29">
        <v>8.6199999999999992</v>
      </c>
      <c r="M2367" s="368"/>
      <c r="N2367" s="368"/>
      <c r="O2367" s="271">
        <f>IFERROR(Table17[[#This Row],[PROFIT]]/Table17[[#This Row],[TO]],0)</f>
        <v>0</v>
      </c>
      <c r="P2367" s="177"/>
      <c r="Q2367" s="177"/>
      <c r="R2367" s="177"/>
    </row>
    <row r="2368" spans="1:18" hidden="1" x14ac:dyDescent="0.25">
      <c r="A2368" s="29" t="s">
        <v>1818</v>
      </c>
      <c r="B2368" s="29" t="s">
        <v>1817</v>
      </c>
      <c r="C2368" s="29" t="s">
        <v>560</v>
      </c>
      <c r="D2368" s="29" t="str">
        <f>VLOOKUP(C:C,'COUNT-CONT'!B:C,2,FALSE)</f>
        <v>Europe</v>
      </c>
      <c r="E2368" s="29">
        <v>5</v>
      </c>
      <c r="F2368" s="28">
        <v>2184</v>
      </c>
      <c r="G2368" s="28">
        <v>3146863003</v>
      </c>
      <c r="H2368" s="29">
        <v>7.56</v>
      </c>
      <c r="I2368" s="142">
        <v>-71.88</v>
      </c>
      <c r="J2368" s="29">
        <v>6.14</v>
      </c>
      <c r="K2368" s="29">
        <v>6.14</v>
      </c>
      <c r="L2368" s="29">
        <v>9.9499999999999993</v>
      </c>
      <c r="M2368" s="368"/>
      <c r="N2368" s="368"/>
      <c r="O2368" s="271">
        <f>IFERROR(Table17[[#This Row],[PROFIT]]/Table17[[#This Row],[TO]],0)</f>
        <v>0</v>
      </c>
      <c r="P2368" s="177"/>
      <c r="Q2368" s="177"/>
      <c r="R2368" s="177"/>
    </row>
    <row r="2369" spans="1:18" hidden="1" x14ac:dyDescent="0.25">
      <c r="A2369" s="29" t="s">
        <v>1816</v>
      </c>
      <c r="B2369" s="29" t="s">
        <v>1815</v>
      </c>
      <c r="C2369" s="29" t="s">
        <v>560</v>
      </c>
      <c r="D2369" s="29" t="str">
        <f>VLOOKUP(C:C,'COUNT-CONT'!B:C,2,FALSE)</f>
        <v>Europe</v>
      </c>
      <c r="E2369" s="29">
        <v>3</v>
      </c>
      <c r="F2369" s="28">
        <v>1603</v>
      </c>
      <c r="G2369" s="28">
        <v>3274613349</v>
      </c>
      <c r="H2369" s="29">
        <v>7.56</v>
      </c>
      <c r="I2369" s="142">
        <v>-71.88</v>
      </c>
      <c r="J2369" s="29">
        <v>6.17</v>
      </c>
      <c r="K2369" s="29">
        <v>6.17</v>
      </c>
      <c r="L2369" s="29">
        <v>9.9499999999999993</v>
      </c>
      <c r="M2369" s="368"/>
      <c r="N2369" s="368"/>
      <c r="O2369" s="271">
        <f>IFERROR(Table17[[#This Row],[PROFIT]]/Table17[[#This Row],[TO]],0)</f>
        <v>0</v>
      </c>
      <c r="P2369" s="177"/>
      <c r="Q2369" s="177"/>
      <c r="R2369" s="177"/>
    </row>
    <row r="2370" spans="1:18" x14ac:dyDescent="0.25">
      <c r="A2370" s="29" t="s">
        <v>1139</v>
      </c>
      <c r="B2370" s="29" t="s">
        <v>1138</v>
      </c>
      <c r="C2370" s="29" t="s">
        <v>774</v>
      </c>
      <c r="D2370" s="29" t="str">
        <f>VLOOKUP(C:C,'COUNT-CONT'!B:C,2,FALSE)</f>
        <v>Oceania</v>
      </c>
      <c r="E2370" s="29">
        <v>3</v>
      </c>
      <c r="F2370" s="28">
        <v>1525</v>
      </c>
      <c r="G2370" s="28">
        <v>2947511475</v>
      </c>
      <c r="H2370" s="29">
        <v>7.56</v>
      </c>
      <c r="I2370" s="142">
        <v>-71.88</v>
      </c>
      <c r="J2370" s="29">
        <v>4.5</v>
      </c>
      <c r="K2370" s="29">
        <v>4.17</v>
      </c>
      <c r="L2370" s="29">
        <v>8.07</v>
      </c>
      <c r="M2370" s="368"/>
      <c r="N2370" s="368"/>
      <c r="O2370" s="271">
        <f>IFERROR(Table17[[#This Row],[PROFIT]]/Table17[[#This Row],[TO]],0)</f>
        <v>0</v>
      </c>
      <c r="P2370" s="177"/>
      <c r="Q2370" s="177"/>
      <c r="R2370" s="177"/>
    </row>
    <row r="2371" spans="1:18" ht="30" hidden="1" x14ac:dyDescent="0.25">
      <c r="A2371" s="29" t="s">
        <v>814</v>
      </c>
      <c r="B2371" s="29" t="s">
        <v>813</v>
      </c>
      <c r="C2371" s="29" t="s">
        <v>812</v>
      </c>
      <c r="D2371" s="29" t="str">
        <f>VLOOKUP(C:C,'COUNT-CONT'!B:C,2,FALSE)</f>
        <v>North America</v>
      </c>
      <c r="E2371" s="29">
        <v>1</v>
      </c>
      <c r="F2371" s="28">
        <v>1201</v>
      </c>
      <c r="G2371" s="28">
        <v>2847903413</v>
      </c>
      <c r="H2371" s="29">
        <v>7.56</v>
      </c>
      <c r="I2371" s="142">
        <v>-71.88</v>
      </c>
      <c r="J2371" s="29">
        <v>3.45</v>
      </c>
      <c r="K2371" s="29">
        <v>2.87</v>
      </c>
      <c r="L2371" s="29">
        <v>6.89</v>
      </c>
      <c r="M2371" s="368"/>
      <c r="N2371" s="368"/>
      <c r="O2371" s="271">
        <f>IFERROR(Table17[[#This Row],[PROFIT]]/Table17[[#This Row],[TO]],0)</f>
        <v>0</v>
      </c>
      <c r="P2371" s="177"/>
      <c r="Q2371" s="177"/>
      <c r="R2371" s="177"/>
    </row>
    <row r="2372" spans="1:18" hidden="1" x14ac:dyDescent="0.25">
      <c r="A2372" s="29" t="s">
        <v>1307</v>
      </c>
      <c r="B2372" s="29" t="s">
        <v>1306</v>
      </c>
      <c r="C2372" s="29" t="s">
        <v>119</v>
      </c>
      <c r="D2372" s="29" t="str">
        <f>VLOOKUP(C:C,'COUNT-CONT'!B:C,2,FALSE)</f>
        <v>Europe</v>
      </c>
      <c r="E2372" s="29">
        <v>7</v>
      </c>
      <c r="F2372" s="28">
        <v>2753</v>
      </c>
      <c r="G2372" s="28">
        <v>2810764111</v>
      </c>
      <c r="H2372" s="29">
        <v>7.53</v>
      </c>
      <c r="I2372" s="142">
        <v>-71.91</v>
      </c>
      <c r="J2372" s="29">
        <v>4.96</v>
      </c>
      <c r="K2372" s="29">
        <v>4.78</v>
      </c>
      <c r="L2372" s="29">
        <v>8.56</v>
      </c>
      <c r="M2372" s="368"/>
      <c r="N2372" s="368"/>
      <c r="O2372" s="271">
        <f>IFERROR(Table17[[#This Row],[PROFIT]]/Table17[[#This Row],[TO]],0)</f>
        <v>0</v>
      </c>
      <c r="P2372" s="177"/>
      <c r="Q2372" s="177"/>
      <c r="R2372" s="177"/>
    </row>
    <row r="2373" spans="1:18" x14ac:dyDescent="0.25">
      <c r="A2373" s="29" t="s">
        <v>1114</v>
      </c>
      <c r="B2373" s="29" t="s">
        <v>1113</v>
      </c>
      <c r="C2373" s="29" t="s">
        <v>774</v>
      </c>
      <c r="D2373" s="29" t="str">
        <f>VLOOKUP(C:C,'COUNT-CONT'!B:C,2,FALSE)</f>
        <v>Oceania</v>
      </c>
      <c r="E2373" s="29">
        <v>3</v>
      </c>
      <c r="F2373" s="28">
        <v>1525</v>
      </c>
      <c r="G2373" s="28">
        <v>2941111475</v>
      </c>
      <c r="H2373" s="29">
        <v>7.53</v>
      </c>
      <c r="I2373" s="142">
        <v>-71.91</v>
      </c>
      <c r="J2373" s="29">
        <v>4.47</v>
      </c>
      <c r="K2373" s="29">
        <v>4.17</v>
      </c>
      <c r="L2373" s="29">
        <v>8.01</v>
      </c>
      <c r="M2373" s="368"/>
      <c r="N2373" s="368"/>
      <c r="O2373" s="271">
        <f>IFERROR(Table17[[#This Row],[PROFIT]]/Table17[[#This Row],[TO]],0)</f>
        <v>0</v>
      </c>
      <c r="P2373" s="177"/>
      <c r="Q2373" s="177"/>
      <c r="R2373" s="177"/>
    </row>
    <row r="2374" spans="1:18" ht="30" hidden="1" x14ac:dyDescent="0.25">
      <c r="A2374" s="29" t="s">
        <v>1295</v>
      </c>
      <c r="B2374" s="29" t="s">
        <v>1294</v>
      </c>
      <c r="C2374" s="29" t="s">
        <v>514</v>
      </c>
      <c r="D2374" s="29" t="str">
        <f>VLOOKUP(C:C,'COUNT-CONT'!B:C,2,FALSE)</f>
        <v>North America</v>
      </c>
      <c r="E2374" s="29">
        <v>1</v>
      </c>
      <c r="F2374" s="28">
        <v>1068</v>
      </c>
      <c r="G2374" s="28">
        <v>3274462546</v>
      </c>
      <c r="H2374" s="29">
        <v>7.53</v>
      </c>
      <c r="I2374" s="142">
        <v>-71.91</v>
      </c>
      <c r="J2374" s="29">
        <v>4.96</v>
      </c>
      <c r="K2374" s="29">
        <v>4.78</v>
      </c>
      <c r="L2374" s="29">
        <v>8.56</v>
      </c>
      <c r="M2374" s="368"/>
      <c r="N2374" s="368"/>
      <c r="O2374" s="271">
        <f>IFERROR(Table17[[#This Row],[PROFIT]]/Table17[[#This Row],[TO]],0)</f>
        <v>0</v>
      </c>
      <c r="P2374" s="177"/>
      <c r="Q2374" s="177"/>
      <c r="R2374" s="177"/>
    </row>
    <row r="2375" spans="1:18" ht="30" hidden="1" x14ac:dyDescent="0.25">
      <c r="A2375" s="29" t="s">
        <v>1199</v>
      </c>
      <c r="B2375" s="29" t="s">
        <v>1198</v>
      </c>
      <c r="C2375" s="29" t="s">
        <v>83</v>
      </c>
      <c r="D2375" s="29" t="str">
        <f>VLOOKUP(C:C,'COUNT-CONT'!B:C,2,FALSE)</f>
        <v>Europe</v>
      </c>
      <c r="E2375" s="29">
        <v>8</v>
      </c>
      <c r="F2375" s="28">
        <v>2754</v>
      </c>
      <c r="G2375" s="28">
        <v>2747819026</v>
      </c>
      <c r="H2375" s="29">
        <v>7.53</v>
      </c>
      <c r="I2375" s="142">
        <v>-71.91</v>
      </c>
      <c r="J2375" s="29">
        <v>4.5599999999999996</v>
      </c>
      <c r="K2375" s="29">
        <v>4.2300000000000004</v>
      </c>
      <c r="L2375" s="29">
        <v>8.19</v>
      </c>
      <c r="M2375" s="368"/>
      <c r="N2375" s="368"/>
      <c r="O2375" s="271">
        <f>IFERROR(Table17[[#This Row],[PROFIT]]/Table17[[#This Row],[TO]],0)</f>
        <v>0</v>
      </c>
      <c r="P2375" s="177"/>
      <c r="Q2375" s="177"/>
      <c r="R2375" s="177"/>
    </row>
    <row r="2376" spans="1:18" ht="30" hidden="1" x14ac:dyDescent="0.25">
      <c r="A2376" s="29" t="s">
        <v>1293</v>
      </c>
      <c r="B2376" s="29" t="s">
        <v>1292</v>
      </c>
      <c r="C2376" s="29" t="s">
        <v>514</v>
      </c>
      <c r="D2376" s="29" t="str">
        <f>VLOOKUP(C:C,'COUNT-CONT'!B:C,2,FALSE)</f>
        <v>North America</v>
      </c>
      <c r="E2376" s="29">
        <v>1</v>
      </c>
      <c r="F2376" s="28">
        <v>1068</v>
      </c>
      <c r="G2376" s="28">
        <v>3272862546</v>
      </c>
      <c r="H2376" s="29">
        <v>7.53</v>
      </c>
      <c r="I2376" s="142">
        <v>-71.91</v>
      </c>
      <c r="J2376" s="29">
        <v>4.96</v>
      </c>
      <c r="K2376" s="29">
        <v>4.78</v>
      </c>
      <c r="L2376" s="29">
        <v>8.56</v>
      </c>
      <c r="M2376" s="368"/>
      <c r="N2376" s="368"/>
      <c r="O2376" s="271">
        <f>IFERROR(Table17[[#This Row],[PROFIT]]/Table17[[#This Row],[TO]],0)</f>
        <v>0</v>
      </c>
      <c r="P2376" s="177"/>
      <c r="Q2376" s="177"/>
      <c r="R2376" s="177"/>
    </row>
    <row r="2377" spans="1:18" ht="30" hidden="1" x14ac:dyDescent="0.25">
      <c r="A2377" s="29" t="s">
        <v>1301</v>
      </c>
      <c r="B2377" s="29" t="s">
        <v>1300</v>
      </c>
      <c r="C2377" s="29" t="s">
        <v>514</v>
      </c>
      <c r="D2377" s="29" t="str">
        <f>VLOOKUP(C:C,'COUNT-CONT'!B:C,2,FALSE)</f>
        <v>North America</v>
      </c>
      <c r="E2377" s="29">
        <v>2</v>
      </c>
      <c r="F2377" s="28">
        <v>1373</v>
      </c>
      <c r="G2377" s="28">
        <v>3076165331</v>
      </c>
      <c r="H2377" s="29">
        <v>7.53</v>
      </c>
      <c r="I2377" s="142">
        <v>-71.91</v>
      </c>
      <c r="J2377" s="29">
        <v>4.96</v>
      </c>
      <c r="K2377" s="29">
        <v>4.78</v>
      </c>
      <c r="L2377" s="29">
        <v>8.56</v>
      </c>
      <c r="M2377" s="368"/>
      <c r="N2377" s="368"/>
      <c r="O2377" s="271">
        <f>IFERROR(Table17[[#This Row],[PROFIT]]/Table17[[#This Row],[TO]],0)</f>
        <v>0</v>
      </c>
      <c r="P2377" s="177"/>
      <c r="Q2377" s="177"/>
      <c r="R2377" s="177"/>
    </row>
    <row r="2378" spans="1:18" ht="30" hidden="1" x14ac:dyDescent="0.25">
      <c r="A2378" s="29" t="s">
        <v>1299</v>
      </c>
      <c r="B2378" s="29" t="s">
        <v>1298</v>
      </c>
      <c r="C2378" s="29" t="s">
        <v>514</v>
      </c>
      <c r="D2378" s="29" t="str">
        <f>VLOOKUP(C:C,'COUNT-CONT'!B:C,2,FALSE)</f>
        <v>North America</v>
      </c>
      <c r="E2378" s="29">
        <v>2</v>
      </c>
      <c r="F2378" s="28">
        <v>1371</v>
      </c>
      <c r="G2378" s="28">
        <v>3077134062</v>
      </c>
      <c r="H2378" s="29">
        <v>7.53</v>
      </c>
      <c r="I2378" s="142">
        <v>-71.91</v>
      </c>
      <c r="J2378" s="29">
        <v>4.96</v>
      </c>
      <c r="K2378" s="29">
        <v>4.78</v>
      </c>
      <c r="L2378" s="29">
        <v>8.56</v>
      </c>
      <c r="M2378" s="368"/>
      <c r="N2378" s="368"/>
      <c r="O2378" s="271">
        <f>IFERROR(Table17[[#This Row],[PROFIT]]/Table17[[#This Row],[TO]],0)</f>
        <v>0</v>
      </c>
      <c r="P2378" s="177"/>
      <c r="Q2378" s="177"/>
      <c r="R2378" s="177"/>
    </row>
    <row r="2379" spans="1:18" ht="30" hidden="1" x14ac:dyDescent="0.25">
      <c r="A2379" s="29" t="s">
        <v>1805</v>
      </c>
      <c r="B2379" s="29" t="s">
        <v>1804</v>
      </c>
      <c r="C2379" s="29" t="s">
        <v>11732</v>
      </c>
      <c r="D2379" s="29" t="str">
        <f>VLOOKUP(C:C,'COUNT-CONT'!B:C,2,FALSE)</f>
        <v>North America</v>
      </c>
      <c r="E2379" s="29">
        <v>7</v>
      </c>
      <c r="F2379" s="28">
        <v>2749</v>
      </c>
      <c r="G2379" s="28">
        <v>3096545507</v>
      </c>
      <c r="H2379" s="29">
        <v>7.53</v>
      </c>
      <c r="I2379" s="142">
        <v>-71.91</v>
      </c>
      <c r="J2379" s="29">
        <v>6.14</v>
      </c>
      <c r="K2379" s="29">
        <v>6.14</v>
      </c>
      <c r="L2379" s="29">
        <v>9.92</v>
      </c>
      <c r="M2379" s="368"/>
      <c r="N2379" s="368"/>
      <c r="O2379" s="271">
        <f>IFERROR(Table17[[#This Row],[PROFIT]]/Table17[[#This Row],[TO]],0)</f>
        <v>0</v>
      </c>
      <c r="P2379" s="177"/>
      <c r="Q2379" s="177"/>
      <c r="R2379" s="177"/>
    </row>
    <row r="2380" spans="1:18" x14ac:dyDescent="0.25">
      <c r="A2380" s="29" t="s">
        <v>1094</v>
      </c>
      <c r="B2380" s="29" t="s">
        <v>1093</v>
      </c>
      <c r="C2380" s="29" t="s">
        <v>774</v>
      </c>
      <c r="D2380" s="29" t="str">
        <f>VLOOKUP(C:C,'COUNT-CONT'!B:C,2,FALSE)</f>
        <v>Oceania</v>
      </c>
      <c r="E2380" s="29">
        <v>3</v>
      </c>
      <c r="F2380" s="28">
        <v>1666</v>
      </c>
      <c r="G2380" s="28">
        <v>2882964105</v>
      </c>
      <c r="H2380" s="29">
        <v>7.47</v>
      </c>
      <c r="I2380" s="142">
        <v>-71.97</v>
      </c>
      <c r="J2380" s="29">
        <v>4.4400000000000004</v>
      </c>
      <c r="K2380" s="29">
        <v>4.1100000000000003</v>
      </c>
      <c r="L2380" s="29">
        <v>7.95</v>
      </c>
      <c r="M2380" s="368"/>
      <c r="N2380" s="368"/>
      <c r="O2380" s="271">
        <f>IFERROR(Table17[[#This Row],[PROFIT]]/Table17[[#This Row],[TO]],0)</f>
        <v>0</v>
      </c>
      <c r="P2380" s="177"/>
      <c r="Q2380" s="177"/>
      <c r="R2380" s="177"/>
    </row>
    <row r="2381" spans="1:18" x14ac:dyDescent="0.25">
      <c r="A2381" s="29" t="s">
        <v>1076</v>
      </c>
      <c r="B2381" s="29" t="s">
        <v>1075</v>
      </c>
      <c r="C2381" s="29" t="s">
        <v>774</v>
      </c>
      <c r="D2381" s="29" t="str">
        <f>VLOOKUP(C:C,'COUNT-CONT'!B:C,2,FALSE)</f>
        <v>Oceania</v>
      </c>
      <c r="E2381" s="29">
        <v>3</v>
      </c>
      <c r="F2381" s="28">
        <v>1531</v>
      </c>
      <c r="G2381" s="28">
        <v>2924484650</v>
      </c>
      <c r="H2381" s="29">
        <v>7.44</v>
      </c>
      <c r="I2381" s="142">
        <v>-72</v>
      </c>
      <c r="J2381" s="29">
        <v>4.41</v>
      </c>
      <c r="K2381" s="29">
        <v>4.1100000000000003</v>
      </c>
      <c r="L2381" s="29">
        <v>7.92</v>
      </c>
      <c r="M2381" s="368"/>
      <c r="N2381" s="368"/>
      <c r="O2381" s="271">
        <f>IFERROR(Table17[[#This Row],[PROFIT]]/Table17[[#This Row],[TO]],0)</f>
        <v>0</v>
      </c>
      <c r="P2381" s="177"/>
      <c r="Q2381" s="177"/>
      <c r="R2381" s="177"/>
    </row>
    <row r="2382" spans="1:18" ht="30" x14ac:dyDescent="0.25">
      <c r="A2382" s="29" t="s">
        <v>829</v>
      </c>
      <c r="B2382" s="29" t="s">
        <v>828</v>
      </c>
      <c r="C2382" s="29" t="s">
        <v>662</v>
      </c>
      <c r="D2382" s="29" t="str">
        <f>VLOOKUP(C:C,'COUNT-CONT'!B:C,2,FALSE)</f>
        <v>Oceania</v>
      </c>
      <c r="E2382" s="29">
        <v>1</v>
      </c>
      <c r="F2382" s="28">
        <v>1201</v>
      </c>
      <c r="G2382" s="28">
        <v>2882103413</v>
      </c>
      <c r="H2382" s="29">
        <v>7.44</v>
      </c>
      <c r="I2382" s="142">
        <v>-72</v>
      </c>
      <c r="J2382" s="29">
        <v>3.66</v>
      </c>
      <c r="K2382" s="29">
        <v>3.08</v>
      </c>
      <c r="L2382" s="29">
        <v>7.04</v>
      </c>
      <c r="M2382" s="368"/>
      <c r="N2382" s="368"/>
      <c r="O2382" s="271">
        <f>IFERROR(Table17[[#This Row],[PROFIT]]/Table17[[#This Row],[TO]],0)</f>
        <v>0</v>
      </c>
      <c r="P2382" s="177"/>
      <c r="Q2382" s="177"/>
      <c r="R2382" s="177"/>
    </row>
    <row r="2383" spans="1:18" hidden="1" x14ac:dyDescent="0.25">
      <c r="A2383" s="29" t="s">
        <v>773</v>
      </c>
      <c r="B2383" s="29" t="s">
        <v>772</v>
      </c>
      <c r="C2383" s="29" t="s">
        <v>605</v>
      </c>
      <c r="D2383" s="29" t="str">
        <f>VLOOKUP(C:C,'COUNT-CONT'!B:C,2,FALSE)</f>
        <v>Europe</v>
      </c>
      <c r="E2383" s="29">
        <v>7</v>
      </c>
      <c r="F2383" s="28">
        <v>2715</v>
      </c>
      <c r="G2383" s="28">
        <v>2593156537</v>
      </c>
      <c r="H2383" s="29">
        <v>7.44</v>
      </c>
      <c r="I2383" s="142">
        <v>-72</v>
      </c>
      <c r="J2383" s="29">
        <v>3.17</v>
      </c>
      <c r="K2383" s="29">
        <v>2.78</v>
      </c>
      <c r="L2383" s="29">
        <v>6.65</v>
      </c>
      <c r="M2383" s="368"/>
      <c r="N2383" s="368"/>
      <c r="O2383" s="271">
        <f>IFERROR(Table17[[#This Row],[PROFIT]]/Table17[[#This Row],[TO]],0)</f>
        <v>0</v>
      </c>
      <c r="P2383" s="177"/>
      <c r="Q2383" s="177"/>
      <c r="R2383" s="177"/>
    </row>
    <row r="2384" spans="1:18" ht="30" hidden="1" x14ac:dyDescent="0.25">
      <c r="A2384" s="29" t="s">
        <v>1748</v>
      </c>
      <c r="B2384" s="29" t="s">
        <v>1747</v>
      </c>
      <c r="C2384" s="29" t="s">
        <v>11732</v>
      </c>
      <c r="D2384" s="29" t="str">
        <f>VLOOKUP(C:C,'COUNT-CONT'!B:C,2,FALSE)</f>
        <v>North America</v>
      </c>
      <c r="E2384" s="29">
        <v>4</v>
      </c>
      <c r="F2384" s="28">
        <v>1832</v>
      </c>
      <c r="G2384" s="28">
        <v>3182936681</v>
      </c>
      <c r="H2384" s="29">
        <v>7.41</v>
      </c>
      <c r="I2384" s="142">
        <v>-72.03</v>
      </c>
      <c r="J2384" s="29">
        <v>6.02</v>
      </c>
      <c r="K2384" s="29">
        <v>6.02</v>
      </c>
      <c r="L2384" s="29">
        <v>9.73</v>
      </c>
      <c r="M2384" s="368"/>
      <c r="N2384" s="368"/>
      <c r="O2384" s="271">
        <f>IFERROR(Table17[[#This Row],[PROFIT]]/Table17[[#This Row],[TO]],0)</f>
        <v>0</v>
      </c>
      <c r="P2384" s="177"/>
      <c r="Q2384" s="177"/>
      <c r="R2384" s="177"/>
    </row>
    <row r="2385" spans="1:18" x14ac:dyDescent="0.25">
      <c r="A2385" s="29" t="s">
        <v>827</v>
      </c>
      <c r="B2385" s="29" t="s">
        <v>826</v>
      </c>
      <c r="C2385" s="29" t="s">
        <v>730</v>
      </c>
      <c r="D2385" s="29" t="str">
        <f>VLOOKUP(C:C,'COUNT-CONT'!B:C,2,FALSE)</f>
        <v>Oceania</v>
      </c>
      <c r="E2385" s="29">
        <v>2</v>
      </c>
      <c r="F2385" s="28">
        <v>1361</v>
      </c>
      <c r="G2385" s="28">
        <v>2877229243</v>
      </c>
      <c r="H2385" s="29">
        <v>7.41</v>
      </c>
      <c r="I2385" s="142">
        <v>-72.03</v>
      </c>
      <c r="J2385" s="29">
        <v>3.51</v>
      </c>
      <c r="K2385" s="29">
        <v>3.08</v>
      </c>
      <c r="L2385" s="29">
        <v>7.01</v>
      </c>
      <c r="M2385" s="368"/>
      <c r="N2385" s="368"/>
      <c r="O2385" s="271">
        <f>IFERROR(Table17[[#This Row],[PROFIT]]/Table17[[#This Row],[TO]],0)</f>
        <v>0</v>
      </c>
      <c r="P2385" s="177"/>
      <c r="Q2385" s="177"/>
      <c r="R2385" s="177"/>
    </row>
    <row r="2386" spans="1:18" hidden="1" x14ac:dyDescent="0.25">
      <c r="A2386" s="29" t="s">
        <v>962</v>
      </c>
      <c r="B2386" s="29" t="s">
        <v>961</v>
      </c>
      <c r="C2386" s="29" t="s">
        <v>585</v>
      </c>
      <c r="D2386" s="29" t="str">
        <f>VLOOKUP(C:C,'COUNT-CONT'!B:C,2,FALSE)</f>
        <v>Europe</v>
      </c>
      <c r="E2386" s="29">
        <v>2</v>
      </c>
      <c r="F2386" s="28">
        <v>1501</v>
      </c>
      <c r="G2386" s="28">
        <v>2887844770</v>
      </c>
      <c r="H2386" s="29">
        <v>7.41</v>
      </c>
      <c r="I2386" s="142">
        <v>-72.03</v>
      </c>
      <c r="J2386" s="29">
        <v>4.08</v>
      </c>
      <c r="K2386" s="29">
        <v>3.78</v>
      </c>
      <c r="L2386" s="29">
        <v>7.56</v>
      </c>
      <c r="M2386" s="368"/>
      <c r="N2386" s="368"/>
      <c r="O2386" s="271">
        <f>IFERROR(Table17[[#This Row],[PROFIT]]/Table17[[#This Row],[TO]],0)</f>
        <v>0</v>
      </c>
      <c r="P2386" s="177"/>
      <c r="Q2386" s="177"/>
      <c r="R2386" s="177"/>
    </row>
    <row r="2387" spans="1:18" hidden="1" x14ac:dyDescent="0.25">
      <c r="A2387" s="29" t="s">
        <v>1057</v>
      </c>
      <c r="B2387" s="29" t="s">
        <v>1056</v>
      </c>
      <c r="C2387" s="29" t="s">
        <v>597</v>
      </c>
      <c r="D2387" s="29" t="str">
        <f>VLOOKUP(C:C,'COUNT-CONT'!B:C,2,FALSE)</f>
        <v>Europe</v>
      </c>
      <c r="E2387" s="29">
        <v>8</v>
      </c>
      <c r="F2387" s="28">
        <v>2754</v>
      </c>
      <c r="G2387" s="28">
        <v>2709419026</v>
      </c>
      <c r="H2387" s="29">
        <v>7.41</v>
      </c>
      <c r="I2387" s="142">
        <v>-72.03</v>
      </c>
      <c r="J2387" s="29">
        <v>4.41</v>
      </c>
      <c r="K2387" s="29">
        <v>4.08</v>
      </c>
      <c r="L2387" s="29">
        <v>7.89</v>
      </c>
      <c r="M2387" s="368"/>
      <c r="N2387" s="368"/>
      <c r="O2387" s="271">
        <f>IFERROR(Table17[[#This Row],[PROFIT]]/Table17[[#This Row],[TO]],0)</f>
        <v>0</v>
      </c>
      <c r="P2387" s="177"/>
      <c r="Q2387" s="177"/>
      <c r="R2387" s="177"/>
    </row>
    <row r="2388" spans="1:18" ht="30" hidden="1" x14ac:dyDescent="0.25">
      <c r="A2388" s="29" t="s">
        <v>1258</v>
      </c>
      <c r="B2388" s="29" t="s">
        <v>1257</v>
      </c>
      <c r="C2388" s="29" t="s">
        <v>514</v>
      </c>
      <c r="D2388" s="29" t="str">
        <f>VLOOKUP(C:C,'COUNT-CONT'!B:C,2,FALSE)</f>
        <v>North America</v>
      </c>
      <c r="E2388" s="29">
        <v>1</v>
      </c>
      <c r="F2388" s="28">
        <v>1069</v>
      </c>
      <c r="G2388" s="28">
        <v>3254399064</v>
      </c>
      <c r="H2388" s="29">
        <v>7.41</v>
      </c>
      <c r="I2388" s="142">
        <v>-72.03</v>
      </c>
      <c r="J2388" s="29">
        <v>4.87</v>
      </c>
      <c r="K2388" s="29">
        <v>4.6900000000000004</v>
      </c>
      <c r="L2388" s="29">
        <v>8.4</v>
      </c>
      <c r="M2388" s="368"/>
      <c r="N2388" s="368"/>
      <c r="O2388" s="271">
        <f>IFERROR(Table17[[#This Row],[PROFIT]]/Table17[[#This Row],[TO]],0)</f>
        <v>0</v>
      </c>
      <c r="P2388" s="177"/>
      <c r="Q2388" s="177"/>
      <c r="R2388" s="177"/>
    </row>
    <row r="2389" spans="1:18" ht="30" hidden="1" x14ac:dyDescent="0.25">
      <c r="A2389" s="29" t="s">
        <v>1260</v>
      </c>
      <c r="B2389" s="29" t="s">
        <v>1259</v>
      </c>
      <c r="C2389" s="29" t="s">
        <v>514</v>
      </c>
      <c r="D2389" s="29" t="str">
        <f>VLOOKUP(C:C,'COUNT-CONT'!B:C,2,FALSE)</f>
        <v>North America</v>
      </c>
      <c r="E2389" s="29">
        <v>1</v>
      </c>
      <c r="F2389" s="28">
        <v>1200</v>
      </c>
      <c r="G2389" s="28">
        <v>3155166666</v>
      </c>
      <c r="H2389" s="29">
        <v>7.41</v>
      </c>
      <c r="I2389" s="142">
        <v>-72.03</v>
      </c>
      <c r="J2389" s="29">
        <v>4.87</v>
      </c>
      <c r="K2389" s="29">
        <v>4.6900000000000004</v>
      </c>
      <c r="L2389" s="29">
        <v>8.4</v>
      </c>
      <c r="M2389" s="368"/>
      <c r="N2389" s="368"/>
      <c r="O2389" s="271">
        <f>IFERROR(Table17[[#This Row],[PROFIT]]/Table17[[#This Row],[TO]],0)</f>
        <v>0</v>
      </c>
      <c r="P2389" s="177"/>
      <c r="Q2389" s="177"/>
      <c r="R2389" s="177"/>
    </row>
    <row r="2390" spans="1:18" ht="30" hidden="1" x14ac:dyDescent="0.25">
      <c r="A2390" s="29" t="s">
        <v>1256</v>
      </c>
      <c r="B2390" s="29" t="s">
        <v>1255</v>
      </c>
      <c r="C2390" s="29" t="s">
        <v>514</v>
      </c>
      <c r="D2390" s="29" t="str">
        <f>VLOOKUP(C:C,'COUNT-CONT'!B:C,2,FALSE)</f>
        <v>North America</v>
      </c>
      <c r="E2390" s="29">
        <v>1</v>
      </c>
      <c r="F2390" s="28">
        <v>1068</v>
      </c>
      <c r="G2390" s="28">
        <v>3255262546</v>
      </c>
      <c r="H2390" s="29">
        <v>7.41</v>
      </c>
      <c r="I2390" s="142">
        <v>-72.03</v>
      </c>
      <c r="J2390" s="29">
        <v>4.87</v>
      </c>
      <c r="K2390" s="29">
        <v>4.6900000000000004</v>
      </c>
      <c r="L2390" s="29">
        <v>8.4</v>
      </c>
      <c r="M2390" s="368"/>
      <c r="N2390" s="368"/>
      <c r="O2390" s="271">
        <f>IFERROR(Table17[[#This Row],[PROFIT]]/Table17[[#This Row],[TO]],0)</f>
        <v>0</v>
      </c>
      <c r="P2390" s="177"/>
      <c r="Q2390" s="177"/>
      <c r="R2390" s="177"/>
    </row>
    <row r="2391" spans="1:18" ht="30" hidden="1" x14ac:dyDescent="0.25">
      <c r="A2391" s="29" t="s">
        <v>1722</v>
      </c>
      <c r="B2391" s="29" t="s">
        <v>1721</v>
      </c>
      <c r="C2391" s="29" t="s">
        <v>11732</v>
      </c>
      <c r="D2391" s="29" t="str">
        <f>VLOOKUP(C:C,'COUNT-CONT'!B:C,2,FALSE)</f>
        <v>North America</v>
      </c>
      <c r="E2391" s="29">
        <v>6</v>
      </c>
      <c r="F2391" s="28">
        <v>2260</v>
      </c>
      <c r="G2391" s="28">
        <v>3103925663</v>
      </c>
      <c r="H2391" s="29">
        <v>7.35</v>
      </c>
      <c r="I2391" s="142">
        <v>-72.09</v>
      </c>
      <c r="J2391" s="29">
        <v>5.99</v>
      </c>
      <c r="K2391" s="29">
        <v>5.99</v>
      </c>
      <c r="L2391" s="29">
        <v>9.67</v>
      </c>
      <c r="M2391" s="368"/>
      <c r="N2391" s="368"/>
      <c r="O2391" s="271">
        <f>IFERROR(Table17[[#This Row],[PROFIT]]/Table17[[#This Row],[TO]],0)</f>
        <v>0</v>
      </c>
      <c r="P2391" s="177"/>
      <c r="Q2391" s="177"/>
      <c r="R2391" s="177"/>
    </row>
    <row r="2392" spans="1:18" hidden="1" x14ac:dyDescent="0.25">
      <c r="A2392" s="29" t="s">
        <v>582</v>
      </c>
      <c r="B2392" s="29" t="s">
        <v>581</v>
      </c>
      <c r="C2392" s="29" t="s">
        <v>580</v>
      </c>
      <c r="D2392" s="29" t="str">
        <f>VLOOKUP(C:C,'COUNT-CONT'!B:C,2,FALSE)</f>
        <v>Africa</v>
      </c>
      <c r="E2392" s="29">
        <v>6</v>
      </c>
      <c r="F2392" s="28">
        <v>2316</v>
      </c>
      <c r="G2392" s="28">
        <v>2382956822</v>
      </c>
      <c r="H2392" s="29">
        <v>7.35</v>
      </c>
      <c r="I2392" s="142">
        <v>-72.09</v>
      </c>
      <c r="J2392" s="29">
        <v>1.84</v>
      </c>
      <c r="K2392" s="29">
        <v>1.24</v>
      </c>
      <c r="L2392" s="29">
        <v>5.17</v>
      </c>
      <c r="M2392" s="368"/>
      <c r="N2392" s="368"/>
      <c r="O2392" s="271">
        <f>IFERROR(Table17[[#This Row],[PROFIT]]/Table17[[#This Row],[TO]],0)</f>
        <v>0</v>
      </c>
      <c r="P2392" s="177"/>
      <c r="Q2392" s="177"/>
      <c r="R2392" s="177"/>
    </row>
    <row r="2393" spans="1:18" ht="30" hidden="1" x14ac:dyDescent="0.25">
      <c r="A2393" s="29" t="s">
        <v>1720</v>
      </c>
      <c r="B2393" s="29" t="s">
        <v>1719</v>
      </c>
      <c r="C2393" s="29" t="s">
        <v>11732</v>
      </c>
      <c r="D2393" s="29" t="str">
        <f>VLOOKUP(C:C,'COUNT-CONT'!B:C,2,FALSE)</f>
        <v>North America</v>
      </c>
      <c r="E2393" s="29">
        <v>4</v>
      </c>
      <c r="F2393" s="28">
        <v>1985</v>
      </c>
      <c r="G2393" s="28">
        <v>3143956171</v>
      </c>
      <c r="H2393" s="29">
        <v>7.35</v>
      </c>
      <c r="I2393" s="142">
        <v>-72.09</v>
      </c>
      <c r="J2393" s="29">
        <v>5.99</v>
      </c>
      <c r="K2393" s="29">
        <v>5.99</v>
      </c>
      <c r="L2393" s="29">
        <v>9.67</v>
      </c>
      <c r="M2393" s="368"/>
      <c r="N2393" s="368"/>
      <c r="O2393" s="271">
        <f>IFERROR(Table17[[#This Row],[PROFIT]]/Table17[[#This Row],[TO]],0)</f>
        <v>0</v>
      </c>
      <c r="P2393" s="177"/>
      <c r="Q2393" s="177"/>
      <c r="R2393" s="177"/>
    </row>
    <row r="2394" spans="1:18" ht="30" hidden="1" x14ac:dyDescent="0.25">
      <c r="A2394" s="29" t="s">
        <v>1246</v>
      </c>
      <c r="B2394" s="29" t="s">
        <v>1245</v>
      </c>
      <c r="C2394" s="29" t="s">
        <v>514</v>
      </c>
      <c r="D2394" s="29" t="str">
        <f>VLOOKUP(C:C,'COUNT-CONT'!B:C,2,FALSE)</f>
        <v>North America</v>
      </c>
      <c r="E2394" s="29">
        <v>3</v>
      </c>
      <c r="F2394" s="28">
        <v>1563</v>
      </c>
      <c r="G2394" s="28">
        <v>2970474792</v>
      </c>
      <c r="H2394" s="29">
        <v>7.35</v>
      </c>
      <c r="I2394" s="142">
        <v>-72.09</v>
      </c>
      <c r="J2394" s="29">
        <v>4.84</v>
      </c>
      <c r="K2394" s="29">
        <v>4.66</v>
      </c>
      <c r="L2394" s="29">
        <v>8.34</v>
      </c>
      <c r="M2394" s="368"/>
      <c r="N2394" s="368"/>
      <c r="O2394" s="271">
        <f>IFERROR(Table17[[#This Row],[PROFIT]]/Table17[[#This Row],[TO]],0)</f>
        <v>0</v>
      </c>
      <c r="P2394" s="177"/>
      <c r="Q2394" s="177"/>
      <c r="R2394" s="177"/>
    </row>
    <row r="2395" spans="1:18" ht="30" hidden="1" x14ac:dyDescent="0.25">
      <c r="A2395" s="29" t="s">
        <v>1693</v>
      </c>
      <c r="B2395" s="29" t="s">
        <v>1692</v>
      </c>
      <c r="C2395" s="29" t="s">
        <v>11732</v>
      </c>
      <c r="D2395" s="29" t="str">
        <f>VLOOKUP(C:C,'COUNT-CONT'!B:C,2,FALSE)</f>
        <v>North America</v>
      </c>
      <c r="E2395" s="29">
        <v>4</v>
      </c>
      <c r="F2395" s="28">
        <v>1988</v>
      </c>
      <c r="G2395" s="28">
        <v>3135419919</v>
      </c>
      <c r="H2395" s="29">
        <v>7.32</v>
      </c>
      <c r="I2395" s="142">
        <v>-72.12</v>
      </c>
      <c r="J2395" s="29">
        <v>5.96</v>
      </c>
      <c r="K2395" s="29">
        <v>5.96</v>
      </c>
      <c r="L2395" s="29">
        <v>9.61</v>
      </c>
      <c r="M2395" s="368"/>
      <c r="N2395" s="368"/>
      <c r="O2395" s="271">
        <f>IFERROR(Table17[[#This Row],[PROFIT]]/Table17[[#This Row],[TO]],0)</f>
        <v>0</v>
      </c>
      <c r="P2395" s="177"/>
      <c r="Q2395" s="177"/>
      <c r="R2395" s="177"/>
    </row>
    <row r="2396" spans="1:18" ht="30" hidden="1" x14ac:dyDescent="0.25">
      <c r="A2396" s="29" t="s">
        <v>1687</v>
      </c>
      <c r="B2396" s="29" t="s">
        <v>1686</v>
      </c>
      <c r="C2396" s="29" t="s">
        <v>11732</v>
      </c>
      <c r="D2396" s="29" t="str">
        <f>VLOOKUP(C:C,'COUNT-CONT'!B:C,2,FALSE)</f>
        <v>North America</v>
      </c>
      <c r="E2396" s="29">
        <v>2</v>
      </c>
      <c r="F2396" s="28">
        <v>1389</v>
      </c>
      <c r="G2396" s="28">
        <v>3314236645</v>
      </c>
      <c r="H2396" s="29">
        <v>7.32</v>
      </c>
      <c r="I2396" s="142">
        <v>-72.12</v>
      </c>
      <c r="J2396" s="29">
        <v>5.96</v>
      </c>
      <c r="K2396" s="29">
        <v>5.96</v>
      </c>
      <c r="L2396" s="29">
        <v>9.61</v>
      </c>
      <c r="M2396" s="368"/>
      <c r="N2396" s="368"/>
      <c r="O2396" s="271">
        <f>IFERROR(Table17[[#This Row],[PROFIT]]/Table17[[#This Row],[TO]],0)</f>
        <v>0</v>
      </c>
      <c r="P2396" s="177"/>
      <c r="Q2396" s="177"/>
      <c r="R2396" s="177"/>
    </row>
    <row r="2397" spans="1:18" hidden="1" x14ac:dyDescent="0.25">
      <c r="A2397" s="29" t="s">
        <v>687</v>
      </c>
      <c r="B2397" s="29" t="s">
        <v>686</v>
      </c>
      <c r="C2397" s="29" t="s">
        <v>567</v>
      </c>
      <c r="D2397" s="29" t="str">
        <f>VLOOKUP(C:C,'COUNT-CONT'!B:C,2,FALSE)</f>
        <v>Asia</v>
      </c>
      <c r="E2397" s="29">
        <v>4</v>
      </c>
      <c r="F2397" s="28">
        <v>2001</v>
      </c>
      <c r="G2397" s="28">
        <v>2521525137</v>
      </c>
      <c r="H2397" s="29">
        <v>7.32</v>
      </c>
      <c r="I2397" s="142">
        <v>-72.12</v>
      </c>
      <c r="J2397" s="29">
        <v>2.63</v>
      </c>
      <c r="K2397" s="29">
        <v>2.15</v>
      </c>
      <c r="L2397" s="29">
        <v>6.02</v>
      </c>
      <c r="M2397" s="368"/>
      <c r="N2397" s="368"/>
      <c r="O2397" s="271">
        <f>IFERROR(Table17[[#This Row],[PROFIT]]/Table17[[#This Row],[TO]],0)</f>
        <v>0</v>
      </c>
      <c r="P2397" s="177"/>
      <c r="Q2397" s="177"/>
      <c r="R2397" s="177"/>
    </row>
    <row r="2398" spans="1:18" hidden="1" x14ac:dyDescent="0.25">
      <c r="A2398" s="29" t="s">
        <v>833</v>
      </c>
      <c r="B2398" s="29" t="s">
        <v>832</v>
      </c>
      <c r="C2398" s="29" t="s">
        <v>520</v>
      </c>
      <c r="D2398" s="29" t="str">
        <f>VLOOKUP(C:C,'COUNT-CONT'!B:C,2,FALSE)</f>
        <v>Europe</v>
      </c>
      <c r="E2398" s="29">
        <v>3</v>
      </c>
      <c r="F2398" s="28">
        <v>1535</v>
      </c>
      <c r="G2398" s="28">
        <v>2716212377</v>
      </c>
      <c r="H2398" s="29">
        <v>7.32</v>
      </c>
      <c r="I2398" s="142">
        <v>-72.12</v>
      </c>
      <c r="J2398" s="29">
        <v>3.66</v>
      </c>
      <c r="K2398" s="29">
        <v>3.23</v>
      </c>
      <c r="L2398" s="29">
        <v>7.04</v>
      </c>
      <c r="M2398" s="368"/>
      <c r="N2398" s="368"/>
      <c r="O2398" s="271">
        <f>IFERROR(Table17[[#This Row],[PROFIT]]/Table17[[#This Row],[TO]],0)</f>
        <v>0</v>
      </c>
      <c r="P2398" s="177"/>
      <c r="Q2398" s="177"/>
      <c r="R2398" s="177"/>
    </row>
    <row r="2399" spans="1:18" ht="30" hidden="1" x14ac:dyDescent="0.25">
      <c r="A2399" s="29" t="s">
        <v>1701</v>
      </c>
      <c r="B2399" s="29" t="s">
        <v>1700</v>
      </c>
      <c r="C2399" s="29" t="s">
        <v>11732</v>
      </c>
      <c r="D2399" s="29" t="str">
        <f>VLOOKUP(C:C,'COUNT-CONT'!B:C,2,FALSE)</f>
        <v>North America</v>
      </c>
      <c r="E2399" s="29">
        <v>7</v>
      </c>
      <c r="F2399" s="28">
        <v>2510</v>
      </c>
      <c r="G2399" s="28">
        <v>3072447011</v>
      </c>
      <c r="H2399" s="29">
        <v>7.32</v>
      </c>
      <c r="I2399" s="142">
        <v>-72.12</v>
      </c>
      <c r="J2399" s="29">
        <v>5.96</v>
      </c>
      <c r="K2399" s="29">
        <v>5.96</v>
      </c>
      <c r="L2399" s="29">
        <v>9.61</v>
      </c>
      <c r="M2399" s="368"/>
      <c r="N2399" s="368"/>
      <c r="O2399" s="271">
        <f>IFERROR(Table17[[#This Row],[PROFIT]]/Table17[[#This Row],[TO]],0)</f>
        <v>0</v>
      </c>
      <c r="P2399" s="177"/>
      <c r="Q2399" s="177"/>
      <c r="R2399" s="177"/>
    </row>
    <row r="2400" spans="1:18" hidden="1" x14ac:dyDescent="0.25">
      <c r="A2400" s="29" t="s">
        <v>680</v>
      </c>
      <c r="B2400" s="29" t="s">
        <v>679</v>
      </c>
      <c r="C2400" s="29" t="s">
        <v>567</v>
      </c>
      <c r="D2400" s="29" t="str">
        <f>VLOOKUP(C:C,'COUNT-CONT'!B:C,2,FALSE)</f>
        <v>Asia</v>
      </c>
      <c r="E2400" s="29">
        <v>3</v>
      </c>
      <c r="F2400" s="28">
        <v>1551</v>
      </c>
      <c r="G2400" s="28">
        <v>2636119858</v>
      </c>
      <c r="H2400" s="29">
        <v>7.32</v>
      </c>
      <c r="I2400" s="142">
        <v>-72.12</v>
      </c>
      <c r="J2400" s="29">
        <v>2.63</v>
      </c>
      <c r="K2400" s="29">
        <v>2.15</v>
      </c>
      <c r="L2400" s="29">
        <v>6.02</v>
      </c>
      <c r="M2400" s="368"/>
      <c r="N2400" s="368"/>
      <c r="O2400" s="271">
        <f>IFERROR(Table17[[#This Row],[PROFIT]]/Table17[[#This Row],[TO]],0)</f>
        <v>0</v>
      </c>
      <c r="P2400" s="177"/>
      <c r="Q2400" s="177"/>
      <c r="R2400" s="177"/>
    </row>
    <row r="2401" spans="1:18" hidden="1" x14ac:dyDescent="0.25">
      <c r="A2401" s="29" t="s">
        <v>682</v>
      </c>
      <c r="B2401" s="29" t="s">
        <v>681</v>
      </c>
      <c r="C2401" s="29" t="s">
        <v>567</v>
      </c>
      <c r="D2401" s="29" t="str">
        <f>VLOOKUP(C:C,'COUNT-CONT'!B:C,2,FALSE)</f>
        <v>Asia</v>
      </c>
      <c r="E2401" s="29">
        <v>3</v>
      </c>
      <c r="F2401" s="28">
        <v>1658</v>
      </c>
      <c r="G2401" s="28">
        <v>2601049939</v>
      </c>
      <c r="H2401" s="29">
        <v>7.32</v>
      </c>
      <c r="I2401" s="142">
        <v>-72.12</v>
      </c>
      <c r="J2401" s="29">
        <v>2.63</v>
      </c>
      <c r="K2401" s="29">
        <v>2.15</v>
      </c>
      <c r="L2401" s="29">
        <v>6.02</v>
      </c>
      <c r="M2401" s="368"/>
      <c r="N2401" s="368"/>
      <c r="O2401" s="271">
        <f>IFERROR(Table17[[#This Row],[PROFIT]]/Table17[[#This Row],[TO]],0)</f>
        <v>0</v>
      </c>
      <c r="P2401" s="177"/>
      <c r="Q2401" s="177"/>
      <c r="R2401" s="177"/>
    </row>
    <row r="2402" spans="1:18" ht="30" hidden="1" x14ac:dyDescent="0.25">
      <c r="A2402" s="29" t="s">
        <v>1697</v>
      </c>
      <c r="B2402" s="29" t="s">
        <v>1696</v>
      </c>
      <c r="C2402" s="29" t="s">
        <v>11732</v>
      </c>
      <c r="D2402" s="29" t="str">
        <f>VLOOKUP(C:C,'COUNT-CONT'!B:C,2,FALSE)</f>
        <v>North America</v>
      </c>
      <c r="E2402" s="29">
        <v>6</v>
      </c>
      <c r="F2402" s="28">
        <v>2290</v>
      </c>
      <c r="G2402" s="28">
        <v>3090949344</v>
      </c>
      <c r="H2402" s="29">
        <v>7.29</v>
      </c>
      <c r="I2402" s="142">
        <v>-72.149999999999991</v>
      </c>
      <c r="J2402" s="29">
        <v>5.96</v>
      </c>
      <c r="K2402" s="29">
        <v>5.96</v>
      </c>
      <c r="L2402" s="29">
        <v>9.61</v>
      </c>
      <c r="M2402" s="368"/>
      <c r="N2402" s="368"/>
      <c r="O2402" s="271">
        <f>IFERROR(Table17[[#This Row],[PROFIT]]/Table17[[#This Row],[TO]],0)</f>
        <v>0</v>
      </c>
      <c r="P2402" s="177"/>
      <c r="Q2402" s="177"/>
      <c r="R2402" s="177"/>
    </row>
    <row r="2403" spans="1:18" ht="30" hidden="1" x14ac:dyDescent="0.25">
      <c r="A2403" s="29" t="s">
        <v>1088</v>
      </c>
      <c r="B2403" s="29" t="s">
        <v>1087</v>
      </c>
      <c r="C2403" s="29" t="s">
        <v>83</v>
      </c>
      <c r="D2403" s="29" t="str">
        <f>VLOOKUP(C:C,'COUNT-CONT'!B:C,2,FALSE)</f>
        <v>Europe</v>
      </c>
      <c r="E2403" s="29">
        <v>6</v>
      </c>
      <c r="F2403" s="28">
        <v>2292</v>
      </c>
      <c r="G2403" s="28">
        <v>2748530191</v>
      </c>
      <c r="H2403" s="29">
        <v>7.29</v>
      </c>
      <c r="I2403" s="142">
        <v>-72.149999999999991</v>
      </c>
      <c r="J2403" s="29">
        <v>4.4400000000000004</v>
      </c>
      <c r="K2403" s="29">
        <v>4.1100000000000003</v>
      </c>
      <c r="L2403" s="29">
        <v>7.92</v>
      </c>
      <c r="M2403" s="368"/>
      <c r="N2403" s="368"/>
      <c r="O2403" s="271">
        <f>IFERROR(Table17[[#This Row],[PROFIT]]/Table17[[#This Row],[TO]],0)</f>
        <v>0</v>
      </c>
      <c r="P2403" s="177"/>
      <c r="Q2403" s="177"/>
      <c r="R2403" s="177"/>
    </row>
    <row r="2404" spans="1:18" ht="30" hidden="1" x14ac:dyDescent="0.25">
      <c r="A2404" s="29" t="s">
        <v>1232</v>
      </c>
      <c r="B2404" s="29" t="s">
        <v>1231</v>
      </c>
      <c r="C2404" s="29" t="s">
        <v>514</v>
      </c>
      <c r="D2404" s="29" t="str">
        <f>VLOOKUP(C:C,'COUNT-CONT'!B:C,2,FALSE)</f>
        <v>North America</v>
      </c>
      <c r="E2404" s="29">
        <v>1</v>
      </c>
      <c r="F2404" s="28">
        <v>1080</v>
      </c>
      <c r="G2404" s="28">
        <v>3227418518</v>
      </c>
      <c r="H2404" s="29">
        <v>7.29</v>
      </c>
      <c r="I2404" s="142">
        <v>-72.149999999999991</v>
      </c>
      <c r="J2404" s="29">
        <v>4.78</v>
      </c>
      <c r="K2404" s="29">
        <v>4.63</v>
      </c>
      <c r="L2404" s="29">
        <v>8.2799999999999994</v>
      </c>
      <c r="M2404" s="368"/>
      <c r="N2404" s="368"/>
      <c r="O2404" s="271">
        <f>IFERROR(Table17[[#This Row],[PROFIT]]/Table17[[#This Row],[TO]],0)</f>
        <v>0</v>
      </c>
      <c r="P2404" s="177"/>
      <c r="Q2404" s="177"/>
      <c r="R2404" s="177"/>
    </row>
    <row r="2405" spans="1:18" ht="30" hidden="1" x14ac:dyDescent="0.25">
      <c r="A2405" s="29" t="s">
        <v>1215</v>
      </c>
      <c r="B2405" s="29" t="s">
        <v>1214</v>
      </c>
      <c r="C2405" s="29" t="s">
        <v>514</v>
      </c>
      <c r="D2405" s="29" t="str">
        <f>VLOOKUP(C:C,'COUNT-CONT'!B:C,2,FALSE)</f>
        <v>North America</v>
      </c>
      <c r="E2405" s="29">
        <v>1</v>
      </c>
      <c r="F2405" s="28">
        <v>1071</v>
      </c>
      <c r="G2405" s="28">
        <v>3231877497</v>
      </c>
      <c r="H2405" s="29">
        <v>7.26</v>
      </c>
      <c r="I2405" s="142">
        <v>-72.179999999999993</v>
      </c>
      <c r="J2405" s="29">
        <v>4.78</v>
      </c>
      <c r="K2405" s="29">
        <v>4.59</v>
      </c>
      <c r="L2405" s="29">
        <v>8.25</v>
      </c>
      <c r="M2405" s="368"/>
      <c r="N2405" s="368"/>
      <c r="O2405" s="271">
        <f>IFERROR(Table17[[#This Row],[PROFIT]]/Table17[[#This Row],[TO]],0)</f>
        <v>0</v>
      </c>
      <c r="P2405" s="177"/>
      <c r="Q2405" s="177"/>
      <c r="R2405" s="177"/>
    </row>
    <row r="2406" spans="1:18" ht="30" hidden="1" x14ac:dyDescent="0.25">
      <c r="A2406" s="29" t="s">
        <v>1224</v>
      </c>
      <c r="B2406" s="29" t="s">
        <v>1223</v>
      </c>
      <c r="C2406" s="29" t="s">
        <v>514</v>
      </c>
      <c r="D2406" s="29" t="str">
        <f>VLOOKUP(C:C,'COUNT-CONT'!B:C,2,FALSE)</f>
        <v>North America</v>
      </c>
      <c r="E2406" s="29">
        <v>3</v>
      </c>
      <c r="F2406" s="28">
        <v>1525</v>
      </c>
      <c r="G2406" s="28">
        <v>2971511475</v>
      </c>
      <c r="H2406" s="29">
        <v>7.26</v>
      </c>
      <c r="I2406" s="142">
        <v>-72.179999999999993</v>
      </c>
      <c r="J2406" s="29">
        <v>4.78</v>
      </c>
      <c r="K2406" s="29">
        <v>4.59</v>
      </c>
      <c r="L2406" s="29">
        <v>8.25</v>
      </c>
      <c r="M2406" s="368"/>
      <c r="N2406" s="368"/>
      <c r="O2406" s="271">
        <f>IFERROR(Table17[[#This Row],[PROFIT]]/Table17[[#This Row],[TO]],0)</f>
        <v>0</v>
      </c>
      <c r="P2406" s="177"/>
      <c r="Q2406" s="177"/>
      <c r="R2406" s="177"/>
    </row>
    <row r="2407" spans="1:18" ht="30" hidden="1" x14ac:dyDescent="0.25">
      <c r="A2407" s="29" t="s">
        <v>1222</v>
      </c>
      <c r="B2407" s="29" t="s">
        <v>1221</v>
      </c>
      <c r="C2407" s="29" t="s">
        <v>514</v>
      </c>
      <c r="D2407" s="29" t="str">
        <f>VLOOKUP(C:C,'COUNT-CONT'!B:C,2,FALSE)</f>
        <v>North America</v>
      </c>
      <c r="E2407" s="29">
        <v>2</v>
      </c>
      <c r="F2407" s="28">
        <v>1291</v>
      </c>
      <c r="G2407" s="28">
        <v>3078852672</v>
      </c>
      <c r="H2407" s="29">
        <v>7.26</v>
      </c>
      <c r="I2407" s="142">
        <v>-72.179999999999993</v>
      </c>
      <c r="J2407" s="29">
        <v>4.78</v>
      </c>
      <c r="K2407" s="29">
        <v>4.59</v>
      </c>
      <c r="L2407" s="29">
        <v>8.25</v>
      </c>
      <c r="M2407" s="368"/>
      <c r="N2407" s="368"/>
      <c r="O2407" s="271">
        <f>IFERROR(Table17[[#This Row],[PROFIT]]/Table17[[#This Row],[TO]],0)</f>
        <v>0</v>
      </c>
      <c r="P2407" s="177"/>
      <c r="Q2407" s="177"/>
      <c r="R2407" s="177"/>
    </row>
    <row r="2408" spans="1:18" ht="30" hidden="1" x14ac:dyDescent="0.25">
      <c r="A2408" s="29" t="s">
        <v>1213</v>
      </c>
      <c r="B2408" s="29" t="s">
        <v>1212</v>
      </c>
      <c r="C2408" s="29" t="s">
        <v>514</v>
      </c>
      <c r="D2408" s="29" t="str">
        <f>VLOOKUP(C:C,'COUNT-CONT'!B:C,2,FALSE)</f>
        <v>North America</v>
      </c>
      <c r="E2408" s="29">
        <v>1</v>
      </c>
      <c r="F2408" s="28">
        <v>1068</v>
      </c>
      <c r="G2408" s="28">
        <v>3234462546</v>
      </c>
      <c r="H2408" s="29">
        <v>7.26</v>
      </c>
      <c r="I2408" s="142">
        <v>-72.179999999999993</v>
      </c>
      <c r="J2408" s="29">
        <v>4.78</v>
      </c>
      <c r="K2408" s="29">
        <v>4.59</v>
      </c>
      <c r="L2408" s="29">
        <v>8.25</v>
      </c>
      <c r="M2408" s="368"/>
      <c r="N2408" s="368"/>
      <c r="O2408" s="271">
        <f>IFERROR(Table17[[#This Row],[PROFIT]]/Table17[[#This Row],[TO]],0)</f>
        <v>0</v>
      </c>
      <c r="P2408" s="177"/>
      <c r="Q2408" s="177"/>
      <c r="R2408" s="177"/>
    </row>
    <row r="2409" spans="1:18" x14ac:dyDescent="0.25">
      <c r="A2409" s="29" t="s">
        <v>954</v>
      </c>
      <c r="B2409" s="29" t="s">
        <v>953</v>
      </c>
      <c r="C2409" s="29" t="s">
        <v>674</v>
      </c>
      <c r="D2409" s="29" t="str">
        <f>VLOOKUP(C:C,'COUNT-CONT'!B:C,2,FALSE)</f>
        <v>Oceania</v>
      </c>
      <c r="E2409" s="29">
        <v>4</v>
      </c>
      <c r="F2409" s="28">
        <v>1805</v>
      </c>
      <c r="G2409" s="28">
        <v>2718218282</v>
      </c>
      <c r="H2409" s="29">
        <v>7.22</v>
      </c>
      <c r="I2409" s="142">
        <v>-72.22</v>
      </c>
      <c r="J2409" s="29">
        <v>4.05</v>
      </c>
      <c r="K2409" s="29">
        <v>3.75</v>
      </c>
      <c r="L2409" s="29">
        <v>7.53</v>
      </c>
      <c r="M2409" s="368"/>
      <c r="N2409" s="368"/>
      <c r="O2409" s="271">
        <f>IFERROR(Table17[[#This Row],[PROFIT]]/Table17[[#This Row],[TO]],0)</f>
        <v>0</v>
      </c>
      <c r="P2409" s="177"/>
      <c r="Q2409" s="177"/>
      <c r="R2409" s="177"/>
    </row>
    <row r="2410" spans="1:18" hidden="1" x14ac:dyDescent="0.25">
      <c r="A2410" s="29" t="s">
        <v>907</v>
      </c>
      <c r="B2410" s="29" t="s">
        <v>906</v>
      </c>
      <c r="C2410" s="29" t="s">
        <v>585</v>
      </c>
      <c r="D2410" s="29" t="str">
        <f>VLOOKUP(C:C,'COUNT-CONT'!B:C,2,FALSE)</f>
        <v>Europe</v>
      </c>
      <c r="E2410" s="29">
        <v>3</v>
      </c>
      <c r="F2410" s="28">
        <v>1602</v>
      </c>
      <c r="G2410" s="28">
        <v>2829341697</v>
      </c>
      <c r="H2410" s="29">
        <v>7.22</v>
      </c>
      <c r="I2410" s="142">
        <v>-72.22</v>
      </c>
      <c r="J2410" s="29">
        <v>3.99</v>
      </c>
      <c r="K2410" s="29">
        <v>3.69</v>
      </c>
      <c r="L2410" s="29">
        <v>7.38</v>
      </c>
      <c r="M2410" s="368"/>
      <c r="N2410" s="368"/>
      <c r="O2410" s="271">
        <f>IFERROR(Table17[[#This Row],[PROFIT]]/Table17[[#This Row],[TO]],0)</f>
        <v>0</v>
      </c>
      <c r="P2410" s="177"/>
      <c r="Q2410" s="177"/>
      <c r="R2410" s="177"/>
    </row>
    <row r="2411" spans="1:18" hidden="1" x14ac:dyDescent="0.25">
      <c r="A2411" s="29" t="s">
        <v>760</v>
      </c>
      <c r="B2411" s="29" t="s">
        <v>759</v>
      </c>
      <c r="C2411" s="29" t="s">
        <v>758</v>
      </c>
      <c r="D2411" s="29" t="str">
        <f>VLOOKUP(C:C,'COUNT-CONT'!B:C,2,FALSE)</f>
        <v>Europe</v>
      </c>
      <c r="E2411" s="29">
        <v>6</v>
      </c>
      <c r="F2411" s="28">
        <v>2501</v>
      </c>
      <c r="G2411" s="28">
        <v>2475224070</v>
      </c>
      <c r="H2411" s="29">
        <v>7.22</v>
      </c>
      <c r="I2411" s="142">
        <v>-72.22</v>
      </c>
      <c r="J2411" s="29">
        <v>3.26</v>
      </c>
      <c r="K2411" s="29">
        <v>2.75</v>
      </c>
      <c r="L2411" s="29">
        <v>6.56</v>
      </c>
      <c r="M2411" s="368"/>
      <c r="N2411" s="368"/>
      <c r="O2411" s="271">
        <f>IFERROR(Table17[[#This Row],[PROFIT]]/Table17[[#This Row],[TO]],0)</f>
        <v>0</v>
      </c>
      <c r="P2411" s="177"/>
      <c r="Q2411" s="177"/>
      <c r="R2411" s="177"/>
    </row>
    <row r="2412" spans="1:18" x14ac:dyDescent="0.25">
      <c r="A2412" s="29" t="s">
        <v>1020</v>
      </c>
      <c r="B2412" s="29" t="s">
        <v>1019</v>
      </c>
      <c r="C2412" s="29" t="s">
        <v>774</v>
      </c>
      <c r="D2412" s="29" t="str">
        <f>VLOOKUP(C:C,'COUNT-CONT'!B:C,2,FALSE)</f>
        <v>Oceania</v>
      </c>
      <c r="E2412" s="29">
        <v>3</v>
      </c>
      <c r="F2412" s="28">
        <v>1617</v>
      </c>
      <c r="G2412" s="28">
        <v>2866072108</v>
      </c>
      <c r="H2412" s="29">
        <v>7.22</v>
      </c>
      <c r="I2412" s="142">
        <v>-72.22</v>
      </c>
      <c r="J2412" s="29">
        <v>4.29</v>
      </c>
      <c r="K2412" s="29">
        <v>3.99</v>
      </c>
      <c r="L2412" s="29">
        <v>7.71</v>
      </c>
      <c r="M2412" s="368"/>
      <c r="N2412" s="368"/>
      <c r="O2412" s="271">
        <f>IFERROR(Table17[[#This Row],[PROFIT]]/Table17[[#This Row],[TO]],0)</f>
        <v>0</v>
      </c>
      <c r="P2412" s="177"/>
      <c r="Q2412" s="177"/>
      <c r="R2412" s="177"/>
    </row>
    <row r="2413" spans="1:18" hidden="1" x14ac:dyDescent="0.25">
      <c r="A2413" s="29" t="s">
        <v>711</v>
      </c>
      <c r="B2413" s="29" t="s">
        <v>710</v>
      </c>
      <c r="C2413" s="29" t="s">
        <v>709</v>
      </c>
      <c r="D2413" s="29" t="str">
        <f>VLOOKUP(C:C,'COUNT-CONT'!B:C,2,FALSE)</f>
        <v>Asia</v>
      </c>
      <c r="E2413" s="29">
        <v>4</v>
      </c>
      <c r="F2413" s="28">
        <v>1801</v>
      </c>
      <c r="G2413" s="28">
        <v>2513171793</v>
      </c>
      <c r="H2413" s="29">
        <v>7.19</v>
      </c>
      <c r="I2413" s="142">
        <v>-72.25</v>
      </c>
      <c r="J2413" s="29">
        <v>2.84</v>
      </c>
      <c r="K2413" s="29">
        <v>2.36</v>
      </c>
      <c r="L2413" s="29">
        <v>6.2</v>
      </c>
      <c r="M2413" s="368"/>
      <c r="N2413" s="368"/>
      <c r="O2413" s="271">
        <f>IFERROR(Table17[[#This Row],[PROFIT]]/Table17[[#This Row],[TO]],0)</f>
        <v>0</v>
      </c>
      <c r="P2413" s="177"/>
      <c r="Q2413" s="177"/>
      <c r="R2413" s="177"/>
    </row>
    <row r="2414" spans="1:18" hidden="1" x14ac:dyDescent="0.25">
      <c r="A2414" s="29" t="s">
        <v>243</v>
      </c>
      <c r="B2414" s="29" t="s">
        <v>1651</v>
      </c>
      <c r="C2414" s="29" t="s">
        <v>560</v>
      </c>
      <c r="D2414" s="29" t="str">
        <f>VLOOKUP(C:C,'COUNT-CONT'!B:C,2,FALSE)</f>
        <v>Europe</v>
      </c>
      <c r="E2414" s="29">
        <v>6</v>
      </c>
      <c r="F2414" s="28">
        <v>2306</v>
      </c>
      <c r="G2414" s="28">
        <v>3073016478</v>
      </c>
      <c r="H2414" s="29">
        <v>7.19</v>
      </c>
      <c r="I2414" s="142">
        <v>-72.25</v>
      </c>
      <c r="J2414" s="29">
        <v>5.86</v>
      </c>
      <c r="K2414" s="29">
        <v>5.86</v>
      </c>
      <c r="L2414" s="29">
        <v>9.49</v>
      </c>
      <c r="M2414" s="368"/>
      <c r="N2414" s="368"/>
      <c r="O2414" s="271">
        <f>IFERROR(Table17[[#This Row],[PROFIT]]/Table17[[#This Row],[TO]],0)</f>
        <v>0</v>
      </c>
      <c r="P2414" s="177"/>
      <c r="Q2414" s="177"/>
      <c r="R2414" s="177"/>
    </row>
    <row r="2415" spans="1:18" ht="30" hidden="1" x14ac:dyDescent="0.25">
      <c r="A2415" s="29" t="s">
        <v>1193</v>
      </c>
      <c r="B2415" s="29" t="s">
        <v>1192</v>
      </c>
      <c r="C2415" s="29" t="s">
        <v>514</v>
      </c>
      <c r="D2415" s="29" t="str">
        <f>VLOOKUP(C:C,'COUNT-CONT'!B:C,2,FALSE)</f>
        <v>North America</v>
      </c>
      <c r="E2415" s="29">
        <v>6</v>
      </c>
      <c r="F2415" s="28">
        <v>2288</v>
      </c>
      <c r="G2415" s="28">
        <v>2799169230</v>
      </c>
      <c r="H2415" s="29">
        <v>7.19</v>
      </c>
      <c r="I2415" s="142">
        <v>-72.25</v>
      </c>
      <c r="J2415" s="29">
        <v>4.75</v>
      </c>
      <c r="K2415" s="29">
        <v>4.5599999999999996</v>
      </c>
      <c r="L2415" s="29">
        <v>8.19</v>
      </c>
      <c r="M2415" s="368"/>
      <c r="N2415" s="368"/>
      <c r="O2415" s="271">
        <f>IFERROR(Table17[[#This Row],[PROFIT]]/Table17[[#This Row],[TO]],0)</f>
        <v>0</v>
      </c>
      <c r="P2415" s="177"/>
      <c r="Q2415" s="177"/>
      <c r="R2415" s="177"/>
    </row>
    <row r="2416" spans="1:18" ht="30" hidden="1" x14ac:dyDescent="0.25">
      <c r="A2416" s="29" t="s">
        <v>1182</v>
      </c>
      <c r="B2416" s="29" t="s">
        <v>1181</v>
      </c>
      <c r="C2416" s="29" t="s">
        <v>514</v>
      </c>
      <c r="D2416" s="29" t="str">
        <f>VLOOKUP(C:C,'COUNT-CONT'!B:C,2,FALSE)</f>
        <v>North America</v>
      </c>
      <c r="E2416" s="29">
        <v>1</v>
      </c>
      <c r="F2416" s="28">
        <v>1159</v>
      </c>
      <c r="G2416" s="28">
        <v>3156294046</v>
      </c>
      <c r="H2416" s="29">
        <v>7.19</v>
      </c>
      <c r="I2416" s="142">
        <v>-72.25</v>
      </c>
      <c r="J2416" s="29">
        <v>4.75</v>
      </c>
      <c r="K2416" s="29">
        <v>4.59</v>
      </c>
      <c r="L2416" s="29">
        <v>8.19</v>
      </c>
      <c r="M2416" s="368"/>
      <c r="N2416" s="368"/>
      <c r="O2416" s="271">
        <f>IFERROR(Table17[[#This Row],[PROFIT]]/Table17[[#This Row],[TO]],0)</f>
        <v>0</v>
      </c>
      <c r="P2416" s="177"/>
      <c r="Q2416" s="177"/>
      <c r="R2416" s="177"/>
    </row>
    <row r="2417" spans="1:18" x14ac:dyDescent="0.25">
      <c r="A2417" s="29" t="s">
        <v>989</v>
      </c>
      <c r="B2417" s="29" t="s">
        <v>988</v>
      </c>
      <c r="C2417" s="29" t="s">
        <v>774</v>
      </c>
      <c r="D2417" s="29" t="str">
        <f>VLOOKUP(C:C,'COUNT-CONT'!B:C,2,FALSE)</f>
        <v>Oceania</v>
      </c>
      <c r="E2417" s="29">
        <v>3</v>
      </c>
      <c r="F2417" s="28">
        <v>1617</v>
      </c>
      <c r="G2417" s="28">
        <v>2858072108</v>
      </c>
      <c r="H2417" s="29">
        <v>7.16</v>
      </c>
      <c r="I2417" s="142">
        <v>-72.28</v>
      </c>
      <c r="J2417" s="29">
        <v>4.26</v>
      </c>
      <c r="K2417" s="29">
        <v>3.96</v>
      </c>
      <c r="L2417" s="29">
        <v>7.65</v>
      </c>
      <c r="M2417" s="368"/>
      <c r="N2417" s="368"/>
      <c r="O2417" s="271">
        <f>IFERROR(Table17[[#This Row],[PROFIT]]/Table17[[#This Row],[TO]],0)</f>
        <v>0</v>
      </c>
      <c r="P2417" s="177"/>
      <c r="Q2417" s="177"/>
      <c r="R2417" s="177"/>
    </row>
    <row r="2418" spans="1:18" ht="30" hidden="1" x14ac:dyDescent="0.25">
      <c r="A2418" s="29" t="s">
        <v>1639</v>
      </c>
      <c r="B2418" s="29" t="s">
        <v>1638</v>
      </c>
      <c r="C2418" s="29" t="s">
        <v>11732</v>
      </c>
      <c r="D2418" s="29" t="str">
        <f>VLOOKUP(C:C,'COUNT-CONT'!B:C,2,FALSE)</f>
        <v>North America</v>
      </c>
      <c r="E2418" s="29">
        <v>3</v>
      </c>
      <c r="F2418" s="28">
        <v>1528</v>
      </c>
      <c r="G2418" s="28">
        <v>3235295287</v>
      </c>
      <c r="H2418" s="29">
        <v>7.16</v>
      </c>
      <c r="I2418" s="142">
        <v>-72.28</v>
      </c>
      <c r="J2418" s="29">
        <v>5.86</v>
      </c>
      <c r="K2418" s="29">
        <v>5.86</v>
      </c>
      <c r="L2418" s="29">
        <v>9.4600000000000009</v>
      </c>
      <c r="M2418" s="368"/>
      <c r="N2418" s="368"/>
      <c r="O2418" s="271">
        <f>IFERROR(Table17[[#This Row],[PROFIT]]/Table17[[#This Row],[TO]],0)</f>
        <v>0</v>
      </c>
      <c r="P2418" s="177"/>
      <c r="Q2418" s="177"/>
      <c r="R2418" s="177"/>
    </row>
    <row r="2419" spans="1:18" ht="30" hidden="1" x14ac:dyDescent="0.25">
      <c r="A2419" s="29" t="s">
        <v>1629</v>
      </c>
      <c r="B2419" s="29" t="s">
        <v>1628</v>
      </c>
      <c r="C2419" s="29" t="s">
        <v>11732</v>
      </c>
      <c r="D2419" s="29" t="str">
        <f>VLOOKUP(C:C,'COUNT-CONT'!B:C,2,FALSE)</f>
        <v>North America</v>
      </c>
      <c r="E2419" s="29">
        <v>5</v>
      </c>
      <c r="F2419" s="28">
        <v>2137</v>
      </c>
      <c r="G2419" s="28">
        <v>3087740290</v>
      </c>
      <c r="H2419" s="29">
        <v>7.16</v>
      </c>
      <c r="I2419" s="142">
        <v>-72.28</v>
      </c>
      <c r="J2419" s="29">
        <v>5.83</v>
      </c>
      <c r="K2419" s="29">
        <v>5.83</v>
      </c>
      <c r="L2419" s="29">
        <v>9.43</v>
      </c>
      <c r="M2419" s="368"/>
      <c r="N2419" s="368"/>
      <c r="O2419" s="271">
        <f>IFERROR(Table17[[#This Row],[PROFIT]]/Table17[[#This Row],[TO]],0)</f>
        <v>0</v>
      </c>
      <c r="P2419" s="177"/>
      <c r="Q2419" s="177"/>
      <c r="R2419" s="177"/>
    </row>
    <row r="2420" spans="1:18" ht="30" hidden="1" x14ac:dyDescent="0.25">
      <c r="A2420" s="29" t="s">
        <v>1641</v>
      </c>
      <c r="B2420" s="29" t="s">
        <v>1640</v>
      </c>
      <c r="C2420" s="29" t="s">
        <v>11732</v>
      </c>
      <c r="D2420" s="29" t="str">
        <f>VLOOKUP(C:C,'COUNT-CONT'!B:C,2,FALSE)</f>
        <v>North America</v>
      </c>
      <c r="E2420" s="29">
        <v>4</v>
      </c>
      <c r="F2420" s="28">
        <v>1984</v>
      </c>
      <c r="G2420" s="28">
        <v>3113735483</v>
      </c>
      <c r="H2420" s="29">
        <v>7.16</v>
      </c>
      <c r="I2420" s="142">
        <v>-72.28</v>
      </c>
      <c r="J2420" s="29">
        <v>5.86</v>
      </c>
      <c r="K2420" s="29">
        <v>5.86</v>
      </c>
      <c r="L2420" s="29">
        <v>9.4600000000000009</v>
      </c>
      <c r="M2420" s="368"/>
      <c r="N2420" s="368"/>
      <c r="O2420" s="271">
        <f>IFERROR(Table17[[#This Row],[PROFIT]]/Table17[[#This Row],[TO]],0)</f>
        <v>0</v>
      </c>
      <c r="P2420" s="177"/>
      <c r="Q2420" s="177"/>
      <c r="R2420" s="177"/>
    </row>
    <row r="2421" spans="1:18" hidden="1" x14ac:dyDescent="0.25">
      <c r="A2421" s="29" t="s">
        <v>792</v>
      </c>
      <c r="B2421" s="29" t="s">
        <v>791</v>
      </c>
      <c r="C2421" s="29" t="s">
        <v>496</v>
      </c>
      <c r="D2421" s="29" t="str">
        <f>VLOOKUP(C:C,'COUNT-CONT'!B:C,2,FALSE)</f>
        <v>Europe</v>
      </c>
      <c r="E2421" s="29">
        <v>2</v>
      </c>
      <c r="F2421" s="28">
        <v>1299</v>
      </c>
      <c r="G2421" s="28">
        <v>2772605234</v>
      </c>
      <c r="H2421" s="29">
        <v>7.16</v>
      </c>
      <c r="I2421" s="142">
        <v>-72.28</v>
      </c>
      <c r="J2421" s="29">
        <v>3.39</v>
      </c>
      <c r="K2421" s="29">
        <v>3.11</v>
      </c>
      <c r="L2421" s="29">
        <v>6.77</v>
      </c>
      <c r="M2421" s="368"/>
      <c r="N2421" s="368"/>
      <c r="O2421" s="271">
        <f>IFERROR(Table17[[#This Row],[PROFIT]]/Table17[[#This Row],[TO]],0)</f>
        <v>0</v>
      </c>
      <c r="P2421" s="177"/>
      <c r="Q2421" s="177"/>
      <c r="R2421" s="177"/>
    </row>
    <row r="2422" spans="1:18" ht="30" hidden="1" x14ac:dyDescent="0.25">
      <c r="A2422" s="29" t="s">
        <v>693</v>
      </c>
      <c r="B2422" s="29" t="s">
        <v>692</v>
      </c>
      <c r="C2422" s="29" t="s">
        <v>545</v>
      </c>
      <c r="D2422" s="29" t="str">
        <f>VLOOKUP(C:C,'COUNT-CONT'!B:C,2,FALSE)</f>
        <v>South America</v>
      </c>
      <c r="E2422" s="29">
        <v>1</v>
      </c>
      <c r="F2422" s="28">
        <v>1040</v>
      </c>
      <c r="G2422" s="28">
        <v>2876092307</v>
      </c>
      <c r="H2422" s="29">
        <v>7.13</v>
      </c>
      <c r="I2422" s="142">
        <v>-72.31</v>
      </c>
      <c r="J2422" s="29">
        <v>2.81</v>
      </c>
      <c r="K2422" s="29">
        <v>2.4500000000000002</v>
      </c>
      <c r="L2422" s="29">
        <v>6.14</v>
      </c>
      <c r="M2422" s="368"/>
      <c r="N2422" s="368"/>
      <c r="O2422" s="271">
        <f>IFERROR(Table17[[#This Row],[PROFIT]]/Table17[[#This Row],[TO]],0)</f>
        <v>0</v>
      </c>
      <c r="P2422" s="177"/>
      <c r="Q2422" s="177"/>
      <c r="R2422" s="177"/>
    </row>
    <row r="2423" spans="1:18" ht="30" x14ac:dyDescent="0.25">
      <c r="A2423" s="29" t="s">
        <v>790</v>
      </c>
      <c r="B2423" s="29" t="s">
        <v>789</v>
      </c>
      <c r="C2423" s="29" t="s">
        <v>662</v>
      </c>
      <c r="D2423" s="29" t="str">
        <f>VLOOKUP(C:C,'COUNT-CONT'!B:C,2,FALSE)</f>
        <v>Oceania</v>
      </c>
      <c r="E2423" s="29">
        <v>4</v>
      </c>
      <c r="F2423" s="28">
        <v>2001</v>
      </c>
      <c r="G2423" s="28">
        <v>2555925137</v>
      </c>
      <c r="H2423" s="29">
        <v>7.13</v>
      </c>
      <c r="I2423" s="142">
        <v>-72.31</v>
      </c>
      <c r="J2423" s="29">
        <v>3.48</v>
      </c>
      <c r="K2423" s="29">
        <v>2.96</v>
      </c>
      <c r="L2423" s="29">
        <v>6.74</v>
      </c>
      <c r="M2423" s="368"/>
      <c r="N2423" s="368"/>
      <c r="O2423" s="271">
        <f>IFERROR(Table17[[#This Row],[PROFIT]]/Table17[[#This Row],[TO]],0)</f>
        <v>0</v>
      </c>
      <c r="P2423" s="177"/>
      <c r="Q2423" s="177"/>
      <c r="R2423" s="177"/>
    </row>
    <row r="2424" spans="1:18" ht="30" hidden="1" x14ac:dyDescent="0.25">
      <c r="A2424" s="29" t="s">
        <v>1610</v>
      </c>
      <c r="B2424" s="29" t="s">
        <v>1609</v>
      </c>
      <c r="C2424" s="29" t="s">
        <v>11732</v>
      </c>
      <c r="D2424" s="29" t="str">
        <f>VLOOKUP(C:C,'COUNT-CONT'!B:C,2,FALSE)</f>
        <v>North America</v>
      </c>
      <c r="E2424" s="29">
        <v>6</v>
      </c>
      <c r="F2424" s="28">
        <v>2504</v>
      </c>
      <c r="G2424" s="28">
        <v>3045697124</v>
      </c>
      <c r="H2424" s="29">
        <v>7.13</v>
      </c>
      <c r="I2424" s="142">
        <v>-72.31</v>
      </c>
      <c r="J2424" s="29">
        <v>5.83</v>
      </c>
      <c r="K2424" s="29">
        <v>5.83</v>
      </c>
      <c r="L2424" s="29">
        <v>9.4</v>
      </c>
      <c r="M2424" s="368"/>
      <c r="N2424" s="368"/>
      <c r="O2424" s="271">
        <f>IFERROR(Table17[[#This Row],[PROFIT]]/Table17[[#This Row],[TO]],0)</f>
        <v>0</v>
      </c>
      <c r="P2424" s="177"/>
      <c r="Q2424" s="177"/>
      <c r="R2424" s="177"/>
    </row>
    <row r="2425" spans="1:18" ht="30" hidden="1" x14ac:dyDescent="0.25">
      <c r="A2425" s="29" t="s">
        <v>1612</v>
      </c>
      <c r="B2425" s="29" t="s">
        <v>1611</v>
      </c>
      <c r="C2425" s="29" t="s">
        <v>11732</v>
      </c>
      <c r="D2425" s="29" t="str">
        <f>VLOOKUP(C:C,'COUNT-CONT'!B:C,2,FALSE)</f>
        <v>North America</v>
      </c>
      <c r="E2425" s="29">
        <v>7</v>
      </c>
      <c r="F2425" s="28">
        <v>2534</v>
      </c>
      <c r="G2425" s="28">
        <v>3043496290</v>
      </c>
      <c r="H2425" s="29">
        <v>7.13</v>
      </c>
      <c r="I2425" s="142">
        <v>-72.31</v>
      </c>
      <c r="J2425" s="29">
        <v>5.83</v>
      </c>
      <c r="K2425" s="29">
        <v>5.83</v>
      </c>
      <c r="L2425" s="29">
        <v>9.4</v>
      </c>
      <c r="M2425" s="368"/>
      <c r="N2425" s="368"/>
      <c r="O2425" s="271">
        <f>IFERROR(Table17[[#This Row],[PROFIT]]/Table17[[#This Row],[TO]],0)</f>
        <v>0</v>
      </c>
      <c r="P2425" s="177"/>
      <c r="Q2425" s="177"/>
      <c r="R2425" s="177"/>
    </row>
    <row r="2426" spans="1:18" hidden="1" x14ac:dyDescent="0.25">
      <c r="A2426" s="29" t="s">
        <v>615</v>
      </c>
      <c r="B2426" s="29" t="s">
        <v>614</v>
      </c>
      <c r="C2426" s="29" t="s">
        <v>493</v>
      </c>
      <c r="D2426" s="29" t="str">
        <f>VLOOKUP(C:C,'COUNT-CONT'!B:C,2,FALSE)</f>
        <v>Africa</v>
      </c>
      <c r="E2426" s="29">
        <v>8</v>
      </c>
      <c r="F2426" s="28">
        <v>1500</v>
      </c>
      <c r="G2426" s="28">
        <v>2674733333</v>
      </c>
      <c r="H2426" s="29">
        <v>7.1</v>
      </c>
      <c r="I2426" s="142">
        <v>-72.34</v>
      </c>
      <c r="J2426" s="29">
        <v>2.2999999999999998</v>
      </c>
      <c r="K2426" s="29">
        <v>1.63</v>
      </c>
      <c r="L2426" s="29">
        <v>5.47</v>
      </c>
      <c r="M2426" s="368"/>
      <c r="N2426" s="368"/>
      <c r="O2426" s="271">
        <f>IFERROR(Table17[[#This Row],[PROFIT]]/Table17[[#This Row],[TO]],0)</f>
        <v>0</v>
      </c>
      <c r="P2426" s="177"/>
      <c r="Q2426" s="177"/>
      <c r="R2426" s="177"/>
    </row>
    <row r="2427" spans="1:18" ht="30" hidden="1" x14ac:dyDescent="0.25">
      <c r="A2427" s="29" t="s">
        <v>1132</v>
      </c>
      <c r="B2427" s="29" t="s">
        <v>1131</v>
      </c>
      <c r="C2427" s="29" t="s">
        <v>514</v>
      </c>
      <c r="D2427" s="29" t="str">
        <f>VLOOKUP(C:C,'COUNT-CONT'!B:C,2,FALSE)</f>
        <v>North America</v>
      </c>
      <c r="E2427" s="29">
        <v>2</v>
      </c>
      <c r="F2427" s="28">
        <v>1281</v>
      </c>
      <c r="G2427" s="28">
        <v>3062104137</v>
      </c>
      <c r="H2427" s="29">
        <v>7.1</v>
      </c>
      <c r="I2427" s="142">
        <v>-72.34</v>
      </c>
      <c r="J2427" s="29">
        <v>4.6900000000000004</v>
      </c>
      <c r="K2427" s="29">
        <v>4.5</v>
      </c>
      <c r="L2427" s="29">
        <v>8.07</v>
      </c>
      <c r="M2427" s="368"/>
      <c r="N2427" s="368"/>
      <c r="O2427" s="271">
        <f>IFERROR(Table17[[#This Row],[PROFIT]]/Table17[[#This Row],[TO]],0)</f>
        <v>0</v>
      </c>
      <c r="P2427" s="177"/>
      <c r="Q2427" s="177"/>
      <c r="R2427" s="177"/>
    </row>
    <row r="2428" spans="1:18" ht="30" hidden="1" x14ac:dyDescent="0.25">
      <c r="A2428" s="29" t="s">
        <v>1128</v>
      </c>
      <c r="B2428" s="29" t="s">
        <v>1127</v>
      </c>
      <c r="C2428" s="29" t="s">
        <v>514</v>
      </c>
      <c r="D2428" s="29" t="str">
        <f>VLOOKUP(C:C,'COUNT-CONT'!B:C,2,FALSE)</f>
        <v>North America</v>
      </c>
      <c r="E2428" s="29">
        <v>1</v>
      </c>
      <c r="F2428" s="28">
        <v>1071</v>
      </c>
      <c r="G2428" s="28">
        <v>3209477497</v>
      </c>
      <c r="H2428" s="29">
        <v>7.1</v>
      </c>
      <c r="I2428" s="142">
        <v>-72.34</v>
      </c>
      <c r="J2428" s="29">
        <v>4.6900000000000004</v>
      </c>
      <c r="K2428" s="29">
        <v>4.5</v>
      </c>
      <c r="L2428" s="29">
        <v>8.07</v>
      </c>
      <c r="M2428" s="368"/>
      <c r="N2428" s="368"/>
      <c r="O2428" s="271">
        <f>IFERROR(Table17[[#This Row],[PROFIT]]/Table17[[#This Row],[TO]],0)</f>
        <v>0</v>
      </c>
      <c r="P2428" s="177"/>
      <c r="Q2428" s="177"/>
      <c r="R2428" s="177"/>
    </row>
    <row r="2429" spans="1:18" hidden="1" x14ac:dyDescent="0.25">
      <c r="A2429" s="29" t="s">
        <v>729</v>
      </c>
      <c r="B2429" s="29" t="s">
        <v>728</v>
      </c>
      <c r="C2429" s="29" t="s">
        <v>605</v>
      </c>
      <c r="D2429" s="29" t="str">
        <f>VLOOKUP(C:C,'COUNT-CONT'!B:C,2,FALSE)</f>
        <v>Europe</v>
      </c>
      <c r="E2429" s="29">
        <v>5</v>
      </c>
      <c r="F2429" s="28">
        <v>2091</v>
      </c>
      <c r="G2429" s="28">
        <v>2610064084</v>
      </c>
      <c r="H2429" s="29">
        <v>7.1</v>
      </c>
      <c r="I2429" s="142">
        <v>-72.34</v>
      </c>
      <c r="J2429" s="29">
        <v>3.02</v>
      </c>
      <c r="K2429" s="29">
        <v>2.66</v>
      </c>
      <c r="L2429" s="29">
        <v>6.35</v>
      </c>
      <c r="M2429" s="368"/>
      <c r="N2429" s="368"/>
      <c r="O2429" s="271">
        <f>IFERROR(Table17[[#This Row],[PROFIT]]/Table17[[#This Row],[TO]],0)</f>
        <v>0</v>
      </c>
      <c r="P2429" s="177"/>
      <c r="Q2429" s="177"/>
      <c r="R2429" s="177"/>
    </row>
    <row r="2430" spans="1:18" ht="30" hidden="1" x14ac:dyDescent="0.25">
      <c r="A2430" s="29" t="s">
        <v>1143</v>
      </c>
      <c r="B2430" s="29" t="s">
        <v>1142</v>
      </c>
      <c r="C2430" s="29" t="s">
        <v>514</v>
      </c>
      <c r="D2430" s="29" t="str">
        <f>VLOOKUP(C:C,'COUNT-CONT'!B:C,2,FALSE)</f>
        <v>North America</v>
      </c>
      <c r="E2430" s="29">
        <v>3</v>
      </c>
      <c r="F2430" s="28">
        <v>1701</v>
      </c>
      <c r="G2430" s="28">
        <v>2892078424</v>
      </c>
      <c r="H2430" s="29">
        <v>7.1</v>
      </c>
      <c r="I2430" s="142">
        <v>-72.34</v>
      </c>
      <c r="J2430" s="29">
        <v>4.6900000000000004</v>
      </c>
      <c r="K2430" s="29">
        <v>4.5</v>
      </c>
      <c r="L2430" s="29">
        <v>8.07</v>
      </c>
      <c r="M2430" s="368"/>
      <c r="N2430" s="368"/>
      <c r="O2430" s="271">
        <f>IFERROR(Table17[[#This Row],[PROFIT]]/Table17[[#This Row],[TO]],0)</f>
        <v>0</v>
      </c>
      <c r="P2430" s="177"/>
      <c r="Q2430" s="177"/>
      <c r="R2430" s="177"/>
    </row>
    <row r="2431" spans="1:18" ht="30" hidden="1" x14ac:dyDescent="0.25">
      <c r="A2431" s="29" t="s">
        <v>1130</v>
      </c>
      <c r="B2431" s="29" t="s">
        <v>1129</v>
      </c>
      <c r="C2431" s="29" t="s">
        <v>514</v>
      </c>
      <c r="D2431" s="29" t="str">
        <f>VLOOKUP(C:C,'COUNT-CONT'!B:C,2,FALSE)</f>
        <v>North America</v>
      </c>
      <c r="E2431" s="29">
        <v>1</v>
      </c>
      <c r="F2431" s="28">
        <v>1202</v>
      </c>
      <c r="G2431" s="28">
        <v>3110641430</v>
      </c>
      <c r="H2431" s="29">
        <v>7.1</v>
      </c>
      <c r="I2431" s="142">
        <v>-72.34</v>
      </c>
      <c r="J2431" s="29">
        <v>4.6900000000000004</v>
      </c>
      <c r="K2431" s="29">
        <v>4.5</v>
      </c>
      <c r="L2431" s="29">
        <v>8.07</v>
      </c>
      <c r="M2431" s="368"/>
      <c r="N2431" s="368"/>
      <c r="O2431" s="271">
        <f>IFERROR(Table17[[#This Row],[PROFIT]]/Table17[[#This Row],[TO]],0)</f>
        <v>0</v>
      </c>
      <c r="P2431" s="177"/>
      <c r="Q2431" s="177"/>
      <c r="R2431" s="177"/>
    </row>
    <row r="2432" spans="1:18" ht="30" hidden="1" x14ac:dyDescent="0.25">
      <c r="A2432" s="29" t="s">
        <v>1158</v>
      </c>
      <c r="B2432" s="29" t="s">
        <v>1157</v>
      </c>
      <c r="C2432" s="29" t="s">
        <v>514</v>
      </c>
      <c r="D2432" s="29" t="str">
        <f>VLOOKUP(C:C,'COUNT-CONT'!B:C,2,FALSE)</f>
        <v>North America</v>
      </c>
      <c r="E2432" s="29">
        <v>2</v>
      </c>
      <c r="F2432" s="28">
        <v>1291</v>
      </c>
      <c r="G2432" s="28">
        <v>3058052672</v>
      </c>
      <c r="H2432" s="29">
        <v>7.1</v>
      </c>
      <c r="I2432" s="142">
        <v>-72.34</v>
      </c>
      <c r="J2432" s="29">
        <v>4.6900000000000004</v>
      </c>
      <c r="K2432" s="29">
        <v>4.53</v>
      </c>
      <c r="L2432" s="29">
        <v>8.1</v>
      </c>
      <c r="M2432" s="368"/>
      <c r="N2432" s="368"/>
      <c r="O2432" s="271">
        <f>IFERROR(Table17[[#This Row],[PROFIT]]/Table17[[#This Row],[TO]],0)</f>
        <v>0</v>
      </c>
      <c r="P2432" s="177"/>
      <c r="Q2432" s="177"/>
      <c r="R2432" s="177"/>
    </row>
    <row r="2433" spans="1:18" ht="30" hidden="1" x14ac:dyDescent="0.25">
      <c r="A2433" s="29" t="s">
        <v>1563</v>
      </c>
      <c r="B2433" s="29" t="s">
        <v>1562</v>
      </c>
      <c r="C2433" s="29" t="s">
        <v>11732</v>
      </c>
      <c r="D2433" s="29" t="str">
        <f>VLOOKUP(C:C,'COUNT-CONT'!B:C,2,FALSE)</f>
        <v>North America</v>
      </c>
      <c r="E2433" s="29">
        <v>1</v>
      </c>
      <c r="F2433" s="28">
        <v>1008</v>
      </c>
      <c r="G2433" s="28">
        <v>3535469841</v>
      </c>
      <c r="H2433" s="29">
        <v>7.07</v>
      </c>
      <c r="I2433" s="142">
        <v>-72.37</v>
      </c>
      <c r="J2433" s="29">
        <v>5.77</v>
      </c>
      <c r="K2433" s="29">
        <v>5.77</v>
      </c>
      <c r="L2433" s="29">
        <v>9.31</v>
      </c>
      <c r="M2433" s="368"/>
      <c r="N2433" s="368"/>
      <c r="O2433" s="271">
        <f>IFERROR(Table17[[#This Row],[PROFIT]]/Table17[[#This Row],[TO]],0)</f>
        <v>0</v>
      </c>
      <c r="P2433" s="177"/>
      <c r="Q2433" s="177"/>
      <c r="R2433" s="177"/>
    </row>
    <row r="2434" spans="1:18" ht="30" hidden="1" x14ac:dyDescent="0.25">
      <c r="A2434" s="29" t="s">
        <v>1592</v>
      </c>
      <c r="B2434" s="29" t="s">
        <v>1591</v>
      </c>
      <c r="C2434" s="29" t="s">
        <v>11732</v>
      </c>
      <c r="D2434" s="29" t="str">
        <f>VLOOKUP(C:C,'COUNT-CONT'!B:C,2,FALSE)</f>
        <v>North America</v>
      </c>
      <c r="E2434" s="29">
        <v>5</v>
      </c>
      <c r="F2434" s="28">
        <v>2106</v>
      </c>
      <c r="G2434" s="28">
        <v>3077817188</v>
      </c>
      <c r="H2434" s="29">
        <v>7.07</v>
      </c>
      <c r="I2434" s="142">
        <v>-72.37</v>
      </c>
      <c r="J2434" s="29">
        <v>5.77</v>
      </c>
      <c r="K2434" s="29">
        <v>5.77</v>
      </c>
      <c r="L2434" s="29">
        <v>9.34</v>
      </c>
      <c r="M2434" s="368"/>
      <c r="N2434" s="368"/>
      <c r="O2434" s="271">
        <f>IFERROR(Table17[[#This Row],[PROFIT]]/Table17[[#This Row],[TO]],0)</f>
        <v>0</v>
      </c>
      <c r="P2434" s="177"/>
      <c r="Q2434" s="177"/>
      <c r="R2434" s="177"/>
    </row>
    <row r="2435" spans="1:18" ht="30" hidden="1" x14ac:dyDescent="0.25">
      <c r="A2435" s="29" t="s">
        <v>1575</v>
      </c>
      <c r="B2435" s="29" t="s">
        <v>1574</v>
      </c>
      <c r="C2435" s="29" t="s">
        <v>11732</v>
      </c>
      <c r="D2435" s="29" t="str">
        <f>VLOOKUP(C:C,'COUNT-CONT'!B:C,2,FALSE)</f>
        <v>North America</v>
      </c>
      <c r="E2435" s="29">
        <v>6</v>
      </c>
      <c r="F2435" s="28">
        <v>2270</v>
      </c>
      <c r="G2435" s="28">
        <v>3053281497</v>
      </c>
      <c r="H2435" s="29">
        <v>7.07</v>
      </c>
      <c r="I2435" s="142">
        <v>-72.37</v>
      </c>
      <c r="J2435" s="29">
        <v>5.74</v>
      </c>
      <c r="K2435" s="29">
        <v>5.74</v>
      </c>
      <c r="L2435" s="29">
        <v>9.31</v>
      </c>
      <c r="M2435" s="368"/>
      <c r="N2435" s="368"/>
      <c r="O2435" s="271">
        <f>IFERROR(Table17[[#This Row],[PROFIT]]/Table17[[#This Row],[TO]],0)</f>
        <v>0</v>
      </c>
      <c r="P2435" s="177"/>
      <c r="Q2435" s="177"/>
      <c r="R2435" s="177"/>
    </row>
    <row r="2436" spans="1:18" ht="30" hidden="1" x14ac:dyDescent="0.25">
      <c r="A2436" s="29" t="s">
        <v>1134</v>
      </c>
      <c r="B2436" s="29" t="s">
        <v>1133</v>
      </c>
      <c r="C2436" s="29" t="s">
        <v>514</v>
      </c>
      <c r="D2436" s="29" t="str">
        <f>VLOOKUP(C:C,'COUNT-CONT'!B:C,2,FALSE)</f>
        <v>North America</v>
      </c>
      <c r="E2436" s="29">
        <v>2</v>
      </c>
      <c r="F2436" s="28">
        <v>1291</v>
      </c>
      <c r="G2436" s="28">
        <v>3053252672</v>
      </c>
      <c r="H2436" s="29">
        <v>7.07</v>
      </c>
      <c r="I2436" s="142">
        <v>-72.37</v>
      </c>
      <c r="J2436" s="29">
        <v>4.66</v>
      </c>
      <c r="K2436" s="29">
        <v>4.5</v>
      </c>
      <c r="L2436" s="29">
        <v>8.07</v>
      </c>
      <c r="M2436" s="368"/>
      <c r="N2436" s="368"/>
      <c r="O2436" s="271">
        <f>IFERROR(Table17[[#This Row],[PROFIT]]/Table17[[#This Row],[TO]],0)</f>
        <v>0</v>
      </c>
      <c r="P2436" s="177"/>
      <c r="Q2436" s="177"/>
      <c r="R2436" s="177"/>
    </row>
    <row r="2437" spans="1:18" hidden="1" x14ac:dyDescent="0.25">
      <c r="A2437" s="29" t="s">
        <v>1545</v>
      </c>
      <c r="B2437" s="29" t="s">
        <v>1544</v>
      </c>
      <c r="C2437" s="29" t="s">
        <v>560</v>
      </c>
      <c r="D2437" s="29" t="str">
        <f>VLOOKUP(C:C,'COUNT-CONT'!B:C,2,FALSE)</f>
        <v>Europe</v>
      </c>
      <c r="E2437" s="29">
        <v>4</v>
      </c>
      <c r="F2437" s="28">
        <v>1802</v>
      </c>
      <c r="G2437" s="28">
        <v>3127632852</v>
      </c>
      <c r="H2437" s="29">
        <v>7.04</v>
      </c>
      <c r="I2437" s="142">
        <v>-72.399999999999991</v>
      </c>
      <c r="J2437" s="29">
        <v>5.74</v>
      </c>
      <c r="K2437" s="29">
        <v>5.74</v>
      </c>
      <c r="L2437" s="29">
        <v>9.2799999999999994</v>
      </c>
      <c r="M2437" s="368"/>
      <c r="N2437" s="368"/>
      <c r="O2437" s="271">
        <f>IFERROR(Table17[[#This Row],[PROFIT]]/Table17[[#This Row],[TO]],0)</f>
        <v>0</v>
      </c>
      <c r="P2437" s="177"/>
      <c r="Q2437" s="177"/>
      <c r="R2437" s="177"/>
    </row>
    <row r="2438" spans="1:18" ht="30" hidden="1" x14ac:dyDescent="0.25">
      <c r="A2438" s="29" t="s">
        <v>1549</v>
      </c>
      <c r="B2438" s="29" t="s">
        <v>1548</v>
      </c>
      <c r="C2438" s="29" t="s">
        <v>11732</v>
      </c>
      <c r="D2438" s="29" t="str">
        <f>VLOOKUP(C:C,'COUNT-CONT'!B:C,2,FALSE)</f>
        <v>North America</v>
      </c>
      <c r="E2438" s="29">
        <v>4</v>
      </c>
      <c r="F2438" s="28">
        <v>1938</v>
      </c>
      <c r="G2438" s="28">
        <v>3098295459</v>
      </c>
      <c r="H2438" s="29">
        <v>7.04</v>
      </c>
      <c r="I2438" s="142">
        <v>-72.399999999999991</v>
      </c>
      <c r="J2438" s="29">
        <v>5.74</v>
      </c>
      <c r="K2438" s="29">
        <v>5.74</v>
      </c>
      <c r="L2438" s="29">
        <v>9.2799999999999994</v>
      </c>
      <c r="M2438" s="368"/>
      <c r="N2438" s="368"/>
      <c r="O2438" s="271">
        <f>IFERROR(Table17[[#This Row],[PROFIT]]/Table17[[#This Row],[TO]],0)</f>
        <v>0</v>
      </c>
      <c r="P2438" s="177"/>
      <c r="Q2438" s="177"/>
      <c r="R2438" s="177"/>
    </row>
    <row r="2439" spans="1:18" ht="30" hidden="1" x14ac:dyDescent="0.25">
      <c r="A2439" s="29" t="s">
        <v>1547</v>
      </c>
      <c r="B2439" s="29" t="s">
        <v>1546</v>
      </c>
      <c r="C2439" s="29" t="s">
        <v>11732</v>
      </c>
      <c r="D2439" s="29" t="str">
        <f>VLOOKUP(C:C,'COUNT-CONT'!B:C,2,FALSE)</f>
        <v>North America</v>
      </c>
      <c r="E2439" s="29">
        <v>4</v>
      </c>
      <c r="F2439" s="28">
        <v>1923</v>
      </c>
      <c r="G2439" s="28">
        <v>3104422880</v>
      </c>
      <c r="H2439" s="29">
        <v>7.04</v>
      </c>
      <c r="I2439" s="142">
        <v>-72.399999999999991</v>
      </c>
      <c r="J2439" s="29">
        <v>5.74</v>
      </c>
      <c r="K2439" s="29">
        <v>5.74</v>
      </c>
      <c r="L2439" s="29">
        <v>9.2799999999999994</v>
      </c>
      <c r="M2439" s="368"/>
      <c r="N2439" s="368"/>
      <c r="O2439" s="271">
        <f>IFERROR(Table17[[#This Row],[PROFIT]]/Table17[[#This Row],[TO]],0)</f>
        <v>0</v>
      </c>
      <c r="P2439" s="177"/>
      <c r="Q2439" s="177"/>
      <c r="R2439" s="177"/>
    </row>
    <row r="2440" spans="1:18" ht="30" hidden="1" x14ac:dyDescent="0.25">
      <c r="A2440" s="29" t="s">
        <v>1557</v>
      </c>
      <c r="B2440" s="29" t="s">
        <v>1556</v>
      </c>
      <c r="C2440" s="29" t="s">
        <v>11732</v>
      </c>
      <c r="D2440" s="29" t="str">
        <f>VLOOKUP(C:C,'COUNT-CONT'!B:C,2,FALSE)</f>
        <v>North America</v>
      </c>
      <c r="E2440" s="29">
        <v>5</v>
      </c>
      <c r="F2440" s="28">
        <v>2137</v>
      </c>
      <c r="G2440" s="28">
        <v>3066940290</v>
      </c>
      <c r="H2440" s="29">
        <v>7.04</v>
      </c>
      <c r="I2440" s="142">
        <v>-72.399999999999991</v>
      </c>
      <c r="J2440" s="29">
        <v>5.74</v>
      </c>
      <c r="K2440" s="29">
        <v>5.74</v>
      </c>
      <c r="L2440" s="29">
        <v>9.2799999999999994</v>
      </c>
      <c r="M2440" s="368"/>
      <c r="N2440" s="368"/>
      <c r="O2440" s="271">
        <f>IFERROR(Table17[[#This Row],[PROFIT]]/Table17[[#This Row],[TO]],0)</f>
        <v>0</v>
      </c>
      <c r="P2440" s="177"/>
      <c r="Q2440" s="177"/>
      <c r="R2440" s="177"/>
    </row>
    <row r="2441" spans="1:18" ht="30" hidden="1" x14ac:dyDescent="0.25">
      <c r="A2441" s="29" t="s">
        <v>1555</v>
      </c>
      <c r="B2441" s="29" t="s">
        <v>1554</v>
      </c>
      <c r="C2441" s="29" t="s">
        <v>11732</v>
      </c>
      <c r="D2441" s="29" t="str">
        <f>VLOOKUP(C:C,'COUNT-CONT'!B:C,2,FALSE)</f>
        <v>North America</v>
      </c>
      <c r="E2441" s="29">
        <v>5</v>
      </c>
      <c r="F2441" s="28">
        <v>2097</v>
      </c>
      <c r="G2441" s="28">
        <v>3071158893</v>
      </c>
      <c r="H2441" s="29">
        <v>7.04</v>
      </c>
      <c r="I2441" s="142">
        <v>-72.399999999999991</v>
      </c>
      <c r="J2441" s="29">
        <v>5.74</v>
      </c>
      <c r="K2441" s="29">
        <v>5.74</v>
      </c>
      <c r="L2441" s="29">
        <v>9.2799999999999994</v>
      </c>
      <c r="M2441" s="368"/>
      <c r="N2441" s="368"/>
      <c r="O2441" s="271">
        <f>IFERROR(Table17[[#This Row],[PROFIT]]/Table17[[#This Row],[TO]],0)</f>
        <v>0</v>
      </c>
      <c r="P2441" s="177"/>
      <c r="Q2441" s="177"/>
      <c r="R2441" s="177"/>
    </row>
    <row r="2442" spans="1:18" ht="30" hidden="1" x14ac:dyDescent="0.25">
      <c r="A2442" s="29" t="s">
        <v>1551</v>
      </c>
      <c r="B2442" s="29" t="s">
        <v>1550</v>
      </c>
      <c r="C2442" s="29" t="s">
        <v>11732</v>
      </c>
      <c r="D2442" s="29" t="str">
        <f>VLOOKUP(C:C,'COUNT-CONT'!B:C,2,FALSE)</f>
        <v>North America</v>
      </c>
      <c r="E2442" s="29">
        <v>4</v>
      </c>
      <c r="F2442" s="28">
        <v>1984</v>
      </c>
      <c r="G2442" s="28">
        <v>3089735483</v>
      </c>
      <c r="H2442" s="29">
        <v>7.04</v>
      </c>
      <c r="I2442" s="142">
        <v>-72.399999999999991</v>
      </c>
      <c r="J2442" s="29">
        <v>5.74</v>
      </c>
      <c r="K2442" s="29">
        <v>5.74</v>
      </c>
      <c r="L2442" s="29">
        <v>9.2799999999999994</v>
      </c>
      <c r="M2442" s="368"/>
      <c r="N2442" s="368"/>
      <c r="O2442" s="271">
        <f>IFERROR(Table17[[#This Row],[PROFIT]]/Table17[[#This Row],[TO]],0)</f>
        <v>0</v>
      </c>
      <c r="P2442" s="177"/>
      <c r="Q2442" s="177"/>
      <c r="R2442" s="177"/>
    </row>
    <row r="2443" spans="1:18" ht="30" hidden="1" x14ac:dyDescent="0.25">
      <c r="A2443" s="29" t="s">
        <v>1528</v>
      </c>
      <c r="B2443" s="29" t="s">
        <v>1527</v>
      </c>
      <c r="C2443" s="29" t="s">
        <v>11732</v>
      </c>
      <c r="D2443" s="29" t="str">
        <f>VLOOKUP(C:C,'COUNT-CONT'!B:C,2,FALSE)</f>
        <v>North America</v>
      </c>
      <c r="E2443" s="29">
        <v>5</v>
      </c>
      <c r="F2443" s="28">
        <v>2198</v>
      </c>
      <c r="G2443" s="28">
        <v>3053954959</v>
      </c>
      <c r="H2443" s="29">
        <v>7.01</v>
      </c>
      <c r="I2443" s="142">
        <v>-72.429999999999993</v>
      </c>
      <c r="J2443" s="29">
        <v>5.71</v>
      </c>
      <c r="K2443" s="29">
        <v>5.71</v>
      </c>
      <c r="L2443" s="29">
        <v>9.25</v>
      </c>
      <c r="M2443" s="368"/>
      <c r="N2443" s="368"/>
      <c r="O2443" s="271">
        <f>IFERROR(Table17[[#This Row],[PROFIT]]/Table17[[#This Row],[TO]],0)</f>
        <v>0</v>
      </c>
      <c r="P2443" s="177"/>
      <c r="Q2443" s="177"/>
      <c r="R2443" s="177"/>
    </row>
    <row r="2444" spans="1:18" ht="30" hidden="1" x14ac:dyDescent="0.25">
      <c r="A2444" s="29" t="s">
        <v>1530</v>
      </c>
      <c r="B2444" s="29" t="s">
        <v>1529</v>
      </c>
      <c r="C2444" s="29" t="s">
        <v>11732</v>
      </c>
      <c r="D2444" s="29" t="str">
        <f>VLOOKUP(C:C,'COUNT-CONT'!B:C,2,FALSE)</f>
        <v>North America</v>
      </c>
      <c r="E2444" s="29">
        <v>6</v>
      </c>
      <c r="F2444" s="28">
        <v>2473</v>
      </c>
      <c r="G2444" s="28">
        <v>3025703881</v>
      </c>
      <c r="H2444" s="29">
        <v>7.01</v>
      </c>
      <c r="I2444" s="142">
        <v>-72.429999999999993</v>
      </c>
      <c r="J2444" s="29">
        <v>5.71</v>
      </c>
      <c r="K2444" s="29">
        <v>5.71</v>
      </c>
      <c r="L2444" s="29">
        <v>9.25</v>
      </c>
      <c r="M2444" s="368"/>
      <c r="N2444" s="368"/>
      <c r="O2444" s="271">
        <f>IFERROR(Table17[[#This Row],[PROFIT]]/Table17[[#This Row],[TO]],0)</f>
        <v>0</v>
      </c>
      <c r="P2444" s="177"/>
      <c r="Q2444" s="177"/>
      <c r="R2444" s="177"/>
    </row>
    <row r="2445" spans="1:18" x14ac:dyDescent="0.25">
      <c r="A2445" s="29" t="s">
        <v>932</v>
      </c>
      <c r="B2445" s="29" t="s">
        <v>931</v>
      </c>
      <c r="C2445" s="29" t="s">
        <v>774</v>
      </c>
      <c r="D2445" s="29" t="str">
        <f>VLOOKUP(C:C,'COUNT-CONT'!B:C,2,FALSE)</f>
        <v>Oceania</v>
      </c>
      <c r="E2445" s="29">
        <v>3</v>
      </c>
      <c r="F2445" s="28">
        <v>1651</v>
      </c>
      <c r="G2445" s="28">
        <v>2826662870</v>
      </c>
      <c r="H2445" s="29">
        <v>7.01</v>
      </c>
      <c r="I2445" s="142">
        <v>-72.429999999999993</v>
      </c>
      <c r="J2445" s="29">
        <v>4.17</v>
      </c>
      <c r="K2445" s="29">
        <v>3.87</v>
      </c>
      <c r="L2445" s="29">
        <v>7.47</v>
      </c>
      <c r="M2445" s="368"/>
      <c r="N2445" s="368"/>
      <c r="O2445" s="271">
        <f>IFERROR(Table17[[#This Row],[PROFIT]]/Table17[[#This Row],[TO]],0)</f>
        <v>0</v>
      </c>
      <c r="P2445" s="177"/>
      <c r="Q2445" s="177"/>
      <c r="R2445" s="177"/>
    </row>
    <row r="2446" spans="1:18" ht="30" hidden="1" x14ac:dyDescent="0.25">
      <c r="A2446" s="29" t="s">
        <v>1102</v>
      </c>
      <c r="B2446" s="29" t="s">
        <v>1101</v>
      </c>
      <c r="C2446" s="29" t="s">
        <v>514</v>
      </c>
      <c r="D2446" s="29" t="str">
        <f>VLOOKUP(C:C,'COUNT-CONT'!B:C,2,FALSE)</f>
        <v>North America</v>
      </c>
      <c r="E2446" s="29">
        <v>3</v>
      </c>
      <c r="F2446" s="28">
        <v>1525</v>
      </c>
      <c r="G2446" s="28">
        <v>2934711475</v>
      </c>
      <c r="H2446" s="29">
        <v>7.01</v>
      </c>
      <c r="I2446" s="142">
        <v>-72.429999999999993</v>
      </c>
      <c r="J2446" s="29">
        <v>4.63</v>
      </c>
      <c r="K2446" s="29">
        <v>4.4400000000000004</v>
      </c>
      <c r="L2446" s="29">
        <v>7.98</v>
      </c>
      <c r="M2446" s="368"/>
      <c r="N2446" s="368"/>
      <c r="O2446" s="271">
        <f>IFERROR(Table17[[#This Row],[PROFIT]]/Table17[[#This Row],[TO]],0)</f>
        <v>0</v>
      </c>
      <c r="P2446" s="177"/>
      <c r="Q2446" s="177"/>
      <c r="R2446" s="177"/>
    </row>
    <row r="2447" spans="1:18" x14ac:dyDescent="0.25">
      <c r="A2447" s="29" t="s">
        <v>925</v>
      </c>
      <c r="B2447" s="29" t="s">
        <v>924</v>
      </c>
      <c r="C2447" s="29" t="s">
        <v>774</v>
      </c>
      <c r="D2447" s="29" t="str">
        <f>VLOOKUP(C:C,'COUNT-CONT'!B:C,2,FALSE)</f>
        <v>Oceania</v>
      </c>
      <c r="E2447" s="29">
        <v>2</v>
      </c>
      <c r="F2447" s="28">
        <v>1429</v>
      </c>
      <c r="G2447" s="28">
        <v>2901569069</v>
      </c>
      <c r="H2447" s="29">
        <v>6.98</v>
      </c>
      <c r="I2447" s="142">
        <v>-72.459999999999994</v>
      </c>
      <c r="J2447" s="29">
        <v>4.1399999999999997</v>
      </c>
      <c r="K2447" s="29">
        <v>3.84</v>
      </c>
      <c r="L2447" s="29">
        <v>7.44</v>
      </c>
      <c r="M2447" s="368"/>
      <c r="N2447" s="368"/>
      <c r="O2447" s="271">
        <f>IFERROR(Table17[[#This Row],[PROFIT]]/Table17[[#This Row],[TO]],0)</f>
        <v>0</v>
      </c>
      <c r="P2447" s="177"/>
      <c r="Q2447" s="177"/>
      <c r="R2447" s="177"/>
    </row>
    <row r="2448" spans="1:18" hidden="1" x14ac:dyDescent="0.25">
      <c r="A2448" s="29" t="s">
        <v>921</v>
      </c>
      <c r="B2448" s="29" t="s">
        <v>920</v>
      </c>
      <c r="C2448" s="29" t="s">
        <v>597</v>
      </c>
      <c r="D2448" s="29" t="str">
        <f>VLOOKUP(C:C,'COUNT-CONT'!B:C,2,FALSE)</f>
        <v>Europe</v>
      </c>
      <c r="E2448" s="29">
        <v>1</v>
      </c>
      <c r="F2448" s="28">
        <v>1081</v>
      </c>
      <c r="G2448" s="28">
        <v>3101176318</v>
      </c>
      <c r="H2448" s="29">
        <v>6.98</v>
      </c>
      <c r="I2448" s="142">
        <v>-72.459999999999994</v>
      </c>
      <c r="J2448" s="29">
        <v>4.17</v>
      </c>
      <c r="K2448" s="29">
        <v>3.87</v>
      </c>
      <c r="L2448" s="29">
        <v>7.44</v>
      </c>
      <c r="M2448" s="368"/>
      <c r="N2448" s="368"/>
      <c r="O2448" s="271">
        <f>IFERROR(Table17[[#This Row],[PROFIT]]/Table17[[#This Row],[TO]],0)</f>
        <v>0</v>
      </c>
      <c r="P2448" s="177"/>
      <c r="Q2448" s="177"/>
      <c r="R2448" s="177"/>
    </row>
    <row r="2449" spans="1:18" ht="30" hidden="1" x14ac:dyDescent="0.25">
      <c r="A2449" s="29" t="s">
        <v>1520</v>
      </c>
      <c r="B2449" s="29" t="s">
        <v>1519</v>
      </c>
      <c r="C2449" s="29" t="s">
        <v>11732</v>
      </c>
      <c r="D2449" s="29" t="str">
        <f>VLOOKUP(C:C,'COUNT-CONT'!B:C,2,FALSE)</f>
        <v>North America</v>
      </c>
      <c r="E2449" s="29">
        <v>4</v>
      </c>
      <c r="F2449" s="28">
        <v>1985</v>
      </c>
      <c r="G2449" s="28">
        <v>3081556171</v>
      </c>
      <c r="H2449" s="29">
        <v>6.98</v>
      </c>
      <c r="I2449" s="142">
        <v>-72.459999999999994</v>
      </c>
      <c r="J2449" s="29">
        <v>5.71</v>
      </c>
      <c r="K2449" s="29">
        <v>5.71</v>
      </c>
      <c r="L2449" s="29">
        <v>9.2200000000000006</v>
      </c>
      <c r="M2449" s="368"/>
      <c r="N2449" s="368"/>
      <c r="O2449" s="271">
        <f>IFERROR(Table17[[#This Row],[PROFIT]]/Table17[[#This Row],[TO]],0)</f>
        <v>0</v>
      </c>
      <c r="P2449" s="177"/>
      <c r="Q2449" s="177"/>
      <c r="R2449" s="177"/>
    </row>
    <row r="2450" spans="1:18" ht="30" hidden="1" x14ac:dyDescent="0.25">
      <c r="A2450" s="29" t="s">
        <v>668</v>
      </c>
      <c r="B2450" s="29" t="s">
        <v>667</v>
      </c>
      <c r="C2450" s="29" t="s">
        <v>517</v>
      </c>
      <c r="D2450" s="29" t="str">
        <f>VLOOKUP(C:C,'COUNT-CONT'!B:C,2,FALSE)</f>
        <v>South America</v>
      </c>
      <c r="E2450" s="29">
        <v>4</v>
      </c>
      <c r="F2450" s="28">
        <v>2000</v>
      </c>
      <c r="G2450" s="28">
        <v>2435600000</v>
      </c>
      <c r="H2450" s="29">
        <v>6.98</v>
      </c>
      <c r="I2450" s="142">
        <v>-72.459999999999994</v>
      </c>
      <c r="J2450" s="29">
        <v>2.72</v>
      </c>
      <c r="K2450" s="29">
        <v>2.2400000000000002</v>
      </c>
      <c r="L2450" s="29">
        <v>5.93</v>
      </c>
      <c r="M2450" s="368"/>
      <c r="N2450" s="368"/>
      <c r="O2450" s="271">
        <f>IFERROR(Table17[[#This Row],[PROFIT]]/Table17[[#This Row],[TO]],0)</f>
        <v>0</v>
      </c>
      <c r="P2450" s="177"/>
      <c r="Q2450" s="177"/>
      <c r="R2450" s="177"/>
    </row>
    <row r="2451" spans="1:18" hidden="1" x14ac:dyDescent="0.25">
      <c r="A2451" s="29" t="s">
        <v>767</v>
      </c>
      <c r="B2451" s="29" t="s">
        <v>766</v>
      </c>
      <c r="C2451" s="29" t="s">
        <v>630</v>
      </c>
      <c r="D2451" s="29" t="str">
        <f>VLOOKUP(C:C,'COUNT-CONT'!B:C,2,FALSE)</f>
        <v>Europe</v>
      </c>
      <c r="E2451" s="29">
        <v>4</v>
      </c>
      <c r="F2451" s="28">
        <v>1888</v>
      </c>
      <c r="G2451" s="28">
        <v>2649927118</v>
      </c>
      <c r="H2451" s="29">
        <v>6.98</v>
      </c>
      <c r="I2451" s="142">
        <v>-72.459999999999994</v>
      </c>
      <c r="J2451" s="29">
        <v>3.3</v>
      </c>
      <c r="K2451" s="29">
        <v>2.9</v>
      </c>
      <c r="L2451" s="29">
        <v>6.59</v>
      </c>
      <c r="M2451" s="368"/>
      <c r="N2451" s="368"/>
      <c r="O2451" s="271">
        <f>IFERROR(Table17[[#This Row],[PROFIT]]/Table17[[#This Row],[TO]],0)</f>
        <v>0</v>
      </c>
      <c r="P2451" s="177"/>
      <c r="Q2451" s="177"/>
      <c r="R2451" s="177"/>
    </row>
    <row r="2452" spans="1:18" hidden="1" x14ac:dyDescent="0.25">
      <c r="A2452" s="29" t="s">
        <v>930</v>
      </c>
      <c r="B2452" s="29" t="s">
        <v>929</v>
      </c>
      <c r="C2452" s="29" t="s">
        <v>597</v>
      </c>
      <c r="D2452" s="29" t="str">
        <f>VLOOKUP(C:C,'COUNT-CONT'!B:C,2,FALSE)</f>
        <v>Europe</v>
      </c>
      <c r="E2452" s="29">
        <v>8</v>
      </c>
      <c r="F2452" s="28">
        <v>3002</v>
      </c>
      <c r="G2452" s="28">
        <v>2640422385</v>
      </c>
      <c r="H2452" s="29">
        <v>6.98</v>
      </c>
      <c r="I2452" s="142">
        <v>-72.459999999999994</v>
      </c>
      <c r="J2452" s="29">
        <v>4.1399999999999997</v>
      </c>
      <c r="K2452" s="29">
        <v>3.84</v>
      </c>
      <c r="L2452" s="29">
        <v>7.44</v>
      </c>
      <c r="M2452" s="368"/>
      <c r="N2452" s="368"/>
      <c r="O2452" s="271">
        <f>IFERROR(Table17[[#This Row],[PROFIT]]/Table17[[#This Row],[TO]],0)</f>
        <v>0</v>
      </c>
      <c r="P2452" s="177"/>
      <c r="Q2452" s="177"/>
      <c r="R2452" s="177"/>
    </row>
    <row r="2453" spans="1:18" ht="30" hidden="1" x14ac:dyDescent="0.25">
      <c r="A2453" s="29" t="s">
        <v>685</v>
      </c>
      <c r="B2453" s="29" t="s">
        <v>684</v>
      </c>
      <c r="C2453" s="29" t="s">
        <v>683</v>
      </c>
      <c r="D2453" s="29" t="str">
        <f>VLOOKUP(C:C,'COUNT-CONT'!B:C,2,FALSE)</f>
        <v>North America</v>
      </c>
      <c r="E2453" s="29">
        <v>4</v>
      </c>
      <c r="F2453" s="28">
        <v>1860</v>
      </c>
      <c r="G2453" s="28">
        <v>2474197849</v>
      </c>
      <c r="H2453" s="29">
        <v>6.95</v>
      </c>
      <c r="I2453" s="142">
        <v>-72.489999999999995</v>
      </c>
      <c r="J2453" s="29">
        <v>2.75</v>
      </c>
      <c r="K2453" s="29">
        <v>2.27</v>
      </c>
      <c r="L2453" s="29">
        <v>6.02</v>
      </c>
      <c r="M2453" s="368"/>
      <c r="N2453" s="368"/>
      <c r="O2453" s="271">
        <f>IFERROR(Table17[[#This Row],[PROFIT]]/Table17[[#This Row],[TO]],0)</f>
        <v>0</v>
      </c>
      <c r="P2453" s="177"/>
      <c r="Q2453" s="177"/>
      <c r="R2453" s="177"/>
    </row>
    <row r="2454" spans="1:18" hidden="1" x14ac:dyDescent="0.25">
      <c r="A2454" s="29" t="s">
        <v>513</v>
      </c>
      <c r="B2454" s="29" t="s">
        <v>512</v>
      </c>
      <c r="C2454" s="29" t="s">
        <v>511</v>
      </c>
      <c r="D2454" s="29" t="e">
        <f>VLOOKUP(C:C,'COUNT-CONT'!B:C,2,FALSE)</f>
        <v>#N/A</v>
      </c>
      <c r="E2454" s="29">
        <v>5</v>
      </c>
      <c r="F2454" s="28">
        <v>2100</v>
      </c>
      <c r="G2454" s="28">
        <v>2411809523</v>
      </c>
      <c r="H2454" s="29">
        <v>6.95</v>
      </c>
      <c r="I2454" s="142">
        <v>-72.489999999999995</v>
      </c>
      <c r="J2454" s="29">
        <v>1.18</v>
      </c>
      <c r="K2454" s="29">
        <v>0.51</v>
      </c>
      <c r="L2454" s="29">
        <v>4.29</v>
      </c>
      <c r="M2454" s="368"/>
      <c r="N2454" s="368"/>
      <c r="O2454" s="271">
        <f>IFERROR(Table17[[#This Row],[PROFIT]]/Table17[[#This Row],[TO]],0)</f>
        <v>0</v>
      </c>
      <c r="P2454" s="177"/>
      <c r="Q2454" s="177"/>
      <c r="R2454" s="177"/>
    </row>
    <row r="2455" spans="1:18" hidden="1" x14ac:dyDescent="0.25">
      <c r="A2455" s="29" t="s">
        <v>757</v>
      </c>
      <c r="B2455" s="29" t="s">
        <v>756</v>
      </c>
      <c r="C2455" s="29" t="s">
        <v>630</v>
      </c>
      <c r="D2455" s="29" t="str">
        <f>VLOOKUP(C:C,'COUNT-CONT'!B:C,2,FALSE)</f>
        <v>Europe</v>
      </c>
      <c r="E2455" s="29">
        <v>1</v>
      </c>
      <c r="F2455" s="28">
        <v>1199</v>
      </c>
      <c r="G2455" s="28">
        <v>2912731192</v>
      </c>
      <c r="H2455" s="29">
        <v>6.95</v>
      </c>
      <c r="I2455" s="142">
        <v>-72.489999999999995</v>
      </c>
      <c r="J2455" s="29">
        <v>3.26</v>
      </c>
      <c r="K2455" s="29">
        <v>2.87</v>
      </c>
      <c r="L2455" s="29">
        <v>6.56</v>
      </c>
      <c r="M2455" s="368"/>
      <c r="N2455" s="368"/>
      <c r="O2455" s="271">
        <f>IFERROR(Table17[[#This Row],[PROFIT]]/Table17[[#This Row],[TO]],0)</f>
        <v>0</v>
      </c>
      <c r="P2455" s="177"/>
      <c r="Q2455" s="177"/>
      <c r="R2455" s="177"/>
    </row>
    <row r="2456" spans="1:18" hidden="1" x14ac:dyDescent="0.25">
      <c r="A2456" s="29" t="s">
        <v>623</v>
      </c>
      <c r="B2456" s="29" t="s">
        <v>622</v>
      </c>
      <c r="C2456" s="29" t="s">
        <v>533</v>
      </c>
      <c r="D2456" s="29" t="str">
        <f>VLOOKUP(C:C,'COUNT-CONT'!B:C,2,FALSE)</f>
        <v>Asia</v>
      </c>
      <c r="E2456" s="29">
        <v>5</v>
      </c>
      <c r="F2456" s="28">
        <v>2220</v>
      </c>
      <c r="G2456" s="28">
        <v>2350295495</v>
      </c>
      <c r="H2456" s="29">
        <v>6.95</v>
      </c>
      <c r="I2456" s="142">
        <v>-72.489999999999995</v>
      </c>
      <c r="J2456" s="29">
        <v>2.2999999999999998</v>
      </c>
      <c r="K2456" s="29">
        <v>1.75</v>
      </c>
      <c r="L2456" s="29">
        <v>5.53</v>
      </c>
      <c r="M2456" s="368"/>
      <c r="N2456" s="368"/>
      <c r="O2456" s="271">
        <f>IFERROR(Table17[[#This Row],[PROFIT]]/Table17[[#This Row],[TO]],0)</f>
        <v>0</v>
      </c>
      <c r="P2456" s="177"/>
      <c r="Q2456" s="177"/>
      <c r="R2456" s="177"/>
    </row>
    <row r="2457" spans="1:18" ht="30" hidden="1" x14ac:dyDescent="0.25">
      <c r="A2457" s="29" t="s">
        <v>1059</v>
      </c>
      <c r="B2457" s="29" t="s">
        <v>1058</v>
      </c>
      <c r="C2457" s="29" t="s">
        <v>514</v>
      </c>
      <c r="D2457" s="29" t="str">
        <f>VLOOKUP(C:C,'COUNT-CONT'!B:C,2,FALSE)</f>
        <v>North America</v>
      </c>
      <c r="E2457" s="29">
        <v>1</v>
      </c>
      <c r="F2457" s="28">
        <v>1068</v>
      </c>
      <c r="G2457" s="28">
        <v>3189662546</v>
      </c>
      <c r="H2457" s="29">
        <v>6.95</v>
      </c>
      <c r="I2457" s="142">
        <v>-72.489999999999995</v>
      </c>
      <c r="J2457" s="29">
        <v>4.5599999999999996</v>
      </c>
      <c r="K2457" s="29">
        <v>4.41</v>
      </c>
      <c r="L2457" s="29">
        <v>7.92</v>
      </c>
      <c r="M2457" s="368"/>
      <c r="N2457" s="368"/>
      <c r="O2457" s="271">
        <f>IFERROR(Table17[[#This Row],[PROFIT]]/Table17[[#This Row],[TO]],0)</f>
        <v>0</v>
      </c>
      <c r="P2457" s="177"/>
      <c r="Q2457" s="177"/>
      <c r="R2457" s="177"/>
    </row>
    <row r="2458" spans="1:18" ht="30" hidden="1" x14ac:dyDescent="0.25">
      <c r="A2458" s="29" t="s">
        <v>1065</v>
      </c>
      <c r="B2458" s="29" t="s">
        <v>1064</v>
      </c>
      <c r="C2458" s="29" t="s">
        <v>514</v>
      </c>
      <c r="D2458" s="29" t="str">
        <f>VLOOKUP(C:C,'COUNT-CONT'!B:C,2,FALSE)</f>
        <v>North America</v>
      </c>
      <c r="E2458" s="29">
        <v>1</v>
      </c>
      <c r="F2458" s="28">
        <v>1190</v>
      </c>
      <c r="G2458" s="28">
        <v>3096269747</v>
      </c>
      <c r="H2458" s="29">
        <v>6.95</v>
      </c>
      <c r="I2458" s="142">
        <v>-72.489999999999995</v>
      </c>
      <c r="J2458" s="29">
        <v>4.5599999999999996</v>
      </c>
      <c r="K2458" s="29">
        <v>4.41</v>
      </c>
      <c r="L2458" s="29">
        <v>7.92</v>
      </c>
      <c r="M2458" s="368"/>
      <c r="N2458" s="368"/>
      <c r="O2458" s="271">
        <f>IFERROR(Table17[[#This Row],[PROFIT]]/Table17[[#This Row],[TO]],0)</f>
        <v>0</v>
      </c>
      <c r="P2458" s="177"/>
      <c r="Q2458" s="177"/>
      <c r="R2458" s="177"/>
    </row>
    <row r="2459" spans="1:18" ht="30" hidden="1" x14ac:dyDescent="0.25">
      <c r="A2459" s="29" t="s">
        <v>1084</v>
      </c>
      <c r="B2459" s="29" t="s">
        <v>1083</v>
      </c>
      <c r="C2459" s="29" t="s">
        <v>514</v>
      </c>
      <c r="D2459" s="29" t="str">
        <f>VLOOKUP(C:C,'COUNT-CONT'!B:C,2,FALSE)</f>
        <v>North America</v>
      </c>
      <c r="E2459" s="29">
        <v>4</v>
      </c>
      <c r="F2459" s="28">
        <v>1983</v>
      </c>
      <c r="G2459" s="28">
        <v>2805815078</v>
      </c>
      <c r="H2459" s="29">
        <v>6.95</v>
      </c>
      <c r="I2459" s="142">
        <v>-72.489999999999995</v>
      </c>
      <c r="J2459" s="29">
        <v>4.5599999999999996</v>
      </c>
      <c r="K2459" s="29">
        <v>4.41</v>
      </c>
      <c r="L2459" s="29">
        <v>7.92</v>
      </c>
      <c r="M2459" s="368"/>
      <c r="N2459" s="368"/>
      <c r="O2459" s="271">
        <f>IFERROR(Table17[[#This Row],[PROFIT]]/Table17[[#This Row],[TO]],0)</f>
        <v>0</v>
      </c>
      <c r="P2459" s="177"/>
      <c r="Q2459" s="177"/>
      <c r="R2459" s="177"/>
    </row>
    <row r="2460" spans="1:18" ht="30" hidden="1" x14ac:dyDescent="0.25">
      <c r="A2460" s="29" t="s">
        <v>1082</v>
      </c>
      <c r="B2460" s="29" t="s">
        <v>1081</v>
      </c>
      <c r="C2460" s="29" t="s">
        <v>514</v>
      </c>
      <c r="D2460" s="29" t="str">
        <f>VLOOKUP(C:C,'COUNT-CONT'!B:C,2,FALSE)</f>
        <v>North America</v>
      </c>
      <c r="E2460" s="29">
        <v>4</v>
      </c>
      <c r="F2460" s="28">
        <v>1830</v>
      </c>
      <c r="G2460" s="28">
        <v>2836992896</v>
      </c>
      <c r="H2460" s="29">
        <v>6.95</v>
      </c>
      <c r="I2460" s="142">
        <v>-72.489999999999995</v>
      </c>
      <c r="J2460" s="29">
        <v>4.5599999999999996</v>
      </c>
      <c r="K2460" s="29">
        <v>4.41</v>
      </c>
      <c r="L2460" s="29">
        <v>7.92</v>
      </c>
      <c r="M2460" s="368"/>
      <c r="N2460" s="368"/>
      <c r="O2460" s="271">
        <f>IFERROR(Table17[[#This Row],[PROFIT]]/Table17[[#This Row],[TO]],0)</f>
        <v>0</v>
      </c>
      <c r="P2460" s="177"/>
      <c r="Q2460" s="177"/>
      <c r="R2460" s="177"/>
    </row>
    <row r="2461" spans="1:18" ht="30" hidden="1" x14ac:dyDescent="0.25">
      <c r="A2461" s="29" t="s">
        <v>1063</v>
      </c>
      <c r="B2461" s="29" t="s">
        <v>1062</v>
      </c>
      <c r="C2461" s="29" t="s">
        <v>514</v>
      </c>
      <c r="D2461" s="29" t="str">
        <f>VLOOKUP(C:C,'COUNT-CONT'!B:C,2,FALSE)</f>
        <v>North America</v>
      </c>
      <c r="E2461" s="29">
        <v>1</v>
      </c>
      <c r="F2461" s="28">
        <v>1161</v>
      </c>
      <c r="G2461" s="28">
        <v>3116459086</v>
      </c>
      <c r="H2461" s="29">
        <v>6.95</v>
      </c>
      <c r="I2461" s="142">
        <v>-72.489999999999995</v>
      </c>
      <c r="J2461" s="29">
        <v>4.5599999999999996</v>
      </c>
      <c r="K2461" s="29">
        <v>4.41</v>
      </c>
      <c r="L2461" s="29">
        <v>7.92</v>
      </c>
      <c r="M2461" s="368"/>
      <c r="N2461" s="368"/>
      <c r="O2461" s="271">
        <f>IFERROR(Table17[[#This Row],[PROFIT]]/Table17[[#This Row],[TO]],0)</f>
        <v>0</v>
      </c>
      <c r="P2461" s="177"/>
      <c r="Q2461" s="177"/>
      <c r="R2461" s="177"/>
    </row>
    <row r="2462" spans="1:18" ht="30" hidden="1" x14ac:dyDescent="0.25">
      <c r="A2462" s="29" t="s">
        <v>1061</v>
      </c>
      <c r="B2462" s="29" t="s">
        <v>1060</v>
      </c>
      <c r="C2462" s="29" t="s">
        <v>514</v>
      </c>
      <c r="D2462" s="29" t="str">
        <f>VLOOKUP(C:C,'COUNT-CONT'!B:C,2,FALSE)</f>
        <v>North America</v>
      </c>
      <c r="E2462" s="29">
        <v>1</v>
      </c>
      <c r="F2462" s="28">
        <v>1159</v>
      </c>
      <c r="G2462" s="28">
        <v>3117894046</v>
      </c>
      <c r="H2462" s="29">
        <v>6.95</v>
      </c>
      <c r="I2462" s="142">
        <v>-72.489999999999995</v>
      </c>
      <c r="J2462" s="29">
        <v>4.5599999999999996</v>
      </c>
      <c r="K2462" s="29">
        <v>4.41</v>
      </c>
      <c r="L2462" s="29">
        <v>7.92</v>
      </c>
      <c r="M2462" s="368"/>
      <c r="N2462" s="368"/>
      <c r="O2462" s="271">
        <f>IFERROR(Table17[[#This Row],[PROFIT]]/Table17[[#This Row],[TO]],0)</f>
        <v>0</v>
      </c>
      <c r="P2462" s="177"/>
      <c r="Q2462" s="177"/>
      <c r="R2462" s="177"/>
    </row>
    <row r="2463" spans="1:18" ht="30" hidden="1" x14ac:dyDescent="0.25">
      <c r="A2463" s="29" t="s">
        <v>1505</v>
      </c>
      <c r="B2463" s="29" t="s">
        <v>1504</v>
      </c>
      <c r="C2463" s="29" t="s">
        <v>11732</v>
      </c>
      <c r="D2463" s="29" t="str">
        <f>VLOOKUP(C:C,'COUNT-CONT'!B:C,2,FALSE)</f>
        <v>North America</v>
      </c>
      <c r="E2463" s="29">
        <v>8</v>
      </c>
      <c r="F2463" s="28">
        <v>2829</v>
      </c>
      <c r="G2463" s="28">
        <v>2990929975</v>
      </c>
      <c r="H2463" s="29">
        <v>6.92</v>
      </c>
      <c r="I2463" s="142">
        <v>-72.52</v>
      </c>
      <c r="J2463" s="29">
        <v>5.65</v>
      </c>
      <c r="K2463" s="29">
        <v>5.65</v>
      </c>
      <c r="L2463" s="29">
        <v>9.1300000000000008</v>
      </c>
      <c r="M2463" s="368"/>
      <c r="N2463" s="368"/>
      <c r="O2463" s="271">
        <f>IFERROR(Table17[[#This Row],[PROFIT]]/Table17[[#This Row],[TO]],0)</f>
        <v>0</v>
      </c>
      <c r="P2463" s="177"/>
      <c r="Q2463" s="177"/>
      <c r="R2463" s="177"/>
    </row>
    <row r="2464" spans="1:18" ht="30" hidden="1" x14ac:dyDescent="0.25">
      <c r="A2464" s="29" t="s">
        <v>658</v>
      </c>
      <c r="B2464" s="29" t="s">
        <v>657</v>
      </c>
      <c r="C2464" s="29" t="s">
        <v>656</v>
      </c>
      <c r="D2464" s="29" t="str">
        <f>VLOOKUP(C:C,'COUNT-CONT'!B:C,2,FALSE)</f>
        <v>Europe</v>
      </c>
      <c r="E2464" s="29">
        <v>6</v>
      </c>
      <c r="F2464" s="28">
        <v>2401</v>
      </c>
      <c r="G2464" s="28">
        <v>2362942440</v>
      </c>
      <c r="H2464" s="29">
        <v>6.92</v>
      </c>
      <c r="I2464" s="142">
        <v>-72.52</v>
      </c>
      <c r="J2464" s="29">
        <v>2.54</v>
      </c>
      <c r="K2464" s="29">
        <v>2.06</v>
      </c>
      <c r="L2464" s="29">
        <v>5.77</v>
      </c>
      <c r="M2464" s="368"/>
      <c r="N2464" s="368"/>
      <c r="O2464" s="271">
        <f>IFERROR(Table17[[#This Row],[PROFIT]]/Table17[[#This Row],[TO]],0)</f>
        <v>0</v>
      </c>
      <c r="P2464" s="177"/>
      <c r="Q2464" s="177"/>
      <c r="R2464" s="177"/>
    </row>
    <row r="2465" spans="1:18" ht="30" hidden="1" x14ac:dyDescent="0.25">
      <c r="A2465" s="29" t="s">
        <v>755</v>
      </c>
      <c r="B2465" s="29" t="s">
        <v>754</v>
      </c>
      <c r="C2465" s="29" t="s">
        <v>733</v>
      </c>
      <c r="D2465" s="29" t="str">
        <f>VLOOKUP(C:C,'COUNT-CONT'!B:C,2,FALSE)</f>
        <v>Europe</v>
      </c>
      <c r="E2465" s="29">
        <v>2</v>
      </c>
      <c r="F2465" s="28">
        <v>1375</v>
      </c>
      <c r="G2465" s="28">
        <v>2746400000</v>
      </c>
      <c r="H2465" s="29">
        <v>6.89</v>
      </c>
      <c r="I2465" s="142">
        <v>-72.55</v>
      </c>
      <c r="J2465" s="29">
        <v>3.26</v>
      </c>
      <c r="K2465" s="29">
        <v>2.99</v>
      </c>
      <c r="L2465" s="29">
        <v>6.53</v>
      </c>
      <c r="M2465" s="368"/>
      <c r="N2465" s="368"/>
      <c r="O2465" s="271">
        <f>IFERROR(Table17[[#This Row],[PROFIT]]/Table17[[#This Row],[TO]],0)</f>
        <v>0</v>
      </c>
      <c r="P2465" s="177"/>
      <c r="Q2465" s="177"/>
      <c r="R2465" s="177"/>
    </row>
    <row r="2466" spans="1:18" ht="30" hidden="1" x14ac:dyDescent="0.25">
      <c r="A2466" s="29" t="s">
        <v>1487</v>
      </c>
      <c r="B2466" s="29" t="s">
        <v>1486</v>
      </c>
      <c r="C2466" s="29" t="s">
        <v>11732</v>
      </c>
      <c r="D2466" s="29" t="str">
        <f>VLOOKUP(C:C,'COUNT-CONT'!B:C,2,FALSE)</f>
        <v>North America</v>
      </c>
      <c r="E2466" s="29">
        <v>6</v>
      </c>
      <c r="F2466" s="28">
        <v>2364</v>
      </c>
      <c r="G2466" s="28">
        <v>3011413028</v>
      </c>
      <c r="H2466" s="29">
        <v>6.89</v>
      </c>
      <c r="I2466" s="142">
        <v>-72.55</v>
      </c>
      <c r="J2466" s="29">
        <v>5.62</v>
      </c>
      <c r="K2466" s="29">
        <v>5.62</v>
      </c>
      <c r="L2466" s="29">
        <v>9.07</v>
      </c>
      <c r="M2466" s="368"/>
      <c r="N2466" s="368"/>
      <c r="O2466" s="271">
        <f>IFERROR(Table17[[#This Row],[PROFIT]]/Table17[[#This Row],[TO]],0)</f>
        <v>0</v>
      </c>
      <c r="P2466" s="177"/>
      <c r="Q2466" s="177"/>
      <c r="R2466" s="177"/>
    </row>
    <row r="2467" spans="1:18" ht="30" hidden="1" x14ac:dyDescent="0.25">
      <c r="A2467" s="29" t="s">
        <v>1034</v>
      </c>
      <c r="B2467" s="29" t="s">
        <v>1033</v>
      </c>
      <c r="C2467" s="29" t="s">
        <v>514</v>
      </c>
      <c r="D2467" s="29" t="str">
        <f>VLOOKUP(C:C,'COUNT-CONT'!B:C,2,FALSE)</f>
        <v>North America</v>
      </c>
      <c r="E2467" s="29">
        <v>2</v>
      </c>
      <c r="F2467" s="28">
        <v>1281</v>
      </c>
      <c r="G2467" s="28">
        <v>3030104137</v>
      </c>
      <c r="H2467" s="29">
        <v>6.89</v>
      </c>
      <c r="I2467" s="142">
        <v>-72.55</v>
      </c>
      <c r="J2467" s="29">
        <v>4.53</v>
      </c>
      <c r="K2467" s="29">
        <v>4.38</v>
      </c>
      <c r="L2467" s="29">
        <v>7.83</v>
      </c>
      <c r="M2467" s="368"/>
      <c r="N2467" s="368"/>
      <c r="O2467" s="271">
        <f>IFERROR(Table17[[#This Row],[PROFIT]]/Table17[[#This Row],[TO]],0)</f>
        <v>0</v>
      </c>
      <c r="P2467" s="177"/>
      <c r="Q2467" s="177"/>
      <c r="R2467" s="177"/>
    </row>
    <row r="2468" spans="1:18" ht="30" hidden="1" x14ac:dyDescent="0.25">
      <c r="A2468" s="29" t="s">
        <v>1032</v>
      </c>
      <c r="B2468" s="29" t="s">
        <v>1031</v>
      </c>
      <c r="C2468" s="29" t="s">
        <v>514</v>
      </c>
      <c r="D2468" s="29" t="str">
        <f>VLOOKUP(C:C,'COUNT-CONT'!B:C,2,FALSE)</f>
        <v>North America</v>
      </c>
      <c r="E2468" s="29">
        <v>1</v>
      </c>
      <c r="F2468" s="28">
        <v>1068</v>
      </c>
      <c r="G2468" s="28">
        <v>3176862546</v>
      </c>
      <c r="H2468" s="29">
        <v>6.86</v>
      </c>
      <c r="I2468" s="142">
        <v>-72.58</v>
      </c>
      <c r="J2468" s="29">
        <v>4.53</v>
      </c>
      <c r="K2468" s="29">
        <v>4.38</v>
      </c>
      <c r="L2468" s="29">
        <v>7.83</v>
      </c>
      <c r="M2468" s="368"/>
      <c r="N2468" s="368"/>
      <c r="O2468" s="271">
        <f>IFERROR(Table17[[#This Row],[PROFIT]]/Table17[[#This Row],[TO]],0)</f>
        <v>0</v>
      </c>
      <c r="P2468" s="177"/>
      <c r="Q2468" s="177"/>
      <c r="R2468" s="177"/>
    </row>
    <row r="2469" spans="1:18" ht="30" hidden="1" x14ac:dyDescent="0.25">
      <c r="A2469" s="29" t="s">
        <v>1449</v>
      </c>
      <c r="B2469" s="29" t="s">
        <v>1448</v>
      </c>
      <c r="C2469" s="29" t="s">
        <v>11732</v>
      </c>
      <c r="D2469" s="29" t="str">
        <f>VLOOKUP(C:C,'COUNT-CONT'!B:C,2,FALSE)</f>
        <v>North America</v>
      </c>
      <c r="E2469" s="29">
        <v>3</v>
      </c>
      <c r="F2469" s="28">
        <v>1526</v>
      </c>
      <c r="G2469" s="28">
        <v>3170438794</v>
      </c>
      <c r="H2469" s="29">
        <v>6.8</v>
      </c>
      <c r="I2469" s="142">
        <v>-72.64</v>
      </c>
      <c r="J2469" s="29">
        <v>5.56</v>
      </c>
      <c r="K2469" s="29">
        <v>5.56</v>
      </c>
      <c r="L2469" s="29">
        <v>8.98</v>
      </c>
      <c r="M2469" s="368"/>
      <c r="N2469" s="368"/>
      <c r="O2469" s="271">
        <f>IFERROR(Table17[[#This Row],[PROFIT]]/Table17[[#This Row],[TO]],0)</f>
        <v>0</v>
      </c>
      <c r="P2469" s="177"/>
      <c r="Q2469" s="177"/>
      <c r="R2469" s="177"/>
    </row>
    <row r="2470" spans="1:18" ht="30" hidden="1" x14ac:dyDescent="0.25">
      <c r="A2470" s="29" t="s">
        <v>1451</v>
      </c>
      <c r="B2470" s="29" t="s">
        <v>1450</v>
      </c>
      <c r="C2470" s="29" t="s">
        <v>11732</v>
      </c>
      <c r="D2470" s="29" t="str">
        <f>VLOOKUP(C:C,'COUNT-CONT'!B:C,2,FALSE)</f>
        <v>North America</v>
      </c>
      <c r="E2470" s="29">
        <v>3</v>
      </c>
      <c r="F2470" s="28">
        <v>1587</v>
      </c>
      <c r="G2470" s="28">
        <v>3150431695</v>
      </c>
      <c r="H2470" s="29">
        <v>6.8</v>
      </c>
      <c r="I2470" s="142">
        <v>-72.64</v>
      </c>
      <c r="J2470" s="29">
        <v>5.56</v>
      </c>
      <c r="K2470" s="29">
        <v>5.56</v>
      </c>
      <c r="L2470" s="29">
        <v>8.98</v>
      </c>
      <c r="M2470" s="368"/>
      <c r="N2470" s="368"/>
      <c r="O2470" s="271">
        <f>IFERROR(Table17[[#This Row],[PROFIT]]/Table17[[#This Row],[TO]],0)</f>
        <v>0</v>
      </c>
      <c r="P2470" s="177"/>
      <c r="Q2470" s="177"/>
      <c r="R2470" s="177"/>
    </row>
    <row r="2471" spans="1:18" ht="30" hidden="1" x14ac:dyDescent="0.25">
      <c r="A2471" s="29" t="s">
        <v>1453</v>
      </c>
      <c r="B2471" s="29" t="s">
        <v>1452</v>
      </c>
      <c r="C2471" s="29" t="s">
        <v>11732</v>
      </c>
      <c r="D2471" s="29" t="str">
        <f>VLOOKUP(C:C,'COUNT-CONT'!B:C,2,FALSE)</f>
        <v>North America</v>
      </c>
      <c r="E2471" s="29">
        <v>6</v>
      </c>
      <c r="F2471" s="28">
        <v>2324</v>
      </c>
      <c r="G2471" s="28">
        <v>3002621858</v>
      </c>
      <c r="H2471" s="29">
        <v>6.8</v>
      </c>
      <c r="I2471" s="142">
        <v>-72.64</v>
      </c>
      <c r="J2471" s="29">
        <v>5.56</v>
      </c>
      <c r="K2471" s="29">
        <v>5.56</v>
      </c>
      <c r="L2471" s="29">
        <v>8.98</v>
      </c>
      <c r="M2471" s="368"/>
      <c r="N2471" s="368"/>
      <c r="O2471" s="271">
        <f>IFERROR(Table17[[#This Row],[PROFIT]]/Table17[[#This Row],[TO]],0)</f>
        <v>0</v>
      </c>
      <c r="P2471" s="177"/>
      <c r="Q2471" s="177"/>
      <c r="R2471" s="177"/>
    </row>
    <row r="2472" spans="1:18" hidden="1" x14ac:dyDescent="0.25">
      <c r="A2472" s="29" t="s">
        <v>1028</v>
      </c>
      <c r="B2472" s="29" t="s">
        <v>1027</v>
      </c>
      <c r="C2472" s="29" t="s">
        <v>119</v>
      </c>
      <c r="D2472" s="29" t="str">
        <f>VLOOKUP(C:C,'COUNT-CONT'!B:C,2,FALSE)</f>
        <v>Europe</v>
      </c>
      <c r="E2472" s="29">
        <v>5</v>
      </c>
      <c r="F2472" s="28">
        <v>2102</v>
      </c>
      <c r="G2472" s="28">
        <v>2763911132</v>
      </c>
      <c r="H2472" s="29">
        <v>6.8</v>
      </c>
      <c r="I2472" s="142">
        <v>-72.64</v>
      </c>
      <c r="J2472" s="29">
        <v>4.47</v>
      </c>
      <c r="K2472" s="29">
        <v>4.32</v>
      </c>
      <c r="L2472" s="29">
        <v>7.74</v>
      </c>
      <c r="M2472" s="368"/>
      <c r="N2472" s="368"/>
      <c r="O2472" s="271">
        <f>IFERROR(Table17[[#This Row],[PROFIT]]/Table17[[#This Row],[TO]],0)</f>
        <v>0</v>
      </c>
      <c r="P2472" s="177"/>
      <c r="Q2472" s="177"/>
      <c r="R2472" s="177"/>
    </row>
    <row r="2473" spans="1:18" hidden="1" x14ac:dyDescent="0.25">
      <c r="A2473" s="29" t="s">
        <v>501</v>
      </c>
      <c r="B2473" s="29" t="s">
        <v>500</v>
      </c>
      <c r="C2473" s="29" t="s">
        <v>499</v>
      </c>
      <c r="D2473" s="29" t="str">
        <f>VLOOKUP(C:C,'COUNT-CONT'!B:C,2,FALSE)</f>
        <v>Africa</v>
      </c>
      <c r="E2473" s="29">
        <v>8</v>
      </c>
      <c r="F2473" s="28">
        <v>5306</v>
      </c>
      <c r="G2473" s="28">
        <v>2186512476</v>
      </c>
      <c r="H2473" s="29">
        <v>6.77</v>
      </c>
      <c r="I2473" s="142">
        <v>-72.67</v>
      </c>
      <c r="J2473" s="29">
        <v>1.06</v>
      </c>
      <c r="K2473" s="29">
        <v>0.39</v>
      </c>
      <c r="L2473" s="29">
        <v>4.08</v>
      </c>
      <c r="M2473" s="368"/>
      <c r="N2473" s="368"/>
      <c r="O2473" s="271">
        <f>IFERROR(Table17[[#This Row],[PROFIT]]/Table17[[#This Row],[TO]],0)</f>
        <v>0</v>
      </c>
      <c r="P2473" s="177"/>
      <c r="Q2473" s="177"/>
      <c r="R2473" s="177"/>
    </row>
    <row r="2474" spans="1:18" ht="30" hidden="1" x14ac:dyDescent="0.25">
      <c r="A2474" s="29" t="s">
        <v>1431</v>
      </c>
      <c r="B2474" s="29" t="s">
        <v>1430</v>
      </c>
      <c r="C2474" s="29" t="s">
        <v>11732</v>
      </c>
      <c r="D2474" s="29" t="str">
        <f>VLOOKUP(C:C,'COUNT-CONT'!B:C,2,FALSE)</f>
        <v>North America</v>
      </c>
      <c r="E2474" s="29">
        <v>3</v>
      </c>
      <c r="F2474" s="28">
        <v>1527</v>
      </c>
      <c r="G2474" s="28">
        <v>3165266732</v>
      </c>
      <c r="H2474" s="29">
        <v>6.77</v>
      </c>
      <c r="I2474" s="142">
        <v>-72.67</v>
      </c>
      <c r="J2474" s="29">
        <v>5.53</v>
      </c>
      <c r="K2474" s="29">
        <v>5.53</v>
      </c>
      <c r="L2474" s="29">
        <v>8.92</v>
      </c>
      <c r="M2474" s="368"/>
      <c r="N2474" s="368"/>
      <c r="O2474" s="271">
        <f>IFERROR(Table17[[#This Row],[PROFIT]]/Table17[[#This Row],[TO]],0)</f>
        <v>0</v>
      </c>
      <c r="P2474" s="177"/>
      <c r="Q2474" s="177"/>
      <c r="R2474" s="177"/>
    </row>
    <row r="2475" spans="1:18" ht="30" hidden="1" x14ac:dyDescent="0.25">
      <c r="A2475" s="29" t="s">
        <v>1435</v>
      </c>
      <c r="B2475" s="29" t="s">
        <v>1434</v>
      </c>
      <c r="C2475" s="29" t="s">
        <v>11732</v>
      </c>
      <c r="D2475" s="29" t="str">
        <f>VLOOKUP(C:C,'COUNT-CONT'!B:C,2,FALSE)</f>
        <v>North America</v>
      </c>
      <c r="E2475" s="29">
        <v>5</v>
      </c>
      <c r="F2475" s="28">
        <v>2030</v>
      </c>
      <c r="G2475" s="28">
        <v>3033771921</v>
      </c>
      <c r="H2475" s="29">
        <v>6.77</v>
      </c>
      <c r="I2475" s="142">
        <v>-72.67</v>
      </c>
      <c r="J2475" s="29">
        <v>5.5</v>
      </c>
      <c r="K2475" s="29">
        <v>5.5</v>
      </c>
      <c r="L2475" s="29">
        <v>8.92</v>
      </c>
      <c r="M2475" s="368"/>
      <c r="N2475" s="368"/>
      <c r="O2475" s="271">
        <f>IFERROR(Table17[[#This Row],[PROFIT]]/Table17[[#This Row],[TO]],0)</f>
        <v>0</v>
      </c>
      <c r="P2475" s="177"/>
      <c r="Q2475" s="177"/>
      <c r="R2475" s="177"/>
    </row>
    <row r="2476" spans="1:18" ht="30" hidden="1" x14ac:dyDescent="0.25">
      <c r="A2476" s="29" t="s">
        <v>1012</v>
      </c>
      <c r="B2476" s="29" t="s">
        <v>1011</v>
      </c>
      <c r="C2476" s="29" t="s">
        <v>514</v>
      </c>
      <c r="D2476" s="29" t="str">
        <f>VLOOKUP(C:C,'COUNT-CONT'!B:C,2,FALSE)</f>
        <v>North America</v>
      </c>
      <c r="E2476" s="29">
        <v>2</v>
      </c>
      <c r="F2476" s="28">
        <v>1281</v>
      </c>
      <c r="G2476" s="28">
        <v>3014104137</v>
      </c>
      <c r="H2476" s="29">
        <v>6.77</v>
      </c>
      <c r="I2476" s="142">
        <v>-72.67</v>
      </c>
      <c r="J2476" s="29">
        <v>4.47</v>
      </c>
      <c r="K2476" s="29">
        <v>4.32</v>
      </c>
      <c r="L2476" s="29">
        <v>7.71</v>
      </c>
      <c r="M2476" s="368"/>
      <c r="N2476" s="368"/>
      <c r="O2476" s="271">
        <f>IFERROR(Table17[[#This Row],[PROFIT]]/Table17[[#This Row],[TO]],0)</f>
        <v>0</v>
      </c>
      <c r="P2476" s="177"/>
      <c r="Q2476" s="177"/>
      <c r="R2476" s="177"/>
    </row>
    <row r="2477" spans="1:18" ht="30" hidden="1" x14ac:dyDescent="0.25">
      <c r="A2477" s="29" t="s">
        <v>1006</v>
      </c>
      <c r="B2477" s="29" t="s">
        <v>1005</v>
      </c>
      <c r="C2477" s="29" t="s">
        <v>514</v>
      </c>
      <c r="D2477" s="29" t="str">
        <f>VLOOKUP(C:C,'COUNT-CONT'!B:C,2,FALSE)</f>
        <v>North America</v>
      </c>
      <c r="E2477" s="29">
        <v>1</v>
      </c>
      <c r="F2477" s="28">
        <v>1101</v>
      </c>
      <c r="G2477" s="28">
        <v>3136491734</v>
      </c>
      <c r="H2477" s="29">
        <v>6.77</v>
      </c>
      <c r="I2477" s="142">
        <v>-72.67</v>
      </c>
      <c r="J2477" s="29">
        <v>4.47</v>
      </c>
      <c r="K2477" s="29">
        <v>4.32</v>
      </c>
      <c r="L2477" s="29">
        <v>7.71</v>
      </c>
      <c r="M2477" s="368"/>
      <c r="N2477" s="368"/>
      <c r="O2477" s="271">
        <f>IFERROR(Table17[[#This Row],[PROFIT]]/Table17[[#This Row],[TO]],0)</f>
        <v>0</v>
      </c>
      <c r="P2477" s="177"/>
      <c r="Q2477" s="177"/>
      <c r="R2477" s="177"/>
    </row>
    <row r="2478" spans="1:18" ht="30" hidden="1" x14ac:dyDescent="0.25">
      <c r="A2478" s="29" t="s">
        <v>1008</v>
      </c>
      <c r="B2478" s="29" t="s">
        <v>1007</v>
      </c>
      <c r="C2478" s="29" t="s">
        <v>514</v>
      </c>
      <c r="D2478" s="29" t="str">
        <f>VLOOKUP(C:C,'COUNT-CONT'!B:C,2,FALSE)</f>
        <v>North America</v>
      </c>
      <c r="E2478" s="29">
        <v>1</v>
      </c>
      <c r="F2478" s="28">
        <v>1217</v>
      </c>
      <c r="G2478" s="28">
        <v>3052861955</v>
      </c>
      <c r="H2478" s="29">
        <v>6.77</v>
      </c>
      <c r="I2478" s="142">
        <v>-72.67</v>
      </c>
      <c r="J2478" s="29">
        <v>4.47</v>
      </c>
      <c r="K2478" s="29">
        <v>4.32</v>
      </c>
      <c r="L2478" s="29">
        <v>7.71</v>
      </c>
      <c r="M2478" s="368"/>
      <c r="N2478" s="368"/>
      <c r="O2478" s="271">
        <f>IFERROR(Table17[[#This Row],[PROFIT]]/Table17[[#This Row],[TO]],0)</f>
        <v>0</v>
      </c>
      <c r="P2478" s="177"/>
      <c r="Q2478" s="177"/>
      <c r="R2478" s="177"/>
    </row>
    <row r="2479" spans="1:18" ht="30" hidden="1" x14ac:dyDescent="0.25">
      <c r="A2479" s="29" t="s">
        <v>1016</v>
      </c>
      <c r="B2479" s="29" t="s">
        <v>1015</v>
      </c>
      <c r="C2479" s="29" t="s">
        <v>514</v>
      </c>
      <c r="D2479" s="29" t="str">
        <f>VLOOKUP(C:C,'COUNT-CONT'!B:C,2,FALSE)</f>
        <v>North America</v>
      </c>
      <c r="E2479" s="29">
        <v>3</v>
      </c>
      <c r="F2479" s="28">
        <v>1525</v>
      </c>
      <c r="G2479" s="28">
        <v>2901111475</v>
      </c>
      <c r="H2479" s="29">
        <v>6.77</v>
      </c>
      <c r="I2479" s="142">
        <v>-72.67</v>
      </c>
      <c r="J2479" s="29">
        <v>4.47</v>
      </c>
      <c r="K2479" s="29">
        <v>4.32</v>
      </c>
      <c r="L2479" s="29">
        <v>7.71</v>
      </c>
      <c r="M2479" s="368"/>
      <c r="N2479" s="368"/>
      <c r="O2479" s="271">
        <f>IFERROR(Table17[[#This Row],[PROFIT]]/Table17[[#This Row],[TO]],0)</f>
        <v>0</v>
      </c>
      <c r="P2479" s="177"/>
      <c r="Q2479" s="177"/>
      <c r="R2479" s="177"/>
    </row>
    <row r="2480" spans="1:18" ht="30" hidden="1" x14ac:dyDescent="0.25">
      <c r="A2480" s="29" t="s">
        <v>1014</v>
      </c>
      <c r="B2480" s="29" t="s">
        <v>1013</v>
      </c>
      <c r="C2480" s="29" t="s">
        <v>514</v>
      </c>
      <c r="D2480" s="29" t="str">
        <f>VLOOKUP(C:C,'COUNT-CONT'!B:C,2,FALSE)</f>
        <v>North America</v>
      </c>
      <c r="E2480" s="29">
        <v>2</v>
      </c>
      <c r="F2480" s="28">
        <v>1373</v>
      </c>
      <c r="G2480" s="28">
        <v>2965765331</v>
      </c>
      <c r="H2480" s="29">
        <v>6.77</v>
      </c>
      <c r="I2480" s="142">
        <v>-72.67</v>
      </c>
      <c r="J2480" s="29">
        <v>4.47</v>
      </c>
      <c r="K2480" s="29">
        <v>4.32</v>
      </c>
      <c r="L2480" s="29">
        <v>7.71</v>
      </c>
      <c r="M2480" s="368"/>
      <c r="N2480" s="368"/>
      <c r="O2480" s="271">
        <f>IFERROR(Table17[[#This Row],[PROFIT]]/Table17[[#This Row],[TO]],0)</f>
        <v>0</v>
      </c>
      <c r="P2480" s="177"/>
      <c r="Q2480" s="177"/>
      <c r="R2480" s="177"/>
    </row>
    <row r="2481" spans="1:18" ht="30" hidden="1" x14ac:dyDescent="0.25">
      <c r="A2481" s="29" t="s">
        <v>1022</v>
      </c>
      <c r="B2481" s="29" t="s">
        <v>1021</v>
      </c>
      <c r="C2481" s="29" t="s">
        <v>514</v>
      </c>
      <c r="D2481" s="29" t="str">
        <f>VLOOKUP(C:C,'COUNT-CONT'!B:C,2,FALSE)</f>
        <v>North America</v>
      </c>
      <c r="E2481" s="29">
        <v>4</v>
      </c>
      <c r="F2481" s="28">
        <v>1825</v>
      </c>
      <c r="G2481" s="28">
        <v>2812539726</v>
      </c>
      <c r="H2481" s="29">
        <v>6.77</v>
      </c>
      <c r="I2481" s="142">
        <v>-72.67</v>
      </c>
      <c r="J2481" s="29">
        <v>4.47</v>
      </c>
      <c r="K2481" s="29">
        <v>4.32</v>
      </c>
      <c r="L2481" s="29">
        <v>7.71</v>
      </c>
      <c r="M2481" s="368"/>
      <c r="N2481" s="368"/>
      <c r="O2481" s="271">
        <f>IFERROR(Table17[[#This Row],[PROFIT]]/Table17[[#This Row],[TO]],0)</f>
        <v>0</v>
      </c>
      <c r="P2481" s="177"/>
      <c r="Q2481" s="177"/>
      <c r="R2481" s="177"/>
    </row>
    <row r="2482" spans="1:18" ht="30" hidden="1" x14ac:dyDescent="0.25">
      <c r="A2482" s="29" t="s">
        <v>1024</v>
      </c>
      <c r="B2482" s="29" t="s">
        <v>1023</v>
      </c>
      <c r="C2482" s="29" t="s">
        <v>514</v>
      </c>
      <c r="D2482" s="29" t="str">
        <f>VLOOKUP(C:C,'COUNT-CONT'!B:C,2,FALSE)</f>
        <v>North America</v>
      </c>
      <c r="E2482" s="29">
        <v>4</v>
      </c>
      <c r="F2482" s="28">
        <v>1830</v>
      </c>
      <c r="G2482" s="28">
        <v>2811392896</v>
      </c>
      <c r="H2482" s="29">
        <v>6.77</v>
      </c>
      <c r="I2482" s="142">
        <v>-72.67</v>
      </c>
      <c r="J2482" s="29">
        <v>4.47</v>
      </c>
      <c r="K2482" s="29">
        <v>4.32</v>
      </c>
      <c r="L2482" s="29">
        <v>7.71</v>
      </c>
      <c r="M2482" s="368"/>
      <c r="N2482" s="368"/>
      <c r="O2482" s="271">
        <f>IFERROR(Table17[[#This Row],[PROFIT]]/Table17[[#This Row],[TO]],0)</f>
        <v>0</v>
      </c>
      <c r="P2482" s="177"/>
      <c r="Q2482" s="177"/>
      <c r="R2482" s="177"/>
    </row>
    <row r="2483" spans="1:18" ht="30" hidden="1" x14ac:dyDescent="0.25">
      <c r="A2483" s="29" t="s">
        <v>1004</v>
      </c>
      <c r="B2483" s="29" t="s">
        <v>1003</v>
      </c>
      <c r="C2483" s="29" t="s">
        <v>514</v>
      </c>
      <c r="D2483" s="29" t="str">
        <f>VLOOKUP(C:C,'COUNT-CONT'!B:C,2,FALSE)</f>
        <v>North America</v>
      </c>
      <c r="E2483" s="29">
        <v>1</v>
      </c>
      <c r="F2483" s="28">
        <v>1068</v>
      </c>
      <c r="G2483" s="28">
        <v>3164062546</v>
      </c>
      <c r="H2483" s="29">
        <v>6.77</v>
      </c>
      <c r="I2483" s="142">
        <v>-72.67</v>
      </c>
      <c r="J2483" s="29">
        <v>4.47</v>
      </c>
      <c r="K2483" s="29">
        <v>4.32</v>
      </c>
      <c r="L2483" s="29">
        <v>7.71</v>
      </c>
      <c r="M2483" s="368"/>
      <c r="N2483" s="368"/>
      <c r="O2483" s="271">
        <f>IFERROR(Table17[[#This Row],[PROFIT]]/Table17[[#This Row],[TO]],0)</f>
        <v>0</v>
      </c>
      <c r="P2483" s="177"/>
      <c r="Q2483" s="177"/>
      <c r="R2483" s="177"/>
    </row>
    <row r="2484" spans="1:18" hidden="1" x14ac:dyDescent="0.25">
      <c r="A2484" s="29" t="s">
        <v>735</v>
      </c>
      <c r="B2484" s="29" t="s">
        <v>734</v>
      </c>
      <c r="C2484" s="29" t="s">
        <v>733</v>
      </c>
      <c r="D2484" s="29" t="str">
        <f>VLOOKUP(C:C,'COUNT-CONT'!B:C,2,FALSE)</f>
        <v>Europe</v>
      </c>
      <c r="E2484" s="29">
        <v>4</v>
      </c>
      <c r="F2484" s="28">
        <v>1801</v>
      </c>
      <c r="G2484" s="28">
        <v>2578971793</v>
      </c>
      <c r="H2484" s="29">
        <v>6.74</v>
      </c>
      <c r="I2484" s="142">
        <v>-72.7</v>
      </c>
      <c r="J2484" s="29">
        <v>3.17</v>
      </c>
      <c r="K2484" s="29">
        <v>2.93</v>
      </c>
      <c r="L2484" s="29">
        <v>6.38</v>
      </c>
      <c r="M2484" s="368"/>
      <c r="N2484" s="368"/>
      <c r="O2484" s="271">
        <f>IFERROR(Table17[[#This Row],[PROFIT]]/Table17[[#This Row],[TO]],0)</f>
        <v>0</v>
      </c>
      <c r="P2484" s="177"/>
      <c r="Q2484" s="177"/>
      <c r="R2484" s="177"/>
    </row>
    <row r="2485" spans="1:18" x14ac:dyDescent="0.25">
      <c r="A2485" s="29" t="s">
        <v>732</v>
      </c>
      <c r="B2485" s="29" t="s">
        <v>731</v>
      </c>
      <c r="C2485" s="29" t="s">
        <v>730</v>
      </c>
      <c r="D2485" s="29" t="str">
        <f>VLOOKUP(C:C,'COUNT-CONT'!B:C,2,FALSE)</f>
        <v>Oceania</v>
      </c>
      <c r="E2485" s="29">
        <v>1</v>
      </c>
      <c r="F2485" s="28">
        <v>1250</v>
      </c>
      <c r="G2485" s="28">
        <v>2853200000</v>
      </c>
      <c r="H2485" s="29">
        <v>6.74</v>
      </c>
      <c r="I2485" s="142">
        <v>-72.7</v>
      </c>
      <c r="J2485" s="29">
        <v>3.17</v>
      </c>
      <c r="K2485" s="29">
        <v>2.78</v>
      </c>
      <c r="L2485" s="29">
        <v>6.38</v>
      </c>
      <c r="M2485" s="368"/>
      <c r="N2485" s="368"/>
      <c r="O2485" s="271">
        <f>IFERROR(Table17[[#This Row],[PROFIT]]/Table17[[#This Row],[TO]],0)</f>
        <v>0</v>
      </c>
      <c r="P2485" s="177"/>
      <c r="Q2485" s="177"/>
      <c r="R2485" s="177"/>
    </row>
    <row r="2486" spans="1:18" hidden="1" x14ac:dyDescent="0.25">
      <c r="A2486" s="29" t="s">
        <v>818</v>
      </c>
      <c r="B2486" s="29" t="s">
        <v>817</v>
      </c>
      <c r="C2486" s="29" t="s">
        <v>585</v>
      </c>
      <c r="D2486" s="29" t="str">
        <f>VLOOKUP(C:C,'COUNT-CONT'!B:C,2,FALSE)</f>
        <v>Europe</v>
      </c>
      <c r="E2486" s="29">
        <v>4</v>
      </c>
      <c r="F2486" s="28">
        <v>1815</v>
      </c>
      <c r="G2486" s="28">
        <v>2704460606</v>
      </c>
      <c r="H2486" s="29">
        <v>6.74</v>
      </c>
      <c r="I2486" s="142">
        <v>-72.7</v>
      </c>
      <c r="J2486" s="29">
        <v>3.72</v>
      </c>
      <c r="K2486" s="29">
        <v>3.45</v>
      </c>
      <c r="L2486" s="29">
        <v>6.89</v>
      </c>
      <c r="M2486" s="368"/>
      <c r="N2486" s="368"/>
      <c r="O2486" s="271">
        <f>IFERROR(Table17[[#This Row],[PROFIT]]/Table17[[#This Row],[TO]],0)</f>
        <v>0</v>
      </c>
      <c r="P2486" s="177"/>
      <c r="Q2486" s="177"/>
      <c r="R2486" s="177"/>
    </row>
    <row r="2487" spans="1:18" ht="30" hidden="1" x14ac:dyDescent="0.25">
      <c r="A2487" s="29" t="s">
        <v>782</v>
      </c>
      <c r="B2487" s="29" t="s">
        <v>781</v>
      </c>
      <c r="C2487" s="29" t="s">
        <v>13119</v>
      </c>
      <c r="D2487" s="29" t="str">
        <f>VLOOKUP(C:C,'COUNT-CONT'!B:C,2,FALSE)</f>
        <v>North America</v>
      </c>
      <c r="E2487" s="29">
        <v>5</v>
      </c>
      <c r="F2487" s="28">
        <v>2139</v>
      </c>
      <c r="G2487" s="28">
        <v>2517658999</v>
      </c>
      <c r="H2487" s="29">
        <v>6.71</v>
      </c>
      <c r="I2487" s="142">
        <v>-72.73</v>
      </c>
      <c r="J2487" s="29">
        <v>3.63</v>
      </c>
      <c r="K2487" s="29">
        <v>3.2</v>
      </c>
      <c r="L2487" s="29">
        <v>6.71</v>
      </c>
      <c r="M2487" s="368"/>
      <c r="N2487" s="368"/>
      <c r="O2487" s="271">
        <f>IFERROR(Table17[[#This Row],[PROFIT]]/Table17[[#This Row],[TO]],0)</f>
        <v>0</v>
      </c>
      <c r="P2487" s="177"/>
      <c r="Q2487" s="177"/>
      <c r="R2487" s="177"/>
    </row>
    <row r="2488" spans="1:18" ht="30" hidden="1" x14ac:dyDescent="0.25">
      <c r="A2488" s="29" t="s">
        <v>1419</v>
      </c>
      <c r="B2488" s="29" t="s">
        <v>1418</v>
      </c>
      <c r="C2488" s="29" t="s">
        <v>11732</v>
      </c>
      <c r="D2488" s="29" t="str">
        <f>VLOOKUP(C:C,'COUNT-CONT'!B:C,2,FALSE)</f>
        <v>North America</v>
      </c>
      <c r="E2488" s="29">
        <v>5</v>
      </c>
      <c r="F2488" s="28">
        <v>2167</v>
      </c>
      <c r="G2488" s="28">
        <v>3005214213</v>
      </c>
      <c r="H2488" s="29">
        <v>6.71</v>
      </c>
      <c r="I2488" s="142">
        <v>-72.73</v>
      </c>
      <c r="J2488" s="29">
        <v>5.47</v>
      </c>
      <c r="K2488" s="29">
        <v>5.47</v>
      </c>
      <c r="L2488" s="29">
        <v>8.86</v>
      </c>
      <c r="M2488" s="368"/>
      <c r="N2488" s="368"/>
      <c r="O2488" s="271">
        <f>IFERROR(Table17[[#This Row],[PROFIT]]/Table17[[#This Row],[TO]],0)</f>
        <v>0</v>
      </c>
      <c r="P2488" s="177"/>
      <c r="Q2488" s="177"/>
      <c r="R2488" s="177"/>
    </row>
    <row r="2489" spans="1:18" ht="30" hidden="1" x14ac:dyDescent="0.25">
      <c r="A2489" s="29" t="s">
        <v>575</v>
      </c>
      <c r="B2489" s="29" t="s">
        <v>574</v>
      </c>
      <c r="C2489" s="29" t="s">
        <v>493</v>
      </c>
      <c r="D2489" s="29" t="str">
        <f>VLOOKUP(C:C,'COUNT-CONT'!B:C,2,FALSE)</f>
        <v>Africa</v>
      </c>
      <c r="E2489" s="29">
        <v>10</v>
      </c>
      <c r="F2489" s="28">
        <v>1500</v>
      </c>
      <c r="G2489" s="28">
        <v>2713433333</v>
      </c>
      <c r="H2489" s="29">
        <v>6.71</v>
      </c>
      <c r="I2489" s="142">
        <v>-72.73</v>
      </c>
      <c r="J2489" s="29">
        <v>2.15</v>
      </c>
      <c r="K2489" s="29">
        <v>1.54</v>
      </c>
      <c r="L2489" s="29">
        <v>5.17</v>
      </c>
      <c r="M2489" s="368"/>
      <c r="N2489" s="368"/>
      <c r="O2489" s="271">
        <f>IFERROR(Table17[[#This Row],[PROFIT]]/Table17[[#This Row],[TO]],0)</f>
        <v>0</v>
      </c>
      <c r="P2489" s="177"/>
      <c r="Q2489" s="177"/>
      <c r="R2489" s="177"/>
    </row>
    <row r="2490" spans="1:18" ht="30" hidden="1" x14ac:dyDescent="0.25">
      <c r="A2490" s="29" t="s">
        <v>1417</v>
      </c>
      <c r="B2490" s="29" t="s">
        <v>1416</v>
      </c>
      <c r="C2490" s="29" t="s">
        <v>11732</v>
      </c>
      <c r="D2490" s="29" t="str">
        <f>VLOOKUP(C:C,'COUNT-CONT'!B:C,2,FALSE)</f>
        <v>North America</v>
      </c>
      <c r="E2490" s="29">
        <v>4</v>
      </c>
      <c r="F2490" s="28">
        <v>1984</v>
      </c>
      <c r="G2490" s="28">
        <v>3033835483</v>
      </c>
      <c r="H2490" s="29">
        <v>6.71</v>
      </c>
      <c r="I2490" s="142">
        <v>-72.73</v>
      </c>
      <c r="J2490" s="29">
        <v>5.47</v>
      </c>
      <c r="K2490" s="29">
        <v>5.47</v>
      </c>
      <c r="L2490" s="29">
        <v>8.86</v>
      </c>
      <c r="M2490" s="368"/>
      <c r="N2490" s="368"/>
      <c r="O2490" s="271">
        <f>IFERROR(Table17[[#This Row],[PROFIT]]/Table17[[#This Row],[TO]],0)</f>
        <v>0</v>
      </c>
      <c r="P2490" s="177"/>
      <c r="Q2490" s="177"/>
      <c r="R2490" s="177"/>
    </row>
    <row r="2491" spans="1:18" hidden="1" x14ac:dyDescent="0.25">
      <c r="A2491" s="29" t="s">
        <v>878</v>
      </c>
      <c r="B2491" s="29" t="s">
        <v>877</v>
      </c>
      <c r="C2491" s="29" t="s">
        <v>876</v>
      </c>
      <c r="D2491" s="29" t="str">
        <f>VLOOKUP(C:C,'COUNT-CONT'!B:C,2,FALSE)</f>
        <v>Europe</v>
      </c>
      <c r="E2491" s="29">
        <v>4</v>
      </c>
      <c r="F2491" s="28">
        <v>2001</v>
      </c>
      <c r="G2491" s="28">
        <v>2721125137</v>
      </c>
      <c r="H2491" s="29">
        <v>6.71</v>
      </c>
      <c r="I2491" s="142">
        <v>-72.73</v>
      </c>
      <c r="J2491" s="29">
        <v>4.08</v>
      </c>
      <c r="K2491" s="29">
        <v>3.93</v>
      </c>
      <c r="L2491" s="29">
        <v>7.29</v>
      </c>
      <c r="M2491" s="368"/>
      <c r="N2491" s="368"/>
      <c r="O2491" s="271">
        <f>IFERROR(Table17[[#This Row],[PROFIT]]/Table17[[#This Row],[TO]],0)</f>
        <v>0</v>
      </c>
      <c r="P2491" s="177"/>
      <c r="Q2491" s="177"/>
      <c r="R2491" s="177"/>
    </row>
    <row r="2492" spans="1:18" ht="30" hidden="1" x14ac:dyDescent="0.25">
      <c r="A2492" s="29" t="s">
        <v>980</v>
      </c>
      <c r="B2492" s="29" t="s">
        <v>979</v>
      </c>
      <c r="C2492" s="29" t="s">
        <v>514</v>
      </c>
      <c r="D2492" s="29" t="str">
        <f>VLOOKUP(C:C,'COUNT-CONT'!B:C,2,FALSE)</f>
        <v>North America</v>
      </c>
      <c r="E2492" s="29">
        <v>3</v>
      </c>
      <c r="F2492" s="28">
        <v>1525</v>
      </c>
      <c r="G2492" s="28">
        <v>2888311475</v>
      </c>
      <c r="H2492" s="29">
        <v>6.71</v>
      </c>
      <c r="I2492" s="142">
        <v>-72.73</v>
      </c>
      <c r="J2492" s="29">
        <v>4.41</v>
      </c>
      <c r="K2492" s="29">
        <v>4.26</v>
      </c>
      <c r="L2492" s="29">
        <v>7.62</v>
      </c>
      <c r="M2492" s="368"/>
      <c r="N2492" s="368"/>
      <c r="O2492" s="271">
        <f>IFERROR(Table17[[#This Row],[PROFIT]]/Table17[[#This Row],[TO]],0)</f>
        <v>0</v>
      </c>
      <c r="P2492" s="177"/>
      <c r="Q2492" s="177"/>
      <c r="R2492" s="177"/>
    </row>
    <row r="2493" spans="1:18" x14ac:dyDescent="0.25">
      <c r="A2493" s="29" t="s">
        <v>843</v>
      </c>
      <c r="B2493" s="29" t="s">
        <v>842</v>
      </c>
      <c r="C2493" s="29" t="s">
        <v>774</v>
      </c>
      <c r="D2493" s="29" t="str">
        <f>VLOOKUP(C:C,'COUNT-CONT'!B:C,2,FALSE)</f>
        <v>Oceania</v>
      </c>
      <c r="E2493" s="29">
        <v>3</v>
      </c>
      <c r="F2493" s="28">
        <v>1629</v>
      </c>
      <c r="G2493" s="28">
        <v>2785360896</v>
      </c>
      <c r="H2493" s="29">
        <v>6.68</v>
      </c>
      <c r="I2493" s="142">
        <v>-72.759999999999991</v>
      </c>
      <c r="J2493" s="29">
        <v>3.96</v>
      </c>
      <c r="K2493" s="29">
        <v>3.69</v>
      </c>
      <c r="L2493" s="29">
        <v>7.1</v>
      </c>
      <c r="M2493" s="368"/>
      <c r="N2493" s="368"/>
      <c r="O2493" s="271">
        <f>IFERROR(Table17[[#This Row],[PROFIT]]/Table17[[#This Row],[TO]],0)</f>
        <v>0</v>
      </c>
      <c r="P2493" s="177"/>
      <c r="Q2493" s="177"/>
      <c r="R2493" s="177"/>
    </row>
    <row r="2494" spans="1:18" ht="30" hidden="1" x14ac:dyDescent="0.25">
      <c r="A2494" s="29" t="s">
        <v>1409</v>
      </c>
      <c r="B2494" s="29" t="s">
        <v>1408</v>
      </c>
      <c r="C2494" s="29" t="s">
        <v>11732</v>
      </c>
      <c r="D2494" s="29" t="str">
        <f>VLOOKUP(C:C,'COUNT-CONT'!B:C,2,FALSE)</f>
        <v>North America</v>
      </c>
      <c r="E2494" s="29">
        <v>5</v>
      </c>
      <c r="F2494" s="28">
        <v>2045</v>
      </c>
      <c r="G2494" s="28">
        <v>3018597310</v>
      </c>
      <c r="H2494" s="29">
        <v>6.68</v>
      </c>
      <c r="I2494" s="142">
        <v>-72.759999999999991</v>
      </c>
      <c r="J2494" s="29">
        <v>5.44</v>
      </c>
      <c r="K2494" s="29">
        <v>5.44</v>
      </c>
      <c r="L2494" s="29">
        <v>8.8000000000000007</v>
      </c>
      <c r="M2494" s="368"/>
      <c r="N2494" s="368"/>
      <c r="O2494" s="271">
        <f>IFERROR(Table17[[#This Row],[PROFIT]]/Table17[[#This Row],[TO]],0)</f>
        <v>0</v>
      </c>
      <c r="P2494" s="177"/>
      <c r="Q2494" s="177"/>
      <c r="R2494" s="177"/>
    </row>
    <row r="2495" spans="1:18" ht="30" hidden="1" x14ac:dyDescent="0.25">
      <c r="A2495" s="29" t="s">
        <v>778</v>
      </c>
      <c r="B2495" s="29" t="s">
        <v>777</v>
      </c>
      <c r="C2495" s="29" t="s">
        <v>142</v>
      </c>
      <c r="D2495" s="29" t="str">
        <f>VLOOKUP(C:C,'COUNT-CONT'!B:C,2,FALSE)</f>
        <v>Asia</v>
      </c>
      <c r="E2495" s="29">
        <v>4</v>
      </c>
      <c r="F2495" s="28">
        <v>2000</v>
      </c>
      <c r="G2495" s="28">
        <v>2638100000</v>
      </c>
      <c r="H2495" s="29">
        <v>6.68</v>
      </c>
      <c r="I2495" s="142">
        <v>-72.759999999999991</v>
      </c>
      <c r="J2495" s="29">
        <v>3.6</v>
      </c>
      <c r="K2495" s="29">
        <v>3.2</v>
      </c>
      <c r="L2495" s="29">
        <v>6.68</v>
      </c>
      <c r="M2495" s="368"/>
      <c r="N2495" s="368"/>
      <c r="O2495" s="271">
        <f>IFERROR(Table17[[#This Row],[PROFIT]]/Table17[[#This Row],[TO]],0)</f>
        <v>0</v>
      </c>
      <c r="P2495" s="177"/>
      <c r="Q2495" s="177"/>
      <c r="R2495" s="177"/>
    </row>
    <row r="2496" spans="1:18" ht="30" hidden="1" x14ac:dyDescent="0.25">
      <c r="A2496" s="29" t="s">
        <v>629</v>
      </c>
      <c r="B2496" s="29" t="s">
        <v>628</v>
      </c>
      <c r="C2496" s="29" t="s">
        <v>517</v>
      </c>
      <c r="D2496" s="29" t="str">
        <f>VLOOKUP(C:C,'COUNT-CONT'!B:C,2,FALSE)</f>
        <v>South America</v>
      </c>
      <c r="E2496" s="29">
        <v>4</v>
      </c>
      <c r="F2496" s="28">
        <v>1802</v>
      </c>
      <c r="G2496" s="28">
        <v>2440832852</v>
      </c>
      <c r="H2496" s="29">
        <v>6.68</v>
      </c>
      <c r="I2496" s="142">
        <v>-72.759999999999991</v>
      </c>
      <c r="J2496" s="29">
        <v>2.6</v>
      </c>
      <c r="K2496" s="29">
        <v>2.15</v>
      </c>
      <c r="L2496" s="29">
        <v>5.65</v>
      </c>
      <c r="M2496" s="368"/>
      <c r="N2496" s="368"/>
      <c r="O2496" s="271">
        <f>IFERROR(Table17[[#This Row],[PROFIT]]/Table17[[#This Row],[TO]],0)</f>
        <v>0</v>
      </c>
      <c r="P2496" s="177"/>
      <c r="Q2496" s="177"/>
      <c r="R2496" s="177"/>
    </row>
    <row r="2497" spans="1:18" ht="30" hidden="1" x14ac:dyDescent="0.25">
      <c r="A2497" s="29" t="s">
        <v>1397</v>
      </c>
      <c r="B2497" s="29" t="s">
        <v>1396</v>
      </c>
      <c r="C2497" s="29" t="s">
        <v>11732</v>
      </c>
      <c r="D2497" s="29" t="str">
        <f>VLOOKUP(C:C,'COUNT-CONT'!B:C,2,FALSE)</f>
        <v>North America</v>
      </c>
      <c r="E2497" s="29">
        <v>1</v>
      </c>
      <c r="F2497" s="28">
        <v>1068</v>
      </c>
      <c r="G2497" s="28">
        <v>3409862546</v>
      </c>
      <c r="H2497" s="29">
        <v>6.68</v>
      </c>
      <c r="I2497" s="142">
        <v>-72.759999999999991</v>
      </c>
      <c r="J2497" s="29">
        <v>5.44</v>
      </c>
      <c r="K2497" s="29">
        <v>5.44</v>
      </c>
      <c r="L2497" s="29">
        <v>8.8000000000000007</v>
      </c>
      <c r="M2497" s="368"/>
      <c r="N2497" s="368"/>
      <c r="O2497" s="271">
        <f>IFERROR(Table17[[#This Row],[PROFIT]]/Table17[[#This Row],[TO]],0)</f>
        <v>0</v>
      </c>
      <c r="P2497" s="177"/>
      <c r="Q2497" s="177"/>
      <c r="R2497" s="177"/>
    </row>
    <row r="2498" spans="1:18" ht="30" hidden="1" x14ac:dyDescent="0.25">
      <c r="A2498" s="29" t="s">
        <v>1399</v>
      </c>
      <c r="B2498" s="29" t="s">
        <v>1398</v>
      </c>
      <c r="C2498" s="29" t="s">
        <v>11732</v>
      </c>
      <c r="D2498" s="29" t="str">
        <f>VLOOKUP(C:C,'COUNT-CONT'!B:C,2,FALSE)</f>
        <v>North America</v>
      </c>
      <c r="E2498" s="29">
        <v>1</v>
      </c>
      <c r="F2498" s="28">
        <v>1083</v>
      </c>
      <c r="G2498" s="28">
        <v>3397097137</v>
      </c>
      <c r="H2498" s="29">
        <v>6.68</v>
      </c>
      <c r="I2498" s="142">
        <v>-72.759999999999991</v>
      </c>
      <c r="J2498" s="29">
        <v>5.44</v>
      </c>
      <c r="K2498" s="29">
        <v>5.44</v>
      </c>
      <c r="L2498" s="29">
        <v>8.8000000000000007</v>
      </c>
      <c r="M2498" s="368"/>
      <c r="N2498" s="368"/>
      <c r="O2498" s="271">
        <f>IFERROR(Table17[[#This Row],[PROFIT]]/Table17[[#This Row],[TO]],0)</f>
        <v>0</v>
      </c>
      <c r="P2498" s="177"/>
      <c r="Q2498" s="177"/>
      <c r="R2498" s="177"/>
    </row>
    <row r="2499" spans="1:18" ht="30" hidden="1" x14ac:dyDescent="0.25">
      <c r="A2499" s="29" t="s">
        <v>1403</v>
      </c>
      <c r="B2499" s="29" t="s">
        <v>1402</v>
      </c>
      <c r="C2499" s="29" t="s">
        <v>11732</v>
      </c>
      <c r="D2499" s="29" t="str">
        <f>VLOOKUP(C:C,'COUNT-CONT'!B:C,2,FALSE)</f>
        <v>North America</v>
      </c>
      <c r="E2499" s="29">
        <v>4</v>
      </c>
      <c r="F2499" s="28">
        <v>1830</v>
      </c>
      <c r="G2499" s="28">
        <v>3058692896</v>
      </c>
      <c r="H2499" s="29">
        <v>6.68</v>
      </c>
      <c r="I2499" s="142">
        <v>-72.759999999999991</v>
      </c>
      <c r="J2499" s="29">
        <v>5.44</v>
      </c>
      <c r="K2499" s="29">
        <v>5.44</v>
      </c>
      <c r="L2499" s="29">
        <v>8.8000000000000007</v>
      </c>
      <c r="M2499" s="368"/>
      <c r="N2499" s="368"/>
      <c r="O2499" s="271">
        <f>IFERROR(Table17[[#This Row],[PROFIT]]/Table17[[#This Row],[TO]],0)</f>
        <v>0</v>
      </c>
      <c r="P2499" s="177"/>
      <c r="Q2499" s="177"/>
      <c r="R2499" s="177"/>
    </row>
    <row r="2500" spans="1:18" hidden="1" x14ac:dyDescent="0.25">
      <c r="A2500" s="29" t="s">
        <v>492</v>
      </c>
      <c r="B2500" s="29" t="s">
        <v>491</v>
      </c>
      <c r="C2500" s="29" t="s">
        <v>490</v>
      </c>
      <c r="D2500" s="29" t="str">
        <f>VLOOKUP(C:C,'COUNT-CONT'!B:C,2,FALSE)</f>
        <v>Africa</v>
      </c>
      <c r="E2500" s="29">
        <v>6</v>
      </c>
      <c r="F2500" s="28">
        <v>2500</v>
      </c>
      <c r="G2500" s="28">
        <v>2384800000</v>
      </c>
      <c r="H2500" s="29">
        <v>6.65</v>
      </c>
      <c r="I2500" s="142">
        <v>-72.789999999999992</v>
      </c>
      <c r="J2500" s="29">
        <v>0.94</v>
      </c>
      <c r="K2500" s="29">
        <v>0.39</v>
      </c>
      <c r="L2500" s="29">
        <v>3.96</v>
      </c>
      <c r="M2500" s="368"/>
      <c r="N2500" s="368"/>
      <c r="O2500" s="271">
        <f>IFERROR(Table17[[#This Row],[PROFIT]]/Table17[[#This Row],[TO]],0)</f>
        <v>0</v>
      </c>
      <c r="P2500" s="177"/>
      <c r="Q2500" s="177"/>
      <c r="R2500" s="177"/>
    </row>
    <row r="2501" spans="1:18" ht="30" hidden="1" x14ac:dyDescent="0.25">
      <c r="A2501" s="29" t="s">
        <v>1391</v>
      </c>
      <c r="B2501" s="29" t="s">
        <v>1390</v>
      </c>
      <c r="C2501" s="29" t="s">
        <v>11732</v>
      </c>
      <c r="D2501" s="29" t="str">
        <f>VLOOKUP(C:C,'COUNT-CONT'!B:C,2,FALSE)</f>
        <v>North America</v>
      </c>
      <c r="E2501" s="29">
        <v>6</v>
      </c>
      <c r="F2501" s="28">
        <v>2441</v>
      </c>
      <c r="G2501" s="28">
        <v>2966034985</v>
      </c>
      <c r="H2501" s="29">
        <v>6.65</v>
      </c>
      <c r="I2501" s="142">
        <v>-72.789999999999992</v>
      </c>
      <c r="J2501" s="29">
        <v>5.44</v>
      </c>
      <c r="K2501" s="29">
        <v>5.44</v>
      </c>
      <c r="L2501" s="29">
        <v>8.77</v>
      </c>
      <c r="M2501" s="368"/>
      <c r="N2501" s="368"/>
      <c r="O2501" s="271">
        <f>IFERROR(Table17[[#This Row],[PROFIT]]/Table17[[#This Row],[TO]],0)</f>
        <v>0</v>
      </c>
      <c r="P2501" s="177"/>
      <c r="Q2501" s="177"/>
      <c r="R2501" s="177"/>
    </row>
    <row r="2502" spans="1:18" ht="30" hidden="1" x14ac:dyDescent="0.25">
      <c r="A2502" s="29" t="s">
        <v>1383</v>
      </c>
      <c r="B2502" s="29" t="s">
        <v>1382</v>
      </c>
      <c r="C2502" s="29" t="s">
        <v>11732</v>
      </c>
      <c r="D2502" s="29" t="str">
        <f>VLOOKUP(C:C,'COUNT-CONT'!B:C,2,FALSE)</f>
        <v>North America</v>
      </c>
      <c r="E2502" s="29">
        <v>4</v>
      </c>
      <c r="F2502" s="28">
        <v>1800</v>
      </c>
      <c r="G2502" s="28">
        <v>3059311111</v>
      </c>
      <c r="H2502" s="29">
        <v>6.65</v>
      </c>
      <c r="I2502" s="142">
        <v>-72.789999999999992</v>
      </c>
      <c r="J2502" s="29">
        <v>5.41</v>
      </c>
      <c r="K2502" s="29">
        <v>5.41</v>
      </c>
      <c r="L2502" s="29">
        <v>8.74</v>
      </c>
      <c r="M2502" s="368"/>
      <c r="N2502" s="368"/>
      <c r="O2502" s="271">
        <f>IFERROR(Table17[[#This Row],[PROFIT]]/Table17[[#This Row],[TO]],0)</f>
        <v>0</v>
      </c>
      <c r="P2502" s="177"/>
      <c r="Q2502" s="177"/>
      <c r="R2502" s="177"/>
    </row>
    <row r="2503" spans="1:18" ht="30" hidden="1" x14ac:dyDescent="0.25">
      <c r="A2503" s="29" t="s">
        <v>966</v>
      </c>
      <c r="B2503" s="29" t="s">
        <v>965</v>
      </c>
      <c r="C2503" s="29" t="s">
        <v>514</v>
      </c>
      <c r="D2503" s="29" t="str">
        <f>VLOOKUP(C:C,'COUNT-CONT'!B:C,2,FALSE)</f>
        <v>North America</v>
      </c>
      <c r="E2503" s="29">
        <v>3</v>
      </c>
      <c r="F2503" s="28">
        <v>1525</v>
      </c>
      <c r="G2503" s="28">
        <v>2883511475</v>
      </c>
      <c r="H2503" s="29">
        <v>6.65</v>
      </c>
      <c r="I2503" s="142">
        <v>-72.789999999999992</v>
      </c>
      <c r="J2503" s="29">
        <v>4.38</v>
      </c>
      <c r="K2503" s="29">
        <v>4.2300000000000004</v>
      </c>
      <c r="L2503" s="29">
        <v>7.59</v>
      </c>
      <c r="M2503" s="368"/>
      <c r="N2503" s="368"/>
      <c r="O2503" s="271">
        <f>IFERROR(Table17[[#This Row],[PROFIT]]/Table17[[#This Row],[TO]],0)</f>
        <v>0</v>
      </c>
      <c r="P2503" s="177"/>
      <c r="Q2503" s="177"/>
      <c r="R2503" s="177"/>
    </row>
    <row r="2504" spans="1:18" ht="30" x14ac:dyDescent="0.25">
      <c r="A2504" s="29" t="s">
        <v>713</v>
      </c>
      <c r="B2504" s="29" t="s">
        <v>712</v>
      </c>
      <c r="C2504" s="29" t="s">
        <v>662</v>
      </c>
      <c r="D2504" s="29" t="str">
        <f>VLOOKUP(C:C,'COUNT-CONT'!B:C,2,FALSE)</f>
        <v>Oceania</v>
      </c>
      <c r="E2504" s="29">
        <v>2</v>
      </c>
      <c r="F2504" s="28">
        <v>1500</v>
      </c>
      <c r="G2504" s="28">
        <v>2628733333</v>
      </c>
      <c r="H2504" s="29">
        <v>6.62</v>
      </c>
      <c r="I2504" s="142">
        <v>-72.819999999999993</v>
      </c>
      <c r="J2504" s="29">
        <v>3.23</v>
      </c>
      <c r="K2504" s="29">
        <v>2.75</v>
      </c>
      <c r="L2504" s="29">
        <v>6.26</v>
      </c>
      <c r="M2504" s="368"/>
      <c r="N2504" s="368"/>
      <c r="O2504" s="271">
        <f>IFERROR(Table17[[#This Row],[PROFIT]]/Table17[[#This Row],[TO]],0)</f>
        <v>0</v>
      </c>
      <c r="P2504" s="177"/>
      <c r="Q2504" s="177"/>
      <c r="R2504" s="177"/>
    </row>
    <row r="2505" spans="1:18" x14ac:dyDescent="0.25">
      <c r="A2505" s="29" t="s">
        <v>831</v>
      </c>
      <c r="B2505" s="29" t="s">
        <v>830</v>
      </c>
      <c r="C2505" s="29" t="s">
        <v>774</v>
      </c>
      <c r="D2505" s="29" t="str">
        <f>VLOOKUP(C:C,'COUNT-CONT'!B:C,2,FALSE)</f>
        <v>Oceania</v>
      </c>
      <c r="E2505" s="29">
        <v>3</v>
      </c>
      <c r="F2505" s="28">
        <v>1532</v>
      </c>
      <c r="G2505" s="28">
        <v>2807315665</v>
      </c>
      <c r="H2505" s="29">
        <v>6.62</v>
      </c>
      <c r="I2505" s="142">
        <v>-72.819999999999993</v>
      </c>
      <c r="J2505" s="29">
        <v>3.93</v>
      </c>
      <c r="K2505" s="29">
        <v>3.66</v>
      </c>
      <c r="L2505" s="29">
        <v>7.04</v>
      </c>
      <c r="M2505" s="368"/>
      <c r="N2505" s="368"/>
      <c r="O2505" s="271">
        <f>IFERROR(Table17[[#This Row],[PROFIT]]/Table17[[#This Row],[TO]],0)</f>
        <v>0</v>
      </c>
      <c r="P2505" s="177"/>
      <c r="Q2505" s="177"/>
      <c r="R2505" s="177"/>
    </row>
    <row r="2506" spans="1:18" ht="30" hidden="1" x14ac:dyDescent="0.25">
      <c r="A2506" s="29" t="s">
        <v>946</v>
      </c>
      <c r="B2506" s="29" t="s">
        <v>945</v>
      </c>
      <c r="C2506" s="29" t="s">
        <v>514</v>
      </c>
      <c r="D2506" s="29" t="str">
        <f>VLOOKUP(C:C,'COUNT-CONT'!B:C,2,FALSE)</f>
        <v>North America</v>
      </c>
      <c r="E2506" s="29">
        <v>1</v>
      </c>
      <c r="F2506" s="28">
        <v>1071</v>
      </c>
      <c r="G2506" s="28">
        <v>3135877497</v>
      </c>
      <c r="H2506" s="29">
        <v>6.62</v>
      </c>
      <c r="I2506" s="142">
        <v>-72.819999999999993</v>
      </c>
      <c r="J2506" s="29">
        <v>4.3499999999999996</v>
      </c>
      <c r="K2506" s="29">
        <v>4.2</v>
      </c>
      <c r="L2506" s="29">
        <v>7.53</v>
      </c>
      <c r="M2506" s="368"/>
      <c r="N2506" s="368"/>
      <c r="O2506" s="271">
        <f>IFERROR(Table17[[#This Row],[PROFIT]]/Table17[[#This Row],[TO]],0)</f>
        <v>0</v>
      </c>
      <c r="P2506" s="177"/>
      <c r="Q2506" s="177"/>
      <c r="R2506" s="177"/>
    </row>
    <row r="2507" spans="1:18" ht="30" hidden="1" x14ac:dyDescent="0.25">
      <c r="A2507" s="29" t="s">
        <v>948</v>
      </c>
      <c r="B2507" s="29" t="s">
        <v>947</v>
      </c>
      <c r="C2507" s="29" t="s">
        <v>514</v>
      </c>
      <c r="D2507" s="29" t="str">
        <f>VLOOKUP(C:C,'COUNT-CONT'!B:C,2,FALSE)</f>
        <v>North America</v>
      </c>
      <c r="E2507" s="29">
        <v>1</v>
      </c>
      <c r="F2507" s="28">
        <v>1200</v>
      </c>
      <c r="G2507" s="28">
        <v>3038366666</v>
      </c>
      <c r="H2507" s="29">
        <v>6.62</v>
      </c>
      <c r="I2507" s="142">
        <v>-72.819999999999993</v>
      </c>
      <c r="J2507" s="29">
        <v>4.3499999999999996</v>
      </c>
      <c r="K2507" s="29">
        <v>4.2</v>
      </c>
      <c r="L2507" s="29">
        <v>7.53</v>
      </c>
      <c r="M2507" s="368"/>
      <c r="N2507" s="368"/>
      <c r="O2507" s="271">
        <f>IFERROR(Table17[[#This Row],[PROFIT]]/Table17[[#This Row],[TO]],0)</f>
        <v>0</v>
      </c>
      <c r="P2507" s="177"/>
      <c r="Q2507" s="177"/>
      <c r="R2507" s="177"/>
    </row>
    <row r="2508" spans="1:18" ht="30" hidden="1" x14ac:dyDescent="0.25">
      <c r="A2508" s="29" t="s">
        <v>952</v>
      </c>
      <c r="B2508" s="29" t="s">
        <v>951</v>
      </c>
      <c r="C2508" s="29" t="s">
        <v>514</v>
      </c>
      <c r="D2508" s="29" t="str">
        <f>VLOOKUP(C:C,'COUNT-CONT'!B:C,2,FALSE)</f>
        <v>North America</v>
      </c>
      <c r="E2508" s="29">
        <v>3</v>
      </c>
      <c r="F2508" s="28">
        <v>1686</v>
      </c>
      <c r="G2508" s="28">
        <v>2822731791</v>
      </c>
      <c r="H2508" s="29">
        <v>6.62</v>
      </c>
      <c r="I2508" s="142">
        <v>-72.819999999999993</v>
      </c>
      <c r="J2508" s="29">
        <v>4.3499999999999996</v>
      </c>
      <c r="K2508" s="29">
        <v>4.2</v>
      </c>
      <c r="L2508" s="29">
        <v>7.53</v>
      </c>
      <c r="M2508" s="368"/>
      <c r="N2508" s="368"/>
      <c r="O2508" s="271">
        <f>IFERROR(Table17[[#This Row],[PROFIT]]/Table17[[#This Row],[TO]],0)</f>
        <v>0</v>
      </c>
      <c r="P2508" s="177"/>
      <c r="Q2508" s="177"/>
      <c r="R2508" s="177"/>
    </row>
    <row r="2509" spans="1:18" ht="30" hidden="1" x14ac:dyDescent="0.25">
      <c r="A2509" s="29" t="s">
        <v>1364</v>
      </c>
      <c r="B2509" s="29" t="s">
        <v>1363</v>
      </c>
      <c r="C2509" s="29" t="s">
        <v>11732</v>
      </c>
      <c r="D2509" s="29" t="str">
        <f>VLOOKUP(C:C,'COUNT-CONT'!B:C,2,FALSE)</f>
        <v>North America</v>
      </c>
      <c r="E2509" s="29">
        <v>7</v>
      </c>
      <c r="F2509" s="28">
        <v>2753</v>
      </c>
      <c r="G2509" s="28">
        <v>2934964111</v>
      </c>
      <c r="H2509" s="29">
        <v>6.59</v>
      </c>
      <c r="I2509" s="142">
        <v>-72.849999999999994</v>
      </c>
      <c r="J2509" s="29">
        <v>5.38</v>
      </c>
      <c r="K2509" s="29">
        <v>5.38</v>
      </c>
      <c r="L2509" s="29">
        <v>8.68</v>
      </c>
      <c r="M2509" s="368"/>
      <c r="N2509" s="368"/>
      <c r="O2509" s="271">
        <f>IFERROR(Table17[[#This Row],[PROFIT]]/Table17[[#This Row],[TO]],0)</f>
        <v>0</v>
      </c>
      <c r="P2509" s="177"/>
      <c r="Q2509" s="177"/>
      <c r="R2509" s="177"/>
    </row>
    <row r="2510" spans="1:18" ht="30" hidden="1" x14ac:dyDescent="0.25">
      <c r="A2510" s="29" t="s">
        <v>1360</v>
      </c>
      <c r="B2510" s="29" t="s">
        <v>1359</v>
      </c>
      <c r="C2510" s="29" t="s">
        <v>11732</v>
      </c>
      <c r="D2510" s="29" t="str">
        <f>VLOOKUP(C:C,'COUNT-CONT'!B:C,2,FALSE)</f>
        <v>North America</v>
      </c>
      <c r="E2510" s="29">
        <v>5</v>
      </c>
      <c r="F2510" s="28">
        <v>2136</v>
      </c>
      <c r="G2510" s="28">
        <v>2987181273</v>
      </c>
      <c r="H2510" s="29">
        <v>6.59</v>
      </c>
      <c r="I2510" s="142">
        <v>-72.849999999999994</v>
      </c>
      <c r="J2510" s="29">
        <v>5.35</v>
      </c>
      <c r="K2510" s="29">
        <v>5.35</v>
      </c>
      <c r="L2510" s="29">
        <v>8.68</v>
      </c>
      <c r="M2510" s="368"/>
      <c r="N2510" s="368"/>
      <c r="O2510" s="271">
        <f>IFERROR(Table17[[#This Row],[PROFIT]]/Table17[[#This Row],[TO]],0)</f>
        <v>0</v>
      </c>
      <c r="P2510" s="177"/>
      <c r="Q2510" s="177"/>
      <c r="R2510" s="177"/>
    </row>
    <row r="2511" spans="1:18" ht="30" x14ac:dyDescent="0.25">
      <c r="A2511" s="29" t="s">
        <v>592</v>
      </c>
      <c r="B2511" s="29" t="s">
        <v>591</v>
      </c>
      <c r="C2511" s="29" t="s">
        <v>523</v>
      </c>
      <c r="D2511" s="29" t="str">
        <f>VLOOKUP(C:C,'COUNT-CONT'!B:C,2,FALSE)</f>
        <v>Oceania</v>
      </c>
      <c r="E2511" s="29">
        <v>1</v>
      </c>
      <c r="F2511" s="28">
        <v>1100</v>
      </c>
      <c r="G2511" s="28">
        <v>2734400000</v>
      </c>
      <c r="H2511" s="29">
        <v>6.59</v>
      </c>
      <c r="I2511" s="142">
        <v>-72.849999999999994</v>
      </c>
      <c r="J2511" s="29">
        <v>2.1800000000000002</v>
      </c>
      <c r="K2511" s="29">
        <v>1.66</v>
      </c>
      <c r="L2511" s="29">
        <v>5.23</v>
      </c>
      <c r="M2511" s="368"/>
      <c r="N2511" s="368"/>
      <c r="O2511" s="271">
        <f>IFERROR(Table17[[#This Row],[PROFIT]]/Table17[[#This Row],[TO]],0)</f>
        <v>0</v>
      </c>
      <c r="P2511" s="177"/>
      <c r="Q2511" s="177"/>
      <c r="R2511" s="177"/>
    </row>
    <row r="2512" spans="1:18" ht="30" hidden="1" x14ac:dyDescent="0.25">
      <c r="A2512" s="29" t="s">
        <v>1376</v>
      </c>
      <c r="B2512" s="29" t="s">
        <v>1375</v>
      </c>
      <c r="C2512" s="29" t="s">
        <v>11732</v>
      </c>
      <c r="D2512" s="29" t="str">
        <f>VLOOKUP(C:C,'COUNT-CONT'!B:C,2,FALSE)</f>
        <v>North America</v>
      </c>
      <c r="E2512" s="29">
        <v>7</v>
      </c>
      <c r="F2512" s="28">
        <v>2594</v>
      </c>
      <c r="G2512" s="28">
        <v>2945155512</v>
      </c>
      <c r="H2512" s="29">
        <v>6.59</v>
      </c>
      <c r="I2512" s="142">
        <v>-72.849999999999994</v>
      </c>
      <c r="J2512" s="29">
        <v>5.38</v>
      </c>
      <c r="K2512" s="29">
        <v>5.38</v>
      </c>
      <c r="L2512" s="29">
        <v>8.7100000000000009</v>
      </c>
      <c r="M2512" s="368"/>
      <c r="N2512" s="368"/>
      <c r="O2512" s="271">
        <f>IFERROR(Table17[[#This Row],[PROFIT]]/Table17[[#This Row],[TO]],0)</f>
        <v>0</v>
      </c>
      <c r="P2512" s="177"/>
      <c r="Q2512" s="177"/>
      <c r="R2512" s="177"/>
    </row>
    <row r="2513" spans="1:18" ht="30" hidden="1" x14ac:dyDescent="0.25">
      <c r="A2513" s="29" t="s">
        <v>1362</v>
      </c>
      <c r="B2513" s="29" t="s">
        <v>1361</v>
      </c>
      <c r="C2513" s="29" t="s">
        <v>11732</v>
      </c>
      <c r="D2513" s="29" t="str">
        <f>VLOOKUP(C:C,'COUNT-CONT'!B:C,2,FALSE)</f>
        <v>North America</v>
      </c>
      <c r="E2513" s="29">
        <v>6</v>
      </c>
      <c r="F2513" s="28">
        <v>2441</v>
      </c>
      <c r="G2513" s="28">
        <v>2954834985</v>
      </c>
      <c r="H2513" s="29">
        <v>6.59</v>
      </c>
      <c r="I2513" s="142">
        <v>-72.849999999999994</v>
      </c>
      <c r="J2513" s="29">
        <v>5.38</v>
      </c>
      <c r="K2513" s="29">
        <v>5.38</v>
      </c>
      <c r="L2513" s="29">
        <v>8.68</v>
      </c>
      <c r="M2513" s="368"/>
      <c r="N2513" s="368"/>
      <c r="O2513" s="271">
        <f>IFERROR(Table17[[#This Row],[PROFIT]]/Table17[[#This Row],[TO]],0)</f>
        <v>0</v>
      </c>
      <c r="P2513" s="177"/>
      <c r="Q2513" s="177"/>
      <c r="R2513" s="177"/>
    </row>
    <row r="2514" spans="1:18" hidden="1" x14ac:dyDescent="0.25">
      <c r="A2514" s="29" t="s">
        <v>627</v>
      </c>
      <c r="B2514" s="29" t="s">
        <v>626</v>
      </c>
      <c r="C2514" s="29" t="s">
        <v>505</v>
      </c>
      <c r="D2514" s="29" t="e">
        <f>VLOOKUP(C:C,'COUNT-CONT'!B:C,2,FALSE)</f>
        <v>#N/A</v>
      </c>
      <c r="E2514" s="29">
        <v>8</v>
      </c>
      <c r="F2514" s="28">
        <v>2801</v>
      </c>
      <c r="G2514" s="28">
        <v>2313516886</v>
      </c>
      <c r="H2514" s="29">
        <v>6.59</v>
      </c>
      <c r="I2514" s="142">
        <v>-72.849999999999994</v>
      </c>
      <c r="J2514" s="29">
        <v>2.57</v>
      </c>
      <c r="K2514" s="29">
        <v>2.12</v>
      </c>
      <c r="L2514" s="29">
        <v>5.59</v>
      </c>
      <c r="M2514" s="368"/>
      <c r="N2514" s="368"/>
      <c r="O2514" s="271">
        <f>IFERROR(Table17[[#This Row],[PROFIT]]/Table17[[#This Row],[TO]],0)</f>
        <v>0</v>
      </c>
      <c r="P2514" s="177"/>
      <c r="Q2514" s="177"/>
      <c r="R2514" s="177"/>
    </row>
    <row r="2515" spans="1:18" hidden="1" x14ac:dyDescent="0.25">
      <c r="A2515" s="29" t="s">
        <v>809</v>
      </c>
      <c r="B2515" s="29" t="s">
        <v>808</v>
      </c>
      <c r="C2515" s="29" t="s">
        <v>807</v>
      </c>
      <c r="D2515" s="29" t="str">
        <f>VLOOKUP(C:C,'COUNT-CONT'!B:C,2,FALSE)</f>
        <v>Europe</v>
      </c>
      <c r="E2515" s="29">
        <v>4</v>
      </c>
      <c r="F2515" s="28">
        <v>2001</v>
      </c>
      <c r="G2515" s="28">
        <v>2665125137</v>
      </c>
      <c r="H2515" s="29">
        <v>6.59</v>
      </c>
      <c r="I2515" s="142">
        <v>-72.849999999999994</v>
      </c>
      <c r="J2515" s="29">
        <v>3.69</v>
      </c>
      <c r="K2515" s="29">
        <v>3.57</v>
      </c>
      <c r="L2515" s="29">
        <v>6.86</v>
      </c>
      <c r="M2515" s="368"/>
      <c r="N2515" s="368"/>
      <c r="O2515" s="271">
        <f>IFERROR(Table17[[#This Row],[PROFIT]]/Table17[[#This Row],[TO]],0)</f>
        <v>0</v>
      </c>
      <c r="P2515" s="177"/>
      <c r="Q2515" s="177"/>
      <c r="R2515" s="177"/>
    </row>
    <row r="2516" spans="1:18" ht="30" hidden="1" x14ac:dyDescent="0.25">
      <c r="A2516" s="29" t="s">
        <v>1341</v>
      </c>
      <c r="B2516" s="29" t="s">
        <v>1340</v>
      </c>
      <c r="C2516" s="29" t="s">
        <v>11732</v>
      </c>
      <c r="D2516" s="29" t="str">
        <f>VLOOKUP(C:C,'COUNT-CONT'!B:C,2,FALSE)</f>
        <v>North America</v>
      </c>
      <c r="E2516" s="29">
        <v>3</v>
      </c>
      <c r="F2516" s="28">
        <v>1587</v>
      </c>
      <c r="G2516" s="28">
        <v>3107231695</v>
      </c>
      <c r="H2516" s="29">
        <v>6.56</v>
      </c>
      <c r="I2516" s="142">
        <v>-72.88</v>
      </c>
      <c r="J2516" s="29">
        <v>5.35</v>
      </c>
      <c r="K2516" s="29">
        <v>5.35</v>
      </c>
      <c r="L2516" s="29">
        <v>8.65</v>
      </c>
      <c r="M2516" s="368"/>
      <c r="N2516" s="368"/>
      <c r="O2516" s="271">
        <f>IFERROR(Table17[[#This Row],[PROFIT]]/Table17[[#This Row],[TO]],0)</f>
        <v>0</v>
      </c>
      <c r="P2516" s="177"/>
      <c r="Q2516" s="177"/>
      <c r="R2516" s="177"/>
    </row>
    <row r="2517" spans="1:18" ht="30" hidden="1" x14ac:dyDescent="0.25">
      <c r="A2517" s="29" t="s">
        <v>1343</v>
      </c>
      <c r="B2517" s="29" t="s">
        <v>1342</v>
      </c>
      <c r="C2517" s="29" t="s">
        <v>11732</v>
      </c>
      <c r="D2517" s="29" t="str">
        <f>VLOOKUP(C:C,'COUNT-CONT'!B:C,2,FALSE)</f>
        <v>North America</v>
      </c>
      <c r="E2517" s="29">
        <v>5</v>
      </c>
      <c r="F2517" s="28">
        <v>2164</v>
      </c>
      <c r="G2517" s="28">
        <v>2980117929</v>
      </c>
      <c r="H2517" s="29">
        <v>6.56</v>
      </c>
      <c r="I2517" s="142">
        <v>-72.88</v>
      </c>
      <c r="J2517" s="29">
        <v>5.35</v>
      </c>
      <c r="K2517" s="29">
        <v>5.35</v>
      </c>
      <c r="L2517" s="29">
        <v>8.65</v>
      </c>
      <c r="M2517" s="368"/>
      <c r="N2517" s="368"/>
      <c r="O2517" s="271">
        <f>IFERROR(Table17[[#This Row],[PROFIT]]/Table17[[#This Row],[TO]],0)</f>
        <v>0</v>
      </c>
      <c r="P2517" s="177"/>
      <c r="Q2517" s="177"/>
      <c r="R2517" s="177"/>
    </row>
    <row r="2518" spans="1:18" hidden="1" x14ac:dyDescent="0.25">
      <c r="A2518" s="29" t="s">
        <v>590</v>
      </c>
      <c r="B2518" s="29" t="s">
        <v>589</v>
      </c>
      <c r="C2518" s="29" t="s">
        <v>588</v>
      </c>
      <c r="D2518" s="29" t="str">
        <f>VLOOKUP(C:C,'COUNT-CONT'!B:C,2,FALSE)</f>
        <v>Europe</v>
      </c>
      <c r="E2518" s="29">
        <v>8</v>
      </c>
      <c r="F2518" s="28">
        <v>3000</v>
      </c>
      <c r="G2518" s="28">
        <v>2271266666</v>
      </c>
      <c r="H2518" s="29">
        <v>6.56</v>
      </c>
      <c r="I2518" s="142">
        <v>-72.88</v>
      </c>
      <c r="J2518" s="29">
        <v>2.1800000000000002</v>
      </c>
      <c r="K2518" s="29">
        <v>1.75</v>
      </c>
      <c r="L2518" s="29">
        <v>5.2</v>
      </c>
      <c r="M2518" s="368"/>
      <c r="N2518" s="368"/>
      <c r="O2518" s="271">
        <f>IFERROR(Table17[[#This Row],[PROFIT]]/Table17[[#This Row],[TO]],0)</f>
        <v>0</v>
      </c>
      <c r="P2518" s="177"/>
      <c r="Q2518" s="177"/>
      <c r="R2518" s="177"/>
    </row>
    <row r="2519" spans="1:18" hidden="1" x14ac:dyDescent="0.25">
      <c r="A2519" s="29" t="s">
        <v>661</v>
      </c>
      <c r="B2519" s="29" t="s">
        <v>660</v>
      </c>
      <c r="C2519" s="29" t="s">
        <v>659</v>
      </c>
      <c r="D2519" s="29" t="str">
        <f>VLOOKUP(C:C,'COUNT-CONT'!B:C,2,FALSE)</f>
        <v>Europe</v>
      </c>
      <c r="E2519" s="29">
        <v>4</v>
      </c>
      <c r="F2519" s="28">
        <v>2000</v>
      </c>
      <c r="G2519" s="28">
        <v>2441000000</v>
      </c>
      <c r="H2519" s="29">
        <v>6.56</v>
      </c>
      <c r="I2519" s="142">
        <v>-72.88</v>
      </c>
      <c r="J2519" s="29">
        <v>2.81</v>
      </c>
      <c r="K2519" s="29">
        <v>2.33</v>
      </c>
      <c r="L2519" s="29">
        <v>5.86</v>
      </c>
      <c r="M2519" s="368"/>
      <c r="N2519" s="368"/>
      <c r="O2519" s="271">
        <f>IFERROR(Table17[[#This Row],[PROFIT]]/Table17[[#This Row],[TO]],0)</f>
        <v>0</v>
      </c>
      <c r="P2519" s="177"/>
      <c r="Q2519" s="177"/>
      <c r="R2519" s="177"/>
    </row>
    <row r="2520" spans="1:18" ht="30" hidden="1" x14ac:dyDescent="0.25">
      <c r="A2520" s="29" t="s">
        <v>847</v>
      </c>
      <c r="B2520" s="29" t="s">
        <v>846</v>
      </c>
      <c r="C2520" s="29" t="s">
        <v>83</v>
      </c>
      <c r="D2520" s="29" t="str">
        <f>VLOOKUP(C:C,'COUNT-CONT'!B:C,2,FALSE)</f>
        <v>Europe</v>
      </c>
      <c r="E2520" s="29">
        <v>9</v>
      </c>
      <c r="F2520" s="28">
        <v>3202</v>
      </c>
      <c r="G2520" s="28">
        <v>2594335290</v>
      </c>
      <c r="H2520" s="29">
        <v>6.53</v>
      </c>
      <c r="I2520" s="142">
        <v>-72.91</v>
      </c>
      <c r="J2520" s="29">
        <v>3.96</v>
      </c>
      <c r="K2520" s="29">
        <v>3.69</v>
      </c>
      <c r="L2520" s="29">
        <v>7.1</v>
      </c>
      <c r="M2520" s="368"/>
      <c r="N2520" s="368"/>
      <c r="O2520" s="271">
        <f>IFERROR(Table17[[#This Row],[PROFIT]]/Table17[[#This Row],[TO]],0)</f>
        <v>0</v>
      </c>
      <c r="P2520" s="177"/>
      <c r="Q2520" s="177"/>
      <c r="R2520" s="177"/>
    </row>
    <row r="2521" spans="1:18" ht="30" hidden="1" x14ac:dyDescent="0.25">
      <c r="A2521" s="29" t="s">
        <v>1331</v>
      </c>
      <c r="B2521" s="29" t="s">
        <v>1330</v>
      </c>
      <c r="C2521" s="29" t="s">
        <v>11732</v>
      </c>
      <c r="D2521" s="29" t="str">
        <f>VLOOKUP(C:C,'COUNT-CONT'!B:C,2,FALSE)</f>
        <v>North America</v>
      </c>
      <c r="E2521" s="29">
        <v>7</v>
      </c>
      <c r="F2521" s="28">
        <v>2593</v>
      </c>
      <c r="G2521" s="28">
        <v>2935619051</v>
      </c>
      <c r="H2521" s="29">
        <v>6.53</v>
      </c>
      <c r="I2521" s="142">
        <v>-72.91</v>
      </c>
      <c r="J2521" s="29">
        <v>5.35</v>
      </c>
      <c r="K2521" s="29">
        <v>5.35</v>
      </c>
      <c r="L2521" s="29">
        <v>8.6199999999999992</v>
      </c>
      <c r="M2521" s="368"/>
      <c r="N2521" s="368"/>
      <c r="O2521" s="271">
        <f>IFERROR(Table17[[#This Row],[PROFIT]]/Table17[[#This Row],[TO]],0)</f>
        <v>0</v>
      </c>
      <c r="P2521" s="177"/>
      <c r="Q2521" s="177"/>
      <c r="R2521" s="177"/>
    </row>
    <row r="2522" spans="1:18" ht="30" hidden="1" x14ac:dyDescent="0.25">
      <c r="A2522" s="29" t="s">
        <v>1327</v>
      </c>
      <c r="B2522" s="29" t="s">
        <v>1326</v>
      </c>
      <c r="C2522" s="29" t="s">
        <v>11732</v>
      </c>
      <c r="D2522" s="29" t="str">
        <f>VLOOKUP(C:C,'COUNT-CONT'!B:C,2,FALSE)</f>
        <v>North America</v>
      </c>
      <c r="E2522" s="29">
        <v>5</v>
      </c>
      <c r="F2522" s="28">
        <v>2227</v>
      </c>
      <c r="G2522" s="28">
        <v>2968838033</v>
      </c>
      <c r="H2522" s="29">
        <v>6.53</v>
      </c>
      <c r="I2522" s="142">
        <v>-72.91</v>
      </c>
      <c r="J2522" s="29">
        <v>5.35</v>
      </c>
      <c r="K2522" s="29">
        <v>5.35</v>
      </c>
      <c r="L2522" s="29">
        <v>8.6199999999999992</v>
      </c>
      <c r="M2522" s="368"/>
      <c r="N2522" s="368"/>
      <c r="O2522" s="271">
        <f>IFERROR(Table17[[#This Row],[PROFIT]]/Table17[[#This Row],[TO]],0)</f>
        <v>0</v>
      </c>
      <c r="P2522" s="177"/>
      <c r="Q2522" s="177"/>
      <c r="R2522" s="177"/>
    </row>
    <row r="2523" spans="1:18" ht="30" hidden="1" x14ac:dyDescent="0.25">
      <c r="A2523" s="29" t="s">
        <v>923</v>
      </c>
      <c r="B2523" s="29" t="s">
        <v>922</v>
      </c>
      <c r="C2523" s="29" t="s">
        <v>514</v>
      </c>
      <c r="D2523" s="29" t="str">
        <f>VLOOKUP(C:C,'COUNT-CONT'!B:C,2,FALSE)</f>
        <v>North America</v>
      </c>
      <c r="E2523" s="29">
        <v>1</v>
      </c>
      <c r="F2523" s="28">
        <v>1085</v>
      </c>
      <c r="G2523" s="28">
        <v>3111224884</v>
      </c>
      <c r="H2523" s="29">
        <v>6.53</v>
      </c>
      <c r="I2523" s="142">
        <v>-72.91</v>
      </c>
      <c r="J2523" s="29">
        <v>4.29</v>
      </c>
      <c r="K2523" s="29">
        <v>4.1399999999999997</v>
      </c>
      <c r="L2523" s="29">
        <v>7.44</v>
      </c>
      <c r="M2523" s="368"/>
      <c r="N2523" s="368"/>
      <c r="O2523" s="271">
        <f>IFERROR(Table17[[#This Row],[PROFIT]]/Table17[[#This Row],[TO]],0)</f>
        <v>0</v>
      </c>
      <c r="P2523" s="177"/>
      <c r="Q2523" s="177"/>
      <c r="R2523" s="177"/>
    </row>
    <row r="2524" spans="1:18" ht="30" hidden="1" x14ac:dyDescent="0.25">
      <c r="A2524" s="29" t="s">
        <v>1311</v>
      </c>
      <c r="B2524" s="29" t="s">
        <v>1310</v>
      </c>
      <c r="C2524" s="29" t="s">
        <v>11732</v>
      </c>
      <c r="D2524" s="29" t="str">
        <f>VLOOKUP(C:C,'COUNT-CONT'!B:C,2,FALSE)</f>
        <v>North America</v>
      </c>
      <c r="E2524" s="29">
        <v>7</v>
      </c>
      <c r="F2524" s="28">
        <v>2546</v>
      </c>
      <c r="G2524" s="28">
        <v>2932350274</v>
      </c>
      <c r="H2524" s="29">
        <v>6.5</v>
      </c>
      <c r="I2524" s="142">
        <v>-72.94</v>
      </c>
      <c r="J2524" s="29">
        <v>5.32</v>
      </c>
      <c r="K2524" s="29">
        <v>5.32</v>
      </c>
      <c r="L2524" s="29">
        <v>8.59</v>
      </c>
      <c r="M2524" s="368"/>
      <c r="N2524" s="368"/>
      <c r="O2524" s="271">
        <f>IFERROR(Table17[[#This Row],[PROFIT]]/Table17[[#This Row],[TO]],0)</f>
        <v>0</v>
      </c>
      <c r="P2524" s="177"/>
      <c r="Q2524" s="177"/>
      <c r="R2524" s="177"/>
    </row>
    <row r="2525" spans="1:18" ht="30" hidden="1" x14ac:dyDescent="0.25">
      <c r="A2525" s="29" t="s">
        <v>911</v>
      </c>
      <c r="B2525" s="29" t="s">
        <v>910</v>
      </c>
      <c r="C2525" s="29" t="s">
        <v>514</v>
      </c>
      <c r="D2525" s="29" t="str">
        <f>VLOOKUP(C:C,'COUNT-CONT'!B:C,2,FALSE)</f>
        <v>North America</v>
      </c>
      <c r="E2525" s="29">
        <v>1</v>
      </c>
      <c r="F2525" s="28">
        <v>1072</v>
      </c>
      <c r="G2525" s="28">
        <v>3119019402</v>
      </c>
      <c r="H2525" s="29">
        <v>6.5</v>
      </c>
      <c r="I2525" s="142">
        <v>-72.94</v>
      </c>
      <c r="J2525" s="29">
        <v>4.29</v>
      </c>
      <c r="K2525" s="29">
        <v>4.1399999999999997</v>
      </c>
      <c r="L2525" s="29">
        <v>7.41</v>
      </c>
      <c r="M2525" s="368"/>
      <c r="N2525" s="368"/>
      <c r="O2525" s="271">
        <f>IFERROR(Table17[[#This Row],[PROFIT]]/Table17[[#This Row],[TO]],0)</f>
        <v>0</v>
      </c>
      <c r="P2525" s="177"/>
      <c r="Q2525" s="177"/>
      <c r="R2525" s="177"/>
    </row>
    <row r="2526" spans="1:18" x14ac:dyDescent="0.25">
      <c r="A2526" s="29" t="s">
        <v>816</v>
      </c>
      <c r="B2526" s="29" t="s">
        <v>815</v>
      </c>
      <c r="C2526" s="29" t="s">
        <v>774</v>
      </c>
      <c r="D2526" s="29" t="str">
        <f>VLOOKUP(C:C,'COUNT-CONT'!B:C,2,FALSE)</f>
        <v>Oceania</v>
      </c>
      <c r="E2526" s="29">
        <v>2</v>
      </c>
      <c r="F2526" s="28">
        <v>1441</v>
      </c>
      <c r="G2526" s="28">
        <v>2825958778</v>
      </c>
      <c r="H2526" s="29">
        <v>6.47</v>
      </c>
      <c r="I2526" s="142">
        <v>-72.97</v>
      </c>
      <c r="J2526" s="29">
        <v>3.84</v>
      </c>
      <c r="K2526" s="29">
        <v>3.57</v>
      </c>
      <c r="L2526" s="29">
        <v>6.89</v>
      </c>
      <c r="M2526" s="368"/>
      <c r="N2526" s="368"/>
      <c r="O2526" s="271">
        <f>IFERROR(Table17[[#This Row],[PROFIT]]/Table17[[#This Row],[TO]],0)</f>
        <v>0</v>
      </c>
      <c r="P2526" s="177"/>
      <c r="Q2526" s="177"/>
      <c r="R2526" s="177"/>
    </row>
    <row r="2527" spans="1:18" hidden="1" x14ac:dyDescent="0.25">
      <c r="A2527" s="29" t="s">
        <v>822</v>
      </c>
      <c r="B2527" s="29" t="s">
        <v>821</v>
      </c>
      <c r="C2527" s="29" t="s">
        <v>308</v>
      </c>
      <c r="D2527" s="29" t="str">
        <f>VLOOKUP(C:C,'COUNT-CONT'!B:C,2,FALSE)</f>
        <v>Europe</v>
      </c>
      <c r="E2527" s="29">
        <v>2</v>
      </c>
      <c r="F2527" s="28">
        <v>1500</v>
      </c>
      <c r="G2527" s="28">
        <v>2809833333</v>
      </c>
      <c r="H2527" s="29">
        <v>6.41</v>
      </c>
      <c r="I2527" s="142">
        <v>-73.03</v>
      </c>
      <c r="J2527" s="29">
        <v>3.9</v>
      </c>
      <c r="K2527" s="29">
        <v>3.75</v>
      </c>
      <c r="L2527" s="29">
        <v>6.95</v>
      </c>
      <c r="M2527" s="368"/>
      <c r="N2527" s="368"/>
      <c r="O2527" s="271">
        <f>IFERROR(Table17[[#This Row],[PROFIT]]/Table17[[#This Row],[TO]],0)</f>
        <v>0</v>
      </c>
      <c r="P2527" s="177"/>
      <c r="Q2527" s="177"/>
      <c r="R2527" s="177"/>
    </row>
    <row r="2528" spans="1:18" ht="30" hidden="1" x14ac:dyDescent="0.25">
      <c r="A2528" s="29" t="s">
        <v>737</v>
      </c>
      <c r="B2528" s="29" t="s">
        <v>736</v>
      </c>
      <c r="C2528" s="29" t="s">
        <v>13119</v>
      </c>
      <c r="D2528" s="29" t="str">
        <f>VLOOKUP(C:C,'COUNT-CONT'!B:C,2,FALSE)</f>
        <v>North America</v>
      </c>
      <c r="E2528" s="29">
        <v>5</v>
      </c>
      <c r="F2528" s="28">
        <v>2225</v>
      </c>
      <c r="G2528" s="28">
        <v>2464782022</v>
      </c>
      <c r="H2528" s="29">
        <v>6.41</v>
      </c>
      <c r="I2528" s="142">
        <v>-73.03</v>
      </c>
      <c r="J2528" s="29">
        <v>3.45</v>
      </c>
      <c r="K2528" s="29">
        <v>3.05</v>
      </c>
      <c r="L2528" s="29">
        <v>6.41</v>
      </c>
      <c r="M2528" s="368"/>
      <c r="N2528" s="368"/>
      <c r="O2528" s="271">
        <f>IFERROR(Table17[[#This Row],[PROFIT]]/Table17[[#This Row],[TO]],0)</f>
        <v>0</v>
      </c>
      <c r="P2528" s="177"/>
      <c r="Q2528" s="177"/>
      <c r="R2528" s="177"/>
    </row>
    <row r="2529" spans="1:18" ht="30" hidden="1" x14ac:dyDescent="0.25">
      <c r="A2529" s="29" t="s">
        <v>873</v>
      </c>
      <c r="B2529" s="29" t="s">
        <v>872</v>
      </c>
      <c r="C2529" s="29" t="s">
        <v>514</v>
      </c>
      <c r="D2529" s="29" t="str">
        <f>VLOOKUP(C:C,'COUNT-CONT'!B:C,2,FALSE)</f>
        <v>North America</v>
      </c>
      <c r="E2529" s="29">
        <v>4</v>
      </c>
      <c r="F2529" s="28">
        <v>1830</v>
      </c>
      <c r="G2529" s="28">
        <v>2753792896</v>
      </c>
      <c r="H2529" s="29">
        <v>6.41</v>
      </c>
      <c r="I2529" s="142">
        <v>-73.03</v>
      </c>
      <c r="J2529" s="29">
        <v>4.2</v>
      </c>
      <c r="K2529" s="29">
        <v>4.05</v>
      </c>
      <c r="L2529" s="29">
        <v>7.29</v>
      </c>
      <c r="M2529" s="368"/>
      <c r="N2529" s="368"/>
      <c r="O2529" s="271">
        <f>IFERROR(Table17[[#This Row],[PROFIT]]/Table17[[#This Row],[TO]],0)</f>
        <v>0</v>
      </c>
      <c r="P2529" s="177"/>
      <c r="Q2529" s="177"/>
      <c r="R2529" s="177"/>
    </row>
    <row r="2530" spans="1:18" ht="30" hidden="1" x14ac:dyDescent="0.25">
      <c r="A2530" s="29" t="s">
        <v>864</v>
      </c>
      <c r="B2530" s="29" t="s">
        <v>863</v>
      </c>
      <c r="C2530" s="29" t="s">
        <v>514</v>
      </c>
      <c r="D2530" s="29" t="str">
        <f>VLOOKUP(C:C,'COUNT-CONT'!B:C,2,FALSE)</f>
        <v>North America</v>
      </c>
      <c r="E2530" s="29">
        <v>2</v>
      </c>
      <c r="F2530" s="28">
        <v>1373</v>
      </c>
      <c r="G2530" s="28">
        <v>2908165331</v>
      </c>
      <c r="H2530" s="29">
        <v>6.41</v>
      </c>
      <c r="I2530" s="142">
        <v>-73.03</v>
      </c>
      <c r="J2530" s="29">
        <v>4.2</v>
      </c>
      <c r="K2530" s="29">
        <v>4.05</v>
      </c>
      <c r="L2530" s="29">
        <v>7.29</v>
      </c>
      <c r="M2530" s="368"/>
      <c r="N2530" s="368"/>
      <c r="O2530" s="271">
        <f>IFERROR(Table17[[#This Row],[PROFIT]]/Table17[[#This Row],[TO]],0)</f>
        <v>0</v>
      </c>
      <c r="P2530" s="177"/>
      <c r="Q2530" s="177"/>
      <c r="R2530" s="177"/>
    </row>
    <row r="2531" spans="1:18" ht="30" hidden="1" x14ac:dyDescent="0.25">
      <c r="A2531" s="29" t="s">
        <v>885</v>
      </c>
      <c r="B2531" s="29" t="s">
        <v>884</v>
      </c>
      <c r="C2531" s="29" t="s">
        <v>514</v>
      </c>
      <c r="D2531" s="29" t="str">
        <f>VLOOKUP(C:C,'COUNT-CONT'!B:C,2,FALSE)</f>
        <v>North America</v>
      </c>
      <c r="E2531" s="29">
        <v>1</v>
      </c>
      <c r="F2531" s="28">
        <v>1068</v>
      </c>
      <c r="G2531" s="28">
        <v>3109662546</v>
      </c>
      <c r="H2531" s="29">
        <v>6.41</v>
      </c>
      <c r="I2531" s="142">
        <v>-73.03</v>
      </c>
      <c r="J2531" s="29">
        <v>4.2300000000000004</v>
      </c>
      <c r="K2531" s="29">
        <v>4.08</v>
      </c>
      <c r="L2531" s="29">
        <v>7.32</v>
      </c>
      <c r="M2531" s="368"/>
      <c r="N2531" s="368"/>
      <c r="O2531" s="271">
        <f>IFERROR(Table17[[#This Row],[PROFIT]]/Table17[[#This Row],[TO]],0)</f>
        <v>0</v>
      </c>
      <c r="P2531" s="177"/>
      <c r="Q2531" s="177"/>
      <c r="R2531" s="177"/>
    </row>
    <row r="2532" spans="1:18" ht="30" hidden="1" x14ac:dyDescent="0.25">
      <c r="A2532" s="29" t="s">
        <v>894</v>
      </c>
      <c r="B2532" s="29" t="s">
        <v>893</v>
      </c>
      <c r="C2532" s="29" t="s">
        <v>514</v>
      </c>
      <c r="D2532" s="29" t="str">
        <f>VLOOKUP(C:C,'COUNT-CONT'!B:C,2,FALSE)</f>
        <v>North America</v>
      </c>
      <c r="E2532" s="29">
        <v>3</v>
      </c>
      <c r="F2532" s="28">
        <v>1525</v>
      </c>
      <c r="G2532" s="28">
        <v>2846711475</v>
      </c>
      <c r="H2532" s="29">
        <v>6.41</v>
      </c>
      <c r="I2532" s="142">
        <v>-73.03</v>
      </c>
      <c r="J2532" s="29">
        <v>4.2300000000000004</v>
      </c>
      <c r="K2532" s="29">
        <v>4.08</v>
      </c>
      <c r="L2532" s="29">
        <v>7.32</v>
      </c>
      <c r="M2532" s="368"/>
      <c r="N2532" s="368"/>
      <c r="O2532" s="271">
        <f>IFERROR(Table17[[#This Row],[PROFIT]]/Table17[[#This Row],[TO]],0)</f>
        <v>0</v>
      </c>
      <c r="P2532" s="177"/>
      <c r="Q2532" s="177"/>
      <c r="R2532" s="177"/>
    </row>
    <row r="2533" spans="1:18" ht="30" hidden="1" x14ac:dyDescent="0.25">
      <c r="A2533" s="29" t="s">
        <v>890</v>
      </c>
      <c r="B2533" s="29" t="s">
        <v>889</v>
      </c>
      <c r="C2533" s="29" t="s">
        <v>514</v>
      </c>
      <c r="D2533" s="29" t="str">
        <f>VLOOKUP(C:C,'COUNT-CONT'!B:C,2,FALSE)</f>
        <v>North America</v>
      </c>
      <c r="E2533" s="29">
        <v>3</v>
      </c>
      <c r="F2533" s="28">
        <v>1525</v>
      </c>
      <c r="G2533" s="28">
        <v>2846711475</v>
      </c>
      <c r="H2533" s="29">
        <v>6.41</v>
      </c>
      <c r="I2533" s="142">
        <v>-73.03</v>
      </c>
      <c r="J2533" s="29">
        <v>4.2300000000000004</v>
      </c>
      <c r="K2533" s="29">
        <v>4.08</v>
      </c>
      <c r="L2533" s="29">
        <v>7.32</v>
      </c>
      <c r="M2533" s="368"/>
      <c r="N2533" s="368"/>
      <c r="O2533" s="271">
        <f>IFERROR(Table17[[#This Row],[PROFIT]]/Table17[[#This Row],[TO]],0)</f>
        <v>0</v>
      </c>
      <c r="P2533" s="177"/>
      <c r="Q2533" s="177"/>
      <c r="R2533" s="177"/>
    </row>
    <row r="2534" spans="1:18" ht="30" hidden="1" x14ac:dyDescent="0.25">
      <c r="A2534" s="29" t="s">
        <v>892</v>
      </c>
      <c r="B2534" s="29" t="s">
        <v>891</v>
      </c>
      <c r="C2534" s="29" t="s">
        <v>514</v>
      </c>
      <c r="D2534" s="29" t="str">
        <f>VLOOKUP(C:C,'COUNT-CONT'!B:C,2,FALSE)</f>
        <v>North America</v>
      </c>
      <c r="E2534" s="29">
        <v>3</v>
      </c>
      <c r="F2534" s="28">
        <v>1525</v>
      </c>
      <c r="G2534" s="28">
        <v>2846711475</v>
      </c>
      <c r="H2534" s="29">
        <v>6.41</v>
      </c>
      <c r="I2534" s="142">
        <v>-73.03</v>
      </c>
      <c r="J2534" s="29">
        <v>4.2300000000000004</v>
      </c>
      <c r="K2534" s="29">
        <v>4.08</v>
      </c>
      <c r="L2534" s="29">
        <v>7.32</v>
      </c>
      <c r="M2534" s="368"/>
      <c r="N2534" s="368"/>
      <c r="O2534" s="271">
        <f>IFERROR(Table17[[#This Row],[PROFIT]]/Table17[[#This Row],[TO]],0)</f>
        <v>0</v>
      </c>
      <c r="P2534" s="177"/>
      <c r="Q2534" s="177"/>
      <c r="R2534" s="177"/>
    </row>
    <row r="2535" spans="1:18" ht="30" hidden="1" x14ac:dyDescent="0.25">
      <c r="A2535" s="29" t="s">
        <v>896</v>
      </c>
      <c r="B2535" s="29" t="s">
        <v>895</v>
      </c>
      <c r="C2535" s="29" t="s">
        <v>514</v>
      </c>
      <c r="D2535" s="29" t="str">
        <f>VLOOKUP(C:C,'COUNT-CONT'!B:C,2,FALSE)</f>
        <v>North America</v>
      </c>
      <c r="E2535" s="29">
        <v>3</v>
      </c>
      <c r="F2535" s="28">
        <v>1696</v>
      </c>
      <c r="G2535" s="28">
        <v>2791084905</v>
      </c>
      <c r="H2535" s="29">
        <v>6.41</v>
      </c>
      <c r="I2535" s="142">
        <v>-73.03</v>
      </c>
      <c r="J2535" s="29">
        <v>4.2300000000000004</v>
      </c>
      <c r="K2535" s="29">
        <v>4.08</v>
      </c>
      <c r="L2535" s="29">
        <v>7.32</v>
      </c>
      <c r="M2535" s="368"/>
      <c r="N2535" s="368"/>
      <c r="O2535" s="271">
        <f>IFERROR(Table17[[#This Row],[PROFIT]]/Table17[[#This Row],[TO]],0)</f>
        <v>0</v>
      </c>
      <c r="P2535" s="177"/>
      <c r="Q2535" s="177"/>
      <c r="R2535" s="177"/>
    </row>
    <row r="2536" spans="1:18" ht="30" hidden="1" x14ac:dyDescent="0.25">
      <c r="A2536" s="29" t="s">
        <v>1250</v>
      </c>
      <c r="B2536" s="29" t="s">
        <v>1249</v>
      </c>
      <c r="C2536" s="29" t="s">
        <v>11732</v>
      </c>
      <c r="D2536" s="29" t="str">
        <f>VLOOKUP(C:C,'COUNT-CONT'!B:C,2,FALSE)</f>
        <v>North America</v>
      </c>
      <c r="E2536" s="29">
        <v>4</v>
      </c>
      <c r="F2536" s="28">
        <v>1952</v>
      </c>
      <c r="G2536" s="28">
        <v>2978924590</v>
      </c>
      <c r="H2536" s="29">
        <v>6.35</v>
      </c>
      <c r="I2536" s="142">
        <v>-73.09</v>
      </c>
      <c r="J2536" s="29">
        <v>5.2</v>
      </c>
      <c r="K2536" s="29">
        <v>5.2</v>
      </c>
      <c r="L2536" s="29">
        <v>8.3699999999999992</v>
      </c>
      <c r="M2536" s="368"/>
      <c r="N2536" s="368"/>
      <c r="O2536" s="271">
        <f>IFERROR(Table17[[#This Row],[PROFIT]]/Table17[[#This Row],[TO]],0)</f>
        <v>0</v>
      </c>
      <c r="P2536" s="177"/>
      <c r="Q2536" s="177"/>
      <c r="R2536" s="177"/>
    </row>
    <row r="2537" spans="1:18" hidden="1" x14ac:dyDescent="0.25">
      <c r="A2537" s="29" t="s">
        <v>691</v>
      </c>
      <c r="B2537" s="29" t="s">
        <v>690</v>
      </c>
      <c r="C2537" s="29" t="s">
        <v>520</v>
      </c>
      <c r="D2537" s="29" t="str">
        <f>VLOOKUP(C:C,'COUNT-CONT'!B:C,2,FALSE)</f>
        <v>Europe</v>
      </c>
      <c r="E2537" s="29">
        <v>6</v>
      </c>
      <c r="F2537" s="28">
        <v>2501</v>
      </c>
      <c r="G2537" s="28">
        <v>2414424070</v>
      </c>
      <c r="H2537" s="29">
        <v>6.35</v>
      </c>
      <c r="I2537" s="142">
        <v>-73.09</v>
      </c>
      <c r="J2537" s="29">
        <v>3.17</v>
      </c>
      <c r="K2537" s="29">
        <v>2.81</v>
      </c>
      <c r="L2537" s="29">
        <v>6.11</v>
      </c>
      <c r="M2537" s="368"/>
      <c r="N2537" s="368"/>
      <c r="O2537" s="271">
        <f>IFERROR(Table17[[#This Row],[PROFIT]]/Table17[[#This Row],[TO]],0)</f>
        <v>0</v>
      </c>
      <c r="P2537" s="177"/>
      <c r="Q2537" s="177"/>
      <c r="R2537" s="177"/>
    </row>
    <row r="2538" spans="1:18" ht="30" hidden="1" x14ac:dyDescent="0.25">
      <c r="A2538" s="29" t="s">
        <v>1252</v>
      </c>
      <c r="B2538" s="29" t="s">
        <v>1251</v>
      </c>
      <c r="C2538" s="29" t="s">
        <v>11732</v>
      </c>
      <c r="D2538" s="29" t="str">
        <f>VLOOKUP(C:C,'COUNT-CONT'!B:C,2,FALSE)</f>
        <v>North America</v>
      </c>
      <c r="E2538" s="29">
        <v>5</v>
      </c>
      <c r="F2538" s="28">
        <v>2051</v>
      </c>
      <c r="G2538" s="28">
        <v>2958423744</v>
      </c>
      <c r="H2538" s="29">
        <v>6.35</v>
      </c>
      <c r="I2538" s="142">
        <v>-73.09</v>
      </c>
      <c r="J2538" s="29">
        <v>5.17</v>
      </c>
      <c r="K2538" s="29">
        <v>5.17</v>
      </c>
      <c r="L2538" s="29">
        <v>8.3699999999999992</v>
      </c>
      <c r="M2538" s="368"/>
      <c r="N2538" s="368"/>
      <c r="O2538" s="271">
        <f>IFERROR(Table17[[#This Row],[PROFIT]]/Table17[[#This Row],[TO]],0)</f>
        <v>0</v>
      </c>
      <c r="P2538" s="177"/>
      <c r="Q2538" s="177"/>
      <c r="R2538" s="177"/>
    </row>
    <row r="2539" spans="1:18" ht="30" hidden="1" x14ac:dyDescent="0.25">
      <c r="A2539" s="29" t="s">
        <v>1254</v>
      </c>
      <c r="B2539" s="29" t="s">
        <v>1253</v>
      </c>
      <c r="C2539" s="29" t="s">
        <v>11732</v>
      </c>
      <c r="D2539" s="29" t="str">
        <f>VLOOKUP(C:C,'COUNT-CONT'!B:C,2,FALSE)</f>
        <v>North America</v>
      </c>
      <c r="E2539" s="29">
        <v>5</v>
      </c>
      <c r="F2539" s="28">
        <v>2062</v>
      </c>
      <c r="G2539" s="28">
        <v>2959862657</v>
      </c>
      <c r="H2539" s="29">
        <v>6.35</v>
      </c>
      <c r="I2539" s="142">
        <v>-73.09</v>
      </c>
      <c r="J2539" s="29">
        <v>5.2</v>
      </c>
      <c r="K2539" s="29">
        <v>5.2</v>
      </c>
      <c r="L2539" s="29">
        <v>8.3699999999999992</v>
      </c>
      <c r="M2539" s="368"/>
      <c r="N2539" s="368"/>
      <c r="O2539" s="271">
        <f>IFERROR(Table17[[#This Row],[PROFIT]]/Table17[[#This Row],[TO]],0)</f>
        <v>0</v>
      </c>
      <c r="P2539" s="177"/>
      <c r="Q2539" s="177"/>
      <c r="R2539" s="177"/>
    </row>
    <row r="2540" spans="1:18" ht="30" hidden="1" x14ac:dyDescent="0.25">
      <c r="A2540" s="29" t="s">
        <v>1244</v>
      </c>
      <c r="B2540" s="29" t="s">
        <v>1243</v>
      </c>
      <c r="C2540" s="29" t="s">
        <v>11732</v>
      </c>
      <c r="D2540" s="29" t="str">
        <f>VLOOKUP(C:C,'COUNT-CONT'!B:C,2,FALSE)</f>
        <v>North America</v>
      </c>
      <c r="E2540" s="29">
        <v>1</v>
      </c>
      <c r="F2540" s="28">
        <v>1223</v>
      </c>
      <c r="G2540" s="28">
        <v>3237227636</v>
      </c>
      <c r="H2540" s="29">
        <v>6.35</v>
      </c>
      <c r="I2540" s="142">
        <v>-73.09</v>
      </c>
      <c r="J2540" s="29">
        <v>5.17</v>
      </c>
      <c r="K2540" s="29">
        <v>5.17</v>
      </c>
      <c r="L2540" s="29">
        <v>8.34</v>
      </c>
      <c r="M2540" s="368"/>
      <c r="N2540" s="368"/>
      <c r="O2540" s="271">
        <f>IFERROR(Table17[[#This Row],[PROFIT]]/Table17[[#This Row],[TO]],0)</f>
        <v>0</v>
      </c>
      <c r="P2540" s="177"/>
      <c r="Q2540" s="177"/>
      <c r="R2540" s="177"/>
    </row>
    <row r="2541" spans="1:18" ht="30" hidden="1" x14ac:dyDescent="0.25">
      <c r="A2541" s="29" t="s">
        <v>1236</v>
      </c>
      <c r="B2541" s="29" t="s">
        <v>1235</v>
      </c>
      <c r="C2541" s="29" t="s">
        <v>11732</v>
      </c>
      <c r="D2541" s="29" t="str">
        <f>VLOOKUP(C:C,'COUNT-CONT'!B:C,2,FALSE)</f>
        <v>North America</v>
      </c>
      <c r="E2541" s="29">
        <v>4</v>
      </c>
      <c r="F2541" s="28">
        <v>1984</v>
      </c>
      <c r="G2541" s="28">
        <v>2960235483</v>
      </c>
      <c r="H2541" s="29">
        <v>6.29</v>
      </c>
      <c r="I2541" s="142">
        <v>-73.149999999999991</v>
      </c>
      <c r="J2541" s="29">
        <v>5.14</v>
      </c>
      <c r="K2541" s="29">
        <v>5.14</v>
      </c>
      <c r="L2541" s="29">
        <v>8.2799999999999994</v>
      </c>
      <c r="M2541" s="368"/>
      <c r="N2541" s="368"/>
      <c r="O2541" s="271">
        <f>IFERROR(Table17[[#This Row],[PROFIT]]/Table17[[#This Row],[TO]],0)</f>
        <v>0</v>
      </c>
      <c r="P2541" s="177"/>
      <c r="Q2541" s="177"/>
      <c r="R2541" s="177"/>
    </row>
    <row r="2542" spans="1:18" x14ac:dyDescent="0.25">
      <c r="A2542" s="29" t="s">
        <v>776</v>
      </c>
      <c r="B2542" s="29" t="s">
        <v>775</v>
      </c>
      <c r="C2542" s="29" t="s">
        <v>774</v>
      </c>
      <c r="D2542" s="29" t="str">
        <f>VLOOKUP(C:C,'COUNT-CONT'!B:C,2,FALSE)</f>
        <v>Oceania</v>
      </c>
      <c r="E2542" s="29">
        <v>2</v>
      </c>
      <c r="F2542" s="28">
        <v>1263</v>
      </c>
      <c r="G2542" s="28">
        <v>2886942201</v>
      </c>
      <c r="H2542" s="29">
        <v>6.26</v>
      </c>
      <c r="I2542" s="142">
        <v>-73.179999999999993</v>
      </c>
      <c r="J2542" s="29">
        <v>3.72</v>
      </c>
      <c r="K2542" s="29">
        <v>3.45</v>
      </c>
      <c r="L2542" s="29">
        <v>6.68</v>
      </c>
      <c r="M2542" s="368"/>
      <c r="N2542" s="368"/>
      <c r="O2542" s="271">
        <f>IFERROR(Table17[[#This Row],[PROFIT]]/Table17[[#This Row],[TO]],0)</f>
        <v>0</v>
      </c>
      <c r="P2542" s="177"/>
      <c r="Q2542" s="177"/>
      <c r="R2542" s="177"/>
    </row>
    <row r="2543" spans="1:18" ht="30" hidden="1" x14ac:dyDescent="0.25">
      <c r="A2543" s="29" t="s">
        <v>1228</v>
      </c>
      <c r="B2543" s="29" t="s">
        <v>1227</v>
      </c>
      <c r="C2543" s="29" t="s">
        <v>11732</v>
      </c>
      <c r="D2543" s="29" t="str">
        <f>VLOOKUP(C:C,'COUNT-CONT'!B:C,2,FALSE)</f>
        <v>North America</v>
      </c>
      <c r="E2543" s="29">
        <v>5</v>
      </c>
      <c r="F2543" s="28">
        <v>2198</v>
      </c>
      <c r="G2543" s="28">
        <v>2922854959</v>
      </c>
      <c r="H2543" s="29">
        <v>6.26</v>
      </c>
      <c r="I2543" s="142">
        <v>-73.179999999999993</v>
      </c>
      <c r="J2543" s="29">
        <v>5.1100000000000003</v>
      </c>
      <c r="K2543" s="29">
        <v>5.1100000000000003</v>
      </c>
      <c r="L2543" s="29">
        <v>8.25</v>
      </c>
      <c r="M2543" s="368"/>
      <c r="N2543" s="368"/>
      <c r="O2543" s="271">
        <f>IFERROR(Table17[[#This Row],[PROFIT]]/Table17[[#This Row],[TO]],0)</f>
        <v>0</v>
      </c>
      <c r="P2543" s="177"/>
      <c r="Q2543" s="177"/>
      <c r="R2543" s="177"/>
    </row>
    <row r="2544" spans="1:18" ht="30" hidden="1" x14ac:dyDescent="0.25">
      <c r="A2544" s="29" t="s">
        <v>1201</v>
      </c>
      <c r="B2544" s="29" t="s">
        <v>1200</v>
      </c>
      <c r="C2544" s="29" t="s">
        <v>11732</v>
      </c>
      <c r="D2544" s="29" t="str">
        <f>VLOOKUP(C:C,'COUNT-CONT'!B:C,2,FALSE)</f>
        <v>North America</v>
      </c>
      <c r="E2544" s="29">
        <v>2</v>
      </c>
      <c r="F2544" s="28">
        <v>1291</v>
      </c>
      <c r="G2544" s="28">
        <v>3180652672</v>
      </c>
      <c r="H2544" s="29">
        <v>6.26</v>
      </c>
      <c r="I2544" s="142">
        <v>-73.179999999999993</v>
      </c>
      <c r="J2544" s="29">
        <v>5.08</v>
      </c>
      <c r="K2544" s="29">
        <v>5.08</v>
      </c>
      <c r="L2544" s="29">
        <v>8.2200000000000006</v>
      </c>
      <c r="M2544" s="368"/>
      <c r="N2544" s="368"/>
      <c r="O2544" s="271">
        <f>IFERROR(Table17[[#This Row],[PROFIT]]/Table17[[#This Row],[TO]],0)</f>
        <v>0</v>
      </c>
      <c r="P2544" s="177"/>
      <c r="Q2544" s="177"/>
      <c r="R2544" s="177"/>
    </row>
    <row r="2545" spans="1:18" ht="30" x14ac:dyDescent="0.25">
      <c r="A2545" s="29" t="s">
        <v>664</v>
      </c>
      <c r="B2545" s="29" t="s">
        <v>663</v>
      </c>
      <c r="C2545" s="29" t="s">
        <v>662</v>
      </c>
      <c r="D2545" s="29" t="str">
        <f>VLOOKUP(C:C,'COUNT-CONT'!B:C,2,FALSE)</f>
        <v>Oceania</v>
      </c>
      <c r="E2545" s="29">
        <v>1</v>
      </c>
      <c r="F2545" s="28">
        <v>1080</v>
      </c>
      <c r="G2545" s="28">
        <v>2823918518</v>
      </c>
      <c r="H2545" s="29">
        <v>6.26</v>
      </c>
      <c r="I2545" s="142">
        <v>-73.179999999999993</v>
      </c>
      <c r="J2545" s="29">
        <v>3.05</v>
      </c>
      <c r="K2545" s="29">
        <v>2.6</v>
      </c>
      <c r="L2545" s="29">
        <v>5.89</v>
      </c>
      <c r="M2545" s="368"/>
      <c r="N2545" s="368"/>
      <c r="O2545" s="271">
        <f>IFERROR(Table17[[#This Row],[PROFIT]]/Table17[[#This Row],[TO]],0)</f>
        <v>0</v>
      </c>
      <c r="P2545" s="177"/>
      <c r="Q2545" s="177"/>
      <c r="R2545" s="177"/>
    </row>
    <row r="2546" spans="1:18" ht="30" hidden="1" x14ac:dyDescent="0.25">
      <c r="A2546" s="29" t="s">
        <v>1203</v>
      </c>
      <c r="B2546" s="29" t="s">
        <v>1202</v>
      </c>
      <c r="C2546" s="29" t="s">
        <v>11732</v>
      </c>
      <c r="D2546" s="29" t="str">
        <f>VLOOKUP(C:C,'COUNT-CONT'!B:C,2,FALSE)</f>
        <v>North America</v>
      </c>
      <c r="E2546" s="29">
        <v>3</v>
      </c>
      <c r="F2546" s="28">
        <v>1677</v>
      </c>
      <c r="G2546" s="28">
        <v>3023033214</v>
      </c>
      <c r="H2546" s="29">
        <v>6.26</v>
      </c>
      <c r="I2546" s="142">
        <v>-73.179999999999993</v>
      </c>
      <c r="J2546" s="29">
        <v>5.08</v>
      </c>
      <c r="K2546" s="29">
        <v>5.08</v>
      </c>
      <c r="L2546" s="29">
        <v>8.2200000000000006</v>
      </c>
      <c r="M2546" s="368"/>
      <c r="N2546" s="368"/>
      <c r="O2546" s="271">
        <f>IFERROR(Table17[[#This Row],[PROFIT]]/Table17[[#This Row],[TO]],0)</f>
        <v>0</v>
      </c>
      <c r="P2546" s="177"/>
      <c r="Q2546" s="177"/>
      <c r="R2546" s="177"/>
    </row>
    <row r="2547" spans="1:18" ht="30" hidden="1" x14ac:dyDescent="0.25">
      <c r="A2547" s="29" t="s">
        <v>1226</v>
      </c>
      <c r="B2547" s="29" t="s">
        <v>1225</v>
      </c>
      <c r="C2547" s="29" t="s">
        <v>11732</v>
      </c>
      <c r="D2547" s="29" t="str">
        <f>VLOOKUP(C:C,'COUNT-CONT'!B:C,2,FALSE)</f>
        <v>North America</v>
      </c>
      <c r="E2547" s="29">
        <v>4</v>
      </c>
      <c r="F2547" s="28">
        <v>1831</v>
      </c>
      <c r="G2547" s="28">
        <v>2986464609</v>
      </c>
      <c r="H2547" s="29">
        <v>6.26</v>
      </c>
      <c r="I2547" s="142">
        <v>-73.179999999999993</v>
      </c>
      <c r="J2547" s="29">
        <v>5.1100000000000003</v>
      </c>
      <c r="K2547" s="29">
        <v>5.1100000000000003</v>
      </c>
      <c r="L2547" s="29">
        <v>8.25</v>
      </c>
      <c r="M2547" s="368"/>
      <c r="N2547" s="368"/>
      <c r="O2547" s="271">
        <f>IFERROR(Table17[[#This Row],[PROFIT]]/Table17[[#This Row],[TO]],0)</f>
        <v>0</v>
      </c>
      <c r="P2547" s="177"/>
      <c r="Q2547" s="177"/>
      <c r="R2547" s="177"/>
    </row>
    <row r="2548" spans="1:18" ht="30" hidden="1" x14ac:dyDescent="0.25">
      <c r="A2548" s="29" t="s">
        <v>839</v>
      </c>
      <c r="B2548" s="29" t="s">
        <v>838</v>
      </c>
      <c r="C2548" s="29" t="s">
        <v>514</v>
      </c>
      <c r="D2548" s="29" t="str">
        <f>VLOOKUP(C:C,'COUNT-CONT'!B:C,2,FALSE)</f>
        <v>North America</v>
      </c>
      <c r="E2548" s="29">
        <v>1</v>
      </c>
      <c r="F2548" s="28">
        <v>1036</v>
      </c>
      <c r="G2548" s="28">
        <v>3106276061</v>
      </c>
      <c r="H2548" s="29">
        <v>6.2</v>
      </c>
      <c r="I2548" s="142">
        <v>-73.239999999999995</v>
      </c>
      <c r="J2548" s="29">
        <v>4.08</v>
      </c>
      <c r="K2548" s="29">
        <v>3.96</v>
      </c>
      <c r="L2548" s="29">
        <v>7.07</v>
      </c>
      <c r="M2548" s="368"/>
      <c r="N2548" s="368"/>
      <c r="O2548" s="271">
        <f>IFERROR(Table17[[#This Row],[PROFIT]]/Table17[[#This Row],[TO]],0)</f>
        <v>0</v>
      </c>
      <c r="P2548" s="177"/>
      <c r="Q2548" s="177"/>
      <c r="R2548" s="177"/>
    </row>
    <row r="2549" spans="1:18" x14ac:dyDescent="0.25">
      <c r="A2549" s="29" t="s">
        <v>739</v>
      </c>
      <c r="B2549" s="29" t="s">
        <v>738</v>
      </c>
      <c r="C2549" s="29" t="s">
        <v>674</v>
      </c>
      <c r="D2549" s="29" t="str">
        <f>VLOOKUP(C:C,'COUNT-CONT'!B:C,2,FALSE)</f>
        <v>Oceania</v>
      </c>
      <c r="E2549" s="29">
        <v>1</v>
      </c>
      <c r="F2549" s="28">
        <v>1203</v>
      </c>
      <c r="G2549" s="28">
        <v>2817480714</v>
      </c>
      <c r="H2549" s="29">
        <v>6.17</v>
      </c>
      <c r="I2549" s="142">
        <v>-73.27</v>
      </c>
      <c r="J2549" s="29">
        <v>3.48</v>
      </c>
      <c r="K2549" s="29">
        <v>3.2</v>
      </c>
      <c r="L2549" s="29">
        <v>6.44</v>
      </c>
      <c r="M2549" s="368"/>
      <c r="N2549" s="368"/>
      <c r="O2549" s="271">
        <f>IFERROR(Table17[[#This Row],[PROFIT]]/Table17[[#This Row],[TO]],0)</f>
        <v>0</v>
      </c>
      <c r="P2549" s="177"/>
      <c r="Q2549" s="177"/>
      <c r="R2549" s="177"/>
    </row>
    <row r="2550" spans="1:18" hidden="1" x14ac:dyDescent="0.25">
      <c r="A2550" s="29" t="s">
        <v>721</v>
      </c>
      <c r="B2550" s="29" t="s">
        <v>720</v>
      </c>
      <c r="C2550" s="29" t="s">
        <v>585</v>
      </c>
      <c r="D2550" s="29" t="str">
        <f>VLOOKUP(C:C,'COUNT-CONT'!B:C,2,FALSE)</f>
        <v>Europe</v>
      </c>
      <c r="E2550" s="29">
        <v>3</v>
      </c>
      <c r="F2550" s="28">
        <v>1701</v>
      </c>
      <c r="G2550" s="28">
        <v>2655278424</v>
      </c>
      <c r="H2550" s="29">
        <v>6.17</v>
      </c>
      <c r="I2550" s="142">
        <v>-73.27</v>
      </c>
      <c r="J2550" s="29">
        <v>3.39</v>
      </c>
      <c r="K2550" s="29">
        <v>3.14</v>
      </c>
      <c r="L2550" s="29">
        <v>6.29</v>
      </c>
      <c r="M2550" s="368"/>
      <c r="N2550" s="368"/>
      <c r="O2550" s="271">
        <f>IFERROR(Table17[[#This Row],[PROFIT]]/Table17[[#This Row],[TO]],0)</f>
        <v>0</v>
      </c>
      <c r="P2550" s="177"/>
      <c r="Q2550" s="177"/>
      <c r="R2550" s="177"/>
    </row>
    <row r="2551" spans="1:18" hidden="1" x14ac:dyDescent="0.25">
      <c r="A2551" s="29" t="s">
        <v>569</v>
      </c>
      <c r="B2551" s="29" t="s">
        <v>568</v>
      </c>
      <c r="C2551" s="29" t="s">
        <v>567</v>
      </c>
      <c r="D2551" s="29" t="str">
        <f>VLOOKUP(C:C,'COUNT-CONT'!B:C,2,FALSE)</f>
        <v>Asia</v>
      </c>
      <c r="E2551" s="29">
        <v>5</v>
      </c>
      <c r="F2551" s="28">
        <v>2100</v>
      </c>
      <c r="G2551" s="28">
        <v>2379209523</v>
      </c>
      <c r="H2551" s="29">
        <v>6.17</v>
      </c>
      <c r="I2551" s="142">
        <v>-73.27</v>
      </c>
      <c r="J2551" s="29">
        <v>2.21</v>
      </c>
      <c r="K2551" s="29">
        <v>1.81</v>
      </c>
      <c r="L2551" s="29">
        <v>5.05</v>
      </c>
      <c r="M2551" s="368"/>
      <c r="N2551" s="368"/>
      <c r="O2551" s="271">
        <f>IFERROR(Table17[[#This Row],[PROFIT]]/Table17[[#This Row],[TO]],0)</f>
        <v>0</v>
      </c>
      <c r="P2551" s="177"/>
      <c r="Q2551" s="177"/>
      <c r="R2551" s="177"/>
    </row>
    <row r="2552" spans="1:18" ht="30" hidden="1" x14ac:dyDescent="0.25">
      <c r="A2552" s="29" t="s">
        <v>704</v>
      </c>
      <c r="B2552" s="29" t="s">
        <v>703</v>
      </c>
      <c r="C2552" s="29" t="s">
        <v>13119</v>
      </c>
      <c r="D2552" s="29" t="str">
        <f>VLOOKUP(C:C,'COUNT-CONT'!B:C,2,FALSE)</f>
        <v>North America</v>
      </c>
      <c r="E2552" s="29">
        <v>5</v>
      </c>
      <c r="F2552" s="28">
        <v>2139</v>
      </c>
      <c r="G2552" s="28">
        <v>2440858880</v>
      </c>
      <c r="H2552" s="29">
        <v>6.14</v>
      </c>
      <c r="I2552" s="142">
        <v>-73.3</v>
      </c>
      <c r="J2552" s="29">
        <v>3.3</v>
      </c>
      <c r="K2552" s="29">
        <v>2.93</v>
      </c>
      <c r="L2552" s="29">
        <v>6.14</v>
      </c>
      <c r="M2552" s="368"/>
      <c r="N2552" s="368"/>
      <c r="O2552" s="271">
        <f>IFERROR(Table17[[#This Row],[PROFIT]]/Table17[[#This Row],[TO]],0)</f>
        <v>0</v>
      </c>
      <c r="P2552" s="177"/>
      <c r="Q2552" s="177"/>
      <c r="R2552" s="177"/>
    </row>
    <row r="2553" spans="1:18" ht="30" hidden="1" x14ac:dyDescent="0.25">
      <c r="A2553" s="29" t="s">
        <v>1156</v>
      </c>
      <c r="B2553" s="29" t="s">
        <v>1155</v>
      </c>
      <c r="C2553" s="29" t="s">
        <v>11732</v>
      </c>
      <c r="D2553" s="29" t="str">
        <f>VLOOKUP(C:C,'COUNT-CONT'!B:C,2,FALSE)</f>
        <v>North America</v>
      </c>
      <c r="E2553" s="29">
        <v>7</v>
      </c>
      <c r="F2553" s="28">
        <v>2746</v>
      </c>
      <c r="G2553" s="28">
        <v>2852182665</v>
      </c>
      <c r="H2553" s="29">
        <v>6.11</v>
      </c>
      <c r="I2553" s="142">
        <v>-73.33</v>
      </c>
      <c r="J2553" s="29">
        <v>4.99</v>
      </c>
      <c r="K2553" s="29">
        <v>4.99</v>
      </c>
      <c r="L2553" s="29">
        <v>8.07</v>
      </c>
      <c r="M2553" s="368"/>
      <c r="N2553" s="368"/>
      <c r="O2553" s="271">
        <f>IFERROR(Table17[[#This Row],[PROFIT]]/Table17[[#This Row],[TO]],0)</f>
        <v>0</v>
      </c>
      <c r="P2553" s="177"/>
      <c r="Q2553" s="177"/>
      <c r="R2553" s="177"/>
    </row>
    <row r="2554" spans="1:18" ht="30" hidden="1" x14ac:dyDescent="0.25">
      <c r="A2554" s="29" t="s">
        <v>602</v>
      </c>
      <c r="B2554" s="29" t="s">
        <v>601</v>
      </c>
      <c r="C2554" s="29" t="s">
        <v>600</v>
      </c>
      <c r="D2554" s="29" t="str">
        <f>VLOOKUP(C:C,'COUNT-CONT'!B:C,2,FALSE)</f>
        <v>North America</v>
      </c>
      <c r="E2554" s="29">
        <v>1</v>
      </c>
      <c r="F2554" s="28">
        <v>1000</v>
      </c>
      <c r="G2554" s="28">
        <v>2885400000</v>
      </c>
      <c r="H2554" s="29">
        <v>6.11</v>
      </c>
      <c r="I2554" s="142">
        <v>-73.33</v>
      </c>
      <c r="J2554" s="29">
        <v>2.57</v>
      </c>
      <c r="K2554" s="29">
        <v>2.15</v>
      </c>
      <c r="L2554" s="29">
        <v>5.35</v>
      </c>
      <c r="M2554" s="368"/>
      <c r="N2554" s="368"/>
      <c r="O2554" s="271">
        <f>IFERROR(Table17[[#This Row],[PROFIT]]/Table17[[#This Row],[TO]],0)</f>
        <v>0</v>
      </c>
      <c r="P2554" s="177"/>
      <c r="Q2554" s="177"/>
      <c r="R2554" s="177"/>
    </row>
    <row r="2555" spans="1:18" ht="30" hidden="1" x14ac:dyDescent="0.25">
      <c r="A2555" s="29" t="s">
        <v>1152</v>
      </c>
      <c r="B2555" s="29" t="s">
        <v>1151</v>
      </c>
      <c r="C2555" s="29" t="s">
        <v>11732</v>
      </c>
      <c r="D2555" s="29" t="str">
        <f>VLOOKUP(C:C,'COUNT-CONT'!B:C,2,FALSE)</f>
        <v>North America</v>
      </c>
      <c r="E2555" s="29">
        <v>5</v>
      </c>
      <c r="F2555" s="28">
        <v>2137</v>
      </c>
      <c r="G2555" s="28">
        <v>2905440290</v>
      </c>
      <c r="H2555" s="29">
        <v>6.11</v>
      </c>
      <c r="I2555" s="142">
        <v>-73.33</v>
      </c>
      <c r="J2555" s="29">
        <v>4.99</v>
      </c>
      <c r="K2555" s="29">
        <v>4.99</v>
      </c>
      <c r="L2555" s="29">
        <v>8.07</v>
      </c>
      <c r="M2555" s="368"/>
      <c r="N2555" s="368"/>
      <c r="O2555" s="271">
        <f>IFERROR(Table17[[#This Row],[PROFIT]]/Table17[[#This Row],[TO]],0)</f>
        <v>0</v>
      </c>
      <c r="P2555" s="177"/>
      <c r="Q2555" s="177"/>
      <c r="R2555" s="177"/>
    </row>
    <row r="2556" spans="1:18" ht="30" hidden="1" x14ac:dyDescent="0.25">
      <c r="A2556" s="29" t="s">
        <v>579</v>
      </c>
      <c r="B2556" s="29" t="s">
        <v>578</v>
      </c>
      <c r="C2556" s="29" t="s">
        <v>517</v>
      </c>
      <c r="D2556" s="29" t="str">
        <f>VLOOKUP(C:C,'COUNT-CONT'!B:C,2,FALSE)</f>
        <v>South America</v>
      </c>
      <c r="E2556" s="29">
        <v>5</v>
      </c>
      <c r="F2556" s="28">
        <v>2100</v>
      </c>
      <c r="G2556" s="28">
        <v>2320209523</v>
      </c>
      <c r="H2556" s="29">
        <v>6.11</v>
      </c>
      <c r="I2556" s="142">
        <v>-73.33</v>
      </c>
      <c r="J2556" s="29">
        <v>2.36</v>
      </c>
      <c r="K2556" s="29">
        <v>1.96</v>
      </c>
      <c r="L2556" s="29">
        <v>5.17</v>
      </c>
      <c r="M2556" s="368"/>
      <c r="N2556" s="368"/>
      <c r="O2556" s="271">
        <f>IFERROR(Table17[[#This Row],[PROFIT]]/Table17[[#This Row],[TO]],0)</f>
        <v>0</v>
      </c>
      <c r="P2556" s="177"/>
      <c r="Q2556" s="177"/>
      <c r="R2556" s="177"/>
    </row>
    <row r="2557" spans="1:18" ht="30" x14ac:dyDescent="0.25">
      <c r="A2557" s="29" t="s">
        <v>551</v>
      </c>
      <c r="B2557" s="29" t="s">
        <v>550</v>
      </c>
      <c r="C2557" s="29" t="s">
        <v>523</v>
      </c>
      <c r="D2557" s="29" t="str">
        <f>VLOOKUP(C:C,'COUNT-CONT'!B:C,2,FALSE)</f>
        <v>Oceania</v>
      </c>
      <c r="E2557" s="29">
        <v>1</v>
      </c>
      <c r="F2557" s="28">
        <v>1100</v>
      </c>
      <c r="G2557" s="28">
        <v>2684800000</v>
      </c>
      <c r="H2557" s="29">
        <v>6.11</v>
      </c>
      <c r="I2557" s="142">
        <v>-73.33</v>
      </c>
      <c r="J2557" s="29">
        <v>2.0299999999999998</v>
      </c>
      <c r="K2557" s="29">
        <v>1.54</v>
      </c>
      <c r="L2557" s="29">
        <v>4.87</v>
      </c>
      <c r="M2557" s="368"/>
      <c r="N2557" s="368"/>
      <c r="O2557" s="271">
        <f>IFERROR(Table17[[#This Row],[PROFIT]]/Table17[[#This Row],[TO]],0)</f>
        <v>0</v>
      </c>
      <c r="P2557" s="177"/>
      <c r="Q2557" s="177"/>
      <c r="R2557" s="177"/>
    </row>
    <row r="2558" spans="1:18" ht="30" hidden="1" x14ac:dyDescent="0.25">
      <c r="A2558" s="29" t="s">
        <v>1116</v>
      </c>
      <c r="B2558" s="29" t="s">
        <v>1115</v>
      </c>
      <c r="C2558" s="29" t="s">
        <v>11732</v>
      </c>
      <c r="D2558" s="29" t="str">
        <f>VLOOKUP(C:C,'COUNT-CONT'!B:C,2,FALSE)</f>
        <v>North America</v>
      </c>
      <c r="E2558" s="29">
        <v>5</v>
      </c>
      <c r="F2558" s="28">
        <v>2211</v>
      </c>
      <c r="G2558" s="28">
        <v>2889212437</v>
      </c>
      <c r="H2558" s="29">
        <v>6.08</v>
      </c>
      <c r="I2558" s="142">
        <v>-73.36</v>
      </c>
      <c r="J2558" s="29">
        <v>4.96</v>
      </c>
      <c r="K2558" s="29">
        <v>4.96</v>
      </c>
      <c r="L2558" s="29">
        <v>8.01</v>
      </c>
      <c r="M2558" s="368"/>
      <c r="N2558" s="368"/>
      <c r="O2558" s="271">
        <f>IFERROR(Table17[[#This Row],[PROFIT]]/Table17[[#This Row],[TO]],0)</f>
        <v>0</v>
      </c>
      <c r="P2558" s="177"/>
      <c r="Q2558" s="177"/>
      <c r="R2558" s="177"/>
    </row>
    <row r="2559" spans="1:18" hidden="1" x14ac:dyDescent="0.25">
      <c r="A2559" s="29" t="s">
        <v>607</v>
      </c>
      <c r="B2559" s="29" t="s">
        <v>606</v>
      </c>
      <c r="C2559" s="29" t="s">
        <v>605</v>
      </c>
      <c r="D2559" s="29" t="str">
        <f>VLOOKUP(C:C,'COUNT-CONT'!B:C,2,FALSE)</f>
        <v>Europe</v>
      </c>
      <c r="E2559" s="29">
        <v>2</v>
      </c>
      <c r="F2559" s="28">
        <v>1393</v>
      </c>
      <c r="G2559" s="28">
        <v>2682362598</v>
      </c>
      <c r="H2559" s="29">
        <v>6.08</v>
      </c>
      <c r="I2559" s="142">
        <v>-73.36</v>
      </c>
      <c r="J2559" s="29">
        <v>2.6</v>
      </c>
      <c r="K2559" s="29">
        <v>2.27</v>
      </c>
      <c r="L2559" s="29">
        <v>5.41</v>
      </c>
      <c r="M2559" s="368"/>
      <c r="N2559" s="368"/>
      <c r="O2559" s="271">
        <f>IFERROR(Table17[[#This Row],[PROFIT]]/Table17[[#This Row],[TO]],0)</f>
        <v>0</v>
      </c>
      <c r="P2559" s="177"/>
      <c r="Q2559" s="177"/>
      <c r="R2559" s="177"/>
    </row>
    <row r="2560" spans="1:18" ht="30" hidden="1" x14ac:dyDescent="0.25">
      <c r="A2560" s="29" t="s">
        <v>771</v>
      </c>
      <c r="B2560" s="29" t="s">
        <v>770</v>
      </c>
      <c r="C2560" s="29" t="s">
        <v>83</v>
      </c>
      <c r="D2560" s="29" t="str">
        <f>VLOOKUP(C:C,'COUNT-CONT'!B:C,2,FALSE)</f>
        <v>Europe</v>
      </c>
      <c r="E2560" s="29">
        <v>2</v>
      </c>
      <c r="F2560" s="28">
        <v>1501</v>
      </c>
      <c r="G2560" s="28">
        <v>2751244770</v>
      </c>
      <c r="H2560" s="29">
        <v>6.08</v>
      </c>
      <c r="I2560" s="142">
        <v>-73.36</v>
      </c>
      <c r="J2560" s="29">
        <v>3.69</v>
      </c>
      <c r="K2560" s="29">
        <v>3.45</v>
      </c>
      <c r="L2560" s="29">
        <v>6.62</v>
      </c>
      <c r="M2560" s="368"/>
      <c r="N2560" s="368"/>
      <c r="O2560" s="271">
        <f>IFERROR(Table17[[#This Row],[PROFIT]]/Table17[[#This Row],[TO]],0)</f>
        <v>0</v>
      </c>
      <c r="P2560" s="177"/>
      <c r="Q2560" s="177"/>
      <c r="R2560" s="177"/>
    </row>
    <row r="2561" spans="1:18" hidden="1" x14ac:dyDescent="0.25">
      <c r="A2561" s="29" t="s">
        <v>632</v>
      </c>
      <c r="B2561" s="29" t="s">
        <v>631</v>
      </c>
      <c r="C2561" s="29" t="s">
        <v>630</v>
      </c>
      <c r="D2561" s="29" t="str">
        <f>VLOOKUP(C:C,'COUNT-CONT'!B:C,2,FALSE)</f>
        <v>Europe</v>
      </c>
      <c r="E2561" s="29">
        <v>1</v>
      </c>
      <c r="F2561" s="28">
        <v>1030</v>
      </c>
      <c r="G2561" s="28">
        <v>2932761165</v>
      </c>
      <c r="H2561" s="29">
        <v>6.05</v>
      </c>
      <c r="I2561" s="142">
        <v>-73.39</v>
      </c>
      <c r="J2561" s="29">
        <v>2.84</v>
      </c>
      <c r="K2561" s="29">
        <v>2.5099999999999998</v>
      </c>
      <c r="L2561" s="29">
        <v>5.71</v>
      </c>
      <c r="M2561" s="368"/>
      <c r="N2561" s="368"/>
      <c r="O2561" s="271">
        <f>IFERROR(Table17[[#This Row],[PROFIT]]/Table17[[#This Row],[TO]],0)</f>
        <v>0</v>
      </c>
      <c r="P2561" s="177"/>
      <c r="Q2561" s="177"/>
      <c r="R2561" s="177"/>
    </row>
    <row r="2562" spans="1:18" hidden="1" x14ac:dyDescent="0.25">
      <c r="A2562" s="29" t="s">
        <v>537</v>
      </c>
      <c r="B2562" s="29" t="s">
        <v>536</v>
      </c>
      <c r="C2562" s="29" t="s">
        <v>493</v>
      </c>
      <c r="D2562" s="29" t="str">
        <f>VLOOKUP(C:C,'COUNT-CONT'!B:C,2,FALSE)</f>
        <v>Africa</v>
      </c>
      <c r="E2562" s="29">
        <v>5</v>
      </c>
      <c r="F2562" s="28">
        <v>1500</v>
      </c>
      <c r="G2562" s="28">
        <v>2487733333</v>
      </c>
      <c r="H2562" s="29">
        <v>6.02</v>
      </c>
      <c r="I2562" s="142">
        <v>-73.42</v>
      </c>
      <c r="J2562" s="29">
        <v>1.93</v>
      </c>
      <c r="K2562" s="29">
        <v>1.39</v>
      </c>
      <c r="L2562" s="29">
        <v>4.63</v>
      </c>
      <c r="M2562" s="368"/>
      <c r="N2562" s="368"/>
      <c r="O2562" s="271">
        <f>IFERROR(Table17[[#This Row],[PROFIT]]/Table17[[#This Row],[TO]],0)</f>
        <v>0</v>
      </c>
      <c r="P2562" s="177"/>
      <c r="Q2562" s="177"/>
      <c r="R2562" s="177"/>
    </row>
    <row r="2563" spans="1:18" ht="30" hidden="1" x14ac:dyDescent="0.25">
      <c r="A2563" s="29" t="s">
        <v>1067</v>
      </c>
      <c r="B2563" s="29" t="s">
        <v>1066</v>
      </c>
      <c r="C2563" s="29" t="s">
        <v>11732</v>
      </c>
      <c r="D2563" s="29" t="str">
        <f>VLOOKUP(C:C,'COUNT-CONT'!B:C,2,FALSE)</f>
        <v>North America</v>
      </c>
      <c r="E2563" s="29">
        <v>1</v>
      </c>
      <c r="F2563" s="28">
        <v>1220</v>
      </c>
      <c r="G2563" s="28">
        <v>3181539344</v>
      </c>
      <c r="H2563" s="29">
        <v>6.02</v>
      </c>
      <c r="I2563" s="142">
        <v>-73.42</v>
      </c>
      <c r="J2563" s="29">
        <v>4.9000000000000004</v>
      </c>
      <c r="K2563" s="29">
        <v>4.9000000000000004</v>
      </c>
      <c r="L2563" s="29">
        <v>7.92</v>
      </c>
      <c r="M2563" s="368"/>
      <c r="N2563" s="368"/>
      <c r="O2563" s="271">
        <f>IFERROR(Table17[[#This Row],[PROFIT]]/Table17[[#This Row],[TO]],0)</f>
        <v>0</v>
      </c>
      <c r="P2563" s="177"/>
      <c r="Q2563" s="177"/>
      <c r="R2563" s="177"/>
    </row>
    <row r="2564" spans="1:18" ht="30" hidden="1" x14ac:dyDescent="0.25">
      <c r="A2564" s="29" t="s">
        <v>1092</v>
      </c>
      <c r="B2564" s="29" t="s">
        <v>1091</v>
      </c>
      <c r="C2564" s="29" t="s">
        <v>11732</v>
      </c>
      <c r="D2564" s="29" t="str">
        <f>VLOOKUP(C:C,'COUNT-CONT'!B:C,2,FALSE)</f>
        <v>North America</v>
      </c>
      <c r="E2564" s="29">
        <v>2</v>
      </c>
      <c r="F2564" s="28">
        <v>1291</v>
      </c>
      <c r="G2564" s="28">
        <v>3143852672</v>
      </c>
      <c r="H2564" s="29">
        <v>6.02</v>
      </c>
      <c r="I2564" s="142">
        <v>-73.42</v>
      </c>
      <c r="J2564" s="29">
        <v>4.93</v>
      </c>
      <c r="K2564" s="29">
        <v>4.93</v>
      </c>
      <c r="L2564" s="29">
        <v>7.95</v>
      </c>
      <c r="M2564" s="368"/>
      <c r="N2564" s="368"/>
      <c r="O2564" s="271">
        <f>IFERROR(Table17[[#This Row],[PROFIT]]/Table17[[#This Row],[TO]],0)</f>
        <v>0</v>
      </c>
      <c r="P2564" s="177"/>
      <c r="Q2564" s="177"/>
      <c r="R2564" s="177"/>
    </row>
    <row r="2565" spans="1:18" ht="30" hidden="1" x14ac:dyDescent="0.25">
      <c r="A2565" s="29" t="s">
        <v>1055</v>
      </c>
      <c r="B2565" s="29" t="s">
        <v>1054</v>
      </c>
      <c r="C2565" s="29" t="s">
        <v>11732</v>
      </c>
      <c r="D2565" s="29" t="str">
        <f>VLOOKUP(C:C,'COUNT-CONT'!B:C,2,FALSE)</f>
        <v>North America</v>
      </c>
      <c r="E2565" s="29">
        <v>3</v>
      </c>
      <c r="F2565" s="28">
        <v>1618</v>
      </c>
      <c r="G2565" s="28">
        <v>2997951668</v>
      </c>
      <c r="H2565" s="29">
        <v>5.99</v>
      </c>
      <c r="I2565" s="142">
        <v>-73.45</v>
      </c>
      <c r="J2565" s="29">
        <v>4.9000000000000004</v>
      </c>
      <c r="K2565" s="29">
        <v>4.9000000000000004</v>
      </c>
      <c r="L2565" s="29">
        <v>7.89</v>
      </c>
      <c r="M2565" s="368"/>
      <c r="N2565" s="368"/>
      <c r="O2565" s="271">
        <f>IFERROR(Table17[[#This Row],[PROFIT]]/Table17[[#This Row],[TO]],0)</f>
        <v>0</v>
      </c>
      <c r="P2565" s="177"/>
      <c r="Q2565" s="177"/>
      <c r="R2565" s="177"/>
    </row>
    <row r="2566" spans="1:18" ht="30" hidden="1" x14ac:dyDescent="0.25">
      <c r="A2566" s="29" t="s">
        <v>796</v>
      </c>
      <c r="B2566" s="29" t="s">
        <v>795</v>
      </c>
      <c r="C2566" s="29" t="s">
        <v>514</v>
      </c>
      <c r="D2566" s="29" t="str">
        <f>VLOOKUP(C:C,'COUNT-CONT'!B:C,2,FALSE)</f>
        <v>North America</v>
      </c>
      <c r="E2566" s="29">
        <v>1</v>
      </c>
      <c r="F2566" s="28">
        <v>1070</v>
      </c>
      <c r="G2566" s="28">
        <v>3040837383</v>
      </c>
      <c r="H2566" s="29">
        <v>5.99</v>
      </c>
      <c r="I2566" s="142">
        <v>-73.45</v>
      </c>
      <c r="J2566" s="29">
        <v>3.93</v>
      </c>
      <c r="K2566" s="29">
        <v>3.81</v>
      </c>
      <c r="L2566" s="29">
        <v>6.8</v>
      </c>
      <c r="M2566" s="368"/>
      <c r="N2566" s="368"/>
      <c r="O2566" s="271">
        <f>IFERROR(Table17[[#This Row],[PROFIT]]/Table17[[#This Row],[TO]],0)</f>
        <v>0</v>
      </c>
      <c r="P2566" s="177"/>
      <c r="Q2566" s="177"/>
      <c r="R2566" s="177"/>
    </row>
    <row r="2567" spans="1:18" ht="30" hidden="1" x14ac:dyDescent="0.25">
      <c r="A2567" s="29" t="s">
        <v>800</v>
      </c>
      <c r="B2567" s="29" t="s">
        <v>799</v>
      </c>
      <c r="C2567" s="29" t="s">
        <v>514</v>
      </c>
      <c r="D2567" s="29" t="str">
        <f>VLOOKUP(C:C,'COUNT-CONT'!B:C,2,FALSE)</f>
        <v>North America</v>
      </c>
      <c r="E2567" s="29">
        <v>1</v>
      </c>
      <c r="F2567" s="28">
        <v>1210</v>
      </c>
      <c r="G2567" s="28">
        <v>2935790909</v>
      </c>
      <c r="H2567" s="29">
        <v>5.99</v>
      </c>
      <c r="I2567" s="142">
        <v>-73.45</v>
      </c>
      <c r="J2567" s="29">
        <v>3.93</v>
      </c>
      <c r="K2567" s="29">
        <v>3.81</v>
      </c>
      <c r="L2567" s="29">
        <v>6.8</v>
      </c>
      <c r="M2567" s="368"/>
      <c r="N2567" s="368"/>
      <c r="O2567" s="271">
        <f>IFERROR(Table17[[#This Row],[PROFIT]]/Table17[[#This Row],[TO]],0)</f>
        <v>0</v>
      </c>
      <c r="P2567" s="177"/>
      <c r="Q2567" s="177"/>
      <c r="R2567" s="177"/>
    </row>
    <row r="2568" spans="1:18" ht="30" hidden="1" x14ac:dyDescent="0.25">
      <c r="A2568" s="29" t="s">
        <v>794</v>
      </c>
      <c r="B2568" s="29" t="s">
        <v>793</v>
      </c>
      <c r="C2568" s="29" t="s">
        <v>514</v>
      </c>
      <c r="D2568" s="29" t="str">
        <f>VLOOKUP(C:C,'COUNT-CONT'!B:C,2,FALSE)</f>
        <v>North America</v>
      </c>
      <c r="E2568" s="29">
        <v>1</v>
      </c>
      <c r="F2568" s="28">
        <v>1067</v>
      </c>
      <c r="G2568" s="28">
        <v>3043427835</v>
      </c>
      <c r="H2568" s="29">
        <v>5.99</v>
      </c>
      <c r="I2568" s="142">
        <v>-73.45</v>
      </c>
      <c r="J2568" s="29">
        <v>3.93</v>
      </c>
      <c r="K2568" s="29">
        <v>3.81</v>
      </c>
      <c r="L2568" s="29">
        <v>6.8</v>
      </c>
      <c r="M2568" s="368"/>
      <c r="N2568" s="368"/>
      <c r="O2568" s="271">
        <f>IFERROR(Table17[[#This Row],[PROFIT]]/Table17[[#This Row],[TO]],0)</f>
        <v>0</v>
      </c>
      <c r="P2568" s="177"/>
      <c r="Q2568" s="177"/>
      <c r="R2568" s="177"/>
    </row>
    <row r="2569" spans="1:18" ht="30" hidden="1" x14ac:dyDescent="0.25">
      <c r="A2569" s="29" t="s">
        <v>798</v>
      </c>
      <c r="B2569" s="29" t="s">
        <v>797</v>
      </c>
      <c r="C2569" s="29" t="s">
        <v>514</v>
      </c>
      <c r="D2569" s="29" t="str">
        <f>VLOOKUP(C:C,'COUNT-CONT'!B:C,2,FALSE)</f>
        <v>North America</v>
      </c>
      <c r="E2569" s="29">
        <v>1</v>
      </c>
      <c r="F2569" s="28">
        <v>1072</v>
      </c>
      <c r="G2569" s="28">
        <v>3039119402</v>
      </c>
      <c r="H2569" s="29">
        <v>5.99</v>
      </c>
      <c r="I2569" s="142">
        <v>-73.45</v>
      </c>
      <c r="J2569" s="29">
        <v>3.93</v>
      </c>
      <c r="K2569" s="29">
        <v>3.81</v>
      </c>
      <c r="L2569" s="29">
        <v>6.8</v>
      </c>
      <c r="M2569" s="368"/>
      <c r="N2569" s="368"/>
      <c r="O2569" s="271">
        <f>IFERROR(Table17[[#This Row],[PROFIT]]/Table17[[#This Row],[TO]],0)</f>
        <v>0</v>
      </c>
      <c r="P2569" s="177"/>
      <c r="Q2569" s="177"/>
      <c r="R2569" s="177"/>
    </row>
    <row r="2570" spans="1:18" ht="30" hidden="1" x14ac:dyDescent="0.25">
      <c r="A2570" s="29" t="s">
        <v>804</v>
      </c>
      <c r="B2570" s="29" t="s">
        <v>803</v>
      </c>
      <c r="C2570" s="29" t="s">
        <v>514</v>
      </c>
      <c r="D2570" s="29" t="str">
        <f>VLOOKUP(C:C,'COUNT-CONT'!B:C,2,FALSE)</f>
        <v>North America</v>
      </c>
      <c r="E2570" s="29">
        <v>2</v>
      </c>
      <c r="F2570" s="28">
        <v>1384</v>
      </c>
      <c r="G2570" s="28">
        <v>2838897687</v>
      </c>
      <c r="H2570" s="29">
        <v>5.99</v>
      </c>
      <c r="I2570" s="142">
        <v>-73.45</v>
      </c>
      <c r="J2570" s="29">
        <v>3.93</v>
      </c>
      <c r="K2570" s="29">
        <v>3.81</v>
      </c>
      <c r="L2570" s="29">
        <v>6.8</v>
      </c>
      <c r="M2570" s="368"/>
      <c r="N2570" s="368"/>
      <c r="O2570" s="271">
        <f>IFERROR(Table17[[#This Row],[PROFIT]]/Table17[[#This Row],[TO]],0)</f>
        <v>0</v>
      </c>
      <c r="P2570" s="177"/>
      <c r="Q2570" s="177"/>
      <c r="R2570" s="177"/>
    </row>
    <row r="2571" spans="1:18" ht="30" hidden="1" x14ac:dyDescent="0.25">
      <c r="A2571" s="29" t="s">
        <v>802</v>
      </c>
      <c r="B2571" s="29" t="s">
        <v>801</v>
      </c>
      <c r="C2571" s="29" t="s">
        <v>514</v>
      </c>
      <c r="D2571" s="29" t="str">
        <f>VLOOKUP(C:C,'COUNT-CONT'!B:C,2,FALSE)</f>
        <v>North America</v>
      </c>
      <c r="E2571" s="29">
        <v>2</v>
      </c>
      <c r="F2571" s="28">
        <v>1312</v>
      </c>
      <c r="G2571" s="28">
        <v>2875314634</v>
      </c>
      <c r="H2571" s="29">
        <v>5.99</v>
      </c>
      <c r="I2571" s="142">
        <v>-73.45</v>
      </c>
      <c r="J2571" s="29">
        <v>3.93</v>
      </c>
      <c r="K2571" s="29">
        <v>3.81</v>
      </c>
      <c r="L2571" s="29">
        <v>6.8</v>
      </c>
      <c r="M2571" s="368"/>
      <c r="N2571" s="368"/>
      <c r="O2571" s="271">
        <f>IFERROR(Table17[[#This Row],[PROFIT]]/Table17[[#This Row],[TO]],0)</f>
        <v>0</v>
      </c>
      <c r="P2571" s="177"/>
      <c r="Q2571" s="177"/>
      <c r="R2571" s="177"/>
    </row>
    <row r="2572" spans="1:18" ht="30" hidden="1" x14ac:dyDescent="0.25">
      <c r="A2572" s="29" t="s">
        <v>1043</v>
      </c>
      <c r="B2572" s="29" t="s">
        <v>1042</v>
      </c>
      <c r="C2572" s="29" t="s">
        <v>11732</v>
      </c>
      <c r="D2572" s="29" t="str">
        <f>VLOOKUP(C:C,'COUNT-CONT'!B:C,2,FALSE)</f>
        <v>North America</v>
      </c>
      <c r="E2572" s="29">
        <v>4</v>
      </c>
      <c r="F2572" s="28">
        <v>1983</v>
      </c>
      <c r="G2572" s="28">
        <v>2904415078</v>
      </c>
      <c r="H2572" s="29">
        <v>5.96</v>
      </c>
      <c r="I2572" s="142">
        <v>-73.48</v>
      </c>
      <c r="J2572" s="29">
        <v>4.87</v>
      </c>
      <c r="K2572" s="29">
        <v>4.87</v>
      </c>
      <c r="L2572" s="29">
        <v>7.86</v>
      </c>
      <c r="M2572" s="368"/>
      <c r="N2572" s="368"/>
      <c r="O2572" s="271">
        <f>IFERROR(Table17[[#This Row],[PROFIT]]/Table17[[#This Row],[TO]],0)</f>
        <v>0</v>
      </c>
      <c r="P2572" s="177"/>
      <c r="Q2572" s="177"/>
      <c r="R2572" s="177"/>
    </row>
    <row r="2573" spans="1:18" ht="30" hidden="1" x14ac:dyDescent="0.25">
      <c r="A2573" s="29" t="s">
        <v>1045</v>
      </c>
      <c r="B2573" s="29" t="s">
        <v>1044</v>
      </c>
      <c r="C2573" s="29" t="s">
        <v>11732</v>
      </c>
      <c r="D2573" s="29" t="str">
        <f>VLOOKUP(C:C,'COUNT-CONT'!B:C,2,FALSE)</f>
        <v>North America</v>
      </c>
      <c r="E2573" s="29">
        <v>5</v>
      </c>
      <c r="F2573" s="28">
        <v>2042</v>
      </c>
      <c r="G2573" s="28">
        <v>2894287561</v>
      </c>
      <c r="H2573" s="29">
        <v>5.96</v>
      </c>
      <c r="I2573" s="142">
        <v>-73.48</v>
      </c>
      <c r="J2573" s="29">
        <v>4.87</v>
      </c>
      <c r="K2573" s="29">
        <v>4.87</v>
      </c>
      <c r="L2573" s="29">
        <v>7.86</v>
      </c>
      <c r="M2573" s="368"/>
      <c r="N2573" s="368"/>
      <c r="O2573" s="271">
        <f>IFERROR(Table17[[#This Row],[PROFIT]]/Table17[[#This Row],[TO]],0)</f>
        <v>0</v>
      </c>
      <c r="P2573" s="177"/>
      <c r="Q2573" s="177"/>
      <c r="R2573" s="177"/>
    </row>
    <row r="2574" spans="1:18" ht="30" hidden="1" x14ac:dyDescent="0.25">
      <c r="A2574" s="29" t="s">
        <v>566</v>
      </c>
      <c r="B2574" s="29" t="s">
        <v>565</v>
      </c>
      <c r="C2574" s="29" t="s">
        <v>517</v>
      </c>
      <c r="D2574" s="29" t="str">
        <f>VLOOKUP(C:C,'COUNT-CONT'!B:C,2,FALSE)</f>
        <v>South America</v>
      </c>
      <c r="E2574" s="29">
        <v>2</v>
      </c>
      <c r="F2574" s="28">
        <v>1500</v>
      </c>
      <c r="G2574" s="28">
        <v>2453733333</v>
      </c>
      <c r="H2574" s="29">
        <v>5.96</v>
      </c>
      <c r="I2574" s="142">
        <v>-73.48</v>
      </c>
      <c r="J2574" s="29">
        <v>2.33</v>
      </c>
      <c r="K2574" s="29">
        <v>1.9</v>
      </c>
      <c r="L2574" s="29">
        <v>5.05</v>
      </c>
      <c r="M2574" s="368"/>
      <c r="N2574" s="368"/>
      <c r="O2574" s="271">
        <f>IFERROR(Table17[[#This Row],[PROFIT]]/Table17[[#This Row],[TO]],0)</f>
        <v>0</v>
      </c>
      <c r="P2574" s="177"/>
      <c r="Q2574" s="177"/>
      <c r="R2574" s="177"/>
    </row>
    <row r="2575" spans="1:18" ht="30" hidden="1" x14ac:dyDescent="0.25">
      <c r="A2575" s="29" t="s">
        <v>784</v>
      </c>
      <c r="B2575" s="29" t="s">
        <v>783</v>
      </c>
      <c r="C2575" s="29" t="s">
        <v>514</v>
      </c>
      <c r="D2575" s="29" t="str">
        <f>VLOOKUP(C:C,'COUNT-CONT'!B:C,2,FALSE)</f>
        <v>North America</v>
      </c>
      <c r="E2575" s="29">
        <v>3</v>
      </c>
      <c r="F2575" s="28">
        <v>1525</v>
      </c>
      <c r="G2575" s="28">
        <v>2773111475</v>
      </c>
      <c r="H2575" s="29">
        <v>5.93</v>
      </c>
      <c r="I2575" s="142">
        <v>-73.509999999999991</v>
      </c>
      <c r="J2575" s="29">
        <v>3.9</v>
      </c>
      <c r="K2575" s="29">
        <v>3.78</v>
      </c>
      <c r="L2575" s="29">
        <v>6.74</v>
      </c>
      <c r="M2575" s="368"/>
      <c r="N2575" s="368"/>
      <c r="O2575" s="271">
        <f>IFERROR(Table17[[#This Row],[PROFIT]]/Table17[[#This Row],[TO]],0)</f>
        <v>0</v>
      </c>
      <c r="P2575" s="177"/>
      <c r="Q2575" s="177"/>
      <c r="R2575" s="177"/>
    </row>
    <row r="2576" spans="1:18" ht="30" hidden="1" x14ac:dyDescent="0.25">
      <c r="A2576" s="29" t="s">
        <v>1002</v>
      </c>
      <c r="B2576" s="29" t="s">
        <v>1001</v>
      </c>
      <c r="C2576" s="29" t="s">
        <v>11732</v>
      </c>
      <c r="D2576" s="29" t="str">
        <f>VLOOKUP(C:C,'COUNT-CONT'!B:C,2,FALSE)</f>
        <v>North America</v>
      </c>
      <c r="E2576" s="29">
        <v>7</v>
      </c>
      <c r="F2576" s="28">
        <v>2599</v>
      </c>
      <c r="G2576" s="28">
        <v>2808939707</v>
      </c>
      <c r="H2576" s="29">
        <v>5.83</v>
      </c>
      <c r="I2576" s="142">
        <v>-73.61</v>
      </c>
      <c r="J2576" s="29">
        <v>4.75</v>
      </c>
      <c r="K2576" s="29">
        <v>4.75</v>
      </c>
      <c r="L2576" s="29">
        <v>7.68</v>
      </c>
      <c r="M2576" s="368"/>
      <c r="N2576" s="368"/>
      <c r="O2576" s="271">
        <f>IFERROR(Table17[[#This Row],[PROFIT]]/Table17[[#This Row],[TO]],0)</f>
        <v>0</v>
      </c>
      <c r="P2576" s="177"/>
      <c r="Q2576" s="177"/>
      <c r="R2576" s="177"/>
    </row>
    <row r="2577" spans="1:18" ht="30" hidden="1" x14ac:dyDescent="0.25">
      <c r="A2577" s="29" t="s">
        <v>1010</v>
      </c>
      <c r="B2577" s="29" t="s">
        <v>1009</v>
      </c>
      <c r="C2577" s="29" t="s">
        <v>11732</v>
      </c>
      <c r="D2577" s="29" t="str">
        <f>VLOOKUP(C:C,'COUNT-CONT'!B:C,2,FALSE)</f>
        <v>North America</v>
      </c>
      <c r="E2577" s="29">
        <v>1</v>
      </c>
      <c r="F2577" s="28">
        <v>1220</v>
      </c>
      <c r="G2577" s="28">
        <v>3154339344</v>
      </c>
      <c r="H2577" s="29">
        <v>5.83</v>
      </c>
      <c r="I2577" s="142">
        <v>-73.61</v>
      </c>
      <c r="J2577" s="29">
        <v>4.78</v>
      </c>
      <c r="K2577" s="29">
        <v>4.78</v>
      </c>
      <c r="L2577" s="29">
        <v>7.71</v>
      </c>
      <c r="M2577" s="368"/>
      <c r="N2577" s="368"/>
      <c r="O2577" s="271">
        <f>IFERROR(Table17[[#This Row],[PROFIT]]/Table17[[#This Row],[TO]],0)</f>
        <v>0</v>
      </c>
      <c r="P2577" s="177"/>
      <c r="Q2577" s="177"/>
      <c r="R2577" s="177"/>
    </row>
    <row r="2578" spans="1:18" ht="30" hidden="1" x14ac:dyDescent="0.25">
      <c r="A2578" s="29" t="s">
        <v>1000</v>
      </c>
      <c r="B2578" s="29" t="s">
        <v>999</v>
      </c>
      <c r="C2578" s="29" t="s">
        <v>11732</v>
      </c>
      <c r="D2578" s="29" t="str">
        <f>VLOOKUP(C:C,'COUNT-CONT'!B:C,2,FALSE)</f>
        <v>North America</v>
      </c>
      <c r="E2578" s="29">
        <v>6</v>
      </c>
      <c r="F2578" s="28">
        <v>2441</v>
      </c>
      <c r="G2578" s="28">
        <v>2822134985</v>
      </c>
      <c r="H2578" s="29">
        <v>5.83</v>
      </c>
      <c r="I2578" s="142">
        <v>-73.61</v>
      </c>
      <c r="J2578" s="29">
        <v>4.75</v>
      </c>
      <c r="K2578" s="29">
        <v>4.75</v>
      </c>
      <c r="L2578" s="29">
        <v>7.68</v>
      </c>
      <c r="M2578" s="368"/>
      <c r="N2578" s="368"/>
      <c r="O2578" s="271">
        <f>IFERROR(Table17[[#This Row],[PROFIT]]/Table17[[#This Row],[TO]],0)</f>
        <v>0</v>
      </c>
      <c r="P2578" s="177"/>
      <c r="Q2578" s="177"/>
      <c r="R2578" s="177"/>
    </row>
    <row r="2579" spans="1:18" ht="30" hidden="1" x14ac:dyDescent="0.25">
      <c r="A2579" s="29" t="s">
        <v>1018</v>
      </c>
      <c r="B2579" s="29" t="s">
        <v>1017</v>
      </c>
      <c r="C2579" s="29" t="s">
        <v>11732</v>
      </c>
      <c r="D2579" s="29" t="str">
        <f>VLOOKUP(C:C,'COUNT-CONT'!B:C,2,FALSE)</f>
        <v>North America</v>
      </c>
      <c r="E2579" s="29">
        <v>3</v>
      </c>
      <c r="F2579" s="28">
        <v>1551</v>
      </c>
      <c r="G2579" s="28">
        <v>2993419858</v>
      </c>
      <c r="H2579" s="29">
        <v>5.83</v>
      </c>
      <c r="I2579" s="142">
        <v>-73.61</v>
      </c>
      <c r="J2579" s="29">
        <v>4.78</v>
      </c>
      <c r="K2579" s="29">
        <v>4.78</v>
      </c>
      <c r="L2579" s="29">
        <v>7.71</v>
      </c>
      <c r="M2579" s="368"/>
      <c r="N2579" s="368"/>
      <c r="O2579" s="271">
        <f>IFERROR(Table17[[#This Row],[PROFIT]]/Table17[[#This Row],[TO]],0)</f>
        <v>0</v>
      </c>
      <c r="P2579" s="177"/>
      <c r="Q2579" s="177"/>
      <c r="R2579" s="177"/>
    </row>
    <row r="2580" spans="1:18" ht="30" hidden="1" x14ac:dyDescent="0.25">
      <c r="A2580" s="29" t="s">
        <v>998</v>
      </c>
      <c r="B2580" s="29" t="s">
        <v>997</v>
      </c>
      <c r="C2580" s="29" t="s">
        <v>11732</v>
      </c>
      <c r="D2580" s="29" t="str">
        <f>VLOOKUP(C:C,'COUNT-CONT'!B:C,2,FALSE)</f>
        <v>North America</v>
      </c>
      <c r="E2580" s="29">
        <v>5</v>
      </c>
      <c r="F2580" s="28">
        <v>2168</v>
      </c>
      <c r="G2580" s="28">
        <v>2849980073</v>
      </c>
      <c r="H2580" s="29">
        <v>5.83</v>
      </c>
      <c r="I2580" s="142">
        <v>-73.61</v>
      </c>
      <c r="J2580" s="29">
        <v>4.75</v>
      </c>
      <c r="K2580" s="29">
        <v>4.75</v>
      </c>
      <c r="L2580" s="29">
        <v>7.68</v>
      </c>
      <c r="M2580" s="368"/>
      <c r="N2580" s="368"/>
      <c r="O2580" s="271">
        <f>IFERROR(Table17[[#This Row],[PROFIT]]/Table17[[#This Row],[TO]],0)</f>
        <v>0</v>
      </c>
      <c r="P2580" s="177"/>
      <c r="Q2580" s="177"/>
      <c r="R2580" s="177"/>
    </row>
    <row r="2581" spans="1:18" hidden="1" x14ac:dyDescent="0.25">
      <c r="A2581" s="29" t="s">
        <v>706</v>
      </c>
      <c r="B2581" s="29" t="s">
        <v>705</v>
      </c>
      <c r="C2581" s="29" t="s">
        <v>597</v>
      </c>
      <c r="D2581" s="29" t="str">
        <f>VLOOKUP(C:C,'COUNT-CONT'!B:C,2,FALSE)</f>
        <v>Europe</v>
      </c>
      <c r="E2581" s="29">
        <v>7</v>
      </c>
      <c r="F2581" s="28">
        <v>2699</v>
      </c>
      <c r="G2581" s="28">
        <v>2484958354</v>
      </c>
      <c r="H2581" s="29">
        <v>5.8</v>
      </c>
      <c r="I2581" s="142">
        <v>-73.64</v>
      </c>
      <c r="J2581" s="29">
        <v>3.45</v>
      </c>
      <c r="K2581" s="29">
        <v>3.2</v>
      </c>
      <c r="L2581" s="29">
        <v>6.17</v>
      </c>
      <c r="M2581" s="368"/>
      <c r="N2581" s="368"/>
      <c r="O2581" s="271">
        <f>IFERROR(Table17[[#This Row],[PROFIT]]/Table17[[#This Row],[TO]],0)</f>
        <v>0</v>
      </c>
      <c r="P2581" s="177"/>
      <c r="Q2581" s="177"/>
      <c r="R2581" s="177"/>
    </row>
    <row r="2582" spans="1:18" ht="30" hidden="1" x14ac:dyDescent="0.25">
      <c r="A2582" s="29" t="s">
        <v>991</v>
      </c>
      <c r="B2582" s="29" t="s">
        <v>990</v>
      </c>
      <c r="C2582" s="29" t="s">
        <v>11732</v>
      </c>
      <c r="D2582" s="29" t="str">
        <f>VLOOKUP(C:C,'COUNT-CONT'!B:C,2,FALSE)</f>
        <v>North America</v>
      </c>
      <c r="E2582" s="29">
        <v>5</v>
      </c>
      <c r="F2582" s="28">
        <v>2135</v>
      </c>
      <c r="G2582" s="28">
        <v>2849822482</v>
      </c>
      <c r="H2582" s="29">
        <v>5.8</v>
      </c>
      <c r="I2582" s="142">
        <v>-73.64</v>
      </c>
      <c r="J2582" s="29">
        <v>4.72</v>
      </c>
      <c r="K2582" s="29">
        <v>4.72</v>
      </c>
      <c r="L2582" s="29">
        <v>7.65</v>
      </c>
      <c r="M2582" s="368"/>
      <c r="N2582" s="368"/>
      <c r="O2582" s="271">
        <f>IFERROR(Table17[[#This Row],[PROFIT]]/Table17[[#This Row],[TO]],0)</f>
        <v>0</v>
      </c>
      <c r="P2582" s="177"/>
      <c r="Q2582" s="177"/>
      <c r="R2582" s="177"/>
    </row>
    <row r="2583" spans="1:18" ht="30" hidden="1" x14ac:dyDescent="0.25">
      <c r="A2583" s="29" t="s">
        <v>557</v>
      </c>
      <c r="B2583" s="29" t="s">
        <v>556</v>
      </c>
      <c r="C2583" s="29" t="s">
        <v>517</v>
      </c>
      <c r="D2583" s="29" t="str">
        <f>VLOOKUP(C:C,'COUNT-CONT'!B:C,2,FALSE)</f>
        <v>South America</v>
      </c>
      <c r="E2583" s="29">
        <v>2</v>
      </c>
      <c r="F2583" s="28">
        <v>1480</v>
      </c>
      <c r="G2583" s="28">
        <v>2444043243</v>
      </c>
      <c r="H2583" s="29">
        <v>5.8</v>
      </c>
      <c r="I2583" s="142">
        <v>-73.64</v>
      </c>
      <c r="J2583" s="29">
        <v>2.2400000000000002</v>
      </c>
      <c r="K2583" s="29">
        <v>1.84</v>
      </c>
      <c r="L2583" s="29">
        <v>4.93</v>
      </c>
      <c r="M2583" s="368"/>
      <c r="N2583" s="368"/>
      <c r="O2583" s="271">
        <f>IFERROR(Table17[[#This Row],[PROFIT]]/Table17[[#This Row],[TO]],0)</f>
        <v>0</v>
      </c>
      <c r="P2583" s="177"/>
      <c r="Q2583" s="177"/>
      <c r="R2583" s="177"/>
    </row>
    <row r="2584" spans="1:18" ht="30" hidden="1" x14ac:dyDescent="0.25">
      <c r="A2584" s="29" t="s">
        <v>559</v>
      </c>
      <c r="B2584" s="29" t="s">
        <v>558</v>
      </c>
      <c r="C2584" s="29" t="s">
        <v>517</v>
      </c>
      <c r="D2584" s="29" t="str">
        <f>VLOOKUP(C:C,'COUNT-CONT'!B:C,2,FALSE)</f>
        <v>South America</v>
      </c>
      <c r="E2584" s="29">
        <v>2</v>
      </c>
      <c r="F2584" s="28">
        <v>1500</v>
      </c>
      <c r="G2584" s="28">
        <v>2437733333</v>
      </c>
      <c r="H2584" s="29">
        <v>5.8</v>
      </c>
      <c r="I2584" s="142">
        <v>-73.64</v>
      </c>
      <c r="J2584" s="29">
        <v>2.27</v>
      </c>
      <c r="K2584" s="29">
        <v>1.87</v>
      </c>
      <c r="L2584" s="29">
        <v>4.93</v>
      </c>
      <c r="M2584" s="368"/>
      <c r="N2584" s="368"/>
      <c r="O2584" s="271">
        <f>IFERROR(Table17[[#This Row],[PROFIT]]/Table17[[#This Row],[TO]],0)</f>
        <v>0</v>
      </c>
      <c r="P2584" s="177"/>
      <c r="Q2584" s="177"/>
      <c r="R2584" s="177"/>
    </row>
    <row r="2585" spans="1:18" ht="30" hidden="1" x14ac:dyDescent="0.25">
      <c r="A2585" s="29" t="s">
        <v>653</v>
      </c>
      <c r="B2585" s="29" t="s">
        <v>652</v>
      </c>
      <c r="C2585" s="29" t="s">
        <v>13119</v>
      </c>
      <c r="D2585" s="29" t="str">
        <f>VLOOKUP(C:C,'COUNT-CONT'!B:C,2,FALSE)</f>
        <v>North America</v>
      </c>
      <c r="E2585" s="29">
        <v>1</v>
      </c>
      <c r="F2585" s="28">
        <v>1238</v>
      </c>
      <c r="G2585" s="28">
        <v>2678729886</v>
      </c>
      <c r="H2585" s="29">
        <v>5.77</v>
      </c>
      <c r="I2585" s="142">
        <v>-73.67</v>
      </c>
      <c r="J2585" s="29">
        <v>3.11</v>
      </c>
      <c r="K2585" s="29">
        <v>2.75</v>
      </c>
      <c r="L2585" s="29">
        <v>5.77</v>
      </c>
      <c r="M2585" s="368"/>
      <c r="N2585" s="368"/>
      <c r="O2585" s="271">
        <f>IFERROR(Table17[[#This Row],[PROFIT]]/Table17[[#This Row],[TO]],0)</f>
        <v>0</v>
      </c>
      <c r="P2585" s="177"/>
      <c r="Q2585" s="177"/>
      <c r="R2585" s="177"/>
    </row>
    <row r="2586" spans="1:18" ht="30" hidden="1" x14ac:dyDescent="0.25">
      <c r="A2586" s="29" t="s">
        <v>968</v>
      </c>
      <c r="B2586" s="29" t="s">
        <v>967</v>
      </c>
      <c r="C2586" s="29" t="s">
        <v>11732</v>
      </c>
      <c r="D2586" s="29" t="str">
        <f>VLOOKUP(C:C,'COUNT-CONT'!B:C,2,FALSE)</f>
        <v>North America</v>
      </c>
      <c r="E2586" s="29">
        <v>3</v>
      </c>
      <c r="F2586" s="28">
        <v>1684</v>
      </c>
      <c r="G2586" s="28">
        <v>2936306650</v>
      </c>
      <c r="H2586" s="29">
        <v>5.74</v>
      </c>
      <c r="I2586" s="142">
        <v>-73.7</v>
      </c>
      <c r="J2586" s="29">
        <v>4.6900000000000004</v>
      </c>
      <c r="K2586" s="29">
        <v>4.6900000000000004</v>
      </c>
      <c r="L2586" s="29">
        <v>7.59</v>
      </c>
      <c r="M2586" s="368"/>
      <c r="N2586" s="368"/>
      <c r="O2586" s="271">
        <f>IFERROR(Table17[[#This Row],[PROFIT]]/Table17[[#This Row],[TO]],0)</f>
        <v>0</v>
      </c>
      <c r="P2586" s="177"/>
      <c r="Q2586" s="177"/>
      <c r="R2586" s="177"/>
    </row>
    <row r="2587" spans="1:18" x14ac:dyDescent="0.25">
      <c r="A2587" s="29" t="s">
        <v>676</v>
      </c>
      <c r="B2587" s="29" t="s">
        <v>675</v>
      </c>
      <c r="C2587" s="29" t="s">
        <v>674</v>
      </c>
      <c r="D2587" s="29" t="str">
        <f>VLOOKUP(C:C,'COUNT-CONT'!B:C,2,FALSE)</f>
        <v>Oceania</v>
      </c>
      <c r="E2587" s="29">
        <v>3</v>
      </c>
      <c r="F2587" s="28">
        <v>1524</v>
      </c>
      <c r="G2587" s="28">
        <v>2597784776</v>
      </c>
      <c r="H2587" s="29">
        <v>5.74</v>
      </c>
      <c r="I2587" s="142">
        <v>-73.7</v>
      </c>
      <c r="J2587" s="29">
        <v>3.23</v>
      </c>
      <c r="K2587" s="29">
        <v>2.99</v>
      </c>
      <c r="L2587" s="29">
        <v>5.99</v>
      </c>
      <c r="M2587" s="368"/>
      <c r="N2587" s="368"/>
      <c r="O2587" s="271">
        <f>IFERROR(Table17[[#This Row],[PROFIT]]/Table17[[#This Row],[TO]],0)</f>
        <v>0</v>
      </c>
      <c r="P2587" s="177"/>
      <c r="Q2587" s="177"/>
      <c r="R2587" s="177"/>
    </row>
    <row r="2588" spans="1:18" ht="30" hidden="1" x14ac:dyDescent="0.25">
      <c r="A2588" s="29" t="s">
        <v>964</v>
      </c>
      <c r="B2588" s="29" t="s">
        <v>963</v>
      </c>
      <c r="C2588" s="29" t="s">
        <v>11732</v>
      </c>
      <c r="D2588" s="29" t="str">
        <f>VLOOKUP(C:C,'COUNT-CONT'!B:C,2,FALSE)</f>
        <v>North America</v>
      </c>
      <c r="E2588" s="29">
        <v>5</v>
      </c>
      <c r="F2588" s="28">
        <v>2208</v>
      </c>
      <c r="G2588" s="28">
        <v>2830488405</v>
      </c>
      <c r="H2588" s="29">
        <v>5.74</v>
      </c>
      <c r="I2588" s="142">
        <v>-73.7</v>
      </c>
      <c r="J2588" s="29">
        <v>4.6900000000000004</v>
      </c>
      <c r="K2588" s="29">
        <v>4.6900000000000004</v>
      </c>
      <c r="L2588" s="29">
        <v>7.56</v>
      </c>
      <c r="M2588" s="368"/>
      <c r="N2588" s="368"/>
      <c r="O2588" s="271">
        <f>IFERROR(Table17[[#This Row],[PROFIT]]/Table17[[#This Row],[TO]],0)</f>
        <v>0</v>
      </c>
      <c r="P2588" s="177"/>
      <c r="Q2588" s="177"/>
      <c r="R2588" s="177"/>
    </row>
    <row r="2589" spans="1:18" ht="30" hidden="1" x14ac:dyDescent="0.25">
      <c r="A2589" s="29" t="s">
        <v>956</v>
      </c>
      <c r="B2589" s="29" t="s">
        <v>955</v>
      </c>
      <c r="C2589" s="29" t="s">
        <v>11732</v>
      </c>
      <c r="D2589" s="29" t="str">
        <f>VLOOKUP(C:C,'COUNT-CONT'!B:C,2,FALSE)</f>
        <v>North America</v>
      </c>
      <c r="E2589" s="29">
        <v>5</v>
      </c>
      <c r="F2589" s="28">
        <v>2104</v>
      </c>
      <c r="G2589" s="28">
        <v>2841513688</v>
      </c>
      <c r="H2589" s="29">
        <v>5.71</v>
      </c>
      <c r="I2589" s="142">
        <v>-73.73</v>
      </c>
      <c r="J2589" s="29">
        <v>4.66</v>
      </c>
      <c r="K2589" s="29">
        <v>4.66</v>
      </c>
      <c r="L2589" s="29">
        <v>7.53</v>
      </c>
      <c r="M2589" s="368"/>
      <c r="N2589" s="368"/>
      <c r="O2589" s="271">
        <f>IFERROR(Table17[[#This Row],[PROFIT]]/Table17[[#This Row],[TO]],0)</f>
        <v>0</v>
      </c>
      <c r="P2589" s="177"/>
      <c r="Q2589" s="177"/>
      <c r="R2589" s="177"/>
    </row>
    <row r="2590" spans="1:18" ht="30" hidden="1" x14ac:dyDescent="0.25">
      <c r="A2590" s="29" t="s">
        <v>553</v>
      </c>
      <c r="B2590" s="29" t="s">
        <v>552</v>
      </c>
      <c r="C2590" s="29" t="s">
        <v>517</v>
      </c>
      <c r="D2590" s="29" t="str">
        <f>VLOOKUP(C:C,'COUNT-CONT'!B:C,2,FALSE)</f>
        <v>South America</v>
      </c>
      <c r="E2590" s="29">
        <v>2</v>
      </c>
      <c r="F2590" s="28">
        <v>1460</v>
      </c>
      <c r="G2590" s="28">
        <v>2442624657</v>
      </c>
      <c r="H2590" s="29">
        <v>5.71</v>
      </c>
      <c r="I2590" s="142">
        <v>-73.73</v>
      </c>
      <c r="J2590" s="29">
        <v>2.2400000000000002</v>
      </c>
      <c r="K2590" s="29">
        <v>1.84</v>
      </c>
      <c r="L2590" s="29">
        <v>4.87</v>
      </c>
      <c r="M2590" s="368"/>
      <c r="N2590" s="368"/>
      <c r="O2590" s="271">
        <f>IFERROR(Table17[[#This Row],[PROFIT]]/Table17[[#This Row],[TO]],0)</f>
        <v>0</v>
      </c>
      <c r="P2590" s="177"/>
      <c r="Q2590" s="177"/>
      <c r="R2590" s="177"/>
    </row>
    <row r="2591" spans="1:18" ht="30" hidden="1" x14ac:dyDescent="0.25">
      <c r="A2591" s="29" t="s">
        <v>747</v>
      </c>
      <c r="B2591" s="29" t="s">
        <v>746</v>
      </c>
      <c r="C2591" s="29" t="s">
        <v>514</v>
      </c>
      <c r="D2591" s="29" t="str">
        <f>VLOOKUP(C:C,'COUNT-CONT'!B:C,2,FALSE)</f>
        <v>North America</v>
      </c>
      <c r="E2591" s="29">
        <v>2</v>
      </c>
      <c r="F2591" s="28">
        <v>1290</v>
      </c>
      <c r="G2591" s="28">
        <v>2847513178</v>
      </c>
      <c r="H2591" s="29">
        <v>5.71</v>
      </c>
      <c r="I2591" s="142">
        <v>-73.73</v>
      </c>
      <c r="J2591" s="29">
        <v>3.75</v>
      </c>
      <c r="K2591" s="29">
        <v>3.63</v>
      </c>
      <c r="L2591" s="29">
        <v>6.5</v>
      </c>
      <c r="M2591" s="368"/>
      <c r="N2591" s="368"/>
      <c r="O2591" s="271">
        <f>IFERROR(Table17[[#This Row],[PROFIT]]/Table17[[#This Row],[TO]],0)</f>
        <v>0</v>
      </c>
      <c r="P2591" s="177"/>
      <c r="Q2591" s="177"/>
      <c r="R2591" s="177"/>
    </row>
    <row r="2592" spans="1:18" ht="30" hidden="1" x14ac:dyDescent="0.25">
      <c r="A2592" s="29" t="s">
        <v>751</v>
      </c>
      <c r="B2592" s="29" t="s">
        <v>750</v>
      </c>
      <c r="C2592" s="29" t="s">
        <v>514</v>
      </c>
      <c r="D2592" s="29" t="str">
        <f>VLOOKUP(C:C,'COUNT-CONT'!B:C,2,FALSE)</f>
        <v>North America</v>
      </c>
      <c r="E2592" s="29">
        <v>4</v>
      </c>
      <c r="F2592" s="28">
        <v>1830</v>
      </c>
      <c r="G2592" s="28">
        <v>2649792896</v>
      </c>
      <c r="H2592" s="29">
        <v>5.71</v>
      </c>
      <c r="I2592" s="142">
        <v>-73.73</v>
      </c>
      <c r="J2592" s="29">
        <v>3.75</v>
      </c>
      <c r="K2592" s="29">
        <v>3.63</v>
      </c>
      <c r="L2592" s="29">
        <v>6.5</v>
      </c>
      <c r="M2592" s="368"/>
      <c r="N2592" s="368"/>
      <c r="O2592" s="271">
        <f>IFERROR(Table17[[#This Row],[PROFIT]]/Table17[[#This Row],[TO]],0)</f>
        <v>0</v>
      </c>
      <c r="P2592" s="177"/>
      <c r="Q2592" s="177"/>
      <c r="R2592" s="177"/>
    </row>
    <row r="2593" spans="1:18" ht="30" hidden="1" x14ac:dyDescent="0.25">
      <c r="A2593" s="29" t="s">
        <v>745</v>
      </c>
      <c r="B2593" s="29" t="s">
        <v>744</v>
      </c>
      <c r="C2593" s="29" t="s">
        <v>514</v>
      </c>
      <c r="D2593" s="29" t="str">
        <f>VLOOKUP(C:C,'COUNT-CONT'!B:C,2,FALSE)</f>
        <v>North America</v>
      </c>
      <c r="E2593" s="29">
        <v>1</v>
      </c>
      <c r="F2593" s="28">
        <v>1219</v>
      </c>
      <c r="G2593" s="28">
        <v>2890078999</v>
      </c>
      <c r="H2593" s="29">
        <v>5.71</v>
      </c>
      <c r="I2593" s="142">
        <v>-73.73</v>
      </c>
      <c r="J2593" s="29">
        <v>3.75</v>
      </c>
      <c r="K2593" s="29">
        <v>3.63</v>
      </c>
      <c r="L2593" s="29">
        <v>6.5</v>
      </c>
      <c r="M2593" s="368"/>
      <c r="N2593" s="368"/>
      <c r="O2593" s="271">
        <f>IFERROR(Table17[[#This Row],[PROFIT]]/Table17[[#This Row],[TO]],0)</f>
        <v>0</v>
      </c>
      <c r="P2593" s="177"/>
      <c r="Q2593" s="177"/>
      <c r="R2593" s="177"/>
    </row>
    <row r="2594" spans="1:18" ht="30" hidden="1" x14ac:dyDescent="0.25">
      <c r="A2594" s="29" t="s">
        <v>942</v>
      </c>
      <c r="B2594" s="29" t="s">
        <v>941</v>
      </c>
      <c r="C2594" s="29" t="s">
        <v>11732</v>
      </c>
      <c r="D2594" s="29" t="str">
        <f>VLOOKUP(C:C,'COUNT-CONT'!B:C,2,FALSE)</f>
        <v>North America</v>
      </c>
      <c r="E2594" s="29">
        <v>4</v>
      </c>
      <c r="F2594" s="28">
        <v>1983</v>
      </c>
      <c r="G2594" s="28">
        <v>2856515078</v>
      </c>
      <c r="H2594" s="29">
        <v>5.68</v>
      </c>
      <c r="I2594" s="142">
        <v>-73.759999999999991</v>
      </c>
      <c r="J2594" s="29">
        <v>4.66</v>
      </c>
      <c r="K2594" s="29">
        <v>4.66</v>
      </c>
      <c r="L2594" s="29">
        <v>7.5</v>
      </c>
      <c r="M2594" s="368"/>
      <c r="N2594" s="368"/>
      <c r="O2594" s="271">
        <f>IFERROR(Table17[[#This Row],[PROFIT]]/Table17[[#This Row],[TO]],0)</f>
        <v>0</v>
      </c>
      <c r="P2594" s="177"/>
      <c r="Q2594" s="177"/>
      <c r="R2594" s="177"/>
    </row>
    <row r="2595" spans="1:18" hidden="1" x14ac:dyDescent="0.25">
      <c r="A2595" s="29" t="s">
        <v>527</v>
      </c>
      <c r="B2595" s="29" t="s">
        <v>526</v>
      </c>
      <c r="C2595" s="29" t="s">
        <v>493</v>
      </c>
      <c r="D2595" s="29" t="str">
        <f>VLOOKUP(C:C,'COUNT-CONT'!B:C,2,FALSE)</f>
        <v>Africa</v>
      </c>
      <c r="E2595" s="29">
        <v>8</v>
      </c>
      <c r="F2595" s="28">
        <v>1500</v>
      </c>
      <c r="G2595" s="28">
        <v>2524333333</v>
      </c>
      <c r="H2595" s="29">
        <v>5.65</v>
      </c>
      <c r="I2595" s="142">
        <v>-73.789999999999992</v>
      </c>
      <c r="J2595" s="29">
        <v>1.81</v>
      </c>
      <c r="K2595" s="29">
        <v>1.3</v>
      </c>
      <c r="L2595" s="29">
        <v>4.3499999999999996</v>
      </c>
      <c r="M2595" s="368"/>
      <c r="N2595" s="368"/>
      <c r="O2595" s="271">
        <f>IFERROR(Table17[[#This Row],[PROFIT]]/Table17[[#This Row],[TO]],0)</f>
        <v>0</v>
      </c>
      <c r="P2595" s="177"/>
      <c r="Q2595" s="177"/>
      <c r="R2595" s="177"/>
    </row>
    <row r="2596" spans="1:18" hidden="1" x14ac:dyDescent="0.25">
      <c r="A2596" s="29" t="s">
        <v>535</v>
      </c>
      <c r="B2596" s="29" t="s">
        <v>534</v>
      </c>
      <c r="C2596" s="29" t="s">
        <v>533</v>
      </c>
      <c r="D2596" s="29" t="str">
        <f>VLOOKUP(C:C,'COUNT-CONT'!B:C,2,FALSE)</f>
        <v>Asia</v>
      </c>
      <c r="E2596" s="29">
        <v>6</v>
      </c>
      <c r="F2596" s="28">
        <v>2500</v>
      </c>
      <c r="G2596" s="28">
        <v>2186800000</v>
      </c>
      <c r="H2596" s="29">
        <v>5.65</v>
      </c>
      <c r="I2596" s="142">
        <v>-73.789999999999992</v>
      </c>
      <c r="J2596" s="29">
        <v>1.87</v>
      </c>
      <c r="K2596" s="29">
        <v>1.42</v>
      </c>
      <c r="L2596" s="29">
        <v>4.5</v>
      </c>
      <c r="M2596" s="368"/>
      <c r="N2596" s="368"/>
      <c r="O2596" s="271">
        <f>IFERROR(Table17[[#This Row],[PROFIT]]/Table17[[#This Row],[TO]],0)</f>
        <v>0</v>
      </c>
      <c r="P2596" s="177"/>
      <c r="Q2596" s="177"/>
      <c r="R2596" s="177"/>
    </row>
    <row r="2597" spans="1:18" ht="30" hidden="1" x14ac:dyDescent="0.25">
      <c r="A2597" s="29" t="s">
        <v>937</v>
      </c>
      <c r="B2597" s="29" t="s">
        <v>936</v>
      </c>
      <c r="C2597" s="29" t="s">
        <v>11732</v>
      </c>
      <c r="D2597" s="29" t="str">
        <f>VLOOKUP(C:C,'COUNT-CONT'!B:C,2,FALSE)</f>
        <v>North America</v>
      </c>
      <c r="E2597" s="29">
        <v>8</v>
      </c>
      <c r="F2597" s="28">
        <v>2776</v>
      </c>
      <c r="G2597" s="28">
        <v>2772453602</v>
      </c>
      <c r="H2597" s="29">
        <v>5.65</v>
      </c>
      <c r="I2597" s="142">
        <v>-73.789999999999992</v>
      </c>
      <c r="J2597" s="29">
        <v>4.63</v>
      </c>
      <c r="K2597" s="29">
        <v>4.63</v>
      </c>
      <c r="L2597" s="29">
        <v>7.47</v>
      </c>
      <c r="M2597" s="368"/>
      <c r="N2597" s="368"/>
      <c r="O2597" s="271">
        <f>IFERROR(Table17[[#This Row],[PROFIT]]/Table17[[#This Row],[TO]],0)</f>
        <v>0</v>
      </c>
      <c r="P2597" s="177"/>
      <c r="Q2597" s="177"/>
      <c r="R2597" s="177"/>
    </row>
    <row r="2598" spans="1:18" ht="30" hidden="1" x14ac:dyDescent="0.25">
      <c r="A2598" s="29" t="s">
        <v>915</v>
      </c>
      <c r="B2598" s="29" t="s">
        <v>914</v>
      </c>
      <c r="C2598" s="29" t="s">
        <v>11732</v>
      </c>
      <c r="D2598" s="29" t="str">
        <f>VLOOKUP(C:C,'COUNT-CONT'!B:C,2,FALSE)</f>
        <v>North America</v>
      </c>
      <c r="E2598" s="29">
        <v>7</v>
      </c>
      <c r="F2598" s="28">
        <v>2639</v>
      </c>
      <c r="G2598" s="28">
        <v>2772924554</v>
      </c>
      <c r="H2598" s="29">
        <v>5.62</v>
      </c>
      <c r="I2598" s="142">
        <v>-73.819999999999993</v>
      </c>
      <c r="J2598" s="29">
        <v>4.59</v>
      </c>
      <c r="K2598" s="29">
        <v>4.59</v>
      </c>
      <c r="L2598" s="29">
        <v>7.41</v>
      </c>
      <c r="M2598" s="368"/>
      <c r="N2598" s="368"/>
      <c r="O2598" s="271">
        <f>IFERROR(Table17[[#This Row],[PROFIT]]/Table17[[#This Row],[TO]],0)</f>
        <v>0</v>
      </c>
      <c r="P2598" s="177"/>
      <c r="Q2598" s="177"/>
      <c r="R2598" s="177"/>
    </row>
    <row r="2599" spans="1:18" ht="30" hidden="1" x14ac:dyDescent="0.25">
      <c r="A2599" s="29" t="s">
        <v>919</v>
      </c>
      <c r="B2599" s="29" t="s">
        <v>918</v>
      </c>
      <c r="C2599" s="29" t="s">
        <v>11732</v>
      </c>
      <c r="D2599" s="29" t="str">
        <f>VLOOKUP(C:C,'COUNT-CONT'!B:C,2,FALSE)</f>
        <v>North America</v>
      </c>
      <c r="E2599" s="29">
        <v>1</v>
      </c>
      <c r="F2599" s="28">
        <v>1007</v>
      </c>
      <c r="G2599" s="28">
        <v>3286953525</v>
      </c>
      <c r="H2599" s="29">
        <v>5.62</v>
      </c>
      <c r="I2599" s="142">
        <v>-73.819999999999993</v>
      </c>
      <c r="J2599" s="29">
        <v>4.59</v>
      </c>
      <c r="K2599" s="29">
        <v>4.59</v>
      </c>
      <c r="L2599" s="29">
        <v>7.44</v>
      </c>
      <c r="M2599" s="368"/>
      <c r="N2599" s="368"/>
      <c r="O2599" s="271">
        <f>IFERROR(Table17[[#This Row],[PROFIT]]/Table17[[#This Row],[TO]],0)</f>
        <v>0</v>
      </c>
      <c r="P2599" s="177"/>
      <c r="Q2599" s="177"/>
      <c r="R2599" s="177"/>
    </row>
    <row r="2600" spans="1:18" ht="30" hidden="1" x14ac:dyDescent="0.25">
      <c r="A2600" s="29" t="s">
        <v>913</v>
      </c>
      <c r="B2600" s="29" t="s">
        <v>912</v>
      </c>
      <c r="C2600" s="29" t="s">
        <v>11732</v>
      </c>
      <c r="D2600" s="29" t="str">
        <f>VLOOKUP(C:C,'COUNT-CONT'!B:C,2,FALSE)</f>
        <v>North America</v>
      </c>
      <c r="E2600" s="29">
        <v>4</v>
      </c>
      <c r="F2600" s="28">
        <v>1983</v>
      </c>
      <c r="G2600" s="28">
        <v>2845315078</v>
      </c>
      <c r="H2600" s="29">
        <v>5.62</v>
      </c>
      <c r="I2600" s="142">
        <v>-73.819999999999993</v>
      </c>
      <c r="J2600" s="29">
        <v>4.59</v>
      </c>
      <c r="K2600" s="29">
        <v>4.59</v>
      </c>
      <c r="L2600" s="29">
        <v>7.41</v>
      </c>
      <c r="M2600" s="368"/>
      <c r="N2600" s="368"/>
      <c r="O2600" s="271">
        <f>IFERROR(Table17[[#This Row],[PROFIT]]/Table17[[#This Row],[TO]],0)</f>
        <v>0</v>
      </c>
      <c r="P2600" s="177"/>
      <c r="Q2600" s="177"/>
      <c r="R2600" s="177"/>
    </row>
    <row r="2601" spans="1:18" ht="30" hidden="1" x14ac:dyDescent="0.25">
      <c r="A2601" s="29" t="s">
        <v>909</v>
      </c>
      <c r="B2601" s="29" t="s">
        <v>908</v>
      </c>
      <c r="C2601" s="29" t="s">
        <v>11732</v>
      </c>
      <c r="D2601" s="29" t="str">
        <f>VLOOKUP(C:C,'COUNT-CONT'!B:C,2,FALSE)</f>
        <v>North America</v>
      </c>
      <c r="E2601" s="29">
        <v>4</v>
      </c>
      <c r="F2601" s="28">
        <v>1997</v>
      </c>
      <c r="G2601" s="28">
        <v>2838026239</v>
      </c>
      <c r="H2601" s="29">
        <v>5.59</v>
      </c>
      <c r="I2601" s="142">
        <v>-73.849999999999994</v>
      </c>
      <c r="J2601" s="29">
        <v>4.5599999999999996</v>
      </c>
      <c r="K2601" s="29">
        <v>4.5599999999999996</v>
      </c>
      <c r="L2601" s="29">
        <v>7.38</v>
      </c>
      <c r="M2601" s="368"/>
      <c r="N2601" s="368"/>
      <c r="O2601" s="271">
        <f>IFERROR(Table17[[#This Row],[PROFIT]]/Table17[[#This Row],[TO]],0)</f>
        <v>0</v>
      </c>
      <c r="P2601" s="177"/>
      <c r="Q2601" s="177"/>
      <c r="R2601" s="177"/>
    </row>
    <row r="2602" spans="1:18" ht="30" hidden="1" x14ac:dyDescent="0.25">
      <c r="A2602" s="29" t="s">
        <v>547</v>
      </c>
      <c r="B2602" s="29" t="s">
        <v>546</v>
      </c>
      <c r="C2602" s="29" t="s">
        <v>545</v>
      </c>
      <c r="D2602" s="29" t="str">
        <f>VLOOKUP(C:C,'COUNT-CONT'!B:C,2,FALSE)</f>
        <v>South America</v>
      </c>
      <c r="E2602" s="29">
        <v>2</v>
      </c>
      <c r="F2602" s="28">
        <v>1300</v>
      </c>
      <c r="G2602" s="28">
        <v>2514553846</v>
      </c>
      <c r="H2602" s="29">
        <v>5.59</v>
      </c>
      <c r="I2602" s="142">
        <v>-73.849999999999994</v>
      </c>
      <c r="J2602" s="29">
        <v>2.21</v>
      </c>
      <c r="K2602" s="29">
        <v>1.9</v>
      </c>
      <c r="L2602" s="29">
        <v>4.8099999999999996</v>
      </c>
      <c r="M2602" s="368"/>
      <c r="N2602" s="368"/>
      <c r="O2602" s="271">
        <f>IFERROR(Table17[[#This Row],[PROFIT]]/Table17[[#This Row],[TO]],0)</f>
        <v>0</v>
      </c>
      <c r="P2602" s="177"/>
      <c r="Q2602" s="177"/>
      <c r="R2602" s="177"/>
    </row>
    <row r="2603" spans="1:18" ht="30" hidden="1" x14ac:dyDescent="0.25">
      <c r="A2603" s="29" t="s">
        <v>549</v>
      </c>
      <c r="B2603" s="29" t="s">
        <v>548</v>
      </c>
      <c r="C2603" s="29" t="s">
        <v>545</v>
      </c>
      <c r="D2603" s="29" t="str">
        <f>VLOOKUP(C:C,'COUNT-CONT'!B:C,2,FALSE)</f>
        <v>South America</v>
      </c>
      <c r="E2603" s="29">
        <v>4</v>
      </c>
      <c r="F2603" s="28">
        <v>1830</v>
      </c>
      <c r="G2603" s="28">
        <v>2324092896</v>
      </c>
      <c r="H2603" s="29">
        <v>5.59</v>
      </c>
      <c r="I2603" s="142">
        <v>-73.849999999999994</v>
      </c>
      <c r="J2603" s="29">
        <v>2.21</v>
      </c>
      <c r="K2603" s="29">
        <v>1.93</v>
      </c>
      <c r="L2603" s="29">
        <v>4.84</v>
      </c>
      <c r="M2603" s="368"/>
      <c r="N2603" s="368"/>
      <c r="O2603" s="271">
        <f>IFERROR(Table17[[#This Row],[PROFIT]]/Table17[[#This Row],[TO]],0)</f>
        <v>0</v>
      </c>
      <c r="P2603" s="177"/>
      <c r="Q2603" s="177"/>
      <c r="R2603" s="177"/>
    </row>
    <row r="2604" spans="1:18" ht="30" x14ac:dyDescent="0.25">
      <c r="A2604" s="29" t="s">
        <v>529</v>
      </c>
      <c r="B2604" s="29" t="s">
        <v>528</v>
      </c>
      <c r="C2604" s="29" t="s">
        <v>523</v>
      </c>
      <c r="D2604" s="29" t="str">
        <f>VLOOKUP(C:C,'COUNT-CONT'!B:C,2,FALSE)</f>
        <v>Oceania</v>
      </c>
      <c r="E2604" s="29">
        <v>1</v>
      </c>
      <c r="F2604" s="28">
        <v>1100</v>
      </c>
      <c r="G2604" s="28">
        <v>2630400000</v>
      </c>
      <c r="H2604" s="29">
        <v>5.59</v>
      </c>
      <c r="I2604" s="142">
        <v>-73.849999999999994</v>
      </c>
      <c r="J2604" s="29">
        <v>1.84</v>
      </c>
      <c r="K2604" s="29">
        <v>1.42</v>
      </c>
      <c r="L2604" s="29">
        <v>4.4400000000000004</v>
      </c>
      <c r="M2604" s="368"/>
      <c r="N2604" s="368"/>
      <c r="O2604" s="271">
        <f>IFERROR(Table17[[#This Row],[PROFIT]]/Table17[[#This Row],[TO]],0)</f>
        <v>0</v>
      </c>
      <c r="P2604" s="177"/>
      <c r="Q2604" s="177"/>
      <c r="R2604" s="177"/>
    </row>
    <row r="2605" spans="1:18" ht="30" hidden="1" x14ac:dyDescent="0.25">
      <c r="A2605" s="29" t="s">
        <v>900</v>
      </c>
      <c r="B2605" s="29" t="s">
        <v>899</v>
      </c>
      <c r="C2605" s="29" t="s">
        <v>11732</v>
      </c>
      <c r="D2605" s="29" t="str">
        <f>VLOOKUP(C:C,'COUNT-CONT'!B:C,2,FALSE)</f>
        <v>North America</v>
      </c>
      <c r="E2605" s="29">
        <v>9</v>
      </c>
      <c r="F2605" s="28">
        <v>3202</v>
      </c>
      <c r="G2605" s="28">
        <v>2743135290</v>
      </c>
      <c r="H2605" s="29">
        <v>5.56</v>
      </c>
      <c r="I2605" s="142">
        <v>-73.88</v>
      </c>
      <c r="J2605" s="29">
        <v>4.53</v>
      </c>
      <c r="K2605" s="29">
        <v>4.53</v>
      </c>
      <c r="L2605" s="29">
        <v>7.32</v>
      </c>
      <c r="M2605" s="368"/>
      <c r="N2605" s="368"/>
      <c r="O2605" s="271">
        <f>IFERROR(Table17[[#This Row],[PROFIT]]/Table17[[#This Row],[TO]],0)</f>
        <v>0</v>
      </c>
      <c r="P2605" s="177"/>
      <c r="Q2605" s="177"/>
      <c r="R2605" s="177"/>
    </row>
    <row r="2606" spans="1:18" hidden="1" x14ac:dyDescent="0.25">
      <c r="A2606" s="29" t="s">
        <v>504</v>
      </c>
      <c r="B2606" s="29" t="s">
        <v>503</v>
      </c>
      <c r="C2606" s="29" t="s">
        <v>502</v>
      </c>
      <c r="D2606" s="29" t="str">
        <f>VLOOKUP(C:C,'COUNT-CONT'!B:C,2,FALSE)</f>
        <v>Asia</v>
      </c>
      <c r="E2606" s="29">
        <v>9</v>
      </c>
      <c r="F2606" s="28">
        <v>6115</v>
      </c>
      <c r="G2606" s="28">
        <v>2039285527</v>
      </c>
      <c r="H2606" s="29">
        <v>5.53</v>
      </c>
      <c r="I2606" s="142">
        <v>-73.91</v>
      </c>
      <c r="J2606" s="29">
        <v>1.54</v>
      </c>
      <c r="K2606" s="29">
        <v>1.1200000000000001</v>
      </c>
      <c r="L2606" s="29">
        <v>4.08</v>
      </c>
      <c r="M2606" s="368"/>
      <c r="N2606" s="368"/>
      <c r="O2606" s="271">
        <f>IFERROR(Table17[[#This Row],[PROFIT]]/Table17[[#This Row],[TO]],0)</f>
        <v>0</v>
      </c>
      <c r="P2606" s="177"/>
      <c r="Q2606" s="177"/>
      <c r="R2606" s="177"/>
    </row>
    <row r="2607" spans="1:18" ht="30" hidden="1" x14ac:dyDescent="0.25">
      <c r="A2607" s="29" t="s">
        <v>871</v>
      </c>
      <c r="B2607" s="29" t="s">
        <v>870</v>
      </c>
      <c r="C2607" s="29" t="s">
        <v>11732</v>
      </c>
      <c r="D2607" s="29" t="str">
        <f>VLOOKUP(C:C,'COUNT-CONT'!B:C,2,FALSE)</f>
        <v>North America</v>
      </c>
      <c r="E2607" s="29">
        <v>3</v>
      </c>
      <c r="F2607" s="28">
        <v>1678</v>
      </c>
      <c r="G2607" s="28">
        <v>2898042312</v>
      </c>
      <c r="H2607" s="29">
        <v>5.53</v>
      </c>
      <c r="I2607" s="142">
        <v>-73.91</v>
      </c>
      <c r="J2607" s="29">
        <v>4.5</v>
      </c>
      <c r="K2607" s="29">
        <v>4.5</v>
      </c>
      <c r="L2607" s="29">
        <v>7.29</v>
      </c>
      <c r="M2607" s="368"/>
      <c r="N2607" s="368"/>
      <c r="O2607" s="271">
        <f>IFERROR(Table17[[#This Row],[PROFIT]]/Table17[[#This Row],[TO]],0)</f>
        <v>0</v>
      </c>
      <c r="P2607" s="177"/>
      <c r="Q2607" s="177"/>
      <c r="R2607" s="177"/>
    </row>
    <row r="2608" spans="1:18" hidden="1" x14ac:dyDescent="0.25">
      <c r="A2608" s="29" t="s">
        <v>541</v>
      </c>
      <c r="B2608" s="29" t="s">
        <v>540</v>
      </c>
      <c r="C2608" s="29" t="s">
        <v>505</v>
      </c>
      <c r="D2608" s="29" t="e">
        <f>VLOOKUP(C:C,'COUNT-CONT'!B:C,2,FALSE)</f>
        <v>#N/A</v>
      </c>
      <c r="E2608" s="29">
        <v>6</v>
      </c>
      <c r="F2608" s="28">
        <v>2410</v>
      </c>
      <c r="G2608" s="28">
        <v>2219831535</v>
      </c>
      <c r="H2608" s="29">
        <v>5.53</v>
      </c>
      <c r="I2608" s="142">
        <v>-73.91</v>
      </c>
      <c r="J2608" s="29">
        <v>2.15</v>
      </c>
      <c r="K2608" s="29">
        <v>1.78</v>
      </c>
      <c r="L2608" s="29">
        <v>4.6900000000000004</v>
      </c>
      <c r="M2608" s="368"/>
      <c r="N2608" s="368"/>
      <c r="O2608" s="271">
        <f>IFERROR(Table17[[#This Row],[PROFIT]]/Table17[[#This Row],[TO]],0)</f>
        <v>0</v>
      </c>
      <c r="P2608" s="177"/>
      <c r="Q2608" s="177"/>
      <c r="R2608" s="177"/>
    </row>
    <row r="2609" spans="1:18" ht="30" x14ac:dyDescent="0.25">
      <c r="A2609" s="29" t="s">
        <v>525</v>
      </c>
      <c r="B2609" s="29" t="s">
        <v>524</v>
      </c>
      <c r="C2609" s="29" t="s">
        <v>523</v>
      </c>
      <c r="D2609" s="29" t="str">
        <f>VLOOKUP(C:C,'COUNT-CONT'!B:C,2,FALSE)</f>
        <v>Oceania</v>
      </c>
      <c r="E2609" s="29">
        <v>1</v>
      </c>
      <c r="F2609" s="28">
        <v>1000</v>
      </c>
      <c r="G2609" s="28">
        <v>2707600000</v>
      </c>
      <c r="H2609" s="29">
        <v>5.5</v>
      </c>
      <c r="I2609" s="142">
        <v>-73.94</v>
      </c>
      <c r="J2609" s="29">
        <v>1.81</v>
      </c>
      <c r="K2609" s="29">
        <v>1.39</v>
      </c>
      <c r="L2609" s="29">
        <v>4.3499999999999996</v>
      </c>
      <c r="M2609" s="368"/>
      <c r="N2609" s="368"/>
      <c r="O2609" s="271">
        <f>IFERROR(Table17[[#This Row],[PROFIT]]/Table17[[#This Row],[TO]],0)</f>
        <v>0</v>
      </c>
      <c r="P2609" s="177"/>
      <c r="Q2609" s="177"/>
      <c r="R2609" s="177"/>
    </row>
    <row r="2610" spans="1:18" hidden="1" x14ac:dyDescent="0.25">
      <c r="A2610" s="29" t="s">
        <v>539</v>
      </c>
      <c r="B2610" s="29" t="s">
        <v>538</v>
      </c>
      <c r="C2610" s="29" t="s">
        <v>505</v>
      </c>
      <c r="D2610" s="29" t="e">
        <f>VLOOKUP(C:C,'COUNT-CONT'!B:C,2,FALSE)</f>
        <v>#N/A</v>
      </c>
      <c r="E2610" s="29">
        <v>6</v>
      </c>
      <c r="F2610" s="28">
        <v>2410</v>
      </c>
      <c r="G2610" s="28">
        <v>2211831535</v>
      </c>
      <c r="H2610" s="29">
        <v>5.47</v>
      </c>
      <c r="I2610" s="142">
        <v>-73.97</v>
      </c>
      <c r="J2610" s="29">
        <v>2.12</v>
      </c>
      <c r="K2610" s="29">
        <v>1.75</v>
      </c>
      <c r="L2610" s="29">
        <v>4.63</v>
      </c>
      <c r="M2610" s="368"/>
      <c r="N2610" s="368"/>
      <c r="O2610" s="271">
        <f>IFERROR(Table17[[#This Row],[PROFIT]]/Table17[[#This Row],[TO]],0)</f>
        <v>0</v>
      </c>
      <c r="P2610" s="177"/>
      <c r="Q2610" s="177"/>
      <c r="R2610" s="177"/>
    </row>
    <row r="2611" spans="1:18" hidden="1" x14ac:dyDescent="0.25">
      <c r="A2611" s="29" t="s">
        <v>621</v>
      </c>
      <c r="B2611" s="29" t="s">
        <v>620</v>
      </c>
      <c r="C2611" s="29" t="s">
        <v>585</v>
      </c>
      <c r="D2611" s="29" t="str">
        <f>VLOOKUP(C:C,'COUNT-CONT'!B:C,2,FALSE)</f>
        <v>Europe</v>
      </c>
      <c r="E2611" s="29">
        <v>3</v>
      </c>
      <c r="F2611" s="28">
        <v>1509</v>
      </c>
      <c r="G2611" s="28">
        <v>2617659575</v>
      </c>
      <c r="H2611" s="29">
        <v>5.41</v>
      </c>
      <c r="I2611" s="142">
        <v>-74.03</v>
      </c>
      <c r="J2611" s="29">
        <v>2.96</v>
      </c>
      <c r="K2611" s="29">
        <v>2.75</v>
      </c>
      <c r="L2611" s="29">
        <v>5.53</v>
      </c>
      <c r="M2611" s="368"/>
      <c r="N2611" s="368"/>
      <c r="O2611" s="271">
        <f>IFERROR(Table17[[#This Row],[PROFIT]]/Table17[[#This Row],[TO]],0)</f>
        <v>0</v>
      </c>
      <c r="P2611" s="177"/>
      <c r="Q2611" s="177"/>
      <c r="R2611" s="177"/>
    </row>
    <row r="2612" spans="1:18" ht="30" hidden="1" x14ac:dyDescent="0.25">
      <c r="A2612" s="29" t="s">
        <v>695</v>
      </c>
      <c r="B2612" s="29" t="s">
        <v>694</v>
      </c>
      <c r="C2612" s="29" t="s">
        <v>514</v>
      </c>
      <c r="D2612" s="29" t="str">
        <f>VLOOKUP(C:C,'COUNT-CONT'!B:C,2,FALSE)</f>
        <v>North America</v>
      </c>
      <c r="E2612" s="29">
        <v>1</v>
      </c>
      <c r="F2612" s="28">
        <v>1219</v>
      </c>
      <c r="G2612" s="28">
        <v>2842078999</v>
      </c>
      <c r="H2612" s="29">
        <v>5.38</v>
      </c>
      <c r="I2612" s="142">
        <v>-74.06</v>
      </c>
      <c r="J2612" s="29">
        <v>3.54</v>
      </c>
      <c r="K2612" s="29">
        <v>3.42</v>
      </c>
      <c r="L2612" s="29">
        <v>6.14</v>
      </c>
      <c r="M2612" s="368"/>
      <c r="N2612" s="368"/>
      <c r="O2612" s="271">
        <f>IFERROR(Table17[[#This Row],[PROFIT]]/Table17[[#This Row],[TO]],0)</f>
        <v>0</v>
      </c>
      <c r="P2612" s="177"/>
      <c r="Q2612" s="177"/>
      <c r="R2612" s="177"/>
    </row>
    <row r="2613" spans="1:18" ht="30" hidden="1" x14ac:dyDescent="0.25">
      <c r="A2613" s="29" t="s">
        <v>697</v>
      </c>
      <c r="B2613" s="29" t="s">
        <v>696</v>
      </c>
      <c r="C2613" s="29" t="s">
        <v>514</v>
      </c>
      <c r="D2613" s="29" t="str">
        <f>VLOOKUP(C:C,'COUNT-CONT'!B:C,2,FALSE)</f>
        <v>North America</v>
      </c>
      <c r="E2613" s="29">
        <v>3</v>
      </c>
      <c r="F2613" s="28">
        <v>1524</v>
      </c>
      <c r="G2613" s="28">
        <v>2691984776</v>
      </c>
      <c r="H2613" s="29">
        <v>5.38</v>
      </c>
      <c r="I2613" s="142">
        <v>-74.06</v>
      </c>
      <c r="J2613" s="29">
        <v>3.54</v>
      </c>
      <c r="K2613" s="29">
        <v>3.42</v>
      </c>
      <c r="L2613" s="29">
        <v>6.14</v>
      </c>
      <c r="M2613" s="368"/>
      <c r="N2613" s="368"/>
      <c r="O2613" s="271">
        <f>IFERROR(Table17[[#This Row],[PROFIT]]/Table17[[#This Row],[TO]],0)</f>
        <v>0</v>
      </c>
      <c r="P2613" s="177"/>
      <c r="Q2613" s="177"/>
      <c r="R2613" s="177"/>
    </row>
    <row r="2614" spans="1:18" ht="30" hidden="1" x14ac:dyDescent="0.25">
      <c r="A2614" s="29" t="s">
        <v>699</v>
      </c>
      <c r="B2614" s="29" t="s">
        <v>698</v>
      </c>
      <c r="C2614" s="29" t="s">
        <v>514</v>
      </c>
      <c r="D2614" s="29" t="str">
        <f>VLOOKUP(C:C,'COUNT-CONT'!B:C,2,FALSE)</f>
        <v>North America</v>
      </c>
      <c r="E2614" s="29">
        <v>3</v>
      </c>
      <c r="F2614" s="28">
        <v>1524</v>
      </c>
      <c r="G2614" s="28">
        <v>2691984776</v>
      </c>
      <c r="H2614" s="29">
        <v>5.38</v>
      </c>
      <c r="I2614" s="142">
        <v>-74.06</v>
      </c>
      <c r="J2614" s="29">
        <v>3.54</v>
      </c>
      <c r="K2614" s="29">
        <v>3.42</v>
      </c>
      <c r="L2614" s="29">
        <v>6.14</v>
      </c>
      <c r="M2614" s="368"/>
      <c r="N2614" s="368"/>
      <c r="O2614" s="271">
        <f>IFERROR(Table17[[#This Row],[PROFIT]]/Table17[[#This Row],[TO]],0)</f>
        <v>0</v>
      </c>
      <c r="P2614" s="177"/>
      <c r="Q2614" s="177"/>
      <c r="R2614" s="177"/>
    </row>
    <row r="2615" spans="1:18" ht="30" hidden="1" x14ac:dyDescent="0.25">
      <c r="A2615" s="29" t="s">
        <v>689</v>
      </c>
      <c r="B2615" s="29" t="s">
        <v>688</v>
      </c>
      <c r="C2615" s="29" t="s">
        <v>514</v>
      </c>
      <c r="D2615" s="29" t="str">
        <f>VLOOKUP(C:C,'COUNT-CONT'!B:C,2,FALSE)</f>
        <v>North America</v>
      </c>
      <c r="E2615" s="29">
        <v>1</v>
      </c>
      <c r="F2615" s="28">
        <v>1067</v>
      </c>
      <c r="G2615" s="28">
        <v>2950627835</v>
      </c>
      <c r="H2615" s="29">
        <v>5.35</v>
      </c>
      <c r="I2615" s="142">
        <v>-74.09</v>
      </c>
      <c r="J2615" s="29">
        <v>3.54</v>
      </c>
      <c r="K2615" s="29">
        <v>3.42</v>
      </c>
      <c r="L2615" s="29">
        <v>6.11</v>
      </c>
      <c r="M2615" s="368"/>
      <c r="N2615" s="368"/>
      <c r="O2615" s="271">
        <f>IFERROR(Table17[[#This Row],[PROFIT]]/Table17[[#This Row],[TO]],0)</f>
        <v>0</v>
      </c>
      <c r="P2615" s="177"/>
      <c r="Q2615" s="177"/>
      <c r="R2615" s="177"/>
    </row>
    <row r="2616" spans="1:18" hidden="1" x14ac:dyDescent="0.25">
      <c r="A2616" s="29" t="s">
        <v>495</v>
      </c>
      <c r="B2616" s="29" t="s">
        <v>494</v>
      </c>
      <c r="C2616" s="29" t="s">
        <v>493</v>
      </c>
      <c r="D2616" s="29" t="str">
        <f>VLOOKUP(C:C,'COUNT-CONT'!B:C,2,FALSE)</f>
        <v>Africa</v>
      </c>
      <c r="E2616" s="29">
        <v>5</v>
      </c>
      <c r="F2616" s="28">
        <v>1000</v>
      </c>
      <c r="G2616" s="28">
        <v>2776200000</v>
      </c>
      <c r="H2616" s="29">
        <v>5.29</v>
      </c>
      <c r="I2616" s="142">
        <v>-74.149999999999991</v>
      </c>
      <c r="J2616" s="29">
        <v>1.69</v>
      </c>
      <c r="K2616" s="29">
        <v>1.21</v>
      </c>
      <c r="L2616" s="29">
        <v>4.08</v>
      </c>
      <c r="M2616" s="368"/>
      <c r="N2616" s="368"/>
      <c r="O2616" s="271">
        <f>IFERROR(Table17[[#This Row],[PROFIT]]/Table17[[#This Row],[TO]],0)</f>
        <v>0</v>
      </c>
      <c r="P2616" s="177"/>
      <c r="Q2616" s="177"/>
      <c r="R2616" s="177"/>
    </row>
    <row r="2617" spans="1:18" hidden="1" x14ac:dyDescent="0.25">
      <c r="A2617" s="29" t="s">
        <v>643</v>
      </c>
      <c r="B2617" s="29" t="s">
        <v>642</v>
      </c>
      <c r="C2617" s="29" t="s">
        <v>308</v>
      </c>
      <c r="D2617" s="29" t="str">
        <f>VLOOKUP(C:C,'COUNT-CONT'!B:C,2,FALSE)</f>
        <v>Europe</v>
      </c>
      <c r="E2617" s="29">
        <v>2</v>
      </c>
      <c r="F2617" s="28">
        <v>1393</v>
      </c>
      <c r="G2617" s="28">
        <v>2689162598</v>
      </c>
      <c r="H2617" s="29">
        <v>5.23</v>
      </c>
      <c r="I2617" s="142">
        <v>-74.209999999999994</v>
      </c>
      <c r="J2617" s="29">
        <v>3.17</v>
      </c>
      <c r="K2617" s="29">
        <v>3.08</v>
      </c>
      <c r="L2617" s="29">
        <v>5.71</v>
      </c>
      <c r="M2617" s="368"/>
      <c r="N2617" s="368"/>
      <c r="O2617" s="271">
        <f>IFERROR(Table17[[#This Row],[PROFIT]]/Table17[[#This Row],[TO]],0)</f>
        <v>0</v>
      </c>
      <c r="P2617" s="177"/>
      <c r="Q2617" s="177"/>
      <c r="R2617" s="177"/>
    </row>
    <row r="2618" spans="1:18" hidden="1" x14ac:dyDescent="0.25">
      <c r="A2618" s="29" t="s">
        <v>604</v>
      </c>
      <c r="B2618" s="29" t="s">
        <v>603</v>
      </c>
      <c r="C2618" s="29" t="s">
        <v>585</v>
      </c>
      <c r="D2618" s="29" t="str">
        <f>VLOOKUP(C:C,'COUNT-CONT'!B:C,2,FALSE)</f>
        <v>Europe</v>
      </c>
      <c r="E2618" s="29">
        <v>3</v>
      </c>
      <c r="F2618" s="28">
        <v>1591</v>
      </c>
      <c r="G2618" s="28">
        <v>2562689063</v>
      </c>
      <c r="H2618" s="29">
        <v>5.23</v>
      </c>
      <c r="I2618" s="142">
        <v>-74.209999999999994</v>
      </c>
      <c r="J2618" s="29">
        <v>2.87</v>
      </c>
      <c r="K2618" s="29">
        <v>2.66</v>
      </c>
      <c r="L2618" s="29">
        <v>5.35</v>
      </c>
      <c r="M2618" s="368"/>
      <c r="N2618" s="368"/>
      <c r="O2618" s="271">
        <f>IFERROR(Table17[[#This Row],[PROFIT]]/Table17[[#This Row],[TO]],0)</f>
        <v>0</v>
      </c>
      <c r="P2618" s="177"/>
      <c r="Q2618" s="177"/>
      <c r="R2618" s="177"/>
    </row>
    <row r="2619" spans="1:18" ht="30" hidden="1" x14ac:dyDescent="0.25">
      <c r="A2619" s="29" t="s">
        <v>811</v>
      </c>
      <c r="B2619" s="29" t="s">
        <v>810</v>
      </c>
      <c r="C2619" s="29" t="s">
        <v>11732</v>
      </c>
      <c r="D2619" s="29" t="str">
        <f>VLOOKUP(C:C,'COUNT-CONT'!B:C,2,FALSE)</f>
        <v>North America</v>
      </c>
      <c r="E2619" s="29">
        <v>8</v>
      </c>
      <c r="F2619" s="28">
        <v>2997</v>
      </c>
      <c r="G2619" s="28">
        <v>2685433700</v>
      </c>
      <c r="H2619" s="29">
        <v>5.2</v>
      </c>
      <c r="I2619" s="142">
        <v>-74.239999999999995</v>
      </c>
      <c r="J2619" s="29">
        <v>4.2300000000000004</v>
      </c>
      <c r="K2619" s="29">
        <v>4.2300000000000004</v>
      </c>
      <c r="L2619" s="29">
        <v>6.86</v>
      </c>
      <c r="M2619" s="368"/>
      <c r="N2619" s="368"/>
      <c r="O2619" s="271">
        <f>IFERROR(Table17[[#This Row],[PROFIT]]/Table17[[#This Row],[TO]],0)</f>
        <v>0</v>
      </c>
      <c r="P2619" s="177"/>
      <c r="Q2619" s="177"/>
      <c r="R2619" s="177"/>
    </row>
    <row r="2620" spans="1:18" hidden="1" x14ac:dyDescent="0.25">
      <c r="A2620" s="29" t="s">
        <v>587</v>
      </c>
      <c r="B2620" s="29" t="s">
        <v>586</v>
      </c>
      <c r="C2620" s="29" t="s">
        <v>585</v>
      </c>
      <c r="D2620" s="29" t="str">
        <f>VLOOKUP(C:C,'COUNT-CONT'!B:C,2,FALSE)</f>
        <v>Europe</v>
      </c>
      <c r="E2620" s="29">
        <v>6</v>
      </c>
      <c r="F2620" s="28">
        <v>2300</v>
      </c>
      <c r="G2620" s="28">
        <v>2402860869</v>
      </c>
      <c r="H2620" s="29">
        <v>5.1100000000000003</v>
      </c>
      <c r="I2620" s="142">
        <v>-74.33</v>
      </c>
      <c r="J2620" s="29">
        <v>2.81</v>
      </c>
      <c r="K2620" s="29">
        <v>2.6</v>
      </c>
      <c r="L2620" s="29">
        <v>5.2</v>
      </c>
      <c r="M2620" s="368"/>
      <c r="N2620" s="368"/>
      <c r="O2620" s="271">
        <f>IFERROR(Table17[[#This Row],[PROFIT]]/Table17[[#This Row],[TO]],0)</f>
        <v>0</v>
      </c>
      <c r="P2620" s="177"/>
      <c r="Q2620" s="177"/>
      <c r="R2620" s="177"/>
    </row>
    <row r="2621" spans="1:18" ht="30" hidden="1" x14ac:dyDescent="0.25">
      <c r="A2621" s="29" t="s">
        <v>780</v>
      </c>
      <c r="B2621" s="29" t="s">
        <v>779</v>
      </c>
      <c r="C2621" s="29" t="s">
        <v>11732</v>
      </c>
      <c r="D2621" s="29" t="str">
        <f>VLOOKUP(C:C,'COUNT-CONT'!B:C,2,FALSE)</f>
        <v>North America</v>
      </c>
      <c r="E2621" s="29">
        <v>6</v>
      </c>
      <c r="F2621" s="28">
        <v>2440</v>
      </c>
      <c r="G2621" s="28">
        <v>2691119672</v>
      </c>
      <c r="H2621" s="29">
        <v>5.08</v>
      </c>
      <c r="I2621" s="142">
        <v>-74.36</v>
      </c>
      <c r="J2621" s="29">
        <v>4.1399999999999997</v>
      </c>
      <c r="K2621" s="29">
        <v>4.1399999999999997</v>
      </c>
      <c r="L2621" s="29">
        <v>6.68</v>
      </c>
      <c r="M2621" s="368"/>
      <c r="N2621" s="368"/>
      <c r="O2621" s="271">
        <f>IFERROR(Table17[[#This Row],[PROFIT]]/Table17[[#This Row],[TO]],0)</f>
        <v>0</v>
      </c>
      <c r="P2621" s="177"/>
      <c r="Q2621" s="177"/>
      <c r="R2621" s="177"/>
    </row>
    <row r="2622" spans="1:18" ht="30" hidden="1" x14ac:dyDescent="0.25">
      <c r="A2622" s="29" t="s">
        <v>519</v>
      </c>
      <c r="B2622" s="29" t="s">
        <v>518</v>
      </c>
      <c r="C2622" s="29" t="s">
        <v>517</v>
      </c>
      <c r="D2622" s="29" t="str">
        <f>VLOOKUP(C:C,'COUNT-CONT'!B:C,2,FALSE)</f>
        <v>South America</v>
      </c>
      <c r="E2622" s="29">
        <v>2</v>
      </c>
      <c r="F2622" s="28">
        <v>1496</v>
      </c>
      <c r="G2622" s="28">
        <v>2357694117</v>
      </c>
      <c r="H2622" s="29">
        <v>5.08</v>
      </c>
      <c r="I2622" s="142">
        <v>-74.36</v>
      </c>
      <c r="J2622" s="29">
        <v>1.96</v>
      </c>
      <c r="K2622" s="29">
        <v>1.63</v>
      </c>
      <c r="L2622" s="29">
        <v>4.32</v>
      </c>
      <c r="M2622" s="368"/>
      <c r="N2622" s="368"/>
      <c r="O2622" s="271">
        <f>IFERROR(Table17[[#This Row],[PROFIT]]/Table17[[#This Row],[TO]],0)</f>
        <v>0</v>
      </c>
      <c r="P2622" s="177"/>
      <c r="Q2622" s="177"/>
      <c r="R2622" s="177"/>
    </row>
    <row r="2623" spans="1:18" ht="30" hidden="1" x14ac:dyDescent="0.25">
      <c r="A2623" s="29" t="s">
        <v>655</v>
      </c>
      <c r="B2623" s="29" t="s">
        <v>654</v>
      </c>
      <c r="C2623" s="29" t="s">
        <v>514</v>
      </c>
      <c r="D2623" s="29" t="str">
        <f>VLOOKUP(C:C,'COUNT-CONT'!B:C,2,FALSE)</f>
        <v>North America</v>
      </c>
      <c r="E2623" s="29">
        <v>4</v>
      </c>
      <c r="F2623" s="28">
        <v>1829</v>
      </c>
      <c r="G2623" s="28">
        <v>2552521541</v>
      </c>
      <c r="H2623" s="29">
        <v>5.08</v>
      </c>
      <c r="I2623" s="142">
        <v>-74.36</v>
      </c>
      <c r="J2623" s="29">
        <v>3.33</v>
      </c>
      <c r="K2623" s="29">
        <v>3.2</v>
      </c>
      <c r="L2623" s="29">
        <v>5.77</v>
      </c>
      <c r="M2623" s="368"/>
      <c r="N2623" s="368"/>
      <c r="O2623" s="271">
        <f>IFERROR(Table17[[#This Row],[PROFIT]]/Table17[[#This Row],[TO]],0)</f>
        <v>0</v>
      </c>
      <c r="P2623" s="177"/>
      <c r="Q2623" s="177"/>
      <c r="R2623" s="177"/>
    </row>
    <row r="2624" spans="1:18" hidden="1" x14ac:dyDescent="0.25">
      <c r="A2624" s="29" t="s">
        <v>507</v>
      </c>
      <c r="B2624" s="29" t="s">
        <v>506</v>
      </c>
      <c r="C2624" s="29" t="s">
        <v>505</v>
      </c>
      <c r="D2624" s="29" t="e">
        <f>VLOOKUP(C:C,'COUNT-CONT'!B:C,2,FALSE)</f>
        <v>#N/A</v>
      </c>
      <c r="E2624" s="29">
        <v>5</v>
      </c>
      <c r="F2624" s="28">
        <v>2250</v>
      </c>
      <c r="G2624" s="28">
        <v>2177088888</v>
      </c>
      <c r="H2624" s="29">
        <v>5.0199999999999996</v>
      </c>
      <c r="I2624" s="142">
        <v>-74.42</v>
      </c>
      <c r="J2624" s="29">
        <v>1.93</v>
      </c>
      <c r="K2624" s="29">
        <v>1.6</v>
      </c>
      <c r="L2624" s="29">
        <v>4.26</v>
      </c>
      <c r="M2624" s="368"/>
      <c r="N2624" s="368"/>
      <c r="O2624" s="271">
        <f>IFERROR(Table17[[#This Row],[PROFIT]]/Table17[[#This Row],[TO]],0)</f>
        <v>0</v>
      </c>
      <c r="P2624" s="177"/>
      <c r="Q2624" s="177"/>
      <c r="R2624" s="177"/>
    </row>
    <row r="2625" spans="1:18" ht="30" hidden="1" x14ac:dyDescent="0.25">
      <c r="A2625" s="29" t="s">
        <v>634</v>
      </c>
      <c r="B2625" s="29" t="s">
        <v>633</v>
      </c>
      <c r="C2625" s="29" t="s">
        <v>514</v>
      </c>
      <c r="D2625" s="29" t="str">
        <f>VLOOKUP(C:C,'COUNT-CONT'!B:C,2,FALSE)</f>
        <v>North America</v>
      </c>
      <c r="E2625" s="29">
        <v>1</v>
      </c>
      <c r="F2625" s="28">
        <v>1198</v>
      </c>
      <c r="G2625" s="28">
        <v>2799796994</v>
      </c>
      <c r="H2625" s="29">
        <v>5.0199999999999996</v>
      </c>
      <c r="I2625" s="142">
        <v>-74.42</v>
      </c>
      <c r="J2625" s="29">
        <v>3.3</v>
      </c>
      <c r="K2625" s="29">
        <v>3.17</v>
      </c>
      <c r="L2625" s="29">
        <v>5.71</v>
      </c>
      <c r="M2625" s="368"/>
      <c r="N2625" s="368"/>
      <c r="O2625" s="271">
        <f>IFERROR(Table17[[#This Row],[PROFIT]]/Table17[[#This Row],[TO]],0)</f>
        <v>0</v>
      </c>
      <c r="P2625" s="177"/>
      <c r="Q2625" s="177"/>
      <c r="R2625" s="177"/>
    </row>
    <row r="2626" spans="1:18" ht="30" hidden="1" x14ac:dyDescent="0.25">
      <c r="A2626" s="29" t="s">
        <v>636</v>
      </c>
      <c r="B2626" s="29" t="s">
        <v>635</v>
      </c>
      <c r="C2626" s="29" t="s">
        <v>514</v>
      </c>
      <c r="D2626" s="29" t="str">
        <f>VLOOKUP(C:C,'COUNT-CONT'!B:C,2,FALSE)</f>
        <v>North America</v>
      </c>
      <c r="E2626" s="29">
        <v>1</v>
      </c>
      <c r="F2626" s="28">
        <v>1200</v>
      </c>
      <c r="G2626" s="28">
        <v>2798466666</v>
      </c>
      <c r="H2626" s="29">
        <v>5.0199999999999996</v>
      </c>
      <c r="I2626" s="142">
        <v>-74.42</v>
      </c>
      <c r="J2626" s="29">
        <v>3.3</v>
      </c>
      <c r="K2626" s="29">
        <v>3.17</v>
      </c>
      <c r="L2626" s="29">
        <v>5.71</v>
      </c>
      <c r="M2626" s="368"/>
      <c r="N2626" s="368"/>
      <c r="O2626" s="271">
        <f>IFERROR(Table17[[#This Row],[PROFIT]]/Table17[[#This Row],[TO]],0)</f>
        <v>0</v>
      </c>
      <c r="P2626" s="177"/>
      <c r="Q2626" s="177"/>
      <c r="R2626" s="177"/>
    </row>
    <row r="2627" spans="1:18" ht="30" hidden="1" x14ac:dyDescent="0.25">
      <c r="A2627" s="29" t="s">
        <v>641</v>
      </c>
      <c r="B2627" s="29" t="s">
        <v>640</v>
      </c>
      <c r="C2627" s="29" t="s">
        <v>514</v>
      </c>
      <c r="D2627" s="29" t="str">
        <f>VLOOKUP(C:C,'COUNT-CONT'!B:C,2,FALSE)</f>
        <v>North America</v>
      </c>
      <c r="E2627" s="29">
        <v>1</v>
      </c>
      <c r="F2627" s="28">
        <v>1219</v>
      </c>
      <c r="G2627" s="28">
        <v>2786078999</v>
      </c>
      <c r="H2627" s="29">
        <v>5.0199999999999996</v>
      </c>
      <c r="I2627" s="142">
        <v>-74.42</v>
      </c>
      <c r="J2627" s="29">
        <v>3.3</v>
      </c>
      <c r="K2627" s="29">
        <v>3.17</v>
      </c>
      <c r="L2627" s="29">
        <v>5.71</v>
      </c>
      <c r="M2627" s="368"/>
      <c r="N2627" s="368"/>
      <c r="O2627" s="271">
        <f>IFERROR(Table17[[#This Row],[PROFIT]]/Table17[[#This Row],[TO]],0)</f>
        <v>0</v>
      </c>
      <c r="P2627" s="177"/>
      <c r="Q2627" s="177"/>
      <c r="R2627" s="177"/>
    </row>
    <row r="2628" spans="1:18" hidden="1" x14ac:dyDescent="0.25">
      <c r="A2628" s="29" t="s">
        <v>599</v>
      </c>
      <c r="B2628" s="29" t="s">
        <v>598</v>
      </c>
      <c r="C2628" s="29" t="s">
        <v>597</v>
      </c>
      <c r="D2628" s="29" t="str">
        <f>VLOOKUP(C:C,'COUNT-CONT'!B:C,2,FALSE)</f>
        <v>Europe</v>
      </c>
      <c r="E2628" s="29">
        <v>4</v>
      </c>
      <c r="F2628" s="28">
        <v>1822</v>
      </c>
      <c r="G2628" s="28">
        <v>2475132162</v>
      </c>
      <c r="H2628" s="29">
        <v>4.96</v>
      </c>
      <c r="I2628" s="142">
        <v>-74.48</v>
      </c>
      <c r="J2628" s="29">
        <v>2.96</v>
      </c>
      <c r="K2628" s="29">
        <v>2.75</v>
      </c>
      <c r="L2628" s="29">
        <v>5.29</v>
      </c>
      <c r="M2628" s="368"/>
      <c r="N2628" s="368"/>
      <c r="O2628" s="271">
        <f>IFERROR(Table17[[#This Row],[PROFIT]]/Table17[[#This Row],[TO]],0)</f>
        <v>0</v>
      </c>
      <c r="P2628" s="177"/>
      <c r="Q2628" s="177"/>
      <c r="R2628" s="177"/>
    </row>
    <row r="2629" spans="1:18" hidden="1" x14ac:dyDescent="0.25">
      <c r="A2629" s="29" t="s">
        <v>749</v>
      </c>
      <c r="B2629" s="29" t="s">
        <v>748</v>
      </c>
      <c r="C2629" s="29" t="s">
        <v>560</v>
      </c>
      <c r="D2629" s="29" t="str">
        <f>VLOOKUP(C:C,'COUNT-CONT'!B:C,2,FALSE)</f>
        <v>Europe</v>
      </c>
      <c r="E2629" s="29">
        <v>3</v>
      </c>
      <c r="F2629" s="28">
        <v>1751</v>
      </c>
      <c r="G2629" s="28">
        <v>2774012450</v>
      </c>
      <c r="H2629" s="29">
        <v>4.93</v>
      </c>
      <c r="I2629" s="142">
        <v>-74.509999999999991</v>
      </c>
      <c r="J2629" s="29">
        <v>4.0199999999999996</v>
      </c>
      <c r="K2629" s="29">
        <v>4.0199999999999996</v>
      </c>
      <c r="L2629" s="29">
        <v>6.5</v>
      </c>
      <c r="M2629" s="368"/>
      <c r="N2629" s="368"/>
      <c r="O2629" s="271">
        <f>IFERROR(Table17[[#This Row],[PROFIT]]/Table17[[#This Row],[TO]],0)</f>
        <v>0</v>
      </c>
      <c r="P2629" s="177"/>
      <c r="Q2629" s="177"/>
      <c r="R2629" s="177"/>
    </row>
    <row r="2630" spans="1:18" ht="30" hidden="1" x14ac:dyDescent="0.25">
      <c r="A2630" s="29" t="s">
        <v>532</v>
      </c>
      <c r="B2630" s="29" t="s">
        <v>531</v>
      </c>
      <c r="C2630" s="29" t="s">
        <v>530</v>
      </c>
      <c r="D2630" s="29" t="str">
        <f>VLOOKUP(C:C,'COUNT-CONT'!B:C,2,FALSE)</f>
        <v>South America</v>
      </c>
      <c r="E2630" s="29">
        <v>2</v>
      </c>
      <c r="F2630" s="28">
        <v>1292</v>
      </c>
      <c r="G2630" s="28">
        <v>2470993188</v>
      </c>
      <c r="H2630" s="29">
        <v>4.9000000000000004</v>
      </c>
      <c r="I2630" s="142">
        <v>-74.539999999999992</v>
      </c>
      <c r="J2630" s="29">
        <v>2.12</v>
      </c>
      <c r="K2630" s="29">
        <v>1.84</v>
      </c>
      <c r="L2630" s="29">
        <v>4.4400000000000004</v>
      </c>
      <c r="M2630" s="368"/>
      <c r="N2630" s="368"/>
      <c r="O2630" s="271">
        <f>IFERROR(Table17[[#This Row],[PROFIT]]/Table17[[#This Row],[TO]],0)</f>
        <v>0</v>
      </c>
      <c r="P2630" s="177"/>
      <c r="Q2630" s="177"/>
      <c r="R2630" s="177"/>
    </row>
    <row r="2631" spans="1:18" ht="30" hidden="1" x14ac:dyDescent="0.25">
      <c r="A2631" s="29" t="s">
        <v>625</v>
      </c>
      <c r="B2631" s="29" t="s">
        <v>624</v>
      </c>
      <c r="C2631" s="29" t="s">
        <v>514</v>
      </c>
      <c r="D2631" s="29" t="str">
        <f>VLOOKUP(C:C,'COUNT-CONT'!B:C,2,FALSE)</f>
        <v>North America</v>
      </c>
      <c r="E2631" s="29">
        <v>1</v>
      </c>
      <c r="F2631" s="28">
        <v>1067</v>
      </c>
      <c r="G2631" s="28">
        <v>2878627835</v>
      </c>
      <c r="H2631" s="29">
        <v>4.87</v>
      </c>
      <c r="I2631" s="142">
        <v>-74.569999999999993</v>
      </c>
      <c r="J2631" s="29">
        <v>3.2</v>
      </c>
      <c r="K2631" s="29">
        <v>3.11</v>
      </c>
      <c r="L2631" s="29">
        <v>5.56</v>
      </c>
      <c r="M2631" s="368"/>
      <c r="N2631" s="368"/>
      <c r="O2631" s="271">
        <f>IFERROR(Table17[[#This Row],[PROFIT]]/Table17[[#This Row],[TO]],0)</f>
        <v>0</v>
      </c>
      <c r="P2631" s="177"/>
      <c r="Q2631" s="177"/>
      <c r="R2631" s="177"/>
    </row>
    <row r="2632" spans="1:18" ht="30" hidden="1" x14ac:dyDescent="0.25">
      <c r="A2632" s="29" t="s">
        <v>596</v>
      </c>
      <c r="B2632" s="29" t="s">
        <v>595</v>
      </c>
      <c r="C2632" s="29" t="s">
        <v>83</v>
      </c>
      <c r="D2632" s="29" t="str">
        <f>VLOOKUP(C:C,'COUNT-CONT'!B:C,2,FALSE)</f>
        <v>Europe</v>
      </c>
      <c r="E2632" s="29">
        <v>3</v>
      </c>
      <c r="F2632" s="28">
        <v>1505</v>
      </c>
      <c r="G2632" s="28">
        <v>2562597009</v>
      </c>
      <c r="H2632" s="29">
        <v>4.8099999999999996</v>
      </c>
      <c r="I2632" s="142">
        <v>-74.63</v>
      </c>
      <c r="J2632" s="29">
        <v>2.9</v>
      </c>
      <c r="K2632" s="29">
        <v>2.69</v>
      </c>
      <c r="L2632" s="29">
        <v>5.23</v>
      </c>
      <c r="M2632" s="368"/>
      <c r="N2632" s="368"/>
      <c r="O2632" s="271">
        <f>IFERROR(Table17[[#This Row],[PROFIT]]/Table17[[#This Row],[TO]],0)</f>
        <v>0</v>
      </c>
      <c r="P2632" s="177"/>
      <c r="Q2632" s="177"/>
      <c r="R2632" s="177"/>
    </row>
    <row r="2633" spans="1:18" hidden="1" x14ac:dyDescent="0.25">
      <c r="A2633" s="29" t="s">
        <v>708</v>
      </c>
      <c r="B2633" s="29" t="s">
        <v>707</v>
      </c>
      <c r="C2633" s="29" t="s">
        <v>560</v>
      </c>
      <c r="D2633" s="29" t="str">
        <f>VLOOKUP(C:C,'COUNT-CONT'!B:C,2,FALSE)</f>
        <v>Europe</v>
      </c>
      <c r="E2633" s="29">
        <v>4</v>
      </c>
      <c r="F2633" s="28">
        <v>1800</v>
      </c>
      <c r="G2633" s="28">
        <v>2720311111</v>
      </c>
      <c r="H2633" s="29">
        <v>4.6900000000000004</v>
      </c>
      <c r="I2633" s="142">
        <v>-74.75</v>
      </c>
      <c r="J2633" s="29">
        <v>3.84</v>
      </c>
      <c r="K2633" s="29">
        <v>3.84</v>
      </c>
      <c r="L2633" s="29">
        <v>6.2</v>
      </c>
      <c r="M2633" s="368"/>
      <c r="N2633" s="368"/>
      <c r="O2633" s="271">
        <f>IFERROR(Table17[[#This Row],[PROFIT]]/Table17[[#This Row],[TO]],0)</f>
        <v>0</v>
      </c>
      <c r="P2633" s="177"/>
      <c r="Q2633" s="177"/>
      <c r="R2633" s="177"/>
    </row>
    <row r="2634" spans="1:18" ht="30" hidden="1" x14ac:dyDescent="0.25">
      <c r="A2634" s="29" t="s">
        <v>594</v>
      </c>
      <c r="B2634" s="29" t="s">
        <v>593</v>
      </c>
      <c r="C2634" s="29" t="s">
        <v>514</v>
      </c>
      <c r="D2634" s="29" t="str">
        <f>VLOOKUP(C:C,'COUNT-CONT'!B:C,2,FALSE)</f>
        <v>North America</v>
      </c>
      <c r="E2634" s="29">
        <v>2</v>
      </c>
      <c r="F2634" s="28">
        <v>1290</v>
      </c>
      <c r="G2634" s="28">
        <v>2679513178</v>
      </c>
      <c r="H2634" s="29">
        <v>4.59</v>
      </c>
      <c r="I2634" s="142">
        <v>-74.849999999999994</v>
      </c>
      <c r="J2634" s="29">
        <v>3.02</v>
      </c>
      <c r="K2634" s="29">
        <v>2.9</v>
      </c>
      <c r="L2634" s="29">
        <v>5.23</v>
      </c>
      <c r="M2634" s="368"/>
      <c r="N2634" s="368"/>
      <c r="O2634" s="271">
        <f>IFERROR(Table17[[#This Row],[PROFIT]]/Table17[[#This Row],[TO]],0)</f>
        <v>0</v>
      </c>
      <c r="P2634" s="177"/>
      <c r="Q2634" s="177"/>
      <c r="R2634" s="177"/>
    </row>
    <row r="2635" spans="1:18" ht="30" hidden="1" x14ac:dyDescent="0.25">
      <c r="A2635" s="29" t="s">
        <v>678</v>
      </c>
      <c r="B2635" s="29" t="s">
        <v>677</v>
      </c>
      <c r="C2635" s="29" t="s">
        <v>560</v>
      </c>
      <c r="D2635" s="29" t="str">
        <f>VLOOKUP(C:C,'COUNT-CONT'!B:C,2,FALSE)</f>
        <v>Europe</v>
      </c>
      <c r="E2635" s="29">
        <v>1</v>
      </c>
      <c r="F2635" s="28">
        <v>1180</v>
      </c>
      <c r="G2635" s="28">
        <v>2955403389</v>
      </c>
      <c r="H2635" s="29">
        <v>4.5599999999999996</v>
      </c>
      <c r="I2635" s="142">
        <v>-74.88</v>
      </c>
      <c r="J2635" s="29">
        <v>3.72</v>
      </c>
      <c r="K2635" s="29">
        <v>3.72</v>
      </c>
      <c r="L2635" s="29">
        <v>6.02</v>
      </c>
      <c r="M2635" s="368"/>
      <c r="N2635" s="368"/>
      <c r="O2635" s="271">
        <f>IFERROR(Table17[[#This Row],[PROFIT]]/Table17[[#This Row],[TO]],0)</f>
        <v>0</v>
      </c>
      <c r="P2635" s="177"/>
      <c r="Q2635" s="177"/>
      <c r="R2635" s="177"/>
    </row>
    <row r="2636" spans="1:18" ht="30" hidden="1" x14ac:dyDescent="0.25">
      <c r="A2636" s="29" t="s">
        <v>564</v>
      </c>
      <c r="B2636" s="29" t="s">
        <v>563</v>
      </c>
      <c r="C2636" s="29" t="s">
        <v>83</v>
      </c>
      <c r="D2636" s="29" t="str">
        <f>VLOOKUP(C:C,'COUNT-CONT'!B:C,2,FALSE)</f>
        <v>Europe</v>
      </c>
      <c r="E2636" s="29">
        <v>4</v>
      </c>
      <c r="F2636" s="28">
        <v>1965</v>
      </c>
      <c r="G2636" s="28">
        <v>2400696437</v>
      </c>
      <c r="H2636" s="29">
        <v>4.53</v>
      </c>
      <c r="I2636" s="142">
        <v>-74.91</v>
      </c>
      <c r="J2636" s="29">
        <v>2.75</v>
      </c>
      <c r="K2636" s="29">
        <v>2.57</v>
      </c>
      <c r="L2636" s="29">
        <v>4.93</v>
      </c>
      <c r="M2636" s="368"/>
      <c r="N2636" s="368"/>
      <c r="O2636" s="271">
        <f>IFERROR(Table17[[#This Row],[PROFIT]]/Table17[[#This Row],[TO]],0)</f>
        <v>0</v>
      </c>
      <c r="P2636" s="177"/>
      <c r="Q2636" s="177"/>
      <c r="R2636" s="177"/>
    </row>
    <row r="2637" spans="1:18" ht="30" hidden="1" x14ac:dyDescent="0.25">
      <c r="A2637" s="29" t="s">
        <v>573</v>
      </c>
      <c r="B2637" s="29" t="s">
        <v>572</v>
      </c>
      <c r="C2637" s="29" t="s">
        <v>514</v>
      </c>
      <c r="D2637" s="29" t="str">
        <f>VLOOKUP(C:C,'COUNT-CONT'!B:C,2,FALSE)</f>
        <v>North America</v>
      </c>
      <c r="E2637" s="29">
        <v>1</v>
      </c>
      <c r="F2637" s="28">
        <v>1198</v>
      </c>
      <c r="G2637" s="28">
        <v>2726196994</v>
      </c>
      <c r="H2637" s="29">
        <v>4.53</v>
      </c>
      <c r="I2637" s="142">
        <v>-74.91</v>
      </c>
      <c r="J2637" s="29">
        <v>2.99</v>
      </c>
      <c r="K2637" s="29">
        <v>2.87</v>
      </c>
      <c r="L2637" s="29">
        <v>5.17</v>
      </c>
      <c r="M2637" s="368"/>
      <c r="N2637" s="368"/>
      <c r="O2637" s="271">
        <f>IFERROR(Table17[[#This Row],[PROFIT]]/Table17[[#This Row],[TO]],0)</f>
        <v>0</v>
      </c>
      <c r="P2637" s="177"/>
      <c r="Q2637" s="177"/>
      <c r="R2637" s="177"/>
    </row>
    <row r="2638" spans="1:18" ht="30" hidden="1" x14ac:dyDescent="0.25">
      <c r="A2638" s="29" t="s">
        <v>577</v>
      </c>
      <c r="B2638" s="29" t="s">
        <v>576</v>
      </c>
      <c r="C2638" s="29" t="s">
        <v>514</v>
      </c>
      <c r="D2638" s="29" t="str">
        <f>VLOOKUP(C:C,'COUNT-CONT'!B:C,2,FALSE)</f>
        <v>North America</v>
      </c>
      <c r="E2638" s="29">
        <v>4</v>
      </c>
      <c r="F2638" s="28">
        <v>1768</v>
      </c>
      <c r="G2638" s="28">
        <v>2487171945</v>
      </c>
      <c r="H2638" s="29">
        <v>4.53</v>
      </c>
      <c r="I2638" s="142">
        <v>-74.91</v>
      </c>
      <c r="J2638" s="29">
        <v>2.99</v>
      </c>
      <c r="K2638" s="29">
        <v>2.87</v>
      </c>
      <c r="L2638" s="29">
        <v>5.17</v>
      </c>
      <c r="M2638" s="368"/>
      <c r="N2638" s="368"/>
      <c r="O2638" s="271">
        <f>IFERROR(Table17[[#This Row],[PROFIT]]/Table17[[#This Row],[TO]],0)</f>
        <v>0</v>
      </c>
      <c r="P2638" s="177"/>
      <c r="Q2638" s="177"/>
      <c r="R2638" s="177"/>
    </row>
    <row r="2639" spans="1:18" hidden="1" x14ac:dyDescent="0.25">
      <c r="A2639" s="29" t="s">
        <v>510</v>
      </c>
      <c r="B2639" s="29" t="s">
        <v>509</v>
      </c>
      <c r="C2639" s="29" t="s">
        <v>508</v>
      </c>
      <c r="D2639" s="29" t="str">
        <f>VLOOKUP(C:C,'COUNT-CONT'!B:C,2,FALSE)</f>
        <v>Europe</v>
      </c>
      <c r="E2639" s="29">
        <v>10</v>
      </c>
      <c r="F2639" s="28">
        <v>3500</v>
      </c>
      <c r="G2639" s="28">
        <v>2127485714</v>
      </c>
      <c r="H2639" s="29">
        <v>4.5</v>
      </c>
      <c r="I2639" s="142">
        <v>-74.94</v>
      </c>
      <c r="J2639" s="29">
        <v>2.12</v>
      </c>
      <c r="K2639" s="29">
        <v>1.87</v>
      </c>
      <c r="L2639" s="29">
        <v>4.26</v>
      </c>
      <c r="M2639" s="368"/>
      <c r="N2639" s="368"/>
      <c r="O2639" s="271">
        <f>IFERROR(Table17[[#This Row],[PROFIT]]/Table17[[#This Row],[TO]],0)</f>
        <v>0</v>
      </c>
      <c r="P2639" s="177"/>
      <c r="Q2639" s="177"/>
      <c r="R2639" s="177"/>
    </row>
    <row r="2640" spans="1:18" hidden="1" x14ac:dyDescent="0.25">
      <c r="A2640" s="29" t="s">
        <v>522</v>
      </c>
      <c r="B2640" s="29" t="s">
        <v>521</v>
      </c>
      <c r="C2640" s="29" t="s">
        <v>520</v>
      </c>
      <c r="D2640" s="29" t="str">
        <f>VLOOKUP(C:C,'COUNT-CONT'!B:C,2,FALSE)</f>
        <v>Europe</v>
      </c>
      <c r="E2640" s="29">
        <v>4</v>
      </c>
      <c r="F2640" s="28">
        <v>1800</v>
      </c>
      <c r="G2640" s="28">
        <v>2278911111</v>
      </c>
      <c r="H2640" s="29">
        <v>4.47</v>
      </c>
      <c r="I2640" s="142">
        <v>-74.97</v>
      </c>
      <c r="J2640" s="29">
        <v>2.2400000000000002</v>
      </c>
      <c r="K2640" s="29">
        <v>1.96</v>
      </c>
      <c r="L2640" s="29">
        <v>4.32</v>
      </c>
      <c r="M2640" s="368"/>
      <c r="N2640" s="368"/>
      <c r="O2640" s="271">
        <f>IFERROR(Table17[[#This Row],[PROFIT]]/Table17[[#This Row],[TO]],0)</f>
        <v>0</v>
      </c>
      <c r="P2640" s="177"/>
      <c r="Q2640" s="177"/>
      <c r="R2640" s="177"/>
    </row>
    <row r="2641" spans="1:18" hidden="1" x14ac:dyDescent="0.25">
      <c r="A2641" s="29" t="s">
        <v>666</v>
      </c>
      <c r="B2641" s="29" t="s">
        <v>665</v>
      </c>
      <c r="C2641" s="29" t="s">
        <v>560</v>
      </c>
      <c r="D2641" s="29" t="str">
        <f>VLOOKUP(C:C,'COUNT-CONT'!B:C,2,FALSE)</f>
        <v>Europe</v>
      </c>
      <c r="E2641" s="29">
        <v>3</v>
      </c>
      <c r="F2641" s="28">
        <v>1700</v>
      </c>
      <c r="G2641" s="28">
        <v>2706258823</v>
      </c>
      <c r="H2641" s="29">
        <v>4.47</v>
      </c>
      <c r="I2641" s="142">
        <v>-74.97</v>
      </c>
      <c r="J2641" s="29">
        <v>3.63</v>
      </c>
      <c r="K2641" s="29">
        <v>3.63</v>
      </c>
      <c r="L2641" s="29">
        <v>5.89</v>
      </c>
      <c r="M2641" s="368"/>
      <c r="N2641" s="368"/>
      <c r="O2641" s="271">
        <f>IFERROR(Table17[[#This Row],[PROFIT]]/Table17[[#This Row],[TO]],0)</f>
        <v>0</v>
      </c>
      <c r="P2641" s="177"/>
      <c r="Q2641" s="177"/>
      <c r="R2641" s="177"/>
    </row>
    <row r="2642" spans="1:18" ht="30" hidden="1" x14ac:dyDescent="0.25">
      <c r="A2642" s="29" t="s">
        <v>571</v>
      </c>
      <c r="B2642" s="29" t="s">
        <v>570</v>
      </c>
      <c r="C2642" s="29" t="s">
        <v>514</v>
      </c>
      <c r="D2642" s="29" t="str">
        <f>VLOOKUP(C:C,'COUNT-CONT'!B:C,2,FALSE)</f>
        <v>North America</v>
      </c>
      <c r="E2642" s="29">
        <v>3</v>
      </c>
      <c r="F2642" s="28">
        <v>1524</v>
      </c>
      <c r="G2642" s="28">
        <v>2554384776</v>
      </c>
      <c r="H2642" s="29">
        <v>4.47</v>
      </c>
      <c r="I2642" s="142">
        <v>-74.97</v>
      </c>
      <c r="J2642" s="29">
        <v>2.96</v>
      </c>
      <c r="K2642" s="29">
        <v>2.84</v>
      </c>
      <c r="L2642" s="29">
        <v>5.1100000000000003</v>
      </c>
      <c r="M2642" s="368"/>
      <c r="N2642" s="368"/>
      <c r="O2642" s="271">
        <f>IFERROR(Table17[[#This Row],[PROFIT]]/Table17[[#This Row],[TO]],0)</f>
        <v>0</v>
      </c>
      <c r="P2642" s="177"/>
      <c r="Q2642" s="177"/>
      <c r="R2642" s="177"/>
    </row>
    <row r="2643" spans="1:18" ht="30" hidden="1" x14ac:dyDescent="0.25">
      <c r="A2643" s="29" t="s">
        <v>649</v>
      </c>
      <c r="B2643" s="29" t="s">
        <v>648</v>
      </c>
      <c r="C2643" s="29" t="s">
        <v>11732</v>
      </c>
      <c r="D2643" s="29" t="str">
        <f>VLOOKUP(C:C,'COUNT-CONT'!B:C,2,FALSE)</f>
        <v>North America</v>
      </c>
      <c r="E2643" s="29">
        <v>6</v>
      </c>
      <c r="F2643" s="28">
        <v>2375</v>
      </c>
      <c r="G2643" s="28">
        <v>2565757894</v>
      </c>
      <c r="H2643" s="29">
        <v>4.32</v>
      </c>
      <c r="I2643" s="142">
        <v>-75.12</v>
      </c>
      <c r="J2643" s="29">
        <v>3.54</v>
      </c>
      <c r="K2643" s="29">
        <v>3.54</v>
      </c>
      <c r="L2643" s="29">
        <v>5.71</v>
      </c>
      <c r="M2643" s="368"/>
      <c r="N2643" s="368"/>
      <c r="O2643" s="271">
        <f>IFERROR(Table17[[#This Row],[PROFIT]]/Table17[[#This Row],[TO]],0)</f>
        <v>0</v>
      </c>
      <c r="P2643" s="177"/>
      <c r="Q2643" s="177"/>
      <c r="R2643" s="177"/>
    </row>
    <row r="2644" spans="1:18" hidden="1" x14ac:dyDescent="0.25">
      <c r="A2644" s="29" t="s">
        <v>498</v>
      </c>
      <c r="B2644" s="29" t="s">
        <v>497</v>
      </c>
      <c r="C2644" s="29" t="s">
        <v>496</v>
      </c>
      <c r="D2644" s="29" t="str">
        <f>VLOOKUP(C:C,'COUNT-CONT'!B:C,2,FALSE)</f>
        <v>Europe</v>
      </c>
      <c r="E2644" s="29">
        <v>5</v>
      </c>
      <c r="F2644" s="28">
        <v>2002</v>
      </c>
      <c r="G2644" s="28">
        <v>2192050549</v>
      </c>
      <c r="H2644" s="29">
        <v>4.32</v>
      </c>
      <c r="I2644" s="142">
        <v>-75.12</v>
      </c>
      <c r="J2644" s="29">
        <v>2.0299999999999998</v>
      </c>
      <c r="K2644" s="29">
        <v>1.87</v>
      </c>
      <c r="L2644" s="29">
        <v>4.08</v>
      </c>
      <c r="M2644" s="368"/>
      <c r="N2644" s="368"/>
      <c r="O2644" s="271">
        <f>IFERROR(Table17[[#This Row],[PROFIT]]/Table17[[#This Row],[TO]],0)</f>
        <v>0</v>
      </c>
      <c r="P2644" s="177"/>
      <c r="Q2644" s="177"/>
      <c r="R2644" s="177"/>
    </row>
    <row r="2645" spans="1:18" hidden="1" x14ac:dyDescent="0.25">
      <c r="A2645" s="29" t="s">
        <v>619</v>
      </c>
      <c r="B2645" s="29" t="s">
        <v>618</v>
      </c>
      <c r="C2645" s="29" t="s">
        <v>560</v>
      </c>
      <c r="D2645" s="29" t="str">
        <f>VLOOKUP(C:C,'COUNT-CONT'!B:C,2,FALSE)</f>
        <v>Europe</v>
      </c>
      <c r="E2645" s="29">
        <v>6</v>
      </c>
      <c r="F2645" s="28">
        <v>2450</v>
      </c>
      <c r="G2645" s="28">
        <v>2533579591</v>
      </c>
      <c r="H2645" s="29">
        <v>4.17</v>
      </c>
      <c r="I2645" s="142">
        <v>-75.27</v>
      </c>
      <c r="J2645" s="29">
        <v>3.42</v>
      </c>
      <c r="K2645" s="29">
        <v>3.42</v>
      </c>
      <c r="L2645" s="29">
        <v>5.5</v>
      </c>
      <c r="M2645" s="368"/>
      <c r="N2645" s="368"/>
      <c r="O2645" s="271">
        <f>IFERROR(Table17[[#This Row],[PROFIT]]/Table17[[#This Row],[TO]],0)</f>
        <v>0</v>
      </c>
      <c r="P2645" s="177"/>
      <c r="Q2645" s="177"/>
      <c r="R2645" s="177"/>
    </row>
    <row r="2646" spans="1:18" hidden="1" x14ac:dyDescent="0.25">
      <c r="A2646" s="29" t="s">
        <v>617</v>
      </c>
      <c r="B2646" s="29" t="s">
        <v>616</v>
      </c>
      <c r="C2646" s="29" t="s">
        <v>560</v>
      </c>
      <c r="D2646" s="29" t="str">
        <f>VLOOKUP(C:C,'COUNT-CONT'!B:C,2,FALSE)</f>
        <v>Europe</v>
      </c>
      <c r="E2646" s="29">
        <v>5</v>
      </c>
      <c r="F2646" s="28">
        <v>2231</v>
      </c>
      <c r="G2646" s="28">
        <v>2552452442</v>
      </c>
      <c r="H2646" s="29">
        <v>4.1399999999999997</v>
      </c>
      <c r="I2646" s="142">
        <v>-75.3</v>
      </c>
      <c r="J2646" s="29">
        <v>3.39</v>
      </c>
      <c r="K2646" s="29">
        <v>3.39</v>
      </c>
      <c r="L2646" s="29">
        <v>5.47</v>
      </c>
      <c r="M2646" s="368"/>
      <c r="N2646" s="368"/>
      <c r="O2646" s="271">
        <f>IFERROR(Table17[[#This Row],[PROFIT]]/Table17[[#This Row],[TO]],0)</f>
        <v>0</v>
      </c>
      <c r="P2646" s="177"/>
      <c r="Q2646" s="177"/>
      <c r="R2646" s="177"/>
    </row>
    <row r="2647" spans="1:18" hidden="1" x14ac:dyDescent="0.25">
      <c r="A2647" s="29" t="s">
        <v>584</v>
      </c>
      <c r="B2647" s="29" t="s">
        <v>583</v>
      </c>
      <c r="C2647" s="29" t="s">
        <v>560</v>
      </c>
      <c r="D2647" s="29" t="str">
        <f>VLOOKUP(C:C,'COUNT-CONT'!B:C,2,FALSE)</f>
        <v>Europe</v>
      </c>
      <c r="E2647" s="29">
        <v>10</v>
      </c>
      <c r="F2647" s="28">
        <v>3501</v>
      </c>
      <c r="G2647" s="28">
        <v>2458995944</v>
      </c>
      <c r="H2647" s="29">
        <v>3.9</v>
      </c>
      <c r="I2647" s="142">
        <v>-75.539999999999992</v>
      </c>
      <c r="J2647" s="29">
        <v>3.2</v>
      </c>
      <c r="K2647" s="29">
        <v>3.2</v>
      </c>
      <c r="L2647" s="29">
        <v>5.17</v>
      </c>
      <c r="M2647" s="368"/>
      <c r="N2647" s="368"/>
      <c r="O2647" s="271">
        <f>IFERROR(Table17[[#This Row],[PROFIT]]/Table17[[#This Row],[TO]],0)</f>
        <v>0</v>
      </c>
      <c r="P2647" s="177"/>
      <c r="Q2647" s="177"/>
      <c r="R2647" s="177"/>
    </row>
    <row r="2648" spans="1:18" ht="30" hidden="1" x14ac:dyDescent="0.25">
      <c r="A2648" s="29" t="s">
        <v>516</v>
      </c>
      <c r="B2648" s="29" t="s">
        <v>515</v>
      </c>
      <c r="C2648" s="29" t="s">
        <v>514</v>
      </c>
      <c r="D2648" s="29" t="str">
        <f>VLOOKUP(C:C,'COUNT-CONT'!B:C,2,FALSE)</f>
        <v>North America</v>
      </c>
      <c r="E2648" s="29">
        <v>2</v>
      </c>
      <c r="F2648" s="28">
        <v>1367</v>
      </c>
      <c r="G2648" s="28">
        <v>2520781784</v>
      </c>
      <c r="H2648" s="29">
        <v>3.81</v>
      </c>
      <c r="I2648" s="142">
        <v>-75.63</v>
      </c>
      <c r="J2648" s="29">
        <v>2.5099999999999998</v>
      </c>
      <c r="K2648" s="29">
        <v>2.42</v>
      </c>
      <c r="L2648" s="29">
        <v>4.32</v>
      </c>
      <c r="M2648" s="368"/>
      <c r="N2648" s="368"/>
      <c r="O2648" s="271">
        <f>IFERROR(Table17[[#This Row],[PROFIT]]/Table17[[#This Row],[TO]],0)</f>
        <v>0</v>
      </c>
      <c r="P2648" s="177"/>
      <c r="Q2648" s="177"/>
      <c r="R2648" s="177"/>
    </row>
    <row r="2649" spans="1:18" ht="30" hidden="1" x14ac:dyDescent="0.25">
      <c r="A2649" s="29" t="s">
        <v>562</v>
      </c>
      <c r="B2649" s="29" t="s">
        <v>561</v>
      </c>
      <c r="C2649" s="29" t="s">
        <v>560</v>
      </c>
      <c r="D2649" s="29" t="str">
        <f>VLOOKUP(C:C,'COUNT-CONT'!B:C,2,FALSE)</f>
        <v>Europe</v>
      </c>
      <c r="E2649" s="29">
        <v>4</v>
      </c>
      <c r="F2649" s="28">
        <v>1850</v>
      </c>
      <c r="G2649" s="28">
        <v>2540794624</v>
      </c>
      <c r="H2649" s="29">
        <v>3.72</v>
      </c>
      <c r="I2649" s="142">
        <v>-75.72</v>
      </c>
      <c r="J2649" s="29">
        <v>3.05</v>
      </c>
      <c r="K2649" s="29">
        <v>3.05</v>
      </c>
      <c r="L2649" s="29">
        <v>4.93</v>
      </c>
      <c r="M2649" s="368"/>
      <c r="N2649" s="368"/>
      <c r="O2649" s="271">
        <f>IFERROR(Table17[[#This Row],[PROFIT]]/Table17[[#This Row],[TO]],0)</f>
        <v>0</v>
      </c>
      <c r="P2649" s="177"/>
      <c r="Q2649" s="177"/>
      <c r="R2649" s="177"/>
    </row>
    <row r="2650" spans="1:18" x14ac:dyDescent="0.25">
      <c r="O2650" s="269"/>
    </row>
    <row r="2651" spans="1:18" x14ac:dyDescent="0.25">
      <c r="O2651" s="269"/>
    </row>
    <row r="2652" spans="1:18" x14ac:dyDescent="0.25">
      <c r="O2652" s="269"/>
    </row>
    <row r="2653" spans="1:18" x14ac:dyDescent="0.25">
      <c r="O2653" s="269"/>
    </row>
    <row r="2654" spans="1:18" x14ac:dyDescent="0.25">
      <c r="O2654" s="269"/>
    </row>
    <row r="2655" spans="1:18" x14ac:dyDescent="0.25">
      <c r="O2655" s="269"/>
    </row>
  </sheetData>
  <phoneticPr fontId="1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A02F-527F-4E0E-B510-F1BE301DBF42}">
  <sheetPr codeName="Sheet1">
    <tabColor rgb="FF92D050"/>
  </sheetPr>
  <dimension ref="A2:E2408"/>
  <sheetViews>
    <sheetView workbookViewId="0">
      <pane ySplit="2" topLeftCell="A3" activePane="bottomLeft" state="frozen"/>
      <selection pane="bottomLeft" activeCell="D4" sqref="D4"/>
    </sheetView>
  </sheetViews>
  <sheetFormatPr defaultRowHeight="15" x14ac:dyDescent="0.25"/>
  <cols>
    <col min="1" max="1" width="21.28515625" bestFit="1" customWidth="1"/>
    <col min="2" max="2" width="13" style="102" bestFit="1" customWidth="1"/>
    <col min="3" max="4" width="10.5703125" style="102" bestFit="1" customWidth="1"/>
    <col min="5" max="5" width="9.140625" style="102"/>
  </cols>
  <sheetData>
    <row r="2" spans="1:4" x14ac:dyDescent="0.25">
      <c r="A2" t="s">
        <v>16803</v>
      </c>
      <c r="B2" s="102" t="s">
        <v>18861</v>
      </c>
      <c r="C2" s="102" t="s">
        <v>18862</v>
      </c>
      <c r="D2" s="102" t="s">
        <v>18865</v>
      </c>
    </row>
    <row r="3" spans="1:4" x14ac:dyDescent="0.25">
      <c r="A3" t="s">
        <v>17311</v>
      </c>
      <c r="B3" s="102">
        <v>3859</v>
      </c>
      <c r="C3" s="102">
        <v>4824</v>
      </c>
      <c r="D3" s="102">
        <f>Table22[[#This Row],[CURRENT]]-Table22[[#This Row],[IDEAL]]</f>
        <v>-965</v>
      </c>
    </row>
    <row r="4" spans="1:4" x14ac:dyDescent="0.25">
      <c r="A4" t="s">
        <v>17251</v>
      </c>
      <c r="B4" s="102">
        <v>3791</v>
      </c>
      <c r="C4" s="102">
        <v>4739</v>
      </c>
      <c r="D4" s="102">
        <f>Table22[[#This Row],[CURRENT]]-Table22[[#This Row],[IDEAL]]</f>
        <v>-948</v>
      </c>
    </row>
    <row r="5" spans="1:4" x14ac:dyDescent="0.25">
      <c r="A5" t="s">
        <v>17165</v>
      </c>
      <c r="B5" s="102">
        <v>3709</v>
      </c>
      <c r="C5" s="102">
        <v>4637</v>
      </c>
      <c r="D5" s="102">
        <f>Table22[[#This Row],[CURRENT]]-Table22[[#This Row],[IDEAL]]</f>
        <v>-928</v>
      </c>
    </row>
    <row r="6" spans="1:4" x14ac:dyDescent="0.25">
      <c r="A6" t="s">
        <v>14281</v>
      </c>
      <c r="B6" s="102">
        <v>3688</v>
      </c>
      <c r="C6" s="102">
        <v>4610</v>
      </c>
      <c r="D6" s="102">
        <f>Table22[[#This Row],[CURRENT]]-Table22[[#This Row],[IDEAL]]</f>
        <v>-922</v>
      </c>
    </row>
    <row r="7" spans="1:4" x14ac:dyDescent="0.25">
      <c r="A7" t="s">
        <v>14282</v>
      </c>
      <c r="B7" s="102">
        <v>3663</v>
      </c>
      <c r="C7" s="102">
        <v>4579</v>
      </c>
      <c r="D7" s="102">
        <f>Table22[[#This Row],[CURRENT]]-Table22[[#This Row],[IDEAL]]</f>
        <v>-916</v>
      </c>
    </row>
    <row r="8" spans="1:4" x14ac:dyDescent="0.25">
      <c r="A8" t="s">
        <v>17260</v>
      </c>
      <c r="B8" s="102">
        <v>3648</v>
      </c>
      <c r="C8" s="102">
        <v>4561</v>
      </c>
      <c r="D8" s="102">
        <f>Table22[[#This Row],[CURRENT]]-Table22[[#This Row],[IDEAL]]</f>
        <v>-913</v>
      </c>
    </row>
    <row r="9" spans="1:4" x14ac:dyDescent="0.25">
      <c r="A9" t="s">
        <v>17201</v>
      </c>
      <c r="B9" s="102">
        <v>3640</v>
      </c>
      <c r="C9" s="102">
        <v>4551</v>
      </c>
      <c r="D9" s="102">
        <f>Table22[[#This Row],[CURRENT]]-Table22[[#This Row],[IDEAL]]</f>
        <v>-911</v>
      </c>
    </row>
    <row r="10" spans="1:4" x14ac:dyDescent="0.25">
      <c r="A10" t="s">
        <v>17447</v>
      </c>
      <c r="B10" s="102">
        <v>3876</v>
      </c>
      <c r="C10" s="102">
        <v>4786</v>
      </c>
      <c r="D10" s="102">
        <f>Table22[[#This Row],[CURRENT]]-Table22[[#This Row],[IDEAL]]</f>
        <v>-910</v>
      </c>
    </row>
    <row r="11" spans="1:4" x14ac:dyDescent="0.25">
      <c r="A11" t="s">
        <v>15114</v>
      </c>
      <c r="B11" s="102">
        <v>4049</v>
      </c>
      <c r="C11" s="102">
        <v>4938</v>
      </c>
      <c r="D11" s="102">
        <f>Table22[[#This Row],[CURRENT]]-Table22[[#This Row],[IDEAL]]</f>
        <v>-889</v>
      </c>
    </row>
    <row r="12" spans="1:4" x14ac:dyDescent="0.25">
      <c r="A12" t="s">
        <v>17271</v>
      </c>
      <c r="B12" s="102">
        <v>3516</v>
      </c>
      <c r="C12" s="102">
        <v>4396</v>
      </c>
      <c r="D12" s="102">
        <f>Table22[[#This Row],[CURRENT]]-Table22[[#This Row],[IDEAL]]</f>
        <v>-880</v>
      </c>
    </row>
    <row r="13" spans="1:4" x14ac:dyDescent="0.25">
      <c r="A13" t="s">
        <v>17258</v>
      </c>
      <c r="B13" s="102">
        <v>3712</v>
      </c>
      <c r="C13" s="102">
        <v>4583</v>
      </c>
      <c r="D13" s="102">
        <f>Table22[[#This Row],[CURRENT]]-Table22[[#This Row],[IDEAL]]</f>
        <v>-871</v>
      </c>
    </row>
    <row r="14" spans="1:4" x14ac:dyDescent="0.25">
      <c r="A14" t="s">
        <v>17202</v>
      </c>
      <c r="B14" s="102">
        <v>3684</v>
      </c>
      <c r="C14" s="102">
        <v>4549</v>
      </c>
      <c r="D14" s="102">
        <f>Table22[[#This Row],[CURRENT]]-Table22[[#This Row],[IDEAL]]</f>
        <v>-865</v>
      </c>
    </row>
    <row r="15" spans="1:4" x14ac:dyDescent="0.25">
      <c r="A15" t="s">
        <v>15132</v>
      </c>
      <c r="B15" s="102">
        <v>3922</v>
      </c>
      <c r="C15" s="102">
        <v>4783</v>
      </c>
      <c r="D15" s="102">
        <f>Table22[[#This Row],[CURRENT]]-Table22[[#This Row],[IDEAL]]</f>
        <v>-861</v>
      </c>
    </row>
    <row r="16" spans="1:4" x14ac:dyDescent="0.25">
      <c r="A16" t="s">
        <v>17205</v>
      </c>
      <c r="B16" s="102">
        <v>3440</v>
      </c>
      <c r="C16" s="102">
        <v>4300</v>
      </c>
      <c r="D16" s="102">
        <f>Table22[[#This Row],[CURRENT]]-Table22[[#This Row],[IDEAL]]</f>
        <v>-860</v>
      </c>
    </row>
    <row r="17" spans="1:4" x14ac:dyDescent="0.25">
      <c r="A17" t="s">
        <v>12206</v>
      </c>
      <c r="B17" s="102">
        <v>3428</v>
      </c>
      <c r="C17" s="102">
        <v>4285</v>
      </c>
      <c r="D17" s="102">
        <f>Table22[[#This Row],[CURRENT]]-Table22[[#This Row],[IDEAL]]</f>
        <v>-857</v>
      </c>
    </row>
    <row r="18" spans="1:4" x14ac:dyDescent="0.25">
      <c r="A18" t="s">
        <v>17250</v>
      </c>
      <c r="B18" s="102">
        <v>3895</v>
      </c>
      <c r="C18" s="102">
        <v>4751</v>
      </c>
      <c r="D18" s="102">
        <f>Table22[[#This Row],[CURRENT]]-Table22[[#This Row],[IDEAL]]</f>
        <v>-856</v>
      </c>
    </row>
    <row r="19" spans="1:4" x14ac:dyDescent="0.25">
      <c r="A19" t="s">
        <v>17231</v>
      </c>
      <c r="B19" s="102">
        <v>3419</v>
      </c>
      <c r="C19" s="102">
        <v>4274</v>
      </c>
      <c r="D19" s="102">
        <f>Table22[[#This Row],[CURRENT]]-Table22[[#This Row],[IDEAL]]</f>
        <v>-855</v>
      </c>
    </row>
    <row r="20" spans="1:4" x14ac:dyDescent="0.25">
      <c r="A20" t="s">
        <v>14268</v>
      </c>
      <c r="B20" s="102">
        <v>3409</v>
      </c>
      <c r="C20" s="102">
        <v>4262</v>
      </c>
      <c r="D20" s="102">
        <f>Table22[[#This Row],[CURRENT]]-Table22[[#This Row],[IDEAL]]</f>
        <v>-853</v>
      </c>
    </row>
    <row r="21" spans="1:4" x14ac:dyDescent="0.25">
      <c r="A21" t="s">
        <v>17222</v>
      </c>
      <c r="B21" s="102">
        <v>3632</v>
      </c>
      <c r="C21" s="102">
        <v>4484</v>
      </c>
      <c r="D21" s="102">
        <f>Table22[[#This Row],[CURRENT]]-Table22[[#This Row],[IDEAL]]</f>
        <v>-852</v>
      </c>
    </row>
    <row r="22" spans="1:4" x14ac:dyDescent="0.25">
      <c r="A22" t="s">
        <v>15192</v>
      </c>
      <c r="B22" s="102">
        <v>3624</v>
      </c>
      <c r="C22" s="102">
        <v>4475</v>
      </c>
      <c r="D22" s="102">
        <f>Table22[[#This Row],[CURRENT]]-Table22[[#This Row],[IDEAL]]</f>
        <v>-851</v>
      </c>
    </row>
    <row r="23" spans="1:4" x14ac:dyDescent="0.25">
      <c r="A23" t="s">
        <v>14278</v>
      </c>
      <c r="B23" s="102">
        <v>3626</v>
      </c>
      <c r="C23" s="102">
        <v>4477</v>
      </c>
      <c r="D23" s="102">
        <f>Table22[[#This Row],[CURRENT]]-Table22[[#This Row],[IDEAL]]</f>
        <v>-851</v>
      </c>
    </row>
    <row r="24" spans="1:4" x14ac:dyDescent="0.25">
      <c r="A24" t="s">
        <v>13431</v>
      </c>
      <c r="B24" s="102">
        <v>3389</v>
      </c>
      <c r="C24" s="102">
        <v>4237</v>
      </c>
      <c r="D24" s="102">
        <f>Table22[[#This Row],[CURRENT]]-Table22[[#This Row],[IDEAL]]</f>
        <v>-848</v>
      </c>
    </row>
    <row r="25" spans="1:4" x14ac:dyDescent="0.25">
      <c r="A25" t="s">
        <v>17266</v>
      </c>
      <c r="B25" s="102">
        <v>3587</v>
      </c>
      <c r="C25" s="102">
        <v>4429</v>
      </c>
      <c r="D25" s="102">
        <f>Table22[[#This Row],[CURRENT]]-Table22[[#This Row],[IDEAL]]</f>
        <v>-842</v>
      </c>
    </row>
    <row r="26" spans="1:4" x14ac:dyDescent="0.25">
      <c r="A26" t="s">
        <v>17053</v>
      </c>
      <c r="B26" s="102">
        <v>3812</v>
      </c>
      <c r="C26" s="102">
        <v>4649</v>
      </c>
      <c r="D26" s="102">
        <f>Table22[[#This Row],[CURRENT]]-Table22[[#This Row],[IDEAL]]</f>
        <v>-837</v>
      </c>
    </row>
    <row r="27" spans="1:4" x14ac:dyDescent="0.25">
      <c r="A27" t="s">
        <v>17269</v>
      </c>
      <c r="B27" s="102">
        <v>3568</v>
      </c>
      <c r="C27" s="102">
        <v>4405</v>
      </c>
      <c r="D27" s="102">
        <f>Table22[[#This Row],[CURRENT]]-Table22[[#This Row],[IDEAL]]</f>
        <v>-837</v>
      </c>
    </row>
    <row r="28" spans="1:4" x14ac:dyDescent="0.25">
      <c r="A28" t="s">
        <v>15222</v>
      </c>
      <c r="B28" s="102">
        <v>3532</v>
      </c>
      <c r="C28" s="102">
        <v>4361</v>
      </c>
      <c r="D28" s="102">
        <f>Table22[[#This Row],[CURRENT]]-Table22[[#This Row],[IDEAL]]</f>
        <v>-829</v>
      </c>
    </row>
    <row r="29" spans="1:4" x14ac:dyDescent="0.25">
      <c r="A29" t="s">
        <v>15274</v>
      </c>
      <c r="B29" s="102">
        <v>3306</v>
      </c>
      <c r="C29" s="102">
        <v>4133</v>
      </c>
      <c r="D29" s="102">
        <f>Table22[[#This Row],[CURRENT]]-Table22[[#This Row],[IDEAL]]</f>
        <v>-827</v>
      </c>
    </row>
    <row r="30" spans="1:4" x14ac:dyDescent="0.25">
      <c r="A30" t="s">
        <v>17259</v>
      </c>
      <c r="B30" s="102">
        <v>3742</v>
      </c>
      <c r="C30" s="102">
        <v>4564</v>
      </c>
      <c r="D30" s="102">
        <f>Table22[[#This Row],[CURRENT]]-Table22[[#This Row],[IDEAL]]</f>
        <v>-822</v>
      </c>
    </row>
    <row r="31" spans="1:4" x14ac:dyDescent="0.25">
      <c r="A31" t="s">
        <v>17285</v>
      </c>
      <c r="B31" s="102">
        <v>3280</v>
      </c>
      <c r="C31" s="102">
        <v>4101</v>
      </c>
      <c r="D31" s="102">
        <f>Table22[[#This Row],[CURRENT]]-Table22[[#This Row],[IDEAL]]</f>
        <v>-821</v>
      </c>
    </row>
    <row r="32" spans="1:4" x14ac:dyDescent="0.25">
      <c r="A32" t="s">
        <v>14226</v>
      </c>
      <c r="B32" s="102">
        <v>3490</v>
      </c>
      <c r="C32" s="102">
        <v>4309</v>
      </c>
      <c r="D32" s="102">
        <f>Table22[[#This Row],[CURRENT]]-Table22[[#This Row],[IDEAL]]</f>
        <v>-819</v>
      </c>
    </row>
    <row r="33" spans="1:4" x14ac:dyDescent="0.25">
      <c r="A33" t="s">
        <v>17227</v>
      </c>
      <c r="B33" s="102">
        <v>3477</v>
      </c>
      <c r="C33" s="102">
        <v>4293</v>
      </c>
      <c r="D33" s="102">
        <f>Table22[[#This Row],[CURRENT]]-Table22[[#This Row],[IDEAL]]</f>
        <v>-816</v>
      </c>
    </row>
    <row r="34" spans="1:4" x14ac:dyDescent="0.25">
      <c r="A34" t="s">
        <v>15985</v>
      </c>
      <c r="B34" s="102">
        <v>3253</v>
      </c>
      <c r="C34" s="102">
        <v>4067</v>
      </c>
      <c r="D34" s="102">
        <f>Table22[[#This Row],[CURRENT]]-Table22[[#This Row],[IDEAL]]</f>
        <v>-814</v>
      </c>
    </row>
    <row r="35" spans="1:4" x14ac:dyDescent="0.25">
      <c r="A35" t="s">
        <v>14266</v>
      </c>
      <c r="B35" s="102">
        <v>3252</v>
      </c>
      <c r="C35" s="102">
        <v>4065</v>
      </c>
      <c r="D35" s="102">
        <f>Table22[[#This Row],[CURRENT]]-Table22[[#This Row],[IDEAL]]</f>
        <v>-813</v>
      </c>
    </row>
    <row r="36" spans="1:4" x14ac:dyDescent="0.25">
      <c r="A36" t="s">
        <v>14246</v>
      </c>
      <c r="B36" s="102">
        <v>3694</v>
      </c>
      <c r="C36" s="102">
        <v>4506</v>
      </c>
      <c r="D36" s="102">
        <f>Table22[[#This Row],[CURRENT]]-Table22[[#This Row],[IDEAL]]</f>
        <v>-812</v>
      </c>
    </row>
    <row r="37" spans="1:4" x14ac:dyDescent="0.25">
      <c r="A37" t="s">
        <v>15291</v>
      </c>
      <c r="B37" s="102">
        <v>3239</v>
      </c>
      <c r="C37" s="102">
        <v>4049</v>
      </c>
      <c r="D37" s="102">
        <f>Table22[[#This Row],[CURRENT]]-Table22[[#This Row],[IDEAL]]</f>
        <v>-810</v>
      </c>
    </row>
    <row r="38" spans="1:4" x14ac:dyDescent="0.25">
      <c r="A38" t="s">
        <v>17235</v>
      </c>
      <c r="B38" s="102">
        <v>3229</v>
      </c>
      <c r="C38" s="102">
        <v>4037</v>
      </c>
      <c r="D38" s="102">
        <f>Table22[[#This Row],[CURRENT]]-Table22[[#This Row],[IDEAL]]</f>
        <v>-808</v>
      </c>
    </row>
    <row r="39" spans="1:4" x14ac:dyDescent="0.25">
      <c r="A39" t="s">
        <v>14262</v>
      </c>
      <c r="B39" s="102">
        <v>3209</v>
      </c>
      <c r="C39" s="102">
        <v>4012</v>
      </c>
      <c r="D39" s="102">
        <f>Table22[[#This Row],[CURRENT]]-Table22[[#This Row],[IDEAL]]</f>
        <v>-803</v>
      </c>
    </row>
    <row r="40" spans="1:4" x14ac:dyDescent="0.25">
      <c r="A40" t="s">
        <v>15989</v>
      </c>
      <c r="B40" s="102">
        <v>3207</v>
      </c>
      <c r="C40" s="102">
        <v>4009</v>
      </c>
      <c r="D40" s="102">
        <f>Table22[[#This Row],[CURRENT]]-Table22[[#This Row],[IDEAL]]</f>
        <v>-802</v>
      </c>
    </row>
    <row r="41" spans="1:4" x14ac:dyDescent="0.25">
      <c r="A41" t="s">
        <v>17282</v>
      </c>
      <c r="B41" s="102">
        <v>3411</v>
      </c>
      <c r="C41" s="102">
        <v>4212</v>
      </c>
      <c r="D41" s="102">
        <f>Table22[[#This Row],[CURRENT]]-Table22[[#This Row],[IDEAL]]</f>
        <v>-801</v>
      </c>
    </row>
    <row r="42" spans="1:4" x14ac:dyDescent="0.25">
      <c r="A42" t="s">
        <v>17252</v>
      </c>
      <c r="B42" s="102">
        <v>3895</v>
      </c>
      <c r="C42" s="102">
        <v>4693</v>
      </c>
      <c r="D42" s="102">
        <f>Table22[[#This Row],[CURRENT]]-Table22[[#This Row],[IDEAL]]</f>
        <v>-798</v>
      </c>
    </row>
    <row r="43" spans="1:4" x14ac:dyDescent="0.25">
      <c r="A43" t="s">
        <v>17265</v>
      </c>
      <c r="B43" s="102">
        <v>3633</v>
      </c>
      <c r="C43" s="102">
        <v>4431</v>
      </c>
      <c r="D43" s="102">
        <f>Table22[[#This Row],[CURRENT]]-Table22[[#This Row],[IDEAL]]</f>
        <v>-798</v>
      </c>
    </row>
    <row r="44" spans="1:4" x14ac:dyDescent="0.25">
      <c r="A44" t="s">
        <v>15143</v>
      </c>
      <c r="B44" s="102">
        <v>3861</v>
      </c>
      <c r="C44" s="102">
        <v>4653</v>
      </c>
      <c r="D44" s="102">
        <f>Table22[[#This Row],[CURRENT]]-Table22[[#This Row],[IDEAL]]</f>
        <v>-792</v>
      </c>
    </row>
    <row r="45" spans="1:4" x14ac:dyDescent="0.25">
      <c r="A45" t="s">
        <v>17237</v>
      </c>
      <c r="B45" s="102">
        <v>3160</v>
      </c>
      <c r="C45" s="102">
        <v>3951</v>
      </c>
      <c r="D45" s="102">
        <f>Table22[[#This Row],[CURRENT]]-Table22[[#This Row],[IDEAL]]</f>
        <v>-791</v>
      </c>
    </row>
    <row r="46" spans="1:4" x14ac:dyDescent="0.25">
      <c r="A46" t="s">
        <v>17272</v>
      </c>
      <c r="B46" s="102">
        <v>3598</v>
      </c>
      <c r="C46" s="102">
        <v>4389</v>
      </c>
      <c r="D46" s="102">
        <f>Table22[[#This Row],[CURRENT]]-Table22[[#This Row],[IDEAL]]</f>
        <v>-791</v>
      </c>
    </row>
    <row r="47" spans="1:4" x14ac:dyDescent="0.25">
      <c r="A47" t="s">
        <v>17274</v>
      </c>
      <c r="B47" s="102">
        <v>3584</v>
      </c>
      <c r="C47" s="102">
        <v>4371</v>
      </c>
      <c r="D47" s="102">
        <f>Table22[[#This Row],[CURRENT]]-Table22[[#This Row],[IDEAL]]</f>
        <v>-787</v>
      </c>
    </row>
    <row r="48" spans="1:4" x14ac:dyDescent="0.25">
      <c r="A48" t="s">
        <v>16005</v>
      </c>
      <c r="B48" s="102">
        <v>3145</v>
      </c>
      <c r="C48" s="102">
        <v>3932</v>
      </c>
      <c r="D48" s="102">
        <f>Table22[[#This Row],[CURRENT]]-Table22[[#This Row],[IDEAL]]</f>
        <v>-787</v>
      </c>
    </row>
    <row r="49" spans="1:4" x14ac:dyDescent="0.25">
      <c r="A49" t="s">
        <v>15150</v>
      </c>
      <c r="B49" s="102">
        <v>3834</v>
      </c>
      <c r="C49" s="102">
        <v>4620</v>
      </c>
      <c r="D49" s="102">
        <f>Table22[[#This Row],[CURRENT]]-Table22[[#This Row],[IDEAL]]</f>
        <v>-786</v>
      </c>
    </row>
    <row r="50" spans="1:4" x14ac:dyDescent="0.25">
      <c r="A50" t="s">
        <v>15309</v>
      </c>
      <c r="B50" s="102">
        <v>3136</v>
      </c>
      <c r="C50" s="102">
        <v>3920</v>
      </c>
      <c r="D50" s="102">
        <f>Table22[[#This Row],[CURRENT]]-Table22[[#This Row],[IDEAL]]</f>
        <v>-784</v>
      </c>
    </row>
    <row r="51" spans="1:4" x14ac:dyDescent="0.25">
      <c r="A51" t="s">
        <v>14280</v>
      </c>
      <c r="B51" s="102">
        <v>3822</v>
      </c>
      <c r="C51" s="102">
        <v>4605</v>
      </c>
      <c r="D51" s="102">
        <f>Table22[[#This Row],[CURRENT]]-Table22[[#This Row],[IDEAL]]</f>
        <v>-783</v>
      </c>
    </row>
    <row r="52" spans="1:4" x14ac:dyDescent="0.25">
      <c r="A52" t="s">
        <v>17092</v>
      </c>
      <c r="B52" s="102">
        <v>3566</v>
      </c>
      <c r="C52" s="102">
        <v>4349</v>
      </c>
      <c r="D52" s="102">
        <f>Table22[[#This Row],[CURRENT]]-Table22[[#This Row],[IDEAL]]</f>
        <v>-783</v>
      </c>
    </row>
    <row r="53" spans="1:4" x14ac:dyDescent="0.25">
      <c r="A53" t="s">
        <v>15980</v>
      </c>
      <c r="B53" s="102">
        <v>3337</v>
      </c>
      <c r="C53" s="102">
        <v>4120</v>
      </c>
      <c r="D53" s="102">
        <f>Table22[[#This Row],[CURRENT]]-Table22[[#This Row],[IDEAL]]</f>
        <v>-783</v>
      </c>
    </row>
    <row r="54" spans="1:4" x14ac:dyDescent="0.25">
      <c r="A54" t="s">
        <v>17257</v>
      </c>
      <c r="B54" s="102">
        <v>3813</v>
      </c>
      <c r="C54" s="102">
        <v>4595</v>
      </c>
      <c r="D54" s="102">
        <f>Table22[[#This Row],[CURRENT]]-Table22[[#This Row],[IDEAL]]</f>
        <v>-782</v>
      </c>
    </row>
    <row r="55" spans="1:4" x14ac:dyDescent="0.25">
      <c r="A55" t="s">
        <v>15321</v>
      </c>
      <c r="B55" s="102">
        <v>3092</v>
      </c>
      <c r="C55" s="102">
        <v>3866</v>
      </c>
      <c r="D55" s="102">
        <f>Table22[[#This Row],[CURRENT]]-Table22[[#This Row],[IDEAL]]</f>
        <v>-774</v>
      </c>
    </row>
    <row r="56" spans="1:4" x14ac:dyDescent="0.25">
      <c r="A56" t="s">
        <v>17294</v>
      </c>
      <c r="B56" s="102">
        <v>3094</v>
      </c>
      <c r="C56" s="102">
        <v>3868</v>
      </c>
      <c r="D56" s="102">
        <f>Table22[[#This Row],[CURRENT]]-Table22[[#This Row],[IDEAL]]</f>
        <v>-774</v>
      </c>
    </row>
    <row r="57" spans="1:4" x14ac:dyDescent="0.25">
      <c r="A57" t="s">
        <v>17079</v>
      </c>
      <c r="B57" s="102">
        <v>3079</v>
      </c>
      <c r="C57" s="102">
        <v>3849</v>
      </c>
      <c r="D57" s="102">
        <f>Table22[[#This Row],[CURRENT]]-Table22[[#This Row],[IDEAL]]</f>
        <v>-770</v>
      </c>
    </row>
    <row r="58" spans="1:4" x14ac:dyDescent="0.25">
      <c r="A58" t="s">
        <v>17197</v>
      </c>
      <c r="B58" s="102">
        <v>3071</v>
      </c>
      <c r="C58" s="102">
        <v>3839</v>
      </c>
      <c r="D58" s="102">
        <f>Table22[[#This Row],[CURRENT]]-Table22[[#This Row],[IDEAL]]</f>
        <v>-768</v>
      </c>
    </row>
    <row r="59" spans="1:4" x14ac:dyDescent="0.25">
      <c r="A59" t="s">
        <v>15199</v>
      </c>
      <c r="B59" s="102">
        <v>3701</v>
      </c>
      <c r="C59" s="102">
        <v>4460</v>
      </c>
      <c r="D59" s="102">
        <f>Table22[[#This Row],[CURRENT]]-Table22[[#This Row],[IDEAL]]</f>
        <v>-759</v>
      </c>
    </row>
    <row r="60" spans="1:4" x14ac:dyDescent="0.25">
      <c r="A60" t="s">
        <v>17239</v>
      </c>
      <c r="B60" s="102">
        <v>3026</v>
      </c>
      <c r="C60" s="102">
        <v>3783</v>
      </c>
      <c r="D60" s="102">
        <f>Table22[[#This Row],[CURRENT]]-Table22[[#This Row],[IDEAL]]</f>
        <v>-757</v>
      </c>
    </row>
    <row r="61" spans="1:4" x14ac:dyDescent="0.25">
      <c r="A61" t="s">
        <v>17283</v>
      </c>
      <c r="B61" s="102">
        <v>3441</v>
      </c>
      <c r="C61" s="102">
        <v>4197</v>
      </c>
      <c r="D61" s="102">
        <f>Table22[[#This Row],[CURRENT]]-Table22[[#This Row],[IDEAL]]</f>
        <v>-756</v>
      </c>
    </row>
    <row r="62" spans="1:4" x14ac:dyDescent="0.25">
      <c r="A62" t="s">
        <v>15996</v>
      </c>
      <c r="B62" s="102">
        <v>3220</v>
      </c>
      <c r="C62" s="102">
        <v>3976</v>
      </c>
      <c r="D62" s="102">
        <f>Table22[[#This Row],[CURRENT]]-Table22[[#This Row],[IDEAL]]</f>
        <v>-756</v>
      </c>
    </row>
    <row r="63" spans="1:4" x14ac:dyDescent="0.25">
      <c r="A63" t="s">
        <v>15205</v>
      </c>
      <c r="B63" s="102">
        <v>3672</v>
      </c>
      <c r="C63" s="102">
        <v>4425</v>
      </c>
      <c r="D63" s="102">
        <f>Table22[[#This Row],[CURRENT]]-Table22[[#This Row],[IDEAL]]</f>
        <v>-753</v>
      </c>
    </row>
    <row r="64" spans="1:4" x14ac:dyDescent="0.25">
      <c r="A64" t="s">
        <v>13433</v>
      </c>
      <c r="B64" s="102">
        <v>3425</v>
      </c>
      <c r="C64" s="102">
        <v>4177</v>
      </c>
      <c r="D64" s="102">
        <f>Table22[[#This Row],[CURRENT]]-Table22[[#This Row],[IDEAL]]</f>
        <v>-752</v>
      </c>
    </row>
    <row r="65" spans="1:4" x14ac:dyDescent="0.25">
      <c r="A65" t="s">
        <v>17203</v>
      </c>
      <c r="B65" s="102">
        <v>3657</v>
      </c>
      <c r="C65" s="102">
        <v>4407</v>
      </c>
      <c r="D65" s="102">
        <f>Table22[[#This Row],[CURRENT]]-Table22[[#This Row],[IDEAL]]</f>
        <v>-750</v>
      </c>
    </row>
    <row r="66" spans="1:4" x14ac:dyDescent="0.25">
      <c r="A66" t="s">
        <v>16004</v>
      </c>
      <c r="B66" s="102">
        <v>3193</v>
      </c>
      <c r="C66" s="102">
        <v>3943</v>
      </c>
      <c r="D66" s="102">
        <f>Table22[[#This Row],[CURRENT]]-Table22[[#This Row],[IDEAL]]</f>
        <v>-750</v>
      </c>
    </row>
    <row r="67" spans="1:4" x14ac:dyDescent="0.25">
      <c r="A67" t="s">
        <v>16003</v>
      </c>
      <c r="B67" s="102">
        <v>3196</v>
      </c>
      <c r="C67" s="102">
        <v>3946</v>
      </c>
      <c r="D67" s="102">
        <f>Table22[[#This Row],[CURRENT]]-Table22[[#This Row],[IDEAL]]</f>
        <v>-750</v>
      </c>
    </row>
    <row r="68" spans="1:4" x14ac:dyDescent="0.25">
      <c r="A68" t="s">
        <v>15306</v>
      </c>
      <c r="B68" s="102">
        <v>3187</v>
      </c>
      <c r="C68" s="102">
        <v>3935</v>
      </c>
      <c r="D68" s="102">
        <f>Table22[[#This Row],[CURRENT]]-Table22[[#This Row],[IDEAL]]</f>
        <v>-748</v>
      </c>
    </row>
    <row r="69" spans="1:4" x14ac:dyDescent="0.25">
      <c r="A69" t="s">
        <v>16047</v>
      </c>
      <c r="B69" s="102">
        <v>2988</v>
      </c>
      <c r="C69" s="102">
        <v>3735</v>
      </c>
      <c r="D69" s="102">
        <f>Table22[[#This Row],[CURRENT]]-Table22[[#This Row],[IDEAL]]</f>
        <v>-747</v>
      </c>
    </row>
    <row r="70" spans="1:4" x14ac:dyDescent="0.25">
      <c r="A70" t="s">
        <v>17216</v>
      </c>
      <c r="B70" s="102">
        <v>3914</v>
      </c>
      <c r="C70" s="102">
        <v>4660</v>
      </c>
      <c r="D70" s="102">
        <f>Table22[[#This Row],[CURRENT]]-Table22[[#This Row],[IDEAL]]</f>
        <v>-746</v>
      </c>
    </row>
    <row r="71" spans="1:4" x14ac:dyDescent="0.25">
      <c r="A71" t="s">
        <v>14048</v>
      </c>
      <c r="B71" s="102">
        <v>2974</v>
      </c>
      <c r="C71" s="102">
        <v>3718</v>
      </c>
      <c r="D71" s="102">
        <f>Table22[[#This Row],[CURRENT]]-Table22[[#This Row],[IDEAL]]</f>
        <v>-744</v>
      </c>
    </row>
    <row r="72" spans="1:4" x14ac:dyDescent="0.25">
      <c r="A72" t="s">
        <v>17217</v>
      </c>
      <c r="B72" s="102">
        <v>3900</v>
      </c>
      <c r="C72" s="102">
        <v>4644</v>
      </c>
      <c r="D72" s="102">
        <f>Table22[[#This Row],[CURRENT]]-Table22[[#This Row],[IDEAL]]</f>
        <v>-744</v>
      </c>
    </row>
    <row r="73" spans="1:4" x14ac:dyDescent="0.25">
      <c r="A73" t="s">
        <v>17299</v>
      </c>
      <c r="B73" s="102">
        <v>2963</v>
      </c>
      <c r="C73" s="102">
        <v>3704</v>
      </c>
      <c r="D73" s="102">
        <f>Table22[[#This Row],[CURRENT]]-Table22[[#This Row],[IDEAL]]</f>
        <v>-741</v>
      </c>
    </row>
    <row r="74" spans="1:4" x14ac:dyDescent="0.25">
      <c r="A74" t="s">
        <v>14242</v>
      </c>
      <c r="B74" s="102">
        <v>2958</v>
      </c>
      <c r="C74" s="102">
        <v>3698</v>
      </c>
      <c r="D74" s="102">
        <f>Table22[[#This Row],[CURRENT]]-Table22[[#This Row],[IDEAL]]</f>
        <v>-740</v>
      </c>
    </row>
    <row r="75" spans="1:4" x14ac:dyDescent="0.25">
      <c r="A75" t="s">
        <v>16012</v>
      </c>
      <c r="B75" s="102">
        <v>3152</v>
      </c>
      <c r="C75" s="102">
        <v>3892</v>
      </c>
      <c r="D75" s="102">
        <f>Table22[[#This Row],[CURRENT]]-Table22[[#This Row],[IDEAL]]</f>
        <v>-740</v>
      </c>
    </row>
    <row r="76" spans="1:4" x14ac:dyDescent="0.25">
      <c r="A76" t="s">
        <v>17142</v>
      </c>
      <c r="B76" s="102">
        <v>3146</v>
      </c>
      <c r="C76" s="102">
        <v>3885</v>
      </c>
      <c r="D76" s="102">
        <f>Table22[[#This Row],[CURRENT]]-Table22[[#This Row],[IDEAL]]</f>
        <v>-739</v>
      </c>
    </row>
    <row r="77" spans="1:4" x14ac:dyDescent="0.25">
      <c r="A77" t="s">
        <v>15281</v>
      </c>
      <c r="B77" s="102">
        <v>3352</v>
      </c>
      <c r="C77" s="102">
        <v>4089</v>
      </c>
      <c r="D77" s="102">
        <f>Table22[[#This Row],[CURRENT]]-Table22[[#This Row],[IDEAL]]</f>
        <v>-737</v>
      </c>
    </row>
    <row r="78" spans="1:4" x14ac:dyDescent="0.25">
      <c r="A78" t="s">
        <v>16024</v>
      </c>
      <c r="B78" s="102">
        <v>3112</v>
      </c>
      <c r="C78" s="102">
        <v>3842</v>
      </c>
      <c r="D78" s="102">
        <f>Table22[[#This Row],[CURRENT]]-Table22[[#This Row],[IDEAL]]</f>
        <v>-730</v>
      </c>
    </row>
    <row r="79" spans="1:4" x14ac:dyDescent="0.25">
      <c r="A79" t="s">
        <v>12456</v>
      </c>
      <c r="B79" s="102">
        <v>2903</v>
      </c>
      <c r="C79" s="102">
        <v>3629</v>
      </c>
      <c r="D79" s="102">
        <f>Table22[[#This Row],[CURRENT]]-Table22[[#This Row],[IDEAL]]</f>
        <v>-726</v>
      </c>
    </row>
    <row r="80" spans="1:4" x14ac:dyDescent="0.25">
      <c r="A80" t="s">
        <v>17088</v>
      </c>
      <c r="B80" s="102">
        <v>2901</v>
      </c>
      <c r="C80" s="102">
        <v>3627</v>
      </c>
      <c r="D80" s="102">
        <f>Table22[[#This Row],[CURRENT]]-Table22[[#This Row],[IDEAL]]</f>
        <v>-726</v>
      </c>
    </row>
    <row r="81" spans="1:4" x14ac:dyDescent="0.25">
      <c r="A81" t="s">
        <v>17246</v>
      </c>
      <c r="B81" s="102">
        <v>4096</v>
      </c>
      <c r="C81" s="102">
        <v>4819</v>
      </c>
      <c r="D81" s="102">
        <f>Table22[[#This Row],[CURRENT]]-Table22[[#This Row],[IDEAL]]</f>
        <v>-723</v>
      </c>
    </row>
    <row r="82" spans="1:4" x14ac:dyDescent="0.25">
      <c r="A82" t="s">
        <v>15974</v>
      </c>
      <c r="B82" s="102">
        <v>3527</v>
      </c>
      <c r="C82" s="102">
        <v>4250</v>
      </c>
      <c r="D82" s="102">
        <f>Table22[[#This Row],[CURRENT]]-Table22[[#This Row],[IDEAL]]</f>
        <v>-723</v>
      </c>
    </row>
    <row r="83" spans="1:4" x14ac:dyDescent="0.25">
      <c r="A83" t="s">
        <v>14049</v>
      </c>
      <c r="B83" s="102">
        <v>2881</v>
      </c>
      <c r="C83" s="102">
        <v>3602</v>
      </c>
      <c r="D83" s="102">
        <f>Table22[[#This Row],[CURRENT]]-Table22[[#This Row],[IDEAL]]</f>
        <v>-721</v>
      </c>
    </row>
    <row r="84" spans="1:4" x14ac:dyDescent="0.25">
      <c r="A84" t="s">
        <v>14240</v>
      </c>
      <c r="B84" s="102">
        <v>2872</v>
      </c>
      <c r="C84" s="102">
        <v>3591</v>
      </c>
      <c r="D84" s="102">
        <f>Table22[[#This Row],[CURRENT]]-Table22[[#This Row],[IDEAL]]</f>
        <v>-719</v>
      </c>
    </row>
    <row r="85" spans="1:4" x14ac:dyDescent="0.25">
      <c r="A85" t="s">
        <v>12462</v>
      </c>
      <c r="B85" s="102">
        <v>2872</v>
      </c>
      <c r="C85" s="102">
        <v>3590</v>
      </c>
      <c r="D85" s="102">
        <f>Table22[[#This Row],[CURRENT]]-Table22[[#This Row],[IDEAL]]</f>
        <v>-718</v>
      </c>
    </row>
    <row r="86" spans="1:4" x14ac:dyDescent="0.25">
      <c r="A86" t="s">
        <v>17214</v>
      </c>
      <c r="B86" s="102">
        <v>4048</v>
      </c>
      <c r="C86" s="102">
        <v>4763</v>
      </c>
      <c r="D86" s="102">
        <f>Table22[[#This Row],[CURRENT]]-Table22[[#This Row],[IDEAL]]</f>
        <v>-715</v>
      </c>
    </row>
    <row r="87" spans="1:4" x14ac:dyDescent="0.25">
      <c r="A87" t="s">
        <v>17360</v>
      </c>
      <c r="B87" s="102">
        <v>3257</v>
      </c>
      <c r="C87" s="102">
        <v>3972</v>
      </c>
      <c r="D87" s="102">
        <f>Table22[[#This Row],[CURRENT]]-Table22[[#This Row],[IDEAL]]</f>
        <v>-715</v>
      </c>
    </row>
    <row r="88" spans="1:4" x14ac:dyDescent="0.25">
      <c r="A88" t="s">
        <v>17512</v>
      </c>
      <c r="B88" s="102">
        <v>3031</v>
      </c>
      <c r="C88" s="102">
        <v>3743</v>
      </c>
      <c r="D88" s="102">
        <f>Table22[[#This Row],[CURRENT]]-Table22[[#This Row],[IDEAL]]</f>
        <v>-712</v>
      </c>
    </row>
    <row r="89" spans="1:4" x14ac:dyDescent="0.25">
      <c r="A89" t="s">
        <v>17365</v>
      </c>
      <c r="B89" s="102">
        <v>3220</v>
      </c>
      <c r="C89" s="102">
        <v>3927</v>
      </c>
      <c r="D89" s="102">
        <f>Table22[[#This Row],[CURRENT]]-Table22[[#This Row],[IDEAL]]</f>
        <v>-707</v>
      </c>
    </row>
    <row r="90" spans="1:4" x14ac:dyDescent="0.25">
      <c r="A90" t="s">
        <v>16087</v>
      </c>
      <c r="B90" s="102">
        <v>2828</v>
      </c>
      <c r="C90" s="102">
        <v>3535</v>
      </c>
      <c r="D90" s="102">
        <f>Table22[[#This Row],[CURRENT]]-Table22[[#This Row],[IDEAL]]</f>
        <v>-707</v>
      </c>
    </row>
    <row r="91" spans="1:4" x14ac:dyDescent="0.25">
      <c r="A91" t="s">
        <v>17063</v>
      </c>
      <c r="B91" s="102">
        <v>3999</v>
      </c>
      <c r="C91" s="102">
        <v>4705</v>
      </c>
      <c r="D91" s="102">
        <f>Table22[[#This Row],[CURRENT]]-Table22[[#This Row],[IDEAL]]</f>
        <v>-706</v>
      </c>
    </row>
    <row r="92" spans="1:4" x14ac:dyDescent="0.25">
      <c r="A92" t="s">
        <v>15210</v>
      </c>
      <c r="B92" s="102">
        <v>3698</v>
      </c>
      <c r="C92" s="102">
        <v>4403</v>
      </c>
      <c r="D92" s="102">
        <f>Table22[[#This Row],[CURRENT]]-Table22[[#This Row],[IDEAL]]</f>
        <v>-705</v>
      </c>
    </row>
    <row r="93" spans="1:4" x14ac:dyDescent="0.25">
      <c r="A93" t="s">
        <v>16090</v>
      </c>
      <c r="B93" s="102">
        <v>2819</v>
      </c>
      <c r="C93" s="102">
        <v>3524</v>
      </c>
      <c r="D93" s="102">
        <f>Table22[[#This Row],[CURRENT]]-Table22[[#This Row],[IDEAL]]</f>
        <v>-705</v>
      </c>
    </row>
    <row r="94" spans="1:4" x14ac:dyDescent="0.25">
      <c r="A94" t="s">
        <v>13437</v>
      </c>
      <c r="B94" s="102">
        <v>3199</v>
      </c>
      <c r="C94" s="102">
        <v>3902</v>
      </c>
      <c r="D94" s="102">
        <f>Table22[[#This Row],[CURRENT]]-Table22[[#This Row],[IDEAL]]</f>
        <v>-703</v>
      </c>
    </row>
    <row r="95" spans="1:4" x14ac:dyDescent="0.25">
      <c r="A95" t="s">
        <v>16010</v>
      </c>
      <c r="B95" s="102">
        <v>3198</v>
      </c>
      <c r="C95" s="102">
        <v>3901</v>
      </c>
      <c r="D95" s="102">
        <f>Table22[[#This Row],[CURRENT]]-Table22[[#This Row],[IDEAL]]</f>
        <v>-703</v>
      </c>
    </row>
    <row r="96" spans="1:4" x14ac:dyDescent="0.25">
      <c r="A96" t="s">
        <v>16011</v>
      </c>
      <c r="B96" s="102">
        <v>3193</v>
      </c>
      <c r="C96" s="102">
        <v>3895</v>
      </c>
      <c r="D96" s="102">
        <f>Table22[[#This Row],[CURRENT]]-Table22[[#This Row],[IDEAL]]</f>
        <v>-702</v>
      </c>
    </row>
    <row r="97" spans="1:4" x14ac:dyDescent="0.25">
      <c r="A97" t="s">
        <v>17039</v>
      </c>
      <c r="B97" s="102">
        <v>2984</v>
      </c>
      <c r="C97" s="102">
        <v>3684</v>
      </c>
      <c r="D97" s="102">
        <f>Table22[[#This Row],[CURRENT]]-Table22[[#This Row],[IDEAL]]</f>
        <v>-700</v>
      </c>
    </row>
    <row r="98" spans="1:4" x14ac:dyDescent="0.25">
      <c r="A98" t="s">
        <v>17284</v>
      </c>
      <c r="B98" s="102">
        <v>3417</v>
      </c>
      <c r="C98" s="102">
        <v>4117</v>
      </c>
      <c r="D98" s="102">
        <f>Table22[[#This Row],[CURRENT]]-Table22[[#This Row],[IDEAL]]</f>
        <v>-700</v>
      </c>
    </row>
    <row r="99" spans="1:4" x14ac:dyDescent="0.25">
      <c r="A99" t="s">
        <v>17087</v>
      </c>
      <c r="B99" s="102">
        <v>3669</v>
      </c>
      <c r="C99" s="102">
        <v>4369</v>
      </c>
      <c r="D99" s="102">
        <f>Table22[[#This Row],[CURRENT]]-Table22[[#This Row],[IDEAL]]</f>
        <v>-700</v>
      </c>
    </row>
    <row r="100" spans="1:4" x14ac:dyDescent="0.25">
      <c r="A100" t="s">
        <v>16058</v>
      </c>
      <c r="B100" s="102">
        <v>2973</v>
      </c>
      <c r="C100" s="102">
        <v>3671</v>
      </c>
      <c r="D100" s="102">
        <f>Table22[[#This Row],[CURRENT]]-Table22[[#This Row],[IDEAL]]</f>
        <v>-698</v>
      </c>
    </row>
    <row r="101" spans="1:4" x14ac:dyDescent="0.25">
      <c r="A101" t="s">
        <v>17277</v>
      </c>
      <c r="B101" s="102">
        <v>3655</v>
      </c>
      <c r="C101" s="102">
        <v>4352</v>
      </c>
      <c r="D101" s="102">
        <f>Table22[[#This Row],[CURRENT]]-Table22[[#This Row],[IDEAL]]</f>
        <v>-697</v>
      </c>
    </row>
    <row r="102" spans="1:4" x14ac:dyDescent="0.25">
      <c r="A102" t="s">
        <v>15282</v>
      </c>
      <c r="B102" s="102">
        <v>3393</v>
      </c>
      <c r="C102" s="102">
        <v>4088</v>
      </c>
      <c r="D102" s="102">
        <f>Table22[[#This Row],[CURRENT]]-Table22[[#This Row],[IDEAL]]</f>
        <v>-695</v>
      </c>
    </row>
    <row r="103" spans="1:4" x14ac:dyDescent="0.25">
      <c r="A103" t="s">
        <v>16023</v>
      </c>
      <c r="B103" s="102">
        <v>3161</v>
      </c>
      <c r="C103" s="102">
        <v>3856</v>
      </c>
      <c r="D103" s="102">
        <f>Table22[[#This Row],[CURRENT]]-Table22[[#This Row],[IDEAL]]</f>
        <v>-695</v>
      </c>
    </row>
    <row r="104" spans="1:4" x14ac:dyDescent="0.25">
      <c r="A104" t="s">
        <v>16113</v>
      </c>
      <c r="B104" s="102">
        <v>2778</v>
      </c>
      <c r="C104" s="102">
        <v>3473</v>
      </c>
      <c r="D104" s="102">
        <f>Table22[[#This Row],[CURRENT]]-Table22[[#This Row],[IDEAL]]</f>
        <v>-695</v>
      </c>
    </row>
    <row r="105" spans="1:4" x14ac:dyDescent="0.25">
      <c r="A105" t="s">
        <v>12596</v>
      </c>
      <c r="B105" s="102">
        <v>2956</v>
      </c>
      <c r="C105" s="102">
        <v>3650</v>
      </c>
      <c r="D105" s="102">
        <f>Table22[[#This Row],[CURRENT]]-Table22[[#This Row],[IDEAL]]</f>
        <v>-694</v>
      </c>
    </row>
    <row r="106" spans="1:4" x14ac:dyDescent="0.25">
      <c r="A106" t="s">
        <v>17256</v>
      </c>
      <c r="B106" s="102">
        <v>3916</v>
      </c>
      <c r="C106" s="102">
        <v>4608</v>
      </c>
      <c r="D106" s="102">
        <f>Table22[[#This Row],[CURRENT]]-Table22[[#This Row],[IDEAL]]</f>
        <v>-692</v>
      </c>
    </row>
    <row r="107" spans="1:4" x14ac:dyDescent="0.25">
      <c r="A107" t="s">
        <v>15233</v>
      </c>
      <c r="B107" s="102">
        <v>3619</v>
      </c>
      <c r="C107" s="102">
        <v>4309</v>
      </c>
      <c r="D107" s="102">
        <f>Table22[[#This Row],[CURRENT]]-Table22[[#This Row],[IDEAL]]</f>
        <v>-690</v>
      </c>
    </row>
    <row r="108" spans="1:4" x14ac:dyDescent="0.25">
      <c r="A108" t="s">
        <v>12485</v>
      </c>
      <c r="B108" s="102">
        <v>2758</v>
      </c>
      <c r="C108" s="102">
        <v>3448</v>
      </c>
      <c r="D108" s="102">
        <f>Table22[[#This Row],[CURRENT]]-Table22[[#This Row],[IDEAL]]</f>
        <v>-690</v>
      </c>
    </row>
    <row r="109" spans="1:4" x14ac:dyDescent="0.25">
      <c r="A109" t="s">
        <v>17083</v>
      </c>
      <c r="B109" s="102">
        <v>3904</v>
      </c>
      <c r="C109" s="102">
        <v>4594</v>
      </c>
      <c r="D109" s="102">
        <f>Table22[[#This Row],[CURRENT]]-Table22[[#This Row],[IDEAL]]</f>
        <v>-690</v>
      </c>
    </row>
    <row r="110" spans="1:4" x14ac:dyDescent="0.25">
      <c r="A110" t="s">
        <v>16027</v>
      </c>
      <c r="B110" s="102">
        <v>3138</v>
      </c>
      <c r="C110" s="102">
        <v>3827</v>
      </c>
      <c r="D110" s="102">
        <f>Table22[[#This Row],[CURRENT]]-Table22[[#This Row],[IDEAL]]</f>
        <v>-689</v>
      </c>
    </row>
    <row r="111" spans="1:4" x14ac:dyDescent="0.25">
      <c r="A111" t="s">
        <v>15238</v>
      </c>
      <c r="B111" s="102">
        <v>3606</v>
      </c>
      <c r="C111" s="102">
        <v>4293</v>
      </c>
      <c r="D111" s="102">
        <f>Table22[[#This Row],[CURRENT]]-Table22[[#This Row],[IDEAL]]</f>
        <v>-687</v>
      </c>
    </row>
    <row r="112" spans="1:4" x14ac:dyDescent="0.25">
      <c r="A112" t="s">
        <v>13405</v>
      </c>
      <c r="B112" s="102">
        <v>3352</v>
      </c>
      <c r="C112" s="102">
        <v>4039</v>
      </c>
      <c r="D112" s="102">
        <f>Table22[[#This Row],[CURRENT]]-Table22[[#This Row],[IDEAL]]</f>
        <v>-687</v>
      </c>
    </row>
    <row r="113" spans="1:4" x14ac:dyDescent="0.25">
      <c r="A113" t="s">
        <v>16071</v>
      </c>
      <c r="B113" s="102">
        <v>2927</v>
      </c>
      <c r="C113" s="102">
        <v>3614</v>
      </c>
      <c r="D113" s="102">
        <f>Table22[[#This Row],[CURRENT]]-Table22[[#This Row],[IDEAL]]</f>
        <v>-687</v>
      </c>
    </row>
    <row r="114" spans="1:4" x14ac:dyDescent="0.25">
      <c r="A114" t="s">
        <v>12598</v>
      </c>
      <c r="B114" s="102">
        <v>2919</v>
      </c>
      <c r="C114" s="102">
        <v>3604</v>
      </c>
      <c r="D114" s="102">
        <f>Table22[[#This Row],[CURRENT]]-Table22[[#This Row],[IDEAL]]</f>
        <v>-685</v>
      </c>
    </row>
    <row r="115" spans="1:4" x14ac:dyDescent="0.25">
      <c r="A115" t="s">
        <v>17288</v>
      </c>
      <c r="B115" s="102">
        <v>3339</v>
      </c>
      <c r="C115" s="102">
        <v>4024</v>
      </c>
      <c r="D115" s="102">
        <f>Table22[[#This Row],[CURRENT]]-Table22[[#This Row],[IDEAL]]</f>
        <v>-685</v>
      </c>
    </row>
    <row r="116" spans="1:4" x14ac:dyDescent="0.25">
      <c r="A116" t="s">
        <v>17210</v>
      </c>
      <c r="B116" s="102">
        <v>2916</v>
      </c>
      <c r="C116" s="102">
        <v>3601</v>
      </c>
      <c r="D116" s="102">
        <f>Table22[[#This Row],[CURRENT]]-Table22[[#This Row],[IDEAL]]</f>
        <v>-685</v>
      </c>
    </row>
    <row r="117" spans="1:4" x14ac:dyDescent="0.25">
      <c r="A117" t="s">
        <v>16122</v>
      </c>
      <c r="B117" s="102">
        <v>2736</v>
      </c>
      <c r="C117" s="102">
        <v>3421</v>
      </c>
      <c r="D117" s="102">
        <f>Table22[[#This Row],[CURRENT]]-Table22[[#This Row],[IDEAL]]</f>
        <v>-685</v>
      </c>
    </row>
    <row r="118" spans="1:4" x14ac:dyDescent="0.25">
      <c r="A118" t="s">
        <v>12268</v>
      </c>
      <c r="B118" s="102">
        <v>2735</v>
      </c>
      <c r="C118" s="102">
        <v>3419</v>
      </c>
      <c r="D118" s="102">
        <f>Table22[[#This Row],[CURRENT]]-Table22[[#This Row],[IDEAL]]</f>
        <v>-684</v>
      </c>
    </row>
    <row r="119" spans="1:4" x14ac:dyDescent="0.25">
      <c r="A119" t="s">
        <v>13379</v>
      </c>
      <c r="B119" s="102">
        <v>3585</v>
      </c>
      <c r="C119" s="102">
        <v>4268</v>
      </c>
      <c r="D119" s="102">
        <f>Table22[[#This Row],[CURRENT]]-Table22[[#This Row],[IDEAL]]</f>
        <v>-683</v>
      </c>
    </row>
    <row r="120" spans="1:4" x14ac:dyDescent="0.25">
      <c r="A120" t="s">
        <v>17356</v>
      </c>
      <c r="B120" s="102">
        <v>3326</v>
      </c>
      <c r="C120" s="102">
        <v>4008</v>
      </c>
      <c r="D120" s="102">
        <f>Table22[[#This Row],[CURRENT]]-Table22[[#This Row],[IDEAL]]</f>
        <v>-682</v>
      </c>
    </row>
    <row r="121" spans="1:4" x14ac:dyDescent="0.25">
      <c r="A121" t="s">
        <v>15164</v>
      </c>
      <c r="B121" s="102">
        <v>3855</v>
      </c>
      <c r="C121" s="102">
        <v>4536</v>
      </c>
      <c r="D121" s="102">
        <f>Table22[[#This Row],[CURRENT]]-Table22[[#This Row],[IDEAL]]</f>
        <v>-681</v>
      </c>
    </row>
    <row r="122" spans="1:4" x14ac:dyDescent="0.25">
      <c r="A122" t="s">
        <v>17232</v>
      </c>
      <c r="B122" s="102">
        <v>3570</v>
      </c>
      <c r="C122" s="102">
        <v>4251</v>
      </c>
      <c r="D122" s="102">
        <f>Table22[[#This Row],[CURRENT]]-Table22[[#This Row],[IDEAL]]</f>
        <v>-681</v>
      </c>
    </row>
    <row r="123" spans="1:4" x14ac:dyDescent="0.25">
      <c r="A123" t="s">
        <v>12490</v>
      </c>
      <c r="B123" s="102">
        <v>2719</v>
      </c>
      <c r="C123" s="102">
        <v>3399</v>
      </c>
      <c r="D123" s="102">
        <f>Table22[[#This Row],[CURRENT]]-Table22[[#This Row],[IDEAL]]</f>
        <v>-680</v>
      </c>
    </row>
    <row r="124" spans="1:4" x14ac:dyDescent="0.25">
      <c r="A124" t="s">
        <v>13871</v>
      </c>
      <c r="B124" s="102">
        <v>2898</v>
      </c>
      <c r="C124" s="102">
        <v>3578</v>
      </c>
      <c r="D124" s="102">
        <f>Table22[[#This Row],[CURRENT]]-Table22[[#This Row],[IDEAL]]</f>
        <v>-680</v>
      </c>
    </row>
    <row r="125" spans="1:4" x14ac:dyDescent="0.25">
      <c r="A125" t="s">
        <v>13719</v>
      </c>
      <c r="B125" s="102">
        <v>2710</v>
      </c>
      <c r="C125" s="102">
        <v>3388</v>
      </c>
      <c r="D125" s="102">
        <f>Table22[[#This Row],[CURRENT]]-Table22[[#This Row],[IDEAL]]</f>
        <v>-678</v>
      </c>
    </row>
    <row r="126" spans="1:4" x14ac:dyDescent="0.25">
      <c r="A126" t="s">
        <v>15175</v>
      </c>
      <c r="B126" s="102">
        <v>3831</v>
      </c>
      <c r="C126" s="102">
        <v>4508</v>
      </c>
      <c r="D126" s="102">
        <f>Table22[[#This Row],[CURRENT]]-Table22[[#This Row],[IDEAL]]</f>
        <v>-677</v>
      </c>
    </row>
    <row r="127" spans="1:4" x14ac:dyDescent="0.25">
      <c r="A127" t="s">
        <v>15994</v>
      </c>
      <c r="B127" s="102">
        <v>3300</v>
      </c>
      <c r="C127" s="102">
        <v>3976</v>
      </c>
      <c r="D127" s="102">
        <f>Table22[[#This Row],[CURRENT]]-Table22[[#This Row],[IDEAL]]</f>
        <v>-676</v>
      </c>
    </row>
    <row r="128" spans="1:4" x14ac:dyDescent="0.25">
      <c r="A128" t="s">
        <v>16148</v>
      </c>
      <c r="B128" s="102">
        <v>2681</v>
      </c>
      <c r="C128" s="102">
        <v>3352</v>
      </c>
      <c r="D128" s="102">
        <f>Table22[[#This Row],[CURRENT]]-Table22[[#This Row],[IDEAL]]</f>
        <v>-671</v>
      </c>
    </row>
    <row r="129" spans="1:4" x14ac:dyDescent="0.25">
      <c r="A129" t="s">
        <v>15977</v>
      </c>
      <c r="B129" s="102">
        <v>3516</v>
      </c>
      <c r="C129" s="102">
        <v>4186</v>
      </c>
      <c r="D129" s="102">
        <f>Table22[[#This Row],[CURRENT]]-Table22[[#This Row],[IDEAL]]</f>
        <v>-670</v>
      </c>
    </row>
    <row r="130" spans="1:4" x14ac:dyDescent="0.25">
      <c r="A130" t="s">
        <v>17375</v>
      </c>
      <c r="B130" s="102">
        <v>3044</v>
      </c>
      <c r="C130" s="102">
        <v>3713</v>
      </c>
      <c r="D130" s="102">
        <f>Table22[[#This Row],[CURRENT]]-Table22[[#This Row],[IDEAL]]</f>
        <v>-669</v>
      </c>
    </row>
    <row r="131" spans="1:4" x14ac:dyDescent="0.25">
      <c r="A131" t="s">
        <v>17305</v>
      </c>
      <c r="B131" s="102">
        <v>2672</v>
      </c>
      <c r="C131" s="102">
        <v>3341</v>
      </c>
      <c r="D131" s="102">
        <f>Table22[[#This Row],[CURRENT]]-Table22[[#This Row],[IDEAL]]</f>
        <v>-669</v>
      </c>
    </row>
    <row r="132" spans="1:4" x14ac:dyDescent="0.25">
      <c r="A132" t="s">
        <v>12272</v>
      </c>
      <c r="B132" s="102">
        <v>2669</v>
      </c>
      <c r="C132" s="102">
        <v>3337</v>
      </c>
      <c r="D132" s="102">
        <f>Table22[[#This Row],[CURRENT]]-Table22[[#This Row],[IDEAL]]</f>
        <v>-668</v>
      </c>
    </row>
    <row r="133" spans="1:4" x14ac:dyDescent="0.25">
      <c r="A133" t="s">
        <v>12447</v>
      </c>
      <c r="B133" s="102">
        <v>3252</v>
      </c>
      <c r="C133" s="102">
        <v>3919</v>
      </c>
      <c r="D133" s="102">
        <f>Table22[[#This Row],[CURRENT]]-Table22[[#This Row],[IDEAL]]</f>
        <v>-667</v>
      </c>
    </row>
    <row r="134" spans="1:4" x14ac:dyDescent="0.25">
      <c r="A134" t="s">
        <v>16050</v>
      </c>
      <c r="B134" s="102">
        <v>3036</v>
      </c>
      <c r="C134" s="102">
        <v>3703</v>
      </c>
      <c r="D134" s="102">
        <f>Table22[[#This Row],[CURRENT]]-Table22[[#This Row],[IDEAL]]</f>
        <v>-667</v>
      </c>
    </row>
    <row r="135" spans="1:4" x14ac:dyDescent="0.25">
      <c r="A135" t="s">
        <v>17249</v>
      </c>
      <c r="B135" s="102">
        <v>4086</v>
      </c>
      <c r="C135" s="102">
        <v>4752</v>
      </c>
      <c r="D135" s="102">
        <f>Table22[[#This Row],[CURRENT]]-Table22[[#This Row],[IDEAL]]</f>
        <v>-666</v>
      </c>
    </row>
    <row r="136" spans="1:4" x14ac:dyDescent="0.25">
      <c r="A136" t="s">
        <v>17198</v>
      </c>
      <c r="B136" s="102">
        <v>4087</v>
      </c>
      <c r="C136" s="102">
        <v>4753</v>
      </c>
      <c r="D136" s="102">
        <f>Table22[[#This Row],[CURRENT]]-Table22[[#This Row],[IDEAL]]</f>
        <v>-666</v>
      </c>
    </row>
    <row r="137" spans="1:4" x14ac:dyDescent="0.25">
      <c r="A137" t="s">
        <v>17267</v>
      </c>
      <c r="B137" s="102">
        <v>3758</v>
      </c>
      <c r="C137" s="102">
        <v>4422</v>
      </c>
      <c r="D137" s="102">
        <f>Table22[[#This Row],[CURRENT]]-Table22[[#This Row],[IDEAL]]</f>
        <v>-664</v>
      </c>
    </row>
    <row r="138" spans="1:4" x14ac:dyDescent="0.25">
      <c r="A138" t="s">
        <v>16111</v>
      </c>
      <c r="B138" s="102">
        <v>2816</v>
      </c>
      <c r="C138" s="102">
        <v>3477</v>
      </c>
      <c r="D138" s="102">
        <f>Table22[[#This Row],[CURRENT]]-Table22[[#This Row],[IDEAL]]</f>
        <v>-661</v>
      </c>
    </row>
    <row r="139" spans="1:4" x14ac:dyDescent="0.25">
      <c r="A139" t="s">
        <v>12274</v>
      </c>
      <c r="B139" s="102">
        <v>2632</v>
      </c>
      <c r="C139" s="102">
        <v>3291</v>
      </c>
      <c r="D139" s="102">
        <f>Table22[[#This Row],[CURRENT]]-Table22[[#This Row],[IDEAL]]</f>
        <v>-659</v>
      </c>
    </row>
    <row r="140" spans="1:4" x14ac:dyDescent="0.25">
      <c r="A140" t="s">
        <v>14474</v>
      </c>
      <c r="B140" s="102">
        <v>2798</v>
      </c>
      <c r="C140" s="102">
        <v>3455</v>
      </c>
      <c r="D140" s="102">
        <f>Table22[[#This Row],[CURRENT]]-Table22[[#This Row],[IDEAL]]</f>
        <v>-657</v>
      </c>
    </row>
    <row r="141" spans="1:4" x14ac:dyDescent="0.25">
      <c r="A141" t="s">
        <v>17225</v>
      </c>
      <c r="B141" s="102">
        <v>3721</v>
      </c>
      <c r="C141" s="102">
        <v>4378</v>
      </c>
      <c r="D141" s="102">
        <f>Table22[[#This Row],[CURRENT]]-Table22[[#This Row],[IDEAL]]</f>
        <v>-657</v>
      </c>
    </row>
    <row r="142" spans="1:4" x14ac:dyDescent="0.25">
      <c r="A142" t="s">
        <v>17273</v>
      </c>
      <c r="B142" s="102">
        <v>3720</v>
      </c>
      <c r="C142" s="102">
        <v>4377</v>
      </c>
      <c r="D142" s="102">
        <f>Table22[[#This Row],[CURRENT]]-Table22[[#This Row],[IDEAL]]</f>
        <v>-657</v>
      </c>
    </row>
    <row r="143" spans="1:4" x14ac:dyDescent="0.25">
      <c r="A143" t="s">
        <v>17612</v>
      </c>
      <c r="B143" s="102">
        <v>2790</v>
      </c>
      <c r="C143" s="102">
        <v>3445</v>
      </c>
      <c r="D143" s="102">
        <f>Table22[[#This Row],[CURRENT]]-Table22[[#This Row],[IDEAL]]</f>
        <v>-655</v>
      </c>
    </row>
    <row r="144" spans="1:4" x14ac:dyDescent="0.25">
      <c r="A144" t="s">
        <v>12278</v>
      </c>
      <c r="B144" s="102">
        <v>2613</v>
      </c>
      <c r="C144" s="102">
        <v>3267</v>
      </c>
      <c r="D144" s="102">
        <f>Table22[[#This Row],[CURRENT]]-Table22[[#This Row],[IDEAL]]</f>
        <v>-654</v>
      </c>
    </row>
    <row r="145" spans="1:4" x14ac:dyDescent="0.25">
      <c r="A145" t="s">
        <v>17254</v>
      </c>
      <c r="B145" s="102">
        <v>4013</v>
      </c>
      <c r="C145" s="102">
        <v>4667</v>
      </c>
      <c r="D145" s="102">
        <f>Table22[[#This Row],[CURRENT]]-Table22[[#This Row],[IDEAL]]</f>
        <v>-654</v>
      </c>
    </row>
    <row r="146" spans="1:4" x14ac:dyDescent="0.25">
      <c r="A146" t="s">
        <v>13647</v>
      </c>
      <c r="B146" s="102">
        <v>2781</v>
      </c>
      <c r="C146" s="102">
        <v>3434</v>
      </c>
      <c r="D146" s="102">
        <f>Table22[[#This Row],[CURRENT]]-Table22[[#This Row],[IDEAL]]</f>
        <v>-653</v>
      </c>
    </row>
    <row r="147" spans="1:4" x14ac:dyDescent="0.25">
      <c r="A147" t="s">
        <v>15984</v>
      </c>
      <c r="B147" s="102">
        <v>3422</v>
      </c>
      <c r="C147" s="102">
        <v>4074</v>
      </c>
      <c r="D147" s="102">
        <f>Table22[[#This Row],[CURRENT]]-Table22[[#This Row],[IDEAL]]</f>
        <v>-652</v>
      </c>
    </row>
    <row r="148" spans="1:4" x14ac:dyDescent="0.25">
      <c r="A148" t="s">
        <v>17076</v>
      </c>
      <c r="B148" s="102">
        <v>2603</v>
      </c>
      <c r="C148" s="102">
        <v>3254</v>
      </c>
      <c r="D148" s="102">
        <f>Table22[[#This Row],[CURRENT]]-Table22[[#This Row],[IDEAL]]</f>
        <v>-651</v>
      </c>
    </row>
    <row r="149" spans="1:4" x14ac:dyDescent="0.25">
      <c r="A149" t="s">
        <v>16070</v>
      </c>
      <c r="B149" s="102">
        <v>2965</v>
      </c>
      <c r="C149" s="102">
        <v>3616</v>
      </c>
      <c r="D149" s="102">
        <f>Table22[[#This Row],[CURRENT]]-Table22[[#This Row],[IDEAL]]</f>
        <v>-651</v>
      </c>
    </row>
    <row r="150" spans="1:4" x14ac:dyDescent="0.25">
      <c r="A150" t="s">
        <v>17065</v>
      </c>
      <c r="B150" s="102">
        <v>3407</v>
      </c>
      <c r="C150" s="102">
        <v>4057</v>
      </c>
      <c r="D150" s="102">
        <f>Table22[[#This Row],[CURRENT]]-Table22[[#This Row],[IDEAL]]</f>
        <v>-650</v>
      </c>
    </row>
    <row r="151" spans="1:4" x14ac:dyDescent="0.25">
      <c r="A151" t="s">
        <v>17055</v>
      </c>
      <c r="B151" s="102">
        <v>3158</v>
      </c>
      <c r="C151" s="102">
        <v>3805</v>
      </c>
      <c r="D151" s="102">
        <f>Table22[[#This Row],[CURRENT]]-Table22[[#This Row],[IDEAL]]</f>
        <v>-647</v>
      </c>
    </row>
    <row r="152" spans="1:4" x14ac:dyDescent="0.25">
      <c r="A152" t="s">
        <v>17278</v>
      </c>
      <c r="B152" s="102">
        <v>3665</v>
      </c>
      <c r="C152" s="102">
        <v>4312</v>
      </c>
      <c r="D152" s="102">
        <f>Table22[[#This Row],[CURRENT]]-Table22[[#This Row],[IDEAL]]</f>
        <v>-647</v>
      </c>
    </row>
    <row r="153" spans="1:4" x14ac:dyDescent="0.25">
      <c r="A153" t="s">
        <v>16181</v>
      </c>
      <c r="B153" s="102">
        <v>2585</v>
      </c>
      <c r="C153" s="102">
        <v>3232</v>
      </c>
      <c r="D153" s="102">
        <f>Table22[[#This Row],[CURRENT]]-Table22[[#This Row],[IDEAL]]</f>
        <v>-647</v>
      </c>
    </row>
    <row r="154" spans="1:4" x14ac:dyDescent="0.25">
      <c r="A154" t="s">
        <v>16179</v>
      </c>
      <c r="B154" s="102">
        <v>2585</v>
      </c>
      <c r="C154" s="102">
        <v>3232</v>
      </c>
      <c r="D154" s="102">
        <f>Table22[[#This Row],[CURRENT]]-Table22[[#This Row],[IDEAL]]</f>
        <v>-647</v>
      </c>
    </row>
    <row r="155" spans="1:4" x14ac:dyDescent="0.25">
      <c r="A155" t="s">
        <v>17218</v>
      </c>
      <c r="B155" s="102">
        <v>3964</v>
      </c>
      <c r="C155" s="102">
        <v>4610</v>
      </c>
      <c r="D155" s="102">
        <f>Table22[[#This Row],[CURRENT]]-Table22[[#This Row],[IDEAL]]</f>
        <v>-646</v>
      </c>
    </row>
    <row r="156" spans="1:4" x14ac:dyDescent="0.25">
      <c r="A156" t="s">
        <v>16183</v>
      </c>
      <c r="B156" s="102">
        <v>2584</v>
      </c>
      <c r="C156" s="102">
        <v>3230</v>
      </c>
      <c r="D156" s="102">
        <f>Table22[[#This Row],[CURRENT]]-Table22[[#This Row],[IDEAL]]</f>
        <v>-646</v>
      </c>
    </row>
    <row r="157" spans="1:4" x14ac:dyDescent="0.25">
      <c r="A157" t="s">
        <v>17114</v>
      </c>
      <c r="B157" s="102">
        <v>2579</v>
      </c>
      <c r="C157" s="102">
        <v>3224</v>
      </c>
      <c r="D157" s="102">
        <f>Table22[[#This Row],[CURRENT]]-Table22[[#This Row],[IDEAL]]</f>
        <v>-645</v>
      </c>
    </row>
    <row r="158" spans="1:4" x14ac:dyDescent="0.25">
      <c r="A158" t="s">
        <v>17229</v>
      </c>
      <c r="B158" s="102">
        <v>3643</v>
      </c>
      <c r="C158" s="102">
        <v>4287</v>
      </c>
      <c r="D158" s="102">
        <f>Table22[[#This Row],[CURRENT]]-Table22[[#This Row],[IDEAL]]</f>
        <v>-644</v>
      </c>
    </row>
    <row r="159" spans="1:4" x14ac:dyDescent="0.25">
      <c r="A159" t="s">
        <v>13440</v>
      </c>
      <c r="B159" s="102">
        <v>3135</v>
      </c>
      <c r="C159" s="102">
        <v>3778</v>
      </c>
      <c r="D159" s="102">
        <f>Table22[[#This Row],[CURRENT]]-Table22[[#This Row],[IDEAL]]</f>
        <v>-643</v>
      </c>
    </row>
    <row r="160" spans="1:4" x14ac:dyDescent="0.25">
      <c r="A160" t="s">
        <v>15296</v>
      </c>
      <c r="B160" s="102">
        <v>3368</v>
      </c>
      <c r="C160" s="102">
        <v>4010</v>
      </c>
      <c r="D160" s="102">
        <f>Table22[[#This Row],[CURRENT]]-Table22[[#This Row],[IDEAL]]</f>
        <v>-642</v>
      </c>
    </row>
    <row r="161" spans="1:4" x14ac:dyDescent="0.25">
      <c r="A161" t="s">
        <v>14243</v>
      </c>
      <c r="B161" s="102">
        <v>3134</v>
      </c>
      <c r="C161" s="102">
        <v>3776</v>
      </c>
      <c r="D161" s="102">
        <f>Table22[[#This Row],[CURRENT]]-Table22[[#This Row],[IDEAL]]</f>
        <v>-642</v>
      </c>
    </row>
    <row r="162" spans="1:4" x14ac:dyDescent="0.25">
      <c r="A162" t="s">
        <v>13549</v>
      </c>
      <c r="B162" s="102">
        <v>3634</v>
      </c>
      <c r="C162" s="102">
        <v>4276</v>
      </c>
      <c r="D162" s="102">
        <f>Table22[[#This Row],[CURRENT]]-Table22[[#This Row],[IDEAL]]</f>
        <v>-642</v>
      </c>
    </row>
    <row r="163" spans="1:4" x14ac:dyDescent="0.25">
      <c r="A163" t="s">
        <v>14043</v>
      </c>
      <c r="B163" s="102">
        <v>3631</v>
      </c>
      <c r="C163" s="102">
        <v>4272</v>
      </c>
      <c r="D163" s="102">
        <f>Table22[[#This Row],[CURRENT]]-Table22[[#This Row],[IDEAL]]</f>
        <v>-641</v>
      </c>
    </row>
    <row r="164" spans="1:4" x14ac:dyDescent="0.25">
      <c r="A164" t="s">
        <v>15971</v>
      </c>
      <c r="B164" s="102">
        <v>3628</v>
      </c>
      <c r="C164" s="102">
        <v>4269</v>
      </c>
      <c r="D164" s="102">
        <f>Table22[[#This Row],[CURRENT]]-Table22[[#This Row],[IDEAL]]</f>
        <v>-641</v>
      </c>
    </row>
    <row r="165" spans="1:4" x14ac:dyDescent="0.25">
      <c r="A165" t="s">
        <v>16080</v>
      </c>
      <c r="B165" s="102">
        <v>2920</v>
      </c>
      <c r="C165" s="102">
        <v>3561</v>
      </c>
      <c r="D165" s="102">
        <f>Table22[[#This Row],[CURRENT]]-Table22[[#This Row],[IDEAL]]</f>
        <v>-641</v>
      </c>
    </row>
    <row r="166" spans="1:4" x14ac:dyDescent="0.25">
      <c r="A166" t="s">
        <v>13427</v>
      </c>
      <c r="B166" s="102">
        <v>3117</v>
      </c>
      <c r="C166" s="102">
        <v>3756</v>
      </c>
      <c r="D166" s="102">
        <f>Table22[[#This Row],[CURRENT]]-Table22[[#This Row],[IDEAL]]</f>
        <v>-639</v>
      </c>
    </row>
    <row r="167" spans="1:4" x14ac:dyDescent="0.25">
      <c r="A167" t="s">
        <v>16041</v>
      </c>
      <c r="B167" s="102">
        <v>3115</v>
      </c>
      <c r="C167" s="102">
        <v>3754</v>
      </c>
      <c r="D167" s="102">
        <f>Table22[[#This Row],[CURRENT]]-Table22[[#This Row],[IDEAL]]</f>
        <v>-639</v>
      </c>
    </row>
    <row r="168" spans="1:4" x14ac:dyDescent="0.25">
      <c r="A168" t="s">
        <v>15993</v>
      </c>
      <c r="B168" s="102">
        <v>3352</v>
      </c>
      <c r="C168" s="102">
        <v>3991</v>
      </c>
      <c r="D168" s="102">
        <f>Table22[[#This Row],[CURRENT]]-Table22[[#This Row],[IDEAL]]</f>
        <v>-639</v>
      </c>
    </row>
    <row r="169" spans="1:4" x14ac:dyDescent="0.25">
      <c r="A169" t="s">
        <v>16144</v>
      </c>
      <c r="B169" s="102">
        <v>2720</v>
      </c>
      <c r="C169" s="102">
        <v>3359</v>
      </c>
      <c r="D169" s="102">
        <f>Table22[[#This Row],[CURRENT]]-Table22[[#This Row],[IDEAL]]</f>
        <v>-639</v>
      </c>
    </row>
    <row r="170" spans="1:4" x14ac:dyDescent="0.25">
      <c r="A170" t="s">
        <v>15303</v>
      </c>
      <c r="B170" s="102">
        <v>3346</v>
      </c>
      <c r="C170" s="102">
        <v>3984</v>
      </c>
      <c r="D170" s="102">
        <f>Table22[[#This Row],[CURRENT]]-Table22[[#This Row],[IDEAL]]</f>
        <v>-638</v>
      </c>
    </row>
    <row r="171" spans="1:4" x14ac:dyDescent="0.25">
      <c r="A171" t="s">
        <v>12593</v>
      </c>
      <c r="B171" s="102">
        <v>3111</v>
      </c>
      <c r="C171" s="102">
        <v>3749</v>
      </c>
      <c r="D171" s="102">
        <f>Table22[[#This Row],[CURRENT]]-Table22[[#This Row],[IDEAL]]</f>
        <v>-638</v>
      </c>
    </row>
    <row r="172" spans="1:4" x14ac:dyDescent="0.25">
      <c r="A172" t="s">
        <v>13597</v>
      </c>
      <c r="B172" s="102">
        <v>2551</v>
      </c>
      <c r="C172" s="102">
        <v>3189</v>
      </c>
      <c r="D172" s="102">
        <f>Table22[[#This Row],[CURRENT]]-Table22[[#This Row],[IDEAL]]</f>
        <v>-638</v>
      </c>
    </row>
    <row r="173" spans="1:4" x14ac:dyDescent="0.25">
      <c r="A173" t="s">
        <v>13802</v>
      </c>
      <c r="B173" s="102">
        <v>2898</v>
      </c>
      <c r="C173" s="102">
        <v>3535</v>
      </c>
      <c r="D173" s="102">
        <f>Table22[[#This Row],[CURRENT]]-Table22[[#This Row],[IDEAL]]</f>
        <v>-637</v>
      </c>
    </row>
    <row r="174" spans="1:4" x14ac:dyDescent="0.25">
      <c r="A174" t="s">
        <v>17262</v>
      </c>
      <c r="B174" s="102">
        <v>3910</v>
      </c>
      <c r="C174" s="102">
        <v>4547</v>
      </c>
      <c r="D174" s="102">
        <f>Table22[[#This Row],[CURRENT]]-Table22[[#This Row],[IDEAL]]</f>
        <v>-637</v>
      </c>
    </row>
    <row r="175" spans="1:4" x14ac:dyDescent="0.25">
      <c r="A175" t="s">
        <v>14259</v>
      </c>
      <c r="B175" s="102">
        <v>3337</v>
      </c>
      <c r="C175" s="102">
        <v>3973</v>
      </c>
      <c r="D175" s="102">
        <f>Table22[[#This Row],[CURRENT]]-Table22[[#This Row],[IDEAL]]</f>
        <v>-636</v>
      </c>
    </row>
    <row r="176" spans="1:4" x14ac:dyDescent="0.25">
      <c r="A176" t="s">
        <v>15998</v>
      </c>
      <c r="B176" s="102">
        <v>3335</v>
      </c>
      <c r="C176" s="102">
        <v>3971</v>
      </c>
      <c r="D176" s="102">
        <f>Table22[[#This Row],[CURRENT]]-Table22[[#This Row],[IDEAL]]</f>
        <v>-636</v>
      </c>
    </row>
    <row r="177" spans="1:4" x14ac:dyDescent="0.25">
      <c r="A177" t="s">
        <v>13850</v>
      </c>
      <c r="B177" s="102">
        <v>2892</v>
      </c>
      <c r="C177" s="102">
        <v>3527</v>
      </c>
      <c r="D177" s="102">
        <f>Table22[[#This Row],[CURRENT]]-Table22[[#This Row],[IDEAL]]</f>
        <v>-635</v>
      </c>
    </row>
    <row r="178" spans="1:4" x14ac:dyDescent="0.25">
      <c r="A178" t="s">
        <v>16193</v>
      </c>
      <c r="B178" s="102">
        <v>2538</v>
      </c>
      <c r="C178" s="102">
        <v>3173</v>
      </c>
      <c r="D178" s="102">
        <f>Table22[[#This Row],[CURRENT]]-Table22[[#This Row],[IDEAL]]</f>
        <v>-635</v>
      </c>
    </row>
    <row r="179" spans="1:4" x14ac:dyDescent="0.25">
      <c r="A179" t="s">
        <v>17038</v>
      </c>
      <c r="B179" s="102">
        <v>3592</v>
      </c>
      <c r="C179" s="102">
        <v>4226</v>
      </c>
      <c r="D179" s="102">
        <f>Table22[[#This Row],[CURRENT]]-Table22[[#This Row],[IDEAL]]</f>
        <v>-634</v>
      </c>
    </row>
    <row r="180" spans="1:4" x14ac:dyDescent="0.25">
      <c r="A180" t="s">
        <v>17263</v>
      </c>
      <c r="B180" s="102">
        <v>3889</v>
      </c>
      <c r="C180" s="102">
        <v>4523</v>
      </c>
      <c r="D180" s="102">
        <f>Table22[[#This Row],[CURRENT]]-Table22[[#This Row],[IDEAL]]</f>
        <v>-634</v>
      </c>
    </row>
    <row r="181" spans="1:4" x14ac:dyDescent="0.25">
      <c r="A181" t="s">
        <v>16099</v>
      </c>
      <c r="B181" s="102">
        <v>2871</v>
      </c>
      <c r="C181" s="102">
        <v>3502</v>
      </c>
      <c r="D181" s="102">
        <f>Table22[[#This Row],[CURRENT]]-Table22[[#This Row],[IDEAL]]</f>
        <v>-631</v>
      </c>
    </row>
    <row r="182" spans="1:4" x14ac:dyDescent="0.25">
      <c r="A182" t="s">
        <v>14248</v>
      </c>
      <c r="B182" s="102">
        <v>2861</v>
      </c>
      <c r="C182" s="102">
        <v>3490</v>
      </c>
      <c r="D182" s="102">
        <f>Table22[[#This Row],[CURRENT]]-Table22[[#This Row],[IDEAL]]</f>
        <v>-629</v>
      </c>
    </row>
    <row r="183" spans="1:4" x14ac:dyDescent="0.25">
      <c r="A183" t="s">
        <v>13889</v>
      </c>
      <c r="B183" s="102">
        <v>2679</v>
      </c>
      <c r="C183" s="102">
        <v>3308</v>
      </c>
      <c r="D183" s="102">
        <f>Table22[[#This Row],[CURRENT]]-Table22[[#This Row],[IDEAL]]</f>
        <v>-629</v>
      </c>
    </row>
    <row r="184" spans="1:4" x14ac:dyDescent="0.25">
      <c r="A184" t="s">
        <v>15310</v>
      </c>
      <c r="B184" s="102">
        <v>3288</v>
      </c>
      <c r="C184" s="102">
        <v>3915</v>
      </c>
      <c r="D184" s="102">
        <f>Table22[[#This Row],[CURRENT]]-Table22[[#This Row],[IDEAL]]</f>
        <v>-627</v>
      </c>
    </row>
    <row r="185" spans="1:4" x14ac:dyDescent="0.25">
      <c r="A185" t="s">
        <v>12607</v>
      </c>
      <c r="B185" s="102">
        <v>2851</v>
      </c>
      <c r="C185" s="102">
        <v>3477</v>
      </c>
      <c r="D185" s="102">
        <f>Table22[[#This Row],[CURRENT]]-Table22[[#This Row],[IDEAL]]</f>
        <v>-626</v>
      </c>
    </row>
    <row r="186" spans="1:4" x14ac:dyDescent="0.25">
      <c r="A186" t="s">
        <v>17519</v>
      </c>
      <c r="B186" s="102">
        <v>2660</v>
      </c>
      <c r="C186" s="102">
        <v>3284</v>
      </c>
      <c r="D186" s="102">
        <f>Table22[[#This Row],[CURRENT]]-Table22[[#This Row],[IDEAL]]</f>
        <v>-624</v>
      </c>
    </row>
    <row r="187" spans="1:4" x14ac:dyDescent="0.25">
      <c r="A187" t="s">
        <v>17248</v>
      </c>
      <c r="B187" s="102">
        <v>4153</v>
      </c>
      <c r="C187" s="102">
        <v>4774</v>
      </c>
      <c r="D187" s="102">
        <f>Table22[[#This Row],[CURRENT]]-Table22[[#This Row],[IDEAL]]</f>
        <v>-621</v>
      </c>
    </row>
    <row r="188" spans="1:4" x14ac:dyDescent="0.25">
      <c r="A188" t="s">
        <v>16204</v>
      </c>
      <c r="B188" s="102">
        <v>2484</v>
      </c>
      <c r="C188" s="102">
        <v>3105</v>
      </c>
      <c r="D188" s="102">
        <f>Table22[[#This Row],[CURRENT]]-Table22[[#This Row],[IDEAL]]</f>
        <v>-621</v>
      </c>
    </row>
    <row r="189" spans="1:4" x14ac:dyDescent="0.25">
      <c r="A189" t="s">
        <v>14052</v>
      </c>
      <c r="B189" s="102">
        <v>2824</v>
      </c>
      <c r="C189" s="102">
        <v>3444</v>
      </c>
      <c r="D189" s="102">
        <f>Table22[[#This Row],[CURRENT]]-Table22[[#This Row],[IDEAL]]</f>
        <v>-620</v>
      </c>
    </row>
    <row r="190" spans="1:4" x14ac:dyDescent="0.25">
      <c r="A190" t="s">
        <v>17151</v>
      </c>
      <c r="B190" s="102">
        <v>3246</v>
      </c>
      <c r="C190" s="102">
        <v>3865</v>
      </c>
      <c r="D190" s="102">
        <f>Table22[[#This Row],[CURRENT]]-Table22[[#This Row],[IDEAL]]</f>
        <v>-619</v>
      </c>
    </row>
    <row r="191" spans="1:4" x14ac:dyDescent="0.25">
      <c r="A191" t="s">
        <v>16209</v>
      </c>
      <c r="B191" s="102">
        <v>2471</v>
      </c>
      <c r="C191" s="102">
        <v>3089</v>
      </c>
      <c r="D191" s="102">
        <f>Table22[[#This Row],[CURRENT]]-Table22[[#This Row],[IDEAL]]</f>
        <v>-618</v>
      </c>
    </row>
    <row r="192" spans="1:4" x14ac:dyDescent="0.25">
      <c r="A192" t="s">
        <v>16174</v>
      </c>
      <c r="B192" s="102">
        <v>2628</v>
      </c>
      <c r="C192" s="102">
        <v>3245</v>
      </c>
      <c r="D192" s="102">
        <f>Table22[[#This Row],[CURRENT]]-Table22[[#This Row],[IDEAL]]</f>
        <v>-617</v>
      </c>
    </row>
    <row r="193" spans="1:4" x14ac:dyDescent="0.25">
      <c r="A193" t="s">
        <v>15337</v>
      </c>
      <c r="B193" s="102">
        <v>2623</v>
      </c>
      <c r="C193" s="102">
        <v>3239</v>
      </c>
      <c r="D193" s="102">
        <f>Table22[[#This Row],[CURRENT]]-Table22[[#This Row],[IDEAL]]</f>
        <v>-616</v>
      </c>
    </row>
    <row r="194" spans="1:4" x14ac:dyDescent="0.25">
      <c r="A194" t="s">
        <v>13552</v>
      </c>
      <c r="B194" s="102">
        <v>3006</v>
      </c>
      <c r="C194" s="102">
        <v>3622</v>
      </c>
      <c r="D194" s="102">
        <f>Table22[[#This Row],[CURRENT]]-Table22[[#This Row],[IDEAL]]</f>
        <v>-616</v>
      </c>
    </row>
    <row r="195" spans="1:4" x14ac:dyDescent="0.25">
      <c r="A195" t="s">
        <v>17368</v>
      </c>
      <c r="B195" s="102">
        <v>3231</v>
      </c>
      <c r="C195" s="102">
        <v>3847</v>
      </c>
      <c r="D195" s="102">
        <f>Table22[[#This Row],[CURRENT]]-Table22[[#This Row],[IDEAL]]</f>
        <v>-616</v>
      </c>
    </row>
    <row r="196" spans="1:4" x14ac:dyDescent="0.25">
      <c r="A196" t="s">
        <v>17316</v>
      </c>
      <c r="B196" s="102">
        <v>4117</v>
      </c>
      <c r="C196" s="102">
        <v>4733</v>
      </c>
      <c r="D196" s="102">
        <f>Table22[[#This Row],[CURRENT]]-Table22[[#This Row],[IDEAL]]</f>
        <v>-616</v>
      </c>
    </row>
    <row r="197" spans="1:4" x14ac:dyDescent="0.25">
      <c r="A197" t="s">
        <v>14396</v>
      </c>
      <c r="B197" s="102">
        <v>2458</v>
      </c>
      <c r="C197" s="102">
        <v>3073</v>
      </c>
      <c r="D197" s="102">
        <f>Table22[[#This Row],[CURRENT]]-Table22[[#This Row],[IDEAL]]</f>
        <v>-615</v>
      </c>
    </row>
    <row r="198" spans="1:4" x14ac:dyDescent="0.25">
      <c r="A198" t="s">
        <v>17310</v>
      </c>
      <c r="B198" s="102">
        <v>2459</v>
      </c>
      <c r="C198" s="102">
        <v>3074</v>
      </c>
      <c r="D198" s="102">
        <f>Table22[[#This Row],[CURRENT]]-Table22[[#This Row],[IDEAL]]</f>
        <v>-615</v>
      </c>
    </row>
    <row r="199" spans="1:4" x14ac:dyDescent="0.25">
      <c r="A199" t="s">
        <v>17224</v>
      </c>
      <c r="B199" s="102">
        <v>3775</v>
      </c>
      <c r="C199" s="102">
        <v>4390</v>
      </c>
      <c r="D199" s="102">
        <f>Table22[[#This Row],[CURRENT]]-Table22[[#This Row],[IDEAL]]</f>
        <v>-615</v>
      </c>
    </row>
    <row r="200" spans="1:4" x14ac:dyDescent="0.25">
      <c r="A200" t="s">
        <v>16215</v>
      </c>
      <c r="B200" s="102">
        <v>2453</v>
      </c>
      <c r="C200" s="102">
        <v>3067</v>
      </c>
      <c r="D200" s="102">
        <f>Table22[[#This Row],[CURRENT]]-Table22[[#This Row],[IDEAL]]</f>
        <v>-614</v>
      </c>
    </row>
    <row r="201" spans="1:4" x14ac:dyDescent="0.25">
      <c r="A201" t="s">
        <v>13773</v>
      </c>
      <c r="B201" s="102">
        <v>3472</v>
      </c>
      <c r="C201" s="102">
        <v>4085</v>
      </c>
      <c r="D201" s="102">
        <f>Table22[[#This Row],[CURRENT]]-Table22[[#This Row],[IDEAL]]</f>
        <v>-613</v>
      </c>
    </row>
    <row r="202" spans="1:4" x14ac:dyDescent="0.25">
      <c r="A202" t="s">
        <v>17175</v>
      </c>
      <c r="B202" s="102">
        <v>2988</v>
      </c>
      <c r="C202" s="102">
        <v>3601</v>
      </c>
      <c r="D202" s="102">
        <f>Table22[[#This Row],[CURRENT]]-Table22[[#This Row],[IDEAL]]</f>
        <v>-613</v>
      </c>
    </row>
    <row r="203" spans="1:4" x14ac:dyDescent="0.25">
      <c r="A203" t="s">
        <v>16130</v>
      </c>
      <c r="B203" s="102">
        <v>2783</v>
      </c>
      <c r="C203" s="102">
        <v>3395</v>
      </c>
      <c r="D203" s="102">
        <f>Table22[[#This Row],[CURRENT]]-Table22[[#This Row],[IDEAL]]</f>
        <v>-612</v>
      </c>
    </row>
    <row r="204" spans="1:4" x14ac:dyDescent="0.25">
      <c r="A204" t="s">
        <v>14253</v>
      </c>
      <c r="B204" s="102">
        <v>3204</v>
      </c>
      <c r="C204" s="102">
        <v>3815</v>
      </c>
      <c r="D204" s="102">
        <f>Table22[[#This Row],[CURRENT]]-Table22[[#This Row],[IDEAL]]</f>
        <v>-611</v>
      </c>
    </row>
    <row r="205" spans="1:4" x14ac:dyDescent="0.25">
      <c r="A205" t="s">
        <v>16225</v>
      </c>
      <c r="B205" s="102">
        <v>2437</v>
      </c>
      <c r="C205" s="102">
        <v>3047</v>
      </c>
      <c r="D205" s="102">
        <f>Table22[[#This Row],[CURRENT]]-Table22[[#This Row],[IDEAL]]</f>
        <v>-610</v>
      </c>
    </row>
    <row r="206" spans="1:4" x14ac:dyDescent="0.25">
      <c r="A206" t="s">
        <v>16186</v>
      </c>
      <c r="B206" s="102">
        <v>2600</v>
      </c>
      <c r="C206" s="102">
        <v>3210</v>
      </c>
      <c r="D206" s="102">
        <f>Table22[[#This Row],[CURRENT]]-Table22[[#This Row],[IDEAL]]</f>
        <v>-610</v>
      </c>
    </row>
    <row r="207" spans="1:4" x14ac:dyDescent="0.25">
      <c r="A207" t="s">
        <v>14462</v>
      </c>
      <c r="B207" s="102">
        <v>2595</v>
      </c>
      <c r="C207" s="102">
        <v>3204</v>
      </c>
      <c r="D207" s="102">
        <f>Table22[[#This Row],[CURRENT]]-Table22[[#This Row],[IDEAL]]</f>
        <v>-609</v>
      </c>
    </row>
    <row r="208" spans="1:4" x14ac:dyDescent="0.25">
      <c r="A208" t="s">
        <v>17226</v>
      </c>
      <c r="B208" s="102">
        <v>3737</v>
      </c>
      <c r="C208" s="102">
        <v>4346</v>
      </c>
      <c r="D208" s="102">
        <f>Table22[[#This Row],[CURRENT]]-Table22[[#This Row],[IDEAL]]</f>
        <v>-609</v>
      </c>
    </row>
    <row r="209" spans="1:4" x14ac:dyDescent="0.25">
      <c r="A209" t="s">
        <v>17112</v>
      </c>
      <c r="B209" s="102">
        <v>2774</v>
      </c>
      <c r="C209" s="102">
        <v>3383</v>
      </c>
      <c r="D209" s="102">
        <f>Table22[[#This Row],[CURRENT]]-Table22[[#This Row],[IDEAL]]</f>
        <v>-609</v>
      </c>
    </row>
    <row r="210" spans="1:4" x14ac:dyDescent="0.25">
      <c r="A210" t="s">
        <v>15986</v>
      </c>
      <c r="B210" s="102">
        <v>3450</v>
      </c>
      <c r="C210" s="102">
        <v>4059</v>
      </c>
      <c r="D210" s="102">
        <f>Table22[[#This Row],[CURRENT]]-Table22[[#This Row],[IDEAL]]</f>
        <v>-609</v>
      </c>
    </row>
    <row r="211" spans="1:4" x14ac:dyDescent="0.25">
      <c r="A211" t="s">
        <v>14411</v>
      </c>
      <c r="B211" s="102">
        <v>2591</v>
      </c>
      <c r="C211" s="102">
        <v>3199</v>
      </c>
      <c r="D211" s="102">
        <f>Table22[[#This Row],[CURRENT]]-Table22[[#This Row],[IDEAL]]</f>
        <v>-608</v>
      </c>
    </row>
    <row r="212" spans="1:4" x14ac:dyDescent="0.25">
      <c r="A212" t="s">
        <v>16228</v>
      </c>
      <c r="B212" s="102">
        <v>2432</v>
      </c>
      <c r="C212" s="102">
        <v>3040</v>
      </c>
      <c r="D212" s="102">
        <f>Table22[[#This Row],[CURRENT]]-Table22[[#This Row],[IDEAL]]</f>
        <v>-608</v>
      </c>
    </row>
    <row r="213" spans="1:4" x14ac:dyDescent="0.25">
      <c r="A213" t="s">
        <v>17527</v>
      </c>
      <c r="B213" s="102">
        <v>2424</v>
      </c>
      <c r="C213" s="102">
        <v>3031</v>
      </c>
      <c r="D213" s="102">
        <f>Table22[[#This Row],[CURRENT]]-Table22[[#This Row],[IDEAL]]</f>
        <v>-607</v>
      </c>
    </row>
    <row r="214" spans="1:4" x14ac:dyDescent="0.25">
      <c r="A214" t="s">
        <v>16230</v>
      </c>
      <c r="B214" s="102">
        <v>2425</v>
      </c>
      <c r="C214" s="102">
        <v>3032</v>
      </c>
      <c r="D214" s="102">
        <f>Table22[[#This Row],[CURRENT]]-Table22[[#This Row],[IDEAL]]</f>
        <v>-607</v>
      </c>
    </row>
    <row r="215" spans="1:4" x14ac:dyDescent="0.25">
      <c r="A215" t="s">
        <v>13847</v>
      </c>
      <c r="B215" s="102">
        <v>2422</v>
      </c>
      <c r="C215" s="102">
        <v>3028</v>
      </c>
      <c r="D215" s="102">
        <f>Table22[[#This Row],[CURRENT]]-Table22[[#This Row],[IDEAL]]</f>
        <v>-606</v>
      </c>
    </row>
    <row r="216" spans="1:4" x14ac:dyDescent="0.25">
      <c r="A216" t="s">
        <v>13669</v>
      </c>
      <c r="B216" s="102">
        <v>2758</v>
      </c>
      <c r="C216" s="102">
        <v>3364</v>
      </c>
      <c r="D216" s="102">
        <f>Table22[[#This Row],[CURRENT]]-Table22[[#This Row],[IDEAL]]</f>
        <v>-606</v>
      </c>
    </row>
    <row r="217" spans="1:4" x14ac:dyDescent="0.25">
      <c r="A217" t="s">
        <v>14284</v>
      </c>
      <c r="B217" s="102">
        <v>4048</v>
      </c>
      <c r="C217" s="102">
        <v>4653</v>
      </c>
      <c r="D217" s="102">
        <f>Table22[[#This Row],[CURRENT]]-Table22[[#This Row],[IDEAL]]</f>
        <v>-605</v>
      </c>
    </row>
    <row r="218" spans="1:4" x14ac:dyDescent="0.25">
      <c r="A218" t="s">
        <v>13722</v>
      </c>
      <c r="B218" s="102">
        <v>3173</v>
      </c>
      <c r="C218" s="102">
        <v>3778</v>
      </c>
      <c r="D218" s="102">
        <f>Table22[[#This Row],[CURRENT]]-Table22[[#This Row],[IDEAL]]</f>
        <v>-605</v>
      </c>
    </row>
    <row r="219" spans="1:4" x14ac:dyDescent="0.25">
      <c r="A219" t="s">
        <v>16034</v>
      </c>
      <c r="B219" s="102">
        <v>3172</v>
      </c>
      <c r="C219" s="102">
        <v>3777</v>
      </c>
      <c r="D219" s="102">
        <f>Table22[[#This Row],[CURRENT]]-Table22[[#This Row],[IDEAL]]</f>
        <v>-605</v>
      </c>
    </row>
    <row r="220" spans="1:4" x14ac:dyDescent="0.25">
      <c r="A220" t="s">
        <v>13740</v>
      </c>
      <c r="B220" s="102">
        <v>2747</v>
      </c>
      <c r="C220" s="102">
        <v>3351</v>
      </c>
      <c r="D220" s="102">
        <f>Table22[[#This Row],[CURRENT]]-Table22[[#This Row],[IDEAL]]</f>
        <v>-604</v>
      </c>
    </row>
    <row r="221" spans="1:4" x14ac:dyDescent="0.25">
      <c r="A221" t="s">
        <v>17297</v>
      </c>
      <c r="B221" s="102">
        <v>3169</v>
      </c>
      <c r="C221" s="102">
        <v>3773</v>
      </c>
      <c r="D221" s="102">
        <f>Table22[[#This Row],[CURRENT]]-Table22[[#This Row],[IDEAL]]</f>
        <v>-604</v>
      </c>
    </row>
    <row r="222" spans="1:4" x14ac:dyDescent="0.25">
      <c r="A222" t="s">
        <v>13519</v>
      </c>
      <c r="B222" s="102">
        <v>2743</v>
      </c>
      <c r="C222" s="102">
        <v>3346</v>
      </c>
      <c r="D222" s="102">
        <f>Table22[[#This Row],[CURRENT]]-Table22[[#This Row],[IDEAL]]</f>
        <v>-603</v>
      </c>
    </row>
    <row r="223" spans="1:4" x14ac:dyDescent="0.25">
      <c r="A223" t="s">
        <v>16235</v>
      </c>
      <c r="B223" s="102">
        <v>2408</v>
      </c>
      <c r="C223" s="102">
        <v>3010</v>
      </c>
      <c r="D223" s="102">
        <f>Table22[[#This Row],[CURRENT]]-Table22[[#This Row],[IDEAL]]</f>
        <v>-602</v>
      </c>
    </row>
    <row r="224" spans="1:4" x14ac:dyDescent="0.25">
      <c r="A224" t="s">
        <v>15297</v>
      </c>
      <c r="B224" s="102">
        <v>3404</v>
      </c>
      <c r="C224" s="102">
        <v>4005</v>
      </c>
      <c r="D224" s="102">
        <f>Table22[[#This Row],[CURRENT]]-Table22[[#This Row],[IDEAL]]</f>
        <v>-601</v>
      </c>
    </row>
    <row r="225" spans="1:4" x14ac:dyDescent="0.25">
      <c r="A225" t="s">
        <v>17199</v>
      </c>
      <c r="B225" s="102">
        <v>4021</v>
      </c>
      <c r="C225" s="102">
        <v>4622</v>
      </c>
      <c r="D225" s="102">
        <f>Table22[[#This Row],[CURRENT]]-Table22[[#This Row],[IDEAL]]</f>
        <v>-601</v>
      </c>
    </row>
    <row r="226" spans="1:4" x14ac:dyDescent="0.25">
      <c r="A226" t="s">
        <v>15242</v>
      </c>
      <c r="B226" s="102">
        <v>3680</v>
      </c>
      <c r="C226" s="102">
        <v>4280</v>
      </c>
      <c r="D226" s="102">
        <f>Table22[[#This Row],[CURRENT]]-Table22[[#This Row],[IDEAL]]</f>
        <v>-600</v>
      </c>
    </row>
    <row r="227" spans="1:4" x14ac:dyDescent="0.25">
      <c r="A227" t="s">
        <v>17230</v>
      </c>
      <c r="B227" s="102">
        <v>3685</v>
      </c>
      <c r="C227" s="102">
        <v>4285</v>
      </c>
      <c r="D227" s="102">
        <f>Table22[[#This Row],[CURRENT]]-Table22[[#This Row],[IDEAL]]</f>
        <v>-600</v>
      </c>
    </row>
    <row r="228" spans="1:4" x14ac:dyDescent="0.25">
      <c r="A228" t="s">
        <v>17240</v>
      </c>
      <c r="B228" s="102">
        <v>3145</v>
      </c>
      <c r="C228" s="102">
        <v>3745</v>
      </c>
      <c r="D228" s="102">
        <f>Table22[[#This Row],[CURRENT]]-Table22[[#This Row],[IDEAL]]</f>
        <v>-600</v>
      </c>
    </row>
    <row r="229" spans="1:4" x14ac:dyDescent="0.25">
      <c r="A229" t="s">
        <v>16044</v>
      </c>
      <c r="B229" s="102">
        <v>3148</v>
      </c>
      <c r="C229" s="102">
        <v>3748</v>
      </c>
      <c r="D229" s="102">
        <f>Table22[[#This Row],[CURRENT]]-Table22[[#This Row],[IDEAL]]</f>
        <v>-600</v>
      </c>
    </row>
    <row r="230" spans="1:4" x14ac:dyDescent="0.25">
      <c r="A230" t="s">
        <v>16043</v>
      </c>
      <c r="B230" s="102">
        <v>3150</v>
      </c>
      <c r="C230" s="102">
        <v>3750</v>
      </c>
      <c r="D230" s="102">
        <f>Table22[[#This Row],[CURRENT]]-Table22[[#This Row],[IDEAL]]</f>
        <v>-600</v>
      </c>
    </row>
    <row r="231" spans="1:4" x14ac:dyDescent="0.25">
      <c r="A231" t="s">
        <v>15991</v>
      </c>
      <c r="B231" s="102">
        <v>3395</v>
      </c>
      <c r="C231" s="102">
        <v>3995</v>
      </c>
      <c r="D231" s="102">
        <f>Table22[[#This Row],[CURRENT]]-Table22[[#This Row],[IDEAL]]</f>
        <v>-600</v>
      </c>
    </row>
    <row r="232" spans="1:4" x14ac:dyDescent="0.25">
      <c r="A232" t="s">
        <v>14263</v>
      </c>
      <c r="B232" s="102">
        <v>3394</v>
      </c>
      <c r="C232" s="102">
        <v>3993</v>
      </c>
      <c r="D232" s="102">
        <f>Table22[[#This Row],[CURRENT]]-Table22[[#This Row],[IDEAL]]</f>
        <v>-599</v>
      </c>
    </row>
    <row r="233" spans="1:4" x14ac:dyDescent="0.25">
      <c r="A233" t="s">
        <v>15992</v>
      </c>
      <c r="B233" s="102">
        <v>3393</v>
      </c>
      <c r="C233" s="102">
        <v>3992</v>
      </c>
      <c r="D233" s="102">
        <f>Table22[[#This Row],[CURRENT]]-Table22[[#This Row],[IDEAL]]</f>
        <v>-599</v>
      </c>
    </row>
    <row r="234" spans="1:4" x14ac:dyDescent="0.25">
      <c r="A234" t="s">
        <v>16091</v>
      </c>
      <c r="B234" s="102">
        <v>2923</v>
      </c>
      <c r="C234" s="102">
        <v>3522</v>
      </c>
      <c r="D234" s="102">
        <f>Table22[[#This Row],[CURRENT]]-Table22[[#This Row],[IDEAL]]</f>
        <v>-599</v>
      </c>
    </row>
    <row r="235" spans="1:4" x14ac:dyDescent="0.25">
      <c r="A235" t="s">
        <v>17041</v>
      </c>
      <c r="B235" s="102">
        <v>2722</v>
      </c>
      <c r="C235" s="102">
        <v>3320</v>
      </c>
      <c r="D235" s="102">
        <f>Table22[[#This Row],[CURRENT]]-Table22[[#This Row],[IDEAL]]</f>
        <v>-598</v>
      </c>
    </row>
    <row r="236" spans="1:4" x14ac:dyDescent="0.25">
      <c r="A236" t="s">
        <v>15972</v>
      </c>
      <c r="B236" s="102">
        <v>3662</v>
      </c>
      <c r="C236" s="102">
        <v>4259</v>
      </c>
      <c r="D236" s="102">
        <f>Table22[[#This Row],[CURRENT]]-Table22[[#This Row],[IDEAL]]</f>
        <v>-597</v>
      </c>
    </row>
    <row r="237" spans="1:4" x14ac:dyDescent="0.25">
      <c r="A237" t="s">
        <v>15249</v>
      </c>
      <c r="B237" s="102">
        <v>3660</v>
      </c>
      <c r="C237" s="102">
        <v>4256</v>
      </c>
      <c r="D237" s="102">
        <f>Table22[[#This Row],[CURRENT]]-Table22[[#This Row],[IDEAL]]</f>
        <v>-596</v>
      </c>
    </row>
    <row r="238" spans="1:4" x14ac:dyDescent="0.25">
      <c r="A238" t="s">
        <v>14279</v>
      </c>
      <c r="B238" s="102">
        <v>3985</v>
      </c>
      <c r="C238" s="102">
        <v>4581</v>
      </c>
      <c r="D238" s="102">
        <f>Table22[[#This Row],[CURRENT]]-Table22[[#This Row],[IDEAL]]</f>
        <v>-596</v>
      </c>
    </row>
    <row r="239" spans="1:4" x14ac:dyDescent="0.25">
      <c r="A239" t="s">
        <v>13809</v>
      </c>
      <c r="B239" s="102">
        <v>2710</v>
      </c>
      <c r="C239" s="102">
        <v>3306</v>
      </c>
      <c r="D239" s="102">
        <f>Table22[[#This Row],[CURRENT]]-Table22[[#This Row],[IDEAL]]</f>
        <v>-596</v>
      </c>
    </row>
    <row r="240" spans="1:4" x14ac:dyDescent="0.25">
      <c r="A240" t="s">
        <v>17530</v>
      </c>
      <c r="B240" s="102">
        <v>2380</v>
      </c>
      <c r="C240" s="102">
        <v>2975</v>
      </c>
      <c r="D240" s="102">
        <f>Table22[[#This Row],[CURRENT]]-Table22[[#This Row],[IDEAL]]</f>
        <v>-595</v>
      </c>
    </row>
    <row r="241" spans="1:4" x14ac:dyDescent="0.25">
      <c r="A241" t="s">
        <v>13653</v>
      </c>
      <c r="B241" s="102">
        <v>2372</v>
      </c>
      <c r="C241" s="102">
        <v>2966</v>
      </c>
      <c r="D241" s="102">
        <f>Table22[[#This Row],[CURRENT]]-Table22[[#This Row],[IDEAL]]</f>
        <v>-594</v>
      </c>
    </row>
    <row r="242" spans="1:4" x14ac:dyDescent="0.25">
      <c r="A242" t="s">
        <v>14414</v>
      </c>
      <c r="B242" s="102">
        <v>3109</v>
      </c>
      <c r="C242" s="102">
        <v>3702</v>
      </c>
      <c r="D242" s="102">
        <f>Table22[[#This Row],[CURRENT]]-Table22[[#This Row],[IDEAL]]</f>
        <v>-593</v>
      </c>
    </row>
    <row r="243" spans="1:4" x14ac:dyDescent="0.25">
      <c r="A243" t="s">
        <v>13772</v>
      </c>
      <c r="B243" s="102">
        <v>2701</v>
      </c>
      <c r="C243" s="102">
        <v>3294</v>
      </c>
      <c r="D243" s="102">
        <f>Table22[[#This Row],[CURRENT]]-Table22[[#This Row],[IDEAL]]</f>
        <v>-593</v>
      </c>
    </row>
    <row r="244" spans="1:4" x14ac:dyDescent="0.25">
      <c r="A244" t="s">
        <v>17241</v>
      </c>
      <c r="B244" s="102">
        <v>3109</v>
      </c>
      <c r="C244" s="102">
        <v>3702</v>
      </c>
      <c r="D244" s="102">
        <f>Table22[[#This Row],[CURRENT]]-Table22[[#This Row],[IDEAL]]</f>
        <v>-593</v>
      </c>
    </row>
    <row r="245" spans="1:4" x14ac:dyDescent="0.25">
      <c r="A245" t="s">
        <v>16052</v>
      </c>
      <c r="B245" s="102">
        <v>3105</v>
      </c>
      <c r="C245" s="102">
        <v>3697</v>
      </c>
      <c r="D245" s="102">
        <f>Table22[[#This Row],[CURRENT]]-Table22[[#This Row],[IDEAL]]</f>
        <v>-592</v>
      </c>
    </row>
    <row r="246" spans="1:4" x14ac:dyDescent="0.25">
      <c r="A246" t="s">
        <v>17220</v>
      </c>
      <c r="B246" s="102">
        <v>3953</v>
      </c>
      <c r="C246" s="102">
        <v>4544</v>
      </c>
      <c r="D246" s="102">
        <f>Table22[[#This Row],[CURRENT]]-Table22[[#This Row],[IDEAL]]</f>
        <v>-591</v>
      </c>
    </row>
    <row r="247" spans="1:4" x14ac:dyDescent="0.25">
      <c r="A247" t="s">
        <v>14473</v>
      </c>
      <c r="B247" s="102">
        <v>2875</v>
      </c>
      <c r="C247" s="102">
        <v>3465</v>
      </c>
      <c r="D247" s="102">
        <f>Table22[[#This Row],[CURRENT]]-Table22[[#This Row],[IDEAL]]</f>
        <v>-590</v>
      </c>
    </row>
    <row r="248" spans="1:4" x14ac:dyDescent="0.25">
      <c r="A248" t="s">
        <v>13899</v>
      </c>
      <c r="B248" s="102">
        <v>3338</v>
      </c>
      <c r="C248" s="102">
        <v>3928</v>
      </c>
      <c r="D248" s="102">
        <f>Table22[[#This Row],[CURRENT]]-Table22[[#This Row],[IDEAL]]</f>
        <v>-590</v>
      </c>
    </row>
    <row r="249" spans="1:4" x14ac:dyDescent="0.25">
      <c r="A249" t="s">
        <v>17377</v>
      </c>
      <c r="B249" s="102">
        <v>3095</v>
      </c>
      <c r="C249" s="102">
        <v>3685</v>
      </c>
      <c r="D249" s="102">
        <f>Table22[[#This Row],[CURRENT]]-Table22[[#This Row],[IDEAL]]</f>
        <v>-590</v>
      </c>
    </row>
    <row r="250" spans="1:4" x14ac:dyDescent="0.25">
      <c r="A250" t="s">
        <v>12482</v>
      </c>
      <c r="B250" s="102">
        <v>2872</v>
      </c>
      <c r="C250" s="102">
        <v>3461</v>
      </c>
      <c r="D250" s="102">
        <f>Table22[[#This Row],[CURRENT]]-Table22[[#This Row],[IDEAL]]</f>
        <v>-589</v>
      </c>
    </row>
    <row r="251" spans="1:4" x14ac:dyDescent="0.25">
      <c r="A251" t="s">
        <v>17291</v>
      </c>
      <c r="B251" s="102">
        <v>3336</v>
      </c>
      <c r="C251" s="102">
        <v>3925</v>
      </c>
      <c r="D251" s="102">
        <f>Table22[[#This Row],[CURRENT]]-Table22[[#This Row],[IDEAL]]</f>
        <v>-589</v>
      </c>
    </row>
    <row r="252" spans="1:4" x14ac:dyDescent="0.25">
      <c r="A252" t="s">
        <v>16207</v>
      </c>
      <c r="B252" s="102">
        <v>2510</v>
      </c>
      <c r="C252" s="102">
        <v>3099</v>
      </c>
      <c r="D252" s="102">
        <f>Table22[[#This Row],[CURRENT]]-Table22[[#This Row],[IDEAL]]</f>
        <v>-589</v>
      </c>
    </row>
    <row r="253" spans="1:4" x14ac:dyDescent="0.25">
      <c r="A253" t="s">
        <v>16167</v>
      </c>
      <c r="B253" s="102">
        <v>2679</v>
      </c>
      <c r="C253" s="102">
        <v>3268</v>
      </c>
      <c r="D253" s="102">
        <f>Table22[[#This Row],[CURRENT]]-Table22[[#This Row],[IDEAL]]</f>
        <v>-589</v>
      </c>
    </row>
    <row r="254" spans="1:4" x14ac:dyDescent="0.25">
      <c r="A254" t="s">
        <v>14257</v>
      </c>
      <c r="B254" s="102">
        <v>3326</v>
      </c>
      <c r="C254" s="102">
        <v>3914</v>
      </c>
      <c r="D254" s="102">
        <f>Table22[[#This Row],[CURRENT]]-Table22[[#This Row],[IDEAL]]</f>
        <v>-588</v>
      </c>
    </row>
    <row r="255" spans="1:4" x14ac:dyDescent="0.25">
      <c r="A255" t="s">
        <v>13900</v>
      </c>
      <c r="B255" s="102">
        <v>3326</v>
      </c>
      <c r="C255" s="102">
        <v>3913</v>
      </c>
      <c r="D255" s="102">
        <f>Table22[[#This Row],[CURRENT]]-Table22[[#This Row],[IDEAL]]</f>
        <v>-587</v>
      </c>
    </row>
    <row r="256" spans="1:4" x14ac:dyDescent="0.25">
      <c r="A256" t="s">
        <v>15181</v>
      </c>
      <c r="B256" s="102">
        <v>3917</v>
      </c>
      <c r="C256" s="102">
        <v>4503</v>
      </c>
      <c r="D256" s="102">
        <f>Table22[[#This Row],[CURRENT]]-Table22[[#This Row],[IDEAL]]</f>
        <v>-586</v>
      </c>
    </row>
    <row r="257" spans="1:4" x14ac:dyDescent="0.25">
      <c r="A257" t="s">
        <v>12594</v>
      </c>
      <c r="B257" s="102">
        <v>3069</v>
      </c>
      <c r="C257" s="102">
        <v>3654</v>
      </c>
      <c r="D257" s="102">
        <f>Table22[[#This Row],[CURRENT]]-Table22[[#This Row],[IDEAL]]</f>
        <v>-585</v>
      </c>
    </row>
    <row r="258" spans="1:4" x14ac:dyDescent="0.25">
      <c r="A258" t="s">
        <v>13903</v>
      </c>
      <c r="B258" s="102">
        <v>3312</v>
      </c>
      <c r="C258" s="102">
        <v>3897</v>
      </c>
      <c r="D258" s="102">
        <f>Table22[[#This Row],[CURRENT]]-Table22[[#This Row],[IDEAL]]</f>
        <v>-585</v>
      </c>
    </row>
    <row r="259" spans="1:4" x14ac:dyDescent="0.25">
      <c r="A259" t="s">
        <v>13807</v>
      </c>
      <c r="B259" s="102">
        <v>2854</v>
      </c>
      <c r="C259" s="102">
        <v>3439</v>
      </c>
      <c r="D259" s="102">
        <f>Table22[[#This Row],[CURRENT]]-Table22[[#This Row],[IDEAL]]</f>
        <v>-585</v>
      </c>
    </row>
    <row r="260" spans="1:4" x14ac:dyDescent="0.25">
      <c r="A260" t="s">
        <v>15318</v>
      </c>
      <c r="B260" s="102">
        <v>3307</v>
      </c>
      <c r="C260" s="102">
        <v>3891</v>
      </c>
      <c r="D260" s="102">
        <f>Table22[[#This Row],[CURRENT]]-Table22[[#This Row],[IDEAL]]</f>
        <v>-584</v>
      </c>
    </row>
    <row r="261" spans="1:4" x14ac:dyDescent="0.25">
      <c r="A261" t="s">
        <v>14458</v>
      </c>
      <c r="B261" s="102">
        <v>2487</v>
      </c>
      <c r="C261" s="102">
        <v>3071</v>
      </c>
      <c r="D261" s="102">
        <f>Table22[[#This Row],[CURRENT]]-Table22[[#This Row],[IDEAL]]</f>
        <v>-584</v>
      </c>
    </row>
    <row r="262" spans="1:4" x14ac:dyDescent="0.25">
      <c r="A262" t="s">
        <v>16064</v>
      </c>
      <c r="B262" s="102">
        <v>3065</v>
      </c>
      <c r="C262" s="102">
        <v>3649</v>
      </c>
      <c r="D262" s="102">
        <f>Table22[[#This Row],[CURRENT]]-Table22[[#This Row],[IDEAL]]</f>
        <v>-584</v>
      </c>
    </row>
    <row r="263" spans="1:4" x14ac:dyDescent="0.25">
      <c r="A263" t="s">
        <v>17119</v>
      </c>
      <c r="B263" s="102">
        <v>3055</v>
      </c>
      <c r="C263" s="102">
        <v>3638</v>
      </c>
      <c r="D263" s="102">
        <f>Table22[[#This Row],[CURRENT]]-Table22[[#This Row],[IDEAL]]</f>
        <v>-583</v>
      </c>
    </row>
    <row r="264" spans="1:4" x14ac:dyDescent="0.25">
      <c r="A264" t="s">
        <v>13912</v>
      </c>
      <c r="B264" s="102">
        <v>2481</v>
      </c>
      <c r="C264" s="102">
        <v>3063</v>
      </c>
      <c r="D264" s="102">
        <f>Table22[[#This Row],[CURRENT]]-Table22[[#This Row],[IDEAL]]</f>
        <v>-582</v>
      </c>
    </row>
    <row r="265" spans="1:4" x14ac:dyDescent="0.25">
      <c r="A265" t="s">
        <v>17242</v>
      </c>
      <c r="B265" s="102">
        <v>3048</v>
      </c>
      <c r="C265" s="102">
        <v>3629</v>
      </c>
      <c r="D265" s="102">
        <f>Table22[[#This Row],[CURRENT]]-Table22[[#This Row],[IDEAL]]</f>
        <v>-581</v>
      </c>
    </row>
    <row r="266" spans="1:4" x14ac:dyDescent="0.25">
      <c r="A266" t="s">
        <v>16185</v>
      </c>
      <c r="B266" s="102">
        <v>2643</v>
      </c>
      <c r="C266" s="102">
        <v>3224</v>
      </c>
      <c r="D266" s="102">
        <f>Table22[[#This Row],[CURRENT]]-Table22[[#This Row],[IDEAL]]</f>
        <v>-581</v>
      </c>
    </row>
    <row r="267" spans="1:4" x14ac:dyDescent="0.25">
      <c r="A267" t="s">
        <v>16069</v>
      </c>
      <c r="B267" s="102">
        <v>3040</v>
      </c>
      <c r="C267" s="102">
        <v>3620</v>
      </c>
      <c r="D267" s="102">
        <f>Table22[[#This Row],[CURRENT]]-Table22[[#This Row],[IDEAL]]</f>
        <v>-580</v>
      </c>
    </row>
    <row r="268" spans="1:4" x14ac:dyDescent="0.25">
      <c r="A268" t="s">
        <v>16022</v>
      </c>
      <c r="B268" s="102">
        <v>3282</v>
      </c>
      <c r="C268" s="102">
        <v>3862</v>
      </c>
      <c r="D268" s="102">
        <f>Table22[[#This Row],[CURRENT]]-Table22[[#This Row],[IDEAL]]</f>
        <v>-580</v>
      </c>
    </row>
    <row r="269" spans="1:4" x14ac:dyDescent="0.25">
      <c r="A269" t="s">
        <v>13649</v>
      </c>
      <c r="B269" s="102">
        <v>3553</v>
      </c>
      <c r="C269" s="102">
        <v>4132</v>
      </c>
      <c r="D269" s="102">
        <f>Table22[[#This Row],[CURRENT]]-Table22[[#This Row],[IDEAL]]</f>
        <v>-579</v>
      </c>
    </row>
    <row r="270" spans="1:4" x14ac:dyDescent="0.25">
      <c r="A270" t="s">
        <v>14415</v>
      </c>
      <c r="B270" s="102">
        <v>2629</v>
      </c>
      <c r="C270" s="102">
        <v>3207</v>
      </c>
      <c r="D270" s="102">
        <f>Table22[[#This Row],[CURRENT]]-Table22[[#This Row],[IDEAL]]</f>
        <v>-578</v>
      </c>
    </row>
    <row r="271" spans="1:4" x14ac:dyDescent="0.25">
      <c r="A271" t="s">
        <v>14270</v>
      </c>
      <c r="B271" s="102">
        <v>2629</v>
      </c>
      <c r="C271" s="102">
        <v>3207</v>
      </c>
      <c r="D271" s="102">
        <f>Table22[[#This Row],[CURRENT]]-Table22[[#This Row],[IDEAL]]</f>
        <v>-578</v>
      </c>
    </row>
    <row r="272" spans="1:4" x14ac:dyDescent="0.25">
      <c r="A272" t="s">
        <v>14793</v>
      </c>
      <c r="B272" s="102">
        <v>2627</v>
      </c>
      <c r="C272" s="102">
        <v>3204</v>
      </c>
      <c r="D272" s="102">
        <f>Table22[[#This Row],[CURRENT]]-Table22[[#This Row],[IDEAL]]</f>
        <v>-577</v>
      </c>
    </row>
    <row r="273" spans="1:4" x14ac:dyDescent="0.25">
      <c r="A273" t="s">
        <v>16268</v>
      </c>
      <c r="B273" s="102">
        <v>2307</v>
      </c>
      <c r="C273" s="102">
        <v>2884</v>
      </c>
      <c r="D273" s="102">
        <f>Table22[[#This Row],[CURRENT]]-Table22[[#This Row],[IDEAL]]</f>
        <v>-577</v>
      </c>
    </row>
    <row r="274" spans="1:4" x14ac:dyDescent="0.25">
      <c r="A274" t="s">
        <v>15981</v>
      </c>
      <c r="B274" s="102">
        <v>3538</v>
      </c>
      <c r="C274" s="102">
        <v>4114</v>
      </c>
      <c r="D274" s="102">
        <f>Table22[[#This Row],[CURRENT]]-Table22[[#This Row],[IDEAL]]</f>
        <v>-576</v>
      </c>
    </row>
    <row r="275" spans="1:4" x14ac:dyDescent="0.25">
      <c r="A275" t="s">
        <v>16026</v>
      </c>
      <c r="B275" s="102">
        <v>3260</v>
      </c>
      <c r="C275" s="102">
        <v>3836</v>
      </c>
      <c r="D275" s="102">
        <f>Table22[[#This Row],[CURRENT]]-Table22[[#This Row],[IDEAL]]</f>
        <v>-576</v>
      </c>
    </row>
    <row r="276" spans="1:4" x14ac:dyDescent="0.25">
      <c r="A276" t="s">
        <v>13571</v>
      </c>
      <c r="B276" s="102">
        <v>2804</v>
      </c>
      <c r="C276" s="102">
        <v>3379</v>
      </c>
      <c r="D276" s="102">
        <f>Table22[[#This Row],[CURRENT]]-Table22[[#This Row],[IDEAL]]</f>
        <v>-575</v>
      </c>
    </row>
    <row r="277" spans="1:4" x14ac:dyDescent="0.25">
      <c r="A277" t="s">
        <v>17268</v>
      </c>
      <c r="B277" s="102">
        <v>3842</v>
      </c>
      <c r="C277" s="102">
        <v>4417</v>
      </c>
      <c r="D277" s="102">
        <f>Table22[[#This Row],[CURRENT]]-Table22[[#This Row],[IDEAL]]</f>
        <v>-575</v>
      </c>
    </row>
    <row r="278" spans="1:4" x14ac:dyDescent="0.25">
      <c r="A278" t="s">
        <v>15982</v>
      </c>
      <c r="B278" s="102">
        <v>3529</v>
      </c>
      <c r="C278" s="102">
        <v>4104</v>
      </c>
      <c r="D278" s="102">
        <f>Table22[[#This Row],[CURRENT]]-Table22[[#This Row],[IDEAL]]</f>
        <v>-575</v>
      </c>
    </row>
    <row r="279" spans="1:4" x14ac:dyDescent="0.25">
      <c r="A279" t="s">
        <v>14250</v>
      </c>
      <c r="B279" s="102">
        <v>3010</v>
      </c>
      <c r="C279" s="102">
        <v>3584</v>
      </c>
      <c r="D279" s="102">
        <f>Table22[[#This Row],[CURRENT]]-Table22[[#This Row],[IDEAL]]</f>
        <v>-574</v>
      </c>
    </row>
    <row r="280" spans="1:4" x14ac:dyDescent="0.25">
      <c r="A280" t="s">
        <v>17287</v>
      </c>
      <c r="B280" s="102">
        <v>3520</v>
      </c>
      <c r="C280" s="102">
        <v>4094</v>
      </c>
      <c r="D280" s="102">
        <f>Table22[[#This Row],[CURRENT]]-Table22[[#This Row],[IDEAL]]</f>
        <v>-574</v>
      </c>
    </row>
    <row r="281" spans="1:4" x14ac:dyDescent="0.25">
      <c r="A281" t="s">
        <v>13523</v>
      </c>
      <c r="B281" s="102">
        <v>2795</v>
      </c>
      <c r="C281" s="102">
        <v>3368</v>
      </c>
      <c r="D281" s="102">
        <f>Table22[[#This Row],[CURRENT]]-Table22[[#This Row],[IDEAL]]</f>
        <v>-573</v>
      </c>
    </row>
    <row r="282" spans="1:4" x14ac:dyDescent="0.25">
      <c r="A282" t="s">
        <v>17059</v>
      </c>
      <c r="B282" s="102">
        <v>3243</v>
      </c>
      <c r="C282" s="102">
        <v>3816</v>
      </c>
      <c r="D282" s="102">
        <f>Table22[[#This Row],[CURRENT]]-Table22[[#This Row],[IDEAL]]</f>
        <v>-573</v>
      </c>
    </row>
    <row r="283" spans="1:4" x14ac:dyDescent="0.25">
      <c r="A283" t="s">
        <v>15983</v>
      </c>
      <c r="B283" s="102">
        <v>3515</v>
      </c>
      <c r="C283" s="102">
        <v>4088</v>
      </c>
      <c r="D283" s="102">
        <f>Table22[[#This Row],[CURRENT]]-Table22[[#This Row],[IDEAL]]</f>
        <v>-573</v>
      </c>
    </row>
    <row r="284" spans="1:4" x14ac:dyDescent="0.25">
      <c r="A284" t="s">
        <v>17270</v>
      </c>
      <c r="B284" s="102">
        <v>3824</v>
      </c>
      <c r="C284" s="102">
        <v>4396</v>
      </c>
      <c r="D284" s="102">
        <f>Table22[[#This Row],[CURRENT]]-Table22[[#This Row],[IDEAL]]</f>
        <v>-572</v>
      </c>
    </row>
    <row r="285" spans="1:4" x14ac:dyDescent="0.25">
      <c r="A285" t="s">
        <v>17067</v>
      </c>
      <c r="B285" s="102">
        <v>2435</v>
      </c>
      <c r="C285" s="102">
        <v>3007</v>
      </c>
      <c r="D285" s="102">
        <f>Table22[[#This Row],[CURRENT]]-Table22[[#This Row],[IDEAL]]</f>
        <v>-572</v>
      </c>
    </row>
    <row r="286" spans="1:4" x14ac:dyDescent="0.25">
      <c r="A286" t="s">
        <v>17234</v>
      </c>
      <c r="B286" s="102">
        <v>3507</v>
      </c>
      <c r="C286" s="102">
        <v>4079</v>
      </c>
      <c r="D286" s="102">
        <f>Table22[[#This Row],[CURRENT]]-Table22[[#This Row],[IDEAL]]</f>
        <v>-572</v>
      </c>
    </row>
    <row r="287" spans="1:4" x14ac:dyDescent="0.25">
      <c r="A287" t="s">
        <v>14385</v>
      </c>
      <c r="B287" s="102">
        <v>2433</v>
      </c>
      <c r="C287" s="102">
        <v>3004</v>
      </c>
      <c r="D287" s="102">
        <f>Table22[[#This Row],[CURRENT]]-Table22[[#This Row],[IDEAL]]</f>
        <v>-571</v>
      </c>
    </row>
    <row r="288" spans="1:4" x14ac:dyDescent="0.25">
      <c r="A288" t="s">
        <v>14452</v>
      </c>
      <c r="B288" s="102">
        <v>2431</v>
      </c>
      <c r="C288" s="102">
        <v>3002</v>
      </c>
      <c r="D288" s="102">
        <f>Table22[[#This Row],[CURRENT]]-Table22[[#This Row],[IDEAL]]</f>
        <v>-571</v>
      </c>
    </row>
    <row r="289" spans="1:4" x14ac:dyDescent="0.25">
      <c r="A289" t="s">
        <v>17303</v>
      </c>
      <c r="B289" s="102">
        <v>2785</v>
      </c>
      <c r="C289" s="102">
        <v>3356</v>
      </c>
      <c r="D289" s="102">
        <f>Table22[[#This Row],[CURRENT]]-Table22[[#This Row],[IDEAL]]</f>
        <v>-571</v>
      </c>
    </row>
    <row r="290" spans="1:4" x14ac:dyDescent="0.25">
      <c r="A290" t="s">
        <v>13836</v>
      </c>
      <c r="B290" s="102">
        <v>2425</v>
      </c>
      <c r="C290" s="102">
        <v>2995</v>
      </c>
      <c r="D290" s="102">
        <f>Table22[[#This Row],[CURRENT]]-Table22[[#This Row],[IDEAL]]</f>
        <v>-570</v>
      </c>
    </row>
    <row r="291" spans="1:4" x14ac:dyDescent="0.25">
      <c r="A291" t="s">
        <v>17209</v>
      </c>
      <c r="B291" s="102">
        <v>3218</v>
      </c>
      <c r="C291" s="102">
        <v>3787</v>
      </c>
      <c r="D291" s="102">
        <f>Table22[[#This Row],[CURRENT]]-Table22[[#This Row],[IDEAL]]</f>
        <v>-569</v>
      </c>
    </row>
    <row r="292" spans="1:4" x14ac:dyDescent="0.25">
      <c r="A292" t="s">
        <v>16149</v>
      </c>
      <c r="B292" s="102">
        <v>2778</v>
      </c>
      <c r="C292" s="102">
        <v>3347</v>
      </c>
      <c r="D292" s="102">
        <f>Table22[[#This Row],[CURRENT]]-Table22[[#This Row],[IDEAL]]</f>
        <v>-569</v>
      </c>
    </row>
    <row r="293" spans="1:4" x14ac:dyDescent="0.25">
      <c r="A293" t="s">
        <v>16277</v>
      </c>
      <c r="B293" s="102">
        <v>2269</v>
      </c>
      <c r="C293" s="102">
        <v>2837</v>
      </c>
      <c r="D293" s="102">
        <f>Table22[[#This Row],[CURRENT]]-Table22[[#This Row],[IDEAL]]</f>
        <v>-568</v>
      </c>
    </row>
    <row r="294" spans="1:4" x14ac:dyDescent="0.25">
      <c r="A294" t="s">
        <v>13875</v>
      </c>
      <c r="B294" s="102">
        <v>2976</v>
      </c>
      <c r="C294" s="102">
        <v>3543</v>
      </c>
      <c r="D294" s="102">
        <f>Table22[[#This Row],[CURRENT]]-Table22[[#This Row],[IDEAL]]</f>
        <v>-567</v>
      </c>
    </row>
    <row r="295" spans="1:4" x14ac:dyDescent="0.25">
      <c r="A295" t="s">
        <v>16037</v>
      </c>
      <c r="B295" s="102">
        <v>3204</v>
      </c>
      <c r="C295" s="102">
        <v>3770</v>
      </c>
      <c r="D295" s="102">
        <f>Table22[[#This Row],[CURRENT]]-Table22[[#This Row],[IDEAL]]</f>
        <v>-566</v>
      </c>
    </row>
    <row r="296" spans="1:4" x14ac:dyDescent="0.25">
      <c r="A296" t="s">
        <v>17647</v>
      </c>
      <c r="B296" s="102">
        <v>2258</v>
      </c>
      <c r="C296" s="102">
        <v>2823</v>
      </c>
      <c r="D296" s="102">
        <f>Table22[[#This Row],[CURRENT]]-Table22[[#This Row],[IDEAL]]</f>
        <v>-565</v>
      </c>
    </row>
    <row r="297" spans="1:4" x14ac:dyDescent="0.25">
      <c r="A297" t="s">
        <v>13381</v>
      </c>
      <c r="B297" s="102">
        <v>2255</v>
      </c>
      <c r="C297" s="102">
        <v>2819</v>
      </c>
      <c r="D297" s="102">
        <f>Table22[[#This Row],[CURRENT]]-Table22[[#This Row],[IDEAL]]</f>
        <v>-564</v>
      </c>
    </row>
    <row r="298" spans="1:4" x14ac:dyDescent="0.25">
      <c r="A298" t="s">
        <v>12474</v>
      </c>
      <c r="B298" s="102">
        <v>2954</v>
      </c>
      <c r="C298" s="102">
        <v>3517</v>
      </c>
      <c r="D298" s="102">
        <f>Table22[[#This Row],[CURRENT]]-Table22[[#This Row],[IDEAL]]</f>
        <v>-563</v>
      </c>
    </row>
    <row r="299" spans="1:4" x14ac:dyDescent="0.25">
      <c r="A299" t="s">
        <v>17253</v>
      </c>
      <c r="B299" s="102">
        <v>4122</v>
      </c>
      <c r="C299" s="102">
        <v>4685</v>
      </c>
      <c r="D299" s="102">
        <f>Table22[[#This Row],[CURRENT]]-Table22[[#This Row],[IDEAL]]</f>
        <v>-563</v>
      </c>
    </row>
    <row r="300" spans="1:4" x14ac:dyDescent="0.25">
      <c r="A300" t="s">
        <v>13654</v>
      </c>
      <c r="B300" s="102">
        <v>3173</v>
      </c>
      <c r="C300" s="102">
        <v>3734</v>
      </c>
      <c r="D300" s="102">
        <f>Table22[[#This Row],[CURRENT]]-Table22[[#This Row],[IDEAL]]</f>
        <v>-561</v>
      </c>
    </row>
    <row r="301" spans="1:4" x14ac:dyDescent="0.25">
      <c r="A301" t="s">
        <v>16158</v>
      </c>
      <c r="B301" s="102">
        <v>2734</v>
      </c>
      <c r="C301" s="102">
        <v>3295</v>
      </c>
      <c r="D301" s="102">
        <f>Table22[[#This Row],[CURRENT]]-Table22[[#This Row],[IDEAL]]</f>
        <v>-561</v>
      </c>
    </row>
    <row r="302" spans="1:4" x14ac:dyDescent="0.25">
      <c r="A302" t="s">
        <v>13592</v>
      </c>
      <c r="B302" s="102">
        <v>2733</v>
      </c>
      <c r="C302" s="102">
        <v>3293</v>
      </c>
      <c r="D302" s="102">
        <f>Table22[[#This Row],[CURRENT]]-Table22[[#This Row],[IDEAL]]</f>
        <v>-560</v>
      </c>
    </row>
    <row r="303" spans="1:4" x14ac:dyDescent="0.25">
      <c r="A303" t="s">
        <v>17279</v>
      </c>
      <c r="B303" s="102">
        <v>3741</v>
      </c>
      <c r="C303" s="102">
        <v>4301</v>
      </c>
      <c r="D303" s="102">
        <f>Table22[[#This Row],[CURRENT]]-Table22[[#This Row],[IDEAL]]</f>
        <v>-560</v>
      </c>
    </row>
    <row r="304" spans="1:4" x14ac:dyDescent="0.25">
      <c r="A304" t="s">
        <v>16254</v>
      </c>
      <c r="B304" s="102">
        <v>2386</v>
      </c>
      <c r="C304" s="102">
        <v>2946</v>
      </c>
      <c r="D304" s="102">
        <f>Table22[[#This Row],[CURRENT]]-Table22[[#This Row],[IDEAL]]</f>
        <v>-560</v>
      </c>
    </row>
    <row r="305" spans="1:4" x14ac:dyDescent="0.25">
      <c r="A305" t="s">
        <v>14400</v>
      </c>
      <c r="B305" s="102">
        <v>2539</v>
      </c>
      <c r="C305" s="102">
        <v>3097</v>
      </c>
      <c r="D305" s="102">
        <f>Table22[[#This Row],[CURRENT]]-Table22[[#This Row],[IDEAL]]</f>
        <v>-558</v>
      </c>
    </row>
    <row r="306" spans="1:4" x14ac:dyDescent="0.25">
      <c r="A306" t="s">
        <v>13383</v>
      </c>
      <c r="B306" s="102">
        <v>2231</v>
      </c>
      <c r="C306" s="102">
        <v>2789</v>
      </c>
      <c r="D306" s="102">
        <f>Table22[[#This Row],[CURRENT]]-Table22[[#This Row],[IDEAL]]</f>
        <v>-558</v>
      </c>
    </row>
    <row r="307" spans="1:4" x14ac:dyDescent="0.25">
      <c r="A307" t="s">
        <v>16259</v>
      </c>
      <c r="B307" s="102">
        <v>2376</v>
      </c>
      <c r="C307" s="102">
        <v>2934</v>
      </c>
      <c r="D307" s="102">
        <f>Table22[[#This Row],[CURRENT]]-Table22[[#This Row],[IDEAL]]</f>
        <v>-558</v>
      </c>
    </row>
    <row r="308" spans="1:4" x14ac:dyDescent="0.25">
      <c r="A308" t="s">
        <v>14481</v>
      </c>
      <c r="B308" s="102">
        <v>2919</v>
      </c>
      <c r="C308" s="102">
        <v>3475</v>
      </c>
      <c r="D308" s="102">
        <f>Table22[[#This Row],[CURRENT]]-Table22[[#This Row],[IDEAL]]</f>
        <v>-556</v>
      </c>
    </row>
    <row r="309" spans="1:4" x14ac:dyDescent="0.25">
      <c r="A309" t="s">
        <v>13635</v>
      </c>
      <c r="B309" s="102">
        <v>2528</v>
      </c>
      <c r="C309" s="102">
        <v>3084</v>
      </c>
      <c r="D309" s="102">
        <f>Table22[[#This Row],[CURRENT]]-Table22[[#This Row],[IDEAL]]</f>
        <v>-556</v>
      </c>
    </row>
    <row r="310" spans="1:4" x14ac:dyDescent="0.25">
      <c r="A310" t="s">
        <v>13842</v>
      </c>
      <c r="B310" s="102">
        <v>2918</v>
      </c>
      <c r="C310" s="102">
        <v>3474</v>
      </c>
      <c r="D310" s="102">
        <f>Table22[[#This Row],[CURRENT]]-Table22[[#This Row],[IDEAL]]</f>
        <v>-556</v>
      </c>
    </row>
    <row r="311" spans="1:4" x14ac:dyDescent="0.25">
      <c r="A311" t="s">
        <v>17281</v>
      </c>
      <c r="B311" s="102">
        <v>3716</v>
      </c>
      <c r="C311" s="102">
        <v>4272</v>
      </c>
      <c r="D311" s="102">
        <f>Table22[[#This Row],[CURRENT]]-Table22[[#This Row],[IDEAL]]</f>
        <v>-556</v>
      </c>
    </row>
    <row r="312" spans="1:4" x14ac:dyDescent="0.25">
      <c r="A312" t="s">
        <v>12498</v>
      </c>
      <c r="B312" s="102">
        <v>2708</v>
      </c>
      <c r="C312" s="102">
        <v>3263</v>
      </c>
      <c r="D312" s="102">
        <f>Table22[[#This Row],[CURRENT]]-Table22[[#This Row],[IDEAL]]</f>
        <v>-555</v>
      </c>
    </row>
    <row r="313" spans="1:4" x14ac:dyDescent="0.25">
      <c r="A313" t="s">
        <v>13909</v>
      </c>
      <c r="B313" s="102">
        <v>2522</v>
      </c>
      <c r="C313" s="102">
        <v>3076</v>
      </c>
      <c r="D313" s="102">
        <f>Table22[[#This Row],[CURRENT]]-Table22[[#This Row],[IDEAL]]</f>
        <v>-554</v>
      </c>
    </row>
    <row r="314" spans="1:4" x14ac:dyDescent="0.25">
      <c r="A314" t="s">
        <v>16002</v>
      </c>
      <c r="B314" s="102">
        <v>3399</v>
      </c>
      <c r="C314" s="102">
        <v>3953</v>
      </c>
      <c r="D314" s="102">
        <f>Table22[[#This Row],[CURRENT]]-Table22[[#This Row],[IDEAL]]</f>
        <v>-554</v>
      </c>
    </row>
    <row r="315" spans="1:4" x14ac:dyDescent="0.25">
      <c r="A315" t="s">
        <v>15973</v>
      </c>
      <c r="B315" s="102">
        <v>3702</v>
      </c>
      <c r="C315" s="102">
        <v>4256</v>
      </c>
      <c r="D315" s="102">
        <f>Table22[[#This Row],[CURRENT]]-Table22[[#This Row],[IDEAL]]</f>
        <v>-554</v>
      </c>
    </row>
    <row r="316" spans="1:4" x14ac:dyDescent="0.25">
      <c r="A316" t="s">
        <v>16054</v>
      </c>
      <c r="B316" s="102">
        <v>3133</v>
      </c>
      <c r="C316" s="102">
        <v>3687</v>
      </c>
      <c r="D316" s="102">
        <f>Table22[[#This Row],[CURRENT]]-Table22[[#This Row],[IDEAL]]</f>
        <v>-554</v>
      </c>
    </row>
    <row r="317" spans="1:4" x14ac:dyDescent="0.25">
      <c r="A317" t="s">
        <v>12236</v>
      </c>
      <c r="B317" s="102">
        <v>3131</v>
      </c>
      <c r="C317" s="102">
        <v>3684</v>
      </c>
      <c r="D317" s="102">
        <f>Table22[[#This Row],[CURRENT]]-Table22[[#This Row],[IDEAL]]</f>
        <v>-553</v>
      </c>
    </row>
    <row r="318" spans="1:4" x14ac:dyDescent="0.25">
      <c r="A318" t="s">
        <v>15975</v>
      </c>
      <c r="B318" s="102">
        <v>3697</v>
      </c>
      <c r="C318" s="102">
        <v>4250</v>
      </c>
      <c r="D318" s="102">
        <f>Table22[[#This Row],[CURRENT]]-Table22[[#This Row],[IDEAL]]</f>
        <v>-553</v>
      </c>
    </row>
    <row r="319" spans="1:4" x14ac:dyDescent="0.25">
      <c r="A319" t="s">
        <v>16216</v>
      </c>
      <c r="B319" s="102">
        <v>2514</v>
      </c>
      <c r="C319" s="102">
        <v>3067</v>
      </c>
      <c r="D319" s="102">
        <f>Table22[[#This Row],[CURRENT]]-Table22[[#This Row],[IDEAL]]</f>
        <v>-553</v>
      </c>
    </row>
    <row r="320" spans="1:4" x14ac:dyDescent="0.25">
      <c r="A320" t="s">
        <v>12483</v>
      </c>
      <c r="B320" s="102">
        <v>2897</v>
      </c>
      <c r="C320" s="102">
        <v>3449</v>
      </c>
      <c r="D320" s="102">
        <f>Table22[[#This Row],[CURRENT]]-Table22[[#This Row],[IDEAL]]</f>
        <v>-552</v>
      </c>
    </row>
    <row r="321" spans="1:4" x14ac:dyDescent="0.25">
      <c r="A321" t="s">
        <v>12283</v>
      </c>
      <c r="B321" s="102">
        <v>2687</v>
      </c>
      <c r="C321" s="102">
        <v>3238</v>
      </c>
      <c r="D321" s="102">
        <f>Table22[[#This Row],[CURRENT]]-Table22[[#This Row],[IDEAL]]</f>
        <v>-551</v>
      </c>
    </row>
    <row r="322" spans="1:4" x14ac:dyDescent="0.25">
      <c r="A322" t="s">
        <v>15075</v>
      </c>
      <c r="B322" s="102">
        <v>2507</v>
      </c>
      <c r="C322" s="102">
        <v>3058</v>
      </c>
      <c r="D322" s="102">
        <f>Table22[[#This Row],[CURRENT]]-Table22[[#This Row],[IDEAL]]</f>
        <v>-551</v>
      </c>
    </row>
    <row r="323" spans="1:4" x14ac:dyDescent="0.25">
      <c r="A323" t="s">
        <v>16266</v>
      </c>
      <c r="B323" s="102">
        <v>2348</v>
      </c>
      <c r="C323" s="102">
        <v>2899</v>
      </c>
      <c r="D323" s="102">
        <f>Table22[[#This Row],[CURRENT]]-Table22[[#This Row],[IDEAL]]</f>
        <v>-551</v>
      </c>
    </row>
    <row r="324" spans="1:4" x14ac:dyDescent="0.25">
      <c r="A324" t="s">
        <v>13386</v>
      </c>
      <c r="B324" s="102">
        <v>2197</v>
      </c>
      <c r="C324" s="102">
        <v>2747</v>
      </c>
      <c r="D324" s="102">
        <f>Table22[[#This Row],[CURRENT]]-Table22[[#This Row],[IDEAL]]</f>
        <v>-550</v>
      </c>
    </row>
    <row r="325" spans="1:4" x14ac:dyDescent="0.25">
      <c r="A325" t="s">
        <v>13750</v>
      </c>
      <c r="B325" s="102">
        <v>2886</v>
      </c>
      <c r="C325" s="102">
        <v>3436</v>
      </c>
      <c r="D325" s="102">
        <f>Table22[[#This Row],[CURRENT]]-Table22[[#This Row],[IDEAL]]</f>
        <v>-550</v>
      </c>
    </row>
    <row r="326" spans="1:4" x14ac:dyDescent="0.25">
      <c r="A326" t="s">
        <v>17054</v>
      </c>
      <c r="B326" s="102">
        <v>2683</v>
      </c>
      <c r="C326" s="102">
        <v>3233</v>
      </c>
      <c r="D326" s="102">
        <f>Table22[[#This Row],[CURRENT]]-Table22[[#This Row],[IDEAL]]</f>
        <v>-550</v>
      </c>
    </row>
    <row r="327" spans="1:4" x14ac:dyDescent="0.25">
      <c r="A327" t="s">
        <v>16180</v>
      </c>
      <c r="B327" s="102">
        <v>2682</v>
      </c>
      <c r="C327" s="102">
        <v>3232</v>
      </c>
      <c r="D327" s="102">
        <f>Table22[[#This Row],[CURRENT]]-Table22[[#This Row],[IDEAL]]</f>
        <v>-550</v>
      </c>
    </row>
    <row r="328" spans="1:4" x14ac:dyDescent="0.25">
      <c r="A328" t="s">
        <v>16061</v>
      </c>
      <c r="B328" s="102">
        <v>3112</v>
      </c>
      <c r="C328" s="102">
        <v>3662</v>
      </c>
      <c r="D328" s="102">
        <f>Table22[[#This Row],[CURRENT]]-Table22[[#This Row],[IDEAL]]</f>
        <v>-550</v>
      </c>
    </row>
    <row r="329" spans="1:4" x14ac:dyDescent="0.25">
      <c r="A329" t="s">
        <v>17200</v>
      </c>
      <c r="B329" s="102">
        <v>4022</v>
      </c>
      <c r="C329" s="102">
        <v>4571</v>
      </c>
      <c r="D329" s="102">
        <f>Table22[[#This Row],[CURRENT]]-Table22[[#This Row],[IDEAL]]</f>
        <v>-549</v>
      </c>
    </row>
    <row r="330" spans="1:4" x14ac:dyDescent="0.25">
      <c r="A330" t="s">
        <v>15312</v>
      </c>
      <c r="B330" s="102">
        <v>3360</v>
      </c>
      <c r="C330" s="102">
        <v>3908</v>
      </c>
      <c r="D330" s="102">
        <f>Table22[[#This Row],[CURRENT]]-Table22[[#This Row],[IDEAL]]</f>
        <v>-548</v>
      </c>
    </row>
    <row r="331" spans="1:4" x14ac:dyDescent="0.25">
      <c r="A331" t="s">
        <v>12595</v>
      </c>
      <c r="B331" s="102">
        <v>3104</v>
      </c>
      <c r="C331" s="102">
        <v>3652</v>
      </c>
      <c r="D331" s="102">
        <f>Table22[[#This Row],[CURRENT]]-Table22[[#This Row],[IDEAL]]</f>
        <v>-548</v>
      </c>
    </row>
    <row r="332" spans="1:4" x14ac:dyDescent="0.25">
      <c r="A332" t="s">
        <v>16125</v>
      </c>
      <c r="B332" s="102">
        <v>2869</v>
      </c>
      <c r="C332" s="102">
        <v>3416</v>
      </c>
      <c r="D332" s="102">
        <f>Table22[[#This Row],[CURRENT]]-Table22[[#This Row],[IDEAL]]</f>
        <v>-547</v>
      </c>
    </row>
    <row r="333" spans="1:4" x14ac:dyDescent="0.25">
      <c r="A333" t="s">
        <v>15314</v>
      </c>
      <c r="B333" s="102">
        <v>3350</v>
      </c>
      <c r="C333" s="102">
        <v>3896</v>
      </c>
      <c r="D333" s="102">
        <f>Table22[[#This Row],[CURRENT]]-Table22[[#This Row],[IDEAL]]</f>
        <v>-546</v>
      </c>
    </row>
    <row r="334" spans="1:4" x14ac:dyDescent="0.25">
      <c r="A334" t="s">
        <v>14352</v>
      </c>
      <c r="B334" s="102">
        <v>2327</v>
      </c>
      <c r="C334" s="102">
        <v>2873</v>
      </c>
      <c r="D334" s="102">
        <f>Table22[[#This Row],[CURRENT]]-Table22[[#This Row],[IDEAL]]</f>
        <v>-546</v>
      </c>
    </row>
    <row r="335" spans="1:4" x14ac:dyDescent="0.25">
      <c r="A335" t="s">
        <v>14258</v>
      </c>
      <c r="B335" s="102">
        <v>3351</v>
      </c>
      <c r="C335" s="102">
        <v>3897</v>
      </c>
      <c r="D335" s="102">
        <f>Table22[[#This Row],[CURRENT]]-Table22[[#This Row],[IDEAL]]</f>
        <v>-546</v>
      </c>
    </row>
    <row r="336" spans="1:4" x14ac:dyDescent="0.25">
      <c r="A336" t="s">
        <v>13626</v>
      </c>
      <c r="B336" s="102">
        <v>2862</v>
      </c>
      <c r="C336" s="102">
        <v>3408</v>
      </c>
      <c r="D336" s="102">
        <f>Table22[[#This Row],[CURRENT]]-Table22[[#This Row],[IDEAL]]</f>
        <v>-546</v>
      </c>
    </row>
    <row r="337" spans="1:4" x14ac:dyDescent="0.25">
      <c r="A337" t="s">
        <v>17261</v>
      </c>
      <c r="B337" s="102">
        <v>4003</v>
      </c>
      <c r="C337" s="102">
        <v>4549</v>
      </c>
      <c r="D337" s="102">
        <f>Table22[[#This Row],[CURRENT]]-Table22[[#This Row],[IDEAL]]</f>
        <v>-546</v>
      </c>
    </row>
    <row r="338" spans="1:4" x14ac:dyDescent="0.25">
      <c r="A338" t="s">
        <v>14275</v>
      </c>
      <c r="B338" s="102">
        <v>3087</v>
      </c>
      <c r="C338" s="102">
        <v>3632</v>
      </c>
      <c r="D338" s="102">
        <f>Table22[[#This Row],[CURRENT]]-Table22[[#This Row],[IDEAL]]</f>
        <v>-545</v>
      </c>
    </row>
    <row r="339" spans="1:4" x14ac:dyDescent="0.25">
      <c r="A339" t="s">
        <v>17233</v>
      </c>
      <c r="B339" s="102">
        <v>3644</v>
      </c>
      <c r="C339" s="102">
        <v>4189</v>
      </c>
      <c r="D339" s="102">
        <f>Table22[[#This Row],[CURRENT]]-Table22[[#This Row],[IDEAL]]</f>
        <v>-545</v>
      </c>
    </row>
    <row r="340" spans="1:4" x14ac:dyDescent="0.25">
      <c r="A340" t="s">
        <v>16013</v>
      </c>
      <c r="B340" s="102">
        <v>3346</v>
      </c>
      <c r="C340" s="102">
        <v>3891</v>
      </c>
      <c r="D340" s="102">
        <f>Table22[[#This Row],[CURRENT]]-Table22[[#This Row],[IDEAL]]</f>
        <v>-545</v>
      </c>
    </row>
    <row r="341" spans="1:4" x14ac:dyDescent="0.25">
      <c r="A341" t="s">
        <v>15358</v>
      </c>
      <c r="B341" s="102">
        <v>2318</v>
      </c>
      <c r="C341" s="102">
        <v>2862</v>
      </c>
      <c r="D341" s="102">
        <f>Table22[[#This Row],[CURRENT]]-Table22[[#This Row],[IDEAL]]</f>
        <v>-544</v>
      </c>
    </row>
    <row r="342" spans="1:4" x14ac:dyDescent="0.25">
      <c r="A342" t="s">
        <v>13547</v>
      </c>
      <c r="B342" s="102">
        <v>2653</v>
      </c>
      <c r="C342" s="102">
        <v>3197</v>
      </c>
      <c r="D342" s="102">
        <f>Table22[[#This Row],[CURRENT]]-Table22[[#This Row],[IDEAL]]</f>
        <v>-544</v>
      </c>
    </row>
    <row r="343" spans="1:4" x14ac:dyDescent="0.25">
      <c r="A343" t="s">
        <v>13881</v>
      </c>
      <c r="B343" s="102">
        <v>2856</v>
      </c>
      <c r="C343" s="102">
        <v>3400</v>
      </c>
      <c r="D343" s="102">
        <f>Table22[[#This Row],[CURRENT]]-Table22[[#This Row],[IDEAL]]</f>
        <v>-544</v>
      </c>
    </row>
    <row r="344" spans="1:4" x14ac:dyDescent="0.25">
      <c r="A344" t="s">
        <v>13837</v>
      </c>
      <c r="B344" s="102">
        <v>2312</v>
      </c>
      <c r="C344" s="102">
        <v>2855</v>
      </c>
      <c r="D344" s="102">
        <f>Table22[[#This Row],[CURRENT]]-Table22[[#This Row],[IDEAL]]</f>
        <v>-543</v>
      </c>
    </row>
    <row r="345" spans="1:4" x14ac:dyDescent="0.25">
      <c r="A345" t="s">
        <v>17307</v>
      </c>
      <c r="B345" s="102">
        <v>2651</v>
      </c>
      <c r="C345" s="102">
        <v>3194</v>
      </c>
      <c r="D345" s="102">
        <f>Table22[[#This Row],[CURRENT]]-Table22[[#This Row],[IDEAL]]</f>
        <v>-543</v>
      </c>
    </row>
    <row r="346" spans="1:4" x14ac:dyDescent="0.25">
      <c r="A346" t="s">
        <v>16019</v>
      </c>
      <c r="B346" s="102">
        <v>3333</v>
      </c>
      <c r="C346" s="102">
        <v>3876</v>
      </c>
      <c r="D346" s="102">
        <f>Table22[[#This Row],[CURRENT]]-Table22[[#This Row],[IDEAL]]</f>
        <v>-543</v>
      </c>
    </row>
    <row r="347" spans="1:4" x14ac:dyDescent="0.25">
      <c r="A347" t="s">
        <v>14353</v>
      </c>
      <c r="B347" s="102">
        <v>2308</v>
      </c>
      <c r="C347" s="102">
        <v>2850</v>
      </c>
      <c r="D347" s="102">
        <f>Table22[[#This Row],[CURRENT]]-Table22[[#This Row],[IDEAL]]</f>
        <v>-542</v>
      </c>
    </row>
    <row r="348" spans="1:4" x14ac:dyDescent="0.25">
      <c r="A348" t="s">
        <v>13461</v>
      </c>
      <c r="B348" s="102">
        <v>2844</v>
      </c>
      <c r="C348" s="102">
        <v>3386</v>
      </c>
      <c r="D348" s="102">
        <f>Table22[[#This Row],[CURRENT]]-Table22[[#This Row],[IDEAL]]</f>
        <v>-542</v>
      </c>
    </row>
    <row r="349" spans="1:4" x14ac:dyDescent="0.25">
      <c r="A349" t="s">
        <v>13751</v>
      </c>
      <c r="B349" s="102">
        <v>2845</v>
      </c>
      <c r="C349" s="102">
        <v>3387</v>
      </c>
      <c r="D349" s="102">
        <f>Table22[[#This Row],[CURRENT]]-Table22[[#This Row],[IDEAL]]</f>
        <v>-542</v>
      </c>
    </row>
    <row r="350" spans="1:4" x14ac:dyDescent="0.25">
      <c r="A350" t="s">
        <v>17168</v>
      </c>
      <c r="B350" s="102">
        <v>3966</v>
      </c>
      <c r="C350" s="102">
        <v>4507</v>
      </c>
      <c r="D350" s="102">
        <f>Table22[[#This Row],[CURRENT]]-Table22[[#This Row],[IDEAL]]</f>
        <v>-541</v>
      </c>
    </row>
    <row r="351" spans="1:4" x14ac:dyDescent="0.25">
      <c r="A351" t="s">
        <v>16311</v>
      </c>
      <c r="B351" s="102">
        <v>2161</v>
      </c>
      <c r="C351" s="102">
        <v>2702</v>
      </c>
      <c r="D351" s="102">
        <f>Table22[[#This Row],[CURRENT]]-Table22[[#This Row],[IDEAL]]</f>
        <v>-541</v>
      </c>
    </row>
    <row r="352" spans="1:4" x14ac:dyDescent="0.25">
      <c r="A352" t="s">
        <v>17221</v>
      </c>
      <c r="B352" s="102">
        <v>3957</v>
      </c>
      <c r="C352" s="102">
        <v>4497</v>
      </c>
      <c r="D352" s="102">
        <f>Table22[[#This Row],[CURRENT]]-Table22[[#This Row],[IDEAL]]</f>
        <v>-540</v>
      </c>
    </row>
    <row r="353" spans="1:4" x14ac:dyDescent="0.25">
      <c r="A353" t="s">
        <v>16239</v>
      </c>
      <c r="B353" s="102">
        <v>2458</v>
      </c>
      <c r="C353" s="102">
        <v>2998</v>
      </c>
      <c r="D353" s="102">
        <f>Table22[[#This Row],[CURRENT]]-Table22[[#This Row],[IDEAL]]</f>
        <v>-540</v>
      </c>
    </row>
    <row r="354" spans="1:4" x14ac:dyDescent="0.25">
      <c r="A354" t="s">
        <v>12494</v>
      </c>
      <c r="B354" s="102">
        <v>2820</v>
      </c>
      <c r="C354" s="102">
        <v>3358</v>
      </c>
      <c r="D354" s="102">
        <f>Table22[[#This Row],[CURRENT]]-Table22[[#This Row],[IDEAL]]</f>
        <v>-538</v>
      </c>
    </row>
    <row r="355" spans="1:4" x14ac:dyDescent="0.25">
      <c r="A355" t="s">
        <v>17062</v>
      </c>
      <c r="B355" s="102">
        <v>2145</v>
      </c>
      <c r="C355" s="102">
        <v>2682</v>
      </c>
      <c r="D355" s="102">
        <f>Table22[[#This Row],[CURRENT]]-Table22[[#This Row],[IDEAL]]</f>
        <v>-537</v>
      </c>
    </row>
    <row r="356" spans="1:4" x14ac:dyDescent="0.25">
      <c r="A356" t="s">
        <v>16316</v>
      </c>
      <c r="B356" s="102">
        <v>2144</v>
      </c>
      <c r="C356" s="102">
        <v>2681</v>
      </c>
      <c r="D356" s="102">
        <f>Table22[[#This Row],[CURRENT]]-Table22[[#This Row],[IDEAL]]</f>
        <v>-537</v>
      </c>
    </row>
    <row r="357" spans="1:4" x14ac:dyDescent="0.25">
      <c r="A357" t="s">
        <v>15323</v>
      </c>
      <c r="B357" s="102">
        <v>3286</v>
      </c>
      <c r="C357" s="102">
        <v>3822</v>
      </c>
      <c r="D357" s="102">
        <f>Table22[[#This Row],[CURRENT]]-Table22[[#This Row],[IDEAL]]</f>
        <v>-536</v>
      </c>
    </row>
    <row r="358" spans="1:4" x14ac:dyDescent="0.25">
      <c r="A358" t="s">
        <v>17481</v>
      </c>
      <c r="B358" s="102">
        <v>2440</v>
      </c>
      <c r="C358" s="102">
        <v>2976</v>
      </c>
      <c r="D358" s="102">
        <f>Table22[[#This Row],[CURRENT]]-Table22[[#This Row],[IDEAL]]</f>
        <v>-536</v>
      </c>
    </row>
    <row r="359" spans="1:4" x14ac:dyDescent="0.25">
      <c r="A359" t="s">
        <v>16197</v>
      </c>
      <c r="B359" s="102">
        <v>2613</v>
      </c>
      <c r="C359" s="102">
        <v>3149</v>
      </c>
      <c r="D359" s="102">
        <f>Table22[[#This Row],[CURRENT]]-Table22[[#This Row],[IDEAL]]</f>
        <v>-536</v>
      </c>
    </row>
    <row r="360" spans="1:4" x14ac:dyDescent="0.25">
      <c r="A360" t="s">
        <v>14417</v>
      </c>
      <c r="B360" s="102">
        <v>2434</v>
      </c>
      <c r="C360" s="102">
        <v>2969</v>
      </c>
      <c r="D360" s="102">
        <f>Table22[[#This Row],[CURRENT]]-Table22[[#This Row],[IDEAL]]</f>
        <v>-535</v>
      </c>
    </row>
    <row r="361" spans="1:4" x14ac:dyDescent="0.25">
      <c r="A361" t="s">
        <v>16079</v>
      </c>
      <c r="B361" s="102">
        <v>3030</v>
      </c>
      <c r="C361" s="102">
        <v>3565</v>
      </c>
      <c r="D361" s="102">
        <f>Table22[[#This Row],[CURRENT]]-Table22[[#This Row],[IDEAL]]</f>
        <v>-535</v>
      </c>
    </row>
    <row r="362" spans="1:4" x14ac:dyDescent="0.25">
      <c r="A362" t="s">
        <v>16247</v>
      </c>
      <c r="B362" s="102">
        <v>2437</v>
      </c>
      <c r="C362" s="102">
        <v>2972</v>
      </c>
      <c r="D362" s="102">
        <f>Table22[[#This Row],[CURRENT]]-Table22[[#This Row],[IDEAL]]</f>
        <v>-535</v>
      </c>
    </row>
    <row r="363" spans="1:4" x14ac:dyDescent="0.25">
      <c r="A363" t="s">
        <v>15276</v>
      </c>
      <c r="B363" s="102">
        <v>3573</v>
      </c>
      <c r="C363" s="102">
        <v>4107</v>
      </c>
      <c r="D363" s="102">
        <f>Table22[[#This Row],[CURRENT]]-Table22[[#This Row],[IDEAL]]</f>
        <v>-534</v>
      </c>
    </row>
    <row r="364" spans="1:4" x14ac:dyDescent="0.25">
      <c r="A364" t="s">
        <v>14269</v>
      </c>
      <c r="B364" s="102">
        <v>2607</v>
      </c>
      <c r="C364" s="102">
        <v>3141</v>
      </c>
      <c r="D364" s="102">
        <f>Table22[[#This Row],[CURRENT]]-Table22[[#This Row],[IDEAL]]</f>
        <v>-534</v>
      </c>
    </row>
    <row r="365" spans="1:4" x14ac:dyDescent="0.25">
      <c r="A365" t="s">
        <v>13655</v>
      </c>
      <c r="B365" s="102">
        <v>3018</v>
      </c>
      <c r="C365" s="102">
        <v>3551</v>
      </c>
      <c r="D365" s="102">
        <f>Table22[[#This Row],[CURRENT]]-Table22[[#This Row],[IDEAL]]</f>
        <v>-533</v>
      </c>
    </row>
    <row r="366" spans="1:4" x14ac:dyDescent="0.25">
      <c r="A366" t="s">
        <v>17286</v>
      </c>
      <c r="B366" s="102">
        <v>3562</v>
      </c>
      <c r="C366" s="102">
        <v>4095</v>
      </c>
      <c r="D366" s="102">
        <f>Table22[[#This Row],[CURRENT]]-Table22[[#This Row],[IDEAL]]</f>
        <v>-533</v>
      </c>
    </row>
    <row r="367" spans="1:4" x14ac:dyDescent="0.25">
      <c r="A367" t="s">
        <v>17308</v>
      </c>
      <c r="B367" s="102">
        <v>2602</v>
      </c>
      <c r="C367" s="102">
        <v>3135</v>
      </c>
      <c r="D367" s="102">
        <f>Table22[[#This Row],[CURRENT]]-Table22[[#This Row],[IDEAL]]</f>
        <v>-533</v>
      </c>
    </row>
    <row r="368" spans="1:4" x14ac:dyDescent="0.25">
      <c r="A368" t="s">
        <v>17068</v>
      </c>
      <c r="B368" s="102">
        <v>3908</v>
      </c>
      <c r="C368" s="102">
        <v>4441</v>
      </c>
      <c r="D368" s="102">
        <f>Table22[[#This Row],[CURRENT]]-Table22[[#This Row],[IDEAL]]</f>
        <v>-533</v>
      </c>
    </row>
    <row r="369" spans="1:4" x14ac:dyDescent="0.25">
      <c r="A369" t="s">
        <v>13741</v>
      </c>
      <c r="B369" s="102">
        <v>2124</v>
      </c>
      <c r="C369" s="102">
        <v>2656</v>
      </c>
      <c r="D369" s="102">
        <f>Table22[[#This Row],[CURRENT]]-Table22[[#This Row],[IDEAL]]</f>
        <v>-532</v>
      </c>
    </row>
    <row r="370" spans="1:4" x14ac:dyDescent="0.25">
      <c r="A370" t="s">
        <v>17141</v>
      </c>
      <c r="B370" s="102">
        <v>3266</v>
      </c>
      <c r="C370" s="102">
        <v>3798</v>
      </c>
      <c r="D370" s="102">
        <f>Table22[[#This Row],[CURRENT]]-Table22[[#This Row],[IDEAL]]</f>
        <v>-532</v>
      </c>
    </row>
    <row r="371" spans="1:4" x14ac:dyDescent="0.25">
      <c r="A371" t="s">
        <v>17522</v>
      </c>
      <c r="B371" s="102">
        <v>2592</v>
      </c>
      <c r="C371" s="102">
        <v>3124</v>
      </c>
      <c r="D371" s="102">
        <f>Table22[[#This Row],[CURRENT]]-Table22[[#This Row],[IDEAL]]</f>
        <v>-532</v>
      </c>
    </row>
    <row r="372" spans="1:4" x14ac:dyDescent="0.25">
      <c r="A372" t="s">
        <v>17485</v>
      </c>
      <c r="B372" s="102">
        <v>2128</v>
      </c>
      <c r="C372" s="102">
        <v>2660</v>
      </c>
      <c r="D372" s="102">
        <f>Table22[[#This Row],[CURRENT]]-Table22[[#This Row],[IDEAL]]</f>
        <v>-532</v>
      </c>
    </row>
    <row r="373" spans="1:4" x14ac:dyDescent="0.25">
      <c r="A373" t="s">
        <v>17482</v>
      </c>
      <c r="B373" s="102">
        <v>2259</v>
      </c>
      <c r="C373" s="102">
        <v>2790</v>
      </c>
      <c r="D373" s="102">
        <f>Table22[[#This Row],[CURRENT]]-Table22[[#This Row],[IDEAL]]</f>
        <v>-531</v>
      </c>
    </row>
    <row r="374" spans="1:4" x14ac:dyDescent="0.25">
      <c r="A374" t="s">
        <v>17163</v>
      </c>
      <c r="B374" s="102">
        <v>2419</v>
      </c>
      <c r="C374" s="102">
        <v>2950</v>
      </c>
      <c r="D374" s="102">
        <f>Table22[[#This Row],[CURRENT]]-Table22[[#This Row],[IDEAL]]</f>
        <v>-531</v>
      </c>
    </row>
    <row r="375" spans="1:4" x14ac:dyDescent="0.25">
      <c r="A375" t="s">
        <v>17212</v>
      </c>
      <c r="B375" s="102">
        <v>4284</v>
      </c>
      <c r="C375" s="102">
        <v>4814</v>
      </c>
      <c r="D375" s="102">
        <f>Table22[[#This Row],[CURRENT]]-Table22[[#This Row],[IDEAL]]</f>
        <v>-530</v>
      </c>
    </row>
    <row r="376" spans="1:4" x14ac:dyDescent="0.25">
      <c r="A376" t="s">
        <v>17247</v>
      </c>
      <c r="B376" s="102">
        <v>4284</v>
      </c>
      <c r="C376" s="102">
        <v>4814</v>
      </c>
      <c r="D376" s="102">
        <f>Table22[[#This Row],[CURRENT]]-Table22[[#This Row],[IDEAL]]</f>
        <v>-530</v>
      </c>
    </row>
    <row r="377" spans="1:4" x14ac:dyDescent="0.25">
      <c r="A377" t="s">
        <v>16032</v>
      </c>
      <c r="B377" s="102">
        <v>3253</v>
      </c>
      <c r="C377" s="102">
        <v>3783</v>
      </c>
      <c r="D377" s="102">
        <f>Table22[[#This Row],[CURRENT]]-Table22[[#This Row],[IDEAL]]</f>
        <v>-530</v>
      </c>
    </row>
    <row r="378" spans="1:4" x14ac:dyDescent="0.25">
      <c r="A378" t="s">
        <v>16324</v>
      </c>
      <c r="B378" s="102">
        <v>2118</v>
      </c>
      <c r="C378" s="102">
        <v>2648</v>
      </c>
      <c r="D378" s="102">
        <f>Table22[[#This Row],[CURRENT]]-Table22[[#This Row],[IDEAL]]</f>
        <v>-530</v>
      </c>
    </row>
    <row r="379" spans="1:4" x14ac:dyDescent="0.25">
      <c r="A379" t="s">
        <v>12473</v>
      </c>
      <c r="B379" s="102">
        <v>2995</v>
      </c>
      <c r="C379" s="102">
        <v>3524</v>
      </c>
      <c r="D379" s="102">
        <f>Table22[[#This Row],[CURRENT]]-Table22[[#This Row],[IDEAL]]</f>
        <v>-529</v>
      </c>
    </row>
    <row r="380" spans="1:4" x14ac:dyDescent="0.25">
      <c r="A380" t="s">
        <v>13958</v>
      </c>
      <c r="B380" s="102">
        <v>2405</v>
      </c>
      <c r="C380" s="102">
        <v>2934</v>
      </c>
      <c r="D380" s="102">
        <f>Table22[[#This Row],[CURRENT]]-Table22[[#This Row],[IDEAL]]</f>
        <v>-529</v>
      </c>
    </row>
    <row r="381" spans="1:4" x14ac:dyDescent="0.25">
      <c r="A381" t="s">
        <v>17177</v>
      </c>
      <c r="B381" s="102">
        <v>3249</v>
      </c>
      <c r="C381" s="102">
        <v>3778</v>
      </c>
      <c r="D381" s="102">
        <f>Table22[[#This Row],[CURRENT]]-Table22[[#This Row],[IDEAL]]</f>
        <v>-529</v>
      </c>
    </row>
    <row r="382" spans="1:4" x14ac:dyDescent="0.25">
      <c r="A382" t="s">
        <v>17552</v>
      </c>
      <c r="B382" s="102">
        <v>2116</v>
      </c>
      <c r="C382" s="102">
        <v>2645</v>
      </c>
      <c r="D382" s="102">
        <f>Table22[[#This Row],[CURRENT]]-Table22[[#This Row],[IDEAL]]</f>
        <v>-529</v>
      </c>
    </row>
    <row r="383" spans="1:4" x14ac:dyDescent="0.25">
      <c r="A383" t="s">
        <v>17486</v>
      </c>
      <c r="B383" s="102">
        <v>2114</v>
      </c>
      <c r="C383" s="102">
        <v>2643</v>
      </c>
      <c r="D383" s="102">
        <f>Table22[[#This Row],[CURRENT]]-Table22[[#This Row],[IDEAL]]</f>
        <v>-529</v>
      </c>
    </row>
    <row r="384" spans="1:4" x14ac:dyDescent="0.25">
      <c r="A384" t="s">
        <v>16092</v>
      </c>
      <c r="B384" s="102">
        <v>2992</v>
      </c>
      <c r="C384" s="102">
        <v>3521</v>
      </c>
      <c r="D384" s="102">
        <f>Table22[[#This Row],[CURRENT]]-Table22[[#This Row],[IDEAL]]</f>
        <v>-529</v>
      </c>
    </row>
    <row r="385" spans="1:4" x14ac:dyDescent="0.25">
      <c r="A385" t="s">
        <v>13609</v>
      </c>
      <c r="B385" s="102">
        <v>2769</v>
      </c>
      <c r="C385" s="102">
        <v>3297</v>
      </c>
      <c r="D385" s="102">
        <f>Table22[[#This Row],[CURRENT]]-Table22[[#This Row],[IDEAL]]</f>
        <v>-528</v>
      </c>
    </row>
    <row r="386" spans="1:4" x14ac:dyDescent="0.25">
      <c r="A386" t="s">
        <v>13591</v>
      </c>
      <c r="B386" s="102">
        <v>2772</v>
      </c>
      <c r="C386" s="102">
        <v>3300</v>
      </c>
      <c r="D386" s="102">
        <f>Table22[[#This Row],[CURRENT]]-Table22[[#This Row],[IDEAL]]</f>
        <v>-528</v>
      </c>
    </row>
    <row r="387" spans="1:4" x14ac:dyDescent="0.25">
      <c r="A387" t="s">
        <v>17245</v>
      </c>
      <c r="B387" s="102">
        <v>2568</v>
      </c>
      <c r="C387" s="102">
        <v>3095</v>
      </c>
      <c r="D387" s="102">
        <f>Table22[[#This Row],[CURRENT]]-Table22[[#This Row],[IDEAL]]</f>
        <v>-527</v>
      </c>
    </row>
    <row r="388" spans="1:4" x14ac:dyDescent="0.25">
      <c r="A388" t="s">
        <v>16096</v>
      </c>
      <c r="B388" s="102">
        <v>2985</v>
      </c>
      <c r="C388" s="102">
        <v>3512</v>
      </c>
      <c r="D388" s="102">
        <f>Table22[[#This Row],[CURRENT]]-Table22[[#This Row],[IDEAL]]</f>
        <v>-527</v>
      </c>
    </row>
    <row r="389" spans="1:4" x14ac:dyDescent="0.25">
      <c r="A389" t="s">
        <v>12478</v>
      </c>
      <c r="B389" s="102">
        <v>2976</v>
      </c>
      <c r="C389" s="102">
        <v>3502</v>
      </c>
      <c r="D389" s="102">
        <f>Table22[[#This Row],[CURRENT]]-Table22[[#This Row],[IDEAL]]</f>
        <v>-526</v>
      </c>
    </row>
    <row r="390" spans="1:4" x14ac:dyDescent="0.25">
      <c r="A390" t="s">
        <v>13841</v>
      </c>
      <c r="B390" s="102">
        <v>2980</v>
      </c>
      <c r="C390" s="102">
        <v>3506</v>
      </c>
      <c r="D390" s="102">
        <f>Table22[[#This Row],[CURRENT]]-Table22[[#This Row],[IDEAL]]</f>
        <v>-526</v>
      </c>
    </row>
    <row r="391" spans="1:4" x14ac:dyDescent="0.25">
      <c r="A391" t="s">
        <v>13774</v>
      </c>
      <c r="B391" s="102">
        <v>3230</v>
      </c>
      <c r="C391" s="102">
        <v>3756</v>
      </c>
      <c r="D391" s="102">
        <f>Table22[[#This Row],[CURRENT]]-Table22[[#This Row],[IDEAL]]</f>
        <v>-526</v>
      </c>
    </row>
    <row r="392" spans="1:4" x14ac:dyDescent="0.25">
      <c r="A392" t="s">
        <v>17487</v>
      </c>
      <c r="B392" s="102">
        <v>2100</v>
      </c>
      <c r="C392" s="102">
        <v>2626</v>
      </c>
      <c r="D392" s="102">
        <f>Table22[[#This Row],[CURRENT]]-Table22[[#This Row],[IDEAL]]</f>
        <v>-526</v>
      </c>
    </row>
    <row r="393" spans="1:4" x14ac:dyDescent="0.25">
      <c r="A393" t="s">
        <v>15987</v>
      </c>
      <c r="B393" s="102">
        <v>3519</v>
      </c>
      <c r="C393" s="102">
        <v>4045</v>
      </c>
      <c r="D393" s="102">
        <f>Table22[[#This Row],[CURRENT]]-Table22[[#This Row],[IDEAL]]</f>
        <v>-526</v>
      </c>
    </row>
    <row r="394" spans="1:4" x14ac:dyDescent="0.25">
      <c r="A394" t="s">
        <v>16210</v>
      </c>
      <c r="B394" s="102">
        <v>2563</v>
      </c>
      <c r="C394" s="102">
        <v>3089</v>
      </c>
      <c r="D394" s="102">
        <f>Table22[[#This Row],[CURRENT]]-Table22[[#This Row],[IDEAL]]</f>
        <v>-526</v>
      </c>
    </row>
    <row r="395" spans="1:4" x14ac:dyDescent="0.25">
      <c r="A395" t="s">
        <v>13428</v>
      </c>
      <c r="B395" s="102">
        <v>3224</v>
      </c>
      <c r="C395" s="102">
        <v>3749</v>
      </c>
      <c r="D395" s="102">
        <f>Table22[[#This Row],[CURRENT]]-Table22[[#This Row],[IDEAL]]</f>
        <v>-525</v>
      </c>
    </row>
    <row r="396" spans="1:4" x14ac:dyDescent="0.25">
      <c r="A396" t="s">
        <v>15335</v>
      </c>
      <c r="B396" s="102">
        <v>2745</v>
      </c>
      <c r="C396" s="102">
        <v>3269</v>
      </c>
      <c r="D396" s="102">
        <f>Table22[[#This Row],[CURRENT]]-Table22[[#This Row],[IDEAL]]</f>
        <v>-524</v>
      </c>
    </row>
    <row r="397" spans="1:4" x14ac:dyDescent="0.25">
      <c r="A397" t="s">
        <v>14264</v>
      </c>
      <c r="B397" s="102">
        <v>3502</v>
      </c>
      <c r="C397" s="102">
        <v>4026</v>
      </c>
      <c r="D397" s="102">
        <f>Table22[[#This Row],[CURRENT]]-Table22[[#This Row],[IDEAL]]</f>
        <v>-524</v>
      </c>
    </row>
    <row r="398" spans="1:4" x14ac:dyDescent="0.25">
      <c r="A398" t="s">
        <v>14457</v>
      </c>
      <c r="B398" s="102">
        <v>2965</v>
      </c>
      <c r="C398" s="102">
        <v>3489</v>
      </c>
      <c r="D398" s="102">
        <f>Table22[[#This Row],[CURRENT]]-Table22[[#This Row],[IDEAL]]</f>
        <v>-524</v>
      </c>
    </row>
    <row r="399" spans="1:4" x14ac:dyDescent="0.25">
      <c r="A399" t="s">
        <v>17276</v>
      </c>
      <c r="B399" s="102">
        <v>3839</v>
      </c>
      <c r="C399" s="102">
        <v>4363</v>
      </c>
      <c r="D399" s="102">
        <f>Table22[[#This Row],[CURRENT]]-Table22[[#This Row],[IDEAL]]</f>
        <v>-524</v>
      </c>
    </row>
    <row r="400" spans="1:4" x14ac:dyDescent="0.25">
      <c r="A400" t="s">
        <v>15135</v>
      </c>
      <c r="B400" s="102">
        <v>4224</v>
      </c>
      <c r="C400" s="102">
        <v>4747</v>
      </c>
      <c r="D400" s="102">
        <f>Table22[[#This Row],[CURRENT]]-Table22[[#This Row],[IDEAL]]</f>
        <v>-523</v>
      </c>
    </row>
    <row r="401" spans="1:4" x14ac:dyDescent="0.25">
      <c r="A401" t="s">
        <v>14395</v>
      </c>
      <c r="B401" s="102">
        <v>2552</v>
      </c>
      <c r="C401" s="102">
        <v>3075</v>
      </c>
      <c r="D401" s="102">
        <f>Table22[[#This Row],[CURRENT]]-Table22[[#This Row],[IDEAL]]</f>
        <v>-523</v>
      </c>
    </row>
    <row r="402" spans="1:4" x14ac:dyDescent="0.25">
      <c r="A402" t="s">
        <v>17178</v>
      </c>
      <c r="B402" s="102">
        <v>3210</v>
      </c>
      <c r="C402" s="102">
        <v>3733</v>
      </c>
      <c r="D402" s="102">
        <f>Table22[[#This Row],[CURRENT]]-Table22[[#This Row],[IDEAL]]</f>
        <v>-523</v>
      </c>
    </row>
    <row r="403" spans="1:4" x14ac:dyDescent="0.25">
      <c r="A403" t="s">
        <v>15076</v>
      </c>
      <c r="B403" s="102">
        <v>2732</v>
      </c>
      <c r="C403" s="102">
        <v>3253</v>
      </c>
      <c r="D403" s="102">
        <f>Table22[[#This Row],[CURRENT]]-Table22[[#This Row],[IDEAL]]</f>
        <v>-521</v>
      </c>
    </row>
    <row r="404" spans="1:4" x14ac:dyDescent="0.25">
      <c r="A404" t="s">
        <v>14333</v>
      </c>
      <c r="B404" s="102">
        <v>2221</v>
      </c>
      <c r="C404" s="102">
        <v>2742</v>
      </c>
      <c r="D404" s="102">
        <f>Table22[[#This Row],[CURRENT]]-Table22[[#This Row],[IDEAL]]</f>
        <v>-521</v>
      </c>
    </row>
    <row r="405" spans="1:4" x14ac:dyDescent="0.25">
      <c r="A405" t="s">
        <v>16221</v>
      </c>
      <c r="B405" s="102">
        <v>2538</v>
      </c>
      <c r="C405" s="102">
        <v>3059</v>
      </c>
      <c r="D405" s="102">
        <f>Table22[[#This Row],[CURRENT]]-Table22[[#This Row],[IDEAL]]</f>
        <v>-521</v>
      </c>
    </row>
    <row r="406" spans="1:4" x14ac:dyDescent="0.25">
      <c r="A406" t="s">
        <v>16171</v>
      </c>
      <c r="B406" s="102">
        <v>2733</v>
      </c>
      <c r="C406" s="102">
        <v>3254</v>
      </c>
      <c r="D406" s="102">
        <f>Table22[[#This Row],[CURRENT]]-Table22[[#This Row],[IDEAL]]</f>
        <v>-521</v>
      </c>
    </row>
    <row r="407" spans="1:4" x14ac:dyDescent="0.25">
      <c r="A407" t="s">
        <v>15372</v>
      </c>
      <c r="B407" s="102">
        <v>2078</v>
      </c>
      <c r="C407" s="102">
        <v>2598</v>
      </c>
      <c r="D407" s="102">
        <f>Table22[[#This Row],[CURRENT]]-Table22[[#This Row],[IDEAL]]</f>
        <v>-520</v>
      </c>
    </row>
    <row r="408" spans="1:4" x14ac:dyDescent="0.25">
      <c r="A408" t="s">
        <v>15300</v>
      </c>
      <c r="B408" s="102">
        <v>3474</v>
      </c>
      <c r="C408" s="102">
        <v>3994</v>
      </c>
      <c r="D408" s="102">
        <f>Table22[[#This Row],[CURRENT]]-Table22[[#This Row],[IDEAL]]</f>
        <v>-520</v>
      </c>
    </row>
    <row r="409" spans="1:4" x14ac:dyDescent="0.25">
      <c r="A409" t="s">
        <v>17526</v>
      </c>
      <c r="B409" s="102">
        <v>2536</v>
      </c>
      <c r="C409" s="102">
        <v>3056</v>
      </c>
      <c r="D409" s="102">
        <f>Table22[[#This Row],[CURRENT]]-Table22[[#This Row],[IDEAL]]</f>
        <v>-520</v>
      </c>
    </row>
    <row r="410" spans="1:4" x14ac:dyDescent="0.25">
      <c r="A410" t="s">
        <v>16222</v>
      </c>
      <c r="B410" s="102">
        <v>2538</v>
      </c>
      <c r="C410" s="102">
        <v>3058</v>
      </c>
      <c r="D410" s="102">
        <f>Table22[[#This Row],[CURRENT]]-Table22[[#This Row],[IDEAL]]</f>
        <v>-520</v>
      </c>
    </row>
    <row r="411" spans="1:4" x14ac:dyDescent="0.25">
      <c r="A411" t="s">
        <v>16115</v>
      </c>
      <c r="B411" s="102">
        <v>2935</v>
      </c>
      <c r="C411" s="102">
        <v>3454</v>
      </c>
      <c r="D411" s="102">
        <f>Table22[[#This Row],[CURRENT]]-Table22[[#This Row],[IDEAL]]</f>
        <v>-519</v>
      </c>
    </row>
    <row r="412" spans="1:4" x14ac:dyDescent="0.25">
      <c r="A412" t="s">
        <v>14260</v>
      </c>
      <c r="B412" s="102">
        <v>3464</v>
      </c>
      <c r="C412" s="102">
        <v>3982</v>
      </c>
      <c r="D412" s="102">
        <f>Table22[[#This Row],[CURRENT]]-Table22[[#This Row],[IDEAL]]</f>
        <v>-518</v>
      </c>
    </row>
    <row r="413" spans="1:4" x14ac:dyDescent="0.25">
      <c r="A413" t="s">
        <v>13721</v>
      </c>
      <c r="B413" s="102">
        <v>3460</v>
      </c>
      <c r="C413" s="102">
        <v>3978</v>
      </c>
      <c r="D413" s="102">
        <f>Table22[[#This Row],[CURRENT]]-Table22[[#This Row],[IDEAL]]</f>
        <v>-518</v>
      </c>
    </row>
    <row r="414" spans="1:4" x14ac:dyDescent="0.25">
      <c r="A414" t="s">
        <v>17511</v>
      </c>
      <c r="B414" s="102">
        <v>3462</v>
      </c>
      <c r="C414" s="102">
        <v>3980</v>
      </c>
      <c r="D414" s="102">
        <f>Table22[[#This Row],[CURRENT]]-Table22[[#This Row],[IDEAL]]</f>
        <v>-518</v>
      </c>
    </row>
    <row r="415" spans="1:4" x14ac:dyDescent="0.25">
      <c r="A415" t="s">
        <v>16271</v>
      </c>
      <c r="B415" s="102">
        <v>2355</v>
      </c>
      <c r="C415" s="102">
        <v>2873</v>
      </c>
      <c r="D415" s="102">
        <f>Table22[[#This Row],[CURRENT]]-Table22[[#This Row],[IDEAL]]</f>
        <v>-518</v>
      </c>
    </row>
    <row r="416" spans="1:4" x14ac:dyDescent="0.25">
      <c r="A416" t="s">
        <v>17204</v>
      </c>
      <c r="B416" s="102">
        <v>3786</v>
      </c>
      <c r="C416" s="102">
        <v>4303</v>
      </c>
      <c r="D416" s="102">
        <f>Table22[[#This Row],[CURRENT]]-Table22[[#This Row],[IDEAL]]</f>
        <v>-517</v>
      </c>
    </row>
    <row r="417" spans="1:4" x14ac:dyDescent="0.25">
      <c r="A417" t="s">
        <v>13742</v>
      </c>
      <c r="B417" s="102">
        <v>2064</v>
      </c>
      <c r="C417" s="102">
        <v>2580</v>
      </c>
      <c r="D417" s="102">
        <f>Table22[[#This Row],[CURRENT]]-Table22[[#This Row],[IDEAL]]</f>
        <v>-516</v>
      </c>
    </row>
    <row r="418" spans="1:4" x14ac:dyDescent="0.25">
      <c r="A418" t="s">
        <v>17228</v>
      </c>
      <c r="B418" s="102">
        <v>3776</v>
      </c>
      <c r="C418" s="102">
        <v>4292</v>
      </c>
      <c r="D418" s="102">
        <f>Table22[[#This Row],[CURRENT]]-Table22[[#This Row],[IDEAL]]</f>
        <v>-516</v>
      </c>
    </row>
    <row r="419" spans="1:4" x14ac:dyDescent="0.25">
      <c r="A419" t="s">
        <v>15999</v>
      </c>
      <c r="B419" s="102">
        <v>3452</v>
      </c>
      <c r="C419" s="102">
        <v>3968</v>
      </c>
      <c r="D419" s="102">
        <f>Table22[[#This Row],[CURRENT]]-Table22[[#This Row],[IDEAL]]</f>
        <v>-516</v>
      </c>
    </row>
    <row r="420" spans="1:4" x14ac:dyDescent="0.25">
      <c r="A420" t="s">
        <v>17280</v>
      </c>
      <c r="B420" s="102">
        <v>3763</v>
      </c>
      <c r="C420" s="102">
        <v>4277</v>
      </c>
      <c r="D420" s="102">
        <f>Table22[[#This Row],[CURRENT]]-Table22[[#This Row],[IDEAL]]</f>
        <v>-514</v>
      </c>
    </row>
    <row r="421" spans="1:4" x14ac:dyDescent="0.25">
      <c r="A421" t="s">
        <v>16233</v>
      </c>
      <c r="B421" s="102">
        <v>2500</v>
      </c>
      <c r="C421" s="102">
        <v>3013</v>
      </c>
      <c r="D421" s="102">
        <f>Table22[[#This Row],[CURRENT]]-Table22[[#This Row],[IDEAL]]</f>
        <v>-513</v>
      </c>
    </row>
    <row r="422" spans="1:4" x14ac:dyDescent="0.25">
      <c r="A422" t="s">
        <v>13389</v>
      </c>
      <c r="B422" s="102">
        <v>2180</v>
      </c>
      <c r="C422" s="102">
        <v>2692</v>
      </c>
      <c r="D422" s="102">
        <f>Table22[[#This Row],[CURRENT]]-Table22[[#This Row],[IDEAL]]</f>
        <v>-512</v>
      </c>
    </row>
    <row r="423" spans="1:4" x14ac:dyDescent="0.25">
      <c r="A423" t="s">
        <v>13723</v>
      </c>
      <c r="B423" s="102">
        <v>3747</v>
      </c>
      <c r="C423" s="102">
        <v>4259</v>
      </c>
      <c r="D423" s="102">
        <f>Table22[[#This Row],[CURRENT]]-Table22[[#This Row],[IDEAL]]</f>
        <v>-512</v>
      </c>
    </row>
    <row r="424" spans="1:4" x14ac:dyDescent="0.25">
      <c r="A424" t="s">
        <v>17255</v>
      </c>
      <c r="B424" s="102">
        <v>4138</v>
      </c>
      <c r="C424" s="102">
        <v>4650</v>
      </c>
      <c r="D424" s="102">
        <f>Table22[[#This Row],[CURRENT]]-Table22[[#This Row],[IDEAL]]</f>
        <v>-512</v>
      </c>
    </row>
    <row r="425" spans="1:4" x14ac:dyDescent="0.25">
      <c r="A425" t="s">
        <v>16314</v>
      </c>
      <c r="B425" s="102">
        <v>2181</v>
      </c>
      <c r="C425" s="102">
        <v>2693</v>
      </c>
      <c r="D425" s="102">
        <f>Table22[[#This Row],[CURRENT]]-Table22[[#This Row],[IDEAL]]</f>
        <v>-512</v>
      </c>
    </row>
    <row r="426" spans="1:4" x14ac:dyDescent="0.25">
      <c r="A426" t="s">
        <v>14237</v>
      </c>
      <c r="B426" s="102">
        <v>2680</v>
      </c>
      <c r="C426" s="102">
        <v>3191</v>
      </c>
      <c r="D426" s="102">
        <f>Table22[[#This Row],[CURRENT]]-Table22[[#This Row],[IDEAL]]</f>
        <v>-511</v>
      </c>
    </row>
    <row r="427" spans="1:4" x14ac:dyDescent="0.25">
      <c r="A427" t="s">
        <v>13868</v>
      </c>
      <c r="B427" s="102">
        <v>3138</v>
      </c>
      <c r="C427" s="102">
        <v>3649</v>
      </c>
      <c r="D427" s="102">
        <f>Table22[[#This Row],[CURRENT]]-Table22[[#This Row],[IDEAL]]</f>
        <v>-511</v>
      </c>
    </row>
    <row r="428" spans="1:4" x14ac:dyDescent="0.25">
      <c r="A428" t="s">
        <v>17072</v>
      </c>
      <c r="B428" s="102">
        <v>3136</v>
      </c>
      <c r="C428" s="102">
        <v>3647</v>
      </c>
      <c r="D428" s="102">
        <f>Table22[[#This Row],[CURRENT]]-Table22[[#This Row],[IDEAL]]</f>
        <v>-511</v>
      </c>
    </row>
    <row r="429" spans="1:4" x14ac:dyDescent="0.25">
      <c r="A429" t="s">
        <v>14412</v>
      </c>
      <c r="B429" s="102">
        <v>3130</v>
      </c>
      <c r="C429" s="102">
        <v>3640</v>
      </c>
      <c r="D429" s="102">
        <f>Table22[[#This Row],[CURRENT]]-Table22[[#This Row],[IDEAL]]</f>
        <v>-510</v>
      </c>
    </row>
    <row r="430" spans="1:4" x14ac:dyDescent="0.25">
      <c r="A430" t="s">
        <v>16133</v>
      </c>
      <c r="B430" s="102">
        <v>2884</v>
      </c>
      <c r="C430" s="102">
        <v>3394</v>
      </c>
      <c r="D430" s="102">
        <f>Table22[[#This Row],[CURRENT]]-Table22[[#This Row],[IDEAL]]</f>
        <v>-510</v>
      </c>
    </row>
    <row r="431" spans="1:4" x14ac:dyDescent="0.25">
      <c r="A431" t="s">
        <v>14435</v>
      </c>
      <c r="B431" s="102">
        <v>2169</v>
      </c>
      <c r="C431" s="102">
        <v>2678</v>
      </c>
      <c r="D431" s="102">
        <f>Table22[[#This Row],[CURRENT]]-Table22[[#This Row],[IDEAL]]</f>
        <v>-509</v>
      </c>
    </row>
    <row r="432" spans="1:4" x14ac:dyDescent="0.25">
      <c r="A432" t="s">
        <v>14839</v>
      </c>
      <c r="B432" s="102">
        <v>2314</v>
      </c>
      <c r="C432" s="102">
        <v>2822</v>
      </c>
      <c r="D432" s="102">
        <f>Table22[[#This Row],[CURRENT]]-Table22[[#This Row],[IDEAL]]</f>
        <v>-508</v>
      </c>
    </row>
    <row r="433" spans="1:4" x14ac:dyDescent="0.25">
      <c r="A433" t="s">
        <v>14071</v>
      </c>
      <c r="B433" s="102">
        <v>3718</v>
      </c>
      <c r="C433" s="102">
        <v>4226</v>
      </c>
      <c r="D433" s="102">
        <f>Table22[[#This Row],[CURRENT]]-Table22[[#This Row],[IDEAL]]</f>
        <v>-508</v>
      </c>
    </row>
    <row r="434" spans="1:4" x14ac:dyDescent="0.25">
      <c r="A434" t="s">
        <v>17164</v>
      </c>
      <c r="B434" s="102">
        <v>2309</v>
      </c>
      <c r="C434" s="102">
        <v>2817</v>
      </c>
      <c r="D434" s="102">
        <f>Table22[[#This Row],[CURRENT]]-Table22[[#This Row],[IDEAL]]</f>
        <v>-508</v>
      </c>
    </row>
    <row r="435" spans="1:4" x14ac:dyDescent="0.25">
      <c r="A435" t="s">
        <v>14276</v>
      </c>
      <c r="B435" s="102">
        <v>3392</v>
      </c>
      <c r="C435" s="102">
        <v>3899</v>
      </c>
      <c r="D435" s="102">
        <f>Table22[[#This Row],[CURRENT]]-Table22[[#This Row],[IDEAL]]</f>
        <v>-507</v>
      </c>
    </row>
    <row r="436" spans="1:4" x14ac:dyDescent="0.25">
      <c r="A436" t="s">
        <v>13885</v>
      </c>
      <c r="B436" s="102">
        <v>2868</v>
      </c>
      <c r="C436" s="102">
        <v>3375</v>
      </c>
      <c r="D436" s="102">
        <f>Table22[[#This Row],[CURRENT]]-Table22[[#This Row],[IDEAL]]</f>
        <v>-507</v>
      </c>
    </row>
    <row r="437" spans="1:4" x14ac:dyDescent="0.25">
      <c r="A437" t="s">
        <v>17058</v>
      </c>
      <c r="B437" s="102">
        <v>3391</v>
      </c>
      <c r="C437" s="102">
        <v>3898</v>
      </c>
      <c r="D437" s="102">
        <f>Table22[[#This Row],[CURRENT]]-Table22[[#This Row],[IDEAL]]</f>
        <v>-507</v>
      </c>
    </row>
    <row r="438" spans="1:4" x14ac:dyDescent="0.25">
      <c r="A438" t="s">
        <v>16141</v>
      </c>
      <c r="B438" s="102">
        <v>2869</v>
      </c>
      <c r="C438" s="102">
        <v>3376</v>
      </c>
      <c r="D438" s="102">
        <f>Table22[[#This Row],[CURRENT]]-Table22[[#This Row],[IDEAL]]</f>
        <v>-507</v>
      </c>
    </row>
    <row r="439" spans="1:4" x14ac:dyDescent="0.25">
      <c r="A439" t="s">
        <v>14324</v>
      </c>
      <c r="B439" s="102">
        <v>2153</v>
      </c>
      <c r="C439" s="102">
        <v>2659</v>
      </c>
      <c r="D439" s="102">
        <f>Table22[[#This Row],[CURRENT]]-Table22[[#This Row],[IDEAL]]</f>
        <v>-506</v>
      </c>
    </row>
    <row r="440" spans="1:4" x14ac:dyDescent="0.25">
      <c r="A440" t="s">
        <v>16014</v>
      </c>
      <c r="B440" s="102">
        <v>3385</v>
      </c>
      <c r="C440" s="102">
        <v>3891</v>
      </c>
      <c r="D440" s="102">
        <f>Table22[[#This Row],[CURRENT]]-Table22[[#This Row],[IDEAL]]</f>
        <v>-506</v>
      </c>
    </row>
    <row r="441" spans="1:4" x14ac:dyDescent="0.25">
      <c r="A441" t="s">
        <v>16319</v>
      </c>
      <c r="B441" s="102">
        <v>2153</v>
      </c>
      <c r="C441" s="102">
        <v>2659</v>
      </c>
      <c r="D441" s="102">
        <f>Table22[[#This Row],[CURRENT]]-Table22[[#This Row],[IDEAL]]</f>
        <v>-506</v>
      </c>
    </row>
    <row r="442" spans="1:4" x14ac:dyDescent="0.25">
      <c r="A442" t="s">
        <v>17367</v>
      </c>
      <c r="B442" s="102">
        <v>3376</v>
      </c>
      <c r="C442" s="102">
        <v>3881</v>
      </c>
      <c r="D442" s="102">
        <f>Table22[[#This Row],[CURRENT]]-Table22[[#This Row],[IDEAL]]</f>
        <v>-505</v>
      </c>
    </row>
    <row r="443" spans="1:4" x14ac:dyDescent="0.25">
      <c r="A443" t="s">
        <v>17078</v>
      </c>
      <c r="B443" s="102">
        <v>4084</v>
      </c>
      <c r="C443" s="102">
        <v>4589</v>
      </c>
      <c r="D443" s="102">
        <f>Table22[[#This Row],[CURRENT]]-Table22[[#This Row],[IDEAL]]</f>
        <v>-505</v>
      </c>
    </row>
    <row r="444" spans="1:4" x14ac:dyDescent="0.25">
      <c r="A444" t="s">
        <v>16017</v>
      </c>
      <c r="B444" s="102">
        <v>3377</v>
      </c>
      <c r="C444" s="102">
        <v>3882</v>
      </c>
      <c r="D444" s="102">
        <f>Table22[[#This Row],[CURRENT]]-Table22[[#This Row],[IDEAL]]</f>
        <v>-505</v>
      </c>
    </row>
    <row r="445" spans="1:4" x14ac:dyDescent="0.25">
      <c r="A445" t="s">
        <v>15042</v>
      </c>
      <c r="B445" s="102">
        <v>2294</v>
      </c>
      <c r="C445" s="102">
        <v>2798</v>
      </c>
      <c r="D445" s="102">
        <f>Table22[[#This Row],[CURRENT]]-Table22[[#This Row],[IDEAL]]</f>
        <v>-504</v>
      </c>
    </row>
    <row r="446" spans="1:4" x14ac:dyDescent="0.25">
      <c r="A446" t="s">
        <v>14341</v>
      </c>
      <c r="B446" s="102">
        <v>2293</v>
      </c>
      <c r="C446" s="102">
        <v>2797</v>
      </c>
      <c r="D446" s="102">
        <f>Table22[[#This Row],[CURRENT]]-Table22[[#This Row],[IDEAL]]</f>
        <v>-504</v>
      </c>
    </row>
    <row r="447" spans="1:4" x14ac:dyDescent="0.25">
      <c r="A447" t="s">
        <v>16020</v>
      </c>
      <c r="B447" s="102">
        <v>3371</v>
      </c>
      <c r="C447" s="102">
        <v>3875</v>
      </c>
      <c r="D447" s="102">
        <f>Table22[[#This Row],[CURRENT]]-Table22[[#This Row],[IDEAL]]</f>
        <v>-504</v>
      </c>
    </row>
    <row r="448" spans="1:4" x14ac:dyDescent="0.25">
      <c r="A448" t="s">
        <v>16147</v>
      </c>
      <c r="B448" s="102">
        <v>2852</v>
      </c>
      <c r="C448" s="102">
        <v>3356</v>
      </c>
      <c r="D448" s="102">
        <f>Table22[[#This Row],[CURRENT]]-Table22[[#This Row],[IDEAL]]</f>
        <v>-504</v>
      </c>
    </row>
    <row r="449" spans="1:4" x14ac:dyDescent="0.25">
      <c r="A449" t="s">
        <v>14792</v>
      </c>
      <c r="B449" s="102">
        <v>2638</v>
      </c>
      <c r="C449" s="102">
        <v>3141</v>
      </c>
      <c r="D449" s="102">
        <f>Table22[[#This Row],[CURRENT]]-Table22[[#This Row],[IDEAL]]</f>
        <v>-503</v>
      </c>
    </row>
    <row r="450" spans="1:4" x14ac:dyDescent="0.25">
      <c r="A450" t="s">
        <v>16076</v>
      </c>
      <c r="B450" s="102">
        <v>3088</v>
      </c>
      <c r="C450" s="102">
        <v>3591</v>
      </c>
      <c r="D450" s="102">
        <f>Table22[[#This Row],[CURRENT]]-Table22[[#This Row],[IDEAL]]</f>
        <v>-503</v>
      </c>
    </row>
    <row r="451" spans="1:4" x14ac:dyDescent="0.25">
      <c r="A451" t="s">
        <v>16198</v>
      </c>
      <c r="B451" s="102">
        <v>2636</v>
      </c>
      <c r="C451" s="102">
        <v>3139</v>
      </c>
      <c r="D451" s="102">
        <f>Table22[[#This Row],[CURRENT]]-Table22[[#This Row],[IDEAL]]</f>
        <v>-503</v>
      </c>
    </row>
    <row r="452" spans="1:4" x14ac:dyDescent="0.25">
      <c r="A452" t="s">
        <v>17875</v>
      </c>
      <c r="B452" s="102">
        <v>2282</v>
      </c>
      <c r="C452" s="102">
        <v>2784</v>
      </c>
      <c r="D452" s="102">
        <f>Table22[[#This Row],[CURRENT]]-Table22[[#This Row],[IDEAL]]</f>
        <v>-502</v>
      </c>
    </row>
    <row r="453" spans="1:4" x14ac:dyDescent="0.25">
      <c r="A453" t="s">
        <v>14456</v>
      </c>
      <c r="B453" s="102">
        <v>2442</v>
      </c>
      <c r="C453" s="102">
        <v>2943</v>
      </c>
      <c r="D453" s="102">
        <f>Table22[[#This Row],[CURRENT]]-Table22[[#This Row],[IDEAL]]</f>
        <v>-501</v>
      </c>
    </row>
    <row r="454" spans="1:4" x14ac:dyDescent="0.25">
      <c r="A454" t="s">
        <v>17495</v>
      </c>
      <c r="B454" s="102">
        <v>2001</v>
      </c>
      <c r="C454" s="102">
        <v>2502</v>
      </c>
      <c r="D454" s="102">
        <f>Table22[[#This Row],[CURRENT]]-Table22[[#This Row],[IDEAL]]</f>
        <v>-501</v>
      </c>
    </row>
    <row r="455" spans="1:4" x14ac:dyDescent="0.25">
      <c r="A455" t="s">
        <v>17207</v>
      </c>
      <c r="B455" s="102">
        <v>3668</v>
      </c>
      <c r="C455" s="102">
        <v>4169</v>
      </c>
      <c r="D455" s="102">
        <f>Table22[[#This Row],[CURRENT]]-Table22[[#This Row],[IDEAL]]</f>
        <v>-501</v>
      </c>
    </row>
    <row r="456" spans="1:4" x14ac:dyDescent="0.25">
      <c r="A456" t="s">
        <v>16078</v>
      </c>
      <c r="B456" s="102">
        <v>3072</v>
      </c>
      <c r="C456" s="102">
        <v>3573</v>
      </c>
      <c r="D456" s="102">
        <f>Table22[[#This Row],[CURRENT]]-Table22[[#This Row],[IDEAL]]</f>
        <v>-501</v>
      </c>
    </row>
    <row r="457" spans="1:4" x14ac:dyDescent="0.25">
      <c r="A457" t="s">
        <v>17369</v>
      </c>
      <c r="B457" s="102">
        <v>3345</v>
      </c>
      <c r="C457" s="102">
        <v>3845</v>
      </c>
      <c r="D457" s="102">
        <f>Table22[[#This Row],[CURRENT]]-Table22[[#This Row],[IDEAL]]</f>
        <v>-500</v>
      </c>
    </row>
    <row r="458" spans="1:4" x14ac:dyDescent="0.25">
      <c r="A458" t="s">
        <v>12148</v>
      </c>
      <c r="B458" s="102">
        <v>2825</v>
      </c>
      <c r="C458" s="102">
        <v>3324</v>
      </c>
      <c r="D458" s="102">
        <f>Table22[[#This Row],[CURRENT]]-Table22[[#This Row],[IDEAL]]</f>
        <v>-499</v>
      </c>
    </row>
    <row r="459" spans="1:4" x14ac:dyDescent="0.25">
      <c r="A459" t="s">
        <v>17089</v>
      </c>
      <c r="B459" s="102">
        <v>2823</v>
      </c>
      <c r="C459" s="102">
        <v>3322</v>
      </c>
      <c r="D459" s="102">
        <f>Table22[[#This Row],[CURRENT]]-Table22[[#This Row],[IDEAL]]</f>
        <v>-499</v>
      </c>
    </row>
    <row r="460" spans="1:4" x14ac:dyDescent="0.25">
      <c r="A460" t="s">
        <v>15978</v>
      </c>
      <c r="B460" s="102">
        <v>3656</v>
      </c>
      <c r="C460" s="102">
        <v>4155</v>
      </c>
      <c r="D460" s="102">
        <f>Table22[[#This Row],[CURRENT]]-Table22[[#This Row],[IDEAL]]</f>
        <v>-499</v>
      </c>
    </row>
    <row r="461" spans="1:4" x14ac:dyDescent="0.25">
      <c r="A461" t="s">
        <v>14370</v>
      </c>
      <c r="B461" s="102">
        <v>2430</v>
      </c>
      <c r="C461" s="102">
        <v>2928</v>
      </c>
      <c r="D461" s="102">
        <f>Table22[[#This Row],[CURRENT]]-Table22[[#This Row],[IDEAL]]</f>
        <v>-498</v>
      </c>
    </row>
    <row r="462" spans="1:4" x14ac:dyDescent="0.25">
      <c r="A462" t="s">
        <v>16336</v>
      </c>
      <c r="B462" s="102">
        <v>2120</v>
      </c>
      <c r="C462" s="102">
        <v>2618</v>
      </c>
      <c r="D462" s="102">
        <f>Table22[[#This Row],[CURRENT]]-Table22[[#This Row],[IDEAL]]</f>
        <v>-498</v>
      </c>
    </row>
    <row r="463" spans="1:4" x14ac:dyDescent="0.25">
      <c r="A463" t="s">
        <v>14318</v>
      </c>
      <c r="B463" s="102">
        <v>2116</v>
      </c>
      <c r="C463" s="102">
        <v>2613</v>
      </c>
      <c r="D463" s="102">
        <f>Table22[[#This Row],[CURRENT]]-Table22[[#This Row],[IDEAL]]</f>
        <v>-497</v>
      </c>
    </row>
    <row r="464" spans="1:4" x14ac:dyDescent="0.25">
      <c r="A464" t="s">
        <v>13835</v>
      </c>
      <c r="B464" s="102">
        <v>2604</v>
      </c>
      <c r="C464" s="102">
        <v>3101</v>
      </c>
      <c r="D464" s="102">
        <f>Table22[[#This Row],[CURRENT]]-Table22[[#This Row],[IDEAL]]</f>
        <v>-497</v>
      </c>
    </row>
    <row r="465" spans="1:4" x14ac:dyDescent="0.25">
      <c r="A465" t="s">
        <v>13673</v>
      </c>
      <c r="B465" s="102">
        <v>2115</v>
      </c>
      <c r="C465" s="102">
        <v>2612</v>
      </c>
      <c r="D465" s="102">
        <f>Table22[[#This Row],[CURRENT]]-Table22[[#This Row],[IDEAL]]</f>
        <v>-497</v>
      </c>
    </row>
    <row r="466" spans="1:4" x14ac:dyDescent="0.25">
      <c r="A466" t="s">
        <v>15979</v>
      </c>
      <c r="B466" s="102">
        <v>3643</v>
      </c>
      <c r="C466" s="102">
        <v>4140</v>
      </c>
      <c r="D466" s="102">
        <f>Table22[[#This Row],[CURRENT]]-Table22[[#This Row],[IDEAL]]</f>
        <v>-497</v>
      </c>
    </row>
    <row r="467" spans="1:4" x14ac:dyDescent="0.25">
      <c r="A467" t="s">
        <v>17140</v>
      </c>
      <c r="B467" s="102">
        <v>3317</v>
      </c>
      <c r="C467" s="102">
        <v>3813</v>
      </c>
      <c r="D467" s="102">
        <f>Table22[[#This Row],[CURRENT]]-Table22[[#This Row],[IDEAL]]</f>
        <v>-496</v>
      </c>
    </row>
    <row r="468" spans="1:4" x14ac:dyDescent="0.25">
      <c r="A468" t="s">
        <v>17309</v>
      </c>
      <c r="B468" s="102">
        <v>2603</v>
      </c>
      <c r="C468" s="102">
        <v>3099</v>
      </c>
      <c r="D468" s="102">
        <f>Table22[[#This Row],[CURRENT]]-Table22[[#This Row],[IDEAL]]</f>
        <v>-496</v>
      </c>
    </row>
    <row r="469" spans="1:4" x14ac:dyDescent="0.25">
      <c r="A469" t="s">
        <v>16261</v>
      </c>
      <c r="B469" s="102">
        <v>2421</v>
      </c>
      <c r="C469" s="102">
        <v>2917</v>
      </c>
      <c r="D469" s="102">
        <f>Table22[[#This Row],[CURRENT]]-Table22[[#This Row],[IDEAL]]</f>
        <v>-496</v>
      </c>
    </row>
    <row r="470" spans="1:4" x14ac:dyDescent="0.25">
      <c r="A470" t="s">
        <v>17084</v>
      </c>
      <c r="B470" s="102">
        <v>2107</v>
      </c>
      <c r="C470" s="102">
        <v>2602</v>
      </c>
      <c r="D470" s="102">
        <f>Table22[[#This Row],[CURRENT]]-Table22[[#This Row],[IDEAL]]</f>
        <v>-495</v>
      </c>
    </row>
    <row r="471" spans="1:4" x14ac:dyDescent="0.25">
      <c r="A471" t="s">
        <v>15116</v>
      </c>
      <c r="B471" s="102">
        <v>4438</v>
      </c>
      <c r="C471" s="102">
        <v>4932</v>
      </c>
      <c r="D471" s="102">
        <f>Table22[[#This Row],[CURRENT]]-Table22[[#This Row],[IDEAL]]</f>
        <v>-494</v>
      </c>
    </row>
    <row r="472" spans="1:4" x14ac:dyDescent="0.25">
      <c r="A472" t="s">
        <v>14252</v>
      </c>
      <c r="B472" s="102">
        <v>3300</v>
      </c>
      <c r="C472" s="102">
        <v>3794</v>
      </c>
      <c r="D472" s="102">
        <f>Table22[[#This Row],[CURRENT]]-Table22[[#This Row],[IDEAL]]</f>
        <v>-494</v>
      </c>
    </row>
    <row r="473" spans="1:4" x14ac:dyDescent="0.25">
      <c r="A473" t="s">
        <v>13857</v>
      </c>
      <c r="B473" s="102">
        <v>2403</v>
      </c>
      <c r="C473" s="102">
        <v>2896</v>
      </c>
      <c r="D473" s="102">
        <f>Table22[[#This Row],[CURRENT]]-Table22[[#This Row],[IDEAL]]</f>
        <v>-493</v>
      </c>
    </row>
    <row r="474" spans="1:4" x14ac:dyDescent="0.25">
      <c r="A474" t="s">
        <v>16163</v>
      </c>
      <c r="B474" s="102">
        <v>2791</v>
      </c>
      <c r="C474" s="102">
        <v>3284</v>
      </c>
      <c r="D474" s="102">
        <f>Table22[[#This Row],[CURRENT]]-Table22[[#This Row],[IDEAL]]</f>
        <v>-493</v>
      </c>
    </row>
    <row r="475" spans="1:4" x14ac:dyDescent="0.25">
      <c r="A475" t="s">
        <v>16162</v>
      </c>
      <c r="B475" s="102">
        <v>2793</v>
      </c>
      <c r="C475" s="102">
        <v>3286</v>
      </c>
      <c r="D475" s="102">
        <f>Table22[[#This Row],[CURRENT]]-Table22[[#This Row],[IDEAL]]</f>
        <v>-493</v>
      </c>
    </row>
    <row r="476" spans="1:4" x14ac:dyDescent="0.25">
      <c r="A476" t="s">
        <v>17174</v>
      </c>
      <c r="B476" s="102">
        <v>3289</v>
      </c>
      <c r="C476" s="102">
        <v>3781</v>
      </c>
      <c r="D476" s="102">
        <f>Table22[[#This Row],[CURRENT]]-Table22[[#This Row],[IDEAL]]</f>
        <v>-492</v>
      </c>
    </row>
    <row r="477" spans="1:4" x14ac:dyDescent="0.25">
      <c r="A477" t="s">
        <v>17061</v>
      </c>
      <c r="B477" s="102">
        <v>1965</v>
      </c>
      <c r="C477" s="102">
        <v>2457</v>
      </c>
      <c r="D477" s="102">
        <f>Table22[[#This Row],[CURRENT]]-Table22[[#This Row],[IDEAL]]</f>
        <v>-492</v>
      </c>
    </row>
    <row r="478" spans="1:4" x14ac:dyDescent="0.25">
      <c r="A478" t="s">
        <v>13918</v>
      </c>
      <c r="B478" s="102">
        <v>3596</v>
      </c>
      <c r="C478" s="102">
        <v>4087</v>
      </c>
      <c r="D478" s="102">
        <f>Table22[[#This Row],[CURRENT]]-Table22[[#This Row],[IDEAL]]</f>
        <v>-491</v>
      </c>
    </row>
    <row r="479" spans="1:4" x14ac:dyDescent="0.25">
      <c r="A479" t="s">
        <v>17462</v>
      </c>
      <c r="B479" s="102">
        <v>2233</v>
      </c>
      <c r="C479" s="102">
        <v>2724</v>
      </c>
      <c r="D479" s="102">
        <f>Table22[[#This Row],[CURRENT]]-Table22[[#This Row],[IDEAL]]</f>
        <v>-491</v>
      </c>
    </row>
    <row r="480" spans="1:4" x14ac:dyDescent="0.25">
      <c r="A480" t="s">
        <v>14822</v>
      </c>
      <c r="B480" s="102">
        <v>1959</v>
      </c>
      <c r="C480" s="102">
        <v>2449</v>
      </c>
      <c r="D480" s="102">
        <f>Table22[[#This Row],[CURRENT]]-Table22[[#This Row],[IDEAL]]</f>
        <v>-490</v>
      </c>
    </row>
    <row r="481" spans="1:4" x14ac:dyDescent="0.25">
      <c r="A481" t="s">
        <v>17036</v>
      </c>
      <c r="B481" s="102">
        <v>2086</v>
      </c>
      <c r="C481" s="102">
        <v>2576</v>
      </c>
      <c r="D481" s="102">
        <f>Table22[[#This Row],[CURRENT]]-Table22[[#This Row],[IDEAL]]</f>
        <v>-490</v>
      </c>
    </row>
    <row r="482" spans="1:4" x14ac:dyDescent="0.25">
      <c r="A482" t="s">
        <v>16038</v>
      </c>
      <c r="B482" s="102">
        <v>3278</v>
      </c>
      <c r="C482" s="102">
        <v>3768</v>
      </c>
      <c r="D482" s="102">
        <f>Table22[[#This Row],[CURRENT]]-Table22[[#This Row],[IDEAL]]</f>
        <v>-490</v>
      </c>
    </row>
    <row r="483" spans="1:4" x14ac:dyDescent="0.25">
      <c r="A483" t="s">
        <v>17578</v>
      </c>
      <c r="B483" s="102">
        <v>1955</v>
      </c>
      <c r="C483" s="102">
        <v>2444</v>
      </c>
      <c r="D483" s="102">
        <f>Table22[[#This Row],[CURRENT]]-Table22[[#This Row],[IDEAL]]</f>
        <v>-489</v>
      </c>
    </row>
    <row r="484" spans="1:4" x14ac:dyDescent="0.25">
      <c r="A484" t="s">
        <v>16042</v>
      </c>
      <c r="B484" s="102">
        <v>3265</v>
      </c>
      <c r="C484" s="102">
        <v>3754</v>
      </c>
      <c r="D484" s="102">
        <f>Table22[[#This Row],[CURRENT]]-Table22[[#This Row],[IDEAL]]</f>
        <v>-489</v>
      </c>
    </row>
    <row r="485" spans="1:4" x14ac:dyDescent="0.25">
      <c r="A485" t="s">
        <v>14475</v>
      </c>
      <c r="B485" s="102">
        <v>2985</v>
      </c>
      <c r="C485" s="102">
        <v>3472</v>
      </c>
      <c r="D485" s="102">
        <f>Table22[[#This Row],[CURRENT]]-Table22[[#This Row],[IDEAL]]</f>
        <v>-487</v>
      </c>
    </row>
    <row r="486" spans="1:4" x14ac:dyDescent="0.25">
      <c r="A486" t="s">
        <v>17223</v>
      </c>
      <c r="B486" s="102">
        <v>3939</v>
      </c>
      <c r="C486" s="102">
        <v>4426</v>
      </c>
      <c r="D486" s="102">
        <f>Table22[[#This Row],[CURRENT]]-Table22[[#This Row],[IDEAL]]</f>
        <v>-487</v>
      </c>
    </row>
    <row r="487" spans="1:4" x14ac:dyDescent="0.25">
      <c r="A487" t="s">
        <v>17510</v>
      </c>
      <c r="B487" s="102">
        <v>3566</v>
      </c>
      <c r="C487" s="102">
        <v>4053</v>
      </c>
      <c r="D487" s="102">
        <f>Table22[[#This Row],[CURRENT]]-Table22[[#This Row],[IDEAL]]</f>
        <v>-487</v>
      </c>
    </row>
    <row r="488" spans="1:4" x14ac:dyDescent="0.25">
      <c r="A488" t="s">
        <v>16045</v>
      </c>
      <c r="B488" s="102">
        <v>3257</v>
      </c>
      <c r="C488" s="102">
        <v>3744</v>
      </c>
      <c r="D488" s="102">
        <f>Table22[[#This Row],[CURRENT]]-Table22[[#This Row],[IDEAL]]</f>
        <v>-487</v>
      </c>
    </row>
    <row r="489" spans="1:4" x14ac:dyDescent="0.25">
      <c r="A489" t="s">
        <v>16361</v>
      </c>
      <c r="B489" s="102">
        <v>2071</v>
      </c>
      <c r="C489" s="102">
        <v>2558</v>
      </c>
      <c r="D489" s="102">
        <f>Table22[[#This Row],[CURRENT]]-Table22[[#This Row],[IDEAL]]</f>
        <v>-487</v>
      </c>
    </row>
    <row r="490" spans="1:4" x14ac:dyDescent="0.25">
      <c r="A490" t="s">
        <v>14389</v>
      </c>
      <c r="B490" s="102">
        <v>2550</v>
      </c>
      <c r="C490" s="102">
        <v>3036</v>
      </c>
      <c r="D490" s="102">
        <f>Table22[[#This Row],[CURRENT]]-Table22[[#This Row],[IDEAL]]</f>
        <v>-486</v>
      </c>
    </row>
    <row r="491" spans="1:4" x14ac:dyDescent="0.25">
      <c r="A491" t="s">
        <v>13855</v>
      </c>
      <c r="B491" s="102">
        <v>2368</v>
      </c>
      <c r="C491" s="102">
        <v>2854</v>
      </c>
      <c r="D491" s="102">
        <f>Table22[[#This Row],[CURRENT]]-Table22[[#This Row],[IDEAL]]</f>
        <v>-486</v>
      </c>
    </row>
    <row r="492" spans="1:4" x14ac:dyDescent="0.25">
      <c r="A492" t="s">
        <v>17528</v>
      </c>
      <c r="B492" s="102">
        <v>2542</v>
      </c>
      <c r="C492" s="102">
        <v>3027</v>
      </c>
      <c r="D492" s="102">
        <f>Table22[[#This Row],[CURRENT]]-Table22[[#This Row],[IDEAL]]</f>
        <v>-485</v>
      </c>
    </row>
    <row r="493" spans="1:4" x14ac:dyDescent="0.25">
      <c r="A493" t="s">
        <v>17566</v>
      </c>
      <c r="B493" s="102">
        <v>2063</v>
      </c>
      <c r="C493" s="102">
        <v>2548</v>
      </c>
      <c r="D493" s="102">
        <f>Table22[[#This Row],[CURRENT]]-Table22[[#This Row],[IDEAL]]</f>
        <v>-485</v>
      </c>
    </row>
    <row r="494" spans="1:4" x14ac:dyDescent="0.25">
      <c r="A494" t="s">
        <v>15988</v>
      </c>
      <c r="B494" s="102">
        <v>3550</v>
      </c>
      <c r="C494" s="102">
        <v>4035</v>
      </c>
      <c r="D494" s="102">
        <f>Table22[[#This Row],[CURRENT]]-Table22[[#This Row],[IDEAL]]</f>
        <v>-485</v>
      </c>
    </row>
    <row r="495" spans="1:4" x14ac:dyDescent="0.25">
      <c r="A495" t="s">
        <v>14310</v>
      </c>
      <c r="B495" s="102">
        <v>2059</v>
      </c>
      <c r="C495" s="102">
        <v>2543</v>
      </c>
      <c r="D495" s="102">
        <f>Table22[[#This Row],[CURRENT]]-Table22[[#This Row],[IDEAL]]</f>
        <v>-484</v>
      </c>
    </row>
    <row r="496" spans="1:4" x14ac:dyDescent="0.25">
      <c r="A496" t="s">
        <v>14476</v>
      </c>
      <c r="B496" s="102">
        <v>2971</v>
      </c>
      <c r="C496" s="102">
        <v>3455</v>
      </c>
      <c r="D496" s="102">
        <f>Table22[[#This Row],[CURRENT]]-Table22[[#This Row],[IDEAL]]</f>
        <v>-484</v>
      </c>
    </row>
    <row r="497" spans="1:4" x14ac:dyDescent="0.25">
      <c r="A497" t="s">
        <v>16408</v>
      </c>
      <c r="B497" s="102">
        <v>1933</v>
      </c>
      <c r="C497" s="102">
        <v>2417</v>
      </c>
      <c r="D497" s="102">
        <f>Table22[[#This Row],[CURRENT]]-Table22[[#This Row],[IDEAL]]</f>
        <v>-484</v>
      </c>
    </row>
    <row r="498" spans="1:4" x14ac:dyDescent="0.25">
      <c r="A498" t="s">
        <v>16370</v>
      </c>
      <c r="B498" s="102">
        <v>2054</v>
      </c>
      <c r="C498" s="102">
        <v>2537</v>
      </c>
      <c r="D498" s="102">
        <f>Table22[[#This Row],[CURRENT]]-Table22[[#This Row],[IDEAL]]</f>
        <v>-483</v>
      </c>
    </row>
    <row r="499" spans="1:4" x14ac:dyDescent="0.25">
      <c r="A499" t="s">
        <v>17569</v>
      </c>
      <c r="B499" s="102">
        <v>2050</v>
      </c>
      <c r="C499" s="102">
        <v>2532</v>
      </c>
      <c r="D499" s="102">
        <f>Table22[[#This Row],[CURRENT]]-Table22[[#This Row],[IDEAL]]</f>
        <v>-482</v>
      </c>
    </row>
    <row r="500" spans="1:4" x14ac:dyDescent="0.25">
      <c r="A500" t="s">
        <v>17289</v>
      </c>
      <c r="B500" s="102">
        <v>3530</v>
      </c>
      <c r="C500" s="102">
        <v>4012</v>
      </c>
      <c r="D500" s="102">
        <f>Table22[[#This Row],[CURRENT]]-Table22[[#This Row],[IDEAL]]</f>
        <v>-482</v>
      </c>
    </row>
    <row r="501" spans="1:4" x14ac:dyDescent="0.25">
      <c r="A501" t="s">
        <v>16236</v>
      </c>
      <c r="B501" s="102">
        <v>2528</v>
      </c>
      <c r="C501" s="102">
        <v>3010</v>
      </c>
      <c r="D501" s="102">
        <f>Table22[[#This Row],[CURRENT]]-Table22[[#This Row],[IDEAL]]</f>
        <v>-482</v>
      </c>
    </row>
    <row r="502" spans="1:4" x14ac:dyDescent="0.25">
      <c r="A502" t="s">
        <v>13696</v>
      </c>
      <c r="B502" s="102">
        <v>1920</v>
      </c>
      <c r="C502" s="102">
        <v>2401</v>
      </c>
      <c r="D502" s="102">
        <f>Table22[[#This Row],[CURRENT]]-Table22[[#This Row],[IDEAL]]</f>
        <v>-481</v>
      </c>
    </row>
    <row r="503" spans="1:4" x14ac:dyDescent="0.25">
      <c r="A503" t="s">
        <v>17236</v>
      </c>
      <c r="B503" s="102">
        <v>3526</v>
      </c>
      <c r="C503" s="102">
        <v>4007</v>
      </c>
      <c r="D503" s="102">
        <f>Table22[[#This Row],[CURRENT]]-Table22[[#This Row],[IDEAL]]</f>
        <v>-481</v>
      </c>
    </row>
    <row r="504" spans="1:4" x14ac:dyDescent="0.25">
      <c r="A504" t="s">
        <v>17470</v>
      </c>
      <c r="B504" s="102">
        <v>1922</v>
      </c>
      <c r="C504" s="102">
        <v>2403</v>
      </c>
      <c r="D504" s="102">
        <f>Table22[[#This Row],[CURRENT]]-Table22[[#This Row],[IDEAL]]</f>
        <v>-481</v>
      </c>
    </row>
    <row r="505" spans="1:4" x14ac:dyDescent="0.25">
      <c r="A505" t="s">
        <v>17085</v>
      </c>
      <c r="B505" s="102">
        <v>1921</v>
      </c>
      <c r="C505" s="102">
        <v>2402</v>
      </c>
      <c r="D505" s="102">
        <f>Table22[[#This Row],[CURRENT]]-Table22[[#This Row],[IDEAL]]</f>
        <v>-481</v>
      </c>
    </row>
    <row r="506" spans="1:4" x14ac:dyDescent="0.25">
      <c r="A506" t="s">
        <v>17183</v>
      </c>
      <c r="B506" s="102">
        <v>3519</v>
      </c>
      <c r="C506" s="102">
        <v>3999</v>
      </c>
      <c r="D506" s="102">
        <f>Table22[[#This Row],[CURRENT]]-Table22[[#This Row],[IDEAL]]</f>
        <v>-480</v>
      </c>
    </row>
    <row r="507" spans="1:4" x14ac:dyDescent="0.25">
      <c r="A507" t="s">
        <v>17606</v>
      </c>
      <c r="B507" s="102">
        <v>3208</v>
      </c>
      <c r="C507" s="102">
        <v>3688</v>
      </c>
      <c r="D507" s="102">
        <f>Table22[[#This Row],[CURRENT]]-Table22[[#This Row],[IDEAL]]</f>
        <v>-480</v>
      </c>
    </row>
    <row r="508" spans="1:4" x14ac:dyDescent="0.25">
      <c r="A508" t="s">
        <v>17213</v>
      </c>
      <c r="B508" s="102">
        <v>4318</v>
      </c>
      <c r="C508" s="102">
        <v>4798</v>
      </c>
      <c r="D508" s="102">
        <f>Table22[[#This Row],[CURRENT]]-Table22[[#This Row],[IDEAL]]</f>
        <v>-480</v>
      </c>
    </row>
    <row r="509" spans="1:4" x14ac:dyDescent="0.25">
      <c r="A509" t="s">
        <v>14820</v>
      </c>
      <c r="B509" s="102">
        <v>1912</v>
      </c>
      <c r="C509" s="102">
        <v>2391</v>
      </c>
      <c r="D509" s="102">
        <f>Table22[[#This Row],[CURRENT]]-Table22[[#This Row],[IDEAL]]</f>
        <v>-479</v>
      </c>
    </row>
    <row r="510" spans="1:4" x14ac:dyDescent="0.25">
      <c r="A510" t="s">
        <v>14384</v>
      </c>
      <c r="B510" s="102">
        <v>2513</v>
      </c>
      <c r="C510" s="102">
        <v>2992</v>
      </c>
      <c r="D510" s="102">
        <f>Table22[[#This Row],[CURRENT]]-Table22[[#This Row],[IDEAL]]</f>
        <v>-479</v>
      </c>
    </row>
    <row r="511" spans="1:4" x14ac:dyDescent="0.25">
      <c r="A511" t="s">
        <v>17090</v>
      </c>
      <c r="B511" s="102">
        <v>2938</v>
      </c>
      <c r="C511" s="102">
        <v>3417</v>
      </c>
      <c r="D511" s="102">
        <f>Table22[[#This Row],[CURRENT]]-Table22[[#This Row],[IDEAL]]</f>
        <v>-479</v>
      </c>
    </row>
    <row r="512" spans="1:4" x14ac:dyDescent="0.25">
      <c r="A512" t="s">
        <v>16189</v>
      </c>
      <c r="B512" s="102">
        <v>2709</v>
      </c>
      <c r="C512" s="102">
        <v>3188</v>
      </c>
      <c r="D512" s="102">
        <f>Table22[[#This Row],[CURRENT]]-Table22[[#This Row],[IDEAL]]</f>
        <v>-479</v>
      </c>
    </row>
    <row r="513" spans="1:4" x14ac:dyDescent="0.25">
      <c r="A513" t="s">
        <v>16240</v>
      </c>
      <c r="B513" s="102">
        <v>2513</v>
      </c>
      <c r="C513" s="102">
        <v>2992</v>
      </c>
      <c r="D513" s="102">
        <f>Table22[[#This Row],[CURRENT]]-Table22[[#This Row],[IDEAL]]</f>
        <v>-479</v>
      </c>
    </row>
    <row r="514" spans="1:4" x14ac:dyDescent="0.25">
      <c r="A514" t="s">
        <v>17244</v>
      </c>
      <c r="B514" s="102">
        <v>2706</v>
      </c>
      <c r="C514" s="102">
        <v>3184</v>
      </c>
      <c r="D514" s="102">
        <f>Table22[[#This Row],[CURRENT]]-Table22[[#This Row],[IDEAL]]</f>
        <v>-478</v>
      </c>
    </row>
    <row r="515" spans="1:4" x14ac:dyDescent="0.25">
      <c r="A515" t="s">
        <v>17149</v>
      </c>
      <c r="B515" s="102">
        <v>3504</v>
      </c>
      <c r="C515" s="102">
        <v>3982</v>
      </c>
      <c r="D515" s="102">
        <f>Table22[[#This Row],[CURRENT]]-Table22[[#This Row],[IDEAL]]</f>
        <v>-478</v>
      </c>
    </row>
    <row r="516" spans="1:4" x14ac:dyDescent="0.25">
      <c r="A516" t="s">
        <v>16379</v>
      </c>
      <c r="B516" s="102">
        <v>2035</v>
      </c>
      <c r="C516" s="102">
        <v>2513</v>
      </c>
      <c r="D516" s="102">
        <f>Table22[[#This Row],[CURRENT]]-Table22[[#This Row],[IDEAL]]</f>
        <v>-478</v>
      </c>
    </row>
    <row r="517" spans="1:4" x14ac:dyDescent="0.25">
      <c r="A517" t="s">
        <v>16190</v>
      </c>
      <c r="B517" s="102">
        <v>2708</v>
      </c>
      <c r="C517" s="102">
        <v>3186</v>
      </c>
      <c r="D517" s="102">
        <f>Table22[[#This Row],[CURRENT]]-Table22[[#This Row],[IDEAL]]</f>
        <v>-478</v>
      </c>
    </row>
    <row r="518" spans="1:4" x14ac:dyDescent="0.25">
      <c r="A518" t="s">
        <v>13395</v>
      </c>
      <c r="B518" s="102">
        <v>2169</v>
      </c>
      <c r="C518" s="102">
        <v>2646</v>
      </c>
      <c r="D518" s="102">
        <f>Table22[[#This Row],[CURRENT]]-Table22[[#This Row],[IDEAL]]</f>
        <v>-477</v>
      </c>
    </row>
    <row r="519" spans="1:4" x14ac:dyDescent="0.25">
      <c r="A519" t="s">
        <v>17131</v>
      </c>
      <c r="B519" s="102">
        <v>2921</v>
      </c>
      <c r="C519" s="102">
        <v>3397</v>
      </c>
      <c r="D519" s="102">
        <f>Table22[[#This Row],[CURRENT]]-Table22[[#This Row],[IDEAL]]</f>
        <v>-476</v>
      </c>
    </row>
    <row r="520" spans="1:4" x14ac:dyDescent="0.25">
      <c r="A520" t="s">
        <v>17161</v>
      </c>
      <c r="B520" s="102">
        <v>2320</v>
      </c>
      <c r="C520" s="102">
        <v>2796</v>
      </c>
      <c r="D520" s="102">
        <f>Table22[[#This Row],[CURRENT]]-Table22[[#This Row],[IDEAL]]</f>
        <v>-476</v>
      </c>
    </row>
    <row r="521" spans="1:4" x14ac:dyDescent="0.25">
      <c r="A521" t="s">
        <v>16289</v>
      </c>
      <c r="B521" s="102">
        <v>2323</v>
      </c>
      <c r="C521" s="102">
        <v>2799</v>
      </c>
      <c r="D521" s="102">
        <f>Table22[[#This Row],[CURRENT]]-Table22[[#This Row],[IDEAL]]</f>
        <v>-476</v>
      </c>
    </row>
    <row r="522" spans="1:4" x14ac:dyDescent="0.25">
      <c r="A522" t="s">
        <v>13452</v>
      </c>
      <c r="B522" s="102">
        <v>1896</v>
      </c>
      <c r="C522" s="102">
        <v>2371</v>
      </c>
      <c r="D522" s="102">
        <f>Table22[[#This Row],[CURRENT]]-Table22[[#This Row],[IDEAL]]</f>
        <v>-475</v>
      </c>
    </row>
    <row r="523" spans="1:4" x14ac:dyDescent="0.25">
      <c r="A523" t="s">
        <v>17301</v>
      </c>
      <c r="B523" s="102">
        <v>2917</v>
      </c>
      <c r="C523" s="102">
        <v>3392</v>
      </c>
      <c r="D523" s="102">
        <f>Table22[[#This Row],[CURRENT]]-Table22[[#This Row],[IDEAL]]</f>
        <v>-475</v>
      </c>
    </row>
    <row r="524" spans="1:4" x14ac:dyDescent="0.25">
      <c r="A524" t="s">
        <v>17483</v>
      </c>
      <c r="B524" s="102">
        <v>2314</v>
      </c>
      <c r="C524" s="102">
        <v>2789</v>
      </c>
      <c r="D524" s="102">
        <f>Table22[[#This Row],[CURRENT]]-Table22[[#This Row],[IDEAL]]</f>
        <v>-475</v>
      </c>
    </row>
    <row r="525" spans="1:4" x14ac:dyDescent="0.25">
      <c r="A525" t="s">
        <v>17215</v>
      </c>
      <c r="B525" s="102">
        <v>4266</v>
      </c>
      <c r="C525" s="102">
        <v>4741</v>
      </c>
      <c r="D525" s="102">
        <f>Table22[[#This Row],[CURRENT]]-Table22[[#This Row],[IDEAL]]</f>
        <v>-475</v>
      </c>
    </row>
    <row r="526" spans="1:4" x14ac:dyDescent="0.25">
      <c r="A526" t="s">
        <v>16063</v>
      </c>
      <c r="B526" s="102">
        <v>3174</v>
      </c>
      <c r="C526" s="102">
        <v>3649</v>
      </c>
      <c r="D526" s="102">
        <f>Table22[[#This Row],[CURRENT]]-Table22[[#This Row],[IDEAL]]</f>
        <v>-475</v>
      </c>
    </row>
    <row r="527" spans="1:4" x14ac:dyDescent="0.25">
      <c r="A527" t="s">
        <v>17302</v>
      </c>
      <c r="B527" s="102">
        <v>2906</v>
      </c>
      <c r="C527" s="102">
        <v>3380</v>
      </c>
      <c r="D527" s="102">
        <f>Table22[[#This Row],[CURRENT]]-Table22[[#This Row],[IDEAL]]</f>
        <v>-474</v>
      </c>
    </row>
    <row r="528" spans="1:4" x14ac:dyDescent="0.25">
      <c r="A528" t="s">
        <v>14814</v>
      </c>
      <c r="B528" s="102">
        <v>1888</v>
      </c>
      <c r="C528" s="102">
        <v>2361</v>
      </c>
      <c r="D528" s="102">
        <f>Table22[[#This Row],[CURRENT]]-Table22[[#This Row],[IDEAL]]</f>
        <v>-473</v>
      </c>
    </row>
    <row r="529" spans="1:4" x14ac:dyDescent="0.25">
      <c r="A529" t="s">
        <v>13671</v>
      </c>
      <c r="B529" s="102">
        <v>2305</v>
      </c>
      <c r="C529" s="102">
        <v>2778</v>
      </c>
      <c r="D529" s="102">
        <f>Table22[[#This Row],[CURRENT]]-Table22[[#This Row],[IDEAL]]</f>
        <v>-473</v>
      </c>
    </row>
    <row r="530" spans="1:4" x14ac:dyDescent="0.25">
      <c r="A530" t="s">
        <v>13870</v>
      </c>
      <c r="B530" s="102">
        <v>3153</v>
      </c>
      <c r="C530" s="102">
        <v>3625</v>
      </c>
      <c r="D530" s="102">
        <f>Table22[[#This Row],[CURRENT]]-Table22[[#This Row],[IDEAL]]</f>
        <v>-472</v>
      </c>
    </row>
    <row r="531" spans="1:4" x14ac:dyDescent="0.25">
      <c r="A531" t="s">
        <v>17094</v>
      </c>
      <c r="B531" s="102">
        <v>3460</v>
      </c>
      <c r="C531" s="102">
        <v>3932</v>
      </c>
      <c r="D531" s="102">
        <f>Table22[[#This Row],[CURRENT]]-Table22[[#This Row],[IDEAL]]</f>
        <v>-472</v>
      </c>
    </row>
    <row r="532" spans="1:4" x14ac:dyDescent="0.25">
      <c r="A532" t="s">
        <v>14241</v>
      </c>
      <c r="B532" s="102">
        <v>3152</v>
      </c>
      <c r="C532" s="102">
        <v>3623</v>
      </c>
      <c r="D532" s="102">
        <f>Table22[[#This Row],[CURRENT]]-Table22[[#This Row],[IDEAL]]</f>
        <v>-471</v>
      </c>
    </row>
    <row r="533" spans="1:4" x14ac:dyDescent="0.25">
      <c r="A533" t="s">
        <v>17056</v>
      </c>
      <c r="B533" s="102">
        <v>2295</v>
      </c>
      <c r="C533" s="102">
        <v>2766</v>
      </c>
      <c r="D533" s="102">
        <f>Table22[[#This Row],[CURRENT]]-Table22[[#This Row],[IDEAL]]</f>
        <v>-471</v>
      </c>
    </row>
    <row r="534" spans="1:4" x14ac:dyDescent="0.25">
      <c r="A534" t="s">
        <v>17555</v>
      </c>
      <c r="B534" s="102">
        <v>2143</v>
      </c>
      <c r="C534" s="102">
        <v>2614</v>
      </c>
      <c r="D534" s="102">
        <f>Table22[[#This Row],[CURRENT]]-Table22[[#This Row],[IDEAL]]</f>
        <v>-471</v>
      </c>
    </row>
    <row r="535" spans="1:4" x14ac:dyDescent="0.25">
      <c r="A535" t="s">
        <v>17472</v>
      </c>
      <c r="B535" s="102">
        <v>1881</v>
      </c>
      <c r="C535" s="102">
        <v>2352</v>
      </c>
      <c r="D535" s="102">
        <f>Table22[[#This Row],[CURRENT]]-Table22[[#This Row],[IDEAL]]</f>
        <v>-471</v>
      </c>
    </row>
    <row r="536" spans="1:4" x14ac:dyDescent="0.25">
      <c r="A536" t="s">
        <v>16258</v>
      </c>
      <c r="B536" s="102">
        <v>2467</v>
      </c>
      <c r="C536" s="102">
        <v>2938</v>
      </c>
      <c r="D536" s="102">
        <f>Table22[[#This Row],[CURRENT]]-Table22[[#This Row],[IDEAL]]</f>
        <v>-471</v>
      </c>
    </row>
    <row r="537" spans="1:4" x14ac:dyDescent="0.25">
      <c r="A537" t="s">
        <v>16440</v>
      </c>
      <c r="B537" s="102">
        <v>1880</v>
      </c>
      <c r="C537" s="102">
        <v>2350</v>
      </c>
      <c r="D537" s="102">
        <f>Table22[[#This Row],[CURRENT]]-Table22[[#This Row],[IDEAL]]</f>
        <v>-470</v>
      </c>
    </row>
    <row r="538" spans="1:4" x14ac:dyDescent="0.25">
      <c r="A538" t="s">
        <v>15429</v>
      </c>
      <c r="B538" s="102">
        <v>1872</v>
      </c>
      <c r="C538" s="102">
        <v>2341</v>
      </c>
      <c r="D538" s="102">
        <f>Table22[[#This Row],[CURRENT]]-Table22[[#This Row],[IDEAL]]</f>
        <v>-469</v>
      </c>
    </row>
    <row r="539" spans="1:4" x14ac:dyDescent="0.25">
      <c r="A539" t="s">
        <v>18018</v>
      </c>
      <c r="B539" s="102">
        <v>1875</v>
      </c>
      <c r="C539" s="102">
        <v>2344</v>
      </c>
      <c r="D539" s="102">
        <f>Table22[[#This Row],[CURRENT]]-Table22[[#This Row],[IDEAL]]</f>
        <v>-469</v>
      </c>
    </row>
    <row r="540" spans="1:4" x14ac:dyDescent="0.25">
      <c r="A540" t="s">
        <v>17580</v>
      </c>
      <c r="B540" s="102">
        <v>1874</v>
      </c>
      <c r="C540" s="102">
        <v>2343</v>
      </c>
      <c r="D540" s="102">
        <f>Table22[[#This Row],[CURRENT]]-Table22[[#This Row],[IDEAL]]</f>
        <v>-469</v>
      </c>
    </row>
    <row r="541" spans="1:4" x14ac:dyDescent="0.25">
      <c r="A541" t="s">
        <v>14299</v>
      </c>
      <c r="B541" s="102">
        <v>1991</v>
      </c>
      <c r="C541" s="102">
        <v>2459</v>
      </c>
      <c r="D541" s="102">
        <f>Table22[[#This Row],[CURRENT]]-Table22[[#This Row],[IDEAL]]</f>
        <v>-468</v>
      </c>
    </row>
    <row r="542" spans="1:4" x14ac:dyDescent="0.25">
      <c r="A542" t="s">
        <v>17523</v>
      </c>
      <c r="B542" s="102">
        <v>2652</v>
      </c>
      <c r="C542" s="102">
        <v>3120</v>
      </c>
      <c r="D542" s="102">
        <f>Table22[[#This Row],[CURRENT]]-Table22[[#This Row],[IDEAL]]</f>
        <v>-468</v>
      </c>
    </row>
    <row r="543" spans="1:4" x14ac:dyDescent="0.25">
      <c r="A543" t="s">
        <v>16298</v>
      </c>
      <c r="B543" s="102">
        <v>2284</v>
      </c>
      <c r="C543" s="102">
        <v>2752</v>
      </c>
      <c r="D543" s="102">
        <f>Table22[[#This Row],[CURRENT]]-Table22[[#This Row],[IDEAL]]</f>
        <v>-468</v>
      </c>
    </row>
    <row r="544" spans="1:4" x14ac:dyDescent="0.25">
      <c r="A544" t="s">
        <v>16443</v>
      </c>
      <c r="B544" s="102">
        <v>1870</v>
      </c>
      <c r="C544" s="102">
        <v>2338</v>
      </c>
      <c r="D544" s="102">
        <f>Table22[[#This Row],[CURRENT]]-Table22[[#This Row],[IDEAL]]</f>
        <v>-468</v>
      </c>
    </row>
    <row r="545" spans="1:4" x14ac:dyDescent="0.25">
      <c r="A545" t="s">
        <v>17576</v>
      </c>
      <c r="B545" s="102">
        <v>1989</v>
      </c>
      <c r="C545" s="102">
        <v>2456</v>
      </c>
      <c r="D545" s="102">
        <f>Table22[[#This Row],[CURRENT]]-Table22[[#This Row],[IDEAL]]</f>
        <v>-467</v>
      </c>
    </row>
    <row r="546" spans="1:4" x14ac:dyDescent="0.25">
      <c r="A546" t="s">
        <v>16396</v>
      </c>
      <c r="B546" s="102">
        <v>1986</v>
      </c>
      <c r="C546" s="102">
        <v>2453</v>
      </c>
      <c r="D546" s="102">
        <f>Table22[[#This Row],[CURRENT]]-Table22[[#This Row],[IDEAL]]</f>
        <v>-467</v>
      </c>
    </row>
    <row r="547" spans="1:4" x14ac:dyDescent="0.25">
      <c r="A547" t="s">
        <v>16015</v>
      </c>
      <c r="B547" s="102">
        <v>3423</v>
      </c>
      <c r="C547" s="102">
        <v>3890</v>
      </c>
      <c r="D547" s="102">
        <f>Table22[[#This Row],[CURRENT]]-Table22[[#This Row],[IDEAL]]</f>
        <v>-467</v>
      </c>
    </row>
    <row r="548" spans="1:4" x14ac:dyDescent="0.25">
      <c r="A548" t="s">
        <v>16202</v>
      </c>
      <c r="B548" s="102">
        <v>2643</v>
      </c>
      <c r="C548" s="102">
        <v>3110</v>
      </c>
      <c r="D548" s="102">
        <f>Table22[[#This Row],[CURRENT]]-Table22[[#This Row],[IDEAL]]</f>
        <v>-467</v>
      </c>
    </row>
    <row r="549" spans="1:4" x14ac:dyDescent="0.25">
      <c r="A549" t="s">
        <v>17098</v>
      </c>
      <c r="B549" s="102">
        <v>1985</v>
      </c>
      <c r="C549" s="102">
        <v>2451</v>
      </c>
      <c r="D549" s="102">
        <f>Table22[[#This Row],[CURRENT]]-Table22[[#This Row],[IDEAL]]</f>
        <v>-466</v>
      </c>
    </row>
    <row r="550" spans="1:4" x14ac:dyDescent="0.25">
      <c r="A550" t="s">
        <v>17542</v>
      </c>
      <c r="B550" s="102">
        <v>2272</v>
      </c>
      <c r="C550" s="102">
        <v>2738</v>
      </c>
      <c r="D550" s="102">
        <f>Table22[[#This Row],[CURRENT]]-Table22[[#This Row],[IDEAL]]</f>
        <v>-466</v>
      </c>
    </row>
    <row r="551" spans="1:4" x14ac:dyDescent="0.25">
      <c r="A551" t="s">
        <v>16018</v>
      </c>
      <c r="B551" s="102">
        <v>3415</v>
      </c>
      <c r="C551" s="102">
        <v>3881</v>
      </c>
      <c r="D551" s="102">
        <f>Table22[[#This Row],[CURRENT]]-Table22[[#This Row],[IDEAL]]</f>
        <v>-466</v>
      </c>
    </row>
    <row r="552" spans="1:4" x14ac:dyDescent="0.25">
      <c r="A552" t="s">
        <v>14823</v>
      </c>
      <c r="B552" s="102">
        <v>1980</v>
      </c>
      <c r="C552" s="102">
        <v>2445</v>
      </c>
      <c r="D552" s="102">
        <f>Table22[[#This Row],[CURRENT]]-Table22[[#This Row],[IDEAL]]</f>
        <v>-465</v>
      </c>
    </row>
    <row r="553" spans="1:4" x14ac:dyDescent="0.25">
      <c r="A553" t="s">
        <v>14701</v>
      </c>
      <c r="B553" s="102">
        <v>1982</v>
      </c>
      <c r="C553" s="102">
        <v>2447</v>
      </c>
      <c r="D553" s="102">
        <f>Table22[[#This Row],[CURRENT]]-Table22[[#This Row],[IDEAL]]</f>
        <v>-465</v>
      </c>
    </row>
    <row r="554" spans="1:4" x14ac:dyDescent="0.25">
      <c r="A554" t="s">
        <v>17292</v>
      </c>
      <c r="B554" s="102">
        <v>3407</v>
      </c>
      <c r="C554" s="102">
        <v>3872</v>
      </c>
      <c r="D554" s="102">
        <f>Table22[[#This Row],[CURRENT]]-Table22[[#This Row],[IDEAL]]</f>
        <v>-465</v>
      </c>
    </row>
    <row r="555" spans="1:4" x14ac:dyDescent="0.25">
      <c r="A555" t="s">
        <v>16264</v>
      </c>
      <c r="B555" s="102">
        <v>2438</v>
      </c>
      <c r="C555" s="102">
        <v>2903</v>
      </c>
      <c r="D555" s="102">
        <f>Table22[[#This Row],[CURRENT]]-Table22[[#This Row],[IDEAL]]</f>
        <v>-465</v>
      </c>
    </row>
    <row r="556" spans="1:4" x14ac:dyDescent="0.25">
      <c r="A556" t="s">
        <v>16355</v>
      </c>
      <c r="B556" s="102">
        <v>2118</v>
      </c>
      <c r="C556" s="102">
        <v>2583</v>
      </c>
      <c r="D556" s="102">
        <f>Table22[[#This Row],[CURRENT]]-Table22[[#This Row],[IDEAL]]</f>
        <v>-465</v>
      </c>
    </row>
    <row r="557" spans="1:4" x14ac:dyDescent="0.25">
      <c r="A557" t="s">
        <v>16306</v>
      </c>
      <c r="B557" s="102">
        <v>2260</v>
      </c>
      <c r="C557" s="102">
        <v>2724</v>
      </c>
      <c r="D557" s="102">
        <f>Table22[[#This Row],[CURRENT]]-Table22[[#This Row],[IDEAL]]</f>
        <v>-464</v>
      </c>
    </row>
    <row r="558" spans="1:4" x14ac:dyDescent="0.25">
      <c r="A558" t="s">
        <v>16305</v>
      </c>
      <c r="B558" s="102">
        <v>2260</v>
      </c>
      <c r="C558" s="102">
        <v>2724</v>
      </c>
      <c r="D558" s="102">
        <f>Table22[[#This Row],[CURRENT]]-Table22[[#This Row],[IDEAL]]</f>
        <v>-464</v>
      </c>
    </row>
    <row r="559" spans="1:4" x14ac:dyDescent="0.25">
      <c r="A559" t="s">
        <v>15976</v>
      </c>
      <c r="B559" s="102">
        <v>3753</v>
      </c>
      <c r="C559" s="102">
        <v>4217</v>
      </c>
      <c r="D559" s="102">
        <f>Table22[[#This Row],[CURRENT]]-Table22[[#This Row],[IDEAL]]</f>
        <v>-464</v>
      </c>
    </row>
    <row r="560" spans="1:4" x14ac:dyDescent="0.25">
      <c r="A560" t="s">
        <v>14335</v>
      </c>
      <c r="B560" s="102">
        <v>2259</v>
      </c>
      <c r="C560" s="102">
        <v>2722</v>
      </c>
      <c r="D560" s="102">
        <f>Table22[[#This Row],[CURRENT]]-Table22[[#This Row],[IDEAL]]</f>
        <v>-463</v>
      </c>
    </row>
    <row r="561" spans="1:4" x14ac:dyDescent="0.25">
      <c r="A561" t="s">
        <v>13890</v>
      </c>
      <c r="B561" s="102">
        <v>2841</v>
      </c>
      <c r="C561" s="102">
        <v>3304</v>
      </c>
      <c r="D561" s="102">
        <f>Table22[[#This Row],[CURRENT]]-Table22[[#This Row],[IDEAL]]</f>
        <v>-463</v>
      </c>
    </row>
    <row r="562" spans="1:4" x14ac:dyDescent="0.25">
      <c r="A562" t="s">
        <v>16400</v>
      </c>
      <c r="B562" s="102">
        <v>1970</v>
      </c>
      <c r="C562" s="102">
        <v>2433</v>
      </c>
      <c r="D562" s="102">
        <f>Table22[[#This Row],[CURRENT]]-Table22[[#This Row],[IDEAL]]</f>
        <v>-463</v>
      </c>
    </row>
    <row r="563" spans="1:4" x14ac:dyDescent="0.25">
      <c r="A563" t="s">
        <v>14308</v>
      </c>
      <c r="B563" s="102">
        <v>2100</v>
      </c>
      <c r="C563" s="102">
        <v>2562</v>
      </c>
      <c r="D563" s="102">
        <f>Table22[[#This Row],[CURRENT]]-Table22[[#This Row],[IDEAL]]</f>
        <v>-462</v>
      </c>
    </row>
    <row r="564" spans="1:4" x14ac:dyDescent="0.25">
      <c r="A564" t="s">
        <v>14272</v>
      </c>
      <c r="B564" s="102">
        <v>2833</v>
      </c>
      <c r="C564" s="102">
        <v>3295</v>
      </c>
      <c r="D564" s="102">
        <f>Table22[[#This Row],[CURRENT]]-Table22[[#This Row],[IDEAL]]</f>
        <v>-462</v>
      </c>
    </row>
    <row r="565" spans="1:4" x14ac:dyDescent="0.25">
      <c r="A565" t="s">
        <v>17296</v>
      </c>
      <c r="B565" s="102">
        <v>3381</v>
      </c>
      <c r="C565" s="102">
        <v>3843</v>
      </c>
      <c r="D565" s="102">
        <f>Table22[[#This Row],[CURRENT]]-Table22[[#This Row],[IDEAL]]</f>
        <v>-462</v>
      </c>
    </row>
    <row r="566" spans="1:4" x14ac:dyDescent="0.25">
      <c r="A566" t="s">
        <v>17115</v>
      </c>
      <c r="B566" s="102">
        <v>2838</v>
      </c>
      <c r="C566" s="102">
        <v>3300</v>
      </c>
      <c r="D566" s="102">
        <f>Table22[[#This Row],[CURRENT]]-Table22[[#This Row],[IDEAL]]</f>
        <v>-462</v>
      </c>
    </row>
    <row r="567" spans="1:4" x14ac:dyDescent="0.25">
      <c r="A567" t="s">
        <v>14837</v>
      </c>
      <c r="B567" s="102">
        <v>2249</v>
      </c>
      <c r="C567" s="102">
        <v>2710</v>
      </c>
      <c r="D567" s="102">
        <f>Table22[[#This Row],[CURRENT]]-Table22[[#This Row],[IDEAL]]</f>
        <v>-461</v>
      </c>
    </row>
    <row r="568" spans="1:4" x14ac:dyDescent="0.25">
      <c r="A568" t="s">
        <v>13676</v>
      </c>
      <c r="B568" s="102">
        <v>2096</v>
      </c>
      <c r="C568" s="102">
        <v>2557</v>
      </c>
      <c r="D568" s="102">
        <f>Table22[[#This Row],[CURRENT]]-Table22[[#This Row],[IDEAL]]</f>
        <v>-461</v>
      </c>
    </row>
    <row r="569" spans="1:4" x14ac:dyDescent="0.25">
      <c r="A569" t="s">
        <v>17206</v>
      </c>
      <c r="B569" s="102">
        <v>3724</v>
      </c>
      <c r="C569" s="102">
        <v>4185</v>
      </c>
      <c r="D569" s="102">
        <f>Table22[[#This Row],[CURRENT]]-Table22[[#This Row],[IDEAL]]</f>
        <v>-461</v>
      </c>
    </row>
    <row r="570" spans="1:4" x14ac:dyDescent="0.25">
      <c r="A570" t="s">
        <v>16404</v>
      </c>
      <c r="B570" s="102">
        <v>1962</v>
      </c>
      <c r="C570" s="102">
        <v>2423</v>
      </c>
      <c r="D570" s="102">
        <f>Table22[[#This Row],[CURRENT]]-Table22[[#This Row],[IDEAL]]</f>
        <v>-461</v>
      </c>
    </row>
    <row r="571" spans="1:4" x14ac:dyDescent="0.25">
      <c r="A571" t="s">
        <v>12534</v>
      </c>
      <c r="B571" s="102">
        <v>1838</v>
      </c>
      <c r="C571" s="102">
        <v>2298</v>
      </c>
      <c r="D571" s="102">
        <f>Table22[[#This Row],[CURRENT]]-Table22[[#This Row],[IDEAL]]</f>
        <v>-460</v>
      </c>
    </row>
    <row r="572" spans="1:4" x14ac:dyDescent="0.25">
      <c r="A572" t="s">
        <v>17219</v>
      </c>
      <c r="B572" s="102">
        <v>4131</v>
      </c>
      <c r="C572" s="102">
        <v>4591</v>
      </c>
      <c r="D572" s="102">
        <f>Table22[[#This Row],[CURRENT]]-Table22[[#This Row],[IDEAL]]</f>
        <v>-460</v>
      </c>
    </row>
    <row r="573" spans="1:4" x14ac:dyDescent="0.25">
      <c r="A573" t="s">
        <v>17491</v>
      </c>
      <c r="B573" s="102">
        <v>2095</v>
      </c>
      <c r="C573" s="102">
        <v>2555</v>
      </c>
      <c r="D573" s="102">
        <f>Table22[[#This Row],[CURRENT]]-Table22[[#This Row],[IDEAL]]</f>
        <v>-460</v>
      </c>
    </row>
    <row r="574" spans="1:4" x14ac:dyDescent="0.25">
      <c r="A574" t="s">
        <v>16407</v>
      </c>
      <c r="B574" s="102">
        <v>1960</v>
      </c>
      <c r="C574" s="102">
        <v>2420</v>
      </c>
      <c r="D574" s="102">
        <f>Table22[[#This Row],[CURRENT]]-Table22[[#This Row],[IDEAL]]</f>
        <v>-460</v>
      </c>
    </row>
    <row r="575" spans="1:4" x14ac:dyDescent="0.25">
      <c r="A575" t="s">
        <v>12605</v>
      </c>
      <c r="B575" s="102">
        <v>3070</v>
      </c>
      <c r="C575" s="102">
        <v>3529</v>
      </c>
      <c r="D575" s="102">
        <f>Table22[[#This Row],[CURRENT]]-Table22[[#This Row],[IDEAL]]</f>
        <v>-459</v>
      </c>
    </row>
    <row r="576" spans="1:4" x14ac:dyDescent="0.25">
      <c r="A576" t="s">
        <v>14286</v>
      </c>
      <c r="B576" s="102">
        <v>4122</v>
      </c>
      <c r="C576" s="102">
        <v>4581</v>
      </c>
      <c r="D576" s="102">
        <f>Table22[[#This Row],[CURRENT]]-Table22[[#This Row],[IDEAL]]</f>
        <v>-459</v>
      </c>
    </row>
    <row r="577" spans="1:4" x14ac:dyDescent="0.25">
      <c r="A577" t="s">
        <v>14439</v>
      </c>
      <c r="B577" s="102">
        <v>3070</v>
      </c>
      <c r="C577" s="102">
        <v>3529</v>
      </c>
      <c r="D577" s="102">
        <f>Table22[[#This Row],[CURRENT]]-Table22[[#This Row],[IDEAL]]</f>
        <v>-459</v>
      </c>
    </row>
    <row r="578" spans="1:4" x14ac:dyDescent="0.25">
      <c r="A578" t="s">
        <v>17479</v>
      </c>
      <c r="B578" s="102">
        <v>2595</v>
      </c>
      <c r="C578" s="102">
        <v>3054</v>
      </c>
      <c r="D578" s="102">
        <f>Table22[[#This Row],[CURRENT]]-Table22[[#This Row],[IDEAL]]</f>
        <v>-459</v>
      </c>
    </row>
    <row r="579" spans="1:4" x14ac:dyDescent="0.25">
      <c r="A579" t="s">
        <v>13876</v>
      </c>
      <c r="B579" s="102">
        <v>3060</v>
      </c>
      <c r="C579" s="102">
        <v>3518</v>
      </c>
      <c r="D579" s="102">
        <f>Table22[[#This Row],[CURRENT]]-Table22[[#This Row],[IDEAL]]</f>
        <v>-458</v>
      </c>
    </row>
    <row r="580" spans="1:4" x14ac:dyDescent="0.25">
      <c r="A580" t="s">
        <v>17847</v>
      </c>
      <c r="B580" s="102">
        <v>2401</v>
      </c>
      <c r="C580" s="102">
        <v>2859</v>
      </c>
      <c r="D580" s="102">
        <f>Table22[[#This Row],[CURRENT]]-Table22[[#This Row],[IDEAL]]</f>
        <v>-458</v>
      </c>
    </row>
    <row r="581" spans="1:4" x14ac:dyDescent="0.25">
      <c r="A581" t="s">
        <v>18016</v>
      </c>
      <c r="B581" s="102">
        <v>2083</v>
      </c>
      <c r="C581" s="102">
        <v>2541</v>
      </c>
      <c r="D581" s="102">
        <f>Table22[[#This Row],[CURRENT]]-Table22[[#This Row],[IDEAL]]</f>
        <v>-458</v>
      </c>
    </row>
    <row r="582" spans="1:4" x14ac:dyDescent="0.25">
      <c r="A582" t="s">
        <v>17567</v>
      </c>
      <c r="B582" s="102">
        <v>2086</v>
      </c>
      <c r="C582" s="102">
        <v>2544</v>
      </c>
      <c r="D582" s="102">
        <f>Table22[[#This Row],[CURRENT]]-Table22[[#This Row],[IDEAL]]</f>
        <v>-458</v>
      </c>
    </row>
    <row r="583" spans="1:4" x14ac:dyDescent="0.25">
      <c r="A583" t="s">
        <v>16411</v>
      </c>
      <c r="B583" s="102">
        <v>1949</v>
      </c>
      <c r="C583" s="102">
        <v>2407</v>
      </c>
      <c r="D583" s="102">
        <f>Table22[[#This Row],[CURRENT]]-Table22[[#This Row],[IDEAL]]</f>
        <v>-458</v>
      </c>
    </row>
    <row r="584" spans="1:4" x14ac:dyDescent="0.25">
      <c r="A584" t="s">
        <v>16224</v>
      </c>
      <c r="B584" s="102">
        <v>2593</v>
      </c>
      <c r="C584" s="102">
        <v>3051</v>
      </c>
      <c r="D584" s="102">
        <f>Table22[[#This Row],[CURRENT]]-Table22[[#This Row],[IDEAL]]</f>
        <v>-458</v>
      </c>
    </row>
    <row r="585" spans="1:4" x14ac:dyDescent="0.25">
      <c r="A585" t="s">
        <v>12475</v>
      </c>
      <c r="B585" s="102">
        <v>3055</v>
      </c>
      <c r="C585" s="102">
        <v>3512</v>
      </c>
      <c r="D585" s="102">
        <f>Table22[[#This Row],[CURRENT]]-Table22[[#This Row],[IDEAL]]</f>
        <v>-457</v>
      </c>
    </row>
    <row r="586" spans="1:4" x14ac:dyDescent="0.25">
      <c r="A586" t="s">
        <v>17469</v>
      </c>
      <c r="B586" s="102">
        <v>1948</v>
      </c>
      <c r="C586" s="102">
        <v>2405</v>
      </c>
      <c r="D586" s="102">
        <f>Table22[[#This Row],[CURRENT]]-Table22[[#This Row],[IDEAL]]</f>
        <v>-457</v>
      </c>
    </row>
    <row r="587" spans="1:4" x14ac:dyDescent="0.25">
      <c r="A587" t="s">
        <v>16227</v>
      </c>
      <c r="B587" s="102">
        <v>2586</v>
      </c>
      <c r="C587" s="102">
        <v>3043</v>
      </c>
      <c r="D587" s="102">
        <f>Table22[[#This Row],[CURRENT]]-Table22[[#This Row],[IDEAL]]</f>
        <v>-457</v>
      </c>
    </row>
    <row r="588" spans="1:4" x14ac:dyDescent="0.25">
      <c r="A588" t="s">
        <v>16373</v>
      </c>
      <c r="B588" s="102">
        <v>2075</v>
      </c>
      <c r="C588" s="102">
        <v>2531</v>
      </c>
      <c r="D588" s="102">
        <f>Table22[[#This Row],[CURRENT]]-Table22[[#This Row],[IDEAL]]</f>
        <v>-456</v>
      </c>
    </row>
    <row r="589" spans="1:4" x14ac:dyDescent="0.25">
      <c r="A589" t="s">
        <v>12479</v>
      </c>
      <c r="B589" s="102">
        <v>3044</v>
      </c>
      <c r="C589" s="102">
        <v>3499</v>
      </c>
      <c r="D589" s="102">
        <f>Table22[[#This Row],[CURRENT]]-Table22[[#This Row],[IDEAL]]</f>
        <v>-455</v>
      </c>
    </row>
    <row r="590" spans="1:4" x14ac:dyDescent="0.25">
      <c r="A590" t="s">
        <v>14453</v>
      </c>
      <c r="B590" s="102">
        <v>2574</v>
      </c>
      <c r="C590" s="102">
        <v>3029</v>
      </c>
      <c r="D590" s="102">
        <f>Table22[[#This Row],[CURRENT]]-Table22[[#This Row],[IDEAL]]</f>
        <v>-455</v>
      </c>
    </row>
    <row r="591" spans="1:4" x14ac:dyDescent="0.25">
      <c r="A591" t="s">
        <v>17463</v>
      </c>
      <c r="B591" s="102">
        <v>2209</v>
      </c>
      <c r="C591" s="102">
        <v>2662</v>
      </c>
      <c r="D591" s="102">
        <f>Table22[[#This Row],[CURRENT]]-Table22[[#This Row],[IDEAL]]</f>
        <v>-453</v>
      </c>
    </row>
    <row r="592" spans="1:4" x14ac:dyDescent="0.25">
      <c r="A592" t="s">
        <v>17646</v>
      </c>
      <c r="B592" s="102">
        <v>2374</v>
      </c>
      <c r="C592" s="102">
        <v>2827</v>
      </c>
      <c r="D592" s="102">
        <f>Table22[[#This Row],[CURRENT]]-Table22[[#This Row],[IDEAL]]</f>
        <v>-453</v>
      </c>
    </row>
    <row r="593" spans="1:4" x14ac:dyDescent="0.25">
      <c r="A593" t="s">
        <v>16232</v>
      </c>
      <c r="B593" s="102">
        <v>2567</v>
      </c>
      <c r="C593" s="102">
        <v>3020</v>
      </c>
      <c r="D593" s="102">
        <f>Table22[[#This Row],[CURRENT]]-Table22[[#This Row],[IDEAL]]</f>
        <v>-453</v>
      </c>
    </row>
    <row r="594" spans="1:4" x14ac:dyDescent="0.25">
      <c r="A594" t="s">
        <v>16426</v>
      </c>
      <c r="B594" s="102">
        <v>1929</v>
      </c>
      <c r="C594" s="102">
        <v>2382</v>
      </c>
      <c r="D594" s="102">
        <f>Table22[[#This Row],[CURRENT]]-Table22[[#This Row],[IDEAL]]</f>
        <v>-453</v>
      </c>
    </row>
    <row r="595" spans="1:4" x14ac:dyDescent="0.25">
      <c r="A595" t="s">
        <v>16280</v>
      </c>
      <c r="B595" s="102">
        <v>2376</v>
      </c>
      <c r="C595" s="102">
        <v>2829</v>
      </c>
      <c r="D595" s="102">
        <f>Table22[[#This Row],[CURRENT]]-Table22[[#This Row],[IDEAL]]</f>
        <v>-453</v>
      </c>
    </row>
    <row r="596" spans="1:4" x14ac:dyDescent="0.25">
      <c r="A596" t="s">
        <v>13852</v>
      </c>
      <c r="B596" s="102">
        <v>3019</v>
      </c>
      <c r="C596" s="102">
        <v>3471</v>
      </c>
      <c r="D596" s="102">
        <f>Table22[[#This Row],[CURRENT]]-Table22[[#This Row],[IDEAL]]</f>
        <v>-452</v>
      </c>
    </row>
    <row r="597" spans="1:4" x14ac:dyDescent="0.25">
      <c r="A597" t="s">
        <v>17529</v>
      </c>
      <c r="B597" s="102">
        <v>2558</v>
      </c>
      <c r="C597" s="102">
        <v>3010</v>
      </c>
      <c r="D597" s="102">
        <f>Table22[[#This Row],[CURRENT]]-Table22[[#This Row],[IDEAL]]</f>
        <v>-452</v>
      </c>
    </row>
    <row r="598" spans="1:4" x14ac:dyDescent="0.25">
      <c r="A598" t="s">
        <v>14302</v>
      </c>
      <c r="B598" s="102">
        <v>2051</v>
      </c>
      <c r="C598" s="102">
        <v>2502</v>
      </c>
      <c r="D598" s="102">
        <f>Table22[[#This Row],[CURRENT]]-Table22[[#This Row],[IDEAL]]</f>
        <v>-451</v>
      </c>
    </row>
    <row r="599" spans="1:4" x14ac:dyDescent="0.25">
      <c r="A599" t="s">
        <v>13382</v>
      </c>
      <c r="B599" s="102">
        <v>2357</v>
      </c>
      <c r="C599" s="102">
        <v>2807</v>
      </c>
      <c r="D599" s="102">
        <f>Table22[[#This Row],[CURRENT]]-Table22[[#This Row],[IDEAL]]</f>
        <v>-450</v>
      </c>
    </row>
    <row r="600" spans="1:4" x14ac:dyDescent="0.25">
      <c r="A600" t="s">
        <v>16283</v>
      </c>
      <c r="B600" s="102">
        <v>2361</v>
      </c>
      <c r="C600" s="102">
        <v>2811</v>
      </c>
      <c r="D600" s="102">
        <f>Table22[[#This Row],[CURRENT]]-Table22[[#This Row],[IDEAL]]</f>
        <v>-450</v>
      </c>
    </row>
    <row r="601" spans="1:4" x14ac:dyDescent="0.25">
      <c r="A601" t="s">
        <v>16285</v>
      </c>
      <c r="B601" s="102">
        <v>2360</v>
      </c>
      <c r="C601" s="102">
        <v>2810</v>
      </c>
      <c r="D601" s="102">
        <f>Table22[[#This Row],[CURRENT]]-Table22[[#This Row],[IDEAL]]</f>
        <v>-450</v>
      </c>
    </row>
    <row r="602" spans="1:4" x14ac:dyDescent="0.25">
      <c r="A602" t="s">
        <v>15386</v>
      </c>
      <c r="B602" s="102">
        <v>2044</v>
      </c>
      <c r="C602" s="102">
        <v>2493</v>
      </c>
      <c r="D602" s="102">
        <f>Table22[[#This Row],[CURRENT]]-Table22[[#This Row],[IDEAL]]</f>
        <v>-449</v>
      </c>
    </row>
    <row r="603" spans="1:4" x14ac:dyDescent="0.25">
      <c r="A603" t="s">
        <v>14970</v>
      </c>
      <c r="B603" s="102">
        <v>2352</v>
      </c>
      <c r="C603" s="102">
        <v>2800</v>
      </c>
      <c r="D603" s="102">
        <f>Table22[[#This Row],[CURRENT]]-Table22[[#This Row],[IDEAL]]</f>
        <v>-448</v>
      </c>
    </row>
    <row r="604" spans="1:4" x14ac:dyDescent="0.25">
      <c r="A604" t="s">
        <v>17116</v>
      </c>
      <c r="B604" s="102">
        <v>3285</v>
      </c>
      <c r="C604" s="102">
        <v>3733</v>
      </c>
      <c r="D604" s="102">
        <f>Table22[[#This Row],[CURRENT]]-Table22[[#This Row],[IDEAL]]</f>
        <v>-448</v>
      </c>
    </row>
    <row r="605" spans="1:4" x14ac:dyDescent="0.25">
      <c r="A605" t="s">
        <v>17573</v>
      </c>
      <c r="B605" s="102">
        <v>2036</v>
      </c>
      <c r="C605" s="102">
        <v>2484</v>
      </c>
      <c r="D605" s="102">
        <f>Table22[[#This Row],[CURRENT]]-Table22[[#This Row],[IDEAL]]</f>
        <v>-448</v>
      </c>
    </row>
    <row r="606" spans="1:4" x14ac:dyDescent="0.25">
      <c r="A606" t="s">
        <v>15197</v>
      </c>
      <c r="B606" s="102">
        <v>4016</v>
      </c>
      <c r="C606" s="102">
        <v>4463</v>
      </c>
      <c r="D606" s="102">
        <f>Table22[[#This Row],[CURRENT]]-Table22[[#This Row],[IDEAL]]</f>
        <v>-447</v>
      </c>
    </row>
    <row r="607" spans="1:4" x14ac:dyDescent="0.25">
      <c r="A607" t="s">
        <v>14824</v>
      </c>
      <c r="B607" s="102">
        <v>2036</v>
      </c>
      <c r="C607" s="102">
        <v>2483</v>
      </c>
      <c r="D607" s="102">
        <f>Table22[[#This Row],[CURRENT]]-Table22[[#This Row],[IDEAL]]</f>
        <v>-447</v>
      </c>
    </row>
    <row r="608" spans="1:4" x14ac:dyDescent="0.25">
      <c r="A608" t="s">
        <v>17264</v>
      </c>
      <c r="B608" s="102">
        <v>4019</v>
      </c>
      <c r="C608" s="102">
        <v>4466</v>
      </c>
      <c r="D608" s="102">
        <f>Table22[[#This Row],[CURRENT]]-Table22[[#This Row],[IDEAL]]</f>
        <v>-447</v>
      </c>
    </row>
    <row r="609" spans="1:4" x14ac:dyDescent="0.25">
      <c r="A609" t="s">
        <v>16243</v>
      </c>
      <c r="B609" s="102">
        <v>2533</v>
      </c>
      <c r="C609" s="102">
        <v>2980</v>
      </c>
      <c r="D609" s="102">
        <f>Table22[[#This Row],[CURRENT]]-Table22[[#This Row],[IDEAL]]</f>
        <v>-447</v>
      </c>
    </row>
    <row r="610" spans="1:4" x14ac:dyDescent="0.25">
      <c r="A610" t="s">
        <v>14265</v>
      </c>
      <c r="B610" s="102">
        <v>3603</v>
      </c>
      <c r="C610" s="102">
        <v>4049</v>
      </c>
      <c r="D610" s="102">
        <f>Table22[[#This Row],[CURRENT]]-Table22[[#This Row],[IDEAL]]</f>
        <v>-446</v>
      </c>
    </row>
    <row r="611" spans="1:4" x14ac:dyDescent="0.25">
      <c r="A611" t="s">
        <v>14429</v>
      </c>
      <c r="B611" s="102">
        <v>2027</v>
      </c>
      <c r="C611" s="102">
        <v>2473</v>
      </c>
      <c r="D611" s="102">
        <f>Table22[[#This Row],[CURRENT]]-Table22[[#This Row],[IDEAL]]</f>
        <v>-446</v>
      </c>
    </row>
    <row r="612" spans="1:4" x14ac:dyDescent="0.25">
      <c r="A612" t="s">
        <v>17484</v>
      </c>
      <c r="B612" s="102">
        <v>2341</v>
      </c>
      <c r="C612" s="102">
        <v>2787</v>
      </c>
      <c r="D612" s="102">
        <f>Table22[[#This Row],[CURRENT]]-Table22[[#This Row],[IDEAL]]</f>
        <v>-446</v>
      </c>
    </row>
    <row r="613" spans="1:4" x14ac:dyDescent="0.25">
      <c r="A613" t="s">
        <v>16246</v>
      </c>
      <c r="B613" s="102">
        <v>2526</v>
      </c>
      <c r="C613" s="102">
        <v>2972</v>
      </c>
      <c r="D613" s="102">
        <f>Table22[[#This Row],[CURRENT]]-Table22[[#This Row],[IDEAL]]</f>
        <v>-446</v>
      </c>
    </row>
    <row r="614" spans="1:4" x14ac:dyDescent="0.25">
      <c r="A614" t="s">
        <v>14413</v>
      </c>
      <c r="B614" s="102">
        <v>3262</v>
      </c>
      <c r="C614" s="102">
        <v>3707</v>
      </c>
      <c r="D614" s="102">
        <f>Table22[[#This Row],[CURRENT]]-Table22[[#This Row],[IDEAL]]</f>
        <v>-445</v>
      </c>
    </row>
    <row r="615" spans="1:4" x14ac:dyDescent="0.25">
      <c r="A615" t="s">
        <v>16390</v>
      </c>
      <c r="B615" s="102">
        <v>2023</v>
      </c>
      <c r="C615" s="102">
        <v>2468</v>
      </c>
      <c r="D615" s="102">
        <f>Table22[[#This Row],[CURRENT]]-Table22[[#This Row],[IDEAL]]</f>
        <v>-445</v>
      </c>
    </row>
    <row r="616" spans="1:4" x14ac:dyDescent="0.25">
      <c r="A616" t="s">
        <v>16338</v>
      </c>
      <c r="B616" s="102">
        <v>2165</v>
      </c>
      <c r="C616" s="102">
        <v>2609</v>
      </c>
      <c r="D616" s="102">
        <f>Table22[[#This Row],[CURRENT]]-Table22[[#This Row],[IDEAL]]</f>
        <v>-444</v>
      </c>
    </row>
    <row r="617" spans="1:4" x14ac:dyDescent="0.25">
      <c r="A617" t="s">
        <v>16391</v>
      </c>
      <c r="B617" s="102">
        <v>2022</v>
      </c>
      <c r="C617" s="102">
        <v>2466</v>
      </c>
      <c r="D617" s="102">
        <f>Table22[[#This Row],[CURRENT]]-Table22[[#This Row],[IDEAL]]</f>
        <v>-444</v>
      </c>
    </row>
    <row r="618" spans="1:4" x14ac:dyDescent="0.25">
      <c r="A618" t="s">
        <v>16127</v>
      </c>
      <c r="B618" s="102">
        <v>2966</v>
      </c>
      <c r="C618" s="102">
        <v>3410</v>
      </c>
      <c r="D618" s="102">
        <f>Table22[[#This Row],[CURRENT]]-Table22[[#This Row],[IDEAL]]</f>
        <v>-444</v>
      </c>
    </row>
    <row r="619" spans="1:4" x14ac:dyDescent="0.25">
      <c r="A619" t="s">
        <v>15340</v>
      </c>
      <c r="B619" s="102">
        <v>2717</v>
      </c>
      <c r="C619" s="102">
        <v>3160</v>
      </c>
      <c r="D619" s="102">
        <f>Table22[[#This Row],[CURRENT]]-Table22[[#This Row],[IDEAL]]</f>
        <v>-443</v>
      </c>
    </row>
    <row r="620" spans="1:4" x14ac:dyDescent="0.25">
      <c r="A620" t="s">
        <v>13694</v>
      </c>
      <c r="B620" s="102">
        <v>2014</v>
      </c>
      <c r="C620" s="102">
        <v>2457</v>
      </c>
      <c r="D620" s="102">
        <f>Table22[[#This Row],[CURRENT]]-Table22[[#This Row],[IDEAL]]</f>
        <v>-443</v>
      </c>
    </row>
    <row r="621" spans="1:4" x14ac:dyDescent="0.25">
      <c r="A621" t="s">
        <v>16393</v>
      </c>
      <c r="B621" s="102">
        <v>2017</v>
      </c>
      <c r="C621" s="102">
        <v>2460</v>
      </c>
      <c r="D621" s="102">
        <f>Table22[[#This Row],[CURRENT]]-Table22[[#This Row],[IDEAL]]</f>
        <v>-443</v>
      </c>
    </row>
    <row r="622" spans="1:4" x14ac:dyDescent="0.25">
      <c r="A622" t="s">
        <v>14744</v>
      </c>
      <c r="B622" s="102">
        <v>1882</v>
      </c>
      <c r="C622" s="102">
        <v>2324</v>
      </c>
      <c r="D622" s="102">
        <f>Table22[[#This Row],[CURRENT]]-Table22[[#This Row],[IDEAL]]</f>
        <v>-442</v>
      </c>
    </row>
    <row r="623" spans="1:4" x14ac:dyDescent="0.25">
      <c r="A623" t="s">
        <v>16255</v>
      </c>
      <c r="B623" s="102">
        <v>2503</v>
      </c>
      <c r="C623" s="102">
        <v>2945</v>
      </c>
      <c r="D623" s="102">
        <f>Table22[[#This Row],[CURRENT]]-Table22[[#This Row],[IDEAL]]</f>
        <v>-442</v>
      </c>
    </row>
    <row r="624" spans="1:4" x14ac:dyDescent="0.25">
      <c r="A624" t="s">
        <v>15397</v>
      </c>
      <c r="B624" s="102">
        <v>2009</v>
      </c>
      <c r="C624" s="102">
        <v>2450</v>
      </c>
      <c r="D624" s="102">
        <f>Table22[[#This Row],[CURRENT]]-Table22[[#This Row],[IDEAL]]</f>
        <v>-441</v>
      </c>
    </row>
    <row r="625" spans="1:4" x14ac:dyDescent="0.25">
      <c r="A625" t="s">
        <v>17208</v>
      </c>
      <c r="B625" s="102">
        <v>3568</v>
      </c>
      <c r="C625" s="102">
        <v>4009</v>
      </c>
      <c r="D625" s="102">
        <f>Table22[[#This Row],[CURRENT]]-Table22[[#This Row],[IDEAL]]</f>
        <v>-441</v>
      </c>
    </row>
    <row r="626" spans="1:4" x14ac:dyDescent="0.25">
      <c r="A626" t="s">
        <v>17155</v>
      </c>
      <c r="B626" s="102">
        <v>2312</v>
      </c>
      <c r="C626" s="102">
        <v>2753</v>
      </c>
      <c r="D626" s="102">
        <f>Table22[[#This Row],[CURRENT]]-Table22[[#This Row],[IDEAL]]</f>
        <v>-441</v>
      </c>
    </row>
    <row r="627" spans="1:4" x14ac:dyDescent="0.25">
      <c r="A627" t="s">
        <v>15990</v>
      </c>
      <c r="B627" s="102">
        <v>3567</v>
      </c>
      <c r="C627" s="102">
        <v>4008</v>
      </c>
      <c r="D627" s="102">
        <f>Table22[[#This Row],[CURRENT]]-Table22[[#This Row],[IDEAL]]</f>
        <v>-441</v>
      </c>
    </row>
    <row r="628" spans="1:4" x14ac:dyDescent="0.25">
      <c r="A628" t="s">
        <v>14745</v>
      </c>
      <c r="B628" s="102">
        <v>1873</v>
      </c>
      <c r="C628" s="102">
        <v>2313</v>
      </c>
      <c r="D628" s="102">
        <f>Table22[[#This Row],[CURRENT]]-Table22[[#This Row],[IDEAL]]</f>
        <v>-440</v>
      </c>
    </row>
    <row r="629" spans="1:4" x14ac:dyDescent="0.25">
      <c r="A629" t="s">
        <v>17503</v>
      </c>
      <c r="B629" s="102">
        <v>1872</v>
      </c>
      <c r="C629" s="102">
        <v>2312</v>
      </c>
      <c r="D629" s="102">
        <f>Table22[[#This Row],[CURRENT]]-Table22[[#This Row],[IDEAL]]</f>
        <v>-440</v>
      </c>
    </row>
    <row r="630" spans="1:4" x14ac:dyDescent="0.25">
      <c r="A630" t="s">
        <v>17358</v>
      </c>
      <c r="B630" s="102">
        <v>3555</v>
      </c>
      <c r="C630" s="102">
        <v>3995</v>
      </c>
      <c r="D630" s="102">
        <f>Table22[[#This Row],[CURRENT]]-Table22[[#This Row],[IDEAL]]</f>
        <v>-440</v>
      </c>
    </row>
    <row r="631" spans="1:4" x14ac:dyDescent="0.25">
      <c r="A631" t="s">
        <v>17290</v>
      </c>
      <c r="B631" s="102">
        <v>3552</v>
      </c>
      <c r="C631" s="102">
        <v>3992</v>
      </c>
      <c r="D631" s="102">
        <f>Table22[[#This Row],[CURRENT]]-Table22[[#This Row],[IDEAL]]</f>
        <v>-440</v>
      </c>
    </row>
    <row r="632" spans="1:4" x14ac:dyDescent="0.25">
      <c r="A632" t="s">
        <v>16060</v>
      </c>
      <c r="B632" s="102">
        <v>3224</v>
      </c>
      <c r="C632" s="102">
        <v>3664</v>
      </c>
      <c r="D632" s="102">
        <f>Table22[[#This Row],[CURRENT]]-Table22[[#This Row],[IDEAL]]</f>
        <v>-440</v>
      </c>
    </row>
    <row r="633" spans="1:4" x14ac:dyDescent="0.25">
      <c r="A633" t="s">
        <v>16139</v>
      </c>
      <c r="B633" s="102">
        <v>2943</v>
      </c>
      <c r="C633" s="102">
        <v>3383</v>
      </c>
      <c r="D633" s="102">
        <f>Table22[[#This Row],[CURRENT]]-Table22[[#This Row],[IDEAL]]</f>
        <v>-440</v>
      </c>
    </row>
    <row r="634" spans="1:4" x14ac:dyDescent="0.25">
      <c r="A634" t="s">
        <v>14277</v>
      </c>
      <c r="B634" s="102">
        <v>3951</v>
      </c>
      <c r="C634" s="102">
        <v>4390</v>
      </c>
      <c r="D634" s="102">
        <f>Table22[[#This Row],[CURRENT]]-Table22[[#This Row],[IDEAL]]</f>
        <v>-439</v>
      </c>
    </row>
    <row r="635" spans="1:4" x14ac:dyDescent="0.25">
      <c r="A635" t="s">
        <v>14908</v>
      </c>
      <c r="B635" s="102">
        <v>1869</v>
      </c>
      <c r="C635" s="102">
        <v>2308</v>
      </c>
      <c r="D635" s="102">
        <f>Table22[[#This Row],[CURRENT]]-Table22[[#This Row],[IDEAL]]</f>
        <v>-439</v>
      </c>
    </row>
    <row r="636" spans="1:4" x14ac:dyDescent="0.25">
      <c r="A636" t="s">
        <v>13670</v>
      </c>
      <c r="B636" s="102">
        <v>2696</v>
      </c>
      <c r="C636" s="102">
        <v>3135</v>
      </c>
      <c r="D636" s="102">
        <f>Table22[[#This Row],[CURRENT]]-Table22[[#This Row],[IDEAL]]</f>
        <v>-439</v>
      </c>
    </row>
    <row r="637" spans="1:4" x14ac:dyDescent="0.25">
      <c r="A637" t="s">
        <v>16457</v>
      </c>
      <c r="B637" s="102">
        <v>1869</v>
      </c>
      <c r="C637" s="102">
        <v>2308</v>
      </c>
      <c r="D637" s="102">
        <f>Table22[[#This Row],[CURRENT]]-Table22[[#This Row],[IDEAL]]</f>
        <v>-439</v>
      </c>
    </row>
    <row r="638" spans="1:4" x14ac:dyDescent="0.25">
      <c r="A638" t="s">
        <v>14236</v>
      </c>
      <c r="B638" s="102">
        <v>2687</v>
      </c>
      <c r="C638" s="102">
        <v>3125</v>
      </c>
      <c r="D638" s="102">
        <f>Table22[[#This Row],[CURRENT]]-Table22[[#This Row],[IDEAL]]</f>
        <v>-438</v>
      </c>
    </row>
    <row r="639" spans="1:4" x14ac:dyDescent="0.25">
      <c r="A639" t="s">
        <v>15995</v>
      </c>
      <c r="B639" s="102">
        <v>3538</v>
      </c>
      <c r="C639" s="102">
        <v>3976</v>
      </c>
      <c r="D639" s="102">
        <f>Table22[[#This Row],[CURRENT]]-Table22[[#This Row],[IDEAL]]</f>
        <v>-438</v>
      </c>
    </row>
    <row r="640" spans="1:4" x14ac:dyDescent="0.25">
      <c r="A640" t="s">
        <v>13812</v>
      </c>
      <c r="B640" s="102">
        <v>1989</v>
      </c>
      <c r="C640" s="102">
        <v>2426</v>
      </c>
      <c r="D640" s="102">
        <f>Table22[[#This Row],[CURRENT]]-Table22[[#This Row],[IDEAL]]</f>
        <v>-437</v>
      </c>
    </row>
    <row r="641" spans="1:4" x14ac:dyDescent="0.25">
      <c r="A641" t="s">
        <v>17275</v>
      </c>
      <c r="B641" s="102">
        <v>3927</v>
      </c>
      <c r="C641" s="102">
        <v>4364</v>
      </c>
      <c r="D641" s="102">
        <f>Table22[[#This Row],[CURRENT]]-Table22[[#This Row],[IDEAL]]</f>
        <v>-437</v>
      </c>
    </row>
    <row r="642" spans="1:4" x14ac:dyDescent="0.25">
      <c r="A642" t="s">
        <v>16146</v>
      </c>
      <c r="B642" s="102">
        <v>2920</v>
      </c>
      <c r="C642" s="102">
        <v>3357</v>
      </c>
      <c r="D642" s="102">
        <f>Table22[[#This Row],[CURRENT]]-Table22[[#This Row],[IDEAL]]</f>
        <v>-437</v>
      </c>
    </row>
    <row r="643" spans="1:4" x14ac:dyDescent="0.25">
      <c r="A643" t="s">
        <v>12243</v>
      </c>
      <c r="B643" s="102">
        <v>3195</v>
      </c>
      <c r="C643" s="102">
        <v>3631</v>
      </c>
      <c r="D643" s="102">
        <f>Table22[[#This Row],[CURRENT]]-Table22[[#This Row],[IDEAL]]</f>
        <v>-436</v>
      </c>
    </row>
    <row r="644" spans="1:4" x14ac:dyDescent="0.25">
      <c r="A644" t="s">
        <v>14446</v>
      </c>
      <c r="B644" s="102">
        <v>2673</v>
      </c>
      <c r="C644" s="102">
        <v>3109</v>
      </c>
      <c r="D644" s="102">
        <f>Table22[[#This Row],[CURRENT]]-Table22[[#This Row],[IDEAL]]</f>
        <v>-436</v>
      </c>
    </row>
    <row r="645" spans="1:4" x14ac:dyDescent="0.25">
      <c r="A645" t="s">
        <v>17093</v>
      </c>
      <c r="B645" s="102">
        <v>2909</v>
      </c>
      <c r="C645" s="102">
        <v>3344</v>
      </c>
      <c r="D645" s="102">
        <f>Table22[[#This Row],[CURRENT]]-Table22[[#This Row],[IDEAL]]</f>
        <v>-435</v>
      </c>
    </row>
    <row r="646" spans="1:4" x14ac:dyDescent="0.25">
      <c r="A646" t="s">
        <v>16151</v>
      </c>
      <c r="B646" s="102">
        <v>2907</v>
      </c>
      <c r="C646" s="102">
        <v>3342</v>
      </c>
      <c r="D646" s="102">
        <f>Table22[[#This Row],[CURRENT]]-Table22[[#This Row],[IDEAL]]</f>
        <v>-435</v>
      </c>
    </row>
    <row r="647" spans="1:4" x14ac:dyDescent="0.25">
      <c r="A647" t="s">
        <v>12460</v>
      </c>
      <c r="B647" s="102">
        <v>3168</v>
      </c>
      <c r="C647" s="102">
        <v>3601</v>
      </c>
      <c r="D647" s="102">
        <f>Table22[[#This Row],[CURRENT]]-Table22[[#This Row],[IDEAL]]</f>
        <v>-433</v>
      </c>
    </row>
    <row r="648" spans="1:4" x14ac:dyDescent="0.25">
      <c r="A648" t="s">
        <v>17465</v>
      </c>
      <c r="B648" s="102">
        <v>2111</v>
      </c>
      <c r="C648" s="102">
        <v>2544</v>
      </c>
      <c r="D648" s="102">
        <f>Table22[[#This Row],[CURRENT]]-Table22[[#This Row],[IDEAL]]</f>
        <v>-433</v>
      </c>
    </row>
    <row r="649" spans="1:4" x14ac:dyDescent="0.25">
      <c r="A649" t="s">
        <v>16312</v>
      </c>
      <c r="B649" s="102">
        <v>2268</v>
      </c>
      <c r="C649" s="102">
        <v>2701</v>
      </c>
      <c r="D649" s="102">
        <f>Table22[[#This Row],[CURRENT]]-Table22[[#This Row],[IDEAL]]</f>
        <v>-433</v>
      </c>
    </row>
    <row r="650" spans="1:4" x14ac:dyDescent="0.25">
      <c r="A650" t="s">
        <v>12611</v>
      </c>
      <c r="B650" s="102">
        <v>2885</v>
      </c>
      <c r="C650" s="102">
        <v>3317</v>
      </c>
      <c r="D650" s="102">
        <f>Table22[[#This Row],[CURRENT]]-Table22[[#This Row],[IDEAL]]</f>
        <v>-432</v>
      </c>
    </row>
    <row r="651" spans="1:4" x14ac:dyDescent="0.25">
      <c r="A651" t="s">
        <v>13888</v>
      </c>
      <c r="B651" s="102">
        <v>2890</v>
      </c>
      <c r="C651" s="102">
        <v>3322</v>
      </c>
      <c r="D651" s="102">
        <f>Table22[[#This Row],[CURRENT]]-Table22[[#This Row],[IDEAL]]</f>
        <v>-432</v>
      </c>
    </row>
    <row r="652" spans="1:4" x14ac:dyDescent="0.25">
      <c r="A652" t="s">
        <v>17176</v>
      </c>
      <c r="B652" s="102">
        <v>3494</v>
      </c>
      <c r="C652" s="102">
        <v>3926</v>
      </c>
      <c r="D652" s="102">
        <f>Table22[[#This Row],[CURRENT]]-Table22[[#This Row],[IDEAL]]</f>
        <v>-432</v>
      </c>
    </row>
    <row r="653" spans="1:4" x14ac:dyDescent="0.25">
      <c r="A653" t="s">
        <v>16074</v>
      </c>
      <c r="B653" s="102">
        <v>3167</v>
      </c>
      <c r="C653" s="102">
        <v>3599</v>
      </c>
      <c r="D653" s="102">
        <f>Table22[[#This Row],[CURRENT]]-Table22[[#This Row],[IDEAL]]</f>
        <v>-432</v>
      </c>
    </row>
    <row r="654" spans="1:4" x14ac:dyDescent="0.25">
      <c r="A654" t="s">
        <v>15411</v>
      </c>
      <c r="B654" s="102">
        <v>1963</v>
      </c>
      <c r="C654" s="102">
        <v>2394</v>
      </c>
      <c r="D654" s="102">
        <f>Table22[[#This Row],[CURRENT]]-Table22[[#This Row],[IDEAL]]</f>
        <v>-431</v>
      </c>
    </row>
    <row r="655" spans="1:4" x14ac:dyDescent="0.25">
      <c r="A655" t="s">
        <v>13660</v>
      </c>
      <c r="B655" s="102">
        <v>2442</v>
      </c>
      <c r="C655" s="102">
        <v>2873</v>
      </c>
      <c r="D655" s="102">
        <f>Table22[[#This Row],[CURRENT]]-Table22[[#This Row],[IDEAL]]</f>
        <v>-431</v>
      </c>
    </row>
    <row r="656" spans="1:4" x14ac:dyDescent="0.25">
      <c r="A656" t="s">
        <v>16422</v>
      </c>
      <c r="B656" s="102">
        <v>1961</v>
      </c>
      <c r="C656" s="102">
        <v>2392</v>
      </c>
      <c r="D656" s="102">
        <f>Table22[[#This Row],[CURRENT]]-Table22[[#This Row],[IDEAL]]</f>
        <v>-431</v>
      </c>
    </row>
    <row r="657" spans="1:4" x14ac:dyDescent="0.25">
      <c r="A657" t="s">
        <v>17515</v>
      </c>
      <c r="B657" s="102">
        <v>3148</v>
      </c>
      <c r="C657" s="102">
        <v>3578</v>
      </c>
      <c r="D657" s="102">
        <f>Table22[[#This Row],[CURRENT]]-Table22[[#This Row],[IDEAL]]</f>
        <v>-430</v>
      </c>
    </row>
    <row r="658" spans="1:4" x14ac:dyDescent="0.25">
      <c r="A658" t="s">
        <v>17476</v>
      </c>
      <c r="B658" s="102">
        <v>1829</v>
      </c>
      <c r="C658" s="102">
        <v>2259</v>
      </c>
      <c r="D658" s="102">
        <f>Table22[[#This Row],[CURRENT]]-Table22[[#This Row],[IDEAL]]</f>
        <v>-430</v>
      </c>
    </row>
    <row r="659" spans="1:4" x14ac:dyDescent="0.25">
      <c r="A659" t="s">
        <v>15241</v>
      </c>
      <c r="B659" s="102">
        <v>3855</v>
      </c>
      <c r="C659" s="102">
        <v>4284</v>
      </c>
      <c r="D659" s="102">
        <f>Table22[[#This Row],[CURRENT]]-Table22[[#This Row],[IDEAL]]</f>
        <v>-429</v>
      </c>
    </row>
    <row r="660" spans="1:4" x14ac:dyDescent="0.25">
      <c r="A660" t="s">
        <v>15415</v>
      </c>
      <c r="B660" s="102">
        <v>1953</v>
      </c>
      <c r="C660" s="102">
        <v>2382</v>
      </c>
      <c r="D660" s="102">
        <f>Table22[[#This Row],[CURRENT]]-Table22[[#This Row],[IDEAL]]</f>
        <v>-429</v>
      </c>
    </row>
    <row r="661" spans="1:4" x14ac:dyDescent="0.25">
      <c r="A661" t="s">
        <v>12651</v>
      </c>
      <c r="B661" s="102">
        <v>3138</v>
      </c>
      <c r="C661" s="102">
        <v>3567</v>
      </c>
      <c r="D661" s="102">
        <f>Table22[[#This Row],[CURRENT]]-Table22[[#This Row],[IDEAL]]</f>
        <v>-429</v>
      </c>
    </row>
    <row r="662" spans="1:4" x14ac:dyDescent="0.25">
      <c r="A662" t="s">
        <v>14394</v>
      </c>
      <c r="B662" s="102">
        <v>2633</v>
      </c>
      <c r="C662" s="102">
        <v>3062</v>
      </c>
      <c r="D662" s="102">
        <f>Table22[[#This Row],[CURRENT]]-Table22[[#This Row],[IDEAL]]</f>
        <v>-429</v>
      </c>
    </row>
    <row r="663" spans="1:4" x14ac:dyDescent="0.25">
      <c r="A663" t="s">
        <v>17043</v>
      </c>
      <c r="B663" s="102">
        <v>3855</v>
      </c>
      <c r="C663" s="102">
        <v>4284</v>
      </c>
      <c r="D663" s="102">
        <f>Table22[[#This Row],[CURRENT]]-Table22[[#This Row],[IDEAL]]</f>
        <v>-429</v>
      </c>
    </row>
    <row r="664" spans="1:4" x14ac:dyDescent="0.25">
      <c r="A664" t="s">
        <v>17191</v>
      </c>
      <c r="B664" s="102">
        <v>2248</v>
      </c>
      <c r="C664" s="102">
        <v>2677</v>
      </c>
      <c r="D664" s="102">
        <f>Table22[[#This Row],[CURRENT]]-Table22[[#This Row],[IDEAL]]</f>
        <v>-429</v>
      </c>
    </row>
    <row r="665" spans="1:4" x14ac:dyDescent="0.25">
      <c r="A665" t="s">
        <v>17047</v>
      </c>
      <c r="B665" s="102">
        <v>1824</v>
      </c>
      <c r="C665" s="102">
        <v>2253</v>
      </c>
      <c r="D665" s="102">
        <f>Table22[[#This Row],[CURRENT]]-Table22[[#This Row],[IDEAL]]</f>
        <v>-429</v>
      </c>
    </row>
    <row r="666" spans="1:4" x14ac:dyDescent="0.25">
      <c r="A666" t="s">
        <v>16377</v>
      </c>
      <c r="B666" s="102">
        <v>2094</v>
      </c>
      <c r="C666" s="102">
        <v>2523</v>
      </c>
      <c r="D666" s="102">
        <f>Table22[[#This Row],[CURRENT]]-Table22[[#This Row],[IDEAL]]</f>
        <v>-429</v>
      </c>
    </row>
    <row r="667" spans="1:4" x14ac:dyDescent="0.25">
      <c r="A667" t="s">
        <v>16272</v>
      </c>
      <c r="B667" s="102">
        <v>2425</v>
      </c>
      <c r="C667" s="102">
        <v>2854</v>
      </c>
      <c r="D667" s="102">
        <f>Table22[[#This Row],[CURRENT]]-Table22[[#This Row],[IDEAL]]</f>
        <v>-429</v>
      </c>
    </row>
    <row r="668" spans="1:4" x14ac:dyDescent="0.25">
      <c r="A668" t="s">
        <v>16218</v>
      </c>
      <c r="B668" s="102">
        <v>2634</v>
      </c>
      <c r="C668" s="102">
        <v>3063</v>
      </c>
      <c r="D668" s="102">
        <f>Table22[[#This Row],[CURRENT]]-Table22[[#This Row],[IDEAL]]</f>
        <v>-429</v>
      </c>
    </row>
    <row r="669" spans="1:4" x14ac:dyDescent="0.25">
      <c r="A669" t="s">
        <v>12468</v>
      </c>
      <c r="B669" s="102">
        <v>3131</v>
      </c>
      <c r="C669" s="102">
        <v>3559</v>
      </c>
      <c r="D669" s="102">
        <f>Table22[[#This Row],[CURRENT]]-Table22[[#This Row],[IDEAL]]</f>
        <v>-428</v>
      </c>
    </row>
    <row r="670" spans="1:4" x14ac:dyDescent="0.25">
      <c r="A670" t="s">
        <v>14293</v>
      </c>
      <c r="B670" s="102">
        <v>1942</v>
      </c>
      <c r="C670" s="102">
        <v>2369</v>
      </c>
      <c r="D670" s="102">
        <f>Table22[[#This Row],[CURRENT]]-Table22[[#This Row],[IDEAL]]</f>
        <v>-427</v>
      </c>
    </row>
    <row r="671" spans="1:4" x14ac:dyDescent="0.25">
      <c r="A671" t="s">
        <v>16382</v>
      </c>
      <c r="B671" s="102">
        <v>2081</v>
      </c>
      <c r="C671" s="102">
        <v>2508</v>
      </c>
      <c r="D671" s="102">
        <f>Table22[[#This Row],[CURRENT]]-Table22[[#This Row],[IDEAL]]</f>
        <v>-427</v>
      </c>
    </row>
    <row r="672" spans="1:4" x14ac:dyDescent="0.25">
      <c r="A672" t="s">
        <v>14736</v>
      </c>
      <c r="B672" s="102">
        <v>1811</v>
      </c>
      <c r="C672" s="102">
        <v>2237</v>
      </c>
      <c r="D672" s="102">
        <f>Table22[[#This Row],[CURRENT]]-Table22[[#This Row],[IDEAL]]</f>
        <v>-426</v>
      </c>
    </row>
    <row r="673" spans="1:4" x14ac:dyDescent="0.25">
      <c r="A673" t="s">
        <v>17064</v>
      </c>
      <c r="B673" s="102">
        <v>1939</v>
      </c>
      <c r="C673" s="102">
        <v>2365</v>
      </c>
      <c r="D673" s="102">
        <f>Table22[[#This Row],[CURRENT]]-Table22[[#This Row],[IDEAL]]</f>
        <v>-426</v>
      </c>
    </row>
    <row r="674" spans="1:4" x14ac:dyDescent="0.25">
      <c r="A674" t="s">
        <v>15468</v>
      </c>
      <c r="B674" s="102">
        <v>1809</v>
      </c>
      <c r="C674" s="102">
        <v>2234</v>
      </c>
      <c r="D674" s="102">
        <f>Table22[[#This Row],[CURRENT]]-Table22[[#This Row],[IDEAL]]</f>
        <v>-425</v>
      </c>
    </row>
    <row r="675" spans="1:4" x14ac:dyDescent="0.25">
      <c r="A675" t="s">
        <v>12603</v>
      </c>
      <c r="B675" s="102">
        <v>3116</v>
      </c>
      <c r="C675" s="102">
        <v>3541</v>
      </c>
      <c r="D675" s="102">
        <f>Table22[[#This Row],[CURRENT]]-Table22[[#This Row],[IDEAL]]</f>
        <v>-425</v>
      </c>
    </row>
    <row r="676" spans="1:4" x14ac:dyDescent="0.25">
      <c r="A676" t="s">
        <v>12613</v>
      </c>
      <c r="B676" s="102">
        <v>2840</v>
      </c>
      <c r="C676" s="102">
        <v>3265</v>
      </c>
      <c r="D676" s="102">
        <f>Table22[[#This Row],[CURRENT]]-Table22[[#This Row],[IDEAL]]</f>
        <v>-425</v>
      </c>
    </row>
    <row r="677" spans="1:4" x14ac:dyDescent="0.25">
      <c r="A677" t="s">
        <v>14238</v>
      </c>
      <c r="B677" s="102">
        <v>2841</v>
      </c>
      <c r="C677" s="102">
        <v>3266</v>
      </c>
      <c r="D677" s="102">
        <f>Table22[[#This Row],[CURRENT]]-Table22[[#This Row],[IDEAL]]</f>
        <v>-425</v>
      </c>
    </row>
    <row r="678" spans="1:4" x14ac:dyDescent="0.25">
      <c r="A678" t="s">
        <v>16229</v>
      </c>
      <c r="B678" s="102">
        <v>2610</v>
      </c>
      <c r="C678" s="102">
        <v>3035</v>
      </c>
      <c r="D678" s="102">
        <f>Table22[[#This Row],[CURRENT]]-Table22[[#This Row],[IDEAL]]</f>
        <v>-425</v>
      </c>
    </row>
    <row r="679" spans="1:4" x14ac:dyDescent="0.25">
      <c r="A679" t="s">
        <v>14738</v>
      </c>
      <c r="B679" s="102">
        <v>1805</v>
      </c>
      <c r="C679" s="102">
        <v>2229</v>
      </c>
      <c r="D679" s="102">
        <f>Table22[[#This Row],[CURRENT]]-Table22[[#This Row],[IDEAL]]</f>
        <v>-424</v>
      </c>
    </row>
    <row r="680" spans="1:4" x14ac:dyDescent="0.25">
      <c r="A680" t="s">
        <v>13468</v>
      </c>
      <c r="B680" s="102">
        <v>1806</v>
      </c>
      <c r="C680" s="102">
        <v>2230</v>
      </c>
      <c r="D680" s="102">
        <f>Table22[[#This Row],[CURRENT]]-Table22[[#This Row],[IDEAL]]</f>
        <v>-424</v>
      </c>
    </row>
    <row r="681" spans="1:4" x14ac:dyDescent="0.25">
      <c r="A681" t="s">
        <v>17385</v>
      </c>
      <c r="B681" s="102">
        <v>3106</v>
      </c>
      <c r="C681" s="102">
        <v>3530</v>
      </c>
      <c r="D681" s="102">
        <f>Table22[[#This Row],[CURRENT]]-Table22[[#This Row],[IDEAL]]</f>
        <v>-424</v>
      </c>
    </row>
    <row r="682" spans="1:4" x14ac:dyDescent="0.25">
      <c r="A682" t="s">
        <v>17052</v>
      </c>
      <c r="B682" s="102">
        <v>2065</v>
      </c>
      <c r="C682" s="102">
        <v>2489</v>
      </c>
      <c r="D682" s="102">
        <f>Table22[[#This Row],[CURRENT]]-Table22[[#This Row],[IDEAL]]</f>
        <v>-424</v>
      </c>
    </row>
    <row r="683" spans="1:4" x14ac:dyDescent="0.25">
      <c r="A683" t="s">
        <v>16325</v>
      </c>
      <c r="B683" s="102">
        <v>2222</v>
      </c>
      <c r="C683" s="102">
        <v>2646</v>
      </c>
      <c r="D683" s="102">
        <f>Table22[[#This Row],[CURRENT]]-Table22[[#This Row],[IDEAL]]</f>
        <v>-424</v>
      </c>
    </row>
    <row r="684" spans="1:4" x14ac:dyDescent="0.25">
      <c r="A684" t="s">
        <v>16510</v>
      </c>
      <c r="B684" s="102">
        <v>1692</v>
      </c>
      <c r="C684" s="102">
        <v>2116</v>
      </c>
      <c r="D684" s="102">
        <f>Table22[[#This Row],[CURRENT]]-Table22[[#This Row],[IDEAL]]</f>
        <v>-424</v>
      </c>
    </row>
    <row r="685" spans="1:4" x14ac:dyDescent="0.25">
      <c r="A685" t="s">
        <v>17073</v>
      </c>
      <c r="B685" s="102">
        <v>2597</v>
      </c>
      <c r="C685" s="102">
        <v>3020</v>
      </c>
      <c r="D685" s="102">
        <f>Table22[[#This Row],[CURRENT]]-Table22[[#This Row],[IDEAL]]</f>
        <v>-423</v>
      </c>
    </row>
    <row r="686" spans="1:4" x14ac:dyDescent="0.25">
      <c r="A686" t="s">
        <v>16093</v>
      </c>
      <c r="B686" s="102">
        <v>3097</v>
      </c>
      <c r="C686" s="102">
        <v>3520</v>
      </c>
      <c r="D686" s="102">
        <f>Table22[[#This Row],[CURRENT]]-Table22[[#This Row],[IDEAL]]</f>
        <v>-423</v>
      </c>
    </row>
    <row r="687" spans="1:4" x14ac:dyDescent="0.25">
      <c r="A687" t="s">
        <v>14782</v>
      </c>
      <c r="B687" s="102">
        <v>1797</v>
      </c>
      <c r="C687" s="102">
        <v>2219</v>
      </c>
      <c r="D687" s="102">
        <f>Table22[[#This Row],[CURRENT]]-Table22[[#This Row],[IDEAL]]</f>
        <v>-422</v>
      </c>
    </row>
    <row r="688" spans="1:4" x14ac:dyDescent="0.25">
      <c r="A688" t="s">
        <v>17173</v>
      </c>
      <c r="B688" s="102">
        <v>3414</v>
      </c>
      <c r="C688" s="102">
        <v>3836</v>
      </c>
      <c r="D688" s="102">
        <f>Table22[[#This Row],[CURRENT]]-Table22[[#This Row],[IDEAL]]</f>
        <v>-422</v>
      </c>
    </row>
    <row r="689" spans="1:4" x14ac:dyDescent="0.25">
      <c r="A689" t="s">
        <v>16385</v>
      </c>
      <c r="B689" s="102">
        <v>2059</v>
      </c>
      <c r="C689" s="102">
        <v>2481</v>
      </c>
      <c r="D689" s="102">
        <f>Table22[[#This Row],[CURRENT]]-Table22[[#This Row],[IDEAL]]</f>
        <v>-422</v>
      </c>
    </row>
    <row r="690" spans="1:4" x14ac:dyDescent="0.25">
      <c r="A690" t="s">
        <v>16234</v>
      </c>
      <c r="B690" s="102">
        <v>2591</v>
      </c>
      <c r="C690" s="102">
        <v>3013</v>
      </c>
      <c r="D690" s="102">
        <f>Table22[[#This Row],[CURRENT]]-Table22[[#This Row],[IDEAL]]</f>
        <v>-422</v>
      </c>
    </row>
    <row r="691" spans="1:4" x14ac:dyDescent="0.25">
      <c r="A691" t="s">
        <v>12606</v>
      </c>
      <c r="B691" s="102">
        <v>3080</v>
      </c>
      <c r="C691" s="102">
        <v>3501</v>
      </c>
      <c r="D691" s="102">
        <f>Table22[[#This Row],[CURRENT]]-Table22[[#This Row],[IDEAL]]</f>
        <v>-421</v>
      </c>
    </row>
    <row r="692" spans="1:4" x14ac:dyDescent="0.25">
      <c r="A692" t="s">
        <v>14454</v>
      </c>
      <c r="B692" s="102">
        <v>3080</v>
      </c>
      <c r="C692" s="102">
        <v>3501</v>
      </c>
      <c r="D692" s="102">
        <f>Table22[[#This Row],[CURRENT]]-Table22[[#This Row],[IDEAL]]</f>
        <v>-421</v>
      </c>
    </row>
    <row r="693" spans="1:4" x14ac:dyDescent="0.25">
      <c r="A693" t="s">
        <v>17046</v>
      </c>
      <c r="B693" s="102">
        <v>2050</v>
      </c>
      <c r="C693" s="102">
        <v>2471</v>
      </c>
      <c r="D693" s="102">
        <f>Table22[[#This Row],[CURRENT]]-Table22[[#This Row],[IDEAL]]</f>
        <v>-421</v>
      </c>
    </row>
    <row r="694" spans="1:4" x14ac:dyDescent="0.25">
      <c r="A694" t="s">
        <v>16238</v>
      </c>
      <c r="B694" s="102">
        <v>2582</v>
      </c>
      <c r="C694" s="102">
        <v>3003</v>
      </c>
      <c r="D694" s="102">
        <f>Table22[[#This Row],[CURRENT]]-Table22[[#This Row],[IDEAL]]</f>
        <v>-421</v>
      </c>
    </row>
    <row r="695" spans="1:4" x14ac:dyDescent="0.25">
      <c r="A695" t="s">
        <v>13595</v>
      </c>
      <c r="B695" s="102">
        <v>2806</v>
      </c>
      <c r="C695" s="102">
        <v>3226</v>
      </c>
      <c r="D695" s="102">
        <f>Table22[[#This Row],[CURRENT]]-Table22[[#This Row],[IDEAL]]</f>
        <v>-420</v>
      </c>
    </row>
    <row r="696" spans="1:4" x14ac:dyDescent="0.25">
      <c r="A696" t="s">
        <v>16029</v>
      </c>
      <c r="B696" s="102">
        <v>3394</v>
      </c>
      <c r="C696" s="102">
        <v>3814</v>
      </c>
      <c r="D696" s="102">
        <f>Table22[[#This Row],[CURRENT]]-Table22[[#This Row],[IDEAL]]</f>
        <v>-420</v>
      </c>
    </row>
    <row r="697" spans="1:4" x14ac:dyDescent="0.25">
      <c r="A697" t="s">
        <v>14477</v>
      </c>
      <c r="B697" s="102">
        <v>3070</v>
      </c>
      <c r="C697" s="102">
        <v>3489</v>
      </c>
      <c r="D697" s="102">
        <f>Table22[[#This Row],[CURRENT]]-Table22[[#This Row],[IDEAL]]</f>
        <v>-419</v>
      </c>
    </row>
    <row r="698" spans="1:4" x14ac:dyDescent="0.25">
      <c r="A698" t="s">
        <v>17372</v>
      </c>
      <c r="B698" s="102">
        <v>3383</v>
      </c>
      <c r="C698" s="102">
        <v>3802</v>
      </c>
      <c r="D698" s="102">
        <f>Table22[[#This Row],[CURRENT]]-Table22[[#This Row],[IDEAL]]</f>
        <v>-419</v>
      </c>
    </row>
    <row r="699" spans="1:4" x14ac:dyDescent="0.25">
      <c r="A699" t="s">
        <v>16291</v>
      </c>
      <c r="B699" s="102">
        <v>2369</v>
      </c>
      <c r="C699" s="102">
        <v>2788</v>
      </c>
      <c r="D699" s="102">
        <f>Table22[[#This Row],[CURRENT]]-Table22[[#This Row],[IDEAL]]</f>
        <v>-419</v>
      </c>
    </row>
    <row r="700" spans="1:4" x14ac:dyDescent="0.25">
      <c r="A700" t="s">
        <v>12481</v>
      </c>
      <c r="B700" s="102">
        <v>3063</v>
      </c>
      <c r="C700" s="102">
        <v>3481</v>
      </c>
      <c r="D700" s="102">
        <f>Table22[[#This Row],[CURRENT]]-Table22[[#This Row],[IDEAL]]</f>
        <v>-418</v>
      </c>
    </row>
    <row r="701" spans="1:4" x14ac:dyDescent="0.25">
      <c r="A701" t="s">
        <v>14461</v>
      </c>
      <c r="B701" s="102">
        <v>2562</v>
      </c>
      <c r="C701" s="102">
        <v>2980</v>
      </c>
      <c r="D701" s="102">
        <f>Table22[[#This Row],[CURRENT]]-Table22[[#This Row],[IDEAL]]</f>
        <v>-418</v>
      </c>
    </row>
    <row r="702" spans="1:4" x14ac:dyDescent="0.25">
      <c r="A702" t="s">
        <v>13879</v>
      </c>
      <c r="B702" s="102">
        <v>3058</v>
      </c>
      <c r="C702" s="102">
        <v>3476</v>
      </c>
      <c r="D702" s="102">
        <f>Table22[[#This Row],[CURRENT]]-Table22[[#This Row],[IDEAL]]</f>
        <v>-418</v>
      </c>
    </row>
    <row r="703" spans="1:4" x14ac:dyDescent="0.25">
      <c r="A703" t="s">
        <v>14860</v>
      </c>
      <c r="B703" s="102">
        <v>2559</v>
      </c>
      <c r="C703" s="102">
        <v>2976</v>
      </c>
      <c r="D703" s="102">
        <f>Table22[[#This Row],[CURRENT]]-Table22[[#This Row],[IDEAL]]</f>
        <v>-417</v>
      </c>
    </row>
    <row r="704" spans="1:4" x14ac:dyDescent="0.25">
      <c r="A704" t="s">
        <v>17150</v>
      </c>
      <c r="B704" s="102">
        <v>3373</v>
      </c>
      <c r="C704" s="102">
        <v>3790</v>
      </c>
      <c r="D704" s="102">
        <f>Table22[[#This Row],[CURRENT]]-Table22[[#This Row],[IDEAL]]</f>
        <v>-417</v>
      </c>
    </row>
    <row r="705" spans="1:4" x14ac:dyDescent="0.25">
      <c r="A705" t="s">
        <v>16341</v>
      </c>
      <c r="B705" s="102">
        <v>2189</v>
      </c>
      <c r="C705" s="102">
        <v>2606</v>
      </c>
      <c r="D705" s="102">
        <f>Table22[[#This Row],[CURRENT]]-Table22[[#This Row],[IDEAL]]</f>
        <v>-417</v>
      </c>
    </row>
    <row r="706" spans="1:4" x14ac:dyDescent="0.25">
      <c r="A706" t="s">
        <v>16244</v>
      </c>
      <c r="B706" s="102">
        <v>2558</v>
      </c>
      <c r="C706" s="102">
        <v>2975</v>
      </c>
      <c r="D706" s="102">
        <f>Table22[[#This Row],[CURRENT]]-Table22[[#This Row],[IDEAL]]</f>
        <v>-417</v>
      </c>
    </row>
    <row r="707" spans="1:4" x14ac:dyDescent="0.25">
      <c r="A707" t="s">
        <v>16491</v>
      </c>
      <c r="B707" s="102">
        <v>1777</v>
      </c>
      <c r="C707" s="102">
        <v>2194</v>
      </c>
      <c r="D707" s="102">
        <f>Table22[[#This Row],[CURRENT]]-Table22[[#This Row],[IDEAL]]</f>
        <v>-417</v>
      </c>
    </row>
    <row r="708" spans="1:4" x14ac:dyDescent="0.25">
      <c r="A708" t="s">
        <v>16342</v>
      </c>
      <c r="B708" s="102">
        <v>2189</v>
      </c>
      <c r="C708" s="102">
        <v>2606</v>
      </c>
      <c r="D708" s="102">
        <f>Table22[[#This Row],[CURRENT]]-Table22[[#This Row],[IDEAL]]</f>
        <v>-417</v>
      </c>
    </row>
    <row r="709" spans="1:4" x14ac:dyDescent="0.25">
      <c r="A709" t="s">
        <v>16245</v>
      </c>
      <c r="B709" s="102">
        <v>2556</v>
      </c>
      <c r="C709" s="102">
        <v>2973</v>
      </c>
      <c r="D709" s="102">
        <f>Table22[[#This Row],[CURRENT]]-Table22[[#This Row],[IDEAL]]</f>
        <v>-417</v>
      </c>
    </row>
    <row r="710" spans="1:4" x14ac:dyDescent="0.25">
      <c r="A710" t="s">
        <v>18029</v>
      </c>
      <c r="B710" s="102">
        <v>2027</v>
      </c>
      <c r="C710" s="102">
        <v>2443</v>
      </c>
      <c r="D710" s="102">
        <f>Table22[[#This Row],[CURRENT]]-Table22[[#This Row],[IDEAL]]</f>
        <v>-416</v>
      </c>
    </row>
    <row r="711" spans="1:4" x14ac:dyDescent="0.25">
      <c r="A711" t="s">
        <v>14379</v>
      </c>
      <c r="B711" s="102">
        <v>2546</v>
      </c>
      <c r="C711" s="102">
        <v>2961</v>
      </c>
      <c r="D711" s="102">
        <f>Table22[[#This Row],[CURRENT]]-Table22[[#This Row],[IDEAL]]</f>
        <v>-415</v>
      </c>
    </row>
    <row r="712" spans="1:4" x14ac:dyDescent="0.25">
      <c r="A712" t="s">
        <v>17540</v>
      </c>
      <c r="B712" s="102">
        <v>2349</v>
      </c>
      <c r="C712" s="102">
        <v>2764</v>
      </c>
      <c r="D712" s="102">
        <f>Table22[[#This Row],[CURRENT]]-Table22[[#This Row],[IDEAL]]</f>
        <v>-415</v>
      </c>
    </row>
    <row r="713" spans="1:4" x14ac:dyDescent="0.25">
      <c r="A713" t="s">
        <v>13675</v>
      </c>
      <c r="B713" s="102">
        <v>2172</v>
      </c>
      <c r="C713" s="102">
        <v>2586</v>
      </c>
      <c r="D713" s="102">
        <f>Table22[[#This Row],[CURRENT]]-Table22[[#This Row],[IDEAL]]</f>
        <v>-414</v>
      </c>
    </row>
    <row r="714" spans="1:4" x14ac:dyDescent="0.25">
      <c r="A714" t="s">
        <v>13757</v>
      </c>
      <c r="B714" s="102">
        <v>3715</v>
      </c>
      <c r="C714" s="102">
        <v>4128</v>
      </c>
      <c r="D714" s="102">
        <f>Table22[[#This Row],[CURRENT]]-Table22[[#This Row],[IDEAL]]</f>
        <v>-413</v>
      </c>
    </row>
    <row r="715" spans="1:4" x14ac:dyDescent="0.25">
      <c r="A715" t="s">
        <v>17489</v>
      </c>
      <c r="B715" s="102">
        <v>2166</v>
      </c>
      <c r="C715" s="102">
        <v>2579</v>
      </c>
      <c r="D715" s="102">
        <f>Table22[[#This Row],[CURRENT]]-Table22[[#This Row],[IDEAL]]</f>
        <v>-413</v>
      </c>
    </row>
    <row r="716" spans="1:4" x14ac:dyDescent="0.25">
      <c r="A716" t="s">
        <v>17603</v>
      </c>
      <c r="B716" s="102">
        <v>3336</v>
      </c>
      <c r="C716" s="102">
        <v>3749</v>
      </c>
      <c r="D716" s="102">
        <f>Table22[[#This Row],[CURRENT]]-Table22[[#This Row],[IDEAL]]</f>
        <v>-413</v>
      </c>
    </row>
    <row r="717" spans="1:4" x14ac:dyDescent="0.25">
      <c r="A717" t="s">
        <v>16192</v>
      </c>
      <c r="B717" s="102">
        <v>2763</v>
      </c>
      <c r="C717" s="102">
        <v>3176</v>
      </c>
      <c r="D717" s="102">
        <f>Table22[[#This Row],[CURRENT]]-Table22[[#This Row],[IDEAL]]</f>
        <v>-413</v>
      </c>
    </row>
    <row r="718" spans="1:4" x14ac:dyDescent="0.25">
      <c r="A718" t="s">
        <v>16403</v>
      </c>
      <c r="B718" s="102">
        <v>2012</v>
      </c>
      <c r="C718" s="102">
        <v>2425</v>
      </c>
      <c r="D718" s="102">
        <f>Table22[[#This Row],[CURRENT]]-Table22[[#This Row],[IDEAL]]</f>
        <v>-413</v>
      </c>
    </row>
    <row r="719" spans="1:4" x14ac:dyDescent="0.25">
      <c r="A719" t="s">
        <v>17350</v>
      </c>
      <c r="B719" s="102">
        <v>3701</v>
      </c>
      <c r="C719" s="102">
        <v>4113</v>
      </c>
      <c r="D719" s="102">
        <f>Table22[[#This Row],[CURRENT]]-Table22[[#This Row],[IDEAL]]</f>
        <v>-412</v>
      </c>
    </row>
    <row r="720" spans="1:4" x14ac:dyDescent="0.25">
      <c r="A720" t="s">
        <v>14285</v>
      </c>
      <c r="B720" s="102">
        <v>2749</v>
      </c>
      <c r="C720" s="102">
        <v>3160</v>
      </c>
      <c r="D720" s="102">
        <f>Table22[[#This Row],[CURRENT]]-Table22[[#This Row],[IDEAL]]</f>
        <v>-411</v>
      </c>
    </row>
    <row r="721" spans="1:4" x14ac:dyDescent="0.25">
      <c r="A721" t="s">
        <v>13865</v>
      </c>
      <c r="B721" s="102">
        <v>3318</v>
      </c>
      <c r="C721" s="102">
        <v>3729</v>
      </c>
      <c r="D721" s="102">
        <f>Table22[[#This Row],[CURRENT]]-Table22[[#This Row],[IDEAL]]</f>
        <v>-411</v>
      </c>
    </row>
    <row r="722" spans="1:4" x14ac:dyDescent="0.25">
      <c r="A722" t="s">
        <v>13718</v>
      </c>
      <c r="B722" s="102">
        <v>3010</v>
      </c>
      <c r="C722" s="102">
        <v>3421</v>
      </c>
      <c r="D722" s="102">
        <f>Table22[[#This Row],[CURRENT]]-Table22[[#This Row],[IDEAL]]</f>
        <v>-411</v>
      </c>
    </row>
    <row r="723" spans="1:4" x14ac:dyDescent="0.25">
      <c r="A723" t="s">
        <v>13465</v>
      </c>
      <c r="B723" s="102">
        <v>2318</v>
      </c>
      <c r="C723" s="102">
        <v>2728</v>
      </c>
      <c r="D723" s="102">
        <f>Table22[[#This Row],[CURRENT]]-Table22[[#This Row],[IDEAL]]</f>
        <v>-410</v>
      </c>
    </row>
    <row r="724" spans="1:4" x14ac:dyDescent="0.25">
      <c r="A724" t="s">
        <v>17584</v>
      </c>
      <c r="B724" s="102">
        <v>1865</v>
      </c>
      <c r="C724" s="102">
        <v>2275</v>
      </c>
      <c r="D724" s="102">
        <f>Table22[[#This Row],[CURRENT]]-Table22[[#This Row],[IDEAL]]</f>
        <v>-410</v>
      </c>
    </row>
    <row r="725" spans="1:4" x14ac:dyDescent="0.25">
      <c r="A725" t="s">
        <v>17490</v>
      </c>
      <c r="B725" s="102">
        <v>2147</v>
      </c>
      <c r="C725" s="102">
        <v>2557</v>
      </c>
      <c r="D725" s="102">
        <f>Table22[[#This Row],[CURRENT]]-Table22[[#This Row],[IDEAL]]</f>
        <v>-410</v>
      </c>
    </row>
    <row r="726" spans="1:4" x14ac:dyDescent="0.25">
      <c r="A726" t="s">
        <v>16128</v>
      </c>
      <c r="B726" s="102">
        <v>2999</v>
      </c>
      <c r="C726" s="102">
        <v>3409</v>
      </c>
      <c r="D726" s="102">
        <f>Table22[[#This Row],[CURRENT]]-Table22[[#This Row],[IDEAL]]</f>
        <v>-410</v>
      </c>
    </row>
    <row r="727" spans="1:4" x14ac:dyDescent="0.25">
      <c r="A727" t="s">
        <v>12153</v>
      </c>
      <c r="B727" s="102">
        <v>2732</v>
      </c>
      <c r="C727" s="102">
        <v>3141</v>
      </c>
      <c r="D727" s="102">
        <f>Table22[[#This Row],[CURRENT]]-Table22[[#This Row],[IDEAL]]</f>
        <v>-409</v>
      </c>
    </row>
    <row r="728" spans="1:4" x14ac:dyDescent="0.25">
      <c r="A728" t="s">
        <v>15083</v>
      </c>
      <c r="B728" s="102">
        <v>1858</v>
      </c>
      <c r="C728" s="102">
        <v>2267</v>
      </c>
      <c r="D728" s="102">
        <f>Table22[[#This Row],[CURRENT]]-Table22[[#This Row],[IDEAL]]</f>
        <v>-409</v>
      </c>
    </row>
    <row r="729" spans="1:4" x14ac:dyDescent="0.25">
      <c r="A729" t="s">
        <v>14739</v>
      </c>
      <c r="B729" s="102">
        <v>1859</v>
      </c>
      <c r="C729" s="102">
        <v>2268</v>
      </c>
      <c r="D729" s="102">
        <f>Table22[[#This Row],[CURRENT]]-Table22[[#This Row],[IDEAL]]</f>
        <v>-409</v>
      </c>
    </row>
    <row r="730" spans="1:4" x14ac:dyDescent="0.25">
      <c r="A730" t="s">
        <v>17040</v>
      </c>
      <c r="B730" s="102">
        <v>3306</v>
      </c>
      <c r="C730" s="102">
        <v>3715</v>
      </c>
      <c r="D730" s="102">
        <f>Table22[[#This Row],[CURRENT]]-Table22[[#This Row],[IDEAL]]</f>
        <v>-409</v>
      </c>
    </row>
    <row r="731" spans="1:4" x14ac:dyDescent="0.25">
      <c r="A731" t="s">
        <v>17544</v>
      </c>
      <c r="B731" s="102">
        <v>2312</v>
      </c>
      <c r="C731" s="102">
        <v>2721</v>
      </c>
      <c r="D731" s="102">
        <f>Table22[[#This Row],[CURRENT]]-Table22[[#This Row],[IDEAL]]</f>
        <v>-409</v>
      </c>
    </row>
    <row r="732" spans="1:4" x14ac:dyDescent="0.25">
      <c r="A732" t="s">
        <v>17130</v>
      </c>
      <c r="B732" s="102">
        <v>2993</v>
      </c>
      <c r="C732" s="102">
        <v>3402</v>
      </c>
      <c r="D732" s="102">
        <f>Table22[[#This Row],[CURRENT]]-Table22[[#This Row],[IDEAL]]</f>
        <v>-409</v>
      </c>
    </row>
    <row r="733" spans="1:4" x14ac:dyDescent="0.25">
      <c r="A733" t="s">
        <v>16473</v>
      </c>
      <c r="B733" s="102">
        <v>1859</v>
      </c>
      <c r="C733" s="102">
        <v>2268</v>
      </c>
      <c r="D733" s="102">
        <f>Table22[[#This Row],[CURRENT]]-Table22[[#This Row],[IDEAL]]</f>
        <v>-409</v>
      </c>
    </row>
    <row r="734" spans="1:4" x14ac:dyDescent="0.25">
      <c r="A734" t="s">
        <v>18045</v>
      </c>
      <c r="B734" s="102">
        <v>1629</v>
      </c>
      <c r="C734" s="102">
        <v>2037</v>
      </c>
      <c r="D734" s="102">
        <f>Table22[[#This Row],[CURRENT]]-Table22[[#This Row],[IDEAL]]</f>
        <v>-408</v>
      </c>
    </row>
    <row r="735" spans="1:4" x14ac:dyDescent="0.25">
      <c r="A735" t="s">
        <v>18019</v>
      </c>
      <c r="B735" s="102">
        <v>1854</v>
      </c>
      <c r="C735" s="102">
        <v>2262</v>
      </c>
      <c r="D735" s="102">
        <f>Table22[[#This Row],[CURRENT]]-Table22[[#This Row],[IDEAL]]</f>
        <v>-408</v>
      </c>
    </row>
    <row r="736" spans="1:4" x14ac:dyDescent="0.25">
      <c r="A736" t="s">
        <v>16529</v>
      </c>
      <c r="B736" s="102">
        <v>1630</v>
      </c>
      <c r="C736" s="102">
        <v>2038</v>
      </c>
      <c r="D736" s="102">
        <f>Table22[[#This Row],[CURRENT]]-Table22[[#This Row],[IDEAL]]</f>
        <v>-408</v>
      </c>
    </row>
    <row r="737" spans="1:4" x14ac:dyDescent="0.25">
      <c r="A737" t="s">
        <v>12631</v>
      </c>
      <c r="B737" s="102">
        <v>1851</v>
      </c>
      <c r="C737" s="102">
        <v>2258</v>
      </c>
      <c r="D737" s="102">
        <f>Table22[[#This Row],[CURRENT]]-Table22[[#This Row],[IDEAL]]</f>
        <v>-407</v>
      </c>
    </row>
    <row r="738" spans="1:4" x14ac:dyDescent="0.25">
      <c r="A738" t="s">
        <v>14721</v>
      </c>
      <c r="B738" s="102">
        <v>1626</v>
      </c>
      <c r="C738" s="102">
        <v>2033</v>
      </c>
      <c r="D738" s="102">
        <f>Table22[[#This Row],[CURRENT]]-Table22[[#This Row],[IDEAL]]</f>
        <v>-407</v>
      </c>
    </row>
    <row r="739" spans="1:4" x14ac:dyDescent="0.25">
      <c r="A739" t="s">
        <v>14832</v>
      </c>
      <c r="B739" s="102">
        <v>2134</v>
      </c>
      <c r="C739" s="102">
        <v>2541</v>
      </c>
      <c r="D739" s="102">
        <f>Table22[[#This Row],[CURRENT]]-Table22[[#This Row],[IDEAL]]</f>
        <v>-407</v>
      </c>
    </row>
    <row r="740" spans="1:4" x14ac:dyDescent="0.25">
      <c r="A740" t="s">
        <v>13752</v>
      </c>
      <c r="B740" s="102">
        <v>2979</v>
      </c>
      <c r="C740" s="102">
        <v>3386</v>
      </c>
      <c r="D740" s="102">
        <f>Table22[[#This Row],[CURRENT]]-Table22[[#This Row],[IDEAL]]</f>
        <v>-407</v>
      </c>
    </row>
    <row r="741" spans="1:4" x14ac:dyDescent="0.25">
      <c r="A741" t="s">
        <v>16424</v>
      </c>
      <c r="B741" s="102">
        <v>1984</v>
      </c>
      <c r="C741" s="102">
        <v>2391</v>
      </c>
      <c r="D741" s="102">
        <f>Table22[[#This Row],[CURRENT]]-Table22[[#This Row],[IDEAL]]</f>
        <v>-407</v>
      </c>
    </row>
    <row r="742" spans="1:4" x14ac:dyDescent="0.25">
      <c r="A742" t="s">
        <v>16531</v>
      </c>
      <c r="B742" s="102">
        <v>1625</v>
      </c>
      <c r="C742" s="102">
        <v>2032</v>
      </c>
      <c r="D742" s="102">
        <f>Table22[[#This Row],[CURRENT]]-Table22[[#This Row],[IDEAL]]</f>
        <v>-407</v>
      </c>
    </row>
    <row r="743" spans="1:4" x14ac:dyDescent="0.25">
      <c r="A743" t="s">
        <v>14818</v>
      </c>
      <c r="B743" s="102">
        <v>1982</v>
      </c>
      <c r="C743" s="102">
        <v>2388</v>
      </c>
      <c r="D743" s="102">
        <f>Table22[[#This Row],[CURRENT]]-Table22[[#This Row],[IDEAL]]</f>
        <v>-406</v>
      </c>
    </row>
    <row r="744" spans="1:4" x14ac:dyDescent="0.25">
      <c r="A744" t="s">
        <v>13445</v>
      </c>
      <c r="B744" s="102">
        <v>1729</v>
      </c>
      <c r="C744" s="102">
        <v>2135</v>
      </c>
      <c r="D744" s="102">
        <f>Table22[[#This Row],[CURRENT]]-Table22[[#This Row],[IDEAL]]</f>
        <v>-406</v>
      </c>
    </row>
    <row r="745" spans="1:4" x14ac:dyDescent="0.25">
      <c r="A745" t="s">
        <v>16372</v>
      </c>
      <c r="B745" s="102">
        <v>2128</v>
      </c>
      <c r="C745" s="102">
        <v>2534</v>
      </c>
      <c r="D745" s="102">
        <f>Table22[[#This Row],[CURRENT]]-Table22[[#This Row],[IDEAL]]</f>
        <v>-406</v>
      </c>
    </row>
    <row r="746" spans="1:4" x14ac:dyDescent="0.25">
      <c r="A746" t="s">
        <v>14283</v>
      </c>
      <c r="B746" s="102">
        <v>3642</v>
      </c>
      <c r="C746" s="102">
        <v>4047</v>
      </c>
      <c r="D746" s="102">
        <f>Table22[[#This Row],[CURRENT]]-Table22[[#This Row],[IDEAL]]</f>
        <v>-405</v>
      </c>
    </row>
    <row r="747" spans="1:4" x14ac:dyDescent="0.25">
      <c r="A747" t="s">
        <v>14791</v>
      </c>
      <c r="B747" s="102">
        <v>2704</v>
      </c>
      <c r="C747" s="102">
        <v>3109</v>
      </c>
      <c r="D747" s="102">
        <f>Table22[[#This Row],[CURRENT]]-Table22[[#This Row],[IDEAL]]</f>
        <v>-405</v>
      </c>
    </row>
    <row r="748" spans="1:4" x14ac:dyDescent="0.25">
      <c r="A748" t="s">
        <v>17506</v>
      </c>
      <c r="B748" s="102">
        <v>1835</v>
      </c>
      <c r="C748" s="102">
        <v>2239</v>
      </c>
      <c r="D748" s="102">
        <f>Table22[[#This Row],[CURRENT]]-Table22[[#This Row],[IDEAL]]</f>
        <v>-404</v>
      </c>
    </row>
    <row r="749" spans="1:4" x14ac:dyDescent="0.25">
      <c r="A749" t="s">
        <v>18020</v>
      </c>
      <c r="B749" s="102">
        <v>1718</v>
      </c>
      <c r="C749" s="102">
        <v>2122</v>
      </c>
      <c r="D749" s="102">
        <f>Table22[[#This Row],[CURRENT]]-Table22[[#This Row],[IDEAL]]</f>
        <v>-404</v>
      </c>
    </row>
    <row r="750" spans="1:4" x14ac:dyDescent="0.25">
      <c r="A750" t="s">
        <v>17243</v>
      </c>
      <c r="B750" s="102">
        <v>2955</v>
      </c>
      <c r="C750" s="102">
        <v>3358</v>
      </c>
      <c r="D750" s="102">
        <f>Table22[[#This Row],[CURRENT]]-Table22[[#This Row],[IDEAL]]</f>
        <v>-403</v>
      </c>
    </row>
    <row r="751" spans="1:4" x14ac:dyDescent="0.25">
      <c r="A751" t="s">
        <v>15357</v>
      </c>
      <c r="B751" s="102">
        <v>2466</v>
      </c>
      <c r="C751" s="102">
        <v>2868</v>
      </c>
      <c r="D751" s="102">
        <f>Table22[[#This Row],[CURRENT]]-Table22[[#This Row],[IDEAL]]</f>
        <v>-402</v>
      </c>
    </row>
    <row r="752" spans="1:4" x14ac:dyDescent="0.25">
      <c r="A752" t="s">
        <v>14261</v>
      </c>
      <c r="B752" s="102">
        <v>3609</v>
      </c>
      <c r="C752" s="102">
        <v>4011</v>
      </c>
      <c r="D752" s="102">
        <f>Table22[[#This Row],[CURRENT]]-Table22[[#This Row],[IDEAL]]</f>
        <v>-402</v>
      </c>
    </row>
    <row r="753" spans="1:4" x14ac:dyDescent="0.25">
      <c r="A753" t="s">
        <v>13720</v>
      </c>
      <c r="B753" s="102">
        <v>2946</v>
      </c>
      <c r="C753" s="102">
        <v>3348</v>
      </c>
      <c r="D753" s="102">
        <f>Table22[[#This Row],[CURRENT]]-Table22[[#This Row],[IDEAL]]</f>
        <v>-402</v>
      </c>
    </row>
    <row r="754" spans="1:4" x14ac:dyDescent="0.25">
      <c r="A754" t="s">
        <v>17304</v>
      </c>
      <c r="B754" s="102">
        <v>2945</v>
      </c>
      <c r="C754" s="102">
        <v>3347</v>
      </c>
      <c r="D754" s="102">
        <f>Table22[[#This Row],[CURRENT]]-Table22[[#This Row],[IDEAL]]</f>
        <v>-402</v>
      </c>
    </row>
    <row r="755" spans="1:4" x14ac:dyDescent="0.25">
      <c r="A755" t="s">
        <v>16383</v>
      </c>
      <c r="B755" s="102">
        <v>2106</v>
      </c>
      <c r="C755" s="102">
        <v>2508</v>
      </c>
      <c r="D755" s="102">
        <f>Table22[[#This Row],[CURRENT]]-Table22[[#This Row],[IDEAL]]</f>
        <v>-402</v>
      </c>
    </row>
    <row r="756" spans="1:4" x14ac:dyDescent="0.25">
      <c r="A756" t="s">
        <v>15477</v>
      </c>
      <c r="B756" s="102">
        <v>1823</v>
      </c>
      <c r="C756" s="102">
        <v>2224</v>
      </c>
      <c r="D756" s="102">
        <f>Table22[[#This Row],[CURRENT]]-Table22[[#This Row],[IDEAL]]</f>
        <v>-401</v>
      </c>
    </row>
    <row r="757" spans="1:4" x14ac:dyDescent="0.25">
      <c r="A757" t="s">
        <v>14765</v>
      </c>
      <c r="B757" s="102">
        <v>1600</v>
      </c>
      <c r="C757" s="102">
        <v>2001</v>
      </c>
      <c r="D757" s="102">
        <f>Table22[[#This Row],[CURRENT]]-Table22[[#This Row],[IDEAL]]</f>
        <v>-401</v>
      </c>
    </row>
    <row r="758" spans="1:4" x14ac:dyDescent="0.25">
      <c r="A758" t="s">
        <v>16317</v>
      </c>
      <c r="B758" s="102">
        <v>2267</v>
      </c>
      <c r="C758" s="102">
        <v>2668</v>
      </c>
      <c r="D758" s="102">
        <f>Table22[[#This Row],[CURRENT]]-Table22[[#This Row],[IDEAL]]</f>
        <v>-401</v>
      </c>
    </row>
    <row r="759" spans="1:4" x14ac:dyDescent="0.25">
      <c r="A759" t="s">
        <v>12504</v>
      </c>
      <c r="B759" s="102">
        <v>2672</v>
      </c>
      <c r="C759" s="102">
        <v>3072</v>
      </c>
      <c r="D759" s="102">
        <f>Table22[[#This Row],[CURRENT]]-Table22[[#This Row],[IDEAL]]</f>
        <v>-400</v>
      </c>
    </row>
    <row r="760" spans="1:4" x14ac:dyDescent="0.25">
      <c r="A760" t="s">
        <v>14393</v>
      </c>
      <c r="B760" s="102">
        <v>2672</v>
      </c>
      <c r="C760" s="102">
        <v>3072</v>
      </c>
      <c r="D760" s="102">
        <f>Table22[[#This Row],[CURRENT]]-Table22[[#This Row],[IDEAL]]</f>
        <v>-400</v>
      </c>
    </row>
    <row r="761" spans="1:4" x14ac:dyDescent="0.25">
      <c r="A761" t="s">
        <v>13894</v>
      </c>
      <c r="B761" s="102">
        <v>3236</v>
      </c>
      <c r="C761" s="102">
        <v>3636</v>
      </c>
      <c r="D761" s="102">
        <f>Table22[[#This Row],[CURRENT]]-Table22[[#This Row],[IDEAL]]</f>
        <v>-400</v>
      </c>
    </row>
    <row r="762" spans="1:4" x14ac:dyDescent="0.25">
      <c r="A762" t="s">
        <v>16274</v>
      </c>
      <c r="B762" s="102">
        <v>2452</v>
      </c>
      <c r="C762" s="102">
        <v>2852</v>
      </c>
      <c r="D762" s="102">
        <f>Table22[[#This Row],[CURRENT]]-Table22[[#This Row],[IDEAL]]</f>
        <v>-400</v>
      </c>
    </row>
    <row r="763" spans="1:4" x14ac:dyDescent="0.25">
      <c r="A763" t="s">
        <v>14430</v>
      </c>
      <c r="B763" s="102">
        <v>2092</v>
      </c>
      <c r="C763" s="102">
        <v>2491</v>
      </c>
      <c r="D763" s="102">
        <f>Table22[[#This Row],[CURRENT]]-Table22[[#This Row],[IDEAL]]</f>
        <v>-399</v>
      </c>
    </row>
    <row r="764" spans="1:4" x14ac:dyDescent="0.25">
      <c r="A764" t="s">
        <v>15485</v>
      </c>
      <c r="B764" s="102">
        <v>1809</v>
      </c>
      <c r="C764" s="102">
        <v>2207</v>
      </c>
      <c r="D764" s="102">
        <f>Table22[[#This Row],[CURRENT]]-Table22[[#This Row],[IDEAL]]</f>
        <v>-398</v>
      </c>
    </row>
    <row r="765" spans="1:4" x14ac:dyDescent="0.25">
      <c r="A765" t="s">
        <v>17474</v>
      </c>
      <c r="B765" s="102">
        <v>1939</v>
      </c>
      <c r="C765" s="102">
        <v>2337</v>
      </c>
      <c r="D765" s="102">
        <f>Table22[[#This Row],[CURRENT]]-Table22[[#This Row],[IDEAL]]</f>
        <v>-398</v>
      </c>
    </row>
    <row r="766" spans="1:4" x14ac:dyDescent="0.25">
      <c r="A766" t="s">
        <v>17478</v>
      </c>
      <c r="B766" s="102">
        <v>2659</v>
      </c>
      <c r="C766" s="102">
        <v>3057</v>
      </c>
      <c r="D766" s="102">
        <f>Table22[[#This Row],[CURRENT]]-Table22[[#This Row],[IDEAL]]</f>
        <v>-398</v>
      </c>
    </row>
    <row r="767" spans="1:4" x14ac:dyDescent="0.25">
      <c r="A767" t="s">
        <v>15997</v>
      </c>
      <c r="B767" s="102">
        <v>3574</v>
      </c>
      <c r="C767" s="102">
        <v>3972</v>
      </c>
      <c r="D767" s="102">
        <f>Table22[[#This Row],[CURRENT]]-Table22[[#This Row],[IDEAL]]</f>
        <v>-398</v>
      </c>
    </row>
    <row r="768" spans="1:4" x14ac:dyDescent="0.25">
      <c r="A768" t="s">
        <v>16278</v>
      </c>
      <c r="B768" s="102">
        <v>2438</v>
      </c>
      <c r="C768" s="102">
        <v>2836</v>
      </c>
      <c r="D768" s="102">
        <f>Table22[[#This Row],[CURRENT]]-Table22[[#This Row],[IDEAL]]</f>
        <v>-398</v>
      </c>
    </row>
    <row r="769" spans="1:4" x14ac:dyDescent="0.25">
      <c r="A769" t="s">
        <v>16515</v>
      </c>
      <c r="B769" s="102">
        <v>1692</v>
      </c>
      <c r="C769" s="102">
        <v>2090</v>
      </c>
      <c r="D769" s="102">
        <f>Table22[[#This Row],[CURRENT]]-Table22[[#This Row],[IDEAL]]</f>
        <v>-398</v>
      </c>
    </row>
    <row r="770" spans="1:4" x14ac:dyDescent="0.25">
      <c r="A770" t="s">
        <v>16384</v>
      </c>
      <c r="B770" s="102">
        <v>2089</v>
      </c>
      <c r="C770" s="102">
        <v>2487</v>
      </c>
      <c r="D770" s="102">
        <f>Table22[[#This Row],[CURRENT]]-Table22[[#This Row],[IDEAL]]</f>
        <v>-398</v>
      </c>
    </row>
    <row r="771" spans="1:4" x14ac:dyDescent="0.25">
      <c r="A771" t="s">
        <v>13713</v>
      </c>
      <c r="B771" s="102">
        <v>1692</v>
      </c>
      <c r="C771" s="102">
        <v>2089</v>
      </c>
      <c r="D771" s="102">
        <f>Table22[[#This Row],[CURRENT]]-Table22[[#This Row],[IDEAL]]</f>
        <v>-397</v>
      </c>
    </row>
    <row r="772" spans="1:4" x14ac:dyDescent="0.25">
      <c r="A772" t="s">
        <v>13546</v>
      </c>
      <c r="B772" s="102">
        <v>3208</v>
      </c>
      <c r="C772" s="102">
        <v>3605</v>
      </c>
      <c r="D772" s="102">
        <f>Table22[[#This Row],[CURRENT]]-Table22[[#This Row],[IDEAL]]</f>
        <v>-397</v>
      </c>
    </row>
    <row r="773" spans="1:4" x14ac:dyDescent="0.25">
      <c r="A773" t="s">
        <v>17086</v>
      </c>
      <c r="B773" s="102">
        <v>1804</v>
      </c>
      <c r="C773" s="102">
        <v>2201</v>
      </c>
      <c r="D773" s="102">
        <f>Table22[[#This Row],[CURRENT]]-Table22[[#This Row],[IDEAL]]</f>
        <v>-397</v>
      </c>
    </row>
    <row r="774" spans="1:4" x14ac:dyDescent="0.25">
      <c r="A774" t="s">
        <v>17187</v>
      </c>
      <c r="B774" s="102">
        <v>2245</v>
      </c>
      <c r="C774" s="102">
        <v>2642</v>
      </c>
      <c r="D774" s="102">
        <f>Table22[[#This Row],[CURRENT]]-Table22[[#This Row],[IDEAL]]</f>
        <v>-397</v>
      </c>
    </row>
    <row r="775" spans="1:4" x14ac:dyDescent="0.25">
      <c r="A775" t="s">
        <v>14952</v>
      </c>
      <c r="B775" s="102">
        <v>1799</v>
      </c>
      <c r="C775" s="102">
        <v>2195</v>
      </c>
      <c r="D775" s="102">
        <f>Table22[[#This Row],[CURRENT]]-Table22[[#This Row],[IDEAL]]</f>
        <v>-396</v>
      </c>
    </row>
    <row r="776" spans="1:4" x14ac:dyDescent="0.25">
      <c r="A776" t="s">
        <v>17306</v>
      </c>
      <c r="B776" s="102">
        <v>2899</v>
      </c>
      <c r="C776" s="102">
        <v>3295</v>
      </c>
      <c r="D776" s="102">
        <f>Table22[[#This Row],[CURRENT]]-Table22[[#This Row],[IDEAL]]</f>
        <v>-396</v>
      </c>
    </row>
    <row r="777" spans="1:4" x14ac:dyDescent="0.25">
      <c r="A777" t="s">
        <v>17132</v>
      </c>
      <c r="B777" s="102">
        <v>2895</v>
      </c>
      <c r="C777" s="102">
        <v>3290</v>
      </c>
      <c r="D777" s="102">
        <f>Table22[[#This Row],[CURRENT]]-Table22[[#This Row],[IDEAL]]</f>
        <v>-395</v>
      </c>
    </row>
    <row r="778" spans="1:4" x14ac:dyDescent="0.25">
      <c r="A778" t="s">
        <v>14731</v>
      </c>
      <c r="B778" s="102">
        <v>1792</v>
      </c>
      <c r="C778" s="102">
        <v>2186</v>
      </c>
      <c r="D778" s="102">
        <f>Table22[[#This Row],[CURRENT]]-Table22[[#This Row],[IDEAL]]</f>
        <v>-394</v>
      </c>
    </row>
    <row r="779" spans="1:4" x14ac:dyDescent="0.25">
      <c r="A779" t="s">
        <v>13895</v>
      </c>
      <c r="B779" s="102">
        <v>3182</v>
      </c>
      <c r="C779" s="102">
        <v>3576</v>
      </c>
      <c r="D779" s="102">
        <f>Table22[[#This Row],[CURRENT]]-Table22[[#This Row],[IDEAL]]</f>
        <v>-394</v>
      </c>
    </row>
    <row r="780" spans="1:4" x14ac:dyDescent="0.25">
      <c r="A780" t="s">
        <v>16164</v>
      </c>
      <c r="B780" s="102">
        <v>2886</v>
      </c>
      <c r="C780" s="102">
        <v>3280</v>
      </c>
      <c r="D780" s="102">
        <f>Table22[[#This Row],[CURRENT]]-Table22[[#This Row],[IDEAL]]</f>
        <v>-394</v>
      </c>
    </row>
    <row r="781" spans="1:4" x14ac:dyDescent="0.25">
      <c r="A781" t="s">
        <v>12601</v>
      </c>
      <c r="B781" s="102">
        <v>3172</v>
      </c>
      <c r="C781" s="102">
        <v>3565</v>
      </c>
      <c r="D781" s="102">
        <f>Table22[[#This Row],[CURRENT]]-Table22[[#This Row],[IDEAL]]</f>
        <v>-393</v>
      </c>
    </row>
    <row r="782" spans="1:4" x14ac:dyDescent="0.25">
      <c r="A782" t="s">
        <v>13801</v>
      </c>
      <c r="B782" s="102">
        <v>2876</v>
      </c>
      <c r="C782" s="102">
        <v>3269</v>
      </c>
      <c r="D782" s="102">
        <f>Table22[[#This Row],[CURRENT]]-Table22[[#This Row],[IDEAL]]</f>
        <v>-393</v>
      </c>
    </row>
    <row r="783" spans="1:4" x14ac:dyDescent="0.25">
      <c r="A783" t="s">
        <v>15581</v>
      </c>
      <c r="B783" s="102">
        <v>1565</v>
      </c>
      <c r="C783" s="102">
        <v>1957</v>
      </c>
      <c r="D783" s="102">
        <f>Table22[[#This Row],[CURRENT]]-Table22[[#This Row],[IDEAL]]</f>
        <v>-392</v>
      </c>
    </row>
    <row r="784" spans="1:4" x14ac:dyDescent="0.25">
      <c r="A784" t="s">
        <v>12497</v>
      </c>
      <c r="B784" s="102">
        <v>2871</v>
      </c>
      <c r="C784" s="102">
        <v>3263</v>
      </c>
      <c r="D784" s="102">
        <f>Table22[[#This Row],[CURRENT]]-Table22[[#This Row],[IDEAL]]</f>
        <v>-392</v>
      </c>
    </row>
    <row r="785" spans="1:4" x14ac:dyDescent="0.25">
      <c r="A785" t="s">
        <v>17238</v>
      </c>
      <c r="B785" s="102">
        <v>3519</v>
      </c>
      <c r="C785" s="102">
        <v>3911</v>
      </c>
      <c r="D785" s="102">
        <f>Table22[[#This Row],[CURRENT]]-Table22[[#This Row],[IDEAL]]</f>
        <v>-392</v>
      </c>
    </row>
    <row r="786" spans="1:4" x14ac:dyDescent="0.25">
      <c r="A786" t="s">
        <v>17475</v>
      </c>
      <c r="B786" s="102">
        <v>1911</v>
      </c>
      <c r="C786" s="102">
        <v>2303</v>
      </c>
      <c r="D786" s="102">
        <f>Table22[[#This Row],[CURRENT]]-Table22[[#This Row],[IDEAL]]</f>
        <v>-392</v>
      </c>
    </row>
    <row r="787" spans="1:4" x14ac:dyDescent="0.25">
      <c r="A787" t="s">
        <v>14904</v>
      </c>
      <c r="B787" s="102">
        <v>2051</v>
      </c>
      <c r="C787" s="102">
        <v>2442</v>
      </c>
      <c r="D787" s="102">
        <f>Table22[[#This Row],[CURRENT]]-Table22[[#This Row],[IDEAL]]</f>
        <v>-391</v>
      </c>
    </row>
    <row r="788" spans="1:4" x14ac:dyDescent="0.25">
      <c r="A788" t="s">
        <v>13515</v>
      </c>
      <c r="B788" s="102">
        <v>2866</v>
      </c>
      <c r="C788" s="102">
        <v>3257</v>
      </c>
      <c r="D788" s="102">
        <f>Table22[[#This Row],[CURRENT]]-Table22[[#This Row],[IDEAL]]</f>
        <v>-391</v>
      </c>
    </row>
    <row r="789" spans="1:4" x14ac:dyDescent="0.25">
      <c r="A789" t="s">
        <v>16525</v>
      </c>
      <c r="B789" s="102">
        <v>1663</v>
      </c>
      <c r="C789" s="102">
        <v>2054</v>
      </c>
      <c r="D789" s="102">
        <f>Table22[[#This Row],[CURRENT]]-Table22[[#This Row],[IDEAL]]</f>
        <v>-391</v>
      </c>
    </row>
    <row r="790" spans="1:4" x14ac:dyDescent="0.25">
      <c r="A790" t="s">
        <v>17162</v>
      </c>
      <c r="B790" s="102">
        <v>2395</v>
      </c>
      <c r="C790" s="102">
        <v>2785</v>
      </c>
      <c r="D790" s="102">
        <f>Table22[[#This Row],[CURRENT]]-Table22[[#This Row],[IDEAL]]</f>
        <v>-390</v>
      </c>
    </row>
    <row r="791" spans="1:4" x14ac:dyDescent="0.25">
      <c r="A791" t="s">
        <v>17172</v>
      </c>
      <c r="B791" s="102">
        <v>3507</v>
      </c>
      <c r="C791" s="102">
        <v>3897</v>
      </c>
      <c r="D791" s="102">
        <f>Table22[[#This Row],[CURRENT]]-Table22[[#This Row],[IDEAL]]</f>
        <v>-390</v>
      </c>
    </row>
    <row r="792" spans="1:4" x14ac:dyDescent="0.25">
      <c r="A792" t="s">
        <v>16175</v>
      </c>
      <c r="B792" s="102">
        <v>2855</v>
      </c>
      <c r="C792" s="102">
        <v>3245</v>
      </c>
      <c r="D792" s="102">
        <f>Table22[[#This Row],[CURRENT]]-Table22[[#This Row],[IDEAL]]</f>
        <v>-390</v>
      </c>
    </row>
    <row r="793" spans="1:4" x14ac:dyDescent="0.25">
      <c r="A793" t="s">
        <v>16401</v>
      </c>
      <c r="B793" s="102">
        <v>2043</v>
      </c>
      <c r="C793" s="102">
        <v>2433</v>
      </c>
      <c r="D793" s="102">
        <f>Table22[[#This Row],[CURRENT]]-Table22[[#This Row],[IDEAL]]</f>
        <v>-390</v>
      </c>
    </row>
    <row r="794" spans="1:4" x14ac:dyDescent="0.25">
      <c r="A794" t="s">
        <v>14891</v>
      </c>
      <c r="B794" s="102">
        <v>1771</v>
      </c>
      <c r="C794" s="102">
        <v>2160</v>
      </c>
      <c r="D794" s="102">
        <f>Table22[[#This Row],[CURRENT]]-Table22[[#This Row],[IDEAL]]</f>
        <v>-389</v>
      </c>
    </row>
    <row r="795" spans="1:4" x14ac:dyDescent="0.25">
      <c r="A795" t="s">
        <v>14339</v>
      </c>
      <c r="B795" s="102">
        <v>2388</v>
      </c>
      <c r="C795" s="102">
        <v>2777</v>
      </c>
      <c r="D795" s="102">
        <f>Table22[[#This Row],[CURRENT]]-Table22[[#This Row],[IDEAL]]</f>
        <v>-389</v>
      </c>
    </row>
    <row r="796" spans="1:4" x14ac:dyDescent="0.25">
      <c r="A796" t="s">
        <v>17561</v>
      </c>
      <c r="B796" s="102">
        <v>2200</v>
      </c>
      <c r="C796" s="102">
        <v>2589</v>
      </c>
      <c r="D796" s="102">
        <f>Table22[[#This Row],[CURRENT]]-Table22[[#This Row],[IDEAL]]</f>
        <v>-389</v>
      </c>
    </row>
    <row r="797" spans="1:4" x14ac:dyDescent="0.25">
      <c r="A797" t="s">
        <v>17468</v>
      </c>
      <c r="B797" s="102">
        <v>2038</v>
      </c>
      <c r="C797" s="102">
        <v>2427</v>
      </c>
      <c r="D797" s="102">
        <f>Table22[[#This Row],[CURRENT]]-Table22[[#This Row],[IDEAL]]</f>
        <v>-389</v>
      </c>
    </row>
    <row r="798" spans="1:4" x14ac:dyDescent="0.25">
      <c r="A798" t="s">
        <v>18061</v>
      </c>
      <c r="B798" s="102">
        <v>2199</v>
      </c>
      <c r="C798" s="102">
        <v>2588</v>
      </c>
      <c r="D798" s="102">
        <f>Table22[[#This Row],[CURRENT]]-Table22[[#This Row],[IDEAL]]</f>
        <v>-389</v>
      </c>
    </row>
    <row r="799" spans="1:4" x14ac:dyDescent="0.25">
      <c r="A799" t="s">
        <v>16468</v>
      </c>
      <c r="B799" s="102">
        <v>1896</v>
      </c>
      <c r="C799" s="102">
        <v>2285</v>
      </c>
      <c r="D799" s="102">
        <f>Table22[[#This Row],[CURRENT]]-Table22[[#This Row],[IDEAL]]</f>
        <v>-389</v>
      </c>
    </row>
    <row r="800" spans="1:4" x14ac:dyDescent="0.25">
      <c r="A800" t="s">
        <v>17293</v>
      </c>
      <c r="B800" s="102">
        <v>3483</v>
      </c>
      <c r="C800" s="102">
        <v>3871</v>
      </c>
      <c r="D800" s="102">
        <f>Table22[[#This Row],[CURRENT]]-Table22[[#This Row],[IDEAL]]</f>
        <v>-388</v>
      </c>
    </row>
    <row r="801" spans="1:4" x14ac:dyDescent="0.25">
      <c r="A801" t="s">
        <v>16094</v>
      </c>
      <c r="B801" s="102">
        <v>3131</v>
      </c>
      <c r="C801" s="102">
        <v>3519</v>
      </c>
      <c r="D801" s="102">
        <f>Table22[[#This Row],[CURRENT]]-Table22[[#This Row],[IDEAL]]</f>
        <v>-388</v>
      </c>
    </row>
    <row r="802" spans="1:4" x14ac:dyDescent="0.25">
      <c r="A802" t="s">
        <v>14378</v>
      </c>
      <c r="B802" s="102">
        <v>2576</v>
      </c>
      <c r="C802" s="102">
        <v>2962</v>
      </c>
      <c r="D802" s="102">
        <f>Table22[[#This Row],[CURRENT]]-Table22[[#This Row],[IDEAL]]</f>
        <v>-386</v>
      </c>
    </row>
    <row r="803" spans="1:4" x14ac:dyDescent="0.25">
      <c r="A803" t="s">
        <v>17505</v>
      </c>
      <c r="B803" s="102">
        <v>1883</v>
      </c>
      <c r="C803" s="102">
        <v>2269</v>
      </c>
      <c r="D803" s="102">
        <f>Table22[[#This Row],[CURRENT]]-Table22[[#This Row],[IDEAL]]</f>
        <v>-386</v>
      </c>
    </row>
    <row r="804" spans="1:4" x14ac:dyDescent="0.25">
      <c r="A804" t="s">
        <v>17295</v>
      </c>
      <c r="B804" s="102">
        <v>3469</v>
      </c>
      <c r="C804" s="102">
        <v>3855</v>
      </c>
      <c r="D804" s="102">
        <f>Table22[[#This Row],[CURRENT]]-Table22[[#This Row],[IDEAL]]</f>
        <v>-386</v>
      </c>
    </row>
    <row r="805" spans="1:4" x14ac:dyDescent="0.25">
      <c r="A805" t="s">
        <v>17082</v>
      </c>
      <c r="B805" s="102">
        <v>2022</v>
      </c>
      <c r="C805" s="102">
        <v>2408</v>
      </c>
      <c r="D805" s="102">
        <f>Table22[[#This Row],[CURRENT]]-Table22[[#This Row],[IDEAL]]</f>
        <v>-386</v>
      </c>
    </row>
    <row r="806" spans="1:4" x14ac:dyDescent="0.25">
      <c r="A806" t="s">
        <v>15351</v>
      </c>
      <c r="B806" s="102">
        <v>2576</v>
      </c>
      <c r="C806" s="102">
        <v>2961</v>
      </c>
      <c r="D806" s="102">
        <f>Table22[[#This Row],[CURRENT]]-Table22[[#This Row],[IDEAL]]</f>
        <v>-385</v>
      </c>
    </row>
    <row r="807" spans="1:4" x14ac:dyDescent="0.25">
      <c r="A807" t="s">
        <v>17154</v>
      </c>
      <c r="B807" s="102">
        <v>2573</v>
      </c>
      <c r="C807" s="102">
        <v>2958</v>
      </c>
      <c r="D807" s="102">
        <f>Table22[[#This Row],[CURRENT]]-Table22[[#This Row],[IDEAL]]</f>
        <v>-385</v>
      </c>
    </row>
    <row r="808" spans="1:4" x14ac:dyDescent="0.25">
      <c r="A808" t="s">
        <v>16301</v>
      </c>
      <c r="B808" s="102">
        <v>2358</v>
      </c>
      <c r="C808" s="102">
        <v>2743</v>
      </c>
      <c r="D808" s="102">
        <f>Table22[[#This Row],[CURRENT]]-Table22[[#This Row],[IDEAL]]</f>
        <v>-385</v>
      </c>
    </row>
    <row r="809" spans="1:4" x14ac:dyDescent="0.25">
      <c r="A809" t="s">
        <v>14784</v>
      </c>
      <c r="B809" s="102">
        <v>1536</v>
      </c>
      <c r="C809" s="102">
        <v>1920</v>
      </c>
      <c r="D809" s="102">
        <f>Table22[[#This Row],[CURRENT]]-Table22[[#This Row],[IDEAL]]</f>
        <v>-384</v>
      </c>
    </row>
    <row r="810" spans="1:4" x14ac:dyDescent="0.25">
      <c r="A810" t="s">
        <v>17492</v>
      </c>
      <c r="B810" s="102">
        <v>2171</v>
      </c>
      <c r="C810" s="102">
        <v>2555</v>
      </c>
      <c r="D810" s="102">
        <f>Table22[[#This Row],[CURRENT]]-Table22[[#This Row],[IDEAL]]</f>
        <v>-384</v>
      </c>
    </row>
    <row r="811" spans="1:4" x14ac:dyDescent="0.25">
      <c r="A811" t="s">
        <v>16107</v>
      </c>
      <c r="B811" s="102">
        <v>3101</v>
      </c>
      <c r="C811" s="102">
        <v>3485</v>
      </c>
      <c r="D811" s="102">
        <f>Table22[[#This Row],[CURRENT]]-Table22[[#This Row],[IDEAL]]</f>
        <v>-384</v>
      </c>
    </row>
    <row r="812" spans="1:4" x14ac:dyDescent="0.25">
      <c r="A812" t="s">
        <v>16025</v>
      </c>
      <c r="B812" s="102">
        <v>3453</v>
      </c>
      <c r="C812" s="102">
        <v>3837</v>
      </c>
      <c r="D812" s="102">
        <f>Table22[[#This Row],[CURRENT]]-Table22[[#This Row],[IDEAL]]</f>
        <v>-384</v>
      </c>
    </row>
    <row r="813" spans="1:4" x14ac:dyDescent="0.25">
      <c r="A813" t="s">
        <v>16420</v>
      </c>
      <c r="B813" s="102">
        <v>2014</v>
      </c>
      <c r="C813" s="102">
        <v>2398</v>
      </c>
      <c r="D813" s="102">
        <f>Table22[[#This Row],[CURRENT]]-Table22[[#This Row],[IDEAL]]</f>
        <v>-384</v>
      </c>
    </row>
    <row r="814" spans="1:4" x14ac:dyDescent="0.25">
      <c r="A814" t="s">
        <v>14309</v>
      </c>
      <c r="B814" s="102">
        <v>2165</v>
      </c>
      <c r="C814" s="102">
        <v>2548</v>
      </c>
      <c r="D814" s="102">
        <f>Table22[[#This Row],[CURRENT]]-Table22[[#This Row],[IDEAL]]</f>
        <v>-383</v>
      </c>
    </row>
    <row r="815" spans="1:4" x14ac:dyDescent="0.25">
      <c r="A815" t="s">
        <v>14817</v>
      </c>
      <c r="B815" s="102">
        <v>2009</v>
      </c>
      <c r="C815" s="102">
        <v>2392</v>
      </c>
      <c r="D815" s="102">
        <f>Table22[[#This Row],[CURRENT]]-Table22[[#This Row],[IDEAL]]</f>
        <v>-383</v>
      </c>
    </row>
    <row r="816" spans="1:4" x14ac:dyDescent="0.25">
      <c r="A816" t="s">
        <v>14953</v>
      </c>
      <c r="B816" s="102">
        <v>2003</v>
      </c>
      <c r="C816" s="102">
        <v>2385</v>
      </c>
      <c r="D816" s="102">
        <f>Table22[[#This Row],[CURRENT]]-Table22[[#This Row],[IDEAL]]</f>
        <v>-382</v>
      </c>
    </row>
    <row r="817" spans="1:4" x14ac:dyDescent="0.25">
      <c r="A817" t="s">
        <v>14889</v>
      </c>
      <c r="B817" s="102">
        <v>2342</v>
      </c>
      <c r="C817" s="102">
        <v>2724</v>
      </c>
      <c r="D817" s="102">
        <f>Table22[[#This Row],[CURRENT]]-Table22[[#This Row],[IDEAL]]</f>
        <v>-382</v>
      </c>
    </row>
    <row r="818" spans="1:4" x14ac:dyDescent="0.25">
      <c r="A818" t="s">
        <v>17300</v>
      </c>
      <c r="B818" s="102">
        <v>3079</v>
      </c>
      <c r="C818" s="102">
        <v>3460</v>
      </c>
      <c r="D818" s="102">
        <f>Table22[[#This Row],[CURRENT]]-Table22[[#This Row],[IDEAL]]</f>
        <v>-381</v>
      </c>
    </row>
    <row r="819" spans="1:4" x14ac:dyDescent="0.25">
      <c r="A819" t="s">
        <v>17507</v>
      </c>
      <c r="B819" s="102">
        <v>1731</v>
      </c>
      <c r="C819" s="102">
        <v>2112</v>
      </c>
      <c r="D819" s="102">
        <f>Table22[[#This Row],[CURRENT]]-Table22[[#This Row],[IDEAL]]</f>
        <v>-381</v>
      </c>
    </row>
    <row r="820" spans="1:4" x14ac:dyDescent="0.25">
      <c r="A820" t="s">
        <v>16194</v>
      </c>
      <c r="B820" s="102">
        <v>2788</v>
      </c>
      <c r="C820" s="102">
        <v>3169</v>
      </c>
      <c r="D820" s="102">
        <f>Table22[[#This Row],[CURRENT]]-Table22[[#This Row],[IDEAL]]</f>
        <v>-381</v>
      </c>
    </row>
    <row r="821" spans="1:4" x14ac:dyDescent="0.25">
      <c r="A821" t="s">
        <v>14051</v>
      </c>
      <c r="B821" s="102">
        <v>3074</v>
      </c>
      <c r="C821" s="102">
        <v>3454</v>
      </c>
      <c r="D821" s="102">
        <f>Table22[[#This Row],[CURRENT]]-Table22[[#This Row],[IDEAL]]</f>
        <v>-380</v>
      </c>
    </row>
    <row r="822" spans="1:4" x14ac:dyDescent="0.25">
      <c r="A822" t="s">
        <v>18021</v>
      </c>
      <c r="B822" s="102">
        <v>1728</v>
      </c>
      <c r="C822" s="102">
        <v>2108</v>
      </c>
      <c r="D822" s="102">
        <f>Table22[[#This Row],[CURRENT]]-Table22[[#This Row],[IDEAL]]</f>
        <v>-380</v>
      </c>
    </row>
    <row r="823" spans="1:4" x14ac:dyDescent="0.25">
      <c r="A823" t="s">
        <v>14813</v>
      </c>
      <c r="B823" s="102">
        <v>1984</v>
      </c>
      <c r="C823" s="102">
        <v>2362</v>
      </c>
      <c r="D823" s="102">
        <f>Table22[[#This Row],[CURRENT]]-Table22[[#This Row],[IDEAL]]</f>
        <v>-378</v>
      </c>
    </row>
    <row r="824" spans="1:4" x14ac:dyDescent="0.25">
      <c r="A824" t="s">
        <v>13406</v>
      </c>
      <c r="B824" s="102">
        <v>1984</v>
      </c>
      <c r="C824" s="102">
        <v>2362</v>
      </c>
      <c r="D824" s="102">
        <f>Table22[[#This Row],[CURRENT]]-Table22[[#This Row],[IDEAL]]</f>
        <v>-378</v>
      </c>
    </row>
    <row r="825" spans="1:4" x14ac:dyDescent="0.25">
      <c r="A825" t="s">
        <v>16035</v>
      </c>
      <c r="B825" s="102">
        <v>3396</v>
      </c>
      <c r="C825" s="102">
        <v>3774</v>
      </c>
      <c r="D825" s="102">
        <f>Table22[[#This Row],[CURRENT]]-Table22[[#This Row],[IDEAL]]</f>
        <v>-378</v>
      </c>
    </row>
    <row r="826" spans="1:4" x14ac:dyDescent="0.25">
      <c r="A826" t="s">
        <v>15489</v>
      </c>
      <c r="B826" s="102">
        <v>1826</v>
      </c>
      <c r="C826" s="102">
        <v>2201</v>
      </c>
      <c r="D826" s="102">
        <f>Table22[[#This Row],[CURRENT]]-Table22[[#This Row],[IDEAL]]</f>
        <v>-375</v>
      </c>
    </row>
    <row r="827" spans="1:4" x14ac:dyDescent="0.25">
      <c r="A827" t="s">
        <v>14914</v>
      </c>
      <c r="B827" s="102">
        <v>2121</v>
      </c>
      <c r="C827" s="102">
        <v>2496</v>
      </c>
      <c r="D827" s="102">
        <f>Table22[[#This Row],[CURRENT]]-Table22[[#This Row],[IDEAL]]</f>
        <v>-375</v>
      </c>
    </row>
    <row r="828" spans="1:4" x14ac:dyDescent="0.25">
      <c r="A828" t="s">
        <v>13697</v>
      </c>
      <c r="B828" s="102">
        <v>1967</v>
      </c>
      <c r="C828" s="102">
        <v>2342</v>
      </c>
      <c r="D828" s="102">
        <f>Table22[[#This Row],[CURRENT]]-Table22[[#This Row],[IDEAL]]</f>
        <v>-375</v>
      </c>
    </row>
    <row r="829" spans="1:4" x14ac:dyDescent="0.25">
      <c r="A829" t="s">
        <v>17502</v>
      </c>
      <c r="B829" s="102">
        <v>1968</v>
      </c>
      <c r="C829" s="102">
        <v>2343</v>
      </c>
      <c r="D829" s="102">
        <f>Table22[[#This Row],[CURRENT]]-Table22[[#This Row],[IDEAL]]</f>
        <v>-375</v>
      </c>
    </row>
    <row r="830" spans="1:4" x14ac:dyDescent="0.25">
      <c r="A830" t="s">
        <v>17550</v>
      </c>
      <c r="B830" s="102">
        <v>2301</v>
      </c>
      <c r="C830" s="102">
        <v>2676</v>
      </c>
      <c r="D830" s="102">
        <f>Table22[[#This Row],[CURRENT]]-Table22[[#This Row],[IDEAL]]</f>
        <v>-375</v>
      </c>
    </row>
    <row r="831" spans="1:4" x14ac:dyDescent="0.25">
      <c r="A831" t="s">
        <v>18017</v>
      </c>
      <c r="B831" s="102">
        <v>2119</v>
      </c>
      <c r="C831" s="102">
        <v>2494</v>
      </c>
      <c r="D831" s="102">
        <f>Table22[[#This Row],[CURRENT]]-Table22[[#This Row],[IDEAL]]</f>
        <v>-375</v>
      </c>
    </row>
    <row r="832" spans="1:4" x14ac:dyDescent="0.25">
      <c r="A832" t="s">
        <v>17473</v>
      </c>
      <c r="B832" s="102">
        <v>1968</v>
      </c>
      <c r="C832" s="102">
        <v>2343</v>
      </c>
      <c r="D832" s="102">
        <f>Table22[[#This Row],[CURRENT]]-Table22[[#This Row],[IDEAL]]</f>
        <v>-375</v>
      </c>
    </row>
    <row r="833" spans="1:4" x14ac:dyDescent="0.25">
      <c r="A833" t="s">
        <v>16488</v>
      </c>
      <c r="B833" s="102">
        <v>1826</v>
      </c>
      <c r="C833" s="102">
        <v>2201</v>
      </c>
      <c r="D833" s="102">
        <f>Table22[[#This Row],[CURRENT]]-Table22[[#This Row],[IDEAL]]</f>
        <v>-375</v>
      </c>
    </row>
    <row r="834" spans="1:4" x14ac:dyDescent="0.25">
      <c r="A834" t="s">
        <v>14251</v>
      </c>
      <c r="B834" s="102">
        <v>3357</v>
      </c>
      <c r="C834" s="102">
        <v>3731</v>
      </c>
      <c r="D834" s="102">
        <f>Table22[[#This Row],[CURRENT]]-Table22[[#This Row],[IDEAL]]</f>
        <v>-374</v>
      </c>
    </row>
    <row r="835" spans="1:4" x14ac:dyDescent="0.25">
      <c r="A835" t="s">
        <v>16444</v>
      </c>
      <c r="B835" s="102">
        <v>1960</v>
      </c>
      <c r="C835" s="102">
        <v>2334</v>
      </c>
      <c r="D835" s="102">
        <f>Table22[[#This Row],[CURRENT]]-Table22[[#This Row],[IDEAL]]</f>
        <v>-374</v>
      </c>
    </row>
    <row r="836" spans="1:4" x14ac:dyDescent="0.25">
      <c r="A836" t="s">
        <v>17298</v>
      </c>
      <c r="B836" s="102">
        <v>3353</v>
      </c>
      <c r="C836" s="102">
        <v>3726</v>
      </c>
      <c r="D836" s="102">
        <f>Table22[[#This Row],[CURRENT]]-Table22[[#This Row],[IDEAL]]</f>
        <v>-373</v>
      </c>
    </row>
    <row r="837" spans="1:4" x14ac:dyDescent="0.25">
      <c r="A837" t="s">
        <v>17186</v>
      </c>
      <c r="B837" s="102">
        <v>2290</v>
      </c>
      <c r="C837" s="102">
        <v>2663</v>
      </c>
      <c r="D837" s="102">
        <f>Table22[[#This Row],[CURRENT]]-Table22[[#This Row],[IDEAL]]</f>
        <v>-373</v>
      </c>
    </row>
    <row r="838" spans="1:4" x14ac:dyDescent="0.25">
      <c r="A838" t="s">
        <v>16206</v>
      </c>
      <c r="B838" s="102">
        <v>2729</v>
      </c>
      <c r="C838" s="102">
        <v>3102</v>
      </c>
      <c r="D838" s="102">
        <f>Table22[[#This Row],[CURRENT]]-Table22[[#This Row],[IDEAL]]</f>
        <v>-373</v>
      </c>
    </row>
    <row r="839" spans="1:4" x14ac:dyDescent="0.25">
      <c r="A839" t="s">
        <v>14741</v>
      </c>
      <c r="B839" s="102">
        <v>1950</v>
      </c>
      <c r="C839" s="102">
        <v>2322</v>
      </c>
      <c r="D839" s="102">
        <f>Table22[[#This Row],[CURRENT]]-Table22[[#This Row],[IDEAL]]</f>
        <v>-372</v>
      </c>
    </row>
    <row r="840" spans="1:4" x14ac:dyDescent="0.25">
      <c r="A840" t="s">
        <v>14742</v>
      </c>
      <c r="B840" s="102">
        <v>1949</v>
      </c>
      <c r="C840" s="102">
        <v>2321</v>
      </c>
      <c r="D840" s="102">
        <f>Table22[[#This Row],[CURRENT]]-Table22[[#This Row],[IDEAL]]</f>
        <v>-372</v>
      </c>
    </row>
    <row r="841" spans="1:4" x14ac:dyDescent="0.25">
      <c r="A841" t="s">
        <v>16387</v>
      </c>
      <c r="B841" s="102">
        <v>2106</v>
      </c>
      <c r="C841" s="102">
        <v>2478</v>
      </c>
      <c r="D841" s="102">
        <f>Table22[[#This Row],[CURRENT]]-Table22[[#This Row],[IDEAL]]</f>
        <v>-372</v>
      </c>
    </row>
    <row r="842" spans="1:4" x14ac:dyDescent="0.25">
      <c r="A842" t="s">
        <v>17534</v>
      </c>
      <c r="B842" s="102">
        <v>2479</v>
      </c>
      <c r="C842" s="102">
        <v>2850</v>
      </c>
      <c r="D842" s="102">
        <f>Table22[[#This Row],[CURRENT]]-Table22[[#This Row],[IDEAL]]</f>
        <v>-371</v>
      </c>
    </row>
    <row r="843" spans="1:4" x14ac:dyDescent="0.25">
      <c r="A843" t="s">
        <v>16273</v>
      </c>
      <c r="B843" s="102">
        <v>2482</v>
      </c>
      <c r="C843" s="102">
        <v>2853</v>
      </c>
      <c r="D843" s="102">
        <f>Table22[[#This Row],[CURRENT]]-Table22[[#This Row],[IDEAL]]</f>
        <v>-371</v>
      </c>
    </row>
    <row r="844" spans="1:4" x14ac:dyDescent="0.25">
      <c r="A844" t="s">
        <v>16049</v>
      </c>
      <c r="B844" s="102">
        <v>3336</v>
      </c>
      <c r="C844" s="102">
        <v>3707</v>
      </c>
      <c r="D844" s="102">
        <f>Table22[[#This Row],[CURRENT]]-Table22[[#This Row],[IDEAL]]</f>
        <v>-371</v>
      </c>
    </row>
    <row r="845" spans="1:4" x14ac:dyDescent="0.25">
      <c r="A845" t="s">
        <v>16547</v>
      </c>
      <c r="B845" s="102">
        <v>1580</v>
      </c>
      <c r="C845" s="102">
        <v>1951</v>
      </c>
      <c r="D845" s="102">
        <f>Table22[[#This Row],[CURRENT]]-Table22[[#This Row],[IDEAL]]</f>
        <v>-371</v>
      </c>
    </row>
    <row r="846" spans="1:4" x14ac:dyDescent="0.25">
      <c r="A846" t="s">
        <v>15587</v>
      </c>
      <c r="B846" s="102">
        <v>1574</v>
      </c>
      <c r="C846" s="102">
        <v>1944</v>
      </c>
      <c r="D846" s="102">
        <f>Table22[[#This Row],[CURRENT]]-Table22[[#This Row],[IDEAL]]</f>
        <v>-370</v>
      </c>
    </row>
    <row r="847" spans="1:4" x14ac:dyDescent="0.25">
      <c r="A847" t="s">
        <v>13862</v>
      </c>
      <c r="B847" s="102">
        <v>2474</v>
      </c>
      <c r="C847" s="102">
        <v>2844</v>
      </c>
      <c r="D847" s="102">
        <f>Table22[[#This Row],[CURRENT]]-Table22[[#This Row],[IDEAL]]</f>
        <v>-370</v>
      </c>
    </row>
    <row r="848" spans="1:4" x14ac:dyDescent="0.25">
      <c r="A848" t="s">
        <v>16453</v>
      </c>
      <c r="B848" s="102">
        <v>1942</v>
      </c>
      <c r="C848" s="102">
        <v>2312</v>
      </c>
      <c r="D848" s="102">
        <f>Table22[[#This Row],[CURRENT]]-Table22[[#This Row],[IDEAL]]</f>
        <v>-370</v>
      </c>
    </row>
    <row r="849" spans="1:4" x14ac:dyDescent="0.25">
      <c r="A849" t="s">
        <v>17535</v>
      </c>
      <c r="B849" s="102">
        <v>2468</v>
      </c>
      <c r="C849" s="102">
        <v>2837</v>
      </c>
      <c r="D849" s="102">
        <f>Table22[[#This Row],[CURRENT]]-Table22[[#This Row],[IDEAL]]</f>
        <v>-369</v>
      </c>
    </row>
    <row r="850" spans="1:4" x14ac:dyDescent="0.25">
      <c r="A850" t="s">
        <v>16395</v>
      </c>
      <c r="B850" s="102">
        <v>2086</v>
      </c>
      <c r="C850" s="102">
        <v>2455</v>
      </c>
      <c r="D850" s="102">
        <f>Table22[[#This Row],[CURRENT]]-Table22[[#This Row],[IDEAL]]</f>
        <v>-369</v>
      </c>
    </row>
    <row r="851" spans="1:4" x14ac:dyDescent="0.25">
      <c r="A851" t="s">
        <v>16331</v>
      </c>
      <c r="B851" s="102">
        <v>2260</v>
      </c>
      <c r="C851" s="102">
        <v>2629</v>
      </c>
      <c r="D851" s="102">
        <f>Table22[[#This Row],[CURRENT]]-Table22[[#This Row],[IDEAL]]</f>
        <v>-369</v>
      </c>
    </row>
    <row r="852" spans="1:4" x14ac:dyDescent="0.25">
      <c r="A852" t="s">
        <v>16461</v>
      </c>
      <c r="B852" s="102">
        <v>1932</v>
      </c>
      <c r="C852" s="102">
        <v>2301</v>
      </c>
      <c r="D852" s="102">
        <f>Table22[[#This Row],[CURRENT]]-Table22[[#This Row],[IDEAL]]</f>
        <v>-369</v>
      </c>
    </row>
    <row r="853" spans="1:4" x14ac:dyDescent="0.25">
      <c r="A853" t="s">
        <v>14247</v>
      </c>
      <c r="B853" s="102">
        <v>2972</v>
      </c>
      <c r="C853" s="102">
        <v>3340</v>
      </c>
      <c r="D853" s="102">
        <f>Table22[[#This Row],[CURRENT]]-Table22[[#This Row],[IDEAL]]</f>
        <v>-368</v>
      </c>
    </row>
    <row r="854" spans="1:4" x14ac:dyDescent="0.25">
      <c r="A854" t="s">
        <v>14890</v>
      </c>
      <c r="B854" s="102">
        <v>1796</v>
      </c>
      <c r="C854" s="102">
        <v>2164</v>
      </c>
      <c r="D854" s="102">
        <f>Table22[[#This Row],[CURRENT]]-Table22[[#This Row],[IDEAL]]</f>
        <v>-368</v>
      </c>
    </row>
    <row r="855" spans="1:4" x14ac:dyDescent="0.25">
      <c r="A855" t="s">
        <v>13866</v>
      </c>
      <c r="B855" s="102">
        <v>3306</v>
      </c>
      <c r="C855" s="102">
        <v>3674</v>
      </c>
      <c r="D855" s="102">
        <f>Table22[[#This Row],[CURRENT]]-Table22[[#This Row],[IDEAL]]</f>
        <v>-368</v>
      </c>
    </row>
    <row r="856" spans="1:4" x14ac:dyDescent="0.25">
      <c r="A856" t="s">
        <v>14348</v>
      </c>
      <c r="B856" s="102">
        <v>2451</v>
      </c>
      <c r="C856" s="102">
        <v>2818</v>
      </c>
      <c r="D856" s="102">
        <f>Table22[[#This Row],[CURRENT]]-Table22[[#This Row],[IDEAL]]</f>
        <v>-367</v>
      </c>
    </row>
    <row r="857" spans="1:4" x14ac:dyDescent="0.25">
      <c r="A857" t="s">
        <v>14997</v>
      </c>
      <c r="B857" s="102">
        <v>2079</v>
      </c>
      <c r="C857" s="102">
        <v>2446</v>
      </c>
      <c r="D857" s="102">
        <f>Table22[[#This Row],[CURRENT]]-Table22[[#This Row],[IDEAL]]</f>
        <v>-367</v>
      </c>
    </row>
    <row r="858" spans="1:4" x14ac:dyDescent="0.25">
      <c r="A858" t="s">
        <v>13838</v>
      </c>
      <c r="B858" s="102">
        <v>2452</v>
      </c>
      <c r="C858" s="102">
        <v>2819</v>
      </c>
      <c r="D858" s="102">
        <f>Table22[[#This Row],[CURRENT]]-Table22[[#This Row],[IDEAL]]</f>
        <v>-367</v>
      </c>
    </row>
    <row r="859" spans="1:4" x14ac:dyDescent="0.25">
      <c r="A859" t="s">
        <v>17525</v>
      </c>
      <c r="B859" s="102">
        <v>2690</v>
      </c>
      <c r="C859" s="102">
        <v>3057</v>
      </c>
      <c r="D859" s="102">
        <f>Table22[[#This Row],[CURRENT]]-Table22[[#This Row],[IDEAL]]</f>
        <v>-367</v>
      </c>
    </row>
    <row r="860" spans="1:4" x14ac:dyDescent="0.25">
      <c r="A860" t="s">
        <v>16281</v>
      </c>
      <c r="B860" s="102">
        <v>2455</v>
      </c>
      <c r="C860" s="102">
        <v>2822</v>
      </c>
      <c r="D860" s="102">
        <f>Table22[[#This Row],[CURRENT]]-Table22[[#This Row],[IDEAL]]</f>
        <v>-367</v>
      </c>
    </row>
    <row r="861" spans="1:4" x14ac:dyDescent="0.25">
      <c r="A861" t="s">
        <v>15619</v>
      </c>
      <c r="B861" s="102">
        <v>1464</v>
      </c>
      <c r="C861" s="102">
        <v>1830</v>
      </c>
      <c r="D861" s="102">
        <f>Table22[[#This Row],[CURRENT]]-Table22[[#This Row],[IDEAL]]</f>
        <v>-366</v>
      </c>
    </row>
    <row r="862" spans="1:4" x14ac:dyDescent="0.25">
      <c r="A862" t="s">
        <v>14239</v>
      </c>
      <c r="B862" s="102">
        <v>2960</v>
      </c>
      <c r="C862" s="102">
        <v>3326</v>
      </c>
      <c r="D862" s="102">
        <f>Table22[[#This Row],[CURRENT]]-Table22[[#This Row],[IDEAL]]</f>
        <v>-366</v>
      </c>
    </row>
    <row r="863" spans="1:4" x14ac:dyDescent="0.25">
      <c r="A863" t="s">
        <v>13746</v>
      </c>
      <c r="B863" s="102">
        <v>1921</v>
      </c>
      <c r="C863" s="102">
        <v>2287</v>
      </c>
      <c r="D863" s="102">
        <f>Table22[[#This Row],[CURRENT]]-Table22[[#This Row],[IDEAL]]</f>
        <v>-366</v>
      </c>
    </row>
    <row r="864" spans="1:4" x14ac:dyDescent="0.25">
      <c r="A864" t="s">
        <v>16467</v>
      </c>
      <c r="B864" s="102">
        <v>1919</v>
      </c>
      <c r="C864" s="102">
        <v>2285</v>
      </c>
      <c r="D864" s="102">
        <f>Table22[[#This Row],[CURRENT]]-Table22[[#This Row],[IDEAL]]</f>
        <v>-366</v>
      </c>
    </row>
    <row r="865" spans="1:4" x14ac:dyDescent="0.25">
      <c r="A865" t="s">
        <v>14811</v>
      </c>
      <c r="B865" s="102">
        <v>1914</v>
      </c>
      <c r="C865" s="102">
        <v>2279</v>
      </c>
      <c r="D865" s="102">
        <f>Table22[[#This Row],[CURRENT]]-Table22[[#This Row],[IDEAL]]</f>
        <v>-365</v>
      </c>
    </row>
    <row r="866" spans="1:4" x14ac:dyDescent="0.25">
      <c r="A866" t="s">
        <v>14999</v>
      </c>
      <c r="B866" s="102">
        <v>2241</v>
      </c>
      <c r="C866" s="102">
        <v>2606</v>
      </c>
      <c r="D866" s="102">
        <f>Table22[[#This Row],[CURRENT]]-Table22[[#This Row],[IDEAL]]</f>
        <v>-365</v>
      </c>
    </row>
    <row r="867" spans="1:4" x14ac:dyDescent="0.25">
      <c r="A867" t="s">
        <v>13408</v>
      </c>
      <c r="B867" s="102">
        <v>1780</v>
      </c>
      <c r="C867" s="102">
        <v>2145</v>
      </c>
      <c r="D867" s="102">
        <f>Table22[[#This Row],[CURRENT]]-Table22[[#This Row],[IDEAL]]</f>
        <v>-365</v>
      </c>
    </row>
    <row r="868" spans="1:4" x14ac:dyDescent="0.25">
      <c r="A868" t="s">
        <v>16402</v>
      </c>
      <c r="B868" s="102">
        <v>2065</v>
      </c>
      <c r="C868" s="102">
        <v>2430</v>
      </c>
      <c r="D868" s="102">
        <f>Table22[[#This Row],[CURRENT]]-Table22[[#This Row],[IDEAL]]</f>
        <v>-365</v>
      </c>
    </row>
    <row r="869" spans="1:4" x14ac:dyDescent="0.25">
      <c r="A869" t="s">
        <v>13659</v>
      </c>
      <c r="B869" s="102">
        <v>2669</v>
      </c>
      <c r="C869" s="102">
        <v>3033</v>
      </c>
      <c r="D869" s="102">
        <f>Table22[[#This Row],[CURRENT]]-Table22[[#This Row],[IDEAL]]</f>
        <v>-364</v>
      </c>
    </row>
    <row r="870" spans="1:4" x14ac:dyDescent="0.25">
      <c r="A870" t="s">
        <v>18037</v>
      </c>
      <c r="B870" s="102">
        <v>1548</v>
      </c>
      <c r="C870" s="102">
        <v>1912</v>
      </c>
      <c r="D870" s="102">
        <f>Table22[[#This Row],[CURRENT]]-Table22[[#This Row],[IDEAL]]</f>
        <v>-364</v>
      </c>
    </row>
    <row r="871" spans="1:4" x14ac:dyDescent="0.25">
      <c r="A871" t="s">
        <v>14907</v>
      </c>
      <c r="B871" s="102">
        <v>1768</v>
      </c>
      <c r="C871" s="102">
        <v>2131</v>
      </c>
      <c r="D871" s="102">
        <f>Table22[[#This Row],[CURRENT]]-Table22[[#This Row],[IDEAL]]</f>
        <v>-363</v>
      </c>
    </row>
    <row r="872" spans="1:4" x14ac:dyDescent="0.25">
      <c r="A872" t="s">
        <v>13462</v>
      </c>
      <c r="B872" s="102">
        <v>2934</v>
      </c>
      <c r="C872" s="102">
        <v>3297</v>
      </c>
      <c r="D872" s="102">
        <f>Table22[[#This Row],[CURRENT]]-Table22[[#This Row],[IDEAL]]</f>
        <v>-363</v>
      </c>
    </row>
    <row r="873" spans="1:4" x14ac:dyDescent="0.25">
      <c r="A873" t="s">
        <v>15598</v>
      </c>
      <c r="B873" s="102">
        <v>1541</v>
      </c>
      <c r="C873" s="102">
        <v>1903</v>
      </c>
      <c r="D873" s="102">
        <f>Table22[[#This Row],[CURRENT]]-Table22[[#This Row],[IDEAL]]</f>
        <v>-362</v>
      </c>
    </row>
    <row r="874" spans="1:4" x14ac:dyDescent="0.25">
      <c r="A874" t="s">
        <v>14383</v>
      </c>
      <c r="B874" s="102">
        <v>2647</v>
      </c>
      <c r="C874" s="102">
        <v>3009</v>
      </c>
      <c r="D874" s="102">
        <f>Table22[[#This Row],[CURRENT]]-Table22[[#This Row],[IDEAL]]</f>
        <v>-362</v>
      </c>
    </row>
    <row r="875" spans="1:4" x14ac:dyDescent="0.25">
      <c r="A875" t="s">
        <v>18094</v>
      </c>
      <c r="B875" s="102">
        <v>1764</v>
      </c>
      <c r="C875" s="102">
        <v>2126</v>
      </c>
      <c r="D875" s="102">
        <f>Table22[[#This Row],[CURRENT]]-Table22[[#This Row],[IDEAL]]</f>
        <v>-362</v>
      </c>
    </row>
    <row r="876" spans="1:4" x14ac:dyDescent="0.25">
      <c r="A876" t="s">
        <v>17539</v>
      </c>
      <c r="B876" s="102">
        <v>2418</v>
      </c>
      <c r="C876" s="102">
        <v>2780</v>
      </c>
      <c r="D876" s="102">
        <f>Table22[[#This Row],[CURRENT]]-Table22[[#This Row],[IDEAL]]</f>
        <v>-362</v>
      </c>
    </row>
    <row r="877" spans="1:4" x14ac:dyDescent="0.25">
      <c r="A877" t="s">
        <v>16161</v>
      </c>
      <c r="B877" s="102">
        <v>2925</v>
      </c>
      <c r="C877" s="102">
        <v>3287</v>
      </c>
      <c r="D877" s="102">
        <f>Table22[[#This Row],[CURRENT]]-Table22[[#This Row],[IDEAL]]</f>
        <v>-362</v>
      </c>
    </row>
    <row r="878" spans="1:4" x14ac:dyDescent="0.25">
      <c r="A878" t="s">
        <v>14464</v>
      </c>
      <c r="B878" s="102">
        <v>2919</v>
      </c>
      <c r="C878" s="102">
        <v>3280</v>
      </c>
      <c r="D878" s="102">
        <f>Table22[[#This Row],[CURRENT]]-Table22[[#This Row],[IDEAL]]</f>
        <v>-361</v>
      </c>
    </row>
    <row r="879" spans="1:4" x14ac:dyDescent="0.25">
      <c r="A879" t="s">
        <v>13716</v>
      </c>
      <c r="B879" s="102">
        <v>3247</v>
      </c>
      <c r="C879" s="102">
        <v>3608</v>
      </c>
      <c r="D879" s="102">
        <f>Table22[[#This Row],[CURRENT]]-Table22[[#This Row],[IDEAL]]</f>
        <v>-361</v>
      </c>
    </row>
    <row r="880" spans="1:4" x14ac:dyDescent="0.25">
      <c r="A880" t="s">
        <v>17050</v>
      </c>
      <c r="B880" s="102">
        <v>1760</v>
      </c>
      <c r="C880" s="102">
        <v>2121</v>
      </c>
      <c r="D880" s="102">
        <f>Table22[[#This Row],[CURRENT]]-Table22[[#This Row],[IDEAL]]</f>
        <v>-361</v>
      </c>
    </row>
    <row r="881" spans="1:4" x14ac:dyDescent="0.25">
      <c r="A881" t="s">
        <v>16416</v>
      </c>
      <c r="B881" s="102">
        <v>2042</v>
      </c>
      <c r="C881" s="102">
        <v>2403</v>
      </c>
      <c r="D881" s="102">
        <f>Table22[[#This Row],[CURRENT]]-Table22[[#This Row],[IDEAL]]</f>
        <v>-361</v>
      </c>
    </row>
    <row r="882" spans="1:4" x14ac:dyDescent="0.25">
      <c r="A882" t="s">
        <v>16568</v>
      </c>
      <c r="B882" s="102">
        <v>1442</v>
      </c>
      <c r="C882" s="102">
        <v>1803</v>
      </c>
      <c r="D882" s="102">
        <f>Table22[[#This Row],[CURRENT]]-Table22[[#This Row],[IDEAL]]</f>
        <v>-361</v>
      </c>
    </row>
    <row r="883" spans="1:4" x14ac:dyDescent="0.25">
      <c r="A883" t="s">
        <v>16569</v>
      </c>
      <c r="B883" s="102">
        <v>1441</v>
      </c>
      <c r="C883" s="102">
        <v>1802</v>
      </c>
      <c r="D883" s="102">
        <f>Table22[[#This Row],[CURRENT]]-Table22[[#This Row],[IDEAL]]</f>
        <v>-361</v>
      </c>
    </row>
    <row r="884" spans="1:4" x14ac:dyDescent="0.25">
      <c r="A884" t="s">
        <v>16072</v>
      </c>
      <c r="B884" s="102">
        <v>3244</v>
      </c>
      <c r="C884" s="102">
        <v>3605</v>
      </c>
      <c r="D884" s="102">
        <f>Table22[[#This Row],[CURRENT]]-Table22[[#This Row],[IDEAL]]</f>
        <v>-361</v>
      </c>
    </row>
    <row r="885" spans="1:4" x14ac:dyDescent="0.25">
      <c r="A885" t="s">
        <v>12461</v>
      </c>
      <c r="B885" s="102">
        <v>3231</v>
      </c>
      <c r="C885" s="102">
        <v>3591</v>
      </c>
      <c r="D885" s="102">
        <f>Table22[[#This Row],[CURRENT]]-Table22[[#This Row],[IDEAL]]</f>
        <v>-360</v>
      </c>
    </row>
    <row r="886" spans="1:4" x14ac:dyDescent="0.25">
      <c r="A886" t="s">
        <v>14418</v>
      </c>
      <c r="B886" s="102">
        <v>2635</v>
      </c>
      <c r="C886" s="102">
        <v>2995</v>
      </c>
      <c r="D886" s="102">
        <f>Table22[[#This Row],[CURRENT]]-Table22[[#This Row],[IDEAL]]</f>
        <v>-360</v>
      </c>
    </row>
    <row r="887" spans="1:4" x14ac:dyDescent="0.25">
      <c r="A887" t="s">
        <v>14386</v>
      </c>
      <c r="B887" s="102">
        <v>2632</v>
      </c>
      <c r="C887" s="102">
        <v>2992</v>
      </c>
      <c r="D887" s="102">
        <f>Table22[[#This Row],[CURRENT]]-Table22[[#This Row],[IDEAL]]</f>
        <v>-360</v>
      </c>
    </row>
    <row r="888" spans="1:4" x14ac:dyDescent="0.25">
      <c r="A888" t="s">
        <v>14050</v>
      </c>
      <c r="B888" s="102">
        <v>3240</v>
      </c>
      <c r="C888" s="102">
        <v>3600</v>
      </c>
      <c r="D888" s="102">
        <f>Table22[[#This Row],[CURRENT]]-Table22[[#This Row],[IDEAL]]</f>
        <v>-360</v>
      </c>
    </row>
    <row r="889" spans="1:4" x14ac:dyDescent="0.25">
      <c r="A889" t="s">
        <v>13652</v>
      </c>
      <c r="B889" s="102">
        <v>2635</v>
      </c>
      <c r="C889" s="102">
        <v>2995</v>
      </c>
      <c r="D889" s="102">
        <f>Table22[[#This Row],[CURRENT]]-Table22[[#This Row],[IDEAL]]</f>
        <v>-360</v>
      </c>
    </row>
    <row r="890" spans="1:4" x14ac:dyDescent="0.25">
      <c r="A890" t="s">
        <v>16419</v>
      </c>
      <c r="B890" s="102">
        <v>2039</v>
      </c>
      <c r="C890" s="102">
        <v>2399</v>
      </c>
      <c r="D890" s="102">
        <f>Table22[[#This Row],[CURRENT]]-Table22[[#This Row],[IDEAL]]</f>
        <v>-360</v>
      </c>
    </row>
    <row r="891" spans="1:4" x14ac:dyDescent="0.25">
      <c r="A891" t="s">
        <v>16536</v>
      </c>
      <c r="B891" s="102">
        <v>1637</v>
      </c>
      <c r="C891" s="102">
        <v>1997</v>
      </c>
      <c r="D891" s="102">
        <f>Table22[[#This Row],[CURRENT]]-Table22[[#This Row],[IDEAL]]</f>
        <v>-360</v>
      </c>
    </row>
    <row r="892" spans="1:4" x14ac:dyDescent="0.25">
      <c r="A892" t="s">
        <v>16417</v>
      </c>
      <c r="B892" s="102">
        <v>2040</v>
      </c>
      <c r="C892" s="102">
        <v>2400</v>
      </c>
      <c r="D892" s="102">
        <f>Table22[[#This Row],[CURRENT]]-Table22[[#This Row],[IDEAL]]</f>
        <v>-360</v>
      </c>
    </row>
    <row r="893" spans="1:4" x14ac:dyDescent="0.25">
      <c r="A893" t="s">
        <v>14776</v>
      </c>
      <c r="B893" s="102">
        <v>1435</v>
      </c>
      <c r="C893" s="102">
        <v>1794</v>
      </c>
      <c r="D893" s="102">
        <f>Table22[[#This Row],[CURRENT]]-Table22[[#This Row],[IDEAL]]</f>
        <v>-359</v>
      </c>
    </row>
    <row r="894" spans="1:4" x14ac:dyDescent="0.25">
      <c r="A894" t="s">
        <v>14903</v>
      </c>
      <c r="B894" s="102">
        <v>2032</v>
      </c>
      <c r="C894" s="102">
        <v>2391</v>
      </c>
      <c r="D894" s="102">
        <f>Table22[[#This Row],[CURRENT]]-Table22[[#This Row],[IDEAL]]</f>
        <v>-359</v>
      </c>
    </row>
    <row r="895" spans="1:4" x14ac:dyDescent="0.25">
      <c r="A895" t="s">
        <v>13410</v>
      </c>
      <c r="B895" s="102">
        <v>1749</v>
      </c>
      <c r="C895" s="102">
        <v>2108</v>
      </c>
      <c r="D895" s="102">
        <f>Table22[[#This Row],[CURRENT]]-Table22[[#This Row],[IDEAL]]</f>
        <v>-359</v>
      </c>
    </row>
    <row r="896" spans="1:4" x14ac:dyDescent="0.25">
      <c r="A896" t="s">
        <v>13517</v>
      </c>
      <c r="B896" s="102">
        <v>2204</v>
      </c>
      <c r="C896" s="102">
        <v>2563</v>
      </c>
      <c r="D896" s="102">
        <f>Table22[[#This Row],[CURRENT]]-Table22[[#This Row],[IDEAL]]</f>
        <v>-359</v>
      </c>
    </row>
    <row r="897" spans="1:4" x14ac:dyDescent="0.25">
      <c r="A897" t="s">
        <v>17579</v>
      </c>
      <c r="B897" s="102">
        <v>2034</v>
      </c>
      <c r="C897" s="102">
        <v>2393</v>
      </c>
      <c r="D897" s="102">
        <f>Table22[[#This Row],[CURRENT]]-Table22[[#This Row],[IDEAL]]</f>
        <v>-359</v>
      </c>
    </row>
    <row r="898" spans="1:4" x14ac:dyDescent="0.25">
      <c r="A898" t="s">
        <v>16562</v>
      </c>
      <c r="B898" s="102">
        <v>1527</v>
      </c>
      <c r="C898" s="102">
        <v>1886</v>
      </c>
      <c r="D898" s="102">
        <f>Table22[[#This Row],[CURRENT]]-Table22[[#This Row],[IDEAL]]</f>
        <v>-359</v>
      </c>
    </row>
    <row r="899" spans="1:4" x14ac:dyDescent="0.25">
      <c r="A899" t="s">
        <v>14777</v>
      </c>
      <c r="B899" s="102">
        <v>1430</v>
      </c>
      <c r="C899" s="102">
        <v>1788</v>
      </c>
      <c r="D899" s="102">
        <f>Table22[[#This Row],[CURRENT]]-Table22[[#This Row],[IDEAL]]</f>
        <v>-358</v>
      </c>
    </row>
    <row r="900" spans="1:4" x14ac:dyDescent="0.25">
      <c r="A900" t="s">
        <v>14726</v>
      </c>
      <c r="B900" s="102">
        <v>1745</v>
      </c>
      <c r="C900" s="102">
        <v>2103</v>
      </c>
      <c r="D900" s="102">
        <f>Table22[[#This Row],[CURRENT]]-Table22[[#This Row],[IDEAL]]</f>
        <v>-358</v>
      </c>
    </row>
    <row r="901" spans="1:4" x14ac:dyDescent="0.25">
      <c r="A901" t="s">
        <v>13526</v>
      </c>
      <c r="B901" s="102">
        <v>1429</v>
      </c>
      <c r="C901" s="102">
        <v>1787</v>
      </c>
      <c r="D901" s="102">
        <f>Table22[[#This Row],[CURRENT]]-Table22[[#This Row],[IDEAL]]</f>
        <v>-358</v>
      </c>
    </row>
    <row r="902" spans="1:4" x14ac:dyDescent="0.25">
      <c r="A902" t="s">
        <v>13872</v>
      </c>
      <c r="B902" s="102">
        <v>3219</v>
      </c>
      <c r="C902" s="102">
        <v>3577</v>
      </c>
      <c r="D902" s="102">
        <f>Table22[[#This Row],[CURRENT]]-Table22[[#This Row],[IDEAL]]</f>
        <v>-358</v>
      </c>
    </row>
    <row r="903" spans="1:4" x14ac:dyDescent="0.25">
      <c r="A903" t="s">
        <v>16480</v>
      </c>
      <c r="B903" s="102">
        <v>1875</v>
      </c>
      <c r="C903" s="102">
        <v>2233</v>
      </c>
      <c r="D903" s="102">
        <f>Table22[[#This Row],[CURRENT]]-Table22[[#This Row],[IDEAL]]</f>
        <v>-358</v>
      </c>
    </row>
    <row r="904" spans="1:4" x14ac:dyDescent="0.25">
      <c r="A904" t="s">
        <v>14271</v>
      </c>
      <c r="B904" s="102">
        <v>2880</v>
      </c>
      <c r="C904" s="102">
        <v>3237</v>
      </c>
      <c r="D904" s="102">
        <f>Table22[[#This Row],[CURRENT]]-Table22[[#This Row],[IDEAL]]</f>
        <v>-357</v>
      </c>
    </row>
    <row r="905" spans="1:4" x14ac:dyDescent="0.25">
      <c r="A905" t="s">
        <v>13685</v>
      </c>
      <c r="B905" s="102">
        <v>1871</v>
      </c>
      <c r="C905" s="102">
        <v>2228</v>
      </c>
      <c r="D905" s="102">
        <f>Table22[[#This Row],[CURRENT]]-Table22[[#This Row],[IDEAL]]</f>
        <v>-357</v>
      </c>
    </row>
    <row r="906" spans="1:4" x14ac:dyDescent="0.25">
      <c r="A906" t="s">
        <v>16428</v>
      </c>
      <c r="B906" s="102">
        <v>2020</v>
      </c>
      <c r="C906" s="102">
        <v>2377</v>
      </c>
      <c r="D906" s="102">
        <f>Table22[[#This Row],[CURRENT]]-Table22[[#This Row],[IDEAL]]</f>
        <v>-357</v>
      </c>
    </row>
    <row r="907" spans="1:4" x14ac:dyDescent="0.25">
      <c r="A907" t="s">
        <v>14789</v>
      </c>
      <c r="B907" s="102">
        <v>2377</v>
      </c>
      <c r="C907" s="102">
        <v>2733</v>
      </c>
      <c r="D907" s="102">
        <f>Table22[[#This Row],[CURRENT]]-Table22[[#This Row],[IDEAL]]</f>
        <v>-356</v>
      </c>
    </row>
    <row r="908" spans="1:4" x14ac:dyDescent="0.25">
      <c r="A908" t="s">
        <v>13816</v>
      </c>
      <c r="B908" s="102">
        <v>1733</v>
      </c>
      <c r="C908" s="102">
        <v>2089</v>
      </c>
      <c r="D908" s="102">
        <f>Table22[[#This Row],[CURRENT]]-Table22[[#This Row],[IDEAL]]</f>
        <v>-356</v>
      </c>
    </row>
    <row r="909" spans="1:4" x14ac:dyDescent="0.25">
      <c r="A909" t="s">
        <v>16182</v>
      </c>
      <c r="B909" s="102">
        <v>2875</v>
      </c>
      <c r="C909" s="102">
        <v>3231</v>
      </c>
      <c r="D909" s="102">
        <f>Table22[[#This Row],[CURRENT]]-Table22[[#This Row],[IDEAL]]</f>
        <v>-356</v>
      </c>
    </row>
    <row r="910" spans="1:4" x14ac:dyDescent="0.25">
      <c r="A910" t="s">
        <v>14794</v>
      </c>
      <c r="B910" s="102">
        <v>2870</v>
      </c>
      <c r="C910" s="102">
        <v>3225</v>
      </c>
      <c r="D910" s="102">
        <f>Table22[[#This Row],[CURRENT]]-Table22[[#This Row],[IDEAL]]</f>
        <v>-355</v>
      </c>
    </row>
    <row r="911" spans="1:4" x14ac:dyDescent="0.25">
      <c r="A911" t="s">
        <v>17543</v>
      </c>
      <c r="B911" s="102">
        <v>2374</v>
      </c>
      <c r="C911" s="102">
        <v>2729</v>
      </c>
      <c r="D911" s="102">
        <f>Table22[[#This Row],[CURRENT]]-Table22[[#This Row],[IDEAL]]</f>
        <v>-355</v>
      </c>
    </row>
    <row r="912" spans="1:4" x14ac:dyDescent="0.25">
      <c r="A912" t="s">
        <v>16251</v>
      </c>
      <c r="B912" s="102">
        <v>2600</v>
      </c>
      <c r="C912" s="102">
        <v>2955</v>
      </c>
      <c r="D912" s="102">
        <f>Table22[[#This Row],[CURRENT]]-Table22[[#This Row],[IDEAL]]</f>
        <v>-355</v>
      </c>
    </row>
    <row r="913" spans="1:4" x14ac:dyDescent="0.25">
      <c r="A913" t="s">
        <v>16083</v>
      </c>
      <c r="B913" s="102">
        <v>3189</v>
      </c>
      <c r="C913" s="102">
        <v>3544</v>
      </c>
      <c r="D913" s="102">
        <f>Table22[[#This Row],[CURRENT]]-Table22[[#This Row],[IDEAL]]</f>
        <v>-355</v>
      </c>
    </row>
    <row r="914" spans="1:4" x14ac:dyDescent="0.25">
      <c r="A914" t="s">
        <v>14786</v>
      </c>
      <c r="B914" s="102">
        <v>1611</v>
      </c>
      <c r="C914" s="102">
        <v>1965</v>
      </c>
      <c r="D914" s="102">
        <f>Table22[[#This Row],[CURRENT]]-Table22[[#This Row],[IDEAL]]</f>
        <v>-354</v>
      </c>
    </row>
    <row r="915" spans="1:4" x14ac:dyDescent="0.25">
      <c r="A915" t="s">
        <v>17494</v>
      </c>
      <c r="B915" s="102">
        <v>2173</v>
      </c>
      <c r="C915" s="102">
        <v>2527</v>
      </c>
      <c r="D915" s="102">
        <f>Table22[[#This Row],[CURRENT]]-Table22[[#This Row],[IDEAL]]</f>
        <v>-354</v>
      </c>
    </row>
    <row r="916" spans="1:4" x14ac:dyDescent="0.25">
      <c r="A916" t="s">
        <v>16438</v>
      </c>
      <c r="B916" s="102">
        <v>2000</v>
      </c>
      <c r="C916" s="102">
        <v>2354</v>
      </c>
      <c r="D916" s="102">
        <f>Table22[[#This Row],[CURRENT]]-Table22[[#This Row],[IDEAL]]</f>
        <v>-354</v>
      </c>
    </row>
    <row r="917" spans="1:4" x14ac:dyDescent="0.25">
      <c r="A917" t="s">
        <v>16088</v>
      </c>
      <c r="B917" s="102">
        <v>3178</v>
      </c>
      <c r="C917" s="102">
        <v>3532</v>
      </c>
      <c r="D917" s="102">
        <f>Table22[[#This Row],[CURRENT]]-Table22[[#This Row],[IDEAL]]</f>
        <v>-354</v>
      </c>
    </row>
    <row r="918" spans="1:4" x14ac:dyDescent="0.25">
      <c r="A918" t="s">
        <v>16085</v>
      </c>
      <c r="B918" s="102">
        <v>3184</v>
      </c>
      <c r="C918" s="102">
        <v>3538</v>
      </c>
      <c r="D918" s="102">
        <f>Table22[[#This Row],[CURRENT]]-Table22[[#This Row],[IDEAL]]</f>
        <v>-354</v>
      </c>
    </row>
    <row r="919" spans="1:4" x14ac:dyDescent="0.25">
      <c r="A919" t="s">
        <v>15383</v>
      </c>
      <c r="B919" s="102">
        <v>2168</v>
      </c>
      <c r="C919" s="102">
        <v>2521</v>
      </c>
      <c r="D919" s="102">
        <f>Table22[[#This Row],[CURRENT]]-Table22[[#This Row],[IDEAL]]</f>
        <v>-353</v>
      </c>
    </row>
    <row r="920" spans="1:4" x14ac:dyDescent="0.25">
      <c r="A920" t="s">
        <v>17572</v>
      </c>
      <c r="B920" s="102">
        <v>2167</v>
      </c>
      <c r="C920" s="102">
        <v>2520</v>
      </c>
      <c r="D920" s="102">
        <f>Table22[[#This Row],[CURRENT]]-Table22[[#This Row],[IDEAL]]</f>
        <v>-353</v>
      </c>
    </row>
    <row r="921" spans="1:4" x14ac:dyDescent="0.25">
      <c r="A921" t="s">
        <v>15614</v>
      </c>
      <c r="B921" s="102">
        <v>1496</v>
      </c>
      <c r="C921" s="102">
        <v>1848</v>
      </c>
      <c r="D921" s="102">
        <f>Table22[[#This Row],[CURRENT]]-Table22[[#This Row],[IDEAL]]</f>
        <v>-352</v>
      </c>
    </row>
    <row r="922" spans="1:4" x14ac:dyDescent="0.25">
      <c r="A922" t="s">
        <v>14724</v>
      </c>
      <c r="B922" s="102">
        <v>1716</v>
      </c>
      <c r="C922" s="102">
        <v>2068</v>
      </c>
      <c r="D922" s="102">
        <f>Table22[[#This Row],[CURRENT]]-Table22[[#This Row],[IDEAL]]</f>
        <v>-352</v>
      </c>
    </row>
    <row r="923" spans="1:4" x14ac:dyDescent="0.25">
      <c r="A923" t="s">
        <v>13897</v>
      </c>
      <c r="B923" s="102">
        <v>3163</v>
      </c>
      <c r="C923" s="102">
        <v>3515</v>
      </c>
      <c r="D923" s="102">
        <f>Table22[[#This Row],[CURRENT]]-Table22[[#This Row],[IDEAL]]</f>
        <v>-352</v>
      </c>
    </row>
    <row r="924" spans="1:4" x14ac:dyDescent="0.25">
      <c r="A924" t="s">
        <v>18062</v>
      </c>
      <c r="B924" s="102">
        <v>1991</v>
      </c>
      <c r="C924" s="102">
        <v>2343</v>
      </c>
      <c r="D924" s="102">
        <f>Table22[[#This Row],[CURRENT]]-Table22[[#This Row],[IDEAL]]</f>
        <v>-352</v>
      </c>
    </row>
    <row r="925" spans="1:4" x14ac:dyDescent="0.25">
      <c r="A925" t="s">
        <v>16441</v>
      </c>
      <c r="B925" s="102">
        <v>1989</v>
      </c>
      <c r="C925" s="102">
        <v>2341</v>
      </c>
      <c r="D925" s="102">
        <f>Table22[[#This Row],[CURRENT]]-Table22[[#This Row],[IDEAL]]</f>
        <v>-352</v>
      </c>
    </row>
    <row r="926" spans="1:4" x14ac:dyDescent="0.25">
      <c r="A926" t="s">
        <v>16381</v>
      </c>
      <c r="B926" s="102">
        <v>2158</v>
      </c>
      <c r="C926" s="102">
        <v>2510</v>
      </c>
      <c r="D926" s="102">
        <f>Table22[[#This Row],[CURRENT]]-Table22[[#This Row],[IDEAL]]</f>
        <v>-352</v>
      </c>
    </row>
    <row r="927" spans="1:4" x14ac:dyDescent="0.25">
      <c r="A927" t="s">
        <v>16188</v>
      </c>
      <c r="B927" s="102">
        <v>2847</v>
      </c>
      <c r="C927" s="102">
        <v>3199</v>
      </c>
      <c r="D927" s="102">
        <f>Table22[[#This Row],[CURRENT]]-Table22[[#This Row],[IDEAL]]</f>
        <v>-352</v>
      </c>
    </row>
    <row r="928" spans="1:4" x14ac:dyDescent="0.25">
      <c r="A928" t="s">
        <v>14249</v>
      </c>
      <c r="B928" s="102">
        <v>3159</v>
      </c>
      <c r="C928" s="102">
        <v>3510</v>
      </c>
      <c r="D928" s="102">
        <f>Table22[[#This Row],[CURRENT]]-Table22[[#This Row],[IDEAL]]</f>
        <v>-351</v>
      </c>
    </row>
    <row r="929" spans="1:4" x14ac:dyDescent="0.25">
      <c r="A929" t="s">
        <v>14746</v>
      </c>
      <c r="B929" s="102">
        <v>1986</v>
      </c>
      <c r="C929" s="102">
        <v>2337</v>
      </c>
      <c r="D929" s="102">
        <f>Table22[[#This Row],[CURRENT]]-Table22[[#This Row],[IDEAL]]</f>
        <v>-351</v>
      </c>
    </row>
    <row r="930" spans="1:4" x14ac:dyDescent="0.25">
      <c r="A930" t="s">
        <v>14816</v>
      </c>
      <c r="B930" s="102">
        <v>1984</v>
      </c>
      <c r="C930" s="102">
        <v>2335</v>
      </c>
      <c r="D930" s="102">
        <f>Table22[[#This Row],[CURRENT]]-Table22[[#This Row],[IDEAL]]</f>
        <v>-351</v>
      </c>
    </row>
    <row r="931" spans="1:4" x14ac:dyDescent="0.25">
      <c r="A931" t="s">
        <v>17825</v>
      </c>
      <c r="B931" s="102">
        <v>1404</v>
      </c>
      <c r="C931" s="102">
        <v>1755</v>
      </c>
      <c r="D931" s="102">
        <f>Table22[[#This Row],[CURRENT]]-Table22[[#This Row],[IDEAL]]</f>
        <v>-351</v>
      </c>
    </row>
    <row r="932" spans="1:4" x14ac:dyDescent="0.25">
      <c r="A932" t="s">
        <v>16566</v>
      </c>
      <c r="B932" s="102">
        <v>1494</v>
      </c>
      <c r="C932" s="102">
        <v>1845</v>
      </c>
      <c r="D932" s="102">
        <f>Table22[[#This Row],[CURRENT]]-Table22[[#This Row],[IDEAL]]</f>
        <v>-351</v>
      </c>
    </row>
    <row r="933" spans="1:4" x14ac:dyDescent="0.25">
      <c r="A933" t="s">
        <v>15618</v>
      </c>
      <c r="B933" s="102">
        <v>1489</v>
      </c>
      <c r="C933" s="102">
        <v>1839</v>
      </c>
      <c r="D933" s="102">
        <f>Table22[[#This Row],[CURRENT]]-Table22[[#This Row],[IDEAL]]</f>
        <v>-350</v>
      </c>
    </row>
    <row r="934" spans="1:4" x14ac:dyDescent="0.25">
      <c r="A934" t="s">
        <v>17113</v>
      </c>
      <c r="B934" s="102">
        <v>2825</v>
      </c>
      <c r="C934" s="102">
        <v>3175</v>
      </c>
      <c r="D934" s="102">
        <f>Table22[[#This Row],[CURRENT]]-Table22[[#This Row],[IDEAL]]</f>
        <v>-350</v>
      </c>
    </row>
    <row r="935" spans="1:4" x14ac:dyDescent="0.25">
      <c r="A935" t="s">
        <v>13717</v>
      </c>
      <c r="B935" s="102">
        <v>3141</v>
      </c>
      <c r="C935" s="102">
        <v>3490</v>
      </c>
      <c r="D935" s="102">
        <f>Table22[[#This Row],[CURRENT]]-Table22[[#This Row],[IDEAL]]</f>
        <v>-349</v>
      </c>
    </row>
    <row r="936" spans="1:4" x14ac:dyDescent="0.25">
      <c r="A936" t="s">
        <v>17075</v>
      </c>
      <c r="B936" s="102">
        <v>1831</v>
      </c>
      <c r="C936" s="102">
        <v>2180</v>
      </c>
      <c r="D936" s="102">
        <f>Table22[[#This Row],[CURRENT]]-Table22[[#This Row],[IDEAL]]</f>
        <v>-349</v>
      </c>
    </row>
    <row r="937" spans="1:4" x14ac:dyDescent="0.25">
      <c r="A937" t="s">
        <v>16263</v>
      </c>
      <c r="B937" s="102">
        <v>2559</v>
      </c>
      <c r="C937" s="102">
        <v>2908</v>
      </c>
      <c r="D937" s="102">
        <f>Table22[[#This Row],[CURRENT]]-Table22[[#This Row],[IDEAL]]</f>
        <v>-349</v>
      </c>
    </row>
    <row r="938" spans="1:4" x14ac:dyDescent="0.25">
      <c r="A938" t="s">
        <v>14698</v>
      </c>
      <c r="B938" s="102">
        <v>1480</v>
      </c>
      <c r="C938" s="102">
        <v>1828</v>
      </c>
      <c r="D938" s="102">
        <f>Table22[[#This Row],[CURRENT]]-Table22[[#This Row],[IDEAL]]</f>
        <v>-348</v>
      </c>
    </row>
    <row r="939" spans="1:4" x14ac:dyDescent="0.25">
      <c r="A939" t="s">
        <v>14362</v>
      </c>
      <c r="B939" s="102">
        <v>2545</v>
      </c>
      <c r="C939" s="102">
        <v>2893</v>
      </c>
      <c r="D939" s="102">
        <f>Table22[[#This Row],[CURRENT]]-Table22[[#This Row],[IDEAL]]</f>
        <v>-348</v>
      </c>
    </row>
    <row r="940" spans="1:4" x14ac:dyDescent="0.25">
      <c r="A940" t="s">
        <v>17057</v>
      </c>
      <c r="B940" s="102">
        <v>2133</v>
      </c>
      <c r="C940" s="102">
        <v>2481</v>
      </c>
      <c r="D940" s="102">
        <f>Table22[[#This Row],[CURRENT]]-Table22[[#This Row],[IDEAL]]</f>
        <v>-348</v>
      </c>
    </row>
    <row r="941" spans="1:4" x14ac:dyDescent="0.25">
      <c r="A941" t="s">
        <v>13712</v>
      </c>
      <c r="B941" s="102">
        <v>1818</v>
      </c>
      <c r="C941" s="102">
        <v>2165</v>
      </c>
      <c r="D941" s="102">
        <f>Table22[[#This Row],[CURRENT]]-Table22[[#This Row],[IDEAL]]</f>
        <v>-347</v>
      </c>
    </row>
    <row r="942" spans="1:4" x14ac:dyDescent="0.25">
      <c r="A942" t="s">
        <v>15510</v>
      </c>
      <c r="B942" s="102">
        <v>1811</v>
      </c>
      <c r="C942" s="102">
        <v>2157</v>
      </c>
      <c r="D942" s="102">
        <f>Table22[[#This Row],[CURRENT]]-Table22[[#This Row],[IDEAL]]</f>
        <v>-346</v>
      </c>
    </row>
    <row r="943" spans="1:4" x14ac:dyDescent="0.25">
      <c r="A943" t="s">
        <v>14722</v>
      </c>
      <c r="B943" s="102">
        <v>1687</v>
      </c>
      <c r="C943" s="102">
        <v>2033</v>
      </c>
      <c r="D943" s="102">
        <f>Table22[[#This Row],[CURRENT]]-Table22[[#This Row],[IDEAL]]</f>
        <v>-346</v>
      </c>
    </row>
    <row r="944" spans="1:4" x14ac:dyDescent="0.25">
      <c r="A944" t="s">
        <v>13656</v>
      </c>
      <c r="B944" s="102">
        <v>3105</v>
      </c>
      <c r="C944" s="102">
        <v>3450</v>
      </c>
      <c r="D944" s="102">
        <f>Table22[[#This Row],[CURRENT]]-Table22[[#This Row],[IDEAL]]</f>
        <v>-345</v>
      </c>
    </row>
    <row r="945" spans="1:4" x14ac:dyDescent="0.25">
      <c r="A945" t="s">
        <v>16392</v>
      </c>
      <c r="B945" s="102">
        <v>2118</v>
      </c>
      <c r="C945" s="102">
        <v>2463</v>
      </c>
      <c r="D945" s="102">
        <f>Table22[[#This Row],[CURRENT]]-Table22[[#This Row],[IDEAL]]</f>
        <v>-345</v>
      </c>
    </row>
    <row r="946" spans="1:4" x14ac:dyDescent="0.25">
      <c r="A946" t="s">
        <v>15023</v>
      </c>
      <c r="B946" s="102">
        <v>1376</v>
      </c>
      <c r="C946" s="102">
        <v>1720</v>
      </c>
      <c r="D946" s="102">
        <f>Table22[[#This Row],[CURRENT]]-Table22[[#This Row],[IDEAL]]</f>
        <v>-344</v>
      </c>
    </row>
    <row r="947" spans="1:4" x14ac:dyDescent="0.25">
      <c r="A947" t="s">
        <v>14354</v>
      </c>
      <c r="B947" s="102">
        <v>2518</v>
      </c>
      <c r="C947" s="102">
        <v>2862</v>
      </c>
      <c r="D947" s="102">
        <f>Table22[[#This Row],[CURRENT]]-Table22[[#This Row],[IDEAL]]</f>
        <v>-344</v>
      </c>
    </row>
    <row r="948" spans="1:4" x14ac:dyDescent="0.25">
      <c r="A948" t="s">
        <v>16200</v>
      </c>
      <c r="B948" s="102">
        <v>2778</v>
      </c>
      <c r="C948" s="102">
        <v>3122</v>
      </c>
      <c r="D948" s="102">
        <f>Table22[[#This Row],[CURRENT]]-Table22[[#This Row],[IDEAL]]</f>
        <v>-344</v>
      </c>
    </row>
    <row r="949" spans="1:4" x14ac:dyDescent="0.25">
      <c r="A949" t="s">
        <v>15641</v>
      </c>
      <c r="B949" s="102">
        <v>1369</v>
      </c>
      <c r="C949" s="102">
        <v>1712</v>
      </c>
      <c r="D949" s="102">
        <f>Table22[[#This Row],[CURRENT]]-Table22[[#This Row],[IDEAL]]</f>
        <v>-343</v>
      </c>
    </row>
    <row r="950" spans="1:4" x14ac:dyDescent="0.25">
      <c r="A950" t="s">
        <v>15520</v>
      </c>
      <c r="B950" s="102">
        <v>1795</v>
      </c>
      <c r="C950" s="102">
        <v>2138</v>
      </c>
      <c r="D950" s="102">
        <f>Table22[[#This Row],[CURRENT]]-Table22[[#This Row],[IDEAL]]</f>
        <v>-343</v>
      </c>
    </row>
    <row r="951" spans="1:4" x14ac:dyDescent="0.25">
      <c r="A951" t="s">
        <v>14859</v>
      </c>
      <c r="B951" s="102">
        <v>2511</v>
      </c>
      <c r="C951" s="102">
        <v>2854</v>
      </c>
      <c r="D951" s="102">
        <f>Table22[[#This Row],[CURRENT]]-Table22[[#This Row],[IDEAL]]</f>
        <v>-343</v>
      </c>
    </row>
    <row r="952" spans="1:4" x14ac:dyDescent="0.25">
      <c r="A952" t="s">
        <v>13443</v>
      </c>
      <c r="B952" s="102">
        <v>2769</v>
      </c>
      <c r="C952" s="102">
        <v>3112</v>
      </c>
      <c r="D952" s="102">
        <f>Table22[[#This Row],[CURRENT]]-Table22[[#This Row],[IDEAL]]</f>
        <v>-343</v>
      </c>
    </row>
    <row r="953" spans="1:4" x14ac:dyDescent="0.25">
      <c r="A953" t="s">
        <v>13572</v>
      </c>
      <c r="B953" s="102">
        <v>2770</v>
      </c>
      <c r="C953" s="102">
        <v>3113</v>
      </c>
      <c r="D953" s="102">
        <f>Table22[[#This Row],[CURRENT]]-Table22[[#This Row],[IDEAL]]</f>
        <v>-343</v>
      </c>
    </row>
    <row r="954" spans="1:4" x14ac:dyDescent="0.25">
      <c r="A954" t="s">
        <v>17066</v>
      </c>
      <c r="B954" s="102">
        <v>1941</v>
      </c>
      <c r="C954" s="102">
        <v>2284</v>
      </c>
      <c r="D954" s="102">
        <f>Table22[[#This Row],[CURRENT]]-Table22[[#This Row],[IDEAL]]</f>
        <v>-343</v>
      </c>
    </row>
    <row r="955" spans="1:4" x14ac:dyDescent="0.25">
      <c r="A955" t="s">
        <v>16201</v>
      </c>
      <c r="B955" s="102">
        <v>2771</v>
      </c>
      <c r="C955" s="102">
        <v>3114</v>
      </c>
      <c r="D955" s="102">
        <f>Table22[[#This Row],[CURRENT]]-Table22[[#This Row],[IDEAL]]</f>
        <v>-343</v>
      </c>
    </row>
    <row r="956" spans="1:4" x14ac:dyDescent="0.25">
      <c r="A956" t="s">
        <v>12549</v>
      </c>
      <c r="B956" s="102">
        <v>1458</v>
      </c>
      <c r="C956" s="102">
        <v>1800</v>
      </c>
      <c r="D956" s="102">
        <f>Table22[[#This Row],[CURRENT]]-Table22[[#This Row],[IDEAL]]</f>
        <v>-342</v>
      </c>
    </row>
    <row r="957" spans="1:4" x14ac:dyDescent="0.25">
      <c r="A957" t="s">
        <v>14727</v>
      </c>
      <c r="B957" s="102">
        <v>1795</v>
      </c>
      <c r="C957" s="102">
        <v>2137</v>
      </c>
      <c r="D957" s="102">
        <f>Table22[[#This Row],[CURRENT]]-Table22[[#This Row],[IDEAL]]</f>
        <v>-342</v>
      </c>
    </row>
    <row r="958" spans="1:4" x14ac:dyDescent="0.25">
      <c r="A958" t="s">
        <v>13738</v>
      </c>
      <c r="B958" s="102">
        <v>3072</v>
      </c>
      <c r="C958" s="102">
        <v>3414</v>
      </c>
      <c r="D958" s="102">
        <f>Table22[[#This Row],[CURRENT]]-Table22[[#This Row],[IDEAL]]</f>
        <v>-342</v>
      </c>
    </row>
    <row r="959" spans="1:4" x14ac:dyDescent="0.25">
      <c r="A959" t="s">
        <v>13663</v>
      </c>
      <c r="B959" s="102">
        <v>2767</v>
      </c>
      <c r="C959" s="102">
        <v>3109</v>
      </c>
      <c r="D959" s="102">
        <f>Table22[[#This Row],[CURRENT]]-Table22[[#This Row],[IDEAL]]</f>
        <v>-342</v>
      </c>
    </row>
    <row r="960" spans="1:4" x14ac:dyDescent="0.25">
      <c r="A960" t="s">
        <v>13737</v>
      </c>
      <c r="B960" s="102">
        <v>3075</v>
      </c>
      <c r="C960" s="102">
        <v>3417</v>
      </c>
      <c r="D960" s="102">
        <f>Table22[[#This Row],[CURRENT]]-Table22[[#This Row],[IDEAL]]</f>
        <v>-342</v>
      </c>
    </row>
    <row r="961" spans="1:4" x14ac:dyDescent="0.25">
      <c r="A961" t="s">
        <v>16580</v>
      </c>
      <c r="B961" s="102">
        <v>1365</v>
      </c>
      <c r="C961" s="102">
        <v>1707</v>
      </c>
      <c r="D961" s="102">
        <f>Table22[[#This Row],[CURRENT]]-Table22[[#This Row],[IDEAL]]</f>
        <v>-342</v>
      </c>
    </row>
    <row r="962" spans="1:4" x14ac:dyDescent="0.25">
      <c r="A962" t="s">
        <v>14843</v>
      </c>
      <c r="B962" s="102">
        <v>1789</v>
      </c>
      <c r="C962" s="102">
        <v>2130</v>
      </c>
      <c r="D962" s="102">
        <f>Table22[[#This Row],[CURRENT]]-Table22[[#This Row],[IDEAL]]</f>
        <v>-341</v>
      </c>
    </row>
    <row r="963" spans="1:4" x14ac:dyDescent="0.25">
      <c r="A963" t="s">
        <v>13808</v>
      </c>
      <c r="B963" s="102">
        <v>3067</v>
      </c>
      <c r="C963" s="102">
        <v>3408</v>
      </c>
      <c r="D963" s="102">
        <f>Table22[[#This Row],[CURRENT]]-Table22[[#This Row],[IDEAL]]</f>
        <v>-341</v>
      </c>
    </row>
    <row r="964" spans="1:4" x14ac:dyDescent="0.25">
      <c r="A964" t="s">
        <v>13500</v>
      </c>
      <c r="B964" s="102">
        <v>1931</v>
      </c>
      <c r="C964" s="102">
        <v>2272</v>
      </c>
      <c r="D964" s="102">
        <f>Table22[[#This Row],[CURRENT]]-Table22[[#This Row],[IDEAL]]</f>
        <v>-341</v>
      </c>
    </row>
    <row r="965" spans="1:4" x14ac:dyDescent="0.25">
      <c r="A965" t="s">
        <v>13466</v>
      </c>
      <c r="B965" s="102">
        <v>2089</v>
      </c>
      <c r="C965" s="102">
        <v>2430</v>
      </c>
      <c r="D965" s="102">
        <f>Table22[[#This Row],[CURRENT]]-Table22[[#This Row],[IDEAL]]</f>
        <v>-341</v>
      </c>
    </row>
    <row r="966" spans="1:4" x14ac:dyDescent="0.25">
      <c r="A966" t="s">
        <v>16208</v>
      </c>
      <c r="B966" s="102">
        <v>2753</v>
      </c>
      <c r="C966" s="102">
        <v>3094</v>
      </c>
      <c r="D966" s="102">
        <f>Table22[[#This Row],[CURRENT]]-Table22[[#This Row],[IDEAL]]</f>
        <v>-341</v>
      </c>
    </row>
    <row r="967" spans="1:4" x14ac:dyDescent="0.25">
      <c r="A967" t="s">
        <v>14766</v>
      </c>
      <c r="B967" s="102">
        <v>1660</v>
      </c>
      <c r="C967" s="102">
        <v>2000</v>
      </c>
      <c r="D967" s="102">
        <f>Table22[[#This Row],[CURRENT]]-Table22[[#This Row],[IDEAL]]</f>
        <v>-340</v>
      </c>
    </row>
    <row r="968" spans="1:4" x14ac:dyDescent="0.25">
      <c r="A968" t="s">
        <v>17464</v>
      </c>
      <c r="B968" s="102">
        <v>2274</v>
      </c>
      <c r="C968" s="102">
        <v>2614</v>
      </c>
      <c r="D968" s="102">
        <f>Table22[[#This Row],[CURRENT]]-Table22[[#This Row],[IDEAL]]</f>
        <v>-340</v>
      </c>
    </row>
    <row r="969" spans="1:4" x14ac:dyDescent="0.25">
      <c r="A969" t="s">
        <v>18046</v>
      </c>
      <c r="B969" s="102">
        <v>1445</v>
      </c>
      <c r="C969" s="102">
        <v>1785</v>
      </c>
      <c r="D969" s="102">
        <f>Table22[[#This Row],[CURRENT]]-Table22[[#This Row],[IDEAL]]</f>
        <v>-340</v>
      </c>
    </row>
    <row r="970" spans="1:4" x14ac:dyDescent="0.25">
      <c r="A970" t="s">
        <v>16132</v>
      </c>
      <c r="B970" s="102">
        <v>3054</v>
      </c>
      <c r="C970" s="102">
        <v>3394</v>
      </c>
      <c r="D970" s="102">
        <f>Table22[[#This Row],[CURRENT]]-Table22[[#This Row],[IDEAL]]</f>
        <v>-340</v>
      </c>
    </row>
    <row r="971" spans="1:4" x14ac:dyDescent="0.25">
      <c r="A971" t="s">
        <v>17137</v>
      </c>
      <c r="B971" s="102">
        <v>3048</v>
      </c>
      <c r="C971" s="102">
        <v>3387</v>
      </c>
      <c r="D971" s="102">
        <f>Table22[[#This Row],[CURRENT]]-Table22[[#This Row],[IDEAL]]</f>
        <v>-339</v>
      </c>
    </row>
    <row r="972" spans="1:4" x14ac:dyDescent="0.25">
      <c r="A972" t="s">
        <v>17080</v>
      </c>
      <c r="B972" s="102">
        <v>3051</v>
      </c>
      <c r="C972" s="102">
        <v>3390</v>
      </c>
      <c r="D972" s="102">
        <f>Table22[[#This Row],[CURRENT]]-Table22[[#This Row],[IDEAL]]</f>
        <v>-339</v>
      </c>
    </row>
    <row r="973" spans="1:4" x14ac:dyDescent="0.25">
      <c r="A973" t="s">
        <v>16571</v>
      </c>
      <c r="B973" s="102">
        <v>1442</v>
      </c>
      <c r="C973" s="102">
        <v>1781</v>
      </c>
      <c r="D973" s="102">
        <f>Table22[[#This Row],[CURRENT]]-Table22[[#This Row],[IDEAL]]</f>
        <v>-339</v>
      </c>
    </row>
    <row r="974" spans="1:4" x14ac:dyDescent="0.25">
      <c r="A974" t="s">
        <v>13844</v>
      </c>
      <c r="B974" s="102">
        <v>3019</v>
      </c>
      <c r="C974" s="102">
        <v>3355</v>
      </c>
      <c r="D974" s="102">
        <f>Table22[[#This Row],[CURRENT]]-Table22[[#This Row],[IDEAL]]</f>
        <v>-336</v>
      </c>
    </row>
    <row r="975" spans="1:4" x14ac:dyDescent="0.25">
      <c r="A975" t="s">
        <v>17471</v>
      </c>
      <c r="B975" s="102">
        <v>2063</v>
      </c>
      <c r="C975" s="102">
        <v>2399</v>
      </c>
      <c r="D975" s="102">
        <f>Table22[[#This Row],[CURRENT]]-Table22[[#This Row],[IDEAL]]</f>
        <v>-336</v>
      </c>
    </row>
    <row r="976" spans="1:4" x14ac:dyDescent="0.25">
      <c r="A976" t="s">
        <v>16145</v>
      </c>
      <c r="B976" s="102">
        <v>3021</v>
      </c>
      <c r="C976" s="102">
        <v>3357</v>
      </c>
      <c r="D976" s="102">
        <f>Table22[[#This Row],[CURRENT]]-Table22[[#This Row],[IDEAL]]</f>
        <v>-336</v>
      </c>
    </row>
    <row r="977" spans="1:4" x14ac:dyDescent="0.25">
      <c r="A977" t="s">
        <v>17049</v>
      </c>
      <c r="B977" s="102">
        <v>1896</v>
      </c>
      <c r="C977" s="102">
        <v>2231</v>
      </c>
      <c r="D977" s="102">
        <f>Table22[[#This Row],[CURRENT]]-Table22[[#This Row],[IDEAL]]</f>
        <v>-335</v>
      </c>
    </row>
    <row r="978" spans="1:4" x14ac:dyDescent="0.25">
      <c r="A978" t="s">
        <v>16543</v>
      </c>
      <c r="B978" s="102">
        <v>1631</v>
      </c>
      <c r="C978" s="102">
        <v>1966</v>
      </c>
      <c r="D978" s="102">
        <f>Table22[[#This Row],[CURRENT]]-Table22[[#This Row],[IDEAL]]</f>
        <v>-335</v>
      </c>
    </row>
    <row r="979" spans="1:4" x14ac:dyDescent="0.25">
      <c r="A979" t="s">
        <v>12495</v>
      </c>
      <c r="B979" s="102">
        <v>2998</v>
      </c>
      <c r="C979" s="102">
        <v>3332</v>
      </c>
      <c r="D979" s="102">
        <f>Table22[[#This Row],[CURRENT]]-Table22[[#This Row],[IDEAL]]</f>
        <v>-334</v>
      </c>
    </row>
    <row r="980" spans="1:4" x14ac:dyDescent="0.25">
      <c r="A980" t="s">
        <v>16293</v>
      </c>
      <c r="B980" s="102">
        <v>2443</v>
      </c>
      <c r="C980" s="102">
        <v>2777</v>
      </c>
      <c r="D980" s="102">
        <f>Table22[[#This Row],[CURRENT]]-Table22[[#This Row],[IDEAL]]</f>
        <v>-334</v>
      </c>
    </row>
    <row r="981" spans="1:4" x14ac:dyDescent="0.25">
      <c r="A981" t="s">
        <v>15612</v>
      </c>
      <c r="B981" s="102">
        <v>1516</v>
      </c>
      <c r="C981" s="102">
        <v>1849</v>
      </c>
      <c r="D981" s="102">
        <f>Table22[[#This Row],[CURRENT]]-Table22[[#This Row],[IDEAL]]</f>
        <v>-333</v>
      </c>
    </row>
    <row r="982" spans="1:4" x14ac:dyDescent="0.25">
      <c r="A982" t="s">
        <v>15546</v>
      </c>
      <c r="B982" s="102">
        <v>1748</v>
      </c>
      <c r="C982" s="102">
        <v>2081</v>
      </c>
      <c r="D982" s="102">
        <f>Table22[[#This Row],[CURRENT]]-Table22[[#This Row],[IDEAL]]</f>
        <v>-333</v>
      </c>
    </row>
    <row r="983" spans="1:4" x14ac:dyDescent="0.25">
      <c r="A983" t="s">
        <v>15547</v>
      </c>
      <c r="B983" s="102">
        <v>1744</v>
      </c>
      <c r="C983" s="102">
        <v>2077</v>
      </c>
      <c r="D983" s="102">
        <f>Table22[[#This Row],[CURRENT]]-Table22[[#This Row],[IDEAL]]</f>
        <v>-333</v>
      </c>
    </row>
    <row r="984" spans="1:4" x14ac:dyDescent="0.25">
      <c r="A984" t="s">
        <v>14340</v>
      </c>
      <c r="B984" s="102">
        <v>2441</v>
      </c>
      <c r="C984" s="102">
        <v>2774</v>
      </c>
      <c r="D984" s="102">
        <f>Table22[[#This Row],[CURRENT]]-Table22[[#This Row],[IDEAL]]</f>
        <v>-333</v>
      </c>
    </row>
    <row r="985" spans="1:4" x14ac:dyDescent="0.25">
      <c r="A985" t="s">
        <v>14718</v>
      </c>
      <c r="B985" s="102">
        <v>1512</v>
      </c>
      <c r="C985" s="102">
        <v>1845</v>
      </c>
      <c r="D985" s="102">
        <f>Table22[[#This Row],[CURRENT]]-Table22[[#This Row],[IDEAL]]</f>
        <v>-333</v>
      </c>
    </row>
    <row r="986" spans="1:4" x14ac:dyDescent="0.25">
      <c r="A986" t="s">
        <v>14666</v>
      </c>
      <c r="B986" s="102">
        <v>1417</v>
      </c>
      <c r="C986" s="102">
        <v>1750</v>
      </c>
      <c r="D986" s="102">
        <f>Table22[[#This Row],[CURRENT]]-Table22[[#This Row],[IDEAL]]</f>
        <v>-333</v>
      </c>
    </row>
    <row r="987" spans="1:4" x14ac:dyDescent="0.25">
      <c r="A987" t="s">
        <v>13528</v>
      </c>
      <c r="B987" s="102">
        <v>1416</v>
      </c>
      <c r="C987" s="102">
        <v>1749</v>
      </c>
      <c r="D987" s="102">
        <f>Table22[[#This Row],[CURRENT]]-Table22[[#This Row],[IDEAL]]</f>
        <v>-333</v>
      </c>
    </row>
    <row r="988" spans="1:4" x14ac:dyDescent="0.25">
      <c r="A988" t="s">
        <v>13407</v>
      </c>
      <c r="B988" s="102">
        <v>1884</v>
      </c>
      <c r="C988" s="102">
        <v>2217</v>
      </c>
      <c r="D988" s="102">
        <f>Table22[[#This Row],[CURRENT]]-Table22[[#This Row],[IDEAL]]</f>
        <v>-333</v>
      </c>
    </row>
    <row r="989" spans="1:4" x14ac:dyDescent="0.25">
      <c r="A989" t="s">
        <v>17060</v>
      </c>
      <c r="B989" s="102">
        <v>2437</v>
      </c>
      <c r="C989" s="102">
        <v>2770</v>
      </c>
      <c r="D989" s="102">
        <f>Table22[[#This Row],[CURRENT]]-Table22[[#This Row],[IDEAL]]</f>
        <v>-333</v>
      </c>
    </row>
    <row r="990" spans="1:4" x14ac:dyDescent="0.25">
      <c r="A990" t="s">
        <v>17849</v>
      </c>
      <c r="B990" s="102">
        <v>1419</v>
      </c>
      <c r="C990" s="102">
        <v>1752</v>
      </c>
      <c r="D990" s="102">
        <f>Table22[[#This Row],[CURRENT]]-Table22[[#This Row],[IDEAL]]</f>
        <v>-333</v>
      </c>
    </row>
    <row r="991" spans="1:4" x14ac:dyDescent="0.25">
      <c r="A991" t="s">
        <v>17518</v>
      </c>
      <c r="B991" s="102">
        <v>2973</v>
      </c>
      <c r="C991" s="102">
        <v>3304</v>
      </c>
      <c r="D991" s="102">
        <f>Table22[[#This Row],[CURRENT]]-Table22[[#This Row],[IDEAL]]</f>
        <v>-331</v>
      </c>
    </row>
    <row r="992" spans="1:4" x14ac:dyDescent="0.25">
      <c r="A992" t="s">
        <v>17167</v>
      </c>
      <c r="B992" s="102">
        <v>1611</v>
      </c>
      <c r="C992" s="102">
        <v>1942</v>
      </c>
      <c r="D992" s="102">
        <f>Table22[[#This Row],[CURRENT]]-Table22[[#This Row],[IDEAL]]</f>
        <v>-331</v>
      </c>
    </row>
    <row r="993" spans="1:4" x14ac:dyDescent="0.25">
      <c r="A993" t="s">
        <v>16368</v>
      </c>
      <c r="B993" s="102">
        <v>2209</v>
      </c>
      <c r="C993" s="102">
        <v>2540</v>
      </c>
      <c r="D993" s="102">
        <f>Table22[[#This Row],[CURRENT]]-Table22[[#This Row],[IDEAL]]</f>
        <v>-331</v>
      </c>
    </row>
    <row r="994" spans="1:4" x14ac:dyDescent="0.25">
      <c r="A994" t="s">
        <v>15425</v>
      </c>
      <c r="B994" s="102">
        <v>2026</v>
      </c>
      <c r="C994" s="102">
        <v>2356</v>
      </c>
      <c r="D994" s="102">
        <f>Table22[[#This Row],[CURRENT]]-Table22[[#This Row],[IDEAL]]</f>
        <v>-330</v>
      </c>
    </row>
    <row r="995" spans="1:4" x14ac:dyDescent="0.25">
      <c r="A995" t="s">
        <v>14790</v>
      </c>
      <c r="B995" s="102">
        <v>2670</v>
      </c>
      <c r="C995" s="102">
        <v>3000</v>
      </c>
      <c r="D995" s="102">
        <f>Table22[[#This Row],[CURRENT]]-Table22[[#This Row],[IDEAL]]</f>
        <v>-330</v>
      </c>
    </row>
    <row r="996" spans="1:4" x14ac:dyDescent="0.25">
      <c r="A996" t="s">
        <v>17480</v>
      </c>
      <c r="B996" s="102">
        <v>2665</v>
      </c>
      <c r="C996" s="102">
        <v>2995</v>
      </c>
      <c r="D996" s="102">
        <f>Table22[[#This Row],[CURRENT]]-Table22[[#This Row],[IDEAL]]</f>
        <v>-330</v>
      </c>
    </row>
    <row r="997" spans="1:4" x14ac:dyDescent="0.25">
      <c r="A997" t="s">
        <v>15428</v>
      </c>
      <c r="B997" s="102">
        <v>2021</v>
      </c>
      <c r="C997" s="102">
        <v>2350</v>
      </c>
      <c r="D997" s="102">
        <f>Table22[[#This Row],[CURRENT]]-Table22[[#This Row],[IDEAL]]</f>
        <v>-329</v>
      </c>
    </row>
    <row r="998" spans="1:4" x14ac:dyDescent="0.25">
      <c r="A998" t="s">
        <v>16524</v>
      </c>
      <c r="B998" s="102">
        <v>1726</v>
      </c>
      <c r="C998" s="102">
        <v>2055</v>
      </c>
      <c r="D998" s="102">
        <f>Table22[[#This Row],[CURRENT]]-Table22[[#This Row],[IDEAL]]</f>
        <v>-329</v>
      </c>
    </row>
    <row r="999" spans="1:4" x14ac:dyDescent="0.25">
      <c r="A999" t="s">
        <v>16551</v>
      </c>
      <c r="B999" s="102">
        <v>1603</v>
      </c>
      <c r="C999" s="102">
        <v>1932</v>
      </c>
      <c r="D999" s="102">
        <f>Table22[[#This Row],[CURRENT]]-Table22[[#This Row],[IDEAL]]</f>
        <v>-329</v>
      </c>
    </row>
    <row r="1000" spans="1:4" x14ac:dyDescent="0.25">
      <c r="A1000" t="s">
        <v>16242</v>
      </c>
      <c r="B1000" s="102">
        <v>2656</v>
      </c>
      <c r="C1000" s="102">
        <v>2985</v>
      </c>
      <c r="D1000" s="102">
        <f>Table22[[#This Row],[CURRENT]]-Table22[[#This Row],[IDEAL]]</f>
        <v>-329</v>
      </c>
    </row>
    <row r="1001" spans="1:4" x14ac:dyDescent="0.25">
      <c r="A1001" t="s">
        <v>16302</v>
      </c>
      <c r="B1001" s="102">
        <v>2409</v>
      </c>
      <c r="C1001" s="102">
        <v>2738</v>
      </c>
      <c r="D1001" s="102">
        <f>Table22[[#This Row],[CURRENT]]-Table22[[#This Row],[IDEAL]]</f>
        <v>-329</v>
      </c>
    </row>
    <row r="1002" spans="1:4" x14ac:dyDescent="0.25">
      <c r="A1002" t="s">
        <v>14334</v>
      </c>
      <c r="B1002" s="102">
        <v>2405</v>
      </c>
      <c r="C1002" s="102">
        <v>2733</v>
      </c>
      <c r="D1002" s="102">
        <f>Table22[[#This Row],[CURRENT]]-Table22[[#This Row],[IDEAL]]</f>
        <v>-328</v>
      </c>
    </row>
    <row r="1003" spans="1:4" x14ac:dyDescent="0.25">
      <c r="A1003" t="s">
        <v>14642</v>
      </c>
      <c r="B1003" s="102">
        <v>1856</v>
      </c>
      <c r="C1003" s="102">
        <v>2184</v>
      </c>
      <c r="D1003" s="102">
        <f>Table22[[#This Row],[CURRENT]]-Table22[[#This Row],[IDEAL]]</f>
        <v>-328</v>
      </c>
    </row>
    <row r="1004" spans="1:4" x14ac:dyDescent="0.25">
      <c r="A1004" t="s">
        <v>16553</v>
      </c>
      <c r="B1004" s="102">
        <v>1600</v>
      </c>
      <c r="C1004" s="102">
        <v>1928</v>
      </c>
      <c r="D1004" s="102">
        <f>Table22[[#This Row],[CURRENT]]-Table22[[#This Row],[IDEAL]]</f>
        <v>-328</v>
      </c>
    </row>
    <row r="1005" spans="1:4" x14ac:dyDescent="0.25">
      <c r="A1005" t="s">
        <v>14465</v>
      </c>
      <c r="B1005" s="102">
        <v>2939</v>
      </c>
      <c r="C1005" s="102">
        <v>3266</v>
      </c>
      <c r="D1005" s="102">
        <f>Table22[[#This Row],[CURRENT]]-Table22[[#This Row],[IDEAL]]</f>
        <v>-327</v>
      </c>
    </row>
    <row r="1006" spans="1:4" x14ac:dyDescent="0.25">
      <c r="A1006" t="s">
        <v>13854</v>
      </c>
      <c r="B1006" s="102">
        <v>2644</v>
      </c>
      <c r="C1006" s="102">
        <v>2971</v>
      </c>
      <c r="D1006" s="102">
        <f>Table22[[#This Row],[CURRENT]]-Table22[[#This Row],[IDEAL]]</f>
        <v>-327</v>
      </c>
    </row>
    <row r="1007" spans="1:4" x14ac:dyDescent="0.25">
      <c r="A1007" t="s">
        <v>17545</v>
      </c>
      <c r="B1007" s="102">
        <v>2393</v>
      </c>
      <c r="C1007" s="102">
        <v>2720</v>
      </c>
      <c r="D1007" s="102">
        <f>Table22[[#This Row],[CURRENT]]-Table22[[#This Row],[IDEAL]]</f>
        <v>-327</v>
      </c>
    </row>
    <row r="1008" spans="1:4" x14ac:dyDescent="0.25">
      <c r="A1008" t="s">
        <v>16380</v>
      </c>
      <c r="B1008" s="102">
        <v>2184</v>
      </c>
      <c r="C1008" s="102">
        <v>2511</v>
      </c>
      <c r="D1008" s="102">
        <f>Table22[[#This Row],[CURRENT]]-Table22[[#This Row],[IDEAL]]</f>
        <v>-327</v>
      </c>
    </row>
    <row r="1009" spans="1:4" x14ac:dyDescent="0.25">
      <c r="A1009" t="s">
        <v>16555</v>
      </c>
      <c r="B1009" s="102">
        <v>1596</v>
      </c>
      <c r="C1009" s="102">
        <v>1923</v>
      </c>
      <c r="D1009" s="102">
        <f>Table22[[#This Row],[CURRENT]]-Table22[[#This Row],[IDEAL]]</f>
        <v>-327</v>
      </c>
    </row>
    <row r="1010" spans="1:4" x14ac:dyDescent="0.25">
      <c r="A1010" t="s">
        <v>14732</v>
      </c>
      <c r="B1010" s="102">
        <v>1843</v>
      </c>
      <c r="C1010" s="102">
        <v>2169</v>
      </c>
      <c r="D1010" s="102">
        <f>Table22[[#This Row],[CURRENT]]-Table22[[#This Row],[IDEAL]]</f>
        <v>-326</v>
      </c>
    </row>
    <row r="1011" spans="1:4" x14ac:dyDescent="0.25">
      <c r="A1011" t="s">
        <v>13488</v>
      </c>
      <c r="B1011" s="102">
        <v>1389</v>
      </c>
      <c r="C1011" s="102">
        <v>1715</v>
      </c>
      <c r="D1011" s="102">
        <f>Table22[[#This Row],[CURRENT]]-Table22[[#This Row],[IDEAL]]</f>
        <v>-326</v>
      </c>
    </row>
    <row r="1012" spans="1:4" x14ac:dyDescent="0.25">
      <c r="A1012" t="s">
        <v>17521</v>
      </c>
      <c r="B1012" s="102">
        <v>2931</v>
      </c>
      <c r="C1012" s="102">
        <v>3257</v>
      </c>
      <c r="D1012" s="102">
        <f>Table22[[#This Row],[CURRENT]]-Table22[[#This Row],[IDEAL]]</f>
        <v>-326</v>
      </c>
    </row>
    <row r="1013" spans="1:4" x14ac:dyDescent="0.25">
      <c r="A1013" t="s">
        <v>16172</v>
      </c>
      <c r="B1013" s="102">
        <v>2925</v>
      </c>
      <c r="C1013" s="102">
        <v>3251</v>
      </c>
      <c r="D1013" s="102">
        <f>Table22[[#This Row],[CURRENT]]-Table22[[#This Row],[IDEAL]]</f>
        <v>-326</v>
      </c>
    </row>
    <row r="1014" spans="1:4" x14ac:dyDescent="0.25">
      <c r="A1014" t="s">
        <v>16170</v>
      </c>
      <c r="B1014" s="102">
        <v>2929</v>
      </c>
      <c r="C1014" s="102">
        <v>3255</v>
      </c>
      <c r="D1014" s="102">
        <f>Table22[[#This Row],[CURRENT]]-Table22[[#This Row],[IDEAL]]</f>
        <v>-326</v>
      </c>
    </row>
    <row r="1015" spans="1:4" x14ac:dyDescent="0.25">
      <c r="A1015" t="s">
        <v>16560</v>
      </c>
      <c r="B1015" s="102">
        <v>1583</v>
      </c>
      <c r="C1015" s="102">
        <v>1908</v>
      </c>
      <c r="D1015" s="102">
        <f>Table22[[#This Row],[CURRENT]]-Table22[[#This Row],[IDEAL]]</f>
        <v>-325</v>
      </c>
    </row>
    <row r="1016" spans="1:4" x14ac:dyDescent="0.25">
      <c r="A1016" t="s">
        <v>14463</v>
      </c>
      <c r="B1016" s="102">
        <v>2912</v>
      </c>
      <c r="C1016" s="102">
        <v>3236</v>
      </c>
      <c r="D1016" s="102">
        <f>Table22[[#This Row],[CURRENT]]-Table22[[#This Row],[IDEAL]]</f>
        <v>-324</v>
      </c>
    </row>
    <row r="1017" spans="1:4" x14ac:dyDescent="0.25">
      <c r="A1017" t="s">
        <v>13388</v>
      </c>
      <c r="B1017" s="102">
        <v>2370</v>
      </c>
      <c r="C1017" s="102">
        <v>2694</v>
      </c>
      <c r="D1017" s="102">
        <f>Table22[[#This Row],[CURRENT]]-Table22[[#This Row],[IDEAL]]</f>
        <v>-324</v>
      </c>
    </row>
    <row r="1018" spans="1:4" x14ac:dyDescent="0.25">
      <c r="A1018" t="s">
        <v>17594</v>
      </c>
      <c r="B1018" s="102">
        <v>1581</v>
      </c>
      <c r="C1018" s="102">
        <v>1905</v>
      </c>
      <c r="D1018" s="102">
        <f>Table22[[#This Row],[CURRENT]]-Table22[[#This Row],[IDEAL]]</f>
        <v>-324</v>
      </c>
    </row>
    <row r="1019" spans="1:4" x14ac:dyDescent="0.25">
      <c r="A1019" t="s">
        <v>16452</v>
      </c>
      <c r="B1019" s="102">
        <v>1988</v>
      </c>
      <c r="C1019" s="102">
        <v>2312</v>
      </c>
      <c r="D1019" s="102">
        <f>Table22[[#This Row],[CURRENT]]-Table22[[#This Row],[IDEAL]]</f>
        <v>-324</v>
      </c>
    </row>
    <row r="1020" spans="1:4" x14ac:dyDescent="0.25">
      <c r="A1020" t="s">
        <v>15442</v>
      </c>
      <c r="B1020" s="102">
        <v>1979</v>
      </c>
      <c r="C1020" s="102">
        <v>2302</v>
      </c>
      <c r="D1020" s="102">
        <f>Table22[[#This Row],[CURRENT]]-Table22[[#This Row],[IDEAL]]</f>
        <v>-323</v>
      </c>
    </row>
    <row r="1021" spans="1:4" x14ac:dyDescent="0.25">
      <c r="A1021" t="s">
        <v>17498</v>
      </c>
      <c r="B1021" s="102">
        <v>2155</v>
      </c>
      <c r="C1021" s="102">
        <v>2478</v>
      </c>
      <c r="D1021" s="102">
        <f>Table22[[#This Row],[CURRENT]]-Table22[[#This Row],[IDEAL]]</f>
        <v>-323</v>
      </c>
    </row>
    <row r="1022" spans="1:4" x14ac:dyDescent="0.25">
      <c r="A1022" t="s">
        <v>17509</v>
      </c>
      <c r="B1022" s="102">
        <v>1576</v>
      </c>
      <c r="C1022" s="102">
        <v>1899</v>
      </c>
      <c r="D1022" s="102">
        <f>Table22[[#This Row],[CURRENT]]-Table22[[#This Row],[IDEAL]]</f>
        <v>-323</v>
      </c>
    </row>
    <row r="1023" spans="1:4" x14ac:dyDescent="0.25">
      <c r="A1023" t="s">
        <v>16315</v>
      </c>
      <c r="B1023" s="102">
        <v>2364</v>
      </c>
      <c r="C1023" s="102">
        <v>2687</v>
      </c>
      <c r="D1023" s="102">
        <f>Table22[[#This Row],[CURRENT]]-Table22[[#This Row],[IDEAL]]</f>
        <v>-323</v>
      </c>
    </row>
    <row r="1024" spans="1:4" x14ac:dyDescent="0.25">
      <c r="A1024" t="s">
        <v>16502</v>
      </c>
      <c r="B1024" s="102">
        <v>1819</v>
      </c>
      <c r="C1024" s="102">
        <v>2141</v>
      </c>
      <c r="D1024" s="102">
        <f>Table22[[#This Row],[CURRENT]]-Table22[[#This Row],[IDEAL]]</f>
        <v>-322</v>
      </c>
    </row>
    <row r="1025" spans="1:4" x14ac:dyDescent="0.25">
      <c r="A1025" t="s">
        <v>15448</v>
      </c>
      <c r="B1025" s="102">
        <v>1967</v>
      </c>
      <c r="C1025" s="102">
        <v>2288</v>
      </c>
      <c r="D1025" s="102">
        <f>Table22[[#This Row],[CURRENT]]-Table22[[#This Row],[IDEAL]]</f>
        <v>-321</v>
      </c>
    </row>
    <row r="1026" spans="1:4" x14ac:dyDescent="0.25">
      <c r="A1026" t="s">
        <v>15446</v>
      </c>
      <c r="B1026" s="102">
        <v>1971</v>
      </c>
      <c r="C1026" s="102">
        <v>2292</v>
      </c>
      <c r="D1026" s="102">
        <f>Table22[[#This Row],[CURRENT]]-Table22[[#This Row],[IDEAL]]</f>
        <v>-321</v>
      </c>
    </row>
    <row r="1027" spans="1:4" x14ac:dyDescent="0.25">
      <c r="A1027" t="s">
        <v>15449</v>
      </c>
      <c r="B1027" s="102">
        <v>1966</v>
      </c>
      <c r="C1027" s="102">
        <v>2287</v>
      </c>
      <c r="D1027" s="102">
        <f>Table22[[#This Row],[CURRENT]]-Table22[[#This Row],[IDEAL]]</f>
        <v>-321</v>
      </c>
    </row>
    <row r="1028" spans="1:4" x14ac:dyDescent="0.25">
      <c r="A1028" t="s">
        <v>13502</v>
      </c>
      <c r="B1028" s="102">
        <v>2881</v>
      </c>
      <c r="C1028" s="102">
        <v>3202</v>
      </c>
      <c r="D1028" s="102">
        <f>Table22[[#This Row],[CURRENT]]-Table22[[#This Row],[IDEAL]]</f>
        <v>-321</v>
      </c>
    </row>
    <row r="1029" spans="1:4" x14ac:dyDescent="0.25">
      <c r="A1029" t="s">
        <v>17504</v>
      </c>
      <c r="B1029" s="102">
        <v>1969</v>
      </c>
      <c r="C1029" s="102">
        <v>2290</v>
      </c>
      <c r="D1029" s="102">
        <f>Table22[[#This Row],[CURRENT]]-Table22[[#This Row],[IDEAL]]</f>
        <v>-321</v>
      </c>
    </row>
    <row r="1030" spans="1:4" x14ac:dyDescent="0.25">
      <c r="A1030" t="s">
        <v>17499</v>
      </c>
      <c r="B1030" s="102">
        <v>2147</v>
      </c>
      <c r="C1030" s="102">
        <v>2468</v>
      </c>
      <c r="D1030" s="102">
        <f>Table22[[#This Row],[CURRENT]]-Table22[[#This Row],[IDEAL]]</f>
        <v>-321</v>
      </c>
    </row>
    <row r="1031" spans="1:4" x14ac:dyDescent="0.25">
      <c r="A1031" t="s">
        <v>17575</v>
      </c>
      <c r="B1031" s="102">
        <v>2142</v>
      </c>
      <c r="C1031" s="102">
        <v>2463</v>
      </c>
      <c r="D1031" s="102">
        <f>Table22[[#This Row],[CURRENT]]-Table22[[#This Row],[IDEAL]]</f>
        <v>-321</v>
      </c>
    </row>
    <row r="1032" spans="1:4" x14ac:dyDescent="0.25">
      <c r="A1032" t="s">
        <v>14740</v>
      </c>
      <c r="B1032" s="102">
        <v>1962</v>
      </c>
      <c r="C1032" s="102">
        <v>2282</v>
      </c>
      <c r="D1032" s="102">
        <f>Table22[[#This Row],[CURRENT]]-Table22[[#This Row],[IDEAL]]</f>
        <v>-320</v>
      </c>
    </row>
    <row r="1033" spans="1:4" x14ac:dyDescent="0.25">
      <c r="A1033" t="s">
        <v>13467</v>
      </c>
      <c r="B1033" s="102">
        <v>1960</v>
      </c>
      <c r="C1033" s="102">
        <v>2280</v>
      </c>
      <c r="D1033" s="102">
        <f>Table22[[#This Row],[CURRENT]]-Table22[[#This Row],[IDEAL]]</f>
        <v>-320</v>
      </c>
    </row>
    <row r="1034" spans="1:4" x14ac:dyDescent="0.25">
      <c r="A1034" t="s">
        <v>16394</v>
      </c>
      <c r="B1034" s="102">
        <v>2135</v>
      </c>
      <c r="C1034" s="102">
        <v>2455</v>
      </c>
      <c r="D1034" s="102">
        <f>Table22[[#This Row],[CURRENT]]-Table22[[#This Row],[IDEAL]]</f>
        <v>-320</v>
      </c>
    </row>
    <row r="1035" spans="1:4" x14ac:dyDescent="0.25">
      <c r="A1035" t="s">
        <v>16318</v>
      </c>
      <c r="B1035" s="102">
        <v>2342</v>
      </c>
      <c r="C1035" s="102">
        <v>2662</v>
      </c>
      <c r="D1035" s="102">
        <f>Table22[[#This Row],[CURRENT]]-Table22[[#This Row],[IDEAL]]</f>
        <v>-320</v>
      </c>
    </row>
    <row r="1036" spans="1:4" x14ac:dyDescent="0.25">
      <c r="A1036" t="s">
        <v>16262</v>
      </c>
      <c r="B1036" s="102">
        <v>2589</v>
      </c>
      <c r="C1036" s="102">
        <v>2909</v>
      </c>
      <c r="D1036" s="102">
        <f>Table22[[#This Row],[CURRENT]]-Table22[[#This Row],[IDEAL]]</f>
        <v>-320</v>
      </c>
    </row>
    <row r="1037" spans="1:4" x14ac:dyDescent="0.25">
      <c r="A1037" t="s">
        <v>14844</v>
      </c>
      <c r="B1037" s="102">
        <v>1673</v>
      </c>
      <c r="C1037" s="102">
        <v>1992</v>
      </c>
      <c r="D1037" s="102">
        <f>Table22[[#This Row],[CURRENT]]-Table22[[#This Row],[IDEAL]]</f>
        <v>-319</v>
      </c>
    </row>
    <row r="1038" spans="1:4" x14ac:dyDescent="0.25">
      <c r="A1038" t="s">
        <v>17592</v>
      </c>
      <c r="B1038" s="102">
        <v>1807</v>
      </c>
      <c r="C1038" s="102">
        <v>2126</v>
      </c>
      <c r="D1038" s="102">
        <f>Table22[[#This Row],[CURRENT]]-Table22[[#This Row],[IDEAL]]</f>
        <v>-319</v>
      </c>
    </row>
    <row r="1039" spans="1:4" x14ac:dyDescent="0.25">
      <c r="A1039" t="s">
        <v>16471</v>
      </c>
      <c r="B1039" s="102">
        <v>1953</v>
      </c>
      <c r="C1039" s="102">
        <v>2272</v>
      </c>
      <c r="D1039" s="102">
        <f>Table22[[#This Row],[CURRENT]]-Table22[[#This Row],[IDEAL]]</f>
        <v>-319</v>
      </c>
    </row>
    <row r="1040" spans="1:4" x14ac:dyDescent="0.25">
      <c r="A1040" t="s">
        <v>15532</v>
      </c>
      <c r="B1040" s="102">
        <v>1796</v>
      </c>
      <c r="C1040" s="102">
        <v>2114</v>
      </c>
      <c r="D1040" s="102">
        <f>Table22[[#This Row],[CURRENT]]-Table22[[#This Row],[IDEAL]]</f>
        <v>-318</v>
      </c>
    </row>
    <row r="1041" spans="1:4" x14ac:dyDescent="0.25">
      <c r="A1041" t="s">
        <v>16269</v>
      </c>
      <c r="B1041" s="102">
        <v>2565</v>
      </c>
      <c r="C1041" s="102">
        <v>2883</v>
      </c>
      <c r="D1041" s="102">
        <f>Table22[[#This Row],[CURRENT]]-Table22[[#This Row],[IDEAL]]</f>
        <v>-318</v>
      </c>
    </row>
    <row r="1042" spans="1:4" x14ac:dyDescent="0.25">
      <c r="A1042" t="s">
        <v>14410</v>
      </c>
      <c r="B1042" s="102">
        <v>2849</v>
      </c>
      <c r="C1042" s="102">
        <v>3166</v>
      </c>
      <c r="D1042" s="102">
        <f>Table22[[#This Row],[CURRENT]]-Table22[[#This Row],[IDEAL]]</f>
        <v>-317</v>
      </c>
    </row>
    <row r="1043" spans="1:4" x14ac:dyDescent="0.25">
      <c r="A1043" t="s">
        <v>13548</v>
      </c>
      <c r="B1043" s="102">
        <v>2844</v>
      </c>
      <c r="C1043" s="102">
        <v>3161</v>
      </c>
      <c r="D1043" s="102">
        <f>Table22[[#This Row],[CURRENT]]-Table22[[#This Row],[IDEAL]]</f>
        <v>-317</v>
      </c>
    </row>
    <row r="1044" spans="1:4" x14ac:dyDescent="0.25">
      <c r="A1044" t="s">
        <v>16572</v>
      </c>
      <c r="B1044" s="102">
        <v>1443</v>
      </c>
      <c r="C1044" s="102">
        <v>1760</v>
      </c>
      <c r="D1044" s="102">
        <f>Table22[[#This Row],[CURRENT]]-Table22[[#This Row],[IDEAL]]</f>
        <v>-317</v>
      </c>
    </row>
    <row r="1045" spans="1:4" x14ac:dyDescent="0.25">
      <c r="A1045" t="s">
        <v>16565</v>
      </c>
      <c r="B1045" s="102">
        <v>1545</v>
      </c>
      <c r="C1045" s="102">
        <v>1862</v>
      </c>
      <c r="D1045" s="102">
        <f>Table22[[#This Row],[CURRENT]]-Table22[[#This Row],[IDEAL]]</f>
        <v>-317</v>
      </c>
    </row>
    <row r="1046" spans="1:4" x14ac:dyDescent="0.25">
      <c r="A1046" t="s">
        <v>18065</v>
      </c>
      <c r="B1046" s="102">
        <v>1439</v>
      </c>
      <c r="C1046" s="102">
        <v>1755</v>
      </c>
      <c r="D1046" s="102">
        <f>Table22[[#This Row],[CURRENT]]-Table22[[#This Row],[IDEAL]]</f>
        <v>-316</v>
      </c>
    </row>
    <row r="1047" spans="1:4" x14ac:dyDescent="0.25">
      <c r="A1047" t="s">
        <v>15466</v>
      </c>
      <c r="B1047" s="102">
        <v>1931</v>
      </c>
      <c r="C1047" s="102">
        <v>2246</v>
      </c>
      <c r="D1047" s="102">
        <f>Table22[[#This Row],[CURRENT]]-Table22[[#This Row],[IDEAL]]</f>
        <v>-315</v>
      </c>
    </row>
    <row r="1048" spans="1:4" x14ac:dyDescent="0.25">
      <c r="A1048" t="s">
        <v>15368</v>
      </c>
      <c r="B1048" s="102">
        <v>2309</v>
      </c>
      <c r="C1048" s="102">
        <v>2624</v>
      </c>
      <c r="D1048" s="102">
        <f>Table22[[#This Row],[CURRENT]]-Table22[[#This Row],[IDEAL]]</f>
        <v>-315</v>
      </c>
    </row>
    <row r="1049" spans="1:4" x14ac:dyDescent="0.25">
      <c r="A1049" t="s">
        <v>15666</v>
      </c>
      <c r="B1049" s="102">
        <v>1334</v>
      </c>
      <c r="C1049" s="102">
        <v>1648</v>
      </c>
      <c r="D1049" s="102">
        <f>Table22[[#This Row],[CURRENT]]-Table22[[#This Row],[IDEAL]]</f>
        <v>-314</v>
      </c>
    </row>
    <row r="1050" spans="1:4" x14ac:dyDescent="0.25">
      <c r="A1050" t="s">
        <v>14406</v>
      </c>
      <c r="B1050" s="102">
        <v>2822</v>
      </c>
      <c r="C1050" s="102">
        <v>3136</v>
      </c>
      <c r="D1050" s="102">
        <f>Table22[[#This Row],[CURRENT]]-Table22[[#This Row],[IDEAL]]</f>
        <v>-314</v>
      </c>
    </row>
    <row r="1051" spans="1:4" x14ac:dyDescent="0.25">
      <c r="A1051" t="s">
        <v>16409</v>
      </c>
      <c r="B1051" s="102">
        <v>2099</v>
      </c>
      <c r="C1051" s="102">
        <v>2413</v>
      </c>
      <c r="D1051" s="102">
        <f>Table22[[#This Row],[CURRENT]]-Table22[[#This Row],[IDEAL]]</f>
        <v>-314</v>
      </c>
    </row>
    <row r="1052" spans="1:4" x14ac:dyDescent="0.25">
      <c r="A1052" t="s">
        <v>16415</v>
      </c>
      <c r="B1052" s="102">
        <v>2091</v>
      </c>
      <c r="C1052" s="102">
        <v>2404</v>
      </c>
      <c r="D1052" s="102">
        <f>Table22[[#This Row],[CURRENT]]-Table22[[#This Row],[IDEAL]]</f>
        <v>-313</v>
      </c>
    </row>
    <row r="1053" spans="1:4" x14ac:dyDescent="0.25">
      <c r="A1053" t="s">
        <v>14700</v>
      </c>
      <c r="B1053" s="102">
        <v>2517</v>
      </c>
      <c r="C1053" s="102">
        <v>2829</v>
      </c>
      <c r="D1053" s="102">
        <f>Table22[[#This Row],[CURRENT]]-Table22[[#This Row],[IDEAL]]</f>
        <v>-312</v>
      </c>
    </row>
    <row r="1054" spans="1:4" x14ac:dyDescent="0.25">
      <c r="A1054" t="s">
        <v>14725</v>
      </c>
      <c r="B1054" s="102">
        <v>1767</v>
      </c>
      <c r="C1054" s="102">
        <v>2079</v>
      </c>
      <c r="D1054" s="102">
        <f>Table22[[#This Row],[CURRENT]]-Table22[[#This Row],[IDEAL]]</f>
        <v>-312</v>
      </c>
    </row>
    <row r="1055" spans="1:4" x14ac:dyDescent="0.25">
      <c r="A1055" t="s">
        <v>16548</v>
      </c>
      <c r="B1055" s="102">
        <v>1632</v>
      </c>
      <c r="C1055" s="102">
        <v>1944</v>
      </c>
      <c r="D1055" s="102">
        <f>Table22[[#This Row],[CURRENT]]-Table22[[#This Row],[IDEAL]]</f>
        <v>-312</v>
      </c>
    </row>
    <row r="1056" spans="1:4" x14ac:dyDescent="0.25">
      <c r="A1056" t="s">
        <v>16481</v>
      </c>
      <c r="B1056" s="102">
        <v>1914</v>
      </c>
      <c r="C1056" s="102">
        <v>2226</v>
      </c>
      <c r="D1056" s="102">
        <f>Table22[[#This Row],[CURRENT]]-Table22[[#This Row],[IDEAL]]</f>
        <v>-312</v>
      </c>
    </row>
    <row r="1057" spans="1:4" x14ac:dyDescent="0.25">
      <c r="A1057" t="s">
        <v>16279</v>
      </c>
      <c r="B1057" s="102">
        <v>2520</v>
      </c>
      <c r="C1057" s="102">
        <v>2832</v>
      </c>
      <c r="D1057" s="102">
        <f>Table22[[#This Row],[CURRENT]]-Table22[[#This Row],[IDEAL]]</f>
        <v>-312</v>
      </c>
    </row>
    <row r="1058" spans="1:4" x14ac:dyDescent="0.25">
      <c r="A1058" t="s">
        <v>14779</v>
      </c>
      <c r="B1058" s="102">
        <v>1514</v>
      </c>
      <c r="C1058" s="102">
        <v>1825</v>
      </c>
      <c r="D1058" s="102">
        <f>Table22[[#This Row],[CURRENT]]-Table22[[#This Row],[IDEAL]]</f>
        <v>-311</v>
      </c>
    </row>
    <row r="1059" spans="1:4" x14ac:dyDescent="0.25">
      <c r="A1059" t="s">
        <v>16203</v>
      </c>
      <c r="B1059" s="102">
        <v>2794</v>
      </c>
      <c r="C1059" s="102">
        <v>3105</v>
      </c>
      <c r="D1059" s="102">
        <f>Table22[[#This Row],[CURRENT]]-Table22[[#This Row],[IDEAL]]</f>
        <v>-311</v>
      </c>
    </row>
    <row r="1060" spans="1:4" x14ac:dyDescent="0.25">
      <c r="A1060" t="s">
        <v>16350</v>
      </c>
      <c r="B1060" s="102">
        <v>2280</v>
      </c>
      <c r="C1060" s="102">
        <v>2591</v>
      </c>
      <c r="D1060" s="102">
        <f>Table22[[#This Row],[CURRENT]]-Table22[[#This Row],[IDEAL]]</f>
        <v>-311</v>
      </c>
    </row>
    <row r="1061" spans="1:4" x14ac:dyDescent="0.25">
      <c r="A1061" t="s">
        <v>17508</v>
      </c>
      <c r="B1061" s="102">
        <v>1625</v>
      </c>
      <c r="C1061" s="102">
        <v>1935</v>
      </c>
      <c r="D1061" s="102">
        <f>Table22[[#This Row],[CURRENT]]-Table22[[#This Row],[IDEAL]]</f>
        <v>-310</v>
      </c>
    </row>
    <row r="1062" spans="1:4" x14ac:dyDescent="0.25">
      <c r="A1062" t="s">
        <v>16354</v>
      </c>
      <c r="B1062" s="102">
        <v>2273</v>
      </c>
      <c r="C1062" s="102">
        <v>2583</v>
      </c>
      <c r="D1062" s="102">
        <f>Table22[[#This Row],[CURRENT]]-Table22[[#This Row],[IDEAL]]</f>
        <v>-310</v>
      </c>
    </row>
    <row r="1063" spans="1:4" x14ac:dyDescent="0.25">
      <c r="A1063" t="s">
        <v>15488</v>
      </c>
      <c r="B1063" s="102">
        <v>1892</v>
      </c>
      <c r="C1063" s="102">
        <v>2201</v>
      </c>
      <c r="D1063" s="102">
        <f>Table22[[#This Row],[CURRENT]]-Table22[[#This Row],[IDEAL]]</f>
        <v>-309</v>
      </c>
    </row>
    <row r="1064" spans="1:4" x14ac:dyDescent="0.25">
      <c r="A1064" t="s">
        <v>17537</v>
      </c>
      <c r="B1064" s="102">
        <v>2494</v>
      </c>
      <c r="C1064" s="102">
        <v>2803</v>
      </c>
      <c r="D1064" s="102">
        <f>Table22[[#This Row],[CURRENT]]-Table22[[#This Row],[IDEAL]]</f>
        <v>-309</v>
      </c>
    </row>
    <row r="1065" spans="1:4" x14ac:dyDescent="0.25">
      <c r="A1065" t="s">
        <v>17091</v>
      </c>
      <c r="B1065" s="102">
        <v>1620</v>
      </c>
      <c r="C1065" s="102">
        <v>1929</v>
      </c>
      <c r="D1065" s="102">
        <f>Table22[[#This Row],[CURRENT]]-Table22[[#This Row],[IDEAL]]</f>
        <v>-309</v>
      </c>
    </row>
    <row r="1066" spans="1:4" x14ac:dyDescent="0.25">
      <c r="A1066" t="s">
        <v>16430</v>
      </c>
      <c r="B1066" s="102">
        <v>2065</v>
      </c>
      <c r="C1066" s="102">
        <v>2374</v>
      </c>
      <c r="D1066" s="102">
        <f>Table22[[#This Row],[CURRENT]]-Table22[[#This Row],[IDEAL]]</f>
        <v>-309</v>
      </c>
    </row>
    <row r="1067" spans="1:4" x14ac:dyDescent="0.25">
      <c r="A1067" t="s">
        <v>15057</v>
      </c>
      <c r="B1067" s="102">
        <v>1502</v>
      </c>
      <c r="C1067" s="102">
        <v>1810</v>
      </c>
      <c r="D1067" s="102">
        <f>Table22[[#This Row],[CURRENT]]-Table22[[#This Row],[IDEAL]]</f>
        <v>-308</v>
      </c>
    </row>
    <row r="1068" spans="1:4" x14ac:dyDescent="0.25">
      <c r="A1068" t="s">
        <v>14432</v>
      </c>
      <c r="B1068" s="102">
        <v>2258</v>
      </c>
      <c r="C1068" s="102">
        <v>2566</v>
      </c>
      <c r="D1068" s="102">
        <f>Table22[[#This Row],[CURRENT]]-Table22[[#This Row],[IDEAL]]</f>
        <v>-308</v>
      </c>
    </row>
    <row r="1069" spans="1:4" x14ac:dyDescent="0.25">
      <c r="A1069" t="s">
        <v>18066</v>
      </c>
      <c r="B1069" s="102">
        <v>1401</v>
      </c>
      <c r="C1069" s="102">
        <v>1709</v>
      </c>
      <c r="D1069" s="102">
        <f>Table22[[#This Row],[CURRENT]]-Table22[[#This Row],[IDEAL]]</f>
        <v>-308</v>
      </c>
    </row>
    <row r="1070" spans="1:4" x14ac:dyDescent="0.25">
      <c r="A1070" t="s">
        <v>17211</v>
      </c>
      <c r="B1070" s="102">
        <v>2769</v>
      </c>
      <c r="C1070" s="102">
        <v>3077</v>
      </c>
      <c r="D1070" s="102">
        <f>Table22[[#This Row],[CURRENT]]-Table22[[#This Row],[IDEAL]]</f>
        <v>-308</v>
      </c>
    </row>
    <row r="1071" spans="1:4" x14ac:dyDescent="0.25">
      <c r="A1071" t="s">
        <v>17588</v>
      </c>
      <c r="B1071" s="102">
        <v>1892</v>
      </c>
      <c r="C1071" s="102">
        <v>2200</v>
      </c>
      <c r="D1071" s="102">
        <f>Table22[[#This Row],[CURRENT]]-Table22[[#This Row],[IDEAL]]</f>
        <v>-308</v>
      </c>
    </row>
    <row r="1072" spans="1:4" x14ac:dyDescent="0.25">
      <c r="A1072" t="s">
        <v>17538</v>
      </c>
      <c r="B1072" s="102">
        <v>2487</v>
      </c>
      <c r="C1072" s="102">
        <v>2795</v>
      </c>
      <c r="D1072" s="102">
        <f>Table22[[#This Row],[CURRENT]]-Table22[[#This Row],[IDEAL]]</f>
        <v>-308</v>
      </c>
    </row>
    <row r="1073" spans="1:4" x14ac:dyDescent="0.25">
      <c r="A1073" t="s">
        <v>15035</v>
      </c>
      <c r="B1073" s="102">
        <v>2755</v>
      </c>
      <c r="C1073" s="102">
        <v>3062</v>
      </c>
      <c r="D1073" s="102">
        <f>Table22[[#This Row],[CURRENT]]-Table22[[#This Row],[IDEAL]]</f>
        <v>-307</v>
      </c>
    </row>
    <row r="1074" spans="1:4" x14ac:dyDescent="0.25">
      <c r="A1074" t="s">
        <v>14397</v>
      </c>
      <c r="B1074" s="102">
        <v>2759</v>
      </c>
      <c r="C1074" s="102">
        <v>3066</v>
      </c>
      <c r="D1074" s="102">
        <f>Table22[[#This Row],[CURRENT]]-Table22[[#This Row],[IDEAL]]</f>
        <v>-307</v>
      </c>
    </row>
    <row r="1075" spans="1:4" x14ac:dyDescent="0.25">
      <c r="A1075" t="s">
        <v>17493</v>
      </c>
      <c r="B1075" s="102">
        <v>2247</v>
      </c>
      <c r="C1075" s="102">
        <v>2554</v>
      </c>
      <c r="D1075" s="102">
        <f>Table22[[#This Row],[CURRENT]]-Table22[[#This Row],[IDEAL]]</f>
        <v>-307</v>
      </c>
    </row>
    <row r="1076" spans="1:4" x14ac:dyDescent="0.25">
      <c r="A1076" t="s">
        <v>18063</v>
      </c>
      <c r="B1076" s="102">
        <v>1882</v>
      </c>
      <c r="C1076" s="102">
        <v>2189</v>
      </c>
      <c r="D1076" s="102">
        <f>Table22[[#This Row],[CURRENT]]-Table22[[#This Row],[IDEAL]]</f>
        <v>-307</v>
      </c>
    </row>
    <row r="1077" spans="1:4" x14ac:dyDescent="0.25">
      <c r="A1077" t="s">
        <v>17743</v>
      </c>
      <c r="B1077" s="102">
        <v>1494</v>
      </c>
      <c r="C1077" s="102">
        <v>1801</v>
      </c>
      <c r="D1077" s="102">
        <f>Table22[[#This Row],[CURRENT]]-Table22[[#This Row],[IDEAL]]</f>
        <v>-307</v>
      </c>
    </row>
    <row r="1078" spans="1:4" x14ac:dyDescent="0.25">
      <c r="A1078" t="s">
        <v>16590</v>
      </c>
      <c r="B1078" s="102">
        <v>1308</v>
      </c>
      <c r="C1078" s="102">
        <v>1615</v>
      </c>
      <c r="D1078" s="102">
        <f>Table22[[#This Row],[CURRENT]]-Table22[[#This Row],[IDEAL]]</f>
        <v>-307</v>
      </c>
    </row>
    <row r="1079" spans="1:4" x14ac:dyDescent="0.25">
      <c r="A1079" t="s">
        <v>16557</v>
      </c>
      <c r="B1079" s="102">
        <v>1609</v>
      </c>
      <c r="C1079" s="102">
        <v>1916</v>
      </c>
      <c r="D1079" s="102">
        <f>Table22[[#This Row],[CURRENT]]-Table22[[#This Row],[IDEAL]]</f>
        <v>-307</v>
      </c>
    </row>
    <row r="1080" spans="1:4" x14ac:dyDescent="0.25">
      <c r="A1080" t="s">
        <v>16366</v>
      </c>
      <c r="B1080" s="102">
        <v>2240</v>
      </c>
      <c r="C1080" s="102">
        <v>2546</v>
      </c>
      <c r="D1080" s="102">
        <f>Table22[[#This Row],[CURRENT]]-Table22[[#This Row],[IDEAL]]</f>
        <v>-306</v>
      </c>
    </row>
    <row r="1081" spans="1:4" x14ac:dyDescent="0.25">
      <c r="A1081" t="s">
        <v>16367</v>
      </c>
      <c r="B1081" s="102">
        <v>2236</v>
      </c>
      <c r="C1081" s="102">
        <v>2542</v>
      </c>
      <c r="D1081" s="102">
        <f>Table22[[#This Row],[CURRENT]]-Table22[[#This Row],[IDEAL]]</f>
        <v>-306</v>
      </c>
    </row>
    <row r="1082" spans="1:4" x14ac:dyDescent="0.25">
      <c r="A1082" t="s">
        <v>14815</v>
      </c>
      <c r="B1082" s="102">
        <v>2038</v>
      </c>
      <c r="C1082" s="102">
        <v>2343</v>
      </c>
      <c r="D1082" s="102">
        <f>Table22[[#This Row],[CURRENT]]-Table22[[#This Row],[IDEAL]]</f>
        <v>-305</v>
      </c>
    </row>
    <row r="1083" spans="1:4" x14ac:dyDescent="0.25">
      <c r="A1083" t="s">
        <v>14748</v>
      </c>
      <c r="B1083" s="102">
        <v>2040</v>
      </c>
      <c r="C1083" s="102">
        <v>2345</v>
      </c>
      <c r="D1083" s="102">
        <f>Table22[[#This Row],[CURRENT]]-Table22[[#This Row],[IDEAL]]</f>
        <v>-305</v>
      </c>
    </row>
    <row r="1084" spans="1:4" x14ac:dyDescent="0.25">
      <c r="A1084" t="s">
        <v>13651</v>
      </c>
      <c r="B1084" s="102">
        <v>2738</v>
      </c>
      <c r="C1084" s="102">
        <v>3043</v>
      </c>
      <c r="D1084" s="102">
        <f>Table22[[#This Row],[CURRENT]]-Table22[[#This Row],[IDEAL]]</f>
        <v>-305</v>
      </c>
    </row>
    <row r="1085" spans="1:4" x14ac:dyDescent="0.25">
      <c r="A1085" t="s">
        <v>13638</v>
      </c>
      <c r="B1085" s="102">
        <v>2743</v>
      </c>
      <c r="C1085" s="102">
        <v>3048</v>
      </c>
      <c r="D1085" s="102">
        <f>Table22[[#This Row],[CURRENT]]-Table22[[#This Row],[IDEAL]]</f>
        <v>-305</v>
      </c>
    </row>
    <row r="1086" spans="1:4" x14ac:dyDescent="0.25">
      <c r="A1086" t="s">
        <v>17466</v>
      </c>
      <c r="B1086" s="102">
        <v>2230</v>
      </c>
      <c r="C1086" s="102">
        <v>2535</v>
      </c>
      <c r="D1086" s="102">
        <f>Table22[[#This Row],[CURRENT]]-Table22[[#This Row],[IDEAL]]</f>
        <v>-305</v>
      </c>
    </row>
    <row r="1087" spans="1:4" x14ac:dyDescent="0.25">
      <c r="A1087" t="s">
        <v>14733</v>
      </c>
      <c r="B1087" s="102">
        <v>1857</v>
      </c>
      <c r="C1087" s="102">
        <v>2160</v>
      </c>
      <c r="D1087" s="102">
        <f>Table22[[#This Row],[CURRENT]]-Table22[[#This Row],[IDEAL]]</f>
        <v>-303</v>
      </c>
    </row>
    <row r="1088" spans="1:4" x14ac:dyDescent="0.25">
      <c r="A1088" t="s">
        <v>16231</v>
      </c>
      <c r="B1088" s="102">
        <v>2721</v>
      </c>
      <c r="C1088" s="102">
        <v>3024</v>
      </c>
      <c r="D1088" s="102">
        <f>Table22[[#This Row],[CURRENT]]-Table22[[#This Row],[IDEAL]]</f>
        <v>-303</v>
      </c>
    </row>
    <row r="1089" spans="1:4" x14ac:dyDescent="0.25">
      <c r="A1089" t="s">
        <v>16297</v>
      </c>
      <c r="B1089" s="102">
        <v>2450</v>
      </c>
      <c r="C1089" s="102">
        <v>2753</v>
      </c>
      <c r="D1089" s="102">
        <f>Table22[[#This Row],[CURRENT]]-Table22[[#This Row],[IDEAL]]</f>
        <v>-303</v>
      </c>
    </row>
    <row r="1090" spans="1:4" x14ac:dyDescent="0.25">
      <c r="A1090" t="s">
        <v>17852</v>
      </c>
      <c r="B1090" s="102">
        <v>1283</v>
      </c>
      <c r="C1090" s="102">
        <v>1585</v>
      </c>
      <c r="D1090" s="102">
        <f>Table22[[#This Row],[CURRENT]]-Table22[[#This Row],[IDEAL]]</f>
        <v>-302</v>
      </c>
    </row>
    <row r="1091" spans="1:4" x14ac:dyDescent="0.25">
      <c r="A1091" t="s">
        <v>14764</v>
      </c>
      <c r="B1091" s="102">
        <v>1704</v>
      </c>
      <c r="C1091" s="102">
        <v>2005</v>
      </c>
      <c r="D1091" s="102">
        <f>Table22[[#This Row],[CURRENT]]-Table22[[#This Row],[IDEAL]]</f>
        <v>-301</v>
      </c>
    </row>
    <row r="1092" spans="1:4" x14ac:dyDescent="0.25">
      <c r="A1092" t="s">
        <v>13530</v>
      </c>
      <c r="B1092" s="102">
        <v>1200</v>
      </c>
      <c r="C1092" s="102">
        <v>1501</v>
      </c>
      <c r="D1092" s="102">
        <f>Table22[[#This Row],[CURRENT]]-Table22[[#This Row],[IDEAL]]</f>
        <v>-301</v>
      </c>
    </row>
    <row r="1093" spans="1:4" x14ac:dyDescent="0.25">
      <c r="A1093" t="s">
        <v>16585</v>
      </c>
      <c r="B1093" s="102">
        <v>1368</v>
      </c>
      <c r="C1093" s="102">
        <v>1669</v>
      </c>
      <c r="D1093" s="102">
        <f>Table22[[#This Row],[CURRENT]]-Table22[[#This Row],[IDEAL]]</f>
        <v>-301</v>
      </c>
    </row>
    <row r="1094" spans="1:4" x14ac:dyDescent="0.25">
      <c r="A1094" t="s">
        <v>16303</v>
      </c>
      <c r="B1094" s="102">
        <v>2428</v>
      </c>
      <c r="C1094" s="102">
        <v>2729</v>
      </c>
      <c r="D1094" s="102">
        <f>Table22[[#This Row],[CURRENT]]-Table22[[#This Row],[IDEAL]]</f>
        <v>-301</v>
      </c>
    </row>
    <row r="1095" spans="1:4" x14ac:dyDescent="0.25">
      <c r="A1095" t="s">
        <v>15387</v>
      </c>
      <c r="B1095" s="102">
        <v>2192</v>
      </c>
      <c r="C1095" s="102">
        <v>2492</v>
      </c>
      <c r="D1095" s="102">
        <f>Table22[[#This Row],[CURRENT]]-Table22[[#This Row],[IDEAL]]</f>
        <v>-300</v>
      </c>
    </row>
    <row r="1096" spans="1:4" x14ac:dyDescent="0.25">
      <c r="A1096" t="s">
        <v>13853</v>
      </c>
      <c r="B1096" s="102">
        <v>2692</v>
      </c>
      <c r="C1096" s="102">
        <v>2992</v>
      </c>
      <c r="D1096" s="102">
        <f>Table22[[#This Row],[CURRENT]]-Table22[[#This Row],[IDEAL]]</f>
        <v>-300</v>
      </c>
    </row>
    <row r="1097" spans="1:4" x14ac:dyDescent="0.25">
      <c r="A1097" t="s">
        <v>12563</v>
      </c>
      <c r="B1097" s="102">
        <v>1190</v>
      </c>
      <c r="C1097" s="102">
        <v>1488</v>
      </c>
      <c r="D1097" s="102">
        <f>Table22[[#This Row],[CURRENT]]-Table22[[#This Row],[IDEAL]]</f>
        <v>-298</v>
      </c>
    </row>
    <row r="1098" spans="1:4" x14ac:dyDescent="0.25">
      <c r="A1098" t="s">
        <v>13409</v>
      </c>
      <c r="B1098" s="102">
        <v>1829</v>
      </c>
      <c r="C1098" s="102">
        <v>2127</v>
      </c>
      <c r="D1098" s="102">
        <f>Table22[[#This Row],[CURRENT]]-Table22[[#This Row],[IDEAL]]</f>
        <v>-298</v>
      </c>
    </row>
    <row r="1099" spans="1:4" x14ac:dyDescent="0.25">
      <c r="A1099" t="s">
        <v>18070</v>
      </c>
      <c r="B1099" s="102">
        <v>1268</v>
      </c>
      <c r="C1099" s="102">
        <v>1566</v>
      </c>
      <c r="D1099" s="102">
        <f>Table22[[#This Row],[CURRENT]]-Table22[[#This Row],[IDEAL]]</f>
        <v>-298</v>
      </c>
    </row>
    <row r="1100" spans="1:4" x14ac:dyDescent="0.25">
      <c r="A1100" t="s">
        <v>14771</v>
      </c>
      <c r="B1100" s="102">
        <v>1186</v>
      </c>
      <c r="C1100" s="102">
        <v>1483</v>
      </c>
      <c r="D1100" s="102">
        <f>Table22[[#This Row],[CURRENT]]-Table22[[#This Row],[IDEAL]]</f>
        <v>-297</v>
      </c>
    </row>
    <row r="1101" spans="1:4" x14ac:dyDescent="0.25">
      <c r="A1101" t="s">
        <v>14483</v>
      </c>
      <c r="B1101" s="102">
        <v>2666</v>
      </c>
      <c r="C1101" s="102">
        <v>2963</v>
      </c>
      <c r="D1101" s="102">
        <f>Table22[[#This Row],[CURRENT]]-Table22[[#This Row],[IDEAL]]</f>
        <v>-297</v>
      </c>
    </row>
    <row r="1102" spans="1:4" x14ac:dyDescent="0.25">
      <c r="A1102" t="s">
        <v>17735</v>
      </c>
      <c r="B1102" s="102">
        <v>1445</v>
      </c>
      <c r="C1102" s="102">
        <v>1742</v>
      </c>
      <c r="D1102" s="102">
        <f>Table22[[#This Row],[CURRENT]]-Table22[[#This Row],[IDEAL]]</f>
        <v>-297</v>
      </c>
    </row>
    <row r="1103" spans="1:4" x14ac:dyDescent="0.25">
      <c r="A1103" t="s">
        <v>16470</v>
      </c>
      <c r="B1103" s="102">
        <v>1980</v>
      </c>
      <c r="C1103" s="102">
        <v>2277</v>
      </c>
      <c r="D1103" s="102">
        <f>Table22[[#This Row],[CURRENT]]-Table22[[#This Row],[IDEAL]]</f>
        <v>-297</v>
      </c>
    </row>
    <row r="1104" spans="1:4" x14ac:dyDescent="0.25">
      <c r="A1104" t="s">
        <v>15578</v>
      </c>
      <c r="B1104" s="102">
        <v>1671</v>
      </c>
      <c r="C1104" s="102">
        <v>1967</v>
      </c>
      <c r="D1104" s="102">
        <f>Table22[[#This Row],[CURRENT]]-Table22[[#This Row],[IDEAL]]</f>
        <v>-296</v>
      </c>
    </row>
    <row r="1105" spans="1:4" x14ac:dyDescent="0.25">
      <c r="A1105" t="s">
        <v>17574</v>
      </c>
      <c r="B1105" s="102">
        <v>2167</v>
      </c>
      <c r="C1105" s="102">
        <v>2463</v>
      </c>
      <c r="D1105" s="102">
        <f>Table22[[#This Row],[CURRENT]]-Table22[[#This Row],[IDEAL]]</f>
        <v>-296</v>
      </c>
    </row>
    <row r="1106" spans="1:4" x14ac:dyDescent="0.25">
      <c r="A1106" t="s">
        <v>18038</v>
      </c>
      <c r="B1106" s="102">
        <v>1554</v>
      </c>
      <c r="C1106" s="102">
        <v>1850</v>
      </c>
      <c r="D1106" s="102">
        <f>Table22[[#This Row],[CURRENT]]-Table22[[#This Row],[IDEAL]]</f>
        <v>-296</v>
      </c>
    </row>
    <row r="1107" spans="1:4" x14ac:dyDescent="0.25">
      <c r="A1107" t="s">
        <v>17549</v>
      </c>
      <c r="B1107" s="102">
        <v>2392</v>
      </c>
      <c r="C1107" s="102">
        <v>2688</v>
      </c>
      <c r="D1107" s="102">
        <f>Table22[[#This Row],[CURRENT]]-Table22[[#This Row],[IDEAL]]</f>
        <v>-296</v>
      </c>
    </row>
    <row r="1108" spans="1:4" x14ac:dyDescent="0.25">
      <c r="A1108" t="s">
        <v>15072</v>
      </c>
      <c r="B1108" s="102">
        <v>2650</v>
      </c>
      <c r="C1108" s="102">
        <v>2945</v>
      </c>
      <c r="D1108" s="102">
        <f>Table22[[#This Row],[CURRENT]]-Table22[[#This Row],[IDEAL]]</f>
        <v>-295</v>
      </c>
    </row>
    <row r="1109" spans="1:4" x14ac:dyDescent="0.25">
      <c r="A1109" t="s">
        <v>14858</v>
      </c>
      <c r="B1109" s="102">
        <v>2383</v>
      </c>
      <c r="C1109" s="102">
        <v>2678</v>
      </c>
      <c r="D1109" s="102">
        <f>Table22[[#This Row],[CURRENT]]-Table22[[#This Row],[IDEAL]]</f>
        <v>-295</v>
      </c>
    </row>
    <row r="1110" spans="1:4" x14ac:dyDescent="0.25">
      <c r="A1110" t="s">
        <v>14641</v>
      </c>
      <c r="B1110" s="102">
        <v>1812</v>
      </c>
      <c r="C1110" s="102">
        <v>2107</v>
      </c>
      <c r="D1110" s="102">
        <f>Table22[[#This Row],[CURRENT]]-Table22[[#This Row],[IDEAL]]</f>
        <v>-295</v>
      </c>
    </row>
    <row r="1111" spans="1:4" x14ac:dyDescent="0.25">
      <c r="A1111" t="s">
        <v>14427</v>
      </c>
      <c r="B1111" s="102">
        <v>2160</v>
      </c>
      <c r="C1111" s="102">
        <v>2455</v>
      </c>
      <c r="D1111" s="102">
        <f>Table22[[#This Row],[CURRENT]]-Table22[[#This Row],[IDEAL]]</f>
        <v>-295</v>
      </c>
    </row>
    <row r="1112" spans="1:4" x14ac:dyDescent="0.25">
      <c r="A1112" t="s">
        <v>16257</v>
      </c>
      <c r="B1112" s="102">
        <v>2647</v>
      </c>
      <c r="C1112" s="102">
        <v>2942</v>
      </c>
      <c r="D1112" s="102">
        <f>Table22[[#This Row],[CURRENT]]-Table22[[#This Row],[IDEAL]]</f>
        <v>-295</v>
      </c>
    </row>
    <row r="1113" spans="1:4" x14ac:dyDescent="0.25">
      <c r="A1113" t="s">
        <v>16542</v>
      </c>
      <c r="B1113" s="102">
        <v>1671</v>
      </c>
      <c r="C1113" s="102">
        <v>1966</v>
      </c>
      <c r="D1113" s="102">
        <f>Table22[[#This Row],[CURRENT]]-Table22[[#This Row],[IDEAL]]</f>
        <v>-295</v>
      </c>
    </row>
    <row r="1114" spans="1:4" x14ac:dyDescent="0.25">
      <c r="A1114" t="s">
        <v>13643</v>
      </c>
      <c r="B1114" s="102">
        <v>2645</v>
      </c>
      <c r="C1114" s="102">
        <v>2939</v>
      </c>
      <c r="D1114" s="102">
        <f>Table22[[#This Row],[CURRENT]]-Table22[[#This Row],[IDEAL]]</f>
        <v>-294</v>
      </c>
    </row>
    <row r="1115" spans="1:4" x14ac:dyDescent="0.25">
      <c r="A1115" t="s">
        <v>17467</v>
      </c>
      <c r="B1115" s="102">
        <v>2155</v>
      </c>
      <c r="C1115" s="102">
        <v>2449</v>
      </c>
      <c r="D1115" s="102">
        <f>Table22[[#This Row],[CURRENT]]-Table22[[#This Row],[IDEAL]]</f>
        <v>-294</v>
      </c>
    </row>
    <row r="1116" spans="1:4" x14ac:dyDescent="0.25">
      <c r="A1116" t="s">
        <v>17531</v>
      </c>
      <c r="B1116" s="102">
        <v>2638</v>
      </c>
      <c r="C1116" s="102">
        <v>2932</v>
      </c>
      <c r="D1116" s="102">
        <f>Table22[[#This Row],[CURRENT]]-Table22[[#This Row],[IDEAL]]</f>
        <v>-294</v>
      </c>
    </row>
    <row r="1117" spans="1:4" x14ac:dyDescent="0.25">
      <c r="A1117" t="s">
        <v>14762</v>
      </c>
      <c r="B1117" s="102">
        <v>1659</v>
      </c>
      <c r="C1117" s="102">
        <v>1952</v>
      </c>
      <c r="D1117" s="102">
        <f>Table22[[#This Row],[CURRENT]]-Table22[[#This Row],[IDEAL]]</f>
        <v>-293</v>
      </c>
    </row>
    <row r="1118" spans="1:4" x14ac:dyDescent="0.25">
      <c r="A1118" t="s">
        <v>13711</v>
      </c>
      <c r="B1118" s="102">
        <v>1954</v>
      </c>
      <c r="C1118" s="102">
        <v>2247</v>
      </c>
      <c r="D1118" s="102">
        <f>Table22[[#This Row],[CURRENT]]-Table22[[#This Row],[IDEAL]]</f>
        <v>-293</v>
      </c>
    </row>
    <row r="1119" spans="1:4" x14ac:dyDescent="0.25">
      <c r="A1119" t="s">
        <v>16597</v>
      </c>
      <c r="B1119" s="102">
        <v>1247</v>
      </c>
      <c r="C1119" s="102">
        <v>1540</v>
      </c>
      <c r="D1119" s="102">
        <f>Table22[[#This Row],[CURRENT]]-Table22[[#This Row],[IDEAL]]</f>
        <v>-293</v>
      </c>
    </row>
    <row r="1120" spans="1:4" x14ac:dyDescent="0.25">
      <c r="A1120" t="s">
        <v>17045</v>
      </c>
      <c r="B1120" s="102">
        <v>2626</v>
      </c>
      <c r="C1120" s="102">
        <v>2918</v>
      </c>
      <c r="D1120" s="102">
        <f>Table22[[#This Row],[CURRENT]]-Table22[[#This Row],[IDEAL]]</f>
        <v>-292</v>
      </c>
    </row>
    <row r="1121" spans="1:4" x14ac:dyDescent="0.25">
      <c r="A1121" t="s">
        <v>18015</v>
      </c>
      <c r="B1121" s="102">
        <v>2361</v>
      </c>
      <c r="C1121" s="102">
        <v>2653</v>
      </c>
      <c r="D1121" s="102">
        <f>Table22[[#This Row],[CURRENT]]-Table22[[#This Row],[IDEAL]]</f>
        <v>-292</v>
      </c>
    </row>
    <row r="1122" spans="1:4" x14ac:dyDescent="0.25">
      <c r="A1122" t="s">
        <v>16609</v>
      </c>
      <c r="B1122" s="102">
        <v>1167</v>
      </c>
      <c r="C1122" s="102">
        <v>1459</v>
      </c>
      <c r="D1122" s="102">
        <f>Table22[[#This Row],[CURRENT]]-Table22[[#This Row],[IDEAL]]</f>
        <v>-292</v>
      </c>
    </row>
    <row r="1123" spans="1:4" x14ac:dyDescent="0.25">
      <c r="A1123" t="s">
        <v>16322</v>
      </c>
      <c r="B1123" s="102">
        <v>2359</v>
      </c>
      <c r="C1123" s="102">
        <v>2651</v>
      </c>
      <c r="D1123" s="102">
        <f>Table22[[#This Row],[CURRENT]]-Table22[[#This Row],[IDEAL]]</f>
        <v>-292</v>
      </c>
    </row>
    <row r="1124" spans="1:4" x14ac:dyDescent="0.25">
      <c r="A1124" t="s">
        <v>15354</v>
      </c>
      <c r="B1124" s="102">
        <v>2610</v>
      </c>
      <c r="C1124" s="102">
        <v>2901</v>
      </c>
      <c r="D1124" s="102">
        <f>Table22[[#This Row],[CURRENT]]-Table22[[#This Row],[IDEAL]]</f>
        <v>-291</v>
      </c>
    </row>
    <row r="1125" spans="1:4" x14ac:dyDescent="0.25">
      <c r="A1125" t="s">
        <v>14912</v>
      </c>
      <c r="B1125" s="102">
        <v>2132</v>
      </c>
      <c r="C1125" s="102">
        <v>2423</v>
      </c>
      <c r="D1125" s="102">
        <f>Table22[[#This Row],[CURRENT]]-Table22[[#This Row],[IDEAL]]</f>
        <v>-291</v>
      </c>
    </row>
    <row r="1126" spans="1:4" x14ac:dyDescent="0.25">
      <c r="A1126" t="s">
        <v>14836</v>
      </c>
      <c r="B1126" s="102">
        <v>2351</v>
      </c>
      <c r="C1126" s="102">
        <v>2642</v>
      </c>
      <c r="D1126" s="102">
        <f>Table22[[#This Row],[CURRENT]]-Table22[[#This Row],[IDEAL]]</f>
        <v>-291</v>
      </c>
    </row>
    <row r="1127" spans="1:4" x14ac:dyDescent="0.25">
      <c r="A1127" t="s">
        <v>16550</v>
      </c>
      <c r="B1127" s="102">
        <v>1649</v>
      </c>
      <c r="C1127" s="102">
        <v>1940</v>
      </c>
      <c r="D1127" s="102">
        <f>Table22[[#This Row],[CURRENT]]-Table22[[#This Row],[IDEAL]]</f>
        <v>-291</v>
      </c>
    </row>
    <row r="1128" spans="1:4" x14ac:dyDescent="0.25">
      <c r="A1128" t="s">
        <v>14774</v>
      </c>
      <c r="B1128" s="102">
        <v>1414</v>
      </c>
      <c r="C1128" s="102">
        <v>1704</v>
      </c>
      <c r="D1128" s="102">
        <f>Table22[[#This Row],[CURRENT]]-Table22[[#This Row],[IDEAL]]</f>
        <v>-290</v>
      </c>
    </row>
    <row r="1129" spans="1:4" x14ac:dyDescent="0.25">
      <c r="A1129" t="s">
        <v>14821</v>
      </c>
      <c r="B1129" s="102">
        <v>2123</v>
      </c>
      <c r="C1129" s="102">
        <v>2413</v>
      </c>
      <c r="D1129" s="102">
        <f>Table22[[#This Row],[CURRENT]]-Table22[[#This Row],[IDEAL]]</f>
        <v>-290</v>
      </c>
    </row>
    <row r="1130" spans="1:4" x14ac:dyDescent="0.25">
      <c r="A1130" t="s">
        <v>15738</v>
      </c>
      <c r="B1130" s="102">
        <v>1155</v>
      </c>
      <c r="C1130" s="102">
        <v>1444</v>
      </c>
      <c r="D1130" s="102">
        <f>Table22[[#This Row],[CURRENT]]-Table22[[#This Row],[IDEAL]]</f>
        <v>-289</v>
      </c>
    </row>
    <row r="1131" spans="1:4" x14ac:dyDescent="0.25">
      <c r="A1131" t="s">
        <v>13859</v>
      </c>
      <c r="B1131" s="102">
        <v>2594</v>
      </c>
      <c r="C1131" s="102">
        <v>2883</v>
      </c>
      <c r="D1131" s="102">
        <f>Table22[[#This Row],[CURRENT]]-Table22[[#This Row],[IDEAL]]</f>
        <v>-289</v>
      </c>
    </row>
    <row r="1132" spans="1:4" x14ac:dyDescent="0.25">
      <c r="A1132" t="s">
        <v>16598</v>
      </c>
      <c r="B1132" s="102">
        <v>1230</v>
      </c>
      <c r="C1132" s="102">
        <v>1519</v>
      </c>
      <c r="D1132" s="102">
        <f>Table22[[#This Row],[CURRENT]]-Table22[[#This Row],[IDEAL]]</f>
        <v>-289</v>
      </c>
    </row>
    <row r="1133" spans="1:4" x14ac:dyDescent="0.25">
      <c r="A1133" t="s">
        <v>16270</v>
      </c>
      <c r="B1133" s="102">
        <v>2593</v>
      </c>
      <c r="C1133" s="102">
        <v>2882</v>
      </c>
      <c r="D1133" s="102">
        <f>Table22[[#This Row],[CURRENT]]-Table22[[#This Row],[IDEAL]]</f>
        <v>-289</v>
      </c>
    </row>
    <row r="1134" spans="1:4" x14ac:dyDescent="0.25">
      <c r="A1134" t="s">
        <v>15049</v>
      </c>
      <c r="B1134" s="102">
        <v>1151</v>
      </c>
      <c r="C1134" s="102">
        <v>1439</v>
      </c>
      <c r="D1134" s="102">
        <f>Table22[[#This Row],[CURRENT]]-Table22[[#This Row],[IDEAL]]</f>
        <v>-288</v>
      </c>
    </row>
    <row r="1135" spans="1:4" x14ac:dyDescent="0.25">
      <c r="A1135" t="s">
        <v>14819</v>
      </c>
      <c r="B1135" s="102">
        <v>2109</v>
      </c>
      <c r="C1135" s="102">
        <v>2397</v>
      </c>
      <c r="D1135" s="102">
        <f>Table22[[#This Row],[CURRENT]]-Table22[[#This Row],[IDEAL]]</f>
        <v>-288</v>
      </c>
    </row>
    <row r="1136" spans="1:4" x14ac:dyDescent="0.25">
      <c r="A1136" t="s">
        <v>16600</v>
      </c>
      <c r="B1136" s="102">
        <v>1224</v>
      </c>
      <c r="C1136" s="102">
        <v>1512</v>
      </c>
      <c r="D1136" s="102">
        <f>Table22[[#This Row],[CURRENT]]-Table22[[#This Row],[IDEAL]]</f>
        <v>-288</v>
      </c>
    </row>
    <row r="1137" spans="1:4" x14ac:dyDescent="0.25">
      <c r="A1137" t="s">
        <v>14709</v>
      </c>
      <c r="B1137" s="102">
        <v>1401</v>
      </c>
      <c r="C1137" s="102">
        <v>1688</v>
      </c>
      <c r="D1137" s="102">
        <f>Table22[[#This Row],[CURRENT]]-Table22[[#This Row],[IDEAL]]</f>
        <v>-287</v>
      </c>
    </row>
    <row r="1138" spans="1:4" x14ac:dyDescent="0.25">
      <c r="A1138" t="s">
        <v>14752</v>
      </c>
      <c r="B1138" s="102">
        <v>1626</v>
      </c>
      <c r="C1138" s="102">
        <v>1913</v>
      </c>
      <c r="D1138" s="102">
        <f>Table22[[#This Row],[CURRENT]]-Table22[[#This Row],[IDEAL]]</f>
        <v>-287</v>
      </c>
    </row>
    <row r="1139" spans="1:4" x14ac:dyDescent="0.25">
      <c r="A1139" t="s">
        <v>16583</v>
      </c>
      <c r="B1139" s="102">
        <v>1400</v>
      </c>
      <c r="C1139" s="102">
        <v>1687</v>
      </c>
      <c r="D1139" s="102">
        <f>Table22[[#This Row],[CURRENT]]-Table22[[#This Row],[IDEAL]]</f>
        <v>-287</v>
      </c>
    </row>
    <row r="1140" spans="1:4" x14ac:dyDescent="0.25">
      <c r="A1140" t="s">
        <v>15560</v>
      </c>
      <c r="B1140" s="102">
        <v>1754</v>
      </c>
      <c r="C1140" s="102">
        <v>2040</v>
      </c>
      <c r="D1140" s="102">
        <f>Table22[[#This Row],[CURRENT]]-Table22[[#This Row],[IDEAL]]</f>
        <v>-286</v>
      </c>
    </row>
    <row r="1141" spans="1:4" x14ac:dyDescent="0.25">
      <c r="A1141" t="s">
        <v>17488</v>
      </c>
      <c r="B1141" s="102">
        <v>2314</v>
      </c>
      <c r="C1141" s="102">
        <v>2600</v>
      </c>
      <c r="D1141" s="102">
        <f>Table22[[#This Row],[CURRENT]]-Table22[[#This Row],[IDEAL]]</f>
        <v>-286</v>
      </c>
    </row>
    <row r="1142" spans="1:4" x14ac:dyDescent="0.25">
      <c r="A1142" t="s">
        <v>17501</v>
      </c>
      <c r="B1142" s="102">
        <v>2096</v>
      </c>
      <c r="C1142" s="102">
        <v>2382</v>
      </c>
      <c r="D1142" s="102">
        <f>Table22[[#This Row],[CURRENT]]-Table22[[#This Row],[IDEAL]]</f>
        <v>-286</v>
      </c>
    </row>
    <row r="1143" spans="1:4" x14ac:dyDescent="0.25">
      <c r="A1143" t="s">
        <v>16613</v>
      </c>
      <c r="B1143" s="102">
        <v>1143</v>
      </c>
      <c r="C1143" s="102">
        <v>1429</v>
      </c>
      <c r="D1143" s="102">
        <f>Table22[[#This Row],[CURRENT]]-Table22[[#This Row],[IDEAL]]</f>
        <v>-286</v>
      </c>
    </row>
    <row r="1144" spans="1:4" x14ac:dyDescent="0.25">
      <c r="A1144" t="s">
        <v>14750</v>
      </c>
      <c r="B1144" s="102">
        <v>1611</v>
      </c>
      <c r="C1144" s="102">
        <v>1896</v>
      </c>
      <c r="D1144" s="102">
        <f>Table22[[#This Row],[CURRENT]]-Table22[[#This Row],[IDEAL]]</f>
        <v>-285</v>
      </c>
    </row>
    <row r="1145" spans="1:4" x14ac:dyDescent="0.25">
      <c r="A1145" t="s">
        <v>16275</v>
      </c>
      <c r="B1145" s="102">
        <v>2563</v>
      </c>
      <c r="C1145" s="102">
        <v>2848</v>
      </c>
      <c r="D1145" s="102">
        <f>Table22[[#This Row],[CURRENT]]-Table22[[#This Row],[IDEAL]]</f>
        <v>-285</v>
      </c>
    </row>
    <row r="1146" spans="1:4" x14ac:dyDescent="0.25">
      <c r="A1146" t="s">
        <v>16602</v>
      </c>
      <c r="B1146" s="102">
        <v>1215</v>
      </c>
      <c r="C1146" s="102">
        <v>1500</v>
      </c>
      <c r="D1146" s="102">
        <f>Table22[[#This Row],[CURRENT]]-Table22[[#This Row],[IDEAL]]</f>
        <v>-285</v>
      </c>
    </row>
    <row r="1147" spans="1:4" x14ac:dyDescent="0.25">
      <c r="A1147" t="s">
        <v>16561</v>
      </c>
      <c r="B1147" s="102">
        <v>1609</v>
      </c>
      <c r="C1147" s="102">
        <v>1894</v>
      </c>
      <c r="D1147" s="102">
        <f>Table22[[#This Row],[CURRENT]]-Table22[[#This Row],[IDEAL]]</f>
        <v>-285</v>
      </c>
    </row>
    <row r="1148" spans="1:4" x14ac:dyDescent="0.25">
      <c r="A1148" t="s">
        <v>16603</v>
      </c>
      <c r="B1148" s="102">
        <v>1208</v>
      </c>
      <c r="C1148" s="102">
        <v>1492</v>
      </c>
      <c r="D1148" s="102">
        <f>Table22[[#This Row],[CURRENT]]-Table22[[#This Row],[IDEAL]]</f>
        <v>-284</v>
      </c>
    </row>
    <row r="1149" spans="1:4" x14ac:dyDescent="0.25">
      <c r="A1149" t="s">
        <v>14788</v>
      </c>
      <c r="B1149" s="102">
        <v>2281</v>
      </c>
      <c r="C1149" s="102">
        <v>2564</v>
      </c>
      <c r="D1149" s="102">
        <f>Table22[[#This Row],[CURRENT]]-Table22[[#This Row],[IDEAL]]</f>
        <v>-283</v>
      </c>
    </row>
    <row r="1150" spans="1:4" x14ac:dyDescent="0.25">
      <c r="A1150" t="s">
        <v>13497</v>
      </c>
      <c r="B1150" s="102">
        <v>1206</v>
      </c>
      <c r="C1150" s="102">
        <v>1489</v>
      </c>
      <c r="D1150" s="102">
        <f>Table22[[#This Row],[CURRENT]]-Table22[[#This Row],[IDEAL]]</f>
        <v>-283</v>
      </c>
    </row>
    <row r="1151" spans="1:4" x14ac:dyDescent="0.25">
      <c r="A1151" t="s">
        <v>18075</v>
      </c>
      <c r="B1151" s="102">
        <v>1129</v>
      </c>
      <c r="C1151" s="102">
        <v>1412</v>
      </c>
      <c r="D1151" s="102">
        <f>Table22[[#This Row],[CURRENT]]-Table22[[#This Row],[IDEAL]]</f>
        <v>-283</v>
      </c>
    </row>
    <row r="1152" spans="1:4" x14ac:dyDescent="0.25">
      <c r="A1152" t="s">
        <v>16359</v>
      </c>
      <c r="B1152" s="102">
        <v>2286</v>
      </c>
      <c r="C1152" s="102">
        <v>2569</v>
      </c>
      <c r="D1152" s="102">
        <f>Table22[[#This Row],[CURRENT]]-Table22[[#This Row],[IDEAL]]</f>
        <v>-283</v>
      </c>
    </row>
    <row r="1153" spans="1:4" x14ac:dyDescent="0.25">
      <c r="A1153" t="s">
        <v>16360</v>
      </c>
      <c r="B1153" s="102">
        <v>2281</v>
      </c>
      <c r="C1153" s="102">
        <v>2564</v>
      </c>
      <c r="D1153" s="102">
        <f>Table22[[#This Row],[CURRENT]]-Table22[[#This Row],[IDEAL]]</f>
        <v>-283</v>
      </c>
    </row>
    <row r="1154" spans="1:4" x14ac:dyDescent="0.25">
      <c r="A1154" t="s">
        <v>14780</v>
      </c>
      <c r="B1154" s="102">
        <v>1592</v>
      </c>
      <c r="C1154" s="102">
        <v>1874</v>
      </c>
      <c r="D1154" s="102">
        <f>Table22[[#This Row],[CURRENT]]-Table22[[#This Row],[IDEAL]]</f>
        <v>-282</v>
      </c>
    </row>
    <row r="1155" spans="1:4" x14ac:dyDescent="0.25">
      <c r="A1155" t="s">
        <v>13703</v>
      </c>
      <c r="B1155" s="102">
        <v>1281</v>
      </c>
      <c r="C1155" s="102">
        <v>1563</v>
      </c>
      <c r="D1155" s="102">
        <f>Table22[[#This Row],[CURRENT]]-Table22[[#This Row],[IDEAL]]</f>
        <v>-282</v>
      </c>
    </row>
    <row r="1156" spans="1:4" x14ac:dyDescent="0.25">
      <c r="A1156" t="s">
        <v>13527</v>
      </c>
      <c r="B1156" s="102">
        <v>1478</v>
      </c>
      <c r="C1156" s="102">
        <v>1760</v>
      </c>
      <c r="D1156" s="102">
        <f>Table22[[#This Row],[CURRENT]]-Table22[[#This Row],[IDEAL]]</f>
        <v>-282</v>
      </c>
    </row>
    <row r="1157" spans="1:4" x14ac:dyDescent="0.25">
      <c r="A1157" t="s">
        <v>17070</v>
      </c>
      <c r="B1157" s="102">
        <v>1729</v>
      </c>
      <c r="C1157" s="102">
        <v>2011</v>
      </c>
      <c r="D1157" s="102">
        <f>Table22[[#This Row],[CURRENT]]-Table22[[#This Row],[IDEAL]]</f>
        <v>-282</v>
      </c>
    </row>
    <row r="1158" spans="1:4" x14ac:dyDescent="0.25">
      <c r="A1158" t="s">
        <v>16284</v>
      </c>
      <c r="B1158" s="102">
        <v>2529</v>
      </c>
      <c r="C1158" s="102">
        <v>2811</v>
      </c>
      <c r="D1158" s="102">
        <f>Table22[[#This Row],[CURRENT]]-Table22[[#This Row],[IDEAL]]</f>
        <v>-282</v>
      </c>
    </row>
    <row r="1159" spans="1:4" x14ac:dyDescent="0.25">
      <c r="A1159" t="s">
        <v>15632</v>
      </c>
      <c r="B1159" s="102">
        <v>1473</v>
      </c>
      <c r="C1159" s="102">
        <v>1754</v>
      </c>
      <c r="D1159" s="102">
        <f>Table22[[#This Row],[CURRENT]]-Table22[[#This Row],[IDEAL]]</f>
        <v>-281</v>
      </c>
    </row>
    <row r="1160" spans="1:4" x14ac:dyDescent="0.25">
      <c r="A1160" t="s">
        <v>13709</v>
      </c>
      <c r="B1160" s="102">
        <v>2059</v>
      </c>
      <c r="C1160" s="102">
        <v>2340</v>
      </c>
      <c r="D1160" s="102">
        <f>Table22[[#This Row],[CURRENT]]-Table22[[#This Row],[IDEAL]]</f>
        <v>-281</v>
      </c>
    </row>
    <row r="1161" spans="1:4" x14ac:dyDescent="0.25">
      <c r="A1161" t="s">
        <v>16287</v>
      </c>
      <c r="B1161" s="102">
        <v>2527</v>
      </c>
      <c r="C1161" s="102">
        <v>2808</v>
      </c>
      <c r="D1161" s="102">
        <f>Table22[[#This Row],[CURRENT]]-Table22[[#This Row],[IDEAL]]</f>
        <v>-281</v>
      </c>
    </row>
    <row r="1162" spans="1:4" x14ac:dyDescent="0.25">
      <c r="A1162" t="s">
        <v>15380</v>
      </c>
      <c r="B1162" s="102">
        <v>2257</v>
      </c>
      <c r="C1162" s="102">
        <v>2537</v>
      </c>
      <c r="D1162" s="102">
        <f>Table22[[#This Row],[CURRENT]]-Table22[[#This Row],[IDEAL]]</f>
        <v>-280</v>
      </c>
    </row>
    <row r="1163" spans="1:4" x14ac:dyDescent="0.25">
      <c r="A1163" t="s">
        <v>14787</v>
      </c>
      <c r="B1163" s="102">
        <v>1714</v>
      </c>
      <c r="C1163" s="102">
        <v>1994</v>
      </c>
      <c r="D1163" s="102">
        <f>Table22[[#This Row],[CURRENT]]-Table22[[#This Row],[IDEAL]]</f>
        <v>-280</v>
      </c>
    </row>
    <row r="1164" spans="1:4" x14ac:dyDescent="0.25">
      <c r="A1164" t="s">
        <v>18095</v>
      </c>
      <c r="B1164" s="102">
        <v>1467</v>
      </c>
      <c r="C1164" s="102">
        <v>1747</v>
      </c>
      <c r="D1164" s="102">
        <f>Table22[[#This Row],[CURRENT]]-Table22[[#This Row],[IDEAL]]</f>
        <v>-280</v>
      </c>
    </row>
    <row r="1165" spans="1:4" x14ac:dyDescent="0.25">
      <c r="A1165" t="s">
        <v>16290</v>
      </c>
      <c r="B1165" s="102">
        <v>2517</v>
      </c>
      <c r="C1165" s="102">
        <v>2797</v>
      </c>
      <c r="D1165" s="102">
        <f>Table22[[#This Row],[CURRENT]]-Table22[[#This Row],[IDEAL]]</f>
        <v>-280</v>
      </c>
    </row>
    <row r="1166" spans="1:4" x14ac:dyDescent="0.25">
      <c r="A1166" t="s">
        <v>14743</v>
      </c>
      <c r="B1166" s="102">
        <v>2042</v>
      </c>
      <c r="C1166" s="102">
        <v>2321</v>
      </c>
      <c r="D1166" s="102">
        <f>Table22[[#This Row],[CURRENT]]-Table22[[#This Row],[IDEAL]]</f>
        <v>-279</v>
      </c>
    </row>
    <row r="1167" spans="1:4" x14ac:dyDescent="0.25">
      <c r="A1167" t="s">
        <v>14664</v>
      </c>
      <c r="B1167" s="102">
        <v>1456</v>
      </c>
      <c r="C1167" s="102">
        <v>1734</v>
      </c>
      <c r="D1167" s="102">
        <f>Table22[[#This Row],[CURRENT]]-Table22[[#This Row],[IDEAL]]</f>
        <v>-278</v>
      </c>
    </row>
    <row r="1168" spans="1:4" x14ac:dyDescent="0.25">
      <c r="A1168" t="s">
        <v>17591</v>
      </c>
      <c r="B1168" s="102">
        <v>1858</v>
      </c>
      <c r="C1168" s="102">
        <v>2136</v>
      </c>
      <c r="D1168" s="102">
        <f>Table22[[#This Row],[CURRENT]]-Table22[[#This Row],[IDEAL]]</f>
        <v>-278</v>
      </c>
    </row>
    <row r="1169" spans="1:4" x14ac:dyDescent="0.25">
      <c r="A1169" t="s">
        <v>16376</v>
      </c>
      <c r="B1169" s="102">
        <v>2248</v>
      </c>
      <c r="C1169" s="102">
        <v>2526</v>
      </c>
      <c r="D1169" s="102">
        <f>Table22[[#This Row],[CURRENT]]-Table22[[#This Row],[IDEAL]]</f>
        <v>-278</v>
      </c>
    </row>
    <row r="1170" spans="1:4" x14ac:dyDescent="0.25">
      <c r="A1170" t="s">
        <v>17541</v>
      </c>
      <c r="B1170" s="102">
        <v>2484</v>
      </c>
      <c r="C1170" s="102">
        <v>2761</v>
      </c>
      <c r="D1170" s="102">
        <f>Table22[[#This Row],[CURRENT]]-Table22[[#This Row],[IDEAL]]</f>
        <v>-277</v>
      </c>
    </row>
    <row r="1171" spans="1:4" x14ac:dyDescent="0.25">
      <c r="A1171" t="s">
        <v>16459</v>
      </c>
      <c r="B1171" s="102">
        <v>2026</v>
      </c>
      <c r="C1171" s="102">
        <v>2303</v>
      </c>
      <c r="D1171" s="102">
        <f>Table22[[#This Row],[CURRENT]]-Table22[[#This Row],[IDEAL]]</f>
        <v>-277</v>
      </c>
    </row>
    <row r="1172" spans="1:4" x14ac:dyDescent="0.25">
      <c r="A1172" t="s">
        <v>14909</v>
      </c>
      <c r="B1172" s="102">
        <v>2023</v>
      </c>
      <c r="C1172" s="102">
        <v>2299</v>
      </c>
      <c r="D1172" s="102">
        <f>Table22[[#This Row],[CURRENT]]-Table22[[#This Row],[IDEAL]]</f>
        <v>-276</v>
      </c>
    </row>
    <row r="1173" spans="1:4" x14ac:dyDescent="0.25">
      <c r="A1173" t="s">
        <v>14955</v>
      </c>
      <c r="B1173" s="102">
        <v>2226</v>
      </c>
      <c r="C1173" s="102">
        <v>2502</v>
      </c>
      <c r="D1173" s="102">
        <f>Table22[[#This Row],[CURRENT]]-Table22[[#This Row],[IDEAL]]</f>
        <v>-276</v>
      </c>
    </row>
    <row r="1174" spans="1:4" x14ac:dyDescent="0.25">
      <c r="A1174" t="s">
        <v>15535</v>
      </c>
      <c r="B1174" s="102">
        <v>1833</v>
      </c>
      <c r="C1174" s="102">
        <v>2108</v>
      </c>
      <c r="D1174" s="102">
        <f>Table22[[#This Row],[CURRENT]]-Table22[[#This Row],[IDEAL]]</f>
        <v>-275</v>
      </c>
    </row>
    <row r="1175" spans="1:4" x14ac:dyDescent="0.25">
      <c r="A1175" t="s">
        <v>17496</v>
      </c>
      <c r="B1175" s="102">
        <v>2218</v>
      </c>
      <c r="C1175" s="102">
        <v>2493</v>
      </c>
      <c r="D1175" s="102">
        <f>Table22[[#This Row],[CURRENT]]-Table22[[#This Row],[IDEAL]]</f>
        <v>-275</v>
      </c>
    </row>
    <row r="1176" spans="1:4" x14ac:dyDescent="0.25">
      <c r="A1176" t="s">
        <v>16511</v>
      </c>
      <c r="B1176" s="102">
        <v>1838</v>
      </c>
      <c r="C1176" s="102">
        <v>2113</v>
      </c>
      <c r="D1176" s="102">
        <f>Table22[[#This Row],[CURRENT]]-Table22[[#This Row],[IDEAL]]</f>
        <v>-275</v>
      </c>
    </row>
    <row r="1177" spans="1:4" x14ac:dyDescent="0.25">
      <c r="A1177" t="s">
        <v>14775</v>
      </c>
      <c r="B1177" s="102">
        <v>1436</v>
      </c>
      <c r="C1177" s="102">
        <v>1710</v>
      </c>
      <c r="D1177" s="102">
        <f>Table22[[#This Row],[CURRENT]]-Table22[[#This Row],[IDEAL]]</f>
        <v>-274</v>
      </c>
    </row>
    <row r="1178" spans="1:4" x14ac:dyDescent="0.25">
      <c r="A1178" t="s">
        <v>17848</v>
      </c>
      <c r="B1178" s="102">
        <v>1547</v>
      </c>
      <c r="C1178" s="102">
        <v>1821</v>
      </c>
      <c r="D1178" s="102">
        <f>Table22[[#This Row],[CURRENT]]-Table22[[#This Row],[IDEAL]]</f>
        <v>-274</v>
      </c>
    </row>
    <row r="1179" spans="1:4" x14ac:dyDescent="0.25">
      <c r="A1179" t="s">
        <v>13811</v>
      </c>
      <c r="B1179" s="102">
        <v>2205</v>
      </c>
      <c r="C1179" s="102">
        <v>2478</v>
      </c>
      <c r="D1179" s="102">
        <f>Table22[[#This Row],[CURRENT]]-Table22[[#This Row],[IDEAL]]</f>
        <v>-273</v>
      </c>
    </row>
    <row r="1180" spans="1:4" x14ac:dyDescent="0.25">
      <c r="A1180" t="s">
        <v>13525</v>
      </c>
      <c r="B1180" s="102">
        <v>1542</v>
      </c>
      <c r="C1180" s="102">
        <v>1815</v>
      </c>
      <c r="D1180" s="102">
        <f>Table22[[#This Row],[CURRENT]]-Table22[[#This Row],[IDEAL]]</f>
        <v>-273</v>
      </c>
    </row>
    <row r="1181" spans="1:4" x14ac:dyDescent="0.25">
      <c r="A1181" t="s">
        <v>16625</v>
      </c>
      <c r="B1181" s="102">
        <v>1092</v>
      </c>
      <c r="C1181" s="102">
        <v>1365</v>
      </c>
      <c r="D1181" s="102">
        <f>Table22[[#This Row],[CURRENT]]-Table22[[#This Row],[IDEAL]]</f>
        <v>-273</v>
      </c>
    </row>
    <row r="1182" spans="1:4" x14ac:dyDescent="0.25">
      <c r="A1182" t="s">
        <v>12199</v>
      </c>
      <c r="B1182" s="102">
        <v>1159</v>
      </c>
      <c r="C1182" s="102">
        <v>1431</v>
      </c>
      <c r="D1182" s="102">
        <f>Table22[[#This Row],[CURRENT]]-Table22[[#This Row],[IDEAL]]</f>
        <v>-272</v>
      </c>
    </row>
    <row r="1183" spans="1:4" x14ac:dyDescent="0.25">
      <c r="A1183" t="s">
        <v>14778</v>
      </c>
      <c r="B1183" s="102">
        <v>1537</v>
      </c>
      <c r="C1183" s="102">
        <v>1809</v>
      </c>
      <c r="D1183" s="102">
        <f>Table22[[#This Row],[CURRENT]]-Table22[[#This Row],[IDEAL]]</f>
        <v>-272</v>
      </c>
    </row>
    <row r="1184" spans="1:4" x14ac:dyDescent="0.25">
      <c r="A1184" t="s">
        <v>17117</v>
      </c>
      <c r="B1184" s="102">
        <v>2195</v>
      </c>
      <c r="C1184" s="102">
        <v>2467</v>
      </c>
      <c r="D1184" s="102">
        <f>Table22[[#This Row],[CURRENT]]-Table22[[#This Row],[IDEAL]]</f>
        <v>-272</v>
      </c>
    </row>
    <row r="1185" spans="1:4" x14ac:dyDescent="0.25">
      <c r="A1185" t="s">
        <v>14298</v>
      </c>
      <c r="B1185" s="102">
        <v>2192</v>
      </c>
      <c r="C1185" s="102">
        <v>2463</v>
      </c>
      <c r="D1185" s="102">
        <f>Table22[[#This Row],[CURRENT]]-Table22[[#This Row],[IDEAL]]</f>
        <v>-271</v>
      </c>
    </row>
    <row r="1186" spans="1:4" x14ac:dyDescent="0.25">
      <c r="A1186" t="s">
        <v>14716</v>
      </c>
      <c r="B1186" s="102">
        <v>1534</v>
      </c>
      <c r="C1186" s="102">
        <v>1805</v>
      </c>
      <c r="D1186" s="102">
        <f>Table22[[#This Row],[CURRENT]]-Table22[[#This Row],[IDEAL]]</f>
        <v>-271</v>
      </c>
    </row>
    <row r="1187" spans="1:4" x14ac:dyDescent="0.25">
      <c r="A1187" t="s">
        <v>14758</v>
      </c>
      <c r="B1187" s="102">
        <v>1654</v>
      </c>
      <c r="C1187" s="102">
        <v>1924</v>
      </c>
      <c r="D1187" s="102">
        <f>Table22[[#This Row],[CURRENT]]-Table22[[#This Row],[IDEAL]]</f>
        <v>-270</v>
      </c>
    </row>
    <row r="1188" spans="1:4" x14ac:dyDescent="0.25">
      <c r="A1188" t="s">
        <v>17547</v>
      </c>
      <c r="B1188" s="102">
        <v>2430</v>
      </c>
      <c r="C1188" s="102">
        <v>2700</v>
      </c>
      <c r="D1188" s="102">
        <f>Table22[[#This Row],[CURRENT]]-Table22[[#This Row],[IDEAL]]</f>
        <v>-270</v>
      </c>
    </row>
    <row r="1189" spans="1:4" x14ac:dyDescent="0.25">
      <c r="A1189" t="s">
        <v>16614</v>
      </c>
      <c r="B1189" s="102">
        <v>1151</v>
      </c>
      <c r="C1189" s="102">
        <v>1421</v>
      </c>
      <c r="D1189" s="102">
        <f>Table22[[#This Row],[CURRENT]]-Table22[[#This Row],[IDEAL]]</f>
        <v>-270</v>
      </c>
    </row>
    <row r="1190" spans="1:4" x14ac:dyDescent="0.25">
      <c r="A1190" t="s">
        <v>15775</v>
      </c>
      <c r="B1190" s="102">
        <v>1074</v>
      </c>
      <c r="C1190" s="102">
        <v>1343</v>
      </c>
      <c r="D1190" s="102">
        <f>Table22[[#This Row],[CURRENT]]-Table22[[#This Row],[IDEAL]]</f>
        <v>-269</v>
      </c>
    </row>
    <row r="1191" spans="1:4" x14ac:dyDescent="0.25">
      <c r="A1191" t="s">
        <v>15365</v>
      </c>
      <c r="B1191" s="102">
        <v>2405</v>
      </c>
      <c r="C1191" s="102">
        <v>2673</v>
      </c>
      <c r="D1191" s="102">
        <f>Table22[[#This Row],[CURRENT]]-Table22[[#This Row],[IDEAL]]</f>
        <v>-268</v>
      </c>
    </row>
    <row r="1192" spans="1:4" x14ac:dyDescent="0.25">
      <c r="A1192" t="s">
        <v>14781</v>
      </c>
      <c r="B1192" s="102">
        <v>1786</v>
      </c>
      <c r="C1192" s="102">
        <v>2054</v>
      </c>
      <c r="D1192" s="102">
        <f>Table22[[#This Row],[CURRENT]]-Table22[[#This Row],[IDEAL]]</f>
        <v>-268</v>
      </c>
    </row>
    <row r="1193" spans="1:4" x14ac:dyDescent="0.25">
      <c r="A1193" t="s">
        <v>13681</v>
      </c>
      <c r="B1193" s="102">
        <v>2167</v>
      </c>
      <c r="C1193" s="102">
        <v>2435</v>
      </c>
      <c r="D1193" s="102">
        <f>Table22[[#This Row],[CURRENT]]-Table22[[#This Row],[IDEAL]]</f>
        <v>-268</v>
      </c>
    </row>
    <row r="1194" spans="1:4" x14ac:dyDescent="0.25">
      <c r="A1194" t="s">
        <v>14045</v>
      </c>
      <c r="B1194" s="102">
        <v>1217</v>
      </c>
      <c r="C1194" s="102">
        <v>1485</v>
      </c>
      <c r="D1194" s="102">
        <f>Table22[[#This Row],[CURRENT]]-Table22[[#This Row],[IDEAL]]</f>
        <v>-268</v>
      </c>
    </row>
    <row r="1195" spans="1:4" x14ac:dyDescent="0.25">
      <c r="A1195" t="s">
        <v>17593</v>
      </c>
      <c r="B1195" s="102">
        <v>1791</v>
      </c>
      <c r="C1195" s="102">
        <v>2059</v>
      </c>
      <c r="D1195" s="102">
        <f>Table22[[#This Row],[CURRENT]]-Table22[[#This Row],[IDEAL]]</f>
        <v>-268</v>
      </c>
    </row>
    <row r="1196" spans="1:4" x14ac:dyDescent="0.25">
      <c r="A1196" t="s">
        <v>15698</v>
      </c>
      <c r="B1196" s="102">
        <v>1301</v>
      </c>
      <c r="C1196" s="102">
        <v>1568</v>
      </c>
      <c r="D1196" s="102">
        <f>Table22[[#This Row],[CURRENT]]-Table22[[#This Row],[IDEAL]]</f>
        <v>-267</v>
      </c>
    </row>
    <row r="1197" spans="1:4" x14ac:dyDescent="0.25">
      <c r="A1197" t="s">
        <v>17551</v>
      </c>
      <c r="B1197" s="102">
        <v>2396</v>
      </c>
      <c r="C1197" s="102">
        <v>2663</v>
      </c>
      <c r="D1197" s="102">
        <f>Table22[[#This Row],[CURRENT]]-Table22[[#This Row],[IDEAL]]</f>
        <v>-267</v>
      </c>
    </row>
    <row r="1198" spans="1:4" x14ac:dyDescent="0.25">
      <c r="A1198" t="s">
        <v>17746</v>
      </c>
      <c r="B1198" s="102">
        <v>1065</v>
      </c>
      <c r="C1198" s="102">
        <v>1332</v>
      </c>
      <c r="D1198" s="102">
        <f>Table22[[#This Row],[CURRENT]]-Table22[[#This Row],[IDEAL]]</f>
        <v>-267</v>
      </c>
    </row>
    <row r="1199" spans="1:4" x14ac:dyDescent="0.25">
      <c r="A1199" t="s">
        <v>14699</v>
      </c>
      <c r="B1199" s="102">
        <v>1632</v>
      </c>
      <c r="C1199" s="102">
        <v>1898</v>
      </c>
      <c r="D1199" s="102">
        <f>Table22[[#This Row],[CURRENT]]-Table22[[#This Row],[IDEAL]]</f>
        <v>-266</v>
      </c>
    </row>
    <row r="1200" spans="1:4" x14ac:dyDescent="0.25">
      <c r="A1200" t="s">
        <v>16617</v>
      </c>
      <c r="B1200" s="102">
        <v>1132</v>
      </c>
      <c r="C1200" s="102">
        <v>1398</v>
      </c>
      <c r="D1200" s="102">
        <f>Table22[[#This Row],[CURRENT]]-Table22[[#This Row],[IDEAL]]</f>
        <v>-266</v>
      </c>
    </row>
    <row r="1201" spans="1:4" x14ac:dyDescent="0.25">
      <c r="A1201" t="s">
        <v>16608</v>
      </c>
      <c r="B1201" s="102">
        <v>1207</v>
      </c>
      <c r="C1201" s="102">
        <v>1473</v>
      </c>
      <c r="D1201" s="102">
        <f>Table22[[#This Row],[CURRENT]]-Table22[[#This Row],[IDEAL]]</f>
        <v>-266</v>
      </c>
    </row>
    <row r="1202" spans="1:4" x14ac:dyDescent="0.25">
      <c r="A1202" t="s">
        <v>16606</v>
      </c>
      <c r="B1202" s="102">
        <v>1211</v>
      </c>
      <c r="C1202" s="102">
        <v>1477</v>
      </c>
      <c r="D1202" s="102">
        <f>Table22[[#This Row],[CURRENT]]-Table22[[#This Row],[IDEAL]]</f>
        <v>-266</v>
      </c>
    </row>
    <row r="1203" spans="1:4" x14ac:dyDescent="0.25">
      <c r="A1203" t="s">
        <v>15052</v>
      </c>
      <c r="B1203" s="102">
        <v>1289</v>
      </c>
      <c r="C1203" s="102">
        <v>1554</v>
      </c>
      <c r="D1203" s="102">
        <f>Table22[[#This Row],[CURRENT]]-Table22[[#This Row],[IDEAL]]</f>
        <v>-265</v>
      </c>
    </row>
    <row r="1204" spans="1:4" x14ac:dyDescent="0.25">
      <c r="A1204" t="s">
        <v>14852</v>
      </c>
      <c r="B1204" s="102">
        <v>1060</v>
      </c>
      <c r="C1204" s="102">
        <v>1325</v>
      </c>
      <c r="D1204" s="102">
        <f>Table22[[#This Row],[CURRENT]]-Table22[[#This Row],[IDEAL]]</f>
        <v>-265</v>
      </c>
    </row>
    <row r="1205" spans="1:4" x14ac:dyDescent="0.25">
      <c r="A1205" t="s">
        <v>16530</v>
      </c>
      <c r="B1205" s="102">
        <v>1772</v>
      </c>
      <c r="C1205" s="102">
        <v>2037</v>
      </c>
      <c r="D1205" s="102">
        <f>Table22[[#This Row],[CURRENT]]-Table22[[#This Row],[IDEAL]]</f>
        <v>-265</v>
      </c>
    </row>
    <row r="1206" spans="1:4" x14ac:dyDescent="0.25">
      <c r="A1206" t="s">
        <v>13498</v>
      </c>
      <c r="B1206" s="102">
        <v>1200</v>
      </c>
      <c r="C1206" s="102">
        <v>1464</v>
      </c>
      <c r="D1206" s="102">
        <f>Table22[[#This Row],[CURRENT]]-Table22[[#This Row],[IDEAL]]</f>
        <v>-264</v>
      </c>
    </row>
    <row r="1207" spans="1:4" x14ac:dyDescent="0.25">
      <c r="A1207" t="s">
        <v>17118</v>
      </c>
      <c r="B1207" s="102">
        <v>2124</v>
      </c>
      <c r="C1207" s="102">
        <v>2387</v>
      </c>
      <c r="D1207" s="102">
        <f>Table22[[#This Row],[CURRENT]]-Table22[[#This Row],[IDEAL]]</f>
        <v>-263</v>
      </c>
    </row>
    <row r="1208" spans="1:4" x14ac:dyDescent="0.25">
      <c r="A1208" t="s">
        <v>16330</v>
      </c>
      <c r="B1208" s="102">
        <v>2366</v>
      </c>
      <c r="C1208" s="102">
        <v>2629</v>
      </c>
      <c r="D1208" s="102">
        <f>Table22[[#This Row],[CURRENT]]-Table22[[#This Row],[IDEAL]]</f>
        <v>-263</v>
      </c>
    </row>
    <row r="1209" spans="1:4" x14ac:dyDescent="0.25">
      <c r="A1209" t="s">
        <v>16333</v>
      </c>
      <c r="B1209" s="102">
        <v>2364</v>
      </c>
      <c r="C1209" s="102">
        <v>2627</v>
      </c>
      <c r="D1209" s="102">
        <f>Table22[[#This Row],[CURRENT]]-Table22[[#This Row],[IDEAL]]</f>
        <v>-263</v>
      </c>
    </row>
    <row r="1210" spans="1:4" x14ac:dyDescent="0.25">
      <c r="A1210" t="s">
        <v>14770</v>
      </c>
      <c r="B1210" s="102">
        <v>1193</v>
      </c>
      <c r="C1210" s="102">
        <v>1455</v>
      </c>
      <c r="D1210" s="102">
        <f>Table22[[#This Row],[CURRENT]]-Table22[[#This Row],[IDEAL]]</f>
        <v>-262</v>
      </c>
    </row>
    <row r="1211" spans="1:4" x14ac:dyDescent="0.25">
      <c r="A1211" t="s">
        <v>14769</v>
      </c>
      <c r="B1211" s="102">
        <v>1048</v>
      </c>
      <c r="C1211" s="102">
        <v>1310</v>
      </c>
      <c r="D1211" s="102">
        <f>Table22[[#This Row],[CURRENT]]-Table22[[#This Row],[IDEAL]]</f>
        <v>-262</v>
      </c>
    </row>
    <row r="1212" spans="1:4" x14ac:dyDescent="0.25">
      <c r="A1212" t="s">
        <v>13657</v>
      </c>
      <c r="B1212" s="102">
        <v>2114</v>
      </c>
      <c r="C1212" s="102">
        <v>2376</v>
      </c>
      <c r="D1212" s="102">
        <f>Table22[[#This Row],[CURRENT]]-Table22[[#This Row],[IDEAL]]</f>
        <v>-262</v>
      </c>
    </row>
    <row r="1213" spans="1:4" x14ac:dyDescent="0.25">
      <c r="A1213" t="s">
        <v>18071</v>
      </c>
      <c r="B1213" s="102">
        <v>1278</v>
      </c>
      <c r="C1213" s="102">
        <v>1540</v>
      </c>
      <c r="D1213" s="102">
        <f>Table22[[#This Row],[CURRENT]]-Table22[[#This Row],[IDEAL]]</f>
        <v>-262</v>
      </c>
    </row>
    <row r="1214" spans="1:4" x14ac:dyDescent="0.25">
      <c r="A1214" t="s">
        <v>18014</v>
      </c>
      <c r="B1214" s="102">
        <v>1753</v>
      </c>
      <c r="C1214" s="102">
        <v>2015</v>
      </c>
      <c r="D1214" s="102">
        <f>Table22[[#This Row],[CURRENT]]-Table22[[#This Row],[IDEAL]]</f>
        <v>-262</v>
      </c>
    </row>
    <row r="1215" spans="1:4" x14ac:dyDescent="0.25">
      <c r="A1215" t="s">
        <v>17051</v>
      </c>
      <c r="B1215" s="102">
        <v>2357</v>
      </c>
      <c r="C1215" s="102">
        <v>2619</v>
      </c>
      <c r="D1215" s="102">
        <f>Table22[[#This Row],[CURRENT]]-Table22[[#This Row],[IDEAL]]</f>
        <v>-262</v>
      </c>
    </row>
    <row r="1216" spans="1:4" x14ac:dyDescent="0.25">
      <c r="A1216" t="s">
        <v>17071</v>
      </c>
      <c r="B1216" s="102">
        <v>1921</v>
      </c>
      <c r="C1216" s="102">
        <v>2183</v>
      </c>
      <c r="D1216" s="102">
        <f>Table22[[#This Row],[CURRENT]]-Table22[[#This Row],[IDEAL]]</f>
        <v>-262</v>
      </c>
    </row>
    <row r="1217" spans="1:4" x14ac:dyDescent="0.25">
      <c r="A1217" t="s">
        <v>16563</v>
      </c>
      <c r="B1217" s="102">
        <v>1608</v>
      </c>
      <c r="C1217" s="102">
        <v>1870</v>
      </c>
      <c r="D1217" s="102">
        <f>Table22[[#This Row],[CURRENT]]-Table22[[#This Row],[IDEAL]]</f>
        <v>-262</v>
      </c>
    </row>
    <row r="1218" spans="1:4" x14ac:dyDescent="0.25">
      <c r="A1218" t="s">
        <v>15371</v>
      </c>
      <c r="B1218" s="102">
        <v>2344</v>
      </c>
      <c r="C1218" s="102">
        <v>2605</v>
      </c>
      <c r="D1218" s="102">
        <f>Table22[[#This Row],[CURRENT]]-Table22[[#This Row],[IDEAL]]</f>
        <v>-261</v>
      </c>
    </row>
    <row r="1219" spans="1:4" x14ac:dyDescent="0.25">
      <c r="A1219" t="s">
        <v>13645</v>
      </c>
      <c r="B1219" s="102">
        <v>1598</v>
      </c>
      <c r="C1219" s="102">
        <v>1859</v>
      </c>
      <c r="D1219" s="102">
        <f>Table22[[#This Row],[CURRENT]]-Table22[[#This Row],[IDEAL]]</f>
        <v>-261</v>
      </c>
    </row>
    <row r="1220" spans="1:4" x14ac:dyDescent="0.25">
      <c r="A1220" t="s">
        <v>13686</v>
      </c>
      <c r="B1220" s="102">
        <v>1906</v>
      </c>
      <c r="C1220" s="102">
        <v>2167</v>
      </c>
      <c r="D1220" s="102">
        <f>Table22[[#This Row],[CURRENT]]-Table22[[#This Row],[IDEAL]]</f>
        <v>-261</v>
      </c>
    </row>
    <row r="1221" spans="1:4" x14ac:dyDescent="0.25">
      <c r="A1221" t="s">
        <v>16494</v>
      </c>
      <c r="B1221" s="102">
        <v>1909</v>
      </c>
      <c r="C1221" s="102">
        <v>2170</v>
      </c>
      <c r="D1221" s="102">
        <f>Table22[[#This Row],[CURRENT]]-Table22[[#This Row],[IDEAL]]</f>
        <v>-261</v>
      </c>
    </row>
    <row r="1222" spans="1:4" x14ac:dyDescent="0.25">
      <c r="A1222" t="s">
        <v>16346</v>
      </c>
      <c r="B1222" s="102">
        <v>2342</v>
      </c>
      <c r="C1222" s="102">
        <v>2603</v>
      </c>
      <c r="D1222" s="102">
        <f>Table22[[#This Row],[CURRENT]]-Table22[[#This Row],[IDEAL]]</f>
        <v>-261</v>
      </c>
    </row>
    <row r="1223" spans="1:4" x14ac:dyDescent="0.25">
      <c r="A1223" t="s">
        <v>14665</v>
      </c>
      <c r="B1223" s="102">
        <v>1471</v>
      </c>
      <c r="C1223" s="102">
        <v>1731</v>
      </c>
      <c r="D1223" s="102">
        <f>Table22[[#This Row],[CURRENT]]-Table22[[#This Row],[IDEAL]]</f>
        <v>-260</v>
      </c>
    </row>
    <row r="1224" spans="1:4" x14ac:dyDescent="0.25">
      <c r="A1224" t="s">
        <v>16496</v>
      </c>
      <c r="B1224" s="102">
        <v>1905</v>
      </c>
      <c r="C1224" s="102">
        <v>2165</v>
      </c>
      <c r="D1224" s="102">
        <f>Table22[[#This Row],[CURRENT]]-Table22[[#This Row],[IDEAL]]</f>
        <v>-260</v>
      </c>
    </row>
    <row r="1225" spans="1:4" x14ac:dyDescent="0.25">
      <c r="A1225" t="s">
        <v>14313</v>
      </c>
      <c r="B1225" s="102">
        <v>2328</v>
      </c>
      <c r="C1225" s="102">
        <v>2587</v>
      </c>
      <c r="D1225" s="102">
        <f>Table22[[#This Row],[CURRENT]]-Table22[[#This Row],[IDEAL]]</f>
        <v>-259</v>
      </c>
    </row>
    <row r="1226" spans="1:4" x14ac:dyDescent="0.25">
      <c r="A1226" t="s">
        <v>14747</v>
      </c>
      <c r="B1226" s="102">
        <v>2087</v>
      </c>
      <c r="C1226" s="102">
        <v>2346</v>
      </c>
      <c r="D1226" s="102">
        <f>Table22[[#This Row],[CURRENT]]-Table22[[#This Row],[IDEAL]]</f>
        <v>-259</v>
      </c>
    </row>
    <row r="1227" spans="1:4" x14ac:dyDescent="0.25">
      <c r="A1227" t="s">
        <v>17044</v>
      </c>
      <c r="B1227" s="102">
        <v>1898</v>
      </c>
      <c r="C1227" s="102">
        <v>2157</v>
      </c>
      <c r="D1227" s="102">
        <f>Table22[[#This Row],[CURRENT]]-Table22[[#This Row],[IDEAL]]</f>
        <v>-259</v>
      </c>
    </row>
    <row r="1228" spans="1:4" x14ac:dyDescent="0.25">
      <c r="A1228" t="s">
        <v>17562</v>
      </c>
      <c r="B1228" s="102">
        <v>2326</v>
      </c>
      <c r="C1228" s="102">
        <v>2585</v>
      </c>
      <c r="D1228" s="102">
        <f>Table22[[#This Row],[CURRENT]]-Table22[[#This Row],[IDEAL]]</f>
        <v>-259</v>
      </c>
    </row>
    <row r="1229" spans="1:4" x14ac:dyDescent="0.25">
      <c r="A1229" t="s">
        <v>17881</v>
      </c>
      <c r="B1229" s="102">
        <v>1359</v>
      </c>
      <c r="C1229" s="102">
        <v>1618</v>
      </c>
      <c r="D1229" s="102">
        <f>Table22[[#This Row],[CURRENT]]-Table22[[#This Row],[IDEAL]]</f>
        <v>-259</v>
      </c>
    </row>
    <row r="1230" spans="1:4" x14ac:dyDescent="0.25">
      <c r="A1230" t="s">
        <v>16352</v>
      </c>
      <c r="B1230" s="102">
        <v>2327</v>
      </c>
      <c r="C1230" s="102">
        <v>2586</v>
      </c>
      <c r="D1230" s="102">
        <f>Table22[[#This Row],[CURRENT]]-Table22[[#This Row],[IDEAL]]</f>
        <v>-259</v>
      </c>
    </row>
    <row r="1231" spans="1:4" x14ac:dyDescent="0.25">
      <c r="A1231" t="s">
        <v>14761</v>
      </c>
      <c r="B1231" s="102">
        <v>1725</v>
      </c>
      <c r="C1231" s="102">
        <v>1983</v>
      </c>
      <c r="D1231" s="102">
        <f>Table22[[#This Row],[CURRENT]]-Table22[[#This Row],[IDEAL]]</f>
        <v>-258</v>
      </c>
    </row>
    <row r="1232" spans="1:4" x14ac:dyDescent="0.25">
      <c r="A1232" t="s">
        <v>15376</v>
      </c>
      <c r="B1232" s="102">
        <v>2313</v>
      </c>
      <c r="C1232" s="102">
        <v>2570</v>
      </c>
      <c r="D1232" s="102">
        <f>Table22[[#This Row],[CURRENT]]-Table22[[#This Row],[IDEAL]]</f>
        <v>-257</v>
      </c>
    </row>
    <row r="1233" spans="1:4" x14ac:dyDescent="0.25">
      <c r="A1233" t="s">
        <v>15064</v>
      </c>
      <c r="B1233" s="102">
        <v>1877</v>
      </c>
      <c r="C1233" s="102">
        <v>2134</v>
      </c>
      <c r="D1233" s="102">
        <f>Table22[[#This Row],[CURRENT]]-Table22[[#This Row],[IDEAL]]</f>
        <v>-257</v>
      </c>
    </row>
    <row r="1234" spans="1:4" x14ac:dyDescent="0.25">
      <c r="A1234" t="s">
        <v>14881</v>
      </c>
      <c r="B1234" s="102">
        <v>1026</v>
      </c>
      <c r="C1234" s="102">
        <v>1283</v>
      </c>
      <c r="D1234" s="102">
        <f>Table22[[#This Row],[CURRENT]]-Table22[[#This Row],[IDEAL]]</f>
        <v>-257</v>
      </c>
    </row>
    <row r="1235" spans="1:4" x14ac:dyDescent="0.25">
      <c r="A1235" t="s">
        <v>16601</v>
      </c>
      <c r="B1235" s="102">
        <v>1249</v>
      </c>
      <c r="C1235" s="102">
        <v>1505</v>
      </c>
      <c r="D1235" s="102">
        <f>Table22[[#This Row],[CURRENT]]-Table22[[#This Row],[IDEAL]]</f>
        <v>-256</v>
      </c>
    </row>
    <row r="1236" spans="1:4" x14ac:dyDescent="0.25">
      <c r="A1236" t="s">
        <v>16363</v>
      </c>
      <c r="B1236" s="102">
        <v>2296</v>
      </c>
      <c r="C1236" s="102">
        <v>2552</v>
      </c>
      <c r="D1236" s="102">
        <f>Table22[[#This Row],[CURRENT]]-Table22[[#This Row],[IDEAL]]</f>
        <v>-256</v>
      </c>
    </row>
    <row r="1237" spans="1:4" x14ac:dyDescent="0.25">
      <c r="A1237" t="s">
        <v>15527</v>
      </c>
      <c r="B1237" s="102">
        <v>1870</v>
      </c>
      <c r="C1237" s="102">
        <v>2125</v>
      </c>
      <c r="D1237" s="102">
        <f>Table22[[#This Row],[CURRENT]]-Table22[[#This Row],[IDEAL]]</f>
        <v>-255</v>
      </c>
    </row>
    <row r="1238" spans="1:4" x14ac:dyDescent="0.25">
      <c r="A1238" t="s">
        <v>14812</v>
      </c>
      <c r="B1238" s="102">
        <v>2063</v>
      </c>
      <c r="C1238" s="102">
        <v>2318</v>
      </c>
      <c r="D1238" s="102">
        <f>Table22[[#This Row],[CURRENT]]-Table22[[#This Row],[IDEAL]]</f>
        <v>-255</v>
      </c>
    </row>
    <row r="1239" spans="1:4" x14ac:dyDescent="0.25">
      <c r="A1239" t="s">
        <v>17568</v>
      </c>
      <c r="B1239" s="102">
        <v>2287</v>
      </c>
      <c r="C1239" s="102">
        <v>2542</v>
      </c>
      <c r="D1239" s="102">
        <f>Table22[[#This Row],[CURRENT]]-Table22[[#This Row],[IDEAL]]</f>
        <v>-255</v>
      </c>
    </row>
    <row r="1240" spans="1:4" x14ac:dyDescent="0.25">
      <c r="A1240" t="s">
        <v>18078</v>
      </c>
      <c r="B1240" s="102">
        <v>1082</v>
      </c>
      <c r="C1240" s="102">
        <v>1337</v>
      </c>
      <c r="D1240" s="102">
        <f>Table22[[#This Row],[CURRENT]]-Table22[[#This Row],[IDEAL]]</f>
        <v>-255</v>
      </c>
    </row>
    <row r="1241" spans="1:4" x14ac:dyDescent="0.25">
      <c r="A1241" t="s">
        <v>17081</v>
      </c>
      <c r="B1241" s="102">
        <v>2295</v>
      </c>
      <c r="C1241" s="102">
        <v>2550</v>
      </c>
      <c r="D1241" s="102">
        <f>Table22[[#This Row],[CURRENT]]-Table22[[#This Row],[IDEAL]]</f>
        <v>-255</v>
      </c>
    </row>
    <row r="1242" spans="1:4" x14ac:dyDescent="0.25">
      <c r="A1242" t="s">
        <v>16454</v>
      </c>
      <c r="B1242" s="102">
        <v>2056</v>
      </c>
      <c r="C1242" s="102">
        <v>2311</v>
      </c>
      <c r="D1242" s="102">
        <f>Table22[[#This Row],[CURRENT]]-Table22[[#This Row],[IDEAL]]</f>
        <v>-255</v>
      </c>
    </row>
    <row r="1243" spans="1:4" x14ac:dyDescent="0.25">
      <c r="A1243" t="s">
        <v>16455</v>
      </c>
      <c r="B1243" s="102">
        <v>2055</v>
      </c>
      <c r="C1243" s="102">
        <v>2309</v>
      </c>
      <c r="D1243" s="102">
        <f>Table22[[#This Row],[CURRENT]]-Table22[[#This Row],[IDEAL]]</f>
        <v>-254</v>
      </c>
    </row>
    <row r="1244" spans="1:4" x14ac:dyDescent="0.25">
      <c r="A1244" t="s">
        <v>16458</v>
      </c>
      <c r="B1244" s="102">
        <v>2053</v>
      </c>
      <c r="C1244" s="102">
        <v>2307</v>
      </c>
      <c r="D1244" s="102">
        <f>Table22[[#This Row],[CURRENT]]-Table22[[#This Row],[IDEAL]]</f>
        <v>-254</v>
      </c>
    </row>
    <row r="1245" spans="1:4" x14ac:dyDescent="0.25">
      <c r="A1245" t="s">
        <v>13511</v>
      </c>
      <c r="B1245" s="102">
        <v>1691</v>
      </c>
      <c r="C1245" s="102">
        <v>1944</v>
      </c>
      <c r="D1245" s="102">
        <f>Table22[[#This Row],[CURRENT]]-Table22[[#This Row],[IDEAL]]</f>
        <v>-253</v>
      </c>
    </row>
    <row r="1246" spans="1:4" x14ac:dyDescent="0.25">
      <c r="A1246" t="s">
        <v>16604</v>
      </c>
      <c r="B1246" s="102">
        <v>1235</v>
      </c>
      <c r="C1246" s="102">
        <v>1488</v>
      </c>
      <c r="D1246" s="102">
        <f>Table22[[#This Row],[CURRENT]]-Table22[[#This Row],[IDEAL]]</f>
        <v>-253</v>
      </c>
    </row>
    <row r="1247" spans="1:4" x14ac:dyDescent="0.25">
      <c r="A1247" t="s">
        <v>17745</v>
      </c>
      <c r="B1247" s="102">
        <v>1147</v>
      </c>
      <c r="C1247" s="102">
        <v>1399</v>
      </c>
      <c r="D1247" s="102">
        <f>Table22[[#This Row],[CURRENT]]-Table22[[#This Row],[IDEAL]]</f>
        <v>-252</v>
      </c>
    </row>
    <row r="1248" spans="1:4" x14ac:dyDescent="0.25">
      <c r="A1248" t="s">
        <v>16634</v>
      </c>
      <c r="B1248" s="102">
        <v>1070</v>
      </c>
      <c r="C1248" s="102">
        <v>1322</v>
      </c>
      <c r="D1248" s="102">
        <f>Table22[[#This Row],[CURRENT]]-Table22[[#This Row],[IDEAL]]</f>
        <v>-252</v>
      </c>
    </row>
    <row r="1249" spans="1:4" x14ac:dyDescent="0.25">
      <c r="A1249" t="s">
        <v>16465</v>
      </c>
      <c r="B1249" s="102">
        <v>2037</v>
      </c>
      <c r="C1249" s="102">
        <v>2289</v>
      </c>
      <c r="D1249" s="102">
        <f>Table22[[#This Row],[CURRENT]]-Table22[[#This Row],[IDEAL]]</f>
        <v>-252</v>
      </c>
    </row>
    <row r="1250" spans="1:4" x14ac:dyDescent="0.25">
      <c r="A1250" t="s">
        <v>16584</v>
      </c>
      <c r="B1250" s="102">
        <v>1427</v>
      </c>
      <c r="C1250" s="102">
        <v>1679</v>
      </c>
      <c r="D1250" s="102">
        <f>Table22[[#This Row],[CURRENT]]-Table22[[#This Row],[IDEAL]]</f>
        <v>-252</v>
      </c>
    </row>
    <row r="1251" spans="1:4" x14ac:dyDescent="0.25">
      <c r="A1251" t="s">
        <v>15541</v>
      </c>
      <c r="B1251" s="102">
        <v>1835</v>
      </c>
      <c r="C1251" s="102">
        <v>2086</v>
      </c>
      <c r="D1251" s="102">
        <f>Table22[[#This Row],[CURRENT]]-Table22[[#This Row],[IDEAL]]</f>
        <v>-251</v>
      </c>
    </row>
    <row r="1252" spans="1:4" x14ac:dyDescent="0.25">
      <c r="A1252" t="s">
        <v>15658</v>
      </c>
      <c r="B1252" s="102">
        <v>1419</v>
      </c>
      <c r="C1252" s="102">
        <v>1670</v>
      </c>
      <c r="D1252" s="102">
        <f>Table22[[#This Row],[CURRENT]]-Table22[[#This Row],[IDEAL]]</f>
        <v>-251</v>
      </c>
    </row>
    <row r="1253" spans="1:4" x14ac:dyDescent="0.25">
      <c r="A1253" t="s">
        <v>16593</v>
      </c>
      <c r="B1253" s="102">
        <v>1313</v>
      </c>
      <c r="C1253" s="102">
        <v>1564</v>
      </c>
      <c r="D1253" s="102">
        <f>Table22[[#This Row],[CURRENT]]-Table22[[#This Row],[IDEAL]]</f>
        <v>-251</v>
      </c>
    </row>
    <row r="1254" spans="1:4" x14ac:dyDescent="0.25">
      <c r="A1254" t="s">
        <v>15062</v>
      </c>
      <c r="B1254" s="102">
        <v>1673</v>
      </c>
      <c r="C1254" s="102">
        <v>1923</v>
      </c>
      <c r="D1254" s="102">
        <f>Table22[[#This Row],[CURRENT]]-Table22[[#This Row],[IDEAL]]</f>
        <v>-250</v>
      </c>
    </row>
    <row r="1255" spans="1:4" x14ac:dyDescent="0.25">
      <c r="A1255" t="s">
        <v>17497</v>
      </c>
      <c r="B1255" s="102">
        <v>2241</v>
      </c>
      <c r="C1255" s="102">
        <v>2491</v>
      </c>
      <c r="D1255" s="102">
        <f>Table22[[#This Row],[CURRENT]]-Table22[[#This Row],[IDEAL]]</f>
        <v>-250</v>
      </c>
    </row>
    <row r="1256" spans="1:4" x14ac:dyDescent="0.25">
      <c r="A1256" t="s">
        <v>16519</v>
      </c>
      <c r="B1256" s="102">
        <v>1829</v>
      </c>
      <c r="C1256" s="102">
        <v>2079</v>
      </c>
      <c r="D1256" s="102">
        <f>Table22[[#This Row],[CURRENT]]-Table22[[#This Row],[IDEAL]]</f>
        <v>-250</v>
      </c>
    </row>
    <row r="1257" spans="1:4" x14ac:dyDescent="0.25">
      <c r="A1257" t="s">
        <v>13463</v>
      </c>
      <c r="B1257" s="102">
        <v>1825</v>
      </c>
      <c r="C1257" s="102">
        <v>2074</v>
      </c>
      <c r="D1257" s="102">
        <f>Table22[[#This Row],[CURRENT]]-Table22[[#This Row],[IDEAL]]</f>
        <v>-249</v>
      </c>
    </row>
    <row r="1258" spans="1:4" x14ac:dyDescent="0.25">
      <c r="A1258" t="s">
        <v>16636</v>
      </c>
      <c r="B1258" s="102">
        <v>1061</v>
      </c>
      <c r="C1258" s="102">
        <v>1310</v>
      </c>
      <c r="D1258" s="102">
        <f>Table22[[#This Row],[CURRENT]]-Table22[[#This Row],[IDEAL]]</f>
        <v>-249</v>
      </c>
    </row>
    <row r="1259" spans="1:4" x14ac:dyDescent="0.25">
      <c r="A1259" t="s">
        <v>16586</v>
      </c>
      <c r="B1259" s="102">
        <v>1407</v>
      </c>
      <c r="C1259" s="102">
        <v>1656</v>
      </c>
      <c r="D1259" s="102">
        <f>Table22[[#This Row],[CURRENT]]-Table22[[#This Row],[IDEAL]]</f>
        <v>-249</v>
      </c>
    </row>
    <row r="1260" spans="1:4" x14ac:dyDescent="0.25">
      <c r="A1260" t="s">
        <v>15599</v>
      </c>
      <c r="B1260" s="102">
        <v>1653</v>
      </c>
      <c r="C1260" s="102">
        <v>1901</v>
      </c>
      <c r="D1260" s="102">
        <f>Table22[[#This Row],[CURRENT]]-Table22[[#This Row],[IDEAL]]</f>
        <v>-248</v>
      </c>
    </row>
    <row r="1261" spans="1:4" x14ac:dyDescent="0.25">
      <c r="A1261" t="s">
        <v>15463</v>
      </c>
      <c r="B1261" s="102">
        <v>2002</v>
      </c>
      <c r="C1261" s="102">
        <v>2250</v>
      </c>
      <c r="D1261" s="102">
        <f>Table22[[#This Row],[CURRENT]]-Table22[[#This Row],[IDEAL]]</f>
        <v>-248</v>
      </c>
    </row>
    <row r="1262" spans="1:4" x14ac:dyDescent="0.25">
      <c r="A1262" t="s">
        <v>12423</v>
      </c>
      <c r="B1262" s="102">
        <v>1053</v>
      </c>
      <c r="C1262" s="102">
        <v>1301</v>
      </c>
      <c r="D1262" s="102">
        <f>Table22[[#This Row],[CURRENT]]-Table22[[#This Row],[IDEAL]]</f>
        <v>-248</v>
      </c>
    </row>
    <row r="1263" spans="1:4" x14ac:dyDescent="0.25">
      <c r="A1263" t="s">
        <v>14753</v>
      </c>
      <c r="B1263" s="102">
        <v>1657</v>
      </c>
      <c r="C1263" s="102">
        <v>1905</v>
      </c>
      <c r="D1263" s="102">
        <f>Table22[[#This Row],[CURRENT]]-Table22[[#This Row],[IDEAL]]</f>
        <v>-248</v>
      </c>
    </row>
    <row r="1264" spans="1:4" x14ac:dyDescent="0.25">
      <c r="A1264" t="s">
        <v>13490</v>
      </c>
      <c r="B1264" s="102">
        <v>1818</v>
      </c>
      <c r="C1264" s="102">
        <v>2066</v>
      </c>
      <c r="D1264" s="102">
        <f>Table22[[#This Row],[CURRENT]]-Table22[[#This Row],[IDEAL]]</f>
        <v>-248</v>
      </c>
    </row>
    <row r="1265" spans="1:4" x14ac:dyDescent="0.25">
      <c r="A1265" t="s">
        <v>14772</v>
      </c>
      <c r="B1265" s="102">
        <v>1294</v>
      </c>
      <c r="C1265" s="102">
        <v>1541</v>
      </c>
      <c r="D1265" s="102">
        <f>Table22[[#This Row],[CURRENT]]-Table22[[#This Row],[IDEAL]]</f>
        <v>-247</v>
      </c>
    </row>
    <row r="1266" spans="1:4" x14ac:dyDescent="0.25">
      <c r="A1266" t="s">
        <v>15060</v>
      </c>
      <c r="B1266" s="102">
        <v>1805</v>
      </c>
      <c r="C1266" s="102">
        <v>2052</v>
      </c>
      <c r="D1266" s="102">
        <f>Table22[[#This Row],[CURRENT]]-Table22[[#This Row],[IDEAL]]</f>
        <v>-247</v>
      </c>
    </row>
    <row r="1267" spans="1:4" x14ac:dyDescent="0.25">
      <c r="A1267" t="s">
        <v>14737</v>
      </c>
      <c r="B1267" s="102">
        <v>1992</v>
      </c>
      <c r="C1267" s="102">
        <v>2239</v>
      </c>
      <c r="D1267" s="102">
        <f>Table22[[#This Row],[CURRENT]]-Table22[[#This Row],[IDEAL]]</f>
        <v>-247</v>
      </c>
    </row>
    <row r="1268" spans="1:4" x14ac:dyDescent="0.25">
      <c r="A1268" t="s">
        <v>18026</v>
      </c>
      <c r="B1268" s="102">
        <v>1513</v>
      </c>
      <c r="C1268" s="102">
        <v>1760</v>
      </c>
      <c r="D1268" s="102">
        <f>Table22[[#This Row],[CURRENT]]-Table22[[#This Row],[IDEAL]]</f>
        <v>-247</v>
      </c>
    </row>
    <row r="1269" spans="1:4" x14ac:dyDescent="0.25">
      <c r="A1269" t="s">
        <v>16523</v>
      </c>
      <c r="B1269" s="102">
        <v>1810</v>
      </c>
      <c r="C1269" s="102">
        <v>2057</v>
      </c>
      <c r="D1269" s="102">
        <f>Table22[[#This Row],[CURRENT]]-Table22[[#This Row],[IDEAL]]</f>
        <v>-247</v>
      </c>
    </row>
    <row r="1270" spans="1:4" x14ac:dyDescent="0.25">
      <c r="A1270" t="s">
        <v>16588</v>
      </c>
      <c r="B1270" s="102">
        <v>1396</v>
      </c>
      <c r="C1270" s="102">
        <v>1643</v>
      </c>
      <c r="D1270" s="102">
        <f>Table22[[#This Row],[CURRENT]]-Table22[[#This Row],[IDEAL]]</f>
        <v>-247</v>
      </c>
    </row>
    <row r="1271" spans="1:4" x14ac:dyDescent="0.25">
      <c r="A1271" t="s">
        <v>16574</v>
      </c>
      <c r="B1271" s="102">
        <v>1506</v>
      </c>
      <c r="C1271" s="102">
        <v>1752</v>
      </c>
      <c r="D1271" s="102">
        <f>Table22[[#This Row],[CURRENT]]-Table22[[#This Row],[IDEAL]]</f>
        <v>-246</v>
      </c>
    </row>
    <row r="1272" spans="1:4" x14ac:dyDescent="0.25">
      <c r="A1272" t="s">
        <v>11188</v>
      </c>
      <c r="B1272" s="102">
        <v>1012</v>
      </c>
      <c r="C1272" s="102">
        <v>1257</v>
      </c>
      <c r="D1272" s="102">
        <f>Table22[[#This Row],[CURRENT]]-Table22[[#This Row],[IDEAL]]</f>
        <v>-245</v>
      </c>
    </row>
    <row r="1273" spans="1:4" x14ac:dyDescent="0.25">
      <c r="A1273" t="s">
        <v>13668</v>
      </c>
      <c r="B1273" s="102">
        <v>1637</v>
      </c>
      <c r="C1273" s="102">
        <v>1882</v>
      </c>
      <c r="D1273" s="102">
        <f>Table22[[#This Row],[CURRENT]]-Table22[[#This Row],[IDEAL]]</f>
        <v>-245</v>
      </c>
    </row>
    <row r="1274" spans="1:4" x14ac:dyDescent="0.25">
      <c r="A1274" t="s">
        <v>17500</v>
      </c>
      <c r="B1274" s="102">
        <v>2199</v>
      </c>
      <c r="C1274" s="102">
        <v>2444</v>
      </c>
      <c r="D1274" s="102">
        <f>Table22[[#This Row],[CURRENT]]-Table22[[#This Row],[IDEAL]]</f>
        <v>-245</v>
      </c>
    </row>
    <row r="1275" spans="1:4" x14ac:dyDescent="0.25">
      <c r="A1275" t="s">
        <v>18074</v>
      </c>
      <c r="B1275" s="102">
        <v>1192</v>
      </c>
      <c r="C1275" s="102">
        <v>1437</v>
      </c>
      <c r="D1275" s="102">
        <f>Table22[[#This Row],[CURRENT]]-Table22[[#This Row],[IDEAL]]</f>
        <v>-245</v>
      </c>
    </row>
    <row r="1276" spans="1:4" x14ac:dyDescent="0.25">
      <c r="A1276" t="s">
        <v>17826</v>
      </c>
      <c r="B1276" s="102">
        <v>1382</v>
      </c>
      <c r="C1276" s="102">
        <v>1626</v>
      </c>
      <c r="D1276" s="102">
        <f>Table22[[#This Row],[CURRENT]]-Table22[[#This Row],[IDEAL]]</f>
        <v>-244</v>
      </c>
    </row>
    <row r="1277" spans="1:4" x14ac:dyDescent="0.25">
      <c r="A1277" t="s">
        <v>16399</v>
      </c>
      <c r="B1277" s="102">
        <v>2189</v>
      </c>
      <c r="C1277" s="102">
        <v>2433</v>
      </c>
      <c r="D1277" s="102">
        <f>Table22[[#This Row],[CURRENT]]-Table22[[#This Row],[IDEAL]]</f>
        <v>-244</v>
      </c>
    </row>
    <row r="1278" spans="1:4" x14ac:dyDescent="0.25">
      <c r="A1278" t="s">
        <v>14853</v>
      </c>
      <c r="B1278" s="102">
        <v>1103</v>
      </c>
      <c r="C1278" s="102">
        <v>1346</v>
      </c>
      <c r="D1278" s="102">
        <f>Table22[[#This Row],[CURRENT]]-Table22[[#This Row],[IDEAL]]</f>
        <v>-243</v>
      </c>
    </row>
    <row r="1279" spans="1:4" x14ac:dyDescent="0.25">
      <c r="A1279" t="s">
        <v>15964</v>
      </c>
      <c r="B1279" s="102">
        <v>1369</v>
      </c>
      <c r="C1279" s="102">
        <v>1611</v>
      </c>
      <c r="D1279" s="102">
        <f>Table22[[#This Row],[CURRENT]]-Table22[[#This Row],[IDEAL]]</f>
        <v>-242</v>
      </c>
    </row>
    <row r="1280" spans="1:4" x14ac:dyDescent="0.25">
      <c r="A1280" t="s">
        <v>12382</v>
      </c>
      <c r="B1280" s="102">
        <v>1950</v>
      </c>
      <c r="C1280" s="102">
        <v>2192</v>
      </c>
      <c r="D1280" s="102">
        <f>Table22[[#This Row],[CURRENT]]-Table22[[#This Row],[IDEAL]]</f>
        <v>-242</v>
      </c>
    </row>
    <row r="1281" spans="1:4" x14ac:dyDescent="0.25">
      <c r="A1281" t="s">
        <v>17831</v>
      </c>
      <c r="B1281" s="102">
        <v>965</v>
      </c>
      <c r="C1281" s="102">
        <v>1207</v>
      </c>
      <c r="D1281" s="102">
        <f>Table22[[#This Row],[CURRENT]]-Table22[[#This Row],[IDEAL]]</f>
        <v>-242</v>
      </c>
    </row>
    <row r="1282" spans="1:4" x14ac:dyDescent="0.25">
      <c r="A1282" t="s">
        <v>16533</v>
      </c>
      <c r="B1282" s="102">
        <v>1774</v>
      </c>
      <c r="C1282" s="102">
        <v>2016</v>
      </c>
      <c r="D1282" s="102">
        <f>Table22[[#This Row],[CURRENT]]-Table22[[#This Row],[IDEAL]]</f>
        <v>-242</v>
      </c>
    </row>
    <row r="1283" spans="1:4" x14ac:dyDescent="0.25">
      <c r="A1283" t="s">
        <v>17048</v>
      </c>
      <c r="B1283" s="102">
        <v>1762</v>
      </c>
      <c r="C1283" s="102">
        <v>2003</v>
      </c>
      <c r="D1283" s="102">
        <f>Table22[[#This Row],[CURRENT]]-Table22[[#This Row],[IDEAL]]</f>
        <v>-241</v>
      </c>
    </row>
    <row r="1284" spans="1:4" x14ac:dyDescent="0.25">
      <c r="A1284" t="s">
        <v>16576</v>
      </c>
      <c r="B1284" s="102">
        <v>1480</v>
      </c>
      <c r="C1284" s="102">
        <v>1721</v>
      </c>
      <c r="D1284" s="102">
        <f>Table22[[#This Row],[CURRENT]]-Table22[[#This Row],[IDEAL]]</f>
        <v>-241</v>
      </c>
    </row>
    <row r="1285" spans="1:4" x14ac:dyDescent="0.25">
      <c r="A1285" t="s">
        <v>13729</v>
      </c>
      <c r="B1285" s="102">
        <v>957</v>
      </c>
      <c r="C1285" s="102">
        <v>1197</v>
      </c>
      <c r="D1285" s="102">
        <f>Table22[[#This Row],[CURRENT]]-Table22[[#This Row],[IDEAL]]</f>
        <v>-240</v>
      </c>
    </row>
    <row r="1286" spans="1:4" x14ac:dyDescent="0.25">
      <c r="A1286" t="s">
        <v>17830</v>
      </c>
      <c r="B1286" s="102">
        <v>1088</v>
      </c>
      <c r="C1286" s="102">
        <v>1328</v>
      </c>
      <c r="D1286" s="102">
        <f>Table22[[#This Row],[CURRENT]]-Table22[[#This Row],[IDEAL]]</f>
        <v>-240</v>
      </c>
    </row>
    <row r="1287" spans="1:4" x14ac:dyDescent="0.25">
      <c r="A1287" t="s">
        <v>18080</v>
      </c>
      <c r="B1287" s="102">
        <v>960</v>
      </c>
      <c r="C1287" s="102">
        <v>1200</v>
      </c>
      <c r="D1287" s="102">
        <f>Table22[[#This Row],[CURRENT]]-Table22[[#This Row],[IDEAL]]</f>
        <v>-240</v>
      </c>
    </row>
    <row r="1288" spans="1:4" x14ac:dyDescent="0.25">
      <c r="A1288" t="s">
        <v>17736</v>
      </c>
      <c r="B1288" s="102">
        <v>1472</v>
      </c>
      <c r="C1288" s="102">
        <v>1712</v>
      </c>
      <c r="D1288" s="102">
        <f>Table22[[#This Row],[CURRENT]]-Table22[[#This Row],[IDEAL]]</f>
        <v>-240</v>
      </c>
    </row>
    <row r="1289" spans="1:4" x14ac:dyDescent="0.25">
      <c r="A1289" t="s">
        <v>17777</v>
      </c>
      <c r="B1289" s="102">
        <v>1022</v>
      </c>
      <c r="C1289" s="102">
        <v>1262</v>
      </c>
      <c r="D1289" s="102">
        <f>Table22[[#This Row],[CURRENT]]-Table22[[#This Row],[IDEAL]]</f>
        <v>-240</v>
      </c>
    </row>
    <row r="1290" spans="1:4" x14ac:dyDescent="0.25">
      <c r="A1290" t="s">
        <v>16493</v>
      </c>
      <c r="B1290" s="102">
        <v>1939</v>
      </c>
      <c r="C1290" s="102">
        <v>2179</v>
      </c>
      <c r="D1290" s="102">
        <f>Table22[[#This Row],[CURRENT]]-Table22[[#This Row],[IDEAL]]</f>
        <v>-240</v>
      </c>
    </row>
    <row r="1291" spans="1:4" x14ac:dyDescent="0.25">
      <c r="A1291" t="s">
        <v>15830</v>
      </c>
      <c r="B1291" s="102">
        <v>956</v>
      </c>
      <c r="C1291" s="102">
        <v>1195</v>
      </c>
      <c r="D1291" s="102">
        <f>Table22[[#This Row],[CURRENT]]-Table22[[#This Row],[IDEAL]]</f>
        <v>-239</v>
      </c>
    </row>
    <row r="1292" spans="1:4" x14ac:dyDescent="0.25">
      <c r="A1292" t="s">
        <v>14855</v>
      </c>
      <c r="B1292" s="102">
        <v>1165</v>
      </c>
      <c r="C1292" s="102">
        <v>1404</v>
      </c>
      <c r="D1292" s="102">
        <f>Table22[[#This Row],[CURRENT]]-Table22[[#This Row],[IDEAL]]</f>
        <v>-239</v>
      </c>
    </row>
    <row r="1293" spans="1:4" x14ac:dyDescent="0.25">
      <c r="A1293" t="s">
        <v>18068</v>
      </c>
      <c r="B1293" s="102">
        <v>1353</v>
      </c>
      <c r="C1293" s="102">
        <v>1592</v>
      </c>
      <c r="D1293" s="102">
        <f>Table22[[#This Row],[CURRENT]]-Table22[[#This Row],[IDEAL]]</f>
        <v>-239</v>
      </c>
    </row>
    <row r="1294" spans="1:4" x14ac:dyDescent="0.25">
      <c r="A1294" t="s">
        <v>14760</v>
      </c>
      <c r="B1294" s="102">
        <v>1744</v>
      </c>
      <c r="C1294" s="102">
        <v>1982</v>
      </c>
      <c r="D1294" s="102">
        <f>Table22[[#This Row],[CURRENT]]-Table22[[#This Row],[IDEAL]]</f>
        <v>-238</v>
      </c>
    </row>
    <row r="1295" spans="1:4" x14ac:dyDescent="0.25">
      <c r="A1295" t="s">
        <v>14659</v>
      </c>
      <c r="B1295" s="102">
        <v>1013</v>
      </c>
      <c r="C1295" s="102">
        <v>1251</v>
      </c>
      <c r="D1295" s="102">
        <f>Table22[[#This Row],[CURRENT]]-Table22[[#This Row],[IDEAL]]</f>
        <v>-238</v>
      </c>
    </row>
    <row r="1296" spans="1:4" x14ac:dyDescent="0.25">
      <c r="A1296" t="s">
        <v>16429</v>
      </c>
      <c r="B1296" s="102">
        <v>2138</v>
      </c>
      <c r="C1296" s="102">
        <v>2376</v>
      </c>
      <c r="D1296" s="102">
        <f>Table22[[#This Row],[CURRENT]]-Table22[[#This Row],[IDEAL]]</f>
        <v>-238</v>
      </c>
    </row>
    <row r="1297" spans="1:4" x14ac:dyDescent="0.25">
      <c r="A1297" t="s">
        <v>16567</v>
      </c>
      <c r="B1297" s="102">
        <v>1588</v>
      </c>
      <c r="C1297" s="102">
        <v>1826</v>
      </c>
      <c r="D1297" s="102">
        <f>Table22[[#This Row],[CURRENT]]-Table22[[#This Row],[IDEAL]]</f>
        <v>-238</v>
      </c>
    </row>
    <row r="1298" spans="1:4" x14ac:dyDescent="0.25">
      <c r="A1298" t="s">
        <v>15514</v>
      </c>
      <c r="B1298" s="102">
        <v>1910</v>
      </c>
      <c r="C1298" s="102">
        <v>2147</v>
      </c>
      <c r="D1298" s="102">
        <f>Table22[[#This Row],[CURRENT]]-Table22[[#This Row],[IDEAL]]</f>
        <v>-237</v>
      </c>
    </row>
    <row r="1299" spans="1:4" x14ac:dyDescent="0.25">
      <c r="A1299" t="s">
        <v>16541</v>
      </c>
      <c r="B1299" s="102">
        <v>1733</v>
      </c>
      <c r="C1299" s="102">
        <v>1970</v>
      </c>
      <c r="D1299" s="102">
        <f>Table22[[#This Row],[CURRENT]]-Table22[[#This Row],[IDEAL]]</f>
        <v>-237</v>
      </c>
    </row>
    <row r="1300" spans="1:4" x14ac:dyDescent="0.25">
      <c r="A1300" t="s">
        <v>14425</v>
      </c>
      <c r="B1300" s="102">
        <v>2118</v>
      </c>
      <c r="C1300" s="102">
        <v>2354</v>
      </c>
      <c r="D1300" s="102">
        <f>Table22[[#This Row],[CURRENT]]-Table22[[#This Row],[IDEAL]]</f>
        <v>-236</v>
      </c>
    </row>
    <row r="1301" spans="1:4" x14ac:dyDescent="0.25">
      <c r="A1301" t="s">
        <v>13606</v>
      </c>
      <c r="B1301" s="102">
        <v>1573</v>
      </c>
      <c r="C1301" s="102">
        <v>1809</v>
      </c>
      <c r="D1301" s="102">
        <f>Table22[[#This Row],[CURRENT]]-Table22[[#This Row],[IDEAL]]</f>
        <v>-236</v>
      </c>
    </row>
    <row r="1302" spans="1:4" x14ac:dyDescent="0.25">
      <c r="A1302" t="s">
        <v>17590</v>
      </c>
      <c r="B1302" s="102">
        <v>1907</v>
      </c>
      <c r="C1302" s="102">
        <v>2143</v>
      </c>
      <c r="D1302" s="102">
        <f>Table22[[#This Row],[CURRENT]]-Table22[[#This Row],[IDEAL]]</f>
        <v>-236</v>
      </c>
    </row>
    <row r="1303" spans="1:4" x14ac:dyDescent="0.25">
      <c r="A1303" t="s">
        <v>15656</v>
      </c>
      <c r="B1303" s="102">
        <v>1441</v>
      </c>
      <c r="C1303" s="102">
        <v>1676</v>
      </c>
      <c r="D1303" s="102">
        <f>Table22[[#This Row],[CURRENT]]-Table22[[#This Row],[IDEAL]]</f>
        <v>-235</v>
      </c>
    </row>
    <row r="1304" spans="1:4" x14ac:dyDescent="0.25">
      <c r="A1304" t="s">
        <v>14756</v>
      </c>
      <c r="B1304" s="102">
        <v>1716</v>
      </c>
      <c r="C1304" s="102">
        <v>1951</v>
      </c>
      <c r="D1304" s="102">
        <f>Table22[[#This Row],[CURRENT]]-Table22[[#This Row],[IDEAL]]</f>
        <v>-235</v>
      </c>
    </row>
    <row r="1305" spans="1:4" x14ac:dyDescent="0.25">
      <c r="A1305" t="s">
        <v>16653</v>
      </c>
      <c r="B1305" s="102">
        <v>938</v>
      </c>
      <c r="C1305" s="102">
        <v>1173</v>
      </c>
      <c r="D1305" s="102">
        <f>Table22[[#This Row],[CURRENT]]-Table22[[#This Row],[IDEAL]]</f>
        <v>-235</v>
      </c>
    </row>
    <row r="1306" spans="1:4" x14ac:dyDescent="0.25">
      <c r="A1306" t="s">
        <v>14663</v>
      </c>
      <c r="B1306" s="102">
        <v>1062</v>
      </c>
      <c r="C1306" s="102">
        <v>1296</v>
      </c>
      <c r="D1306" s="102">
        <f>Table22[[#This Row],[CURRENT]]-Table22[[#This Row],[IDEAL]]</f>
        <v>-234</v>
      </c>
    </row>
    <row r="1307" spans="1:4" x14ac:dyDescent="0.25">
      <c r="A1307" t="s">
        <v>14773</v>
      </c>
      <c r="B1307" s="102">
        <v>1432</v>
      </c>
      <c r="C1307" s="102">
        <v>1666</v>
      </c>
      <c r="D1307" s="102">
        <f>Table22[[#This Row],[CURRENT]]-Table22[[#This Row],[IDEAL]]</f>
        <v>-234</v>
      </c>
    </row>
    <row r="1308" spans="1:4" x14ac:dyDescent="0.25">
      <c r="A1308" t="s">
        <v>18067</v>
      </c>
      <c r="B1308" s="102">
        <v>1434</v>
      </c>
      <c r="C1308" s="102">
        <v>1668</v>
      </c>
      <c r="D1308" s="102">
        <f>Table22[[#This Row],[CURRENT]]-Table22[[#This Row],[IDEAL]]</f>
        <v>-234</v>
      </c>
    </row>
    <row r="1309" spans="1:4" x14ac:dyDescent="0.25">
      <c r="A1309" t="s">
        <v>16506</v>
      </c>
      <c r="B1309" s="102">
        <v>1893</v>
      </c>
      <c r="C1309" s="102">
        <v>2127</v>
      </c>
      <c r="D1309" s="102">
        <f>Table22[[#This Row],[CURRENT]]-Table22[[#This Row],[IDEAL]]</f>
        <v>-234</v>
      </c>
    </row>
    <row r="1310" spans="1:4" x14ac:dyDescent="0.25">
      <c r="A1310" t="s">
        <v>14424</v>
      </c>
      <c r="B1310" s="102">
        <v>2089</v>
      </c>
      <c r="C1310" s="102">
        <v>2322</v>
      </c>
      <c r="D1310" s="102">
        <f>Table22[[#This Row],[CURRENT]]-Table22[[#This Row],[IDEAL]]</f>
        <v>-233</v>
      </c>
    </row>
    <row r="1311" spans="1:4" x14ac:dyDescent="0.25">
      <c r="A1311" t="s">
        <v>18022</v>
      </c>
      <c r="B1311" s="102">
        <v>1702</v>
      </c>
      <c r="C1311" s="102">
        <v>1935</v>
      </c>
      <c r="D1311" s="102">
        <f>Table22[[#This Row],[CURRENT]]-Table22[[#This Row],[IDEAL]]</f>
        <v>-233</v>
      </c>
    </row>
    <row r="1312" spans="1:4" x14ac:dyDescent="0.25">
      <c r="A1312" t="s">
        <v>16596</v>
      </c>
      <c r="B1312" s="102">
        <v>1316</v>
      </c>
      <c r="C1312" s="102">
        <v>1549</v>
      </c>
      <c r="D1312" s="102">
        <f>Table22[[#This Row],[CURRENT]]-Table22[[#This Row],[IDEAL]]</f>
        <v>-233</v>
      </c>
    </row>
    <row r="1313" spans="1:4" x14ac:dyDescent="0.25">
      <c r="A1313" t="s">
        <v>13506</v>
      </c>
      <c r="B1313" s="102">
        <v>1872</v>
      </c>
      <c r="C1313" s="102">
        <v>2104</v>
      </c>
      <c r="D1313" s="102">
        <f>Table22[[#This Row],[CURRENT]]-Table22[[#This Row],[IDEAL]]</f>
        <v>-232</v>
      </c>
    </row>
    <row r="1314" spans="1:4" x14ac:dyDescent="0.25">
      <c r="A1314" t="s">
        <v>17069</v>
      </c>
      <c r="B1314" s="102">
        <v>2083</v>
      </c>
      <c r="C1314" s="102">
        <v>2315</v>
      </c>
      <c r="D1314" s="102">
        <f>Table22[[#This Row],[CURRENT]]-Table22[[#This Row],[IDEAL]]</f>
        <v>-232</v>
      </c>
    </row>
    <row r="1315" spans="1:4" x14ac:dyDescent="0.25">
      <c r="A1315" t="s">
        <v>16450</v>
      </c>
      <c r="B1315" s="102">
        <v>2084</v>
      </c>
      <c r="C1315" s="102">
        <v>2316</v>
      </c>
      <c r="D1315" s="102">
        <f>Table22[[#This Row],[CURRENT]]-Table22[[#This Row],[IDEAL]]</f>
        <v>-232</v>
      </c>
    </row>
    <row r="1316" spans="1:4" x14ac:dyDescent="0.25">
      <c r="A1316" t="s">
        <v>15019</v>
      </c>
      <c r="B1316" s="102">
        <v>922</v>
      </c>
      <c r="C1316" s="102">
        <v>1153</v>
      </c>
      <c r="D1316" s="102">
        <f>Table22[[#This Row],[CURRENT]]-Table22[[#This Row],[IDEAL]]</f>
        <v>-231</v>
      </c>
    </row>
    <row r="1317" spans="1:4" x14ac:dyDescent="0.25">
      <c r="A1317" t="s">
        <v>14047</v>
      </c>
      <c r="B1317" s="102">
        <v>1212</v>
      </c>
      <c r="C1317" s="102">
        <v>1443</v>
      </c>
      <c r="D1317" s="102">
        <f>Table22[[#This Row],[CURRENT]]-Table22[[#This Row],[IDEAL]]</f>
        <v>-231</v>
      </c>
    </row>
    <row r="1318" spans="1:4" x14ac:dyDescent="0.25">
      <c r="A1318" t="s">
        <v>18096</v>
      </c>
      <c r="B1318" s="102">
        <v>984</v>
      </c>
      <c r="C1318" s="102">
        <v>1215</v>
      </c>
      <c r="D1318" s="102">
        <f>Table22[[#This Row],[CURRENT]]-Table22[[#This Row],[IDEAL]]</f>
        <v>-231</v>
      </c>
    </row>
    <row r="1319" spans="1:4" x14ac:dyDescent="0.25">
      <c r="A1319" t="s">
        <v>14810</v>
      </c>
      <c r="B1319" s="102">
        <v>2062</v>
      </c>
      <c r="C1319" s="102">
        <v>2292</v>
      </c>
      <c r="D1319" s="102">
        <f>Table22[[#This Row],[CURRENT]]-Table22[[#This Row],[IDEAL]]</f>
        <v>-230</v>
      </c>
    </row>
    <row r="1320" spans="1:4" x14ac:dyDescent="0.25">
      <c r="A1320" t="s">
        <v>15032</v>
      </c>
      <c r="B1320" s="102">
        <v>1847</v>
      </c>
      <c r="C1320" s="102">
        <v>2076</v>
      </c>
      <c r="D1320" s="102">
        <f>Table22[[#This Row],[CURRENT]]-Table22[[#This Row],[IDEAL]]</f>
        <v>-229</v>
      </c>
    </row>
    <row r="1321" spans="1:4" x14ac:dyDescent="0.25">
      <c r="A1321" t="s">
        <v>14751</v>
      </c>
      <c r="B1321" s="102">
        <v>1674</v>
      </c>
      <c r="C1321" s="102">
        <v>1903</v>
      </c>
      <c r="D1321" s="102">
        <f>Table22[[#This Row],[CURRENT]]-Table22[[#This Row],[IDEAL]]</f>
        <v>-229</v>
      </c>
    </row>
    <row r="1322" spans="1:4" x14ac:dyDescent="0.25">
      <c r="A1322" t="s">
        <v>16520</v>
      </c>
      <c r="B1322" s="102">
        <v>1846</v>
      </c>
      <c r="C1322" s="102">
        <v>2075</v>
      </c>
      <c r="D1322" s="102">
        <f>Table22[[#This Row],[CURRENT]]-Table22[[#This Row],[IDEAL]]</f>
        <v>-229</v>
      </c>
    </row>
    <row r="1323" spans="1:4" x14ac:dyDescent="0.25">
      <c r="A1323" t="s">
        <v>15552</v>
      </c>
      <c r="B1323" s="102">
        <v>1843</v>
      </c>
      <c r="C1323" s="102">
        <v>2071</v>
      </c>
      <c r="D1323" s="102">
        <f>Table22[[#This Row],[CURRENT]]-Table22[[#This Row],[IDEAL]]</f>
        <v>-228</v>
      </c>
    </row>
    <row r="1324" spans="1:4" x14ac:dyDescent="0.25">
      <c r="A1324" t="s">
        <v>13412</v>
      </c>
      <c r="B1324" s="102">
        <v>1111</v>
      </c>
      <c r="C1324" s="102">
        <v>1339</v>
      </c>
      <c r="D1324" s="102">
        <f>Table22[[#This Row],[CURRENT]]-Table22[[#This Row],[IDEAL]]</f>
        <v>-228</v>
      </c>
    </row>
    <row r="1325" spans="1:4" x14ac:dyDescent="0.25">
      <c r="A1325" t="s">
        <v>14896</v>
      </c>
      <c r="B1325" s="102">
        <v>2037</v>
      </c>
      <c r="C1325" s="102">
        <v>2264</v>
      </c>
      <c r="D1325" s="102">
        <f>Table22[[#This Row],[CURRENT]]-Table22[[#This Row],[IDEAL]]</f>
        <v>-227</v>
      </c>
    </row>
    <row r="1326" spans="1:4" x14ac:dyDescent="0.25">
      <c r="A1326" t="s">
        <v>14598</v>
      </c>
      <c r="B1326" s="102">
        <v>1106</v>
      </c>
      <c r="C1326" s="102">
        <v>1333</v>
      </c>
      <c r="D1326" s="102">
        <f>Table22[[#This Row],[CURRENT]]-Table22[[#This Row],[IDEAL]]</f>
        <v>-227</v>
      </c>
    </row>
    <row r="1327" spans="1:4" x14ac:dyDescent="0.25">
      <c r="A1327" t="s">
        <v>14895</v>
      </c>
      <c r="B1327" s="102">
        <v>2038</v>
      </c>
      <c r="C1327" s="102">
        <v>2265</v>
      </c>
      <c r="D1327" s="102">
        <f>Table22[[#This Row],[CURRENT]]-Table22[[#This Row],[IDEAL]]</f>
        <v>-227</v>
      </c>
    </row>
    <row r="1328" spans="1:4" x14ac:dyDescent="0.25">
      <c r="A1328" t="s">
        <v>16631</v>
      </c>
      <c r="B1328" s="102">
        <v>1105</v>
      </c>
      <c r="C1328" s="102">
        <v>1332</v>
      </c>
      <c r="D1328" s="102">
        <f>Table22[[#This Row],[CURRENT]]-Table22[[#This Row],[IDEAL]]</f>
        <v>-227</v>
      </c>
    </row>
    <row r="1329" spans="1:4" x14ac:dyDescent="0.25">
      <c r="A1329" t="s">
        <v>17042</v>
      </c>
      <c r="B1329" s="102">
        <v>2031</v>
      </c>
      <c r="C1329" s="102">
        <v>2257</v>
      </c>
      <c r="D1329" s="102">
        <f>Table22[[#This Row],[CURRENT]]-Table22[[#This Row],[IDEAL]]</f>
        <v>-226</v>
      </c>
    </row>
    <row r="1330" spans="1:4" x14ac:dyDescent="0.25">
      <c r="A1330" t="s">
        <v>17586</v>
      </c>
      <c r="B1330" s="102">
        <v>2032</v>
      </c>
      <c r="C1330" s="102">
        <v>2258</v>
      </c>
      <c r="D1330" s="102">
        <f>Table22[[#This Row],[CURRENT]]-Table22[[#This Row],[IDEAL]]</f>
        <v>-226</v>
      </c>
    </row>
    <row r="1331" spans="1:4" x14ac:dyDescent="0.25">
      <c r="A1331" t="s">
        <v>16643</v>
      </c>
      <c r="B1331" s="102">
        <v>1026</v>
      </c>
      <c r="C1331" s="102">
        <v>1252</v>
      </c>
      <c r="D1331" s="102">
        <f>Table22[[#This Row],[CURRENT]]-Table22[[#This Row],[IDEAL]]</f>
        <v>-226</v>
      </c>
    </row>
    <row r="1332" spans="1:4" x14ac:dyDescent="0.25">
      <c r="A1332" t="s">
        <v>15464</v>
      </c>
      <c r="B1332" s="102">
        <v>2023</v>
      </c>
      <c r="C1332" s="102">
        <v>2248</v>
      </c>
      <c r="D1332" s="102">
        <f>Table22[[#This Row],[CURRENT]]-Table22[[#This Row],[IDEAL]]</f>
        <v>-225</v>
      </c>
    </row>
    <row r="1333" spans="1:4" x14ac:dyDescent="0.25">
      <c r="A1333" t="s">
        <v>13491</v>
      </c>
      <c r="B1333" s="102">
        <v>1097</v>
      </c>
      <c r="C1333" s="102">
        <v>1322</v>
      </c>
      <c r="D1333" s="102">
        <f>Table22[[#This Row],[CURRENT]]-Table22[[#This Row],[IDEAL]]</f>
        <v>-225</v>
      </c>
    </row>
    <row r="1334" spans="1:4" x14ac:dyDescent="0.25">
      <c r="A1334" t="s">
        <v>16564</v>
      </c>
      <c r="B1334" s="102">
        <v>1644</v>
      </c>
      <c r="C1334" s="102">
        <v>1869</v>
      </c>
      <c r="D1334" s="102">
        <f>Table22[[#This Row],[CURRENT]]-Table22[[#This Row],[IDEAL]]</f>
        <v>-225</v>
      </c>
    </row>
    <row r="1335" spans="1:4" x14ac:dyDescent="0.25">
      <c r="A1335" t="s">
        <v>14849</v>
      </c>
      <c r="B1335" s="102">
        <v>1016</v>
      </c>
      <c r="C1335" s="102">
        <v>1240</v>
      </c>
      <c r="D1335" s="102">
        <f>Table22[[#This Row],[CURRENT]]-Table22[[#This Row],[IDEAL]]</f>
        <v>-224</v>
      </c>
    </row>
    <row r="1336" spans="1:4" x14ac:dyDescent="0.25">
      <c r="A1336" t="s">
        <v>16577</v>
      </c>
      <c r="B1336" s="102">
        <v>1497</v>
      </c>
      <c r="C1336" s="102">
        <v>1721</v>
      </c>
      <c r="D1336" s="102">
        <f>Table22[[#This Row],[CURRENT]]-Table22[[#This Row],[IDEAL]]</f>
        <v>-224</v>
      </c>
    </row>
    <row r="1337" spans="1:4" x14ac:dyDescent="0.25">
      <c r="A1337" t="s">
        <v>17854</v>
      </c>
      <c r="B1337" s="102">
        <v>1087</v>
      </c>
      <c r="C1337" s="102">
        <v>1310</v>
      </c>
      <c r="D1337" s="102">
        <f>Table22[[#This Row],[CURRENT]]-Table22[[#This Row],[IDEAL]]</f>
        <v>-223</v>
      </c>
    </row>
    <row r="1338" spans="1:4" x14ac:dyDescent="0.25">
      <c r="A1338" t="s">
        <v>16532</v>
      </c>
      <c r="B1338" s="102">
        <v>1798</v>
      </c>
      <c r="C1338" s="102">
        <v>2021</v>
      </c>
      <c r="D1338" s="102">
        <f>Table22[[#This Row],[CURRENT]]-Table22[[#This Row],[IDEAL]]</f>
        <v>-223</v>
      </c>
    </row>
    <row r="1339" spans="1:4" x14ac:dyDescent="0.25">
      <c r="A1339" t="s">
        <v>15041</v>
      </c>
      <c r="B1339" s="102">
        <v>1793</v>
      </c>
      <c r="C1339" s="102">
        <v>2015</v>
      </c>
      <c r="D1339" s="102">
        <f>Table22[[#This Row],[CURRENT]]-Table22[[#This Row],[IDEAL]]</f>
        <v>-222</v>
      </c>
    </row>
    <row r="1340" spans="1:4" x14ac:dyDescent="0.25">
      <c r="A1340" t="s">
        <v>16655</v>
      </c>
      <c r="B1340" s="102">
        <v>944</v>
      </c>
      <c r="C1340" s="102">
        <v>1166</v>
      </c>
      <c r="D1340" s="102">
        <f>Table22[[#This Row],[CURRENT]]-Table22[[#This Row],[IDEAL]]</f>
        <v>-222</v>
      </c>
    </row>
    <row r="1341" spans="1:4" x14ac:dyDescent="0.25">
      <c r="A1341" t="s">
        <v>12566</v>
      </c>
      <c r="B1341" s="102">
        <v>1246</v>
      </c>
      <c r="C1341" s="102">
        <v>1467</v>
      </c>
      <c r="D1341" s="102">
        <f>Table22[[#This Row],[CURRENT]]-Table22[[#This Row],[IDEAL]]</f>
        <v>-221</v>
      </c>
    </row>
    <row r="1342" spans="1:4" x14ac:dyDescent="0.25">
      <c r="A1342" t="s">
        <v>14734</v>
      </c>
      <c r="B1342" s="102">
        <v>1983</v>
      </c>
      <c r="C1342" s="102">
        <v>2204</v>
      </c>
      <c r="D1342" s="102">
        <f>Table22[[#This Row],[CURRENT]]-Table22[[#This Row],[IDEAL]]</f>
        <v>-221</v>
      </c>
    </row>
    <row r="1343" spans="1:4" x14ac:dyDescent="0.25">
      <c r="A1343" t="s">
        <v>18073</v>
      </c>
      <c r="B1343" s="102">
        <v>1249</v>
      </c>
      <c r="C1343" s="102">
        <v>1470</v>
      </c>
      <c r="D1343" s="102">
        <f>Table22[[#This Row],[CURRENT]]-Table22[[#This Row],[IDEAL]]</f>
        <v>-221</v>
      </c>
    </row>
    <row r="1344" spans="1:4" x14ac:dyDescent="0.25">
      <c r="A1344" t="s">
        <v>17744</v>
      </c>
      <c r="B1344" s="102">
        <v>1357</v>
      </c>
      <c r="C1344" s="102">
        <v>1578</v>
      </c>
      <c r="D1344" s="102">
        <f>Table22[[#This Row],[CURRENT]]-Table22[[#This Row],[IDEAL]]</f>
        <v>-221</v>
      </c>
    </row>
    <row r="1345" spans="1:4" x14ac:dyDescent="0.25">
      <c r="A1345" t="s">
        <v>18041</v>
      </c>
      <c r="B1345" s="102">
        <v>1347</v>
      </c>
      <c r="C1345" s="102">
        <v>1567</v>
      </c>
      <c r="D1345" s="102">
        <f>Table22[[#This Row],[CURRENT]]-Table22[[#This Row],[IDEAL]]</f>
        <v>-220</v>
      </c>
    </row>
    <row r="1346" spans="1:4" x14ac:dyDescent="0.25">
      <c r="A1346" t="s">
        <v>17824</v>
      </c>
      <c r="B1346" s="102">
        <v>1613</v>
      </c>
      <c r="C1346" s="102">
        <v>1833</v>
      </c>
      <c r="D1346" s="102">
        <f>Table22[[#This Row],[CURRENT]]-Table22[[#This Row],[IDEAL]]</f>
        <v>-220</v>
      </c>
    </row>
    <row r="1347" spans="1:4" x14ac:dyDescent="0.25">
      <c r="A1347" t="s">
        <v>16535</v>
      </c>
      <c r="B1347" s="102">
        <v>1777</v>
      </c>
      <c r="C1347" s="102">
        <v>1997</v>
      </c>
      <c r="D1347" s="102">
        <f>Table22[[#This Row],[CURRENT]]-Table22[[#This Row],[IDEAL]]</f>
        <v>-220</v>
      </c>
    </row>
    <row r="1348" spans="1:4" x14ac:dyDescent="0.25">
      <c r="A1348" t="s">
        <v>16622</v>
      </c>
      <c r="B1348" s="102">
        <v>1155</v>
      </c>
      <c r="C1348" s="102">
        <v>1375</v>
      </c>
      <c r="D1348" s="102">
        <f>Table22[[#This Row],[CURRENT]]-Table22[[#This Row],[IDEAL]]</f>
        <v>-220</v>
      </c>
    </row>
    <row r="1349" spans="1:4" x14ac:dyDescent="0.25">
      <c r="A1349" t="s">
        <v>16538</v>
      </c>
      <c r="B1349" s="102">
        <v>1769</v>
      </c>
      <c r="C1349" s="102">
        <v>1988</v>
      </c>
      <c r="D1349" s="102">
        <f>Table22[[#This Row],[CURRENT]]-Table22[[#This Row],[IDEAL]]</f>
        <v>-219</v>
      </c>
    </row>
    <row r="1350" spans="1:4" x14ac:dyDescent="0.25">
      <c r="A1350" t="s">
        <v>16594</v>
      </c>
      <c r="B1350" s="102">
        <v>1344</v>
      </c>
      <c r="C1350" s="102">
        <v>1563</v>
      </c>
      <c r="D1350" s="102">
        <f>Table22[[#This Row],[CURRENT]]-Table22[[#This Row],[IDEAL]]</f>
        <v>-219</v>
      </c>
    </row>
    <row r="1351" spans="1:4" x14ac:dyDescent="0.25">
      <c r="A1351" t="s">
        <v>15842</v>
      </c>
      <c r="B1351" s="102">
        <v>927</v>
      </c>
      <c r="C1351" s="102">
        <v>1145</v>
      </c>
      <c r="D1351" s="102">
        <f>Table22[[#This Row],[CURRENT]]-Table22[[#This Row],[IDEAL]]</f>
        <v>-218</v>
      </c>
    </row>
    <row r="1352" spans="1:4" x14ac:dyDescent="0.25">
      <c r="A1352" t="s">
        <v>18064</v>
      </c>
      <c r="B1352" s="102">
        <v>1595</v>
      </c>
      <c r="C1352" s="102">
        <v>1813</v>
      </c>
      <c r="D1352" s="102">
        <f>Table22[[#This Row],[CURRENT]]-Table22[[#This Row],[IDEAL]]</f>
        <v>-218</v>
      </c>
    </row>
    <row r="1353" spans="1:4" x14ac:dyDescent="0.25">
      <c r="A1353" t="s">
        <v>14767</v>
      </c>
      <c r="B1353" s="102">
        <v>1049</v>
      </c>
      <c r="C1353" s="102">
        <v>1264</v>
      </c>
      <c r="D1353" s="102">
        <f>Table22[[#This Row],[CURRENT]]-Table22[[#This Row],[IDEAL]]</f>
        <v>-215</v>
      </c>
    </row>
    <row r="1354" spans="1:4" x14ac:dyDescent="0.25">
      <c r="A1354" t="s">
        <v>17747</v>
      </c>
      <c r="B1354" s="102">
        <v>976</v>
      </c>
      <c r="C1354" s="102">
        <v>1191</v>
      </c>
      <c r="D1354" s="102">
        <f>Table22[[#This Row],[CURRENT]]-Table22[[#This Row],[IDEAL]]</f>
        <v>-215</v>
      </c>
    </row>
    <row r="1355" spans="1:4" x14ac:dyDescent="0.25">
      <c r="A1355" t="s">
        <v>17074</v>
      </c>
      <c r="B1355" s="102">
        <v>1933</v>
      </c>
      <c r="C1355" s="102">
        <v>2148</v>
      </c>
      <c r="D1355" s="102">
        <f>Table22[[#This Row],[CURRENT]]-Table22[[#This Row],[IDEAL]]</f>
        <v>-215</v>
      </c>
    </row>
    <row r="1356" spans="1:4" x14ac:dyDescent="0.25">
      <c r="A1356" t="s">
        <v>18081</v>
      </c>
      <c r="B1356" s="102">
        <v>853</v>
      </c>
      <c r="C1356" s="102">
        <v>1067</v>
      </c>
      <c r="D1356" s="102">
        <f>Table22[[#This Row],[CURRENT]]-Table22[[#This Row],[IDEAL]]</f>
        <v>-214</v>
      </c>
    </row>
    <row r="1357" spans="1:4" x14ac:dyDescent="0.25">
      <c r="A1357" t="s">
        <v>16660</v>
      </c>
      <c r="B1357" s="102">
        <v>911</v>
      </c>
      <c r="C1357" s="102">
        <v>1125</v>
      </c>
      <c r="D1357" s="102">
        <f>Table22[[#This Row],[CURRENT]]-Table22[[#This Row],[IDEAL]]</f>
        <v>-214</v>
      </c>
    </row>
    <row r="1358" spans="1:4" x14ac:dyDescent="0.25">
      <c r="A1358" t="s">
        <v>15870</v>
      </c>
      <c r="B1358" s="102">
        <v>848</v>
      </c>
      <c r="C1358" s="102">
        <v>1061</v>
      </c>
      <c r="D1358" s="102">
        <f>Table22[[#This Row],[CURRENT]]-Table22[[#This Row],[IDEAL]]</f>
        <v>-213</v>
      </c>
    </row>
    <row r="1359" spans="1:4" x14ac:dyDescent="0.25">
      <c r="A1359" t="s">
        <v>13505</v>
      </c>
      <c r="B1359" s="102">
        <v>1909</v>
      </c>
      <c r="C1359" s="102">
        <v>2122</v>
      </c>
      <c r="D1359" s="102">
        <f>Table22[[#This Row],[CURRENT]]-Table22[[#This Row],[IDEAL]]</f>
        <v>-213</v>
      </c>
    </row>
    <row r="1360" spans="1:4" x14ac:dyDescent="0.25">
      <c r="A1360" t="s">
        <v>13730</v>
      </c>
      <c r="B1360" s="102">
        <v>970</v>
      </c>
      <c r="C1360" s="102">
        <v>1183</v>
      </c>
      <c r="D1360" s="102">
        <f>Table22[[#This Row],[CURRENT]]-Table22[[#This Row],[IDEAL]]</f>
        <v>-213</v>
      </c>
    </row>
    <row r="1361" spans="1:4" x14ac:dyDescent="0.25">
      <c r="A1361" t="s">
        <v>18049</v>
      </c>
      <c r="B1361" s="102">
        <v>1422</v>
      </c>
      <c r="C1361" s="102">
        <v>1635</v>
      </c>
      <c r="D1361" s="102">
        <f>Table22[[#This Row],[CURRENT]]-Table22[[#This Row],[IDEAL]]</f>
        <v>-213</v>
      </c>
    </row>
    <row r="1362" spans="1:4" x14ac:dyDescent="0.25">
      <c r="A1362" t="s">
        <v>14714</v>
      </c>
      <c r="B1362" s="102">
        <v>1550</v>
      </c>
      <c r="C1362" s="102">
        <v>1762</v>
      </c>
      <c r="D1362" s="102">
        <f>Table22[[#This Row],[CURRENT]]-Table22[[#This Row],[IDEAL]]</f>
        <v>-212</v>
      </c>
    </row>
    <row r="1363" spans="1:4" x14ac:dyDescent="0.25">
      <c r="A1363" t="s">
        <v>14757</v>
      </c>
      <c r="B1363" s="102">
        <v>1710</v>
      </c>
      <c r="C1363" s="102">
        <v>1922</v>
      </c>
      <c r="D1363" s="102">
        <f>Table22[[#This Row],[CURRENT]]-Table22[[#This Row],[IDEAL]]</f>
        <v>-212</v>
      </c>
    </row>
    <row r="1364" spans="1:4" x14ac:dyDescent="0.25">
      <c r="A1364" t="s">
        <v>16589</v>
      </c>
      <c r="B1364" s="102">
        <v>1416</v>
      </c>
      <c r="C1364" s="102">
        <v>1628</v>
      </c>
      <c r="D1364" s="102">
        <f>Table22[[#This Row],[CURRENT]]-Table22[[#This Row],[IDEAL]]</f>
        <v>-212</v>
      </c>
    </row>
    <row r="1365" spans="1:4" x14ac:dyDescent="0.25">
      <c r="A1365" t="s">
        <v>16554</v>
      </c>
      <c r="B1365" s="102">
        <v>1714</v>
      </c>
      <c r="C1365" s="102">
        <v>1926</v>
      </c>
      <c r="D1365" s="102">
        <f>Table22[[#This Row],[CURRENT]]-Table22[[#This Row],[IDEAL]]</f>
        <v>-212</v>
      </c>
    </row>
    <row r="1366" spans="1:4" x14ac:dyDescent="0.25">
      <c r="A1366" t="s">
        <v>15875</v>
      </c>
      <c r="B1366" s="102">
        <v>840</v>
      </c>
      <c r="C1366" s="102">
        <v>1051</v>
      </c>
      <c r="D1366" s="102">
        <f>Table22[[#This Row],[CURRENT]]-Table22[[#This Row],[IDEAL]]</f>
        <v>-211</v>
      </c>
    </row>
    <row r="1367" spans="1:4" x14ac:dyDescent="0.25">
      <c r="A1367" t="s">
        <v>17037</v>
      </c>
      <c r="B1367" s="102">
        <v>1899</v>
      </c>
      <c r="C1367" s="102">
        <v>2110</v>
      </c>
      <c r="D1367" s="102">
        <f>Table22[[#This Row],[CURRENT]]-Table22[[#This Row],[IDEAL]]</f>
        <v>-211</v>
      </c>
    </row>
    <row r="1368" spans="1:4" x14ac:dyDescent="0.25">
      <c r="A1368" t="s">
        <v>15596</v>
      </c>
      <c r="B1368" s="102">
        <v>1699</v>
      </c>
      <c r="C1368" s="102">
        <v>1909</v>
      </c>
      <c r="D1368" s="102">
        <f>Table22[[#This Row],[CURRENT]]-Table22[[#This Row],[IDEAL]]</f>
        <v>-210</v>
      </c>
    </row>
    <row r="1369" spans="1:4" x14ac:dyDescent="0.25">
      <c r="A1369" t="s">
        <v>13529</v>
      </c>
      <c r="B1369" s="102">
        <v>1534</v>
      </c>
      <c r="C1369" s="102">
        <v>1744</v>
      </c>
      <c r="D1369" s="102">
        <f>Table22[[#This Row],[CURRENT]]-Table22[[#This Row],[IDEAL]]</f>
        <v>-210</v>
      </c>
    </row>
    <row r="1370" spans="1:4" x14ac:dyDescent="0.25">
      <c r="A1370" t="s">
        <v>17832</v>
      </c>
      <c r="B1370" s="102">
        <v>837</v>
      </c>
      <c r="C1370" s="102">
        <v>1047</v>
      </c>
      <c r="D1370" s="102">
        <f>Table22[[#This Row],[CURRENT]]-Table22[[#This Row],[IDEAL]]</f>
        <v>-210</v>
      </c>
    </row>
    <row r="1371" spans="1:4" x14ac:dyDescent="0.25">
      <c r="A1371" t="s">
        <v>13411</v>
      </c>
      <c r="B1371" s="102">
        <v>1874</v>
      </c>
      <c r="C1371" s="102">
        <v>2083</v>
      </c>
      <c r="D1371" s="102">
        <f>Table22[[#This Row],[CURRENT]]-Table22[[#This Row],[IDEAL]]</f>
        <v>-209</v>
      </c>
    </row>
    <row r="1372" spans="1:4" x14ac:dyDescent="0.25">
      <c r="A1372" t="s">
        <v>17077</v>
      </c>
      <c r="B1372" s="102">
        <v>1528</v>
      </c>
      <c r="C1372" s="102">
        <v>1737</v>
      </c>
      <c r="D1372" s="102">
        <f>Table22[[#This Row],[CURRENT]]-Table22[[#This Row],[IDEAL]]</f>
        <v>-209</v>
      </c>
    </row>
    <row r="1373" spans="1:4" x14ac:dyDescent="0.25">
      <c r="A1373" t="s">
        <v>16665</v>
      </c>
      <c r="B1373" s="102">
        <v>890</v>
      </c>
      <c r="C1373" s="102">
        <v>1099</v>
      </c>
      <c r="D1373" s="102">
        <f>Table22[[#This Row],[CURRENT]]-Table22[[#This Row],[IDEAL]]</f>
        <v>-209</v>
      </c>
    </row>
    <row r="1374" spans="1:4" x14ac:dyDescent="0.25">
      <c r="A1374" t="s">
        <v>14975</v>
      </c>
      <c r="B1374" s="102">
        <v>945</v>
      </c>
      <c r="C1374" s="102">
        <v>1153</v>
      </c>
      <c r="D1374" s="102">
        <f>Table22[[#This Row],[CURRENT]]-Table22[[#This Row],[IDEAL]]</f>
        <v>-208</v>
      </c>
    </row>
    <row r="1375" spans="1:4" x14ac:dyDescent="0.25">
      <c r="A1375" t="s">
        <v>16607</v>
      </c>
      <c r="B1375" s="102">
        <v>1270</v>
      </c>
      <c r="C1375" s="102">
        <v>1477</v>
      </c>
      <c r="D1375" s="102">
        <f>Table22[[#This Row],[CURRENT]]-Table22[[#This Row],[IDEAL]]</f>
        <v>-207</v>
      </c>
    </row>
    <row r="1376" spans="1:4" x14ac:dyDescent="0.25">
      <c r="A1376" t="s">
        <v>15607</v>
      </c>
      <c r="B1376" s="102">
        <v>1661</v>
      </c>
      <c r="C1376" s="102">
        <v>1867</v>
      </c>
      <c r="D1376" s="102">
        <f>Table22[[#This Row],[CURRENT]]-Table22[[#This Row],[IDEAL]]</f>
        <v>-206</v>
      </c>
    </row>
    <row r="1377" spans="1:4" x14ac:dyDescent="0.25">
      <c r="A1377" t="s">
        <v>17734</v>
      </c>
      <c r="B1377" s="102">
        <v>1665</v>
      </c>
      <c r="C1377" s="102">
        <v>1871</v>
      </c>
      <c r="D1377" s="102">
        <f>Table22[[#This Row],[CURRENT]]-Table22[[#This Row],[IDEAL]]</f>
        <v>-206</v>
      </c>
    </row>
    <row r="1378" spans="1:4" x14ac:dyDescent="0.25">
      <c r="A1378" t="s">
        <v>16623</v>
      </c>
      <c r="B1378" s="102">
        <v>1165</v>
      </c>
      <c r="C1378" s="102">
        <v>1371</v>
      </c>
      <c r="D1378" s="102">
        <f>Table22[[#This Row],[CURRENT]]-Table22[[#This Row],[IDEAL]]</f>
        <v>-206</v>
      </c>
    </row>
    <row r="1379" spans="1:4" x14ac:dyDescent="0.25">
      <c r="A1379" t="s">
        <v>18040</v>
      </c>
      <c r="B1379" s="102">
        <v>1499</v>
      </c>
      <c r="C1379" s="102">
        <v>1704</v>
      </c>
      <c r="D1379" s="102">
        <f>Table22[[#This Row],[CURRENT]]-Table22[[#This Row],[IDEAL]]</f>
        <v>-205</v>
      </c>
    </row>
    <row r="1380" spans="1:4" x14ac:dyDescent="0.25">
      <c r="A1380" t="s">
        <v>16626</v>
      </c>
      <c r="B1380" s="102">
        <v>1158</v>
      </c>
      <c r="C1380" s="102">
        <v>1363</v>
      </c>
      <c r="D1380" s="102">
        <f>Table22[[#This Row],[CURRENT]]-Table22[[#This Row],[IDEAL]]</f>
        <v>-205</v>
      </c>
    </row>
    <row r="1381" spans="1:4" x14ac:dyDescent="0.25">
      <c r="A1381" t="s">
        <v>15845</v>
      </c>
      <c r="B1381" s="102">
        <v>928</v>
      </c>
      <c r="C1381" s="102">
        <v>1132</v>
      </c>
      <c r="D1381" s="102">
        <f>Table22[[#This Row],[CURRENT]]-Table22[[#This Row],[IDEAL]]</f>
        <v>-204</v>
      </c>
    </row>
    <row r="1382" spans="1:4" x14ac:dyDescent="0.25">
      <c r="A1382" t="s">
        <v>15645</v>
      </c>
      <c r="B1382" s="102">
        <v>1493</v>
      </c>
      <c r="C1382" s="102">
        <v>1697</v>
      </c>
      <c r="D1382" s="102">
        <f>Table22[[#This Row],[CURRENT]]-Table22[[#This Row],[IDEAL]]</f>
        <v>-204</v>
      </c>
    </row>
    <row r="1383" spans="1:4" x14ac:dyDescent="0.25">
      <c r="A1383" t="s">
        <v>15015</v>
      </c>
      <c r="B1383" s="102">
        <v>865</v>
      </c>
      <c r="C1383" s="102">
        <v>1069</v>
      </c>
      <c r="D1383" s="102">
        <f>Table22[[#This Row],[CURRENT]]-Table22[[#This Row],[IDEAL]]</f>
        <v>-204</v>
      </c>
    </row>
    <row r="1384" spans="1:4" x14ac:dyDescent="0.25">
      <c r="A1384" t="s">
        <v>17776</v>
      </c>
      <c r="B1384" s="102">
        <v>1066</v>
      </c>
      <c r="C1384" s="102">
        <v>1270</v>
      </c>
      <c r="D1384" s="102">
        <f>Table22[[#This Row],[CURRENT]]-Table22[[#This Row],[IDEAL]]</f>
        <v>-204</v>
      </c>
    </row>
    <row r="1385" spans="1:4" x14ac:dyDescent="0.25">
      <c r="A1385" t="s">
        <v>18047</v>
      </c>
      <c r="B1385" s="102">
        <v>1490</v>
      </c>
      <c r="C1385" s="102">
        <v>1694</v>
      </c>
      <c r="D1385" s="102">
        <f>Table22[[#This Row],[CURRENT]]-Table22[[#This Row],[IDEAL]]</f>
        <v>-204</v>
      </c>
    </row>
    <row r="1386" spans="1:4" x14ac:dyDescent="0.25">
      <c r="A1386" t="s">
        <v>15012</v>
      </c>
      <c r="B1386" s="102">
        <v>810</v>
      </c>
      <c r="C1386" s="102">
        <v>1013</v>
      </c>
      <c r="D1386" s="102">
        <f>Table22[[#This Row],[CURRENT]]-Table22[[#This Row],[IDEAL]]</f>
        <v>-203</v>
      </c>
    </row>
    <row r="1387" spans="1:4" x14ac:dyDescent="0.25">
      <c r="A1387" t="s">
        <v>16672</v>
      </c>
      <c r="B1387" s="102">
        <v>810</v>
      </c>
      <c r="C1387" s="102">
        <v>1013</v>
      </c>
      <c r="D1387" s="102">
        <f>Table22[[#This Row],[CURRENT]]-Table22[[#This Row],[IDEAL]]</f>
        <v>-203</v>
      </c>
    </row>
    <row r="1388" spans="1:4" x14ac:dyDescent="0.25">
      <c r="A1388" t="s">
        <v>15739</v>
      </c>
      <c r="B1388" s="102">
        <v>1238</v>
      </c>
      <c r="C1388" s="102">
        <v>1440</v>
      </c>
      <c r="D1388" s="102">
        <f>Table22[[#This Row],[CURRENT]]-Table22[[#This Row],[IDEAL]]</f>
        <v>-202</v>
      </c>
    </row>
    <row r="1389" spans="1:4" x14ac:dyDescent="0.25">
      <c r="A1389" t="s">
        <v>13501</v>
      </c>
      <c r="B1389" s="102">
        <v>1634</v>
      </c>
      <c r="C1389" s="102">
        <v>1836</v>
      </c>
      <c r="D1389" s="102">
        <f>Table22[[#This Row],[CURRENT]]-Table22[[#This Row],[IDEAL]]</f>
        <v>-202</v>
      </c>
    </row>
    <row r="1390" spans="1:4" x14ac:dyDescent="0.25">
      <c r="A1390" t="s">
        <v>17750</v>
      </c>
      <c r="B1390" s="102">
        <v>806</v>
      </c>
      <c r="C1390" s="102">
        <v>1008</v>
      </c>
      <c r="D1390" s="102">
        <f>Table22[[#This Row],[CURRENT]]-Table22[[#This Row],[IDEAL]]</f>
        <v>-202</v>
      </c>
    </row>
    <row r="1391" spans="1:4" x14ac:dyDescent="0.25">
      <c r="A1391" t="s">
        <v>16662</v>
      </c>
      <c r="B1391" s="102">
        <v>912</v>
      </c>
      <c r="C1391" s="102">
        <v>1113</v>
      </c>
      <c r="D1391" s="102">
        <f>Table22[[#This Row],[CURRENT]]-Table22[[#This Row],[IDEAL]]</f>
        <v>-201</v>
      </c>
    </row>
    <row r="1392" spans="1:4" x14ac:dyDescent="0.25">
      <c r="A1392" t="s">
        <v>14768</v>
      </c>
      <c r="B1392" s="102">
        <v>1127</v>
      </c>
      <c r="C1392" s="102">
        <v>1327</v>
      </c>
      <c r="D1392" s="102">
        <f>Table22[[#This Row],[CURRENT]]-Table22[[#This Row],[IDEAL]]</f>
        <v>-200</v>
      </c>
    </row>
    <row r="1393" spans="1:4" x14ac:dyDescent="0.25">
      <c r="A1393" t="s">
        <v>17834</v>
      </c>
      <c r="B1393" s="102">
        <v>796</v>
      </c>
      <c r="C1393" s="102">
        <v>996</v>
      </c>
      <c r="D1393" s="102">
        <f>Table22[[#This Row],[CURRENT]]-Table22[[#This Row],[IDEAL]]</f>
        <v>-200</v>
      </c>
    </row>
    <row r="1394" spans="1:4" x14ac:dyDescent="0.25">
      <c r="A1394" t="s">
        <v>15091</v>
      </c>
      <c r="B1394" s="102">
        <v>905</v>
      </c>
      <c r="C1394" s="102">
        <v>1104</v>
      </c>
      <c r="D1394" s="102">
        <f>Table22[[#This Row],[CURRENT]]-Table22[[#This Row],[IDEAL]]</f>
        <v>-199</v>
      </c>
    </row>
    <row r="1395" spans="1:4" x14ac:dyDescent="0.25">
      <c r="A1395" t="s">
        <v>18072</v>
      </c>
      <c r="B1395" s="102">
        <v>1328</v>
      </c>
      <c r="C1395" s="102">
        <v>1527</v>
      </c>
      <c r="D1395" s="102">
        <f>Table22[[#This Row],[CURRENT]]-Table22[[#This Row],[IDEAL]]</f>
        <v>-199</v>
      </c>
    </row>
    <row r="1396" spans="1:4" x14ac:dyDescent="0.25">
      <c r="A1396" t="s">
        <v>16615</v>
      </c>
      <c r="B1396" s="102">
        <v>1218</v>
      </c>
      <c r="C1396" s="102">
        <v>1417</v>
      </c>
      <c r="D1396" s="102">
        <f>Table22[[#This Row],[CURRENT]]-Table22[[#This Row],[IDEAL]]</f>
        <v>-199</v>
      </c>
    </row>
    <row r="1397" spans="1:4" x14ac:dyDescent="0.25">
      <c r="A1397" t="s">
        <v>16675</v>
      </c>
      <c r="B1397" s="102">
        <v>795</v>
      </c>
      <c r="C1397" s="102">
        <v>994</v>
      </c>
      <c r="D1397" s="102">
        <f>Table22[[#This Row],[CURRENT]]-Table22[[#This Row],[IDEAL]]</f>
        <v>-199</v>
      </c>
    </row>
    <row r="1398" spans="1:4" x14ac:dyDescent="0.25">
      <c r="A1398" t="s">
        <v>15017</v>
      </c>
      <c r="B1398" s="102">
        <v>900</v>
      </c>
      <c r="C1398" s="102">
        <v>1098</v>
      </c>
      <c r="D1398" s="102">
        <f>Table22[[#This Row],[CURRENT]]-Table22[[#This Row],[IDEAL]]</f>
        <v>-198</v>
      </c>
    </row>
    <row r="1399" spans="1:4" x14ac:dyDescent="0.25">
      <c r="A1399" t="s">
        <v>17739</v>
      </c>
      <c r="B1399" s="102">
        <v>841</v>
      </c>
      <c r="C1399" s="102">
        <v>1039</v>
      </c>
      <c r="D1399" s="102">
        <f>Table22[[#This Row],[CURRENT]]-Table22[[#This Row],[IDEAL]]</f>
        <v>-198</v>
      </c>
    </row>
    <row r="1400" spans="1:4" x14ac:dyDescent="0.25">
      <c r="A1400" t="s">
        <v>15024</v>
      </c>
      <c r="B1400" s="102">
        <v>1589</v>
      </c>
      <c r="C1400" s="102">
        <v>1786</v>
      </c>
      <c r="D1400" s="102">
        <f>Table22[[#This Row],[CURRENT]]-Table22[[#This Row],[IDEAL]]</f>
        <v>-197</v>
      </c>
    </row>
    <row r="1401" spans="1:4" x14ac:dyDescent="0.25">
      <c r="A1401" t="s">
        <v>17596</v>
      </c>
      <c r="B1401" s="102">
        <v>1437</v>
      </c>
      <c r="C1401" s="102">
        <v>1634</v>
      </c>
      <c r="D1401" s="102">
        <f>Table22[[#This Row],[CURRENT]]-Table22[[#This Row],[IDEAL]]</f>
        <v>-197</v>
      </c>
    </row>
    <row r="1402" spans="1:4" x14ac:dyDescent="0.25">
      <c r="A1402" t="s">
        <v>14785</v>
      </c>
      <c r="B1402" s="102">
        <v>1761</v>
      </c>
      <c r="C1402" s="102">
        <v>1957</v>
      </c>
      <c r="D1402" s="102">
        <f>Table22[[#This Row],[CURRENT]]-Table22[[#This Row],[IDEAL]]</f>
        <v>-196</v>
      </c>
    </row>
    <row r="1403" spans="1:4" x14ac:dyDescent="0.25">
      <c r="A1403" t="s">
        <v>17157</v>
      </c>
      <c r="B1403" s="102">
        <v>1759</v>
      </c>
      <c r="C1403" s="102">
        <v>1955</v>
      </c>
      <c r="D1403" s="102">
        <f>Table22[[#This Row],[CURRENT]]-Table22[[#This Row],[IDEAL]]</f>
        <v>-196</v>
      </c>
    </row>
    <row r="1404" spans="1:4" x14ac:dyDescent="0.25">
      <c r="A1404" t="s">
        <v>16656</v>
      </c>
      <c r="B1404" s="102">
        <v>952</v>
      </c>
      <c r="C1404" s="102">
        <v>1148</v>
      </c>
      <c r="D1404" s="102">
        <f>Table22[[#This Row],[CURRENT]]-Table22[[#This Row],[IDEAL]]</f>
        <v>-196</v>
      </c>
    </row>
    <row r="1405" spans="1:4" x14ac:dyDescent="0.25">
      <c r="A1405" t="s">
        <v>16618</v>
      </c>
      <c r="B1405" s="102">
        <v>1199</v>
      </c>
      <c r="C1405" s="102">
        <v>1395</v>
      </c>
      <c r="D1405" s="102">
        <f>Table22[[#This Row],[CURRENT]]-Table22[[#This Row],[IDEAL]]</f>
        <v>-196</v>
      </c>
    </row>
    <row r="1406" spans="1:4" x14ac:dyDescent="0.25">
      <c r="A1406" t="s">
        <v>13800</v>
      </c>
      <c r="B1406" s="102">
        <v>1570</v>
      </c>
      <c r="C1406" s="102">
        <v>1765</v>
      </c>
      <c r="D1406" s="102">
        <f>Table22[[#This Row],[CURRENT]]-Table22[[#This Row],[IDEAL]]</f>
        <v>-195</v>
      </c>
    </row>
    <row r="1407" spans="1:4" x14ac:dyDescent="0.25">
      <c r="A1407" t="s">
        <v>18079</v>
      </c>
      <c r="B1407" s="102">
        <v>1101</v>
      </c>
      <c r="C1407" s="102">
        <v>1296</v>
      </c>
      <c r="D1407" s="102">
        <f>Table22[[#This Row],[CURRENT]]-Table22[[#This Row],[IDEAL]]</f>
        <v>-195</v>
      </c>
    </row>
    <row r="1408" spans="1:4" x14ac:dyDescent="0.25">
      <c r="A1408" t="s">
        <v>18085</v>
      </c>
      <c r="B1408" s="102">
        <v>778</v>
      </c>
      <c r="C1408" s="102">
        <v>973</v>
      </c>
      <c r="D1408" s="102">
        <f>Table22[[#This Row],[CURRENT]]-Table22[[#This Row],[IDEAL]]</f>
        <v>-195</v>
      </c>
    </row>
    <row r="1409" spans="1:4" x14ac:dyDescent="0.25">
      <c r="A1409" t="s">
        <v>15861</v>
      </c>
      <c r="B1409" s="102">
        <v>883</v>
      </c>
      <c r="C1409" s="102">
        <v>1077</v>
      </c>
      <c r="D1409" s="102">
        <f>Table22[[#This Row],[CURRENT]]-Table22[[#This Row],[IDEAL]]</f>
        <v>-194</v>
      </c>
    </row>
    <row r="1410" spans="1:4" x14ac:dyDescent="0.25">
      <c r="A1410" t="s">
        <v>14046</v>
      </c>
      <c r="B1410" s="102">
        <v>1289</v>
      </c>
      <c r="C1410" s="102">
        <v>1482</v>
      </c>
      <c r="D1410" s="102">
        <f>Table22[[#This Row],[CURRENT]]-Table22[[#This Row],[IDEAL]]</f>
        <v>-193</v>
      </c>
    </row>
    <row r="1411" spans="1:4" x14ac:dyDescent="0.25">
      <c r="A1411" t="s">
        <v>18039</v>
      </c>
      <c r="B1411" s="102">
        <v>1556</v>
      </c>
      <c r="C1411" s="102">
        <v>1749</v>
      </c>
      <c r="D1411" s="102">
        <f>Table22[[#This Row],[CURRENT]]-Table22[[#This Row],[IDEAL]]</f>
        <v>-193</v>
      </c>
    </row>
    <row r="1412" spans="1:4" x14ac:dyDescent="0.25">
      <c r="A1412" t="s">
        <v>16573</v>
      </c>
      <c r="B1412" s="102">
        <v>1560</v>
      </c>
      <c r="C1412" s="102">
        <v>1753</v>
      </c>
      <c r="D1412" s="102">
        <f>Table22[[#This Row],[CURRENT]]-Table22[[#This Row],[IDEAL]]</f>
        <v>-193</v>
      </c>
    </row>
    <row r="1413" spans="1:4" x14ac:dyDescent="0.25">
      <c r="A1413" t="s">
        <v>15687</v>
      </c>
      <c r="B1413" s="102">
        <v>1396</v>
      </c>
      <c r="C1413" s="102">
        <v>1587</v>
      </c>
      <c r="D1413" s="102">
        <f>Table22[[#This Row],[CURRENT]]-Table22[[#This Row],[IDEAL]]</f>
        <v>-191</v>
      </c>
    </row>
    <row r="1414" spans="1:4" x14ac:dyDescent="0.25">
      <c r="A1414" t="s">
        <v>14827</v>
      </c>
      <c r="B1414" s="102">
        <v>865</v>
      </c>
      <c r="C1414" s="102">
        <v>1056</v>
      </c>
      <c r="D1414" s="102">
        <f>Table22[[#This Row],[CURRENT]]-Table22[[#This Row],[IDEAL]]</f>
        <v>-191</v>
      </c>
    </row>
    <row r="1415" spans="1:4" x14ac:dyDescent="0.25">
      <c r="A1415" t="s">
        <v>15882</v>
      </c>
      <c r="B1415" s="102">
        <v>807</v>
      </c>
      <c r="C1415" s="102">
        <v>997</v>
      </c>
      <c r="D1415" s="102">
        <f>Table22[[#This Row],[CURRENT]]-Table22[[#This Row],[IDEAL]]</f>
        <v>-190</v>
      </c>
    </row>
    <row r="1416" spans="1:4" x14ac:dyDescent="0.25">
      <c r="A1416" t="s">
        <v>14710</v>
      </c>
      <c r="B1416" s="102">
        <v>1531</v>
      </c>
      <c r="C1416" s="102">
        <v>1721</v>
      </c>
      <c r="D1416" s="102">
        <f>Table22[[#This Row],[CURRENT]]-Table22[[#This Row],[IDEAL]]</f>
        <v>-190</v>
      </c>
    </row>
    <row r="1417" spans="1:4" x14ac:dyDescent="0.25">
      <c r="A1417" t="s">
        <v>17595</v>
      </c>
      <c r="B1417" s="102">
        <v>1702</v>
      </c>
      <c r="C1417" s="102">
        <v>1892</v>
      </c>
      <c r="D1417" s="102">
        <f>Table22[[#This Row],[CURRENT]]-Table22[[#This Row],[IDEAL]]</f>
        <v>-190</v>
      </c>
    </row>
    <row r="1418" spans="1:4" x14ac:dyDescent="0.25">
      <c r="A1418" t="s">
        <v>18023</v>
      </c>
      <c r="B1418" s="102">
        <v>1706</v>
      </c>
      <c r="C1418" s="102">
        <v>1896</v>
      </c>
      <c r="D1418" s="102">
        <f>Table22[[#This Row],[CURRENT]]-Table22[[#This Row],[IDEAL]]</f>
        <v>-190</v>
      </c>
    </row>
    <row r="1419" spans="1:4" x14ac:dyDescent="0.25">
      <c r="A1419" t="s">
        <v>12568</v>
      </c>
      <c r="B1419" s="102">
        <v>1259</v>
      </c>
      <c r="C1419" s="102">
        <v>1448</v>
      </c>
      <c r="D1419" s="102">
        <f>Table22[[#This Row],[CURRENT]]-Table22[[#This Row],[IDEAL]]</f>
        <v>-189</v>
      </c>
    </row>
    <row r="1420" spans="1:4" x14ac:dyDescent="0.25">
      <c r="A1420" t="s">
        <v>14783</v>
      </c>
      <c r="B1420" s="102">
        <v>1696</v>
      </c>
      <c r="C1420" s="102">
        <v>1885</v>
      </c>
      <c r="D1420" s="102">
        <f>Table22[[#This Row],[CURRENT]]-Table22[[#This Row],[IDEAL]]</f>
        <v>-189</v>
      </c>
    </row>
    <row r="1421" spans="1:4" x14ac:dyDescent="0.25">
      <c r="A1421" t="s">
        <v>14044</v>
      </c>
      <c r="B1421" s="102">
        <v>1379</v>
      </c>
      <c r="C1421" s="102">
        <v>1568</v>
      </c>
      <c r="D1421" s="102">
        <f>Table22[[#This Row],[CURRENT]]-Table22[[#This Row],[IDEAL]]</f>
        <v>-189</v>
      </c>
    </row>
    <row r="1422" spans="1:4" x14ac:dyDescent="0.25">
      <c r="A1422" t="s">
        <v>18069</v>
      </c>
      <c r="B1422" s="102">
        <v>1381</v>
      </c>
      <c r="C1422" s="102">
        <v>1570</v>
      </c>
      <c r="D1422" s="102">
        <f>Table22[[#This Row],[CURRENT]]-Table22[[#This Row],[IDEAL]]</f>
        <v>-189</v>
      </c>
    </row>
    <row r="1423" spans="1:4" x14ac:dyDescent="0.25">
      <c r="A1423" t="s">
        <v>17738</v>
      </c>
      <c r="B1423" s="102">
        <v>858</v>
      </c>
      <c r="C1423" s="102">
        <v>1047</v>
      </c>
      <c r="D1423" s="102">
        <f>Table22[[#This Row],[CURRENT]]-Table22[[#This Row],[IDEAL]]</f>
        <v>-189</v>
      </c>
    </row>
    <row r="1424" spans="1:4" x14ac:dyDescent="0.25">
      <c r="A1424" t="s">
        <v>15778</v>
      </c>
      <c r="B1424" s="102">
        <v>1153</v>
      </c>
      <c r="C1424" s="102">
        <v>1341</v>
      </c>
      <c r="D1424" s="102">
        <f>Table22[[#This Row],[CURRENT]]-Table22[[#This Row],[IDEAL]]</f>
        <v>-188</v>
      </c>
    </row>
    <row r="1425" spans="1:4" x14ac:dyDescent="0.25">
      <c r="A1425" t="s">
        <v>13748</v>
      </c>
      <c r="B1425" s="102">
        <v>1518</v>
      </c>
      <c r="C1425" s="102">
        <v>1706</v>
      </c>
      <c r="D1425" s="102">
        <f>Table22[[#This Row],[CURRENT]]-Table22[[#This Row],[IDEAL]]</f>
        <v>-188</v>
      </c>
    </row>
    <row r="1426" spans="1:4" x14ac:dyDescent="0.25">
      <c r="A1426" t="s">
        <v>17829</v>
      </c>
      <c r="B1426" s="102">
        <v>1254</v>
      </c>
      <c r="C1426" s="102">
        <v>1442</v>
      </c>
      <c r="D1426" s="102">
        <f>Table22[[#This Row],[CURRENT]]-Table22[[#This Row],[IDEAL]]</f>
        <v>-188</v>
      </c>
    </row>
    <row r="1427" spans="1:4" x14ac:dyDescent="0.25">
      <c r="A1427" t="s">
        <v>16611</v>
      </c>
      <c r="B1427" s="102">
        <v>1251</v>
      </c>
      <c r="C1427" s="102">
        <v>1439</v>
      </c>
      <c r="D1427" s="102">
        <f>Table22[[#This Row],[CURRENT]]-Table22[[#This Row],[IDEAL]]</f>
        <v>-188</v>
      </c>
    </row>
    <row r="1428" spans="1:4" x14ac:dyDescent="0.25">
      <c r="A1428" t="s">
        <v>15837</v>
      </c>
      <c r="B1428" s="102">
        <v>979</v>
      </c>
      <c r="C1428" s="102">
        <v>1166</v>
      </c>
      <c r="D1428" s="102">
        <f>Table22[[#This Row],[CURRENT]]-Table22[[#This Row],[IDEAL]]</f>
        <v>-187</v>
      </c>
    </row>
    <row r="1429" spans="1:4" x14ac:dyDescent="0.25">
      <c r="A1429" t="s">
        <v>15785</v>
      </c>
      <c r="B1429" s="102">
        <v>1148</v>
      </c>
      <c r="C1429" s="102">
        <v>1335</v>
      </c>
      <c r="D1429" s="102">
        <f>Table22[[#This Row],[CURRENT]]-Table22[[#This Row],[IDEAL]]</f>
        <v>-187</v>
      </c>
    </row>
    <row r="1430" spans="1:4" x14ac:dyDescent="0.25">
      <c r="A1430" t="s">
        <v>14961</v>
      </c>
      <c r="B1430" s="102">
        <v>1370</v>
      </c>
      <c r="C1430" s="102">
        <v>1557</v>
      </c>
      <c r="D1430" s="102">
        <f>Table22[[#This Row],[CURRENT]]-Table22[[#This Row],[IDEAL]]</f>
        <v>-187</v>
      </c>
    </row>
    <row r="1431" spans="1:4" x14ac:dyDescent="0.25">
      <c r="A1431" t="s">
        <v>18024</v>
      </c>
      <c r="B1431" s="102">
        <v>1674</v>
      </c>
      <c r="C1431" s="102">
        <v>1861</v>
      </c>
      <c r="D1431" s="102">
        <f>Table22[[#This Row],[CURRENT]]-Table22[[#This Row],[IDEAL]]</f>
        <v>-187</v>
      </c>
    </row>
    <row r="1432" spans="1:4" x14ac:dyDescent="0.25">
      <c r="A1432" t="s">
        <v>16632</v>
      </c>
      <c r="B1432" s="102">
        <v>1142</v>
      </c>
      <c r="C1432" s="102">
        <v>1328</v>
      </c>
      <c r="D1432" s="102">
        <f>Table22[[#This Row],[CURRENT]]-Table22[[#This Row],[IDEAL]]</f>
        <v>-186</v>
      </c>
    </row>
    <row r="1433" spans="1:4" x14ac:dyDescent="0.25">
      <c r="A1433" t="s">
        <v>16646</v>
      </c>
      <c r="B1433" s="102">
        <v>1042</v>
      </c>
      <c r="C1433" s="102">
        <v>1227</v>
      </c>
      <c r="D1433" s="102">
        <f>Table22[[#This Row],[CURRENT]]-Table22[[#This Row],[IDEAL]]</f>
        <v>-185</v>
      </c>
    </row>
    <row r="1434" spans="1:4" x14ac:dyDescent="0.25">
      <c r="A1434" t="s">
        <v>12571</v>
      </c>
      <c r="B1434" s="102">
        <v>1124</v>
      </c>
      <c r="C1434" s="102">
        <v>1307</v>
      </c>
      <c r="D1434" s="102">
        <f>Table22[[#This Row],[CURRENT]]-Table22[[#This Row],[IDEAL]]</f>
        <v>-183</v>
      </c>
    </row>
    <row r="1435" spans="1:4" x14ac:dyDescent="0.25">
      <c r="A1435" t="s">
        <v>15020</v>
      </c>
      <c r="B1435" s="102">
        <v>1029</v>
      </c>
      <c r="C1435" s="102">
        <v>1211</v>
      </c>
      <c r="D1435" s="102">
        <f>Table22[[#This Row],[CURRENT]]-Table22[[#This Row],[IDEAL]]</f>
        <v>-182</v>
      </c>
    </row>
    <row r="1436" spans="1:4" x14ac:dyDescent="0.25">
      <c r="A1436" t="s">
        <v>15014</v>
      </c>
      <c r="B1436" s="102">
        <v>824</v>
      </c>
      <c r="C1436" s="102">
        <v>1006</v>
      </c>
      <c r="D1436" s="102">
        <f>Table22[[#This Row],[CURRENT]]-Table22[[#This Row],[IDEAL]]</f>
        <v>-182</v>
      </c>
    </row>
    <row r="1437" spans="1:4" x14ac:dyDescent="0.25">
      <c r="A1437" t="s">
        <v>17828</v>
      </c>
      <c r="B1437" s="102">
        <v>1334</v>
      </c>
      <c r="C1437" s="102">
        <v>1516</v>
      </c>
      <c r="D1437" s="102">
        <f>Table22[[#This Row],[CURRENT]]-Table22[[#This Row],[IDEAL]]</f>
        <v>-182</v>
      </c>
    </row>
    <row r="1438" spans="1:4" x14ac:dyDescent="0.25">
      <c r="A1438" t="s">
        <v>16638</v>
      </c>
      <c r="B1438" s="102">
        <v>1115</v>
      </c>
      <c r="C1438" s="102">
        <v>1297</v>
      </c>
      <c r="D1438" s="102">
        <f>Table22[[#This Row],[CURRENT]]-Table22[[#This Row],[IDEAL]]</f>
        <v>-182</v>
      </c>
    </row>
    <row r="1439" spans="1:4" x14ac:dyDescent="0.25">
      <c r="A1439" t="s">
        <v>16673</v>
      </c>
      <c r="B1439" s="102">
        <v>829</v>
      </c>
      <c r="C1439" s="102">
        <v>1011</v>
      </c>
      <c r="D1439" s="102">
        <f>Table22[[#This Row],[CURRENT]]-Table22[[#This Row],[IDEAL]]</f>
        <v>-182</v>
      </c>
    </row>
    <row r="1440" spans="1:4" x14ac:dyDescent="0.25">
      <c r="A1440" t="s">
        <v>17737</v>
      </c>
      <c r="B1440" s="102">
        <v>947</v>
      </c>
      <c r="C1440" s="102">
        <v>1128</v>
      </c>
      <c r="D1440" s="102">
        <f>Table22[[#This Row],[CURRENT]]-Table22[[#This Row],[IDEAL]]</f>
        <v>-181</v>
      </c>
    </row>
    <row r="1441" spans="1:4" x14ac:dyDescent="0.25">
      <c r="A1441" t="s">
        <v>15021</v>
      </c>
      <c r="B1441" s="102">
        <v>1092</v>
      </c>
      <c r="C1441" s="102">
        <v>1270</v>
      </c>
      <c r="D1441" s="102">
        <f>Table22[[#This Row],[CURRENT]]-Table22[[#This Row],[IDEAL]]</f>
        <v>-178</v>
      </c>
    </row>
    <row r="1442" spans="1:4" x14ac:dyDescent="0.25">
      <c r="A1442" t="s">
        <v>14705</v>
      </c>
      <c r="B1442" s="102">
        <v>1088</v>
      </c>
      <c r="C1442" s="102">
        <v>1266</v>
      </c>
      <c r="D1442" s="102">
        <f>Table22[[#This Row],[CURRENT]]-Table22[[#This Row],[IDEAL]]</f>
        <v>-178</v>
      </c>
    </row>
    <row r="1443" spans="1:4" x14ac:dyDescent="0.25">
      <c r="A1443" t="s">
        <v>12565</v>
      </c>
      <c r="B1443" s="102">
        <v>1295</v>
      </c>
      <c r="C1443" s="102">
        <v>1472</v>
      </c>
      <c r="D1443" s="102">
        <f>Table22[[#This Row],[CURRENT]]-Table22[[#This Row],[IDEAL]]</f>
        <v>-177</v>
      </c>
    </row>
    <row r="1444" spans="1:4" x14ac:dyDescent="0.25">
      <c r="A1444" t="s">
        <v>15684</v>
      </c>
      <c r="B1444" s="102">
        <v>1421</v>
      </c>
      <c r="C1444" s="102">
        <v>1597</v>
      </c>
      <c r="D1444" s="102">
        <f>Table22[[#This Row],[CURRENT]]-Table22[[#This Row],[IDEAL]]</f>
        <v>-176</v>
      </c>
    </row>
    <row r="1445" spans="1:4" x14ac:dyDescent="0.25">
      <c r="A1445" t="s">
        <v>14715</v>
      </c>
      <c r="B1445" s="102">
        <v>1576</v>
      </c>
      <c r="C1445" s="102">
        <v>1752</v>
      </c>
      <c r="D1445" s="102">
        <f>Table22[[#This Row],[CURRENT]]-Table22[[#This Row],[IDEAL]]</f>
        <v>-176</v>
      </c>
    </row>
    <row r="1446" spans="1:4" x14ac:dyDescent="0.25">
      <c r="A1446" t="s">
        <v>13429</v>
      </c>
      <c r="B1446" s="102">
        <v>1415</v>
      </c>
      <c r="C1446" s="102">
        <v>1591</v>
      </c>
      <c r="D1446" s="102">
        <f>Table22[[#This Row],[CURRENT]]-Table22[[#This Row],[IDEAL]]</f>
        <v>-176</v>
      </c>
    </row>
    <row r="1447" spans="1:4" x14ac:dyDescent="0.25">
      <c r="A1447" t="s">
        <v>18083</v>
      </c>
      <c r="B1447" s="102">
        <v>855</v>
      </c>
      <c r="C1447" s="102">
        <v>1031</v>
      </c>
      <c r="D1447" s="102">
        <f>Table22[[#This Row],[CURRENT]]-Table22[[#This Row],[IDEAL]]</f>
        <v>-176</v>
      </c>
    </row>
    <row r="1448" spans="1:4" x14ac:dyDescent="0.25">
      <c r="A1448" t="s">
        <v>13734</v>
      </c>
      <c r="B1448" s="102">
        <v>793</v>
      </c>
      <c r="C1448" s="102">
        <v>968</v>
      </c>
      <c r="D1448" s="102">
        <f>Table22[[#This Row],[CURRENT]]-Table22[[#This Row],[IDEAL]]</f>
        <v>-175</v>
      </c>
    </row>
    <row r="1449" spans="1:4" x14ac:dyDescent="0.25">
      <c r="A1449" t="s">
        <v>16575</v>
      </c>
      <c r="B1449" s="102">
        <v>1572</v>
      </c>
      <c r="C1449" s="102">
        <v>1747</v>
      </c>
      <c r="D1449" s="102">
        <f>Table22[[#This Row],[CURRENT]]-Table22[[#This Row],[IDEAL]]</f>
        <v>-175</v>
      </c>
    </row>
    <row r="1450" spans="1:4" x14ac:dyDescent="0.25">
      <c r="A1450" t="s">
        <v>16630</v>
      </c>
      <c r="B1450" s="102">
        <v>1164</v>
      </c>
      <c r="C1450" s="102">
        <v>1339</v>
      </c>
      <c r="D1450" s="102">
        <f>Table22[[#This Row],[CURRENT]]-Table22[[#This Row],[IDEAL]]</f>
        <v>-175</v>
      </c>
    </row>
    <row r="1451" spans="1:4" x14ac:dyDescent="0.25">
      <c r="A1451" t="s">
        <v>13727</v>
      </c>
      <c r="B1451" s="102">
        <v>1148</v>
      </c>
      <c r="C1451" s="102">
        <v>1320</v>
      </c>
      <c r="D1451" s="102">
        <f>Table22[[#This Row],[CURRENT]]-Table22[[#This Row],[IDEAL]]</f>
        <v>-172</v>
      </c>
    </row>
    <row r="1452" spans="1:4" x14ac:dyDescent="0.25">
      <c r="A1452" t="s">
        <v>16612</v>
      </c>
      <c r="B1452" s="102">
        <v>1259</v>
      </c>
      <c r="C1452" s="102">
        <v>1431</v>
      </c>
      <c r="D1452" s="102">
        <f>Table22[[#This Row],[CURRENT]]-Table22[[#This Row],[IDEAL]]</f>
        <v>-172</v>
      </c>
    </row>
    <row r="1453" spans="1:4" x14ac:dyDescent="0.25">
      <c r="A1453" t="s">
        <v>17836</v>
      </c>
      <c r="B1453" s="102">
        <v>770</v>
      </c>
      <c r="C1453" s="102">
        <v>940</v>
      </c>
      <c r="D1453" s="102">
        <f>Table22[[#This Row],[CURRENT]]-Table22[[#This Row],[IDEAL]]</f>
        <v>-170</v>
      </c>
    </row>
    <row r="1454" spans="1:4" x14ac:dyDescent="0.25">
      <c r="A1454" t="s">
        <v>15650</v>
      </c>
      <c r="B1454" s="102">
        <v>1521</v>
      </c>
      <c r="C1454" s="102">
        <v>1690</v>
      </c>
      <c r="D1454" s="102">
        <f>Table22[[#This Row],[CURRENT]]-Table22[[#This Row],[IDEAL]]</f>
        <v>-169</v>
      </c>
    </row>
    <row r="1455" spans="1:4" x14ac:dyDescent="0.25">
      <c r="A1455" t="s">
        <v>14885</v>
      </c>
      <c r="B1455" s="102">
        <v>1238</v>
      </c>
      <c r="C1455" s="102">
        <v>1407</v>
      </c>
      <c r="D1455" s="102">
        <f>Table22[[#This Row],[CURRENT]]-Table22[[#This Row],[IDEAL]]</f>
        <v>-169</v>
      </c>
    </row>
    <row r="1456" spans="1:4" x14ac:dyDescent="0.25">
      <c r="A1456" t="s">
        <v>17773</v>
      </c>
      <c r="B1456" s="102">
        <v>1360</v>
      </c>
      <c r="C1456" s="102">
        <v>1529</v>
      </c>
      <c r="D1456" s="102">
        <f>Table22[[#This Row],[CURRENT]]-Table22[[#This Row],[IDEAL]]</f>
        <v>-169</v>
      </c>
    </row>
    <row r="1457" spans="1:4" x14ac:dyDescent="0.25">
      <c r="A1457" t="s">
        <v>18048</v>
      </c>
      <c r="B1457" s="102">
        <v>1520</v>
      </c>
      <c r="C1457" s="102">
        <v>1689</v>
      </c>
      <c r="D1457" s="102">
        <f>Table22[[#This Row],[CURRENT]]-Table22[[#This Row],[IDEAL]]</f>
        <v>-169</v>
      </c>
    </row>
    <row r="1458" spans="1:4" x14ac:dyDescent="0.25">
      <c r="A1458" t="s">
        <v>18076</v>
      </c>
      <c r="B1458" s="102">
        <v>1237</v>
      </c>
      <c r="C1458" s="102">
        <v>1406</v>
      </c>
      <c r="D1458" s="102">
        <f>Table22[[#This Row],[CURRENT]]-Table22[[#This Row],[IDEAL]]</f>
        <v>-169</v>
      </c>
    </row>
    <row r="1459" spans="1:4" x14ac:dyDescent="0.25">
      <c r="A1459" t="s">
        <v>12554</v>
      </c>
      <c r="B1459" s="102">
        <v>1504</v>
      </c>
      <c r="C1459" s="102">
        <v>1672</v>
      </c>
      <c r="D1459" s="102">
        <f>Table22[[#This Row],[CURRENT]]-Table22[[#This Row],[IDEAL]]</f>
        <v>-168</v>
      </c>
    </row>
    <row r="1460" spans="1:4" x14ac:dyDescent="0.25">
      <c r="A1460" t="s">
        <v>15013</v>
      </c>
      <c r="B1460" s="102">
        <v>819</v>
      </c>
      <c r="C1460" s="102">
        <v>987</v>
      </c>
      <c r="D1460" s="102">
        <f>Table22[[#This Row],[CURRENT]]-Table22[[#This Row],[IDEAL]]</f>
        <v>-168</v>
      </c>
    </row>
    <row r="1461" spans="1:4" x14ac:dyDescent="0.25">
      <c r="A1461" t="s">
        <v>18055</v>
      </c>
      <c r="B1461" s="102">
        <v>711</v>
      </c>
      <c r="C1461" s="102">
        <v>879</v>
      </c>
      <c r="D1461" s="102">
        <f>Table22[[#This Row],[CURRENT]]-Table22[[#This Row],[IDEAL]]</f>
        <v>-168</v>
      </c>
    </row>
    <row r="1462" spans="1:4" x14ac:dyDescent="0.25">
      <c r="A1462" t="s">
        <v>16679</v>
      </c>
      <c r="B1462" s="102">
        <v>817</v>
      </c>
      <c r="C1462" s="102">
        <v>985</v>
      </c>
      <c r="D1462" s="102">
        <f>Table22[[#This Row],[CURRENT]]-Table22[[#This Row],[IDEAL]]</f>
        <v>-168</v>
      </c>
    </row>
    <row r="1463" spans="1:4" x14ac:dyDescent="0.25">
      <c r="A1463" t="s">
        <v>16682</v>
      </c>
      <c r="B1463" s="102">
        <v>765</v>
      </c>
      <c r="C1463" s="102">
        <v>933</v>
      </c>
      <c r="D1463" s="102">
        <f>Table22[[#This Row],[CURRENT]]-Table22[[#This Row],[IDEAL]]</f>
        <v>-168</v>
      </c>
    </row>
    <row r="1464" spans="1:4" x14ac:dyDescent="0.25">
      <c r="A1464" t="s">
        <v>16677</v>
      </c>
      <c r="B1464" s="102">
        <v>820</v>
      </c>
      <c r="C1464" s="102">
        <v>988</v>
      </c>
      <c r="D1464" s="102">
        <f>Table22[[#This Row],[CURRENT]]-Table22[[#This Row],[IDEAL]]</f>
        <v>-168</v>
      </c>
    </row>
    <row r="1465" spans="1:4" x14ac:dyDescent="0.25">
      <c r="A1465" t="s">
        <v>16599</v>
      </c>
      <c r="B1465" s="102">
        <v>1351</v>
      </c>
      <c r="C1465" s="102">
        <v>1518</v>
      </c>
      <c r="D1465" s="102">
        <f>Table22[[#This Row],[CURRENT]]-Table22[[#This Row],[IDEAL]]</f>
        <v>-167</v>
      </c>
    </row>
    <row r="1466" spans="1:4" x14ac:dyDescent="0.25">
      <c r="A1466" t="s">
        <v>15664</v>
      </c>
      <c r="B1466" s="102">
        <v>1487</v>
      </c>
      <c r="C1466" s="102">
        <v>1653</v>
      </c>
      <c r="D1466" s="102">
        <f>Table22[[#This Row],[CURRENT]]-Table22[[#This Row],[IDEAL]]</f>
        <v>-166</v>
      </c>
    </row>
    <row r="1467" spans="1:4" x14ac:dyDescent="0.25">
      <c r="A1467" t="s">
        <v>18053</v>
      </c>
      <c r="B1467" s="102">
        <v>1014</v>
      </c>
      <c r="C1467" s="102">
        <v>1180</v>
      </c>
      <c r="D1467" s="102">
        <f>Table22[[#This Row],[CURRENT]]-Table22[[#This Row],[IDEAL]]</f>
        <v>-166</v>
      </c>
    </row>
    <row r="1468" spans="1:4" x14ac:dyDescent="0.25">
      <c r="A1468" t="s">
        <v>18054</v>
      </c>
      <c r="B1468" s="102">
        <v>934</v>
      </c>
      <c r="C1468" s="102">
        <v>1099</v>
      </c>
      <c r="D1468" s="102">
        <f>Table22[[#This Row],[CURRENT]]-Table22[[#This Row],[IDEAL]]</f>
        <v>-165</v>
      </c>
    </row>
    <row r="1469" spans="1:4" x14ac:dyDescent="0.25">
      <c r="A1469" t="s">
        <v>14652</v>
      </c>
      <c r="B1469" s="102">
        <v>925</v>
      </c>
      <c r="C1469" s="102">
        <v>1089</v>
      </c>
      <c r="D1469" s="102">
        <f>Table22[[#This Row],[CURRENT]]-Table22[[#This Row],[IDEAL]]</f>
        <v>-164</v>
      </c>
    </row>
    <row r="1470" spans="1:4" x14ac:dyDescent="0.25">
      <c r="A1470" t="s">
        <v>14525</v>
      </c>
      <c r="B1470" s="102">
        <v>855</v>
      </c>
      <c r="C1470" s="102">
        <v>1019</v>
      </c>
      <c r="D1470" s="102">
        <f>Table22[[#This Row],[CURRENT]]-Table22[[#This Row],[IDEAL]]</f>
        <v>-164</v>
      </c>
    </row>
    <row r="1471" spans="1:4" x14ac:dyDescent="0.25">
      <c r="A1471" t="s">
        <v>13728</v>
      </c>
      <c r="B1471" s="102">
        <v>1090</v>
      </c>
      <c r="C1471" s="102">
        <v>1254</v>
      </c>
      <c r="D1471" s="102">
        <f>Table22[[#This Row],[CURRENT]]-Table22[[#This Row],[IDEAL]]</f>
        <v>-164</v>
      </c>
    </row>
    <row r="1472" spans="1:4" x14ac:dyDescent="0.25">
      <c r="A1472" t="s">
        <v>16605</v>
      </c>
      <c r="B1472" s="102">
        <v>1319</v>
      </c>
      <c r="C1472" s="102">
        <v>1483</v>
      </c>
      <c r="D1472" s="102">
        <f>Table22[[#This Row],[CURRENT]]-Table22[[#This Row],[IDEAL]]</f>
        <v>-164</v>
      </c>
    </row>
    <row r="1473" spans="1:4" x14ac:dyDescent="0.25">
      <c r="A1473" t="s">
        <v>15675</v>
      </c>
      <c r="B1473" s="102">
        <v>1457</v>
      </c>
      <c r="C1473" s="102">
        <v>1619</v>
      </c>
      <c r="D1473" s="102">
        <f>Table22[[#This Row],[CURRENT]]-Table22[[#This Row],[IDEAL]]</f>
        <v>-162</v>
      </c>
    </row>
    <row r="1474" spans="1:4" x14ac:dyDescent="0.25">
      <c r="A1474" t="s">
        <v>18087</v>
      </c>
      <c r="B1474" s="102">
        <v>688</v>
      </c>
      <c r="C1474" s="102">
        <v>850</v>
      </c>
      <c r="D1474" s="102">
        <f>Table22[[#This Row],[CURRENT]]-Table22[[#This Row],[IDEAL]]</f>
        <v>-162</v>
      </c>
    </row>
    <row r="1475" spans="1:4" x14ac:dyDescent="0.25">
      <c r="A1475" t="s">
        <v>16657</v>
      </c>
      <c r="B1475" s="102">
        <v>982</v>
      </c>
      <c r="C1475" s="102">
        <v>1143</v>
      </c>
      <c r="D1475" s="102">
        <f>Table22[[#This Row],[CURRENT]]-Table22[[#This Row],[IDEAL]]</f>
        <v>-161</v>
      </c>
    </row>
    <row r="1476" spans="1:4" x14ac:dyDescent="0.25">
      <c r="A1476" t="s">
        <v>18052</v>
      </c>
      <c r="B1476" s="102">
        <v>1067</v>
      </c>
      <c r="C1476" s="102">
        <v>1227</v>
      </c>
      <c r="D1476" s="102">
        <f>Table22[[#This Row],[CURRENT]]-Table22[[#This Row],[IDEAL]]</f>
        <v>-160</v>
      </c>
    </row>
    <row r="1477" spans="1:4" x14ac:dyDescent="0.25">
      <c r="A1477" t="s">
        <v>18056</v>
      </c>
      <c r="B1477" s="102">
        <v>638</v>
      </c>
      <c r="C1477" s="102">
        <v>798</v>
      </c>
      <c r="D1477" s="102">
        <f>Table22[[#This Row],[CURRENT]]-Table22[[#This Row],[IDEAL]]</f>
        <v>-160</v>
      </c>
    </row>
    <row r="1478" spans="1:4" x14ac:dyDescent="0.25">
      <c r="A1478" t="s">
        <v>16692</v>
      </c>
      <c r="B1478" s="102">
        <v>682</v>
      </c>
      <c r="C1478" s="102">
        <v>842</v>
      </c>
      <c r="D1478" s="102">
        <f>Table22[[#This Row],[CURRENT]]-Table22[[#This Row],[IDEAL]]</f>
        <v>-160</v>
      </c>
    </row>
    <row r="1479" spans="1:4" x14ac:dyDescent="0.25">
      <c r="A1479" t="s">
        <v>16688</v>
      </c>
      <c r="B1479" s="102">
        <v>724</v>
      </c>
      <c r="C1479" s="102">
        <v>884</v>
      </c>
      <c r="D1479" s="102">
        <f>Table22[[#This Row],[CURRENT]]-Table22[[#This Row],[IDEAL]]</f>
        <v>-160</v>
      </c>
    </row>
    <row r="1480" spans="1:4" x14ac:dyDescent="0.25">
      <c r="A1480" t="s">
        <v>14563</v>
      </c>
      <c r="B1480" s="102">
        <v>676</v>
      </c>
      <c r="C1480" s="102">
        <v>835</v>
      </c>
      <c r="D1480" s="102">
        <f>Table22[[#This Row],[CURRENT]]-Table22[[#This Row],[IDEAL]]</f>
        <v>-159</v>
      </c>
    </row>
    <row r="1481" spans="1:4" x14ac:dyDescent="0.25">
      <c r="A1481" t="s">
        <v>17838</v>
      </c>
      <c r="B1481" s="102">
        <v>722</v>
      </c>
      <c r="C1481" s="102">
        <v>881</v>
      </c>
      <c r="D1481" s="102">
        <f>Table22[[#This Row],[CURRENT]]-Table22[[#This Row],[IDEAL]]</f>
        <v>-159</v>
      </c>
    </row>
    <row r="1482" spans="1:4" x14ac:dyDescent="0.25">
      <c r="A1482" t="s">
        <v>16659</v>
      </c>
      <c r="B1482" s="102">
        <v>975</v>
      </c>
      <c r="C1482" s="102">
        <v>1134</v>
      </c>
      <c r="D1482" s="102">
        <f>Table22[[#This Row],[CURRENT]]-Table22[[#This Row],[IDEAL]]</f>
        <v>-159</v>
      </c>
    </row>
    <row r="1483" spans="1:4" x14ac:dyDescent="0.25">
      <c r="A1483" t="s">
        <v>15873</v>
      </c>
      <c r="B1483" s="102">
        <v>895</v>
      </c>
      <c r="C1483" s="102">
        <v>1053</v>
      </c>
      <c r="D1483" s="102">
        <f>Table22[[#This Row],[CURRENT]]-Table22[[#This Row],[IDEAL]]</f>
        <v>-158</v>
      </c>
    </row>
    <row r="1484" spans="1:4" x14ac:dyDescent="0.25">
      <c r="A1484" t="s">
        <v>16678</v>
      </c>
      <c r="B1484" s="102">
        <v>828</v>
      </c>
      <c r="C1484" s="102">
        <v>986</v>
      </c>
      <c r="D1484" s="102">
        <f>Table22[[#This Row],[CURRENT]]-Table22[[#This Row],[IDEAL]]</f>
        <v>-158</v>
      </c>
    </row>
    <row r="1485" spans="1:4" x14ac:dyDescent="0.25">
      <c r="A1485" t="s">
        <v>16670</v>
      </c>
      <c r="B1485" s="102">
        <v>890</v>
      </c>
      <c r="C1485" s="102">
        <v>1048</v>
      </c>
      <c r="D1485" s="102">
        <f>Table22[[#This Row],[CURRENT]]-Table22[[#This Row],[IDEAL]]</f>
        <v>-158</v>
      </c>
    </row>
    <row r="1486" spans="1:4" x14ac:dyDescent="0.25">
      <c r="A1486" t="s">
        <v>14851</v>
      </c>
      <c r="B1486" s="102">
        <v>1148</v>
      </c>
      <c r="C1486" s="102">
        <v>1305</v>
      </c>
      <c r="D1486" s="102">
        <f>Table22[[#This Row],[CURRENT]]-Table22[[#This Row],[IDEAL]]</f>
        <v>-157</v>
      </c>
    </row>
    <row r="1487" spans="1:4" x14ac:dyDescent="0.25">
      <c r="A1487" t="s">
        <v>15016</v>
      </c>
      <c r="B1487" s="102">
        <v>956</v>
      </c>
      <c r="C1487" s="102">
        <v>1112</v>
      </c>
      <c r="D1487" s="102">
        <f>Table22[[#This Row],[CURRENT]]-Table22[[#This Row],[IDEAL]]</f>
        <v>-156</v>
      </c>
    </row>
    <row r="1488" spans="1:4" x14ac:dyDescent="0.25">
      <c r="A1488" t="s">
        <v>14879</v>
      </c>
      <c r="B1488" s="102">
        <v>1037</v>
      </c>
      <c r="C1488" s="102">
        <v>1193</v>
      </c>
      <c r="D1488" s="102">
        <f>Table22[[#This Row],[CURRENT]]-Table22[[#This Row],[IDEAL]]</f>
        <v>-156</v>
      </c>
    </row>
    <row r="1489" spans="1:4" x14ac:dyDescent="0.25">
      <c r="A1489" t="s">
        <v>17827</v>
      </c>
      <c r="B1489" s="102">
        <v>1395</v>
      </c>
      <c r="C1489" s="102">
        <v>1550</v>
      </c>
      <c r="D1489" s="102">
        <f>Table22[[#This Row],[CURRENT]]-Table22[[#This Row],[IDEAL]]</f>
        <v>-155</v>
      </c>
    </row>
    <row r="1490" spans="1:4" x14ac:dyDescent="0.25">
      <c r="A1490" t="s">
        <v>16698</v>
      </c>
      <c r="B1490" s="102">
        <v>620</v>
      </c>
      <c r="C1490" s="102">
        <v>775</v>
      </c>
      <c r="D1490" s="102">
        <f>Table22[[#This Row],[CURRENT]]-Table22[[#This Row],[IDEAL]]</f>
        <v>-155</v>
      </c>
    </row>
    <row r="1491" spans="1:4" x14ac:dyDescent="0.25">
      <c r="A1491" t="s">
        <v>14656</v>
      </c>
      <c r="B1491" s="102">
        <v>1027</v>
      </c>
      <c r="C1491" s="102">
        <v>1181</v>
      </c>
      <c r="D1491" s="102">
        <f>Table22[[#This Row],[CURRENT]]-Table22[[#This Row],[IDEAL]]</f>
        <v>-154</v>
      </c>
    </row>
    <row r="1492" spans="1:4" x14ac:dyDescent="0.25">
      <c r="A1492" t="s">
        <v>12660</v>
      </c>
      <c r="B1492" s="102">
        <v>2400</v>
      </c>
      <c r="C1492" s="102">
        <v>2554</v>
      </c>
      <c r="D1492" s="102">
        <f>Table22[[#This Row],[CURRENT]]-Table22[[#This Row],[IDEAL]]</f>
        <v>-154</v>
      </c>
    </row>
    <row r="1493" spans="1:4" x14ac:dyDescent="0.25">
      <c r="A1493" t="s">
        <v>17868</v>
      </c>
      <c r="B1493" s="102">
        <v>652</v>
      </c>
      <c r="C1493" s="102">
        <v>806</v>
      </c>
      <c r="D1493" s="102">
        <f>Table22[[#This Row],[CURRENT]]-Table22[[#This Row],[IDEAL]]</f>
        <v>-154</v>
      </c>
    </row>
    <row r="1494" spans="1:4" x14ac:dyDescent="0.25">
      <c r="A1494" t="s">
        <v>16641</v>
      </c>
      <c r="B1494" s="102">
        <v>1124</v>
      </c>
      <c r="C1494" s="102">
        <v>1278</v>
      </c>
      <c r="D1494" s="102">
        <f>Table22[[#This Row],[CURRENT]]-Table22[[#This Row],[IDEAL]]</f>
        <v>-154</v>
      </c>
    </row>
    <row r="1495" spans="1:4" x14ac:dyDescent="0.25">
      <c r="A1495" t="s">
        <v>12525</v>
      </c>
      <c r="B1495" s="102">
        <v>2031</v>
      </c>
      <c r="C1495" s="102">
        <v>2184</v>
      </c>
      <c r="D1495" s="102">
        <f>Table22[[#This Row],[CURRENT]]-Table22[[#This Row],[IDEAL]]</f>
        <v>-153</v>
      </c>
    </row>
    <row r="1496" spans="1:4" x14ac:dyDescent="0.25">
      <c r="A1496" t="s">
        <v>14518</v>
      </c>
      <c r="B1496" s="102">
        <v>737</v>
      </c>
      <c r="C1496" s="102">
        <v>889</v>
      </c>
      <c r="D1496" s="102">
        <f>Table22[[#This Row],[CURRENT]]-Table22[[#This Row],[IDEAL]]</f>
        <v>-152</v>
      </c>
    </row>
    <row r="1497" spans="1:4" x14ac:dyDescent="0.25">
      <c r="A1497" t="s">
        <v>18050</v>
      </c>
      <c r="B1497" s="102">
        <v>1350</v>
      </c>
      <c r="C1497" s="102">
        <v>1501</v>
      </c>
      <c r="D1497" s="102">
        <f>Table22[[#This Row],[CURRENT]]-Table22[[#This Row],[IDEAL]]</f>
        <v>-151</v>
      </c>
    </row>
    <row r="1498" spans="1:4" x14ac:dyDescent="0.25">
      <c r="A1498" t="s">
        <v>17835</v>
      </c>
      <c r="B1498" s="102">
        <v>790</v>
      </c>
      <c r="C1498" s="102">
        <v>941</v>
      </c>
      <c r="D1498" s="102">
        <f>Table22[[#This Row],[CURRENT]]-Table22[[#This Row],[IDEAL]]</f>
        <v>-151</v>
      </c>
    </row>
    <row r="1499" spans="1:4" x14ac:dyDescent="0.25">
      <c r="A1499" t="s">
        <v>17856</v>
      </c>
      <c r="B1499" s="102">
        <v>924</v>
      </c>
      <c r="C1499" s="102">
        <v>1075</v>
      </c>
      <c r="D1499" s="102">
        <f>Table22[[#This Row],[CURRENT]]-Table22[[#This Row],[IDEAL]]</f>
        <v>-151</v>
      </c>
    </row>
    <row r="1500" spans="1:4" x14ac:dyDescent="0.25">
      <c r="A1500" t="s">
        <v>16674</v>
      </c>
      <c r="B1500" s="102">
        <v>851</v>
      </c>
      <c r="C1500" s="102">
        <v>1002</v>
      </c>
      <c r="D1500" s="102">
        <f>Table22[[#This Row],[CURRENT]]-Table22[[#This Row],[IDEAL]]</f>
        <v>-151</v>
      </c>
    </row>
    <row r="1501" spans="1:4" x14ac:dyDescent="0.25">
      <c r="A1501" t="s">
        <v>15770</v>
      </c>
      <c r="B1501" s="102">
        <v>1206</v>
      </c>
      <c r="C1501" s="102">
        <v>1356</v>
      </c>
      <c r="D1501" s="102">
        <f>Table22[[#This Row],[CURRENT]]-Table22[[#This Row],[IDEAL]]</f>
        <v>-150</v>
      </c>
    </row>
    <row r="1502" spans="1:4" x14ac:dyDescent="0.25">
      <c r="A1502" t="s">
        <v>13731</v>
      </c>
      <c r="B1502" s="102">
        <v>1001</v>
      </c>
      <c r="C1502" s="102">
        <v>1151</v>
      </c>
      <c r="D1502" s="102">
        <f>Table22[[#This Row],[CURRENT]]-Table22[[#This Row],[IDEAL]]</f>
        <v>-150</v>
      </c>
    </row>
    <row r="1503" spans="1:4" x14ac:dyDescent="0.25">
      <c r="A1503" t="s">
        <v>18088</v>
      </c>
      <c r="B1503" s="102">
        <v>638</v>
      </c>
      <c r="C1503" s="102">
        <v>788</v>
      </c>
      <c r="D1503" s="102">
        <f>Table22[[#This Row],[CURRENT]]-Table22[[#This Row],[IDEAL]]</f>
        <v>-150</v>
      </c>
    </row>
    <row r="1504" spans="1:4" x14ac:dyDescent="0.25">
      <c r="A1504" t="s">
        <v>16666</v>
      </c>
      <c r="B1504" s="102">
        <v>918</v>
      </c>
      <c r="C1504" s="102">
        <v>1068</v>
      </c>
      <c r="D1504" s="102">
        <f>Table22[[#This Row],[CURRENT]]-Table22[[#This Row],[IDEAL]]</f>
        <v>-150</v>
      </c>
    </row>
    <row r="1505" spans="1:4" x14ac:dyDescent="0.25">
      <c r="A1505" t="s">
        <v>16667</v>
      </c>
      <c r="B1505" s="102">
        <v>913</v>
      </c>
      <c r="C1505" s="102">
        <v>1062</v>
      </c>
      <c r="D1505" s="102">
        <f>Table22[[#This Row],[CURRENT]]-Table22[[#This Row],[IDEAL]]</f>
        <v>-149</v>
      </c>
    </row>
    <row r="1506" spans="1:4" x14ac:dyDescent="0.25">
      <c r="A1506" t="s">
        <v>14568</v>
      </c>
      <c r="B1506" s="102">
        <v>715</v>
      </c>
      <c r="C1506" s="102">
        <v>862</v>
      </c>
      <c r="D1506" s="102">
        <f>Table22[[#This Row],[CURRENT]]-Table22[[#This Row],[IDEAL]]</f>
        <v>-147</v>
      </c>
    </row>
    <row r="1507" spans="1:4" x14ac:dyDescent="0.25">
      <c r="A1507" t="s">
        <v>17749</v>
      </c>
      <c r="B1507" s="102">
        <v>899</v>
      </c>
      <c r="C1507" s="102">
        <v>1046</v>
      </c>
      <c r="D1507" s="102">
        <f>Table22[[#This Row],[CURRENT]]-Table22[[#This Row],[IDEAL]]</f>
        <v>-147</v>
      </c>
    </row>
    <row r="1508" spans="1:4" x14ac:dyDescent="0.25">
      <c r="A1508" t="s">
        <v>16699</v>
      </c>
      <c r="B1508" s="102">
        <v>626</v>
      </c>
      <c r="C1508" s="102">
        <v>773</v>
      </c>
      <c r="D1508" s="102">
        <f>Table22[[#This Row],[CURRENT]]-Table22[[#This Row],[IDEAL]]</f>
        <v>-147</v>
      </c>
    </row>
    <row r="1509" spans="1:4" x14ac:dyDescent="0.25">
      <c r="A1509" t="s">
        <v>15890</v>
      </c>
      <c r="B1509" s="102">
        <v>824</v>
      </c>
      <c r="C1509" s="102">
        <v>970</v>
      </c>
      <c r="D1509" s="102">
        <f>Table22[[#This Row],[CURRENT]]-Table22[[#This Row],[IDEAL]]</f>
        <v>-146</v>
      </c>
    </row>
    <row r="1510" spans="1:4" x14ac:dyDescent="0.25">
      <c r="A1510" t="s">
        <v>12204</v>
      </c>
      <c r="B1510" s="102">
        <v>581</v>
      </c>
      <c r="C1510" s="102">
        <v>727</v>
      </c>
      <c r="D1510" s="102">
        <f>Table22[[#This Row],[CURRENT]]-Table22[[#This Row],[IDEAL]]</f>
        <v>-146</v>
      </c>
    </row>
    <row r="1511" spans="1:4" x14ac:dyDescent="0.25">
      <c r="A1511" t="s">
        <v>12567</v>
      </c>
      <c r="B1511" s="102">
        <v>1307</v>
      </c>
      <c r="C1511" s="102">
        <v>1453</v>
      </c>
      <c r="D1511" s="102">
        <f>Table22[[#This Row],[CURRENT]]-Table22[[#This Row],[IDEAL]]</f>
        <v>-146</v>
      </c>
    </row>
    <row r="1512" spans="1:4" x14ac:dyDescent="0.25">
      <c r="A1512" t="s">
        <v>18051</v>
      </c>
      <c r="B1512" s="102">
        <v>1178</v>
      </c>
      <c r="C1512" s="102">
        <v>1324</v>
      </c>
      <c r="D1512" s="102">
        <f>Table22[[#This Row],[CURRENT]]-Table22[[#This Row],[IDEAL]]</f>
        <v>-146</v>
      </c>
    </row>
    <row r="1513" spans="1:4" x14ac:dyDescent="0.25">
      <c r="A1513" t="s">
        <v>18001</v>
      </c>
      <c r="B1513" s="102">
        <v>826</v>
      </c>
      <c r="C1513" s="102">
        <v>972</v>
      </c>
      <c r="D1513" s="102">
        <f>Table22[[#This Row],[CURRENT]]-Table22[[#This Row],[IDEAL]]</f>
        <v>-146</v>
      </c>
    </row>
    <row r="1514" spans="1:4" x14ac:dyDescent="0.25">
      <c r="A1514" t="s">
        <v>16633</v>
      </c>
      <c r="B1514" s="102">
        <v>1178</v>
      </c>
      <c r="C1514" s="102">
        <v>1324</v>
      </c>
      <c r="D1514" s="102">
        <f>Table22[[#This Row],[CURRENT]]-Table22[[#This Row],[IDEAL]]</f>
        <v>-146</v>
      </c>
    </row>
    <row r="1515" spans="1:4" x14ac:dyDescent="0.25">
      <c r="A1515" t="s">
        <v>17866</v>
      </c>
      <c r="B1515" s="102">
        <v>758</v>
      </c>
      <c r="C1515" s="102">
        <v>903</v>
      </c>
      <c r="D1515" s="102">
        <f>Table22[[#This Row],[CURRENT]]-Table22[[#This Row],[IDEAL]]</f>
        <v>-145</v>
      </c>
    </row>
    <row r="1516" spans="1:4" x14ac:dyDescent="0.25">
      <c r="A1516" t="s">
        <v>16648</v>
      </c>
      <c r="B1516" s="102">
        <v>1058</v>
      </c>
      <c r="C1516" s="102">
        <v>1203</v>
      </c>
      <c r="D1516" s="102">
        <f>Table22[[#This Row],[CURRENT]]-Table22[[#This Row],[IDEAL]]</f>
        <v>-145</v>
      </c>
    </row>
    <row r="1517" spans="1:4" x14ac:dyDescent="0.25">
      <c r="A1517" t="s">
        <v>15038</v>
      </c>
      <c r="B1517" s="102">
        <v>960</v>
      </c>
      <c r="C1517" s="102">
        <v>1104</v>
      </c>
      <c r="D1517" s="102">
        <f>Table22[[#This Row],[CURRENT]]-Table22[[#This Row],[IDEAL]]</f>
        <v>-144</v>
      </c>
    </row>
    <row r="1518" spans="1:4" x14ac:dyDescent="0.25">
      <c r="A1518" t="s">
        <v>15088</v>
      </c>
      <c r="B1518" s="102">
        <v>884</v>
      </c>
      <c r="C1518" s="102">
        <v>1028</v>
      </c>
      <c r="D1518" s="102">
        <f>Table22[[#This Row],[CURRENT]]-Table22[[#This Row],[IDEAL]]</f>
        <v>-144</v>
      </c>
    </row>
    <row r="1519" spans="1:4" x14ac:dyDescent="0.25">
      <c r="A1519" t="s">
        <v>16685</v>
      </c>
      <c r="B1519" s="102">
        <v>756</v>
      </c>
      <c r="C1519" s="102">
        <v>900</v>
      </c>
      <c r="D1519" s="102">
        <f>Table22[[#This Row],[CURRENT]]-Table22[[#This Row],[IDEAL]]</f>
        <v>-144</v>
      </c>
    </row>
    <row r="1520" spans="1:4" x14ac:dyDescent="0.25">
      <c r="A1520" t="s">
        <v>15745</v>
      </c>
      <c r="B1520" s="102">
        <v>1280</v>
      </c>
      <c r="C1520" s="102">
        <v>1423</v>
      </c>
      <c r="D1520" s="102">
        <f>Table22[[#This Row],[CURRENT]]-Table22[[#This Row],[IDEAL]]</f>
        <v>-143</v>
      </c>
    </row>
    <row r="1521" spans="1:4" x14ac:dyDescent="0.25">
      <c r="A1521" t="s">
        <v>17841</v>
      </c>
      <c r="B1521" s="102">
        <v>695</v>
      </c>
      <c r="C1521" s="102">
        <v>838</v>
      </c>
      <c r="D1521" s="102">
        <f>Table22[[#This Row],[CURRENT]]-Table22[[#This Row],[IDEAL]]</f>
        <v>-143</v>
      </c>
    </row>
    <row r="1522" spans="1:4" x14ac:dyDescent="0.25">
      <c r="A1522" t="s">
        <v>18042</v>
      </c>
      <c r="B1522" s="102">
        <v>1044</v>
      </c>
      <c r="C1522" s="102">
        <v>1187</v>
      </c>
      <c r="D1522" s="102">
        <f>Table22[[#This Row],[CURRENT]]-Table22[[#This Row],[IDEAL]]</f>
        <v>-143</v>
      </c>
    </row>
    <row r="1523" spans="1:4" x14ac:dyDescent="0.25">
      <c r="A1523" t="s">
        <v>16637</v>
      </c>
      <c r="B1523" s="102">
        <v>1157</v>
      </c>
      <c r="C1523" s="102">
        <v>1300</v>
      </c>
      <c r="D1523" s="102">
        <f>Table22[[#This Row],[CURRENT]]-Table22[[#This Row],[IDEAL]]</f>
        <v>-143</v>
      </c>
    </row>
    <row r="1524" spans="1:4" x14ac:dyDescent="0.25">
      <c r="A1524" t="s">
        <v>16693</v>
      </c>
      <c r="B1524" s="102">
        <v>694</v>
      </c>
      <c r="C1524" s="102">
        <v>837</v>
      </c>
      <c r="D1524" s="102">
        <f>Table22[[#This Row],[CURRENT]]-Table22[[#This Row],[IDEAL]]</f>
        <v>-143</v>
      </c>
    </row>
    <row r="1525" spans="1:4" x14ac:dyDescent="0.25">
      <c r="A1525" t="s">
        <v>18098</v>
      </c>
      <c r="B1525" s="102">
        <v>799</v>
      </c>
      <c r="C1525" s="102">
        <v>941</v>
      </c>
      <c r="D1525" s="102">
        <f>Table22[[#This Row],[CURRENT]]-Table22[[#This Row],[IDEAL]]</f>
        <v>-142</v>
      </c>
    </row>
    <row r="1526" spans="1:4" x14ac:dyDescent="0.25">
      <c r="A1526" t="s">
        <v>16616</v>
      </c>
      <c r="B1526" s="102">
        <v>1272</v>
      </c>
      <c r="C1526" s="102">
        <v>1414</v>
      </c>
      <c r="D1526" s="102">
        <f>Table22[[#This Row],[CURRENT]]-Table22[[#This Row],[IDEAL]]</f>
        <v>-142</v>
      </c>
    </row>
    <row r="1527" spans="1:4" x14ac:dyDescent="0.25">
      <c r="A1527" t="s">
        <v>15912</v>
      </c>
      <c r="B1527" s="102">
        <v>686</v>
      </c>
      <c r="C1527" s="102">
        <v>827</v>
      </c>
      <c r="D1527" s="102">
        <f>Table22[[#This Row],[CURRENT]]-Table22[[#This Row],[IDEAL]]</f>
        <v>-141</v>
      </c>
    </row>
    <row r="1528" spans="1:4" x14ac:dyDescent="0.25">
      <c r="A1528" t="s">
        <v>16654</v>
      </c>
      <c r="B1528" s="102">
        <v>1029</v>
      </c>
      <c r="C1528" s="102">
        <v>1170</v>
      </c>
      <c r="D1528" s="102">
        <f>Table22[[#This Row],[CURRENT]]-Table22[[#This Row],[IDEAL]]</f>
        <v>-141</v>
      </c>
    </row>
    <row r="1529" spans="1:4" x14ac:dyDescent="0.25">
      <c r="A1529" t="s">
        <v>16697</v>
      </c>
      <c r="B1529" s="102">
        <v>640</v>
      </c>
      <c r="C1529" s="102">
        <v>781</v>
      </c>
      <c r="D1529" s="102">
        <f>Table22[[#This Row],[CURRENT]]-Table22[[#This Row],[IDEAL]]</f>
        <v>-141</v>
      </c>
    </row>
    <row r="1530" spans="1:4" x14ac:dyDescent="0.25">
      <c r="A1530" t="s">
        <v>14948</v>
      </c>
      <c r="B1530" s="102">
        <v>1129</v>
      </c>
      <c r="C1530" s="102">
        <v>1269</v>
      </c>
      <c r="D1530" s="102">
        <f>Table22[[#This Row],[CURRENT]]-Table22[[#This Row],[IDEAL]]</f>
        <v>-140</v>
      </c>
    </row>
    <row r="1531" spans="1:4" x14ac:dyDescent="0.25">
      <c r="A1531" t="s">
        <v>16791</v>
      </c>
      <c r="B1531" s="102">
        <v>593</v>
      </c>
      <c r="C1531" s="102">
        <v>733</v>
      </c>
      <c r="D1531" s="102">
        <f>Table22[[#This Row],[CURRENT]]-Table22[[#This Row],[IDEAL]]</f>
        <v>-140</v>
      </c>
    </row>
    <row r="1532" spans="1:4" x14ac:dyDescent="0.25">
      <c r="A1532" t="s">
        <v>14536</v>
      </c>
      <c r="B1532" s="102">
        <v>631</v>
      </c>
      <c r="C1532" s="102">
        <v>770</v>
      </c>
      <c r="D1532" s="102">
        <f>Table22[[#This Row],[CURRENT]]-Table22[[#This Row],[IDEAL]]</f>
        <v>-139</v>
      </c>
    </row>
    <row r="1533" spans="1:4" x14ac:dyDescent="0.25">
      <c r="A1533" t="s">
        <v>16720</v>
      </c>
      <c r="B1533" s="102">
        <v>555</v>
      </c>
      <c r="C1533" s="102">
        <v>694</v>
      </c>
      <c r="D1533" s="102">
        <f>Table22[[#This Row],[CURRENT]]-Table22[[#This Row],[IDEAL]]</f>
        <v>-139</v>
      </c>
    </row>
    <row r="1534" spans="1:4" x14ac:dyDescent="0.25">
      <c r="A1534" t="s">
        <v>16620</v>
      </c>
      <c r="B1534" s="102">
        <v>1248</v>
      </c>
      <c r="C1534" s="102">
        <v>1387</v>
      </c>
      <c r="D1534" s="102">
        <f>Table22[[#This Row],[CURRENT]]-Table22[[#This Row],[IDEAL]]</f>
        <v>-139</v>
      </c>
    </row>
    <row r="1535" spans="1:4" x14ac:dyDescent="0.25">
      <c r="A1535" t="s">
        <v>14944</v>
      </c>
      <c r="B1535" s="102">
        <v>1111</v>
      </c>
      <c r="C1535" s="102">
        <v>1249</v>
      </c>
      <c r="D1535" s="102">
        <f>Table22[[#This Row],[CURRENT]]-Table22[[#This Row],[IDEAL]]</f>
        <v>-138</v>
      </c>
    </row>
    <row r="1536" spans="1:4" x14ac:dyDescent="0.25">
      <c r="A1536" t="s">
        <v>18077</v>
      </c>
      <c r="B1536" s="102">
        <v>1240</v>
      </c>
      <c r="C1536" s="102">
        <v>1378</v>
      </c>
      <c r="D1536" s="102">
        <f>Table22[[#This Row],[CURRENT]]-Table22[[#This Row],[IDEAL]]</f>
        <v>-138</v>
      </c>
    </row>
    <row r="1537" spans="1:4" x14ac:dyDescent="0.25">
      <c r="A1537" t="s">
        <v>17753</v>
      </c>
      <c r="B1537" s="102">
        <v>550</v>
      </c>
      <c r="C1537" s="102">
        <v>688</v>
      </c>
      <c r="D1537" s="102">
        <f>Table22[[#This Row],[CURRENT]]-Table22[[#This Row],[IDEAL]]</f>
        <v>-138</v>
      </c>
    </row>
    <row r="1538" spans="1:4" x14ac:dyDescent="0.25">
      <c r="A1538" t="s">
        <v>12570</v>
      </c>
      <c r="B1538" s="102">
        <v>1227</v>
      </c>
      <c r="C1538" s="102">
        <v>1364</v>
      </c>
      <c r="D1538" s="102">
        <f>Table22[[#This Row],[CURRENT]]-Table22[[#This Row],[IDEAL]]</f>
        <v>-137</v>
      </c>
    </row>
    <row r="1539" spans="1:4" x14ac:dyDescent="0.25">
      <c r="A1539" t="s">
        <v>14850</v>
      </c>
      <c r="B1539" s="102">
        <v>1107</v>
      </c>
      <c r="C1539" s="102">
        <v>1244</v>
      </c>
      <c r="D1539" s="102">
        <f>Table22[[#This Row],[CURRENT]]-Table22[[#This Row],[IDEAL]]</f>
        <v>-137</v>
      </c>
    </row>
    <row r="1540" spans="1:4" x14ac:dyDescent="0.25">
      <c r="A1540" t="s">
        <v>14533</v>
      </c>
      <c r="B1540" s="102">
        <v>542</v>
      </c>
      <c r="C1540" s="102">
        <v>678</v>
      </c>
      <c r="D1540" s="102">
        <f>Table22[[#This Row],[CURRENT]]-Table22[[#This Row],[IDEAL]]</f>
        <v>-136</v>
      </c>
    </row>
    <row r="1541" spans="1:4" x14ac:dyDescent="0.25">
      <c r="A1541" t="s">
        <v>17843</v>
      </c>
      <c r="B1541" s="102">
        <v>615</v>
      </c>
      <c r="C1541" s="102">
        <v>751</v>
      </c>
      <c r="D1541" s="102">
        <f>Table22[[#This Row],[CURRENT]]-Table22[[#This Row],[IDEAL]]</f>
        <v>-136</v>
      </c>
    </row>
    <row r="1542" spans="1:4" x14ac:dyDescent="0.25">
      <c r="A1542" t="s">
        <v>14854</v>
      </c>
      <c r="B1542" s="102">
        <v>1207</v>
      </c>
      <c r="C1542" s="102">
        <v>1342</v>
      </c>
      <c r="D1542" s="102">
        <f>Table22[[#This Row],[CURRENT]]-Table22[[#This Row],[IDEAL]]</f>
        <v>-135</v>
      </c>
    </row>
    <row r="1543" spans="1:4" x14ac:dyDescent="0.25">
      <c r="A1543" t="s">
        <v>14517</v>
      </c>
      <c r="B1543" s="102">
        <v>762</v>
      </c>
      <c r="C1543" s="102">
        <v>897</v>
      </c>
      <c r="D1543" s="102">
        <f>Table22[[#This Row],[CURRENT]]-Table22[[#This Row],[IDEAL]]</f>
        <v>-135</v>
      </c>
    </row>
    <row r="1544" spans="1:4" x14ac:dyDescent="0.25">
      <c r="A1544" t="s">
        <v>17779</v>
      </c>
      <c r="B1544" s="102">
        <v>1088</v>
      </c>
      <c r="C1544" s="102">
        <v>1223</v>
      </c>
      <c r="D1544" s="102">
        <f>Table22[[#This Row],[CURRENT]]-Table22[[#This Row],[IDEAL]]</f>
        <v>-135</v>
      </c>
    </row>
    <row r="1545" spans="1:4" x14ac:dyDescent="0.25">
      <c r="A1545" t="s">
        <v>16629</v>
      </c>
      <c r="B1545" s="102">
        <v>1207</v>
      </c>
      <c r="C1545" s="102">
        <v>1342</v>
      </c>
      <c r="D1545" s="102">
        <f>Table22[[#This Row],[CURRENT]]-Table22[[#This Row],[IDEAL]]</f>
        <v>-135</v>
      </c>
    </row>
    <row r="1546" spans="1:4" x14ac:dyDescent="0.25">
      <c r="A1546" t="s">
        <v>14684</v>
      </c>
      <c r="B1546" s="102">
        <v>755</v>
      </c>
      <c r="C1546" s="102">
        <v>889</v>
      </c>
      <c r="D1546" s="102">
        <f>Table22[[#This Row],[CURRENT]]-Table22[[#This Row],[IDEAL]]</f>
        <v>-134</v>
      </c>
    </row>
    <row r="1547" spans="1:4" x14ac:dyDescent="0.25">
      <c r="A1547" t="s">
        <v>18013</v>
      </c>
      <c r="B1547" s="102">
        <v>534</v>
      </c>
      <c r="C1547" s="102">
        <v>668</v>
      </c>
      <c r="D1547" s="102">
        <f>Table22[[#This Row],[CURRENT]]-Table22[[#This Row],[IDEAL]]</f>
        <v>-134</v>
      </c>
    </row>
    <row r="1548" spans="1:4" x14ac:dyDescent="0.25">
      <c r="A1548" t="s">
        <v>16719</v>
      </c>
      <c r="B1548" s="102">
        <v>532</v>
      </c>
      <c r="C1548" s="102">
        <v>666</v>
      </c>
      <c r="D1548" s="102">
        <f>Table22[[#This Row],[CURRENT]]-Table22[[#This Row],[IDEAL]]</f>
        <v>-134</v>
      </c>
    </row>
    <row r="1549" spans="1:4" x14ac:dyDescent="0.25">
      <c r="A1549" t="s">
        <v>14521</v>
      </c>
      <c r="B1549" s="102">
        <v>817</v>
      </c>
      <c r="C1549" s="102">
        <v>950</v>
      </c>
      <c r="D1549" s="102">
        <f>Table22[[#This Row],[CURRENT]]-Table22[[#This Row],[IDEAL]]</f>
        <v>-133</v>
      </c>
    </row>
    <row r="1550" spans="1:4" x14ac:dyDescent="0.25">
      <c r="A1550" t="s">
        <v>13453</v>
      </c>
      <c r="B1550" s="102">
        <v>750</v>
      </c>
      <c r="C1550" s="102">
        <v>883</v>
      </c>
      <c r="D1550" s="102">
        <f>Table22[[#This Row],[CURRENT]]-Table22[[#This Row],[IDEAL]]</f>
        <v>-133</v>
      </c>
    </row>
    <row r="1551" spans="1:4" x14ac:dyDescent="0.25">
      <c r="A1551" t="s">
        <v>14494</v>
      </c>
      <c r="B1551" s="102">
        <v>688</v>
      </c>
      <c r="C1551" s="102">
        <v>820</v>
      </c>
      <c r="D1551" s="102">
        <f>Table22[[#This Row],[CURRENT]]-Table22[[#This Row],[IDEAL]]</f>
        <v>-132</v>
      </c>
    </row>
    <row r="1552" spans="1:4" x14ac:dyDescent="0.25">
      <c r="A1552" t="s">
        <v>14564</v>
      </c>
      <c r="B1552" s="102">
        <v>685</v>
      </c>
      <c r="C1552" s="102">
        <v>816</v>
      </c>
      <c r="D1552" s="102">
        <f>Table22[[#This Row],[CURRENT]]-Table22[[#This Row],[IDEAL]]</f>
        <v>-131</v>
      </c>
    </row>
    <row r="1553" spans="1:4" x14ac:dyDescent="0.25">
      <c r="A1553" t="s">
        <v>14657</v>
      </c>
      <c r="B1553" s="102">
        <v>1054</v>
      </c>
      <c r="C1553" s="102">
        <v>1185</v>
      </c>
      <c r="D1553" s="102">
        <f>Table22[[#This Row],[CURRENT]]-Table22[[#This Row],[IDEAL]]</f>
        <v>-131</v>
      </c>
    </row>
    <row r="1554" spans="1:4" x14ac:dyDescent="0.25">
      <c r="A1554" t="s">
        <v>14875</v>
      </c>
      <c r="B1554" s="102">
        <v>1053</v>
      </c>
      <c r="C1554" s="102">
        <v>1184</v>
      </c>
      <c r="D1554" s="102">
        <f>Table22[[#This Row],[CURRENT]]-Table22[[#This Row],[IDEAL]]</f>
        <v>-131</v>
      </c>
    </row>
    <row r="1555" spans="1:4" x14ac:dyDescent="0.25">
      <c r="A1555" t="s">
        <v>14807</v>
      </c>
      <c r="B1555" s="102">
        <v>799</v>
      </c>
      <c r="C1555" s="102">
        <v>930</v>
      </c>
      <c r="D1555" s="102">
        <f>Table22[[#This Row],[CURRENT]]-Table22[[#This Row],[IDEAL]]</f>
        <v>-131</v>
      </c>
    </row>
    <row r="1556" spans="1:4" x14ac:dyDescent="0.25">
      <c r="A1556" t="s">
        <v>13492</v>
      </c>
      <c r="B1556" s="102">
        <v>799</v>
      </c>
      <c r="C1556" s="102">
        <v>930</v>
      </c>
      <c r="D1556" s="102">
        <f>Table22[[#This Row],[CURRENT]]-Table22[[#This Row],[IDEAL]]</f>
        <v>-131</v>
      </c>
    </row>
    <row r="1557" spans="1:4" x14ac:dyDescent="0.25">
      <c r="A1557" t="s">
        <v>16639</v>
      </c>
      <c r="B1557" s="102">
        <v>1160</v>
      </c>
      <c r="C1557" s="102">
        <v>1289</v>
      </c>
      <c r="D1557" s="102">
        <f>Table22[[#This Row],[CURRENT]]-Table22[[#This Row],[IDEAL]]</f>
        <v>-129</v>
      </c>
    </row>
    <row r="1558" spans="1:4" x14ac:dyDescent="0.25">
      <c r="A1558" t="s">
        <v>15887</v>
      </c>
      <c r="B1558" s="102">
        <v>851</v>
      </c>
      <c r="C1558" s="102">
        <v>979</v>
      </c>
      <c r="D1558" s="102">
        <f>Table22[[#This Row],[CURRENT]]-Table22[[#This Row],[IDEAL]]</f>
        <v>-128</v>
      </c>
    </row>
    <row r="1559" spans="1:4" x14ac:dyDescent="0.25">
      <c r="A1559" t="s">
        <v>14682</v>
      </c>
      <c r="B1559" s="102">
        <v>780</v>
      </c>
      <c r="C1559" s="102">
        <v>908</v>
      </c>
      <c r="D1559" s="102">
        <f>Table22[[#This Row],[CURRENT]]-Table22[[#This Row],[IDEAL]]</f>
        <v>-128</v>
      </c>
    </row>
    <row r="1560" spans="1:4" x14ac:dyDescent="0.25">
      <c r="A1560" t="s">
        <v>12645</v>
      </c>
      <c r="B1560" s="102">
        <v>931</v>
      </c>
      <c r="C1560" s="102">
        <v>1058</v>
      </c>
      <c r="D1560" s="102">
        <f>Table22[[#This Row],[CURRENT]]-Table22[[#This Row],[IDEAL]]</f>
        <v>-127</v>
      </c>
    </row>
    <row r="1561" spans="1:4" x14ac:dyDescent="0.25">
      <c r="A1561" t="s">
        <v>14649</v>
      </c>
      <c r="B1561" s="102">
        <v>931</v>
      </c>
      <c r="C1561" s="102">
        <v>1058</v>
      </c>
      <c r="D1561" s="102">
        <f>Table22[[#This Row],[CURRENT]]-Table22[[#This Row],[IDEAL]]</f>
        <v>-127</v>
      </c>
    </row>
    <row r="1562" spans="1:4" x14ac:dyDescent="0.25">
      <c r="A1562" t="s">
        <v>15018</v>
      </c>
      <c r="B1562" s="102">
        <v>1025</v>
      </c>
      <c r="C1562" s="102">
        <v>1152</v>
      </c>
      <c r="D1562" s="102">
        <f>Table22[[#This Row],[CURRENT]]-Table22[[#This Row],[IDEAL]]</f>
        <v>-127</v>
      </c>
    </row>
    <row r="1563" spans="1:4" x14ac:dyDescent="0.25">
      <c r="A1563" t="s">
        <v>15087</v>
      </c>
      <c r="B1563" s="102">
        <v>924</v>
      </c>
      <c r="C1563" s="102">
        <v>1050</v>
      </c>
      <c r="D1563" s="102">
        <f>Table22[[#This Row],[CURRENT]]-Table22[[#This Row],[IDEAL]]</f>
        <v>-126</v>
      </c>
    </row>
    <row r="1564" spans="1:4" x14ac:dyDescent="0.25">
      <c r="A1564" t="s">
        <v>15817</v>
      </c>
      <c r="B1564" s="102">
        <v>1118</v>
      </c>
      <c r="C1564" s="102">
        <v>1243</v>
      </c>
      <c r="D1564" s="102">
        <f>Table22[[#This Row],[CURRENT]]-Table22[[#This Row],[IDEAL]]</f>
        <v>-125</v>
      </c>
    </row>
    <row r="1565" spans="1:4" x14ac:dyDescent="0.25">
      <c r="A1565" t="s">
        <v>16785</v>
      </c>
      <c r="B1565" s="102">
        <v>532</v>
      </c>
      <c r="C1565" s="102">
        <v>657</v>
      </c>
      <c r="D1565" s="102">
        <f>Table22[[#This Row],[CURRENT]]-Table22[[#This Row],[IDEAL]]</f>
        <v>-125</v>
      </c>
    </row>
    <row r="1566" spans="1:4" x14ac:dyDescent="0.25">
      <c r="A1566" t="s">
        <v>14674</v>
      </c>
      <c r="B1566" s="102">
        <v>749</v>
      </c>
      <c r="C1566" s="102">
        <v>872</v>
      </c>
      <c r="D1566" s="102">
        <f>Table22[[#This Row],[CURRENT]]-Table22[[#This Row],[IDEAL]]</f>
        <v>-123</v>
      </c>
    </row>
    <row r="1567" spans="1:4" x14ac:dyDescent="0.25">
      <c r="A1567" t="s">
        <v>16701</v>
      </c>
      <c r="B1567" s="102">
        <v>645</v>
      </c>
      <c r="C1567" s="102">
        <v>768</v>
      </c>
      <c r="D1567" s="102">
        <f>Table22[[#This Row],[CURRENT]]-Table22[[#This Row],[IDEAL]]</f>
        <v>-123</v>
      </c>
    </row>
    <row r="1568" spans="1:4" x14ac:dyDescent="0.25">
      <c r="A1568" t="s">
        <v>15925</v>
      </c>
      <c r="B1568" s="102">
        <v>595</v>
      </c>
      <c r="C1568" s="102">
        <v>717</v>
      </c>
      <c r="D1568" s="102">
        <f>Table22[[#This Row],[CURRENT]]-Table22[[#This Row],[IDEAL]]</f>
        <v>-122</v>
      </c>
    </row>
    <row r="1569" spans="1:4" x14ac:dyDescent="0.25">
      <c r="A1569" t="s">
        <v>14487</v>
      </c>
      <c r="B1569" s="102">
        <v>515</v>
      </c>
      <c r="C1569" s="102">
        <v>637</v>
      </c>
      <c r="D1569" s="102">
        <f>Table22[[#This Row],[CURRENT]]-Table22[[#This Row],[IDEAL]]</f>
        <v>-122</v>
      </c>
    </row>
    <row r="1570" spans="1:4" x14ac:dyDescent="0.25">
      <c r="A1570" t="s">
        <v>17867</v>
      </c>
      <c r="B1570" s="102">
        <v>744</v>
      </c>
      <c r="C1570" s="102">
        <v>866</v>
      </c>
      <c r="D1570" s="102">
        <f>Table22[[#This Row],[CURRENT]]-Table22[[#This Row],[IDEAL]]</f>
        <v>-122</v>
      </c>
    </row>
    <row r="1571" spans="1:4" x14ac:dyDescent="0.25">
      <c r="A1571" t="s">
        <v>17732</v>
      </c>
      <c r="B1571" s="102">
        <v>888</v>
      </c>
      <c r="C1571" s="102">
        <v>1010</v>
      </c>
      <c r="D1571" s="102">
        <f>Table22[[#This Row],[CURRENT]]-Table22[[#This Row],[IDEAL]]</f>
        <v>-122</v>
      </c>
    </row>
    <row r="1572" spans="1:4" x14ac:dyDescent="0.25">
      <c r="A1572" t="s">
        <v>15937</v>
      </c>
      <c r="B1572" s="102">
        <v>515</v>
      </c>
      <c r="C1572" s="102">
        <v>636</v>
      </c>
      <c r="D1572" s="102">
        <f>Table22[[#This Row],[CURRENT]]-Table22[[#This Row],[IDEAL]]</f>
        <v>-121</v>
      </c>
    </row>
    <row r="1573" spans="1:4" x14ac:dyDescent="0.25">
      <c r="A1573" t="s">
        <v>14686</v>
      </c>
      <c r="B1573" s="102">
        <v>798</v>
      </c>
      <c r="C1573" s="102">
        <v>918</v>
      </c>
      <c r="D1573" s="102">
        <f>Table22[[#This Row],[CURRENT]]-Table22[[#This Row],[IDEAL]]</f>
        <v>-120</v>
      </c>
    </row>
    <row r="1574" spans="1:4" x14ac:dyDescent="0.25">
      <c r="A1574" t="s">
        <v>17740</v>
      </c>
      <c r="B1574" s="102">
        <v>480</v>
      </c>
      <c r="C1574" s="102">
        <v>600</v>
      </c>
      <c r="D1574" s="102">
        <f>Table22[[#This Row],[CURRENT]]-Table22[[#This Row],[IDEAL]]</f>
        <v>-120</v>
      </c>
    </row>
    <row r="1575" spans="1:4" x14ac:dyDescent="0.25">
      <c r="A1575" t="s">
        <v>18086</v>
      </c>
      <c r="B1575" s="102">
        <v>731</v>
      </c>
      <c r="C1575" s="102">
        <v>851</v>
      </c>
      <c r="D1575" s="102">
        <f>Table22[[#This Row],[CURRENT]]-Table22[[#This Row],[IDEAL]]</f>
        <v>-120</v>
      </c>
    </row>
    <row r="1576" spans="1:4" x14ac:dyDescent="0.25">
      <c r="A1576" t="s">
        <v>16649</v>
      </c>
      <c r="B1576" s="102">
        <v>1079</v>
      </c>
      <c r="C1576" s="102">
        <v>1199</v>
      </c>
      <c r="D1576" s="102">
        <f>Table22[[#This Row],[CURRENT]]-Table22[[#This Row],[IDEAL]]</f>
        <v>-120</v>
      </c>
    </row>
    <row r="1577" spans="1:4" x14ac:dyDescent="0.25">
      <c r="A1577" t="s">
        <v>14923</v>
      </c>
      <c r="B1577" s="102">
        <v>538</v>
      </c>
      <c r="C1577" s="102">
        <v>657</v>
      </c>
      <c r="D1577" s="102">
        <f>Table22[[#This Row],[CURRENT]]-Table22[[#This Row],[IDEAL]]</f>
        <v>-119</v>
      </c>
    </row>
    <row r="1578" spans="1:4" x14ac:dyDescent="0.25">
      <c r="A1578" t="s">
        <v>17892</v>
      </c>
      <c r="B1578" s="102">
        <v>862</v>
      </c>
      <c r="C1578" s="102">
        <v>980</v>
      </c>
      <c r="D1578" s="102">
        <f>Table22[[#This Row],[CURRENT]]-Table22[[#This Row],[IDEAL]]</f>
        <v>-118</v>
      </c>
    </row>
    <row r="1579" spans="1:4" x14ac:dyDescent="0.25">
      <c r="A1579" t="s">
        <v>18097</v>
      </c>
      <c r="B1579" s="102">
        <v>1054</v>
      </c>
      <c r="C1579" s="102">
        <v>1172</v>
      </c>
      <c r="D1579" s="102">
        <f>Table22[[#This Row],[CURRENT]]-Table22[[#This Row],[IDEAL]]</f>
        <v>-118</v>
      </c>
    </row>
    <row r="1580" spans="1:4" x14ac:dyDescent="0.25">
      <c r="A1580" t="s">
        <v>16680</v>
      </c>
      <c r="B1580" s="102">
        <v>865</v>
      </c>
      <c r="C1580" s="102">
        <v>983</v>
      </c>
      <c r="D1580" s="102">
        <f>Table22[[#This Row],[CURRENT]]-Table22[[#This Row],[IDEAL]]</f>
        <v>-118</v>
      </c>
    </row>
    <row r="1581" spans="1:4" x14ac:dyDescent="0.25">
      <c r="A1581" t="s">
        <v>15871</v>
      </c>
      <c r="B1581" s="102">
        <v>942</v>
      </c>
      <c r="C1581" s="102">
        <v>1059</v>
      </c>
      <c r="D1581" s="102">
        <f>Table22[[#This Row],[CURRENT]]-Table22[[#This Row],[IDEAL]]</f>
        <v>-117</v>
      </c>
    </row>
    <row r="1582" spans="1:4" x14ac:dyDescent="0.25">
      <c r="A1582" t="s">
        <v>17748</v>
      </c>
      <c r="B1582" s="102">
        <v>944</v>
      </c>
      <c r="C1582" s="102">
        <v>1061</v>
      </c>
      <c r="D1582" s="102">
        <f>Table22[[#This Row],[CURRENT]]-Table22[[#This Row],[IDEAL]]</f>
        <v>-117</v>
      </c>
    </row>
    <row r="1583" spans="1:4" x14ac:dyDescent="0.25">
      <c r="A1583" t="s">
        <v>14042</v>
      </c>
      <c r="B1583" s="102">
        <v>490</v>
      </c>
      <c r="C1583" s="102">
        <v>606</v>
      </c>
      <c r="D1583" s="102">
        <f>Table22[[#This Row],[CURRENT]]-Table22[[#This Row],[IDEAL]]</f>
        <v>-116</v>
      </c>
    </row>
    <row r="1584" spans="1:4" x14ac:dyDescent="0.25">
      <c r="A1584" t="s">
        <v>16781</v>
      </c>
      <c r="B1584" s="102">
        <v>561</v>
      </c>
      <c r="C1584" s="102">
        <v>677</v>
      </c>
      <c r="D1584" s="102">
        <f>Table22[[#This Row],[CURRENT]]-Table22[[#This Row],[IDEAL]]</f>
        <v>-116</v>
      </c>
    </row>
    <row r="1585" spans="1:4" x14ac:dyDescent="0.25">
      <c r="A1585" t="s">
        <v>16700</v>
      </c>
      <c r="B1585" s="102">
        <v>656</v>
      </c>
      <c r="C1585" s="102">
        <v>772</v>
      </c>
      <c r="D1585" s="102">
        <f>Table22[[#This Row],[CURRENT]]-Table22[[#This Row],[IDEAL]]</f>
        <v>-116</v>
      </c>
    </row>
    <row r="1586" spans="1:4" x14ac:dyDescent="0.25">
      <c r="A1586" t="s">
        <v>13493</v>
      </c>
      <c r="B1586" s="102">
        <v>768</v>
      </c>
      <c r="C1586" s="102">
        <v>883</v>
      </c>
      <c r="D1586" s="102">
        <f>Table22[[#This Row],[CURRENT]]-Table22[[#This Row],[IDEAL]]</f>
        <v>-115</v>
      </c>
    </row>
    <row r="1587" spans="1:4" x14ac:dyDescent="0.25">
      <c r="A1587" t="s">
        <v>18003</v>
      </c>
      <c r="B1587" s="102">
        <v>839</v>
      </c>
      <c r="C1587" s="102">
        <v>954</v>
      </c>
      <c r="D1587" s="102">
        <f>Table22[[#This Row],[CURRENT]]-Table22[[#This Row],[IDEAL]]</f>
        <v>-115</v>
      </c>
    </row>
    <row r="1588" spans="1:4" x14ac:dyDescent="0.25">
      <c r="A1588" t="s">
        <v>14539</v>
      </c>
      <c r="B1588" s="102">
        <v>640</v>
      </c>
      <c r="C1588" s="102">
        <v>754</v>
      </c>
      <c r="D1588" s="102">
        <f>Table22[[#This Row],[CURRENT]]-Table22[[#This Row],[IDEAL]]</f>
        <v>-114</v>
      </c>
    </row>
    <row r="1589" spans="1:4" x14ac:dyDescent="0.25">
      <c r="A1589" t="s">
        <v>17833</v>
      </c>
      <c r="B1589" s="102">
        <v>915</v>
      </c>
      <c r="C1589" s="102">
        <v>1029</v>
      </c>
      <c r="D1589" s="102">
        <f>Table22[[#This Row],[CURRENT]]-Table22[[#This Row],[IDEAL]]</f>
        <v>-114</v>
      </c>
    </row>
    <row r="1590" spans="1:4" x14ac:dyDescent="0.25">
      <c r="A1590" t="s">
        <v>16658</v>
      </c>
      <c r="B1590" s="102">
        <v>1021</v>
      </c>
      <c r="C1590" s="102">
        <v>1135</v>
      </c>
      <c r="D1590" s="102">
        <f>Table22[[#This Row],[CURRENT]]-Table22[[#This Row],[IDEAL]]</f>
        <v>-114</v>
      </c>
    </row>
    <row r="1591" spans="1:4" x14ac:dyDescent="0.25">
      <c r="A1591" t="s">
        <v>14798</v>
      </c>
      <c r="B1591" s="102">
        <v>756</v>
      </c>
      <c r="C1591" s="102">
        <v>869</v>
      </c>
      <c r="D1591" s="102">
        <f>Table22[[#This Row],[CURRENT]]-Table22[[#This Row],[IDEAL]]</f>
        <v>-113</v>
      </c>
    </row>
    <row r="1592" spans="1:4" x14ac:dyDescent="0.25">
      <c r="A1592" t="s">
        <v>14672</v>
      </c>
      <c r="B1592" s="102">
        <v>688</v>
      </c>
      <c r="C1592" s="102">
        <v>801</v>
      </c>
      <c r="D1592" s="102">
        <f>Table22[[#This Row],[CURRENT]]-Table22[[#This Row],[IDEAL]]</f>
        <v>-113</v>
      </c>
    </row>
    <row r="1593" spans="1:4" x14ac:dyDescent="0.25">
      <c r="A1593" t="s">
        <v>16704</v>
      </c>
      <c r="B1593" s="102">
        <v>638</v>
      </c>
      <c r="C1593" s="102">
        <v>751</v>
      </c>
      <c r="D1593" s="102">
        <f>Table22[[#This Row],[CURRENT]]-Table22[[#This Row],[IDEAL]]</f>
        <v>-113</v>
      </c>
    </row>
    <row r="1594" spans="1:4" x14ac:dyDescent="0.25">
      <c r="A1594" t="s">
        <v>14585</v>
      </c>
      <c r="B1594" s="102">
        <v>683</v>
      </c>
      <c r="C1594" s="102">
        <v>795</v>
      </c>
      <c r="D1594" s="102">
        <f>Table22[[#This Row],[CURRENT]]-Table22[[#This Row],[IDEAL]]</f>
        <v>-112</v>
      </c>
    </row>
    <row r="1595" spans="1:4" x14ac:dyDescent="0.25">
      <c r="A1595" t="s">
        <v>17839</v>
      </c>
      <c r="B1595" s="102">
        <v>747</v>
      </c>
      <c r="C1595" s="102">
        <v>859</v>
      </c>
      <c r="D1595" s="102">
        <f>Table22[[#This Row],[CURRENT]]-Table22[[#This Row],[IDEAL]]</f>
        <v>-112</v>
      </c>
    </row>
    <row r="1596" spans="1:4" x14ac:dyDescent="0.25">
      <c r="A1596" t="s">
        <v>15944</v>
      </c>
      <c r="B1596" s="102">
        <v>440</v>
      </c>
      <c r="C1596" s="102">
        <v>551</v>
      </c>
      <c r="D1596" s="102">
        <f>Table22[[#This Row],[CURRENT]]-Table22[[#This Row],[IDEAL]]</f>
        <v>-111</v>
      </c>
    </row>
    <row r="1597" spans="1:4" x14ac:dyDescent="0.25">
      <c r="A1597" t="s">
        <v>11198</v>
      </c>
      <c r="B1597" s="102">
        <v>1070</v>
      </c>
      <c r="C1597" s="102">
        <v>1181</v>
      </c>
      <c r="D1597" s="102">
        <f>Table22[[#This Row],[CURRENT]]-Table22[[#This Row],[IDEAL]]</f>
        <v>-111</v>
      </c>
    </row>
    <row r="1598" spans="1:4" x14ac:dyDescent="0.25">
      <c r="A1598" t="s">
        <v>17840</v>
      </c>
      <c r="B1598" s="102">
        <v>731</v>
      </c>
      <c r="C1598" s="102">
        <v>841</v>
      </c>
      <c r="D1598" s="102">
        <f>Table22[[#This Row],[CURRENT]]-Table22[[#This Row],[IDEAL]]</f>
        <v>-110</v>
      </c>
    </row>
    <row r="1599" spans="1:4" x14ac:dyDescent="0.25">
      <c r="A1599" t="s">
        <v>18084</v>
      </c>
      <c r="B1599" s="102">
        <v>886</v>
      </c>
      <c r="C1599" s="102">
        <v>996</v>
      </c>
      <c r="D1599" s="102">
        <f>Table22[[#This Row],[CURRENT]]-Table22[[#This Row],[IDEAL]]</f>
        <v>-110</v>
      </c>
    </row>
    <row r="1600" spans="1:4" x14ac:dyDescent="0.25">
      <c r="A1600" t="s">
        <v>14683</v>
      </c>
      <c r="B1600" s="102">
        <v>799</v>
      </c>
      <c r="C1600" s="102">
        <v>908</v>
      </c>
      <c r="D1600" s="102">
        <f>Table22[[#This Row],[CURRENT]]-Table22[[#This Row],[IDEAL]]</f>
        <v>-109</v>
      </c>
    </row>
    <row r="1601" spans="1:4" x14ac:dyDescent="0.25">
      <c r="A1601" t="s">
        <v>14516</v>
      </c>
      <c r="B1601" s="102">
        <v>794</v>
      </c>
      <c r="C1601" s="102">
        <v>903</v>
      </c>
      <c r="D1601" s="102">
        <f>Table22[[#This Row],[CURRENT]]-Table22[[#This Row],[IDEAL]]</f>
        <v>-109</v>
      </c>
    </row>
    <row r="1602" spans="1:4" x14ac:dyDescent="0.25">
      <c r="A1602" t="s">
        <v>14534</v>
      </c>
      <c r="B1602" s="102">
        <v>613</v>
      </c>
      <c r="C1602" s="102">
        <v>722</v>
      </c>
      <c r="D1602" s="102">
        <f>Table22[[#This Row],[CURRENT]]-Table22[[#This Row],[IDEAL]]</f>
        <v>-109</v>
      </c>
    </row>
    <row r="1603" spans="1:4" x14ac:dyDescent="0.25">
      <c r="A1603" t="s">
        <v>18043</v>
      </c>
      <c r="B1603" s="102">
        <v>493</v>
      </c>
      <c r="C1603" s="102">
        <v>602</v>
      </c>
      <c r="D1603" s="102">
        <f>Table22[[#This Row],[CURRENT]]-Table22[[#This Row],[IDEAL]]</f>
        <v>-109</v>
      </c>
    </row>
    <row r="1604" spans="1:4" x14ac:dyDescent="0.25">
      <c r="A1604" t="s">
        <v>15865</v>
      </c>
      <c r="B1604" s="102">
        <v>963</v>
      </c>
      <c r="C1604" s="102">
        <v>1071</v>
      </c>
      <c r="D1604" s="102">
        <f>Table22[[#This Row],[CURRENT]]-Table22[[#This Row],[IDEAL]]</f>
        <v>-108</v>
      </c>
    </row>
    <row r="1605" spans="1:4" x14ac:dyDescent="0.25">
      <c r="A1605" t="s">
        <v>14538</v>
      </c>
      <c r="B1605" s="102">
        <v>657</v>
      </c>
      <c r="C1605" s="102">
        <v>765</v>
      </c>
      <c r="D1605" s="102">
        <f>Table22[[#This Row],[CURRENT]]-Table22[[#This Row],[IDEAL]]</f>
        <v>-108</v>
      </c>
    </row>
    <row r="1606" spans="1:4" x14ac:dyDescent="0.25">
      <c r="A1606" t="s">
        <v>15011</v>
      </c>
      <c r="B1606" s="102">
        <v>857</v>
      </c>
      <c r="C1606" s="102">
        <v>964</v>
      </c>
      <c r="D1606" s="102">
        <f>Table22[[#This Row],[CURRENT]]-Table22[[#This Row],[IDEAL]]</f>
        <v>-107</v>
      </c>
    </row>
    <row r="1607" spans="1:4" x14ac:dyDescent="0.25">
      <c r="A1607" t="s">
        <v>14530</v>
      </c>
      <c r="B1607" s="102">
        <v>518</v>
      </c>
      <c r="C1607" s="102">
        <v>625</v>
      </c>
      <c r="D1607" s="102">
        <f>Table22[[#This Row],[CURRENT]]-Table22[[#This Row],[IDEAL]]</f>
        <v>-107</v>
      </c>
    </row>
    <row r="1608" spans="1:4" x14ac:dyDescent="0.25">
      <c r="A1608" t="s">
        <v>16713</v>
      </c>
      <c r="B1608" s="102">
        <v>559</v>
      </c>
      <c r="C1608" s="102">
        <v>666</v>
      </c>
      <c r="D1608" s="102">
        <f>Table22[[#This Row],[CURRENT]]-Table22[[#This Row],[IDEAL]]</f>
        <v>-107</v>
      </c>
    </row>
    <row r="1609" spans="1:4" x14ac:dyDescent="0.25">
      <c r="A1609" t="s">
        <v>18082</v>
      </c>
      <c r="B1609" s="102">
        <v>946</v>
      </c>
      <c r="C1609" s="102">
        <v>1052</v>
      </c>
      <c r="D1609" s="102">
        <f>Table22[[#This Row],[CURRENT]]-Table22[[#This Row],[IDEAL]]</f>
        <v>-106</v>
      </c>
    </row>
    <row r="1610" spans="1:4" x14ac:dyDescent="0.25">
      <c r="A1610" t="s">
        <v>14547</v>
      </c>
      <c r="B1610" s="102">
        <v>698</v>
      </c>
      <c r="C1610" s="102">
        <v>803</v>
      </c>
      <c r="D1610" s="102">
        <f>Table22[[#This Row],[CURRENT]]-Table22[[#This Row],[IDEAL]]</f>
        <v>-105</v>
      </c>
    </row>
    <row r="1611" spans="1:4" x14ac:dyDescent="0.25">
      <c r="A1611" t="s">
        <v>17756</v>
      </c>
      <c r="B1611" s="102">
        <v>419</v>
      </c>
      <c r="C1611" s="102">
        <v>524</v>
      </c>
      <c r="D1611" s="102">
        <f>Table22[[#This Row],[CURRENT]]-Table22[[#This Row],[IDEAL]]</f>
        <v>-105</v>
      </c>
    </row>
    <row r="1612" spans="1:4" x14ac:dyDescent="0.25">
      <c r="A1612" t="s">
        <v>17754</v>
      </c>
      <c r="B1612" s="102">
        <v>510</v>
      </c>
      <c r="C1612" s="102">
        <v>615</v>
      </c>
      <c r="D1612" s="102">
        <f>Table22[[#This Row],[CURRENT]]-Table22[[#This Row],[IDEAL]]</f>
        <v>-105</v>
      </c>
    </row>
    <row r="1613" spans="1:4" x14ac:dyDescent="0.25">
      <c r="A1613" t="s">
        <v>16669</v>
      </c>
      <c r="B1613" s="102">
        <v>944</v>
      </c>
      <c r="C1613" s="102">
        <v>1049</v>
      </c>
      <c r="D1613" s="102">
        <f>Table22[[#This Row],[CURRENT]]-Table22[[#This Row],[IDEAL]]</f>
        <v>-105</v>
      </c>
    </row>
    <row r="1614" spans="1:4" x14ac:dyDescent="0.25">
      <c r="A1614" t="s">
        <v>18089</v>
      </c>
      <c r="B1614" s="102">
        <v>472</v>
      </c>
      <c r="C1614" s="102">
        <v>576</v>
      </c>
      <c r="D1614" s="102">
        <f>Table22[[#This Row],[CURRENT]]-Table22[[#This Row],[IDEAL]]</f>
        <v>-104</v>
      </c>
    </row>
    <row r="1615" spans="1:4" x14ac:dyDescent="0.25">
      <c r="A1615" t="s">
        <v>17871</v>
      </c>
      <c r="B1615" s="102">
        <v>473</v>
      </c>
      <c r="C1615" s="102">
        <v>577</v>
      </c>
      <c r="D1615" s="102">
        <f>Table22[[#This Row],[CURRENT]]-Table22[[#This Row],[IDEAL]]</f>
        <v>-104</v>
      </c>
    </row>
    <row r="1616" spans="1:4" x14ac:dyDescent="0.25">
      <c r="A1616" t="s">
        <v>15923</v>
      </c>
      <c r="B1616" s="102">
        <v>628</v>
      </c>
      <c r="C1616" s="102">
        <v>731</v>
      </c>
      <c r="D1616" s="102">
        <f>Table22[[#This Row],[CURRENT]]-Table22[[#This Row],[IDEAL]]</f>
        <v>-103</v>
      </c>
    </row>
    <row r="1617" spans="1:4" x14ac:dyDescent="0.25">
      <c r="A1617" t="s">
        <v>17857</v>
      </c>
      <c r="B1617" s="102">
        <v>920</v>
      </c>
      <c r="C1617" s="102">
        <v>1023</v>
      </c>
      <c r="D1617" s="102">
        <f>Table22[[#This Row],[CURRENT]]-Table22[[#This Row],[IDEAL]]</f>
        <v>-103</v>
      </c>
    </row>
    <row r="1618" spans="1:4" x14ac:dyDescent="0.25">
      <c r="A1618" t="s">
        <v>17799</v>
      </c>
      <c r="B1618" s="102">
        <v>537</v>
      </c>
      <c r="C1618" s="102">
        <v>640</v>
      </c>
      <c r="D1618" s="102">
        <f>Table22[[#This Row],[CURRENT]]-Table22[[#This Row],[IDEAL]]</f>
        <v>-103</v>
      </c>
    </row>
    <row r="1619" spans="1:4" x14ac:dyDescent="0.25">
      <c r="A1619" t="s">
        <v>16696</v>
      </c>
      <c r="B1619" s="102">
        <v>688</v>
      </c>
      <c r="C1619" s="102">
        <v>791</v>
      </c>
      <c r="D1619" s="102">
        <f>Table22[[#This Row],[CURRENT]]-Table22[[#This Row],[IDEAL]]</f>
        <v>-103</v>
      </c>
    </row>
    <row r="1620" spans="1:4" x14ac:dyDescent="0.25">
      <c r="A1620" t="s">
        <v>14586</v>
      </c>
      <c r="B1620" s="102">
        <v>532</v>
      </c>
      <c r="C1620" s="102">
        <v>634</v>
      </c>
      <c r="D1620" s="102">
        <f>Table22[[#This Row],[CURRENT]]-Table22[[#This Row],[IDEAL]]</f>
        <v>-102</v>
      </c>
    </row>
    <row r="1621" spans="1:4" x14ac:dyDescent="0.25">
      <c r="A1621" t="s">
        <v>13733</v>
      </c>
      <c r="B1621" s="102">
        <v>916</v>
      </c>
      <c r="C1621" s="102">
        <v>1018</v>
      </c>
      <c r="D1621" s="102">
        <f>Table22[[#This Row],[CURRENT]]-Table22[[#This Row],[IDEAL]]</f>
        <v>-102</v>
      </c>
    </row>
    <row r="1622" spans="1:4" x14ac:dyDescent="0.25">
      <c r="A1622" t="s">
        <v>13454</v>
      </c>
      <c r="B1622" s="102">
        <v>670</v>
      </c>
      <c r="C1622" s="102">
        <v>771</v>
      </c>
      <c r="D1622" s="102">
        <f>Table22[[#This Row],[CURRENT]]-Table22[[#This Row],[IDEAL]]</f>
        <v>-101</v>
      </c>
    </row>
    <row r="1623" spans="1:4" x14ac:dyDescent="0.25">
      <c r="A1623" t="s">
        <v>14537</v>
      </c>
      <c r="B1623" s="102">
        <v>669</v>
      </c>
      <c r="C1623" s="102">
        <v>769</v>
      </c>
      <c r="D1623" s="102">
        <f>Table22[[#This Row],[CURRENT]]-Table22[[#This Row],[IDEAL]]</f>
        <v>-100</v>
      </c>
    </row>
    <row r="1624" spans="1:4" x14ac:dyDescent="0.25">
      <c r="A1624" t="s">
        <v>17733</v>
      </c>
      <c r="B1624" s="102">
        <v>892</v>
      </c>
      <c r="C1624" s="102">
        <v>992</v>
      </c>
      <c r="D1624" s="102">
        <f>Table22[[#This Row],[CURRENT]]-Table22[[#This Row],[IDEAL]]</f>
        <v>-100</v>
      </c>
    </row>
    <row r="1625" spans="1:4" x14ac:dyDescent="0.25">
      <c r="A1625" t="s">
        <v>12214</v>
      </c>
      <c r="B1625" s="102">
        <v>3659</v>
      </c>
      <c r="C1625" s="102">
        <v>3758</v>
      </c>
      <c r="D1625" s="102">
        <f>Table22[[#This Row],[CURRENT]]-Table22[[#This Row],[IDEAL]]</f>
        <v>-99</v>
      </c>
    </row>
    <row r="1626" spans="1:4" x14ac:dyDescent="0.25">
      <c r="A1626" t="s">
        <v>12580</v>
      </c>
      <c r="B1626" s="102">
        <v>873</v>
      </c>
      <c r="C1626" s="102">
        <v>971</v>
      </c>
      <c r="D1626" s="102">
        <f>Table22[[#This Row],[CURRENT]]-Table22[[#This Row],[IDEAL]]</f>
        <v>-98</v>
      </c>
    </row>
    <row r="1627" spans="1:4" x14ac:dyDescent="0.25">
      <c r="A1627" t="s">
        <v>17837</v>
      </c>
      <c r="B1627" s="102">
        <v>786</v>
      </c>
      <c r="C1627" s="102">
        <v>884</v>
      </c>
      <c r="D1627" s="102">
        <f>Table22[[#This Row],[CURRENT]]-Table22[[#This Row],[IDEAL]]</f>
        <v>-98</v>
      </c>
    </row>
    <row r="1628" spans="1:4" x14ac:dyDescent="0.25">
      <c r="A1628" t="s">
        <v>16770</v>
      </c>
      <c r="B1628" s="102">
        <v>475</v>
      </c>
      <c r="C1628" s="102">
        <v>573</v>
      </c>
      <c r="D1628" s="102">
        <f>Table22[[#This Row],[CURRENT]]-Table22[[#This Row],[IDEAL]]</f>
        <v>-98</v>
      </c>
    </row>
    <row r="1629" spans="1:4" x14ac:dyDescent="0.25">
      <c r="A1629" t="s">
        <v>16722</v>
      </c>
      <c r="B1629" s="102">
        <v>602</v>
      </c>
      <c r="C1629" s="102">
        <v>700</v>
      </c>
      <c r="D1629" s="102">
        <f>Table22[[#This Row],[CURRENT]]-Table22[[#This Row],[IDEAL]]</f>
        <v>-98</v>
      </c>
    </row>
    <row r="1630" spans="1:4" x14ac:dyDescent="0.25">
      <c r="A1630" t="s">
        <v>16689</v>
      </c>
      <c r="B1630" s="102">
        <v>776</v>
      </c>
      <c r="C1630" s="102">
        <v>873</v>
      </c>
      <c r="D1630" s="102">
        <f>Table22[[#This Row],[CURRENT]]-Table22[[#This Row],[IDEAL]]</f>
        <v>-97</v>
      </c>
    </row>
    <row r="1631" spans="1:4" x14ac:dyDescent="0.25">
      <c r="A1631" t="s">
        <v>17751</v>
      </c>
      <c r="B1631" s="102">
        <v>641</v>
      </c>
      <c r="C1631" s="102">
        <v>737</v>
      </c>
      <c r="D1631" s="102">
        <f>Table22[[#This Row],[CURRENT]]-Table22[[#This Row],[IDEAL]]</f>
        <v>-96</v>
      </c>
    </row>
    <row r="1632" spans="1:4" x14ac:dyDescent="0.25">
      <c r="A1632" t="s">
        <v>16721</v>
      </c>
      <c r="B1632" s="102">
        <v>466</v>
      </c>
      <c r="C1632" s="102">
        <v>562</v>
      </c>
      <c r="D1632" s="102">
        <f>Table22[[#This Row],[CURRENT]]-Table22[[#This Row],[IDEAL]]</f>
        <v>-96</v>
      </c>
    </row>
    <row r="1633" spans="1:4" x14ac:dyDescent="0.25">
      <c r="A1633" t="s">
        <v>13446</v>
      </c>
      <c r="B1633" s="102">
        <v>767</v>
      </c>
      <c r="C1633" s="102">
        <v>862</v>
      </c>
      <c r="D1633" s="102">
        <f>Table22[[#This Row],[CURRENT]]-Table22[[#This Row],[IDEAL]]</f>
        <v>-95</v>
      </c>
    </row>
    <row r="1634" spans="1:4" x14ac:dyDescent="0.25">
      <c r="A1634" t="s">
        <v>16792</v>
      </c>
      <c r="B1634" s="102">
        <v>631</v>
      </c>
      <c r="C1634" s="102">
        <v>726</v>
      </c>
      <c r="D1634" s="102">
        <f>Table22[[#This Row],[CURRENT]]-Table22[[#This Row],[IDEAL]]</f>
        <v>-95</v>
      </c>
    </row>
    <row r="1635" spans="1:4" x14ac:dyDescent="0.25">
      <c r="A1635" t="s">
        <v>17752</v>
      </c>
      <c r="B1635" s="102">
        <v>610</v>
      </c>
      <c r="C1635" s="102">
        <v>702</v>
      </c>
      <c r="D1635" s="102">
        <f>Table22[[#This Row],[CURRENT]]-Table22[[#This Row],[IDEAL]]</f>
        <v>-92</v>
      </c>
    </row>
    <row r="1636" spans="1:4" x14ac:dyDescent="0.25">
      <c r="A1636" t="s">
        <v>14515</v>
      </c>
      <c r="B1636" s="102">
        <v>816</v>
      </c>
      <c r="C1636" s="102">
        <v>907</v>
      </c>
      <c r="D1636" s="102">
        <f>Table22[[#This Row],[CURRENT]]-Table22[[#This Row],[IDEAL]]</f>
        <v>-91</v>
      </c>
    </row>
    <row r="1637" spans="1:4" x14ac:dyDescent="0.25">
      <c r="A1637" t="s">
        <v>16766</v>
      </c>
      <c r="B1637" s="102">
        <v>444</v>
      </c>
      <c r="C1637" s="102">
        <v>535</v>
      </c>
      <c r="D1637" s="102">
        <f>Table22[[#This Row],[CURRENT]]-Table22[[#This Row],[IDEAL]]</f>
        <v>-91</v>
      </c>
    </row>
    <row r="1638" spans="1:4" x14ac:dyDescent="0.25">
      <c r="A1638" t="s">
        <v>15938</v>
      </c>
      <c r="B1638" s="102">
        <v>533</v>
      </c>
      <c r="C1638" s="102">
        <v>620</v>
      </c>
      <c r="D1638" s="102">
        <f>Table22[[#This Row],[CURRENT]]-Table22[[#This Row],[IDEAL]]</f>
        <v>-87</v>
      </c>
    </row>
    <row r="1639" spans="1:4" x14ac:dyDescent="0.25">
      <c r="A1639" t="s">
        <v>13456</v>
      </c>
      <c r="B1639" s="102">
        <v>483</v>
      </c>
      <c r="C1639" s="102">
        <v>569</v>
      </c>
      <c r="D1639" s="102">
        <f>Table22[[#This Row],[CURRENT]]-Table22[[#This Row],[IDEAL]]</f>
        <v>-86</v>
      </c>
    </row>
    <row r="1640" spans="1:4" x14ac:dyDescent="0.25">
      <c r="A1640" t="s">
        <v>18091</v>
      </c>
      <c r="B1640" s="102">
        <v>476</v>
      </c>
      <c r="C1640" s="102">
        <v>560</v>
      </c>
      <c r="D1640" s="102">
        <f>Table22[[#This Row],[CURRENT]]-Table22[[#This Row],[IDEAL]]</f>
        <v>-84</v>
      </c>
    </row>
    <row r="1641" spans="1:4" x14ac:dyDescent="0.25">
      <c r="A1641" t="s">
        <v>16775</v>
      </c>
      <c r="B1641" s="102">
        <v>514</v>
      </c>
      <c r="C1641" s="102">
        <v>598</v>
      </c>
      <c r="D1641" s="102">
        <f>Table22[[#This Row],[CURRENT]]-Table22[[#This Row],[IDEAL]]</f>
        <v>-84</v>
      </c>
    </row>
    <row r="1642" spans="1:4" x14ac:dyDescent="0.25">
      <c r="A1642" t="s">
        <v>15936</v>
      </c>
      <c r="B1642" s="102">
        <v>553</v>
      </c>
      <c r="C1642" s="102">
        <v>636</v>
      </c>
      <c r="D1642" s="102">
        <f>Table22[[#This Row],[CURRENT]]-Table22[[#This Row],[IDEAL]]</f>
        <v>-83</v>
      </c>
    </row>
    <row r="1643" spans="1:4" x14ac:dyDescent="0.25">
      <c r="A1643" t="s">
        <v>17757</v>
      </c>
      <c r="B1643" s="102">
        <v>434</v>
      </c>
      <c r="C1643" s="102">
        <v>517</v>
      </c>
      <c r="D1643" s="102">
        <f>Table22[[#This Row],[CURRENT]]-Table22[[#This Row],[IDEAL]]</f>
        <v>-83</v>
      </c>
    </row>
    <row r="1644" spans="1:4" x14ac:dyDescent="0.25">
      <c r="A1644" t="s">
        <v>16705</v>
      </c>
      <c r="B1644" s="102">
        <v>668</v>
      </c>
      <c r="C1644" s="102">
        <v>751</v>
      </c>
      <c r="D1644" s="102">
        <f>Table22[[#This Row],[CURRENT]]-Table22[[#This Row],[IDEAL]]</f>
        <v>-83</v>
      </c>
    </row>
    <row r="1645" spans="1:4" x14ac:dyDescent="0.25">
      <c r="A1645" t="s">
        <v>12205</v>
      </c>
      <c r="B1645" s="102">
        <v>3685</v>
      </c>
      <c r="C1645" s="102">
        <v>3767</v>
      </c>
      <c r="D1645" s="102">
        <f>Table22[[#This Row],[CURRENT]]-Table22[[#This Row],[IDEAL]]</f>
        <v>-82</v>
      </c>
    </row>
    <row r="1646" spans="1:4" x14ac:dyDescent="0.25">
      <c r="A1646" t="s">
        <v>15948</v>
      </c>
      <c r="B1646" s="102">
        <v>394</v>
      </c>
      <c r="C1646" s="102">
        <v>475</v>
      </c>
      <c r="D1646" s="102">
        <f>Table22[[#This Row],[CURRENT]]-Table22[[#This Row],[IDEAL]]</f>
        <v>-81</v>
      </c>
    </row>
    <row r="1647" spans="1:4" x14ac:dyDescent="0.25">
      <c r="A1647" t="s">
        <v>15932</v>
      </c>
      <c r="B1647" s="102">
        <v>594</v>
      </c>
      <c r="C1647" s="102">
        <v>675</v>
      </c>
      <c r="D1647" s="102">
        <f>Table22[[#This Row],[CURRENT]]-Table22[[#This Row],[IDEAL]]</f>
        <v>-81</v>
      </c>
    </row>
    <row r="1648" spans="1:4" x14ac:dyDescent="0.25">
      <c r="A1648" t="s">
        <v>18058</v>
      </c>
      <c r="B1648" s="102">
        <v>421</v>
      </c>
      <c r="C1648" s="102">
        <v>502</v>
      </c>
      <c r="D1648" s="102">
        <f>Table22[[#This Row],[CURRENT]]-Table22[[#This Row],[IDEAL]]</f>
        <v>-81</v>
      </c>
    </row>
    <row r="1649" spans="1:4" x14ac:dyDescent="0.25">
      <c r="A1649" t="s">
        <v>16763</v>
      </c>
      <c r="B1649" s="102">
        <v>395</v>
      </c>
      <c r="C1649" s="102">
        <v>476</v>
      </c>
      <c r="D1649" s="102">
        <f>Table22[[#This Row],[CURRENT]]-Table22[[#This Row],[IDEAL]]</f>
        <v>-81</v>
      </c>
    </row>
    <row r="1650" spans="1:4" x14ac:dyDescent="0.25">
      <c r="A1650" t="s">
        <v>15953</v>
      </c>
      <c r="B1650" s="102">
        <v>360</v>
      </c>
      <c r="C1650" s="102">
        <v>440</v>
      </c>
      <c r="D1650" s="102">
        <f>Table22[[#This Row],[CURRENT]]-Table22[[#This Row],[IDEAL]]</f>
        <v>-80</v>
      </c>
    </row>
    <row r="1651" spans="1:4" x14ac:dyDescent="0.25">
      <c r="A1651" t="s">
        <v>14502</v>
      </c>
      <c r="B1651" s="102">
        <v>530</v>
      </c>
      <c r="C1651" s="102">
        <v>610</v>
      </c>
      <c r="D1651" s="102">
        <f>Table22[[#This Row],[CURRENT]]-Table22[[#This Row],[IDEAL]]</f>
        <v>-80</v>
      </c>
    </row>
    <row r="1652" spans="1:4" x14ac:dyDescent="0.25">
      <c r="A1652" t="s">
        <v>17805</v>
      </c>
      <c r="B1652" s="102">
        <v>383</v>
      </c>
      <c r="C1652" s="102">
        <v>462</v>
      </c>
      <c r="D1652" s="102">
        <f>Table22[[#This Row],[CURRENT]]-Table22[[#This Row],[IDEAL]]</f>
        <v>-79</v>
      </c>
    </row>
    <row r="1653" spans="1:4" x14ac:dyDescent="0.25">
      <c r="A1653" t="s">
        <v>16786</v>
      </c>
      <c r="B1653" s="102">
        <v>575</v>
      </c>
      <c r="C1653" s="102">
        <v>654</v>
      </c>
      <c r="D1653" s="102">
        <f>Table22[[#This Row],[CURRENT]]-Table22[[#This Row],[IDEAL]]</f>
        <v>-79</v>
      </c>
    </row>
    <row r="1654" spans="1:4" x14ac:dyDescent="0.25">
      <c r="A1654" t="s">
        <v>14940</v>
      </c>
      <c r="B1654" s="102">
        <v>701</v>
      </c>
      <c r="C1654" s="102">
        <v>779</v>
      </c>
      <c r="D1654" s="102">
        <f>Table22[[#This Row],[CURRENT]]-Table22[[#This Row],[IDEAL]]</f>
        <v>-78</v>
      </c>
    </row>
    <row r="1655" spans="1:4" x14ac:dyDescent="0.25">
      <c r="A1655" t="s">
        <v>14486</v>
      </c>
      <c r="B1655" s="102">
        <v>564</v>
      </c>
      <c r="C1655" s="102">
        <v>642</v>
      </c>
      <c r="D1655" s="102">
        <f>Table22[[#This Row],[CURRENT]]-Table22[[#This Row],[IDEAL]]</f>
        <v>-78</v>
      </c>
    </row>
    <row r="1656" spans="1:4" x14ac:dyDescent="0.25">
      <c r="A1656" t="s">
        <v>14557</v>
      </c>
      <c r="B1656" s="102">
        <v>693</v>
      </c>
      <c r="C1656" s="102">
        <v>771</v>
      </c>
      <c r="D1656" s="102">
        <f>Table22[[#This Row],[CURRENT]]-Table22[[#This Row],[IDEAL]]</f>
        <v>-78</v>
      </c>
    </row>
    <row r="1657" spans="1:4" x14ac:dyDescent="0.25">
      <c r="A1657" t="s">
        <v>17904</v>
      </c>
      <c r="B1657" s="102">
        <v>627</v>
      </c>
      <c r="C1657" s="102">
        <v>705</v>
      </c>
      <c r="D1657" s="102">
        <f>Table22[[#This Row],[CURRENT]]-Table22[[#This Row],[IDEAL]]</f>
        <v>-78</v>
      </c>
    </row>
    <row r="1658" spans="1:4" x14ac:dyDescent="0.25">
      <c r="A1658" t="s">
        <v>16788</v>
      </c>
      <c r="B1658" s="102">
        <v>625</v>
      </c>
      <c r="C1658" s="102">
        <v>703</v>
      </c>
      <c r="D1658" s="102">
        <f>Table22[[#This Row],[CURRENT]]-Table22[[#This Row],[IDEAL]]</f>
        <v>-78</v>
      </c>
    </row>
    <row r="1659" spans="1:4" x14ac:dyDescent="0.25">
      <c r="A1659" t="s">
        <v>15917</v>
      </c>
      <c r="B1659" s="102">
        <v>685</v>
      </c>
      <c r="C1659" s="102">
        <v>762</v>
      </c>
      <c r="D1659" s="102">
        <f>Table22[[#This Row],[CURRENT]]-Table22[[#This Row],[IDEAL]]</f>
        <v>-77</v>
      </c>
    </row>
    <row r="1660" spans="1:4" x14ac:dyDescent="0.25">
      <c r="A1660" t="s">
        <v>15949</v>
      </c>
      <c r="B1660" s="102">
        <v>396</v>
      </c>
      <c r="C1660" s="102">
        <v>472</v>
      </c>
      <c r="D1660" s="102">
        <f>Table22[[#This Row],[CURRENT]]-Table22[[#This Row],[IDEAL]]</f>
        <v>-76</v>
      </c>
    </row>
    <row r="1661" spans="1:4" x14ac:dyDescent="0.25">
      <c r="A1661" t="s">
        <v>17842</v>
      </c>
      <c r="B1661" s="102">
        <v>683</v>
      </c>
      <c r="C1661" s="102">
        <v>759</v>
      </c>
      <c r="D1661" s="102">
        <f>Table22[[#This Row],[CURRENT]]-Table22[[#This Row],[IDEAL]]</f>
        <v>-76</v>
      </c>
    </row>
    <row r="1662" spans="1:4" x14ac:dyDescent="0.25">
      <c r="A1662" t="s">
        <v>17755</v>
      </c>
      <c r="B1662" s="102">
        <v>508</v>
      </c>
      <c r="C1662" s="102">
        <v>584</v>
      </c>
      <c r="D1662" s="102">
        <f>Table22[[#This Row],[CURRENT]]-Table22[[#This Row],[IDEAL]]</f>
        <v>-76</v>
      </c>
    </row>
    <row r="1663" spans="1:4" x14ac:dyDescent="0.25">
      <c r="A1663" t="s">
        <v>18044</v>
      </c>
      <c r="B1663" s="102">
        <v>370</v>
      </c>
      <c r="C1663" s="102">
        <v>446</v>
      </c>
      <c r="D1663" s="102">
        <f>Table22[[#This Row],[CURRENT]]-Table22[[#This Row],[IDEAL]]</f>
        <v>-76</v>
      </c>
    </row>
    <row r="1664" spans="1:4" x14ac:dyDescent="0.25">
      <c r="A1664" t="s">
        <v>17822</v>
      </c>
      <c r="B1664" s="102">
        <v>501</v>
      </c>
      <c r="C1664" s="102">
        <v>577</v>
      </c>
      <c r="D1664" s="102">
        <f>Table22[[#This Row],[CURRENT]]-Table22[[#This Row],[IDEAL]]</f>
        <v>-76</v>
      </c>
    </row>
    <row r="1665" spans="1:4" x14ac:dyDescent="0.25">
      <c r="A1665" t="s">
        <v>17844</v>
      </c>
      <c r="B1665" s="102">
        <v>488</v>
      </c>
      <c r="C1665" s="102">
        <v>562</v>
      </c>
      <c r="D1665" s="102">
        <f>Table22[[#This Row],[CURRENT]]-Table22[[#This Row],[IDEAL]]</f>
        <v>-74</v>
      </c>
    </row>
    <row r="1666" spans="1:4" x14ac:dyDescent="0.25">
      <c r="A1666" t="s">
        <v>16710</v>
      </c>
      <c r="B1666" s="102">
        <v>663</v>
      </c>
      <c r="C1666" s="102">
        <v>737</v>
      </c>
      <c r="D1666" s="102">
        <f>Table22[[#This Row],[CURRENT]]-Table22[[#This Row],[IDEAL]]</f>
        <v>-74</v>
      </c>
    </row>
    <row r="1667" spans="1:4" x14ac:dyDescent="0.25">
      <c r="A1667" t="s">
        <v>13457</v>
      </c>
      <c r="B1667" s="102">
        <v>311</v>
      </c>
      <c r="C1667" s="102">
        <v>384</v>
      </c>
      <c r="D1667" s="102">
        <f>Table22[[#This Row],[CURRENT]]-Table22[[#This Row],[IDEAL]]</f>
        <v>-73</v>
      </c>
    </row>
    <row r="1668" spans="1:4" x14ac:dyDescent="0.25">
      <c r="A1668" t="s">
        <v>14924</v>
      </c>
      <c r="B1668" s="102">
        <v>577</v>
      </c>
      <c r="C1668" s="102">
        <v>649</v>
      </c>
      <c r="D1668" s="102">
        <f>Table22[[#This Row],[CURRENT]]-Table22[[#This Row],[IDEAL]]</f>
        <v>-72</v>
      </c>
    </row>
    <row r="1669" spans="1:4" x14ac:dyDescent="0.25">
      <c r="A1669" t="s">
        <v>17741</v>
      </c>
      <c r="B1669" s="102">
        <v>407</v>
      </c>
      <c r="C1669" s="102">
        <v>479</v>
      </c>
      <c r="D1669" s="102">
        <f>Table22[[#This Row],[CURRENT]]-Table22[[#This Row],[IDEAL]]</f>
        <v>-72</v>
      </c>
    </row>
    <row r="1670" spans="1:4" x14ac:dyDescent="0.25">
      <c r="A1670" t="s">
        <v>17759</v>
      </c>
      <c r="B1670" s="102">
        <v>325</v>
      </c>
      <c r="C1670" s="102">
        <v>397</v>
      </c>
      <c r="D1670" s="102">
        <f>Table22[[#This Row],[CURRENT]]-Table22[[#This Row],[IDEAL]]</f>
        <v>-72</v>
      </c>
    </row>
    <row r="1671" spans="1:4" x14ac:dyDescent="0.25">
      <c r="A1671" t="s">
        <v>18093</v>
      </c>
      <c r="B1671" s="102">
        <v>329</v>
      </c>
      <c r="C1671" s="102">
        <v>397</v>
      </c>
      <c r="D1671" s="102">
        <f>Table22[[#This Row],[CURRENT]]-Table22[[#This Row],[IDEAL]]</f>
        <v>-68</v>
      </c>
    </row>
    <row r="1672" spans="1:4" x14ac:dyDescent="0.25">
      <c r="A1672" t="s">
        <v>14553</v>
      </c>
      <c r="B1672" s="102">
        <v>536</v>
      </c>
      <c r="C1672" s="102">
        <v>603</v>
      </c>
      <c r="D1672" s="102">
        <f>Table22[[#This Row],[CURRENT]]-Table22[[#This Row],[IDEAL]]</f>
        <v>-67</v>
      </c>
    </row>
    <row r="1673" spans="1:4" x14ac:dyDescent="0.25">
      <c r="A1673" t="s">
        <v>18092</v>
      </c>
      <c r="B1673" s="102">
        <v>377</v>
      </c>
      <c r="C1673" s="102">
        <v>444</v>
      </c>
      <c r="D1673" s="102">
        <f>Table22[[#This Row],[CURRENT]]-Table22[[#This Row],[IDEAL]]</f>
        <v>-67</v>
      </c>
    </row>
    <row r="1674" spans="1:4" x14ac:dyDescent="0.25">
      <c r="A1674" t="s">
        <v>18057</v>
      </c>
      <c r="B1674" s="102">
        <v>590</v>
      </c>
      <c r="C1674" s="102">
        <v>656</v>
      </c>
      <c r="D1674" s="102">
        <f>Table22[[#This Row],[CURRENT]]-Table22[[#This Row],[IDEAL]]</f>
        <v>-66</v>
      </c>
    </row>
    <row r="1675" spans="1:4" x14ac:dyDescent="0.25">
      <c r="A1675" t="s">
        <v>16747</v>
      </c>
      <c r="B1675" s="102">
        <v>340</v>
      </c>
      <c r="C1675" s="102">
        <v>405</v>
      </c>
      <c r="D1675" s="102">
        <f>Table22[[#This Row],[CURRENT]]-Table22[[#This Row],[IDEAL]]</f>
        <v>-65</v>
      </c>
    </row>
    <row r="1676" spans="1:4" x14ac:dyDescent="0.25">
      <c r="A1676" t="s">
        <v>16750</v>
      </c>
      <c r="B1676" s="102">
        <v>389</v>
      </c>
      <c r="C1676" s="102">
        <v>453</v>
      </c>
      <c r="D1676" s="102">
        <f>Table22[[#This Row],[CURRENT]]-Table22[[#This Row],[IDEAL]]</f>
        <v>-64</v>
      </c>
    </row>
    <row r="1677" spans="1:4" x14ac:dyDescent="0.25">
      <c r="A1677" t="s">
        <v>16754</v>
      </c>
      <c r="B1677" s="102">
        <v>384</v>
      </c>
      <c r="C1677" s="102">
        <v>447</v>
      </c>
      <c r="D1677" s="102">
        <f>Table22[[#This Row],[CURRENT]]-Table22[[#This Row],[IDEAL]]</f>
        <v>-63</v>
      </c>
    </row>
    <row r="1678" spans="1:4" x14ac:dyDescent="0.25">
      <c r="A1678" t="s">
        <v>14507</v>
      </c>
      <c r="B1678" s="102">
        <v>348</v>
      </c>
      <c r="C1678" s="102">
        <v>410</v>
      </c>
      <c r="D1678" s="102">
        <f>Table22[[#This Row],[CURRENT]]-Table22[[#This Row],[IDEAL]]</f>
        <v>-62</v>
      </c>
    </row>
    <row r="1679" spans="1:4" x14ac:dyDescent="0.25">
      <c r="A1679" t="s">
        <v>16764</v>
      </c>
      <c r="B1679" s="102">
        <v>412</v>
      </c>
      <c r="C1679" s="102">
        <v>474</v>
      </c>
      <c r="D1679" s="102">
        <f>Table22[[#This Row],[CURRENT]]-Table22[[#This Row],[IDEAL]]</f>
        <v>-62</v>
      </c>
    </row>
    <row r="1680" spans="1:4" x14ac:dyDescent="0.25">
      <c r="A1680" t="s">
        <v>16723</v>
      </c>
      <c r="B1680" s="102">
        <v>544</v>
      </c>
      <c r="C1680" s="102">
        <v>605</v>
      </c>
      <c r="D1680" s="102">
        <f>Table22[[#This Row],[CURRENT]]-Table22[[#This Row],[IDEAL]]</f>
        <v>-61</v>
      </c>
    </row>
    <row r="1681" spans="1:4" x14ac:dyDescent="0.25">
      <c r="A1681" t="s">
        <v>13423</v>
      </c>
      <c r="B1681" s="102">
        <v>529</v>
      </c>
      <c r="C1681" s="102">
        <v>589</v>
      </c>
      <c r="D1681" s="102">
        <f>Table22[[#This Row],[CURRENT]]-Table22[[#This Row],[IDEAL]]</f>
        <v>-60</v>
      </c>
    </row>
    <row r="1682" spans="1:4" x14ac:dyDescent="0.25">
      <c r="A1682" t="s">
        <v>18060</v>
      </c>
      <c r="B1682" s="102">
        <v>337</v>
      </c>
      <c r="C1682" s="102">
        <v>397</v>
      </c>
      <c r="D1682" s="102">
        <f>Table22[[#This Row],[CURRENT]]-Table22[[#This Row],[IDEAL]]</f>
        <v>-60</v>
      </c>
    </row>
    <row r="1683" spans="1:4" x14ac:dyDescent="0.25">
      <c r="A1683" t="s">
        <v>15952</v>
      </c>
      <c r="B1683" s="102">
        <v>390</v>
      </c>
      <c r="C1683" s="102">
        <v>449</v>
      </c>
      <c r="D1683" s="102">
        <f>Table22[[#This Row],[CURRENT]]-Table22[[#This Row],[IDEAL]]</f>
        <v>-59</v>
      </c>
    </row>
    <row r="1684" spans="1:4" x14ac:dyDescent="0.25">
      <c r="A1684" t="s">
        <v>16753</v>
      </c>
      <c r="B1684" s="102">
        <v>388</v>
      </c>
      <c r="C1684" s="102">
        <v>447</v>
      </c>
      <c r="D1684" s="102">
        <f>Table22[[#This Row],[CURRENT]]-Table22[[#This Row],[IDEAL]]</f>
        <v>-59</v>
      </c>
    </row>
    <row r="1685" spans="1:4" x14ac:dyDescent="0.25">
      <c r="A1685" t="s">
        <v>14606</v>
      </c>
      <c r="B1685" s="102">
        <v>518</v>
      </c>
      <c r="C1685" s="102">
        <v>576</v>
      </c>
      <c r="D1685" s="102">
        <f>Table22[[#This Row],[CURRENT]]-Table22[[#This Row],[IDEAL]]</f>
        <v>-58</v>
      </c>
    </row>
    <row r="1686" spans="1:4" x14ac:dyDescent="0.25">
      <c r="A1686" t="s">
        <v>16735</v>
      </c>
      <c r="B1686" s="102">
        <v>304</v>
      </c>
      <c r="C1686" s="102">
        <v>362</v>
      </c>
      <c r="D1686" s="102">
        <f>Table22[[#This Row],[CURRENT]]-Table22[[#This Row],[IDEAL]]</f>
        <v>-58</v>
      </c>
    </row>
    <row r="1687" spans="1:4" x14ac:dyDescent="0.25">
      <c r="A1687" t="s">
        <v>16745</v>
      </c>
      <c r="B1687" s="102">
        <v>350</v>
      </c>
      <c r="C1687" s="102">
        <v>407</v>
      </c>
      <c r="D1687" s="102">
        <f>Table22[[#This Row],[CURRENT]]-Table22[[#This Row],[IDEAL]]</f>
        <v>-57</v>
      </c>
    </row>
    <row r="1688" spans="1:4" x14ac:dyDescent="0.25">
      <c r="A1688" t="s">
        <v>15947</v>
      </c>
      <c r="B1688" s="102">
        <v>453</v>
      </c>
      <c r="C1688" s="102">
        <v>509</v>
      </c>
      <c r="D1688" s="102">
        <f>Table22[[#This Row],[CURRENT]]-Table22[[#This Row],[IDEAL]]</f>
        <v>-56</v>
      </c>
    </row>
    <row r="1689" spans="1:4" x14ac:dyDescent="0.25">
      <c r="A1689" t="s">
        <v>18090</v>
      </c>
      <c r="B1689" s="102">
        <v>504</v>
      </c>
      <c r="C1689" s="102">
        <v>560</v>
      </c>
      <c r="D1689" s="102">
        <f>Table22[[#This Row],[CURRENT]]-Table22[[#This Row],[IDEAL]]</f>
        <v>-56</v>
      </c>
    </row>
    <row r="1690" spans="1:4" x14ac:dyDescent="0.25">
      <c r="A1690" t="s">
        <v>16738</v>
      </c>
      <c r="B1690" s="102">
        <v>343</v>
      </c>
      <c r="C1690" s="102">
        <v>399</v>
      </c>
      <c r="D1690" s="102">
        <f>Table22[[#This Row],[CURRENT]]-Table22[[#This Row],[IDEAL]]</f>
        <v>-56</v>
      </c>
    </row>
    <row r="1691" spans="1:4" x14ac:dyDescent="0.25">
      <c r="A1691" t="s">
        <v>15954</v>
      </c>
      <c r="B1691" s="102">
        <v>358</v>
      </c>
      <c r="C1691" s="102">
        <v>412</v>
      </c>
      <c r="D1691" s="102">
        <f>Table22[[#This Row],[CURRENT]]-Table22[[#This Row],[IDEAL]]</f>
        <v>-54</v>
      </c>
    </row>
    <row r="1692" spans="1:4" x14ac:dyDescent="0.25">
      <c r="A1692" t="s">
        <v>17758</v>
      </c>
      <c r="B1692" s="102">
        <v>428</v>
      </c>
      <c r="C1692" s="102">
        <v>482</v>
      </c>
      <c r="D1692" s="102">
        <f>Table22[[#This Row],[CURRENT]]-Table22[[#This Row],[IDEAL]]</f>
        <v>-54</v>
      </c>
    </row>
    <row r="1693" spans="1:4" x14ac:dyDescent="0.25">
      <c r="A1693" t="s">
        <v>14594</v>
      </c>
      <c r="B1693" s="102">
        <v>428</v>
      </c>
      <c r="C1693" s="102">
        <v>481</v>
      </c>
      <c r="D1693" s="102">
        <f>Table22[[#This Row],[CURRENT]]-Table22[[#This Row],[IDEAL]]</f>
        <v>-53</v>
      </c>
    </row>
    <row r="1694" spans="1:4" x14ac:dyDescent="0.25">
      <c r="A1694" t="s">
        <v>17845</v>
      </c>
      <c r="B1694" s="102">
        <v>426</v>
      </c>
      <c r="C1694" s="102">
        <v>479</v>
      </c>
      <c r="D1694" s="102">
        <f>Table22[[#This Row],[CURRENT]]-Table22[[#This Row],[IDEAL]]</f>
        <v>-53</v>
      </c>
    </row>
    <row r="1695" spans="1:4" x14ac:dyDescent="0.25">
      <c r="A1695" t="s">
        <v>16749</v>
      </c>
      <c r="B1695" s="102">
        <v>409</v>
      </c>
      <c r="C1695" s="102">
        <v>460</v>
      </c>
      <c r="D1695" s="102">
        <f>Table22[[#This Row],[CURRENT]]-Table22[[#This Row],[IDEAL]]</f>
        <v>-51</v>
      </c>
    </row>
    <row r="1696" spans="1:4" x14ac:dyDescent="0.25">
      <c r="A1696" t="s">
        <v>13458</v>
      </c>
      <c r="B1696" s="102">
        <v>223</v>
      </c>
      <c r="C1696" s="102">
        <v>273</v>
      </c>
      <c r="D1696" s="102">
        <f>Table22[[#This Row],[CURRENT]]-Table22[[#This Row],[IDEAL]]</f>
        <v>-50</v>
      </c>
    </row>
    <row r="1697" spans="1:4" x14ac:dyDescent="0.25">
      <c r="A1697" t="s">
        <v>17763</v>
      </c>
      <c r="B1697" s="102">
        <v>198</v>
      </c>
      <c r="C1697" s="102">
        <v>248</v>
      </c>
      <c r="D1697" s="102">
        <f>Table22[[#This Row],[CURRENT]]-Table22[[#This Row],[IDEAL]]</f>
        <v>-50</v>
      </c>
    </row>
    <row r="1698" spans="1:4" x14ac:dyDescent="0.25">
      <c r="A1698" t="s">
        <v>16758</v>
      </c>
      <c r="B1698" s="102">
        <v>446</v>
      </c>
      <c r="C1698" s="102">
        <v>496</v>
      </c>
      <c r="D1698" s="102">
        <f>Table22[[#This Row],[CURRENT]]-Table22[[#This Row],[IDEAL]]</f>
        <v>-50</v>
      </c>
    </row>
    <row r="1699" spans="1:4" x14ac:dyDescent="0.25">
      <c r="A1699" t="s">
        <v>16734</v>
      </c>
      <c r="B1699" s="102">
        <v>257</v>
      </c>
      <c r="C1699" s="102">
        <v>307</v>
      </c>
      <c r="D1699" s="102">
        <f>Table22[[#This Row],[CURRENT]]-Table22[[#This Row],[IDEAL]]</f>
        <v>-50</v>
      </c>
    </row>
    <row r="1700" spans="1:4" x14ac:dyDescent="0.25">
      <c r="A1700" t="s">
        <v>16744</v>
      </c>
      <c r="B1700" s="102">
        <v>359</v>
      </c>
      <c r="C1700" s="102">
        <v>409</v>
      </c>
      <c r="D1700" s="102">
        <f>Table22[[#This Row],[CURRENT]]-Table22[[#This Row],[IDEAL]]</f>
        <v>-50</v>
      </c>
    </row>
    <row r="1701" spans="1:4" x14ac:dyDescent="0.25">
      <c r="A1701" t="s">
        <v>17762</v>
      </c>
      <c r="B1701" s="102">
        <v>219</v>
      </c>
      <c r="C1701" s="102">
        <v>268</v>
      </c>
      <c r="D1701" s="102">
        <f>Table22[[#This Row],[CURRENT]]-Table22[[#This Row],[IDEAL]]</f>
        <v>-49</v>
      </c>
    </row>
    <row r="1702" spans="1:4" x14ac:dyDescent="0.25">
      <c r="A1702" t="s">
        <v>17761</v>
      </c>
      <c r="B1702" s="102">
        <v>254</v>
      </c>
      <c r="C1702" s="102">
        <v>303</v>
      </c>
      <c r="D1702" s="102">
        <f>Table22[[#This Row],[CURRENT]]-Table22[[#This Row],[IDEAL]]</f>
        <v>-49</v>
      </c>
    </row>
    <row r="1703" spans="1:4" x14ac:dyDescent="0.25">
      <c r="A1703" t="s">
        <v>17760</v>
      </c>
      <c r="B1703" s="102">
        <v>294</v>
      </c>
      <c r="C1703" s="102">
        <v>342</v>
      </c>
      <c r="D1703" s="102">
        <f>Table22[[#This Row],[CURRENT]]-Table22[[#This Row],[IDEAL]]</f>
        <v>-48</v>
      </c>
    </row>
    <row r="1704" spans="1:4" x14ac:dyDescent="0.25">
      <c r="A1704" t="s">
        <v>17846</v>
      </c>
      <c r="B1704" s="102">
        <v>428</v>
      </c>
      <c r="C1704" s="102">
        <v>476</v>
      </c>
      <c r="D1704" s="102">
        <f>Table22[[#This Row],[CURRENT]]-Table22[[#This Row],[IDEAL]]</f>
        <v>-48</v>
      </c>
    </row>
    <row r="1705" spans="1:4" x14ac:dyDescent="0.25">
      <c r="A1705" t="s">
        <v>18059</v>
      </c>
      <c r="B1705" s="102">
        <v>373</v>
      </c>
      <c r="C1705" s="102">
        <v>420</v>
      </c>
      <c r="D1705" s="102">
        <f>Table22[[#This Row],[CURRENT]]-Table22[[#This Row],[IDEAL]]</f>
        <v>-47</v>
      </c>
    </row>
    <row r="1706" spans="1:4" x14ac:dyDescent="0.25">
      <c r="A1706" t="s">
        <v>16730</v>
      </c>
      <c r="B1706" s="102">
        <v>240</v>
      </c>
      <c r="C1706" s="102">
        <v>286</v>
      </c>
      <c r="D1706" s="102">
        <f>Table22[[#This Row],[CURRENT]]-Table22[[#This Row],[IDEAL]]</f>
        <v>-46</v>
      </c>
    </row>
    <row r="1707" spans="1:4" x14ac:dyDescent="0.25">
      <c r="A1707" t="s">
        <v>17742</v>
      </c>
      <c r="B1707" s="102">
        <v>282</v>
      </c>
      <c r="C1707" s="102">
        <v>325</v>
      </c>
      <c r="D1707" s="102">
        <f>Table22[[#This Row],[CURRENT]]-Table22[[#This Row],[IDEAL]]</f>
        <v>-43</v>
      </c>
    </row>
    <row r="1708" spans="1:4" x14ac:dyDescent="0.25">
      <c r="A1708" t="s">
        <v>16742</v>
      </c>
      <c r="B1708" s="102">
        <v>386</v>
      </c>
      <c r="C1708" s="102">
        <v>429</v>
      </c>
      <c r="D1708" s="102">
        <f>Table22[[#This Row],[CURRENT]]-Table22[[#This Row],[IDEAL]]</f>
        <v>-43</v>
      </c>
    </row>
    <row r="1709" spans="1:4" x14ac:dyDescent="0.25">
      <c r="A1709" t="s">
        <v>16733</v>
      </c>
      <c r="B1709" s="102">
        <v>286</v>
      </c>
      <c r="C1709" s="102">
        <v>325</v>
      </c>
      <c r="D1709" s="102">
        <f>Table22[[#This Row],[CURRENT]]-Table22[[#This Row],[IDEAL]]</f>
        <v>-39</v>
      </c>
    </row>
    <row r="1710" spans="1:4" x14ac:dyDescent="0.25">
      <c r="A1710" t="s">
        <v>17764</v>
      </c>
      <c r="B1710" s="102">
        <v>168</v>
      </c>
      <c r="C1710" s="102">
        <v>205</v>
      </c>
      <c r="D1710" s="102">
        <f>Table22[[#This Row],[CURRENT]]-Table22[[#This Row],[IDEAL]]</f>
        <v>-37</v>
      </c>
    </row>
    <row r="1711" spans="1:4" x14ac:dyDescent="0.25">
      <c r="A1711" t="s">
        <v>17823</v>
      </c>
      <c r="B1711" s="102">
        <v>148</v>
      </c>
      <c r="C1711" s="102">
        <v>181</v>
      </c>
      <c r="D1711" s="102">
        <f>Table22[[#This Row],[CURRENT]]-Table22[[#This Row],[IDEAL]]</f>
        <v>-33</v>
      </c>
    </row>
    <row r="1712" spans="1:4" x14ac:dyDescent="0.25">
      <c r="A1712" t="s">
        <v>17812</v>
      </c>
      <c r="B1712" s="102">
        <v>259</v>
      </c>
      <c r="C1712" s="102">
        <v>288</v>
      </c>
      <c r="D1712" s="102">
        <f>Table22[[#This Row],[CURRENT]]-Table22[[#This Row],[IDEAL]]</f>
        <v>-29</v>
      </c>
    </row>
    <row r="1713" spans="1:4" x14ac:dyDescent="0.25">
      <c r="A1713" t="s">
        <v>16726</v>
      </c>
      <c r="B1713" s="102">
        <v>231</v>
      </c>
      <c r="C1713" s="102">
        <v>257</v>
      </c>
      <c r="D1713" s="102">
        <f>Table22[[#This Row],[CURRENT]]-Table22[[#This Row],[IDEAL]]</f>
        <v>-26</v>
      </c>
    </row>
    <row r="1714" spans="1:4" x14ac:dyDescent="0.25">
      <c r="A1714" t="s">
        <v>11645</v>
      </c>
      <c r="B1714" s="102">
        <v>2588</v>
      </c>
      <c r="C1714" s="102">
        <v>2597</v>
      </c>
      <c r="D1714" s="102">
        <f>Table22[[#This Row],[CURRENT]]-Table22[[#This Row],[IDEAL]]</f>
        <v>-9</v>
      </c>
    </row>
    <row r="1715" spans="1:4" x14ac:dyDescent="0.25">
      <c r="A1715" t="s">
        <v>12662</v>
      </c>
      <c r="B1715" s="102">
        <v>2344</v>
      </c>
      <c r="C1715" s="102">
        <v>2351</v>
      </c>
      <c r="D1715" s="102">
        <f>Table22[[#This Row],[CURRENT]]-Table22[[#This Row],[IDEAL]]</f>
        <v>-7</v>
      </c>
    </row>
    <row r="1716" spans="1:4" x14ac:dyDescent="0.25">
      <c r="A1716" t="s">
        <v>12650</v>
      </c>
      <c r="B1716" s="102">
        <v>3145</v>
      </c>
      <c r="C1716" s="102">
        <v>3148</v>
      </c>
      <c r="D1716" s="102">
        <f>Table22[[#This Row],[CURRENT]]-Table22[[#This Row],[IDEAL]]</f>
        <v>-3</v>
      </c>
    </row>
    <row r="1717" spans="1:4" x14ac:dyDescent="0.25">
      <c r="A1717" t="s">
        <v>11643</v>
      </c>
      <c r="B1717" s="102">
        <v>2880</v>
      </c>
      <c r="C1717" s="102">
        <v>2883</v>
      </c>
      <c r="D1717" s="102">
        <f>Table22[[#This Row],[CURRENT]]-Table22[[#This Row],[IDEAL]]</f>
        <v>-3</v>
      </c>
    </row>
    <row r="1718" spans="1:4" x14ac:dyDescent="0.25">
      <c r="A1718" t="s">
        <v>15215</v>
      </c>
      <c r="B1718" s="102">
        <v>4384</v>
      </c>
      <c r="C1718" s="102">
        <v>4384</v>
      </c>
      <c r="D1718" s="102">
        <f>Table22[[#This Row],[CURRENT]]-Table22[[#This Row],[IDEAL]]</f>
        <v>0</v>
      </c>
    </row>
    <row r="1719" spans="1:4" x14ac:dyDescent="0.25">
      <c r="A1719" t="s">
        <v>15134</v>
      </c>
      <c r="B1719" s="102">
        <v>4754</v>
      </c>
      <c r="C1719" s="102">
        <v>4754</v>
      </c>
      <c r="D1719" s="102">
        <f>Table22[[#This Row],[CURRENT]]-Table22[[#This Row],[IDEAL]]</f>
        <v>0</v>
      </c>
    </row>
    <row r="1720" spans="1:4" x14ac:dyDescent="0.25">
      <c r="A1720" t="s">
        <v>15213</v>
      </c>
      <c r="B1720" s="102">
        <v>4384</v>
      </c>
      <c r="C1720" s="102">
        <v>4384</v>
      </c>
      <c r="D1720" s="102">
        <f>Table22[[#This Row],[CURRENT]]-Table22[[#This Row],[IDEAL]]</f>
        <v>0</v>
      </c>
    </row>
    <row r="1721" spans="1:4" x14ac:dyDescent="0.25">
      <c r="A1721" t="s">
        <v>12246</v>
      </c>
      <c r="B1721" s="102">
        <v>3593</v>
      </c>
      <c r="C1721" s="102">
        <v>3593</v>
      </c>
      <c r="D1721" s="102">
        <f>Table22[[#This Row],[CURRENT]]-Table22[[#This Row],[IDEAL]]</f>
        <v>0</v>
      </c>
    </row>
    <row r="1722" spans="1:4" x14ac:dyDescent="0.25">
      <c r="A1722" t="s">
        <v>12258</v>
      </c>
      <c r="B1722" s="102">
        <v>3514</v>
      </c>
      <c r="C1722" s="102">
        <v>3514</v>
      </c>
      <c r="D1722" s="102">
        <f>Table22[[#This Row],[CURRENT]]-Table22[[#This Row],[IDEAL]]</f>
        <v>0</v>
      </c>
    </row>
    <row r="1723" spans="1:4" x14ac:dyDescent="0.25">
      <c r="A1723" t="s">
        <v>12220</v>
      </c>
      <c r="B1723" s="102">
        <v>3946</v>
      </c>
      <c r="C1723" s="102">
        <v>3946</v>
      </c>
      <c r="D1723" s="102">
        <f>Table22[[#This Row],[CURRENT]]-Table22[[#This Row],[IDEAL]]</f>
        <v>0</v>
      </c>
    </row>
    <row r="1724" spans="1:4" x14ac:dyDescent="0.25">
      <c r="A1724" t="s">
        <v>12465</v>
      </c>
      <c r="B1724" s="102">
        <v>3574</v>
      </c>
      <c r="C1724" s="102">
        <v>3574</v>
      </c>
      <c r="D1724" s="102">
        <f>Table22[[#This Row],[CURRENT]]-Table22[[#This Row],[IDEAL]]</f>
        <v>0</v>
      </c>
    </row>
    <row r="1725" spans="1:4" x14ac:dyDescent="0.25">
      <c r="A1725" t="s">
        <v>12230</v>
      </c>
      <c r="B1725" s="102">
        <v>3818</v>
      </c>
      <c r="C1725" s="102">
        <v>3818</v>
      </c>
      <c r="D1725" s="102">
        <f>Table22[[#This Row],[CURRENT]]-Table22[[#This Row],[IDEAL]]</f>
        <v>0</v>
      </c>
    </row>
    <row r="1726" spans="1:4" x14ac:dyDescent="0.25">
      <c r="A1726" t="s">
        <v>12372</v>
      </c>
      <c r="B1726" s="102">
        <v>2329</v>
      </c>
      <c r="C1726" s="102">
        <v>2329</v>
      </c>
      <c r="D1726" s="102">
        <f>Table22[[#This Row],[CURRENT]]-Table22[[#This Row],[IDEAL]]</f>
        <v>0</v>
      </c>
    </row>
    <row r="1727" spans="1:4" x14ac:dyDescent="0.25">
      <c r="A1727" t="s">
        <v>12642</v>
      </c>
      <c r="B1727" s="102">
        <v>1537</v>
      </c>
      <c r="C1727" s="102">
        <v>1537</v>
      </c>
      <c r="D1727" s="102">
        <f>Table22[[#This Row],[CURRENT]]-Table22[[#This Row],[IDEAL]]</f>
        <v>0</v>
      </c>
    </row>
    <row r="1728" spans="1:4" x14ac:dyDescent="0.25">
      <c r="A1728" t="s">
        <v>12515</v>
      </c>
      <c r="B1728" s="102">
        <v>2800</v>
      </c>
      <c r="C1728" s="102">
        <v>2800</v>
      </c>
      <c r="D1728" s="102">
        <f>Table22[[#This Row],[CURRENT]]-Table22[[#This Row],[IDEAL]]</f>
        <v>0</v>
      </c>
    </row>
    <row r="1729" spans="1:4" x14ac:dyDescent="0.25">
      <c r="A1729" t="s">
        <v>12441</v>
      </c>
      <c r="B1729" s="102">
        <v>4103</v>
      </c>
      <c r="C1729" s="102">
        <v>4103</v>
      </c>
      <c r="D1729" s="102">
        <f>Table22[[#This Row],[CURRENT]]-Table22[[#This Row],[IDEAL]]</f>
        <v>0</v>
      </c>
    </row>
    <row r="1730" spans="1:4" x14ac:dyDescent="0.25">
      <c r="A1730" t="s">
        <v>12591</v>
      </c>
      <c r="B1730" s="102">
        <v>3932</v>
      </c>
      <c r="C1730" s="102">
        <v>3932</v>
      </c>
      <c r="D1730" s="102">
        <f>Table22[[#This Row],[CURRENT]]-Table22[[#This Row],[IDEAL]]</f>
        <v>0</v>
      </c>
    </row>
    <row r="1731" spans="1:4" x14ac:dyDescent="0.25">
      <c r="A1731" t="s">
        <v>12464</v>
      </c>
      <c r="B1731" s="102">
        <v>3579</v>
      </c>
      <c r="C1731" s="102">
        <v>3579</v>
      </c>
      <c r="D1731" s="102">
        <f>Table22[[#This Row],[CURRENT]]-Table22[[#This Row],[IDEAL]]</f>
        <v>0</v>
      </c>
    </row>
    <row r="1732" spans="1:4" x14ac:dyDescent="0.25">
      <c r="A1732" t="s">
        <v>11326</v>
      </c>
      <c r="B1732" s="102">
        <v>2129</v>
      </c>
      <c r="C1732" s="102">
        <v>2129</v>
      </c>
      <c r="D1732" s="102">
        <f>Table22[[#This Row],[CURRENT]]-Table22[[#This Row],[IDEAL]]</f>
        <v>0</v>
      </c>
    </row>
    <row r="1733" spans="1:4" x14ac:dyDescent="0.25">
      <c r="A1733" t="s">
        <v>12592</v>
      </c>
      <c r="B1733" s="102">
        <v>3818</v>
      </c>
      <c r="C1733" s="102">
        <v>3818</v>
      </c>
      <c r="D1733" s="102">
        <f>Table22[[#This Row],[CURRENT]]-Table22[[#This Row],[IDEAL]]</f>
        <v>0</v>
      </c>
    </row>
    <row r="1734" spans="1:4" x14ac:dyDescent="0.25">
      <c r="A1734" t="s">
        <v>11367</v>
      </c>
      <c r="B1734" s="102">
        <v>3720</v>
      </c>
      <c r="C1734" s="102">
        <v>3720</v>
      </c>
      <c r="D1734" s="102">
        <f>Table22[[#This Row],[CURRENT]]-Table22[[#This Row],[IDEAL]]</f>
        <v>0</v>
      </c>
    </row>
    <row r="1735" spans="1:4" x14ac:dyDescent="0.25">
      <c r="A1735" t="s">
        <v>11174</v>
      </c>
      <c r="B1735" s="102">
        <v>1645</v>
      </c>
      <c r="C1735" s="102">
        <v>1645</v>
      </c>
      <c r="D1735" s="102">
        <f>Table22[[#This Row],[CURRENT]]-Table22[[#This Row],[IDEAL]]</f>
        <v>0</v>
      </c>
    </row>
    <row r="1736" spans="1:4" x14ac:dyDescent="0.25">
      <c r="A1736" t="s">
        <v>11382</v>
      </c>
      <c r="B1736" s="102">
        <v>3640</v>
      </c>
      <c r="C1736" s="102">
        <v>3640</v>
      </c>
      <c r="D1736" s="102">
        <f>Table22[[#This Row],[CURRENT]]-Table22[[#This Row],[IDEAL]]</f>
        <v>0</v>
      </c>
    </row>
    <row r="1737" spans="1:4" x14ac:dyDescent="0.25">
      <c r="A1737" t="s">
        <v>12457</v>
      </c>
      <c r="B1737" s="102">
        <v>3629</v>
      </c>
      <c r="C1737" s="102">
        <v>3629</v>
      </c>
      <c r="D1737" s="102">
        <f>Table22[[#This Row],[CURRENT]]-Table22[[#This Row],[IDEAL]]</f>
        <v>0</v>
      </c>
    </row>
    <row r="1738" spans="1:4" x14ac:dyDescent="0.25">
      <c r="A1738" t="s">
        <v>12265</v>
      </c>
      <c r="B1738" s="102">
        <v>3450</v>
      </c>
      <c r="C1738" s="102">
        <v>3450</v>
      </c>
      <c r="D1738" s="102">
        <f>Table22[[#This Row],[CURRENT]]-Table22[[#This Row],[IDEAL]]</f>
        <v>0</v>
      </c>
    </row>
    <row r="1739" spans="1:4" x14ac:dyDescent="0.25">
      <c r="A1739" t="s">
        <v>12302</v>
      </c>
      <c r="B1739" s="102">
        <v>2883</v>
      </c>
      <c r="C1739" s="102">
        <v>2883</v>
      </c>
      <c r="D1739" s="102">
        <f>Table22[[#This Row],[CURRENT]]-Table22[[#This Row],[IDEAL]]</f>
        <v>0</v>
      </c>
    </row>
    <row r="1740" spans="1:4" x14ac:dyDescent="0.25">
      <c r="A1740" t="s">
        <v>12492</v>
      </c>
      <c r="B1740" s="102">
        <v>3383</v>
      </c>
      <c r="C1740" s="102">
        <v>3383</v>
      </c>
      <c r="D1740" s="102">
        <f>Table22[[#This Row],[CURRENT]]-Table22[[#This Row],[IDEAL]]</f>
        <v>0</v>
      </c>
    </row>
    <row r="1741" spans="1:4" x14ac:dyDescent="0.25">
      <c r="A1741" t="s">
        <v>12119</v>
      </c>
      <c r="B1741" s="102">
        <v>3999</v>
      </c>
      <c r="C1741" s="102">
        <v>3999</v>
      </c>
      <c r="D1741" s="102">
        <f>Table22[[#This Row],[CURRENT]]-Table22[[#This Row],[IDEAL]]</f>
        <v>0</v>
      </c>
    </row>
    <row r="1742" spans="1:4" x14ac:dyDescent="0.25">
      <c r="A1742" t="s">
        <v>12305</v>
      </c>
      <c r="B1742" s="102">
        <v>2858</v>
      </c>
      <c r="C1742" s="102">
        <v>2858</v>
      </c>
      <c r="D1742" s="102">
        <f>Table22[[#This Row],[CURRENT]]-Table22[[#This Row],[IDEAL]]</f>
        <v>0</v>
      </c>
    </row>
    <row r="1743" spans="1:4" x14ac:dyDescent="0.25">
      <c r="A1743" t="s">
        <v>12614</v>
      </c>
      <c r="B1743" s="102">
        <v>3156</v>
      </c>
      <c r="C1743" s="102">
        <v>3156</v>
      </c>
      <c r="D1743" s="102">
        <f>Table22[[#This Row],[CURRENT]]-Table22[[#This Row],[IDEAL]]</f>
        <v>0</v>
      </c>
    </row>
    <row r="1744" spans="1:4" x14ac:dyDescent="0.25">
      <c r="A1744" t="s">
        <v>11181</v>
      </c>
      <c r="B1744" s="102">
        <v>1792</v>
      </c>
      <c r="C1744" s="102">
        <v>1792</v>
      </c>
      <c r="D1744" s="102">
        <f>Table22[[#This Row],[CURRENT]]-Table22[[#This Row],[IDEAL]]</f>
        <v>0</v>
      </c>
    </row>
    <row r="1745" spans="1:4" x14ac:dyDescent="0.25">
      <c r="A1745" t="s">
        <v>12632</v>
      </c>
      <c r="B1745" s="102">
        <v>1844</v>
      </c>
      <c r="C1745" s="102">
        <v>1844</v>
      </c>
      <c r="D1745" s="102">
        <f>Table22[[#This Row],[CURRENT]]-Table22[[#This Row],[IDEAL]]</f>
        <v>0</v>
      </c>
    </row>
    <row r="1746" spans="1:4" x14ac:dyDescent="0.25">
      <c r="A1746" t="s">
        <v>12411</v>
      </c>
      <c r="B1746" s="102">
        <v>1733</v>
      </c>
      <c r="C1746" s="102">
        <v>1733</v>
      </c>
      <c r="D1746" s="102">
        <f>Table22[[#This Row],[CURRENT]]-Table22[[#This Row],[IDEAL]]</f>
        <v>0</v>
      </c>
    </row>
    <row r="1747" spans="1:4" x14ac:dyDescent="0.25">
      <c r="A1747" t="s">
        <v>12619</v>
      </c>
      <c r="B1747" s="102">
        <v>2965</v>
      </c>
      <c r="C1747" s="102">
        <v>2965</v>
      </c>
      <c r="D1747" s="102">
        <f>Table22[[#This Row],[CURRENT]]-Table22[[#This Row],[IDEAL]]</f>
        <v>0</v>
      </c>
    </row>
    <row r="1748" spans="1:4" x14ac:dyDescent="0.25">
      <c r="A1748" t="s">
        <v>12125</v>
      </c>
      <c r="B1748" s="102">
        <v>3834</v>
      </c>
      <c r="C1748" s="102">
        <v>3834</v>
      </c>
      <c r="D1748" s="102">
        <f>Table22[[#This Row],[CURRENT]]-Table22[[#This Row],[IDEAL]]</f>
        <v>0</v>
      </c>
    </row>
    <row r="1749" spans="1:4" x14ac:dyDescent="0.25">
      <c r="A1749" t="s">
        <v>12615</v>
      </c>
      <c r="B1749" s="102">
        <v>3140</v>
      </c>
      <c r="C1749" s="102">
        <v>3140</v>
      </c>
      <c r="D1749" s="102">
        <f>Table22[[#This Row],[CURRENT]]-Table22[[#This Row],[IDEAL]]</f>
        <v>0</v>
      </c>
    </row>
    <row r="1750" spans="1:4" x14ac:dyDescent="0.25">
      <c r="A1750" t="s">
        <v>11270</v>
      </c>
      <c r="B1750" s="102">
        <v>3739</v>
      </c>
      <c r="C1750" s="102">
        <v>3739</v>
      </c>
      <c r="D1750" s="102">
        <f>Table22[[#This Row],[CURRENT]]-Table22[[#This Row],[IDEAL]]</f>
        <v>0</v>
      </c>
    </row>
    <row r="1751" spans="1:4" x14ac:dyDescent="0.25">
      <c r="A1751" t="s">
        <v>12284</v>
      </c>
      <c r="B1751" s="102">
        <v>3230</v>
      </c>
      <c r="C1751" s="102">
        <v>3230</v>
      </c>
      <c r="D1751" s="102">
        <f>Table22[[#This Row],[CURRENT]]-Table22[[#This Row],[IDEAL]]</f>
        <v>0</v>
      </c>
    </row>
    <row r="1752" spans="1:4" x14ac:dyDescent="0.25">
      <c r="A1752" t="s">
        <v>12227</v>
      </c>
      <c r="B1752" s="102">
        <v>3860</v>
      </c>
      <c r="C1752" s="102">
        <v>3860</v>
      </c>
      <c r="D1752" s="102">
        <f>Table22[[#This Row],[CURRENT]]-Table22[[#This Row],[IDEAL]]</f>
        <v>0</v>
      </c>
    </row>
    <row r="1753" spans="1:4" x14ac:dyDescent="0.25">
      <c r="A1753" t="s">
        <v>12449</v>
      </c>
      <c r="B1753" s="102">
        <v>3846</v>
      </c>
      <c r="C1753" s="102">
        <v>3846</v>
      </c>
      <c r="D1753" s="102">
        <f>Table22[[#This Row],[CURRENT]]-Table22[[#This Row],[IDEAL]]</f>
        <v>0</v>
      </c>
    </row>
    <row r="1754" spans="1:4" x14ac:dyDescent="0.25">
      <c r="A1754" t="s">
        <v>11179</v>
      </c>
      <c r="B1754" s="102">
        <v>2205</v>
      </c>
      <c r="C1754" s="102">
        <v>2205</v>
      </c>
      <c r="D1754" s="102">
        <f>Table22[[#This Row],[CURRENT]]-Table22[[#This Row],[IDEAL]]</f>
        <v>0</v>
      </c>
    </row>
    <row r="1755" spans="1:4" x14ac:dyDescent="0.25">
      <c r="A1755" t="s">
        <v>11365</v>
      </c>
      <c r="B1755" s="102">
        <v>1544</v>
      </c>
      <c r="C1755" s="102">
        <v>1544</v>
      </c>
      <c r="D1755" s="102">
        <f>Table22[[#This Row],[CURRENT]]-Table22[[#This Row],[IDEAL]]</f>
        <v>0</v>
      </c>
    </row>
    <row r="1756" spans="1:4" x14ac:dyDescent="0.25">
      <c r="A1756" t="s">
        <v>12505</v>
      </c>
      <c r="B1756" s="102">
        <v>3051</v>
      </c>
      <c r="C1756" s="102">
        <v>3051</v>
      </c>
      <c r="D1756" s="102">
        <f>Table22[[#This Row],[CURRENT]]-Table22[[#This Row],[IDEAL]]</f>
        <v>0</v>
      </c>
    </row>
    <row r="1757" spans="1:4" x14ac:dyDescent="0.25">
      <c r="A1757" t="s">
        <v>12217</v>
      </c>
      <c r="B1757" s="102">
        <v>3983</v>
      </c>
      <c r="C1757" s="102">
        <v>3983</v>
      </c>
      <c r="D1757" s="102">
        <f>Table22[[#This Row],[CURRENT]]-Table22[[#This Row],[IDEAL]]</f>
        <v>0</v>
      </c>
    </row>
    <row r="1758" spans="1:4" x14ac:dyDescent="0.25">
      <c r="A1758" t="s">
        <v>11282</v>
      </c>
      <c r="B1758" s="102">
        <v>722</v>
      </c>
      <c r="C1758" s="102">
        <v>722</v>
      </c>
      <c r="D1758" s="102">
        <f>Table22[[#This Row],[CURRENT]]-Table22[[#This Row],[IDEAL]]</f>
        <v>0</v>
      </c>
    </row>
    <row r="1759" spans="1:4" x14ac:dyDescent="0.25">
      <c r="A1759" t="s">
        <v>12242</v>
      </c>
      <c r="B1759" s="102">
        <v>3635</v>
      </c>
      <c r="C1759" s="102">
        <v>3635</v>
      </c>
      <c r="D1759" s="102">
        <f>Table22[[#This Row],[CURRENT]]-Table22[[#This Row],[IDEAL]]</f>
        <v>0</v>
      </c>
    </row>
    <row r="1760" spans="1:4" x14ac:dyDescent="0.25">
      <c r="A1760" t="s">
        <v>12469</v>
      </c>
      <c r="B1760" s="102">
        <v>3543</v>
      </c>
      <c r="C1760" s="102">
        <v>3543</v>
      </c>
      <c r="D1760" s="102">
        <f>Table22[[#This Row],[CURRENT]]-Table22[[#This Row],[IDEAL]]</f>
        <v>0</v>
      </c>
    </row>
    <row r="1761" spans="1:4" x14ac:dyDescent="0.25">
      <c r="A1761" t="s">
        <v>11175</v>
      </c>
      <c r="B1761" s="102">
        <v>1130</v>
      </c>
      <c r="C1761" s="102">
        <v>1130</v>
      </c>
      <c r="D1761" s="102">
        <f>Table22[[#This Row],[CURRENT]]-Table22[[#This Row],[IDEAL]]</f>
        <v>0</v>
      </c>
    </row>
    <row r="1762" spans="1:4" x14ac:dyDescent="0.25">
      <c r="A1762" t="s">
        <v>11278</v>
      </c>
      <c r="B1762" s="102">
        <v>1546</v>
      </c>
      <c r="C1762" s="102">
        <v>1546</v>
      </c>
      <c r="D1762" s="102">
        <f>Table22[[#This Row],[CURRENT]]-Table22[[#This Row],[IDEAL]]</f>
        <v>0</v>
      </c>
    </row>
    <row r="1763" spans="1:4" x14ac:dyDescent="0.25">
      <c r="A1763" t="s">
        <v>12453</v>
      </c>
      <c r="B1763" s="102">
        <v>3795</v>
      </c>
      <c r="C1763" s="102">
        <v>3795</v>
      </c>
      <c r="D1763" s="102">
        <f>Table22[[#This Row],[CURRENT]]-Table22[[#This Row],[IDEAL]]</f>
        <v>0</v>
      </c>
    </row>
    <row r="1764" spans="1:4" x14ac:dyDescent="0.25">
      <c r="A1764" t="s">
        <v>11333</v>
      </c>
      <c r="B1764" s="102">
        <v>1559</v>
      </c>
      <c r="C1764" s="102">
        <v>1559</v>
      </c>
      <c r="D1764" s="102">
        <f>Table22[[#This Row],[CURRENT]]-Table22[[#This Row],[IDEAL]]</f>
        <v>0</v>
      </c>
    </row>
    <row r="1765" spans="1:4" x14ac:dyDescent="0.25">
      <c r="A1765" t="s">
        <v>12120</v>
      </c>
      <c r="B1765" s="102">
        <v>3971</v>
      </c>
      <c r="C1765" s="102">
        <v>3971</v>
      </c>
      <c r="D1765" s="102">
        <f>Table22[[#This Row],[CURRENT]]-Table22[[#This Row],[IDEAL]]</f>
        <v>0</v>
      </c>
    </row>
    <row r="1766" spans="1:4" x14ac:dyDescent="0.25">
      <c r="A1766" t="s">
        <v>12138</v>
      </c>
      <c r="B1766" s="102">
        <v>3652</v>
      </c>
      <c r="C1766" s="102">
        <v>3652</v>
      </c>
      <c r="D1766" s="102">
        <f>Table22[[#This Row],[CURRENT]]-Table22[[#This Row],[IDEAL]]</f>
        <v>0</v>
      </c>
    </row>
    <row r="1767" spans="1:4" x14ac:dyDescent="0.25">
      <c r="A1767" t="s">
        <v>12280</v>
      </c>
      <c r="B1767" s="102">
        <v>3255</v>
      </c>
      <c r="C1767" s="102">
        <v>3255</v>
      </c>
      <c r="D1767" s="102">
        <f>Table22[[#This Row],[CURRENT]]-Table22[[#This Row],[IDEAL]]</f>
        <v>0</v>
      </c>
    </row>
    <row r="1768" spans="1:4" x14ac:dyDescent="0.25">
      <c r="A1768" t="s">
        <v>12620</v>
      </c>
      <c r="B1768" s="102">
        <v>2894</v>
      </c>
      <c r="C1768" s="102">
        <v>2894</v>
      </c>
      <c r="D1768" s="102">
        <f>Table22[[#This Row],[CURRENT]]-Table22[[#This Row],[IDEAL]]</f>
        <v>0</v>
      </c>
    </row>
    <row r="1769" spans="1:4" x14ac:dyDescent="0.25">
      <c r="A1769" t="s">
        <v>11233</v>
      </c>
      <c r="B1769" s="102">
        <v>1001</v>
      </c>
      <c r="C1769" s="102">
        <v>1001</v>
      </c>
      <c r="D1769" s="102">
        <f>Table22[[#This Row],[CURRENT]]-Table22[[#This Row],[IDEAL]]</f>
        <v>0</v>
      </c>
    </row>
    <row r="1770" spans="1:4" x14ac:dyDescent="0.25">
      <c r="A1770" t="s">
        <v>12122</v>
      </c>
      <c r="B1770" s="102">
        <v>3888</v>
      </c>
      <c r="C1770" s="102">
        <v>3888</v>
      </c>
      <c r="D1770" s="102">
        <f>Table22[[#This Row],[CURRENT]]-Table22[[#This Row],[IDEAL]]</f>
        <v>0</v>
      </c>
    </row>
    <row r="1771" spans="1:4" x14ac:dyDescent="0.25">
      <c r="A1771" t="s">
        <v>12275</v>
      </c>
      <c r="B1771" s="102">
        <v>3283</v>
      </c>
      <c r="C1771" s="102">
        <v>3283</v>
      </c>
      <c r="D1771" s="102">
        <f>Table22[[#This Row],[CURRENT]]-Table22[[#This Row],[IDEAL]]</f>
        <v>0</v>
      </c>
    </row>
    <row r="1772" spans="1:4" x14ac:dyDescent="0.25">
      <c r="A1772" t="s">
        <v>11191</v>
      </c>
      <c r="B1772" s="102">
        <v>1143</v>
      </c>
      <c r="C1772" s="102">
        <v>1143</v>
      </c>
      <c r="D1772" s="102">
        <f>Table22[[#This Row],[CURRENT]]-Table22[[#This Row],[IDEAL]]</f>
        <v>0</v>
      </c>
    </row>
    <row r="1773" spans="1:4" x14ac:dyDescent="0.25">
      <c r="A1773" t="s">
        <v>11173</v>
      </c>
      <c r="B1773" s="102">
        <v>1106</v>
      </c>
      <c r="C1773" s="102">
        <v>1106</v>
      </c>
      <c r="D1773" s="102">
        <f>Table22[[#This Row],[CURRENT]]-Table22[[#This Row],[IDEAL]]</f>
        <v>0</v>
      </c>
    </row>
    <row r="1774" spans="1:4" x14ac:dyDescent="0.25">
      <c r="A1774" t="s">
        <v>12488</v>
      </c>
      <c r="B1774" s="102">
        <v>3408</v>
      </c>
      <c r="C1774" s="102">
        <v>3408</v>
      </c>
      <c r="D1774" s="102">
        <f>Table22[[#This Row],[CURRENT]]-Table22[[#This Row],[IDEAL]]</f>
        <v>0</v>
      </c>
    </row>
    <row r="1775" spans="1:4" x14ac:dyDescent="0.25">
      <c r="A1775" t="s">
        <v>12522</v>
      </c>
      <c r="B1775" s="102">
        <v>2216</v>
      </c>
      <c r="C1775" s="102">
        <v>2216</v>
      </c>
      <c r="D1775" s="102">
        <f>Table22[[#This Row],[CURRENT]]-Table22[[#This Row],[IDEAL]]</f>
        <v>0</v>
      </c>
    </row>
    <row r="1776" spans="1:4" x14ac:dyDescent="0.25">
      <c r="A1776" t="s">
        <v>12600</v>
      </c>
      <c r="B1776" s="102">
        <v>3593</v>
      </c>
      <c r="C1776" s="102">
        <v>3593</v>
      </c>
      <c r="D1776" s="102">
        <f>Table22[[#This Row],[CURRENT]]-Table22[[#This Row],[IDEAL]]</f>
        <v>0</v>
      </c>
    </row>
    <row r="1777" spans="1:4" x14ac:dyDescent="0.25">
      <c r="A1777" t="s">
        <v>12641</v>
      </c>
      <c r="B1777" s="102">
        <v>1322</v>
      </c>
      <c r="C1777" s="102">
        <v>1322</v>
      </c>
      <c r="D1777" s="102">
        <f>Table22[[#This Row],[CURRENT]]-Table22[[#This Row],[IDEAL]]</f>
        <v>0</v>
      </c>
    </row>
    <row r="1778" spans="1:4" x14ac:dyDescent="0.25">
      <c r="A1778" t="s">
        <v>12573</v>
      </c>
      <c r="B1778" s="102">
        <v>1218</v>
      </c>
      <c r="C1778" s="102">
        <v>1218</v>
      </c>
      <c r="D1778" s="102">
        <f>Table22[[#This Row],[CURRENT]]-Table22[[#This Row],[IDEAL]]</f>
        <v>0</v>
      </c>
    </row>
    <row r="1779" spans="1:4" x14ac:dyDescent="0.25">
      <c r="A1779" t="s">
        <v>11261</v>
      </c>
      <c r="B1779" s="102">
        <v>1665</v>
      </c>
      <c r="C1779" s="102">
        <v>1665</v>
      </c>
      <c r="D1779" s="102">
        <f>Table22[[#This Row],[CURRENT]]-Table22[[#This Row],[IDEAL]]</f>
        <v>0</v>
      </c>
    </row>
    <row r="1780" spans="1:4" x14ac:dyDescent="0.25">
      <c r="A1780" t="s">
        <v>12501</v>
      </c>
      <c r="B1780" s="102">
        <v>3136</v>
      </c>
      <c r="C1780" s="102">
        <v>3136</v>
      </c>
      <c r="D1780" s="102">
        <f>Table22[[#This Row],[CURRENT]]-Table22[[#This Row],[IDEAL]]</f>
        <v>0</v>
      </c>
    </row>
    <row r="1781" spans="1:4" x14ac:dyDescent="0.25">
      <c r="A1781" t="s">
        <v>11257</v>
      </c>
      <c r="B1781" s="102">
        <v>1165</v>
      </c>
      <c r="C1781" s="102">
        <v>1165</v>
      </c>
      <c r="D1781" s="102">
        <f>Table22[[#This Row],[CURRENT]]-Table22[[#This Row],[IDEAL]]</f>
        <v>0</v>
      </c>
    </row>
    <row r="1782" spans="1:4" x14ac:dyDescent="0.25">
      <c r="A1782" t="s">
        <v>12207</v>
      </c>
      <c r="B1782" s="102">
        <v>4284</v>
      </c>
      <c r="C1782" s="102">
        <v>4284</v>
      </c>
      <c r="D1782" s="102">
        <f>Table22[[#This Row],[CURRENT]]-Table22[[#This Row],[IDEAL]]</f>
        <v>0</v>
      </c>
    </row>
    <row r="1783" spans="1:4" x14ac:dyDescent="0.25">
      <c r="A1783" t="s">
        <v>11178</v>
      </c>
      <c r="B1783" s="102">
        <v>4035</v>
      </c>
      <c r="C1783" s="102">
        <v>4035</v>
      </c>
      <c r="D1783" s="102">
        <f>Table22[[#This Row],[CURRENT]]-Table22[[#This Row],[IDEAL]]</f>
        <v>0</v>
      </c>
    </row>
    <row r="1784" spans="1:4" x14ac:dyDescent="0.25">
      <c r="A1784" t="s">
        <v>11189</v>
      </c>
      <c r="B1784" s="102">
        <v>1119</v>
      </c>
      <c r="C1784" s="102">
        <v>1119</v>
      </c>
      <c r="D1784" s="102">
        <f>Table22[[#This Row],[CURRENT]]-Table22[[#This Row],[IDEAL]]</f>
        <v>0</v>
      </c>
    </row>
    <row r="1785" spans="1:4" x14ac:dyDescent="0.25">
      <c r="A1785" t="s">
        <v>12608</v>
      </c>
      <c r="B1785" s="102">
        <v>3475</v>
      </c>
      <c r="C1785" s="102">
        <v>3475</v>
      </c>
      <c r="D1785" s="102">
        <f>Table22[[#This Row],[CURRENT]]-Table22[[#This Row],[IDEAL]]</f>
        <v>0</v>
      </c>
    </row>
    <row r="1786" spans="1:4" x14ac:dyDescent="0.25">
      <c r="A1786" t="s">
        <v>12616</v>
      </c>
      <c r="B1786" s="102">
        <v>3049</v>
      </c>
      <c r="C1786" s="102">
        <v>3049</v>
      </c>
      <c r="D1786" s="102">
        <f>Table22[[#This Row],[CURRENT]]-Table22[[#This Row],[IDEAL]]</f>
        <v>0</v>
      </c>
    </row>
    <row r="1787" spans="1:4" x14ac:dyDescent="0.25">
      <c r="A1787" t="s">
        <v>12633</v>
      </c>
      <c r="B1787" s="102">
        <v>1880</v>
      </c>
      <c r="C1787" s="102">
        <v>1880</v>
      </c>
      <c r="D1787" s="102">
        <f>Table22[[#This Row],[CURRENT]]-Table22[[#This Row],[IDEAL]]</f>
        <v>0</v>
      </c>
    </row>
    <row r="1788" spans="1:4" x14ac:dyDescent="0.25">
      <c r="A1788" t="s">
        <v>11231</v>
      </c>
      <c r="B1788" s="102">
        <v>1196</v>
      </c>
      <c r="C1788" s="102">
        <v>1196</v>
      </c>
      <c r="D1788" s="102">
        <f>Table22[[#This Row],[CURRENT]]-Table22[[#This Row],[IDEAL]]</f>
        <v>0</v>
      </c>
    </row>
    <row r="1789" spans="1:4" x14ac:dyDescent="0.25">
      <c r="A1789" t="s">
        <v>11185</v>
      </c>
      <c r="B1789" s="102">
        <v>657</v>
      </c>
      <c r="C1789" s="102">
        <v>657</v>
      </c>
      <c r="D1789" s="102">
        <f>Table22[[#This Row],[CURRENT]]-Table22[[#This Row],[IDEAL]]</f>
        <v>0</v>
      </c>
    </row>
    <row r="1790" spans="1:4" x14ac:dyDescent="0.25">
      <c r="A1790" t="s">
        <v>12244</v>
      </c>
      <c r="B1790" s="102">
        <v>3626</v>
      </c>
      <c r="C1790" s="102">
        <v>3626</v>
      </c>
      <c r="D1790" s="102">
        <f>Table22[[#This Row],[CURRENT]]-Table22[[#This Row],[IDEAL]]</f>
        <v>0</v>
      </c>
    </row>
    <row r="1791" spans="1:4" x14ac:dyDescent="0.25">
      <c r="A1791" t="s">
        <v>11296</v>
      </c>
      <c r="B1791" s="102">
        <v>1108</v>
      </c>
      <c r="C1791" s="102">
        <v>1108</v>
      </c>
      <c r="D1791" s="102">
        <f>Table22[[#This Row],[CURRENT]]-Table22[[#This Row],[IDEAL]]</f>
        <v>0</v>
      </c>
    </row>
    <row r="1792" spans="1:4" x14ac:dyDescent="0.25">
      <c r="A1792" t="s">
        <v>12653</v>
      </c>
      <c r="B1792" s="102">
        <v>3325</v>
      </c>
      <c r="C1792" s="102">
        <v>3325</v>
      </c>
      <c r="D1792" s="102">
        <f>Table22[[#This Row],[CURRENT]]-Table22[[#This Row],[IDEAL]]</f>
        <v>0</v>
      </c>
    </row>
    <row r="1793" spans="1:4" x14ac:dyDescent="0.25">
      <c r="A1793" t="s">
        <v>12202</v>
      </c>
      <c r="B1793" s="102">
        <v>820</v>
      </c>
      <c r="C1793" s="102">
        <v>820</v>
      </c>
      <c r="D1793" s="102">
        <f>Table22[[#This Row],[CURRENT]]-Table22[[#This Row],[IDEAL]]</f>
        <v>0</v>
      </c>
    </row>
    <row r="1794" spans="1:4" x14ac:dyDescent="0.25">
      <c r="A1794" t="s">
        <v>11360</v>
      </c>
      <c r="B1794" s="102">
        <v>1428</v>
      </c>
      <c r="C1794" s="102">
        <v>1428</v>
      </c>
      <c r="D1794" s="102">
        <f>Table22[[#This Row],[CURRENT]]-Table22[[#This Row],[IDEAL]]</f>
        <v>0</v>
      </c>
    </row>
    <row r="1795" spans="1:4" x14ac:dyDescent="0.25">
      <c r="A1795" t="s">
        <v>12334</v>
      </c>
      <c r="B1795" s="102">
        <v>2728</v>
      </c>
      <c r="C1795" s="102">
        <v>2728</v>
      </c>
      <c r="D1795" s="102">
        <f>Table22[[#This Row],[CURRENT]]-Table22[[#This Row],[IDEAL]]</f>
        <v>0</v>
      </c>
    </row>
    <row r="1796" spans="1:4" x14ac:dyDescent="0.25">
      <c r="A1796" t="s">
        <v>12477</v>
      </c>
      <c r="B1796" s="102">
        <v>3508</v>
      </c>
      <c r="C1796" s="102">
        <v>3508</v>
      </c>
      <c r="D1796" s="102">
        <f>Table22[[#This Row],[CURRENT]]-Table22[[#This Row],[IDEAL]]</f>
        <v>0</v>
      </c>
    </row>
    <row r="1797" spans="1:4" x14ac:dyDescent="0.25">
      <c r="A1797" t="s">
        <v>12144</v>
      </c>
      <c r="B1797" s="102">
        <v>3535</v>
      </c>
      <c r="C1797" s="102">
        <v>3535</v>
      </c>
      <c r="D1797" s="102">
        <f>Table22[[#This Row],[CURRENT]]-Table22[[#This Row],[IDEAL]]</f>
        <v>0</v>
      </c>
    </row>
    <row r="1798" spans="1:4" x14ac:dyDescent="0.25">
      <c r="A1798" t="s">
        <v>12260</v>
      </c>
      <c r="B1798" s="102">
        <v>3475</v>
      </c>
      <c r="C1798" s="102">
        <v>3475</v>
      </c>
      <c r="D1798" s="102">
        <f>Table22[[#This Row],[CURRENT]]-Table22[[#This Row],[IDEAL]]</f>
        <v>0</v>
      </c>
    </row>
    <row r="1799" spans="1:4" x14ac:dyDescent="0.25">
      <c r="A1799" t="s">
        <v>11264</v>
      </c>
      <c r="B1799" s="102">
        <v>1745</v>
      </c>
      <c r="C1799" s="102">
        <v>1745</v>
      </c>
      <c r="D1799" s="102">
        <f>Table22[[#This Row],[CURRENT]]-Table22[[#This Row],[IDEAL]]</f>
        <v>0</v>
      </c>
    </row>
    <row r="1800" spans="1:4" x14ac:dyDescent="0.25">
      <c r="A1800" t="s">
        <v>12508</v>
      </c>
      <c r="B1800" s="102">
        <v>3017</v>
      </c>
      <c r="C1800" s="102">
        <v>3017</v>
      </c>
      <c r="D1800" s="102">
        <f>Table22[[#This Row],[CURRENT]]-Table22[[#This Row],[IDEAL]]</f>
        <v>0</v>
      </c>
    </row>
    <row r="1801" spans="1:4" x14ac:dyDescent="0.25">
      <c r="A1801" t="s">
        <v>11242</v>
      </c>
      <c r="B1801" s="102">
        <v>2991</v>
      </c>
      <c r="C1801" s="102">
        <v>2991</v>
      </c>
      <c r="D1801" s="102">
        <f>Table22[[#This Row],[CURRENT]]-Table22[[#This Row],[IDEAL]]</f>
        <v>0</v>
      </c>
    </row>
    <row r="1802" spans="1:4" x14ac:dyDescent="0.25">
      <c r="A1802" t="s">
        <v>11299</v>
      </c>
      <c r="B1802" s="102">
        <v>841</v>
      </c>
      <c r="C1802" s="102">
        <v>841</v>
      </c>
      <c r="D1802" s="102">
        <f>Table22[[#This Row],[CURRENT]]-Table22[[#This Row],[IDEAL]]</f>
        <v>0</v>
      </c>
    </row>
    <row r="1803" spans="1:4" x14ac:dyDescent="0.25">
      <c r="A1803" t="s">
        <v>12295</v>
      </c>
      <c r="B1803" s="102">
        <v>3001</v>
      </c>
      <c r="C1803" s="102">
        <v>3001</v>
      </c>
      <c r="D1803" s="102">
        <f>Table22[[#This Row],[CURRENT]]-Table22[[#This Row],[IDEAL]]</f>
        <v>0</v>
      </c>
    </row>
    <row r="1804" spans="1:4" x14ac:dyDescent="0.25">
      <c r="A1804" t="s">
        <v>12484</v>
      </c>
      <c r="B1804" s="102">
        <v>3449</v>
      </c>
      <c r="C1804" s="102">
        <v>3449</v>
      </c>
      <c r="D1804" s="102">
        <f>Table22[[#This Row],[CURRENT]]-Table22[[#This Row],[IDEAL]]</f>
        <v>0</v>
      </c>
    </row>
    <row r="1805" spans="1:4" x14ac:dyDescent="0.25">
      <c r="A1805" t="s">
        <v>12234</v>
      </c>
      <c r="B1805" s="102">
        <v>3753</v>
      </c>
      <c r="C1805" s="102">
        <v>3753</v>
      </c>
      <c r="D1805" s="102">
        <f>Table22[[#This Row],[CURRENT]]-Table22[[#This Row],[IDEAL]]</f>
        <v>0</v>
      </c>
    </row>
    <row r="1806" spans="1:4" x14ac:dyDescent="0.25">
      <c r="A1806" t="s">
        <v>12599</v>
      </c>
      <c r="B1806" s="102">
        <v>3600</v>
      </c>
      <c r="C1806" s="102">
        <v>3600</v>
      </c>
      <c r="D1806" s="102">
        <f>Table22[[#This Row],[CURRENT]]-Table22[[#This Row],[IDEAL]]</f>
        <v>0</v>
      </c>
    </row>
    <row r="1807" spans="1:4" x14ac:dyDescent="0.25">
      <c r="A1807" t="s">
        <v>11305</v>
      </c>
      <c r="B1807" s="102">
        <v>1836</v>
      </c>
      <c r="C1807" s="102">
        <v>1836</v>
      </c>
      <c r="D1807" s="102">
        <f>Table22[[#This Row],[CURRENT]]-Table22[[#This Row],[IDEAL]]</f>
        <v>0</v>
      </c>
    </row>
    <row r="1808" spans="1:4" x14ac:dyDescent="0.25">
      <c r="A1808" t="s">
        <v>12130</v>
      </c>
      <c r="B1808" s="102">
        <v>3739</v>
      </c>
      <c r="C1808" s="102">
        <v>3739</v>
      </c>
      <c r="D1808" s="102">
        <f>Table22[[#This Row],[CURRENT]]-Table22[[#This Row],[IDEAL]]</f>
        <v>0</v>
      </c>
    </row>
    <row r="1809" spans="1:4" x14ac:dyDescent="0.25">
      <c r="A1809" t="s">
        <v>12140</v>
      </c>
      <c r="B1809" s="102">
        <v>3623</v>
      </c>
      <c r="C1809" s="102">
        <v>3623</v>
      </c>
      <c r="D1809" s="102">
        <f>Table22[[#This Row],[CURRENT]]-Table22[[#This Row],[IDEAL]]</f>
        <v>0</v>
      </c>
    </row>
    <row r="1810" spans="1:4" x14ac:dyDescent="0.25">
      <c r="A1810" t="s">
        <v>12455</v>
      </c>
      <c r="B1810" s="102">
        <v>3764</v>
      </c>
      <c r="C1810" s="102">
        <v>3764</v>
      </c>
      <c r="D1810" s="102">
        <f>Table22[[#This Row],[CURRENT]]-Table22[[#This Row],[IDEAL]]</f>
        <v>0</v>
      </c>
    </row>
    <row r="1811" spans="1:4" x14ac:dyDescent="0.25">
      <c r="A1811" t="s">
        <v>12121</v>
      </c>
      <c r="B1811" s="102">
        <v>3949</v>
      </c>
      <c r="C1811" s="102">
        <v>3949</v>
      </c>
      <c r="D1811" s="102">
        <f>Table22[[#This Row],[CURRENT]]-Table22[[#This Row],[IDEAL]]</f>
        <v>0</v>
      </c>
    </row>
    <row r="1812" spans="1:4" x14ac:dyDescent="0.25">
      <c r="A1812" t="s">
        <v>12510</v>
      </c>
      <c r="B1812" s="102">
        <v>2935</v>
      </c>
      <c r="C1812" s="102">
        <v>2935</v>
      </c>
      <c r="D1812" s="102">
        <f>Table22[[#This Row],[CURRENT]]-Table22[[#This Row],[IDEAL]]</f>
        <v>0</v>
      </c>
    </row>
    <row r="1813" spans="1:4" x14ac:dyDescent="0.25">
      <c r="A1813" t="s">
        <v>12655</v>
      </c>
      <c r="B1813" s="102">
        <v>2786</v>
      </c>
      <c r="C1813" s="102">
        <v>2786</v>
      </c>
      <c r="D1813" s="102">
        <f>Table22[[#This Row],[CURRENT]]-Table22[[#This Row],[IDEAL]]</f>
        <v>0</v>
      </c>
    </row>
    <row r="1814" spans="1:4" x14ac:dyDescent="0.25">
      <c r="A1814" t="s">
        <v>12520</v>
      </c>
      <c r="B1814" s="102">
        <v>2652</v>
      </c>
      <c r="C1814" s="102">
        <v>2652</v>
      </c>
      <c r="D1814" s="102">
        <f>Table22[[#This Row],[CURRENT]]-Table22[[#This Row],[IDEAL]]</f>
        <v>0</v>
      </c>
    </row>
    <row r="1815" spans="1:4" x14ac:dyDescent="0.25">
      <c r="A1815" t="s">
        <v>12310</v>
      </c>
      <c r="B1815" s="102">
        <v>2814</v>
      </c>
      <c r="C1815" s="102">
        <v>2814</v>
      </c>
      <c r="D1815" s="102">
        <f>Table22[[#This Row],[CURRENT]]-Table22[[#This Row],[IDEAL]]</f>
        <v>0</v>
      </c>
    </row>
    <row r="1816" spans="1:4" x14ac:dyDescent="0.25">
      <c r="A1816" t="s">
        <v>11293</v>
      </c>
      <c r="B1816" s="102">
        <v>3476</v>
      </c>
      <c r="C1816" s="102">
        <v>3476</v>
      </c>
      <c r="D1816" s="102">
        <f>Table22[[#This Row],[CURRENT]]-Table22[[#This Row],[IDEAL]]</f>
        <v>0</v>
      </c>
    </row>
    <row r="1817" spans="1:4" x14ac:dyDescent="0.25">
      <c r="A1817" t="s">
        <v>12219</v>
      </c>
      <c r="B1817" s="102">
        <v>3958</v>
      </c>
      <c r="C1817" s="102">
        <v>3958</v>
      </c>
      <c r="D1817" s="102">
        <f>Table22[[#This Row],[CURRENT]]-Table22[[#This Row],[IDEAL]]</f>
        <v>0</v>
      </c>
    </row>
    <row r="1818" spans="1:4" x14ac:dyDescent="0.25">
      <c r="A1818" t="s">
        <v>12281</v>
      </c>
      <c r="B1818" s="102">
        <v>3248</v>
      </c>
      <c r="C1818" s="102">
        <v>3248</v>
      </c>
      <c r="D1818" s="102">
        <f>Table22[[#This Row],[CURRENT]]-Table22[[#This Row],[IDEAL]]</f>
        <v>0</v>
      </c>
    </row>
    <row r="1819" spans="1:4" x14ac:dyDescent="0.25">
      <c r="A1819" t="s">
        <v>12298</v>
      </c>
      <c r="B1819" s="102">
        <v>2927</v>
      </c>
      <c r="C1819" s="102">
        <v>2927</v>
      </c>
      <c r="D1819" s="102">
        <f>Table22[[#This Row],[CURRENT]]-Table22[[#This Row],[IDEAL]]</f>
        <v>0</v>
      </c>
    </row>
    <row r="1820" spans="1:4" x14ac:dyDescent="0.25">
      <c r="A1820" t="s">
        <v>12255</v>
      </c>
      <c r="B1820" s="102">
        <v>3527</v>
      </c>
      <c r="C1820" s="102">
        <v>3527</v>
      </c>
      <c r="D1820" s="102">
        <f>Table22[[#This Row],[CURRENT]]-Table22[[#This Row],[IDEAL]]</f>
        <v>0</v>
      </c>
    </row>
    <row r="1821" spans="1:4" x14ac:dyDescent="0.25">
      <c r="A1821" t="s">
        <v>12209</v>
      </c>
      <c r="B1821" s="102">
        <v>4269</v>
      </c>
      <c r="C1821" s="102">
        <v>4269</v>
      </c>
      <c r="D1821" s="102">
        <f>Table22[[#This Row],[CURRENT]]-Table22[[#This Row],[IDEAL]]</f>
        <v>0</v>
      </c>
    </row>
    <row r="1822" spans="1:4" x14ac:dyDescent="0.25">
      <c r="A1822" t="s">
        <v>12652</v>
      </c>
      <c r="B1822" s="102">
        <v>3564</v>
      </c>
      <c r="C1822" s="102">
        <v>3564</v>
      </c>
      <c r="D1822" s="102">
        <f>Table22[[#This Row],[CURRENT]]-Table22[[#This Row],[IDEAL]]</f>
        <v>0</v>
      </c>
    </row>
    <row r="1823" spans="1:4" x14ac:dyDescent="0.25">
      <c r="A1823" t="s">
        <v>11346</v>
      </c>
      <c r="B1823" s="102">
        <v>1152</v>
      </c>
      <c r="C1823" s="102">
        <v>1152</v>
      </c>
      <c r="D1823" s="102">
        <f>Table22[[#This Row],[CURRENT]]-Table22[[#This Row],[IDEAL]]</f>
        <v>0</v>
      </c>
    </row>
    <row r="1824" spans="1:4" x14ac:dyDescent="0.25">
      <c r="A1824" t="s">
        <v>12135</v>
      </c>
      <c r="B1824" s="102">
        <v>3710</v>
      </c>
      <c r="C1824" s="102">
        <v>3710</v>
      </c>
      <c r="D1824" s="102">
        <f>Table22[[#This Row],[CURRENT]]-Table22[[#This Row],[IDEAL]]</f>
        <v>0</v>
      </c>
    </row>
    <row r="1825" spans="1:4" x14ac:dyDescent="0.25">
      <c r="A1825" t="s">
        <v>12466</v>
      </c>
      <c r="B1825" s="102">
        <v>3563</v>
      </c>
      <c r="C1825" s="102">
        <v>3563</v>
      </c>
      <c r="D1825" s="102">
        <f>Table22[[#This Row],[CURRENT]]-Table22[[#This Row],[IDEAL]]</f>
        <v>0</v>
      </c>
    </row>
    <row r="1826" spans="1:4" x14ac:dyDescent="0.25">
      <c r="A1826" t="s">
        <v>12448</v>
      </c>
      <c r="B1826" s="102">
        <v>3910</v>
      </c>
      <c r="C1826" s="102">
        <v>3910</v>
      </c>
      <c r="D1826" s="102">
        <f>Table22[[#This Row],[CURRENT]]-Table22[[#This Row],[IDEAL]]</f>
        <v>0</v>
      </c>
    </row>
    <row r="1827" spans="1:4" x14ac:dyDescent="0.25">
      <c r="A1827" t="s">
        <v>12270</v>
      </c>
      <c r="B1827" s="102">
        <v>3406</v>
      </c>
      <c r="C1827" s="102">
        <v>3406</v>
      </c>
      <c r="D1827" s="102">
        <f>Table22[[#This Row],[CURRENT]]-Table22[[#This Row],[IDEAL]]</f>
        <v>0</v>
      </c>
    </row>
    <row r="1828" spans="1:4" x14ac:dyDescent="0.25">
      <c r="A1828" t="s">
        <v>12597</v>
      </c>
      <c r="B1828" s="102">
        <v>3626</v>
      </c>
      <c r="C1828" s="102">
        <v>3626</v>
      </c>
      <c r="D1828" s="102">
        <f>Table22[[#This Row],[CURRENT]]-Table22[[#This Row],[IDEAL]]</f>
        <v>0</v>
      </c>
    </row>
    <row r="1829" spans="1:4" x14ac:dyDescent="0.25">
      <c r="A1829" t="s">
        <v>12524</v>
      </c>
      <c r="B1829" s="102">
        <v>2522</v>
      </c>
      <c r="C1829" s="102">
        <v>2522</v>
      </c>
      <c r="D1829" s="102">
        <f>Table22[[#This Row],[CURRENT]]-Table22[[#This Row],[IDEAL]]</f>
        <v>0</v>
      </c>
    </row>
    <row r="1830" spans="1:4" x14ac:dyDescent="0.25">
      <c r="A1830" t="s">
        <v>12317</v>
      </c>
      <c r="B1830" s="102">
        <v>2788</v>
      </c>
      <c r="C1830" s="102">
        <v>2788</v>
      </c>
      <c r="D1830" s="102">
        <f>Table22[[#This Row],[CURRENT]]-Table22[[#This Row],[IDEAL]]</f>
        <v>0</v>
      </c>
    </row>
    <row r="1831" spans="1:4" x14ac:dyDescent="0.25">
      <c r="A1831" t="s">
        <v>11177</v>
      </c>
      <c r="B1831" s="102">
        <v>1964</v>
      </c>
      <c r="C1831" s="102">
        <v>1964</v>
      </c>
      <c r="D1831" s="102">
        <f>Table22[[#This Row],[CURRENT]]-Table22[[#This Row],[IDEAL]]</f>
        <v>0</v>
      </c>
    </row>
    <row r="1832" spans="1:4" x14ac:dyDescent="0.25">
      <c r="A1832" t="s">
        <v>11275</v>
      </c>
      <c r="B1832" s="102">
        <v>887</v>
      </c>
      <c r="C1832" s="102">
        <v>887</v>
      </c>
      <c r="D1832" s="102">
        <f>Table22[[#This Row],[CURRENT]]-Table22[[#This Row],[IDEAL]]</f>
        <v>0</v>
      </c>
    </row>
    <row r="1833" spans="1:4" x14ac:dyDescent="0.25">
      <c r="A1833" t="s">
        <v>11184</v>
      </c>
      <c r="B1833" s="102">
        <v>918</v>
      </c>
      <c r="C1833" s="102">
        <v>918</v>
      </c>
      <c r="D1833" s="102">
        <f>Table22[[#This Row],[CURRENT]]-Table22[[#This Row],[IDEAL]]</f>
        <v>0</v>
      </c>
    </row>
    <row r="1834" spans="1:4" x14ac:dyDescent="0.25">
      <c r="A1834" t="s">
        <v>12550</v>
      </c>
      <c r="B1834" s="102">
        <v>1747</v>
      </c>
      <c r="C1834" s="102">
        <v>1747</v>
      </c>
      <c r="D1834" s="102">
        <f>Table22[[#This Row],[CURRENT]]-Table22[[#This Row],[IDEAL]]</f>
        <v>0</v>
      </c>
    </row>
    <row r="1835" spans="1:4" x14ac:dyDescent="0.25">
      <c r="A1835" t="s">
        <v>11262</v>
      </c>
      <c r="B1835" s="102">
        <v>1248</v>
      </c>
      <c r="C1835" s="102">
        <v>1248</v>
      </c>
      <c r="D1835" s="102">
        <f>Table22[[#This Row],[CURRENT]]-Table22[[#This Row],[IDEAL]]</f>
        <v>0</v>
      </c>
    </row>
    <row r="1836" spans="1:4" x14ac:dyDescent="0.25">
      <c r="A1836" t="s">
        <v>11234</v>
      </c>
      <c r="B1836" s="102">
        <v>974</v>
      </c>
      <c r="C1836" s="102">
        <v>974</v>
      </c>
      <c r="D1836" s="102">
        <f>Table22[[#This Row],[CURRENT]]-Table22[[#This Row],[IDEAL]]</f>
        <v>0</v>
      </c>
    </row>
    <row r="1837" spans="1:4" x14ac:dyDescent="0.25">
      <c r="A1837" t="s">
        <v>11371</v>
      </c>
      <c r="B1837" s="102">
        <v>600</v>
      </c>
      <c r="C1837" s="102">
        <v>600</v>
      </c>
      <c r="D1837" s="102">
        <f>Table22[[#This Row],[CURRENT]]-Table22[[#This Row],[IDEAL]]</f>
        <v>0</v>
      </c>
    </row>
    <row r="1838" spans="1:4" x14ac:dyDescent="0.25">
      <c r="A1838" t="s">
        <v>12240</v>
      </c>
      <c r="B1838" s="102">
        <v>3641</v>
      </c>
      <c r="C1838" s="102">
        <v>3641</v>
      </c>
      <c r="D1838" s="102">
        <f>Table22[[#This Row],[CURRENT]]-Table22[[#This Row],[IDEAL]]</f>
        <v>0</v>
      </c>
    </row>
    <row r="1839" spans="1:4" x14ac:dyDescent="0.25">
      <c r="A1839" t="s">
        <v>11284</v>
      </c>
      <c r="B1839" s="102">
        <v>1636</v>
      </c>
      <c r="C1839" s="102">
        <v>1636</v>
      </c>
      <c r="D1839" s="102">
        <f>Table22[[#This Row],[CURRENT]]-Table22[[#This Row],[IDEAL]]</f>
        <v>0</v>
      </c>
    </row>
    <row r="1840" spans="1:4" x14ac:dyDescent="0.25">
      <c r="A1840" t="s">
        <v>11269</v>
      </c>
      <c r="B1840" s="102">
        <v>3472</v>
      </c>
      <c r="C1840" s="102">
        <v>3472</v>
      </c>
      <c r="D1840" s="102">
        <f>Table22[[#This Row],[CURRENT]]-Table22[[#This Row],[IDEAL]]</f>
        <v>0</v>
      </c>
    </row>
    <row r="1841" spans="1:4" x14ac:dyDescent="0.25">
      <c r="A1841" t="s">
        <v>12123</v>
      </c>
      <c r="B1841" s="102">
        <v>3881</v>
      </c>
      <c r="C1841" s="102">
        <v>3881</v>
      </c>
      <c r="D1841" s="102">
        <f>Table22[[#This Row],[CURRENT]]-Table22[[#This Row],[IDEAL]]</f>
        <v>0</v>
      </c>
    </row>
    <row r="1842" spans="1:4" x14ac:dyDescent="0.25">
      <c r="A1842" t="s">
        <v>11292</v>
      </c>
      <c r="B1842" s="102">
        <v>1713</v>
      </c>
      <c r="C1842" s="102">
        <v>1713</v>
      </c>
      <c r="D1842" s="102">
        <f>Table22[[#This Row],[CURRENT]]-Table22[[#This Row],[IDEAL]]</f>
        <v>0</v>
      </c>
    </row>
    <row r="1843" spans="1:4" x14ac:dyDescent="0.25">
      <c r="A1843" t="s">
        <v>12622</v>
      </c>
      <c r="B1843" s="102">
        <v>2801</v>
      </c>
      <c r="C1843" s="102">
        <v>2801</v>
      </c>
      <c r="D1843" s="102">
        <f>Table22[[#This Row],[CURRENT]]-Table22[[#This Row],[IDEAL]]</f>
        <v>0</v>
      </c>
    </row>
    <row r="1844" spans="1:4" x14ac:dyDescent="0.25">
      <c r="A1844" t="s">
        <v>12133</v>
      </c>
      <c r="B1844" s="102">
        <v>3723</v>
      </c>
      <c r="C1844" s="102">
        <v>3723</v>
      </c>
      <c r="D1844" s="102">
        <f>Table22[[#This Row],[CURRENT]]-Table22[[#This Row],[IDEAL]]</f>
        <v>0</v>
      </c>
    </row>
    <row r="1845" spans="1:4" x14ac:dyDescent="0.25">
      <c r="A1845" t="s">
        <v>12254</v>
      </c>
      <c r="B1845" s="102">
        <v>3535</v>
      </c>
      <c r="C1845" s="102">
        <v>3535</v>
      </c>
      <c r="D1845" s="102">
        <f>Table22[[#This Row],[CURRENT]]-Table22[[#This Row],[IDEAL]]</f>
        <v>0</v>
      </c>
    </row>
    <row r="1846" spans="1:4" x14ac:dyDescent="0.25">
      <c r="A1846" t="s">
        <v>12454</v>
      </c>
      <c r="B1846" s="102">
        <v>3765</v>
      </c>
      <c r="C1846" s="102">
        <v>3765</v>
      </c>
      <c r="D1846" s="102">
        <f>Table22[[#This Row],[CURRENT]]-Table22[[#This Row],[IDEAL]]</f>
        <v>0</v>
      </c>
    </row>
    <row r="1847" spans="1:4" x14ac:dyDescent="0.25">
      <c r="A1847" t="s">
        <v>11255</v>
      </c>
      <c r="B1847" s="102">
        <v>1751</v>
      </c>
      <c r="C1847" s="102">
        <v>1751</v>
      </c>
      <c r="D1847" s="102">
        <f>Table22[[#This Row],[CURRENT]]-Table22[[#This Row],[IDEAL]]</f>
        <v>0</v>
      </c>
    </row>
    <row r="1848" spans="1:4" x14ac:dyDescent="0.25">
      <c r="A1848" t="s">
        <v>12556</v>
      </c>
      <c r="B1848" s="102">
        <v>1652</v>
      </c>
      <c r="C1848" s="102">
        <v>1652</v>
      </c>
      <c r="D1848" s="102">
        <f>Table22[[#This Row],[CURRENT]]-Table22[[#This Row],[IDEAL]]</f>
        <v>0</v>
      </c>
    </row>
    <row r="1849" spans="1:4" x14ac:dyDescent="0.25">
      <c r="A1849" t="s">
        <v>12129</v>
      </c>
      <c r="B1849" s="102">
        <v>3752</v>
      </c>
      <c r="C1849" s="102">
        <v>3752</v>
      </c>
      <c r="D1849" s="102">
        <f>Table22[[#This Row],[CURRENT]]-Table22[[#This Row],[IDEAL]]</f>
        <v>0</v>
      </c>
    </row>
    <row r="1850" spans="1:4" x14ac:dyDescent="0.25">
      <c r="A1850" t="s">
        <v>11187</v>
      </c>
      <c r="B1850" s="102">
        <v>1604</v>
      </c>
      <c r="C1850" s="102">
        <v>1604</v>
      </c>
      <c r="D1850" s="102">
        <f>Table22[[#This Row],[CURRENT]]-Table22[[#This Row],[IDEAL]]</f>
        <v>0</v>
      </c>
    </row>
    <row r="1851" spans="1:4" x14ac:dyDescent="0.25">
      <c r="A1851" t="s">
        <v>11321</v>
      </c>
      <c r="B1851" s="102">
        <v>3052</v>
      </c>
      <c r="C1851" s="102">
        <v>3052</v>
      </c>
      <c r="D1851" s="102">
        <f>Table22[[#This Row],[CURRENT]]-Table22[[#This Row],[IDEAL]]</f>
        <v>0</v>
      </c>
    </row>
    <row r="1852" spans="1:4" x14ac:dyDescent="0.25">
      <c r="A1852" t="s">
        <v>12420</v>
      </c>
      <c r="B1852" s="102">
        <v>1391</v>
      </c>
      <c r="C1852" s="102">
        <v>1391</v>
      </c>
      <c r="D1852" s="102">
        <f>Table22[[#This Row],[CURRENT]]-Table22[[#This Row],[IDEAL]]</f>
        <v>0</v>
      </c>
    </row>
    <row r="1853" spans="1:4" x14ac:dyDescent="0.25">
      <c r="A1853" t="s">
        <v>11169</v>
      </c>
      <c r="B1853" s="102">
        <v>1801</v>
      </c>
      <c r="C1853" s="102">
        <v>1801</v>
      </c>
      <c r="D1853" s="102">
        <f>Table22[[#This Row],[CURRENT]]-Table22[[#This Row],[IDEAL]]</f>
        <v>0</v>
      </c>
    </row>
    <row r="1854" spans="1:4" x14ac:dyDescent="0.25">
      <c r="A1854" t="s">
        <v>11332</v>
      </c>
      <c r="B1854" s="102">
        <v>1652</v>
      </c>
      <c r="C1854" s="102">
        <v>1652</v>
      </c>
      <c r="D1854" s="102">
        <f>Table22[[#This Row],[CURRENT]]-Table22[[#This Row],[IDEAL]]</f>
        <v>0</v>
      </c>
    </row>
    <row r="1855" spans="1:4" x14ac:dyDescent="0.25">
      <c r="A1855" t="s">
        <v>12624</v>
      </c>
      <c r="B1855" s="102">
        <v>2772</v>
      </c>
      <c r="C1855" s="102">
        <v>2772</v>
      </c>
      <c r="D1855" s="102">
        <f>Table22[[#This Row],[CURRENT]]-Table22[[#This Row],[IDEAL]]</f>
        <v>0</v>
      </c>
    </row>
    <row r="1856" spans="1:4" x14ac:dyDescent="0.25">
      <c r="A1856" t="s">
        <v>12250</v>
      </c>
      <c r="B1856" s="102">
        <v>3577</v>
      </c>
      <c r="C1856" s="102">
        <v>3577</v>
      </c>
      <c r="D1856" s="102">
        <f>Table22[[#This Row],[CURRENT]]-Table22[[#This Row],[IDEAL]]</f>
        <v>0</v>
      </c>
    </row>
    <row r="1857" spans="1:4" x14ac:dyDescent="0.25">
      <c r="A1857" t="s">
        <v>12604</v>
      </c>
      <c r="B1857" s="102">
        <v>3540</v>
      </c>
      <c r="C1857" s="102">
        <v>3540</v>
      </c>
      <c r="D1857" s="102">
        <f>Table22[[#This Row],[CURRENT]]-Table22[[#This Row],[IDEAL]]</f>
        <v>0</v>
      </c>
    </row>
    <row r="1858" spans="1:4" x14ac:dyDescent="0.25">
      <c r="A1858" t="s">
        <v>12503</v>
      </c>
      <c r="B1858" s="102">
        <v>3076</v>
      </c>
      <c r="C1858" s="102">
        <v>3076</v>
      </c>
      <c r="D1858" s="102">
        <f>Table22[[#This Row],[CURRENT]]-Table22[[#This Row],[IDEAL]]</f>
        <v>0</v>
      </c>
    </row>
    <row r="1859" spans="1:4" x14ac:dyDescent="0.25">
      <c r="A1859" t="s">
        <v>12445</v>
      </c>
      <c r="B1859" s="102">
        <v>3975</v>
      </c>
      <c r="C1859" s="102">
        <v>3975</v>
      </c>
      <c r="D1859" s="102">
        <f>Table22[[#This Row],[CURRENT]]-Table22[[#This Row],[IDEAL]]</f>
        <v>0</v>
      </c>
    </row>
    <row r="1860" spans="1:4" x14ac:dyDescent="0.25">
      <c r="A1860" t="s">
        <v>11370</v>
      </c>
      <c r="B1860" s="102">
        <v>1560</v>
      </c>
      <c r="C1860" s="102">
        <v>1560</v>
      </c>
      <c r="D1860" s="102">
        <f>Table22[[#This Row],[CURRENT]]-Table22[[#This Row],[IDEAL]]</f>
        <v>0</v>
      </c>
    </row>
    <row r="1861" spans="1:4" x14ac:dyDescent="0.25">
      <c r="A1861" t="s">
        <v>12383</v>
      </c>
      <c r="B1861" s="102">
        <v>2192</v>
      </c>
      <c r="C1861" s="102">
        <v>2192</v>
      </c>
      <c r="D1861" s="102">
        <f>Table22[[#This Row],[CURRENT]]-Table22[[#This Row],[IDEAL]]</f>
        <v>0</v>
      </c>
    </row>
    <row r="1862" spans="1:4" x14ac:dyDescent="0.25">
      <c r="A1862" t="s">
        <v>14062</v>
      </c>
      <c r="B1862" s="102">
        <v>167</v>
      </c>
      <c r="C1862" s="102">
        <v>167</v>
      </c>
      <c r="D1862" s="102">
        <f>Table22[[#This Row],[CURRENT]]-Table22[[#This Row],[IDEAL]]</f>
        <v>0</v>
      </c>
    </row>
    <row r="1863" spans="1:4" x14ac:dyDescent="0.25">
      <c r="A1863" t="s">
        <v>11225</v>
      </c>
      <c r="B1863" s="102">
        <v>1034</v>
      </c>
      <c r="C1863" s="102">
        <v>1034</v>
      </c>
      <c r="D1863" s="102">
        <f>Table22[[#This Row],[CURRENT]]-Table22[[#This Row],[IDEAL]]</f>
        <v>0</v>
      </c>
    </row>
    <row r="1864" spans="1:4" x14ac:dyDescent="0.25">
      <c r="A1864" t="s">
        <v>12253</v>
      </c>
      <c r="B1864" s="102">
        <v>3542</v>
      </c>
      <c r="C1864" s="102">
        <v>3542</v>
      </c>
      <c r="D1864" s="102">
        <f>Table22[[#This Row],[CURRENT]]-Table22[[#This Row],[IDEAL]]</f>
        <v>0</v>
      </c>
    </row>
    <row r="1865" spans="1:4" x14ac:dyDescent="0.25">
      <c r="A1865" t="s">
        <v>12512</v>
      </c>
      <c r="B1865" s="102">
        <v>2420</v>
      </c>
      <c r="C1865" s="102">
        <v>2420</v>
      </c>
      <c r="D1865" s="102">
        <f>Table22[[#This Row],[CURRENT]]-Table22[[#This Row],[IDEAL]]</f>
        <v>0</v>
      </c>
    </row>
    <row r="1866" spans="1:4" x14ac:dyDescent="0.25">
      <c r="A1866" t="s">
        <v>11230</v>
      </c>
      <c r="B1866" s="102">
        <v>416</v>
      </c>
      <c r="C1866" s="102">
        <v>416</v>
      </c>
      <c r="D1866" s="102">
        <f>Table22[[#This Row],[CURRENT]]-Table22[[#This Row],[IDEAL]]</f>
        <v>0</v>
      </c>
    </row>
    <row r="1867" spans="1:4" x14ac:dyDescent="0.25">
      <c r="A1867" t="s">
        <v>12654</v>
      </c>
      <c r="B1867" s="102">
        <v>3249</v>
      </c>
      <c r="C1867" s="102">
        <v>3249</v>
      </c>
      <c r="D1867" s="102">
        <f>Table22[[#This Row],[CURRENT]]-Table22[[#This Row],[IDEAL]]</f>
        <v>0</v>
      </c>
    </row>
    <row r="1868" spans="1:4" x14ac:dyDescent="0.25">
      <c r="A1868" t="s">
        <v>12572</v>
      </c>
      <c r="B1868" s="102">
        <v>1241</v>
      </c>
      <c r="C1868" s="102">
        <v>1241</v>
      </c>
      <c r="D1868" s="102">
        <f>Table22[[#This Row],[CURRENT]]-Table22[[#This Row],[IDEAL]]</f>
        <v>0</v>
      </c>
    </row>
    <row r="1869" spans="1:4" x14ac:dyDescent="0.25">
      <c r="A1869" t="s">
        <v>12630</v>
      </c>
      <c r="B1869" s="102">
        <v>2412</v>
      </c>
      <c r="C1869" s="102">
        <v>2412</v>
      </c>
      <c r="D1869" s="102">
        <f>Table22[[#This Row],[CURRENT]]-Table22[[#This Row],[IDEAL]]</f>
        <v>0</v>
      </c>
    </row>
    <row r="1870" spans="1:4" x14ac:dyDescent="0.25">
      <c r="A1870" t="s">
        <v>12575</v>
      </c>
      <c r="B1870" s="102">
        <v>1206</v>
      </c>
      <c r="C1870" s="102">
        <v>1206</v>
      </c>
      <c r="D1870" s="102">
        <f>Table22[[#This Row],[CURRENT]]-Table22[[#This Row],[IDEAL]]</f>
        <v>0</v>
      </c>
    </row>
    <row r="1871" spans="1:4" x14ac:dyDescent="0.25">
      <c r="A1871" t="s">
        <v>12299</v>
      </c>
      <c r="B1871" s="102">
        <v>2927</v>
      </c>
      <c r="C1871" s="102">
        <v>2927</v>
      </c>
      <c r="D1871" s="102">
        <f>Table22[[#This Row],[CURRENT]]-Table22[[#This Row],[IDEAL]]</f>
        <v>0</v>
      </c>
    </row>
    <row r="1872" spans="1:4" x14ac:dyDescent="0.25">
      <c r="A1872" t="s">
        <v>11399</v>
      </c>
      <c r="B1872" s="102">
        <v>3306</v>
      </c>
      <c r="C1872" s="102">
        <v>3306</v>
      </c>
      <c r="D1872" s="102">
        <f>Table22[[#This Row],[CURRENT]]-Table22[[#This Row],[IDEAL]]</f>
        <v>0</v>
      </c>
    </row>
    <row r="1873" spans="1:4" x14ac:dyDescent="0.25">
      <c r="A1873" t="s">
        <v>12261</v>
      </c>
      <c r="B1873" s="102">
        <v>3472</v>
      </c>
      <c r="C1873" s="102">
        <v>3472</v>
      </c>
      <c r="D1873" s="102">
        <f>Table22[[#This Row],[CURRENT]]-Table22[[#This Row],[IDEAL]]</f>
        <v>0</v>
      </c>
    </row>
    <row r="1874" spans="1:4" x14ac:dyDescent="0.25">
      <c r="A1874" t="s">
        <v>12511</v>
      </c>
      <c r="B1874" s="102">
        <v>2871</v>
      </c>
      <c r="C1874" s="102">
        <v>2871</v>
      </c>
      <c r="D1874" s="102">
        <f>Table22[[#This Row],[CURRENT]]-Table22[[#This Row],[IDEAL]]</f>
        <v>0</v>
      </c>
    </row>
    <row r="1875" spans="1:4" x14ac:dyDescent="0.25">
      <c r="A1875" t="s">
        <v>11237</v>
      </c>
      <c r="B1875" s="102">
        <v>3172</v>
      </c>
      <c r="C1875" s="102">
        <v>3172</v>
      </c>
      <c r="D1875" s="102">
        <f>Table22[[#This Row],[CURRENT]]-Table22[[#This Row],[IDEAL]]</f>
        <v>0</v>
      </c>
    </row>
    <row r="1876" spans="1:4" x14ac:dyDescent="0.25">
      <c r="A1876" t="s">
        <v>12225</v>
      </c>
      <c r="B1876" s="102">
        <v>3873</v>
      </c>
      <c r="C1876" s="102">
        <v>3873</v>
      </c>
      <c r="D1876" s="102">
        <f>Table22[[#This Row],[CURRENT]]-Table22[[#This Row],[IDEAL]]</f>
        <v>0</v>
      </c>
    </row>
    <row r="1877" spans="1:4" x14ac:dyDescent="0.25">
      <c r="A1877" t="s">
        <v>12232</v>
      </c>
      <c r="B1877" s="102">
        <v>3771</v>
      </c>
      <c r="C1877" s="102">
        <v>3771</v>
      </c>
      <c r="D1877" s="102">
        <f>Table22[[#This Row],[CURRENT]]-Table22[[#This Row],[IDEAL]]</f>
        <v>0</v>
      </c>
    </row>
    <row r="1878" spans="1:4" x14ac:dyDescent="0.25">
      <c r="A1878" t="s">
        <v>11379</v>
      </c>
      <c r="B1878" s="102">
        <v>3750</v>
      </c>
      <c r="C1878" s="102">
        <v>3750</v>
      </c>
      <c r="D1878" s="102">
        <f>Table22[[#This Row],[CURRENT]]-Table22[[#This Row],[IDEAL]]</f>
        <v>0</v>
      </c>
    </row>
    <row r="1879" spans="1:4" x14ac:dyDescent="0.25">
      <c r="A1879" t="s">
        <v>11366</v>
      </c>
      <c r="B1879" s="102">
        <v>1796</v>
      </c>
      <c r="C1879" s="102">
        <v>1796</v>
      </c>
      <c r="D1879" s="102">
        <f>Table22[[#This Row],[CURRENT]]-Table22[[#This Row],[IDEAL]]</f>
        <v>0</v>
      </c>
    </row>
    <row r="1880" spans="1:4" x14ac:dyDescent="0.25">
      <c r="A1880" t="s">
        <v>11301</v>
      </c>
      <c r="B1880" s="102">
        <v>3754</v>
      </c>
      <c r="C1880" s="102">
        <v>3754</v>
      </c>
      <c r="D1880" s="102">
        <f>Table22[[#This Row],[CURRENT]]-Table22[[#This Row],[IDEAL]]</f>
        <v>0</v>
      </c>
    </row>
    <row r="1881" spans="1:4" x14ac:dyDescent="0.25">
      <c r="A1881" t="s">
        <v>12560</v>
      </c>
      <c r="B1881" s="102">
        <v>1593</v>
      </c>
      <c r="C1881" s="102">
        <v>1593</v>
      </c>
      <c r="D1881" s="102">
        <f>Table22[[#This Row],[CURRENT]]-Table22[[#This Row],[IDEAL]]</f>
        <v>0</v>
      </c>
    </row>
    <row r="1882" spans="1:4" x14ac:dyDescent="0.25">
      <c r="A1882" t="s">
        <v>12237</v>
      </c>
      <c r="B1882" s="102">
        <v>3682</v>
      </c>
      <c r="C1882" s="102">
        <v>3682</v>
      </c>
      <c r="D1882" s="102">
        <f>Table22[[#This Row],[CURRENT]]-Table22[[#This Row],[IDEAL]]</f>
        <v>0</v>
      </c>
    </row>
    <row r="1883" spans="1:4" x14ac:dyDescent="0.25">
      <c r="A1883" t="s">
        <v>11267</v>
      </c>
      <c r="B1883" s="102">
        <v>4044</v>
      </c>
      <c r="C1883" s="102">
        <v>4044</v>
      </c>
      <c r="D1883" s="102">
        <f>Table22[[#This Row],[CURRENT]]-Table22[[#This Row],[IDEAL]]</f>
        <v>0</v>
      </c>
    </row>
    <row r="1884" spans="1:4" x14ac:dyDescent="0.25">
      <c r="A1884" t="s">
        <v>12267</v>
      </c>
      <c r="B1884" s="102">
        <v>3437</v>
      </c>
      <c r="C1884" s="102">
        <v>3437</v>
      </c>
      <c r="D1884" s="102">
        <f>Table22[[#This Row],[CURRENT]]-Table22[[#This Row],[IDEAL]]</f>
        <v>0</v>
      </c>
    </row>
    <row r="1885" spans="1:4" x14ac:dyDescent="0.25">
      <c r="A1885" t="s">
        <v>12131</v>
      </c>
      <c r="B1885" s="102">
        <v>3733</v>
      </c>
      <c r="C1885" s="102">
        <v>3733</v>
      </c>
      <c r="D1885" s="102">
        <f>Table22[[#This Row],[CURRENT]]-Table22[[#This Row],[IDEAL]]</f>
        <v>0</v>
      </c>
    </row>
    <row r="1886" spans="1:4" x14ac:dyDescent="0.25">
      <c r="A1886" t="s">
        <v>11319</v>
      </c>
      <c r="B1886" s="102">
        <v>3702</v>
      </c>
      <c r="C1886" s="102">
        <v>3702</v>
      </c>
      <c r="D1886" s="102">
        <f>Table22[[#This Row],[CURRENT]]-Table22[[#This Row],[IDEAL]]</f>
        <v>0</v>
      </c>
    </row>
    <row r="1887" spans="1:4" x14ac:dyDescent="0.25">
      <c r="A1887" t="s">
        <v>11176</v>
      </c>
      <c r="B1887" s="102">
        <v>2776</v>
      </c>
      <c r="C1887" s="102">
        <v>2776</v>
      </c>
      <c r="D1887" s="102">
        <f>Table22[[#This Row],[CURRENT]]-Table22[[#This Row],[IDEAL]]</f>
        <v>0</v>
      </c>
    </row>
    <row r="1888" spans="1:4" x14ac:dyDescent="0.25">
      <c r="A1888" t="s">
        <v>12458</v>
      </c>
      <c r="B1888" s="102">
        <v>3616</v>
      </c>
      <c r="C1888" s="102">
        <v>3616</v>
      </c>
      <c r="D1888" s="102">
        <f>Table22[[#This Row],[CURRENT]]-Table22[[#This Row],[IDEAL]]</f>
        <v>0</v>
      </c>
    </row>
    <row r="1889" spans="1:4" x14ac:dyDescent="0.25">
      <c r="A1889" t="s">
        <v>12174</v>
      </c>
      <c r="B1889" s="102">
        <v>2673</v>
      </c>
      <c r="C1889" s="102">
        <v>2673</v>
      </c>
      <c r="D1889" s="102">
        <f>Table22[[#This Row],[CURRENT]]-Table22[[#This Row],[IDEAL]]</f>
        <v>0</v>
      </c>
    </row>
    <row r="1890" spans="1:4" x14ac:dyDescent="0.25">
      <c r="A1890" t="s">
        <v>11190</v>
      </c>
      <c r="B1890" s="102">
        <v>1068</v>
      </c>
      <c r="C1890" s="102">
        <v>1068</v>
      </c>
      <c r="D1890" s="102">
        <f>Table22[[#This Row],[CURRENT]]-Table22[[#This Row],[IDEAL]]</f>
        <v>0</v>
      </c>
    </row>
    <row r="1891" spans="1:4" x14ac:dyDescent="0.25">
      <c r="A1891" t="s">
        <v>11258</v>
      </c>
      <c r="B1891" s="102">
        <v>3888</v>
      </c>
      <c r="C1891" s="102">
        <v>3888</v>
      </c>
      <c r="D1891" s="102">
        <f>Table22[[#This Row],[CURRENT]]-Table22[[#This Row],[IDEAL]]</f>
        <v>0</v>
      </c>
    </row>
    <row r="1892" spans="1:4" x14ac:dyDescent="0.25">
      <c r="A1892" t="s">
        <v>11287</v>
      </c>
      <c r="B1892" s="102">
        <v>3779</v>
      </c>
      <c r="C1892" s="102">
        <v>3779</v>
      </c>
      <c r="D1892" s="102">
        <f>Table22[[#This Row],[CURRENT]]-Table22[[#This Row],[IDEAL]]</f>
        <v>0</v>
      </c>
    </row>
    <row r="1893" spans="1:4" x14ac:dyDescent="0.25">
      <c r="A1893" t="s">
        <v>11397</v>
      </c>
      <c r="B1893" s="102">
        <v>987</v>
      </c>
      <c r="C1893" s="102">
        <v>987</v>
      </c>
      <c r="D1893" s="102">
        <f>Table22[[#This Row],[CURRENT]]-Table22[[#This Row],[IDEAL]]</f>
        <v>0</v>
      </c>
    </row>
    <row r="1894" spans="1:4" x14ac:dyDescent="0.25">
      <c r="A1894" t="s">
        <v>11272</v>
      </c>
      <c r="B1894" s="102">
        <v>2600</v>
      </c>
      <c r="C1894" s="102">
        <v>2600</v>
      </c>
      <c r="D1894" s="102">
        <f>Table22[[#This Row],[CURRENT]]-Table22[[#This Row],[IDEAL]]</f>
        <v>0</v>
      </c>
    </row>
    <row r="1895" spans="1:4" x14ac:dyDescent="0.25">
      <c r="A1895" t="s">
        <v>11279</v>
      </c>
      <c r="B1895" s="102">
        <v>1486</v>
      </c>
      <c r="C1895" s="102">
        <v>1486</v>
      </c>
      <c r="D1895" s="102">
        <f>Table22[[#This Row],[CURRENT]]-Table22[[#This Row],[IDEAL]]</f>
        <v>0</v>
      </c>
    </row>
    <row r="1896" spans="1:4" x14ac:dyDescent="0.25">
      <c r="A1896" t="s">
        <v>12577</v>
      </c>
      <c r="B1896" s="102">
        <v>1122</v>
      </c>
      <c r="C1896" s="102">
        <v>1122</v>
      </c>
      <c r="D1896" s="102">
        <f>Table22[[#This Row],[CURRENT]]-Table22[[#This Row],[IDEAL]]</f>
        <v>0</v>
      </c>
    </row>
    <row r="1897" spans="1:4" x14ac:dyDescent="0.25">
      <c r="A1897" t="s">
        <v>12476</v>
      </c>
      <c r="B1897" s="102">
        <v>3511</v>
      </c>
      <c r="C1897" s="102">
        <v>3511</v>
      </c>
      <c r="D1897" s="102">
        <f>Table22[[#This Row],[CURRENT]]-Table22[[#This Row],[IDEAL]]</f>
        <v>0</v>
      </c>
    </row>
    <row r="1898" spans="1:4" x14ac:dyDescent="0.25">
      <c r="A1898" t="s">
        <v>12463</v>
      </c>
      <c r="B1898" s="102">
        <v>3590</v>
      </c>
      <c r="C1898" s="102">
        <v>3590</v>
      </c>
      <c r="D1898" s="102">
        <f>Table22[[#This Row],[CURRENT]]-Table22[[#This Row],[IDEAL]]</f>
        <v>0</v>
      </c>
    </row>
    <row r="1899" spans="1:4" x14ac:dyDescent="0.25">
      <c r="A1899" t="s">
        <v>11372</v>
      </c>
      <c r="B1899" s="102">
        <v>851</v>
      </c>
      <c r="C1899" s="102">
        <v>851</v>
      </c>
      <c r="D1899" s="102">
        <f>Table22[[#This Row],[CURRENT]]-Table22[[#This Row],[IDEAL]]</f>
        <v>0</v>
      </c>
    </row>
    <row r="1900" spans="1:4" x14ac:dyDescent="0.25">
      <c r="A1900" t="s">
        <v>12289</v>
      </c>
      <c r="B1900" s="102">
        <v>3164</v>
      </c>
      <c r="C1900" s="102">
        <v>3164</v>
      </c>
      <c r="D1900" s="102">
        <f>Table22[[#This Row],[CURRENT]]-Table22[[#This Row],[IDEAL]]</f>
        <v>0</v>
      </c>
    </row>
    <row r="1901" spans="1:4" x14ac:dyDescent="0.25">
      <c r="A1901" t="s">
        <v>11385</v>
      </c>
      <c r="B1901" s="102">
        <v>3492</v>
      </c>
      <c r="C1901" s="102">
        <v>3492</v>
      </c>
      <c r="D1901" s="102">
        <f>Table22[[#This Row],[CURRENT]]-Table22[[#This Row],[IDEAL]]</f>
        <v>0</v>
      </c>
    </row>
    <row r="1902" spans="1:4" x14ac:dyDescent="0.25">
      <c r="A1902" t="s">
        <v>12175</v>
      </c>
      <c r="B1902" s="102">
        <v>2302</v>
      </c>
      <c r="C1902" s="102">
        <v>2302</v>
      </c>
      <c r="D1902" s="102">
        <f>Table22[[#This Row],[CURRENT]]-Table22[[#This Row],[IDEAL]]</f>
        <v>0</v>
      </c>
    </row>
    <row r="1903" spans="1:4" x14ac:dyDescent="0.25">
      <c r="A1903" t="s">
        <v>12523</v>
      </c>
      <c r="B1903" s="102">
        <v>2529</v>
      </c>
      <c r="C1903" s="102">
        <v>2529</v>
      </c>
      <c r="D1903" s="102">
        <f>Table22[[#This Row],[CURRENT]]-Table22[[#This Row],[IDEAL]]</f>
        <v>0</v>
      </c>
    </row>
    <row r="1904" spans="1:4" x14ac:dyDescent="0.25">
      <c r="A1904" t="s">
        <v>12303</v>
      </c>
      <c r="B1904" s="102">
        <v>2883</v>
      </c>
      <c r="C1904" s="102">
        <v>2883</v>
      </c>
      <c r="D1904" s="102">
        <f>Table22[[#This Row],[CURRENT]]-Table22[[#This Row],[IDEAL]]</f>
        <v>0</v>
      </c>
    </row>
    <row r="1905" spans="1:4" x14ac:dyDescent="0.25">
      <c r="A1905" t="s">
        <v>12257</v>
      </c>
      <c r="B1905" s="102">
        <v>3520</v>
      </c>
      <c r="C1905" s="102">
        <v>3520</v>
      </c>
      <c r="D1905" s="102">
        <f>Table22[[#This Row],[CURRENT]]-Table22[[#This Row],[IDEAL]]</f>
        <v>0</v>
      </c>
    </row>
    <row r="1906" spans="1:4" x14ac:dyDescent="0.25">
      <c r="A1906" t="s">
        <v>11180</v>
      </c>
      <c r="B1906" s="102">
        <v>2168</v>
      </c>
      <c r="C1906" s="102">
        <v>2168</v>
      </c>
      <c r="D1906" s="102">
        <f>Table22[[#This Row],[CURRENT]]-Table22[[#This Row],[IDEAL]]</f>
        <v>0</v>
      </c>
    </row>
    <row r="1907" spans="1:4" x14ac:dyDescent="0.25">
      <c r="A1907" t="s">
        <v>12222</v>
      </c>
      <c r="B1907" s="102">
        <v>3899</v>
      </c>
      <c r="C1907" s="102">
        <v>3899</v>
      </c>
      <c r="D1907" s="102">
        <f>Table22[[#This Row],[CURRENT]]-Table22[[#This Row],[IDEAL]]</f>
        <v>0</v>
      </c>
    </row>
    <row r="1908" spans="1:4" x14ac:dyDescent="0.25">
      <c r="A1908" t="s">
        <v>12233</v>
      </c>
      <c r="B1908" s="102">
        <v>3756</v>
      </c>
      <c r="C1908" s="102">
        <v>3756</v>
      </c>
      <c r="D1908" s="102">
        <f>Table22[[#This Row],[CURRENT]]-Table22[[#This Row],[IDEAL]]</f>
        <v>0</v>
      </c>
    </row>
    <row r="1909" spans="1:4" x14ac:dyDescent="0.25">
      <c r="A1909" t="s">
        <v>11260</v>
      </c>
      <c r="B1909" s="102">
        <v>1493</v>
      </c>
      <c r="C1909" s="102">
        <v>1493</v>
      </c>
      <c r="D1909" s="102">
        <f>Table22[[#This Row],[CURRENT]]-Table22[[#This Row],[IDEAL]]</f>
        <v>0</v>
      </c>
    </row>
    <row r="1910" spans="1:4" x14ac:dyDescent="0.25">
      <c r="A1910" t="s">
        <v>12385</v>
      </c>
      <c r="B1910" s="102">
        <v>1916</v>
      </c>
      <c r="C1910" s="102">
        <v>1916</v>
      </c>
      <c r="D1910" s="102">
        <f>Table22[[#This Row],[CURRENT]]-Table22[[#This Row],[IDEAL]]</f>
        <v>0</v>
      </c>
    </row>
    <row r="1911" spans="1:4" x14ac:dyDescent="0.25">
      <c r="A1911" t="s">
        <v>11283</v>
      </c>
      <c r="B1911" s="102">
        <v>1651</v>
      </c>
      <c r="C1911" s="102">
        <v>1651</v>
      </c>
      <c r="D1911" s="102">
        <f>Table22[[#This Row],[CURRENT]]-Table22[[#This Row],[IDEAL]]</f>
        <v>0</v>
      </c>
    </row>
    <row r="1912" spans="1:4" x14ac:dyDescent="0.25">
      <c r="A1912" t="s">
        <v>12452</v>
      </c>
      <c r="B1912" s="102">
        <v>3804</v>
      </c>
      <c r="C1912" s="102">
        <v>3804</v>
      </c>
      <c r="D1912" s="102">
        <f>Table22[[#This Row],[CURRENT]]-Table22[[#This Row],[IDEAL]]</f>
        <v>0</v>
      </c>
    </row>
    <row r="1913" spans="1:4" x14ac:dyDescent="0.25">
      <c r="A1913" t="s">
        <v>12506</v>
      </c>
      <c r="B1913" s="102">
        <v>3047</v>
      </c>
      <c r="C1913" s="102">
        <v>3047</v>
      </c>
      <c r="D1913" s="102">
        <f>Table22[[#This Row],[CURRENT]]-Table22[[#This Row],[IDEAL]]</f>
        <v>0</v>
      </c>
    </row>
    <row r="1914" spans="1:4" x14ac:dyDescent="0.25">
      <c r="A1914" t="s">
        <v>12137</v>
      </c>
      <c r="B1914" s="102">
        <v>3663</v>
      </c>
      <c r="C1914" s="102">
        <v>3663</v>
      </c>
      <c r="D1914" s="102">
        <f>Table22[[#This Row],[CURRENT]]-Table22[[#This Row],[IDEAL]]</f>
        <v>0</v>
      </c>
    </row>
    <row r="1915" spans="1:4" x14ac:dyDescent="0.25">
      <c r="A1915" t="s">
        <v>12526</v>
      </c>
      <c r="B1915" s="102">
        <v>2432</v>
      </c>
      <c r="C1915" s="102">
        <v>2432</v>
      </c>
      <c r="D1915" s="102">
        <f>Table22[[#This Row],[CURRENT]]-Table22[[#This Row],[IDEAL]]</f>
        <v>0</v>
      </c>
    </row>
    <row r="1916" spans="1:4" x14ac:dyDescent="0.25">
      <c r="A1916" t="s">
        <v>12443</v>
      </c>
      <c r="B1916" s="102">
        <v>4015</v>
      </c>
      <c r="C1916" s="102">
        <v>4015</v>
      </c>
      <c r="D1916" s="102">
        <f>Table22[[#This Row],[CURRENT]]-Table22[[#This Row],[IDEAL]]</f>
        <v>0</v>
      </c>
    </row>
    <row r="1917" spans="1:4" x14ac:dyDescent="0.25">
      <c r="A1917" t="s">
        <v>12228</v>
      </c>
      <c r="B1917" s="102">
        <v>3829</v>
      </c>
      <c r="C1917" s="102">
        <v>3829</v>
      </c>
      <c r="D1917" s="102">
        <f>Table22[[#This Row],[CURRENT]]-Table22[[#This Row],[IDEAL]]</f>
        <v>0</v>
      </c>
    </row>
    <row r="1918" spans="1:4" x14ac:dyDescent="0.25">
      <c r="A1918" t="s">
        <v>12271</v>
      </c>
      <c r="B1918" s="102">
        <v>3351</v>
      </c>
      <c r="C1918" s="102">
        <v>3351</v>
      </c>
      <c r="D1918" s="102">
        <f>Table22[[#This Row],[CURRENT]]-Table22[[#This Row],[IDEAL]]</f>
        <v>0</v>
      </c>
    </row>
    <row r="1919" spans="1:4" x14ac:dyDescent="0.25">
      <c r="A1919" t="s">
        <v>12223</v>
      </c>
      <c r="B1919" s="102">
        <v>3878</v>
      </c>
      <c r="C1919" s="102">
        <v>3878</v>
      </c>
      <c r="D1919" s="102">
        <f>Table22[[#This Row],[CURRENT]]-Table22[[#This Row],[IDEAL]]</f>
        <v>0</v>
      </c>
    </row>
    <row r="1920" spans="1:4" x14ac:dyDescent="0.25">
      <c r="A1920" t="s">
        <v>12226</v>
      </c>
      <c r="B1920" s="102">
        <v>3868</v>
      </c>
      <c r="C1920" s="102">
        <v>3868</v>
      </c>
      <c r="D1920" s="102">
        <f>Table22[[#This Row],[CURRENT]]-Table22[[#This Row],[IDEAL]]</f>
        <v>0</v>
      </c>
    </row>
    <row r="1921" spans="1:4" x14ac:dyDescent="0.25">
      <c r="A1921" t="s">
        <v>12215</v>
      </c>
      <c r="B1921" s="102">
        <v>4026</v>
      </c>
      <c r="C1921" s="102">
        <v>4026</v>
      </c>
      <c r="D1921" s="102">
        <f>Table22[[#This Row],[CURRENT]]-Table22[[#This Row],[IDEAL]]</f>
        <v>0</v>
      </c>
    </row>
    <row r="1922" spans="1:4" x14ac:dyDescent="0.25">
      <c r="A1922" t="s">
        <v>11347</v>
      </c>
      <c r="B1922" s="102">
        <v>1744</v>
      </c>
      <c r="C1922" s="102">
        <v>1744</v>
      </c>
      <c r="D1922" s="102">
        <f>Table22[[#This Row],[CURRENT]]-Table22[[#This Row],[IDEAL]]</f>
        <v>0</v>
      </c>
    </row>
    <row r="1923" spans="1:4" x14ac:dyDescent="0.25">
      <c r="A1923" t="s">
        <v>12252</v>
      </c>
      <c r="B1923" s="102">
        <v>3573</v>
      </c>
      <c r="C1923" s="102">
        <v>3573</v>
      </c>
      <c r="D1923" s="102">
        <f>Table22[[#This Row],[CURRENT]]-Table22[[#This Row],[IDEAL]]</f>
        <v>0</v>
      </c>
    </row>
    <row r="1924" spans="1:4" x14ac:dyDescent="0.25">
      <c r="A1924" t="s">
        <v>12451</v>
      </c>
      <c r="B1924" s="102">
        <v>3808</v>
      </c>
      <c r="C1924" s="102">
        <v>3808</v>
      </c>
      <c r="D1924" s="102">
        <f>Table22[[#This Row],[CURRENT]]-Table22[[#This Row],[IDEAL]]</f>
        <v>0</v>
      </c>
    </row>
    <row r="1925" spans="1:4" x14ac:dyDescent="0.25">
      <c r="A1925" t="s">
        <v>11217</v>
      </c>
      <c r="B1925" s="102">
        <v>1476</v>
      </c>
      <c r="C1925" s="102">
        <v>1476</v>
      </c>
      <c r="D1925" s="102">
        <f>Table22[[#This Row],[CURRENT]]-Table22[[#This Row],[IDEAL]]</f>
        <v>0</v>
      </c>
    </row>
    <row r="1926" spans="1:4" x14ac:dyDescent="0.25">
      <c r="A1926" t="s">
        <v>11172</v>
      </c>
      <c r="B1926" s="102">
        <v>3727</v>
      </c>
      <c r="C1926" s="102">
        <v>3727</v>
      </c>
      <c r="D1926" s="102">
        <f>Table22[[#This Row],[CURRENT]]-Table22[[#This Row],[IDEAL]]</f>
        <v>0</v>
      </c>
    </row>
    <row r="1927" spans="1:4" x14ac:dyDescent="0.25">
      <c r="A1927" t="s">
        <v>11236</v>
      </c>
      <c r="B1927" s="102">
        <v>637</v>
      </c>
      <c r="C1927" s="102">
        <v>637</v>
      </c>
      <c r="D1927" s="102">
        <f>Table22[[#This Row],[CURRENT]]-Table22[[#This Row],[IDEAL]]</f>
        <v>0</v>
      </c>
    </row>
    <row r="1928" spans="1:4" x14ac:dyDescent="0.25">
      <c r="A1928" t="s">
        <v>12300</v>
      </c>
      <c r="B1928" s="102">
        <v>2925</v>
      </c>
      <c r="C1928" s="102">
        <v>2925</v>
      </c>
      <c r="D1928" s="102">
        <f>Table22[[#This Row],[CURRENT]]-Table22[[#This Row],[IDEAL]]</f>
        <v>0</v>
      </c>
    </row>
    <row r="1929" spans="1:4" x14ac:dyDescent="0.25">
      <c r="A1929" t="s">
        <v>12459</v>
      </c>
      <c r="B1929" s="102">
        <v>3606</v>
      </c>
      <c r="C1929" s="102">
        <v>3606</v>
      </c>
      <c r="D1929" s="102">
        <f>Table22[[#This Row],[CURRENT]]-Table22[[#This Row],[IDEAL]]</f>
        <v>0</v>
      </c>
    </row>
    <row r="1930" spans="1:4" x14ac:dyDescent="0.25">
      <c r="A1930" t="s">
        <v>12610</v>
      </c>
      <c r="B1930" s="102">
        <v>3437</v>
      </c>
      <c r="C1930" s="102">
        <v>3437</v>
      </c>
      <c r="D1930" s="102">
        <f>Table22[[#This Row],[CURRENT]]-Table22[[#This Row],[IDEAL]]</f>
        <v>0</v>
      </c>
    </row>
    <row r="1931" spans="1:4" x14ac:dyDescent="0.25">
      <c r="A1931" t="s">
        <v>12266</v>
      </c>
      <c r="B1931" s="102">
        <v>3438</v>
      </c>
      <c r="C1931" s="102">
        <v>3438</v>
      </c>
      <c r="D1931" s="102">
        <f>Table22[[#This Row],[CURRENT]]-Table22[[#This Row],[IDEAL]]</f>
        <v>0</v>
      </c>
    </row>
    <row r="1932" spans="1:4" x14ac:dyDescent="0.25">
      <c r="A1932" t="s">
        <v>11294</v>
      </c>
      <c r="B1932" s="102">
        <v>1498</v>
      </c>
      <c r="C1932" s="102">
        <v>1498</v>
      </c>
      <c r="D1932" s="102">
        <f>Table22[[#This Row],[CURRENT]]-Table22[[#This Row],[IDEAL]]</f>
        <v>0</v>
      </c>
    </row>
    <row r="1933" spans="1:4" x14ac:dyDescent="0.25">
      <c r="A1933" t="s">
        <v>12282</v>
      </c>
      <c r="B1933" s="102">
        <v>3245</v>
      </c>
      <c r="C1933" s="102">
        <v>3245</v>
      </c>
      <c r="D1933" s="102">
        <f>Table22[[#This Row],[CURRENT]]-Table22[[#This Row],[IDEAL]]</f>
        <v>0</v>
      </c>
    </row>
    <row r="1934" spans="1:4" x14ac:dyDescent="0.25">
      <c r="A1934" t="s">
        <v>12442</v>
      </c>
      <c r="B1934" s="102">
        <v>4057</v>
      </c>
      <c r="C1934" s="102">
        <v>4057</v>
      </c>
      <c r="D1934" s="102">
        <f>Table22[[#This Row],[CURRENT]]-Table22[[#This Row],[IDEAL]]</f>
        <v>0</v>
      </c>
    </row>
    <row r="1935" spans="1:4" x14ac:dyDescent="0.25">
      <c r="A1935" t="s">
        <v>12216</v>
      </c>
      <c r="B1935" s="102">
        <v>4008</v>
      </c>
      <c r="C1935" s="102">
        <v>4008</v>
      </c>
      <c r="D1935" s="102">
        <f>Table22[[#This Row],[CURRENT]]-Table22[[#This Row],[IDEAL]]</f>
        <v>0</v>
      </c>
    </row>
    <row r="1936" spans="1:4" x14ac:dyDescent="0.25">
      <c r="A1936" t="s">
        <v>11171</v>
      </c>
      <c r="B1936" s="102">
        <v>857</v>
      </c>
      <c r="C1936" s="102">
        <v>857</v>
      </c>
      <c r="D1936" s="102">
        <f>Table22[[#This Row],[CURRENT]]-Table22[[#This Row],[IDEAL]]</f>
        <v>0</v>
      </c>
    </row>
    <row r="1937" spans="1:4" x14ac:dyDescent="0.25">
      <c r="A1937" t="s">
        <v>12507</v>
      </c>
      <c r="B1937" s="102">
        <v>3034</v>
      </c>
      <c r="C1937" s="102">
        <v>3034</v>
      </c>
      <c r="D1937" s="102">
        <f>Table22[[#This Row],[CURRENT]]-Table22[[#This Row],[IDEAL]]</f>
        <v>0</v>
      </c>
    </row>
    <row r="1938" spans="1:4" x14ac:dyDescent="0.25">
      <c r="A1938" t="s">
        <v>12381</v>
      </c>
      <c r="B1938" s="102">
        <v>2204</v>
      </c>
      <c r="C1938" s="102">
        <v>2204</v>
      </c>
      <c r="D1938" s="102">
        <f>Table22[[#This Row],[CURRENT]]-Table22[[#This Row],[IDEAL]]</f>
        <v>0</v>
      </c>
    </row>
    <row r="1939" spans="1:4" x14ac:dyDescent="0.25">
      <c r="A1939" t="s">
        <v>12262</v>
      </c>
      <c r="B1939" s="102">
        <v>3469</v>
      </c>
      <c r="C1939" s="102">
        <v>3469</v>
      </c>
      <c r="D1939" s="102">
        <f>Table22[[#This Row],[CURRENT]]-Table22[[#This Row],[IDEAL]]</f>
        <v>0</v>
      </c>
    </row>
    <row r="1940" spans="1:4" x14ac:dyDescent="0.25">
      <c r="A1940" t="s">
        <v>12213</v>
      </c>
      <c r="B1940" s="102">
        <v>4168</v>
      </c>
      <c r="C1940" s="102">
        <v>4168</v>
      </c>
      <c r="D1940" s="102">
        <f>Table22[[#This Row],[CURRENT]]-Table22[[#This Row],[IDEAL]]</f>
        <v>0</v>
      </c>
    </row>
    <row r="1941" spans="1:4" x14ac:dyDescent="0.25">
      <c r="A1941" t="s">
        <v>11256</v>
      </c>
      <c r="B1941" s="102">
        <v>2045</v>
      </c>
      <c r="C1941" s="102">
        <v>2045</v>
      </c>
      <c r="D1941" s="102">
        <f>Table22[[#This Row],[CURRENT]]-Table22[[#This Row],[IDEAL]]</f>
        <v>0</v>
      </c>
    </row>
    <row r="1942" spans="1:4" x14ac:dyDescent="0.25">
      <c r="A1942" t="s">
        <v>12530</v>
      </c>
      <c r="B1942" s="102">
        <v>2377</v>
      </c>
      <c r="C1942" s="102">
        <v>2377</v>
      </c>
      <c r="D1942" s="102">
        <f>Table22[[#This Row],[CURRENT]]-Table22[[#This Row],[IDEAL]]</f>
        <v>0</v>
      </c>
    </row>
    <row r="1943" spans="1:4" x14ac:dyDescent="0.25">
      <c r="A1943" t="s">
        <v>12444</v>
      </c>
      <c r="B1943" s="102">
        <v>3995</v>
      </c>
      <c r="C1943" s="102">
        <v>3995</v>
      </c>
      <c r="D1943" s="102">
        <f>Table22[[#This Row],[CURRENT]]-Table22[[#This Row],[IDEAL]]</f>
        <v>0</v>
      </c>
    </row>
    <row r="1944" spans="1:4" x14ac:dyDescent="0.25">
      <c r="A1944" t="s">
        <v>12277</v>
      </c>
      <c r="B1944" s="102">
        <v>3270</v>
      </c>
      <c r="C1944" s="102">
        <v>3270</v>
      </c>
      <c r="D1944" s="102">
        <f>Table22[[#This Row],[CURRENT]]-Table22[[#This Row],[IDEAL]]</f>
        <v>0</v>
      </c>
    </row>
    <row r="1945" spans="1:4" x14ac:dyDescent="0.25">
      <c r="A1945" t="s">
        <v>12545</v>
      </c>
      <c r="B1945" s="102">
        <v>1999</v>
      </c>
      <c r="C1945" s="102">
        <v>1999</v>
      </c>
      <c r="D1945" s="102">
        <f>Table22[[#This Row],[CURRENT]]-Table22[[#This Row],[IDEAL]]</f>
        <v>0</v>
      </c>
    </row>
    <row r="1946" spans="1:4" x14ac:dyDescent="0.25">
      <c r="A1946" t="s">
        <v>11373</v>
      </c>
      <c r="B1946" s="102">
        <v>614</v>
      </c>
      <c r="C1946" s="102">
        <v>614</v>
      </c>
      <c r="D1946" s="102">
        <f>Table22[[#This Row],[CURRENT]]-Table22[[#This Row],[IDEAL]]</f>
        <v>0</v>
      </c>
    </row>
    <row r="1947" spans="1:4" x14ac:dyDescent="0.25">
      <c r="A1947" t="s">
        <v>11238</v>
      </c>
      <c r="B1947" s="102">
        <v>1494</v>
      </c>
      <c r="C1947" s="102">
        <v>1494</v>
      </c>
      <c r="D1947" s="102">
        <f>Table22[[#This Row],[CURRENT]]-Table22[[#This Row],[IDEAL]]</f>
        <v>0</v>
      </c>
    </row>
    <row r="1948" spans="1:4" x14ac:dyDescent="0.25">
      <c r="A1948" t="s">
        <v>11193</v>
      </c>
      <c r="B1948" s="102">
        <v>1850</v>
      </c>
      <c r="C1948" s="102">
        <v>1850</v>
      </c>
      <c r="D1948" s="102">
        <f>Table22[[#This Row],[CURRENT]]-Table22[[#This Row],[IDEAL]]</f>
        <v>0</v>
      </c>
    </row>
    <row r="1949" spans="1:4" x14ac:dyDescent="0.25">
      <c r="A1949" t="s">
        <v>11281</v>
      </c>
      <c r="B1949" s="102">
        <v>351</v>
      </c>
      <c r="C1949" s="102">
        <v>351</v>
      </c>
      <c r="D1949" s="102">
        <f>Table22[[#This Row],[CURRENT]]-Table22[[#This Row],[IDEAL]]</f>
        <v>0</v>
      </c>
    </row>
    <row r="1950" spans="1:4" x14ac:dyDescent="0.25">
      <c r="A1950" t="s">
        <v>12396</v>
      </c>
      <c r="B1950" s="102">
        <v>2080</v>
      </c>
      <c r="C1950" s="102">
        <v>2080</v>
      </c>
      <c r="D1950" s="102">
        <f>Table22[[#This Row],[CURRENT]]-Table22[[#This Row],[IDEAL]]</f>
        <v>0</v>
      </c>
    </row>
    <row r="1951" spans="1:4" x14ac:dyDescent="0.25">
      <c r="A1951" t="s">
        <v>12154</v>
      </c>
      <c r="B1951" s="102">
        <v>3134</v>
      </c>
      <c r="C1951" s="102">
        <v>3134</v>
      </c>
      <c r="D1951" s="102">
        <f>Table22[[#This Row],[CURRENT]]-Table22[[#This Row],[IDEAL]]</f>
        <v>0</v>
      </c>
    </row>
    <row r="1952" spans="1:4" x14ac:dyDescent="0.25">
      <c r="A1952" t="s">
        <v>12623</v>
      </c>
      <c r="B1952" s="102">
        <v>2790</v>
      </c>
      <c r="C1952" s="102">
        <v>2790</v>
      </c>
      <c r="D1952" s="102">
        <f>Table22[[#This Row],[CURRENT]]-Table22[[#This Row],[IDEAL]]</f>
        <v>0</v>
      </c>
    </row>
    <row r="1953" spans="1:4" x14ac:dyDescent="0.25">
      <c r="A1953" t="s">
        <v>11380</v>
      </c>
      <c r="B1953" s="102">
        <v>3737</v>
      </c>
      <c r="C1953" s="102">
        <v>3737</v>
      </c>
      <c r="D1953" s="102">
        <f>Table22[[#This Row],[CURRENT]]-Table22[[#This Row],[IDEAL]]</f>
        <v>0</v>
      </c>
    </row>
    <row r="1954" spans="1:4" x14ac:dyDescent="0.25">
      <c r="A1954" t="s">
        <v>12602</v>
      </c>
      <c r="B1954" s="102">
        <v>3550</v>
      </c>
      <c r="C1954" s="102">
        <v>3550</v>
      </c>
      <c r="D1954" s="102">
        <f>Table22[[#This Row],[CURRENT]]-Table22[[#This Row],[IDEAL]]</f>
        <v>0</v>
      </c>
    </row>
    <row r="1955" spans="1:4" x14ac:dyDescent="0.25">
      <c r="A1955" t="s">
        <v>11186</v>
      </c>
      <c r="B1955" s="102">
        <v>3007</v>
      </c>
      <c r="C1955" s="102">
        <v>3007</v>
      </c>
      <c r="D1955" s="102">
        <f>Table22[[#This Row],[CURRENT]]-Table22[[#This Row],[IDEAL]]</f>
        <v>0</v>
      </c>
    </row>
    <row r="1956" spans="1:4" x14ac:dyDescent="0.25">
      <c r="A1956" t="s">
        <v>12446</v>
      </c>
      <c r="B1956" s="102">
        <v>3966</v>
      </c>
      <c r="C1956" s="102">
        <v>3966</v>
      </c>
      <c r="D1956" s="102">
        <f>Table22[[#This Row],[CURRENT]]-Table22[[#This Row],[IDEAL]]</f>
        <v>0</v>
      </c>
    </row>
    <row r="1957" spans="1:4" x14ac:dyDescent="0.25">
      <c r="A1957" t="s">
        <v>12521</v>
      </c>
      <c r="B1957" s="102">
        <v>2640</v>
      </c>
      <c r="C1957" s="102">
        <v>2640</v>
      </c>
      <c r="D1957" s="102">
        <f>Table22[[#This Row],[CURRENT]]-Table22[[#This Row],[IDEAL]]</f>
        <v>0</v>
      </c>
    </row>
    <row r="1958" spans="1:4" x14ac:dyDescent="0.25">
      <c r="A1958" t="s">
        <v>12263</v>
      </c>
      <c r="B1958" s="102">
        <v>3456</v>
      </c>
      <c r="C1958" s="102">
        <v>3456</v>
      </c>
      <c r="D1958" s="102">
        <f>Table22[[#This Row],[CURRENT]]-Table22[[#This Row],[IDEAL]]</f>
        <v>0</v>
      </c>
    </row>
    <row r="1959" spans="1:4" x14ac:dyDescent="0.25">
      <c r="A1959" t="s">
        <v>11400</v>
      </c>
      <c r="B1959" s="102">
        <v>1583</v>
      </c>
      <c r="C1959" s="102">
        <v>1583</v>
      </c>
      <c r="D1959" s="102">
        <f>Table22[[#This Row],[CURRENT]]-Table22[[#This Row],[IDEAL]]</f>
        <v>0</v>
      </c>
    </row>
    <row r="1960" spans="1:4" x14ac:dyDescent="0.25">
      <c r="A1960" t="s">
        <v>11280</v>
      </c>
      <c r="B1960" s="102">
        <v>1567</v>
      </c>
      <c r="C1960" s="102">
        <v>1567</v>
      </c>
      <c r="D1960" s="102">
        <f>Table22[[#This Row],[CURRENT]]-Table22[[#This Row],[IDEAL]]</f>
        <v>0</v>
      </c>
    </row>
    <row r="1961" spans="1:4" x14ac:dyDescent="0.25">
      <c r="A1961" t="s">
        <v>11276</v>
      </c>
      <c r="B1961" s="102">
        <v>836</v>
      </c>
      <c r="C1961" s="102">
        <v>836</v>
      </c>
      <c r="D1961" s="102">
        <f>Table22[[#This Row],[CURRENT]]-Table22[[#This Row],[IDEAL]]</f>
        <v>0</v>
      </c>
    </row>
    <row r="1962" spans="1:4" x14ac:dyDescent="0.25">
      <c r="A1962" t="s">
        <v>12306</v>
      </c>
      <c r="B1962" s="102">
        <v>2857</v>
      </c>
      <c r="C1962" s="102">
        <v>2857</v>
      </c>
      <c r="D1962" s="102">
        <f>Table22[[#This Row],[CURRENT]]-Table22[[#This Row],[IDEAL]]</f>
        <v>0</v>
      </c>
    </row>
    <row r="1963" spans="1:4" x14ac:dyDescent="0.25">
      <c r="A1963" t="s">
        <v>11232</v>
      </c>
      <c r="B1963" s="102">
        <v>983</v>
      </c>
      <c r="C1963" s="102">
        <v>983</v>
      </c>
      <c r="D1963" s="102">
        <f>Table22[[#This Row],[CURRENT]]-Table22[[#This Row],[IDEAL]]</f>
        <v>0</v>
      </c>
    </row>
    <row r="1964" spans="1:4" x14ac:dyDescent="0.25">
      <c r="A1964" t="s">
        <v>11263</v>
      </c>
      <c r="B1964" s="102">
        <v>1647</v>
      </c>
      <c r="C1964" s="102">
        <v>1647</v>
      </c>
      <c r="D1964" s="102">
        <f>Table22[[#This Row],[CURRENT]]-Table22[[#This Row],[IDEAL]]</f>
        <v>0</v>
      </c>
    </row>
    <row r="1965" spans="1:4" x14ac:dyDescent="0.25">
      <c r="A1965" t="s">
        <v>12342</v>
      </c>
      <c r="B1965" s="102">
        <v>2660</v>
      </c>
      <c r="C1965" s="102">
        <v>2660</v>
      </c>
      <c r="D1965" s="102">
        <f>Table22[[#This Row],[CURRENT]]-Table22[[#This Row],[IDEAL]]</f>
        <v>0</v>
      </c>
    </row>
    <row r="1966" spans="1:4" x14ac:dyDescent="0.25">
      <c r="A1966" t="s">
        <v>12249</v>
      </c>
      <c r="B1966" s="102">
        <v>3584</v>
      </c>
      <c r="C1966" s="102">
        <v>3584</v>
      </c>
      <c r="D1966" s="102">
        <f>Table22[[#This Row],[CURRENT]]-Table22[[#This Row],[IDEAL]]</f>
        <v>0</v>
      </c>
    </row>
    <row r="1967" spans="1:4" x14ac:dyDescent="0.25">
      <c r="A1967" t="s">
        <v>12139</v>
      </c>
      <c r="B1967" s="102">
        <v>3643</v>
      </c>
      <c r="C1967" s="102">
        <v>3643</v>
      </c>
      <c r="D1967" s="102">
        <f>Table22[[#This Row],[CURRENT]]-Table22[[#This Row],[IDEAL]]</f>
        <v>0</v>
      </c>
    </row>
    <row r="1968" spans="1:4" x14ac:dyDescent="0.25">
      <c r="A1968" t="s">
        <v>12629</v>
      </c>
      <c r="B1968" s="102">
        <v>2416</v>
      </c>
      <c r="C1968" s="102">
        <v>2416</v>
      </c>
      <c r="D1968" s="102">
        <f>Table22[[#This Row],[CURRENT]]-Table22[[#This Row],[IDEAL]]</f>
        <v>0</v>
      </c>
    </row>
    <row r="1969" spans="1:4" x14ac:dyDescent="0.25">
      <c r="A1969" t="s">
        <v>12128</v>
      </c>
      <c r="B1969" s="102">
        <v>3771</v>
      </c>
      <c r="C1969" s="102">
        <v>3771</v>
      </c>
      <c r="D1969" s="102">
        <f>Table22[[#This Row],[CURRENT]]-Table22[[#This Row],[IDEAL]]</f>
        <v>0</v>
      </c>
    </row>
    <row r="1970" spans="1:4" x14ac:dyDescent="0.25">
      <c r="A1970" t="s">
        <v>12118</v>
      </c>
      <c r="B1970" s="102">
        <v>4077</v>
      </c>
      <c r="C1970" s="102">
        <v>4077</v>
      </c>
      <c r="D1970" s="102">
        <f>Table22[[#This Row],[CURRENT]]-Table22[[#This Row],[IDEAL]]</f>
        <v>0</v>
      </c>
    </row>
    <row r="1971" spans="1:4" x14ac:dyDescent="0.25">
      <c r="A1971" t="s">
        <v>12486</v>
      </c>
      <c r="B1971" s="102">
        <v>3438</v>
      </c>
      <c r="C1971" s="102">
        <v>3438</v>
      </c>
      <c r="D1971" s="102">
        <f>Table22[[#This Row],[CURRENT]]-Table22[[#This Row],[IDEAL]]</f>
        <v>0</v>
      </c>
    </row>
    <row r="1972" spans="1:4" x14ac:dyDescent="0.25">
      <c r="A1972" t="s">
        <v>12621</v>
      </c>
      <c r="B1972" s="102">
        <v>2810</v>
      </c>
      <c r="C1972" s="102">
        <v>2810</v>
      </c>
      <c r="D1972" s="102">
        <f>Table22[[#This Row],[CURRENT]]-Table22[[#This Row],[IDEAL]]</f>
        <v>0</v>
      </c>
    </row>
    <row r="1973" spans="1:4" x14ac:dyDescent="0.25">
      <c r="A1973" t="s">
        <v>12238</v>
      </c>
      <c r="B1973" s="102">
        <v>3660</v>
      </c>
      <c r="C1973" s="102">
        <v>3660</v>
      </c>
      <c r="D1973" s="102">
        <f>Table22[[#This Row],[CURRENT]]-Table22[[#This Row],[IDEAL]]</f>
        <v>0</v>
      </c>
    </row>
    <row r="1974" spans="1:4" x14ac:dyDescent="0.25">
      <c r="A1974" t="s">
        <v>12127</v>
      </c>
      <c r="B1974" s="102">
        <v>3818</v>
      </c>
      <c r="C1974" s="102">
        <v>3818</v>
      </c>
      <c r="D1974" s="102">
        <f>Table22[[#This Row],[CURRENT]]-Table22[[#This Row],[IDEAL]]</f>
        <v>0</v>
      </c>
    </row>
    <row r="1975" spans="1:4" x14ac:dyDescent="0.25">
      <c r="A1975" t="s">
        <v>11197</v>
      </c>
      <c r="B1975" s="102">
        <v>1640</v>
      </c>
      <c r="C1975" s="102">
        <v>1640</v>
      </c>
      <c r="D1975" s="102">
        <f>Table22[[#This Row],[CURRENT]]-Table22[[#This Row],[IDEAL]]</f>
        <v>0</v>
      </c>
    </row>
    <row r="1976" spans="1:4" x14ac:dyDescent="0.25">
      <c r="A1976" t="s">
        <v>12218</v>
      </c>
      <c r="B1976" s="102">
        <v>3976</v>
      </c>
      <c r="C1976" s="102">
        <v>3976</v>
      </c>
      <c r="D1976" s="102">
        <f>Table22[[#This Row],[CURRENT]]-Table22[[#This Row],[IDEAL]]</f>
        <v>0</v>
      </c>
    </row>
    <row r="1977" spans="1:4" x14ac:dyDescent="0.25">
      <c r="A1977" t="s">
        <v>12248</v>
      </c>
      <c r="B1977" s="102">
        <v>3584</v>
      </c>
      <c r="C1977" s="102">
        <v>3584</v>
      </c>
      <c r="D1977" s="102">
        <f>Table22[[#This Row],[CURRENT]]-Table22[[#This Row],[IDEAL]]</f>
        <v>0</v>
      </c>
    </row>
    <row r="1978" spans="1:4" x14ac:dyDescent="0.25">
      <c r="A1978" t="s">
        <v>11229</v>
      </c>
      <c r="B1978" s="102">
        <v>1119</v>
      </c>
      <c r="C1978" s="102">
        <v>1119</v>
      </c>
      <c r="D1978" s="102">
        <f>Table22[[#This Row],[CURRENT]]-Table22[[#This Row],[IDEAL]]</f>
        <v>0</v>
      </c>
    </row>
    <row r="1979" spans="1:4" x14ac:dyDescent="0.25">
      <c r="A1979" t="s">
        <v>12264</v>
      </c>
      <c r="B1979" s="102">
        <v>3450</v>
      </c>
      <c r="C1979" s="102">
        <v>3450</v>
      </c>
      <c r="D1979" s="102">
        <f>Table22[[#This Row],[CURRENT]]-Table22[[#This Row],[IDEAL]]</f>
        <v>0</v>
      </c>
    </row>
    <row r="1980" spans="1:4" x14ac:dyDescent="0.25">
      <c r="A1980" t="s">
        <v>11209</v>
      </c>
      <c r="B1980" s="102">
        <v>1084</v>
      </c>
      <c r="C1980" s="102">
        <v>1084</v>
      </c>
      <c r="D1980" s="102">
        <f>Table22[[#This Row],[CURRENT]]-Table22[[#This Row],[IDEAL]]</f>
        <v>0</v>
      </c>
    </row>
    <row r="1981" spans="1:4" x14ac:dyDescent="0.25">
      <c r="A1981" t="s">
        <v>11259</v>
      </c>
      <c r="B1981" s="102">
        <v>1717</v>
      </c>
      <c r="C1981" s="102">
        <v>1717</v>
      </c>
      <c r="D1981" s="102">
        <f>Table22[[#This Row],[CURRENT]]-Table22[[#This Row],[IDEAL]]</f>
        <v>0</v>
      </c>
    </row>
    <row r="1982" spans="1:4" x14ac:dyDescent="0.25">
      <c r="A1982" t="s">
        <v>12472</v>
      </c>
      <c r="B1982" s="102">
        <v>3526</v>
      </c>
      <c r="C1982" s="102">
        <v>3526</v>
      </c>
      <c r="D1982" s="102">
        <f>Table22[[#This Row],[CURRENT]]-Table22[[#This Row],[IDEAL]]</f>
        <v>0</v>
      </c>
    </row>
    <row r="1983" spans="1:4" x14ac:dyDescent="0.25">
      <c r="A1983" t="s">
        <v>12609</v>
      </c>
      <c r="B1983" s="102">
        <v>2945</v>
      </c>
      <c r="C1983" s="102">
        <v>2945</v>
      </c>
      <c r="D1983" s="102">
        <f>Table22[[#This Row],[CURRENT]]-Table22[[#This Row],[IDEAL]]</f>
        <v>0</v>
      </c>
    </row>
    <row r="1984" spans="1:4" x14ac:dyDescent="0.25">
      <c r="A1984" t="s">
        <v>12558</v>
      </c>
      <c r="B1984" s="102">
        <v>1644</v>
      </c>
      <c r="C1984" s="102">
        <v>1644</v>
      </c>
      <c r="D1984" s="102">
        <f>Table22[[#This Row],[CURRENT]]-Table22[[#This Row],[IDEAL]]</f>
        <v>0</v>
      </c>
    </row>
    <row r="1985" spans="1:4" x14ac:dyDescent="0.25">
      <c r="A1985" t="s">
        <v>11265</v>
      </c>
      <c r="B1985" s="102">
        <v>1945</v>
      </c>
      <c r="C1985" s="102">
        <v>1945</v>
      </c>
      <c r="D1985" s="102">
        <f>Table22[[#This Row],[CURRENT]]-Table22[[#This Row],[IDEAL]]</f>
        <v>0</v>
      </c>
    </row>
    <row r="1986" spans="1:4" x14ac:dyDescent="0.25">
      <c r="A1986" t="s">
        <v>12210</v>
      </c>
      <c r="B1986" s="102">
        <v>4219</v>
      </c>
      <c r="C1986" s="102">
        <v>4219</v>
      </c>
      <c r="D1986" s="102">
        <f>Table22[[#This Row],[CURRENT]]-Table22[[#This Row],[IDEAL]]</f>
        <v>0</v>
      </c>
    </row>
    <row r="1987" spans="1:4" x14ac:dyDescent="0.25">
      <c r="A1987" t="s">
        <v>12308</v>
      </c>
      <c r="B1987" s="102">
        <v>2833</v>
      </c>
      <c r="C1987" s="102">
        <v>2833</v>
      </c>
      <c r="D1987" s="102">
        <f>Table22[[#This Row],[CURRENT]]-Table22[[#This Row],[IDEAL]]</f>
        <v>0</v>
      </c>
    </row>
    <row r="1988" spans="1:4" x14ac:dyDescent="0.25">
      <c r="A1988" t="s">
        <v>12256</v>
      </c>
      <c r="B1988" s="102">
        <v>3526</v>
      </c>
      <c r="C1988" s="102">
        <v>3526</v>
      </c>
      <c r="D1988" s="102">
        <f>Table22[[#This Row],[CURRENT]]-Table22[[#This Row],[IDEAL]]</f>
        <v>0</v>
      </c>
    </row>
    <row r="1989" spans="1:4" x14ac:dyDescent="0.25">
      <c r="A1989" t="s">
        <v>12156</v>
      </c>
      <c r="B1989" s="102">
        <v>3059</v>
      </c>
      <c r="C1989" s="102">
        <v>3059</v>
      </c>
      <c r="D1989" s="102">
        <f>Table22[[#This Row],[CURRENT]]-Table22[[#This Row],[IDEAL]]</f>
        <v>0</v>
      </c>
    </row>
    <row r="1990" spans="1:4" x14ac:dyDescent="0.25">
      <c r="A1990" t="s">
        <v>11277</v>
      </c>
      <c r="B1990" s="102">
        <v>3382</v>
      </c>
      <c r="C1990" s="102">
        <v>3382</v>
      </c>
      <c r="D1990" s="102">
        <f>Table22[[#This Row],[CURRENT]]-Table22[[#This Row],[IDEAL]]</f>
        <v>0</v>
      </c>
    </row>
    <row r="1991" spans="1:4" x14ac:dyDescent="0.25">
      <c r="A1991" t="s">
        <v>12618</v>
      </c>
      <c r="B1991" s="102">
        <v>2561</v>
      </c>
      <c r="C1991" s="102">
        <v>2561</v>
      </c>
      <c r="D1991" s="102">
        <f>Table22[[#This Row],[CURRENT]]-Table22[[#This Row],[IDEAL]]</f>
        <v>0</v>
      </c>
    </row>
    <row r="1992" spans="1:4" x14ac:dyDescent="0.25">
      <c r="A1992" t="s">
        <v>12450</v>
      </c>
      <c r="B1992" s="102">
        <v>3812</v>
      </c>
      <c r="C1992" s="102">
        <v>3812</v>
      </c>
      <c r="D1992" s="102">
        <f>Table22[[#This Row],[CURRENT]]-Table22[[#This Row],[IDEAL]]</f>
        <v>0</v>
      </c>
    </row>
    <row r="1993" spans="1:4" x14ac:dyDescent="0.25">
      <c r="A1993" t="s">
        <v>12221</v>
      </c>
      <c r="B1993" s="102">
        <v>3915</v>
      </c>
      <c r="C1993" s="102">
        <v>3915</v>
      </c>
      <c r="D1993" s="102">
        <f>Table22[[#This Row],[CURRENT]]-Table22[[#This Row],[IDEAL]]</f>
        <v>0</v>
      </c>
    </row>
    <row r="1994" spans="1:4" x14ac:dyDescent="0.25">
      <c r="A1994" t="s">
        <v>12288</v>
      </c>
      <c r="B1994" s="102">
        <v>3193</v>
      </c>
      <c r="C1994" s="102">
        <v>3193</v>
      </c>
      <c r="D1994" s="102">
        <f>Table22[[#This Row],[CURRENT]]-Table22[[#This Row],[IDEAL]]</f>
        <v>0</v>
      </c>
    </row>
    <row r="1995" spans="1:4" x14ac:dyDescent="0.25">
      <c r="A1995" t="s">
        <v>11183</v>
      </c>
      <c r="B1995" s="102">
        <v>1096</v>
      </c>
      <c r="C1995" s="102">
        <v>1096</v>
      </c>
      <c r="D1995" s="102">
        <f>Table22[[#This Row],[CURRENT]]-Table22[[#This Row],[IDEAL]]</f>
        <v>0</v>
      </c>
    </row>
    <row r="1996" spans="1:4" x14ac:dyDescent="0.25">
      <c r="A1996" t="s">
        <v>12142</v>
      </c>
      <c r="B1996" s="102">
        <v>3564</v>
      </c>
      <c r="C1996" s="102">
        <v>3564</v>
      </c>
      <c r="D1996" s="102">
        <f>Table22[[#This Row],[CURRENT]]-Table22[[#This Row],[IDEAL]]</f>
        <v>0</v>
      </c>
    </row>
    <row r="1997" spans="1:4" x14ac:dyDescent="0.25">
      <c r="A1997" t="s">
        <v>12612</v>
      </c>
      <c r="B1997" s="102">
        <v>3299</v>
      </c>
      <c r="C1997" s="102">
        <v>3299</v>
      </c>
      <c r="D1997" s="102">
        <f>Table22[[#This Row],[CURRENT]]-Table22[[#This Row],[IDEAL]]</f>
        <v>0</v>
      </c>
    </row>
    <row r="1998" spans="1:4" x14ac:dyDescent="0.25">
      <c r="A1998" t="s">
        <v>11226</v>
      </c>
      <c r="B1998" s="102">
        <v>1216</v>
      </c>
      <c r="C1998" s="102">
        <v>1216</v>
      </c>
      <c r="D1998" s="102">
        <f>Table22[[#This Row],[CURRENT]]-Table22[[#This Row],[IDEAL]]</f>
        <v>0</v>
      </c>
    </row>
    <row r="1999" spans="1:4" x14ac:dyDescent="0.25">
      <c r="A1999" t="s">
        <v>12562</v>
      </c>
      <c r="B1999" s="102">
        <v>1493</v>
      </c>
      <c r="C1999" s="102">
        <v>1493</v>
      </c>
      <c r="D1999" s="102">
        <f>Table22[[#This Row],[CURRENT]]-Table22[[#This Row],[IDEAL]]</f>
        <v>0</v>
      </c>
    </row>
    <row r="2000" spans="1:4" x14ac:dyDescent="0.25">
      <c r="A2000" t="s">
        <v>11194</v>
      </c>
      <c r="B2000" s="102">
        <v>1520</v>
      </c>
      <c r="C2000" s="102">
        <v>1520</v>
      </c>
      <c r="D2000" s="102">
        <f>Table22[[#This Row],[CURRENT]]-Table22[[#This Row],[IDEAL]]</f>
        <v>0</v>
      </c>
    </row>
    <row r="2001" spans="1:4" x14ac:dyDescent="0.25">
      <c r="A2001" t="s">
        <v>12644</v>
      </c>
      <c r="B2001" s="102">
        <v>1245</v>
      </c>
      <c r="C2001" s="102">
        <v>1245</v>
      </c>
      <c r="D2001" s="102">
        <f>Table22[[#This Row],[CURRENT]]-Table22[[#This Row],[IDEAL]]</f>
        <v>0</v>
      </c>
    </row>
    <row r="2002" spans="1:4" x14ac:dyDescent="0.25">
      <c r="A2002" t="s">
        <v>12559</v>
      </c>
      <c r="B2002" s="102">
        <v>1598</v>
      </c>
      <c r="C2002" s="102">
        <v>1598</v>
      </c>
      <c r="D2002" s="102">
        <f>Table22[[#This Row],[CURRENT]]-Table22[[#This Row],[IDEAL]]</f>
        <v>0</v>
      </c>
    </row>
    <row r="2003" spans="1:4" x14ac:dyDescent="0.25">
      <c r="A2003" t="s">
        <v>12355</v>
      </c>
      <c r="B2003" s="102">
        <v>2551</v>
      </c>
      <c r="C2003" s="102">
        <v>2551</v>
      </c>
      <c r="D2003" s="102">
        <f>Table22[[#This Row],[CURRENT]]-Table22[[#This Row],[IDEAL]]</f>
        <v>0</v>
      </c>
    </row>
    <row r="2004" spans="1:4" x14ac:dyDescent="0.25">
      <c r="A2004" t="s">
        <v>12146</v>
      </c>
      <c r="B2004" s="102">
        <v>3400</v>
      </c>
      <c r="C2004" s="102">
        <v>3400</v>
      </c>
      <c r="D2004" s="102">
        <f>Table22[[#This Row],[CURRENT]]-Table22[[#This Row],[IDEAL]]</f>
        <v>0</v>
      </c>
    </row>
    <row r="2005" spans="1:4" x14ac:dyDescent="0.25">
      <c r="A2005" t="s">
        <v>12211</v>
      </c>
      <c r="B2005" s="102">
        <v>4215</v>
      </c>
      <c r="C2005" s="102">
        <v>4215</v>
      </c>
      <c r="D2005" s="102">
        <f>Table22[[#This Row],[CURRENT]]-Table22[[#This Row],[IDEAL]]</f>
        <v>0</v>
      </c>
    </row>
    <row r="2006" spans="1:4" x14ac:dyDescent="0.25">
      <c r="A2006" t="s">
        <v>11266</v>
      </c>
      <c r="B2006" s="102">
        <v>4256</v>
      </c>
      <c r="C2006" s="102">
        <v>4256</v>
      </c>
      <c r="D2006" s="102">
        <f>Table22[[#This Row],[CURRENT]]-Table22[[#This Row],[IDEAL]]</f>
        <v>0</v>
      </c>
    </row>
    <row r="2007" spans="1:4" x14ac:dyDescent="0.25">
      <c r="A2007" t="s">
        <v>12212</v>
      </c>
      <c r="B2007" s="102">
        <v>4185</v>
      </c>
      <c r="C2007" s="102">
        <v>4185</v>
      </c>
      <c r="D2007" s="102">
        <f>Table22[[#This Row],[CURRENT]]-Table22[[#This Row],[IDEAL]]</f>
        <v>0</v>
      </c>
    </row>
    <row r="2008" spans="1:4" x14ac:dyDescent="0.25">
      <c r="A2008" t="s">
        <v>12208</v>
      </c>
      <c r="B2008" s="102">
        <v>4276</v>
      </c>
      <c r="C2008" s="102">
        <v>4276</v>
      </c>
      <c r="D2008" s="102">
        <f>Table22[[#This Row],[CURRENT]]-Table22[[#This Row],[IDEAL]]</f>
        <v>0</v>
      </c>
    </row>
    <row r="2009" spans="1:4" x14ac:dyDescent="0.25">
      <c r="A2009" t="s">
        <v>12224</v>
      </c>
      <c r="B2009" s="102">
        <v>3873</v>
      </c>
      <c r="C2009" s="102">
        <v>3873</v>
      </c>
      <c r="D2009" s="102">
        <f>Table22[[#This Row],[CURRENT]]-Table22[[#This Row],[IDEAL]]</f>
        <v>0</v>
      </c>
    </row>
    <row r="2010" spans="1:4" x14ac:dyDescent="0.25">
      <c r="A2010" t="s">
        <v>12491</v>
      </c>
      <c r="B2010" s="102">
        <v>3388</v>
      </c>
      <c r="C2010" s="102">
        <v>3388</v>
      </c>
      <c r="D2010" s="102">
        <f>Table22[[#This Row],[CURRENT]]-Table22[[#This Row],[IDEAL]]</f>
        <v>0</v>
      </c>
    </row>
    <row r="2011" spans="1:4" x14ac:dyDescent="0.25">
      <c r="A2011" t="s">
        <v>12229</v>
      </c>
      <c r="B2011" s="102">
        <v>3818</v>
      </c>
      <c r="C2011" s="102">
        <v>3818</v>
      </c>
      <c r="D2011" s="102">
        <f>Table22[[#This Row],[CURRENT]]-Table22[[#This Row],[IDEAL]]</f>
        <v>0</v>
      </c>
    </row>
    <row r="2012" spans="1:4" x14ac:dyDescent="0.25">
      <c r="A2012" t="s">
        <v>12247</v>
      </c>
      <c r="B2012" s="102">
        <v>3591</v>
      </c>
      <c r="C2012" s="102">
        <v>3591</v>
      </c>
      <c r="D2012" s="102">
        <f>Table22[[#This Row],[CURRENT]]-Table22[[#This Row],[IDEAL]]</f>
        <v>0</v>
      </c>
    </row>
    <row r="2013" spans="1:4" x14ac:dyDescent="0.25">
      <c r="A2013" t="s">
        <v>12578</v>
      </c>
      <c r="B2013" s="102">
        <v>1116</v>
      </c>
      <c r="C2013" s="102">
        <v>1116</v>
      </c>
      <c r="D2013" s="102">
        <f>Table22[[#This Row],[CURRENT]]-Table22[[#This Row],[IDEAL]]</f>
        <v>0</v>
      </c>
    </row>
    <row r="2014" spans="1:4" x14ac:dyDescent="0.25">
      <c r="A2014" t="s">
        <v>13770</v>
      </c>
      <c r="B2014" s="102">
        <v>3685</v>
      </c>
      <c r="C2014" s="102">
        <v>3685</v>
      </c>
      <c r="D2014" s="102">
        <f>Table22[[#This Row],[CURRENT]]-Table22[[#This Row],[IDEAL]]</f>
        <v>0</v>
      </c>
    </row>
    <row r="2015" spans="1:4" x14ac:dyDescent="0.25">
      <c r="A2015" t="s">
        <v>13830</v>
      </c>
      <c r="B2015" s="102">
        <v>2601</v>
      </c>
      <c r="C2015" s="102">
        <v>2601</v>
      </c>
      <c r="D2015" s="102">
        <f>Table22[[#This Row],[CURRENT]]-Table22[[#This Row],[IDEAL]]</f>
        <v>0</v>
      </c>
    </row>
    <row r="2016" spans="1:4" x14ac:dyDescent="0.25">
      <c r="A2016" t="s">
        <v>13791</v>
      </c>
      <c r="B2016" s="102">
        <v>3442</v>
      </c>
      <c r="C2016" s="102">
        <v>3442</v>
      </c>
      <c r="D2016" s="102">
        <f>Table22[[#This Row],[CURRENT]]-Table22[[#This Row],[IDEAL]]</f>
        <v>0</v>
      </c>
    </row>
    <row r="2017" spans="1:4" x14ac:dyDescent="0.25">
      <c r="A2017" t="s">
        <v>13705</v>
      </c>
      <c r="B2017" s="102">
        <v>3848</v>
      </c>
      <c r="C2017" s="102">
        <v>3848</v>
      </c>
      <c r="D2017" s="102">
        <f>Table22[[#This Row],[CURRENT]]-Table22[[#This Row],[IDEAL]]</f>
        <v>0</v>
      </c>
    </row>
    <row r="2018" spans="1:4" x14ac:dyDescent="0.25">
      <c r="A2018" t="s">
        <v>13825</v>
      </c>
      <c r="B2018" s="102">
        <v>2714</v>
      </c>
      <c r="C2018" s="102">
        <v>2714</v>
      </c>
      <c r="D2018" s="102">
        <f>Table22[[#This Row],[CURRENT]]-Table22[[#This Row],[IDEAL]]</f>
        <v>0</v>
      </c>
    </row>
    <row r="2019" spans="1:4" x14ac:dyDescent="0.25">
      <c r="A2019" t="s">
        <v>13701</v>
      </c>
      <c r="B2019" s="102">
        <v>3150</v>
      </c>
      <c r="C2019" s="102">
        <v>3150</v>
      </c>
      <c r="D2019" s="102">
        <f>Table22[[#This Row],[CURRENT]]-Table22[[#This Row],[IDEAL]]</f>
        <v>0</v>
      </c>
    </row>
    <row r="2020" spans="1:4" x14ac:dyDescent="0.25">
      <c r="A2020" t="s">
        <v>14021</v>
      </c>
      <c r="B2020" s="102">
        <v>2448</v>
      </c>
      <c r="C2020" s="102">
        <v>2448</v>
      </c>
      <c r="D2020" s="102">
        <f>Table22[[#This Row],[CURRENT]]-Table22[[#This Row],[IDEAL]]</f>
        <v>0</v>
      </c>
    </row>
    <row r="2021" spans="1:4" x14ac:dyDescent="0.25">
      <c r="A2021" t="s">
        <v>13904</v>
      </c>
      <c r="B2021" s="102">
        <v>3877</v>
      </c>
      <c r="C2021" s="102">
        <v>3877</v>
      </c>
      <c r="D2021" s="102">
        <f>Table22[[#This Row],[CURRENT]]-Table22[[#This Row],[IDEAL]]</f>
        <v>0</v>
      </c>
    </row>
    <row r="2022" spans="1:4" x14ac:dyDescent="0.25">
      <c r="A2022" t="s">
        <v>13623</v>
      </c>
      <c r="B2022" s="102">
        <v>3780</v>
      </c>
      <c r="C2022" s="102">
        <v>3780</v>
      </c>
      <c r="D2022" s="102">
        <f>Table22[[#This Row],[CURRENT]]-Table22[[#This Row],[IDEAL]]</f>
        <v>0</v>
      </c>
    </row>
    <row r="2023" spans="1:4" x14ac:dyDescent="0.25">
      <c r="A2023" t="s">
        <v>13817</v>
      </c>
      <c r="B2023" s="102">
        <v>2837</v>
      </c>
      <c r="C2023" s="102">
        <v>2837</v>
      </c>
      <c r="D2023" s="102">
        <f>Table22[[#This Row],[CURRENT]]-Table22[[#This Row],[IDEAL]]</f>
        <v>0</v>
      </c>
    </row>
    <row r="2024" spans="1:4" x14ac:dyDescent="0.25">
      <c r="A2024" t="s">
        <v>13636</v>
      </c>
      <c r="B2024" s="102">
        <v>3079</v>
      </c>
      <c r="C2024" s="102">
        <v>3079</v>
      </c>
      <c r="D2024" s="102">
        <f>Table22[[#This Row],[CURRENT]]-Table22[[#This Row],[IDEAL]]</f>
        <v>0</v>
      </c>
    </row>
    <row r="2025" spans="1:4" x14ac:dyDescent="0.25">
      <c r="A2025" t="s">
        <v>14010</v>
      </c>
      <c r="B2025" s="102">
        <v>2519</v>
      </c>
      <c r="C2025" s="102">
        <v>2519</v>
      </c>
      <c r="D2025" s="102">
        <f>Table22[[#This Row],[CURRENT]]-Table22[[#This Row],[IDEAL]]</f>
        <v>0</v>
      </c>
    </row>
    <row r="2026" spans="1:4" x14ac:dyDescent="0.25">
      <c r="A2026" t="s">
        <v>14018</v>
      </c>
      <c r="B2026" s="102">
        <v>2488</v>
      </c>
      <c r="C2026" s="102">
        <v>2488</v>
      </c>
      <c r="D2026" s="102">
        <f>Table22[[#This Row],[CURRENT]]-Table22[[#This Row],[IDEAL]]</f>
        <v>0</v>
      </c>
    </row>
    <row r="2027" spans="1:4" x14ac:dyDescent="0.25">
      <c r="A2027" t="s">
        <v>13538</v>
      </c>
      <c r="B2027" s="102">
        <v>3287</v>
      </c>
      <c r="C2027" s="102">
        <v>3287</v>
      </c>
      <c r="D2027" s="102">
        <f>Table22[[#This Row],[CURRENT]]-Table22[[#This Row],[IDEAL]]</f>
        <v>0</v>
      </c>
    </row>
    <row r="2028" spans="1:4" x14ac:dyDescent="0.25">
      <c r="A2028" t="s">
        <v>13557</v>
      </c>
      <c r="B2028" s="102">
        <v>3035</v>
      </c>
      <c r="C2028" s="102">
        <v>3035</v>
      </c>
      <c r="D2028" s="102">
        <f>Table22[[#This Row],[CURRENT]]-Table22[[#This Row],[IDEAL]]</f>
        <v>0</v>
      </c>
    </row>
    <row r="2029" spans="1:4" x14ac:dyDescent="0.25">
      <c r="A2029" t="s">
        <v>13755</v>
      </c>
      <c r="B2029" s="102">
        <v>4230</v>
      </c>
      <c r="C2029" s="102">
        <v>4230</v>
      </c>
      <c r="D2029" s="102">
        <f>Table22[[#This Row],[CURRENT]]-Table22[[#This Row],[IDEAL]]</f>
        <v>0</v>
      </c>
    </row>
    <row r="2030" spans="1:4" x14ac:dyDescent="0.25">
      <c r="A2030" t="s">
        <v>13585</v>
      </c>
      <c r="B2030" s="102">
        <v>3153</v>
      </c>
      <c r="C2030" s="102">
        <v>3153</v>
      </c>
      <c r="D2030" s="102">
        <f>Table22[[#This Row],[CURRENT]]-Table22[[#This Row],[IDEAL]]</f>
        <v>0</v>
      </c>
    </row>
    <row r="2031" spans="1:4" x14ac:dyDescent="0.25">
      <c r="A2031" t="s">
        <v>13706</v>
      </c>
      <c r="B2031" s="102">
        <v>3709</v>
      </c>
      <c r="C2031" s="102">
        <v>3709</v>
      </c>
      <c r="D2031" s="102">
        <f>Table22[[#This Row],[CURRENT]]-Table22[[#This Row],[IDEAL]]</f>
        <v>0</v>
      </c>
    </row>
    <row r="2032" spans="1:4" x14ac:dyDescent="0.25">
      <c r="A2032" t="s">
        <v>14025</v>
      </c>
      <c r="B2032" s="102">
        <v>2434</v>
      </c>
      <c r="C2032" s="102">
        <v>2434</v>
      </c>
      <c r="D2032" s="102">
        <f>Table22[[#This Row],[CURRENT]]-Table22[[#This Row],[IDEAL]]</f>
        <v>0</v>
      </c>
    </row>
    <row r="2033" spans="1:4" x14ac:dyDescent="0.25">
      <c r="A2033" t="s">
        <v>13954</v>
      </c>
      <c r="B2033" s="102">
        <v>2993</v>
      </c>
      <c r="C2033" s="102">
        <v>2993</v>
      </c>
      <c r="D2033" s="102">
        <f>Table22[[#This Row],[CURRENT]]-Table22[[#This Row],[IDEAL]]</f>
        <v>0</v>
      </c>
    </row>
    <row r="2034" spans="1:4" x14ac:dyDescent="0.25">
      <c r="A2034" t="s">
        <v>13983</v>
      </c>
      <c r="B2034" s="102">
        <v>2676</v>
      </c>
      <c r="C2034" s="102">
        <v>2676</v>
      </c>
      <c r="D2034" s="102">
        <f>Table22[[#This Row],[CURRENT]]-Table22[[#This Row],[IDEAL]]</f>
        <v>0</v>
      </c>
    </row>
    <row r="2035" spans="1:4" x14ac:dyDescent="0.25">
      <c r="A2035" t="s">
        <v>13764</v>
      </c>
      <c r="B2035" s="102">
        <v>3776</v>
      </c>
      <c r="C2035" s="102">
        <v>3776</v>
      </c>
      <c r="D2035" s="102">
        <f>Table22[[#This Row],[CURRENT]]-Table22[[#This Row],[IDEAL]]</f>
        <v>0</v>
      </c>
    </row>
    <row r="2036" spans="1:4" x14ac:dyDescent="0.25">
      <c r="A2036" t="s">
        <v>13749</v>
      </c>
      <c r="B2036" s="102">
        <v>3795</v>
      </c>
      <c r="C2036" s="102">
        <v>3795</v>
      </c>
      <c r="D2036" s="102">
        <f>Table22[[#This Row],[CURRENT]]-Table22[[#This Row],[IDEAL]]</f>
        <v>0</v>
      </c>
    </row>
    <row r="2037" spans="1:4" x14ac:dyDescent="0.25">
      <c r="A2037" t="s">
        <v>13985</v>
      </c>
      <c r="B2037" s="102">
        <v>2670</v>
      </c>
      <c r="C2037" s="102">
        <v>2670</v>
      </c>
      <c r="D2037" s="102">
        <f>Table22[[#This Row],[CURRENT]]-Table22[[#This Row],[IDEAL]]</f>
        <v>0</v>
      </c>
    </row>
    <row r="2038" spans="1:4" x14ac:dyDescent="0.25">
      <c r="A2038" t="s">
        <v>13584</v>
      </c>
      <c r="B2038" s="102">
        <v>3157</v>
      </c>
      <c r="C2038" s="102">
        <v>3157</v>
      </c>
      <c r="D2038" s="102">
        <f>Table22[[#This Row],[CURRENT]]-Table22[[#This Row],[IDEAL]]</f>
        <v>0</v>
      </c>
    </row>
    <row r="2039" spans="1:4" x14ac:dyDescent="0.25">
      <c r="A2039" t="s">
        <v>13901</v>
      </c>
      <c r="B2039" s="102">
        <v>3907</v>
      </c>
      <c r="C2039" s="102">
        <v>3907</v>
      </c>
      <c r="D2039" s="102">
        <f>Table22[[#This Row],[CURRENT]]-Table22[[#This Row],[IDEAL]]</f>
        <v>0</v>
      </c>
    </row>
    <row r="2040" spans="1:4" x14ac:dyDescent="0.25">
      <c r="A2040" t="s">
        <v>14012</v>
      </c>
      <c r="B2040" s="102">
        <v>2502</v>
      </c>
      <c r="C2040" s="102">
        <v>2502</v>
      </c>
      <c r="D2040" s="102">
        <f>Table22[[#This Row],[CURRENT]]-Table22[[#This Row],[IDEAL]]</f>
        <v>0</v>
      </c>
    </row>
    <row r="2041" spans="1:4" x14ac:dyDescent="0.25">
      <c r="A2041" t="s">
        <v>13639</v>
      </c>
      <c r="B2041" s="102">
        <v>3044</v>
      </c>
      <c r="C2041" s="102">
        <v>3044</v>
      </c>
      <c r="D2041" s="102">
        <f>Table22[[#This Row],[CURRENT]]-Table22[[#This Row],[IDEAL]]</f>
        <v>0</v>
      </c>
    </row>
    <row r="2042" spans="1:4" x14ac:dyDescent="0.25">
      <c r="A2042" t="s">
        <v>13583</v>
      </c>
      <c r="B2042" s="102">
        <v>3157</v>
      </c>
      <c r="C2042" s="102">
        <v>3157</v>
      </c>
      <c r="D2042" s="102">
        <f>Table22[[#This Row],[CURRENT]]-Table22[[#This Row],[IDEAL]]</f>
        <v>0</v>
      </c>
    </row>
    <row r="2043" spans="1:4" x14ac:dyDescent="0.25">
      <c r="A2043" t="s">
        <v>13579</v>
      </c>
      <c r="B2043" s="102">
        <v>3261</v>
      </c>
      <c r="C2043" s="102">
        <v>3261</v>
      </c>
      <c r="D2043" s="102">
        <f>Table22[[#This Row],[CURRENT]]-Table22[[#This Row],[IDEAL]]</f>
        <v>0</v>
      </c>
    </row>
    <row r="2044" spans="1:4" x14ac:dyDescent="0.25">
      <c r="A2044" t="s">
        <v>13915</v>
      </c>
      <c r="B2044" s="102">
        <v>4161</v>
      </c>
      <c r="C2044" s="102">
        <v>4161</v>
      </c>
      <c r="D2044" s="102">
        <f>Table22[[#This Row],[CURRENT]]-Table22[[#This Row],[IDEAL]]</f>
        <v>0</v>
      </c>
    </row>
    <row r="2045" spans="1:4" x14ac:dyDescent="0.25">
      <c r="A2045" t="s">
        <v>13536</v>
      </c>
      <c r="B2045" s="102">
        <v>3309</v>
      </c>
      <c r="C2045" s="102">
        <v>3309</v>
      </c>
      <c r="D2045" s="102">
        <f>Table22[[#This Row],[CURRENT]]-Table22[[#This Row],[IDEAL]]</f>
        <v>0</v>
      </c>
    </row>
    <row r="2046" spans="1:4" x14ac:dyDescent="0.25">
      <c r="A2046" t="s">
        <v>14015</v>
      </c>
      <c r="B2046" s="102">
        <v>2491</v>
      </c>
      <c r="C2046" s="102">
        <v>2491</v>
      </c>
      <c r="D2046" s="102">
        <f>Table22[[#This Row],[CURRENT]]-Table22[[#This Row],[IDEAL]]</f>
        <v>0</v>
      </c>
    </row>
    <row r="2047" spans="1:4" x14ac:dyDescent="0.25">
      <c r="A2047" t="s">
        <v>14002</v>
      </c>
      <c r="B2047" s="102">
        <v>2571</v>
      </c>
      <c r="C2047" s="102">
        <v>2571</v>
      </c>
      <c r="D2047" s="102">
        <f>Table22[[#This Row],[CURRENT]]-Table22[[#This Row],[IDEAL]]</f>
        <v>0</v>
      </c>
    </row>
    <row r="2048" spans="1:4" x14ac:dyDescent="0.25">
      <c r="A2048" t="s">
        <v>13620</v>
      </c>
      <c r="B2048" s="102">
        <v>3880</v>
      </c>
      <c r="C2048" s="102">
        <v>3880</v>
      </c>
      <c r="D2048" s="102">
        <f>Table22[[#This Row],[CURRENT]]-Table22[[#This Row],[IDEAL]]</f>
        <v>0</v>
      </c>
    </row>
    <row r="2049" spans="1:4" x14ac:dyDescent="0.25">
      <c r="A2049" t="s">
        <v>13619</v>
      </c>
      <c r="B2049" s="102">
        <v>3886</v>
      </c>
      <c r="C2049" s="102">
        <v>3886</v>
      </c>
      <c r="D2049" s="102">
        <f>Table22[[#This Row],[CURRENT]]-Table22[[#This Row],[IDEAL]]</f>
        <v>0</v>
      </c>
    </row>
    <row r="2050" spans="1:4" x14ac:dyDescent="0.25">
      <c r="A2050" t="s">
        <v>13883</v>
      </c>
      <c r="B2050" s="102">
        <v>3393</v>
      </c>
      <c r="C2050" s="102">
        <v>3393</v>
      </c>
      <c r="D2050" s="102">
        <f>Table22[[#This Row],[CURRENT]]-Table22[[#This Row],[IDEAL]]</f>
        <v>0</v>
      </c>
    </row>
    <row r="2051" spans="1:4" x14ac:dyDescent="0.25">
      <c r="A2051" t="s">
        <v>13798</v>
      </c>
      <c r="B2051" s="102">
        <v>3384</v>
      </c>
      <c r="C2051" s="102">
        <v>3384</v>
      </c>
      <c r="D2051" s="102">
        <f>Table22[[#This Row],[CURRENT]]-Table22[[#This Row],[IDEAL]]</f>
        <v>0</v>
      </c>
    </row>
    <row r="2052" spans="1:4" x14ac:dyDescent="0.25">
      <c r="A2052" t="s">
        <v>14013</v>
      </c>
      <c r="B2052" s="102">
        <v>2496</v>
      </c>
      <c r="C2052" s="102">
        <v>2496</v>
      </c>
      <c r="D2052" s="102">
        <f>Table22[[#This Row],[CURRENT]]-Table22[[#This Row],[IDEAL]]</f>
        <v>0</v>
      </c>
    </row>
    <row r="2053" spans="1:4" x14ac:dyDescent="0.25">
      <c r="A2053" t="s">
        <v>13610</v>
      </c>
      <c r="B2053" s="102">
        <v>3202</v>
      </c>
      <c r="C2053" s="102">
        <v>3202</v>
      </c>
      <c r="D2053" s="102">
        <f>Table22[[#This Row],[CURRENT]]-Table22[[#This Row],[IDEAL]]</f>
        <v>0</v>
      </c>
    </row>
    <row r="2054" spans="1:4" x14ac:dyDescent="0.25">
      <c r="A2054" t="s">
        <v>13769</v>
      </c>
      <c r="B2054" s="102">
        <v>3685</v>
      </c>
      <c r="C2054" s="102">
        <v>3685</v>
      </c>
      <c r="D2054" s="102">
        <f>Table22[[#This Row],[CURRENT]]-Table22[[#This Row],[IDEAL]]</f>
        <v>0</v>
      </c>
    </row>
    <row r="2055" spans="1:4" x14ac:dyDescent="0.25">
      <c r="A2055" t="s">
        <v>13940</v>
      </c>
      <c r="B2055" s="102">
        <v>3153</v>
      </c>
      <c r="C2055" s="102">
        <v>3153</v>
      </c>
      <c r="D2055" s="102">
        <f>Table22[[#This Row],[CURRENT]]-Table22[[#This Row],[IDEAL]]</f>
        <v>0</v>
      </c>
    </row>
    <row r="2056" spans="1:4" x14ac:dyDescent="0.25">
      <c r="A2056" t="s">
        <v>13935</v>
      </c>
      <c r="B2056" s="102">
        <v>3195</v>
      </c>
      <c r="C2056" s="102">
        <v>3195</v>
      </c>
      <c r="D2056" s="102">
        <f>Table22[[#This Row],[CURRENT]]-Table22[[#This Row],[IDEAL]]</f>
        <v>0</v>
      </c>
    </row>
    <row r="2057" spans="1:4" x14ac:dyDescent="0.25">
      <c r="A2057" t="s">
        <v>13768</v>
      </c>
      <c r="B2057" s="102">
        <v>3697</v>
      </c>
      <c r="C2057" s="102">
        <v>3697</v>
      </c>
      <c r="D2057" s="102">
        <f>Table22[[#This Row],[CURRENT]]-Table22[[#This Row],[IDEAL]]</f>
        <v>0</v>
      </c>
    </row>
    <row r="2058" spans="1:4" x14ac:dyDescent="0.25">
      <c r="A2058" t="s">
        <v>13914</v>
      </c>
      <c r="B2058" s="102">
        <v>3048</v>
      </c>
      <c r="C2058" s="102">
        <v>3048</v>
      </c>
      <c r="D2058" s="102">
        <f>Table22[[#This Row],[CURRENT]]-Table22[[#This Row],[IDEAL]]</f>
        <v>0</v>
      </c>
    </row>
    <row r="2059" spans="1:4" x14ac:dyDescent="0.25">
      <c r="A2059" t="s">
        <v>13913</v>
      </c>
      <c r="B2059" s="102">
        <v>3053</v>
      </c>
      <c r="C2059" s="102">
        <v>3053</v>
      </c>
      <c r="D2059" s="102">
        <f>Table22[[#This Row],[CURRENT]]-Table22[[#This Row],[IDEAL]]</f>
        <v>0</v>
      </c>
    </row>
    <row r="2060" spans="1:4" x14ac:dyDescent="0.25">
      <c r="A2060" t="s">
        <v>13833</v>
      </c>
      <c r="B2060" s="102">
        <v>2170</v>
      </c>
      <c r="C2060" s="102">
        <v>2170</v>
      </c>
      <c r="D2060" s="102">
        <f>Table22[[#This Row],[CURRENT]]-Table22[[#This Row],[IDEAL]]</f>
        <v>0</v>
      </c>
    </row>
    <row r="2061" spans="1:4" x14ac:dyDescent="0.25">
      <c r="A2061" t="s">
        <v>13539</v>
      </c>
      <c r="B2061" s="102">
        <v>3256</v>
      </c>
      <c r="C2061" s="102">
        <v>3256</v>
      </c>
      <c r="D2061" s="102">
        <f>Table22[[#This Row],[CURRENT]]-Table22[[#This Row],[IDEAL]]</f>
        <v>0</v>
      </c>
    </row>
    <row r="2062" spans="1:4" x14ac:dyDescent="0.25">
      <c r="A2062" t="s">
        <v>13559</v>
      </c>
      <c r="B2062" s="102">
        <v>2998</v>
      </c>
      <c r="C2062" s="102">
        <v>2998</v>
      </c>
      <c r="D2062" s="102">
        <f>Table22[[#This Row],[CURRENT]]-Table22[[#This Row],[IDEAL]]</f>
        <v>0</v>
      </c>
    </row>
    <row r="2063" spans="1:4" x14ac:dyDescent="0.25">
      <c r="A2063" t="s">
        <v>13824</v>
      </c>
      <c r="B2063" s="102">
        <v>2717</v>
      </c>
      <c r="C2063" s="102">
        <v>2717</v>
      </c>
      <c r="D2063" s="102">
        <f>Table22[[#This Row],[CURRENT]]-Table22[[#This Row],[IDEAL]]</f>
        <v>0</v>
      </c>
    </row>
    <row r="2064" spans="1:4" x14ac:dyDescent="0.25">
      <c r="A2064" t="s">
        <v>13908</v>
      </c>
      <c r="B2064" s="102">
        <v>3077</v>
      </c>
      <c r="C2064" s="102">
        <v>3077</v>
      </c>
      <c r="D2064" s="102">
        <f>Table22[[#This Row],[CURRENT]]-Table22[[#This Row],[IDEAL]]</f>
        <v>0</v>
      </c>
    </row>
    <row r="2065" spans="1:4" x14ac:dyDescent="0.25">
      <c r="A2065" t="s">
        <v>14036</v>
      </c>
      <c r="B2065" s="102">
        <v>2250</v>
      </c>
      <c r="C2065" s="102">
        <v>2250</v>
      </c>
      <c r="D2065" s="102">
        <f>Table22[[#This Row],[CURRENT]]-Table22[[#This Row],[IDEAL]]</f>
        <v>0</v>
      </c>
    </row>
    <row r="2066" spans="1:4" x14ac:dyDescent="0.25">
      <c r="A2066" t="s">
        <v>13792</v>
      </c>
      <c r="B2066" s="102">
        <v>3439</v>
      </c>
      <c r="C2066" s="102">
        <v>3439</v>
      </c>
      <c r="D2066" s="102">
        <f>Table22[[#This Row],[CURRENT]]-Table22[[#This Row],[IDEAL]]</f>
        <v>0</v>
      </c>
    </row>
    <row r="2067" spans="1:4" x14ac:dyDescent="0.25">
      <c r="A2067" t="s">
        <v>13432</v>
      </c>
      <c r="B2067" s="102">
        <v>4187</v>
      </c>
      <c r="C2067" s="102">
        <v>4187</v>
      </c>
      <c r="D2067" s="102">
        <f>Table22[[#This Row],[CURRENT]]-Table22[[#This Row],[IDEAL]]</f>
        <v>0</v>
      </c>
    </row>
    <row r="2068" spans="1:4" x14ac:dyDescent="0.25">
      <c r="A2068" t="s">
        <v>13682</v>
      </c>
      <c r="B2068" s="102">
        <v>2424</v>
      </c>
      <c r="C2068" s="102">
        <v>2424</v>
      </c>
      <c r="D2068" s="102">
        <f>Table22[[#This Row],[CURRENT]]-Table22[[#This Row],[IDEAL]]</f>
        <v>0</v>
      </c>
    </row>
    <row r="2069" spans="1:4" x14ac:dyDescent="0.25">
      <c r="A2069" t="s">
        <v>13614</v>
      </c>
      <c r="B2069" s="102">
        <v>4123</v>
      </c>
      <c r="C2069" s="102">
        <v>4123</v>
      </c>
      <c r="D2069" s="102">
        <f>Table22[[#This Row],[CURRENT]]-Table22[[#This Row],[IDEAL]]</f>
        <v>0</v>
      </c>
    </row>
    <row r="2070" spans="1:4" x14ac:dyDescent="0.25">
      <c r="A2070" t="s">
        <v>14041</v>
      </c>
      <c r="B2070" s="102">
        <v>2158</v>
      </c>
      <c r="C2070" s="102">
        <v>2158</v>
      </c>
      <c r="D2070" s="102">
        <f>Table22[[#This Row],[CURRENT]]-Table22[[#This Row],[IDEAL]]</f>
        <v>0</v>
      </c>
    </row>
    <row r="2071" spans="1:4" x14ac:dyDescent="0.25">
      <c r="A2071" t="s">
        <v>13564</v>
      </c>
      <c r="B2071" s="102">
        <v>2946</v>
      </c>
      <c r="C2071" s="102">
        <v>2946</v>
      </c>
      <c r="D2071" s="102">
        <f>Table22[[#This Row],[CURRENT]]-Table22[[#This Row],[IDEAL]]</f>
        <v>0</v>
      </c>
    </row>
    <row r="2072" spans="1:4" x14ac:dyDescent="0.25">
      <c r="A2072" t="s">
        <v>13960</v>
      </c>
      <c r="B2072" s="102">
        <v>2896</v>
      </c>
      <c r="C2072" s="102">
        <v>2896</v>
      </c>
      <c r="D2072" s="102">
        <f>Table22[[#This Row],[CURRENT]]-Table22[[#This Row],[IDEAL]]</f>
        <v>0</v>
      </c>
    </row>
    <row r="2073" spans="1:4" x14ac:dyDescent="0.25">
      <c r="A2073" t="s">
        <v>13582</v>
      </c>
      <c r="B2073" s="102">
        <v>3176</v>
      </c>
      <c r="C2073" s="102">
        <v>3176</v>
      </c>
      <c r="D2073" s="102">
        <f>Table22[[#This Row],[CURRENT]]-Table22[[#This Row],[IDEAL]]</f>
        <v>0</v>
      </c>
    </row>
    <row r="2074" spans="1:4" x14ac:dyDescent="0.25">
      <c r="A2074" t="s">
        <v>13637</v>
      </c>
      <c r="B2074" s="102">
        <v>3060</v>
      </c>
      <c r="C2074" s="102">
        <v>3060</v>
      </c>
      <c r="D2074" s="102">
        <f>Table22[[#This Row],[CURRENT]]-Table22[[#This Row],[IDEAL]]</f>
        <v>0</v>
      </c>
    </row>
    <row r="2075" spans="1:4" x14ac:dyDescent="0.25">
      <c r="A2075" t="s">
        <v>13561</v>
      </c>
      <c r="B2075" s="102">
        <v>2988</v>
      </c>
      <c r="C2075" s="102">
        <v>2988</v>
      </c>
      <c r="D2075" s="102">
        <f>Table22[[#This Row],[CURRENT]]-Table22[[#This Row],[IDEAL]]</f>
        <v>0</v>
      </c>
    </row>
    <row r="2076" spans="1:4" x14ac:dyDescent="0.25">
      <c r="A2076" t="s">
        <v>13925</v>
      </c>
      <c r="B2076" s="102">
        <v>3351</v>
      </c>
      <c r="C2076" s="102">
        <v>3351</v>
      </c>
      <c r="D2076" s="102">
        <f>Table22[[#This Row],[CURRENT]]-Table22[[#This Row],[IDEAL]]</f>
        <v>0</v>
      </c>
    </row>
    <row r="2077" spans="1:4" x14ac:dyDescent="0.25">
      <c r="A2077" t="s">
        <v>13976</v>
      </c>
      <c r="B2077" s="102">
        <v>2733</v>
      </c>
      <c r="C2077" s="102">
        <v>2733</v>
      </c>
      <c r="D2077" s="102">
        <f>Table22[[#This Row],[CURRENT]]-Table22[[#This Row],[IDEAL]]</f>
        <v>0</v>
      </c>
    </row>
    <row r="2078" spans="1:4" x14ac:dyDescent="0.25">
      <c r="A2078" t="s">
        <v>13558</v>
      </c>
      <c r="B2078" s="102">
        <v>3025</v>
      </c>
      <c r="C2078" s="102">
        <v>3025</v>
      </c>
      <c r="D2078" s="102">
        <f>Table22[[#This Row],[CURRENT]]-Table22[[#This Row],[IDEAL]]</f>
        <v>0</v>
      </c>
    </row>
    <row r="2079" spans="1:4" x14ac:dyDescent="0.25">
      <c r="A2079" t="s">
        <v>13922</v>
      </c>
      <c r="B2079" s="102">
        <v>3481</v>
      </c>
      <c r="C2079" s="102">
        <v>3481</v>
      </c>
      <c r="D2079" s="102">
        <f>Table22[[#This Row],[CURRENT]]-Table22[[#This Row],[IDEAL]]</f>
        <v>0</v>
      </c>
    </row>
    <row r="2080" spans="1:4" x14ac:dyDescent="0.25">
      <c r="A2080" t="s">
        <v>14016</v>
      </c>
      <c r="B2080" s="102">
        <v>2490</v>
      </c>
      <c r="C2080" s="102">
        <v>2490</v>
      </c>
      <c r="D2080" s="102">
        <f>Table22[[#This Row],[CURRENT]]-Table22[[#This Row],[IDEAL]]</f>
        <v>0</v>
      </c>
    </row>
    <row r="2081" spans="1:4" x14ac:dyDescent="0.25">
      <c r="A2081" t="s">
        <v>13949</v>
      </c>
      <c r="B2081" s="102">
        <v>3029</v>
      </c>
      <c r="C2081" s="102">
        <v>3029</v>
      </c>
      <c r="D2081" s="102">
        <f>Table22[[#This Row],[CURRENT]]-Table22[[#This Row],[IDEAL]]</f>
        <v>0</v>
      </c>
    </row>
    <row r="2082" spans="1:4" x14ac:dyDescent="0.25">
      <c r="A2082" t="s">
        <v>13818</v>
      </c>
      <c r="B2082" s="102">
        <v>2807</v>
      </c>
      <c r="C2082" s="102">
        <v>2807</v>
      </c>
      <c r="D2082" s="102">
        <f>Table22[[#This Row],[CURRENT]]-Table22[[#This Row],[IDEAL]]</f>
        <v>0</v>
      </c>
    </row>
    <row r="2083" spans="1:4" x14ac:dyDescent="0.25">
      <c r="A2083" t="s">
        <v>13778</v>
      </c>
      <c r="B2083" s="102">
        <v>3648</v>
      </c>
      <c r="C2083" s="102">
        <v>3648</v>
      </c>
      <c r="D2083" s="102">
        <f>Table22[[#This Row],[CURRENT]]-Table22[[#This Row],[IDEAL]]</f>
        <v>0</v>
      </c>
    </row>
    <row r="2084" spans="1:4" x14ac:dyDescent="0.25">
      <c r="A2084" t="s">
        <v>13942</v>
      </c>
      <c r="B2084" s="102">
        <v>3144</v>
      </c>
      <c r="C2084" s="102">
        <v>3144</v>
      </c>
      <c r="D2084" s="102">
        <f>Table22[[#This Row],[CURRENT]]-Table22[[#This Row],[IDEAL]]</f>
        <v>0</v>
      </c>
    </row>
    <row r="2085" spans="1:4" x14ac:dyDescent="0.25">
      <c r="A2085" t="s">
        <v>13921</v>
      </c>
      <c r="B2085" s="102">
        <v>3503</v>
      </c>
      <c r="C2085" s="102">
        <v>3503</v>
      </c>
      <c r="D2085" s="102">
        <f>Table22[[#This Row],[CURRENT]]-Table22[[#This Row],[IDEAL]]</f>
        <v>0</v>
      </c>
    </row>
    <row r="2086" spans="1:4" x14ac:dyDescent="0.25">
      <c r="A2086" t="s">
        <v>13601</v>
      </c>
      <c r="B2086" s="102">
        <v>3240</v>
      </c>
      <c r="C2086" s="102">
        <v>3240</v>
      </c>
      <c r="D2086" s="102">
        <f>Table22[[#This Row],[CURRENT]]-Table22[[#This Row],[IDEAL]]</f>
        <v>0</v>
      </c>
    </row>
    <row r="2087" spans="1:4" x14ac:dyDescent="0.25">
      <c r="A2087" t="s">
        <v>13924</v>
      </c>
      <c r="B2087" s="102">
        <v>3353</v>
      </c>
      <c r="C2087" s="102">
        <v>3353</v>
      </c>
      <c r="D2087" s="102">
        <f>Table22[[#This Row],[CURRENT]]-Table22[[#This Row],[IDEAL]]</f>
        <v>0</v>
      </c>
    </row>
    <row r="2088" spans="1:4" x14ac:dyDescent="0.25">
      <c r="A2088" t="s">
        <v>13926</v>
      </c>
      <c r="B2088" s="102">
        <v>3338</v>
      </c>
      <c r="C2088" s="102">
        <v>3338</v>
      </c>
      <c r="D2088" s="102">
        <f>Table22[[#This Row],[CURRENT]]-Table22[[#This Row],[IDEAL]]</f>
        <v>0</v>
      </c>
    </row>
    <row r="2089" spans="1:4" x14ac:dyDescent="0.25">
      <c r="A2089" t="s">
        <v>13939</v>
      </c>
      <c r="B2089" s="102">
        <v>3167</v>
      </c>
      <c r="C2089" s="102">
        <v>3167</v>
      </c>
      <c r="D2089" s="102">
        <f>Table22[[#This Row],[CURRENT]]-Table22[[#This Row],[IDEAL]]</f>
        <v>0</v>
      </c>
    </row>
    <row r="2090" spans="1:4" x14ac:dyDescent="0.25">
      <c r="A2090" t="s">
        <v>13535</v>
      </c>
      <c r="B2090" s="102">
        <v>3337</v>
      </c>
      <c r="C2090" s="102">
        <v>3337</v>
      </c>
      <c r="D2090" s="102">
        <f>Table22[[#This Row],[CURRENT]]-Table22[[#This Row],[IDEAL]]</f>
        <v>0</v>
      </c>
    </row>
    <row r="2091" spans="1:4" x14ac:dyDescent="0.25">
      <c r="A2091" t="s">
        <v>13911</v>
      </c>
      <c r="B2091" s="102">
        <v>3073</v>
      </c>
      <c r="C2091" s="102">
        <v>3073</v>
      </c>
      <c r="D2091" s="102">
        <f>Table22[[#This Row],[CURRENT]]-Table22[[#This Row],[IDEAL]]</f>
        <v>0</v>
      </c>
    </row>
    <row r="2092" spans="1:4" x14ac:dyDescent="0.25">
      <c r="A2092" t="s">
        <v>13587</v>
      </c>
      <c r="B2092" s="102">
        <v>3138</v>
      </c>
      <c r="C2092" s="102">
        <v>3138</v>
      </c>
      <c r="D2092" s="102">
        <f>Table22[[#This Row],[CURRENT]]-Table22[[#This Row],[IDEAL]]</f>
        <v>0</v>
      </c>
    </row>
    <row r="2093" spans="1:4" x14ac:dyDescent="0.25">
      <c r="A2093" t="s">
        <v>13765</v>
      </c>
      <c r="B2093" s="102">
        <v>3773</v>
      </c>
      <c r="C2093" s="102">
        <v>3773</v>
      </c>
      <c r="D2093" s="102">
        <f>Table22[[#This Row],[CURRENT]]-Table22[[#This Row],[IDEAL]]</f>
        <v>0</v>
      </c>
    </row>
    <row r="2094" spans="1:4" x14ac:dyDescent="0.25">
      <c r="A2094" t="s">
        <v>13756</v>
      </c>
      <c r="B2094" s="102">
        <v>4216</v>
      </c>
      <c r="C2094" s="102">
        <v>4216</v>
      </c>
      <c r="D2094" s="102">
        <f>Table22[[#This Row],[CURRENT]]-Table22[[#This Row],[IDEAL]]</f>
        <v>0</v>
      </c>
    </row>
    <row r="2095" spans="1:4" x14ac:dyDescent="0.25">
      <c r="A2095" t="s">
        <v>13430</v>
      </c>
      <c r="B2095" s="102">
        <v>4265</v>
      </c>
      <c r="C2095" s="102">
        <v>4265</v>
      </c>
      <c r="D2095" s="102">
        <f>Table22[[#This Row],[CURRENT]]-Table22[[#This Row],[IDEAL]]</f>
        <v>0</v>
      </c>
    </row>
    <row r="2096" spans="1:4" x14ac:dyDescent="0.25">
      <c r="A2096" t="s">
        <v>13621</v>
      </c>
      <c r="B2096" s="102">
        <v>3870</v>
      </c>
      <c r="C2096" s="102">
        <v>3870</v>
      </c>
      <c r="D2096" s="102">
        <f>Table22[[#This Row],[CURRENT]]-Table22[[#This Row],[IDEAL]]</f>
        <v>0</v>
      </c>
    </row>
    <row r="2097" spans="1:4" x14ac:dyDescent="0.25">
      <c r="A2097" t="s">
        <v>13834</v>
      </c>
      <c r="B2097" s="102">
        <v>2153</v>
      </c>
      <c r="C2097" s="102">
        <v>2153</v>
      </c>
      <c r="D2097" s="102">
        <f>Table22[[#This Row],[CURRENT]]-Table22[[#This Row],[IDEAL]]</f>
        <v>0</v>
      </c>
    </row>
    <row r="2098" spans="1:4" x14ac:dyDescent="0.25">
      <c r="A2098" t="s">
        <v>13618</v>
      </c>
      <c r="B2098" s="102">
        <v>3893</v>
      </c>
      <c r="C2098" s="102">
        <v>3893</v>
      </c>
      <c r="D2098" s="102">
        <f>Table22[[#This Row],[CURRENT]]-Table22[[#This Row],[IDEAL]]</f>
        <v>0</v>
      </c>
    </row>
    <row r="2099" spans="1:4" x14ac:dyDescent="0.25">
      <c r="A2099" t="s">
        <v>13567</v>
      </c>
      <c r="B2099" s="102">
        <v>2882</v>
      </c>
      <c r="C2099" s="102">
        <v>2882</v>
      </c>
      <c r="D2099" s="102">
        <f>Table22[[#This Row],[CURRENT]]-Table22[[#This Row],[IDEAL]]</f>
        <v>0</v>
      </c>
    </row>
    <row r="2100" spans="1:4" x14ac:dyDescent="0.25">
      <c r="A2100" t="s">
        <v>13577</v>
      </c>
      <c r="B2100" s="102">
        <v>3291</v>
      </c>
      <c r="C2100" s="102">
        <v>3291</v>
      </c>
      <c r="D2100" s="102">
        <f>Table22[[#This Row],[CURRENT]]-Table22[[#This Row],[IDEAL]]</f>
        <v>0</v>
      </c>
    </row>
    <row r="2101" spans="1:4" x14ac:dyDescent="0.25">
      <c r="A2101" t="s">
        <v>13630</v>
      </c>
      <c r="B2101" s="102">
        <v>3125</v>
      </c>
      <c r="C2101" s="102">
        <v>3125</v>
      </c>
      <c r="D2101" s="102">
        <f>Table22[[#This Row],[CURRENT]]-Table22[[#This Row],[IDEAL]]</f>
        <v>0</v>
      </c>
    </row>
    <row r="2102" spans="1:4" x14ac:dyDescent="0.25">
      <c r="A2102" t="s">
        <v>13434</v>
      </c>
      <c r="B2102" s="102">
        <v>3259</v>
      </c>
      <c r="C2102" s="102">
        <v>3259</v>
      </c>
      <c r="D2102" s="102">
        <f>Table22[[#This Row],[CURRENT]]-Table22[[#This Row],[IDEAL]]</f>
        <v>0</v>
      </c>
    </row>
    <row r="2103" spans="1:4" x14ac:dyDescent="0.25">
      <c r="A2103" t="s">
        <v>13767</v>
      </c>
      <c r="B2103" s="102">
        <v>3766</v>
      </c>
      <c r="C2103" s="102">
        <v>3766</v>
      </c>
      <c r="D2103" s="102">
        <f>Table22[[#This Row],[CURRENT]]-Table22[[#This Row],[IDEAL]]</f>
        <v>0</v>
      </c>
    </row>
    <row r="2104" spans="1:4" x14ac:dyDescent="0.25">
      <c r="A2104" t="s">
        <v>13474</v>
      </c>
      <c r="B2104" s="102">
        <v>3432</v>
      </c>
      <c r="C2104" s="102">
        <v>3432</v>
      </c>
      <c r="D2104" s="102">
        <f>Table22[[#This Row],[CURRENT]]-Table22[[#This Row],[IDEAL]]</f>
        <v>0</v>
      </c>
    </row>
    <row r="2105" spans="1:4" x14ac:dyDescent="0.25">
      <c r="A2105" t="s">
        <v>13485</v>
      </c>
      <c r="B2105" s="102">
        <v>2644</v>
      </c>
      <c r="C2105" s="102">
        <v>2644</v>
      </c>
      <c r="D2105" s="102">
        <f>Table22[[#This Row],[CURRENT]]-Table22[[#This Row],[IDEAL]]</f>
        <v>0</v>
      </c>
    </row>
    <row r="2106" spans="1:4" x14ac:dyDescent="0.25">
      <c r="A2106" t="s">
        <v>13472</v>
      </c>
      <c r="B2106" s="102">
        <v>3547</v>
      </c>
      <c r="C2106" s="102">
        <v>3547</v>
      </c>
      <c r="D2106" s="102">
        <f>Table22[[#This Row],[CURRENT]]-Table22[[#This Row],[IDEAL]]</f>
        <v>0</v>
      </c>
    </row>
    <row r="2107" spans="1:4" x14ac:dyDescent="0.25">
      <c r="A2107" t="s">
        <v>13475</v>
      </c>
      <c r="B2107" s="102">
        <v>3400</v>
      </c>
      <c r="C2107" s="102">
        <v>3400</v>
      </c>
      <c r="D2107" s="102">
        <f>Table22[[#This Row],[CURRENT]]-Table22[[#This Row],[IDEAL]]</f>
        <v>0</v>
      </c>
    </row>
    <row r="2108" spans="1:4" x14ac:dyDescent="0.25">
      <c r="A2108" t="s">
        <v>13483</v>
      </c>
      <c r="B2108" s="102">
        <v>2660</v>
      </c>
      <c r="C2108" s="102">
        <v>2660</v>
      </c>
      <c r="D2108" s="102">
        <f>Table22[[#This Row],[CURRENT]]-Table22[[#This Row],[IDEAL]]</f>
        <v>0</v>
      </c>
    </row>
    <row r="2109" spans="1:4" x14ac:dyDescent="0.25">
      <c r="A2109" t="s">
        <v>13845</v>
      </c>
      <c r="B2109" s="102">
        <v>3099</v>
      </c>
      <c r="C2109" s="102">
        <v>3099</v>
      </c>
      <c r="D2109" s="102">
        <f>Table22[[#This Row],[CURRENT]]-Table22[[#This Row],[IDEAL]]</f>
        <v>0</v>
      </c>
    </row>
    <row r="2110" spans="1:4" x14ac:dyDescent="0.25">
      <c r="A2110" t="s">
        <v>11452</v>
      </c>
      <c r="B2110" s="102">
        <v>2087</v>
      </c>
      <c r="C2110" s="102">
        <v>2087</v>
      </c>
      <c r="D2110" s="102">
        <f>Table22[[#This Row],[CURRENT]]-Table22[[#This Row],[IDEAL]]</f>
        <v>0</v>
      </c>
    </row>
    <row r="2111" spans="1:4" x14ac:dyDescent="0.25">
      <c r="A2111" t="s">
        <v>11295</v>
      </c>
      <c r="B2111" s="102">
        <v>1152</v>
      </c>
      <c r="C2111" s="102">
        <v>1152</v>
      </c>
      <c r="D2111" s="102">
        <f>Table22[[#This Row],[CURRENT]]-Table22[[#This Row],[IDEAL]]</f>
        <v>0</v>
      </c>
    </row>
    <row r="2112" spans="1:4" x14ac:dyDescent="0.25">
      <c r="A2112" t="s">
        <v>11376</v>
      </c>
      <c r="B2112" s="102">
        <v>1345</v>
      </c>
      <c r="C2112" s="102">
        <v>1345</v>
      </c>
      <c r="D2112" s="102">
        <f>Table22[[#This Row],[CURRENT]]-Table22[[#This Row],[IDEAL]]</f>
        <v>0</v>
      </c>
    </row>
    <row r="2113" spans="1:4" x14ac:dyDescent="0.25">
      <c r="A2113" t="s">
        <v>11616</v>
      </c>
      <c r="B2113" s="102">
        <v>3128</v>
      </c>
      <c r="C2113" s="102">
        <v>3128</v>
      </c>
      <c r="D2113" s="102">
        <f>Table22[[#This Row],[CURRENT]]-Table22[[#This Row],[IDEAL]]</f>
        <v>0</v>
      </c>
    </row>
    <row r="2114" spans="1:4" x14ac:dyDescent="0.25">
      <c r="A2114" t="s">
        <v>11586</v>
      </c>
      <c r="B2114" s="102">
        <v>2345</v>
      </c>
      <c r="C2114" s="102">
        <v>2345</v>
      </c>
      <c r="D2114" s="102">
        <f>Table22[[#This Row],[CURRENT]]-Table22[[#This Row],[IDEAL]]</f>
        <v>0</v>
      </c>
    </row>
    <row r="2115" spans="1:4" x14ac:dyDescent="0.25">
      <c r="A2115" t="s">
        <v>11640</v>
      </c>
      <c r="B2115" s="102">
        <v>2511</v>
      </c>
      <c r="C2115" s="102">
        <v>2511</v>
      </c>
      <c r="D2115" s="102">
        <f>Table22[[#This Row],[CURRENT]]-Table22[[#This Row],[IDEAL]]</f>
        <v>0</v>
      </c>
    </row>
    <row r="2116" spans="1:4" x14ac:dyDescent="0.25">
      <c r="A2116" t="s">
        <v>11244</v>
      </c>
      <c r="B2116" s="102">
        <v>1439</v>
      </c>
      <c r="C2116" s="102">
        <v>1439</v>
      </c>
      <c r="D2116" s="102">
        <f>Table22[[#This Row],[CURRENT]]-Table22[[#This Row],[IDEAL]]</f>
        <v>0</v>
      </c>
    </row>
    <row r="2117" spans="1:4" x14ac:dyDescent="0.25">
      <c r="A2117" t="s">
        <v>11467</v>
      </c>
      <c r="B2117" s="102">
        <v>1815</v>
      </c>
      <c r="C2117" s="102">
        <v>1815</v>
      </c>
      <c r="D2117" s="102">
        <f>Table22[[#This Row],[CURRENT]]-Table22[[#This Row],[IDEAL]]</f>
        <v>0</v>
      </c>
    </row>
    <row r="2118" spans="1:4" x14ac:dyDescent="0.25">
      <c r="A2118" t="s">
        <v>11358</v>
      </c>
      <c r="B2118" s="102">
        <v>3261</v>
      </c>
      <c r="C2118" s="102">
        <v>3261</v>
      </c>
      <c r="D2118" s="102">
        <f>Table22[[#This Row],[CURRENT]]-Table22[[#This Row],[IDEAL]]</f>
        <v>0</v>
      </c>
    </row>
    <row r="2119" spans="1:4" x14ac:dyDescent="0.25">
      <c r="A2119" t="s">
        <v>11168</v>
      </c>
      <c r="B2119" s="102">
        <v>2511</v>
      </c>
      <c r="C2119" s="102">
        <v>2511</v>
      </c>
      <c r="D2119" s="102">
        <f>Table22[[#This Row],[CURRENT]]-Table22[[#This Row],[IDEAL]]</f>
        <v>0</v>
      </c>
    </row>
    <row r="2120" spans="1:4" x14ac:dyDescent="0.25">
      <c r="A2120" t="s">
        <v>11343</v>
      </c>
      <c r="B2120" s="102">
        <v>2547</v>
      </c>
      <c r="C2120" s="102">
        <v>2547</v>
      </c>
      <c r="D2120" s="102">
        <f>Table22[[#This Row],[CURRENT]]-Table22[[#This Row],[IDEAL]]</f>
        <v>0</v>
      </c>
    </row>
    <row r="2121" spans="1:4" x14ac:dyDescent="0.25">
      <c r="A2121" t="s">
        <v>11357</v>
      </c>
      <c r="B2121" s="102">
        <v>2116</v>
      </c>
      <c r="C2121" s="102">
        <v>2116</v>
      </c>
      <c r="D2121" s="102">
        <f>Table22[[#This Row],[CURRENT]]-Table22[[#This Row],[IDEAL]]</f>
        <v>0</v>
      </c>
    </row>
    <row r="2122" spans="1:4" x14ac:dyDescent="0.25">
      <c r="A2122" t="s">
        <v>11336</v>
      </c>
      <c r="B2122" s="102">
        <v>1999</v>
      </c>
      <c r="C2122" s="102">
        <v>1999</v>
      </c>
      <c r="D2122" s="102">
        <f>Table22[[#This Row],[CURRENT]]-Table22[[#This Row],[IDEAL]]</f>
        <v>0</v>
      </c>
    </row>
    <row r="2123" spans="1:4" x14ac:dyDescent="0.25">
      <c r="A2123" t="s">
        <v>11364</v>
      </c>
      <c r="B2123" s="102">
        <v>1940</v>
      </c>
      <c r="C2123" s="102">
        <v>1940</v>
      </c>
      <c r="D2123" s="102">
        <f>Table22[[#This Row],[CURRENT]]-Table22[[#This Row],[IDEAL]]</f>
        <v>0</v>
      </c>
    </row>
    <row r="2124" spans="1:4" x14ac:dyDescent="0.25">
      <c r="A2124" t="s">
        <v>11363</v>
      </c>
      <c r="B2124" s="102">
        <v>2509</v>
      </c>
      <c r="C2124" s="102">
        <v>2509</v>
      </c>
      <c r="D2124" s="102">
        <f>Table22[[#This Row],[CURRENT]]-Table22[[#This Row],[IDEAL]]</f>
        <v>0</v>
      </c>
    </row>
    <row r="2125" spans="1:4" x14ac:dyDescent="0.25">
      <c r="A2125" t="s">
        <v>11459</v>
      </c>
      <c r="B2125" s="102">
        <v>1804</v>
      </c>
      <c r="C2125" s="102">
        <v>1804</v>
      </c>
      <c r="D2125" s="102">
        <f>Table22[[#This Row],[CURRENT]]-Table22[[#This Row],[IDEAL]]</f>
        <v>0</v>
      </c>
    </row>
    <row r="2126" spans="1:4" x14ac:dyDescent="0.25">
      <c r="A2126" t="s">
        <v>11544</v>
      </c>
      <c r="B2126" s="102">
        <v>3071</v>
      </c>
      <c r="C2126" s="102">
        <v>3071</v>
      </c>
      <c r="D2126" s="102">
        <f>Table22[[#This Row],[CURRENT]]-Table22[[#This Row],[IDEAL]]</f>
        <v>0</v>
      </c>
    </row>
    <row r="2127" spans="1:4" x14ac:dyDescent="0.25">
      <c r="A2127" t="s">
        <v>11450</v>
      </c>
      <c r="B2127" s="102">
        <v>2098</v>
      </c>
      <c r="C2127" s="102">
        <v>2098</v>
      </c>
      <c r="D2127" s="102">
        <f>Table22[[#This Row],[CURRENT]]-Table22[[#This Row],[IDEAL]]</f>
        <v>0</v>
      </c>
    </row>
    <row r="2128" spans="1:4" x14ac:dyDescent="0.25">
      <c r="A2128" t="s">
        <v>11543</v>
      </c>
      <c r="B2128" s="102">
        <v>3336</v>
      </c>
      <c r="C2128" s="102">
        <v>3336</v>
      </c>
      <c r="D2128" s="102">
        <f>Table22[[#This Row],[CURRENT]]-Table22[[#This Row],[IDEAL]]</f>
        <v>0</v>
      </c>
    </row>
    <row r="2129" spans="1:4" x14ac:dyDescent="0.25">
      <c r="A2129" t="s">
        <v>11352</v>
      </c>
      <c r="B2129" s="102">
        <v>2168</v>
      </c>
      <c r="C2129" s="102">
        <v>2168</v>
      </c>
      <c r="D2129" s="102">
        <f>Table22[[#This Row],[CURRENT]]-Table22[[#This Row],[IDEAL]]</f>
        <v>0</v>
      </c>
    </row>
    <row r="2130" spans="1:4" x14ac:dyDescent="0.25">
      <c r="A2130" t="s">
        <v>11617</v>
      </c>
      <c r="B2130" s="102">
        <v>3795</v>
      </c>
      <c r="C2130" s="102">
        <v>3795</v>
      </c>
      <c r="D2130" s="102">
        <f>Table22[[#This Row],[CURRENT]]-Table22[[#This Row],[IDEAL]]</f>
        <v>0</v>
      </c>
    </row>
    <row r="2131" spans="1:4" x14ac:dyDescent="0.25">
      <c r="A2131" t="s">
        <v>11642</v>
      </c>
      <c r="B2131" s="102">
        <v>2005</v>
      </c>
      <c r="C2131" s="102">
        <v>2005</v>
      </c>
      <c r="D2131" s="102">
        <f>Table22[[#This Row],[CURRENT]]-Table22[[#This Row],[IDEAL]]</f>
        <v>0</v>
      </c>
    </row>
    <row r="2132" spans="1:4" x14ac:dyDescent="0.25">
      <c r="A2132" t="s">
        <v>11618</v>
      </c>
      <c r="B2132" s="102">
        <v>3212</v>
      </c>
      <c r="C2132" s="102">
        <v>3212</v>
      </c>
      <c r="D2132" s="102">
        <f>Table22[[#This Row],[CURRENT]]-Table22[[#This Row],[IDEAL]]</f>
        <v>0</v>
      </c>
    </row>
    <row r="2133" spans="1:4" x14ac:dyDescent="0.25">
      <c r="A2133" t="s">
        <v>11588</v>
      </c>
      <c r="B2133" s="102">
        <v>3188</v>
      </c>
      <c r="C2133" s="102">
        <v>3188</v>
      </c>
      <c r="D2133" s="102">
        <f>Table22[[#This Row],[CURRENT]]-Table22[[#This Row],[IDEAL]]</f>
        <v>0</v>
      </c>
    </row>
    <row r="2134" spans="1:4" x14ac:dyDescent="0.25">
      <c r="A2134" t="s">
        <v>11457</v>
      </c>
      <c r="B2134" s="102">
        <v>2039</v>
      </c>
      <c r="C2134" s="102">
        <v>2039</v>
      </c>
      <c r="D2134" s="102">
        <f>Table22[[#This Row],[CURRENT]]-Table22[[#This Row],[IDEAL]]</f>
        <v>0</v>
      </c>
    </row>
    <row r="2135" spans="1:4" x14ac:dyDescent="0.25">
      <c r="A2135" t="s">
        <v>11619</v>
      </c>
      <c r="B2135" s="102">
        <v>3504</v>
      </c>
      <c r="C2135" s="102">
        <v>3504</v>
      </c>
      <c r="D2135" s="102">
        <f>Table22[[#This Row],[CURRENT]]-Table22[[#This Row],[IDEAL]]</f>
        <v>0</v>
      </c>
    </row>
    <row r="2136" spans="1:4" x14ac:dyDescent="0.25">
      <c r="A2136" t="s">
        <v>11597</v>
      </c>
      <c r="B2136" s="102">
        <v>3543</v>
      </c>
      <c r="C2136" s="102">
        <v>3543</v>
      </c>
      <c r="D2136" s="102">
        <f>Table22[[#This Row],[CURRENT]]-Table22[[#This Row],[IDEAL]]</f>
        <v>0</v>
      </c>
    </row>
    <row r="2137" spans="1:4" x14ac:dyDescent="0.25">
      <c r="A2137" t="s">
        <v>11235</v>
      </c>
      <c r="B2137" s="102">
        <v>1234</v>
      </c>
      <c r="C2137" s="102">
        <v>1234</v>
      </c>
      <c r="D2137" s="102">
        <f>Table22[[#This Row],[CURRENT]]-Table22[[#This Row],[IDEAL]]</f>
        <v>0</v>
      </c>
    </row>
    <row r="2138" spans="1:4" x14ac:dyDescent="0.25">
      <c r="A2138" t="s">
        <v>11227</v>
      </c>
      <c r="B2138" s="102">
        <v>2246</v>
      </c>
      <c r="C2138" s="102">
        <v>2246</v>
      </c>
      <c r="D2138" s="102">
        <f>Table22[[#This Row],[CURRENT]]-Table22[[#This Row],[IDEAL]]</f>
        <v>0</v>
      </c>
    </row>
    <row r="2139" spans="1:4" x14ac:dyDescent="0.25">
      <c r="A2139" t="s">
        <v>11377</v>
      </c>
      <c r="B2139" s="102">
        <v>3431</v>
      </c>
      <c r="C2139" s="102">
        <v>3431</v>
      </c>
      <c r="D2139" s="102">
        <f>Table22[[#This Row],[CURRENT]]-Table22[[#This Row],[IDEAL]]</f>
        <v>0</v>
      </c>
    </row>
    <row r="2140" spans="1:4" x14ac:dyDescent="0.25">
      <c r="A2140" t="s">
        <v>11579</v>
      </c>
      <c r="B2140" s="102">
        <v>3781</v>
      </c>
      <c r="C2140" s="102">
        <v>3781</v>
      </c>
      <c r="D2140" s="102">
        <f>Table22[[#This Row],[CURRENT]]-Table22[[#This Row],[IDEAL]]</f>
        <v>0</v>
      </c>
    </row>
    <row r="2141" spans="1:4" x14ac:dyDescent="0.25">
      <c r="A2141" t="s">
        <v>11602</v>
      </c>
      <c r="B2141" s="102">
        <v>2492</v>
      </c>
      <c r="C2141" s="102">
        <v>2492</v>
      </c>
      <c r="D2141" s="102">
        <f>Table22[[#This Row],[CURRENT]]-Table22[[#This Row],[IDEAL]]</f>
        <v>0</v>
      </c>
    </row>
    <row r="2142" spans="1:4" x14ac:dyDescent="0.25">
      <c r="A2142" t="s">
        <v>11436</v>
      </c>
      <c r="B2142" s="102">
        <v>1947</v>
      </c>
      <c r="C2142" s="102">
        <v>1947</v>
      </c>
      <c r="D2142" s="102">
        <f>Table22[[#This Row],[CURRENT]]-Table22[[#This Row],[IDEAL]]</f>
        <v>0</v>
      </c>
    </row>
    <row r="2143" spans="1:4" x14ac:dyDescent="0.25">
      <c r="A2143" t="s">
        <v>11620</v>
      </c>
      <c r="B2143" s="102">
        <v>3481</v>
      </c>
      <c r="C2143" s="102">
        <v>3481</v>
      </c>
      <c r="D2143" s="102">
        <f>Table22[[#This Row],[CURRENT]]-Table22[[#This Row],[IDEAL]]</f>
        <v>0</v>
      </c>
    </row>
    <row r="2144" spans="1:4" x14ac:dyDescent="0.25">
      <c r="A2144" t="s">
        <v>11574</v>
      </c>
      <c r="B2144" s="102">
        <v>4110</v>
      </c>
      <c r="C2144" s="102">
        <v>4110</v>
      </c>
      <c r="D2144" s="102">
        <f>Table22[[#This Row],[CURRENT]]-Table22[[#This Row],[IDEAL]]</f>
        <v>0</v>
      </c>
    </row>
    <row r="2145" spans="1:4" x14ac:dyDescent="0.25">
      <c r="A2145" t="s">
        <v>11405</v>
      </c>
      <c r="B2145" s="102">
        <v>2370</v>
      </c>
      <c r="C2145" s="102">
        <v>2370</v>
      </c>
      <c r="D2145" s="102">
        <f>Table22[[#This Row],[CURRENT]]-Table22[[#This Row],[IDEAL]]</f>
        <v>0</v>
      </c>
    </row>
    <row r="2146" spans="1:4" x14ac:dyDescent="0.25">
      <c r="A2146" t="s">
        <v>11310</v>
      </c>
      <c r="B2146" s="102">
        <v>2136</v>
      </c>
      <c r="C2146" s="102">
        <v>2136</v>
      </c>
      <c r="D2146" s="102">
        <f>Table22[[#This Row],[CURRENT]]-Table22[[#This Row],[IDEAL]]</f>
        <v>0</v>
      </c>
    </row>
    <row r="2147" spans="1:4" x14ac:dyDescent="0.25">
      <c r="A2147" t="s">
        <v>11454</v>
      </c>
      <c r="B2147" s="102">
        <v>2055</v>
      </c>
      <c r="C2147" s="102">
        <v>2055</v>
      </c>
      <c r="D2147" s="102">
        <f>Table22[[#This Row],[CURRENT]]-Table22[[#This Row],[IDEAL]]</f>
        <v>0</v>
      </c>
    </row>
    <row r="2148" spans="1:4" x14ac:dyDescent="0.25">
      <c r="A2148" t="s">
        <v>11443</v>
      </c>
      <c r="B2148" s="102">
        <v>2648</v>
      </c>
      <c r="C2148" s="102">
        <v>2648</v>
      </c>
      <c r="D2148" s="102">
        <f>Table22[[#This Row],[CURRENT]]-Table22[[#This Row],[IDEAL]]</f>
        <v>0</v>
      </c>
    </row>
    <row r="2149" spans="1:4" x14ac:dyDescent="0.25">
      <c r="A2149" t="s">
        <v>11362</v>
      </c>
      <c r="B2149" s="102">
        <v>2370</v>
      </c>
      <c r="C2149" s="102">
        <v>2370</v>
      </c>
      <c r="D2149" s="102">
        <f>Table22[[#This Row],[CURRENT]]-Table22[[#This Row],[IDEAL]]</f>
        <v>0</v>
      </c>
    </row>
    <row r="2150" spans="1:4" x14ac:dyDescent="0.25">
      <c r="A2150" t="s">
        <v>11403</v>
      </c>
      <c r="B2150" s="102">
        <v>2326</v>
      </c>
      <c r="C2150" s="102">
        <v>2326</v>
      </c>
      <c r="D2150" s="102">
        <f>Table22[[#This Row],[CURRENT]]-Table22[[#This Row],[IDEAL]]</f>
        <v>0</v>
      </c>
    </row>
    <row r="2151" spans="1:4" x14ac:dyDescent="0.25">
      <c r="A2151" t="s">
        <v>11394</v>
      </c>
      <c r="B2151" s="102">
        <v>1834</v>
      </c>
      <c r="C2151" s="102">
        <v>1834</v>
      </c>
      <c r="D2151" s="102">
        <f>Table22[[#This Row],[CURRENT]]-Table22[[#This Row],[IDEAL]]</f>
        <v>0</v>
      </c>
    </row>
    <row r="2152" spans="1:4" x14ac:dyDescent="0.25">
      <c r="A2152" t="s">
        <v>11383</v>
      </c>
      <c r="B2152" s="102">
        <v>3089</v>
      </c>
      <c r="C2152" s="102">
        <v>3089</v>
      </c>
      <c r="D2152" s="102">
        <f>Table22[[#This Row],[CURRENT]]-Table22[[#This Row],[IDEAL]]</f>
        <v>0</v>
      </c>
    </row>
    <row r="2153" spans="1:4" x14ac:dyDescent="0.25">
      <c r="A2153" t="s">
        <v>11214</v>
      </c>
      <c r="B2153" s="102">
        <v>3242</v>
      </c>
      <c r="C2153" s="102">
        <v>3242</v>
      </c>
      <c r="D2153" s="102">
        <f>Table22[[#This Row],[CURRENT]]-Table22[[#This Row],[IDEAL]]</f>
        <v>0</v>
      </c>
    </row>
    <row r="2154" spans="1:4" x14ac:dyDescent="0.25">
      <c r="A2154" t="s">
        <v>11402</v>
      </c>
      <c r="B2154" s="102">
        <v>1858</v>
      </c>
      <c r="C2154" s="102">
        <v>1858</v>
      </c>
      <c r="D2154" s="102">
        <f>Table22[[#This Row],[CURRENT]]-Table22[[#This Row],[IDEAL]]</f>
        <v>0</v>
      </c>
    </row>
    <row r="2155" spans="1:4" x14ac:dyDescent="0.25">
      <c r="A2155" t="s">
        <v>11621</v>
      </c>
      <c r="B2155" s="102">
        <v>3737</v>
      </c>
      <c r="C2155" s="102">
        <v>3737</v>
      </c>
      <c r="D2155" s="102">
        <f>Table22[[#This Row],[CURRENT]]-Table22[[#This Row],[IDEAL]]</f>
        <v>0</v>
      </c>
    </row>
    <row r="2156" spans="1:4" x14ac:dyDescent="0.25">
      <c r="A2156" t="s">
        <v>11390</v>
      </c>
      <c r="B2156" s="102">
        <v>3659</v>
      </c>
      <c r="C2156" s="102">
        <v>3659</v>
      </c>
      <c r="D2156" s="102">
        <f>Table22[[#This Row],[CURRENT]]-Table22[[#This Row],[IDEAL]]</f>
        <v>0</v>
      </c>
    </row>
    <row r="2157" spans="1:4" x14ac:dyDescent="0.25">
      <c r="A2157" t="s">
        <v>11592</v>
      </c>
      <c r="B2157" s="102">
        <v>3424</v>
      </c>
      <c r="C2157" s="102">
        <v>3424</v>
      </c>
      <c r="D2157" s="102">
        <f>Table22[[#This Row],[CURRENT]]-Table22[[#This Row],[IDEAL]]</f>
        <v>0</v>
      </c>
    </row>
    <row r="2158" spans="1:4" x14ac:dyDescent="0.25">
      <c r="A2158" t="s">
        <v>11605</v>
      </c>
      <c r="B2158" s="102">
        <v>2474</v>
      </c>
      <c r="C2158" s="102">
        <v>2474</v>
      </c>
      <c r="D2158" s="102">
        <f>Table22[[#This Row],[CURRENT]]-Table22[[#This Row],[IDEAL]]</f>
        <v>0</v>
      </c>
    </row>
    <row r="2159" spans="1:4" x14ac:dyDescent="0.25">
      <c r="A2159" t="s">
        <v>11323</v>
      </c>
      <c r="B2159" s="102">
        <v>2300</v>
      </c>
      <c r="C2159" s="102">
        <v>2300</v>
      </c>
      <c r="D2159" s="102">
        <f>Table22[[#This Row],[CURRENT]]-Table22[[#This Row],[IDEAL]]</f>
        <v>0</v>
      </c>
    </row>
    <row r="2160" spans="1:4" x14ac:dyDescent="0.25">
      <c r="A2160" t="s">
        <v>11348</v>
      </c>
      <c r="B2160" s="102">
        <v>2275</v>
      </c>
      <c r="C2160" s="102">
        <v>2275</v>
      </c>
      <c r="D2160" s="102">
        <f>Table22[[#This Row],[CURRENT]]-Table22[[#This Row],[IDEAL]]</f>
        <v>0</v>
      </c>
    </row>
    <row r="2161" spans="1:4" x14ac:dyDescent="0.25">
      <c r="A2161" t="s">
        <v>11411</v>
      </c>
      <c r="B2161" s="102">
        <v>2287</v>
      </c>
      <c r="C2161" s="102">
        <v>2287</v>
      </c>
      <c r="D2161" s="102">
        <f>Table22[[#This Row],[CURRENT]]-Table22[[#This Row],[IDEAL]]</f>
        <v>0</v>
      </c>
    </row>
    <row r="2162" spans="1:4" x14ac:dyDescent="0.25">
      <c r="A2162" t="s">
        <v>11569</v>
      </c>
      <c r="B2162" s="102">
        <v>3858</v>
      </c>
      <c r="C2162" s="102">
        <v>3858</v>
      </c>
      <c r="D2162" s="102">
        <f>Table22[[#This Row],[CURRENT]]-Table22[[#This Row],[IDEAL]]</f>
        <v>0</v>
      </c>
    </row>
    <row r="2163" spans="1:4" x14ac:dyDescent="0.25">
      <c r="A2163" t="s">
        <v>11361</v>
      </c>
      <c r="B2163" s="102">
        <v>2955</v>
      </c>
      <c r="C2163" s="102">
        <v>2955</v>
      </c>
      <c r="D2163" s="102">
        <f>Table22[[#This Row],[CURRENT]]-Table22[[#This Row],[IDEAL]]</f>
        <v>0</v>
      </c>
    </row>
    <row r="2164" spans="1:4" x14ac:dyDescent="0.25">
      <c r="A2164" t="s">
        <v>11396</v>
      </c>
      <c r="B2164" s="102">
        <v>1754</v>
      </c>
      <c r="C2164" s="102">
        <v>1754</v>
      </c>
      <c r="D2164" s="102">
        <f>Table22[[#This Row],[CURRENT]]-Table22[[#This Row],[IDEAL]]</f>
        <v>0</v>
      </c>
    </row>
    <row r="2165" spans="1:4" x14ac:dyDescent="0.25">
      <c r="A2165" t="s">
        <v>11224</v>
      </c>
      <c r="B2165" s="102">
        <v>2882</v>
      </c>
      <c r="C2165" s="102">
        <v>2882</v>
      </c>
      <c r="D2165" s="102">
        <f>Table22[[#This Row],[CURRENT]]-Table22[[#This Row],[IDEAL]]</f>
        <v>0</v>
      </c>
    </row>
    <row r="2166" spans="1:4" x14ac:dyDescent="0.25">
      <c r="A2166" t="s">
        <v>11622</v>
      </c>
      <c r="B2166" s="102">
        <v>2839</v>
      </c>
      <c r="C2166" s="102">
        <v>2839</v>
      </c>
      <c r="D2166" s="102">
        <f>Table22[[#This Row],[CURRENT]]-Table22[[#This Row],[IDEAL]]</f>
        <v>0</v>
      </c>
    </row>
    <row r="2167" spans="1:4" x14ac:dyDescent="0.25">
      <c r="A2167" t="s">
        <v>11550</v>
      </c>
      <c r="B2167" s="102">
        <v>2914</v>
      </c>
      <c r="C2167" s="102">
        <v>2914</v>
      </c>
      <c r="D2167" s="102">
        <f>Table22[[#This Row],[CURRENT]]-Table22[[#This Row],[IDEAL]]</f>
        <v>0</v>
      </c>
    </row>
    <row r="2168" spans="1:4" x14ac:dyDescent="0.25">
      <c r="A2168" t="s">
        <v>11623</v>
      </c>
      <c r="B2168" s="102">
        <v>3373</v>
      </c>
      <c r="C2168" s="102">
        <v>3373</v>
      </c>
      <c r="D2168" s="102">
        <f>Table22[[#This Row],[CURRENT]]-Table22[[#This Row],[IDEAL]]</f>
        <v>0</v>
      </c>
    </row>
    <row r="2169" spans="1:4" x14ac:dyDescent="0.25">
      <c r="A2169" t="s">
        <v>11624</v>
      </c>
      <c r="B2169" s="102">
        <v>3777</v>
      </c>
      <c r="C2169" s="102">
        <v>3777</v>
      </c>
      <c r="D2169" s="102">
        <f>Table22[[#This Row],[CURRENT]]-Table22[[#This Row],[IDEAL]]</f>
        <v>0</v>
      </c>
    </row>
    <row r="2170" spans="1:4" x14ac:dyDescent="0.25">
      <c r="A2170" t="s">
        <v>11329</v>
      </c>
      <c r="B2170" s="102">
        <v>1757</v>
      </c>
      <c r="C2170" s="102">
        <v>1757</v>
      </c>
      <c r="D2170" s="102">
        <f>Table22[[#This Row],[CURRENT]]-Table22[[#This Row],[IDEAL]]</f>
        <v>0</v>
      </c>
    </row>
    <row r="2171" spans="1:4" x14ac:dyDescent="0.25">
      <c r="A2171" t="s">
        <v>11247</v>
      </c>
      <c r="B2171" s="102">
        <v>3127</v>
      </c>
      <c r="C2171" s="102">
        <v>3127</v>
      </c>
      <c r="D2171" s="102">
        <f>Table22[[#This Row],[CURRENT]]-Table22[[#This Row],[IDEAL]]</f>
        <v>0</v>
      </c>
    </row>
    <row r="2172" spans="1:4" x14ac:dyDescent="0.25">
      <c r="A2172" t="s">
        <v>11386</v>
      </c>
      <c r="B2172" s="102">
        <v>2238</v>
      </c>
      <c r="C2172" s="102">
        <v>2238</v>
      </c>
      <c r="D2172" s="102">
        <f>Table22[[#This Row],[CURRENT]]-Table22[[#This Row],[IDEAL]]</f>
        <v>0</v>
      </c>
    </row>
    <row r="2173" spans="1:4" x14ac:dyDescent="0.25">
      <c r="A2173" t="s">
        <v>11239</v>
      </c>
      <c r="B2173" s="102">
        <v>2440</v>
      </c>
      <c r="C2173" s="102">
        <v>2440</v>
      </c>
      <c r="D2173" s="102">
        <f>Table22[[#This Row],[CURRENT]]-Table22[[#This Row],[IDEAL]]</f>
        <v>0</v>
      </c>
    </row>
    <row r="2174" spans="1:4" x14ac:dyDescent="0.25">
      <c r="A2174" t="s">
        <v>11250</v>
      </c>
      <c r="B2174" s="102">
        <v>2910</v>
      </c>
      <c r="C2174" s="102">
        <v>2910</v>
      </c>
      <c r="D2174" s="102">
        <f>Table22[[#This Row],[CURRENT]]-Table22[[#This Row],[IDEAL]]</f>
        <v>0</v>
      </c>
    </row>
    <row r="2175" spans="1:4" x14ac:dyDescent="0.25">
      <c r="A2175" t="s">
        <v>11324</v>
      </c>
      <c r="B2175" s="102">
        <v>2249</v>
      </c>
      <c r="C2175" s="102">
        <v>2249</v>
      </c>
      <c r="D2175" s="102">
        <f>Table22[[#This Row],[CURRENT]]-Table22[[#This Row],[IDEAL]]</f>
        <v>0</v>
      </c>
    </row>
    <row r="2176" spans="1:4" x14ac:dyDescent="0.25">
      <c r="A2176" t="s">
        <v>11202</v>
      </c>
      <c r="B2176" s="102">
        <v>2379</v>
      </c>
      <c r="C2176" s="102">
        <v>2379</v>
      </c>
      <c r="D2176" s="102">
        <f>Table22[[#This Row],[CURRENT]]-Table22[[#This Row],[IDEAL]]</f>
        <v>0</v>
      </c>
    </row>
    <row r="2177" spans="1:4" x14ac:dyDescent="0.25">
      <c r="A2177" t="s">
        <v>11195</v>
      </c>
      <c r="B2177" s="102">
        <v>3405</v>
      </c>
      <c r="C2177" s="102">
        <v>3405</v>
      </c>
      <c r="D2177" s="102">
        <f>Table22[[#This Row],[CURRENT]]-Table22[[#This Row],[IDEAL]]</f>
        <v>0</v>
      </c>
    </row>
    <row r="2178" spans="1:4" x14ac:dyDescent="0.25">
      <c r="A2178" t="s">
        <v>11441</v>
      </c>
      <c r="B2178" s="102">
        <v>3078</v>
      </c>
      <c r="C2178" s="102">
        <v>3078</v>
      </c>
      <c r="D2178" s="102">
        <f>Table22[[#This Row],[CURRENT]]-Table22[[#This Row],[IDEAL]]</f>
        <v>0</v>
      </c>
    </row>
    <row r="2179" spans="1:4" x14ac:dyDescent="0.25">
      <c r="A2179" t="s">
        <v>11598</v>
      </c>
      <c r="B2179" s="102">
        <v>2911</v>
      </c>
      <c r="C2179" s="102">
        <v>2911</v>
      </c>
      <c r="D2179" s="102">
        <f>Table22[[#This Row],[CURRENT]]-Table22[[#This Row],[IDEAL]]</f>
        <v>0</v>
      </c>
    </row>
    <row r="2180" spans="1:4" x14ac:dyDescent="0.25">
      <c r="A2180" t="s">
        <v>11307</v>
      </c>
      <c r="B2180" s="102">
        <v>3350</v>
      </c>
      <c r="C2180" s="102">
        <v>3350</v>
      </c>
      <c r="D2180" s="102">
        <f>Table22[[#This Row],[CURRENT]]-Table22[[#This Row],[IDEAL]]</f>
        <v>0</v>
      </c>
    </row>
    <row r="2181" spans="1:4" x14ac:dyDescent="0.25">
      <c r="A2181" t="s">
        <v>11273</v>
      </c>
      <c r="B2181" s="102">
        <v>2747</v>
      </c>
      <c r="C2181" s="102">
        <v>2747</v>
      </c>
      <c r="D2181" s="102">
        <f>Table22[[#This Row],[CURRENT]]-Table22[[#This Row],[IDEAL]]</f>
        <v>0</v>
      </c>
    </row>
    <row r="2182" spans="1:4" x14ac:dyDescent="0.25">
      <c r="A2182" t="s">
        <v>11568</v>
      </c>
      <c r="B2182" s="102">
        <v>3491</v>
      </c>
      <c r="C2182" s="102">
        <v>3491</v>
      </c>
      <c r="D2182" s="102">
        <f>Table22[[#This Row],[CURRENT]]-Table22[[#This Row],[IDEAL]]</f>
        <v>0</v>
      </c>
    </row>
    <row r="2183" spans="1:4" x14ac:dyDescent="0.25">
      <c r="A2183" t="s">
        <v>11216</v>
      </c>
      <c r="B2183" s="102">
        <v>2176</v>
      </c>
      <c r="C2183" s="102">
        <v>2176</v>
      </c>
      <c r="D2183" s="102">
        <f>Table22[[#This Row],[CURRENT]]-Table22[[#This Row],[IDEAL]]</f>
        <v>0</v>
      </c>
    </row>
    <row r="2184" spans="1:4" x14ac:dyDescent="0.25">
      <c r="A2184" t="s">
        <v>11625</v>
      </c>
      <c r="B2184" s="102">
        <v>3748</v>
      </c>
      <c r="C2184" s="102">
        <v>3748</v>
      </c>
      <c r="D2184" s="102">
        <f>Table22[[#This Row],[CURRENT]]-Table22[[#This Row],[IDEAL]]</f>
        <v>0</v>
      </c>
    </row>
    <row r="2185" spans="1:4" x14ac:dyDescent="0.25">
      <c r="A2185" t="s">
        <v>11461</v>
      </c>
      <c r="B2185" s="102">
        <v>2405</v>
      </c>
      <c r="C2185" s="102">
        <v>2405</v>
      </c>
      <c r="D2185" s="102">
        <f>Table22[[#This Row],[CURRENT]]-Table22[[#This Row],[IDEAL]]</f>
        <v>0</v>
      </c>
    </row>
    <row r="2186" spans="1:4" x14ac:dyDescent="0.25">
      <c r="A2186" t="s">
        <v>11298</v>
      </c>
      <c r="B2186" s="102">
        <v>1747</v>
      </c>
      <c r="C2186" s="102">
        <v>1747</v>
      </c>
      <c r="D2186" s="102">
        <f>Table22[[#This Row],[CURRENT]]-Table22[[#This Row],[IDEAL]]</f>
        <v>0</v>
      </c>
    </row>
    <row r="2187" spans="1:4" x14ac:dyDescent="0.25">
      <c r="A2187" t="s">
        <v>11612</v>
      </c>
      <c r="B2187" s="102">
        <v>2671</v>
      </c>
      <c r="C2187" s="102">
        <v>2671</v>
      </c>
      <c r="D2187" s="102">
        <f>Table22[[#This Row],[CURRENT]]-Table22[[#This Row],[IDEAL]]</f>
        <v>0</v>
      </c>
    </row>
    <row r="2188" spans="1:4" x14ac:dyDescent="0.25">
      <c r="A2188" t="s">
        <v>11274</v>
      </c>
      <c r="B2188" s="102">
        <v>543</v>
      </c>
      <c r="C2188" s="102">
        <v>543</v>
      </c>
      <c r="D2188" s="102">
        <f>Table22[[#This Row],[CURRENT]]-Table22[[#This Row],[IDEAL]]</f>
        <v>0</v>
      </c>
    </row>
    <row r="2189" spans="1:4" x14ac:dyDescent="0.25">
      <c r="A2189" t="s">
        <v>11207</v>
      </c>
      <c r="B2189" s="102">
        <v>3766</v>
      </c>
      <c r="C2189" s="102">
        <v>3766</v>
      </c>
      <c r="D2189" s="102">
        <f>Table22[[#This Row],[CURRENT]]-Table22[[#This Row],[IDEAL]]</f>
        <v>0</v>
      </c>
    </row>
    <row r="2190" spans="1:4" x14ac:dyDescent="0.25">
      <c r="A2190" t="s">
        <v>11251</v>
      </c>
      <c r="B2190" s="102">
        <v>2704</v>
      </c>
      <c r="C2190" s="102">
        <v>2704</v>
      </c>
      <c r="D2190" s="102">
        <f>Table22[[#This Row],[CURRENT]]-Table22[[#This Row],[IDEAL]]</f>
        <v>0</v>
      </c>
    </row>
    <row r="2191" spans="1:4" x14ac:dyDescent="0.25">
      <c r="A2191" t="s">
        <v>11626</v>
      </c>
      <c r="B2191" s="102">
        <v>3759</v>
      </c>
      <c r="C2191" s="102">
        <v>3759</v>
      </c>
      <c r="D2191" s="102">
        <f>Table22[[#This Row],[CURRENT]]-Table22[[#This Row],[IDEAL]]</f>
        <v>0</v>
      </c>
    </row>
    <row r="2192" spans="1:4" x14ac:dyDescent="0.25">
      <c r="A2192" t="s">
        <v>11545</v>
      </c>
      <c r="B2192" s="102">
        <v>3123</v>
      </c>
      <c r="C2192" s="102">
        <v>3123</v>
      </c>
      <c r="D2192" s="102">
        <f>Table22[[#This Row],[CURRENT]]-Table22[[#This Row],[IDEAL]]</f>
        <v>0</v>
      </c>
    </row>
    <row r="2193" spans="1:4" x14ac:dyDescent="0.25">
      <c r="A2193" t="s">
        <v>11615</v>
      </c>
      <c r="B2193" s="102">
        <v>3852</v>
      </c>
      <c r="C2193" s="102">
        <v>3852</v>
      </c>
      <c r="D2193" s="102">
        <f>Table22[[#This Row],[CURRENT]]-Table22[[#This Row],[IDEAL]]</f>
        <v>0</v>
      </c>
    </row>
    <row r="2194" spans="1:4" x14ac:dyDescent="0.25">
      <c r="A2194" t="s">
        <v>11203</v>
      </c>
      <c r="B2194" s="102">
        <v>2377</v>
      </c>
      <c r="C2194" s="102">
        <v>2377</v>
      </c>
      <c r="D2194" s="102">
        <f>Table22[[#This Row],[CURRENT]]-Table22[[#This Row],[IDEAL]]</f>
        <v>0</v>
      </c>
    </row>
    <row r="2195" spans="1:4" x14ac:dyDescent="0.25">
      <c r="A2195" t="s">
        <v>11337</v>
      </c>
      <c r="B2195" s="102">
        <v>1914</v>
      </c>
      <c r="C2195" s="102">
        <v>1914</v>
      </c>
      <c r="D2195" s="102">
        <f>Table22[[#This Row],[CURRENT]]-Table22[[#This Row],[IDEAL]]</f>
        <v>0</v>
      </c>
    </row>
    <row r="2196" spans="1:4" x14ac:dyDescent="0.25">
      <c r="A2196" t="s">
        <v>11240</v>
      </c>
      <c r="B2196" s="102">
        <v>2138</v>
      </c>
      <c r="C2196" s="102">
        <v>2138</v>
      </c>
      <c r="D2196" s="102">
        <f>Table22[[#This Row],[CURRENT]]-Table22[[#This Row],[IDEAL]]</f>
        <v>0</v>
      </c>
    </row>
    <row r="2197" spans="1:4" x14ac:dyDescent="0.25">
      <c r="A2197" t="s">
        <v>11462</v>
      </c>
      <c r="B2197" s="102">
        <v>2002</v>
      </c>
      <c r="C2197" s="102">
        <v>2002</v>
      </c>
      <c r="D2197" s="102">
        <f>Table22[[#This Row],[CURRENT]]-Table22[[#This Row],[IDEAL]]</f>
        <v>0</v>
      </c>
    </row>
    <row r="2198" spans="1:4" x14ac:dyDescent="0.25">
      <c r="A2198" t="s">
        <v>11463</v>
      </c>
      <c r="B2198" s="102">
        <v>2081</v>
      </c>
      <c r="C2198" s="102">
        <v>2081</v>
      </c>
      <c r="D2198" s="102">
        <f>Table22[[#This Row],[CURRENT]]-Table22[[#This Row],[IDEAL]]</f>
        <v>0</v>
      </c>
    </row>
    <row r="2199" spans="1:4" x14ac:dyDescent="0.25">
      <c r="A2199" t="s">
        <v>11318</v>
      </c>
      <c r="B2199" s="102">
        <v>3267</v>
      </c>
      <c r="C2199" s="102">
        <v>3267</v>
      </c>
      <c r="D2199" s="102">
        <f>Table22[[#This Row],[CURRENT]]-Table22[[#This Row],[IDEAL]]</f>
        <v>0</v>
      </c>
    </row>
    <row r="2200" spans="1:4" x14ac:dyDescent="0.25">
      <c r="A2200" t="s">
        <v>11435</v>
      </c>
      <c r="B2200" s="102">
        <v>2036</v>
      </c>
      <c r="C2200" s="102">
        <v>2036</v>
      </c>
      <c r="D2200" s="102">
        <f>Table22[[#This Row],[CURRENT]]-Table22[[#This Row],[IDEAL]]</f>
        <v>0</v>
      </c>
    </row>
    <row r="2201" spans="1:4" x14ac:dyDescent="0.25">
      <c r="A2201" t="s">
        <v>11304</v>
      </c>
      <c r="B2201" s="102">
        <v>2494</v>
      </c>
      <c r="C2201" s="102">
        <v>2494</v>
      </c>
      <c r="D2201" s="102">
        <f>Table22[[#This Row],[CURRENT]]-Table22[[#This Row],[IDEAL]]</f>
        <v>0</v>
      </c>
    </row>
    <row r="2202" spans="1:4" x14ac:dyDescent="0.25">
      <c r="A2202" t="s">
        <v>11220</v>
      </c>
      <c r="B2202" s="102">
        <v>2370</v>
      </c>
      <c r="C2202" s="102">
        <v>2370</v>
      </c>
      <c r="D2202" s="102">
        <f>Table22[[#This Row],[CURRENT]]-Table22[[#This Row],[IDEAL]]</f>
        <v>0</v>
      </c>
    </row>
    <row r="2203" spans="1:4" x14ac:dyDescent="0.25">
      <c r="A2203" t="s">
        <v>11311</v>
      </c>
      <c r="B2203" s="102">
        <v>1779</v>
      </c>
      <c r="C2203" s="102">
        <v>1779</v>
      </c>
      <c r="D2203" s="102">
        <f>Table22[[#This Row],[CURRENT]]-Table22[[#This Row],[IDEAL]]</f>
        <v>0</v>
      </c>
    </row>
    <row r="2204" spans="1:4" x14ac:dyDescent="0.25">
      <c r="A2204" t="s">
        <v>11627</v>
      </c>
      <c r="B2204" s="102">
        <v>3571</v>
      </c>
      <c r="C2204" s="102">
        <v>3571</v>
      </c>
      <c r="D2204" s="102">
        <f>Table22[[#This Row],[CURRENT]]-Table22[[#This Row],[IDEAL]]</f>
        <v>0</v>
      </c>
    </row>
    <row r="2205" spans="1:4" x14ac:dyDescent="0.25">
      <c r="A2205" t="s">
        <v>11349</v>
      </c>
      <c r="B2205" s="102">
        <v>2438</v>
      </c>
      <c r="C2205" s="102">
        <v>2438</v>
      </c>
      <c r="D2205" s="102">
        <f>Table22[[#This Row],[CURRENT]]-Table22[[#This Row],[IDEAL]]</f>
        <v>0</v>
      </c>
    </row>
    <row r="2206" spans="1:4" x14ac:dyDescent="0.25">
      <c r="A2206" t="s">
        <v>11628</v>
      </c>
      <c r="B2206" s="102">
        <v>3287</v>
      </c>
      <c r="C2206" s="102">
        <v>3287</v>
      </c>
      <c r="D2206" s="102">
        <f>Table22[[#This Row],[CURRENT]]-Table22[[#This Row],[IDEAL]]</f>
        <v>0</v>
      </c>
    </row>
    <row r="2207" spans="1:4" x14ac:dyDescent="0.25">
      <c r="A2207" t="s">
        <v>11245</v>
      </c>
      <c r="B2207" s="102">
        <v>234</v>
      </c>
      <c r="C2207" s="102">
        <v>234</v>
      </c>
      <c r="D2207" s="102">
        <f>Table22[[#This Row],[CURRENT]]-Table22[[#This Row],[IDEAL]]</f>
        <v>0</v>
      </c>
    </row>
    <row r="2208" spans="1:4" x14ac:dyDescent="0.25">
      <c r="A2208" t="s">
        <v>11641</v>
      </c>
      <c r="B2208" s="102">
        <v>2895</v>
      </c>
      <c r="C2208" s="102">
        <v>2895</v>
      </c>
      <c r="D2208" s="102">
        <f>Table22[[#This Row],[CURRENT]]-Table22[[#This Row],[IDEAL]]</f>
        <v>0</v>
      </c>
    </row>
    <row r="2209" spans="1:4" x14ac:dyDescent="0.25">
      <c r="A2209" t="s">
        <v>11466</v>
      </c>
      <c r="B2209" s="102">
        <v>2913</v>
      </c>
      <c r="C2209" s="102">
        <v>2913</v>
      </c>
      <c r="D2209" s="102">
        <f>Table22[[#This Row],[CURRENT]]-Table22[[#This Row],[IDEAL]]</f>
        <v>0</v>
      </c>
    </row>
    <row r="2210" spans="1:4" x14ac:dyDescent="0.25">
      <c r="A2210" t="s">
        <v>11317</v>
      </c>
      <c r="B2210" s="102">
        <v>1744</v>
      </c>
      <c r="C2210" s="102">
        <v>1744</v>
      </c>
      <c r="D2210" s="102">
        <f>Table22[[#This Row],[CURRENT]]-Table22[[#This Row],[IDEAL]]</f>
        <v>0</v>
      </c>
    </row>
    <row r="2211" spans="1:4" x14ac:dyDescent="0.25">
      <c r="A2211" t="s">
        <v>11449</v>
      </c>
      <c r="B2211" s="102">
        <v>2147</v>
      </c>
      <c r="C2211" s="102">
        <v>2147</v>
      </c>
      <c r="D2211" s="102">
        <f>Table22[[#This Row],[CURRENT]]-Table22[[#This Row],[IDEAL]]</f>
        <v>0</v>
      </c>
    </row>
    <row r="2212" spans="1:4" x14ac:dyDescent="0.25">
      <c r="A2212" t="s">
        <v>11389</v>
      </c>
      <c r="B2212" s="102">
        <v>2046</v>
      </c>
      <c r="C2212" s="102">
        <v>2046</v>
      </c>
      <c r="D2212" s="102">
        <f>Table22[[#This Row],[CURRENT]]-Table22[[#This Row],[IDEAL]]</f>
        <v>0</v>
      </c>
    </row>
    <row r="2213" spans="1:4" x14ac:dyDescent="0.25">
      <c r="A2213" t="s">
        <v>11608</v>
      </c>
      <c r="B2213" s="102">
        <v>2141</v>
      </c>
      <c r="C2213" s="102">
        <v>2141</v>
      </c>
      <c r="D2213" s="102">
        <f>Table22[[#This Row],[CURRENT]]-Table22[[#This Row],[IDEAL]]</f>
        <v>0</v>
      </c>
    </row>
    <row r="2214" spans="1:4" x14ac:dyDescent="0.25">
      <c r="A2214" t="s">
        <v>11388</v>
      </c>
      <c r="B2214" s="102">
        <v>3719</v>
      </c>
      <c r="C2214" s="102">
        <v>3719</v>
      </c>
      <c r="D2214" s="102">
        <f>Table22[[#This Row],[CURRENT]]-Table22[[#This Row],[IDEAL]]</f>
        <v>0</v>
      </c>
    </row>
    <row r="2215" spans="1:4" x14ac:dyDescent="0.25">
      <c r="A2215" t="s">
        <v>11614</v>
      </c>
      <c r="B2215" s="102">
        <v>2347</v>
      </c>
      <c r="C2215" s="102">
        <v>2347</v>
      </c>
      <c r="D2215" s="102">
        <f>Table22[[#This Row],[CURRENT]]-Table22[[#This Row],[IDEAL]]</f>
        <v>0</v>
      </c>
    </row>
    <row r="2216" spans="1:4" x14ac:dyDescent="0.25">
      <c r="A2216" t="s">
        <v>11331</v>
      </c>
      <c r="B2216" s="102">
        <v>2241</v>
      </c>
      <c r="C2216" s="102">
        <v>2241</v>
      </c>
      <c r="D2216" s="102">
        <f>Table22[[#This Row],[CURRENT]]-Table22[[#This Row],[IDEAL]]</f>
        <v>0</v>
      </c>
    </row>
    <row r="2217" spans="1:4" x14ac:dyDescent="0.25">
      <c r="A2217" t="s">
        <v>11629</v>
      </c>
      <c r="B2217" s="102">
        <v>3208</v>
      </c>
      <c r="C2217" s="102">
        <v>3208</v>
      </c>
      <c r="D2217" s="102">
        <f>Table22[[#This Row],[CURRENT]]-Table22[[#This Row],[IDEAL]]</f>
        <v>0</v>
      </c>
    </row>
    <row r="2218" spans="1:4" x14ac:dyDescent="0.25">
      <c r="A2218" t="s">
        <v>11639</v>
      </c>
      <c r="B2218" s="102">
        <v>2452</v>
      </c>
      <c r="C2218" s="102">
        <v>2452</v>
      </c>
      <c r="D2218" s="102">
        <f>Table22[[#This Row],[CURRENT]]-Table22[[#This Row],[IDEAL]]</f>
        <v>0</v>
      </c>
    </row>
    <row r="2219" spans="1:4" x14ac:dyDescent="0.25">
      <c r="A2219" t="s">
        <v>11581</v>
      </c>
      <c r="B2219" s="102">
        <v>3820</v>
      </c>
      <c r="C2219" s="102">
        <v>3820</v>
      </c>
      <c r="D2219" s="102">
        <f>Table22[[#This Row],[CURRENT]]-Table22[[#This Row],[IDEAL]]</f>
        <v>0</v>
      </c>
    </row>
    <row r="2220" spans="1:4" x14ac:dyDescent="0.25">
      <c r="A2220" t="s">
        <v>11413</v>
      </c>
      <c r="B2220" s="102">
        <v>2420</v>
      </c>
      <c r="C2220" s="102">
        <v>2420</v>
      </c>
      <c r="D2220" s="102">
        <f>Table22[[#This Row],[CURRENT]]-Table22[[#This Row],[IDEAL]]</f>
        <v>0</v>
      </c>
    </row>
    <row r="2221" spans="1:4" x14ac:dyDescent="0.25">
      <c r="A2221" t="s">
        <v>11354</v>
      </c>
      <c r="B2221" s="102">
        <v>2366</v>
      </c>
      <c r="C2221" s="102">
        <v>2366</v>
      </c>
      <c r="D2221" s="102">
        <f>Table22[[#This Row],[CURRENT]]-Table22[[#This Row],[IDEAL]]</f>
        <v>0</v>
      </c>
    </row>
    <row r="2222" spans="1:4" x14ac:dyDescent="0.25">
      <c r="A2222" t="s">
        <v>11356</v>
      </c>
      <c r="B2222" s="102">
        <v>2176</v>
      </c>
      <c r="C2222" s="102">
        <v>2176</v>
      </c>
      <c r="D2222" s="102">
        <f>Table22[[#This Row],[CURRENT]]-Table22[[#This Row],[IDEAL]]</f>
        <v>0</v>
      </c>
    </row>
    <row r="2223" spans="1:4" x14ac:dyDescent="0.25">
      <c r="A2223" t="s">
        <v>11308</v>
      </c>
      <c r="B2223" s="102">
        <v>3397</v>
      </c>
      <c r="C2223" s="102">
        <v>3397</v>
      </c>
      <c r="D2223" s="102">
        <f>Table22[[#This Row],[CURRENT]]-Table22[[#This Row],[IDEAL]]</f>
        <v>0</v>
      </c>
    </row>
    <row r="2224" spans="1:4" x14ac:dyDescent="0.25">
      <c r="A2224" t="s">
        <v>11395</v>
      </c>
      <c r="B2224" s="102">
        <v>1799</v>
      </c>
      <c r="C2224" s="102">
        <v>1799</v>
      </c>
      <c r="D2224" s="102">
        <f>Table22[[#This Row],[CURRENT]]-Table22[[#This Row],[IDEAL]]</f>
        <v>0</v>
      </c>
    </row>
    <row r="2225" spans="1:4" x14ac:dyDescent="0.25">
      <c r="A2225" t="s">
        <v>11246</v>
      </c>
      <c r="B2225" s="102">
        <v>2181</v>
      </c>
      <c r="C2225" s="102">
        <v>2181</v>
      </c>
      <c r="D2225" s="102">
        <f>Table22[[#This Row],[CURRENT]]-Table22[[#This Row],[IDEAL]]</f>
        <v>0</v>
      </c>
    </row>
    <row r="2226" spans="1:4" x14ac:dyDescent="0.25">
      <c r="A2226" t="s">
        <v>11630</v>
      </c>
      <c r="B2226" s="102">
        <v>4107</v>
      </c>
      <c r="C2226" s="102">
        <v>4107</v>
      </c>
      <c r="D2226" s="102">
        <f>Table22[[#This Row],[CURRENT]]-Table22[[#This Row],[IDEAL]]</f>
        <v>0</v>
      </c>
    </row>
    <row r="2227" spans="1:4" x14ac:dyDescent="0.25">
      <c r="A2227" t="s">
        <v>11447</v>
      </c>
      <c r="B2227" s="102">
        <v>2386</v>
      </c>
      <c r="C2227" s="102">
        <v>2386</v>
      </c>
      <c r="D2227" s="102">
        <f>Table22[[#This Row],[CURRENT]]-Table22[[#This Row],[IDEAL]]</f>
        <v>0</v>
      </c>
    </row>
    <row r="2228" spans="1:4" x14ac:dyDescent="0.25">
      <c r="A2228" t="s">
        <v>11316</v>
      </c>
      <c r="B2228" s="102">
        <v>1471</v>
      </c>
      <c r="C2228" s="102">
        <v>1471</v>
      </c>
      <c r="D2228" s="102">
        <f>Table22[[#This Row],[CURRENT]]-Table22[[#This Row],[IDEAL]]</f>
        <v>0</v>
      </c>
    </row>
    <row r="2229" spans="1:4" x14ac:dyDescent="0.25">
      <c r="A2229" t="s">
        <v>11417</v>
      </c>
      <c r="B2229" s="102">
        <v>2183</v>
      </c>
      <c r="C2229" s="102">
        <v>2183</v>
      </c>
      <c r="D2229" s="102">
        <f>Table22[[#This Row],[CURRENT]]-Table22[[#This Row],[IDEAL]]</f>
        <v>0</v>
      </c>
    </row>
    <row r="2230" spans="1:4" x14ac:dyDescent="0.25">
      <c r="A2230" t="s">
        <v>11564</v>
      </c>
      <c r="B2230" s="102">
        <v>3507</v>
      </c>
      <c r="C2230" s="102">
        <v>3507</v>
      </c>
      <c r="D2230" s="102">
        <f>Table22[[#This Row],[CURRENT]]-Table22[[#This Row],[IDEAL]]</f>
        <v>0</v>
      </c>
    </row>
    <row r="2231" spans="1:4" x14ac:dyDescent="0.25">
      <c r="A2231" t="s">
        <v>11434</v>
      </c>
      <c r="B2231" s="102">
        <v>2045</v>
      </c>
      <c r="C2231" s="102">
        <v>2045</v>
      </c>
      <c r="D2231" s="102">
        <f>Table22[[#This Row],[CURRENT]]-Table22[[#This Row],[IDEAL]]</f>
        <v>0</v>
      </c>
    </row>
    <row r="2232" spans="1:4" x14ac:dyDescent="0.25">
      <c r="A2232" t="s">
        <v>11288</v>
      </c>
      <c r="B2232" s="102">
        <v>631</v>
      </c>
      <c r="C2232" s="102">
        <v>631</v>
      </c>
      <c r="D2232" s="102">
        <f>Table22[[#This Row],[CURRENT]]-Table22[[#This Row],[IDEAL]]</f>
        <v>0</v>
      </c>
    </row>
    <row r="2233" spans="1:4" x14ac:dyDescent="0.25">
      <c r="A2233" t="s">
        <v>11253</v>
      </c>
      <c r="B2233" s="102">
        <v>2690</v>
      </c>
      <c r="C2233" s="102">
        <v>2690</v>
      </c>
      <c r="D2233" s="102">
        <f>Table22[[#This Row],[CURRENT]]-Table22[[#This Row],[IDEAL]]</f>
        <v>0</v>
      </c>
    </row>
    <row r="2234" spans="1:4" x14ac:dyDescent="0.25">
      <c r="A2234" t="s">
        <v>11387</v>
      </c>
      <c r="B2234" s="102">
        <v>3142</v>
      </c>
      <c r="C2234" s="102">
        <v>3142</v>
      </c>
      <c r="D2234" s="102">
        <f>Table22[[#This Row],[CURRENT]]-Table22[[#This Row],[IDEAL]]</f>
        <v>0</v>
      </c>
    </row>
    <row r="2235" spans="1:4" x14ac:dyDescent="0.25">
      <c r="A2235" t="s">
        <v>11369</v>
      </c>
      <c r="B2235" s="102">
        <v>2812</v>
      </c>
      <c r="C2235" s="102">
        <v>2812</v>
      </c>
      <c r="D2235" s="102">
        <f>Table22[[#This Row],[CURRENT]]-Table22[[#This Row],[IDEAL]]</f>
        <v>0</v>
      </c>
    </row>
    <row r="2236" spans="1:4" x14ac:dyDescent="0.25">
      <c r="A2236" t="s">
        <v>11249</v>
      </c>
      <c r="B2236" s="102">
        <v>2228</v>
      </c>
      <c r="C2236" s="102">
        <v>2228</v>
      </c>
      <c r="D2236" s="102">
        <f>Table22[[#This Row],[CURRENT]]-Table22[[#This Row],[IDEAL]]</f>
        <v>0</v>
      </c>
    </row>
    <row r="2237" spans="1:4" x14ac:dyDescent="0.25">
      <c r="A2237" t="s">
        <v>11208</v>
      </c>
      <c r="B2237" s="102">
        <v>3681</v>
      </c>
      <c r="C2237" s="102">
        <v>3681</v>
      </c>
      <c r="D2237" s="102">
        <f>Table22[[#This Row],[CURRENT]]-Table22[[#This Row],[IDEAL]]</f>
        <v>0</v>
      </c>
    </row>
    <row r="2238" spans="1:4" x14ac:dyDescent="0.25">
      <c r="A2238" t="s">
        <v>11594</v>
      </c>
      <c r="B2238" s="102">
        <v>3700</v>
      </c>
      <c r="C2238" s="102">
        <v>3700</v>
      </c>
      <c r="D2238" s="102">
        <f>Table22[[#This Row],[CURRENT]]-Table22[[#This Row],[IDEAL]]</f>
        <v>0</v>
      </c>
    </row>
    <row r="2239" spans="1:4" x14ac:dyDescent="0.25">
      <c r="A2239" t="s">
        <v>11222</v>
      </c>
      <c r="B2239" s="102">
        <v>3430</v>
      </c>
      <c r="C2239" s="102">
        <v>3430</v>
      </c>
      <c r="D2239" s="102">
        <f>Table22[[#This Row],[CURRENT]]-Table22[[#This Row],[IDEAL]]</f>
        <v>0</v>
      </c>
    </row>
    <row r="2240" spans="1:4" x14ac:dyDescent="0.25">
      <c r="A2240" t="s">
        <v>11254</v>
      </c>
      <c r="B2240" s="102">
        <v>356</v>
      </c>
      <c r="C2240" s="102">
        <v>356</v>
      </c>
      <c r="D2240" s="102">
        <f>Table22[[#This Row],[CURRENT]]-Table22[[#This Row],[IDEAL]]</f>
        <v>0</v>
      </c>
    </row>
    <row r="2241" spans="1:4" x14ac:dyDescent="0.25">
      <c r="A2241" t="s">
        <v>11248</v>
      </c>
      <c r="B2241" s="102">
        <v>1929</v>
      </c>
      <c r="C2241" s="102">
        <v>1929</v>
      </c>
      <c r="D2241" s="102">
        <f>Table22[[#This Row],[CURRENT]]-Table22[[#This Row],[IDEAL]]</f>
        <v>0</v>
      </c>
    </row>
    <row r="2242" spans="1:4" x14ac:dyDescent="0.25">
      <c r="A2242" t="s">
        <v>11391</v>
      </c>
      <c r="B2242" s="102">
        <v>3785</v>
      </c>
      <c r="C2242" s="102">
        <v>3785</v>
      </c>
      <c r="D2242" s="102">
        <f>Table22[[#This Row],[CURRENT]]-Table22[[#This Row],[IDEAL]]</f>
        <v>0</v>
      </c>
    </row>
    <row r="2243" spans="1:4" x14ac:dyDescent="0.25">
      <c r="A2243" t="s">
        <v>11309</v>
      </c>
      <c r="B2243" s="102">
        <v>3389</v>
      </c>
      <c r="C2243" s="102">
        <v>3389</v>
      </c>
      <c r="D2243" s="102">
        <f>Table22[[#This Row],[CURRENT]]-Table22[[#This Row],[IDEAL]]</f>
        <v>0</v>
      </c>
    </row>
    <row r="2244" spans="1:4" x14ac:dyDescent="0.25">
      <c r="A2244" t="s">
        <v>11547</v>
      </c>
      <c r="B2244" s="102">
        <v>3489</v>
      </c>
      <c r="C2244" s="102">
        <v>3489</v>
      </c>
      <c r="D2244" s="102">
        <f>Table22[[#This Row],[CURRENT]]-Table22[[#This Row],[IDEAL]]</f>
        <v>0</v>
      </c>
    </row>
    <row r="2245" spans="1:4" x14ac:dyDescent="0.25">
      <c r="A2245" t="s">
        <v>11599</v>
      </c>
      <c r="B2245" s="102">
        <v>2972</v>
      </c>
      <c r="C2245" s="102">
        <v>2972</v>
      </c>
      <c r="D2245" s="102">
        <f>Table22[[#This Row],[CURRENT]]-Table22[[#This Row],[IDEAL]]</f>
        <v>0</v>
      </c>
    </row>
    <row r="2246" spans="1:4" x14ac:dyDescent="0.25">
      <c r="A2246" t="s">
        <v>11271</v>
      </c>
      <c r="B2246" s="102">
        <v>2186</v>
      </c>
      <c r="C2246" s="102">
        <v>2186</v>
      </c>
      <c r="D2246" s="102">
        <f>Table22[[#This Row],[CURRENT]]-Table22[[#This Row],[IDEAL]]</f>
        <v>0</v>
      </c>
    </row>
    <row r="2247" spans="1:4" x14ac:dyDescent="0.25">
      <c r="A2247" t="s">
        <v>11464</v>
      </c>
      <c r="B2247" s="102">
        <v>2081</v>
      </c>
      <c r="C2247" s="102">
        <v>2081</v>
      </c>
      <c r="D2247" s="102">
        <f>Table22[[#This Row],[CURRENT]]-Table22[[#This Row],[IDEAL]]</f>
        <v>0</v>
      </c>
    </row>
    <row r="2248" spans="1:4" x14ac:dyDescent="0.25">
      <c r="A2248" t="s">
        <v>11290</v>
      </c>
      <c r="B2248" s="102">
        <v>3572</v>
      </c>
      <c r="C2248" s="102">
        <v>3572</v>
      </c>
      <c r="D2248" s="102">
        <f>Table22[[#This Row],[CURRENT]]-Table22[[#This Row],[IDEAL]]</f>
        <v>0</v>
      </c>
    </row>
    <row r="2249" spans="1:4" x14ac:dyDescent="0.25">
      <c r="A2249" t="s">
        <v>11410</v>
      </c>
      <c r="B2249" s="102">
        <v>2310</v>
      </c>
      <c r="C2249" s="102">
        <v>2310</v>
      </c>
      <c r="D2249" s="102">
        <f>Table22[[#This Row],[CURRENT]]-Table22[[#This Row],[IDEAL]]</f>
        <v>0</v>
      </c>
    </row>
    <row r="2250" spans="1:4" x14ac:dyDescent="0.25">
      <c r="A2250" t="s">
        <v>11350</v>
      </c>
      <c r="B2250" s="102">
        <v>1770</v>
      </c>
      <c r="C2250" s="102">
        <v>1770</v>
      </c>
      <c r="D2250" s="102">
        <f>Table22[[#This Row],[CURRENT]]-Table22[[#This Row],[IDEAL]]</f>
        <v>0</v>
      </c>
    </row>
    <row r="2251" spans="1:4" x14ac:dyDescent="0.25">
      <c r="A2251" t="s">
        <v>11409</v>
      </c>
      <c r="B2251" s="102">
        <v>2145</v>
      </c>
      <c r="C2251" s="102">
        <v>2145</v>
      </c>
      <c r="D2251" s="102">
        <f>Table22[[#This Row],[CURRENT]]-Table22[[#This Row],[IDEAL]]</f>
        <v>0</v>
      </c>
    </row>
    <row r="2252" spans="1:4" x14ac:dyDescent="0.25">
      <c r="A2252" t="s">
        <v>11297</v>
      </c>
      <c r="B2252" s="102">
        <v>2079</v>
      </c>
      <c r="C2252" s="102">
        <v>2079</v>
      </c>
      <c r="D2252" s="102">
        <f>Table22[[#This Row],[CURRENT]]-Table22[[#This Row],[IDEAL]]</f>
        <v>0</v>
      </c>
    </row>
    <row r="2253" spans="1:4" x14ac:dyDescent="0.25">
      <c r="A2253" t="s">
        <v>11587</v>
      </c>
      <c r="B2253" s="102">
        <v>3243</v>
      </c>
      <c r="C2253" s="102">
        <v>3243</v>
      </c>
      <c r="D2253" s="102">
        <f>Table22[[#This Row],[CURRENT]]-Table22[[#This Row],[IDEAL]]</f>
        <v>0</v>
      </c>
    </row>
    <row r="2254" spans="1:4" x14ac:dyDescent="0.25">
      <c r="A2254" t="s">
        <v>11312</v>
      </c>
      <c r="B2254" s="102">
        <v>1569</v>
      </c>
      <c r="C2254" s="102">
        <v>1569</v>
      </c>
      <c r="D2254" s="102">
        <f>Table22[[#This Row],[CURRENT]]-Table22[[#This Row],[IDEAL]]</f>
        <v>0</v>
      </c>
    </row>
    <row r="2255" spans="1:4" x14ac:dyDescent="0.25">
      <c r="A2255" t="s">
        <v>11393</v>
      </c>
      <c r="B2255" s="102">
        <v>3711</v>
      </c>
      <c r="C2255" s="102">
        <v>3711</v>
      </c>
      <c r="D2255" s="102">
        <f>Table22[[#This Row],[CURRENT]]-Table22[[#This Row],[IDEAL]]</f>
        <v>0</v>
      </c>
    </row>
    <row r="2256" spans="1:4" x14ac:dyDescent="0.25">
      <c r="A2256" t="s">
        <v>11210</v>
      </c>
      <c r="B2256" s="102">
        <v>232</v>
      </c>
      <c r="C2256" s="102">
        <v>232</v>
      </c>
      <c r="D2256" s="102">
        <f>Table22[[#This Row],[CURRENT]]-Table22[[#This Row],[IDEAL]]</f>
        <v>0</v>
      </c>
    </row>
    <row r="2257" spans="1:4" x14ac:dyDescent="0.25">
      <c r="A2257" t="s">
        <v>11589</v>
      </c>
      <c r="B2257" s="102">
        <v>3047</v>
      </c>
      <c r="C2257" s="102">
        <v>3047</v>
      </c>
      <c r="D2257" s="102">
        <f>Table22[[#This Row],[CURRENT]]-Table22[[#This Row],[IDEAL]]</f>
        <v>0</v>
      </c>
    </row>
    <row r="2258" spans="1:4" x14ac:dyDescent="0.25">
      <c r="A2258" t="s">
        <v>11453</v>
      </c>
      <c r="B2258" s="102">
        <v>2058</v>
      </c>
      <c r="C2258" s="102">
        <v>2058</v>
      </c>
      <c r="D2258" s="102">
        <f>Table22[[#This Row],[CURRENT]]-Table22[[#This Row],[IDEAL]]</f>
        <v>0</v>
      </c>
    </row>
    <row r="2259" spans="1:4" x14ac:dyDescent="0.25">
      <c r="A2259" t="s">
        <v>11609</v>
      </c>
      <c r="B2259" s="102">
        <v>2151</v>
      </c>
      <c r="C2259" s="102">
        <v>2151</v>
      </c>
      <c r="D2259" s="102">
        <f>Table22[[#This Row],[CURRENT]]-Table22[[#This Row],[IDEAL]]</f>
        <v>0</v>
      </c>
    </row>
    <row r="2260" spans="1:4" x14ac:dyDescent="0.25">
      <c r="A2260" t="s">
        <v>11576</v>
      </c>
      <c r="B2260" s="102">
        <v>3214</v>
      </c>
      <c r="C2260" s="102">
        <v>3214</v>
      </c>
      <c r="D2260" s="102">
        <f>Table22[[#This Row],[CURRENT]]-Table22[[#This Row],[IDEAL]]</f>
        <v>0</v>
      </c>
    </row>
    <row r="2261" spans="1:4" x14ac:dyDescent="0.25">
      <c r="A2261" t="s">
        <v>11442</v>
      </c>
      <c r="B2261" s="102">
        <v>2681</v>
      </c>
      <c r="C2261" s="102">
        <v>2681</v>
      </c>
      <c r="D2261" s="102">
        <f>Table22[[#This Row],[CURRENT]]-Table22[[#This Row],[IDEAL]]</f>
        <v>0</v>
      </c>
    </row>
    <row r="2262" spans="1:4" x14ac:dyDescent="0.25">
      <c r="A2262" t="s">
        <v>11465</v>
      </c>
      <c r="B2262" s="102">
        <v>3072</v>
      </c>
      <c r="C2262" s="102">
        <v>3072</v>
      </c>
      <c r="D2262" s="102">
        <f>Table22[[#This Row],[CURRENT]]-Table22[[#This Row],[IDEAL]]</f>
        <v>0</v>
      </c>
    </row>
    <row r="2263" spans="1:4" x14ac:dyDescent="0.25">
      <c r="A2263" t="s">
        <v>11328</v>
      </c>
      <c r="B2263" s="102">
        <v>1893</v>
      </c>
      <c r="C2263" s="102">
        <v>1893</v>
      </c>
      <c r="D2263" s="102">
        <f>Table22[[#This Row],[CURRENT]]-Table22[[#This Row],[IDEAL]]</f>
        <v>0</v>
      </c>
    </row>
    <row r="2264" spans="1:4" x14ac:dyDescent="0.25">
      <c r="A2264" t="s">
        <v>11644</v>
      </c>
      <c r="B2264" s="102">
        <v>4162</v>
      </c>
      <c r="C2264" s="102">
        <v>4162</v>
      </c>
      <c r="D2264" s="102">
        <f>Table22[[#This Row],[CURRENT]]-Table22[[#This Row],[IDEAL]]</f>
        <v>0</v>
      </c>
    </row>
    <row r="2265" spans="1:4" x14ac:dyDescent="0.25">
      <c r="A2265" t="s">
        <v>11206</v>
      </c>
      <c r="B2265" s="102">
        <v>3564</v>
      </c>
      <c r="C2265" s="102">
        <v>3564</v>
      </c>
      <c r="D2265" s="102">
        <f>Table22[[#This Row],[CURRENT]]-Table22[[#This Row],[IDEAL]]</f>
        <v>0</v>
      </c>
    </row>
    <row r="2266" spans="1:4" x14ac:dyDescent="0.25">
      <c r="A2266" t="s">
        <v>11407</v>
      </c>
      <c r="B2266" s="102">
        <v>2356</v>
      </c>
      <c r="C2266" s="102">
        <v>2356</v>
      </c>
      <c r="D2266" s="102">
        <f>Table22[[#This Row],[CURRENT]]-Table22[[#This Row],[IDEAL]]</f>
        <v>0</v>
      </c>
    </row>
    <row r="2267" spans="1:4" x14ac:dyDescent="0.25">
      <c r="A2267" t="s">
        <v>11303</v>
      </c>
      <c r="B2267" s="102">
        <v>2590</v>
      </c>
      <c r="C2267" s="102">
        <v>2590</v>
      </c>
      <c r="D2267" s="102">
        <f>Table22[[#This Row],[CURRENT]]-Table22[[#This Row],[IDEAL]]</f>
        <v>0</v>
      </c>
    </row>
    <row r="2268" spans="1:4" x14ac:dyDescent="0.25">
      <c r="A2268" t="s">
        <v>11325</v>
      </c>
      <c r="B2268" s="102">
        <v>2175</v>
      </c>
      <c r="C2268" s="102">
        <v>2175</v>
      </c>
      <c r="D2268" s="102">
        <f>Table22[[#This Row],[CURRENT]]-Table22[[#This Row],[IDEAL]]</f>
        <v>0</v>
      </c>
    </row>
    <row r="2269" spans="1:4" x14ac:dyDescent="0.25">
      <c r="A2269" t="s">
        <v>11439</v>
      </c>
      <c r="B2269" s="102">
        <v>2173</v>
      </c>
      <c r="C2269" s="102">
        <v>2173</v>
      </c>
      <c r="D2269" s="102">
        <f>Table22[[#This Row],[CURRENT]]-Table22[[#This Row],[IDEAL]]</f>
        <v>0</v>
      </c>
    </row>
    <row r="2270" spans="1:4" x14ac:dyDescent="0.25">
      <c r="A2270" t="s">
        <v>11268</v>
      </c>
      <c r="B2270" s="102">
        <v>2236</v>
      </c>
      <c r="C2270" s="102">
        <v>2236</v>
      </c>
      <c r="D2270" s="102">
        <f>Table22[[#This Row],[CURRENT]]-Table22[[#This Row],[IDEAL]]</f>
        <v>0</v>
      </c>
    </row>
    <row r="2271" spans="1:4" x14ac:dyDescent="0.25">
      <c r="A2271" t="s">
        <v>11437</v>
      </c>
      <c r="B2271" s="102">
        <v>3374</v>
      </c>
      <c r="C2271" s="102">
        <v>3374</v>
      </c>
      <c r="D2271" s="102">
        <f>Table22[[#This Row],[CURRENT]]-Table22[[#This Row],[IDEAL]]</f>
        <v>0</v>
      </c>
    </row>
    <row r="2272" spans="1:4" x14ac:dyDescent="0.25">
      <c r="A2272" t="s">
        <v>11221</v>
      </c>
      <c r="B2272" s="102">
        <v>850</v>
      </c>
      <c r="C2272" s="102">
        <v>850</v>
      </c>
      <c r="D2272" s="102">
        <f>Table22[[#This Row],[CURRENT]]-Table22[[#This Row],[IDEAL]]</f>
        <v>0</v>
      </c>
    </row>
    <row r="2273" spans="1:4" x14ac:dyDescent="0.25">
      <c r="A2273" t="s">
        <v>11334</v>
      </c>
      <c r="B2273" s="102">
        <v>2708</v>
      </c>
      <c r="C2273" s="102">
        <v>2708</v>
      </c>
      <c r="D2273" s="102">
        <f>Table22[[#This Row],[CURRENT]]-Table22[[#This Row],[IDEAL]]</f>
        <v>0</v>
      </c>
    </row>
    <row r="2274" spans="1:4" x14ac:dyDescent="0.25">
      <c r="A2274" t="s">
        <v>11468</v>
      </c>
      <c r="B2274" s="102">
        <v>2519</v>
      </c>
      <c r="C2274" s="102">
        <v>2519</v>
      </c>
      <c r="D2274" s="102">
        <f>Table22[[#This Row],[CURRENT]]-Table22[[#This Row],[IDEAL]]</f>
        <v>0</v>
      </c>
    </row>
    <row r="2275" spans="1:4" x14ac:dyDescent="0.25">
      <c r="A2275" t="s">
        <v>11342</v>
      </c>
      <c r="B2275" s="102">
        <v>2231</v>
      </c>
      <c r="C2275" s="102">
        <v>2231</v>
      </c>
      <c r="D2275" s="102">
        <f>Table22[[#This Row],[CURRENT]]-Table22[[#This Row],[IDEAL]]</f>
        <v>0</v>
      </c>
    </row>
    <row r="2276" spans="1:4" x14ac:dyDescent="0.25">
      <c r="A2276" t="s">
        <v>11460</v>
      </c>
      <c r="B2276" s="102">
        <v>2524</v>
      </c>
      <c r="C2276" s="102">
        <v>2524</v>
      </c>
      <c r="D2276" s="102">
        <f>Table22[[#This Row],[CURRENT]]-Table22[[#This Row],[IDEAL]]</f>
        <v>0</v>
      </c>
    </row>
    <row r="2277" spans="1:4" x14ac:dyDescent="0.25">
      <c r="A2277" t="s">
        <v>11542</v>
      </c>
      <c r="B2277" s="102">
        <v>3282</v>
      </c>
      <c r="C2277" s="102">
        <v>3282</v>
      </c>
      <c r="D2277" s="102">
        <f>Table22[[#This Row],[CURRENT]]-Table22[[#This Row],[IDEAL]]</f>
        <v>0</v>
      </c>
    </row>
    <row r="2278" spans="1:4" x14ac:dyDescent="0.25">
      <c r="A2278" t="s">
        <v>11446</v>
      </c>
      <c r="B2278" s="102">
        <v>2323</v>
      </c>
      <c r="C2278" s="102">
        <v>2323</v>
      </c>
      <c r="D2278" s="102">
        <f>Table22[[#This Row],[CURRENT]]-Table22[[#This Row],[IDEAL]]</f>
        <v>0</v>
      </c>
    </row>
    <row r="2279" spans="1:4" x14ac:dyDescent="0.25">
      <c r="A2279" t="s">
        <v>11585</v>
      </c>
      <c r="B2279" s="102">
        <v>2321</v>
      </c>
      <c r="C2279" s="102">
        <v>2321</v>
      </c>
      <c r="D2279" s="102">
        <f>Table22[[#This Row],[CURRENT]]-Table22[[#This Row],[IDEAL]]</f>
        <v>0</v>
      </c>
    </row>
    <row r="2280" spans="1:4" x14ac:dyDescent="0.25">
      <c r="A2280" t="s">
        <v>11551</v>
      </c>
      <c r="B2280" s="102">
        <v>2980</v>
      </c>
      <c r="C2280" s="102">
        <v>2980</v>
      </c>
      <c r="D2280" s="102">
        <f>Table22[[#This Row],[CURRENT]]-Table22[[#This Row],[IDEAL]]</f>
        <v>0</v>
      </c>
    </row>
    <row r="2281" spans="1:4" x14ac:dyDescent="0.25">
      <c r="A2281" t="s">
        <v>11631</v>
      </c>
      <c r="B2281" s="102">
        <v>3472</v>
      </c>
      <c r="C2281" s="102">
        <v>3472</v>
      </c>
      <c r="D2281" s="102">
        <f>Table22[[#This Row],[CURRENT]]-Table22[[#This Row],[IDEAL]]</f>
        <v>0</v>
      </c>
    </row>
    <row r="2282" spans="1:4" x14ac:dyDescent="0.25">
      <c r="A2282" t="s">
        <v>11458</v>
      </c>
      <c r="B2282" s="102">
        <v>1973</v>
      </c>
      <c r="C2282" s="102">
        <v>1973</v>
      </c>
      <c r="D2282" s="102">
        <f>Table22[[#This Row],[CURRENT]]-Table22[[#This Row],[IDEAL]]</f>
        <v>0</v>
      </c>
    </row>
    <row r="2283" spans="1:4" x14ac:dyDescent="0.25">
      <c r="A2283" t="s">
        <v>11300</v>
      </c>
      <c r="B2283" s="102">
        <v>448</v>
      </c>
      <c r="C2283" s="102">
        <v>448</v>
      </c>
      <c r="D2283" s="102">
        <f>Table22[[#This Row],[CURRENT]]-Table22[[#This Row],[IDEAL]]</f>
        <v>0</v>
      </c>
    </row>
    <row r="2284" spans="1:4" x14ac:dyDescent="0.25">
      <c r="A2284" t="s">
        <v>11455</v>
      </c>
      <c r="B2284" s="102">
        <v>2205</v>
      </c>
      <c r="C2284" s="102">
        <v>2205</v>
      </c>
      <c r="D2284" s="102">
        <f>Table22[[#This Row],[CURRENT]]-Table22[[#This Row],[IDEAL]]</f>
        <v>0</v>
      </c>
    </row>
    <row r="2285" spans="1:4" x14ac:dyDescent="0.25">
      <c r="A2285" t="s">
        <v>11192</v>
      </c>
      <c r="B2285" s="102">
        <v>1883</v>
      </c>
      <c r="C2285" s="102">
        <v>1883</v>
      </c>
      <c r="D2285" s="102">
        <f>Table22[[#This Row],[CURRENT]]-Table22[[#This Row],[IDEAL]]</f>
        <v>0</v>
      </c>
    </row>
    <row r="2286" spans="1:4" x14ac:dyDescent="0.25">
      <c r="A2286" t="s">
        <v>11285</v>
      </c>
      <c r="B2286" s="102">
        <v>2290</v>
      </c>
      <c r="C2286" s="102">
        <v>2290</v>
      </c>
      <c r="D2286" s="102">
        <f>Table22[[#This Row],[CURRENT]]-Table22[[#This Row],[IDEAL]]</f>
        <v>0</v>
      </c>
    </row>
    <row r="2287" spans="1:4" x14ac:dyDescent="0.25">
      <c r="A2287" t="s">
        <v>11444</v>
      </c>
      <c r="B2287" s="102">
        <v>2658</v>
      </c>
      <c r="C2287" s="102">
        <v>2658</v>
      </c>
      <c r="D2287" s="102">
        <f>Table22[[#This Row],[CURRENT]]-Table22[[#This Row],[IDEAL]]</f>
        <v>0</v>
      </c>
    </row>
    <row r="2288" spans="1:4" x14ac:dyDescent="0.25">
      <c r="A2288" t="s">
        <v>11559</v>
      </c>
      <c r="B2288" s="102">
        <v>3454</v>
      </c>
      <c r="C2288" s="102">
        <v>3454</v>
      </c>
      <c r="D2288" s="102">
        <f>Table22[[#This Row],[CURRENT]]-Table22[[#This Row],[IDEAL]]</f>
        <v>0</v>
      </c>
    </row>
    <row r="2289" spans="1:4" x14ac:dyDescent="0.25">
      <c r="A2289" t="s">
        <v>11401</v>
      </c>
      <c r="B2289" s="102">
        <v>1735</v>
      </c>
      <c r="C2289" s="102">
        <v>1735</v>
      </c>
      <c r="D2289" s="102">
        <f>Table22[[#This Row],[CURRENT]]-Table22[[#This Row],[IDEAL]]</f>
        <v>0</v>
      </c>
    </row>
    <row r="2290" spans="1:4" x14ac:dyDescent="0.25">
      <c r="A2290" t="s">
        <v>11596</v>
      </c>
      <c r="B2290" s="102">
        <v>3294</v>
      </c>
      <c r="C2290" s="102">
        <v>3294</v>
      </c>
      <c r="D2290" s="102">
        <f>Table22[[#This Row],[CURRENT]]-Table22[[#This Row],[IDEAL]]</f>
        <v>0</v>
      </c>
    </row>
    <row r="2291" spans="1:4" x14ac:dyDescent="0.25">
      <c r="A2291" t="s">
        <v>11375</v>
      </c>
      <c r="B2291" s="102">
        <v>2384</v>
      </c>
      <c r="C2291" s="102">
        <v>2384</v>
      </c>
      <c r="D2291" s="102">
        <f>Table22[[#This Row],[CURRENT]]-Table22[[#This Row],[IDEAL]]</f>
        <v>0</v>
      </c>
    </row>
    <row r="2292" spans="1:4" x14ac:dyDescent="0.25">
      <c r="A2292" t="s">
        <v>11613</v>
      </c>
      <c r="B2292" s="102">
        <v>2757</v>
      </c>
      <c r="C2292" s="102">
        <v>2757</v>
      </c>
      <c r="D2292" s="102">
        <f>Table22[[#This Row],[CURRENT]]-Table22[[#This Row],[IDEAL]]</f>
        <v>0</v>
      </c>
    </row>
    <row r="2293" spans="1:4" x14ac:dyDescent="0.25">
      <c r="A2293" t="s">
        <v>11632</v>
      </c>
      <c r="B2293" s="102">
        <v>3546</v>
      </c>
      <c r="C2293" s="102">
        <v>3546</v>
      </c>
      <c r="D2293" s="102">
        <f>Table22[[#This Row],[CURRENT]]-Table22[[#This Row],[IDEAL]]</f>
        <v>0</v>
      </c>
    </row>
    <row r="2294" spans="1:4" x14ac:dyDescent="0.25">
      <c r="A2294" t="s">
        <v>11313</v>
      </c>
      <c r="B2294" s="102">
        <v>1657</v>
      </c>
      <c r="C2294" s="102">
        <v>1657</v>
      </c>
      <c r="D2294" s="102">
        <f>Table22[[#This Row],[CURRENT]]-Table22[[#This Row],[IDEAL]]</f>
        <v>0</v>
      </c>
    </row>
    <row r="2295" spans="1:4" x14ac:dyDescent="0.25">
      <c r="A2295" t="s">
        <v>11302</v>
      </c>
      <c r="B2295" s="102">
        <v>2746</v>
      </c>
      <c r="C2295" s="102">
        <v>2746</v>
      </c>
      <c r="D2295" s="102">
        <f>Table22[[#This Row],[CURRENT]]-Table22[[#This Row],[IDEAL]]</f>
        <v>0</v>
      </c>
    </row>
    <row r="2296" spans="1:4" x14ac:dyDescent="0.25">
      <c r="A2296" t="s">
        <v>11578</v>
      </c>
      <c r="B2296" s="102">
        <v>3759</v>
      </c>
      <c r="C2296" s="102">
        <v>3759</v>
      </c>
      <c r="D2296" s="102">
        <f>Table22[[#This Row],[CURRENT]]-Table22[[#This Row],[IDEAL]]</f>
        <v>0</v>
      </c>
    </row>
    <row r="2297" spans="1:4" x14ac:dyDescent="0.25">
      <c r="A2297" t="s">
        <v>11392</v>
      </c>
      <c r="B2297" s="102">
        <v>3766</v>
      </c>
      <c r="C2297" s="102">
        <v>3766</v>
      </c>
      <c r="D2297" s="102">
        <f>Table22[[#This Row],[CURRENT]]-Table22[[#This Row],[IDEAL]]</f>
        <v>0</v>
      </c>
    </row>
    <row r="2298" spans="1:4" x14ac:dyDescent="0.25">
      <c r="A2298" t="s">
        <v>11451</v>
      </c>
      <c r="B2298" s="102">
        <v>2092</v>
      </c>
      <c r="C2298" s="102">
        <v>2092</v>
      </c>
      <c r="D2298" s="102">
        <f>Table22[[#This Row],[CURRENT]]-Table22[[#This Row],[IDEAL]]</f>
        <v>0</v>
      </c>
    </row>
    <row r="2299" spans="1:4" x14ac:dyDescent="0.25">
      <c r="A2299" t="s">
        <v>11291</v>
      </c>
      <c r="B2299" s="102">
        <v>2886</v>
      </c>
      <c r="C2299" s="102">
        <v>2886</v>
      </c>
      <c r="D2299" s="102">
        <f>Table22[[#This Row],[CURRENT]]-Table22[[#This Row],[IDEAL]]</f>
        <v>0</v>
      </c>
    </row>
    <row r="2300" spans="1:4" x14ac:dyDescent="0.25">
      <c r="A2300" t="s">
        <v>11241</v>
      </c>
      <c r="B2300" s="102">
        <v>810</v>
      </c>
      <c r="C2300" s="102">
        <v>810</v>
      </c>
      <c r="D2300" s="102">
        <f>Table22[[#This Row],[CURRENT]]-Table22[[#This Row],[IDEAL]]</f>
        <v>0</v>
      </c>
    </row>
    <row r="2301" spans="1:4" x14ac:dyDescent="0.25">
      <c r="A2301" t="s">
        <v>11412</v>
      </c>
      <c r="B2301" s="102">
        <v>2353</v>
      </c>
      <c r="C2301" s="102">
        <v>2353</v>
      </c>
      <c r="D2301" s="102">
        <f>Table22[[#This Row],[CURRENT]]-Table22[[#This Row],[IDEAL]]</f>
        <v>0</v>
      </c>
    </row>
    <row r="2302" spans="1:4" x14ac:dyDescent="0.25">
      <c r="A2302" t="s">
        <v>11560</v>
      </c>
      <c r="B2302" s="102">
        <v>2432</v>
      </c>
      <c r="C2302" s="102">
        <v>2432</v>
      </c>
      <c r="D2302" s="102">
        <f>Table22[[#This Row],[CURRENT]]-Table22[[#This Row],[IDEAL]]</f>
        <v>0</v>
      </c>
    </row>
    <row r="2303" spans="1:4" x14ac:dyDescent="0.25">
      <c r="A2303" t="s">
        <v>11406</v>
      </c>
      <c r="B2303" s="102">
        <v>2376</v>
      </c>
      <c r="C2303" s="102">
        <v>2376</v>
      </c>
      <c r="D2303" s="102">
        <f>Table22[[#This Row],[CURRENT]]-Table22[[#This Row],[IDEAL]]</f>
        <v>0</v>
      </c>
    </row>
    <row r="2304" spans="1:4" x14ac:dyDescent="0.25">
      <c r="A2304" t="s">
        <v>11351</v>
      </c>
      <c r="B2304" s="102">
        <v>2017</v>
      </c>
      <c r="C2304" s="102">
        <v>2017</v>
      </c>
      <c r="D2304" s="102">
        <f>Table22[[#This Row],[CURRENT]]-Table22[[#This Row],[IDEAL]]</f>
        <v>0</v>
      </c>
    </row>
    <row r="2305" spans="1:4" x14ac:dyDescent="0.25">
      <c r="A2305" t="s">
        <v>11606</v>
      </c>
      <c r="B2305" s="102">
        <v>2118</v>
      </c>
      <c r="C2305" s="102">
        <v>2118</v>
      </c>
      <c r="D2305" s="102">
        <f>Table22[[#This Row],[CURRENT]]-Table22[[#This Row],[IDEAL]]</f>
        <v>0</v>
      </c>
    </row>
    <row r="2306" spans="1:4" x14ac:dyDescent="0.25">
      <c r="A2306" t="s">
        <v>11582</v>
      </c>
      <c r="B2306" s="102">
        <v>3773</v>
      </c>
      <c r="C2306" s="102">
        <v>3773</v>
      </c>
      <c r="D2306" s="102">
        <f>Table22[[#This Row],[CURRENT]]-Table22[[#This Row],[IDEAL]]</f>
        <v>0</v>
      </c>
    </row>
    <row r="2307" spans="1:4" x14ac:dyDescent="0.25">
      <c r="A2307" t="s">
        <v>11243</v>
      </c>
      <c r="B2307" s="102">
        <v>847</v>
      </c>
      <c r="C2307" s="102">
        <v>847</v>
      </c>
      <c r="D2307" s="102">
        <f>Table22[[#This Row],[CURRENT]]-Table22[[#This Row],[IDEAL]]</f>
        <v>0</v>
      </c>
    </row>
    <row r="2308" spans="1:4" x14ac:dyDescent="0.25">
      <c r="A2308" t="s">
        <v>11205</v>
      </c>
      <c r="B2308" s="102">
        <v>3605</v>
      </c>
      <c r="C2308" s="102">
        <v>3605</v>
      </c>
      <c r="D2308" s="102">
        <f>Table22[[#This Row],[CURRENT]]-Table22[[#This Row],[IDEAL]]</f>
        <v>0</v>
      </c>
    </row>
    <row r="2309" spans="1:4" x14ac:dyDescent="0.25">
      <c r="A2309" t="s">
        <v>11320</v>
      </c>
      <c r="B2309" s="102">
        <v>3125</v>
      </c>
      <c r="C2309" s="102">
        <v>3125</v>
      </c>
      <c r="D2309" s="102">
        <f>Table22[[#This Row],[CURRENT]]-Table22[[#This Row],[IDEAL]]</f>
        <v>0</v>
      </c>
    </row>
    <row r="2310" spans="1:4" x14ac:dyDescent="0.25">
      <c r="A2310" t="s">
        <v>11633</v>
      </c>
      <c r="B2310" s="102">
        <v>4061</v>
      </c>
      <c r="C2310" s="102">
        <v>4061</v>
      </c>
      <c r="D2310" s="102">
        <f>Table22[[#This Row],[CURRENT]]-Table22[[#This Row],[IDEAL]]</f>
        <v>0</v>
      </c>
    </row>
    <row r="2311" spans="1:4" x14ac:dyDescent="0.25">
      <c r="A2311" t="s">
        <v>11384</v>
      </c>
      <c r="B2311" s="102">
        <v>3697</v>
      </c>
      <c r="C2311" s="102">
        <v>3697</v>
      </c>
      <c r="D2311" s="102">
        <f>Table22[[#This Row],[CURRENT]]-Table22[[#This Row],[IDEAL]]</f>
        <v>0</v>
      </c>
    </row>
    <row r="2312" spans="1:4" x14ac:dyDescent="0.25">
      <c r="A2312" t="s">
        <v>11204</v>
      </c>
      <c r="B2312" s="102">
        <v>3297</v>
      </c>
      <c r="C2312" s="102">
        <v>3297</v>
      </c>
      <c r="D2312" s="102">
        <f>Table22[[#This Row],[CURRENT]]-Table22[[#This Row],[IDEAL]]</f>
        <v>0</v>
      </c>
    </row>
    <row r="2313" spans="1:4" x14ac:dyDescent="0.25">
      <c r="A2313" t="s">
        <v>11561</v>
      </c>
      <c r="B2313" s="102">
        <v>2519</v>
      </c>
      <c r="C2313" s="102">
        <v>2519</v>
      </c>
      <c r="D2313" s="102">
        <f>Table22[[#This Row],[CURRENT]]-Table22[[#This Row],[IDEAL]]</f>
        <v>0</v>
      </c>
    </row>
    <row r="2314" spans="1:4" x14ac:dyDescent="0.25">
      <c r="A2314" t="s">
        <v>11228</v>
      </c>
      <c r="B2314" s="102">
        <v>2683</v>
      </c>
      <c r="C2314" s="102">
        <v>2683</v>
      </c>
      <c r="D2314" s="102">
        <f>Table22[[#This Row],[CURRENT]]-Table22[[#This Row],[IDEAL]]</f>
        <v>0</v>
      </c>
    </row>
    <row r="2315" spans="1:4" x14ac:dyDescent="0.25">
      <c r="A2315" t="s">
        <v>11211</v>
      </c>
      <c r="B2315" s="102">
        <v>3382</v>
      </c>
      <c r="C2315" s="102">
        <v>3382</v>
      </c>
      <c r="D2315" s="102">
        <f>Table22[[#This Row],[CURRENT]]-Table22[[#This Row],[IDEAL]]</f>
        <v>0</v>
      </c>
    </row>
    <row r="2316" spans="1:4" x14ac:dyDescent="0.25">
      <c r="A2316" t="s">
        <v>11580</v>
      </c>
      <c r="B2316" s="102">
        <v>3858</v>
      </c>
      <c r="C2316" s="102">
        <v>3858</v>
      </c>
      <c r="D2316" s="102">
        <f>Table22[[#This Row],[CURRENT]]-Table22[[#This Row],[IDEAL]]</f>
        <v>0</v>
      </c>
    </row>
    <row r="2317" spans="1:4" x14ac:dyDescent="0.25">
      <c r="A2317" t="s">
        <v>11583</v>
      </c>
      <c r="B2317" s="102">
        <v>2926</v>
      </c>
      <c r="C2317" s="102">
        <v>2926</v>
      </c>
      <c r="D2317" s="102">
        <f>Table22[[#This Row],[CURRENT]]-Table22[[#This Row],[IDEAL]]</f>
        <v>0</v>
      </c>
    </row>
    <row r="2318" spans="1:4" x14ac:dyDescent="0.25">
      <c r="A2318" t="s">
        <v>11591</v>
      </c>
      <c r="B2318" s="102">
        <v>3270</v>
      </c>
      <c r="C2318" s="102">
        <v>3270</v>
      </c>
      <c r="D2318" s="102">
        <f>Table22[[#This Row],[CURRENT]]-Table22[[#This Row],[IDEAL]]</f>
        <v>0</v>
      </c>
    </row>
    <row r="2319" spans="1:4" x14ac:dyDescent="0.25">
      <c r="A2319" t="s">
        <v>11212</v>
      </c>
      <c r="B2319" s="102">
        <v>3174</v>
      </c>
      <c r="C2319" s="102">
        <v>3174</v>
      </c>
      <c r="D2319" s="102">
        <f>Table22[[#This Row],[CURRENT]]-Table22[[#This Row],[IDEAL]]</f>
        <v>0</v>
      </c>
    </row>
    <row r="2320" spans="1:4" x14ac:dyDescent="0.25">
      <c r="A2320" t="s">
        <v>11590</v>
      </c>
      <c r="B2320" s="102">
        <v>3064</v>
      </c>
      <c r="C2320" s="102">
        <v>3064</v>
      </c>
      <c r="D2320" s="102">
        <f>Table22[[#This Row],[CURRENT]]-Table22[[#This Row],[IDEAL]]</f>
        <v>0</v>
      </c>
    </row>
    <row r="2321" spans="1:4" x14ac:dyDescent="0.25">
      <c r="A2321" t="s">
        <v>11607</v>
      </c>
      <c r="B2321" s="102">
        <v>2199</v>
      </c>
      <c r="C2321" s="102">
        <v>2199</v>
      </c>
      <c r="D2321" s="102">
        <f>Table22[[#This Row],[CURRENT]]-Table22[[#This Row],[IDEAL]]</f>
        <v>0</v>
      </c>
    </row>
    <row r="2322" spans="1:4" x14ac:dyDescent="0.25">
      <c r="A2322" t="s">
        <v>11570</v>
      </c>
      <c r="B2322" s="102">
        <v>3828</v>
      </c>
      <c r="C2322" s="102">
        <v>3828</v>
      </c>
      <c r="D2322" s="102">
        <f>Table22[[#This Row],[CURRENT]]-Table22[[#This Row],[IDEAL]]</f>
        <v>0</v>
      </c>
    </row>
    <row r="2323" spans="1:4" x14ac:dyDescent="0.25">
      <c r="A2323" t="s">
        <v>11196</v>
      </c>
      <c r="B2323" s="102">
        <v>3164</v>
      </c>
      <c r="C2323" s="102">
        <v>3164</v>
      </c>
      <c r="D2323" s="102">
        <f>Table22[[#This Row],[CURRENT]]-Table22[[#This Row],[IDEAL]]</f>
        <v>0</v>
      </c>
    </row>
    <row r="2324" spans="1:4" x14ac:dyDescent="0.25">
      <c r="A2324" t="s">
        <v>11469</v>
      </c>
      <c r="B2324" s="102">
        <v>2750</v>
      </c>
      <c r="C2324" s="102">
        <v>2750</v>
      </c>
      <c r="D2324" s="102">
        <f>Table22[[#This Row],[CURRENT]]-Table22[[#This Row],[IDEAL]]</f>
        <v>0</v>
      </c>
    </row>
    <row r="2325" spans="1:4" x14ac:dyDescent="0.25">
      <c r="A2325" t="s">
        <v>11286</v>
      </c>
      <c r="B2325" s="102">
        <v>2248</v>
      </c>
      <c r="C2325" s="102">
        <v>2248</v>
      </c>
      <c r="D2325" s="102">
        <f>Table22[[#This Row],[CURRENT]]-Table22[[#This Row],[IDEAL]]</f>
        <v>0</v>
      </c>
    </row>
    <row r="2326" spans="1:4" x14ac:dyDescent="0.25">
      <c r="A2326" t="s">
        <v>11558</v>
      </c>
      <c r="B2326" s="102">
        <v>3242</v>
      </c>
      <c r="C2326" s="102">
        <v>3242</v>
      </c>
      <c r="D2326" s="102">
        <f>Table22[[#This Row],[CURRENT]]-Table22[[#This Row],[IDEAL]]</f>
        <v>0</v>
      </c>
    </row>
    <row r="2327" spans="1:4" x14ac:dyDescent="0.25">
      <c r="A2327" t="s">
        <v>11355</v>
      </c>
      <c r="B2327" s="102">
        <v>2438</v>
      </c>
      <c r="C2327" s="102">
        <v>2438</v>
      </c>
      <c r="D2327" s="102">
        <f>Table22[[#This Row],[CURRENT]]-Table22[[#This Row],[IDEAL]]</f>
        <v>0</v>
      </c>
    </row>
    <row r="2328" spans="1:4" x14ac:dyDescent="0.25">
      <c r="A2328" t="s">
        <v>11567</v>
      </c>
      <c r="B2328" s="102">
        <v>3532</v>
      </c>
      <c r="C2328" s="102">
        <v>3532</v>
      </c>
      <c r="D2328" s="102">
        <f>Table22[[#This Row],[CURRENT]]-Table22[[#This Row],[IDEAL]]</f>
        <v>0</v>
      </c>
    </row>
    <row r="2329" spans="1:4" x14ac:dyDescent="0.25">
      <c r="A2329" t="s">
        <v>11634</v>
      </c>
      <c r="B2329" s="102">
        <v>3165</v>
      </c>
      <c r="C2329" s="102">
        <v>3165</v>
      </c>
      <c r="D2329" s="102">
        <f>Table22[[#This Row],[CURRENT]]-Table22[[#This Row],[IDEAL]]</f>
        <v>0</v>
      </c>
    </row>
    <row r="2330" spans="1:4" x14ac:dyDescent="0.25">
      <c r="A2330" t="s">
        <v>11635</v>
      </c>
      <c r="B2330" s="102">
        <v>3589</v>
      </c>
      <c r="C2330" s="102">
        <v>3589</v>
      </c>
      <c r="D2330" s="102">
        <f>Table22[[#This Row],[CURRENT]]-Table22[[#This Row],[IDEAL]]</f>
        <v>0</v>
      </c>
    </row>
    <row r="2331" spans="1:4" x14ac:dyDescent="0.25">
      <c r="A2331" t="s">
        <v>11562</v>
      </c>
      <c r="B2331" s="102">
        <v>3648</v>
      </c>
      <c r="C2331" s="102">
        <v>3648</v>
      </c>
      <c r="D2331" s="102">
        <f>Table22[[#This Row],[CURRENT]]-Table22[[#This Row],[IDEAL]]</f>
        <v>0</v>
      </c>
    </row>
    <row r="2332" spans="1:4" x14ac:dyDescent="0.25">
      <c r="A2332" t="s">
        <v>11565</v>
      </c>
      <c r="B2332" s="102">
        <v>3458</v>
      </c>
      <c r="C2332" s="102">
        <v>3458</v>
      </c>
      <c r="D2332" s="102">
        <f>Table22[[#This Row],[CURRENT]]-Table22[[#This Row],[IDEAL]]</f>
        <v>0</v>
      </c>
    </row>
    <row r="2333" spans="1:4" x14ac:dyDescent="0.25">
      <c r="A2333" t="s">
        <v>11546</v>
      </c>
      <c r="B2333" s="102">
        <v>2513</v>
      </c>
      <c r="C2333" s="102">
        <v>2513</v>
      </c>
      <c r="D2333" s="102">
        <f>Table22[[#This Row],[CURRENT]]-Table22[[#This Row],[IDEAL]]</f>
        <v>0</v>
      </c>
    </row>
    <row r="2334" spans="1:4" x14ac:dyDescent="0.25">
      <c r="A2334" t="s">
        <v>11306</v>
      </c>
      <c r="B2334" s="102">
        <v>3424</v>
      </c>
      <c r="C2334" s="102">
        <v>3424</v>
      </c>
      <c r="D2334" s="102">
        <f>Table22[[#This Row],[CURRENT]]-Table22[[#This Row],[IDEAL]]</f>
        <v>0</v>
      </c>
    </row>
    <row r="2335" spans="1:4" x14ac:dyDescent="0.25">
      <c r="A2335" t="s">
        <v>11219</v>
      </c>
      <c r="B2335" s="102">
        <v>3185</v>
      </c>
      <c r="C2335" s="102">
        <v>3185</v>
      </c>
      <c r="D2335" s="102">
        <f>Table22[[#This Row],[CURRENT]]-Table22[[#This Row],[IDEAL]]</f>
        <v>0</v>
      </c>
    </row>
    <row r="2336" spans="1:4" x14ac:dyDescent="0.25">
      <c r="A2336" t="s">
        <v>11359</v>
      </c>
      <c r="B2336" s="102">
        <v>2311</v>
      </c>
      <c r="C2336" s="102">
        <v>2311</v>
      </c>
      <c r="D2336" s="102">
        <f>Table22[[#This Row],[CURRENT]]-Table22[[#This Row],[IDEAL]]</f>
        <v>0</v>
      </c>
    </row>
    <row r="2337" spans="1:4" x14ac:dyDescent="0.25">
      <c r="A2337" t="s">
        <v>11345</v>
      </c>
      <c r="B2337" s="102">
        <v>1440</v>
      </c>
      <c r="C2337" s="102">
        <v>1440</v>
      </c>
      <c r="D2337" s="102">
        <f>Table22[[#This Row],[CURRENT]]-Table22[[#This Row],[IDEAL]]</f>
        <v>0</v>
      </c>
    </row>
    <row r="2338" spans="1:4" x14ac:dyDescent="0.25">
      <c r="A2338" t="s">
        <v>11314</v>
      </c>
      <c r="B2338" s="102">
        <v>1645</v>
      </c>
      <c r="C2338" s="102">
        <v>1645</v>
      </c>
      <c r="D2338" s="102">
        <f>Table22[[#This Row],[CURRENT]]-Table22[[#This Row],[IDEAL]]</f>
        <v>0</v>
      </c>
    </row>
    <row r="2339" spans="1:4" x14ac:dyDescent="0.25">
      <c r="A2339" t="s">
        <v>11440</v>
      </c>
      <c r="B2339" s="102">
        <v>2090</v>
      </c>
      <c r="C2339" s="102">
        <v>2090</v>
      </c>
      <c r="D2339" s="102">
        <f>Table22[[#This Row],[CURRENT]]-Table22[[#This Row],[IDEAL]]</f>
        <v>0</v>
      </c>
    </row>
    <row r="2340" spans="1:4" x14ac:dyDescent="0.25">
      <c r="A2340" t="s">
        <v>11378</v>
      </c>
      <c r="B2340" s="102">
        <v>1415</v>
      </c>
      <c r="C2340" s="102">
        <v>1415</v>
      </c>
      <c r="D2340" s="102">
        <f>Table22[[#This Row],[CURRENT]]-Table22[[#This Row],[IDEAL]]</f>
        <v>0</v>
      </c>
    </row>
    <row r="2341" spans="1:4" x14ac:dyDescent="0.25">
      <c r="A2341" t="s">
        <v>11448</v>
      </c>
      <c r="B2341" s="102">
        <v>2163</v>
      </c>
      <c r="C2341" s="102">
        <v>2163</v>
      </c>
      <c r="D2341" s="102">
        <f>Table22[[#This Row],[CURRENT]]-Table22[[#This Row],[IDEAL]]</f>
        <v>0</v>
      </c>
    </row>
    <row r="2342" spans="1:4" x14ac:dyDescent="0.25">
      <c r="A2342" t="s">
        <v>11415</v>
      </c>
      <c r="B2342" s="102">
        <v>2632</v>
      </c>
      <c r="C2342" s="102">
        <v>2632</v>
      </c>
      <c r="D2342" s="102">
        <f>Table22[[#This Row],[CURRENT]]-Table22[[#This Row],[IDEAL]]</f>
        <v>0</v>
      </c>
    </row>
    <row r="2343" spans="1:4" x14ac:dyDescent="0.25">
      <c r="A2343" t="s">
        <v>11344</v>
      </c>
      <c r="B2343" s="102">
        <v>1441</v>
      </c>
      <c r="C2343" s="102">
        <v>1441</v>
      </c>
      <c r="D2343" s="102">
        <f>Table22[[#This Row],[CURRENT]]-Table22[[#This Row],[IDEAL]]</f>
        <v>0</v>
      </c>
    </row>
    <row r="2344" spans="1:4" x14ac:dyDescent="0.25">
      <c r="A2344" t="s">
        <v>11636</v>
      </c>
      <c r="B2344" s="102">
        <v>3678</v>
      </c>
      <c r="C2344" s="102">
        <v>3678</v>
      </c>
      <c r="D2344" s="102">
        <f>Table22[[#This Row],[CURRENT]]-Table22[[#This Row],[IDEAL]]</f>
        <v>0</v>
      </c>
    </row>
    <row r="2345" spans="1:4" x14ac:dyDescent="0.25">
      <c r="A2345" t="s">
        <v>11566</v>
      </c>
      <c r="B2345" s="102">
        <v>3492</v>
      </c>
      <c r="C2345" s="102">
        <v>3492</v>
      </c>
      <c r="D2345" s="102">
        <f>Table22[[#This Row],[CURRENT]]-Table22[[#This Row],[IDEAL]]</f>
        <v>0</v>
      </c>
    </row>
    <row r="2346" spans="1:4" x14ac:dyDescent="0.25">
      <c r="A2346" t="s">
        <v>11571</v>
      </c>
      <c r="B2346" s="102">
        <v>3572</v>
      </c>
      <c r="C2346" s="102">
        <v>3572</v>
      </c>
      <c r="D2346" s="102">
        <f>Table22[[#This Row],[CURRENT]]-Table22[[#This Row],[IDEAL]]</f>
        <v>0</v>
      </c>
    </row>
    <row r="2347" spans="1:4" x14ac:dyDescent="0.25">
      <c r="A2347" t="s">
        <v>11322</v>
      </c>
      <c r="B2347" s="102">
        <v>2474</v>
      </c>
      <c r="C2347" s="102">
        <v>2474</v>
      </c>
      <c r="D2347" s="102">
        <f>Table22[[#This Row],[CURRENT]]-Table22[[#This Row],[IDEAL]]</f>
        <v>0</v>
      </c>
    </row>
    <row r="2348" spans="1:4" x14ac:dyDescent="0.25">
      <c r="A2348" t="s">
        <v>11381</v>
      </c>
      <c r="B2348" s="102">
        <v>3175</v>
      </c>
      <c r="C2348" s="102">
        <v>3175</v>
      </c>
      <c r="D2348" s="102">
        <f>Table22[[#This Row],[CURRENT]]-Table22[[#This Row],[IDEAL]]</f>
        <v>0</v>
      </c>
    </row>
    <row r="2349" spans="1:4" x14ac:dyDescent="0.25">
      <c r="A2349" t="s">
        <v>11213</v>
      </c>
      <c r="B2349" s="102">
        <v>3336</v>
      </c>
      <c r="C2349" s="102">
        <v>3336</v>
      </c>
      <c r="D2349" s="102">
        <f>Table22[[#This Row],[CURRENT]]-Table22[[#This Row],[IDEAL]]</f>
        <v>0</v>
      </c>
    </row>
    <row r="2350" spans="1:4" x14ac:dyDescent="0.25">
      <c r="A2350" t="s">
        <v>11338</v>
      </c>
      <c r="B2350" s="102">
        <v>2352</v>
      </c>
      <c r="C2350" s="102">
        <v>2352</v>
      </c>
      <c r="D2350" s="102">
        <f>Table22[[#This Row],[CURRENT]]-Table22[[#This Row],[IDEAL]]</f>
        <v>0</v>
      </c>
    </row>
    <row r="2351" spans="1:4" x14ac:dyDescent="0.25">
      <c r="A2351" t="s">
        <v>11637</v>
      </c>
      <c r="B2351" s="102">
        <v>4200</v>
      </c>
      <c r="C2351" s="102">
        <v>4200</v>
      </c>
      <c r="D2351" s="102">
        <f>Table22[[#This Row],[CURRENT]]-Table22[[#This Row],[IDEAL]]</f>
        <v>0</v>
      </c>
    </row>
    <row r="2352" spans="1:4" x14ac:dyDescent="0.25">
      <c r="A2352" t="s">
        <v>11577</v>
      </c>
      <c r="B2352" s="102">
        <v>3392</v>
      </c>
      <c r="C2352" s="102">
        <v>3392</v>
      </c>
      <c r="D2352" s="102">
        <f>Table22[[#This Row],[CURRENT]]-Table22[[#This Row],[IDEAL]]</f>
        <v>0</v>
      </c>
    </row>
    <row r="2353" spans="1:4" x14ac:dyDescent="0.25">
      <c r="A2353" t="s">
        <v>11611</v>
      </c>
      <c r="B2353" s="102">
        <v>2791</v>
      </c>
      <c r="C2353" s="102">
        <v>2791</v>
      </c>
      <c r="D2353" s="102">
        <f>Table22[[#This Row],[CURRENT]]-Table22[[#This Row],[IDEAL]]</f>
        <v>0</v>
      </c>
    </row>
    <row r="2354" spans="1:4" x14ac:dyDescent="0.25">
      <c r="A2354" t="s">
        <v>11638</v>
      </c>
      <c r="B2354" s="102">
        <v>3816</v>
      </c>
      <c r="C2354" s="102">
        <v>3816</v>
      </c>
      <c r="D2354" s="102">
        <f>Table22[[#This Row],[CURRENT]]-Table22[[#This Row],[IDEAL]]</f>
        <v>0</v>
      </c>
    </row>
    <row r="2355" spans="1:4" x14ac:dyDescent="0.25">
      <c r="A2355" t="s">
        <v>11604</v>
      </c>
      <c r="B2355" s="102">
        <v>2868</v>
      </c>
      <c r="C2355" s="102">
        <v>2868</v>
      </c>
      <c r="D2355" s="102">
        <f>Table22[[#This Row],[CURRENT]]-Table22[[#This Row],[IDEAL]]</f>
        <v>0</v>
      </c>
    </row>
    <row r="2356" spans="1:4" x14ac:dyDescent="0.25">
      <c r="A2356" t="s">
        <v>11548</v>
      </c>
      <c r="B2356" s="102">
        <v>2829</v>
      </c>
      <c r="C2356" s="102">
        <v>2829</v>
      </c>
      <c r="D2356" s="102">
        <f>Table22[[#This Row],[CURRENT]]-Table22[[#This Row],[IDEAL]]</f>
        <v>0</v>
      </c>
    </row>
    <row r="2357" spans="1:4" x14ac:dyDescent="0.25">
      <c r="A2357" t="s">
        <v>11252</v>
      </c>
      <c r="B2357" s="102">
        <v>2394</v>
      </c>
      <c r="C2357" s="102">
        <v>2394</v>
      </c>
      <c r="D2357" s="102">
        <f>Table22[[#This Row],[CURRENT]]-Table22[[#This Row],[IDEAL]]</f>
        <v>0</v>
      </c>
    </row>
    <row r="2358" spans="1:4" x14ac:dyDescent="0.25">
      <c r="A2358" t="s">
        <v>11340</v>
      </c>
      <c r="B2358" s="102">
        <v>2595</v>
      </c>
      <c r="C2358" s="102">
        <v>2595</v>
      </c>
      <c r="D2358" s="102">
        <f>Table22[[#This Row],[CURRENT]]-Table22[[#This Row],[IDEAL]]</f>
        <v>0</v>
      </c>
    </row>
    <row r="2359" spans="1:4" x14ac:dyDescent="0.25">
      <c r="A2359" t="s">
        <v>11353</v>
      </c>
      <c r="B2359" s="102">
        <v>2219</v>
      </c>
      <c r="C2359" s="102">
        <v>2219</v>
      </c>
      <c r="D2359" s="102">
        <f>Table22[[#This Row],[CURRENT]]-Table22[[#This Row],[IDEAL]]</f>
        <v>0</v>
      </c>
    </row>
    <row r="2360" spans="1:4" x14ac:dyDescent="0.25">
      <c r="A2360" t="s">
        <v>72</v>
      </c>
      <c r="B2360" s="102">
        <v>2932</v>
      </c>
      <c r="C2360" s="102">
        <v>2932</v>
      </c>
      <c r="D2360" s="102">
        <f>Table22[[#This Row],[CURRENT]]-Table22[[#This Row],[IDEAL]]</f>
        <v>0</v>
      </c>
    </row>
    <row r="2361" spans="1:4" x14ac:dyDescent="0.25">
      <c r="A2361" t="s">
        <v>11170</v>
      </c>
      <c r="B2361" s="102">
        <v>2714</v>
      </c>
      <c r="C2361" s="102">
        <v>2714</v>
      </c>
      <c r="D2361" s="102">
        <f>Table22[[#This Row],[CURRENT]]-Table22[[#This Row],[IDEAL]]</f>
        <v>0</v>
      </c>
    </row>
    <row r="2362" spans="1:4" x14ac:dyDescent="0.25">
      <c r="A2362" t="s">
        <v>11438</v>
      </c>
      <c r="B2362" s="102">
        <v>2175</v>
      </c>
      <c r="C2362" s="102">
        <v>2175</v>
      </c>
      <c r="D2362" s="102">
        <f>Table22[[#This Row],[CURRENT]]-Table22[[#This Row],[IDEAL]]</f>
        <v>0</v>
      </c>
    </row>
    <row r="2363" spans="1:4" x14ac:dyDescent="0.25">
      <c r="A2363" t="s">
        <v>11368</v>
      </c>
      <c r="B2363" s="102">
        <v>2814</v>
      </c>
      <c r="C2363" s="102">
        <v>2814</v>
      </c>
      <c r="D2363" s="102">
        <f>Table22[[#This Row],[CURRENT]]-Table22[[#This Row],[IDEAL]]</f>
        <v>0</v>
      </c>
    </row>
    <row r="2364" spans="1:4" x14ac:dyDescent="0.25">
      <c r="A2364" t="s">
        <v>11456</v>
      </c>
      <c r="B2364" s="102">
        <v>3424</v>
      </c>
      <c r="C2364" s="102">
        <v>3424</v>
      </c>
      <c r="D2364" s="102">
        <f>Table22[[#This Row],[CURRENT]]-Table22[[#This Row],[IDEAL]]</f>
        <v>0</v>
      </c>
    </row>
    <row r="2365" spans="1:4" x14ac:dyDescent="0.25">
      <c r="A2365" t="s">
        <v>11223</v>
      </c>
      <c r="B2365" s="102">
        <v>3211</v>
      </c>
      <c r="C2365" s="102">
        <v>3211</v>
      </c>
      <c r="D2365" s="102">
        <f>Table22[[#This Row],[CURRENT]]-Table22[[#This Row],[IDEAL]]</f>
        <v>0</v>
      </c>
    </row>
    <row r="2366" spans="1:4" x14ac:dyDescent="0.25">
      <c r="A2366" t="s">
        <v>11414</v>
      </c>
      <c r="B2366" s="102">
        <v>2189</v>
      </c>
      <c r="C2366" s="102">
        <v>2189</v>
      </c>
      <c r="D2366" s="102">
        <f>Table22[[#This Row],[CURRENT]]-Table22[[#This Row],[IDEAL]]</f>
        <v>0</v>
      </c>
    </row>
    <row r="2367" spans="1:4" x14ac:dyDescent="0.25">
      <c r="A2367" t="s">
        <v>11572</v>
      </c>
      <c r="B2367" s="102">
        <v>3063</v>
      </c>
      <c r="C2367" s="102">
        <v>3063</v>
      </c>
      <c r="D2367" s="102">
        <f>Table22[[#This Row],[CURRENT]]-Table22[[#This Row],[IDEAL]]</f>
        <v>0</v>
      </c>
    </row>
    <row r="2368" spans="1:4" x14ac:dyDescent="0.25">
      <c r="A2368" t="s">
        <v>11584</v>
      </c>
      <c r="B2368" s="102">
        <v>2346</v>
      </c>
      <c r="C2368" s="102">
        <v>2346</v>
      </c>
      <c r="D2368" s="102">
        <f>Table22[[#This Row],[CURRENT]]-Table22[[#This Row],[IDEAL]]</f>
        <v>0</v>
      </c>
    </row>
    <row r="2369" spans="1:4" x14ac:dyDescent="0.25">
      <c r="A2369" t="s">
        <v>11374</v>
      </c>
      <c r="B2369" s="102">
        <v>1987</v>
      </c>
      <c r="C2369" s="102">
        <v>1987</v>
      </c>
      <c r="D2369" s="102">
        <f>Table22[[#This Row],[CURRENT]]-Table22[[#This Row],[IDEAL]]</f>
        <v>0</v>
      </c>
    </row>
    <row r="2370" spans="1:4" x14ac:dyDescent="0.25">
      <c r="A2370" t="s">
        <v>11603</v>
      </c>
      <c r="B2370" s="102">
        <v>2817</v>
      </c>
      <c r="C2370" s="102">
        <v>2817</v>
      </c>
      <c r="D2370" s="102">
        <f>Table22[[#This Row],[CURRENT]]-Table22[[#This Row],[IDEAL]]</f>
        <v>0</v>
      </c>
    </row>
    <row r="2371" spans="1:4" x14ac:dyDescent="0.25">
      <c r="A2371" t="s">
        <v>11182</v>
      </c>
      <c r="B2371" s="102">
        <v>3149</v>
      </c>
      <c r="C2371" s="102">
        <v>3149</v>
      </c>
      <c r="D2371" s="102">
        <f>Table22[[#This Row],[CURRENT]]-Table22[[#This Row],[IDEAL]]</f>
        <v>0</v>
      </c>
    </row>
    <row r="2372" spans="1:4" x14ac:dyDescent="0.25">
      <c r="A2372" t="s">
        <v>11335</v>
      </c>
      <c r="B2372" s="102">
        <v>3125</v>
      </c>
      <c r="C2372" s="102">
        <v>3125</v>
      </c>
      <c r="D2372" s="102">
        <f>Table22[[#This Row],[CURRENT]]-Table22[[#This Row],[IDEAL]]</f>
        <v>0</v>
      </c>
    </row>
    <row r="2373" spans="1:4" x14ac:dyDescent="0.25">
      <c r="A2373" t="s">
        <v>11593</v>
      </c>
      <c r="B2373" s="102">
        <v>3396</v>
      </c>
      <c r="C2373" s="102">
        <v>3396</v>
      </c>
      <c r="D2373" s="102">
        <f>Table22[[#This Row],[CURRENT]]-Table22[[#This Row],[IDEAL]]</f>
        <v>0</v>
      </c>
    </row>
    <row r="2374" spans="1:4" x14ac:dyDescent="0.25">
      <c r="A2374" t="s">
        <v>11330</v>
      </c>
      <c r="B2374" s="102">
        <v>1726</v>
      </c>
      <c r="C2374" s="102">
        <v>1726</v>
      </c>
      <c r="D2374" s="102">
        <f>Table22[[#This Row],[CURRENT]]-Table22[[#This Row],[IDEAL]]</f>
        <v>0</v>
      </c>
    </row>
    <row r="2375" spans="1:4" x14ac:dyDescent="0.25">
      <c r="A2375" t="s">
        <v>11445</v>
      </c>
      <c r="B2375" s="102">
        <v>2693</v>
      </c>
      <c r="C2375" s="102">
        <v>2693</v>
      </c>
      <c r="D2375" s="102">
        <f>Table22[[#This Row],[CURRENT]]-Table22[[#This Row],[IDEAL]]</f>
        <v>0</v>
      </c>
    </row>
    <row r="2376" spans="1:4" x14ac:dyDescent="0.25">
      <c r="A2376" t="s">
        <v>11215</v>
      </c>
      <c r="B2376" s="102">
        <v>3179</v>
      </c>
      <c r="C2376" s="102">
        <v>3179</v>
      </c>
      <c r="D2376" s="102">
        <f>Table22[[#This Row],[CURRENT]]-Table22[[#This Row],[IDEAL]]</f>
        <v>0</v>
      </c>
    </row>
    <row r="2377" spans="1:4" x14ac:dyDescent="0.25">
      <c r="A2377" t="s">
        <v>11341</v>
      </c>
      <c r="B2377" s="102">
        <v>2084</v>
      </c>
      <c r="C2377" s="102">
        <v>2084</v>
      </c>
      <c r="D2377" s="102">
        <f>Table22[[#This Row],[CURRENT]]-Table22[[#This Row],[IDEAL]]</f>
        <v>0</v>
      </c>
    </row>
    <row r="2378" spans="1:4" x14ac:dyDescent="0.25">
      <c r="A2378" t="s">
        <v>11563</v>
      </c>
      <c r="B2378" s="102">
        <v>3498</v>
      </c>
      <c r="C2378" s="102">
        <v>3498</v>
      </c>
      <c r="D2378" s="102">
        <f>Table22[[#This Row],[CURRENT]]-Table22[[#This Row],[IDEAL]]</f>
        <v>0</v>
      </c>
    </row>
    <row r="2379" spans="1:4" x14ac:dyDescent="0.25">
      <c r="A2379" t="s">
        <v>11315</v>
      </c>
      <c r="B2379" s="102">
        <v>3087</v>
      </c>
      <c r="C2379" s="102">
        <v>3087</v>
      </c>
      <c r="D2379" s="102">
        <f>Table22[[#This Row],[CURRENT]]-Table22[[#This Row],[IDEAL]]</f>
        <v>0</v>
      </c>
    </row>
    <row r="2380" spans="1:4" x14ac:dyDescent="0.25">
      <c r="A2380" t="s">
        <v>11408</v>
      </c>
      <c r="B2380" s="102">
        <v>2599</v>
      </c>
      <c r="C2380" s="102">
        <v>2599</v>
      </c>
      <c r="D2380" s="102">
        <f>Table22[[#This Row],[CURRENT]]-Table22[[#This Row],[IDEAL]]</f>
        <v>0</v>
      </c>
    </row>
    <row r="2381" spans="1:4" x14ac:dyDescent="0.25">
      <c r="A2381" t="s">
        <v>11218</v>
      </c>
      <c r="B2381" s="102">
        <v>2693</v>
      </c>
      <c r="C2381" s="102">
        <v>2693</v>
      </c>
      <c r="D2381" s="102">
        <f>Table22[[#This Row],[CURRENT]]-Table22[[#This Row],[IDEAL]]</f>
        <v>0</v>
      </c>
    </row>
    <row r="2382" spans="1:4" x14ac:dyDescent="0.25">
      <c r="A2382" t="s">
        <v>11610</v>
      </c>
      <c r="B2382" s="102">
        <v>2447</v>
      </c>
      <c r="C2382" s="102">
        <v>2447</v>
      </c>
      <c r="D2382" s="102">
        <f>Table22[[#This Row],[CURRENT]]-Table22[[#This Row],[IDEAL]]</f>
        <v>0</v>
      </c>
    </row>
    <row r="2383" spans="1:4" x14ac:dyDescent="0.25">
      <c r="A2383" t="s">
        <v>11404</v>
      </c>
      <c r="B2383" s="102">
        <v>2346</v>
      </c>
      <c r="C2383" s="102">
        <v>2346</v>
      </c>
      <c r="D2383" s="102">
        <f>Table22[[#This Row],[CURRENT]]-Table22[[#This Row],[IDEAL]]</f>
        <v>0</v>
      </c>
    </row>
    <row r="2384" spans="1:4" x14ac:dyDescent="0.25">
      <c r="A2384" t="s">
        <v>11416</v>
      </c>
      <c r="B2384" s="102">
        <v>2319</v>
      </c>
      <c r="C2384" s="102">
        <v>2319</v>
      </c>
      <c r="D2384" s="102">
        <f>Table22[[#This Row],[CURRENT]]-Table22[[#This Row],[IDEAL]]</f>
        <v>0</v>
      </c>
    </row>
    <row r="2385" spans="1:4" x14ac:dyDescent="0.25">
      <c r="A2385" t="s">
        <v>11339</v>
      </c>
      <c r="B2385" s="102">
        <v>2583</v>
      </c>
      <c r="C2385" s="102">
        <v>2583</v>
      </c>
      <c r="D2385" s="102">
        <f>Table22[[#This Row],[CURRENT]]-Table22[[#This Row],[IDEAL]]</f>
        <v>0</v>
      </c>
    </row>
    <row r="2386" spans="1:4" x14ac:dyDescent="0.25">
      <c r="A2386" t="s">
        <v>11557</v>
      </c>
      <c r="B2386" s="102">
        <v>3343</v>
      </c>
      <c r="C2386" s="102">
        <v>3343</v>
      </c>
      <c r="D2386" s="102">
        <f>Table22[[#This Row],[CURRENT]]-Table22[[#This Row],[IDEAL]]</f>
        <v>0</v>
      </c>
    </row>
    <row r="2387" spans="1:4" x14ac:dyDescent="0.25">
      <c r="A2387" t="s">
        <v>11595</v>
      </c>
      <c r="B2387" s="102">
        <v>3862</v>
      </c>
      <c r="C2387" s="102">
        <v>3862</v>
      </c>
      <c r="D2387" s="102">
        <f>Table22[[#This Row],[CURRENT]]-Table22[[#This Row],[IDEAL]]</f>
        <v>0</v>
      </c>
    </row>
    <row r="2388" spans="1:4" x14ac:dyDescent="0.25">
      <c r="A2388" t="s">
        <v>11327</v>
      </c>
      <c r="B2388" s="102">
        <v>2037</v>
      </c>
      <c r="C2388" s="102">
        <v>2037</v>
      </c>
      <c r="D2388" s="102">
        <f>Table22[[#This Row],[CURRENT]]-Table22[[#This Row],[IDEAL]]</f>
        <v>0</v>
      </c>
    </row>
    <row r="2389" spans="1:4" x14ac:dyDescent="0.25">
      <c r="A2389" t="s">
        <v>11549</v>
      </c>
      <c r="B2389" s="102">
        <v>2830</v>
      </c>
      <c r="C2389" s="102">
        <v>2830</v>
      </c>
      <c r="D2389" s="102">
        <f>Table22[[#This Row],[CURRENT]]-Table22[[#This Row],[IDEAL]]</f>
        <v>0</v>
      </c>
    </row>
    <row r="2390" spans="1:4" x14ac:dyDescent="0.25">
      <c r="A2390" t="s">
        <v>11646</v>
      </c>
      <c r="B2390" s="102">
        <v>4055</v>
      </c>
      <c r="C2390" s="102">
        <v>4055</v>
      </c>
      <c r="D2390" s="102">
        <f>Table22[[#This Row],[CURRENT]]-Table22[[#This Row],[IDEAL]]</f>
        <v>0</v>
      </c>
    </row>
    <row r="2391" spans="1:4" x14ac:dyDescent="0.25">
      <c r="A2391" t="s">
        <v>11398</v>
      </c>
      <c r="B2391" s="102">
        <v>2929</v>
      </c>
      <c r="C2391" s="102">
        <v>2929</v>
      </c>
      <c r="D2391" s="102">
        <f>Table22[[#This Row],[CURRENT]]-Table22[[#This Row],[IDEAL]]</f>
        <v>0</v>
      </c>
    </row>
    <row r="2392" spans="1:4" x14ac:dyDescent="0.25">
      <c r="A2392" t="s">
        <v>11289</v>
      </c>
      <c r="B2392" s="102">
        <v>2932</v>
      </c>
      <c r="C2392" s="102">
        <v>2932</v>
      </c>
      <c r="D2392" s="102">
        <f>Table22[[#This Row],[CURRENT]]-Table22[[#This Row],[IDEAL]]</f>
        <v>0</v>
      </c>
    </row>
    <row r="2393" spans="1:4" x14ac:dyDescent="0.25">
      <c r="A2393" t="s">
        <v>11601</v>
      </c>
      <c r="B2393" s="102">
        <v>3778</v>
      </c>
      <c r="C2393" s="102">
        <v>3778</v>
      </c>
      <c r="D2393" s="102">
        <f>Table22[[#This Row],[CURRENT]]-Table22[[#This Row],[IDEAL]]</f>
        <v>0</v>
      </c>
    </row>
    <row r="2394" spans="1:4" x14ac:dyDescent="0.25">
      <c r="A2394" t="s">
        <v>11573</v>
      </c>
      <c r="B2394" s="102">
        <v>4121</v>
      </c>
      <c r="C2394" s="102">
        <v>4121</v>
      </c>
      <c r="D2394" s="102">
        <f>Table22[[#This Row],[CURRENT]]-Table22[[#This Row],[IDEAL]]</f>
        <v>0</v>
      </c>
    </row>
    <row r="2395" spans="1:4" x14ac:dyDescent="0.25">
      <c r="A2395" t="s">
        <v>11199</v>
      </c>
      <c r="B2395" s="102">
        <v>3757</v>
      </c>
      <c r="C2395" s="102">
        <v>3757</v>
      </c>
      <c r="D2395" s="102">
        <f>Table22[[#This Row],[CURRENT]]-Table22[[#This Row],[IDEAL]]</f>
        <v>0</v>
      </c>
    </row>
    <row r="2396" spans="1:4" x14ac:dyDescent="0.25">
      <c r="A2396" t="s">
        <v>11600</v>
      </c>
      <c r="B2396" s="102">
        <v>3825</v>
      </c>
      <c r="C2396" s="102">
        <v>3825</v>
      </c>
      <c r="D2396" s="102">
        <f>Table22[[#This Row],[CURRENT]]-Table22[[#This Row],[IDEAL]]</f>
        <v>0</v>
      </c>
    </row>
    <row r="2397" spans="1:4" x14ac:dyDescent="0.25">
      <c r="A2397" t="s">
        <v>11200</v>
      </c>
      <c r="B2397" s="102">
        <v>3717</v>
      </c>
      <c r="C2397" s="102">
        <v>3717</v>
      </c>
      <c r="D2397" s="102">
        <f>Table22[[#This Row],[CURRENT]]-Table22[[#This Row],[IDEAL]]</f>
        <v>0</v>
      </c>
    </row>
    <row r="2398" spans="1:4" x14ac:dyDescent="0.25">
      <c r="A2398" t="s">
        <v>11575</v>
      </c>
      <c r="B2398" s="102">
        <v>3990</v>
      </c>
      <c r="C2398" s="102">
        <v>3990</v>
      </c>
      <c r="D2398" s="102">
        <f>Table22[[#This Row],[CURRENT]]-Table22[[#This Row],[IDEAL]]</f>
        <v>0</v>
      </c>
    </row>
    <row r="2399" spans="1:4" x14ac:dyDescent="0.25">
      <c r="A2399" t="s">
        <v>11201</v>
      </c>
      <c r="B2399" s="102">
        <v>2430</v>
      </c>
      <c r="C2399" s="102">
        <v>2430</v>
      </c>
      <c r="D2399" s="102">
        <f>Table22[[#This Row],[CURRENT]]-Table22[[#This Row],[IDEAL]]</f>
        <v>0</v>
      </c>
    </row>
    <row r="2400" spans="1:4" x14ac:dyDescent="0.25">
      <c r="A2400" t="s">
        <v>16006</v>
      </c>
      <c r="B2400" s="102">
        <v>3924</v>
      </c>
      <c r="C2400" s="102">
        <v>3924</v>
      </c>
      <c r="D2400" s="102">
        <f>Table22[[#This Row],[CURRENT]]-Table22[[#This Row],[IDEAL]]</f>
        <v>0</v>
      </c>
    </row>
    <row r="2401" spans="1:4" x14ac:dyDescent="0.25">
      <c r="A2401" t="s">
        <v>16056</v>
      </c>
      <c r="B2401" s="102">
        <v>3674</v>
      </c>
      <c r="C2401" s="102">
        <v>3674</v>
      </c>
      <c r="D2401" s="102">
        <f>Table22[[#This Row],[CURRENT]]-Table22[[#This Row],[IDEAL]]</f>
        <v>0</v>
      </c>
    </row>
    <row r="2402" spans="1:4" x14ac:dyDescent="0.25">
      <c r="A2402" t="s">
        <v>16030</v>
      </c>
      <c r="B2402" s="102">
        <v>3807</v>
      </c>
      <c r="C2402" s="102">
        <v>3807</v>
      </c>
      <c r="D2402" s="102">
        <f>Table22[[#This Row],[CURRENT]]-Table22[[#This Row],[IDEAL]]</f>
        <v>0</v>
      </c>
    </row>
    <row r="2403" spans="1:4" x14ac:dyDescent="0.25">
      <c r="A2403" t="s">
        <v>15970</v>
      </c>
      <c r="B2403" s="102">
        <v>4283</v>
      </c>
      <c r="C2403" s="102">
        <v>4283</v>
      </c>
      <c r="D2403" s="102">
        <f>Table22[[#This Row],[CURRENT]]-Table22[[#This Row],[IDEAL]]</f>
        <v>0</v>
      </c>
    </row>
    <row r="2404" spans="1:4" x14ac:dyDescent="0.25">
      <c r="A2404" t="s">
        <v>12649</v>
      </c>
      <c r="B2404" s="102">
        <v>3187</v>
      </c>
      <c r="C2404" s="102">
        <v>3153</v>
      </c>
      <c r="D2404" s="102">
        <f>Table22[[#This Row],[CURRENT]]-Table22[[#This Row],[IDEAL]]</f>
        <v>34</v>
      </c>
    </row>
    <row r="2405" spans="1:4" x14ac:dyDescent="0.25">
      <c r="A2405" t="s">
        <v>12661</v>
      </c>
      <c r="B2405" s="102">
        <v>2466</v>
      </c>
      <c r="C2405" s="102">
        <v>2337</v>
      </c>
      <c r="D2405" s="102">
        <f>Table22[[#This Row],[CURRENT]]-Table22[[#This Row],[IDEAL]]</f>
        <v>129</v>
      </c>
    </row>
    <row r="2406" spans="1:4" x14ac:dyDescent="0.25">
      <c r="A2406" t="s">
        <v>17589</v>
      </c>
      <c r="B2406" s="102">
        <v>1816</v>
      </c>
      <c r="C2406" s="102">
        <v>0</v>
      </c>
      <c r="D2406" s="102">
        <f>Table22[[#This Row],[CURRENT]]-Table22[[#This Row],[IDEAL]]</f>
        <v>1816</v>
      </c>
    </row>
    <row r="2407" spans="1:4" x14ac:dyDescent="0.25">
      <c r="A2407" t="s">
        <v>17477</v>
      </c>
      <c r="B2407" s="102">
        <v>1887</v>
      </c>
      <c r="C2407" s="102">
        <v>0</v>
      </c>
      <c r="D2407" s="102">
        <f>Table22[[#This Row],[CURRENT]]-Table22[[#This Row],[IDEAL]]</f>
        <v>1887</v>
      </c>
    </row>
    <row r="2408" spans="1:4" x14ac:dyDescent="0.25">
      <c r="A2408" t="s">
        <v>12617</v>
      </c>
      <c r="B2408" s="102">
        <v>2579</v>
      </c>
      <c r="C2408" s="102">
        <v>0</v>
      </c>
      <c r="D2408" s="102">
        <f>Table22[[#This Row],[CURRENT]]-Table22[[#This Row],[IDEAL]]</f>
        <v>2579</v>
      </c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AFED-7B89-4274-898A-F006B525A9EB}">
  <dimension ref="C2:O95"/>
  <sheetViews>
    <sheetView zoomScale="85" zoomScaleNormal="85" workbookViewId="0">
      <selection activeCell="H2" sqref="H2"/>
    </sheetView>
  </sheetViews>
  <sheetFormatPr defaultColWidth="9.140625" defaultRowHeight="21" x14ac:dyDescent="0.25"/>
  <cols>
    <col min="1" max="2" width="9.140625" style="1"/>
    <col min="3" max="3" width="9.140625" style="46"/>
    <col min="4" max="5" width="9.140625" style="8"/>
    <col min="6" max="6" width="19" style="4" bestFit="1" customWidth="1"/>
    <col min="7" max="7" width="20.7109375" style="4" bestFit="1" customWidth="1"/>
    <col min="8" max="8" width="21.5703125" style="4" bestFit="1" customWidth="1"/>
    <col min="9" max="10" width="21.5703125" style="4" customWidth="1"/>
    <col min="11" max="11" width="18" style="1" bestFit="1" customWidth="1"/>
    <col min="12" max="12" width="11" style="1" customWidth="1"/>
    <col min="13" max="14" width="9.140625" style="1"/>
    <col min="15" max="15" width="17" style="1" bestFit="1" customWidth="1"/>
    <col min="16" max="16384" width="9.140625" style="1"/>
  </cols>
  <sheetData>
    <row r="2" spans="3:15" x14ac:dyDescent="0.25">
      <c r="F2" s="183" t="s">
        <v>14186</v>
      </c>
      <c r="G2" s="4" t="s">
        <v>482</v>
      </c>
      <c r="H2" s="25">
        <v>19930217484</v>
      </c>
      <c r="I2" s="25"/>
      <c r="J2" s="25"/>
    </row>
    <row r="3" spans="3:15" x14ac:dyDescent="0.25">
      <c r="H3" s="5"/>
    </row>
    <row r="4" spans="3:15" ht="21.75" thickBot="1" x14ac:dyDescent="0.3">
      <c r="D4" s="20" t="s">
        <v>481</v>
      </c>
      <c r="E4" s="20" t="s">
        <v>480</v>
      </c>
      <c r="F4" s="24" t="s">
        <v>11121</v>
      </c>
      <c r="G4" s="4" t="s">
        <v>479</v>
      </c>
      <c r="H4" s="4" t="s">
        <v>478</v>
      </c>
      <c r="I4" s="4" t="s">
        <v>12665</v>
      </c>
      <c r="J4" s="4" t="s">
        <v>12667</v>
      </c>
      <c r="K4" s="1" t="s">
        <v>12666</v>
      </c>
      <c r="L4" s="1" t="s">
        <v>477</v>
      </c>
    </row>
    <row r="5" spans="3:15" ht="15" x14ac:dyDescent="0.25">
      <c r="C5" s="546">
        <v>1</v>
      </c>
      <c r="D5" s="80">
        <v>1</v>
      </c>
      <c r="E5" s="74">
        <v>0</v>
      </c>
      <c r="F5" s="72">
        <v>315000000</v>
      </c>
      <c r="G5" s="72">
        <v>296300000</v>
      </c>
      <c r="H5" s="72">
        <f t="shared" ref="H5:H68" si="0">$H$2-G5</f>
        <v>19633917484</v>
      </c>
      <c r="I5" s="128">
        <f>Table2514[[#This Row],[PAY PRICE]]/Table2514[[#This Row],[QTY]]</f>
        <v>296300000</v>
      </c>
      <c r="J5" s="128"/>
      <c r="K5" s="73"/>
      <c r="L5" s="68"/>
    </row>
    <row r="6" spans="3:15" ht="15" x14ac:dyDescent="0.25">
      <c r="C6" s="547"/>
      <c r="D6" s="81">
        <v>2</v>
      </c>
      <c r="E6" s="75">
        <v>2.7900000000000001E-2</v>
      </c>
      <c r="F6" s="22">
        <f t="shared" ref="F6:F69" si="1">$F$5*D6</f>
        <v>630000000</v>
      </c>
      <c r="G6" s="22">
        <f t="shared" ref="G6:G69" si="2">F6*(1-E6)</f>
        <v>612423000</v>
      </c>
      <c r="H6" s="22">
        <f t="shared" si="0"/>
        <v>19317794484</v>
      </c>
      <c r="I6" s="129">
        <f>Table2514[[#This Row],[PAY PRICE]]/Table2514[[#This Row],[QTY]]</f>
        <v>306211500</v>
      </c>
      <c r="J6" s="129">
        <f>($F$5-Table2514[[#This Row],[$ Per Plane]])</f>
        <v>8788500</v>
      </c>
      <c r="K6" s="36">
        <f t="shared" ref="K6:K69" si="3">($F$5*D6)-G6</f>
        <v>17577000</v>
      </c>
      <c r="L6" s="69">
        <f t="shared" ref="L6:L69" si="4">K6/$F$5</f>
        <v>5.5800000000000002E-2</v>
      </c>
    </row>
    <row r="7" spans="3:15" ht="15" x14ac:dyDescent="0.25">
      <c r="C7" s="547"/>
      <c r="D7" s="81">
        <v>3</v>
      </c>
      <c r="E7" s="75">
        <v>4.1500000000000002E-2</v>
      </c>
      <c r="F7" s="22">
        <f t="shared" si="1"/>
        <v>945000000</v>
      </c>
      <c r="G7" s="22">
        <f t="shared" si="2"/>
        <v>905782500</v>
      </c>
      <c r="H7" s="22">
        <f t="shared" si="0"/>
        <v>19024434984</v>
      </c>
      <c r="I7" s="129">
        <f>Table2514[[#This Row],[PAY PRICE]]/Table2514[[#This Row],[QTY]]</f>
        <v>301927500</v>
      </c>
      <c r="J7" s="129">
        <f>($F$5-Table2514[[#This Row],[$ Per Plane]])</f>
        <v>13072500</v>
      </c>
      <c r="K7" s="36">
        <f t="shared" si="3"/>
        <v>39217500</v>
      </c>
      <c r="L7" s="69">
        <f t="shared" si="4"/>
        <v>0.1245</v>
      </c>
    </row>
    <row r="8" spans="3:15" ht="15" x14ac:dyDescent="0.25">
      <c r="C8" s="547"/>
      <c r="D8" s="81">
        <v>4</v>
      </c>
      <c r="E8" s="75">
        <v>5.1900000000000002E-2</v>
      </c>
      <c r="F8" s="22">
        <f t="shared" si="1"/>
        <v>1260000000</v>
      </c>
      <c r="G8" s="22">
        <f t="shared" si="2"/>
        <v>1194606000</v>
      </c>
      <c r="H8" s="22">
        <f t="shared" si="0"/>
        <v>18735611484</v>
      </c>
      <c r="I8" s="129">
        <f>Table2514[[#This Row],[PAY PRICE]]/Table2514[[#This Row],[QTY]]</f>
        <v>298651500</v>
      </c>
      <c r="J8" s="129">
        <f>($F$5-Table2514[[#This Row],[$ Per Plane]])</f>
        <v>16348500</v>
      </c>
      <c r="K8" s="36">
        <f t="shared" si="3"/>
        <v>65394000</v>
      </c>
      <c r="L8" s="69">
        <f t="shared" si="4"/>
        <v>0.20760000000000001</v>
      </c>
    </row>
    <row r="9" spans="3:15" ht="15" x14ac:dyDescent="0.25">
      <c r="C9" s="547"/>
      <c r="D9" s="82">
        <v>5</v>
      </c>
      <c r="E9" s="75">
        <v>5.9299999999999999E-2</v>
      </c>
      <c r="F9" s="22">
        <f t="shared" si="1"/>
        <v>1575000000</v>
      </c>
      <c r="G9" s="22">
        <f t="shared" si="2"/>
        <v>1481602500</v>
      </c>
      <c r="H9" s="22">
        <f t="shared" si="0"/>
        <v>18448614984</v>
      </c>
      <c r="I9" s="129">
        <f>Table2514[[#This Row],[PAY PRICE]]/Table2514[[#This Row],[QTY]]</f>
        <v>296320500</v>
      </c>
      <c r="J9" s="129">
        <f>($F$5-Table2514[[#This Row],[$ Per Plane]])</f>
        <v>18679500</v>
      </c>
      <c r="K9" s="36">
        <f t="shared" si="3"/>
        <v>93397500</v>
      </c>
      <c r="L9" s="69">
        <f t="shared" si="4"/>
        <v>0.29649999999999999</v>
      </c>
    </row>
    <row r="10" spans="3:15" ht="15" x14ac:dyDescent="0.25">
      <c r="C10" s="547"/>
      <c r="D10" s="81">
        <v>6</v>
      </c>
      <c r="E10" s="75">
        <v>6.4399999999999999E-2</v>
      </c>
      <c r="F10" s="22">
        <f t="shared" si="1"/>
        <v>1890000000</v>
      </c>
      <c r="G10" s="22">
        <f t="shared" si="2"/>
        <v>1768284000</v>
      </c>
      <c r="H10" s="22">
        <f t="shared" si="0"/>
        <v>18161933484</v>
      </c>
      <c r="I10" s="129">
        <f>Table2514[[#This Row],[PAY PRICE]]/Table2514[[#This Row],[QTY]]</f>
        <v>294714000</v>
      </c>
      <c r="J10" s="129">
        <f>($F$5-Table2514[[#This Row],[$ Per Plane]])</f>
        <v>20286000</v>
      </c>
      <c r="K10" s="36">
        <f t="shared" si="3"/>
        <v>121716000</v>
      </c>
      <c r="L10" s="69">
        <f t="shared" si="4"/>
        <v>0.38640000000000002</v>
      </c>
    </row>
    <row r="11" spans="3:15" ht="15.75" thickBot="1" x14ac:dyDescent="0.3">
      <c r="C11" s="548"/>
      <c r="D11" s="83">
        <v>7</v>
      </c>
      <c r="E11" s="76">
        <v>6.9500000000000006E-2</v>
      </c>
      <c r="F11" s="19">
        <f t="shared" si="1"/>
        <v>2205000000</v>
      </c>
      <c r="G11" s="19">
        <f t="shared" si="2"/>
        <v>2051752500</v>
      </c>
      <c r="H11" s="19">
        <f t="shared" si="0"/>
        <v>17878464984</v>
      </c>
      <c r="I11" s="130">
        <f>Table2514[[#This Row],[PAY PRICE]]/Table2514[[#This Row],[QTY]]</f>
        <v>293107500</v>
      </c>
      <c r="J11" s="129">
        <f>($F$5-Table2514[[#This Row],[$ Per Plane]])</f>
        <v>21892500</v>
      </c>
      <c r="K11" s="23">
        <f t="shared" si="3"/>
        <v>153247500</v>
      </c>
      <c r="L11" s="71">
        <f t="shared" si="4"/>
        <v>0.48649999999999999</v>
      </c>
    </row>
    <row r="12" spans="3:15" ht="15" x14ac:dyDescent="0.25">
      <c r="C12" s="546">
        <f>C5+1</f>
        <v>2</v>
      </c>
      <c r="D12" s="84">
        <v>8</v>
      </c>
      <c r="E12" s="74">
        <v>7.3999999999999996E-2</v>
      </c>
      <c r="F12" s="72">
        <f t="shared" si="1"/>
        <v>2520000000</v>
      </c>
      <c r="G12" s="72">
        <f t="shared" si="2"/>
        <v>2333520000</v>
      </c>
      <c r="H12" s="72">
        <f t="shared" si="0"/>
        <v>17596697484</v>
      </c>
      <c r="I12" s="128">
        <f>Table2514[[#This Row],[PAY PRICE]]/Table2514[[#This Row],[QTY]]</f>
        <v>291690000</v>
      </c>
      <c r="J12" s="129">
        <f>($F$5-Table2514[[#This Row],[$ Per Plane]])</f>
        <v>23310000</v>
      </c>
      <c r="K12" s="67">
        <f t="shared" si="3"/>
        <v>186480000</v>
      </c>
      <c r="L12" s="68">
        <f t="shared" si="4"/>
        <v>0.59199999999999997</v>
      </c>
    </row>
    <row r="13" spans="3:15" ht="15" x14ac:dyDescent="0.25">
      <c r="C13" s="547"/>
      <c r="D13" s="82">
        <v>9</v>
      </c>
      <c r="E13" s="75">
        <v>7.85E-2</v>
      </c>
      <c r="F13" s="22">
        <f t="shared" si="1"/>
        <v>2835000000</v>
      </c>
      <c r="G13" s="22">
        <f t="shared" si="2"/>
        <v>2612452500</v>
      </c>
      <c r="H13" s="22">
        <f t="shared" si="0"/>
        <v>17317764984</v>
      </c>
      <c r="I13" s="129">
        <f>Table2514[[#This Row],[PAY PRICE]]/Table2514[[#This Row],[QTY]]</f>
        <v>290272500</v>
      </c>
      <c r="J13" s="129">
        <f>($F$5-Table2514[[#This Row],[$ Per Plane]])</f>
        <v>24727500</v>
      </c>
      <c r="K13" s="36">
        <f t="shared" si="3"/>
        <v>222547500</v>
      </c>
      <c r="L13" s="69">
        <f t="shared" si="4"/>
        <v>0.70650000000000002</v>
      </c>
    </row>
    <row r="14" spans="3:15" ht="15" x14ac:dyDescent="0.25">
      <c r="C14" s="547"/>
      <c r="D14" s="81">
        <v>10</v>
      </c>
      <c r="E14" s="75">
        <v>8.3000000000000004E-2</v>
      </c>
      <c r="F14" s="22">
        <f t="shared" si="1"/>
        <v>3150000000</v>
      </c>
      <c r="G14" s="22">
        <f t="shared" si="2"/>
        <v>2888550000</v>
      </c>
      <c r="H14" s="22">
        <f t="shared" si="0"/>
        <v>17041667484</v>
      </c>
      <c r="I14" s="129">
        <f>Table2514[[#This Row],[PAY PRICE]]/Table2514[[#This Row],[QTY]]</f>
        <v>288855000</v>
      </c>
      <c r="J14" s="129">
        <f>($F$5-Table2514[[#This Row],[$ Per Plane]])</f>
        <v>26145000</v>
      </c>
      <c r="K14" s="36">
        <f t="shared" si="3"/>
        <v>261450000</v>
      </c>
      <c r="L14" s="69">
        <f t="shared" si="4"/>
        <v>0.83</v>
      </c>
    </row>
    <row r="15" spans="3:15" ht="15" x14ac:dyDescent="0.25">
      <c r="C15" s="547"/>
      <c r="D15" s="81">
        <v>11</v>
      </c>
      <c r="E15" s="75">
        <v>8.5900000000000004E-2</v>
      </c>
      <c r="F15" s="22">
        <f t="shared" si="1"/>
        <v>3465000000</v>
      </c>
      <c r="G15" s="22">
        <f t="shared" si="2"/>
        <v>3167356500</v>
      </c>
      <c r="H15" s="22">
        <f t="shared" si="0"/>
        <v>16762860984</v>
      </c>
      <c r="I15" s="129">
        <f>Table2514[[#This Row],[PAY PRICE]]/Table2514[[#This Row],[QTY]]</f>
        <v>287941500</v>
      </c>
      <c r="J15" s="129">
        <f>($F$5-Table2514[[#This Row],[$ Per Plane]])</f>
        <v>27058500</v>
      </c>
      <c r="K15" s="36">
        <f t="shared" si="3"/>
        <v>297643500</v>
      </c>
      <c r="L15" s="69">
        <f t="shared" si="4"/>
        <v>0.94489999999999996</v>
      </c>
    </row>
    <row r="16" spans="3:15" ht="15" x14ac:dyDescent="0.25">
      <c r="C16" s="547"/>
      <c r="D16" s="81">
        <v>12</v>
      </c>
      <c r="E16" s="75">
        <v>8.8800000000000004E-2</v>
      </c>
      <c r="F16" s="22">
        <f t="shared" si="1"/>
        <v>3780000000</v>
      </c>
      <c r="G16" s="22">
        <f t="shared" si="2"/>
        <v>3444336000</v>
      </c>
      <c r="H16" s="22">
        <f t="shared" si="0"/>
        <v>16485881484</v>
      </c>
      <c r="I16" s="129">
        <f>Table2514[[#This Row],[PAY PRICE]]/Table2514[[#This Row],[QTY]]</f>
        <v>287028000</v>
      </c>
      <c r="J16" s="129">
        <f>($F$5-Table2514[[#This Row],[$ Per Plane]])</f>
        <v>27972000</v>
      </c>
      <c r="K16" s="36">
        <f t="shared" si="3"/>
        <v>335664000</v>
      </c>
      <c r="L16" s="69">
        <f t="shared" si="4"/>
        <v>1.0656000000000001</v>
      </c>
      <c r="O16" s="21"/>
    </row>
    <row r="17" spans="3:12" ht="15" x14ac:dyDescent="0.25">
      <c r="C17" s="547"/>
      <c r="D17" s="82">
        <v>13</v>
      </c>
      <c r="E17" s="75">
        <v>9.1999999999999998E-2</v>
      </c>
      <c r="F17" s="22">
        <f t="shared" si="1"/>
        <v>4095000000</v>
      </c>
      <c r="G17" s="22">
        <f t="shared" si="2"/>
        <v>3718260000</v>
      </c>
      <c r="H17" s="22">
        <f t="shared" si="0"/>
        <v>16211957484</v>
      </c>
      <c r="I17" s="129">
        <f>Table2514[[#This Row],[PAY PRICE]]/Table2514[[#This Row],[QTY]]</f>
        <v>286020000</v>
      </c>
      <c r="J17" s="129">
        <f>($F$5-Table2514[[#This Row],[$ Per Plane]])</f>
        <v>28980000</v>
      </c>
      <c r="K17" s="36">
        <f t="shared" si="3"/>
        <v>376740000</v>
      </c>
      <c r="L17" s="69">
        <f t="shared" si="4"/>
        <v>1.196</v>
      </c>
    </row>
    <row r="18" spans="3:12" ht="15.75" thickBot="1" x14ac:dyDescent="0.3">
      <c r="C18" s="548"/>
      <c r="D18" s="83">
        <v>14</v>
      </c>
      <c r="E18" s="76">
        <v>9.5100000000000004E-2</v>
      </c>
      <c r="F18" s="19">
        <f t="shared" si="1"/>
        <v>4410000000</v>
      </c>
      <c r="G18" s="19">
        <f t="shared" si="2"/>
        <v>3990609000</v>
      </c>
      <c r="H18" s="19">
        <f t="shared" si="0"/>
        <v>15939608484</v>
      </c>
      <c r="I18" s="130">
        <f>Table2514[[#This Row],[PAY PRICE]]/Table2514[[#This Row],[QTY]]</f>
        <v>285043500</v>
      </c>
      <c r="J18" s="129">
        <f>($F$5-Table2514[[#This Row],[$ Per Plane]])</f>
        <v>29956500</v>
      </c>
      <c r="K18" s="23">
        <f t="shared" si="3"/>
        <v>419391000</v>
      </c>
      <c r="L18" s="71">
        <f t="shared" si="4"/>
        <v>1.3313999999999999</v>
      </c>
    </row>
    <row r="19" spans="3:12" ht="15" x14ac:dyDescent="0.25">
      <c r="C19" s="546">
        <v>3</v>
      </c>
      <c r="D19" s="84">
        <v>15</v>
      </c>
      <c r="E19" s="74">
        <v>9.8199999999999996E-2</v>
      </c>
      <c r="F19" s="72">
        <f t="shared" si="1"/>
        <v>4725000000</v>
      </c>
      <c r="G19" s="72">
        <f t="shared" si="2"/>
        <v>4261005000</v>
      </c>
      <c r="H19" s="72">
        <f t="shared" si="0"/>
        <v>15669212484</v>
      </c>
      <c r="I19" s="128">
        <f>Table2514[[#This Row],[PAY PRICE]]/Table2514[[#This Row],[QTY]]</f>
        <v>284067000</v>
      </c>
      <c r="J19" s="129">
        <f>($F$5-Table2514[[#This Row],[$ Per Plane]])</f>
        <v>30933000</v>
      </c>
      <c r="K19" s="67">
        <f t="shared" si="3"/>
        <v>463995000</v>
      </c>
      <c r="L19" s="68">
        <f t="shared" si="4"/>
        <v>1.4730000000000001</v>
      </c>
    </row>
    <row r="20" spans="3:12" ht="15" x14ac:dyDescent="0.25">
      <c r="C20" s="547"/>
      <c r="D20" s="81">
        <v>16</v>
      </c>
      <c r="E20" s="75">
        <v>0.10199999999999999</v>
      </c>
      <c r="F20" s="22">
        <f t="shared" si="1"/>
        <v>5040000000</v>
      </c>
      <c r="G20" s="22">
        <f t="shared" si="2"/>
        <v>4525920000</v>
      </c>
      <c r="H20" s="22">
        <f t="shared" si="0"/>
        <v>15404297484</v>
      </c>
      <c r="I20" s="129">
        <f>Table2514[[#This Row],[PAY PRICE]]/Table2514[[#This Row],[QTY]]</f>
        <v>282870000</v>
      </c>
      <c r="J20" s="129">
        <f>($F$5-Table2514[[#This Row],[$ Per Plane]])</f>
        <v>32130000</v>
      </c>
      <c r="K20" s="36">
        <f t="shared" si="3"/>
        <v>514080000</v>
      </c>
      <c r="L20" s="69">
        <f t="shared" si="4"/>
        <v>1.6319999999999999</v>
      </c>
    </row>
    <row r="21" spans="3:12" ht="15" x14ac:dyDescent="0.25">
      <c r="C21" s="547"/>
      <c r="D21" s="81">
        <v>17</v>
      </c>
      <c r="E21" s="75">
        <v>0.1055</v>
      </c>
      <c r="F21" s="22">
        <f t="shared" si="1"/>
        <v>5355000000</v>
      </c>
      <c r="G21" s="22">
        <f t="shared" si="2"/>
        <v>4790047500</v>
      </c>
      <c r="H21" s="22">
        <f t="shared" si="0"/>
        <v>15140169984</v>
      </c>
      <c r="I21" s="129">
        <f>Table2514[[#This Row],[PAY PRICE]]/Table2514[[#This Row],[QTY]]</f>
        <v>281767500</v>
      </c>
      <c r="J21" s="129">
        <f>($F$5-Table2514[[#This Row],[$ Per Plane]])</f>
        <v>33232500</v>
      </c>
      <c r="K21" s="36">
        <f t="shared" si="3"/>
        <v>564952500</v>
      </c>
      <c r="L21" s="69">
        <f t="shared" si="4"/>
        <v>1.7935000000000001</v>
      </c>
    </row>
    <row r="22" spans="3:12" ht="15" x14ac:dyDescent="0.25">
      <c r="C22" s="547"/>
      <c r="D22" s="81">
        <v>18</v>
      </c>
      <c r="E22" s="75">
        <v>0.109</v>
      </c>
      <c r="F22" s="22">
        <f t="shared" si="1"/>
        <v>5670000000</v>
      </c>
      <c r="G22" s="22">
        <f t="shared" si="2"/>
        <v>5051970000</v>
      </c>
      <c r="H22" s="22">
        <f t="shared" si="0"/>
        <v>14878247484</v>
      </c>
      <c r="I22" s="129">
        <f>Table2514[[#This Row],[PAY PRICE]]/Table2514[[#This Row],[QTY]]</f>
        <v>280665000</v>
      </c>
      <c r="J22" s="129">
        <f>($F$5-Table2514[[#This Row],[$ Per Plane]])</f>
        <v>34335000</v>
      </c>
      <c r="K22" s="36">
        <f t="shared" si="3"/>
        <v>618030000</v>
      </c>
      <c r="L22" s="69">
        <f t="shared" si="4"/>
        <v>1.962</v>
      </c>
    </row>
    <row r="23" spans="3:12" ht="15" x14ac:dyDescent="0.25">
      <c r="C23" s="547"/>
      <c r="D23" s="81">
        <v>19</v>
      </c>
      <c r="E23" s="75">
        <v>0.1124</v>
      </c>
      <c r="F23" s="22">
        <f t="shared" si="1"/>
        <v>5985000000</v>
      </c>
      <c r="G23" s="22">
        <f t="shared" si="2"/>
        <v>5312286000</v>
      </c>
      <c r="H23" s="22">
        <f t="shared" si="0"/>
        <v>14617931484</v>
      </c>
      <c r="I23" s="129">
        <f>Table2514[[#This Row],[PAY PRICE]]/Table2514[[#This Row],[QTY]]</f>
        <v>279594000</v>
      </c>
      <c r="J23" s="129">
        <f>($F$5-Table2514[[#This Row],[$ Per Plane]])</f>
        <v>35406000</v>
      </c>
      <c r="K23" s="36">
        <f t="shared" si="3"/>
        <v>672714000</v>
      </c>
      <c r="L23" s="69">
        <f t="shared" si="4"/>
        <v>2.1356000000000002</v>
      </c>
    </row>
    <row r="24" spans="3:12" ht="15" x14ac:dyDescent="0.25">
      <c r="C24" s="547"/>
      <c r="D24" s="81">
        <v>20</v>
      </c>
      <c r="E24" s="75">
        <v>0.1154</v>
      </c>
      <c r="F24" s="22">
        <f t="shared" si="1"/>
        <v>6300000000</v>
      </c>
      <c r="G24" s="22">
        <f t="shared" si="2"/>
        <v>5572980000</v>
      </c>
      <c r="H24" s="22">
        <f t="shared" si="0"/>
        <v>14357237484</v>
      </c>
      <c r="I24" s="129">
        <f>Table2514[[#This Row],[PAY PRICE]]/Table2514[[#This Row],[QTY]]</f>
        <v>278649000</v>
      </c>
      <c r="J24" s="129">
        <f>($F$5-Table2514[[#This Row],[$ Per Plane]])</f>
        <v>36351000</v>
      </c>
      <c r="K24" s="36">
        <f t="shared" si="3"/>
        <v>727020000</v>
      </c>
      <c r="L24" s="69">
        <f t="shared" si="4"/>
        <v>2.3079999999999998</v>
      </c>
    </row>
    <row r="25" spans="3:12" ht="15.75" thickBot="1" x14ac:dyDescent="0.3">
      <c r="C25" s="548"/>
      <c r="D25" s="83">
        <v>21</v>
      </c>
      <c r="E25" s="76">
        <v>0.1183</v>
      </c>
      <c r="F25" s="19">
        <f t="shared" si="1"/>
        <v>6615000000</v>
      </c>
      <c r="G25" s="19">
        <f t="shared" si="2"/>
        <v>5832445500</v>
      </c>
      <c r="H25" s="19">
        <f t="shared" si="0"/>
        <v>14097771984</v>
      </c>
      <c r="I25" s="130">
        <f>Table2514[[#This Row],[PAY PRICE]]/Table2514[[#This Row],[QTY]]</f>
        <v>277735500</v>
      </c>
      <c r="J25" s="129">
        <f>($F$5-Table2514[[#This Row],[$ Per Plane]])</f>
        <v>37264500</v>
      </c>
      <c r="K25" s="23">
        <f t="shared" si="3"/>
        <v>782554500</v>
      </c>
      <c r="L25" s="71">
        <f t="shared" si="4"/>
        <v>2.4843000000000002</v>
      </c>
    </row>
    <row r="26" spans="3:12" ht="15" x14ac:dyDescent="0.25">
      <c r="C26" s="546">
        <v>4</v>
      </c>
      <c r="D26" s="84">
        <v>22</v>
      </c>
      <c r="E26" s="74">
        <v>0.1212</v>
      </c>
      <c r="F26" s="72">
        <f t="shared" si="1"/>
        <v>6930000000</v>
      </c>
      <c r="G26" s="72">
        <f t="shared" si="2"/>
        <v>6090084000</v>
      </c>
      <c r="H26" s="72">
        <f t="shared" si="0"/>
        <v>13840133484</v>
      </c>
      <c r="I26" s="128">
        <f>Table2514[[#This Row],[PAY PRICE]]/Table2514[[#This Row],[QTY]]</f>
        <v>276822000</v>
      </c>
      <c r="J26" s="129">
        <f>($F$5-Table2514[[#This Row],[$ Per Plane]])</f>
        <v>38178000</v>
      </c>
      <c r="K26" s="67">
        <f t="shared" si="3"/>
        <v>839916000</v>
      </c>
      <c r="L26" s="68">
        <f t="shared" si="4"/>
        <v>2.6663999999999999</v>
      </c>
    </row>
    <row r="27" spans="3:12" ht="15" x14ac:dyDescent="0.25">
      <c r="C27" s="547"/>
      <c r="D27" s="81">
        <v>23</v>
      </c>
      <c r="E27" s="75">
        <v>0.124</v>
      </c>
      <c r="F27" s="22">
        <f t="shared" si="1"/>
        <v>7245000000</v>
      </c>
      <c r="G27" s="22">
        <f t="shared" si="2"/>
        <v>6346620000</v>
      </c>
      <c r="H27" s="22">
        <f t="shared" si="0"/>
        <v>13583597484</v>
      </c>
      <c r="I27" s="129">
        <f>Table2514[[#This Row],[PAY PRICE]]/Table2514[[#This Row],[QTY]]</f>
        <v>275940000</v>
      </c>
      <c r="J27" s="129">
        <f>($F$5-Table2514[[#This Row],[$ Per Plane]])</f>
        <v>39060000</v>
      </c>
      <c r="K27" s="36">
        <f t="shared" si="3"/>
        <v>898380000</v>
      </c>
      <c r="L27" s="69">
        <f t="shared" si="4"/>
        <v>2.8519999999999999</v>
      </c>
    </row>
    <row r="28" spans="3:12" ht="15" x14ac:dyDescent="0.25">
      <c r="C28" s="547"/>
      <c r="D28" s="81">
        <v>24</v>
      </c>
      <c r="E28" s="75">
        <v>0.1263</v>
      </c>
      <c r="F28" s="22">
        <f t="shared" si="1"/>
        <v>7560000000</v>
      </c>
      <c r="G28" s="22">
        <f t="shared" si="2"/>
        <v>6605172000</v>
      </c>
      <c r="H28" s="22">
        <f t="shared" si="0"/>
        <v>13325045484</v>
      </c>
      <c r="I28" s="129">
        <f>Table2514[[#This Row],[PAY PRICE]]/Table2514[[#This Row],[QTY]]</f>
        <v>275215500</v>
      </c>
      <c r="J28" s="129">
        <f>($F$5-Table2514[[#This Row],[$ Per Plane]])</f>
        <v>39784500</v>
      </c>
      <c r="K28" s="36">
        <f t="shared" si="3"/>
        <v>954828000</v>
      </c>
      <c r="L28" s="69">
        <f t="shared" si="4"/>
        <v>3.0312000000000001</v>
      </c>
    </row>
    <row r="29" spans="3:12" ht="15" x14ac:dyDescent="0.25">
      <c r="C29" s="547"/>
      <c r="D29" s="81">
        <v>25</v>
      </c>
      <c r="E29" s="75">
        <v>0.12690000000000001</v>
      </c>
      <c r="F29" s="22">
        <f t="shared" si="1"/>
        <v>7875000000</v>
      </c>
      <c r="G29" s="22">
        <f t="shared" si="2"/>
        <v>6875662500</v>
      </c>
      <c r="H29" s="22">
        <f t="shared" si="0"/>
        <v>13054554984</v>
      </c>
      <c r="I29" s="129">
        <f>Table2514[[#This Row],[PAY PRICE]]/Table2514[[#This Row],[QTY]]</f>
        <v>275026500</v>
      </c>
      <c r="J29" s="129">
        <f>($F$5-Table2514[[#This Row],[$ Per Plane]])</f>
        <v>39973500</v>
      </c>
      <c r="K29" s="36">
        <f t="shared" si="3"/>
        <v>999337500</v>
      </c>
      <c r="L29" s="69">
        <f t="shared" si="4"/>
        <v>3.1724999999999999</v>
      </c>
    </row>
    <row r="30" spans="3:12" ht="15" x14ac:dyDescent="0.25">
      <c r="C30" s="547"/>
      <c r="D30" s="81">
        <v>26</v>
      </c>
      <c r="E30" s="75">
        <v>0.1275</v>
      </c>
      <c r="F30" s="22">
        <f t="shared" si="1"/>
        <v>8190000000</v>
      </c>
      <c r="G30" s="22">
        <f t="shared" si="2"/>
        <v>7145775000</v>
      </c>
      <c r="H30" s="22">
        <f t="shared" si="0"/>
        <v>12784442484</v>
      </c>
      <c r="I30" s="129">
        <f>Table2514[[#This Row],[PAY PRICE]]/Table2514[[#This Row],[QTY]]</f>
        <v>274837500</v>
      </c>
      <c r="J30" s="129">
        <f>($F$5-Table2514[[#This Row],[$ Per Plane]])</f>
        <v>40162500</v>
      </c>
      <c r="K30" s="36">
        <f t="shared" si="3"/>
        <v>1044225000</v>
      </c>
      <c r="L30" s="69">
        <f t="shared" si="4"/>
        <v>3.3149999999999999</v>
      </c>
    </row>
    <row r="31" spans="3:12" ht="15" x14ac:dyDescent="0.25">
      <c r="C31" s="547"/>
      <c r="D31" s="81">
        <v>27</v>
      </c>
      <c r="E31" s="75">
        <v>0.12820000000000001</v>
      </c>
      <c r="F31" s="22">
        <f t="shared" si="1"/>
        <v>8505000000</v>
      </c>
      <c r="G31" s="22">
        <f t="shared" si="2"/>
        <v>7414659000</v>
      </c>
      <c r="H31" s="22">
        <f t="shared" si="0"/>
        <v>12515558484</v>
      </c>
      <c r="I31" s="129">
        <f>Table2514[[#This Row],[PAY PRICE]]/Table2514[[#This Row],[QTY]]</f>
        <v>274617000</v>
      </c>
      <c r="J31" s="129">
        <f>($F$5-Table2514[[#This Row],[$ Per Plane]])</f>
        <v>40383000</v>
      </c>
      <c r="K31" s="36">
        <f t="shared" si="3"/>
        <v>1090341000</v>
      </c>
      <c r="L31" s="69">
        <f t="shared" si="4"/>
        <v>3.4613999999999998</v>
      </c>
    </row>
    <row r="32" spans="3:12" ht="15.75" thickBot="1" x14ac:dyDescent="0.3">
      <c r="C32" s="548"/>
      <c r="D32" s="83">
        <v>28</v>
      </c>
      <c r="E32" s="76">
        <v>0.1288</v>
      </c>
      <c r="F32" s="19">
        <f t="shared" si="1"/>
        <v>8820000000</v>
      </c>
      <c r="G32" s="19">
        <f t="shared" si="2"/>
        <v>7683984000</v>
      </c>
      <c r="H32" s="19">
        <f t="shared" si="0"/>
        <v>12246233484</v>
      </c>
      <c r="I32" s="131">
        <f>Table2514[[#This Row],[PAY PRICE]]/Table2514[[#This Row],[QTY]]</f>
        <v>274428000</v>
      </c>
      <c r="J32" s="129">
        <f>($F$5-Table2514[[#This Row],[$ Per Plane]])</f>
        <v>40572000</v>
      </c>
      <c r="K32" s="18">
        <f t="shared" si="3"/>
        <v>1136016000</v>
      </c>
      <c r="L32" s="71">
        <f t="shared" si="4"/>
        <v>3.6063999999999998</v>
      </c>
    </row>
    <row r="33" spans="3:12" ht="15" x14ac:dyDescent="0.25">
      <c r="C33" s="546">
        <v>5</v>
      </c>
      <c r="D33" s="84">
        <v>29</v>
      </c>
      <c r="E33" s="74">
        <v>0.12939999999999999</v>
      </c>
      <c r="F33" s="72">
        <f t="shared" si="1"/>
        <v>9135000000</v>
      </c>
      <c r="G33" s="72">
        <f t="shared" si="2"/>
        <v>7952931000</v>
      </c>
      <c r="H33" s="72">
        <f t="shared" si="0"/>
        <v>11977286484</v>
      </c>
      <c r="I33" s="128">
        <f>Table2514[[#This Row],[PAY PRICE]]/Table2514[[#This Row],[QTY]]</f>
        <v>274239000</v>
      </c>
      <c r="J33" s="129">
        <f>($F$5-Table2514[[#This Row],[$ Per Plane]])</f>
        <v>40761000</v>
      </c>
      <c r="K33" s="67">
        <f t="shared" si="3"/>
        <v>1182069000</v>
      </c>
      <c r="L33" s="68">
        <f t="shared" si="4"/>
        <v>3.7526000000000002</v>
      </c>
    </row>
    <row r="34" spans="3:12" ht="15" x14ac:dyDescent="0.25">
      <c r="C34" s="547"/>
      <c r="D34" s="81">
        <v>30</v>
      </c>
      <c r="E34" s="75">
        <v>0.13</v>
      </c>
      <c r="F34" s="22">
        <f t="shared" si="1"/>
        <v>9450000000</v>
      </c>
      <c r="G34" s="22">
        <f t="shared" si="2"/>
        <v>8221500000</v>
      </c>
      <c r="H34" s="22">
        <f t="shared" si="0"/>
        <v>11708717484</v>
      </c>
      <c r="I34" s="129">
        <f>Table2514[[#This Row],[PAY PRICE]]/Table2514[[#This Row],[QTY]]</f>
        <v>274050000</v>
      </c>
      <c r="J34" s="129">
        <f>($F$5-Table2514[[#This Row],[$ Per Plane]])</f>
        <v>40950000</v>
      </c>
      <c r="K34" s="36">
        <f t="shared" si="3"/>
        <v>1228500000</v>
      </c>
      <c r="L34" s="69">
        <f t="shared" si="4"/>
        <v>3.9</v>
      </c>
    </row>
    <row r="35" spans="3:12" ht="15" x14ac:dyDescent="0.25">
      <c r="C35" s="547"/>
      <c r="D35" s="81">
        <v>31</v>
      </c>
      <c r="E35" s="75">
        <v>0.13</v>
      </c>
      <c r="F35" s="22">
        <f t="shared" si="1"/>
        <v>9765000000</v>
      </c>
      <c r="G35" s="22">
        <f t="shared" si="2"/>
        <v>8495550000</v>
      </c>
      <c r="H35" s="22">
        <f t="shared" si="0"/>
        <v>11434667484</v>
      </c>
      <c r="I35" s="129">
        <f>Table2514[[#This Row],[PAY PRICE]]/Table2514[[#This Row],[QTY]]</f>
        <v>274050000</v>
      </c>
      <c r="J35" s="129">
        <f>($F$5-Table2514[[#This Row],[$ Per Plane]])</f>
        <v>40950000</v>
      </c>
      <c r="K35" s="36">
        <f t="shared" si="3"/>
        <v>1269450000</v>
      </c>
      <c r="L35" s="69">
        <f t="shared" si="4"/>
        <v>4.03</v>
      </c>
    </row>
    <row r="36" spans="3:12" ht="15" x14ac:dyDescent="0.25">
      <c r="C36" s="547"/>
      <c r="D36" s="81">
        <v>32</v>
      </c>
      <c r="E36" s="75">
        <v>0.13</v>
      </c>
      <c r="F36" s="22">
        <f t="shared" si="1"/>
        <v>10080000000</v>
      </c>
      <c r="G36" s="22">
        <f t="shared" si="2"/>
        <v>8769600000</v>
      </c>
      <c r="H36" s="22">
        <f t="shared" si="0"/>
        <v>11160617484</v>
      </c>
      <c r="I36" s="129">
        <f>Table2514[[#This Row],[PAY PRICE]]/Table2514[[#This Row],[QTY]]</f>
        <v>274050000</v>
      </c>
      <c r="J36" s="129">
        <f>($F$5-Table2514[[#This Row],[$ Per Plane]])</f>
        <v>40950000</v>
      </c>
      <c r="K36" s="36">
        <f t="shared" si="3"/>
        <v>1310400000</v>
      </c>
      <c r="L36" s="69">
        <f t="shared" si="4"/>
        <v>4.16</v>
      </c>
    </row>
    <row r="37" spans="3:12" ht="15" x14ac:dyDescent="0.25">
      <c r="C37" s="547"/>
      <c r="D37" s="81">
        <v>33</v>
      </c>
      <c r="E37" s="75">
        <v>0.13</v>
      </c>
      <c r="F37" s="22">
        <f t="shared" si="1"/>
        <v>10395000000</v>
      </c>
      <c r="G37" s="22">
        <f t="shared" si="2"/>
        <v>9043650000</v>
      </c>
      <c r="H37" s="22">
        <f t="shared" si="0"/>
        <v>10886567484</v>
      </c>
      <c r="I37" s="129">
        <f>Table2514[[#This Row],[PAY PRICE]]/Table2514[[#This Row],[QTY]]</f>
        <v>274050000</v>
      </c>
      <c r="J37" s="129">
        <f>($F$5-Table2514[[#This Row],[$ Per Plane]])</f>
        <v>40950000</v>
      </c>
      <c r="K37" s="36">
        <f t="shared" si="3"/>
        <v>1351350000</v>
      </c>
      <c r="L37" s="69">
        <f t="shared" si="4"/>
        <v>4.29</v>
      </c>
    </row>
    <row r="38" spans="3:12" ht="15" x14ac:dyDescent="0.25">
      <c r="C38" s="547"/>
      <c r="D38" s="81">
        <v>34</v>
      </c>
      <c r="E38" s="75">
        <v>0.13</v>
      </c>
      <c r="F38" s="22">
        <f t="shared" si="1"/>
        <v>10710000000</v>
      </c>
      <c r="G38" s="22">
        <f t="shared" si="2"/>
        <v>9317700000</v>
      </c>
      <c r="H38" s="22">
        <f t="shared" si="0"/>
        <v>10612517484</v>
      </c>
      <c r="I38" s="129">
        <f>Table2514[[#This Row],[PAY PRICE]]/Table2514[[#This Row],[QTY]]</f>
        <v>274050000</v>
      </c>
      <c r="J38" s="129">
        <f>($F$5-Table2514[[#This Row],[$ Per Plane]])</f>
        <v>40950000</v>
      </c>
      <c r="K38" s="36">
        <f t="shared" si="3"/>
        <v>1392300000</v>
      </c>
      <c r="L38" s="69">
        <f t="shared" si="4"/>
        <v>4.42</v>
      </c>
    </row>
    <row r="39" spans="3:12" ht="15.75" thickBot="1" x14ac:dyDescent="0.3">
      <c r="C39" s="548"/>
      <c r="D39" s="83">
        <v>35</v>
      </c>
      <c r="E39" s="75">
        <v>0.13</v>
      </c>
      <c r="F39" s="19">
        <f t="shared" si="1"/>
        <v>11025000000</v>
      </c>
      <c r="G39" s="19">
        <f t="shared" si="2"/>
        <v>9591750000</v>
      </c>
      <c r="H39" s="19">
        <f t="shared" si="0"/>
        <v>10338467484</v>
      </c>
      <c r="I39" s="131">
        <f>Table2514[[#This Row],[PAY PRICE]]/Table2514[[#This Row],[QTY]]</f>
        <v>274050000</v>
      </c>
      <c r="J39" s="129">
        <f>($F$5-Table2514[[#This Row],[$ Per Plane]])</f>
        <v>40950000</v>
      </c>
      <c r="K39" s="18">
        <f t="shared" si="3"/>
        <v>1433250000</v>
      </c>
      <c r="L39" s="71">
        <f t="shared" si="4"/>
        <v>4.55</v>
      </c>
    </row>
    <row r="40" spans="3:12" ht="15" x14ac:dyDescent="0.25">
      <c r="C40" s="546">
        <v>6</v>
      </c>
      <c r="D40" s="84">
        <v>36</v>
      </c>
      <c r="E40" s="75">
        <v>0.13</v>
      </c>
      <c r="F40" s="72">
        <f t="shared" si="1"/>
        <v>11340000000</v>
      </c>
      <c r="G40" s="72">
        <f t="shared" si="2"/>
        <v>9865800000</v>
      </c>
      <c r="H40" s="72">
        <f t="shared" si="0"/>
        <v>10064417484</v>
      </c>
      <c r="I40" s="128">
        <f>Table2514[[#This Row],[PAY PRICE]]/Table2514[[#This Row],[QTY]]</f>
        <v>274050000</v>
      </c>
      <c r="J40" s="129">
        <f>($F$5-Table2514[[#This Row],[$ Per Plane]])</f>
        <v>40950000</v>
      </c>
      <c r="K40" s="67">
        <f t="shared" si="3"/>
        <v>1474200000</v>
      </c>
      <c r="L40" s="68">
        <f t="shared" si="4"/>
        <v>4.68</v>
      </c>
    </row>
    <row r="41" spans="3:12" ht="15" x14ac:dyDescent="0.25">
      <c r="C41" s="547"/>
      <c r="D41" s="81">
        <v>37</v>
      </c>
      <c r="E41" s="75">
        <v>0.13</v>
      </c>
      <c r="F41" s="22">
        <f t="shared" si="1"/>
        <v>11655000000</v>
      </c>
      <c r="G41" s="22">
        <f t="shared" si="2"/>
        <v>10139850000</v>
      </c>
      <c r="H41" s="22">
        <f t="shared" si="0"/>
        <v>9790367484</v>
      </c>
      <c r="I41" s="129">
        <f>Table2514[[#This Row],[PAY PRICE]]/Table2514[[#This Row],[QTY]]</f>
        <v>274050000</v>
      </c>
      <c r="J41" s="129">
        <f>($F$5-Table2514[[#This Row],[$ Per Plane]])</f>
        <v>40950000</v>
      </c>
      <c r="K41" s="36">
        <f t="shared" si="3"/>
        <v>1515150000</v>
      </c>
      <c r="L41" s="69">
        <f t="shared" si="4"/>
        <v>4.8099999999999996</v>
      </c>
    </row>
    <row r="42" spans="3:12" ht="15" x14ac:dyDescent="0.25">
      <c r="C42" s="547"/>
      <c r="D42" s="81">
        <v>38</v>
      </c>
      <c r="E42" s="75">
        <v>0.13</v>
      </c>
      <c r="F42" s="22">
        <f t="shared" si="1"/>
        <v>11970000000</v>
      </c>
      <c r="G42" s="22">
        <f t="shared" si="2"/>
        <v>10413900000</v>
      </c>
      <c r="H42" s="22">
        <f t="shared" si="0"/>
        <v>9516317484</v>
      </c>
      <c r="I42" s="129">
        <f>Table2514[[#This Row],[PAY PRICE]]/Table2514[[#This Row],[QTY]]</f>
        <v>274050000</v>
      </c>
      <c r="J42" s="129">
        <f>($F$5-Table2514[[#This Row],[$ Per Plane]])</f>
        <v>40950000</v>
      </c>
      <c r="K42" s="36">
        <f t="shared" si="3"/>
        <v>1556100000</v>
      </c>
      <c r="L42" s="69">
        <f t="shared" si="4"/>
        <v>4.9400000000000004</v>
      </c>
    </row>
    <row r="43" spans="3:12" ht="15" x14ac:dyDescent="0.25">
      <c r="C43" s="547"/>
      <c r="D43" s="81">
        <v>39</v>
      </c>
      <c r="E43" s="75">
        <v>0.13</v>
      </c>
      <c r="F43" s="22">
        <f t="shared" si="1"/>
        <v>12285000000</v>
      </c>
      <c r="G43" s="22">
        <f t="shared" si="2"/>
        <v>10687950000</v>
      </c>
      <c r="H43" s="22">
        <f t="shared" si="0"/>
        <v>9242267484</v>
      </c>
      <c r="I43" s="129">
        <f>Table2514[[#This Row],[PAY PRICE]]/Table2514[[#This Row],[QTY]]</f>
        <v>274050000</v>
      </c>
      <c r="J43" s="129">
        <f>($F$5-Table2514[[#This Row],[$ Per Plane]])</f>
        <v>40950000</v>
      </c>
      <c r="K43" s="36">
        <f t="shared" si="3"/>
        <v>1597050000</v>
      </c>
      <c r="L43" s="69">
        <f t="shared" si="4"/>
        <v>5.07</v>
      </c>
    </row>
    <row r="44" spans="3:12" ht="15" x14ac:dyDescent="0.25">
      <c r="C44" s="547"/>
      <c r="D44" s="81">
        <v>40</v>
      </c>
      <c r="E44" s="75">
        <v>0.13</v>
      </c>
      <c r="F44" s="22">
        <f t="shared" si="1"/>
        <v>12600000000</v>
      </c>
      <c r="G44" s="22">
        <f t="shared" si="2"/>
        <v>10962000000</v>
      </c>
      <c r="H44" s="22">
        <f t="shared" si="0"/>
        <v>8968217484</v>
      </c>
      <c r="I44" s="129">
        <f>Table2514[[#This Row],[PAY PRICE]]/Table2514[[#This Row],[QTY]]</f>
        <v>274050000</v>
      </c>
      <c r="J44" s="129">
        <f>($F$5-Table2514[[#This Row],[$ Per Plane]])</f>
        <v>40950000</v>
      </c>
      <c r="K44" s="36">
        <f t="shared" si="3"/>
        <v>1638000000</v>
      </c>
      <c r="L44" s="69">
        <f t="shared" si="4"/>
        <v>5.2</v>
      </c>
    </row>
    <row r="45" spans="3:12" ht="15" x14ac:dyDescent="0.25">
      <c r="C45" s="547"/>
      <c r="D45" s="81">
        <v>41</v>
      </c>
      <c r="E45" s="75">
        <v>0.13</v>
      </c>
      <c r="F45" s="22">
        <f t="shared" si="1"/>
        <v>12915000000</v>
      </c>
      <c r="G45" s="22">
        <f t="shared" si="2"/>
        <v>11236050000</v>
      </c>
      <c r="H45" s="22">
        <f t="shared" si="0"/>
        <v>8694167484</v>
      </c>
      <c r="I45" s="129">
        <f>Table2514[[#This Row],[PAY PRICE]]/Table2514[[#This Row],[QTY]]</f>
        <v>274050000</v>
      </c>
      <c r="J45" s="129">
        <f>($F$5-Table2514[[#This Row],[$ Per Plane]])</f>
        <v>40950000</v>
      </c>
      <c r="K45" s="36">
        <f t="shared" si="3"/>
        <v>1678950000</v>
      </c>
      <c r="L45" s="69">
        <f t="shared" si="4"/>
        <v>5.33</v>
      </c>
    </row>
    <row r="46" spans="3:12" ht="15.75" thickBot="1" x14ac:dyDescent="0.3">
      <c r="C46" s="548"/>
      <c r="D46" s="83">
        <v>42</v>
      </c>
      <c r="E46" s="75">
        <v>0.13</v>
      </c>
      <c r="F46" s="19">
        <f t="shared" si="1"/>
        <v>13230000000</v>
      </c>
      <c r="G46" s="19">
        <f t="shared" si="2"/>
        <v>11510100000</v>
      </c>
      <c r="H46" s="19">
        <f t="shared" si="0"/>
        <v>8420117484</v>
      </c>
      <c r="I46" s="131">
        <f>Table2514[[#This Row],[PAY PRICE]]/Table2514[[#This Row],[QTY]]</f>
        <v>274050000</v>
      </c>
      <c r="J46" s="129">
        <f>($F$5-Table2514[[#This Row],[$ Per Plane]])</f>
        <v>40950000</v>
      </c>
      <c r="K46" s="18">
        <f t="shared" si="3"/>
        <v>1719900000</v>
      </c>
      <c r="L46" s="71">
        <f t="shared" si="4"/>
        <v>5.46</v>
      </c>
    </row>
    <row r="47" spans="3:12" ht="15" x14ac:dyDescent="0.25">
      <c r="C47" s="546">
        <v>7</v>
      </c>
      <c r="D47" s="84">
        <v>43</v>
      </c>
      <c r="E47" s="75">
        <v>0.13</v>
      </c>
      <c r="F47" s="72">
        <f t="shared" si="1"/>
        <v>13545000000</v>
      </c>
      <c r="G47" s="72">
        <f t="shared" si="2"/>
        <v>11784150000</v>
      </c>
      <c r="H47" s="72">
        <f t="shared" si="0"/>
        <v>8146067484</v>
      </c>
      <c r="I47" s="128">
        <f>Table2514[[#This Row],[PAY PRICE]]/Table2514[[#This Row],[QTY]]</f>
        <v>274050000</v>
      </c>
      <c r="J47" s="129">
        <f>($F$5-Table2514[[#This Row],[$ Per Plane]])</f>
        <v>40950000</v>
      </c>
      <c r="K47" s="67">
        <f t="shared" si="3"/>
        <v>1760850000</v>
      </c>
      <c r="L47" s="68">
        <f t="shared" si="4"/>
        <v>5.59</v>
      </c>
    </row>
    <row r="48" spans="3:12" ht="15" x14ac:dyDescent="0.25">
      <c r="C48" s="547"/>
      <c r="D48" s="81">
        <v>44</v>
      </c>
      <c r="E48" s="75">
        <v>0.13</v>
      </c>
      <c r="F48" s="22">
        <f t="shared" si="1"/>
        <v>13860000000</v>
      </c>
      <c r="G48" s="22">
        <f t="shared" si="2"/>
        <v>12058200000</v>
      </c>
      <c r="H48" s="22">
        <f t="shared" si="0"/>
        <v>7872017484</v>
      </c>
      <c r="I48" s="129">
        <f>Table2514[[#This Row],[PAY PRICE]]/Table2514[[#This Row],[QTY]]</f>
        <v>274050000</v>
      </c>
      <c r="J48" s="129">
        <f>($F$5-Table2514[[#This Row],[$ Per Plane]])</f>
        <v>40950000</v>
      </c>
      <c r="K48" s="36">
        <f t="shared" si="3"/>
        <v>1801800000</v>
      </c>
      <c r="L48" s="69">
        <f t="shared" si="4"/>
        <v>5.72</v>
      </c>
    </row>
    <row r="49" spans="3:12" ht="15" x14ac:dyDescent="0.25">
      <c r="C49" s="547"/>
      <c r="D49" s="81">
        <v>45</v>
      </c>
      <c r="E49" s="75">
        <v>0.13</v>
      </c>
      <c r="F49" s="22">
        <f t="shared" si="1"/>
        <v>14175000000</v>
      </c>
      <c r="G49" s="22">
        <f t="shared" si="2"/>
        <v>12332250000</v>
      </c>
      <c r="H49" s="22">
        <f t="shared" si="0"/>
        <v>7597967484</v>
      </c>
      <c r="I49" s="129">
        <f>Table2514[[#This Row],[PAY PRICE]]/Table2514[[#This Row],[QTY]]</f>
        <v>274050000</v>
      </c>
      <c r="J49" s="129">
        <f>($F$5-Table2514[[#This Row],[$ Per Plane]])</f>
        <v>40950000</v>
      </c>
      <c r="K49" s="36">
        <f t="shared" si="3"/>
        <v>1842750000</v>
      </c>
      <c r="L49" s="69">
        <f t="shared" si="4"/>
        <v>5.85</v>
      </c>
    </row>
    <row r="50" spans="3:12" ht="15" x14ac:dyDescent="0.25">
      <c r="C50" s="547"/>
      <c r="D50" s="81">
        <v>46</v>
      </c>
      <c r="E50" s="75">
        <v>0.13</v>
      </c>
      <c r="F50" s="22">
        <f t="shared" si="1"/>
        <v>14490000000</v>
      </c>
      <c r="G50" s="22">
        <f t="shared" si="2"/>
        <v>12606300000</v>
      </c>
      <c r="H50" s="22">
        <f t="shared" si="0"/>
        <v>7323917484</v>
      </c>
      <c r="I50" s="129">
        <f>Table2514[[#This Row],[PAY PRICE]]/Table2514[[#This Row],[QTY]]</f>
        <v>274050000</v>
      </c>
      <c r="J50" s="129">
        <f>($F$5-Table2514[[#This Row],[$ Per Plane]])</f>
        <v>40950000</v>
      </c>
      <c r="K50" s="36">
        <f t="shared" si="3"/>
        <v>1883700000</v>
      </c>
      <c r="L50" s="69">
        <f t="shared" si="4"/>
        <v>5.98</v>
      </c>
    </row>
    <row r="51" spans="3:12" ht="15" x14ac:dyDescent="0.25">
      <c r="C51" s="547"/>
      <c r="D51" s="81">
        <v>47</v>
      </c>
      <c r="E51" s="75">
        <v>0.13</v>
      </c>
      <c r="F51" s="22">
        <f t="shared" si="1"/>
        <v>14805000000</v>
      </c>
      <c r="G51" s="22">
        <f t="shared" si="2"/>
        <v>12880350000</v>
      </c>
      <c r="H51" s="22">
        <f t="shared" si="0"/>
        <v>7049867484</v>
      </c>
      <c r="I51" s="129">
        <f>Table2514[[#This Row],[PAY PRICE]]/Table2514[[#This Row],[QTY]]</f>
        <v>274050000</v>
      </c>
      <c r="J51" s="129">
        <f>($F$5-Table2514[[#This Row],[$ Per Plane]])</f>
        <v>40950000</v>
      </c>
      <c r="K51" s="36">
        <f t="shared" si="3"/>
        <v>1924650000</v>
      </c>
      <c r="L51" s="69">
        <f t="shared" si="4"/>
        <v>6.11</v>
      </c>
    </row>
    <row r="52" spans="3:12" ht="15" x14ac:dyDescent="0.25">
      <c r="C52" s="547"/>
      <c r="D52" s="81">
        <v>48</v>
      </c>
      <c r="E52" s="75">
        <v>0.13</v>
      </c>
      <c r="F52" s="22">
        <f t="shared" si="1"/>
        <v>15120000000</v>
      </c>
      <c r="G52" s="22">
        <f t="shared" si="2"/>
        <v>13154400000</v>
      </c>
      <c r="H52" s="22">
        <f t="shared" si="0"/>
        <v>6775817484</v>
      </c>
      <c r="I52" s="129">
        <f>Table2514[[#This Row],[PAY PRICE]]/Table2514[[#This Row],[QTY]]</f>
        <v>274050000</v>
      </c>
      <c r="J52" s="129">
        <f>($F$5-Table2514[[#This Row],[$ Per Plane]])</f>
        <v>40950000</v>
      </c>
      <c r="K52" s="36">
        <f t="shared" si="3"/>
        <v>1965600000</v>
      </c>
      <c r="L52" s="69">
        <f t="shared" si="4"/>
        <v>6.24</v>
      </c>
    </row>
    <row r="53" spans="3:12" ht="15.75" thickBot="1" x14ac:dyDescent="0.3">
      <c r="C53" s="548"/>
      <c r="D53" s="83">
        <v>49</v>
      </c>
      <c r="E53" s="75">
        <v>0.13</v>
      </c>
      <c r="F53" s="19">
        <f t="shared" si="1"/>
        <v>15435000000</v>
      </c>
      <c r="G53" s="19">
        <f t="shared" si="2"/>
        <v>13428450000</v>
      </c>
      <c r="H53" s="19">
        <f>$H$2-G53</f>
        <v>6501767484</v>
      </c>
      <c r="I53" s="131">
        <f>Table2514[[#This Row],[PAY PRICE]]/Table2514[[#This Row],[QTY]]</f>
        <v>274050000</v>
      </c>
      <c r="J53" s="129">
        <f>($F$5-Table2514[[#This Row],[$ Per Plane]])</f>
        <v>40950000</v>
      </c>
      <c r="K53" s="18">
        <f t="shared" si="3"/>
        <v>2006550000</v>
      </c>
      <c r="L53" s="71">
        <f t="shared" si="4"/>
        <v>6.37</v>
      </c>
    </row>
    <row r="54" spans="3:12" ht="15" x14ac:dyDescent="0.25">
      <c r="C54" s="546">
        <v>8</v>
      </c>
      <c r="D54" s="84">
        <v>50</v>
      </c>
      <c r="E54" s="75">
        <v>0.13</v>
      </c>
      <c r="F54" s="72">
        <f t="shared" si="1"/>
        <v>15750000000</v>
      </c>
      <c r="G54" s="72">
        <f t="shared" si="2"/>
        <v>13702500000</v>
      </c>
      <c r="H54" s="72">
        <f t="shared" si="0"/>
        <v>6227717484</v>
      </c>
      <c r="I54" s="128">
        <f>Table2514[[#This Row],[PAY PRICE]]/Table2514[[#This Row],[QTY]]</f>
        <v>274050000</v>
      </c>
      <c r="J54" s="129">
        <f>($F$5-Table2514[[#This Row],[$ Per Plane]])</f>
        <v>40950000</v>
      </c>
      <c r="K54" s="67">
        <f t="shared" si="3"/>
        <v>2047500000</v>
      </c>
      <c r="L54" s="68">
        <f t="shared" si="4"/>
        <v>6.5</v>
      </c>
    </row>
    <row r="55" spans="3:12" ht="15" x14ac:dyDescent="0.25">
      <c r="C55" s="547"/>
      <c r="D55" s="81">
        <v>51</v>
      </c>
      <c r="E55" s="75">
        <v>0.13</v>
      </c>
      <c r="F55" s="22">
        <f t="shared" si="1"/>
        <v>16065000000</v>
      </c>
      <c r="G55" s="22">
        <f t="shared" si="2"/>
        <v>13976550000</v>
      </c>
      <c r="H55" s="22">
        <f t="shared" si="0"/>
        <v>5953667484</v>
      </c>
      <c r="I55" s="129">
        <f>Table2514[[#This Row],[PAY PRICE]]/Table2514[[#This Row],[QTY]]</f>
        <v>274050000</v>
      </c>
      <c r="J55" s="129">
        <f>($F$5-Table2514[[#This Row],[$ Per Plane]])</f>
        <v>40950000</v>
      </c>
      <c r="K55" s="36">
        <f t="shared" si="3"/>
        <v>2088450000</v>
      </c>
      <c r="L55" s="69">
        <f t="shared" si="4"/>
        <v>6.63</v>
      </c>
    </row>
    <row r="56" spans="3:12" ht="15" x14ac:dyDescent="0.25">
      <c r="C56" s="547"/>
      <c r="D56" s="81">
        <v>52</v>
      </c>
      <c r="E56" s="75">
        <v>0.13</v>
      </c>
      <c r="F56" s="22">
        <f t="shared" si="1"/>
        <v>16380000000</v>
      </c>
      <c r="G56" s="22">
        <f t="shared" si="2"/>
        <v>14250600000</v>
      </c>
      <c r="H56" s="22">
        <f t="shared" si="0"/>
        <v>5679617484</v>
      </c>
      <c r="I56" s="129">
        <f>Table2514[[#This Row],[PAY PRICE]]/Table2514[[#This Row],[QTY]]</f>
        <v>274050000</v>
      </c>
      <c r="J56" s="129">
        <f>($F$5-Table2514[[#This Row],[$ Per Plane]])</f>
        <v>40950000</v>
      </c>
      <c r="K56" s="36">
        <f t="shared" si="3"/>
        <v>2129400000</v>
      </c>
      <c r="L56" s="69">
        <f t="shared" si="4"/>
        <v>6.76</v>
      </c>
    </row>
    <row r="57" spans="3:12" ht="15" x14ac:dyDescent="0.25">
      <c r="C57" s="547"/>
      <c r="D57" s="81">
        <v>53</v>
      </c>
      <c r="E57" s="75">
        <v>0.13</v>
      </c>
      <c r="F57" s="22">
        <f t="shared" si="1"/>
        <v>16695000000</v>
      </c>
      <c r="G57" s="22">
        <f t="shared" si="2"/>
        <v>14524650000</v>
      </c>
      <c r="H57" s="22">
        <f t="shared" si="0"/>
        <v>5405567484</v>
      </c>
      <c r="I57" s="129">
        <f>Table2514[[#This Row],[PAY PRICE]]/Table2514[[#This Row],[QTY]]</f>
        <v>274050000</v>
      </c>
      <c r="J57" s="129">
        <f>($F$5-Table2514[[#This Row],[$ Per Plane]])</f>
        <v>40950000</v>
      </c>
      <c r="K57" s="36">
        <f t="shared" si="3"/>
        <v>2170350000</v>
      </c>
      <c r="L57" s="69">
        <f t="shared" si="4"/>
        <v>6.89</v>
      </c>
    </row>
    <row r="58" spans="3:12" ht="15" x14ac:dyDescent="0.25">
      <c r="C58" s="547"/>
      <c r="D58" s="81">
        <v>54</v>
      </c>
      <c r="E58" s="75">
        <v>0.13</v>
      </c>
      <c r="F58" s="22">
        <f t="shared" si="1"/>
        <v>17010000000</v>
      </c>
      <c r="G58" s="22">
        <f t="shared" si="2"/>
        <v>14798700000</v>
      </c>
      <c r="H58" s="22">
        <f t="shared" si="0"/>
        <v>5131517484</v>
      </c>
      <c r="I58" s="129">
        <f>Table2514[[#This Row],[PAY PRICE]]/Table2514[[#This Row],[QTY]]</f>
        <v>274050000</v>
      </c>
      <c r="J58" s="129">
        <f>($F$5-Table2514[[#This Row],[$ Per Plane]])</f>
        <v>40950000</v>
      </c>
      <c r="K58" s="36">
        <f t="shared" si="3"/>
        <v>2211300000</v>
      </c>
      <c r="L58" s="69">
        <f t="shared" si="4"/>
        <v>7.02</v>
      </c>
    </row>
    <row r="59" spans="3:12" ht="15" x14ac:dyDescent="0.25">
      <c r="C59" s="547"/>
      <c r="D59" s="81">
        <v>55</v>
      </c>
      <c r="E59" s="75">
        <v>0.13</v>
      </c>
      <c r="F59" s="22">
        <f t="shared" si="1"/>
        <v>17325000000</v>
      </c>
      <c r="G59" s="22">
        <f t="shared" si="2"/>
        <v>15072750000</v>
      </c>
      <c r="H59" s="22">
        <f t="shared" si="0"/>
        <v>4857467484</v>
      </c>
      <c r="I59" s="129">
        <f>Table2514[[#This Row],[PAY PRICE]]/Table2514[[#This Row],[QTY]]</f>
        <v>274050000</v>
      </c>
      <c r="J59" s="129">
        <f>($F$5-Table2514[[#This Row],[$ Per Plane]])</f>
        <v>40950000</v>
      </c>
      <c r="K59" s="36">
        <f t="shared" si="3"/>
        <v>2252250000</v>
      </c>
      <c r="L59" s="69">
        <f t="shared" si="4"/>
        <v>7.15</v>
      </c>
    </row>
    <row r="60" spans="3:12" ht="15.75" thickBot="1" x14ac:dyDescent="0.3">
      <c r="C60" s="548"/>
      <c r="D60" s="83">
        <v>56</v>
      </c>
      <c r="E60" s="75">
        <v>0.13</v>
      </c>
      <c r="F60" s="19">
        <f t="shared" si="1"/>
        <v>17640000000</v>
      </c>
      <c r="G60" s="19">
        <f t="shared" si="2"/>
        <v>15346800000</v>
      </c>
      <c r="H60" s="19">
        <f t="shared" si="0"/>
        <v>4583417484</v>
      </c>
      <c r="I60" s="131">
        <f>Table2514[[#This Row],[PAY PRICE]]/Table2514[[#This Row],[QTY]]</f>
        <v>274050000</v>
      </c>
      <c r="J60" s="129">
        <f>($F$5-Table2514[[#This Row],[$ Per Plane]])</f>
        <v>40950000</v>
      </c>
      <c r="K60" s="18">
        <f t="shared" si="3"/>
        <v>2293200000</v>
      </c>
      <c r="L60" s="71">
        <f t="shared" si="4"/>
        <v>7.28</v>
      </c>
    </row>
    <row r="61" spans="3:12" ht="15" x14ac:dyDescent="0.25">
      <c r="C61" s="546">
        <v>9</v>
      </c>
      <c r="D61" s="84">
        <v>57</v>
      </c>
      <c r="E61" s="75">
        <v>0.13</v>
      </c>
      <c r="F61" s="72">
        <f t="shared" si="1"/>
        <v>17955000000</v>
      </c>
      <c r="G61" s="72">
        <f t="shared" si="2"/>
        <v>15620850000</v>
      </c>
      <c r="H61" s="72">
        <f t="shared" si="0"/>
        <v>4309367484</v>
      </c>
      <c r="I61" s="128">
        <f>Table2514[[#This Row],[PAY PRICE]]/Table2514[[#This Row],[QTY]]</f>
        <v>274050000</v>
      </c>
      <c r="J61" s="129">
        <f>($F$5-Table2514[[#This Row],[$ Per Plane]])</f>
        <v>40950000</v>
      </c>
      <c r="K61" s="67">
        <f t="shared" si="3"/>
        <v>2334150000</v>
      </c>
      <c r="L61" s="68">
        <f t="shared" si="4"/>
        <v>7.41</v>
      </c>
    </row>
    <row r="62" spans="3:12" ht="15" x14ac:dyDescent="0.25">
      <c r="C62" s="547"/>
      <c r="D62" s="81">
        <v>58</v>
      </c>
      <c r="E62" s="75">
        <v>0.13</v>
      </c>
      <c r="F62" s="22">
        <f t="shared" si="1"/>
        <v>18270000000</v>
      </c>
      <c r="G62" s="22">
        <f t="shared" si="2"/>
        <v>15894900000</v>
      </c>
      <c r="H62" s="22">
        <f t="shared" si="0"/>
        <v>4035317484</v>
      </c>
      <c r="I62" s="129">
        <f>Table2514[[#This Row],[PAY PRICE]]/Table2514[[#This Row],[QTY]]</f>
        <v>274050000</v>
      </c>
      <c r="J62" s="129">
        <f>($F$5-Table2514[[#This Row],[$ Per Plane]])</f>
        <v>40950000</v>
      </c>
      <c r="K62" s="36">
        <f t="shared" si="3"/>
        <v>2375100000</v>
      </c>
      <c r="L62" s="69">
        <f t="shared" si="4"/>
        <v>7.54</v>
      </c>
    </row>
    <row r="63" spans="3:12" ht="15" x14ac:dyDescent="0.25">
      <c r="C63" s="547"/>
      <c r="D63" s="81">
        <v>59</v>
      </c>
      <c r="E63" s="75">
        <v>0.13</v>
      </c>
      <c r="F63" s="22">
        <f t="shared" si="1"/>
        <v>18585000000</v>
      </c>
      <c r="G63" s="22">
        <f t="shared" si="2"/>
        <v>16168950000</v>
      </c>
      <c r="H63" s="22">
        <f t="shared" si="0"/>
        <v>3761267484</v>
      </c>
      <c r="I63" s="129">
        <f>Table2514[[#This Row],[PAY PRICE]]/Table2514[[#This Row],[QTY]]</f>
        <v>274050000</v>
      </c>
      <c r="J63" s="129">
        <f>($F$5-Table2514[[#This Row],[$ Per Plane]])</f>
        <v>40950000</v>
      </c>
      <c r="K63" s="36">
        <f t="shared" si="3"/>
        <v>2416050000</v>
      </c>
      <c r="L63" s="69">
        <f t="shared" si="4"/>
        <v>7.67</v>
      </c>
    </row>
    <row r="64" spans="3:12" ht="15" x14ac:dyDescent="0.25">
      <c r="C64" s="547"/>
      <c r="D64" s="81">
        <v>60</v>
      </c>
      <c r="E64" s="75">
        <v>0.13</v>
      </c>
      <c r="F64" s="22">
        <f t="shared" si="1"/>
        <v>18900000000</v>
      </c>
      <c r="G64" s="22">
        <f t="shared" si="2"/>
        <v>16443000000</v>
      </c>
      <c r="H64" s="22">
        <f t="shared" si="0"/>
        <v>3487217484</v>
      </c>
      <c r="I64" s="129">
        <f>Table2514[[#This Row],[PAY PRICE]]/Table2514[[#This Row],[QTY]]</f>
        <v>274050000</v>
      </c>
      <c r="J64" s="129">
        <f>($F$5-Table2514[[#This Row],[$ Per Plane]])</f>
        <v>40950000</v>
      </c>
      <c r="K64" s="36">
        <f t="shared" si="3"/>
        <v>2457000000</v>
      </c>
      <c r="L64" s="69">
        <f t="shared" si="4"/>
        <v>7.8</v>
      </c>
    </row>
    <row r="65" spans="3:12" ht="15" x14ac:dyDescent="0.25">
      <c r="C65" s="547"/>
      <c r="D65" s="81">
        <v>61</v>
      </c>
      <c r="E65" s="75">
        <v>0.13</v>
      </c>
      <c r="F65" s="22">
        <f t="shared" si="1"/>
        <v>19215000000</v>
      </c>
      <c r="G65" s="22">
        <f t="shared" si="2"/>
        <v>16717050000</v>
      </c>
      <c r="H65" s="22">
        <f t="shared" si="0"/>
        <v>3213167484</v>
      </c>
      <c r="I65" s="129">
        <f>Table2514[[#This Row],[PAY PRICE]]/Table2514[[#This Row],[QTY]]</f>
        <v>274050000</v>
      </c>
      <c r="J65" s="129">
        <f>($F$5-Table2514[[#This Row],[$ Per Plane]])</f>
        <v>40950000</v>
      </c>
      <c r="K65" s="36">
        <f t="shared" si="3"/>
        <v>2497950000</v>
      </c>
      <c r="L65" s="69">
        <f t="shared" si="4"/>
        <v>7.93</v>
      </c>
    </row>
    <row r="66" spans="3:12" ht="15" x14ac:dyDescent="0.25">
      <c r="C66" s="547"/>
      <c r="D66" s="81">
        <v>62</v>
      </c>
      <c r="E66" s="75">
        <v>0.13</v>
      </c>
      <c r="F66" s="22">
        <f t="shared" si="1"/>
        <v>19530000000</v>
      </c>
      <c r="G66" s="22">
        <f t="shared" si="2"/>
        <v>16991100000</v>
      </c>
      <c r="H66" s="22">
        <f t="shared" si="0"/>
        <v>2939117484</v>
      </c>
      <c r="I66" s="129">
        <f>Table2514[[#This Row],[PAY PRICE]]/Table2514[[#This Row],[QTY]]</f>
        <v>274050000</v>
      </c>
      <c r="J66" s="129">
        <f>($F$5-Table2514[[#This Row],[$ Per Plane]])</f>
        <v>40950000</v>
      </c>
      <c r="K66" s="36">
        <f t="shared" si="3"/>
        <v>2538900000</v>
      </c>
      <c r="L66" s="69">
        <f t="shared" si="4"/>
        <v>8.06</v>
      </c>
    </row>
    <row r="67" spans="3:12" ht="15.75" thickBot="1" x14ac:dyDescent="0.3">
      <c r="C67" s="548"/>
      <c r="D67" s="83">
        <v>63</v>
      </c>
      <c r="E67" s="75">
        <v>0.13</v>
      </c>
      <c r="F67" s="19">
        <f t="shared" si="1"/>
        <v>19845000000</v>
      </c>
      <c r="G67" s="19">
        <f t="shared" si="2"/>
        <v>17265150000</v>
      </c>
      <c r="H67" s="19">
        <f t="shared" si="0"/>
        <v>2665067484</v>
      </c>
      <c r="I67" s="131">
        <f>Table2514[[#This Row],[PAY PRICE]]/Table2514[[#This Row],[QTY]]</f>
        <v>274050000</v>
      </c>
      <c r="J67" s="129">
        <f>($F$5-Table2514[[#This Row],[$ Per Plane]])</f>
        <v>40950000</v>
      </c>
      <c r="K67" s="18">
        <f t="shared" si="3"/>
        <v>2579850000</v>
      </c>
      <c r="L67" s="71">
        <f t="shared" si="4"/>
        <v>8.19</v>
      </c>
    </row>
    <row r="68" spans="3:12" ht="15" x14ac:dyDescent="0.25">
      <c r="C68" s="546">
        <v>10</v>
      </c>
      <c r="D68" s="84">
        <v>64</v>
      </c>
      <c r="E68" s="75">
        <v>0.13</v>
      </c>
      <c r="F68" s="72">
        <f t="shared" si="1"/>
        <v>20160000000</v>
      </c>
      <c r="G68" s="72">
        <f t="shared" si="2"/>
        <v>17539200000</v>
      </c>
      <c r="H68" s="72">
        <f t="shared" si="0"/>
        <v>2391017484</v>
      </c>
      <c r="I68" s="128">
        <f>Table2514[[#This Row],[PAY PRICE]]/Table2514[[#This Row],[QTY]]</f>
        <v>274050000</v>
      </c>
      <c r="J68" s="129">
        <f>($F$5-Table2514[[#This Row],[$ Per Plane]])</f>
        <v>40950000</v>
      </c>
      <c r="K68" s="67">
        <f t="shared" si="3"/>
        <v>2620800000</v>
      </c>
      <c r="L68" s="68">
        <f t="shared" si="4"/>
        <v>8.32</v>
      </c>
    </row>
    <row r="69" spans="3:12" ht="15" x14ac:dyDescent="0.25">
      <c r="C69" s="547"/>
      <c r="D69" s="81">
        <v>65</v>
      </c>
      <c r="E69" s="75">
        <v>0.13</v>
      </c>
      <c r="F69" s="22">
        <f t="shared" si="1"/>
        <v>20475000000</v>
      </c>
      <c r="G69" s="22">
        <f t="shared" si="2"/>
        <v>17813250000</v>
      </c>
      <c r="H69" s="22">
        <f t="shared" ref="H69:H95" si="5">$H$2-G69</f>
        <v>2116967484</v>
      </c>
      <c r="I69" s="129">
        <f>Table2514[[#This Row],[PAY PRICE]]/Table2514[[#This Row],[QTY]]</f>
        <v>274050000</v>
      </c>
      <c r="J69" s="129">
        <f>($F$5-Table2514[[#This Row],[$ Per Plane]])</f>
        <v>40950000</v>
      </c>
      <c r="K69" s="36">
        <f t="shared" si="3"/>
        <v>2661750000</v>
      </c>
      <c r="L69" s="69">
        <f t="shared" si="4"/>
        <v>8.4499999999999993</v>
      </c>
    </row>
    <row r="70" spans="3:12" ht="15" x14ac:dyDescent="0.25">
      <c r="C70" s="547"/>
      <c r="D70" s="81">
        <v>66</v>
      </c>
      <c r="E70" s="75">
        <v>0.13</v>
      </c>
      <c r="F70" s="22">
        <f t="shared" ref="F70:F95" si="6">$F$5*D70</f>
        <v>20790000000</v>
      </c>
      <c r="G70" s="22">
        <f t="shared" ref="G70:G95" si="7">F70*(1-E70)</f>
        <v>18087300000</v>
      </c>
      <c r="H70" s="22">
        <f t="shared" si="5"/>
        <v>1842917484</v>
      </c>
      <c r="I70" s="129">
        <f>Table2514[[#This Row],[PAY PRICE]]/Table2514[[#This Row],[QTY]]</f>
        <v>274050000</v>
      </c>
      <c r="J70" s="129">
        <f>($F$5-Table2514[[#This Row],[$ Per Plane]])</f>
        <v>40950000</v>
      </c>
      <c r="K70" s="36">
        <f t="shared" ref="K70:K95" si="8">($F$5*D70)-G70</f>
        <v>2702700000</v>
      </c>
      <c r="L70" s="69">
        <f t="shared" ref="L70:L95" si="9">K70/$F$5</f>
        <v>8.58</v>
      </c>
    </row>
    <row r="71" spans="3:12" ht="15" x14ac:dyDescent="0.25">
      <c r="C71" s="547"/>
      <c r="D71" s="81">
        <v>67</v>
      </c>
      <c r="E71" s="75">
        <v>0.13</v>
      </c>
      <c r="F71" s="22">
        <f t="shared" si="6"/>
        <v>21105000000</v>
      </c>
      <c r="G71" s="22">
        <f t="shared" si="7"/>
        <v>18361350000</v>
      </c>
      <c r="H71" s="22">
        <f t="shared" si="5"/>
        <v>1568867484</v>
      </c>
      <c r="I71" s="129">
        <f>Table2514[[#This Row],[PAY PRICE]]/Table2514[[#This Row],[QTY]]</f>
        <v>274050000</v>
      </c>
      <c r="J71" s="129">
        <f>($F$5-Table2514[[#This Row],[$ Per Plane]])</f>
        <v>40950000</v>
      </c>
      <c r="K71" s="36">
        <f t="shared" si="8"/>
        <v>2743650000</v>
      </c>
      <c r="L71" s="69">
        <f t="shared" si="9"/>
        <v>8.7100000000000009</v>
      </c>
    </row>
    <row r="72" spans="3:12" ht="15" x14ac:dyDescent="0.25">
      <c r="C72" s="547"/>
      <c r="D72" s="81">
        <v>68</v>
      </c>
      <c r="E72" s="75">
        <v>0.13</v>
      </c>
      <c r="F72" s="22">
        <f t="shared" si="6"/>
        <v>21420000000</v>
      </c>
      <c r="G72" s="22">
        <f t="shared" si="7"/>
        <v>18635400000</v>
      </c>
      <c r="H72" s="22">
        <f t="shared" si="5"/>
        <v>1294817484</v>
      </c>
      <c r="I72" s="129">
        <f>Table2514[[#This Row],[PAY PRICE]]/Table2514[[#This Row],[QTY]]</f>
        <v>274050000</v>
      </c>
      <c r="J72" s="129">
        <f>($F$5-Table2514[[#This Row],[$ Per Plane]])</f>
        <v>40950000</v>
      </c>
      <c r="K72" s="36">
        <f t="shared" si="8"/>
        <v>2784600000</v>
      </c>
      <c r="L72" s="69">
        <f t="shared" si="9"/>
        <v>8.84</v>
      </c>
    </row>
    <row r="73" spans="3:12" ht="15" x14ac:dyDescent="0.25">
      <c r="C73" s="547"/>
      <c r="D73" s="81">
        <v>69</v>
      </c>
      <c r="E73" s="75">
        <v>0.13</v>
      </c>
      <c r="F73" s="22">
        <f t="shared" si="6"/>
        <v>21735000000</v>
      </c>
      <c r="G73" s="22">
        <f t="shared" si="7"/>
        <v>18909450000</v>
      </c>
      <c r="H73" s="22">
        <f t="shared" si="5"/>
        <v>1020767484</v>
      </c>
      <c r="I73" s="129">
        <f>Table2514[[#This Row],[PAY PRICE]]/Table2514[[#This Row],[QTY]]</f>
        <v>274050000</v>
      </c>
      <c r="J73" s="129">
        <f>($F$5-Table2514[[#This Row],[$ Per Plane]])</f>
        <v>40950000</v>
      </c>
      <c r="K73" s="36">
        <f t="shared" si="8"/>
        <v>2825550000</v>
      </c>
      <c r="L73" s="69">
        <f t="shared" si="9"/>
        <v>8.9700000000000006</v>
      </c>
    </row>
    <row r="74" spans="3:12" ht="15.75" thickBot="1" x14ac:dyDescent="0.3">
      <c r="C74" s="548"/>
      <c r="D74" s="83">
        <v>70</v>
      </c>
      <c r="E74" s="75">
        <v>0.13</v>
      </c>
      <c r="F74" s="19">
        <f t="shared" si="6"/>
        <v>22050000000</v>
      </c>
      <c r="G74" s="19">
        <f t="shared" si="7"/>
        <v>19183500000</v>
      </c>
      <c r="H74" s="19">
        <f t="shared" si="5"/>
        <v>746717484</v>
      </c>
      <c r="I74" s="131">
        <f>Table2514[[#This Row],[PAY PRICE]]/Table2514[[#This Row],[QTY]]</f>
        <v>274050000</v>
      </c>
      <c r="J74" s="129">
        <f>($F$5-Table2514[[#This Row],[$ Per Plane]])</f>
        <v>40950000</v>
      </c>
      <c r="K74" s="18">
        <f t="shared" si="8"/>
        <v>2866500000</v>
      </c>
      <c r="L74" s="71">
        <f t="shared" si="9"/>
        <v>9.1</v>
      </c>
    </row>
    <row r="75" spans="3:12" ht="15" x14ac:dyDescent="0.25">
      <c r="C75" s="546">
        <v>11</v>
      </c>
      <c r="D75" s="84">
        <v>71</v>
      </c>
      <c r="E75" s="75">
        <v>0.13</v>
      </c>
      <c r="F75" s="66">
        <f t="shared" si="6"/>
        <v>22365000000</v>
      </c>
      <c r="G75" s="66">
        <f t="shared" si="7"/>
        <v>19457550000</v>
      </c>
      <c r="H75" s="66">
        <f t="shared" si="5"/>
        <v>472667484</v>
      </c>
      <c r="I75" s="132">
        <f>Table2514[[#This Row],[PAY PRICE]]/Table2514[[#This Row],[QTY]]</f>
        <v>274050000</v>
      </c>
      <c r="J75" s="129">
        <f>($F$5-Table2514[[#This Row],[$ Per Plane]])</f>
        <v>40950000</v>
      </c>
      <c r="K75" s="67">
        <f t="shared" si="8"/>
        <v>2907450000</v>
      </c>
      <c r="L75" s="68">
        <f t="shared" si="9"/>
        <v>9.23</v>
      </c>
    </row>
    <row r="76" spans="3:12" ht="15" x14ac:dyDescent="0.25">
      <c r="C76" s="547"/>
      <c r="D76" s="81">
        <v>72</v>
      </c>
      <c r="E76" s="75">
        <v>0.13</v>
      </c>
      <c r="F76" s="35">
        <f t="shared" si="6"/>
        <v>22680000000</v>
      </c>
      <c r="G76" s="35">
        <f t="shared" si="7"/>
        <v>19731600000</v>
      </c>
      <c r="H76" s="35">
        <f t="shared" si="5"/>
        <v>198617484</v>
      </c>
      <c r="I76" s="133">
        <f>Table2514[[#This Row],[PAY PRICE]]/Table2514[[#This Row],[QTY]]</f>
        <v>274050000</v>
      </c>
      <c r="J76" s="129">
        <f>($F$5-Table2514[[#This Row],[$ Per Plane]])</f>
        <v>40950000</v>
      </c>
      <c r="K76" s="36">
        <f t="shared" si="8"/>
        <v>2948400000</v>
      </c>
      <c r="L76" s="69">
        <f t="shared" si="9"/>
        <v>9.36</v>
      </c>
    </row>
    <row r="77" spans="3:12" ht="15" x14ac:dyDescent="0.25">
      <c r="C77" s="547"/>
      <c r="D77" s="81">
        <v>73</v>
      </c>
      <c r="E77" s="75">
        <v>0.13</v>
      </c>
      <c r="F77" s="35">
        <f t="shared" si="6"/>
        <v>22995000000</v>
      </c>
      <c r="G77" s="35">
        <f t="shared" si="7"/>
        <v>20005650000</v>
      </c>
      <c r="H77" s="35">
        <f t="shared" si="5"/>
        <v>-75432516</v>
      </c>
      <c r="I77" s="133">
        <f>Table2514[[#This Row],[PAY PRICE]]/Table2514[[#This Row],[QTY]]</f>
        <v>274050000</v>
      </c>
      <c r="J77" s="129">
        <f>($F$5-Table2514[[#This Row],[$ Per Plane]])</f>
        <v>40950000</v>
      </c>
      <c r="K77" s="36">
        <f t="shared" si="8"/>
        <v>2989350000</v>
      </c>
      <c r="L77" s="69">
        <f t="shared" si="9"/>
        <v>9.49</v>
      </c>
    </row>
    <row r="78" spans="3:12" ht="15" x14ac:dyDescent="0.25">
      <c r="C78" s="547"/>
      <c r="D78" s="81">
        <v>74</v>
      </c>
      <c r="E78" s="75">
        <v>0.13</v>
      </c>
      <c r="F78" s="35">
        <f t="shared" si="6"/>
        <v>23310000000</v>
      </c>
      <c r="G78" s="35">
        <f t="shared" si="7"/>
        <v>20279700000</v>
      </c>
      <c r="H78" s="35">
        <f t="shared" si="5"/>
        <v>-349482516</v>
      </c>
      <c r="I78" s="133">
        <f>Table2514[[#This Row],[PAY PRICE]]/Table2514[[#This Row],[QTY]]</f>
        <v>274050000</v>
      </c>
      <c r="J78" s="129">
        <f>($F$5-Table2514[[#This Row],[$ Per Plane]])</f>
        <v>40950000</v>
      </c>
      <c r="K78" s="36">
        <f t="shared" si="8"/>
        <v>3030300000</v>
      </c>
      <c r="L78" s="69">
        <f t="shared" si="9"/>
        <v>9.6199999999999992</v>
      </c>
    </row>
    <row r="79" spans="3:12" ht="15" x14ac:dyDescent="0.25">
      <c r="C79" s="547"/>
      <c r="D79" s="81">
        <v>75</v>
      </c>
      <c r="E79" s="75">
        <v>0.13</v>
      </c>
      <c r="F79" s="35">
        <f t="shared" si="6"/>
        <v>23625000000</v>
      </c>
      <c r="G79" s="35">
        <f t="shared" si="7"/>
        <v>20553750000</v>
      </c>
      <c r="H79" s="35">
        <f t="shared" si="5"/>
        <v>-623532516</v>
      </c>
      <c r="I79" s="133">
        <f>Table2514[[#This Row],[PAY PRICE]]/Table2514[[#This Row],[QTY]]</f>
        <v>274050000</v>
      </c>
      <c r="J79" s="129">
        <f>($F$5-Table2514[[#This Row],[$ Per Plane]])</f>
        <v>40950000</v>
      </c>
      <c r="K79" s="36">
        <f t="shared" si="8"/>
        <v>3071250000</v>
      </c>
      <c r="L79" s="69">
        <f t="shared" si="9"/>
        <v>9.75</v>
      </c>
    </row>
    <row r="80" spans="3:12" ht="15" x14ac:dyDescent="0.25">
      <c r="C80" s="547"/>
      <c r="D80" s="81">
        <v>76</v>
      </c>
      <c r="E80" s="75">
        <v>0.13</v>
      </c>
      <c r="F80" s="35">
        <f t="shared" si="6"/>
        <v>23940000000</v>
      </c>
      <c r="G80" s="35">
        <f t="shared" si="7"/>
        <v>20827800000</v>
      </c>
      <c r="H80" s="35">
        <f t="shared" si="5"/>
        <v>-897582516</v>
      </c>
      <c r="I80" s="133">
        <f>Table2514[[#This Row],[PAY PRICE]]/Table2514[[#This Row],[QTY]]</f>
        <v>274050000</v>
      </c>
      <c r="J80" s="129">
        <f>($F$5-Table2514[[#This Row],[$ Per Plane]])</f>
        <v>40950000</v>
      </c>
      <c r="K80" s="36">
        <f t="shared" si="8"/>
        <v>3112200000</v>
      </c>
      <c r="L80" s="69">
        <f t="shared" si="9"/>
        <v>9.8800000000000008</v>
      </c>
    </row>
    <row r="81" spans="3:12" ht="15.75" thickBot="1" x14ac:dyDescent="0.3">
      <c r="C81" s="548"/>
      <c r="D81" s="83">
        <v>77</v>
      </c>
      <c r="E81" s="75">
        <v>0.13</v>
      </c>
      <c r="F81" s="70">
        <f t="shared" si="6"/>
        <v>24255000000</v>
      </c>
      <c r="G81" s="70">
        <f t="shared" si="7"/>
        <v>21101850000</v>
      </c>
      <c r="H81" s="70">
        <f t="shared" si="5"/>
        <v>-1171632516</v>
      </c>
      <c r="I81" s="134">
        <f>Table2514[[#This Row],[PAY PRICE]]/Table2514[[#This Row],[QTY]]</f>
        <v>274050000</v>
      </c>
      <c r="J81" s="129">
        <f>($F$5-Table2514[[#This Row],[$ Per Plane]])</f>
        <v>40950000</v>
      </c>
      <c r="K81" s="18">
        <f t="shared" si="8"/>
        <v>3153150000</v>
      </c>
      <c r="L81" s="71">
        <f t="shared" si="9"/>
        <v>10.01</v>
      </c>
    </row>
    <row r="82" spans="3:12" ht="15" customHeight="1" x14ac:dyDescent="0.25">
      <c r="C82" s="546">
        <v>12</v>
      </c>
      <c r="D82" s="84">
        <v>78</v>
      </c>
      <c r="E82" s="75">
        <v>0.13</v>
      </c>
      <c r="F82" s="66">
        <f t="shared" si="6"/>
        <v>24570000000</v>
      </c>
      <c r="G82" s="66">
        <f t="shared" si="7"/>
        <v>21375900000</v>
      </c>
      <c r="H82" s="66">
        <f t="shared" si="5"/>
        <v>-1445682516</v>
      </c>
      <c r="I82" s="132">
        <f>Table2514[[#This Row],[PAY PRICE]]/Table2514[[#This Row],[QTY]]</f>
        <v>274050000</v>
      </c>
      <c r="J82" s="129">
        <f>($F$5-Table2514[[#This Row],[$ Per Plane]])</f>
        <v>40950000</v>
      </c>
      <c r="K82" s="67">
        <f t="shared" si="8"/>
        <v>3194100000</v>
      </c>
      <c r="L82" s="68">
        <f t="shared" si="9"/>
        <v>10.14</v>
      </c>
    </row>
    <row r="83" spans="3:12" ht="15" customHeight="1" x14ac:dyDescent="0.25">
      <c r="C83" s="547"/>
      <c r="D83" s="81">
        <v>79</v>
      </c>
      <c r="E83" s="75">
        <v>0.13</v>
      </c>
      <c r="F83" s="35">
        <f t="shared" si="6"/>
        <v>24885000000</v>
      </c>
      <c r="G83" s="35">
        <f t="shared" si="7"/>
        <v>21649950000</v>
      </c>
      <c r="H83" s="35">
        <f t="shared" si="5"/>
        <v>-1719732516</v>
      </c>
      <c r="I83" s="133">
        <f>Table2514[[#This Row],[PAY PRICE]]/Table2514[[#This Row],[QTY]]</f>
        <v>274050000</v>
      </c>
      <c r="J83" s="129">
        <f>($F$5-Table2514[[#This Row],[$ Per Plane]])</f>
        <v>40950000</v>
      </c>
      <c r="K83" s="36">
        <f t="shared" si="8"/>
        <v>3235050000</v>
      </c>
      <c r="L83" s="69">
        <f t="shared" si="9"/>
        <v>10.27</v>
      </c>
    </row>
    <row r="84" spans="3:12" ht="15" customHeight="1" x14ac:dyDescent="0.25">
      <c r="C84" s="547"/>
      <c r="D84" s="81">
        <v>80</v>
      </c>
      <c r="E84" s="75">
        <v>0.13</v>
      </c>
      <c r="F84" s="35">
        <f t="shared" si="6"/>
        <v>25200000000</v>
      </c>
      <c r="G84" s="35">
        <f t="shared" si="7"/>
        <v>21924000000</v>
      </c>
      <c r="H84" s="35">
        <f t="shared" si="5"/>
        <v>-1993782516</v>
      </c>
      <c r="I84" s="133">
        <f>Table2514[[#This Row],[PAY PRICE]]/Table2514[[#This Row],[QTY]]</f>
        <v>274050000</v>
      </c>
      <c r="J84" s="129">
        <f>($F$5-Table2514[[#This Row],[$ Per Plane]])</f>
        <v>40950000</v>
      </c>
      <c r="K84" s="36">
        <f t="shared" si="8"/>
        <v>3276000000</v>
      </c>
      <c r="L84" s="69">
        <f t="shared" si="9"/>
        <v>10.4</v>
      </c>
    </row>
    <row r="85" spans="3:12" ht="15" customHeight="1" x14ac:dyDescent="0.25">
      <c r="C85" s="547"/>
      <c r="D85" s="81">
        <v>81</v>
      </c>
      <c r="E85" s="75">
        <v>0.13</v>
      </c>
      <c r="F85" s="35">
        <f t="shared" si="6"/>
        <v>25515000000</v>
      </c>
      <c r="G85" s="35">
        <f t="shared" si="7"/>
        <v>22198050000</v>
      </c>
      <c r="H85" s="35">
        <f t="shared" si="5"/>
        <v>-2267832516</v>
      </c>
      <c r="I85" s="133">
        <f>Table2514[[#This Row],[PAY PRICE]]/Table2514[[#This Row],[QTY]]</f>
        <v>274050000</v>
      </c>
      <c r="J85" s="129">
        <f>($F$5-Table2514[[#This Row],[$ Per Plane]])</f>
        <v>40950000</v>
      </c>
      <c r="K85" s="36">
        <f t="shared" si="8"/>
        <v>3316950000</v>
      </c>
      <c r="L85" s="69">
        <f t="shared" si="9"/>
        <v>10.53</v>
      </c>
    </row>
    <row r="86" spans="3:12" ht="15" customHeight="1" x14ac:dyDescent="0.25">
      <c r="C86" s="547"/>
      <c r="D86" s="81">
        <v>82</v>
      </c>
      <c r="E86" s="75">
        <v>0.13</v>
      </c>
      <c r="F86" s="35">
        <f t="shared" si="6"/>
        <v>25830000000</v>
      </c>
      <c r="G86" s="35">
        <f t="shared" si="7"/>
        <v>22472100000</v>
      </c>
      <c r="H86" s="35">
        <f t="shared" si="5"/>
        <v>-2541882516</v>
      </c>
      <c r="I86" s="133">
        <f>Table2514[[#This Row],[PAY PRICE]]/Table2514[[#This Row],[QTY]]</f>
        <v>274050000</v>
      </c>
      <c r="J86" s="129">
        <f>($F$5-Table2514[[#This Row],[$ Per Plane]])</f>
        <v>40950000</v>
      </c>
      <c r="K86" s="36">
        <f t="shared" si="8"/>
        <v>3357900000</v>
      </c>
      <c r="L86" s="69">
        <f t="shared" si="9"/>
        <v>10.66</v>
      </c>
    </row>
    <row r="87" spans="3:12" ht="15" customHeight="1" x14ac:dyDescent="0.25">
      <c r="C87" s="547"/>
      <c r="D87" s="81">
        <v>83</v>
      </c>
      <c r="E87" s="75">
        <v>0.13</v>
      </c>
      <c r="F87" s="35">
        <f t="shared" si="6"/>
        <v>26145000000</v>
      </c>
      <c r="G87" s="35">
        <f t="shared" si="7"/>
        <v>22746150000</v>
      </c>
      <c r="H87" s="35">
        <f t="shared" si="5"/>
        <v>-2815932516</v>
      </c>
      <c r="I87" s="133">
        <f>Table2514[[#This Row],[PAY PRICE]]/Table2514[[#This Row],[QTY]]</f>
        <v>274050000</v>
      </c>
      <c r="J87" s="129">
        <f>($F$5-Table2514[[#This Row],[$ Per Plane]])</f>
        <v>40950000</v>
      </c>
      <c r="K87" s="36">
        <f t="shared" si="8"/>
        <v>3398850000</v>
      </c>
      <c r="L87" s="69">
        <f t="shared" si="9"/>
        <v>10.79</v>
      </c>
    </row>
    <row r="88" spans="3:12" ht="15.75" customHeight="1" thickBot="1" x14ac:dyDescent="0.3">
      <c r="C88" s="548"/>
      <c r="D88" s="83">
        <v>84</v>
      </c>
      <c r="E88" s="75">
        <v>0.13</v>
      </c>
      <c r="F88" s="70">
        <f t="shared" si="6"/>
        <v>26460000000</v>
      </c>
      <c r="G88" s="70">
        <f t="shared" si="7"/>
        <v>23020200000</v>
      </c>
      <c r="H88" s="70">
        <f t="shared" si="5"/>
        <v>-3089982516</v>
      </c>
      <c r="I88" s="134">
        <f>Table2514[[#This Row],[PAY PRICE]]/Table2514[[#This Row],[QTY]]</f>
        <v>274050000</v>
      </c>
      <c r="J88" s="129">
        <f>($F$5-Table2514[[#This Row],[$ Per Plane]])</f>
        <v>40950000</v>
      </c>
      <c r="K88" s="18">
        <f t="shared" si="8"/>
        <v>3439800000</v>
      </c>
      <c r="L88" s="71">
        <f t="shared" si="9"/>
        <v>10.92</v>
      </c>
    </row>
    <row r="89" spans="3:12" ht="15" customHeight="1" x14ac:dyDescent="0.25">
      <c r="C89" s="546">
        <v>13</v>
      </c>
      <c r="D89" s="84">
        <v>85</v>
      </c>
      <c r="E89" s="75">
        <v>0.13</v>
      </c>
      <c r="F89" s="66">
        <f t="shared" si="6"/>
        <v>26775000000</v>
      </c>
      <c r="G89" s="66">
        <f t="shared" si="7"/>
        <v>23294250000</v>
      </c>
      <c r="H89" s="66">
        <f t="shared" si="5"/>
        <v>-3364032516</v>
      </c>
      <c r="I89" s="132">
        <f>Table2514[[#This Row],[PAY PRICE]]/Table2514[[#This Row],[QTY]]</f>
        <v>274050000</v>
      </c>
      <c r="J89" s="129">
        <f>($F$5-Table2514[[#This Row],[$ Per Plane]])</f>
        <v>40950000</v>
      </c>
      <c r="K89" s="67">
        <f t="shared" si="8"/>
        <v>3480750000</v>
      </c>
      <c r="L89" s="68">
        <f t="shared" si="9"/>
        <v>11.05</v>
      </c>
    </row>
    <row r="90" spans="3:12" ht="15" customHeight="1" x14ac:dyDescent="0.25">
      <c r="C90" s="547"/>
      <c r="D90" s="81">
        <v>86</v>
      </c>
      <c r="E90" s="75">
        <v>0.13</v>
      </c>
      <c r="F90" s="35">
        <f t="shared" si="6"/>
        <v>27090000000</v>
      </c>
      <c r="G90" s="35">
        <f t="shared" si="7"/>
        <v>23568300000</v>
      </c>
      <c r="H90" s="35">
        <f t="shared" si="5"/>
        <v>-3638082516</v>
      </c>
      <c r="I90" s="133">
        <f>Table2514[[#This Row],[PAY PRICE]]/Table2514[[#This Row],[QTY]]</f>
        <v>274050000</v>
      </c>
      <c r="J90" s="129">
        <f>($F$5-Table2514[[#This Row],[$ Per Plane]])</f>
        <v>40950000</v>
      </c>
      <c r="K90" s="36">
        <f t="shared" si="8"/>
        <v>3521700000</v>
      </c>
      <c r="L90" s="69">
        <f t="shared" si="9"/>
        <v>11.18</v>
      </c>
    </row>
    <row r="91" spans="3:12" ht="15" customHeight="1" x14ac:dyDescent="0.25">
      <c r="C91" s="547"/>
      <c r="D91" s="81">
        <v>87</v>
      </c>
      <c r="E91" s="75">
        <v>0.13</v>
      </c>
      <c r="F91" s="35">
        <f t="shared" si="6"/>
        <v>27405000000</v>
      </c>
      <c r="G91" s="35">
        <f t="shared" si="7"/>
        <v>23842350000</v>
      </c>
      <c r="H91" s="35">
        <f t="shared" si="5"/>
        <v>-3912132516</v>
      </c>
      <c r="I91" s="133">
        <f>Table2514[[#This Row],[PAY PRICE]]/Table2514[[#This Row],[QTY]]</f>
        <v>274050000</v>
      </c>
      <c r="J91" s="129">
        <f>($F$5-Table2514[[#This Row],[$ Per Plane]])</f>
        <v>40950000</v>
      </c>
      <c r="K91" s="36">
        <f t="shared" si="8"/>
        <v>3562650000</v>
      </c>
      <c r="L91" s="69">
        <f t="shared" si="9"/>
        <v>11.31</v>
      </c>
    </row>
    <row r="92" spans="3:12" ht="15" customHeight="1" x14ac:dyDescent="0.25">
      <c r="C92" s="547"/>
      <c r="D92" s="81">
        <v>88</v>
      </c>
      <c r="E92" s="75">
        <v>0.13</v>
      </c>
      <c r="F92" s="35">
        <f t="shared" si="6"/>
        <v>27720000000</v>
      </c>
      <c r="G92" s="35">
        <f t="shared" si="7"/>
        <v>24116400000</v>
      </c>
      <c r="H92" s="35">
        <f t="shared" si="5"/>
        <v>-4186182516</v>
      </c>
      <c r="I92" s="133">
        <f>Table2514[[#This Row],[PAY PRICE]]/Table2514[[#This Row],[QTY]]</f>
        <v>274050000</v>
      </c>
      <c r="J92" s="129">
        <f>($F$5-Table2514[[#This Row],[$ Per Plane]])</f>
        <v>40950000</v>
      </c>
      <c r="K92" s="36">
        <f t="shared" si="8"/>
        <v>3603600000</v>
      </c>
      <c r="L92" s="69">
        <f t="shared" si="9"/>
        <v>11.44</v>
      </c>
    </row>
    <row r="93" spans="3:12" ht="15" customHeight="1" x14ac:dyDescent="0.25">
      <c r="C93" s="547"/>
      <c r="D93" s="81">
        <v>89</v>
      </c>
      <c r="E93" s="75">
        <v>0.13</v>
      </c>
      <c r="F93" s="35">
        <f t="shared" si="6"/>
        <v>28035000000</v>
      </c>
      <c r="G93" s="35">
        <f t="shared" si="7"/>
        <v>24390450000</v>
      </c>
      <c r="H93" s="35">
        <f t="shared" si="5"/>
        <v>-4460232516</v>
      </c>
      <c r="I93" s="133">
        <f>Table2514[[#This Row],[PAY PRICE]]/Table2514[[#This Row],[QTY]]</f>
        <v>274050000</v>
      </c>
      <c r="J93" s="129">
        <f>($F$5-Table2514[[#This Row],[$ Per Plane]])</f>
        <v>40950000</v>
      </c>
      <c r="K93" s="36">
        <f t="shared" si="8"/>
        <v>3644550000</v>
      </c>
      <c r="L93" s="69">
        <f t="shared" si="9"/>
        <v>11.57</v>
      </c>
    </row>
    <row r="94" spans="3:12" ht="15" customHeight="1" x14ac:dyDescent="0.25">
      <c r="C94" s="547"/>
      <c r="D94" s="81">
        <v>90</v>
      </c>
      <c r="E94" s="75">
        <v>0.13</v>
      </c>
      <c r="F94" s="35">
        <f t="shared" si="6"/>
        <v>28350000000</v>
      </c>
      <c r="G94" s="35">
        <f t="shared" si="7"/>
        <v>24664500000</v>
      </c>
      <c r="H94" s="35">
        <f t="shared" si="5"/>
        <v>-4734282516</v>
      </c>
      <c r="I94" s="133">
        <f>Table2514[[#This Row],[PAY PRICE]]/Table2514[[#This Row],[QTY]]</f>
        <v>274050000</v>
      </c>
      <c r="J94" s="129">
        <f>($F$5-Table2514[[#This Row],[$ Per Plane]])</f>
        <v>40950000</v>
      </c>
      <c r="K94" s="36">
        <f t="shared" si="8"/>
        <v>3685500000</v>
      </c>
      <c r="L94" s="69">
        <f t="shared" si="9"/>
        <v>11.7</v>
      </c>
    </row>
    <row r="95" spans="3:12" ht="15" customHeight="1" thickBot="1" x14ac:dyDescent="0.3">
      <c r="C95" s="548"/>
      <c r="D95" s="83">
        <v>91</v>
      </c>
      <c r="E95" s="75">
        <v>0.13</v>
      </c>
      <c r="F95" s="70">
        <f t="shared" si="6"/>
        <v>28665000000</v>
      </c>
      <c r="G95" s="70">
        <f t="shared" si="7"/>
        <v>24938550000</v>
      </c>
      <c r="H95" s="70">
        <f t="shared" si="5"/>
        <v>-5008332516</v>
      </c>
      <c r="I95" s="134">
        <f>Table2514[[#This Row],[PAY PRICE]]/Table2514[[#This Row],[QTY]]</f>
        <v>274050000</v>
      </c>
      <c r="J95" s="129">
        <f>($F$5-Table2514[[#This Row],[$ Per Plane]])</f>
        <v>40950000</v>
      </c>
      <c r="K95" s="18">
        <f t="shared" si="8"/>
        <v>3726450000</v>
      </c>
      <c r="L95" s="71">
        <f t="shared" si="9"/>
        <v>11.83</v>
      </c>
    </row>
  </sheetData>
  <mergeCells count="13">
    <mergeCell ref="C89:C95"/>
    <mergeCell ref="C47:C53"/>
    <mergeCell ref="C54:C60"/>
    <mergeCell ref="C61:C67"/>
    <mergeCell ref="C68:C74"/>
    <mergeCell ref="C75:C81"/>
    <mergeCell ref="C82:C88"/>
    <mergeCell ref="C40:C46"/>
    <mergeCell ref="C5:C11"/>
    <mergeCell ref="C12:C18"/>
    <mergeCell ref="C19:C25"/>
    <mergeCell ref="C26:C32"/>
    <mergeCell ref="C33:C39"/>
  </mergeCells>
  <conditionalFormatting sqref="H5:H95">
    <cfRule type="cellIs" dxfId="128" priority="1" operator="lessThan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BD783-0CAB-4DFB-9155-64E879693BFF}">
  <dimension ref="C2:O95"/>
  <sheetViews>
    <sheetView zoomScale="85" zoomScaleNormal="85" workbookViewId="0">
      <selection activeCell="H2" sqref="H2"/>
    </sheetView>
  </sheetViews>
  <sheetFormatPr defaultColWidth="9.140625" defaultRowHeight="21" x14ac:dyDescent="0.25"/>
  <cols>
    <col min="1" max="2" width="9.140625" style="1"/>
    <col min="3" max="3" width="9.140625" style="46"/>
    <col min="4" max="5" width="9.140625" style="8"/>
    <col min="6" max="6" width="19" style="4" bestFit="1" customWidth="1"/>
    <col min="7" max="7" width="20.7109375" style="4" bestFit="1" customWidth="1"/>
    <col min="8" max="8" width="21.5703125" style="4" bestFit="1" customWidth="1"/>
    <col min="9" max="10" width="21.5703125" style="4" customWidth="1"/>
    <col min="11" max="11" width="18" style="1" bestFit="1" customWidth="1"/>
    <col min="12" max="12" width="11" style="1" customWidth="1"/>
    <col min="13" max="14" width="9.140625" style="1"/>
    <col min="15" max="15" width="17" style="1" bestFit="1" customWidth="1"/>
    <col min="16" max="16384" width="9.140625" style="1"/>
  </cols>
  <sheetData>
    <row r="2" spans="3:15" x14ac:dyDescent="0.25">
      <c r="F2" s="183" t="s">
        <v>14207</v>
      </c>
      <c r="G2" s="4" t="s">
        <v>482</v>
      </c>
      <c r="H2" s="25">
        <v>90838755237</v>
      </c>
      <c r="I2" s="25"/>
      <c r="J2" s="25"/>
    </row>
    <row r="3" spans="3:15" x14ac:dyDescent="0.25">
      <c r="H3" s="5"/>
    </row>
    <row r="4" spans="3:15" ht="21.75" thickBot="1" x14ac:dyDescent="0.3">
      <c r="D4" s="20" t="s">
        <v>481</v>
      </c>
      <c r="E4" s="20" t="s">
        <v>480</v>
      </c>
      <c r="F4" s="24" t="s">
        <v>11121</v>
      </c>
      <c r="G4" s="4" t="s">
        <v>479</v>
      </c>
      <c r="H4" s="4" t="s">
        <v>478</v>
      </c>
      <c r="I4" s="4" t="s">
        <v>12665</v>
      </c>
      <c r="J4" s="4" t="s">
        <v>12667</v>
      </c>
      <c r="K4" s="1" t="s">
        <v>12666</v>
      </c>
      <c r="L4" s="1" t="s">
        <v>477</v>
      </c>
    </row>
    <row r="5" spans="3:15" ht="15" x14ac:dyDescent="0.25">
      <c r="C5" s="546">
        <v>1</v>
      </c>
      <c r="D5" s="80">
        <v>1</v>
      </c>
      <c r="E5" s="74">
        <v>0</v>
      </c>
      <c r="F5" s="72">
        <v>403000000</v>
      </c>
      <c r="G5" s="72">
        <v>403000000</v>
      </c>
      <c r="H5" s="72">
        <f t="shared" ref="H5:H68" si="0">$H$2-G5</f>
        <v>90435755237</v>
      </c>
      <c r="I5" s="128">
        <f>Table251418[[#This Row],[PAY PRICE]]/Table251418[[#This Row],[QTY]]</f>
        <v>403000000</v>
      </c>
      <c r="J5" s="128"/>
      <c r="K5" s="73"/>
      <c r="L5" s="68"/>
    </row>
    <row r="6" spans="3:15" ht="15" x14ac:dyDescent="0.25">
      <c r="C6" s="547"/>
      <c r="D6" s="81">
        <v>2</v>
      </c>
      <c r="E6" s="75">
        <v>3.44E-2</v>
      </c>
      <c r="F6" s="22">
        <f t="shared" ref="F6:F69" si="1">$F$5*D6</f>
        <v>806000000</v>
      </c>
      <c r="G6" s="22">
        <f t="shared" ref="G6:G69" si="2">F6*(1-E6)</f>
        <v>778273600</v>
      </c>
      <c r="H6" s="22">
        <f t="shared" si="0"/>
        <v>90060481637</v>
      </c>
      <c r="I6" s="129">
        <f>Table251418[[#This Row],[PAY PRICE]]/Table251418[[#This Row],[QTY]]</f>
        <v>389136800</v>
      </c>
      <c r="J6" s="129">
        <f>($F$5-Table251418[[#This Row],[$ Per Plane]])</f>
        <v>13863200</v>
      </c>
      <c r="K6" s="36">
        <f t="shared" ref="K6:K69" si="3">($F$5*D6)-G6</f>
        <v>27726400</v>
      </c>
      <c r="L6" s="69">
        <f t="shared" ref="L6:L69" si="4">K6/$F$5</f>
        <v>6.88E-2</v>
      </c>
    </row>
    <row r="7" spans="3:15" ht="15" x14ac:dyDescent="0.25">
      <c r="C7" s="547"/>
      <c r="D7" s="81">
        <v>3</v>
      </c>
      <c r="E7" s="75">
        <v>4.9200000000000001E-2</v>
      </c>
      <c r="F7" s="22">
        <f t="shared" si="1"/>
        <v>1209000000</v>
      </c>
      <c r="G7" s="22">
        <f t="shared" si="2"/>
        <v>1149517200</v>
      </c>
      <c r="H7" s="22">
        <f t="shared" si="0"/>
        <v>89689238037</v>
      </c>
      <c r="I7" s="129">
        <f>Table251418[[#This Row],[PAY PRICE]]/Table251418[[#This Row],[QTY]]</f>
        <v>383172400</v>
      </c>
      <c r="J7" s="129">
        <f>($F$5-Table251418[[#This Row],[$ Per Plane]])</f>
        <v>19827600</v>
      </c>
      <c r="K7" s="36">
        <f t="shared" si="3"/>
        <v>59482800</v>
      </c>
      <c r="L7" s="69">
        <f t="shared" si="4"/>
        <v>0.14760000000000001</v>
      </c>
    </row>
    <row r="8" spans="3:15" ht="15" x14ac:dyDescent="0.25">
      <c r="C8" s="547"/>
      <c r="D8" s="81">
        <v>4</v>
      </c>
      <c r="E8" s="75">
        <v>5.8599999999999999E-2</v>
      </c>
      <c r="F8" s="22">
        <f t="shared" si="1"/>
        <v>1612000000</v>
      </c>
      <c r="G8" s="22">
        <f t="shared" si="2"/>
        <v>1517536800</v>
      </c>
      <c r="H8" s="22">
        <f t="shared" si="0"/>
        <v>89321218437</v>
      </c>
      <c r="I8" s="129">
        <f>Table251418[[#This Row],[PAY PRICE]]/Table251418[[#This Row],[QTY]]</f>
        <v>379384200</v>
      </c>
      <c r="J8" s="129">
        <f>($F$5-Table251418[[#This Row],[$ Per Plane]])</f>
        <v>23615800</v>
      </c>
      <c r="K8" s="36">
        <f t="shared" si="3"/>
        <v>94463200</v>
      </c>
      <c r="L8" s="69">
        <f t="shared" si="4"/>
        <v>0.2344</v>
      </c>
    </row>
    <row r="9" spans="3:15" ht="15" x14ac:dyDescent="0.25">
      <c r="C9" s="547"/>
      <c r="D9" s="82">
        <v>5</v>
      </c>
      <c r="E9" s="75">
        <v>6.4699999999999994E-2</v>
      </c>
      <c r="F9" s="22">
        <f t="shared" si="1"/>
        <v>2015000000</v>
      </c>
      <c r="G9" s="22">
        <f t="shared" si="2"/>
        <v>1884629500</v>
      </c>
      <c r="H9" s="22">
        <f t="shared" si="0"/>
        <v>88954125737</v>
      </c>
      <c r="I9" s="129">
        <f>Table251418[[#This Row],[PAY PRICE]]/Table251418[[#This Row],[QTY]]</f>
        <v>376925900</v>
      </c>
      <c r="J9" s="129">
        <f>($F$5-Table251418[[#This Row],[$ Per Plane]])</f>
        <v>26074100</v>
      </c>
      <c r="K9" s="36">
        <f t="shared" si="3"/>
        <v>130370500</v>
      </c>
      <c r="L9" s="69">
        <f t="shared" si="4"/>
        <v>0.32350000000000001</v>
      </c>
    </row>
    <row r="10" spans="3:15" ht="15" x14ac:dyDescent="0.25">
      <c r="C10" s="547"/>
      <c r="D10" s="81">
        <v>6</v>
      </c>
      <c r="E10" s="75">
        <v>7.0699999999999999E-2</v>
      </c>
      <c r="F10" s="22">
        <f t="shared" si="1"/>
        <v>2418000000</v>
      </c>
      <c r="G10" s="22">
        <f t="shared" si="2"/>
        <v>2247047400</v>
      </c>
      <c r="H10" s="22">
        <f t="shared" si="0"/>
        <v>88591707837</v>
      </c>
      <c r="I10" s="129">
        <f>Table251418[[#This Row],[PAY PRICE]]/Table251418[[#This Row],[QTY]]</f>
        <v>374507900</v>
      </c>
      <c r="J10" s="129">
        <f>($F$5-Table251418[[#This Row],[$ Per Plane]])</f>
        <v>28492100</v>
      </c>
      <c r="K10" s="36">
        <f t="shared" si="3"/>
        <v>170952600</v>
      </c>
      <c r="L10" s="69">
        <f t="shared" si="4"/>
        <v>0.42420000000000002</v>
      </c>
    </row>
    <row r="11" spans="3:15" ht="15.75" thickBot="1" x14ac:dyDescent="0.3">
      <c r="C11" s="548"/>
      <c r="D11" s="83">
        <v>7</v>
      </c>
      <c r="E11" s="76">
        <v>7.6300000000000007E-2</v>
      </c>
      <c r="F11" s="19">
        <f t="shared" si="1"/>
        <v>2821000000</v>
      </c>
      <c r="G11" s="19">
        <f t="shared" si="2"/>
        <v>2605757700</v>
      </c>
      <c r="H11" s="19">
        <f t="shared" si="0"/>
        <v>88232997537</v>
      </c>
      <c r="I11" s="130">
        <f>Table251418[[#This Row],[PAY PRICE]]/Table251418[[#This Row],[QTY]]</f>
        <v>372251100</v>
      </c>
      <c r="J11" s="129">
        <f>($F$5-Table251418[[#This Row],[$ Per Plane]])</f>
        <v>30748900</v>
      </c>
      <c r="K11" s="23">
        <f t="shared" si="3"/>
        <v>215242300</v>
      </c>
      <c r="L11" s="71">
        <f t="shared" si="4"/>
        <v>0.53410000000000002</v>
      </c>
    </row>
    <row r="12" spans="3:15" ht="15" x14ac:dyDescent="0.25">
      <c r="C12" s="546">
        <f>C5+1</f>
        <v>2</v>
      </c>
      <c r="D12" s="84">
        <v>8</v>
      </c>
      <c r="E12" s="74">
        <v>8.14E-2</v>
      </c>
      <c r="F12" s="72">
        <f t="shared" si="1"/>
        <v>3224000000</v>
      </c>
      <c r="G12" s="72">
        <f t="shared" si="2"/>
        <v>2961566400</v>
      </c>
      <c r="H12" s="72">
        <f t="shared" si="0"/>
        <v>87877188837</v>
      </c>
      <c r="I12" s="128">
        <f>Table251418[[#This Row],[PAY PRICE]]/Table251418[[#This Row],[QTY]]</f>
        <v>370195800</v>
      </c>
      <c r="J12" s="129">
        <f>($F$5-Table251418[[#This Row],[$ Per Plane]])</f>
        <v>32804200</v>
      </c>
      <c r="K12" s="67">
        <f t="shared" si="3"/>
        <v>262433600</v>
      </c>
      <c r="L12" s="68">
        <f t="shared" si="4"/>
        <v>0.6512</v>
      </c>
    </row>
    <row r="13" spans="3:15" ht="15" x14ac:dyDescent="0.25">
      <c r="C13" s="547"/>
      <c r="D13" s="82">
        <v>9</v>
      </c>
      <c r="E13" s="75">
        <v>8.4900000000000003E-2</v>
      </c>
      <c r="F13" s="22">
        <f t="shared" si="1"/>
        <v>3627000000</v>
      </c>
      <c r="G13" s="22">
        <f t="shared" si="2"/>
        <v>3319067700</v>
      </c>
      <c r="H13" s="22">
        <f t="shared" si="0"/>
        <v>87519687537</v>
      </c>
      <c r="I13" s="129">
        <f>Table251418[[#This Row],[PAY PRICE]]/Table251418[[#This Row],[QTY]]</f>
        <v>368785300</v>
      </c>
      <c r="J13" s="129">
        <f>($F$5-Table251418[[#This Row],[$ Per Plane]])</f>
        <v>34214700</v>
      </c>
      <c r="K13" s="36">
        <f t="shared" si="3"/>
        <v>307932300</v>
      </c>
      <c r="L13" s="69">
        <f t="shared" si="4"/>
        <v>0.7641</v>
      </c>
    </row>
    <row r="14" spans="3:15" ht="15" x14ac:dyDescent="0.25">
      <c r="C14" s="547"/>
      <c r="D14" s="81">
        <v>10</v>
      </c>
      <c r="E14" s="75">
        <v>8.8300000000000003E-2</v>
      </c>
      <c r="F14" s="22">
        <f t="shared" si="1"/>
        <v>4030000000</v>
      </c>
      <c r="G14" s="22">
        <f t="shared" si="2"/>
        <v>3674151000</v>
      </c>
      <c r="H14" s="22">
        <f t="shared" si="0"/>
        <v>87164604237</v>
      </c>
      <c r="I14" s="129">
        <f>Table251418[[#This Row],[PAY PRICE]]/Table251418[[#This Row],[QTY]]</f>
        <v>367415100</v>
      </c>
      <c r="J14" s="129">
        <f>($F$5-Table251418[[#This Row],[$ Per Plane]])</f>
        <v>35584900</v>
      </c>
      <c r="K14" s="36">
        <f t="shared" si="3"/>
        <v>355849000</v>
      </c>
      <c r="L14" s="69">
        <f t="shared" si="4"/>
        <v>0.88300000000000001</v>
      </c>
    </row>
    <row r="15" spans="3:15" ht="15" x14ac:dyDescent="0.25">
      <c r="C15" s="547"/>
      <c r="D15" s="81">
        <v>11</v>
      </c>
      <c r="E15" s="75">
        <v>9.1800000000000007E-2</v>
      </c>
      <c r="F15" s="22">
        <f t="shared" si="1"/>
        <v>4433000000</v>
      </c>
      <c r="G15" s="22">
        <f t="shared" si="2"/>
        <v>4026050600</v>
      </c>
      <c r="H15" s="22">
        <f t="shared" si="0"/>
        <v>86812704637</v>
      </c>
      <c r="I15" s="129">
        <f>Table251418[[#This Row],[PAY PRICE]]/Table251418[[#This Row],[QTY]]</f>
        <v>366004600</v>
      </c>
      <c r="J15" s="129">
        <f>($F$5-Table251418[[#This Row],[$ Per Plane]])</f>
        <v>36995400</v>
      </c>
      <c r="K15" s="36">
        <f t="shared" si="3"/>
        <v>406949400</v>
      </c>
      <c r="L15" s="69">
        <f t="shared" si="4"/>
        <v>1.0098</v>
      </c>
    </row>
    <row r="16" spans="3:15" ht="15" x14ac:dyDescent="0.25">
      <c r="C16" s="547"/>
      <c r="D16" s="81">
        <v>12</v>
      </c>
      <c r="E16" s="75">
        <v>9.5299999999999996E-2</v>
      </c>
      <c r="F16" s="22">
        <f t="shared" si="1"/>
        <v>4836000000</v>
      </c>
      <c r="G16" s="22">
        <f t="shared" si="2"/>
        <v>4375129200</v>
      </c>
      <c r="H16" s="22">
        <f t="shared" si="0"/>
        <v>86463626037</v>
      </c>
      <c r="I16" s="129">
        <f>Table251418[[#This Row],[PAY PRICE]]/Table251418[[#This Row],[QTY]]</f>
        <v>364594100</v>
      </c>
      <c r="J16" s="129">
        <f>($F$5-Table251418[[#This Row],[$ Per Plane]])</f>
        <v>38405900</v>
      </c>
      <c r="K16" s="36">
        <f t="shared" si="3"/>
        <v>460870800</v>
      </c>
      <c r="L16" s="69">
        <f t="shared" si="4"/>
        <v>1.1435999999999999</v>
      </c>
      <c r="O16" s="21"/>
    </row>
    <row r="17" spans="3:12" ht="15" x14ac:dyDescent="0.25">
      <c r="C17" s="547"/>
      <c r="D17" s="82">
        <v>13</v>
      </c>
      <c r="E17" s="75">
        <v>9.9900000000000003E-2</v>
      </c>
      <c r="F17" s="22">
        <f t="shared" si="1"/>
        <v>5239000000</v>
      </c>
      <c r="G17" s="22">
        <f t="shared" si="2"/>
        <v>4715623900</v>
      </c>
      <c r="H17" s="22">
        <f t="shared" si="0"/>
        <v>86123131337</v>
      </c>
      <c r="I17" s="129">
        <f>Table251418[[#This Row],[PAY PRICE]]/Table251418[[#This Row],[QTY]]</f>
        <v>362740300</v>
      </c>
      <c r="J17" s="129">
        <f>($F$5-Table251418[[#This Row],[$ Per Plane]])</f>
        <v>40259700</v>
      </c>
      <c r="K17" s="36">
        <f t="shared" si="3"/>
        <v>523376100</v>
      </c>
      <c r="L17" s="69">
        <f t="shared" si="4"/>
        <v>1.2987</v>
      </c>
    </row>
    <row r="18" spans="3:12" ht="15.75" thickBot="1" x14ac:dyDescent="0.3">
      <c r="C18" s="548"/>
      <c r="D18" s="83">
        <v>14</v>
      </c>
      <c r="E18" s="76">
        <v>0.1045</v>
      </c>
      <c r="F18" s="19">
        <f t="shared" si="1"/>
        <v>5642000000</v>
      </c>
      <c r="G18" s="19">
        <f t="shared" si="2"/>
        <v>5052411000</v>
      </c>
      <c r="H18" s="19">
        <f t="shared" si="0"/>
        <v>85786344237</v>
      </c>
      <c r="I18" s="130">
        <f>Table251418[[#This Row],[PAY PRICE]]/Table251418[[#This Row],[QTY]]</f>
        <v>360886500</v>
      </c>
      <c r="J18" s="129">
        <f>($F$5-Table251418[[#This Row],[$ Per Plane]])</f>
        <v>42113500</v>
      </c>
      <c r="K18" s="23">
        <f t="shared" si="3"/>
        <v>589589000</v>
      </c>
      <c r="L18" s="71">
        <f t="shared" si="4"/>
        <v>1.4630000000000001</v>
      </c>
    </row>
    <row r="19" spans="3:12" ht="15" x14ac:dyDescent="0.25">
      <c r="C19" s="546">
        <v>3</v>
      </c>
      <c r="D19" s="84">
        <v>15</v>
      </c>
      <c r="E19" s="74">
        <v>0.1091</v>
      </c>
      <c r="F19" s="72">
        <f t="shared" si="1"/>
        <v>6045000000</v>
      </c>
      <c r="G19" s="72">
        <f t="shared" si="2"/>
        <v>5385490500</v>
      </c>
      <c r="H19" s="72">
        <f t="shared" si="0"/>
        <v>85453264737</v>
      </c>
      <c r="I19" s="128">
        <f>Table251418[[#This Row],[PAY PRICE]]/Table251418[[#This Row],[QTY]]</f>
        <v>359032700</v>
      </c>
      <c r="J19" s="129">
        <f>($F$5-Table251418[[#This Row],[$ Per Plane]])</f>
        <v>43967300</v>
      </c>
      <c r="K19" s="67">
        <f t="shared" si="3"/>
        <v>659509500</v>
      </c>
      <c r="L19" s="68">
        <f t="shared" si="4"/>
        <v>1.6365000000000001</v>
      </c>
    </row>
    <row r="20" spans="3:12" ht="15" x14ac:dyDescent="0.25">
      <c r="C20" s="547"/>
      <c r="D20" s="81">
        <v>16</v>
      </c>
      <c r="E20" s="75">
        <v>0.113</v>
      </c>
      <c r="F20" s="22">
        <f t="shared" si="1"/>
        <v>6448000000</v>
      </c>
      <c r="G20" s="22">
        <f t="shared" si="2"/>
        <v>5719376000</v>
      </c>
      <c r="H20" s="22">
        <f t="shared" si="0"/>
        <v>85119379237</v>
      </c>
      <c r="I20" s="129">
        <f>Table251418[[#This Row],[PAY PRICE]]/Table251418[[#This Row],[QTY]]</f>
        <v>357461000</v>
      </c>
      <c r="J20" s="129">
        <f>($F$5-Table251418[[#This Row],[$ Per Plane]])</f>
        <v>45539000</v>
      </c>
      <c r="K20" s="36">
        <f t="shared" si="3"/>
        <v>728624000</v>
      </c>
      <c r="L20" s="69">
        <f t="shared" si="4"/>
        <v>1.8080000000000001</v>
      </c>
    </row>
    <row r="21" spans="3:12" ht="15" x14ac:dyDescent="0.25">
      <c r="C21" s="547"/>
      <c r="D21" s="81">
        <v>17</v>
      </c>
      <c r="E21" s="75">
        <v>0.1166</v>
      </c>
      <c r="F21" s="22">
        <f t="shared" si="1"/>
        <v>6851000000</v>
      </c>
      <c r="G21" s="22">
        <f t="shared" si="2"/>
        <v>6052173400</v>
      </c>
      <c r="H21" s="22">
        <f t="shared" si="0"/>
        <v>84786581837</v>
      </c>
      <c r="I21" s="129">
        <f>Table251418[[#This Row],[PAY PRICE]]/Table251418[[#This Row],[QTY]]</f>
        <v>356010200</v>
      </c>
      <c r="J21" s="129">
        <f>($F$5-Table251418[[#This Row],[$ Per Plane]])</f>
        <v>46989800</v>
      </c>
      <c r="K21" s="36">
        <f t="shared" si="3"/>
        <v>798826600</v>
      </c>
      <c r="L21" s="69">
        <f t="shared" si="4"/>
        <v>1.9822</v>
      </c>
    </row>
    <row r="22" spans="3:12" ht="15" x14ac:dyDescent="0.25">
      <c r="C22" s="547"/>
      <c r="D22" s="81">
        <v>18</v>
      </c>
      <c r="E22" s="75">
        <v>0.1201</v>
      </c>
      <c r="F22" s="22">
        <f t="shared" si="1"/>
        <v>7254000000</v>
      </c>
      <c r="G22" s="22">
        <f t="shared" si="2"/>
        <v>6382794600</v>
      </c>
      <c r="H22" s="22">
        <f t="shared" si="0"/>
        <v>84455960637</v>
      </c>
      <c r="I22" s="129">
        <f>Table251418[[#This Row],[PAY PRICE]]/Table251418[[#This Row],[QTY]]</f>
        <v>354599700</v>
      </c>
      <c r="J22" s="129">
        <f>($F$5-Table251418[[#This Row],[$ Per Plane]])</f>
        <v>48400300</v>
      </c>
      <c r="K22" s="36">
        <f t="shared" si="3"/>
        <v>871205400</v>
      </c>
      <c r="L22" s="69">
        <f t="shared" si="4"/>
        <v>2.1617999999999999</v>
      </c>
    </row>
    <row r="23" spans="3:12" ht="15" x14ac:dyDescent="0.25">
      <c r="C23" s="547"/>
      <c r="D23" s="81">
        <v>19</v>
      </c>
      <c r="E23" s="75">
        <v>0.1225</v>
      </c>
      <c r="F23" s="22">
        <f t="shared" si="1"/>
        <v>7657000000</v>
      </c>
      <c r="G23" s="22">
        <f t="shared" si="2"/>
        <v>6719017500</v>
      </c>
      <c r="H23" s="22">
        <f t="shared" si="0"/>
        <v>84119737737</v>
      </c>
      <c r="I23" s="129">
        <f>Table251418[[#This Row],[PAY PRICE]]/Table251418[[#This Row],[QTY]]</f>
        <v>353632500</v>
      </c>
      <c r="J23" s="129">
        <f>($F$5-Table251418[[#This Row],[$ Per Plane]])</f>
        <v>49367500</v>
      </c>
      <c r="K23" s="36">
        <f t="shared" si="3"/>
        <v>937982500</v>
      </c>
      <c r="L23" s="69">
        <f t="shared" si="4"/>
        <v>2.3275000000000001</v>
      </c>
    </row>
    <row r="24" spans="3:12" ht="15" x14ac:dyDescent="0.25">
      <c r="C24" s="547"/>
      <c r="D24" s="81">
        <v>20</v>
      </c>
      <c r="E24" s="75">
        <v>0.1234</v>
      </c>
      <c r="F24" s="22">
        <f t="shared" si="1"/>
        <v>8060000000</v>
      </c>
      <c r="G24" s="22">
        <f t="shared" si="2"/>
        <v>7065396000</v>
      </c>
      <c r="H24" s="22">
        <f t="shared" si="0"/>
        <v>83773359237</v>
      </c>
      <c r="I24" s="129">
        <f>Table251418[[#This Row],[PAY PRICE]]/Table251418[[#This Row],[QTY]]</f>
        <v>353269800</v>
      </c>
      <c r="J24" s="129">
        <f>($F$5-Table251418[[#This Row],[$ Per Plane]])</f>
        <v>49730200</v>
      </c>
      <c r="K24" s="36">
        <f t="shared" si="3"/>
        <v>994604000</v>
      </c>
      <c r="L24" s="69">
        <f t="shared" si="4"/>
        <v>2.468</v>
      </c>
    </row>
    <row r="25" spans="3:12" ht="15.75" thickBot="1" x14ac:dyDescent="0.3">
      <c r="C25" s="548"/>
      <c r="D25" s="83">
        <v>21</v>
      </c>
      <c r="E25" s="76">
        <v>0.1242</v>
      </c>
      <c r="F25" s="19">
        <f t="shared" si="1"/>
        <v>8463000000</v>
      </c>
      <c r="G25" s="19">
        <f t="shared" si="2"/>
        <v>7411895400</v>
      </c>
      <c r="H25" s="19">
        <f t="shared" si="0"/>
        <v>83426859837</v>
      </c>
      <c r="I25" s="130">
        <f>Table251418[[#This Row],[PAY PRICE]]/Table251418[[#This Row],[QTY]]</f>
        <v>352947400</v>
      </c>
      <c r="J25" s="129">
        <f>($F$5-Table251418[[#This Row],[$ Per Plane]])</f>
        <v>50052600</v>
      </c>
      <c r="K25" s="23">
        <f t="shared" si="3"/>
        <v>1051104600</v>
      </c>
      <c r="L25" s="71">
        <f t="shared" si="4"/>
        <v>2.6082000000000001</v>
      </c>
    </row>
    <row r="26" spans="3:12" ht="15" x14ac:dyDescent="0.25">
      <c r="C26" s="546">
        <v>4</v>
      </c>
      <c r="D26" s="84">
        <v>22</v>
      </c>
      <c r="E26" s="74">
        <v>0.125</v>
      </c>
      <c r="F26" s="72">
        <f t="shared" si="1"/>
        <v>8866000000</v>
      </c>
      <c r="G26" s="72">
        <f t="shared" si="2"/>
        <v>7757750000</v>
      </c>
      <c r="H26" s="72">
        <f t="shared" si="0"/>
        <v>83081005237</v>
      </c>
      <c r="I26" s="128">
        <f>Table251418[[#This Row],[PAY PRICE]]/Table251418[[#This Row],[QTY]]</f>
        <v>352625000</v>
      </c>
      <c r="J26" s="129">
        <f>($F$5-Table251418[[#This Row],[$ Per Plane]])</f>
        <v>50375000</v>
      </c>
      <c r="K26" s="67">
        <f t="shared" si="3"/>
        <v>1108250000</v>
      </c>
      <c r="L26" s="68">
        <f t="shared" si="4"/>
        <v>2.75</v>
      </c>
    </row>
    <row r="27" spans="3:12" ht="15" x14ac:dyDescent="0.25">
      <c r="C27" s="547"/>
      <c r="D27" s="81">
        <v>23</v>
      </c>
      <c r="E27" s="75">
        <v>0.12570000000000001</v>
      </c>
      <c r="F27" s="22">
        <f t="shared" si="1"/>
        <v>9269000000</v>
      </c>
      <c r="G27" s="22">
        <f t="shared" si="2"/>
        <v>8103886700</v>
      </c>
      <c r="H27" s="22">
        <f t="shared" si="0"/>
        <v>82734868537</v>
      </c>
      <c r="I27" s="129">
        <f>Table251418[[#This Row],[PAY PRICE]]/Table251418[[#This Row],[QTY]]</f>
        <v>352342900</v>
      </c>
      <c r="J27" s="129">
        <f>($F$5-Table251418[[#This Row],[$ Per Plane]])</f>
        <v>50657100</v>
      </c>
      <c r="K27" s="36">
        <f t="shared" si="3"/>
        <v>1165113300</v>
      </c>
      <c r="L27" s="69">
        <f t="shared" si="4"/>
        <v>2.8910999999999998</v>
      </c>
    </row>
    <row r="28" spans="3:12" ht="15" x14ac:dyDescent="0.25">
      <c r="C28" s="547"/>
      <c r="D28" s="81">
        <v>24</v>
      </c>
      <c r="E28" s="75">
        <v>0.1263</v>
      </c>
      <c r="F28" s="22">
        <f t="shared" si="1"/>
        <v>9672000000</v>
      </c>
      <c r="G28" s="22">
        <f t="shared" si="2"/>
        <v>8450426400</v>
      </c>
      <c r="H28" s="22">
        <f t="shared" si="0"/>
        <v>82388328837</v>
      </c>
      <c r="I28" s="129">
        <f>Table251418[[#This Row],[PAY PRICE]]/Table251418[[#This Row],[QTY]]</f>
        <v>352101100</v>
      </c>
      <c r="J28" s="129">
        <f>($F$5-Table251418[[#This Row],[$ Per Plane]])</f>
        <v>50898900</v>
      </c>
      <c r="K28" s="36">
        <f t="shared" si="3"/>
        <v>1221573600</v>
      </c>
      <c r="L28" s="69">
        <f t="shared" si="4"/>
        <v>3.0312000000000001</v>
      </c>
    </row>
    <row r="29" spans="3:12" ht="15" x14ac:dyDescent="0.25">
      <c r="C29" s="547"/>
      <c r="D29" s="81">
        <v>25</v>
      </c>
      <c r="E29" s="75">
        <v>0.12690000000000001</v>
      </c>
      <c r="F29" s="22">
        <f t="shared" si="1"/>
        <v>10075000000</v>
      </c>
      <c r="G29" s="22">
        <f t="shared" si="2"/>
        <v>8796482500</v>
      </c>
      <c r="H29" s="22">
        <f t="shared" si="0"/>
        <v>82042272737</v>
      </c>
      <c r="I29" s="129">
        <f>Table251418[[#This Row],[PAY PRICE]]/Table251418[[#This Row],[QTY]]</f>
        <v>351859300</v>
      </c>
      <c r="J29" s="129">
        <f>($F$5-Table251418[[#This Row],[$ Per Plane]])</f>
        <v>51140700</v>
      </c>
      <c r="K29" s="36">
        <f t="shared" si="3"/>
        <v>1278517500</v>
      </c>
      <c r="L29" s="69">
        <f t="shared" si="4"/>
        <v>3.1724999999999999</v>
      </c>
    </row>
    <row r="30" spans="3:12" ht="15" x14ac:dyDescent="0.25">
      <c r="C30" s="547"/>
      <c r="D30" s="81">
        <v>26</v>
      </c>
      <c r="E30" s="75">
        <v>0.1275</v>
      </c>
      <c r="F30" s="22">
        <f t="shared" si="1"/>
        <v>10478000000</v>
      </c>
      <c r="G30" s="22">
        <f t="shared" si="2"/>
        <v>9142055000</v>
      </c>
      <c r="H30" s="22">
        <f t="shared" si="0"/>
        <v>81696700237</v>
      </c>
      <c r="I30" s="129">
        <f>Table251418[[#This Row],[PAY PRICE]]/Table251418[[#This Row],[QTY]]</f>
        <v>351617500</v>
      </c>
      <c r="J30" s="129">
        <f>($F$5-Table251418[[#This Row],[$ Per Plane]])</f>
        <v>51382500</v>
      </c>
      <c r="K30" s="36">
        <f t="shared" si="3"/>
        <v>1335945000</v>
      </c>
      <c r="L30" s="69">
        <f t="shared" si="4"/>
        <v>3.3149999999999999</v>
      </c>
    </row>
    <row r="31" spans="3:12" ht="15" x14ac:dyDescent="0.25">
      <c r="C31" s="547"/>
      <c r="D31" s="81">
        <v>27</v>
      </c>
      <c r="E31" s="75">
        <v>0.12820000000000001</v>
      </c>
      <c r="F31" s="22">
        <f t="shared" si="1"/>
        <v>10881000000</v>
      </c>
      <c r="G31" s="22">
        <f t="shared" si="2"/>
        <v>9486055800</v>
      </c>
      <c r="H31" s="22">
        <f t="shared" si="0"/>
        <v>81352699437</v>
      </c>
      <c r="I31" s="129">
        <f>Table251418[[#This Row],[PAY PRICE]]/Table251418[[#This Row],[QTY]]</f>
        <v>351335400</v>
      </c>
      <c r="J31" s="129">
        <f>($F$5-Table251418[[#This Row],[$ Per Plane]])</f>
        <v>51664600</v>
      </c>
      <c r="K31" s="36">
        <f t="shared" si="3"/>
        <v>1394944200</v>
      </c>
      <c r="L31" s="69">
        <f t="shared" si="4"/>
        <v>3.4613999999999998</v>
      </c>
    </row>
    <row r="32" spans="3:12" ht="15.75" thickBot="1" x14ac:dyDescent="0.3">
      <c r="C32" s="548"/>
      <c r="D32" s="83">
        <v>28</v>
      </c>
      <c r="E32" s="76">
        <v>0.1288</v>
      </c>
      <c r="F32" s="19">
        <f t="shared" si="1"/>
        <v>11284000000</v>
      </c>
      <c r="G32" s="19">
        <f t="shared" si="2"/>
        <v>9830620800</v>
      </c>
      <c r="H32" s="19">
        <f t="shared" si="0"/>
        <v>81008134437</v>
      </c>
      <c r="I32" s="131">
        <f>Table251418[[#This Row],[PAY PRICE]]/Table251418[[#This Row],[QTY]]</f>
        <v>351093600</v>
      </c>
      <c r="J32" s="129">
        <f>($F$5-Table251418[[#This Row],[$ Per Plane]])</f>
        <v>51906400</v>
      </c>
      <c r="K32" s="18">
        <f t="shared" si="3"/>
        <v>1453379200</v>
      </c>
      <c r="L32" s="71">
        <f t="shared" si="4"/>
        <v>3.6063999999999998</v>
      </c>
    </row>
    <row r="33" spans="3:12" ht="15" x14ac:dyDescent="0.25">
      <c r="C33" s="546">
        <v>5</v>
      </c>
      <c r="D33" s="84">
        <v>29</v>
      </c>
      <c r="E33" s="74">
        <v>0.12939999999999999</v>
      </c>
      <c r="F33" s="72">
        <f t="shared" si="1"/>
        <v>11687000000</v>
      </c>
      <c r="G33" s="72">
        <f t="shared" si="2"/>
        <v>10174702200</v>
      </c>
      <c r="H33" s="72">
        <f t="shared" si="0"/>
        <v>80664053037</v>
      </c>
      <c r="I33" s="128">
        <f>Table251418[[#This Row],[PAY PRICE]]/Table251418[[#This Row],[QTY]]</f>
        <v>350851800</v>
      </c>
      <c r="J33" s="129">
        <f>($F$5-Table251418[[#This Row],[$ Per Plane]])</f>
        <v>52148200</v>
      </c>
      <c r="K33" s="67">
        <f t="shared" si="3"/>
        <v>1512297800</v>
      </c>
      <c r="L33" s="68">
        <f t="shared" si="4"/>
        <v>3.7526000000000002</v>
      </c>
    </row>
    <row r="34" spans="3:12" ht="15" x14ac:dyDescent="0.25">
      <c r="C34" s="547"/>
      <c r="D34" s="81">
        <v>30</v>
      </c>
      <c r="E34" s="75">
        <v>0.13</v>
      </c>
      <c r="F34" s="22">
        <f t="shared" si="1"/>
        <v>12090000000</v>
      </c>
      <c r="G34" s="22">
        <f t="shared" si="2"/>
        <v>10518300000</v>
      </c>
      <c r="H34" s="22">
        <f t="shared" si="0"/>
        <v>80320455237</v>
      </c>
      <c r="I34" s="129">
        <f>Table251418[[#This Row],[PAY PRICE]]/Table251418[[#This Row],[QTY]]</f>
        <v>350610000</v>
      </c>
      <c r="J34" s="129">
        <f>($F$5-Table251418[[#This Row],[$ Per Plane]])</f>
        <v>52390000</v>
      </c>
      <c r="K34" s="36">
        <f t="shared" si="3"/>
        <v>1571700000</v>
      </c>
      <c r="L34" s="69">
        <f t="shared" si="4"/>
        <v>3.9</v>
      </c>
    </row>
    <row r="35" spans="3:12" ht="15" x14ac:dyDescent="0.25">
      <c r="C35" s="547"/>
      <c r="D35" s="81">
        <v>31</v>
      </c>
      <c r="E35" s="75">
        <v>0.13</v>
      </c>
      <c r="F35" s="22">
        <f t="shared" si="1"/>
        <v>12493000000</v>
      </c>
      <c r="G35" s="22">
        <f t="shared" si="2"/>
        <v>10868910000</v>
      </c>
      <c r="H35" s="22">
        <f t="shared" si="0"/>
        <v>79969845237</v>
      </c>
      <c r="I35" s="129">
        <f>Table251418[[#This Row],[PAY PRICE]]/Table251418[[#This Row],[QTY]]</f>
        <v>350610000</v>
      </c>
      <c r="J35" s="129">
        <f>($F$5-Table251418[[#This Row],[$ Per Plane]])</f>
        <v>52390000</v>
      </c>
      <c r="K35" s="36">
        <f t="shared" si="3"/>
        <v>1624090000</v>
      </c>
      <c r="L35" s="69">
        <f t="shared" si="4"/>
        <v>4.03</v>
      </c>
    </row>
    <row r="36" spans="3:12" ht="15" x14ac:dyDescent="0.25">
      <c r="C36" s="547"/>
      <c r="D36" s="81">
        <v>32</v>
      </c>
      <c r="E36" s="75">
        <v>0.13</v>
      </c>
      <c r="F36" s="22">
        <f t="shared" si="1"/>
        <v>12896000000</v>
      </c>
      <c r="G36" s="22">
        <f t="shared" si="2"/>
        <v>11219520000</v>
      </c>
      <c r="H36" s="22">
        <f t="shared" si="0"/>
        <v>79619235237</v>
      </c>
      <c r="I36" s="129">
        <f>Table251418[[#This Row],[PAY PRICE]]/Table251418[[#This Row],[QTY]]</f>
        <v>350610000</v>
      </c>
      <c r="J36" s="129">
        <f>($F$5-Table251418[[#This Row],[$ Per Plane]])</f>
        <v>52390000</v>
      </c>
      <c r="K36" s="36">
        <f t="shared" si="3"/>
        <v>1676480000</v>
      </c>
      <c r="L36" s="69">
        <f t="shared" si="4"/>
        <v>4.16</v>
      </c>
    </row>
    <row r="37" spans="3:12" ht="15" x14ac:dyDescent="0.25">
      <c r="C37" s="547"/>
      <c r="D37" s="81">
        <v>33</v>
      </c>
      <c r="E37" s="75">
        <v>0.13</v>
      </c>
      <c r="F37" s="22">
        <f t="shared" si="1"/>
        <v>13299000000</v>
      </c>
      <c r="G37" s="22">
        <f t="shared" si="2"/>
        <v>11570130000</v>
      </c>
      <c r="H37" s="22">
        <f t="shared" si="0"/>
        <v>79268625237</v>
      </c>
      <c r="I37" s="129">
        <f>Table251418[[#This Row],[PAY PRICE]]/Table251418[[#This Row],[QTY]]</f>
        <v>350610000</v>
      </c>
      <c r="J37" s="129">
        <f>($F$5-Table251418[[#This Row],[$ Per Plane]])</f>
        <v>52390000</v>
      </c>
      <c r="K37" s="36">
        <f t="shared" si="3"/>
        <v>1728870000</v>
      </c>
      <c r="L37" s="69">
        <f t="shared" si="4"/>
        <v>4.29</v>
      </c>
    </row>
    <row r="38" spans="3:12" ht="15" x14ac:dyDescent="0.25">
      <c r="C38" s="547"/>
      <c r="D38" s="81">
        <v>34</v>
      </c>
      <c r="E38" s="75">
        <v>0.13</v>
      </c>
      <c r="F38" s="22">
        <f t="shared" si="1"/>
        <v>13702000000</v>
      </c>
      <c r="G38" s="22">
        <f t="shared" si="2"/>
        <v>11920740000</v>
      </c>
      <c r="H38" s="22">
        <f t="shared" si="0"/>
        <v>78918015237</v>
      </c>
      <c r="I38" s="129">
        <f>Table251418[[#This Row],[PAY PRICE]]/Table251418[[#This Row],[QTY]]</f>
        <v>350610000</v>
      </c>
      <c r="J38" s="129">
        <f>($F$5-Table251418[[#This Row],[$ Per Plane]])</f>
        <v>52390000</v>
      </c>
      <c r="K38" s="36">
        <f t="shared" si="3"/>
        <v>1781260000</v>
      </c>
      <c r="L38" s="69">
        <f t="shared" si="4"/>
        <v>4.42</v>
      </c>
    </row>
    <row r="39" spans="3:12" ht="15.75" thickBot="1" x14ac:dyDescent="0.3">
      <c r="C39" s="548"/>
      <c r="D39" s="83">
        <v>35</v>
      </c>
      <c r="E39" s="75">
        <v>0.13</v>
      </c>
      <c r="F39" s="19">
        <f t="shared" si="1"/>
        <v>14105000000</v>
      </c>
      <c r="G39" s="19">
        <f t="shared" si="2"/>
        <v>12271350000</v>
      </c>
      <c r="H39" s="19">
        <f t="shared" si="0"/>
        <v>78567405237</v>
      </c>
      <c r="I39" s="131">
        <f>Table251418[[#This Row],[PAY PRICE]]/Table251418[[#This Row],[QTY]]</f>
        <v>350610000</v>
      </c>
      <c r="J39" s="129">
        <f>($F$5-Table251418[[#This Row],[$ Per Plane]])</f>
        <v>52390000</v>
      </c>
      <c r="K39" s="18">
        <f t="shared" si="3"/>
        <v>1833650000</v>
      </c>
      <c r="L39" s="71">
        <f t="shared" si="4"/>
        <v>4.55</v>
      </c>
    </row>
    <row r="40" spans="3:12" ht="15" x14ac:dyDescent="0.25">
      <c r="C40" s="546">
        <v>6</v>
      </c>
      <c r="D40" s="84">
        <v>36</v>
      </c>
      <c r="E40" s="75">
        <v>0.13</v>
      </c>
      <c r="F40" s="72">
        <f t="shared" si="1"/>
        <v>14508000000</v>
      </c>
      <c r="G40" s="72">
        <f t="shared" si="2"/>
        <v>12621960000</v>
      </c>
      <c r="H40" s="72">
        <f t="shared" si="0"/>
        <v>78216795237</v>
      </c>
      <c r="I40" s="128">
        <f>Table251418[[#This Row],[PAY PRICE]]/Table251418[[#This Row],[QTY]]</f>
        <v>350610000</v>
      </c>
      <c r="J40" s="129">
        <f>($F$5-Table251418[[#This Row],[$ Per Plane]])</f>
        <v>52390000</v>
      </c>
      <c r="K40" s="67">
        <f t="shared" si="3"/>
        <v>1886040000</v>
      </c>
      <c r="L40" s="68">
        <f t="shared" si="4"/>
        <v>4.68</v>
      </c>
    </row>
    <row r="41" spans="3:12" ht="15" x14ac:dyDescent="0.25">
      <c r="C41" s="547"/>
      <c r="D41" s="81">
        <v>37</v>
      </c>
      <c r="E41" s="75">
        <v>0.13</v>
      </c>
      <c r="F41" s="22">
        <f t="shared" si="1"/>
        <v>14911000000</v>
      </c>
      <c r="G41" s="22">
        <f t="shared" si="2"/>
        <v>12972570000</v>
      </c>
      <c r="H41" s="22">
        <f t="shared" si="0"/>
        <v>77866185237</v>
      </c>
      <c r="I41" s="129">
        <f>Table251418[[#This Row],[PAY PRICE]]/Table251418[[#This Row],[QTY]]</f>
        <v>350610000</v>
      </c>
      <c r="J41" s="129">
        <f>($F$5-Table251418[[#This Row],[$ Per Plane]])</f>
        <v>52390000</v>
      </c>
      <c r="K41" s="36">
        <f t="shared" si="3"/>
        <v>1938430000</v>
      </c>
      <c r="L41" s="69">
        <f t="shared" si="4"/>
        <v>4.8099999999999996</v>
      </c>
    </row>
    <row r="42" spans="3:12" ht="15" x14ac:dyDescent="0.25">
      <c r="C42" s="547"/>
      <c r="D42" s="81">
        <v>38</v>
      </c>
      <c r="E42" s="75">
        <v>0.13</v>
      </c>
      <c r="F42" s="22">
        <f t="shared" si="1"/>
        <v>15314000000</v>
      </c>
      <c r="G42" s="22">
        <f t="shared" si="2"/>
        <v>13323180000</v>
      </c>
      <c r="H42" s="22">
        <f t="shared" si="0"/>
        <v>77515575237</v>
      </c>
      <c r="I42" s="129">
        <f>Table251418[[#This Row],[PAY PRICE]]/Table251418[[#This Row],[QTY]]</f>
        <v>350610000</v>
      </c>
      <c r="J42" s="129">
        <f>($F$5-Table251418[[#This Row],[$ Per Plane]])</f>
        <v>52390000</v>
      </c>
      <c r="K42" s="36">
        <f t="shared" si="3"/>
        <v>1990820000</v>
      </c>
      <c r="L42" s="69">
        <f t="shared" si="4"/>
        <v>4.9400000000000004</v>
      </c>
    </row>
    <row r="43" spans="3:12" ht="15" x14ac:dyDescent="0.25">
      <c r="C43" s="547"/>
      <c r="D43" s="81">
        <v>39</v>
      </c>
      <c r="E43" s="75">
        <v>0.13</v>
      </c>
      <c r="F43" s="22">
        <f t="shared" si="1"/>
        <v>15717000000</v>
      </c>
      <c r="G43" s="22">
        <f t="shared" si="2"/>
        <v>13673790000</v>
      </c>
      <c r="H43" s="22">
        <f t="shared" si="0"/>
        <v>77164965237</v>
      </c>
      <c r="I43" s="129">
        <f>Table251418[[#This Row],[PAY PRICE]]/Table251418[[#This Row],[QTY]]</f>
        <v>350610000</v>
      </c>
      <c r="J43" s="129">
        <f>($F$5-Table251418[[#This Row],[$ Per Plane]])</f>
        <v>52390000</v>
      </c>
      <c r="K43" s="36">
        <f t="shared" si="3"/>
        <v>2043210000</v>
      </c>
      <c r="L43" s="69">
        <f t="shared" si="4"/>
        <v>5.07</v>
      </c>
    </row>
    <row r="44" spans="3:12" ht="15" x14ac:dyDescent="0.25">
      <c r="C44" s="547"/>
      <c r="D44" s="81">
        <v>40</v>
      </c>
      <c r="E44" s="75">
        <v>0.13</v>
      </c>
      <c r="F44" s="22">
        <f t="shared" si="1"/>
        <v>16120000000</v>
      </c>
      <c r="G44" s="22">
        <f t="shared" si="2"/>
        <v>14024400000</v>
      </c>
      <c r="H44" s="22">
        <f t="shared" si="0"/>
        <v>76814355237</v>
      </c>
      <c r="I44" s="129">
        <f>Table251418[[#This Row],[PAY PRICE]]/Table251418[[#This Row],[QTY]]</f>
        <v>350610000</v>
      </c>
      <c r="J44" s="129">
        <f>($F$5-Table251418[[#This Row],[$ Per Plane]])</f>
        <v>52390000</v>
      </c>
      <c r="K44" s="36">
        <f t="shared" si="3"/>
        <v>2095600000</v>
      </c>
      <c r="L44" s="69">
        <f t="shared" si="4"/>
        <v>5.2</v>
      </c>
    </row>
    <row r="45" spans="3:12" ht="15" x14ac:dyDescent="0.25">
      <c r="C45" s="547"/>
      <c r="D45" s="81">
        <v>41</v>
      </c>
      <c r="E45" s="75">
        <v>0.13</v>
      </c>
      <c r="F45" s="22">
        <f t="shared" si="1"/>
        <v>16523000000</v>
      </c>
      <c r="G45" s="22">
        <f t="shared" si="2"/>
        <v>14375010000</v>
      </c>
      <c r="H45" s="22">
        <f t="shared" si="0"/>
        <v>76463745237</v>
      </c>
      <c r="I45" s="129">
        <f>Table251418[[#This Row],[PAY PRICE]]/Table251418[[#This Row],[QTY]]</f>
        <v>350610000</v>
      </c>
      <c r="J45" s="129">
        <f>($F$5-Table251418[[#This Row],[$ Per Plane]])</f>
        <v>52390000</v>
      </c>
      <c r="K45" s="36">
        <f t="shared" si="3"/>
        <v>2147990000</v>
      </c>
      <c r="L45" s="69">
        <f t="shared" si="4"/>
        <v>5.33</v>
      </c>
    </row>
    <row r="46" spans="3:12" ht="15.75" thickBot="1" x14ac:dyDescent="0.3">
      <c r="C46" s="548"/>
      <c r="D46" s="83">
        <v>42</v>
      </c>
      <c r="E46" s="75">
        <v>0.13</v>
      </c>
      <c r="F46" s="19">
        <f t="shared" si="1"/>
        <v>16926000000</v>
      </c>
      <c r="G46" s="19">
        <f t="shared" si="2"/>
        <v>14725620000</v>
      </c>
      <c r="H46" s="19">
        <f t="shared" si="0"/>
        <v>76113135237</v>
      </c>
      <c r="I46" s="131">
        <f>Table251418[[#This Row],[PAY PRICE]]/Table251418[[#This Row],[QTY]]</f>
        <v>350610000</v>
      </c>
      <c r="J46" s="129">
        <f>($F$5-Table251418[[#This Row],[$ Per Plane]])</f>
        <v>52390000</v>
      </c>
      <c r="K46" s="18">
        <f t="shared" si="3"/>
        <v>2200380000</v>
      </c>
      <c r="L46" s="71">
        <f t="shared" si="4"/>
        <v>5.46</v>
      </c>
    </row>
    <row r="47" spans="3:12" ht="15" x14ac:dyDescent="0.25">
      <c r="C47" s="546">
        <v>7</v>
      </c>
      <c r="D47" s="84">
        <v>43</v>
      </c>
      <c r="E47" s="75">
        <v>0.13</v>
      </c>
      <c r="F47" s="72">
        <f t="shared" si="1"/>
        <v>17329000000</v>
      </c>
      <c r="G47" s="72">
        <f t="shared" si="2"/>
        <v>15076230000</v>
      </c>
      <c r="H47" s="72">
        <f t="shared" si="0"/>
        <v>75762525237</v>
      </c>
      <c r="I47" s="128">
        <f>Table251418[[#This Row],[PAY PRICE]]/Table251418[[#This Row],[QTY]]</f>
        <v>350610000</v>
      </c>
      <c r="J47" s="129">
        <f>($F$5-Table251418[[#This Row],[$ Per Plane]])</f>
        <v>52390000</v>
      </c>
      <c r="K47" s="67">
        <f t="shared" si="3"/>
        <v>2252770000</v>
      </c>
      <c r="L47" s="68">
        <f t="shared" si="4"/>
        <v>5.59</v>
      </c>
    </row>
    <row r="48" spans="3:12" ht="15" x14ac:dyDescent="0.25">
      <c r="C48" s="547"/>
      <c r="D48" s="81">
        <v>44</v>
      </c>
      <c r="E48" s="75">
        <v>0.13</v>
      </c>
      <c r="F48" s="22">
        <f t="shared" si="1"/>
        <v>17732000000</v>
      </c>
      <c r="G48" s="22">
        <f t="shared" si="2"/>
        <v>15426840000</v>
      </c>
      <c r="H48" s="22">
        <f t="shared" si="0"/>
        <v>75411915237</v>
      </c>
      <c r="I48" s="129">
        <f>Table251418[[#This Row],[PAY PRICE]]/Table251418[[#This Row],[QTY]]</f>
        <v>350610000</v>
      </c>
      <c r="J48" s="129">
        <f>($F$5-Table251418[[#This Row],[$ Per Plane]])</f>
        <v>52390000</v>
      </c>
      <c r="K48" s="36">
        <f t="shared" si="3"/>
        <v>2305160000</v>
      </c>
      <c r="L48" s="69">
        <f t="shared" si="4"/>
        <v>5.72</v>
      </c>
    </row>
    <row r="49" spans="3:12" ht="15" x14ac:dyDescent="0.25">
      <c r="C49" s="547"/>
      <c r="D49" s="81">
        <v>45</v>
      </c>
      <c r="E49" s="75">
        <v>0.13</v>
      </c>
      <c r="F49" s="22">
        <f t="shared" si="1"/>
        <v>18135000000</v>
      </c>
      <c r="G49" s="22">
        <f t="shared" si="2"/>
        <v>15777450000</v>
      </c>
      <c r="H49" s="22">
        <f t="shared" si="0"/>
        <v>75061305237</v>
      </c>
      <c r="I49" s="129">
        <f>Table251418[[#This Row],[PAY PRICE]]/Table251418[[#This Row],[QTY]]</f>
        <v>350610000</v>
      </c>
      <c r="J49" s="129">
        <f>($F$5-Table251418[[#This Row],[$ Per Plane]])</f>
        <v>52390000</v>
      </c>
      <c r="K49" s="36">
        <f t="shared" si="3"/>
        <v>2357550000</v>
      </c>
      <c r="L49" s="69">
        <f t="shared" si="4"/>
        <v>5.85</v>
      </c>
    </row>
    <row r="50" spans="3:12" ht="15" x14ac:dyDescent="0.25">
      <c r="C50" s="547"/>
      <c r="D50" s="81">
        <v>46</v>
      </c>
      <c r="E50" s="75">
        <v>0.13</v>
      </c>
      <c r="F50" s="22">
        <f t="shared" si="1"/>
        <v>18538000000</v>
      </c>
      <c r="G50" s="22">
        <f t="shared" si="2"/>
        <v>16128060000</v>
      </c>
      <c r="H50" s="22">
        <f t="shared" si="0"/>
        <v>74710695237</v>
      </c>
      <c r="I50" s="129">
        <f>Table251418[[#This Row],[PAY PRICE]]/Table251418[[#This Row],[QTY]]</f>
        <v>350610000</v>
      </c>
      <c r="J50" s="129">
        <f>($F$5-Table251418[[#This Row],[$ Per Plane]])</f>
        <v>52390000</v>
      </c>
      <c r="K50" s="36">
        <f t="shared" si="3"/>
        <v>2409940000</v>
      </c>
      <c r="L50" s="69">
        <f t="shared" si="4"/>
        <v>5.98</v>
      </c>
    </row>
    <row r="51" spans="3:12" ht="15" x14ac:dyDescent="0.25">
      <c r="C51" s="547"/>
      <c r="D51" s="81">
        <v>47</v>
      </c>
      <c r="E51" s="75">
        <v>0.13</v>
      </c>
      <c r="F51" s="22">
        <f t="shared" si="1"/>
        <v>18941000000</v>
      </c>
      <c r="G51" s="22">
        <f t="shared" si="2"/>
        <v>16478670000</v>
      </c>
      <c r="H51" s="22">
        <f t="shared" si="0"/>
        <v>74360085237</v>
      </c>
      <c r="I51" s="129">
        <f>Table251418[[#This Row],[PAY PRICE]]/Table251418[[#This Row],[QTY]]</f>
        <v>350610000</v>
      </c>
      <c r="J51" s="129">
        <f>($F$5-Table251418[[#This Row],[$ Per Plane]])</f>
        <v>52390000</v>
      </c>
      <c r="K51" s="36">
        <f t="shared" si="3"/>
        <v>2462330000</v>
      </c>
      <c r="L51" s="69">
        <f t="shared" si="4"/>
        <v>6.11</v>
      </c>
    </row>
    <row r="52" spans="3:12" ht="15" x14ac:dyDescent="0.25">
      <c r="C52" s="547"/>
      <c r="D52" s="81">
        <v>48</v>
      </c>
      <c r="E52" s="75">
        <v>0.13</v>
      </c>
      <c r="F52" s="22">
        <f t="shared" si="1"/>
        <v>19344000000</v>
      </c>
      <c r="G52" s="22">
        <f t="shared" si="2"/>
        <v>16829280000</v>
      </c>
      <c r="H52" s="22">
        <f t="shared" si="0"/>
        <v>74009475237</v>
      </c>
      <c r="I52" s="129">
        <f>Table251418[[#This Row],[PAY PRICE]]/Table251418[[#This Row],[QTY]]</f>
        <v>350610000</v>
      </c>
      <c r="J52" s="129">
        <f>($F$5-Table251418[[#This Row],[$ Per Plane]])</f>
        <v>52390000</v>
      </c>
      <c r="K52" s="36">
        <f t="shared" si="3"/>
        <v>2514720000</v>
      </c>
      <c r="L52" s="69">
        <f t="shared" si="4"/>
        <v>6.24</v>
      </c>
    </row>
    <row r="53" spans="3:12" ht="15.75" thickBot="1" x14ac:dyDescent="0.3">
      <c r="C53" s="548"/>
      <c r="D53" s="83">
        <v>49</v>
      </c>
      <c r="E53" s="75">
        <v>0.13</v>
      </c>
      <c r="F53" s="19">
        <f t="shared" si="1"/>
        <v>19747000000</v>
      </c>
      <c r="G53" s="19">
        <f t="shared" si="2"/>
        <v>17179890000</v>
      </c>
      <c r="H53" s="19">
        <f>$H$2-G53</f>
        <v>73658865237</v>
      </c>
      <c r="I53" s="131">
        <f>Table251418[[#This Row],[PAY PRICE]]/Table251418[[#This Row],[QTY]]</f>
        <v>350610000</v>
      </c>
      <c r="J53" s="129">
        <f>($F$5-Table251418[[#This Row],[$ Per Plane]])</f>
        <v>52390000</v>
      </c>
      <c r="K53" s="18">
        <f t="shared" si="3"/>
        <v>2567110000</v>
      </c>
      <c r="L53" s="71">
        <f t="shared" si="4"/>
        <v>6.37</v>
      </c>
    </row>
    <row r="54" spans="3:12" ht="15" x14ac:dyDescent="0.25">
      <c r="C54" s="546">
        <v>8</v>
      </c>
      <c r="D54" s="84">
        <v>50</v>
      </c>
      <c r="E54" s="75">
        <v>0.13</v>
      </c>
      <c r="F54" s="72">
        <f t="shared" si="1"/>
        <v>20150000000</v>
      </c>
      <c r="G54" s="72">
        <f t="shared" si="2"/>
        <v>17530500000</v>
      </c>
      <c r="H54" s="72">
        <f t="shared" si="0"/>
        <v>73308255237</v>
      </c>
      <c r="I54" s="128">
        <f>Table251418[[#This Row],[PAY PRICE]]/Table251418[[#This Row],[QTY]]</f>
        <v>350610000</v>
      </c>
      <c r="J54" s="129">
        <f>($F$5-Table251418[[#This Row],[$ Per Plane]])</f>
        <v>52390000</v>
      </c>
      <c r="K54" s="67">
        <f t="shared" si="3"/>
        <v>2619500000</v>
      </c>
      <c r="L54" s="68">
        <f t="shared" si="4"/>
        <v>6.5</v>
      </c>
    </row>
    <row r="55" spans="3:12" ht="15" x14ac:dyDescent="0.25">
      <c r="C55" s="547"/>
      <c r="D55" s="81">
        <v>51</v>
      </c>
      <c r="E55" s="75">
        <v>0.13</v>
      </c>
      <c r="F55" s="22">
        <f t="shared" si="1"/>
        <v>20553000000</v>
      </c>
      <c r="G55" s="22">
        <f t="shared" si="2"/>
        <v>17881110000</v>
      </c>
      <c r="H55" s="22">
        <f t="shared" si="0"/>
        <v>72957645237</v>
      </c>
      <c r="I55" s="129">
        <f>Table251418[[#This Row],[PAY PRICE]]/Table251418[[#This Row],[QTY]]</f>
        <v>350610000</v>
      </c>
      <c r="J55" s="129">
        <f>($F$5-Table251418[[#This Row],[$ Per Plane]])</f>
        <v>52390000</v>
      </c>
      <c r="K55" s="36">
        <f t="shared" si="3"/>
        <v>2671890000</v>
      </c>
      <c r="L55" s="69">
        <f t="shared" si="4"/>
        <v>6.63</v>
      </c>
    </row>
    <row r="56" spans="3:12" ht="15" x14ac:dyDescent="0.25">
      <c r="C56" s="547"/>
      <c r="D56" s="81">
        <v>52</v>
      </c>
      <c r="E56" s="75">
        <v>0.13</v>
      </c>
      <c r="F56" s="22">
        <f t="shared" si="1"/>
        <v>20956000000</v>
      </c>
      <c r="G56" s="22">
        <f t="shared" si="2"/>
        <v>18231720000</v>
      </c>
      <c r="H56" s="22">
        <f t="shared" si="0"/>
        <v>72607035237</v>
      </c>
      <c r="I56" s="129">
        <f>Table251418[[#This Row],[PAY PRICE]]/Table251418[[#This Row],[QTY]]</f>
        <v>350610000</v>
      </c>
      <c r="J56" s="129">
        <f>($F$5-Table251418[[#This Row],[$ Per Plane]])</f>
        <v>52390000</v>
      </c>
      <c r="K56" s="36">
        <f t="shared" si="3"/>
        <v>2724280000</v>
      </c>
      <c r="L56" s="69">
        <f t="shared" si="4"/>
        <v>6.76</v>
      </c>
    </row>
    <row r="57" spans="3:12" ht="15" x14ac:dyDescent="0.25">
      <c r="C57" s="547"/>
      <c r="D57" s="81">
        <v>53</v>
      </c>
      <c r="E57" s="75">
        <v>0.13</v>
      </c>
      <c r="F57" s="22">
        <f t="shared" si="1"/>
        <v>21359000000</v>
      </c>
      <c r="G57" s="22">
        <f t="shared" si="2"/>
        <v>18582330000</v>
      </c>
      <c r="H57" s="22">
        <f t="shared" si="0"/>
        <v>72256425237</v>
      </c>
      <c r="I57" s="129">
        <f>Table251418[[#This Row],[PAY PRICE]]/Table251418[[#This Row],[QTY]]</f>
        <v>350610000</v>
      </c>
      <c r="J57" s="129">
        <f>($F$5-Table251418[[#This Row],[$ Per Plane]])</f>
        <v>52390000</v>
      </c>
      <c r="K57" s="36">
        <f t="shared" si="3"/>
        <v>2776670000</v>
      </c>
      <c r="L57" s="69">
        <f t="shared" si="4"/>
        <v>6.89</v>
      </c>
    </row>
    <row r="58" spans="3:12" ht="15" x14ac:dyDescent="0.25">
      <c r="C58" s="547"/>
      <c r="D58" s="81">
        <v>54</v>
      </c>
      <c r="E58" s="75">
        <v>0.13</v>
      </c>
      <c r="F58" s="22">
        <f t="shared" si="1"/>
        <v>21762000000</v>
      </c>
      <c r="G58" s="22">
        <f t="shared" si="2"/>
        <v>18932940000</v>
      </c>
      <c r="H58" s="22">
        <f t="shared" si="0"/>
        <v>71905815237</v>
      </c>
      <c r="I58" s="129">
        <f>Table251418[[#This Row],[PAY PRICE]]/Table251418[[#This Row],[QTY]]</f>
        <v>350610000</v>
      </c>
      <c r="J58" s="129">
        <f>($F$5-Table251418[[#This Row],[$ Per Plane]])</f>
        <v>52390000</v>
      </c>
      <c r="K58" s="36">
        <f t="shared" si="3"/>
        <v>2829060000</v>
      </c>
      <c r="L58" s="69">
        <f t="shared" si="4"/>
        <v>7.02</v>
      </c>
    </row>
    <row r="59" spans="3:12" ht="15" x14ac:dyDescent="0.25">
      <c r="C59" s="547"/>
      <c r="D59" s="81">
        <v>55</v>
      </c>
      <c r="E59" s="75">
        <v>0.13</v>
      </c>
      <c r="F59" s="22">
        <f t="shared" si="1"/>
        <v>22165000000</v>
      </c>
      <c r="G59" s="22">
        <f t="shared" si="2"/>
        <v>19283550000</v>
      </c>
      <c r="H59" s="22">
        <f t="shared" si="0"/>
        <v>71555205237</v>
      </c>
      <c r="I59" s="129">
        <f>Table251418[[#This Row],[PAY PRICE]]/Table251418[[#This Row],[QTY]]</f>
        <v>350610000</v>
      </c>
      <c r="J59" s="129">
        <f>($F$5-Table251418[[#This Row],[$ Per Plane]])</f>
        <v>52390000</v>
      </c>
      <c r="K59" s="36">
        <f t="shared" si="3"/>
        <v>2881450000</v>
      </c>
      <c r="L59" s="69">
        <f t="shared" si="4"/>
        <v>7.15</v>
      </c>
    </row>
    <row r="60" spans="3:12" ht="15.75" thickBot="1" x14ac:dyDescent="0.3">
      <c r="C60" s="548"/>
      <c r="D60" s="83">
        <v>56</v>
      </c>
      <c r="E60" s="75">
        <v>0.13</v>
      </c>
      <c r="F60" s="19">
        <f t="shared" si="1"/>
        <v>22568000000</v>
      </c>
      <c r="G60" s="19">
        <f t="shared" si="2"/>
        <v>19634160000</v>
      </c>
      <c r="H60" s="19">
        <f t="shared" si="0"/>
        <v>71204595237</v>
      </c>
      <c r="I60" s="131">
        <f>Table251418[[#This Row],[PAY PRICE]]/Table251418[[#This Row],[QTY]]</f>
        <v>350610000</v>
      </c>
      <c r="J60" s="129">
        <f>($F$5-Table251418[[#This Row],[$ Per Plane]])</f>
        <v>52390000</v>
      </c>
      <c r="K60" s="18">
        <f t="shared" si="3"/>
        <v>2933840000</v>
      </c>
      <c r="L60" s="71">
        <f t="shared" si="4"/>
        <v>7.28</v>
      </c>
    </row>
    <row r="61" spans="3:12" ht="15" x14ac:dyDescent="0.25">
      <c r="C61" s="546">
        <v>9</v>
      </c>
      <c r="D61" s="84">
        <v>57</v>
      </c>
      <c r="E61" s="75">
        <v>0.13</v>
      </c>
      <c r="F61" s="72">
        <f t="shared" si="1"/>
        <v>22971000000</v>
      </c>
      <c r="G61" s="72">
        <f t="shared" si="2"/>
        <v>19984770000</v>
      </c>
      <c r="H61" s="72">
        <f t="shared" si="0"/>
        <v>70853985237</v>
      </c>
      <c r="I61" s="128">
        <f>Table251418[[#This Row],[PAY PRICE]]/Table251418[[#This Row],[QTY]]</f>
        <v>350610000</v>
      </c>
      <c r="J61" s="129">
        <f>($F$5-Table251418[[#This Row],[$ Per Plane]])</f>
        <v>52390000</v>
      </c>
      <c r="K61" s="67">
        <f t="shared" si="3"/>
        <v>2986230000</v>
      </c>
      <c r="L61" s="68">
        <f t="shared" si="4"/>
        <v>7.41</v>
      </c>
    </row>
    <row r="62" spans="3:12" ht="15" x14ac:dyDescent="0.25">
      <c r="C62" s="547"/>
      <c r="D62" s="81">
        <v>58</v>
      </c>
      <c r="E62" s="75">
        <v>0.13</v>
      </c>
      <c r="F62" s="22">
        <f t="shared" si="1"/>
        <v>23374000000</v>
      </c>
      <c r="G62" s="22">
        <f t="shared" si="2"/>
        <v>20335380000</v>
      </c>
      <c r="H62" s="22">
        <f t="shared" si="0"/>
        <v>70503375237</v>
      </c>
      <c r="I62" s="129">
        <f>Table251418[[#This Row],[PAY PRICE]]/Table251418[[#This Row],[QTY]]</f>
        <v>350610000</v>
      </c>
      <c r="J62" s="129">
        <f>($F$5-Table251418[[#This Row],[$ Per Plane]])</f>
        <v>52390000</v>
      </c>
      <c r="K62" s="36">
        <f t="shared" si="3"/>
        <v>3038620000</v>
      </c>
      <c r="L62" s="69">
        <f t="shared" si="4"/>
        <v>7.54</v>
      </c>
    </row>
    <row r="63" spans="3:12" ht="15" x14ac:dyDescent="0.25">
      <c r="C63" s="547"/>
      <c r="D63" s="81">
        <v>59</v>
      </c>
      <c r="E63" s="75">
        <v>0.13</v>
      </c>
      <c r="F63" s="22">
        <f t="shared" si="1"/>
        <v>23777000000</v>
      </c>
      <c r="G63" s="22">
        <f t="shared" si="2"/>
        <v>20685990000</v>
      </c>
      <c r="H63" s="22">
        <f t="shared" si="0"/>
        <v>70152765237</v>
      </c>
      <c r="I63" s="129">
        <f>Table251418[[#This Row],[PAY PRICE]]/Table251418[[#This Row],[QTY]]</f>
        <v>350610000</v>
      </c>
      <c r="J63" s="129">
        <f>($F$5-Table251418[[#This Row],[$ Per Plane]])</f>
        <v>52390000</v>
      </c>
      <c r="K63" s="36">
        <f t="shared" si="3"/>
        <v>3091010000</v>
      </c>
      <c r="L63" s="69">
        <f t="shared" si="4"/>
        <v>7.67</v>
      </c>
    </row>
    <row r="64" spans="3:12" ht="15" x14ac:dyDescent="0.25">
      <c r="C64" s="547"/>
      <c r="D64" s="81">
        <v>60</v>
      </c>
      <c r="E64" s="75">
        <v>0.13</v>
      </c>
      <c r="F64" s="22">
        <f t="shared" si="1"/>
        <v>24180000000</v>
      </c>
      <c r="G64" s="22">
        <f t="shared" si="2"/>
        <v>21036600000</v>
      </c>
      <c r="H64" s="22">
        <f t="shared" si="0"/>
        <v>69802155237</v>
      </c>
      <c r="I64" s="129">
        <f>Table251418[[#This Row],[PAY PRICE]]/Table251418[[#This Row],[QTY]]</f>
        <v>350610000</v>
      </c>
      <c r="J64" s="129">
        <f>($F$5-Table251418[[#This Row],[$ Per Plane]])</f>
        <v>52390000</v>
      </c>
      <c r="K64" s="36">
        <f t="shared" si="3"/>
        <v>3143400000</v>
      </c>
      <c r="L64" s="69">
        <f t="shared" si="4"/>
        <v>7.8</v>
      </c>
    </row>
    <row r="65" spans="3:12" ht="15" x14ac:dyDescent="0.25">
      <c r="C65" s="547"/>
      <c r="D65" s="81">
        <v>61</v>
      </c>
      <c r="E65" s="75">
        <v>0.13</v>
      </c>
      <c r="F65" s="22">
        <f t="shared" si="1"/>
        <v>24583000000</v>
      </c>
      <c r="G65" s="22">
        <f t="shared" si="2"/>
        <v>21387210000</v>
      </c>
      <c r="H65" s="22">
        <f t="shared" si="0"/>
        <v>69451545237</v>
      </c>
      <c r="I65" s="129">
        <f>Table251418[[#This Row],[PAY PRICE]]/Table251418[[#This Row],[QTY]]</f>
        <v>350610000</v>
      </c>
      <c r="J65" s="129">
        <f>($F$5-Table251418[[#This Row],[$ Per Plane]])</f>
        <v>52390000</v>
      </c>
      <c r="K65" s="36">
        <f t="shared" si="3"/>
        <v>3195790000</v>
      </c>
      <c r="L65" s="69">
        <f t="shared" si="4"/>
        <v>7.93</v>
      </c>
    </row>
    <row r="66" spans="3:12" ht="15" x14ac:dyDescent="0.25">
      <c r="C66" s="547"/>
      <c r="D66" s="81">
        <v>62</v>
      </c>
      <c r="E66" s="75">
        <v>0.13</v>
      </c>
      <c r="F66" s="22">
        <f t="shared" si="1"/>
        <v>24986000000</v>
      </c>
      <c r="G66" s="22">
        <f t="shared" si="2"/>
        <v>21737820000</v>
      </c>
      <c r="H66" s="22">
        <f t="shared" si="0"/>
        <v>69100935237</v>
      </c>
      <c r="I66" s="129">
        <f>Table251418[[#This Row],[PAY PRICE]]/Table251418[[#This Row],[QTY]]</f>
        <v>350610000</v>
      </c>
      <c r="J66" s="129">
        <f>($F$5-Table251418[[#This Row],[$ Per Plane]])</f>
        <v>52390000</v>
      </c>
      <c r="K66" s="36">
        <f t="shared" si="3"/>
        <v>3248180000</v>
      </c>
      <c r="L66" s="69">
        <f t="shared" si="4"/>
        <v>8.06</v>
      </c>
    </row>
    <row r="67" spans="3:12" ht="15.75" thickBot="1" x14ac:dyDescent="0.3">
      <c r="C67" s="548"/>
      <c r="D67" s="83">
        <v>63</v>
      </c>
      <c r="E67" s="75">
        <v>0.13</v>
      </c>
      <c r="F67" s="19">
        <f t="shared" si="1"/>
        <v>25389000000</v>
      </c>
      <c r="G67" s="19">
        <f t="shared" si="2"/>
        <v>22088430000</v>
      </c>
      <c r="H67" s="19">
        <f t="shared" si="0"/>
        <v>68750325237</v>
      </c>
      <c r="I67" s="131">
        <f>Table251418[[#This Row],[PAY PRICE]]/Table251418[[#This Row],[QTY]]</f>
        <v>350610000</v>
      </c>
      <c r="J67" s="129">
        <f>($F$5-Table251418[[#This Row],[$ Per Plane]])</f>
        <v>52390000</v>
      </c>
      <c r="K67" s="18">
        <f t="shared" si="3"/>
        <v>3300570000</v>
      </c>
      <c r="L67" s="71">
        <f t="shared" si="4"/>
        <v>8.19</v>
      </c>
    </row>
    <row r="68" spans="3:12" ht="15" x14ac:dyDescent="0.25">
      <c r="C68" s="546">
        <v>10</v>
      </c>
      <c r="D68" s="84">
        <v>64</v>
      </c>
      <c r="E68" s="75">
        <v>0.13</v>
      </c>
      <c r="F68" s="72">
        <f t="shared" si="1"/>
        <v>25792000000</v>
      </c>
      <c r="G68" s="72">
        <f t="shared" si="2"/>
        <v>22439040000</v>
      </c>
      <c r="H68" s="72">
        <f t="shared" si="0"/>
        <v>68399715237</v>
      </c>
      <c r="I68" s="128">
        <f>Table251418[[#This Row],[PAY PRICE]]/Table251418[[#This Row],[QTY]]</f>
        <v>350610000</v>
      </c>
      <c r="J68" s="129">
        <f>($F$5-Table251418[[#This Row],[$ Per Plane]])</f>
        <v>52390000</v>
      </c>
      <c r="K68" s="67">
        <f t="shared" si="3"/>
        <v>3352960000</v>
      </c>
      <c r="L68" s="68">
        <f t="shared" si="4"/>
        <v>8.32</v>
      </c>
    </row>
    <row r="69" spans="3:12" ht="15" x14ac:dyDescent="0.25">
      <c r="C69" s="547"/>
      <c r="D69" s="81">
        <v>65</v>
      </c>
      <c r="E69" s="75">
        <v>0.13</v>
      </c>
      <c r="F69" s="22">
        <f t="shared" si="1"/>
        <v>26195000000</v>
      </c>
      <c r="G69" s="22">
        <f t="shared" si="2"/>
        <v>22789650000</v>
      </c>
      <c r="H69" s="22">
        <f t="shared" ref="H69:H95" si="5">$H$2-G69</f>
        <v>68049105237</v>
      </c>
      <c r="I69" s="129">
        <f>Table251418[[#This Row],[PAY PRICE]]/Table251418[[#This Row],[QTY]]</f>
        <v>350610000</v>
      </c>
      <c r="J69" s="129">
        <f>($F$5-Table251418[[#This Row],[$ Per Plane]])</f>
        <v>52390000</v>
      </c>
      <c r="K69" s="36">
        <f t="shared" si="3"/>
        <v>3405350000</v>
      </c>
      <c r="L69" s="69">
        <f t="shared" si="4"/>
        <v>8.4499999999999993</v>
      </c>
    </row>
    <row r="70" spans="3:12" ht="15" x14ac:dyDescent="0.25">
      <c r="C70" s="547"/>
      <c r="D70" s="81">
        <v>66</v>
      </c>
      <c r="E70" s="75">
        <v>0.13</v>
      </c>
      <c r="F70" s="22">
        <f t="shared" ref="F70:F95" si="6">$F$5*D70</f>
        <v>26598000000</v>
      </c>
      <c r="G70" s="22">
        <f t="shared" ref="G70:G95" si="7">F70*(1-E70)</f>
        <v>23140260000</v>
      </c>
      <c r="H70" s="22">
        <f t="shared" si="5"/>
        <v>67698495237</v>
      </c>
      <c r="I70" s="129">
        <f>Table251418[[#This Row],[PAY PRICE]]/Table251418[[#This Row],[QTY]]</f>
        <v>350610000</v>
      </c>
      <c r="J70" s="129">
        <f>($F$5-Table251418[[#This Row],[$ Per Plane]])</f>
        <v>52390000</v>
      </c>
      <c r="K70" s="36">
        <f t="shared" ref="K70:K95" si="8">($F$5*D70)-G70</f>
        <v>3457740000</v>
      </c>
      <c r="L70" s="69">
        <f t="shared" ref="L70:L95" si="9">K70/$F$5</f>
        <v>8.58</v>
      </c>
    </row>
    <row r="71" spans="3:12" ht="15" x14ac:dyDescent="0.25">
      <c r="C71" s="547"/>
      <c r="D71" s="81">
        <v>67</v>
      </c>
      <c r="E71" s="75">
        <v>0.13</v>
      </c>
      <c r="F71" s="22">
        <f t="shared" si="6"/>
        <v>27001000000</v>
      </c>
      <c r="G71" s="22">
        <f t="shared" si="7"/>
        <v>23490870000</v>
      </c>
      <c r="H71" s="22">
        <f t="shared" si="5"/>
        <v>67347885237</v>
      </c>
      <c r="I71" s="129">
        <f>Table251418[[#This Row],[PAY PRICE]]/Table251418[[#This Row],[QTY]]</f>
        <v>350610000</v>
      </c>
      <c r="J71" s="129">
        <f>($F$5-Table251418[[#This Row],[$ Per Plane]])</f>
        <v>52390000</v>
      </c>
      <c r="K71" s="36">
        <f t="shared" si="8"/>
        <v>3510130000</v>
      </c>
      <c r="L71" s="69">
        <f t="shared" si="9"/>
        <v>8.7100000000000009</v>
      </c>
    </row>
    <row r="72" spans="3:12" ht="15" x14ac:dyDescent="0.25">
      <c r="C72" s="547"/>
      <c r="D72" s="81">
        <v>68</v>
      </c>
      <c r="E72" s="75">
        <v>0.13</v>
      </c>
      <c r="F72" s="22">
        <f t="shared" si="6"/>
        <v>27404000000</v>
      </c>
      <c r="G72" s="22">
        <f t="shared" si="7"/>
        <v>23841480000</v>
      </c>
      <c r="H72" s="22">
        <f t="shared" si="5"/>
        <v>66997275237</v>
      </c>
      <c r="I72" s="129">
        <f>Table251418[[#This Row],[PAY PRICE]]/Table251418[[#This Row],[QTY]]</f>
        <v>350610000</v>
      </c>
      <c r="J72" s="129">
        <f>($F$5-Table251418[[#This Row],[$ Per Plane]])</f>
        <v>52390000</v>
      </c>
      <c r="K72" s="36">
        <f t="shared" si="8"/>
        <v>3562520000</v>
      </c>
      <c r="L72" s="69">
        <f t="shared" si="9"/>
        <v>8.84</v>
      </c>
    </row>
    <row r="73" spans="3:12" ht="15" x14ac:dyDescent="0.25">
      <c r="C73" s="547"/>
      <c r="D73" s="81">
        <v>69</v>
      </c>
      <c r="E73" s="75">
        <v>0.13</v>
      </c>
      <c r="F73" s="22">
        <f t="shared" si="6"/>
        <v>27807000000</v>
      </c>
      <c r="G73" s="22">
        <f t="shared" si="7"/>
        <v>24192090000</v>
      </c>
      <c r="H73" s="22">
        <f t="shared" si="5"/>
        <v>66646665237</v>
      </c>
      <c r="I73" s="129">
        <f>Table251418[[#This Row],[PAY PRICE]]/Table251418[[#This Row],[QTY]]</f>
        <v>350610000</v>
      </c>
      <c r="J73" s="129">
        <f>($F$5-Table251418[[#This Row],[$ Per Plane]])</f>
        <v>52390000</v>
      </c>
      <c r="K73" s="36">
        <f t="shared" si="8"/>
        <v>3614910000</v>
      </c>
      <c r="L73" s="69">
        <f t="shared" si="9"/>
        <v>8.9700000000000006</v>
      </c>
    </row>
    <row r="74" spans="3:12" ht="15.75" thickBot="1" x14ac:dyDescent="0.3">
      <c r="C74" s="548"/>
      <c r="D74" s="83">
        <v>70</v>
      </c>
      <c r="E74" s="75">
        <v>0.13</v>
      </c>
      <c r="F74" s="19">
        <f t="shared" si="6"/>
        <v>28210000000</v>
      </c>
      <c r="G74" s="19">
        <f t="shared" si="7"/>
        <v>24542700000</v>
      </c>
      <c r="H74" s="19">
        <f t="shared" si="5"/>
        <v>66296055237</v>
      </c>
      <c r="I74" s="131">
        <f>Table251418[[#This Row],[PAY PRICE]]/Table251418[[#This Row],[QTY]]</f>
        <v>350610000</v>
      </c>
      <c r="J74" s="129">
        <f>($F$5-Table251418[[#This Row],[$ Per Plane]])</f>
        <v>52390000</v>
      </c>
      <c r="K74" s="18">
        <f t="shared" si="8"/>
        <v>3667300000</v>
      </c>
      <c r="L74" s="71">
        <f t="shared" si="9"/>
        <v>9.1</v>
      </c>
    </row>
    <row r="75" spans="3:12" ht="15" x14ac:dyDescent="0.25">
      <c r="C75" s="546">
        <v>11</v>
      </c>
      <c r="D75" s="84">
        <v>71</v>
      </c>
      <c r="E75" s="75">
        <v>0.13</v>
      </c>
      <c r="F75" s="66">
        <f t="shared" si="6"/>
        <v>28613000000</v>
      </c>
      <c r="G75" s="66">
        <f t="shared" si="7"/>
        <v>24893310000</v>
      </c>
      <c r="H75" s="66">
        <f t="shared" si="5"/>
        <v>65945445237</v>
      </c>
      <c r="I75" s="132">
        <f>Table251418[[#This Row],[PAY PRICE]]/Table251418[[#This Row],[QTY]]</f>
        <v>350610000</v>
      </c>
      <c r="J75" s="129">
        <f>($F$5-Table251418[[#This Row],[$ Per Plane]])</f>
        <v>52390000</v>
      </c>
      <c r="K75" s="67">
        <f t="shared" si="8"/>
        <v>3719690000</v>
      </c>
      <c r="L75" s="68">
        <f t="shared" si="9"/>
        <v>9.23</v>
      </c>
    </row>
    <row r="76" spans="3:12" ht="15" x14ac:dyDescent="0.25">
      <c r="C76" s="547"/>
      <c r="D76" s="81">
        <v>72</v>
      </c>
      <c r="E76" s="75">
        <v>0.13</v>
      </c>
      <c r="F76" s="35">
        <f t="shared" si="6"/>
        <v>29016000000</v>
      </c>
      <c r="G76" s="35">
        <f t="shared" si="7"/>
        <v>25243920000</v>
      </c>
      <c r="H76" s="35">
        <f t="shared" si="5"/>
        <v>65594835237</v>
      </c>
      <c r="I76" s="133">
        <f>Table251418[[#This Row],[PAY PRICE]]/Table251418[[#This Row],[QTY]]</f>
        <v>350610000</v>
      </c>
      <c r="J76" s="129">
        <f>($F$5-Table251418[[#This Row],[$ Per Plane]])</f>
        <v>52390000</v>
      </c>
      <c r="K76" s="36">
        <f t="shared" si="8"/>
        <v>3772080000</v>
      </c>
      <c r="L76" s="69">
        <f t="shared" si="9"/>
        <v>9.36</v>
      </c>
    </row>
    <row r="77" spans="3:12" ht="15" x14ac:dyDescent="0.25">
      <c r="C77" s="547"/>
      <c r="D77" s="81">
        <v>73</v>
      </c>
      <c r="E77" s="75">
        <v>0.13</v>
      </c>
      <c r="F77" s="35">
        <f t="shared" si="6"/>
        <v>29419000000</v>
      </c>
      <c r="G77" s="35">
        <f t="shared" si="7"/>
        <v>25594530000</v>
      </c>
      <c r="H77" s="35">
        <f t="shared" si="5"/>
        <v>65244225237</v>
      </c>
      <c r="I77" s="133">
        <f>Table251418[[#This Row],[PAY PRICE]]/Table251418[[#This Row],[QTY]]</f>
        <v>350610000</v>
      </c>
      <c r="J77" s="129">
        <f>($F$5-Table251418[[#This Row],[$ Per Plane]])</f>
        <v>52390000</v>
      </c>
      <c r="K77" s="36">
        <f t="shared" si="8"/>
        <v>3824470000</v>
      </c>
      <c r="L77" s="69">
        <f t="shared" si="9"/>
        <v>9.49</v>
      </c>
    </row>
    <row r="78" spans="3:12" ht="15" x14ac:dyDescent="0.25">
      <c r="C78" s="547"/>
      <c r="D78" s="81">
        <v>74</v>
      </c>
      <c r="E78" s="75">
        <v>0.13</v>
      </c>
      <c r="F78" s="35">
        <f t="shared" si="6"/>
        <v>29822000000</v>
      </c>
      <c r="G78" s="35">
        <f t="shared" si="7"/>
        <v>25945140000</v>
      </c>
      <c r="H78" s="35">
        <f t="shared" si="5"/>
        <v>64893615237</v>
      </c>
      <c r="I78" s="133">
        <f>Table251418[[#This Row],[PAY PRICE]]/Table251418[[#This Row],[QTY]]</f>
        <v>350610000</v>
      </c>
      <c r="J78" s="129">
        <f>($F$5-Table251418[[#This Row],[$ Per Plane]])</f>
        <v>52390000</v>
      </c>
      <c r="K78" s="36">
        <f t="shared" si="8"/>
        <v>3876860000</v>
      </c>
      <c r="L78" s="69">
        <f t="shared" si="9"/>
        <v>9.6199999999999992</v>
      </c>
    </row>
    <row r="79" spans="3:12" ht="15" x14ac:dyDescent="0.25">
      <c r="C79" s="547"/>
      <c r="D79" s="81">
        <v>75</v>
      </c>
      <c r="E79" s="75">
        <v>0.13</v>
      </c>
      <c r="F79" s="35">
        <f t="shared" si="6"/>
        <v>30225000000</v>
      </c>
      <c r="G79" s="35">
        <f t="shared" si="7"/>
        <v>26295750000</v>
      </c>
      <c r="H79" s="35">
        <f t="shared" si="5"/>
        <v>64543005237</v>
      </c>
      <c r="I79" s="133">
        <f>Table251418[[#This Row],[PAY PRICE]]/Table251418[[#This Row],[QTY]]</f>
        <v>350610000</v>
      </c>
      <c r="J79" s="129">
        <f>($F$5-Table251418[[#This Row],[$ Per Plane]])</f>
        <v>52390000</v>
      </c>
      <c r="K79" s="36">
        <f t="shared" si="8"/>
        <v>3929250000</v>
      </c>
      <c r="L79" s="69">
        <f t="shared" si="9"/>
        <v>9.75</v>
      </c>
    </row>
    <row r="80" spans="3:12" ht="15" x14ac:dyDescent="0.25">
      <c r="C80" s="547"/>
      <c r="D80" s="81">
        <v>76</v>
      </c>
      <c r="E80" s="75">
        <v>0.13</v>
      </c>
      <c r="F80" s="35">
        <f t="shared" si="6"/>
        <v>30628000000</v>
      </c>
      <c r="G80" s="35">
        <f t="shared" si="7"/>
        <v>26646360000</v>
      </c>
      <c r="H80" s="35">
        <f t="shared" si="5"/>
        <v>64192395237</v>
      </c>
      <c r="I80" s="133">
        <f>Table251418[[#This Row],[PAY PRICE]]/Table251418[[#This Row],[QTY]]</f>
        <v>350610000</v>
      </c>
      <c r="J80" s="129">
        <f>($F$5-Table251418[[#This Row],[$ Per Plane]])</f>
        <v>52390000</v>
      </c>
      <c r="K80" s="36">
        <f t="shared" si="8"/>
        <v>3981640000</v>
      </c>
      <c r="L80" s="69">
        <f t="shared" si="9"/>
        <v>9.8800000000000008</v>
      </c>
    </row>
    <row r="81" spans="3:12" ht="15.75" thickBot="1" x14ac:dyDescent="0.3">
      <c r="C81" s="548"/>
      <c r="D81" s="83">
        <v>77</v>
      </c>
      <c r="E81" s="75">
        <v>0.13</v>
      </c>
      <c r="F81" s="70">
        <f t="shared" si="6"/>
        <v>31031000000</v>
      </c>
      <c r="G81" s="70">
        <f t="shared" si="7"/>
        <v>26996970000</v>
      </c>
      <c r="H81" s="70">
        <f t="shared" si="5"/>
        <v>63841785237</v>
      </c>
      <c r="I81" s="134">
        <f>Table251418[[#This Row],[PAY PRICE]]/Table251418[[#This Row],[QTY]]</f>
        <v>350610000</v>
      </c>
      <c r="J81" s="129">
        <f>($F$5-Table251418[[#This Row],[$ Per Plane]])</f>
        <v>52390000</v>
      </c>
      <c r="K81" s="18">
        <f t="shared" si="8"/>
        <v>4034030000</v>
      </c>
      <c r="L81" s="71">
        <f t="shared" si="9"/>
        <v>10.01</v>
      </c>
    </row>
    <row r="82" spans="3:12" ht="15" customHeight="1" x14ac:dyDescent="0.25">
      <c r="C82" s="546">
        <v>12</v>
      </c>
      <c r="D82" s="84">
        <v>78</v>
      </c>
      <c r="E82" s="75">
        <v>0.13</v>
      </c>
      <c r="F82" s="66">
        <f t="shared" si="6"/>
        <v>31434000000</v>
      </c>
      <c r="G82" s="66">
        <f t="shared" si="7"/>
        <v>27347580000</v>
      </c>
      <c r="H82" s="66">
        <f t="shared" si="5"/>
        <v>63491175237</v>
      </c>
      <c r="I82" s="132">
        <f>Table251418[[#This Row],[PAY PRICE]]/Table251418[[#This Row],[QTY]]</f>
        <v>350610000</v>
      </c>
      <c r="J82" s="129">
        <f>($F$5-Table251418[[#This Row],[$ Per Plane]])</f>
        <v>52390000</v>
      </c>
      <c r="K82" s="67">
        <f t="shared" si="8"/>
        <v>4086420000</v>
      </c>
      <c r="L82" s="68">
        <f t="shared" si="9"/>
        <v>10.14</v>
      </c>
    </row>
    <row r="83" spans="3:12" ht="15" customHeight="1" x14ac:dyDescent="0.25">
      <c r="C83" s="547"/>
      <c r="D83" s="81">
        <v>79</v>
      </c>
      <c r="E83" s="75">
        <v>0.13</v>
      </c>
      <c r="F83" s="35">
        <f t="shared" si="6"/>
        <v>31837000000</v>
      </c>
      <c r="G83" s="35">
        <f t="shared" si="7"/>
        <v>27698190000</v>
      </c>
      <c r="H83" s="35">
        <f t="shared" si="5"/>
        <v>63140565237</v>
      </c>
      <c r="I83" s="133">
        <f>Table251418[[#This Row],[PAY PRICE]]/Table251418[[#This Row],[QTY]]</f>
        <v>350610000</v>
      </c>
      <c r="J83" s="129">
        <f>($F$5-Table251418[[#This Row],[$ Per Plane]])</f>
        <v>52390000</v>
      </c>
      <c r="K83" s="36">
        <f t="shared" si="8"/>
        <v>4138810000</v>
      </c>
      <c r="L83" s="69">
        <f t="shared" si="9"/>
        <v>10.27</v>
      </c>
    </row>
    <row r="84" spans="3:12" ht="15" customHeight="1" x14ac:dyDescent="0.25">
      <c r="C84" s="547"/>
      <c r="D84" s="81">
        <v>80</v>
      </c>
      <c r="E84" s="75">
        <v>0.13</v>
      </c>
      <c r="F84" s="35">
        <f t="shared" si="6"/>
        <v>32240000000</v>
      </c>
      <c r="G84" s="35">
        <f t="shared" si="7"/>
        <v>28048800000</v>
      </c>
      <c r="H84" s="35">
        <f t="shared" si="5"/>
        <v>62789955237</v>
      </c>
      <c r="I84" s="133">
        <f>Table251418[[#This Row],[PAY PRICE]]/Table251418[[#This Row],[QTY]]</f>
        <v>350610000</v>
      </c>
      <c r="J84" s="129">
        <f>($F$5-Table251418[[#This Row],[$ Per Plane]])</f>
        <v>52390000</v>
      </c>
      <c r="K84" s="36">
        <f t="shared" si="8"/>
        <v>4191200000</v>
      </c>
      <c r="L84" s="69">
        <f t="shared" si="9"/>
        <v>10.4</v>
      </c>
    </row>
    <row r="85" spans="3:12" ht="15" customHeight="1" x14ac:dyDescent="0.25">
      <c r="C85" s="547"/>
      <c r="D85" s="81">
        <v>81</v>
      </c>
      <c r="E85" s="75">
        <v>0.13</v>
      </c>
      <c r="F85" s="35">
        <f t="shared" si="6"/>
        <v>32643000000</v>
      </c>
      <c r="G85" s="35">
        <f t="shared" si="7"/>
        <v>28399410000</v>
      </c>
      <c r="H85" s="35">
        <f t="shared" si="5"/>
        <v>62439345237</v>
      </c>
      <c r="I85" s="133">
        <f>Table251418[[#This Row],[PAY PRICE]]/Table251418[[#This Row],[QTY]]</f>
        <v>350610000</v>
      </c>
      <c r="J85" s="129">
        <f>($F$5-Table251418[[#This Row],[$ Per Plane]])</f>
        <v>52390000</v>
      </c>
      <c r="K85" s="36">
        <f t="shared" si="8"/>
        <v>4243590000</v>
      </c>
      <c r="L85" s="69">
        <f t="shared" si="9"/>
        <v>10.53</v>
      </c>
    </row>
    <row r="86" spans="3:12" ht="15" customHeight="1" x14ac:dyDescent="0.25">
      <c r="C86" s="547"/>
      <c r="D86" s="81">
        <v>82</v>
      </c>
      <c r="E86" s="75">
        <v>0.13</v>
      </c>
      <c r="F86" s="35">
        <f t="shared" si="6"/>
        <v>33046000000</v>
      </c>
      <c r="G86" s="35">
        <f t="shared" si="7"/>
        <v>28750020000</v>
      </c>
      <c r="H86" s="35">
        <f t="shared" si="5"/>
        <v>62088735237</v>
      </c>
      <c r="I86" s="133">
        <f>Table251418[[#This Row],[PAY PRICE]]/Table251418[[#This Row],[QTY]]</f>
        <v>350610000</v>
      </c>
      <c r="J86" s="129">
        <f>($F$5-Table251418[[#This Row],[$ Per Plane]])</f>
        <v>52390000</v>
      </c>
      <c r="K86" s="36">
        <f t="shared" si="8"/>
        <v>4295980000</v>
      </c>
      <c r="L86" s="69">
        <f t="shared" si="9"/>
        <v>10.66</v>
      </c>
    </row>
    <row r="87" spans="3:12" ht="15" customHeight="1" x14ac:dyDescent="0.25">
      <c r="C87" s="547"/>
      <c r="D87" s="81">
        <v>83</v>
      </c>
      <c r="E87" s="75">
        <v>0.13</v>
      </c>
      <c r="F87" s="35">
        <f t="shared" si="6"/>
        <v>33449000000</v>
      </c>
      <c r="G87" s="35">
        <f t="shared" si="7"/>
        <v>29100630000</v>
      </c>
      <c r="H87" s="35">
        <f t="shared" si="5"/>
        <v>61738125237</v>
      </c>
      <c r="I87" s="133">
        <f>Table251418[[#This Row],[PAY PRICE]]/Table251418[[#This Row],[QTY]]</f>
        <v>350610000</v>
      </c>
      <c r="J87" s="129">
        <f>($F$5-Table251418[[#This Row],[$ Per Plane]])</f>
        <v>52390000</v>
      </c>
      <c r="K87" s="36">
        <f t="shared" si="8"/>
        <v>4348370000</v>
      </c>
      <c r="L87" s="69">
        <f t="shared" si="9"/>
        <v>10.79</v>
      </c>
    </row>
    <row r="88" spans="3:12" ht="15.75" customHeight="1" thickBot="1" x14ac:dyDescent="0.3">
      <c r="C88" s="548"/>
      <c r="D88" s="83">
        <v>84</v>
      </c>
      <c r="E88" s="75">
        <v>0.13</v>
      </c>
      <c r="F88" s="70">
        <f t="shared" si="6"/>
        <v>33852000000</v>
      </c>
      <c r="G88" s="70">
        <f t="shared" si="7"/>
        <v>29451240000</v>
      </c>
      <c r="H88" s="70">
        <f t="shared" si="5"/>
        <v>61387515237</v>
      </c>
      <c r="I88" s="134">
        <f>Table251418[[#This Row],[PAY PRICE]]/Table251418[[#This Row],[QTY]]</f>
        <v>350610000</v>
      </c>
      <c r="J88" s="129">
        <f>($F$5-Table251418[[#This Row],[$ Per Plane]])</f>
        <v>52390000</v>
      </c>
      <c r="K88" s="18">
        <f t="shared" si="8"/>
        <v>4400760000</v>
      </c>
      <c r="L88" s="71">
        <f t="shared" si="9"/>
        <v>10.92</v>
      </c>
    </row>
    <row r="89" spans="3:12" ht="15" customHeight="1" x14ac:dyDescent="0.25">
      <c r="C89" s="546">
        <v>13</v>
      </c>
      <c r="D89" s="84">
        <v>85</v>
      </c>
      <c r="E89" s="75">
        <v>0.13</v>
      </c>
      <c r="F89" s="66">
        <f t="shared" si="6"/>
        <v>34255000000</v>
      </c>
      <c r="G89" s="66">
        <f t="shared" si="7"/>
        <v>29801850000</v>
      </c>
      <c r="H89" s="66">
        <f t="shared" si="5"/>
        <v>61036905237</v>
      </c>
      <c r="I89" s="132">
        <f>Table251418[[#This Row],[PAY PRICE]]/Table251418[[#This Row],[QTY]]</f>
        <v>350610000</v>
      </c>
      <c r="J89" s="129">
        <f>($F$5-Table251418[[#This Row],[$ Per Plane]])</f>
        <v>52390000</v>
      </c>
      <c r="K89" s="67">
        <f t="shared" si="8"/>
        <v>4453150000</v>
      </c>
      <c r="L89" s="68">
        <f t="shared" si="9"/>
        <v>11.05</v>
      </c>
    </row>
    <row r="90" spans="3:12" ht="15" customHeight="1" x14ac:dyDescent="0.25">
      <c r="C90" s="547"/>
      <c r="D90" s="81">
        <v>86</v>
      </c>
      <c r="E90" s="75">
        <v>0.13</v>
      </c>
      <c r="F90" s="35">
        <f t="shared" si="6"/>
        <v>34658000000</v>
      </c>
      <c r="G90" s="35">
        <f t="shared" si="7"/>
        <v>30152460000</v>
      </c>
      <c r="H90" s="35">
        <f t="shared" si="5"/>
        <v>60686295237</v>
      </c>
      <c r="I90" s="133">
        <f>Table251418[[#This Row],[PAY PRICE]]/Table251418[[#This Row],[QTY]]</f>
        <v>350610000</v>
      </c>
      <c r="J90" s="129">
        <f>($F$5-Table251418[[#This Row],[$ Per Plane]])</f>
        <v>52390000</v>
      </c>
      <c r="K90" s="36">
        <f t="shared" si="8"/>
        <v>4505540000</v>
      </c>
      <c r="L90" s="69">
        <f t="shared" si="9"/>
        <v>11.18</v>
      </c>
    </row>
    <row r="91" spans="3:12" ht="15" customHeight="1" x14ac:dyDescent="0.25">
      <c r="C91" s="547"/>
      <c r="D91" s="81">
        <v>87</v>
      </c>
      <c r="E91" s="75">
        <v>0.13</v>
      </c>
      <c r="F91" s="35">
        <f t="shared" si="6"/>
        <v>35061000000</v>
      </c>
      <c r="G91" s="35">
        <f t="shared" si="7"/>
        <v>30503070000</v>
      </c>
      <c r="H91" s="35">
        <f t="shared" si="5"/>
        <v>60335685237</v>
      </c>
      <c r="I91" s="133">
        <f>Table251418[[#This Row],[PAY PRICE]]/Table251418[[#This Row],[QTY]]</f>
        <v>350610000</v>
      </c>
      <c r="J91" s="129">
        <f>($F$5-Table251418[[#This Row],[$ Per Plane]])</f>
        <v>52390000</v>
      </c>
      <c r="K91" s="36">
        <f t="shared" si="8"/>
        <v>4557930000</v>
      </c>
      <c r="L91" s="69">
        <f t="shared" si="9"/>
        <v>11.31</v>
      </c>
    </row>
    <row r="92" spans="3:12" ht="15" customHeight="1" x14ac:dyDescent="0.25">
      <c r="C92" s="547"/>
      <c r="D92" s="81">
        <v>88</v>
      </c>
      <c r="E92" s="75">
        <v>0.13</v>
      </c>
      <c r="F92" s="35">
        <f t="shared" si="6"/>
        <v>35464000000</v>
      </c>
      <c r="G92" s="35">
        <f t="shared" si="7"/>
        <v>30853680000</v>
      </c>
      <c r="H92" s="35">
        <f t="shared" si="5"/>
        <v>59985075237</v>
      </c>
      <c r="I92" s="133">
        <f>Table251418[[#This Row],[PAY PRICE]]/Table251418[[#This Row],[QTY]]</f>
        <v>350610000</v>
      </c>
      <c r="J92" s="129">
        <f>($F$5-Table251418[[#This Row],[$ Per Plane]])</f>
        <v>52390000</v>
      </c>
      <c r="K92" s="36">
        <f t="shared" si="8"/>
        <v>4610320000</v>
      </c>
      <c r="L92" s="69">
        <f t="shared" si="9"/>
        <v>11.44</v>
      </c>
    </row>
    <row r="93" spans="3:12" ht="15" customHeight="1" x14ac:dyDescent="0.25">
      <c r="C93" s="547"/>
      <c r="D93" s="81">
        <v>89</v>
      </c>
      <c r="E93" s="75">
        <v>0.13</v>
      </c>
      <c r="F93" s="35">
        <f t="shared" si="6"/>
        <v>35867000000</v>
      </c>
      <c r="G93" s="35">
        <f t="shared" si="7"/>
        <v>31204290000</v>
      </c>
      <c r="H93" s="35">
        <f t="shared" si="5"/>
        <v>59634465237</v>
      </c>
      <c r="I93" s="133">
        <f>Table251418[[#This Row],[PAY PRICE]]/Table251418[[#This Row],[QTY]]</f>
        <v>350610000</v>
      </c>
      <c r="J93" s="129">
        <f>($F$5-Table251418[[#This Row],[$ Per Plane]])</f>
        <v>52390000</v>
      </c>
      <c r="K93" s="36">
        <f t="shared" si="8"/>
        <v>4662710000</v>
      </c>
      <c r="L93" s="69">
        <f t="shared" si="9"/>
        <v>11.57</v>
      </c>
    </row>
    <row r="94" spans="3:12" ht="15" customHeight="1" x14ac:dyDescent="0.25">
      <c r="C94" s="547"/>
      <c r="D94" s="81">
        <v>90</v>
      </c>
      <c r="E94" s="75">
        <v>0.13</v>
      </c>
      <c r="F94" s="35">
        <f t="shared" si="6"/>
        <v>36270000000</v>
      </c>
      <c r="G94" s="35">
        <f t="shared" si="7"/>
        <v>31554900000</v>
      </c>
      <c r="H94" s="35">
        <f t="shared" si="5"/>
        <v>59283855237</v>
      </c>
      <c r="I94" s="133">
        <f>Table251418[[#This Row],[PAY PRICE]]/Table251418[[#This Row],[QTY]]</f>
        <v>350610000</v>
      </c>
      <c r="J94" s="129">
        <f>($F$5-Table251418[[#This Row],[$ Per Plane]])</f>
        <v>52390000</v>
      </c>
      <c r="K94" s="36">
        <f t="shared" si="8"/>
        <v>4715100000</v>
      </c>
      <c r="L94" s="69">
        <f t="shared" si="9"/>
        <v>11.7</v>
      </c>
    </row>
    <row r="95" spans="3:12" ht="15" customHeight="1" thickBot="1" x14ac:dyDescent="0.3">
      <c r="C95" s="548"/>
      <c r="D95" s="83">
        <v>91</v>
      </c>
      <c r="E95" s="75">
        <v>0.13</v>
      </c>
      <c r="F95" s="70">
        <f t="shared" si="6"/>
        <v>36673000000</v>
      </c>
      <c r="G95" s="70">
        <f t="shared" si="7"/>
        <v>31905510000</v>
      </c>
      <c r="H95" s="70">
        <f t="shared" si="5"/>
        <v>58933245237</v>
      </c>
      <c r="I95" s="134">
        <f>Table251418[[#This Row],[PAY PRICE]]/Table251418[[#This Row],[QTY]]</f>
        <v>350610000</v>
      </c>
      <c r="J95" s="129">
        <f>($F$5-Table251418[[#This Row],[$ Per Plane]])</f>
        <v>52390000</v>
      </c>
      <c r="K95" s="18">
        <f t="shared" si="8"/>
        <v>4767490000</v>
      </c>
      <c r="L95" s="71">
        <f t="shared" si="9"/>
        <v>11.83</v>
      </c>
    </row>
  </sheetData>
  <mergeCells count="13">
    <mergeCell ref="C40:C46"/>
    <mergeCell ref="C5:C11"/>
    <mergeCell ref="C12:C18"/>
    <mergeCell ref="C19:C25"/>
    <mergeCell ref="C26:C32"/>
    <mergeCell ref="C33:C39"/>
    <mergeCell ref="C89:C95"/>
    <mergeCell ref="C47:C53"/>
    <mergeCell ref="C54:C60"/>
    <mergeCell ref="C61:C67"/>
    <mergeCell ref="C68:C74"/>
    <mergeCell ref="C75:C81"/>
    <mergeCell ref="C82:C88"/>
  </mergeCells>
  <conditionalFormatting sqref="H5:H95">
    <cfRule type="cellIs" dxfId="127" priority="1" operator="lessThan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E315-5300-4B24-AD4C-2F8FF757172D}">
  <dimension ref="B2:O144"/>
  <sheetViews>
    <sheetView zoomScale="85" zoomScaleNormal="85" workbookViewId="0">
      <pane ySplit="4" topLeftCell="A5" activePane="bottomLeft" state="frozen"/>
      <selection pane="bottomLeft" activeCell="H2" sqref="H2"/>
    </sheetView>
  </sheetViews>
  <sheetFormatPr defaultColWidth="9.140625" defaultRowHeight="21" x14ac:dyDescent="0.25"/>
  <cols>
    <col min="1" max="2" width="9.140625" style="1"/>
    <col min="3" max="3" width="9.140625" style="46"/>
    <col min="4" max="5" width="9.140625" style="8"/>
    <col min="6" max="6" width="24" style="4" bestFit="1" customWidth="1"/>
    <col min="7" max="7" width="22.28515625" style="4" bestFit="1" customWidth="1"/>
    <col min="8" max="8" width="29.140625" style="4" bestFit="1" customWidth="1"/>
    <col min="9" max="10" width="21.5703125" style="4" customWidth="1"/>
    <col min="11" max="11" width="24.5703125" style="1" bestFit="1" customWidth="1"/>
    <col min="12" max="12" width="11" style="1" customWidth="1"/>
    <col min="13" max="14" width="9.140625" style="1"/>
    <col min="15" max="15" width="17" style="1" bestFit="1" customWidth="1"/>
    <col min="16" max="16384" width="9.140625" style="1"/>
  </cols>
  <sheetData>
    <row r="2" spans="2:15" x14ac:dyDescent="0.25">
      <c r="G2" s="4" t="s">
        <v>482</v>
      </c>
      <c r="H2" s="25">
        <v>17096362808</v>
      </c>
      <c r="I2" s="25"/>
      <c r="J2" s="25"/>
    </row>
    <row r="3" spans="2:15" x14ac:dyDescent="0.25">
      <c r="H3" s="5"/>
    </row>
    <row r="4" spans="2:15" ht="21.75" thickBot="1" x14ac:dyDescent="0.3">
      <c r="D4" s="20" t="s">
        <v>481</v>
      </c>
      <c r="E4" s="20" t="s">
        <v>480</v>
      </c>
      <c r="F4" s="24" t="s">
        <v>11121</v>
      </c>
      <c r="G4" s="4" t="s">
        <v>479</v>
      </c>
      <c r="H4" s="4" t="s">
        <v>478</v>
      </c>
      <c r="I4" s="4" t="s">
        <v>12665</v>
      </c>
      <c r="J4" s="4" t="s">
        <v>12667</v>
      </c>
      <c r="K4" s="1" t="s">
        <v>12666</v>
      </c>
      <c r="L4" s="1" t="s">
        <v>477</v>
      </c>
    </row>
    <row r="5" spans="2:15" ht="15" x14ac:dyDescent="0.25">
      <c r="B5" s="1" t="s">
        <v>476</v>
      </c>
      <c r="C5" s="546">
        <v>1</v>
      </c>
      <c r="D5" s="80">
        <v>1</v>
      </c>
      <c r="E5" s="74">
        <v>0</v>
      </c>
      <c r="F5" s="72">
        <v>296300000</v>
      </c>
      <c r="G5" s="72">
        <v>296300000</v>
      </c>
      <c r="H5" s="72">
        <f t="shared" ref="H5:H36" si="0">$H$2-G5</f>
        <v>16800062808</v>
      </c>
      <c r="I5" s="128">
        <f>Table25[[#This Row],[PAY PRICE]]/Table25[[#This Row],[QTY]]</f>
        <v>296300000</v>
      </c>
      <c r="J5" s="128"/>
      <c r="K5" s="73"/>
      <c r="L5" s="68"/>
    </row>
    <row r="6" spans="2:15" ht="15" x14ac:dyDescent="0.25">
      <c r="C6" s="547"/>
      <c r="D6" s="81">
        <v>2</v>
      </c>
      <c r="E6" s="75">
        <v>2.6499999999999999E-2</v>
      </c>
      <c r="F6" s="22">
        <f t="shared" ref="F6:F37" si="1">$F$5*D6</f>
        <v>592600000</v>
      </c>
      <c r="G6" s="22">
        <f t="shared" ref="G6:G37" si="2">F6*(1-E6)</f>
        <v>576896100</v>
      </c>
      <c r="H6" s="22">
        <f t="shared" si="0"/>
        <v>16519466708</v>
      </c>
      <c r="I6" s="129">
        <f>Table25[[#This Row],[PAY PRICE]]/Table25[[#This Row],[QTY]]</f>
        <v>288448050</v>
      </c>
      <c r="J6" s="129">
        <f>($F$5-Table25[[#This Row],[$ Per Plane]])</f>
        <v>7851950</v>
      </c>
      <c r="K6" s="36">
        <f t="shared" ref="K6:K37" si="3">($F$5*D6)-G6</f>
        <v>15703900</v>
      </c>
      <c r="L6" s="69">
        <f t="shared" ref="L6:L37" si="4">K6/$F$5</f>
        <v>5.2999999999999999E-2</v>
      </c>
    </row>
    <row r="7" spans="2:15" ht="15" x14ac:dyDescent="0.25">
      <c r="C7" s="547"/>
      <c r="D7" s="81">
        <v>3</v>
      </c>
      <c r="E7" s="75">
        <v>3.9600000000000003E-2</v>
      </c>
      <c r="F7" s="22">
        <f t="shared" si="1"/>
        <v>888900000</v>
      </c>
      <c r="G7" s="22">
        <f t="shared" si="2"/>
        <v>853699560</v>
      </c>
      <c r="H7" s="22">
        <f t="shared" si="0"/>
        <v>16242663248</v>
      </c>
      <c r="I7" s="129">
        <f>Table25[[#This Row],[PAY PRICE]]/Table25[[#This Row],[QTY]]</f>
        <v>284566520</v>
      </c>
      <c r="J7" s="129">
        <f>($F$5-Table25[[#This Row],[$ Per Plane]])</f>
        <v>11733480</v>
      </c>
      <c r="K7" s="36">
        <f t="shared" si="3"/>
        <v>35200440</v>
      </c>
      <c r="L7" s="69">
        <f t="shared" si="4"/>
        <v>0.1188</v>
      </c>
    </row>
    <row r="8" spans="2:15" ht="15" x14ac:dyDescent="0.25">
      <c r="C8" s="547"/>
      <c r="D8" s="81">
        <v>4</v>
      </c>
      <c r="E8" s="75">
        <v>4.99E-2</v>
      </c>
      <c r="F8" s="22">
        <f t="shared" si="1"/>
        <v>1185200000</v>
      </c>
      <c r="G8" s="22">
        <f t="shared" si="2"/>
        <v>1126058520</v>
      </c>
      <c r="H8" s="22">
        <f t="shared" si="0"/>
        <v>15970304288</v>
      </c>
      <c r="I8" s="129">
        <f>Table25[[#This Row],[PAY PRICE]]/Table25[[#This Row],[QTY]]</f>
        <v>281514630</v>
      </c>
      <c r="J8" s="129">
        <f>($F$5-Table25[[#This Row],[$ Per Plane]])</f>
        <v>14785370</v>
      </c>
      <c r="K8" s="36">
        <f t="shared" si="3"/>
        <v>59141480</v>
      </c>
      <c r="L8" s="69">
        <f t="shared" si="4"/>
        <v>0.1996</v>
      </c>
    </row>
    <row r="9" spans="2:15" ht="15" x14ac:dyDescent="0.25">
      <c r="C9" s="547"/>
      <c r="D9" s="82">
        <v>5</v>
      </c>
      <c r="E9" s="75">
        <v>5.8200000000000002E-2</v>
      </c>
      <c r="F9" s="22">
        <f t="shared" si="1"/>
        <v>1481500000</v>
      </c>
      <c r="G9" s="22">
        <f t="shared" si="2"/>
        <v>1395276700</v>
      </c>
      <c r="H9" s="22">
        <f t="shared" si="0"/>
        <v>15701086108</v>
      </c>
      <c r="I9" s="129">
        <f>Table25[[#This Row],[PAY PRICE]]/Table25[[#This Row],[QTY]]</f>
        <v>279055340</v>
      </c>
      <c r="J9" s="129">
        <f>($F$5-Table25[[#This Row],[$ Per Plane]])</f>
        <v>17244660</v>
      </c>
      <c r="K9" s="36">
        <f t="shared" si="3"/>
        <v>86223300</v>
      </c>
      <c r="L9" s="69">
        <f t="shared" si="4"/>
        <v>0.29099999999999998</v>
      </c>
    </row>
    <row r="10" spans="2:15" ht="15" x14ac:dyDescent="0.25">
      <c r="C10" s="547"/>
      <c r="D10" s="81">
        <v>6</v>
      </c>
      <c r="E10" s="75">
        <v>6.3100000000000003E-2</v>
      </c>
      <c r="F10" s="22">
        <f t="shared" si="1"/>
        <v>1777800000</v>
      </c>
      <c r="G10" s="22">
        <f t="shared" si="2"/>
        <v>1665620820</v>
      </c>
      <c r="H10" s="22">
        <f t="shared" si="0"/>
        <v>15430741988</v>
      </c>
      <c r="I10" s="129">
        <f>Table25[[#This Row],[PAY PRICE]]/Table25[[#This Row],[QTY]]</f>
        <v>277603470</v>
      </c>
      <c r="J10" s="129">
        <f>($F$5-Table25[[#This Row],[$ Per Plane]])</f>
        <v>18696530</v>
      </c>
      <c r="K10" s="36">
        <f t="shared" si="3"/>
        <v>112179180</v>
      </c>
      <c r="L10" s="69">
        <f t="shared" si="4"/>
        <v>0.37859999999999999</v>
      </c>
    </row>
    <row r="11" spans="2:15" ht="15.75" thickBot="1" x14ac:dyDescent="0.3">
      <c r="C11" s="548"/>
      <c r="D11" s="83">
        <v>7</v>
      </c>
      <c r="E11" s="76">
        <v>6.7900000000000002E-2</v>
      </c>
      <c r="F11" s="19">
        <f t="shared" si="1"/>
        <v>2074100000</v>
      </c>
      <c r="G11" s="19">
        <f t="shared" si="2"/>
        <v>1933268610</v>
      </c>
      <c r="H11" s="19">
        <f t="shared" si="0"/>
        <v>15163094198</v>
      </c>
      <c r="I11" s="130">
        <f>Table25[[#This Row],[PAY PRICE]]/Table25[[#This Row],[QTY]]</f>
        <v>276181230</v>
      </c>
      <c r="J11" s="129">
        <f>($F$5-Table25[[#This Row],[$ Per Plane]])</f>
        <v>20118770</v>
      </c>
      <c r="K11" s="23">
        <f t="shared" si="3"/>
        <v>140831390</v>
      </c>
      <c r="L11" s="71">
        <f t="shared" si="4"/>
        <v>0.4753</v>
      </c>
    </row>
    <row r="12" spans="2:15" ht="15" x14ac:dyDescent="0.25">
      <c r="C12" s="546">
        <f>C5+1</f>
        <v>2</v>
      </c>
      <c r="D12" s="84">
        <v>8</v>
      </c>
      <c r="E12" s="74">
        <v>7.2300000000000003E-2</v>
      </c>
      <c r="F12" s="72">
        <f t="shared" si="1"/>
        <v>2370400000</v>
      </c>
      <c r="G12" s="72">
        <f t="shared" si="2"/>
        <v>2199020080</v>
      </c>
      <c r="H12" s="72">
        <f t="shared" si="0"/>
        <v>14897342728</v>
      </c>
      <c r="I12" s="128">
        <f>Table25[[#This Row],[PAY PRICE]]/Table25[[#This Row],[QTY]]</f>
        <v>274877510</v>
      </c>
      <c r="J12" s="129">
        <f>($F$5-Table25[[#This Row],[$ Per Plane]])</f>
        <v>21422490</v>
      </c>
      <c r="K12" s="67">
        <f t="shared" si="3"/>
        <v>171379920</v>
      </c>
      <c r="L12" s="68">
        <f t="shared" si="4"/>
        <v>0.57840000000000003</v>
      </c>
    </row>
    <row r="13" spans="2:15" ht="15" x14ac:dyDescent="0.25">
      <c r="C13" s="547"/>
      <c r="D13" s="82">
        <v>9</v>
      </c>
      <c r="E13" s="75">
        <v>7.6600000000000001E-2</v>
      </c>
      <c r="F13" s="22">
        <f t="shared" si="1"/>
        <v>2666700000</v>
      </c>
      <c r="G13" s="22">
        <f t="shared" si="2"/>
        <v>2462430780</v>
      </c>
      <c r="H13" s="22">
        <f t="shared" si="0"/>
        <v>14633932028</v>
      </c>
      <c r="I13" s="129">
        <f>Table25[[#This Row],[PAY PRICE]]/Table25[[#This Row],[QTY]]</f>
        <v>273603420</v>
      </c>
      <c r="J13" s="129">
        <f>($F$5-Table25[[#This Row],[$ Per Plane]])</f>
        <v>22696580</v>
      </c>
      <c r="K13" s="36">
        <f t="shared" si="3"/>
        <v>204269220</v>
      </c>
      <c r="L13" s="69">
        <f t="shared" si="4"/>
        <v>0.68940000000000001</v>
      </c>
    </row>
    <row r="14" spans="2:15" ht="15" x14ac:dyDescent="0.25">
      <c r="C14" s="547"/>
      <c r="D14" s="81">
        <v>10</v>
      </c>
      <c r="E14" s="75">
        <v>8.09E-2</v>
      </c>
      <c r="F14" s="22">
        <f t="shared" si="1"/>
        <v>2963000000</v>
      </c>
      <c r="G14" s="22">
        <f t="shared" si="2"/>
        <v>2723293300</v>
      </c>
      <c r="H14" s="22">
        <f t="shared" si="0"/>
        <v>14373069508</v>
      </c>
      <c r="I14" s="129">
        <f>Table25[[#This Row],[PAY PRICE]]/Table25[[#This Row],[QTY]]</f>
        <v>272329330</v>
      </c>
      <c r="J14" s="129">
        <f>($F$5-Table25[[#This Row],[$ Per Plane]])</f>
        <v>23970670</v>
      </c>
      <c r="K14" s="36">
        <f t="shared" si="3"/>
        <v>239706700</v>
      </c>
      <c r="L14" s="69">
        <f t="shared" si="4"/>
        <v>0.80900000000000005</v>
      </c>
    </row>
    <row r="15" spans="2:15" ht="15" x14ac:dyDescent="0.25">
      <c r="C15" s="547"/>
      <c r="D15" s="81">
        <v>11</v>
      </c>
      <c r="E15" s="75">
        <v>8.4699999999999998E-2</v>
      </c>
      <c r="F15" s="22">
        <f t="shared" si="1"/>
        <v>3259300000</v>
      </c>
      <c r="G15" s="22">
        <f t="shared" si="2"/>
        <v>2983237290</v>
      </c>
      <c r="H15" s="22">
        <f t="shared" si="0"/>
        <v>14113125518</v>
      </c>
      <c r="I15" s="129">
        <f>Table25[[#This Row],[PAY PRICE]]/Table25[[#This Row],[QTY]]</f>
        <v>271203390</v>
      </c>
      <c r="J15" s="129">
        <f>($F$5-Table25[[#This Row],[$ Per Plane]])</f>
        <v>25096610</v>
      </c>
      <c r="K15" s="36">
        <f t="shared" si="3"/>
        <v>276062710</v>
      </c>
      <c r="L15" s="69">
        <f t="shared" si="4"/>
        <v>0.93169999999999997</v>
      </c>
    </row>
    <row r="16" spans="2:15" ht="15" x14ac:dyDescent="0.25">
      <c r="C16" s="547"/>
      <c r="D16" s="81">
        <v>12</v>
      </c>
      <c r="E16" s="75">
        <v>8.7499999999999994E-2</v>
      </c>
      <c r="F16" s="22">
        <f t="shared" si="1"/>
        <v>3555600000</v>
      </c>
      <c r="G16" s="22">
        <f t="shared" si="2"/>
        <v>3244485000</v>
      </c>
      <c r="H16" s="22">
        <f t="shared" si="0"/>
        <v>13851877808</v>
      </c>
      <c r="I16" s="129">
        <f>Table25[[#This Row],[PAY PRICE]]/Table25[[#This Row],[QTY]]</f>
        <v>270373750</v>
      </c>
      <c r="J16" s="129">
        <f>($F$5-Table25[[#This Row],[$ Per Plane]])</f>
        <v>25926250</v>
      </c>
      <c r="K16" s="36">
        <f t="shared" si="3"/>
        <v>311115000</v>
      </c>
      <c r="L16" s="69">
        <f t="shared" si="4"/>
        <v>1.05</v>
      </c>
      <c r="O16" s="21"/>
    </row>
    <row r="17" spans="3:12" ht="15" x14ac:dyDescent="0.25">
      <c r="C17" s="547"/>
      <c r="D17" s="82">
        <v>13</v>
      </c>
      <c r="E17" s="75">
        <v>9.06E-2</v>
      </c>
      <c r="F17" s="22">
        <f t="shared" si="1"/>
        <v>3851900000</v>
      </c>
      <c r="G17" s="22">
        <f t="shared" si="2"/>
        <v>3502917860</v>
      </c>
      <c r="H17" s="22">
        <f t="shared" si="0"/>
        <v>13593444948</v>
      </c>
      <c r="I17" s="129">
        <f>Table25[[#This Row],[PAY PRICE]]/Table25[[#This Row],[QTY]]</f>
        <v>269455220</v>
      </c>
      <c r="J17" s="129">
        <f>($F$5-Table25[[#This Row],[$ Per Plane]])</f>
        <v>26844780</v>
      </c>
      <c r="K17" s="36">
        <f t="shared" si="3"/>
        <v>348982140</v>
      </c>
      <c r="L17" s="69">
        <f t="shared" si="4"/>
        <v>1.1778</v>
      </c>
    </row>
    <row r="18" spans="3:12" ht="15.75" thickBot="1" x14ac:dyDescent="0.3">
      <c r="C18" s="548"/>
      <c r="D18" s="83">
        <v>14</v>
      </c>
      <c r="E18" s="76">
        <v>9.35E-2</v>
      </c>
      <c r="F18" s="19">
        <f t="shared" si="1"/>
        <v>4148200000</v>
      </c>
      <c r="G18" s="19">
        <f t="shared" si="2"/>
        <v>3760343300</v>
      </c>
      <c r="H18" s="19">
        <f t="shared" si="0"/>
        <v>13336019508</v>
      </c>
      <c r="I18" s="130">
        <f>Table25[[#This Row],[PAY PRICE]]/Table25[[#This Row],[QTY]]</f>
        <v>268595950</v>
      </c>
      <c r="J18" s="129">
        <f>($F$5-Table25[[#This Row],[$ Per Plane]])</f>
        <v>27704050</v>
      </c>
      <c r="K18" s="23">
        <f t="shared" si="3"/>
        <v>387856700</v>
      </c>
      <c r="L18" s="71">
        <f t="shared" si="4"/>
        <v>1.3089999999999999</v>
      </c>
    </row>
    <row r="19" spans="3:12" ht="15" x14ac:dyDescent="0.25">
      <c r="C19" s="546">
        <v>3</v>
      </c>
      <c r="D19" s="84">
        <v>15</v>
      </c>
      <c r="E19" s="74">
        <v>9.6600000000000005E-2</v>
      </c>
      <c r="F19" s="72">
        <f t="shared" si="1"/>
        <v>4444500000</v>
      </c>
      <c r="G19" s="72">
        <f t="shared" si="2"/>
        <v>4015161300</v>
      </c>
      <c r="H19" s="72">
        <f t="shared" si="0"/>
        <v>13081201508</v>
      </c>
      <c r="I19" s="128">
        <f>Table25[[#This Row],[PAY PRICE]]/Table25[[#This Row],[QTY]]</f>
        <v>267677420</v>
      </c>
      <c r="J19" s="129">
        <f>($F$5-Table25[[#This Row],[$ Per Plane]])</f>
        <v>28622580</v>
      </c>
      <c r="K19" s="67">
        <f t="shared" si="3"/>
        <v>429338700</v>
      </c>
      <c r="L19" s="68">
        <f t="shared" si="4"/>
        <v>1.4490000000000001</v>
      </c>
    </row>
    <row r="20" spans="3:12" ht="15" x14ac:dyDescent="0.25">
      <c r="C20" s="547"/>
      <c r="D20" s="81">
        <v>16</v>
      </c>
      <c r="E20" s="75">
        <v>9.9599999999999994E-2</v>
      </c>
      <c r="F20" s="22">
        <f t="shared" si="1"/>
        <v>4740800000</v>
      </c>
      <c r="G20" s="22">
        <f t="shared" si="2"/>
        <v>4268616320</v>
      </c>
      <c r="H20" s="22">
        <f t="shared" si="0"/>
        <v>12827746488</v>
      </c>
      <c r="I20" s="129">
        <f>Table25[[#This Row],[PAY PRICE]]/Table25[[#This Row],[QTY]]</f>
        <v>266788520</v>
      </c>
      <c r="J20" s="129">
        <f>($F$5-Table25[[#This Row],[$ Per Plane]])</f>
        <v>29511480</v>
      </c>
      <c r="K20" s="36">
        <f t="shared" si="3"/>
        <v>472183680</v>
      </c>
      <c r="L20" s="69">
        <f t="shared" si="4"/>
        <v>1.5935999999999999</v>
      </c>
    </row>
    <row r="21" spans="3:12" ht="15" x14ac:dyDescent="0.25">
      <c r="C21" s="547"/>
      <c r="D21" s="81">
        <v>17</v>
      </c>
      <c r="E21" s="75">
        <v>0.10290000000000001</v>
      </c>
      <c r="F21" s="22">
        <f t="shared" si="1"/>
        <v>5037100000</v>
      </c>
      <c r="G21" s="22">
        <f t="shared" si="2"/>
        <v>4518782410</v>
      </c>
      <c r="H21" s="22">
        <f t="shared" si="0"/>
        <v>12577580398</v>
      </c>
      <c r="I21" s="129">
        <f>Table25[[#This Row],[PAY PRICE]]/Table25[[#This Row],[QTY]]</f>
        <v>265810730</v>
      </c>
      <c r="J21" s="129">
        <f>($F$5-Table25[[#This Row],[$ Per Plane]])</f>
        <v>30489270</v>
      </c>
      <c r="K21" s="36">
        <f t="shared" si="3"/>
        <v>518317590</v>
      </c>
      <c r="L21" s="69">
        <f t="shared" si="4"/>
        <v>1.7493000000000001</v>
      </c>
    </row>
    <row r="22" spans="3:12" ht="15" x14ac:dyDescent="0.25">
      <c r="C22" s="547"/>
      <c r="D22" s="81">
        <v>18</v>
      </c>
      <c r="E22" s="75">
        <v>0.1061</v>
      </c>
      <c r="F22" s="22">
        <f t="shared" si="1"/>
        <v>5333400000</v>
      </c>
      <c r="G22" s="22">
        <f t="shared" si="2"/>
        <v>4767526260</v>
      </c>
      <c r="H22" s="22">
        <f t="shared" si="0"/>
        <v>12328836548</v>
      </c>
      <c r="I22" s="129">
        <f>Table25[[#This Row],[PAY PRICE]]/Table25[[#This Row],[QTY]]</f>
        <v>264862570</v>
      </c>
      <c r="J22" s="129">
        <f>($F$5-Table25[[#This Row],[$ Per Plane]])</f>
        <v>31437430</v>
      </c>
      <c r="K22" s="36">
        <f t="shared" si="3"/>
        <v>565873740</v>
      </c>
      <c r="L22" s="69">
        <f t="shared" si="4"/>
        <v>1.9097999999999999</v>
      </c>
    </row>
    <row r="23" spans="3:12" ht="15" x14ac:dyDescent="0.25">
      <c r="C23" s="547"/>
      <c r="D23" s="81">
        <v>19</v>
      </c>
      <c r="E23" s="75">
        <v>0.1094</v>
      </c>
      <c r="F23" s="22">
        <f t="shared" si="1"/>
        <v>5629700000</v>
      </c>
      <c r="G23" s="22">
        <f t="shared" si="2"/>
        <v>5013810820</v>
      </c>
      <c r="H23" s="22">
        <f t="shared" si="0"/>
        <v>12082551988</v>
      </c>
      <c r="I23" s="129">
        <f>Table25[[#This Row],[PAY PRICE]]/Table25[[#This Row],[QTY]]</f>
        <v>263884780</v>
      </c>
      <c r="J23" s="129">
        <f>($F$5-Table25[[#This Row],[$ Per Plane]])</f>
        <v>32415220</v>
      </c>
      <c r="K23" s="36">
        <f t="shared" si="3"/>
        <v>615889180</v>
      </c>
      <c r="L23" s="69">
        <f t="shared" si="4"/>
        <v>2.0785999999999998</v>
      </c>
    </row>
    <row r="24" spans="3:12" ht="15" x14ac:dyDescent="0.25">
      <c r="C24" s="547"/>
      <c r="D24" s="81">
        <v>20</v>
      </c>
      <c r="E24" s="75">
        <v>0.11269999999999999</v>
      </c>
      <c r="F24" s="22">
        <f t="shared" si="1"/>
        <v>5926000000</v>
      </c>
      <c r="G24" s="22">
        <f t="shared" si="2"/>
        <v>5258139800</v>
      </c>
      <c r="H24" s="22">
        <f t="shared" si="0"/>
        <v>11838223008</v>
      </c>
      <c r="I24" s="129">
        <f>Table25[[#This Row],[PAY PRICE]]/Table25[[#This Row],[QTY]]</f>
        <v>262906990</v>
      </c>
      <c r="J24" s="129">
        <f>($F$5-Table25[[#This Row],[$ Per Plane]])</f>
        <v>33393010</v>
      </c>
      <c r="K24" s="36">
        <f t="shared" si="3"/>
        <v>667860200</v>
      </c>
      <c r="L24" s="69">
        <f t="shared" si="4"/>
        <v>2.254</v>
      </c>
    </row>
    <row r="25" spans="3:12" ht="15.75" thickBot="1" x14ac:dyDescent="0.3">
      <c r="C25" s="548"/>
      <c r="D25" s="83">
        <v>21</v>
      </c>
      <c r="E25" s="76">
        <v>0.1157</v>
      </c>
      <c r="F25" s="19">
        <f t="shared" si="1"/>
        <v>6222300000</v>
      </c>
      <c r="G25" s="19">
        <f t="shared" si="2"/>
        <v>5502379890</v>
      </c>
      <c r="H25" s="19">
        <f t="shared" si="0"/>
        <v>11593982918</v>
      </c>
      <c r="I25" s="130">
        <f>Table25[[#This Row],[PAY PRICE]]/Table25[[#This Row],[QTY]]</f>
        <v>262018090</v>
      </c>
      <c r="J25" s="129">
        <f>($F$5-Table25[[#This Row],[$ Per Plane]])</f>
        <v>34281910</v>
      </c>
      <c r="K25" s="23">
        <f t="shared" si="3"/>
        <v>719920110</v>
      </c>
      <c r="L25" s="71">
        <f t="shared" si="4"/>
        <v>2.4297</v>
      </c>
    </row>
    <row r="26" spans="3:12" ht="15" x14ac:dyDescent="0.25">
      <c r="C26" s="546">
        <v>4</v>
      </c>
      <c r="D26" s="84">
        <v>22</v>
      </c>
      <c r="E26" s="74">
        <v>0.11849999999999999</v>
      </c>
      <c r="F26" s="72">
        <f t="shared" si="1"/>
        <v>6518600000</v>
      </c>
      <c r="G26" s="72">
        <f t="shared" si="2"/>
        <v>5746145900</v>
      </c>
      <c r="H26" s="72">
        <f t="shared" si="0"/>
        <v>11350216908</v>
      </c>
      <c r="I26" s="128">
        <f>Table25[[#This Row],[PAY PRICE]]/Table25[[#This Row],[QTY]]</f>
        <v>261188450</v>
      </c>
      <c r="J26" s="129">
        <f>($F$5-Table25[[#This Row],[$ Per Plane]])</f>
        <v>35111550</v>
      </c>
      <c r="K26" s="67">
        <f t="shared" si="3"/>
        <v>772454100</v>
      </c>
      <c r="L26" s="68">
        <f t="shared" si="4"/>
        <v>2.6070000000000002</v>
      </c>
    </row>
    <row r="27" spans="3:12" ht="15" x14ac:dyDescent="0.25">
      <c r="C27" s="547"/>
      <c r="D27" s="81">
        <v>23</v>
      </c>
      <c r="E27" s="75">
        <v>0.121</v>
      </c>
      <c r="F27" s="22">
        <f t="shared" si="1"/>
        <v>6814900000</v>
      </c>
      <c r="G27" s="22">
        <f t="shared" si="2"/>
        <v>5990297100</v>
      </c>
      <c r="H27" s="22">
        <f t="shared" si="0"/>
        <v>11106065708</v>
      </c>
      <c r="I27" s="129">
        <f>Table25[[#This Row],[PAY PRICE]]/Table25[[#This Row],[QTY]]</f>
        <v>260447700</v>
      </c>
      <c r="J27" s="129">
        <f>($F$5-Table25[[#This Row],[$ Per Plane]])</f>
        <v>35852300</v>
      </c>
      <c r="K27" s="36">
        <f t="shared" si="3"/>
        <v>824602900</v>
      </c>
      <c r="L27" s="69">
        <f t="shared" si="4"/>
        <v>2.7829999999999999</v>
      </c>
    </row>
    <row r="28" spans="3:12" ht="15" x14ac:dyDescent="0.25">
      <c r="C28" s="547"/>
      <c r="D28" s="81">
        <v>24</v>
      </c>
      <c r="E28" s="75">
        <v>0.1237</v>
      </c>
      <c r="F28" s="22">
        <f t="shared" si="1"/>
        <v>7111200000</v>
      </c>
      <c r="G28" s="22">
        <f t="shared" si="2"/>
        <v>6231544560</v>
      </c>
      <c r="H28" s="22">
        <f t="shared" si="0"/>
        <v>10864818248</v>
      </c>
      <c r="I28" s="129">
        <f>Table25[[#This Row],[PAY PRICE]]/Table25[[#This Row],[QTY]]</f>
        <v>259647690</v>
      </c>
      <c r="J28" s="129">
        <f>($F$5-Table25[[#This Row],[$ Per Plane]])</f>
        <v>36652310</v>
      </c>
      <c r="K28" s="36">
        <f t="shared" si="3"/>
        <v>879655440</v>
      </c>
      <c r="L28" s="69">
        <f t="shared" si="4"/>
        <v>2.9687999999999999</v>
      </c>
    </row>
    <row r="29" spans="3:12" ht="15" x14ac:dyDescent="0.25">
      <c r="C29" s="547"/>
      <c r="D29" s="81">
        <v>25</v>
      </c>
      <c r="E29" s="75">
        <v>0.1263</v>
      </c>
      <c r="F29" s="22">
        <f t="shared" si="1"/>
        <v>7407500000</v>
      </c>
      <c r="G29" s="22">
        <f t="shared" si="2"/>
        <v>6471932750</v>
      </c>
      <c r="H29" s="22">
        <f t="shared" si="0"/>
        <v>10624430058</v>
      </c>
      <c r="I29" s="129">
        <f>Table25[[#This Row],[PAY PRICE]]/Table25[[#This Row],[QTY]]</f>
        <v>258877310</v>
      </c>
      <c r="J29" s="129">
        <f>($F$5-Table25[[#This Row],[$ Per Plane]])</f>
        <v>37422690</v>
      </c>
      <c r="K29" s="36">
        <f t="shared" si="3"/>
        <v>935567250</v>
      </c>
      <c r="L29" s="69">
        <f t="shared" si="4"/>
        <v>3.1575000000000002</v>
      </c>
    </row>
    <row r="30" spans="3:12" ht="15" x14ac:dyDescent="0.25">
      <c r="C30" s="547"/>
      <c r="D30" s="81">
        <v>26</v>
      </c>
      <c r="E30" s="75">
        <v>0.1275</v>
      </c>
      <c r="F30" s="22">
        <f t="shared" si="1"/>
        <v>7703800000</v>
      </c>
      <c r="G30" s="22">
        <f t="shared" si="2"/>
        <v>6721565500</v>
      </c>
      <c r="H30" s="22">
        <f t="shared" si="0"/>
        <v>10374797308</v>
      </c>
      <c r="I30" s="129">
        <f>Table25[[#This Row],[PAY PRICE]]/Table25[[#This Row],[QTY]]</f>
        <v>258521750</v>
      </c>
      <c r="J30" s="129">
        <f>($F$5-Table25[[#This Row],[$ Per Plane]])</f>
        <v>37778250</v>
      </c>
      <c r="K30" s="36">
        <f t="shared" si="3"/>
        <v>982234500</v>
      </c>
      <c r="L30" s="69">
        <f t="shared" si="4"/>
        <v>3.3149999999999999</v>
      </c>
    </row>
    <row r="31" spans="3:12" ht="15" x14ac:dyDescent="0.25">
      <c r="C31" s="547"/>
      <c r="D31" s="81">
        <v>27</v>
      </c>
      <c r="E31" s="75">
        <v>0.12820000000000001</v>
      </c>
      <c r="F31" s="22">
        <f t="shared" si="1"/>
        <v>8000100000</v>
      </c>
      <c r="G31" s="22">
        <f t="shared" si="2"/>
        <v>6974487180</v>
      </c>
      <c r="H31" s="22">
        <f t="shared" si="0"/>
        <v>10121875628</v>
      </c>
      <c r="I31" s="129">
        <f>Table25[[#This Row],[PAY PRICE]]/Table25[[#This Row],[QTY]]</f>
        <v>258314340</v>
      </c>
      <c r="J31" s="129">
        <f>($F$5-Table25[[#This Row],[$ Per Plane]])</f>
        <v>37985660</v>
      </c>
      <c r="K31" s="36">
        <f t="shared" si="3"/>
        <v>1025612820</v>
      </c>
      <c r="L31" s="69">
        <f t="shared" si="4"/>
        <v>3.4613999999999998</v>
      </c>
    </row>
    <row r="32" spans="3:12" ht="15.75" thickBot="1" x14ac:dyDescent="0.3">
      <c r="C32" s="548"/>
      <c r="D32" s="83">
        <v>28</v>
      </c>
      <c r="E32" s="76">
        <v>0.1288</v>
      </c>
      <c r="F32" s="19">
        <f t="shared" si="1"/>
        <v>8296400000</v>
      </c>
      <c r="G32" s="19">
        <f t="shared" si="2"/>
        <v>7227823680</v>
      </c>
      <c r="H32" s="19">
        <f t="shared" si="0"/>
        <v>9868539128</v>
      </c>
      <c r="I32" s="131">
        <f>Table25[[#This Row],[PAY PRICE]]/Table25[[#This Row],[QTY]]</f>
        <v>258136560</v>
      </c>
      <c r="J32" s="129">
        <f>($F$5-Table25[[#This Row],[$ Per Plane]])</f>
        <v>38163440</v>
      </c>
      <c r="K32" s="18">
        <f t="shared" si="3"/>
        <v>1068576320</v>
      </c>
      <c r="L32" s="71">
        <f t="shared" si="4"/>
        <v>3.6063999999999998</v>
      </c>
    </row>
    <row r="33" spans="3:12" ht="15" x14ac:dyDescent="0.25">
      <c r="C33" s="546">
        <v>5</v>
      </c>
      <c r="D33" s="84">
        <v>29</v>
      </c>
      <c r="E33" s="74">
        <v>0.12939999999999999</v>
      </c>
      <c r="F33" s="72">
        <f t="shared" si="1"/>
        <v>8592700000</v>
      </c>
      <c r="G33" s="72">
        <f t="shared" si="2"/>
        <v>7480804620</v>
      </c>
      <c r="H33" s="72">
        <f t="shared" si="0"/>
        <v>9615558188</v>
      </c>
      <c r="I33" s="128">
        <f>Table25[[#This Row],[PAY PRICE]]/Table25[[#This Row],[QTY]]</f>
        <v>257958780</v>
      </c>
      <c r="J33" s="129">
        <f>($F$5-Table25[[#This Row],[$ Per Plane]])</f>
        <v>38341220</v>
      </c>
      <c r="K33" s="67">
        <f t="shared" si="3"/>
        <v>1111895380</v>
      </c>
      <c r="L33" s="68">
        <f t="shared" si="4"/>
        <v>3.7526000000000002</v>
      </c>
    </row>
    <row r="34" spans="3:12" ht="15" x14ac:dyDescent="0.25">
      <c r="C34" s="547"/>
      <c r="D34" s="81">
        <v>30</v>
      </c>
      <c r="E34" s="75">
        <v>0.13</v>
      </c>
      <c r="F34" s="22">
        <f t="shared" si="1"/>
        <v>8889000000</v>
      </c>
      <c r="G34" s="22">
        <f t="shared" si="2"/>
        <v>7733430000</v>
      </c>
      <c r="H34" s="22">
        <f t="shared" si="0"/>
        <v>9362932808</v>
      </c>
      <c r="I34" s="129">
        <f>Table25[[#This Row],[PAY PRICE]]/Table25[[#This Row],[QTY]]</f>
        <v>257781000</v>
      </c>
      <c r="J34" s="129">
        <f>($F$5-Table25[[#This Row],[$ Per Plane]])</f>
        <v>38519000</v>
      </c>
      <c r="K34" s="36">
        <f t="shared" si="3"/>
        <v>1155570000</v>
      </c>
      <c r="L34" s="69">
        <f t="shared" si="4"/>
        <v>3.9</v>
      </c>
    </row>
    <row r="35" spans="3:12" ht="15" x14ac:dyDescent="0.25">
      <c r="C35" s="547"/>
      <c r="D35" s="81">
        <v>31</v>
      </c>
      <c r="E35" s="75">
        <v>0.13</v>
      </c>
      <c r="F35" s="22">
        <f t="shared" si="1"/>
        <v>9185300000</v>
      </c>
      <c r="G35" s="22">
        <f t="shared" si="2"/>
        <v>7991211000</v>
      </c>
      <c r="H35" s="22">
        <f t="shared" si="0"/>
        <v>9105151808</v>
      </c>
      <c r="I35" s="129">
        <f>Table25[[#This Row],[PAY PRICE]]/Table25[[#This Row],[QTY]]</f>
        <v>257781000</v>
      </c>
      <c r="J35" s="129">
        <f>($F$5-Table25[[#This Row],[$ Per Plane]])</f>
        <v>38519000</v>
      </c>
      <c r="K35" s="36">
        <f t="shared" si="3"/>
        <v>1194089000</v>
      </c>
      <c r="L35" s="69">
        <f t="shared" si="4"/>
        <v>4.03</v>
      </c>
    </row>
    <row r="36" spans="3:12" ht="15" x14ac:dyDescent="0.25">
      <c r="C36" s="547"/>
      <c r="D36" s="81">
        <v>32</v>
      </c>
      <c r="E36" s="75">
        <v>0.13</v>
      </c>
      <c r="F36" s="22">
        <f t="shared" si="1"/>
        <v>9481600000</v>
      </c>
      <c r="G36" s="22">
        <f t="shared" si="2"/>
        <v>8248992000</v>
      </c>
      <c r="H36" s="22">
        <f t="shared" si="0"/>
        <v>8847370808</v>
      </c>
      <c r="I36" s="129">
        <f>Table25[[#This Row],[PAY PRICE]]/Table25[[#This Row],[QTY]]</f>
        <v>257781000</v>
      </c>
      <c r="J36" s="129">
        <f>($F$5-Table25[[#This Row],[$ Per Plane]])</f>
        <v>38519000</v>
      </c>
      <c r="K36" s="36">
        <f t="shared" si="3"/>
        <v>1232608000</v>
      </c>
      <c r="L36" s="69">
        <f t="shared" si="4"/>
        <v>4.16</v>
      </c>
    </row>
    <row r="37" spans="3:12" ht="15" x14ac:dyDescent="0.25">
      <c r="C37" s="547"/>
      <c r="D37" s="81">
        <v>33</v>
      </c>
      <c r="E37" s="75">
        <v>0.13</v>
      </c>
      <c r="F37" s="22">
        <f t="shared" si="1"/>
        <v>9777900000</v>
      </c>
      <c r="G37" s="22">
        <f t="shared" si="2"/>
        <v>8506773000</v>
      </c>
      <c r="H37" s="22">
        <f t="shared" ref="H37:H68" si="5">$H$2-G37</f>
        <v>8589589808</v>
      </c>
      <c r="I37" s="129">
        <f>Table25[[#This Row],[PAY PRICE]]/Table25[[#This Row],[QTY]]</f>
        <v>257781000</v>
      </c>
      <c r="J37" s="129">
        <f>($F$5-Table25[[#This Row],[$ Per Plane]])</f>
        <v>38519000</v>
      </c>
      <c r="K37" s="36">
        <f t="shared" si="3"/>
        <v>1271127000</v>
      </c>
      <c r="L37" s="69">
        <f t="shared" si="4"/>
        <v>4.29</v>
      </c>
    </row>
    <row r="38" spans="3:12" ht="15" x14ac:dyDescent="0.25">
      <c r="C38" s="547"/>
      <c r="D38" s="81">
        <v>34</v>
      </c>
      <c r="E38" s="75">
        <v>0.13</v>
      </c>
      <c r="F38" s="22">
        <f t="shared" ref="F38:F69" si="6">$F$5*D38</f>
        <v>10074200000</v>
      </c>
      <c r="G38" s="22">
        <f t="shared" ref="G38:G69" si="7">F38*(1-E38)</f>
        <v>8764554000</v>
      </c>
      <c r="H38" s="22">
        <f t="shared" si="5"/>
        <v>8331808808</v>
      </c>
      <c r="I38" s="129">
        <f>Table25[[#This Row],[PAY PRICE]]/Table25[[#This Row],[QTY]]</f>
        <v>257781000</v>
      </c>
      <c r="J38" s="129">
        <f>($F$5-Table25[[#This Row],[$ Per Plane]])</f>
        <v>38519000</v>
      </c>
      <c r="K38" s="36">
        <f t="shared" ref="K38:K69" si="8">($F$5*D38)-G38</f>
        <v>1309646000</v>
      </c>
      <c r="L38" s="69">
        <f t="shared" ref="L38:L69" si="9">K38/$F$5</f>
        <v>4.42</v>
      </c>
    </row>
    <row r="39" spans="3:12" ht="15.75" thickBot="1" x14ac:dyDescent="0.3">
      <c r="C39" s="548"/>
      <c r="D39" s="83">
        <v>35</v>
      </c>
      <c r="E39" s="76">
        <v>0.13</v>
      </c>
      <c r="F39" s="19">
        <f t="shared" si="6"/>
        <v>10370500000</v>
      </c>
      <c r="G39" s="19">
        <f t="shared" si="7"/>
        <v>9022335000</v>
      </c>
      <c r="H39" s="19">
        <f t="shared" si="5"/>
        <v>8074027808</v>
      </c>
      <c r="I39" s="131">
        <f>Table25[[#This Row],[PAY PRICE]]/Table25[[#This Row],[QTY]]</f>
        <v>257781000</v>
      </c>
      <c r="J39" s="129">
        <f>($F$5-Table25[[#This Row],[$ Per Plane]])</f>
        <v>38519000</v>
      </c>
      <c r="K39" s="18">
        <f t="shared" si="8"/>
        <v>1348165000</v>
      </c>
      <c r="L39" s="71">
        <f t="shared" si="9"/>
        <v>4.55</v>
      </c>
    </row>
    <row r="40" spans="3:12" ht="15" x14ac:dyDescent="0.25">
      <c r="C40" s="546">
        <v>6</v>
      </c>
      <c r="D40" s="84">
        <v>36</v>
      </c>
      <c r="E40" s="74">
        <v>0.13</v>
      </c>
      <c r="F40" s="72">
        <f t="shared" si="6"/>
        <v>10666800000</v>
      </c>
      <c r="G40" s="72">
        <f t="shared" si="7"/>
        <v>9280116000</v>
      </c>
      <c r="H40" s="72">
        <f t="shared" si="5"/>
        <v>7816246808</v>
      </c>
      <c r="I40" s="128">
        <f>Table25[[#This Row],[PAY PRICE]]/Table25[[#This Row],[QTY]]</f>
        <v>257781000</v>
      </c>
      <c r="J40" s="129">
        <f>($F$5-Table25[[#This Row],[$ Per Plane]])</f>
        <v>38519000</v>
      </c>
      <c r="K40" s="67">
        <f t="shared" si="8"/>
        <v>1386684000</v>
      </c>
      <c r="L40" s="68">
        <f t="shared" si="9"/>
        <v>4.68</v>
      </c>
    </row>
    <row r="41" spans="3:12" ht="15" x14ac:dyDescent="0.25">
      <c r="C41" s="547"/>
      <c r="D41" s="81">
        <v>37</v>
      </c>
      <c r="E41" s="75">
        <v>0.13</v>
      </c>
      <c r="F41" s="22">
        <f t="shared" si="6"/>
        <v>10963100000</v>
      </c>
      <c r="G41" s="22">
        <f t="shared" si="7"/>
        <v>9537897000</v>
      </c>
      <c r="H41" s="22">
        <f t="shared" si="5"/>
        <v>7558465808</v>
      </c>
      <c r="I41" s="129">
        <f>Table25[[#This Row],[PAY PRICE]]/Table25[[#This Row],[QTY]]</f>
        <v>257781000</v>
      </c>
      <c r="J41" s="129">
        <f>($F$5-Table25[[#This Row],[$ Per Plane]])</f>
        <v>38519000</v>
      </c>
      <c r="K41" s="36">
        <f t="shared" si="8"/>
        <v>1425203000</v>
      </c>
      <c r="L41" s="69">
        <f t="shared" si="9"/>
        <v>4.8099999999999996</v>
      </c>
    </row>
    <row r="42" spans="3:12" ht="15" x14ac:dyDescent="0.25">
      <c r="C42" s="547"/>
      <c r="D42" s="81">
        <v>38</v>
      </c>
      <c r="E42" s="75">
        <v>0.13</v>
      </c>
      <c r="F42" s="22">
        <f t="shared" si="6"/>
        <v>11259400000</v>
      </c>
      <c r="G42" s="22">
        <f t="shared" si="7"/>
        <v>9795678000</v>
      </c>
      <c r="H42" s="22">
        <f t="shared" si="5"/>
        <v>7300684808</v>
      </c>
      <c r="I42" s="129">
        <f>Table25[[#This Row],[PAY PRICE]]/Table25[[#This Row],[QTY]]</f>
        <v>257781000</v>
      </c>
      <c r="J42" s="129">
        <f>($F$5-Table25[[#This Row],[$ Per Plane]])</f>
        <v>38519000</v>
      </c>
      <c r="K42" s="36">
        <f t="shared" si="8"/>
        <v>1463722000</v>
      </c>
      <c r="L42" s="69">
        <f t="shared" si="9"/>
        <v>4.9400000000000004</v>
      </c>
    </row>
    <row r="43" spans="3:12" ht="15" x14ac:dyDescent="0.25">
      <c r="C43" s="547"/>
      <c r="D43" s="81">
        <v>39</v>
      </c>
      <c r="E43" s="75">
        <v>0.13</v>
      </c>
      <c r="F43" s="22">
        <f t="shared" si="6"/>
        <v>11555700000</v>
      </c>
      <c r="G43" s="22">
        <f t="shared" si="7"/>
        <v>10053459000</v>
      </c>
      <c r="H43" s="22">
        <f t="shared" si="5"/>
        <v>7042903808</v>
      </c>
      <c r="I43" s="129">
        <f>Table25[[#This Row],[PAY PRICE]]/Table25[[#This Row],[QTY]]</f>
        <v>257781000</v>
      </c>
      <c r="J43" s="129">
        <f>($F$5-Table25[[#This Row],[$ Per Plane]])</f>
        <v>38519000</v>
      </c>
      <c r="K43" s="36">
        <f t="shared" si="8"/>
        <v>1502241000</v>
      </c>
      <c r="L43" s="69">
        <f t="shared" si="9"/>
        <v>5.07</v>
      </c>
    </row>
    <row r="44" spans="3:12" ht="15" x14ac:dyDescent="0.25">
      <c r="C44" s="547"/>
      <c r="D44" s="81">
        <v>40</v>
      </c>
      <c r="E44" s="75">
        <v>0.13</v>
      </c>
      <c r="F44" s="22">
        <f t="shared" si="6"/>
        <v>11852000000</v>
      </c>
      <c r="G44" s="22">
        <f t="shared" si="7"/>
        <v>10311240000</v>
      </c>
      <c r="H44" s="22">
        <f t="shared" si="5"/>
        <v>6785122808</v>
      </c>
      <c r="I44" s="129">
        <f>Table25[[#This Row],[PAY PRICE]]/Table25[[#This Row],[QTY]]</f>
        <v>257781000</v>
      </c>
      <c r="J44" s="129">
        <f>($F$5-Table25[[#This Row],[$ Per Plane]])</f>
        <v>38519000</v>
      </c>
      <c r="K44" s="36">
        <f t="shared" si="8"/>
        <v>1540760000</v>
      </c>
      <c r="L44" s="69">
        <f t="shared" si="9"/>
        <v>5.2</v>
      </c>
    </row>
    <row r="45" spans="3:12" ht="15" x14ac:dyDescent="0.25">
      <c r="C45" s="547"/>
      <c r="D45" s="81">
        <v>41</v>
      </c>
      <c r="E45" s="75">
        <v>0.13</v>
      </c>
      <c r="F45" s="22">
        <f t="shared" si="6"/>
        <v>12148300000</v>
      </c>
      <c r="G45" s="22">
        <f t="shared" si="7"/>
        <v>10569021000</v>
      </c>
      <c r="H45" s="22">
        <f t="shared" si="5"/>
        <v>6527341808</v>
      </c>
      <c r="I45" s="129">
        <f>Table25[[#This Row],[PAY PRICE]]/Table25[[#This Row],[QTY]]</f>
        <v>257781000</v>
      </c>
      <c r="J45" s="129">
        <f>($F$5-Table25[[#This Row],[$ Per Plane]])</f>
        <v>38519000</v>
      </c>
      <c r="K45" s="36">
        <f t="shared" si="8"/>
        <v>1579279000</v>
      </c>
      <c r="L45" s="69">
        <f t="shared" si="9"/>
        <v>5.33</v>
      </c>
    </row>
    <row r="46" spans="3:12" ht="15.75" thickBot="1" x14ac:dyDescent="0.3">
      <c r="C46" s="548"/>
      <c r="D46" s="83">
        <v>42</v>
      </c>
      <c r="E46" s="76">
        <v>0.13</v>
      </c>
      <c r="F46" s="19">
        <f t="shared" si="6"/>
        <v>12444600000</v>
      </c>
      <c r="G46" s="19">
        <f t="shared" si="7"/>
        <v>10826802000</v>
      </c>
      <c r="H46" s="19">
        <f t="shared" si="5"/>
        <v>6269560808</v>
      </c>
      <c r="I46" s="131">
        <f>Table25[[#This Row],[PAY PRICE]]/Table25[[#This Row],[QTY]]</f>
        <v>257781000</v>
      </c>
      <c r="J46" s="129">
        <f>($F$5-Table25[[#This Row],[$ Per Plane]])</f>
        <v>38519000</v>
      </c>
      <c r="K46" s="18">
        <f t="shared" si="8"/>
        <v>1617798000</v>
      </c>
      <c r="L46" s="71">
        <f t="shared" si="9"/>
        <v>5.46</v>
      </c>
    </row>
    <row r="47" spans="3:12" ht="15" x14ac:dyDescent="0.25">
      <c r="C47" s="546">
        <v>7</v>
      </c>
      <c r="D47" s="84">
        <v>43</v>
      </c>
      <c r="E47" s="74">
        <v>0.13</v>
      </c>
      <c r="F47" s="72">
        <f t="shared" si="6"/>
        <v>12740900000</v>
      </c>
      <c r="G47" s="72">
        <f t="shared" si="7"/>
        <v>11084583000</v>
      </c>
      <c r="H47" s="72">
        <f t="shared" si="5"/>
        <v>6011779808</v>
      </c>
      <c r="I47" s="128">
        <f>Table25[[#This Row],[PAY PRICE]]/Table25[[#This Row],[QTY]]</f>
        <v>257781000</v>
      </c>
      <c r="J47" s="129">
        <f>($F$5-Table25[[#This Row],[$ Per Plane]])</f>
        <v>38519000</v>
      </c>
      <c r="K47" s="67">
        <f t="shared" si="8"/>
        <v>1656317000</v>
      </c>
      <c r="L47" s="68">
        <f t="shared" si="9"/>
        <v>5.59</v>
      </c>
    </row>
    <row r="48" spans="3:12" ht="15" x14ac:dyDescent="0.25">
      <c r="C48" s="547"/>
      <c r="D48" s="81">
        <v>44</v>
      </c>
      <c r="E48" s="75">
        <v>0.13</v>
      </c>
      <c r="F48" s="22">
        <f t="shared" si="6"/>
        <v>13037200000</v>
      </c>
      <c r="G48" s="22">
        <f t="shared" si="7"/>
        <v>11342364000</v>
      </c>
      <c r="H48" s="22">
        <f t="shared" si="5"/>
        <v>5753998808</v>
      </c>
      <c r="I48" s="129">
        <f>Table25[[#This Row],[PAY PRICE]]/Table25[[#This Row],[QTY]]</f>
        <v>257781000</v>
      </c>
      <c r="J48" s="129">
        <f>($F$5-Table25[[#This Row],[$ Per Plane]])</f>
        <v>38519000</v>
      </c>
      <c r="K48" s="36">
        <f t="shared" si="8"/>
        <v>1694836000</v>
      </c>
      <c r="L48" s="69">
        <f t="shared" si="9"/>
        <v>5.72</v>
      </c>
    </row>
    <row r="49" spans="3:12" ht="15" x14ac:dyDescent="0.25">
      <c r="C49" s="547"/>
      <c r="D49" s="81">
        <v>45</v>
      </c>
      <c r="E49" s="75">
        <v>0.13</v>
      </c>
      <c r="F49" s="22">
        <f t="shared" si="6"/>
        <v>13333500000</v>
      </c>
      <c r="G49" s="22">
        <f t="shared" si="7"/>
        <v>11600145000</v>
      </c>
      <c r="H49" s="22">
        <f t="shared" si="5"/>
        <v>5496217808</v>
      </c>
      <c r="I49" s="129">
        <f>Table25[[#This Row],[PAY PRICE]]/Table25[[#This Row],[QTY]]</f>
        <v>257781000</v>
      </c>
      <c r="J49" s="129">
        <f>($F$5-Table25[[#This Row],[$ Per Plane]])</f>
        <v>38519000</v>
      </c>
      <c r="K49" s="36">
        <f t="shared" si="8"/>
        <v>1733355000</v>
      </c>
      <c r="L49" s="69">
        <f t="shared" si="9"/>
        <v>5.85</v>
      </c>
    </row>
    <row r="50" spans="3:12" ht="15" x14ac:dyDescent="0.25">
      <c r="C50" s="547"/>
      <c r="D50" s="81">
        <v>46</v>
      </c>
      <c r="E50" s="75">
        <v>0.13</v>
      </c>
      <c r="F50" s="22">
        <f t="shared" si="6"/>
        <v>13629800000</v>
      </c>
      <c r="G50" s="22">
        <f t="shared" si="7"/>
        <v>11857926000</v>
      </c>
      <c r="H50" s="22">
        <f t="shared" si="5"/>
        <v>5238436808</v>
      </c>
      <c r="I50" s="129">
        <f>Table25[[#This Row],[PAY PRICE]]/Table25[[#This Row],[QTY]]</f>
        <v>257781000</v>
      </c>
      <c r="J50" s="129">
        <f>($F$5-Table25[[#This Row],[$ Per Plane]])</f>
        <v>38519000</v>
      </c>
      <c r="K50" s="36">
        <f t="shared" si="8"/>
        <v>1771874000</v>
      </c>
      <c r="L50" s="69">
        <f t="shared" si="9"/>
        <v>5.98</v>
      </c>
    </row>
    <row r="51" spans="3:12" ht="15" x14ac:dyDescent="0.25">
      <c r="C51" s="547"/>
      <c r="D51" s="81">
        <v>47</v>
      </c>
      <c r="E51" s="75">
        <v>0.13</v>
      </c>
      <c r="F51" s="22">
        <f t="shared" si="6"/>
        <v>13926100000</v>
      </c>
      <c r="G51" s="22">
        <f t="shared" si="7"/>
        <v>12115707000</v>
      </c>
      <c r="H51" s="22">
        <f t="shared" si="5"/>
        <v>4980655808</v>
      </c>
      <c r="I51" s="129">
        <f>Table25[[#This Row],[PAY PRICE]]/Table25[[#This Row],[QTY]]</f>
        <v>257781000</v>
      </c>
      <c r="J51" s="129">
        <f>($F$5-Table25[[#This Row],[$ Per Plane]])</f>
        <v>38519000</v>
      </c>
      <c r="K51" s="36">
        <f t="shared" si="8"/>
        <v>1810393000</v>
      </c>
      <c r="L51" s="69">
        <f t="shared" si="9"/>
        <v>6.11</v>
      </c>
    </row>
    <row r="52" spans="3:12" ht="15" x14ac:dyDescent="0.25">
      <c r="C52" s="547"/>
      <c r="D52" s="81">
        <v>48</v>
      </c>
      <c r="E52" s="75">
        <v>0.13</v>
      </c>
      <c r="F52" s="22">
        <f t="shared" si="6"/>
        <v>14222400000</v>
      </c>
      <c r="G52" s="22">
        <f t="shared" si="7"/>
        <v>12373488000</v>
      </c>
      <c r="H52" s="22">
        <f t="shared" si="5"/>
        <v>4722874808</v>
      </c>
      <c r="I52" s="129">
        <f>Table25[[#This Row],[PAY PRICE]]/Table25[[#This Row],[QTY]]</f>
        <v>257781000</v>
      </c>
      <c r="J52" s="129">
        <f>($F$5-Table25[[#This Row],[$ Per Plane]])</f>
        <v>38519000</v>
      </c>
      <c r="K52" s="36">
        <f t="shared" si="8"/>
        <v>1848912000</v>
      </c>
      <c r="L52" s="69">
        <f t="shared" si="9"/>
        <v>6.24</v>
      </c>
    </row>
    <row r="53" spans="3:12" ht="15.75" thickBot="1" x14ac:dyDescent="0.3">
      <c r="C53" s="548"/>
      <c r="D53" s="83">
        <v>49</v>
      </c>
      <c r="E53" s="76">
        <v>0.13</v>
      </c>
      <c r="F53" s="19">
        <f t="shared" si="6"/>
        <v>14518700000</v>
      </c>
      <c r="G53" s="19">
        <f t="shared" si="7"/>
        <v>12631269000</v>
      </c>
      <c r="H53" s="19">
        <f>$H$2-G53</f>
        <v>4465093808</v>
      </c>
      <c r="I53" s="131">
        <f>Table25[[#This Row],[PAY PRICE]]/Table25[[#This Row],[QTY]]</f>
        <v>257781000</v>
      </c>
      <c r="J53" s="129">
        <f>($F$5-Table25[[#This Row],[$ Per Plane]])</f>
        <v>38519000</v>
      </c>
      <c r="K53" s="18">
        <f t="shared" si="8"/>
        <v>1887431000</v>
      </c>
      <c r="L53" s="71">
        <f t="shared" si="9"/>
        <v>6.37</v>
      </c>
    </row>
    <row r="54" spans="3:12" ht="15" x14ac:dyDescent="0.25">
      <c r="C54" s="546">
        <v>8</v>
      </c>
      <c r="D54" s="84">
        <v>50</v>
      </c>
      <c r="E54" s="74">
        <v>0.13</v>
      </c>
      <c r="F54" s="72">
        <f t="shared" si="6"/>
        <v>14815000000</v>
      </c>
      <c r="G54" s="72">
        <f t="shared" si="7"/>
        <v>12889050000</v>
      </c>
      <c r="H54" s="72">
        <f t="shared" si="5"/>
        <v>4207312808</v>
      </c>
      <c r="I54" s="128">
        <f>Table25[[#This Row],[PAY PRICE]]/Table25[[#This Row],[QTY]]</f>
        <v>257781000</v>
      </c>
      <c r="J54" s="129">
        <f>($F$5-Table25[[#This Row],[$ Per Plane]])</f>
        <v>38519000</v>
      </c>
      <c r="K54" s="67">
        <f t="shared" si="8"/>
        <v>1925950000</v>
      </c>
      <c r="L54" s="68">
        <f t="shared" si="9"/>
        <v>6.5</v>
      </c>
    </row>
    <row r="55" spans="3:12" ht="15" x14ac:dyDescent="0.25">
      <c r="C55" s="547"/>
      <c r="D55" s="81">
        <v>51</v>
      </c>
      <c r="E55" s="75">
        <v>0.13</v>
      </c>
      <c r="F55" s="22">
        <f t="shared" si="6"/>
        <v>15111300000</v>
      </c>
      <c r="G55" s="22">
        <f t="shared" si="7"/>
        <v>13146831000</v>
      </c>
      <c r="H55" s="22">
        <f t="shared" si="5"/>
        <v>3949531808</v>
      </c>
      <c r="I55" s="129">
        <f>Table25[[#This Row],[PAY PRICE]]/Table25[[#This Row],[QTY]]</f>
        <v>257781000</v>
      </c>
      <c r="J55" s="129">
        <f>($F$5-Table25[[#This Row],[$ Per Plane]])</f>
        <v>38519000</v>
      </c>
      <c r="K55" s="36">
        <f t="shared" si="8"/>
        <v>1964469000</v>
      </c>
      <c r="L55" s="69">
        <f t="shared" si="9"/>
        <v>6.63</v>
      </c>
    </row>
    <row r="56" spans="3:12" ht="15" x14ac:dyDescent="0.25">
      <c r="C56" s="547"/>
      <c r="D56" s="81">
        <v>52</v>
      </c>
      <c r="E56" s="75">
        <v>0.13</v>
      </c>
      <c r="F56" s="22">
        <f t="shared" si="6"/>
        <v>15407600000</v>
      </c>
      <c r="G56" s="22">
        <f t="shared" si="7"/>
        <v>13404612000</v>
      </c>
      <c r="H56" s="22">
        <f t="shared" si="5"/>
        <v>3691750808</v>
      </c>
      <c r="I56" s="129">
        <f>Table25[[#This Row],[PAY PRICE]]/Table25[[#This Row],[QTY]]</f>
        <v>257781000</v>
      </c>
      <c r="J56" s="129">
        <f>($F$5-Table25[[#This Row],[$ Per Plane]])</f>
        <v>38519000</v>
      </c>
      <c r="K56" s="36">
        <f t="shared" si="8"/>
        <v>2002988000</v>
      </c>
      <c r="L56" s="69">
        <f t="shared" si="9"/>
        <v>6.76</v>
      </c>
    </row>
    <row r="57" spans="3:12" ht="15" x14ac:dyDescent="0.25">
      <c r="C57" s="547"/>
      <c r="D57" s="81">
        <v>53</v>
      </c>
      <c r="E57" s="75">
        <v>0.13</v>
      </c>
      <c r="F57" s="22">
        <f t="shared" si="6"/>
        <v>15703900000</v>
      </c>
      <c r="G57" s="22">
        <f t="shared" si="7"/>
        <v>13662393000</v>
      </c>
      <c r="H57" s="22">
        <f t="shared" si="5"/>
        <v>3433969808</v>
      </c>
      <c r="I57" s="129">
        <f>Table25[[#This Row],[PAY PRICE]]/Table25[[#This Row],[QTY]]</f>
        <v>257781000</v>
      </c>
      <c r="J57" s="129">
        <f>($F$5-Table25[[#This Row],[$ Per Plane]])</f>
        <v>38519000</v>
      </c>
      <c r="K57" s="36">
        <f t="shared" si="8"/>
        <v>2041507000</v>
      </c>
      <c r="L57" s="69">
        <f t="shared" si="9"/>
        <v>6.89</v>
      </c>
    </row>
    <row r="58" spans="3:12" ht="15" x14ac:dyDescent="0.25">
      <c r="C58" s="547"/>
      <c r="D58" s="81">
        <v>54</v>
      </c>
      <c r="E58" s="75">
        <v>0.13</v>
      </c>
      <c r="F58" s="22">
        <f t="shared" si="6"/>
        <v>16000200000</v>
      </c>
      <c r="G58" s="22">
        <f t="shared" si="7"/>
        <v>13920174000</v>
      </c>
      <c r="H58" s="22">
        <f t="shared" si="5"/>
        <v>3176188808</v>
      </c>
      <c r="I58" s="129">
        <f>Table25[[#This Row],[PAY PRICE]]/Table25[[#This Row],[QTY]]</f>
        <v>257781000</v>
      </c>
      <c r="J58" s="129">
        <f>($F$5-Table25[[#This Row],[$ Per Plane]])</f>
        <v>38519000</v>
      </c>
      <c r="K58" s="36">
        <f t="shared" si="8"/>
        <v>2080026000</v>
      </c>
      <c r="L58" s="69">
        <f t="shared" si="9"/>
        <v>7.02</v>
      </c>
    </row>
    <row r="59" spans="3:12" ht="15" x14ac:dyDescent="0.25">
      <c r="C59" s="547"/>
      <c r="D59" s="81">
        <v>55</v>
      </c>
      <c r="E59" s="75">
        <v>0.13</v>
      </c>
      <c r="F59" s="22">
        <f t="shared" si="6"/>
        <v>16296500000</v>
      </c>
      <c r="G59" s="22">
        <f t="shared" si="7"/>
        <v>14177955000</v>
      </c>
      <c r="H59" s="22">
        <f t="shared" si="5"/>
        <v>2918407808</v>
      </c>
      <c r="I59" s="129">
        <f>Table25[[#This Row],[PAY PRICE]]/Table25[[#This Row],[QTY]]</f>
        <v>257781000</v>
      </c>
      <c r="J59" s="129">
        <f>($F$5-Table25[[#This Row],[$ Per Plane]])</f>
        <v>38519000</v>
      </c>
      <c r="K59" s="36">
        <f t="shared" si="8"/>
        <v>2118545000</v>
      </c>
      <c r="L59" s="69">
        <f t="shared" si="9"/>
        <v>7.15</v>
      </c>
    </row>
    <row r="60" spans="3:12" ht="15.75" thickBot="1" x14ac:dyDescent="0.3">
      <c r="C60" s="548"/>
      <c r="D60" s="83">
        <v>56</v>
      </c>
      <c r="E60" s="76">
        <v>0.13</v>
      </c>
      <c r="F60" s="19">
        <f t="shared" si="6"/>
        <v>16592800000</v>
      </c>
      <c r="G60" s="19">
        <f t="shared" si="7"/>
        <v>14435736000</v>
      </c>
      <c r="H60" s="19">
        <f t="shared" si="5"/>
        <v>2660626808</v>
      </c>
      <c r="I60" s="131">
        <f>Table25[[#This Row],[PAY PRICE]]/Table25[[#This Row],[QTY]]</f>
        <v>257781000</v>
      </c>
      <c r="J60" s="129">
        <f>($F$5-Table25[[#This Row],[$ Per Plane]])</f>
        <v>38519000</v>
      </c>
      <c r="K60" s="18">
        <f t="shared" si="8"/>
        <v>2157064000</v>
      </c>
      <c r="L60" s="71">
        <f t="shared" si="9"/>
        <v>7.28</v>
      </c>
    </row>
    <row r="61" spans="3:12" ht="15" x14ac:dyDescent="0.25">
      <c r="C61" s="546">
        <v>9</v>
      </c>
      <c r="D61" s="84">
        <v>57</v>
      </c>
      <c r="E61" s="74">
        <v>0.13</v>
      </c>
      <c r="F61" s="72">
        <f t="shared" si="6"/>
        <v>16889100000</v>
      </c>
      <c r="G61" s="72">
        <f t="shared" si="7"/>
        <v>14693517000</v>
      </c>
      <c r="H61" s="72">
        <f t="shared" si="5"/>
        <v>2402845808</v>
      </c>
      <c r="I61" s="128">
        <f>Table25[[#This Row],[PAY PRICE]]/Table25[[#This Row],[QTY]]</f>
        <v>257781000</v>
      </c>
      <c r="J61" s="129">
        <f>($F$5-Table25[[#This Row],[$ Per Plane]])</f>
        <v>38519000</v>
      </c>
      <c r="K61" s="67">
        <f t="shared" si="8"/>
        <v>2195583000</v>
      </c>
      <c r="L61" s="68">
        <f t="shared" si="9"/>
        <v>7.41</v>
      </c>
    </row>
    <row r="62" spans="3:12" ht="15" x14ac:dyDescent="0.25">
      <c r="C62" s="547"/>
      <c r="D62" s="81">
        <v>58</v>
      </c>
      <c r="E62" s="75">
        <v>0.13</v>
      </c>
      <c r="F62" s="22">
        <f t="shared" si="6"/>
        <v>17185400000</v>
      </c>
      <c r="G62" s="22">
        <f t="shared" si="7"/>
        <v>14951298000</v>
      </c>
      <c r="H62" s="22">
        <f t="shared" si="5"/>
        <v>2145064808</v>
      </c>
      <c r="I62" s="129">
        <f>Table25[[#This Row],[PAY PRICE]]/Table25[[#This Row],[QTY]]</f>
        <v>257781000</v>
      </c>
      <c r="J62" s="129">
        <f>($F$5-Table25[[#This Row],[$ Per Plane]])</f>
        <v>38519000</v>
      </c>
      <c r="K62" s="36">
        <f t="shared" si="8"/>
        <v>2234102000</v>
      </c>
      <c r="L62" s="69">
        <f t="shared" si="9"/>
        <v>7.54</v>
      </c>
    </row>
    <row r="63" spans="3:12" ht="15" x14ac:dyDescent="0.25">
      <c r="C63" s="547"/>
      <c r="D63" s="81">
        <v>59</v>
      </c>
      <c r="E63" s="75">
        <v>0.13</v>
      </c>
      <c r="F63" s="22">
        <f t="shared" si="6"/>
        <v>17481700000</v>
      </c>
      <c r="G63" s="22">
        <f t="shared" si="7"/>
        <v>15209079000</v>
      </c>
      <c r="H63" s="22">
        <f t="shared" si="5"/>
        <v>1887283808</v>
      </c>
      <c r="I63" s="129">
        <f>Table25[[#This Row],[PAY PRICE]]/Table25[[#This Row],[QTY]]</f>
        <v>257781000</v>
      </c>
      <c r="J63" s="129">
        <f>($F$5-Table25[[#This Row],[$ Per Plane]])</f>
        <v>38519000</v>
      </c>
      <c r="K63" s="36">
        <f t="shared" si="8"/>
        <v>2272621000</v>
      </c>
      <c r="L63" s="69">
        <f t="shared" si="9"/>
        <v>7.67</v>
      </c>
    </row>
    <row r="64" spans="3:12" ht="15" x14ac:dyDescent="0.25">
      <c r="C64" s="547"/>
      <c r="D64" s="81">
        <v>60</v>
      </c>
      <c r="E64" s="75">
        <v>0.13</v>
      </c>
      <c r="F64" s="22">
        <f t="shared" si="6"/>
        <v>17778000000</v>
      </c>
      <c r="G64" s="22">
        <f t="shared" si="7"/>
        <v>15466860000</v>
      </c>
      <c r="H64" s="22">
        <f t="shared" si="5"/>
        <v>1629502808</v>
      </c>
      <c r="I64" s="129">
        <f>Table25[[#This Row],[PAY PRICE]]/Table25[[#This Row],[QTY]]</f>
        <v>257781000</v>
      </c>
      <c r="J64" s="129">
        <f>($F$5-Table25[[#This Row],[$ Per Plane]])</f>
        <v>38519000</v>
      </c>
      <c r="K64" s="36">
        <f t="shared" si="8"/>
        <v>2311140000</v>
      </c>
      <c r="L64" s="69">
        <f t="shared" si="9"/>
        <v>7.8</v>
      </c>
    </row>
    <row r="65" spans="3:12" ht="15" x14ac:dyDescent="0.25">
      <c r="C65" s="547"/>
      <c r="D65" s="81">
        <v>61</v>
      </c>
      <c r="E65" s="75">
        <v>0.13</v>
      </c>
      <c r="F65" s="22">
        <f t="shared" si="6"/>
        <v>18074300000</v>
      </c>
      <c r="G65" s="22">
        <f t="shared" si="7"/>
        <v>15724641000</v>
      </c>
      <c r="H65" s="22">
        <f t="shared" si="5"/>
        <v>1371721808</v>
      </c>
      <c r="I65" s="129">
        <f>Table25[[#This Row],[PAY PRICE]]/Table25[[#This Row],[QTY]]</f>
        <v>257781000</v>
      </c>
      <c r="J65" s="129">
        <f>($F$5-Table25[[#This Row],[$ Per Plane]])</f>
        <v>38519000</v>
      </c>
      <c r="K65" s="36">
        <f t="shared" si="8"/>
        <v>2349659000</v>
      </c>
      <c r="L65" s="69">
        <f t="shared" si="9"/>
        <v>7.93</v>
      </c>
    </row>
    <row r="66" spans="3:12" ht="15" x14ac:dyDescent="0.25">
      <c r="C66" s="547"/>
      <c r="D66" s="81">
        <v>62</v>
      </c>
      <c r="E66" s="75">
        <v>0.13</v>
      </c>
      <c r="F66" s="22">
        <f t="shared" si="6"/>
        <v>18370600000</v>
      </c>
      <c r="G66" s="22">
        <f t="shared" si="7"/>
        <v>15982422000</v>
      </c>
      <c r="H66" s="22">
        <f t="shared" si="5"/>
        <v>1113940808</v>
      </c>
      <c r="I66" s="129">
        <f>Table25[[#This Row],[PAY PRICE]]/Table25[[#This Row],[QTY]]</f>
        <v>257781000</v>
      </c>
      <c r="J66" s="129">
        <f>($F$5-Table25[[#This Row],[$ Per Plane]])</f>
        <v>38519000</v>
      </c>
      <c r="K66" s="36">
        <f t="shared" si="8"/>
        <v>2388178000</v>
      </c>
      <c r="L66" s="69">
        <f t="shared" si="9"/>
        <v>8.06</v>
      </c>
    </row>
    <row r="67" spans="3:12" ht="15.75" thickBot="1" x14ac:dyDescent="0.3">
      <c r="C67" s="548"/>
      <c r="D67" s="83">
        <v>63</v>
      </c>
      <c r="E67" s="76">
        <v>0.13</v>
      </c>
      <c r="F67" s="19">
        <f t="shared" si="6"/>
        <v>18666900000</v>
      </c>
      <c r="G67" s="19">
        <f t="shared" si="7"/>
        <v>16240203000</v>
      </c>
      <c r="H67" s="19">
        <f t="shared" si="5"/>
        <v>856159808</v>
      </c>
      <c r="I67" s="131">
        <f>Table25[[#This Row],[PAY PRICE]]/Table25[[#This Row],[QTY]]</f>
        <v>257781000</v>
      </c>
      <c r="J67" s="129">
        <f>($F$5-Table25[[#This Row],[$ Per Plane]])</f>
        <v>38519000</v>
      </c>
      <c r="K67" s="18">
        <f t="shared" si="8"/>
        <v>2426697000</v>
      </c>
      <c r="L67" s="71">
        <f t="shared" si="9"/>
        <v>8.19</v>
      </c>
    </row>
    <row r="68" spans="3:12" ht="15" x14ac:dyDescent="0.25">
      <c r="C68" s="546">
        <v>10</v>
      </c>
      <c r="D68" s="84">
        <v>64</v>
      </c>
      <c r="E68" s="74">
        <v>0.13</v>
      </c>
      <c r="F68" s="72">
        <f t="shared" si="6"/>
        <v>18963200000</v>
      </c>
      <c r="G68" s="72">
        <f t="shared" si="7"/>
        <v>16497984000</v>
      </c>
      <c r="H68" s="72">
        <f t="shared" si="5"/>
        <v>598378808</v>
      </c>
      <c r="I68" s="128">
        <f>Table25[[#This Row],[PAY PRICE]]/Table25[[#This Row],[QTY]]</f>
        <v>257781000</v>
      </c>
      <c r="J68" s="129">
        <f>($F$5-Table25[[#This Row],[$ Per Plane]])</f>
        <v>38519000</v>
      </c>
      <c r="K68" s="67">
        <f t="shared" si="8"/>
        <v>2465216000</v>
      </c>
      <c r="L68" s="68">
        <f t="shared" si="9"/>
        <v>8.32</v>
      </c>
    </row>
    <row r="69" spans="3:12" ht="15" x14ac:dyDescent="0.25">
      <c r="C69" s="547"/>
      <c r="D69" s="81">
        <v>65</v>
      </c>
      <c r="E69" s="75">
        <v>0.13</v>
      </c>
      <c r="F69" s="22">
        <f t="shared" si="6"/>
        <v>19259500000</v>
      </c>
      <c r="G69" s="22">
        <f t="shared" si="7"/>
        <v>16755765000</v>
      </c>
      <c r="H69" s="22">
        <f t="shared" ref="H69:H82" si="10">$H$2-G69</f>
        <v>340597808</v>
      </c>
      <c r="I69" s="129">
        <f>Table25[[#This Row],[PAY PRICE]]/Table25[[#This Row],[QTY]]</f>
        <v>257781000</v>
      </c>
      <c r="J69" s="129">
        <f>($F$5-Table25[[#This Row],[$ Per Plane]])</f>
        <v>38519000</v>
      </c>
      <c r="K69" s="36">
        <f t="shared" si="8"/>
        <v>2503735000</v>
      </c>
      <c r="L69" s="69">
        <f t="shared" si="9"/>
        <v>8.4499999999999993</v>
      </c>
    </row>
    <row r="70" spans="3:12" ht="15" x14ac:dyDescent="0.25">
      <c r="C70" s="547"/>
      <c r="D70" s="81">
        <v>66</v>
      </c>
      <c r="E70" s="75">
        <v>0.13</v>
      </c>
      <c r="F70" s="22">
        <f t="shared" ref="F70:F83" si="11">$F$5*D70</f>
        <v>19555800000</v>
      </c>
      <c r="G70" s="22">
        <f t="shared" ref="G70:G83" si="12">F70*(1-E70)</f>
        <v>17013546000</v>
      </c>
      <c r="H70" s="22">
        <f t="shared" si="10"/>
        <v>82816808</v>
      </c>
      <c r="I70" s="129">
        <f>Table25[[#This Row],[PAY PRICE]]/Table25[[#This Row],[QTY]]</f>
        <v>257781000</v>
      </c>
      <c r="J70" s="129">
        <f>($F$5-Table25[[#This Row],[$ Per Plane]])</f>
        <v>38519000</v>
      </c>
      <c r="K70" s="36">
        <f t="shared" ref="K70:K83" si="13">($F$5*D70)-G70</f>
        <v>2542254000</v>
      </c>
      <c r="L70" s="69">
        <f t="shared" ref="L70:L83" si="14">K70/$F$5</f>
        <v>8.58</v>
      </c>
    </row>
    <row r="71" spans="3:12" ht="15" x14ac:dyDescent="0.25">
      <c r="C71" s="547"/>
      <c r="D71" s="81">
        <v>67</v>
      </c>
      <c r="E71" s="75">
        <v>0.13</v>
      </c>
      <c r="F71" s="22">
        <f t="shared" si="11"/>
        <v>19852100000</v>
      </c>
      <c r="G71" s="22">
        <f t="shared" si="12"/>
        <v>17271327000</v>
      </c>
      <c r="H71" s="22">
        <f t="shared" si="10"/>
        <v>-174964192</v>
      </c>
      <c r="I71" s="129">
        <f>Table25[[#This Row],[PAY PRICE]]/Table25[[#This Row],[QTY]]</f>
        <v>257781000</v>
      </c>
      <c r="J71" s="129">
        <f>($F$5-Table25[[#This Row],[$ Per Plane]])</f>
        <v>38519000</v>
      </c>
      <c r="K71" s="36">
        <f t="shared" si="13"/>
        <v>2580773000</v>
      </c>
      <c r="L71" s="69">
        <f t="shared" si="14"/>
        <v>8.7100000000000009</v>
      </c>
    </row>
    <row r="72" spans="3:12" ht="15" x14ac:dyDescent="0.25">
      <c r="C72" s="547"/>
      <c r="D72" s="81">
        <v>68</v>
      </c>
      <c r="E72" s="75">
        <v>0.13</v>
      </c>
      <c r="F72" s="22">
        <f t="shared" si="11"/>
        <v>20148400000</v>
      </c>
      <c r="G72" s="22">
        <f t="shared" si="12"/>
        <v>17529108000</v>
      </c>
      <c r="H72" s="22">
        <f t="shared" si="10"/>
        <v>-432745192</v>
      </c>
      <c r="I72" s="129">
        <f>Table25[[#This Row],[PAY PRICE]]/Table25[[#This Row],[QTY]]</f>
        <v>257781000</v>
      </c>
      <c r="J72" s="129">
        <f>($F$5-Table25[[#This Row],[$ Per Plane]])</f>
        <v>38519000</v>
      </c>
      <c r="K72" s="36">
        <f t="shared" si="13"/>
        <v>2619292000</v>
      </c>
      <c r="L72" s="69">
        <f t="shared" si="14"/>
        <v>8.84</v>
      </c>
    </row>
    <row r="73" spans="3:12" ht="15" x14ac:dyDescent="0.25">
      <c r="C73" s="547"/>
      <c r="D73" s="81">
        <v>69</v>
      </c>
      <c r="E73" s="75">
        <v>0.13</v>
      </c>
      <c r="F73" s="22">
        <f t="shared" si="11"/>
        <v>20444700000</v>
      </c>
      <c r="G73" s="22">
        <f t="shared" si="12"/>
        <v>17786889000</v>
      </c>
      <c r="H73" s="22">
        <f t="shared" si="10"/>
        <v>-690526192</v>
      </c>
      <c r="I73" s="129">
        <f>Table25[[#This Row],[PAY PRICE]]/Table25[[#This Row],[QTY]]</f>
        <v>257781000</v>
      </c>
      <c r="J73" s="129">
        <f>($F$5-Table25[[#This Row],[$ Per Plane]])</f>
        <v>38519000</v>
      </c>
      <c r="K73" s="36">
        <f t="shared" si="13"/>
        <v>2657811000</v>
      </c>
      <c r="L73" s="69">
        <f t="shared" si="14"/>
        <v>8.9700000000000006</v>
      </c>
    </row>
    <row r="74" spans="3:12" ht="15.75" thickBot="1" x14ac:dyDescent="0.3">
      <c r="C74" s="548"/>
      <c r="D74" s="83">
        <v>70</v>
      </c>
      <c r="E74" s="76">
        <v>0.13</v>
      </c>
      <c r="F74" s="19">
        <f t="shared" si="11"/>
        <v>20741000000</v>
      </c>
      <c r="G74" s="19">
        <f t="shared" si="12"/>
        <v>18044670000</v>
      </c>
      <c r="H74" s="19">
        <f t="shared" si="10"/>
        <v>-948307192</v>
      </c>
      <c r="I74" s="131">
        <f>Table25[[#This Row],[PAY PRICE]]/Table25[[#This Row],[QTY]]</f>
        <v>257781000</v>
      </c>
      <c r="J74" s="129">
        <f>($F$5-Table25[[#This Row],[$ Per Plane]])</f>
        <v>38519000</v>
      </c>
      <c r="K74" s="18">
        <f t="shared" si="13"/>
        <v>2696330000</v>
      </c>
      <c r="L74" s="71">
        <f t="shared" si="14"/>
        <v>9.1</v>
      </c>
    </row>
    <row r="75" spans="3:12" ht="15" x14ac:dyDescent="0.25">
      <c r="C75" s="546">
        <v>11</v>
      </c>
      <c r="D75" s="84">
        <v>71</v>
      </c>
      <c r="E75" s="77">
        <v>0.13</v>
      </c>
      <c r="F75" s="66">
        <f t="shared" si="11"/>
        <v>21037300000</v>
      </c>
      <c r="G75" s="66">
        <f t="shared" si="12"/>
        <v>18302451000</v>
      </c>
      <c r="H75" s="66">
        <f t="shared" si="10"/>
        <v>-1206088192</v>
      </c>
      <c r="I75" s="132">
        <f>Table25[[#This Row],[PAY PRICE]]/Table25[[#This Row],[QTY]]</f>
        <v>257781000</v>
      </c>
      <c r="J75" s="129">
        <f>($F$5-Table25[[#This Row],[$ Per Plane]])</f>
        <v>38519000</v>
      </c>
      <c r="K75" s="67">
        <f t="shared" si="13"/>
        <v>2734849000</v>
      </c>
      <c r="L75" s="68">
        <f t="shared" si="14"/>
        <v>9.23</v>
      </c>
    </row>
    <row r="76" spans="3:12" ht="15" x14ac:dyDescent="0.25">
      <c r="C76" s="547"/>
      <c r="D76" s="81">
        <v>72</v>
      </c>
      <c r="E76" s="78">
        <v>0.13</v>
      </c>
      <c r="F76" s="35">
        <f t="shared" si="11"/>
        <v>21333600000</v>
      </c>
      <c r="G76" s="35">
        <f t="shared" si="12"/>
        <v>18560232000</v>
      </c>
      <c r="H76" s="35">
        <f t="shared" si="10"/>
        <v>-1463869192</v>
      </c>
      <c r="I76" s="133">
        <f>Table25[[#This Row],[PAY PRICE]]/Table25[[#This Row],[QTY]]</f>
        <v>257781000</v>
      </c>
      <c r="J76" s="129">
        <f>($F$5-Table25[[#This Row],[$ Per Plane]])</f>
        <v>38519000</v>
      </c>
      <c r="K76" s="36">
        <f t="shared" si="13"/>
        <v>2773368000</v>
      </c>
      <c r="L76" s="69">
        <f t="shared" si="14"/>
        <v>9.36</v>
      </c>
    </row>
    <row r="77" spans="3:12" ht="15" x14ac:dyDescent="0.25">
      <c r="C77" s="547"/>
      <c r="D77" s="81">
        <v>73</v>
      </c>
      <c r="E77" s="78">
        <v>0.13</v>
      </c>
      <c r="F77" s="35">
        <f t="shared" si="11"/>
        <v>21629900000</v>
      </c>
      <c r="G77" s="35">
        <f t="shared" si="12"/>
        <v>18818013000</v>
      </c>
      <c r="H77" s="35">
        <f t="shared" si="10"/>
        <v>-1721650192</v>
      </c>
      <c r="I77" s="133">
        <f>Table25[[#This Row],[PAY PRICE]]/Table25[[#This Row],[QTY]]</f>
        <v>257781000</v>
      </c>
      <c r="J77" s="129">
        <f>($F$5-Table25[[#This Row],[$ Per Plane]])</f>
        <v>38519000</v>
      </c>
      <c r="K77" s="36">
        <f t="shared" si="13"/>
        <v>2811887000</v>
      </c>
      <c r="L77" s="69">
        <f t="shared" si="14"/>
        <v>9.49</v>
      </c>
    </row>
    <row r="78" spans="3:12" ht="15" x14ac:dyDescent="0.25">
      <c r="C78" s="547"/>
      <c r="D78" s="81">
        <v>74</v>
      </c>
      <c r="E78" s="78">
        <v>0.13</v>
      </c>
      <c r="F78" s="35">
        <f t="shared" si="11"/>
        <v>21926200000</v>
      </c>
      <c r="G78" s="35">
        <f t="shared" si="12"/>
        <v>19075794000</v>
      </c>
      <c r="H78" s="35">
        <f t="shared" si="10"/>
        <v>-1979431192</v>
      </c>
      <c r="I78" s="133">
        <f>Table25[[#This Row],[PAY PRICE]]/Table25[[#This Row],[QTY]]</f>
        <v>257781000</v>
      </c>
      <c r="J78" s="129">
        <f>($F$5-Table25[[#This Row],[$ Per Plane]])</f>
        <v>38519000</v>
      </c>
      <c r="K78" s="36">
        <f t="shared" si="13"/>
        <v>2850406000</v>
      </c>
      <c r="L78" s="69">
        <f t="shared" si="14"/>
        <v>9.6199999999999992</v>
      </c>
    </row>
    <row r="79" spans="3:12" ht="15" x14ac:dyDescent="0.25">
      <c r="C79" s="547"/>
      <c r="D79" s="81">
        <v>75</v>
      </c>
      <c r="E79" s="78">
        <v>0.13</v>
      </c>
      <c r="F79" s="35">
        <f t="shared" si="11"/>
        <v>22222500000</v>
      </c>
      <c r="G79" s="35">
        <f t="shared" si="12"/>
        <v>19333575000</v>
      </c>
      <c r="H79" s="35">
        <f t="shared" si="10"/>
        <v>-2237212192</v>
      </c>
      <c r="I79" s="133">
        <f>Table25[[#This Row],[PAY PRICE]]/Table25[[#This Row],[QTY]]</f>
        <v>257781000</v>
      </c>
      <c r="J79" s="129">
        <f>($F$5-Table25[[#This Row],[$ Per Plane]])</f>
        <v>38519000</v>
      </c>
      <c r="K79" s="36">
        <f t="shared" si="13"/>
        <v>2888925000</v>
      </c>
      <c r="L79" s="69">
        <f t="shared" si="14"/>
        <v>9.75</v>
      </c>
    </row>
    <row r="80" spans="3:12" ht="15" x14ac:dyDescent="0.25">
      <c r="C80" s="547"/>
      <c r="D80" s="81">
        <v>76</v>
      </c>
      <c r="E80" s="78">
        <v>0.13</v>
      </c>
      <c r="F80" s="35">
        <f t="shared" si="11"/>
        <v>22518800000</v>
      </c>
      <c r="G80" s="35">
        <f t="shared" si="12"/>
        <v>19591356000</v>
      </c>
      <c r="H80" s="35">
        <f t="shared" si="10"/>
        <v>-2494993192</v>
      </c>
      <c r="I80" s="133">
        <f>Table25[[#This Row],[PAY PRICE]]/Table25[[#This Row],[QTY]]</f>
        <v>257781000</v>
      </c>
      <c r="J80" s="129">
        <f>($F$5-Table25[[#This Row],[$ Per Plane]])</f>
        <v>38519000</v>
      </c>
      <c r="K80" s="36">
        <f t="shared" si="13"/>
        <v>2927444000</v>
      </c>
      <c r="L80" s="69">
        <f t="shared" si="14"/>
        <v>9.8800000000000008</v>
      </c>
    </row>
    <row r="81" spans="3:12" ht="15.75" thickBot="1" x14ac:dyDescent="0.3">
      <c r="C81" s="548"/>
      <c r="D81" s="83">
        <v>77</v>
      </c>
      <c r="E81" s="79">
        <v>0.13</v>
      </c>
      <c r="F81" s="70">
        <f t="shared" si="11"/>
        <v>22815100000</v>
      </c>
      <c r="G81" s="70">
        <f t="shared" si="12"/>
        <v>19849137000</v>
      </c>
      <c r="H81" s="70">
        <f t="shared" si="10"/>
        <v>-2752774192</v>
      </c>
      <c r="I81" s="134">
        <f>Table25[[#This Row],[PAY PRICE]]/Table25[[#This Row],[QTY]]</f>
        <v>257781000</v>
      </c>
      <c r="J81" s="129">
        <f>($F$5-Table25[[#This Row],[$ Per Plane]])</f>
        <v>38519000</v>
      </c>
      <c r="K81" s="18">
        <f t="shared" si="13"/>
        <v>2965963000</v>
      </c>
      <c r="L81" s="71">
        <f t="shared" si="14"/>
        <v>10.01</v>
      </c>
    </row>
    <row r="82" spans="3:12" ht="15" customHeight="1" x14ac:dyDescent="0.25">
      <c r="C82" s="546">
        <v>12</v>
      </c>
      <c r="D82" s="84">
        <v>78</v>
      </c>
      <c r="E82" s="77">
        <v>0.13</v>
      </c>
      <c r="F82" s="66">
        <f t="shared" si="11"/>
        <v>23111400000</v>
      </c>
      <c r="G82" s="66">
        <f t="shared" si="12"/>
        <v>20106918000</v>
      </c>
      <c r="H82" s="66">
        <f t="shared" si="10"/>
        <v>-3010555192</v>
      </c>
      <c r="I82" s="132">
        <f>Table25[[#This Row],[PAY PRICE]]/Table25[[#This Row],[QTY]]</f>
        <v>257781000</v>
      </c>
      <c r="J82" s="129">
        <f>($F$5-Table25[[#This Row],[$ Per Plane]])</f>
        <v>38519000</v>
      </c>
      <c r="K82" s="67">
        <f t="shared" si="13"/>
        <v>3004482000</v>
      </c>
      <c r="L82" s="68">
        <f t="shared" si="14"/>
        <v>10.14</v>
      </c>
    </row>
    <row r="83" spans="3:12" ht="15" customHeight="1" x14ac:dyDescent="0.25">
      <c r="C83" s="547"/>
      <c r="D83" s="81">
        <v>79</v>
      </c>
      <c r="E83" s="78">
        <v>0.13</v>
      </c>
      <c r="F83" s="35">
        <f t="shared" si="11"/>
        <v>23407700000</v>
      </c>
      <c r="G83" s="35">
        <f t="shared" si="12"/>
        <v>20364699000</v>
      </c>
      <c r="H83" s="35">
        <f t="shared" ref="H83:H95" si="15">$H$2-G83</f>
        <v>-3268336192</v>
      </c>
      <c r="I83" s="133">
        <f>Table25[[#This Row],[PAY PRICE]]/Table25[[#This Row],[QTY]]</f>
        <v>257781000</v>
      </c>
      <c r="J83" s="129">
        <f>($F$5-Table25[[#This Row],[$ Per Plane]])</f>
        <v>38519000</v>
      </c>
      <c r="K83" s="36">
        <f t="shared" si="13"/>
        <v>3043001000</v>
      </c>
      <c r="L83" s="69">
        <f t="shared" si="14"/>
        <v>10.27</v>
      </c>
    </row>
    <row r="84" spans="3:12" ht="15" customHeight="1" x14ac:dyDescent="0.25">
      <c r="C84" s="547"/>
      <c r="D84" s="81">
        <v>80</v>
      </c>
      <c r="E84" s="78">
        <v>0.13</v>
      </c>
      <c r="F84" s="35">
        <f t="shared" ref="F84:F95" si="16">$F$5*D84</f>
        <v>23704000000</v>
      </c>
      <c r="G84" s="35">
        <f t="shared" ref="G84:G95" si="17">F84*(1-E84)</f>
        <v>20622480000</v>
      </c>
      <c r="H84" s="35">
        <f t="shared" si="15"/>
        <v>-3526117192</v>
      </c>
      <c r="I84" s="133">
        <f>Table25[[#This Row],[PAY PRICE]]/Table25[[#This Row],[QTY]]</f>
        <v>257781000</v>
      </c>
      <c r="J84" s="129">
        <f>($F$5-Table25[[#This Row],[$ Per Plane]])</f>
        <v>38519000</v>
      </c>
      <c r="K84" s="36">
        <f t="shared" ref="K84:K95" si="18">($F$5*D84)-G84</f>
        <v>3081520000</v>
      </c>
      <c r="L84" s="69">
        <f t="shared" ref="L84:L95" si="19">K84/$F$5</f>
        <v>10.4</v>
      </c>
    </row>
    <row r="85" spans="3:12" ht="15" customHeight="1" x14ac:dyDescent="0.25">
      <c r="C85" s="547"/>
      <c r="D85" s="81">
        <v>81</v>
      </c>
      <c r="E85" s="78">
        <v>0.13</v>
      </c>
      <c r="F85" s="35">
        <f t="shared" si="16"/>
        <v>24000300000</v>
      </c>
      <c r="G85" s="35">
        <f t="shared" si="17"/>
        <v>20880261000</v>
      </c>
      <c r="H85" s="35">
        <f t="shared" si="15"/>
        <v>-3783898192</v>
      </c>
      <c r="I85" s="133">
        <f>Table25[[#This Row],[PAY PRICE]]/Table25[[#This Row],[QTY]]</f>
        <v>257781000</v>
      </c>
      <c r="J85" s="129">
        <f>($F$5-Table25[[#This Row],[$ Per Plane]])</f>
        <v>38519000</v>
      </c>
      <c r="K85" s="36">
        <f t="shared" si="18"/>
        <v>3120039000</v>
      </c>
      <c r="L85" s="69">
        <f t="shared" si="19"/>
        <v>10.53</v>
      </c>
    </row>
    <row r="86" spans="3:12" ht="15" customHeight="1" x14ac:dyDescent="0.25">
      <c r="C86" s="547"/>
      <c r="D86" s="81">
        <v>82</v>
      </c>
      <c r="E86" s="78">
        <v>0.13</v>
      </c>
      <c r="F86" s="35">
        <f t="shared" si="16"/>
        <v>24296600000</v>
      </c>
      <c r="G86" s="35">
        <f t="shared" si="17"/>
        <v>21138042000</v>
      </c>
      <c r="H86" s="35">
        <f t="shared" si="15"/>
        <v>-4041679192</v>
      </c>
      <c r="I86" s="133">
        <f>Table25[[#This Row],[PAY PRICE]]/Table25[[#This Row],[QTY]]</f>
        <v>257781000</v>
      </c>
      <c r="J86" s="129">
        <f>($F$5-Table25[[#This Row],[$ Per Plane]])</f>
        <v>38519000</v>
      </c>
      <c r="K86" s="36">
        <f t="shared" si="18"/>
        <v>3158558000</v>
      </c>
      <c r="L86" s="69">
        <f t="shared" si="19"/>
        <v>10.66</v>
      </c>
    </row>
    <row r="87" spans="3:12" ht="15" customHeight="1" x14ac:dyDescent="0.25">
      <c r="C87" s="547"/>
      <c r="D87" s="81">
        <v>83</v>
      </c>
      <c r="E87" s="78">
        <v>0.13</v>
      </c>
      <c r="F87" s="35">
        <f t="shared" si="16"/>
        <v>24592900000</v>
      </c>
      <c r="G87" s="35">
        <f t="shared" si="17"/>
        <v>21395823000</v>
      </c>
      <c r="H87" s="35">
        <f t="shared" si="15"/>
        <v>-4299460192</v>
      </c>
      <c r="I87" s="133">
        <f>Table25[[#This Row],[PAY PRICE]]/Table25[[#This Row],[QTY]]</f>
        <v>257781000</v>
      </c>
      <c r="J87" s="129">
        <f>($F$5-Table25[[#This Row],[$ Per Plane]])</f>
        <v>38519000</v>
      </c>
      <c r="K87" s="36">
        <f t="shared" si="18"/>
        <v>3197077000</v>
      </c>
      <c r="L87" s="69">
        <f t="shared" si="19"/>
        <v>10.79</v>
      </c>
    </row>
    <row r="88" spans="3:12" ht="15.75" customHeight="1" thickBot="1" x14ac:dyDescent="0.3">
      <c r="C88" s="548"/>
      <c r="D88" s="83">
        <v>84</v>
      </c>
      <c r="E88" s="79">
        <v>0.13</v>
      </c>
      <c r="F88" s="70">
        <f t="shared" si="16"/>
        <v>24889200000</v>
      </c>
      <c r="G88" s="70">
        <f t="shared" si="17"/>
        <v>21653604000</v>
      </c>
      <c r="H88" s="70">
        <f t="shared" si="15"/>
        <v>-4557241192</v>
      </c>
      <c r="I88" s="134">
        <f>Table25[[#This Row],[PAY PRICE]]/Table25[[#This Row],[QTY]]</f>
        <v>257781000</v>
      </c>
      <c r="J88" s="129">
        <f>($F$5-Table25[[#This Row],[$ Per Plane]])</f>
        <v>38519000</v>
      </c>
      <c r="K88" s="18">
        <f t="shared" si="18"/>
        <v>3235596000</v>
      </c>
      <c r="L88" s="71">
        <f t="shared" si="19"/>
        <v>10.92</v>
      </c>
    </row>
    <row r="89" spans="3:12" ht="15" customHeight="1" x14ac:dyDescent="0.25">
      <c r="C89" s="546">
        <v>13</v>
      </c>
      <c r="D89" s="84">
        <v>85</v>
      </c>
      <c r="E89" s="77">
        <v>0.13</v>
      </c>
      <c r="F89" s="66">
        <f t="shared" si="16"/>
        <v>25185500000</v>
      </c>
      <c r="G89" s="66">
        <f t="shared" si="17"/>
        <v>21911385000</v>
      </c>
      <c r="H89" s="66">
        <f t="shared" si="15"/>
        <v>-4815022192</v>
      </c>
      <c r="I89" s="132">
        <f>Table25[[#This Row],[PAY PRICE]]/Table25[[#This Row],[QTY]]</f>
        <v>257781000</v>
      </c>
      <c r="J89" s="129">
        <f>($F$5-Table25[[#This Row],[$ Per Plane]])</f>
        <v>38519000</v>
      </c>
      <c r="K89" s="67">
        <f t="shared" si="18"/>
        <v>3274115000</v>
      </c>
      <c r="L89" s="68">
        <f t="shared" si="19"/>
        <v>11.05</v>
      </c>
    </row>
    <row r="90" spans="3:12" ht="15" customHeight="1" x14ac:dyDescent="0.25">
      <c r="C90" s="547"/>
      <c r="D90" s="81">
        <v>86</v>
      </c>
      <c r="E90" s="78">
        <v>0.13</v>
      </c>
      <c r="F90" s="35">
        <f t="shared" si="16"/>
        <v>25481800000</v>
      </c>
      <c r="G90" s="35">
        <f t="shared" si="17"/>
        <v>22169166000</v>
      </c>
      <c r="H90" s="35">
        <f t="shared" si="15"/>
        <v>-5072803192</v>
      </c>
      <c r="I90" s="133">
        <f>Table25[[#This Row],[PAY PRICE]]/Table25[[#This Row],[QTY]]</f>
        <v>257781000</v>
      </c>
      <c r="J90" s="129">
        <f>($F$5-Table25[[#This Row],[$ Per Plane]])</f>
        <v>38519000</v>
      </c>
      <c r="K90" s="36">
        <f t="shared" si="18"/>
        <v>3312634000</v>
      </c>
      <c r="L90" s="69">
        <f t="shared" si="19"/>
        <v>11.18</v>
      </c>
    </row>
    <row r="91" spans="3:12" ht="15" customHeight="1" x14ac:dyDescent="0.25">
      <c r="C91" s="547"/>
      <c r="D91" s="81">
        <v>87</v>
      </c>
      <c r="E91" s="78">
        <v>0.13</v>
      </c>
      <c r="F91" s="35">
        <f t="shared" si="16"/>
        <v>25778100000</v>
      </c>
      <c r="G91" s="35">
        <f t="shared" si="17"/>
        <v>22426947000</v>
      </c>
      <c r="H91" s="35">
        <f t="shared" si="15"/>
        <v>-5330584192</v>
      </c>
      <c r="I91" s="133">
        <f>Table25[[#This Row],[PAY PRICE]]/Table25[[#This Row],[QTY]]</f>
        <v>257781000</v>
      </c>
      <c r="J91" s="129">
        <f>($F$5-Table25[[#This Row],[$ Per Plane]])</f>
        <v>38519000</v>
      </c>
      <c r="K91" s="36">
        <f t="shared" si="18"/>
        <v>3351153000</v>
      </c>
      <c r="L91" s="69">
        <f t="shared" si="19"/>
        <v>11.31</v>
      </c>
    </row>
    <row r="92" spans="3:12" ht="15" customHeight="1" x14ac:dyDescent="0.25">
      <c r="C92" s="547"/>
      <c r="D92" s="81">
        <v>88</v>
      </c>
      <c r="E92" s="78">
        <v>0.13</v>
      </c>
      <c r="F92" s="35">
        <f t="shared" si="16"/>
        <v>26074400000</v>
      </c>
      <c r="G92" s="35">
        <f t="shared" si="17"/>
        <v>22684728000</v>
      </c>
      <c r="H92" s="35">
        <f t="shared" si="15"/>
        <v>-5588365192</v>
      </c>
      <c r="I92" s="133">
        <f>Table25[[#This Row],[PAY PRICE]]/Table25[[#This Row],[QTY]]</f>
        <v>257781000</v>
      </c>
      <c r="J92" s="129">
        <f>($F$5-Table25[[#This Row],[$ Per Plane]])</f>
        <v>38519000</v>
      </c>
      <c r="K92" s="36">
        <f t="shared" si="18"/>
        <v>3389672000</v>
      </c>
      <c r="L92" s="69">
        <f t="shared" si="19"/>
        <v>11.44</v>
      </c>
    </row>
    <row r="93" spans="3:12" ht="15" customHeight="1" x14ac:dyDescent="0.25">
      <c r="C93" s="547"/>
      <c r="D93" s="81">
        <v>89</v>
      </c>
      <c r="E93" s="78">
        <v>0.13</v>
      </c>
      <c r="F93" s="35">
        <f t="shared" si="16"/>
        <v>26370700000</v>
      </c>
      <c r="G93" s="35">
        <f t="shared" si="17"/>
        <v>22942509000</v>
      </c>
      <c r="H93" s="35">
        <f t="shared" si="15"/>
        <v>-5846146192</v>
      </c>
      <c r="I93" s="133">
        <f>Table25[[#This Row],[PAY PRICE]]/Table25[[#This Row],[QTY]]</f>
        <v>257781000</v>
      </c>
      <c r="J93" s="129">
        <f>($F$5-Table25[[#This Row],[$ Per Plane]])</f>
        <v>38519000</v>
      </c>
      <c r="K93" s="36">
        <f t="shared" si="18"/>
        <v>3428191000</v>
      </c>
      <c r="L93" s="69">
        <f t="shared" si="19"/>
        <v>11.57</v>
      </c>
    </row>
    <row r="94" spans="3:12" ht="15" customHeight="1" x14ac:dyDescent="0.25">
      <c r="C94" s="547"/>
      <c r="D94" s="81">
        <v>90</v>
      </c>
      <c r="E94" s="78">
        <v>0.13</v>
      </c>
      <c r="F94" s="35">
        <f t="shared" si="16"/>
        <v>26667000000</v>
      </c>
      <c r="G94" s="35">
        <f t="shared" si="17"/>
        <v>23200290000</v>
      </c>
      <c r="H94" s="35">
        <f t="shared" si="15"/>
        <v>-6103927192</v>
      </c>
      <c r="I94" s="133">
        <f>Table25[[#This Row],[PAY PRICE]]/Table25[[#This Row],[QTY]]</f>
        <v>257781000</v>
      </c>
      <c r="J94" s="129">
        <f>($F$5-Table25[[#This Row],[$ Per Plane]])</f>
        <v>38519000</v>
      </c>
      <c r="K94" s="36">
        <f t="shared" si="18"/>
        <v>3466710000</v>
      </c>
      <c r="L94" s="69">
        <f t="shared" si="19"/>
        <v>11.7</v>
      </c>
    </row>
    <row r="95" spans="3:12" ht="15" customHeight="1" thickBot="1" x14ac:dyDescent="0.3">
      <c r="C95" s="548"/>
      <c r="D95" s="83">
        <v>91</v>
      </c>
      <c r="E95" s="79">
        <v>0.13</v>
      </c>
      <c r="F95" s="70">
        <f t="shared" si="16"/>
        <v>26963300000</v>
      </c>
      <c r="G95" s="70">
        <f t="shared" si="17"/>
        <v>23458071000</v>
      </c>
      <c r="H95" s="70">
        <f t="shared" si="15"/>
        <v>-6361708192</v>
      </c>
      <c r="I95" s="134">
        <f>Table25[[#This Row],[PAY PRICE]]/Table25[[#This Row],[QTY]]</f>
        <v>257781000</v>
      </c>
      <c r="J95" s="129">
        <f>($F$5-Table25[[#This Row],[$ Per Plane]])</f>
        <v>38519000</v>
      </c>
      <c r="K95" s="18">
        <f t="shared" si="18"/>
        <v>3505229000</v>
      </c>
      <c r="L95" s="71">
        <f t="shared" si="19"/>
        <v>11.83</v>
      </c>
    </row>
    <row r="96" spans="3:12" ht="14.45" customHeight="1" x14ac:dyDescent="0.25">
      <c r="C96" s="546">
        <v>14</v>
      </c>
      <c r="D96" s="84">
        <v>92</v>
      </c>
      <c r="E96" s="77">
        <v>0.13</v>
      </c>
      <c r="F96" s="35">
        <f t="shared" ref="F96:F116" si="20">$F$5*D96</f>
        <v>27259600000</v>
      </c>
      <c r="G96" s="35">
        <f t="shared" ref="G96:G116" si="21">F96*(1-E96)</f>
        <v>23715852000</v>
      </c>
      <c r="H96" s="35">
        <f t="shared" ref="H96:H116" si="22">$H$2-G96</f>
        <v>-6619489192</v>
      </c>
      <c r="I96" s="248">
        <f>Table25[[#This Row],[PAY PRICE]]/Table25[[#This Row],[QTY]]</f>
        <v>257781000</v>
      </c>
      <c r="J96" s="129">
        <f>($F$5-Table25[[#This Row],[$ Per Plane]])</f>
        <v>38519000</v>
      </c>
      <c r="K96" s="36">
        <f t="shared" ref="K96:K116" si="23">($F$5*D96)-G96</f>
        <v>3543748000</v>
      </c>
      <c r="L96" s="247">
        <f t="shared" ref="L96:L116" si="24">K96/$F$5</f>
        <v>11.96</v>
      </c>
    </row>
    <row r="97" spans="3:12" ht="14.45" customHeight="1" x14ac:dyDescent="0.25">
      <c r="C97" s="547"/>
      <c r="D97" s="81">
        <v>93</v>
      </c>
      <c r="E97" s="78">
        <v>0.13</v>
      </c>
      <c r="F97" s="35">
        <f t="shared" si="20"/>
        <v>27555900000</v>
      </c>
      <c r="G97" s="35">
        <f t="shared" si="21"/>
        <v>23973633000</v>
      </c>
      <c r="H97" s="35">
        <f t="shared" si="22"/>
        <v>-6877270192</v>
      </c>
      <c r="I97" s="248">
        <f>Table25[[#This Row],[PAY PRICE]]/Table25[[#This Row],[QTY]]</f>
        <v>257781000</v>
      </c>
      <c r="J97" s="129">
        <f>($F$5-Table25[[#This Row],[$ Per Plane]])</f>
        <v>38519000</v>
      </c>
      <c r="K97" s="36">
        <f t="shared" si="23"/>
        <v>3582267000</v>
      </c>
      <c r="L97" s="247">
        <f t="shared" si="24"/>
        <v>12.09</v>
      </c>
    </row>
    <row r="98" spans="3:12" ht="14.45" customHeight="1" x14ac:dyDescent="0.25">
      <c r="C98" s="547"/>
      <c r="D98" s="81">
        <v>94</v>
      </c>
      <c r="E98" s="78">
        <v>0.13</v>
      </c>
      <c r="F98" s="35">
        <f t="shared" si="20"/>
        <v>27852200000</v>
      </c>
      <c r="G98" s="35">
        <f t="shared" si="21"/>
        <v>24231414000</v>
      </c>
      <c r="H98" s="35">
        <f t="shared" si="22"/>
        <v>-7135051192</v>
      </c>
      <c r="I98" s="248">
        <f>Table25[[#This Row],[PAY PRICE]]/Table25[[#This Row],[QTY]]</f>
        <v>257781000</v>
      </c>
      <c r="J98" s="129">
        <f>($F$5-Table25[[#This Row],[$ Per Plane]])</f>
        <v>38519000</v>
      </c>
      <c r="K98" s="36">
        <f t="shared" si="23"/>
        <v>3620786000</v>
      </c>
      <c r="L98" s="247">
        <f t="shared" si="24"/>
        <v>12.22</v>
      </c>
    </row>
    <row r="99" spans="3:12" ht="14.45" customHeight="1" x14ac:dyDescent="0.25">
      <c r="C99" s="547"/>
      <c r="D99" s="81">
        <v>95</v>
      </c>
      <c r="E99" s="78">
        <v>0.13</v>
      </c>
      <c r="F99" s="35">
        <f t="shared" si="20"/>
        <v>28148500000</v>
      </c>
      <c r="G99" s="35">
        <f t="shared" si="21"/>
        <v>24489195000</v>
      </c>
      <c r="H99" s="35">
        <f t="shared" si="22"/>
        <v>-7392832192</v>
      </c>
      <c r="I99" s="248">
        <f>Table25[[#This Row],[PAY PRICE]]/Table25[[#This Row],[QTY]]</f>
        <v>257781000</v>
      </c>
      <c r="J99" s="129">
        <f>($F$5-Table25[[#This Row],[$ Per Plane]])</f>
        <v>38519000</v>
      </c>
      <c r="K99" s="36">
        <f t="shared" si="23"/>
        <v>3659305000</v>
      </c>
      <c r="L99" s="247">
        <f t="shared" si="24"/>
        <v>12.35</v>
      </c>
    </row>
    <row r="100" spans="3:12" ht="14.45" customHeight="1" x14ac:dyDescent="0.25">
      <c r="C100" s="547"/>
      <c r="D100" s="81">
        <v>96</v>
      </c>
      <c r="E100" s="78">
        <v>0.13</v>
      </c>
      <c r="F100" s="35">
        <f t="shared" si="20"/>
        <v>28444800000</v>
      </c>
      <c r="G100" s="35">
        <f t="shared" si="21"/>
        <v>24746976000</v>
      </c>
      <c r="H100" s="35">
        <f t="shared" si="22"/>
        <v>-7650613192</v>
      </c>
      <c r="I100" s="248">
        <f>Table25[[#This Row],[PAY PRICE]]/Table25[[#This Row],[QTY]]</f>
        <v>257781000</v>
      </c>
      <c r="J100" s="129">
        <f>($F$5-Table25[[#This Row],[$ Per Plane]])</f>
        <v>38519000</v>
      </c>
      <c r="K100" s="36">
        <f t="shared" si="23"/>
        <v>3697824000</v>
      </c>
      <c r="L100" s="247">
        <f t="shared" si="24"/>
        <v>12.48</v>
      </c>
    </row>
    <row r="101" spans="3:12" ht="14.45" customHeight="1" x14ac:dyDescent="0.25">
      <c r="C101" s="547"/>
      <c r="D101" s="81">
        <v>97</v>
      </c>
      <c r="E101" s="78">
        <v>0.13</v>
      </c>
      <c r="F101" s="35">
        <f t="shared" si="20"/>
        <v>28741100000</v>
      </c>
      <c r="G101" s="35">
        <f t="shared" si="21"/>
        <v>25004757000</v>
      </c>
      <c r="H101" s="35">
        <f t="shared" si="22"/>
        <v>-7908394192</v>
      </c>
      <c r="I101" s="248">
        <f>Table25[[#This Row],[PAY PRICE]]/Table25[[#This Row],[QTY]]</f>
        <v>257781000</v>
      </c>
      <c r="J101" s="129">
        <f>($F$5-Table25[[#This Row],[$ Per Plane]])</f>
        <v>38519000</v>
      </c>
      <c r="K101" s="36">
        <f t="shared" si="23"/>
        <v>3736343000</v>
      </c>
      <c r="L101" s="247">
        <f t="shared" si="24"/>
        <v>12.61</v>
      </c>
    </row>
    <row r="102" spans="3:12" ht="15" customHeight="1" thickBot="1" x14ac:dyDescent="0.3">
      <c r="C102" s="548"/>
      <c r="D102" s="83">
        <v>98</v>
      </c>
      <c r="E102" s="79">
        <v>0.13</v>
      </c>
      <c r="F102" s="35">
        <f t="shared" si="20"/>
        <v>29037400000</v>
      </c>
      <c r="G102" s="35">
        <f t="shared" si="21"/>
        <v>25262538000</v>
      </c>
      <c r="H102" s="35">
        <f t="shared" si="22"/>
        <v>-8166175192</v>
      </c>
      <c r="I102" s="248">
        <f>Table25[[#This Row],[PAY PRICE]]/Table25[[#This Row],[QTY]]</f>
        <v>257781000</v>
      </c>
      <c r="J102" s="129">
        <f>($F$5-Table25[[#This Row],[$ Per Plane]])</f>
        <v>38519000</v>
      </c>
      <c r="K102" s="36">
        <f t="shared" si="23"/>
        <v>3774862000</v>
      </c>
      <c r="L102" s="247">
        <f t="shared" si="24"/>
        <v>12.74</v>
      </c>
    </row>
    <row r="103" spans="3:12" ht="15" x14ac:dyDescent="0.25">
      <c r="C103" s="546">
        <v>15</v>
      </c>
      <c r="D103" s="289">
        <v>99</v>
      </c>
      <c r="E103" s="292">
        <v>0.13</v>
      </c>
      <c r="F103" s="35">
        <f t="shared" si="20"/>
        <v>29333700000</v>
      </c>
      <c r="G103" s="35">
        <f t="shared" si="21"/>
        <v>25520319000</v>
      </c>
      <c r="H103" s="35">
        <f t="shared" si="22"/>
        <v>-8423956192</v>
      </c>
      <c r="I103" s="293">
        <f>Table25[[#This Row],[PAY PRICE]]/Table25[[#This Row],[QTY]]</f>
        <v>257781000</v>
      </c>
      <c r="J103" s="248">
        <f>($F$5-Table25[[#This Row],[$ Per Plane]])</f>
        <v>38519000</v>
      </c>
      <c r="K103" s="67">
        <f t="shared" si="23"/>
        <v>3813381000</v>
      </c>
      <c r="L103" s="68">
        <f t="shared" si="24"/>
        <v>12.87</v>
      </c>
    </row>
    <row r="104" spans="3:12" ht="15" x14ac:dyDescent="0.25">
      <c r="C104" s="547"/>
      <c r="D104" s="290">
        <v>100</v>
      </c>
      <c r="E104" s="292">
        <v>0.13</v>
      </c>
      <c r="F104" s="35">
        <f t="shared" si="20"/>
        <v>29630000000</v>
      </c>
      <c r="G104" s="35">
        <f t="shared" si="21"/>
        <v>25778100000</v>
      </c>
      <c r="H104" s="35">
        <f t="shared" si="22"/>
        <v>-8681737192</v>
      </c>
      <c r="I104" s="248">
        <f>Table25[[#This Row],[PAY PRICE]]/Table25[[#This Row],[QTY]]</f>
        <v>257781000</v>
      </c>
      <c r="J104" s="248">
        <f>($F$5-Table25[[#This Row],[$ Per Plane]])</f>
        <v>38519000</v>
      </c>
      <c r="K104" s="36">
        <f t="shared" si="23"/>
        <v>3851900000</v>
      </c>
      <c r="L104" s="69">
        <f t="shared" si="24"/>
        <v>13</v>
      </c>
    </row>
    <row r="105" spans="3:12" ht="15" x14ac:dyDescent="0.25">
      <c r="C105" s="547"/>
      <c r="D105" s="290">
        <v>101</v>
      </c>
      <c r="E105" s="292">
        <v>0.13</v>
      </c>
      <c r="F105" s="35">
        <f t="shared" si="20"/>
        <v>29926300000</v>
      </c>
      <c r="G105" s="35">
        <f t="shared" si="21"/>
        <v>26035881000</v>
      </c>
      <c r="H105" s="35">
        <f t="shared" si="22"/>
        <v>-8939518192</v>
      </c>
      <c r="I105" s="248">
        <f>Table25[[#This Row],[PAY PRICE]]/Table25[[#This Row],[QTY]]</f>
        <v>257781000</v>
      </c>
      <c r="J105" s="248">
        <f>($F$5-Table25[[#This Row],[$ Per Plane]])</f>
        <v>38519000</v>
      </c>
      <c r="K105" s="36">
        <f t="shared" si="23"/>
        <v>3890419000</v>
      </c>
      <c r="L105" s="69">
        <f t="shared" si="24"/>
        <v>13.13</v>
      </c>
    </row>
    <row r="106" spans="3:12" ht="15" x14ac:dyDescent="0.25">
      <c r="C106" s="547"/>
      <c r="D106" s="290">
        <v>102</v>
      </c>
      <c r="E106" s="292">
        <v>0.13</v>
      </c>
      <c r="F106" s="35">
        <f t="shared" si="20"/>
        <v>30222600000</v>
      </c>
      <c r="G106" s="35">
        <f t="shared" si="21"/>
        <v>26293662000</v>
      </c>
      <c r="H106" s="35">
        <f t="shared" si="22"/>
        <v>-9197299192</v>
      </c>
      <c r="I106" s="248">
        <f>Table25[[#This Row],[PAY PRICE]]/Table25[[#This Row],[QTY]]</f>
        <v>257781000</v>
      </c>
      <c r="J106" s="248">
        <f>($F$5-Table25[[#This Row],[$ Per Plane]])</f>
        <v>38519000</v>
      </c>
      <c r="K106" s="36">
        <f t="shared" si="23"/>
        <v>3928938000</v>
      </c>
      <c r="L106" s="69">
        <f t="shared" si="24"/>
        <v>13.26</v>
      </c>
    </row>
    <row r="107" spans="3:12" ht="15" x14ac:dyDescent="0.25">
      <c r="C107" s="547"/>
      <c r="D107" s="290">
        <v>103</v>
      </c>
      <c r="E107" s="292">
        <v>0.13</v>
      </c>
      <c r="F107" s="35">
        <f t="shared" si="20"/>
        <v>30518900000</v>
      </c>
      <c r="G107" s="35">
        <f t="shared" si="21"/>
        <v>26551443000</v>
      </c>
      <c r="H107" s="35">
        <f t="shared" si="22"/>
        <v>-9455080192</v>
      </c>
      <c r="I107" s="248">
        <f>Table25[[#This Row],[PAY PRICE]]/Table25[[#This Row],[QTY]]</f>
        <v>257781000</v>
      </c>
      <c r="J107" s="248">
        <f>($F$5-Table25[[#This Row],[$ Per Plane]])</f>
        <v>38519000</v>
      </c>
      <c r="K107" s="36">
        <f t="shared" si="23"/>
        <v>3967457000</v>
      </c>
      <c r="L107" s="69">
        <f t="shared" si="24"/>
        <v>13.39</v>
      </c>
    </row>
    <row r="108" spans="3:12" ht="15" x14ac:dyDescent="0.25">
      <c r="C108" s="547"/>
      <c r="D108" s="290">
        <v>104</v>
      </c>
      <c r="E108" s="292">
        <v>0.13</v>
      </c>
      <c r="F108" s="35">
        <f t="shared" si="20"/>
        <v>30815200000</v>
      </c>
      <c r="G108" s="35">
        <f t="shared" si="21"/>
        <v>26809224000</v>
      </c>
      <c r="H108" s="35">
        <f t="shared" si="22"/>
        <v>-9712861192</v>
      </c>
      <c r="I108" s="248">
        <f>Table25[[#This Row],[PAY PRICE]]/Table25[[#This Row],[QTY]]</f>
        <v>257781000</v>
      </c>
      <c r="J108" s="248">
        <f>($F$5-Table25[[#This Row],[$ Per Plane]])</f>
        <v>38519000</v>
      </c>
      <c r="K108" s="36">
        <f t="shared" si="23"/>
        <v>4005976000</v>
      </c>
      <c r="L108" s="69">
        <f t="shared" si="24"/>
        <v>13.52</v>
      </c>
    </row>
    <row r="109" spans="3:12" ht="15.75" thickBot="1" x14ac:dyDescent="0.3">
      <c r="C109" s="548"/>
      <c r="D109" s="291">
        <v>105</v>
      </c>
      <c r="E109" s="292">
        <v>0.13</v>
      </c>
      <c r="F109" s="35">
        <f t="shared" si="20"/>
        <v>31111500000</v>
      </c>
      <c r="G109" s="35">
        <f t="shared" si="21"/>
        <v>27067005000</v>
      </c>
      <c r="H109" s="35">
        <f t="shared" si="22"/>
        <v>-9970642192</v>
      </c>
      <c r="I109" s="294">
        <f>Table25[[#This Row],[PAY PRICE]]/Table25[[#This Row],[QTY]]</f>
        <v>257781000</v>
      </c>
      <c r="J109" s="248">
        <f>($F$5-Table25[[#This Row],[$ Per Plane]])</f>
        <v>38519000</v>
      </c>
      <c r="K109" s="18">
        <f t="shared" si="23"/>
        <v>4044495000</v>
      </c>
      <c r="L109" s="71">
        <f t="shared" si="24"/>
        <v>13.65</v>
      </c>
    </row>
    <row r="110" spans="3:12" ht="15" x14ac:dyDescent="0.25">
      <c r="C110" s="546">
        <v>16</v>
      </c>
      <c r="D110" s="289">
        <v>106</v>
      </c>
      <c r="E110" s="292">
        <v>0.13</v>
      </c>
      <c r="F110" s="35">
        <f t="shared" si="20"/>
        <v>31407800000</v>
      </c>
      <c r="G110" s="35">
        <f t="shared" si="21"/>
        <v>27324786000</v>
      </c>
      <c r="H110" s="35">
        <f t="shared" si="22"/>
        <v>-10228423192</v>
      </c>
      <c r="I110" s="293">
        <f>Table25[[#This Row],[PAY PRICE]]/Table25[[#This Row],[QTY]]</f>
        <v>257781000</v>
      </c>
      <c r="J110" s="248">
        <f>($F$5-Table25[[#This Row],[$ Per Plane]])</f>
        <v>38519000</v>
      </c>
      <c r="K110" s="67">
        <f t="shared" si="23"/>
        <v>4083014000</v>
      </c>
      <c r="L110" s="68">
        <f t="shared" si="24"/>
        <v>13.78</v>
      </c>
    </row>
    <row r="111" spans="3:12" ht="15" x14ac:dyDescent="0.25">
      <c r="C111" s="547"/>
      <c r="D111" s="290">
        <v>107</v>
      </c>
      <c r="E111" s="292">
        <v>0.13</v>
      </c>
      <c r="F111" s="35">
        <f t="shared" si="20"/>
        <v>31704100000</v>
      </c>
      <c r="G111" s="35">
        <f t="shared" si="21"/>
        <v>27582567000</v>
      </c>
      <c r="H111" s="35">
        <f t="shared" si="22"/>
        <v>-10486204192</v>
      </c>
      <c r="I111" s="248">
        <f>Table25[[#This Row],[PAY PRICE]]/Table25[[#This Row],[QTY]]</f>
        <v>257781000</v>
      </c>
      <c r="J111" s="248">
        <f>($F$5-Table25[[#This Row],[$ Per Plane]])</f>
        <v>38519000</v>
      </c>
      <c r="K111" s="36">
        <f t="shared" si="23"/>
        <v>4121533000</v>
      </c>
      <c r="L111" s="69">
        <f t="shared" si="24"/>
        <v>13.91</v>
      </c>
    </row>
    <row r="112" spans="3:12" ht="15" x14ac:dyDescent="0.25">
      <c r="C112" s="547"/>
      <c r="D112" s="290">
        <v>108</v>
      </c>
      <c r="E112" s="292">
        <v>0.13</v>
      </c>
      <c r="F112" s="35">
        <f t="shared" si="20"/>
        <v>32000400000</v>
      </c>
      <c r="G112" s="35">
        <f t="shared" si="21"/>
        <v>27840348000</v>
      </c>
      <c r="H112" s="35">
        <f t="shared" si="22"/>
        <v>-10743985192</v>
      </c>
      <c r="I112" s="248">
        <f>Table25[[#This Row],[PAY PRICE]]/Table25[[#This Row],[QTY]]</f>
        <v>257781000</v>
      </c>
      <c r="J112" s="248">
        <f>($F$5-Table25[[#This Row],[$ Per Plane]])</f>
        <v>38519000</v>
      </c>
      <c r="K112" s="36">
        <f t="shared" si="23"/>
        <v>4160052000</v>
      </c>
      <c r="L112" s="69">
        <f t="shared" si="24"/>
        <v>14.04</v>
      </c>
    </row>
    <row r="113" spans="3:12" ht="15" x14ac:dyDescent="0.25">
      <c r="C113" s="547"/>
      <c r="D113" s="290">
        <v>109</v>
      </c>
      <c r="E113" s="292">
        <v>0.13</v>
      </c>
      <c r="F113" s="35">
        <f t="shared" si="20"/>
        <v>32296700000</v>
      </c>
      <c r="G113" s="35">
        <f t="shared" si="21"/>
        <v>28098129000</v>
      </c>
      <c r="H113" s="35">
        <f t="shared" si="22"/>
        <v>-11001766192</v>
      </c>
      <c r="I113" s="248">
        <f>Table25[[#This Row],[PAY PRICE]]/Table25[[#This Row],[QTY]]</f>
        <v>257781000</v>
      </c>
      <c r="J113" s="248">
        <f>($F$5-Table25[[#This Row],[$ Per Plane]])</f>
        <v>38519000</v>
      </c>
      <c r="K113" s="36">
        <f t="shared" si="23"/>
        <v>4198571000</v>
      </c>
      <c r="L113" s="69">
        <f t="shared" si="24"/>
        <v>14.17</v>
      </c>
    </row>
    <row r="114" spans="3:12" ht="15" x14ac:dyDescent="0.25">
      <c r="C114" s="547"/>
      <c r="D114" s="290">
        <v>110</v>
      </c>
      <c r="E114" s="292">
        <v>0.13</v>
      </c>
      <c r="F114" s="35">
        <f t="shared" si="20"/>
        <v>32593000000</v>
      </c>
      <c r="G114" s="35">
        <f t="shared" si="21"/>
        <v>28355910000</v>
      </c>
      <c r="H114" s="35">
        <f t="shared" si="22"/>
        <v>-11259547192</v>
      </c>
      <c r="I114" s="248">
        <f>Table25[[#This Row],[PAY PRICE]]/Table25[[#This Row],[QTY]]</f>
        <v>257781000</v>
      </c>
      <c r="J114" s="248">
        <f>($F$5-Table25[[#This Row],[$ Per Plane]])</f>
        <v>38519000</v>
      </c>
      <c r="K114" s="36">
        <f t="shared" si="23"/>
        <v>4237090000</v>
      </c>
      <c r="L114" s="69">
        <f t="shared" si="24"/>
        <v>14.3</v>
      </c>
    </row>
    <row r="115" spans="3:12" ht="15" x14ac:dyDescent="0.25">
      <c r="C115" s="547"/>
      <c r="D115" s="290">
        <v>111</v>
      </c>
      <c r="E115" s="292">
        <v>0.13</v>
      </c>
      <c r="F115" s="35">
        <f t="shared" si="20"/>
        <v>32889300000</v>
      </c>
      <c r="G115" s="35">
        <f t="shared" si="21"/>
        <v>28613691000</v>
      </c>
      <c r="H115" s="35">
        <f t="shared" si="22"/>
        <v>-11517328192</v>
      </c>
      <c r="I115" s="248">
        <f>Table25[[#This Row],[PAY PRICE]]/Table25[[#This Row],[QTY]]</f>
        <v>257781000</v>
      </c>
      <c r="J115" s="248">
        <f>($F$5-Table25[[#This Row],[$ Per Plane]])</f>
        <v>38519000</v>
      </c>
      <c r="K115" s="36">
        <f t="shared" si="23"/>
        <v>4275609000</v>
      </c>
      <c r="L115" s="69">
        <f t="shared" si="24"/>
        <v>14.43</v>
      </c>
    </row>
    <row r="116" spans="3:12" ht="15.75" thickBot="1" x14ac:dyDescent="0.3">
      <c r="C116" s="548"/>
      <c r="D116" s="291">
        <v>112</v>
      </c>
      <c r="E116" s="292">
        <v>0.13</v>
      </c>
      <c r="F116" s="35">
        <f t="shared" si="20"/>
        <v>33185600000</v>
      </c>
      <c r="G116" s="35">
        <f t="shared" si="21"/>
        <v>28871472000</v>
      </c>
      <c r="H116" s="35">
        <f t="shared" si="22"/>
        <v>-11775109192</v>
      </c>
      <c r="I116" s="294">
        <f>Table25[[#This Row],[PAY PRICE]]/Table25[[#This Row],[QTY]]</f>
        <v>257781000</v>
      </c>
      <c r="J116" s="248">
        <f>($F$5-Table25[[#This Row],[$ Per Plane]])</f>
        <v>38519000</v>
      </c>
      <c r="K116" s="18">
        <f t="shared" si="23"/>
        <v>4314128000</v>
      </c>
      <c r="L116" s="71">
        <f t="shared" si="24"/>
        <v>14.56</v>
      </c>
    </row>
    <row r="117" spans="3:12" ht="15" x14ac:dyDescent="0.25">
      <c r="C117" s="546">
        <v>17</v>
      </c>
      <c r="D117" s="289">
        <v>113</v>
      </c>
      <c r="E117" s="292">
        <v>0.13</v>
      </c>
      <c r="F117" s="35">
        <f t="shared" ref="F117:F144" si="25">$F$5*D117</f>
        <v>33481900000</v>
      </c>
      <c r="G117" s="35">
        <f t="shared" ref="G117:G144" si="26">F117*(1-E117)</f>
        <v>29129253000</v>
      </c>
      <c r="H117" s="35">
        <f t="shared" ref="H117:H144" si="27">$H$2-G117</f>
        <v>-12032890192</v>
      </c>
      <c r="I117" s="248">
        <f>Table25[[#This Row],[PAY PRICE]]/Table25[[#This Row],[QTY]]</f>
        <v>257781000</v>
      </c>
      <c r="J117" s="248">
        <f>($F$5-Table25[[#This Row],[$ Per Plane]])</f>
        <v>38519000</v>
      </c>
      <c r="K117" s="36">
        <f t="shared" ref="K117:K144" si="28">($F$5*D117)-G117</f>
        <v>4352647000</v>
      </c>
      <c r="L117" s="247">
        <f t="shared" ref="L117:L144" si="29">K117/$F$5</f>
        <v>14.69</v>
      </c>
    </row>
    <row r="118" spans="3:12" ht="15" x14ac:dyDescent="0.25">
      <c r="C118" s="547"/>
      <c r="D118" s="290">
        <v>114</v>
      </c>
      <c r="E118" s="292">
        <v>0.13</v>
      </c>
      <c r="F118" s="35">
        <f t="shared" si="25"/>
        <v>33778200000</v>
      </c>
      <c r="G118" s="35">
        <f t="shared" si="26"/>
        <v>29387034000</v>
      </c>
      <c r="H118" s="35">
        <f t="shared" si="27"/>
        <v>-12290671192</v>
      </c>
      <c r="I118" s="248">
        <f>Table25[[#This Row],[PAY PRICE]]/Table25[[#This Row],[QTY]]</f>
        <v>257781000</v>
      </c>
      <c r="J118" s="248">
        <f>($F$5-Table25[[#This Row],[$ Per Plane]])</f>
        <v>38519000</v>
      </c>
      <c r="K118" s="36">
        <f t="shared" si="28"/>
        <v>4391166000</v>
      </c>
      <c r="L118" s="247">
        <f t="shared" si="29"/>
        <v>14.82</v>
      </c>
    </row>
    <row r="119" spans="3:12" ht="15" x14ac:dyDescent="0.25">
      <c r="C119" s="547"/>
      <c r="D119" s="290">
        <v>115</v>
      </c>
      <c r="E119" s="292">
        <v>0.13</v>
      </c>
      <c r="F119" s="35">
        <f t="shared" si="25"/>
        <v>34074500000</v>
      </c>
      <c r="G119" s="35">
        <f t="shared" si="26"/>
        <v>29644815000</v>
      </c>
      <c r="H119" s="35">
        <f t="shared" si="27"/>
        <v>-12548452192</v>
      </c>
      <c r="I119" s="248">
        <f>Table25[[#This Row],[PAY PRICE]]/Table25[[#This Row],[QTY]]</f>
        <v>257781000</v>
      </c>
      <c r="J119" s="248">
        <f>($F$5-Table25[[#This Row],[$ Per Plane]])</f>
        <v>38519000</v>
      </c>
      <c r="K119" s="36">
        <f t="shared" si="28"/>
        <v>4429685000</v>
      </c>
      <c r="L119" s="247">
        <f t="shared" si="29"/>
        <v>14.95</v>
      </c>
    </row>
    <row r="120" spans="3:12" ht="15" x14ac:dyDescent="0.25">
      <c r="C120" s="547"/>
      <c r="D120" s="290">
        <v>116</v>
      </c>
      <c r="E120" s="292">
        <v>0.13</v>
      </c>
      <c r="F120" s="35">
        <f t="shared" si="25"/>
        <v>34370800000</v>
      </c>
      <c r="G120" s="35">
        <f t="shared" si="26"/>
        <v>29902596000</v>
      </c>
      <c r="H120" s="35">
        <f t="shared" si="27"/>
        <v>-12806233192</v>
      </c>
      <c r="I120" s="248">
        <f>Table25[[#This Row],[PAY PRICE]]/Table25[[#This Row],[QTY]]</f>
        <v>257781000</v>
      </c>
      <c r="J120" s="248">
        <f>($F$5-Table25[[#This Row],[$ Per Plane]])</f>
        <v>38519000</v>
      </c>
      <c r="K120" s="36">
        <f t="shared" si="28"/>
        <v>4468204000</v>
      </c>
      <c r="L120" s="247">
        <f t="shared" si="29"/>
        <v>15.08</v>
      </c>
    </row>
    <row r="121" spans="3:12" ht="15" x14ac:dyDescent="0.25">
      <c r="C121" s="547"/>
      <c r="D121" s="290">
        <v>117</v>
      </c>
      <c r="E121" s="292">
        <v>0.13</v>
      </c>
      <c r="F121" s="35">
        <f t="shared" si="25"/>
        <v>34667100000</v>
      </c>
      <c r="G121" s="35">
        <f t="shared" si="26"/>
        <v>30160377000</v>
      </c>
      <c r="H121" s="35">
        <f t="shared" si="27"/>
        <v>-13064014192</v>
      </c>
      <c r="I121" s="248">
        <f>Table25[[#This Row],[PAY PRICE]]/Table25[[#This Row],[QTY]]</f>
        <v>257781000</v>
      </c>
      <c r="J121" s="248">
        <f>($F$5-Table25[[#This Row],[$ Per Plane]])</f>
        <v>38519000</v>
      </c>
      <c r="K121" s="36">
        <f t="shared" si="28"/>
        <v>4506723000</v>
      </c>
      <c r="L121" s="247">
        <f t="shared" si="29"/>
        <v>15.21</v>
      </c>
    </row>
    <row r="122" spans="3:12" ht="15" x14ac:dyDescent="0.25">
      <c r="C122" s="547"/>
      <c r="D122" s="290">
        <v>118</v>
      </c>
      <c r="E122" s="292">
        <v>0.13</v>
      </c>
      <c r="F122" s="35">
        <f t="shared" si="25"/>
        <v>34963400000</v>
      </c>
      <c r="G122" s="35">
        <f t="shared" si="26"/>
        <v>30418158000</v>
      </c>
      <c r="H122" s="35">
        <f t="shared" si="27"/>
        <v>-13321795192</v>
      </c>
      <c r="I122" s="248">
        <f>Table25[[#This Row],[PAY PRICE]]/Table25[[#This Row],[QTY]]</f>
        <v>257781000</v>
      </c>
      <c r="J122" s="248">
        <f>($F$5-Table25[[#This Row],[$ Per Plane]])</f>
        <v>38519000</v>
      </c>
      <c r="K122" s="36">
        <f t="shared" si="28"/>
        <v>4545242000</v>
      </c>
      <c r="L122" s="247">
        <f t="shared" si="29"/>
        <v>15.34</v>
      </c>
    </row>
    <row r="123" spans="3:12" ht="15.75" thickBot="1" x14ac:dyDescent="0.3">
      <c r="C123" s="548"/>
      <c r="D123" s="291">
        <v>119</v>
      </c>
      <c r="E123" s="292">
        <v>0.13</v>
      </c>
      <c r="F123" s="35">
        <f t="shared" si="25"/>
        <v>35259700000</v>
      </c>
      <c r="G123" s="35">
        <f t="shared" si="26"/>
        <v>30675939000</v>
      </c>
      <c r="H123" s="35">
        <f t="shared" si="27"/>
        <v>-13579576192</v>
      </c>
      <c r="I123" s="248">
        <f>Table25[[#This Row],[PAY PRICE]]/Table25[[#This Row],[QTY]]</f>
        <v>257781000</v>
      </c>
      <c r="J123" s="248">
        <f>($F$5-Table25[[#This Row],[$ Per Plane]])</f>
        <v>38519000</v>
      </c>
      <c r="K123" s="36">
        <f t="shared" si="28"/>
        <v>4583761000</v>
      </c>
      <c r="L123" s="247">
        <f t="shared" si="29"/>
        <v>15.47</v>
      </c>
    </row>
    <row r="124" spans="3:12" ht="15" x14ac:dyDescent="0.25">
      <c r="C124" s="546">
        <v>18</v>
      </c>
      <c r="D124" s="289">
        <v>120</v>
      </c>
      <c r="E124" s="292">
        <v>0.13</v>
      </c>
      <c r="F124" s="35">
        <f t="shared" si="25"/>
        <v>35556000000</v>
      </c>
      <c r="G124" s="35">
        <f t="shared" si="26"/>
        <v>30933720000</v>
      </c>
      <c r="H124" s="35">
        <f t="shared" si="27"/>
        <v>-13837357192</v>
      </c>
      <c r="I124" s="293">
        <f>Table25[[#This Row],[PAY PRICE]]/Table25[[#This Row],[QTY]]</f>
        <v>257781000</v>
      </c>
      <c r="J124" s="248">
        <f>($F$5-Table25[[#This Row],[$ Per Plane]])</f>
        <v>38519000</v>
      </c>
      <c r="K124" s="67">
        <f t="shared" si="28"/>
        <v>4622280000</v>
      </c>
      <c r="L124" s="68">
        <f t="shared" si="29"/>
        <v>15.6</v>
      </c>
    </row>
    <row r="125" spans="3:12" ht="15" x14ac:dyDescent="0.25">
      <c r="C125" s="547"/>
      <c r="D125" s="290">
        <v>121</v>
      </c>
      <c r="E125" s="292">
        <v>0.13</v>
      </c>
      <c r="F125" s="35">
        <f t="shared" si="25"/>
        <v>35852300000</v>
      </c>
      <c r="G125" s="35">
        <f t="shared" si="26"/>
        <v>31191501000</v>
      </c>
      <c r="H125" s="35">
        <f t="shared" si="27"/>
        <v>-14095138192</v>
      </c>
      <c r="I125" s="248">
        <f>Table25[[#This Row],[PAY PRICE]]/Table25[[#This Row],[QTY]]</f>
        <v>257781000</v>
      </c>
      <c r="J125" s="248">
        <f>($F$5-Table25[[#This Row],[$ Per Plane]])</f>
        <v>38519000</v>
      </c>
      <c r="K125" s="36">
        <f t="shared" si="28"/>
        <v>4660799000</v>
      </c>
      <c r="L125" s="69">
        <f t="shared" si="29"/>
        <v>15.73</v>
      </c>
    </row>
    <row r="126" spans="3:12" ht="15" x14ac:dyDescent="0.25">
      <c r="C126" s="547"/>
      <c r="D126" s="290">
        <v>122</v>
      </c>
      <c r="E126" s="292">
        <v>0.13</v>
      </c>
      <c r="F126" s="35">
        <f t="shared" si="25"/>
        <v>36148600000</v>
      </c>
      <c r="G126" s="35">
        <f t="shared" si="26"/>
        <v>31449282000</v>
      </c>
      <c r="H126" s="35">
        <f t="shared" si="27"/>
        <v>-14352919192</v>
      </c>
      <c r="I126" s="248">
        <f>Table25[[#This Row],[PAY PRICE]]/Table25[[#This Row],[QTY]]</f>
        <v>257781000</v>
      </c>
      <c r="J126" s="248">
        <f>($F$5-Table25[[#This Row],[$ Per Plane]])</f>
        <v>38519000</v>
      </c>
      <c r="K126" s="36">
        <f t="shared" si="28"/>
        <v>4699318000</v>
      </c>
      <c r="L126" s="69">
        <f t="shared" si="29"/>
        <v>15.86</v>
      </c>
    </row>
    <row r="127" spans="3:12" ht="15" x14ac:dyDescent="0.25">
      <c r="C127" s="547"/>
      <c r="D127" s="290">
        <v>123</v>
      </c>
      <c r="E127" s="292">
        <v>0.13</v>
      </c>
      <c r="F127" s="35">
        <f t="shared" si="25"/>
        <v>36444900000</v>
      </c>
      <c r="G127" s="35">
        <f t="shared" si="26"/>
        <v>31707063000</v>
      </c>
      <c r="H127" s="35">
        <f t="shared" si="27"/>
        <v>-14610700192</v>
      </c>
      <c r="I127" s="248">
        <f>Table25[[#This Row],[PAY PRICE]]/Table25[[#This Row],[QTY]]</f>
        <v>257781000</v>
      </c>
      <c r="J127" s="248">
        <f>($F$5-Table25[[#This Row],[$ Per Plane]])</f>
        <v>38519000</v>
      </c>
      <c r="K127" s="36">
        <f t="shared" si="28"/>
        <v>4737837000</v>
      </c>
      <c r="L127" s="69">
        <f t="shared" si="29"/>
        <v>15.99</v>
      </c>
    </row>
    <row r="128" spans="3:12" ht="15" x14ac:dyDescent="0.25">
      <c r="C128" s="547"/>
      <c r="D128" s="290">
        <v>124</v>
      </c>
      <c r="E128" s="292">
        <v>0.13</v>
      </c>
      <c r="F128" s="35">
        <f t="shared" si="25"/>
        <v>36741200000</v>
      </c>
      <c r="G128" s="35">
        <f t="shared" si="26"/>
        <v>31964844000</v>
      </c>
      <c r="H128" s="35">
        <f t="shared" si="27"/>
        <v>-14868481192</v>
      </c>
      <c r="I128" s="248">
        <f>Table25[[#This Row],[PAY PRICE]]/Table25[[#This Row],[QTY]]</f>
        <v>257781000</v>
      </c>
      <c r="J128" s="248">
        <f>($F$5-Table25[[#This Row],[$ Per Plane]])</f>
        <v>38519000</v>
      </c>
      <c r="K128" s="36">
        <f t="shared" si="28"/>
        <v>4776356000</v>
      </c>
      <c r="L128" s="69">
        <f t="shared" si="29"/>
        <v>16.12</v>
      </c>
    </row>
    <row r="129" spans="3:12" ht="15" x14ac:dyDescent="0.25">
      <c r="C129" s="547"/>
      <c r="D129" s="290">
        <v>125</v>
      </c>
      <c r="E129" s="292">
        <v>0.13</v>
      </c>
      <c r="F129" s="35">
        <f t="shared" si="25"/>
        <v>37037500000</v>
      </c>
      <c r="G129" s="35">
        <f t="shared" si="26"/>
        <v>32222625000</v>
      </c>
      <c r="H129" s="35">
        <f t="shared" si="27"/>
        <v>-15126262192</v>
      </c>
      <c r="I129" s="248">
        <f>Table25[[#This Row],[PAY PRICE]]/Table25[[#This Row],[QTY]]</f>
        <v>257781000</v>
      </c>
      <c r="J129" s="248">
        <f>($F$5-Table25[[#This Row],[$ Per Plane]])</f>
        <v>38519000</v>
      </c>
      <c r="K129" s="36">
        <f t="shared" si="28"/>
        <v>4814875000</v>
      </c>
      <c r="L129" s="69">
        <f t="shared" si="29"/>
        <v>16.25</v>
      </c>
    </row>
    <row r="130" spans="3:12" ht="15.75" thickBot="1" x14ac:dyDescent="0.3">
      <c r="C130" s="548"/>
      <c r="D130" s="291">
        <v>126</v>
      </c>
      <c r="E130" s="292">
        <v>0.13</v>
      </c>
      <c r="F130" s="35">
        <f t="shared" si="25"/>
        <v>37333800000</v>
      </c>
      <c r="G130" s="35">
        <f t="shared" si="26"/>
        <v>32480406000</v>
      </c>
      <c r="H130" s="35">
        <f t="shared" si="27"/>
        <v>-15384043192</v>
      </c>
      <c r="I130" s="294">
        <f>Table25[[#This Row],[PAY PRICE]]/Table25[[#This Row],[QTY]]</f>
        <v>257781000</v>
      </c>
      <c r="J130" s="248">
        <f>($F$5-Table25[[#This Row],[$ Per Plane]])</f>
        <v>38519000</v>
      </c>
      <c r="K130" s="18">
        <f t="shared" si="28"/>
        <v>4853394000</v>
      </c>
      <c r="L130" s="71">
        <f t="shared" si="29"/>
        <v>16.38</v>
      </c>
    </row>
    <row r="131" spans="3:12" ht="15" x14ac:dyDescent="0.25">
      <c r="C131" s="546">
        <v>19</v>
      </c>
      <c r="D131" s="289">
        <v>127</v>
      </c>
      <c r="E131" s="292">
        <v>0.13</v>
      </c>
      <c r="F131" s="35">
        <f t="shared" si="25"/>
        <v>37630100000</v>
      </c>
      <c r="G131" s="35">
        <f t="shared" si="26"/>
        <v>32738187000</v>
      </c>
      <c r="H131" s="35">
        <f t="shared" si="27"/>
        <v>-15641824192</v>
      </c>
      <c r="I131" s="293">
        <f>Table25[[#This Row],[PAY PRICE]]/Table25[[#This Row],[QTY]]</f>
        <v>257781000</v>
      </c>
      <c r="J131" s="248">
        <f>($F$5-Table25[[#This Row],[$ Per Plane]])</f>
        <v>38519000</v>
      </c>
      <c r="K131" s="67">
        <f t="shared" si="28"/>
        <v>4891913000</v>
      </c>
      <c r="L131" s="68">
        <f t="shared" si="29"/>
        <v>16.510000000000002</v>
      </c>
    </row>
    <row r="132" spans="3:12" ht="15" x14ac:dyDescent="0.25">
      <c r="C132" s="547"/>
      <c r="D132" s="290">
        <v>128</v>
      </c>
      <c r="E132" s="292">
        <v>0.13</v>
      </c>
      <c r="F132" s="35">
        <f t="shared" si="25"/>
        <v>37926400000</v>
      </c>
      <c r="G132" s="35">
        <f t="shared" si="26"/>
        <v>32995968000</v>
      </c>
      <c r="H132" s="35">
        <f t="shared" si="27"/>
        <v>-15899605192</v>
      </c>
      <c r="I132" s="248">
        <f>Table25[[#This Row],[PAY PRICE]]/Table25[[#This Row],[QTY]]</f>
        <v>257781000</v>
      </c>
      <c r="J132" s="248">
        <f>($F$5-Table25[[#This Row],[$ Per Plane]])</f>
        <v>38519000</v>
      </c>
      <c r="K132" s="36">
        <f t="shared" si="28"/>
        <v>4930432000</v>
      </c>
      <c r="L132" s="69">
        <f t="shared" si="29"/>
        <v>16.64</v>
      </c>
    </row>
    <row r="133" spans="3:12" ht="15" x14ac:dyDescent="0.25">
      <c r="C133" s="547"/>
      <c r="D133" s="290">
        <v>129</v>
      </c>
      <c r="E133" s="292">
        <v>0.13</v>
      </c>
      <c r="F133" s="35">
        <f t="shared" si="25"/>
        <v>38222700000</v>
      </c>
      <c r="G133" s="35">
        <f t="shared" si="26"/>
        <v>33253749000</v>
      </c>
      <c r="H133" s="35">
        <f t="shared" si="27"/>
        <v>-16157386192</v>
      </c>
      <c r="I133" s="248">
        <f>Table25[[#This Row],[PAY PRICE]]/Table25[[#This Row],[QTY]]</f>
        <v>257781000</v>
      </c>
      <c r="J133" s="248">
        <f>($F$5-Table25[[#This Row],[$ Per Plane]])</f>
        <v>38519000</v>
      </c>
      <c r="K133" s="36">
        <f t="shared" si="28"/>
        <v>4968951000</v>
      </c>
      <c r="L133" s="69">
        <f t="shared" si="29"/>
        <v>16.77</v>
      </c>
    </row>
    <row r="134" spans="3:12" ht="15" x14ac:dyDescent="0.25">
      <c r="C134" s="547"/>
      <c r="D134" s="290">
        <v>130</v>
      </c>
      <c r="E134" s="292">
        <v>0.13</v>
      </c>
      <c r="F134" s="35">
        <f t="shared" si="25"/>
        <v>38519000000</v>
      </c>
      <c r="G134" s="35">
        <f t="shared" si="26"/>
        <v>33511530000</v>
      </c>
      <c r="H134" s="35">
        <f t="shared" si="27"/>
        <v>-16415167192</v>
      </c>
      <c r="I134" s="248">
        <f>Table25[[#This Row],[PAY PRICE]]/Table25[[#This Row],[QTY]]</f>
        <v>257781000</v>
      </c>
      <c r="J134" s="248">
        <f>($F$5-Table25[[#This Row],[$ Per Plane]])</f>
        <v>38519000</v>
      </c>
      <c r="K134" s="36">
        <f t="shared" si="28"/>
        <v>5007470000</v>
      </c>
      <c r="L134" s="69">
        <f t="shared" si="29"/>
        <v>16.899999999999999</v>
      </c>
    </row>
    <row r="135" spans="3:12" ht="15" x14ac:dyDescent="0.25">
      <c r="C135" s="547"/>
      <c r="D135" s="290">
        <v>131</v>
      </c>
      <c r="E135" s="292">
        <v>0.13</v>
      </c>
      <c r="F135" s="35">
        <f t="shared" si="25"/>
        <v>38815300000</v>
      </c>
      <c r="G135" s="35">
        <f t="shared" si="26"/>
        <v>33769311000</v>
      </c>
      <c r="H135" s="35">
        <f t="shared" si="27"/>
        <v>-16672948192</v>
      </c>
      <c r="I135" s="248">
        <f>Table25[[#This Row],[PAY PRICE]]/Table25[[#This Row],[QTY]]</f>
        <v>257781000</v>
      </c>
      <c r="J135" s="248">
        <f>($F$5-Table25[[#This Row],[$ Per Plane]])</f>
        <v>38519000</v>
      </c>
      <c r="K135" s="36">
        <f t="shared" si="28"/>
        <v>5045989000</v>
      </c>
      <c r="L135" s="69">
        <f t="shared" si="29"/>
        <v>17.03</v>
      </c>
    </row>
    <row r="136" spans="3:12" ht="15" x14ac:dyDescent="0.25">
      <c r="C136" s="547"/>
      <c r="D136" s="290">
        <v>132</v>
      </c>
      <c r="E136" s="292">
        <v>0.13</v>
      </c>
      <c r="F136" s="35">
        <f t="shared" si="25"/>
        <v>39111600000</v>
      </c>
      <c r="G136" s="35">
        <f t="shared" si="26"/>
        <v>34027092000</v>
      </c>
      <c r="H136" s="35">
        <f t="shared" si="27"/>
        <v>-16930729192</v>
      </c>
      <c r="I136" s="248">
        <f>Table25[[#This Row],[PAY PRICE]]/Table25[[#This Row],[QTY]]</f>
        <v>257781000</v>
      </c>
      <c r="J136" s="248">
        <f>($F$5-Table25[[#This Row],[$ Per Plane]])</f>
        <v>38519000</v>
      </c>
      <c r="K136" s="36">
        <f t="shared" si="28"/>
        <v>5084508000</v>
      </c>
      <c r="L136" s="69">
        <f t="shared" si="29"/>
        <v>17.16</v>
      </c>
    </row>
    <row r="137" spans="3:12" ht="15.75" thickBot="1" x14ac:dyDescent="0.3">
      <c r="C137" s="548"/>
      <c r="D137" s="291">
        <v>133</v>
      </c>
      <c r="E137" s="292">
        <v>0.13</v>
      </c>
      <c r="F137" s="35">
        <f t="shared" si="25"/>
        <v>39407900000</v>
      </c>
      <c r="G137" s="35">
        <f t="shared" si="26"/>
        <v>34284873000</v>
      </c>
      <c r="H137" s="35">
        <f t="shared" si="27"/>
        <v>-17188510192</v>
      </c>
      <c r="I137" s="294">
        <f>Table25[[#This Row],[PAY PRICE]]/Table25[[#This Row],[QTY]]</f>
        <v>257781000</v>
      </c>
      <c r="J137" s="248">
        <f>($F$5-Table25[[#This Row],[$ Per Plane]])</f>
        <v>38519000</v>
      </c>
      <c r="K137" s="18">
        <f t="shared" si="28"/>
        <v>5123027000</v>
      </c>
      <c r="L137" s="71">
        <f t="shared" si="29"/>
        <v>17.29</v>
      </c>
    </row>
    <row r="138" spans="3:12" ht="15" x14ac:dyDescent="0.25">
      <c r="C138" s="546">
        <v>20</v>
      </c>
      <c r="D138" s="289">
        <v>134</v>
      </c>
      <c r="E138" s="292">
        <v>0.13</v>
      </c>
      <c r="F138" s="35">
        <f t="shared" si="25"/>
        <v>39704200000</v>
      </c>
      <c r="G138" s="35">
        <f t="shared" si="26"/>
        <v>34542654000</v>
      </c>
      <c r="H138" s="35">
        <f t="shared" si="27"/>
        <v>-17446291192</v>
      </c>
      <c r="I138" s="248">
        <f>Table25[[#This Row],[PAY PRICE]]/Table25[[#This Row],[QTY]]</f>
        <v>257781000</v>
      </c>
      <c r="J138" s="248">
        <f>($F$5-Table25[[#This Row],[$ Per Plane]])</f>
        <v>38519000</v>
      </c>
      <c r="K138" s="36">
        <f t="shared" si="28"/>
        <v>5161546000</v>
      </c>
      <c r="L138" s="247">
        <f t="shared" si="29"/>
        <v>17.420000000000002</v>
      </c>
    </row>
    <row r="139" spans="3:12" ht="15" x14ac:dyDescent="0.25">
      <c r="C139" s="547"/>
      <c r="D139" s="290">
        <v>135</v>
      </c>
      <c r="E139" s="292">
        <v>0.13</v>
      </c>
      <c r="F139" s="35">
        <f t="shared" si="25"/>
        <v>40000500000</v>
      </c>
      <c r="G139" s="35">
        <f t="shared" si="26"/>
        <v>34800435000</v>
      </c>
      <c r="H139" s="35">
        <f t="shared" si="27"/>
        <v>-17704072192</v>
      </c>
      <c r="I139" s="248">
        <f>Table25[[#This Row],[PAY PRICE]]/Table25[[#This Row],[QTY]]</f>
        <v>257781000</v>
      </c>
      <c r="J139" s="248">
        <f>($F$5-Table25[[#This Row],[$ Per Plane]])</f>
        <v>38519000</v>
      </c>
      <c r="K139" s="36">
        <f t="shared" si="28"/>
        <v>5200065000</v>
      </c>
      <c r="L139" s="247">
        <f t="shared" si="29"/>
        <v>17.55</v>
      </c>
    </row>
    <row r="140" spans="3:12" ht="15" x14ac:dyDescent="0.25">
      <c r="C140" s="547"/>
      <c r="D140" s="290">
        <v>136</v>
      </c>
      <c r="E140" s="292">
        <v>0.13</v>
      </c>
      <c r="F140" s="35">
        <f t="shared" si="25"/>
        <v>40296800000</v>
      </c>
      <c r="G140" s="35">
        <f t="shared" si="26"/>
        <v>35058216000</v>
      </c>
      <c r="H140" s="35">
        <f t="shared" si="27"/>
        <v>-17961853192</v>
      </c>
      <c r="I140" s="248">
        <f>Table25[[#This Row],[PAY PRICE]]/Table25[[#This Row],[QTY]]</f>
        <v>257781000</v>
      </c>
      <c r="J140" s="248">
        <f>($F$5-Table25[[#This Row],[$ Per Plane]])</f>
        <v>38519000</v>
      </c>
      <c r="K140" s="36">
        <f t="shared" si="28"/>
        <v>5238584000</v>
      </c>
      <c r="L140" s="247">
        <f t="shared" si="29"/>
        <v>17.68</v>
      </c>
    </row>
    <row r="141" spans="3:12" ht="15" x14ac:dyDescent="0.25">
      <c r="C141" s="547"/>
      <c r="D141" s="290">
        <v>137</v>
      </c>
      <c r="E141" s="292">
        <v>0.13</v>
      </c>
      <c r="F141" s="35">
        <f t="shared" si="25"/>
        <v>40593100000</v>
      </c>
      <c r="G141" s="35">
        <f t="shared" si="26"/>
        <v>35315997000</v>
      </c>
      <c r="H141" s="35">
        <f t="shared" si="27"/>
        <v>-18219634192</v>
      </c>
      <c r="I141" s="248">
        <f>Table25[[#This Row],[PAY PRICE]]/Table25[[#This Row],[QTY]]</f>
        <v>257781000</v>
      </c>
      <c r="J141" s="248">
        <f>($F$5-Table25[[#This Row],[$ Per Plane]])</f>
        <v>38519000</v>
      </c>
      <c r="K141" s="36">
        <f t="shared" si="28"/>
        <v>5277103000</v>
      </c>
      <c r="L141" s="247">
        <f t="shared" si="29"/>
        <v>17.809999999999999</v>
      </c>
    </row>
    <row r="142" spans="3:12" ht="15" x14ac:dyDescent="0.25">
      <c r="C142" s="547"/>
      <c r="D142" s="290">
        <v>138</v>
      </c>
      <c r="E142" s="292">
        <v>0.13</v>
      </c>
      <c r="F142" s="35">
        <f t="shared" si="25"/>
        <v>40889400000</v>
      </c>
      <c r="G142" s="35">
        <f t="shared" si="26"/>
        <v>35573778000</v>
      </c>
      <c r="H142" s="35">
        <f t="shared" si="27"/>
        <v>-18477415192</v>
      </c>
      <c r="I142" s="248">
        <f>Table25[[#This Row],[PAY PRICE]]/Table25[[#This Row],[QTY]]</f>
        <v>257781000</v>
      </c>
      <c r="J142" s="248">
        <f>($F$5-Table25[[#This Row],[$ Per Plane]])</f>
        <v>38519000</v>
      </c>
      <c r="K142" s="36">
        <f t="shared" si="28"/>
        <v>5315622000</v>
      </c>
      <c r="L142" s="247">
        <f t="shared" si="29"/>
        <v>17.940000000000001</v>
      </c>
    </row>
    <row r="143" spans="3:12" ht="15" x14ac:dyDescent="0.25">
      <c r="C143" s="547"/>
      <c r="D143" s="290">
        <v>139</v>
      </c>
      <c r="E143" s="292">
        <v>0.13</v>
      </c>
      <c r="F143" s="35">
        <f t="shared" si="25"/>
        <v>41185700000</v>
      </c>
      <c r="G143" s="35">
        <f t="shared" si="26"/>
        <v>35831559000</v>
      </c>
      <c r="H143" s="35">
        <f t="shared" si="27"/>
        <v>-18735196192</v>
      </c>
      <c r="I143" s="248">
        <f>Table25[[#This Row],[PAY PRICE]]/Table25[[#This Row],[QTY]]</f>
        <v>257781000</v>
      </c>
      <c r="J143" s="248">
        <f>($F$5-Table25[[#This Row],[$ Per Plane]])</f>
        <v>38519000</v>
      </c>
      <c r="K143" s="36">
        <f t="shared" si="28"/>
        <v>5354141000</v>
      </c>
      <c r="L143" s="247">
        <f t="shared" si="29"/>
        <v>18.07</v>
      </c>
    </row>
    <row r="144" spans="3:12" ht="15.75" thickBot="1" x14ac:dyDescent="0.3">
      <c r="C144" s="548"/>
      <c r="D144" s="290">
        <v>140</v>
      </c>
      <c r="E144" s="295">
        <v>0.13</v>
      </c>
      <c r="F144" s="296">
        <f t="shared" si="25"/>
        <v>41482000000</v>
      </c>
      <c r="G144" s="296">
        <f t="shared" si="26"/>
        <v>36089340000</v>
      </c>
      <c r="H144" s="296">
        <f t="shared" si="27"/>
        <v>-18992977192</v>
      </c>
      <c r="I144" s="248">
        <f>Table25[[#This Row],[PAY PRICE]]/Table25[[#This Row],[QTY]]</f>
        <v>257781000</v>
      </c>
      <c r="J144" s="248">
        <f>($F$5-Table25[[#This Row],[$ Per Plane]])</f>
        <v>38519000</v>
      </c>
      <c r="K144" s="36">
        <f t="shared" si="28"/>
        <v>5392660000</v>
      </c>
      <c r="L144" s="247">
        <f t="shared" si="29"/>
        <v>18.2</v>
      </c>
    </row>
  </sheetData>
  <mergeCells count="20">
    <mergeCell ref="C138:C144"/>
    <mergeCell ref="C103:C109"/>
    <mergeCell ref="C110:C116"/>
    <mergeCell ref="C117:C123"/>
    <mergeCell ref="C124:C130"/>
    <mergeCell ref="C131:C137"/>
    <mergeCell ref="C96:C102"/>
    <mergeCell ref="C82:C88"/>
    <mergeCell ref="C89:C95"/>
    <mergeCell ref="C40:C46"/>
    <mergeCell ref="C5:C11"/>
    <mergeCell ref="C12:C18"/>
    <mergeCell ref="C19:C25"/>
    <mergeCell ref="C26:C32"/>
    <mergeCell ref="C33:C39"/>
    <mergeCell ref="C47:C53"/>
    <mergeCell ref="C54:C60"/>
    <mergeCell ref="C61:C67"/>
    <mergeCell ref="C68:C74"/>
    <mergeCell ref="C75:C81"/>
  </mergeCells>
  <conditionalFormatting sqref="H5:H144">
    <cfRule type="cellIs" dxfId="126" priority="2" operator="lessThan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26D70-712C-4EC0-BAAF-5AE726151B61}">
  <dimension ref="B2:O144"/>
  <sheetViews>
    <sheetView zoomScale="85" zoomScaleNormal="85" workbookViewId="0">
      <pane ySplit="4" topLeftCell="A110" activePane="bottomLeft" state="frozen"/>
      <selection pane="bottomLeft" activeCell="G130" sqref="G130"/>
    </sheetView>
  </sheetViews>
  <sheetFormatPr defaultColWidth="9.140625" defaultRowHeight="21" x14ac:dyDescent="0.25"/>
  <cols>
    <col min="1" max="2" width="9.140625" style="1"/>
    <col min="3" max="3" width="9.140625" style="46"/>
    <col min="4" max="5" width="9.140625" style="8"/>
    <col min="6" max="6" width="24" style="4" bestFit="1" customWidth="1"/>
    <col min="7" max="7" width="22.28515625" style="4" bestFit="1" customWidth="1"/>
    <col min="8" max="8" width="29.140625" style="4" bestFit="1" customWidth="1"/>
    <col min="9" max="10" width="21.5703125" style="4" customWidth="1"/>
    <col min="11" max="11" width="24.5703125" style="1" bestFit="1" customWidth="1"/>
    <col min="12" max="12" width="11" style="1" customWidth="1"/>
    <col min="13" max="14" width="9.140625" style="1"/>
    <col min="15" max="15" width="17" style="1" bestFit="1" customWidth="1"/>
    <col min="16" max="16384" width="9.140625" style="1"/>
  </cols>
  <sheetData>
    <row r="2" spans="2:15" x14ac:dyDescent="0.25">
      <c r="G2" s="4" t="s">
        <v>482</v>
      </c>
      <c r="H2" s="25">
        <v>414081331802</v>
      </c>
      <c r="I2" s="25"/>
      <c r="J2" s="25"/>
    </row>
    <row r="3" spans="2:15" x14ac:dyDescent="0.25">
      <c r="H3" s="5">
        <v>72914905637</v>
      </c>
    </row>
    <row r="4" spans="2:15" ht="21.75" thickBot="1" x14ac:dyDescent="0.3">
      <c r="D4" s="20" t="s">
        <v>481</v>
      </c>
      <c r="E4" s="20" t="s">
        <v>480</v>
      </c>
      <c r="F4" s="24" t="s">
        <v>11121</v>
      </c>
      <c r="G4" s="4" t="s">
        <v>479</v>
      </c>
      <c r="H4" s="4" t="s">
        <v>478</v>
      </c>
      <c r="I4" s="4" t="s">
        <v>12665</v>
      </c>
      <c r="J4" s="4" t="s">
        <v>12667</v>
      </c>
      <c r="K4" s="1" t="s">
        <v>12666</v>
      </c>
      <c r="L4" s="1" t="s">
        <v>477</v>
      </c>
    </row>
    <row r="5" spans="2:15" ht="15" x14ac:dyDescent="0.25">
      <c r="B5" s="1" t="s">
        <v>476</v>
      </c>
      <c r="C5" s="546">
        <v>1</v>
      </c>
      <c r="D5" s="80">
        <v>1</v>
      </c>
      <c r="E5" s="74">
        <v>0</v>
      </c>
      <c r="F5" s="72">
        <v>295200000</v>
      </c>
      <c r="G5" s="72">
        <v>296300000</v>
      </c>
      <c r="H5" s="72">
        <f t="shared" ref="H5:H68" si="0">$H$2-G5</f>
        <v>413785031802</v>
      </c>
      <c r="I5" s="128">
        <f>Table2526[[#This Row],[PAY PRICE]]/Table2526[[#This Row],[QTY]]</f>
        <v>296300000</v>
      </c>
      <c r="J5" s="128"/>
      <c r="K5" s="73"/>
      <c r="L5" s="68"/>
    </row>
    <row r="6" spans="2:15" ht="15" x14ac:dyDescent="0.25">
      <c r="B6" s="311">
        <f>Table2526[[#This Row],[DISC]]-E5</f>
        <v>2.64E-2</v>
      </c>
      <c r="C6" s="547"/>
      <c r="D6" s="81">
        <v>2</v>
      </c>
      <c r="E6" s="303">
        <v>2.64E-2</v>
      </c>
      <c r="F6" s="22">
        <f t="shared" ref="F6:F69" si="1">$F$5*D6</f>
        <v>590400000</v>
      </c>
      <c r="G6" s="22">
        <f t="shared" ref="G6:G69" si="2">F6*(1-E6)</f>
        <v>574813440</v>
      </c>
      <c r="H6" s="22">
        <f t="shared" si="0"/>
        <v>413506518362</v>
      </c>
      <c r="I6" s="129">
        <f>Table2526[[#This Row],[PAY PRICE]]/Table2526[[#This Row],[QTY]]</f>
        <v>287406720</v>
      </c>
      <c r="J6" s="129">
        <f>($F$5-Table2526[[#This Row],[$ Per Plane]])</f>
        <v>7793280</v>
      </c>
      <c r="K6" s="36">
        <f t="shared" ref="K6:K69" si="3">($F$5*D6)-G6</f>
        <v>15586560</v>
      </c>
      <c r="L6" s="69">
        <f t="shared" ref="L6:L69" si="4">K6/$F$5</f>
        <v>5.28E-2</v>
      </c>
    </row>
    <row r="7" spans="2:15" ht="15" x14ac:dyDescent="0.25">
      <c r="B7" s="311">
        <f>Table2526[[#This Row],[DISC]]-E6</f>
        <v>1.3100000000000001E-2</v>
      </c>
      <c r="C7" s="547"/>
      <c r="D7" s="81">
        <v>3</v>
      </c>
      <c r="E7" s="303">
        <v>3.95E-2</v>
      </c>
      <c r="F7" s="22">
        <f t="shared" si="1"/>
        <v>885600000</v>
      </c>
      <c r="G7" s="22">
        <f t="shared" si="2"/>
        <v>850618800</v>
      </c>
      <c r="H7" s="22">
        <f t="shared" si="0"/>
        <v>413230713002</v>
      </c>
      <c r="I7" s="129">
        <f>Table2526[[#This Row],[PAY PRICE]]/Table2526[[#This Row],[QTY]]</f>
        <v>283539600</v>
      </c>
      <c r="J7" s="129">
        <f>($F$5-Table2526[[#This Row],[$ Per Plane]])</f>
        <v>11660400</v>
      </c>
      <c r="K7" s="36">
        <f t="shared" si="3"/>
        <v>34981200</v>
      </c>
      <c r="L7" s="69">
        <f t="shared" si="4"/>
        <v>0.11849999999999999</v>
      </c>
    </row>
    <row r="8" spans="2:15" ht="15" x14ac:dyDescent="0.25">
      <c r="B8" s="311">
        <f>Table2526[[#This Row],[DISC]]-E7</f>
        <v>1.0200000000000001E-2</v>
      </c>
      <c r="C8" s="547"/>
      <c r="D8" s="81">
        <v>4</v>
      </c>
      <c r="E8" s="303">
        <v>4.9700000000000001E-2</v>
      </c>
      <c r="F8" s="22">
        <f t="shared" si="1"/>
        <v>1180800000</v>
      </c>
      <c r="G8" s="22">
        <f t="shared" si="2"/>
        <v>1122114240</v>
      </c>
      <c r="H8" s="22">
        <f t="shared" si="0"/>
        <v>412959217562</v>
      </c>
      <c r="I8" s="129">
        <f>Table2526[[#This Row],[PAY PRICE]]/Table2526[[#This Row],[QTY]]</f>
        <v>280528560</v>
      </c>
      <c r="J8" s="129">
        <f>($F$5-Table2526[[#This Row],[$ Per Plane]])</f>
        <v>14671440</v>
      </c>
      <c r="K8" s="36">
        <f t="shared" si="3"/>
        <v>58685760</v>
      </c>
      <c r="L8" s="69">
        <f t="shared" si="4"/>
        <v>0.1988</v>
      </c>
    </row>
    <row r="9" spans="2:15" ht="15" x14ac:dyDescent="0.25">
      <c r="B9" s="311">
        <f>Table2526[[#This Row],[DISC]]-E8</f>
        <v>8.3999999999999977E-3</v>
      </c>
      <c r="C9" s="547"/>
      <c r="D9" s="82">
        <v>5</v>
      </c>
      <c r="E9" s="303">
        <v>5.8099999999999999E-2</v>
      </c>
      <c r="F9" s="22">
        <f t="shared" si="1"/>
        <v>1476000000</v>
      </c>
      <c r="G9" s="22">
        <f t="shared" si="2"/>
        <v>1390244400</v>
      </c>
      <c r="H9" s="22">
        <f t="shared" si="0"/>
        <v>412691087402</v>
      </c>
      <c r="I9" s="129">
        <f>Table2526[[#This Row],[PAY PRICE]]/Table2526[[#This Row],[QTY]]</f>
        <v>278048880</v>
      </c>
      <c r="J9" s="129">
        <f>($F$5-Table2526[[#This Row],[$ Per Plane]])</f>
        <v>17151120</v>
      </c>
      <c r="K9" s="36">
        <f t="shared" si="3"/>
        <v>85755600</v>
      </c>
      <c r="L9" s="69">
        <f t="shared" si="4"/>
        <v>0.29049999999999998</v>
      </c>
    </row>
    <row r="10" spans="2:15" ht="15" x14ac:dyDescent="0.25">
      <c r="B10" s="311">
        <f>Table2526[[#This Row],[DISC]]-E9</f>
        <v>4.9000000000000016E-3</v>
      </c>
      <c r="C10" s="547"/>
      <c r="D10" s="81">
        <v>6</v>
      </c>
      <c r="E10" s="303">
        <v>6.3E-2</v>
      </c>
      <c r="F10" s="22">
        <f t="shared" si="1"/>
        <v>1771200000</v>
      </c>
      <c r="G10" s="22">
        <f t="shared" si="2"/>
        <v>1659614400</v>
      </c>
      <c r="H10" s="22">
        <f t="shared" si="0"/>
        <v>412421717402</v>
      </c>
      <c r="I10" s="129">
        <f>Table2526[[#This Row],[PAY PRICE]]/Table2526[[#This Row],[QTY]]</f>
        <v>276602400</v>
      </c>
      <c r="J10" s="129">
        <f>($F$5-Table2526[[#This Row],[$ Per Plane]])</f>
        <v>18597600</v>
      </c>
      <c r="K10" s="36">
        <f t="shared" si="3"/>
        <v>111585600</v>
      </c>
      <c r="L10" s="69">
        <f t="shared" si="4"/>
        <v>0.378</v>
      </c>
    </row>
    <row r="11" spans="2:15" ht="15.75" thickBot="1" x14ac:dyDescent="0.3">
      <c r="B11" s="311">
        <f>Table2526[[#This Row],[DISC]]-E10</f>
        <v>4.7999999999999987E-3</v>
      </c>
      <c r="C11" s="548"/>
      <c r="D11" s="83">
        <v>7</v>
      </c>
      <c r="E11" s="304">
        <v>6.7799999999999999E-2</v>
      </c>
      <c r="F11" s="19">
        <f t="shared" si="1"/>
        <v>2066400000</v>
      </c>
      <c r="G11" s="19">
        <f t="shared" si="2"/>
        <v>1926298080</v>
      </c>
      <c r="H11" s="19">
        <f t="shared" si="0"/>
        <v>412155033722</v>
      </c>
      <c r="I11" s="130">
        <f>Table2526[[#This Row],[PAY PRICE]]/Table2526[[#This Row],[QTY]]</f>
        <v>275185440</v>
      </c>
      <c r="J11" s="129">
        <f>($F$5-Table2526[[#This Row],[$ Per Plane]])</f>
        <v>20014560</v>
      </c>
      <c r="K11" s="23">
        <f t="shared" si="3"/>
        <v>140101920</v>
      </c>
      <c r="L11" s="71">
        <f t="shared" si="4"/>
        <v>0.47460000000000002</v>
      </c>
    </row>
    <row r="12" spans="2:15" ht="15" x14ac:dyDescent="0.25">
      <c r="B12" s="311">
        <f>Table2526[[#This Row],[DISC]]-E11</f>
        <v>4.4000000000000011E-3</v>
      </c>
      <c r="C12" s="546">
        <f>C5+1</f>
        <v>2</v>
      </c>
      <c r="D12" s="84">
        <v>8</v>
      </c>
      <c r="E12" s="305">
        <v>7.22E-2</v>
      </c>
      <c r="F12" s="72">
        <f t="shared" si="1"/>
        <v>2361600000</v>
      </c>
      <c r="G12" s="72">
        <f t="shared" si="2"/>
        <v>2191092480</v>
      </c>
      <c r="H12" s="72">
        <f t="shared" si="0"/>
        <v>411890239322</v>
      </c>
      <c r="I12" s="128">
        <f>Table2526[[#This Row],[PAY PRICE]]/Table2526[[#This Row],[QTY]]</f>
        <v>273886560</v>
      </c>
      <c r="J12" s="129">
        <f>($F$5-Table2526[[#This Row],[$ Per Plane]])</f>
        <v>21313440</v>
      </c>
      <c r="K12" s="67">
        <f t="shared" si="3"/>
        <v>170507520</v>
      </c>
      <c r="L12" s="68">
        <f t="shared" si="4"/>
        <v>0.5776</v>
      </c>
    </row>
    <row r="13" spans="2:15" ht="15" x14ac:dyDescent="0.25">
      <c r="B13" s="311">
        <f>Table2526[[#This Row],[DISC]]-E12</f>
        <v>4.2999999999999983E-3</v>
      </c>
      <c r="C13" s="547"/>
      <c r="D13" s="82">
        <v>9</v>
      </c>
      <c r="E13" s="303">
        <v>7.6499999999999999E-2</v>
      </c>
      <c r="F13" s="22">
        <f t="shared" si="1"/>
        <v>2656800000</v>
      </c>
      <c r="G13" s="22">
        <f t="shared" si="2"/>
        <v>2453554800</v>
      </c>
      <c r="H13" s="22">
        <f t="shared" si="0"/>
        <v>411627777002</v>
      </c>
      <c r="I13" s="129">
        <f>Table2526[[#This Row],[PAY PRICE]]/Table2526[[#This Row],[QTY]]</f>
        <v>272617200</v>
      </c>
      <c r="J13" s="129">
        <f>($F$5-Table2526[[#This Row],[$ Per Plane]])</f>
        <v>22582800</v>
      </c>
      <c r="K13" s="36">
        <f t="shared" si="3"/>
        <v>203245200</v>
      </c>
      <c r="L13" s="69">
        <f t="shared" si="4"/>
        <v>0.6885</v>
      </c>
    </row>
    <row r="14" spans="2:15" ht="15" x14ac:dyDescent="0.25">
      <c r="B14" s="311">
        <f>Table2526[[#This Row],[DISC]]-E13</f>
        <v>4.2999999999999983E-3</v>
      </c>
      <c r="C14" s="547"/>
      <c r="D14" s="81">
        <v>10</v>
      </c>
      <c r="E14" s="303">
        <v>8.0799999999999997E-2</v>
      </c>
      <c r="F14" s="22">
        <f t="shared" si="1"/>
        <v>2952000000</v>
      </c>
      <c r="G14" s="22">
        <f t="shared" si="2"/>
        <v>2713478400</v>
      </c>
      <c r="H14" s="22">
        <f t="shared" si="0"/>
        <v>411367853402</v>
      </c>
      <c r="I14" s="129">
        <f>Table2526[[#This Row],[PAY PRICE]]/Table2526[[#This Row],[QTY]]</f>
        <v>271347840</v>
      </c>
      <c r="J14" s="129">
        <f>($F$5-Table2526[[#This Row],[$ Per Plane]])</f>
        <v>23852160</v>
      </c>
      <c r="K14" s="36">
        <f t="shared" si="3"/>
        <v>238521600</v>
      </c>
      <c r="L14" s="69">
        <f t="shared" si="4"/>
        <v>0.80800000000000005</v>
      </c>
    </row>
    <row r="15" spans="2:15" ht="15" x14ac:dyDescent="0.25">
      <c r="B15" s="311">
        <f>Table2526[[#This Row],[DISC]]-E14</f>
        <v>3.7999999999999978E-3</v>
      </c>
      <c r="C15" s="547"/>
      <c r="D15" s="81">
        <v>11</v>
      </c>
      <c r="E15" s="303">
        <v>8.4599999999999995E-2</v>
      </c>
      <c r="F15" s="22">
        <f t="shared" si="1"/>
        <v>3247200000</v>
      </c>
      <c r="G15" s="22">
        <f t="shared" si="2"/>
        <v>2972486880</v>
      </c>
      <c r="H15" s="22">
        <f t="shared" si="0"/>
        <v>411108844922</v>
      </c>
      <c r="I15" s="129">
        <f>Table2526[[#This Row],[PAY PRICE]]/Table2526[[#This Row],[QTY]]</f>
        <v>270226080</v>
      </c>
      <c r="J15" s="129">
        <f>($F$5-Table2526[[#This Row],[$ Per Plane]])</f>
        <v>24973920</v>
      </c>
      <c r="K15" s="36">
        <f t="shared" si="3"/>
        <v>274713120</v>
      </c>
      <c r="L15" s="69">
        <f t="shared" si="4"/>
        <v>0.93059999999999998</v>
      </c>
    </row>
    <row r="16" spans="2:15" ht="15" x14ac:dyDescent="0.25">
      <c r="B16" s="311">
        <f>Table2526[[#This Row],[DISC]]-E15</f>
        <v>2.8000000000000108E-3</v>
      </c>
      <c r="C16" s="547"/>
      <c r="D16" s="81">
        <v>12</v>
      </c>
      <c r="E16" s="303">
        <v>8.7400000000000005E-2</v>
      </c>
      <c r="F16" s="22">
        <f t="shared" si="1"/>
        <v>3542400000</v>
      </c>
      <c r="G16" s="22">
        <f t="shared" si="2"/>
        <v>3232794240</v>
      </c>
      <c r="H16" s="22">
        <f t="shared" si="0"/>
        <v>410848537562</v>
      </c>
      <c r="I16" s="129">
        <f>Table2526[[#This Row],[PAY PRICE]]/Table2526[[#This Row],[QTY]]</f>
        <v>269399520</v>
      </c>
      <c r="J16" s="129">
        <f>($F$5-Table2526[[#This Row],[$ Per Plane]])</f>
        <v>25800480</v>
      </c>
      <c r="K16" s="36">
        <f t="shared" si="3"/>
        <v>309605760</v>
      </c>
      <c r="L16" s="69">
        <f t="shared" si="4"/>
        <v>1.0488</v>
      </c>
      <c r="O16" s="21"/>
    </row>
    <row r="17" spans="2:12" ht="15" x14ac:dyDescent="0.25">
      <c r="B17" s="311">
        <f>Table2526[[#This Row],[DISC]]-E16</f>
        <v>3.0999999999999917E-3</v>
      </c>
      <c r="C17" s="547"/>
      <c r="D17" s="82">
        <v>13</v>
      </c>
      <c r="E17" s="303">
        <v>9.0499999999999997E-2</v>
      </c>
      <c r="F17" s="22">
        <f t="shared" si="1"/>
        <v>3837600000</v>
      </c>
      <c r="G17" s="22">
        <f t="shared" si="2"/>
        <v>3490297200</v>
      </c>
      <c r="H17" s="22">
        <f t="shared" si="0"/>
        <v>410591034602</v>
      </c>
      <c r="I17" s="129">
        <f>Table2526[[#This Row],[PAY PRICE]]/Table2526[[#This Row],[QTY]]</f>
        <v>268484400</v>
      </c>
      <c r="J17" s="129">
        <f>($F$5-Table2526[[#This Row],[$ Per Plane]])</f>
        <v>26715600</v>
      </c>
      <c r="K17" s="36">
        <f t="shared" si="3"/>
        <v>347302800</v>
      </c>
      <c r="L17" s="69">
        <f t="shared" si="4"/>
        <v>1.1765000000000001</v>
      </c>
    </row>
    <row r="18" spans="2:12" ht="15.75" thickBot="1" x14ac:dyDescent="0.3">
      <c r="B18" s="311">
        <f>Table2526[[#This Row],[DISC]]-E17</f>
        <v>3.0000000000000027E-3</v>
      </c>
      <c r="C18" s="548"/>
      <c r="D18" s="83">
        <v>14</v>
      </c>
      <c r="E18" s="304">
        <v>9.35E-2</v>
      </c>
      <c r="F18" s="19">
        <f t="shared" si="1"/>
        <v>4132800000</v>
      </c>
      <c r="G18" s="19">
        <f t="shared" si="2"/>
        <v>3746383200</v>
      </c>
      <c r="H18" s="19">
        <f t="shared" si="0"/>
        <v>410334948602</v>
      </c>
      <c r="I18" s="130">
        <f>Table2526[[#This Row],[PAY PRICE]]/Table2526[[#This Row],[QTY]]</f>
        <v>267598800</v>
      </c>
      <c r="J18" s="129">
        <f>($F$5-Table2526[[#This Row],[$ Per Plane]])</f>
        <v>27601200</v>
      </c>
      <c r="K18" s="23">
        <f t="shared" si="3"/>
        <v>386416800</v>
      </c>
      <c r="L18" s="71">
        <f t="shared" si="4"/>
        <v>1.3089999999999999</v>
      </c>
    </row>
    <row r="19" spans="2:12" ht="15" x14ac:dyDescent="0.25">
      <c r="B19" s="311">
        <f>Table2526[[#This Row],[DISC]]-E18</f>
        <v>3.0000000000000027E-3</v>
      </c>
      <c r="C19" s="546">
        <v>3</v>
      </c>
      <c r="D19" s="84">
        <v>15</v>
      </c>
      <c r="E19" s="305">
        <v>9.6500000000000002E-2</v>
      </c>
      <c r="F19" s="72">
        <f t="shared" si="1"/>
        <v>4428000000</v>
      </c>
      <c r="G19" s="72">
        <f t="shared" si="2"/>
        <v>4000698000</v>
      </c>
      <c r="H19" s="72">
        <f t="shared" si="0"/>
        <v>410080633802</v>
      </c>
      <c r="I19" s="128">
        <f>Table2526[[#This Row],[PAY PRICE]]/Table2526[[#This Row],[QTY]]</f>
        <v>266713200</v>
      </c>
      <c r="J19" s="129">
        <f>($F$5-Table2526[[#This Row],[$ Per Plane]])</f>
        <v>28486800</v>
      </c>
      <c r="K19" s="67">
        <f t="shared" si="3"/>
        <v>427302000</v>
      </c>
      <c r="L19" s="68">
        <f t="shared" si="4"/>
        <v>1.4475</v>
      </c>
    </row>
    <row r="20" spans="2:12" ht="15" x14ac:dyDescent="0.25">
      <c r="B20" s="311">
        <f>Table2526[[#This Row],[DISC]]-E19</f>
        <v>3.0000000000000027E-3</v>
      </c>
      <c r="C20" s="547"/>
      <c r="D20" s="81">
        <v>16</v>
      </c>
      <c r="E20" s="303">
        <v>9.9500000000000005E-2</v>
      </c>
      <c r="F20" s="22">
        <f t="shared" si="1"/>
        <v>4723200000</v>
      </c>
      <c r="G20" s="22">
        <f t="shared" si="2"/>
        <v>4253241600</v>
      </c>
      <c r="H20" s="22">
        <f t="shared" si="0"/>
        <v>409828090202</v>
      </c>
      <c r="I20" s="129">
        <f>Table2526[[#This Row],[PAY PRICE]]/Table2526[[#This Row],[QTY]]</f>
        <v>265827600</v>
      </c>
      <c r="J20" s="129">
        <f>($F$5-Table2526[[#This Row],[$ Per Plane]])</f>
        <v>29372400</v>
      </c>
      <c r="K20" s="36">
        <f t="shared" si="3"/>
        <v>469958400</v>
      </c>
      <c r="L20" s="69">
        <f t="shared" si="4"/>
        <v>1.5920000000000001</v>
      </c>
    </row>
    <row r="21" spans="2:12" ht="15" x14ac:dyDescent="0.25">
      <c r="B21" s="311">
        <f>Table2526[[#This Row],[DISC]]-E20</f>
        <v>3.1999999999999945E-3</v>
      </c>
      <c r="C21" s="547"/>
      <c r="D21" s="81">
        <v>17</v>
      </c>
      <c r="E21" s="303">
        <v>0.1027</v>
      </c>
      <c r="F21" s="22">
        <f t="shared" si="1"/>
        <v>5018400000</v>
      </c>
      <c r="G21" s="22">
        <f t="shared" si="2"/>
        <v>4503010320</v>
      </c>
      <c r="H21" s="22">
        <f t="shared" si="0"/>
        <v>409578321482</v>
      </c>
      <c r="I21" s="129">
        <f>Table2526[[#This Row],[PAY PRICE]]/Table2526[[#This Row],[QTY]]</f>
        <v>264882960</v>
      </c>
      <c r="J21" s="129">
        <f>($F$5-Table2526[[#This Row],[$ Per Plane]])</f>
        <v>30317040</v>
      </c>
      <c r="K21" s="36">
        <f t="shared" si="3"/>
        <v>515389680</v>
      </c>
      <c r="L21" s="69">
        <f t="shared" si="4"/>
        <v>1.7459</v>
      </c>
    </row>
    <row r="22" spans="2:12" ht="15" x14ac:dyDescent="0.25">
      <c r="B22" s="311">
        <f>Table2526[[#This Row],[DISC]]-E21</f>
        <v>3.2999999999999974E-3</v>
      </c>
      <c r="C22" s="547"/>
      <c r="D22" s="81">
        <v>18</v>
      </c>
      <c r="E22" s="303">
        <v>0.106</v>
      </c>
      <c r="F22" s="22">
        <f t="shared" si="1"/>
        <v>5313600000</v>
      </c>
      <c r="G22" s="22">
        <f t="shared" si="2"/>
        <v>4750358400</v>
      </c>
      <c r="H22" s="22">
        <f t="shared" si="0"/>
        <v>409330973402</v>
      </c>
      <c r="I22" s="129">
        <f>Table2526[[#This Row],[PAY PRICE]]/Table2526[[#This Row],[QTY]]</f>
        <v>263908800</v>
      </c>
      <c r="J22" s="129">
        <f>($F$5-Table2526[[#This Row],[$ Per Plane]])</f>
        <v>31291200</v>
      </c>
      <c r="K22" s="36">
        <f t="shared" si="3"/>
        <v>563241600</v>
      </c>
      <c r="L22" s="69">
        <f t="shared" si="4"/>
        <v>1.9079999999999999</v>
      </c>
    </row>
    <row r="23" spans="2:12" ht="15" x14ac:dyDescent="0.25">
      <c r="B23" s="311">
        <f>Table2526[[#This Row],[DISC]]-E22</f>
        <v>3.2000000000000084E-3</v>
      </c>
      <c r="C23" s="547"/>
      <c r="D23" s="81">
        <v>19</v>
      </c>
      <c r="E23" s="303">
        <v>0.10920000000000001</v>
      </c>
      <c r="F23" s="22">
        <f t="shared" si="1"/>
        <v>5608800000</v>
      </c>
      <c r="G23" s="22">
        <f t="shared" si="2"/>
        <v>4996319040</v>
      </c>
      <c r="H23" s="22">
        <f t="shared" si="0"/>
        <v>409085012762</v>
      </c>
      <c r="I23" s="129">
        <f>Table2526[[#This Row],[PAY PRICE]]/Table2526[[#This Row],[QTY]]</f>
        <v>262964160</v>
      </c>
      <c r="J23" s="129">
        <f>($F$5-Table2526[[#This Row],[$ Per Plane]])</f>
        <v>32235840</v>
      </c>
      <c r="K23" s="36">
        <f t="shared" si="3"/>
        <v>612480960</v>
      </c>
      <c r="L23" s="69">
        <f t="shared" si="4"/>
        <v>2.0748000000000002</v>
      </c>
    </row>
    <row r="24" spans="2:12" ht="15" x14ac:dyDescent="0.25">
      <c r="B24" s="311">
        <f>Table2526[[#This Row],[DISC]]-E23</f>
        <v>3.4000000000000002E-3</v>
      </c>
      <c r="C24" s="547"/>
      <c r="D24" s="81">
        <v>20</v>
      </c>
      <c r="E24" s="303">
        <v>0.11260000000000001</v>
      </c>
      <c r="F24" s="22">
        <f t="shared" si="1"/>
        <v>5904000000</v>
      </c>
      <c r="G24" s="22">
        <f t="shared" si="2"/>
        <v>5239209600</v>
      </c>
      <c r="H24" s="22">
        <f t="shared" si="0"/>
        <v>408842122202</v>
      </c>
      <c r="I24" s="129">
        <f>Table2526[[#This Row],[PAY PRICE]]/Table2526[[#This Row],[QTY]]</f>
        <v>261960480</v>
      </c>
      <c r="J24" s="129">
        <f>($F$5-Table2526[[#This Row],[$ Per Plane]])</f>
        <v>33239520</v>
      </c>
      <c r="K24" s="36">
        <f t="shared" si="3"/>
        <v>664790400</v>
      </c>
      <c r="L24" s="69">
        <f t="shared" si="4"/>
        <v>2.2519999999999998</v>
      </c>
    </row>
    <row r="25" spans="2:12" ht="15.75" thickBot="1" x14ac:dyDescent="0.3">
      <c r="B25" s="311">
        <f>Table2526[[#This Row],[DISC]]-E24</f>
        <v>2.8999999999999998E-3</v>
      </c>
      <c r="C25" s="548"/>
      <c r="D25" s="83">
        <v>21</v>
      </c>
      <c r="E25" s="304">
        <v>0.11550000000000001</v>
      </c>
      <c r="F25" s="19">
        <f t="shared" si="1"/>
        <v>6199200000</v>
      </c>
      <c r="G25" s="19">
        <f t="shared" si="2"/>
        <v>5483192400</v>
      </c>
      <c r="H25" s="19">
        <f t="shared" si="0"/>
        <v>408598139402</v>
      </c>
      <c r="I25" s="130">
        <f>Table2526[[#This Row],[PAY PRICE]]/Table2526[[#This Row],[QTY]]</f>
        <v>261104400</v>
      </c>
      <c r="J25" s="129">
        <f>($F$5-Table2526[[#This Row],[$ Per Plane]])</f>
        <v>34095600</v>
      </c>
      <c r="K25" s="23">
        <f t="shared" si="3"/>
        <v>716007600</v>
      </c>
      <c r="L25" s="71">
        <f t="shared" si="4"/>
        <v>2.4255</v>
      </c>
    </row>
    <row r="26" spans="2:12" ht="15" x14ac:dyDescent="0.25">
      <c r="B26" s="311">
        <f>Table2526[[#This Row],[DISC]]-E25</f>
        <v>2.7999999999999969E-3</v>
      </c>
      <c r="C26" s="546">
        <v>4</v>
      </c>
      <c r="D26" s="84">
        <v>22</v>
      </c>
      <c r="E26" s="305">
        <v>0.1183</v>
      </c>
      <c r="F26" s="72">
        <f t="shared" si="1"/>
        <v>6494400000</v>
      </c>
      <c r="G26" s="72">
        <f t="shared" si="2"/>
        <v>5726112480</v>
      </c>
      <c r="H26" s="72">
        <f t="shared" si="0"/>
        <v>408355219322</v>
      </c>
      <c r="I26" s="128">
        <f>Table2526[[#This Row],[PAY PRICE]]/Table2526[[#This Row],[QTY]]</f>
        <v>260277840</v>
      </c>
      <c r="J26" s="129">
        <f>($F$5-Table2526[[#This Row],[$ Per Plane]])</f>
        <v>34922160</v>
      </c>
      <c r="K26" s="67">
        <f t="shared" si="3"/>
        <v>768287520</v>
      </c>
      <c r="L26" s="68">
        <f t="shared" si="4"/>
        <v>2.6025999999999998</v>
      </c>
    </row>
    <row r="27" spans="2:12" ht="15" x14ac:dyDescent="0.25">
      <c r="B27" s="311">
        <f>Table2526[[#This Row],[DISC]]-E26</f>
        <v>2.6999999999999941E-3</v>
      </c>
      <c r="C27" s="547"/>
      <c r="D27" s="81">
        <v>23</v>
      </c>
      <c r="E27" s="303">
        <v>0.121</v>
      </c>
      <c r="F27" s="22">
        <f t="shared" si="1"/>
        <v>6789600000</v>
      </c>
      <c r="G27" s="22">
        <f t="shared" si="2"/>
        <v>5968058400</v>
      </c>
      <c r="H27" s="22">
        <f t="shared" si="0"/>
        <v>408113273402</v>
      </c>
      <c r="I27" s="129">
        <f>Table2526[[#This Row],[PAY PRICE]]/Table2526[[#This Row],[QTY]]</f>
        <v>259480800</v>
      </c>
      <c r="J27" s="129">
        <f>($F$5-Table2526[[#This Row],[$ Per Plane]])</f>
        <v>35719200</v>
      </c>
      <c r="K27" s="36">
        <f t="shared" si="3"/>
        <v>821541600</v>
      </c>
      <c r="L27" s="69">
        <f t="shared" si="4"/>
        <v>2.7829999999999999</v>
      </c>
    </row>
    <row r="28" spans="2:12" ht="15" x14ac:dyDescent="0.25">
      <c r="B28" s="311">
        <f>Table2526[[#This Row],[DISC]]-E27</f>
        <v>2.5000000000000022E-3</v>
      </c>
      <c r="C28" s="547"/>
      <c r="D28" s="81">
        <v>24</v>
      </c>
      <c r="E28" s="303">
        <v>0.1235</v>
      </c>
      <c r="F28" s="22">
        <f t="shared" si="1"/>
        <v>7084800000</v>
      </c>
      <c r="G28" s="22">
        <f t="shared" si="2"/>
        <v>6209827200</v>
      </c>
      <c r="H28" s="22">
        <f t="shared" si="0"/>
        <v>407871504602</v>
      </c>
      <c r="I28" s="129">
        <f>Table2526[[#This Row],[PAY PRICE]]/Table2526[[#This Row],[QTY]]</f>
        <v>258742800</v>
      </c>
      <c r="J28" s="129">
        <f>($F$5-Table2526[[#This Row],[$ Per Plane]])</f>
        <v>36457200</v>
      </c>
      <c r="K28" s="36">
        <f t="shared" si="3"/>
        <v>874972800</v>
      </c>
      <c r="L28" s="69">
        <f t="shared" si="4"/>
        <v>2.964</v>
      </c>
    </row>
    <row r="29" spans="2:12" ht="15" x14ac:dyDescent="0.25">
      <c r="B29" s="311">
        <f>Table2526[[#This Row],[DISC]]-E28</f>
        <v>2.5999999999999912E-3</v>
      </c>
      <c r="C29" s="547"/>
      <c r="D29" s="81">
        <v>25</v>
      </c>
      <c r="E29" s="303">
        <v>0.12609999999999999</v>
      </c>
      <c r="F29" s="22">
        <f t="shared" si="1"/>
        <v>7380000000</v>
      </c>
      <c r="G29" s="22">
        <f t="shared" si="2"/>
        <v>6449382000</v>
      </c>
      <c r="H29" s="22">
        <f t="shared" si="0"/>
        <v>407631949802</v>
      </c>
      <c r="I29" s="129">
        <f>Table2526[[#This Row],[PAY PRICE]]/Table2526[[#This Row],[QTY]]</f>
        <v>257975280</v>
      </c>
      <c r="J29" s="129">
        <f>($F$5-Table2526[[#This Row],[$ Per Plane]])</f>
        <v>37224720</v>
      </c>
      <c r="K29" s="36">
        <f t="shared" si="3"/>
        <v>930618000</v>
      </c>
      <c r="L29" s="69">
        <f t="shared" si="4"/>
        <v>3.1524999999999999</v>
      </c>
    </row>
    <row r="30" spans="2:12" ht="15" x14ac:dyDescent="0.25">
      <c r="B30" s="311">
        <f>Table2526[[#This Row],[DISC]]-E29</f>
        <v>1.4000000000000123E-3</v>
      </c>
      <c r="C30" s="547"/>
      <c r="D30" s="81">
        <v>26</v>
      </c>
      <c r="E30" s="303">
        <v>0.1275</v>
      </c>
      <c r="F30" s="22">
        <f t="shared" si="1"/>
        <v>7675200000</v>
      </c>
      <c r="G30" s="22">
        <f t="shared" si="2"/>
        <v>6696612000</v>
      </c>
      <c r="H30" s="22">
        <f t="shared" si="0"/>
        <v>407384719802</v>
      </c>
      <c r="I30" s="129">
        <f>Table2526[[#This Row],[PAY PRICE]]/Table2526[[#This Row],[QTY]]</f>
        <v>257562000</v>
      </c>
      <c r="J30" s="129">
        <f>($F$5-Table2526[[#This Row],[$ Per Plane]])</f>
        <v>37638000</v>
      </c>
      <c r="K30" s="36">
        <f t="shared" si="3"/>
        <v>978588000</v>
      </c>
      <c r="L30" s="69">
        <f t="shared" si="4"/>
        <v>3.3149999999999999</v>
      </c>
    </row>
    <row r="31" spans="2:12" ht="15" x14ac:dyDescent="0.25">
      <c r="B31" s="311">
        <f>Table2526[[#This Row],[DISC]]-E30</f>
        <v>7.0000000000000617E-4</v>
      </c>
      <c r="C31" s="547"/>
      <c r="D31" s="81">
        <v>27</v>
      </c>
      <c r="E31" s="303">
        <v>0.12820000000000001</v>
      </c>
      <c r="F31" s="22">
        <f t="shared" si="1"/>
        <v>7970400000</v>
      </c>
      <c r="G31" s="22">
        <f t="shared" si="2"/>
        <v>6948594720</v>
      </c>
      <c r="H31" s="22">
        <f t="shared" si="0"/>
        <v>407132737082</v>
      </c>
      <c r="I31" s="129">
        <f>Table2526[[#This Row],[PAY PRICE]]/Table2526[[#This Row],[QTY]]</f>
        <v>257355360</v>
      </c>
      <c r="J31" s="129">
        <f>($F$5-Table2526[[#This Row],[$ Per Plane]])</f>
        <v>37844640</v>
      </c>
      <c r="K31" s="36">
        <f t="shared" si="3"/>
        <v>1021805280</v>
      </c>
      <c r="L31" s="69">
        <f t="shared" si="4"/>
        <v>3.4613999999999998</v>
      </c>
    </row>
    <row r="32" spans="2:12" ht="15.75" thickBot="1" x14ac:dyDescent="0.3">
      <c r="B32" s="311">
        <f>Table2526[[#This Row],[DISC]]-E31</f>
        <v>5.9999999999998943E-4</v>
      </c>
      <c r="C32" s="548"/>
      <c r="D32" s="83">
        <v>28</v>
      </c>
      <c r="E32" s="304">
        <v>0.1288</v>
      </c>
      <c r="F32" s="19">
        <f t="shared" si="1"/>
        <v>8265600000</v>
      </c>
      <c r="G32" s="19">
        <f t="shared" si="2"/>
        <v>7200990720</v>
      </c>
      <c r="H32" s="19">
        <f t="shared" si="0"/>
        <v>406880341082</v>
      </c>
      <c r="I32" s="131">
        <f>Table2526[[#This Row],[PAY PRICE]]/Table2526[[#This Row],[QTY]]</f>
        <v>257178240</v>
      </c>
      <c r="J32" s="129">
        <f>($F$5-Table2526[[#This Row],[$ Per Plane]])</f>
        <v>38021760</v>
      </c>
      <c r="K32" s="18">
        <f t="shared" si="3"/>
        <v>1064609280</v>
      </c>
      <c r="L32" s="71">
        <f t="shared" si="4"/>
        <v>3.6063999999999998</v>
      </c>
    </row>
    <row r="33" spans="2:12" ht="15" x14ac:dyDescent="0.25">
      <c r="B33" s="311">
        <f>Table2526[[#This Row],[DISC]]-E32</f>
        <v>5.9999999999998943E-4</v>
      </c>
      <c r="C33" s="546">
        <v>5</v>
      </c>
      <c r="D33" s="84">
        <v>29</v>
      </c>
      <c r="E33" s="305">
        <v>0.12939999999999999</v>
      </c>
      <c r="F33" s="72">
        <f t="shared" si="1"/>
        <v>8560800000</v>
      </c>
      <c r="G33" s="72">
        <f t="shared" si="2"/>
        <v>7453032480</v>
      </c>
      <c r="H33" s="72">
        <f t="shared" si="0"/>
        <v>406628299322</v>
      </c>
      <c r="I33" s="128">
        <f>Table2526[[#This Row],[PAY PRICE]]/Table2526[[#This Row],[QTY]]</f>
        <v>257001120</v>
      </c>
      <c r="J33" s="129">
        <f>($F$5-Table2526[[#This Row],[$ Per Plane]])</f>
        <v>38198880</v>
      </c>
      <c r="K33" s="67">
        <f t="shared" si="3"/>
        <v>1107767520</v>
      </c>
      <c r="L33" s="68">
        <f t="shared" si="4"/>
        <v>3.7526000000000002</v>
      </c>
    </row>
    <row r="34" spans="2:12" ht="15" x14ac:dyDescent="0.25">
      <c r="B34" s="311">
        <f>Table2526[[#This Row],[DISC]]-E33</f>
        <v>6.0000000000001719E-4</v>
      </c>
      <c r="C34" s="547"/>
      <c r="D34" s="81">
        <v>30</v>
      </c>
      <c r="E34" s="303">
        <v>0.13</v>
      </c>
      <c r="F34" s="22">
        <f t="shared" si="1"/>
        <v>8856000000</v>
      </c>
      <c r="G34" s="22">
        <f t="shared" si="2"/>
        <v>7704720000</v>
      </c>
      <c r="H34" s="22">
        <f t="shared" si="0"/>
        <v>406376611802</v>
      </c>
      <c r="I34" s="129">
        <f>Table2526[[#This Row],[PAY PRICE]]/Table2526[[#This Row],[QTY]]</f>
        <v>256824000</v>
      </c>
      <c r="J34" s="129">
        <f>($F$5-Table2526[[#This Row],[$ Per Plane]])</f>
        <v>38376000</v>
      </c>
      <c r="K34" s="36">
        <f t="shared" si="3"/>
        <v>1151280000</v>
      </c>
      <c r="L34" s="69">
        <f t="shared" si="4"/>
        <v>3.9</v>
      </c>
    </row>
    <row r="35" spans="2:12" ht="15" x14ac:dyDescent="0.25">
      <c r="B35" s="311"/>
      <c r="C35" s="547"/>
      <c r="D35" s="81">
        <v>31</v>
      </c>
      <c r="E35" s="303">
        <v>0.13</v>
      </c>
      <c r="F35" s="22">
        <f t="shared" si="1"/>
        <v>9151200000</v>
      </c>
      <c r="G35" s="22">
        <f t="shared" si="2"/>
        <v>7961544000</v>
      </c>
      <c r="H35" s="22">
        <f t="shared" si="0"/>
        <v>406119787802</v>
      </c>
      <c r="I35" s="129">
        <f>Table2526[[#This Row],[PAY PRICE]]/Table2526[[#This Row],[QTY]]</f>
        <v>256824000</v>
      </c>
      <c r="J35" s="129">
        <f>($F$5-Table2526[[#This Row],[$ Per Plane]])</f>
        <v>38376000</v>
      </c>
      <c r="K35" s="36">
        <f t="shared" si="3"/>
        <v>1189656000</v>
      </c>
      <c r="L35" s="69">
        <f t="shared" si="4"/>
        <v>4.03</v>
      </c>
    </row>
    <row r="36" spans="2:12" ht="15" x14ac:dyDescent="0.25">
      <c r="B36" s="311"/>
      <c r="C36" s="547"/>
      <c r="D36" s="81">
        <v>32</v>
      </c>
      <c r="E36" s="303">
        <v>0.13</v>
      </c>
      <c r="F36" s="22">
        <f t="shared" si="1"/>
        <v>9446400000</v>
      </c>
      <c r="G36" s="22">
        <f t="shared" si="2"/>
        <v>8218368000</v>
      </c>
      <c r="H36" s="22">
        <f t="shared" si="0"/>
        <v>405862963802</v>
      </c>
      <c r="I36" s="129">
        <f>Table2526[[#This Row],[PAY PRICE]]/Table2526[[#This Row],[QTY]]</f>
        <v>256824000</v>
      </c>
      <c r="J36" s="129">
        <f>($F$5-Table2526[[#This Row],[$ Per Plane]])</f>
        <v>38376000</v>
      </c>
      <c r="K36" s="36">
        <f t="shared" si="3"/>
        <v>1228032000</v>
      </c>
      <c r="L36" s="69">
        <f t="shared" si="4"/>
        <v>4.16</v>
      </c>
    </row>
    <row r="37" spans="2:12" ht="15" x14ac:dyDescent="0.25">
      <c r="B37" s="311"/>
      <c r="C37" s="547"/>
      <c r="D37" s="81">
        <v>33</v>
      </c>
      <c r="E37" s="303">
        <v>0.13</v>
      </c>
      <c r="F37" s="22">
        <f t="shared" si="1"/>
        <v>9741600000</v>
      </c>
      <c r="G37" s="22">
        <f t="shared" si="2"/>
        <v>8475192000</v>
      </c>
      <c r="H37" s="22">
        <f t="shared" si="0"/>
        <v>405606139802</v>
      </c>
      <c r="I37" s="129">
        <f>Table2526[[#This Row],[PAY PRICE]]/Table2526[[#This Row],[QTY]]</f>
        <v>256824000</v>
      </c>
      <c r="J37" s="129">
        <f>($F$5-Table2526[[#This Row],[$ Per Plane]])</f>
        <v>38376000</v>
      </c>
      <c r="K37" s="36">
        <f t="shared" si="3"/>
        <v>1266408000</v>
      </c>
      <c r="L37" s="69">
        <f t="shared" si="4"/>
        <v>4.29</v>
      </c>
    </row>
    <row r="38" spans="2:12" ht="15" x14ac:dyDescent="0.25">
      <c r="B38" s="311"/>
      <c r="C38" s="547"/>
      <c r="D38" s="81">
        <v>34</v>
      </c>
      <c r="E38" s="303">
        <v>0.13</v>
      </c>
      <c r="F38" s="22">
        <f t="shared" si="1"/>
        <v>10036800000</v>
      </c>
      <c r="G38" s="22">
        <f t="shared" si="2"/>
        <v>8732016000</v>
      </c>
      <c r="H38" s="22">
        <f t="shared" si="0"/>
        <v>405349315802</v>
      </c>
      <c r="I38" s="129">
        <f>Table2526[[#This Row],[PAY PRICE]]/Table2526[[#This Row],[QTY]]</f>
        <v>256824000</v>
      </c>
      <c r="J38" s="129">
        <f>($F$5-Table2526[[#This Row],[$ Per Plane]])</f>
        <v>38376000</v>
      </c>
      <c r="K38" s="36">
        <f t="shared" si="3"/>
        <v>1304784000</v>
      </c>
      <c r="L38" s="69">
        <f t="shared" si="4"/>
        <v>4.42</v>
      </c>
    </row>
    <row r="39" spans="2:12" ht="15.75" thickBot="1" x14ac:dyDescent="0.3">
      <c r="B39" s="311"/>
      <c r="C39" s="548"/>
      <c r="D39" s="83">
        <v>35</v>
      </c>
      <c r="E39" s="304">
        <v>0.13</v>
      </c>
      <c r="F39" s="19">
        <f t="shared" si="1"/>
        <v>10332000000</v>
      </c>
      <c r="G39" s="19">
        <f t="shared" si="2"/>
        <v>8988840000</v>
      </c>
      <c r="H39" s="19">
        <f t="shared" si="0"/>
        <v>405092491802</v>
      </c>
      <c r="I39" s="131">
        <f>Table2526[[#This Row],[PAY PRICE]]/Table2526[[#This Row],[QTY]]</f>
        <v>256824000</v>
      </c>
      <c r="J39" s="129">
        <f>($F$5-Table2526[[#This Row],[$ Per Plane]])</f>
        <v>38376000</v>
      </c>
      <c r="K39" s="18">
        <f t="shared" si="3"/>
        <v>1343160000</v>
      </c>
      <c r="L39" s="71">
        <f t="shared" si="4"/>
        <v>4.55</v>
      </c>
    </row>
    <row r="40" spans="2:12" ht="15" x14ac:dyDescent="0.25">
      <c r="B40" s="311"/>
      <c r="C40" s="546">
        <v>6</v>
      </c>
      <c r="D40" s="84">
        <v>36</v>
      </c>
      <c r="E40" s="305">
        <v>0.13</v>
      </c>
      <c r="F40" s="72">
        <f t="shared" si="1"/>
        <v>10627200000</v>
      </c>
      <c r="G40" s="72">
        <f t="shared" si="2"/>
        <v>9245664000</v>
      </c>
      <c r="H40" s="72">
        <f t="shared" si="0"/>
        <v>404835667802</v>
      </c>
      <c r="I40" s="128">
        <f>Table2526[[#This Row],[PAY PRICE]]/Table2526[[#This Row],[QTY]]</f>
        <v>256824000</v>
      </c>
      <c r="J40" s="129">
        <f>($F$5-Table2526[[#This Row],[$ Per Plane]])</f>
        <v>38376000</v>
      </c>
      <c r="K40" s="67">
        <f t="shared" si="3"/>
        <v>1381536000</v>
      </c>
      <c r="L40" s="68">
        <f t="shared" si="4"/>
        <v>4.68</v>
      </c>
    </row>
    <row r="41" spans="2:12" ht="15" x14ac:dyDescent="0.25">
      <c r="B41" s="311"/>
      <c r="C41" s="547"/>
      <c r="D41" s="81">
        <v>37</v>
      </c>
      <c r="E41" s="303">
        <v>0.13</v>
      </c>
      <c r="F41" s="22">
        <f t="shared" si="1"/>
        <v>10922400000</v>
      </c>
      <c r="G41" s="22">
        <f t="shared" si="2"/>
        <v>9502488000</v>
      </c>
      <c r="H41" s="22">
        <f t="shared" si="0"/>
        <v>404578843802</v>
      </c>
      <c r="I41" s="129">
        <f>Table2526[[#This Row],[PAY PRICE]]/Table2526[[#This Row],[QTY]]</f>
        <v>256824000</v>
      </c>
      <c r="J41" s="129">
        <f>($F$5-Table2526[[#This Row],[$ Per Plane]])</f>
        <v>38376000</v>
      </c>
      <c r="K41" s="36">
        <f t="shared" si="3"/>
        <v>1419912000</v>
      </c>
      <c r="L41" s="69">
        <f t="shared" si="4"/>
        <v>4.8099999999999996</v>
      </c>
    </row>
    <row r="42" spans="2:12" ht="15" x14ac:dyDescent="0.25">
      <c r="C42" s="547"/>
      <c r="D42" s="81">
        <v>38</v>
      </c>
      <c r="E42" s="303">
        <v>0.13</v>
      </c>
      <c r="F42" s="22">
        <f t="shared" si="1"/>
        <v>11217600000</v>
      </c>
      <c r="G42" s="22">
        <f t="shared" si="2"/>
        <v>9759312000</v>
      </c>
      <c r="H42" s="22">
        <f t="shared" si="0"/>
        <v>404322019802</v>
      </c>
      <c r="I42" s="129">
        <f>Table2526[[#This Row],[PAY PRICE]]/Table2526[[#This Row],[QTY]]</f>
        <v>256824000</v>
      </c>
      <c r="J42" s="129">
        <f>($F$5-Table2526[[#This Row],[$ Per Plane]])</f>
        <v>38376000</v>
      </c>
      <c r="K42" s="36">
        <f t="shared" si="3"/>
        <v>1458288000</v>
      </c>
      <c r="L42" s="69">
        <f t="shared" si="4"/>
        <v>4.9400000000000004</v>
      </c>
    </row>
    <row r="43" spans="2:12" ht="15" x14ac:dyDescent="0.25">
      <c r="C43" s="547"/>
      <c r="D43" s="81">
        <v>39</v>
      </c>
      <c r="E43" s="303">
        <v>0.13</v>
      </c>
      <c r="F43" s="22">
        <f t="shared" si="1"/>
        <v>11512800000</v>
      </c>
      <c r="G43" s="22">
        <f t="shared" si="2"/>
        <v>10016136000</v>
      </c>
      <c r="H43" s="22">
        <f t="shared" si="0"/>
        <v>404065195802</v>
      </c>
      <c r="I43" s="129">
        <f>Table2526[[#This Row],[PAY PRICE]]/Table2526[[#This Row],[QTY]]</f>
        <v>256824000</v>
      </c>
      <c r="J43" s="129">
        <f>($F$5-Table2526[[#This Row],[$ Per Plane]])</f>
        <v>38376000</v>
      </c>
      <c r="K43" s="36">
        <f t="shared" si="3"/>
        <v>1496664000</v>
      </c>
      <c r="L43" s="69">
        <f t="shared" si="4"/>
        <v>5.07</v>
      </c>
    </row>
    <row r="44" spans="2:12" ht="15" x14ac:dyDescent="0.25">
      <c r="C44" s="547"/>
      <c r="D44" s="81">
        <v>40</v>
      </c>
      <c r="E44" s="303">
        <v>0.13</v>
      </c>
      <c r="F44" s="22">
        <f t="shared" si="1"/>
        <v>11808000000</v>
      </c>
      <c r="G44" s="22">
        <f t="shared" si="2"/>
        <v>10272960000</v>
      </c>
      <c r="H44" s="22">
        <f t="shared" si="0"/>
        <v>403808371802</v>
      </c>
      <c r="I44" s="129">
        <f>Table2526[[#This Row],[PAY PRICE]]/Table2526[[#This Row],[QTY]]</f>
        <v>256824000</v>
      </c>
      <c r="J44" s="129">
        <f>($F$5-Table2526[[#This Row],[$ Per Plane]])</f>
        <v>38376000</v>
      </c>
      <c r="K44" s="36">
        <f t="shared" si="3"/>
        <v>1535040000</v>
      </c>
      <c r="L44" s="69">
        <f t="shared" si="4"/>
        <v>5.2</v>
      </c>
    </row>
    <row r="45" spans="2:12" ht="15" x14ac:dyDescent="0.25">
      <c r="C45" s="547"/>
      <c r="D45" s="81">
        <v>41</v>
      </c>
      <c r="E45" s="303">
        <v>0.13</v>
      </c>
      <c r="F45" s="22">
        <f t="shared" si="1"/>
        <v>12103200000</v>
      </c>
      <c r="G45" s="22">
        <f t="shared" si="2"/>
        <v>10529784000</v>
      </c>
      <c r="H45" s="22">
        <f t="shared" si="0"/>
        <v>403551547802</v>
      </c>
      <c r="I45" s="129">
        <f>Table2526[[#This Row],[PAY PRICE]]/Table2526[[#This Row],[QTY]]</f>
        <v>256824000</v>
      </c>
      <c r="J45" s="129">
        <f>($F$5-Table2526[[#This Row],[$ Per Plane]])</f>
        <v>38376000</v>
      </c>
      <c r="K45" s="36">
        <f t="shared" si="3"/>
        <v>1573416000</v>
      </c>
      <c r="L45" s="69">
        <f t="shared" si="4"/>
        <v>5.33</v>
      </c>
    </row>
    <row r="46" spans="2:12" ht="15.75" thickBot="1" x14ac:dyDescent="0.3">
      <c r="C46" s="548"/>
      <c r="D46" s="83">
        <v>42</v>
      </c>
      <c r="E46" s="304">
        <v>0.13</v>
      </c>
      <c r="F46" s="19">
        <f t="shared" si="1"/>
        <v>12398400000</v>
      </c>
      <c r="G46" s="19">
        <f t="shared" si="2"/>
        <v>10786608000</v>
      </c>
      <c r="H46" s="19">
        <f t="shared" si="0"/>
        <v>403294723802</v>
      </c>
      <c r="I46" s="131">
        <f>Table2526[[#This Row],[PAY PRICE]]/Table2526[[#This Row],[QTY]]</f>
        <v>256824000</v>
      </c>
      <c r="J46" s="129">
        <f>($F$5-Table2526[[#This Row],[$ Per Plane]])</f>
        <v>38376000</v>
      </c>
      <c r="K46" s="18">
        <f t="shared" si="3"/>
        <v>1611792000</v>
      </c>
      <c r="L46" s="71">
        <f t="shared" si="4"/>
        <v>5.46</v>
      </c>
    </row>
    <row r="47" spans="2:12" ht="15" x14ac:dyDescent="0.25">
      <c r="C47" s="546">
        <v>7</v>
      </c>
      <c r="D47" s="84">
        <v>43</v>
      </c>
      <c r="E47" s="305">
        <v>0.13</v>
      </c>
      <c r="F47" s="72">
        <f t="shared" si="1"/>
        <v>12693600000</v>
      </c>
      <c r="G47" s="72">
        <f t="shared" si="2"/>
        <v>11043432000</v>
      </c>
      <c r="H47" s="72">
        <f t="shared" si="0"/>
        <v>403037899802</v>
      </c>
      <c r="I47" s="128">
        <f>Table2526[[#This Row],[PAY PRICE]]/Table2526[[#This Row],[QTY]]</f>
        <v>256824000</v>
      </c>
      <c r="J47" s="129">
        <f>($F$5-Table2526[[#This Row],[$ Per Plane]])</f>
        <v>38376000</v>
      </c>
      <c r="K47" s="67">
        <f t="shared" si="3"/>
        <v>1650168000</v>
      </c>
      <c r="L47" s="68">
        <f t="shared" si="4"/>
        <v>5.59</v>
      </c>
    </row>
    <row r="48" spans="2:12" ht="15" x14ac:dyDescent="0.25">
      <c r="C48" s="547"/>
      <c r="D48" s="81">
        <v>44</v>
      </c>
      <c r="E48" s="303">
        <v>0.13</v>
      </c>
      <c r="F48" s="22">
        <f t="shared" si="1"/>
        <v>12988800000</v>
      </c>
      <c r="G48" s="22">
        <f t="shared" si="2"/>
        <v>11300256000</v>
      </c>
      <c r="H48" s="22">
        <f t="shared" si="0"/>
        <v>402781075802</v>
      </c>
      <c r="I48" s="129">
        <f>Table2526[[#This Row],[PAY PRICE]]/Table2526[[#This Row],[QTY]]</f>
        <v>256824000</v>
      </c>
      <c r="J48" s="129">
        <f>($F$5-Table2526[[#This Row],[$ Per Plane]])</f>
        <v>38376000</v>
      </c>
      <c r="K48" s="36">
        <f t="shared" si="3"/>
        <v>1688544000</v>
      </c>
      <c r="L48" s="69">
        <f t="shared" si="4"/>
        <v>5.72</v>
      </c>
    </row>
    <row r="49" spans="3:12" ht="15" x14ac:dyDescent="0.25">
      <c r="C49" s="547"/>
      <c r="D49" s="81">
        <v>45</v>
      </c>
      <c r="E49" s="303">
        <v>0.13</v>
      </c>
      <c r="F49" s="22">
        <f t="shared" si="1"/>
        <v>13284000000</v>
      </c>
      <c r="G49" s="22">
        <f t="shared" si="2"/>
        <v>11557080000</v>
      </c>
      <c r="H49" s="22">
        <f t="shared" si="0"/>
        <v>402524251802</v>
      </c>
      <c r="I49" s="129">
        <f>Table2526[[#This Row],[PAY PRICE]]/Table2526[[#This Row],[QTY]]</f>
        <v>256824000</v>
      </c>
      <c r="J49" s="129">
        <f>($F$5-Table2526[[#This Row],[$ Per Plane]])</f>
        <v>38376000</v>
      </c>
      <c r="K49" s="36">
        <f t="shared" si="3"/>
        <v>1726920000</v>
      </c>
      <c r="L49" s="69">
        <f t="shared" si="4"/>
        <v>5.85</v>
      </c>
    </row>
    <row r="50" spans="3:12" ht="15" x14ac:dyDescent="0.25">
      <c r="C50" s="547"/>
      <c r="D50" s="81">
        <v>46</v>
      </c>
      <c r="E50" s="303">
        <v>0.13</v>
      </c>
      <c r="F50" s="22">
        <f t="shared" si="1"/>
        <v>13579200000</v>
      </c>
      <c r="G50" s="22">
        <f t="shared" si="2"/>
        <v>11813904000</v>
      </c>
      <c r="H50" s="22">
        <f t="shared" si="0"/>
        <v>402267427802</v>
      </c>
      <c r="I50" s="129">
        <f>Table2526[[#This Row],[PAY PRICE]]/Table2526[[#This Row],[QTY]]</f>
        <v>256824000</v>
      </c>
      <c r="J50" s="129">
        <f>($F$5-Table2526[[#This Row],[$ Per Plane]])</f>
        <v>38376000</v>
      </c>
      <c r="K50" s="36">
        <f t="shared" si="3"/>
        <v>1765296000</v>
      </c>
      <c r="L50" s="69">
        <f t="shared" si="4"/>
        <v>5.98</v>
      </c>
    </row>
    <row r="51" spans="3:12" ht="15" x14ac:dyDescent="0.25">
      <c r="C51" s="547"/>
      <c r="D51" s="81">
        <v>47</v>
      </c>
      <c r="E51" s="303">
        <v>0.13</v>
      </c>
      <c r="F51" s="22">
        <f t="shared" si="1"/>
        <v>13874400000</v>
      </c>
      <c r="G51" s="22">
        <f t="shared" si="2"/>
        <v>12070728000</v>
      </c>
      <c r="H51" s="22">
        <f t="shared" si="0"/>
        <v>402010603802</v>
      </c>
      <c r="I51" s="129">
        <f>Table2526[[#This Row],[PAY PRICE]]/Table2526[[#This Row],[QTY]]</f>
        <v>256824000</v>
      </c>
      <c r="J51" s="129">
        <f>($F$5-Table2526[[#This Row],[$ Per Plane]])</f>
        <v>38376000</v>
      </c>
      <c r="K51" s="36">
        <f t="shared" si="3"/>
        <v>1803672000</v>
      </c>
      <c r="L51" s="69">
        <f t="shared" si="4"/>
        <v>6.11</v>
      </c>
    </row>
    <row r="52" spans="3:12" ht="15" x14ac:dyDescent="0.25">
      <c r="C52" s="547"/>
      <c r="D52" s="81">
        <v>48</v>
      </c>
      <c r="E52" s="303">
        <v>0.13</v>
      </c>
      <c r="F52" s="22">
        <f t="shared" si="1"/>
        <v>14169600000</v>
      </c>
      <c r="G52" s="22">
        <f t="shared" si="2"/>
        <v>12327552000</v>
      </c>
      <c r="H52" s="22">
        <f t="shared" si="0"/>
        <v>401753779802</v>
      </c>
      <c r="I52" s="129">
        <f>Table2526[[#This Row],[PAY PRICE]]/Table2526[[#This Row],[QTY]]</f>
        <v>256824000</v>
      </c>
      <c r="J52" s="129">
        <f>($F$5-Table2526[[#This Row],[$ Per Plane]])</f>
        <v>38376000</v>
      </c>
      <c r="K52" s="36">
        <f t="shared" si="3"/>
        <v>1842048000</v>
      </c>
      <c r="L52" s="69">
        <f t="shared" si="4"/>
        <v>6.24</v>
      </c>
    </row>
    <row r="53" spans="3:12" ht="15.75" thickBot="1" x14ac:dyDescent="0.3">
      <c r="C53" s="548"/>
      <c r="D53" s="83">
        <v>49</v>
      </c>
      <c r="E53" s="304">
        <v>0.13</v>
      </c>
      <c r="F53" s="19">
        <f t="shared" si="1"/>
        <v>14464800000</v>
      </c>
      <c r="G53" s="19">
        <f t="shared" si="2"/>
        <v>12584376000</v>
      </c>
      <c r="H53" s="19">
        <f>$H$2-G53</f>
        <v>401496955802</v>
      </c>
      <c r="I53" s="131">
        <f>Table2526[[#This Row],[PAY PRICE]]/Table2526[[#This Row],[QTY]]</f>
        <v>256824000</v>
      </c>
      <c r="J53" s="129">
        <f>($F$5-Table2526[[#This Row],[$ Per Plane]])</f>
        <v>38376000</v>
      </c>
      <c r="K53" s="18">
        <f t="shared" si="3"/>
        <v>1880424000</v>
      </c>
      <c r="L53" s="71">
        <f t="shared" si="4"/>
        <v>6.37</v>
      </c>
    </row>
    <row r="54" spans="3:12" ht="15" x14ac:dyDescent="0.25">
      <c r="C54" s="546">
        <v>8</v>
      </c>
      <c r="D54" s="84">
        <v>50</v>
      </c>
      <c r="E54" s="305">
        <v>0.13</v>
      </c>
      <c r="F54" s="72">
        <f t="shared" si="1"/>
        <v>14760000000</v>
      </c>
      <c r="G54" s="72">
        <f t="shared" si="2"/>
        <v>12841200000</v>
      </c>
      <c r="H54" s="72">
        <f t="shared" si="0"/>
        <v>401240131802</v>
      </c>
      <c r="I54" s="128">
        <f>Table2526[[#This Row],[PAY PRICE]]/Table2526[[#This Row],[QTY]]</f>
        <v>256824000</v>
      </c>
      <c r="J54" s="129">
        <f>($F$5-Table2526[[#This Row],[$ Per Plane]])</f>
        <v>38376000</v>
      </c>
      <c r="K54" s="67">
        <f t="shared" si="3"/>
        <v>1918800000</v>
      </c>
      <c r="L54" s="68">
        <f t="shared" si="4"/>
        <v>6.5</v>
      </c>
    </row>
    <row r="55" spans="3:12" ht="15" x14ac:dyDescent="0.25">
      <c r="C55" s="547"/>
      <c r="D55" s="81">
        <v>51</v>
      </c>
      <c r="E55" s="303">
        <v>0.13</v>
      </c>
      <c r="F55" s="22">
        <f t="shared" si="1"/>
        <v>15055200000</v>
      </c>
      <c r="G55" s="22">
        <f t="shared" si="2"/>
        <v>13098024000</v>
      </c>
      <c r="H55" s="22">
        <f t="shared" si="0"/>
        <v>400983307802</v>
      </c>
      <c r="I55" s="129">
        <f>Table2526[[#This Row],[PAY PRICE]]/Table2526[[#This Row],[QTY]]</f>
        <v>256824000</v>
      </c>
      <c r="J55" s="129">
        <f>($F$5-Table2526[[#This Row],[$ Per Plane]])</f>
        <v>38376000</v>
      </c>
      <c r="K55" s="36">
        <f t="shared" si="3"/>
        <v>1957176000</v>
      </c>
      <c r="L55" s="69">
        <f t="shared" si="4"/>
        <v>6.63</v>
      </c>
    </row>
    <row r="56" spans="3:12" ht="15" x14ac:dyDescent="0.25">
      <c r="C56" s="547"/>
      <c r="D56" s="81">
        <v>52</v>
      </c>
      <c r="E56" s="303">
        <v>0.13</v>
      </c>
      <c r="F56" s="22">
        <f t="shared" si="1"/>
        <v>15350400000</v>
      </c>
      <c r="G56" s="22">
        <f t="shared" si="2"/>
        <v>13354848000</v>
      </c>
      <c r="H56" s="22">
        <f t="shared" si="0"/>
        <v>400726483802</v>
      </c>
      <c r="I56" s="129">
        <f>Table2526[[#This Row],[PAY PRICE]]/Table2526[[#This Row],[QTY]]</f>
        <v>256824000</v>
      </c>
      <c r="J56" s="129">
        <f>($F$5-Table2526[[#This Row],[$ Per Plane]])</f>
        <v>38376000</v>
      </c>
      <c r="K56" s="36">
        <f t="shared" si="3"/>
        <v>1995552000</v>
      </c>
      <c r="L56" s="69">
        <f t="shared" si="4"/>
        <v>6.76</v>
      </c>
    </row>
    <row r="57" spans="3:12" ht="15" x14ac:dyDescent="0.25">
      <c r="C57" s="547"/>
      <c r="D57" s="81">
        <v>53</v>
      </c>
      <c r="E57" s="303">
        <v>0.13</v>
      </c>
      <c r="F57" s="22">
        <f t="shared" si="1"/>
        <v>15645600000</v>
      </c>
      <c r="G57" s="22">
        <f t="shared" si="2"/>
        <v>13611672000</v>
      </c>
      <c r="H57" s="22">
        <f t="shared" si="0"/>
        <v>400469659802</v>
      </c>
      <c r="I57" s="129">
        <f>Table2526[[#This Row],[PAY PRICE]]/Table2526[[#This Row],[QTY]]</f>
        <v>256824000</v>
      </c>
      <c r="J57" s="129">
        <f>($F$5-Table2526[[#This Row],[$ Per Plane]])</f>
        <v>38376000</v>
      </c>
      <c r="K57" s="36">
        <f t="shared" si="3"/>
        <v>2033928000</v>
      </c>
      <c r="L57" s="69">
        <f t="shared" si="4"/>
        <v>6.89</v>
      </c>
    </row>
    <row r="58" spans="3:12" ht="15" x14ac:dyDescent="0.25">
      <c r="C58" s="547"/>
      <c r="D58" s="81">
        <v>54</v>
      </c>
      <c r="E58" s="303">
        <v>0.13</v>
      </c>
      <c r="F58" s="22">
        <f t="shared" si="1"/>
        <v>15940800000</v>
      </c>
      <c r="G58" s="22">
        <f t="shared" si="2"/>
        <v>13868496000</v>
      </c>
      <c r="H58" s="22">
        <f t="shared" si="0"/>
        <v>400212835802</v>
      </c>
      <c r="I58" s="129">
        <f>Table2526[[#This Row],[PAY PRICE]]/Table2526[[#This Row],[QTY]]</f>
        <v>256824000</v>
      </c>
      <c r="J58" s="129">
        <f>($F$5-Table2526[[#This Row],[$ Per Plane]])</f>
        <v>38376000</v>
      </c>
      <c r="K58" s="36">
        <f t="shared" si="3"/>
        <v>2072304000</v>
      </c>
      <c r="L58" s="69">
        <f t="shared" si="4"/>
        <v>7.02</v>
      </c>
    </row>
    <row r="59" spans="3:12" ht="15" x14ac:dyDescent="0.25">
      <c r="C59" s="547"/>
      <c r="D59" s="81">
        <v>55</v>
      </c>
      <c r="E59" s="303">
        <v>0.13</v>
      </c>
      <c r="F59" s="22">
        <f t="shared" si="1"/>
        <v>16236000000</v>
      </c>
      <c r="G59" s="22">
        <f t="shared" si="2"/>
        <v>14125320000</v>
      </c>
      <c r="H59" s="22">
        <f t="shared" si="0"/>
        <v>399956011802</v>
      </c>
      <c r="I59" s="129">
        <f>Table2526[[#This Row],[PAY PRICE]]/Table2526[[#This Row],[QTY]]</f>
        <v>256824000</v>
      </c>
      <c r="J59" s="129">
        <f>($F$5-Table2526[[#This Row],[$ Per Plane]])</f>
        <v>38376000</v>
      </c>
      <c r="K59" s="36">
        <f t="shared" si="3"/>
        <v>2110680000</v>
      </c>
      <c r="L59" s="69">
        <f t="shared" si="4"/>
        <v>7.15</v>
      </c>
    </row>
    <row r="60" spans="3:12" ht="15.75" thickBot="1" x14ac:dyDescent="0.3">
      <c r="C60" s="548"/>
      <c r="D60" s="83">
        <v>56</v>
      </c>
      <c r="E60" s="304">
        <v>0.13</v>
      </c>
      <c r="F60" s="19">
        <f t="shared" si="1"/>
        <v>16531200000</v>
      </c>
      <c r="G60" s="19">
        <f t="shared" si="2"/>
        <v>14382144000</v>
      </c>
      <c r="H60" s="19">
        <f t="shared" si="0"/>
        <v>399699187802</v>
      </c>
      <c r="I60" s="131">
        <f>Table2526[[#This Row],[PAY PRICE]]/Table2526[[#This Row],[QTY]]</f>
        <v>256824000</v>
      </c>
      <c r="J60" s="129">
        <f>($F$5-Table2526[[#This Row],[$ Per Plane]])</f>
        <v>38376000</v>
      </c>
      <c r="K60" s="18">
        <f t="shared" si="3"/>
        <v>2149056000</v>
      </c>
      <c r="L60" s="71">
        <f t="shared" si="4"/>
        <v>7.28</v>
      </c>
    </row>
    <row r="61" spans="3:12" ht="15" x14ac:dyDescent="0.25">
      <c r="C61" s="546">
        <v>9</v>
      </c>
      <c r="D61" s="84">
        <v>57</v>
      </c>
      <c r="E61" s="305">
        <v>0.13</v>
      </c>
      <c r="F61" s="72">
        <f t="shared" si="1"/>
        <v>16826400000</v>
      </c>
      <c r="G61" s="72">
        <f t="shared" si="2"/>
        <v>14638968000</v>
      </c>
      <c r="H61" s="72">
        <f t="shared" si="0"/>
        <v>399442363802</v>
      </c>
      <c r="I61" s="128">
        <f>Table2526[[#This Row],[PAY PRICE]]/Table2526[[#This Row],[QTY]]</f>
        <v>256824000</v>
      </c>
      <c r="J61" s="129">
        <f>($F$5-Table2526[[#This Row],[$ Per Plane]])</f>
        <v>38376000</v>
      </c>
      <c r="K61" s="67">
        <f t="shared" si="3"/>
        <v>2187432000</v>
      </c>
      <c r="L61" s="68">
        <f t="shared" si="4"/>
        <v>7.41</v>
      </c>
    </row>
    <row r="62" spans="3:12" ht="15" x14ac:dyDescent="0.25">
      <c r="C62" s="547"/>
      <c r="D62" s="81">
        <v>58</v>
      </c>
      <c r="E62" s="303">
        <v>0.13</v>
      </c>
      <c r="F62" s="22">
        <f t="shared" si="1"/>
        <v>17121600000</v>
      </c>
      <c r="G62" s="22">
        <f t="shared" si="2"/>
        <v>14895792000</v>
      </c>
      <c r="H62" s="22">
        <f t="shared" si="0"/>
        <v>399185539802</v>
      </c>
      <c r="I62" s="129">
        <f>Table2526[[#This Row],[PAY PRICE]]/Table2526[[#This Row],[QTY]]</f>
        <v>256824000</v>
      </c>
      <c r="J62" s="129">
        <f>($F$5-Table2526[[#This Row],[$ Per Plane]])</f>
        <v>38376000</v>
      </c>
      <c r="K62" s="36">
        <f t="shared" si="3"/>
        <v>2225808000</v>
      </c>
      <c r="L62" s="69">
        <f t="shared" si="4"/>
        <v>7.54</v>
      </c>
    </row>
    <row r="63" spans="3:12" ht="15" x14ac:dyDescent="0.25">
      <c r="C63" s="547"/>
      <c r="D63" s="81">
        <v>59</v>
      </c>
      <c r="E63" s="303">
        <v>0.13</v>
      </c>
      <c r="F63" s="22">
        <f t="shared" si="1"/>
        <v>17416800000</v>
      </c>
      <c r="G63" s="22">
        <f t="shared" si="2"/>
        <v>15152616000</v>
      </c>
      <c r="H63" s="22">
        <f t="shared" si="0"/>
        <v>398928715802</v>
      </c>
      <c r="I63" s="129">
        <f>Table2526[[#This Row],[PAY PRICE]]/Table2526[[#This Row],[QTY]]</f>
        <v>256824000</v>
      </c>
      <c r="J63" s="129">
        <f>($F$5-Table2526[[#This Row],[$ Per Plane]])</f>
        <v>38376000</v>
      </c>
      <c r="K63" s="36">
        <f t="shared" si="3"/>
        <v>2264184000</v>
      </c>
      <c r="L63" s="69">
        <f t="shared" si="4"/>
        <v>7.67</v>
      </c>
    </row>
    <row r="64" spans="3:12" ht="15" x14ac:dyDescent="0.25">
      <c r="C64" s="547"/>
      <c r="D64" s="81">
        <v>60</v>
      </c>
      <c r="E64" s="303">
        <v>0.13</v>
      </c>
      <c r="F64" s="22">
        <f t="shared" si="1"/>
        <v>17712000000</v>
      </c>
      <c r="G64" s="22">
        <f t="shared" si="2"/>
        <v>15409440000</v>
      </c>
      <c r="H64" s="22">
        <f t="shared" si="0"/>
        <v>398671891802</v>
      </c>
      <c r="I64" s="129">
        <f>Table2526[[#This Row],[PAY PRICE]]/Table2526[[#This Row],[QTY]]</f>
        <v>256824000</v>
      </c>
      <c r="J64" s="129">
        <f>($F$5-Table2526[[#This Row],[$ Per Plane]])</f>
        <v>38376000</v>
      </c>
      <c r="K64" s="36">
        <f t="shared" si="3"/>
        <v>2302560000</v>
      </c>
      <c r="L64" s="69">
        <f t="shared" si="4"/>
        <v>7.8</v>
      </c>
    </row>
    <row r="65" spans="3:12" ht="15" x14ac:dyDescent="0.25">
      <c r="C65" s="547"/>
      <c r="D65" s="81">
        <v>61</v>
      </c>
      <c r="E65" s="303">
        <v>0.13</v>
      </c>
      <c r="F65" s="22">
        <f t="shared" si="1"/>
        <v>18007200000</v>
      </c>
      <c r="G65" s="22">
        <f t="shared" si="2"/>
        <v>15666264000</v>
      </c>
      <c r="H65" s="22">
        <f t="shared" si="0"/>
        <v>398415067802</v>
      </c>
      <c r="I65" s="129">
        <f>Table2526[[#This Row],[PAY PRICE]]/Table2526[[#This Row],[QTY]]</f>
        <v>256824000</v>
      </c>
      <c r="J65" s="129">
        <f>($F$5-Table2526[[#This Row],[$ Per Plane]])</f>
        <v>38376000</v>
      </c>
      <c r="K65" s="36">
        <f t="shared" si="3"/>
        <v>2340936000</v>
      </c>
      <c r="L65" s="69">
        <f t="shared" si="4"/>
        <v>7.93</v>
      </c>
    </row>
    <row r="66" spans="3:12" ht="15" x14ac:dyDescent="0.25">
      <c r="C66" s="547"/>
      <c r="D66" s="81">
        <v>62</v>
      </c>
      <c r="E66" s="303">
        <v>0.13</v>
      </c>
      <c r="F66" s="22">
        <f t="shared" si="1"/>
        <v>18302400000</v>
      </c>
      <c r="G66" s="22">
        <f t="shared" si="2"/>
        <v>15923088000</v>
      </c>
      <c r="H66" s="22">
        <f t="shared" si="0"/>
        <v>398158243802</v>
      </c>
      <c r="I66" s="129">
        <f>Table2526[[#This Row],[PAY PRICE]]/Table2526[[#This Row],[QTY]]</f>
        <v>256824000</v>
      </c>
      <c r="J66" s="129">
        <f>($F$5-Table2526[[#This Row],[$ Per Plane]])</f>
        <v>38376000</v>
      </c>
      <c r="K66" s="36">
        <f t="shared" si="3"/>
        <v>2379312000</v>
      </c>
      <c r="L66" s="69">
        <f t="shared" si="4"/>
        <v>8.06</v>
      </c>
    </row>
    <row r="67" spans="3:12" ht="15.75" thickBot="1" x14ac:dyDescent="0.3">
      <c r="C67" s="548"/>
      <c r="D67" s="83">
        <v>63</v>
      </c>
      <c r="E67" s="304">
        <v>0.13</v>
      </c>
      <c r="F67" s="19">
        <f t="shared" si="1"/>
        <v>18597600000</v>
      </c>
      <c r="G67" s="19">
        <f t="shared" si="2"/>
        <v>16179912000</v>
      </c>
      <c r="H67" s="19">
        <f t="shared" si="0"/>
        <v>397901419802</v>
      </c>
      <c r="I67" s="131">
        <f>Table2526[[#This Row],[PAY PRICE]]/Table2526[[#This Row],[QTY]]</f>
        <v>256824000</v>
      </c>
      <c r="J67" s="129">
        <f>($F$5-Table2526[[#This Row],[$ Per Plane]])</f>
        <v>38376000</v>
      </c>
      <c r="K67" s="18">
        <f t="shared" si="3"/>
        <v>2417688000</v>
      </c>
      <c r="L67" s="71">
        <f t="shared" si="4"/>
        <v>8.19</v>
      </c>
    </row>
    <row r="68" spans="3:12" ht="15" x14ac:dyDescent="0.25">
      <c r="C68" s="546">
        <v>10</v>
      </c>
      <c r="D68" s="84">
        <v>64</v>
      </c>
      <c r="E68" s="305">
        <v>0.13</v>
      </c>
      <c r="F68" s="72">
        <f t="shared" si="1"/>
        <v>18892800000</v>
      </c>
      <c r="G68" s="72">
        <f t="shared" si="2"/>
        <v>16436736000</v>
      </c>
      <c r="H68" s="72">
        <f t="shared" si="0"/>
        <v>397644595802</v>
      </c>
      <c r="I68" s="128">
        <f>Table2526[[#This Row],[PAY PRICE]]/Table2526[[#This Row],[QTY]]</f>
        <v>256824000</v>
      </c>
      <c r="J68" s="129">
        <f>($F$5-Table2526[[#This Row],[$ Per Plane]])</f>
        <v>38376000</v>
      </c>
      <c r="K68" s="67">
        <f t="shared" si="3"/>
        <v>2456064000</v>
      </c>
      <c r="L68" s="68">
        <f t="shared" si="4"/>
        <v>8.32</v>
      </c>
    </row>
    <row r="69" spans="3:12" ht="15" x14ac:dyDescent="0.25">
      <c r="C69" s="547"/>
      <c r="D69" s="81">
        <v>65</v>
      </c>
      <c r="E69" s="303">
        <v>0.13</v>
      </c>
      <c r="F69" s="22">
        <f t="shared" si="1"/>
        <v>19188000000</v>
      </c>
      <c r="G69" s="22">
        <f t="shared" si="2"/>
        <v>16693560000</v>
      </c>
      <c r="H69" s="22">
        <f t="shared" ref="H69:H132" si="5">$H$2-G69</f>
        <v>397387771802</v>
      </c>
      <c r="I69" s="129">
        <f>Table2526[[#This Row],[PAY PRICE]]/Table2526[[#This Row],[QTY]]</f>
        <v>256824000</v>
      </c>
      <c r="J69" s="129">
        <f>($F$5-Table2526[[#This Row],[$ Per Plane]])</f>
        <v>38376000</v>
      </c>
      <c r="K69" s="36">
        <f t="shared" si="3"/>
        <v>2494440000</v>
      </c>
      <c r="L69" s="69">
        <f t="shared" si="4"/>
        <v>8.4499999999999993</v>
      </c>
    </row>
    <row r="70" spans="3:12" ht="15" x14ac:dyDescent="0.25">
      <c r="C70" s="547"/>
      <c r="D70" s="81">
        <v>66</v>
      </c>
      <c r="E70" s="303">
        <v>0.13</v>
      </c>
      <c r="F70" s="22">
        <f t="shared" ref="F70:F133" si="6">$F$5*D70</f>
        <v>19483200000</v>
      </c>
      <c r="G70" s="22">
        <f t="shared" ref="G70:G133" si="7">F70*(1-E70)</f>
        <v>16950384000</v>
      </c>
      <c r="H70" s="22">
        <f t="shared" si="5"/>
        <v>397130947802</v>
      </c>
      <c r="I70" s="129">
        <f>Table2526[[#This Row],[PAY PRICE]]/Table2526[[#This Row],[QTY]]</f>
        <v>256824000</v>
      </c>
      <c r="J70" s="129">
        <f>($F$5-Table2526[[#This Row],[$ Per Plane]])</f>
        <v>38376000</v>
      </c>
      <c r="K70" s="36">
        <f t="shared" ref="K70:K133" si="8">($F$5*D70)-G70</f>
        <v>2532816000</v>
      </c>
      <c r="L70" s="69">
        <f t="shared" ref="L70:L133" si="9">K70/$F$5</f>
        <v>8.58</v>
      </c>
    </row>
    <row r="71" spans="3:12" ht="15" x14ac:dyDescent="0.25">
      <c r="C71" s="547"/>
      <c r="D71" s="81">
        <v>67</v>
      </c>
      <c r="E71" s="303">
        <v>0.13</v>
      </c>
      <c r="F71" s="22">
        <f t="shared" si="6"/>
        <v>19778400000</v>
      </c>
      <c r="G71" s="22">
        <f t="shared" si="7"/>
        <v>17207208000</v>
      </c>
      <c r="H71" s="22">
        <f t="shared" si="5"/>
        <v>396874123802</v>
      </c>
      <c r="I71" s="129">
        <f>Table2526[[#This Row],[PAY PRICE]]/Table2526[[#This Row],[QTY]]</f>
        <v>256824000</v>
      </c>
      <c r="J71" s="129">
        <f>($F$5-Table2526[[#This Row],[$ Per Plane]])</f>
        <v>38376000</v>
      </c>
      <c r="K71" s="36">
        <f t="shared" si="8"/>
        <v>2571192000</v>
      </c>
      <c r="L71" s="69">
        <f t="shared" si="9"/>
        <v>8.7100000000000009</v>
      </c>
    </row>
    <row r="72" spans="3:12" ht="15" x14ac:dyDescent="0.25">
      <c r="C72" s="547"/>
      <c r="D72" s="81">
        <v>68</v>
      </c>
      <c r="E72" s="303">
        <v>0.13</v>
      </c>
      <c r="F72" s="22">
        <f t="shared" si="6"/>
        <v>20073600000</v>
      </c>
      <c r="G72" s="22">
        <f t="shared" si="7"/>
        <v>17464032000</v>
      </c>
      <c r="H72" s="22">
        <f t="shared" si="5"/>
        <v>396617299802</v>
      </c>
      <c r="I72" s="129">
        <f>Table2526[[#This Row],[PAY PRICE]]/Table2526[[#This Row],[QTY]]</f>
        <v>256824000</v>
      </c>
      <c r="J72" s="129">
        <f>($F$5-Table2526[[#This Row],[$ Per Plane]])</f>
        <v>38376000</v>
      </c>
      <c r="K72" s="36">
        <f t="shared" si="8"/>
        <v>2609568000</v>
      </c>
      <c r="L72" s="69">
        <f t="shared" si="9"/>
        <v>8.84</v>
      </c>
    </row>
    <row r="73" spans="3:12" ht="15" x14ac:dyDescent="0.25">
      <c r="C73" s="547"/>
      <c r="D73" s="81">
        <v>69</v>
      </c>
      <c r="E73" s="303">
        <v>0.13</v>
      </c>
      <c r="F73" s="22">
        <f t="shared" si="6"/>
        <v>20368800000</v>
      </c>
      <c r="G73" s="22">
        <f t="shared" si="7"/>
        <v>17720856000</v>
      </c>
      <c r="H73" s="22">
        <f t="shared" si="5"/>
        <v>396360475802</v>
      </c>
      <c r="I73" s="129">
        <f>Table2526[[#This Row],[PAY PRICE]]/Table2526[[#This Row],[QTY]]</f>
        <v>256824000</v>
      </c>
      <c r="J73" s="129">
        <f>($F$5-Table2526[[#This Row],[$ Per Plane]])</f>
        <v>38376000</v>
      </c>
      <c r="K73" s="36">
        <f t="shared" si="8"/>
        <v>2647944000</v>
      </c>
      <c r="L73" s="69">
        <f t="shared" si="9"/>
        <v>8.9700000000000006</v>
      </c>
    </row>
    <row r="74" spans="3:12" ht="15.75" thickBot="1" x14ac:dyDescent="0.3">
      <c r="C74" s="548"/>
      <c r="D74" s="83">
        <v>70</v>
      </c>
      <c r="E74" s="304">
        <v>0.13</v>
      </c>
      <c r="F74" s="19">
        <f t="shared" si="6"/>
        <v>20664000000</v>
      </c>
      <c r="G74" s="19">
        <f t="shared" si="7"/>
        <v>17977680000</v>
      </c>
      <c r="H74" s="19">
        <f t="shared" si="5"/>
        <v>396103651802</v>
      </c>
      <c r="I74" s="131">
        <f>Table2526[[#This Row],[PAY PRICE]]/Table2526[[#This Row],[QTY]]</f>
        <v>256824000</v>
      </c>
      <c r="J74" s="129">
        <f>($F$5-Table2526[[#This Row],[$ Per Plane]])</f>
        <v>38376000</v>
      </c>
      <c r="K74" s="18">
        <f t="shared" si="8"/>
        <v>2686320000</v>
      </c>
      <c r="L74" s="71">
        <f t="shared" si="9"/>
        <v>9.1</v>
      </c>
    </row>
    <row r="75" spans="3:12" ht="15" x14ac:dyDescent="0.25">
      <c r="C75" s="546">
        <v>11</v>
      </c>
      <c r="D75" s="84">
        <v>71</v>
      </c>
      <c r="E75" s="77">
        <v>0.13</v>
      </c>
      <c r="F75" s="66">
        <f t="shared" si="6"/>
        <v>20959200000</v>
      </c>
      <c r="G75" s="66">
        <f t="shared" si="7"/>
        <v>18234504000</v>
      </c>
      <c r="H75" s="66">
        <f t="shared" si="5"/>
        <v>395846827802</v>
      </c>
      <c r="I75" s="132">
        <f>Table2526[[#This Row],[PAY PRICE]]/Table2526[[#This Row],[QTY]]</f>
        <v>256824000</v>
      </c>
      <c r="J75" s="129">
        <f>($F$5-Table2526[[#This Row],[$ Per Plane]])</f>
        <v>38376000</v>
      </c>
      <c r="K75" s="67">
        <f t="shared" si="8"/>
        <v>2724696000</v>
      </c>
      <c r="L75" s="68">
        <f t="shared" si="9"/>
        <v>9.23</v>
      </c>
    </row>
    <row r="76" spans="3:12" ht="15" x14ac:dyDescent="0.25">
      <c r="C76" s="547"/>
      <c r="D76" s="81">
        <v>72</v>
      </c>
      <c r="E76" s="78">
        <v>0.13</v>
      </c>
      <c r="F76" s="35">
        <f t="shared" si="6"/>
        <v>21254400000</v>
      </c>
      <c r="G76" s="35">
        <f t="shared" si="7"/>
        <v>18491328000</v>
      </c>
      <c r="H76" s="35">
        <f t="shared" si="5"/>
        <v>395590003802</v>
      </c>
      <c r="I76" s="133">
        <f>Table2526[[#This Row],[PAY PRICE]]/Table2526[[#This Row],[QTY]]</f>
        <v>256824000</v>
      </c>
      <c r="J76" s="129">
        <f>($F$5-Table2526[[#This Row],[$ Per Plane]])</f>
        <v>38376000</v>
      </c>
      <c r="K76" s="36">
        <f t="shared" si="8"/>
        <v>2763072000</v>
      </c>
      <c r="L76" s="69">
        <f t="shared" si="9"/>
        <v>9.36</v>
      </c>
    </row>
    <row r="77" spans="3:12" ht="15" x14ac:dyDescent="0.25">
      <c r="C77" s="547"/>
      <c r="D77" s="81">
        <v>73</v>
      </c>
      <c r="E77" s="78">
        <v>0.13</v>
      </c>
      <c r="F77" s="35">
        <f t="shared" si="6"/>
        <v>21549600000</v>
      </c>
      <c r="G77" s="35">
        <f t="shared" si="7"/>
        <v>18748152000</v>
      </c>
      <c r="H77" s="35">
        <f t="shared" si="5"/>
        <v>395333179802</v>
      </c>
      <c r="I77" s="133">
        <f>Table2526[[#This Row],[PAY PRICE]]/Table2526[[#This Row],[QTY]]</f>
        <v>256824000</v>
      </c>
      <c r="J77" s="129">
        <f>($F$5-Table2526[[#This Row],[$ Per Plane]])</f>
        <v>38376000</v>
      </c>
      <c r="K77" s="36">
        <f t="shared" si="8"/>
        <v>2801448000</v>
      </c>
      <c r="L77" s="69">
        <f t="shared" si="9"/>
        <v>9.49</v>
      </c>
    </row>
    <row r="78" spans="3:12" ht="15" x14ac:dyDescent="0.25">
      <c r="C78" s="547"/>
      <c r="D78" s="81">
        <v>74</v>
      </c>
      <c r="E78" s="78">
        <v>0.13</v>
      </c>
      <c r="F78" s="35">
        <f t="shared" si="6"/>
        <v>21844800000</v>
      </c>
      <c r="G78" s="35">
        <f t="shared" si="7"/>
        <v>19004976000</v>
      </c>
      <c r="H78" s="35">
        <f t="shared" si="5"/>
        <v>395076355802</v>
      </c>
      <c r="I78" s="133">
        <f>Table2526[[#This Row],[PAY PRICE]]/Table2526[[#This Row],[QTY]]</f>
        <v>256824000</v>
      </c>
      <c r="J78" s="129">
        <f>($F$5-Table2526[[#This Row],[$ Per Plane]])</f>
        <v>38376000</v>
      </c>
      <c r="K78" s="36">
        <f t="shared" si="8"/>
        <v>2839824000</v>
      </c>
      <c r="L78" s="69">
        <f t="shared" si="9"/>
        <v>9.6199999999999992</v>
      </c>
    </row>
    <row r="79" spans="3:12" ht="15" x14ac:dyDescent="0.25">
      <c r="C79" s="547"/>
      <c r="D79" s="81">
        <v>75</v>
      </c>
      <c r="E79" s="78">
        <v>0.13</v>
      </c>
      <c r="F79" s="35">
        <f t="shared" si="6"/>
        <v>22140000000</v>
      </c>
      <c r="G79" s="35">
        <f t="shared" si="7"/>
        <v>19261800000</v>
      </c>
      <c r="H79" s="35">
        <f t="shared" si="5"/>
        <v>394819531802</v>
      </c>
      <c r="I79" s="133">
        <f>Table2526[[#This Row],[PAY PRICE]]/Table2526[[#This Row],[QTY]]</f>
        <v>256824000</v>
      </c>
      <c r="J79" s="129">
        <f>($F$5-Table2526[[#This Row],[$ Per Plane]])</f>
        <v>38376000</v>
      </c>
      <c r="K79" s="36">
        <f t="shared" si="8"/>
        <v>2878200000</v>
      </c>
      <c r="L79" s="69">
        <f t="shared" si="9"/>
        <v>9.75</v>
      </c>
    </row>
    <row r="80" spans="3:12" ht="15" x14ac:dyDescent="0.25">
      <c r="C80" s="547"/>
      <c r="D80" s="81">
        <v>76</v>
      </c>
      <c r="E80" s="78">
        <v>0.13</v>
      </c>
      <c r="F80" s="35">
        <f t="shared" si="6"/>
        <v>22435200000</v>
      </c>
      <c r="G80" s="35">
        <f t="shared" si="7"/>
        <v>19518624000</v>
      </c>
      <c r="H80" s="35">
        <f t="shared" si="5"/>
        <v>394562707802</v>
      </c>
      <c r="I80" s="133">
        <f>Table2526[[#This Row],[PAY PRICE]]/Table2526[[#This Row],[QTY]]</f>
        <v>256824000</v>
      </c>
      <c r="J80" s="129">
        <f>($F$5-Table2526[[#This Row],[$ Per Plane]])</f>
        <v>38376000</v>
      </c>
      <c r="K80" s="36">
        <f t="shared" si="8"/>
        <v>2916576000</v>
      </c>
      <c r="L80" s="69">
        <f t="shared" si="9"/>
        <v>9.8800000000000008</v>
      </c>
    </row>
    <row r="81" spans="3:12" ht="15.75" thickBot="1" x14ac:dyDescent="0.3">
      <c r="C81" s="548"/>
      <c r="D81" s="83">
        <v>77</v>
      </c>
      <c r="E81" s="79">
        <v>0.13</v>
      </c>
      <c r="F81" s="70">
        <f t="shared" si="6"/>
        <v>22730400000</v>
      </c>
      <c r="G81" s="70">
        <f t="shared" si="7"/>
        <v>19775448000</v>
      </c>
      <c r="H81" s="70">
        <f t="shared" si="5"/>
        <v>394305883802</v>
      </c>
      <c r="I81" s="134">
        <f>Table2526[[#This Row],[PAY PRICE]]/Table2526[[#This Row],[QTY]]</f>
        <v>256824000</v>
      </c>
      <c r="J81" s="129">
        <f>($F$5-Table2526[[#This Row],[$ Per Plane]])</f>
        <v>38376000</v>
      </c>
      <c r="K81" s="18">
        <f t="shared" si="8"/>
        <v>2954952000</v>
      </c>
      <c r="L81" s="71">
        <f t="shared" si="9"/>
        <v>10.01</v>
      </c>
    </row>
    <row r="82" spans="3:12" ht="15" customHeight="1" x14ac:dyDescent="0.25">
      <c r="C82" s="546">
        <v>12</v>
      </c>
      <c r="D82" s="84">
        <v>78</v>
      </c>
      <c r="E82" s="77">
        <v>0.13</v>
      </c>
      <c r="F82" s="66">
        <f t="shared" si="6"/>
        <v>23025600000</v>
      </c>
      <c r="G82" s="66">
        <f t="shared" si="7"/>
        <v>20032272000</v>
      </c>
      <c r="H82" s="66">
        <f t="shared" si="5"/>
        <v>394049059802</v>
      </c>
      <c r="I82" s="132">
        <f>Table2526[[#This Row],[PAY PRICE]]/Table2526[[#This Row],[QTY]]</f>
        <v>256824000</v>
      </c>
      <c r="J82" s="129">
        <f>($F$5-Table2526[[#This Row],[$ Per Plane]])</f>
        <v>38376000</v>
      </c>
      <c r="K82" s="67">
        <f t="shared" si="8"/>
        <v>2993328000</v>
      </c>
      <c r="L82" s="68">
        <f t="shared" si="9"/>
        <v>10.14</v>
      </c>
    </row>
    <row r="83" spans="3:12" ht="15" customHeight="1" x14ac:dyDescent="0.25">
      <c r="C83" s="547"/>
      <c r="D83" s="81">
        <v>79</v>
      </c>
      <c r="E83" s="78">
        <v>0.13</v>
      </c>
      <c r="F83" s="35">
        <f t="shared" si="6"/>
        <v>23320800000</v>
      </c>
      <c r="G83" s="35">
        <f t="shared" si="7"/>
        <v>20289096000</v>
      </c>
      <c r="H83" s="35">
        <f t="shared" si="5"/>
        <v>393792235802</v>
      </c>
      <c r="I83" s="133">
        <f>Table2526[[#This Row],[PAY PRICE]]/Table2526[[#This Row],[QTY]]</f>
        <v>256824000</v>
      </c>
      <c r="J83" s="129">
        <f>($F$5-Table2526[[#This Row],[$ Per Plane]])</f>
        <v>38376000</v>
      </c>
      <c r="K83" s="36">
        <f t="shared" si="8"/>
        <v>3031704000</v>
      </c>
      <c r="L83" s="69">
        <f t="shared" si="9"/>
        <v>10.27</v>
      </c>
    </row>
    <row r="84" spans="3:12" ht="15" customHeight="1" x14ac:dyDescent="0.25">
      <c r="C84" s="547"/>
      <c r="D84" s="81">
        <v>80</v>
      </c>
      <c r="E84" s="78">
        <v>0.13</v>
      </c>
      <c r="F84" s="35">
        <f t="shared" si="6"/>
        <v>23616000000</v>
      </c>
      <c r="G84" s="35">
        <f t="shared" si="7"/>
        <v>20545920000</v>
      </c>
      <c r="H84" s="35">
        <f t="shared" si="5"/>
        <v>393535411802</v>
      </c>
      <c r="I84" s="133">
        <f>Table2526[[#This Row],[PAY PRICE]]/Table2526[[#This Row],[QTY]]</f>
        <v>256824000</v>
      </c>
      <c r="J84" s="129">
        <f>($F$5-Table2526[[#This Row],[$ Per Plane]])</f>
        <v>38376000</v>
      </c>
      <c r="K84" s="36">
        <f t="shared" si="8"/>
        <v>3070080000</v>
      </c>
      <c r="L84" s="69">
        <f t="shared" si="9"/>
        <v>10.4</v>
      </c>
    </row>
    <row r="85" spans="3:12" ht="15" customHeight="1" x14ac:dyDescent="0.25">
      <c r="C85" s="547"/>
      <c r="D85" s="81">
        <v>81</v>
      </c>
      <c r="E85" s="78">
        <v>0.13</v>
      </c>
      <c r="F85" s="35">
        <f t="shared" si="6"/>
        <v>23911200000</v>
      </c>
      <c r="G85" s="35">
        <f t="shared" si="7"/>
        <v>20802744000</v>
      </c>
      <c r="H85" s="35">
        <f t="shared" si="5"/>
        <v>393278587802</v>
      </c>
      <c r="I85" s="133">
        <f>Table2526[[#This Row],[PAY PRICE]]/Table2526[[#This Row],[QTY]]</f>
        <v>256824000</v>
      </c>
      <c r="J85" s="129">
        <f>($F$5-Table2526[[#This Row],[$ Per Plane]])</f>
        <v>38376000</v>
      </c>
      <c r="K85" s="36">
        <f t="shared" si="8"/>
        <v>3108456000</v>
      </c>
      <c r="L85" s="69">
        <f t="shared" si="9"/>
        <v>10.53</v>
      </c>
    </row>
    <row r="86" spans="3:12" ht="15" customHeight="1" x14ac:dyDescent="0.25">
      <c r="C86" s="547"/>
      <c r="D86" s="81">
        <v>82</v>
      </c>
      <c r="E86" s="78">
        <v>0.13</v>
      </c>
      <c r="F86" s="35">
        <f t="shared" si="6"/>
        <v>24206400000</v>
      </c>
      <c r="G86" s="35">
        <f t="shared" si="7"/>
        <v>21059568000</v>
      </c>
      <c r="H86" s="35">
        <f t="shared" si="5"/>
        <v>393021763802</v>
      </c>
      <c r="I86" s="133">
        <f>Table2526[[#This Row],[PAY PRICE]]/Table2526[[#This Row],[QTY]]</f>
        <v>256824000</v>
      </c>
      <c r="J86" s="129">
        <f>($F$5-Table2526[[#This Row],[$ Per Plane]])</f>
        <v>38376000</v>
      </c>
      <c r="K86" s="36">
        <f t="shared" si="8"/>
        <v>3146832000</v>
      </c>
      <c r="L86" s="69">
        <f t="shared" si="9"/>
        <v>10.66</v>
      </c>
    </row>
    <row r="87" spans="3:12" ht="15" customHeight="1" x14ac:dyDescent="0.25">
      <c r="C87" s="547"/>
      <c r="D87" s="81">
        <v>83</v>
      </c>
      <c r="E87" s="78">
        <v>0.13</v>
      </c>
      <c r="F87" s="35">
        <f t="shared" si="6"/>
        <v>24501600000</v>
      </c>
      <c r="G87" s="35">
        <f t="shared" si="7"/>
        <v>21316392000</v>
      </c>
      <c r="H87" s="35">
        <f t="shared" si="5"/>
        <v>392764939802</v>
      </c>
      <c r="I87" s="133">
        <f>Table2526[[#This Row],[PAY PRICE]]/Table2526[[#This Row],[QTY]]</f>
        <v>256824000</v>
      </c>
      <c r="J87" s="129">
        <f>($F$5-Table2526[[#This Row],[$ Per Plane]])</f>
        <v>38376000</v>
      </c>
      <c r="K87" s="36">
        <f t="shared" si="8"/>
        <v>3185208000</v>
      </c>
      <c r="L87" s="69">
        <f t="shared" si="9"/>
        <v>10.79</v>
      </c>
    </row>
    <row r="88" spans="3:12" ht="15.75" customHeight="1" thickBot="1" x14ac:dyDescent="0.3">
      <c r="C88" s="548"/>
      <c r="D88" s="83">
        <v>84</v>
      </c>
      <c r="E88" s="79">
        <v>0.13</v>
      </c>
      <c r="F88" s="70">
        <f t="shared" si="6"/>
        <v>24796800000</v>
      </c>
      <c r="G88" s="70">
        <f t="shared" si="7"/>
        <v>21573216000</v>
      </c>
      <c r="H88" s="70">
        <f t="shared" si="5"/>
        <v>392508115802</v>
      </c>
      <c r="I88" s="134">
        <f>Table2526[[#This Row],[PAY PRICE]]/Table2526[[#This Row],[QTY]]</f>
        <v>256824000</v>
      </c>
      <c r="J88" s="129">
        <f>($F$5-Table2526[[#This Row],[$ Per Plane]])</f>
        <v>38376000</v>
      </c>
      <c r="K88" s="18">
        <f t="shared" si="8"/>
        <v>3223584000</v>
      </c>
      <c r="L88" s="71">
        <f t="shared" si="9"/>
        <v>10.92</v>
      </c>
    </row>
    <row r="89" spans="3:12" ht="15" customHeight="1" x14ac:dyDescent="0.25">
      <c r="C89" s="546">
        <v>13</v>
      </c>
      <c r="D89" s="84">
        <v>85</v>
      </c>
      <c r="E89" s="77">
        <v>0.13</v>
      </c>
      <c r="F89" s="66">
        <f t="shared" si="6"/>
        <v>25092000000</v>
      </c>
      <c r="G89" s="66">
        <f t="shared" si="7"/>
        <v>21830040000</v>
      </c>
      <c r="H89" s="66">
        <f t="shared" si="5"/>
        <v>392251291802</v>
      </c>
      <c r="I89" s="132">
        <f>Table2526[[#This Row],[PAY PRICE]]/Table2526[[#This Row],[QTY]]</f>
        <v>256824000</v>
      </c>
      <c r="J89" s="129">
        <f>($F$5-Table2526[[#This Row],[$ Per Plane]])</f>
        <v>38376000</v>
      </c>
      <c r="K89" s="67">
        <f t="shared" si="8"/>
        <v>3261960000</v>
      </c>
      <c r="L89" s="68">
        <f t="shared" si="9"/>
        <v>11.05</v>
      </c>
    </row>
    <row r="90" spans="3:12" ht="15" customHeight="1" x14ac:dyDescent="0.25">
      <c r="C90" s="547"/>
      <c r="D90" s="81">
        <v>86</v>
      </c>
      <c r="E90" s="78">
        <v>0.13</v>
      </c>
      <c r="F90" s="35">
        <f t="shared" si="6"/>
        <v>25387200000</v>
      </c>
      <c r="G90" s="35">
        <f t="shared" si="7"/>
        <v>22086864000</v>
      </c>
      <c r="H90" s="35">
        <f t="shared" si="5"/>
        <v>391994467802</v>
      </c>
      <c r="I90" s="133">
        <f>Table2526[[#This Row],[PAY PRICE]]/Table2526[[#This Row],[QTY]]</f>
        <v>256824000</v>
      </c>
      <c r="J90" s="129">
        <f>($F$5-Table2526[[#This Row],[$ Per Plane]])</f>
        <v>38376000</v>
      </c>
      <c r="K90" s="36">
        <f t="shared" si="8"/>
        <v>3300336000</v>
      </c>
      <c r="L90" s="69">
        <f t="shared" si="9"/>
        <v>11.18</v>
      </c>
    </row>
    <row r="91" spans="3:12" ht="15" customHeight="1" x14ac:dyDescent="0.25">
      <c r="C91" s="547"/>
      <c r="D91" s="81">
        <v>87</v>
      </c>
      <c r="E91" s="78">
        <v>0.13</v>
      </c>
      <c r="F91" s="35">
        <f t="shared" si="6"/>
        <v>25682400000</v>
      </c>
      <c r="G91" s="35">
        <f t="shared" si="7"/>
        <v>22343688000</v>
      </c>
      <c r="H91" s="35">
        <f t="shared" si="5"/>
        <v>391737643802</v>
      </c>
      <c r="I91" s="133">
        <f>Table2526[[#This Row],[PAY PRICE]]/Table2526[[#This Row],[QTY]]</f>
        <v>256824000</v>
      </c>
      <c r="J91" s="129">
        <f>($F$5-Table2526[[#This Row],[$ Per Plane]])</f>
        <v>38376000</v>
      </c>
      <c r="K91" s="36">
        <f t="shared" si="8"/>
        <v>3338712000</v>
      </c>
      <c r="L91" s="69">
        <f t="shared" si="9"/>
        <v>11.31</v>
      </c>
    </row>
    <row r="92" spans="3:12" ht="15" customHeight="1" x14ac:dyDescent="0.25">
      <c r="C92" s="547"/>
      <c r="D92" s="81">
        <v>88</v>
      </c>
      <c r="E92" s="78">
        <v>0.13</v>
      </c>
      <c r="F92" s="35">
        <f t="shared" si="6"/>
        <v>25977600000</v>
      </c>
      <c r="G92" s="35">
        <f t="shared" si="7"/>
        <v>22600512000</v>
      </c>
      <c r="H92" s="35">
        <f t="shared" si="5"/>
        <v>391480819802</v>
      </c>
      <c r="I92" s="133">
        <f>Table2526[[#This Row],[PAY PRICE]]/Table2526[[#This Row],[QTY]]</f>
        <v>256824000</v>
      </c>
      <c r="J92" s="129">
        <f>($F$5-Table2526[[#This Row],[$ Per Plane]])</f>
        <v>38376000</v>
      </c>
      <c r="K92" s="36">
        <f t="shared" si="8"/>
        <v>3377088000</v>
      </c>
      <c r="L92" s="69">
        <f t="shared" si="9"/>
        <v>11.44</v>
      </c>
    </row>
    <row r="93" spans="3:12" ht="15" customHeight="1" x14ac:dyDescent="0.25">
      <c r="C93" s="547"/>
      <c r="D93" s="81">
        <v>89</v>
      </c>
      <c r="E93" s="78">
        <v>0.13</v>
      </c>
      <c r="F93" s="35">
        <f t="shared" si="6"/>
        <v>26272800000</v>
      </c>
      <c r="G93" s="35">
        <f t="shared" si="7"/>
        <v>22857336000</v>
      </c>
      <c r="H93" s="35">
        <f t="shared" si="5"/>
        <v>391223995802</v>
      </c>
      <c r="I93" s="133">
        <f>Table2526[[#This Row],[PAY PRICE]]/Table2526[[#This Row],[QTY]]</f>
        <v>256824000</v>
      </c>
      <c r="J93" s="129">
        <f>($F$5-Table2526[[#This Row],[$ Per Plane]])</f>
        <v>38376000</v>
      </c>
      <c r="K93" s="36">
        <f t="shared" si="8"/>
        <v>3415464000</v>
      </c>
      <c r="L93" s="69">
        <f t="shared" si="9"/>
        <v>11.57</v>
      </c>
    </row>
    <row r="94" spans="3:12" ht="15" customHeight="1" x14ac:dyDescent="0.25">
      <c r="C94" s="547"/>
      <c r="D94" s="81">
        <v>90</v>
      </c>
      <c r="E94" s="78">
        <v>0.13</v>
      </c>
      <c r="F94" s="35">
        <f t="shared" si="6"/>
        <v>26568000000</v>
      </c>
      <c r="G94" s="35">
        <f t="shared" si="7"/>
        <v>23114160000</v>
      </c>
      <c r="H94" s="35">
        <f t="shared" si="5"/>
        <v>390967171802</v>
      </c>
      <c r="I94" s="133">
        <f>Table2526[[#This Row],[PAY PRICE]]/Table2526[[#This Row],[QTY]]</f>
        <v>256824000</v>
      </c>
      <c r="J94" s="129">
        <f>($F$5-Table2526[[#This Row],[$ Per Plane]])</f>
        <v>38376000</v>
      </c>
      <c r="K94" s="36">
        <f t="shared" si="8"/>
        <v>3453840000</v>
      </c>
      <c r="L94" s="69">
        <f t="shared" si="9"/>
        <v>11.7</v>
      </c>
    </row>
    <row r="95" spans="3:12" ht="15" customHeight="1" thickBot="1" x14ac:dyDescent="0.3">
      <c r="C95" s="548"/>
      <c r="D95" s="83">
        <v>91</v>
      </c>
      <c r="E95" s="79">
        <v>0.13</v>
      </c>
      <c r="F95" s="70">
        <f t="shared" si="6"/>
        <v>26863200000</v>
      </c>
      <c r="G95" s="70">
        <f t="shared" si="7"/>
        <v>23370984000</v>
      </c>
      <c r="H95" s="70">
        <f t="shared" si="5"/>
        <v>390710347802</v>
      </c>
      <c r="I95" s="134">
        <f>Table2526[[#This Row],[PAY PRICE]]/Table2526[[#This Row],[QTY]]</f>
        <v>256824000</v>
      </c>
      <c r="J95" s="129">
        <f>($F$5-Table2526[[#This Row],[$ Per Plane]])</f>
        <v>38376000</v>
      </c>
      <c r="K95" s="18">
        <f t="shared" si="8"/>
        <v>3492216000</v>
      </c>
      <c r="L95" s="71">
        <f t="shared" si="9"/>
        <v>11.83</v>
      </c>
    </row>
    <row r="96" spans="3:12" ht="14.45" customHeight="1" x14ac:dyDescent="0.25">
      <c r="C96" s="546">
        <v>14</v>
      </c>
      <c r="D96" s="84">
        <v>92</v>
      </c>
      <c r="E96" s="77">
        <v>0.13</v>
      </c>
      <c r="F96" s="35">
        <f t="shared" si="6"/>
        <v>27158400000</v>
      </c>
      <c r="G96" s="35">
        <f t="shared" si="7"/>
        <v>23627808000</v>
      </c>
      <c r="H96" s="35">
        <f t="shared" si="5"/>
        <v>390453523802</v>
      </c>
      <c r="I96" s="248">
        <f>Table2526[[#This Row],[PAY PRICE]]/Table2526[[#This Row],[QTY]]</f>
        <v>256824000</v>
      </c>
      <c r="J96" s="129">
        <f>($F$5-Table2526[[#This Row],[$ Per Plane]])</f>
        <v>38376000</v>
      </c>
      <c r="K96" s="36">
        <f t="shared" si="8"/>
        <v>3530592000</v>
      </c>
      <c r="L96" s="247">
        <f t="shared" si="9"/>
        <v>11.96</v>
      </c>
    </row>
    <row r="97" spans="3:12" ht="14.45" customHeight="1" x14ac:dyDescent="0.25">
      <c r="C97" s="547"/>
      <c r="D97" s="81">
        <v>93</v>
      </c>
      <c r="E97" s="78">
        <v>0.13</v>
      </c>
      <c r="F97" s="35">
        <f t="shared" si="6"/>
        <v>27453600000</v>
      </c>
      <c r="G97" s="35">
        <f t="shared" si="7"/>
        <v>23884632000</v>
      </c>
      <c r="H97" s="35">
        <f t="shared" si="5"/>
        <v>390196699802</v>
      </c>
      <c r="I97" s="248">
        <f>Table2526[[#This Row],[PAY PRICE]]/Table2526[[#This Row],[QTY]]</f>
        <v>256824000</v>
      </c>
      <c r="J97" s="129">
        <f>($F$5-Table2526[[#This Row],[$ Per Plane]])</f>
        <v>38376000</v>
      </c>
      <c r="K97" s="36">
        <f t="shared" si="8"/>
        <v>3568968000</v>
      </c>
      <c r="L97" s="247">
        <f t="shared" si="9"/>
        <v>12.09</v>
      </c>
    </row>
    <row r="98" spans="3:12" ht="14.45" customHeight="1" x14ac:dyDescent="0.25">
      <c r="C98" s="547"/>
      <c r="D98" s="81">
        <v>94</v>
      </c>
      <c r="E98" s="78">
        <v>0.13</v>
      </c>
      <c r="F98" s="35">
        <f t="shared" si="6"/>
        <v>27748800000</v>
      </c>
      <c r="G98" s="35">
        <f t="shared" si="7"/>
        <v>24141456000</v>
      </c>
      <c r="H98" s="35">
        <f t="shared" si="5"/>
        <v>389939875802</v>
      </c>
      <c r="I98" s="248">
        <f>Table2526[[#This Row],[PAY PRICE]]/Table2526[[#This Row],[QTY]]</f>
        <v>256824000</v>
      </c>
      <c r="J98" s="129">
        <f>($F$5-Table2526[[#This Row],[$ Per Plane]])</f>
        <v>38376000</v>
      </c>
      <c r="K98" s="36">
        <f t="shared" si="8"/>
        <v>3607344000</v>
      </c>
      <c r="L98" s="247">
        <f t="shared" si="9"/>
        <v>12.22</v>
      </c>
    </row>
    <row r="99" spans="3:12" ht="14.45" customHeight="1" x14ac:dyDescent="0.25">
      <c r="C99" s="547"/>
      <c r="D99" s="81">
        <v>95</v>
      </c>
      <c r="E99" s="78">
        <v>0.13</v>
      </c>
      <c r="F99" s="35">
        <f t="shared" si="6"/>
        <v>28044000000</v>
      </c>
      <c r="G99" s="35">
        <f t="shared" si="7"/>
        <v>24398280000</v>
      </c>
      <c r="H99" s="35">
        <f t="shared" si="5"/>
        <v>389683051802</v>
      </c>
      <c r="I99" s="248">
        <f>Table2526[[#This Row],[PAY PRICE]]/Table2526[[#This Row],[QTY]]</f>
        <v>256824000</v>
      </c>
      <c r="J99" s="129">
        <f>($F$5-Table2526[[#This Row],[$ Per Plane]])</f>
        <v>38376000</v>
      </c>
      <c r="K99" s="36">
        <f t="shared" si="8"/>
        <v>3645720000</v>
      </c>
      <c r="L99" s="247">
        <f t="shared" si="9"/>
        <v>12.35</v>
      </c>
    </row>
    <row r="100" spans="3:12" ht="14.45" customHeight="1" x14ac:dyDescent="0.25">
      <c r="C100" s="547"/>
      <c r="D100" s="81">
        <v>96</v>
      </c>
      <c r="E100" s="78">
        <v>0.13</v>
      </c>
      <c r="F100" s="35">
        <f t="shared" si="6"/>
        <v>28339200000</v>
      </c>
      <c r="G100" s="35">
        <f t="shared" si="7"/>
        <v>24655104000</v>
      </c>
      <c r="H100" s="35">
        <f t="shared" si="5"/>
        <v>389426227802</v>
      </c>
      <c r="I100" s="248">
        <f>Table2526[[#This Row],[PAY PRICE]]/Table2526[[#This Row],[QTY]]</f>
        <v>256824000</v>
      </c>
      <c r="J100" s="129">
        <f>($F$5-Table2526[[#This Row],[$ Per Plane]])</f>
        <v>38376000</v>
      </c>
      <c r="K100" s="36">
        <f t="shared" si="8"/>
        <v>3684096000</v>
      </c>
      <c r="L100" s="247">
        <f t="shared" si="9"/>
        <v>12.48</v>
      </c>
    </row>
    <row r="101" spans="3:12" ht="14.45" customHeight="1" x14ac:dyDescent="0.25">
      <c r="C101" s="547"/>
      <c r="D101" s="81">
        <v>97</v>
      </c>
      <c r="E101" s="78">
        <v>0.13</v>
      </c>
      <c r="F101" s="35">
        <f t="shared" si="6"/>
        <v>28634400000</v>
      </c>
      <c r="G101" s="35">
        <f t="shared" si="7"/>
        <v>24911928000</v>
      </c>
      <c r="H101" s="35">
        <f t="shared" si="5"/>
        <v>389169403802</v>
      </c>
      <c r="I101" s="248">
        <f>Table2526[[#This Row],[PAY PRICE]]/Table2526[[#This Row],[QTY]]</f>
        <v>256824000</v>
      </c>
      <c r="J101" s="129">
        <f>($F$5-Table2526[[#This Row],[$ Per Plane]])</f>
        <v>38376000</v>
      </c>
      <c r="K101" s="36">
        <f t="shared" si="8"/>
        <v>3722472000</v>
      </c>
      <c r="L101" s="247">
        <f t="shared" si="9"/>
        <v>12.61</v>
      </c>
    </row>
    <row r="102" spans="3:12" ht="15" customHeight="1" thickBot="1" x14ac:dyDescent="0.3">
      <c r="C102" s="548"/>
      <c r="D102" s="83">
        <v>98</v>
      </c>
      <c r="E102" s="79">
        <v>0.13</v>
      </c>
      <c r="F102" s="35">
        <f t="shared" si="6"/>
        <v>28929600000</v>
      </c>
      <c r="G102" s="35">
        <f t="shared" si="7"/>
        <v>25168752000</v>
      </c>
      <c r="H102" s="35">
        <f t="shared" si="5"/>
        <v>388912579802</v>
      </c>
      <c r="I102" s="248">
        <f>Table2526[[#This Row],[PAY PRICE]]/Table2526[[#This Row],[QTY]]</f>
        <v>256824000</v>
      </c>
      <c r="J102" s="129">
        <f>($F$5-Table2526[[#This Row],[$ Per Plane]])</f>
        <v>38376000</v>
      </c>
      <c r="K102" s="36">
        <f t="shared" si="8"/>
        <v>3760848000</v>
      </c>
      <c r="L102" s="247">
        <f t="shared" si="9"/>
        <v>12.74</v>
      </c>
    </row>
    <row r="103" spans="3:12" ht="15" x14ac:dyDescent="0.25">
      <c r="C103" s="546">
        <v>15</v>
      </c>
      <c r="D103" s="289">
        <v>99</v>
      </c>
      <c r="E103" s="292">
        <v>0.13</v>
      </c>
      <c r="F103" s="35">
        <f t="shared" si="6"/>
        <v>29224800000</v>
      </c>
      <c r="G103" s="35">
        <f t="shared" si="7"/>
        <v>25425576000</v>
      </c>
      <c r="H103" s="35">
        <f t="shared" si="5"/>
        <v>388655755802</v>
      </c>
      <c r="I103" s="293">
        <f>Table2526[[#This Row],[PAY PRICE]]/Table2526[[#This Row],[QTY]]</f>
        <v>256824000</v>
      </c>
      <c r="J103" s="248">
        <f>($F$5-Table2526[[#This Row],[$ Per Plane]])</f>
        <v>38376000</v>
      </c>
      <c r="K103" s="67">
        <f t="shared" si="8"/>
        <v>3799224000</v>
      </c>
      <c r="L103" s="68">
        <f t="shared" si="9"/>
        <v>12.87</v>
      </c>
    </row>
    <row r="104" spans="3:12" ht="15" x14ac:dyDescent="0.25">
      <c r="C104" s="547"/>
      <c r="D104" s="290">
        <v>100</v>
      </c>
      <c r="E104" s="292">
        <v>0.13</v>
      </c>
      <c r="F104" s="35">
        <f t="shared" si="6"/>
        <v>29520000000</v>
      </c>
      <c r="G104" s="35">
        <f t="shared" si="7"/>
        <v>25682400000</v>
      </c>
      <c r="H104" s="35">
        <f t="shared" si="5"/>
        <v>388398931802</v>
      </c>
      <c r="I104" s="248">
        <f>Table2526[[#This Row],[PAY PRICE]]/Table2526[[#This Row],[QTY]]</f>
        <v>256824000</v>
      </c>
      <c r="J104" s="248">
        <f>($F$5-Table2526[[#This Row],[$ Per Plane]])</f>
        <v>38376000</v>
      </c>
      <c r="K104" s="36">
        <f t="shared" si="8"/>
        <v>3837600000</v>
      </c>
      <c r="L104" s="69">
        <f t="shared" si="9"/>
        <v>13</v>
      </c>
    </row>
    <row r="105" spans="3:12" ht="15" x14ac:dyDescent="0.25">
      <c r="C105" s="547"/>
      <c r="D105" s="290">
        <v>101</v>
      </c>
      <c r="E105" s="292">
        <v>0.13</v>
      </c>
      <c r="F105" s="35">
        <f t="shared" si="6"/>
        <v>29815200000</v>
      </c>
      <c r="G105" s="35">
        <f t="shared" si="7"/>
        <v>25939224000</v>
      </c>
      <c r="H105" s="35">
        <f t="shared" si="5"/>
        <v>388142107802</v>
      </c>
      <c r="I105" s="248">
        <f>Table2526[[#This Row],[PAY PRICE]]/Table2526[[#This Row],[QTY]]</f>
        <v>256824000</v>
      </c>
      <c r="J105" s="248">
        <f>($F$5-Table2526[[#This Row],[$ Per Plane]])</f>
        <v>38376000</v>
      </c>
      <c r="K105" s="36">
        <f t="shared" si="8"/>
        <v>3875976000</v>
      </c>
      <c r="L105" s="69">
        <f t="shared" si="9"/>
        <v>13.13</v>
      </c>
    </row>
    <row r="106" spans="3:12" ht="15" x14ac:dyDescent="0.25">
      <c r="C106" s="547"/>
      <c r="D106" s="290">
        <v>102</v>
      </c>
      <c r="E106" s="292">
        <v>0.13</v>
      </c>
      <c r="F106" s="35">
        <f t="shared" si="6"/>
        <v>30110400000</v>
      </c>
      <c r="G106" s="35">
        <f t="shared" si="7"/>
        <v>26196048000</v>
      </c>
      <c r="H106" s="35">
        <f t="shared" si="5"/>
        <v>387885283802</v>
      </c>
      <c r="I106" s="248">
        <f>Table2526[[#This Row],[PAY PRICE]]/Table2526[[#This Row],[QTY]]</f>
        <v>256824000</v>
      </c>
      <c r="J106" s="248">
        <f>($F$5-Table2526[[#This Row],[$ Per Plane]])</f>
        <v>38376000</v>
      </c>
      <c r="K106" s="36">
        <f t="shared" si="8"/>
        <v>3914352000</v>
      </c>
      <c r="L106" s="69">
        <f t="shared" si="9"/>
        <v>13.26</v>
      </c>
    </row>
    <row r="107" spans="3:12" ht="15" x14ac:dyDescent="0.25">
      <c r="C107" s="547"/>
      <c r="D107" s="290">
        <v>103</v>
      </c>
      <c r="E107" s="292">
        <v>0.13</v>
      </c>
      <c r="F107" s="35">
        <f t="shared" si="6"/>
        <v>30405600000</v>
      </c>
      <c r="G107" s="35">
        <f t="shared" si="7"/>
        <v>26452872000</v>
      </c>
      <c r="H107" s="35">
        <f t="shared" si="5"/>
        <v>387628459802</v>
      </c>
      <c r="I107" s="248">
        <f>Table2526[[#This Row],[PAY PRICE]]/Table2526[[#This Row],[QTY]]</f>
        <v>256824000</v>
      </c>
      <c r="J107" s="248">
        <f>($F$5-Table2526[[#This Row],[$ Per Plane]])</f>
        <v>38376000</v>
      </c>
      <c r="K107" s="36">
        <f t="shared" si="8"/>
        <v>3952728000</v>
      </c>
      <c r="L107" s="69">
        <f t="shared" si="9"/>
        <v>13.39</v>
      </c>
    </row>
    <row r="108" spans="3:12" ht="15" x14ac:dyDescent="0.25">
      <c r="C108" s="547"/>
      <c r="D108" s="290">
        <v>104</v>
      </c>
      <c r="E108" s="292">
        <v>0.13</v>
      </c>
      <c r="F108" s="35">
        <f t="shared" si="6"/>
        <v>30700800000</v>
      </c>
      <c r="G108" s="35">
        <f t="shared" si="7"/>
        <v>26709696000</v>
      </c>
      <c r="H108" s="35">
        <f t="shared" si="5"/>
        <v>387371635802</v>
      </c>
      <c r="I108" s="248">
        <f>Table2526[[#This Row],[PAY PRICE]]/Table2526[[#This Row],[QTY]]</f>
        <v>256824000</v>
      </c>
      <c r="J108" s="248">
        <f>($F$5-Table2526[[#This Row],[$ Per Plane]])</f>
        <v>38376000</v>
      </c>
      <c r="K108" s="36">
        <f t="shared" si="8"/>
        <v>3991104000</v>
      </c>
      <c r="L108" s="69">
        <f t="shared" si="9"/>
        <v>13.52</v>
      </c>
    </row>
    <row r="109" spans="3:12" ht="15.75" thickBot="1" x14ac:dyDescent="0.3">
      <c r="C109" s="548"/>
      <c r="D109" s="291">
        <v>105</v>
      </c>
      <c r="E109" s="292">
        <v>0.13</v>
      </c>
      <c r="F109" s="35">
        <f t="shared" si="6"/>
        <v>30996000000</v>
      </c>
      <c r="G109" s="35">
        <f t="shared" si="7"/>
        <v>26966520000</v>
      </c>
      <c r="H109" s="35">
        <f t="shared" si="5"/>
        <v>387114811802</v>
      </c>
      <c r="I109" s="294">
        <f>Table2526[[#This Row],[PAY PRICE]]/Table2526[[#This Row],[QTY]]</f>
        <v>256824000</v>
      </c>
      <c r="J109" s="248">
        <f>($F$5-Table2526[[#This Row],[$ Per Plane]])</f>
        <v>38376000</v>
      </c>
      <c r="K109" s="18">
        <f t="shared" si="8"/>
        <v>4029480000</v>
      </c>
      <c r="L109" s="71">
        <f t="shared" si="9"/>
        <v>13.65</v>
      </c>
    </row>
    <row r="110" spans="3:12" ht="15" x14ac:dyDescent="0.25">
      <c r="C110" s="546">
        <v>16</v>
      </c>
      <c r="D110" s="289">
        <v>106</v>
      </c>
      <c r="E110" s="292">
        <v>0.13</v>
      </c>
      <c r="F110" s="35">
        <f t="shared" si="6"/>
        <v>31291200000</v>
      </c>
      <c r="G110" s="35">
        <f t="shared" si="7"/>
        <v>27223344000</v>
      </c>
      <c r="H110" s="35">
        <f t="shared" si="5"/>
        <v>386857987802</v>
      </c>
      <c r="I110" s="293">
        <f>Table2526[[#This Row],[PAY PRICE]]/Table2526[[#This Row],[QTY]]</f>
        <v>256824000</v>
      </c>
      <c r="J110" s="248">
        <f>($F$5-Table2526[[#This Row],[$ Per Plane]])</f>
        <v>38376000</v>
      </c>
      <c r="K110" s="67">
        <f t="shared" si="8"/>
        <v>4067856000</v>
      </c>
      <c r="L110" s="68">
        <f t="shared" si="9"/>
        <v>13.78</v>
      </c>
    </row>
    <row r="111" spans="3:12" ht="15" x14ac:dyDescent="0.25">
      <c r="C111" s="547"/>
      <c r="D111" s="290">
        <v>107</v>
      </c>
      <c r="E111" s="292">
        <v>0.13</v>
      </c>
      <c r="F111" s="35">
        <f t="shared" si="6"/>
        <v>31586400000</v>
      </c>
      <c r="G111" s="35">
        <f t="shared" si="7"/>
        <v>27480168000</v>
      </c>
      <c r="H111" s="35">
        <f t="shared" si="5"/>
        <v>386601163802</v>
      </c>
      <c r="I111" s="248">
        <f>Table2526[[#This Row],[PAY PRICE]]/Table2526[[#This Row],[QTY]]</f>
        <v>256824000</v>
      </c>
      <c r="J111" s="248">
        <f>($F$5-Table2526[[#This Row],[$ Per Plane]])</f>
        <v>38376000</v>
      </c>
      <c r="K111" s="36">
        <f t="shared" si="8"/>
        <v>4106232000</v>
      </c>
      <c r="L111" s="69">
        <f t="shared" si="9"/>
        <v>13.91</v>
      </c>
    </row>
    <row r="112" spans="3:12" ht="15" x14ac:dyDescent="0.25">
      <c r="C112" s="547"/>
      <c r="D112" s="290">
        <v>108</v>
      </c>
      <c r="E112" s="292">
        <v>0.13</v>
      </c>
      <c r="F112" s="35">
        <f t="shared" si="6"/>
        <v>31881600000</v>
      </c>
      <c r="G112" s="35">
        <f t="shared" si="7"/>
        <v>27736992000</v>
      </c>
      <c r="H112" s="35">
        <f t="shared" si="5"/>
        <v>386344339802</v>
      </c>
      <c r="I112" s="248">
        <f>Table2526[[#This Row],[PAY PRICE]]/Table2526[[#This Row],[QTY]]</f>
        <v>256824000</v>
      </c>
      <c r="J112" s="248">
        <f>($F$5-Table2526[[#This Row],[$ Per Plane]])</f>
        <v>38376000</v>
      </c>
      <c r="K112" s="36">
        <f t="shared" si="8"/>
        <v>4144608000</v>
      </c>
      <c r="L112" s="69">
        <f t="shared" si="9"/>
        <v>14.04</v>
      </c>
    </row>
    <row r="113" spans="3:12" ht="15" x14ac:dyDescent="0.25">
      <c r="C113" s="547"/>
      <c r="D113" s="290">
        <v>109</v>
      </c>
      <c r="E113" s="292">
        <v>0.13</v>
      </c>
      <c r="F113" s="35">
        <f t="shared" si="6"/>
        <v>32176800000</v>
      </c>
      <c r="G113" s="35">
        <f t="shared" si="7"/>
        <v>27993816000</v>
      </c>
      <c r="H113" s="35">
        <f t="shared" si="5"/>
        <v>386087515802</v>
      </c>
      <c r="I113" s="248">
        <f>Table2526[[#This Row],[PAY PRICE]]/Table2526[[#This Row],[QTY]]</f>
        <v>256824000</v>
      </c>
      <c r="J113" s="248">
        <f>($F$5-Table2526[[#This Row],[$ Per Plane]])</f>
        <v>38376000</v>
      </c>
      <c r="K113" s="36">
        <f t="shared" si="8"/>
        <v>4182984000</v>
      </c>
      <c r="L113" s="69">
        <f t="shared" si="9"/>
        <v>14.17</v>
      </c>
    </row>
    <row r="114" spans="3:12" ht="15" x14ac:dyDescent="0.25">
      <c r="C114" s="547"/>
      <c r="D114" s="290">
        <v>110</v>
      </c>
      <c r="E114" s="292">
        <v>0.13</v>
      </c>
      <c r="F114" s="35">
        <f t="shared" si="6"/>
        <v>32472000000</v>
      </c>
      <c r="G114" s="35">
        <f t="shared" si="7"/>
        <v>28250640000</v>
      </c>
      <c r="H114" s="35">
        <f t="shared" si="5"/>
        <v>385830691802</v>
      </c>
      <c r="I114" s="248">
        <f>Table2526[[#This Row],[PAY PRICE]]/Table2526[[#This Row],[QTY]]</f>
        <v>256824000</v>
      </c>
      <c r="J114" s="248">
        <f>($F$5-Table2526[[#This Row],[$ Per Plane]])</f>
        <v>38376000</v>
      </c>
      <c r="K114" s="36">
        <f t="shared" si="8"/>
        <v>4221360000</v>
      </c>
      <c r="L114" s="69">
        <f t="shared" si="9"/>
        <v>14.3</v>
      </c>
    </row>
    <row r="115" spans="3:12" ht="15" x14ac:dyDescent="0.25">
      <c r="C115" s="547"/>
      <c r="D115" s="290">
        <v>111</v>
      </c>
      <c r="E115" s="292">
        <v>0.13</v>
      </c>
      <c r="F115" s="35">
        <f t="shared" si="6"/>
        <v>32767200000</v>
      </c>
      <c r="G115" s="35">
        <f t="shared" si="7"/>
        <v>28507464000</v>
      </c>
      <c r="H115" s="35">
        <f t="shared" si="5"/>
        <v>385573867802</v>
      </c>
      <c r="I115" s="248">
        <f>Table2526[[#This Row],[PAY PRICE]]/Table2526[[#This Row],[QTY]]</f>
        <v>256824000</v>
      </c>
      <c r="J115" s="248">
        <f>($F$5-Table2526[[#This Row],[$ Per Plane]])</f>
        <v>38376000</v>
      </c>
      <c r="K115" s="36">
        <f t="shared" si="8"/>
        <v>4259736000</v>
      </c>
      <c r="L115" s="69">
        <f t="shared" si="9"/>
        <v>14.43</v>
      </c>
    </row>
    <row r="116" spans="3:12" ht="15.75" thickBot="1" x14ac:dyDescent="0.3">
      <c r="C116" s="548"/>
      <c r="D116" s="291">
        <v>112</v>
      </c>
      <c r="E116" s="292">
        <v>0.13</v>
      </c>
      <c r="F116" s="35">
        <f t="shared" si="6"/>
        <v>33062400000</v>
      </c>
      <c r="G116" s="35">
        <f t="shared" si="7"/>
        <v>28764288000</v>
      </c>
      <c r="H116" s="35">
        <f t="shared" si="5"/>
        <v>385317043802</v>
      </c>
      <c r="I116" s="294">
        <f>Table2526[[#This Row],[PAY PRICE]]/Table2526[[#This Row],[QTY]]</f>
        <v>256824000</v>
      </c>
      <c r="J116" s="248">
        <f>($F$5-Table2526[[#This Row],[$ Per Plane]])</f>
        <v>38376000</v>
      </c>
      <c r="K116" s="18">
        <f t="shared" si="8"/>
        <v>4298112000</v>
      </c>
      <c r="L116" s="71">
        <f t="shared" si="9"/>
        <v>14.56</v>
      </c>
    </row>
    <row r="117" spans="3:12" ht="15" x14ac:dyDescent="0.25">
      <c r="C117" s="546">
        <v>17</v>
      </c>
      <c r="D117" s="289">
        <v>113</v>
      </c>
      <c r="E117" s="292">
        <v>0.13</v>
      </c>
      <c r="F117" s="35">
        <f t="shared" si="6"/>
        <v>33357600000</v>
      </c>
      <c r="G117" s="35">
        <f t="shared" si="7"/>
        <v>29021112000</v>
      </c>
      <c r="H117" s="35">
        <f t="shared" si="5"/>
        <v>385060219802</v>
      </c>
      <c r="I117" s="248">
        <f>Table2526[[#This Row],[PAY PRICE]]/Table2526[[#This Row],[QTY]]</f>
        <v>256824000</v>
      </c>
      <c r="J117" s="248">
        <f>($F$5-Table2526[[#This Row],[$ Per Plane]])</f>
        <v>38376000</v>
      </c>
      <c r="K117" s="36">
        <f t="shared" si="8"/>
        <v>4336488000</v>
      </c>
      <c r="L117" s="247">
        <f t="shared" si="9"/>
        <v>14.69</v>
      </c>
    </row>
    <row r="118" spans="3:12" ht="15" x14ac:dyDescent="0.25">
      <c r="C118" s="547"/>
      <c r="D118" s="290">
        <v>114</v>
      </c>
      <c r="E118" s="292">
        <v>0.13</v>
      </c>
      <c r="F118" s="35">
        <f t="shared" si="6"/>
        <v>33652800000</v>
      </c>
      <c r="G118" s="35">
        <f t="shared" si="7"/>
        <v>29277936000</v>
      </c>
      <c r="H118" s="35">
        <f t="shared" si="5"/>
        <v>384803395802</v>
      </c>
      <c r="I118" s="248">
        <f>Table2526[[#This Row],[PAY PRICE]]/Table2526[[#This Row],[QTY]]</f>
        <v>256824000</v>
      </c>
      <c r="J118" s="248">
        <f>($F$5-Table2526[[#This Row],[$ Per Plane]])</f>
        <v>38376000</v>
      </c>
      <c r="K118" s="36">
        <f t="shared" si="8"/>
        <v>4374864000</v>
      </c>
      <c r="L118" s="247">
        <f t="shared" si="9"/>
        <v>14.82</v>
      </c>
    </row>
    <row r="119" spans="3:12" ht="15" x14ac:dyDescent="0.25">
      <c r="C119" s="547"/>
      <c r="D119" s="290">
        <v>115</v>
      </c>
      <c r="E119" s="292">
        <v>0.13</v>
      </c>
      <c r="F119" s="35">
        <f t="shared" si="6"/>
        <v>33948000000</v>
      </c>
      <c r="G119" s="35">
        <f t="shared" si="7"/>
        <v>29534760000</v>
      </c>
      <c r="H119" s="35">
        <f t="shared" si="5"/>
        <v>384546571802</v>
      </c>
      <c r="I119" s="248">
        <f>Table2526[[#This Row],[PAY PRICE]]/Table2526[[#This Row],[QTY]]</f>
        <v>256824000</v>
      </c>
      <c r="J119" s="248">
        <f>($F$5-Table2526[[#This Row],[$ Per Plane]])</f>
        <v>38376000</v>
      </c>
      <c r="K119" s="36">
        <f t="shared" si="8"/>
        <v>4413240000</v>
      </c>
      <c r="L119" s="247">
        <f t="shared" si="9"/>
        <v>14.95</v>
      </c>
    </row>
    <row r="120" spans="3:12" ht="15" x14ac:dyDescent="0.25">
      <c r="C120" s="547"/>
      <c r="D120" s="290">
        <v>116</v>
      </c>
      <c r="E120" s="292">
        <v>0.13</v>
      </c>
      <c r="F120" s="35">
        <f t="shared" si="6"/>
        <v>34243200000</v>
      </c>
      <c r="G120" s="35">
        <f t="shared" si="7"/>
        <v>29791584000</v>
      </c>
      <c r="H120" s="35">
        <f t="shared" si="5"/>
        <v>384289747802</v>
      </c>
      <c r="I120" s="248">
        <f>Table2526[[#This Row],[PAY PRICE]]/Table2526[[#This Row],[QTY]]</f>
        <v>256824000</v>
      </c>
      <c r="J120" s="248">
        <f>($F$5-Table2526[[#This Row],[$ Per Plane]])</f>
        <v>38376000</v>
      </c>
      <c r="K120" s="36">
        <f t="shared" si="8"/>
        <v>4451616000</v>
      </c>
      <c r="L120" s="247">
        <f t="shared" si="9"/>
        <v>15.08</v>
      </c>
    </row>
    <row r="121" spans="3:12" ht="15" x14ac:dyDescent="0.25">
      <c r="C121" s="547"/>
      <c r="D121" s="290">
        <v>117</v>
      </c>
      <c r="E121" s="292">
        <v>0.13</v>
      </c>
      <c r="F121" s="35">
        <f t="shared" si="6"/>
        <v>34538400000</v>
      </c>
      <c r="G121" s="35">
        <f t="shared" si="7"/>
        <v>30048408000</v>
      </c>
      <c r="H121" s="35">
        <f t="shared" si="5"/>
        <v>384032923802</v>
      </c>
      <c r="I121" s="248">
        <f>Table2526[[#This Row],[PAY PRICE]]/Table2526[[#This Row],[QTY]]</f>
        <v>256824000</v>
      </c>
      <c r="J121" s="248">
        <f>($F$5-Table2526[[#This Row],[$ Per Plane]])</f>
        <v>38376000</v>
      </c>
      <c r="K121" s="36">
        <f t="shared" si="8"/>
        <v>4489992000</v>
      </c>
      <c r="L121" s="247">
        <f t="shared" si="9"/>
        <v>15.21</v>
      </c>
    </row>
    <row r="122" spans="3:12" ht="15" x14ac:dyDescent="0.25">
      <c r="C122" s="547"/>
      <c r="D122" s="290">
        <v>118</v>
      </c>
      <c r="E122" s="292">
        <v>0.13</v>
      </c>
      <c r="F122" s="35">
        <f t="shared" si="6"/>
        <v>34833600000</v>
      </c>
      <c r="G122" s="35">
        <f t="shared" si="7"/>
        <v>30305232000</v>
      </c>
      <c r="H122" s="35">
        <f t="shared" si="5"/>
        <v>383776099802</v>
      </c>
      <c r="I122" s="248">
        <f>Table2526[[#This Row],[PAY PRICE]]/Table2526[[#This Row],[QTY]]</f>
        <v>256824000</v>
      </c>
      <c r="J122" s="248">
        <f>($F$5-Table2526[[#This Row],[$ Per Plane]])</f>
        <v>38376000</v>
      </c>
      <c r="K122" s="36">
        <f t="shared" si="8"/>
        <v>4528368000</v>
      </c>
      <c r="L122" s="247">
        <f t="shared" si="9"/>
        <v>15.34</v>
      </c>
    </row>
    <row r="123" spans="3:12" ht="15.75" thickBot="1" x14ac:dyDescent="0.3">
      <c r="C123" s="548"/>
      <c r="D123" s="291">
        <v>119</v>
      </c>
      <c r="E123" s="292">
        <v>0.13</v>
      </c>
      <c r="F123" s="35">
        <f t="shared" si="6"/>
        <v>35128800000</v>
      </c>
      <c r="G123" s="35">
        <f t="shared" si="7"/>
        <v>30562056000</v>
      </c>
      <c r="H123" s="35">
        <f t="shared" si="5"/>
        <v>383519275802</v>
      </c>
      <c r="I123" s="248">
        <f>Table2526[[#This Row],[PAY PRICE]]/Table2526[[#This Row],[QTY]]</f>
        <v>256824000</v>
      </c>
      <c r="J123" s="248">
        <f>($F$5-Table2526[[#This Row],[$ Per Plane]])</f>
        <v>38376000</v>
      </c>
      <c r="K123" s="36">
        <f t="shared" si="8"/>
        <v>4566744000</v>
      </c>
      <c r="L123" s="247">
        <f t="shared" si="9"/>
        <v>15.47</v>
      </c>
    </row>
    <row r="124" spans="3:12" ht="15" x14ac:dyDescent="0.25">
      <c r="C124" s="546">
        <v>18</v>
      </c>
      <c r="D124" s="289">
        <v>120</v>
      </c>
      <c r="E124" s="292">
        <v>0.13</v>
      </c>
      <c r="F124" s="35">
        <f t="shared" si="6"/>
        <v>35424000000</v>
      </c>
      <c r="G124" s="35">
        <f t="shared" si="7"/>
        <v>30818880000</v>
      </c>
      <c r="H124" s="35">
        <f t="shared" si="5"/>
        <v>383262451802</v>
      </c>
      <c r="I124" s="293">
        <f>Table2526[[#This Row],[PAY PRICE]]/Table2526[[#This Row],[QTY]]</f>
        <v>256824000</v>
      </c>
      <c r="J124" s="248">
        <f>($F$5-Table2526[[#This Row],[$ Per Plane]])</f>
        <v>38376000</v>
      </c>
      <c r="K124" s="67">
        <f t="shared" si="8"/>
        <v>4605120000</v>
      </c>
      <c r="L124" s="68">
        <f t="shared" si="9"/>
        <v>15.6</v>
      </c>
    </row>
    <row r="125" spans="3:12" ht="15" x14ac:dyDescent="0.25">
      <c r="C125" s="547"/>
      <c r="D125" s="290">
        <v>121</v>
      </c>
      <c r="E125" s="292">
        <v>0.13</v>
      </c>
      <c r="F125" s="35">
        <f t="shared" si="6"/>
        <v>35719200000</v>
      </c>
      <c r="G125" s="35">
        <f t="shared" si="7"/>
        <v>31075704000</v>
      </c>
      <c r="H125" s="35">
        <f t="shared" si="5"/>
        <v>383005627802</v>
      </c>
      <c r="I125" s="248">
        <f>Table2526[[#This Row],[PAY PRICE]]/Table2526[[#This Row],[QTY]]</f>
        <v>256824000</v>
      </c>
      <c r="J125" s="248">
        <f>($F$5-Table2526[[#This Row],[$ Per Plane]])</f>
        <v>38376000</v>
      </c>
      <c r="K125" s="36">
        <f t="shared" si="8"/>
        <v>4643496000</v>
      </c>
      <c r="L125" s="69">
        <f t="shared" si="9"/>
        <v>15.73</v>
      </c>
    </row>
    <row r="126" spans="3:12" ht="15" x14ac:dyDescent="0.25">
      <c r="C126" s="547"/>
      <c r="D126" s="290">
        <v>122</v>
      </c>
      <c r="E126" s="292">
        <v>0.13</v>
      </c>
      <c r="F126" s="35">
        <f t="shared" si="6"/>
        <v>36014400000</v>
      </c>
      <c r="G126" s="35">
        <f t="shared" si="7"/>
        <v>31332528000</v>
      </c>
      <c r="H126" s="35">
        <f t="shared" si="5"/>
        <v>382748803802</v>
      </c>
      <c r="I126" s="248">
        <f>Table2526[[#This Row],[PAY PRICE]]/Table2526[[#This Row],[QTY]]</f>
        <v>256824000</v>
      </c>
      <c r="J126" s="248">
        <f>($F$5-Table2526[[#This Row],[$ Per Plane]])</f>
        <v>38376000</v>
      </c>
      <c r="K126" s="36">
        <f t="shared" si="8"/>
        <v>4681872000</v>
      </c>
      <c r="L126" s="69">
        <f t="shared" si="9"/>
        <v>15.86</v>
      </c>
    </row>
    <row r="127" spans="3:12" ht="15" x14ac:dyDescent="0.25">
      <c r="C127" s="547"/>
      <c r="D127" s="290">
        <v>123</v>
      </c>
      <c r="E127" s="292">
        <v>0.13</v>
      </c>
      <c r="F127" s="35">
        <f t="shared" si="6"/>
        <v>36309600000</v>
      </c>
      <c r="G127" s="35">
        <f t="shared" si="7"/>
        <v>31589352000</v>
      </c>
      <c r="H127" s="35">
        <f t="shared" si="5"/>
        <v>382491979802</v>
      </c>
      <c r="I127" s="248">
        <f>Table2526[[#This Row],[PAY PRICE]]/Table2526[[#This Row],[QTY]]</f>
        <v>256824000</v>
      </c>
      <c r="J127" s="248">
        <f>($F$5-Table2526[[#This Row],[$ Per Plane]])</f>
        <v>38376000</v>
      </c>
      <c r="K127" s="36">
        <f t="shared" si="8"/>
        <v>4720248000</v>
      </c>
      <c r="L127" s="69">
        <f t="shared" si="9"/>
        <v>15.99</v>
      </c>
    </row>
    <row r="128" spans="3:12" ht="15" x14ac:dyDescent="0.25">
      <c r="C128" s="547"/>
      <c r="D128" s="290">
        <v>124</v>
      </c>
      <c r="E128" s="292">
        <v>0.13</v>
      </c>
      <c r="F128" s="35">
        <f t="shared" si="6"/>
        <v>36604800000</v>
      </c>
      <c r="G128" s="35">
        <f t="shared" si="7"/>
        <v>31846176000</v>
      </c>
      <c r="H128" s="35">
        <f t="shared" si="5"/>
        <v>382235155802</v>
      </c>
      <c r="I128" s="248">
        <f>Table2526[[#This Row],[PAY PRICE]]/Table2526[[#This Row],[QTY]]</f>
        <v>256824000</v>
      </c>
      <c r="J128" s="248">
        <f>($F$5-Table2526[[#This Row],[$ Per Plane]])</f>
        <v>38376000</v>
      </c>
      <c r="K128" s="36">
        <f t="shared" si="8"/>
        <v>4758624000</v>
      </c>
      <c r="L128" s="69">
        <f t="shared" si="9"/>
        <v>16.12</v>
      </c>
    </row>
    <row r="129" spans="3:12" ht="15" x14ac:dyDescent="0.25">
      <c r="C129" s="547"/>
      <c r="D129" s="290">
        <v>125</v>
      </c>
      <c r="E129" s="292">
        <v>0.13</v>
      </c>
      <c r="F129" s="35">
        <f t="shared" si="6"/>
        <v>36900000000</v>
      </c>
      <c r="G129" s="35">
        <f t="shared" si="7"/>
        <v>32103000000</v>
      </c>
      <c r="H129" s="35">
        <f t="shared" si="5"/>
        <v>381978331802</v>
      </c>
      <c r="I129" s="248">
        <f>Table2526[[#This Row],[PAY PRICE]]/Table2526[[#This Row],[QTY]]</f>
        <v>256824000</v>
      </c>
      <c r="J129" s="248">
        <f>($F$5-Table2526[[#This Row],[$ Per Plane]])</f>
        <v>38376000</v>
      </c>
      <c r="K129" s="36">
        <f t="shared" si="8"/>
        <v>4797000000</v>
      </c>
      <c r="L129" s="69">
        <f t="shared" si="9"/>
        <v>16.25</v>
      </c>
    </row>
    <row r="130" spans="3:12" ht="15.75" thickBot="1" x14ac:dyDescent="0.3">
      <c r="C130" s="548"/>
      <c r="D130" s="291">
        <v>126</v>
      </c>
      <c r="E130" s="292">
        <v>0.13</v>
      </c>
      <c r="F130" s="35">
        <f t="shared" si="6"/>
        <v>37195200000</v>
      </c>
      <c r="G130" s="35">
        <f t="shared" si="7"/>
        <v>32359824000</v>
      </c>
      <c r="H130" s="35">
        <f t="shared" si="5"/>
        <v>381721507802</v>
      </c>
      <c r="I130" s="294">
        <f>Table2526[[#This Row],[PAY PRICE]]/Table2526[[#This Row],[QTY]]</f>
        <v>256824000</v>
      </c>
      <c r="J130" s="248">
        <f>($F$5-Table2526[[#This Row],[$ Per Plane]])</f>
        <v>38376000</v>
      </c>
      <c r="K130" s="18">
        <f t="shared" si="8"/>
        <v>4835376000</v>
      </c>
      <c r="L130" s="71">
        <f t="shared" si="9"/>
        <v>16.38</v>
      </c>
    </row>
    <row r="131" spans="3:12" ht="15" x14ac:dyDescent="0.25">
      <c r="C131" s="546">
        <v>19</v>
      </c>
      <c r="D131" s="289">
        <v>127</v>
      </c>
      <c r="E131" s="292">
        <v>0.13</v>
      </c>
      <c r="F131" s="35">
        <f t="shared" si="6"/>
        <v>37490400000</v>
      </c>
      <c r="G131" s="35">
        <f t="shared" si="7"/>
        <v>32616648000</v>
      </c>
      <c r="H131" s="35">
        <f t="shared" si="5"/>
        <v>381464683802</v>
      </c>
      <c r="I131" s="293">
        <f>Table2526[[#This Row],[PAY PRICE]]/Table2526[[#This Row],[QTY]]</f>
        <v>256824000</v>
      </c>
      <c r="J131" s="248">
        <f>($F$5-Table2526[[#This Row],[$ Per Plane]])</f>
        <v>38376000</v>
      </c>
      <c r="K131" s="67">
        <f t="shared" si="8"/>
        <v>4873752000</v>
      </c>
      <c r="L131" s="68">
        <f t="shared" si="9"/>
        <v>16.510000000000002</v>
      </c>
    </row>
    <row r="132" spans="3:12" ht="15" x14ac:dyDescent="0.25">
      <c r="C132" s="547"/>
      <c r="D132" s="290">
        <v>128</v>
      </c>
      <c r="E132" s="292">
        <v>0.13</v>
      </c>
      <c r="F132" s="35">
        <f t="shared" si="6"/>
        <v>37785600000</v>
      </c>
      <c r="G132" s="35">
        <f t="shared" si="7"/>
        <v>32873472000</v>
      </c>
      <c r="H132" s="35">
        <f t="shared" si="5"/>
        <v>381207859802</v>
      </c>
      <c r="I132" s="248">
        <f>Table2526[[#This Row],[PAY PRICE]]/Table2526[[#This Row],[QTY]]</f>
        <v>256824000</v>
      </c>
      <c r="J132" s="248">
        <f>($F$5-Table2526[[#This Row],[$ Per Plane]])</f>
        <v>38376000</v>
      </c>
      <c r="K132" s="36">
        <f t="shared" si="8"/>
        <v>4912128000</v>
      </c>
      <c r="L132" s="69">
        <f t="shared" si="9"/>
        <v>16.64</v>
      </c>
    </row>
    <row r="133" spans="3:12" ht="15" x14ac:dyDescent="0.25">
      <c r="C133" s="547"/>
      <c r="D133" s="290">
        <v>129</v>
      </c>
      <c r="E133" s="292">
        <v>0.13</v>
      </c>
      <c r="F133" s="35">
        <f t="shared" si="6"/>
        <v>38080800000</v>
      </c>
      <c r="G133" s="35">
        <f t="shared" si="7"/>
        <v>33130296000</v>
      </c>
      <c r="H133" s="35">
        <f t="shared" ref="H133:H144" si="10">$H$2-G133</f>
        <v>380951035802</v>
      </c>
      <c r="I133" s="248">
        <f>Table2526[[#This Row],[PAY PRICE]]/Table2526[[#This Row],[QTY]]</f>
        <v>256824000</v>
      </c>
      <c r="J133" s="248">
        <f>($F$5-Table2526[[#This Row],[$ Per Plane]])</f>
        <v>38376000</v>
      </c>
      <c r="K133" s="36">
        <f t="shared" si="8"/>
        <v>4950504000</v>
      </c>
      <c r="L133" s="69">
        <f t="shared" si="9"/>
        <v>16.77</v>
      </c>
    </row>
    <row r="134" spans="3:12" ht="15" x14ac:dyDescent="0.25">
      <c r="C134" s="547"/>
      <c r="D134" s="290">
        <v>130</v>
      </c>
      <c r="E134" s="292">
        <v>0.13</v>
      </c>
      <c r="F134" s="35">
        <f t="shared" ref="F134:F144" si="11">$F$5*D134</f>
        <v>38376000000</v>
      </c>
      <c r="G134" s="35">
        <f t="shared" ref="G134:G144" si="12">F134*(1-E134)</f>
        <v>33387120000</v>
      </c>
      <c r="H134" s="35">
        <f t="shared" si="10"/>
        <v>380694211802</v>
      </c>
      <c r="I134" s="248">
        <f>Table2526[[#This Row],[PAY PRICE]]/Table2526[[#This Row],[QTY]]</f>
        <v>256824000</v>
      </c>
      <c r="J134" s="248">
        <f>($F$5-Table2526[[#This Row],[$ Per Plane]])</f>
        <v>38376000</v>
      </c>
      <c r="K134" s="36">
        <f t="shared" ref="K134:K144" si="13">($F$5*D134)-G134</f>
        <v>4988880000</v>
      </c>
      <c r="L134" s="69">
        <f t="shared" ref="L134:L144" si="14">K134/$F$5</f>
        <v>16.899999999999999</v>
      </c>
    </row>
    <row r="135" spans="3:12" ht="15" x14ac:dyDescent="0.25">
      <c r="C135" s="547"/>
      <c r="D135" s="290">
        <v>131</v>
      </c>
      <c r="E135" s="292">
        <v>0.13</v>
      </c>
      <c r="F135" s="35">
        <f t="shared" si="11"/>
        <v>38671200000</v>
      </c>
      <c r="G135" s="35">
        <f t="shared" si="12"/>
        <v>33643944000</v>
      </c>
      <c r="H135" s="35">
        <f t="shared" si="10"/>
        <v>380437387802</v>
      </c>
      <c r="I135" s="248">
        <f>Table2526[[#This Row],[PAY PRICE]]/Table2526[[#This Row],[QTY]]</f>
        <v>256824000</v>
      </c>
      <c r="J135" s="248">
        <f>($F$5-Table2526[[#This Row],[$ Per Plane]])</f>
        <v>38376000</v>
      </c>
      <c r="K135" s="36">
        <f t="shared" si="13"/>
        <v>5027256000</v>
      </c>
      <c r="L135" s="69">
        <f t="shared" si="14"/>
        <v>17.03</v>
      </c>
    </row>
    <row r="136" spans="3:12" ht="15" x14ac:dyDescent="0.25">
      <c r="C136" s="547"/>
      <c r="D136" s="290">
        <v>132</v>
      </c>
      <c r="E136" s="292">
        <v>0.13</v>
      </c>
      <c r="F136" s="35">
        <f t="shared" si="11"/>
        <v>38966400000</v>
      </c>
      <c r="G136" s="35">
        <f t="shared" si="12"/>
        <v>33900768000</v>
      </c>
      <c r="H136" s="35">
        <f t="shared" si="10"/>
        <v>380180563802</v>
      </c>
      <c r="I136" s="248">
        <f>Table2526[[#This Row],[PAY PRICE]]/Table2526[[#This Row],[QTY]]</f>
        <v>256824000</v>
      </c>
      <c r="J136" s="248">
        <f>($F$5-Table2526[[#This Row],[$ Per Plane]])</f>
        <v>38376000</v>
      </c>
      <c r="K136" s="36">
        <f t="shared" si="13"/>
        <v>5065632000</v>
      </c>
      <c r="L136" s="69">
        <f t="shared" si="14"/>
        <v>17.16</v>
      </c>
    </row>
    <row r="137" spans="3:12" ht="15.75" thickBot="1" x14ac:dyDescent="0.3">
      <c r="C137" s="548"/>
      <c r="D137" s="291">
        <v>133</v>
      </c>
      <c r="E137" s="292">
        <v>0.13</v>
      </c>
      <c r="F137" s="35">
        <f t="shared" si="11"/>
        <v>39261600000</v>
      </c>
      <c r="G137" s="35">
        <f t="shared" si="12"/>
        <v>34157592000</v>
      </c>
      <c r="H137" s="35">
        <f t="shared" si="10"/>
        <v>379923739802</v>
      </c>
      <c r="I137" s="294">
        <f>Table2526[[#This Row],[PAY PRICE]]/Table2526[[#This Row],[QTY]]</f>
        <v>256824000</v>
      </c>
      <c r="J137" s="248">
        <f>($F$5-Table2526[[#This Row],[$ Per Plane]])</f>
        <v>38376000</v>
      </c>
      <c r="K137" s="18">
        <f t="shared" si="13"/>
        <v>5104008000</v>
      </c>
      <c r="L137" s="71">
        <f t="shared" si="14"/>
        <v>17.29</v>
      </c>
    </row>
    <row r="138" spans="3:12" ht="15" x14ac:dyDescent="0.25">
      <c r="C138" s="546">
        <v>20</v>
      </c>
      <c r="D138" s="289">
        <v>134</v>
      </c>
      <c r="E138" s="292">
        <v>0.13</v>
      </c>
      <c r="F138" s="35">
        <f t="shared" si="11"/>
        <v>39556800000</v>
      </c>
      <c r="G138" s="35">
        <f t="shared" si="12"/>
        <v>34414416000</v>
      </c>
      <c r="H138" s="35">
        <f t="shared" si="10"/>
        <v>379666915802</v>
      </c>
      <c r="I138" s="248">
        <f>Table2526[[#This Row],[PAY PRICE]]/Table2526[[#This Row],[QTY]]</f>
        <v>256824000</v>
      </c>
      <c r="J138" s="248">
        <f>($F$5-Table2526[[#This Row],[$ Per Plane]])</f>
        <v>38376000</v>
      </c>
      <c r="K138" s="36">
        <f t="shared" si="13"/>
        <v>5142384000</v>
      </c>
      <c r="L138" s="247">
        <f t="shared" si="14"/>
        <v>17.420000000000002</v>
      </c>
    </row>
    <row r="139" spans="3:12" ht="15" x14ac:dyDescent="0.25">
      <c r="C139" s="547"/>
      <c r="D139" s="290">
        <v>135</v>
      </c>
      <c r="E139" s="292">
        <v>0.13</v>
      </c>
      <c r="F139" s="35">
        <f t="shared" si="11"/>
        <v>39852000000</v>
      </c>
      <c r="G139" s="35">
        <f t="shared" si="12"/>
        <v>34671240000</v>
      </c>
      <c r="H139" s="35">
        <f t="shared" si="10"/>
        <v>379410091802</v>
      </c>
      <c r="I139" s="248">
        <f>Table2526[[#This Row],[PAY PRICE]]/Table2526[[#This Row],[QTY]]</f>
        <v>256824000</v>
      </c>
      <c r="J139" s="248">
        <f>($F$5-Table2526[[#This Row],[$ Per Plane]])</f>
        <v>38376000</v>
      </c>
      <c r="K139" s="36">
        <f t="shared" si="13"/>
        <v>5180760000</v>
      </c>
      <c r="L139" s="247">
        <f t="shared" si="14"/>
        <v>17.55</v>
      </c>
    </row>
    <row r="140" spans="3:12" ht="15" x14ac:dyDescent="0.25">
      <c r="C140" s="547"/>
      <c r="D140" s="290">
        <v>136</v>
      </c>
      <c r="E140" s="292">
        <v>0.13</v>
      </c>
      <c r="F140" s="35">
        <f t="shared" si="11"/>
        <v>40147200000</v>
      </c>
      <c r="G140" s="35">
        <f t="shared" si="12"/>
        <v>34928064000</v>
      </c>
      <c r="H140" s="35">
        <f t="shared" si="10"/>
        <v>379153267802</v>
      </c>
      <c r="I140" s="248">
        <f>Table2526[[#This Row],[PAY PRICE]]/Table2526[[#This Row],[QTY]]</f>
        <v>256824000</v>
      </c>
      <c r="J140" s="248">
        <f>($F$5-Table2526[[#This Row],[$ Per Plane]])</f>
        <v>38376000</v>
      </c>
      <c r="K140" s="36">
        <f t="shared" si="13"/>
        <v>5219136000</v>
      </c>
      <c r="L140" s="247">
        <f t="shared" si="14"/>
        <v>17.68</v>
      </c>
    </row>
    <row r="141" spans="3:12" ht="15" x14ac:dyDescent="0.25">
      <c r="C141" s="547"/>
      <c r="D141" s="290">
        <v>137</v>
      </c>
      <c r="E141" s="292">
        <v>0.13</v>
      </c>
      <c r="F141" s="35">
        <f t="shared" si="11"/>
        <v>40442400000</v>
      </c>
      <c r="G141" s="35">
        <f t="shared" si="12"/>
        <v>35184888000</v>
      </c>
      <c r="H141" s="35">
        <f t="shared" si="10"/>
        <v>378896443802</v>
      </c>
      <c r="I141" s="248">
        <f>Table2526[[#This Row],[PAY PRICE]]/Table2526[[#This Row],[QTY]]</f>
        <v>256824000</v>
      </c>
      <c r="J141" s="248">
        <f>($F$5-Table2526[[#This Row],[$ Per Plane]])</f>
        <v>38376000</v>
      </c>
      <c r="K141" s="36">
        <f t="shared" si="13"/>
        <v>5257512000</v>
      </c>
      <c r="L141" s="247">
        <f t="shared" si="14"/>
        <v>17.809999999999999</v>
      </c>
    </row>
    <row r="142" spans="3:12" ht="15" x14ac:dyDescent="0.25">
      <c r="C142" s="547"/>
      <c r="D142" s="290">
        <v>138</v>
      </c>
      <c r="E142" s="292">
        <v>0.13</v>
      </c>
      <c r="F142" s="35">
        <f t="shared" si="11"/>
        <v>40737600000</v>
      </c>
      <c r="G142" s="35">
        <f t="shared" si="12"/>
        <v>35441712000</v>
      </c>
      <c r="H142" s="35">
        <f t="shared" si="10"/>
        <v>378639619802</v>
      </c>
      <c r="I142" s="248">
        <f>Table2526[[#This Row],[PAY PRICE]]/Table2526[[#This Row],[QTY]]</f>
        <v>256824000</v>
      </c>
      <c r="J142" s="248">
        <f>($F$5-Table2526[[#This Row],[$ Per Plane]])</f>
        <v>38376000</v>
      </c>
      <c r="K142" s="36">
        <f t="shared" si="13"/>
        <v>5295888000</v>
      </c>
      <c r="L142" s="247">
        <f t="shared" si="14"/>
        <v>17.940000000000001</v>
      </c>
    </row>
    <row r="143" spans="3:12" ht="15" x14ac:dyDescent="0.25">
      <c r="C143" s="547"/>
      <c r="D143" s="290">
        <v>139</v>
      </c>
      <c r="E143" s="292">
        <v>0.13</v>
      </c>
      <c r="F143" s="35">
        <f t="shared" si="11"/>
        <v>41032800000</v>
      </c>
      <c r="G143" s="35">
        <f t="shared" si="12"/>
        <v>35698536000</v>
      </c>
      <c r="H143" s="35">
        <f t="shared" si="10"/>
        <v>378382795802</v>
      </c>
      <c r="I143" s="248">
        <f>Table2526[[#This Row],[PAY PRICE]]/Table2526[[#This Row],[QTY]]</f>
        <v>256824000</v>
      </c>
      <c r="J143" s="248">
        <f>($F$5-Table2526[[#This Row],[$ Per Plane]])</f>
        <v>38376000</v>
      </c>
      <c r="K143" s="36">
        <f t="shared" si="13"/>
        <v>5334264000</v>
      </c>
      <c r="L143" s="247">
        <f t="shared" si="14"/>
        <v>18.07</v>
      </c>
    </row>
    <row r="144" spans="3:12" ht="15.75" thickBot="1" x14ac:dyDescent="0.3">
      <c r="C144" s="548"/>
      <c r="D144" s="290">
        <v>140</v>
      </c>
      <c r="E144" s="295">
        <v>0.13</v>
      </c>
      <c r="F144" s="296">
        <f t="shared" si="11"/>
        <v>41328000000</v>
      </c>
      <c r="G144" s="296">
        <f t="shared" si="12"/>
        <v>35955360000</v>
      </c>
      <c r="H144" s="296">
        <f t="shared" si="10"/>
        <v>378125971802</v>
      </c>
      <c r="I144" s="248">
        <f>Table2526[[#This Row],[PAY PRICE]]/Table2526[[#This Row],[QTY]]</f>
        <v>256824000</v>
      </c>
      <c r="J144" s="248">
        <f>($F$5-Table2526[[#This Row],[$ Per Plane]])</f>
        <v>38376000</v>
      </c>
      <c r="K144" s="36">
        <f t="shared" si="13"/>
        <v>5372640000</v>
      </c>
      <c r="L144" s="247">
        <f t="shared" si="14"/>
        <v>18.2</v>
      </c>
    </row>
  </sheetData>
  <mergeCells count="20">
    <mergeCell ref="C82:C88"/>
    <mergeCell ref="C5:C11"/>
    <mergeCell ref="C12:C18"/>
    <mergeCell ref="C19:C25"/>
    <mergeCell ref="C26:C32"/>
    <mergeCell ref="C33:C39"/>
    <mergeCell ref="C40:C46"/>
    <mergeCell ref="C47:C53"/>
    <mergeCell ref="C54:C60"/>
    <mergeCell ref="C61:C67"/>
    <mergeCell ref="C68:C74"/>
    <mergeCell ref="C75:C81"/>
    <mergeCell ref="C131:C137"/>
    <mergeCell ref="C138:C144"/>
    <mergeCell ref="C89:C95"/>
    <mergeCell ref="C96:C102"/>
    <mergeCell ref="C103:C109"/>
    <mergeCell ref="C110:C116"/>
    <mergeCell ref="C117:C123"/>
    <mergeCell ref="C124:C130"/>
  </mergeCells>
  <conditionalFormatting sqref="H5:H144">
    <cfRule type="cellIs" dxfId="125" priority="1" operator="lessThan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B1D62-33ED-4AAD-9AA7-C30A2A7C2298}">
  <dimension ref="A1:C3504"/>
  <sheetViews>
    <sheetView workbookViewId="0">
      <selection activeCell="H2" sqref="H2"/>
    </sheetView>
  </sheetViews>
  <sheetFormatPr defaultColWidth="14.42578125" defaultRowHeight="15" customHeight="1" x14ac:dyDescent="0.25"/>
  <cols>
    <col min="1" max="1" width="7.7109375" style="1" customWidth="1"/>
    <col min="2" max="2" width="31.7109375" style="1" customWidth="1"/>
    <col min="3" max="3" width="42.7109375" style="1" customWidth="1"/>
    <col min="4" max="16384" width="14.42578125" style="1"/>
  </cols>
  <sheetData>
    <row r="1" spans="1:3" x14ac:dyDescent="0.25">
      <c r="A1" s="1" t="s">
        <v>466</v>
      </c>
      <c r="B1" s="1" t="s">
        <v>463</v>
      </c>
      <c r="C1" s="1" t="s">
        <v>464</v>
      </c>
    </row>
    <row r="2" spans="1:3" x14ac:dyDescent="0.25">
      <c r="A2" s="1" t="s">
        <v>1126</v>
      </c>
      <c r="B2" s="1" t="s">
        <v>11024</v>
      </c>
      <c r="C2" s="1" t="s">
        <v>6784</v>
      </c>
    </row>
    <row r="3" spans="1:3" x14ac:dyDescent="0.25">
      <c r="A3" s="1" t="s">
        <v>4054</v>
      </c>
      <c r="B3" s="1" t="s">
        <v>11023</v>
      </c>
      <c r="C3" s="1" t="s">
        <v>7070</v>
      </c>
    </row>
    <row r="4" spans="1:3" x14ac:dyDescent="0.25">
      <c r="A4" s="1" t="s">
        <v>11022</v>
      </c>
      <c r="B4" s="1" t="s">
        <v>11021</v>
      </c>
      <c r="C4" s="1" t="s">
        <v>6468</v>
      </c>
    </row>
    <row r="5" spans="1:3" x14ac:dyDescent="0.25">
      <c r="A5" s="1" t="s">
        <v>4772</v>
      </c>
      <c r="B5" s="1" t="s">
        <v>11020</v>
      </c>
      <c r="C5" s="1" t="s">
        <v>5896</v>
      </c>
    </row>
    <row r="6" spans="1:3" ht="15.75" customHeight="1" x14ac:dyDescent="0.25">
      <c r="A6" s="1" t="s">
        <v>2872</v>
      </c>
      <c r="B6" s="1" t="s">
        <v>11019</v>
      </c>
      <c r="C6" s="1" t="s">
        <v>7558</v>
      </c>
    </row>
    <row r="7" spans="1:3" ht="15.75" customHeight="1" x14ac:dyDescent="0.25">
      <c r="A7" s="1" t="s">
        <v>4227</v>
      </c>
      <c r="B7" s="1" t="s">
        <v>11018</v>
      </c>
      <c r="C7" s="1" t="s">
        <v>6122</v>
      </c>
    </row>
    <row r="8" spans="1:3" ht="15.75" customHeight="1" x14ac:dyDescent="0.25">
      <c r="A8" s="1" t="s">
        <v>4164</v>
      </c>
      <c r="B8" s="1" t="s">
        <v>5851</v>
      </c>
      <c r="C8" s="1" t="s">
        <v>11017</v>
      </c>
    </row>
    <row r="9" spans="1:3" ht="15.75" customHeight="1" x14ac:dyDescent="0.25">
      <c r="A9" s="1" t="s">
        <v>2605</v>
      </c>
      <c r="B9" s="1" t="s">
        <v>11016</v>
      </c>
      <c r="C9" s="1" t="s">
        <v>5796</v>
      </c>
    </row>
    <row r="10" spans="1:3" ht="15.75" customHeight="1" x14ac:dyDescent="0.25">
      <c r="A10" s="1" t="s">
        <v>11015</v>
      </c>
      <c r="B10" s="1" t="s">
        <v>11014</v>
      </c>
      <c r="C10" s="1" t="s">
        <v>7245</v>
      </c>
    </row>
    <row r="11" spans="1:3" ht="15.75" customHeight="1" x14ac:dyDescent="0.25">
      <c r="A11" s="1" t="s">
        <v>2268</v>
      </c>
      <c r="B11" s="1" t="s">
        <v>11013</v>
      </c>
      <c r="C11" s="1" t="s">
        <v>6122</v>
      </c>
    </row>
    <row r="12" spans="1:3" ht="15.75" customHeight="1" x14ac:dyDescent="0.25">
      <c r="A12" s="1" t="s">
        <v>11012</v>
      </c>
      <c r="B12" s="1" t="s">
        <v>11011</v>
      </c>
      <c r="C12" s="1" t="s">
        <v>5893</v>
      </c>
    </row>
    <row r="13" spans="1:3" ht="15.75" customHeight="1" x14ac:dyDescent="0.25">
      <c r="A13" s="1" t="s">
        <v>3119</v>
      </c>
      <c r="B13" s="1" t="s">
        <v>11010</v>
      </c>
      <c r="C13" s="1" t="s">
        <v>6750</v>
      </c>
    </row>
    <row r="14" spans="1:3" ht="15.75" customHeight="1" x14ac:dyDescent="0.25">
      <c r="A14" s="1" t="s">
        <v>4529</v>
      </c>
      <c r="B14" s="1" t="s">
        <v>11009</v>
      </c>
      <c r="C14" s="1" t="s">
        <v>11008</v>
      </c>
    </row>
    <row r="15" spans="1:3" ht="15.75" customHeight="1" x14ac:dyDescent="0.25">
      <c r="A15" s="1" t="s">
        <v>11007</v>
      </c>
      <c r="B15" s="1" t="s">
        <v>11006</v>
      </c>
      <c r="C15" s="1" t="s">
        <v>6963</v>
      </c>
    </row>
    <row r="16" spans="1:3" ht="15.75" customHeight="1" x14ac:dyDescent="0.25">
      <c r="A16" s="1" t="s">
        <v>11005</v>
      </c>
      <c r="B16" s="1" t="s">
        <v>11004</v>
      </c>
      <c r="C16" s="1" t="s">
        <v>6242</v>
      </c>
    </row>
    <row r="17" spans="1:3" ht="15.75" customHeight="1" x14ac:dyDescent="0.25">
      <c r="A17" s="1" t="s">
        <v>1094</v>
      </c>
      <c r="B17" s="1" t="s">
        <v>11003</v>
      </c>
      <c r="C17" s="1" t="s">
        <v>9121</v>
      </c>
    </row>
    <row r="18" spans="1:3" ht="15.75" customHeight="1" x14ac:dyDescent="0.25">
      <c r="A18" s="1" t="s">
        <v>5411</v>
      </c>
      <c r="B18" s="1" t="s">
        <v>11002</v>
      </c>
      <c r="C18" s="1" t="s">
        <v>6997</v>
      </c>
    </row>
    <row r="19" spans="1:3" ht="15.75" customHeight="1" x14ac:dyDescent="0.25">
      <c r="A19" s="1" t="s">
        <v>1969</v>
      </c>
      <c r="B19" s="1" t="s">
        <v>10997</v>
      </c>
      <c r="C19" s="1" t="s">
        <v>7642</v>
      </c>
    </row>
    <row r="20" spans="1:3" ht="15.75" customHeight="1" x14ac:dyDescent="0.25">
      <c r="A20" s="1" t="s">
        <v>4229</v>
      </c>
      <c r="B20" s="1" t="s">
        <v>11001</v>
      </c>
      <c r="C20" s="1" t="s">
        <v>6784</v>
      </c>
    </row>
    <row r="21" spans="1:3" ht="15.75" customHeight="1" x14ac:dyDescent="0.25">
      <c r="A21" s="1" t="s">
        <v>3497</v>
      </c>
      <c r="B21" s="1" t="s">
        <v>11000</v>
      </c>
      <c r="C21" s="1" t="s">
        <v>6093</v>
      </c>
    </row>
    <row r="22" spans="1:3" ht="15.75" customHeight="1" x14ac:dyDescent="0.25">
      <c r="A22" s="1" t="s">
        <v>5267</v>
      </c>
      <c r="B22" s="1" t="s">
        <v>10999</v>
      </c>
      <c r="C22" s="1" t="s">
        <v>7915</v>
      </c>
    </row>
    <row r="23" spans="1:3" ht="15.75" customHeight="1" x14ac:dyDescent="0.25">
      <c r="A23" s="1" t="s">
        <v>3620</v>
      </c>
      <c r="B23" s="1" t="s">
        <v>10998</v>
      </c>
      <c r="C23" s="1" t="s">
        <v>9121</v>
      </c>
    </row>
    <row r="24" spans="1:3" ht="15.75" customHeight="1" x14ac:dyDescent="0.25">
      <c r="A24" s="1" t="s">
        <v>5212</v>
      </c>
      <c r="B24" s="1" t="s">
        <v>10997</v>
      </c>
      <c r="C24" s="1" t="s">
        <v>6530</v>
      </c>
    </row>
    <row r="25" spans="1:3" ht="15.75" customHeight="1" x14ac:dyDescent="0.25">
      <c r="A25" s="1" t="s">
        <v>4469</v>
      </c>
      <c r="B25" s="1" t="s">
        <v>10996</v>
      </c>
      <c r="C25" s="1" t="s">
        <v>5836</v>
      </c>
    </row>
    <row r="26" spans="1:3" ht="15.75" customHeight="1" x14ac:dyDescent="0.25">
      <c r="A26" s="1" t="s">
        <v>4631</v>
      </c>
      <c r="B26" s="1" t="s">
        <v>10995</v>
      </c>
      <c r="C26" s="1" t="s">
        <v>10994</v>
      </c>
    </row>
    <row r="27" spans="1:3" ht="15.75" customHeight="1" x14ac:dyDescent="0.25">
      <c r="A27" s="1" t="s">
        <v>5382</v>
      </c>
      <c r="B27" s="1" t="s">
        <v>10993</v>
      </c>
      <c r="C27" s="1" t="s">
        <v>6288</v>
      </c>
    </row>
    <row r="28" spans="1:3" ht="15.75" customHeight="1" x14ac:dyDescent="0.25">
      <c r="A28" s="1" t="s">
        <v>2795</v>
      </c>
      <c r="B28" s="1" t="s">
        <v>10992</v>
      </c>
      <c r="C28" s="1" t="s">
        <v>5820</v>
      </c>
    </row>
    <row r="29" spans="1:3" ht="15.75" customHeight="1" x14ac:dyDescent="0.25">
      <c r="A29" s="1" t="s">
        <v>10991</v>
      </c>
      <c r="B29" s="1" t="s">
        <v>10990</v>
      </c>
      <c r="C29" s="1" t="s">
        <v>6530</v>
      </c>
    </row>
    <row r="30" spans="1:3" ht="15.75" customHeight="1" x14ac:dyDescent="0.25">
      <c r="A30" s="1" t="s">
        <v>3912</v>
      </c>
      <c r="B30" s="1" t="s">
        <v>10989</v>
      </c>
      <c r="C30" s="1" t="s">
        <v>7720</v>
      </c>
    </row>
    <row r="31" spans="1:3" ht="15.75" customHeight="1" x14ac:dyDescent="0.25">
      <c r="A31" s="1" t="s">
        <v>2944</v>
      </c>
      <c r="B31" s="1" t="s">
        <v>10988</v>
      </c>
      <c r="C31" s="1" t="s">
        <v>6750</v>
      </c>
    </row>
    <row r="32" spans="1:3" ht="15.75" customHeight="1" x14ac:dyDescent="0.25">
      <c r="A32" s="1" t="s">
        <v>3331</v>
      </c>
      <c r="B32" s="1" t="s">
        <v>10987</v>
      </c>
      <c r="C32" s="1" t="s">
        <v>6714</v>
      </c>
    </row>
    <row r="33" spans="1:3" ht="15.75" customHeight="1" x14ac:dyDescent="0.25">
      <c r="A33" s="1" t="s">
        <v>5072</v>
      </c>
      <c r="B33" s="1" t="s">
        <v>10986</v>
      </c>
      <c r="C33" s="1" t="s">
        <v>6767</v>
      </c>
    </row>
    <row r="34" spans="1:3" ht="15.75" customHeight="1" x14ac:dyDescent="0.25">
      <c r="A34" s="1" t="s">
        <v>5443</v>
      </c>
      <c r="B34" s="1" t="s">
        <v>10985</v>
      </c>
      <c r="C34" s="1" t="s">
        <v>6767</v>
      </c>
    </row>
    <row r="35" spans="1:3" ht="15.75" customHeight="1" x14ac:dyDescent="0.25">
      <c r="A35" s="1" t="s">
        <v>457</v>
      </c>
      <c r="B35" s="1" t="s">
        <v>10984</v>
      </c>
      <c r="C35" s="1" t="s">
        <v>9745</v>
      </c>
    </row>
    <row r="36" spans="1:3" ht="15.75" customHeight="1" x14ac:dyDescent="0.25">
      <c r="A36" s="1" t="s">
        <v>3950</v>
      </c>
      <c r="B36" s="1" t="s">
        <v>10983</v>
      </c>
      <c r="C36" s="1" t="s">
        <v>7245</v>
      </c>
    </row>
    <row r="37" spans="1:3" ht="15.75" customHeight="1" x14ac:dyDescent="0.25">
      <c r="A37" s="1" t="s">
        <v>10982</v>
      </c>
      <c r="B37" s="1" t="s">
        <v>10882</v>
      </c>
      <c r="C37" s="1" t="s">
        <v>10981</v>
      </c>
    </row>
    <row r="38" spans="1:3" ht="15.75" customHeight="1" x14ac:dyDescent="0.25">
      <c r="A38" s="1" t="s">
        <v>649</v>
      </c>
      <c r="B38" s="1" t="s">
        <v>10980</v>
      </c>
      <c r="C38" s="1" t="s">
        <v>6242</v>
      </c>
    </row>
    <row r="39" spans="1:3" ht="15.75" customHeight="1" x14ac:dyDescent="0.25">
      <c r="A39" s="1" t="s">
        <v>5487</v>
      </c>
      <c r="B39" s="1" t="s">
        <v>10979</v>
      </c>
      <c r="C39" s="1" t="s">
        <v>9121</v>
      </c>
    </row>
    <row r="40" spans="1:3" ht="15.75" customHeight="1" x14ac:dyDescent="0.25">
      <c r="A40" s="1" t="s">
        <v>3089</v>
      </c>
      <c r="B40" s="1" t="s">
        <v>10978</v>
      </c>
      <c r="C40" s="1" t="s">
        <v>6242</v>
      </c>
    </row>
    <row r="41" spans="1:3" ht="15.75" customHeight="1" x14ac:dyDescent="0.25">
      <c r="A41" s="1" t="s">
        <v>10977</v>
      </c>
      <c r="B41" s="1" t="s">
        <v>10976</v>
      </c>
      <c r="C41" s="1" t="s">
        <v>5893</v>
      </c>
    </row>
    <row r="42" spans="1:3" ht="15.75" customHeight="1" x14ac:dyDescent="0.25">
      <c r="A42" s="1" t="s">
        <v>4274</v>
      </c>
      <c r="B42" s="1" t="s">
        <v>10975</v>
      </c>
      <c r="C42" s="1" t="s">
        <v>6651</v>
      </c>
    </row>
    <row r="43" spans="1:3" ht="15.75" customHeight="1" x14ac:dyDescent="0.25">
      <c r="A43" s="1" t="s">
        <v>10974</v>
      </c>
      <c r="B43" s="1" t="s">
        <v>10973</v>
      </c>
      <c r="C43" s="1" t="s">
        <v>7131</v>
      </c>
    </row>
    <row r="44" spans="1:3" ht="15.75" customHeight="1" x14ac:dyDescent="0.25">
      <c r="A44" s="1" t="s">
        <v>5404</v>
      </c>
      <c r="B44" s="1" t="s">
        <v>9859</v>
      </c>
      <c r="C44" s="1" t="s">
        <v>10972</v>
      </c>
    </row>
    <row r="45" spans="1:3" ht="15.75" customHeight="1" x14ac:dyDescent="0.25">
      <c r="A45" s="1" t="s">
        <v>4828</v>
      </c>
      <c r="B45" s="1" t="s">
        <v>10971</v>
      </c>
      <c r="C45" s="1" t="s">
        <v>6122</v>
      </c>
    </row>
    <row r="46" spans="1:3" ht="15.75" customHeight="1" x14ac:dyDescent="0.25">
      <c r="A46" s="1" t="s">
        <v>4449</v>
      </c>
      <c r="B46" s="1" t="s">
        <v>10970</v>
      </c>
      <c r="C46" s="1" t="s">
        <v>5781</v>
      </c>
    </row>
    <row r="47" spans="1:3" ht="15.75" customHeight="1" x14ac:dyDescent="0.25">
      <c r="A47" s="1" t="s">
        <v>10969</v>
      </c>
      <c r="B47" s="1" t="s">
        <v>10968</v>
      </c>
      <c r="C47" s="1" t="s">
        <v>6242</v>
      </c>
    </row>
    <row r="48" spans="1:3" ht="15.75" customHeight="1" x14ac:dyDescent="0.25">
      <c r="A48" s="1" t="s">
        <v>3721</v>
      </c>
      <c r="B48" s="1" t="s">
        <v>6392</v>
      </c>
      <c r="C48" s="1" t="s">
        <v>7439</v>
      </c>
    </row>
    <row r="49" spans="1:3" ht="15.75" customHeight="1" x14ac:dyDescent="0.25">
      <c r="A49" s="1" t="s">
        <v>3241</v>
      </c>
      <c r="B49" s="1" t="s">
        <v>10967</v>
      </c>
      <c r="C49" s="1" t="s">
        <v>6675</v>
      </c>
    </row>
    <row r="50" spans="1:3" ht="15.75" customHeight="1" x14ac:dyDescent="0.25">
      <c r="A50" s="1" t="s">
        <v>1389</v>
      </c>
      <c r="B50" s="1" t="s">
        <v>10966</v>
      </c>
      <c r="C50" s="1" t="s">
        <v>9150</v>
      </c>
    </row>
    <row r="51" spans="1:3" ht="15.75" customHeight="1" x14ac:dyDescent="0.25">
      <c r="A51" s="1" t="s">
        <v>10965</v>
      </c>
      <c r="B51" s="1" t="s">
        <v>10964</v>
      </c>
      <c r="C51" s="1" t="s">
        <v>10963</v>
      </c>
    </row>
    <row r="52" spans="1:3" ht="15.75" customHeight="1" x14ac:dyDescent="0.25">
      <c r="A52" s="1" t="s">
        <v>4816</v>
      </c>
      <c r="B52" s="1" t="s">
        <v>10962</v>
      </c>
      <c r="C52" s="1" t="s">
        <v>6717</v>
      </c>
    </row>
    <row r="53" spans="1:3" ht="15.75" customHeight="1" x14ac:dyDescent="0.25">
      <c r="A53" s="1" t="s">
        <v>2013</v>
      </c>
      <c r="B53" s="1" t="s">
        <v>10961</v>
      </c>
      <c r="C53" s="1" t="s">
        <v>5853</v>
      </c>
    </row>
    <row r="54" spans="1:3" ht="15.75" customHeight="1" x14ac:dyDescent="0.25">
      <c r="A54" s="1" t="s">
        <v>10960</v>
      </c>
      <c r="B54" s="1" t="s">
        <v>10959</v>
      </c>
      <c r="C54" s="1" t="s">
        <v>5811</v>
      </c>
    </row>
    <row r="55" spans="1:3" ht="15.75" customHeight="1" x14ac:dyDescent="0.25">
      <c r="A55" s="1" t="s">
        <v>10958</v>
      </c>
      <c r="B55" s="1" t="s">
        <v>10957</v>
      </c>
      <c r="C55" s="1" t="s">
        <v>5853</v>
      </c>
    </row>
    <row r="56" spans="1:3" ht="15.75" customHeight="1" x14ac:dyDescent="0.25">
      <c r="A56" s="1" t="s">
        <v>1818</v>
      </c>
      <c r="B56" s="1" t="s">
        <v>10956</v>
      </c>
      <c r="C56" s="1" t="s">
        <v>5838</v>
      </c>
    </row>
    <row r="57" spans="1:3" ht="15.75" customHeight="1" x14ac:dyDescent="0.25">
      <c r="A57" s="1" t="s">
        <v>3846</v>
      </c>
      <c r="B57" s="1" t="s">
        <v>10955</v>
      </c>
      <c r="C57" s="1" t="s">
        <v>6640</v>
      </c>
    </row>
    <row r="58" spans="1:3" ht="15.75" customHeight="1" x14ac:dyDescent="0.25">
      <c r="A58" s="1" t="s">
        <v>10954</v>
      </c>
      <c r="B58" s="1" t="s">
        <v>10953</v>
      </c>
      <c r="C58" s="1" t="s">
        <v>6168</v>
      </c>
    </row>
    <row r="59" spans="1:3" ht="15.75" customHeight="1" x14ac:dyDescent="0.25">
      <c r="A59" s="1" t="s">
        <v>10952</v>
      </c>
      <c r="B59" s="1" t="s">
        <v>10951</v>
      </c>
      <c r="C59" s="1" t="s">
        <v>6486</v>
      </c>
    </row>
    <row r="60" spans="1:3" ht="15.75" customHeight="1" x14ac:dyDescent="0.25">
      <c r="A60" s="1" t="s">
        <v>10950</v>
      </c>
      <c r="B60" s="1" t="s">
        <v>10949</v>
      </c>
      <c r="C60" s="1" t="s">
        <v>6242</v>
      </c>
    </row>
    <row r="61" spans="1:3" ht="15.75" customHeight="1" x14ac:dyDescent="0.25">
      <c r="A61" s="1" t="s">
        <v>5619</v>
      </c>
      <c r="B61" s="1" t="s">
        <v>10948</v>
      </c>
      <c r="C61" s="1" t="s">
        <v>6288</v>
      </c>
    </row>
    <row r="62" spans="1:3" ht="15.75" customHeight="1" x14ac:dyDescent="0.25">
      <c r="A62" s="1" t="s">
        <v>10947</v>
      </c>
      <c r="B62" s="1" t="s">
        <v>10946</v>
      </c>
      <c r="C62" s="1" t="s">
        <v>6653</v>
      </c>
    </row>
    <row r="63" spans="1:3" ht="15.75" customHeight="1" x14ac:dyDescent="0.25">
      <c r="A63" s="1" t="s">
        <v>3881</v>
      </c>
      <c r="B63" s="1" t="s">
        <v>10789</v>
      </c>
      <c r="C63" s="1" t="s">
        <v>6703</v>
      </c>
    </row>
    <row r="64" spans="1:3" ht="15.75" customHeight="1" x14ac:dyDescent="0.25">
      <c r="A64" s="1" t="s">
        <v>2397</v>
      </c>
      <c r="B64" s="1" t="s">
        <v>10945</v>
      </c>
      <c r="C64" s="1" t="s">
        <v>10809</v>
      </c>
    </row>
    <row r="65" spans="1:3" ht="15.75" customHeight="1" x14ac:dyDescent="0.25">
      <c r="A65" s="1" t="s">
        <v>3925</v>
      </c>
      <c r="B65" s="1" t="s">
        <v>10944</v>
      </c>
      <c r="C65" s="1" t="s">
        <v>5836</v>
      </c>
    </row>
    <row r="66" spans="1:3" ht="15.75" customHeight="1" x14ac:dyDescent="0.25">
      <c r="A66" s="1" t="s">
        <v>10943</v>
      </c>
      <c r="B66" s="1" t="s">
        <v>10942</v>
      </c>
      <c r="C66" s="1" t="s">
        <v>6690</v>
      </c>
    </row>
    <row r="67" spans="1:3" ht="15.75" customHeight="1" x14ac:dyDescent="0.25">
      <c r="A67" s="1" t="s">
        <v>454</v>
      </c>
      <c r="B67" s="1" t="s">
        <v>10941</v>
      </c>
      <c r="C67" s="1" t="s">
        <v>6093</v>
      </c>
    </row>
    <row r="68" spans="1:3" ht="15.75" customHeight="1" x14ac:dyDescent="0.25">
      <c r="A68" s="1" t="s">
        <v>968</v>
      </c>
      <c r="B68" s="1" t="s">
        <v>10803</v>
      </c>
      <c r="C68" s="1" t="s">
        <v>6703</v>
      </c>
    </row>
    <row r="69" spans="1:3" ht="15.75" customHeight="1" x14ac:dyDescent="0.25">
      <c r="A69" s="1" t="s">
        <v>4776</v>
      </c>
      <c r="B69" s="1" t="s">
        <v>10940</v>
      </c>
      <c r="C69" s="1" t="s">
        <v>6665</v>
      </c>
    </row>
    <row r="70" spans="1:3" ht="15.75" customHeight="1" x14ac:dyDescent="0.25">
      <c r="A70" s="1" t="s">
        <v>1230</v>
      </c>
      <c r="B70" s="1" t="s">
        <v>10939</v>
      </c>
      <c r="C70" s="1" t="s">
        <v>6717</v>
      </c>
    </row>
    <row r="71" spans="1:3" ht="15.75" customHeight="1" x14ac:dyDescent="0.25">
      <c r="A71" s="1" t="s">
        <v>10938</v>
      </c>
      <c r="B71" s="1" t="s">
        <v>10937</v>
      </c>
      <c r="C71" s="1" t="s">
        <v>8091</v>
      </c>
    </row>
    <row r="72" spans="1:3" ht="15.75" customHeight="1" x14ac:dyDescent="0.25">
      <c r="A72" s="1" t="s">
        <v>10936</v>
      </c>
      <c r="B72" s="1" t="s">
        <v>10935</v>
      </c>
      <c r="C72" s="1" t="s">
        <v>6507</v>
      </c>
    </row>
    <row r="73" spans="1:3" ht="15.75" customHeight="1" x14ac:dyDescent="0.25">
      <c r="A73" s="1" t="s">
        <v>10934</v>
      </c>
      <c r="B73" s="1" t="s">
        <v>10933</v>
      </c>
      <c r="C73" s="1" t="s">
        <v>6507</v>
      </c>
    </row>
    <row r="74" spans="1:3" ht="15.75" customHeight="1" x14ac:dyDescent="0.25">
      <c r="A74" s="1" t="s">
        <v>10932</v>
      </c>
      <c r="B74" s="1" t="s">
        <v>10931</v>
      </c>
      <c r="C74" s="1" t="s">
        <v>6242</v>
      </c>
    </row>
    <row r="75" spans="1:3" ht="15.75" customHeight="1" x14ac:dyDescent="0.25">
      <c r="A75" s="1" t="s">
        <v>954</v>
      </c>
      <c r="B75" s="1" t="s">
        <v>10930</v>
      </c>
      <c r="C75" s="1" t="s">
        <v>7640</v>
      </c>
    </row>
    <row r="76" spans="1:3" ht="15.75" customHeight="1" x14ac:dyDescent="0.25">
      <c r="A76" s="1" t="s">
        <v>739</v>
      </c>
      <c r="B76" s="1" t="s">
        <v>10929</v>
      </c>
      <c r="C76" s="1" t="s">
        <v>7640</v>
      </c>
    </row>
    <row r="77" spans="1:3" ht="15.75" customHeight="1" x14ac:dyDescent="0.25">
      <c r="A77" s="1" t="s">
        <v>10928</v>
      </c>
      <c r="B77" s="1" t="s">
        <v>10927</v>
      </c>
      <c r="C77" s="1" t="s">
        <v>9867</v>
      </c>
    </row>
    <row r="78" spans="1:3" ht="15.75" customHeight="1" x14ac:dyDescent="0.25">
      <c r="A78" s="1" t="s">
        <v>4681</v>
      </c>
      <c r="B78" s="1" t="s">
        <v>10926</v>
      </c>
      <c r="C78" s="1" t="s">
        <v>5838</v>
      </c>
    </row>
    <row r="79" spans="1:3" ht="15.75" customHeight="1" x14ac:dyDescent="0.25">
      <c r="A79" s="1" t="s">
        <v>4494</v>
      </c>
      <c r="B79" s="1" t="s">
        <v>10925</v>
      </c>
      <c r="C79" s="1" t="s">
        <v>6093</v>
      </c>
    </row>
    <row r="80" spans="1:3" ht="15.75" customHeight="1" x14ac:dyDescent="0.25">
      <c r="A80" s="1" t="s">
        <v>1086</v>
      </c>
      <c r="B80" s="1" t="s">
        <v>10924</v>
      </c>
      <c r="C80" s="1" t="s">
        <v>6767</v>
      </c>
    </row>
    <row r="81" spans="1:3" ht="15.75" customHeight="1" x14ac:dyDescent="0.25">
      <c r="A81" s="1" t="s">
        <v>10923</v>
      </c>
      <c r="B81" s="1" t="s">
        <v>10922</v>
      </c>
      <c r="C81" s="1" t="s">
        <v>6653</v>
      </c>
    </row>
    <row r="82" spans="1:3" ht="15.75" customHeight="1" x14ac:dyDescent="0.25">
      <c r="A82" s="1" t="s">
        <v>1985</v>
      </c>
      <c r="B82" s="1" t="s">
        <v>10921</v>
      </c>
      <c r="C82" s="1" t="s">
        <v>6640</v>
      </c>
    </row>
    <row r="83" spans="1:3" ht="15.75" customHeight="1" x14ac:dyDescent="0.25">
      <c r="A83" s="1" t="s">
        <v>4520</v>
      </c>
      <c r="B83" s="1" t="s">
        <v>10920</v>
      </c>
      <c r="C83" s="1" t="s">
        <v>6468</v>
      </c>
    </row>
    <row r="84" spans="1:3" ht="15.75" customHeight="1" x14ac:dyDescent="0.25">
      <c r="A84" s="1" t="s">
        <v>10919</v>
      </c>
      <c r="B84" s="1" t="s">
        <v>10918</v>
      </c>
      <c r="C84" s="1" t="s">
        <v>5796</v>
      </c>
    </row>
    <row r="85" spans="1:3" ht="15.75" customHeight="1" x14ac:dyDescent="0.25">
      <c r="A85" s="1" t="s">
        <v>10917</v>
      </c>
      <c r="B85" s="1" t="s">
        <v>10916</v>
      </c>
      <c r="C85" s="1" t="s">
        <v>6242</v>
      </c>
    </row>
    <row r="86" spans="1:3" ht="15.75" customHeight="1" x14ac:dyDescent="0.25">
      <c r="A86" s="1" t="s">
        <v>10915</v>
      </c>
      <c r="B86" s="1" t="s">
        <v>10914</v>
      </c>
      <c r="C86" s="1" t="s">
        <v>7052</v>
      </c>
    </row>
    <row r="87" spans="1:3" ht="15.75" customHeight="1" x14ac:dyDescent="0.25">
      <c r="A87" s="1" t="s">
        <v>10913</v>
      </c>
      <c r="B87" s="1" t="s">
        <v>10912</v>
      </c>
      <c r="C87" s="1" t="s">
        <v>6242</v>
      </c>
    </row>
    <row r="88" spans="1:3" ht="15.75" customHeight="1" x14ac:dyDescent="0.25">
      <c r="A88" s="1" t="s">
        <v>4689</v>
      </c>
      <c r="B88" s="1" t="s">
        <v>10911</v>
      </c>
      <c r="C88" s="1" t="s">
        <v>6168</v>
      </c>
    </row>
    <row r="89" spans="1:3" ht="15.75" customHeight="1" x14ac:dyDescent="0.25">
      <c r="A89" s="1" t="s">
        <v>452</v>
      </c>
      <c r="B89" s="1" t="s">
        <v>10910</v>
      </c>
      <c r="C89" s="1" t="s">
        <v>5824</v>
      </c>
    </row>
    <row r="90" spans="1:3" ht="15.75" customHeight="1" x14ac:dyDescent="0.25">
      <c r="A90" s="1" t="s">
        <v>2551</v>
      </c>
      <c r="B90" s="1" t="s">
        <v>10909</v>
      </c>
      <c r="C90" s="1" t="s">
        <v>6242</v>
      </c>
    </row>
    <row r="91" spans="1:3" ht="15.75" customHeight="1" x14ac:dyDescent="0.25">
      <c r="A91" s="1" t="s">
        <v>10908</v>
      </c>
      <c r="B91" s="1" t="s">
        <v>10907</v>
      </c>
      <c r="C91" s="1" t="s">
        <v>6242</v>
      </c>
    </row>
    <row r="92" spans="1:3" ht="15.75" customHeight="1" x14ac:dyDescent="0.25">
      <c r="A92" s="1" t="s">
        <v>10906</v>
      </c>
      <c r="B92" s="1" t="s">
        <v>10905</v>
      </c>
      <c r="C92" s="1" t="s">
        <v>6260</v>
      </c>
    </row>
    <row r="93" spans="1:3" ht="15.75" customHeight="1" x14ac:dyDescent="0.25">
      <c r="A93" s="1" t="s">
        <v>3156</v>
      </c>
      <c r="B93" s="1" t="s">
        <v>10904</v>
      </c>
      <c r="C93" s="1" t="s">
        <v>5796</v>
      </c>
    </row>
    <row r="94" spans="1:3" ht="15.75" customHeight="1" x14ac:dyDescent="0.25">
      <c r="A94" s="1" t="s">
        <v>1853</v>
      </c>
      <c r="B94" s="1" t="s">
        <v>10903</v>
      </c>
      <c r="C94" s="1" t="s">
        <v>5802</v>
      </c>
    </row>
    <row r="95" spans="1:3" ht="15.75" customHeight="1" x14ac:dyDescent="0.25">
      <c r="A95" s="1" t="s">
        <v>3365</v>
      </c>
      <c r="B95" s="1" t="s">
        <v>10902</v>
      </c>
      <c r="C95" s="1" t="s">
        <v>6825</v>
      </c>
    </row>
    <row r="96" spans="1:3" ht="15.75" customHeight="1" x14ac:dyDescent="0.25">
      <c r="A96" s="1" t="s">
        <v>10901</v>
      </c>
      <c r="B96" s="1" t="s">
        <v>10900</v>
      </c>
      <c r="C96" s="1" t="s">
        <v>6937</v>
      </c>
    </row>
    <row r="97" spans="1:3" ht="15.75" customHeight="1" x14ac:dyDescent="0.25">
      <c r="A97" s="1" t="s">
        <v>5101</v>
      </c>
      <c r="B97" s="1" t="s">
        <v>7659</v>
      </c>
      <c r="C97" s="1" t="s">
        <v>6892</v>
      </c>
    </row>
    <row r="98" spans="1:3" ht="15.75" customHeight="1" x14ac:dyDescent="0.25">
      <c r="A98" s="1" t="s">
        <v>5570</v>
      </c>
      <c r="B98" s="1" t="s">
        <v>10899</v>
      </c>
      <c r="C98" s="1" t="s">
        <v>6288</v>
      </c>
    </row>
    <row r="99" spans="1:3" ht="15.75" customHeight="1" x14ac:dyDescent="0.25">
      <c r="A99" s="1" t="s">
        <v>3768</v>
      </c>
      <c r="B99" s="1" t="s">
        <v>10898</v>
      </c>
      <c r="C99" s="1" t="s">
        <v>5781</v>
      </c>
    </row>
    <row r="100" spans="1:3" ht="15.75" customHeight="1" x14ac:dyDescent="0.25">
      <c r="A100" s="1" t="s">
        <v>450</v>
      </c>
      <c r="B100" s="1" t="s">
        <v>10897</v>
      </c>
      <c r="C100" s="1" t="s">
        <v>7070</v>
      </c>
    </row>
    <row r="101" spans="1:3" ht="15.75" customHeight="1" x14ac:dyDescent="0.25">
      <c r="A101" s="1" t="s">
        <v>10896</v>
      </c>
      <c r="B101" s="1" t="s">
        <v>10895</v>
      </c>
      <c r="C101" s="1" t="s">
        <v>6795</v>
      </c>
    </row>
    <row r="102" spans="1:3" ht="15.75" customHeight="1" x14ac:dyDescent="0.25">
      <c r="A102" s="1" t="s">
        <v>10894</v>
      </c>
      <c r="B102" s="1" t="s">
        <v>10893</v>
      </c>
      <c r="C102" s="1" t="s">
        <v>6997</v>
      </c>
    </row>
    <row r="103" spans="1:3" ht="15.75" customHeight="1" x14ac:dyDescent="0.25">
      <c r="A103" s="1" t="s">
        <v>2011</v>
      </c>
      <c r="B103" s="1" t="s">
        <v>10892</v>
      </c>
      <c r="C103" s="1" t="s">
        <v>7313</v>
      </c>
    </row>
    <row r="104" spans="1:3" ht="15.75" customHeight="1" x14ac:dyDescent="0.25">
      <c r="A104" s="1" t="s">
        <v>4814</v>
      </c>
      <c r="B104" s="1" t="s">
        <v>10891</v>
      </c>
      <c r="C104" s="1" t="s">
        <v>9136</v>
      </c>
    </row>
    <row r="105" spans="1:3" ht="15.75" customHeight="1" x14ac:dyDescent="0.25">
      <c r="A105" s="1" t="s">
        <v>1002</v>
      </c>
      <c r="B105" s="1" t="s">
        <v>10890</v>
      </c>
      <c r="C105" s="1" t="s">
        <v>7189</v>
      </c>
    </row>
    <row r="106" spans="1:3" ht="15.75" customHeight="1" x14ac:dyDescent="0.25">
      <c r="A106" s="1" t="s">
        <v>2399</v>
      </c>
      <c r="B106" s="1" t="s">
        <v>10889</v>
      </c>
      <c r="C106" s="1" t="s">
        <v>6125</v>
      </c>
    </row>
    <row r="107" spans="1:3" ht="15.75" customHeight="1" x14ac:dyDescent="0.25">
      <c r="A107" s="1" t="s">
        <v>4667</v>
      </c>
      <c r="B107" s="1" t="s">
        <v>6392</v>
      </c>
      <c r="C107" s="1" t="s">
        <v>6784</v>
      </c>
    </row>
    <row r="108" spans="1:3" ht="15.75" customHeight="1" x14ac:dyDescent="0.25">
      <c r="A108" s="1" t="s">
        <v>4416</v>
      </c>
      <c r="B108" s="1" t="s">
        <v>10888</v>
      </c>
      <c r="C108" s="1" t="s">
        <v>6750</v>
      </c>
    </row>
    <row r="109" spans="1:3" ht="15.75" customHeight="1" x14ac:dyDescent="0.25">
      <c r="A109" s="1" t="s">
        <v>448</v>
      </c>
      <c r="B109" s="1" t="s">
        <v>10887</v>
      </c>
      <c r="C109" s="1" t="s">
        <v>6653</v>
      </c>
    </row>
    <row r="110" spans="1:3" ht="15.75" customHeight="1" x14ac:dyDescent="0.25">
      <c r="A110" s="1" t="s">
        <v>10886</v>
      </c>
      <c r="B110" s="1" t="s">
        <v>10885</v>
      </c>
      <c r="C110" s="1" t="s">
        <v>6963</v>
      </c>
    </row>
    <row r="111" spans="1:3" ht="15.75" customHeight="1" x14ac:dyDescent="0.25">
      <c r="A111" s="1" t="s">
        <v>10884</v>
      </c>
      <c r="B111" s="1" t="s">
        <v>10883</v>
      </c>
      <c r="C111" s="1" t="s">
        <v>5811</v>
      </c>
    </row>
    <row r="112" spans="1:3" ht="15.75" customHeight="1" x14ac:dyDescent="0.25">
      <c r="A112" s="1" t="s">
        <v>5317</v>
      </c>
      <c r="B112" s="1" t="s">
        <v>10882</v>
      </c>
      <c r="C112" s="1" t="s">
        <v>10881</v>
      </c>
    </row>
    <row r="113" spans="1:3" ht="15.75" customHeight="1" x14ac:dyDescent="0.25">
      <c r="A113" s="1" t="s">
        <v>10880</v>
      </c>
      <c r="B113" s="1" t="s">
        <v>10879</v>
      </c>
      <c r="C113" s="1" t="s">
        <v>8282</v>
      </c>
    </row>
    <row r="114" spans="1:3" ht="15.75" customHeight="1" x14ac:dyDescent="0.25">
      <c r="A114" s="1" t="s">
        <v>4331</v>
      </c>
      <c r="B114" s="1" t="s">
        <v>10878</v>
      </c>
      <c r="C114" s="1" t="s">
        <v>5811</v>
      </c>
    </row>
    <row r="115" spans="1:3" ht="15.75" customHeight="1" x14ac:dyDescent="0.25">
      <c r="A115" s="1" t="s">
        <v>446</v>
      </c>
      <c r="B115" s="1" t="s">
        <v>10877</v>
      </c>
      <c r="C115" s="1" t="s">
        <v>7503</v>
      </c>
    </row>
    <row r="116" spans="1:3" ht="15.75" customHeight="1" x14ac:dyDescent="0.25">
      <c r="A116" s="1" t="s">
        <v>10876</v>
      </c>
      <c r="B116" s="1" t="s">
        <v>10875</v>
      </c>
      <c r="C116" s="1" t="s">
        <v>6122</v>
      </c>
    </row>
    <row r="117" spans="1:3" ht="15.75" customHeight="1" x14ac:dyDescent="0.25">
      <c r="A117" s="1" t="s">
        <v>10874</v>
      </c>
      <c r="B117" s="1" t="s">
        <v>10873</v>
      </c>
      <c r="C117" s="1" t="s">
        <v>5791</v>
      </c>
    </row>
    <row r="118" spans="1:3" ht="15.75" customHeight="1" x14ac:dyDescent="0.25">
      <c r="A118" s="1" t="s">
        <v>5327</v>
      </c>
      <c r="B118" s="1" t="s">
        <v>10872</v>
      </c>
      <c r="C118" s="1" t="s">
        <v>6242</v>
      </c>
    </row>
    <row r="119" spans="1:3" ht="15.75" customHeight="1" x14ac:dyDescent="0.25">
      <c r="A119" s="1" t="s">
        <v>708</v>
      </c>
      <c r="B119" s="1" t="s">
        <v>7656</v>
      </c>
      <c r="C119" s="1" t="s">
        <v>10871</v>
      </c>
    </row>
    <row r="120" spans="1:3" ht="15.75" customHeight="1" x14ac:dyDescent="0.25">
      <c r="A120" s="1" t="s">
        <v>3780</v>
      </c>
      <c r="B120" s="1" t="s">
        <v>10870</v>
      </c>
      <c r="C120" s="1" t="s">
        <v>5886</v>
      </c>
    </row>
    <row r="121" spans="1:3" ht="15.75" customHeight="1" x14ac:dyDescent="0.25">
      <c r="A121" s="1" t="s">
        <v>10869</v>
      </c>
      <c r="B121" s="1" t="s">
        <v>10868</v>
      </c>
      <c r="C121" s="1" t="s">
        <v>5838</v>
      </c>
    </row>
    <row r="122" spans="1:3" ht="15.75" customHeight="1" x14ac:dyDescent="0.25">
      <c r="A122" s="1" t="s">
        <v>1748</v>
      </c>
      <c r="B122" s="1" t="s">
        <v>10867</v>
      </c>
      <c r="C122" s="1" t="s">
        <v>6242</v>
      </c>
    </row>
    <row r="123" spans="1:3" ht="15.75" customHeight="1" x14ac:dyDescent="0.25">
      <c r="A123" s="1" t="s">
        <v>10866</v>
      </c>
      <c r="B123" s="1" t="s">
        <v>9889</v>
      </c>
      <c r="C123" s="1" t="s">
        <v>10865</v>
      </c>
    </row>
    <row r="124" spans="1:3" ht="15.75" customHeight="1" x14ac:dyDescent="0.25">
      <c r="A124" s="1" t="s">
        <v>10864</v>
      </c>
      <c r="B124" s="1" t="s">
        <v>10863</v>
      </c>
      <c r="C124" s="1" t="s">
        <v>5791</v>
      </c>
    </row>
    <row r="125" spans="1:3" ht="15.75" customHeight="1" x14ac:dyDescent="0.25">
      <c r="A125" s="1" t="s">
        <v>3182</v>
      </c>
      <c r="B125" s="1" t="s">
        <v>5909</v>
      </c>
      <c r="C125" s="1" t="s">
        <v>10862</v>
      </c>
    </row>
    <row r="126" spans="1:3" ht="15.75" customHeight="1" x14ac:dyDescent="0.25">
      <c r="A126" s="1" t="s">
        <v>4486</v>
      </c>
      <c r="B126" s="1" t="s">
        <v>10861</v>
      </c>
      <c r="C126" s="1" t="s">
        <v>10860</v>
      </c>
    </row>
    <row r="127" spans="1:3" ht="15.75" customHeight="1" x14ac:dyDescent="0.25">
      <c r="A127" s="1" t="s">
        <v>10859</v>
      </c>
      <c r="B127" s="1" t="s">
        <v>10858</v>
      </c>
      <c r="C127" s="1" t="s">
        <v>6242</v>
      </c>
    </row>
    <row r="128" spans="1:3" ht="15.75" customHeight="1" x14ac:dyDescent="0.25">
      <c r="A128" s="1" t="s">
        <v>2128</v>
      </c>
      <c r="B128" s="1" t="s">
        <v>10857</v>
      </c>
      <c r="C128" s="1" t="s">
        <v>5781</v>
      </c>
    </row>
    <row r="129" spans="1:3" ht="15.75" customHeight="1" x14ac:dyDescent="0.25">
      <c r="A129" s="1" t="s">
        <v>4092</v>
      </c>
      <c r="B129" s="1" t="s">
        <v>10856</v>
      </c>
      <c r="C129" s="1" t="s">
        <v>6665</v>
      </c>
    </row>
    <row r="130" spans="1:3" ht="15.75" customHeight="1" x14ac:dyDescent="0.25">
      <c r="A130" s="1" t="s">
        <v>4725</v>
      </c>
      <c r="B130" s="1" t="s">
        <v>10855</v>
      </c>
      <c r="C130" s="1" t="s">
        <v>6168</v>
      </c>
    </row>
    <row r="131" spans="1:3" ht="15.75" customHeight="1" x14ac:dyDescent="0.25">
      <c r="A131" s="1" t="s">
        <v>3139</v>
      </c>
      <c r="B131" s="1" t="s">
        <v>10854</v>
      </c>
      <c r="C131" s="1" t="s">
        <v>5800</v>
      </c>
    </row>
    <row r="132" spans="1:3" ht="15.75" customHeight="1" x14ac:dyDescent="0.25">
      <c r="A132" s="1" t="s">
        <v>10853</v>
      </c>
      <c r="B132" s="1" t="s">
        <v>10852</v>
      </c>
      <c r="C132" s="1" t="s">
        <v>9150</v>
      </c>
    </row>
    <row r="133" spans="1:3" ht="15.75" customHeight="1" x14ac:dyDescent="0.25">
      <c r="A133" s="1" t="s">
        <v>10851</v>
      </c>
      <c r="B133" s="1" t="s">
        <v>10850</v>
      </c>
      <c r="C133" s="1" t="s">
        <v>7468</v>
      </c>
    </row>
    <row r="134" spans="1:3" ht="15.75" customHeight="1" x14ac:dyDescent="0.25">
      <c r="A134" s="1" t="s">
        <v>3662</v>
      </c>
      <c r="B134" s="1" t="s">
        <v>10849</v>
      </c>
      <c r="C134" s="1" t="s">
        <v>6929</v>
      </c>
    </row>
    <row r="135" spans="1:3" ht="15.75" customHeight="1" x14ac:dyDescent="0.25">
      <c r="A135" s="1" t="s">
        <v>822</v>
      </c>
      <c r="B135" s="1" t="s">
        <v>10848</v>
      </c>
      <c r="C135" s="1" t="s">
        <v>6665</v>
      </c>
    </row>
    <row r="136" spans="1:3" ht="15.75" customHeight="1" x14ac:dyDescent="0.25">
      <c r="A136" s="1" t="s">
        <v>10847</v>
      </c>
      <c r="B136" s="1" t="s">
        <v>8304</v>
      </c>
      <c r="C136" s="1" t="s">
        <v>6673</v>
      </c>
    </row>
    <row r="137" spans="1:3" ht="15.75" customHeight="1" x14ac:dyDescent="0.25">
      <c r="A137" s="1" t="s">
        <v>2996</v>
      </c>
      <c r="B137" s="1" t="s">
        <v>10846</v>
      </c>
      <c r="C137" s="1" t="s">
        <v>6644</v>
      </c>
    </row>
    <row r="138" spans="1:3" ht="15.75" customHeight="1" x14ac:dyDescent="0.25">
      <c r="A138" s="1" t="s">
        <v>1156</v>
      </c>
      <c r="B138" s="1" t="s">
        <v>10845</v>
      </c>
      <c r="C138" s="1" t="s">
        <v>6945</v>
      </c>
    </row>
    <row r="139" spans="1:3" ht="15.75" customHeight="1" x14ac:dyDescent="0.25">
      <c r="A139" s="1" t="s">
        <v>2830</v>
      </c>
      <c r="B139" s="1" t="s">
        <v>10844</v>
      </c>
      <c r="C139" s="1" t="s">
        <v>6651</v>
      </c>
    </row>
    <row r="140" spans="1:3" ht="15.75" customHeight="1" x14ac:dyDescent="0.25">
      <c r="A140" s="1" t="s">
        <v>3708</v>
      </c>
      <c r="B140" s="1" t="s">
        <v>9834</v>
      </c>
      <c r="C140" s="1" t="s">
        <v>8346</v>
      </c>
    </row>
    <row r="141" spans="1:3" ht="15.75" customHeight="1" x14ac:dyDescent="0.25">
      <c r="A141" s="1" t="s">
        <v>1678</v>
      </c>
      <c r="B141" s="1" t="s">
        <v>10843</v>
      </c>
      <c r="C141" s="1" t="s">
        <v>5796</v>
      </c>
    </row>
    <row r="142" spans="1:3" ht="15.75" customHeight="1" x14ac:dyDescent="0.25">
      <c r="A142" s="1" t="s">
        <v>4543</v>
      </c>
      <c r="B142" s="1" t="s">
        <v>10842</v>
      </c>
      <c r="C142" s="1" t="s">
        <v>6093</v>
      </c>
    </row>
    <row r="143" spans="1:3" ht="15.75" customHeight="1" x14ac:dyDescent="0.25">
      <c r="A143" s="1" t="s">
        <v>2713</v>
      </c>
      <c r="B143" s="1" t="s">
        <v>10841</v>
      </c>
      <c r="C143" s="1" t="s">
        <v>10840</v>
      </c>
    </row>
    <row r="144" spans="1:3" ht="15.75" customHeight="1" x14ac:dyDescent="0.25">
      <c r="A144" s="1" t="s">
        <v>4941</v>
      </c>
      <c r="B144" s="1" t="s">
        <v>10839</v>
      </c>
      <c r="C144" s="1" t="s">
        <v>7011</v>
      </c>
    </row>
    <row r="145" spans="1:3" ht="15.75" customHeight="1" x14ac:dyDescent="0.25">
      <c r="A145" s="1" t="s">
        <v>10838</v>
      </c>
      <c r="B145" s="1" t="s">
        <v>10837</v>
      </c>
      <c r="C145" s="1" t="s">
        <v>6242</v>
      </c>
    </row>
    <row r="146" spans="1:3" ht="15.75" customHeight="1" x14ac:dyDescent="0.25">
      <c r="A146" s="1" t="s">
        <v>10836</v>
      </c>
      <c r="B146" s="1" t="s">
        <v>10835</v>
      </c>
      <c r="C146" s="1" t="s">
        <v>5811</v>
      </c>
    </row>
    <row r="147" spans="1:3" ht="15.75" customHeight="1" x14ac:dyDescent="0.25">
      <c r="A147" s="1" t="s">
        <v>2774</v>
      </c>
      <c r="B147" s="1" t="s">
        <v>10834</v>
      </c>
      <c r="C147" s="1" t="s">
        <v>6122</v>
      </c>
    </row>
    <row r="148" spans="1:3" ht="15.75" customHeight="1" x14ac:dyDescent="0.25">
      <c r="A148" s="1" t="s">
        <v>3503</v>
      </c>
      <c r="B148" s="1" t="s">
        <v>10833</v>
      </c>
      <c r="C148" s="1" t="s">
        <v>5886</v>
      </c>
    </row>
    <row r="149" spans="1:3" ht="15.75" customHeight="1" x14ac:dyDescent="0.25">
      <c r="A149" s="1" t="s">
        <v>2492</v>
      </c>
      <c r="B149" s="1" t="s">
        <v>10832</v>
      </c>
      <c r="C149" s="1" t="s">
        <v>7106</v>
      </c>
    </row>
    <row r="150" spans="1:3" ht="15.75" customHeight="1" x14ac:dyDescent="0.25">
      <c r="A150" s="1" t="s">
        <v>2761</v>
      </c>
      <c r="B150" s="1" t="s">
        <v>10831</v>
      </c>
      <c r="C150" s="1" t="s">
        <v>9121</v>
      </c>
    </row>
    <row r="151" spans="1:3" ht="15.75" customHeight="1" x14ac:dyDescent="0.25">
      <c r="A151" s="1" t="s">
        <v>5653</v>
      </c>
      <c r="B151" s="1" t="s">
        <v>7332</v>
      </c>
      <c r="C151" s="1" t="s">
        <v>10830</v>
      </c>
    </row>
    <row r="152" spans="1:3" ht="15.75" customHeight="1" x14ac:dyDescent="0.25">
      <c r="A152" s="1" t="s">
        <v>10829</v>
      </c>
      <c r="B152" s="1" t="s">
        <v>10828</v>
      </c>
      <c r="C152" s="1" t="s">
        <v>6486</v>
      </c>
    </row>
    <row r="153" spans="1:3" ht="15.75" customHeight="1" x14ac:dyDescent="0.25">
      <c r="A153" s="1" t="s">
        <v>10827</v>
      </c>
      <c r="B153" s="1" t="s">
        <v>10826</v>
      </c>
      <c r="C153" s="1" t="s">
        <v>9150</v>
      </c>
    </row>
    <row r="154" spans="1:3" ht="15.75" customHeight="1" x14ac:dyDescent="0.25">
      <c r="A154" s="1" t="s">
        <v>10825</v>
      </c>
      <c r="B154" s="1" t="s">
        <v>10794</v>
      </c>
      <c r="C154" s="1" t="s">
        <v>6892</v>
      </c>
    </row>
    <row r="155" spans="1:3" ht="15.75" customHeight="1" x14ac:dyDescent="0.25">
      <c r="A155" s="1" t="s">
        <v>1716</v>
      </c>
      <c r="B155" s="1" t="s">
        <v>10824</v>
      </c>
      <c r="C155" s="1" t="s">
        <v>6468</v>
      </c>
    </row>
    <row r="156" spans="1:3" ht="15.75" customHeight="1" x14ac:dyDescent="0.25">
      <c r="A156" s="1" t="s">
        <v>2753</v>
      </c>
      <c r="B156" s="1" t="s">
        <v>10823</v>
      </c>
      <c r="C156" s="1" t="s">
        <v>6991</v>
      </c>
    </row>
    <row r="157" spans="1:3" ht="15.75" customHeight="1" x14ac:dyDescent="0.25">
      <c r="A157" s="1" t="s">
        <v>4499</v>
      </c>
      <c r="B157" s="1" t="s">
        <v>10822</v>
      </c>
      <c r="C157" s="1" t="s">
        <v>10821</v>
      </c>
    </row>
    <row r="158" spans="1:3" ht="15.75" customHeight="1" x14ac:dyDescent="0.25">
      <c r="A158" s="1" t="s">
        <v>3945</v>
      </c>
      <c r="B158" s="1" t="s">
        <v>10820</v>
      </c>
      <c r="C158" s="1" t="s">
        <v>7189</v>
      </c>
    </row>
    <row r="159" spans="1:3" ht="15.75" customHeight="1" x14ac:dyDescent="0.25">
      <c r="A159" s="1" t="s">
        <v>5432</v>
      </c>
      <c r="B159" s="1" t="s">
        <v>10819</v>
      </c>
      <c r="C159" s="1" t="s">
        <v>6122</v>
      </c>
    </row>
    <row r="160" spans="1:3" ht="15.75" customHeight="1" x14ac:dyDescent="0.25">
      <c r="A160" s="1" t="s">
        <v>4207</v>
      </c>
      <c r="B160" s="1" t="s">
        <v>10818</v>
      </c>
      <c r="C160" s="1" t="s">
        <v>6168</v>
      </c>
    </row>
    <row r="161" spans="1:3" ht="15.75" customHeight="1" x14ac:dyDescent="0.25">
      <c r="A161" s="1" t="s">
        <v>10817</v>
      </c>
      <c r="B161" s="1" t="s">
        <v>10816</v>
      </c>
      <c r="C161" s="1" t="s">
        <v>10815</v>
      </c>
    </row>
    <row r="162" spans="1:3" ht="15.75" customHeight="1" x14ac:dyDescent="0.25">
      <c r="A162" s="1" t="s">
        <v>10814</v>
      </c>
      <c r="B162" s="1" t="s">
        <v>10813</v>
      </c>
      <c r="C162" s="1" t="s">
        <v>9745</v>
      </c>
    </row>
    <row r="163" spans="1:3" ht="15.75" customHeight="1" x14ac:dyDescent="0.25">
      <c r="A163" s="1" t="s">
        <v>4251</v>
      </c>
      <c r="B163" s="1" t="s">
        <v>10812</v>
      </c>
      <c r="C163" s="1" t="s">
        <v>9121</v>
      </c>
    </row>
    <row r="164" spans="1:3" ht="15.75" customHeight="1" x14ac:dyDescent="0.25">
      <c r="A164" s="1" t="s">
        <v>4404</v>
      </c>
      <c r="B164" s="1" t="s">
        <v>10811</v>
      </c>
      <c r="C164" s="1" t="s">
        <v>6767</v>
      </c>
    </row>
    <row r="165" spans="1:3" ht="15.75" customHeight="1" x14ac:dyDescent="0.25">
      <c r="A165" s="1" t="s">
        <v>443</v>
      </c>
      <c r="B165" s="1" t="s">
        <v>10810</v>
      </c>
      <c r="C165" s="1" t="s">
        <v>10809</v>
      </c>
    </row>
    <row r="166" spans="1:3" ht="15.75" customHeight="1" x14ac:dyDescent="0.25">
      <c r="A166" s="1" t="s">
        <v>1280</v>
      </c>
      <c r="B166" s="1" t="s">
        <v>10808</v>
      </c>
      <c r="C166" s="1" t="s">
        <v>6901</v>
      </c>
    </row>
    <row r="167" spans="1:3" ht="15.75" customHeight="1" x14ac:dyDescent="0.25">
      <c r="A167" s="1" t="s">
        <v>4640</v>
      </c>
      <c r="B167" s="1" t="s">
        <v>10807</v>
      </c>
      <c r="C167" s="1" t="s">
        <v>6784</v>
      </c>
    </row>
    <row r="168" spans="1:3" ht="15.75" customHeight="1" x14ac:dyDescent="0.25">
      <c r="A168" s="1" t="s">
        <v>704</v>
      </c>
      <c r="B168" s="1" t="s">
        <v>10806</v>
      </c>
      <c r="C168" s="1" t="s">
        <v>5809</v>
      </c>
    </row>
    <row r="169" spans="1:3" ht="15.75" customHeight="1" x14ac:dyDescent="0.25">
      <c r="A169" s="1" t="s">
        <v>10805</v>
      </c>
      <c r="B169" s="1" t="s">
        <v>10804</v>
      </c>
      <c r="C169" s="1" t="s">
        <v>6260</v>
      </c>
    </row>
    <row r="170" spans="1:3" ht="15.75" customHeight="1" x14ac:dyDescent="0.25">
      <c r="A170" s="1" t="s">
        <v>440</v>
      </c>
      <c r="B170" s="1" t="s">
        <v>10803</v>
      </c>
      <c r="C170" s="1" t="s">
        <v>5800</v>
      </c>
    </row>
    <row r="171" spans="1:3" ht="15.75" customHeight="1" x14ac:dyDescent="0.25">
      <c r="A171" s="1" t="s">
        <v>10802</v>
      </c>
      <c r="B171" s="1" t="s">
        <v>10801</v>
      </c>
      <c r="C171" s="1" t="s">
        <v>6242</v>
      </c>
    </row>
    <row r="172" spans="1:3" ht="15.75" customHeight="1" x14ac:dyDescent="0.25">
      <c r="A172" s="1" t="s">
        <v>5768</v>
      </c>
      <c r="B172" s="1" t="s">
        <v>10800</v>
      </c>
      <c r="C172" s="1" t="s">
        <v>6703</v>
      </c>
    </row>
    <row r="173" spans="1:3" ht="15.75" customHeight="1" x14ac:dyDescent="0.25">
      <c r="A173" s="1" t="s">
        <v>2561</v>
      </c>
      <c r="B173" s="1" t="s">
        <v>10799</v>
      </c>
      <c r="C173" s="1" t="s">
        <v>6468</v>
      </c>
    </row>
    <row r="174" spans="1:3" ht="15.75" customHeight="1" x14ac:dyDescent="0.25">
      <c r="A174" s="1" t="s">
        <v>10798</v>
      </c>
      <c r="B174" s="1" t="s">
        <v>10797</v>
      </c>
      <c r="C174" s="1" t="s">
        <v>6486</v>
      </c>
    </row>
    <row r="175" spans="1:3" ht="15.75" customHeight="1" x14ac:dyDescent="0.25">
      <c r="A175" s="1" t="s">
        <v>437</v>
      </c>
      <c r="B175" s="1" t="s">
        <v>10796</v>
      </c>
      <c r="C175" s="1" t="s">
        <v>6653</v>
      </c>
    </row>
    <row r="176" spans="1:3" ht="15.75" customHeight="1" x14ac:dyDescent="0.25">
      <c r="A176" s="1" t="s">
        <v>4130</v>
      </c>
      <c r="B176" s="1" t="s">
        <v>10795</v>
      </c>
      <c r="C176" s="1" t="s">
        <v>8037</v>
      </c>
    </row>
    <row r="177" spans="1:3" ht="15.75" customHeight="1" x14ac:dyDescent="0.25">
      <c r="A177" s="1" t="s">
        <v>956</v>
      </c>
      <c r="B177" s="1" t="s">
        <v>10794</v>
      </c>
      <c r="C177" s="1" t="s">
        <v>7642</v>
      </c>
    </row>
    <row r="178" spans="1:3" ht="15.75" customHeight="1" x14ac:dyDescent="0.25">
      <c r="A178" s="1" t="s">
        <v>3751</v>
      </c>
      <c r="B178" s="1" t="s">
        <v>10793</v>
      </c>
      <c r="C178" s="1" t="s">
        <v>6784</v>
      </c>
    </row>
    <row r="179" spans="1:3" ht="15.75" customHeight="1" x14ac:dyDescent="0.25">
      <c r="A179" s="1" t="s">
        <v>4960</v>
      </c>
      <c r="B179" s="1" t="s">
        <v>4958</v>
      </c>
      <c r="C179" s="1" t="s">
        <v>10792</v>
      </c>
    </row>
    <row r="180" spans="1:3" ht="15.75" customHeight="1" x14ac:dyDescent="0.25">
      <c r="A180" s="1" t="s">
        <v>2168</v>
      </c>
      <c r="B180" s="1" t="s">
        <v>10791</v>
      </c>
      <c r="C180" s="1" t="s">
        <v>6651</v>
      </c>
    </row>
    <row r="181" spans="1:3" ht="15.75" customHeight="1" x14ac:dyDescent="0.25">
      <c r="A181" s="1" t="s">
        <v>10790</v>
      </c>
      <c r="B181" s="1" t="s">
        <v>10789</v>
      </c>
      <c r="C181" s="1" t="s">
        <v>7561</v>
      </c>
    </row>
    <row r="182" spans="1:3" ht="15.75" customHeight="1" x14ac:dyDescent="0.25">
      <c r="A182" s="1" t="s">
        <v>435</v>
      </c>
      <c r="B182" s="1" t="s">
        <v>10788</v>
      </c>
      <c r="C182" s="1" t="s">
        <v>7558</v>
      </c>
    </row>
    <row r="183" spans="1:3" ht="15.75" customHeight="1" x14ac:dyDescent="0.25">
      <c r="A183" s="1" t="s">
        <v>10787</v>
      </c>
      <c r="B183" s="1" t="s">
        <v>10786</v>
      </c>
      <c r="C183" s="1" t="s">
        <v>6242</v>
      </c>
    </row>
    <row r="184" spans="1:3" ht="15.75" customHeight="1" x14ac:dyDescent="0.25">
      <c r="A184" s="1" t="s">
        <v>10785</v>
      </c>
      <c r="B184" s="1" t="s">
        <v>10784</v>
      </c>
      <c r="C184" s="1" t="s">
        <v>6507</v>
      </c>
    </row>
    <row r="185" spans="1:3" ht="15.75" customHeight="1" x14ac:dyDescent="0.25">
      <c r="A185" s="1" t="s">
        <v>10783</v>
      </c>
      <c r="B185" s="1" t="s">
        <v>10782</v>
      </c>
      <c r="C185" s="1" t="s">
        <v>6486</v>
      </c>
    </row>
    <row r="186" spans="1:3" ht="15.75" customHeight="1" x14ac:dyDescent="0.25">
      <c r="A186" s="1" t="s">
        <v>10781</v>
      </c>
      <c r="B186" s="1" t="s">
        <v>10780</v>
      </c>
      <c r="C186" s="1" t="s">
        <v>6323</v>
      </c>
    </row>
    <row r="187" spans="1:3" ht="15.75" customHeight="1" x14ac:dyDescent="0.25">
      <c r="A187" s="1" t="s">
        <v>1545</v>
      </c>
      <c r="B187" s="1" t="s">
        <v>10779</v>
      </c>
      <c r="C187" s="1" t="s">
        <v>5838</v>
      </c>
    </row>
    <row r="188" spans="1:3" ht="15.75" customHeight="1" x14ac:dyDescent="0.25">
      <c r="A188" s="1" t="s">
        <v>5524</v>
      </c>
      <c r="B188" s="1" t="s">
        <v>10778</v>
      </c>
      <c r="C188" s="1" t="s">
        <v>6750</v>
      </c>
    </row>
    <row r="189" spans="1:3" ht="15.75" customHeight="1" x14ac:dyDescent="0.25">
      <c r="A189" s="1" t="s">
        <v>776</v>
      </c>
      <c r="B189" s="1" t="s">
        <v>10777</v>
      </c>
      <c r="C189" s="1" t="s">
        <v>9121</v>
      </c>
    </row>
    <row r="190" spans="1:3" ht="15.75" customHeight="1" x14ac:dyDescent="0.25">
      <c r="A190" s="1" t="s">
        <v>10776</v>
      </c>
      <c r="B190" s="1" t="s">
        <v>10775</v>
      </c>
      <c r="C190" s="1" t="s">
        <v>6468</v>
      </c>
    </row>
    <row r="191" spans="1:3" ht="15.75" customHeight="1" x14ac:dyDescent="0.25">
      <c r="A191" s="1" t="s">
        <v>10774</v>
      </c>
      <c r="B191" s="1" t="s">
        <v>10773</v>
      </c>
      <c r="C191" s="1" t="s">
        <v>5860</v>
      </c>
    </row>
    <row r="192" spans="1:3" ht="15.75" customHeight="1" x14ac:dyDescent="0.25">
      <c r="A192" s="1" t="s">
        <v>10772</v>
      </c>
      <c r="B192" s="1" t="s">
        <v>10771</v>
      </c>
      <c r="C192" s="1" t="s">
        <v>6669</v>
      </c>
    </row>
    <row r="193" spans="1:3" ht="15.75" customHeight="1" x14ac:dyDescent="0.25">
      <c r="A193" s="1" t="s">
        <v>4185</v>
      </c>
      <c r="B193" s="1" t="s">
        <v>10770</v>
      </c>
      <c r="C193" s="1" t="s">
        <v>7374</v>
      </c>
    </row>
    <row r="194" spans="1:3" ht="15.75" customHeight="1" x14ac:dyDescent="0.25">
      <c r="A194" s="1" t="s">
        <v>1902</v>
      </c>
      <c r="B194" s="1" t="s">
        <v>10769</v>
      </c>
      <c r="C194" s="1" t="s">
        <v>5838</v>
      </c>
    </row>
    <row r="195" spans="1:3" ht="15.75" customHeight="1" x14ac:dyDescent="0.25">
      <c r="A195" s="1" t="s">
        <v>3899</v>
      </c>
      <c r="B195" s="1" t="s">
        <v>10768</v>
      </c>
      <c r="C195" s="1" t="s">
        <v>7468</v>
      </c>
    </row>
    <row r="196" spans="1:3" ht="15.75" customHeight="1" x14ac:dyDescent="0.25">
      <c r="A196" s="1" t="s">
        <v>10767</v>
      </c>
      <c r="B196" s="1" t="s">
        <v>10766</v>
      </c>
      <c r="C196" s="1" t="s">
        <v>5860</v>
      </c>
    </row>
    <row r="197" spans="1:3" ht="15.75" customHeight="1" x14ac:dyDescent="0.25">
      <c r="A197" s="1" t="s">
        <v>4964</v>
      </c>
      <c r="B197" s="1" t="s">
        <v>10765</v>
      </c>
      <c r="C197" s="1" t="s">
        <v>5893</v>
      </c>
    </row>
    <row r="198" spans="1:3" ht="15.75" customHeight="1" x14ac:dyDescent="0.25">
      <c r="A198" s="1" t="s">
        <v>1161</v>
      </c>
      <c r="B198" s="1" t="s">
        <v>1159</v>
      </c>
      <c r="C198" s="1" t="s">
        <v>10764</v>
      </c>
    </row>
    <row r="199" spans="1:3" ht="15.75" customHeight="1" x14ac:dyDescent="0.25">
      <c r="A199" s="1" t="s">
        <v>3745</v>
      </c>
      <c r="B199" s="1" t="s">
        <v>10763</v>
      </c>
      <c r="C199" s="1" t="s">
        <v>5800</v>
      </c>
    </row>
    <row r="200" spans="1:3" ht="15.75" customHeight="1" x14ac:dyDescent="0.25">
      <c r="A200" s="1" t="s">
        <v>10762</v>
      </c>
      <c r="B200" s="1" t="s">
        <v>10761</v>
      </c>
      <c r="C200" s="1" t="s">
        <v>7245</v>
      </c>
    </row>
    <row r="201" spans="1:3" ht="15.75" customHeight="1" x14ac:dyDescent="0.25">
      <c r="A201" s="1" t="s">
        <v>3186</v>
      </c>
      <c r="B201" s="1" t="s">
        <v>1270</v>
      </c>
      <c r="C201" s="1" t="s">
        <v>6651</v>
      </c>
    </row>
    <row r="202" spans="1:3" ht="15.75" customHeight="1" x14ac:dyDescent="0.25">
      <c r="A202" s="1" t="s">
        <v>10760</v>
      </c>
      <c r="B202" s="1" t="s">
        <v>10759</v>
      </c>
      <c r="C202" s="1" t="s">
        <v>5809</v>
      </c>
    </row>
    <row r="203" spans="1:3" ht="15.75" customHeight="1" x14ac:dyDescent="0.25">
      <c r="A203" s="1" t="s">
        <v>4754</v>
      </c>
      <c r="B203" s="1" t="s">
        <v>10758</v>
      </c>
      <c r="C203" s="1" t="s">
        <v>6168</v>
      </c>
    </row>
    <row r="204" spans="1:3" ht="15.75" customHeight="1" x14ac:dyDescent="0.25">
      <c r="A204" s="1" t="s">
        <v>3719</v>
      </c>
      <c r="B204" s="1" t="s">
        <v>10757</v>
      </c>
      <c r="C204" s="1" t="s">
        <v>9121</v>
      </c>
    </row>
    <row r="205" spans="1:3" ht="15.75" customHeight="1" x14ac:dyDescent="0.25">
      <c r="A205" s="1" t="s">
        <v>5663</v>
      </c>
      <c r="B205" s="1" t="s">
        <v>10756</v>
      </c>
      <c r="C205" s="1" t="s">
        <v>6767</v>
      </c>
    </row>
    <row r="206" spans="1:3" ht="15.75" customHeight="1" x14ac:dyDescent="0.25">
      <c r="A206" s="1" t="s">
        <v>10755</v>
      </c>
      <c r="B206" s="1" t="s">
        <v>10754</v>
      </c>
      <c r="C206" s="1" t="s">
        <v>5811</v>
      </c>
    </row>
    <row r="207" spans="1:3" ht="15.75" customHeight="1" x14ac:dyDescent="0.25">
      <c r="A207" s="1" t="s">
        <v>10753</v>
      </c>
      <c r="B207" s="1" t="s">
        <v>10752</v>
      </c>
      <c r="C207" s="1" t="s">
        <v>6486</v>
      </c>
    </row>
    <row r="208" spans="1:3" ht="15.75" customHeight="1" x14ac:dyDescent="0.25">
      <c r="A208" s="1" t="s">
        <v>3790</v>
      </c>
      <c r="B208" s="1" t="s">
        <v>10751</v>
      </c>
      <c r="C208" s="1" t="s">
        <v>5893</v>
      </c>
    </row>
    <row r="209" spans="1:3" ht="15.75" customHeight="1" x14ac:dyDescent="0.25">
      <c r="A209" s="1" t="s">
        <v>10750</v>
      </c>
      <c r="B209" s="1" t="s">
        <v>10749</v>
      </c>
      <c r="C209" s="1" t="s">
        <v>6874</v>
      </c>
    </row>
    <row r="210" spans="1:3" ht="15.75" customHeight="1" x14ac:dyDescent="0.25">
      <c r="A210" s="1" t="s">
        <v>3565</v>
      </c>
      <c r="B210" s="1" t="s">
        <v>3564</v>
      </c>
      <c r="C210" s="1" t="s">
        <v>6945</v>
      </c>
    </row>
    <row r="211" spans="1:3" ht="15.75" customHeight="1" x14ac:dyDescent="0.25">
      <c r="A211" s="1" t="s">
        <v>1920</v>
      </c>
      <c r="B211" s="1" t="s">
        <v>10748</v>
      </c>
      <c r="C211" s="1" t="s">
        <v>7070</v>
      </c>
    </row>
    <row r="212" spans="1:3" ht="15.75" customHeight="1" x14ac:dyDescent="0.25">
      <c r="A212" s="1" t="s">
        <v>5430</v>
      </c>
      <c r="B212" s="1" t="s">
        <v>5428</v>
      </c>
      <c r="C212" s="1" t="s">
        <v>10747</v>
      </c>
    </row>
    <row r="213" spans="1:3" ht="15.75" customHeight="1" x14ac:dyDescent="0.25">
      <c r="A213" s="1" t="s">
        <v>3129</v>
      </c>
      <c r="B213" s="1" t="s">
        <v>10746</v>
      </c>
      <c r="C213" s="1" t="s">
        <v>6767</v>
      </c>
    </row>
    <row r="214" spans="1:3" ht="15.75" customHeight="1" x14ac:dyDescent="0.25">
      <c r="A214" s="1" t="s">
        <v>4649</v>
      </c>
      <c r="B214" s="1" t="s">
        <v>10745</v>
      </c>
      <c r="C214" s="1" t="s">
        <v>6651</v>
      </c>
    </row>
    <row r="215" spans="1:3" ht="15.75" customHeight="1" x14ac:dyDescent="0.25">
      <c r="A215" s="1" t="s">
        <v>10744</v>
      </c>
      <c r="B215" s="1" t="s">
        <v>10743</v>
      </c>
      <c r="C215" s="1" t="s">
        <v>6260</v>
      </c>
    </row>
    <row r="216" spans="1:3" ht="15.75" customHeight="1" x14ac:dyDescent="0.25">
      <c r="A216" s="1" t="s">
        <v>2500</v>
      </c>
      <c r="B216" s="1" t="s">
        <v>10742</v>
      </c>
      <c r="C216" s="1" t="s">
        <v>6468</v>
      </c>
    </row>
    <row r="217" spans="1:3" ht="15.75" customHeight="1" x14ac:dyDescent="0.25">
      <c r="A217" s="1" t="s">
        <v>4619</v>
      </c>
      <c r="B217" s="1" t="s">
        <v>10741</v>
      </c>
      <c r="C217" s="1" t="s">
        <v>5796</v>
      </c>
    </row>
    <row r="218" spans="1:3" ht="15.75" customHeight="1" x14ac:dyDescent="0.25">
      <c r="A218" s="1" t="s">
        <v>5002</v>
      </c>
      <c r="B218" s="1" t="s">
        <v>10740</v>
      </c>
      <c r="C218" s="1" t="s">
        <v>6122</v>
      </c>
    </row>
    <row r="219" spans="1:3" ht="15.75" customHeight="1" x14ac:dyDescent="0.25">
      <c r="A219" s="1" t="s">
        <v>1495</v>
      </c>
      <c r="B219" s="1" t="s">
        <v>10739</v>
      </c>
      <c r="C219" s="1" t="s">
        <v>6991</v>
      </c>
    </row>
    <row r="220" spans="1:3" ht="15.75" customHeight="1" x14ac:dyDescent="0.25">
      <c r="A220" s="1" t="s">
        <v>3557</v>
      </c>
      <c r="B220" s="1" t="s">
        <v>10738</v>
      </c>
      <c r="C220" s="1" t="s">
        <v>5886</v>
      </c>
    </row>
    <row r="221" spans="1:3" ht="15.75" customHeight="1" x14ac:dyDescent="0.25">
      <c r="A221" s="1" t="s">
        <v>4601</v>
      </c>
      <c r="B221" s="1" t="s">
        <v>10737</v>
      </c>
      <c r="C221" s="1" t="s">
        <v>6653</v>
      </c>
    </row>
    <row r="222" spans="1:3" ht="15.75" customHeight="1" x14ac:dyDescent="0.25">
      <c r="A222" s="1" t="s">
        <v>1627</v>
      </c>
      <c r="B222" s="1" t="s">
        <v>10736</v>
      </c>
      <c r="C222" s="1" t="s">
        <v>8384</v>
      </c>
    </row>
    <row r="223" spans="1:3" ht="15.75" customHeight="1" x14ac:dyDescent="0.25">
      <c r="A223" s="1" t="s">
        <v>10735</v>
      </c>
      <c r="B223" s="1" t="s">
        <v>10734</v>
      </c>
      <c r="C223" s="1" t="s">
        <v>7055</v>
      </c>
    </row>
    <row r="224" spans="1:3" ht="15.75" customHeight="1" x14ac:dyDescent="0.25">
      <c r="A224" s="1" t="s">
        <v>10733</v>
      </c>
      <c r="B224" s="1" t="s">
        <v>10732</v>
      </c>
      <c r="C224" s="1" t="s">
        <v>6929</v>
      </c>
    </row>
    <row r="225" spans="1:3" ht="15.75" customHeight="1" x14ac:dyDescent="0.25">
      <c r="A225" s="1" t="s">
        <v>433</v>
      </c>
      <c r="B225" s="1" t="s">
        <v>10731</v>
      </c>
      <c r="C225" s="1" t="s">
        <v>8584</v>
      </c>
    </row>
    <row r="226" spans="1:3" ht="15.75" customHeight="1" x14ac:dyDescent="0.25">
      <c r="A226" s="1" t="s">
        <v>5526</v>
      </c>
      <c r="B226" s="1" t="s">
        <v>8021</v>
      </c>
      <c r="C226" s="1" t="s">
        <v>10730</v>
      </c>
    </row>
    <row r="227" spans="1:3" ht="15.75" customHeight="1" x14ac:dyDescent="0.25">
      <c r="A227" s="1" t="s">
        <v>875</v>
      </c>
      <c r="B227" s="1" t="s">
        <v>10729</v>
      </c>
      <c r="C227" s="1" t="s">
        <v>6669</v>
      </c>
    </row>
    <row r="228" spans="1:3" ht="15.75" customHeight="1" x14ac:dyDescent="0.25">
      <c r="A228" s="1" t="s">
        <v>4699</v>
      </c>
      <c r="B228" s="1" t="s">
        <v>10728</v>
      </c>
      <c r="C228" s="1" t="s">
        <v>5914</v>
      </c>
    </row>
    <row r="229" spans="1:3" ht="15.75" customHeight="1" x14ac:dyDescent="0.25">
      <c r="A229" s="1" t="s">
        <v>10727</v>
      </c>
      <c r="B229" s="1" t="s">
        <v>10726</v>
      </c>
      <c r="C229" s="1" t="s">
        <v>9121</v>
      </c>
    </row>
    <row r="230" spans="1:3" ht="15.75" customHeight="1" x14ac:dyDescent="0.25">
      <c r="A230" s="1" t="s">
        <v>10725</v>
      </c>
      <c r="B230" s="1" t="s">
        <v>10724</v>
      </c>
      <c r="C230" s="1" t="s">
        <v>6295</v>
      </c>
    </row>
    <row r="231" spans="1:3" ht="15.75" customHeight="1" x14ac:dyDescent="0.25">
      <c r="A231" s="1" t="s">
        <v>430</v>
      </c>
      <c r="B231" s="1" t="s">
        <v>10604</v>
      </c>
      <c r="C231" s="1" t="s">
        <v>6288</v>
      </c>
    </row>
    <row r="232" spans="1:3" ht="15.75" customHeight="1" x14ac:dyDescent="0.25">
      <c r="A232" s="1" t="s">
        <v>10723</v>
      </c>
      <c r="B232" s="1" t="s">
        <v>10722</v>
      </c>
      <c r="C232" s="1" t="s">
        <v>6963</v>
      </c>
    </row>
    <row r="233" spans="1:3" ht="15.75" customHeight="1" x14ac:dyDescent="0.25">
      <c r="A233" s="1" t="s">
        <v>10721</v>
      </c>
      <c r="B233" s="1" t="s">
        <v>10720</v>
      </c>
      <c r="C233" s="1" t="s">
        <v>7052</v>
      </c>
    </row>
    <row r="234" spans="1:3" ht="15.75" customHeight="1" x14ac:dyDescent="0.25">
      <c r="A234" s="1" t="s">
        <v>4429</v>
      </c>
      <c r="B234" s="1" t="s">
        <v>6147</v>
      </c>
      <c r="C234" s="1" t="s">
        <v>10719</v>
      </c>
    </row>
    <row r="235" spans="1:3" ht="15.75" customHeight="1" x14ac:dyDescent="0.25">
      <c r="A235" s="1" t="s">
        <v>2942</v>
      </c>
      <c r="B235" s="1" t="s">
        <v>10718</v>
      </c>
      <c r="C235" s="1" t="s">
        <v>9121</v>
      </c>
    </row>
    <row r="236" spans="1:3" ht="15.75" customHeight="1" x14ac:dyDescent="0.25">
      <c r="A236" s="1" t="s">
        <v>10717</v>
      </c>
      <c r="B236" s="1" t="s">
        <v>10716</v>
      </c>
      <c r="C236" s="1" t="s">
        <v>9121</v>
      </c>
    </row>
    <row r="237" spans="1:3" ht="15.75" customHeight="1" x14ac:dyDescent="0.25">
      <c r="A237" s="1" t="s">
        <v>10715</v>
      </c>
      <c r="B237" s="1" t="s">
        <v>10714</v>
      </c>
      <c r="C237" s="1" t="s">
        <v>5893</v>
      </c>
    </row>
    <row r="238" spans="1:3" ht="15.75" customHeight="1" x14ac:dyDescent="0.25">
      <c r="A238" s="1" t="s">
        <v>5165</v>
      </c>
      <c r="B238" s="1" t="s">
        <v>10713</v>
      </c>
      <c r="C238" s="1" t="s">
        <v>5811</v>
      </c>
    </row>
    <row r="239" spans="1:3" ht="15.75" customHeight="1" x14ac:dyDescent="0.25">
      <c r="A239" s="1" t="s">
        <v>428</v>
      </c>
      <c r="B239" s="1" t="s">
        <v>10712</v>
      </c>
      <c r="C239" s="1" t="s">
        <v>9411</v>
      </c>
    </row>
    <row r="240" spans="1:3" ht="15.75" customHeight="1" x14ac:dyDescent="0.25">
      <c r="A240" s="1" t="s">
        <v>3860</v>
      </c>
      <c r="B240" s="1" t="s">
        <v>10711</v>
      </c>
      <c r="C240" s="1" t="s">
        <v>5811</v>
      </c>
    </row>
    <row r="241" spans="1:3" ht="15.75" customHeight="1" x14ac:dyDescent="0.25">
      <c r="A241" s="1" t="s">
        <v>2282</v>
      </c>
      <c r="B241" s="1" t="s">
        <v>10710</v>
      </c>
      <c r="C241" s="1" t="s">
        <v>7875</v>
      </c>
    </row>
    <row r="242" spans="1:3" ht="15.75" customHeight="1" x14ac:dyDescent="0.25">
      <c r="A242" s="1" t="s">
        <v>4196</v>
      </c>
      <c r="B242" s="1" t="s">
        <v>10709</v>
      </c>
      <c r="C242" s="1" t="s">
        <v>6653</v>
      </c>
    </row>
    <row r="243" spans="1:3" ht="15.75" customHeight="1" x14ac:dyDescent="0.25">
      <c r="A243" s="1" t="s">
        <v>4856</v>
      </c>
      <c r="B243" s="1" t="s">
        <v>10708</v>
      </c>
      <c r="C243" s="1" t="s">
        <v>6665</v>
      </c>
    </row>
    <row r="244" spans="1:3" ht="15.75" customHeight="1" x14ac:dyDescent="0.25">
      <c r="A244" s="1" t="s">
        <v>3247</v>
      </c>
      <c r="B244" s="1" t="s">
        <v>10707</v>
      </c>
      <c r="C244" s="1" t="s">
        <v>5781</v>
      </c>
    </row>
    <row r="245" spans="1:3" ht="15.75" customHeight="1" x14ac:dyDescent="0.25">
      <c r="A245" s="1" t="s">
        <v>1761</v>
      </c>
      <c r="B245" s="1" t="s">
        <v>10706</v>
      </c>
      <c r="C245" s="1" t="s">
        <v>6530</v>
      </c>
    </row>
    <row r="246" spans="1:3" ht="15.75" customHeight="1" x14ac:dyDescent="0.25">
      <c r="A246" s="1" t="s">
        <v>10705</v>
      </c>
      <c r="B246" s="1" t="s">
        <v>10704</v>
      </c>
      <c r="C246" s="1" t="s">
        <v>7720</v>
      </c>
    </row>
    <row r="247" spans="1:3" ht="15.75" customHeight="1" x14ac:dyDescent="0.25">
      <c r="A247" s="1" t="s">
        <v>5110</v>
      </c>
      <c r="B247" s="1" t="s">
        <v>10703</v>
      </c>
      <c r="C247" s="1" t="s">
        <v>10702</v>
      </c>
    </row>
    <row r="248" spans="1:3" ht="15.75" customHeight="1" x14ac:dyDescent="0.25">
      <c r="A248" s="1" t="s">
        <v>10701</v>
      </c>
      <c r="B248" s="1" t="s">
        <v>10700</v>
      </c>
      <c r="C248" s="1" t="s">
        <v>6945</v>
      </c>
    </row>
    <row r="249" spans="1:3" ht="15.75" customHeight="1" x14ac:dyDescent="0.25">
      <c r="A249" s="1" t="s">
        <v>10699</v>
      </c>
      <c r="B249" s="1" t="s">
        <v>10698</v>
      </c>
      <c r="C249" s="1" t="s">
        <v>6963</v>
      </c>
    </row>
    <row r="250" spans="1:3" ht="15.75" customHeight="1" x14ac:dyDescent="0.25">
      <c r="A250" s="1" t="s">
        <v>10697</v>
      </c>
      <c r="B250" s="1" t="s">
        <v>10696</v>
      </c>
      <c r="C250" s="1" t="s">
        <v>5811</v>
      </c>
    </row>
    <row r="251" spans="1:3" ht="15.75" customHeight="1" x14ac:dyDescent="0.25">
      <c r="A251" s="1" t="s">
        <v>426</v>
      </c>
      <c r="B251" s="1" t="s">
        <v>10695</v>
      </c>
      <c r="C251" s="1" t="s">
        <v>6468</v>
      </c>
    </row>
    <row r="252" spans="1:3" ht="15.75" customHeight="1" x14ac:dyDescent="0.25">
      <c r="A252" s="1" t="s">
        <v>4551</v>
      </c>
      <c r="B252" s="1" t="s">
        <v>10694</v>
      </c>
      <c r="C252" s="1" t="s">
        <v>7052</v>
      </c>
    </row>
    <row r="253" spans="1:3" ht="15.75" customHeight="1" x14ac:dyDescent="0.25">
      <c r="A253" s="1" t="s">
        <v>10693</v>
      </c>
      <c r="B253" s="1" t="s">
        <v>8179</v>
      </c>
      <c r="C253" s="1" t="s">
        <v>7276</v>
      </c>
    </row>
    <row r="254" spans="1:3" ht="15.75" customHeight="1" x14ac:dyDescent="0.25">
      <c r="A254" s="1" t="s">
        <v>10692</v>
      </c>
      <c r="B254" s="1" t="s">
        <v>6925</v>
      </c>
      <c r="C254" s="1" t="s">
        <v>10691</v>
      </c>
    </row>
    <row r="255" spans="1:3" ht="15.75" customHeight="1" x14ac:dyDescent="0.25">
      <c r="A255" s="1" t="s">
        <v>4553</v>
      </c>
      <c r="B255" s="1" t="s">
        <v>10690</v>
      </c>
      <c r="C255" s="1" t="s">
        <v>5838</v>
      </c>
    </row>
    <row r="256" spans="1:3" ht="15.75" customHeight="1" x14ac:dyDescent="0.25">
      <c r="A256" s="1" t="s">
        <v>3580</v>
      </c>
      <c r="B256" s="1" t="s">
        <v>10689</v>
      </c>
      <c r="C256" s="1" t="s">
        <v>6242</v>
      </c>
    </row>
    <row r="257" spans="1:3" ht="15.75" customHeight="1" x14ac:dyDescent="0.25">
      <c r="A257" s="1" t="s">
        <v>10688</v>
      </c>
      <c r="B257" s="1" t="s">
        <v>10687</v>
      </c>
      <c r="C257" s="1" t="s">
        <v>9121</v>
      </c>
    </row>
    <row r="258" spans="1:3" ht="15.75" customHeight="1" x14ac:dyDescent="0.25">
      <c r="A258" s="1" t="s">
        <v>3227</v>
      </c>
      <c r="B258" s="1" t="s">
        <v>10686</v>
      </c>
      <c r="C258" s="1" t="s">
        <v>6644</v>
      </c>
    </row>
    <row r="259" spans="1:3" ht="15.75" customHeight="1" x14ac:dyDescent="0.25">
      <c r="A259" s="1" t="s">
        <v>5395</v>
      </c>
      <c r="B259" s="1" t="s">
        <v>10685</v>
      </c>
      <c r="C259" s="1" t="s">
        <v>10684</v>
      </c>
    </row>
    <row r="260" spans="1:3" ht="15.75" customHeight="1" x14ac:dyDescent="0.25">
      <c r="A260" s="1" t="s">
        <v>10683</v>
      </c>
      <c r="B260" s="1" t="s">
        <v>10682</v>
      </c>
      <c r="C260" s="1" t="s">
        <v>7468</v>
      </c>
    </row>
    <row r="261" spans="1:3" ht="15.75" customHeight="1" x14ac:dyDescent="0.25">
      <c r="A261" s="1" t="s">
        <v>5469</v>
      </c>
      <c r="B261" s="1" t="s">
        <v>10681</v>
      </c>
      <c r="C261" s="1" t="s">
        <v>8091</v>
      </c>
    </row>
    <row r="262" spans="1:3" ht="15.75" customHeight="1" x14ac:dyDescent="0.25">
      <c r="A262" s="1" t="s">
        <v>3337</v>
      </c>
      <c r="B262" s="1" t="s">
        <v>10680</v>
      </c>
      <c r="C262" s="1" t="s">
        <v>6714</v>
      </c>
    </row>
    <row r="263" spans="1:3" ht="15.75" customHeight="1" x14ac:dyDescent="0.25">
      <c r="A263" s="1" t="s">
        <v>3759</v>
      </c>
      <c r="B263" s="1" t="s">
        <v>10679</v>
      </c>
      <c r="C263" s="1" t="s">
        <v>6795</v>
      </c>
    </row>
    <row r="264" spans="1:3" ht="15.75" customHeight="1" x14ac:dyDescent="0.25">
      <c r="A264" s="1" t="s">
        <v>10678</v>
      </c>
      <c r="B264" s="1" t="s">
        <v>10677</v>
      </c>
      <c r="C264" s="1" t="s">
        <v>7860</v>
      </c>
    </row>
    <row r="265" spans="1:3" ht="15.75" customHeight="1" x14ac:dyDescent="0.25">
      <c r="A265" s="1" t="s">
        <v>424</v>
      </c>
      <c r="B265" s="1" t="s">
        <v>10663</v>
      </c>
      <c r="C265" s="1" t="s">
        <v>10676</v>
      </c>
    </row>
    <row r="266" spans="1:3" ht="15.75" customHeight="1" x14ac:dyDescent="0.25">
      <c r="A266" s="1" t="s">
        <v>10675</v>
      </c>
      <c r="B266" s="1" t="s">
        <v>10674</v>
      </c>
      <c r="C266" s="1" t="s">
        <v>6797</v>
      </c>
    </row>
    <row r="267" spans="1:3" ht="15.75" customHeight="1" x14ac:dyDescent="0.25">
      <c r="A267" s="1" t="s">
        <v>4441</v>
      </c>
      <c r="B267" s="1" t="s">
        <v>10673</v>
      </c>
      <c r="C267" s="1" t="s">
        <v>6651</v>
      </c>
    </row>
    <row r="268" spans="1:3" ht="15.75" customHeight="1" x14ac:dyDescent="0.25">
      <c r="A268" s="1" t="s">
        <v>2740</v>
      </c>
      <c r="B268" s="1" t="s">
        <v>10672</v>
      </c>
      <c r="C268" s="1" t="s">
        <v>10671</v>
      </c>
    </row>
    <row r="269" spans="1:3" ht="15.75" customHeight="1" x14ac:dyDescent="0.25">
      <c r="A269" s="1" t="s">
        <v>4993</v>
      </c>
      <c r="B269" s="1" t="s">
        <v>10670</v>
      </c>
      <c r="C269" s="1" t="s">
        <v>10669</v>
      </c>
    </row>
    <row r="270" spans="1:3" ht="15.75" customHeight="1" x14ac:dyDescent="0.25">
      <c r="A270" s="1" t="s">
        <v>3288</v>
      </c>
      <c r="B270" s="1" t="s">
        <v>10668</v>
      </c>
      <c r="C270" s="1" t="s">
        <v>6892</v>
      </c>
    </row>
    <row r="271" spans="1:3" ht="15.75" customHeight="1" x14ac:dyDescent="0.25">
      <c r="A271" s="1" t="s">
        <v>5356</v>
      </c>
      <c r="B271" s="1" t="s">
        <v>10667</v>
      </c>
      <c r="C271" s="1" t="s">
        <v>5781</v>
      </c>
    </row>
    <row r="272" spans="1:3" ht="15.75" customHeight="1" x14ac:dyDescent="0.25">
      <c r="A272" s="1" t="s">
        <v>4406</v>
      </c>
      <c r="B272" s="1" t="s">
        <v>10666</v>
      </c>
      <c r="C272" s="1" t="s">
        <v>7561</v>
      </c>
    </row>
    <row r="273" spans="1:3" ht="15.75" customHeight="1" x14ac:dyDescent="0.25">
      <c r="A273" s="1" t="s">
        <v>5507</v>
      </c>
      <c r="B273" s="1" t="s">
        <v>7847</v>
      </c>
      <c r="C273" s="1" t="s">
        <v>10665</v>
      </c>
    </row>
    <row r="274" spans="1:3" ht="15.75" customHeight="1" x14ac:dyDescent="0.25">
      <c r="A274" s="1" t="s">
        <v>1341</v>
      </c>
      <c r="B274" s="1" t="s">
        <v>10664</v>
      </c>
      <c r="C274" s="1" t="s">
        <v>7561</v>
      </c>
    </row>
    <row r="275" spans="1:3" ht="15.75" customHeight="1" x14ac:dyDescent="0.25">
      <c r="A275" s="1" t="s">
        <v>5099</v>
      </c>
      <c r="B275" s="1" t="s">
        <v>10663</v>
      </c>
      <c r="C275" s="1" t="s">
        <v>6530</v>
      </c>
    </row>
    <row r="276" spans="1:3" ht="15.75" customHeight="1" x14ac:dyDescent="0.25">
      <c r="A276" s="1" t="s">
        <v>3297</v>
      </c>
      <c r="B276" s="1" t="s">
        <v>10662</v>
      </c>
      <c r="C276" s="1" t="s">
        <v>5824</v>
      </c>
    </row>
    <row r="277" spans="1:3" ht="15.75" customHeight="1" x14ac:dyDescent="0.25">
      <c r="A277" s="1" t="s">
        <v>10661</v>
      </c>
      <c r="B277" s="1" t="s">
        <v>10660</v>
      </c>
      <c r="C277" s="1" t="s">
        <v>6866</v>
      </c>
    </row>
    <row r="278" spans="1:3" ht="15.75" customHeight="1" x14ac:dyDescent="0.25">
      <c r="A278" s="1" t="s">
        <v>3469</v>
      </c>
      <c r="B278" s="1" t="s">
        <v>10659</v>
      </c>
      <c r="C278" s="1" t="s">
        <v>6093</v>
      </c>
    </row>
    <row r="279" spans="1:3" ht="15.75" customHeight="1" x14ac:dyDescent="0.25">
      <c r="A279" s="1" t="s">
        <v>2565</v>
      </c>
      <c r="B279" s="1" t="s">
        <v>10658</v>
      </c>
      <c r="C279" s="1" t="s">
        <v>9150</v>
      </c>
    </row>
    <row r="280" spans="1:3" ht="15.75" customHeight="1" x14ac:dyDescent="0.25">
      <c r="A280" s="1" t="s">
        <v>5159</v>
      </c>
      <c r="B280" s="1" t="s">
        <v>10657</v>
      </c>
      <c r="C280" s="1" t="s">
        <v>6653</v>
      </c>
    </row>
    <row r="281" spans="1:3" ht="15.75" customHeight="1" x14ac:dyDescent="0.25">
      <c r="A281" s="1" t="s">
        <v>3539</v>
      </c>
      <c r="B281" s="1" t="s">
        <v>10656</v>
      </c>
      <c r="C281" s="1" t="s">
        <v>6874</v>
      </c>
    </row>
    <row r="282" spans="1:3" ht="15.75" customHeight="1" x14ac:dyDescent="0.25">
      <c r="A282" s="1" t="s">
        <v>5145</v>
      </c>
      <c r="B282" s="1" t="s">
        <v>10650</v>
      </c>
      <c r="C282" s="1" t="s">
        <v>7210</v>
      </c>
    </row>
    <row r="283" spans="1:3" ht="15.75" customHeight="1" x14ac:dyDescent="0.25">
      <c r="A283" s="1" t="s">
        <v>3749</v>
      </c>
      <c r="B283" s="1" t="s">
        <v>10655</v>
      </c>
      <c r="C283" s="1" t="s">
        <v>6653</v>
      </c>
    </row>
    <row r="284" spans="1:3" ht="15.75" customHeight="1" x14ac:dyDescent="0.25">
      <c r="A284" s="1" t="s">
        <v>2343</v>
      </c>
      <c r="B284" s="1" t="s">
        <v>10654</v>
      </c>
      <c r="C284" s="1" t="s">
        <v>9121</v>
      </c>
    </row>
    <row r="285" spans="1:3" ht="15.75" customHeight="1" x14ac:dyDescent="0.25">
      <c r="A285" s="1" t="s">
        <v>1813</v>
      </c>
      <c r="B285" s="1" t="s">
        <v>10653</v>
      </c>
      <c r="C285" s="1" t="s">
        <v>7875</v>
      </c>
    </row>
    <row r="286" spans="1:3" ht="15.75" customHeight="1" x14ac:dyDescent="0.25">
      <c r="A286" s="1" t="s">
        <v>1543</v>
      </c>
      <c r="B286" s="1" t="s">
        <v>10652</v>
      </c>
      <c r="C286" s="1" t="s">
        <v>9121</v>
      </c>
    </row>
    <row r="287" spans="1:3" ht="15.75" customHeight="1" x14ac:dyDescent="0.25">
      <c r="A287" s="1" t="s">
        <v>2297</v>
      </c>
      <c r="B287" s="1" t="s">
        <v>10651</v>
      </c>
      <c r="C287" s="1" t="s">
        <v>6653</v>
      </c>
    </row>
    <row r="288" spans="1:3" ht="15.75" customHeight="1" x14ac:dyDescent="0.25">
      <c r="A288" s="1" t="s">
        <v>419</v>
      </c>
      <c r="B288" s="1" t="s">
        <v>418</v>
      </c>
      <c r="C288" s="1" t="s">
        <v>6546</v>
      </c>
    </row>
    <row r="289" spans="1:3" ht="15.75" customHeight="1" x14ac:dyDescent="0.25">
      <c r="A289" s="1" t="s">
        <v>5561</v>
      </c>
      <c r="B289" s="1" t="s">
        <v>10650</v>
      </c>
      <c r="C289" s="1" t="s">
        <v>6530</v>
      </c>
    </row>
    <row r="290" spans="1:3" ht="15.75" customHeight="1" x14ac:dyDescent="0.25">
      <c r="A290" s="1" t="s">
        <v>4064</v>
      </c>
      <c r="B290" s="1" t="s">
        <v>10649</v>
      </c>
      <c r="C290" s="1" t="s">
        <v>5796</v>
      </c>
    </row>
    <row r="291" spans="1:3" ht="15.75" customHeight="1" x14ac:dyDescent="0.25">
      <c r="A291" s="1" t="s">
        <v>4584</v>
      </c>
      <c r="B291" s="1" t="s">
        <v>10648</v>
      </c>
      <c r="C291" s="1" t="s">
        <v>5838</v>
      </c>
    </row>
    <row r="292" spans="1:3" ht="15.75" customHeight="1" x14ac:dyDescent="0.25">
      <c r="A292" s="1" t="s">
        <v>10647</v>
      </c>
      <c r="B292" s="1" t="s">
        <v>10646</v>
      </c>
      <c r="C292" s="1" t="s">
        <v>6524</v>
      </c>
    </row>
    <row r="293" spans="1:3" ht="15.75" customHeight="1" x14ac:dyDescent="0.25">
      <c r="A293" s="1" t="s">
        <v>10645</v>
      </c>
      <c r="B293" s="1" t="s">
        <v>10644</v>
      </c>
      <c r="C293" s="1" t="s">
        <v>6507</v>
      </c>
    </row>
    <row r="294" spans="1:3" ht="15.75" customHeight="1" x14ac:dyDescent="0.25">
      <c r="A294" s="1" t="s">
        <v>10643</v>
      </c>
      <c r="B294" s="1" t="s">
        <v>10642</v>
      </c>
      <c r="C294" s="1" t="s">
        <v>5811</v>
      </c>
    </row>
    <row r="295" spans="1:3" ht="15.75" customHeight="1" x14ac:dyDescent="0.25">
      <c r="A295" s="1" t="s">
        <v>4424</v>
      </c>
      <c r="B295" s="1" t="s">
        <v>10641</v>
      </c>
      <c r="C295" s="1" t="s">
        <v>6474</v>
      </c>
    </row>
    <row r="296" spans="1:3" ht="15.75" customHeight="1" x14ac:dyDescent="0.25">
      <c r="A296" s="1" t="s">
        <v>1447</v>
      </c>
      <c r="B296" s="1" t="s">
        <v>8188</v>
      </c>
      <c r="C296" s="1" t="s">
        <v>5809</v>
      </c>
    </row>
    <row r="297" spans="1:3" ht="15.75" customHeight="1" x14ac:dyDescent="0.25">
      <c r="A297" s="1" t="s">
        <v>5291</v>
      </c>
      <c r="B297" s="1" t="s">
        <v>10640</v>
      </c>
      <c r="C297" s="1" t="s">
        <v>6288</v>
      </c>
    </row>
    <row r="298" spans="1:3" ht="15.75" customHeight="1" x14ac:dyDescent="0.25">
      <c r="A298" s="1" t="s">
        <v>4592</v>
      </c>
      <c r="B298" s="1" t="s">
        <v>10639</v>
      </c>
      <c r="C298" s="1" t="s">
        <v>5838</v>
      </c>
    </row>
    <row r="299" spans="1:3" ht="15.75" customHeight="1" x14ac:dyDescent="0.25">
      <c r="A299" s="1" t="s">
        <v>3547</v>
      </c>
      <c r="B299" s="1" t="s">
        <v>10638</v>
      </c>
      <c r="C299" s="1" t="s">
        <v>7875</v>
      </c>
    </row>
    <row r="300" spans="1:3" ht="15.75" customHeight="1" x14ac:dyDescent="0.25">
      <c r="A300" s="1" t="s">
        <v>3831</v>
      </c>
      <c r="B300" s="1" t="s">
        <v>10637</v>
      </c>
      <c r="C300" s="1" t="s">
        <v>8451</v>
      </c>
    </row>
    <row r="301" spans="1:3" ht="15.75" customHeight="1" x14ac:dyDescent="0.25">
      <c r="A301" s="1" t="s">
        <v>3440</v>
      </c>
      <c r="B301" s="1" t="s">
        <v>10636</v>
      </c>
      <c r="C301" s="1" t="s">
        <v>7070</v>
      </c>
    </row>
    <row r="302" spans="1:3" ht="15.75" customHeight="1" x14ac:dyDescent="0.25">
      <c r="A302" s="1" t="s">
        <v>10635</v>
      </c>
      <c r="B302" s="1" t="s">
        <v>10634</v>
      </c>
      <c r="C302" s="1" t="s">
        <v>5893</v>
      </c>
    </row>
    <row r="303" spans="1:3" ht="15.75" customHeight="1" x14ac:dyDescent="0.25">
      <c r="A303" s="1" t="s">
        <v>1479</v>
      </c>
      <c r="B303" s="1" t="s">
        <v>10633</v>
      </c>
      <c r="C303" s="1" t="s">
        <v>5781</v>
      </c>
    </row>
    <row r="304" spans="1:3" ht="15.75" customHeight="1" x14ac:dyDescent="0.25">
      <c r="A304" s="1" t="s">
        <v>1993</v>
      </c>
      <c r="B304" s="1" t="s">
        <v>10632</v>
      </c>
      <c r="C304" s="1" t="s">
        <v>6942</v>
      </c>
    </row>
    <row r="305" spans="1:3" ht="15.75" customHeight="1" x14ac:dyDescent="0.25">
      <c r="A305" s="1" t="s">
        <v>3726</v>
      </c>
      <c r="B305" s="1" t="s">
        <v>10631</v>
      </c>
      <c r="C305" s="1" t="s">
        <v>10630</v>
      </c>
    </row>
    <row r="306" spans="1:3" ht="15.75" customHeight="1" x14ac:dyDescent="0.25">
      <c r="A306" s="1" t="s">
        <v>2614</v>
      </c>
      <c r="B306" s="1" t="s">
        <v>10629</v>
      </c>
      <c r="C306" s="1" t="s">
        <v>10628</v>
      </c>
    </row>
    <row r="307" spans="1:3" ht="15.75" customHeight="1" x14ac:dyDescent="0.25">
      <c r="A307" s="1" t="s">
        <v>10627</v>
      </c>
      <c r="B307" s="1" t="s">
        <v>10626</v>
      </c>
      <c r="C307" s="1" t="s">
        <v>6963</v>
      </c>
    </row>
    <row r="308" spans="1:3" ht="15.75" customHeight="1" x14ac:dyDescent="0.25">
      <c r="A308" s="1" t="s">
        <v>5128</v>
      </c>
      <c r="B308" s="1" t="s">
        <v>10625</v>
      </c>
      <c r="C308" s="1" t="s">
        <v>6767</v>
      </c>
    </row>
    <row r="309" spans="1:3" ht="15.75" customHeight="1" x14ac:dyDescent="0.25">
      <c r="A309" s="1" t="s">
        <v>4638</v>
      </c>
      <c r="B309" s="1" t="s">
        <v>10624</v>
      </c>
      <c r="C309" s="1" t="s">
        <v>5836</v>
      </c>
    </row>
    <row r="310" spans="1:3" ht="15.75" customHeight="1" x14ac:dyDescent="0.25">
      <c r="A310" s="1" t="s">
        <v>2553</v>
      </c>
      <c r="B310" s="1" t="s">
        <v>10623</v>
      </c>
      <c r="C310" s="1" t="s">
        <v>6288</v>
      </c>
    </row>
    <row r="311" spans="1:3" ht="15.75" customHeight="1" x14ac:dyDescent="0.25">
      <c r="A311" s="1" t="s">
        <v>10622</v>
      </c>
      <c r="B311" s="1" t="s">
        <v>6708</v>
      </c>
      <c r="C311" s="1" t="s">
        <v>10621</v>
      </c>
    </row>
    <row r="312" spans="1:3" ht="15.75" customHeight="1" x14ac:dyDescent="0.25">
      <c r="A312" s="1" t="s">
        <v>10620</v>
      </c>
      <c r="B312" s="1" t="s">
        <v>10619</v>
      </c>
      <c r="C312" s="1" t="s">
        <v>6242</v>
      </c>
    </row>
    <row r="313" spans="1:3" ht="15.75" customHeight="1" x14ac:dyDescent="0.25">
      <c r="A313" s="1" t="s">
        <v>417</v>
      </c>
      <c r="B313" s="1" t="s">
        <v>10618</v>
      </c>
      <c r="C313" s="1" t="s">
        <v>6929</v>
      </c>
    </row>
    <row r="314" spans="1:3" ht="15.75" customHeight="1" x14ac:dyDescent="0.25">
      <c r="A314" s="1" t="s">
        <v>415</v>
      </c>
      <c r="B314" s="1" t="s">
        <v>10617</v>
      </c>
      <c r="C314" s="1" t="s">
        <v>6797</v>
      </c>
    </row>
    <row r="315" spans="1:3" ht="15.75" customHeight="1" x14ac:dyDescent="0.25">
      <c r="A315" s="1" t="s">
        <v>4204</v>
      </c>
      <c r="B315" s="1" t="s">
        <v>10616</v>
      </c>
      <c r="C315" s="1" t="s">
        <v>7043</v>
      </c>
    </row>
    <row r="316" spans="1:3" ht="15.75" customHeight="1" x14ac:dyDescent="0.25">
      <c r="A316" s="1" t="s">
        <v>10615</v>
      </c>
      <c r="B316" s="1" t="s">
        <v>10614</v>
      </c>
      <c r="C316" s="1" t="s">
        <v>9121</v>
      </c>
    </row>
    <row r="317" spans="1:3" ht="15.75" customHeight="1" x14ac:dyDescent="0.25">
      <c r="A317" s="1" t="s">
        <v>10613</v>
      </c>
      <c r="B317" s="1" t="s">
        <v>10612</v>
      </c>
      <c r="C317" s="1" t="s">
        <v>5811</v>
      </c>
    </row>
    <row r="318" spans="1:3" ht="15.75" customHeight="1" x14ac:dyDescent="0.25">
      <c r="A318" s="1" t="s">
        <v>10611</v>
      </c>
      <c r="B318" s="1" t="s">
        <v>10610</v>
      </c>
      <c r="C318" s="1" t="s">
        <v>8578</v>
      </c>
    </row>
    <row r="319" spans="1:3" ht="15.75" customHeight="1" x14ac:dyDescent="0.25">
      <c r="A319" s="1" t="s">
        <v>10609</v>
      </c>
      <c r="B319" s="1" t="s">
        <v>10608</v>
      </c>
      <c r="C319" s="1" t="s">
        <v>7642</v>
      </c>
    </row>
    <row r="320" spans="1:3" ht="15.75" customHeight="1" x14ac:dyDescent="0.25">
      <c r="A320" s="1" t="s">
        <v>10607</v>
      </c>
      <c r="B320" s="1" t="s">
        <v>10606</v>
      </c>
      <c r="C320" s="1" t="s">
        <v>6929</v>
      </c>
    </row>
    <row r="321" spans="1:3" ht="15.75" customHeight="1" x14ac:dyDescent="0.25">
      <c r="A321" s="1" t="s">
        <v>10605</v>
      </c>
      <c r="B321" s="1" t="s">
        <v>10604</v>
      </c>
      <c r="C321" s="1" t="s">
        <v>6690</v>
      </c>
    </row>
    <row r="322" spans="1:3" ht="15.75" customHeight="1" x14ac:dyDescent="0.25">
      <c r="A322" s="1" t="s">
        <v>1787</v>
      </c>
      <c r="B322" s="1" t="s">
        <v>10603</v>
      </c>
      <c r="C322" s="1" t="s">
        <v>6640</v>
      </c>
    </row>
    <row r="323" spans="1:3" ht="15.75" customHeight="1" x14ac:dyDescent="0.25">
      <c r="A323" s="1" t="s">
        <v>10602</v>
      </c>
      <c r="B323" s="1" t="s">
        <v>10601</v>
      </c>
      <c r="C323" s="1" t="s">
        <v>8578</v>
      </c>
    </row>
    <row r="324" spans="1:3" ht="15.75" customHeight="1" x14ac:dyDescent="0.25">
      <c r="A324" s="1" t="s">
        <v>10600</v>
      </c>
      <c r="B324" s="1" t="s">
        <v>10599</v>
      </c>
      <c r="C324" s="1" t="s">
        <v>6644</v>
      </c>
    </row>
    <row r="325" spans="1:3" ht="15.75" customHeight="1" x14ac:dyDescent="0.25">
      <c r="A325" s="1" t="s">
        <v>4272</v>
      </c>
      <c r="B325" s="1" t="s">
        <v>10598</v>
      </c>
      <c r="C325" s="1" t="s">
        <v>6125</v>
      </c>
    </row>
    <row r="326" spans="1:3" ht="15.75" customHeight="1" x14ac:dyDescent="0.25">
      <c r="A326" s="1" t="s">
        <v>2512</v>
      </c>
      <c r="B326" s="1" t="s">
        <v>10597</v>
      </c>
      <c r="C326" s="1" t="s">
        <v>7070</v>
      </c>
    </row>
    <row r="327" spans="1:3" ht="15.75" customHeight="1" x14ac:dyDescent="0.25">
      <c r="A327" s="1" t="s">
        <v>4140</v>
      </c>
      <c r="B327" s="1" t="s">
        <v>10596</v>
      </c>
      <c r="C327" s="1" t="s">
        <v>6530</v>
      </c>
    </row>
    <row r="328" spans="1:3" ht="15.75" customHeight="1" x14ac:dyDescent="0.25">
      <c r="A328" s="1" t="s">
        <v>5091</v>
      </c>
      <c r="B328" s="1" t="s">
        <v>10595</v>
      </c>
      <c r="C328" s="1" t="s">
        <v>5896</v>
      </c>
    </row>
    <row r="329" spans="1:3" ht="15.75" customHeight="1" x14ac:dyDescent="0.25">
      <c r="A329" s="1" t="s">
        <v>414</v>
      </c>
      <c r="B329" s="1" t="s">
        <v>10594</v>
      </c>
      <c r="C329" s="1" t="s">
        <v>6653</v>
      </c>
    </row>
    <row r="330" spans="1:3" ht="15.75" customHeight="1" x14ac:dyDescent="0.25">
      <c r="A330" s="1" t="s">
        <v>831</v>
      </c>
      <c r="B330" s="1" t="s">
        <v>10593</v>
      </c>
      <c r="C330" s="1" t="s">
        <v>9121</v>
      </c>
    </row>
    <row r="331" spans="1:3" ht="15.75" customHeight="1" x14ac:dyDescent="0.25">
      <c r="A331" s="1" t="s">
        <v>2207</v>
      </c>
      <c r="B331" s="1" t="s">
        <v>6267</v>
      </c>
      <c r="C331" s="1" t="s">
        <v>6861</v>
      </c>
    </row>
    <row r="332" spans="1:3" ht="15.75" customHeight="1" x14ac:dyDescent="0.25">
      <c r="A332" s="1" t="s">
        <v>10592</v>
      </c>
      <c r="B332" s="1" t="s">
        <v>10591</v>
      </c>
      <c r="C332" s="1" t="s">
        <v>5773</v>
      </c>
    </row>
    <row r="333" spans="1:3" ht="15.75" customHeight="1" x14ac:dyDescent="0.25">
      <c r="A333" s="1" t="s">
        <v>4995</v>
      </c>
      <c r="B333" s="1" t="s">
        <v>7332</v>
      </c>
      <c r="C333" s="1" t="s">
        <v>10590</v>
      </c>
    </row>
    <row r="334" spans="1:3" ht="15.75" customHeight="1" x14ac:dyDescent="0.25">
      <c r="A334" s="1" t="s">
        <v>10589</v>
      </c>
      <c r="B334" s="1" t="s">
        <v>10588</v>
      </c>
      <c r="C334" s="1" t="s">
        <v>5791</v>
      </c>
    </row>
    <row r="335" spans="1:3" ht="15.75" customHeight="1" x14ac:dyDescent="0.25">
      <c r="A335" s="1" t="s">
        <v>10587</v>
      </c>
      <c r="B335" s="1" t="s">
        <v>10586</v>
      </c>
      <c r="C335" s="1" t="s">
        <v>9121</v>
      </c>
    </row>
    <row r="336" spans="1:3" ht="15.75" customHeight="1" x14ac:dyDescent="0.25">
      <c r="A336" s="1" t="s">
        <v>4039</v>
      </c>
      <c r="B336" s="1" t="s">
        <v>10585</v>
      </c>
      <c r="C336" s="1" t="s">
        <v>6861</v>
      </c>
    </row>
    <row r="337" spans="1:3" ht="15.75" customHeight="1" x14ac:dyDescent="0.25">
      <c r="A337" s="1" t="s">
        <v>10584</v>
      </c>
      <c r="B337" s="1" t="s">
        <v>10583</v>
      </c>
      <c r="C337" s="1" t="s">
        <v>5853</v>
      </c>
    </row>
    <row r="338" spans="1:3" ht="15.75" customHeight="1" x14ac:dyDescent="0.25">
      <c r="A338" s="1" t="s">
        <v>10582</v>
      </c>
      <c r="B338" s="1" t="s">
        <v>10581</v>
      </c>
      <c r="C338" s="1" t="s">
        <v>6937</v>
      </c>
    </row>
    <row r="339" spans="1:3" ht="15.75" customHeight="1" x14ac:dyDescent="0.25">
      <c r="A339" s="1" t="s">
        <v>10580</v>
      </c>
      <c r="B339" s="1" t="s">
        <v>10579</v>
      </c>
      <c r="C339" s="1" t="s">
        <v>9121</v>
      </c>
    </row>
    <row r="340" spans="1:3" ht="15.75" customHeight="1" x14ac:dyDescent="0.25">
      <c r="A340" s="1" t="s">
        <v>10578</v>
      </c>
      <c r="B340" s="1" t="s">
        <v>10577</v>
      </c>
      <c r="C340" s="1" t="s">
        <v>5811</v>
      </c>
    </row>
    <row r="341" spans="1:3" ht="15.75" customHeight="1" x14ac:dyDescent="0.25">
      <c r="A341" s="1" t="s">
        <v>412</v>
      </c>
      <c r="B341" s="1" t="s">
        <v>10576</v>
      </c>
      <c r="C341" s="1" t="s">
        <v>10575</v>
      </c>
    </row>
    <row r="342" spans="1:3" ht="15.75" customHeight="1" x14ac:dyDescent="0.25">
      <c r="A342" s="1" t="s">
        <v>10574</v>
      </c>
      <c r="B342" s="1" t="s">
        <v>10573</v>
      </c>
      <c r="C342" s="1" t="s">
        <v>6789</v>
      </c>
    </row>
    <row r="343" spans="1:3" ht="15.75" customHeight="1" x14ac:dyDescent="0.25">
      <c r="A343" s="1" t="s">
        <v>5551</v>
      </c>
      <c r="B343" s="1" t="s">
        <v>10572</v>
      </c>
      <c r="C343" s="1" t="s">
        <v>6913</v>
      </c>
    </row>
    <row r="344" spans="1:3" ht="15.75" customHeight="1" x14ac:dyDescent="0.25">
      <c r="A344" s="1" t="s">
        <v>4410</v>
      </c>
      <c r="B344" s="1" t="s">
        <v>10571</v>
      </c>
      <c r="C344" s="1" t="s">
        <v>5893</v>
      </c>
    </row>
    <row r="345" spans="1:3" ht="15.75" customHeight="1" x14ac:dyDescent="0.25">
      <c r="A345" s="1" t="s">
        <v>410</v>
      </c>
      <c r="B345" s="1" t="s">
        <v>10570</v>
      </c>
      <c r="C345" s="1" t="s">
        <v>10569</v>
      </c>
    </row>
    <row r="346" spans="1:3" ht="15.75" customHeight="1" x14ac:dyDescent="0.25">
      <c r="A346" s="1" t="s">
        <v>10568</v>
      </c>
      <c r="B346" s="1" t="s">
        <v>10567</v>
      </c>
      <c r="C346" s="1" t="s">
        <v>5853</v>
      </c>
    </row>
    <row r="347" spans="1:3" ht="15.75" customHeight="1" x14ac:dyDescent="0.25">
      <c r="A347" s="1" t="s">
        <v>3654</v>
      </c>
      <c r="B347" s="1" t="s">
        <v>10566</v>
      </c>
      <c r="C347" s="1" t="s">
        <v>9121</v>
      </c>
    </row>
    <row r="348" spans="1:3" ht="15.75" customHeight="1" x14ac:dyDescent="0.25">
      <c r="A348" s="1" t="s">
        <v>2924</v>
      </c>
      <c r="B348" s="1" t="s">
        <v>10565</v>
      </c>
      <c r="C348" s="1" t="s">
        <v>5781</v>
      </c>
    </row>
    <row r="349" spans="1:3" ht="15.75" customHeight="1" x14ac:dyDescent="0.25">
      <c r="A349" s="1" t="s">
        <v>10564</v>
      </c>
      <c r="B349" s="1" t="s">
        <v>10563</v>
      </c>
      <c r="C349" s="1" t="s">
        <v>6546</v>
      </c>
    </row>
    <row r="350" spans="1:3" ht="15.75" customHeight="1" x14ac:dyDescent="0.25">
      <c r="A350" s="1" t="s">
        <v>10562</v>
      </c>
      <c r="B350" s="1" t="s">
        <v>10561</v>
      </c>
      <c r="C350" s="1" t="s">
        <v>6690</v>
      </c>
    </row>
    <row r="351" spans="1:3" ht="15.75" customHeight="1" x14ac:dyDescent="0.25">
      <c r="A351" s="1" t="s">
        <v>1387</v>
      </c>
      <c r="B351" s="1" t="s">
        <v>10560</v>
      </c>
      <c r="C351" s="1" t="s">
        <v>10559</v>
      </c>
    </row>
    <row r="352" spans="1:3" ht="15.75" customHeight="1" x14ac:dyDescent="0.25">
      <c r="A352" s="1" t="s">
        <v>10558</v>
      </c>
      <c r="B352" s="1" t="s">
        <v>10557</v>
      </c>
      <c r="C352" s="1" t="s">
        <v>6260</v>
      </c>
    </row>
    <row r="353" spans="1:3" ht="15.75" customHeight="1" x14ac:dyDescent="0.25">
      <c r="A353" s="1" t="s">
        <v>10556</v>
      </c>
      <c r="B353" s="1" t="s">
        <v>10555</v>
      </c>
      <c r="C353" s="1" t="s">
        <v>7815</v>
      </c>
    </row>
    <row r="354" spans="1:3" ht="15.75" customHeight="1" x14ac:dyDescent="0.25">
      <c r="A354" s="1" t="s">
        <v>3730</v>
      </c>
      <c r="B354" s="1" t="s">
        <v>10554</v>
      </c>
      <c r="C354" s="1" t="s">
        <v>6323</v>
      </c>
    </row>
    <row r="355" spans="1:3" ht="15.75" customHeight="1" x14ac:dyDescent="0.25">
      <c r="A355" s="1" t="s">
        <v>2331</v>
      </c>
      <c r="B355" s="1" t="s">
        <v>10553</v>
      </c>
      <c r="C355" s="1" t="s">
        <v>7860</v>
      </c>
    </row>
    <row r="356" spans="1:3" ht="15.75" customHeight="1" x14ac:dyDescent="0.25">
      <c r="A356" s="1" t="s">
        <v>5281</v>
      </c>
      <c r="B356" s="1" t="s">
        <v>10552</v>
      </c>
      <c r="C356" s="1" t="s">
        <v>5838</v>
      </c>
    </row>
    <row r="357" spans="1:3" ht="15.75" customHeight="1" x14ac:dyDescent="0.25">
      <c r="A357" s="1" t="s">
        <v>408</v>
      </c>
      <c r="B357" s="1" t="s">
        <v>10551</v>
      </c>
      <c r="C357" s="1" t="s">
        <v>6651</v>
      </c>
    </row>
    <row r="358" spans="1:3" ht="15.75" customHeight="1" x14ac:dyDescent="0.25">
      <c r="A358" s="1" t="s">
        <v>4627</v>
      </c>
      <c r="B358" s="1" t="s">
        <v>10550</v>
      </c>
      <c r="C358" s="1" t="s">
        <v>6530</v>
      </c>
    </row>
    <row r="359" spans="1:3" ht="15.75" customHeight="1" x14ac:dyDescent="0.25">
      <c r="A359" s="1" t="s">
        <v>5132</v>
      </c>
      <c r="B359" s="1" t="s">
        <v>10549</v>
      </c>
      <c r="C359" s="1" t="s">
        <v>6931</v>
      </c>
    </row>
    <row r="360" spans="1:3" ht="15.75" customHeight="1" x14ac:dyDescent="0.25">
      <c r="A360" s="1" t="s">
        <v>4975</v>
      </c>
      <c r="B360" s="1" t="s">
        <v>10548</v>
      </c>
      <c r="C360" s="1" t="s">
        <v>6769</v>
      </c>
    </row>
    <row r="361" spans="1:3" ht="15.75" customHeight="1" x14ac:dyDescent="0.25">
      <c r="A361" s="1" t="s">
        <v>406</v>
      </c>
      <c r="B361" s="1" t="s">
        <v>10547</v>
      </c>
      <c r="C361" s="1" t="s">
        <v>6653</v>
      </c>
    </row>
    <row r="362" spans="1:3" ht="15.75" customHeight="1" x14ac:dyDescent="0.25">
      <c r="A362" s="1" t="s">
        <v>4076</v>
      </c>
      <c r="B362" s="1" t="s">
        <v>10546</v>
      </c>
      <c r="C362" s="1" t="s">
        <v>7280</v>
      </c>
    </row>
    <row r="363" spans="1:3" ht="15.75" customHeight="1" x14ac:dyDescent="0.25">
      <c r="A363" s="1" t="s">
        <v>4865</v>
      </c>
      <c r="B363" s="1" t="s">
        <v>10545</v>
      </c>
      <c r="C363" s="1" t="s">
        <v>5781</v>
      </c>
    </row>
    <row r="364" spans="1:3" ht="15.75" customHeight="1" x14ac:dyDescent="0.25">
      <c r="A364" s="1" t="s">
        <v>404</v>
      </c>
      <c r="B364" s="1" t="s">
        <v>10544</v>
      </c>
      <c r="C364" s="1" t="s">
        <v>7720</v>
      </c>
    </row>
    <row r="365" spans="1:3" ht="15.75" customHeight="1" x14ac:dyDescent="0.25">
      <c r="A365" s="1" t="s">
        <v>10543</v>
      </c>
      <c r="B365" s="1" t="s">
        <v>10542</v>
      </c>
      <c r="C365" s="1" t="s">
        <v>6486</v>
      </c>
    </row>
    <row r="366" spans="1:3" ht="15.75" customHeight="1" x14ac:dyDescent="0.25">
      <c r="A366" s="1" t="s">
        <v>10541</v>
      </c>
      <c r="B366" s="1" t="s">
        <v>10540</v>
      </c>
      <c r="C366" s="1" t="s">
        <v>9121</v>
      </c>
    </row>
    <row r="367" spans="1:3" ht="15.75" customHeight="1" x14ac:dyDescent="0.25">
      <c r="A367" s="1" t="s">
        <v>10539</v>
      </c>
      <c r="B367" s="1" t="s">
        <v>10538</v>
      </c>
      <c r="C367" s="1" t="s">
        <v>6260</v>
      </c>
    </row>
    <row r="368" spans="1:3" ht="15.75" customHeight="1" x14ac:dyDescent="0.25">
      <c r="A368" s="1" t="s">
        <v>5242</v>
      </c>
      <c r="B368" s="1" t="s">
        <v>10537</v>
      </c>
      <c r="C368" s="1" t="s">
        <v>5811</v>
      </c>
    </row>
    <row r="369" spans="1:3" ht="15.75" customHeight="1" x14ac:dyDescent="0.25">
      <c r="A369" s="1" t="s">
        <v>10536</v>
      </c>
      <c r="B369" s="1" t="s">
        <v>10535</v>
      </c>
      <c r="C369" s="1" t="s">
        <v>6468</v>
      </c>
    </row>
    <row r="370" spans="1:3" ht="15.75" customHeight="1" x14ac:dyDescent="0.25">
      <c r="A370" s="1" t="s">
        <v>1983</v>
      </c>
      <c r="B370" s="1" t="s">
        <v>10534</v>
      </c>
      <c r="C370" s="1" t="s">
        <v>6750</v>
      </c>
    </row>
    <row r="371" spans="1:3" ht="15.75" customHeight="1" x14ac:dyDescent="0.25">
      <c r="A371" s="1" t="s">
        <v>2496</v>
      </c>
      <c r="B371" s="1" t="s">
        <v>10533</v>
      </c>
      <c r="C371" s="1" t="s">
        <v>5796</v>
      </c>
    </row>
    <row r="372" spans="1:3" ht="15.75" customHeight="1" x14ac:dyDescent="0.25">
      <c r="A372" s="1" t="s">
        <v>10532</v>
      </c>
      <c r="B372" s="1" t="s">
        <v>10531</v>
      </c>
      <c r="C372" s="1" t="s">
        <v>5791</v>
      </c>
    </row>
    <row r="373" spans="1:3" ht="15.75" customHeight="1" x14ac:dyDescent="0.25">
      <c r="A373" s="1" t="s">
        <v>10530</v>
      </c>
      <c r="B373" s="1" t="s">
        <v>5952</v>
      </c>
      <c r="C373" s="1" t="s">
        <v>10529</v>
      </c>
    </row>
    <row r="374" spans="1:3" ht="15.75" customHeight="1" x14ac:dyDescent="0.25">
      <c r="A374" s="1" t="s">
        <v>2225</v>
      </c>
      <c r="B374" s="1" t="s">
        <v>10528</v>
      </c>
      <c r="C374" s="1" t="s">
        <v>6703</v>
      </c>
    </row>
    <row r="375" spans="1:3" ht="15.75" customHeight="1" x14ac:dyDescent="0.25">
      <c r="A375" s="1" t="s">
        <v>10527</v>
      </c>
      <c r="B375" s="1" t="s">
        <v>10526</v>
      </c>
      <c r="C375" s="1" t="s">
        <v>9121</v>
      </c>
    </row>
    <row r="376" spans="1:3" ht="15.75" customHeight="1" x14ac:dyDescent="0.25">
      <c r="A376" s="1" t="s">
        <v>3992</v>
      </c>
      <c r="B376" s="1" t="s">
        <v>10525</v>
      </c>
      <c r="C376" s="1" t="s">
        <v>6671</v>
      </c>
    </row>
    <row r="377" spans="1:3" ht="15.75" customHeight="1" x14ac:dyDescent="0.25">
      <c r="A377" s="1" t="s">
        <v>2870</v>
      </c>
      <c r="B377" s="1" t="s">
        <v>10524</v>
      </c>
      <c r="C377" s="1" t="s">
        <v>6122</v>
      </c>
    </row>
    <row r="378" spans="1:3" ht="15.75" customHeight="1" x14ac:dyDescent="0.25">
      <c r="A378" s="1" t="s">
        <v>10523</v>
      </c>
      <c r="B378" s="1" t="s">
        <v>10522</v>
      </c>
      <c r="C378" s="1" t="s">
        <v>6468</v>
      </c>
    </row>
    <row r="379" spans="1:3" ht="15.75" customHeight="1" x14ac:dyDescent="0.25">
      <c r="A379" s="1" t="s">
        <v>4351</v>
      </c>
      <c r="B379" s="1" t="s">
        <v>10521</v>
      </c>
      <c r="C379" s="1" t="s">
        <v>9150</v>
      </c>
    </row>
    <row r="380" spans="1:3" ht="15.75" customHeight="1" x14ac:dyDescent="0.25">
      <c r="A380" s="1" t="s">
        <v>1693</v>
      </c>
      <c r="B380" s="1" t="s">
        <v>10520</v>
      </c>
      <c r="C380" s="1" t="s">
        <v>6942</v>
      </c>
    </row>
    <row r="381" spans="1:3" ht="15.75" customHeight="1" x14ac:dyDescent="0.25">
      <c r="A381" s="1" t="s">
        <v>4888</v>
      </c>
      <c r="B381" s="1" t="s">
        <v>10519</v>
      </c>
      <c r="C381" s="1" t="s">
        <v>5853</v>
      </c>
    </row>
    <row r="382" spans="1:3" ht="15.75" customHeight="1" x14ac:dyDescent="0.25">
      <c r="A382" s="1" t="s">
        <v>5227</v>
      </c>
      <c r="B382" s="1" t="s">
        <v>10518</v>
      </c>
      <c r="C382" s="1" t="s">
        <v>6665</v>
      </c>
    </row>
    <row r="383" spans="1:3" ht="15.75" customHeight="1" x14ac:dyDescent="0.25">
      <c r="A383" s="1" t="s">
        <v>10517</v>
      </c>
      <c r="B383" s="1" t="s">
        <v>10516</v>
      </c>
      <c r="C383" s="1" t="s">
        <v>9121</v>
      </c>
    </row>
    <row r="384" spans="1:3" ht="15.75" customHeight="1" x14ac:dyDescent="0.25">
      <c r="A384" s="1" t="s">
        <v>10515</v>
      </c>
      <c r="B384" s="1" t="s">
        <v>10483</v>
      </c>
      <c r="C384" s="1" t="s">
        <v>7313</v>
      </c>
    </row>
    <row r="385" spans="1:3" ht="15.75" customHeight="1" x14ac:dyDescent="0.25">
      <c r="A385" s="1" t="s">
        <v>10514</v>
      </c>
      <c r="B385" s="1" t="s">
        <v>10513</v>
      </c>
      <c r="C385" s="1" t="s">
        <v>6690</v>
      </c>
    </row>
    <row r="386" spans="1:3" ht="15.75" customHeight="1" x14ac:dyDescent="0.25">
      <c r="A386" s="1" t="s">
        <v>3933</v>
      </c>
      <c r="B386" s="1" t="s">
        <v>5882</v>
      </c>
      <c r="C386" s="1" t="s">
        <v>10512</v>
      </c>
    </row>
    <row r="387" spans="1:3" ht="15.75" customHeight="1" x14ac:dyDescent="0.25">
      <c r="A387" s="1" t="s">
        <v>3115</v>
      </c>
      <c r="B387" s="1" t="s">
        <v>10511</v>
      </c>
      <c r="C387" s="1" t="s">
        <v>6750</v>
      </c>
    </row>
    <row r="388" spans="1:3" ht="15.75" customHeight="1" x14ac:dyDescent="0.25">
      <c r="A388" s="1" t="s">
        <v>4068</v>
      </c>
      <c r="B388" s="1" t="s">
        <v>5879</v>
      </c>
      <c r="C388" s="1" t="s">
        <v>10510</v>
      </c>
    </row>
    <row r="389" spans="1:3" ht="15.75" customHeight="1" x14ac:dyDescent="0.25">
      <c r="A389" s="1" t="s">
        <v>10509</v>
      </c>
      <c r="B389" s="1" t="s">
        <v>10508</v>
      </c>
      <c r="C389" s="1" t="s">
        <v>6530</v>
      </c>
    </row>
    <row r="390" spans="1:3" ht="15.75" customHeight="1" x14ac:dyDescent="0.25">
      <c r="A390" s="1" t="s">
        <v>5446</v>
      </c>
      <c r="B390" s="1" t="s">
        <v>10507</v>
      </c>
      <c r="C390" s="1" t="s">
        <v>6530</v>
      </c>
    </row>
    <row r="391" spans="1:3" ht="15.75" customHeight="1" x14ac:dyDescent="0.25">
      <c r="A391" s="1" t="s">
        <v>1471</v>
      </c>
      <c r="B391" s="1" t="s">
        <v>10506</v>
      </c>
      <c r="C391" s="1" t="s">
        <v>9121</v>
      </c>
    </row>
    <row r="392" spans="1:3" ht="15.75" customHeight="1" x14ac:dyDescent="0.25">
      <c r="A392" s="1" t="s">
        <v>402</v>
      </c>
      <c r="B392" s="1" t="s">
        <v>5777</v>
      </c>
      <c r="C392" s="1" t="s">
        <v>10505</v>
      </c>
    </row>
    <row r="393" spans="1:3" ht="15.75" customHeight="1" x14ac:dyDescent="0.25">
      <c r="A393" s="1" t="s">
        <v>2524</v>
      </c>
      <c r="B393" s="1" t="s">
        <v>10504</v>
      </c>
      <c r="C393" s="1" t="s">
        <v>6242</v>
      </c>
    </row>
    <row r="394" spans="1:3" ht="15.75" customHeight="1" x14ac:dyDescent="0.25">
      <c r="A394" s="1" t="s">
        <v>1515</v>
      </c>
      <c r="B394" s="1" t="s">
        <v>10503</v>
      </c>
      <c r="C394" s="1" t="s">
        <v>8584</v>
      </c>
    </row>
    <row r="395" spans="1:3" ht="15.75" customHeight="1" x14ac:dyDescent="0.25">
      <c r="A395" s="1" t="s">
        <v>399</v>
      </c>
      <c r="B395" s="1" t="s">
        <v>10502</v>
      </c>
      <c r="C395" s="1" t="s">
        <v>10501</v>
      </c>
    </row>
    <row r="396" spans="1:3" ht="15.75" customHeight="1" x14ac:dyDescent="0.25">
      <c r="A396" s="1" t="s">
        <v>1220</v>
      </c>
      <c r="B396" s="1" t="s">
        <v>10500</v>
      </c>
      <c r="C396" s="1" t="s">
        <v>6651</v>
      </c>
    </row>
    <row r="397" spans="1:3" ht="15.75" customHeight="1" x14ac:dyDescent="0.25">
      <c r="A397" s="1" t="s">
        <v>2968</v>
      </c>
      <c r="B397" s="1" t="s">
        <v>10499</v>
      </c>
      <c r="C397" s="1" t="s">
        <v>5796</v>
      </c>
    </row>
    <row r="398" spans="1:3" ht="15.75" customHeight="1" x14ac:dyDescent="0.25">
      <c r="A398" s="1" t="s">
        <v>1695</v>
      </c>
      <c r="B398" s="1" t="s">
        <v>10498</v>
      </c>
      <c r="C398" s="1" t="s">
        <v>7070</v>
      </c>
    </row>
    <row r="399" spans="1:3" ht="15.75" customHeight="1" x14ac:dyDescent="0.25">
      <c r="A399" s="1" t="s">
        <v>397</v>
      </c>
      <c r="B399" s="1" t="s">
        <v>10497</v>
      </c>
      <c r="C399" s="1" t="s">
        <v>5820</v>
      </c>
    </row>
    <row r="400" spans="1:3" ht="15.75" customHeight="1" x14ac:dyDescent="0.25">
      <c r="A400" s="1" t="s">
        <v>1274</v>
      </c>
      <c r="B400" s="1" t="s">
        <v>10496</v>
      </c>
      <c r="C400" s="1" t="s">
        <v>5914</v>
      </c>
    </row>
    <row r="401" spans="1:3" ht="15.75" customHeight="1" x14ac:dyDescent="0.25">
      <c r="A401" s="1" t="s">
        <v>395</v>
      </c>
      <c r="B401" s="1" t="s">
        <v>10495</v>
      </c>
      <c r="C401" s="1" t="s">
        <v>5811</v>
      </c>
    </row>
    <row r="402" spans="1:3" ht="15.75" customHeight="1" x14ac:dyDescent="0.25">
      <c r="A402" s="1" t="s">
        <v>10494</v>
      </c>
      <c r="B402" s="1" t="s">
        <v>10493</v>
      </c>
      <c r="C402" s="1" t="s">
        <v>6242</v>
      </c>
    </row>
    <row r="403" spans="1:3" ht="15.75" customHeight="1" x14ac:dyDescent="0.25">
      <c r="A403" s="1" t="s">
        <v>4138</v>
      </c>
      <c r="B403" s="1" t="s">
        <v>10492</v>
      </c>
      <c r="C403" s="1" t="s">
        <v>5811</v>
      </c>
    </row>
    <row r="404" spans="1:3" ht="15.75" customHeight="1" x14ac:dyDescent="0.25">
      <c r="A404" s="1" t="s">
        <v>10491</v>
      </c>
      <c r="B404" s="1" t="s">
        <v>10490</v>
      </c>
      <c r="C404" s="1" t="s">
        <v>6122</v>
      </c>
    </row>
    <row r="405" spans="1:3" ht="15.75" customHeight="1" x14ac:dyDescent="0.25">
      <c r="A405" s="1" t="s">
        <v>2130</v>
      </c>
      <c r="B405" s="1" t="s">
        <v>10489</v>
      </c>
      <c r="C405" s="1" t="s">
        <v>6474</v>
      </c>
    </row>
    <row r="406" spans="1:3" ht="15.75" customHeight="1" x14ac:dyDescent="0.25">
      <c r="A406" s="1" t="s">
        <v>4312</v>
      </c>
      <c r="B406" s="1" t="s">
        <v>10488</v>
      </c>
      <c r="C406" s="1" t="s">
        <v>7439</v>
      </c>
    </row>
    <row r="407" spans="1:3" ht="15.75" customHeight="1" x14ac:dyDescent="0.25">
      <c r="A407" s="1" t="s">
        <v>5031</v>
      </c>
      <c r="B407" s="1" t="s">
        <v>10487</v>
      </c>
      <c r="C407" s="1" t="s">
        <v>7235</v>
      </c>
    </row>
    <row r="408" spans="1:3" ht="15.75" customHeight="1" x14ac:dyDescent="0.25">
      <c r="A408" s="1" t="s">
        <v>10486</v>
      </c>
      <c r="B408" s="1" t="s">
        <v>10485</v>
      </c>
      <c r="C408" s="1" t="s">
        <v>6242</v>
      </c>
    </row>
    <row r="409" spans="1:3" ht="15.75" customHeight="1" x14ac:dyDescent="0.25">
      <c r="A409" s="1" t="s">
        <v>4043</v>
      </c>
      <c r="B409" s="1" t="s">
        <v>10484</v>
      </c>
      <c r="C409" s="1" t="s">
        <v>6929</v>
      </c>
    </row>
    <row r="410" spans="1:3" ht="15.75" customHeight="1" x14ac:dyDescent="0.25">
      <c r="A410" s="1" t="s">
        <v>4783</v>
      </c>
      <c r="B410" s="1" t="s">
        <v>10483</v>
      </c>
      <c r="C410" s="1" t="s">
        <v>7495</v>
      </c>
    </row>
    <row r="411" spans="1:3" ht="15.75" customHeight="1" x14ac:dyDescent="0.25">
      <c r="A411" s="1" t="s">
        <v>1867</v>
      </c>
      <c r="B411" s="1" t="s">
        <v>10482</v>
      </c>
      <c r="C411" s="1" t="s">
        <v>6486</v>
      </c>
    </row>
    <row r="412" spans="1:3" ht="15.75" customHeight="1" x14ac:dyDescent="0.25">
      <c r="A412" s="1" t="s">
        <v>10481</v>
      </c>
      <c r="B412" s="1" t="s">
        <v>10480</v>
      </c>
      <c r="C412" s="1" t="s">
        <v>9121</v>
      </c>
    </row>
    <row r="413" spans="1:3" ht="15.75" customHeight="1" x14ac:dyDescent="0.25">
      <c r="A413" s="1" t="s">
        <v>393</v>
      </c>
      <c r="B413" s="1" t="s">
        <v>10479</v>
      </c>
      <c r="C413" s="1" t="s">
        <v>10478</v>
      </c>
    </row>
    <row r="414" spans="1:3" ht="15.75" customHeight="1" x14ac:dyDescent="0.25">
      <c r="A414" s="1" t="s">
        <v>5371</v>
      </c>
      <c r="B414" s="1" t="s">
        <v>10477</v>
      </c>
      <c r="C414" s="1" t="s">
        <v>6892</v>
      </c>
    </row>
    <row r="415" spans="1:3" ht="15.75" customHeight="1" x14ac:dyDescent="0.25">
      <c r="A415" s="1" t="s">
        <v>10476</v>
      </c>
      <c r="B415" s="1" t="s">
        <v>10475</v>
      </c>
      <c r="C415" s="1" t="s">
        <v>5811</v>
      </c>
    </row>
    <row r="416" spans="1:3" ht="15.75" customHeight="1" x14ac:dyDescent="0.25">
      <c r="A416" s="1" t="s">
        <v>10474</v>
      </c>
      <c r="B416" s="1" t="s">
        <v>10473</v>
      </c>
      <c r="C416" s="1" t="s">
        <v>8584</v>
      </c>
    </row>
    <row r="417" spans="1:3" ht="15.75" customHeight="1" x14ac:dyDescent="0.25">
      <c r="A417" s="1" t="s">
        <v>2533</v>
      </c>
      <c r="B417" s="1" t="s">
        <v>10472</v>
      </c>
      <c r="C417" s="1" t="s">
        <v>6729</v>
      </c>
    </row>
    <row r="418" spans="1:3" ht="15.75" customHeight="1" x14ac:dyDescent="0.25">
      <c r="A418" s="1" t="s">
        <v>5329</v>
      </c>
      <c r="B418" s="1" t="s">
        <v>10471</v>
      </c>
      <c r="C418" s="1" t="s">
        <v>6714</v>
      </c>
    </row>
    <row r="419" spans="1:3" ht="15.75" customHeight="1" x14ac:dyDescent="0.25">
      <c r="A419" s="1" t="s">
        <v>487</v>
      </c>
      <c r="B419" s="1" t="s">
        <v>10470</v>
      </c>
      <c r="C419" s="1" t="s">
        <v>7223</v>
      </c>
    </row>
    <row r="420" spans="1:3" ht="15.75" customHeight="1" x14ac:dyDescent="0.25">
      <c r="A420" s="1" t="s">
        <v>10469</v>
      </c>
      <c r="B420" s="1" t="s">
        <v>10468</v>
      </c>
      <c r="C420" s="1" t="s">
        <v>5893</v>
      </c>
    </row>
    <row r="421" spans="1:3" ht="15.75" customHeight="1" x14ac:dyDescent="0.25">
      <c r="A421" s="1" t="s">
        <v>5249</v>
      </c>
      <c r="B421" s="1" t="s">
        <v>7982</v>
      </c>
      <c r="C421" s="1" t="s">
        <v>10467</v>
      </c>
    </row>
    <row r="422" spans="1:3" ht="15.75" customHeight="1" x14ac:dyDescent="0.25">
      <c r="A422" s="1" t="s">
        <v>3526</v>
      </c>
      <c r="B422" s="1" t="s">
        <v>10466</v>
      </c>
      <c r="C422" s="1" t="s">
        <v>6468</v>
      </c>
    </row>
    <row r="423" spans="1:3" ht="15.75" customHeight="1" x14ac:dyDescent="0.25">
      <c r="A423" s="1" t="s">
        <v>2462</v>
      </c>
      <c r="B423" s="1" t="s">
        <v>10465</v>
      </c>
      <c r="C423" s="1" t="s">
        <v>6642</v>
      </c>
    </row>
    <row r="424" spans="1:3" ht="15.75" customHeight="1" x14ac:dyDescent="0.25">
      <c r="A424" s="1" t="s">
        <v>2299</v>
      </c>
      <c r="B424" s="1" t="s">
        <v>10464</v>
      </c>
      <c r="C424" s="1" t="s">
        <v>10463</v>
      </c>
    </row>
    <row r="425" spans="1:3" ht="15.75" customHeight="1" x14ac:dyDescent="0.25">
      <c r="A425" s="1" t="s">
        <v>2675</v>
      </c>
      <c r="B425" s="1" t="s">
        <v>10462</v>
      </c>
      <c r="C425" s="1" t="s">
        <v>5781</v>
      </c>
    </row>
    <row r="426" spans="1:3" ht="15.75" customHeight="1" x14ac:dyDescent="0.25">
      <c r="A426" s="1" t="s">
        <v>10461</v>
      </c>
      <c r="B426" s="1" t="s">
        <v>10460</v>
      </c>
      <c r="C426" s="1" t="s">
        <v>6468</v>
      </c>
    </row>
    <row r="427" spans="1:3" ht="15.75" customHeight="1" x14ac:dyDescent="0.25">
      <c r="A427" s="1" t="s">
        <v>10459</v>
      </c>
      <c r="B427" s="1" t="s">
        <v>10458</v>
      </c>
      <c r="C427" s="1" t="s">
        <v>9121</v>
      </c>
    </row>
    <row r="428" spans="1:3" ht="15.75" customHeight="1" x14ac:dyDescent="0.25">
      <c r="A428" s="1" t="s">
        <v>2288</v>
      </c>
      <c r="B428" s="1" t="s">
        <v>10457</v>
      </c>
      <c r="C428" s="1" t="s">
        <v>7875</v>
      </c>
    </row>
    <row r="429" spans="1:3" ht="15.75" customHeight="1" x14ac:dyDescent="0.25">
      <c r="A429" s="1" t="s">
        <v>10456</v>
      </c>
      <c r="B429" s="1" t="s">
        <v>10455</v>
      </c>
      <c r="C429" s="1" t="s">
        <v>6750</v>
      </c>
    </row>
    <row r="430" spans="1:3" ht="15.75" customHeight="1" x14ac:dyDescent="0.25">
      <c r="A430" s="1" t="s">
        <v>2522</v>
      </c>
      <c r="B430" s="1" t="s">
        <v>10454</v>
      </c>
      <c r="C430" s="1" t="s">
        <v>5896</v>
      </c>
    </row>
    <row r="431" spans="1:3" ht="15.75" customHeight="1" x14ac:dyDescent="0.25">
      <c r="A431" s="1" t="s">
        <v>10453</v>
      </c>
      <c r="B431" s="1" t="s">
        <v>10452</v>
      </c>
      <c r="C431" s="1" t="s">
        <v>7463</v>
      </c>
    </row>
    <row r="432" spans="1:3" ht="15.75" customHeight="1" x14ac:dyDescent="0.25">
      <c r="A432" s="1" t="s">
        <v>5682</v>
      </c>
      <c r="B432" s="1" t="s">
        <v>10451</v>
      </c>
      <c r="C432" s="1" t="s">
        <v>7471</v>
      </c>
    </row>
    <row r="433" spans="1:3" ht="15.75" customHeight="1" x14ac:dyDescent="0.25">
      <c r="A433" s="1" t="s">
        <v>1604</v>
      </c>
      <c r="B433" s="1" t="s">
        <v>10450</v>
      </c>
      <c r="C433" s="1" t="s">
        <v>5919</v>
      </c>
    </row>
    <row r="434" spans="1:3" ht="15.75" customHeight="1" x14ac:dyDescent="0.25">
      <c r="A434" s="1" t="s">
        <v>4831</v>
      </c>
      <c r="B434" s="1" t="s">
        <v>10449</v>
      </c>
      <c r="C434" s="1" t="s">
        <v>10448</v>
      </c>
    </row>
    <row r="435" spans="1:3" ht="15.75" customHeight="1" x14ac:dyDescent="0.25">
      <c r="A435" s="1" t="s">
        <v>10447</v>
      </c>
      <c r="B435" s="1" t="s">
        <v>10446</v>
      </c>
      <c r="C435" s="1" t="s">
        <v>9121</v>
      </c>
    </row>
    <row r="436" spans="1:3" ht="15.75" customHeight="1" x14ac:dyDescent="0.25">
      <c r="A436" s="1" t="s">
        <v>2429</v>
      </c>
      <c r="B436" s="1" t="s">
        <v>10445</v>
      </c>
      <c r="C436" s="1" t="s">
        <v>9121</v>
      </c>
    </row>
    <row r="437" spans="1:3" ht="15.75" customHeight="1" x14ac:dyDescent="0.25">
      <c r="A437" s="1" t="s">
        <v>10444</v>
      </c>
      <c r="B437" s="1" t="s">
        <v>10443</v>
      </c>
      <c r="C437" s="1" t="s">
        <v>5811</v>
      </c>
    </row>
    <row r="438" spans="1:3" ht="15.75" customHeight="1" x14ac:dyDescent="0.25">
      <c r="A438" s="1" t="s">
        <v>10442</v>
      </c>
      <c r="B438" s="1" t="s">
        <v>10441</v>
      </c>
      <c r="C438" s="1" t="s">
        <v>5811</v>
      </c>
    </row>
    <row r="439" spans="1:3" ht="15.75" customHeight="1" x14ac:dyDescent="0.25">
      <c r="A439" s="1" t="s">
        <v>10440</v>
      </c>
      <c r="B439" s="1" t="s">
        <v>10439</v>
      </c>
      <c r="C439" s="1" t="s">
        <v>5811</v>
      </c>
    </row>
    <row r="440" spans="1:3" ht="15.75" customHeight="1" x14ac:dyDescent="0.25">
      <c r="A440" s="1" t="s">
        <v>10438</v>
      </c>
      <c r="B440" s="1" t="s">
        <v>10437</v>
      </c>
      <c r="C440" s="1" t="s">
        <v>5893</v>
      </c>
    </row>
    <row r="441" spans="1:3" ht="15.75" customHeight="1" x14ac:dyDescent="0.25">
      <c r="A441" s="1" t="s">
        <v>3858</v>
      </c>
      <c r="B441" s="1" t="s">
        <v>10436</v>
      </c>
      <c r="C441" s="1" t="s">
        <v>5914</v>
      </c>
    </row>
    <row r="442" spans="1:3" ht="15.75" customHeight="1" x14ac:dyDescent="0.25">
      <c r="A442" s="1" t="s">
        <v>10435</v>
      </c>
      <c r="B442" s="1" t="s">
        <v>10434</v>
      </c>
      <c r="C442" s="1" t="s">
        <v>6486</v>
      </c>
    </row>
    <row r="443" spans="1:3" ht="15.75" customHeight="1" x14ac:dyDescent="0.25">
      <c r="A443" s="1" t="s">
        <v>10433</v>
      </c>
      <c r="B443" s="1" t="s">
        <v>10432</v>
      </c>
      <c r="C443" s="1" t="s">
        <v>6242</v>
      </c>
    </row>
    <row r="444" spans="1:3" ht="15.75" customHeight="1" x14ac:dyDescent="0.25">
      <c r="A444" s="1" t="s">
        <v>769</v>
      </c>
      <c r="B444" s="1" t="s">
        <v>10431</v>
      </c>
      <c r="C444" s="1" t="s">
        <v>6669</v>
      </c>
    </row>
    <row r="445" spans="1:3" ht="15.75" customHeight="1" x14ac:dyDescent="0.25">
      <c r="A445" s="1" t="s">
        <v>10430</v>
      </c>
      <c r="B445" s="1" t="s">
        <v>10429</v>
      </c>
      <c r="C445" s="1" t="s">
        <v>5853</v>
      </c>
    </row>
    <row r="446" spans="1:3" ht="15.75" customHeight="1" x14ac:dyDescent="0.25">
      <c r="A446" s="1" t="s">
        <v>3979</v>
      </c>
      <c r="B446" s="1" t="s">
        <v>6911</v>
      </c>
      <c r="C446" s="1" t="s">
        <v>10428</v>
      </c>
    </row>
    <row r="447" spans="1:3" ht="15.75" customHeight="1" x14ac:dyDescent="0.25">
      <c r="A447" s="1" t="s">
        <v>3212</v>
      </c>
      <c r="B447" s="1" t="s">
        <v>10427</v>
      </c>
      <c r="C447" s="1" t="s">
        <v>6533</v>
      </c>
    </row>
    <row r="448" spans="1:3" ht="15.75" customHeight="1" x14ac:dyDescent="0.25">
      <c r="A448" s="1" t="s">
        <v>10426</v>
      </c>
      <c r="B448" s="1" t="s">
        <v>10425</v>
      </c>
      <c r="C448" s="1" t="s">
        <v>6767</v>
      </c>
    </row>
    <row r="449" spans="1:3" ht="15.75" customHeight="1" x14ac:dyDescent="0.25">
      <c r="A449" s="1" t="s">
        <v>10424</v>
      </c>
      <c r="B449" s="1" t="s">
        <v>10423</v>
      </c>
      <c r="C449" s="1" t="s">
        <v>5779</v>
      </c>
    </row>
    <row r="450" spans="1:3" ht="15.75" customHeight="1" x14ac:dyDescent="0.25">
      <c r="A450" s="1" t="s">
        <v>4306</v>
      </c>
      <c r="B450" s="1" t="s">
        <v>10422</v>
      </c>
      <c r="C450" s="1" t="s">
        <v>6474</v>
      </c>
    </row>
    <row r="451" spans="1:3" ht="15.75" customHeight="1" x14ac:dyDescent="0.25">
      <c r="A451" s="1" t="s">
        <v>2307</v>
      </c>
      <c r="B451" s="1" t="s">
        <v>10421</v>
      </c>
      <c r="C451" s="1" t="s">
        <v>6665</v>
      </c>
    </row>
    <row r="452" spans="1:3" ht="15.75" customHeight="1" x14ac:dyDescent="0.25">
      <c r="A452" s="1" t="s">
        <v>3278</v>
      </c>
      <c r="B452" s="1" t="s">
        <v>10420</v>
      </c>
      <c r="C452" s="1" t="s">
        <v>5838</v>
      </c>
    </row>
    <row r="453" spans="1:3" ht="15.75" customHeight="1" x14ac:dyDescent="0.25">
      <c r="A453" s="1" t="s">
        <v>4548</v>
      </c>
      <c r="B453" s="1" t="s">
        <v>10419</v>
      </c>
      <c r="C453" s="1" t="s">
        <v>7815</v>
      </c>
    </row>
    <row r="454" spans="1:3" ht="15.75" customHeight="1" x14ac:dyDescent="0.25">
      <c r="A454" s="1" t="s">
        <v>10418</v>
      </c>
      <c r="B454" s="1" t="s">
        <v>10417</v>
      </c>
      <c r="C454" s="1" t="s">
        <v>6468</v>
      </c>
    </row>
    <row r="455" spans="1:3" ht="15.75" customHeight="1" x14ac:dyDescent="0.25">
      <c r="A455" s="1" t="s">
        <v>4598</v>
      </c>
      <c r="B455" s="1" t="s">
        <v>10232</v>
      </c>
      <c r="C455" s="1" t="s">
        <v>8330</v>
      </c>
    </row>
    <row r="456" spans="1:3" ht="15.75" customHeight="1" x14ac:dyDescent="0.25">
      <c r="A456" s="1" t="s">
        <v>5231</v>
      </c>
      <c r="B456" s="1" t="s">
        <v>10416</v>
      </c>
      <c r="C456" s="1" t="s">
        <v>6665</v>
      </c>
    </row>
    <row r="457" spans="1:3" ht="15.75" customHeight="1" x14ac:dyDescent="0.25">
      <c r="A457" s="1" t="s">
        <v>388</v>
      </c>
      <c r="B457" s="1" t="s">
        <v>10415</v>
      </c>
      <c r="C457" s="1" t="s">
        <v>6784</v>
      </c>
    </row>
    <row r="458" spans="1:3" ht="15.75" customHeight="1" x14ac:dyDescent="0.25">
      <c r="A458" s="1" t="s">
        <v>4791</v>
      </c>
      <c r="B458" s="1" t="s">
        <v>10414</v>
      </c>
      <c r="C458" s="1" t="s">
        <v>6089</v>
      </c>
    </row>
    <row r="459" spans="1:3" ht="15.75" customHeight="1" x14ac:dyDescent="0.25">
      <c r="A459" s="1" t="s">
        <v>847</v>
      </c>
      <c r="B459" s="1" t="s">
        <v>10413</v>
      </c>
      <c r="C459" s="1" t="s">
        <v>6530</v>
      </c>
    </row>
    <row r="460" spans="1:3" ht="15.75" customHeight="1" x14ac:dyDescent="0.25">
      <c r="A460" s="1" t="s">
        <v>385</v>
      </c>
      <c r="B460" s="1" t="s">
        <v>10412</v>
      </c>
      <c r="C460" s="1" t="s">
        <v>5796</v>
      </c>
    </row>
    <row r="461" spans="1:3" ht="15.75" customHeight="1" x14ac:dyDescent="0.25">
      <c r="A461" s="1" t="s">
        <v>10411</v>
      </c>
      <c r="B461" s="1" t="s">
        <v>10410</v>
      </c>
      <c r="C461" s="1" t="s">
        <v>7984</v>
      </c>
    </row>
    <row r="462" spans="1:3" ht="15.75" customHeight="1" x14ac:dyDescent="0.25">
      <c r="A462" s="1" t="s">
        <v>1282</v>
      </c>
      <c r="B462" s="1" t="s">
        <v>10409</v>
      </c>
      <c r="C462" s="1" t="s">
        <v>6651</v>
      </c>
    </row>
    <row r="463" spans="1:3" ht="15.75" customHeight="1" x14ac:dyDescent="0.25">
      <c r="A463" s="1" t="s">
        <v>10408</v>
      </c>
      <c r="B463" s="1" t="s">
        <v>10407</v>
      </c>
      <c r="C463" s="1" t="s">
        <v>6690</v>
      </c>
    </row>
    <row r="464" spans="1:3" ht="15.75" customHeight="1" x14ac:dyDescent="0.25">
      <c r="A464" s="1" t="s">
        <v>859</v>
      </c>
      <c r="B464" s="1" t="s">
        <v>10406</v>
      </c>
      <c r="C464" s="1" t="s">
        <v>6468</v>
      </c>
    </row>
    <row r="465" spans="1:3" ht="15.75" customHeight="1" x14ac:dyDescent="0.25">
      <c r="A465" s="1" t="s">
        <v>4052</v>
      </c>
      <c r="B465" s="1" t="s">
        <v>10405</v>
      </c>
      <c r="C465" s="1" t="s">
        <v>10404</v>
      </c>
    </row>
    <row r="466" spans="1:3" ht="15.75" customHeight="1" x14ac:dyDescent="0.25">
      <c r="A466" s="1" t="s">
        <v>10403</v>
      </c>
      <c r="B466" s="1" t="s">
        <v>10402</v>
      </c>
      <c r="C466" s="1" t="s">
        <v>9121</v>
      </c>
    </row>
    <row r="467" spans="1:3" ht="15.75" customHeight="1" x14ac:dyDescent="0.25">
      <c r="A467" s="1" t="s">
        <v>4291</v>
      </c>
      <c r="B467" s="1" t="s">
        <v>10401</v>
      </c>
      <c r="C467" s="1" t="s">
        <v>6647</v>
      </c>
    </row>
    <row r="468" spans="1:3" ht="15.75" customHeight="1" x14ac:dyDescent="0.25">
      <c r="A468" s="1" t="s">
        <v>10400</v>
      </c>
      <c r="B468" s="1" t="s">
        <v>10399</v>
      </c>
      <c r="C468" s="1" t="s">
        <v>7471</v>
      </c>
    </row>
    <row r="469" spans="1:3" ht="15.75" customHeight="1" x14ac:dyDescent="0.25">
      <c r="A469" s="1" t="s">
        <v>564</v>
      </c>
      <c r="B469" s="1" t="s">
        <v>10398</v>
      </c>
      <c r="C469" s="1" t="s">
        <v>6530</v>
      </c>
    </row>
    <row r="470" spans="1:3" ht="15.75" customHeight="1" x14ac:dyDescent="0.25">
      <c r="A470" s="1" t="s">
        <v>1522</v>
      </c>
      <c r="B470" s="1" t="s">
        <v>10397</v>
      </c>
      <c r="C470" s="1" t="s">
        <v>7070</v>
      </c>
    </row>
    <row r="471" spans="1:3" ht="15.75" customHeight="1" x14ac:dyDescent="0.25">
      <c r="A471" s="1" t="s">
        <v>10396</v>
      </c>
      <c r="B471" s="1" t="s">
        <v>10395</v>
      </c>
      <c r="C471" s="1" t="s">
        <v>6690</v>
      </c>
    </row>
    <row r="472" spans="1:3" ht="15.75" customHeight="1" x14ac:dyDescent="0.25">
      <c r="A472" s="1" t="s">
        <v>3375</v>
      </c>
      <c r="B472" s="1" t="s">
        <v>10394</v>
      </c>
      <c r="C472" s="1" t="s">
        <v>5914</v>
      </c>
    </row>
    <row r="473" spans="1:3" ht="15.75" customHeight="1" x14ac:dyDescent="0.25">
      <c r="A473" s="1" t="s">
        <v>3145</v>
      </c>
      <c r="B473" s="1" t="s">
        <v>10393</v>
      </c>
      <c r="C473" s="1" t="s">
        <v>7915</v>
      </c>
    </row>
    <row r="474" spans="1:3" ht="15.75" customHeight="1" x14ac:dyDescent="0.25">
      <c r="A474" s="1" t="s">
        <v>5200</v>
      </c>
      <c r="B474" s="1" t="s">
        <v>10392</v>
      </c>
      <c r="C474" s="1" t="s">
        <v>9121</v>
      </c>
    </row>
    <row r="475" spans="1:3" ht="15.75" customHeight="1" x14ac:dyDescent="0.25">
      <c r="A475" s="1" t="s">
        <v>3825</v>
      </c>
      <c r="B475" s="1" t="s">
        <v>10391</v>
      </c>
      <c r="C475" s="1" t="s">
        <v>5838</v>
      </c>
    </row>
    <row r="476" spans="1:3" ht="15.75" customHeight="1" x14ac:dyDescent="0.25">
      <c r="A476" s="1" t="s">
        <v>383</v>
      </c>
      <c r="B476" s="1" t="s">
        <v>10390</v>
      </c>
      <c r="C476" s="1" t="s">
        <v>6653</v>
      </c>
    </row>
    <row r="477" spans="1:3" ht="15.75" customHeight="1" x14ac:dyDescent="0.25">
      <c r="A477" s="1" t="s">
        <v>10389</v>
      </c>
      <c r="B477" s="1" t="s">
        <v>10388</v>
      </c>
      <c r="C477" s="1" t="s">
        <v>6468</v>
      </c>
    </row>
    <row r="478" spans="1:3" ht="15.75" customHeight="1" x14ac:dyDescent="0.25">
      <c r="A478" s="1" t="s">
        <v>3848</v>
      </c>
      <c r="B478" s="1" t="s">
        <v>10387</v>
      </c>
      <c r="C478" s="1" t="s">
        <v>5886</v>
      </c>
    </row>
    <row r="479" spans="1:3" ht="15.75" customHeight="1" x14ac:dyDescent="0.25">
      <c r="A479" s="1" t="s">
        <v>10386</v>
      </c>
      <c r="B479" s="1" t="s">
        <v>10385</v>
      </c>
      <c r="C479" s="1" t="s">
        <v>6714</v>
      </c>
    </row>
    <row r="480" spans="1:3" ht="15.75" customHeight="1" x14ac:dyDescent="0.25">
      <c r="A480" s="1" t="s">
        <v>381</v>
      </c>
      <c r="B480" s="1" t="s">
        <v>10384</v>
      </c>
      <c r="C480" s="1" t="s">
        <v>6690</v>
      </c>
    </row>
    <row r="481" spans="1:3" ht="15.75" customHeight="1" x14ac:dyDescent="0.25">
      <c r="A481" s="1" t="s">
        <v>378</v>
      </c>
      <c r="B481" s="1" t="s">
        <v>10383</v>
      </c>
      <c r="C481" s="1" t="s">
        <v>6653</v>
      </c>
    </row>
    <row r="482" spans="1:3" ht="15.75" customHeight="1" x14ac:dyDescent="0.25">
      <c r="A482" s="1" t="s">
        <v>10382</v>
      </c>
      <c r="B482" s="1" t="s">
        <v>10381</v>
      </c>
      <c r="C482" s="1" t="s">
        <v>5860</v>
      </c>
    </row>
    <row r="483" spans="1:3" ht="15.75" customHeight="1" x14ac:dyDescent="0.25">
      <c r="A483" s="1" t="s">
        <v>5377</v>
      </c>
      <c r="B483" s="1" t="s">
        <v>10380</v>
      </c>
      <c r="C483" s="1" t="s">
        <v>6242</v>
      </c>
    </row>
    <row r="484" spans="1:3" ht="15.75" customHeight="1" x14ac:dyDescent="0.25">
      <c r="A484" s="1" t="s">
        <v>915</v>
      </c>
      <c r="B484" s="1" t="s">
        <v>10379</v>
      </c>
      <c r="C484" s="1" t="s">
        <v>6733</v>
      </c>
    </row>
    <row r="485" spans="1:3" ht="15.75" customHeight="1" x14ac:dyDescent="0.25">
      <c r="A485" s="1" t="s">
        <v>376</v>
      </c>
      <c r="B485" s="1" t="s">
        <v>7982</v>
      </c>
      <c r="C485" s="1" t="s">
        <v>10378</v>
      </c>
    </row>
    <row r="486" spans="1:3" ht="15.75" customHeight="1" x14ac:dyDescent="0.25">
      <c r="A486" s="1" t="s">
        <v>10377</v>
      </c>
      <c r="B486" s="1" t="s">
        <v>10376</v>
      </c>
      <c r="C486" s="1" t="s">
        <v>8091</v>
      </c>
    </row>
    <row r="487" spans="1:3" ht="15.75" customHeight="1" x14ac:dyDescent="0.25">
      <c r="A487" s="1" t="s">
        <v>1697</v>
      </c>
      <c r="B487" s="1" t="s">
        <v>10375</v>
      </c>
      <c r="C487" s="1" t="s">
        <v>6242</v>
      </c>
    </row>
    <row r="488" spans="1:3" ht="15.75" customHeight="1" x14ac:dyDescent="0.25">
      <c r="A488" s="1" t="s">
        <v>373</v>
      </c>
      <c r="B488" s="1" t="s">
        <v>10374</v>
      </c>
      <c r="C488" s="1" t="s">
        <v>10373</v>
      </c>
    </row>
    <row r="489" spans="1:3" ht="15.75" customHeight="1" x14ac:dyDescent="0.25">
      <c r="A489" s="1" t="s">
        <v>1431</v>
      </c>
      <c r="B489" s="1" t="s">
        <v>10372</v>
      </c>
      <c r="C489" s="1" t="s">
        <v>6714</v>
      </c>
    </row>
    <row r="490" spans="1:3" ht="15.75" customHeight="1" x14ac:dyDescent="0.25">
      <c r="A490" s="1" t="s">
        <v>1501</v>
      </c>
      <c r="B490" s="1" t="s">
        <v>10371</v>
      </c>
      <c r="C490" s="1" t="s">
        <v>9121</v>
      </c>
    </row>
    <row r="491" spans="1:3" ht="15.75" customHeight="1" x14ac:dyDescent="0.25">
      <c r="A491" s="1" t="s">
        <v>10370</v>
      </c>
      <c r="B491" s="1" t="s">
        <v>10369</v>
      </c>
      <c r="C491" s="1" t="s">
        <v>6122</v>
      </c>
    </row>
    <row r="492" spans="1:3" ht="15.75" customHeight="1" x14ac:dyDescent="0.25">
      <c r="A492" s="1" t="s">
        <v>10368</v>
      </c>
      <c r="B492" s="1" t="s">
        <v>10367</v>
      </c>
      <c r="C492" s="1" t="s">
        <v>6530</v>
      </c>
    </row>
    <row r="493" spans="1:3" ht="15.75" customHeight="1" x14ac:dyDescent="0.25">
      <c r="A493" s="1" t="s">
        <v>371</v>
      </c>
      <c r="B493" s="1" t="s">
        <v>10366</v>
      </c>
      <c r="C493" s="1" t="s">
        <v>6797</v>
      </c>
    </row>
    <row r="494" spans="1:3" ht="15.75" customHeight="1" x14ac:dyDescent="0.25">
      <c r="A494" s="1" t="s">
        <v>5438</v>
      </c>
      <c r="B494" s="1" t="s">
        <v>10365</v>
      </c>
      <c r="C494" s="1" t="s">
        <v>6122</v>
      </c>
    </row>
    <row r="495" spans="1:3" ht="15.75" customHeight="1" x14ac:dyDescent="0.25">
      <c r="A495" s="1" t="s">
        <v>10364</v>
      </c>
      <c r="B495" s="1" t="s">
        <v>10363</v>
      </c>
      <c r="C495" s="1" t="s">
        <v>6242</v>
      </c>
    </row>
    <row r="496" spans="1:3" ht="15.75" customHeight="1" x14ac:dyDescent="0.25">
      <c r="A496" s="1" t="s">
        <v>3231</v>
      </c>
      <c r="B496" s="1" t="s">
        <v>10362</v>
      </c>
      <c r="C496" s="1" t="s">
        <v>5836</v>
      </c>
    </row>
    <row r="497" spans="1:3" ht="15.75" customHeight="1" x14ac:dyDescent="0.25">
      <c r="A497" s="1" t="s">
        <v>10361</v>
      </c>
      <c r="B497" s="1" t="s">
        <v>7654</v>
      </c>
      <c r="C497" s="1" t="s">
        <v>10360</v>
      </c>
    </row>
    <row r="498" spans="1:3" ht="15.75" customHeight="1" x14ac:dyDescent="0.25">
      <c r="A498" s="1" t="s">
        <v>1228</v>
      </c>
      <c r="B498" s="1" t="s">
        <v>10359</v>
      </c>
      <c r="C498" s="1" t="s">
        <v>7189</v>
      </c>
    </row>
    <row r="499" spans="1:3" ht="15.75" customHeight="1" x14ac:dyDescent="0.25">
      <c r="A499" s="1" t="s">
        <v>10358</v>
      </c>
      <c r="B499" s="1" t="s">
        <v>10357</v>
      </c>
      <c r="C499" s="1" t="s">
        <v>6242</v>
      </c>
    </row>
    <row r="500" spans="1:3" ht="15.75" customHeight="1" x14ac:dyDescent="0.25">
      <c r="A500" s="1" t="s">
        <v>3885</v>
      </c>
      <c r="B500" s="1" t="s">
        <v>10356</v>
      </c>
      <c r="C500" s="1" t="s">
        <v>5838</v>
      </c>
    </row>
    <row r="501" spans="1:3" ht="15.75" customHeight="1" x14ac:dyDescent="0.25">
      <c r="A501" s="1" t="s">
        <v>1874</v>
      </c>
      <c r="B501" s="1" t="s">
        <v>10355</v>
      </c>
      <c r="C501" s="1" t="s">
        <v>6626</v>
      </c>
    </row>
    <row r="502" spans="1:3" ht="15.75" customHeight="1" x14ac:dyDescent="0.25">
      <c r="A502" s="1" t="s">
        <v>2724</v>
      </c>
      <c r="B502" s="1" t="s">
        <v>10354</v>
      </c>
      <c r="C502" s="1" t="s">
        <v>5838</v>
      </c>
    </row>
    <row r="503" spans="1:3" ht="15.75" customHeight="1" x14ac:dyDescent="0.25">
      <c r="A503" s="1" t="s">
        <v>3776</v>
      </c>
      <c r="B503" s="1" t="s">
        <v>10353</v>
      </c>
      <c r="C503" s="1" t="s">
        <v>9121</v>
      </c>
    </row>
    <row r="504" spans="1:3" ht="15.75" customHeight="1" x14ac:dyDescent="0.25">
      <c r="A504" s="1" t="s">
        <v>4501</v>
      </c>
      <c r="B504" s="1" t="s">
        <v>10352</v>
      </c>
      <c r="C504" s="1" t="s">
        <v>5800</v>
      </c>
    </row>
    <row r="505" spans="1:3" ht="15.75" customHeight="1" x14ac:dyDescent="0.25">
      <c r="A505" s="1" t="s">
        <v>10351</v>
      </c>
      <c r="B505" s="1" t="s">
        <v>10350</v>
      </c>
      <c r="C505" s="1" t="s">
        <v>6242</v>
      </c>
    </row>
    <row r="506" spans="1:3" ht="15.75" customHeight="1" x14ac:dyDescent="0.25">
      <c r="A506" s="1" t="s">
        <v>5013</v>
      </c>
      <c r="B506" s="1" t="s">
        <v>10349</v>
      </c>
      <c r="C506" s="1" t="s">
        <v>6468</v>
      </c>
    </row>
    <row r="507" spans="1:3" ht="15.75" customHeight="1" x14ac:dyDescent="0.25">
      <c r="A507" s="1" t="s">
        <v>3493</v>
      </c>
      <c r="B507" s="1" t="s">
        <v>10348</v>
      </c>
      <c r="C507" s="1" t="s">
        <v>5796</v>
      </c>
    </row>
    <row r="508" spans="1:3" ht="15.75" customHeight="1" x14ac:dyDescent="0.25">
      <c r="A508" s="1" t="s">
        <v>5642</v>
      </c>
      <c r="B508" s="1" t="s">
        <v>6752</v>
      </c>
      <c r="C508" s="1" t="s">
        <v>10347</v>
      </c>
    </row>
    <row r="509" spans="1:3" ht="15.75" customHeight="1" x14ac:dyDescent="0.25">
      <c r="A509" s="1" t="s">
        <v>10346</v>
      </c>
      <c r="B509" s="1" t="s">
        <v>10345</v>
      </c>
      <c r="C509" s="1" t="s">
        <v>7228</v>
      </c>
    </row>
    <row r="510" spans="1:3" ht="15.75" customHeight="1" x14ac:dyDescent="0.25">
      <c r="A510" s="1" t="s">
        <v>369</v>
      </c>
      <c r="B510" s="1" t="s">
        <v>10344</v>
      </c>
      <c r="C510" s="1" t="s">
        <v>5811</v>
      </c>
    </row>
    <row r="511" spans="1:3" ht="15.75" customHeight="1" x14ac:dyDescent="0.25">
      <c r="A511" s="1" t="s">
        <v>5587</v>
      </c>
      <c r="B511" s="1" t="s">
        <v>7673</v>
      </c>
      <c r="C511" s="1" t="s">
        <v>10343</v>
      </c>
    </row>
    <row r="512" spans="1:3" ht="15.75" customHeight="1" x14ac:dyDescent="0.25">
      <c r="A512" s="1" t="s">
        <v>5489</v>
      </c>
      <c r="B512" s="1" t="s">
        <v>10342</v>
      </c>
      <c r="C512" s="1" t="s">
        <v>5796</v>
      </c>
    </row>
    <row r="513" spans="1:3" ht="15.75" customHeight="1" x14ac:dyDescent="0.25">
      <c r="A513" s="1" t="s">
        <v>368</v>
      </c>
      <c r="B513" s="1" t="s">
        <v>10341</v>
      </c>
      <c r="C513" s="1" t="s">
        <v>5779</v>
      </c>
    </row>
    <row r="514" spans="1:3" ht="15.75" customHeight="1" x14ac:dyDescent="0.25">
      <c r="A514" s="1" t="s">
        <v>366</v>
      </c>
      <c r="B514" s="1" t="s">
        <v>10340</v>
      </c>
      <c r="C514" s="1" t="s">
        <v>5796</v>
      </c>
    </row>
    <row r="515" spans="1:3" ht="15.75" customHeight="1" x14ac:dyDescent="0.25">
      <c r="A515" s="1" t="s">
        <v>4697</v>
      </c>
      <c r="B515" s="1" t="s">
        <v>10339</v>
      </c>
      <c r="C515" s="1" t="s">
        <v>6468</v>
      </c>
    </row>
    <row r="516" spans="1:3" ht="15.75" customHeight="1" x14ac:dyDescent="0.25">
      <c r="A516" s="1" t="s">
        <v>4742</v>
      </c>
      <c r="B516" s="1" t="s">
        <v>10338</v>
      </c>
      <c r="C516" s="1" t="s">
        <v>10337</v>
      </c>
    </row>
    <row r="517" spans="1:3" ht="15.75" customHeight="1" x14ac:dyDescent="0.25">
      <c r="A517" s="1" t="s">
        <v>4235</v>
      </c>
      <c r="B517" s="1" t="s">
        <v>10336</v>
      </c>
      <c r="C517" s="1" t="s">
        <v>6913</v>
      </c>
    </row>
    <row r="518" spans="1:3" ht="15.75" customHeight="1" x14ac:dyDescent="0.25">
      <c r="A518" s="1" t="s">
        <v>364</v>
      </c>
      <c r="B518" s="1" t="s">
        <v>10335</v>
      </c>
      <c r="C518" s="1" t="s">
        <v>5824</v>
      </c>
    </row>
    <row r="519" spans="1:3" ht="15.75" customHeight="1" x14ac:dyDescent="0.25">
      <c r="A519" s="1" t="s">
        <v>1413</v>
      </c>
      <c r="B519" s="1" t="s">
        <v>10334</v>
      </c>
      <c r="C519" s="1" t="s">
        <v>5796</v>
      </c>
    </row>
    <row r="520" spans="1:3" ht="15.75" customHeight="1" x14ac:dyDescent="0.25">
      <c r="A520" s="1" t="s">
        <v>10333</v>
      </c>
      <c r="B520" s="1" t="s">
        <v>8061</v>
      </c>
      <c r="C520" s="1" t="s">
        <v>10332</v>
      </c>
    </row>
    <row r="521" spans="1:3" ht="15.75" customHeight="1" x14ac:dyDescent="0.25">
      <c r="A521" s="1" t="s">
        <v>3817</v>
      </c>
      <c r="B521" s="1" t="s">
        <v>10331</v>
      </c>
      <c r="C521" s="1" t="s">
        <v>7446</v>
      </c>
    </row>
    <row r="522" spans="1:3" ht="15.75" customHeight="1" x14ac:dyDescent="0.25">
      <c r="A522" s="1" t="s">
        <v>10330</v>
      </c>
      <c r="B522" s="1" t="s">
        <v>10329</v>
      </c>
      <c r="C522" s="1" t="s">
        <v>6242</v>
      </c>
    </row>
    <row r="523" spans="1:3" ht="15.75" customHeight="1" x14ac:dyDescent="0.25">
      <c r="A523" s="1" t="s">
        <v>4924</v>
      </c>
      <c r="B523" s="1" t="s">
        <v>10328</v>
      </c>
      <c r="C523" s="1" t="s">
        <v>5800</v>
      </c>
    </row>
    <row r="524" spans="1:3" ht="15.75" customHeight="1" x14ac:dyDescent="0.25">
      <c r="A524" s="1" t="s">
        <v>5023</v>
      </c>
      <c r="B524" s="1" t="s">
        <v>10212</v>
      </c>
      <c r="C524" s="1" t="s">
        <v>8330</v>
      </c>
    </row>
    <row r="525" spans="1:3" ht="15.75" customHeight="1" x14ac:dyDescent="0.25">
      <c r="A525" s="1" t="s">
        <v>827</v>
      </c>
      <c r="B525" s="1" t="s">
        <v>10327</v>
      </c>
      <c r="C525" s="1" t="s">
        <v>5824</v>
      </c>
    </row>
    <row r="526" spans="1:3" ht="15.75" customHeight="1" x14ac:dyDescent="0.25">
      <c r="A526" s="1" t="s">
        <v>10326</v>
      </c>
      <c r="B526" s="1" t="s">
        <v>10325</v>
      </c>
      <c r="C526" s="1" t="s">
        <v>6242</v>
      </c>
    </row>
    <row r="527" spans="1:3" ht="15.75" customHeight="1" x14ac:dyDescent="0.25">
      <c r="A527" s="1" t="s">
        <v>10324</v>
      </c>
      <c r="B527" s="1" t="s">
        <v>10323</v>
      </c>
      <c r="C527" s="1" t="s">
        <v>7860</v>
      </c>
    </row>
    <row r="528" spans="1:3" ht="15.75" customHeight="1" x14ac:dyDescent="0.25">
      <c r="A528" s="1" t="s">
        <v>10322</v>
      </c>
      <c r="B528" s="1" t="s">
        <v>10321</v>
      </c>
      <c r="C528" s="1" t="s">
        <v>6260</v>
      </c>
    </row>
    <row r="529" spans="1:3" ht="15.75" customHeight="1" x14ac:dyDescent="0.25">
      <c r="A529" s="1" t="s">
        <v>5325</v>
      </c>
      <c r="B529" s="1" t="s">
        <v>7534</v>
      </c>
      <c r="C529" s="1" t="s">
        <v>10320</v>
      </c>
    </row>
    <row r="530" spans="1:3" ht="15.75" customHeight="1" x14ac:dyDescent="0.25">
      <c r="A530" s="1" t="s">
        <v>2050</v>
      </c>
      <c r="B530" s="1" t="s">
        <v>10319</v>
      </c>
      <c r="C530" s="1" t="s">
        <v>6714</v>
      </c>
    </row>
    <row r="531" spans="1:3" ht="15.75" customHeight="1" x14ac:dyDescent="0.25">
      <c r="A531" s="1" t="s">
        <v>4522</v>
      </c>
      <c r="B531" s="1" t="s">
        <v>10318</v>
      </c>
      <c r="C531" s="1" t="s">
        <v>7313</v>
      </c>
    </row>
    <row r="532" spans="1:3" ht="15.75" customHeight="1" x14ac:dyDescent="0.25">
      <c r="A532" s="1" t="s">
        <v>3125</v>
      </c>
      <c r="B532" s="1" t="s">
        <v>10317</v>
      </c>
      <c r="C532" s="1" t="s">
        <v>5796</v>
      </c>
    </row>
    <row r="533" spans="1:3" ht="15.75" customHeight="1" x14ac:dyDescent="0.25">
      <c r="A533" s="1" t="s">
        <v>2645</v>
      </c>
      <c r="B533" s="1" t="s">
        <v>10316</v>
      </c>
      <c r="C533" s="1" t="s">
        <v>6647</v>
      </c>
    </row>
    <row r="534" spans="1:3" ht="15.75" customHeight="1" x14ac:dyDescent="0.25">
      <c r="A534" s="1" t="s">
        <v>10315</v>
      </c>
      <c r="B534" s="1" t="s">
        <v>10314</v>
      </c>
      <c r="C534" s="1" t="s">
        <v>6242</v>
      </c>
    </row>
    <row r="535" spans="1:3" ht="15.75" customHeight="1" x14ac:dyDescent="0.25">
      <c r="A535" s="1" t="s">
        <v>10313</v>
      </c>
      <c r="B535" s="1" t="s">
        <v>10312</v>
      </c>
      <c r="C535" s="1" t="s">
        <v>5844</v>
      </c>
    </row>
    <row r="536" spans="1:3" ht="15.75" customHeight="1" x14ac:dyDescent="0.25">
      <c r="A536" s="1" t="s">
        <v>10311</v>
      </c>
      <c r="B536" s="1" t="s">
        <v>10310</v>
      </c>
      <c r="C536" s="1" t="s">
        <v>6825</v>
      </c>
    </row>
    <row r="537" spans="1:3" ht="15.75" customHeight="1" x14ac:dyDescent="0.25">
      <c r="A537" s="1" t="s">
        <v>1528</v>
      </c>
      <c r="B537" s="1" t="s">
        <v>10309</v>
      </c>
      <c r="C537" s="1" t="s">
        <v>7754</v>
      </c>
    </row>
    <row r="538" spans="1:3" ht="15.75" customHeight="1" x14ac:dyDescent="0.25">
      <c r="A538" s="1" t="s">
        <v>10308</v>
      </c>
      <c r="B538" s="1" t="s">
        <v>10307</v>
      </c>
      <c r="C538" s="1" t="s">
        <v>7306</v>
      </c>
    </row>
    <row r="539" spans="1:3" ht="15.75" customHeight="1" x14ac:dyDescent="0.25">
      <c r="A539" s="1" t="s">
        <v>2806</v>
      </c>
      <c r="B539" s="1" t="s">
        <v>10306</v>
      </c>
      <c r="C539" s="1" t="s">
        <v>7011</v>
      </c>
    </row>
    <row r="540" spans="1:3" ht="15.75" customHeight="1" x14ac:dyDescent="0.25">
      <c r="A540" s="1" t="s">
        <v>2912</v>
      </c>
      <c r="B540" s="1" t="s">
        <v>10305</v>
      </c>
      <c r="C540" s="1" t="s">
        <v>7011</v>
      </c>
    </row>
    <row r="541" spans="1:3" ht="15.75" customHeight="1" x14ac:dyDescent="0.25">
      <c r="A541" s="1" t="s">
        <v>4714</v>
      </c>
      <c r="B541" s="1" t="s">
        <v>10304</v>
      </c>
      <c r="C541" s="1" t="s">
        <v>6653</v>
      </c>
    </row>
    <row r="542" spans="1:3" ht="15.75" customHeight="1" x14ac:dyDescent="0.25">
      <c r="A542" s="1" t="s">
        <v>3739</v>
      </c>
      <c r="B542" s="1" t="s">
        <v>10303</v>
      </c>
      <c r="C542" s="1" t="s">
        <v>5886</v>
      </c>
    </row>
    <row r="543" spans="1:3" ht="15.75" customHeight="1" x14ac:dyDescent="0.25">
      <c r="A543" s="1" t="s">
        <v>4586</v>
      </c>
      <c r="B543" s="1" t="s">
        <v>10302</v>
      </c>
      <c r="C543" s="1" t="s">
        <v>6586</v>
      </c>
    </row>
    <row r="544" spans="1:3" ht="15.75" customHeight="1" x14ac:dyDescent="0.25">
      <c r="A544" s="1" t="s">
        <v>10301</v>
      </c>
      <c r="B544" s="1" t="s">
        <v>10300</v>
      </c>
      <c r="C544" s="1" t="s">
        <v>6546</v>
      </c>
    </row>
    <row r="545" spans="1:3" ht="15.75" customHeight="1" x14ac:dyDescent="0.25">
      <c r="A545" s="1" t="s">
        <v>4363</v>
      </c>
      <c r="B545" s="1" t="s">
        <v>10299</v>
      </c>
      <c r="C545" s="1" t="s">
        <v>5836</v>
      </c>
    </row>
    <row r="546" spans="1:3" ht="15.75" customHeight="1" x14ac:dyDescent="0.25">
      <c r="A546" s="1" t="s">
        <v>5608</v>
      </c>
      <c r="B546" s="1" t="s">
        <v>10298</v>
      </c>
      <c r="C546" s="1" t="s">
        <v>10297</v>
      </c>
    </row>
    <row r="547" spans="1:3" ht="15.75" customHeight="1" x14ac:dyDescent="0.25">
      <c r="A547" s="1" t="s">
        <v>1360</v>
      </c>
      <c r="B547" s="1" t="s">
        <v>10296</v>
      </c>
      <c r="C547" s="1" t="s">
        <v>8578</v>
      </c>
    </row>
    <row r="548" spans="1:3" ht="15.75" customHeight="1" x14ac:dyDescent="0.25">
      <c r="A548" s="1" t="s">
        <v>361</v>
      </c>
      <c r="B548" s="1" t="s">
        <v>10295</v>
      </c>
      <c r="C548" s="1" t="s">
        <v>5796</v>
      </c>
    </row>
    <row r="549" spans="1:3" ht="15.75" customHeight="1" x14ac:dyDescent="0.25">
      <c r="A549" s="1" t="s">
        <v>10294</v>
      </c>
      <c r="B549" s="1" t="s">
        <v>10293</v>
      </c>
      <c r="C549" s="1" t="s">
        <v>9121</v>
      </c>
    </row>
    <row r="550" spans="1:3" ht="15.75" customHeight="1" x14ac:dyDescent="0.25">
      <c r="A550" s="1" t="s">
        <v>10292</v>
      </c>
      <c r="B550" s="1" t="s">
        <v>10291</v>
      </c>
      <c r="C550" s="1" t="s">
        <v>6242</v>
      </c>
    </row>
    <row r="551" spans="1:3" ht="15.75" customHeight="1" x14ac:dyDescent="0.25">
      <c r="A551" s="1" t="s">
        <v>2423</v>
      </c>
      <c r="B551" s="1" t="s">
        <v>10290</v>
      </c>
      <c r="C551" s="1" t="s">
        <v>6468</v>
      </c>
    </row>
    <row r="552" spans="1:3" ht="15.75" customHeight="1" x14ac:dyDescent="0.25">
      <c r="A552" s="1" t="s">
        <v>10289</v>
      </c>
      <c r="B552" s="1" t="s">
        <v>10288</v>
      </c>
      <c r="C552" s="1" t="s">
        <v>6242</v>
      </c>
    </row>
    <row r="553" spans="1:3" ht="15.75" customHeight="1" x14ac:dyDescent="0.25">
      <c r="A553" s="1" t="s">
        <v>3537</v>
      </c>
      <c r="B553" s="1" t="s">
        <v>10287</v>
      </c>
      <c r="C553" s="1" t="s">
        <v>8862</v>
      </c>
    </row>
    <row r="554" spans="1:3" ht="15.75" customHeight="1" x14ac:dyDescent="0.25">
      <c r="A554" s="1" t="s">
        <v>2122</v>
      </c>
      <c r="B554" s="1" t="s">
        <v>10247</v>
      </c>
      <c r="C554" s="1" t="s">
        <v>6714</v>
      </c>
    </row>
    <row r="555" spans="1:3" ht="15.75" customHeight="1" x14ac:dyDescent="0.25">
      <c r="A555" s="1" t="s">
        <v>5565</v>
      </c>
      <c r="B555" s="1" t="s">
        <v>10286</v>
      </c>
      <c r="C555" s="1" t="s">
        <v>6089</v>
      </c>
    </row>
    <row r="556" spans="1:3" ht="15.75" customHeight="1" x14ac:dyDescent="0.25">
      <c r="A556" s="1" t="s">
        <v>4375</v>
      </c>
      <c r="B556" s="1" t="s">
        <v>10285</v>
      </c>
      <c r="C556" s="1" t="s">
        <v>6991</v>
      </c>
    </row>
    <row r="557" spans="1:3" ht="15.75" customHeight="1" x14ac:dyDescent="0.25">
      <c r="A557" s="1" t="s">
        <v>3021</v>
      </c>
      <c r="B557" s="1" t="s">
        <v>10284</v>
      </c>
      <c r="C557" s="1" t="s">
        <v>6750</v>
      </c>
    </row>
    <row r="558" spans="1:3" ht="15.75" customHeight="1" x14ac:dyDescent="0.25">
      <c r="A558" s="1" t="s">
        <v>1549</v>
      </c>
      <c r="B558" s="1" t="s">
        <v>10283</v>
      </c>
      <c r="C558" s="1" t="s">
        <v>6125</v>
      </c>
    </row>
    <row r="559" spans="1:3" ht="15.75" customHeight="1" x14ac:dyDescent="0.25">
      <c r="A559" s="1" t="s">
        <v>5021</v>
      </c>
      <c r="B559" s="1" t="s">
        <v>10282</v>
      </c>
      <c r="C559" s="1" t="s">
        <v>6651</v>
      </c>
    </row>
    <row r="560" spans="1:3" ht="15.75" customHeight="1" x14ac:dyDescent="0.25">
      <c r="A560" s="1" t="s">
        <v>10281</v>
      </c>
      <c r="B560" s="1" t="s">
        <v>10280</v>
      </c>
      <c r="C560" s="1" t="s">
        <v>6242</v>
      </c>
    </row>
    <row r="561" spans="1:3" ht="15.75" customHeight="1" x14ac:dyDescent="0.25">
      <c r="A561" s="1" t="s">
        <v>1914</v>
      </c>
      <c r="B561" s="1" t="s">
        <v>10279</v>
      </c>
      <c r="C561" s="1" t="s">
        <v>5836</v>
      </c>
    </row>
    <row r="562" spans="1:3" ht="15.75" customHeight="1" x14ac:dyDescent="0.25">
      <c r="A562" s="1" t="s">
        <v>5732</v>
      </c>
      <c r="B562" s="1" t="s">
        <v>5731</v>
      </c>
      <c r="C562" s="1" t="s">
        <v>7374</v>
      </c>
    </row>
    <row r="563" spans="1:3" ht="15.75" customHeight="1" x14ac:dyDescent="0.25">
      <c r="A563" s="1" t="s">
        <v>3660</v>
      </c>
      <c r="B563" s="1" t="s">
        <v>10278</v>
      </c>
      <c r="C563" s="1" t="s">
        <v>5838</v>
      </c>
    </row>
    <row r="564" spans="1:3" ht="15.75" customHeight="1" x14ac:dyDescent="0.25">
      <c r="A564" s="1" t="s">
        <v>10277</v>
      </c>
      <c r="B564" s="1" t="s">
        <v>10276</v>
      </c>
      <c r="C564" s="1" t="s">
        <v>9121</v>
      </c>
    </row>
    <row r="565" spans="1:3" ht="15.75" customHeight="1" x14ac:dyDescent="0.25">
      <c r="A565" s="1" t="s">
        <v>5126</v>
      </c>
      <c r="B565" s="1" t="s">
        <v>10275</v>
      </c>
      <c r="C565" s="1" t="s">
        <v>10274</v>
      </c>
    </row>
    <row r="566" spans="1:3" ht="15.75" customHeight="1" x14ac:dyDescent="0.25">
      <c r="A566" s="1" t="s">
        <v>10273</v>
      </c>
      <c r="B566" s="1" t="s">
        <v>10272</v>
      </c>
      <c r="C566" s="1" t="s">
        <v>5836</v>
      </c>
    </row>
    <row r="567" spans="1:3" ht="15.75" customHeight="1" x14ac:dyDescent="0.25">
      <c r="A567" s="1" t="s">
        <v>3477</v>
      </c>
      <c r="B567" s="1" t="s">
        <v>10271</v>
      </c>
      <c r="C567" s="1" t="s">
        <v>5838</v>
      </c>
    </row>
    <row r="568" spans="1:3" ht="15.75" customHeight="1" x14ac:dyDescent="0.25">
      <c r="A568" s="1" t="s">
        <v>1608</v>
      </c>
      <c r="B568" s="1" t="s">
        <v>10270</v>
      </c>
      <c r="C568" s="1" t="s">
        <v>6468</v>
      </c>
    </row>
    <row r="569" spans="1:3" ht="15.75" customHeight="1" x14ac:dyDescent="0.25">
      <c r="A569" s="1" t="s">
        <v>5441</v>
      </c>
      <c r="B569" s="1" t="s">
        <v>9630</v>
      </c>
      <c r="C569" s="1" t="s">
        <v>6089</v>
      </c>
    </row>
    <row r="570" spans="1:3" ht="15.75" customHeight="1" x14ac:dyDescent="0.25">
      <c r="A570" s="1" t="s">
        <v>3177</v>
      </c>
      <c r="B570" s="1" t="s">
        <v>10269</v>
      </c>
      <c r="C570" s="1" t="s">
        <v>6861</v>
      </c>
    </row>
    <row r="571" spans="1:3" ht="15.75" customHeight="1" x14ac:dyDescent="0.25">
      <c r="A571" s="1" t="s">
        <v>10268</v>
      </c>
      <c r="B571" s="1" t="s">
        <v>10267</v>
      </c>
      <c r="C571" s="1" t="s">
        <v>6542</v>
      </c>
    </row>
    <row r="572" spans="1:3" ht="15.75" customHeight="1" x14ac:dyDescent="0.25">
      <c r="A572" s="1" t="s">
        <v>10266</v>
      </c>
      <c r="B572" s="1" t="s">
        <v>10265</v>
      </c>
      <c r="C572" s="1" t="s">
        <v>5773</v>
      </c>
    </row>
    <row r="573" spans="1:3" ht="15.75" customHeight="1" x14ac:dyDescent="0.25">
      <c r="A573" s="1" t="s">
        <v>359</v>
      </c>
      <c r="B573" s="1" t="s">
        <v>10264</v>
      </c>
      <c r="C573" s="1" t="s">
        <v>10263</v>
      </c>
    </row>
    <row r="574" spans="1:3" ht="15.75" customHeight="1" x14ac:dyDescent="0.25">
      <c r="A574" s="1" t="s">
        <v>10262</v>
      </c>
      <c r="B574" s="1" t="s">
        <v>10261</v>
      </c>
      <c r="C574" s="1" t="s">
        <v>10260</v>
      </c>
    </row>
    <row r="575" spans="1:3" ht="15.75" customHeight="1" x14ac:dyDescent="0.25">
      <c r="A575" s="1" t="s">
        <v>2520</v>
      </c>
      <c r="B575" s="1" t="s">
        <v>10259</v>
      </c>
      <c r="C575" s="1" t="s">
        <v>6669</v>
      </c>
    </row>
    <row r="576" spans="1:3" ht="15.75" customHeight="1" x14ac:dyDescent="0.25">
      <c r="A576" s="1" t="s">
        <v>2112</v>
      </c>
      <c r="B576" s="1" t="s">
        <v>10258</v>
      </c>
      <c r="C576" s="1" t="s">
        <v>6945</v>
      </c>
    </row>
    <row r="577" spans="1:3" ht="15.75" customHeight="1" x14ac:dyDescent="0.25">
      <c r="A577" s="1" t="s">
        <v>10257</v>
      </c>
      <c r="B577" s="1" t="s">
        <v>10256</v>
      </c>
      <c r="C577" s="1" t="s">
        <v>9121</v>
      </c>
    </row>
    <row r="578" spans="1:3" ht="15.75" customHeight="1" x14ac:dyDescent="0.25">
      <c r="A578" s="1" t="s">
        <v>10255</v>
      </c>
      <c r="B578" s="1" t="s">
        <v>10254</v>
      </c>
      <c r="C578" s="1" t="s">
        <v>9121</v>
      </c>
    </row>
    <row r="579" spans="1:3" ht="15.75" customHeight="1" x14ac:dyDescent="0.25">
      <c r="A579" s="1" t="s">
        <v>4408</v>
      </c>
      <c r="B579" s="1" t="s">
        <v>10253</v>
      </c>
      <c r="C579" s="1" t="s">
        <v>6991</v>
      </c>
    </row>
    <row r="580" spans="1:3" ht="15.75" customHeight="1" x14ac:dyDescent="0.25">
      <c r="A580" s="1" t="s">
        <v>5485</v>
      </c>
      <c r="B580" s="1" t="s">
        <v>7857</v>
      </c>
      <c r="C580" s="1" t="s">
        <v>10252</v>
      </c>
    </row>
    <row r="581" spans="1:3" ht="15.75" customHeight="1" x14ac:dyDescent="0.25">
      <c r="A581" s="1" t="s">
        <v>10251</v>
      </c>
      <c r="B581" s="1" t="s">
        <v>10250</v>
      </c>
      <c r="C581" s="1" t="s">
        <v>9121</v>
      </c>
    </row>
    <row r="582" spans="1:3" ht="15.75" customHeight="1" x14ac:dyDescent="0.25">
      <c r="A582" s="1" t="s">
        <v>10249</v>
      </c>
      <c r="B582" s="1" t="s">
        <v>10239</v>
      </c>
      <c r="C582" s="1" t="s">
        <v>7418</v>
      </c>
    </row>
    <row r="583" spans="1:3" ht="15.75" customHeight="1" x14ac:dyDescent="0.25">
      <c r="A583" s="1" t="s">
        <v>10248</v>
      </c>
      <c r="B583" s="1" t="s">
        <v>10247</v>
      </c>
      <c r="C583" s="1" t="s">
        <v>6997</v>
      </c>
    </row>
    <row r="584" spans="1:3" ht="15.75" customHeight="1" x14ac:dyDescent="0.25">
      <c r="A584" s="1" t="s">
        <v>602</v>
      </c>
      <c r="B584" s="1" t="s">
        <v>10246</v>
      </c>
      <c r="C584" s="1" t="s">
        <v>6905</v>
      </c>
    </row>
    <row r="585" spans="1:3" ht="15.75" customHeight="1" x14ac:dyDescent="0.25">
      <c r="A585" s="1" t="s">
        <v>2301</v>
      </c>
      <c r="B585" s="1" t="s">
        <v>10245</v>
      </c>
      <c r="C585" s="1" t="s">
        <v>9150</v>
      </c>
    </row>
    <row r="586" spans="1:3" ht="15.75" customHeight="1" x14ac:dyDescent="0.25">
      <c r="A586" s="1" t="s">
        <v>5262</v>
      </c>
      <c r="B586" s="1" t="s">
        <v>10244</v>
      </c>
      <c r="C586" s="1" t="s">
        <v>9121</v>
      </c>
    </row>
    <row r="587" spans="1:3" ht="15.75" customHeight="1" x14ac:dyDescent="0.25">
      <c r="A587" s="1" t="s">
        <v>357</v>
      </c>
      <c r="B587" s="1" t="s">
        <v>10243</v>
      </c>
      <c r="C587" s="1" t="s">
        <v>6797</v>
      </c>
    </row>
    <row r="588" spans="1:3" ht="15.75" customHeight="1" x14ac:dyDescent="0.25">
      <c r="A588" s="1" t="s">
        <v>10242</v>
      </c>
      <c r="B588" s="1" t="s">
        <v>10241</v>
      </c>
      <c r="C588" s="1" t="s">
        <v>6733</v>
      </c>
    </row>
    <row r="589" spans="1:3" ht="15.75" customHeight="1" x14ac:dyDescent="0.25">
      <c r="A589" s="1" t="s">
        <v>10240</v>
      </c>
      <c r="B589" s="1" t="s">
        <v>10239</v>
      </c>
      <c r="C589" s="1" t="s">
        <v>9150</v>
      </c>
    </row>
    <row r="590" spans="1:3" ht="15.75" customHeight="1" x14ac:dyDescent="0.25">
      <c r="A590" s="1" t="s">
        <v>2197</v>
      </c>
      <c r="B590" s="1" t="s">
        <v>10238</v>
      </c>
      <c r="C590" s="1" t="s">
        <v>6535</v>
      </c>
    </row>
    <row r="591" spans="1:3" ht="15.75" customHeight="1" x14ac:dyDescent="0.25">
      <c r="A591" s="1" t="s">
        <v>10237</v>
      </c>
      <c r="B591" s="1" t="s">
        <v>10236</v>
      </c>
      <c r="C591" s="1" t="s">
        <v>6651</v>
      </c>
    </row>
    <row r="592" spans="1:3" ht="15.75" customHeight="1" x14ac:dyDescent="0.25">
      <c r="A592" s="1" t="s">
        <v>355</v>
      </c>
      <c r="B592" s="1" t="s">
        <v>10235</v>
      </c>
      <c r="C592" s="1" t="s">
        <v>6653</v>
      </c>
    </row>
    <row r="593" spans="1:3" ht="15.75" customHeight="1" x14ac:dyDescent="0.25">
      <c r="A593" s="1" t="s">
        <v>4642</v>
      </c>
      <c r="B593" s="1" t="s">
        <v>10234</v>
      </c>
      <c r="C593" s="1" t="s">
        <v>9150</v>
      </c>
    </row>
    <row r="594" spans="1:3" ht="15.75" customHeight="1" x14ac:dyDescent="0.25">
      <c r="A594" s="1" t="s">
        <v>4947</v>
      </c>
      <c r="B594" s="1" t="s">
        <v>10233</v>
      </c>
      <c r="C594" s="1" t="s">
        <v>7189</v>
      </c>
    </row>
    <row r="595" spans="1:3" ht="15.75" customHeight="1" x14ac:dyDescent="0.25">
      <c r="A595" s="1" t="s">
        <v>2187</v>
      </c>
      <c r="B595" s="1" t="s">
        <v>10232</v>
      </c>
      <c r="C595" s="1" t="s">
        <v>7228</v>
      </c>
    </row>
    <row r="596" spans="1:3" ht="15.75" customHeight="1" x14ac:dyDescent="0.25">
      <c r="A596" s="1" t="s">
        <v>10231</v>
      </c>
      <c r="B596" s="1" t="s">
        <v>10230</v>
      </c>
      <c r="C596" s="1" t="s">
        <v>9150</v>
      </c>
    </row>
    <row r="597" spans="1:3" ht="15.75" customHeight="1" x14ac:dyDescent="0.25">
      <c r="A597" s="1" t="s">
        <v>925</v>
      </c>
      <c r="B597" s="1" t="s">
        <v>10229</v>
      </c>
      <c r="C597" s="1" t="s">
        <v>9121</v>
      </c>
    </row>
    <row r="598" spans="1:3" ht="15.75" customHeight="1" x14ac:dyDescent="0.25">
      <c r="A598" s="1" t="s">
        <v>10228</v>
      </c>
      <c r="B598" s="1" t="s">
        <v>10227</v>
      </c>
      <c r="C598" s="1" t="s">
        <v>5836</v>
      </c>
    </row>
    <row r="599" spans="1:3" ht="15.75" customHeight="1" x14ac:dyDescent="0.25">
      <c r="A599" s="1" t="s">
        <v>5658</v>
      </c>
      <c r="B599" s="1" t="s">
        <v>10226</v>
      </c>
      <c r="C599" s="1" t="s">
        <v>5896</v>
      </c>
    </row>
    <row r="600" spans="1:3" ht="15.75" customHeight="1" x14ac:dyDescent="0.25">
      <c r="A600" s="1" t="s">
        <v>10225</v>
      </c>
      <c r="B600" s="1" t="s">
        <v>10224</v>
      </c>
      <c r="C600" s="1" t="s">
        <v>6486</v>
      </c>
    </row>
    <row r="601" spans="1:3" ht="15.75" customHeight="1" x14ac:dyDescent="0.25">
      <c r="A601" s="1" t="s">
        <v>2589</v>
      </c>
      <c r="B601" s="1" t="s">
        <v>10223</v>
      </c>
      <c r="C601" s="1" t="s">
        <v>5886</v>
      </c>
    </row>
    <row r="602" spans="1:3" ht="15.75" customHeight="1" x14ac:dyDescent="0.25">
      <c r="A602" s="1" t="s">
        <v>10222</v>
      </c>
      <c r="B602" s="1" t="s">
        <v>10221</v>
      </c>
      <c r="C602" s="1" t="s">
        <v>6468</v>
      </c>
    </row>
    <row r="603" spans="1:3" ht="15.75" customHeight="1" x14ac:dyDescent="0.25">
      <c r="A603" s="1" t="s">
        <v>3035</v>
      </c>
      <c r="B603" s="1" t="s">
        <v>10220</v>
      </c>
      <c r="C603" s="1" t="s">
        <v>6535</v>
      </c>
    </row>
    <row r="604" spans="1:3" ht="15.75" customHeight="1" x14ac:dyDescent="0.25">
      <c r="A604" s="1" t="s">
        <v>353</v>
      </c>
      <c r="B604" s="1" t="s">
        <v>10219</v>
      </c>
      <c r="C604" s="1" t="s">
        <v>6795</v>
      </c>
    </row>
    <row r="605" spans="1:3" ht="15.75" customHeight="1" x14ac:dyDescent="0.25">
      <c r="A605" s="1" t="s">
        <v>2826</v>
      </c>
      <c r="B605" s="1" t="s">
        <v>10218</v>
      </c>
      <c r="C605" s="1" t="s">
        <v>6468</v>
      </c>
    </row>
    <row r="606" spans="1:3" ht="15.75" customHeight="1" x14ac:dyDescent="0.25">
      <c r="A606" s="1" t="s">
        <v>3495</v>
      </c>
      <c r="B606" s="1" t="s">
        <v>10217</v>
      </c>
      <c r="C606" s="1" t="s">
        <v>9150</v>
      </c>
    </row>
    <row r="607" spans="1:3" ht="15.75" customHeight="1" x14ac:dyDescent="0.25">
      <c r="A607" s="1" t="s">
        <v>653</v>
      </c>
      <c r="B607" s="1" t="s">
        <v>10216</v>
      </c>
      <c r="C607" s="1" t="s">
        <v>5809</v>
      </c>
    </row>
    <row r="608" spans="1:3" ht="15.75" customHeight="1" x14ac:dyDescent="0.25">
      <c r="A608" s="1" t="s">
        <v>5363</v>
      </c>
      <c r="B608" s="1" t="s">
        <v>5777</v>
      </c>
      <c r="C608" s="1" t="s">
        <v>10215</v>
      </c>
    </row>
    <row r="609" spans="1:3" ht="15.75" customHeight="1" x14ac:dyDescent="0.25">
      <c r="A609" s="1" t="s">
        <v>4314</v>
      </c>
      <c r="B609" s="1" t="s">
        <v>10214</v>
      </c>
      <c r="C609" s="1" t="s">
        <v>6750</v>
      </c>
    </row>
    <row r="610" spans="1:3" ht="15.75" customHeight="1" x14ac:dyDescent="0.25">
      <c r="A610" s="1" t="s">
        <v>2757</v>
      </c>
      <c r="B610" s="1" t="s">
        <v>10213</v>
      </c>
      <c r="C610" s="1" t="s">
        <v>6665</v>
      </c>
    </row>
    <row r="611" spans="1:3" ht="15.75" customHeight="1" x14ac:dyDescent="0.25">
      <c r="A611" s="1" t="s">
        <v>4028</v>
      </c>
      <c r="B611" s="1" t="s">
        <v>10212</v>
      </c>
      <c r="C611" s="1" t="s">
        <v>8578</v>
      </c>
    </row>
    <row r="612" spans="1:3" ht="15.75" customHeight="1" x14ac:dyDescent="0.25">
      <c r="A612" s="1" t="s">
        <v>2708</v>
      </c>
      <c r="B612" s="1" t="s">
        <v>9630</v>
      </c>
      <c r="C612" s="1" t="s">
        <v>6703</v>
      </c>
    </row>
    <row r="613" spans="1:3" ht="15.75" customHeight="1" x14ac:dyDescent="0.25">
      <c r="A613" s="1" t="s">
        <v>10211</v>
      </c>
      <c r="B613" s="1" t="s">
        <v>10210</v>
      </c>
      <c r="C613" s="1" t="s">
        <v>9121</v>
      </c>
    </row>
    <row r="614" spans="1:3" ht="15.75" customHeight="1" x14ac:dyDescent="0.25">
      <c r="A614" s="1" t="s">
        <v>10209</v>
      </c>
      <c r="B614" s="1" t="s">
        <v>10208</v>
      </c>
      <c r="C614" s="1" t="s">
        <v>6759</v>
      </c>
    </row>
    <row r="615" spans="1:3" ht="15.75" customHeight="1" x14ac:dyDescent="0.25">
      <c r="A615" s="1" t="s">
        <v>10207</v>
      </c>
      <c r="B615" s="1" t="s">
        <v>10206</v>
      </c>
      <c r="C615" s="1" t="s">
        <v>6122</v>
      </c>
    </row>
    <row r="616" spans="1:3" ht="15.75" customHeight="1" x14ac:dyDescent="0.25">
      <c r="A616" s="1" t="s">
        <v>5450</v>
      </c>
      <c r="B616" s="1" t="s">
        <v>10205</v>
      </c>
      <c r="C616" s="1" t="s">
        <v>6665</v>
      </c>
    </row>
    <row r="617" spans="1:3" ht="15.75" customHeight="1" x14ac:dyDescent="0.25">
      <c r="A617" s="1" t="s">
        <v>1828</v>
      </c>
      <c r="B617" s="1" t="s">
        <v>10204</v>
      </c>
      <c r="C617" s="1" t="s">
        <v>9150</v>
      </c>
    </row>
    <row r="618" spans="1:3" ht="15.75" customHeight="1" x14ac:dyDescent="0.25">
      <c r="A618" s="1" t="s">
        <v>10203</v>
      </c>
      <c r="B618" s="1" t="s">
        <v>10202</v>
      </c>
      <c r="C618" s="1" t="s">
        <v>7860</v>
      </c>
    </row>
    <row r="619" spans="1:3" ht="15.75" customHeight="1" x14ac:dyDescent="0.25">
      <c r="A619" s="1" t="s">
        <v>4770</v>
      </c>
      <c r="B619" s="1" t="s">
        <v>10201</v>
      </c>
      <c r="C619" s="1" t="s">
        <v>6651</v>
      </c>
    </row>
    <row r="620" spans="1:3" ht="15.75" customHeight="1" x14ac:dyDescent="0.25">
      <c r="A620" s="1" t="s">
        <v>1114</v>
      </c>
      <c r="B620" s="1" t="s">
        <v>10200</v>
      </c>
      <c r="C620" s="1" t="s">
        <v>9121</v>
      </c>
    </row>
    <row r="621" spans="1:3" ht="15.75" customHeight="1" x14ac:dyDescent="0.25">
      <c r="A621" s="1" t="s">
        <v>5461</v>
      </c>
      <c r="B621" s="1" t="s">
        <v>10199</v>
      </c>
      <c r="C621" s="1" t="s">
        <v>5836</v>
      </c>
    </row>
    <row r="622" spans="1:3" ht="15.75" customHeight="1" x14ac:dyDescent="0.25">
      <c r="A622" s="1" t="s">
        <v>843</v>
      </c>
      <c r="B622" s="1" t="s">
        <v>10198</v>
      </c>
      <c r="C622" s="1" t="s">
        <v>9121</v>
      </c>
    </row>
    <row r="623" spans="1:3" ht="15.75" customHeight="1" x14ac:dyDescent="0.25">
      <c r="A623" s="1" t="s">
        <v>349</v>
      </c>
      <c r="B623" s="1" t="s">
        <v>348</v>
      </c>
      <c r="C623" s="1" t="s">
        <v>10197</v>
      </c>
    </row>
    <row r="624" spans="1:3" ht="15.75" customHeight="1" x14ac:dyDescent="0.25">
      <c r="A624" s="1" t="s">
        <v>347</v>
      </c>
      <c r="B624" s="1" t="s">
        <v>10196</v>
      </c>
      <c r="C624" s="1" t="s">
        <v>5796</v>
      </c>
    </row>
    <row r="625" spans="1:3" ht="15.75" customHeight="1" x14ac:dyDescent="0.25">
      <c r="A625" s="1" t="s">
        <v>4098</v>
      </c>
      <c r="B625" s="1" t="s">
        <v>10195</v>
      </c>
      <c r="C625" s="1" t="s">
        <v>6651</v>
      </c>
    </row>
    <row r="626" spans="1:3" ht="15.75" customHeight="1" x14ac:dyDescent="0.25">
      <c r="A626" s="1" t="s">
        <v>3988</v>
      </c>
      <c r="B626" s="1" t="s">
        <v>10194</v>
      </c>
      <c r="C626" s="1" t="s">
        <v>6319</v>
      </c>
    </row>
    <row r="627" spans="1:3" ht="15.75" customHeight="1" x14ac:dyDescent="0.25">
      <c r="A627" s="1" t="s">
        <v>4633</v>
      </c>
      <c r="B627" s="1" t="s">
        <v>10193</v>
      </c>
      <c r="C627" s="1" t="s">
        <v>5836</v>
      </c>
    </row>
    <row r="628" spans="1:3" ht="15.75" customHeight="1" x14ac:dyDescent="0.25">
      <c r="A628" s="1" t="s">
        <v>10192</v>
      </c>
      <c r="B628" s="1" t="s">
        <v>10191</v>
      </c>
      <c r="C628" s="1" t="s">
        <v>6690</v>
      </c>
    </row>
    <row r="629" spans="1:3" ht="15.75" customHeight="1" x14ac:dyDescent="0.25">
      <c r="A629" s="1" t="s">
        <v>5616</v>
      </c>
      <c r="B629" s="1" t="s">
        <v>10190</v>
      </c>
      <c r="C629" s="1" t="s">
        <v>5836</v>
      </c>
    </row>
    <row r="630" spans="1:3" ht="15.75" customHeight="1" x14ac:dyDescent="0.25">
      <c r="A630" s="1" t="s">
        <v>10189</v>
      </c>
      <c r="B630" s="1" t="s">
        <v>10188</v>
      </c>
      <c r="C630" s="1" t="s">
        <v>6690</v>
      </c>
    </row>
    <row r="631" spans="1:3" ht="15.75" customHeight="1" x14ac:dyDescent="0.25">
      <c r="A631" s="1" t="s">
        <v>10187</v>
      </c>
      <c r="B631" s="1" t="s">
        <v>10186</v>
      </c>
      <c r="C631" s="1" t="s">
        <v>9121</v>
      </c>
    </row>
    <row r="632" spans="1:3" ht="15.75" customHeight="1" x14ac:dyDescent="0.25">
      <c r="A632" s="1" t="s">
        <v>4621</v>
      </c>
      <c r="B632" s="1" t="s">
        <v>10185</v>
      </c>
      <c r="C632" s="1" t="s">
        <v>7280</v>
      </c>
    </row>
    <row r="633" spans="1:3" ht="15.75" customHeight="1" x14ac:dyDescent="0.25">
      <c r="A633" s="1" t="s">
        <v>4451</v>
      </c>
      <c r="B633" s="1" t="s">
        <v>10184</v>
      </c>
      <c r="C633" s="1" t="s">
        <v>5836</v>
      </c>
    </row>
    <row r="634" spans="1:3" ht="15.75" customHeight="1" x14ac:dyDescent="0.25">
      <c r="A634" s="1" t="s">
        <v>10183</v>
      </c>
      <c r="B634" s="1" t="s">
        <v>10182</v>
      </c>
      <c r="C634" s="1" t="s">
        <v>6242</v>
      </c>
    </row>
    <row r="635" spans="1:3" ht="15.75" customHeight="1" x14ac:dyDescent="0.25">
      <c r="A635" s="1" t="s">
        <v>4738</v>
      </c>
      <c r="B635" s="1" t="s">
        <v>10181</v>
      </c>
      <c r="C635" s="1" t="s">
        <v>7011</v>
      </c>
    </row>
    <row r="636" spans="1:3" ht="15.75" customHeight="1" x14ac:dyDescent="0.25">
      <c r="A636" s="1" t="s">
        <v>10180</v>
      </c>
      <c r="B636" s="1" t="s">
        <v>10179</v>
      </c>
      <c r="C636" s="1" t="s">
        <v>9121</v>
      </c>
    </row>
    <row r="637" spans="1:3" ht="15.75" customHeight="1" x14ac:dyDescent="0.25">
      <c r="A637" s="1" t="s">
        <v>5589</v>
      </c>
      <c r="B637" s="1" t="s">
        <v>10178</v>
      </c>
      <c r="C637" s="1" t="s">
        <v>6089</v>
      </c>
    </row>
    <row r="638" spans="1:3" ht="15.75" customHeight="1" x14ac:dyDescent="0.25">
      <c r="A638" s="1" t="s">
        <v>10177</v>
      </c>
      <c r="B638" s="1" t="s">
        <v>10176</v>
      </c>
      <c r="C638" s="1" t="s">
        <v>5836</v>
      </c>
    </row>
    <row r="639" spans="1:3" ht="15.75" customHeight="1" x14ac:dyDescent="0.25">
      <c r="A639" s="1" t="s">
        <v>10175</v>
      </c>
      <c r="B639" s="1" t="s">
        <v>10174</v>
      </c>
      <c r="C639" s="1" t="s">
        <v>6486</v>
      </c>
    </row>
    <row r="640" spans="1:3" ht="15.75" customHeight="1" x14ac:dyDescent="0.25">
      <c r="A640" s="1" t="s">
        <v>10173</v>
      </c>
      <c r="B640" s="1" t="s">
        <v>10172</v>
      </c>
      <c r="C640" s="1" t="s">
        <v>5836</v>
      </c>
    </row>
    <row r="641" spans="1:3" ht="15.75" customHeight="1" x14ac:dyDescent="0.25">
      <c r="A641" s="1" t="s">
        <v>10171</v>
      </c>
      <c r="B641" s="1" t="s">
        <v>10170</v>
      </c>
      <c r="C641" s="1" t="s">
        <v>6997</v>
      </c>
    </row>
    <row r="642" spans="1:3" ht="15.75" customHeight="1" x14ac:dyDescent="0.25">
      <c r="A642" s="1" t="s">
        <v>10169</v>
      </c>
      <c r="B642" s="1" t="s">
        <v>7659</v>
      </c>
      <c r="C642" s="1" t="s">
        <v>7658</v>
      </c>
    </row>
    <row r="643" spans="1:3" ht="15.75" customHeight="1" x14ac:dyDescent="0.25">
      <c r="A643" s="1" t="s">
        <v>1541</v>
      </c>
      <c r="B643" s="1" t="s">
        <v>10168</v>
      </c>
      <c r="C643" s="1" t="s">
        <v>9121</v>
      </c>
    </row>
    <row r="644" spans="1:3" ht="15.75" customHeight="1" x14ac:dyDescent="0.25">
      <c r="A644" s="1" t="s">
        <v>10167</v>
      </c>
      <c r="B644" s="1" t="s">
        <v>10166</v>
      </c>
      <c r="C644" s="1" t="s">
        <v>7195</v>
      </c>
    </row>
    <row r="645" spans="1:3" ht="15.75" customHeight="1" x14ac:dyDescent="0.25">
      <c r="A645" s="1" t="s">
        <v>3646</v>
      </c>
      <c r="B645" s="1" t="s">
        <v>10165</v>
      </c>
      <c r="C645" s="1" t="s">
        <v>8037</v>
      </c>
    </row>
    <row r="646" spans="1:3" ht="15.75" customHeight="1" x14ac:dyDescent="0.25">
      <c r="A646" s="1" t="s">
        <v>5413</v>
      </c>
      <c r="B646" s="1" t="s">
        <v>10164</v>
      </c>
      <c r="C646" s="1" t="s">
        <v>6468</v>
      </c>
    </row>
    <row r="647" spans="1:3" ht="15.75" customHeight="1" x14ac:dyDescent="0.25">
      <c r="A647" s="1" t="s">
        <v>4981</v>
      </c>
      <c r="B647" s="1" t="s">
        <v>10163</v>
      </c>
      <c r="C647" s="1" t="s">
        <v>6530</v>
      </c>
    </row>
    <row r="648" spans="1:3" ht="15.75" customHeight="1" x14ac:dyDescent="0.25">
      <c r="A648" s="1" t="s">
        <v>1712</v>
      </c>
      <c r="B648" s="1" t="s">
        <v>10162</v>
      </c>
      <c r="C648" s="1" t="s">
        <v>5779</v>
      </c>
    </row>
    <row r="649" spans="1:3" ht="15.75" customHeight="1" x14ac:dyDescent="0.25">
      <c r="A649" s="1" t="s">
        <v>10161</v>
      </c>
      <c r="B649" s="1" t="s">
        <v>5980</v>
      </c>
      <c r="C649" s="1" t="s">
        <v>10160</v>
      </c>
    </row>
    <row r="650" spans="1:3" ht="15.75" customHeight="1" x14ac:dyDescent="0.25">
      <c r="A650" s="1" t="s">
        <v>10159</v>
      </c>
      <c r="B650" s="1" t="s">
        <v>10158</v>
      </c>
      <c r="C650" s="1" t="s">
        <v>6468</v>
      </c>
    </row>
    <row r="651" spans="1:3" ht="15.75" customHeight="1" x14ac:dyDescent="0.25">
      <c r="A651" s="1" t="s">
        <v>10157</v>
      </c>
      <c r="B651" s="1" t="s">
        <v>10156</v>
      </c>
      <c r="C651" s="1" t="s">
        <v>7055</v>
      </c>
    </row>
    <row r="652" spans="1:3" ht="15.75" customHeight="1" x14ac:dyDescent="0.25">
      <c r="A652" s="1" t="s">
        <v>10155</v>
      </c>
      <c r="B652" s="1" t="s">
        <v>10154</v>
      </c>
      <c r="C652" s="1" t="s">
        <v>6242</v>
      </c>
    </row>
    <row r="653" spans="1:3" ht="15.75" customHeight="1" x14ac:dyDescent="0.25">
      <c r="A653" s="1" t="s">
        <v>10153</v>
      </c>
      <c r="B653" s="1" t="s">
        <v>10152</v>
      </c>
      <c r="C653" s="1" t="s">
        <v>6542</v>
      </c>
    </row>
    <row r="654" spans="1:3" ht="15.75" customHeight="1" x14ac:dyDescent="0.25">
      <c r="A654" s="1" t="s">
        <v>2844</v>
      </c>
      <c r="B654" s="1" t="s">
        <v>10151</v>
      </c>
      <c r="C654" s="1" t="s">
        <v>6669</v>
      </c>
    </row>
    <row r="655" spans="1:3" ht="15.75" customHeight="1" x14ac:dyDescent="0.25">
      <c r="A655" s="1" t="s">
        <v>1505</v>
      </c>
      <c r="B655" s="1" t="s">
        <v>10150</v>
      </c>
      <c r="C655" s="1" t="s">
        <v>6535</v>
      </c>
    </row>
    <row r="656" spans="1:3" ht="15.75" customHeight="1" x14ac:dyDescent="0.25">
      <c r="A656" s="1" t="s">
        <v>10149</v>
      </c>
      <c r="B656" s="1" t="s">
        <v>10148</v>
      </c>
      <c r="C656" s="1" t="s">
        <v>6690</v>
      </c>
    </row>
    <row r="657" spans="1:3" ht="15.75" customHeight="1" x14ac:dyDescent="0.25">
      <c r="A657" s="1" t="s">
        <v>10147</v>
      </c>
      <c r="B657" s="1" t="s">
        <v>10146</v>
      </c>
      <c r="C657" s="1" t="s">
        <v>7825</v>
      </c>
    </row>
    <row r="658" spans="1:3" ht="15.75" customHeight="1" x14ac:dyDescent="0.25">
      <c r="A658" s="1" t="s">
        <v>3693</v>
      </c>
      <c r="B658" s="1" t="s">
        <v>10145</v>
      </c>
      <c r="C658" s="1" t="s">
        <v>7070</v>
      </c>
    </row>
    <row r="659" spans="1:3" ht="15.75" customHeight="1" x14ac:dyDescent="0.25">
      <c r="A659" s="1" t="s">
        <v>3970</v>
      </c>
      <c r="B659" s="1" t="s">
        <v>10144</v>
      </c>
      <c r="C659" s="1" t="s">
        <v>5836</v>
      </c>
    </row>
    <row r="660" spans="1:3" ht="15.75" customHeight="1" x14ac:dyDescent="0.25">
      <c r="A660" s="1" t="s">
        <v>10143</v>
      </c>
      <c r="B660" s="1" t="s">
        <v>10142</v>
      </c>
      <c r="C660" s="1" t="s">
        <v>6242</v>
      </c>
    </row>
    <row r="661" spans="1:3" ht="15.75" customHeight="1" x14ac:dyDescent="0.25">
      <c r="A661" s="1" t="s">
        <v>2901</v>
      </c>
      <c r="B661" s="1" t="s">
        <v>10141</v>
      </c>
      <c r="C661" s="1" t="s">
        <v>6468</v>
      </c>
    </row>
    <row r="662" spans="1:3" ht="15.75" customHeight="1" x14ac:dyDescent="0.25">
      <c r="A662" s="1" t="s">
        <v>4118</v>
      </c>
      <c r="B662" s="1" t="s">
        <v>10140</v>
      </c>
      <c r="C662" s="1" t="s">
        <v>5796</v>
      </c>
    </row>
    <row r="663" spans="1:3" ht="15.75" customHeight="1" x14ac:dyDescent="0.25">
      <c r="A663" s="1" t="s">
        <v>3897</v>
      </c>
      <c r="B663" s="1" t="s">
        <v>10139</v>
      </c>
      <c r="C663" s="1" t="s">
        <v>6673</v>
      </c>
    </row>
    <row r="664" spans="1:3" ht="15.75" customHeight="1" x14ac:dyDescent="0.25">
      <c r="A664" s="1" t="s">
        <v>343</v>
      </c>
      <c r="B664" s="1" t="s">
        <v>10138</v>
      </c>
      <c r="C664" s="1" t="s">
        <v>10137</v>
      </c>
    </row>
    <row r="665" spans="1:3" ht="15.75" customHeight="1" x14ac:dyDescent="0.25">
      <c r="A665" s="1" t="s">
        <v>341</v>
      </c>
      <c r="B665" s="1" t="s">
        <v>340</v>
      </c>
      <c r="C665" s="1" t="s">
        <v>6709</v>
      </c>
    </row>
    <row r="666" spans="1:3" ht="15.75" customHeight="1" x14ac:dyDescent="0.25">
      <c r="A666" s="1" t="s">
        <v>5493</v>
      </c>
      <c r="B666" s="1" t="s">
        <v>5757</v>
      </c>
      <c r="C666" s="1" t="s">
        <v>10136</v>
      </c>
    </row>
    <row r="667" spans="1:3" ht="15.75" customHeight="1" x14ac:dyDescent="0.25">
      <c r="A667" s="1" t="s">
        <v>5196</v>
      </c>
      <c r="B667" s="1" t="s">
        <v>10135</v>
      </c>
      <c r="C667" s="1" t="s">
        <v>9136</v>
      </c>
    </row>
    <row r="668" spans="1:3" ht="15.75" customHeight="1" x14ac:dyDescent="0.25">
      <c r="A668" s="1" t="s">
        <v>4716</v>
      </c>
      <c r="B668" s="1" t="s">
        <v>10134</v>
      </c>
      <c r="C668" s="1" t="s">
        <v>7106</v>
      </c>
    </row>
    <row r="669" spans="1:3" ht="15.75" customHeight="1" x14ac:dyDescent="0.25">
      <c r="A669" s="1" t="s">
        <v>10133</v>
      </c>
      <c r="B669" s="1" t="s">
        <v>10132</v>
      </c>
      <c r="C669" s="1" t="s">
        <v>6486</v>
      </c>
    </row>
    <row r="670" spans="1:3" ht="15.75" customHeight="1" x14ac:dyDescent="0.25">
      <c r="A670" s="1" t="s">
        <v>5039</v>
      </c>
      <c r="B670" s="1" t="s">
        <v>10131</v>
      </c>
      <c r="C670" s="1" t="s">
        <v>7860</v>
      </c>
    </row>
    <row r="671" spans="1:3" ht="15.75" customHeight="1" x14ac:dyDescent="0.25">
      <c r="A671" s="1" t="s">
        <v>3016</v>
      </c>
      <c r="B671" s="1" t="s">
        <v>10130</v>
      </c>
      <c r="C671" s="1" t="s">
        <v>5796</v>
      </c>
    </row>
    <row r="672" spans="1:3" ht="15.75" customHeight="1" x14ac:dyDescent="0.25">
      <c r="A672" s="1" t="s">
        <v>5074</v>
      </c>
      <c r="B672" s="1" t="s">
        <v>10129</v>
      </c>
      <c r="C672" s="1" t="s">
        <v>6089</v>
      </c>
    </row>
    <row r="673" spans="1:3" ht="15.75" customHeight="1" x14ac:dyDescent="0.25">
      <c r="A673" s="1" t="s">
        <v>10128</v>
      </c>
      <c r="B673" s="1" t="s">
        <v>10127</v>
      </c>
      <c r="C673" s="1" t="s">
        <v>6963</v>
      </c>
    </row>
    <row r="674" spans="1:3" ht="15.75" customHeight="1" x14ac:dyDescent="0.25">
      <c r="A674" s="1" t="s">
        <v>3175</v>
      </c>
      <c r="B674" s="1" t="s">
        <v>10126</v>
      </c>
      <c r="C674" s="1" t="s">
        <v>9121</v>
      </c>
    </row>
    <row r="675" spans="1:3" ht="15.75" customHeight="1" x14ac:dyDescent="0.25">
      <c r="A675" s="1" t="s">
        <v>2510</v>
      </c>
      <c r="B675" s="1" t="s">
        <v>10125</v>
      </c>
      <c r="C675" s="1" t="s">
        <v>7313</v>
      </c>
    </row>
    <row r="676" spans="1:3" ht="15.75" customHeight="1" x14ac:dyDescent="0.25">
      <c r="A676" s="1" t="s">
        <v>10124</v>
      </c>
      <c r="B676" s="1" t="s">
        <v>10123</v>
      </c>
      <c r="C676" s="1" t="s">
        <v>6963</v>
      </c>
    </row>
    <row r="677" spans="1:3" ht="15.75" customHeight="1" x14ac:dyDescent="0.25">
      <c r="A677" s="1" t="s">
        <v>4651</v>
      </c>
      <c r="B677" s="1" t="s">
        <v>10122</v>
      </c>
      <c r="C677" s="1" t="s">
        <v>5919</v>
      </c>
    </row>
    <row r="678" spans="1:3" ht="15.75" customHeight="1" x14ac:dyDescent="0.25">
      <c r="A678" s="1" t="s">
        <v>5655</v>
      </c>
      <c r="B678" s="1" t="s">
        <v>10121</v>
      </c>
    </row>
    <row r="679" spans="1:3" ht="15.75" customHeight="1" x14ac:dyDescent="0.25">
      <c r="A679" s="1" t="s">
        <v>10120</v>
      </c>
      <c r="B679" s="1" t="s">
        <v>3417</v>
      </c>
      <c r="C679" s="1" t="s">
        <v>10119</v>
      </c>
    </row>
    <row r="680" spans="1:3" ht="15.75" customHeight="1" x14ac:dyDescent="0.25">
      <c r="A680" s="1" t="s">
        <v>1869</v>
      </c>
      <c r="B680" s="1" t="s">
        <v>10118</v>
      </c>
      <c r="C680" s="1" t="s">
        <v>5838</v>
      </c>
    </row>
    <row r="681" spans="1:3" ht="15.75" customHeight="1" x14ac:dyDescent="0.25">
      <c r="A681" s="1" t="s">
        <v>10117</v>
      </c>
      <c r="B681" s="1" t="s">
        <v>10116</v>
      </c>
      <c r="C681" s="1" t="s">
        <v>7418</v>
      </c>
    </row>
    <row r="682" spans="1:3" ht="15.75" customHeight="1" x14ac:dyDescent="0.25">
      <c r="A682" s="1" t="s">
        <v>10115</v>
      </c>
      <c r="B682" s="1" t="s">
        <v>10114</v>
      </c>
      <c r="C682" s="1" t="s">
        <v>9121</v>
      </c>
    </row>
    <row r="683" spans="1:3" ht="15.75" customHeight="1" x14ac:dyDescent="0.25">
      <c r="A683" s="1" t="s">
        <v>10113</v>
      </c>
      <c r="B683" s="1" t="s">
        <v>10112</v>
      </c>
      <c r="C683" s="1" t="s">
        <v>6486</v>
      </c>
    </row>
    <row r="684" spans="1:3" ht="15.75" customHeight="1" x14ac:dyDescent="0.25">
      <c r="A684" s="1" t="s">
        <v>1876</v>
      </c>
      <c r="B684" s="1" t="s">
        <v>10111</v>
      </c>
      <c r="C684" s="1" t="s">
        <v>6546</v>
      </c>
    </row>
    <row r="685" spans="1:3" ht="15.75" customHeight="1" x14ac:dyDescent="0.25">
      <c r="A685" s="1" t="s">
        <v>1331</v>
      </c>
      <c r="B685" s="1" t="s">
        <v>10110</v>
      </c>
      <c r="C685" s="1" t="s">
        <v>6861</v>
      </c>
    </row>
    <row r="686" spans="1:3" ht="15.75" customHeight="1" x14ac:dyDescent="0.25">
      <c r="A686" s="1" t="s">
        <v>339</v>
      </c>
      <c r="B686" s="1" t="s">
        <v>10109</v>
      </c>
      <c r="C686" s="1" t="s">
        <v>6653</v>
      </c>
    </row>
    <row r="687" spans="1:3" ht="15.75" customHeight="1" x14ac:dyDescent="0.25">
      <c r="A687" s="1" t="s">
        <v>10108</v>
      </c>
      <c r="B687" s="1" t="s">
        <v>10107</v>
      </c>
      <c r="C687" s="1" t="s">
        <v>6963</v>
      </c>
    </row>
    <row r="688" spans="1:3" ht="15.75" customHeight="1" x14ac:dyDescent="0.25">
      <c r="A688" s="1" t="s">
        <v>5765</v>
      </c>
      <c r="B688" s="1" t="s">
        <v>7662</v>
      </c>
      <c r="C688" s="1" t="s">
        <v>10106</v>
      </c>
    </row>
    <row r="689" spans="1:3" ht="15.75" customHeight="1" x14ac:dyDescent="0.25">
      <c r="A689" s="1" t="s">
        <v>10105</v>
      </c>
      <c r="B689" s="1" t="s">
        <v>10104</v>
      </c>
      <c r="C689" s="1" t="s">
        <v>6486</v>
      </c>
    </row>
    <row r="690" spans="1:3" ht="15.75" customHeight="1" x14ac:dyDescent="0.25">
      <c r="A690" s="1" t="s">
        <v>2067</v>
      </c>
      <c r="B690" s="1" t="s">
        <v>10103</v>
      </c>
      <c r="C690" s="1" t="s">
        <v>10102</v>
      </c>
    </row>
    <row r="691" spans="1:3" ht="15.75" customHeight="1" x14ac:dyDescent="0.25">
      <c r="A691" s="1" t="s">
        <v>5758</v>
      </c>
      <c r="B691" s="1" t="s">
        <v>5757</v>
      </c>
      <c r="C691" s="1" t="s">
        <v>10101</v>
      </c>
    </row>
    <row r="692" spans="1:3" ht="15.75" customHeight="1" x14ac:dyDescent="0.25">
      <c r="A692" s="1" t="s">
        <v>10100</v>
      </c>
      <c r="B692" s="1" t="s">
        <v>10099</v>
      </c>
      <c r="C692" s="1" t="s">
        <v>7825</v>
      </c>
    </row>
    <row r="693" spans="1:3" ht="15.75" customHeight="1" x14ac:dyDescent="0.25">
      <c r="A693" s="1" t="s">
        <v>10098</v>
      </c>
      <c r="B693" s="1" t="s">
        <v>10097</v>
      </c>
      <c r="C693" s="1" t="s">
        <v>9121</v>
      </c>
    </row>
    <row r="694" spans="1:3" ht="15.75" customHeight="1" x14ac:dyDescent="0.25">
      <c r="A694" s="1" t="s">
        <v>3483</v>
      </c>
      <c r="B694" s="1" t="s">
        <v>10030</v>
      </c>
      <c r="C694" s="1" t="s">
        <v>5836</v>
      </c>
    </row>
    <row r="695" spans="1:3" ht="15.75" customHeight="1" x14ac:dyDescent="0.25">
      <c r="A695" s="1" t="s">
        <v>3819</v>
      </c>
      <c r="B695" s="1" t="s">
        <v>10096</v>
      </c>
      <c r="C695" s="1" t="s">
        <v>5914</v>
      </c>
    </row>
    <row r="696" spans="1:3" ht="15.75" customHeight="1" x14ac:dyDescent="0.25">
      <c r="A696" s="1" t="s">
        <v>2595</v>
      </c>
      <c r="B696" s="1" t="s">
        <v>10095</v>
      </c>
      <c r="C696" s="1" t="s">
        <v>7210</v>
      </c>
    </row>
    <row r="697" spans="1:3" ht="15.75" customHeight="1" x14ac:dyDescent="0.25">
      <c r="A697" s="1" t="s">
        <v>3465</v>
      </c>
      <c r="B697" s="1" t="s">
        <v>10094</v>
      </c>
      <c r="C697" s="1" t="s">
        <v>6653</v>
      </c>
    </row>
    <row r="698" spans="1:3" ht="15.75" customHeight="1" x14ac:dyDescent="0.25">
      <c r="A698" s="1" t="s">
        <v>2233</v>
      </c>
      <c r="B698" s="1" t="s">
        <v>10093</v>
      </c>
      <c r="C698" s="1" t="s">
        <v>5791</v>
      </c>
    </row>
    <row r="699" spans="1:3" ht="15.75" customHeight="1" x14ac:dyDescent="0.25">
      <c r="A699" s="1" t="s">
        <v>2052</v>
      </c>
      <c r="B699" s="1" t="s">
        <v>10092</v>
      </c>
      <c r="C699" s="1" t="s">
        <v>5838</v>
      </c>
    </row>
    <row r="700" spans="1:3" ht="15.75" customHeight="1" x14ac:dyDescent="0.25">
      <c r="A700" s="1" t="s">
        <v>1250</v>
      </c>
      <c r="B700" s="1" t="s">
        <v>10091</v>
      </c>
      <c r="C700" s="1" t="s">
        <v>8451</v>
      </c>
    </row>
    <row r="701" spans="1:3" ht="15.75" customHeight="1" x14ac:dyDescent="0.25">
      <c r="A701" s="1" t="s">
        <v>2800</v>
      </c>
      <c r="B701" s="1" t="s">
        <v>10090</v>
      </c>
      <c r="C701" s="1" t="s">
        <v>5811</v>
      </c>
    </row>
    <row r="702" spans="1:3" ht="15.75" customHeight="1" x14ac:dyDescent="0.25">
      <c r="A702" s="1" t="s">
        <v>2179</v>
      </c>
      <c r="B702" s="1" t="s">
        <v>10089</v>
      </c>
      <c r="C702" s="1" t="s">
        <v>10088</v>
      </c>
    </row>
    <row r="703" spans="1:3" ht="15.75" customHeight="1" x14ac:dyDescent="0.25">
      <c r="A703" s="1" t="s">
        <v>2529</v>
      </c>
      <c r="B703" s="1" t="s">
        <v>10087</v>
      </c>
      <c r="C703" s="1" t="s">
        <v>6963</v>
      </c>
    </row>
    <row r="704" spans="1:3" ht="15.75" customHeight="1" x14ac:dyDescent="0.25">
      <c r="A704" s="1" t="s">
        <v>1150</v>
      </c>
      <c r="B704" s="1" t="s">
        <v>10086</v>
      </c>
      <c r="C704" s="1" t="s">
        <v>6653</v>
      </c>
    </row>
    <row r="705" spans="1:3" ht="15.75" customHeight="1" x14ac:dyDescent="0.25">
      <c r="A705" s="1" t="s">
        <v>4609</v>
      </c>
      <c r="B705" s="1" t="s">
        <v>10085</v>
      </c>
      <c r="C705" s="1" t="s">
        <v>6767</v>
      </c>
    </row>
    <row r="706" spans="1:3" ht="15.75" customHeight="1" x14ac:dyDescent="0.25">
      <c r="A706" s="1" t="s">
        <v>10084</v>
      </c>
      <c r="B706" s="1" t="s">
        <v>10083</v>
      </c>
    </row>
    <row r="707" spans="1:3" ht="15.75" customHeight="1" x14ac:dyDescent="0.25">
      <c r="A707" s="1" t="s">
        <v>5068</v>
      </c>
      <c r="B707" s="1" t="s">
        <v>10082</v>
      </c>
      <c r="C707" s="1" t="s">
        <v>6959</v>
      </c>
    </row>
    <row r="708" spans="1:3" ht="15.75" customHeight="1" x14ac:dyDescent="0.25">
      <c r="A708" s="1" t="s">
        <v>1838</v>
      </c>
      <c r="B708" s="1" t="s">
        <v>10081</v>
      </c>
      <c r="C708" s="1" t="s">
        <v>7070</v>
      </c>
    </row>
    <row r="709" spans="1:3" ht="15.75" customHeight="1" x14ac:dyDescent="0.25">
      <c r="A709" s="1" t="s">
        <v>4462</v>
      </c>
      <c r="B709" s="1" t="s">
        <v>10080</v>
      </c>
      <c r="C709" s="1" t="s">
        <v>5811</v>
      </c>
    </row>
    <row r="710" spans="1:3" ht="15.75" customHeight="1" x14ac:dyDescent="0.25">
      <c r="A710" s="1" t="s">
        <v>10079</v>
      </c>
      <c r="B710" s="1" t="s">
        <v>10078</v>
      </c>
      <c r="C710" s="1" t="s">
        <v>6242</v>
      </c>
    </row>
    <row r="711" spans="1:3" ht="15.75" customHeight="1" x14ac:dyDescent="0.25">
      <c r="A711" s="1" t="s">
        <v>10077</v>
      </c>
      <c r="B711" s="1" t="s">
        <v>10076</v>
      </c>
      <c r="C711" s="1" t="s">
        <v>9121</v>
      </c>
    </row>
    <row r="712" spans="1:3" ht="15.75" customHeight="1" x14ac:dyDescent="0.25">
      <c r="A712" s="1" t="s">
        <v>10075</v>
      </c>
      <c r="B712" s="1" t="s">
        <v>10074</v>
      </c>
      <c r="C712" s="1" t="s">
        <v>10073</v>
      </c>
    </row>
    <row r="713" spans="1:3" ht="15.75" customHeight="1" x14ac:dyDescent="0.25">
      <c r="A713" s="1" t="s">
        <v>4324</v>
      </c>
      <c r="B713" s="1" t="s">
        <v>10072</v>
      </c>
      <c r="C713" s="1" t="s">
        <v>6238</v>
      </c>
    </row>
    <row r="714" spans="1:3" ht="15.75" customHeight="1" x14ac:dyDescent="0.25">
      <c r="A714" s="1" t="s">
        <v>337</v>
      </c>
      <c r="B714" s="1" t="s">
        <v>10071</v>
      </c>
      <c r="C714" s="1" t="s">
        <v>5796</v>
      </c>
    </row>
    <row r="715" spans="1:3" ht="15.75" customHeight="1" x14ac:dyDescent="0.25">
      <c r="A715" s="1" t="s">
        <v>2262</v>
      </c>
      <c r="B715" s="1" t="s">
        <v>10070</v>
      </c>
      <c r="C715" s="1" t="s">
        <v>6242</v>
      </c>
    </row>
    <row r="716" spans="1:3" ht="15.75" customHeight="1" x14ac:dyDescent="0.25">
      <c r="A716" s="1" t="s">
        <v>3545</v>
      </c>
      <c r="B716" s="1" t="s">
        <v>10069</v>
      </c>
      <c r="C716" s="1" t="s">
        <v>6942</v>
      </c>
    </row>
    <row r="717" spans="1:3" ht="15.75" customHeight="1" x14ac:dyDescent="0.25">
      <c r="A717" s="1" t="s">
        <v>5221</v>
      </c>
      <c r="B717" s="1" t="s">
        <v>10068</v>
      </c>
      <c r="C717" s="1" t="s">
        <v>6767</v>
      </c>
    </row>
    <row r="718" spans="1:3" ht="15.75" customHeight="1" x14ac:dyDescent="0.25">
      <c r="A718" s="1" t="s">
        <v>3369</v>
      </c>
      <c r="B718" s="1" t="s">
        <v>10067</v>
      </c>
      <c r="C718" s="1" t="s">
        <v>5796</v>
      </c>
    </row>
    <row r="719" spans="1:3" ht="15.75" customHeight="1" x14ac:dyDescent="0.25">
      <c r="A719" s="1" t="s">
        <v>10066</v>
      </c>
      <c r="B719" s="1" t="s">
        <v>10065</v>
      </c>
      <c r="C719" s="1" t="s">
        <v>9990</v>
      </c>
    </row>
    <row r="720" spans="1:3" ht="15.75" customHeight="1" x14ac:dyDescent="0.25">
      <c r="A720" s="1" t="s">
        <v>10064</v>
      </c>
      <c r="B720" s="1" t="s">
        <v>10063</v>
      </c>
      <c r="C720" s="1" t="s">
        <v>9121</v>
      </c>
    </row>
    <row r="721" spans="1:3" ht="15.75" customHeight="1" x14ac:dyDescent="0.25">
      <c r="A721" s="1" t="s">
        <v>335</v>
      </c>
      <c r="B721" s="1" t="s">
        <v>6708</v>
      </c>
      <c r="C721" s="1" t="s">
        <v>10062</v>
      </c>
    </row>
    <row r="722" spans="1:3" ht="15.75" customHeight="1" x14ac:dyDescent="0.25">
      <c r="A722" s="1" t="s">
        <v>5260</v>
      </c>
      <c r="B722" s="1" t="s">
        <v>10061</v>
      </c>
      <c r="C722" s="1" t="s">
        <v>6093</v>
      </c>
    </row>
    <row r="723" spans="1:3" ht="15.75" customHeight="1" x14ac:dyDescent="0.25">
      <c r="A723" s="1" t="s">
        <v>2040</v>
      </c>
      <c r="B723" s="1" t="s">
        <v>10060</v>
      </c>
      <c r="C723" s="1" t="s">
        <v>6653</v>
      </c>
    </row>
    <row r="724" spans="1:3" ht="15.75" customHeight="1" x14ac:dyDescent="0.25">
      <c r="A724" s="1" t="s">
        <v>2305</v>
      </c>
      <c r="B724" s="1" t="s">
        <v>10059</v>
      </c>
      <c r="C724" s="1" t="s">
        <v>6530</v>
      </c>
    </row>
    <row r="725" spans="1:3" ht="15.75" customHeight="1" x14ac:dyDescent="0.25">
      <c r="A725" s="1" t="s">
        <v>3070</v>
      </c>
      <c r="B725" s="1" t="s">
        <v>10058</v>
      </c>
      <c r="C725" s="1" t="s">
        <v>5796</v>
      </c>
    </row>
    <row r="726" spans="1:3" ht="15.75" customHeight="1" x14ac:dyDescent="0.25">
      <c r="A726" s="1" t="s">
        <v>4987</v>
      </c>
      <c r="B726" s="1" t="s">
        <v>10057</v>
      </c>
      <c r="C726" s="1" t="s">
        <v>6886</v>
      </c>
    </row>
    <row r="727" spans="1:3" ht="15.75" customHeight="1" x14ac:dyDescent="0.25">
      <c r="A727" s="1" t="s">
        <v>10056</v>
      </c>
      <c r="B727" s="1" t="s">
        <v>10055</v>
      </c>
      <c r="C727" s="1" t="s">
        <v>9121</v>
      </c>
    </row>
    <row r="728" spans="1:3" ht="15.75" customHeight="1" x14ac:dyDescent="0.25">
      <c r="A728" s="1" t="s">
        <v>2952</v>
      </c>
      <c r="B728" s="1" t="s">
        <v>10054</v>
      </c>
      <c r="C728" s="1" t="s">
        <v>5838</v>
      </c>
    </row>
    <row r="729" spans="1:3" ht="15.75" customHeight="1" x14ac:dyDescent="0.25">
      <c r="A729" s="1" t="s">
        <v>3046</v>
      </c>
      <c r="B729" s="1" t="s">
        <v>10053</v>
      </c>
      <c r="C729" s="1" t="s">
        <v>6767</v>
      </c>
    </row>
    <row r="730" spans="1:3" ht="15.75" customHeight="1" x14ac:dyDescent="0.25">
      <c r="A730" s="1" t="s">
        <v>10052</v>
      </c>
      <c r="B730" s="1" t="s">
        <v>10051</v>
      </c>
      <c r="C730" s="1" t="s">
        <v>5811</v>
      </c>
    </row>
    <row r="731" spans="1:3" ht="15.75" customHeight="1" x14ac:dyDescent="0.25">
      <c r="A731" s="1" t="s">
        <v>10050</v>
      </c>
      <c r="B731" s="1" t="s">
        <v>10049</v>
      </c>
      <c r="C731" s="1" t="s">
        <v>7106</v>
      </c>
    </row>
    <row r="732" spans="1:3" ht="15.75" customHeight="1" x14ac:dyDescent="0.25">
      <c r="A732" s="1" t="s">
        <v>10048</v>
      </c>
      <c r="B732" s="1" t="s">
        <v>10047</v>
      </c>
      <c r="C732" s="1" t="s">
        <v>6495</v>
      </c>
    </row>
    <row r="733" spans="1:3" ht="15.75" customHeight="1" x14ac:dyDescent="0.25">
      <c r="A733" s="1" t="s">
        <v>5636</v>
      </c>
      <c r="B733" s="1" t="s">
        <v>10046</v>
      </c>
      <c r="C733" s="1" t="s">
        <v>10045</v>
      </c>
    </row>
    <row r="734" spans="1:3" ht="15.75" customHeight="1" x14ac:dyDescent="0.25">
      <c r="A734" s="1" t="s">
        <v>4217</v>
      </c>
      <c r="B734" s="1" t="s">
        <v>10044</v>
      </c>
      <c r="C734" s="1" t="s">
        <v>6886</v>
      </c>
    </row>
    <row r="735" spans="1:3" ht="15.75" customHeight="1" x14ac:dyDescent="0.25">
      <c r="A735" s="1" t="s">
        <v>2932</v>
      </c>
      <c r="B735" s="1" t="s">
        <v>10043</v>
      </c>
      <c r="C735" s="1" t="s">
        <v>5838</v>
      </c>
    </row>
    <row r="736" spans="1:3" ht="15.75" customHeight="1" x14ac:dyDescent="0.25">
      <c r="A736" s="1" t="s">
        <v>3419</v>
      </c>
      <c r="B736" s="1" t="s">
        <v>3417</v>
      </c>
      <c r="C736" s="1" t="s">
        <v>10042</v>
      </c>
    </row>
    <row r="737" spans="1:3" ht="15.75" customHeight="1" x14ac:dyDescent="0.25">
      <c r="A737" s="1" t="s">
        <v>10041</v>
      </c>
      <c r="B737" s="1" t="s">
        <v>10040</v>
      </c>
      <c r="C737" s="1" t="s">
        <v>6468</v>
      </c>
    </row>
    <row r="738" spans="1:3" ht="15.75" customHeight="1" x14ac:dyDescent="0.25">
      <c r="A738" s="1" t="s">
        <v>3197</v>
      </c>
      <c r="B738" s="1" t="s">
        <v>10039</v>
      </c>
      <c r="C738" s="1" t="s">
        <v>5914</v>
      </c>
    </row>
    <row r="739" spans="1:3" ht="15.75" customHeight="1" x14ac:dyDescent="0.25">
      <c r="A739" s="1" t="s">
        <v>2978</v>
      </c>
      <c r="B739" s="1" t="s">
        <v>10038</v>
      </c>
      <c r="C739" s="1" t="s">
        <v>9121</v>
      </c>
    </row>
    <row r="740" spans="1:3" ht="15.75" customHeight="1" x14ac:dyDescent="0.25">
      <c r="A740" s="1" t="s">
        <v>328</v>
      </c>
      <c r="B740" s="1" t="s">
        <v>10037</v>
      </c>
      <c r="C740" s="1" t="s">
        <v>5811</v>
      </c>
    </row>
    <row r="741" spans="1:3" ht="15.75" customHeight="1" x14ac:dyDescent="0.25">
      <c r="A741" s="1" t="s">
        <v>10036</v>
      </c>
      <c r="B741" s="1" t="s">
        <v>10035</v>
      </c>
      <c r="C741" s="1" t="s">
        <v>9121</v>
      </c>
    </row>
    <row r="742" spans="1:3" ht="15.75" customHeight="1" x14ac:dyDescent="0.25">
      <c r="A742" s="1" t="s">
        <v>10034</v>
      </c>
      <c r="B742" s="1" t="s">
        <v>10033</v>
      </c>
      <c r="C742" s="1" t="s">
        <v>6242</v>
      </c>
    </row>
    <row r="743" spans="1:3" ht="15.75" customHeight="1" x14ac:dyDescent="0.25">
      <c r="A743" s="1" t="s">
        <v>10032</v>
      </c>
      <c r="B743" s="1" t="s">
        <v>10031</v>
      </c>
      <c r="C743" s="1" t="s">
        <v>5811</v>
      </c>
    </row>
    <row r="744" spans="1:3" ht="15.75" customHeight="1" x14ac:dyDescent="0.25">
      <c r="A744" s="1" t="s">
        <v>3672</v>
      </c>
      <c r="B744" s="1" t="s">
        <v>10030</v>
      </c>
      <c r="C744" s="1" t="s">
        <v>7189</v>
      </c>
    </row>
    <row r="745" spans="1:3" ht="15.75" customHeight="1" x14ac:dyDescent="0.25">
      <c r="A745" s="1" t="s">
        <v>4937</v>
      </c>
      <c r="B745" s="1" t="s">
        <v>10029</v>
      </c>
      <c r="C745" s="1" t="s">
        <v>5853</v>
      </c>
    </row>
    <row r="746" spans="1:3" ht="15.75" customHeight="1" x14ac:dyDescent="0.25">
      <c r="A746" s="1" t="s">
        <v>1547</v>
      </c>
      <c r="B746" s="1" t="s">
        <v>10028</v>
      </c>
      <c r="C746" s="1" t="s">
        <v>6750</v>
      </c>
    </row>
    <row r="747" spans="1:3" ht="15.75" customHeight="1" x14ac:dyDescent="0.25">
      <c r="A747" s="1" t="s">
        <v>4884</v>
      </c>
      <c r="B747" s="1" t="s">
        <v>10027</v>
      </c>
      <c r="C747" s="1" t="s">
        <v>10026</v>
      </c>
    </row>
    <row r="748" spans="1:3" ht="15.75" customHeight="1" x14ac:dyDescent="0.25">
      <c r="A748" s="1" t="s">
        <v>10025</v>
      </c>
      <c r="B748" s="1" t="s">
        <v>10024</v>
      </c>
      <c r="C748" s="1" t="s">
        <v>6963</v>
      </c>
    </row>
    <row r="749" spans="1:3" ht="15.75" customHeight="1" x14ac:dyDescent="0.25">
      <c r="A749" s="1" t="s">
        <v>10023</v>
      </c>
      <c r="B749" s="1" t="s">
        <v>10022</v>
      </c>
      <c r="C749" s="1" t="s">
        <v>6546</v>
      </c>
    </row>
    <row r="750" spans="1:3" ht="15.75" customHeight="1" x14ac:dyDescent="0.25">
      <c r="A750" s="1" t="s">
        <v>4893</v>
      </c>
      <c r="B750" s="1" t="s">
        <v>10021</v>
      </c>
      <c r="C750" s="1" t="s">
        <v>7313</v>
      </c>
    </row>
    <row r="751" spans="1:3" ht="15.75" customHeight="1" x14ac:dyDescent="0.25">
      <c r="A751" s="1" t="s">
        <v>10020</v>
      </c>
      <c r="B751" s="1" t="s">
        <v>10019</v>
      </c>
      <c r="C751" s="1" t="s">
        <v>5811</v>
      </c>
    </row>
    <row r="752" spans="1:3" ht="15.75" customHeight="1" x14ac:dyDescent="0.25">
      <c r="A752" s="1" t="s">
        <v>5045</v>
      </c>
      <c r="B752" s="1" t="s">
        <v>10018</v>
      </c>
      <c r="C752" s="1" t="s">
        <v>5853</v>
      </c>
    </row>
    <row r="753" spans="1:3" ht="15.75" customHeight="1" x14ac:dyDescent="0.25">
      <c r="A753" s="1" t="s">
        <v>10017</v>
      </c>
      <c r="B753" s="1" t="s">
        <v>10015</v>
      </c>
      <c r="C753" s="1" t="s">
        <v>10016</v>
      </c>
    </row>
    <row r="754" spans="1:3" ht="15.75" customHeight="1" x14ac:dyDescent="0.25">
      <c r="A754" s="1" t="s">
        <v>5715</v>
      </c>
      <c r="B754" s="1" t="s">
        <v>10015</v>
      </c>
      <c r="C754" s="1" t="s">
        <v>10014</v>
      </c>
    </row>
    <row r="755" spans="1:3" ht="15.75" customHeight="1" x14ac:dyDescent="0.25">
      <c r="A755" s="1" t="s">
        <v>5697</v>
      </c>
      <c r="B755" s="1" t="s">
        <v>10013</v>
      </c>
      <c r="C755" s="1" t="s">
        <v>6626</v>
      </c>
    </row>
    <row r="756" spans="1:3" ht="15.75" customHeight="1" x14ac:dyDescent="0.25">
      <c r="A756" s="1" t="s">
        <v>4373</v>
      </c>
      <c r="B756" s="1" t="s">
        <v>10012</v>
      </c>
      <c r="C756" s="1" t="s">
        <v>5824</v>
      </c>
    </row>
    <row r="757" spans="1:3" ht="15.75" customHeight="1" x14ac:dyDescent="0.25">
      <c r="A757" s="1" t="s">
        <v>871</v>
      </c>
      <c r="B757" s="1" t="s">
        <v>10011</v>
      </c>
      <c r="C757" s="1" t="s">
        <v>7468</v>
      </c>
    </row>
    <row r="758" spans="1:3" ht="15.75" customHeight="1" x14ac:dyDescent="0.25">
      <c r="A758" s="1" t="s">
        <v>10010</v>
      </c>
      <c r="B758" s="1" t="s">
        <v>10009</v>
      </c>
      <c r="C758" s="1" t="s">
        <v>5811</v>
      </c>
    </row>
    <row r="759" spans="1:3" ht="15.75" customHeight="1" x14ac:dyDescent="0.25">
      <c r="A759" s="1" t="s">
        <v>10008</v>
      </c>
      <c r="B759" s="1" t="s">
        <v>10007</v>
      </c>
      <c r="C759" s="1" t="s">
        <v>5873</v>
      </c>
    </row>
    <row r="760" spans="1:3" ht="15.75" customHeight="1" x14ac:dyDescent="0.25">
      <c r="A760" s="1" t="s">
        <v>326</v>
      </c>
      <c r="B760" s="1" t="s">
        <v>10006</v>
      </c>
      <c r="C760" s="1" t="s">
        <v>6795</v>
      </c>
    </row>
    <row r="761" spans="1:3" ht="15.75" customHeight="1" x14ac:dyDescent="0.25">
      <c r="A761" s="1" t="s">
        <v>324</v>
      </c>
      <c r="B761" s="1" t="s">
        <v>7685</v>
      </c>
      <c r="C761" s="1" t="s">
        <v>9796</v>
      </c>
    </row>
    <row r="762" spans="1:3" ht="15.75" customHeight="1" x14ac:dyDescent="0.25">
      <c r="A762" s="1" t="s">
        <v>2185</v>
      </c>
      <c r="B762" s="1" t="s">
        <v>10005</v>
      </c>
      <c r="C762" s="1" t="s">
        <v>6242</v>
      </c>
    </row>
    <row r="763" spans="1:3" ht="15.75" customHeight="1" x14ac:dyDescent="0.25">
      <c r="A763" s="1" t="s">
        <v>10004</v>
      </c>
      <c r="B763" s="1" t="s">
        <v>10003</v>
      </c>
      <c r="C763" s="1" t="s">
        <v>8451</v>
      </c>
    </row>
    <row r="764" spans="1:3" ht="15.75" customHeight="1" x14ac:dyDescent="0.25">
      <c r="A764" s="1" t="s">
        <v>322</v>
      </c>
      <c r="B764" s="1" t="s">
        <v>10002</v>
      </c>
      <c r="C764" s="1" t="s">
        <v>10001</v>
      </c>
    </row>
    <row r="765" spans="1:3" ht="15.75" customHeight="1" x14ac:dyDescent="0.25">
      <c r="A765" s="1" t="s">
        <v>10000</v>
      </c>
      <c r="B765" s="1" t="s">
        <v>9999</v>
      </c>
      <c r="C765" s="1" t="s">
        <v>5791</v>
      </c>
    </row>
    <row r="766" spans="1:3" ht="15.75" customHeight="1" x14ac:dyDescent="0.25">
      <c r="A766" s="1" t="s">
        <v>319</v>
      </c>
      <c r="B766" s="1" t="s">
        <v>6313</v>
      </c>
      <c r="C766" s="1" t="s">
        <v>9998</v>
      </c>
    </row>
    <row r="767" spans="1:3" ht="15.75" customHeight="1" x14ac:dyDescent="0.25">
      <c r="A767" s="1" t="s">
        <v>4693</v>
      </c>
      <c r="B767" s="1" t="s">
        <v>9997</v>
      </c>
      <c r="C767" s="1" t="s">
        <v>5796</v>
      </c>
    </row>
    <row r="768" spans="1:3" ht="15.75" customHeight="1" x14ac:dyDescent="0.25">
      <c r="A768" s="1" t="s">
        <v>1653</v>
      </c>
      <c r="B768" s="1" t="s">
        <v>9996</v>
      </c>
      <c r="C768" s="1" t="s">
        <v>6122</v>
      </c>
    </row>
    <row r="769" spans="1:3" ht="15.75" customHeight="1" x14ac:dyDescent="0.25">
      <c r="A769" s="1" t="s">
        <v>4454</v>
      </c>
      <c r="B769" s="1" t="s">
        <v>9995</v>
      </c>
      <c r="C769" s="1" t="s">
        <v>8926</v>
      </c>
    </row>
    <row r="770" spans="1:3" ht="15.75" customHeight="1" x14ac:dyDescent="0.25">
      <c r="A770" s="1" t="s">
        <v>3518</v>
      </c>
      <c r="B770" s="1" t="s">
        <v>9994</v>
      </c>
      <c r="C770" s="1" t="s">
        <v>9993</v>
      </c>
    </row>
    <row r="771" spans="1:3" ht="15.75" customHeight="1" x14ac:dyDescent="0.25">
      <c r="A771" s="1" t="s">
        <v>9992</v>
      </c>
      <c r="B771" s="1" t="s">
        <v>9991</v>
      </c>
      <c r="C771" s="1" t="s">
        <v>9990</v>
      </c>
    </row>
    <row r="772" spans="1:3" ht="15.75" customHeight="1" x14ac:dyDescent="0.25">
      <c r="A772" s="1" t="s">
        <v>3939</v>
      </c>
      <c r="B772" s="1" t="s">
        <v>9989</v>
      </c>
      <c r="C772" s="1" t="s">
        <v>6093</v>
      </c>
    </row>
    <row r="773" spans="1:3" ht="15.75" customHeight="1" x14ac:dyDescent="0.25">
      <c r="A773" s="1" t="s">
        <v>1343</v>
      </c>
      <c r="B773" s="1" t="s">
        <v>9988</v>
      </c>
      <c r="C773" s="1" t="s">
        <v>8091</v>
      </c>
    </row>
    <row r="774" spans="1:3" ht="15.75" customHeight="1" x14ac:dyDescent="0.25">
      <c r="A774" s="1" t="s">
        <v>3893</v>
      </c>
      <c r="B774" s="1" t="s">
        <v>9987</v>
      </c>
      <c r="C774" s="1" t="s">
        <v>6288</v>
      </c>
    </row>
    <row r="775" spans="1:3" ht="15.75" customHeight="1" x14ac:dyDescent="0.25">
      <c r="A775" s="1" t="s">
        <v>2751</v>
      </c>
      <c r="B775" s="1" t="s">
        <v>9986</v>
      </c>
      <c r="C775" s="1" t="s">
        <v>6125</v>
      </c>
    </row>
    <row r="776" spans="1:3" ht="15.75" customHeight="1" x14ac:dyDescent="0.25">
      <c r="A776" s="1" t="s">
        <v>1530</v>
      </c>
      <c r="B776" s="1" t="s">
        <v>9985</v>
      </c>
      <c r="C776" s="1" t="s">
        <v>8037</v>
      </c>
    </row>
    <row r="777" spans="1:3" ht="15.75" customHeight="1" x14ac:dyDescent="0.25">
      <c r="A777" s="1" t="s">
        <v>9984</v>
      </c>
      <c r="B777" s="1" t="s">
        <v>9983</v>
      </c>
      <c r="C777" s="1" t="s">
        <v>6665</v>
      </c>
    </row>
    <row r="778" spans="1:3" ht="15.75" customHeight="1" x14ac:dyDescent="0.25">
      <c r="A778" s="1" t="s">
        <v>4562</v>
      </c>
      <c r="B778" s="1" t="s">
        <v>9982</v>
      </c>
      <c r="C778" s="1" t="s">
        <v>6661</v>
      </c>
    </row>
    <row r="779" spans="1:3" ht="15.75" customHeight="1" x14ac:dyDescent="0.25">
      <c r="A779" s="1" t="s">
        <v>883</v>
      </c>
      <c r="B779" s="1" t="s">
        <v>9981</v>
      </c>
      <c r="C779" s="1" t="s">
        <v>6495</v>
      </c>
    </row>
    <row r="780" spans="1:3" ht="15.75" customHeight="1" x14ac:dyDescent="0.25">
      <c r="A780" s="1" t="s">
        <v>3301</v>
      </c>
      <c r="B780" s="1" t="s">
        <v>5904</v>
      </c>
      <c r="C780" s="1" t="s">
        <v>9980</v>
      </c>
    </row>
    <row r="781" spans="1:3" ht="15.75" customHeight="1" x14ac:dyDescent="0.25">
      <c r="A781" s="1" t="s">
        <v>9979</v>
      </c>
      <c r="B781" s="1" t="s">
        <v>9978</v>
      </c>
      <c r="C781" s="1" t="s">
        <v>6507</v>
      </c>
    </row>
    <row r="782" spans="1:3" ht="15.75" customHeight="1" x14ac:dyDescent="0.25">
      <c r="A782" s="1" t="s">
        <v>2786</v>
      </c>
      <c r="B782" s="1" t="s">
        <v>9977</v>
      </c>
      <c r="C782" s="1" t="s">
        <v>5838</v>
      </c>
    </row>
    <row r="783" spans="1:3" ht="15.75" customHeight="1" x14ac:dyDescent="0.25">
      <c r="A783" s="1" t="s">
        <v>9976</v>
      </c>
      <c r="B783" s="1" t="s">
        <v>9975</v>
      </c>
      <c r="C783" s="1" t="s">
        <v>7924</v>
      </c>
    </row>
    <row r="784" spans="1:3" ht="15.75" customHeight="1" x14ac:dyDescent="0.25">
      <c r="A784" s="1" t="s">
        <v>9974</v>
      </c>
      <c r="B784" s="1" t="s">
        <v>9973</v>
      </c>
      <c r="C784" s="1" t="s">
        <v>6242</v>
      </c>
    </row>
    <row r="785" spans="1:3" ht="15.75" customHeight="1" x14ac:dyDescent="0.25">
      <c r="A785" s="1" t="s">
        <v>5557</v>
      </c>
      <c r="B785" s="1" t="s">
        <v>9972</v>
      </c>
      <c r="C785" s="1" t="s">
        <v>6530</v>
      </c>
    </row>
    <row r="786" spans="1:3" ht="15.75" customHeight="1" x14ac:dyDescent="0.25">
      <c r="A786" s="1" t="s">
        <v>1600</v>
      </c>
      <c r="B786" s="1" t="s">
        <v>9971</v>
      </c>
      <c r="C786" s="1" t="s">
        <v>6901</v>
      </c>
    </row>
    <row r="787" spans="1:3" ht="15.75" customHeight="1" x14ac:dyDescent="0.25">
      <c r="A787" s="1" t="s">
        <v>9970</v>
      </c>
      <c r="B787" s="1" t="s">
        <v>9969</v>
      </c>
      <c r="C787" s="1" t="s">
        <v>6767</v>
      </c>
    </row>
    <row r="788" spans="1:3" ht="15.75" customHeight="1" x14ac:dyDescent="0.25">
      <c r="A788" s="1" t="s">
        <v>9968</v>
      </c>
      <c r="B788" s="1" t="s">
        <v>9967</v>
      </c>
      <c r="C788" s="1" t="s">
        <v>9121</v>
      </c>
    </row>
    <row r="789" spans="1:3" ht="15.75" customHeight="1" x14ac:dyDescent="0.25">
      <c r="A789" s="1" t="s">
        <v>9966</v>
      </c>
      <c r="B789" s="1" t="s">
        <v>9965</v>
      </c>
      <c r="C789" s="1" t="s">
        <v>6242</v>
      </c>
    </row>
    <row r="790" spans="1:3" ht="15.75" customHeight="1" x14ac:dyDescent="0.25">
      <c r="A790" s="1" t="s">
        <v>9964</v>
      </c>
      <c r="B790" s="1" t="s">
        <v>9963</v>
      </c>
      <c r="C790" s="1" t="s">
        <v>7759</v>
      </c>
    </row>
    <row r="791" spans="1:3" ht="15.75" customHeight="1" x14ac:dyDescent="0.25">
      <c r="A791" s="1" t="s">
        <v>3807</v>
      </c>
      <c r="B791" s="1" t="s">
        <v>9962</v>
      </c>
      <c r="C791" s="1" t="s">
        <v>5800</v>
      </c>
    </row>
    <row r="792" spans="1:3" ht="15.75" customHeight="1" x14ac:dyDescent="0.25">
      <c r="A792" s="1" t="s">
        <v>3644</v>
      </c>
      <c r="B792" s="1" t="s">
        <v>9961</v>
      </c>
      <c r="C792" s="1" t="s">
        <v>5838</v>
      </c>
    </row>
    <row r="793" spans="1:3" ht="15.75" customHeight="1" x14ac:dyDescent="0.25">
      <c r="A793" s="1" t="s">
        <v>3823</v>
      </c>
      <c r="B793" s="1" t="s">
        <v>7689</v>
      </c>
      <c r="C793" s="1" t="s">
        <v>9960</v>
      </c>
    </row>
    <row r="794" spans="1:3" ht="15.75" customHeight="1" x14ac:dyDescent="0.25">
      <c r="A794" s="1" t="s">
        <v>9959</v>
      </c>
      <c r="B794" s="1" t="s">
        <v>9958</v>
      </c>
      <c r="C794" s="1" t="s">
        <v>6963</v>
      </c>
    </row>
    <row r="795" spans="1:3" ht="15.75" customHeight="1" x14ac:dyDescent="0.25">
      <c r="A795" s="1" t="s">
        <v>9957</v>
      </c>
      <c r="B795" s="1" t="s">
        <v>9956</v>
      </c>
      <c r="C795" s="1" t="s">
        <v>6260</v>
      </c>
    </row>
    <row r="796" spans="1:3" ht="15.75" customHeight="1" x14ac:dyDescent="0.25">
      <c r="A796" s="1" t="s">
        <v>1691</v>
      </c>
      <c r="B796" s="1" t="s">
        <v>9955</v>
      </c>
      <c r="C796" s="1" t="s">
        <v>6495</v>
      </c>
    </row>
    <row r="797" spans="1:3" ht="15.75" customHeight="1" x14ac:dyDescent="0.25">
      <c r="A797" s="1" t="s">
        <v>9954</v>
      </c>
      <c r="B797" s="1" t="s">
        <v>9953</v>
      </c>
      <c r="C797" s="1" t="s">
        <v>6122</v>
      </c>
    </row>
    <row r="798" spans="1:3" ht="15.75" customHeight="1" x14ac:dyDescent="0.25">
      <c r="A798" s="1" t="s">
        <v>2706</v>
      </c>
      <c r="B798" s="1" t="s">
        <v>9952</v>
      </c>
      <c r="C798" s="1" t="s">
        <v>6675</v>
      </c>
    </row>
    <row r="799" spans="1:3" ht="15.75" customHeight="1" x14ac:dyDescent="0.25">
      <c r="A799" s="1" t="s">
        <v>9951</v>
      </c>
      <c r="B799" s="1" t="s">
        <v>9950</v>
      </c>
      <c r="C799" s="1" t="s">
        <v>9150</v>
      </c>
    </row>
    <row r="800" spans="1:3" ht="15.75" customHeight="1" x14ac:dyDescent="0.25">
      <c r="A800" s="1" t="s">
        <v>9949</v>
      </c>
      <c r="B800" s="1" t="s">
        <v>9948</v>
      </c>
      <c r="C800" s="1" t="s">
        <v>6242</v>
      </c>
    </row>
    <row r="801" spans="1:3" ht="15.75" customHeight="1" x14ac:dyDescent="0.25">
      <c r="A801" s="1" t="s">
        <v>9947</v>
      </c>
      <c r="B801" s="1" t="s">
        <v>9946</v>
      </c>
      <c r="C801" s="1" t="s">
        <v>5853</v>
      </c>
    </row>
    <row r="802" spans="1:3" ht="15.75" customHeight="1" x14ac:dyDescent="0.25">
      <c r="A802" s="1" t="s">
        <v>4898</v>
      </c>
      <c r="B802" s="1" t="s">
        <v>9945</v>
      </c>
      <c r="C802" s="1" t="s">
        <v>7503</v>
      </c>
    </row>
    <row r="803" spans="1:3" ht="15.75" customHeight="1" x14ac:dyDescent="0.25">
      <c r="A803" s="1" t="s">
        <v>9944</v>
      </c>
      <c r="B803" s="1" t="s">
        <v>9943</v>
      </c>
      <c r="C803" s="1" t="s">
        <v>6719</v>
      </c>
    </row>
    <row r="804" spans="1:3" ht="15.75" customHeight="1" x14ac:dyDescent="0.25">
      <c r="A804" s="1" t="s">
        <v>2688</v>
      </c>
      <c r="B804" s="1" t="s">
        <v>9942</v>
      </c>
      <c r="C804" s="1" t="s">
        <v>6651</v>
      </c>
    </row>
    <row r="805" spans="1:3" ht="15.75" customHeight="1" x14ac:dyDescent="0.25">
      <c r="A805" s="1" t="s">
        <v>1939</v>
      </c>
      <c r="B805" s="1" t="s">
        <v>9941</v>
      </c>
      <c r="C805" s="1" t="s">
        <v>6093</v>
      </c>
    </row>
    <row r="806" spans="1:3" ht="15.75" customHeight="1" x14ac:dyDescent="0.25">
      <c r="A806" s="1" t="s">
        <v>1945</v>
      </c>
      <c r="B806" s="1" t="s">
        <v>9940</v>
      </c>
      <c r="C806" s="1" t="s">
        <v>7543</v>
      </c>
    </row>
    <row r="807" spans="1:3" ht="15.75" customHeight="1" x14ac:dyDescent="0.25">
      <c r="A807" s="1" t="s">
        <v>816</v>
      </c>
      <c r="B807" s="1" t="s">
        <v>9939</v>
      </c>
      <c r="C807" s="1" t="s">
        <v>9121</v>
      </c>
    </row>
    <row r="808" spans="1:3" ht="15.75" customHeight="1" x14ac:dyDescent="0.25">
      <c r="A808" s="1" t="s">
        <v>9938</v>
      </c>
      <c r="B808" s="1" t="s">
        <v>9937</v>
      </c>
      <c r="C808" s="1" t="s">
        <v>6568</v>
      </c>
    </row>
    <row r="809" spans="1:3" ht="15.75" customHeight="1" x14ac:dyDescent="0.25">
      <c r="A809" s="1" t="s">
        <v>9936</v>
      </c>
      <c r="B809" s="1" t="s">
        <v>9935</v>
      </c>
      <c r="C809" s="1" t="s">
        <v>7860</v>
      </c>
    </row>
    <row r="810" spans="1:3" ht="15.75" customHeight="1" x14ac:dyDescent="0.25">
      <c r="A810" s="1" t="s">
        <v>2394</v>
      </c>
      <c r="B810" s="1" t="s">
        <v>9934</v>
      </c>
      <c r="C810" s="1" t="s">
        <v>6495</v>
      </c>
    </row>
    <row r="811" spans="1:3" ht="15.75" customHeight="1" x14ac:dyDescent="0.25">
      <c r="A811" s="1" t="s">
        <v>2818</v>
      </c>
      <c r="B811" s="1" t="s">
        <v>9933</v>
      </c>
      <c r="C811" s="1" t="s">
        <v>5809</v>
      </c>
    </row>
    <row r="812" spans="1:3" ht="15.75" customHeight="1" x14ac:dyDescent="0.25">
      <c r="A812" s="1" t="s">
        <v>9932</v>
      </c>
      <c r="B812" s="1" t="s">
        <v>9931</v>
      </c>
      <c r="C812" s="1" t="s">
        <v>6242</v>
      </c>
    </row>
    <row r="813" spans="1:3" ht="15.75" customHeight="1" x14ac:dyDescent="0.25">
      <c r="A813" s="1" t="s">
        <v>3456</v>
      </c>
      <c r="B813" s="1" t="s">
        <v>3455</v>
      </c>
      <c r="C813" s="1" t="s">
        <v>6892</v>
      </c>
    </row>
    <row r="814" spans="1:3" ht="15.75" customHeight="1" x14ac:dyDescent="0.25">
      <c r="A814" s="1" t="s">
        <v>5157</v>
      </c>
      <c r="B814" s="1" t="s">
        <v>9930</v>
      </c>
      <c r="C814" s="1" t="s">
        <v>6750</v>
      </c>
    </row>
    <row r="815" spans="1:3" ht="15.75" customHeight="1" x14ac:dyDescent="0.25">
      <c r="A815" s="1" t="s">
        <v>3883</v>
      </c>
      <c r="B815" s="1" t="s">
        <v>9929</v>
      </c>
      <c r="C815" s="1" t="s">
        <v>6093</v>
      </c>
    </row>
    <row r="816" spans="1:3" ht="15.75" customHeight="1" x14ac:dyDescent="0.25">
      <c r="A816" s="1" t="s">
        <v>4219</v>
      </c>
      <c r="B816" s="1" t="s">
        <v>9928</v>
      </c>
      <c r="C816" s="1" t="s">
        <v>6795</v>
      </c>
    </row>
    <row r="817" spans="1:3" ht="15.75" customHeight="1" x14ac:dyDescent="0.25">
      <c r="A817" s="1" t="s">
        <v>1163</v>
      </c>
      <c r="B817" s="1" t="s">
        <v>9927</v>
      </c>
      <c r="C817" s="1" t="s">
        <v>7070</v>
      </c>
    </row>
    <row r="818" spans="1:3" ht="15.75" customHeight="1" x14ac:dyDescent="0.25">
      <c r="A818" s="1" t="s">
        <v>9926</v>
      </c>
      <c r="B818" s="1" t="s">
        <v>9925</v>
      </c>
      <c r="C818" s="1" t="s">
        <v>6242</v>
      </c>
    </row>
    <row r="819" spans="1:3" ht="15.75" customHeight="1" x14ac:dyDescent="0.25">
      <c r="A819" s="1" t="s">
        <v>5401</v>
      </c>
      <c r="B819" s="1" t="s">
        <v>9924</v>
      </c>
      <c r="C819" s="1" t="s">
        <v>6530</v>
      </c>
    </row>
    <row r="820" spans="1:3" ht="15.75" customHeight="1" x14ac:dyDescent="0.25">
      <c r="A820" s="1" t="s">
        <v>3133</v>
      </c>
      <c r="B820" s="1" t="s">
        <v>9923</v>
      </c>
      <c r="C820" s="1" t="s">
        <v>9121</v>
      </c>
    </row>
    <row r="821" spans="1:3" ht="15.75" customHeight="1" x14ac:dyDescent="0.25">
      <c r="A821" s="1" t="s">
        <v>9922</v>
      </c>
      <c r="B821" s="1" t="s">
        <v>9921</v>
      </c>
      <c r="C821" s="1" t="s">
        <v>6242</v>
      </c>
    </row>
    <row r="822" spans="1:3" ht="15.75" customHeight="1" x14ac:dyDescent="0.25">
      <c r="A822" s="1" t="s">
        <v>9920</v>
      </c>
      <c r="B822" s="1" t="s">
        <v>9919</v>
      </c>
      <c r="C822" s="1" t="s">
        <v>7131</v>
      </c>
    </row>
    <row r="823" spans="1:3" ht="15.75" customHeight="1" x14ac:dyDescent="0.25">
      <c r="A823" s="1" t="s">
        <v>9918</v>
      </c>
      <c r="B823" s="1" t="s">
        <v>9917</v>
      </c>
      <c r="C823" s="1" t="s">
        <v>6486</v>
      </c>
    </row>
    <row r="824" spans="1:3" ht="15.75" customHeight="1" x14ac:dyDescent="0.25">
      <c r="A824" s="1" t="s">
        <v>9916</v>
      </c>
      <c r="B824" s="1" t="s">
        <v>9915</v>
      </c>
      <c r="C824" s="1" t="s">
        <v>6486</v>
      </c>
    </row>
    <row r="825" spans="1:3" ht="15.75" customHeight="1" x14ac:dyDescent="0.25">
      <c r="A825" s="1" t="s">
        <v>9914</v>
      </c>
      <c r="B825" s="1" t="s">
        <v>9913</v>
      </c>
      <c r="C825" s="1" t="s">
        <v>9150</v>
      </c>
    </row>
    <row r="826" spans="1:3" ht="15.75" customHeight="1" x14ac:dyDescent="0.25">
      <c r="A826" s="1" t="s">
        <v>3123</v>
      </c>
      <c r="B826" s="1" t="s">
        <v>9912</v>
      </c>
      <c r="C826" s="1" t="s">
        <v>6242</v>
      </c>
    </row>
    <row r="827" spans="1:3" ht="15.75" customHeight="1" x14ac:dyDescent="0.25">
      <c r="A827" s="1" t="s">
        <v>9911</v>
      </c>
      <c r="B827" s="1" t="s">
        <v>9910</v>
      </c>
      <c r="C827" s="1" t="s">
        <v>5811</v>
      </c>
    </row>
    <row r="828" spans="1:3" ht="15.75" customHeight="1" x14ac:dyDescent="0.25">
      <c r="A828" s="1" t="s">
        <v>1178</v>
      </c>
      <c r="B828" s="1" t="s">
        <v>9909</v>
      </c>
      <c r="C828" s="1" t="s">
        <v>6667</v>
      </c>
    </row>
    <row r="829" spans="1:3" ht="15.75" customHeight="1" x14ac:dyDescent="0.25">
      <c r="A829" s="1" t="s">
        <v>4021</v>
      </c>
      <c r="B829" s="1" t="s">
        <v>9908</v>
      </c>
      <c r="C829" s="1" t="s">
        <v>5796</v>
      </c>
    </row>
    <row r="830" spans="1:3" ht="15.75" customHeight="1" x14ac:dyDescent="0.25">
      <c r="A830" s="1" t="s">
        <v>9907</v>
      </c>
      <c r="B830" s="1" t="s">
        <v>9906</v>
      </c>
      <c r="C830" s="1" t="s">
        <v>6507</v>
      </c>
    </row>
    <row r="831" spans="1:3" ht="15.75" customHeight="1" x14ac:dyDescent="0.25">
      <c r="A831" s="1" t="s">
        <v>3162</v>
      </c>
      <c r="B831" s="1" t="s">
        <v>9905</v>
      </c>
      <c r="C831" s="1" t="s">
        <v>7915</v>
      </c>
    </row>
    <row r="832" spans="1:3" ht="15.75" customHeight="1" x14ac:dyDescent="0.25">
      <c r="A832" s="1" t="s">
        <v>2618</v>
      </c>
      <c r="B832" s="1" t="s">
        <v>9904</v>
      </c>
      <c r="C832" s="1" t="s">
        <v>5796</v>
      </c>
    </row>
    <row r="833" spans="1:3" ht="15.75" customHeight="1" x14ac:dyDescent="0.25">
      <c r="A833" s="1" t="s">
        <v>4578</v>
      </c>
      <c r="B833" s="1" t="s">
        <v>8643</v>
      </c>
      <c r="C833" s="1" t="s">
        <v>9903</v>
      </c>
    </row>
    <row r="834" spans="1:3" ht="15.75" customHeight="1" x14ac:dyDescent="0.25">
      <c r="A834" s="1" t="s">
        <v>9902</v>
      </c>
      <c r="B834" s="1" t="s">
        <v>9901</v>
      </c>
      <c r="C834" s="1" t="s">
        <v>6530</v>
      </c>
    </row>
    <row r="835" spans="1:3" ht="15.75" customHeight="1" x14ac:dyDescent="0.25">
      <c r="A835" s="1" t="s">
        <v>9900</v>
      </c>
      <c r="B835" s="1" t="s">
        <v>9899</v>
      </c>
      <c r="C835" s="1" t="s">
        <v>5838</v>
      </c>
    </row>
    <row r="836" spans="1:3" ht="15.75" customHeight="1" x14ac:dyDescent="0.25">
      <c r="A836" s="1" t="s">
        <v>2056</v>
      </c>
      <c r="B836" s="1" t="s">
        <v>9898</v>
      </c>
      <c r="C836" s="1" t="s">
        <v>9121</v>
      </c>
    </row>
    <row r="837" spans="1:3" ht="15.75" customHeight="1" x14ac:dyDescent="0.25">
      <c r="A837" s="1" t="s">
        <v>9897</v>
      </c>
      <c r="B837" s="1" t="s">
        <v>9896</v>
      </c>
      <c r="C837" s="1" t="s">
        <v>9895</v>
      </c>
    </row>
    <row r="838" spans="1:3" ht="15.75" customHeight="1" x14ac:dyDescent="0.25">
      <c r="A838" s="1" t="s">
        <v>1559</v>
      </c>
      <c r="B838" s="1" t="s">
        <v>9894</v>
      </c>
      <c r="C838" s="1" t="s">
        <v>9150</v>
      </c>
    </row>
    <row r="839" spans="1:3" ht="15.75" customHeight="1" x14ac:dyDescent="0.25">
      <c r="A839" s="1" t="s">
        <v>2914</v>
      </c>
      <c r="B839" s="1" t="s">
        <v>9893</v>
      </c>
      <c r="C839" s="1" t="s">
        <v>6767</v>
      </c>
    </row>
    <row r="840" spans="1:3" ht="15.75" customHeight="1" x14ac:dyDescent="0.25">
      <c r="A840" s="1" t="s">
        <v>3737</v>
      </c>
      <c r="B840" s="1" t="s">
        <v>9892</v>
      </c>
      <c r="C840" s="1" t="s">
        <v>5853</v>
      </c>
    </row>
    <row r="841" spans="1:3" ht="15.75" customHeight="1" x14ac:dyDescent="0.25">
      <c r="A841" s="1" t="s">
        <v>3520</v>
      </c>
      <c r="B841" s="1" t="s">
        <v>9891</v>
      </c>
      <c r="C841" s="1" t="s">
        <v>7468</v>
      </c>
    </row>
    <row r="842" spans="1:3" ht="15.75" customHeight="1" x14ac:dyDescent="0.25">
      <c r="A842" s="1" t="s">
        <v>4198</v>
      </c>
      <c r="B842" s="1" t="s">
        <v>9890</v>
      </c>
      <c r="C842" s="1" t="s">
        <v>6767</v>
      </c>
    </row>
    <row r="843" spans="1:3" ht="15.75" customHeight="1" x14ac:dyDescent="0.25">
      <c r="A843" s="1" t="s">
        <v>316</v>
      </c>
      <c r="B843" s="1" t="s">
        <v>9889</v>
      </c>
      <c r="C843" s="1" t="s">
        <v>9888</v>
      </c>
    </row>
    <row r="844" spans="1:3" ht="15.75" customHeight="1" x14ac:dyDescent="0.25">
      <c r="A844" s="1" t="s">
        <v>1043</v>
      </c>
      <c r="B844" s="1" t="s">
        <v>9887</v>
      </c>
      <c r="C844" s="1" t="s">
        <v>6945</v>
      </c>
    </row>
    <row r="845" spans="1:3" ht="15.75" customHeight="1" x14ac:dyDescent="0.25">
      <c r="A845" s="1" t="s">
        <v>9886</v>
      </c>
      <c r="B845" s="1" t="s">
        <v>9885</v>
      </c>
      <c r="C845" s="1" t="s">
        <v>6122</v>
      </c>
    </row>
    <row r="846" spans="1:3" ht="15.75" customHeight="1" x14ac:dyDescent="0.25">
      <c r="A846" s="1" t="s">
        <v>9884</v>
      </c>
      <c r="B846" s="1" t="s">
        <v>9883</v>
      </c>
      <c r="C846" s="1" t="s">
        <v>6319</v>
      </c>
    </row>
    <row r="847" spans="1:3" ht="15.75" customHeight="1" x14ac:dyDescent="0.25">
      <c r="A847" s="1" t="s">
        <v>1785</v>
      </c>
      <c r="B847" s="1" t="s">
        <v>4920</v>
      </c>
      <c r="C847" s="1" t="s">
        <v>5886</v>
      </c>
    </row>
    <row r="848" spans="1:3" ht="15.75" customHeight="1" x14ac:dyDescent="0.25">
      <c r="A848" s="1" t="s">
        <v>4615</v>
      </c>
      <c r="B848" s="1" t="s">
        <v>9882</v>
      </c>
      <c r="C848" s="1" t="s">
        <v>6665</v>
      </c>
    </row>
    <row r="849" spans="1:3" ht="15.75" customHeight="1" x14ac:dyDescent="0.25">
      <c r="A849" s="1" t="s">
        <v>3607</v>
      </c>
      <c r="B849" s="1" t="s">
        <v>9881</v>
      </c>
      <c r="C849" s="1" t="s">
        <v>5838</v>
      </c>
    </row>
    <row r="850" spans="1:3" ht="15.75" customHeight="1" x14ac:dyDescent="0.25">
      <c r="A850" s="1" t="s">
        <v>9880</v>
      </c>
      <c r="B850" s="1" t="s">
        <v>9879</v>
      </c>
      <c r="C850" s="1" t="s">
        <v>7543</v>
      </c>
    </row>
    <row r="851" spans="1:3" ht="15.75" customHeight="1" x14ac:dyDescent="0.25">
      <c r="A851" s="1" t="s">
        <v>4302</v>
      </c>
      <c r="B851" s="1" t="s">
        <v>9878</v>
      </c>
      <c r="C851" s="1" t="s">
        <v>7423</v>
      </c>
    </row>
    <row r="852" spans="1:3" ht="15.75" customHeight="1" x14ac:dyDescent="0.25">
      <c r="A852" s="1" t="s">
        <v>2445</v>
      </c>
      <c r="B852" s="1" t="s">
        <v>9877</v>
      </c>
      <c r="C852" s="1" t="s">
        <v>6717</v>
      </c>
    </row>
    <row r="853" spans="1:3" ht="15.75" customHeight="1" x14ac:dyDescent="0.25">
      <c r="A853" s="1" t="s">
        <v>2326</v>
      </c>
      <c r="B853" s="1" t="s">
        <v>9876</v>
      </c>
      <c r="C853" s="1" t="s">
        <v>7280</v>
      </c>
    </row>
    <row r="854" spans="1:3" ht="15.75" customHeight="1" x14ac:dyDescent="0.25">
      <c r="A854" s="1" t="s">
        <v>4142</v>
      </c>
      <c r="B854" s="1" t="s">
        <v>9875</v>
      </c>
      <c r="C854" s="1" t="s">
        <v>5781</v>
      </c>
    </row>
    <row r="855" spans="1:3" ht="15.75" customHeight="1" x14ac:dyDescent="0.25">
      <c r="A855" s="1" t="s">
        <v>721</v>
      </c>
      <c r="B855" s="1" t="s">
        <v>9874</v>
      </c>
      <c r="C855" s="1" t="s">
        <v>6640</v>
      </c>
    </row>
    <row r="856" spans="1:3" ht="15.75" customHeight="1" x14ac:dyDescent="0.25">
      <c r="A856" s="1" t="s">
        <v>4779</v>
      </c>
      <c r="B856" s="1" t="s">
        <v>9873</v>
      </c>
      <c r="C856" s="1" t="s">
        <v>8735</v>
      </c>
    </row>
    <row r="857" spans="1:3" ht="15.75" customHeight="1" x14ac:dyDescent="0.25">
      <c r="A857" s="1" t="s">
        <v>3715</v>
      </c>
      <c r="B857" s="1" t="s">
        <v>9872</v>
      </c>
      <c r="C857" s="1" t="s">
        <v>7476</v>
      </c>
    </row>
    <row r="858" spans="1:3" ht="15.75" customHeight="1" x14ac:dyDescent="0.25">
      <c r="A858" s="1" t="s">
        <v>9871</v>
      </c>
      <c r="B858" s="1" t="s">
        <v>9870</v>
      </c>
      <c r="C858" s="1" t="s">
        <v>5811</v>
      </c>
    </row>
    <row r="859" spans="1:3" ht="15.75" customHeight="1" x14ac:dyDescent="0.25">
      <c r="A859" s="1" t="s">
        <v>9869</v>
      </c>
      <c r="B859" s="1" t="s">
        <v>9868</v>
      </c>
      <c r="C859" s="1" t="s">
        <v>5811</v>
      </c>
    </row>
    <row r="860" spans="1:3" ht="15.75" customHeight="1" x14ac:dyDescent="0.25">
      <c r="A860" s="1" t="s">
        <v>314</v>
      </c>
      <c r="B860" s="1" t="s">
        <v>313</v>
      </c>
      <c r="C860" s="1" t="s">
        <v>9867</v>
      </c>
    </row>
    <row r="861" spans="1:3" ht="15.75" customHeight="1" x14ac:dyDescent="0.25">
      <c r="A861" s="1" t="s">
        <v>9866</v>
      </c>
      <c r="B861" s="1" t="s">
        <v>9865</v>
      </c>
      <c r="C861" s="1" t="s">
        <v>9121</v>
      </c>
    </row>
    <row r="862" spans="1:3" ht="15.75" customHeight="1" x14ac:dyDescent="0.25">
      <c r="A862" s="1" t="s">
        <v>4418</v>
      </c>
      <c r="B862" s="1" t="s">
        <v>9864</v>
      </c>
      <c r="C862" s="1" t="s">
        <v>6530</v>
      </c>
    </row>
    <row r="863" spans="1:3" ht="15.75" customHeight="1" x14ac:dyDescent="0.25">
      <c r="A863" s="1" t="s">
        <v>9863</v>
      </c>
      <c r="B863" s="1" t="s">
        <v>9862</v>
      </c>
      <c r="C863" s="1" t="s">
        <v>7043</v>
      </c>
    </row>
    <row r="864" spans="1:3" ht="15.75" customHeight="1" x14ac:dyDescent="0.25">
      <c r="A864" s="1" t="s">
        <v>3066</v>
      </c>
      <c r="B864" s="1" t="s">
        <v>9861</v>
      </c>
      <c r="C864" s="1" t="s">
        <v>6651</v>
      </c>
    </row>
    <row r="865" spans="1:3" ht="15.75" customHeight="1" x14ac:dyDescent="0.25">
      <c r="A865" s="1" t="s">
        <v>4019</v>
      </c>
      <c r="B865" s="1" t="s">
        <v>9860</v>
      </c>
      <c r="C865" s="1" t="s">
        <v>6673</v>
      </c>
    </row>
    <row r="866" spans="1:3" ht="15.75" customHeight="1" x14ac:dyDescent="0.25">
      <c r="A866" s="1" t="s">
        <v>312</v>
      </c>
      <c r="B866" s="1" t="s">
        <v>9859</v>
      </c>
      <c r="C866" s="1" t="s">
        <v>9858</v>
      </c>
    </row>
    <row r="867" spans="1:3" ht="15.75" customHeight="1" x14ac:dyDescent="0.25">
      <c r="A867" s="1" t="s">
        <v>3784</v>
      </c>
      <c r="B867" s="1" t="s">
        <v>9857</v>
      </c>
      <c r="C867" s="1" t="s">
        <v>6767</v>
      </c>
    </row>
    <row r="868" spans="1:3" ht="15.75" customHeight="1" x14ac:dyDescent="0.25">
      <c r="A868" s="1" t="s">
        <v>3844</v>
      </c>
      <c r="B868" s="1" t="s">
        <v>9856</v>
      </c>
      <c r="C868" s="1" t="s">
        <v>9855</v>
      </c>
    </row>
    <row r="869" spans="1:3" ht="15.75" customHeight="1" x14ac:dyDescent="0.25">
      <c r="A869" s="1" t="s">
        <v>4475</v>
      </c>
      <c r="B869" s="1" t="s">
        <v>9854</v>
      </c>
      <c r="C869" s="1" t="s">
        <v>6242</v>
      </c>
    </row>
    <row r="870" spans="1:3" ht="15.75" customHeight="1" x14ac:dyDescent="0.25">
      <c r="A870" s="1" t="s">
        <v>9853</v>
      </c>
      <c r="B870" s="1" t="s">
        <v>9852</v>
      </c>
      <c r="C870" s="1" t="s">
        <v>6671</v>
      </c>
    </row>
    <row r="871" spans="1:3" ht="15.75" customHeight="1" x14ac:dyDescent="0.25">
      <c r="A871" s="1" t="s">
        <v>5354</v>
      </c>
      <c r="B871" s="1" t="s">
        <v>9851</v>
      </c>
      <c r="C871" s="1" t="s">
        <v>7195</v>
      </c>
    </row>
    <row r="872" spans="1:3" ht="15.75" customHeight="1" x14ac:dyDescent="0.25">
      <c r="A872" s="1" t="s">
        <v>4322</v>
      </c>
      <c r="B872" s="1" t="s">
        <v>9850</v>
      </c>
      <c r="C872" s="1" t="s">
        <v>8451</v>
      </c>
    </row>
    <row r="873" spans="1:3" ht="15.75" customHeight="1" x14ac:dyDescent="0.25">
      <c r="A873" s="1" t="s">
        <v>4665</v>
      </c>
      <c r="B873" s="1" t="s">
        <v>9849</v>
      </c>
      <c r="C873" s="1" t="s">
        <v>6714</v>
      </c>
    </row>
    <row r="874" spans="1:3" ht="15.75" customHeight="1" x14ac:dyDescent="0.25">
      <c r="A874" s="1" t="s">
        <v>1718</v>
      </c>
      <c r="B874" s="1" t="s">
        <v>9848</v>
      </c>
      <c r="C874" s="1" t="s">
        <v>6323</v>
      </c>
    </row>
    <row r="875" spans="1:3" ht="15.75" customHeight="1" x14ac:dyDescent="0.25">
      <c r="A875" s="1" t="s">
        <v>4007</v>
      </c>
      <c r="B875" s="1" t="s">
        <v>6316</v>
      </c>
      <c r="C875" s="1" t="s">
        <v>7374</v>
      </c>
    </row>
    <row r="876" spans="1:3" ht="15.75" customHeight="1" x14ac:dyDescent="0.25">
      <c r="A876" s="1" t="s">
        <v>3313</v>
      </c>
      <c r="B876" s="1" t="s">
        <v>9847</v>
      </c>
      <c r="C876" s="1" t="s">
        <v>7815</v>
      </c>
    </row>
    <row r="877" spans="1:3" ht="15.75" customHeight="1" x14ac:dyDescent="0.25">
      <c r="A877" s="1" t="s">
        <v>309</v>
      </c>
      <c r="B877" s="1" t="s">
        <v>7534</v>
      </c>
      <c r="C877" s="1" t="s">
        <v>9846</v>
      </c>
    </row>
    <row r="878" spans="1:3" ht="15.75" customHeight="1" x14ac:dyDescent="0.25">
      <c r="A878" s="1" t="s">
        <v>9845</v>
      </c>
      <c r="B878" s="1" t="s">
        <v>9844</v>
      </c>
      <c r="C878" s="1" t="s">
        <v>5781</v>
      </c>
    </row>
    <row r="879" spans="1:3" ht="15.75" customHeight="1" x14ac:dyDescent="0.25">
      <c r="A879" s="1" t="s">
        <v>4863</v>
      </c>
      <c r="B879" s="1" t="s">
        <v>9843</v>
      </c>
      <c r="C879" s="1" t="s">
        <v>9842</v>
      </c>
    </row>
    <row r="880" spans="1:3" ht="15.75" customHeight="1" x14ac:dyDescent="0.25">
      <c r="A880" s="1" t="s">
        <v>4283</v>
      </c>
      <c r="B880" s="1" t="s">
        <v>9841</v>
      </c>
      <c r="C880" s="1" t="s">
        <v>5853</v>
      </c>
    </row>
    <row r="881" spans="1:3" ht="15.75" customHeight="1" x14ac:dyDescent="0.25">
      <c r="A881" s="1" t="s">
        <v>9840</v>
      </c>
      <c r="B881" s="1" t="s">
        <v>9839</v>
      </c>
      <c r="C881" s="1" t="s">
        <v>6874</v>
      </c>
    </row>
    <row r="882" spans="1:3" ht="15.75" customHeight="1" x14ac:dyDescent="0.25">
      <c r="A882" s="1" t="s">
        <v>9838</v>
      </c>
      <c r="B882" s="1" t="s">
        <v>9837</v>
      </c>
      <c r="C882" s="1" t="s">
        <v>6468</v>
      </c>
    </row>
    <row r="883" spans="1:3" ht="15.75" customHeight="1" x14ac:dyDescent="0.25">
      <c r="A883" s="1" t="s">
        <v>4104</v>
      </c>
      <c r="B883" s="1" t="s">
        <v>9836</v>
      </c>
      <c r="C883" s="1" t="s">
        <v>6717</v>
      </c>
    </row>
    <row r="884" spans="1:3" ht="15.75" customHeight="1" x14ac:dyDescent="0.25">
      <c r="A884" s="1" t="s">
        <v>9835</v>
      </c>
      <c r="B884" s="1" t="s">
        <v>9834</v>
      </c>
      <c r="C884" s="1" t="s">
        <v>8346</v>
      </c>
    </row>
    <row r="885" spans="1:3" ht="15.75" customHeight="1" x14ac:dyDescent="0.25">
      <c r="A885" s="1" t="s">
        <v>9833</v>
      </c>
      <c r="B885" s="1" t="s">
        <v>9832</v>
      </c>
      <c r="C885" s="1" t="s">
        <v>6530</v>
      </c>
    </row>
    <row r="886" spans="1:3" ht="15.75" customHeight="1" x14ac:dyDescent="0.25">
      <c r="A886" s="1" t="s">
        <v>4088</v>
      </c>
      <c r="B886" s="1" t="s">
        <v>9831</v>
      </c>
      <c r="C886" s="1" t="s">
        <v>7815</v>
      </c>
    </row>
    <row r="887" spans="1:3" ht="15.75" customHeight="1" x14ac:dyDescent="0.25">
      <c r="A887" s="1" t="s">
        <v>9830</v>
      </c>
      <c r="B887" s="1" t="s">
        <v>9829</v>
      </c>
      <c r="C887" s="1" t="s">
        <v>9121</v>
      </c>
    </row>
    <row r="888" spans="1:3" ht="15.75" customHeight="1" x14ac:dyDescent="0.25">
      <c r="A888" s="1" t="s">
        <v>1849</v>
      </c>
      <c r="B888" s="1" t="s">
        <v>9828</v>
      </c>
      <c r="C888" s="1" t="s">
        <v>7558</v>
      </c>
    </row>
    <row r="889" spans="1:3" ht="15.75" customHeight="1" x14ac:dyDescent="0.25">
      <c r="A889" s="1" t="s">
        <v>4661</v>
      </c>
      <c r="B889" s="1" t="s">
        <v>9827</v>
      </c>
      <c r="C889" s="1" t="s">
        <v>5853</v>
      </c>
    </row>
    <row r="890" spans="1:3" ht="15.75" customHeight="1" x14ac:dyDescent="0.25">
      <c r="A890" s="1" t="s">
        <v>9826</v>
      </c>
      <c r="B890" s="1" t="s">
        <v>9825</v>
      </c>
      <c r="C890" s="1" t="s">
        <v>7468</v>
      </c>
    </row>
    <row r="891" spans="1:3" ht="15.75" customHeight="1" x14ac:dyDescent="0.25">
      <c r="A891" s="1" t="s">
        <v>9824</v>
      </c>
      <c r="B891" s="1" t="s">
        <v>9823</v>
      </c>
      <c r="C891" s="1" t="s">
        <v>5811</v>
      </c>
    </row>
    <row r="892" spans="1:3" ht="15.75" customHeight="1" x14ac:dyDescent="0.25">
      <c r="A892" s="1" t="s">
        <v>4385</v>
      </c>
      <c r="B892" s="1" t="s">
        <v>9822</v>
      </c>
      <c r="C892" s="1" t="s">
        <v>6168</v>
      </c>
    </row>
    <row r="893" spans="1:3" ht="15.75" customHeight="1" x14ac:dyDescent="0.25">
      <c r="A893" s="1" t="s">
        <v>1830</v>
      </c>
      <c r="B893" s="1" t="s">
        <v>9821</v>
      </c>
      <c r="C893" s="1" t="s">
        <v>6651</v>
      </c>
    </row>
    <row r="894" spans="1:3" ht="15.75" customHeight="1" x14ac:dyDescent="0.25">
      <c r="A894" s="1" t="s">
        <v>9820</v>
      </c>
      <c r="B894" s="1" t="s">
        <v>9819</v>
      </c>
      <c r="C894" s="1" t="s">
        <v>5853</v>
      </c>
    </row>
    <row r="895" spans="1:3" ht="15.75" customHeight="1" x14ac:dyDescent="0.25">
      <c r="A895" s="1" t="s">
        <v>2950</v>
      </c>
      <c r="B895" s="1" t="s">
        <v>9818</v>
      </c>
      <c r="C895" s="1" t="s">
        <v>5991</v>
      </c>
    </row>
    <row r="896" spans="1:3" ht="15.75" customHeight="1" x14ac:dyDescent="0.25">
      <c r="A896" s="1" t="s">
        <v>5680</v>
      </c>
      <c r="B896" s="1" t="s">
        <v>9817</v>
      </c>
      <c r="C896" s="1" t="s">
        <v>6673</v>
      </c>
    </row>
    <row r="897" spans="1:3" ht="15.75" customHeight="1" x14ac:dyDescent="0.25">
      <c r="A897" s="1" t="s">
        <v>5112</v>
      </c>
      <c r="B897" s="1" t="s">
        <v>9816</v>
      </c>
      <c r="C897" s="1" t="s">
        <v>6468</v>
      </c>
    </row>
    <row r="898" spans="1:3" ht="15.75" customHeight="1" x14ac:dyDescent="0.25">
      <c r="A898" s="1" t="s">
        <v>3076</v>
      </c>
      <c r="B898" s="1" t="s">
        <v>7767</v>
      </c>
      <c r="C898" s="1" t="s">
        <v>8330</v>
      </c>
    </row>
    <row r="899" spans="1:3" ht="15.75" customHeight="1" x14ac:dyDescent="0.25">
      <c r="A899" s="1" t="s">
        <v>4904</v>
      </c>
      <c r="B899" s="1" t="s">
        <v>7767</v>
      </c>
      <c r="C899" s="1" t="s">
        <v>9815</v>
      </c>
    </row>
    <row r="900" spans="1:3" ht="15.75" customHeight="1" x14ac:dyDescent="0.25">
      <c r="A900" s="1" t="s">
        <v>1979</v>
      </c>
      <c r="B900" s="1" t="s">
        <v>9814</v>
      </c>
      <c r="C900" s="1" t="s">
        <v>7195</v>
      </c>
    </row>
    <row r="901" spans="1:3" ht="15.75" customHeight="1" x14ac:dyDescent="0.25">
      <c r="A901" s="1" t="s">
        <v>1834</v>
      </c>
      <c r="B901" s="1" t="s">
        <v>9813</v>
      </c>
      <c r="C901" s="1" t="s">
        <v>9150</v>
      </c>
    </row>
    <row r="902" spans="1:3" ht="15.75" customHeight="1" x14ac:dyDescent="0.25">
      <c r="A902" s="1" t="s">
        <v>1409</v>
      </c>
      <c r="B902" s="1" t="s">
        <v>9812</v>
      </c>
      <c r="C902" s="1" t="s">
        <v>6997</v>
      </c>
    </row>
    <row r="903" spans="1:3" ht="15.75" customHeight="1" x14ac:dyDescent="0.25">
      <c r="A903" s="1" t="s">
        <v>4858</v>
      </c>
      <c r="B903" s="1" t="s">
        <v>9811</v>
      </c>
      <c r="C903" s="1" t="s">
        <v>5853</v>
      </c>
    </row>
    <row r="904" spans="1:3" ht="15.75" customHeight="1" x14ac:dyDescent="0.25">
      <c r="A904" s="1" t="s">
        <v>3148</v>
      </c>
      <c r="B904" s="1" t="s">
        <v>9810</v>
      </c>
      <c r="C904" s="1" t="s">
        <v>9809</v>
      </c>
    </row>
    <row r="905" spans="1:3" ht="15.75" customHeight="1" x14ac:dyDescent="0.25">
      <c r="A905" s="1" t="s">
        <v>5064</v>
      </c>
      <c r="B905" s="1" t="s">
        <v>9808</v>
      </c>
      <c r="C905" s="1" t="s">
        <v>7195</v>
      </c>
    </row>
    <row r="906" spans="1:3" ht="15.75" customHeight="1" x14ac:dyDescent="0.25">
      <c r="A906" s="1" t="s">
        <v>3264</v>
      </c>
      <c r="B906" s="1" t="s">
        <v>9807</v>
      </c>
      <c r="C906" s="1" t="s">
        <v>5838</v>
      </c>
    </row>
    <row r="907" spans="1:3" ht="15.75" customHeight="1" x14ac:dyDescent="0.25">
      <c r="A907" s="1" t="s">
        <v>2893</v>
      </c>
      <c r="B907" s="1" t="s">
        <v>9806</v>
      </c>
      <c r="C907" s="1" t="s">
        <v>9805</v>
      </c>
    </row>
    <row r="908" spans="1:3" ht="15.75" customHeight="1" x14ac:dyDescent="0.25">
      <c r="A908" s="1" t="s">
        <v>2311</v>
      </c>
      <c r="B908" s="1" t="s">
        <v>7664</v>
      </c>
      <c r="C908" s="1" t="s">
        <v>6617</v>
      </c>
    </row>
    <row r="909" spans="1:3" ht="15.75" customHeight="1" x14ac:dyDescent="0.25">
      <c r="A909" s="1" t="s">
        <v>4541</v>
      </c>
      <c r="B909" s="1" t="s">
        <v>9804</v>
      </c>
      <c r="C909" s="1" t="s">
        <v>6945</v>
      </c>
    </row>
    <row r="910" spans="1:3" ht="15.75" customHeight="1" x14ac:dyDescent="0.25">
      <c r="A910" s="1" t="s">
        <v>5386</v>
      </c>
      <c r="B910" s="1" t="s">
        <v>9803</v>
      </c>
      <c r="C910" s="1" t="s">
        <v>5796</v>
      </c>
    </row>
    <row r="911" spans="1:3" ht="15.75" customHeight="1" x14ac:dyDescent="0.25">
      <c r="A911" s="1" t="s">
        <v>909</v>
      </c>
      <c r="B911" s="1" t="s">
        <v>9802</v>
      </c>
      <c r="C911" s="1" t="s">
        <v>7313</v>
      </c>
    </row>
    <row r="912" spans="1:3" ht="15.75" customHeight="1" x14ac:dyDescent="0.25">
      <c r="A912" s="1" t="s">
        <v>9801</v>
      </c>
      <c r="B912" s="1" t="s">
        <v>9800</v>
      </c>
      <c r="C912" s="1" t="s">
        <v>7418</v>
      </c>
    </row>
    <row r="913" spans="1:3" ht="15.75" customHeight="1" x14ac:dyDescent="0.25">
      <c r="A913" s="1" t="s">
        <v>2438</v>
      </c>
      <c r="B913" s="1" t="s">
        <v>9799</v>
      </c>
      <c r="C913" s="1" t="s">
        <v>6665</v>
      </c>
    </row>
    <row r="914" spans="1:3" ht="15.75" customHeight="1" x14ac:dyDescent="0.25">
      <c r="A914" s="1" t="s">
        <v>5352</v>
      </c>
      <c r="B914" s="1" t="s">
        <v>9798</v>
      </c>
      <c r="C914" s="1" t="s">
        <v>6468</v>
      </c>
    </row>
    <row r="915" spans="1:3" ht="15.75" customHeight="1" x14ac:dyDescent="0.25">
      <c r="A915" s="1" t="s">
        <v>3891</v>
      </c>
      <c r="B915" s="1" t="s">
        <v>9797</v>
      </c>
      <c r="C915" s="1" t="s">
        <v>5809</v>
      </c>
    </row>
    <row r="916" spans="1:3" ht="15.75" customHeight="1" x14ac:dyDescent="0.25">
      <c r="A916" s="1" t="s">
        <v>306</v>
      </c>
      <c r="B916" s="1" t="s">
        <v>9528</v>
      </c>
      <c r="C916" s="1" t="s">
        <v>9796</v>
      </c>
    </row>
    <row r="917" spans="1:3" ht="15.75" customHeight="1" x14ac:dyDescent="0.25">
      <c r="A917" s="1" t="s">
        <v>1309</v>
      </c>
      <c r="B917" s="1" t="s">
        <v>9795</v>
      </c>
      <c r="C917" s="1" t="s">
        <v>6468</v>
      </c>
    </row>
    <row r="918" spans="1:3" ht="15.75" customHeight="1" x14ac:dyDescent="0.25">
      <c r="A918" s="1" t="s">
        <v>9794</v>
      </c>
      <c r="B918" s="1" t="s">
        <v>9793</v>
      </c>
      <c r="C918" s="1" t="s">
        <v>6260</v>
      </c>
    </row>
    <row r="919" spans="1:3" ht="15.75" customHeight="1" x14ac:dyDescent="0.25">
      <c r="A919" s="1" t="s">
        <v>3093</v>
      </c>
      <c r="B919" s="1" t="s">
        <v>9792</v>
      </c>
      <c r="C919" s="1" t="s">
        <v>5781</v>
      </c>
    </row>
    <row r="920" spans="1:3" ht="15.75" customHeight="1" x14ac:dyDescent="0.25">
      <c r="A920" s="1" t="s">
        <v>9791</v>
      </c>
      <c r="B920" s="1" t="s">
        <v>9790</v>
      </c>
      <c r="C920" s="1" t="s">
        <v>9628</v>
      </c>
    </row>
    <row r="921" spans="1:3" ht="15.75" customHeight="1" x14ac:dyDescent="0.25">
      <c r="A921" s="1" t="s">
        <v>4239</v>
      </c>
      <c r="B921" s="1" t="s">
        <v>9789</v>
      </c>
      <c r="C921" s="1" t="s">
        <v>9788</v>
      </c>
    </row>
    <row r="922" spans="1:3" ht="15.75" customHeight="1" x14ac:dyDescent="0.25">
      <c r="A922" s="1" t="s">
        <v>1650</v>
      </c>
      <c r="B922" s="1" t="s">
        <v>9787</v>
      </c>
      <c r="C922" s="1" t="s">
        <v>8384</v>
      </c>
    </row>
    <row r="923" spans="1:3" ht="15.75" customHeight="1" x14ac:dyDescent="0.25">
      <c r="A923" s="1" t="s">
        <v>3962</v>
      </c>
      <c r="B923" s="1" t="s">
        <v>9786</v>
      </c>
      <c r="C923" s="1" t="s">
        <v>5838</v>
      </c>
    </row>
    <row r="924" spans="1:3" ht="15.75" customHeight="1" x14ac:dyDescent="0.25">
      <c r="A924" s="1" t="s">
        <v>4287</v>
      </c>
      <c r="B924" s="1" t="s">
        <v>9785</v>
      </c>
      <c r="C924" s="1" t="s">
        <v>7642</v>
      </c>
    </row>
    <row r="925" spans="1:3" ht="15.75" customHeight="1" x14ac:dyDescent="0.25">
      <c r="A925" s="1" t="s">
        <v>3064</v>
      </c>
      <c r="B925" s="1" t="s">
        <v>6014</v>
      </c>
      <c r="C925" s="1" t="s">
        <v>6568</v>
      </c>
    </row>
    <row r="926" spans="1:3" ht="15.75" customHeight="1" x14ac:dyDescent="0.25">
      <c r="A926" s="1" t="s">
        <v>1673</v>
      </c>
      <c r="B926" s="1" t="s">
        <v>9784</v>
      </c>
      <c r="C926" s="1" t="s">
        <v>9783</v>
      </c>
    </row>
    <row r="927" spans="1:3" ht="15.75" customHeight="1" x14ac:dyDescent="0.25">
      <c r="A927" s="1" t="s">
        <v>9782</v>
      </c>
      <c r="B927" s="1" t="s">
        <v>9773</v>
      </c>
      <c r="C927" s="1" t="s">
        <v>5860</v>
      </c>
    </row>
    <row r="928" spans="1:3" ht="15.75" customHeight="1" x14ac:dyDescent="0.25">
      <c r="A928" s="1" t="s">
        <v>1740</v>
      </c>
      <c r="B928" s="1" t="s">
        <v>9781</v>
      </c>
      <c r="C928" s="1" t="s">
        <v>5791</v>
      </c>
    </row>
    <row r="929" spans="1:3" ht="15.75" customHeight="1" x14ac:dyDescent="0.25">
      <c r="A929" s="1" t="s">
        <v>5315</v>
      </c>
      <c r="B929" s="1" t="s">
        <v>9780</v>
      </c>
      <c r="C929" s="1" t="s">
        <v>6288</v>
      </c>
    </row>
    <row r="930" spans="1:3" ht="15.75" customHeight="1" x14ac:dyDescent="0.25">
      <c r="A930" s="1" t="s">
        <v>1242</v>
      </c>
      <c r="B930" s="1" t="s">
        <v>9779</v>
      </c>
      <c r="C930" s="1" t="s">
        <v>5796</v>
      </c>
    </row>
    <row r="931" spans="1:3" ht="15.75" customHeight="1" x14ac:dyDescent="0.25">
      <c r="A931" s="1" t="s">
        <v>3083</v>
      </c>
      <c r="B931" s="1" t="s">
        <v>9778</v>
      </c>
      <c r="C931" s="1" t="s">
        <v>6168</v>
      </c>
    </row>
    <row r="932" spans="1:3" ht="15.75" customHeight="1" x14ac:dyDescent="0.25">
      <c r="A932" s="1" t="s">
        <v>5661</v>
      </c>
      <c r="B932" s="1" t="s">
        <v>9777</v>
      </c>
      <c r="C932" s="1" t="s">
        <v>6168</v>
      </c>
    </row>
    <row r="933" spans="1:3" ht="15.75" customHeight="1" x14ac:dyDescent="0.25">
      <c r="A933" s="1" t="s">
        <v>825</v>
      </c>
      <c r="B933" s="1" t="s">
        <v>9776</v>
      </c>
      <c r="C933" s="1" t="s">
        <v>9775</v>
      </c>
    </row>
    <row r="934" spans="1:3" ht="15.75" customHeight="1" x14ac:dyDescent="0.25">
      <c r="A934" s="1" t="s">
        <v>9774</v>
      </c>
      <c r="B934" s="1" t="s">
        <v>9773</v>
      </c>
      <c r="C934" s="1" t="s">
        <v>6575</v>
      </c>
    </row>
    <row r="935" spans="1:3" ht="15.75" customHeight="1" x14ac:dyDescent="0.25">
      <c r="A935" s="1" t="s">
        <v>4094</v>
      </c>
      <c r="B935" s="1" t="s">
        <v>9772</v>
      </c>
      <c r="C935" s="1" t="s">
        <v>7476</v>
      </c>
    </row>
    <row r="936" spans="1:3" ht="15.75" customHeight="1" x14ac:dyDescent="0.25">
      <c r="A936" s="1" t="s">
        <v>9771</v>
      </c>
      <c r="B936" s="1" t="s">
        <v>9770</v>
      </c>
      <c r="C936" s="1" t="s">
        <v>8117</v>
      </c>
    </row>
    <row r="937" spans="1:3" ht="15.75" customHeight="1" x14ac:dyDescent="0.25">
      <c r="A937" s="1" t="s">
        <v>4647</v>
      </c>
      <c r="B937" s="1" t="s">
        <v>6316</v>
      </c>
      <c r="C937" s="1" t="s">
        <v>9769</v>
      </c>
    </row>
    <row r="938" spans="1:3" ht="15.75" customHeight="1" x14ac:dyDescent="0.25">
      <c r="A938" s="1" t="s">
        <v>9768</v>
      </c>
      <c r="B938" s="1" t="s">
        <v>9767</v>
      </c>
      <c r="C938" s="1" t="s">
        <v>6530</v>
      </c>
    </row>
    <row r="939" spans="1:3" ht="15.75" customHeight="1" x14ac:dyDescent="0.25">
      <c r="A939" s="1" t="s">
        <v>973</v>
      </c>
      <c r="B939" s="1" t="s">
        <v>9766</v>
      </c>
      <c r="C939" s="1" t="s">
        <v>6959</v>
      </c>
    </row>
    <row r="940" spans="1:3" ht="15.75" customHeight="1" x14ac:dyDescent="0.25">
      <c r="A940" s="1" t="s">
        <v>3349</v>
      </c>
      <c r="B940" s="1" t="s">
        <v>9765</v>
      </c>
      <c r="C940" s="1" t="s">
        <v>6168</v>
      </c>
    </row>
    <row r="941" spans="1:3" ht="15.75" customHeight="1" x14ac:dyDescent="0.25">
      <c r="A941" s="1" t="s">
        <v>2866</v>
      </c>
      <c r="B941" s="1" t="s">
        <v>9764</v>
      </c>
      <c r="C941" s="1" t="s">
        <v>8509</v>
      </c>
    </row>
    <row r="942" spans="1:3" ht="15.75" customHeight="1" x14ac:dyDescent="0.25">
      <c r="A942" s="1" t="s">
        <v>1030</v>
      </c>
      <c r="B942" s="1" t="s">
        <v>9763</v>
      </c>
      <c r="C942" s="1" t="s">
        <v>6669</v>
      </c>
    </row>
    <row r="943" spans="1:3" ht="15.75" customHeight="1" x14ac:dyDescent="0.25">
      <c r="A943" s="1" t="s">
        <v>9762</v>
      </c>
      <c r="B943" s="1" t="s">
        <v>9761</v>
      </c>
      <c r="C943" s="1" t="s">
        <v>6486</v>
      </c>
    </row>
    <row r="944" spans="1:3" ht="15.75" customHeight="1" x14ac:dyDescent="0.25">
      <c r="A944" s="1" t="s">
        <v>304</v>
      </c>
      <c r="B944" s="1" t="s">
        <v>9760</v>
      </c>
      <c r="C944" s="1" t="s">
        <v>6653</v>
      </c>
    </row>
    <row r="945" spans="1:3" ht="15.75" customHeight="1" x14ac:dyDescent="0.25">
      <c r="A945" s="1" t="s">
        <v>9759</v>
      </c>
      <c r="B945" s="1" t="s">
        <v>9758</v>
      </c>
      <c r="C945" s="1" t="s">
        <v>7213</v>
      </c>
    </row>
    <row r="946" spans="1:3" ht="15.75" customHeight="1" x14ac:dyDescent="0.25">
      <c r="A946" s="1" t="s">
        <v>3868</v>
      </c>
      <c r="B946" s="1" t="s">
        <v>9757</v>
      </c>
      <c r="C946" s="1" t="s">
        <v>8384</v>
      </c>
    </row>
    <row r="947" spans="1:3" ht="15.75" customHeight="1" x14ac:dyDescent="0.25">
      <c r="A947" s="1" t="s">
        <v>9756</v>
      </c>
      <c r="B947" s="1" t="s">
        <v>9755</v>
      </c>
      <c r="C947" s="1" t="s">
        <v>9121</v>
      </c>
    </row>
    <row r="948" spans="1:3" ht="15.75" customHeight="1" x14ac:dyDescent="0.25">
      <c r="A948" s="1" t="s">
        <v>2195</v>
      </c>
      <c r="B948" s="1" t="s">
        <v>9754</v>
      </c>
      <c r="C948" s="1" t="s">
        <v>6535</v>
      </c>
    </row>
    <row r="949" spans="1:3" ht="15.75" customHeight="1" x14ac:dyDescent="0.25">
      <c r="A949" s="1" t="s">
        <v>4512</v>
      </c>
      <c r="B949" s="1" t="s">
        <v>9753</v>
      </c>
      <c r="C949" s="1" t="s">
        <v>6530</v>
      </c>
    </row>
    <row r="950" spans="1:3" ht="15.75" customHeight="1" x14ac:dyDescent="0.25">
      <c r="A950" s="1" t="s">
        <v>1327</v>
      </c>
      <c r="B950" s="1" t="s">
        <v>9752</v>
      </c>
      <c r="C950" s="1" t="s">
        <v>7418</v>
      </c>
    </row>
    <row r="951" spans="1:3" ht="15.75" customHeight="1" x14ac:dyDescent="0.25">
      <c r="A951" s="1" t="s">
        <v>9751</v>
      </c>
      <c r="B951" s="1" t="s">
        <v>9750</v>
      </c>
      <c r="C951" s="1" t="s">
        <v>9749</v>
      </c>
    </row>
    <row r="952" spans="1:3" ht="15.75" customHeight="1" x14ac:dyDescent="0.25">
      <c r="A952" s="1" t="s">
        <v>4192</v>
      </c>
      <c r="B952" s="1" t="s">
        <v>9219</v>
      </c>
      <c r="C952" s="1" t="s">
        <v>9748</v>
      </c>
    </row>
    <row r="953" spans="1:3" ht="15.75" customHeight="1" x14ac:dyDescent="0.25">
      <c r="A953" s="1" t="s">
        <v>9747</v>
      </c>
      <c r="B953" s="1" t="s">
        <v>9746</v>
      </c>
      <c r="C953" s="1" t="s">
        <v>9745</v>
      </c>
    </row>
    <row r="954" spans="1:3" ht="15.75" customHeight="1" x14ac:dyDescent="0.25">
      <c r="A954" s="1" t="s">
        <v>5480</v>
      </c>
      <c r="B954" s="1" t="s">
        <v>9744</v>
      </c>
      <c r="C954" s="1" t="s">
        <v>5836</v>
      </c>
    </row>
    <row r="955" spans="1:3" ht="15.75" customHeight="1" x14ac:dyDescent="0.25">
      <c r="A955" s="1" t="s">
        <v>4900</v>
      </c>
      <c r="B955" s="1" t="s">
        <v>9743</v>
      </c>
      <c r="C955" s="1" t="s">
        <v>6533</v>
      </c>
    </row>
    <row r="956" spans="1:3" ht="15.75" customHeight="1" x14ac:dyDescent="0.25">
      <c r="A956" s="1" t="s">
        <v>9742</v>
      </c>
      <c r="B956" s="1" t="s">
        <v>9741</v>
      </c>
      <c r="C956" s="1" t="s">
        <v>6963</v>
      </c>
    </row>
    <row r="957" spans="1:3" ht="15.75" customHeight="1" x14ac:dyDescent="0.25">
      <c r="A957" s="1" t="s">
        <v>9740</v>
      </c>
      <c r="B957" s="1" t="s">
        <v>9739</v>
      </c>
      <c r="C957" s="1" t="s">
        <v>6285</v>
      </c>
    </row>
    <row r="958" spans="1:3" ht="15.75" customHeight="1" x14ac:dyDescent="0.25">
      <c r="A958" s="1" t="s">
        <v>9738</v>
      </c>
      <c r="B958" s="1" t="s">
        <v>9737</v>
      </c>
      <c r="C958" s="1" t="s">
        <v>6474</v>
      </c>
    </row>
    <row r="959" spans="1:3" ht="15.75" customHeight="1" x14ac:dyDescent="0.25">
      <c r="A959" s="1" t="s">
        <v>2401</v>
      </c>
      <c r="B959" s="1" t="s">
        <v>9736</v>
      </c>
      <c r="C959" s="1" t="s">
        <v>6122</v>
      </c>
    </row>
    <row r="960" spans="1:3" ht="15.75" customHeight="1" x14ac:dyDescent="0.25">
      <c r="A960" s="1" t="s">
        <v>9735</v>
      </c>
      <c r="B960" s="1" t="s">
        <v>9734</v>
      </c>
      <c r="C960" s="1" t="s">
        <v>6122</v>
      </c>
    </row>
    <row r="961" spans="1:3" ht="15.75" customHeight="1" x14ac:dyDescent="0.25">
      <c r="A961" s="1" t="s">
        <v>3786</v>
      </c>
      <c r="B961" s="1" t="s">
        <v>8204</v>
      </c>
      <c r="C961" s="1" t="s">
        <v>9733</v>
      </c>
    </row>
    <row r="962" spans="1:3" ht="15.75" customHeight="1" x14ac:dyDescent="0.25">
      <c r="A962" s="1" t="s">
        <v>9732</v>
      </c>
      <c r="B962" s="1" t="s">
        <v>9731</v>
      </c>
      <c r="C962" s="1" t="s">
        <v>5811</v>
      </c>
    </row>
    <row r="963" spans="1:3" ht="15.75" customHeight="1" x14ac:dyDescent="0.25">
      <c r="A963" s="1" t="s">
        <v>5153</v>
      </c>
      <c r="B963" s="1" t="s">
        <v>9730</v>
      </c>
      <c r="C963" s="1" t="s">
        <v>6125</v>
      </c>
    </row>
    <row r="964" spans="1:3" ht="15.75" customHeight="1" x14ac:dyDescent="0.25">
      <c r="A964" s="1" t="s">
        <v>9729</v>
      </c>
      <c r="B964" s="1" t="s">
        <v>9728</v>
      </c>
      <c r="C964" s="1" t="s">
        <v>6468</v>
      </c>
    </row>
    <row r="965" spans="1:3" ht="15.75" customHeight="1" x14ac:dyDescent="0.25">
      <c r="A965" s="1" t="s">
        <v>3405</v>
      </c>
      <c r="B965" s="1" t="s">
        <v>6373</v>
      </c>
      <c r="C965" s="1" t="s">
        <v>9727</v>
      </c>
    </row>
    <row r="966" spans="1:3" ht="15.75" customHeight="1" x14ac:dyDescent="0.25">
      <c r="A966" s="1" t="s">
        <v>2407</v>
      </c>
      <c r="B966" s="1" t="s">
        <v>9726</v>
      </c>
      <c r="C966" s="1" t="s">
        <v>6669</v>
      </c>
    </row>
    <row r="967" spans="1:3" ht="15.75" customHeight="1" x14ac:dyDescent="0.25">
      <c r="A967" s="1" t="s">
        <v>302</v>
      </c>
      <c r="B967" s="1" t="s">
        <v>9725</v>
      </c>
      <c r="C967" s="1" t="s">
        <v>5914</v>
      </c>
    </row>
    <row r="968" spans="1:3" ht="15.75" customHeight="1" x14ac:dyDescent="0.25">
      <c r="A968" s="1" t="s">
        <v>2755</v>
      </c>
      <c r="B968" s="1" t="s">
        <v>9724</v>
      </c>
      <c r="C968" s="1" t="s">
        <v>9723</v>
      </c>
    </row>
    <row r="969" spans="1:3" ht="15.75" customHeight="1" x14ac:dyDescent="0.25">
      <c r="A969" s="1" t="s">
        <v>1793</v>
      </c>
      <c r="B969" s="1" t="s">
        <v>9722</v>
      </c>
      <c r="C969" s="1" t="s">
        <v>6640</v>
      </c>
    </row>
    <row r="970" spans="1:3" ht="15.75" customHeight="1" x14ac:dyDescent="0.25">
      <c r="A970" s="1" t="s">
        <v>2417</v>
      </c>
      <c r="B970" s="1" t="s">
        <v>9721</v>
      </c>
      <c r="C970" s="1" t="s">
        <v>9121</v>
      </c>
    </row>
    <row r="971" spans="1:3" ht="15.75" customHeight="1" x14ac:dyDescent="0.25">
      <c r="A971" s="1" t="s">
        <v>3280</v>
      </c>
      <c r="B971" s="1" t="s">
        <v>9720</v>
      </c>
      <c r="C971" s="1" t="s">
        <v>8451</v>
      </c>
    </row>
    <row r="972" spans="1:3" ht="15.75" customHeight="1" x14ac:dyDescent="0.25">
      <c r="A972" s="1" t="s">
        <v>1276</v>
      </c>
      <c r="B972" s="1" t="s">
        <v>9719</v>
      </c>
      <c r="C972" s="1" t="s">
        <v>9121</v>
      </c>
    </row>
    <row r="973" spans="1:3" ht="15.75" customHeight="1" x14ac:dyDescent="0.25">
      <c r="A973" s="1" t="s">
        <v>2132</v>
      </c>
      <c r="B973" s="1" t="s">
        <v>9718</v>
      </c>
      <c r="C973" s="1" t="s">
        <v>6750</v>
      </c>
    </row>
    <row r="974" spans="1:3" ht="15.75" customHeight="1" x14ac:dyDescent="0.25">
      <c r="A974" s="1" t="s">
        <v>9717</v>
      </c>
      <c r="B974" s="1" t="s">
        <v>9716</v>
      </c>
      <c r="C974" s="1" t="s">
        <v>9715</v>
      </c>
    </row>
    <row r="975" spans="1:3" ht="15.75" customHeight="1" x14ac:dyDescent="0.25">
      <c r="A975" s="1" t="s">
        <v>841</v>
      </c>
      <c r="B975" s="1" t="s">
        <v>9714</v>
      </c>
      <c r="C975" s="1" t="s">
        <v>9150</v>
      </c>
    </row>
    <row r="976" spans="1:3" ht="15.75" customHeight="1" x14ac:dyDescent="0.25">
      <c r="A976" s="1" t="s">
        <v>3004</v>
      </c>
      <c r="B976" s="1" t="s">
        <v>9713</v>
      </c>
      <c r="C976" s="1" t="s">
        <v>5809</v>
      </c>
    </row>
    <row r="977" spans="1:3" ht="15.75" customHeight="1" x14ac:dyDescent="0.25">
      <c r="A977" s="1" t="s">
        <v>9712</v>
      </c>
      <c r="B977" s="1" t="s">
        <v>7897</v>
      </c>
      <c r="C977" s="1" t="s">
        <v>6474</v>
      </c>
    </row>
    <row r="978" spans="1:3" ht="15.75" customHeight="1" x14ac:dyDescent="0.25">
      <c r="A978" s="1" t="s">
        <v>2079</v>
      </c>
      <c r="B978" s="1" t="s">
        <v>9711</v>
      </c>
      <c r="C978" s="1" t="s">
        <v>7070</v>
      </c>
    </row>
    <row r="979" spans="1:3" ht="15.75" customHeight="1" x14ac:dyDescent="0.25">
      <c r="A979" s="1" t="s">
        <v>2362</v>
      </c>
      <c r="B979" s="1" t="s">
        <v>9710</v>
      </c>
      <c r="C979" s="1" t="s">
        <v>5809</v>
      </c>
    </row>
    <row r="980" spans="1:3" ht="15.75" customHeight="1" x14ac:dyDescent="0.25">
      <c r="A980" s="1" t="s">
        <v>9709</v>
      </c>
      <c r="B980" s="1" t="s">
        <v>9708</v>
      </c>
      <c r="C980" s="1" t="s">
        <v>7860</v>
      </c>
    </row>
    <row r="981" spans="1:3" ht="15.75" customHeight="1" x14ac:dyDescent="0.25">
      <c r="A981" s="1" t="s">
        <v>9707</v>
      </c>
      <c r="B981" s="1" t="s">
        <v>9706</v>
      </c>
      <c r="C981" s="1" t="s">
        <v>7052</v>
      </c>
    </row>
    <row r="982" spans="1:3" ht="15.75" customHeight="1" x14ac:dyDescent="0.25">
      <c r="A982" s="1" t="s">
        <v>3735</v>
      </c>
      <c r="B982" s="1" t="s">
        <v>3733</v>
      </c>
      <c r="C982" s="1" t="s">
        <v>9705</v>
      </c>
    </row>
    <row r="983" spans="1:3" ht="15.75" customHeight="1" x14ac:dyDescent="0.25">
      <c r="A983" s="1" t="s">
        <v>9704</v>
      </c>
      <c r="B983" s="1" t="s">
        <v>9703</v>
      </c>
      <c r="C983" s="1" t="s">
        <v>9121</v>
      </c>
    </row>
    <row r="984" spans="1:3" ht="15.75" customHeight="1" x14ac:dyDescent="0.25">
      <c r="A984" s="1" t="s">
        <v>5611</v>
      </c>
      <c r="B984" s="1" t="s">
        <v>9702</v>
      </c>
      <c r="C984" s="1" t="s">
        <v>9701</v>
      </c>
    </row>
    <row r="985" spans="1:3" ht="15.75" customHeight="1" x14ac:dyDescent="0.25">
      <c r="A985" s="1" t="s">
        <v>9700</v>
      </c>
      <c r="B985" s="1" t="s">
        <v>9699</v>
      </c>
      <c r="C985" s="1" t="s">
        <v>6546</v>
      </c>
    </row>
    <row r="986" spans="1:3" ht="15.75" customHeight="1" x14ac:dyDescent="0.25">
      <c r="A986" s="1" t="s">
        <v>2916</v>
      </c>
      <c r="B986" s="1" t="s">
        <v>9698</v>
      </c>
      <c r="C986" s="1" t="s">
        <v>5824</v>
      </c>
    </row>
    <row r="987" spans="1:3" ht="15.75" customHeight="1" x14ac:dyDescent="0.25">
      <c r="A987" s="1" t="s">
        <v>4414</v>
      </c>
      <c r="B987" s="1" t="s">
        <v>9697</v>
      </c>
      <c r="C987" s="1" t="s">
        <v>6093</v>
      </c>
    </row>
    <row r="988" spans="1:3" ht="15.75" customHeight="1" x14ac:dyDescent="0.25">
      <c r="A988" s="1" t="s">
        <v>9696</v>
      </c>
      <c r="B988" s="1" t="s">
        <v>9695</v>
      </c>
      <c r="C988" s="1" t="s">
        <v>6866</v>
      </c>
    </row>
    <row r="989" spans="1:3" ht="15.75" customHeight="1" x14ac:dyDescent="0.25">
      <c r="A989" s="1" t="s">
        <v>1491</v>
      </c>
      <c r="B989" s="1" t="s">
        <v>9694</v>
      </c>
      <c r="C989" s="1" t="s">
        <v>7070</v>
      </c>
    </row>
    <row r="990" spans="1:3" ht="15.75" customHeight="1" x14ac:dyDescent="0.25">
      <c r="A990" s="1" t="s">
        <v>4005</v>
      </c>
      <c r="B990" s="1" t="s">
        <v>9693</v>
      </c>
      <c r="C990" s="1" t="s">
        <v>7189</v>
      </c>
    </row>
    <row r="991" spans="1:3" ht="15.75" customHeight="1" x14ac:dyDescent="0.25">
      <c r="A991" s="1" t="s">
        <v>9692</v>
      </c>
      <c r="B991" s="1" t="s">
        <v>9691</v>
      </c>
      <c r="C991" s="1" t="s">
        <v>6486</v>
      </c>
    </row>
    <row r="992" spans="1:3" ht="15.75" customHeight="1" x14ac:dyDescent="0.25">
      <c r="A992" s="1" t="s">
        <v>5530</v>
      </c>
      <c r="B992" s="1" t="s">
        <v>7897</v>
      </c>
      <c r="C992" s="1" t="s">
        <v>9690</v>
      </c>
    </row>
    <row r="993" spans="1:3" ht="15.75" customHeight="1" x14ac:dyDescent="0.25">
      <c r="A993" s="1" t="s">
        <v>1943</v>
      </c>
      <c r="B993" s="1" t="s">
        <v>9689</v>
      </c>
      <c r="C993" s="1" t="s">
        <v>6295</v>
      </c>
    </row>
    <row r="994" spans="1:3" ht="15.75" customHeight="1" x14ac:dyDescent="0.25">
      <c r="A994" s="1" t="s">
        <v>1000</v>
      </c>
      <c r="B994" s="1" t="s">
        <v>7919</v>
      </c>
      <c r="C994" s="1" t="s">
        <v>6956</v>
      </c>
    </row>
    <row r="995" spans="1:3" ht="15.75" customHeight="1" x14ac:dyDescent="0.25">
      <c r="A995" s="1" t="s">
        <v>9688</v>
      </c>
      <c r="B995" s="1" t="s">
        <v>9687</v>
      </c>
      <c r="C995" s="1" t="s">
        <v>9121</v>
      </c>
    </row>
    <row r="996" spans="1:3" ht="15.75" customHeight="1" x14ac:dyDescent="0.25">
      <c r="A996" s="1" t="s">
        <v>3499</v>
      </c>
      <c r="B996" s="1" t="s">
        <v>9686</v>
      </c>
      <c r="C996" s="1" t="s">
        <v>9121</v>
      </c>
    </row>
    <row r="997" spans="1:3" ht="15.75" customHeight="1" x14ac:dyDescent="0.25">
      <c r="A997" s="1" t="s">
        <v>9685</v>
      </c>
      <c r="B997" s="1" t="s">
        <v>9684</v>
      </c>
      <c r="C997" s="1" t="s">
        <v>6242</v>
      </c>
    </row>
    <row r="998" spans="1:3" ht="15.75" customHeight="1" x14ac:dyDescent="0.25">
      <c r="A998" s="1" t="s">
        <v>9683</v>
      </c>
      <c r="B998" s="1" t="s">
        <v>9682</v>
      </c>
      <c r="C998" s="1" t="s">
        <v>6963</v>
      </c>
    </row>
    <row r="999" spans="1:3" ht="15.75" customHeight="1" x14ac:dyDescent="0.25">
      <c r="A999" s="1" t="s">
        <v>5625</v>
      </c>
      <c r="B999" s="1" t="s">
        <v>7456</v>
      </c>
      <c r="C999" s="1" t="s">
        <v>9681</v>
      </c>
    </row>
    <row r="1000" spans="1:3" ht="15.75" customHeight="1" x14ac:dyDescent="0.25">
      <c r="A1000" s="1" t="s">
        <v>3774</v>
      </c>
      <c r="B1000" s="1" t="s">
        <v>9680</v>
      </c>
      <c r="C1000" s="1" t="s">
        <v>5838</v>
      </c>
    </row>
    <row r="1001" spans="1:3" ht="15.75" customHeight="1" x14ac:dyDescent="0.25">
      <c r="A1001" s="1" t="s">
        <v>3797</v>
      </c>
      <c r="B1001" s="1" t="s">
        <v>3795</v>
      </c>
      <c r="C1001" s="1" t="s">
        <v>9679</v>
      </c>
    </row>
    <row r="1002" spans="1:3" ht="15.75" customHeight="1" x14ac:dyDescent="0.25">
      <c r="A1002" s="1" t="s">
        <v>9678</v>
      </c>
      <c r="B1002" s="1" t="s">
        <v>9677</v>
      </c>
      <c r="C1002" s="1" t="s">
        <v>6242</v>
      </c>
    </row>
    <row r="1003" spans="1:3" ht="15.75" customHeight="1" x14ac:dyDescent="0.25">
      <c r="A1003" s="1" t="s">
        <v>9676</v>
      </c>
      <c r="B1003" s="1" t="s">
        <v>9675</v>
      </c>
      <c r="C1003" s="1" t="s">
        <v>6673</v>
      </c>
    </row>
    <row r="1004" spans="1:3" ht="15.75" customHeight="1" x14ac:dyDescent="0.25">
      <c r="A1004" s="1" t="s">
        <v>299</v>
      </c>
      <c r="B1004" s="1" t="s">
        <v>9674</v>
      </c>
      <c r="C1004" s="1" t="s">
        <v>6665</v>
      </c>
    </row>
    <row r="1005" spans="1:3" ht="15.75" customHeight="1" x14ac:dyDescent="0.25">
      <c r="A1005" s="1" t="s">
        <v>9673</v>
      </c>
      <c r="B1005" s="1" t="s">
        <v>9672</v>
      </c>
      <c r="C1005" s="1" t="s">
        <v>6963</v>
      </c>
    </row>
    <row r="1006" spans="1:3" ht="15.75" customHeight="1" x14ac:dyDescent="0.25">
      <c r="A1006" s="1" t="s">
        <v>9671</v>
      </c>
      <c r="B1006" s="1" t="s">
        <v>9670</v>
      </c>
      <c r="C1006" s="1" t="s">
        <v>6486</v>
      </c>
    </row>
    <row r="1007" spans="1:3" ht="15.75" customHeight="1" x14ac:dyDescent="0.25">
      <c r="A1007" s="1" t="s">
        <v>9669</v>
      </c>
      <c r="B1007" s="1" t="s">
        <v>9668</v>
      </c>
      <c r="C1007" s="1" t="s">
        <v>6905</v>
      </c>
    </row>
    <row r="1008" spans="1:3" ht="15.75" customHeight="1" x14ac:dyDescent="0.25">
      <c r="A1008" s="1" t="s">
        <v>300</v>
      </c>
      <c r="B1008" s="1" t="s">
        <v>9667</v>
      </c>
      <c r="C1008" s="1" t="s">
        <v>6653</v>
      </c>
    </row>
    <row r="1009" spans="1:3" ht="15.75" customHeight="1" x14ac:dyDescent="0.25">
      <c r="A1009" s="1" t="s">
        <v>3615</v>
      </c>
      <c r="B1009" s="1" t="s">
        <v>9666</v>
      </c>
      <c r="C1009" s="1" t="s">
        <v>6122</v>
      </c>
    </row>
    <row r="1010" spans="1:3" ht="15.75" customHeight="1" x14ac:dyDescent="0.25">
      <c r="A1010" s="1" t="s">
        <v>9665</v>
      </c>
      <c r="B1010" s="1" t="s">
        <v>9664</v>
      </c>
    </row>
    <row r="1011" spans="1:3" ht="15.75" customHeight="1" x14ac:dyDescent="0.25">
      <c r="A1011" s="1" t="s">
        <v>1882</v>
      </c>
      <c r="B1011" s="1" t="s">
        <v>9663</v>
      </c>
      <c r="C1011" s="1" t="s">
        <v>5796</v>
      </c>
    </row>
    <row r="1012" spans="1:3" ht="15.75" customHeight="1" x14ac:dyDescent="0.25">
      <c r="A1012" s="1" t="s">
        <v>9662</v>
      </c>
      <c r="B1012" s="1" t="s">
        <v>9661</v>
      </c>
      <c r="C1012" s="1" t="s">
        <v>6963</v>
      </c>
    </row>
    <row r="1013" spans="1:3" ht="15.75" customHeight="1" x14ac:dyDescent="0.25">
      <c r="A1013" s="1" t="s">
        <v>5285</v>
      </c>
      <c r="B1013" s="1" t="s">
        <v>9639</v>
      </c>
      <c r="C1013" s="1" t="s">
        <v>9660</v>
      </c>
    </row>
    <row r="1014" spans="1:3" ht="15.75" customHeight="1" x14ac:dyDescent="0.25">
      <c r="A1014" s="1" t="s">
        <v>2784</v>
      </c>
      <c r="B1014" s="1" t="s">
        <v>9659</v>
      </c>
      <c r="C1014" s="1" t="s">
        <v>6238</v>
      </c>
    </row>
    <row r="1015" spans="1:3" ht="15.75" customHeight="1" x14ac:dyDescent="0.25">
      <c r="A1015" s="1" t="s">
        <v>2571</v>
      </c>
      <c r="B1015" s="1" t="s">
        <v>9658</v>
      </c>
      <c r="C1015" s="1" t="s">
        <v>5800</v>
      </c>
    </row>
    <row r="1016" spans="1:3" ht="15.75" customHeight="1" x14ac:dyDescent="0.25">
      <c r="A1016" s="1" t="s">
        <v>9657</v>
      </c>
      <c r="B1016" s="1" t="s">
        <v>9656</v>
      </c>
      <c r="C1016" s="1" t="s">
        <v>9121</v>
      </c>
    </row>
    <row r="1017" spans="1:3" ht="15.75" customHeight="1" x14ac:dyDescent="0.25">
      <c r="A1017" s="1" t="s">
        <v>3688</v>
      </c>
      <c r="B1017" s="1" t="s">
        <v>9655</v>
      </c>
      <c r="C1017" s="1" t="s">
        <v>6319</v>
      </c>
    </row>
    <row r="1018" spans="1:3" ht="15.75" customHeight="1" x14ac:dyDescent="0.25">
      <c r="A1018" s="1" t="s">
        <v>4443</v>
      </c>
      <c r="B1018" s="1" t="s">
        <v>9654</v>
      </c>
      <c r="C1018" s="1" t="s">
        <v>6956</v>
      </c>
    </row>
    <row r="1019" spans="1:3" ht="15.75" customHeight="1" x14ac:dyDescent="0.25">
      <c r="A1019" s="1" t="s">
        <v>9653</v>
      </c>
      <c r="B1019" s="1" t="s">
        <v>9645</v>
      </c>
      <c r="C1019" s="1" t="s">
        <v>6942</v>
      </c>
    </row>
    <row r="1020" spans="1:3" ht="15.75" customHeight="1" x14ac:dyDescent="0.25">
      <c r="A1020" s="1" t="s">
        <v>4316</v>
      </c>
      <c r="B1020" s="1" t="s">
        <v>9652</v>
      </c>
      <c r="C1020" s="1" t="s">
        <v>8037</v>
      </c>
    </row>
    <row r="1021" spans="1:3" ht="15.75" customHeight="1" x14ac:dyDescent="0.25">
      <c r="A1021" s="1" t="s">
        <v>1922</v>
      </c>
      <c r="B1021" s="1" t="s">
        <v>9651</v>
      </c>
      <c r="C1021" s="1" t="s">
        <v>8091</v>
      </c>
    </row>
    <row r="1022" spans="1:3" ht="15.75" customHeight="1" x14ac:dyDescent="0.25">
      <c r="A1022" s="1" t="s">
        <v>3680</v>
      </c>
      <c r="B1022" s="1" t="s">
        <v>9650</v>
      </c>
      <c r="C1022" s="1" t="s">
        <v>6795</v>
      </c>
    </row>
    <row r="1023" spans="1:3" ht="15.75" customHeight="1" x14ac:dyDescent="0.25">
      <c r="A1023" s="1" t="s">
        <v>9649</v>
      </c>
      <c r="B1023" s="1" t="s">
        <v>9648</v>
      </c>
      <c r="C1023" s="1" t="s">
        <v>6486</v>
      </c>
    </row>
    <row r="1024" spans="1:3" ht="15.75" customHeight="1" x14ac:dyDescent="0.25">
      <c r="A1024" s="1" t="s">
        <v>5390</v>
      </c>
      <c r="B1024" s="1" t="s">
        <v>9647</v>
      </c>
      <c r="C1024" s="1" t="s">
        <v>6288</v>
      </c>
    </row>
    <row r="1025" spans="1:3" ht="15.75" customHeight="1" x14ac:dyDescent="0.25">
      <c r="A1025" s="1" t="s">
        <v>3237</v>
      </c>
      <c r="B1025" s="1" t="s">
        <v>9646</v>
      </c>
      <c r="C1025" s="1" t="s">
        <v>7503</v>
      </c>
    </row>
    <row r="1026" spans="1:3" ht="15.75" customHeight="1" x14ac:dyDescent="0.25">
      <c r="A1026" s="1" t="s">
        <v>4917</v>
      </c>
      <c r="B1026" s="1" t="s">
        <v>9645</v>
      </c>
      <c r="C1026" s="1" t="s">
        <v>6945</v>
      </c>
    </row>
    <row r="1027" spans="1:3" ht="15.75" customHeight="1" x14ac:dyDescent="0.25">
      <c r="A1027" s="1" t="s">
        <v>298</v>
      </c>
      <c r="B1027" s="1" t="s">
        <v>6752</v>
      </c>
      <c r="C1027" s="1" t="s">
        <v>9644</v>
      </c>
    </row>
    <row r="1028" spans="1:3" ht="15.75" customHeight="1" x14ac:dyDescent="0.25">
      <c r="A1028" s="1" t="s">
        <v>1950</v>
      </c>
      <c r="B1028" s="1" t="s">
        <v>9643</v>
      </c>
      <c r="C1028" s="1" t="s">
        <v>7195</v>
      </c>
    </row>
    <row r="1029" spans="1:3" ht="15.75" customHeight="1" x14ac:dyDescent="0.25">
      <c r="A1029" s="1" t="s">
        <v>4789</v>
      </c>
      <c r="B1029" s="1" t="s">
        <v>9642</v>
      </c>
      <c r="C1029" s="1" t="s">
        <v>6288</v>
      </c>
    </row>
    <row r="1030" spans="1:3" ht="15.75" customHeight="1" x14ac:dyDescent="0.25">
      <c r="A1030" s="1" t="s">
        <v>632</v>
      </c>
      <c r="B1030" s="1" t="s">
        <v>9641</v>
      </c>
      <c r="C1030" s="1" t="s">
        <v>6675</v>
      </c>
    </row>
    <row r="1031" spans="1:3" ht="15.75" customHeight="1" x14ac:dyDescent="0.25">
      <c r="A1031" s="1" t="s">
        <v>4568</v>
      </c>
      <c r="B1031" s="1" t="s">
        <v>9640</v>
      </c>
      <c r="C1031" s="1" t="s">
        <v>6725</v>
      </c>
    </row>
    <row r="1032" spans="1:3" ht="15.75" customHeight="1" x14ac:dyDescent="0.25">
      <c r="A1032" s="1" t="s">
        <v>4329</v>
      </c>
      <c r="B1032" s="1" t="s">
        <v>9639</v>
      </c>
      <c r="C1032" s="1" t="s">
        <v>9638</v>
      </c>
    </row>
    <row r="1033" spans="1:3" ht="15.75" customHeight="1" x14ac:dyDescent="0.25">
      <c r="A1033" s="1" t="s">
        <v>4902</v>
      </c>
      <c r="B1033" s="1" t="s">
        <v>9637</v>
      </c>
      <c r="C1033" s="1" t="s">
        <v>7374</v>
      </c>
    </row>
    <row r="1034" spans="1:3" ht="15.75" customHeight="1" x14ac:dyDescent="0.25">
      <c r="A1034" s="1" t="s">
        <v>4718</v>
      </c>
      <c r="B1034" s="1" t="s">
        <v>9636</v>
      </c>
      <c r="C1034" s="1" t="s">
        <v>8330</v>
      </c>
    </row>
    <row r="1035" spans="1:3" ht="15.75" customHeight="1" x14ac:dyDescent="0.25">
      <c r="A1035" s="1" t="s">
        <v>1252</v>
      </c>
      <c r="B1035" s="1" t="s">
        <v>9635</v>
      </c>
      <c r="C1035" s="1" t="s">
        <v>6242</v>
      </c>
    </row>
    <row r="1036" spans="1:3" ht="15.75" customHeight="1" x14ac:dyDescent="0.25">
      <c r="A1036" s="1" t="s">
        <v>1783</v>
      </c>
      <c r="B1036" s="1" t="s">
        <v>9634</v>
      </c>
      <c r="C1036" s="1" t="s">
        <v>9121</v>
      </c>
    </row>
    <row r="1037" spans="1:3" ht="15.75" customHeight="1" x14ac:dyDescent="0.25">
      <c r="A1037" s="1" t="s">
        <v>3666</v>
      </c>
      <c r="B1037" s="1" t="s">
        <v>9633</v>
      </c>
      <c r="C1037" s="1" t="s">
        <v>6474</v>
      </c>
    </row>
    <row r="1038" spans="1:3" ht="15.75" customHeight="1" x14ac:dyDescent="0.25">
      <c r="A1038" s="1" t="s">
        <v>9632</v>
      </c>
      <c r="B1038" s="1" t="s">
        <v>9631</v>
      </c>
      <c r="C1038" s="1" t="s">
        <v>5811</v>
      </c>
    </row>
    <row r="1039" spans="1:3" ht="15.75" customHeight="1" x14ac:dyDescent="0.25">
      <c r="A1039" s="1" t="s">
        <v>2458</v>
      </c>
      <c r="B1039" s="1" t="s">
        <v>9630</v>
      </c>
      <c r="C1039" s="1" t="s">
        <v>6956</v>
      </c>
    </row>
    <row r="1040" spans="1:3" ht="15.75" customHeight="1" x14ac:dyDescent="0.25">
      <c r="A1040" s="1" t="s">
        <v>5121</v>
      </c>
      <c r="B1040" s="1" t="s">
        <v>9629</v>
      </c>
      <c r="C1040" s="1" t="s">
        <v>9628</v>
      </c>
    </row>
    <row r="1041" spans="1:3" ht="15.75" customHeight="1" x14ac:dyDescent="0.25">
      <c r="A1041" s="1" t="s">
        <v>9627</v>
      </c>
      <c r="B1041" s="1" t="s">
        <v>9626</v>
      </c>
      <c r="C1041" s="1" t="s">
        <v>5836</v>
      </c>
    </row>
    <row r="1042" spans="1:3" ht="15.75" customHeight="1" x14ac:dyDescent="0.25">
      <c r="A1042" s="1" t="s">
        <v>2599</v>
      </c>
      <c r="B1042" s="1" t="s">
        <v>9625</v>
      </c>
      <c r="C1042" s="1" t="s">
        <v>7189</v>
      </c>
    </row>
    <row r="1043" spans="1:3" ht="15.75" customHeight="1" x14ac:dyDescent="0.25">
      <c r="A1043" s="1" t="s">
        <v>9624</v>
      </c>
      <c r="B1043" s="1" t="s">
        <v>9623</v>
      </c>
      <c r="C1043" s="1" t="s">
        <v>7043</v>
      </c>
    </row>
    <row r="1044" spans="1:3" ht="15.75" customHeight="1" x14ac:dyDescent="0.25">
      <c r="A1044" s="1" t="s">
        <v>9622</v>
      </c>
      <c r="B1044" s="1" t="s">
        <v>9621</v>
      </c>
      <c r="C1044" s="1" t="s">
        <v>6690</v>
      </c>
    </row>
    <row r="1045" spans="1:3" ht="15.75" customHeight="1" x14ac:dyDescent="0.25">
      <c r="A1045" s="1" t="s">
        <v>5082</v>
      </c>
      <c r="B1045" s="1" t="s">
        <v>9620</v>
      </c>
    </row>
    <row r="1046" spans="1:3" ht="15.75" customHeight="1" x14ac:dyDescent="0.25">
      <c r="A1046" s="1" t="s">
        <v>9619</v>
      </c>
      <c r="B1046" s="1" t="s">
        <v>9618</v>
      </c>
      <c r="C1046" s="1" t="s">
        <v>6997</v>
      </c>
    </row>
    <row r="1047" spans="1:3" ht="15.75" customHeight="1" x14ac:dyDescent="0.25">
      <c r="A1047" s="1" t="s">
        <v>9617</v>
      </c>
      <c r="B1047" s="1" t="s">
        <v>9616</v>
      </c>
      <c r="C1047" s="1" t="s">
        <v>6486</v>
      </c>
    </row>
    <row r="1048" spans="1:3" ht="15.75" customHeight="1" x14ac:dyDescent="0.25">
      <c r="A1048" s="1" t="s">
        <v>590</v>
      </c>
      <c r="B1048" s="1" t="s">
        <v>9615</v>
      </c>
      <c r="C1048" s="1" t="s">
        <v>6825</v>
      </c>
    </row>
    <row r="1049" spans="1:3" ht="15.75" customHeight="1" x14ac:dyDescent="0.25">
      <c r="A1049" s="1" t="s">
        <v>295</v>
      </c>
      <c r="B1049" s="1" t="s">
        <v>9614</v>
      </c>
      <c r="C1049" s="1" t="s">
        <v>5820</v>
      </c>
    </row>
    <row r="1050" spans="1:3" ht="15.75" customHeight="1" x14ac:dyDescent="0.25">
      <c r="A1050" s="1" t="s">
        <v>9613</v>
      </c>
      <c r="B1050" s="1" t="s">
        <v>9612</v>
      </c>
      <c r="C1050" s="1" t="s">
        <v>6468</v>
      </c>
    </row>
    <row r="1051" spans="1:3" ht="15.75" customHeight="1" x14ac:dyDescent="0.25">
      <c r="A1051" s="1" t="s">
        <v>1757</v>
      </c>
      <c r="B1051" s="1" t="s">
        <v>9611</v>
      </c>
      <c r="C1051" s="1" t="s">
        <v>6546</v>
      </c>
    </row>
    <row r="1052" spans="1:3" ht="15.75" customHeight="1" x14ac:dyDescent="0.25">
      <c r="A1052" s="1" t="s">
        <v>9610</v>
      </c>
      <c r="B1052" s="1" t="s">
        <v>9609</v>
      </c>
      <c r="C1052" s="1" t="s">
        <v>6653</v>
      </c>
    </row>
    <row r="1053" spans="1:3" ht="15.75" customHeight="1" x14ac:dyDescent="0.25">
      <c r="A1053" s="1" t="s">
        <v>3058</v>
      </c>
      <c r="B1053" s="1" t="s">
        <v>9608</v>
      </c>
      <c r="C1053" s="1" t="s">
        <v>5853</v>
      </c>
    </row>
    <row r="1054" spans="1:3" ht="15.75" customHeight="1" x14ac:dyDescent="0.25">
      <c r="A1054" s="1" t="s">
        <v>3276</v>
      </c>
      <c r="B1054" s="1" t="s">
        <v>9607</v>
      </c>
      <c r="C1054" s="1" t="s">
        <v>6626</v>
      </c>
    </row>
    <row r="1055" spans="1:3" ht="15.75" customHeight="1" x14ac:dyDescent="0.25">
      <c r="A1055" s="1" t="s">
        <v>1755</v>
      </c>
      <c r="B1055" s="1" t="s">
        <v>9606</v>
      </c>
      <c r="C1055" s="1" t="s">
        <v>7245</v>
      </c>
    </row>
    <row r="1056" spans="1:3" ht="15.75" customHeight="1" x14ac:dyDescent="0.25">
      <c r="A1056" s="1" t="s">
        <v>2290</v>
      </c>
      <c r="B1056" s="1" t="s">
        <v>9605</v>
      </c>
      <c r="C1056" s="1" t="s">
        <v>6647</v>
      </c>
    </row>
    <row r="1057" spans="1:3" ht="15.75" customHeight="1" x14ac:dyDescent="0.25">
      <c r="A1057" s="1" t="s">
        <v>4962</v>
      </c>
      <c r="B1057" s="1" t="s">
        <v>9604</v>
      </c>
      <c r="C1057" s="1" t="s">
        <v>8311</v>
      </c>
    </row>
    <row r="1058" spans="1:3" ht="15.75" customHeight="1" x14ac:dyDescent="0.25">
      <c r="A1058" s="1" t="s">
        <v>5225</v>
      </c>
      <c r="B1058" s="1" t="s">
        <v>9603</v>
      </c>
      <c r="C1058" s="1" t="s">
        <v>6319</v>
      </c>
    </row>
    <row r="1059" spans="1:3" ht="15.75" customHeight="1" x14ac:dyDescent="0.25">
      <c r="A1059" s="1" t="s">
        <v>9602</v>
      </c>
      <c r="B1059" s="1" t="s">
        <v>9601</v>
      </c>
      <c r="C1059" s="1" t="s">
        <v>9121</v>
      </c>
    </row>
    <row r="1060" spans="1:3" ht="15.75" customHeight="1" x14ac:dyDescent="0.25">
      <c r="A1060" s="1" t="s">
        <v>1894</v>
      </c>
      <c r="B1060" s="1" t="s">
        <v>9600</v>
      </c>
      <c r="C1060" s="1" t="s">
        <v>5836</v>
      </c>
    </row>
    <row r="1061" spans="1:3" ht="15.75" customHeight="1" x14ac:dyDescent="0.25">
      <c r="A1061" s="1" t="s">
        <v>5049</v>
      </c>
      <c r="B1061" s="1" t="s">
        <v>9599</v>
      </c>
      <c r="C1061" s="1" t="s">
        <v>6468</v>
      </c>
    </row>
    <row r="1062" spans="1:3" ht="15.75" customHeight="1" x14ac:dyDescent="0.25">
      <c r="A1062" s="1" t="s">
        <v>9598</v>
      </c>
      <c r="B1062" s="1" t="s">
        <v>9597</v>
      </c>
      <c r="C1062" s="1" t="s">
        <v>7476</v>
      </c>
    </row>
    <row r="1063" spans="1:3" ht="15.75" customHeight="1" x14ac:dyDescent="0.25">
      <c r="A1063" s="1" t="s">
        <v>9596</v>
      </c>
      <c r="B1063" s="1" t="s">
        <v>9595</v>
      </c>
      <c r="C1063" s="1" t="s">
        <v>9594</v>
      </c>
    </row>
    <row r="1064" spans="1:3" ht="15.75" customHeight="1" x14ac:dyDescent="0.25">
      <c r="A1064" s="1" t="s">
        <v>9593</v>
      </c>
      <c r="B1064" s="1" t="s">
        <v>9592</v>
      </c>
      <c r="C1064" s="1" t="s">
        <v>8512</v>
      </c>
    </row>
    <row r="1065" spans="1:3" ht="15.75" customHeight="1" x14ac:dyDescent="0.25">
      <c r="A1065" s="1" t="s">
        <v>9591</v>
      </c>
      <c r="B1065" s="1" t="s">
        <v>9590</v>
      </c>
      <c r="C1065" s="1" t="s">
        <v>6260</v>
      </c>
    </row>
    <row r="1066" spans="1:3" ht="15.75" customHeight="1" x14ac:dyDescent="0.25">
      <c r="A1066" s="1" t="s">
        <v>4447</v>
      </c>
      <c r="B1066" s="1" t="s">
        <v>9589</v>
      </c>
      <c r="C1066" s="1" t="s">
        <v>6767</v>
      </c>
    </row>
    <row r="1067" spans="1:3" ht="15.75" customHeight="1" x14ac:dyDescent="0.25">
      <c r="A1067" s="1" t="s">
        <v>9588</v>
      </c>
      <c r="B1067" s="1" t="s">
        <v>9587</v>
      </c>
      <c r="C1067" s="1" t="s">
        <v>5781</v>
      </c>
    </row>
    <row r="1068" spans="1:3" ht="15.75" customHeight="1" x14ac:dyDescent="0.25">
      <c r="A1068" s="1" t="s">
        <v>9586</v>
      </c>
      <c r="B1068" s="1" t="s">
        <v>9585</v>
      </c>
      <c r="C1068" s="1" t="s">
        <v>6168</v>
      </c>
    </row>
    <row r="1069" spans="1:3" ht="15.75" customHeight="1" x14ac:dyDescent="0.25">
      <c r="A1069" s="1" t="s">
        <v>2684</v>
      </c>
      <c r="B1069" s="1" t="s">
        <v>9584</v>
      </c>
      <c r="C1069" s="1" t="s">
        <v>6640</v>
      </c>
    </row>
    <row r="1070" spans="1:3" ht="15.75" customHeight="1" x14ac:dyDescent="0.25">
      <c r="A1070" s="1" t="s">
        <v>9583</v>
      </c>
      <c r="B1070" s="1" t="s">
        <v>9582</v>
      </c>
      <c r="C1070" s="1" t="s">
        <v>5991</v>
      </c>
    </row>
    <row r="1071" spans="1:3" ht="15.75" customHeight="1" x14ac:dyDescent="0.25">
      <c r="A1071" s="1" t="s">
        <v>293</v>
      </c>
      <c r="B1071" s="1" t="s">
        <v>9581</v>
      </c>
      <c r="C1071" s="1" t="s">
        <v>9580</v>
      </c>
    </row>
    <row r="1072" spans="1:3" ht="15.75" customHeight="1" x14ac:dyDescent="0.25">
      <c r="A1072" s="1" t="s">
        <v>5343</v>
      </c>
      <c r="B1072" s="1" t="s">
        <v>8896</v>
      </c>
      <c r="C1072" s="1" t="s">
        <v>5853</v>
      </c>
    </row>
    <row r="1073" spans="1:3" ht="15.75" customHeight="1" x14ac:dyDescent="0.25">
      <c r="A1073" s="1" t="s">
        <v>290</v>
      </c>
      <c r="B1073" s="1" t="s">
        <v>9579</v>
      </c>
      <c r="C1073" s="1" t="s">
        <v>5796</v>
      </c>
    </row>
    <row r="1074" spans="1:3" ht="15.75" customHeight="1" x14ac:dyDescent="0.25">
      <c r="A1074" s="1" t="s">
        <v>288</v>
      </c>
      <c r="B1074" s="1" t="s">
        <v>8930</v>
      </c>
      <c r="C1074" s="1" t="s">
        <v>9578</v>
      </c>
    </row>
    <row r="1075" spans="1:3" ht="15.75" customHeight="1" x14ac:dyDescent="0.25">
      <c r="A1075" s="1" t="s">
        <v>286</v>
      </c>
      <c r="B1075" s="1" t="s">
        <v>9577</v>
      </c>
      <c r="C1075" s="1" t="s">
        <v>9576</v>
      </c>
    </row>
    <row r="1076" spans="1:3" ht="15.75" customHeight="1" x14ac:dyDescent="0.25">
      <c r="A1076" s="1" t="s">
        <v>9575</v>
      </c>
      <c r="B1076" s="1" t="s">
        <v>9574</v>
      </c>
      <c r="C1076" s="1" t="s">
        <v>9121</v>
      </c>
    </row>
    <row r="1077" spans="1:3" ht="15.75" customHeight="1" x14ac:dyDescent="0.25">
      <c r="A1077" s="1" t="s">
        <v>2539</v>
      </c>
      <c r="B1077" s="1" t="s">
        <v>9573</v>
      </c>
      <c r="C1077" s="1" t="s">
        <v>8509</v>
      </c>
    </row>
    <row r="1078" spans="1:3" ht="15.75" customHeight="1" x14ac:dyDescent="0.25">
      <c r="A1078" s="1" t="s">
        <v>3906</v>
      </c>
      <c r="B1078" s="1" t="s">
        <v>9572</v>
      </c>
      <c r="C1078" s="1" t="s">
        <v>6093</v>
      </c>
    </row>
    <row r="1079" spans="1:3" ht="15.75" customHeight="1" x14ac:dyDescent="0.25">
      <c r="A1079" s="1" t="s">
        <v>4150</v>
      </c>
      <c r="B1079" s="1" t="s">
        <v>9571</v>
      </c>
      <c r="C1079" s="1" t="s">
        <v>5781</v>
      </c>
    </row>
    <row r="1080" spans="1:3" ht="15.75" customHeight="1" x14ac:dyDescent="0.25">
      <c r="A1080" s="1" t="s">
        <v>5465</v>
      </c>
      <c r="B1080" s="1" t="s">
        <v>9570</v>
      </c>
      <c r="C1080" s="1" t="s">
        <v>6669</v>
      </c>
    </row>
    <row r="1081" spans="1:3" ht="15.75" customHeight="1" x14ac:dyDescent="0.25">
      <c r="A1081" s="1" t="s">
        <v>4951</v>
      </c>
      <c r="B1081" s="1" t="s">
        <v>9569</v>
      </c>
      <c r="C1081" s="1" t="s">
        <v>9121</v>
      </c>
    </row>
    <row r="1082" spans="1:3" ht="15.75" customHeight="1" x14ac:dyDescent="0.25">
      <c r="A1082" s="1" t="s">
        <v>9568</v>
      </c>
      <c r="B1082" s="1" t="s">
        <v>9567</v>
      </c>
      <c r="C1082" s="1" t="s">
        <v>6997</v>
      </c>
    </row>
    <row r="1083" spans="1:3" ht="15.75" customHeight="1" x14ac:dyDescent="0.25">
      <c r="A1083" s="1" t="s">
        <v>3463</v>
      </c>
      <c r="B1083" s="1" t="s">
        <v>9566</v>
      </c>
      <c r="C1083" s="1" t="s">
        <v>6784</v>
      </c>
    </row>
    <row r="1084" spans="1:3" ht="15.75" customHeight="1" x14ac:dyDescent="0.25">
      <c r="A1084" s="1" t="s">
        <v>9565</v>
      </c>
      <c r="B1084" s="1" t="s">
        <v>9564</v>
      </c>
      <c r="C1084" s="1" t="s">
        <v>9121</v>
      </c>
    </row>
    <row r="1085" spans="1:3" ht="15.75" customHeight="1" x14ac:dyDescent="0.25">
      <c r="A1085" s="1" t="s">
        <v>9563</v>
      </c>
      <c r="B1085" s="1" t="s">
        <v>9562</v>
      </c>
      <c r="C1085" s="1" t="s">
        <v>6242</v>
      </c>
    </row>
    <row r="1086" spans="1:3" ht="15.75" customHeight="1" x14ac:dyDescent="0.25">
      <c r="A1086" s="1" t="s">
        <v>9561</v>
      </c>
      <c r="B1086" s="1" t="s">
        <v>9560</v>
      </c>
      <c r="C1086" s="1" t="s">
        <v>5853</v>
      </c>
    </row>
    <row r="1087" spans="1:3" ht="15.75" customHeight="1" x14ac:dyDescent="0.25">
      <c r="A1087" s="1" t="s">
        <v>1699</v>
      </c>
      <c r="B1087" s="1" t="s">
        <v>9559</v>
      </c>
      <c r="C1087" s="1" t="s">
        <v>5853</v>
      </c>
    </row>
    <row r="1088" spans="1:3" ht="15.75" customHeight="1" x14ac:dyDescent="0.25">
      <c r="A1088" s="1" t="s">
        <v>3532</v>
      </c>
      <c r="B1088" s="1" t="s">
        <v>9558</v>
      </c>
      <c r="C1088" s="1" t="s">
        <v>7189</v>
      </c>
    </row>
    <row r="1089" spans="1:3" ht="15.75" customHeight="1" x14ac:dyDescent="0.25">
      <c r="A1089" s="1" t="s">
        <v>9557</v>
      </c>
      <c r="B1089" s="1" t="s">
        <v>9556</v>
      </c>
      <c r="C1089" s="1" t="s">
        <v>6795</v>
      </c>
    </row>
    <row r="1090" spans="1:3" ht="15.75" customHeight="1" x14ac:dyDescent="0.25">
      <c r="A1090" s="1" t="s">
        <v>284</v>
      </c>
      <c r="B1090" s="1" t="s">
        <v>9555</v>
      </c>
      <c r="C1090" s="1" t="s">
        <v>6797</v>
      </c>
    </row>
    <row r="1091" spans="1:3" ht="15.75" customHeight="1" x14ac:dyDescent="0.25">
      <c r="A1091" s="1" t="s">
        <v>9554</v>
      </c>
      <c r="B1091" s="1" t="s">
        <v>9553</v>
      </c>
      <c r="C1091" s="1" t="s">
        <v>6937</v>
      </c>
    </row>
    <row r="1092" spans="1:3" ht="15.75" customHeight="1" x14ac:dyDescent="0.25">
      <c r="A1092" s="1" t="s">
        <v>282</v>
      </c>
      <c r="B1092" s="1" t="s">
        <v>9552</v>
      </c>
      <c r="C1092" s="1" t="s">
        <v>6667</v>
      </c>
    </row>
    <row r="1093" spans="1:3" ht="15.75" customHeight="1" x14ac:dyDescent="0.25">
      <c r="A1093" s="1" t="s">
        <v>5384</v>
      </c>
      <c r="B1093" s="1" t="s">
        <v>9551</v>
      </c>
      <c r="C1093" s="1" t="s">
        <v>5800</v>
      </c>
    </row>
    <row r="1094" spans="1:3" ht="15.75" customHeight="1" x14ac:dyDescent="0.25">
      <c r="A1094" s="1" t="s">
        <v>5149</v>
      </c>
      <c r="B1094" s="1" t="s">
        <v>9550</v>
      </c>
      <c r="C1094" s="1" t="s">
        <v>5796</v>
      </c>
    </row>
    <row r="1095" spans="1:3" ht="15.75" customHeight="1" x14ac:dyDescent="0.25">
      <c r="A1095" s="1" t="s">
        <v>9549</v>
      </c>
      <c r="B1095" s="1" t="s">
        <v>7341</v>
      </c>
      <c r="C1095" s="1" t="s">
        <v>9548</v>
      </c>
    </row>
    <row r="1096" spans="1:3" ht="15.75" customHeight="1" x14ac:dyDescent="0.25">
      <c r="A1096" s="1" t="s">
        <v>2370</v>
      </c>
      <c r="B1096" s="1" t="s">
        <v>9547</v>
      </c>
      <c r="C1096" s="1" t="s">
        <v>6748</v>
      </c>
    </row>
    <row r="1097" spans="1:3" ht="15.75" customHeight="1" x14ac:dyDescent="0.25">
      <c r="A1097" s="1" t="s">
        <v>5194</v>
      </c>
      <c r="B1097" s="1" t="s">
        <v>9546</v>
      </c>
      <c r="C1097" s="1" t="s">
        <v>5796</v>
      </c>
    </row>
    <row r="1098" spans="1:3" ht="15.75" customHeight="1" x14ac:dyDescent="0.25">
      <c r="A1098" s="1" t="s">
        <v>904</v>
      </c>
      <c r="B1098" s="1" t="s">
        <v>9545</v>
      </c>
      <c r="C1098" s="1" t="s">
        <v>6675</v>
      </c>
    </row>
    <row r="1099" spans="1:3" ht="15.75" customHeight="1" x14ac:dyDescent="0.25">
      <c r="A1099" s="1" t="s">
        <v>621</v>
      </c>
      <c r="B1099" s="1" t="s">
        <v>9544</v>
      </c>
      <c r="C1099" s="1" t="s">
        <v>6640</v>
      </c>
    </row>
    <row r="1100" spans="1:3" ht="15.75" customHeight="1" x14ac:dyDescent="0.25">
      <c r="A1100" s="1" t="s">
        <v>9543</v>
      </c>
      <c r="B1100" s="1" t="s">
        <v>9542</v>
      </c>
      <c r="C1100" s="1" t="s">
        <v>5781</v>
      </c>
    </row>
    <row r="1101" spans="1:3" ht="15.75" customHeight="1" x14ac:dyDescent="0.25">
      <c r="A1101" s="1" t="s">
        <v>2227</v>
      </c>
      <c r="B1101" s="1" t="s">
        <v>9541</v>
      </c>
      <c r="C1101" s="1" t="s">
        <v>9540</v>
      </c>
    </row>
    <row r="1102" spans="1:3" ht="15.75" customHeight="1" x14ac:dyDescent="0.25">
      <c r="A1102" s="1" t="s">
        <v>9539</v>
      </c>
      <c r="B1102" s="1" t="s">
        <v>9538</v>
      </c>
      <c r="C1102" s="1" t="s">
        <v>9121</v>
      </c>
    </row>
    <row r="1103" spans="1:3" ht="15.75" customHeight="1" x14ac:dyDescent="0.25">
      <c r="A1103" s="1" t="s">
        <v>279</v>
      </c>
      <c r="B1103" s="1" t="s">
        <v>9537</v>
      </c>
      <c r="C1103" s="1" t="s">
        <v>5796</v>
      </c>
    </row>
    <row r="1104" spans="1:3" ht="15.75" customHeight="1" x14ac:dyDescent="0.25">
      <c r="A1104" s="1" t="s">
        <v>9536</v>
      </c>
      <c r="B1104" s="1" t="s">
        <v>9535</v>
      </c>
      <c r="C1104" s="1" t="s">
        <v>5853</v>
      </c>
    </row>
    <row r="1105" spans="1:3" ht="15.75" customHeight="1" x14ac:dyDescent="0.25">
      <c r="A1105" s="1" t="s">
        <v>9534</v>
      </c>
      <c r="B1105" s="1" t="s">
        <v>9533</v>
      </c>
      <c r="C1105" s="1" t="s">
        <v>6797</v>
      </c>
    </row>
    <row r="1106" spans="1:3" ht="15.75" customHeight="1" x14ac:dyDescent="0.25">
      <c r="A1106" s="1" t="s">
        <v>1557</v>
      </c>
      <c r="B1106" s="1" t="s">
        <v>9532</v>
      </c>
      <c r="C1106" s="1" t="s">
        <v>7471</v>
      </c>
    </row>
    <row r="1107" spans="1:3" ht="15.75" customHeight="1" x14ac:dyDescent="0.25">
      <c r="A1107" s="1" t="s">
        <v>9531</v>
      </c>
      <c r="B1107" s="1" t="s">
        <v>9530</v>
      </c>
      <c r="C1107" s="1" t="s">
        <v>6486</v>
      </c>
    </row>
    <row r="1108" spans="1:3" ht="15.75" customHeight="1" x14ac:dyDescent="0.25">
      <c r="A1108" s="1" t="s">
        <v>2948</v>
      </c>
      <c r="B1108" s="1" t="s">
        <v>9529</v>
      </c>
      <c r="C1108" s="1" t="s">
        <v>8330</v>
      </c>
    </row>
    <row r="1109" spans="1:3" ht="15.75" customHeight="1" x14ac:dyDescent="0.25">
      <c r="A1109" s="1" t="s">
        <v>5010</v>
      </c>
      <c r="B1109" s="1" t="s">
        <v>9528</v>
      </c>
      <c r="C1109" s="1" t="s">
        <v>9527</v>
      </c>
    </row>
    <row r="1110" spans="1:3" ht="15.75" customHeight="1" x14ac:dyDescent="0.25">
      <c r="A1110" s="1" t="s">
        <v>9526</v>
      </c>
      <c r="B1110" s="1" t="s">
        <v>9525</v>
      </c>
      <c r="C1110" s="1" t="s">
        <v>6797</v>
      </c>
    </row>
    <row r="1111" spans="1:3" ht="15.75" customHeight="1" x14ac:dyDescent="0.25">
      <c r="A1111" s="1" t="s">
        <v>1254</v>
      </c>
      <c r="B1111" s="1" t="s">
        <v>9524</v>
      </c>
      <c r="C1111" s="1" t="s">
        <v>6942</v>
      </c>
    </row>
    <row r="1112" spans="1:3" ht="15.75" customHeight="1" x14ac:dyDescent="0.25">
      <c r="A1112" s="1" t="s">
        <v>9523</v>
      </c>
      <c r="B1112" s="1" t="s">
        <v>9522</v>
      </c>
    </row>
    <row r="1113" spans="1:3" ht="15.75" customHeight="1" x14ac:dyDescent="0.25">
      <c r="A1113" s="1" t="s">
        <v>9521</v>
      </c>
      <c r="B1113" s="1" t="s">
        <v>9520</v>
      </c>
      <c r="C1113" s="1" t="s">
        <v>5991</v>
      </c>
    </row>
    <row r="1114" spans="1:3" ht="15.75" customHeight="1" x14ac:dyDescent="0.25">
      <c r="A1114" s="1" t="s">
        <v>9519</v>
      </c>
      <c r="B1114" s="1" t="s">
        <v>9507</v>
      </c>
      <c r="C1114" s="1" t="s">
        <v>9518</v>
      </c>
    </row>
    <row r="1115" spans="1:3" ht="15.75" customHeight="1" x14ac:dyDescent="0.25">
      <c r="A1115" s="1" t="s">
        <v>9517</v>
      </c>
      <c r="B1115" s="1" t="s">
        <v>9516</v>
      </c>
      <c r="C1115" s="1" t="s">
        <v>6963</v>
      </c>
    </row>
    <row r="1116" spans="1:3" ht="15.75" customHeight="1" x14ac:dyDescent="0.25">
      <c r="A1116" s="1" t="s">
        <v>3233</v>
      </c>
      <c r="B1116" s="1" t="s">
        <v>9515</v>
      </c>
      <c r="C1116" s="1" t="s">
        <v>9514</v>
      </c>
    </row>
    <row r="1117" spans="1:3" ht="15.75" customHeight="1" x14ac:dyDescent="0.25">
      <c r="A1117" s="1" t="s">
        <v>3412</v>
      </c>
      <c r="B1117" s="1" t="s">
        <v>9513</v>
      </c>
      <c r="C1117" s="1" t="s">
        <v>6260</v>
      </c>
    </row>
    <row r="1118" spans="1:3" ht="15.75" customHeight="1" x14ac:dyDescent="0.25">
      <c r="A1118" s="1" t="s">
        <v>9512</v>
      </c>
      <c r="B1118" s="1" t="s">
        <v>9511</v>
      </c>
      <c r="C1118" s="1" t="s">
        <v>9121</v>
      </c>
    </row>
    <row r="1119" spans="1:3" ht="15.75" customHeight="1" x14ac:dyDescent="0.25">
      <c r="A1119" s="1" t="s">
        <v>9510</v>
      </c>
      <c r="B1119" s="1" t="s">
        <v>9509</v>
      </c>
      <c r="C1119" s="1" t="s">
        <v>6486</v>
      </c>
    </row>
    <row r="1120" spans="1:3" ht="15.75" customHeight="1" x14ac:dyDescent="0.25">
      <c r="A1120" s="1" t="s">
        <v>9508</v>
      </c>
      <c r="B1120" s="1" t="s">
        <v>9507</v>
      </c>
      <c r="C1120" s="1" t="s">
        <v>9506</v>
      </c>
    </row>
    <row r="1121" spans="1:3" ht="15.75" customHeight="1" x14ac:dyDescent="0.25">
      <c r="A1121" s="1" t="s">
        <v>2388</v>
      </c>
      <c r="B1121" s="1" t="s">
        <v>9505</v>
      </c>
      <c r="C1121" s="1" t="s">
        <v>6653</v>
      </c>
    </row>
    <row r="1122" spans="1:3" ht="15.75" customHeight="1" x14ac:dyDescent="0.25">
      <c r="A1122" s="1" t="s">
        <v>9504</v>
      </c>
      <c r="B1122" s="1" t="s">
        <v>9503</v>
      </c>
      <c r="C1122" s="1" t="s">
        <v>6242</v>
      </c>
    </row>
    <row r="1123" spans="1:3" ht="15.75" customHeight="1" x14ac:dyDescent="0.25">
      <c r="A1123" s="1" t="s">
        <v>5008</v>
      </c>
      <c r="B1123" s="1" t="s">
        <v>9502</v>
      </c>
      <c r="C1123" s="1" t="s">
        <v>6168</v>
      </c>
    </row>
    <row r="1124" spans="1:3" ht="15.75" customHeight="1" x14ac:dyDescent="0.25">
      <c r="A1124" s="1" t="s">
        <v>277</v>
      </c>
      <c r="B1124" s="1" t="s">
        <v>9501</v>
      </c>
      <c r="C1124" s="1" t="s">
        <v>9500</v>
      </c>
    </row>
    <row r="1125" spans="1:3" ht="15.75" customHeight="1" x14ac:dyDescent="0.25">
      <c r="A1125" s="1" t="s">
        <v>1662</v>
      </c>
      <c r="B1125" s="1" t="s">
        <v>9499</v>
      </c>
      <c r="C1125" s="1" t="s">
        <v>5824</v>
      </c>
    </row>
    <row r="1126" spans="1:3" ht="15.75" customHeight="1" x14ac:dyDescent="0.25">
      <c r="A1126" s="1" t="s">
        <v>9498</v>
      </c>
      <c r="B1126" s="1" t="s">
        <v>9497</v>
      </c>
      <c r="C1126" s="1" t="s">
        <v>6486</v>
      </c>
    </row>
    <row r="1127" spans="1:3" ht="15.75" customHeight="1" x14ac:dyDescent="0.25">
      <c r="A1127" s="1" t="s">
        <v>275</v>
      </c>
      <c r="B1127" s="1" t="s">
        <v>9496</v>
      </c>
      <c r="C1127" s="1" t="s">
        <v>6797</v>
      </c>
    </row>
    <row r="1128" spans="1:3" ht="15.75" customHeight="1" x14ac:dyDescent="0.25">
      <c r="A1128" s="1" t="s">
        <v>9495</v>
      </c>
      <c r="B1128" s="1" t="s">
        <v>9494</v>
      </c>
      <c r="C1128" s="1" t="s">
        <v>7374</v>
      </c>
    </row>
    <row r="1129" spans="1:3" ht="15.75" customHeight="1" x14ac:dyDescent="0.25">
      <c r="A1129" s="1" t="s">
        <v>4114</v>
      </c>
      <c r="B1129" s="1" t="s">
        <v>9493</v>
      </c>
      <c r="C1129" s="1" t="s">
        <v>5796</v>
      </c>
    </row>
    <row r="1130" spans="1:3" ht="15.75" customHeight="1" x14ac:dyDescent="0.25">
      <c r="A1130" s="1" t="s">
        <v>9492</v>
      </c>
      <c r="B1130" s="1" t="s">
        <v>9491</v>
      </c>
      <c r="C1130" s="1" t="s">
        <v>6640</v>
      </c>
    </row>
    <row r="1131" spans="1:3" ht="15.75" customHeight="1" x14ac:dyDescent="0.25">
      <c r="A1131" s="1" t="s">
        <v>2502</v>
      </c>
      <c r="B1131" s="1" t="s">
        <v>9490</v>
      </c>
      <c r="C1131" s="1" t="s">
        <v>5796</v>
      </c>
    </row>
    <row r="1132" spans="1:3" ht="15.75" customHeight="1" x14ac:dyDescent="0.25">
      <c r="A1132" s="1" t="s">
        <v>3179</v>
      </c>
      <c r="B1132" s="1" t="s">
        <v>9489</v>
      </c>
      <c r="C1132" s="1" t="s">
        <v>6474</v>
      </c>
    </row>
    <row r="1133" spans="1:3" ht="15.75" customHeight="1" x14ac:dyDescent="0.25">
      <c r="A1133" s="1" t="s">
        <v>3927</v>
      </c>
      <c r="B1133" s="1" t="s">
        <v>6147</v>
      </c>
      <c r="C1133" s="1" t="s">
        <v>5824</v>
      </c>
    </row>
    <row r="1134" spans="1:3" ht="15.75" customHeight="1" x14ac:dyDescent="0.25">
      <c r="A1134" s="1" t="s">
        <v>3984</v>
      </c>
      <c r="B1134" s="1" t="s">
        <v>9488</v>
      </c>
      <c r="C1134" s="1" t="s">
        <v>7070</v>
      </c>
    </row>
    <row r="1135" spans="1:3" ht="15.75" customHeight="1" x14ac:dyDescent="0.25">
      <c r="A1135" s="1" t="s">
        <v>4731</v>
      </c>
      <c r="B1135" s="1" t="s">
        <v>9487</v>
      </c>
      <c r="C1135" s="1" t="s">
        <v>5836</v>
      </c>
    </row>
    <row r="1136" spans="1:3" ht="15.75" customHeight="1" x14ac:dyDescent="0.25">
      <c r="A1136" s="1" t="s">
        <v>907</v>
      </c>
      <c r="B1136" s="1" t="s">
        <v>9486</v>
      </c>
      <c r="C1136" s="1" t="s">
        <v>6640</v>
      </c>
    </row>
    <row r="1137" spans="1:3" ht="15.75" customHeight="1" x14ac:dyDescent="0.25">
      <c r="A1137" s="1" t="s">
        <v>9485</v>
      </c>
      <c r="B1137" s="1" t="s">
        <v>9484</v>
      </c>
      <c r="C1137" s="1" t="s">
        <v>6168</v>
      </c>
    </row>
    <row r="1138" spans="1:3" ht="15.75" customHeight="1" x14ac:dyDescent="0.25">
      <c r="A1138" s="1" t="s">
        <v>270</v>
      </c>
      <c r="B1138" s="1" t="s">
        <v>6917</v>
      </c>
      <c r="C1138" s="1" t="s">
        <v>9483</v>
      </c>
    </row>
    <row r="1139" spans="1:3" ht="15.75" customHeight="1" x14ac:dyDescent="0.25">
      <c r="A1139" s="1" t="s">
        <v>9482</v>
      </c>
      <c r="B1139" s="1" t="s">
        <v>9481</v>
      </c>
      <c r="C1139" s="1" t="s">
        <v>6242</v>
      </c>
    </row>
    <row r="1140" spans="1:3" ht="15.75" customHeight="1" x14ac:dyDescent="0.25">
      <c r="A1140" s="1" t="s">
        <v>485</v>
      </c>
      <c r="B1140" s="1" t="s">
        <v>9480</v>
      </c>
      <c r="C1140" s="1" t="s">
        <v>9479</v>
      </c>
    </row>
    <row r="1141" spans="1:3" ht="15.75" customHeight="1" x14ac:dyDescent="0.25">
      <c r="A1141" s="1" t="s">
        <v>9478</v>
      </c>
      <c r="B1141" s="1" t="s">
        <v>9477</v>
      </c>
      <c r="C1141" s="1" t="s">
        <v>9476</v>
      </c>
    </row>
    <row r="1142" spans="1:3" ht="15.75" customHeight="1" x14ac:dyDescent="0.25">
      <c r="A1142" s="1" t="s">
        <v>1067</v>
      </c>
      <c r="B1142" s="1" t="s">
        <v>9475</v>
      </c>
      <c r="C1142" s="1" t="s">
        <v>6242</v>
      </c>
    </row>
    <row r="1143" spans="1:3" ht="15.75" customHeight="1" x14ac:dyDescent="0.25">
      <c r="A1143" s="1" t="s">
        <v>1475</v>
      </c>
      <c r="B1143" s="1" t="s">
        <v>9474</v>
      </c>
      <c r="C1143" s="1" t="s">
        <v>7245</v>
      </c>
    </row>
    <row r="1144" spans="1:3" ht="15.75" customHeight="1" x14ac:dyDescent="0.25">
      <c r="A1144" s="1" t="s">
        <v>9473</v>
      </c>
      <c r="B1144" s="1" t="s">
        <v>9472</v>
      </c>
      <c r="C1144" s="1" t="s">
        <v>5789</v>
      </c>
    </row>
    <row r="1145" spans="1:3" ht="15.75" customHeight="1" x14ac:dyDescent="0.25">
      <c r="A1145" s="1" t="s">
        <v>1703</v>
      </c>
      <c r="B1145" s="1" t="s">
        <v>9471</v>
      </c>
      <c r="C1145" s="1" t="s">
        <v>6093</v>
      </c>
    </row>
    <row r="1146" spans="1:3" ht="15.75" customHeight="1" x14ac:dyDescent="0.25">
      <c r="A1146" s="1" t="s">
        <v>4391</v>
      </c>
      <c r="B1146" s="1" t="s">
        <v>9470</v>
      </c>
      <c r="C1146" s="1" t="s">
        <v>6669</v>
      </c>
    </row>
    <row r="1147" spans="1:3" ht="15.75" customHeight="1" x14ac:dyDescent="0.25">
      <c r="A1147" s="1" t="s">
        <v>9469</v>
      </c>
      <c r="B1147" s="1" t="s">
        <v>9468</v>
      </c>
      <c r="C1147" s="1" t="s">
        <v>9121</v>
      </c>
    </row>
    <row r="1148" spans="1:3" ht="15.75" customHeight="1" x14ac:dyDescent="0.25">
      <c r="A1148" s="1" t="s">
        <v>2498</v>
      </c>
      <c r="B1148" s="1" t="s">
        <v>9467</v>
      </c>
      <c r="C1148" s="1" t="s">
        <v>6242</v>
      </c>
    </row>
    <row r="1149" spans="1:3" ht="15.75" customHeight="1" x14ac:dyDescent="0.25">
      <c r="A1149" s="1" t="s">
        <v>9466</v>
      </c>
      <c r="B1149" s="1" t="s">
        <v>9465</v>
      </c>
      <c r="C1149" s="1" t="s">
        <v>7642</v>
      </c>
    </row>
    <row r="1150" spans="1:3" ht="15.75" customHeight="1" x14ac:dyDescent="0.25">
      <c r="A1150" s="1" t="s">
        <v>1537</v>
      </c>
      <c r="B1150" s="1" t="s">
        <v>9464</v>
      </c>
      <c r="C1150" s="1" t="s">
        <v>5853</v>
      </c>
    </row>
    <row r="1151" spans="1:3" ht="15.75" customHeight="1" x14ac:dyDescent="0.25">
      <c r="A1151" s="1" t="s">
        <v>3258</v>
      </c>
      <c r="B1151" s="1" t="s">
        <v>9463</v>
      </c>
      <c r="C1151" s="1" t="s">
        <v>7195</v>
      </c>
    </row>
    <row r="1152" spans="1:3" ht="15.75" customHeight="1" x14ac:dyDescent="0.25">
      <c r="A1152" s="1" t="s">
        <v>9462</v>
      </c>
      <c r="B1152" s="1" t="s">
        <v>9461</v>
      </c>
      <c r="C1152" s="1" t="s">
        <v>6568</v>
      </c>
    </row>
    <row r="1153" spans="1:3" ht="15.75" customHeight="1" x14ac:dyDescent="0.25">
      <c r="A1153" s="1" t="s">
        <v>5528</v>
      </c>
      <c r="B1153" s="1" t="s">
        <v>5857</v>
      </c>
      <c r="C1153" s="1" t="s">
        <v>9460</v>
      </c>
    </row>
    <row r="1154" spans="1:3" ht="15.75" customHeight="1" x14ac:dyDescent="0.25">
      <c r="A1154" s="1" t="s">
        <v>9459</v>
      </c>
      <c r="B1154" s="1" t="s">
        <v>9458</v>
      </c>
      <c r="C1154" s="1" t="s">
        <v>5781</v>
      </c>
    </row>
    <row r="1155" spans="1:3" ht="15.75" customHeight="1" x14ac:dyDescent="0.25">
      <c r="A1155" s="1" t="s">
        <v>9457</v>
      </c>
      <c r="B1155" s="1" t="s">
        <v>9456</v>
      </c>
      <c r="C1155" s="1" t="s">
        <v>6763</v>
      </c>
    </row>
    <row r="1156" spans="1:3" ht="15.75" customHeight="1" x14ac:dyDescent="0.25">
      <c r="A1156" s="1" t="s">
        <v>919</v>
      </c>
      <c r="B1156" s="1" t="s">
        <v>9455</v>
      </c>
      <c r="C1156" s="1" t="s">
        <v>6242</v>
      </c>
    </row>
    <row r="1157" spans="1:3" ht="15.75" customHeight="1" x14ac:dyDescent="0.25">
      <c r="A1157" s="1" t="s">
        <v>2848</v>
      </c>
      <c r="B1157" s="1" t="s">
        <v>9454</v>
      </c>
      <c r="C1157" s="1" t="s">
        <v>9453</v>
      </c>
    </row>
    <row r="1158" spans="1:3" ht="15.75" customHeight="1" x14ac:dyDescent="0.25">
      <c r="A1158" s="1" t="s">
        <v>4957</v>
      </c>
      <c r="B1158" s="1" t="s">
        <v>9452</v>
      </c>
      <c r="C1158" s="1" t="s">
        <v>6892</v>
      </c>
    </row>
    <row r="1159" spans="1:3" ht="15.75" customHeight="1" x14ac:dyDescent="0.25">
      <c r="A1159" s="1" t="s">
        <v>268</v>
      </c>
      <c r="B1159" s="1" t="s">
        <v>9451</v>
      </c>
      <c r="C1159" s="1" t="s">
        <v>5796</v>
      </c>
    </row>
    <row r="1160" spans="1:3" ht="15.75" customHeight="1" x14ac:dyDescent="0.25">
      <c r="A1160" s="1" t="s">
        <v>266</v>
      </c>
      <c r="B1160" s="1" t="s">
        <v>9450</v>
      </c>
      <c r="C1160" s="1" t="s">
        <v>6729</v>
      </c>
    </row>
    <row r="1161" spans="1:3" ht="15.75" customHeight="1" x14ac:dyDescent="0.25">
      <c r="A1161" s="1" t="s">
        <v>5471</v>
      </c>
      <c r="B1161" s="1" t="s">
        <v>9449</v>
      </c>
      <c r="C1161" s="1" t="s">
        <v>6784</v>
      </c>
    </row>
    <row r="1162" spans="1:3" ht="15.75" customHeight="1" x14ac:dyDescent="0.25">
      <c r="A1162" s="1" t="s">
        <v>3571</v>
      </c>
      <c r="B1162" s="1" t="s">
        <v>9448</v>
      </c>
      <c r="C1162" s="1" t="s">
        <v>6886</v>
      </c>
    </row>
    <row r="1163" spans="1:3" ht="15.75" customHeight="1" x14ac:dyDescent="0.25">
      <c r="A1163" s="1" t="s">
        <v>4361</v>
      </c>
      <c r="B1163" s="1" t="s">
        <v>9447</v>
      </c>
      <c r="C1163" s="1" t="s">
        <v>6750</v>
      </c>
    </row>
    <row r="1164" spans="1:3" ht="15.75" customHeight="1" x14ac:dyDescent="0.25">
      <c r="A1164" s="1" t="s">
        <v>9446</v>
      </c>
      <c r="B1164" s="1" t="s">
        <v>9445</v>
      </c>
      <c r="C1164" s="1" t="s">
        <v>6568</v>
      </c>
    </row>
    <row r="1165" spans="1:3" ht="15.75" customHeight="1" x14ac:dyDescent="0.25">
      <c r="A1165" s="1" t="s">
        <v>9444</v>
      </c>
      <c r="B1165" s="1" t="s">
        <v>9443</v>
      </c>
      <c r="C1165" s="1" t="s">
        <v>6242</v>
      </c>
    </row>
    <row r="1166" spans="1:3" ht="15.75" customHeight="1" x14ac:dyDescent="0.25">
      <c r="A1166" s="1" t="s">
        <v>3968</v>
      </c>
      <c r="B1166" s="1" t="s">
        <v>9442</v>
      </c>
      <c r="C1166" s="1" t="s">
        <v>5796</v>
      </c>
    </row>
    <row r="1167" spans="1:3" ht="15.75" customHeight="1" x14ac:dyDescent="0.25">
      <c r="A1167" s="1" t="s">
        <v>4653</v>
      </c>
      <c r="B1167" s="1" t="s">
        <v>9441</v>
      </c>
      <c r="C1167" s="1" t="s">
        <v>7210</v>
      </c>
    </row>
    <row r="1168" spans="1:3" ht="15.75" customHeight="1" x14ac:dyDescent="0.25">
      <c r="A1168" s="1" t="s">
        <v>2986</v>
      </c>
      <c r="B1168" s="1" t="s">
        <v>9440</v>
      </c>
      <c r="C1168" s="1" t="s">
        <v>6122</v>
      </c>
    </row>
    <row r="1169" spans="1:3" ht="15.75" customHeight="1" x14ac:dyDescent="0.25">
      <c r="A1169" s="1" t="s">
        <v>4001</v>
      </c>
      <c r="B1169" s="1" t="s">
        <v>9439</v>
      </c>
      <c r="C1169" s="1" t="s">
        <v>9121</v>
      </c>
    </row>
    <row r="1170" spans="1:3" ht="15.75" customHeight="1" x14ac:dyDescent="0.25">
      <c r="A1170" s="1" t="s">
        <v>3235</v>
      </c>
      <c r="B1170" s="1" t="s">
        <v>9438</v>
      </c>
      <c r="C1170" s="1" t="s">
        <v>5796</v>
      </c>
    </row>
    <row r="1171" spans="1:3" ht="15.75" customHeight="1" x14ac:dyDescent="0.25">
      <c r="A1171" s="1" t="s">
        <v>9437</v>
      </c>
      <c r="B1171" s="1" t="s">
        <v>9436</v>
      </c>
      <c r="C1171" s="1" t="s">
        <v>6168</v>
      </c>
    </row>
    <row r="1172" spans="1:3" ht="15.75" customHeight="1" x14ac:dyDescent="0.25">
      <c r="A1172" s="1" t="s">
        <v>3347</v>
      </c>
      <c r="B1172" s="1" t="s">
        <v>9435</v>
      </c>
      <c r="C1172" s="1" t="s">
        <v>9434</v>
      </c>
    </row>
    <row r="1173" spans="1:3" ht="15.75" customHeight="1" x14ac:dyDescent="0.25">
      <c r="A1173" s="1" t="s">
        <v>9433</v>
      </c>
      <c r="B1173" s="1" t="s">
        <v>9432</v>
      </c>
      <c r="C1173" s="1" t="s">
        <v>7476</v>
      </c>
    </row>
    <row r="1174" spans="1:3" ht="15.75" customHeight="1" x14ac:dyDescent="0.25">
      <c r="A1174" s="1" t="s">
        <v>3050</v>
      </c>
      <c r="B1174" s="1" t="s">
        <v>9431</v>
      </c>
      <c r="C1174" s="1" t="s">
        <v>6323</v>
      </c>
    </row>
    <row r="1175" spans="1:3" ht="15.75" customHeight="1" x14ac:dyDescent="0.25">
      <c r="A1175" s="1" t="s">
        <v>4056</v>
      </c>
      <c r="B1175" s="1" t="s">
        <v>9430</v>
      </c>
      <c r="C1175" s="1" t="s">
        <v>6709</v>
      </c>
    </row>
    <row r="1176" spans="1:3" ht="15.75" customHeight="1" x14ac:dyDescent="0.25">
      <c r="A1176" s="1" t="s">
        <v>9429</v>
      </c>
      <c r="B1176" s="1" t="s">
        <v>9428</v>
      </c>
      <c r="C1176" s="1" t="s">
        <v>9427</v>
      </c>
    </row>
    <row r="1177" spans="1:3" ht="15.75" customHeight="1" x14ac:dyDescent="0.25">
      <c r="A1177" s="1" t="s">
        <v>9426</v>
      </c>
      <c r="B1177" s="1" t="s">
        <v>9425</v>
      </c>
      <c r="C1177" s="1" t="s">
        <v>7052</v>
      </c>
    </row>
    <row r="1178" spans="1:3" ht="15.75" customHeight="1" x14ac:dyDescent="0.25">
      <c r="A1178" s="1" t="s">
        <v>9424</v>
      </c>
      <c r="B1178" s="1" t="s">
        <v>9423</v>
      </c>
      <c r="C1178" s="1" t="s">
        <v>6242</v>
      </c>
    </row>
    <row r="1179" spans="1:3" ht="15.75" customHeight="1" x14ac:dyDescent="0.25">
      <c r="A1179" s="1" t="s">
        <v>996</v>
      </c>
      <c r="B1179" s="1" t="s">
        <v>9422</v>
      </c>
      <c r="C1179" s="1" t="s">
        <v>6323</v>
      </c>
    </row>
    <row r="1180" spans="1:3" ht="15.75" customHeight="1" x14ac:dyDescent="0.25">
      <c r="A1180" s="1" t="s">
        <v>9421</v>
      </c>
      <c r="B1180" s="1" t="s">
        <v>9420</v>
      </c>
      <c r="C1180" s="1" t="s">
        <v>6640</v>
      </c>
    </row>
    <row r="1181" spans="1:3" ht="15.75" customHeight="1" x14ac:dyDescent="0.25">
      <c r="A1181" s="1" t="s">
        <v>3852</v>
      </c>
      <c r="B1181" s="1" t="s">
        <v>9419</v>
      </c>
      <c r="C1181" s="1" t="s">
        <v>5836</v>
      </c>
    </row>
    <row r="1182" spans="1:3" ht="15.75" customHeight="1" x14ac:dyDescent="0.25">
      <c r="A1182" s="1" t="s">
        <v>3778</v>
      </c>
      <c r="B1182" s="1" t="s">
        <v>9418</v>
      </c>
      <c r="C1182" s="1" t="s">
        <v>6530</v>
      </c>
    </row>
    <row r="1183" spans="1:3" ht="15.75" customHeight="1" x14ac:dyDescent="0.25">
      <c r="A1183" s="1" t="s">
        <v>9417</v>
      </c>
      <c r="B1183" s="1" t="s">
        <v>9416</v>
      </c>
      <c r="C1183" s="1" t="s">
        <v>5791</v>
      </c>
    </row>
    <row r="1184" spans="1:3" ht="15.75" customHeight="1" x14ac:dyDescent="0.25">
      <c r="A1184" s="1" t="s">
        <v>3099</v>
      </c>
      <c r="B1184" s="1" t="s">
        <v>9415</v>
      </c>
      <c r="C1184" s="1" t="s">
        <v>9121</v>
      </c>
    </row>
    <row r="1185" spans="1:3" ht="15.75" customHeight="1" x14ac:dyDescent="0.25">
      <c r="A1185" s="1" t="s">
        <v>9414</v>
      </c>
      <c r="B1185" s="1" t="s">
        <v>9413</v>
      </c>
      <c r="C1185" s="1" t="s">
        <v>5781</v>
      </c>
    </row>
    <row r="1186" spans="1:3" ht="15.75" customHeight="1" x14ac:dyDescent="0.25">
      <c r="A1186" s="1" t="s">
        <v>2384</v>
      </c>
      <c r="B1186" s="1" t="s">
        <v>9412</v>
      </c>
      <c r="C1186" s="1" t="s">
        <v>9411</v>
      </c>
    </row>
    <row r="1187" spans="1:3" ht="15.75" customHeight="1" x14ac:dyDescent="0.25">
      <c r="A1187" s="1" t="s">
        <v>9410</v>
      </c>
      <c r="B1187" s="1" t="s">
        <v>9409</v>
      </c>
      <c r="C1187" s="1" t="s">
        <v>6474</v>
      </c>
    </row>
    <row r="1188" spans="1:3" ht="15.75" customHeight="1" x14ac:dyDescent="0.25">
      <c r="A1188" s="1" t="s">
        <v>9408</v>
      </c>
      <c r="B1188" s="1" t="s">
        <v>9407</v>
      </c>
      <c r="C1188" s="1" t="s">
        <v>6729</v>
      </c>
    </row>
    <row r="1189" spans="1:3" ht="15.75" customHeight="1" x14ac:dyDescent="0.25">
      <c r="A1189" s="1" t="s">
        <v>3599</v>
      </c>
      <c r="B1189" s="1" t="s">
        <v>9406</v>
      </c>
      <c r="C1189" s="1" t="s">
        <v>7720</v>
      </c>
    </row>
    <row r="1190" spans="1:3" ht="15.75" customHeight="1" x14ac:dyDescent="0.25">
      <c r="A1190" s="1" t="s">
        <v>263</v>
      </c>
      <c r="B1190" s="1" t="s">
        <v>9405</v>
      </c>
      <c r="C1190" s="1" t="s">
        <v>6653</v>
      </c>
    </row>
    <row r="1191" spans="1:3" ht="15.75" customHeight="1" x14ac:dyDescent="0.25">
      <c r="A1191" s="1" t="s">
        <v>9404</v>
      </c>
      <c r="B1191" s="1" t="s">
        <v>9403</v>
      </c>
      <c r="C1191" s="1" t="s">
        <v>6242</v>
      </c>
    </row>
    <row r="1192" spans="1:3" ht="15.75" customHeight="1" x14ac:dyDescent="0.25">
      <c r="A1192" s="1" t="s">
        <v>9402</v>
      </c>
      <c r="B1192" s="1" t="s">
        <v>9401</v>
      </c>
      <c r="C1192" s="1" t="s">
        <v>6242</v>
      </c>
    </row>
    <row r="1193" spans="1:3" ht="15.75" customHeight="1" x14ac:dyDescent="0.25">
      <c r="A1193" s="1" t="s">
        <v>4102</v>
      </c>
      <c r="B1193" s="1" t="s">
        <v>9400</v>
      </c>
      <c r="C1193" s="1" t="s">
        <v>5796</v>
      </c>
    </row>
    <row r="1194" spans="1:3" ht="15.75" customHeight="1" x14ac:dyDescent="0.25">
      <c r="A1194" s="1" t="s">
        <v>1236</v>
      </c>
      <c r="B1194" s="1" t="s">
        <v>9399</v>
      </c>
      <c r="C1194" s="1" t="s">
        <v>7418</v>
      </c>
    </row>
    <row r="1195" spans="1:3" ht="15.75" customHeight="1" x14ac:dyDescent="0.25">
      <c r="A1195" s="1" t="s">
        <v>944</v>
      </c>
      <c r="B1195" s="1" t="s">
        <v>9398</v>
      </c>
      <c r="C1195" s="1" t="s">
        <v>5796</v>
      </c>
    </row>
    <row r="1196" spans="1:3" ht="15.75" customHeight="1" x14ac:dyDescent="0.25">
      <c r="A1196" s="1" t="s">
        <v>9397</v>
      </c>
      <c r="B1196" s="1" t="s">
        <v>9396</v>
      </c>
      <c r="C1196" s="1" t="s">
        <v>6122</v>
      </c>
    </row>
    <row r="1197" spans="1:3" ht="15.75" customHeight="1" x14ac:dyDescent="0.25">
      <c r="A1197" s="1" t="s">
        <v>261</v>
      </c>
      <c r="B1197" s="1" t="s">
        <v>9395</v>
      </c>
    </row>
    <row r="1198" spans="1:3" ht="15.75" customHeight="1" x14ac:dyDescent="0.25">
      <c r="A1198" s="1" t="s">
        <v>5741</v>
      </c>
      <c r="B1198" s="1" t="s">
        <v>5857</v>
      </c>
      <c r="C1198" s="1" t="s">
        <v>9394</v>
      </c>
    </row>
    <row r="1199" spans="1:3" ht="15.75" customHeight="1" x14ac:dyDescent="0.25">
      <c r="A1199" s="1" t="s">
        <v>3008</v>
      </c>
      <c r="B1199" s="1" t="s">
        <v>9393</v>
      </c>
      <c r="C1199" s="1" t="s">
        <v>7070</v>
      </c>
    </row>
    <row r="1200" spans="1:3" ht="15.75" customHeight="1" x14ac:dyDescent="0.25">
      <c r="A1200" s="1" t="s">
        <v>9392</v>
      </c>
      <c r="B1200" s="1" t="s">
        <v>9391</v>
      </c>
      <c r="C1200" s="1" t="s">
        <v>6242</v>
      </c>
    </row>
    <row r="1201" spans="1:3" ht="15.75" customHeight="1" x14ac:dyDescent="0.25">
      <c r="A1201" s="1" t="s">
        <v>9390</v>
      </c>
      <c r="B1201" s="1" t="s">
        <v>9389</v>
      </c>
      <c r="C1201" s="1" t="s">
        <v>6122</v>
      </c>
    </row>
    <row r="1202" spans="1:3" ht="15.75" customHeight="1" x14ac:dyDescent="0.25">
      <c r="A1202" s="1" t="s">
        <v>3027</v>
      </c>
      <c r="B1202" s="1" t="s">
        <v>9388</v>
      </c>
      <c r="C1202" s="1" t="s">
        <v>6991</v>
      </c>
    </row>
    <row r="1203" spans="1:3" ht="15.75" customHeight="1" x14ac:dyDescent="0.25">
      <c r="A1203" s="1" t="s">
        <v>2778</v>
      </c>
      <c r="B1203" s="1" t="s">
        <v>9387</v>
      </c>
      <c r="C1203" s="1" t="s">
        <v>6651</v>
      </c>
    </row>
    <row r="1204" spans="1:3" ht="15.75" customHeight="1" x14ac:dyDescent="0.25">
      <c r="A1204" s="1" t="s">
        <v>5333</v>
      </c>
      <c r="B1204" s="1" t="s">
        <v>9386</v>
      </c>
      <c r="C1204" s="1" t="s">
        <v>6288</v>
      </c>
    </row>
    <row r="1205" spans="1:3" ht="15.75" customHeight="1" x14ac:dyDescent="0.25">
      <c r="A1205" s="1" t="s">
        <v>9385</v>
      </c>
      <c r="B1205" s="1" t="s">
        <v>9384</v>
      </c>
      <c r="C1205" s="1" t="s">
        <v>6759</v>
      </c>
    </row>
    <row r="1206" spans="1:3" ht="15.75" customHeight="1" x14ac:dyDescent="0.25">
      <c r="A1206" s="1" t="s">
        <v>259</v>
      </c>
      <c r="B1206" s="1" t="s">
        <v>7456</v>
      </c>
      <c r="C1206" s="1" t="s">
        <v>9383</v>
      </c>
    </row>
    <row r="1207" spans="1:3" ht="15.75" customHeight="1" x14ac:dyDescent="0.25">
      <c r="A1207" s="1" t="s">
        <v>4798</v>
      </c>
      <c r="B1207" s="1" t="s">
        <v>9382</v>
      </c>
      <c r="C1207" s="1" t="s">
        <v>7418</v>
      </c>
    </row>
    <row r="1208" spans="1:3" ht="15.75" customHeight="1" x14ac:dyDescent="0.25">
      <c r="A1208" s="1" t="s">
        <v>3605</v>
      </c>
      <c r="B1208" s="1" t="s">
        <v>9381</v>
      </c>
      <c r="C1208" s="1" t="s">
        <v>6931</v>
      </c>
    </row>
    <row r="1209" spans="1:3" ht="15.75" customHeight="1" x14ac:dyDescent="0.25">
      <c r="A1209" s="1" t="s">
        <v>9380</v>
      </c>
      <c r="B1209" s="1" t="s">
        <v>9379</v>
      </c>
      <c r="C1209" s="1" t="s">
        <v>6486</v>
      </c>
    </row>
    <row r="1210" spans="1:3" ht="15.75" customHeight="1" x14ac:dyDescent="0.25">
      <c r="A1210" s="1" t="s">
        <v>4492</v>
      </c>
      <c r="B1210" s="1" t="s">
        <v>9378</v>
      </c>
      <c r="C1210" s="1" t="s">
        <v>6653</v>
      </c>
    </row>
    <row r="1211" spans="1:3" ht="15.75" customHeight="1" x14ac:dyDescent="0.25">
      <c r="A1211" s="1" t="s">
        <v>760</v>
      </c>
      <c r="B1211" s="1" t="s">
        <v>9377</v>
      </c>
      <c r="C1211" s="1" t="s">
        <v>6533</v>
      </c>
    </row>
    <row r="1212" spans="1:3" ht="15.75" customHeight="1" x14ac:dyDescent="0.25">
      <c r="A1212" s="1" t="s">
        <v>9376</v>
      </c>
      <c r="B1212" s="1" t="s">
        <v>9112</v>
      </c>
      <c r="C1212" s="1" t="s">
        <v>9375</v>
      </c>
    </row>
    <row r="1213" spans="1:3" ht="15.75" customHeight="1" x14ac:dyDescent="0.25">
      <c r="A1213" s="1" t="s">
        <v>2054</v>
      </c>
      <c r="B1213" s="1" t="s">
        <v>9374</v>
      </c>
      <c r="C1213" s="1" t="s">
        <v>6675</v>
      </c>
    </row>
    <row r="1214" spans="1:3" ht="15.75" customHeight="1" x14ac:dyDescent="0.25">
      <c r="A1214" s="1" t="s">
        <v>4935</v>
      </c>
      <c r="B1214" s="1" t="s">
        <v>9373</v>
      </c>
      <c r="C1214" s="1" t="s">
        <v>5893</v>
      </c>
    </row>
    <row r="1215" spans="1:3" ht="15.75" customHeight="1" x14ac:dyDescent="0.25">
      <c r="A1215" s="1" t="s">
        <v>2702</v>
      </c>
      <c r="B1215" s="1" t="s">
        <v>9372</v>
      </c>
      <c r="C1215" s="1" t="s">
        <v>6886</v>
      </c>
    </row>
    <row r="1216" spans="1:3" ht="15.75" customHeight="1" x14ac:dyDescent="0.25">
      <c r="A1216" s="1" t="s">
        <v>3392</v>
      </c>
      <c r="B1216" s="1" t="s">
        <v>9371</v>
      </c>
      <c r="C1216" s="1" t="s">
        <v>5991</v>
      </c>
    </row>
    <row r="1217" spans="1:3" ht="15.75" customHeight="1" x14ac:dyDescent="0.25">
      <c r="A1217" s="1" t="s">
        <v>782</v>
      </c>
      <c r="B1217" s="1" t="s">
        <v>9370</v>
      </c>
      <c r="C1217" s="1" t="s">
        <v>5809</v>
      </c>
    </row>
    <row r="1218" spans="1:3" ht="15.75" customHeight="1" x14ac:dyDescent="0.25">
      <c r="A1218" s="1" t="s">
        <v>9369</v>
      </c>
      <c r="B1218" s="1" t="s">
        <v>9368</v>
      </c>
      <c r="C1218" s="1" t="s">
        <v>6242</v>
      </c>
    </row>
    <row r="1219" spans="1:3" ht="15.75" customHeight="1" x14ac:dyDescent="0.25">
      <c r="A1219" s="1" t="s">
        <v>9367</v>
      </c>
      <c r="B1219" s="1" t="s">
        <v>9366</v>
      </c>
      <c r="C1219" s="1" t="s">
        <v>5991</v>
      </c>
    </row>
    <row r="1220" spans="1:3" ht="15.75" customHeight="1" x14ac:dyDescent="0.25">
      <c r="A1220" s="1" t="s">
        <v>4213</v>
      </c>
      <c r="B1220" s="1" t="s">
        <v>9365</v>
      </c>
      <c r="C1220" s="1" t="s">
        <v>9150</v>
      </c>
    </row>
    <row r="1221" spans="1:3" ht="15.75" customHeight="1" x14ac:dyDescent="0.25">
      <c r="A1221" s="1" t="s">
        <v>4657</v>
      </c>
      <c r="B1221" s="1" t="s">
        <v>9364</v>
      </c>
      <c r="C1221" s="1" t="s">
        <v>7036</v>
      </c>
    </row>
    <row r="1222" spans="1:3" ht="15.75" customHeight="1" x14ac:dyDescent="0.25">
      <c r="A1222" s="1" t="s">
        <v>9363</v>
      </c>
      <c r="B1222" s="1" t="s">
        <v>9362</v>
      </c>
      <c r="C1222" s="1" t="s">
        <v>6486</v>
      </c>
    </row>
    <row r="1223" spans="1:3" ht="15.75" customHeight="1" x14ac:dyDescent="0.25">
      <c r="A1223" s="1" t="s">
        <v>9361</v>
      </c>
      <c r="B1223" s="1" t="s">
        <v>9360</v>
      </c>
      <c r="C1223" s="1" t="s">
        <v>6242</v>
      </c>
    </row>
    <row r="1224" spans="1:3" ht="15.75" customHeight="1" x14ac:dyDescent="0.25">
      <c r="A1224" s="1" t="s">
        <v>1467</v>
      </c>
      <c r="B1224" s="1" t="s">
        <v>9359</v>
      </c>
      <c r="C1224" s="1" t="s">
        <v>6122</v>
      </c>
    </row>
    <row r="1225" spans="1:3" ht="15.75" customHeight="1" x14ac:dyDescent="0.25">
      <c r="A1225" s="1" t="s">
        <v>4582</v>
      </c>
      <c r="B1225" s="1" t="s">
        <v>9358</v>
      </c>
      <c r="C1225" s="1" t="s">
        <v>6122</v>
      </c>
    </row>
    <row r="1226" spans="1:3" ht="15.75" customHeight="1" x14ac:dyDescent="0.25">
      <c r="A1226" s="1" t="s">
        <v>9357</v>
      </c>
      <c r="B1226" s="1" t="s">
        <v>9356</v>
      </c>
      <c r="C1226" s="1" t="s">
        <v>5811</v>
      </c>
    </row>
    <row r="1227" spans="1:3" ht="15.75" customHeight="1" x14ac:dyDescent="0.25">
      <c r="A1227" s="1" t="s">
        <v>9355</v>
      </c>
      <c r="B1227" s="1" t="s">
        <v>9354</v>
      </c>
      <c r="C1227" s="1" t="s">
        <v>6750</v>
      </c>
    </row>
    <row r="1228" spans="1:3" ht="15.75" customHeight="1" x14ac:dyDescent="0.25">
      <c r="A1228" s="1" t="s">
        <v>9353</v>
      </c>
      <c r="B1228" s="1" t="s">
        <v>9352</v>
      </c>
      <c r="C1228" s="1" t="s">
        <v>5798</v>
      </c>
    </row>
    <row r="1229" spans="1:3" ht="15.75" customHeight="1" x14ac:dyDescent="0.25">
      <c r="A1229" s="1" t="s">
        <v>1018</v>
      </c>
      <c r="B1229" s="1" t="s">
        <v>9351</v>
      </c>
      <c r="C1229" s="1" t="s">
        <v>6242</v>
      </c>
    </row>
    <row r="1230" spans="1:3" ht="15.75" customHeight="1" x14ac:dyDescent="0.25">
      <c r="A1230" s="1" t="s">
        <v>9350</v>
      </c>
      <c r="B1230" s="1" t="s">
        <v>9349</v>
      </c>
      <c r="C1230" s="1" t="s">
        <v>7374</v>
      </c>
    </row>
    <row r="1231" spans="1:3" ht="15.75" customHeight="1" x14ac:dyDescent="0.25">
      <c r="A1231" s="1" t="s">
        <v>4843</v>
      </c>
      <c r="B1231" s="1" t="s">
        <v>9348</v>
      </c>
      <c r="C1231" s="1" t="s">
        <v>9347</v>
      </c>
    </row>
    <row r="1232" spans="1:3" ht="15.75" customHeight="1" x14ac:dyDescent="0.25">
      <c r="A1232" s="1" t="s">
        <v>2620</v>
      </c>
      <c r="B1232" s="1" t="s">
        <v>9346</v>
      </c>
      <c r="C1232" s="1" t="s">
        <v>6789</v>
      </c>
    </row>
    <row r="1233" spans="1:3" ht="15.75" customHeight="1" x14ac:dyDescent="0.25">
      <c r="A1233" s="1" t="s">
        <v>1622</v>
      </c>
      <c r="B1233" s="1" t="s">
        <v>9345</v>
      </c>
      <c r="C1233" s="1" t="s">
        <v>6530</v>
      </c>
    </row>
    <row r="1234" spans="1:3" ht="15.75" customHeight="1" x14ac:dyDescent="0.25">
      <c r="A1234" s="1" t="s">
        <v>4156</v>
      </c>
      <c r="B1234" s="1" t="s">
        <v>9344</v>
      </c>
      <c r="C1234" s="1" t="s">
        <v>6653</v>
      </c>
    </row>
    <row r="1235" spans="1:3" ht="15.75" customHeight="1" x14ac:dyDescent="0.25">
      <c r="A1235" s="1" t="s">
        <v>3471</v>
      </c>
      <c r="B1235" s="1" t="s">
        <v>9343</v>
      </c>
      <c r="C1235" s="1" t="s">
        <v>6468</v>
      </c>
    </row>
    <row r="1236" spans="1:3" ht="15.75" customHeight="1" x14ac:dyDescent="0.25">
      <c r="A1236" s="1" t="s">
        <v>913</v>
      </c>
      <c r="B1236" s="1" t="s">
        <v>9342</v>
      </c>
      <c r="C1236" s="1" t="s">
        <v>6945</v>
      </c>
    </row>
    <row r="1237" spans="1:3" ht="15.75" customHeight="1" x14ac:dyDescent="0.25">
      <c r="A1237" s="1" t="s">
        <v>9341</v>
      </c>
      <c r="B1237" s="1" t="s">
        <v>9340</v>
      </c>
      <c r="C1237" s="1" t="s">
        <v>6122</v>
      </c>
    </row>
    <row r="1238" spans="1:3" ht="15.75" customHeight="1" x14ac:dyDescent="0.25">
      <c r="A1238" s="1" t="s">
        <v>5043</v>
      </c>
      <c r="B1238" s="1" t="s">
        <v>9339</v>
      </c>
      <c r="C1238" s="1" t="s">
        <v>5796</v>
      </c>
    </row>
    <row r="1239" spans="1:3" ht="15.75" customHeight="1" x14ac:dyDescent="0.25">
      <c r="A1239" s="1" t="s">
        <v>5499</v>
      </c>
      <c r="B1239" s="1" t="s">
        <v>9338</v>
      </c>
      <c r="C1239" s="1" t="s">
        <v>7476</v>
      </c>
    </row>
    <row r="1240" spans="1:3" ht="15.75" customHeight="1" x14ac:dyDescent="0.25">
      <c r="A1240" s="1" t="s">
        <v>9337</v>
      </c>
      <c r="B1240" s="1" t="s">
        <v>9336</v>
      </c>
      <c r="C1240" s="1" t="s">
        <v>9150</v>
      </c>
    </row>
    <row r="1241" spans="1:3" ht="15.75" customHeight="1" x14ac:dyDescent="0.25">
      <c r="A1241" s="1" t="s">
        <v>1722</v>
      </c>
      <c r="B1241" s="1" t="s">
        <v>9335</v>
      </c>
      <c r="C1241" s="1" t="s">
        <v>6942</v>
      </c>
    </row>
    <row r="1242" spans="1:3" ht="15.75" customHeight="1" x14ac:dyDescent="0.25">
      <c r="A1242" s="1" t="s">
        <v>4531</v>
      </c>
      <c r="B1242" s="1" t="s">
        <v>9334</v>
      </c>
      <c r="C1242" s="1" t="s">
        <v>6725</v>
      </c>
    </row>
    <row r="1243" spans="1:3" ht="15.75" customHeight="1" x14ac:dyDescent="0.25">
      <c r="A1243" s="1" t="s">
        <v>1172</v>
      </c>
      <c r="B1243" s="1" t="s">
        <v>9333</v>
      </c>
      <c r="C1243" s="1" t="s">
        <v>9332</v>
      </c>
    </row>
    <row r="1244" spans="1:3" ht="15.75" customHeight="1" x14ac:dyDescent="0.25">
      <c r="A1244" s="1" t="s">
        <v>4298</v>
      </c>
      <c r="B1244" s="1" t="s">
        <v>9331</v>
      </c>
      <c r="C1244" s="1" t="s">
        <v>6530</v>
      </c>
    </row>
    <row r="1245" spans="1:3" ht="15.75" customHeight="1" x14ac:dyDescent="0.25">
      <c r="A1245" s="1" t="s">
        <v>9330</v>
      </c>
      <c r="B1245" s="1" t="s">
        <v>9329</v>
      </c>
      <c r="C1245" s="1" t="s">
        <v>5811</v>
      </c>
    </row>
    <row r="1246" spans="1:3" ht="15.75" customHeight="1" x14ac:dyDescent="0.25">
      <c r="A1246" s="1" t="s">
        <v>2982</v>
      </c>
      <c r="B1246" s="1" t="s">
        <v>9328</v>
      </c>
      <c r="C1246" s="1" t="s">
        <v>5800</v>
      </c>
    </row>
    <row r="1247" spans="1:3" ht="15.75" customHeight="1" x14ac:dyDescent="0.25">
      <c r="A1247" s="1" t="s">
        <v>4340</v>
      </c>
      <c r="B1247" s="1" t="s">
        <v>9327</v>
      </c>
      <c r="C1247" s="1" t="s">
        <v>6530</v>
      </c>
    </row>
    <row r="1248" spans="1:3" ht="15.75" customHeight="1" x14ac:dyDescent="0.25">
      <c r="A1248" s="1" t="s">
        <v>9326</v>
      </c>
      <c r="B1248" s="1" t="s">
        <v>9325</v>
      </c>
      <c r="C1248" s="1" t="s">
        <v>6486</v>
      </c>
    </row>
    <row r="1249" spans="1:3" ht="15.75" customHeight="1" x14ac:dyDescent="0.25">
      <c r="A1249" s="1" t="s">
        <v>3919</v>
      </c>
      <c r="B1249" s="1" t="s">
        <v>9324</v>
      </c>
      <c r="C1249" s="1" t="s">
        <v>6468</v>
      </c>
    </row>
    <row r="1250" spans="1:3" ht="15.75" customHeight="1" x14ac:dyDescent="0.25">
      <c r="A1250" s="1" t="s">
        <v>9323</v>
      </c>
      <c r="B1250" s="1" t="s">
        <v>9322</v>
      </c>
      <c r="C1250" s="1" t="s">
        <v>5860</v>
      </c>
    </row>
    <row r="1251" spans="1:3" ht="15.75" customHeight="1" x14ac:dyDescent="0.25">
      <c r="A1251" s="1" t="s">
        <v>9321</v>
      </c>
      <c r="B1251" s="1" t="s">
        <v>9320</v>
      </c>
      <c r="C1251" s="1" t="s">
        <v>5914</v>
      </c>
    </row>
    <row r="1252" spans="1:3" ht="15.75" customHeight="1" x14ac:dyDescent="0.25">
      <c r="A1252" s="1" t="s">
        <v>711</v>
      </c>
      <c r="B1252" s="1" t="s">
        <v>9319</v>
      </c>
      <c r="C1252" s="1" t="s">
        <v>6929</v>
      </c>
    </row>
    <row r="1253" spans="1:3" ht="15.75" customHeight="1" x14ac:dyDescent="0.25">
      <c r="A1253" s="1" t="s">
        <v>9318</v>
      </c>
      <c r="B1253" s="1" t="s">
        <v>9317</v>
      </c>
      <c r="C1253" s="1" t="s">
        <v>6651</v>
      </c>
    </row>
    <row r="1254" spans="1:3" ht="15.75" customHeight="1" x14ac:dyDescent="0.25">
      <c r="A1254" s="1" t="s">
        <v>1055</v>
      </c>
      <c r="B1254" s="1" t="s">
        <v>9316</v>
      </c>
      <c r="C1254" s="1" t="s">
        <v>6714</v>
      </c>
    </row>
    <row r="1255" spans="1:3" ht="15.75" customHeight="1" x14ac:dyDescent="0.25">
      <c r="A1255" s="1" t="s">
        <v>9315</v>
      </c>
      <c r="B1255" s="1" t="s">
        <v>9314</v>
      </c>
      <c r="C1255" s="1" t="s">
        <v>6468</v>
      </c>
    </row>
    <row r="1256" spans="1:3" ht="15.75" customHeight="1" x14ac:dyDescent="0.25">
      <c r="A1256" s="1" t="s">
        <v>1912</v>
      </c>
      <c r="B1256" s="1" t="s">
        <v>9313</v>
      </c>
      <c r="C1256" s="1" t="s">
        <v>7468</v>
      </c>
    </row>
    <row r="1257" spans="1:3" ht="15.75" customHeight="1" x14ac:dyDescent="0.25">
      <c r="A1257" s="1" t="s">
        <v>788</v>
      </c>
      <c r="B1257" s="1" t="s">
        <v>9312</v>
      </c>
      <c r="C1257" s="1" t="s">
        <v>5796</v>
      </c>
    </row>
    <row r="1258" spans="1:3" ht="15.75" customHeight="1" x14ac:dyDescent="0.25">
      <c r="A1258" s="1" t="s">
        <v>3964</v>
      </c>
      <c r="B1258" s="1" t="s">
        <v>9311</v>
      </c>
      <c r="C1258" s="1" t="s">
        <v>5886</v>
      </c>
    </row>
    <row r="1259" spans="1:3" ht="15.75" customHeight="1" x14ac:dyDescent="0.25">
      <c r="A1259" s="1" t="s">
        <v>4086</v>
      </c>
      <c r="B1259" s="1" t="s">
        <v>9310</v>
      </c>
      <c r="C1259" s="1" t="s">
        <v>7011</v>
      </c>
    </row>
    <row r="1260" spans="1:3" ht="15.75" customHeight="1" x14ac:dyDescent="0.25">
      <c r="A1260" s="1" t="s">
        <v>9309</v>
      </c>
      <c r="B1260" s="1" t="s">
        <v>9308</v>
      </c>
      <c r="C1260" s="1" t="s">
        <v>6260</v>
      </c>
    </row>
    <row r="1261" spans="1:3" ht="15.75" customHeight="1" x14ac:dyDescent="0.25">
      <c r="A1261" s="1" t="s">
        <v>9307</v>
      </c>
      <c r="B1261" s="1" t="s">
        <v>9306</v>
      </c>
      <c r="C1261" s="1" t="s">
        <v>6242</v>
      </c>
    </row>
    <row r="1262" spans="1:3" ht="15.75" customHeight="1" x14ac:dyDescent="0.25">
      <c r="A1262" s="1" t="s">
        <v>9305</v>
      </c>
      <c r="B1262" s="1" t="s">
        <v>9304</v>
      </c>
      <c r="C1262" s="1" t="s">
        <v>9121</v>
      </c>
    </row>
    <row r="1263" spans="1:3" ht="15.75" customHeight="1" x14ac:dyDescent="0.25">
      <c r="A1263" s="1" t="s">
        <v>1795</v>
      </c>
      <c r="B1263" s="1" t="s">
        <v>9303</v>
      </c>
      <c r="C1263" s="1" t="s">
        <v>9150</v>
      </c>
    </row>
    <row r="1264" spans="1:3" ht="15.75" customHeight="1" x14ac:dyDescent="0.25">
      <c r="A1264" s="1" t="s">
        <v>9302</v>
      </c>
      <c r="B1264" s="1" t="s">
        <v>9301</v>
      </c>
      <c r="C1264" s="1" t="s">
        <v>7228</v>
      </c>
    </row>
    <row r="1265" spans="1:3" ht="15.75" customHeight="1" x14ac:dyDescent="0.25">
      <c r="A1265" s="1" t="s">
        <v>3414</v>
      </c>
      <c r="B1265" s="1" t="s">
        <v>9300</v>
      </c>
      <c r="C1265" s="1" t="s">
        <v>9121</v>
      </c>
    </row>
    <row r="1266" spans="1:3" ht="15.75" customHeight="1" x14ac:dyDescent="0.25">
      <c r="A1266" s="1" t="s">
        <v>254</v>
      </c>
      <c r="B1266" s="1" t="s">
        <v>9299</v>
      </c>
      <c r="C1266" s="1" t="s">
        <v>6546</v>
      </c>
    </row>
    <row r="1267" spans="1:3" ht="15.75" customHeight="1" x14ac:dyDescent="0.25">
      <c r="A1267" s="1" t="s">
        <v>9298</v>
      </c>
      <c r="B1267" s="1" t="s">
        <v>6994</v>
      </c>
      <c r="C1267" s="1" t="s">
        <v>9297</v>
      </c>
    </row>
    <row r="1268" spans="1:3" ht="15.75" customHeight="1" x14ac:dyDescent="0.25">
      <c r="A1268" s="1" t="s">
        <v>4926</v>
      </c>
      <c r="B1268" s="1" t="s">
        <v>9296</v>
      </c>
      <c r="C1268" s="1" t="s">
        <v>6168</v>
      </c>
    </row>
    <row r="1269" spans="1:3" ht="15.75" customHeight="1" x14ac:dyDescent="0.25">
      <c r="A1269" s="1" t="s">
        <v>1435</v>
      </c>
      <c r="B1269" s="1" t="s">
        <v>9295</v>
      </c>
      <c r="C1269" s="1" t="s">
        <v>8451</v>
      </c>
    </row>
    <row r="1270" spans="1:3" ht="15.75" customHeight="1" x14ac:dyDescent="0.25">
      <c r="A1270" s="1" t="s">
        <v>4939</v>
      </c>
      <c r="B1270" s="1" t="s">
        <v>9294</v>
      </c>
      <c r="C1270" s="1" t="s">
        <v>6892</v>
      </c>
    </row>
    <row r="1271" spans="1:3" ht="15.75" customHeight="1" x14ac:dyDescent="0.25">
      <c r="A1271" s="1" t="s">
        <v>252</v>
      </c>
      <c r="B1271" s="1" t="s">
        <v>9293</v>
      </c>
      <c r="C1271" s="1" t="s">
        <v>6767</v>
      </c>
    </row>
    <row r="1272" spans="1:3" ht="15.75" customHeight="1" x14ac:dyDescent="0.25">
      <c r="A1272" s="1" t="s">
        <v>9292</v>
      </c>
      <c r="B1272" s="1" t="s">
        <v>9291</v>
      </c>
      <c r="C1272" s="1" t="s">
        <v>6468</v>
      </c>
    </row>
    <row r="1273" spans="1:3" ht="15.75" customHeight="1" x14ac:dyDescent="0.25">
      <c r="A1273" s="1" t="s">
        <v>3421</v>
      </c>
      <c r="B1273" s="1" t="s">
        <v>9290</v>
      </c>
      <c r="C1273" s="1" t="s">
        <v>6892</v>
      </c>
    </row>
    <row r="1274" spans="1:3" ht="15.75" customHeight="1" x14ac:dyDescent="0.25">
      <c r="A1274" s="1" t="s">
        <v>9289</v>
      </c>
      <c r="B1274" s="1" t="s">
        <v>9288</v>
      </c>
      <c r="C1274" s="1" t="s">
        <v>6486</v>
      </c>
    </row>
    <row r="1275" spans="1:3" ht="15.75" customHeight="1" x14ac:dyDescent="0.25">
      <c r="A1275" s="1" t="s">
        <v>249</v>
      </c>
      <c r="B1275" s="1" t="s">
        <v>218</v>
      </c>
      <c r="C1275" s="1" t="s">
        <v>9287</v>
      </c>
    </row>
    <row r="1276" spans="1:3" ht="15.75" customHeight="1" x14ac:dyDescent="0.25">
      <c r="A1276" s="1" t="s">
        <v>4744</v>
      </c>
      <c r="B1276" s="1" t="s">
        <v>9286</v>
      </c>
      <c r="C1276" s="1" t="s">
        <v>9042</v>
      </c>
    </row>
    <row r="1277" spans="1:3" ht="15.75" customHeight="1" x14ac:dyDescent="0.25">
      <c r="A1277" s="1" t="s">
        <v>935</v>
      </c>
      <c r="B1277" s="1" t="s">
        <v>9285</v>
      </c>
      <c r="C1277" s="1" t="s">
        <v>9284</v>
      </c>
    </row>
    <row r="1278" spans="1:3" ht="15.75" customHeight="1" x14ac:dyDescent="0.25">
      <c r="A1278" s="1" t="s">
        <v>9283</v>
      </c>
      <c r="B1278" s="1" t="s">
        <v>9282</v>
      </c>
      <c r="C1278" s="1" t="s">
        <v>5811</v>
      </c>
    </row>
    <row r="1279" spans="1:3" ht="15.75" customHeight="1" x14ac:dyDescent="0.25">
      <c r="A1279" s="1" t="s">
        <v>9281</v>
      </c>
      <c r="B1279" s="1" t="s">
        <v>9280</v>
      </c>
      <c r="C1279" s="1" t="s">
        <v>5791</v>
      </c>
    </row>
    <row r="1280" spans="1:3" ht="15.75" customHeight="1" x14ac:dyDescent="0.25">
      <c r="A1280" s="1" t="s">
        <v>3511</v>
      </c>
      <c r="B1280" s="1" t="s">
        <v>9279</v>
      </c>
      <c r="C1280" s="1" t="s">
        <v>5824</v>
      </c>
    </row>
    <row r="1281" spans="1:3" ht="15.75" customHeight="1" x14ac:dyDescent="0.25">
      <c r="A1281" s="1" t="s">
        <v>2816</v>
      </c>
      <c r="B1281" s="1" t="s">
        <v>9278</v>
      </c>
      <c r="C1281" s="1" t="s">
        <v>6667</v>
      </c>
    </row>
    <row r="1282" spans="1:3" ht="15.75" customHeight="1" x14ac:dyDescent="0.25">
      <c r="A1282" s="1" t="s">
        <v>9277</v>
      </c>
      <c r="B1282" s="1" t="s">
        <v>9276</v>
      </c>
      <c r="C1282" s="1" t="s">
        <v>9121</v>
      </c>
    </row>
    <row r="1283" spans="1:3" ht="15.75" customHeight="1" x14ac:dyDescent="0.25">
      <c r="A1283" s="1" t="s">
        <v>9275</v>
      </c>
      <c r="B1283" s="1" t="s">
        <v>9274</v>
      </c>
      <c r="C1283" s="1" t="s">
        <v>6945</v>
      </c>
    </row>
    <row r="1284" spans="1:3" ht="15.75" customHeight="1" x14ac:dyDescent="0.25">
      <c r="A1284" s="1" t="s">
        <v>9273</v>
      </c>
      <c r="B1284" s="1" t="s">
        <v>9272</v>
      </c>
      <c r="C1284" s="1" t="s">
        <v>6168</v>
      </c>
    </row>
    <row r="1285" spans="1:3" ht="15.75" customHeight="1" x14ac:dyDescent="0.25">
      <c r="A1285" s="1" t="s">
        <v>4367</v>
      </c>
      <c r="B1285" s="1" t="s">
        <v>9271</v>
      </c>
      <c r="C1285" s="1" t="s">
        <v>6653</v>
      </c>
    </row>
    <row r="1286" spans="1:3" ht="15.75" customHeight="1" x14ac:dyDescent="0.25">
      <c r="A1286" s="1" t="s">
        <v>248</v>
      </c>
      <c r="B1286" s="1" t="s">
        <v>9270</v>
      </c>
      <c r="C1286" s="1" t="s">
        <v>6653</v>
      </c>
    </row>
    <row r="1287" spans="1:3" ht="15.75" customHeight="1" x14ac:dyDescent="0.25">
      <c r="A1287" s="1" t="s">
        <v>4264</v>
      </c>
      <c r="B1287" s="1" t="s">
        <v>9269</v>
      </c>
      <c r="C1287" s="1" t="s">
        <v>6653</v>
      </c>
    </row>
    <row r="1288" spans="1:3" ht="15.75" customHeight="1" x14ac:dyDescent="0.25">
      <c r="A1288" s="1" t="s">
        <v>246</v>
      </c>
      <c r="B1288" s="1" t="s">
        <v>9268</v>
      </c>
      <c r="C1288" s="1" t="s">
        <v>6653</v>
      </c>
    </row>
    <row r="1289" spans="1:3" ht="15.75" customHeight="1" x14ac:dyDescent="0.25">
      <c r="A1289" s="1" t="s">
        <v>4310</v>
      </c>
      <c r="B1289" s="1" t="s">
        <v>9267</v>
      </c>
      <c r="C1289" s="1" t="s">
        <v>6653</v>
      </c>
    </row>
    <row r="1290" spans="1:3" ht="15.75" customHeight="1" x14ac:dyDescent="0.25">
      <c r="A1290" s="1" t="s">
        <v>244</v>
      </c>
      <c r="B1290" s="1" t="s">
        <v>9266</v>
      </c>
      <c r="C1290" s="1" t="s">
        <v>6653</v>
      </c>
    </row>
    <row r="1291" spans="1:3" ht="15.75" customHeight="1" x14ac:dyDescent="0.25">
      <c r="A1291" s="1" t="s">
        <v>3866</v>
      </c>
      <c r="B1291" s="1" t="s">
        <v>9265</v>
      </c>
      <c r="C1291" s="1" t="s">
        <v>6653</v>
      </c>
    </row>
    <row r="1292" spans="1:3" ht="15.75" customHeight="1" x14ac:dyDescent="0.25">
      <c r="A1292" s="1" t="s">
        <v>3821</v>
      </c>
      <c r="B1292" s="1" t="s">
        <v>9264</v>
      </c>
      <c r="C1292" s="1" t="s">
        <v>6653</v>
      </c>
    </row>
    <row r="1293" spans="1:3" ht="15.75" customHeight="1" x14ac:dyDescent="0.25">
      <c r="A1293" s="1" t="s">
        <v>3095</v>
      </c>
      <c r="B1293" s="1" t="s">
        <v>9263</v>
      </c>
      <c r="C1293" s="1" t="s">
        <v>6653</v>
      </c>
    </row>
    <row r="1294" spans="1:3" ht="15.75" customHeight="1" x14ac:dyDescent="0.25">
      <c r="A1294" s="1" t="s">
        <v>3584</v>
      </c>
      <c r="B1294" s="1" t="s">
        <v>9262</v>
      </c>
      <c r="C1294" s="1" t="s">
        <v>6653</v>
      </c>
    </row>
    <row r="1295" spans="1:3" ht="15.75" customHeight="1" x14ac:dyDescent="0.25">
      <c r="A1295" s="1" t="s">
        <v>242</v>
      </c>
      <c r="B1295" s="1" t="s">
        <v>9261</v>
      </c>
      <c r="C1295" s="1" t="s">
        <v>6653</v>
      </c>
    </row>
    <row r="1296" spans="1:3" ht="15.75" customHeight="1" x14ac:dyDescent="0.25">
      <c r="A1296" s="1" t="s">
        <v>1419</v>
      </c>
      <c r="B1296" s="1" t="s">
        <v>9260</v>
      </c>
      <c r="C1296" s="1" t="s">
        <v>6714</v>
      </c>
    </row>
    <row r="1297" spans="1:3" ht="15.75" customHeight="1" x14ac:dyDescent="0.25">
      <c r="A1297" s="1" t="s">
        <v>9259</v>
      </c>
      <c r="B1297" s="1" t="s">
        <v>9258</v>
      </c>
      <c r="C1297" s="1" t="s">
        <v>6168</v>
      </c>
    </row>
    <row r="1298" spans="1:3" ht="15.75" customHeight="1" x14ac:dyDescent="0.25">
      <c r="A1298" s="1" t="s">
        <v>9257</v>
      </c>
      <c r="B1298" s="1" t="s">
        <v>9256</v>
      </c>
      <c r="C1298" s="1" t="s">
        <v>5836</v>
      </c>
    </row>
    <row r="1299" spans="1:3" ht="15.75" customHeight="1" x14ac:dyDescent="0.25">
      <c r="A1299" s="1" t="s">
        <v>4162</v>
      </c>
      <c r="B1299" s="1" t="s">
        <v>9255</v>
      </c>
      <c r="C1299" s="1" t="s">
        <v>6535</v>
      </c>
    </row>
    <row r="1300" spans="1:3" ht="15.75" customHeight="1" x14ac:dyDescent="0.25">
      <c r="A1300" s="1" t="s">
        <v>9254</v>
      </c>
      <c r="B1300" s="1" t="s">
        <v>9253</v>
      </c>
      <c r="C1300" s="1" t="s">
        <v>6546</v>
      </c>
    </row>
    <row r="1301" spans="1:3" ht="15.75" customHeight="1" x14ac:dyDescent="0.25">
      <c r="A1301" s="1" t="s">
        <v>240</v>
      </c>
      <c r="B1301" s="1" t="s">
        <v>9252</v>
      </c>
      <c r="C1301" s="1" t="s">
        <v>6653</v>
      </c>
    </row>
    <row r="1302" spans="1:3" ht="15.75" customHeight="1" x14ac:dyDescent="0.25">
      <c r="A1302" s="1" t="s">
        <v>9251</v>
      </c>
      <c r="B1302" s="1" t="s">
        <v>9250</v>
      </c>
      <c r="C1302" s="1" t="s">
        <v>5836</v>
      </c>
    </row>
    <row r="1303" spans="1:3" ht="15.75" customHeight="1" x14ac:dyDescent="0.25">
      <c r="A1303" s="1" t="s">
        <v>4723</v>
      </c>
      <c r="B1303" s="1" t="s">
        <v>8529</v>
      </c>
      <c r="C1303" s="1" t="s">
        <v>6956</v>
      </c>
    </row>
    <row r="1304" spans="1:3" ht="15.75" customHeight="1" x14ac:dyDescent="0.25">
      <c r="A1304" s="1" t="s">
        <v>9249</v>
      </c>
      <c r="B1304" s="1" t="s">
        <v>9248</v>
      </c>
      <c r="C1304" s="1" t="s">
        <v>6486</v>
      </c>
    </row>
    <row r="1305" spans="1:3" ht="15.75" customHeight="1" x14ac:dyDescent="0.25">
      <c r="A1305" s="1" t="s">
        <v>9247</v>
      </c>
      <c r="B1305" s="1" t="s">
        <v>9246</v>
      </c>
      <c r="C1305" s="1" t="s">
        <v>6507</v>
      </c>
    </row>
    <row r="1306" spans="1:3" ht="15.75" customHeight="1" x14ac:dyDescent="0.25">
      <c r="A1306" s="1" t="s">
        <v>9245</v>
      </c>
      <c r="B1306" s="1" t="s">
        <v>9244</v>
      </c>
      <c r="C1306" s="1" t="s">
        <v>6905</v>
      </c>
    </row>
    <row r="1307" spans="1:3" ht="15.75" customHeight="1" x14ac:dyDescent="0.25">
      <c r="A1307" s="1" t="s">
        <v>5397</v>
      </c>
      <c r="B1307" s="1" t="s">
        <v>8142</v>
      </c>
      <c r="C1307" s="1" t="s">
        <v>6673</v>
      </c>
    </row>
    <row r="1308" spans="1:3" ht="15.75" customHeight="1" x14ac:dyDescent="0.25">
      <c r="A1308" s="1" t="s">
        <v>9243</v>
      </c>
      <c r="B1308" s="1" t="s">
        <v>9242</v>
      </c>
      <c r="C1308" s="1" t="s">
        <v>6568</v>
      </c>
    </row>
    <row r="1309" spans="1:3" ht="15.75" customHeight="1" x14ac:dyDescent="0.25">
      <c r="A1309" s="1" t="s">
        <v>9241</v>
      </c>
      <c r="B1309" s="1" t="s">
        <v>7654</v>
      </c>
      <c r="C1309" s="1" t="s">
        <v>9240</v>
      </c>
    </row>
    <row r="1310" spans="1:3" ht="15.75" customHeight="1" x14ac:dyDescent="0.25">
      <c r="A1310" s="1" t="s">
        <v>9239</v>
      </c>
      <c r="B1310" s="1" t="s">
        <v>9238</v>
      </c>
      <c r="C1310" s="1" t="s">
        <v>9121</v>
      </c>
    </row>
    <row r="1311" spans="1:3" ht="15.75" customHeight="1" x14ac:dyDescent="0.25">
      <c r="A1311" s="1" t="s">
        <v>2353</v>
      </c>
      <c r="B1311" s="1" t="s">
        <v>9237</v>
      </c>
      <c r="C1311" s="1" t="s">
        <v>6468</v>
      </c>
    </row>
    <row r="1312" spans="1:3" ht="15.75" customHeight="1" x14ac:dyDescent="0.25">
      <c r="A1312" s="1" t="s">
        <v>9236</v>
      </c>
      <c r="B1312" s="1" t="s">
        <v>9235</v>
      </c>
      <c r="C1312" s="1" t="s">
        <v>5906</v>
      </c>
    </row>
    <row r="1313" spans="1:3" ht="15.75" customHeight="1" x14ac:dyDescent="0.25">
      <c r="A1313" s="1" t="s">
        <v>1886</v>
      </c>
      <c r="B1313" s="1" t="s">
        <v>9234</v>
      </c>
      <c r="C1313" s="1" t="s">
        <v>6468</v>
      </c>
    </row>
    <row r="1314" spans="1:3" ht="15.75" customHeight="1" x14ac:dyDescent="0.25">
      <c r="A1314" s="1" t="s">
        <v>2587</v>
      </c>
      <c r="B1314" s="1" t="s">
        <v>9233</v>
      </c>
      <c r="C1314" s="1" t="s">
        <v>6653</v>
      </c>
    </row>
    <row r="1315" spans="1:3" ht="15.75" customHeight="1" x14ac:dyDescent="0.25">
      <c r="A1315" s="1" t="s">
        <v>3530</v>
      </c>
      <c r="B1315" s="1" t="s">
        <v>9232</v>
      </c>
      <c r="C1315" s="1" t="s">
        <v>6468</v>
      </c>
    </row>
    <row r="1316" spans="1:3" ht="15.75" customHeight="1" x14ac:dyDescent="0.25">
      <c r="A1316" s="1" t="s">
        <v>3524</v>
      </c>
      <c r="B1316" s="1" t="s">
        <v>9231</v>
      </c>
      <c r="C1316" s="1" t="s">
        <v>5796</v>
      </c>
    </row>
    <row r="1317" spans="1:3" ht="15.75" customHeight="1" x14ac:dyDescent="0.25">
      <c r="A1317" s="1" t="s">
        <v>5639</v>
      </c>
      <c r="B1317" s="1" t="s">
        <v>9230</v>
      </c>
      <c r="C1317" s="1" t="s">
        <v>6093</v>
      </c>
    </row>
    <row r="1318" spans="1:3" ht="15.75" customHeight="1" x14ac:dyDescent="0.25">
      <c r="A1318" s="1" t="s">
        <v>9229</v>
      </c>
      <c r="B1318" s="1" t="s">
        <v>9228</v>
      </c>
      <c r="C1318" s="1" t="s">
        <v>6905</v>
      </c>
    </row>
    <row r="1319" spans="1:3" ht="15.75" customHeight="1" x14ac:dyDescent="0.25">
      <c r="A1319" s="1" t="s">
        <v>9227</v>
      </c>
      <c r="B1319" s="1" t="s">
        <v>9226</v>
      </c>
      <c r="C1319" s="1" t="s">
        <v>6507</v>
      </c>
    </row>
    <row r="1320" spans="1:3" ht="15.75" customHeight="1" x14ac:dyDescent="0.25">
      <c r="A1320" s="1" t="s">
        <v>4845</v>
      </c>
      <c r="B1320" s="1" t="s">
        <v>9225</v>
      </c>
      <c r="C1320" s="1" t="s">
        <v>6530</v>
      </c>
    </row>
    <row r="1321" spans="1:3" ht="15.75" customHeight="1" x14ac:dyDescent="0.25">
      <c r="A1321" s="1" t="s">
        <v>238</v>
      </c>
      <c r="B1321" s="1" t="s">
        <v>8152</v>
      </c>
      <c r="C1321" s="1" t="s">
        <v>9224</v>
      </c>
    </row>
    <row r="1322" spans="1:3" ht="15.75" customHeight="1" x14ac:dyDescent="0.25">
      <c r="A1322" s="1" t="s">
        <v>9223</v>
      </c>
      <c r="B1322" s="1" t="s">
        <v>9222</v>
      </c>
      <c r="C1322" s="1" t="s">
        <v>6905</v>
      </c>
    </row>
    <row r="1323" spans="1:3" ht="15.75" customHeight="1" x14ac:dyDescent="0.25">
      <c r="A1323" s="1" t="s">
        <v>2482</v>
      </c>
      <c r="B1323" s="1" t="s">
        <v>9221</v>
      </c>
      <c r="C1323" s="1" t="s">
        <v>6653</v>
      </c>
    </row>
    <row r="1324" spans="1:3" ht="15.75" customHeight="1" x14ac:dyDescent="0.25">
      <c r="A1324" s="1" t="s">
        <v>9220</v>
      </c>
      <c r="B1324" s="1" t="s">
        <v>9219</v>
      </c>
      <c r="C1324" s="1" t="s">
        <v>9218</v>
      </c>
    </row>
    <row r="1325" spans="1:3" ht="15.75" customHeight="1" x14ac:dyDescent="0.25">
      <c r="A1325" s="1" t="s">
        <v>2641</v>
      </c>
      <c r="B1325" s="1" t="s">
        <v>9217</v>
      </c>
      <c r="C1325" s="1" t="s">
        <v>5796</v>
      </c>
    </row>
    <row r="1326" spans="1:3" ht="15.75" customHeight="1" x14ac:dyDescent="0.25">
      <c r="A1326" s="1" t="s">
        <v>9216</v>
      </c>
      <c r="B1326" s="1" t="s">
        <v>9215</v>
      </c>
      <c r="C1326" s="1" t="s">
        <v>6905</v>
      </c>
    </row>
    <row r="1327" spans="1:3" ht="15.75" customHeight="1" x14ac:dyDescent="0.25">
      <c r="A1327" s="1" t="s">
        <v>236</v>
      </c>
      <c r="B1327" s="1" t="s">
        <v>9214</v>
      </c>
      <c r="C1327" s="1" t="s">
        <v>6929</v>
      </c>
    </row>
    <row r="1328" spans="1:3" ht="15.75" customHeight="1" x14ac:dyDescent="0.25">
      <c r="A1328" s="1" t="s">
        <v>9213</v>
      </c>
      <c r="B1328" s="1" t="s">
        <v>9212</v>
      </c>
      <c r="C1328" s="1" t="s">
        <v>6640</v>
      </c>
    </row>
    <row r="1329" spans="1:3" ht="15.75" customHeight="1" x14ac:dyDescent="0.25">
      <c r="A1329" s="1" t="s">
        <v>4966</v>
      </c>
      <c r="B1329" s="1" t="s">
        <v>9211</v>
      </c>
      <c r="C1329" s="1" t="s">
        <v>5796</v>
      </c>
    </row>
    <row r="1330" spans="1:3" ht="15.75" customHeight="1" x14ac:dyDescent="0.25">
      <c r="A1330" s="1" t="s">
        <v>9210</v>
      </c>
      <c r="B1330" s="1" t="s">
        <v>9209</v>
      </c>
      <c r="C1330" s="1" t="s">
        <v>9208</v>
      </c>
    </row>
    <row r="1331" spans="1:3" ht="15.75" customHeight="1" x14ac:dyDescent="0.25">
      <c r="A1331" s="1" t="s">
        <v>9207</v>
      </c>
      <c r="B1331" s="1" t="s">
        <v>9206</v>
      </c>
      <c r="C1331" s="1" t="s">
        <v>9121</v>
      </c>
    </row>
    <row r="1332" spans="1:3" ht="15.75" customHeight="1" x14ac:dyDescent="0.25">
      <c r="A1332" s="1" t="s">
        <v>9205</v>
      </c>
      <c r="B1332" s="1" t="s">
        <v>9204</v>
      </c>
      <c r="C1332" s="1" t="s">
        <v>6905</v>
      </c>
    </row>
    <row r="1333" spans="1:3" ht="15.75" customHeight="1" x14ac:dyDescent="0.25">
      <c r="A1333" s="1" t="s">
        <v>9203</v>
      </c>
      <c r="B1333" s="1" t="s">
        <v>9182</v>
      </c>
      <c r="C1333" s="1" t="s">
        <v>6892</v>
      </c>
    </row>
    <row r="1334" spans="1:3" ht="15.75" customHeight="1" x14ac:dyDescent="0.25">
      <c r="A1334" s="1" t="s">
        <v>3215</v>
      </c>
      <c r="B1334" s="1" t="s">
        <v>3213</v>
      </c>
      <c r="C1334" s="1" t="s">
        <v>9202</v>
      </c>
    </row>
    <row r="1335" spans="1:3" ht="15.75" customHeight="1" x14ac:dyDescent="0.25">
      <c r="A1335" s="1" t="s">
        <v>9201</v>
      </c>
      <c r="B1335" s="1" t="s">
        <v>9200</v>
      </c>
      <c r="C1335" s="1" t="s">
        <v>6963</v>
      </c>
    </row>
    <row r="1336" spans="1:3" ht="15.75" customHeight="1" x14ac:dyDescent="0.25">
      <c r="A1336" s="1" t="s">
        <v>9199</v>
      </c>
      <c r="B1336" s="1" t="s">
        <v>9198</v>
      </c>
      <c r="C1336" s="1" t="s">
        <v>6963</v>
      </c>
    </row>
    <row r="1337" spans="1:3" ht="15.75" customHeight="1" x14ac:dyDescent="0.25">
      <c r="A1337" s="1" t="s">
        <v>9197</v>
      </c>
      <c r="B1337" s="1" t="s">
        <v>9196</v>
      </c>
      <c r="C1337" s="1" t="s">
        <v>6661</v>
      </c>
    </row>
    <row r="1338" spans="1:3" ht="15.75" customHeight="1" x14ac:dyDescent="0.25">
      <c r="A1338" s="1" t="s">
        <v>9195</v>
      </c>
      <c r="B1338" s="1" t="s">
        <v>9194</v>
      </c>
      <c r="C1338" s="1" t="s">
        <v>6546</v>
      </c>
    </row>
    <row r="1339" spans="1:3" ht="15.75" customHeight="1" x14ac:dyDescent="0.25">
      <c r="A1339" s="1" t="s">
        <v>4875</v>
      </c>
      <c r="B1339" s="1" t="s">
        <v>9193</v>
      </c>
      <c r="C1339" s="1" t="s">
        <v>5796</v>
      </c>
    </row>
    <row r="1340" spans="1:3" ht="15.75" customHeight="1" x14ac:dyDescent="0.25">
      <c r="A1340" s="1" t="s">
        <v>9192</v>
      </c>
      <c r="B1340" s="1" t="s">
        <v>9191</v>
      </c>
      <c r="C1340" s="1" t="s">
        <v>6905</v>
      </c>
    </row>
    <row r="1341" spans="1:3" ht="15.75" customHeight="1" x14ac:dyDescent="0.25">
      <c r="A1341" s="1" t="s">
        <v>2341</v>
      </c>
      <c r="B1341" s="1" t="s">
        <v>9190</v>
      </c>
      <c r="C1341" s="1" t="s">
        <v>6640</v>
      </c>
    </row>
    <row r="1342" spans="1:3" ht="15.75" customHeight="1" x14ac:dyDescent="0.25">
      <c r="A1342" s="1" t="s">
        <v>1104</v>
      </c>
      <c r="B1342" s="1" t="s">
        <v>9189</v>
      </c>
      <c r="C1342" s="1" t="s">
        <v>7875</v>
      </c>
    </row>
    <row r="1343" spans="1:3" ht="15.75" customHeight="1" x14ac:dyDescent="0.25">
      <c r="A1343" s="1" t="s">
        <v>9188</v>
      </c>
      <c r="B1343" s="1" t="s">
        <v>9187</v>
      </c>
      <c r="C1343" s="1" t="s">
        <v>7228</v>
      </c>
    </row>
    <row r="1344" spans="1:3" ht="15.75" customHeight="1" x14ac:dyDescent="0.25">
      <c r="A1344" s="1" t="s">
        <v>3935</v>
      </c>
      <c r="B1344" s="1" t="s">
        <v>9186</v>
      </c>
      <c r="C1344" s="1" t="s">
        <v>5800</v>
      </c>
    </row>
    <row r="1345" spans="1:3" ht="15.75" customHeight="1" x14ac:dyDescent="0.25">
      <c r="A1345" s="1" t="s">
        <v>9185</v>
      </c>
      <c r="B1345" s="1" t="s">
        <v>9184</v>
      </c>
      <c r="C1345" s="1" t="s">
        <v>7875</v>
      </c>
    </row>
    <row r="1346" spans="1:3" ht="15.75" customHeight="1" x14ac:dyDescent="0.25">
      <c r="A1346" s="1" t="s">
        <v>9183</v>
      </c>
      <c r="B1346" s="1" t="s">
        <v>9182</v>
      </c>
      <c r="C1346" s="1" t="s">
        <v>8451</v>
      </c>
    </row>
    <row r="1347" spans="1:3" ht="15.75" customHeight="1" x14ac:dyDescent="0.25">
      <c r="A1347" s="1" t="s">
        <v>3137</v>
      </c>
      <c r="B1347" s="1" t="s">
        <v>9181</v>
      </c>
      <c r="C1347" s="1" t="s">
        <v>5796</v>
      </c>
    </row>
    <row r="1348" spans="1:3" ht="15.75" customHeight="1" x14ac:dyDescent="0.25">
      <c r="A1348" s="1" t="s">
        <v>234</v>
      </c>
      <c r="B1348" s="1" t="s">
        <v>9180</v>
      </c>
      <c r="C1348" s="1" t="s">
        <v>6795</v>
      </c>
    </row>
    <row r="1349" spans="1:3" ht="15.75" customHeight="1" x14ac:dyDescent="0.25">
      <c r="A1349" s="1" t="s">
        <v>9179</v>
      </c>
      <c r="B1349" s="1" t="s">
        <v>9178</v>
      </c>
      <c r="C1349" s="1" t="s">
        <v>6905</v>
      </c>
    </row>
    <row r="1350" spans="1:3" ht="15.75" customHeight="1" x14ac:dyDescent="0.25">
      <c r="A1350" s="1" t="s">
        <v>9177</v>
      </c>
      <c r="B1350" s="1" t="s">
        <v>9176</v>
      </c>
      <c r="C1350" s="1" t="s">
        <v>6905</v>
      </c>
    </row>
    <row r="1351" spans="1:3" ht="15.75" customHeight="1" x14ac:dyDescent="0.25">
      <c r="A1351" s="1" t="s">
        <v>4295</v>
      </c>
      <c r="B1351" s="1" t="s">
        <v>9175</v>
      </c>
      <c r="C1351" s="1" t="s">
        <v>6242</v>
      </c>
    </row>
    <row r="1352" spans="1:3" ht="15.75" customHeight="1" x14ac:dyDescent="0.25">
      <c r="A1352" s="1" t="s">
        <v>2251</v>
      </c>
      <c r="B1352" s="1" t="s">
        <v>9174</v>
      </c>
      <c r="C1352" s="1" t="s">
        <v>5796</v>
      </c>
    </row>
    <row r="1353" spans="1:3" ht="15.75" customHeight="1" x14ac:dyDescent="0.25">
      <c r="A1353" s="1" t="s">
        <v>2864</v>
      </c>
      <c r="B1353" s="1" t="s">
        <v>9173</v>
      </c>
      <c r="C1353" s="1" t="s">
        <v>6667</v>
      </c>
    </row>
    <row r="1354" spans="1:3" ht="15.75" customHeight="1" x14ac:dyDescent="0.25">
      <c r="A1354" s="1" t="s">
        <v>5093</v>
      </c>
      <c r="B1354" s="1" t="s">
        <v>9172</v>
      </c>
      <c r="C1354" s="1" t="s">
        <v>5811</v>
      </c>
    </row>
    <row r="1355" spans="1:3" ht="15.75" customHeight="1" x14ac:dyDescent="0.25">
      <c r="A1355" s="1" t="s">
        <v>3642</v>
      </c>
      <c r="B1355" s="1" t="s">
        <v>9171</v>
      </c>
      <c r="C1355" s="1" t="s">
        <v>6468</v>
      </c>
    </row>
    <row r="1356" spans="1:3" ht="15.75" customHeight="1" x14ac:dyDescent="0.25">
      <c r="A1356" s="1" t="s">
        <v>9170</v>
      </c>
      <c r="B1356" s="1" t="s">
        <v>9169</v>
      </c>
      <c r="C1356" s="1" t="s">
        <v>8623</v>
      </c>
    </row>
    <row r="1357" spans="1:3" ht="15.75" customHeight="1" x14ac:dyDescent="0.25">
      <c r="A1357" s="1" t="s">
        <v>4516</v>
      </c>
      <c r="B1357" s="1" t="s">
        <v>9168</v>
      </c>
      <c r="C1357" s="1" t="s">
        <v>6468</v>
      </c>
    </row>
    <row r="1358" spans="1:3" ht="15.75" customHeight="1" x14ac:dyDescent="0.25">
      <c r="A1358" s="1" t="s">
        <v>9167</v>
      </c>
      <c r="B1358" s="1" t="s">
        <v>9166</v>
      </c>
      <c r="C1358" s="1" t="s">
        <v>6468</v>
      </c>
    </row>
    <row r="1359" spans="1:3" ht="15.75" customHeight="1" x14ac:dyDescent="0.25">
      <c r="A1359" s="1" t="s">
        <v>9165</v>
      </c>
      <c r="B1359" s="1" t="s">
        <v>9164</v>
      </c>
      <c r="C1359" s="1" t="s">
        <v>7860</v>
      </c>
    </row>
    <row r="1360" spans="1:3" ht="15.75" customHeight="1" x14ac:dyDescent="0.25">
      <c r="A1360" s="1" t="s">
        <v>2229</v>
      </c>
      <c r="B1360" s="1" t="s">
        <v>9163</v>
      </c>
      <c r="C1360" s="1" t="s">
        <v>6653</v>
      </c>
    </row>
    <row r="1361" spans="1:3" ht="15.75" customHeight="1" x14ac:dyDescent="0.25">
      <c r="A1361" s="1" t="s">
        <v>3668</v>
      </c>
      <c r="B1361" s="1" t="s">
        <v>9162</v>
      </c>
      <c r="C1361" s="1" t="s">
        <v>7106</v>
      </c>
    </row>
    <row r="1362" spans="1:3" ht="15.75" customHeight="1" x14ac:dyDescent="0.25">
      <c r="A1362" s="1" t="s">
        <v>3485</v>
      </c>
      <c r="B1362" s="1" t="s">
        <v>9161</v>
      </c>
      <c r="C1362" s="1" t="s">
        <v>5800</v>
      </c>
    </row>
    <row r="1363" spans="1:3" ht="15.75" customHeight="1" x14ac:dyDescent="0.25">
      <c r="A1363" s="1" t="s">
        <v>9160</v>
      </c>
      <c r="B1363" s="1" t="s">
        <v>9159</v>
      </c>
      <c r="C1363" s="1" t="s">
        <v>9150</v>
      </c>
    </row>
    <row r="1364" spans="1:3" ht="15.75" customHeight="1" x14ac:dyDescent="0.25">
      <c r="A1364" s="1" t="s">
        <v>2440</v>
      </c>
      <c r="B1364" s="1" t="s">
        <v>9158</v>
      </c>
      <c r="C1364" s="1" t="s">
        <v>5779</v>
      </c>
    </row>
    <row r="1365" spans="1:3" ht="15.75" customHeight="1" x14ac:dyDescent="0.25">
      <c r="A1365" s="1" t="s">
        <v>1152</v>
      </c>
      <c r="B1365" s="1" t="s">
        <v>9157</v>
      </c>
      <c r="C1365" s="1" t="s">
        <v>7468</v>
      </c>
    </row>
    <row r="1366" spans="1:3" ht="15.75" customHeight="1" x14ac:dyDescent="0.25">
      <c r="A1366" s="1" t="s">
        <v>9156</v>
      </c>
      <c r="B1366" s="1" t="s">
        <v>9155</v>
      </c>
      <c r="C1366" s="1" t="s">
        <v>6905</v>
      </c>
    </row>
    <row r="1367" spans="1:3" ht="15.75" customHeight="1" x14ac:dyDescent="0.25">
      <c r="A1367" s="1" t="s">
        <v>4365</v>
      </c>
      <c r="B1367" s="1" t="s">
        <v>9154</v>
      </c>
      <c r="C1367" s="1" t="s">
        <v>5800</v>
      </c>
    </row>
    <row r="1368" spans="1:3" ht="15.75" customHeight="1" x14ac:dyDescent="0.25">
      <c r="A1368" s="1" t="s">
        <v>9153</v>
      </c>
      <c r="B1368" s="1" t="s">
        <v>9152</v>
      </c>
      <c r="C1368" s="1" t="s">
        <v>5853</v>
      </c>
    </row>
    <row r="1369" spans="1:3" ht="15.75" customHeight="1" x14ac:dyDescent="0.25">
      <c r="A1369" s="1" t="s">
        <v>2085</v>
      </c>
      <c r="B1369" s="1" t="s">
        <v>9151</v>
      </c>
      <c r="C1369" s="1" t="s">
        <v>9150</v>
      </c>
    </row>
    <row r="1370" spans="1:3" ht="15.75" customHeight="1" x14ac:dyDescent="0.25">
      <c r="A1370" s="1" t="s">
        <v>3307</v>
      </c>
      <c r="B1370" s="1" t="s">
        <v>9149</v>
      </c>
      <c r="C1370" s="1" t="s">
        <v>7011</v>
      </c>
    </row>
    <row r="1371" spans="1:3" ht="15.75" customHeight="1" x14ac:dyDescent="0.25">
      <c r="A1371" s="1" t="s">
        <v>9148</v>
      </c>
      <c r="B1371" s="1" t="s">
        <v>9147</v>
      </c>
      <c r="C1371" s="1" t="s">
        <v>6905</v>
      </c>
    </row>
    <row r="1372" spans="1:3" ht="15.75" customHeight="1" x14ac:dyDescent="0.25">
      <c r="A1372" s="1" t="s">
        <v>2918</v>
      </c>
      <c r="B1372" s="1" t="s">
        <v>9146</v>
      </c>
      <c r="C1372" s="1" t="s">
        <v>5796</v>
      </c>
    </row>
    <row r="1373" spans="1:3" ht="15.75" customHeight="1" x14ac:dyDescent="0.25">
      <c r="A1373" s="1" t="s">
        <v>9145</v>
      </c>
      <c r="B1373" s="1" t="s">
        <v>9144</v>
      </c>
      <c r="C1373" s="1" t="s">
        <v>5791</v>
      </c>
    </row>
    <row r="1374" spans="1:3" ht="15.75" customHeight="1" x14ac:dyDescent="0.25">
      <c r="A1374" s="1" t="s">
        <v>9143</v>
      </c>
      <c r="B1374" s="1" t="s">
        <v>9142</v>
      </c>
      <c r="C1374" s="1" t="s">
        <v>8037</v>
      </c>
    </row>
    <row r="1375" spans="1:3" ht="15.75" customHeight="1" x14ac:dyDescent="0.25">
      <c r="A1375" s="1" t="s">
        <v>2639</v>
      </c>
      <c r="B1375" s="1" t="s">
        <v>9141</v>
      </c>
      <c r="C1375" s="1" t="s">
        <v>6667</v>
      </c>
    </row>
    <row r="1376" spans="1:3" ht="15.75" customHeight="1" x14ac:dyDescent="0.25">
      <c r="A1376" s="1" t="s">
        <v>9140</v>
      </c>
      <c r="B1376" s="1" t="s">
        <v>9139</v>
      </c>
      <c r="C1376" s="1" t="s">
        <v>5844</v>
      </c>
    </row>
    <row r="1377" spans="1:3" ht="15.75" customHeight="1" x14ac:dyDescent="0.25">
      <c r="A1377" s="1" t="s">
        <v>555</v>
      </c>
      <c r="B1377" s="1" t="s">
        <v>9138</v>
      </c>
      <c r="C1377" s="1" t="s">
        <v>6729</v>
      </c>
    </row>
    <row r="1378" spans="1:3" ht="15.75" customHeight="1" x14ac:dyDescent="0.25">
      <c r="A1378" s="1" t="s">
        <v>1656</v>
      </c>
      <c r="B1378" s="1" t="s">
        <v>9137</v>
      </c>
      <c r="C1378" s="1" t="s">
        <v>9136</v>
      </c>
    </row>
    <row r="1379" spans="1:3" ht="15.75" customHeight="1" x14ac:dyDescent="0.25">
      <c r="A1379" s="1" t="s">
        <v>9135</v>
      </c>
      <c r="B1379" s="1" t="s">
        <v>9134</v>
      </c>
      <c r="C1379" s="1" t="s">
        <v>6242</v>
      </c>
    </row>
    <row r="1380" spans="1:3" ht="15.75" customHeight="1" x14ac:dyDescent="0.25">
      <c r="A1380" s="1" t="s">
        <v>9133</v>
      </c>
      <c r="B1380" s="1" t="s">
        <v>9132</v>
      </c>
      <c r="C1380" s="1" t="s">
        <v>6586</v>
      </c>
    </row>
    <row r="1381" spans="1:3" ht="15.75" customHeight="1" x14ac:dyDescent="0.25">
      <c r="A1381" s="1" t="s">
        <v>2390</v>
      </c>
      <c r="B1381" s="1" t="s">
        <v>9131</v>
      </c>
      <c r="C1381" s="1" t="s">
        <v>6667</v>
      </c>
    </row>
    <row r="1382" spans="1:3" ht="15.75" customHeight="1" x14ac:dyDescent="0.25">
      <c r="A1382" s="1" t="s">
        <v>9130</v>
      </c>
      <c r="B1382" s="1" t="s">
        <v>9129</v>
      </c>
      <c r="C1382" s="1" t="s">
        <v>6242</v>
      </c>
    </row>
    <row r="1383" spans="1:3" ht="15.75" customHeight="1" x14ac:dyDescent="0.25">
      <c r="A1383" s="1" t="s">
        <v>5452</v>
      </c>
      <c r="B1383" s="1" t="s">
        <v>9128</v>
      </c>
      <c r="C1383" s="1" t="s">
        <v>7915</v>
      </c>
    </row>
    <row r="1384" spans="1:3" ht="15.75" customHeight="1" x14ac:dyDescent="0.25">
      <c r="A1384" s="1" t="s">
        <v>2581</v>
      </c>
      <c r="B1384" s="1" t="s">
        <v>9127</v>
      </c>
      <c r="C1384" s="1" t="s">
        <v>6667</v>
      </c>
    </row>
    <row r="1385" spans="1:3" ht="15.75" customHeight="1" x14ac:dyDescent="0.25">
      <c r="A1385" s="1" t="s">
        <v>1074</v>
      </c>
      <c r="B1385" s="1" t="s">
        <v>9126</v>
      </c>
      <c r="C1385" s="1" t="s">
        <v>5824</v>
      </c>
    </row>
    <row r="1386" spans="1:3" ht="15.75" customHeight="1" x14ac:dyDescent="0.25">
      <c r="A1386" s="1" t="s">
        <v>9125</v>
      </c>
      <c r="B1386" s="1" t="s">
        <v>9124</v>
      </c>
      <c r="C1386" s="1" t="s">
        <v>6937</v>
      </c>
    </row>
    <row r="1387" spans="1:3" ht="15.75" customHeight="1" x14ac:dyDescent="0.25">
      <c r="A1387" s="1" t="s">
        <v>9123</v>
      </c>
      <c r="B1387" s="1" t="s">
        <v>9122</v>
      </c>
      <c r="C1387" s="1" t="s">
        <v>9121</v>
      </c>
    </row>
    <row r="1388" spans="1:3" ht="15.75" customHeight="1" x14ac:dyDescent="0.25">
      <c r="A1388" s="1" t="s">
        <v>9120</v>
      </c>
      <c r="B1388" s="1" t="s">
        <v>9119</v>
      </c>
      <c r="C1388" s="1" t="s">
        <v>6242</v>
      </c>
    </row>
    <row r="1389" spans="1:3" ht="15.75" customHeight="1" x14ac:dyDescent="0.25">
      <c r="A1389" s="1" t="s">
        <v>9118</v>
      </c>
      <c r="B1389" s="1" t="s">
        <v>9117</v>
      </c>
      <c r="C1389" s="1" t="s">
        <v>5811</v>
      </c>
    </row>
    <row r="1390" spans="1:3" ht="15.75" customHeight="1" x14ac:dyDescent="0.25">
      <c r="A1390" s="1" t="s">
        <v>232</v>
      </c>
      <c r="B1390" s="1" t="s">
        <v>9116</v>
      </c>
      <c r="C1390" s="1" t="s">
        <v>9115</v>
      </c>
    </row>
    <row r="1391" spans="1:3" ht="15.75" customHeight="1" x14ac:dyDescent="0.25">
      <c r="A1391" s="1" t="s">
        <v>9114</v>
      </c>
      <c r="B1391" s="1" t="s">
        <v>9113</v>
      </c>
      <c r="C1391" s="1" t="s">
        <v>6486</v>
      </c>
    </row>
    <row r="1392" spans="1:3" ht="15.75" customHeight="1" x14ac:dyDescent="0.25">
      <c r="A1392" s="1" t="s">
        <v>5419</v>
      </c>
      <c r="B1392" s="1" t="s">
        <v>9112</v>
      </c>
      <c r="C1392" s="1" t="s">
        <v>9111</v>
      </c>
    </row>
    <row r="1393" spans="1:3" ht="15.75" customHeight="1" x14ac:dyDescent="0.25">
      <c r="A1393" s="1" t="s">
        <v>4564</v>
      </c>
      <c r="B1393" s="1" t="s">
        <v>9110</v>
      </c>
      <c r="C1393" s="1" t="s">
        <v>6929</v>
      </c>
    </row>
    <row r="1394" spans="1:3" ht="15.75" customHeight="1" x14ac:dyDescent="0.25">
      <c r="A1394" s="1" t="s">
        <v>9109</v>
      </c>
      <c r="B1394" s="1" t="s">
        <v>9108</v>
      </c>
      <c r="C1394" s="1" t="s">
        <v>6507</v>
      </c>
    </row>
    <row r="1395" spans="1:3" ht="15.75" customHeight="1" x14ac:dyDescent="0.25">
      <c r="A1395" s="1" t="s">
        <v>229</v>
      </c>
      <c r="B1395" s="1" t="s">
        <v>9107</v>
      </c>
      <c r="C1395" s="1" t="s">
        <v>6797</v>
      </c>
    </row>
    <row r="1396" spans="1:3" ht="15.75" customHeight="1" x14ac:dyDescent="0.25">
      <c r="A1396" s="1" t="s">
        <v>9106</v>
      </c>
      <c r="B1396" s="1" t="s">
        <v>9105</v>
      </c>
      <c r="C1396" s="1" t="s">
        <v>5811</v>
      </c>
    </row>
    <row r="1397" spans="1:3" ht="15.75" customHeight="1" x14ac:dyDescent="0.25">
      <c r="A1397" s="1" t="s">
        <v>9104</v>
      </c>
      <c r="B1397" s="1" t="s">
        <v>9103</v>
      </c>
      <c r="C1397" s="1" t="s">
        <v>6242</v>
      </c>
    </row>
    <row r="1398" spans="1:3" ht="15.75" customHeight="1" x14ac:dyDescent="0.25">
      <c r="A1398" s="1" t="s">
        <v>9102</v>
      </c>
      <c r="B1398" s="1" t="s">
        <v>9101</v>
      </c>
      <c r="C1398" s="1" t="s">
        <v>5811</v>
      </c>
    </row>
    <row r="1399" spans="1:3" ht="15.75" customHeight="1" x14ac:dyDescent="0.25">
      <c r="A1399" s="1" t="s">
        <v>9100</v>
      </c>
      <c r="B1399" s="1" t="s">
        <v>9099</v>
      </c>
      <c r="C1399" s="1" t="s">
        <v>6546</v>
      </c>
    </row>
    <row r="1400" spans="1:3" ht="15.75" customHeight="1" x14ac:dyDescent="0.25">
      <c r="A1400" s="1" t="s">
        <v>9098</v>
      </c>
      <c r="B1400" s="1" t="s">
        <v>9091</v>
      </c>
      <c r="C1400" s="1" t="s">
        <v>9097</v>
      </c>
    </row>
    <row r="1401" spans="1:3" ht="15.75" customHeight="1" x14ac:dyDescent="0.25">
      <c r="A1401" s="1" t="s">
        <v>5198</v>
      </c>
      <c r="B1401" s="1" t="s">
        <v>9096</v>
      </c>
      <c r="C1401" s="1" t="s">
        <v>6929</v>
      </c>
    </row>
    <row r="1402" spans="1:3" ht="15.75" customHeight="1" x14ac:dyDescent="0.25">
      <c r="A1402" s="1" t="s">
        <v>9095</v>
      </c>
      <c r="B1402" s="1" t="s">
        <v>9091</v>
      </c>
      <c r="C1402" s="1" t="s">
        <v>9094</v>
      </c>
    </row>
    <row r="1403" spans="1:3" ht="15.75" customHeight="1" x14ac:dyDescent="0.25">
      <c r="A1403" s="1" t="s">
        <v>2546</v>
      </c>
      <c r="B1403" s="1" t="s">
        <v>9093</v>
      </c>
      <c r="C1403" s="1" t="s">
        <v>6767</v>
      </c>
    </row>
    <row r="1404" spans="1:3" ht="15.75" customHeight="1" x14ac:dyDescent="0.25">
      <c r="A1404" s="1" t="s">
        <v>9092</v>
      </c>
      <c r="B1404" s="1" t="s">
        <v>9091</v>
      </c>
      <c r="C1404" s="1" t="s">
        <v>9090</v>
      </c>
    </row>
    <row r="1405" spans="1:3" ht="15.75" customHeight="1" x14ac:dyDescent="0.25">
      <c r="A1405" s="1" t="s">
        <v>5053</v>
      </c>
      <c r="B1405" s="1" t="s">
        <v>9089</v>
      </c>
      <c r="C1405" s="1" t="s">
        <v>6168</v>
      </c>
    </row>
    <row r="1406" spans="1:3" ht="15.75" customHeight="1" x14ac:dyDescent="0.25">
      <c r="A1406" s="1" t="s">
        <v>9088</v>
      </c>
      <c r="B1406" s="1" t="s">
        <v>9087</v>
      </c>
      <c r="C1406" s="1" t="s">
        <v>6546</v>
      </c>
    </row>
    <row r="1407" spans="1:3" ht="15.75" customHeight="1" x14ac:dyDescent="0.25">
      <c r="A1407" s="1" t="s">
        <v>9086</v>
      </c>
      <c r="B1407" s="1" t="s">
        <v>9085</v>
      </c>
      <c r="C1407" s="1" t="s">
        <v>5811</v>
      </c>
    </row>
    <row r="1408" spans="1:3" ht="15.75" customHeight="1" x14ac:dyDescent="0.25">
      <c r="A1408" s="1" t="s">
        <v>833</v>
      </c>
      <c r="B1408" s="1" t="s">
        <v>9084</v>
      </c>
      <c r="C1408" s="1" t="s">
        <v>7098</v>
      </c>
    </row>
    <row r="1409" spans="1:3" ht="15.75" customHeight="1" x14ac:dyDescent="0.25">
      <c r="A1409" s="1" t="s">
        <v>2926</v>
      </c>
      <c r="B1409" s="1" t="s">
        <v>9083</v>
      </c>
      <c r="C1409" s="1" t="s">
        <v>8509</v>
      </c>
    </row>
    <row r="1410" spans="1:3" ht="15.75" customHeight="1" x14ac:dyDescent="0.25">
      <c r="A1410" s="1" t="s">
        <v>2368</v>
      </c>
      <c r="B1410" s="1" t="s">
        <v>9082</v>
      </c>
      <c r="C1410" s="1" t="s">
        <v>8509</v>
      </c>
    </row>
    <row r="1411" spans="1:3" ht="15.75" customHeight="1" x14ac:dyDescent="0.25">
      <c r="A1411" s="1" t="s">
        <v>9081</v>
      </c>
      <c r="B1411" s="1" t="s">
        <v>9080</v>
      </c>
      <c r="C1411" s="1" t="s">
        <v>9079</v>
      </c>
    </row>
    <row r="1412" spans="1:3" ht="15.75" customHeight="1" x14ac:dyDescent="0.25">
      <c r="A1412" s="1" t="s">
        <v>227</v>
      </c>
      <c r="B1412" s="1" t="s">
        <v>9078</v>
      </c>
      <c r="C1412" s="1" t="s">
        <v>6675</v>
      </c>
    </row>
    <row r="1413" spans="1:3" ht="15.75" customHeight="1" x14ac:dyDescent="0.25">
      <c r="A1413" s="1" t="s">
        <v>9077</v>
      </c>
      <c r="B1413" s="1" t="s">
        <v>9076</v>
      </c>
      <c r="C1413" s="1" t="s">
        <v>6242</v>
      </c>
    </row>
    <row r="1414" spans="1:3" ht="15.75" customHeight="1" x14ac:dyDescent="0.25">
      <c r="A1414" s="1" t="s">
        <v>946</v>
      </c>
      <c r="B1414" s="1" t="s">
        <v>9075</v>
      </c>
      <c r="C1414" s="1" t="s">
        <v>5805</v>
      </c>
    </row>
    <row r="1415" spans="1:3" ht="15.75" customHeight="1" x14ac:dyDescent="0.25">
      <c r="A1415" s="1" t="s">
        <v>4687</v>
      </c>
      <c r="B1415" s="1" t="s">
        <v>9074</v>
      </c>
      <c r="C1415" s="1" t="s">
        <v>6122</v>
      </c>
    </row>
    <row r="1416" spans="1:3" ht="15.75" customHeight="1" x14ac:dyDescent="0.25">
      <c r="A1416" s="1" t="s">
        <v>9073</v>
      </c>
      <c r="B1416" s="1" t="s">
        <v>9072</v>
      </c>
      <c r="C1416" s="1" t="s">
        <v>6242</v>
      </c>
    </row>
    <row r="1417" spans="1:3" ht="15.75" customHeight="1" x14ac:dyDescent="0.25">
      <c r="A1417" s="1" t="s">
        <v>2962</v>
      </c>
      <c r="B1417" s="1" t="s">
        <v>9071</v>
      </c>
      <c r="C1417" s="1" t="s">
        <v>9070</v>
      </c>
    </row>
    <row r="1418" spans="1:3" ht="15.75" customHeight="1" x14ac:dyDescent="0.25">
      <c r="A1418" s="1" t="s">
        <v>9069</v>
      </c>
      <c r="B1418" s="1" t="s">
        <v>9068</v>
      </c>
      <c r="C1418" s="1" t="s">
        <v>6242</v>
      </c>
    </row>
    <row r="1419" spans="1:3" ht="15.75" customHeight="1" x14ac:dyDescent="0.25">
      <c r="A1419" s="1" t="s">
        <v>224</v>
      </c>
      <c r="B1419" s="1" t="s">
        <v>9067</v>
      </c>
      <c r="C1419" s="1" t="s">
        <v>9066</v>
      </c>
    </row>
    <row r="1420" spans="1:3" ht="15.75" customHeight="1" x14ac:dyDescent="0.25">
      <c r="A1420" s="1" t="s">
        <v>1132</v>
      </c>
      <c r="B1420" s="1" t="s">
        <v>9065</v>
      </c>
      <c r="C1420" s="1" t="s">
        <v>5805</v>
      </c>
    </row>
    <row r="1421" spans="1:3" ht="15.75" customHeight="1" x14ac:dyDescent="0.25">
      <c r="A1421" s="1" t="s">
        <v>4896</v>
      </c>
      <c r="B1421" s="1" t="s">
        <v>6167</v>
      </c>
      <c r="C1421" s="1" t="s">
        <v>9064</v>
      </c>
    </row>
    <row r="1422" spans="1:3" ht="15.75" customHeight="1" x14ac:dyDescent="0.25">
      <c r="A1422" s="1" t="s">
        <v>4436</v>
      </c>
      <c r="B1422" s="1" t="s">
        <v>9063</v>
      </c>
      <c r="C1422" s="1" t="s">
        <v>9062</v>
      </c>
    </row>
    <row r="1423" spans="1:3" ht="15.75" customHeight="1" x14ac:dyDescent="0.25">
      <c r="A1423" s="1" t="s">
        <v>219</v>
      </c>
      <c r="B1423" s="1" t="s">
        <v>218</v>
      </c>
      <c r="C1423" s="1" t="s">
        <v>9061</v>
      </c>
    </row>
    <row r="1424" spans="1:3" ht="15.75" customHeight="1" x14ac:dyDescent="0.25">
      <c r="A1424" s="1" t="s">
        <v>9060</v>
      </c>
      <c r="B1424" s="1" t="s">
        <v>9059</v>
      </c>
      <c r="C1424" s="1" t="s">
        <v>6242</v>
      </c>
    </row>
    <row r="1425" spans="1:3" ht="15.75" customHeight="1" x14ac:dyDescent="0.25">
      <c r="A1425" s="1" t="s">
        <v>9058</v>
      </c>
      <c r="B1425" s="1" t="s">
        <v>9057</v>
      </c>
      <c r="C1425" s="1" t="s">
        <v>6242</v>
      </c>
    </row>
    <row r="1426" spans="1:3" ht="15.75" customHeight="1" x14ac:dyDescent="0.25">
      <c r="A1426" s="1" t="s">
        <v>9056</v>
      </c>
      <c r="B1426" s="1" t="s">
        <v>9055</v>
      </c>
      <c r="C1426" s="1" t="s">
        <v>6242</v>
      </c>
    </row>
    <row r="1427" spans="1:3" ht="15.75" customHeight="1" x14ac:dyDescent="0.25">
      <c r="A1427" s="1" t="s">
        <v>9054</v>
      </c>
      <c r="B1427" s="1" t="s">
        <v>9053</v>
      </c>
      <c r="C1427" s="1" t="s">
        <v>6242</v>
      </c>
    </row>
    <row r="1428" spans="1:3" ht="15.75" customHeight="1" x14ac:dyDescent="0.25">
      <c r="A1428" s="1" t="s">
        <v>9052</v>
      </c>
      <c r="B1428" s="1" t="s">
        <v>9051</v>
      </c>
      <c r="C1428" s="1" t="s">
        <v>6242</v>
      </c>
    </row>
    <row r="1429" spans="1:3" ht="15.75" customHeight="1" x14ac:dyDescent="0.25">
      <c r="A1429" s="1" t="s">
        <v>9050</v>
      </c>
      <c r="B1429" s="1" t="s">
        <v>9049</v>
      </c>
      <c r="C1429" s="1" t="s">
        <v>6242</v>
      </c>
    </row>
    <row r="1430" spans="1:3" ht="15.75" customHeight="1" x14ac:dyDescent="0.25">
      <c r="A1430" s="1" t="s">
        <v>1563</v>
      </c>
      <c r="B1430" s="1" t="s">
        <v>9048</v>
      </c>
      <c r="C1430" s="1" t="s">
        <v>6242</v>
      </c>
    </row>
    <row r="1431" spans="1:3" ht="15.75" customHeight="1" x14ac:dyDescent="0.25">
      <c r="A1431" s="1" t="s">
        <v>9047</v>
      </c>
      <c r="B1431" s="1" t="s">
        <v>9046</v>
      </c>
      <c r="C1431" s="1" t="s">
        <v>6242</v>
      </c>
    </row>
    <row r="1432" spans="1:3" ht="15.75" customHeight="1" x14ac:dyDescent="0.25">
      <c r="A1432" s="1" t="s">
        <v>9045</v>
      </c>
      <c r="B1432" s="1" t="s">
        <v>9044</v>
      </c>
      <c r="C1432" s="1" t="s">
        <v>6242</v>
      </c>
    </row>
    <row r="1433" spans="1:3" ht="15.75" customHeight="1" x14ac:dyDescent="0.25">
      <c r="A1433" s="1" t="s">
        <v>5095</v>
      </c>
      <c r="B1433" s="1" t="s">
        <v>9043</v>
      </c>
      <c r="C1433" s="1" t="s">
        <v>9042</v>
      </c>
    </row>
    <row r="1434" spans="1:3" ht="15.75" customHeight="1" x14ac:dyDescent="0.25">
      <c r="A1434" s="1" t="s">
        <v>9041</v>
      </c>
      <c r="B1434" s="1" t="s">
        <v>9040</v>
      </c>
      <c r="C1434" s="1" t="s">
        <v>6242</v>
      </c>
    </row>
    <row r="1435" spans="1:3" ht="15.75" customHeight="1" x14ac:dyDescent="0.25">
      <c r="A1435" s="1" t="s">
        <v>9039</v>
      </c>
      <c r="B1435" s="1" t="s">
        <v>9038</v>
      </c>
      <c r="C1435" s="1" t="s">
        <v>6242</v>
      </c>
    </row>
    <row r="1436" spans="1:3" ht="15.75" customHeight="1" x14ac:dyDescent="0.25">
      <c r="A1436" s="1" t="s">
        <v>9037</v>
      </c>
      <c r="B1436" s="1" t="s">
        <v>9036</v>
      </c>
      <c r="C1436" s="1" t="s">
        <v>6242</v>
      </c>
    </row>
    <row r="1437" spans="1:3" ht="15.75" customHeight="1" x14ac:dyDescent="0.25">
      <c r="A1437" s="1" t="s">
        <v>9035</v>
      </c>
      <c r="B1437" s="1" t="s">
        <v>9034</v>
      </c>
      <c r="C1437" s="1" t="s">
        <v>6242</v>
      </c>
    </row>
    <row r="1438" spans="1:3" ht="15.75" customHeight="1" x14ac:dyDescent="0.25">
      <c r="A1438" s="1" t="s">
        <v>9033</v>
      </c>
      <c r="B1438" s="1" t="s">
        <v>9032</v>
      </c>
      <c r="C1438" s="1" t="s">
        <v>6242</v>
      </c>
    </row>
    <row r="1439" spans="1:3" ht="15.75" customHeight="1" x14ac:dyDescent="0.25">
      <c r="A1439" s="1" t="s">
        <v>9031</v>
      </c>
      <c r="B1439" s="1" t="s">
        <v>9030</v>
      </c>
      <c r="C1439" s="1" t="s">
        <v>6242</v>
      </c>
    </row>
    <row r="1440" spans="1:3" ht="15.75" customHeight="1" x14ac:dyDescent="0.25">
      <c r="A1440" s="1" t="s">
        <v>5169</v>
      </c>
      <c r="B1440" s="1" t="s">
        <v>9029</v>
      </c>
      <c r="C1440" s="1" t="s">
        <v>6533</v>
      </c>
    </row>
    <row r="1441" spans="1:3" ht="15.75" customHeight="1" x14ac:dyDescent="0.25">
      <c r="A1441" s="1" t="s">
        <v>1092</v>
      </c>
      <c r="B1441" s="1" t="s">
        <v>9028</v>
      </c>
      <c r="C1441" s="1" t="s">
        <v>6242</v>
      </c>
    </row>
    <row r="1442" spans="1:3" ht="15.75" customHeight="1" x14ac:dyDescent="0.25">
      <c r="A1442" s="1" t="s">
        <v>9027</v>
      </c>
      <c r="B1442" s="1" t="s">
        <v>9026</v>
      </c>
      <c r="C1442" s="1" t="s">
        <v>6242</v>
      </c>
    </row>
    <row r="1443" spans="1:3" ht="15.75" customHeight="1" x14ac:dyDescent="0.25">
      <c r="A1443" s="1" t="s">
        <v>9025</v>
      </c>
      <c r="B1443" s="1" t="s">
        <v>9024</v>
      </c>
      <c r="C1443" s="1" t="s">
        <v>6168</v>
      </c>
    </row>
    <row r="1444" spans="1:3" ht="15.75" customHeight="1" x14ac:dyDescent="0.25">
      <c r="A1444" s="1" t="s">
        <v>5037</v>
      </c>
      <c r="B1444" s="1" t="s">
        <v>9023</v>
      </c>
      <c r="C1444" s="1" t="s">
        <v>7875</v>
      </c>
    </row>
    <row r="1445" spans="1:3" ht="15.75" customHeight="1" x14ac:dyDescent="0.25">
      <c r="A1445" s="1" t="s">
        <v>3282</v>
      </c>
      <c r="B1445" s="1" t="s">
        <v>9022</v>
      </c>
      <c r="C1445" s="1" t="s">
        <v>6242</v>
      </c>
    </row>
    <row r="1446" spans="1:3" ht="15.75" customHeight="1" x14ac:dyDescent="0.25">
      <c r="A1446" s="1" t="s">
        <v>9021</v>
      </c>
      <c r="B1446" s="1" t="s">
        <v>6167</v>
      </c>
      <c r="C1446" s="1" t="s">
        <v>9020</v>
      </c>
    </row>
    <row r="1447" spans="1:3" ht="15.75" customHeight="1" x14ac:dyDescent="0.25">
      <c r="A1447" s="1" t="s">
        <v>9019</v>
      </c>
      <c r="B1447" s="1" t="s">
        <v>9018</v>
      </c>
      <c r="C1447" s="1" t="s">
        <v>6755</v>
      </c>
    </row>
    <row r="1448" spans="1:3" ht="15.75" customHeight="1" x14ac:dyDescent="0.25">
      <c r="A1448" s="1" t="s">
        <v>9017</v>
      </c>
      <c r="B1448" s="1" t="s">
        <v>9016</v>
      </c>
      <c r="C1448" s="1" t="s">
        <v>6242</v>
      </c>
    </row>
    <row r="1449" spans="1:3" ht="15.75" customHeight="1" x14ac:dyDescent="0.25">
      <c r="A1449" s="1" t="s">
        <v>3394</v>
      </c>
      <c r="B1449" s="1" t="s">
        <v>9015</v>
      </c>
      <c r="C1449" s="1" t="s">
        <v>6667</v>
      </c>
    </row>
    <row r="1450" spans="1:3" ht="15.75" customHeight="1" x14ac:dyDescent="0.25">
      <c r="A1450" s="1" t="s">
        <v>5061</v>
      </c>
      <c r="B1450" s="1" t="s">
        <v>9014</v>
      </c>
      <c r="C1450" s="1" t="s">
        <v>6533</v>
      </c>
    </row>
    <row r="1451" spans="1:3" ht="15.75" customHeight="1" x14ac:dyDescent="0.25">
      <c r="A1451" s="1" t="s">
        <v>213</v>
      </c>
      <c r="B1451" s="1" t="s">
        <v>9013</v>
      </c>
      <c r="C1451" s="1" t="s">
        <v>6929</v>
      </c>
    </row>
    <row r="1452" spans="1:3" ht="15.75" customHeight="1" x14ac:dyDescent="0.25">
      <c r="A1452" s="1" t="s">
        <v>9012</v>
      </c>
      <c r="B1452" s="1" t="s">
        <v>9011</v>
      </c>
      <c r="C1452" s="1" t="s">
        <v>6929</v>
      </c>
    </row>
    <row r="1453" spans="1:3" ht="15.75" customHeight="1" x14ac:dyDescent="0.25">
      <c r="A1453" s="1" t="s">
        <v>4703</v>
      </c>
      <c r="B1453" s="1" t="s">
        <v>9010</v>
      </c>
      <c r="C1453" s="1" t="s">
        <v>6122</v>
      </c>
    </row>
    <row r="1454" spans="1:3" ht="15.75" customHeight="1" x14ac:dyDescent="0.25">
      <c r="A1454" s="1" t="s">
        <v>9009</v>
      </c>
      <c r="B1454" s="1" t="s">
        <v>9008</v>
      </c>
      <c r="C1454" s="1" t="s">
        <v>6276</v>
      </c>
    </row>
    <row r="1455" spans="1:3" ht="15.75" customHeight="1" x14ac:dyDescent="0.25">
      <c r="A1455" s="1" t="s">
        <v>9007</v>
      </c>
      <c r="B1455" s="1" t="s">
        <v>9006</v>
      </c>
      <c r="C1455" s="1" t="s">
        <v>6168</v>
      </c>
    </row>
    <row r="1456" spans="1:3" ht="15.75" customHeight="1" x14ac:dyDescent="0.25">
      <c r="A1456" s="1" t="s">
        <v>9005</v>
      </c>
      <c r="B1456" s="1" t="s">
        <v>9004</v>
      </c>
      <c r="C1456" s="1" t="s">
        <v>6242</v>
      </c>
    </row>
    <row r="1457" spans="1:3" ht="15.75" customHeight="1" x14ac:dyDescent="0.25">
      <c r="A1457" s="1" t="s">
        <v>211</v>
      </c>
      <c r="B1457" s="1" t="s">
        <v>9003</v>
      </c>
      <c r="C1457" s="1" t="s">
        <v>6929</v>
      </c>
    </row>
    <row r="1458" spans="1:3" ht="15.75" customHeight="1" x14ac:dyDescent="0.25">
      <c r="A1458" s="1" t="s">
        <v>3999</v>
      </c>
      <c r="B1458" s="1" t="s">
        <v>9002</v>
      </c>
      <c r="C1458" s="1" t="s">
        <v>6684</v>
      </c>
    </row>
    <row r="1459" spans="1:3" ht="15.75" customHeight="1" x14ac:dyDescent="0.25">
      <c r="A1459" s="1" t="s">
        <v>3551</v>
      </c>
      <c r="B1459" s="1" t="s">
        <v>9001</v>
      </c>
      <c r="C1459" s="1" t="s">
        <v>6667</v>
      </c>
    </row>
    <row r="1460" spans="1:3" ht="15.75" customHeight="1" x14ac:dyDescent="0.25">
      <c r="A1460" s="1" t="s">
        <v>9000</v>
      </c>
      <c r="B1460" s="1" t="s">
        <v>8999</v>
      </c>
      <c r="C1460" s="1" t="s">
        <v>6486</v>
      </c>
    </row>
    <row r="1461" spans="1:3" ht="15.75" customHeight="1" x14ac:dyDescent="0.25">
      <c r="A1461" s="1" t="s">
        <v>1049</v>
      </c>
      <c r="B1461" s="1" t="s">
        <v>8998</v>
      </c>
      <c r="C1461" s="1" t="s">
        <v>6905</v>
      </c>
    </row>
    <row r="1462" spans="1:3" ht="15.75" customHeight="1" x14ac:dyDescent="0.25">
      <c r="A1462" s="1" t="s">
        <v>1580</v>
      </c>
      <c r="B1462" s="1" t="s">
        <v>8997</v>
      </c>
      <c r="C1462" s="1" t="s">
        <v>7223</v>
      </c>
    </row>
    <row r="1463" spans="1:3" ht="15.75" customHeight="1" x14ac:dyDescent="0.25">
      <c r="A1463" s="1" t="s">
        <v>3085</v>
      </c>
      <c r="B1463" s="1" t="s">
        <v>8996</v>
      </c>
      <c r="C1463" s="1" t="s">
        <v>6586</v>
      </c>
    </row>
    <row r="1464" spans="1:3" ht="15.75" customHeight="1" x14ac:dyDescent="0.25">
      <c r="A1464" s="1" t="s">
        <v>8995</v>
      </c>
      <c r="B1464" s="1" t="s">
        <v>8994</v>
      </c>
      <c r="C1464" s="1" t="s">
        <v>6486</v>
      </c>
    </row>
    <row r="1465" spans="1:3" ht="15.75" customHeight="1" x14ac:dyDescent="0.25">
      <c r="A1465" s="1" t="s">
        <v>3763</v>
      </c>
      <c r="B1465" s="1" t="s">
        <v>8993</v>
      </c>
      <c r="C1465" s="1" t="s">
        <v>5800</v>
      </c>
    </row>
    <row r="1466" spans="1:3" ht="15.75" customHeight="1" x14ac:dyDescent="0.25">
      <c r="A1466" s="1" t="s">
        <v>8992</v>
      </c>
      <c r="B1466" s="1" t="s">
        <v>8991</v>
      </c>
      <c r="C1466" s="1" t="s">
        <v>6640</v>
      </c>
    </row>
    <row r="1467" spans="1:3" ht="15.75" customHeight="1" x14ac:dyDescent="0.25">
      <c r="A1467" s="1" t="s">
        <v>8990</v>
      </c>
      <c r="B1467" s="1" t="s">
        <v>8989</v>
      </c>
      <c r="C1467" s="1" t="s">
        <v>6242</v>
      </c>
    </row>
    <row r="1468" spans="1:3" ht="15.75" customHeight="1" x14ac:dyDescent="0.25">
      <c r="A1468" s="1" t="s">
        <v>3000</v>
      </c>
      <c r="B1468" s="1" t="s">
        <v>8988</v>
      </c>
      <c r="C1468" s="1" t="s">
        <v>8311</v>
      </c>
    </row>
    <row r="1469" spans="1:3" ht="15.75" customHeight="1" x14ac:dyDescent="0.25">
      <c r="A1469" s="1" t="s">
        <v>2280</v>
      </c>
      <c r="B1469" s="1" t="s">
        <v>8987</v>
      </c>
      <c r="C1469" s="1" t="s">
        <v>6486</v>
      </c>
    </row>
    <row r="1470" spans="1:3" ht="15.75" customHeight="1" x14ac:dyDescent="0.25">
      <c r="A1470" s="1" t="s">
        <v>8986</v>
      </c>
      <c r="B1470" s="1" t="s">
        <v>8985</v>
      </c>
      <c r="C1470" s="1" t="s">
        <v>6242</v>
      </c>
    </row>
    <row r="1471" spans="1:3" ht="15.75" customHeight="1" x14ac:dyDescent="0.25">
      <c r="A1471" s="1" t="s">
        <v>8984</v>
      </c>
      <c r="B1471" s="1" t="s">
        <v>8983</v>
      </c>
      <c r="C1471" s="1" t="s">
        <v>6507</v>
      </c>
    </row>
    <row r="1472" spans="1:3" ht="15.75" customHeight="1" x14ac:dyDescent="0.25">
      <c r="A1472" s="1" t="s">
        <v>5406</v>
      </c>
      <c r="B1472" s="1" t="s">
        <v>8982</v>
      </c>
      <c r="C1472" s="1" t="s">
        <v>5796</v>
      </c>
    </row>
    <row r="1473" spans="1:3" ht="15.75" customHeight="1" x14ac:dyDescent="0.25">
      <c r="A1473" s="1" t="s">
        <v>8981</v>
      </c>
      <c r="B1473" s="1" t="s">
        <v>8980</v>
      </c>
      <c r="C1473" s="1" t="s">
        <v>6242</v>
      </c>
    </row>
    <row r="1474" spans="1:3" ht="15.75" customHeight="1" x14ac:dyDescent="0.25">
      <c r="A1474" s="1" t="s">
        <v>724</v>
      </c>
      <c r="B1474" s="1" t="s">
        <v>8979</v>
      </c>
      <c r="C1474" s="1" t="s">
        <v>6886</v>
      </c>
    </row>
    <row r="1475" spans="1:3" ht="15.75" customHeight="1" x14ac:dyDescent="0.25">
      <c r="A1475" s="1" t="s">
        <v>5483</v>
      </c>
      <c r="B1475" s="1" t="s">
        <v>5481</v>
      </c>
      <c r="C1475" s="1" t="s">
        <v>8978</v>
      </c>
    </row>
    <row r="1476" spans="1:3" ht="15.75" customHeight="1" x14ac:dyDescent="0.25">
      <c r="A1476" s="1" t="s">
        <v>4764</v>
      </c>
      <c r="B1476" s="1" t="s">
        <v>8977</v>
      </c>
      <c r="C1476" s="1" t="s">
        <v>6586</v>
      </c>
    </row>
    <row r="1477" spans="1:3" ht="15.75" customHeight="1" x14ac:dyDescent="0.25">
      <c r="A1477" s="1" t="s">
        <v>8976</v>
      </c>
      <c r="B1477" s="1" t="s">
        <v>8975</v>
      </c>
      <c r="C1477" s="1" t="s">
        <v>6242</v>
      </c>
    </row>
    <row r="1478" spans="1:3" ht="15.75" customHeight="1" x14ac:dyDescent="0.25">
      <c r="A1478" s="1" t="s">
        <v>5373</v>
      </c>
      <c r="B1478" s="1" t="s">
        <v>8974</v>
      </c>
      <c r="C1478" s="1" t="s">
        <v>5796</v>
      </c>
    </row>
    <row r="1479" spans="1:3" ht="15.75" customHeight="1" x14ac:dyDescent="0.25">
      <c r="A1479" s="1" t="s">
        <v>8973</v>
      </c>
      <c r="B1479" s="1" t="s">
        <v>8972</v>
      </c>
      <c r="C1479" s="1" t="s">
        <v>6276</v>
      </c>
    </row>
    <row r="1480" spans="1:3" ht="15.75" customHeight="1" x14ac:dyDescent="0.25">
      <c r="A1480" s="1" t="s">
        <v>8971</v>
      </c>
      <c r="B1480" s="1" t="s">
        <v>8970</v>
      </c>
      <c r="C1480" s="1" t="s">
        <v>6242</v>
      </c>
    </row>
    <row r="1481" spans="1:3" ht="15.75" customHeight="1" x14ac:dyDescent="0.25">
      <c r="A1481" s="1" t="s">
        <v>8969</v>
      </c>
      <c r="B1481" s="1" t="s">
        <v>8968</v>
      </c>
      <c r="C1481" s="1" t="s">
        <v>6242</v>
      </c>
    </row>
    <row r="1482" spans="1:3" ht="15.75" customHeight="1" x14ac:dyDescent="0.25">
      <c r="A1482" s="1" t="s">
        <v>8967</v>
      </c>
      <c r="B1482" s="1" t="s">
        <v>8966</v>
      </c>
      <c r="C1482" s="1" t="s">
        <v>6901</v>
      </c>
    </row>
    <row r="1483" spans="1:3" ht="15.75" customHeight="1" x14ac:dyDescent="0.25">
      <c r="A1483" s="1" t="s">
        <v>8965</v>
      </c>
      <c r="B1483" s="1" t="s">
        <v>8964</v>
      </c>
      <c r="C1483" s="1" t="s">
        <v>6242</v>
      </c>
    </row>
    <row r="1484" spans="1:3" ht="15.75" customHeight="1" x14ac:dyDescent="0.25">
      <c r="A1484" s="1" t="s">
        <v>8963</v>
      </c>
      <c r="B1484" s="1" t="s">
        <v>8962</v>
      </c>
      <c r="C1484" s="1" t="s">
        <v>6122</v>
      </c>
    </row>
    <row r="1485" spans="1:3" ht="15.75" customHeight="1" x14ac:dyDescent="0.25">
      <c r="A1485" s="1" t="s">
        <v>3699</v>
      </c>
      <c r="B1485" s="1" t="s">
        <v>8961</v>
      </c>
      <c r="C1485" s="1" t="s">
        <v>6767</v>
      </c>
    </row>
    <row r="1486" spans="1:3" ht="15.75" customHeight="1" x14ac:dyDescent="0.25">
      <c r="A1486" s="1" t="s">
        <v>8960</v>
      </c>
      <c r="B1486" s="1" t="s">
        <v>8959</v>
      </c>
      <c r="C1486" s="1" t="s">
        <v>6242</v>
      </c>
    </row>
    <row r="1487" spans="1:3" ht="15.75" customHeight="1" x14ac:dyDescent="0.25">
      <c r="A1487" s="1" t="s">
        <v>8958</v>
      </c>
      <c r="B1487" s="1" t="s">
        <v>8957</v>
      </c>
      <c r="C1487" s="1" t="s">
        <v>6486</v>
      </c>
    </row>
    <row r="1488" spans="1:3" ht="15.75" customHeight="1" x14ac:dyDescent="0.25">
      <c r="A1488" s="1" t="s">
        <v>8956</v>
      </c>
      <c r="B1488" s="1" t="s">
        <v>8955</v>
      </c>
      <c r="C1488" s="1" t="s">
        <v>6122</v>
      </c>
    </row>
    <row r="1489" spans="1:3" ht="15.75" customHeight="1" x14ac:dyDescent="0.25">
      <c r="A1489" s="1" t="s">
        <v>8954</v>
      </c>
      <c r="B1489" s="1" t="s">
        <v>8953</v>
      </c>
      <c r="C1489" s="1" t="s">
        <v>6486</v>
      </c>
    </row>
    <row r="1490" spans="1:3" ht="15.75" customHeight="1" x14ac:dyDescent="0.25">
      <c r="A1490" s="1" t="s">
        <v>4705</v>
      </c>
      <c r="B1490" s="1" t="s">
        <v>8952</v>
      </c>
    </row>
    <row r="1491" spans="1:3" ht="15.75" customHeight="1" x14ac:dyDescent="0.25">
      <c r="A1491" s="1" t="s">
        <v>8951</v>
      </c>
      <c r="B1491" s="1" t="s">
        <v>8950</v>
      </c>
      <c r="C1491" s="1" t="s">
        <v>6486</v>
      </c>
    </row>
    <row r="1492" spans="1:3" ht="15.75" customHeight="1" x14ac:dyDescent="0.25">
      <c r="A1492" s="1" t="s">
        <v>209</v>
      </c>
      <c r="B1492" s="1" t="s">
        <v>8949</v>
      </c>
      <c r="C1492" s="1" t="s">
        <v>8948</v>
      </c>
    </row>
    <row r="1493" spans="1:3" ht="15.75" customHeight="1" x14ac:dyDescent="0.25">
      <c r="A1493" s="1" t="s">
        <v>3656</v>
      </c>
      <c r="B1493" s="1" t="s">
        <v>8947</v>
      </c>
      <c r="C1493" s="1" t="s">
        <v>6486</v>
      </c>
    </row>
    <row r="1494" spans="1:3" ht="15.75" customHeight="1" x14ac:dyDescent="0.25">
      <c r="A1494" s="1" t="s">
        <v>8946</v>
      </c>
      <c r="B1494" s="1" t="s">
        <v>8883</v>
      </c>
      <c r="C1494" s="1" t="s">
        <v>7476</v>
      </c>
    </row>
    <row r="1495" spans="1:3" ht="15.75" customHeight="1" x14ac:dyDescent="0.25">
      <c r="A1495" s="1" t="s">
        <v>1816</v>
      </c>
      <c r="B1495" s="1" t="s">
        <v>8945</v>
      </c>
      <c r="C1495" s="1" t="s">
        <v>5838</v>
      </c>
    </row>
    <row r="1496" spans="1:3" ht="15.75" customHeight="1" x14ac:dyDescent="0.25">
      <c r="A1496" s="1" t="s">
        <v>8944</v>
      </c>
      <c r="B1496" s="1" t="s">
        <v>8943</v>
      </c>
      <c r="C1496" s="1" t="s">
        <v>6850</v>
      </c>
    </row>
    <row r="1497" spans="1:3" ht="15.75" customHeight="1" x14ac:dyDescent="0.25">
      <c r="A1497" s="1" t="s">
        <v>3601</v>
      </c>
      <c r="B1497" s="1" t="s">
        <v>8942</v>
      </c>
      <c r="C1497" s="1" t="s">
        <v>6945</v>
      </c>
    </row>
    <row r="1498" spans="1:3" ht="15.75" customHeight="1" x14ac:dyDescent="0.25">
      <c r="A1498" s="1" t="s">
        <v>206</v>
      </c>
      <c r="B1498" s="1" t="s">
        <v>8941</v>
      </c>
      <c r="C1498" s="1" t="s">
        <v>5914</v>
      </c>
    </row>
    <row r="1499" spans="1:3" ht="15.75" customHeight="1" x14ac:dyDescent="0.25">
      <c r="A1499" s="1" t="s">
        <v>4090</v>
      </c>
      <c r="B1499" s="1" t="s">
        <v>8800</v>
      </c>
      <c r="C1499" s="1" t="s">
        <v>5836</v>
      </c>
    </row>
    <row r="1500" spans="1:3" ht="15.75" customHeight="1" x14ac:dyDescent="0.25">
      <c r="A1500" s="1" t="s">
        <v>8940</v>
      </c>
      <c r="B1500" s="1" t="s">
        <v>8939</v>
      </c>
      <c r="C1500" s="1" t="s">
        <v>8938</v>
      </c>
    </row>
    <row r="1501" spans="1:3" ht="15.75" customHeight="1" x14ac:dyDescent="0.25">
      <c r="A1501" s="1" t="s">
        <v>1376</v>
      </c>
      <c r="B1501" s="1" t="s">
        <v>8937</v>
      </c>
      <c r="C1501" s="1" t="s">
        <v>6535</v>
      </c>
    </row>
    <row r="1502" spans="1:3" ht="15.75" customHeight="1" x14ac:dyDescent="0.25">
      <c r="A1502" s="1" t="s">
        <v>5739</v>
      </c>
      <c r="B1502" s="1" t="s">
        <v>8936</v>
      </c>
      <c r="C1502" s="1" t="s">
        <v>7543</v>
      </c>
    </row>
    <row r="1503" spans="1:3" ht="15.75" customHeight="1" x14ac:dyDescent="0.25">
      <c r="A1503" s="1" t="s">
        <v>2028</v>
      </c>
      <c r="B1503" s="1" t="s">
        <v>8935</v>
      </c>
      <c r="C1503" s="1" t="s">
        <v>6901</v>
      </c>
    </row>
    <row r="1504" spans="1:3" ht="15.75" customHeight="1" x14ac:dyDescent="0.25">
      <c r="A1504" s="1" t="s">
        <v>3010</v>
      </c>
      <c r="B1504" s="1" t="s">
        <v>8934</v>
      </c>
      <c r="C1504" s="1" t="s">
        <v>6614</v>
      </c>
    </row>
    <row r="1505" spans="1:3" ht="15.75" customHeight="1" x14ac:dyDescent="0.25">
      <c r="A1505" s="1" t="s">
        <v>5754</v>
      </c>
      <c r="B1505" s="1" t="s">
        <v>8933</v>
      </c>
      <c r="C1505" s="1" t="s">
        <v>6714</v>
      </c>
    </row>
    <row r="1506" spans="1:3" ht="15.75" customHeight="1" x14ac:dyDescent="0.25">
      <c r="A1506" s="1" t="s">
        <v>5143</v>
      </c>
      <c r="B1506" s="1" t="s">
        <v>8932</v>
      </c>
      <c r="C1506" s="1" t="s">
        <v>6530</v>
      </c>
    </row>
    <row r="1507" spans="1:3" ht="15.75" customHeight="1" x14ac:dyDescent="0.25">
      <c r="A1507" s="1" t="s">
        <v>4613</v>
      </c>
      <c r="B1507" s="1" t="s">
        <v>8931</v>
      </c>
      <c r="C1507" s="1" t="s">
        <v>6750</v>
      </c>
    </row>
    <row r="1508" spans="1:3" ht="15.75" customHeight="1" x14ac:dyDescent="0.25">
      <c r="A1508" s="1" t="s">
        <v>4128</v>
      </c>
      <c r="B1508" s="1" t="s">
        <v>8930</v>
      </c>
      <c r="C1508" s="1" t="s">
        <v>8929</v>
      </c>
    </row>
    <row r="1509" spans="1:3" ht="15.75" customHeight="1" x14ac:dyDescent="0.25">
      <c r="A1509" s="1" t="s">
        <v>8928</v>
      </c>
      <c r="B1509" s="1" t="s">
        <v>8927</v>
      </c>
      <c r="C1509" s="1" t="s">
        <v>8926</v>
      </c>
    </row>
    <row r="1510" spans="1:3" ht="15.75" customHeight="1" x14ac:dyDescent="0.25">
      <c r="A1510" s="1" t="s">
        <v>1701</v>
      </c>
      <c r="B1510" s="1" t="s">
        <v>8925</v>
      </c>
      <c r="C1510" s="1" t="s">
        <v>7468</v>
      </c>
    </row>
    <row r="1511" spans="1:3" ht="15.75" customHeight="1" x14ac:dyDescent="0.25">
      <c r="A1511" s="1" t="s">
        <v>1362</v>
      </c>
      <c r="B1511" s="1" t="s">
        <v>8924</v>
      </c>
      <c r="C1511" s="1" t="s">
        <v>8091</v>
      </c>
    </row>
    <row r="1512" spans="1:3" ht="15.75" customHeight="1" x14ac:dyDescent="0.25">
      <c r="A1512" s="1" t="s">
        <v>8923</v>
      </c>
      <c r="B1512" s="1" t="s">
        <v>8922</v>
      </c>
      <c r="C1512" s="1" t="s">
        <v>5811</v>
      </c>
    </row>
    <row r="1513" spans="1:3" ht="15.75" customHeight="1" x14ac:dyDescent="0.25">
      <c r="A1513" s="1" t="s">
        <v>998</v>
      </c>
      <c r="B1513" s="1" t="s">
        <v>8921</v>
      </c>
      <c r="C1513" s="1" t="s">
        <v>7418</v>
      </c>
    </row>
    <row r="1514" spans="1:3" ht="15.75" customHeight="1" x14ac:dyDescent="0.25">
      <c r="A1514" s="1" t="s">
        <v>8920</v>
      </c>
      <c r="B1514" s="1" t="s">
        <v>8919</v>
      </c>
      <c r="C1514" s="1" t="s">
        <v>6929</v>
      </c>
    </row>
    <row r="1515" spans="1:3" ht="15.75" customHeight="1" x14ac:dyDescent="0.25">
      <c r="A1515" s="1" t="s">
        <v>8918</v>
      </c>
      <c r="B1515" s="1" t="s">
        <v>8917</v>
      </c>
      <c r="C1515" s="1" t="s">
        <v>6759</v>
      </c>
    </row>
    <row r="1516" spans="1:3" ht="15.75" customHeight="1" x14ac:dyDescent="0.25">
      <c r="A1516" s="1" t="s">
        <v>4112</v>
      </c>
      <c r="B1516" s="1" t="s">
        <v>8916</v>
      </c>
      <c r="C1516" s="1" t="s">
        <v>6929</v>
      </c>
    </row>
    <row r="1517" spans="1:3" ht="15.75" customHeight="1" x14ac:dyDescent="0.25">
      <c r="A1517" s="1" t="s">
        <v>4349</v>
      </c>
      <c r="B1517" s="1" t="s">
        <v>8915</v>
      </c>
      <c r="C1517" s="1" t="s">
        <v>7213</v>
      </c>
    </row>
    <row r="1518" spans="1:3" ht="15.75" customHeight="1" x14ac:dyDescent="0.25">
      <c r="A1518" s="1" t="s">
        <v>8914</v>
      </c>
      <c r="B1518" s="1" t="s">
        <v>8913</v>
      </c>
      <c r="C1518" s="1" t="s">
        <v>5811</v>
      </c>
    </row>
    <row r="1519" spans="1:3" ht="15.75" customHeight="1" x14ac:dyDescent="0.25">
      <c r="A1519" s="1" t="s">
        <v>5365</v>
      </c>
      <c r="B1519" s="1" t="s">
        <v>8912</v>
      </c>
      <c r="C1519" s="1" t="s">
        <v>7924</v>
      </c>
    </row>
    <row r="1520" spans="1:3" ht="15.75" customHeight="1" x14ac:dyDescent="0.25">
      <c r="A1520" s="1" t="s">
        <v>3461</v>
      </c>
      <c r="B1520" s="1" t="s">
        <v>8911</v>
      </c>
      <c r="C1520" s="1" t="s">
        <v>6866</v>
      </c>
    </row>
    <row r="1521" spans="1:3" ht="15.75" customHeight="1" x14ac:dyDescent="0.25">
      <c r="A1521" s="1" t="s">
        <v>4679</v>
      </c>
      <c r="B1521" s="1" t="s">
        <v>8910</v>
      </c>
      <c r="C1521" s="1" t="s">
        <v>6288</v>
      </c>
    </row>
    <row r="1522" spans="1:3" ht="15.75" customHeight="1" x14ac:dyDescent="0.25">
      <c r="A1522" s="1" t="s">
        <v>2802</v>
      </c>
      <c r="B1522" s="1" t="s">
        <v>8909</v>
      </c>
      <c r="C1522" s="1" t="s">
        <v>7439</v>
      </c>
    </row>
    <row r="1523" spans="1:3" ht="15.75" customHeight="1" x14ac:dyDescent="0.25">
      <c r="A1523" s="1" t="s">
        <v>5208</v>
      </c>
      <c r="B1523" s="1" t="s">
        <v>5952</v>
      </c>
      <c r="C1523" s="1" t="s">
        <v>8908</v>
      </c>
    </row>
    <row r="1524" spans="1:3" ht="15.75" customHeight="1" x14ac:dyDescent="0.25">
      <c r="A1524" s="1" t="s">
        <v>4359</v>
      </c>
      <c r="B1524" s="1" t="s">
        <v>8907</v>
      </c>
      <c r="C1524" s="1" t="s">
        <v>7036</v>
      </c>
    </row>
    <row r="1525" spans="1:3" ht="15.75" customHeight="1" x14ac:dyDescent="0.25">
      <c r="A1525" s="1" t="s">
        <v>8906</v>
      </c>
      <c r="B1525" s="1" t="s">
        <v>8905</v>
      </c>
      <c r="C1525" s="1" t="s">
        <v>6276</v>
      </c>
    </row>
    <row r="1526" spans="1:3" ht="15.75" customHeight="1" x14ac:dyDescent="0.25">
      <c r="A1526" s="1" t="s">
        <v>3990</v>
      </c>
      <c r="B1526" s="1" t="s">
        <v>8904</v>
      </c>
      <c r="C1526" s="1" t="s">
        <v>5838</v>
      </c>
    </row>
    <row r="1527" spans="1:3" ht="15.75" customHeight="1" x14ac:dyDescent="0.25">
      <c r="A1527" s="1" t="s">
        <v>8903</v>
      </c>
      <c r="B1527" s="1" t="s">
        <v>8902</v>
      </c>
      <c r="C1527" s="1" t="s">
        <v>6602</v>
      </c>
    </row>
    <row r="1528" spans="1:3" ht="15.75" customHeight="1" x14ac:dyDescent="0.25">
      <c r="A1528" s="1" t="s">
        <v>8901</v>
      </c>
      <c r="B1528" s="1" t="s">
        <v>8900</v>
      </c>
      <c r="C1528" s="1" t="s">
        <v>7106</v>
      </c>
    </row>
    <row r="1529" spans="1:3" ht="15.75" customHeight="1" x14ac:dyDescent="0.25">
      <c r="A1529" s="1" t="s">
        <v>2720</v>
      </c>
      <c r="B1529" s="1" t="s">
        <v>8899</v>
      </c>
      <c r="C1529" s="1" t="s">
        <v>6929</v>
      </c>
    </row>
    <row r="1530" spans="1:3" ht="15.75" customHeight="1" x14ac:dyDescent="0.25">
      <c r="A1530" s="1" t="s">
        <v>3958</v>
      </c>
      <c r="B1530" s="1" t="s">
        <v>8898</v>
      </c>
      <c r="C1530" s="1" t="s">
        <v>6530</v>
      </c>
    </row>
    <row r="1531" spans="1:3" ht="15.75" customHeight="1" x14ac:dyDescent="0.25">
      <c r="A1531" s="1" t="s">
        <v>2231</v>
      </c>
      <c r="B1531" s="1" t="s">
        <v>8897</v>
      </c>
      <c r="C1531" s="1" t="s">
        <v>5829</v>
      </c>
    </row>
    <row r="1532" spans="1:3" ht="15.75" customHeight="1" x14ac:dyDescent="0.25">
      <c r="A1532" s="1" t="s">
        <v>1203</v>
      </c>
      <c r="B1532" s="1" t="s">
        <v>8896</v>
      </c>
      <c r="C1532" s="1" t="s">
        <v>7759</v>
      </c>
    </row>
    <row r="1533" spans="1:3" ht="15.75" customHeight="1" x14ac:dyDescent="0.25">
      <c r="A1533" s="1" t="s">
        <v>204</v>
      </c>
      <c r="B1533" s="1" t="s">
        <v>8895</v>
      </c>
      <c r="C1533" s="1" t="s">
        <v>6122</v>
      </c>
    </row>
    <row r="1534" spans="1:3" ht="15.75" customHeight="1" x14ac:dyDescent="0.25">
      <c r="A1534" s="1" t="s">
        <v>243</v>
      </c>
      <c r="B1534" s="1" t="s">
        <v>8894</v>
      </c>
      <c r="C1534" s="1" t="s">
        <v>5838</v>
      </c>
    </row>
    <row r="1535" spans="1:3" ht="15.75" customHeight="1" x14ac:dyDescent="0.25">
      <c r="A1535" s="1" t="s">
        <v>4590</v>
      </c>
      <c r="B1535" s="1" t="s">
        <v>8893</v>
      </c>
      <c r="C1535" s="1" t="s">
        <v>6288</v>
      </c>
    </row>
    <row r="1536" spans="1:3" ht="15.75" customHeight="1" x14ac:dyDescent="0.25">
      <c r="A1536" s="1" t="s">
        <v>5051</v>
      </c>
      <c r="B1536" s="1" t="s">
        <v>8892</v>
      </c>
      <c r="C1536" s="1" t="s">
        <v>5853</v>
      </c>
    </row>
    <row r="1537" spans="1:3" ht="15.75" customHeight="1" x14ac:dyDescent="0.25">
      <c r="A1537" s="1" t="s">
        <v>8891</v>
      </c>
      <c r="B1537" s="1" t="s">
        <v>8890</v>
      </c>
      <c r="C1537" s="1" t="s">
        <v>6530</v>
      </c>
    </row>
    <row r="1538" spans="1:3" ht="15.75" customHeight="1" x14ac:dyDescent="0.25">
      <c r="A1538" s="1" t="s">
        <v>8889</v>
      </c>
      <c r="B1538" s="1" t="s">
        <v>8888</v>
      </c>
      <c r="C1538" s="1" t="s">
        <v>5829</v>
      </c>
    </row>
    <row r="1539" spans="1:3" ht="15.75" customHeight="1" x14ac:dyDescent="0.25">
      <c r="A1539" s="1" t="s">
        <v>2770</v>
      </c>
      <c r="B1539" s="1" t="s">
        <v>8887</v>
      </c>
      <c r="C1539" s="1" t="s">
        <v>6651</v>
      </c>
    </row>
    <row r="1540" spans="1:3" ht="15.75" customHeight="1" x14ac:dyDescent="0.25">
      <c r="A1540" s="1" t="s">
        <v>8886</v>
      </c>
      <c r="B1540" s="1" t="s">
        <v>8885</v>
      </c>
      <c r="C1540" s="1" t="s">
        <v>6759</v>
      </c>
    </row>
    <row r="1541" spans="1:3" ht="15.75" customHeight="1" x14ac:dyDescent="0.25">
      <c r="A1541" s="1" t="s">
        <v>4504</v>
      </c>
      <c r="B1541" s="1" t="s">
        <v>8884</v>
      </c>
      <c r="C1541" s="1" t="s">
        <v>7463</v>
      </c>
    </row>
    <row r="1542" spans="1:3" ht="15.75" customHeight="1" x14ac:dyDescent="0.25">
      <c r="A1542" s="1" t="s">
        <v>3914</v>
      </c>
      <c r="B1542" s="1" t="s">
        <v>8883</v>
      </c>
      <c r="C1542" s="1" t="s">
        <v>7439</v>
      </c>
    </row>
    <row r="1543" spans="1:3" ht="15.75" customHeight="1" x14ac:dyDescent="0.25">
      <c r="A1543" s="1" t="s">
        <v>3678</v>
      </c>
      <c r="B1543" s="1" t="s">
        <v>8882</v>
      </c>
      <c r="C1543" s="1" t="s">
        <v>8881</v>
      </c>
    </row>
    <row r="1544" spans="1:3" ht="15.75" customHeight="1" x14ac:dyDescent="0.25">
      <c r="A1544" s="1" t="s">
        <v>5686</v>
      </c>
      <c r="B1544" s="1" t="s">
        <v>8152</v>
      </c>
      <c r="C1544" s="1" t="s">
        <v>8880</v>
      </c>
    </row>
    <row r="1545" spans="1:3" ht="15.75" customHeight="1" x14ac:dyDescent="0.25">
      <c r="A1545" s="1" t="s">
        <v>5135</v>
      </c>
      <c r="B1545" s="1" t="s">
        <v>8879</v>
      </c>
      <c r="C1545" s="1" t="s">
        <v>6714</v>
      </c>
    </row>
    <row r="1546" spans="1:3" ht="15.75" customHeight="1" x14ac:dyDescent="0.25">
      <c r="A1546" s="1" t="s">
        <v>3929</v>
      </c>
      <c r="B1546" s="1" t="s">
        <v>8878</v>
      </c>
      <c r="C1546" s="1" t="s">
        <v>8877</v>
      </c>
    </row>
    <row r="1547" spans="1:3" ht="15.75" customHeight="1" x14ac:dyDescent="0.25">
      <c r="A1547" s="1" t="s">
        <v>1368</v>
      </c>
      <c r="B1547" s="1" t="s">
        <v>8876</v>
      </c>
      <c r="C1547" s="1" t="s">
        <v>5809</v>
      </c>
    </row>
    <row r="1548" spans="1:3" ht="15.75" customHeight="1" x14ac:dyDescent="0.25">
      <c r="A1548" s="1" t="s">
        <v>202</v>
      </c>
      <c r="B1548" s="1" t="s">
        <v>8875</v>
      </c>
      <c r="C1548" s="1" t="s">
        <v>6929</v>
      </c>
    </row>
    <row r="1549" spans="1:3" ht="15.75" customHeight="1" x14ac:dyDescent="0.25">
      <c r="A1549" s="1" t="s">
        <v>8874</v>
      </c>
      <c r="B1549" s="1" t="s">
        <v>8873</v>
      </c>
      <c r="C1549" s="1" t="s">
        <v>6929</v>
      </c>
    </row>
    <row r="1550" spans="1:3" ht="15.75" customHeight="1" x14ac:dyDescent="0.25">
      <c r="A1550" s="1" t="s">
        <v>3954</v>
      </c>
      <c r="B1550" s="1" t="s">
        <v>8872</v>
      </c>
      <c r="C1550" s="1" t="s">
        <v>5914</v>
      </c>
    </row>
    <row r="1551" spans="1:3" ht="15.75" customHeight="1" x14ac:dyDescent="0.25">
      <c r="A1551" s="1" t="s">
        <v>8871</v>
      </c>
      <c r="B1551" s="1" t="s">
        <v>8870</v>
      </c>
      <c r="C1551" s="1" t="s">
        <v>6319</v>
      </c>
    </row>
    <row r="1552" spans="1:3" ht="15.75" customHeight="1" x14ac:dyDescent="0.25">
      <c r="A1552" s="1" t="s">
        <v>851</v>
      </c>
      <c r="B1552" s="1" t="s">
        <v>8869</v>
      </c>
      <c r="C1552" s="1" t="s">
        <v>8621</v>
      </c>
    </row>
    <row r="1553" spans="1:3" ht="15.75" customHeight="1" x14ac:dyDescent="0.25">
      <c r="A1553" s="1" t="s">
        <v>200</v>
      </c>
      <c r="B1553" s="1" t="s">
        <v>5952</v>
      </c>
      <c r="C1553" s="1" t="s">
        <v>8868</v>
      </c>
    </row>
    <row r="1554" spans="1:3" ht="15.75" customHeight="1" x14ac:dyDescent="0.25">
      <c r="A1554" s="1" t="s">
        <v>198</v>
      </c>
      <c r="B1554" s="1" t="s">
        <v>8867</v>
      </c>
      <c r="C1554" s="1" t="s">
        <v>6546</v>
      </c>
    </row>
    <row r="1555" spans="1:3" ht="15.75" customHeight="1" x14ac:dyDescent="0.25">
      <c r="A1555" s="1" t="s">
        <v>8866</v>
      </c>
      <c r="B1555" s="1" t="s">
        <v>8865</v>
      </c>
      <c r="C1555" s="1" t="s">
        <v>6602</v>
      </c>
    </row>
    <row r="1556" spans="1:3" ht="15.75" customHeight="1" x14ac:dyDescent="0.25">
      <c r="A1556" s="1" t="s">
        <v>195</v>
      </c>
      <c r="B1556" s="1" t="s">
        <v>5952</v>
      </c>
      <c r="C1556" s="1" t="s">
        <v>8864</v>
      </c>
    </row>
    <row r="1557" spans="1:3" ht="15.75" customHeight="1" x14ac:dyDescent="0.25">
      <c r="A1557" s="1" t="s">
        <v>5141</v>
      </c>
      <c r="B1557" s="1" t="s">
        <v>8863</v>
      </c>
      <c r="C1557" s="1" t="s">
        <v>8862</v>
      </c>
    </row>
    <row r="1558" spans="1:3" ht="15.75" customHeight="1" x14ac:dyDescent="0.25">
      <c r="A1558" s="1" t="s">
        <v>2934</v>
      </c>
      <c r="B1558" s="1" t="s">
        <v>8861</v>
      </c>
      <c r="C1558" s="1" t="s">
        <v>6789</v>
      </c>
    </row>
    <row r="1559" spans="1:3" ht="15.75" customHeight="1" x14ac:dyDescent="0.25">
      <c r="A1559" s="1" t="s">
        <v>3770</v>
      </c>
      <c r="B1559" s="1" t="s">
        <v>8860</v>
      </c>
      <c r="C1559" s="1" t="s">
        <v>5838</v>
      </c>
    </row>
    <row r="1560" spans="1:3" ht="15.75" customHeight="1" x14ac:dyDescent="0.25">
      <c r="A1560" s="1" t="s">
        <v>5066</v>
      </c>
      <c r="B1560" s="1" t="s">
        <v>8859</v>
      </c>
      <c r="C1560" s="1" t="s">
        <v>8858</v>
      </c>
    </row>
    <row r="1561" spans="1:3" ht="15.75" customHeight="1" x14ac:dyDescent="0.25">
      <c r="A1561" s="1" t="s">
        <v>8857</v>
      </c>
      <c r="B1561" s="1" t="s">
        <v>8856</v>
      </c>
      <c r="C1561" s="1" t="s">
        <v>5811</v>
      </c>
    </row>
    <row r="1562" spans="1:3" ht="15.75" customHeight="1" x14ac:dyDescent="0.25">
      <c r="A1562" s="1" t="s">
        <v>8855</v>
      </c>
      <c r="B1562" s="1" t="s">
        <v>8854</v>
      </c>
      <c r="C1562" s="1" t="s">
        <v>6507</v>
      </c>
    </row>
    <row r="1563" spans="1:3" ht="15.75" customHeight="1" x14ac:dyDescent="0.25">
      <c r="A1563" s="1" t="s">
        <v>4671</v>
      </c>
      <c r="B1563" s="1" t="s">
        <v>6450</v>
      </c>
      <c r="C1563" s="1" t="s">
        <v>8853</v>
      </c>
    </row>
    <row r="1564" spans="1:3" ht="15.75" customHeight="1" x14ac:dyDescent="0.25">
      <c r="A1564" s="1" t="s">
        <v>5549</v>
      </c>
      <c r="B1564" s="1" t="s">
        <v>8852</v>
      </c>
      <c r="C1564" s="1" t="s">
        <v>7011</v>
      </c>
    </row>
    <row r="1565" spans="1:3" ht="15.75" customHeight="1" x14ac:dyDescent="0.25">
      <c r="A1565" s="1" t="s">
        <v>5538</v>
      </c>
      <c r="B1565" s="1" t="s">
        <v>7847</v>
      </c>
      <c r="C1565" s="1" t="s">
        <v>8851</v>
      </c>
    </row>
    <row r="1566" spans="1:3" ht="15.75" customHeight="1" x14ac:dyDescent="0.25">
      <c r="A1566" s="1" t="s">
        <v>3921</v>
      </c>
      <c r="B1566" s="1" t="s">
        <v>2454</v>
      </c>
      <c r="C1566" s="1" t="s">
        <v>6295</v>
      </c>
    </row>
    <row r="1567" spans="1:3" ht="15.75" customHeight="1" x14ac:dyDescent="0.25">
      <c r="A1567" s="1" t="s">
        <v>193</v>
      </c>
      <c r="B1567" s="1" t="s">
        <v>8850</v>
      </c>
      <c r="C1567" s="1" t="s">
        <v>7195</v>
      </c>
    </row>
    <row r="1568" spans="1:3" ht="15.75" customHeight="1" x14ac:dyDescent="0.25">
      <c r="A1568" s="1" t="s">
        <v>5027</v>
      </c>
      <c r="B1568" s="1" t="s">
        <v>8849</v>
      </c>
      <c r="C1568" s="1" t="s">
        <v>6568</v>
      </c>
    </row>
    <row r="1569" spans="1:3" ht="15.75" customHeight="1" x14ac:dyDescent="0.25">
      <c r="A1569" s="1" t="s">
        <v>5041</v>
      </c>
      <c r="B1569" s="1" t="s">
        <v>8848</v>
      </c>
      <c r="C1569" s="1" t="s">
        <v>5796</v>
      </c>
    </row>
    <row r="1570" spans="1:3" ht="15.75" customHeight="1" x14ac:dyDescent="0.25">
      <c r="A1570" s="1" t="s">
        <v>4822</v>
      </c>
      <c r="B1570" s="1" t="s">
        <v>8847</v>
      </c>
      <c r="C1570" s="1" t="s">
        <v>8669</v>
      </c>
    </row>
    <row r="1571" spans="1:3" ht="15.75" customHeight="1" x14ac:dyDescent="0.25">
      <c r="A1571" s="1" t="s">
        <v>8846</v>
      </c>
      <c r="B1571" s="1" t="s">
        <v>8845</v>
      </c>
      <c r="C1571" s="1" t="s">
        <v>5811</v>
      </c>
    </row>
    <row r="1572" spans="1:3" ht="15.75" customHeight="1" x14ac:dyDescent="0.25">
      <c r="A1572" s="1" t="s">
        <v>8844</v>
      </c>
      <c r="B1572" s="1" t="s">
        <v>8843</v>
      </c>
      <c r="C1572" s="1" t="s">
        <v>6759</v>
      </c>
    </row>
    <row r="1573" spans="1:3" ht="15.75" customHeight="1" x14ac:dyDescent="0.25">
      <c r="A1573" s="1" t="s">
        <v>8842</v>
      </c>
      <c r="B1573" s="1" t="s">
        <v>7459</v>
      </c>
      <c r="C1573" s="1" t="s">
        <v>8841</v>
      </c>
    </row>
    <row r="1574" spans="1:3" ht="15.75" customHeight="1" x14ac:dyDescent="0.25">
      <c r="A1574" s="1" t="s">
        <v>2266</v>
      </c>
      <c r="B1574" s="1" t="s">
        <v>8840</v>
      </c>
      <c r="C1574" s="1" t="s">
        <v>5781</v>
      </c>
    </row>
    <row r="1575" spans="1:3" ht="15.75" customHeight="1" x14ac:dyDescent="0.25">
      <c r="A1575" s="1" t="s">
        <v>8839</v>
      </c>
      <c r="B1575" s="1" t="s">
        <v>8838</v>
      </c>
      <c r="C1575" s="1" t="s">
        <v>5781</v>
      </c>
    </row>
    <row r="1576" spans="1:3" ht="15.75" customHeight="1" x14ac:dyDescent="0.25">
      <c r="A1576" s="1" t="s">
        <v>4841</v>
      </c>
      <c r="B1576" s="1" t="s">
        <v>8837</v>
      </c>
      <c r="C1576" s="1" t="s">
        <v>6653</v>
      </c>
    </row>
    <row r="1577" spans="1:3" ht="15.75" customHeight="1" x14ac:dyDescent="0.25">
      <c r="A1577" s="1" t="s">
        <v>4545</v>
      </c>
      <c r="B1577" s="1" t="s">
        <v>8836</v>
      </c>
      <c r="C1577" s="1" t="s">
        <v>6640</v>
      </c>
    </row>
    <row r="1578" spans="1:3" ht="15.75" customHeight="1" x14ac:dyDescent="0.25">
      <c r="A1578" s="1" t="s">
        <v>8835</v>
      </c>
      <c r="B1578" s="1" t="s">
        <v>8834</v>
      </c>
      <c r="C1578" s="1" t="s">
        <v>6963</v>
      </c>
    </row>
    <row r="1579" spans="1:3" ht="15.75" customHeight="1" x14ac:dyDescent="0.25">
      <c r="A1579" s="1" t="s">
        <v>3295</v>
      </c>
      <c r="B1579" s="1" t="s">
        <v>8833</v>
      </c>
      <c r="C1579" s="1" t="s">
        <v>5773</v>
      </c>
    </row>
    <row r="1580" spans="1:3" ht="15.75" customHeight="1" x14ac:dyDescent="0.25">
      <c r="A1580" s="1" t="s">
        <v>8832</v>
      </c>
      <c r="B1580" s="1" t="s">
        <v>8831</v>
      </c>
      <c r="C1580" s="1" t="s">
        <v>6242</v>
      </c>
    </row>
    <row r="1581" spans="1:3" ht="15.75" customHeight="1" x14ac:dyDescent="0.25">
      <c r="A1581" s="1" t="s">
        <v>8830</v>
      </c>
      <c r="B1581" s="1" t="s">
        <v>8829</v>
      </c>
      <c r="C1581" s="1" t="s">
        <v>6507</v>
      </c>
    </row>
    <row r="1582" spans="1:3" ht="15.75" customHeight="1" x14ac:dyDescent="0.25">
      <c r="A1582" s="1" t="s">
        <v>3567</v>
      </c>
      <c r="B1582" s="1" t="s">
        <v>8828</v>
      </c>
      <c r="C1582" s="1" t="s">
        <v>5836</v>
      </c>
    </row>
    <row r="1583" spans="1:3" ht="15.75" customHeight="1" x14ac:dyDescent="0.25">
      <c r="A1583" s="1" t="s">
        <v>2095</v>
      </c>
      <c r="B1583" s="1" t="s">
        <v>8827</v>
      </c>
      <c r="C1583" s="1" t="s">
        <v>6929</v>
      </c>
    </row>
    <row r="1584" spans="1:3" ht="15.75" customHeight="1" x14ac:dyDescent="0.25">
      <c r="A1584" s="1" t="s">
        <v>3345</v>
      </c>
      <c r="B1584" s="1" t="s">
        <v>8826</v>
      </c>
      <c r="C1584" s="1" t="s">
        <v>6665</v>
      </c>
    </row>
    <row r="1585" spans="1:3" ht="15.75" customHeight="1" x14ac:dyDescent="0.25">
      <c r="A1585" s="1" t="s">
        <v>1924</v>
      </c>
      <c r="B1585" s="1" t="s">
        <v>8825</v>
      </c>
      <c r="C1585" s="1" t="s">
        <v>7423</v>
      </c>
    </row>
    <row r="1586" spans="1:3" ht="15.75" customHeight="1" x14ac:dyDescent="0.25">
      <c r="A1586" s="1" t="s">
        <v>8824</v>
      </c>
      <c r="B1586" s="1" t="s">
        <v>8823</v>
      </c>
      <c r="C1586" s="1" t="s">
        <v>5860</v>
      </c>
    </row>
    <row r="1587" spans="1:3" ht="15.75" customHeight="1" x14ac:dyDescent="0.25">
      <c r="A1587" s="1" t="s">
        <v>8822</v>
      </c>
      <c r="B1587" s="1" t="s">
        <v>8821</v>
      </c>
      <c r="C1587" s="1" t="s">
        <v>5860</v>
      </c>
    </row>
    <row r="1588" spans="1:3" ht="15.75" customHeight="1" x14ac:dyDescent="0.25">
      <c r="A1588" s="1" t="s">
        <v>3630</v>
      </c>
      <c r="B1588" s="1" t="s">
        <v>8820</v>
      </c>
      <c r="C1588" s="1" t="s">
        <v>8091</v>
      </c>
    </row>
    <row r="1589" spans="1:3" ht="15.75" customHeight="1" x14ac:dyDescent="0.25">
      <c r="A1589" s="1" t="s">
        <v>1372</v>
      </c>
      <c r="B1589" s="1" t="s">
        <v>8819</v>
      </c>
      <c r="C1589" s="1" t="s">
        <v>5829</v>
      </c>
    </row>
    <row r="1590" spans="1:3" ht="15.75" customHeight="1" x14ac:dyDescent="0.25">
      <c r="A1590" s="1" t="s">
        <v>8818</v>
      </c>
      <c r="B1590" s="1" t="s">
        <v>8817</v>
      </c>
      <c r="C1590" s="1" t="s">
        <v>7468</v>
      </c>
    </row>
    <row r="1591" spans="1:3" ht="15.75" customHeight="1" x14ac:dyDescent="0.25">
      <c r="A1591" s="1" t="s">
        <v>8816</v>
      </c>
      <c r="B1591" s="1" t="s">
        <v>8815</v>
      </c>
      <c r="C1591" s="1" t="s">
        <v>6486</v>
      </c>
    </row>
    <row r="1592" spans="1:3" ht="15.75" customHeight="1" x14ac:dyDescent="0.25">
      <c r="A1592" s="1" t="s">
        <v>2603</v>
      </c>
      <c r="B1592" s="1" t="s">
        <v>8814</v>
      </c>
      <c r="C1592" s="1" t="s">
        <v>8813</v>
      </c>
    </row>
    <row r="1593" spans="1:3" ht="15.75" customHeight="1" x14ac:dyDescent="0.25">
      <c r="A1593" s="1" t="s">
        <v>4402</v>
      </c>
      <c r="B1593" s="1" t="s">
        <v>8812</v>
      </c>
      <c r="C1593" s="1" t="s">
        <v>6725</v>
      </c>
    </row>
    <row r="1594" spans="1:3" ht="15.75" customHeight="1" x14ac:dyDescent="0.25">
      <c r="A1594" s="1" t="s">
        <v>8811</v>
      </c>
      <c r="B1594" s="1" t="s">
        <v>8810</v>
      </c>
      <c r="C1594" s="1" t="s">
        <v>5860</v>
      </c>
    </row>
    <row r="1595" spans="1:3" ht="15.75" customHeight="1" x14ac:dyDescent="0.25">
      <c r="A1595" s="1" t="s">
        <v>8809</v>
      </c>
      <c r="B1595" s="1" t="s">
        <v>8808</v>
      </c>
      <c r="C1595" s="1" t="s">
        <v>6507</v>
      </c>
    </row>
    <row r="1596" spans="1:3" ht="15.75" customHeight="1" x14ac:dyDescent="0.25">
      <c r="A1596" s="1" t="s">
        <v>3184</v>
      </c>
      <c r="B1596" s="1" t="s">
        <v>8807</v>
      </c>
      <c r="C1596" s="1" t="s">
        <v>6319</v>
      </c>
    </row>
    <row r="1597" spans="1:3" ht="15.75" customHeight="1" x14ac:dyDescent="0.25">
      <c r="A1597" s="1" t="s">
        <v>8806</v>
      </c>
      <c r="B1597" s="1" t="s">
        <v>5952</v>
      </c>
      <c r="C1597" s="1" t="s">
        <v>8805</v>
      </c>
    </row>
    <row r="1598" spans="1:3" ht="15.75" customHeight="1" x14ac:dyDescent="0.25">
      <c r="A1598" s="1" t="s">
        <v>484</v>
      </c>
      <c r="B1598" s="1" t="s">
        <v>8804</v>
      </c>
      <c r="C1598" s="1" t="s">
        <v>7915</v>
      </c>
    </row>
    <row r="1599" spans="1:3" ht="15.75" customHeight="1" x14ac:dyDescent="0.25">
      <c r="A1599" s="1" t="s">
        <v>8803</v>
      </c>
      <c r="B1599" s="1" t="s">
        <v>8802</v>
      </c>
      <c r="C1599" s="1" t="s">
        <v>5836</v>
      </c>
    </row>
    <row r="1600" spans="1:3" ht="15.75" customHeight="1" x14ac:dyDescent="0.25">
      <c r="A1600" s="1" t="s">
        <v>5583</v>
      </c>
      <c r="B1600" s="1" t="s">
        <v>8801</v>
      </c>
      <c r="C1600" s="1" t="s">
        <v>6288</v>
      </c>
    </row>
    <row r="1601" spans="1:3" ht="15.75" customHeight="1" x14ac:dyDescent="0.25">
      <c r="A1601" s="1" t="s">
        <v>4456</v>
      </c>
      <c r="B1601" s="1" t="s">
        <v>8800</v>
      </c>
      <c r="C1601" s="1" t="s">
        <v>6647</v>
      </c>
    </row>
    <row r="1602" spans="1:3" ht="15.75" customHeight="1" x14ac:dyDescent="0.25">
      <c r="A1602" s="1" t="s">
        <v>2659</v>
      </c>
      <c r="B1602" s="1" t="s">
        <v>8799</v>
      </c>
      <c r="C1602" s="1" t="s">
        <v>6640</v>
      </c>
    </row>
    <row r="1603" spans="1:3" ht="15.75" customHeight="1" x14ac:dyDescent="0.25">
      <c r="A1603" s="1" t="s">
        <v>5375</v>
      </c>
      <c r="B1603" s="1" t="s">
        <v>8798</v>
      </c>
      <c r="C1603" s="1" t="s">
        <v>6530</v>
      </c>
    </row>
    <row r="1604" spans="1:3" ht="15.75" customHeight="1" x14ac:dyDescent="0.25">
      <c r="A1604" s="1" t="s">
        <v>8797</v>
      </c>
      <c r="B1604" s="1" t="s">
        <v>8796</v>
      </c>
      <c r="C1604" s="1" t="s">
        <v>5860</v>
      </c>
    </row>
    <row r="1605" spans="1:3" ht="15.75" customHeight="1" x14ac:dyDescent="0.25">
      <c r="A1605" s="1" t="s">
        <v>1098</v>
      </c>
      <c r="B1605" s="1" t="s">
        <v>8795</v>
      </c>
      <c r="C1605" s="1" t="s">
        <v>6667</v>
      </c>
    </row>
    <row r="1606" spans="1:3" ht="15.75" customHeight="1" x14ac:dyDescent="0.25">
      <c r="A1606" s="1" t="s">
        <v>3006</v>
      </c>
      <c r="B1606" s="1" t="s">
        <v>8794</v>
      </c>
      <c r="C1606" s="1" t="s">
        <v>5789</v>
      </c>
    </row>
    <row r="1607" spans="1:3" ht="15.75" customHeight="1" x14ac:dyDescent="0.25">
      <c r="A1607" s="1" t="s">
        <v>8793</v>
      </c>
      <c r="B1607" s="1" t="s">
        <v>8792</v>
      </c>
      <c r="C1607" s="1" t="s">
        <v>6125</v>
      </c>
    </row>
    <row r="1608" spans="1:3" ht="15.75" customHeight="1" x14ac:dyDescent="0.25">
      <c r="A1608" s="1" t="s">
        <v>8791</v>
      </c>
      <c r="B1608" s="1" t="s">
        <v>8790</v>
      </c>
      <c r="C1608" s="1" t="s">
        <v>5811</v>
      </c>
    </row>
    <row r="1609" spans="1:3" ht="15.75" customHeight="1" x14ac:dyDescent="0.25">
      <c r="A1609" s="1" t="s">
        <v>8789</v>
      </c>
      <c r="B1609" s="1" t="s">
        <v>8788</v>
      </c>
      <c r="C1609" s="1" t="s">
        <v>5838</v>
      </c>
    </row>
    <row r="1610" spans="1:3" ht="15.75" customHeight="1" x14ac:dyDescent="0.25">
      <c r="A1610" s="1" t="s">
        <v>3321</v>
      </c>
      <c r="B1610" s="1" t="s">
        <v>8787</v>
      </c>
      <c r="C1610" s="1" t="s">
        <v>6750</v>
      </c>
    </row>
    <row r="1611" spans="1:3" ht="15.75" customHeight="1" x14ac:dyDescent="0.25">
      <c r="A1611" s="1" t="s">
        <v>1763</v>
      </c>
      <c r="B1611" s="1" t="s">
        <v>8786</v>
      </c>
      <c r="C1611" s="1" t="s">
        <v>6276</v>
      </c>
    </row>
    <row r="1612" spans="1:3" ht="15.75" customHeight="1" x14ac:dyDescent="0.25">
      <c r="A1612" s="1" t="s">
        <v>3458</v>
      </c>
      <c r="B1612" s="1" t="s">
        <v>8785</v>
      </c>
      <c r="C1612" s="1" t="s">
        <v>5838</v>
      </c>
    </row>
    <row r="1613" spans="1:3" ht="15.75" customHeight="1" x14ac:dyDescent="0.25">
      <c r="A1613" s="1" t="s">
        <v>3889</v>
      </c>
      <c r="B1613" s="1" t="s">
        <v>8784</v>
      </c>
      <c r="C1613" s="1" t="s">
        <v>7337</v>
      </c>
    </row>
    <row r="1614" spans="1:3" ht="15.75" customHeight="1" x14ac:dyDescent="0.25">
      <c r="A1614" s="1" t="s">
        <v>3210</v>
      </c>
      <c r="B1614" s="1" t="s">
        <v>8783</v>
      </c>
      <c r="C1614" s="1" t="s">
        <v>5838</v>
      </c>
    </row>
    <row r="1615" spans="1:3" ht="15.75" customHeight="1" x14ac:dyDescent="0.25">
      <c r="A1615" s="1" t="s">
        <v>8782</v>
      </c>
      <c r="B1615" s="1" t="s">
        <v>8781</v>
      </c>
      <c r="C1615" s="1" t="s">
        <v>6486</v>
      </c>
    </row>
    <row r="1616" spans="1:3" ht="15.75" customHeight="1" x14ac:dyDescent="0.25">
      <c r="A1616" s="1" t="s">
        <v>3036</v>
      </c>
      <c r="B1616" s="1" t="s">
        <v>8780</v>
      </c>
      <c r="C1616" s="1" t="s">
        <v>5886</v>
      </c>
    </row>
    <row r="1617" spans="1:3" ht="15.75" customHeight="1" x14ac:dyDescent="0.25">
      <c r="A1617" s="1" t="s">
        <v>3356</v>
      </c>
      <c r="B1617" s="1" t="s">
        <v>8779</v>
      </c>
      <c r="C1617" s="1" t="s">
        <v>8037</v>
      </c>
    </row>
    <row r="1618" spans="1:3" ht="15.75" customHeight="1" x14ac:dyDescent="0.25">
      <c r="A1618" s="1" t="s">
        <v>3054</v>
      </c>
      <c r="B1618" s="1" t="s">
        <v>8738</v>
      </c>
      <c r="C1618" s="1" t="s">
        <v>8778</v>
      </c>
    </row>
    <row r="1619" spans="1:3" ht="15.75" customHeight="1" x14ac:dyDescent="0.25">
      <c r="A1619" s="1" t="s">
        <v>8777</v>
      </c>
      <c r="B1619" s="1" t="s">
        <v>8776</v>
      </c>
      <c r="C1619" s="1" t="s">
        <v>6690</v>
      </c>
    </row>
    <row r="1620" spans="1:3" ht="15.75" customHeight="1" x14ac:dyDescent="0.25">
      <c r="A1620" s="1" t="s">
        <v>4655</v>
      </c>
      <c r="B1620" s="1" t="s">
        <v>8775</v>
      </c>
      <c r="C1620" s="1" t="s">
        <v>8774</v>
      </c>
    </row>
    <row r="1621" spans="1:3" ht="15.75" customHeight="1" x14ac:dyDescent="0.25">
      <c r="A1621" s="1" t="s">
        <v>2110</v>
      </c>
      <c r="B1621" s="1" t="s">
        <v>8773</v>
      </c>
      <c r="C1621" s="1" t="s">
        <v>6602</v>
      </c>
    </row>
    <row r="1622" spans="1:3" ht="15.75" customHeight="1" x14ac:dyDescent="0.25">
      <c r="A1622" s="1" t="s">
        <v>8772</v>
      </c>
      <c r="B1622" s="1" t="s">
        <v>8771</v>
      </c>
      <c r="C1622" s="1" t="s">
        <v>7052</v>
      </c>
    </row>
    <row r="1623" spans="1:3" ht="15.75" customHeight="1" x14ac:dyDescent="0.25">
      <c r="A1623" s="1" t="s">
        <v>2972</v>
      </c>
      <c r="B1623" s="1" t="s">
        <v>8770</v>
      </c>
      <c r="C1623" s="1" t="s">
        <v>8769</v>
      </c>
    </row>
    <row r="1624" spans="1:3" ht="15.75" customHeight="1" x14ac:dyDescent="0.25">
      <c r="A1624" s="1" t="s">
        <v>5581</v>
      </c>
      <c r="B1624" s="1" t="s">
        <v>5952</v>
      </c>
      <c r="C1624" s="1" t="s">
        <v>8768</v>
      </c>
    </row>
    <row r="1625" spans="1:3" ht="15.75" customHeight="1" x14ac:dyDescent="0.25">
      <c r="A1625" s="1" t="s">
        <v>8767</v>
      </c>
      <c r="B1625" s="1" t="s">
        <v>8766</v>
      </c>
      <c r="C1625" s="1" t="s">
        <v>5836</v>
      </c>
    </row>
    <row r="1626" spans="1:3" ht="15.75" customHeight="1" x14ac:dyDescent="0.25">
      <c r="A1626" s="1" t="s">
        <v>562</v>
      </c>
      <c r="B1626" s="1" t="s">
        <v>8765</v>
      </c>
      <c r="C1626" s="1" t="s">
        <v>5838</v>
      </c>
    </row>
    <row r="1627" spans="1:3" ht="15.75" customHeight="1" x14ac:dyDescent="0.25">
      <c r="A1627" s="1" t="s">
        <v>678</v>
      </c>
      <c r="B1627" s="1" t="s">
        <v>6297</v>
      </c>
      <c r="C1627" s="1" t="s">
        <v>8764</v>
      </c>
    </row>
    <row r="1628" spans="1:3" ht="15.75" customHeight="1" x14ac:dyDescent="0.25">
      <c r="A1628" s="1" t="s">
        <v>8763</v>
      </c>
      <c r="B1628" s="1" t="s">
        <v>8762</v>
      </c>
      <c r="C1628" s="1" t="s">
        <v>7875</v>
      </c>
    </row>
    <row r="1629" spans="1:3" ht="15.75" customHeight="1" x14ac:dyDescent="0.25">
      <c r="A1629" s="1" t="s">
        <v>8761</v>
      </c>
      <c r="B1629" s="1" t="s">
        <v>8760</v>
      </c>
      <c r="C1629" s="1" t="s">
        <v>6759</v>
      </c>
    </row>
    <row r="1630" spans="1:3" ht="15.75" customHeight="1" x14ac:dyDescent="0.25">
      <c r="A1630" s="1" t="s">
        <v>855</v>
      </c>
      <c r="B1630" s="1" t="s">
        <v>8759</v>
      </c>
      <c r="C1630" s="1" t="s">
        <v>6493</v>
      </c>
    </row>
    <row r="1631" spans="1:3" ht="15.75" customHeight="1" x14ac:dyDescent="0.25">
      <c r="A1631" s="1" t="s">
        <v>3087</v>
      </c>
      <c r="B1631" s="1" t="s">
        <v>8758</v>
      </c>
      <c r="C1631" s="1" t="s">
        <v>5820</v>
      </c>
    </row>
    <row r="1632" spans="1:3" ht="15.75" customHeight="1" x14ac:dyDescent="0.25">
      <c r="A1632" s="1" t="s">
        <v>3854</v>
      </c>
      <c r="B1632" s="1" t="s">
        <v>8757</v>
      </c>
      <c r="C1632" s="1" t="s">
        <v>5796</v>
      </c>
    </row>
    <row r="1633" spans="1:3" ht="15.75" customHeight="1" x14ac:dyDescent="0.25">
      <c r="A1633" s="1" t="s">
        <v>190</v>
      </c>
      <c r="B1633" s="1" t="s">
        <v>8756</v>
      </c>
      <c r="C1633" s="1" t="s">
        <v>5844</v>
      </c>
    </row>
    <row r="1634" spans="1:3" ht="15.75" customHeight="1" x14ac:dyDescent="0.25">
      <c r="A1634" s="1" t="s">
        <v>8755</v>
      </c>
      <c r="B1634" s="1" t="s">
        <v>8754</v>
      </c>
      <c r="C1634" s="1" t="s">
        <v>8753</v>
      </c>
    </row>
    <row r="1635" spans="1:3" ht="15.75" customHeight="1" x14ac:dyDescent="0.25">
      <c r="A1635" s="1" t="s">
        <v>1596</v>
      </c>
      <c r="B1635" s="1" t="s">
        <v>8752</v>
      </c>
      <c r="C1635" s="1" t="s">
        <v>6688</v>
      </c>
    </row>
    <row r="1636" spans="1:3" ht="15.75" customHeight="1" x14ac:dyDescent="0.25">
      <c r="A1636" s="1" t="s">
        <v>8751</v>
      </c>
      <c r="B1636" s="1" t="s">
        <v>8750</v>
      </c>
      <c r="C1636" s="1" t="s">
        <v>6242</v>
      </c>
    </row>
    <row r="1637" spans="1:3" ht="15.75" customHeight="1" x14ac:dyDescent="0.25">
      <c r="A1637" s="1" t="s">
        <v>8749</v>
      </c>
      <c r="B1637" s="1" t="s">
        <v>8748</v>
      </c>
      <c r="C1637" s="1" t="s">
        <v>5811</v>
      </c>
    </row>
    <row r="1638" spans="1:3" ht="15.75" customHeight="1" x14ac:dyDescent="0.25">
      <c r="A1638" s="1" t="s">
        <v>8747</v>
      </c>
      <c r="B1638" s="1" t="s">
        <v>8746</v>
      </c>
      <c r="C1638" s="1" t="s">
        <v>5811</v>
      </c>
    </row>
    <row r="1639" spans="1:3" ht="15.75" customHeight="1" x14ac:dyDescent="0.25">
      <c r="A1639" s="1" t="s">
        <v>4891</v>
      </c>
      <c r="B1639" s="1" t="s">
        <v>4889</v>
      </c>
      <c r="C1639" s="1" t="s">
        <v>8745</v>
      </c>
    </row>
    <row r="1640" spans="1:3" ht="15.75" customHeight="1" x14ac:dyDescent="0.25">
      <c r="A1640" s="1" t="s">
        <v>3062</v>
      </c>
      <c r="B1640" s="1" t="s">
        <v>8744</v>
      </c>
      <c r="C1640" s="1" t="s">
        <v>5844</v>
      </c>
    </row>
    <row r="1641" spans="1:3" ht="15.75" customHeight="1" x14ac:dyDescent="0.25">
      <c r="A1641" s="1" t="s">
        <v>8743</v>
      </c>
      <c r="B1641" s="1" t="s">
        <v>8742</v>
      </c>
      <c r="C1641" s="1" t="s">
        <v>5829</v>
      </c>
    </row>
    <row r="1642" spans="1:3" ht="15.75" customHeight="1" x14ac:dyDescent="0.25">
      <c r="A1642" s="1" t="s">
        <v>8741</v>
      </c>
      <c r="B1642" s="1" t="s">
        <v>8740</v>
      </c>
      <c r="C1642" s="1" t="s">
        <v>8578</v>
      </c>
    </row>
    <row r="1643" spans="1:3" ht="15.75" customHeight="1" x14ac:dyDescent="0.25">
      <c r="A1643" s="1" t="s">
        <v>8739</v>
      </c>
      <c r="B1643" s="1" t="s">
        <v>8738</v>
      </c>
      <c r="C1643" s="1" t="s">
        <v>8737</v>
      </c>
    </row>
    <row r="1644" spans="1:3" ht="15.75" customHeight="1" x14ac:dyDescent="0.25">
      <c r="A1644" s="1" t="s">
        <v>1272</v>
      </c>
      <c r="B1644" s="1" t="s">
        <v>8736</v>
      </c>
      <c r="C1644" s="1" t="s">
        <v>8735</v>
      </c>
    </row>
    <row r="1645" spans="1:3" ht="15.75" customHeight="1" x14ac:dyDescent="0.25">
      <c r="A1645" s="1" t="s">
        <v>4422</v>
      </c>
      <c r="B1645" s="1" t="s">
        <v>8734</v>
      </c>
      <c r="C1645" s="1" t="s">
        <v>6886</v>
      </c>
    </row>
    <row r="1646" spans="1:3" ht="15.75" customHeight="1" x14ac:dyDescent="0.25">
      <c r="A1646" s="1" t="s">
        <v>2899</v>
      </c>
      <c r="B1646" s="1" t="s">
        <v>8733</v>
      </c>
      <c r="C1646" s="1" t="s">
        <v>6931</v>
      </c>
    </row>
    <row r="1647" spans="1:3" ht="15.75" customHeight="1" x14ac:dyDescent="0.25">
      <c r="A1647" s="1" t="s">
        <v>8732</v>
      </c>
      <c r="B1647" s="1" t="s">
        <v>8731</v>
      </c>
      <c r="C1647" s="1" t="s">
        <v>6474</v>
      </c>
    </row>
    <row r="1648" spans="1:3" ht="15.75" customHeight="1" x14ac:dyDescent="0.25">
      <c r="A1648" s="1" t="s">
        <v>8730</v>
      </c>
      <c r="B1648" s="1" t="s">
        <v>8729</v>
      </c>
      <c r="C1648" s="1" t="s">
        <v>6929</v>
      </c>
    </row>
    <row r="1649" spans="1:3" ht="15.75" customHeight="1" x14ac:dyDescent="0.25">
      <c r="A1649" s="1" t="s">
        <v>8728</v>
      </c>
      <c r="B1649" s="1" t="s">
        <v>8727</v>
      </c>
      <c r="C1649" s="1" t="s">
        <v>5796</v>
      </c>
    </row>
    <row r="1650" spans="1:3" ht="15.75" customHeight="1" x14ac:dyDescent="0.25">
      <c r="A1650" s="1" t="s">
        <v>1186</v>
      </c>
      <c r="B1650" s="1" t="s">
        <v>8726</v>
      </c>
      <c r="C1650" s="1" t="s">
        <v>5789</v>
      </c>
    </row>
    <row r="1651" spans="1:3" ht="15.75" customHeight="1" x14ac:dyDescent="0.25">
      <c r="A1651" s="1" t="s">
        <v>5019</v>
      </c>
      <c r="B1651" s="1" t="s">
        <v>8725</v>
      </c>
      <c r="C1651" s="1" t="s">
        <v>6784</v>
      </c>
    </row>
    <row r="1652" spans="1:3" ht="15.75" customHeight="1" x14ac:dyDescent="0.25">
      <c r="A1652" s="1" t="s">
        <v>2922</v>
      </c>
      <c r="B1652" s="1" t="s">
        <v>8724</v>
      </c>
      <c r="C1652" s="1" t="s">
        <v>5800</v>
      </c>
    </row>
    <row r="1653" spans="1:3" ht="15.75" customHeight="1" x14ac:dyDescent="0.25">
      <c r="A1653" s="1" t="s">
        <v>3467</v>
      </c>
      <c r="B1653" s="1" t="s">
        <v>8723</v>
      </c>
      <c r="C1653" s="1" t="s">
        <v>5796</v>
      </c>
    </row>
    <row r="1654" spans="1:3" ht="15.75" customHeight="1" x14ac:dyDescent="0.25">
      <c r="A1654" s="1" t="s">
        <v>1405</v>
      </c>
      <c r="B1654" s="1" t="s">
        <v>8722</v>
      </c>
      <c r="C1654" s="1" t="s">
        <v>6640</v>
      </c>
    </row>
    <row r="1655" spans="1:3" ht="15.75" customHeight="1" x14ac:dyDescent="0.25">
      <c r="A1655" s="1" t="s">
        <v>3658</v>
      </c>
      <c r="B1655" s="1" t="s">
        <v>8721</v>
      </c>
      <c r="C1655" s="1" t="s">
        <v>5796</v>
      </c>
    </row>
    <row r="1656" spans="1:3" ht="15.75" customHeight="1" x14ac:dyDescent="0.25">
      <c r="A1656" s="1" t="s">
        <v>3686</v>
      </c>
      <c r="B1656" s="1" t="s">
        <v>8720</v>
      </c>
      <c r="C1656" s="1" t="s">
        <v>5796</v>
      </c>
    </row>
    <row r="1657" spans="1:3" ht="15.75" customHeight="1" x14ac:dyDescent="0.25">
      <c r="A1657" s="1" t="s">
        <v>3243</v>
      </c>
      <c r="B1657" s="1" t="s">
        <v>8719</v>
      </c>
      <c r="C1657" s="1" t="s">
        <v>6546</v>
      </c>
    </row>
    <row r="1658" spans="1:3" ht="15.75" customHeight="1" x14ac:dyDescent="0.25">
      <c r="A1658" s="1" t="s">
        <v>2905</v>
      </c>
      <c r="B1658" s="1" t="s">
        <v>8718</v>
      </c>
      <c r="C1658" s="1" t="s">
        <v>8717</v>
      </c>
    </row>
    <row r="1659" spans="1:3" ht="15.75" customHeight="1" x14ac:dyDescent="0.25">
      <c r="A1659" s="1" t="s">
        <v>5543</v>
      </c>
      <c r="B1659" s="1" t="s">
        <v>6258</v>
      </c>
      <c r="C1659" s="1" t="s">
        <v>8716</v>
      </c>
    </row>
    <row r="1660" spans="1:3" ht="15.75" customHeight="1" x14ac:dyDescent="0.25">
      <c r="A1660" s="1" t="s">
        <v>8715</v>
      </c>
      <c r="B1660" s="1" t="s">
        <v>8714</v>
      </c>
      <c r="C1660" s="1" t="s">
        <v>6942</v>
      </c>
    </row>
    <row r="1661" spans="1:3" ht="15.75" customHeight="1" x14ac:dyDescent="0.25">
      <c r="A1661" s="1" t="s">
        <v>8713</v>
      </c>
      <c r="B1661" s="1" t="s">
        <v>8712</v>
      </c>
      <c r="C1661" s="1" t="s">
        <v>5836</v>
      </c>
    </row>
    <row r="1662" spans="1:3" ht="15.75" customHeight="1" x14ac:dyDescent="0.25">
      <c r="A1662" s="1" t="s">
        <v>3717</v>
      </c>
      <c r="B1662" s="1" t="s">
        <v>8711</v>
      </c>
      <c r="C1662" s="1" t="s">
        <v>5796</v>
      </c>
    </row>
    <row r="1663" spans="1:3" ht="15.75" customHeight="1" x14ac:dyDescent="0.25">
      <c r="A1663" s="1" t="s">
        <v>3327</v>
      </c>
      <c r="B1663" s="1" t="s">
        <v>8710</v>
      </c>
      <c r="C1663" s="1" t="s">
        <v>5796</v>
      </c>
    </row>
    <row r="1664" spans="1:3" ht="15.75" customHeight="1" x14ac:dyDescent="0.25">
      <c r="A1664" s="1" t="s">
        <v>8709</v>
      </c>
      <c r="B1664" s="1" t="s">
        <v>8708</v>
      </c>
      <c r="C1664" s="1" t="s">
        <v>6276</v>
      </c>
    </row>
    <row r="1665" spans="1:3" ht="15.75" customHeight="1" x14ac:dyDescent="0.25">
      <c r="A1665" s="1" t="s">
        <v>187</v>
      </c>
      <c r="B1665" s="1" t="s">
        <v>186</v>
      </c>
      <c r="C1665" s="1" t="s">
        <v>6653</v>
      </c>
    </row>
    <row r="1666" spans="1:3" ht="15.75" customHeight="1" x14ac:dyDescent="0.25">
      <c r="A1666" s="1" t="s">
        <v>3522</v>
      </c>
      <c r="B1666" s="1" t="s">
        <v>8707</v>
      </c>
      <c r="C1666" s="1" t="s">
        <v>6953</v>
      </c>
    </row>
    <row r="1667" spans="1:3" ht="15.75" customHeight="1" x14ac:dyDescent="0.25">
      <c r="A1667" s="1" t="s">
        <v>185</v>
      </c>
      <c r="B1667" s="1" t="s">
        <v>8706</v>
      </c>
      <c r="C1667" s="1" t="s">
        <v>6288</v>
      </c>
    </row>
    <row r="1668" spans="1:3" ht="15.75" customHeight="1" x14ac:dyDescent="0.25">
      <c r="A1668" s="1" t="s">
        <v>4473</v>
      </c>
      <c r="B1668" s="1" t="s">
        <v>8705</v>
      </c>
      <c r="C1668" s="1" t="s">
        <v>6750</v>
      </c>
    </row>
    <row r="1669" spans="1:3" ht="15.75" customHeight="1" x14ac:dyDescent="0.25">
      <c r="A1669" s="1" t="s">
        <v>8704</v>
      </c>
      <c r="B1669" s="1" t="s">
        <v>8703</v>
      </c>
      <c r="C1669" s="1" t="s">
        <v>6486</v>
      </c>
    </row>
    <row r="1670" spans="1:3" ht="15.75" customHeight="1" x14ac:dyDescent="0.25">
      <c r="A1670" s="1" t="s">
        <v>5059</v>
      </c>
      <c r="B1670" s="1" t="s">
        <v>8702</v>
      </c>
      <c r="C1670" s="1" t="s">
        <v>6288</v>
      </c>
    </row>
    <row r="1671" spans="1:3" ht="15.75" customHeight="1" x14ac:dyDescent="0.25">
      <c r="A1671" s="1" t="s">
        <v>8701</v>
      </c>
      <c r="B1671" s="1" t="s">
        <v>8700</v>
      </c>
      <c r="C1671" s="1" t="s">
        <v>6507</v>
      </c>
    </row>
    <row r="1672" spans="1:3" ht="15.75" customHeight="1" x14ac:dyDescent="0.25">
      <c r="A1672" s="1" t="s">
        <v>1036</v>
      </c>
      <c r="B1672" s="1" t="s">
        <v>8699</v>
      </c>
      <c r="C1672" s="1" t="s">
        <v>6495</v>
      </c>
    </row>
    <row r="1673" spans="1:3" ht="15.75" customHeight="1" x14ac:dyDescent="0.25">
      <c r="A1673" s="1" t="s">
        <v>8698</v>
      </c>
      <c r="B1673" s="1" t="s">
        <v>8697</v>
      </c>
      <c r="C1673" s="1" t="s">
        <v>5836</v>
      </c>
    </row>
    <row r="1674" spans="1:3" ht="15.75" customHeight="1" x14ac:dyDescent="0.25">
      <c r="A1674" s="1" t="s">
        <v>182</v>
      </c>
      <c r="B1674" s="1" t="s">
        <v>8568</v>
      </c>
      <c r="C1674" s="1" t="s">
        <v>6530</v>
      </c>
    </row>
    <row r="1675" spans="1:3" ht="15.75" customHeight="1" x14ac:dyDescent="0.25">
      <c r="A1675" s="1" t="s">
        <v>4337</v>
      </c>
      <c r="B1675" s="1" t="s">
        <v>8696</v>
      </c>
      <c r="C1675" s="1" t="s">
        <v>7185</v>
      </c>
    </row>
    <row r="1676" spans="1:3" ht="15.75" customHeight="1" x14ac:dyDescent="0.25">
      <c r="A1676" s="1" t="s">
        <v>8695</v>
      </c>
      <c r="B1676" s="1" t="s">
        <v>8694</v>
      </c>
      <c r="C1676" s="1" t="s">
        <v>6797</v>
      </c>
    </row>
    <row r="1677" spans="1:3" ht="15.75" customHeight="1" x14ac:dyDescent="0.25">
      <c r="A1677" s="1" t="s">
        <v>5130</v>
      </c>
      <c r="B1677" s="1" t="s">
        <v>8693</v>
      </c>
      <c r="C1677" s="1" t="s">
        <v>6690</v>
      </c>
    </row>
    <row r="1678" spans="1:3" ht="15.75" customHeight="1" x14ac:dyDescent="0.25">
      <c r="A1678" s="1" t="s">
        <v>8692</v>
      </c>
      <c r="B1678" s="1" t="s">
        <v>8691</v>
      </c>
      <c r="C1678" s="1" t="s">
        <v>6486</v>
      </c>
    </row>
    <row r="1679" spans="1:3" ht="15.75" customHeight="1" x14ac:dyDescent="0.25">
      <c r="A1679" s="1" t="s">
        <v>8690</v>
      </c>
      <c r="B1679" s="1" t="s">
        <v>8689</v>
      </c>
      <c r="C1679" s="1" t="s">
        <v>7815</v>
      </c>
    </row>
    <row r="1680" spans="1:3" ht="15.75" customHeight="1" x14ac:dyDescent="0.25">
      <c r="A1680" s="1" t="s">
        <v>8688</v>
      </c>
      <c r="B1680" s="1" t="s">
        <v>8687</v>
      </c>
      <c r="C1680" s="1" t="s">
        <v>6323</v>
      </c>
    </row>
    <row r="1681" spans="1:3" ht="15.75" customHeight="1" x14ac:dyDescent="0.25">
      <c r="A1681" s="1" t="s">
        <v>8686</v>
      </c>
      <c r="B1681" s="1" t="s">
        <v>8685</v>
      </c>
      <c r="C1681" s="1" t="s">
        <v>6507</v>
      </c>
    </row>
    <row r="1682" spans="1:3" ht="15.75" customHeight="1" x14ac:dyDescent="0.25">
      <c r="A1682" s="1" t="s">
        <v>8684</v>
      </c>
      <c r="B1682" s="1" t="s">
        <v>8683</v>
      </c>
      <c r="C1682" s="1" t="s">
        <v>5809</v>
      </c>
    </row>
    <row r="1683" spans="1:3" ht="15.75" customHeight="1" x14ac:dyDescent="0.25">
      <c r="A1683" s="1" t="s">
        <v>8682</v>
      </c>
      <c r="B1683" s="1" t="s">
        <v>8681</v>
      </c>
      <c r="C1683" s="1" t="s">
        <v>6671</v>
      </c>
    </row>
    <row r="1684" spans="1:3" ht="15.75" customHeight="1" x14ac:dyDescent="0.25">
      <c r="A1684" s="1" t="s">
        <v>4644</v>
      </c>
      <c r="B1684" s="1" t="s">
        <v>8680</v>
      </c>
      <c r="C1684" s="1" t="s">
        <v>6901</v>
      </c>
    </row>
    <row r="1685" spans="1:3" ht="15.75" customHeight="1" x14ac:dyDescent="0.25">
      <c r="A1685" s="1" t="s">
        <v>8679</v>
      </c>
      <c r="B1685" s="1" t="s">
        <v>8678</v>
      </c>
      <c r="C1685" s="1" t="s">
        <v>6168</v>
      </c>
    </row>
    <row r="1686" spans="1:3" ht="15.75" customHeight="1" x14ac:dyDescent="0.25">
      <c r="A1686" s="1" t="s">
        <v>8677</v>
      </c>
      <c r="B1686" s="1" t="s">
        <v>8676</v>
      </c>
      <c r="C1686" s="1" t="s">
        <v>6276</v>
      </c>
    </row>
    <row r="1687" spans="1:3" ht="15.75" customHeight="1" x14ac:dyDescent="0.25">
      <c r="A1687" s="1" t="s">
        <v>5223</v>
      </c>
      <c r="B1687" s="1" t="s">
        <v>8675</v>
      </c>
      <c r="C1687" s="1" t="s">
        <v>7801</v>
      </c>
    </row>
    <row r="1688" spans="1:3" ht="15.75" customHeight="1" x14ac:dyDescent="0.25">
      <c r="A1688" s="1" t="s">
        <v>8674</v>
      </c>
      <c r="B1688" s="1" t="s">
        <v>8673</v>
      </c>
      <c r="C1688" s="1" t="s">
        <v>6945</v>
      </c>
    </row>
    <row r="1689" spans="1:3" ht="15.75" customHeight="1" x14ac:dyDescent="0.25">
      <c r="A1689" s="1" t="s">
        <v>3648</v>
      </c>
      <c r="B1689" s="1" t="s">
        <v>8672</v>
      </c>
      <c r="C1689" s="1" t="s">
        <v>6945</v>
      </c>
    </row>
    <row r="1690" spans="1:3" ht="15.75" customHeight="1" x14ac:dyDescent="0.25">
      <c r="A1690" s="1" t="s">
        <v>1975</v>
      </c>
      <c r="B1690" s="1" t="s">
        <v>8671</v>
      </c>
      <c r="C1690" s="1" t="s">
        <v>5914</v>
      </c>
    </row>
    <row r="1691" spans="1:3" ht="15.75" customHeight="1" x14ac:dyDescent="0.25">
      <c r="A1691" s="1" t="s">
        <v>994</v>
      </c>
      <c r="B1691" s="1" t="s">
        <v>8670</v>
      </c>
      <c r="C1691" s="1" t="s">
        <v>8669</v>
      </c>
    </row>
    <row r="1692" spans="1:3" ht="15.75" customHeight="1" x14ac:dyDescent="0.25">
      <c r="A1692" s="1" t="s">
        <v>8668</v>
      </c>
      <c r="B1692" s="1" t="s">
        <v>8667</v>
      </c>
      <c r="C1692" s="1" t="s">
        <v>6714</v>
      </c>
    </row>
    <row r="1693" spans="1:3" ht="15.75" customHeight="1" x14ac:dyDescent="0.25">
      <c r="A1693" s="1" t="s">
        <v>8666</v>
      </c>
      <c r="B1693" s="1" t="s">
        <v>8665</v>
      </c>
      <c r="C1693" s="1" t="s">
        <v>6242</v>
      </c>
    </row>
    <row r="1694" spans="1:3" ht="15.75" customHeight="1" x14ac:dyDescent="0.25">
      <c r="A1694" s="1" t="s">
        <v>8664</v>
      </c>
      <c r="B1694" s="1" t="s">
        <v>8663</v>
      </c>
      <c r="C1694" s="1" t="s">
        <v>6319</v>
      </c>
    </row>
    <row r="1695" spans="1:3" ht="15.75" customHeight="1" x14ac:dyDescent="0.25">
      <c r="A1695" s="1" t="s">
        <v>5574</v>
      </c>
      <c r="B1695" s="1" t="s">
        <v>8662</v>
      </c>
      <c r="C1695" s="1" t="s">
        <v>7228</v>
      </c>
    </row>
    <row r="1696" spans="1:3" ht="15.75" customHeight="1" x14ac:dyDescent="0.25">
      <c r="A1696" s="1" t="s">
        <v>8661</v>
      </c>
      <c r="B1696" s="1" t="s">
        <v>8660</v>
      </c>
      <c r="C1696" s="1" t="s">
        <v>8091</v>
      </c>
    </row>
    <row r="1697" spans="1:3" ht="15.75" customHeight="1" x14ac:dyDescent="0.25">
      <c r="A1697" s="1" t="s">
        <v>8659</v>
      </c>
      <c r="B1697" s="1" t="s">
        <v>8658</v>
      </c>
      <c r="C1697" s="1" t="s">
        <v>8657</v>
      </c>
    </row>
    <row r="1698" spans="1:3" ht="15.75" customHeight="1" x14ac:dyDescent="0.25">
      <c r="A1698" s="1" t="s">
        <v>942</v>
      </c>
      <c r="B1698" s="1" t="s">
        <v>8656</v>
      </c>
      <c r="C1698" s="1" t="s">
        <v>6703</v>
      </c>
    </row>
    <row r="1699" spans="1:3" ht="15.75" customHeight="1" x14ac:dyDescent="0.25">
      <c r="A1699" s="1" t="s">
        <v>5727</v>
      </c>
      <c r="B1699" s="1" t="s">
        <v>8052</v>
      </c>
      <c r="C1699" s="1" t="s">
        <v>8563</v>
      </c>
    </row>
    <row r="1700" spans="1:3" ht="15.75" customHeight="1" x14ac:dyDescent="0.25">
      <c r="A1700" s="1" t="s">
        <v>4124</v>
      </c>
      <c r="B1700" s="1" t="s">
        <v>8655</v>
      </c>
      <c r="C1700" s="1" t="s">
        <v>8654</v>
      </c>
    </row>
    <row r="1701" spans="1:3" ht="15.75" customHeight="1" x14ac:dyDescent="0.25">
      <c r="A1701" s="1" t="s">
        <v>180</v>
      </c>
      <c r="B1701" s="1" t="s">
        <v>8653</v>
      </c>
      <c r="C1701" s="1" t="s">
        <v>8652</v>
      </c>
    </row>
    <row r="1702" spans="1:3" ht="15.75" customHeight="1" x14ac:dyDescent="0.25">
      <c r="A1702" s="1" t="s">
        <v>8651</v>
      </c>
      <c r="B1702" s="1" t="s">
        <v>8650</v>
      </c>
      <c r="C1702" s="1" t="s">
        <v>6755</v>
      </c>
    </row>
    <row r="1703" spans="1:3" ht="15.75" customHeight="1" x14ac:dyDescent="0.25">
      <c r="A1703" s="1" t="s">
        <v>1417</v>
      </c>
      <c r="B1703" s="1" t="s">
        <v>8649</v>
      </c>
      <c r="C1703" s="1" t="s">
        <v>7313</v>
      </c>
    </row>
    <row r="1704" spans="1:3" ht="15.75" customHeight="1" x14ac:dyDescent="0.25">
      <c r="A1704" s="1" t="s">
        <v>2345</v>
      </c>
      <c r="B1704" s="1" t="s">
        <v>8648</v>
      </c>
      <c r="C1704" s="1" t="s">
        <v>6122</v>
      </c>
    </row>
    <row r="1705" spans="1:3" ht="15.75" customHeight="1" x14ac:dyDescent="0.25">
      <c r="A1705" s="1" t="s">
        <v>4514</v>
      </c>
      <c r="B1705" s="1" t="s">
        <v>8647</v>
      </c>
      <c r="C1705" s="1" t="s">
        <v>6276</v>
      </c>
    </row>
    <row r="1706" spans="1:3" ht="15.75" customHeight="1" x14ac:dyDescent="0.25">
      <c r="A1706" s="1" t="s">
        <v>4793</v>
      </c>
      <c r="B1706" s="1" t="s">
        <v>8646</v>
      </c>
      <c r="C1706" s="1" t="s">
        <v>8645</v>
      </c>
    </row>
    <row r="1707" spans="1:3" ht="15.75" customHeight="1" x14ac:dyDescent="0.25">
      <c r="A1707" s="1" t="s">
        <v>3829</v>
      </c>
      <c r="B1707" s="1" t="s">
        <v>8644</v>
      </c>
      <c r="C1707" s="1" t="s">
        <v>5811</v>
      </c>
    </row>
    <row r="1708" spans="1:3" ht="15.75" customHeight="1" x14ac:dyDescent="0.25">
      <c r="A1708" s="1" t="s">
        <v>178</v>
      </c>
      <c r="B1708" s="1" t="s">
        <v>8643</v>
      </c>
      <c r="C1708" s="1" t="s">
        <v>8642</v>
      </c>
    </row>
    <row r="1709" spans="1:3" ht="15.75" customHeight="1" x14ac:dyDescent="0.25">
      <c r="A1709" s="1" t="s">
        <v>3563</v>
      </c>
      <c r="B1709" s="1" t="s">
        <v>8641</v>
      </c>
      <c r="C1709" s="1" t="s">
        <v>5796</v>
      </c>
    </row>
    <row r="1710" spans="1:3" ht="15.75" customHeight="1" x14ac:dyDescent="0.25">
      <c r="A1710" s="1" t="s">
        <v>8640</v>
      </c>
      <c r="B1710" s="1" t="s">
        <v>8639</v>
      </c>
      <c r="C1710" s="1" t="s">
        <v>6861</v>
      </c>
    </row>
    <row r="1711" spans="1:3" ht="15.75" customHeight="1" x14ac:dyDescent="0.25">
      <c r="A1711" s="1" t="s">
        <v>8638</v>
      </c>
      <c r="B1711" s="1" t="s">
        <v>8637</v>
      </c>
      <c r="C1711" s="1" t="s">
        <v>7423</v>
      </c>
    </row>
    <row r="1712" spans="1:3" ht="15.75" customHeight="1" x14ac:dyDescent="0.25">
      <c r="A1712" s="1" t="s">
        <v>727</v>
      </c>
      <c r="B1712" s="1" t="s">
        <v>8636</v>
      </c>
      <c r="C1712" s="1" t="s">
        <v>7815</v>
      </c>
    </row>
    <row r="1713" spans="1:3" ht="15.75" customHeight="1" x14ac:dyDescent="0.25">
      <c r="A1713" s="1" t="s">
        <v>175</v>
      </c>
      <c r="B1713" s="1" t="s">
        <v>8635</v>
      </c>
      <c r="C1713" s="1" t="s">
        <v>6937</v>
      </c>
    </row>
    <row r="1714" spans="1:3" ht="15.75" customHeight="1" x14ac:dyDescent="0.25">
      <c r="A1714" s="1" t="s">
        <v>8634</v>
      </c>
      <c r="B1714" s="1" t="s">
        <v>8633</v>
      </c>
      <c r="C1714" s="1" t="s">
        <v>5811</v>
      </c>
    </row>
    <row r="1715" spans="1:3" ht="15.75" customHeight="1" x14ac:dyDescent="0.25">
      <c r="A1715" s="1" t="s">
        <v>2647</v>
      </c>
      <c r="B1715" s="1" t="s">
        <v>8632</v>
      </c>
      <c r="C1715" s="1" t="s">
        <v>6700</v>
      </c>
    </row>
    <row r="1716" spans="1:3" ht="15.75" customHeight="1" x14ac:dyDescent="0.25">
      <c r="A1716" s="1" t="s">
        <v>8631</v>
      </c>
      <c r="B1716" s="1" t="s">
        <v>8630</v>
      </c>
      <c r="C1716" s="1" t="s">
        <v>8629</v>
      </c>
    </row>
    <row r="1717" spans="1:3" ht="15.75" customHeight="1" x14ac:dyDescent="0.25">
      <c r="A1717" s="1" t="s">
        <v>4707</v>
      </c>
      <c r="B1717" s="1" t="s">
        <v>8628</v>
      </c>
      <c r="C1717" s="1" t="s">
        <v>7468</v>
      </c>
    </row>
    <row r="1718" spans="1:3" ht="15.75" customHeight="1" x14ac:dyDescent="0.25">
      <c r="A1718" s="1" t="s">
        <v>8627</v>
      </c>
      <c r="B1718" s="1" t="s">
        <v>8278</v>
      </c>
      <c r="C1718" s="1" t="s">
        <v>6486</v>
      </c>
    </row>
    <row r="1719" spans="1:3" ht="15.75" customHeight="1" x14ac:dyDescent="0.25">
      <c r="A1719" s="1" t="s">
        <v>5645</v>
      </c>
      <c r="B1719" s="1" t="s">
        <v>8061</v>
      </c>
      <c r="C1719" s="1" t="s">
        <v>8626</v>
      </c>
    </row>
    <row r="1720" spans="1:3" ht="15.75" customHeight="1" x14ac:dyDescent="0.25">
      <c r="A1720" s="1" t="s">
        <v>8625</v>
      </c>
      <c r="B1720" s="1" t="s">
        <v>8624</v>
      </c>
      <c r="C1720" s="1" t="s">
        <v>8623</v>
      </c>
    </row>
    <row r="1721" spans="1:3" ht="15.75" customHeight="1" x14ac:dyDescent="0.25">
      <c r="A1721" s="1" t="s">
        <v>4412</v>
      </c>
      <c r="B1721" s="1" t="s">
        <v>8622</v>
      </c>
      <c r="C1721" s="1" t="s">
        <v>8621</v>
      </c>
    </row>
    <row r="1722" spans="1:3" ht="15.75" customHeight="1" x14ac:dyDescent="0.25">
      <c r="A1722" s="1" t="s">
        <v>3595</v>
      </c>
      <c r="B1722" s="1" t="s">
        <v>8620</v>
      </c>
      <c r="C1722" s="1" t="s">
        <v>6319</v>
      </c>
    </row>
    <row r="1723" spans="1:3" ht="15.75" customHeight="1" x14ac:dyDescent="0.25">
      <c r="A1723" s="1" t="s">
        <v>173</v>
      </c>
      <c r="B1723" s="1" t="s">
        <v>8619</v>
      </c>
      <c r="C1723" s="1" t="s">
        <v>6093</v>
      </c>
    </row>
    <row r="1724" spans="1:3" ht="15.75" customHeight="1" x14ac:dyDescent="0.25">
      <c r="A1724" s="1" t="s">
        <v>2347</v>
      </c>
      <c r="B1724" s="1" t="s">
        <v>8618</v>
      </c>
      <c r="C1724" s="1" t="s">
        <v>6789</v>
      </c>
    </row>
    <row r="1725" spans="1:3" ht="15.75" customHeight="1" x14ac:dyDescent="0.25">
      <c r="A1725" s="1" t="s">
        <v>8617</v>
      </c>
      <c r="B1725" s="1" t="s">
        <v>8616</v>
      </c>
      <c r="C1725" s="1" t="s">
        <v>5781</v>
      </c>
    </row>
    <row r="1726" spans="1:3" ht="15.75" customHeight="1" x14ac:dyDescent="0.25">
      <c r="A1726" s="1" t="s">
        <v>1846</v>
      </c>
      <c r="B1726" s="1" t="s">
        <v>8615</v>
      </c>
      <c r="C1726" s="1" t="s">
        <v>6956</v>
      </c>
    </row>
    <row r="1727" spans="1:3" ht="15.75" customHeight="1" x14ac:dyDescent="0.25">
      <c r="A1727" s="1" t="s">
        <v>170</v>
      </c>
      <c r="B1727" s="1" t="s">
        <v>8511</v>
      </c>
      <c r="C1727" s="1" t="s">
        <v>8614</v>
      </c>
    </row>
    <row r="1728" spans="1:3" ht="15.75" customHeight="1" x14ac:dyDescent="0.25">
      <c r="A1728" s="1" t="s">
        <v>5579</v>
      </c>
      <c r="B1728" s="1" t="s">
        <v>8613</v>
      </c>
      <c r="C1728" s="1" t="s">
        <v>6913</v>
      </c>
    </row>
    <row r="1729" spans="1:3" ht="15.75" customHeight="1" x14ac:dyDescent="0.25">
      <c r="A1729" s="1" t="s">
        <v>8612</v>
      </c>
      <c r="B1729" s="1" t="s">
        <v>8611</v>
      </c>
      <c r="C1729" s="1" t="s">
        <v>5811</v>
      </c>
    </row>
    <row r="1730" spans="1:3" ht="15.75" customHeight="1" x14ac:dyDescent="0.25">
      <c r="A1730" s="1" t="s">
        <v>8610</v>
      </c>
      <c r="B1730" s="1" t="s">
        <v>8609</v>
      </c>
      <c r="C1730" s="1" t="s">
        <v>6953</v>
      </c>
    </row>
    <row r="1731" spans="1:3" ht="15.75" customHeight="1" x14ac:dyDescent="0.25">
      <c r="A1731" s="1" t="s">
        <v>5703</v>
      </c>
      <c r="B1731" s="1" t="s">
        <v>8608</v>
      </c>
      <c r="C1731" s="1" t="s">
        <v>5836</v>
      </c>
    </row>
    <row r="1732" spans="1:3" ht="15.75" customHeight="1" x14ac:dyDescent="0.25">
      <c r="A1732" s="1" t="s">
        <v>8607</v>
      </c>
      <c r="B1732" s="1" t="s">
        <v>8606</v>
      </c>
      <c r="C1732" s="1" t="s">
        <v>7106</v>
      </c>
    </row>
    <row r="1733" spans="1:3" ht="15.75" customHeight="1" x14ac:dyDescent="0.25">
      <c r="A1733" s="1" t="s">
        <v>4342</v>
      </c>
      <c r="B1733" s="1" t="s">
        <v>8605</v>
      </c>
      <c r="C1733" s="1" t="s">
        <v>6750</v>
      </c>
    </row>
    <row r="1734" spans="1:3" ht="15.75" customHeight="1" x14ac:dyDescent="0.25">
      <c r="A1734" s="1" t="s">
        <v>8604</v>
      </c>
      <c r="B1734" s="1" t="s">
        <v>8484</v>
      </c>
      <c r="C1734" s="1" t="s">
        <v>7213</v>
      </c>
    </row>
    <row r="1735" spans="1:3" ht="15.75" customHeight="1" x14ac:dyDescent="0.25">
      <c r="A1735" s="1" t="s">
        <v>8603</v>
      </c>
      <c r="B1735" s="1" t="s">
        <v>8602</v>
      </c>
      <c r="C1735" s="1" t="s">
        <v>6546</v>
      </c>
    </row>
    <row r="1736" spans="1:3" ht="15.75" customHeight="1" x14ac:dyDescent="0.25">
      <c r="A1736" s="1" t="s">
        <v>8601</v>
      </c>
      <c r="B1736" s="1" t="s">
        <v>8600</v>
      </c>
      <c r="C1736" s="1" t="s">
        <v>6759</v>
      </c>
    </row>
    <row r="1737" spans="1:3" ht="15.75" customHeight="1" x14ac:dyDescent="0.25">
      <c r="A1737" s="1" t="s">
        <v>5300</v>
      </c>
      <c r="B1737" s="1" t="s">
        <v>8599</v>
      </c>
      <c r="C1737" s="1" t="s">
        <v>5796</v>
      </c>
    </row>
    <row r="1738" spans="1:3" ht="15.75" customHeight="1" x14ac:dyDescent="0.25">
      <c r="A1738" s="1" t="s">
        <v>8598</v>
      </c>
      <c r="B1738" s="1" t="s">
        <v>8597</v>
      </c>
      <c r="C1738" s="1" t="s">
        <v>6486</v>
      </c>
    </row>
    <row r="1739" spans="1:3" ht="15.75" customHeight="1" x14ac:dyDescent="0.25">
      <c r="A1739" s="1" t="s">
        <v>4170</v>
      </c>
      <c r="B1739" s="1" t="s">
        <v>8596</v>
      </c>
      <c r="C1739" s="1" t="s">
        <v>7423</v>
      </c>
    </row>
    <row r="1740" spans="1:3" ht="15.75" customHeight="1" x14ac:dyDescent="0.25">
      <c r="A1740" s="1" t="s">
        <v>1325</v>
      </c>
      <c r="B1740" s="1" t="s">
        <v>8595</v>
      </c>
      <c r="C1740" s="1" t="s">
        <v>5844</v>
      </c>
    </row>
    <row r="1741" spans="1:3" ht="15.75" customHeight="1" x14ac:dyDescent="0.25">
      <c r="A1741" s="1" t="s">
        <v>4556</v>
      </c>
      <c r="B1741" s="1" t="s">
        <v>8594</v>
      </c>
      <c r="C1741" s="1" t="s">
        <v>8593</v>
      </c>
    </row>
    <row r="1742" spans="1:3" ht="15.75" customHeight="1" x14ac:dyDescent="0.25">
      <c r="A1742" s="1" t="s">
        <v>2667</v>
      </c>
      <c r="B1742" s="1" t="s">
        <v>8592</v>
      </c>
      <c r="C1742" s="1" t="s">
        <v>6479</v>
      </c>
    </row>
    <row r="1743" spans="1:3" ht="15.75" customHeight="1" x14ac:dyDescent="0.25">
      <c r="A1743" s="1" t="s">
        <v>8591</v>
      </c>
      <c r="B1743" s="1" t="s">
        <v>8590</v>
      </c>
      <c r="C1743" s="1" t="s">
        <v>7036</v>
      </c>
    </row>
    <row r="1744" spans="1:3" ht="15.75" customHeight="1" x14ac:dyDescent="0.25">
      <c r="A1744" s="1" t="s">
        <v>8589</v>
      </c>
      <c r="B1744" s="1" t="s">
        <v>8588</v>
      </c>
      <c r="C1744" s="1" t="s">
        <v>6795</v>
      </c>
    </row>
    <row r="1745" spans="1:3" ht="15.75" customHeight="1" x14ac:dyDescent="0.25">
      <c r="A1745" s="1" t="s">
        <v>1705</v>
      </c>
      <c r="B1745" s="1" t="s">
        <v>7685</v>
      </c>
      <c r="C1745" s="1" t="s">
        <v>8587</v>
      </c>
    </row>
    <row r="1746" spans="1:3" ht="15.75" customHeight="1" x14ac:dyDescent="0.25">
      <c r="A1746" s="1" t="s">
        <v>3765</v>
      </c>
      <c r="B1746" s="1" t="s">
        <v>8586</v>
      </c>
      <c r="C1746" s="1" t="s">
        <v>7210</v>
      </c>
    </row>
    <row r="1747" spans="1:3" ht="15.75" customHeight="1" x14ac:dyDescent="0.25">
      <c r="A1747" s="1" t="s">
        <v>2258</v>
      </c>
      <c r="B1747" s="1" t="s">
        <v>8585</v>
      </c>
      <c r="C1747" s="1" t="s">
        <v>8584</v>
      </c>
    </row>
    <row r="1748" spans="1:3" ht="15.75" customHeight="1" x14ac:dyDescent="0.25">
      <c r="A1748" s="1" t="s">
        <v>8583</v>
      </c>
      <c r="B1748" s="1" t="s">
        <v>8582</v>
      </c>
      <c r="C1748" s="1" t="s">
        <v>7640</v>
      </c>
    </row>
    <row r="1749" spans="1:3" ht="15.75" customHeight="1" x14ac:dyDescent="0.25">
      <c r="A1749" s="1" t="s">
        <v>8581</v>
      </c>
      <c r="B1749" s="1" t="s">
        <v>8580</v>
      </c>
      <c r="C1749" s="1" t="s">
        <v>6755</v>
      </c>
    </row>
    <row r="1750" spans="1:3" ht="15.75" customHeight="1" x14ac:dyDescent="0.25">
      <c r="A1750" s="1" t="s">
        <v>1451</v>
      </c>
      <c r="B1750" s="1" t="s">
        <v>8579</v>
      </c>
      <c r="C1750" s="1" t="s">
        <v>8578</v>
      </c>
    </row>
    <row r="1751" spans="1:3" ht="15.75" customHeight="1" x14ac:dyDescent="0.25">
      <c r="A1751" s="1" t="s">
        <v>8577</v>
      </c>
      <c r="B1751" s="1" t="s">
        <v>8576</v>
      </c>
      <c r="C1751" s="1" t="s">
        <v>6937</v>
      </c>
    </row>
    <row r="1752" spans="1:3" ht="15.75" customHeight="1" x14ac:dyDescent="0.25">
      <c r="A1752" s="1" t="s">
        <v>4824</v>
      </c>
      <c r="B1752" s="1" t="s">
        <v>8575</v>
      </c>
      <c r="C1752" s="1" t="s">
        <v>5893</v>
      </c>
    </row>
    <row r="1753" spans="1:3" ht="15.75" customHeight="1" x14ac:dyDescent="0.25">
      <c r="A1753" s="1" t="s">
        <v>2411</v>
      </c>
      <c r="B1753" s="1" t="s">
        <v>8574</v>
      </c>
      <c r="C1753" s="1" t="s">
        <v>5853</v>
      </c>
    </row>
    <row r="1754" spans="1:3" ht="15.75" customHeight="1" x14ac:dyDescent="0.25">
      <c r="A1754" s="1" t="s">
        <v>3229</v>
      </c>
      <c r="B1754" s="1" t="s">
        <v>8573</v>
      </c>
      <c r="C1754" s="1" t="s">
        <v>5809</v>
      </c>
    </row>
    <row r="1755" spans="1:3" ht="15.75" customHeight="1" x14ac:dyDescent="0.25">
      <c r="A1755" s="1" t="s">
        <v>2126</v>
      </c>
      <c r="B1755" s="1" t="s">
        <v>8572</v>
      </c>
      <c r="C1755" s="1" t="s">
        <v>7418</v>
      </c>
    </row>
    <row r="1756" spans="1:3" ht="15.75" customHeight="1" x14ac:dyDescent="0.25">
      <c r="A1756" s="1" t="s">
        <v>8571</v>
      </c>
      <c r="B1756" s="1" t="s">
        <v>8408</v>
      </c>
      <c r="C1756" s="1" t="s">
        <v>8570</v>
      </c>
    </row>
    <row r="1757" spans="1:3" ht="15.75" customHeight="1" x14ac:dyDescent="0.25">
      <c r="A1757" s="1" t="s">
        <v>2099</v>
      </c>
      <c r="B1757" s="1" t="s">
        <v>8569</v>
      </c>
      <c r="C1757" s="1" t="s">
        <v>6667</v>
      </c>
    </row>
    <row r="1758" spans="1:3" ht="15.75" customHeight="1" x14ac:dyDescent="0.25">
      <c r="A1758" s="1" t="s">
        <v>5192</v>
      </c>
      <c r="B1758" s="1" t="s">
        <v>8568</v>
      </c>
      <c r="C1758" s="1" t="s">
        <v>7759</v>
      </c>
    </row>
    <row r="1759" spans="1:3" ht="15.75" customHeight="1" x14ac:dyDescent="0.25">
      <c r="A1759" s="1" t="s">
        <v>8567</v>
      </c>
      <c r="B1759" s="1" t="s">
        <v>8566</v>
      </c>
      <c r="C1759" s="1" t="s">
        <v>7170</v>
      </c>
    </row>
    <row r="1760" spans="1:3" ht="15.75" customHeight="1" x14ac:dyDescent="0.25">
      <c r="A1760" s="1" t="s">
        <v>8565</v>
      </c>
      <c r="B1760" s="1" t="s">
        <v>8564</v>
      </c>
      <c r="C1760" s="1" t="s">
        <v>7640</v>
      </c>
    </row>
    <row r="1761" spans="1:3" ht="15.75" customHeight="1" x14ac:dyDescent="0.25">
      <c r="A1761" s="1" t="s">
        <v>168</v>
      </c>
      <c r="B1761" s="1" t="s">
        <v>8442</v>
      </c>
      <c r="C1761" s="1" t="s">
        <v>8563</v>
      </c>
    </row>
    <row r="1762" spans="1:3" ht="15.75" customHeight="1" x14ac:dyDescent="0.25">
      <c r="A1762" s="1" t="s">
        <v>4735</v>
      </c>
      <c r="B1762" s="1" t="s">
        <v>8422</v>
      </c>
      <c r="C1762" s="1" t="s">
        <v>5836</v>
      </c>
    </row>
    <row r="1763" spans="1:3" ht="15.75" customHeight="1" x14ac:dyDescent="0.25">
      <c r="A1763" s="1" t="s">
        <v>2278</v>
      </c>
      <c r="B1763" s="1" t="s">
        <v>8562</v>
      </c>
      <c r="C1763" s="1" t="s">
        <v>7644</v>
      </c>
    </row>
    <row r="1764" spans="1:3" ht="15.75" customHeight="1" x14ac:dyDescent="0.25">
      <c r="A1764" s="1" t="s">
        <v>8561</v>
      </c>
      <c r="B1764" s="1" t="s">
        <v>8560</v>
      </c>
      <c r="C1764" s="1" t="s">
        <v>6507</v>
      </c>
    </row>
    <row r="1765" spans="1:3" ht="15.75" customHeight="1" x14ac:dyDescent="0.25">
      <c r="A1765" s="1" t="s">
        <v>8559</v>
      </c>
      <c r="B1765" s="1" t="s">
        <v>8558</v>
      </c>
      <c r="C1765" s="1" t="s">
        <v>6667</v>
      </c>
    </row>
    <row r="1766" spans="1:3" ht="15.75" customHeight="1" x14ac:dyDescent="0.25">
      <c r="A1766" s="1" t="s">
        <v>2152</v>
      </c>
      <c r="B1766" s="1" t="s">
        <v>8557</v>
      </c>
      <c r="C1766" s="1" t="s">
        <v>6602</v>
      </c>
    </row>
    <row r="1767" spans="1:3" ht="15.75" customHeight="1" x14ac:dyDescent="0.25">
      <c r="A1767" s="1" t="s">
        <v>5304</v>
      </c>
      <c r="B1767" s="1" t="s">
        <v>8556</v>
      </c>
      <c r="C1767" s="1" t="s">
        <v>6959</v>
      </c>
    </row>
    <row r="1768" spans="1:3" ht="15.75" customHeight="1" x14ac:dyDescent="0.25">
      <c r="A1768" s="1" t="s">
        <v>8555</v>
      </c>
      <c r="B1768" s="1" t="s">
        <v>8554</v>
      </c>
      <c r="C1768" s="1" t="s">
        <v>6486</v>
      </c>
    </row>
    <row r="1769" spans="1:3" ht="15.75" customHeight="1" x14ac:dyDescent="0.25">
      <c r="A1769" s="1" t="s">
        <v>8553</v>
      </c>
      <c r="B1769" s="1" t="s">
        <v>8552</v>
      </c>
      <c r="C1769" s="1" t="s">
        <v>5791</v>
      </c>
    </row>
    <row r="1770" spans="1:3" ht="15.75" customHeight="1" x14ac:dyDescent="0.25">
      <c r="A1770" s="1" t="s">
        <v>8551</v>
      </c>
      <c r="B1770" s="1" t="s">
        <v>8550</v>
      </c>
      <c r="C1770" s="1" t="s">
        <v>6507</v>
      </c>
    </row>
    <row r="1771" spans="1:3" ht="15.75" customHeight="1" x14ac:dyDescent="0.25">
      <c r="A1771" s="1" t="s">
        <v>8549</v>
      </c>
      <c r="B1771" s="1" t="s">
        <v>8548</v>
      </c>
      <c r="C1771" s="1" t="s">
        <v>5896</v>
      </c>
    </row>
    <row r="1772" spans="1:3" ht="15.75" customHeight="1" x14ac:dyDescent="0.25">
      <c r="A1772" s="1" t="s">
        <v>8547</v>
      </c>
      <c r="B1772" s="1" t="s">
        <v>8546</v>
      </c>
      <c r="C1772" s="1" t="s">
        <v>6507</v>
      </c>
    </row>
    <row r="1773" spans="1:3" ht="15.75" customHeight="1" x14ac:dyDescent="0.25">
      <c r="A1773" s="1" t="s">
        <v>8545</v>
      </c>
      <c r="B1773" s="1" t="s">
        <v>8544</v>
      </c>
      <c r="C1773" s="1" t="s">
        <v>5781</v>
      </c>
    </row>
    <row r="1774" spans="1:3" ht="15.75" customHeight="1" x14ac:dyDescent="0.25">
      <c r="A1774" s="1" t="s">
        <v>8543</v>
      </c>
      <c r="B1774" s="1" t="s">
        <v>8542</v>
      </c>
      <c r="C1774" s="1" t="s">
        <v>5829</v>
      </c>
    </row>
    <row r="1775" spans="1:3" ht="15.75" customHeight="1" x14ac:dyDescent="0.25">
      <c r="A1775" s="1" t="s">
        <v>8541</v>
      </c>
      <c r="B1775" s="1" t="s">
        <v>8540</v>
      </c>
      <c r="C1775" s="1" t="s">
        <v>7213</v>
      </c>
    </row>
    <row r="1776" spans="1:3" ht="15.75" customHeight="1" x14ac:dyDescent="0.25">
      <c r="A1776" s="1" t="s">
        <v>1366</v>
      </c>
      <c r="B1776" s="1" t="s">
        <v>8539</v>
      </c>
      <c r="C1776" s="1" t="s">
        <v>7815</v>
      </c>
    </row>
    <row r="1777" spans="1:3" ht="15.75" customHeight="1" x14ac:dyDescent="0.25">
      <c r="A1777" s="1" t="s">
        <v>1906</v>
      </c>
      <c r="B1777" s="1" t="s">
        <v>8538</v>
      </c>
      <c r="C1777" s="1" t="s">
        <v>5791</v>
      </c>
    </row>
    <row r="1778" spans="1:3" ht="15.75" customHeight="1" x14ac:dyDescent="0.25">
      <c r="A1778" s="1" t="s">
        <v>4176</v>
      </c>
      <c r="B1778" s="1" t="s">
        <v>8537</v>
      </c>
      <c r="C1778" s="1" t="s">
        <v>5800</v>
      </c>
    </row>
    <row r="1779" spans="1:3" ht="15.75" customHeight="1" x14ac:dyDescent="0.25">
      <c r="A1779" s="1" t="s">
        <v>4949</v>
      </c>
      <c r="B1779" s="1" t="s">
        <v>8536</v>
      </c>
      <c r="C1779" s="1" t="s">
        <v>6288</v>
      </c>
    </row>
    <row r="1780" spans="1:3" ht="15.75" customHeight="1" x14ac:dyDescent="0.25">
      <c r="A1780" s="1" t="s">
        <v>3626</v>
      </c>
      <c r="B1780" s="1" t="s">
        <v>8535</v>
      </c>
      <c r="C1780" s="1" t="s">
        <v>6122</v>
      </c>
    </row>
    <row r="1781" spans="1:3" ht="15.75" customHeight="1" x14ac:dyDescent="0.25">
      <c r="A1781" s="1" t="s">
        <v>5505</v>
      </c>
      <c r="B1781" s="1" t="s">
        <v>8534</v>
      </c>
      <c r="C1781" s="1" t="s">
        <v>8037</v>
      </c>
    </row>
    <row r="1782" spans="1:3" ht="15.75" customHeight="1" x14ac:dyDescent="0.25">
      <c r="A1782" s="1" t="s">
        <v>1720</v>
      </c>
      <c r="B1782" s="1" t="s">
        <v>8533</v>
      </c>
      <c r="C1782" s="1" t="s">
        <v>6945</v>
      </c>
    </row>
    <row r="1783" spans="1:3" ht="15.75" customHeight="1" x14ac:dyDescent="0.25">
      <c r="A1783" s="1" t="s">
        <v>2936</v>
      </c>
      <c r="B1783" s="1" t="s">
        <v>8532</v>
      </c>
      <c r="C1783" s="1" t="s">
        <v>8531</v>
      </c>
    </row>
    <row r="1784" spans="1:3" ht="15.75" customHeight="1" x14ac:dyDescent="0.25">
      <c r="A1784" s="1" t="s">
        <v>8530</v>
      </c>
      <c r="B1784" s="1" t="s">
        <v>8529</v>
      </c>
      <c r="C1784" s="1" t="s">
        <v>6913</v>
      </c>
    </row>
    <row r="1785" spans="1:3" ht="15.75" customHeight="1" x14ac:dyDescent="0.25">
      <c r="A1785" s="1" t="s">
        <v>8528</v>
      </c>
      <c r="B1785" s="1" t="s">
        <v>8527</v>
      </c>
      <c r="C1785" s="1" t="s">
        <v>6929</v>
      </c>
    </row>
    <row r="1786" spans="1:3" ht="15.75" customHeight="1" x14ac:dyDescent="0.25">
      <c r="A1786" s="1" t="s">
        <v>8526</v>
      </c>
      <c r="B1786" s="1" t="s">
        <v>8525</v>
      </c>
      <c r="C1786" s="1" t="s">
        <v>5811</v>
      </c>
    </row>
    <row r="1787" spans="1:3" ht="15.75" customHeight="1" x14ac:dyDescent="0.25">
      <c r="A1787" s="1" t="s">
        <v>8524</v>
      </c>
      <c r="B1787" s="1" t="s">
        <v>8523</v>
      </c>
      <c r="C1787" s="1" t="s">
        <v>5829</v>
      </c>
    </row>
    <row r="1788" spans="1:3" ht="15.75" customHeight="1" x14ac:dyDescent="0.25">
      <c r="A1788" s="1" t="s">
        <v>8522</v>
      </c>
      <c r="B1788" s="1" t="s">
        <v>8521</v>
      </c>
      <c r="C1788" s="1" t="s">
        <v>6963</v>
      </c>
    </row>
    <row r="1789" spans="1:3" ht="15.75" customHeight="1" x14ac:dyDescent="0.25">
      <c r="A1789" s="1" t="s">
        <v>8520</v>
      </c>
      <c r="B1789" s="1" t="s">
        <v>8519</v>
      </c>
      <c r="C1789" s="1" t="s">
        <v>6942</v>
      </c>
    </row>
    <row r="1790" spans="1:3" ht="15.75" customHeight="1" x14ac:dyDescent="0.25">
      <c r="A1790" s="1" t="s">
        <v>8518</v>
      </c>
      <c r="B1790" s="1" t="s">
        <v>8517</v>
      </c>
      <c r="C1790" s="1" t="s">
        <v>7213</v>
      </c>
    </row>
    <row r="1791" spans="1:3" ht="15.75" customHeight="1" x14ac:dyDescent="0.25">
      <c r="A1791" s="1" t="s">
        <v>8516</v>
      </c>
      <c r="B1791" s="1" t="s">
        <v>8515</v>
      </c>
      <c r="C1791" s="1" t="s">
        <v>5811</v>
      </c>
    </row>
    <row r="1792" spans="1:3" ht="15.75" customHeight="1" x14ac:dyDescent="0.25">
      <c r="A1792" s="1" t="s">
        <v>4603</v>
      </c>
      <c r="B1792" s="1" t="s">
        <v>8514</v>
      </c>
      <c r="C1792" s="1" t="s">
        <v>6276</v>
      </c>
    </row>
    <row r="1793" spans="1:3" ht="15.75" customHeight="1" x14ac:dyDescent="0.25">
      <c r="A1793" s="1" t="s">
        <v>1455</v>
      </c>
      <c r="B1793" s="1" t="s">
        <v>8513</v>
      </c>
      <c r="C1793" s="1" t="s">
        <v>6929</v>
      </c>
    </row>
    <row r="1794" spans="1:3" ht="15.75" customHeight="1" x14ac:dyDescent="0.25">
      <c r="A1794" s="1" t="s">
        <v>5185</v>
      </c>
      <c r="B1794" s="1" t="s">
        <v>5183</v>
      </c>
      <c r="C1794" s="1" t="s">
        <v>8512</v>
      </c>
    </row>
    <row r="1795" spans="1:3" ht="15.75" customHeight="1" x14ac:dyDescent="0.25">
      <c r="A1795" s="1" t="s">
        <v>3433</v>
      </c>
      <c r="B1795" s="1" t="s">
        <v>8511</v>
      </c>
      <c r="C1795" s="1" t="s">
        <v>6673</v>
      </c>
    </row>
    <row r="1796" spans="1:3" ht="15.75" customHeight="1" x14ac:dyDescent="0.25">
      <c r="A1796" s="1" t="s">
        <v>5104</v>
      </c>
      <c r="B1796" s="1" t="s">
        <v>8510</v>
      </c>
      <c r="C1796" s="1" t="s">
        <v>8509</v>
      </c>
    </row>
    <row r="1797" spans="1:3" ht="15.75" customHeight="1" x14ac:dyDescent="0.25">
      <c r="A1797" s="1" t="s">
        <v>5350</v>
      </c>
      <c r="B1797" s="1" t="s">
        <v>8508</v>
      </c>
      <c r="C1797" s="1" t="s">
        <v>5838</v>
      </c>
    </row>
    <row r="1798" spans="1:3" ht="15.75" customHeight="1" x14ac:dyDescent="0.25">
      <c r="A1798" s="1" t="s">
        <v>4518</v>
      </c>
      <c r="B1798" s="1" t="s">
        <v>8507</v>
      </c>
      <c r="C1798" s="1" t="s">
        <v>6861</v>
      </c>
    </row>
    <row r="1799" spans="1:3" ht="15.75" customHeight="1" x14ac:dyDescent="0.25">
      <c r="A1799" s="1" t="s">
        <v>8506</v>
      </c>
      <c r="B1799" s="1" t="s">
        <v>8505</v>
      </c>
      <c r="C1799" s="1" t="s">
        <v>6242</v>
      </c>
    </row>
    <row r="1800" spans="1:3" ht="15.75" customHeight="1" x14ac:dyDescent="0.25">
      <c r="A1800" s="1" t="s">
        <v>4266</v>
      </c>
      <c r="B1800" s="1" t="s">
        <v>8504</v>
      </c>
      <c r="C1800" s="1" t="s">
        <v>5836</v>
      </c>
    </row>
    <row r="1801" spans="1:3" ht="15.75" customHeight="1" x14ac:dyDescent="0.25">
      <c r="A1801" s="1" t="s">
        <v>3732</v>
      </c>
      <c r="B1801" s="1" t="s">
        <v>8503</v>
      </c>
      <c r="C1801" s="1" t="s">
        <v>6288</v>
      </c>
    </row>
    <row r="1802" spans="1:3" ht="15.75" customHeight="1" x14ac:dyDescent="0.25">
      <c r="A1802" s="1" t="s">
        <v>8502</v>
      </c>
      <c r="B1802" s="1" t="s">
        <v>8501</v>
      </c>
      <c r="C1802" s="1" t="s">
        <v>6474</v>
      </c>
    </row>
    <row r="1803" spans="1:3" ht="15.75" customHeight="1" x14ac:dyDescent="0.25">
      <c r="A1803" s="1" t="s">
        <v>3154</v>
      </c>
      <c r="B1803" s="1" t="s">
        <v>8500</v>
      </c>
      <c r="C1803" s="1" t="s">
        <v>7439</v>
      </c>
    </row>
    <row r="1804" spans="1:3" ht="15.75" customHeight="1" x14ac:dyDescent="0.25">
      <c r="A1804" s="1" t="s">
        <v>4013</v>
      </c>
      <c r="B1804" s="1" t="s">
        <v>8499</v>
      </c>
      <c r="C1804" s="1" t="s">
        <v>6767</v>
      </c>
    </row>
    <row r="1805" spans="1:3" ht="15.75" customHeight="1" x14ac:dyDescent="0.25">
      <c r="A1805" s="1" t="s">
        <v>8498</v>
      </c>
      <c r="B1805" s="1" t="s">
        <v>8497</v>
      </c>
      <c r="C1805" s="1" t="s">
        <v>6242</v>
      </c>
    </row>
    <row r="1806" spans="1:3" ht="15.75" customHeight="1" x14ac:dyDescent="0.25">
      <c r="A1806" s="1" t="s">
        <v>4576</v>
      </c>
      <c r="B1806" s="1" t="s">
        <v>8496</v>
      </c>
      <c r="C1806" s="1" t="s">
        <v>6168</v>
      </c>
    </row>
    <row r="1807" spans="1:3" ht="15.75" customHeight="1" x14ac:dyDescent="0.25">
      <c r="A1807" s="1" t="s">
        <v>8495</v>
      </c>
      <c r="B1807" s="1" t="s">
        <v>8494</v>
      </c>
      <c r="C1807" s="1" t="s">
        <v>6168</v>
      </c>
    </row>
    <row r="1808" spans="1:3" ht="15.75" customHeight="1" x14ac:dyDescent="0.25">
      <c r="A1808" s="1" t="s">
        <v>4281</v>
      </c>
      <c r="B1808" s="1" t="s">
        <v>8493</v>
      </c>
      <c r="C1808" s="1" t="s">
        <v>6530</v>
      </c>
    </row>
    <row r="1809" spans="1:3" ht="15.75" customHeight="1" x14ac:dyDescent="0.25">
      <c r="A1809" s="1" t="s">
        <v>8492</v>
      </c>
      <c r="B1809" s="1" t="s">
        <v>8491</v>
      </c>
      <c r="C1809" s="1" t="s">
        <v>5829</v>
      </c>
    </row>
    <row r="1810" spans="1:3" ht="15.75" customHeight="1" x14ac:dyDescent="0.25">
      <c r="A1810" s="1" t="s">
        <v>778</v>
      </c>
      <c r="B1810" s="1" t="s">
        <v>8490</v>
      </c>
      <c r="C1810" s="1" t="s">
        <v>6168</v>
      </c>
    </row>
    <row r="1811" spans="1:3" ht="15.75" customHeight="1" x14ac:dyDescent="0.25">
      <c r="A1811" s="1" t="s">
        <v>3603</v>
      </c>
      <c r="B1811" s="1" t="s">
        <v>8489</v>
      </c>
      <c r="C1811" s="1" t="s">
        <v>6122</v>
      </c>
    </row>
    <row r="1812" spans="1:3" ht="15.75" customHeight="1" x14ac:dyDescent="0.25">
      <c r="A1812" s="1" t="s">
        <v>888</v>
      </c>
      <c r="B1812" s="1" t="s">
        <v>8488</v>
      </c>
      <c r="C1812" s="1" t="s">
        <v>6642</v>
      </c>
    </row>
    <row r="1813" spans="1:3" ht="15.75" customHeight="1" x14ac:dyDescent="0.25">
      <c r="A1813" s="1" t="s">
        <v>4851</v>
      </c>
      <c r="B1813" s="1" t="s">
        <v>8487</v>
      </c>
      <c r="C1813" s="1" t="s">
        <v>6640</v>
      </c>
    </row>
    <row r="1814" spans="1:3" ht="15.75" customHeight="1" x14ac:dyDescent="0.25">
      <c r="A1814" s="1" t="s">
        <v>4625</v>
      </c>
      <c r="B1814" s="1" t="s">
        <v>8486</v>
      </c>
      <c r="C1814" s="1" t="s">
        <v>6168</v>
      </c>
    </row>
    <row r="1815" spans="1:3" ht="15.75" customHeight="1" x14ac:dyDescent="0.25">
      <c r="A1815" s="1" t="s">
        <v>8485</v>
      </c>
      <c r="B1815" s="1" t="s">
        <v>8484</v>
      </c>
      <c r="C1815" s="1" t="s">
        <v>7815</v>
      </c>
    </row>
    <row r="1816" spans="1:3" ht="15.75" customHeight="1" x14ac:dyDescent="0.25">
      <c r="A1816" s="1" t="s">
        <v>8483</v>
      </c>
      <c r="B1816" s="1" t="s">
        <v>8482</v>
      </c>
      <c r="C1816" s="1" t="s">
        <v>6644</v>
      </c>
    </row>
    <row r="1817" spans="1:3" ht="15.75" customHeight="1" x14ac:dyDescent="0.25">
      <c r="A1817" s="1" t="s">
        <v>8481</v>
      </c>
      <c r="B1817" s="1" t="s">
        <v>8480</v>
      </c>
      <c r="C1817" s="1" t="s">
        <v>6759</v>
      </c>
    </row>
    <row r="1818" spans="1:3" ht="15.75" customHeight="1" x14ac:dyDescent="0.25">
      <c r="A1818" s="1" t="s">
        <v>1076</v>
      </c>
      <c r="B1818" s="1" t="s">
        <v>8479</v>
      </c>
      <c r="C1818" s="1" t="s">
        <v>6755</v>
      </c>
    </row>
    <row r="1819" spans="1:3" ht="15.75" customHeight="1" x14ac:dyDescent="0.25">
      <c r="A1819" s="1" t="s">
        <v>8478</v>
      </c>
      <c r="B1819" s="1" t="s">
        <v>8477</v>
      </c>
      <c r="C1819" s="1" t="s">
        <v>8476</v>
      </c>
    </row>
    <row r="1820" spans="1:3" ht="15.75" customHeight="1" x14ac:dyDescent="0.25">
      <c r="A1820" s="1" t="s">
        <v>8475</v>
      </c>
      <c r="B1820" s="1" t="s">
        <v>8474</v>
      </c>
      <c r="C1820" s="1" t="s">
        <v>5791</v>
      </c>
    </row>
    <row r="1821" spans="1:3" ht="15.75" customHeight="1" x14ac:dyDescent="0.25">
      <c r="A1821" s="1" t="s">
        <v>166</v>
      </c>
      <c r="B1821" s="1" t="s">
        <v>8473</v>
      </c>
      <c r="C1821" s="1" t="s">
        <v>5914</v>
      </c>
    </row>
    <row r="1822" spans="1:3" ht="15.75" customHeight="1" x14ac:dyDescent="0.25">
      <c r="A1822" s="1" t="s">
        <v>8472</v>
      </c>
      <c r="B1822" s="1" t="s">
        <v>8471</v>
      </c>
      <c r="C1822" s="1" t="s">
        <v>5844</v>
      </c>
    </row>
    <row r="1823" spans="1:3" ht="15.75" customHeight="1" x14ac:dyDescent="0.25">
      <c r="A1823" s="1" t="s">
        <v>8470</v>
      </c>
      <c r="B1823" s="1" t="s">
        <v>8469</v>
      </c>
      <c r="C1823" s="1" t="s">
        <v>6242</v>
      </c>
    </row>
    <row r="1824" spans="1:3" ht="15.75" customHeight="1" x14ac:dyDescent="0.25">
      <c r="A1824" s="1" t="s">
        <v>8468</v>
      </c>
      <c r="B1824" s="1" t="s">
        <v>8467</v>
      </c>
      <c r="C1824" s="1" t="s">
        <v>6937</v>
      </c>
    </row>
    <row r="1825" spans="1:3" ht="15.75" customHeight="1" x14ac:dyDescent="0.25">
      <c r="A1825" s="1" t="s">
        <v>8466</v>
      </c>
      <c r="B1825" s="1" t="s">
        <v>8465</v>
      </c>
      <c r="C1825" s="1" t="s">
        <v>6260</v>
      </c>
    </row>
    <row r="1826" spans="1:3" ht="15.75" customHeight="1" x14ac:dyDescent="0.25">
      <c r="A1826" s="1" t="s">
        <v>685</v>
      </c>
      <c r="B1826" s="1" t="s">
        <v>8464</v>
      </c>
      <c r="C1826" s="1" t="s">
        <v>6669</v>
      </c>
    </row>
    <row r="1827" spans="1:3" ht="15.75" customHeight="1" x14ac:dyDescent="0.25">
      <c r="A1827" s="1" t="s">
        <v>4154</v>
      </c>
      <c r="B1827" s="1" t="s">
        <v>8463</v>
      </c>
      <c r="C1827" s="1" t="s">
        <v>7210</v>
      </c>
    </row>
    <row r="1828" spans="1:3" ht="15.75" customHeight="1" x14ac:dyDescent="0.25">
      <c r="A1828" s="1" t="s">
        <v>2888</v>
      </c>
      <c r="B1828" s="1" t="s">
        <v>8462</v>
      </c>
      <c r="C1828" s="1" t="s">
        <v>6778</v>
      </c>
    </row>
    <row r="1829" spans="1:3" ht="15.75" customHeight="1" x14ac:dyDescent="0.25">
      <c r="A1829" s="1" t="s">
        <v>2136</v>
      </c>
      <c r="B1829" s="1" t="s">
        <v>8461</v>
      </c>
      <c r="C1829" s="1" t="s">
        <v>6714</v>
      </c>
    </row>
    <row r="1830" spans="1:3" ht="15.75" customHeight="1" x14ac:dyDescent="0.25">
      <c r="A1830" s="1" t="s">
        <v>8460</v>
      </c>
      <c r="B1830" s="1" t="s">
        <v>8459</v>
      </c>
      <c r="C1830" s="1" t="s">
        <v>5811</v>
      </c>
    </row>
    <row r="1831" spans="1:3" ht="15.75" customHeight="1" x14ac:dyDescent="0.25">
      <c r="A1831" s="1" t="s">
        <v>8458</v>
      </c>
      <c r="B1831" s="1" t="s">
        <v>8457</v>
      </c>
      <c r="C1831" s="1" t="s">
        <v>7640</v>
      </c>
    </row>
    <row r="1832" spans="1:3" ht="15.75" customHeight="1" x14ac:dyDescent="0.25">
      <c r="A1832" s="1" t="s">
        <v>3874</v>
      </c>
      <c r="B1832" s="1" t="s">
        <v>8456</v>
      </c>
      <c r="C1832" s="1" t="s">
        <v>5781</v>
      </c>
    </row>
    <row r="1833" spans="1:3" ht="15.75" customHeight="1" x14ac:dyDescent="0.25">
      <c r="A1833" s="1" t="s">
        <v>8455</v>
      </c>
      <c r="B1833" s="1" t="s">
        <v>8454</v>
      </c>
      <c r="C1833" s="1" t="s">
        <v>5824</v>
      </c>
    </row>
    <row r="1834" spans="1:3" ht="15.75" customHeight="1" x14ac:dyDescent="0.25">
      <c r="A1834" s="1" t="s">
        <v>940</v>
      </c>
      <c r="B1834" s="1" t="s">
        <v>8453</v>
      </c>
      <c r="C1834" s="1" t="s">
        <v>5791</v>
      </c>
    </row>
    <row r="1835" spans="1:3" ht="15.75" customHeight="1" x14ac:dyDescent="0.25">
      <c r="A1835" s="1" t="s">
        <v>2956</v>
      </c>
      <c r="B1835" s="1" t="s">
        <v>8452</v>
      </c>
      <c r="C1835" s="1" t="s">
        <v>8451</v>
      </c>
    </row>
    <row r="1836" spans="1:3" ht="15.75" customHeight="1" x14ac:dyDescent="0.25">
      <c r="A1836" s="1" t="s">
        <v>8450</v>
      </c>
      <c r="B1836" s="1" t="s">
        <v>8449</v>
      </c>
      <c r="C1836" s="1" t="s">
        <v>6242</v>
      </c>
    </row>
    <row r="1837" spans="1:3" ht="15.75" customHeight="1" x14ac:dyDescent="0.25">
      <c r="A1837" s="1" t="s">
        <v>1956</v>
      </c>
      <c r="B1837" s="1" t="s">
        <v>8448</v>
      </c>
      <c r="C1837" s="1" t="s">
        <v>6276</v>
      </c>
    </row>
    <row r="1838" spans="1:3" ht="15.75" customHeight="1" x14ac:dyDescent="0.25">
      <c r="A1838" s="1" t="s">
        <v>8447</v>
      </c>
      <c r="B1838" s="1" t="s">
        <v>6708</v>
      </c>
      <c r="C1838" s="1" t="s">
        <v>8446</v>
      </c>
    </row>
    <row r="1839" spans="1:3" ht="15.75" customHeight="1" x14ac:dyDescent="0.25">
      <c r="A1839" s="1" t="s">
        <v>3019</v>
      </c>
      <c r="B1839" s="1" t="s">
        <v>8445</v>
      </c>
      <c r="C1839" s="1" t="s">
        <v>6323</v>
      </c>
    </row>
    <row r="1840" spans="1:3" ht="15.75" customHeight="1" x14ac:dyDescent="0.25">
      <c r="A1840" s="1" t="s">
        <v>741</v>
      </c>
      <c r="B1840" s="1" t="s">
        <v>8444</v>
      </c>
      <c r="C1840" s="1" t="s">
        <v>6493</v>
      </c>
    </row>
    <row r="1841" spans="1:3" ht="15.75" customHeight="1" x14ac:dyDescent="0.25">
      <c r="A1841" s="1" t="s">
        <v>8443</v>
      </c>
      <c r="B1841" s="1" t="s">
        <v>8442</v>
      </c>
      <c r="C1841" s="1" t="s">
        <v>8441</v>
      </c>
    </row>
    <row r="1842" spans="1:3" ht="15.75" customHeight="1" x14ac:dyDescent="0.25">
      <c r="A1842" s="1" t="s">
        <v>8440</v>
      </c>
      <c r="B1842" s="1" t="s">
        <v>8439</v>
      </c>
      <c r="C1842" s="1" t="s">
        <v>6586</v>
      </c>
    </row>
    <row r="1843" spans="1:3" ht="15.75" customHeight="1" x14ac:dyDescent="0.25">
      <c r="A1843" s="1" t="s">
        <v>4746</v>
      </c>
      <c r="B1843" s="1" t="s">
        <v>8438</v>
      </c>
      <c r="C1843" s="1" t="s">
        <v>5838</v>
      </c>
    </row>
    <row r="1844" spans="1:3" ht="15.75" customHeight="1" x14ac:dyDescent="0.25">
      <c r="A1844" s="1" t="s">
        <v>5599</v>
      </c>
      <c r="B1844" s="1" t="s">
        <v>8437</v>
      </c>
      <c r="C1844" s="1" t="s">
        <v>6644</v>
      </c>
    </row>
    <row r="1845" spans="1:3" ht="15.75" customHeight="1" x14ac:dyDescent="0.25">
      <c r="A1845" s="1" t="s">
        <v>8436</v>
      </c>
      <c r="B1845" s="1" t="s">
        <v>8435</v>
      </c>
      <c r="C1845" s="1" t="s">
        <v>7749</v>
      </c>
    </row>
    <row r="1846" spans="1:3" ht="15.75" customHeight="1" x14ac:dyDescent="0.25">
      <c r="A1846" s="1" t="s">
        <v>1329</v>
      </c>
      <c r="B1846" s="1" t="s">
        <v>8434</v>
      </c>
      <c r="C1846" s="1" t="s">
        <v>6886</v>
      </c>
    </row>
    <row r="1847" spans="1:3" ht="15.75" customHeight="1" x14ac:dyDescent="0.25">
      <c r="A1847" s="1" t="s">
        <v>8433</v>
      </c>
      <c r="B1847" s="1" t="s">
        <v>8432</v>
      </c>
      <c r="C1847" s="1" t="s">
        <v>6122</v>
      </c>
    </row>
    <row r="1848" spans="1:3" ht="15.75" customHeight="1" x14ac:dyDescent="0.25">
      <c r="A1848" s="1" t="s">
        <v>3343</v>
      </c>
      <c r="B1848" s="1" t="s">
        <v>8431</v>
      </c>
      <c r="C1848" s="1" t="s">
        <v>7170</v>
      </c>
    </row>
    <row r="1849" spans="1:3" ht="15.75" customHeight="1" x14ac:dyDescent="0.25">
      <c r="A1849" s="1" t="s">
        <v>8430</v>
      </c>
      <c r="B1849" s="1" t="s">
        <v>8429</v>
      </c>
      <c r="C1849" s="1" t="s">
        <v>5781</v>
      </c>
    </row>
    <row r="1850" spans="1:3" ht="15.75" customHeight="1" x14ac:dyDescent="0.25">
      <c r="A1850" s="1" t="s">
        <v>2790</v>
      </c>
      <c r="B1850" s="1" t="s">
        <v>8428</v>
      </c>
      <c r="C1850" s="1" t="s">
        <v>6945</v>
      </c>
    </row>
    <row r="1851" spans="1:3" ht="15.75" customHeight="1" x14ac:dyDescent="0.25">
      <c r="A1851" s="1" t="s">
        <v>8427</v>
      </c>
      <c r="B1851" s="1" t="s">
        <v>8426</v>
      </c>
      <c r="C1851" s="1" t="s">
        <v>6963</v>
      </c>
    </row>
    <row r="1852" spans="1:3" ht="15.75" customHeight="1" x14ac:dyDescent="0.25">
      <c r="A1852" s="1" t="s">
        <v>8425</v>
      </c>
      <c r="B1852" s="1" t="s">
        <v>8424</v>
      </c>
      <c r="C1852" s="1" t="s">
        <v>7052</v>
      </c>
    </row>
    <row r="1853" spans="1:3" ht="15.75" customHeight="1" x14ac:dyDescent="0.25">
      <c r="A1853" s="1" t="s">
        <v>8423</v>
      </c>
      <c r="B1853" s="1" t="s">
        <v>8422</v>
      </c>
      <c r="C1853" s="1" t="s">
        <v>6690</v>
      </c>
    </row>
    <row r="1854" spans="1:3" ht="15.75" customHeight="1" x14ac:dyDescent="0.25">
      <c r="A1854" s="1" t="s">
        <v>1614</v>
      </c>
      <c r="B1854" s="1" t="s">
        <v>8421</v>
      </c>
      <c r="C1854" s="1" t="s">
        <v>6901</v>
      </c>
    </row>
    <row r="1855" spans="1:3" ht="15.75" customHeight="1" x14ac:dyDescent="0.25">
      <c r="A1855" s="1" t="s">
        <v>5495</v>
      </c>
      <c r="B1855" s="1" t="s">
        <v>8420</v>
      </c>
      <c r="C1855" s="1" t="s">
        <v>5838</v>
      </c>
    </row>
    <row r="1856" spans="1:3" ht="15.75" customHeight="1" x14ac:dyDescent="0.25">
      <c r="A1856" s="1" t="s">
        <v>160</v>
      </c>
      <c r="B1856" s="1" t="s">
        <v>5096</v>
      </c>
      <c r="C1856" s="1" t="s">
        <v>7516</v>
      </c>
    </row>
    <row r="1857" spans="1:3" ht="15.75" customHeight="1" x14ac:dyDescent="0.25">
      <c r="A1857" s="1" t="s">
        <v>4080</v>
      </c>
      <c r="B1857" s="1" t="s">
        <v>8419</v>
      </c>
      <c r="C1857" s="1" t="s">
        <v>6122</v>
      </c>
    </row>
    <row r="1858" spans="1:3" ht="15.75" customHeight="1" x14ac:dyDescent="0.25">
      <c r="A1858" s="1" t="s">
        <v>3862</v>
      </c>
      <c r="B1858" s="1" t="s">
        <v>8418</v>
      </c>
      <c r="C1858" s="1" t="s">
        <v>6714</v>
      </c>
    </row>
    <row r="1859" spans="1:3" ht="15.75" customHeight="1" x14ac:dyDescent="0.25">
      <c r="A1859" s="1" t="s">
        <v>1730</v>
      </c>
      <c r="B1859" s="1" t="s">
        <v>8417</v>
      </c>
      <c r="C1859" s="1" t="s">
        <v>6602</v>
      </c>
    </row>
    <row r="1860" spans="1:3" ht="15.75" customHeight="1" x14ac:dyDescent="0.25">
      <c r="A1860" s="1" t="s">
        <v>1295</v>
      </c>
      <c r="B1860" s="1" t="s">
        <v>8416</v>
      </c>
      <c r="C1860" s="1" t="s">
        <v>5805</v>
      </c>
    </row>
    <row r="1861" spans="1:3" ht="15.75" customHeight="1" x14ac:dyDescent="0.25">
      <c r="A1861" s="1" t="s">
        <v>1199</v>
      </c>
      <c r="B1861" s="1" t="s">
        <v>8415</v>
      </c>
      <c r="C1861" s="1" t="s">
        <v>6530</v>
      </c>
    </row>
    <row r="1862" spans="1:3" ht="15.75" customHeight="1" x14ac:dyDescent="0.25">
      <c r="A1862" s="1" t="s">
        <v>8414</v>
      </c>
      <c r="B1862" s="1" t="s">
        <v>8413</v>
      </c>
      <c r="C1862" s="1" t="s">
        <v>6168</v>
      </c>
    </row>
    <row r="1863" spans="1:3" ht="15.75" customHeight="1" x14ac:dyDescent="0.25">
      <c r="A1863" s="1" t="s">
        <v>1045</v>
      </c>
      <c r="B1863" s="1" t="s">
        <v>8412</v>
      </c>
      <c r="C1863" s="1" t="s">
        <v>7210</v>
      </c>
    </row>
    <row r="1864" spans="1:3" ht="15.75" customHeight="1" x14ac:dyDescent="0.25">
      <c r="A1864" s="1" t="s">
        <v>4810</v>
      </c>
      <c r="B1864" s="1" t="s">
        <v>8411</v>
      </c>
      <c r="C1864" s="1" t="s">
        <v>8037</v>
      </c>
    </row>
    <row r="1865" spans="1:3" ht="15.75" customHeight="1" x14ac:dyDescent="0.25">
      <c r="A1865" s="1" t="s">
        <v>4158</v>
      </c>
      <c r="B1865" s="1" t="s">
        <v>8410</v>
      </c>
      <c r="C1865" s="1" t="s">
        <v>6474</v>
      </c>
    </row>
    <row r="1866" spans="1:3" ht="15.75" customHeight="1" x14ac:dyDescent="0.25">
      <c r="A1866" s="1" t="s">
        <v>5719</v>
      </c>
      <c r="B1866" s="1" t="s">
        <v>8409</v>
      </c>
      <c r="C1866" s="1" t="s">
        <v>6942</v>
      </c>
    </row>
    <row r="1867" spans="1:3" ht="15.75" customHeight="1" x14ac:dyDescent="0.25">
      <c r="A1867" s="1" t="s">
        <v>4572</v>
      </c>
      <c r="B1867" s="1" t="s">
        <v>8408</v>
      </c>
      <c r="C1867" s="1" t="s">
        <v>8407</v>
      </c>
    </row>
    <row r="1868" spans="1:3" ht="15.75" customHeight="1" x14ac:dyDescent="0.25">
      <c r="A1868" s="1" t="s">
        <v>2846</v>
      </c>
      <c r="B1868" s="1" t="s">
        <v>8406</v>
      </c>
      <c r="C1868" s="1" t="s">
        <v>6767</v>
      </c>
    </row>
    <row r="1869" spans="1:3" ht="15.75" customHeight="1" x14ac:dyDescent="0.25">
      <c r="A1869" s="1" t="s">
        <v>8405</v>
      </c>
      <c r="B1869" s="1" t="s">
        <v>8404</v>
      </c>
      <c r="C1869" s="1" t="s">
        <v>6892</v>
      </c>
    </row>
    <row r="1870" spans="1:3" ht="15.75" customHeight="1" x14ac:dyDescent="0.25">
      <c r="A1870" s="1" t="s">
        <v>3206</v>
      </c>
      <c r="B1870" s="1" t="s">
        <v>8403</v>
      </c>
      <c r="C1870" s="1" t="s">
        <v>7503</v>
      </c>
    </row>
    <row r="1871" spans="1:3" ht="15.75" customHeight="1" x14ac:dyDescent="0.25">
      <c r="A1871" s="1" t="s">
        <v>2106</v>
      </c>
      <c r="B1871" s="1" t="s">
        <v>8402</v>
      </c>
      <c r="C1871" s="1" t="s">
        <v>8401</v>
      </c>
    </row>
    <row r="1872" spans="1:3" ht="15.75" customHeight="1" x14ac:dyDescent="0.25">
      <c r="A1872" s="1" t="s">
        <v>5516</v>
      </c>
      <c r="B1872" s="1" t="s">
        <v>8400</v>
      </c>
      <c r="C1872" s="1" t="s">
        <v>7439</v>
      </c>
    </row>
    <row r="1873" spans="1:3" ht="15.75" customHeight="1" x14ac:dyDescent="0.25">
      <c r="A1873" s="1" t="s">
        <v>8399</v>
      </c>
      <c r="B1873" s="1" t="s">
        <v>8398</v>
      </c>
      <c r="C1873" s="1" t="s">
        <v>6963</v>
      </c>
    </row>
    <row r="1874" spans="1:3" ht="15.75" customHeight="1" x14ac:dyDescent="0.25">
      <c r="A1874" s="1" t="s">
        <v>3217</v>
      </c>
      <c r="B1874" s="1" t="s">
        <v>8397</v>
      </c>
      <c r="C1874" s="1" t="s">
        <v>7189</v>
      </c>
    </row>
    <row r="1875" spans="1:3" ht="15.75" customHeight="1" x14ac:dyDescent="0.25">
      <c r="A1875" s="1" t="s">
        <v>8396</v>
      </c>
      <c r="B1875" s="1" t="s">
        <v>8395</v>
      </c>
      <c r="C1875" s="1" t="s">
        <v>6242</v>
      </c>
    </row>
    <row r="1876" spans="1:3" ht="15.75" customHeight="1" x14ac:dyDescent="0.25">
      <c r="A1876" s="1" t="s">
        <v>3838</v>
      </c>
      <c r="B1876" s="1" t="s">
        <v>8394</v>
      </c>
      <c r="C1876" s="1" t="s">
        <v>6651</v>
      </c>
    </row>
    <row r="1877" spans="1:3" ht="15.75" customHeight="1" x14ac:dyDescent="0.25">
      <c r="A1877" s="1" t="s">
        <v>2365</v>
      </c>
      <c r="B1877" s="1" t="s">
        <v>8393</v>
      </c>
      <c r="C1877" s="1" t="s">
        <v>8392</v>
      </c>
    </row>
    <row r="1878" spans="1:3" ht="15.75" customHeight="1" x14ac:dyDescent="0.25">
      <c r="A1878" s="1" t="s">
        <v>3195</v>
      </c>
      <c r="B1878" s="1" t="s">
        <v>8391</v>
      </c>
      <c r="C1878" s="1" t="s">
        <v>5836</v>
      </c>
    </row>
    <row r="1879" spans="1:3" ht="15.75" customHeight="1" x14ac:dyDescent="0.25">
      <c r="A1879" s="1" t="s">
        <v>8390</v>
      </c>
      <c r="B1879" s="1" t="s">
        <v>8389</v>
      </c>
      <c r="C1879" s="1" t="s">
        <v>5860</v>
      </c>
    </row>
    <row r="1880" spans="1:3" ht="15.75" customHeight="1" x14ac:dyDescent="0.25">
      <c r="A1880" s="1" t="s">
        <v>5463</v>
      </c>
      <c r="B1880" s="1" t="s">
        <v>8388</v>
      </c>
      <c r="C1880" s="1" t="s">
        <v>5836</v>
      </c>
    </row>
    <row r="1881" spans="1:3" ht="15.75" customHeight="1" x14ac:dyDescent="0.25">
      <c r="A1881" s="1" t="s">
        <v>8387</v>
      </c>
      <c r="B1881" s="1" t="s">
        <v>8386</v>
      </c>
      <c r="C1881" s="1" t="s">
        <v>6260</v>
      </c>
    </row>
    <row r="1882" spans="1:3" ht="15.75" customHeight="1" x14ac:dyDescent="0.25">
      <c r="A1882" s="1" t="s">
        <v>3590</v>
      </c>
      <c r="B1882" s="1" t="s">
        <v>8385</v>
      </c>
      <c r="C1882" s="1" t="s">
        <v>8384</v>
      </c>
    </row>
    <row r="1883" spans="1:3" ht="15.75" customHeight="1" x14ac:dyDescent="0.25">
      <c r="A1883" s="1" t="s">
        <v>157</v>
      </c>
      <c r="B1883" s="1" t="s">
        <v>8383</v>
      </c>
      <c r="C1883" s="1" t="s">
        <v>5853</v>
      </c>
    </row>
    <row r="1884" spans="1:3" ht="15.75" customHeight="1" x14ac:dyDescent="0.25">
      <c r="A1884" s="1" t="s">
        <v>8382</v>
      </c>
      <c r="B1884" s="1" t="s">
        <v>8381</v>
      </c>
      <c r="C1884" s="1" t="s">
        <v>8380</v>
      </c>
    </row>
    <row r="1885" spans="1:3" ht="15.75" customHeight="1" x14ac:dyDescent="0.25">
      <c r="A1885" s="1" t="s">
        <v>8379</v>
      </c>
      <c r="B1885" s="1" t="s">
        <v>8378</v>
      </c>
      <c r="C1885" s="1" t="s">
        <v>6784</v>
      </c>
    </row>
    <row r="1886" spans="1:3" ht="15.75" customHeight="1" x14ac:dyDescent="0.25">
      <c r="A1886" s="1" t="s">
        <v>676</v>
      </c>
      <c r="B1886" s="1" t="s">
        <v>8377</v>
      </c>
      <c r="C1886" s="1" t="s">
        <v>7640</v>
      </c>
    </row>
    <row r="1887" spans="1:3" ht="15.75" customHeight="1" x14ac:dyDescent="0.25">
      <c r="A1887" s="1" t="s">
        <v>8376</v>
      </c>
      <c r="B1887" s="1" t="s">
        <v>8375</v>
      </c>
      <c r="C1887" s="1" t="s">
        <v>6690</v>
      </c>
    </row>
    <row r="1888" spans="1:3" ht="15.75" customHeight="1" x14ac:dyDescent="0.25">
      <c r="A1888" s="1" t="s">
        <v>8374</v>
      </c>
      <c r="B1888" s="1" t="s">
        <v>8373</v>
      </c>
      <c r="C1888" s="1" t="s">
        <v>6929</v>
      </c>
    </row>
    <row r="1889" spans="1:3" ht="15.75" customHeight="1" x14ac:dyDescent="0.25">
      <c r="A1889" s="1" t="s">
        <v>3513</v>
      </c>
      <c r="B1889" s="1" t="s">
        <v>8372</v>
      </c>
      <c r="C1889" s="1" t="s">
        <v>6546</v>
      </c>
    </row>
    <row r="1890" spans="1:3" ht="15.75" customHeight="1" x14ac:dyDescent="0.25">
      <c r="A1890" s="1" t="s">
        <v>8371</v>
      </c>
      <c r="B1890" s="1" t="s">
        <v>8370</v>
      </c>
      <c r="C1890" s="1" t="s">
        <v>7106</v>
      </c>
    </row>
    <row r="1891" spans="1:3" ht="15.75" customHeight="1" x14ac:dyDescent="0.25">
      <c r="A1891" s="1" t="s">
        <v>8369</v>
      </c>
      <c r="B1891" s="1" t="s">
        <v>8368</v>
      </c>
      <c r="C1891" s="1" t="s">
        <v>7213</v>
      </c>
    </row>
    <row r="1892" spans="1:3" ht="15.75" customHeight="1" x14ac:dyDescent="0.25">
      <c r="A1892" s="1" t="s">
        <v>4752</v>
      </c>
      <c r="B1892" s="1" t="s">
        <v>8367</v>
      </c>
      <c r="C1892" s="1" t="s">
        <v>7952</v>
      </c>
    </row>
    <row r="1893" spans="1:3" ht="15.75" customHeight="1" x14ac:dyDescent="0.25">
      <c r="A1893" s="1" t="s">
        <v>513</v>
      </c>
      <c r="B1893" s="1" t="s">
        <v>8366</v>
      </c>
      <c r="C1893" s="1" t="s">
        <v>6238</v>
      </c>
    </row>
    <row r="1894" spans="1:3" ht="15.75" customHeight="1" x14ac:dyDescent="0.25">
      <c r="A1894" s="1" t="s">
        <v>8365</v>
      </c>
      <c r="B1894" s="1" t="s">
        <v>8364</v>
      </c>
      <c r="C1894" s="1" t="s">
        <v>6700</v>
      </c>
    </row>
    <row r="1895" spans="1:3" ht="15.75" customHeight="1" x14ac:dyDescent="0.25">
      <c r="A1895" s="1" t="s">
        <v>2591</v>
      </c>
      <c r="B1895" s="1" t="s">
        <v>8363</v>
      </c>
      <c r="C1895" s="1" t="s">
        <v>7720</v>
      </c>
    </row>
    <row r="1896" spans="1:3" ht="15.75" customHeight="1" x14ac:dyDescent="0.25">
      <c r="A1896" s="1" t="s">
        <v>780</v>
      </c>
      <c r="B1896" s="1" t="s">
        <v>8362</v>
      </c>
      <c r="C1896" s="1" t="s">
        <v>6861</v>
      </c>
    </row>
    <row r="1897" spans="1:3" ht="15.75" customHeight="1" x14ac:dyDescent="0.25">
      <c r="A1897" s="1" t="s">
        <v>8361</v>
      </c>
      <c r="B1897" s="1" t="s">
        <v>8360</v>
      </c>
      <c r="C1897" s="1" t="s">
        <v>6495</v>
      </c>
    </row>
    <row r="1898" spans="1:3" ht="15.75" customHeight="1" x14ac:dyDescent="0.25">
      <c r="A1898" s="1" t="s">
        <v>8359</v>
      </c>
      <c r="B1898" s="1" t="s">
        <v>8358</v>
      </c>
      <c r="C1898" s="1" t="s">
        <v>5860</v>
      </c>
    </row>
    <row r="1899" spans="1:3" ht="15.75" customHeight="1" x14ac:dyDescent="0.25">
      <c r="A1899" s="1" t="s">
        <v>8357</v>
      </c>
      <c r="B1899" s="1" t="s">
        <v>8356</v>
      </c>
      <c r="C1899" s="1" t="s">
        <v>6125</v>
      </c>
    </row>
    <row r="1900" spans="1:3" ht="15.75" customHeight="1" x14ac:dyDescent="0.25">
      <c r="A1900" s="1" t="s">
        <v>3329</v>
      </c>
      <c r="B1900" s="1" t="s">
        <v>8355</v>
      </c>
      <c r="C1900" s="1" t="s">
        <v>7106</v>
      </c>
    </row>
    <row r="1901" spans="1:3" ht="15.75" customHeight="1" x14ac:dyDescent="0.25">
      <c r="A1901" s="1" t="s">
        <v>8354</v>
      </c>
      <c r="B1901" s="1" t="s">
        <v>8353</v>
      </c>
      <c r="C1901" s="1" t="s">
        <v>6486</v>
      </c>
    </row>
    <row r="1902" spans="1:3" ht="15.75" customHeight="1" x14ac:dyDescent="0.25">
      <c r="A1902" s="1" t="s">
        <v>4049</v>
      </c>
      <c r="B1902" s="1" t="s">
        <v>8352</v>
      </c>
      <c r="C1902" s="1" t="s">
        <v>5836</v>
      </c>
    </row>
    <row r="1903" spans="1:3" ht="15.75" customHeight="1" x14ac:dyDescent="0.25">
      <c r="A1903" s="1" t="s">
        <v>8351</v>
      </c>
      <c r="B1903" s="1" t="s">
        <v>8350</v>
      </c>
      <c r="C1903" s="1" t="s">
        <v>5791</v>
      </c>
    </row>
    <row r="1904" spans="1:3" ht="15.75" customHeight="1" x14ac:dyDescent="0.25">
      <c r="A1904" s="1" t="s">
        <v>5672</v>
      </c>
      <c r="B1904" s="1" t="s">
        <v>7847</v>
      </c>
      <c r="C1904" s="1" t="s">
        <v>8349</v>
      </c>
    </row>
    <row r="1905" spans="1:3" ht="15.75" customHeight="1" x14ac:dyDescent="0.25">
      <c r="A1905" s="1" t="s">
        <v>8348</v>
      </c>
      <c r="B1905" s="1" t="s">
        <v>8347</v>
      </c>
      <c r="C1905" s="1" t="s">
        <v>8346</v>
      </c>
    </row>
    <row r="1906" spans="1:3" ht="15.75" customHeight="1" x14ac:dyDescent="0.25">
      <c r="A1906" s="1" t="s">
        <v>8345</v>
      </c>
      <c r="B1906" s="1" t="s">
        <v>8344</v>
      </c>
      <c r="C1906" s="1" t="s">
        <v>5791</v>
      </c>
    </row>
    <row r="1907" spans="1:3" ht="15.75" customHeight="1" x14ac:dyDescent="0.25">
      <c r="A1907" s="1" t="s">
        <v>818</v>
      </c>
      <c r="B1907" s="1" t="s">
        <v>8343</v>
      </c>
      <c r="C1907" s="1" t="s">
        <v>6640</v>
      </c>
    </row>
    <row r="1908" spans="1:3" ht="15.75" customHeight="1" x14ac:dyDescent="0.25">
      <c r="A1908" s="1" t="s">
        <v>1779</v>
      </c>
      <c r="B1908" s="1" t="s">
        <v>8342</v>
      </c>
      <c r="C1908" s="1" t="s">
        <v>5796</v>
      </c>
    </row>
    <row r="1909" spans="1:3" ht="15.75" customHeight="1" x14ac:dyDescent="0.25">
      <c r="A1909" s="1" t="s">
        <v>1339</v>
      </c>
      <c r="B1909" s="1" t="s">
        <v>8341</v>
      </c>
      <c r="C1909" s="1" t="s">
        <v>6602</v>
      </c>
    </row>
    <row r="1910" spans="1:3" ht="15.75" customHeight="1" x14ac:dyDescent="0.25">
      <c r="A1910" s="1" t="s">
        <v>8340</v>
      </c>
      <c r="B1910" s="1" t="s">
        <v>8339</v>
      </c>
      <c r="C1910" s="1" t="s">
        <v>6690</v>
      </c>
    </row>
    <row r="1911" spans="1:3" ht="15.75" customHeight="1" x14ac:dyDescent="0.25">
      <c r="A1911" s="1" t="s">
        <v>2824</v>
      </c>
      <c r="B1911" s="1" t="s">
        <v>8338</v>
      </c>
      <c r="C1911" s="1" t="s">
        <v>6901</v>
      </c>
    </row>
    <row r="1912" spans="1:3" ht="15.75" customHeight="1" x14ac:dyDescent="0.25">
      <c r="A1912" s="1" t="s">
        <v>8337</v>
      </c>
      <c r="B1912" s="1" t="s">
        <v>8336</v>
      </c>
      <c r="C1912" s="1" t="s">
        <v>6168</v>
      </c>
    </row>
    <row r="1913" spans="1:3" ht="15.75" customHeight="1" x14ac:dyDescent="0.25">
      <c r="A1913" s="1" t="s">
        <v>737</v>
      </c>
      <c r="B1913" s="1" t="s">
        <v>8335</v>
      </c>
      <c r="C1913" s="1" t="s">
        <v>5809</v>
      </c>
    </row>
    <row r="1914" spans="1:3" ht="15.75" customHeight="1" x14ac:dyDescent="0.25">
      <c r="A1914" s="1" t="s">
        <v>8334</v>
      </c>
      <c r="B1914" s="1" t="s">
        <v>8333</v>
      </c>
      <c r="C1914" s="1" t="s">
        <v>6276</v>
      </c>
    </row>
    <row r="1915" spans="1:3" ht="15.75" customHeight="1" x14ac:dyDescent="0.25">
      <c r="A1915" s="1" t="s">
        <v>5116</v>
      </c>
      <c r="B1915" s="1" t="s">
        <v>8332</v>
      </c>
      <c r="C1915" s="1" t="s">
        <v>6168</v>
      </c>
    </row>
    <row r="1916" spans="1:3" ht="15.75" customHeight="1" x14ac:dyDescent="0.25">
      <c r="A1916" s="1" t="s">
        <v>4785</v>
      </c>
      <c r="B1916" s="1" t="s">
        <v>8331</v>
      </c>
      <c r="C1916" s="1" t="s">
        <v>8330</v>
      </c>
    </row>
    <row r="1917" spans="1:3" ht="15.75" customHeight="1" x14ac:dyDescent="0.25">
      <c r="A1917" s="1" t="s">
        <v>8329</v>
      </c>
      <c r="B1917" s="1" t="s">
        <v>8328</v>
      </c>
      <c r="C1917" s="1" t="s">
        <v>6937</v>
      </c>
    </row>
    <row r="1918" spans="1:3" ht="15.75" customHeight="1" x14ac:dyDescent="0.25">
      <c r="A1918" s="1" t="s">
        <v>8327</v>
      </c>
      <c r="B1918" s="1" t="s">
        <v>8326</v>
      </c>
      <c r="C1918" s="1" t="s">
        <v>6242</v>
      </c>
    </row>
    <row r="1919" spans="1:3" ht="15.75" customHeight="1" x14ac:dyDescent="0.25">
      <c r="A1919" s="1" t="s">
        <v>8325</v>
      </c>
      <c r="B1919" s="1" t="s">
        <v>8324</v>
      </c>
      <c r="C1919" s="1" t="s">
        <v>7106</v>
      </c>
    </row>
    <row r="1920" spans="1:3" ht="15.75" customHeight="1" x14ac:dyDescent="0.25">
      <c r="A1920" s="1" t="s">
        <v>8323</v>
      </c>
      <c r="B1920" s="1" t="s">
        <v>8322</v>
      </c>
      <c r="C1920" s="1" t="s">
        <v>6486</v>
      </c>
    </row>
    <row r="1921" spans="1:3" ht="15.75" customHeight="1" x14ac:dyDescent="0.25">
      <c r="A1921" s="1" t="s">
        <v>4795</v>
      </c>
      <c r="B1921" s="1" t="s">
        <v>8321</v>
      </c>
      <c r="C1921" s="1" t="s">
        <v>6929</v>
      </c>
    </row>
    <row r="1922" spans="1:3" ht="15.75" customHeight="1" x14ac:dyDescent="0.25">
      <c r="A1922" s="1" t="s">
        <v>8320</v>
      </c>
      <c r="B1922" s="1" t="s">
        <v>8319</v>
      </c>
      <c r="C1922" s="1" t="s">
        <v>6542</v>
      </c>
    </row>
    <row r="1923" spans="1:3" ht="15.75" customHeight="1" x14ac:dyDescent="0.25">
      <c r="A1923" s="1" t="s">
        <v>837</v>
      </c>
      <c r="B1923" s="1" t="s">
        <v>8318</v>
      </c>
      <c r="C1923" s="1" t="s">
        <v>7043</v>
      </c>
    </row>
    <row r="1924" spans="1:3" ht="15.75" customHeight="1" x14ac:dyDescent="0.25">
      <c r="A1924" s="1" t="s">
        <v>3103</v>
      </c>
      <c r="B1924" s="1" t="s">
        <v>8317</v>
      </c>
      <c r="C1924" s="1" t="s">
        <v>6651</v>
      </c>
    </row>
    <row r="1925" spans="1:3" ht="15.75" customHeight="1" x14ac:dyDescent="0.25">
      <c r="A1925" s="1" t="s">
        <v>1195</v>
      </c>
      <c r="B1925" s="1" t="s">
        <v>5837</v>
      </c>
      <c r="C1925" s="1" t="s">
        <v>6669</v>
      </c>
    </row>
    <row r="1926" spans="1:3" ht="15.75" customHeight="1" x14ac:dyDescent="0.25">
      <c r="A1926" s="1" t="s">
        <v>4508</v>
      </c>
      <c r="B1926" s="1" t="s">
        <v>8316</v>
      </c>
      <c r="C1926" s="1" t="s">
        <v>5836</v>
      </c>
    </row>
    <row r="1927" spans="1:3" ht="15.75" customHeight="1" x14ac:dyDescent="0.25">
      <c r="A1927" s="1" t="s">
        <v>2093</v>
      </c>
      <c r="B1927" s="1" t="s">
        <v>8315</v>
      </c>
      <c r="C1927" s="1" t="s">
        <v>6929</v>
      </c>
    </row>
    <row r="1928" spans="1:3" ht="15.75" customHeight="1" x14ac:dyDescent="0.25">
      <c r="A1928" s="1" t="s">
        <v>1139</v>
      </c>
      <c r="B1928" s="1" t="s">
        <v>8314</v>
      </c>
      <c r="C1928" s="1" t="s">
        <v>6602</v>
      </c>
    </row>
    <row r="1929" spans="1:3" ht="15.75" customHeight="1" x14ac:dyDescent="0.25">
      <c r="A1929" s="1" t="s">
        <v>154</v>
      </c>
      <c r="B1929" s="1" t="s">
        <v>8313</v>
      </c>
      <c r="C1929" s="1" t="s">
        <v>6653</v>
      </c>
    </row>
    <row r="1930" spans="1:3" ht="15.75" customHeight="1" x14ac:dyDescent="0.25">
      <c r="A1930" s="1" t="s">
        <v>1379</v>
      </c>
      <c r="B1930" s="1" t="s">
        <v>8312</v>
      </c>
      <c r="C1930" s="1" t="s">
        <v>8311</v>
      </c>
    </row>
    <row r="1931" spans="1:3" ht="15.75" customHeight="1" x14ac:dyDescent="0.25">
      <c r="A1931" s="1" t="s">
        <v>8310</v>
      </c>
      <c r="B1931" s="1" t="s">
        <v>8309</v>
      </c>
      <c r="C1931" s="1" t="s">
        <v>6797</v>
      </c>
    </row>
    <row r="1932" spans="1:3" ht="15.75" customHeight="1" x14ac:dyDescent="0.25">
      <c r="A1932" s="1" t="s">
        <v>8308</v>
      </c>
      <c r="B1932" s="1" t="s">
        <v>8307</v>
      </c>
      <c r="C1932" s="1" t="s">
        <v>6122</v>
      </c>
    </row>
    <row r="1933" spans="1:3" ht="15.75" customHeight="1" x14ac:dyDescent="0.25">
      <c r="A1933" s="1" t="s">
        <v>4804</v>
      </c>
      <c r="B1933" s="1" t="s">
        <v>8306</v>
      </c>
      <c r="C1933" s="1" t="s">
        <v>6759</v>
      </c>
    </row>
    <row r="1934" spans="1:3" ht="15.75" customHeight="1" x14ac:dyDescent="0.25">
      <c r="A1934" s="1" t="s">
        <v>2337</v>
      </c>
      <c r="B1934" s="1" t="s">
        <v>8305</v>
      </c>
      <c r="C1934" s="1" t="s">
        <v>5796</v>
      </c>
    </row>
    <row r="1935" spans="1:3" ht="15.75" customHeight="1" x14ac:dyDescent="0.25">
      <c r="A1935" s="1" t="s">
        <v>5399</v>
      </c>
      <c r="B1935" s="1" t="s">
        <v>8304</v>
      </c>
      <c r="C1935" s="1" t="s">
        <v>6665</v>
      </c>
    </row>
    <row r="1936" spans="1:3" ht="15.75" customHeight="1" x14ac:dyDescent="0.25">
      <c r="A1936" s="1" t="s">
        <v>5179</v>
      </c>
      <c r="B1936" s="1" t="s">
        <v>8303</v>
      </c>
      <c r="C1936" s="1" t="s">
        <v>8302</v>
      </c>
    </row>
    <row r="1937" spans="1:3" ht="15.75" customHeight="1" x14ac:dyDescent="0.25">
      <c r="A1937" s="1" t="s">
        <v>5055</v>
      </c>
      <c r="B1937" s="1" t="s">
        <v>8301</v>
      </c>
      <c r="C1937" s="1" t="s">
        <v>6741</v>
      </c>
    </row>
    <row r="1938" spans="1:3" ht="15.75" customHeight="1" x14ac:dyDescent="0.25">
      <c r="A1938" s="1" t="s">
        <v>8300</v>
      </c>
      <c r="B1938" s="1" t="s">
        <v>8299</v>
      </c>
      <c r="C1938" s="1" t="s">
        <v>6797</v>
      </c>
    </row>
    <row r="1939" spans="1:3" ht="15.75" customHeight="1" x14ac:dyDescent="0.25">
      <c r="A1939" s="1" t="s">
        <v>152</v>
      </c>
      <c r="B1939" s="1" t="s">
        <v>6593</v>
      </c>
      <c r="C1939" s="1" t="s">
        <v>8298</v>
      </c>
    </row>
    <row r="1940" spans="1:3" ht="15.75" customHeight="1" x14ac:dyDescent="0.25">
      <c r="A1940" s="1" t="s">
        <v>8297</v>
      </c>
      <c r="B1940" s="1" t="s">
        <v>8296</v>
      </c>
      <c r="C1940" s="1" t="s">
        <v>5811</v>
      </c>
    </row>
    <row r="1941" spans="1:3" ht="15.75" customHeight="1" x14ac:dyDescent="0.25">
      <c r="A1941" s="1" t="s">
        <v>8295</v>
      </c>
      <c r="B1941" s="1" t="s">
        <v>8294</v>
      </c>
      <c r="C1941" s="1" t="s">
        <v>6285</v>
      </c>
    </row>
    <row r="1942" spans="1:3" ht="15.75" customHeight="1" x14ac:dyDescent="0.25">
      <c r="A1942" s="1" t="s">
        <v>5591</v>
      </c>
      <c r="B1942" s="1" t="s">
        <v>8293</v>
      </c>
      <c r="C1942" s="1" t="s">
        <v>5838</v>
      </c>
    </row>
    <row r="1943" spans="1:3" ht="15.75" customHeight="1" x14ac:dyDescent="0.25">
      <c r="A1943" s="1" t="s">
        <v>5402</v>
      </c>
      <c r="B1943" s="1" t="s">
        <v>8179</v>
      </c>
      <c r="C1943" s="1" t="s">
        <v>6530</v>
      </c>
    </row>
    <row r="1944" spans="1:3" ht="15.75" customHeight="1" x14ac:dyDescent="0.25">
      <c r="A1944" s="1" t="s">
        <v>8292</v>
      </c>
      <c r="B1944" s="1" t="s">
        <v>8291</v>
      </c>
      <c r="C1944" s="1" t="s">
        <v>6242</v>
      </c>
    </row>
    <row r="1945" spans="1:3" ht="15.75" customHeight="1" x14ac:dyDescent="0.25">
      <c r="A1945" s="1" t="s">
        <v>8290</v>
      </c>
      <c r="B1945" s="1" t="s">
        <v>8289</v>
      </c>
      <c r="C1945" s="1" t="s">
        <v>6874</v>
      </c>
    </row>
    <row r="1946" spans="1:3" ht="15.75" customHeight="1" x14ac:dyDescent="0.25">
      <c r="A1946" s="1" t="s">
        <v>2038</v>
      </c>
      <c r="B1946" s="1" t="s">
        <v>8288</v>
      </c>
      <c r="C1946" s="1" t="s">
        <v>5838</v>
      </c>
    </row>
    <row r="1947" spans="1:3" ht="15.75" customHeight="1" x14ac:dyDescent="0.25">
      <c r="A1947" s="1" t="s">
        <v>2549</v>
      </c>
      <c r="B1947" s="1" t="s">
        <v>8287</v>
      </c>
      <c r="C1947" s="1" t="s">
        <v>7131</v>
      </c>
    </row>
    <row r="1948" spans="1:3" ht="15.75" customHeight="1" x14ac:dyDescent="0.25">
      <c r="A1948" s="1" t="s">
        <v>2882</v>
      </c>
      <c r="B1948" s="1" t="s">
        <v>8286</v>
      </c>
      <c r="C1948" s="1" t="s">
        <v>5796</v>
      </c>
    </row>
    <row r="1949" spans="1:3" ht="15.75" customHeight="1" x14ac:dyDescent="0.25">
      <c r="A1949" s="1" t="s">
        <v>8285</v>
      </c>
      <c r="B1949" s="1" t="s">
        <v>8284</v>
      </c>
      <c r="C1949" s="1" t="s">
        <v>6486</v>
      </c>
    </row>
    <row r="1950" spans="1:3" ht="15.75" customHeight="1" x14ac:dyDescent="0.25">
      <c r="A1950" s="1" t="s">
        <v>3274</v>
      </c>
      <c r="B1950" s="1" t="s">
        <v>8283</v>
      </c>
      <c r="C1950" s="1" t="s">
        <v>8282</v>
      </c>
    </row>
    <row r="1951" spans="1:3" ht="15.75" customHeight="1" x14ac:dyDescent="0.25">
      <c r="A1951" s="1" t="s">
        <v>8281</v>
      </c>
      <c r="B1951" s="1" t="s">
        <v>8280</v>
      </c>
      <c r="C1951" s="1" t="s">
        <v>6507</v>
      </c>
    </row>
    <row r="1952" spans="1:3" ht="15.75" customHeight="1" x14ac:dyDescent="0.25">
      <c r="A1952" s="1" t="s">
        <v>8279</v>
      </c>
      <c r="B1952" s="1" t="s">
        <v>8278</v>
      </c>
      <c r="C1952" s="1" t="s">
        <v>6963</v>
      </c>
    </row>
    <row r="1953" spans="1:3" ht="15.75" customHeight="1" x14ac:dyDescent="0.25">
      <c r="A1953" s="1" t="s">
        <v>3705</v>
      </c>
      <c r="B1953" s="1" t="s">
        <v>8277</v>
      </c>
      <c r="C1953" s="1" t="s">
        <v>6717</v>
      </c>
    </row>
    <row r="1954" spans="1:3" ht="15.75" customHeight="1" x14ac:dyDescent="0.25">
      <c r="A1954" s="1" t="s">
        <v>8276</v>
      </c>
      <c r="B1954" s="1" t="s">
        <v>8275</v>
      </c>
      <c r="C1954" s="1" t="s">
        <v>6530</v>
      </c>
    </row>
    <row r="1955" spans="1:3" ht="15.75" customHeight="1" x14ac:dyDescent="0.25">
      <c r="A1955" s="1" t="s">
        <v>8274</v>
      </c>
      <c r="B1955" s="1" t="s">
        <v>8273</v>
      </c>
      <c r="C1955" s="1" t="s">
        <v>5853</v>
      </c>
    </row>
    <row r="1956" spans="1:3" ht="15.75" customHeight="1" x14ac:dyDescent="0.25">
      <c r="A1956" s="1" t="s">
        <v>8272</v>
      </c>
      <c r="B1956" s="1" t="s">
        <v>8271</v>
      </c>
      <c r="C1956" s="1" t="s">
        <v>7801</v>
      </c>
    </row>
    <row r="1957" spans="1:3" ht="15.75" customHeight="1" x14ac:dyDescent="0.25">
      <c r="A1957" s="1" t="s">
        <v>8270</v>
      </c>
      <c r="B1957" s="1" t="s">
        <v>8269</v>
      </c>
      <c r="C1957" s="1" t="s">
        <v>6122</v>
      </c>
    </row>
    <row r="1958" spans="1:3" ht="15.75" customHeight="1" x14ac:dyDescent="0.25">
      <c r="A1958" s="1" t="s">
        <v>2542</v>
      </c>
      <c r="B1958" s="1" t="s">
        <v>8268</v>
      </c>
      <c r="C1958" s="1" t="s">
        <v>8267</v>
      </c>
    </row>
    <row r="1959" spans="1:3" ht="15.75" customHeight="1" x14ac:dyDescent="0.25">
      <c r="A1959" s="1" t="s">
        <v>8266</v>
      </c>
      <c r="B1959" s="1" t="s">
        <v>8265</v>
      </c>
      <c r="C1959" s="1" t="s">
        <v>6122</v>
      </c>
    </row>
    <row r="1960" spans="1:3" ht="15.75" customHeight="1" x14ac:dyDescent="0.25">
      <c r="A1960" s="1" t="s">
        <v>8264</v>
      </c>
      <c r="B1960" s="1" t="s">
        <v>8263</v>
      </c>
      <c r="C1960" s="1" t="s">
        <v>6763</v>
      </c>
    </row>
    <row r="1961" spans="1:3" ht="15.75" customHeight="1" x14ac:dyDescent="0.25">
      <c r="A1961" s="1" t="s">
        <v>5272</v>
      </c>
      <c r="B1961" s="1" t="s">
        <v>8262</v>
      </c>
      <c r="C1961" s="1" t="s">
        <v>5796</v>
      </c>
    </row>
    <row r="1962" spans="1:3" ht="15.75" customHeight="1" x14ac:dyDescent="0.25">
      <c r="A1962" s="1" t="s">
        <v>880</v>
      </c>
      <c r="B1962" s="1" t="s">
        <v>8261</v>
      </c>
      <c r="C1962" s="1" t="s">
        <v>6238</v>
      </c>
    </row>
    <row r="1963" spans="1:3" ht="15.75" customHeight="1" x14ac:dyDescent="0.25">
      <c r="A1963" s="1" t="s">
        <v>8260</v>
      </c>
      <c r="B1963" s="1" t="s">
        <v>8259</v>
      </c>
      <c r="C1963" s="1" t="s">
        <v>6759</v>
      </c>
    </row>
    <row r="1964" spans="1:3" ht="15.75" customHeight="1" x14ac:dyDescent="0.25">
      <c r="A1964" s="1" t="s">
        <v>149</v>
      </c>
      <c r="B1964" s="1" t="s">
        <v>148</v>
      </c>
      <c r="C1964" s="1" t="s">
        <v>8258</v>
      </c>
    </row>
    <row r="1965" spans="1:3" ht="15.75" customHeight="1" x14ac:dyDescent="0.25">
      <c r="A1965" s="1" t="s">
        <v>5108</v>
      </c>
      <c r="B1965" s="1" t="s">
        <v>8257</v>
      </c>
      <c r="C1965" s="1" t="s">
        <v>6168</v>
      </c>
    </row>
    <row r="1966" spans="1:3" ht="15.75" customHeight="1" x14ac:dyDescent="0.25">
      <c r="A1966" s="1" t="s">
        <v>8256</v>
      </c>
      <c r="B1966" s="1" t="s">
        <v>8255</v>
      </c>
      <c r="C1966" s="1" t="s">
        <v>7875</v>
      </c>
    </row>
    <row r="1967" spans="1:3" ht="15.75" customHeight="1" x14ac:dyDescent="0.25">
      <c r="A1967" s="1" t="s">
        <v>8254</v>
      </c>
      <c r="B1967" s="1" t="s">
        <v>8253</v>
      </c>
      <c r="C1967" s="1" t="s">
        <v>6709</v>
      </c>
    </row>
    <row r="1968" spans="1:3" ht="15.75" customHeight="1" x14ac:dyDescent="0.25">
      <c r="A1968" s="1" t="s">
        <v>2134</v>
      </c>
      <c r="B1968" s="1" t="s">
        <v>8252</v>
      </c>
      <c r="C1968" s="1" t="s">
        <v>6323</v>
      </c>
    </row>
    <row r="1969" spans="1:3" ht="15.75" customHeight="1" x14ac:dyDescent="0.25">
      <c r="A1969" s="1" t="s">
        <v>8251</v>
      </c>
      <c r="B1969" s="1" t="s">
        <v>8250</v>
      </c>
      <c r="C1969" s="1" t="s">
        <v>6242</v>
      </c>
    </row>
    <row r="1970" spans="1:3" ht="15.75" customHeight="1" x14ac:dyDescent="0.25">
      <c r="A1970" s="1" t="s">
        <v>8249</v>
      </c>
      <c r="B1970" s="1" t="s">
        <v>8248</v>
      </c>
      <c r="C1970" s="1" t="s">
        <v>7924</v>
      </c>
    </row>
    <row r="1971" spans="1:3" ht="15.75" customHeight="1" x14ac:dyDescent="0.25">
      <c r="A1971" s="1" t="s">
        <v>3081</v>
      </c>
      <c r="B1971" s="1" t="s">
        <v>8247</v>
      </c>
      <c r="C1971" s="1" t="s">
        <v>8246</v>
      </c>
    </row>
    <row r="1972" spans="1:3" ht="15.75" customHeight="1" x14ac:dyDescent="0.25">
      <c r="A1972" s="1" t="s">
        <v>8245</v>
      </c>
      <c r="B1972" s="1" t="s">
        <v>8244</v>
      </c>
      <c r="C1972" s="1" t="s">
        <v>7815</v>
      </c>
    </row>
    <row r="1973" spans="1:3" ht="15.75" customHeight="1" x14ac:dyDescent="0.25">
      <c r="A1973" s="1" t="s">
        <v>3755</v>
      </c>
      <c r="B1973" s="1" t="s">
        <v>8243</v>
      </c>
      <c r="C1973" s="1" t="s">
        <v>6122</v>
      </c>
    </row>
    <row r="1974" spans="1:3" ht="15.75" customHeight="1" x14ac:dyDescent="0.25">
      <c r="A1974" s="1" t="s">
        <v>5089</v>
      </c>
      <c r="B1974" s="1" t="s">
        <v>8242</v>
      </c>
      <c r="C1974" s="1" t="s">
        <v>7131</v>
      </c>
    </row>
    <row r="1975" spans="1:3" ht="15.75" customHeight="1" x14ac:dyDescent="0.25">
      <c r="A1975" s="1" t="s">
        <v>8241</v>
      </c>
      <c r="B1975" s="1" t="s">
        <v>8240</v>
      </c>
      <c r="C1975" s="1" t="s">
        <v>5811</v>
      </c>
    </row>
    <row r="1976" spans="1:3" ht="15.75" customHeight="1" x14ac:dyDescent="0.25">
      <c r="A1976" s="1" t="s">
        <v>147</v>
      </c>
      <c r="B1976" s="1" t="s">
        <v>8239</v>
      </c>
      <c r="C1976" s="1" t="s">
        <v>5796</v>
      </c>
    </row>
    <row r="1977" spans="1:3" ht="15.75" customHeight="1" x14ac:dyDescent="0.25">
      <c r="A1977" s="1" t="s">
        <v>8238</v>
      </c>
      <c r="B1977" s="1" t="s">
        <v>8237</v>
      </c>
      <c r="C1977" s="1" t="s">
        <v>6242</v>
      </c>
    </row>
    <row r="1978" spans="1:3" ht="15.75" customHeight="1" x14ac:dyDescent="0.25">
      <c r="A1978" s="1" t="s">
        <v>8236</v>
      </c>
      <c r="B1978" s="1" t="s">
        <v>8235</v>
      </c>
      <c r="C1978" s="1" t="s">
        <v>5844</v>
      </c>
    </row>
    <row r="1979" spans="1:3" ht="15.75" customHeight="1" x14ac:dyDescent="0.25">
      <c r="A1979" s="1" t="s">
        <v>8234</v>
      </c>
      <c r="B1979" s="1" t="s">
        <v>8233</v>
      </c>
      <c r="C1979" s="1" t="s">
        <v>5836</v>
      </c>
    </row>
    <row r="1980" spans="1:3" ht="15.75" customHeight="1" x14ac:dyDescent="0.25">
      <c r="A1980" s="1" t="s">
        <v>8232</v>
      </c>
      <c r="B1980" s="1" t="s">
        <v>8231</v>
      </c>
      <c r="C1980" s="1" t="s">
        <v>6276</v>
      </c>
    </row>
    <row r="1981" spans="1:3" ht="15.75" customHeight="1" x14ac:dyDescent="0.25">
      <c r="A1981" s="1" t="s">
        <v>8230</v>
      </c>
      <c r="B1981" s="1" t="s">
        <v>8229</v>
      </c>
      <c r="C1981" s="1" t="s">
        <v>6242</v>
      </c>
    </row>
    <row r="1982" spans="1:3" ht="15.75" customHeight="1" x14ac:dyDescent="0.25">
      <c r="A1982" s="1" t="s">
        <v>2256</v>
      </c>
      <c r="B1982" s="1" t="s">
        <v>2254</v>
      </c>
      <c r="C1982" s="1" t="s">
        <v>8228</v>
      </c>
    </row>
    <row r="1983" spans="1:3" ht="15.75" customHeight="1" x14ac:dyDescent="0.25">
      <c r="A1983" s="1" t="s">
        <v>8227</v>
      </c>
      <c r="B1983" s="1" t="s">
        <v>8226</v>
      </c>
      <c r="C1983" s="1" t="s">
        <v>6795</v>
      </c>
    </row>
    <row r="1984" spans="1:3" ht="15.75" customHeight="1" x14ac:dyDescent="0.25">
      <c r="A1984" s="1" t="s">
        <v>8225</v>
      </c>
      <c r="B1984" s="1" t="s">
        <v>8224</v>
      </c>
      <c r="C1984" s="1" t="s">
        <v>6874</v>
      </c>
    </row>
    <row r="1985" spans="1:3" ht="15.75" customHeight="1" x14ac:dyDescent="0.25">
      <c r="A1985" s="1" t="s">
        <v>8223</v>
      </c>
      <c r="B1985" s="1" t="s">
        <v>8222</v>
      </c>
      <c r="C1985" s="1" t="s">
        <v>6242</v>
      </c>
    </row>
    <row r="1986" spans="1:3" ht="15.75" customHeight="1" x14ac:dyDescent="0.25">
      <c r="A1986" s="1" t="s">
        <v>8221</v>
      </c>
      <c r="B1986" s="1" t="s">
        <v>8220</v>
      </c>
      <c r="C1986" s="1" t="s">
        <v>7860</v>
      </c>
    </row>
    <row r="1987" spans="1:3" ht="15.75" customHeight="1" x14ac:dyDescent="0.25">
      <c r="A1987" s="1" t="s">
        <v>8219</v>
      </c>
      <c r="B1987" s="1" t="s">
        <v>7397</v>
      </c>
      <c r="C1987" s="1" t="s">
        <v>6260</v>
      </c>
    </row>
    <row r="1988" spans="1:3" ht="15.75" customHeight="1" x14ac:dyDescent="0.25">
      <c r="A1988" s="1" t="s">
        <v>5319</v>
      </c>
      <c r="B1988" s="1" t="s">
        <v>8218</v>
      </c>
      <c r="C1988" s="1" t="s">
        <v>5796</v>
      </c>
    </row>
    <row r="1989" spans="1:3" ht="15.75" customHeight="1" x14ac:dyDescent="0.25">
      <c r="A1989" s="1" t="s">
        <v>8217</v>
      </c>
      <c r="B1989" s="1" t="s">
        <v>8216</v>
      </c>
      <c r="C1989" s="1" t="s">
        <v>6242</v>
      </c>
    </row>
    <row r="1990" spans="1:3" ht="15.75" customHeight="1" x14ac:dyDescent="0.25">
      <c r="A1990" s="1" t="s">
        <v>8215</v>
      </c>
      <c r="B1990" s="1" t="s">
        <v>8214</v>
      </c>
      <c r="C1990" s="1" t="s">
        <v>6122</v>
      </c>
    </row>
    <row r="1991" spans="1:3" ht="15.75" customHeight="1" x14ac:dyDescent="0.25">
      <c r="A1991" s="1" t="s">
        <v>8213</v>
      </c>
      <c r="B1991" s="1" t="s">
        <v>8212</v>
      </c>
      <c r="C1991" s="1" t="s">
        <v>6797</v>
      </c>
    </row>
    <row r="1992" spans="1:3" ht="15.75" customHeight="1" x14ac:dyDescent="0.25">
      <c r="A1992" s="1" t="s">
        <v>8211</v>
      </c>
      <c r="B1992" s="1" t="s">
        <v>8210</v>
      </c>
      <c r="C1992" s="1" t="s">
        <v>5811</v>
      </c>
    </row>
    <row r="1993" spans="1:3" ht="15.75" customHeight="1" x14ac:dyDescent="0.25">
      <c r="A1993" s="1" t="s">
        <v>2954</v>
      </c>
      <c r="B1993" s="1" t="s">
        <v>8209</v>
      </c>
      <c r="C1993" s="1" t="s">
        <v>5796</v>
      </c>
    </row>
    <row r="1994" spans="1:3" ht="15.75" customHeight="1" x14ac:dyDescent="0.25">
      <c r="A1994" s="1" t="s">
        <v>1582</v>
      </c>
      <c r="B1994" s="1" t="s">
        <v>8208</v>
      </c>
      <c r="C1994" s="1" t="s">
        <v>6295</v>
      </c>
    </row>
    <row r="1995" spans="1:3" ht="15.75" customHeight="1" x14ac:dyDescent="0.25">
      <c r="A1995" s="1" t="s">
        <v>4225</v>
      </c>
      <c r="B1995" s="1" t="s">
        <v>8207</v>
      </c>
      <c r="C1995" s="1" t="s">
        <v>6626</v>
      </c>
    </row>
    <row r="1996" spans="1:3" ht="15.75" customHeight="1" x14ac:dyDescent="0.25">
      <c r="A1996" s="1" t="s">
        <v>2704</v>
      </c>
      <c r="B1996" s="1" t="s">
        <v>8206</v>
      </c>
      <c r="C1996" s="1" t="s">
        <v>6122</v>
      </c>
    </row>
    <row r="1997" spans="1:3" ht="15.75" customHeight="1" x14ac:dyDescent="0.25">
      <c r="A1997" s="1" t="s">
        <v>2633</v>
      </c>
      <c r="B1997" s="1" t="s">
        <v>8205</v>
      </c>
      <c r="C1997" s="1" t="s">
        <v>5791</v>
      </c>
    </row>
    <row r="1998" spans="1:3" ht="15.75" customHeight="1" x14ac:dyDescent="0.25">
      <c r="A1998" s="1" t="s">
        <v>4032</v>
      </c>
      <c r="B1998" s="1" t="s">
        <v>8204</v>
      </c>
      <c r="C1998" s="1" t="s">
        <v>8203</v>
      </c>
    </row>
    <row r="1999" spans="1:3" ht="15.75" customHeight="1" x14ac:dyDescent="0.25">
      <c r="A1999" s="1" t="s">
        <v>8202</v>
      </c>
      <c r="B1999" s="1" t="s">
        <v>8201</v>
      </c>
      <c r="C1999" s="1" t="s">
        <v>6122</v>
      </c>
    </row>
    <row r="2000" spans="1:3" ht="15.75" customHeight="1" x14ac:dyDescent="0.25">
      <c r="A2000" s="1" t="s">
        <v>3974</v>
      </c>
      <c r="B2000" s="1" t="s">
        <v>8200</v>
      </c>
      <c r="C2000" s="1" t="s">
        <v>5824</v>
      </c>
    </row>
    <row r="2001" spans="1:3" ht="15.75" customHeight="1" x14ac:dyDescent="0.25">
      <c r="A2001" s="1" t="s">
        <v>3541</v>
      </c>
      <c r="B2001" s="1" t="s">
        <v>8199</v>
      </c>
      <c r="C2001" s="1" t="s">
        <v>5824</v>
      </c>
    </row>
    <row r="2002" spans="1:3" ht="15.75" customHeight="1" x14ac:dyDescent="0.25">
      <c r="A2002" s="1" t="s">
        <v>4243</v>
      </c>
      <c r="B2002" s="1" t="s">
        <v>8198</v>
      </c>
      <c r="C2002" s="1" t="s">
        <v>8197</v>
      </c>
    </row>
    <row r="2003" spans="1:3" ht="15.75" customHeight="1" x14ac:dyDescent="0.25">
      <c r="A2003" s="1" t="s">
        <v>4015</v>
      </c>
      <c r="B2003" s="1" t="s">
        <v>8196</v>
      </c>
      <c r="C2003" s="1" t="s">
        <v>6530</v>
      </c>
    </row>
    <row r="2004" spans="1:3" ht="15.75" customHeight="1" x14ac:dyDescent="0.25">
      <c r="A2004" s="1" t="s">
        <v>8195</v>
      </c>
      <c r="B2004" s="1" t="s">
        <v>8194</v>
      </c>
      <c r="C2004" s="1" t="s">
        <v>5853</v>
      </c>
    </row>
    <row r="2005" spans="1:3" ht="15.75" customHeight="1" x14ac:dyDescent="0.25">
      <c r="A2005" s="1" t="s">
        <v>2838</v>
      </c>
      <c r="B2005" s="1" t="s">
        <v>8193</v>
      </c>
      <c r="C2005" s="1" t="s">
        <v>6640</v>
      </c>
    </row>
    <row r="2006" spans="1:3" ht="15.75" customHeight="1" x14ac:dyDescent="0.25">
      <c r="A2006" s="1" t="s">
        <v>8192</v>
      </c>
      <c r="B2006" s="1" t="s">
        <v>8191</v>
      </c>
      <c r="C2006" s="1" t="s">
        <v>6530</v>
      </c>
    </row>
    <row r="2007" spans="1:3" ht="15.75" customHeight="1" x14ac:dyDescent="0.25">
      <c r="A2007" s="1" t="s">
        <v>145</v>
      </c>
      <c r="B2007" s="1" t="s">
        <v>6917</v>
      </c>
      <c r="C2007" s="1" t="s">
        <v>8190</v>
      </c>
    </row>
    <row r="2008" spans="1:3" ht="15.75" customHeight="1" x14ac:dyDescent="0.25">
      <c r="A2008" s="1" t="s">
        <v>8189</v>
      </c>
      <c r="B2008" s="1" t="s">
        <v>8188</v>
      </c>
      <c r="C2008" s="1" t="s">
        <v>5809</v>
      </c>
    </row>
    <row r="2009" spans="1:3" ht="15.75" customHeight="1" x14ac:dyDescent="0.25">
      <c r="A2009" s="1" t="s">
        <v>3876</v>
      </c>
      <c r="B2009" s="1" t="s">
        <v>8187</v>
      </c>
      <c r="C2009" s="1" t="s">
        <v>6122</v>
      </c>
    </row>
    <row r="2010" spans="1:3" ht="15.75" customHeight="1" x14ac:dyDescent="0.25">
      <c r="A2010" s="1" t="s">
        <v>2874</v>
      </c>
      <c r="B2010" s="1" t="s">
        <v>8186</v>
      </c>
      <c r="C2010" s="1" t="s">
        <v>5824</v>
      </c>
    </row>
    <row r="2011" spans="1:3" ht="15.75" customHeight="1" x14ac:dyDescent="0.25">
      <c r="A2011" s="1" t="s">
        <v>8185</v>
      </c>
      <c r="B2011" s="1" t="s">
        <v>8184</v>
      </c>
      <c r="C2011" s="1" t="s">
        <v>6797</v>
      </c>
    </row>
    <row r="2012" spans="1:3" ht="15.75" customHeight="1" x14ac:dyDescent="0.25">
      <c r="A2012" s="1" t="s">
        <v>5202</v>
      </c>
      <c r="B2012" s="1" t="s">
        <v>7677</v>
      </c>
      <c r="C2012" s="1" t="s">
        <v>8183</v>
      </c>
    </row>
    <row r="2013" spans="1:3" ht="15.75" customHeight="1" x14ac:dyDescent="0.25">
      <c r="A2013" s="1" t="s">
        <v>3425</v>
      </c>
      <c r="B2013" s="1" t="s">
        <v>8182</v>
      </c>
      <c r="C2013" s="1" t="s">
        <v>5796</v>
      </c>
    </row>
    <row r="2014" spans="1:3" ht="15.75" customHeight="1" x14ac:dyDescent="0.25">
      <c r="A2014" s="1" t="s">
        <v>8181</v>
      </c>
      <c r="B2014" s="1" t="s">
        <v>8180</v>
      </c>
      <c r="C2014" s="1" t="s">
        <v>5811</v>
      </c>
    </row>
    <row r="2015" spans="1:3" ht="15.75" customHeight="1" x14ac:dyDescent="0.25">
      <c r="A2015" s="1" t="s">
        <v>4673</v>
      </c>
      <c r="B2015" s="1" t="s">
        <v>8179</v>
      </c>
      <c r="C2015" s="1" t="s">
        <v>7276</v>
      </c>
    </row>
    <row r="2016" spans="1:3" ht="15.75" customHeight="1" x14ac:dyDescent="0.25">
      <c r="A2016" s="1" t="s">
        <v>8178</v>
      </c>
      <c r="B2016" s="1" t="s">
        <v>8177</v>
      </c>
      <c r="C2016" s="1" t="s">
        <v>6276</v>
      </c>
    </row>
    <row r="2017" spans="1:3" ht="15.75" customHeight="1" x14ac:dyDescent="0.25">
      <c r="A2017" s="1" t="s">
        <v>8176</v>
      </c>
      <c r="B2017" s="1" t="s">
        <v>8175</v>
      </c>
      <c r="C2017" s="1" t="s">
        <v>6642</v>
      </c>
    </row>
    <row r="2018" spans="1:3" ht="15.75" customHeight="1" x14ac:dyDescent="0.25">
      <c r="A2018" s="1" t="s">
        <v>8174</v>
      </c>
      <c r="B2018" s="1" t="s">
        <v>8173</v>
      </c>
      <c r="C2018" s="1" t="s">
        <v>6763</v>
      </c>
    </row>
    <row r="2019" spans="1:3" ht="15.75" customHeight="1" x14ac:dyDescent="0.25">
      <c r="A2019" s="1" t="s">
        <v>928</v>
      </c>
      <c r="B2019" s="1" t="s">
        <v>8172</v>
      </c>
      <c r="C2019" s="1" t="s">
        <v>6795</v>
      </c>
    </row>
    <row r="2020" spans="1:3" ht="15.75" customHeight="1" x14ac:dyDescent="0.25">
      <c r="A2020" s="1" t="s">
        <v>8171</v>
      </c>
      <c r="B2020" s="1" t="s">
        <v>8170</v>
      </c>
      <c r="C2020" s="1" t="s">
        <v>6755</v>
      </c>
    </row>
    <row r="2021" spans="1:3" ht="15.75" customHeight="1" x14ac:dyDescent="0.25">
      <c r="A2021" s="1" t="s">
        <v>5302</v>
      </c>
      <c r="B2021" s="1" t="s">
        <v>5912</v>
      </c>
      <c r="C2021" s="1" t="s">
        <v>5853</v>
      </c>
    </row>
    <row r="2022" spans="1:3" ht="15.75" customHeight="1" x14ac:dyDescent="0.25">
      <c r="A2022" s="1" t="s">
        <v>8169</v>
      </c>
      <c r="B2022" s="1" t="s">
        <v>8168</v>
      </c>
      <c r="C2022" s="1" t="s">
        <v>6242</v>
      </c>
    </row>
    <row r="2023" spans="1:3" ht="15.75" customHeight="1" x14ac:dyDescent="0.25">
      <c r="A2023" s="1" t="s">
        <v>8167</v>
      </c>
      <c r="B2023" s="1" t="s">
        <v>8166</v>
      </c>
      <c r="C2023" s="1" t="s">
        <v>6242</v>
      </c>
    </row>
    <row r="2024" spans="1:3" ht="15.75" customHeight="1" x14ac:dyDescent="0.25">
      <c r="A2024" s="1" t="s">
        <v>8165</v>
      </c>
      <c r="B2024" s="1" t="s">
        <v>8164</v>
      </c>
      <c r="C2024" s="1" t="s">
        <v>6242</v>
      </c>
    </row>
    <row r="2025" spans="1:3" ht="15.75" customHeight="1" x14ac:dyDescent="0.25">
      <c r="A2025" s="1" t="s">
        <v>8163</v>
      </c>
      <c r="B2025" s="1" t="s">
        <v>8162</v>
      </c>
      <c r="C2025" s="1" t="s">
        <v>5860</v>
      </c>
    </row>
    <row r="2026" spans="1:3" ht="15.75" customHeight="1" x14ac:dyDescent="0.25">
      <c r="A2026" s="1" t="s">
        <v>3813</v>
      </c>
      <c r="B2026" s="1" t="s">
        <v>8161</v>
      </c>
      <c r="C2026" s="1" t="s">
        <v>6122</v>
      </c>
    </row>
    <row r="2027" spans="1:3" ht="15.75" customHeight="1" x14ac:dyDescent="0.25">
      <c r="A2027" s="1" t="s">
        <v>3315</v>
      </c>
      <c r="B2027" s="1" t="s">
        <v>8160</v>
      </c>
      <c r="C2027" s="1" t="s">
        <v>6651</v>
      </c>
    </row>
    <row r="2028" spans="1:3" ht="15.75" customHeight="1" x14ac:dyDescent="0.25">
      <c r="A2028" s="1" t="s">
        <v>8159</v>
      </c>
      <c r="B2028" s="1" t="s">
        <v>8158</v>
      </c>
      <c r="C2028" s="1" t="s">
        <v>5781</v>
      </c>
    </row>
    <row r="2029" spans="1:3" ht="15.75" customHeight="1" x14ac:dyDescent="0.25">
      <c r="A2029" s="1" t="s">
        <v>8157</v>
      </c>
      <c r="B2029" s="1" t="s">
        <v>8156</v>
      </c>
      <c r="C2029" s="1" t="s">
        <v>6122</v>
      </c>
    </row>
    <row r="2030" spans="1:3" ht="15.75" customHeight="1" x14ac:dyDescent="0.25">
      <c r="A2030" s="1" t="s">
        <v>4479</v>
      </c>
      <c r="B2030" s="1" t="s">
        <v>8155</v>
      </c>
      <c r="C2030" s="1" t="s">
        <v>6850</v>
      </c>
    </row>
    <row r="2031" spans="1:3" ht="15.75" customHeight="1" x14ac:dyDescent="0.25">
      <c r="A2031" s="1" t="s">
        <v>3937</v>
      </c>
      <c r="B2031" s="1" t="s">
        <v>8154</v>
      </c>
      <c r="C2031" s="1" t="s">
        <v>6530</v>
      </c>
    </row>
    <row r="2032" spans="1:3" ht="15.75" customHeight="1" x14ac:dyDescent="0.25">
      <c r="A2032" s="1" t="s">
        <v>8153</v>
      </c>
      <c r="B2032" s="1" t="s">
        <v>8152</v>
      </c>
      <c r="C2032" s="1" t="s">
        <v>8151</v>
      </c>
    </row>
    <row r="2033" spans="1:3" ht="15.75" customHeight="1" x14ac:dyDescent="0.25">
      <c r="A2033" s="1" t="s">
        <v>1284</v>
      </c>
      <c r="B2033" s="1" t="s">
        <v>8150</v>
      </c>
      <c r="C2033" s="1" t="s">
        <v>6901</v>
      </c>
    </row>
    <row r="2034" spans="1:3" ht="15.75" customHeight="1" x14ac:dyDescent="0.25">
      <c r="A2034" s="1" t="s">
        <v>8149</v>
      </c>
      <c r="B2034" s="1" t="s">
        <v>8148</v>
      </c>
      <c r="C2034" s="1" t="s">
        <v>6122</v>
      </c>
    </row>
    <row r="2035" spans="1:3" ht="15.75" customHeight="1" x14ac:dyDescent="0.25">
      <c r="A2035" s="1" t="s">
        <v>8147</v>
      </c>
      <c r="B2035" s="1" t="s">
        <v>8146</v>
      </c>
      <c r="C2035" s="1" t="s">
        <v>6602</v>
      </c>
    </row>
    <row r="2036" spans="1:3" ht="15.75" customHeight="1" x14ac:dyDescent="0.25">
      <c r="A2036" s="1" t="s">
        <v>8145</v>
      </c>
      <c r="B2036" s="1" t="s">
        <v>8144</v>
      </c>
      <c r="C2036" s="1" t="s">
        <v>6937</v>
      </c>
    </row>
    <row r="2037" spans="1:3" ht="15.75" customHeight="1" x14ac:dyDescent="0.25">
      <c r="A2037" s="1" t="s">
        <v>2276</v>
      </c>
      <c r="B2037" s="1" t="s">
        <v>8143</v>
      </c>
      <c r="C2037" s="1" t="s">
        <v>7276</v>
      </c>
    </row>
    <row r="2038" spans="1:3" ht="15.75" customHeight="1" x14ac:dyDescent="0.25">
      <c r="A2038" s="1" t="s">
        <v>3501</v>
      </c>
      <c r="B2038" s="1" t="s">
        <v>8142</v>
      </c>
      <c r="C2038" s="1" t="s">
        <v>7374</v>
      </c>
    </row>
    <row r="2039" spans="1:3" ht="15.75" customHeight="1" x14ac:dyDescent="0.25">
      <c r="A2039" s="1" t="s">
        <v>5563</v>
      </c>
      <c r="B2039" s="1" t="s">
        <v>8141</v>
      </c>
      <c r="C2039" s="1" t="s">
        <v>6714</v>
      </c>
    </row>
    <row r="2040" spans="1:3" ht="15.75" customHeight="1" x14ac:dyDescent="0.25">
      <c r="A2040" s="1" t="s">
        <v>4060</v>
      </c>
      <c r="B2040" s="1" t="s">
        <v>8140</v>
      </c>
      <c r="C2040" s="1" t="s">
        <v>5836</v>
      </c>
    </row>
    <row r="2041" spans="1:3" ht="15.75" customHeight="1" x14ac:dyDescent="0.25">
      <c r="A2041" s="1" t="s">
        <v>8139</v>
      </c>
      <c r="B2041" s="1" t="s">
        <v>8138</v>
      </c>
      <c r="C2041" s="1" t="s">
        <v>5811</v>
      </c>
    </row>
    <row r="2042" spans="1:3" ht="15.75" customHeight="1" x14ac:dyDescent="0.25">
      <c r="A2042" s="1" t="s">
        <v>4285</v>
      </c>
      <c r="B2042" s="1" t="s">
        <v>8137</v>
      </c>
      <c r="C2042" s="1" t="s">
        <v>6168</v>
      </c>
    </row>
    <row r="2043" spans="1:3" ht="15.75" customHeight="1" x14ac:dyDescent="0.25">
      <c r="A2043" s="1" t="s">
        <v>8136</v>
      </c>
      <c r="B2043" s="1" t="s">
        <v>8135</v>
      </c>
      <c r="C2043" s="1" t="s">
        <v>6242</v>
      </c>
    </row>
    <row r="2044" spans="1:3" ht="15.75" customHeight="1" x14ac:dyDescent="0.25">
      <c r="A2044" s="1" t="s">
        <v>8134</v>
      </c>
      <c r="B2044" s="1" t="s">
        <v>8133</v>
      </c>
      <c r="C2044" s="1" t="s">
        <v>7801</v>
      </c>
    </row>
    <row r="2045" spans="1:3" ht="15.75" customHeight="1" x14ac:dyDescent="0.25">
      <c r="A2045" s="1" t="s">
        <v>8132</v>
      </c>
      <c r="B2045" s="1" t="s">
        <v>8131</v>
      </c>
      <c r="C2045" s="1" t="s">
        <v>6929</v>
      </c>
    </row>
    <row r="2046" spans="1:3" ht="15.75" customHeight="1" x14ac:dyDescent="0.25">
      <c r="A2046" s="1" t="s">
        <v>4985</v>
      </c>
      <c r="B2046" s="1" t="s">
        <v>8130</v>
      </c>
      <c r="C2046" s="1" t="s">
        <v>6886</v>
      </c>
    </row>
    <row r="2047" spans="1:3" ht="15.75" customHeight="1" x14ac:dyDescent="0.25">
      <c r="A2047" s="1" t="s">
        <v>976</v>
      </c>
      <c r="B2047" s="1" t="s">
        <v>8129</v>
      </c>
      <c r="C2047" s="1" t="s">
        <v>5789</v>
      </c>
    </row>
    <row r="2048" spans="1:3" ht="15.75" customHeight="1" x14ac:dyDescent="0.25">
      <c r="A2048" s="1" t="s">
        <v>2616</v>
      </c>
      <c r="B2048" s="1" t="s">
        <v>8128</v>
      </c>
      <c r="C2048" s="1" t="s">
        <v>6640</v>
      </c>
    </row>
    <row r="2049" spans="1:3" ht="15.75" customHeight="1" x14ac:dyDescent="0.25">
      <c r="A2049" s="1" t="s">
        <v>8127</v>
      </c>
      <c r="B2049" s="1" t="s">
        <v>8126</v>
      </c>
      <c r="C2049" s="1" t="s">
        <v>6741</v>
      </c>
    </row>
    <row r="2050" spans="1:3" ht="15.75" customHeight="1" x14ac:dyDescent="0.25">
      <c r="A2050" s="1" t="s">
        <v>8125</v>
      </c>
      <c r="B2050" s="1" t="s">
        <v>8059</v>
      </c>
      <c r="C2050" s="1" t="s">
        <v>8091</v>
      </c>
    </row>
    <row r="2051" spans="1:3" ht="15.75" customHeight="1" x14ac:dyDescent="0.25">
      <c r="A2051" s="1" t="s">
        <v>5345</v>
      </c>
      <c r="B2051" s="1" t="s">
        <v>8124</v>
      </c>
      <c r="C2051" s="1" t="s">
        <v>7986</v>
      </c>
    </row>
    <row r="2052" spans="1:3" ht="15.75" customHeight="1" x14ac:dyDescent="0.25">
      <c r="A2052" s="1" t="s">
        <v>2516</v>
      </c>
      <c r="B2052" s="1" t="s">
        <v>8123</v>
      </c>
      <c r="C2052" s="1" t="s">
        <v>6168</v>
      </c>
    </row>
    <row r="2053" spans="1:3" ht="15.75" customHeight="1" x14ac:dyDescent="0.25">
      <c r="A2053" s="1" t="s">
        <v>8122</v>
      </c>
      <c r="B2053" s="1" t="s">
        <v>8121</v>
      </c>
      <c r="C2053" s="1" t="s">
        <v>6892</v>
      </c>
    </row>
    <row r="2054" spans="1:3" ht="15.75" customHeight="1" x14ac:dyDescent="0.25">
      <c r="A2054" s="1" t="s">
        <v>1553</v>
      </c>
      <c r="B2054" s="1" t="s">
        <v>8120</v>
      </c>
      <c r="C2054" s="1" t="s">
        <v>7070</v>
      </c>
    </row>
    <row r="2055" spans="1:3" ht="15.75" customHeight="1" x14ac:dyDescent="0.25">
      <c r="A2055" s="1" t="s">
        <v>3271</v>
      </c>
      <c r="B2055" s="1" t="s">
        <v>8119</v>
      </c>
      <c r="C2055" s="1" t="s">
        <v>6122</v>
      </c>
    </row>
    <row r="2056" spans="1:3" ht="15.75" customHeight="1" x14ac:dyDescent="0.25">
      <c r="A2056" s="1" t="s">
        <v>2203</v>
      </c>
      <c r="B2056" s="1" t="s">
        <v>8118</v>
      </c>
      <c r="C2056" s="1" t="s">
        <v>8117</v>
      </c>
    </row>
    <row r="2057" spans="1:3" ht="15.75" customHeight="1" x14ac:dyDescent="0.25">
      <c r="A2057" s="1" t="s">
        <v>8116</v>
      </c>
      <c r="B2057" s="1" t="s">
        <v>8115</v>
      </c>
      <c r="C2057" s="1" t="s">
        <v>6122</v>
      </c>
    </row>
    <row r="2058" spans="1:3" ht="15.75" customHeight="1" x14ac:dyDescent="0.25">
      <c r="A2058" s="1" t="s">
        <v>8114</v>
      </c>
      <c r="B2058" s="1" t="s">
        <v>8113</v>
      </c>
      <c r="C2058" s="1" t="s">
        <v>6168</v>
      </c>
    </row>
    <row r="2059" spans="1:3" ht="15.75" customHeight="1" x14ac:dyDescent="0.25">
      <c r="A2059" s="1" t="s">
        <v>8112</v>
      </c>
      <c r="B2059" s="1" t="s">
        <v>8111</v>
      </c>
      <c r="C2059" s="1" t="s">
        <v>6168</v>
      </c>
    </row>
    <row r="2060" spans="1:3" ht="15.75" customHeight="1" x14ac:dyDescent="0.25">
      <c r="A2060" s="1" t="s">
        <v>4943</v>
      </c>
      <c r="B2060" s="1" t="s">
        <v>8110</v>
      </c>
      <c r="C2060" s="1" t="s">
        <v>6168</v>
      </c>
    </row>
    <row r="2061" spans="1:3" ht="15.75" customHeight="1" x14ac:dyDescent="0.25">
      <c r="A2061" s="1" t="s">
        <v>143</v>
      </c>
      <c r="B2061" s="1" t="s">
        <v>141</v>
      </c>
      <c r="C2061" s="1" t="s">
        <v>6168</v>
      </c>
    </row>
    <row r="2062" spans="1:3" ht="15.75" customHeight="1" x14ac:dyDescent="0.25">
      <c r="A2062" s="1" t="s">
        <v>5217</v>
      </c>
      <c r="B2062" s="1" t="s">
        <v>8109</v>
      </c>
      <c r="C2062" s="1" t="s">
        <v>6614</v>
      </c>
    </row>
    <row r="2063" spans="1:3" ht="15.75" customHeight="1" x14ac:dyDescent="0.25">
      <c r="A2063" s="1" t="s">
        <v>3757</v>
      </c>
      <c r="B2063" s="1" t="s">
        <v>348</v>
      </c>
      <c r="C2063" s="1" t="s">
        <v>8108</v>
      </c>
    </row>
    <row r="2064" spans="1:3" ht="15.75" customHeight="1" x14ac:dyDescent="0.25">
      <c r="A2064" s="1" t="s">
        <v>8107</v>
      </c>
      <c r="B2064" s="1" t="s">
        <v>8106</v>
      </c>
      <c r="C2064" s="1" t="s">
        <v>6168</v>
      </c>
    </row>
    <row r="2065" spans="1:3" ht="15.75" customHeight="1" x14ac:dyDescent="0.25">
      <c r="A2065" s="1" t="s">
        <v>8105</v>
      </c>
      <c r="B2065" s="1" t="s">
        <v>8104</v>
      </c>
      <c r="C2065" s="1" t="s">
        <v>5811</v>
      </c>
    </row>
    <row r="2066" spans="1:3" ht="15.75" customHeight="1" x14ac:dyDescent="0.25">
      <c r="A2066" s="1" t="s">
        <v>8103</v>
      </c>
      <c r="B2066" s="1" t="s">
        <v>8102</v>
      </c>
      <c r="C2066" s="1" t="s">
        <v>8101</v>
      </c>
    </row>
    <row r="2067" spans="1:3" ht="15.75" customHeight="1" x14ac:dyDescent="0.25">
      <c r="A2067" s="1" t="s">
        <v>8100</v>
      </c>
      <c r="B2067" s="1" t="s">
        <v>8099</v>
      </c>
      <c r="C2067" s="1" t="s">
        <v>6276</v>
      </c>
    </row>
    <row r="2068" spans="1:3" ht="15.75" customHeight="1" x14ac:dyDescent="0.25">
      <c r="A2068" s="1" t="s">
        <v>8098</v>
      </c>
      <c r="B2068" s="1" t="s">
        <v>8097</v>
      </c>
      <c r="C2068" s="1" t="s">
        <v>6493</v>
      </c>
    </row>
    <row r="2069" spans="1:3" ht="15.75" customHeight="1" x14ac:dyDescent="0.25">
      <c r="A2069" s="1" t="s">
        <v>4873</v>
      </c>
      <c r="B2069" s="1" t="s">
        <v>8096</v>
      </c>
      <c r="C2069" s="1" t="s">
        <v>6665</v>
      </c>
    </row>
    <row r="2070" spans="1:3" ht="15.75" customHeight="1" x14ac:dyDescent="0.25">
      <c r="A2070" s="1" t="s">
        <v>8095</v>
      </c>
      <c r="B2070" s="1" t="s">
        <v>8094</v>
      </c>
      <c r="C2070" s="1" t="s">
        <v>5860</v>
      </c>
    </row>
    <row r="2071" spans="1:3" ht="15.75" customHeight="1" x14ac:dyDescent="0.25">
      <c r="A2071" s="1" t="s">
        <v>2447</v>
      </c>
      <c r="B2071" s="1" t="s">
        <v>8093</v>
      </c>
      <c r="C2071" s="1" t="s">
        <v>6479</v>
      </c>
    </row>
    <row r="2072" spans="1:3" ht="15.75" customHeight="1" x14ac:dyDescent="0.25">
      <c r="A2072" s="1" t="s">
        <v>5293</v>
      </c>
      <c r="B2072" s="1" t="s">
        <v>8092</v>
      </c>
      <c r="C2072" s="1" t="s">
        <v>8091</v>
      </c>
    </row>
    <row r="2073" spans="1:3" ht="15.75" customHeight="1" x14ac:dyDescent="0.25">
      <c r="A2073" s="1" t="s">
        <v>8090</v>
      </c>
      <c r="B2073" s="1" t="s">
        <v>8089</v>
      </c>
      <c r="C2073" s="1" t="s">
        <v>7213</v>
      </c>
    </row>
    <row r="2074" spans="1:3" ht="15.75" customHeight="1" x14ac:dyDescent="0.25">
      <c r="A2074" s="1" t="s">
        <v>8088</v>
      </c>
      <c r="B2074" s="1" t="s">
        <v>8087</v>
      </c>
      <c r="C2074" s="1" t="s">
        <v>6493</v>
      </c>
    </row>
    <row r="2075" spans="1:3" ht="15.75" customHeight="1" x14ac:dyDescent="0.25">
      <c r="A2075" s="1" t="s">
        <v>2797</v>
      </c>
      <c r="B2075" s="1" t="s">
        <v>8086</v>
      </c>
      <c r="C2075" s="1" t="s">
        <v>6242</v>
      </c>
    </row>
    <row r="2076" spans="1:3" ht="15.75" customHeight="1" x14ac:dyDescent="0.25">
      <c r="A2076" s="1" t="s">
        <v>8085</v>
      </c>
      <c r="B2076" s="1" t="s">
        <v>8084</v>
      </c>
      <c r="C2076" s="1" t="s">
        <v>5893</v>
      </c>
    </row>
    <row r="2077" spans="1:3" ht="15.75" customHeight="1" x14ac:dyDescent="0.25">
      <c r="A2077" s="1" t="s">
        <v>658</v>
      </c>
      <c r="B2077" s="1" t="s">
        <v>8083</v>
      </c>
      <c r="C2077" s="1" t="s">
        <v>8082</v>
      </c>
    </row>
    <row r="2078" spans="1:3" ht="15.75" customHeight="1" x14ac:dyDescent="0.25">
      <c r="A2078" s="1" t="s">
        <v>1890</v>
      </c>
      <c r="B2078" s="1" t="s">
        <v>8081</v>
      </c>
      <c r="C2078" s="1" t="s">
        <v>6991</v>
      </c>
    </row>
    <row r="2079" spans="1:3" ht="15.75" customHeight="1" x14ac:dyDescent="0.25">
      <c r="A2079" s="1" t="s">
        <v>5436</v>
      </c>
      <c r="B2079" s="1" t="s">
        <v>8080</v>
      </c>
      <c r="C2079" s="1" t="s">
        <v>6122</v>
      </c>
    </row>
    <row r="2080" spans="1:3" ht="15.75" customHeight="1" x14ac:dyDescent="0.25">
      <c r="A2080" s="1" t="s">
        <v>1465</v>
      </c>
      <c r="B2080" s="1" t="s">
        <v>8079</v>
      </c>
      <c r="C2080" s="1" t="s">
        <v>6493</v>
      </c>
    </row>
    <row r="2081" spans="1:3" ht="15.75" customHeight="1" x14ac:dyDescent="0.25">
      <c r="A2081" s="1" t="s">
        <v>8078</v>
      </c>
      <c r="B2081" s="1" t="s">
        <v>8077</v>
      </c>
      <c r="C2081" s="1" t="s">
        <v>6276</v>
      </c>
    </row>
    <row r="2082" spans="1:3" ht="15.75" customHeight="1" x14ac:dyDescent="0.25">
      <c r="A2082" s="1" t="s">
        <v>8076</v>
      </c>
      <c r="B2082" s="1" t="s">
        <v>8075</v>
      </c>
      <c r="C2082" s="1" t="s">
        <v>5811</v>
      </c>
    </row>
    <row r="2083" spans="1:3" ht="15.75" customHeight="1" x14ac:dyDescent="0.25">
      <c r="A2083" s="1" t="s">
        <v>5341</v>
      </c>
      <c r="B2083" s="1" t="s">
        <v>8074</v>
      </c>
      <c r="C2083" s="1" t="s">
        <v>6714</v>
      </c>
    </row>
    <row r="2084" spans="1:3" ht="15.75" customHeight="1" x14ac:dyDescent="0.25">
      <c r="A2084" s="1" t="s">
        <v>8073</v>
      </c>
      <c r="B2084" s="1" t="s">
        <v>8072</v>
      </c>
      <c r="C2084" s="1" t="s">
        <v>7860</v>
      </c>
    </row>
    <row r="2085" spans="1:3" ht="15.75" customHeight="1" x14ac:dyDescent="0.25">
      <c r="A2085" s="1" t="s">
        <v>8071</v>
      </c>
      <c r="B2085" s="1" t="s">
        <v>8070</v>
      </c>
      <c r="C2085" s="1" t="s">
        <v>6242</v>
      </c>
    </row>
    <row r="2086" spans="1:3" ht="15.75" customHeight="1" x14ac:dyDescent="0.25">
      <c r="A2086" s="1" t="s">
        <v>5388</v>
      </c>
      <c r="B2086" s="1" t="s">
        <v>8069</v>
      </c>
      <c r="C2086" s="1" t="s">
        <v>6276</v>
      </c>
    </row>
    <row r="2087" spans="1:3" ht="15.75" customHeight="1" x14ac:dyDescent="0.25">
      <c r="A2087" s="1" t="s">
        <v>8068</v>
      </c>
      <c r="B2087" s="1" t="s">
        <v>8067</v>
      </c>
      <c r="C2087" s="1" t="s">
        <v>6602</v>
      </c>
    </row>
    <row r="2088" spans="1:3" ht="15.75" customHeight="1" x14ac:dyDescent="0.25">
      <c r="A2088" s="1" t="s">
        <v>5321</v>
      </c>
      <c r="B2088" s="1" t="s">
        <v>8066</v>
      </c>
      <c r="C2088" s="1" t="s">
        <v>7195</v>
      </c>
    </row>
    <row r="2089" spans="1:3" ht="15.75" customHeight="1" x14ac:dyDescent="0.25">
      <c r="A2089" s="1" t="s">
        <v>8065</v>
      </c>
      <c r="B2089" s="1" t="s">
        <v>8064</v>
      </c>
      <c r="C2089" s="1" t="s">
        <v>6486</v>
      </c>
    </row>
    <row r="2090" spans="1:3" ht="15.75" customHeight="1" x14ac:dyDescent="0.25">
      <c r="A2090" s="1" t="s">
        <v>2415</v>
      </c>
      <c r="B2090" s="1" t="s">
        <v>8063</v>
      </c>
      <c r="C2090" s="1" t="s">
        <v>8062</v>
      </c>
    </row>
    <row r="2091" spans="1:3" ht="15.75" customHeight="1" x14ac:dyDescent="0.25">
      <c r="A2091" s="1" t="s">
        <v>5762</v>
      </c>
      <c r="B2091" s="1" t="s">
        <v>8061</v>
      </c>
      <c r="C2091" s="1" t="s">
        <v>8060</v>
      </c>
    </row>
    <row r="2092" spans="1:3" ht="15.75" customHeight="1" x14ac:dyDescent="0.25">
      <c r="A2092" s="1" t="s">
        <v>5229</v>
      </c>
      <c r="B2092" s="1" t="s">
        <v>8059</v>
      </c>
      <c r="C2092" s="1" t="s">
        <v>7446</v>
      </c>
    </row>
    <row r="2093" spans="1:3" ht="15.75" customHeight="1" x14ac:dyDescent="0.25">
      <c r="A2093" s="1" t="s">
        <v>8058</v>
      </c>
      <c r="B2093" s="1" t="s">
        <v>7969</v>
      </c>
      <c r="C2093" s="1" t="s">
        <v>8057</v>
      </c>
    </row>
    <row r="2094" spans="1:3" ht="15.75" customHeight="1" x14ac:dyDescent="0.25">
      <c r="A2094" s="1" t="s">
        <v>8056</v>
      </c>
      <c r="B2094" s="1" t="s">
        <v>8055</v>
      </c>
      <c r="C2094" s="1" t="s">
        <v>7720</v>
      </c>
    </row>
    <row r="2095" spans="1:3" ht="15.75" customHeight="1" x14ac:dyDescent="0.25">
      <c r="A2095" s="1" t="s">
        <v>5123</v>
      </c>
      <c r="B2095" s="1" t="s">
        <v>8054</v>
      </c>
      <c r="C2095" s="1" t="s">
        <v>6626</v>
      </c>
    </row>
    <row r="2096" spans="1:3" ht="15.75" customHeight="1" x14ac:dyDescent="0.25">
      <c r="A2096" s="1" t="s">
        <v>8053</v>
      </c>
      <c r="B2096" s="1" t="s">
        <v>8052</v>
      </c>
      <c r="C2096" s="1" t="s">
        <v>8051</v>
      </c>
    </row>
    <row r="2097" spans="1:3" ht="15.75" customHeight="1" x14ac:dyDescent="0.25">
      <c r="A2097" s="1" t="s">
        <v>4636</v>
      </c>
      <c r="B2097" s="1" t="s">
        <v>8050</v>
      </c>
      <c r="C2097" s="1" t="s">
        <v>7070</v>
      </c>
    </row>
    <row r="2098" spans="1:3" ht="15.75" customHeight="1" x14ac:dyDescent="0.25">
      <c r="A2098" s="1" t="s">
        <v>8049</v>
      </c>
      <c r="B2098" s="1" t="s">
        <v>8048</v>
      </c>
      <c r="C2098" s="1" t="s">
        <v>6242</v>
      </c>
    </row>
    <row r="2099" spans="1:3" ht="15.75" customHeight="1" x14ac:dyDescent="0.25">
      <c r="A2099" s="1" t="s">
        <v>8047</v>
      </c>
      <c r="B2099" s="1" t="s">
        <v>8046</v>
      </c>
      <c r="C2099" s="1" t="s">
        <v>6242</v>
      </c>
    </row>
    <row r="2100" spans="1:3" ht="15.75" customHeight="1" x14ac:dyDescent="0.25">
      <c r="A2100" s="1" t="s">
        <v>8045</v>
      </c>
      <c r="B2100" s="1" t="s">
        <v>8044</v>
      </c>
      <c r="C2100" s="1" t="s">
        <v>6546</v>
      </c>
    </row>
    <row r="2101" spans="1:3" ht="15.75" customHeight="1" x14ac:dyDescent="0.25">
      <c r="A2101" s="1" t="s">
        <v>5706</v>
      </c>
      <c r="B2101" s="1" t="s">
        <v>7982</v>
      </c>
      <c r="C2101" s="1" t="s">
        <v>8043</v>
      </c>
    </row>
    <row r="2102" spans="1:3" ht="15.75" customHeight="1" x14ac:dyDescent="0.25">
      <c r="A2102" s="1" t="s">
        <v>8042</v>
      </c>
      <c r="B2102" s="1" t="s">
        <v>218</v>
      </c>
      <c r="C2102" s="1" t="s">
        <v>8041</v>
      </c>
    </row>
    <row r="2103" spans="1:3" ht="15.75" customHeight="1" x14ac:dyDescent="0.25">
      <c r="A2103" s="1" t="s">
        <v>3809</v>
      </c>
      <c r="B2103" s="1" t="s">
        <v>8040</v>
      </c>
      <c r="C2103" s="1" t="s">
        <v>6640</v>
      </c>
    </row>
    <row r="2104" spans="1:3" ht="15.75" customHeight="1" x14ac:dyDescent="0.25">
      <c r="A2104" s="1" t="s">
        <v>8039</v>
      </c>
      <c r="B2104" s="1" t="s">
        <v>8038</v>
      </c>
      <c r="C2104" s="1" t="s">
        <v>8037</v>
      </c>
    </row>
    <row r="2105" spans="1:3" ht="15.75" customHeight="1" x14ac:dyDescent="0.25">
      <c r="A2105" s="1" t="s">
        <v>1119</v>
      </c>
      <c r="B2105" s="1" t="s">
        <v>8036</v>
      </c>
      <c r="C2105" s="1" t="s">
        <v>5919</v>
      </c>
    </row>
    <row r="2106" spans="1:3" ht="15.75" customHeight="1" x14ac:dyDescent="0.25">
      <c r="A2106" s="1" t="s">
        <v>962</v>
      </c>
      <c r="B2106" s="1" t="s">
        <v>8035</v>
      </c>
      <c r="C2106" s="1" t="s">
        <v>6640</v>
      </c>
    </row>
    <row r="2107" spans="1:3" ht="15.75" customHeight="1" x14ac:dyDescent="0.25">
      <c r="A2107" s="1" t="s">
        <v>140</v>
      </c>
      <c r="B2107" s="1" t="s">
        <v>8034</v>
      </c>
      <c r="C2107" s="1" t="s">
        <v>5781</v>
      </c>
    </row>
    <row r="2108" spans="1:3" ht="15.75" customHeight="1" x14ac:dyDescent="0.25">
      <c r="A2108" s="1" t="s">
        <v>3576</v>
      </c>
      <c r="B2108" s="1" t="s">
        <v>8033</v>
      </c>
      <c r="C2108" s="1" t="s">
        <v>7776</v>
      </c>
    </row>
    <row r="2109" spans="1:3" ht="15.75" customHeight="1" x14ac:dyDescent="0.25">
      <c r="A2109" s="1" t="s">
        <v>8032</v>
      </c>
      <c r="B2109" s="1" t="s">
        <v>8031</v>
      </c>
      <c r="C2109" s="1" t="s">
        <v>6122</v>
      </c>
    </row>
    <row r="2110" spans="1:3" ht="15.75" customHeight="1" x14ac:dyDescent="0.25">
      <c r="A2110" s="1" t="s">
        <v>8030</v>
      </c>
      <c r="B2110" s="1" t="s">
        <v>8029</v>
      </c>
      <c r="C2110" s="1" t="s">
        <v>5781</v>
      </c>
    </row>
    <row r="2111" spans="1:3" ht="15.75" customHeight="1" x14ac:dyDescent="0.25">
      <c r="A2111" s="1" t="s">
        <v>8028</v>
      </c>
      <c r="B2111" s="1" t="s">
        <v>8027</v>
      </c>
      <c r="C2111" s="1" t="s">
        <v>6533</v>
      </c>
    </row>
    <row r="2112" spans="1:3" ht="15.75" customHeight="1" x14ac:dyDescent="0.25">
      <c r="A2112" s="1" t="s">
        <v>8026</v>
      </c>
      <c r="B2112" s="1" t="s">
        <v>8025</v>
      </c>
      <c r="C2112" s="1" t="s">
        <v>7860</v>
      </c>
    </row>
    <row r="2113" spans="1:3" ht="15.75" customHeight="1" x14ac:dyDescent="0.25">
      <c r="A2113" s="1" t="s">
        <v>2009</v>
      </c>
      <c r="B2113" s="1" t="s">
        <v>8024</v>
      </c>
      <c r="C2113" s="1" t="s">
        <v>7423</v>
      </c>
    </row>
    <row r="2114" spans="1:3" ht="15.75" customHeight="1" x14ac:dyDescent="0.25">
      <c r="A2114" s="1" t="s">
        <v>8023</v>
      </c>
      <c r="B2114" s="1" t="s">
        <v>8022</v>
      </c>
      <c r="C2114" s="1" t="s">
        <v>7313</v>
      </c>
    </row>
    <row r="2115" spans="1:3" ht="15.75" customHeight="1" x14ac:dyDescent="0.25">
      <c r="A2115" s="1" t="s">
        <v>5358</v>
      </c>
      <c r="B2115" s="1" t="s">
        <v>8021</v>
      </c>
      <c r="C2115" s="1" t="s">
        <v>8020</v>
      </c>
    </row>
    <row r="2116" spans="1:3" ht="15.75" customHeight="1" x14ac:dyDescent="0.25">
      <c r="A2116" s="1" t="s">
        <v>8019</v>
      </c>
      <c r="B2116" s="1" t="s">
        <v>8018</v>
      </c>
      <c r="C2116" s="1" t="s">
        <v>6651</v>
      </c>
    </row>
    <row r="2117" spans="1:3" ht="15.75" customHeight="1" x14ac:dyDescent="0.25">
      <c r="A2117" s="1" t="s">
        <v>2832</v>
      </c>
      <c r="B2117" s="1" t="s">
        <v>8017</v>
      </c>
      <c r="C2117" s="1" t="s">
        <v>6242</v>
      </c>
    </row>
    <row r="2118" spans="1:3" ht="15.75" customHeight="1" x14ac:dyDescent="0.25">
      <c r="A2118" s="1" t="s">
        <v>3515</v>
      </c>
      <c r="B2118" s="1" t="s">
        <v>8016</v>
      </c>
      <c r="C2118" s="1" t="s">
        <v>8015</v>
      </c>
    </row>
    <row r="2119" spans="1:3" ht="15.75" customHeight="1" x14ac:dyDescent="0.25">
      <c r="A2119" s="1" t="s">
        <v>3743</v>
      </c>
      <c r="B2119" s="1" t="s">
        <v>8014</v>
      </c>
      <c r="C2119" s="1" t="s">
        <v>6717</v>
      </c>
    </row>
    <row r="2120" spans="1:3" ht="15.75" customHeight="1" x14ac:dyDescent="0.25">
      <c r="A2120" s="1" t="s">
        <v>4320</v>
      </c>
      <c r="B2120" s="1" t="s">
        <v>8013</v>
      </c>
      <c r="C2120" s="1" t="s">
        <v>6667</v>
      </c>
    </row>
    <row r="2121" spans="1:3" ht="15.75" customHeight="1" x14ac:dyDescent="0.25">
      <c r="A2121" s="1" t="s">
        <v>8012</v>
      </c>
      <c r="B2121" s="1" t="s">
        <v>8011</v>
      </c>
      <c r="C2121" s="1" t="s">
        <v>7131</v>
      </c>
    </row>
    <row r="2122" spans="1:3" ht="15.75" customHeight="1" x14ac:dyDescent="0.25">
      <c r="A2122" s="1" t="s">
        <v>4928</v>
      </c>
      <c r="B2122" s="1" t="s">
        <v>8010</v>
      </c>
      <c r="C2122" s="1" t="s">
        <v>8009</v>
      </c>
    </row>
    <row r="2123" spans="1:3" ht="15.75" customHeight="1" x14ac:dyDescent="0.25">
      <c r="A2123" s="1" t="s">
        <v>4839</v>
      </c>
      <c r="B2123" s="1" t="s">
        <v>8008</v>
      </c>
      <c r="C2123" s="1" t="s">
        <v>5906</v>
      </c>
    </row>
    <row r="2124" spans="1:3" ht="15.75" customHeight="1" x14ac:dyDescent="0.25">
      <c r="A2124" s="1" t="s">
        <v>1391</v>
      </c>
      <c r="B2124" s="1" t="s">
        <v>8007</v>
      </c>
      <c r="C2124" s="1" t="s">
        <v>7463</v>
      </c>
    </row>
    <row r="2125" spans="1:3" ht="15.75" customHeight="1" x14ac:dyDescent="0.25">
      <c r="A2125" s="1" t="s">
        <v>2024</v>
      </c>
      <c r="B2125" s="1" t="s">
        <v>8006</v>
      </c>
      <c r="C2125" s="1" t="s">
        <v>8005</v>
      </c>
    </row>
    <row r="2126" spans="1:3" ht="15.75" customHeight="1" x14ac:dyDescent="0.25">
      <c r="A2126" s="1" t="s">
        <v>8004</v>
      </c>
      <c r="B2126" s="1" t="s">
        <v>8003</v>
      </c>
      <c r="C2126" s="1" t="s">
        <v>6714</v>
      </c>
    </row>
    <row r="2127" spans="1:3" ht="15.75" customHeight="1" x14ac:dyDescent="0.25">
      <c r="A2127" s="1" t="s">
        <v>8002</v>
      </c>
      <c r="B2127" s="1" t="s">
        <v>8001</v>
      </c>
      <c r="C2127" s="1" t="s">
        <v>8000</v>
      </c>
    </row>
    <row r="2128" spans="1:3" ht="15.75" customHeight="1" x14ac:dyDescent="0.25">
      <c r="A2128" s="1" t="s">
        <v>7999</v>
      </c>
      <c r="B2128" s="1" t="s">
        <v>7998</v>
      </c>
      <c r="C2128" s="1" t="s">
        <v>7213</v>
      </c>
    </row>
    <row r="2129" spans="1:3" ht="15.75" customHeight="1" x14ac:dyDescent="0.25">
      <c r="A2129" s="1" t="s">
        <v>1775</v>
      </c>
      <c r="B2129" s="1" t="s">
        <v>7997</v>
      </c>
      <c r="C2129" s="1" t="s">
        <v>6886</v>
      </c>
    </row>
    <row r="2130" spans="1:3" ht="15.75" customHeight="1" x14ac:dyDescent="0.25">
      <c r="A2130" s="1" t="s">
        <v>2569</v>
      </c>
      <c r="B2130" s="1" t="s">
        <v>7996</v>
      </c>
      <c r="C2130" s="1" t="s">
        <v>6717</v>
      </c>
    </row>
    <row r="2131" spans="1:3" ht="15.75" customHeight="1" x14ac:dyDescent="0.25">
      <c r="A2131" s="1" t="s">
        <v>3684</v>
      </c>
      <c r="B2131" s="1" t="s">
        <v>7736</v>
      </c>
      <c r="C2131" s="1" t="s">
        <v>7995</v>
      </c>
    </row>
    <row r="2132" spans="1:3" ht="15.75" customHeight="1" x14ac:dyDescent="0.25">
      <c r="A2132" s="1" t="s">
        <v>4712</v>
      </c>
      <c r="B2132" s="1" t="s">
        <v>7994</v>
      </c>
      <c r="C2132" s="1" t="s">
        <v>5853</v>
      </c>
    </row>
    <row r="2133" spans="1:3" ht="15.75" customHeight="1" x14ac:dyDescent="0.25">
      <c r="A2133" s="1" t="s">
        <v>7993</v>
      </c>
      <c r="B2133" s="1" t="s">
        <v>7992</v>
      </c>
      <c r="C2133" s="1" t="s">
        <v>6661</v>
      </c>
    </row>
    <row r="2134" spans="1:3" ht="15.75" customHeight="1" x14ac:dyDescent="0.25">
      <c r="A2134" s="1" t="s">
        <v>1836</v>
      </c>
      <c r="B2134" s="1" t="s">
        <v>7991</v>
      </c>
      <c r="C2134" s="1" t="s">
        <v>7463</v>
      </c>
    </row>
    <row r="2135" spans="1:3" ht="15.75" customHeight="1" x14ac:dyDescent="0.25">
      <c r="A2135" s="1" t="s">
        <v>7990</v>
      </c>
      <c r="B2135" s="1" t="s">
        <v>7989</v>
      </c>
      <c r="C2135" s="1" t="s">
        <v>6546</v>
      </c>
    </row>
    <row r="2136" spans="1:3" ht="15.75" customHeight="1" x14ac:dyDescent="0.25">
      <c r="A2136" s="1" t="s">
        <v>7988</v>
      </c>
      <c r="B2136" s="1" t="s">
        <v>7987</v>
      </c>
      <c r="C2136" s="1" t="s">
        <v>7986</v>
      </c>
    </row>
    <row r="2137" spans="1:3" ht="15.75" customHeight="1" x14ac:dyDescent="0.25">
      <c r="A2137" s="1" t="s">
        <v>137</v>
      </c>
      <c r="B2137" s="1" t="s">
        <v>7985</v>
      </c>
      <c r="C2137" s="1" t="s">
        <v>7984</v>
      </c>
    </row>
    <row r="2138" spans="1:3" ht="15.75" customHeight="1" x14ac:dyDescent="0.25">
      <c r="A2138" s="1" t="s">
        <v>7983</v>
      </c>
      <c r="B2138" s="1" t="s">
        <v>7982</v>
      </c>
      <c r="C2138" s="1" t="s">
        <v>7981</v>
      </c>
    </row>
    <row r="2139" spans="1:3" ht="15.75" customHeight="1" x14ac:dyDescent="0.25">
      <c r="A2139" s="1" t="s">
        <v>4458</v>
      </c>
      <c r="B2139" s="1" t="s">
        <v>7980</v>
      </c>
      <c r="C2139" s="1" t="s">
        <v>6653</v>
      </c>
    </row>
    <row r="2140" spans="1:3" ht="15.75" customHeight="1" x14ac:dyDescent="0.25">
      <c r="A2140" s="1" t="s">
        <v>7979</v>
      </c>
      <c r="B2140" s="1" t="s">
        <v>7978</v>
      </c>
      <c r="C2140" s="1" t="s">
        <v>5836</v>
      </c>
    </row>
    <row r="2141" spans="1:3" ht="15.75" customHeight="1" x14ac:dyDescent="0.25">
      <c r="A2141" s="1" t="s">
        <v>3792</v>
      </c>
      <c r="B2141" s="1" t="s">
        <v>7977</v>
      </c>
      <c r="C2141" s="1" t="s">
        <v>5836</v>
      </c>
    </row>
    <row r="2142" spans="1:3" ht="15.75" customHeight="1" x14ac:dyDescent="0.25">
      <c r="A2142" s="1" t="s">
        <v>1072</v>
      </c>
      <c r="B2142" s="1" t="s">
        <v>7976</v>
      </c>
      <c r="C2142" s="1" t="s">
        <v>6653</v>
      </c>
    </row>
    <row r="2143" spans="1:3" ht="15.75" customHeight="1" x14ac:dyDescent="0.25">
      <c r="A2143" s="1" t="s">
        <v>7975</v>
      </c>
      <c r="B2143" s="1" t="s">
        <v>7974</v>
      </c>
      <c r="C2143" s="1" t="s">
        <v>6651</v>
      </c>
    </row>
    <row r="2144" spans="1:3" ht="15.75" customHeight="1" x14ac:dyDescent="0.25">
      <c r="A2144" s="1" t="s">
        <v>2910</v>
      </c>
      <c r="B2144" s="1" t="s">
        <v>7973</v>
      </c>
      <c r="C2144" s="1" t="s">
        <v>7972</v>
      </c>
    </row>
    <row r="2145" spans="1:3" ht="15.75" customHeight="1" x14ac:dyDescent="0.25">
      <c r="A2145" s="1" t="s">
        <v>132</v>
      </c>
      <c r="B2145" s="1" t="s">
        <v>131</v>
      </c>
      <c r="C2145" s="1" t="s">
        <v>6673</v>
      </c>
    </row>
    <row r="2146" spans="1:3" ht="15.75" customHeight="1" x14ac:dyDescent="0.25">
      <c r="A2146" s="1" t="s">
        <v>7971</v>
      </c>
      <c r="B2146" s="1" t="s">
        <v>7970</v>
      </c>
      <c r="C2146" s="1" t="s">
        <v>5860</v>
      </c>
    </row>
    <row r="2147" spans="1:3" ht="15.75" customHeight="1" x14ac:dyDescent="0.25">
      <c r="A2147" s="1" t="s">
        <v>3836</v>
      </c>
      <c r="B2147" s="1" t="s">
        <v>7969</v>
      </c>
      <c r="C2147" s="1" t="s">
        <v>7968</v>
      </c>
    </row>
    <row r="2148" spans="1:3" ht="15.75" customHeight="1" x14ac:dyDescent="0.25">
      <c r="A2148" s="1" t="s">
        <v>3335</v>
      </c>
      <c r="B2148" s="1" t="s">
        <v>7967</v>
      </c>
      <c r="C2148" s="1" t="s">
        <v>5829</v>
      </c>
    </row>
    <row r="2149" spans="1:3" ht="15.75" customHeight="1" x14ac:dyDescent="0.25">
      <c r="A2149" s="1" t="s">
        <v>7966</v>
      </c>
      <c r="B2149" s="1" t="s">
        <v>7965</v>
      </c>
      <c r="C2149" s="1" t="s">
        <v>6295</v>
      </c>
    </row>
    <row r="2150" spans="1:3" ht="15.75" customHeight="1" x14ac:dyDescent="0.25">
      <c r="A2150" s="1" t="s">
        <v>7964</v>
      </c>
      <c r="B2150" s="1" t="s">
        <v>7963</v>
      </c>
      <c r="C2150" s="1" t="s">
        <v>6795</v>
      </c>
    </row>
    <row r="2151" spans="1:3" ht="15.75" customHeight="1" x14ac:dyDescent="0.25">
      <c r="A2151" s="1" t="s">
        <v>7962</v>
      </c>
      <c r="B2151" s="1" t="s">
        <v>7961</v>
      </c>
      <c r="C2151" s="1" t="s">
        <v>6242</v>
      </c>
    </row>
    <row r="2152" spans="1:3" ht="15.75" customHeight="1" x14ac:dyDescent="0.25">
      <c r="A2152" s="1" t="s">
        <v>7960</v>
      </c>
      <c r="B2152" s="1" t="s">
        <v>7959</v>
      </c>
      <c r="C2152" s="1" t="s">
        <v>6866</v>
      </c>
    </row>
    <row r="2153" spans="1:3" ht="15.75" customHeight="1" x14ac:dyDescent="0.25">
      <c r="A2153" s="1" t="s">
        <v>3481</v>
      </c>
      <c r="B2153" s="1" t="s">
        <v>7958</v>
      </c>
      <c r="C2153" s="1" t="s">
        <v>7011</v>
      </c>
    </row>
    <row r="2154" spans="1:3" ht="15.75" customHeight="1" x14ac:dyDescent="0.25">
      <c r="A2154" s="1" t="s">
        <v>7957</v>
      </c>
      <c r="B2154" s="1" t="s">
        <v>7956</v>
      </c>
      <c r="C2154" s="1" t="s">
        <v>6242</v>
      </c>
    </row>
    <row r="2155" spans="1:3" ht="15.75" customHeight="1" x14ac:dyDescent="0.25">
      <c r="A2155" s="1" t="s">
        <v>4762</v>
      </c>
      <c r="B2155" s="1" t="s">
        <v>7955</v>
      </c>
      <c r="C2155" s="1" t="s">
        <v>5811</v>
      </c>
    </row>
    <row r="2156" spans="1:3" ht="15.75" customHeight="1" x14ac:dyDescent="0.25">
      <c r="A2156" s="1" t="s">
        <v>4490</v>
      </c>
      <c r="B2156" s="1" t="s">
        <v>7954</v>
      </c>
      <c r="C2156" s="1" t="s">
        <v>7195</v>
      </c>
    </row>
    <row r="2157" spans="1:3" ht="15.75" customHeight="1" x14ac:dyDescent="0.25">
      <c r="A2157" s="1" t="s">
        <v>3377</v>
      </c>
      <c r="B2157" s="1" t="s">
        <v>7953</v>
      </c>
      <c r="C2157" s="1" t="s">
        <v>7952</v>
      </c>
    </row>
    <row r="2158" spans="1:3" ht="15.75" customHeight="1" x14ac:dyDescent="0.25">
      <c r="A2158" s="1" t="s">
        <v>7951</v>
      </c>
      <c r="B2158" s="1" t="s">
        <v>7950</v>
      </c>
      <c r="C2158" s="1" t="s">
        <v>5836</v>
      </c>
    </row>
    <row r="2159" spans="1:3" ht="15.75" customHeight="1" x14ac:dyDescent="0.25">
      <c r="A2159" s="1" t="s">
        <v>7949</v>
      </c>
      <c r="B2159" s="1" t="s">
        <v>7948</v>
      </c>
      <c r="C2159" s="1" t="s">
        <v>7423</v>
      </c>
    </row>
    <row r="2160" spans="1:3" ht="15.75" customHeight="1" x14ac:dyDescent="0.25">
      <c r="A2160" s="1" t="s">
        <v>5620</v>
      </c>
      <c r="B2160" s="1" t="s">
        <v>7711</v>
      </c>
      <c r="C2160" s="1" t="s">
        <v>7423</v>
      </c>
    </row>
    <row r="2161" spans="1:3" ht="15.75" customHeight="1" x14ac:dyDescent="0.25">
      <c r="A2161" s="1" t="s">
        <v>7947</v>
      </c>
      <c r="B2161" s="1" t="s">
        <v>7946</v>
      </c>
      <c r="C2161" s="1" t="s">
        <v>6242</v>
      </c>
    </row>
    <row r="2162" spans="1:3" ht="15.75" customHeight="1" x14ac:dyDescent="0.25">
      <c r="A2162" s="1" t="s">
        <v>4308</v>
      </c>
      <c r="B2162" s="1" t="s">
        <v>7945</v>
      </c>
      <c r="C2162" s="1" t="s">
        <v>6122</v>
      </c>
    </row>
    <row r="2163" spans="1:3" ht="15.75" customHeight="1" x14ac:dyDescent="0.25">
      <c r="A2163" s="1" t="s">
        <v>2828</v>
      </c>
      <c r="B2163" s="1" t="s">
        <v>7944</v>
      </c>
      <c r="C2163" s="1" t="s">
        <v>6665</v>
      </c>
    </row>
    <row r="2164" spans="1:3" ht="15.75" customHeight="1" x14ac:dyDescent="0.25">
      <c r="A2164" s="1" t="s">
        <v>4110</v>
      </c>
      <c r="B2164" s="1" t="s">
        <v>7943</v>
      </c>
      <c r="C2164" s="1" t="s">
        <v>6651</v>
      </c>
    </row>
    <row r="2165" spans="1:3" ht="15.75" customHeight="1" x14ac:dyDescent="0.25">
      <c r="A2165" s="1" t="s">
        <v>130</v>
      </c>
      <c r="B2165" s="1" t="s">
        <v>7942</v>
      </c>
      <c r="C2165" s="1" t="s">
        <v>5796</v>
      </c>
    </row>
    <row r="2166" spans="1:3" ht="15.75" customHeight="1" x14ac:dyDescent="0.25">
      <c r="A2166" s="1" t="s">
        <v>3225</v>
      </c>
      <c r="B2166" s="1" t="s">
        <v>7941</v>
      </c>
      <c r="C2166" s="1" t="s">
        <v>7011</v>
      </c>
    </row>
    <row r="2167" spans="1:3" ht="15.75" customHeight="1" x14ac:dyDescent="0.25">
      <c r="A2167" s="1" t="s">
        <v>128</v>
      </c>
      <c r="B2167" s="1" t="s">
        <v>7940</v>
      </c>
      <c r="C2167" s="1" t="s">
        <v>6929</v>
      </c>
    </row>
    <row r="2168" spans="1:3" ht="15.75" customHeight="1" x14ac:dyDescent="0.25">
      <c r="A2168" s="1" t="s">
        <v>126</v>
      </c>
      <c r="B2168" s="1" t="s">
        <v>7939</v>
      </c>
      <c r="C2168" s="1" t="s">
        <v>7938</v>
      </c>
    </row>
    <row r="2169" spans="1:3" ht="15.75" customHeight="1" x14ac:dyDescent="0.25">
      <c r="A2169" s="1" t="s">
        <v>7937</v>
      </c>
      <c r="B2169" s="1" t="s">
        <v>7936</v>
      </c>
      <c r="C2169" s="1" t="s">
        <v>6122</v>
      </c>
    </row>
    <row r="2170" spans="1:3" ht="15.75" customHeight="1" x14ac:dyDescent="0.25">
      <c r="A2170" s="1" t="s">
        <v>7935</v>
      </c>
      <c r="B2170" s="1" t="s">
        <v>7934</v>
      </c>
      <c r="C2170" s="1" t="s">
        <v>6821</v>
      </c>
    </row>
    <row r="2171" spans="1:3" ht="15.75" customHeight="1" x14ac:dyDescent="0.25">
      <c r="A2171" s="1" t="s">
        <v>7933</v>
      </c>
      <c r="B2171" s="1" t="s">
        <v>7932</v>
      </c>
      <c r="C2171" s="1" t="s">
        <v>6866</v>
      </c>
    </row>
    <row r="2172" spans="1:3" ht="15.75" customHeight="1" x14ac:dyDescent="0.25">
      <c r="A2172" s="1" t="s">
        <v>4496</v>
      </c>
      <c r="B2172" s="1" t="s">
        <v>7931</v>
      </c>
      <c r="C2172" s="1" t="s">
        <v>6546</v>
      </c>
    </row>
    <row r="2173" spans="1:3" ht="15.75" customHeight="1" x14ac:dyDescent="0.25">
      <c r="A2173" s="1" t="s">
        <v>7930</v>
      </c>
      <c r="B2173" s="1" t="s">
        <v>7929</v>
      </c>
      <c r="C2173" s="1" t="s">
        <v>6122</v>
      </c>
    </row>
    <row r="2174" spans="1:3" ht="15.75" customHeight="1" x14ac:dyDescent="0.25">
      <c r="A2174" s="1" t="s">
        <v>7928</v>
      </c>
      <c r="B2174" s="1" t="s">
        <v>7927</v>
      </c>
      <c r="C2174" s="1" t="s">
        <v>6821</v>
      </c>
    </row>
    <row r="2175" spans="1:3" ht="15.75" customHeight="1" x14ac:dyDescent="0.25">
      <c r="A2175" s="1" t="s">
        <v>7926</v>
      </c>
      <c r="B2175" s="1" t="s">
        <v>7736</v>
      </c>
      <c r="C2175" s="1" t="s">
        <v>6673</v>
      </c>
    </row>
    <row r="2176" spans="1:3" ht="15.75" customHeight="1" x14ac:dyDescent="0.25">
      <c r="A2176" s="1" t="s">
        <v>4911</v>
      </c>
      <c r="B2176" s="1" t="s">
        <v>7925</v>
      </c>
      <c r="C2176" s="1" t="s">
        <v>7924</v>
      </c>
    </row>
    <row r="2177" spans="1:3" ht="15.75" customHeight="1" x14ac:dyDescent="0.25">
      <c r="A2177" s="1" t="s">
        <v>2292</v>
      </c>
      <c r="B2177" s="1" t="s">
        <v>7923</v>
      </c>
      <c r="C2177" s="1" t="s">
        <v>5991</v>
      </c>
    </row>
    <row r="2178" spans="1:3" ht="15.75" customHeight="1" x14ac:dyDescent="0.25">
      <c r="A2178" s="1" t="s">
        <v>3840</v>
      </c>
      <c r="B2178" s="1" t="s">
        <v>7922</v>
      </c>
      <c r="C2178" s="1" t="s">
        <v>5838</v>
      </c>
    </row>
    <row r="2179" spans="1:3" ht="15.75" customHeight="1" x14ac:dyDescent="0.25">
      <c r="A2179" s="1" t="s">
        <v>7921</v>
      </c>
      <c r="B2179" s="1" t="s">
        <v>7920</v>
      </c>
      <c r="C2179" s="1" t="s">
        <v>5811</v>
      </c>
    </row>
    <row r="2180" spans="1:3" ht="15.75" customHeight="1" x14ac:dyDescent="0.25">
      <c r="A2180" s="1" t="s">
        <v>2855</v>
      </c>
      <c r="B2180" s="1" t="s">
        <v>7919</v>
      </c>
      <c r="C2180" s="1" t="s">
        <v>7374</v>
      </c>
    </row>
    <row r="2181" spans="1:3" ht="15.75" customHeight="1" x14ac:dyDescent="0.25">
      <c r="A2181" s="1" t="s">
        <v>749</v>
      </c>
      <c r="B2181" s="1" t="s">
        <v>7918</v>
      </c>
      <c r="C2181" s="1" t="s">
        <v>5838</v>
      </c>
    </row>
    <row r="2182" spans="1:3" ht="15.75" customHeight="1" x14ac:dyDescent="0.25">
      <c r="A2182" s="1" t="s">
        <v>579</v>
      </c>
      <c r="B2182" s="1" t="s">
        <v>7917</v>
      </c>
      <c r="C2182" s="1" t="s">
        <v>7165</v>
      </c>
    </row>
    <row r="2183" spans="1:3" ht="15.75" customHeight="1" x14ac:dyDescent="0.25">
      <c r="A2183" s="1" t="s">
        <v>4629</v>
      </c>
      <c r="B2183" s="1" t="s">
        <v>7916</v>
      </c>
      <c r="C2183" s="1" t="s">
        <v>7915</v>
      </c>
    </row>
    <row r="2184" spans="1:3" ht="15.75" customHeight="1" x14ac:dyDescent="0.25">
      <c r="A2184" s="1" t="s">
        <v>3827</v>
      </c>
      <c r="B2184" s="1" t="s">
        <v>7914</v>
      </c>
      <c r="C2184" s="1" t="s">
        <v>5829</v>
      </c>
    </row>
    <row r="2185" spans="1:3" ht="15.75" customHeight="1" x14ac:dyDescent="0.25">
      <c r="A2185" s="1" t="s">
        <v>4558</v>
      </c>
      <c r="B2185" s="1" t="s">
        <v>7913</v>
      </c>
      <c r="C2185" s="1" t="s">
        <v>7446</v>
      </c>
    </row>
    <row r="2186" spans="1:3" ht="15.75" customHeight="1" x14ac:dyDescent="0.25">
      <c r="A2186" s="1" t="s">
        <v>124</v>
      </c>
      <c r="B2186" s="1" t="s">
        <v>6982</v>
      </c>
      <c r="C2186" s="1" t="s">
        <v>7912</v>
      </c>
    </row>
    <row r="2187" spans="1:3" ht="15.75" customHeight="1" x14ac:dyDescent="0.25">
      <c r="A2187" s="1" t="s">
        <v>7911</v>
      </c>
      <c r="B2187" s="1" t="s">
        <v>7910</v>
      </c>
      <c r="C2187" s="1" t="s">
        <v>6242</v>
      </c>
    </row>
    <row r="2188" spans="1:3" ht="15.75" customHeight="1" x14ac:dyDescent="0.25">
      <c r="A2188" s="1" t="s">
        <v>7909</v>
      </c>
      <c r="B2188" s="1" t="s">
        <v>7908</v>
      </c>
      <c r="C2188" s="1" t="s">
        <v>6797</v>
      </c>
    </row>
    <row r="2189" spans="1:3" ht="15.75" customHeight="1" x14ac:dyDescent="0.25">
      <c r="A2189" s="1" t="s">
        <v>1586</v>
      </c>
      <c r="B2189" s="1" t="s">
        <v>7907</v>
      </c>
      <c r="C2189" s="1" t="s">
        <v>6795</v>
      </c>
    </row>
    <row r="2190" spans="1:3" ht="15.75" customHeight="1" x14ac:dyDescent="0.25">
      <c r="A2190" s="1" t="s">
        <v>5734</v>
      </c>
      <c r="B2190" s="1" t="s">
        <v>7906</v>
      </c>
      <c r="C2190" s="1" t="s">
        <v>5991</v>
      </c>
    </row>
    <row r="2191" spans="1:3" ht="15.75" customHeight="1" x14ac:dyDescent="0.25">
      <c r="A2191" s="1" t="s">
        <v>4036</v>
      </c>
      <c r="B2191" s="1" t="s">
        <v>7905</v>
      </c>
      <c r="C2191" s="1" t="s">
        <v>6861</v>
      </c>
    </row>
    <row r="2192" spans="1:3" ht="15.75" customHeight="1" x14ac:dyDescent="0.25">
      <c r="A2192" s="1" t="s">
        <v>1520</v>
      </c>
      <c r="B2192" s="1" t="s">
        <v>7904</v>
      </c>
      <c r="C2192" s="1" t="s">
        <v>6956</v>
      </c>
    </row>
    <row r="2193" spans="1:3" ht="15.75" customHeight="1" x14ac:dyDescent="0.25">
      <c r="A2193" s="1" t="s">
        <v>7903</v>
      </c>
      <c r="B2193" s="1" t="s">
        <v>7902</v>
      </c>
      <c r="C2193" s="1" t="s">
        <v>5809</v>
      </c>
    </row>
    <row r="2194" spans="1:3" ht="15.75" customHeight="1" x14ac:dyDescent="0.25">
      <c r="A2194" s="1" t="s">
        <v>4389</v>
      </c>
      <c r="B2194" s="1" t="s">
        <v>7901</v>
      </c>
      <c r="C2194" s="1" t="s">
        <v>6673</v>
      </c>
    </row>
    <row r="2195" spans="1:3" ht="15.75" customHeight="1" x14ac:dyDescent="0.25">
      <c r="A2195" s="1" t="s">
        <v>7900</v>
      </c>
      <c r="B2195" s="1" t="s">
        <v>7899</v>
      </c>
      <c r="C2195" s="1" t="s">
        <v>6542</v>
      </c>
    </row>
    <row r="2196" spans="1:3" ht="15.75" customHeight="1" x14ac:dyDescent="0.25">
      <c r="A2196" s="1" t="s">
        <v>1971</v>
      </c>
      <c r="B2196" s="1" t="s">
        <v>7898</v>
      </c>
      <c r="C2196" s="1" t="s">
        <v>6931</v>
      </c>
    </row>
    <row r="2197" spans="1:3" ht="15.75" customHeight="1" x14ac:dyDescent="0.25">
      <c r="A2197" s="1" t="s">
        <v>5057</v>
      </c>
      <c r="B2197" s="1" t="s">
        <v>7897</v>
      </c>
      <c r="C2197" s="1" t="s">
        <v>7896</v>
      </c>
    </row>
    <row r="2198" spans="1:3" ht="15.75" customHeight="1" x14ac:dyDescent="0.25">
      <c r="A2198" s="1" t="s">
        <v>7895</v>
      </c>
      <c r="B2198" s="1" t="s">
        <v>6878</v>
      </c>
      <c r="C2198" s="1" t="s">
        <v>6242</v>
      </c>
    </row>
    <row r="2199" spans="1:3" ht="15.75" customHeight="1" x14ac:dyDescent="0.25">
      <c r="A2199" s="1" t="s">
        <v>1592</v>
      </c>
      <c r="B2199" s="1" t="s">
        <v>7894</v>
      </c>
      <c r="C2199" s="1" t="s">
        <v>7642</v>
      </c>
    </row>
    <row r="2200" spans="1:3" ht="15.75" customHeight="1" x14ac:dyDescent="0.25">
      <c r="A2200" s="1" t="s">
        <v>2804</v>
      </c>
      <c r="B2200" s="1" t="s">
        <v>6309</v>
      </c>
      <c r="C2200" s="1" t="s">
        <v>7893</v>
      </c>
    </row>
    <row r="2201" spans="1:3" ht="15.75" customHeight="1" x14ac:dyDescent="0.25">
      <c r="A2201" s="1" t="s">
        <v>5519</v>
      </c>
      <c r="B2201" s="1" t="s">
        <v>7892</v>
      </c>
      <c r="C2201" s="1" t="s">
        <v>7468</v>
      </c>
    </row>
    <row r="2202" spans="1:3" ht="15.75" customHeight="1" x14ac:dyDescent="0.25">
      <c r="A2202" s="1" t="s">
        <v>5151</v>
      </c>
      <c r="B2202" s="1" t="s">
        <v>7891</v>
      </c>
      <c r="C2202" s="1" t="s">
        <v>7011</v>
      </c>
    </row>
    <row r="2203" spans="1:3" ht="15.75" customHeight="1" x14ac:dyDescent="0.25">
      <c r="A2203" s="1" t="s">
        <v>2260</v>
      </c>
      <c r="B2203" s="1" t="s">
        <v>7890</v>
      </c>
      <c r="C2203" s="1" t="s">
        <v>7195</v>
      </c>
    </row>
    <row r="2204" spans="1:3" ht="15.75" customHeight="1" x14ac:dyDescent="0.25">
      <c r="A2204" s="1" t="s">
        <v>7889</v>
      </c>
      <c r="B2204" s="1" t="s">
        <v>7888</v>
      </c>
      <c r="C2204" s="1" t="s">
        <v>6242</v>
      </c>
    </row>
    <row r="2205" spans="1:3" ht="15.75" customHeight="1" x14ac:dyDescent="0.25">
      <c r="A2205" s="1" t="s">
        <v>7887</v>
      </c>
      <c r="B2205" s="1" t="s">
        <v>7886</v>
      </c>
      <c r="C2205" s="1" t="s">
        <v>6546</v>
      </c>
    </row>
    <row r="2206" spans="1:3" ht="15.75" customHeight="1" x14ac:dyDescent="0.25">
      <c r="A2206" s="1" t="s">
        <v>7885</v>
      </c>
      <c r="B2206" s="1" t="s">
        <v>7884</v>
      </c>
      <c r="C2206" s="1" t="s">
        <v>6295</v>
      </c>
    </row>
    <row r="2207" spans="1:3" ht="15.75" customHeight="1" x14ac:dyDescent="0.25">
      <c r="A2207" s="1" t="s">
        <v>7883</v>
      </c>
      <c r="B2207" s="1" t="s">
        <v>7882</v>
      </c>
      <c r="C2207" s="1" t="s">
        <v>6242</v>
      </c>
    </row>
    <row r="2208" spans="1:3" ht="15.75" customHeight="1" x14ac:dyDescent="0.25">
      <c r="A2208" s="1" t="s">
        <v>964</v>
      </c>
      <c r="B2208" s="1" t="s">
        <v>7881</v>
      </c>
      <c r="C2208" s="1" t="s">
        <v>7880</v>
      </c>
    </row>
    <row r="2209" spans="1:3" ht="15.75" customHeight="1" x14ac:dyDescent="0.25">
      <c r="A2209" s="1" t="s">
        <v>2984</v>
      </c>
      <c r="B2209" s="1" t="s">
        <v>7879</v>
      </c>
      <c r="C2209" s="1" t="s">
        <v>6122</v>
      </c>
    </row>
    <row r="2210" spans="1:3" ht="15.75" customHeight="1" x14ac:dyDescent="0.25">
      <c r="A2210" s="1" t="s">
        <v>7878</v>
      </c>
      <c r="B2210" s="1" t="s">
        <v>7877</v>
      </c>
      <c r="C2210" s="1" t="s">
        <v>5811</v>
      </c>
    </row>
    <row r="2211" spans="1:3" ht="15.75" customHeight="1" x14ac:dyDescent="0.25">
      <c r="A2211" s="1" t="s">
        <v>3446</v>
      </c>
      <c r="B2211" s="1" t="s">
        <v>7876</v>
      </c>
      <c r="C2211" s="1" t="s">
        <v>7875</v>
      </c>
    </row>
    <row r="2212" spans="1:3" ht="15.75" customHeight="1" x14ac:dyDescent="0.25">
      <c r="A2212" s="1" t="s">
        <v>4913</v>
      </c>
      <c r="B2212" s="1" t="s">
        <v>7874</v>
      </c>
      <c r="C2212" s="1" t="s">
        <v>5811</v>
      </c>
    </row>
    <row r="2213" spans="1:3" ht="15.75" customHeight="1" x14ac:dyDescent="0.25">
      <c r="A2213" s="1" t="s">
        <v>7873</v>
      </c>
      <c r="B2213" s="1" t="s">
        <v>7872</v>
      </c>
      <c r="C2213" s="1" t="s">
        <v>5811</v>
      </c>
    </row>
    <row r="2214" spans="1:3" ht="15.75" customHeight="1" x14ac:dyDescent="0.25">
      <c r="A2214" s="1" t="s">
        <v>4357</v>
      </c>
      <c r="B2214" s="1" t="s">
        <v>7871</v>
      </c>
      <c r="C2214" s="1" t="s">
        <v>5789</v>
      </c>
    </row>
    <row r="2215" spans="1:3" ht="15.75" customHeight="1" x14ac:dyDescent="0.25">
      <c r="A2215" s="1" t="s">
        <v>7870</v>
      </c>
      <c r="B2215" s="1" t="s">
        <v>7869</v>
      </c>
      <c r="C2215" s="1" t="s">
        <v>6892</v>
      </c>
    </row>
    <row r="2216" spans="1:3" ht="15.75" customHeight="1" x14ac:dyDescent="0.25">
      <c r="A2216" s="1" t="s">
        <v>2850</v>
      </c>
      <c r="B2216" s="1" t="s">
        <v>7868</v>
      </c>
      <c r="C2216" s="1" t="s">
        <v>6530</v>
      </c>
    </row>
    <row r="2217" spans="1:3" ht="15.75" customHeight="1" x14ac:dyDescent="0.25">
      <c r="A2217" s="1" t="s">
        <v>7867</v>
      </c>
      <c r="B2217" s="1" t="s">
        <v>7866</v>
      </c>
      <c r="C2217" s="1" t="s">
        <v>7825</v>
      </c>
    </row>
    <row r="2218" spans="1:3" ht="15.75" customHeight="1" x14ac:dyDescent="0.25">
      <c r="A2218" s="1" t="s">
        <v>4800</v>
      </c>
      <c r="B2218" s="1" t="s">
        <v>7865</v>
      </c>
      <c r="C2218" s="1" t="s">
        <v>5811</v>
      </c>
    </row>
    <row r="2219" spans="1:3" ht="15.75" customHeight="1" x14ac:dyDescent="0.25">
      <c r="A2219" s="1" t="s">
        <v>2077</v>
      </c>
      <c r="B2219" s="1" t="s">
        <v>7864</v>
      </c>
      <c r="C2219" s="1" t="s">
        <v>6945</v>
      </c>
    </row>
    <row r="2220" spans="1:3" ht="15.75" customHeight="1" x14ac:dyDescent="0.25">
      <c r="A2220" s="1" t="s">
        <v>3303</v>
      </c>
      <c r="B2220" s="1" t="s">
        <v>7863</v>
      </c>
      <c r="C2220" s="1" t="s">
        <v>6479</v>
      </c>
    </row>
    <row r="2221" spans="1:3" ht="15.75" customHeight="1" x14ac:dyDescent="0.25">
      <c r="A2221" s="1" t="s">
        <v>7862</v>
      </c>
      <c r="B2221" s="1" t="s">
        <v>7861</v>
      </c>
      <c r="C2221" s="1" t="s">
        <v>7860</v>
      </c>
    </row>
    <row r="2222" spans="1:3" ht="15.75" customHeight="1" x14ac:dyDescent="0.25">
      <c r="A2222" s="1" t="s">
        <v>2744</v>
      </c>
      <c r="B2222" s="1" t="s">
        <v>7859</v>
      </c>
      <c r="C2222" s="1" t="s">
        <v>6684</v>
      </c>
    </row>
    <row r="2223" spans="1:3" ht="15.75" customHeight="1" x14ac:dyDescent="0.25">
      <c r="A2223" s="1" t="s">
        <v>3948</v>
      </c>
      <c r="B2223" s="1" t="s">
        <v>7858</v>
      </c>
      <c r="C2223" s="1" t="s">
        <v>6285</v>
      </c>
    </row>
    <row r="2224" spans="1:3" ht="15.75" customHeight="1" x14ac:dyDescent="0.25">
      <c r="A2224" s="1" t="s">
        <v>4387</v>
      </c>
      <c r="B2224" s="1" t="s">
        <v>7857</v>
      </c>
      <c r="C2224" s="1" t="s">
        <v>7856</v>
      </c>
    </row>
    <row r="2225" spans="1:3" ht="15.75" customHeight="1" x14ac:dyDescent="0.25">
      <c r="A2225" s="1" t="s">
        <v>7855</v>
      </c>
      <c r="B2225" s="1" t="s">
        <v>7854</v>
      </c>
      <c r="C2225" s="1" t="s">
        <v>6886</v>
      </c>
    </row>
    <row r="2226" spans="1:3" ht="15.75" customHeight="1" x14ac:dyDescent="0.25">
      <c r="A2226" s="1" t="s">
        <v>7853</v>
      </c>
      <c r="B2226" s="1" t="s">
        <v>7852</v>
      </c>
      <c r="C2226" s="1" t="s">
        <v>5811</v>
      </c>
    </row>
    <row r="2227" spans="1:3" ht="15.75" customHeight="1" x14ac:dyDescent="0.25">
      <c r="A2227" s="1" t="s">
        <v>4808</v>
      </c>
      <c r="B2227" s="1" t="s">
        <v>7851</v>
      </c>
      <c r="C2227" s="1" t="s">
        <v>6795</v>
      </c>
    </row>
    <row r="2228" spans="1:3" ht="15.75" customHeight="1" x14ac:dyDescent="0.25">
      <c r="A2228" s="1" t="s">
        <v>7850</v>
      </c>
      <c r="B2228" s="1" t="s">
        <v>7809</v>
      </c>
      <c r="C2228" s="1" t="s">
        <v>7849</v>
      </c>
    </row>
    <row r="2229" spans="1:3" ht="15.75" customHeight="1" x14ac:dyDescent="0.25">
      <c r="A2229" s="1" t="s">
        <v>4433</v>
      </c>
      <c r="B2229" s="1" t="s">
        <v>7848</v>
      </c>
      <c r="C2229" s="1" t="s">
        <v>5886</v>
      </c>
    </row>
    <row r="2230" spans="1:3" ht="15.75" customHeight="1" x14ac:dyDescent="0.25">
      <c r="A2230" s="1" t="s">
        <v>3509</v>
      </c>
      <c r="B2230" s="1" t="s">
        <v>7847</v>
      </c>
      <c r="C2230" s="1" t="s">
        <v>7846</v>
      </c>
    </row>
    <row r="2231" spans="1:3" ht="15.75" customHeight="1" x14ac:dyDescent="0.25">
      <c r="A2231" s="1" t="s">
        <v>668</v>
      </c>
      <c r="B2231" s="1" t="s">
        <v>7845</v>
      </c>
      <c r="C2231" s="1" t="s">
        <v>7844</v>
      </c>
    </row>
    <row r="2232" spans="1:3" ht="15.75" customHeight="1" x14ac:dyDescent="0.25">
      <c r="A2232" s="1" t="s">
        <v>120</v>
      </c>
      <c r="B2232" s="1" t="s">
        <v>7843</v>
      </c>
      <c r="C2232" s="1" t="s">
        <v>5906</v>
      </c>
    </row>
    <row r="2233" spans="1:3" ht="15.75" customHeight="1" x14ac:dyDescent="0.25">
      <c r="A2233" s="1" t="s">
        <v>7842</v>
      </c>
      <c r="B2233" s="1" t="s">
        <v>7841</v>
      </c>
      <c r="C2233" s="1" t="s">
        <v>6242</v>
      </c>
    </row>
    <row r="2234" spans="1:3" ht="15.75" customHeight="1" x14ac:dyDescent="0.25">
      <c r="A2234" s="1" t="s">
        <v>5311</v>
      </c>
      <c r="B2234" s="1" t="s">
        <v>7840</v>
      </c>
      <c r="C2234" s="1" t="s">
        <v>7839</v>
      </c>
    </row>
    <row r="2235" spans="1:3" ht="15.75" customHeight="1" x14ac:dyDescent="0.25">
      <c r="A2235" s="1" t="s">
        <v>7838</v>
      </c>
      <c r="B2235" s="1" t="s">
        <v>7837</v>
      </c>
      <c r="C2235" s="1" t="s">
        <v>6850</v>
      </c>
    </row>
    <row r="2236" spans="1:3" ht="15.75" customHeight="1" x14ac:dyDescent="0.25">
      <c r="A2236" s="1" t="s">
        <v>4126</v>
      </c>
      <c r="B2236" s="1" t="s">
        <v>7836</v>
      </c>
      <c r="C2236" s="1" t="s">
        <v>5824</v>
      </c>
    </row>
    <row r="2237" spans="1:3" ht="15.75" customHeight="1" x14ac:dyDescent="0.25">
      <c r="A2237" s="1" t="s">
        <v>4973</v>
      </c>
      <c r="B2237" s="1" t="s">
        <v>7835</v>
      </c>
      <c r="C2237" s="1" t="s">
        <v>6690</v>
      </c>
    </row>
    <row r="2238" spans="1:3" ht="15.75" customHeight="1" x14ac:dyDescent="0.25">
      <c r="A2238" s="1" t="s">
        <v>3872</v>
      </c>
      <c r="B2238" s="1" t="s">
        <v>7834</v>
      </c>
      <c r="C2238" s="1" t="s">
        <v>7833</v>
      </c>
    </row>
    <row r="2239" spans="1:3" ht="15.75" customHeight="1" x14ac:dyDescent="0.25">
      <c r="A2239" s="1" t="s">
        <v>1880</v>
      </c>
      <c r="B2239" s="1" t="s">
        <v>7832</v>
      </c>
      <c r="C2239" s="1" t="s">
        <v>7522</v>
      </c>
    </row>
    <row r="2240" spans="1:3" ht="15.75" customHeight="1" x14ac:dyDescent="0.25">
      <c r="A2240" s="1" t="s">
        <v>1041</v>
      </c>
      <c r="B2240" s="1" t="s">
        <v>7831</v>
      </c>
      <c r="C2240" s="1" t="s">
        <v>6295</v>
      </c>
    </row>
    <row r="2241" spans="1:3" ht="15.75" customHeight="1" x14ac:dyDescent="0.25">
      <c r="A2241" s="1" t="s">
        <v>3952</v>
      </c>
      <c r="B2241" s="1" t="s">
        <v>7830</v>
      </c>
      <c r="C2241" s="1" t="s">
        <v>6288</v>
      </c>
    </row>
    <row r="2242" spans="1:3" ht="15.75" customHeight="1" x14ac:dyDescent="0.25">
      <c r="A2242" s="1" t="s">
        <v>7829</v>
      </c>
      <c r="B2242" s="1" t="s">
        <v>7828</v>
      </c>
      <c r="C2242" s="1" t="s">
        <v>6614</v>
      </c>
    </row>
    <row r="2243" spans="1:3" ht="15.75" customHeight="1" x14ac:dyDescent="0.25">
      <c r="A2243" s="1" t="s">
        <v>7827</v>
      </c>
      <c r="B2243" s="1" t="s">
        <v>7826</v>
      </c>
      <c r="C2243" s="1" t="s">
        <v>7825</v>
      </c>
    </row>
    <row r="2244" spans="1:3" ht="15.75" customHeight="1" x14ac:dyDescent="0.25">
      <c r="A2244" s="1" t="s">
        <v>117</v>
      </c>
      <c r="B2244" s="1" t="s">
        <v>7824</v>
      </c>
      <c r="C2244" s="1" t="s">
        <v>7055</v>
      </c>
    </row>
    <row r="2245" spans="1:3" ht="15.75" customHeight="1" x14ac:dyDescent="0.25">
      <c r="A2245" s="1" t="s">
        <v>1872</v>
      </c>
      <c r="B2245" s="1" t="s">
        <v>7823</v>
      </c>
      <c r="C2245" s="1" t="s">
        <v>6236</v>
      </c>
    </row>
    <row r="2246" spans="1:3" ht="15.75" customHeight="1" x14ac:dyDescent="0.25">
      <c r="A2246" s="1" t="s">
        <v>4701</v>
      </c>
      <c r="B2246" s="1" t="s">
        <v>7822</v>
      </c>
      <c r="C2246" s="1" t="s">
        <v>5811</v>
      </c>
    </row>
    <row r="2247" spans="1:3" ht="15.75" customHeight="1" x14ac:dyDescent="0.25">
      <c r="A2247" s="1" t="s">
        <v>3131</v>
      </c>
      <c r="B2247" s="1" t="s">
        <v>7821</v>
      </c>
      <c r="C2247" s="1" t="s">
        <v>6665</v>
      </c>
    </row>
    <row r="2248" spans="1:3" ht="15.75" customHeight="1" x14ac:dyDescent="0.25">
      <c r="A2248" s="1" t="s">
        <v>7820</v>
      </c>
      <c r="B2248" s="1" t="s">
        <v>7819</v>
      </c>
      <c r="C2248" s="1" t="s">
        <v>6486</v>
      </c>
    </row>
    <row r="2249" spans="1:3" ht="15.75" customHeight="1" x14ac:dyDescent="0.25">
      <c r="A2249" s="1" t="s">
        <v>5137</v>
      </c>
      <c r="B2249" s="1" t="s">
        <v>7818</v>
      </c>
      <c r="C2249" s="1" t="s">
        <v>6653</v>
      </c>
    </row>
    <row r="2250" spans="1:3" ht="15.75" customHeight="1" x14ac:dyDescent="0.25">
      <c r="A2250" s="1" t="s">
        <v>7817</v>
      </c>
      <c r="B2250" s="1" t="s">
        <v>7816</v>
      </c>
      <c r="C2250" s="1" t="s">
        <v>7815</v>
      </c>
    </row>
    <row r="2251" spans="1:3" ht="15.75" customHeight="1" x14ac:dyDescent="0.25">
      <c r="A2251" s="1" t="s">
        <v>4774</v>
      </c>
      <c r="B2251" s="1" t="s">
        <v>7814</v>
      </c>
      <c r="C2251" s="1" t="s">
        <v>6673</v>
      </c>
    </row>
    <row r="2252" spans="1:3" ht="15.75" customHeight="1" x14ac:dyDescent="0.25">
      <c r="A2252" s="1" t="s">
        <v>3553</v>
      </c>
      <c r="B2252" s="1" t="s">
        <v>7813</v>
      </c>
      <c r="C2252" s="1" t="s">
        <v>7599</v>
      </c>
    </row>
    <row r="2253" spans="1:3" ht="15.75" customHeight="1" x14ac:dyDescent="0.25">
      <c r="A2253" s="1" t="s">
        <v>5467</v>
      </c>
      <c r="B2253" s="1" t="s">
        <v>7812</v>
      </c>
      <c r="C2253" s="1" t="s">
        <v>6821</v>
      </c>
    </row>
    <row r="2254" spans="1:3" ht="15.75" customHeight="1" x14ac:dyDescent="0.25">
      <c r="A2254" s="1" t="s">
        <v>7811</v>
      </c>
      <c r="B2254" s="1" t="s">
        <v>7810</v>
      </c>
      <c r="C2254" s="1" t="s">
        <v>7213</v>
      </c>
    </row>
    <row r="2255" spans="1:3" ht="15.75" customHeight="1" x14ac:dyDescent="0.25">
      <c r="A2255" s="1" t="s">
        <v>2657</v>
      </c>
      <c r="B2255" s="1" t="s">
        <v>7809</v>
      </c>
      <c r="C2255" s="1" t="s">
        <v>6644</v>
      </c>
    </row>
    <row r="2256" spans="1:3" ht="15.75" customHeight="1" x14ac:dyDescent="0.25">
      <c r="A2256" s="1" t="s">
        <v>4818</v>
      </c>
      <c r="B2256" s="1" t="s">
        <v>7808</v>
      </c>
      <c r="C2256" s="1" t="s">
        <v>6486</v>
      </c>
    </row>
    <row r="2257" spans="1:3" ht="15.75" customHeight="1" x14ac:dyDescent="0.25">
      <c r="A2257" s="1" t="s">
        <v>4675</v>
      </c>
      <c r="B2257" s="1" t="s">
        <v>7807</v>
      </c>
      <c r="C2257" s="1" t="s">
        <v>7337</v>
      </c>
    </row>
    <row r="2258" spans="1:3" ht="15.75" customHeight="1" x14ac:dyDescent="0.25">
      <c r="A2258" s="1" t="s">
        <v>1987</v>
      </c>
      <c r="B2258" s="1" t="s">
        <v>7806</v>
      </c>
      <c r="C2258" s="1" t="s">
        <v>6667</v>
      </c>
    </row>
    <row r="2259" spans="1:3" ht="15.75" customHeight="1" x14ac:dyDescent="0.25">
      <c r="A2259" s="1" t="s">
        <v>5079</v>
      </c>
      <c r="B2259" s="1" t="s">
        <v>7805</v>
      </c>
      <c r="C2259" s="1" t="s">
        <v>7804</v>
      </c>
    </row>
    <row r="2260" spans="1:3" ht="15.75" customHeight="1" x14ac:dyDescent="0.25">
      <c r="A2260" s="1" t="s">
        <v>7803</v>
      </c>
      <c r="B2260" s="1" t="s">
        <v>7802</v>
      </c>
      <c r="C2260" s="1" t="s">
        <v>7801</v>
      </c>
    </row>
    <row r="2261" spans="1:3" ht="15.75" customHeight="1" x14ac:dyDescent="0.25">
      <c r="A2261" s="1" t="s">
        <v>7800</v>
      </c>
      <c r="B2261" s="1" t="s">
        <v>7799</v>
      </c>
      <c r="C2261" s="1" t="s">
        <v>6892</v>
      </c>
    </row>
    <row r="2262" spans="1:3" ht="15.75" customHeight="1" x14ac:dyDescent="0.25">
      <c r="A2262" s="1" t="s">
        <v>4727</v>
      </c>
      <c r="B2262" s="1" t="s">
        <v>7798</v>
      </c>
      <c r="C2262" s="1" t="s">
        <v>6533</v>
      </c>
    </row>
    <row r="2263" spans="1:3" ht="15.75" customHeight="1" x14ac:dyDescent="0.25">
      <c r="A2263" s="1" t="s">
        <v>1840</v>
      </c>
      <c r="B2263" s="1" t="s">
        <v>7797</v>
      </c>
      <c r="C2263" s="1" t="s">
        <v>7644</v>
      </c>
    </row>
    <row r="2264" spans="1:3" ht="15.75" customHeight="1" x14ac:dyDescent="0.25">
      <c r="A2264" s="1" t="s">
        <v>2625</v>
      </c>
      <c r="B2264" s="1" t="s">
        <v>7796</v>
      </c>
      <c r="C2264" s="1" t="s">
        <v>7795</v>
      </c>
    </row>
    <row r="2265" spans="1:3" ht="15.75" customHeight="1" x14ac:dyDescent="0.25">
      <c r="A2265" s="1" t="s">
        <v>3333</v>
      </c>
      <c r="B2265" s="1" t="s">
        <v>7794</v>
      </c>
      <c r="C2265" s="1" t="s">
        <v>6276</v>
      </c>
    </row>
    <row r="2266" spans="1:3" ht="15.75" customHeight="1" x14ac:dyDescent="0.25">
      <c r="A2266" s="1" t="s">
        <v>4346</v>
      </c>
      <c r="B2266" s="1" t="s">
        <v>7793</v>
      </c>
      <c r="C2266" s="1" t="s">
        <v>5914</v>
      </c>
    </row>
    <row r="2267" spans="1:3" ht="15.75" customHeight="1" x14ac:dyDescent="0.25">
      <c r="A2267" s="1" t="s">
        <v>4835</v>
      </c>
      <c r="B2267" s="1" t="s">
        <v>7792</v>
      </c>
      <c r="C2267" s="1" t="s">
        <v>6323</v>
      </c>
    </row>
    <row r="2268" spans="1:3" ht="15.75" customHeight="1" x14ac:dyDescent="0.25">
      <c r="A2268" s="1" t="s">
        <v>7791</v>
      </c>
      <c r="B2268" s="1" t="s">
        <v>7790</v>
      </c>
      <c r="C2268" s="1" t="s">
        <v>6242</v>
      </c>
    </row>
    <row r="2269" spans="1:3" ht="15.75" customHeight="1" x14ac:dyDescent="0.25">
      <c r="A2269" s="1" t="s">
        <v>7789</v>
      </c>
      <c r="B2269" s="1" t="s">
        <v>7788</v>
      </c>
      <c r="C2269" s="1" t="s">
        <v>6530</v>
      </c>
    </row>
    <row r="2270" spans="1:3" ht="15.75" customHeight="1" x14ac:dyDescent="0.25">
      <c r="A2270" s="1" t="s">
        <v>3454</v>
      </c>
      <c r="B2270" s="1" t="s">
        <v>7787</v>
      </c>
      <c r="C2270" s="1" t="s">
        <v>7786</v>
      </c>
    </row>
    <row r="2271" spans="1:3" ht="15.75" customHeight="1" x14ac:dyDescent="0.25">
      <c r="A2271" s="1" t="s">
        <v>1575</v>
      </c>
      <c r="B2271" s="1" t="s">
        <v>7785</v>
      </c>
      <c r="C2271" s="1" t="s">
        <v>7561</v>
      </c>
    </row>
    <row r="2272" spans="1:3" ht="15.75" customHeight="1" x14ac:dyDescent="0.25">
      <c r="A2272" s="1" t="s">
        <v>7784</v>
      </c>
      <c r="B2272" s="1" t="s">
        <v>7783</v>
      </c>
      <c r="C2272" s="1" t="s">
        <v>5836</v>
      </c>
    </row>
    <row r="2273" spans="1:3" ht="15.75" customHeight="1" x14ac:dyDescent="0.25">
      <c r="A2273" s="1" t="s">
        <v>3407</v>
      </c>
      <c r="B2273" s="1" t="s">
        <v>7782</v>
      </c>
      <c r="C2273" s="1" t="s">
        <v>6602</v>
      </c>
    </row>
    <row r="2274" spans="1:3" ht="15.75" customHeight="1" x14ac:dyDescent="0.25">
      <c r="A2274" s="1" t="s">
        <v>7781</v>
      </c>
      <c r="B2274" s="1" t="s">
        <v>7780</v>
      </c>
      <c r="C2274" s="1" t="s">
        <v>6242</v>
      </c>
    </row>
    <row r="2275" spans="1:3" ht="15.75" customHeight="1" x14ac:dyDescent="0.25">
      <c r="A2275" s="1" t="s">
        <v>1026</v>
      </c>
      <c r="B2275" s="1" t="s">
        <v>7779</v>
      </c>
      <c r="C2275" s="1" t="s">
        <v>7778</v>
      </c>
    </row>
    <row r="2276" spans="1:3" ht="15.75" customHeight="1" x14ac:dyDescent="0.25">
      <c r="A2276" s="1" t="s">
        <v>1453</v>
      </c>
      <c r="B2276" s="1" t="s">
        <v>6360</v>
      </c>
      <c r="C2276" s="1" t="s">
        <v>5991</v>
      </c>
    </row>
    <row r="2277" spans="1:3" ht="15.75" customHeight="1" x14ac:dyDescent="0.25">
      <c r="A2277" s="1" t="s">
        <v>5602</v>
      </c>
      <c r="B2277" s="1" t="s">
        <v>7777</v>
      </c>
      <c r="C2277" s="1" t="s">
        <v>7776</v>
      </c>
    </row>
    <row r="2278" spans="1:3" ht="15.75" customHeight="1" x14ac:dyDescent="0.25">
      <c r="A2278" s="1" t="s">
        <v>7775</v>
      </c>
      <c r="B2278" s="1" t="s">
        <v>7774</v>
      </c>
      <c r="C2278" s="1" t="s">
        <v>6797</v>
      </c>
    </row>
    <row r="2279" spans="1:3" ht="15.75" customHeight="1" x14ac:dyDescent="0.25">
      <c r="A2279" s="1" t="s">
        <v>5017</v>
      </c>
      <c r="B2279" s="1" t="s">
        <v>7773</v>
      </c>
      <c r="C2279" s="1" t="s">
        <v>7134</v>
      </c>
    </row>
    <row r="2280" spans="1:3" ht="15.75" customHeight="1" x14ac:dyDescent="0.25">
      <c r="A2280" s="1" t="s">
        <v>7772</v>
      </c>
      <c r="B2280" s="1" t="s">
        <v>7771</v>
      </c>
      <c r="C2280" s="1" t="s">
        <v>7770</v>
      </c>
    </row>
    <row r="2281" spans="1:3" ht="15.75" customHeight="1" x14ac:dyDescent="0.25">
      <c r="A2281" s="1" t="s">
        <v>7769</v>
      </c>
      <c r="B2281" s="1" t="s">
        <v>7768</v>
      </c>
      <c r="C2281" s="1" t="s">
        <v>6260</v>
      </c>
    </row>
    <row r="2282" spans="1:3" ht="15.75" customHeight="1" x14ac:dyDescent="0.25">
      <c r="A2282" s="1" t="s">
        <v>5279</v>
      </c>
      <c r="B2282" s="1" t="s">
        <v>7767</v>
      </c>
      <c r="C2282" s="1" t="s">
        <v>7766</v>
      </c>
    </row>
    <row r="2283" spans="1:3" ht="15.75" customHeight="1" x14ac:dyDescent="0.25">
      <c r="A2283" s="1" t="s">
        <v>4084</v>
      </c>
      <c r="B2283" s="1" t="s">
        <v>7765</v>
      </c>
      <c r="C2283" s="1" t="s">
        <v>6125</v>
      </c>
    </row>
    <row r="2284" spans="1:3" ht="15.75" customHeight="1" x14ac:dyDescent="0.25">
      <c r="A2284" s="1" t="s">
        <v>3199</v>
      </c>
      <c r="B2284" s="1" t="s">
        <v>7764</v>
      </c>
      <c r="C2284" s="1" t="s">
        <v>6671</v>
      </c>
    </row>
    <row r="2285" spans="1:3" ht="15.75" customHeight="1" x14ac:dyDescent="0.25">
      <c r="A2285" s="1" t="s">
        <v>1824</v>
      </c>
      <c r="B2285" s="1" t="s">
        <v>7763</v>
      </c>
      <c r="C2285" s="1" t="s">
        <v>6242</v>
      </c>
    </row>
    <row r="2286" spans="1:3" ht="15.75" customHeight="1" x14ac:dyDescent="0.25">
      <c r="A2286" s="1" t="s">
        <v>7762</v>
      </c>
      <c r="B2286" s="1" t="s">
        <v>7761</v>
      </c>
      <c r="C2286" s="1" t="s">
        <v>6546</v>
      </c>
    </row>
    <row r="2287" spans="1:3" ht="15.75" customHeight="1" x14ac:dyDescent="0.25">
      <c r="A2287" s="1" t="s">
        <v>2735</v>
      </c>
      <c r="B2287" s="1" t="s">
        <v>7760</v>
      </c>
      <c r="C2287" s="1" t="s">
        <v>7759</v>
      </c>
    </row>
    <row r="2288" spans="1:3" ht="15.75" customHeight="1" x14ac:dyDescent="0.25">
      <c r="A2288" s="1" t="s">
        <v>3031</v>
      </c>
      <c r="B2288" s="1" t="s">
        <v>7758</v>
      </c>
      <c r="C2288" s="1" t="s">
        <v>6651</v>
      </c>
    </row>
    <row r="2289" spans="1:3" ht="15.75" customHeight="1" x14ac:dyDescent="0.25">
      <c r="A2289" s="1" t="s">
        <v>4802</v>
      </c>
      <c r="B2289" s="1" t="s">
        <v>7757</v>
      </c>
      <c r="C2289" s="1" t="s">
        <v>6714</v>
      </c>
    </row>
    <row r="2290" spans="1:3" ht="15.75" customHeight="1" x14ac:dyDescent="0.25">
      <c r="A2290" s="1" t="s">
        <v>4009</v>
      </c>
      <c r="B2290" s="1" t="s">
        <v>7756</v>
      </c>
      <c r="C2290" s="1" t="s">
        <v>6665</v>
      </c>
    </row>
    <row r="2291" spans="1:3" ht="15.75" customHeight="1" x14ac:dyDescent="0.25">
      <c r="A2291" s="1" t="s">
        <v>2223</v>
      </c>
      <c r="B2291" s="1" t="s">
        <v>7755</v>
      </c>
      <c r="C2291" s="1" t="s">
        <v>7754</v>
      </c>
    </row>
    <row r="2292" spans="1:3" ht="15.75" customHeight="1" x14ac:dyDescent="0.25">
      <c r="A2292" s="1" t="s">
        <v>7753</v>
      </c>
      <c r="B2292" s="1" t="s">
        <v>7752</v>
      </c>
      <c r="C2292" s="1" t="s">
        <v>5811</v>
      </c>
    </row>
    <row r="2293" spans="1:3" ht="15.75" customHeight="1" x14ac:dyDescent="0.25">
      <c r="A2293" s="1" t="s">
        <v>7751</v>
      </c>
      <c r="B2293" s="1" t="s">
        <v>7750</v>
      </c>
      <c r="C2293" s="1" t="s">
        <v>7749</v>
      </c>
    </row>
    <row r="2294" spans="1:3" ht="15.75" customHeight="1" x14ac:dyDescent="0.25">
      <c r="A2294" s="1" t="s">
        <v>1624</v>
      </c>
      <c r="B2294" s="1" t="s">
        <v>7748</v>
      </c>
      <c r="C2294" s="1" t="s">
        <v>6647</v>
      </c>
    </row>
    <row r="2295" spans="1:3" ht="15.75" customHeight="1" x14ac:dyDescent="0.25">
      <c r="A2295" s="1" t="s">
        <v>7747</v>
      </c>
      <c r="B2295" s="1" t="s">
        <v>7746</v>
      </c>
      <c r="C2295" s="1" t="s">
        <v>6242</v>
      </c>
    </row>
    <row r="2296" spans="1:3" ht="15.75" customHeight="1" x14ac:dyDescent="0.25">
      <c r="A2296" s="1" t="s">
        <v>7745</v>
      </c>
      <c r="B2296" s="1" t="s">
        <v>7744</v>
      </c>
      <c r="C2296" s="1" t="s">
        <v>6759</v>
      </c>
    </row>
    <row r="2297" spans="1:3" ht="15.75" customHeight="1" x14ac:dyDescent="0.25">
      <c r="A2297" s="1" t="s">
        <v>2663</v>
      </c>
      <c r="B2297" s="1" t="s">
        <v>7743</v>
      </c>
      <c r="C2297" s="1" t="s">
        <v>6795</v>
      </c>
    </row>
    <row r="2298" spans="1:3" ht="15.75" customHeight="1" x14ac:dyDescent="0.25">
      <c r="A2298" s="1" t="s">
        <v>7742</v>
      </c>
      <c r="B2298" s="1" t="s">
        <v>7741</v>
      </c>
      <c r="C2298" s="1" t="s">
        <v>6242</v>
      </c>
    </row>
    <row r="2299" spans="1:3" ht="15.75" customHeight="1" x14ac:dyDescent="0.25">
      <c r="A2299" s="1" t="s">
        <v>1020</v>
      </c>
      <c r="B2299" s="1" t="s">
        <v>7711</v>
      </c>
      <c r="C2299" s="1" t="s">
        <v>7170</v>
      </c>
    </row>
    <row r="2300" spans="1:3" ht="15.75" customHeight="1" x14ac:dyDescent="0.25">
      <c r="A2300" s="1" t="s">
        <v>4990</v>
      </c>
      <c r="B2300" s="1" t="s">
        <v>7740</v>
      </c>
      <c r="C2300" s="1" t="s">
        <v>7739</v>
      </c>
    </row>
    <row r="2301" spans="1:3" ht="15.75" customHeight="1" x14ac:dyDescent="0.25">
      <c r="A2301" s="1" t="s">
        <v>7738</v>
      </c>
      <c r="B2301" s="1" t="s">
        <v>7737</v>
      </c>
      <c r="C2301" s="1" t="s">
        <v>6242</v>
      </c>
    </row>
    <row r="2302" spans="1:3" ht="15.75" customHeight="1" x14ac:dyDescent="0.25">
      <c r="A2302" s="1" t="s">
        <v>5323</v>
      </c>
      <c r="B2302" s="1" t="s">
        <v>7736</v>
      </c>
      <c r="C2302" s="1" t="s">
        <v>7735</v>
      </c>
    </row>
    <row r="2303" spans="1:3" ht="15.75" customHeight="1" x14ac:dyDescent="0.25">
      <c r="A2303" s="1" t="s">
        <v>900</v>
      </c>
      <c r="B2303" s="1" t="s">
        <v>7734</v>
      </c>
      <c r="C2303" s="1" t="s">
        <v>7189</v>
      </c>
    </row>
    <row r="2304" spans="1:3" ht="15.75" customHeight="1" x14ac:dyDescent="0.25">
      <c r="A2304" s="1" t="s">
        <v>7733</v>
      </c>
      <c r="B2304" s="1" t="s">
        <v>7732</v>
      </c>
      <c r="C2304" s="1" t="s">
        <v>6850</v>
      </c>
    </row>
    <row r="2305" spans="1:3" ht="15.75" customHeight="1" x14ac:dyDescent="0.25">
      <c r="A2305" s="1" t="s">
        <v>4260</v>
      </c>
      <c r="B2305" s="1" t="s">
        <v>7731</v>
      </c>
      <c r="C2305" s="1" t="s">
        <v>5838</v>
      </c>
    </row>
    <row r="2306" spans="1:3" ht="15.75" customHeight="1" x14ac:dyDescent="0.25">
      <c r="A2306" s="1" t="s">
        <v>932</v>
      </c>
      <c r="B2306" s="1" t="s">
        <v>7730</v>
      </c>
      <c r="C2306" s="1" t="s">
        <v>6479</v>
      </c>
    </row>
    <row r="2307" spans="1:3" ht="15.75" customHeight="1" x14ac:dyDescent="0.25">
      <c r="A2307" s="1" t="s">
        <v>4977</v>
      </c>
      <c r="B2307" s="1" t="s">
        <v>7729</v>
      </c>
      <c r="C2307" s="1" t="s">
        <v>7337</v>
      </c>
    </row>
    <row r="2308" spans="1:3" ht="15.75" customHeight="1" x14ac:dyDescent="0.25">
      <c r="A2308" s="1" t="s">
        <v>3761</v>
      </c>
      <c r="B2308" s="1" t="s">
        <v>7728</v>
      </c>
      <c r="C2308" s="1" t="s">
        <v>5886</v>
      </c>
    </row>
    <row r="2309" spans="1:3" ht="15.75" customHeight="1" x14ac:dyDescent="0.25">
      <c r="A2309" s="1" t="s">
        <v>5497</v>
      </c>
      <c r="B2309" s="1" t="s">
        <v>7727</v>
      </c>
      <c r="C2309" s="1" t="s">
        <v>7726</v>
      </c>
    </row>
    <row r="2310" spans="1:3" ht="15.75" customHeight="1" x14ac:dyDescent="0.25">
      <c r="A2310" s="1" t="s">
        <v>7725</v>
      </c>
      <c r="B2310" s="1" t="s">
        <v>7724</v>
      </c>
      <c r="C2310" s="1" t="s">
        <v>6653</v>
      </c>
    </row>
    <row r="2311" spans="1:3" ht="15.75" customHeight="1" x14ac:dyDescent="0.25">
      <c r="A2311" s="1" t="s">
        <v>2360</v>
      </c>
      <c r="B2311" s="1" t="s">
        <v>7723</v>
      </c>
      <c r="C2311" s="1" t="s">
        <v>6125</v>
      </c>
    </row>
    <row r="2312" spans="1:3" ht="15.75" customHeight="1" x14ac:dyDescent="0.25">
      <c r="A2312" s="1" t="s">
        <v>3741</v>
      </c>
      <c r="B2312" s="1" t="s">
        <v>7722</v>
      </c>
      <c r="C2312" s="1" t="s">
        <v>5919</v>
      </c>
    </row>
    <row r="2313" spans="1:3" ht="15.75" customHeight="1" x14ac:dyDescent="0.25">
      <c r="A2313" s="1" t="s">
        <v>1397</v>
      </c>
      <c r="B2313" s="1" t="s">
        <v>7721</v>
      </c>
      <c r="C2313" s="1" t="s">
        <v>7720</v>
      </c>
    </row>
    <row r="2314" spans="1:3" ht="15.75" customHeight="1" x14ac:dyDescent="0.25">
      <c r="A2314" s="1" t="s">
        <v>5306</v>
      </c>
      <c r="B2314" s="1" t="s">
        <v>7719</v>
      </c>
      <c r="C2314" s="1" t="s">
        <v>6524</v>
      </c>
    </row>
    <row r="2315" spans="1:3" ht="15.75" customHeight="1" x14ac:dyDescent="0.25">
      <c r="A2315" s="1" t="s">
        <v>114</v>
      </c>
      <c r="B2315" s="1" t="s">
        <v>7718</v>
      </c>
      <c r="C2315" s="1" t="s">
        <v>5796</v>
      </c>
    </row>
    <row r="2316" spans="1:3" ht="15.75" customHeight="1" x14ac:dyDescent="0.25">
      <c r="A2316" s="1" t="s">
        <v>4209</v>
      </c>
      <c r="B2316" s="1" t="s">
        <v>7717</v>
      </c>
      <c r="C2316" s="1" t="s">
        <v>7716</v>
      </c>
    </row>
    <row r="2317" spans="1:3" ht="15.75" customHeight="1" x14ac:dyDescent="0.25">
      <c r="A2317" s="1" t="s">
        <v>3543</v>
      </c>
      <c r="B2317" s="1" t="s">
        <v>7715</v>
      </c>
      <c r="C2317" s="1" t="s">
        <v>5800</v>
      </c>
    </row>
    <row r="2318" spans="1:3" ht="15.75" customHeight="1" x14ac:dyDescent="0.25">
      <c r="A2318" s="1" t="s">
        <v>7714</v>
      </c>
      <c r="B2318" s="1" t="s">
        <v>7713</v>
      </c>
      <c r="C2318" s="1" t="s">
        <v>6319</v>
      </c>
    </row>
    <row r="2319" spans="1:3" ht="15.75" customHeight="1" x14ac:dyDescent="0.25">
      <c r="A2319" s="1" t="s">
        <v>5210</v>
      </c>
      <c r="B2319" s="1" t="s">
        <v>7712</v>
      </c>
      <c r="C2319" s="1" t="s">
        <v>5836</v>
      </c>
    </row>
    <row r="2320" spans="1:3" ht="15.75" customHeight="1" x14ac:dyDescent="0.25">
      <c r="A2320" s="1" t="s">
        <v>4908</v>
      </c>
      <c r="B2320" s="1" t="s">
        <v>7711</v>
      </c>
      <c r="C2320" s="1" t="s">
        <v>7561</v>
      </c>
    </row>
    <row r="2321" spans="1:3" ht="15.75" customHeight="1" x14ac:dyDescent="0.25">
      <c r="A2321" s="1" t="s">
        <v>2453</v>
      </c>
      <c r="B2321" s="1" t="s">
        <v>7710</v>
      </c>
      <c r="C2321" s="1" t="s">
        <v>6825</v>
      </c>
    </row>
    <row r="2322" spans="1:3" ht="15.75" customHeight="1" x14ac:dyDescent="0.25">
      <c r="A2322" s="1" t="s">
        <v>7709</v>
      </c>
      <c r="B2322" s="1" t="s">
        <v>7708</v>
      </c>
      <c r="C2322" s="1" t="s">
        <v>5836</v>
      </c>
    </row>
    <row r="2323" spans="1:3" ht="15.75" customHeight="1" x14ac:dyDescent="0.25">
      <c r="A2323" s="1" t="s">
        <v>2886</v>
      </c>
      <c r="B2323" s="1" t="s">
        <v>7707</v>
      </c>
      <c r="C2323" s="1" t="s">
        <v>7195</v>
      </c>
    </row>
    <row r="2324" spans="1:3" ht="15.75" customHeight="1" x14ac:dyDescent="0.25">
      <c r="A2324" s="1" t="s">
        <v>7706</v>
      </c>
      <c r="B2324" s="1" t="s">
        <v>7705</v>
      </c>
      <c r="C2324" s="1" t="s">
        <v>6709</v>
      </c>
    </row>
    <row r="2325" spans="1:3" ht="15.75" customHeight="1" x14ac:dyDescent="0.25">
      <c r="A2325" s="1" t="s">
        <v>7704</v>
      </c>
      <c r="B2325" s="1" t="s">
        <v>7703</v>
      </c>
      <c r="C2325" s="1" t="s">
        <v>7640</v>
      </c>
    </row>
    <row r="2326" spans="1:3" ht="15.75" customHeight="1" x14ac:dyDescent="0.25">
      <c r="A2326" s="1" t="s">
        <v>7702</v>
      </c>
      <c r="B2326" s="1" t="s">
        <v>7701</v>
      </c>
      <c r="C2326" s="1" t="s">
        <v>6690</v>
      </c>
    </row>
    <row r="2327" spans="1:3" ht="15.75" customHeight="1" x14ac:dyDescent="0.25">
      <c r="A2327" s="1" t="s">
        <v>7700</v>
      </c>
      <c r="B2327" s="1" t="s">
        <v>7699</v>
      </c>
      <c r="C2327" s="1" t="s">
        <v>6122</v>
      </c>
    </row>
    <row r="2328" spans="1:3" ht="15.75" customHeight="1" x14ac:dyDescent="0.25">
      <c r="A2328" s="1" t="s">
        <v>2419</v>
      </c>
      <c r="B2328" s="1" t="s">
        <v>7698</v>
      </c>
      <c r="C2328" s="1" t="s">
        <v>6795</v>
      </c>
    </row>
    <row r="2329" spans="1:3" ht="15.75" customHeight="1" x14ac:dyDescent="0.25">
      <c r="A2329" s="1" t="s">
        <v>7697</v>
      </c>
      <c r="B2329" s="1" t="s">
        <v>7696</v>
      </c>
      <c r="C2329" s="1" t="s">
        <v>6530</v>
      </c>
    </row>
    <row r="2330" spans="1:3" ht="15.75" customHeight="1" x14ac:dyDescent="0.25">
      <c r="A2330" s="1" t="s">
        <v>7695</v>
      </c>
      <c r="B2330" s="1" t="s">
        <v>7694</v>
      </c>
      <c r="C2330" s="1" t="s">
        <v>6546</v>
      </c>
    </row>
    <row r="2331" spans="1:3" ht="15.75" customHeight="1" x14ac:dyDescent="0.25">
      <c r="A2331" s="1" t="s">
        <v>4047</v>
      </c>
      <c r="B2331" s="1" t="s">
        <v>7693</v>
      </c>
      <c r="C2331" s="1" t="s">
        <v>6690</v>
      </c>
    </row>
    <row r="2332" spans="1:3" ht="15.75" customHeight="1" x14ac:dyDescent="0.25">
      <c r="A2332" s="1" t="s">
        <v>2814</v>
      </c>
      <c r="B2332" s="1" t="s">
        <v>7692</v>
      </c>
      <c r="C2332" s="1" t="s">
        <v>6495</v>
      </c>
    </row>
    <row r="2333" spans="1:3" ht="15.75" customHeight="1" x14ac:dyDescent="0.25">
      <c r="A2333" s="1" t="s">
        <v>1012</v>
      </c>
      <c r="B2333" s="1" t="s">
        <v>7691</v>
      </c>
      <c r="C2333" s="1" t="s">
        <v>5873</v>
      </c>
    </row>
    <row r="2334" spans="1:3" ht="15.75" customHeight="1" x14ac:dyDescent="0.25">
      <c r="A2334" s="1" t="s">
        <v>7690</v>
      </c>
      <c r="B2334" s="1" t="s">
        <v>7689</v>
      </c>
      <c r="C2334" s="1" t="s">
        <v>5890</v>
      </c>
    </row>
    <row r="2335" spans="1:3" ht="15.75" customHeight="1" x14ac:dyDescent="0.25">
      <c r="A2335" s="1" t="s">
        <v>7688</v>
      </c>
      <c r="B2335" s="1" t="s">
        <v>7687</v>
      </c>
      <c r="C2335" s="1" t="s">
        <v>5890</v>
      </c>
    </row>
    <row r="2336" spans="1:3" ht="15.75" customHeight="1" x14ac:dyDescent="0.25">
      <c r="A2336" s="1" t="s">
        <v>7686</v>
      </c>
      <c r="B2336" s="1" t="s">
        <v>7685</v>
      </c>
      <c r="C2336" s="1" t="s">
        <v>5784</v>
      </c>
    </row>
    <row r="2337" spans="1:3" ht="15.75" customHeight="1" x14ac:dyDescent="0.25">
      <c r="A2337" s="1" t="s">
        <v>7684</v>
      </c>
      <c r="B2337" s="1" t="s">
        <v>7683</v>
      </c>
      <c r="C2337" s="1" t="s">
        <v>5781</v>
      </c>
    </row>
    <row r="2338" spans="1:3" ht="15.75" customHeight="1" x14ac:dyDescent="0.25">
      <c r="A2338" s="1" t="s">
        <v>7682</v>
      </c>
      <c r="B2338" s="1" t="s">
        <v>7681</v>
      </c>
      <c r="C2338" s="1" t="s">
        <v>5853</v>
      </c>
    </row>
    <row r="2339" spans="1:3" ht="15.75" customHeight="1" x14ac:dyDescent="0.25">
      <c r="A2339" s="1" t="s">
        <v>7680</v>
      </c>
      <c r="B2339" s="1" t="s">
        <v>7679</v>
      </c>
      <c r="C2339" s="1" t="s">
        <v>6533</v>
      </c>
    </row>
    <row r="2340" spans="1:3" ht="15.75" customHeight="1" x14ac:dyDescent="0.25">
      <c r="A2340" s="1" t="s">
        <v>7678</v>
      </c>
      <c r="B2340" s="1" t="s">
        <v>7677</v>
      </c>
      <c r="C2340" s="1" t="s">
        <v>6282</v>
      </c>
    </row>
    <row r="2341" spans="1:3" ht="15.75" customHeight="1" x14ac:dyDescent="0.25">
      <c r="A2341" s="1" t="s">
        <v>7676</v>
      </c>
      <c r="B2341" s="1" t="s">
        <v>7675</v>
      </c>
      <c r="C2341" s="1" t="s">
        <v>5890</v>
      </c>
    </row>
    <row r="2342" spans="1:3" ht="15.75" customHeight="1" x14ac:dyDescent="0.25">
      <c r="A2342" s="1" t="s">
        <v>7674</v>
      </c>
      <c r="B2342" s="1" t="s">
        <v>7673</v>
      </c>
      <c r="C2342" s="1" t="s">
        <v>5784</v>
      </c>
    </row>
    <row r="2343" spans="1:3" ht="15.75" customHeight="1" x14ac:dyDescent="0.25">
      <c r="A2343" s="1" t="s">
        <v>7672</v>
      </c>
      <c r="B2343" s="1" t="s">
        <v>7671</v>
      </c>
      <c r="C2343" s="1" t="s">
        <v>5890</v>
      </c>
    </row>
    <row r="2344" spans="1:3" ht="15.75" customHeight="1" x14ac:dyDescent="0.25">
      <c r="A2344" s="1" t="s">
        <v>7670</v>
      </c>
      <c r="B2344" s="1" t="s">
        <v>7669</v>
      </c>
      <c r="C2344" s="1" t="s">
        <v>7668</v>
      </c>
    </row>
    <row r="2345" spans="1:3" ht="15.75" customHeight="1" x14ac:dyDescent="0.25">
      <c r="A2345" s="1" t="s">
        <v>7667</v>
      </c>
      <c r="B2345" s="1" t="s">
        <v>7666</v>
      </c>
      <c r="C2345" s="1" t="s">
        <v>5836</v>
      </c>
    </row>
    <row r="2346" spans="1:3" ht="15.75" customHeight="1" x14ac:dyDescent="0.25">
      <c r="A2346" s="1" t="s">
        <v>7665</v>
      </c>
      <c r="B2346" s="1" t="s">
        <v>7664</v>
      </c>
      <c r="C2346" s="1" t="s">
        <v>6375</v>
      </c>
    </row>
    <row r="2347" spans="1:3" ht="15.75" customHeight="1" x14ac:dyDescent="0.25">
      <c r="A2347" s="1" t="s">
        <v>7663</v>
      </c>
      <c r="B2347" s="1" t="s">
        <v>7662</v>
      </c>
      <c r="C2347" s="1" t="s">
        <v>7661</v>
      </c>
    </row>
    <row r="2348" spans="1:3" ht="15.75" customHeight="1" x14ac:dyDescent="0.25">
      <c r="A2348" s="1" t="s">
        <v>7660</v>
      </c>
      <c r="B2348" s="1" t="s">
        <v>7659</v>
      </c>
      <c r="C2348" s="1" t="s">
        <v>7658</v>
      </c>
    </row>
    <row r="2349" spans="1:3" ht="15.75" customHeight="1" x14ac:dyDescent="0.25">
      <c r="A2349" s="1" t="s">
        <v>7657</v>
      </c>
      <c r="B2349" s="1" t="s">
        <v>7656</v>
      </c>
      <c r="C2349" s="1" t="s">
        <v>6282</v>
      </c>
    </row>
    <row r="2350" spans="1:3" ht="15.75" customHeight="1" x14ac:dyDescent="0.25">
      <c r="A2350" s="1" t="s">
        <v>7655</v>
      </c>
      <c r="B2350" s="1" t="s">
        <v>7654</v>
      </c>
      <c r="C2350" s="1" t="s">
        <v>7653</v>
      </c>
    </row>
    <row r="2351" spans="1:3" ht="15.75" customHeight="1" x14ac:dyDescent="0.25">
      <c r="A2351" s="1" t="s">
        <v>3191</v>
      </c>
      <c r="B2351" s="1" t="s">
        <v>7652</v>
      </c>
      <c r="C2351" s="1" t="s">
        <v>6486</v>
      </c>
    </row>
    <row r="2352" spans="1:3" ht="15.75" customHeight="1" x14ac:dyDescent="0.25">
      <c r="A2352" s="1" t="s">
        <v>3074</v>
      </c>
      <c r="B2352" s="1" t="s">
        <v>7651</v>
      </c>
      <c r="C2352" s="1" t="s">
        <v>6093</v>
      </c>
    </row>
    <row r="2353" spans="1:3" ht="15.75" customHeight="1" x14ac:dyDescent="0.25">
      <c r="A2353" s="1" t="s">
        <v>1844</v>
      </c>
      <c r="B2353" s="1" t="s">
        <v>7650</v>
      </c>
      <c r="C2353" s="1" t="s">
        <v>6093</v>
      </c>
    </row>
    <row r="2354" spans="1:3" ht="15.75" customHeight="1" x14ac:dyDescent="0.25">
      <c r="A2354" s="1" t="s">
        <v>3803</v>
      </c>
      <c r="B2354" s="1" t="s">
        <v>7649</v>
      </c>
      <c r="C2354" s="1" t="s">
        <v>6642</v>
      </c>
    </row>
    <row r="2355" spans="1:3" ht="15.75" customHeight="1" x14ac:dyDescent="0.25">
      <c r="A2355" s="1" t="s">
        <v>3473</v>
      </c>
      <c r="B2355" s="1" t="s">
        <v>7648</v>
      </c>
      <c r="C2355" s="1" t="s">
        <v>6653</v>
      </c>
    </row>
    <row r="2356" spans="1:3" ht="15.75" customHeight="1" x14ac:dyDescent="0.25">
      <c r="A2356" s="1" t="s">
        <v>7647</v>
      </c>
      <c r="B2356" s="1" t="s">
        <v>7646</v>
      </c>
      <c r="C2356" s="1" t="s">
        <v>6755</v>
      </c>
    </row>
    <row r="2357" spans="1:3" ht="15.75" customHeight="1" x14ac:dyDescent="0.25">
      <c r="A2357" s="1" t="s">
        <v>3801</v>
      </c>
      <c r="B2357" s="1" t="s">
        <v>7645</v>
      </c>
      <c r="C2357" s="1" t="s">
        <v>7644</v>
      </c>
    </row>
    <row r="2358" spans="1:3" ht="15.75" customHeight="1" x14ac:dyDescent="0.25">
      <c r="A2358" s="1" t="s">
        <v>4116</v>
      </c>
      <c r="B2358" s="1" t="s">
        <v>7643</v>
      </c>
      <c r="C2358" s="1" t="s">
        <v>7642</v>
      </c>
    </row>
    <row r="2359" spans="1:3" ht="15.75" customHeight="1" x14ac:dyDescent="0.25">
      <c r="A2359" s="1" t="s">
        <v>3670</v>
      </c>
      <c r="B2359" s="1" t="s">
        <v>7641</v>
      </c>
      <c r="C2359" s="1" t="s">
        <v>7640</v>
      </c>
    </row>
    <row r="2360" spans="1:3" ht="15.75" customHeight="1" x14ac:dyDescent="0.25">
      <c r="A2360" s="1" t="s">
        <v>7639</v>
      </c>
      <c r="B2360" s="1" t="s">
        <v>7638</v>
      </c>
      <c r="C2360" s="1" t="s">
        <v>5893</v>
      </c>
    </row>
    <row r="2361" spans="1:3" ht="15.75" customHeight="1" x14ac:dyDescent="0.25">
      <c r="A2361" s="1" t="s">
        <v>7637</v>
      </c>
      <c r="B2361" s="1" t="s">
        <v>7636</v>
      </c>
      <c r="C2361" s="1" t="s">
        <v>6122</v>
      </c>
    </row>
    <row r="2362" spans="1:3" ht="15.75" customHeight="1" x14ac:dyDescent="0.25">
      <c r="A2362" s="1" t="s">
        <v>7635</v>
      </c>
      <c r="B2362" s="1" t="s">
        <v>7634</v>
      </c>
      <c r="C2362" s="1" t="s">
        <v>6546</v>
      </c>
    </row>
    <row r="2363" spans="1:3" ht="15.75" customHeight="1" x14ac:dyDescent="0.25">
      <c r="A2363" s="1" t="s">
        <v>3799</v>
      </c>
      <c r="B2363" s="1" t="s">
        <v>7633</v>
      </c>
      <c r="C2363" s="1" t="s">
        <v>6717</v>
      </c>
    </row>
    <row r="2364" spans="1:3" ht="15.75" customHeight="1" x14ac:dyDescent="0.25">
      <c r="A2364" s="1" t="s">
        <v>7632</v>
      </c>
      <c r="B2364" s="1" t="s">
        <v>7631</v>
      </c>
      <c r="C2364" s="1" t="s">
        <v>7055</v>
      </c>
    </row>
    <row r="2365" spans="1:3" ht="15.75" customHeight="1" x14ac:dyDescent="0.25">
      <c r="A2365" s="1" t="s">
        <v>7630</v>
      </c>
      <c r="B2365" s="1" t="s">
        <v>7629</v>
      </c>
      <c r="C2365" s="1" t="s">
        <v>6242</v>
      </c>
    </row>
    <row r="2366" spans="1:3" ht="15.75" customHeight="1" x14ac:dyDescent="0.25">
      <c r="A2366" s="1" t="s">
        <v>7628</v>
      </c>
      <c r="B2366" s="1" t="s">
        <v>7627</v>
      </c>
      <c r="C2366" s="1" t="s">
        <v>6168</v>
      </c>
    </row>
    <row r="2367" spans="1:3" ht="15.75" customHeight="1" x14ac:dyDescent="0.25">
      <c r="A2367" s="1" t="s">
        <v>7626</v>
      </c>
      <c r="B2367" s="1" t="s">
        <v>7625</v>
      </c>
      <c r="C2367" s="1" t="s">
        <v>6486</v>
      </c>
    </row>
    <row r="2368" spans="1:3" ht="15.75" customHeight="1" x14ac:dyDescent="0.25">
      <c r="A2368" s="1" t="s">
        <v>3805</v>
      </c>
      <c r="B2368" s="1" t="s">
        <v>7624</v>
      </c>
      <c r="C2368" s="1" t="s">
        <v>7623</v>
      </c>
    </row>
    <row r="2369" spans="1:3" ht="15.75" customHeight="1" x14ac:dyDescent="0.25">
      <c r="A2369" s="1" t="s">
        <v>7622</v>
      </c>
      <c r="B2369" s="1" t="s">
        <v>7621</v>
      </c>
      <c r="C2369" s="1" t="s">
        <v>6260</v>
      </c>
    </row>
    <row r="2370" spans="1:3" ht="15.75" customHeight="1" x14ac:dyDescent="0.25">
      <c r="A2370" s="1" t="s">
        <v>7620</v>
      </c>
      <c r="B2370" s="1" t="s">
        <v>7619</v>
      </c>
      <c r="C2370" s="1" t="s">
        <v>6242</v>
      </c>
    </row>
    <row r="2371" spans="1:3" ht="15.75" customHeight="1" x14ac:dyDescent="0.25">
      <c r="A2371" s="1" t="s">
        <v>2034</v>
      </c>
      <c r="B2371" s="1" t="s">
        <v>7618</v>
      </c>
      <c r="C2371" s="1" t="s">
        <v>6795</v>
      </c>
    </row>
    <row r="2372" spans="1:3" ht="15.75" customHeight="1" x14ac:dyDescent="0.25">
      <c r="A2372" s="1" t="s">
        <v>7617</v>
      </c>
      <c r="B2372" s="1" t="s">
        <v>7616</v>
      </c>
      <c r="C2372" s="1" t="s">
        <v>6125</v>
      </c>
    </row>
    <row r="2373" spans="1:3" ht="15.75" customHeight="1" x14ac:dyDescent="0.25">
      <c r="A2373" s="1" t="s">
        <v>1857</v>
      </c>
      <c r="B2373" s="1" t="s">
        <v>7615</v>
      </c>
      <c r="C2373" s="1" t="s">
        <v>6651</v>
      </c>
    </row>
    <row r="2374" spans="1:3" ht="15.75" customHeight="1" x14ac:dyDescent="0.25">
      <c r="A2374" s="1" t="s">
        <v>7614</v>
      </c>
      <c r="B2374" s="1" t="s">
        <v>7578</v>
      </c>
      <c r="C2374" s="1" t="s">
        <v>6276</v>
      </c>
    </row>
    <row r="2375" spans="1:3" ht="15.75" customHeight="1" x14ac:dyDescent="0.25">
      <c r="A2375" s="1" t="s">
        <v>627</v>
      </c>
      <c r="B2375" s="1" t="s">
        <v>7613</v>
      </c>
      <c r="C2375" s="1" t="s">
        <v>7528</v>
      </c>
    </row>
    <row r="2376" spans="1:3" ht="15.75" customHeight="1" x14ac:dyDescent="0.25">
      <c r="A2376" s="1" t="s">
        <v>507</v>
      </c>
      <c r="B2376" s="1" t="s">
        <v>7612</v>
      </c>
      <c r="C2376" s="1" t="s">
        <v>7611</v>
      </c>
    </row>
    <row r="2377" spans="1:3" ht="15.75" customHeight="1" x14ac:dyDescent="0.25">
      <c r="A2377" s="1" t="s">
        <v>2782</v>
      </c>
      <c r="B2377" s="1" t="s">
        <v>7610</v>
      </c>
      <c r="C2377" s="1" t="s">
        <v>6714</v>
      </c>
    </row>
    <row r="2378" spans="1:3" ht="15.75" customHeight="1" x14ac:dyDescent="0.25">
      <c r="A2378" s="1" t="s">
        <v>7609</v>
      </c>
      <c r="B2378" s="1" t="s">
        <v>7608</v>
      </c>
      <c r="C2378" s="1" t="s">
        <v>5811</v>
      </c>
    </row>
    <row r="2379" spans="1:3" ht="15.75" customHeight="1" x14ac:dyDescent="0.25">
      <c r="A2379" s="1" t="s">
        <v>7607</v>
      </c>
      <c r="B2379" s="1" t="s">
        <v>7606</v>
      </c>
      <c r="C2379" s="1" t="s">
        <v>7468</v>
      </c>
    </row>
    <row r="2380" spans="1:3" ht="15.75" customHeight="1" x14ac:dyDescent="0.25">
      <c r="A2380" s="1" t="s">
        <v>3960</v>
      </c>
      <c r="B2380" s="1" t="s">
        <v>7605</v>
      </c>
      <c r="C2380" s="1" t="s">
        <v>7423</v>
      </c>
    </row>
    <row r="2381" spans="1:3" ht="15.75" customHeight="1" x14ac:dyDescent="0.25">
      <c r="A2381" s="1" t="s">
        <v>5553</v>
      </c>
      <c r="B2381" s="1" t="s">
        <v>7604</v>
      </c>
      <c r="C2381" s="1" t="s">
        <v>7374</v>
      </c>
    </row>
    <row r="2382" spans="1:3" ht="15.75" customHeight="1" x14ac:dyDescent="0.25">
      <c r="A2382" s="1" t="s">
        <v>7603</v>
      </c>
      <c r="B2382" s="1" t="s">
        <v>7602</v>
      </c>
      <c r="C2382" s="1" t="s">
        <v>6242</v>
      </c>
    </row>
    <row r="2383" spans="1:3" ht="15.75" customHeight="1" x14ac:dyDescent="0.25">
      <c r="A2383" s="1" t="s">
        <v>2992</v>
      </c>
      <c r="B2383" s="1" t="s">
        <v>7601</v>
      </c>
      <c r="C2383" s="1" t="s">
        <v>5838</v>
      </c>
    </row>
    <row r="2384" spans="1:3" ht="15.75" customHeight="1" x14ac:dyDescent="0.25">
      <c r="A2384" s="1" t="s">
        <v>5425</v>
      </c>
      <c r="B2384" s="1" t="s">
        <v>7600</v>
      </c>
      <c r="C2384" s="1" t="s">
        <v>7599</v>
      </c>
    </row>
    <row r="2385" spans="1:3" ht="15.75" customHeight="1" x14ac:dyDescent="0.25">
      <c r="A2385" s="1" t="s">
        <v>4134</v>
      </c>
      <c r="B2385" s="1" t="s">
        <v>7598</v>
      </c>
      <c r="C2385" s="1" t="s">
        <v>6665</v>
      </c>
    </row>
    <row r="2386" spans="1:3" ht="15.75" customHeight="1" x14ac:dyDescent="0.25">
      <c r="A2386" s="1" t="s">
        <v>3850</v>
      </c>
      <c r="B2386" s="1" t="s">
        <v>7597</v>
      </c>
      <c r="C2386" s="1" t="s">
        <v>7522</v>
      </c>
    </row>
    <row r="2387" spans="1:3" ht="15.75" customHeight="1" x14ac:dyDescent="0.25">
      <c r="A2387" s="1" t="s">
        <v>7596</v>
      </c>
      <c r="B2387" s="1" t="s">
        <v>7595</v>
      </c>
      <c r="C2387" s="1" t="s">
        <v>6122</v>
      </c>
    </row>
    <row r="2388" spans="1:3" ht="15.75" customHeight="1" x14ac:dyDescent="0.25">
      <c r="A2388" s="1" t="s">
        <v>4906</v>
      </c>
      <c r="B2388" s="1" t="s">
        <v>7594</v>
      </c>
      <c r="C2388" s="1" t="s">
        <v>7055</v>
      </c>
    </row>
    <row r="2389" spans="1:3" ht="15.75" customHeight="1" x14ac:dyDescent="0.25">
      <c r="A2389" s="1" t="s">
        <v>2611</v>
      </c>
      <c r="B2389" s="1" t="s">
        <v>7593</v>
      </c>
      <c r="C2389" s="1" t="s">
        <v>7592</v>
      </c>
    </row>
    <row r="2390" spans="1:3" ht="15.75" customHeight="1" x14ac:dyDescent="0.25">
      <c r="A2390" s="1" t="s">
        <v>7591</v>
      </c>
      <c r="B2390" s="1" t="s">
        <v>7590</v>
      </c>
      <c r="C2390" s="1" t="s">
        <v>5781</v>
      </c>
    </row>
    <row r="2391" spans="1:3" ht="15.75" customHeight="1" x14ac:dyDescent="0.25">
      <c r="A2391" s="1" t="s">
        <v>4886</v>
      </c>
      <c r="B2391" s="1" t="s">
        <v>7589</v>
      </c>
      <c r="C2391" s="1" t="s">
        <v>5906</v>
      </c>
    </row>
    <row r="2392" spans="1:3" ht="15.75" customHeight="1" x14ac:dyDescent="0.25">
      <c r="A2392" s="1" t="s">
        <v>3390</v>
      </c>
      <c r="B2392" s="1" t="s">
        <v>7588</v>
      </c>
      <c r="C2392" s="1" t="s">
        <v>5836</v>
      </c>
    </row>
    <row r="2393" spans="1:3" ht="15.75" customHeight="1" x14ac:dyDescent="0.25">
      <c r="A2393" s="1" t="s">
        <v>3444</v>
      </c>
      <c r="B2393" s="1" t="s">
        <v>7587</v>
      </c>
      <c r="C2393" s="1" t="s">
        <v>6323</v>
      </c>
    </row>
    <row r="2394" spans="1:3" ht="15.75" customHeight="1" x14ac:dyDescent="0.25">
      <c r="A2394" s="1" t="s">
        <v>2514</v>
      </c>
      <c r="B2394" s="1" t="s">
        <v>7576</v>
      </c>
      <c r="C2394" s="1" t="s">
        <v>6812</v>
      </c>
    </row>
    <row r="2395" spans="1:3" ht="15.75" customHeight="1" x14ac:dyDescent="0.25">
      <c r="A2395" s="1" t="s">
        <v>3323</v>
      </c>
      <c r="B2395" s="1" t="s">
        <v>7586</v>
      </c>
      <c r="C2395" s="1" t="s">
        <v>7585</v>
      </c>
    </row>
    <row r="2396" spans="1:3" ht="15.75" customHeight="1" x14ac:dyDescent="0.25">
      <c r="A2396" s="1" t="s">
        <v>113</v>
      </c>
      <c r="B2396" s="1" t="s">
        <v>7584</v>
      </c>
      <c r="C2396" s="1" t="s">
        <v>6937</v>
      </c>
    </row>
    <row r="2397" spans="1:3" ht="15.75" customHeight="1" x14ac:dyDescent="0.25">
      <c r="A2397" s="1" t="s">
        <v>2191</v>
      </c>
      <c r="B2397" s="1" t="s">
        <v>7583</v>
      </c>
      <c r="C2397" s="1" t="s">
        <v>7582</v>
      </c>
    </row>
    <row r="2398" spans="1:3" ht="15.75" customHeight="1" x14ac:dyDescent="0.25">
      <c r="A2398" s="1" t="s">
        <v>5219</v>
      </c>
      <c r="B2398" s="1" t="s">
        <v>7581</v>
      </c>
      <c r="C2398" s="1" t="s">
        <v>7213</v>
      </c>
    </row>
    <row r="2399" spans="1:3" ht="15.75" customHeight="1" x14ac:dyDescent="0.25">
      <c r="A2399" s="1" t="s">
        <v>7580</v>
      </c>
      <c r="B2399" s="1" t="s">
        <v>7398</v>
      </c>
      <c r="C2399" s="1" t="s">
        <v>6468</v>
      </c>
    </row>
    <row r="2400" spans="1:3" ht="15.75" customHeight="1" x14ac:dyDescent="0.25">
      <c r="A2400" s="1" t="s">
        <v>2372</v>
      </c>
      <c r="B2400" s="1" t="s">
        <v>7579</v>
      </c>
      <c r="C2400" s="1" t="s">
        <v>6647</v>
      </c>
    </row>
    <row r="2401" spans="1:3" ht="15.75" customHeight="1" x14ac:dyDescent="0.25">
      <c r="A2401" s="1" t="s">
        <v>5214</v>
      </c>
      <c r="B2401" s="1" t="s">
        <v>7578</v>
      </c>
      <c r="C2401" s="1" t="s">
        <v>7446</v>
      </c>
    </row>
    <row r="2402" spans="1:3" ht="15.75" customHeight="1" x14ac:dyDescent="0.25">
      <c r="A2402" s="1" t="s">
        <v>7577</v>
      </c>
      <c r="B2402" s="1" t="s">
        <v>7576</v>
      </c>
      <c r="C2402" s="1" t="s">
        <v>6821</v>
      </c>
    </row>
    <row r="2403" spans="1:3" ht="15.75" customHeight="1" x14ac:dyDescent="0.25">
      <c r="A2403" s="1" t="s">
        <v>7575</v>
      </c>
      <c r="B2403" s="1" t="s">
        <v>7574</v>
      </c>
      <c r="C2403" s="1" t="s">
        <v>6295</v>
      </c>
    </row>
    <row r="2404" spans="1:3" ht="15.75" customHeight="1" x14ac:dyDescent="0.25">
      <c r="A2404" s="1" t="s">
        <v>7573</v>
      </c>
      <c r="B2404" s="1" t="s">
        <v>7572</v>
      </c>
      <c r="C2404" s="1" t="s">
        <v>6168</v>
      </c>
    </row>
    <row r="2405" spans="1:3" ht="15.75" customHeight="1" x14ac:dyDescent="0.25">
      <c r="A2405" s="1" t="s">
        <v>1610</v>
      </c>
      <c r="B2405" s="1" t="s">
        <v>7571</v>
      </c>
      <c r="C2405" s="1" t="s">
        <v>6535</v>
      </c>
    </row>
    <row r="2406" spans="1:3" ht="15.75" customHeight="1" x14ac:dyDescent="0.25">
      <c r="A2406" s="1" t="s">
        <v>5255</v>
      </c>
      <c r="B2406" s="1" t="s">
        <v>7570</v>
      </c>
      <c r="C2406" s="1" t="s">
        <v>7569</v>
      </c>
    </row>
    <row r="2407" spans="1:3" ht="15.75" customHeight="1" x14ac:dyDescent="0.25">
      <c r="A2407" s="1" t="s">
        <v>3078</v>
      </c>
      <c r="B2407" s="1" t="s">
        <v>7568</v>
      </c>
      <c r="C2407" s="1" t="s">
        <v>7245</v>
      </c>
    </row>
    <row r="2408" spans="1:3" ht="15.75" customHeight="1" x14ac:dyDescent="0.25">
      <c r="A2408" s="1" t="s">
        <v>7567</v>
      </c>
      <c r="B2408" s="1" t="s">
        <v>7566</v>
      </c>
      <c r="C2408" s="1" t="s">
        <v>5779</v>
      </c>
    </row>
    <row r="2409" spans="1:3" ht="15.75" customHeight="1" x14ac:dyDescent="0.25">
      <c r="A2409" s="1" t="s">
        <v>3367</v>
      </c>
      <c r="B2409" s="1" t="s">
        <v>7565</v>
      </c>
      <c r="C2409" s="1" t="s">
        <v>5919</v>
      </c>
    </row>
    <row r="2410" spans="1:3" ht="15.75" customHeight="1" x14ac:dyDescent="0.25">
      <c r="A2410" s="1" t="s">
        <v>7564</v>
      </c>
      <c r="B2410" s="1" t="s">
        <v>7563</v>
      </c>
      <c r="C2410" s="1" t="s">
        <v>5893</v>
      </c>
    </row>
    <row r="2411" spans="1:3" ht="15.75" customHeight="1" x14ac:dyDescent="0.25">
      <c r="A2411" s="1" t="s">
        <v>1639</v>
      </c>
      <c r="B2411" s="1" t="s">
        <v>7562</v>
      </c>
      <c r="C2411" s="1" t="s">
        <v>7561</v>
      </c>
    </row>
    <row r="2412" spans="1:3" ht="15.75" customHeight="1" x14ac:dyDescent="0.25">
      <c r="A2412" s="1" t="s">
        <v>1898</v>
      </c>
      <c r="B2412" s="1" t="s">
        <v>7560</v>
      </c>
      <c r="C2412" s="1" t="s">
        <v>6535</v>
      </c>
    </row>
    <row r="2413" spans="1:3" ht="15.75" customHeight="1" x14ac:dyDescent="0.25">
      <c r="A2413" s="1" t="s">
        <v>3141</v>
      </c>
      <c r="B2413" s="1" t="s">
        <v>7559</v>
      </c>
      <c r="C2413" s="1" t="s">
        <v>7558</v>
      </c>
    </row>
    <row r="2414" spans="1:3" ht="15.75" customHeight="1" x14ac:dyDescent="0.25">
      <c r="A2414" s="1" t="s">
        <v>3173</v>
      </c>
      <c r="B2414" s="1" t="s">
        <v>7557</v>
      </c>
      <c r="C2414" s="1" t="s">
        <v>5853</v>
      </c>
    </row>
    <row r="2415" spans="1:3" ht="15.75" customHeight="1" x14ac:dyDescent="0.25">
      <c r="A2415" s="1" t="s">
        <v>2272</v>
      </c>
      <c r="B2415" s="1" t="s">
        <v>7556</v>
      </c>
      <c r="C2415" s="1" t="s">
        <v>6276</v>
      </c>
    </row>
    <row r="2416" spans="1:3" ht="15.75" customHeight="1" x14ac:dyDescent="0.25">
      <c r="A2416" s="1" t="s">
        <v>4144</v>
      </c>
      <c r="B2416" s="1" t="s">
        <v>7555</v>
      </c>
      <c r="C2416" s="1" t="s">
        <v>6665</v>
      </c>
    </row>
    <row r="2417" spans="1:3" ht="15.75" customHeight="1" x14ac:dyDescent="0.25">
      <c r="A2417" s="1" t="s">
        <v>7554</v>
      </c>
      <c r="B2417" s="1" t="s">
        <v>7553</v>
      </c>
      <c r="C2417" s="1" t="s">
        <v>6242</v>
      </c>
    </row>
    <row r="2418" spans="1:3" ht="15.75" customHeight="1" x14ac:dyDescent="0.25">
      <c r="A2418" s="1" t="s">
        <v>3354</v>
      </c>
      <c r="B2418" s="1" t="s">
        <v>7552</v>
      </c>
      <c r="C2418" s="1" t="s">
        <v>6640</v>
      </c>
    </row>
    <row r="2419" spans="1:3" ht="15.75" customHeight="1" x14ac:dyDescent="0.25">
      <c r="A2419" s="1" t="s">
        <v>7551</v>
      </c>
      <c r="B2419" s="1" t="s">
        <v>7550</v>
      </c>
      <c r="C2419" s="1" t="s">
        <v>5838</v>
      </c>
    </row>
    <row r="2420" spans="1:3" ht="15.75" customHeight="1" x14ac:dyDescent="0.25">
      <c r="A2420" s="1" t="s">
        <v>7549</v>
      </c>
      <c r="B2420" s="1" t="s">
        <v>7548</v>
      </c>
      <c r="C2420" s="1" t="s">
        <v>6168</v>
      </c>
    </row>
    <row r="2421" spans="1:3" ht="15.75" customHeight="1" x14ac:dyDescent="0.25">
      <c r="A2421" s="1" t="s">
        <v>7547</v>
      </c>
      <c r="B2421" s="1" t="s">
        <v>7546</v>
      </c>
      <c r="C2421" s="1" t="s">
        <v>6260</v>
      </c>
    </row>
    <row r="2422" spans="1:3" ht="15.75" customHeight="1" x14ac:dyDescent="0.25">
      <c r="A2422" s="1" t="s">
        <v>3438</v>
      </c>
      <c r="B2422" s="1" t="s">
        <v>7545</v>
      </c>
      <c r="C2422" s="1" t="s">
        <v>5896</v>
      </c>
    </row>
    <row r="2423" spans="1:3" ht="15.75" customHeight="1" x14ac:dyDescent="0.25">
      <c r="A2423" s="1" t="s">
        <v>5247</v>
      </c>
      <c r="B2423" s="1" t="s">
        <v>7544</v>
      </c>
      <c r="C2423" s="1" t="s">
        <v>7543</v>
      </c>
    </row>
    <row r="2424" spans="1:3" ht="15.75" customHeight="1" x14ac:dyDescent="0.25">
      <c r="A2424" s="1" t="s">
        <v>7542</v>
      </c>
      <c r="B2424" s="1" t="s">
        <v>7541</v>
      </c>
      <c r="C2424" s="1" t="s">
        <v>6507</v>
      </c>
    </row>
    <row r="2425" spans="1:3" ht="15.75" customHeight="1" x14ac:dyDescent="0.25">
      <c r="A2425" s="1" t="s">
        <v>3943</v>
      </c>
      <c r="B2425" s="1" t="s">
        <v>7540</v>
      </c>
      <c r="C2425" s="1" t="s">
        <v>5838</v>
      </c>
    </row>
    <row r="2426" spans="1:3" ht="15.75" customHeight="1" x14ac:dyDescent="0.25">
      <c r="A2426" s="1" t="s">
        <v>4190</v>
      </c>
      <c r="B2426" s="1" t="s">
        <v>7539</v>
      </c>
      <c r="C2426" s="1" t="s">
        <v>7446</v>
      </c>
    </row>
    <row r="2427" spans="1:3" ht="15.75" customHeight="1" x14ac:dyDescent="0.25">
      <c r="A2427" s="1" t="s">
        <v>3152</v>
      </c>
      <c r="B2427" s="1" t="s">
        <v>7538</v>
      </c>
      <c r="C2427" s="1" t="s">
        <v>7537</v>
      </c>
    </row>
    <row r="2428" spans="1:3" ht="15.75" customHeight="1" x14ac:dyDescent="0.25">
      <c r="A2428" s="1" t="s">
        <v>5087</v>
      </c>
      <c r="B2428" s="1" t="s">
        <v>7508</v>
      </c>
      <c r="C2428" s="1" t="s">
        <v>6892</v>
      </c>
    </row>
    <row r="2429" spans="1:3" ht="15.75" customHeight="1" x14ac:dyDescent="0.25">
      <c r="A2429" s="1" t="s">
        <v>4333</v>
      </c>
      <c r="B2429" s="1" t="s">
        <v>7536</v>
      </c>
      <c r="C2429" s="1" t="s">
        <v>6276</v>
      </c>
    </row>
    <row r="2430" spans="1:3" ht="15.75" customHeight="1" x14ac:dyDescent="0.25">
      <c r="A2430" s="1" t="s">
        <v>7535</v>
      </c>
      <c r="B2430" s="1" t="s">
        <v>7534</v>
      </c>
      <c r="C2430" s="1" t="s">
        <v>7533</v>
      </c>
    </row>
    <row r="2431" spans="1:3" ht="15.75" customHeight="1" x14ac:dyDescent="0.25">
      <c r="A2431" s="1" t="s">
        <v>2170</v>
      </c>
      <c r="B2431" s="1" t="s">
        <v>7532</v>
      </c>
      <c r="C2431" s="1" t="s">
        <v>7139</v>
      </c>
    </row>
    <row r="2432" spans="1:3" ht="15.75" customHeight="1" x14ac:dyDescent="0.25">
      <c r="A2432" s="1" t="s">
        <v>7531</v>
      </c>
      <c r="B2432" s="1" t="s">
        <v>7530</v>
      </c>
      <c r="C2432" s="1" t="s">
        <v>7529</v>
      </c>
    </row>
    <row r="2433" spans="1:3" ht="15.75" customHeight="1" x14ac:dyDescent="0.25">
      <c r="A2433" s="1" t="s">
        <v>2671</v>
      </c>
      <c r="B2433" s="1" t="s">
        <v>7509</v>
      </c>
      <c r="C2433" s="1" t="s">
        <v>7528</v>
      </c>
    </row>
    <row r="2434" spans="1:3" ht="15.75" customHeight="1" x14ac:dyDescent="0.25">
      <c r="A2434" s="1" t="s">
        <v>3262</v>
      </c>
      <c r="B2434" s="1" t="s">
        <v>7527</v>
      </c>
      <c r="C2434" s="1" t="s">
        <v>5824</v>
      </c>
    </row>
    <row r="2435" spans="1:3" ht="15.75" customHeight="1" x14ac:dyDescent="0.25">
      <c r="A2435" s="1" t="s">
        <v>4353</v>
      </c>
      <c r="B2435" s="1" t="s">
        <v>7526</v>
      </c>
      <c r="C2435" s="1" t="s">
        <v>6122</v>
      </c>
    </row>
    <row r="2436" spans="1:3" ht="15.75" customHeight="1" x14ac:dyDescent="0.25">
      <c r="A2436" s="1" t="s">
        <v>2494</v>
      </c>
      <c r="B2436" s="1" t="s">
        <v>7525</v>
      </c>
      <c r="C2436" s="1" t="s">
        <v>6997</v>
      </c>
    </row>
    <row r="2437" spans="1:3" ht="15.75" customHeight="1" x14ac:dyDescent="0.25">
      <c r="A2437" s="1" t="s">
        <v>7524</v>
      </c>
      <c r="B2437" s="1" t="s">
        <v>7523</v>
      </c>
      <c r="C2437" s="1" t="s">
        <v>7522</v>
      </c>
    </row>
    <row r="2438" spans="1:3" ht="15.75" customHeight="1" x14ac:dyDescent="0.25">
      <c r="A2438" s="1" t="s">
        <v>7521</v>
      </c>
      <c r="B2438" s="1" t="s">
        <v>7520</v>
      </c>
      <c r="C2438" s="1" t="s">
        <v>6755</v>
      </c>
    </row>
    <row r="2439" spans="1:3" ht="15.75" customHeight="1" x14ac:dyDescent="0.25">
      <c r="A2439" s="1" t="s">
        <v>1218</v>
      </c>
      <c r="B2439" s="1" t="s">
        <v>7519</v>
      </c>
      <c r="C2439" s="1" t="s">
        <v>6675</v>
      </c>
    </row>
    <row r="2440" spans="1:3" ht="15.75" customHeight="1" x14ac:dyDescent="0.25">
      <c r="A2440" s="1" t="s">
        <v>7518</v>
      </c>
      <c r="B2440" s="1" t="s">
        <v>7517</v>
      </c>
      <c r="C2440" s="1" t="s">
        <v>7516</v>
      </c>
    </row>
    <row r="2441" spans="1:3" ht="15.75" customHeight="1" x14ac:dyDescent="0.25">
      <c r="A2441" s="1" t="s">
        <v>1167</v>
      </c>
      <c r="B2441" s="1" t="s">
        <v>7515</v>
      </c>
      <c r="C2441" s="1" t="s">
        <v>5781</v>
      </c>
    </row>
    <row r="2442" spans="1:3" ht="15.75" customHeight="1" x14ac:dyDescent="0.25">
      <c r="A2442" s="1" t="s">
        <v>806</v>
      </c>
      <c r="B2442" s="1" t="s">
        <v>7329</v>
      </c>
      <c r="C2442" s="1" t="s">
        <v>7514</v>
      </c>
    </row>
    <row r="2443" spans="1:3" ht="15.75" customHeight="1" x14ac:dyDescent="0.25">
      <c r="A2443" s="1" t="s">
        <v>1631</v>
      </c>
      <c r="B2443" s="1" t="s">
        <v>7513</v>
      </c>
      <c r="C2443" s="1" t="s">
        <v>5809</v>
      </c>
    </row>
    <row r="2444" spans="1:3" ht="15.75" customHeight="1" x14ac:dyDescent="0.25">
      <c r="A2444" s="1" t="s">
        <v>7512</v>
      </c>
      <c r="B2444" s="1" t="s">
        <v>7511</v>
      </c>
      <c r="C2444" s="1" t="s">
        <v>6242</v>
      </c>
    </row>
    <row r="2445" spans="1:3" ht="15.75" customHeight="1" x14ac:dyDescent="0.25">
      <c r="A2445" s="1" t="s">
        <v>7510</v>
      </c>
      <c r="B2445" s="1" t="s">
        <v>7509</v>
      </c>
      <c r="C2445" s="1" t="s">
        <v>6125</v>
      </c>
    </row>
    <row r="2446" spans="1:3" ht="15.75" customHeight="1" x14ac:dyDescent="0.25">
      <c r="A2446" s="1" t="s">
        <v>3559</v>
      </c>
      <c r="B2446" s="1" t="s">
        <v>7508</v>
      </c>
      <c r="C2446" s="1" t="s">
        <v>6942</v>
      </c>
    </row>
    <row r="2447" spans="1:3" ht="15.75" customHeight="1" x14ac:dyDescent="0.25">
      <c r="A2447" s="1" t="s">
        <v>4215</v>
      </c>
      <c r="B2447" s="1" t="s">
        <v>7507</v>
      </c>
      <c r="C2447" s="1" t="s">
        <v>6586</v>
      </c>
    </row>
    <row r="2448" spans="1:3" ht="15.75" customHeight="1" x14ac:dyDescent="0.25">
      <c r="A2448" s="1" t="s">
        <v>5491</v>
      </c>
      <c r="B2448" s="1" t="s">
        <v>7506</v>
      </c>
      <c r="C2448" s="1" t="s">
        <v>6673</v>
      </c>
    </row>
    <row r="2449" spans="1:3" ht="15.75" customHeight="1" x14ac:dyDescent="0.25">
      <c r="A2449" s="1" t="s">
        <v>3352</v>
      </c>
      <c r="B2449" s="1" t="s">
        <v>7505</v>
      </c>
      <c r="C2449" s="1" t="s">
        <v>6866</v>
      </c>
    </row>
    <row r="2450" spans="1:3" ht="15.75" customHeight="1" x14ac:dyDescent="0.25">
      <c r="A2450" s="1" t="s">
        <v>4659</v>
      </c>
      <c r="B2450" s="1" t="s">
        <v>7504</v>
      </c>
      <c r="C2450" s="1" t="s">
        <v>7503</v>
      </c>
    </row>
    <row r="2451" spans="1:3" ht="15.75" customHeight="1" x14ac:dyDescent="0.25">
      <c r="A2451" s="1" t="s">
        <v>3423</v>
      </c>
      <c r="B2451" s="1" t="s">
        <v>7502</v>
      </c>
      <c r="C2451" s="1" t="s">
        <v>6122</v>
      </c>
    </row>
    <row r="2452" spans="1:3" ht="15.75" customHeight="1" x14ac:dyDescent="0.25">
      <c r="A2452" s="1" t="s">
        <v>1485</v>
      </c>
      <c r="B2452" s="1" t="s">
        <v>7501</v>
      </c>
      <c r="C2452" s="1" t="s">
        <v>6661</v>
      </c>
    </row>
    <row r="2453" spans="1:3" ht="15.75" customHeight="1" x14ac:dyDescent="0.25">
      <c r="A2453" s="1" t="s">
        <v>110</v>
      </c>
      <c r="B2453" s="1" t="s">
        <v>7500</v>
      </c>
      <c r="C2453" s="1" t="s">
        <v>6093</v>
      </c>
    </row>
    <row r="2454" spans="1:3" ht="15.75" customHeight="1" x14ac:dyDescent="0.25">
      <c r="A2454" s="1" t="s">
        <v>4979</v>
      </c>
      <c r="B2454" s="1" t="s">
        <v>7499</v>
      </c>
      <c r="C2454" s="1" t="s">
        <v>5807</v>
      </c>
    </row>
    <row r="2455" spans="1:3" ht="15.75" customHeight="1" x14ac:dyDescent="0.25">
      <c r="A2455" s="1" t="s">
        <v>1535</v>
      </c>
      <c r="B2455" s="1" t="s">
        <v>7498</v>
      </c>
      <c r="C2455" s="1" t="s">
        <v>6323</v>
      </c>
    </row>
    <row r="2456" spans="1:3" ht="15.75" customHeight="1" x14ac:dyDescent="0.25">
      <c r="A2456" s="1" t="s">
        <v>7497</v>
      </c>
      <c r="B2456" s="1" t="s">
        <v>7496</v>
      </c>
      <c r="C2456" s="1" t="s">
        <v>7495</v>
      </c>
    </row>
    <row r="2457" spans="1:3" ht="15.75" customHeight="1" x14ac:dyDescent="0.25">
      <c r="A2457" s="1" t="s">
        <v>7494</v>
      </c>
      <c r="B2457" s="1" t="s">
        <v>7493</v>
      </c>
      <c r="C2457" s="1" t="s">
        <v>5791</v>
      </c>
    </row>
    <row r="2458" spans="1:3" ht="15.75" customHeight="1" x14ac:dyDescent="0.25">
      <c r="A2458" s="1" t="s">
        <v>7492</v>
      </c>
      <c r="B2458" s="1" t="s">
        <v>7491</v>
      </c>
      <c r="C2458" s="1" t="s">
        <v>7490</v>
      </c>
    </row>
    <row r="2459" spans="1:3" ht="15.75" customHeight="1" x14ac:dyDescent="0.25">
      <c r="A2459" s="1" t="s">
        <v>7489</v>
      </c>
      <c r="B2459" s="1" t="s">
        <v>7488</v>
      </c>
      <c r="C2459" s="1" t="s">
        <v>5781</v>
      </c>
    </row>
    <row r="2460" spans="1:3" ht="15.75" customHeight="1" x14ac:dyDescent="0.25">
      <c r="A2460" s="1" t="s">
        <v>3723</v>
      </c>
      <c r="B2460" s="1" t="s">
        <v>7487</v>
      </c>
      <c r="C2460" s="1" t="s">
        <v>6667</v>
      </c>
    </row>
    <row r="2461" spans="1:3" ht="15.75" customHeight="1" x14ac:dyDescent="0.25">
      <c r="A2461" s="1" t="s">
        <v>1311</v>
      </c>
      <c r="B2461" s="1" t="s">
        <v>7486</v>
      </c>
      <c r="C2461" s="1" t="s">
        <v>6997</v>
      </c>
    </row>
    <row r="2462" spans="1:3" ht="15.75" customHeight="1" x14ac:dyDescent="0.25">
      <c r="A2462" s="1" t="s">
        <v>4756</v>
      </c>
      <c r="B2462" s="1" t="s">
        <v>7485</v>
      </c>
      <c r="C2462" s="1" t="s">
        <v>7245</v>
      </c>
    </row>
    <row r="2463" spans="1:3" ht="15.75" customHeight="1" x14ac:dyDescent="0.25">
      <c r="A2463" s="1" t="s">
        <v>7484</v>
      </c>
      <c r="B2463" s="1" t="s">
        <v>7483</v>
      </c>
      <c r="C2463" s="1" t="s">
        <v>7482</v>
      </c>
    </row>
    <row r="2464" spans="1:3" ht="15.75" customHeight="1" x14ac:dyDescent="0.25">
      <c r="A2464" s="1" t="s">
        <v>4922</v>
      </c>
      <c r="B2464" s="1" t="s">
        <v>5810</v>
      </c>
      <c r="C2464" s="1" t="s">
        <v>7481</v>
      </c>
    </row>
    <row r="2465" spans="1:3" ht="15.75" customHeight="1" x14ac:dyDescent="0.25">
      <c r="A2465" s="1" t="s">
        <v>5651</v>
      </c>
      <c r="B2465" s="1" t="s">
        <v>7480</v>
      </c>
      <c r="C2465" s="1" t="s">
        <v>6714</v>
      </c>
    </row>
    <row r="2466" spans="1:3" ht="15.75" customHeight="1" x14ac:dyDescent="0.25">
      <c r="A2466" s="1" t="s">
        <v>4335</v>
      </c>
      <c r="B2466" s="1" t="s">
        <v>7479</v>
      </c>
      <c r="C2466" s="1" t="s">
        <v>6866</v>
      </c>
    </row>
    <row r="2467" spans="1:3" ht="15.75" customHeight="1" x14ac:dyDescent="0.25">
      <c r="A2467" s="1" t="s">
        <v>5502</v>
      </c>
      <c r="B2467" s="1" t="s">
        <v>7293</v>
      </c>
      <c r="C2467" s="1" t="s">
        <v>6750</v>
      </c>
    </row>
    <row r="2468" spans="1:3" ht="15.75" customHeight="1" x14ac:dyDescent="0.25">
      <c r="A2468" s="1" t="s">
        <v>4852</v>
      </c>
      <c r="B2468" s="1" t="s">
        <v>7478</v>
      </c>
      <c r="C2468" s="1" t="s">
        <v>6703</v>
      </c>
    </row>
    <row r="2469" spans="1:3" ht="15.75" customHeight="1" x14ac:dyDescent="0.25">
      <c r="A2469" s="1" t="s">
        <v>4383</v>
      </c>
      <c r="B2469" s="1" t="s">
        <v>7345</v>
      </c>
      <c r="C2469" s="1" t="s">
        <v>6714</v>
      </c>
    </row>
    <row r="2470" spans="1:3" ht="15.75" customHeight="1" x14ac:dyDescent="0.25">
      <c r="A2470" s="1" t="s">
        <v>4253</v>
      </c>
      <c r="B2470" s="1" t="s">
        <v>7477</v>
      </c>
      <c r="C2470" s="1" t="s">
        <v>7476</v>
      </c>
    </row>
    <row r="2471" spans="1:3" ht="15.75" customHeight="1" x14ac:dyDescent="0.25">
      <c r="A2471" s="1" t="s">
        <v>3487</v>
      </c>
      <c r="B2471" s="1" t="s">
        <v>7475</v>
      </c>
      <c r="C2471" s="1" t="s">
        <v>6714</v>
      </c>
    </row>
    <row r="2472" spans="1:3" ht="15.75" customHeight="1" x14ac:dyDescent="0.25">
      <c r="A2472" s="1" t="s">
        <v>7474</v>
      </c>
      <c r="B2472" s="1" t="s">
        <v>7473</v>
      </c>
      <c r="C2472" s="1" t="s">
        <v>7189</v>
      </c>
    </row>
    <row r="2473" spans="1:3" ht="15.75" customHeight="1" x14ac:dyDescent="0.25">
      <c r="A2473" s="1" t="s">
        <v>2859</v>
      </c>
      <c r="B2473" s="1" t="s">
        <v>7472</v>
      </c>
      <c r="C2473" s="1" t="s">
        <v>7471</v>
      </c>
    </row>
    <row r="2474" spans="1:3" ht="15.75" customHeight="1" x14ac:dyDescent="0.25">
      <c r="A2474" s="1" t="s">
        <v>2317</v>
      </c>
      <c r="B2474" s="1" t="s">
        <v>7470</v>
      </c>
      <c r="C2474" s="1" t="s">
        <v>6242</v>
      </c>
    </row>
    <row r="2475" spans="1:3" ht="15.75" customHeight="1" x14ac:dyDescent="0.25">
      <c r="A2475" s="1" t="s">
        <v>3569</v>
      </c>
      <c r="B2475" s="1" t="s">
        <v>7469</v>
      </c>
      <c r="C2475" s="1" t="s">
        <v>7468</v>
      </c>
    </row>
    <row r="2476" spans="1:3" ht="15.75" customHeight="1" x14ac:dyDescent="0.25">
      <c r="A2476" s="1" t="s">
        <v>2247</v>
      </c>
      <c r="B2476" s="1" t="s">
        <v>7467</v>
      </c>
      <c r="C2476" s="1" t="s">
        <v>6714</v>
      </c>
    </row>
    <row r="2477" spans="1:3" ht="15.75" customHeight="1" x14ac:dyDescent="0.25">
      <c r="A2477" s="1" t="s">
        <v>103</v>
      </c>
      <c r="B2477" s="1" t="s">
        <v>7338</v>
      </c>
      <c r="C2477" s="1" t="s">
        <v>5886</v>
      </c>
    </row>
    <row r="2478" spans="1:3" ht="15.75" customHeight="1" x14ac:dyDescent="0.25">
      <c r="A2478" s="1" t="s">
        <v>7466</v>
      </c>
      <c r="B2478" s="1" t="s">
        <v>7465</v>
      </c>
      <c r="C2478" s="1" t="s">
        <v>6242</v>
      </c>
    </row>
    <row r="2479" spans="1:3" ht="15.75" customHeight="1" x14ac:dyDescent="0.25">
      <c r="A2479" s="1" t="s">
        <v>5206</v>
      </c>
      <c r="B2479" s="1" t="s">
        <v>7464</v>
      </c>
      <c r="C2479" s="1" t="s">
        <v>7463</v>
      </c>
    </row>
    <row r="2480" spans="1:3" ht="15.75" customHeight="1" x14ac:dyDescent="0.25">
      <c r="A2480" s="1" t="s">
        <v>7462</v>
      </c>
      <c r="B2480" s="1" t="s">
        <v>7461</v>
      </c>
      <c r="C2480" s="1" t="s">
        <v>6242</v>
      </c>
    </row>
    <row r="2481" spans="1:3" ht="15.75" customHeight="1" x14ac:dyDescent="0.25">
      <c r="A2481" s="1" t="s">
        <v>5147</v>
      </c>
      <c r="B2481" s="1" t="s">
        <v>7341</v>
      </c>
      <c r="C2481" s="1" t="s">
        <v>7460</v>
      </c>
    </row>
    <row r="2482" spans="1:3" ht="15.75" customHeight="1" x14ac:dyDescent="0.25">
      <c r="A2482" s="1" t="s">
        <v>5717</v>
      </c>
      <c r="B2482" s="1" t="s">
        <v>7459</v>
      </c>
      <c r="C2482" s="1" t="s">
        <v>7458</v>
      </c>
    </row>
    <row r="2483" spans="1:3" ht="15.75" customHeight="1" x14ac:dyDescent="0.25">
      <c r="A2483" s="1" t="s">
        <v>7457</v>
      </c>
      <c r="B2483" s="1" t="s">
        <v>7456</v>
      </c>
      <c r="C2483" s="1" t="s">
        <v>7455</v>
      </c>
    </row>
    <row r="2484" spans="1:3" ht="15.75" customHeight="1" x14ac:dyDescent="0.25">
      <c r="A2484" s="1" t="s">
        <v>3772</v>
      </c>
      <c r="B2484" s="1" t="s">
        <v>7454</v>
      </c>
      <c r="C2484" s="1" t="s">
        <v>7453</v>
      </c>
    </row>
    <row r="2485" spans="1:3" ht="15.75" customHeight="1" x14ac:dyDescent="0.25">
      <c r="A2485" s="1" t="s">
        <v>4880</v>
      </c>
      <c r="B2485" s="1" t="s">
        <v>7452</v>
      </c>
      <c r="C2485" s="1" t="s">
        <v>6673</v>
      </c>
    </row>
    <row r="2486" spans="1:3" ht="15.75" customHeight="1" x14ac:dyDescent="0.25">
      <c r="A2486" s="1" t="s">
        <v>5737</v>
      </c>
      <c r="B2486" s="1" t="s">
        <v>7451</v>
      </c>
      <c r="C2486" s="1" t="s">
        <v>6714</v>
      </c>
    </row>
    <row r="2487" spans="1:3" ht="15.75" customHeight="1" x14ac:dyDescent="0.25">
      <c r="A2487" s="1" t="s">
        <v>4420</v>
      </c>
      <c r="B2487" s="1" t="s">
        <v>7368</v>
      </c>
      <c r="C2487" s="1" t="s">
        <v>7228</v>
      </c>
    </row>
    <row r="2488" spans="1:3" ht="15.75" customHeight="1" x14ac:dyDescent="0.25">
      <c r="A2488" s="1" t="s">
        <v>100</v>
      </c>
      <c r="B2488" s="1" t="s">
        <v>7450</v>
      </c>
      <c r="C2488" s="1" t="s">
        <v>6709</v>
      </c>
    </row>
    <row r="2489" spans="1:3" ht="15.75" customHeight="1" x14ac:dyDescent="0.25">
      <c r="A2489" s="1" t="s">
        <v>2504</v>
      </c>
      <c r="B2489" s="1" t="s">
        <v>7449</v>
      </c>
      <c r="C2489" s="1" t="s">
        <v>6733</v>
      </c>
    </row>
    <row r="2490" spans="1:3" ht="15.75" customHeight="1" x14ac:dyDescent="0.25">
      <c r="A2490" s="1" t="s">
        <v>1399</v>
      </c>
      <c r="B2490" s="1" t="s">
        <v>7448</v>
      </c>
      <c r="C2490" s="1" t="s">
        <v>6242</v>
      </c>
    </row>
    <row r="2491" spans="1:3" ht="15.75" customHeight="1" x14ac:dyDescent="0.25">
      <c r="A2491" s="1" t="s">
        <v>1226</v>
      </c>
      <c r="B2491" s="1" t="s">
        <v>7447</v>
      </c>
      <c r="C2491" s="1" t="s">
        <v>7446</v>
      </c>
    </row>
    <row r="2492" spans="1:3" ht="15.75" customHeight="1" x14ac:dyDescent="0.25">
      <c r="A2492" s="1" t="s">
        <v>7445</v>
      </c>
      <c r="B2492" s="1" t="s">
        <v>7444</v>
      </c>
      <c r="C2492" s="1" t="s">
        <v>6242</v>
      </c>
    </row>
    <row r="2493" spans="1:3" ht="15.75" customHeight="1" x14ac:dyDescent="0.25">
      <c r="A2493" s="1" t="s">
        <v>7443</v>
      </c>
      <c r="B2493" s="1" t="s">
        <v>7442</v>
      </c>
      <c r="C2493" s="1" t="s">
        <v>6242</v>
      </c>
    </row>
    <row r="2494" spans="1:3" ht="15.75" customHeight="1" x14ac:dyDescent="0.25">
      <c r="A2494" s="1" t="s">
        <v>1612</v>
      </c>
      <c r="B2494" s="1" t="s">
        <v>7441</v>
      </c>
      <c r="C2494" s="1" t="s">
        <v>6535</v>
      </c>
    </row>
    <row r="2495" spans="1:3" ht="15.75" customHeight="1" x14ac:dyDescent="0.25">
      <c r="A2495" s="1" t="s">
        <v>4041</v>
      </c>
      <c r="B2495" s="1" t="s">
        <v>7440</v>
      </c>
      <c r="C2495" s="1" t="s">
        <v>7439</v>
      </c>
    </row>
    <row r="2496" spans="1:3" ht="15.75" customHeight="1" x14ac:dyDescent="0.25">
      <c r="A2496" s="1" t="s">
        <v>7438</v>
      </c>
      <c r="B2496" s="1" t="s">
        <v>7437</v>
      </c>
      <c r="C2496" s="1" t="s">
        <v>6242</v>
      </c>
    </row>
    <row r="2497" spans="1:3" ht="15.75" customHeight="1" x14ac:dyDescent="0.25">
      <c r="A2497" s="1" t="s">
        <v>93</v>
      </c>
      <c r="B2497" s="1" t="s">
        <v>92</v>
      </c>
      <c r="C2497" s="1" t="s">
        <v>7436</v>
      </c>
    </row>
    <row r="2498" spans="1:3" ht="15.75" customHeight="1" x14ac:dyDescent="0.25">
      <c r="A2498" s="1" t="s">
        <v>2897</v>
      </c>
      <c r="B2498" s="1" t="s">
        <v>7435</v>
      </c>
      <c r="C2498" s="1" t="s">
        <v>6242</v>
      </c>
    </row>
    <row r="2499" spans="1:3" ht="15.75" customHeight="1" x14ac:dyDescent="0.25">
      <c r="A2499" s="1" t="s">
        <v>5534</v>
      </c>
      <c r="B2499" s="1" t="s">
        <v>7272</v>
      </c>
      <c r="C2499" s="1" t="s">
        <v>6714</v>
      </c>
    </row>
    <row r="2500" spans="1:3" ht="15.75" customHeight="1" x14ac:dyDescent="0.25">
      <c r="A2500" s="1" t="s">
        <v>5114</v>
      </c>
      <c r="B2500" s="1" t="s">
        <v>7434</v>
      </c>
      <c r="C2500" s="1" t="s">
        <v>5836</v>
      </c>
    </row>
    <row r="2501" spans="1:3" ht="15.75" customHeight="1" x14ac:dyDescent="0.25">
      <c r="A2501" s="1" t="s">
        <v>5298</v>
      </c>
      <c r="B2501" s="1" t="s">
        <v>7272</v>
      </c>
      <c r="C2501" s="1" t="s">
        <v>7433</v>
      </c>
    </row>
    <row r="2502" spans="1:3" ht="15.75" customHeight="1" x14ac:dyDescent="0.25">
      <c r="A2502" s="1" t="s">
        <v>2880</v>
      </c>
      <c r="B2502" s="1" t="s">
        <v>7432</v>
      </c>
      <c r="C2502" s="1" t="s">
        <v>6750</v>
      </c>
    </row>
    <row r="2503" spans="1:3" ht="15.75" customHeight="1" x14ac:dyDescent="0.25">
      <c r="A2503" s="1" t="s">
        <v>5532</v>
      </c>
      <c r="B2503" s="1" t="s">
        <v>6904</v>
      </c>
      <c r="C2503" s="1" t="s">
        <v>6671</v>
      </c>
    </row>
    <row r="2504" spans="1:3" ht="15.75" customHeight="1" x14ac:dyDescent="0.25">
      <c r="A2504" s="1" t="s">
        <v>3994</v>
      </c>
      <c r="B2504" s="1" t="s">
        <v>7431</v>
      </c>
      <c r="C2504" s="1" t="s">
        <v>7430</v>
      </c>
    </row>
    <row r="2505" spans="1:3" ht="15.75" customHeight="1" x14ac:dyDescent="0.25">
      <c r="A2505" s="1" t="s">
        <v>5289</v>
      </c>
      <c r="B2505" s="1" t="s">
        <v>7429</v>
      </c>
      <c r="C2505" s="1" t="s">
        <v>5800</v>
      </c>
    </row>
    <row r="2506" spans="1:3" ht="15.75" customHeight="1" x14ac:dyDescent="0.25">
      <c r="A2506" s="1" t="s">
        <v>7428</v>
      </c>
      <c r="B2506" s="1" t="s">
        <v>7427</v>
      </c>
      <c r="C2506" s="1" t="s">
        <v>6242</v>
      </c>
    </row>
    <row r="2507" spans="1:3" ht="15.75" customHeight="1" x14ac:dyDescent="0.25">
      <c r="A2507" s="1" t="s">
        <v>5676</v>
      </c>
      <c r="B2507" s="1" t="s">
        <v>7426</v>
      </c>
      <c r="C2507" s="1" t="s">
        <v>6733</v>
      </c>
    </row>
    <row r="2508" spans="1:3" ht="15.75" customHeight="1" x14ac:dyDescent="0.25">
      <c r="A2508" s="1" t="s">
        <v>7425</v>
      </c>
      <c r="B2508" s="1" t="s">
        <v>7424</v>
      </c>
      <c r="C2508" s="1" t="s">
        <v>7423</v>
      </c>
    </row>
    <row r="2509" spans="1:3" ht="15.75" customHeight="1" x14ac:dyDescent="0.25">
      <c r="A2509" s="1" t="s">
        <v>7422</v>
      </c>
      <c r="B2509" s="1" t="s">
        <v>7421</v>
      </c>
      <c r="C2509" s="1" t="s">
        <v>6892</v>
      </c>
    </row>
    <row r="2510" spans="1:3" ht="15.75" customHeight="1" x14ac:dyDescent="0.25">
      <c r="A2510" s="1" t="s">
        <v>7420</v>
      </c>
      <c r="B2510" s="1" t="s">
        <v>7419</v>
      </c>
      <c r="C2510" s="1" t="s">
        <v>7418</v>
      </c>
    </row>
    <row r="2511" spans="1:3" ht="15.75" customHeight="1" x14ac:dyDescent="0.25">
      <c r="A2511" s="1" t="s">
        <v>3574</v>
      </c>
      <c r="B2511" s="1" t="s">
        <v>7417</v>
      </c>
      <c r="C2511" s="1" t="s">
        <v>5836</v>
      </c>
    </row>
    <row r="2512" spans="1:3" ht="15.75" customHeight="1" x14ac:dyDescent="0.25">
      <c r="A2512" s="1" t="s">
        <v>7416</v>
      </c>
      <c r="B2512" s="1" t="s">
        <v>7415</v>
      </c>
      <c r="C2512" s="1" t="s">
        <v>6242</v>
      </c>
    </row>
    <row r="2513" spans="1:3" ht="15.75" customHeight="1" x14ac:dyDescent="0.25">
      <c r="A2513" s="1" t="s">
        <v>3711</v>
      </c>
      <c r="B2513" s="1" t="s">
        <v>3709</v>
      </c>
      <c r="C2513" s="1" t="s">
        <v>7414</v>
      </c>
    </row>
    <row r="2514" spans="1:3" ht="15.75" customHeight="1" x14ac:dyDescent="0.25">
      <c r="A2514" s="1" t="s">
        <v>7413</v>
      </c>
      <c r="B2514" s="1" t="s">
        <v>7412</v>
      </c>
      <c r="C2514" s="1" t="s">
        <v>5836</v>
      </c>
    </row>
    <row r="2515" spans="1:3" ht="15.75" customHeight="1" x14ac:dyDescent="0.25">
      <c r="A2515" s="1" t="s">
        <v>7411</v>
      </c>
      <c r="B2515" s="1" t="s">
        <v>7410</v>
      </c>
      <c r="C2515" s="1" t="s">
        <v>6285</v>
      </c>
    </row>
    <row r="2516" spans="1:3" ht="15.75" customHeight="1" x14ac:dyDescent="0.25">
      <c r="A2516" s="1" t="s">
        <v>3396</v>
      </c>
      <c r="B2516" s="1" t="s">
        <v>7409</v>
      </c>
      <c r="C2516" s="1" t="s">
        <v>6122</v>
      </c>
    </row>
    <row r="2517" spans="1:3" ht="15.75" customHeight="1" x14ac:dyDescent="0.25">
      <c r="A2517" s="1" t="s">
        <v>4768</v>
      </c>
      <c r="B2517" s="1" t="s">
        <v>7408</v>
      </c>
      <c r="C2517" s="1" t="s">
        <v>7407</v>
      </c>
    </row>
    <row r="2518" spans="1:3" ht="15.75" customHeight="1" x14ac:dyDescent="0.25">
      <c r="A2518" s="1" t="s">
        <v>2686</v>
      </c>
      <c r="B2518" s="1" t="s">
        <v>7398</v>
      </c>
      <c r="C2518" s="1" t="s">
        <v>7195</v>
      </c>
    </row>
    <row r="2519" spans="1:3" ht="15.75" customHeight="1" x14ac:dyDescent="0.25">
      <c r="A2519" s="1" t="s">
        <v>5555</v>
      </c>
      <c r="B2519" s="1" t="s">
        <v>7406</v>
      </c>
      <c r="C2519" s="1" t="s">
        <v>6714</v>
      </c>
    </row>
    <row r="2520" spans="1:3" ht="15.75" customHeight="1" x14ac:dyDescent="0.25">
      <c r="A2520" s="1" t="s">
        <v>3966</v>
      </c>
      <c r="B2520" s="1" t="s">
        <v>7405</v>
      </c>
      <c r="C2520" s="1" t="s">
        <v>5800</v>
      </c>
    </row>
    <row r="2521" spans="1:3" ht="15.75" customHeight="1" x14ac:dyDescent="0.25">
      <c r="A2521" s="1" t="s">
        <v>7404</v>
      </c>
      <c r="B2521" s="1" t="s">
        <v>7403</v>
      </c>
      <c r="C2521" s="1" t="s">
        <v>6242</v>
      </c>
    </row>
    <row r="2522" spans="1:3" ht="15.75" customHeight="1" x14ac:dyDescent="0.25">
      <c r="A2522" s="1" t="s">
        <v>7402</v>
      </c>
      <c r="B2522" s="1" t="s">
        <v>7401</v>
      </c>
      <c r="C2522" s="1" t="s">
        <v>5809</v>
      </c>
    </row>
    <row r="2523" spans="1:3" ht="15.75" customHeight="1" x14ac:dyDescent="0.25">
      <c r="A2523" s="1" t="s">
        <v>4146</v>
      </c>
      <c r="B2523" s="1" t="s">
        <v>7400</v>
      </c>
      <c r="C2523" s="1" t="s">
        <v>6651</v>
      </c>
    </row>
    <row r="2524" spans="1:3" ht="15.75" customHeight="1" x14ac:dyDescent="0.25">
      <c r="A2524" s="1" t="s">
        <v>1238</v>
      </c>
      <c r="B2524" s="1" t="s">
        <v>7399</v>
      </c>
      <c r="C2524" s="1" t="s">
        <v>5791</v>
      </c>
    </row>
    <row r="2525" spans="1:3" ht="15.75" customHeight="1" x14ac:dyDescent="0.25">
      <c r="A2525" s="1" t="s">
        <v>2631</v>
      </c>
      <c r="B2525" s="1" t="s">
        <v>7398</v>
      </c>
      <c r="C2525" s="1" t="s">
        <v>6714</v>
      </c>
    </row>
    <row r="2526" spans="1:3" ht="15.75" customHeight="1" x14ac:dyDescent="0.25">
      <c r="A2526" s="1" t="s">
        <v>5547</v>
      </c>
      <c r="B2526" s="1" t="s">
        <v>7397</v>
      </c>
      <c r="C2526" s="1" t="s">
        <v>6714</v>
      </c>
    </row>
    <row r="2527" spans="1:3" ht="15.75" customHeight="1" x14ac:dyDescent="0.25">
      <c r="A2527" s="1" t="s">
        <v>1351</v>
      </c>
      <c r="B2527" s="1" t="s">
        <v>7396</v>
      </c>
      <c r="C2527" s="1" t="s">
        <v>6642</v>
      </c>
    </row>
    <row r="2528" spans="1:3" ht="15.75" customHeight="1" x14ac:dyDescent="0.25">
      <c r="A2528" s="1" t="s">
        <v>87</v>
      </c>
      <c r="B2528" s="1" t="s">
        <v>7395</v>
      </c>
      <c r="C2528" s="1" t="s">
        <v>6626</v>
      </c>
    </row>
    <row r="2529" spans="1:3" ht="15.75" customHeight="1" x14ac:dyDescent="0.25">
      <c r="A2529" s="1" t="s">
        <v>7394</v>
      </c>
      <c r="B2529" s="1" t="s">
        <v>7393</v>
      </c>
      <c r="C2529" s="1" t="s">
        <v>6797</v>
      </c>
    </row>
    <row r="2530" spans="1:3" ht="15.75" customHeight="1" x14ac:dyDescent="0.25">
      <c r="A2530" s="1" t="s">
        <v>7392</v>
      </c>
      <c r="B2530" s="1" t="s">
        <v>7391</v>
      </c>
      <c r="C2530" s="1" t="s">
        <v>6242</v>
      </c>
    </row>
    <row r="2531" spans="1:3" ht="15.75" customHeight="1" x14ac:dyDescent="0.25">
      <c r="A2531" s="1" t="s">
        <v>7390</v>
      </c>
      <c r="B2531" s="1" t="s">
        <v>7389</v>
      </c>
      <c r="C2531" s="1" t="s">
        <v>6937</v>
      </c>
    </row>
    <row r="2532" spans="1:3" ht="15.75" customHeight="1" x14ac:dyDescent="0.25">
      <c r="A2532" s="1" t="s">
        <v>3697</v>
      </c>
      <c r="B2532" s="1" t="s">
        <v>7388</v>
      </c>
      <c r="C2532" s="1" t="s">
        <v>5811</v>
      </c>
    </row>
    <row r="2533" spans="1:3" ht="15.75" customHeight="1" x14ac:dyDescent="0.25">
      <c r="A2533" s="1" t="s">
        <v>2166</v>
      </c>
      <c r="B2533" s="1" t="s">
        <v>7387</v>
      </c>
      <c r="C2533" s="1" t="s">
        <v>6468</v>
      </c>
    </row>
    <row r="2534" spans="1:3" ht="15.75" customHeight="1" x14ac:dyDescent="0.25">
      <c r="A2534" s="1" t="s">
        <v>5190</v>
      </c>
      <c r="B2534" s="1" t="s">
        <v>7386</v>
      </c>
      <c r="C2534" s="1" t="s">
        <v>6769</v>
      </c>
    </row>
    <row r="2535" spans="1:3" ht="15.75" customHeight="1" x14ac:dyDescent="0.25">
      <c r="A2535" s="1" t="s">
        <v>7385</v>
      </c>
      <c r="B2535" s="1" t="s">
        <v>7384</v>
      </c>
      <c r="C2535" s="1" t="s">
        <v>5781</v>
      </c>
    </row>
    <row r="2536" spans="1:3" ht="15.75" customHeight="1" x14ac:dyDescent="0.25">
      <c r="A2536" s="1" t="s">
        <v>7383</v>
      </c>
      <c r="B2536" s="1" t="s">
        <v>7382</v>
      </c>
      <c r="C2536" s="1" t="s">
        <v>6276</v>
      </c>
    </row>
    <row r="2537" spans="1:3" ht="15.75" customHeight="1" x14ac:dyDescent="0.25">
      <c r="A2537" s="1" t="s">
        <v>7381</v>
      </c>
      <c r="B2537" s="1" t="s">
        <v>7380</v>
      </c>
      <c r="C2537" s="1" t="s">
        <v>5781</v>
      </c>
    </row>
    <row r="2538" spans="1:3" ht="15.75" customHeight="1" x14ac:dyDescent="0.25">
      <c r="A2538" s="1" t="s">
        <v>2682</v>
      </c>
      <c r="B2538" s="1" t="s">
        <v>7379</v>
      </c>
      <c r="C2538" s="1" t="s">
        <v>5860</v>
      </c>
    </row>
    <row r="2539" spans="1:3" ht="15.75" customHeight="1" x14ac:dyDescent="0.25">
      <c r="A2539" s="1" t="s">
        <v>7378</v>
      </c>
      <c r="B2539" s="1" t="s">
        <v>7377</v>
      </c>
      <c r="C2539" s="1" t="s">
        <v>6640</v>
      </c>
    </row>
    <row r="2540" spans="1:3" ht="15.75" customHeight="1" x14ac:dyDescent="0.25">
      <c r="A2540" s="1" t="s">
        <v>7376</v>
      </c>
      <c r="B2540" s="1" t="s">
        <v>7375</v>
      </c>
      <c r="C2540" s="1" t="s">
        <v>7374</v>
      </c>
    </row>
    <row r="2541" spans="1:3" ht="15.75" customHeight="1" x14ac:dyDescent="0.25">
      <c r="A2541" s="1" t="s">
        <v>4919</v>
      </c>
      <c r="B2541" s="1" t="s">
        <v>7373</v>
      </c>
      <c r="C2541" s="1" t="s">
        <v>6530</v>
      </c>
    </row>
    <row r="2542" spans="1:3" ht="15.75" customHeight="1" x14ac:dyDescent="0.25">
      <c r="A2542" s="1" t="s">
        <v>7372</v>
      </c>
      <c r="B2542" s="1" t="s">
        <v>7371</v>
      </c>
      <c r="C2542" s="1" t="s">
        <v>6530</v>
      </c>
    </row>
    <row r="2543" spans="1:3" ht="15.75" customHeight="1" x14ac:dyDescent="0.25">
      <c r="A2543" s="1" t="s">
        <v>4596</v>
      </c>
      <c r="B2543" s="1" t="s">
        <v>7370</v>
      </c>
      <c r="C2543" s="1" t="s">
        <v>7369</v>
      </c>
    </row>
    <row r="2544" spans="1:3" ht="15.75" customHeight="1" x14ac:dyDescent="0.25">
      <c r="A2544" s="1" t="s">
        <v>2842</v>
      </c>
      <c r="B2544" s="1" t="s">
        <v>7368</v>
      </c>
      <c r="C2544" s="1" t="s">
        <v>6861</v>
      </c>
    </row>
    <row r="2545" spans="1:3" ht="15.75" customHeight="1" x14ac:dyDescent="0.25">
      <c r="A2545" s="1" t="s">
        <v>4398</v>
      </c>
      <c r="B2545" s="1" t="s">
        <v>7367</v>
      </c>
      <c r="C2545" s="1" t="s">
        <v>7139</v>
      </c>
    </row>
    <row r="2546" spans="1:3" ht="15.75" customHeight="1" x14ac:dyDescent="0.25">
      <c r="A2546" s="1" t="s">
        <v>2635</v>
      </c>
      <c r="B2546" s="1" t="s">
        <v>7366</v>
      </c>
      <c r="C2546" s="1" t="s">
        <v>6750</v>
      </c>
    </row>
    <row r="2547" spans="1:3" ht="15.75" customHeight="1" x14ac:dyDescent="0.25">
      <c r="A2547" s="1" t="s">
        <v>4691</v>
      </c>
      <c r="B2547" s="1" t="s">
        <v>7365</v>
      </c>
      <c r="C2547" s="1" t="s">
        <v>5919</v>
      </c>
    </row>
    <row r="2548" spans="1:3" ht="15.75" customHeight="1" x14ac:dyDescent="0.25">
      <c r="A2548" s="1" t="s">
        <v>7364</v>
      </c>
      <c r="B2548" s="1" t="s">
        <v>7363</v>
      </c>
      <c r="C2548" s="1" t="s">
        <v>5811</v>
      </c>
    </row>
    <row r="2549" spans="1:3" ht="15.75" customHeight="1" x14ac:dyDescent="0.25">
      <c r="A2549" s="1" t="s">
        <v>7362</v>
      </c>
      <c r="B2549" s="1" t="s">
        <v>7361</v>
      </c>
      <c r="C2549" s="1" t="s">
        <v>7360</v>
      </c>
    </row>
    <row r="2550" spans="1:3" ht="15.75" customHeight="1" x14ac:dyDescent="0.25">
      <c r="A2550" s="1" t="s">
        <v>7359</v>
      </c>
      <c r="B2550" s="1" t="s">
        <v>7358</v>
      </c>
      <c r="C2550" s="1" t="s">
        <v>6640</v>
      </c>
    </row>
    <row r="2551" spans="1:3" ht="15.75" customHeight="1" x14ac:dyDescent="0.25">
      <c r="A2551" s="1" t="s">
        <v>3107</v>
      </c>
      <c r="B2551" s="1" t="s">
        <v>7357</v>
      </c>
      <c r="C2551" s="1" t="s">
        <v>6647</v>
      </c>
    </row>
    <row r="2552" spans="1:3" ht="15.75" customHeight="1" x14ac:dyDescent="0.25">
      <c r="A2552" s="1" t="s">
        <v>4268</v>
      </c>
      <c r="B2552" s="1" t="s">
        <v>7356</v>
      </c>
      <c r="C2552" s="1" t="s">
        <v>5811</v>
      </c>
    </row>
    <row r="2553" spans="1:3" ht="15.75" customHeight="1" x14ac:dyDescent="0.25">
      <c r="A2553" s="1" t="s">
        <v>4758</v>
      </c>
      <c r="B2553" s="1" t="s">
        <v>7355</v>
      </c>
      <c r="C2553" s="1" t="s">
        <v>6673</v>
      </c>
    </row>
    <row r="2554" spans="1:3" ht="15.75" customHeight="1" x14ac:dyDescent="0.25">
      <c r="A2554" s="1" t="s">
        <v>7354</v>
      </c>
      <c r="B2554" s="1" t="s">
        <v>7353</v>
      </c>
      <c r="C2554" s="1" t="s">
        <v>6242</v>
      </c>
    </row>
    <row r="2555" spans="1:3" ht="15.75" customHeight="1" x14ac:dyDescent="0.25">
      <c r="A2555" s="1" t="s">
        <v>5509</v>
      </c>
      <c r="B2555" s="1" t="s">
        <v>7352</v>
      </c>
      <c r="C2555" s="1" t="s">
        <v>6700</v>
      </c>
    </row>
    <row r="2556" spans="1:3" ht="15.75" customHeight="1" x14ac:dyDescent="0.25">
      <c r="A2556" s="1" t="s">
        <v>3618</v>
      </c>
      <c r="B2556" s="1" t="s">
        <v>7351</v>
      </c>
      <c r="C2556" s="1" t="s">
        <v>7350</v>
      </c>
    </row>
    <row r="2557" spans="1:3" ht="15.75" customHeight="1" x14ac:dyDescent="0.25">
      <c r="A2557" s="1" t="s">
        <v>5513</v>
      </c>
      <c r="B2557" s="1" t="s">
        <v>7349</v>
      </c>
      <c r="C2557" s="1" t="s">
        <v>6784</v>
      </c>
    </row>
    <row r="2558" spans="1:3" ht="15.75" customHeight="1" x14ac:dyDescent="0.25">
      <c r="A2558" s="1" t="s">
        <v>7348</v>
      </c>
      <c r="B2558" s="1" t="s">
        <v>7347</v>
      </c>
      <c r="C2558" s="1" t="s">
        <v>5860</v>
      </c>
    </row>
    <row r="2559" spans="1:3" ht="15.75" customHeight="1" x14ac:dyDescent="0.25">
      <c r="A2559" s="1" t="s">
        <v>7346</v>
      </c>
      <c r="B2559" s="1" t="s">
        <v>7345</v>
      </c>
      <c r="C2559" s="1" t="s">
        <v>7344</v>
      </c>
    </row>
    <row r="2560" spans="1:3" ht="15.75" customHeight="1" x14ac:dyDescent="0.25">
      <c r="A2560" s="1" t="s">
        <v>1629</v>
      </c>
      <c r="B2560" s="1" t="s">
        <v>7343</v>
      </c>
      <c r="C2560" s="1" t="s">
        <v>6942</v>
      </c>
    </row>
    <row r="2561" spans="1:3" ht="15.75" customHeight="1" x14ac:dyDescent="0.25">
      <c r="A2561" s="1" t="s">
        <v>7342</v>
      </c>
      <c r="B2561" s="1" t="s">
        <v>7341</v>
      </c>
      <c r="C2561" s="1" t="s">
        <v>6690</v>
      </c>
    </row>
    <row r="2562" spans="1:3" ht="15.75" customHeight="1" x14ac:dyDescent="0.25">
      <c r="A2562" s="1" t="s">
        <v>7340</v>
      </c>
      <c r="B2562" s="1" t="s">
        <v>7339</v>
      </c>
      <c r="C2562" s="1" t="s">
        <v>6242</v>
      </c>
    </row>
    <row r="2563" spans="1:3" ht="15.75" customHeight="1" x14ac:dyDescent="0.25">
      <c r="A2563" s="1" t="s">
        <v>4537</v>
      </c>
      <c r="B2563" s="1" t="s">
        <v>7338</v>
      </c>
      <c r="C2563" s="1" t="s">
        <v>7337</v>
      </c>
    </row>
    <row r="2564" spans="1:3" ht="15.75" customHeight="1" x14ac:dyDescent="0.25">
      <c r="A2564" s="1" t="s">
        <v>5606</v>
      </c>
      <c r="B2564" s="1" t="s">
        <v>7336</v>
      </c>
      <c r="C2564" s="1" t="s">
        <v>7228</v>
      </c>
    </row>
    <row r="2565" spans="1:3" ht="15.75" customHeight="1" x14ac:dyDescent="0.25">
      <c r="A2565" s="1" t="s">
        <v>3895</v>
      </c>
      <c r="B2565" s="1" t="s">
        <v>7335</v>
      </c>
      <c r="C2565" s="1" t="s">
        <v>6953</v>
      </c>
    </row>
    <row r="2566" spans="1:3" ht="15.75" customHeight="1" x14ac:dyDescent="0.25">
      <c r="A2566" s="1" t="s">
        <v>84</v>
      </c>
      <c r="B2566" s="1" t="s">
        <v>5952</v>
      </c>
      <c r="C2566" s="1" t="s">
        <v>7334</v>
      </c>
    </row>
    <row r="2567" spans="1:3" ht="15.75" customHeight="1" x14ac:dyDescent="0.25">
      <c r="A2567" s="1" t="s">
        <v>7333</v>
      </c>
      <c r="B2567" s="1" t="s">
        <v>7332</v>
      </c>
      <c r="C2567" s="1" t="s">
        <v>7331</v>
      </c>
    </row>
    <row r="2568" spans="1:3" ht="15.75" customHeight="1" x14ac:dyDescent="0.25">
      <c r="A2568" s="1" t="s">
        <v>5585</v>
      </c>
      <c r="B2568" s="1" t="s">
        <v>5785</v>
      </c>
      <c r="C2568" s="1" t="s">
        <v>7330</v>
      </c>
    </row>
    <row r="2569" spans="1:3" ht="15.75" customHeight="1" x14ac:dyDescent="0.25">
      <c r="A2569" s="1" t="s">
        <v>3208</v>
      </c>
      <c r="B2569" s="1" t="s">
        <v>7329</v>
      </c>
      <c r="C2569" s="1" t="s">
        <v>6714</v>
      </c>
    </row>
    <row r="2570" spans="1:3" ht="15.75" customHeight="1" x14ac:dyDescent="0.25">
      <c r="A2570" s="1" t="s">
        <v>7328</v>
      </c>
      <c r="B2570" s="1" t="s">
        <v>7327</v>
      </c>
      <c r="C2570" s="1" t="s">
        <v>7323</v>
      </c>
    </row>
    <row r="2571" spans="1:3" ht="15.75" customHeight="1" x14ac:dyDescent="0.25">
      <c r="A2571" s="1" t="s">
        <v>3042</v>
      </c>
      <c r="B2571" s="1" t="s">
        <v>7326</v>
      </c>
      <c r="C2571" s="1" t="s">
        <v>6122</v>
      </c>
    </row>
    <row r="2572" spans="1:3" ht="15.75" customHeight="1" x14ac:dyDescent="0.25">
      <c r="A2572" s="1" t="s">
        <v>7325</v>
      </c>
      <c r="B2572" s="1" t="s">
        <v>7324</v>
      </c>
      <c r="C2572" s="1" t="s">
        <v>7323</v>
      </c>
    </row>
    <row r="2573" spans="1:3" ht="15.75" customHeight="1" x14ac:dyDescent="0.25">
      <c r="A2573" s="1" t="s">
        <v>81</v>
      </c>
      <c r="B2573" s="1" t="s">
        <v>7322</v>
      </c>
      <c r="C2573" s="1" t="s">
        <v>5811</v>
      </c>
    </row>
    <row r="2574" spans="1:3" ht="15.75" customHeight="1" x14ac:dyDescent="0.25">
      <c r="A2574" s="1" t="s">
        <v>4953</v>
      </c>
      <c r="B2574" s="1" t="s">
        <v>7321</v>
      </c>
      <c r="C2574" s="1" t="s">
        <v>6665</v>
      </c>
    </row>
    <row r="2575" spans="1:3" ht="15.75" customHeight="1" x14ac:dyDescent="0.25">
      <c r="A2575" s="1" t="s">
        <v>1594</v>
      </c>
      <c r="B2575" s="1" t="s">
        <v>7320</v>
      </c>
      <c r="C2575" s="1" t="s">
        <v>6991</v>
      </c>
    </row>
    <row r="2576" spans="1:3" ht="15.75" customHeight="1" x14ac:dyDescent="0.25">
      <c r="A2576" s="1" t="s">
        <v>7319</v>
      </c>
      <c r="B2576" s="1" t="s">
        <v>7318</v>
      </c>
      <c r="C2576" s="1" t="s">
        <v>6546</v>
      </c>
    </row>
    <row r="2577" spans="1:3" ht="15.75" customHeight="1" x14ac:dyDescent="0.25">
      <c r="A2577" s="1" t="s">
        <v>2718</v>
      </c>
      <c r="B2577" s="1" t="s">
        <v>7317</v>
      </c>
      <c r="C2577" s="1" t="s">
        <v>6931</v>
      </c>
    </row>
    <row r="2578" spans="1:3" ht="15.75" customHeight="1" x14ac:dyDescent="0.25">
      <c r="A2578" s="1" t="s">
        <v>1128</v>
      </c>
      <c r="B2578" s="1" t="s">
        <v>7316</v>
      </c>
      <c r="C2578" s="1" t="s">
        <v>5805</v>
      </c>
    </row>
    <row r="2579" spans="1:3" ht="15.75" customHeight="1" x14ac:dyDescent="0.25">
      <c r="A2579" s="1" t="s">
        <v>2358</v>
      </c>
      <c r="B2579" s="1" t="s">
        <v>7315</v>
      </c>
      <c r="C2579" s="1" t="s">
        <v>6759</v>
      </c>
    </row>
    <row r="2580" spans="1:3" ht="15.75" customHeight="1" x14ac:dyDescent="0.25">
      <c r="A2580" s="1" t="s">
        <v>2392</v>
      </c>
      <c r="B2580" s="1" t="s">
        <v>7314</v>
      </c>
      <c r="C2580" s="1" t="s">
        <v>7313</v>
      </c>
    </row>
    <row r="2581" spans="1:3" ht="15.75" customHeight="1" x14ac:dyDescent="0.25">
      <c r="A2581" s="1" t="s">
        <v>7312</v>
      </c>
      <c r="B2581" s="1" t="s">
        <v>7311</v>
      </c>
      <c r="C2581" s="1" t="s">
        <v>6242</v>
      </c>
    </row>
    <row r="2582" spans="1:3" ht="15.75" customHeight="1" x14ac:dyDescent="0.25">
      <c r="A2582" s="1" t="s">
        <v>1349</v>
      </c>
      <c r="B2582" s="1" t="s">
        <v>7310</v>
      </c>
      <c r="C2582" s="1" t="s">
        <v>5791</v>
      </c>
    </row>
    <row r="2583" spans="1:3" ht="15.75" customHeight="1" x14ac:dyDescent="0.25">
      <c r="A2583" s="1" t="s">
        <v>7309</v>
      </c>
      <c r="B2583" s="1" t="s">
        <v>7308</v>
      </c>
      <c r="C2583" s="1" t="s">
        <v>6997</v>
      </c>
    </row>
    <row r="2584" spans="1:3" ht="15.75" customHeight="1" x14ac:dyDescent="0.25">
      <c r="A2584" s="1" t="s">
        <v>3256</v>
      </c>
      <c r="B2584" s="1" t="s">
        <v>7307</v>
      </c>
      <c r="C2584" s="1" t="s">
        <v>7306</v>
      </c>
    </row>
    <row r="2585" spans="1:3" ht="15.75" customHeight="1" x14ac:dyDescent="0.25">
      <c r="A2585" s="1" t="s">
        <v>5251</v>
      </c>
      <c r="B2585" s="1" t="s">
        <v>7305</v>
      </c>
      <c r="C2585" s="1" t="s">
        <v>5781</v>
      </c>
    </row>
    <row r="2586" spans="1:3" ht="15.75" customHeight="1" x14ac:dyDescent="0.25">
      <c r="A2586" s="1" t="s">
        <v>7304</v>
      </c>
      <c r="B2586" s="1" t="s">
        <v>7303</v>
      </c>
      <c r="C2586" s="1" t="s">
        <v>5781</v>
      </c>
    </row>
    <row r="2587" spans="1:3" ht="15.75" customHeight="1" x14ac:dyDescent="0.25">
      <c r="A2587" s="1" t="s">
        <v>1174</v>
      </c>
      <c r="B2587" s="1" t="s">
        <v>7302</v>
      </c>
      <c r="C2587" s="1" t="s">
        <v>6667</v>
      </c>
    </row>
    <row r="2588" spans="1:3" ht="15.75" customHeight="1" x14ac:dyDescent="0.25">
      <c r="A2588" s="1" t="s">
        <v>79</v>
      </c>
      <c r="B2588" s="1" t="s">
        <v>6708</v>
      </c>
      <c r="C2588" s="1" t="s">
        <v>7301</v>
      </c>
    </row>
    <row r="2589" spans="1:3" ht="15.75" customHeight="1" x14ac:dyDescent="0.25">
      <c r="A2589" s="1" t="s">
        <v>5313</v>
      </c>
      <c r="B2589" s="1" t="s">
        <v>7300</v>
      </c>
      <c r="C2589" s="1" t="s">
        <v>5906</v>
      </c>
    </row>
    <row r="2590" spans="1:3" ht="15.75" customHeight="1" x14ac:dyDescent="0.25">
      <c r="A2590" s="1" t="s">
        <v>7299</v>
      </c>
      <c r="B2590" s="1" t="s">
        <v>7298</v>
      </c>
      <c r="C2590" s="1" t="s">
        <v>6242</v>
      </c>
    </row>
    <row r="2591" spans="1:3" ht="15.75" customHeight="1" x14ac:dyDescent="0.25">
      <c r="A2591" s="1" t="s">
        <v>7297</v>
      </c>
      <c r="B2591" s="1" t="s">
        <v>7296</v>
      </c>
      <c r="C2591" s="1" t="s">
        <v>6759</v>
      </c>
    </row>
    <row r="2592" spans="1:3" ht="15.75" customHeight="1" x14ac:dyDescent="0.25">
      <c r="A2592" s="1" t="s">
        <v>5047</v>
      </c>
      <c r="B2592" s="1" t="s">
        <v>7295</v>
      </c>
      <c r="C2592" s="1" t="s">
        <v>6122</v>
      </c>
    </row>
    <row r="2593" spans="1:3" ht="15.75" customHeight="1" x14ac:dyDescent="0.25">
      <c r="A2593" s="1" t="s">
        <v>7294</v>
      </c>
      <c r="B2593" s="1" t="s">
        <v>7293</v>
      </c>
      <c r="C2593" s="1" t="s">
        <v>6690</v>
      </c>
    </row>
    <row r="2594" spans="1:3" ht="15.75" customHeight="1" x14ac:dyDescent="0.25">
      <c r="A2594" s="1" t="s">
        <v>4721</v>
      </c>
      <c r="B2594" s="1" t="s">
        <v>7292</v>
      </c>
      <c r="C2594" s="1" t="s">
        <v>5796</v>
      </c>
    </row>
    <row r="2595" spans="1:3" ht="15.75" customHeight="1" x14ac:dyDescent="0.25">
      <c r="A2595" s="1" t="s">
        <v>7291</v>
      </c>
      <c r="B2595" s="1" t="s">
        <v>7290</v>
      </c>
      <c r="C2595" s="1" t="s">
        <v>6242</v>
      </c>
    </row>
    <row r="2596" spans="1:3" ht="15.75" customHeight="1" x14ac:dyDescent="0.25">
      <c r="A2596" s="1" t="s">
        <v>76</v>
      </c>
      <c r="B2596" s="1" t="s">
        <v>7289</v>
      </c>
      <c r="C2596" s="1" t="s">
        <v>6892</v>
      </c>
    </row>
    <row r="2597" spans="1:3" ht="15.75" customHeight="1" x14ac:dyDescent="0.25">
      <c r="A2597" s="1" t="s">
        <v>7288</v>
      </c>
      <c r="B2597" s="1" t="s">
        <v>7287</v>
      </c>
      <c r="C2597" s="1" t="s">
        <v>6486</v>
      </c>
    </row>
    <row r="2598" spans="1:3" ht="15.75" customHeight="1" x14ac:dyDescent="0.25">
      <c r="A2598" s="1" t="s">
        <v>4623</v>
      </c>
      <c r="B2598" s="1" t="s">
        <v>6412</v>
      </c>
      <c r="C2598" s="1" t="s">
        <v>7286</v>
      </c>
    </row>
    <row r="2599" spans="1:3" ht="15.75" customHeight="1" x14ac:dyDescent="0.25">
      <c r="A2599" s="1" t="s">
        <v>4279</v>
      </c>
      <c r="B2599" s="1" t="s">
        <v>6925</v>
      </c>
      <c r="C2599" s="1" t="s">
        <v>7285</v>
      </c>
    </row>
    <row r="2600" spans="1:3" ht="15.75" customHeight="1" x14ac:dyDescent="0.25">
      <c r="A2600" s="1" t="s">
        <v>7284</v>
      </c>
      <c r="B2600" s="1" t="s">
        <v>7283</v>
      </c>
      <c r="C2600" s="1" t="s">
        <v>5811</v>
      </c>
    </row>
    <row r="2601" spans="1:3" ht="15.75" customHeight="1" x14ac:dyDescent="0.25">
      <c r="A2601" s="1" t="s">
        <v>1860</v>
      </c>
      <c r="B2601" s="1" t="s">
        <v>7282</v>
      </c>
      <c r="C2601" s="1" t="s">
        <v>6626</v>
      </c>
    </row>
    <row r="2602" spans="1:3" ht="15.75" customHeight="1" x14ac:dyDescent="0.25">
      <c r="A2602" s="1" t="s">
        <v>4878</v>
      </c>
      <c r="B2602" s="1" t="s">
        <v>7281</v>
      </c>
      <c r="C2602" s="1" t="s">
        <v>7280</v>
      </c>
    </row>
    <row r="2603" spans="1:3" ht="15.75" customHeight="1" x14ac:dyDescent="0.25">
      <c r="A2603" s="1" t="s">
        <v>7279</v>
      </c>
      <c r="B2603" s="1" t="s">
        <v>7278</v>
      </c>
      <c r="C2603" s="1" t="s">
        <v>6242</v>
      </c>
    </row>
    <row r="2604" spans="1:3" ht="15.75" customHeight="1" x14ac:dyDescent="0.25">
      <c r="A2604" s="1" t="s">
        <v>74</v>
      </c>
      <c r="B2604" s="1" t="s">
        <v>7277</v>
      </c>
      <c r="C2604" s="1" t="s">
        <v>6653</v>
      </c>
    </row>
    <row r="2605" spans="1:3" ht="15.75" customHeight="1" x14ac:dyDescent="0.25">
      <c r="A2605" s="1" t="s">
        <v>71</v>
      </c>
      <c r="B2605" s="1" t="s">
        <v>6036</v>
      </c>
      <c r="C2605" s="1" t="s">
        <v>7276</v>
      </c>
    </row>
    <row r="2606" spans="1:3" ht="15.75" customHeight="1" x14ac:dyDescent="0.25">
      <c r="A2606" s="1" t="s">
        <v>3249</v>
      </c>
      <c r="B2606" s="1" t="s">
        <v>7275</v>
      </c>
      <c r="C2606" s="1" t="s">
        <v>5796</v>
      </c>
    </row>
    <row r="2607" spans="1:3" ht="15.75" customHeight="1" x14ac:dyDescent="0.25">
      <c r="A2607" s="1" t="s">
        <v>7274</v>
      </c>
      <c r="B2607" s="1" t="s">
        <v>7273</v>
      </c>
      <c r="C2607" s="1" t="s">
        <v>6168</v>
      </c>
    </row>
    <row r="2608" spans="1:3" ht="15.75" customHeight="1" x14ac:dyDescent="0.25">
      <c r="A2608" s="1" t="s">
        <v>2812</v>
      </c>
      <c r="B2608" s="1" t="s">
        <v>7272</v>
      </c>
      <c r="C2608" s="1" t="s">
        <v>7271</v>
      </c>
    </row>
    <row r="2609" spans="1:3" ht="15.75" customHeight="1" x14ac:dyDescent="0.25">
      <c r="A2609" s="1" t="s">
        <v>4997</v>
      </c>
      <c r="B2609" s="1" t="s">
        <v>7270</v>
      </c>
      <c r="C2609" s="1" t="s">
        <v>6892</v>
      </c>
    </row>
    <row r="2610" spans="1:3" ht="15.75" customHeight="1" x14ac:dyDescent="0.25">
      <c r="A2610" s="1" t="s">
        <v>7269</v>
      </c>
      <c r="B2610" s="1" t="s">
        <v>7268</v>
      </c>
      <c r="C2610" s="1" t="s">
        <v>6276</v>
      </c>
    </row>
    <row r="2611" spans="1:3" ht="15.75" customHeight="1" x14ac:dyDescent="0.25">
      <c r="A2611" s="1" t="s">
        <v>68</v>
      </c>
      <c r="B2611" s="1" t="s">
        <v>7267</v>
      </c>
      <c r="C2611" s="1" t="s">
        <v>5796</v>
      </c>
    </row>
    <row r="2612" spans="1:3" ht="15.75" customHeight="1" x14ac:dyDescent="0.25">
      <c r="A2612" s="1" t="s">
        <v>2940</v>
      </c>
      <c r="B2612" s="1" t="s">
        <v>7266</v>
      </c>
      <c r="C2612" s="1" t="s">
        <v>6530</v>
      </c>
    </row>
    <row r="2613" spans="1:3" ht="15.75" customHeight="1" x14ac:dyDescent="0.25">
      <c r="A2613" s="1" t="s">
        <v>5035</v>
      </c>
      <c r="B2613" s="1" t="s">
        <v>7265</v>
      </c>
      <c r="C2613" s="1" t="s">
        <v>5893</v>
      </c>
    </row>
    <row r="2614" spans="1:3" ht="15.75" customHeight="1" x14ac:dyDescent="0.25">
      <c r="A2614" s="1" t="s">
        <v>7264</v>
      </c>
      <c r="B2614" s="1" t="s">
        <v>7263</v>
      </c>
      <c r="C2614" s="1" t="s">
        <v>6530</v>
      </c>
    </row>
    <row r="2615" spans="1:3" ht="15.75" customHeight="1" x14ac:dyDescent="0.25">
      <c r="A2615" s="1" t="s">
        <v>4971</v>
      </c>
      <c r="B2615" s="1" t="s">
        <v>7262</v>
      </c>
      <c r="C2615" s="1" t="s">
        <v>6725</v>
      </c>
    </row>
    <row r="2616" spans="1:3" ht="15.75" customHeight="1" x14ac:dyDescent="0.25">
      <c r="A2616" s="1" t="s">
        <v>7261</v>
      </c>
      <c r="B2616" s="1" t="s">
        <v>7260</v>
      </c>
      <c r="C2616" s="1" t="s">
        <v>6795</v>
      </c>
    </row>
    <row r="2617" spans="1:3" ht="15.75" customHeight="1" x14ac:dyDescent="0.25">
      <c r="A2617" s="1" t="s">
        <v>7259</v>
      </c>
      <c r="B2617" s="1" t="s">
        <v>7258</v>
      </c>
      <c r="C2617" s="1" t="s">
        <v>6493</v>
      </c>
    </row>
    <row r="2618" spans="1:3" ht="15.75" customHeight="1" x14ac:dyDescent="0.25">
      <c r="A2618" s="1" t="s">
        <v>7257</v>
      </c>
      <c r="B2618" s="1" t="s">
        <v>7256</v>
      </c>
      <c r="C2618" s="1" t="s">
        <v>5836</v>
      </c>
    </row>
    <row r="2619" spans="1:3" ht="15.75" customHeight="1" x14ac:dyDescent="0.25">
      <c r="A2619" s="1" t="s">
        <v>65</v>
      </c>
      <c r="B2619" s="1" t="s">
        <v>7255</v>
      </c>
      <c r="C2619" s="1" t="s">
        <v>5796</v>
      </c>
    </row>
    <row r="2620" spans="1:3" ht="15.75" customHeight="1" x14ac:dyDescent="0.25">
      <c r="A2620" s="1" t="s">
        <v>3695</v>
      </c>
      <c r="B2620" s="1" t="s">
        <v>7254</v>
      </c>
      <c r="C2620" s="1" t="s">
        <v>6533</v>
      </c>
    </row>
    <row r="2621" spans="1:3" ht="15.75" customHeight="1" x14ac:dyDescent="0.25">
      <c r="A2621" s="1" t="s">
        <v>7253</v>
      </c>
      <c r="B2621" s="1" t="s">
        <v>7252</v>
      </c>
      <c r="C2621" s="1" t="s">
        <v>7251</v>
      </c>
    </row>
    <row r="2622" spans="1:3" ht="15.75" customHeight="1" x14ac:dyDescent="0.25">
      <c r="A2622" s="1" t="s">
        <v>4481</v>
      </c>
      <c r="B2622" s="1" t="s">
        <v>7250</v>
      </c>
      <c r="C2622" s="1" t="s">
        <v>5914</v>
      </c>
    </row>
    <row r="2623" spans="1:3" ht="15.75" customHeight="1" x14ac:dyDescent="0.25">
      <c r="A2623" s="1" t="s">
        <v>4683</v>
      </c>
      <c r="B2623" s="1" t="s">
        <v>7249</v>
      </c>
      <c r="C2623" s="1" t="s">
        <v>6586</v>
      </c>
    </row>
    <row r="2624" spans="1:3" ht="15.75" customHeight="1" x14ac:dyDescent="0.25">
      <c r="A2624" s="1" t="s">
        <v>7248</v>
      </c>
      <c r="B2624" s="1" t="s">
        <v>7247</v>
      </c>
      <c r="C2624" s="1" t="s">
        <v>5860</v>
      </c>
    </row>
    <row r="2625" spans="1:3" ht="15.75" customHeight="1" x14ac:dyDescent="0.25">
      <c r="A2625" s="1" t="s">
        <v>1989</v>
      </c>
      <c r="B2625" s="1" t="s">
        <v>7246</v>
      </c>
      <c r="C2625" s="1" t="s">
        <v>7245</v>
      </c>
    </row>
    <row r="2626" spans="1:3" ht="15.75" customHeight="1" x14ac:dyDescent="0.25">
      <c r="A2626" s="1" t="s">
        <v>7244</v>
      </c>
      <c r="B2626" s="1" t="s">
        <v>7243</v>
      </c>
      <c r="C2626" s="1" t="s">
        <v>6242</v>
      </c>
    </row>
    <row r="2627" spans="1:3" ht="15.75" customHeight="1" x14ac:dyDescent="0.25">
      <c r="A2627" s="1" t="s">
        <v>4025</v>
      </c>
      <c r="B2627" s="1" t="s">
        <v>7242</v>
      </c>
      <c r="C2627" s="1" t="s">
        <v>5836</v>
      </c>
    </row>
    <row r="2628" spans="1:3" ht="15.75" customHeight="1" x14ac:dyDescent="0.25">
      <c r="A2628" s="1" t="s">
        <v>63</v>
      </c>
      <c r="B2628" s="1" t="s">
        <v>7241</v>
      </c>
      <c r="C2628" s="1" t="s">
        <v>5796</v>
      </c>
    </row>
    <row r="2629" spans="1:3" ht="15.75" customHeight="1" x14ac:dyDescent="0.25">
      <c r="A2629" s="1" t="s">
        <v>3245</v>
      </c>
      <c r="B2629" s="1" t="s">
        <v>7240</v>
      </c>
      <c r="C2629" s="1" t="s">
        <v>5836</v>
      </c>
    </row>
    <row r="2630" spans="1:3" ht="15.75" customHeight="1" x14ac:dyDescent="0.25">
      <c r="A2630" s="1" t="s">
        <v>7239</v>
      </c>
      <c r="B2630" s="1" t="s">
        <v>7238</v>
      </c>
      <c r="C2630" s="1" t="s">
        <v>6665</v>
      </c>
    </row>
    <row r="2631" spans="1:3" ht="15.75" customHeight="1" x14ac:dyDescent="0.25">
      <c r="A2631" s="1" t="s">
        <v>4969</v>
      </c>
      <c r="B2631" s="1" t="s">
        <v>7237</v>
      </c>
      <c r="C2631" s="1" t="s">
        <v>6874</v>
      </c>
    </row>
    <row r="2632" spans="1:3" ht="15.75" customHeight="1" x14ac:dyDescent="0.25">
      <c r="A2632" s="1" t="s">
        <v>2286</v>
      </c>
      <c r="B2632" s="1" t="s">
        <v>7236</v>
      </c>
      <c r="C2632" s="1" t="s">
        <v>7235</v>
      </c>
    </row>
    <row r="2633" spans="1:3" ht="15.75" customHeight="1" x14ac:dyDescent="0.25">
      <c r="A2633" s="1" t="s">
        <v>7234</v>
      </c>
      <c r="B2633" s="1" t="s">
        <v>7233</v>
      </c>
      <c r="C2633" s="1" t="s">
        <v>6486</v>
      </c>
    </row>
    <row r="2634" spans="1:3" ht="15.75" customHeight="1" x14ac:dyDescent="0.25">
      <c r="A2634" s="1" t="s">
        <v>1855</v>
      </c>
      <c r="B2634" s="1" t="s">
        <v>7232</v>
      </c>
      <c r="C2634" s="1" t="s">
        <v>5809</v>
      </c>
    </row>
    <row r="2635" spans="1:3" ht="15.75" customHeight="1" x14ac:dyDescent="0.25">
      <c r="A2635" s="1" t="s">
        <v>2434</v>
      </c>
      <c r="B2635" s="1" t="s">
        <v>7231</v>
      </c>
      <c r="C2635" s="1" t="s">
        <v>6959</v>
      </c>
    </row>
    <row r="2636" spans="1:3" ht="15.75" customHeight="1" x14ac:dyDescent="0.25">
      <c r="A2636" s="1" t="s">
        <v>7230</v>
      </c>
      <c r="B2636" s="1" t="s">
        <v>7229</v>
      </c>
      <c r="C2636" s="1" t="s">
        <v>7228</v>
      </c>
    </row>
    <row r="2637" spans="1:3" ht="15.75" customHeight="1" x14ac:dyDescent="0.25">
      <c r="A2637" s="1" t="s">
        <v>7227</v>
      </c>
      <c r="B2637" s="1" t="s">
        <v>7226</v>
      </c>
      <c r="C2637" s="1" t="s">
        <v>7106</v>
      </c>
    </row>
    <row r="2638" spans="1:3" ht="15.75" customHeight="1" x14ac:dyDescent="0.25">
      <c r="A2638" s="1" t="s">
        <v>2506</v>
      </c>
      <c r="B2638" s="1" t="s">
        <v>7225</v>
      </c>
      <c r="C2638" s="1" t="s">
        <v>7011</v>
      </c>
    </row>
    <row r="2639" spans="1:3" ht="15.75" customHeight="1" x14ac:dyDescent="0.25">
      <c r="A2639" s="1" t="s">
        <v>4223</v>
      </c>
      <c r="B2639" s="1" t="s">
        <v>7224</v>
      </c>
      <c r="C2639" s="1" t="s">
        <v>7223</v>
      </c>
    </row>
    <row r="2640" spans="1:3" ht="15.75" customHeight="1" x14ac:dyDescent="0.25">
      <c r="A2640" s="1" t="s">
        <v>1995</v>
      </c>
      <c r="B2640" s="1" t="s">
        <v>7222</v>
      </c>
      <c r="C2640" s="1" t="s">
        <v>7185</v>
      </c>
    </row>
    <row r="2641" spans="1:3" ht="15.75" customHeight="1" x14ac:dyDescent="0.25">
      <c r="A2641" s="1" t="s">
        <v>3012</v>
      </c>
      <c r="B2641" s="1" t="s">
        <v>7221</v>
      </c>
      <c r="C2641" s="1" t="s">
        <v>6763</v>
      </c>
    </row>
    <row r="2642" spans="1:3" ht="15.75" customHeight="1" x14ac:dyDescent="0.25">
      <c r="A2642" s="1" t="s">
        <v>4611</v>
      </c>
      <c r="B2642" s="1" t="s">
        <v>7220</v>
      </c>
      <c r="C2642" s="1" t="s">
        <v>5893</v>
      </c>
    </row>
    <row r="2643" spans="1:3" ht="15.75" customHeight="1" x14ac:dyDescent="0.25">
      <c r="A2643" s="1" t="s">
        <v>7219</v>
      </c>
      <c r="B2643" s="1" t="s">
        <v>7218</v>
      </c>
      <c r="C2643" s="1" t="s">
        <v>6755</v>
      </c>
    </row>
    <row r="2644" spans="1:3" ht="15.75" customHeight="1" x14ac:dyDescent="0.25">
      <c r="A2644" s="1" t="s">
        <v>2005</v>
      </c>
      <c r="B2644" s="1" t="s">
        <v>7217</v>
      </c>
      <c r="C2644" s="1" t="s">
        <v>5809</v>
      </c>
    </row>
    <row r="2645" spans="1:3" ht="15.75" customHeight="1" x14ac:dyDescent="0.25">
      <c r="A2645" s="1" t="s">
        <v>1141</v>
      </c>
      <c r="B2645" s="1" t="s">
        <v>7216</v>
      </c>
      <c r="C2645" s="1" t="s">
        <v>5796</v>
      </c>
    </row>
    <row r="2646" spans="1:3" ht="15.75" customHeight="1" x14ac:dyDescent="0.25">
      <c r="A2646" s="1" t="s">
        <v>7215</v>
      </c>
      <c r="B2646" s="1" t="s">
        <v>7214</v>
      </c>
      <c r="C2646" s="1" t="s">
        <v>7213</v>
      </c>
    </row>
    <row r="2647" spans="1:3" ht="15.75" customHeight="1" x14ac:dyDescent="0.25">
      <c r="A2647" s="1" t="s">
        <v>7212</v>
      </c>
      <c r="B2647" s="1" t="s">
        <v>7211</v>
      </c>
      <c r="C2647" s="1" t="s">
        <v>7210</v>
      </c>
    </row>
    <row r="2648" spans="1:3" ht="15.75" customHeight="1" x14ac:dyDescent="0.25">
      <c r="A2648" s="1" t="s">
        <v>1822</v>
      </c>
      <c r="B2648" s="1" t="s">
        <v>7209</v>
      </c>
      <c r="C2648" s="1" t="s">
        <v>6651</v>
      </c>
    </row>
    <row r="2649" spans="1:3" ht="15.75" customHeight="1" x14ac:dyDescent="0.25">
      <c r="A2649" s="1" t="s">
        <v>3373</v>
      </c>
      <c r="B2649" s="1" t="s">
        <v>7208</v>
      </c>
      <c r="C2649" s="1" t="s">
        <v>6784</v>
      </c>
    </row>
    <row r="2650" spans="1:3" ht="15.75" customHeight="1" x14ac:dyDescent="0.25">
      <c r="A2650" s="1" t="s">
        <v>3169</v>
      </c>
      <c r="B2650" s="1" t="s">
        <v>7207</v>
      </c>
      <c r="C2650" s="1" t="s">
        <v>7011</v>
      </c>
    </row>
    <row r="2651" spans="1:3" ht="15.75" customHeight="1" x14ac:dyDescent="0.25">
      <c r="A2651" s="1" t="s">
        <v>7206</v>
      </c>
      <c r="B2651" s="1" t="s">
        <v>7205</v>
      </c>
      <c r="C2651" s="1" t="s">
        <v>6242</v>
      </c>
    </row>
    <row r="2652" spans="1:3" ht="15.75" customHeight="1" x14ac:dyDescent="0.25">
      <c r="A2652" s="1" t="s">
        <v>7204</v>
      </c>
      <c r="B2652" s="1" t="s">
        <v>7203</v>
      </c>
      <c r="C2652" s="1" t="s">
        <v>6486</v>
      </c>
    </row>
    <row r="2653" spans="1:3" ht="15.75" customHeight="1" x14ac:dyDescent="0.25">
      <c r="A2653" s="1" t="s">
        <v>2966</v>
      </c>
      <c r="B2653" s="1" t="s">
        <v>7202</v>
      </c>
      <c r="C2653" s="1" t="s">
        <v>6647</v>
      </c>
    </row>
    <row r="2654" spans="1:3" ht="15.75" customHeight="1" x14ac:dyDescent="0.25">
      <c r="A2654" s="1" t="s">
        <v>2579</v>
      </c>
      <c r="B2654" s="1" t="s">
        <v>7201</v>
      </c>
      <c r="C2654" s="1" t="s">
        <v>7070</v>
      </c>
    </row>
    <row r="2655" spans="1:3" ht="15.75" customHeight="1" x14ac:dyDescent="0.25">
      <c r="A2655" s="1" t="s">
        <v>7200</v>
      </c>
      <c r="B2655" s="1" t="s">
        <v>7199</v>
      </c>
      <c r="C2655" s="1" t="s">
        <v>6242</v>
      </c>
    </row>
    <row r="2656" spans="1:3" ht="15.75" customHeight="1" x14ac:dyDescent="0.25">
      <c r="A2656" s="1" t="s">
        <v>7198</v>
      </c>
      <c r="B2656" s="1" t="s">
        <v>7197</v>
      </c>
      <c r="C2656" s="1" t="s">
        <v>6242</v>
      </c>
    </row>
    <row r="2657" spans="1:3" ht="15.75" customHeight="1" x14ac:dyDescent="0.25">
      <c r="A2657" s="1" t="s">
        <v>3388</v>
      </c>
      <c r="B2657" s="1" t="s">
        <v>7196</v>
      </c>
      <c r="C2657" s="1" t="s">
        <v>7195</v>
      </c>
    </row>
    <row r="2658" spans="1:3" ht="15.75" customHeight="1" x14ac:dyDescent="0.25">
      <c r="A2658" s="1" t="s">
        <v>7194</v>
      </c>
      <c r="B2658" s="1" t="s">
        <v>7193</v>
      </c>
      <c r="C2658" s="1" t="s">
        <v>6644</v>
      </c>
    </row>
    <row r="2659" spans="1:3" ht="15.75" customHeight="1" x14ac:dyDescent="0.25">
      <c r="A2659" s="1" t="s">
        <v>7192</v>
      </c>
      <c r="B2659" s="1" t="s">
        <v>7191</v>
      </c>
      <c r="C2659" s="1" t="s">
        <v>5824</v>
      </c>
    </row>
    <row r="2660" spans="1:3" ht="15.75" customHeight="1" x14ac:dyDescent="0.25">
      <c r="A2660" s="1" t="s">
        <v>1555</v>
      </c>
      <c r="B2660" s="1" t="s">
        <v>7190</v>
      </c>
      <c r="C2660" s="1" t="s">
        <v>7189</v>
      </c>
    </row>
    <row r="2661" spans="1:3" ht="15.75" customHeight="1" x14ac:dyDescent="0.25">
      <c r="A2661" s="1" t="s">
        <v>7188</v>
      </c>
      <c r="B2661" s="1" t="s">
        <v>7187</v>
      </c>
      <c r="C2661" s="1" t="s">
        <v>6653</v>
      </c>
    </row>
    <row r="2662" spans="1:3" ht="15.75" customHeight="1" x14ac:dyDescent="0.25">
      <c r="A2662" s="1" t="s">
        <v>1738</v>
      </c>
      <c r="B2662" s="1" t="s">
        <v>7186</v>
      </c>
      <c r="C2662" s="1" t="s">
        <v>7185</v>
      </c>
    </row>
    <row r="2663" spans="1:3" ht="15.75" customHeight="1" x14ac:dyDescent="0.25">
      <c r="A2663" s="1" t="s">
        <v>7184</v>
      </c>
      <c r="B2663" s="1" t="s">
        <v>7183</v>
      </c>
      <c r="C2663" s="1" t="s">
        <v>6486</v>
      </c>
    </row>
    <row r="2664" spans="1:3" ht="15.75" customHeight="1" x14ac:dyDescent="0.25">
      <c r="A2664" s="1" t="s">
        <v>5277</v>
      </c>
      <c r="B2664" s="1" t="s">
        <v>7181</v>
      </c>
      <c r="C2664" s="1" t="s">
        <v>7182</v>
      </c>
    </row>
    <row r="2665" spans="1:3" ht="15.75" customHeight="1" x14ac:dyDescent="0.25">
      <c r="A2665" s="1" t="s">
        <v>5536</v>
      </c>
      <c r="B2665" s="1" t="s">
        <v>7181</v>
      </c>
      <c r="C2665" s="1" t="s">
        <v>7180</v>
      </c>
    </row>
    <row r="2666" spans="1:3" ht="15.75" customHeight="1" x14ac:dyDescent="0.25">
      <c r="A2666" s="1" t="s">
        <v>3982</v>
      </c>
      <c r="B2666" s="1" t="s">
        <v>7179</v>
      </c>
      <c r="C2666" s="1" t="s">
        <v>7178</v>
      </c>
    </row>
    <row r="2667" spans="1:3" ht="15.75" customHeight="1" x14ac:dyDescent="0.25">
      <c r="A2667" s="1" t="s">
        <v>61</v>
      </c>
      <c r="B2667" s="1" t="s">
        <v>7177</v>
      </c>
      <c r="C2667" s="1" t="s">
        <v>6929</v>
      </c>
    </row>
    <row r="2668" spans="1:3" ht="15.75" customHeight="1" x14ac:dyDescent="0.25">
      <c r="A2668" s="1" t="s">
        <v>7176</v>
      </c>
      <c r="B2668" s="1" t="s">
        <v>7175</v>
      </c>
      <c r="C2668" s="1" t="s">
        <v>5860</v>
      </c>
    </row>
    <row r="2669" spans="1:3" ht="15.75" customHeight="1" x14ac:dyDescent="0.25">
      <c r="A2669" s="1" t="s">
        <v>551</v>
      </c>
      <c r="B2669" s="1" t="s">
        <v>7174</v>
      </c>
      <c r="C2669" s="1" t="s">
        <v>6789</v>
      </c>
    </row>
    <row r="2670" spans="1:3" ht="15.75" customHeight="1" x14ac:dyDescent="0.25">
      <c r="A2670" s="1" t="s">
        <v>2593</v>
      </c>
      <c r="B2670" s="1" t="s">
        <v>7173</v>
      </c>
      <c r="C2670" s="1" t="s">
        <v>6991</v>
      </c>
    </row>
    <row r="2671" spans="1:3" ht="15.75" customHeight="1" x14ac:dyDescent="0.25">
      <c r="A2671" s="1" t="s">
        <v>7172</v>
      </c>
      <c r="B2671" s="1" t="s">
        <v>7171</v>
      </c>
      <c r="C2671" s="1" t="s">
        <v>7170</v>
      </c>
    </row>
    <row r="2672" spans="1:3" ht="15.75" customHeight="1" x14ac:dyDescent="0.25">
      <c r="A2672" s="1" t="s">
        <v>2690</v>
      </c>
      <c r="B2672" s="1" t="s">
        <v>7169</v>
      </c>
      <c r="C2672" s="1" t="s">
        <v>5796</v>
      </c>
    </row>
    <row r="2673" spans="1:3" ht="15.75" customHeight="1" x14ac:dyDescent="0.25">
      <c r="A2673" s="1" t="s">
        <v>4132</v>
      </c>
      <c r="B2673" s="1" t="s">
        <v>7168</v>
      </c>
      <c r="C2673" s="1" t="s">
        <v>6866</v>
      </c>
    </row>
    <row r="2674" spans="1:3" ht="15.75" customHeight="1" x14ac:dyDescent="0.25">
      <c r="A2674" s="1" t="s">
        <v>4262</v>
      </c>
      <c r="B2674" s="1" t="s">
        <v>7167</v>
      </c>
      <c r="C2674" s="1" t="s">
        <v>5836</v>
      </c>
    </row>
    <row r="2675" spans="1:3" ht="15.75" customHeight="1" x14ac:dyDescent="0.25">
      <c r="A2675" s="1" t="s">
        <v>4426</v>
      </c>
      <c r="B2675" s="1" t="s">
        <v>7166</v>
      </c>
      <c r="C2675" s="1" t="s">
        <v>7165</v>
      </c>
    </row>
    <row r="2676" spans="1:3" ht="15.75" customHeight="1" x14ac:dyDescent="0.25">
      <c r="A2676" s="1" t="s">
        <v>7164</v>
      </c>
      <c r="B2676" s="1" t="s">
        <v>6925</v>
      </c>
      <c r="C2676" s="1" t="s">
        <v>7163</v>
      </c>
    </row>
    <row r="2677" spans="1:3" ht="15.75" customHeight="1" x14ac:dyDescent="0.25">
      <c r="A2677" s="1" t="s">
        <v>1318</v>
      </c>
      <c r="B2677" s="1" t="s">
        <v>7162</v>
      </c>
      <c r="C2677" s="1" t="s">
        <v>6276</v>
      </c>
    </row>
    <row r="2678" spans="1:3" ht="15.75" customHeight="1" x14ac:dyDescent="0.25">
      <c r="A2678" s="1" t="s">
        <v>7161</v>
      </c>
      <c r="B2678" s="1" t="s">
        <v>7160</v>
      </c>
      <c r="C2678" s="1" t="s">
        <v>6937</v>
      </c>
    </row>
    <row r="2679" spans="1:3" ht="15.75" customHeight="1" x14ac:dyDescent="0.25">
      <c r="A2679" s="1" t="s">
        <v>1910</v>
      </c>
      <c r="B2679" s="1" t="s">
        <v>7159</v>
      </c>
      <c r="C2679" s="1" t="s">
        <v>6640</v>
      </c>
    </row>
    <row r="2680" spans="1:3" ht="15.75" customHeight="1" x14ac:dyDescent="0.25">
      <c r="A2680" s="1" t="s">
        <v>757</v>
      </c>
      <c r="B2680" s="1" t="s">
        <v>7158</v>
      </c>
      <c r="C2680" s="1" t="s">
        <v>6675</v>
      </c>
    </row>
    <row r="2681" spans="1:3" ht="15.75" customHeight="1" x14ac:dyDescent="0.25">
      <c r="A2681" s="1" t="s">
        <v>58</v>
      </c>
      <c r="B2681" s="1" t="s">
        <v>7157</v>
      </c>
      <c r="C2681" s="1" t="s">
        <v>7156</v>
      </c>
    </row>
    <row r="2682" spans="1:3" ht="15.75" customHeight="1" x14ac:dyDescent="0.25">
      <c r="A2682" s="1" t="s">
        <v>2728</v>
      </c>
      <c r="B2682" s="1" t="s">
        <v>7155</v>
      </c>
      <c r="C2682" s="1" t="s">
        <v>6797</v>
      </c>
    </row>
    <row r="2683" spans="1:3" ht="15.75" customHeight="1" x14ac:dyDescent="0.25">
      <c r="A2683" s="1" t="s">
        <v>7154</v>
      </c>
      <c r="B2683" s="1" t="s">
        <v>7153</v>
      </c>
      <c r="C2683" s="1" t="s">
        <v>6905</v>
      </c>
    </row>
    <row r="2684" spans="1:3" ht="15.75" customHeight="1" x14ac:dyDescent="0.25">
      <c r="A2684" s="1" t="s">
        <v>4933</v>
      </c>
      <c r="B2684" s="1" t="s">
        <v>7152</v>
      </c>
      <c r="C2684" s="1" t="s">
        <v>7151</v>
      </c>
    </row>
    <row r="2685" spans="1:3" ht="15.75" customHeight="1" x14ac:dyDescent="0.25">
      <c r="A2685" s="1" t="s">
        <v>527</v>
      </c>
      <c r="B2685" s="1" t="s">
        <v>7150</v>
      </c>
      <c r="C2685" s="1" t="s">
        <v>7070</v>
      </c>
    </row>
    <row r="2686" spans="1:3" ht="15.75" customHeight="1" x14ac:dyDescent="0.25">
      <c r="A2686" s="1" t="s">
        <v>7149</v>
      </c>
      <c r="B2686" s="1" t="s">
        <v>7148</v>
      </c>
      <c r="C2686" s="1" t="s">
        <v>6963</v>
      </c>
    </row>
    <row r="2687" spans="1:3" ht="15.75" customHeight="1" x14ac:dyDescent="0.25">
      <c r="A2687" s="1" t="s">
        <v>3931</v>
      </c>
      <c r="B2687" s="1" t="s">
        <v>7147</v>
      </c>
      <c r="C2687" s="1" t="s">
        <v>6093</v>
      </c>
    </row>
    <row r="2688" spans="1:3" ht="15.75" customHeight="1" x14ac:dyDescent="0.25">
      <c r="A2688" s="1" t="s">
        <v>2032</v>
      </c>
      <c r="B2688" s="1" t="s">
        <v>7146</v>
      </c>
      <c r="C2688" s="1" t="s">
        <v>6323</v>
      </c>
    </row>
    <row r="2689" spans="1:3" ht="15.75" customHeight="1" x14ac:dyDescent="0.25">
      <c r="A2689" s="1" t="s">
        <v>5269</v>
      </c>
      <c r="B2689" s="1" t="s">
        <v>7145</v>
      </c>
      <c r="C2689" s="1" t="s">
        <v>5836</v>
      </c>
    </row>
    <row r="2690" spans="1:3" ht="15.75" customHeight="1" x14ac:dyDescent="0.25">
      <c r="A2690" s="1" t="s">
        <v>7144</v>
      </c>
      <c r="B2690" s="1" t="s">
        <v>7143</v>
      </c>
      <c r="C2690" s="1" t="s">
        <v>5811</v>
      </c>
    </row>
    <row r="2691" spans="1:3" ht="15.75" customHeight="1" x14ac:dyDescent="0.25">
      <c r="A2691" s="1" t="s">
        <v>2103</v>
      </c>
      <c r="B2691" s="1" t="s">
        <v>7142</v>
      </c>
      <c r="C2691" s="1" t="s">
        <v>7070</v>
      </c>
    </row>
    <row r="2692" spans="1:3" ht="15.75" customHeight="1" x14ac:dyDescent="0.25">
      <c r="A2692" s="1" t="s">
        <v>5171</v>
      </c>
      <c r="B2692" s="1" t="s">
        <v>7141</v>
      </c>
      <c r="C2692" s="1" t="s">
        <v>7052</v>
      </c>
    </row>
    <row r="2693" spans="1:3" ht="15.75" customHeight="1" x14ac:dyDescent="0.25">
      <c r="A2693" s="1" t="s">
        <v>1933</v>
      </c>
      <c r="B2693" s="1" t="s">
        <v>7140</v>
      </c>
      <c r="C2693" s="1" t="s">
        <v>7139</v>
      </c>
    </row>
    <row r="2694" spans="1:3" ht="15.75" customHeight="1" x14ac:dyDescent="0.25">
      <c r="A2694" s="1" t="s">
        <v>3160</v>
      </c>
      <c r="B2694" s="1" t="s">
        <v>7138</v>
      </c>
      <c r="C2694" s="1" t="s">
        <v>6653</v>
      </c>
    </row>
    <row r="2695" spans="1:3" ht="15.75" customHeight="1" x14ac:dyDescent="0.25">
      <c r="A2695" s="1" t="s">
        <v>2655</v>
      </c>
      <c r="B2695" s="1" t="s">
        <v>7137</v>
      </c>
      <c r="C2695" s="1" t="s">
        <v>6276</v>
      </c>
    </row>
    <row r="2696" spans="1:3" ht="15.75" customHeight="1" x14ac:dyDescent="0.25">
      <c r="A2696" s="1" t="s">
        <v>1424</v>
      </c>
      <c r="B2696" s="1" t="s">
        <v>7136</v>
      </c>
      <c r="C2696" s="1" t="s">
        <v>5824</v>
      </c>
    </row>
    <row r="2697" spans="1:3" ht="15.75" customHeight="1" x14ac:dyDescent="0.25">
      <c r="A2697" s="1" t="s">
        <v>4168</v>
      </c>
      <c r="B2697" s="1" t="s">
        <v>7135</v>
      </c>
      <c r="C2697" s="1" t="s">
        <v>7134</v>
      </c>
    </row>
    <row r="2698" spans="1:3" ht="15.75" customHeight="1" x14ac:dyDescent="0.25">
      <c r="A2698" s="1" t="s">
        <v>7133</v>
      </c>
      <c r="B2698" s="1" t="s">
        <v>7132</v>
      </c>
      <c r="C2698" s="1" t="s">
        <v>7131</v>
      </c>
    </row>
    <row r="2699" spans="1:3" ht="15.75" customHeight="1" x14ac:dyDescent="0.25">
      <c r="A2699" s="1" t="s">
        <v>7130</v>
      </c>
      <c r="B2699" s="1" t="s">
        <v>7129</v>
      </c>
      <c r="C2699" s="1" t="s">
        <v>6486</v>
      </c>
    </row>
    <row r="2700" spans="1:3" ht="15.75" customHeight="1" x14ac:dyDescent="0.25">
      <c r="A2700" s="1" t="s">
        <v>3251</v>
      </c>
      <c r="B2700" s="1" t="s">
        <v>7128</v>
      </c>
      <c r="C2700" s="1" t="s">
        <v>6647</v>
      </c>
    </row>
    <row r="2701" spans="1:3" ht="15.75" customHeight="1" x14ac:dyDescent="0.25">
      <c r="A2701" s="1" t="s">
        <v>7127</v>
      </c>
      <c r="B2701" s="1" t="s">
        <v>7012</v>
      </c>
      <c r="C2701" s="1" t="s">
        <v>6866</v>
      </c>
    </row>
    <row r="2702" spans="1:3" ht="15.75" customHeight="1" x14ac:dyDescent="0.25">
      <c r="A2702" s="1" t="s">
        <v>4510</v>
      </c>
      <c r="B2702" s="1" t="s">
        <v>7126</v>
      </c>
      <c r="C2702" s="1" t="s">
        <v>6122</v>
      </c>
    </row>
    <row r="2703" spans="1:3" ht="15.75" customHeight="1" x14ac:dyDescent="0.25">
      <c r="A2703" s="1" t="s">
        <v>7125</v>
      </c>
      <c r="B2703" s="1" t="s">
        <v>7124</v>
      </c>
      <c r="C2703" s="1" t="s">
        <v>5811</v>
      </c>
    </row>
    <row r="2704" spans="1:3" ht="15.75" customHeight="1" x14ac:dyDescent="0.25">
      <c r="A2704" s="1" t="s">
        <v>7123</v>
      </c>
      <c r="B2704" s="1" t="s">
        <v>7122</v>
      </c>
      <c r="C2704" s="1" t="s">
        <v>5811</v>
      </c>
    </row>
    <row r="2705" spans="1:3" ht="15.75" customHeight="1" x14ac:dyDescent="0.25">
      <c r="A2705" s="1" t="s">
        <v>7121</v>
      </c>
      <c r="B2705" s="1" t="s">
        <v>7120</v>
      </c>
      <c r="C2705" s="1" t="s">
        <v>6242</v>
      </c>
    </row>
    <row r="2706" spans="1:3" ht="15.75" customHeight="1" x14ac:dyDescent="0.25">
      <c r="A2706" s="1" t="s">
        <v>7119</v>
      </c>
      <c r="B2706" s="1" t="s">
        <v>7118</v>
      </c>
      <c r="C2706" s="1" t="s">
        <v>6486</v>
      </c>
    </row>
    <row r="2707" spans="1:3" ht="15.75" customHeight="1" x14ac:dyDescent="0.25">
      <c r="A2707" s="1" t="s">
        <v>7117</v>
      </c>
      <c r="B2707" s="1" t="s">
        <v>7116</v>
      </c>
      <c r="C2707" s="1" t="s">
        <v>6242</v>
      </c>
    </row>
    <row r="2708" spans="1:3" ht="15.75" customHeight="1" x14ac:dyDescent="0.25">
      <c r="A2708" s="1" t="s">
        <v>7115</v>
      </c>
      <c r="B2708" s="1" t="s">
        <v>7114</v>
      </c>
      <c r="C2708" s="1" t="s">
        <v>7113</v>
      </c>
    </row>
    <row r="2709" spans="1:3" ht="15.75" customHeight="1" x14ac:dyDescent="0.25">
      <c r="A2709" s="1" t="s">
        <v>7112</v>
      </c>
      <c r="B2709" s="1" t="s">
        <v>7111</v>
      </c>
      <c r="C2709" s="1" t="s">
        <v>6242</v>
      </c>
    </row>
    <row r="2710" spans="1:3" ht="15.75" customHeight="1" x14ac:dyDescent="0.25">
      <c r="A2710" s="1" t="s">
        <v>7110</v>
      </c>
      <c r="B2710" s="1" t="s">
        <v>7109</v>
      </c>
      <c r="C2710" s="1" t="s">
        <v>6236</v>
      </c>
    </row>
    <row r="2711" spans="1:3" ht="15.75" customHeight="1" x14ac:dyDescent="0.25">
      <c r="A2711" s="1" t="s">
        <v>3105</v>
      </c>
      <c r="B2711" s="1" t="s">
        <v>7108</v>
      </c>
      <c r="C2711" s="1" t="s">
        <v>6168</v>
      </c>
    </row>
    <row r="2712" spans="1:3" ht="15.75" customHeight="1" x14ac:dyDescent="0.25">
      <c r="A2712" s="1" t="s">
        <v>1518</v>
      </c>
      <c r="B2712" s="1" t="s">
        <v>7107</v>
      </c>
      <c r="C2712" s="1" t="s">
        <v>7106</v>
      </c>
    </row>
    <row r="2713" spans="1:3" ht="15.75" customHeight="1" x14ac:dyDescent="0.25">
      <c r="A2713" s="1" t="s">
        <v>7105</v>
      </c>
      <c r="B2713" s="1" t="s">
        <v>7104</v>
      </c>
      <c r="C2713" s="1" t="s">
        <v>6168</v>
      </c>
    </row>
    <row r="2714" spans="1:3" ht="15.75" customHeight="1" x14ac:dyDescent="0.25">
      <c r="A2714" s="1" t="s">
        <v>3811</v>
      </c>
      <c r="B2714" s="1" t="s">
        <v>7103</v>
      </c>
      <c r="C2714" s="1" t="s">
        <v>6667</v>
      </c>
    </row>
    <row r="2715" spans="1:3" ht="15.75" customHeight="1" x14ac:dyDescent="0.25">
      <c r="A2715" s="1" t="s">
        <v>5070</v>
      </c>
      <c r="B2715" s="1" t="s">
        <v>7102</v>
      </c>
      <c r="C2715" s="1" t="s">
        <v>5836</v>
      </c>
    </row>
    <row r="2716" spans="1:3" ht="15.75" customHeight="1" x14ac:dyDescent="0.25">
      <c r="A2716" s="1" t="s">
        <v>1736</v>
      </c>
      <c r="B2716" s="1" t="s">
        <v>7101</v>
      </c>
      <c r="C2716" s="1" t="s">
        <v>5791</v>
      </c>
    </row>
    <row r="2717" spans="1:3" ht="15.75" customHeight="1" x14ac:dyDescent="0.25">
      <c r="A2717" s="1" t="s">
        <v>4344</v>
      </c>
      <c r="B2717" s="1" t="s">
        <v>7100</v>
      </c>
      <c r="C2717" s="1" t="s">
        <v>6673</v>
      </c>
    </row>
    <row r="2718" spans="1:3" ht="15.75" customHeight="1" x14ac:dyDescent="0.25">
      <c r="A2718" s="1" t="s">
        <v>4930</v>
      </c>
      <c r="B2718" s="1" t="s">
        <v>7099</v>
      </c>
      <c r="C2718" s="1" t="s">
        <v>7098</v>
      </c>
    </row>
    <row r="2719" spans="1:3" ht="15.75" customHeight="1" x14ac:dyDescent="0.25">
      <c r="A2719" s="1" t="s">
        <v>3033</v>
      </c>
      <c r="B2719" s="1" t="s">
        <v>7097</v>
      </c>
      <c r="C2719" s="1" t="s">
        <v>7070</v>
      </c>
    </row>
    <row r="2720" spans="1:3" ht="15.75" customHeight="1" x14ac:dyDescent="0.25">
      <c r="A2720" s="1" t="s">
        <v>4174</v>
      </c>
      <c r="B2720" s="1" t="s">
        <v>7096</v>
      </c>
      <c r="C2720" s="1" t="s">
        <v>5838</v>
      </c>
    </row>
    <row r="2721" spans="1:3" ht="15.75" customHeight="1" x14ac:dyDescent="0.25">
      <c r="A2721" s="1" t="s">
        <v>5475</v>
      </c>
      <c r="B2721" s="1" t="s">
        <v>7095</v>
      </c>
      <c r="C2721" s="1" t="s">
        <v>5838</v>
      </c>
    </row>
    <row r="2722" spans="1:3" ht="15.75" customHeight="1" x14ac:dyDescent="0.25">
      <c r="A2722" s="1" t="s">
        <v>7094</v>
      </c>
      <c r="B2722" s="1" t="s">
        <v>7093</v>
      </c>
      <c r="C2722" s="1" t="s">
        <v>6242</v>
      </c>
    </row>
    <row r="2723" spans="1:3" ht="15.75" customHeight="1" x14ac:dyDescent="0.25">
      <c r="A2723" s="1" t="s">
        <v>55</v>
      </c>
      <c r="B2723" s="1" t="s">
        <v>7092</v>
      </c>
      <c r="C2723" s="1" t="s">
        <v>6748</v>
      </c>
    </row>
    <row r="2724" spans="1:3" ht="15.75" customHeight="1" x14ac:dyDescent="0.25">
      <c r="A2724" s="1" t="s">
        <v>7091</v>
      </c>
      <c r="B2724" s="1" t="s">
        <v>7090</v>
      </c>
      <c r="C2724" s="1" t="s">
        <v>5811</v>
      </c>
    </row>
    <row r="2725" spans="1:3" ht="15.75" customHeight="1" x14ac:dyDescent="0.25">
      <c r="A2725" s="1" t="s">
        <v>7089</v>
      </c>
      <c r="B2725" s="1" t="s">
        <v>7088</v>
      </c>
      <c r="C2725" s="1" t="s">
        <v>6929</v>
      </c>
    </row>
    <row r="2726" spans="1:3" ht="15.75" customHeight="1" x14ac:dyDescent="0.25">
      <c r="A2726" s="1" t="s">
        <v>7087</v>
      </c>
      <c r="B2726" s="1" t="s">
        <v>7086</v>
      </c>
      <c r="C2726" s="1" t="s">
        <v>5811</v>
      </c>
    </row>
    <row r="2727" spans="1:3" ht="15.75" customHeight="1" x14ac:dyDescent="0.25">
      <c r="A2727" s="1" t="s">
        <v>7085</v>
      </c>
      <c r="B2727" s="1" t="s">
        <v>7084</v>
      </c>
      <c r="C2727" s="1" t="s">
        <v>6874</v>
      </c>
    </row>
    <row r="2728" spans="1:3" ht="15.75" customHeight="1" x14ac:dyDescent="0.25">
      <c r="A2728" s="1" t="s">
        <v>7083</v>
      </c>
      <c r="B2728" s="1" t="s">
        <v>7082</v>
      </c>
      <c r="C2728" s="1" t="s">
        <v>5791</v>
      </c>
    </row>
    <row r="2729" spans="1:3" ht="15.75" customHeight="1" x14ac:dyDescent="0.25">
      <c r="A2729" s="1" t="s">
        <v>4221</v>
      </c>
      <c r="B2729" s="1" t="s">
        <v>7081</v>
      </c>
      <c r="C2729" s="1" t="s">
        <v>6667</v>
      </c>
    </row>
    <row r="2730" spans="1:3" ht="15.75" customHeight="1" x14ac:dyDescent="0.25">
      <c r="A2730" s="1" t="s">
        <v>2946</v>
      </c>
      <c r="B2730" s="1" t="s">
        <v>7080</v>
      </c>
      <c r="C2730" s="1" t="s">
        <v>7070</v>
      </c>
    </row>
    <row r="2731" spans="1:3" ht="15.75" customHeight="1" x14ac:dyDescent="0.25">
      <c r="A2731" s="1" t="s">
        <v>7079</v>
      </c>
      <c r="B2731" s="1" t="s">
        <v>7078</v>
      </c>
      <c r="C2731" s="1" t="s">
        <v>7077</v>
      </c>
    </row>
    <row r="2732" spans="1:3" ht="15.75" customHeight="1" x14ac:dyDescent="0.25">
      <c r="A2732" s="1" t="s">
        <v>7076</v>
      </c>
      <c r="B2732" s="1" t="s">
        <v>7075</v>
      </c>
      <c r="C2732" s="1" t="s">
        <v>6953</v>
      </c>
    </row>
    <row r="2733" spans="1:3" ht="15.75" customHeight="1" x14ac:dyDescent="0.25">
      <c r="A2733" s="1" t="s">
        <v>7074</v>
      </c>
      <c r="B2733" s="1" t="s">
        <v>7073</v>
      </c>
      <c r="C2733" s="1" t="s">
        <v>6295</v>
      </c>
    </row>
    <row r="2734" spans="1:3" ht="15.75" customHeight="1" x14ac:dyDescent="0.25">
      <c r="A2734" s="1" t="s">
        <v>3060</v>
      </c>
      <c r="B2734" s="1" t="s">
        <v>7072</v>
      </c>
      <c r="C2734" s="1" t="s">
        <v>6602</v>
      </c>
    </row>
    <row r="2735" spans="1:3" ht="15.75" customHeight="1" x14ac:dyDescent="0.25">
      <c r="A2735" s="1" t="s">
        <v>673</v>
      </c>
      <c r="B2735" s="1" t="s">
        <v>7071</v>
      </c>
      <c r="C2735" s="1" t="s">
        <v>7070</v>
      </c>
    </row>
    <row r="2736" spans="1:3" ht="15.75" customHeight="1" x14ac:dyDescent="0.25">
      <c r="A2736" s="1" t="s">
        <v>52</v>
      </c>
      <c r="B2736" s="1" t="s">
        <v>7069</v>
      </c>
      <c r="C2736" s="1" t="s">
        <v>5796</v>
      </c>
    </row>
    <row r="2737" spans="1:3" ht="15.75" customHeight="1" x14ac:dyDescent="0.25">
      <c r="A2737" s="1" t="s">
        <v>7068</v>
      </c>
      <c r="B2737" s="1" t="s">
        <v>7067</v>
      </c>
      <c r="C2737" s="1" t="s">
        <v>6242</v>
      </c>
    </row>
    <row r="2738" spans="1:3" ht="15.75" customHeight="1" x14ac:dyDescent="0.25">
      <c r="A2738" s="1" t="s">
        <v>50</v>
      </c>
      <c r="B2738" s="1" t="s">
        <v>7066</v>
      </c>
      <c r="C2738" s="1" t="s">
        <v>6717</v>
      </c>
    </row>
    <row r="2739" spans="1:3" ht="15.75" customHeight="1" x14ac:dyDescent="0.25">
      <c r="A2739" s="1" t="s">
        <v>7065</v>
      </c>
      <c r="B2739" s="1" t="s">
        <v>7064</v>
      </c>
      <c r="C2739" s="1" t="s">
        <v>6242</v>
      </c>
    </row>
    <row r="2740" spans="1:3" ht="15.75" customHeight="1" x14ac:dyDescent="0.25">
      <c r="A2740" s="1" t="s">
        <v>7063</v>
      </c>
      <c r="B2740" s="1" t="s">
        <v>7062</v>
      </c>
      <c r="C2740" s="1" t="s">
        <v>6542</v>
      </c>
    </row>
    <row r="2741" spans="1:3" ht="15.75" customHeight="1" x14ac:dyDescent="0.25">
      <c r="A2741" s="1" t="s">
        <v>7061</v>
      </c>
      <c r="B2741" s="1" t="s">
        <v>7060</v>
      </c>
      <c r="C2741" s="1" t="s">
        <v>6295</v>
      </c>
    </row>
    <row r="2742" spans="1:3" ht="15.75" customHeight="1" x14ac:dyDescent="0.25">
      <c r="A2742" s="1" t="s">
        <v>4211</v>
      </c>
      <c r="B2742" s="1" t="s">
        <v>7059</v>
      </c>
      <c r="C2742" s="1" t="s">
        <v>7058</v>
      </c>
    </row>
    <row r="2743" spans="1:3" ht="15.75" customHeight="1" x14ac:dyDescent="0.25">
      <c r="A2743" s="1" t="s">
        <v>7057</v>
      </c>
      <c r="B2743" s="1" t="s">
        <v>7056</v>
      </c>
      <c r="C2743" s="1" t="s">
        <v>7055</v>
      </c>
    </row>
    <row r="2744" spans="1:3" ht="15.75" customHeight="1" x14ac:dyDescent="0.25">
      <c r="A2744" s="1" t="s">
        <v>7054</v>
      </c>
      <c r="B2744" s="1" t="s">
        <v>7053</v>
      </c>
      <c r="C2744" s="1" t="s">
        <v>7052</v>
      </c>
    </row>
    <row r="2745" spans="1:3" ht="15.75" customHeight="1" x14ac:dyDescent="0.25">
      <c r="A2745" s="1" t="s">
        <v>2249</v>
      </c>
      <c r="B2745" s="1" t="s">
        <v>7051</v>
      </c>
      <c r="C2745" s="1" t="s">
        <v>6929</v>
      </c>
    </row>
    <row r="2746" spans="1:3" ht="15.75" customHeight="1" x14ac:dyDescent="0.25">
      <c r="A2746" s="1" t="s">
        <v>2665</v>
      </c>
      <c r="B2746" s="1" t="s">
        <v>7050</v>
      </c>
      <c r="C2746" s="1" t="s">
        <v>6959</v>
      </c>
    </row>
    <row r="2747" spans="1:3" ht="15.75" customHeight="1" x14ac:dyDescent="0.25">
      <c r="A2747" s="1" t="s">
        <v>3682</v>
      </c>
      <c r="B2747" s="1" t="s">
        <v>7049</v>
      </c>
      <c r="C2747" s="1" t="s">
        <v>6122</v>
      </c>
    </row>
    <row r="2748" spans="1:3" ht="15.75" customHeight="1" x14ac:dyDescent="0.25">
      <c r="A2748" s="1" t="s">
        <v>7048</v>
      </c>
      <c r="B2748" s="1" t="s">
        <v>7047</v>
      </c>
      <c r="C2748" s="1" t="s">
        <v>6242</v>
      </c>
    </row>
    <row r="2749" spans="1:3" ht="15.75" customHeight="1" x14ac:dyDescent="0.25">
      <c r="A2749" s="1" t="s">
        <v>7046</v>
      </c>
      <c r="B2749" s="1" t="s">
        <v>7045</v>
      </c>
      <c r="C2749" s="1" t="s">
        <v>5860</v>
      </c>
    </row>
    <row r="2750" spans="1:3" ht="15.75" customHeight="1" x14ac:dyDescent="0.25">
      <c r="A2750" s="1" t="s">
        <v>3223</v>
      </c>
      <c r="B2750" s="1" t="s">
        <v>7037</v>
      </c>
      <c r="C2750" s="1" t="s">
        <v>6089</v>
      </c>
    </row>
    <row r="2751" spans="1:3" ht="15.75" customHeight="1" x14ac:dyDescent="0.25">
      <c r="A2751" s="1" t="s">
        <v>671</v>
      </c>
      <c r="B2751" s="1" t="s">
        <v>7044</v>
      </c>
      <c r="C2751" s="1" t="s">
        <v>7043</v>
      </c>
    </row>
    <row r="2752" spans="1:3" ht="15.75" customHeight="1" x14ac:dyDescent="0.25">
      <c r="A2752" s="1" t="s">
        <v>4871</v>
      </c>
      <c r="B2752" s="1" t="s">
        <v>7042</v>
      </c>
      <c r="C2752" s="1" t="s">
        <v>5781</v>
      </c>
    </row>
    <row r="2753" spans="1:3" ht="15.75" customHeight="1" x14ac:dyDescent="0.25">
      <c r="A2753" s="1" t="s">
        <v>529</v>
      </c>
      <c r="B2753" s="1" t="s">
        <v>7041</v>
      </c>
      <c r="C2753" s="1" t="s">
        <v>6789</v>
      </c>
    </row>
    <row r="2754" spans="1:3" ht="15.75" customHeight="1" x14ac:dyDescent="0.25">
      <c r="A2754" s="1" t="s">
        <v>7040</v>
      </c>
      <c r="B2754" s="1" t="s">
        <v>7039</v>
      </c>
      <c r="C2754" s="1" t="s">
        <v>6719</v>
      </c>
    </row>
    <row r="2755" spans="1:3" ht="15.75" customHeight="1" x14ac:dyDescent="0.25">
      <c r="A2755" s="1" t="s">
        <v>7038</v>
      </c>
      <c r="B2755" s="1" t="s">
        <v>7037</v>
      </c>
      <c r="C2755" s="1" t="s">
        <v>7036</v>
      </c>
    </row>
    <row r="2756" spans="1:3" ht="15.75" customHeight="1" x14ac:dyDescent="0.25">
      <c r="A2756" s="1" t="s">
        <v>7035</v>
      </c>
      <c r="B2756" s="1" t="s">
        <v>7034</v>
      </c>
      <c r="C2756" s="1" t="s">
        <v>6168</v>
      </c>
    </row>
    <row r="2757" spans="1:3" ht="15.75" customHeight="1" x14ac:dyDescent="0.25">
      <c r="A2757" s="1" t="s">
        <v>5647</v>
      </c>
      <c r="B2757" s="1" t="s">
        <v>7033</v>
      </c>
      <c r="C2757" s="1" t="s">
        <v>6673</v>
      </c>
    </row>
    <row r="2758" spans="1:3" ht="15.75" customHeight="1" x14ac:dyDescent="0.25">
      <c r="A2758" s="1" t="s">
        <v>47</v>
      </c>
      <c r="B2758" s="1" t="s">
        <v>7006</v>
      </c>
      <c r="C2758" s="1" t="s">
        <v>7032</v>
      </c>
    </row>
    <row r="2759" spans="1:3" ht="15.75" customHeight="1" x14ac:dyDescent="0.25">
      <c r="A2759" s="1" t="s">
        <v>3416</v>
      </c>
      <c r="B2759" s="1" t="s">
        <v>7031</v>
      </c>
      <c r="C2759" s="1" t="s">
        <v>7011</v>
      </c>
    </row>
    <row r="2760" spans="1:3" ht="15.75" customHeight="1" x14ac:dyDescent="0.25">
      <c r="A2760" s="1" t="s">
        <v>1751</v>
      </c>
      <c r="B2760" s="1" t="s">
        <v>7030</v>
      </c>
      <c r="C2760" s="1" t="s">
        <v>5836</v>
      </c>
    </row>
    <row r="2761" spans="1:3" ht="15.75" customHeight="1" x14ac:dyDescent="0.25">
      <c r="A2761" s="1" t="s">
        <v>7029</v>
      </c>
      <c r="B2761" s="1" t="s">
        <v>7028</v>
      </c>
      <c r="C2761" s="1" t="s">
        <v>5829</v>
      </c>
    </row>
    <row r="2762" spans="1:3" ht="15.75" customHeight="1" x14ac:dyDescent="0.25">
      <c r="A2762" s="1" t="s">
        <v>4882</v>
      </c>
      <c r="B2762" s="1" t="s">
        <v>7027</v>
      </c>
      <c r="C2762" s="1" t="s">
        <v>6665</v>
      </c>
    </row>
    <row r="2763" spans="1:3" ht="15.75" customHeight="1" x14ac:dyDescent="0.25">
      <c r="A2763" s="1" t="s">
        <v>7026</v>
      </c>
      <c r="B2763" s="1" t="s">
        <v>7025</v>
      </c>
      <c r="C2763" s="1" t="s">
        <v>6168</v>
      </c>
    </row>
    <row r="2764" spans="1:3" ht="15.75" customHeight="1" x14ac:dyDescent="0.25">
      <c r="A2764" s="1" t="s">
        <v>4034</v>
      </c>
      <c r="B2764" s="1" t="s">
        <v>7024</v>
      </c>
      <c r="C2764" s="1" t="s">
        <v>5836</v>
      </c>
    </row>
    <row r="2765" spans="1:3" ht="15.75" customHeight="1" x14ac:dyDescent="0.25">
      <c r="A2765" s="1" t="s">
        <v>5234</v>
      </c>
      <c r="B2765" s="1" t="s">
        <v>7023</v>
      </c>
      <c r="C2765" s="1" t="s">
        <v>5781</v>
      </c>
    </row>
    <row r="2766" spans="1:3" ht="15.75" customHeight="1" x14ac:dyDescent="0.25">
      <c r="A2766" s="1" t="s">
        <v>771</v>
      </c>
      <c r="B2766" s="1" t="s">
        <v>7022</v>
      </c>
      <c r="C2766" s="1" t="s">
        <v>6530</v>
      </c>
    </row>
    <row r="2767" spans="1:3" ht="15.75" customHeight="1" x14ac:dyDescent="0.25">
      <c r="A2767" s="1" t="s">
        <v>4847</v>
      </c>
      <c r="B2767" s="1" t="s">
        <v>7021</v>
      </c>
      <c r="C2767" s="1" t="s">
        <v>7020</v>
      </c>
    </row>
    <row r="2768" spans="1:3" ht="15.75" customHeight="1" x14ac:dyDescent="0.25">
      <c r="A2768" s="1" t="s">
        <v>3409</v>
      </c>
      <c r="B2768" s="1" t="s">
        <v>7019</v>
      </c>
      <c r="C2768" s="1" t="s">
        <v>5824</v>
      </c>
    </row>
    <row r="2769" spans="1:3" ht="15.75" customHeight="1" x14ac:dyDescent="0.25">
      <c r="A2769" s="1" t="s">
        <v>3956</v>
      </c>
      <c r="B2769" s="1" t="s">
        <v>7018</v>
      </c>
      <c r="C2769" s="1" t="s">
        <v>6913</v>
      </c>
    </row>
    <row r="2770" spans="1:3" ht="15.75" customHeight="1" x14ac:dyDescent="0.25">
      <c r="A2770" s="1" t="s">
        <v>7017</v>
      </c>
      <c r="B2770" s="1" t="s">
        <v>7016</v>
      </c>
      <c r="C2770" s="1" t="s">
        <v>5811</v>
      </c>
    </row>
    <row r="2771" spans="1:3" ht="15.75" customHeight="1" x14ac:dyDescent="0.25">
      <c r="A2771" s="1" t="s">
        <v>5236</v>
      </c>
      <c r="B2771" s="1" t="s">
        <v>7015</v>
      </c>
      <c r="C2771" s="1" t="s">
        <v>6665</v>
      </c>
    </row>
    <row r="2772" spans="1:3" ht="15.75" customHeight="1" x14ac:dyDescent="0.25">
      <c r="A2772" s="1" t="s">
        <v>1303</v>
      </c>
      <c r="B2772" s="1" t="s">
        <v>7014</v>
      </c>
      <c r="C2772" s="1" t="s">
        <v>6602</v>
      </c>
    </row>
    <row r="2773" spans="1:3" ht="15.75" customHeight="1" x14ac:dyDescent="0.25">
      <c r="A2773" s="1" t="s">
        <v>4355</v>
      </c>
      <c r="B2773" s="1" t="s">
        <v>7013</v>
      </c>
      <c r="C2773" s="1" t="s">
        <v>6665</v>
      </c>
    </row>
    <row r="2774" spans="1:3" ht="15.75" customHeight="1" x14ac:dyDescent="0.25">
      <c r="A2774" s="1" t="s">
        <v>3442</v>
      </c>
      <c r="B2774" s="1" t="s">
        <v>7012</v>
      </c>
      <c r="C2774" s="1" t="s">
        <v>7011</v>
      </c>
    </row>
    <row r="2775" spans="1:3" ht="15.75" customHeight="1" x14ac:dyDescent="0.25">
      <c r="A2775" s="1" t="s">
        <v>44</v>
      </c>
      <c r="B2775" s="1" t="s">
        <v>7010</v>
      </c>
      <c r="C2775" s="1" t="s">
        <v>6653</v>
      </c>
    </row>
    <row r="2776" spans="1:3" ht="15.75" customHeight="1" x14ac:dyDescent="0.25">
      <c r="A2776" s="1" t="s">
        <v>1930</v>
      </c>
      <c r="B2776" s="1" t="s">
        <v>7009</v>
      </c>
      <c r="C2776" s="1" t="s">
        <v>7008</v>
      </c>
    </row>
    <row r="2777" spans="1:3" ht="15.75" customHeight="1" x14ac:dyDescent="0.25">
      <c r="A2777" s="1" t="s">
        <v>4379</v>
      </c>
      <c r="B2777" s="1" t="s">
        <v>7007</v>
      </c>
      <c r="C2777" s="1" t="s">
        <v>6653</v>
      </c>
    </row>
    <row r="2778" spans="1:3" ht="15.75" customHeight="1" x14ac:dyDescent="0.25">
      <c r="A2778" s="1" t="s">
        <v>5257</v>
      </c>
      <c r="B2778" s="1" t="s">
        <v>7006</v>
      </c>
      <c r="C2778" s="1" t="s">
        <v>7005</v>
      </c>
    </row>
    <row r="2779" spans="1:3" ht="15.75" customHeight="1" x14ac:dyDescent="0.25">
      <c r="A2779" s="1" t="s">
        <v>7004</v>
      </c>
      <c r="B2779" s="1" t="s">
        <v>7003</v>
      </c>
      <c r="C2779" s="1" t="s">
        <v>6493</v>
      </c>
    </row>
    <row r="2780" spans="1:3" ht="15.75" customHeight="1" x14ac:dyDescent="0.25">
      <c r="A2780" s="1" t="s">
        <v>4677</v>
      </c>
      <c r="B2780" s="1" t="s">
        <v>7002</v>
      </c>
      <c r="C2780" s="1" t="s">
        <v>6825</v>
      </c>
    </row>
    <row r="2781" spans="1:3" ht="15.75" customHeight="1" x14ac:dyDescent="0.25">
      <c r="A2781" s="1" t="s">
        <v>5015</v>
      </c>
      <c r="B2781" s="1" t="s">
        <v>6754</v>
      </c>
      <c r="C2781" s="1" t="s">
        <v>7001</v>
      </c>
    </row>
    <row r="2782" spans="1:3" ht="15.75" customHeight="1" x14ac:dyDescent="0.25">
      <c r="A2782" s="1" t="s">
        <v>3632</v>
      </c>
      <c r="B2782" s="1" t="s">
        <v>7000</v>
      </c>
      <c r="C2782" s="1" t="s">
        <v>6168</v>
      </c>
    </row>
    <row r="2783" spans="1:3" ht="15.75" customHeight="1" x14ac:dyDescent="0.25">
      <c r="A2783" s="1" t="s">
        <v>6999</v>
      </c>
      <c r="B2783" s="1" t="s">
        <v>6998</v>
      </c>
      <c r="C2783" s="1" t="s">
        <v>6997</v>
      </c>
    </row>
    <row r="2784" spans="1:3" ht="15.75" customHeight="1" x14ac:dyDescent="0.25">
      <c r="A2784" s="1" t="s">
        <v>42</v>
      </c>
      <c r="B2784" s="1" t="s">
        <v>6996</v>
      </c>
      <c r="C2784" s="1" t="s">
        <v>5796</v>
      </c>
    </row>
    <row r="2785" spans="1:3" ht="15.75" customHeight="1" x14ac:dyDescent="0.25">
      <c r="A2785" s="1" t="s">
        <v>6995</v>
      </c>
      <c r="B2785" s="1" t="s">
        <v>6994</v>
      </c>
      <c r="C2785" s="1" t="s">
        <v>6993</v>
      </c>
    </row>
    <row r="2786" spans="1:3" ht="15.75" customHeight="1" x14ac:dyDescent="0.25">
      <c r="A2786" s="1" t="s">
        <v>4535</v>
      </c>
      <c r="B2786" s="1" t="s">
        <v>6992</v>
      </c>
      <c r="C2786" s="1" t="s">
        <v>6991</v>
      </c>
    </row>
    <row r="2787" spans="1:3" ht="15.75" customHeight="1" x14ac:dyDescent="0.25">
      <c r="A2787" s="1" t="s">
        <v>6990</v>
      </c>
      <c r="B2787" s="1" t="s">
        <v>6989</v>
      </c>
      <c r="C2787" s="1" t="s">
        <v>6797</v>
      </c>
    </row>
    <row r="2788" spans="1:3" ht="15.75" customHeight="1" x14ac:dyDescent="0.25">
      <c r="A2788" s="1" t="s">
        <v>4869</v>
      </c>
      <c r="B2788" s="1" t="s">
        <v>6988</v>
      </c>
      <c r="C2788" s="1" t="s">
        <v>6276</v>
      </c>
    </row>
    <row r="2789" spans="1:3" ht="15.75" customHeight="1" x14ac:dyDescent="0.25">
      <c r="A2789" s="1" t="s">
        <v>2116</v>
      </c>
      <c r="B2789" s="1" t="s">
        <v>6987</v>
      </c>
      <c r="C2789" s="1" t="s">
        <v>6665</v>
      </c>
    </row>
    <row r="2790" spans="1:3" ht="15.75" customHeight="1" x14ac:dyDescent="0.25">
      <c r="A2790" s="1" t="s">
        <v>6986</v>
      </c>
      <c r="B2790" s="1" t="s">
        <v>6985</v>
      </c>
      <c r="C2790" s="1" t="s">
        <v>5811</v>
      </c>
    </row>
    <row r="2791" spans="1:3" ht="15.75" customHeight="1" x14ac:dyDescent="0.25">
      <c r="A2791" s="1" t="s">
        <v>6984</v>
      </c>
      <c r="B2791" s="1" t="s">
        <v>6983</v>
      </c>
      <c r="C2791" s="1" t="s">
        <v>6168</v>
      </c>
    </row>
    <row r="2792" spans="1:3" ht="15.75" customHeight="1" x14ac:dyDescent="0.25">
      <c r="A2792" s="1" t="s">
        <v>2097</v>
      </c>
      <c r="B2792" s="1" t="s">
        <v>6982</v>
      </c>
      <c r="C2792" s="1" t="s">
        <v>6981</v>
      </c>
    </row>
    <row r="2793" spans="1:3" ht="15.75" customHeight="1" x14ac:dyDescent="0.25">
      <c r="A2793" s="1" t="s">
        <v>6980</v>
      </c>
      <c r="B2793" s="1" t="s">
        <v>6979</v>
      </c>
      <c r="C2793" s="1" t="s">
        <v>6295</v>
      </c>
    </row>
    <row r="2794" spans="1:3" ht="15.75" customHeight="1" x14ac:dyDescent="0.25">
      <c r="A2794" s="1" t="s">
        <v>6978</v>
      </c>
      <c r="B2794" s="1" t="s">
        <v>6977</v>
      </c>
      <c r="C2794" s="1" t="s">
        <v>5791</v>
      </c>
    </row>
    <row r="2795" spans="1:3" ht="15.75" customHeight="1" x14ac:dyDescent="0.25">
      <c r="A2795" s="1" t="s">
        <v>6976</v>
      </c>
      <c r="B2795" s="1" t="s">
        <v>6975</v>
      </c>
      <c r="C2795" s="1" t="s">
        <v>6542</v>
      </c>
    </row>
    <row r="2796" spans="1:3" ht="15.75" customHeight="1" x14ac:dyDescent="0.25">
      <c r="A2796" s="1" t="s">
        <v>1473</v>
      </c>
      <c r="B2796" s="1" t="s">
        <v>6974</v>
      </c>
      <c r="C2796" s="1" t="s">
        <v>6717</v>
      </c>
    </row>
    <row r="2797" spans="1:3" ht="15.75" customHeight="1" x14ac:dyDescent="0.25">
      <c r="A2797" s="1" t="s">
        <v>6973</v>
      </c>
      <c r="B2797" s="1" t="s">
        <v>6972</v>
      </c>
      <c r="C2797" s="1" t="s">
        <v>6319</v>
      </c>
    </row>
    <row r="2798" spans="1:3" ht="15.75" customHeight="1" x14ac:dyDescent="0.25">
      <c r="A2798" s="1" t="s">
        <v>1526</v>
      </c>
      <c r="B2798" s="1" t="s">
        <v>6971</v>
      </c>
      <c r="C2798" s="1" t="s">
        <v>6323</v>
      </c>
    </row>
    <row r="2799" spans="1:3" ht="15.75" customHeight="1" x14ac:dyDescent="0.25">
      <c r="A2799" s="1" t="s">
        <v>3636</v>
      </c>
      <c r="B2799" s="1" t="s">
        <v>6970</v>
      </c>
      <c r="C2799" s="1" t="s">
        <v>6969</v>
      </c>
    </row>
    <row r="2800" spans="1:3" ht="15.75" customHeight="1" x14ac:dyDescent="0.25">
      <c r="A2800" s="1" t="s">
        <v>6968</v>
      </c>
      <c r="B2800" s="1" t="s">
        <v>6283</v>
      </c>
      <c r="C2800" s="1" t="s">
        <v>5838</v>
      </c>
    </row>
    <row r="2801" spans="1:3" ht="15.75" customHeight="1" x14ac:dyDescent="0.25">
      <c r="A2801" s="1" t="s">
        <v>2836</v>
      </c>
      <c r="B2801" s="1" t="s">
        <v>6967</v>
      </c>
      <c r="C2801" s="1" t="s">
        <v>5914</v>
      </c>
    </row>
    <row r="2802" spans="1:3" ht="15.75" customHeight="1" x14ac:dyDescent="0.25">
      <c r="A2802" s="1" t="s">
        <v>1820</v>
      </c>
      <c r="B2802" s="1" t="s">
        <v>6966</v>
      </c>
      <c r="C2802" s="1" t="s">
        <v>6093</v>
      </c>
    </row>
    <row r="2803" spans="1:3" ht="15.75" customHeight="1" x14ac:dyDescent="0.25">
      <c r="A2803" s="1" t="s">
        <v>6965</v>
      </c>
      <c r="B2803" s="1" t="s">
        <v>6964</v>
      </c>
      <c r="C2803" s="1" t="s">
        <v>6963</v>
      </c>
    </row>
    <row r="2804" spans="1:3" ht="15.75" customHeight="1" x14ac:dyDescent="0.25">
      <c r="A2804" s="1" t="s">
        <v>1588</v>
      </c>
      <c r="B2804" s="1" t="s">
        <v>6962</v>
      </c>
      <c r="C2804" s="1" t="s">
        <v>6546</v>
      </c>
    </row>
    <row r="2805" spans="1:3" ht="15.75" customHeight="1" x14ac:dyDescent="0.25">
      <c r="A2805" s="1" t="s">
        <v>5139</v>
      </c>
      <c r="B2805" s="1" t="s">
        <v>6961</v>
      </c>
      <c r="C2805" s="1" t="s">
        <v>6614</v>
      </c>
    </row>
    <row r="2806" spans="1:3" ht="15.75" customHeight="1" x14ac:dyDescent="0.25">
      <c r="A2806" s="1" t="s">
        <v>5295</v>
      </c>
      <c r="B2806" s="1" t="s">
        <v>6960</v>
      </c>
      <c r="C2806" s="1" t="s">
        <v>6959</v>
      </c>
    </row>
    <row r="2807" spans="1:3" ht="15.75" customHeight="1" x14ac:dyDescent="0.25">
      <c r="A2807" s="1" t="s">
        <v>1918</v>
      </c>
      <c r="B2807" s="1" t="s">
        <v>6958</v>
      </c>
      <c r="C2807" s="1" t="s">
        <v>5824</v>
      </c>
    </row>
    <row r="2808" spans="1:3" ht="15.75" customHeight="1" x14ac:dyDescent="0.25">
      <c r="A2808" s="1" t="s">
        <v>1551</v>
      </c>
      <c r="B2808" s="1" t="s">
        <v>6957</v>
      </c>
      <c r="C2808" s="1" t="s">
        <v>6956</v>
      </c>
    </row>
    <row r="2809" spans="1:3" ht="15.75" customHeight="1" x14ac:dyDescent="0.25">
      <c r="A2809" s="1" t="s">
        <v>6955</v>
      </c>
      <c r="B2809" s="1" t="s">
        <v>6954</v>
      </c>
      <c r="C2809" s="1" t="s">
        <v>6953</v>
      </c>
    </row>
    <row r="2810" spans="1:3" ht="15.75" customHeight="1" x14ac:dyDescent="0.25">
      <c r="A2810" s="1" t="s">
        <v>5244</v>
      </c>
      <c r="B2810" s="1" t="s">
        <v>6952</v>
      </c>
      <c r="C2810" s="1" t="s">
        <v>5991</v>
      </c>
    </row>
    <row r="2811" spans="1:3" ht="15.75" customHeight="1" x14ac:dyDescent="0.25">
      <c r="A2811" s="1" t="s">
        <v>4245</v>
      </c>
      <c r="B2811" s="1" t="s">
        <v>6951</v>
      </c>
      <c r="C2811" s="1" t="s">
        <v>6093</v>
      </c>
    </row>
    <row r="2812" spans="1:3" ht="15.75" customHeight="1" x14ac:dyDescent="0.25">
      <c r="A2812" s="1" t="s">
        <v>6950</v>
      </c>
      <c r="B2812" s="1" t="s">
        <v>6949</v>
      </c>
      <c r="C2812" s="1" t="s">
        <v>6690</v>
      </c>
    </row>
    <row r="2813" spans="1:3" ht="15.75" customHeight="1" x14ac:dyDescent="0.25">
      <c r="A2813" s="1" t="s">
        <v>6948</v>
      </c>
      <c r="B2813" s="1" t="s">
        <v>6947</v>
      </c>
      <c r="C2813" s="1" t="s">
        <v>5791</v>
      </c>
    </row>
    <row r="2814" spans="1:3" ht="15.75" customHeight="1" x14ac:dyDescent="0.25">
      <c r="A2814" s="1" t="s">
        <v>3794</v>
      </c>
      <c r="B2814" s="1" t="s">
        <v>6946</v>
      </c>
      <c r="C2814" s="1" t="s">
        <v>6945</v>
      </c>
    </row>
    <row r="2815" spans="1:3" ht="15.75" customHeight="1" x14ac:dyDescent="0.25">
      <c r="A2815" s="1" t="s">
        <v>6944</v>
      </c>
      <c r="B2815" s="1" t="s">
        <v>6943</v>
      </c>
      <c r="C2815" s="1" t="s">
        <v>6942</v>
      </c>
    </row>
    <row r="2816" spans="1:3" ht="15.75" customHeight="1" x14ac:dyDescent="0.25">
      <c r="A2816" s="1" t="s">
        <v>6941</v>
      </c>
      <c r="B2816" s="1" t="s">
        <v>6940</v>
      </c>
      <c r="C2816" s="1" t="s">
        <v>6759</v>
      </c>
    </row>
    <row r="2817" spans="1:3" ht="15.75" customHeight="1" x14ac:dyDescent="0.25">
      <c r="A2817" s="1" t="s">
        <v>6939</v>
      </c>
      <c r="B2817" s="1" t="s">
        <v>6938</v>
      </c>
      <c r="C2817" s="1" t="s">
        <v>6937</v>
      </c>
    </row>
    <row r="2818" spans="1:3" ht="15.75" customHeight="1" x14ac:dyDescent="0.25">
      <c r="A2818" s="1" t="s">
        <v>6936</v>
      </c>
      <c r="B2818" s="1" t="s">
        <v>6935</v>
      </c>
      <c r="C2818" s="1" t="s">
        <v>6242</v>
      </c>
    </row>
    <row r="2819" spans="1:3" ht="15.75" customHeight="1" x14ac:dyDescent="0.25">
      <c r="A2819" s="1" t="s">
        <v>6934</v>
      </c>
      <c r="B2819" s="1" t="s">
        <v>6933</v>
      </c>
      <c r="C2819" s="1" t="s">
        <v>6276</v>
      </c>
    </row>
    <row r="2820" spans="1:3" ht="15.75" customHeight="1" x14ac:dyDescent="0.25">
      <c r="A2820" s="1" t="s">
        <v>2205</v>
      </c>
      <c r="B2820" s="1" t="s">
        <v>6932</v>
      </c>
      <c r="C2820" s="1" t="s">
        <v>6931</v>
      </c>
    </row>
    <row r="2821" spans="1:3" ht="15.75" customHeight="1" x14ac:dyDescent="0.25">
      <c r="A2821" s="1" t="s">
        <v>4304</v>
      </c>
      <c r="B2821" s="1" t="s">
        <v>6930</v>
      </c>
      <c r="C2821" s="1" t="s">
        <v>6929</v>
      </c>
    </row>
    <row r="2822" spans="1:3" ht="15.75" customHeight="1" x14ac:dyDescent="0.25">
      <c r="A2822" s="1" t="s">
        <v>6928</v>
      </c>
      <c r="B2822" s="1" t="s">
        <v>6927</v>
      </c>
      <c r="C2822" s="1" t="s">
        <v>6542</v>
      </c>
    </row>
    <row r="2823" spans="1:3" ht="15.75" customHeight="1" x14ac:dyDescent="0.25">
      <c r="A2823" s="1" t="s">
        <v>2189</v>
      </c>
      <c r="B2823" s="1" t="s">
        <v>6926</v>
      </c>
      <c r="C2823" s="1" t="s">
        <v>6568</v>
      </c>
    </row>
    <row r="2824" spans="1:3" ht="15.75" customHeight="1" x14ac:dyDescent="0.25">
      <c r="A2824" s="1" t="s">
        <v>5631</v>
      </c>
      <c r="B2824" s="1" t="s">
        <v>6925</v>
      </c>
      <c r="C2824" s="1" t="s">
        <v>6924</v>
      </c>
    </row>
    <row r="2825" spans="1:3" ht="15.75" customHeight="1" x14ac:dyDescent="0.25">
      <c r="A2825" s="1" t="s">
        <v>6923</v>
      </c>
      <c r="B2825" s="1" t="s">
        <v>6922</v>
      </c>
      <c r="C2825" s="1" t="s">
        <v>5811</v>
      </c>
    </row>
    <row r="2826" spans="1:3" ht="15.75" customHeight="1" x14ac:dyDescent="0.25">
      <c r="A2826" s="1" t="s">
        <v>3624</v>
      </c>
      <c r="B2826" s="1" t="s">
        <v>6921</v>
      </c>
      <c r="C2826" s="1" t="s">
        <v>5796</v>
      </c>
    </row>
    <row r="2827" spans="1:3" ht="15.75" customHeight="1" x14ac:dyDescent="0.25">
      <c r="A2827" s="1" t="s">
        <v>604</v>
      </c>
      <c r="B2827" s="1" t="s">
        <v>6920</v>
      </c>
      <c r="C2827" s="1" t="s">
        <v>6640</v>
      </c>
    </row>
    <row r="2828" spans="1:3" ht="15.75" customHeight="1" x14ac:dyDescent="0.25">
      <c r="A2828" s="1" t="s">
        <v>5331</v>
      </c>
      <c r="B2828" s="1" t="s">
        <v>6919</v>
      </c>
      <c r="C2828" s="1" t="s">
        <v>5796</v>
      </c>
    </row>
    <row r="2829" spans="1:3" ht="15.75" customHeight="1" x14ac:dyDescent="0.25">
      <c r="A2829" s="1" t="s">
        <v>6918</v>
      </c>
      <c r="B2829" s="1" t="s">
        <v>6917</v>
      </c>
      <c r="C2829" s="1" t="s">
        <v>6916</v>
      </c>
    </row>
    <row r="2830" spans="1:3" ht="15.75" customHeight="1" x14ac:dyDescent="0.25">
      <c r="A2830" s="1" t="s">
        <v>3029</v>
      </c>
      <c r="B2830" s="1" t="s">
        <v>6915</v>
      </c>
      <c r="C2830" s="1" t="s">
        <v>6750</v>
      </c>
    </row>
    <row r="2831" spans="1:3" ht="15.75" customHeight="1" x14ac:dyDescent="0.25">
      <c r="A2831" s="1" t="s">
        <v>4867</v>
      </c>
      <c r="B2831" s="1" t="s">
        <v>6914</v>
      </c>
      <c r="C2831" s="1" t="s">
        <v>6913</v>
      </c>
    </row>
    <row r="2832" spans="1:3" ht="15.75" customHeight="1" x14ac:dyDescent="0.25">
      <c r="A2832" s="1" t="s">
        <v>6912</v>
      </c>
      <c r="B2832" s="1" t="s">
        <v>6911</v>
      </c>
      <c r="C2832" s="1" t="s">
        <v>6910</v>
      </c>
    </row>
    <row r="2833" spans="1:3" ht="15.75" customHeight="1" x14ac:dyDescent="0.25">
      <c r="A2833" s="1" t="s">
        <v>6909</v>
      </c>
      <c r="B2833" s="1" t="s">
        <v>6908</v>
      </c>
      <c r="C2833" s="1" t="s">
        <v>5809</v>
      </c>
    </row>
    <row r="2834" spans="1:3" ht="15.75" customHeight="1" x14ac:dyDescent="0.25">
      <c r="A2834" s="1" t="s">
        <v>4849</v>
      </c>
      <c r="B2834" s="1" t="s">
        <v>6907</v>
      </c>
      <c r="C2834" s="1" t="s">
        <v>6767</v>
      </c>
    </row>
    <row r="2835" spans="1:3" ht="15.75" customHeight="1" x14ac:dyDescent="0.25">
      <c r="A2835" s="1" t="s">
        <v>1781</v>
      </c>
      <c r="B2835" s="1" t="s">
        <v>6906</v>
      </c>
      <c r="C2835" s="1" t="s">
        <v>6905</v>
      </c>
    </row>
    <row r="2836" spans="1:3" ht="15.75" customHeight="1" x14ac:dyDescent="0.25">
      <c r="A2836" s="1" t="s">
        <v>2264</v>
      </c>
      <c r="B2836" s="1" t="s">
        <v>6904</v>
      </c>
      <c r="C2836" s="1" t="s">
        <v>6903</v>
      </c>
    </row>
    <row r="2837" spans="1:3" ht="15.75" customHeight="1" x14ac:dyDescent="0.25">
      <c r="A2837" s="1" t="s">
        <v>1633</v>
      </c>
      <c r="B2837" s="1" t="s">
        <v>6902</v>
      </c>
      <c r="C2837" s="1" t="s">
        <v>6901</v>
      </c>
    </row>
    <row r="2838" spans="1:3" ht="15.75" customHeight="1" x14ac:dyDescent="0.25">
      <c r="A2838" s="1" t="s">
        <v>2486</v>
      </c>
      <c r="B2838" s="1" t="s">
        <v>6900</v>
      </c>
      <c r="C2838" s="1" t="s">
        <v>6778</v>
      </c>
    </row>
    <row r="2839" spans="1:3" ht="15.75" customHeight="1" x14ac:dyDescent="0.25">
      <c r="A2839" s="1" t="s">
        <v>6899</v>
      </c>
      <c r="B2839" s="1" t="s">
        <v>6898</v>
      </c>
      <c r="C2839" s="1" t="s">
        <v>6276</v>
      </c>
    </row>
    <row r="2840" spans="1:3" ht="15.75" customHeight="1" x14ac:dyDescent="0.25">
      <c r="A2840" s="1" t="s">
        <v>4471</v>
      </c>
      <c r="B2840" s="1" t="s">
        <v>6897</v>
      </c>
      <c r="C2840" s="1" t="s">
        <v>6168</v>
      </c>
    </row>
    <row r="2841" spans="1:3" ht="15.75" customHeight="1" x14ac:dyDescent="0.25">
      <c r="A2841" s="1" t="s">
        <v>6896</v>
      </c>
      <c r="B2841" s="1" t="s">
        <v>6895</v>
      </c>
      <c r="C2841" s="1" t="s">
        <v>6797</v>
      </c>
    </row>
    <row r="2842" spans="1:3" ht="15.75" customHeight="1" x14ac:dyDescent="0.25">
      <c r="A2842" s="1" t="s">
        <v>6894</v>
      </c>
      <c r="B2842" s="1" t="s">
        <v>6893</v>
      </c>
      <c r="C2842" s="1" t="s">
        <v>6892</v>
      </c>
    </row>
    <row r="2843" spans="1:3" ht="15.75" customHeight="1" x14ac:dyDescent="0.25">
      <c r="A2843" s="1" t="s">
        <v>6891</v>
      </c>
      <c r="B2843" s="1" t="s">
        <v>6890</v>
      </c>
      <c r="C2843" s="1" t="s">
        <v>6122</v>
      </c>
    </row>
    <row r="2844" spans="1:3" ht="15.75" customHeight="1" x14ac:dyDescent="0.25">
      <c r="A2844" s="1" t="s">
        <v>4393</v>
      </c>
      <c r="B2844" s="1" t="s">
        <v>6889</v>
      </c>
      <c r="C2844" s="1" t="s">
        <v>6778</v>
      </c>
    </row>
    <row r="2845" spans="1:3" ht="15.75" customHeight="1" x14ac:dyDescent="0.25">
      <c r="A2845" s="1" t="s">
        <v>6888</v>
      </c>
      <c r="B2845" s="1" t="s">
        <v>6887</v>
      </c>
      <c r="C2845" s="1" t="s">
        <v>6886</v>
      </c>
    </row>
    <row r="2846" spans="1:3" ht="15.75" customHeight="1" x14ac:dyDescent="0.25">
      <c r="A2846" s="1" t="s">
        <v>3833</v>
      </c>
      <c r="B2846" s="1" t="s">
        <v>6885</v>
      </c>
      <c r="C2846" s="1" t="s">
        <v>6653</v>
      </c>
    </row>
    <row r="2847" spans="1:3" ht="15.75" customHeight="1" x14ac:dyDescent="0.25">
      <c r="A2847" s="1" t="s">
        <v>6884</v>
      </c>
      <c r="B2847" s="1" t="s">
        <v>6883</v>
      </c>
      <c r="C2847" s="1" t="s">
        <v>6644</v>
      </c>
    </row>
    <row r="2848" spans="1:3" ht="15.75" customHeight="1" x14ac:dyDescent="0.25">
      <c r="A2848" s="1" t="s">
        <v>3549</v>
      </c>
      <c r="B2848" s="1" t="s">
        <v>6882</v>
      </c>
      <c r="C2848" s="1" t="s">
        <v>6168</v>
      </c>
    </row>
    <row r="2849" spans="1:3" ht="15.75" customHeight="1" x14ac:dyDescent="0.25">
      <c r="A2849" s="1" t="s">
        <v>3628</v>
      </c>
      <c r="B2849" s="1" t="s">
        <v>6881</v>
      </c>
      <c r="C2849" s="1" t="s">
        <v>6546</v>
      </c>
    </row>
    <row r="2850" spans="1:3" ht="15.75" customHeight="1" x14ac:dyDescent="0.25">
      <c r="A2850" s="1" t="s">
        <v>4685</v>
      </c>
      <c r="B2850" s="1" t="s">
        <v>6880</v>
      </c>
      <c r="C2850" s="1" t="s">
        <v>6122</v>
      </c>
    </row>
    <row r="2851" spans="1:3" ht="15.75" customHeight="1" x14ac:dyDescent="0.25">
      <c r="A2851" s="1" t="s">
        <v>6879</v>
      </c>
      <c r="B2851" s="1" t="s">
        <v>6878</v>
      </c>
      <c r="C2851" s="1" t="s">
        <v>6877</v>
      </c>
    </row>
    <row r="2852" spans="1:3" ht="15.75" customHeight="1" x14ac:dyDescent="0.25">
      <c r="A2852" s="1" t="s">
        <v>6876</v>
      </c>
      <c r="B2852" s="1" t="s">
        <v>6875</v>
      </c>
      <c r="C2852" s="1" t="s">
        <v>6874</v>
      </c>
    </row>
    <row r="2853" spans="1:3" ht="15.75" customHeight="1" x14ac:dyDescent="0.25">
      <c r="A2853" s="1" t="s">
        <v>6873</v>
      </c>
      <c r="B2853" s="1" t="s">
        <v>6872</v>
      </c>
      <c r="C2853" s="1" t="s">
        <v>5811</v>
      </c>
    </row>
    <row r="2854" spans="1:3" ht="15.75" customHeight="1" x14ac:dyDescent="0.25">
      <c r="A2854" s="1" t="s">
        <v>3167</v>
      </c>
      <c r="B2854" s="1" t="s">
        <v>6871</v>
      </c>
      <c r="C2854" s="1" t="s">
        <v>6651</v>
      </c>
    </row>
    <row r="2855" spans="1:3" ht="15.75" customHeight="1" x14ac:dyDescent="0.25">
      <c r="A2855" s="1" t="s">
        <v>6870</v>
      </c>
      <c r="B2855" s="1" t="s">
        <v>6869</v>
      </c>
      <c r="C2855" s="1" t="s">
        <v>6709</v>
      </c>
    </row>
    <row r="2856" spans="1:3" ht="15.75" customHeight="1" x14ac:dyDescent="0.25">
      <c r="A2856" s="1" t="s">
        <v>6868</v>
      </c>
      <c r="B2856" s="1" t="s">
        <v>6867</v>
      </c>
      <c r="C2856" s="1" t="s">
        <v>6866</v>
      </c>
    </row>
    <row r="2857" spans="1:3" ht="15.75" customHeight="1" x14ac:dyDescent="0.25">
      <c r="A2857" s="1" t="s">
        <v>6865</v>
      </c>
      <c r="B2857" s="1" t="s">
        <v>6864</v>
      </c>
      <c r="C2857" s="1" t="s">
        <v>6122</v>
      </c>
    </row>
    <row r="2858" spans="1:3" ht="15.75" customHeight="1" x14ac:dyDescent="0.25">
      <c r="A2858" s="1" t="s">
        <v>6863</v>
      </c>
      <c r="B2858" s="1" t="s">
        <v>6862</v>
      </c>
      <c r="C2858" s="1" t="s">
        <v>6861</v>
      </c>
    </row>
    <row r="2859" spans="1:3" ht="15.75" customHeight="1" x14ac:dyDescent="0.25">
      <c r="A2859" s="1" t="s">
        <v>5336</v>
      </c>
      <c r="B2859" s="1" t="s">
        <v>6860</v>
      </c>
      <c r="C2859" s="1" t="s">
        <v>6319</v>
      </c>
    </row>
    <row r="2860" spans="1:3" ht="15.75" customHeight="1" x14ac:dyDescent="0.25">
      <c r="A2860" s="1" t="s">
        <v>2820</v>
      </c>
      <c r="B2860" s="1" t="s">
        <v>6859</v>
      </c>
      <c r="C2860" s="1" t="s">
        <v>5838</v>
      </c>
    </row>
    <row r="2861" spans="1:3" ht="15.75" customHeight="1" x14ac:dyDescent="0.25">
      <c r="A2861" s="1" t="s">
        <v>6858</v>
      </c>
      <c r="B2861" s="1" t="s">
        <v>6857</v>
      </c>
      <c r="C2861" s="1" t="s">
        <v>6507</v>
      </c>
    </row>
    <row r="2862" spans="1:3" ht="15.75" customHeight="1" x14ac:dyDescent="0.25">
      <c r="A2862" s="1" t="s">
        <v>6856</v>
      </c>
      <c r="B2862" s="1" t="s">
        <v>6855</v>
      </c>
      <c r="C2862" s="1" t="s">
        <v>6507</v>
      </c>
    </row>
    <row r="2863" spans="1:3" ht="15.75" customHeight="1" x14ac:dyDescent="0.25">
      <c r="A2863" s="1" t="s">
        <v>6854</v>
      </c>
      <c r="B2863" s="1" t="s">
        <v>6853</v>
      </c>
      <c r="C2863" s="1" t="s">
        <v>6825</v>
      </c>
    </row>
    <row r="2864" spans="1:3" ht="15.75" customHeight="1" x14ac:dyDescent="0.25">
      <c r="A2864" s="1" t="s">
        <v>6852</v>
      </c>
      <c r="B2864" s="1" t="s">
        <v>6851</v>
      </c>
      <c r="C2864" s="1" t="s">
        <v>6850</v>
      </c>
    </row>
    <row r="2865" spans="1:3" ht="15.75" customHeight="1" x14ac:dyDescent="0.25">
      <c r="A2865" s="1" t="s">
        <v>6849</v>
      </c>
      <c r="B2865" s="1" t="s">
        <v>6848</v>
      </c>
      <c r="C2865" s="1" t="s">
        <v>5860</v>
      </c>
    </row>
    <row r="2866" spans="1:3" ht="15.75" customHeight="1" x14ac:dyDescent="0.25">
      <c r="A2866" s="1" t="s">
        <v>6847</v>
      </c>
      <c r="B2866" s="1" t="s">
        <v>6846</v>
      </c>
      <c r="C2866" s="1" t="s">
        <v>6795</v>
      </c>
    </row>
    <row r="2867" spans="1:3" ht="15.75" customHeight="1" x14ac:dyDescent="0.25">
      <c r="A2867" s="1" t="s">
        <v>6845</v>
      </c>
      <c r="B2867" s="1" t="s">
        <v>6844</v>
      </c>
      <c r="C2867" s="1" t="s">
        <v>6236</v>
      </c>
    </row>
    <row r="2868" spans="1:3" ht="15.75" customHeight="1" x14ac:dyDescent="0.25">
      <c r="A2868" s="1" t="s">
        <v>40</v>
      </c>
      <c r="B2868" s="1" t="s">
        <v>6843</v>
      </c>
      <c r="C2868" s="1" t="s">
        <v>6838</v>
      </c>
    </row>
    <row r="2869" spans="1:3" ht="15.75" customHeight="1" x14ac:dyDescent="0.25">
      <c r="A2869" s="1" t="s">
        <v>6842</v>
      </c>
      <c r="B2869" s="1" t="s">
        <v>6841</v>
      </c>
      <c r="C2869" s="1" t="s">
        <v>6276</v>
      </c>
    </row>
    <row r="2870" spans="1:3" ht="15.75" customHeight="1" x14ac:dyDescent="0.25">
      <c r="A2870" s="1" t="s">
        <v>651</v>
      </c>
      <c r="B2870" s="1" t="s">
        <v>6840</v>
      </c>
      <c r="C2870" s="1" t="s">
        <v>6661</v>
      </c>
    </row>
    <row r="2871" spans="1:3" ht="15.75" customHeight="1" x14ac:dyDescent="0.25">
      <c r="A2871" s="1" t="s">
        <v>2737</v>
      </c>
      <c r="B2871" s="1" t="s">
        <v>6839</v>
      </c>
      <c r="C2871" s="1" t="s">
        <v>6838</v>
      </c>
    </row>
    <row r="2872" spans="1:3" ht="15.75" customHeight="1" x14ac:dyDescent="0.25">
      <c r="A2872" s="1" t="s">
        <v>6837</v>
      </c>
      <c r="B2872" s="1" t="s">
        <v>6836</v>
      </c>
      <c r="C2872" s="1" t="s">
        <v>6835</v>
      </c>
    </row>
    <row r="2873" spans="1:3" ht="15.75" customHeight="1" x14ac:dyDescent="0.25">
      <c r="A2873" s="1" t="s">
        <v>4466</v>
      </c>
      <c r="B2873" s="1" t="s">
        <v>6834</v>
      </c>
      <c r="C2873" s="1" t="s">
        <v>6640</v>
      </c>
    </row>
    <row r="2874" spans="1:3" ht="15.75" customHeight="1" x14ac:dyDescent="0.25">
      <c r="A2874" s="1" t="s">
        <v>6833</v>
      </c>
      <c r="B2874" s="1" t="s">
        <v>6832</v>
      </c>
      <c r="C2874" s="1" t="s">
        <v>6486</v>
      </c>
    </row>
    <row r="2875" spans="1:3" ht="15.75" customHeight="1" x14ac:dyDescent="0.25">
      <c r="A2875" s="1" t="s">
        <v>1383</v>
      </c>
      <c r="B2875" s="1" t="s">
        <v>6831</v>
      </c>
      <c r="C2875" s="1" t="s">
        <v>6242</v>
      </c>
    </row>
    <row r="2876" spans="1:3" ht="15.75" customHeight="1" x14ac:dyDescent="0.25">
      <c r="A2876" s="1" t="s">
        <v>6830</v>
      </c>
      <c r="B2876" s="1" t="s">
        <v>6829</v>
      </c>
      <c r="C2876" s="1" t="s">
        <v>6797</v>
      </c>
    </row>
    <row r="2877" spans="1:3" ht="15.75" customHeight="1" x14ac:dyDescent="0.25">
      <c r="A2877" s="1" t="s">
        <v>37</v>
      </c>
      <c r="B2877" s="1" t="s">
        <v>6828</v>
      </c>
      <c r="C2877" s="1" t="s">
        <v>5811</v>
      </c>
    </row>
    <row r="2878" spans="1:3" ht="15.75" customHeight="1" x14ac:dyDescent="0.25">
      <c r="A2878" s="1" t="s">
        <v>2649</v>
      </c>
      <c r="B2878" s="1" t="s">
        <v>6827</v>
      </c>
      <c r="C2878" s="1" t="s">
        <v>5836</v>
      </c>
    </row>
    <row r="2879" spans="1:3" ht="15.75" customHeight="1" x14ac:dyDescent="0.25">
      <c r="A2879" s="1" t="s">
        <v>3299</v>
      </c>
      <c r="B2879" s="1" t="s">
        <v>6826</v>
      </c>
      <c r="C2879" s="1" t="s">
        <v>6825</v>
      </c>
    </row>
    <row r="2880" spans="1:3" ht="15.75" customHeight="1" x14ac:dyDescent="0.25">
      <c r="A2880" s="1" t="s">
        <v>34</v>
      </c>
      <c r="B2880" s="1" t="s">
        <v>6824</v>
      </c>
      <c r="C2880" s="1" t="s">
        <v>5796</v>
      </c>
    </row>
    <row r="2881" spans="1:3" ht="15.75" customHeight="1" x14ac:dyDescent="0.25">
      <c r="A2881" s="1" t="s">
        <v>6823</v>
      </c>
      <c r="B2881" s="1" t="s">
        <v>6822</v>
      </c>
      <c r="C2881" s="1" t="s">
        <v>6821</v>
      </c>
    </row>
    <row r="2882" spans="1:3" ht="15.75" customHeight="1" x14ac:dyDescent="0.25">
      <c r="A2882" s="1" t="s">
        <v>6820</v>
      </c>
      <c r="B2882" s="1" t="s">
        <v>6819</v>
      </c>
      <c r="C2882" s="1" t="s">
        <v>6122</v>
      </c>
    </row>
    <row r="2883" spans="1:3" ht="15.75" customHeight="1" x14ac:dyDescent="0.25">
      <c r="A2883" s="1" t="s">
        <v>666</v>
      </c>
      <c r="B2883" s="1" t="s">
        <v>6818</v>
      </c>
      <c r="C2883" s="1" t="s">
        <v>5838</v>
      </c>
    </row>
    <row r="2884" spans="1:3" ht="15.75" customHeight="1" x14ac:dyDescent="0.25">
      <c r="A2884" s="1" t="s">
        <v>32</v>
      </c>
      <c r="B2884" s="1" t="s">
        <v>6817</v>
      </c>
      <c r="C2884" s="1" t="s">
        <v>6797</v>
      </c>
    </row>
    <row r="2885" spans="1:3" ht="15.75" customHeight="1" x14ac:dyDescent="0.25">
      <c r="A2885" s="1" t="s">
        <v>6816</v>
      </c>
      <c r="B2885" s="1" t="s">
        <v>6815</v>
      </c>
      <c r="C2885" s="1" t="s">
        <v>6486</v>
      </c>
    </row>
    <row r="2886" spans="1:3" ht="15.75" customHeight="1" x14ac:dyDescent="0.25">
      <c r="A2886" s="1" t="s">
        <v>3048</v>
      </c>
      <c r="B2886" s="1" t="s">
        <v>6814</v>
      </c>
      <c r="C2886" s="1" t="s">
        <v>6093</v>
      </c>
    </row>
    <row r="2887" spans="1:3" ht="15.75" customHeight="1" x14ac:dyDescent="0.25">
      <c r="A2887" s="1" t="s">
        <v>4078</v>
      </c>
      <c r="B2887" s="1" t="s">
        <v>6813</v>
      </c>
      <c r="C2887" s="1" t="s">
        <v>6812</v>
      </c>
    </row>
    <row r="2888" spans="1:3" ht="15.75" customHeight="1" x14ac:dyDescent="0.25">
      <c r="A2888" s="1" t="s">
        <v>6811</v>
      </c>
      <c r="B2888" s="1" t="s">
        <v>6810</v>
      </c>
      <c r="C2888" s="1" t="s">
        <v>6122</v>
      </c>
    </row>
    <row r="2889" spans="1:3" ht="15.75" customHeight="1" x14ac:dyDescent="0.25">
      <c r="A2889" s="1" t="s">
        <v>6809</v>
      </c>
      <c r="B2889" s="1" t="s">
        <v>6808</v>
      </c>
      <c r="C2889" s="1" t="s">
        <v>5829</v>
      </c>
    </row>
    <row r="2890" spans="1:3" ht="15.75" customHeight="1" x14ac:dyDescent="0.25">
      <c r="A2890" s="1" t="s">
        <v>4695</v>
      </c>
      <c r="B2890" s="1" t="s">
        <v>6807</v>
      </c>
      <c r="C2890" s="1" t="s">
        <v>6797</v>
      </c>
    </row>
    <row r="2891" spans="1:3" ht="15.75" customHeight="1" x14ac:dyDescent="0.25">
      <c r="A2891" s="1" t="s">
        <v>4574</v>
      </c>
      <c r="B2891" s="1" t="s">
        <v>6806</v>
      </c>
      <c r="C2891" s="1" t="s">
        <v>6586</v>
      </c>
    </row>
    <row r="2892" spans="1:3" ht="15.75" customHeight="1" x14ac:dyDescent="0.25">
      <c r="A2892" s="1" t="s">
        <v>6805</v>
      </c>
      <c r="B2892" s="1" t="s">
        <v>6804</v>
      </c>
      <c r="C2892" s="1" t="s">
        <v>6797</v>
      </c>
    </row>
    <row r="2893" spans="1:3" ht="15.75" customHeight="1" x14ac:dyDescent="0.25">
      <c r="A2893" s="1" t="s">
        <v>6803</v>
      </c>
      <c r="B2893" s="1" t="s">
        <v>6802</v>
      </c>
      <c r="C2893" s="1" t="s">
        <v>6507</v>
      </c>
    </row>
    <row r="2894" spans="1:3" ht="15.75" customHeight="1" x14ac:dyDescent="0.25">
      <c r="A2894" s="1" t="s">
        <v>1851</v>
      </c>
      <c r="B2894" s="1" t="s">
        <v>6801</v>
      </c>
      <c r="C2894" s="1" t="s">
        <v>6795</v>
      </c>
    </row>
    <row r="2895" spans="1:3" ht="15.75" customHeight="1" x14ac:dyDescent="0.25">
      <c r="A2895" s="1" t="s">
        <v>6800</v>
      </c>
      <c r="B2895" s="1" t="s">
        <v>6799</v>
      </c>
      <c r="C2895" s="1" t="s">
        <v>6242</v>
      </c>
    </row>
    <row r="2896" spans="1:3" ht="15.75" customHeight="1" x14ac:dyDescent="0.25">
      <c r="A2896" s="1" t="s">
        <v>30</v>
      </c>
      <c r="B2896" s="1" t="s">
        <v>6798</v>
      </c>
      <c r="C2896" s="1" t="s">
        <v>6797</v>
      </c>
    </row>
    <row r="2897" spans="1:3" ht="15.75" customHeight="1" x14ac:dyDescent="0.25">
      <c r="A2897" s="1" t="s">
        <v>1590</v>
      </c>
      <c r="B2897" s="1" t="s">
        <v>6796</v>
      </c>
      <c r="C2897" s="1" t="s">
        <v>6795</v>
      </c>
    </row>
    <row r="2898" spans="1:3" ht="15.75" customHeight="1" x14ac:dyDescent="0.25">
      <c r="A2898" s="1" t="s">
        <v>6794</v>
      </c>
      <c r="B2898" s="1" t="s">
        <v>6793</v>
      </c>
      <c r="C2898" s="1" t="s">
        <v>6122</v>
      </c>
    </row>
    <row r="2899" spans="1:3" ht="15.75" customHeight="1" x14ac:dyDescent="0.25">
      <c r="A2899" s="1" t="s">
        <v>3044</v>
      </c>
      <c r="B2899" s="1" t="s">
        <v>6792</v>
      </c>
      <c r="C2899" s="1" t="s">
        <v>6122</v>
      </c>
    </row>
    <row r="2900" spans="1:3" ht="15.75" customHeight="1" x14ac:dyDescent="0.25">
      <c r="A2900" s="1" t="s">
        <v>4181</v>
      </c>
      <c r="B2900" s="1" t="s">
        <v>6791</v>
      </c>
      <c r="C2900" s="1" t="s">
        <v>6122</v>
      </c>
    </row>
    <row r="2901" spans="1:3" ht="15.75" customHeight="1" x14ac:dyDescent="0.25">
      <c r="A2901" s="1" t="s">
        <v>2323</v>
      </c>
      <c r="B2901" s="1" t="s">
        <v>6790</v>
      </c>
      <c r="C2901" s="1" t="s">
        <v>6789</v>
      </c>
    </row>
    <row r="2902" spans="1:3" ht="15.75" customHeight="1" x14ac:dyDescent="0.25">
      <c r="A2902" s="1" t="s">
        <v>4074</v>
      </c>
      <c r="B2902" s="1" t="s">
        <v>6788</v>
      </c>
      <c r="C2902" s="1" t="s">
        <v>6787</v>
      </c>
    </row>
    <row r="2903" spans="1:3" ht="15.75" customHeight="1" x14ac:dyDescent="0.25">
      <c r="A2903" s="1" t="s">
        <v>6786</v>
      </c>
      <c r="B2903" s="1" t="s">
        <v>6785</v>
      </c>
      <c r="C2903" s="1" t="s">
        <v>6784</v>
      </c>
    </row>
    <row r="2904" spans="1:3" ht="15.75" customHeight="1" x14ac:dyDescent="0.25">
      <c r="A2904" s="1" t="s">
        <v>2490</v>
      </c>
      <c r="B2904" s="1" t="s">
        <v>6783</v>
      </c>
      <c r="C2904" s="1" t="s">
        <v>6495</v>
      </c>
    </row>
    <row r="2905" spans="1:3" ht="15.75" customHeight="1" x14ac:dyDescent="0.25">
      <c r="A2905" s="1" t="s">
        <v>4241</v>
      </c>
      <c r="B2905" s="1" t="s">
        <v>6782</v>
      </c>
      <c r="C2905" s="1" t="s">
        <v>5796</v>
      </c>
    </row>
    <row r="2906" spans="1:3" ht="15.75" customHeight="1" x14ac:dyDescent="0.25">
      <c r="A2906" s="1" t="s">
        <v>3634</v>
      </c>
      <c r="B2906" s="1" t="s">
        <v>6781</v>
      </c>
      <c r="C2906" s="1" t="s">
        <v>6667</v>
      </c>
    </row>
    <row r="2907" spans="1:3" ht="15.75" customHeight="1" x14ac:dyDescent="0.25">
      <c r="A2907" s="1" t="s">
        <v>6780</v>
      </c>
      <c r="B2907" s="1" t="s">
        <v>6779</v>
      </c>
      <c r="C2907" s="1" t="s">
        <v>6778</v>
      </c>
    </row>
    <row r="2908" spans="1:3" ht="15.75" customHeight="1" x14ac:dyDescent="0.25">
      <c r="A2908" s="1" t="s">
        <v>6777</v>
      </c>
      <c r="B2908" s="1" t="s">
        <v>6776</v>
      </c>
      <c r="C2908" s="1" t="s">
        <v>6486</v>
      </c>
    </row>
    <row r="2909" spans="1:3" ht="15.75" customHeight="1" x14ac:dyDescent="0.25">
      <c r="A2909" s="1" t="s">
        <v>6775</v>
      </c>
      <c r="B2909" s="1" t="s">
        <v>6774</v>
      </c>
      <c r="C2909" s="1" t="s">
        <v>6242</v>
      </c>
    </row>
    <row r="2910" spans="1:3" ht="15.75" customHeight="1" x14ac:dyDescent="0.25">
      <c r="A2910" s="1" t="s">
        <v>4369</v>
      </c>
      <c r="B2910" s="1" t="s">
        <v>6773</v>
      </c>
      <c r="C2910" s="1" t="s">
        <v>6767</v>
      </c>
    </row>
    <row r="2911" spans="1:3" ht="15.75" customHeight="1" x14ac:dyDescent="0.25">
      <c r="A2911" s="1" t="s">
        <v>6772</v>
      </c>
      <c r="B2911" s="1" t="s">
        <v>6771</v>
      </c>
      <c r="C2911" s="1" t="s">
        <v>6260</v>
      </c>
    </row>
    <row r="2912" spans="1:3" ht="15.75" customHeight="1" x14ac:dyDescent="0.25">
      <c r="A2912" s="1" t="s">
        <v>4826</v>
      </c>
      <c r="B2912" s="1" t="s">
        <v>6770</v>
      </c>
      <c r="C2912" s="1" t="s">
        <v>6769</v>
      </c>
    </row>
    <row r="2913" spans="1:3" ht="15.75" customHeight="1" x14ac:dyDescent="0.25">
      <c r="A2913" s="1" t="s">
        <v>2903</v>
      </c>
      <c r="B2913" s="1" t="s">
        <v>6768</v>
      </c>
      <c r="C2913" s="1" t="s">
        <v>6767</v>
      </c>
    </row>
    <row r="2914" spans="1:3" ht="15.75" customHeight="1" x14ac:dyDescent="0.25">
      <c r="A2914" s="1" t="s">
        <v>6766</v>
      </c>
      <c r="B2914" s="1" t="s">
        <v>6765</v>
      </c>
      <c r="C2914" s="1" t="s">
        <v>5791</v>
      </c>
    </row>
    <row r="2915" spans="1:3" ht="15.75" customHeight="1" x14ac:dyDescent="0.25">
      <c r="A2915" s="1" t="s">
        <v>1648</v>
      </c>
      <c r="B2915" s="1" t="s">
        <v>6764</v>
      </c>
      <c r="C2915" s="1" t="s">
        <v>6763</v>
      </c>
    </row>
    <row r="2916" spans="1:3" ht="15.75" customHeight="1" x14ac:dyDescent="0.25">
      <c r="A2916" s="1" t="s">
        <v>1602</v>
      </c>
      <c r="B2916" s="1" t="s">
        <v>6762</v>
      </c>
      <c r="C2916" s="1" t="s">
        <v>5781</v>
      </c>
    </row>
    <row r="2917" spans="1:3" ht="15.75" customHeight="1" x14ac:dyDescent="0.25">
      <c r="A2917" s="1" t="s">
        <v>6761</v>
      </c>
      <c r="B2917" s="1" t="s">
        <v>6760</v>
      </c>
      <c r="C2917" s="1" t="s">
        <v>6759</v>
      </c>
    </row>
    <row r="2918" spans="1:3" ht="15.75" customHeight="1" x14ac:dyDescent="0.25">
      <c r="A2918" s="1" t="s">
        <v>3713</v>
      </c>
      <c r="B2918" s="1" t="s">
        <v>6758</v>
      </c>
      <c r="C2918" s="1" t="s">
        <v>6640</v>
      </c>
    </row>
    <row r="2919" spans="1:3" ht="15.75" customHeight="1" x14ac:dyDescent="0.25">
      <c r="A2919" s="1" t="s">
        <v>6757</v>
      </c>
      <c r="B2919" s="1" t="s">
        <v>6756</v>
      </c>
      <c r="C2919" s="1" t="s">
        <v>6755</v>
      </c>
    </row>
    <row r="2920" spans="1:3" ht="15.75" customHeight="1" x14ac:dyDescent="0.25">
      <c r="A2920" s="1" t="s">
        <v>5473</v>
      </c>
      <c r="B2920" s="1" t="s">
        <v>6754</v>
      </c>
      <c r="C2920" s="1" t="s">
        <v>6753</v>
      </c>
    </row>
    <row r="2921" spans="1:3" ht="15.75" customHeight="1" x14ac:dyDescent="0.25">
      <c r="A2921" s="1" t="s">
        <v>5380</v>
      </c>
      <c r="B2921" s="1" t="s">
        <v>6752</v>
      </c>
      <c r="C2921" s="1" t="s">
        <v>6751</v>
      </c>
    </row>
    <row r="2922" spans="1:3" ht="15.75" customHeight="1" x14ac:dyDescent="0.25">
      <c r="A2922" s="1" t="s">
        <v>937</v>
      </c>
      <c r="B2922" s="1" t="s">
        <v>5938</v>
      </c>
      <c r="C2922" s="1" t="s">
        <v>6750</v>
      </c>
    </row>
    <row r="2923" spans="1:3" ht="15.75" customHeight="1" x14ac:dyDescent="0.25">
      <c r="A2923" s="1" t="s">
        <v>2555</v>
      </c>
      <c r="B2923" s="1" t="s">
        <v>6749</v>
      </c>
      <c r="C2923" s="1" t="s">
        <v>6748</v>
      </c>
    </row>
    <row r="2924" spans="1:3" ht="15.75" customHeight="1" x14ac:dyDescent="0.25">
      <c r="A2924" s="1" t="s">
        <v>729</v>
      </c>
      <c r="B2924" s="1" t="s">
        <v>6747</v>
      </c>
      <c r="C2924" s="1" t="s">
        <v>5781</v>
      </c>
    </row>
    <row r="2925" spans="1:3" ht="15.75" customHeight="1" x14ac:dyDescent="0.25">
      <c r="A2925" s="1" t="s">
        <v>6746</v>
      </c>
      <c r="B2925" s="1" t="s">
        <v>6745</v>
      </c>
      <c r="C2925" s="1" t="s">
        <v>6700</v>
      </c>
    </row>
    <row r="2926" spans="1:3" ht="15.75" customHeight="1" x14ac:dyDescent="0.25">
      <c r="A2926" s="1" t="s">
        <v>3286</v>
      </c>
      <c r="B2926" s="1" t="s">
        <v>6744</v>
      </c>
      <c r="C2926" s="1" t="s">
        <v>6743</v>
      </c>
    </row>
    <row r="2927" spans="1:3" ht="15.75" customHeight="1" x14ac:dyDescent="0.25">
      <c r="A2927" s="1" t="s">
        <v>743</v>
      </c>
      <c r="B2927" s="1" t="s">
        <v>6742</v>
      </c>
      <c r="C2927" s="1" t="s">
        <v>6741</v>
      </c>
    </row>
    <row r="2928" spans="1:3" ht="15.75" customHeight="1" x14ac:dyDescent="0.25">
      <c r="A2928" s="1" t="s">
        <v>6740</v>
      </c>
      <c r="B2928" s="1" t="s">
        <v>6739</v>
      </c>
      <c r="C2928" s="1" t="s">
        <v>5781</v>
      </c>
    </row>
    <row r="2929" spans="1:3" ht="15.75" customHeight="1" x14ac:dyDescent="0.25">
      <c r="A2929" s="1" t="s">
        <v>1641</v>
      </c>
      <c r="B2929" s="1" t="s">
        <v>6738</v>
      </c>
      <c r="C2929" s="1" t="s">
        <v>6242</v>
      </c>
    </row>
    <row r="2930" spans="1:3" ht="15.75" customHeight="1" x14ac:dyDescent="0.25">
      <c r="A2930" s="1" t="s">
        <v>6737</v>
      </c>
      <c r="B2930" s="1" t="s">
        <v>6736</v>
      </c>
      <c r="C2930" s="1" t="s">
        <v>6242</v>
      </c>
    </row>
    <row r="2931" spans="1:3" ht="15.75" customHeight="1" x14ac:dyDescent="0.25">
      <c r="A2931" s="1" t="s">
        <v>6735</v>
      </c>
      <c r="B2931" s="1" t="s">
        <v>6734</v>
      </c>
      <c r="C2931" s="1" t="s">
        <v>6733</v>
      </c>
    </row>
    <row r="2932" spans="1:3" ht="15.75" customHeight="1" x14ac:dyDescent="0.25">
      <c r="A2932" s="1" t="s">
        <v>4539</v>
      </c>
      <c r="B2932" s="1" t="s">
        <v>6732</v>
      </c>
      <c r="C2932" s="1" t="s">
        <v>5836</v>
      </c>
    </row>
    <row r="2933" spans="1:3" ht="15.75" customHeight="1" x14ac:dyDescent="0.25">
      <c r="A2933" s="1" t="s">
        <v>2213</v>
      </c>
      <c r="B2933" s="1" t="s">
        <v>6731</v>
      </c>
      <c r="C2933" s="1" t="s">
        <v>6675</v>
      </c>
    </row>
    <row r="2934" spans="1:3" ht="15.75" customHeight="1" x14ac:dyDescent="0.25">
      <c r="A2934" s="1" t="s">
        <v>3203</v>
      </c>
      <c r="B2934" s="1" t="s">
        <v>6730</v>
      </c>
      <c r="C2934" s="1" t="s">
        <v>6729</v>
      </c>
    </row>
    <row r="2935" spans="1:3" ht="15.75" customHeight="1" x14ac:dyDescent="0.25">
      <c r="A2935" s="1" t="s">
        <v>4733</v>
      </c>
      <c r="B2935" s="1" t="s">
        <v>6728</v>
      </c>
      <c r="C2935" s="1" t="s">
        <v>6288</v>
      </c>
    </row>
    <row r="2936" spans="1:3" ht="15.75" customHeight="1" x14ac:dyDescent="0.25">
      <c r="A2936" s="1" t="s">
        <v>1053</v>
      </c>
      <c r="B2936" s="1" t="s">
        <v>6727</v>
      </c>
      <c r="C2936" s="1" t="s">
        <v>6640</v>
      </c>
    </row>
    <row r="2937" spans="1:3" ht="15.75" customHeight="1" x14ac:dyDescent="0.25">
      <c r="A2937" s="1" t="s">
        <v>27</v>
      </c>
      <c r="B2937" s="1" t="s">
        <v>6726</v>
      </c>
      <c r="C2937" s="1" t="s">
        <v>6725</v>
      </c>
    </row>
    <row r="2938" spans="1:3" ht="15.75" customHeight="1" x14ac:dyDescent="0.25">
      <c r="A2938" s="1" t="s">
        <v>6724</v>
      </c>
      <c r="B2938" s="1" t="s">
        <v>6723</v>
      </c>
      <c r="C2938" s="1" t="s">
        <v>6690</v>
      </c>
    </row>
    <row r="2939" spans="1:3" ht="15.75" customHeight="1" x14ac:dyDescent="0.25">
      <c r="A2939" s="1" t="s">
        <v>2319</v>
      </c>
      <c r="B2939" s="1" t="s">
        <v>6722</v>
      </c>
      <c r="C2939" s="1" t="s">
        <v>6709</v>
      </c>
    </row>
    <row r="2940" spans="1:3" ht="15.75" customHeight="1" x14ac:dyDescent="0.25">
      <c r="A2940" s="1" t="s">
        <v>6721</v>
      </c>
      <c r="B2940" s="1" t="s">
        <v>6720</v>
      </c>
      <c r="C2940" s="1" t="s">
        <v>6719</v>
      </c>
    </row>
    <row r="2941" spans="1:3" ht="15.75" customHeight="1" x14ac:dyDescent="0.25">
      <c r="A2941" s="1" t="s">
        <v>1393</v>
      </c>
      <c r="B2941" s="1" t="s">
        <v>6718</v>
      </c>
      <c r="C2941" s="1" t="s">
        <v>6717</v>
      </c>
    </row>
    <row r="2942" spans="1:3" ht="15.75" customHeight="1" x14ac:dyDescent="0.25">
      <c r="A2942" s="1" t="s">
        <v>6716</v>
      </c>
      <c r="B2942" s="1" t="s">
        <v>6715</v>
      </c>
      <c r="C2942" s="1" t="s">
        <v>6714</v>
      </c>
    </row>
    <row r="2943" spans="1:3" ht="15.75" customHeight="1" x14ac:dyDescent="0.25">
      <c r="A2943" s="1" t="s">
        <v>2409</v>
      </c>
      <c r="B2943" s="1" t="s">
        <v>6713</v>
      </c>
      <c r="C2943" s="1" t="s">
        <v>5906</v>
      </c>
    </row>
    <row r="2944" spans="1:3" ht="15.75" customHeight="1" x14ac:dyDescent="0.25">
      <c r="A2944" s="1" t="s">
        <v>6712</v>
      </c>
      <c r="B2944" s="1" t="s">
        <v>6711</v>
      </c>
      <c r="C2944" s="1" t="s">
        <v>6486</v>
      </c>
    </row>
    <row r="2945" spans="1:3" ht="15.75" customHeight="1" x14ac:dyDescent="0.25">
      <c r="A2945" s="1" t="s">
        <v>2036</v>
      </c>
      <c r="B2945" s="1" t="s">
        <v>6710</v>
      </c>
      <c r="C2945" s="1" t="s">
        <v>6709</v>
      </c>
    </row>
    <row r="2946" spans="1:3" ht="15.75" customHeight="1" x14ac:dyDescent="0.25">
      <c r="A2946" s="1" t="s">
        <v>5511</v>
      </c>
      <c r="B2946" s="1" t="s">
        <v>6708</v>
      </c>
      <c r="C2946" s="1" t="s">
        <v>6707</v>
      </c>
    </row>
    <row r="2947" spans="1:3" ht="15.75" customHeight="1" x14ac:dyDescent="0.25">
      <c r="A2947" s="1" t="s">
        <v>6706</v>
      </c>
      <c r="B2947" s="1" t="s">
        <v>6705</v>
      </c>
      <c r="C2947" s="1" t="s">
        <v>6122</v>
      </c>
    </row>
    <row r="2948" spans="1:3" ht="15.75" customHeight="1" x14ac:dyDescent="0.25">
      <c r="A2948" s="1" t="s">
        <v>5416</v>
      </c>
      <c r="B2948" s="1" t="s">
        <v>6695</v>
      </c>
      <c r="C2948" s="1" t="s">
        <v>6288</v>
      </c>
    </row>
    <row r="2949" spans="1:3" ht="15.75" customHeight="1" x14ac:dyDescent="0.25">
      <c r="A2949" s="1" t="s">
        <v>2575</v>
      </c>
      <c r="B2949" s="1" t="s">
        <v>6704</v>
      </c>
      <c r="C2949" s="1" t="s">
        <v>6703</v>
      </c>
    </row>
    <row r="2950" spans="1:3" ht="15.75" customHeight="1" x14ac:dyDescent="0.25">
      <c r="A2950" s="1" t="s">
        <v>6702</v>
      </c>
      <c r="B2950" s="1" t="s">
        <v>6701</v>
      </c>
      <c r="C2950" s="1" t="s">
        <v>6700</v>
      </c>
    </row>
    <row r="2951" spans="1:3" ht="15.75" customHeight="1" x14ac:dyDescent="0.25">
      <c r="A2951" s="1" t="s">
        <v>3023</v>
      </c>
      <c r="B2951" s="1" t="s">
        <v>6699</v>
      </c>
      <c r="C2951" s="1" t="s">
        <v>5860</v>
      </c>
    </row>
    <row r="2952" spans="1:3" ht="15.75" customHeight="1" x14ac:dyDescent="0.25">
      <c r="A2952" s="1" t="s">
        <v>6698</v>
      </c>
      <c r="B2952" s="1" t="s">
        <v>6697</v>
      </c>
      <c r="C2952" s="1" t="s">
        <v>6122</v>
      </c>
    </row>
    <row r="2953" spans="1:3" ht="15.75" customHeight="1" x14ac:dyDescent="0.25">
      <c r="A2953" s="1" t="s">
        <v>4030</v>
      </c>
      <c r="B2953" s="1" t="s">
        <v>6696</v>
      </c>
      <c r="C2953" s="1" t="s">
        <v>5906</v>
      </c>
    </row>
    <row r="2954" spans="1:3" ht="15.75" customHeight="1" x14ac:dyDescent="0.25">
      <c r="A2954" s="1" t="s">
        <v>4058</v>
      </c>
      <c r="B2954" s="1" t="s">
        <v>6695</v>
      </c>
      <c r="C2954" s="1" t="s">
        <v>6690</v>
      </c>
    </row>
    <row r="2955" spans="1:3" ht="15.75" customHeight="1" x14ac:dyDescent="0.25">
      <c r="A2955" s="1" t="s">
        <v>6694</v>
      </c>
      <c r="B2955" s="1" t="s">
        <v>6693</v>
      </c>
      <c r="C2955" s="1" t="s">
        <v>5860</v>
      </c>
    </row>
    <row r="2956" spans="1:3" ht="15.75" customHeight="1" x14ac:dyDescent="0.25">
      <c r="A2956" s="1" t="s">
        <v>6692</v>
      </c>
      <c r="B2956" s="1" t="s">
        <v>6691</v>
      </c>
      <c r="C2956" s="1" t="s">
        <v>6690</v>
      </c>
    </row>
    <row r="2957" spans="1:3" ht="15.75" customHeight="1" x14ac:dyDescent="0.25">
      <c r="A2957" s="1" t="s">
        <v>541</v>
      </c>
      <c r="B2957" s="1" t="s">
        <v>6689</v>
      </c>
      <c r="C2957" s="1" t="s">
        <v>6688</v>
      </c>
    </row>
    <row r="2958" spans="1:3" ht="15.75" customHeight="1" x14ac:dyDescent="0.25">
      <c r="A2958" s="1" t="s">
        <v>6687</v>
      </c>
      <c r="B2958" s="1" t="s">
        <v>6686</v>
      </c>
      <c r="C2958" s="1" t="s">
        <v>6486</v>
      </c>
    </row>
    <row r="2959" spans="1:3" ht="15.75" customHeight="1" x14ac:dyDescent="0.25">
      <c r="A2959" s="1" t="s">
        <v>4999</v>
      </c>
      <c r="B2959" s="1" t="s">
        <v>6685</v>
      </c>
      <c r="C2959" s="1" t="s">
        <v>6684</v>
      </c>
    </row>
    <row r="2960" spans="1:3" ht="15.75" customHeight="1" x14ac:dyDescent="0.25">
      <c r="A2960" s="1" t="s">
        <v>4148</v>
      </c>
      <c r="B2960" s="1" t="s">
        <v>6683</v>
      </c>
      <c r="C2960" s="1" t="s">
        <v>6653</v>
      </c>
    </row>
    <row r="2961" spans="1:3" ht="15.75" customHeight="1" x14ac:dyDescent="0.25">
      <c r="A2961" s="1" t="s">
        <v>2239</v>
      </c>
      <c r="B2961" s="1" t="s">
        <v>6682</v>
      </c>
      <c r="C2961" s="1" t="s">
        <v>6644</v>
      </c>
    </row>
    <row r="2962" spans="1:3" ht="15.75" customHeight="1" x14ac:dyDescent="0.25">
      <c r="A2962" s="1" t="s">
        <v>5434</v>
      </c>
      <c r="B2962" s="1" t="s">
        <v>6681</v>
      </c>
      <c r="C2962" s="1" t="s">
        <v>6122</v>
      </c>
    </row>
    <row r="2963" spans="1:3" ht="15.75" customHeight="1" x14ac:dyDescent="0.25">
      <c r="A2963" s="1" t="s">
        <v>6680</v>
      </c>
      <c r="B2963" s="1" t="s">
        <v>6679</v>
      </c>
      <c r="C2963" s="1" t="s">
        <v>5791</v>
      </c>
    </row>
    <row r="2964" spans="1:3" ht="15.75" customHeight="1" x14ac:dyDescent="0.25">
      <c r="A2964" s="1" t="s">
        <v>2998</v>
      </c>
      <c r="B2964" s="1" t="s">
        <v>6678</v>
      </c>
      <c r="C2964" s="1" t="s">
        <v>6122</v>
      </c>
    </row>
    <row r="2965" spans="1:3" ht="15.75" customHeight="1" x14ac:dyDescent="0.25">
      <c r="A2965" s="1" t="s">
        <v>6677</v>
      </c>
      <c r="B2965" s="1" t="s">
        <v>6676</v>
      </c>
      <c r="C2965" s="1" t="s">
        <v>6675</v>
      </c>
    </row>
    <row r="2966" spans="1:3" ht="15.75" customHeight="1" x14ac:dyDescent="0.25">
      <c r="A2966" s="1" t="s">
        <v>4371</v>
      </c>
      <c r="B2966" s="1" t="s">
        <v>6674</v>
      </c>
      <c r="C2966" s="1" t="s">
        <v>6673</v>
      </c>
    </row>
    <row r="2967" spans="1:3" ht="15.75" customHeight="1" x14ac:dyDescent="0.25">
      <c r="A2967" s="1" t="s">
        <v>1948</v>
      </c>
      <c r="B2967" s="1" t="s">
        <v>6672</v>
      </c>
      <c r="C2967" s="1" t="s">
        <v>6671</v>
      </c>
    </row>
    <row r="2968" spans="1:3" ht="15.75" customHeight="1" x14ac:dyDescent="0.25">
      <c r="A2968" s="1" t="s">
        <v>4729</v>
      </c>
      <c r="B2968" s="1" t="s">
        <v>6670</v>
      </c>
      <c r="C2968" s="1" t="s">
        <v>6669</v>
      </c>
    </row>
    <row r="2969" spans="1:3" ht="15.75" customHeight="1" x14ac:dyDescent="0.25">
      <c r="A2969" s="1" t="s">
        <v>809</v>
      </c>
      <c r="B2969" s="1" t="s">
        <v>6668</v>
      </c>
      <c r="C2969" s="1" t="s">
        <v>6667</v>
      </c>
    </row>
    <row r="2970" spans="1:3" ht="15.75" customHeight="1" x14ac:dyDescent="0.25">
      <c r="A2970" s="1" t="s">
        <v>5167</v>
      </c>
      <c r="B2970" s="1" t="s">
        <v>6666</v>
      </c>
      <c r="C2970" s="1" t="s">
        <v>6665</v>
      </c>
    </row>
    <row r="2971" spans="1:3" ht="15.75" customHeight="1" x14ac:dyDescent="0.25">
      <c r="A2971" s="1" t="s">
        <v>4527</v>
      </c>
      <c r="B2971" s="1" t="s">
        <v>6664</v>
      </c>
      <c r="C2971" s="1" t="s">
        <v>5836</v>
      </c>
    </row>
    <row r="2972" spans="1:3" ht="15.75" customHeight="1" x14ac:dyDescent="0.25">
      <c r="A2972" s="1" t="s">
        <v>6663</v>
      </c>
      <c r="B2972" s="1" t="s">
        <v>6662</v>
      </c>
      <c r="C2972" s="1" t="s">
        <v>6661</v>
      </c>
    </row>
    <row r="2973" spans="1:3" ht="15.75" customHeight="1" x14ac:dyDescent="0.25">
      <c r="A2973" s="1" t="s">
        <v>3040</v>
      </c>
      <c r="B2973" s="1" t="s">
        <v>6660</v>
      </c>
      <c r="C2973" s="1" t="s">
        <v>6640</v>
      </c>
    </row>
    <row r="2974" spans="1:3" ht="15.75" customHeight="1" x14ac:dyDescent="0.25">
      <c r="A2974" s="1" t="s">
        <v>6659</v>
      </c>
      <c r="B2974" s="1" t="s">
        <v>6658</v>
      </c>
      <c r="C2974" s="1" t="s">
        <v>6657</v>
      </c>
    </row>
    <row r="2975" spans="1:3" ht="15.75" customHeight="1" x14ac:dyDescent="0.25">
      <c r="A2975" s="1" t="s">
        <v>3996</v>
      </c>
      <c r="B2975" s="1" t="s">
        <v>6656</v>
      </c>
      <c r="C2975" s="1" t="s">
        <v>6655</v>
      </c>
    </row>
    <row r="2976" spans="1:3" ht="15.75" customHeight="1" x14ac:dyDescent="0.25">
      <c r="A2976" s="1" t="s">
        <v>24</v>
      </c>
      <c r="B2976" s="1" t="s">
        <v>6654</v>
      </c>
      <c r="C2976" s="1" t="s">
        <v>6653</v>
      </c>
    </row>
    <row r="2977" spans="1:3" ht="15.75" customHeight="1" x14ac:dyDescent="0.25">
      <c r="A2977" s="1" t="s">
        <v>3052</v>
      </c>
      <c r="B2977" s="1" t="s">
        <v>6652</v>
      </c>
      <c r="C2977" s="1" t="s">
        <v>6651</v>
      </c>
    </row>
    <row r="2978" spans="1:3" ht="15.75" customHeight="1" x14ac:dyDescent="0.25">
      <c r="A2978" s="1" t="s">
        <v>6650</v>
      </c>
      <c r="B2978" s="1" t="s">
        <v>6649</v>
      </c>
      <c r="C2978" s="1" t="s">
        <v>5791</v>
      </c>
    </row>
    <row r="2979" spans="1:3" ht="15.75" customHeight="1" x14ac:dyDescent="0.25">
      <c r="A2979" s="1" t="s">
        <v>4464</v>
      </c>
      <c r="B2979" s="1" t="s">
        <v>6648</v>
      </c>
      <c r="C2979" s="1" t="s">
        <v>6647</v>
      </c>
    </row>
    <row r="2980" spans="1:3" ht="15.75" customHeight="1" x14ac:dyDescent="0.25">
      <c r="A2980" s="1" t="s">
        <v>21</v>
      </c>
      <c r="B2980" s="1" t="s">
        <v>6646</v>
      </c>
      <c r="C2980" s="1" t="s">
        <v>6122</v>
      </c>
    </row>
    <row r="2981" spans="1:3" ht="15.75" customHeight="1" x14ac:dyDescent="0.25">
      <c r="A2981" s="1" t="s">
        <v>1533</v>
      </c>
      <c r="B2981" s="1" t="s">
        <v>6645</v>
      </c>
      <c r="C2981" s="1" t="s">
        <v>6644</v>
      </c>
    </row>
    <row r="2982" spans="1:3" ht="15.75" customHeight="1" x14ac:dyDescent="0.25">
      <c r="A2982" s="1" t="s">
        <v>2964</v>
      </c>
      <c r="B2982" s="1" t="s">
        <v>6643</v>
      </c>
      <c r="C2982" s="1" t="s">
        <v>6642</v>
      </c>
    </row>
    <row r="2983" spans="1:3" ht="15.75" customHeight="1" x14ac:dyDescent="0.25">
      <c r="A2983" s="1" t="s">
        <v>3117</v>
      </c>
      <c r="B2983" s="1" t="s">
        <v>6641</v>
      </c>
      <c r="C2983" s="1" t="s">
        <v>6640</v>
      </c>
    </row>
    <row r="2984" spans="1:3" ht="15.75" customHeight="1" x14ac:dyDescent="0.25">
      <c r="A2984" s="1" t="s">
        <v>6639</v>
      </c>
      <c r="B2984" s="1" t="s">
        <v>6638</v>
      </c>
      <c r="C2984" s="1" t="s">
        <v>6242</v>
      </c>
    </row>
    <row r="2985" spans="1:3" ht="15.75" customHeight="1" x14ac:dyDescent="0.25">
      <c r="A2985" s="1" t="s">
        <v>2653</v>
      </c>
      <c r="B2985" s="1" t="s">
        <v>6637</v>
      </c>
      <c r="C2985" s="1" t="s">
        <v>6093</v>
      </c>
    </row>
    <row r="2986" spans="1:3" ht="15.75" customHeight="1" x14ac:dyDescent="0.25">
      <c r="A2986" s="1" t="s">
        <v>1900</v>
      </c>
      <c r="B2986" s="1" t="s">
        <v>6636</v>
      </c>
      <c r="C2986" s="1" t="s">
        <v>5824</v>
      </c>
    </row>
    <row r="2987" spans="1:3" ht="15.75" customHeight="1" x14ac:dyDescent="0.25">
      <c r="A2987" s="1" t="s">
        <v>6635</v>
      </c>
      <c r="B2987" s="1" t="s">
        <v>6634</v>
      </c>
      <c r="C2987" s="1" t="s">
        <v>5791</v>
      </c>
    </row>
    <row r="2988" spans="1:3" ht="15.75" customHeight="1" x14ac:dyDescent="0.25">
      <c r="A2988" s="1" t="s">
        <v>6633</v>
      </c>
      <c r="B2988" s="1" t="s">
        <v>6632</v>
      </c>
      <c r="C2988" s="1" t="s">
        <v>5791</v>
      </c>
    </row>
    <row r="2989" spans="1:3" ht="15.75" customHeight="1" x14ac:dyDescent="0.25">
      <c r="A2989" s="1" t="s">
        <v>6631</v>
      </c>
      <c r="B2989" s="1" t="s">
        <v>6630</v>
      </c>
      <c r="C2989" s="1" t="s">
        <v>5791</v>
      </c>
    </row>
    <row r="2990" spans="1:3" ht="15.75" customHeight="1" x14ac:dyDescent="0.25">
      <c r="A2990" s="1" t="s">
        <v>6629</v>
      </c>
      <c r="B2990" s="1" t="s">
        <v>6628</v>
      </c>
    </row>
    <row r="2991" spans="1:3" ht="15.75" customHeight="1" x14ac:dyDescent="0.25">
      <c r="A2991" s="1" t="s">
        <v>3014</v>
      </c>
      <c r="B2991" s="1" t="s">
        <v>6627</v>
      </c>
      <c r="C2991" s="1" t="s">
        <v>6626</v>
      </c>
    </row>
    <row r="2992" spans="1:3" ht="15.75" customHeight="1" x14ac:dyDescent="0.25">
      <c r="A2992" s="1" t="s">
        <v>5567</v>
      </c>
      <c r="B2992" s="1" t="s">
        <v>6625</v>
      </c>
      <c r="C2992" s="1" t="s">
        <v>6533</v>
      </c>
    </row>
    <row r="2993" spans="1:3" ht="15.75" customHeight="1" x14ac:dyDescent="0.25">
      <c r="A2993" s="1" t="s">
        <v>6624</v>
      </c>
      <c r="B2993" s="1" t="s">
        <v>6623</v>
      </c>
      <c r="C2993" s="1" t="s">
        <v>5811</v>
      </c>
    </row>
    <row r="2994" spans="1:3" ht="15.75" customHeight="1" x14ac:dyDescent="0.25">
      <c r="A2994" s="1" t="s">
        <v>6622</v>
      </c>
      <c r="B2994" s="1" t="s">
        <v>6621</v>
      </c>
      <c r="C2994" s="1" t="s">
        <v>6242</v>
      </c>
    </row>
    <row r="2995" spans="1:3" ht="15.75" customHeight="1" x14ac:dyDescent="0.25">
      <c r="A2995" s="1" t="s">
        <v>6620</v>
      </c>
      <c r="B2995" s="1" t="s">
        <v>6619</v>
      </c>
      <c r="C2995" s="1" t="s">
        <v>6242</v>
      </c>
    </row>
    <row r="2996" spans="1:3" ht="15.75" customHeight="1" x14ac:dyDescent="0.25">
      <c r="A2996" s="1" t="s">
        <v>6618</v>
      </c>
      <c r="B2996" s="1" t="s">
        <v>6376</v>
      </c>
      <c r="C2996" s="1" t="s">
        <v>6617</v>
      </c>
    </row>
    <row r="2997" spans="1:3" ht="15.75" customHeight="1" x14ac:dyDescent="0.25">
      <c r="A2997" s="1" t="s">
        <v>6616</v>
      </c>
      <c r="B2997" s="1" t="s">
        <v>6615</v>
      </c>
      <c r="C2997" s="1" t="s">
        <v>6614</v>
      </c>
    </row>
    <row r="2998" spans="1:3" ht="15.75" customHeight="1" x14ac:dyDescent="0.25">
      <c r="A2998" s="1" t="s">
        <v>6613</v>
      </c>
      <c r="B2998" s="1" t="s">
        <v>6612</v>
      </c>
      <c r="C2998" s="1" t="s">
        <v>6486</v>
      </c>
    </row>
    <row r="2999" spans="1:3" ht="15.75" customHeight="1" x14ac:dyDescent="0.25">
      <c r="A2999" s="1" t="s">
        <v>4300</v>
      </c>
      <c r="B2999" s="1" t="s">
        <v>6611</v>
      </c>
      <c r="C2999" s="1" t="s">
        <v>5796</v>
      </c>
    </row>
    <row r="3000" spans="1:3" ht="15.75" customHeight="1" x14ac:dyDescent="0.25">
      <c r="A3000" s="1" t="s">
        <v>2270</v>
      </c>
      <c r="B3000" s="1" t="s">
        <v>6610</v>
      </c>
      <c r="C3000" s="1" t="s">
        <v>6276</v>
      </c>
    </row>
    <row r="3001" spans="1:3" ht="15.75" customHeight="1" x14ac:dyDescent="0.25">
      <c r="A3001" s="1" t="s">
        <v>6609</v>
      </c>
      <c r="B3001" s="1" t="s">
        <v>6608</v>
      </c>
      <c r="C3001" s="1" t="s">
        <v>5811</v>
      </c>
    </row>
    <row r="3002" spans="1:3" ht="15.75" customHeight="1" x14ac:dyDescent="0.25">
      <c r="A3002" s="1" t="s">
        <v>6607</v>
      </c>
      <c r="B3002" s="1" t="s">
        <v>6606</v>
      </c>
      <c r="C3002" s="1" t="s">
        <v>5791</v>
      </c>
    </row>
    <row r="3003" spans="1:3" ht="15.75" customHeight="1" x14ac:dyDescent="0.25">
      <c r="A3003" s="1" t="s">
        <v>3383</v>
      </c>
      <c r="B3003" s="1" t="s">
        <v>6605</v>
      </c>
      <c r="C3003" s="1" t="s">
        <v>6602</v>
      </c>
    </row>
    <row r="3004" spans="1:3" ht="15.75" customHeight="1" x14ac:dyDescent="0.25">
      <c r="A3004" s="1" t="s">
        <v>6604</v>
      </c>
      <c r="B3004" s="1" t="s">
        <v>6603</v>
      </c>
      <c r="C3004" s="1" t="s">
        <v>6602</v>
      </c>
    </row>
    <row r="3005" spans="1:3" ht="15.75" customHeight="1" x14ac:dyDescent="0.25">
      <c r="A3005" s="1" t="s">
        <v>6601</v>
      </c>
      <c r="B3005" s="1" t="s">
        <v>6600</v>
      </c>
      <c r="C3005" s="1" t="s">
        <v>5811</v>
      </c>
    </row>
    <row r="3006" spans="1:3" ht="15.75" customHeight="1" x14ac:dyDescent="0.25">
      <c r="A3006" s="1" t="s">
        <v>6599</v>
      </c>
      <c r="B3006" s="1" t="s">
        <v>6598</v>
      </c>
      <c r="C3006" s="1" t="s">
        <v>6495</v>
      </c>
    </row>
    <row r="3007" spans="1:3" ht="15.75" customHeight="1" x14ac:dyDescent="0.25">
      <c r="A3007" s="1" t="s">
        <v>6597</v>
      </c>
      <c r="B3007" s="1" t="s">
        <v>6376</v>
      </c>
      <c r="C3007" s="1" t="s">
        <v>6596</v>
      </c>
    </row>
    <row r="3008" spans="1:3" ht="15.75" customHeight="1" x14ac:dyDescent="0.25">
      <c r="A3008" s="1" t="s">
        <v>1864</v>
      </c>
      <c r="B3008" s="1" t="s">
        <v>6595</v>
      </c>
      <c r="C3008" s="1" t="s">
        <v>5824</v>
      </c>
    </row>
    <row r="3009" spans="1:3" ht="15.75" customHeight="1" x14ac:dyDescent="0.25">
      <c r="A3009" s="1" t="s">
        <v>1320</v>
      </c>
      <c r="B3009" s="1" t="s">
        <v>6594</v>
      </c>
      <c r="C3009" s="1" t="s">
        <v>6530</v>
      </c>
    </row>
    <row r="3010" spans="1:3" ht="15.75" customHeight="1" x14ac:dyDescent="0.25">
      <c r="A3010" s="1" t="s">
        <v>4096</v>
      </c>
      <c r="B3010" s="1" t="s">
        <v>6593</v>
      </c>
      <c r="C3010" s="1" t="s">
        <v>6592</v>
      </c>
    </row>
    <row r="3011" spans="1:3" ht="15.75" customHeight="1" x14ac:dyDescent="0.25">
      <c r="A3011" s="1" t="s">
        <v>6591</v>
      </c>
      <c r="B3011" s="1" t="s">
        <v>6590</v>
      </c>
      <c r="C3011" s="1" t="s">
        <v>6276</v>
      </c>
    </row>
    <row r="3012" spans="1:3" ht="15.75" customHeight="1" x14ac:dyDescent="0.25">
      <c r="A3012" s="1" t="s">
        <v>6589</v>
      </c>
      <c r="B3012" s="1" t="s">
        <v>6588</v>
      </c>
      <c r="C3012" s="1" t="s">
        <v>6507</v>
      </c>
    </row>
    <row r="3013" spans="1:3" ht="15.75" customHeight="1" x14ac:dyDescent="0.25">
      <c r="A3013" s="1" t="s">
        <v>2474</v>
      </c>
      <c r="B3013" s="1" t="s">
        <v>6587</v>
      </c>
      <c r="C3013" s="1" t="s">
        <v>6586</v>
      </c>
    </row>
    <row r="3014" spans="1:3" ht="15.75" customHeight="1" x14ac:dyDescent="0.25">
      <c r="A3014" s="1" t="s">
        <v>2118</v>
      </c>
      <c r="B3014" s="1" t="s">
        <v>6585</v>
      </c>
      <c r="C3014" s="1" t="s">
        <v>5824</v>
      </c>
    </row>
    <row r="3015" spans="1:3" ht="15.75" customHeight="1" x14ac:dyDescent="0.25">
      <c r="A3015" s="1" t="s">
        <v>3489</v>
      </c>
      <c r="B3015" s="1" t="s">
        <v>6584</v>
      </c>
      <c r="C3015" s="1" t="s">
        <v>6168</v>
      </c>
    </row>
    <row r="3016" spans="1:3" ht="15.75" customHeight="1" x14ac:dyDescent="0.25">
      <c r="A3016" s="1" t="s">
        <v>6583</v>
      </c>
      <c r="B3016" s="1" t="s">
        <v>6582</v>
      </c>
      <c r="C3016" s="1" t="s">
        <v>6242</v>
      </c>
    </row>
    <row r="3017" spans="1:3" ht="15.75" customHeight="1" x14ac:dyDescent="0.25">
      <c r="A3017" s="1" t="s">
        <v>5361</v>
      </c>
      <c r="B3017" s="1" t="s">
        <v>6581</v>
      </c>
      <c r="C3017" s="1" t="s">
        <v>5824</v>
      </c>
    </row>
    <row r="3018" spans="1:3" ht="15.75" customHeight="1" x14ac:dyDescent="0.25">
      <c r="A3018" s="1" t="s">
        <v>6580</v>
      </c>
      <c r="B3018" s="1" t="s">
        <v>6579</v>
      </c>
      <c r="C3018" s="1" t="s">
        <v>5860</v>
      </c>
    </row>
    <row r="3019" spans="1:3" ht="15.75" customHeight="1" x14ac:dyDescent="0.25">
      <c r="A3019" s="1" t="s">
        <v>6578</v>
      </c>
      <c r="B3019" s="1" t="s">
        <v>6577</v>
      </c>
      <c r="C3019" s="1" t="s">
        <v>6242</v>
      </c>
    </row>
    <row r="3020" spans="1:3" ht="15.75" customHeight="1" x14ac:dyDescent="0.25">
      <c r="A3020" s="1" t="s">
        <v>1440</v>
      </c>
      <c r="B3020" s="1" t="s">
        <v>6576</v>
      </c>
      <c r="C3020" s="1" t="s">
        <v>6575</v>
      </c>
    </row>
    <row r="3021" spans="1:3" ht="15.75" customHeight="1" x14ac:dyDescent="0.25">
      <c r="A3021" s="1" t="s">
        <v>6574</v>
      </c>
      <c r="B3021" s="1" t="s">
        <v>6573</v>
      </c>
      <c r="C3021" s="1" t="s">
        <v>5791</v>
      </c>
    </row>
    <row r="3022" spans="1:3" ht="15.75" customHeight="1" x14ac:dyDescent="0.25">
      <c r="A3022" s="1" t="s">
        <v>6572</v>
      </c>
      <c r="B3022" s="1" t="s">
        <v>6571</v>
      </c>
      <c r="C3022" s="1" t="s">
        <v>5829</v>
      </c>
    </row>
    <row r="3023" spans="1:3" ht="15.75" customHeight="1" x14ac:dyDescent="0.25">
      <c r="A3023" s="1" t="s">
        <v>6570</v>
      </c>
      <c r="B3023" s="1" t="s">
        <v>6569</v>
      </c>
      <c r="C3023" s="1" t="s">
        <v>6568</v>
      </c>
    </row>
    <row r="3024" spans="1:3" ht="15.75" customHeight="1" x14ac:dyDescent="0.25">
      <c r="A3024" s="1" t="s">
        <v>6567</v>
      </c>
      <c r="B3024" s="1" t="s">
        <v>6566</v>
      </c>
      <c r="C3024" s="1" t="s">
        <v>6242</v>
      </c>
    </row>
    <row r="3025" spans="1:3" ht="15.75" customHeight="1" x14ac:dyDescent="0.25">
      <c r="A3025" s="1" t="s">
        <v>6565</v>
      </c>
      <c r="B3025" s="1" t="s">
        <v>6564</v>
      </c>
      <c r="C3025" s="1" t="s">
        <v>5791</v>
      </c>
    </row>
    <row r="3026" spans="1:3" ht="15.75" customHeight="1" x14ac:dyDescent="0.25">
      <c r="A3026" s="1" t="s">
        <v>6563</v>
      </c>
      <c r="B3026" s="1" t="s">
        <v>6562</v>
      </c>
      <c r="C3026" s="1" t="s">
        <v>6242</v>
      </c>
    </row>
    <row r="3027" spans="1:3" ht="15.75" customHeight="1" x14ac:dyDescent="0.25">
      <c r="A3027" s="1" t="s">
        <v>6561</v>
      </c>
      <c r="B3027" s="1" t="s">
        <v>6560</v>
      </c>
      <c r="C3027" s="1" t="s">
        <v>5791</v>
      </c>
    </row>
    <row r="3028" spans="1:3" ht="15.75" customHeight="1" x14ac:dyDescent="0.25">
      <c r="A3028" s="1" t="s">
        <v>6559</v>
      </c>
      <c r="B3028" s="1" t="s">
        <v>6558</v>
      </c>
      <c r="C3028" s="1" t="s">
        <v>5791</v>
      </c>
    </row>
    <row r="3029" spans="1:3" ht="15.75" customHeight="1" x14ac:dyDescent="0.25">
      <c r="A3029" s="1" t="s">
        <v>6557</v>
      </c>
      <c r="B3029" s="1" t="s">
        <v>6556</v>
      </c>
      <c r="C3029" s="1" t="s">
        <v>5811</v>
      </c>
    </row>
    <row r="3030" spans="1:3" ht="15.75" customHeight="1" x14ac:dyDescent="0.25">
      <c r="A3030" s="1" t="s">
        <v>6555</v>
      </c>
      <c r="B3030" s="1" t="s">
        <v>6554</v>
      </c>
      <c r="C3030" s="1" t="s">
        <v>6242</v>
      </c>
    </row>
    <row r="3031" spans="1:3" ht="15.75" customHeight="1" x14ac:dyDescent="0.25">
      <c r="A3031" s="1" t="s">
        <v>6553</v>
      </c>
      <c r="B3031" s="1" t="s">
        <v>6552</v>
      </c>
      <c r="C3031" s="1" t="s">
        <v>5805</v>
      </c>
    </row>
    <row r="3032" spans="1:3" ht="15.75" customHeight="1" x14ac:dyDescent="0.25">
      <c r="A3032" s="1" t="s">
        <v>3110</v>
      </c>
      <c r="B3032" s="1" t="s">
        <v>6551</v>
      </c>
      <c r="C3032" s="1" t="s">
        <v>5914</v>
      </c>
    </row>
    <row r="3033" spans="1:3" ht="15.75" customHeight="1" x14ac:dyDescent="0.25">
      <c r="A3033" s="1" t="s">
        <v>6550</v>
      </c>
      <c r="B3033" s="1" t="s">
        <v>6549</v>
      </c>
      <c r="C3033" s="1" t="s">
        <v>6276</v>
      </c>
    </row>
    <row r="3034" spans="1:3" ht="15.75" customHeight="1" x14ac:dyDescent="0.25">
      <c r="A3034" s="1" t="s">
        <v>6548</v>
      </c>
      <c r="B3034" s="1" t="s">
        <v>6547</v>
      </c>
      <c r="C3034" s="1" t="s">
        <v>6546</v>
      </c>
    </row>
    <row r="3035" spans="1:3" ht="15.75" customHeight="1" x14ac:dyDescent="0.25">
      <c r="A3035" s="1" t="s">
        <v>5339</v>
      </c>
      <c r="B3035" s="1" t="s">
        <v>6545</v>
      </c>
      <c r="C3035" s="1" t="s">
        <v>5796</v>
      </c>
    </row>
    <row r="3036" spans="1:3" ht="15.75" customHeight="1" x14ac:dyDescent="0.25">
      <c r="A3036" s="1" t="s">
        <v>6544</v>
      </c>
      <c r="B3036" s="1" t="s">
        <v>6543</v>
      </c>
      <c r="C3036" s="1" t="s">
        <v>6542</v>
      </c>
    </row>
    <row r="3037" spans="1:3" ht="15.75" customHeight="1" x14ac:dyDescent="0.25">
      <c r="A3037" s="1" t="s">
        <v>6541</v>
      </c>
      <c r="B3037" s="1" t="s">
        <v>6540</v>
      </c>
      <c r="C3037" s="1" t="s">
        <v>5791</v>
      </c>
    </row>
    <row r="3038" spans="1:3" ht="15.75" customHeight="1" x14ac:dyDescent="0.25">
      <c r="A3038" s="1" t="s">
        <v>2436</v>
      </c>
      <c r="B3038" s="1" t="s">
        <v>6539</v>
      </c>
      <c r="C3038" s="1" t="s">
        <v>5824</v>
      </c>
    </row>
    <row r="3039" spans="1:3" ht="15.75" customHeight="1" x14ac:dyDescent="0.25">
      <c r="A3039" s="1" t="s">
        <v>1403</v>
      </c>
      <c r="B3039" s="1" t="s">
        <v>6538</v>
      </c>
      <c r="C3039" s="1" t="s">
        <v>6242</v>
      </c>
    </row>
    <row r="3040" spans="1:3" ht="15.75" customHeight="1" x14ac:dyDescent="0.25">
      <c r="A3040" s="1" t="s">
        <v>6537</v>
      </c>
      <c r="B3040" s="1" t="s">
        <v>6536</v>
      </c>
      <c r="C3040" s="1" t="s">
        <v>6535</v>
      </c>
    </row>
    <row r="3041" spans="1:3" ht="15.75" customHeight="1" x14ac:dyDescent="0.25">
      <c r="A3041" s="1" t="s">
        <v>4806</v>
      </c>
      <c r="B3041" s="1" t="s">
        <v>6534</v>
      </c>
      <c r="C3041" s="1" t="s">
        <v>6533</v>
      </c>
    </row>
    <row r="3042" spans="1:3" ht="15.75" customHeight="1" x14ac:dyDescent="0.25">
      <c r="A3042" s="1" t="s">
        <v>6532</v>
      </c>
      <c r="B3042" s="1" t="s">
        <v>6531</v>
      </c>
      <c r="C3042" s="1" t="s">
        <v>6530</v>
      </c>
    </row>
    <row r="3043" spans="1:3" ht="15.75" customHeight="1" x14ac:dyDescent="0.25">
      <c r="A3043" s="1" t="s">
        <v>6529</v>
      </c>
      <c r="B3043" s="1" t="s">
        <v>6528</v>
      </c>
      <c r="C3043" s="1" t="s">
        <v>6242</v>
      </c>
    </row>
    <row r="3044" spans="1:3" ht="15.75" customHeight="1" x14ac:dyDescent="0.25">
      <c r="A3044" s="1" t="s">
        <v>6527</v>
      </c>
      <c r="B3044" s="1" t="s">
        <v>6526</v>
      </c>
      <c r="C3044" s="1" t="s">
        <v>5811</v>
      </c>
    </row>
    <row r="3045" spans="1:3" ht="15.75" customHeight="1" x14ac:dyDescent="0.25">
      <c r="A3045" s="1" t="s">
        <v>1244</v>
      </c>
      <c r="B3045" s="1" t="s">
        <v>6525</v>
      </c>
      <c r="C3045" s="1" t="s">
        <v>6524</v>
      </c>
    </row>
    <row r="3046" spans="1:3" ht="15.75" customHeight="1" x14ac:dyDescent="0.25">
      <c r="A3046" s="1" t="s">
        <v>6523</v>
      </c>
      <c r="B3046" s="1" t="s">
        <v>6522</v>
      </c>
      <c r="C3046" s="1" t="s">
        <v>6486</v>
      </c>
    </row>
    <row r="3047" spans="1:3" ht="15.75" customHeight="1" x14ac:dyDescent="0.25">
      <c r="A3047" s="1" t="s">
        <v>6521</v>
      </c>
      <c r="B3047" s="1" t="s">
        <v>6520</v>
      </c>
      <c r="C3047" s="1" t="s">
        <v>6125</v>
      </c>
    </row>
    <row r="3048" spans="1:3" ht="15.75" customHeight="1" x14ac:dyDescent="0.25">
      <c r="A3048" s="1" t="s">
        <v>1069</v>
      </c>
      <c r="B3048" s="1" t="s">
        <v>6519</v>
      </c>
      <c r="C3048" s="1" t="s">
        <v>5824</v>
      </c>
    </row>
    <row r="3049" spans="1:3" ht="15.75" customHeight="1" x14ac:dyDescent="0.25">
      <c r="A3049" s="1" t="s">
        <v>6518</v>
      </c>
      <c r="B3049" s="1" t="s">
        <v>6517</v>
      </c>
      <c r="C3049" s="1" t="s">
        <v>6516</v>
      </c>
    </row>
    <row r="3050" spans="1:3" ht="15.75" customHeight="1" x14ac:dyDescent="0.25">
      <c r="A3050" s="1" t="s">
        <v>6515</v>
      </c>
      <c r="B3050" s="1" t="s">
        <v>6514</v>
      </c>
      <c r="C3050" s="1" t="s">
        <v>6507</v>
      </c>
    </row>
    <row r="3051" spans="1:3" ht="15.75" customHeight="1" x14ac:dyDescent="0.25">
      <c r="A3051" s="1" t="s">
        <v>6513</v>
      </c>
      <c r="B3051" s="1" t="s">
        <v>6512</v>
      </c>
      <c r="C3051" s="1" t="s">
        <v>6242</v>
      </c>
    </row>
    <row r="3052" spans="1:3" ht="15.75" customHeight="1" x14ac:dyDescent="0.25">
      <c r="A3052" s="1" t="s">
        <v>6511</v>
      </c>
      <c r="B3052" s="1" t="s">
        <v>6510</v>
      </c>
      <c r="C3052" s="1" t="s">
        <v>6242</v>
      </c>
    </row>
    <row r="3053" spans="1:3" ht="15.75" customHeight="1" x14ac:dyDescent="0.25">
      <c r="A3053" s="1" t="s">
        <v>6509</v>
      </c>
      <c r="B3053" s="1" t="s">
        <v>6508</v>
      </c>
      <c r="C3053" s="1" t="s">
        <v>6507</v>
      </c>
    </row>
    <row r="3054" spans="1:3" ht="15.75" customHeight="1" x14ac:dyDescent="0.25">
      <c r="A3054" s="1" t="s">
        <v>6506</v>
      </c>
      <c r="B3054" s="1" t="s">
        <v>6505</v>
      </c>
      <c r="C3054" s="1" t="s">
        <v>5791</v>
      </c>
    </row>
    <row r="3055" spans="1:3" ht="15.75" customHeight="1" x14ac:dyDescent="0.25">
      <c r="A3055" s="1" t="s">
        <v>6504</v>
      </c>
      <c r="B3055" s="1" t="s">
        <v>6503</v>
      </c>
      <c r="C3055" s="1" t="s">
        <v>6479</v>
      </c>
    </row>
    <row r="3056" spans="1:3" ht="15.75" customHeight="1" x14ac:dyDescent="0.25">
      <c r="A3056" s="1" t="s">
        <v>6502</v>
      </c>
      <c r="B3056" s="1" t="s">
        <v>6496</v>
      </c>
      <c r="C3056" s="1" t="s">
        <v>6486</v>
      </c>
    </row>
    <row r="3057" spans="1:3" ht="15.75" customHeight="1" x14ac:dyDescent="0.25">
      <c r="A3057" s="1" t="s">
        <v>18</v>
      </c>
      <c r="B3057" s="1" t="s">
        <v>6501</v>
      </c>
      <c r="C3057" s="1" t="s">
        <v>5796</v>
      </c>
    </row>
    <row r="3058" spans="1:3" ht="15.75" customHeight="1" x14ac:dyDescent="0.25">
      <c r="A3058" s="1" t="s">
        <v>6500</v>
      </c>
      <c r="B3058" s="1" t="s">
        <v>6499</v>
      </c>
      <c r="C3058" s="1" t="s">
        <v>5829</v>
      </c>
    </row>
    <row r="3059" spans="1:3" ht="15.75" customHeight="1" x14ac:dyDescent="0.25">
      <c r="A3059" s="1" t="s">
        <v>4122</v>
      </c>
      <c r="B3059" s="1" t="s">
        <v>6498</v>
      </c>
      <c r="C3059" s="1" t="s">
        <v>5796</v>
      </c>
    </row>
    <row r="3060" spans="1:3" ht="15.75" customHeight="1" x14ac:dyDescent="0.25">
      <c r="A3060" s="1" t="s">
        <v>6497</v>
      </c>
      <c r="B3060" s="1" t="s">
        <v>6496</v>
      </c>
      <c r="C3060" s="1" t="s">
        <v>6495</v>
      </c>
    </row>
    <row r="3061" spans="1:3" ht="15.75" customHeight="1" x14ac:dyDescent="0.25">
      <c r="A3061" s="1" t="s">
        <v>2661</v>
      </c>
      <c r="B3061" s="1" t="s">
        <v>6494</v>
      </c>
      <c r="C3061" s="1" t="s">
        <v>6493</v>
      </c>
    </row>
    <row r="3062" spans="1:3" ht="15.75" customHeight="1" x14ac:dyDescent="0.25">
      <c r="A3062" s="1" t="s">
        <v>6492</v>
      </c>
      <c r="B3062" s="1" t="s">
        <v>6491</v>
      </c>
      <c r="C3062" s="1" t="s">
        <v>5791</v>
      </c>
    </row>
    <row r="3063" spans="1:3" ht="15.75" customHeight="1" x14ac:dyDescent="0.25">
      <c r="A3063" s="1" t="s">
        <v>6490</v>
      </c>
      <c r="B3063" s="1" t="s">
        <v>6489</v>
      </c>
      <c r="C3063" s="1" t="s">
        <v>5853</v>
      </c>
    </row>
    <row r="3064" spans="1:3" ht="15.75" customHeight="1" x14ac:dyDescent="0.25">
      <c r="A3064" s="1" t="s">
        <v>6488</v>
      </c>
      <c r="B3064" s="1" t="s">
        <v>6487</v>
      </c>
      <c r="C3064" s="1" t="s">
        <v>6486</v>
      </c>
    </row>
    <row r="3065" spans="1:3" ht="15.75" customHeight="1" x14ac:dyDescent="0.25">
      <c r="A3065" s="1" t="s">
        <v>6485</v>
      </c>
      <c r="B3065" s="1" t="s">
        <v>6484</v>
      </c>
      <c r="C3065" s="1" t="s">
        <v>6242</v>
      </c>
    </row>
    <row r="3066" spans="1:3" ht="15.75" customHeight="1" x14ac:dyDescent="0.25">
      <c r="A3066" s="1" t="s">
        <v>6483</v>
      </c>
      <c r="B3066" s="1" t="s">
        <v>6482</v>
      </c>
      <c r="C3066" s="1" t="s">
        <v>6242</v>
      </c>
    </row>
    <row r="3067" spans="1:3" ht="15.75" customHeight="1" x14ac:dyDescent="0.25">
      <c r="A3067" s="1" t="s">
        <v>3358</v>
      </c>
      <c r="B3067" s="1" t="s">
        <v>6481</v>
      </c>
      <c r="C3067" s="1" t="s">
        <v>5796</v>
      </c>
    </row>
    <row r="3068" spans="1:3" ht="15.75" customHeight="1" x14ac:dyDescent="0.25">
      <c r="A3068" s="1" t="s">
        <v>2382</v>
      </c>
      <c r="B3068" s="1" t="s">
        <v>6480</v>
      </c>
      <c r="C3068" s="1" t="s">
        <v>6479</v>
      </c>
    </row>
    <row r="3069" spans="1:3" ht="15.75" customHeight="1" x14ac:dyDescent="0.25">
      <c r="A3069" s="1" t="s">
        <v>6478</v>
      </c>
      <c r="B3069" s="1" t="s">
        <v>6477</v>
      </c>
      <c r="C3069" s="1" t="s">
        <v>5829</v>
      </c>
    </row>
    <row r="3070" spans="1:3" ht="15.75" customHeight="1" x14ac:dyDescent="0.25">
      <c r="A3070" s="1" t="s">
        <v>6476</v>
      </c>
      <c r="B3070" s="1" t="s">
        <v>6475</v>
      </c>
      <c r="C3070" s="1" t="s">
        <v>6474</v>
      </c>
    </row>
    <row r="3071" spans="1:3" ht="15.75" customHeight="1" x14ac:dyDescent="0.25">
      <c r="A3071" s="1" t="s">
        <v>6473</v>
      </c>
      <c r="B3071" s="1" t="s">
        <v>5936</v>
      </c>
      <c r="C3071" s="1" t="s">
        <v>6426</v>
      </c>
    </row>
    <row r="3072" spans="1:3" ht="15.75" customHeight="1" x14ac:dyDescent="0.25">
      <c r="A3072" s="1" t="s">
        <v>6472</v>
      </c>
      <c r="B3072" s="1" t="s">
        <v>6471</v>
      </c>
      <c r="C3072" s="1" t="s">
        <v>5896</v>
      </c>
    </row>
    <row r="3073" spans="1:3" ht="15.75" customHeight="1" x14ac:dyDescent="0.25">
      <c r="A3073" s="1" t="s">
        <v>6470</v>
      </c>
      <c r="B3073" s="1" t="s">
        <v>6469</v>
      </c>
      <c r="C3073" s="1" t="s">
        <v>6468</v>
      </c>
    </row>
    <row r="3074" spans="1:3" ht="15.75" customHeight="1" x14ac:dyDescent="0.25">
      <c r="A3074" s="1" t="s">
        <v>6467</v>
      </c>
      <c r="B3074" s="1" t="s">
        <v>6466</v>
      </c>
      <c r="C3074" s="1" t="s">
        <v>6252</v>
      </c>
    </row>
    <row r="3075" spans="1:3" ht="15.75" customHeight="1" x14ac:dyDescent="0.25">
      <c r="A3075" s="1" t="s">
        <v>6465</v>
      </c>
      <c r="B3075" s="1" t="s">
        <v>5994</v>
      </c>
      <c r="C3075" s="1" t="s">
        <v>6464</v>
      </c>
    </row>
    <row r="3076" spans="1:3" ht="15.75" customHeight="1" x14ac:dyDescent="0.25">
      <c r="A3076" s="1" t="s">
        <v>6463</v>
      </c>
      <c r="B3076" s="1" t="s">
        <v>6462</v>
      </c>
      <c r="C3076" s="1" t="s">
        <v>6342</v>
      </c>
    </row>
    <row r="3077" spans="1:3" ht="15.75" customHeight="1" x14ac:dyDescent="0.25">
      <c r="A3077" s="1" t="s">
        <v>1258</v>
      </c>
      <c r="B3077" s="1" t="s">
        <v>6461</v>
      </c>
      <c r="C3077" s="1" t="s">
        <v>5805</v>
      </c>
    </row>
    <row r="3078" spans="1:3" ht="15.75" customHeight="1" x14ac:dyDescent="0.25">
      <c r="A3078" s="1" t="s">
        <v>6460</v>
      </c>
      <c r="B3078" s="1" t="s">
        <v>6459</v>
      </c>
      <c r="C3078" s="1" t="s">
        <v>5805</v>
      </c>
    </row>
    <row r="3079" spans="1:3" ht="15.75" customHeight="1" x14ac:dyDescent="0.25">
      <c r="A3079" s="1" t="s">
        <v>6458</v>
      </c>
      <c r="B3079" s="1" t="s">
        <v>6457</v>
      </c>
      <c r="C3079" s="1" t="s">
        <v>6456</v>
      </c>
    </row>
    <row r="3080" spans="1:3" ht="15.75" customHeight="1" x14ac:dyDescent="0.25">
      <c r="A3080" s="1" t="s">
        <v>6455</v>
      </c>
      <c r="B3080" s="1" t="s">
        <v>6454</v>
      </c>
      <c r="C3080" s="1" t="s">
        <v>6290</v>
      </c>
    </row>
    <row r="3081" spans="1:3" ht="15.75" customHeight="1" x14ac:dyDescent="0.25">
      <c r="A3081" s="1" t="s">
        <v>6453</v>
      </c>
      <c r="B3081" s="1" t="s">
        <v>6452</v>
      </c>
      <c r="C3081" s="1" t="s">
        <v>5805</v>
      </c>
    </row>
    <row r="3082" spans="1:3" ht="15.75" customHeight="1" x14ac:dyDescent="0.25">
      <c r="A3082" s="1" t="s">
        <v>6451</v>
      </c>
      <c r="B3082" s="1" t="s">
        <v>6450</v>
      </c>
      <c r="C3082" s="1" t="s">
        <v>6282</v>
      </c>
    </row>
    <row r="3083" spans="1:3" ht="15.75" customHeight="1" x14ac:dyDescent="0.25">
      <c r="A3083" s="1" t="s">
        <v>6449</v>
      </c>
      <c r="B3083" s="1" t="s">
        <v>6163</v>
      </c>
      <c r="C3083" s="1" t="s">
        <v>6290</v>
      </c>
    </row>
    <row r="3084" spans="1:3" ht="15.75" customHeight="1" x14ac:dyDescent="0.25">
      <c r="A3084" s="1" t="s">
        <v>6448</v>
      </c>
      <c r="B3084" s="1" t="s">
        <v>6141</v>
      </c>
      <c r="C3084" s="1" t="s">
        <v>6326</v>
      </c>
    </row>
    <row r="3085" spans="1:3" ht="15.75" customHeight="1" x14ac:dyDescent="0.25">
      <c r="A3085" s="1" t="s">
        <v>6447</v>
      </c>
      <c r="B3085" s="1" t="s">
        <v>6446</v>
      </c>
      <c r="C3085" s="1" t="s">
        <v>6250</v>
      </c>
    </row>
    <row r="3086" spans="1:3" ht="15.75" customHeight="1" x14ac:dyDescent="0.25">
      <c r="A3086" s="1" t="s">
        <v>6445</v>
      </c>
      <c r="B3086" s="1" t="s">
        <v>6444</v>
      </c>
      <c r="C3086" s="1" t="s">
        <v>6290</v>
      </c>
    </row>
    <row r="3087" spans="1:3" ht="15.75" customHeight="1" x14ac:dyDescent="0.25">
      <c r="A3087" s="1" t="s">
        <v>6443</v>
      </c>
      <c r="B3087" s="1" t="s">
        <v>6442</v>
      </c>
      <c r="C3087" s="1" t="s">
        <v>6290</v>
      </c>
    </row>
    <row r="3088" spans="1:3" ht="15.75" customHeight="1" x14ac:dyDescent="0.25">
      <c r="A3088" s="1" t="s">
        <v>6441</v>
      </c>
      <c r="B3088" s="1" t="s">
        <v>6044</v>
      </c>
      <c r="C3088" s="1" t="s">
        <v>6342</v>
      </c>
    </row>
    <row r="3089" spans="1:3" ht="15.75" customHeight="1" x14ac:dyDescent="0.25">
      <c r="A3089" s="1" t="s">
        <v>6440</v>
      </c>
      <c r="B3089" s="1" t="s">
        <v>5952</v>
      </c>
      <c r="C3089" s="1" t="s">
        <v>6252</v>
      </c>
    </row>
    <row r="3090" spans="1:3" ht="15.75" customHeight="1" x14ac:dyDescent="0.25">
      <c r="A3090" s="1" t="s">
        <v>6439</v>
      </c>
      <c r="B3090" s="1" t="s">
        <v>6075</v>
      </c>
      <c r="C3090" s="1" t="s">
        <v>6252</v>
      </c>
    </row>
    <row r="3091" spans="1:3" ht="15.75" customHeight="1" x14ac:dyDescent="0.25">
      <c r="A3091" s="1" t="s">
        <v>6438</v>
      </c>
      <c r="B3091" s="1" t="s">
        <v>6437</v>
      </c>
      <c r="C3091" s="1" t="s">
        <v>6290</v>
      </c>
    </row>
    <row r="3092" spans="1:3" ht="15.75" customHeight="1" x14ac:dyDescent="0.25">
      <c r="A3092" s="1" t="s">
        <v>6436</v>
      </c>
      <c r="B3092" s="1" t="s">
        <v>5954</v>
      </c>
      <c r="C3092" s="1" t="s">
        <v>6306</v>
      </c>
    </row>
    <row r="3093" spans="1:3" ht="15.75" customHeight="1" x14ac:dyDescent="0.25">
      <c r="A3093" s="1" t="s">
        <v>6435</v>
      </c>
      <c r="B3093" s="1" t="s">
        <v>6060</v>
      </c>
      <c r="C3093" s="1" t="s">
        <v>6306</v>
      </c>
    </row>
    <row r="3094" spans="1:3" ht="15.75" customHeight="1" x14ac:dyDescent="0.25">
      <c r="A3094" s="1" t="s">
        <v>6434</v>
      </c>
      <c r="B3094" s="1" t="s">
        <v>5927</v>
      </c>
      <c r="C3094" s="1" t="s">
        <v>6252</v>
      </c>
    </row>
    <row r="3095" spans="1:3" ht="15.75" customHeight="1" x14ac:dyDescent="0.25">
      <c r="A3095" s="1" t="s">
        <v>6433</v>
      </c>
      <c r="B3095" s="1" t="s">
        <v>6023</v>
      </c>
      <c r="C3095" s="1" t="s">
        <v>6252</v>
      </c>
    </row>
    <row r="3096" spans="1:3" ht="15.75" customHeight="1" x14ac:dyDescent="0.25">
      <c r="A3096" s="1" t="s">
        <v>6432</v>
      </c>
      <c r="B3096" s="1" t="s">
        <v>6049</v>
      </c>
      <c r="C3096" s="1" t="s">
        <v>6426</v>
      </c>
    </row>
    <row r="3097" spans="1:3" ht="15.75" customHeight="1" x14ac:dyDescent="0.25">
      <c r="A3097" s="1" t="s">
        <v>6431</v>
      </c>
      <c r="B3097" s="1" t="s">
        <v>5980</v>
      </c>
      <c r="C3097" s="1" t="s">
        <v>6306</v>
      </c>
    </row>
    <row r="3098" spans="1:3" ht="15.75" customHeight="1" x14ac:dyDescent="0.25">
      <c r="A3098" s="1" t="s">
        <v>6430</v>
      </c>
      <c r="B3098" s="1" t="s">
        <v>6048</v>
      </c>
      <c r="C3098" s="1" t="s">
        <v>6252</v>
      </c>
    </row>
    <row r="3099" spans="1:3" ht="15.75" customHeight="1" x14ac:dyDescent="0.25">
      <c r="A3099" s="1" t="s">
        <v>6429</v>
      </c>
      <c r="B3099" s="1" t="s">
        <v>6428</v>
      </c>
      <c r="C3099" s="1" t="s">
        <v>6290</v>
      </c>
    </row>
    <row r="3100" spans="1:3" ht="15.75" customHeight="1" x14ac:dyDescent="0.25">
      <c r="A3100" s="1" t="s">
        <v>6427</v>
      </c>
      <c r="B3100" s="1" t="s">
        <v>5976</v>
      </c>
      <c r="C3100" s="1" t="s">
        <v>6426</v>
      </c>
    </row>
    <row r="3101" spans="1:3" ht="15.75" customHeight="1" x14ac:dyDescent="0.25">
      <c r="A3101" s="1" t="s">
        <v>6425</v>
      </c>
      <c r="B3101" s="1" t="s">
        <v>6167</v>
      </c>
      <c r="C3101" s="1" t="s">
        <v>6252</v>
      </c>
    </row>
    <row r="3102" spans="1:3" ht="15.75" customHeight="1" x14ac:dyDescent="0.25">
      <c r="A3102" s="1" t="s">
        <v>6424</v>
      </c>
      <c r="B3102" s="1" t="s">
        <v>6423</v>
      </c>
      <c r="C3102" s="1" t="s">
        <v>6306</v>
      </c>
    </row>
    <row r="3103" spans="1:3" ht="15.75" customHeight="1" x14ac:dyDescent="0.25">
      <c r="A3103" s="1" t="s">
        <v>6422</v>
      </c>
      <c r="B3103" s="1" t="s">
        <v>6421</v>
      </c>
      <c r="C3103" s="1" t="s">
        <v>6306</v>
      </c>
    </row>
    <row r="3104" spans="1:3" ht="15.75" customHeight="1" x14ac:dyDescent="0.25">
      <c r="A3104" s="1" t="s">
        <v>6420</v>
      </c>
      <c r="B3104" s="1" t="s">
        <v>6419</v>
      </c>
      <c r="C3104" s="1" t="s">
        <v>6418</v>
      </c>
    </row>
    <row r="3105" spans="1:3" ht="15.75" customHeight="1" x14ac:dyDescent="0.25">
      <c r="A3105" s="1" t="s">
        <v>6417</v>
      </c>
      <c r="B3105" s="1" t="s">
        <v>6416</v>
      </c>
      <c r="C3105" s="1" t="s">
        <v>6290</v>
      </c>
    </row>
    <row r="3106" spans="1:3" ht="15.75" customHeight="1" x14ac:dyDescent="0.25">
      <c r="A3106" s="1" t="s">
        <v>6415</v>
      </c>
      <c r="B3106" s="1" t="s">
        <v>6414</v>
      </c>
      <c r="C3106" s="1" t="s">
        <v>6290</v>
      </c>
    </row>
    <row r="3107" spans="1:3" ht="15.75" customHeight="1" x14ac:dyDescent="0.25">
      <c r="A3107" s="1" t="s">
        <v>6413</v>
      </c>
      <c r="B3107" s="1" t="s">
        <v>6412</v>
      </c>
      <c r="C3107" s="1" t="s">
        <v>6411</v>
      </c>
    </row>
    <row r="3108" spans="1:3" ht="15.75" customHeight="1" x14ac:dyDescent="0.25">
      <c r="A3108" s="1" t="s">
        <v>6410</v>
      </c>
      <c r="B3108" s="1" t="s">
        <v>6409</v>
      </c>
      <c r="C3108" s="1" t="s">
        <v>6342</v>
      </c>
    </row>
    <row r="3109" spans="1:3" ht="15.75" customHeight="1" x14ac:dyDescent="0.25">
      <c r="A3109" s="1" t="s">
        <v>6408</v>
      </c>
      <c r="B3109" s="1" t="s">
        <v>6407</v>
      </c>
      <c r="C3109" s="1" t="s">
        <v>6342</v>
      </c>
    </row>
    <row r="3110" spans="1:3" ht="15.75" customHeight="1" x14ac:dyDescent="0.25">
      <c r="A3110" s="1" t="s">
        <v>6406</v>
      </c>
      <c r="B3110" s="1" t="s">
        <v>6405</v>
      </c>
      <c r="C3110" s="1" t="s">
        <v>6290</v>
      </c>
    </row>
    <row r="3111" spans="1:3" ht="15.75" customHeight="1" x14ac:dyDescent="0.25">
      <c r="A3111" s="1" t="s">
        <v>6404</v>
      </c>
      <c r="B3111" s="1" t="s">
        <v>6403</v>
      </c>
      <c r="C3111" s="1" t="s">
        <v>6290</v>
      </c>
    </row>
    <row r="3112" spans="1:3" ht="15.75" customHeight="1" x14ac:dyDescent="0.25">
      <c r="A3112" s="1" t="s">
        <v>6402</v>
      </c>
      <c r="B3112" s="1" t="s">
        <v>6401</v>
      </c>
      <c r="C3112" s="1" t="s">
        <v>6290</v>
      </c>
    </row>
    <row r="3113" spans="1:3" ht="15.75" customHeight="1" x14ac:dyDescent="0.25">
      <c r="A3113" s="1" t="s">
        <v>6400</v>
      </c>
      <c r="B3113" s="1" t="s">
        <v>6399</v>
      </c>
      <c r="C3113" s="1" t="s">
        <v>6290</v>
      </c>
    </row>
    <row r="3114" spans="1:3" ht="15.75" customHeight="1" x14ac:dyDescent="0.25">
      <c r="A3114" s="1" t="s">
        <v>6398</v>
      </c>
      <c r="B3114" s="1" t="s">
        <v>6397</v>
      </c>
      <c r="C3114" s="1" t="s">
        <v>6306</v>
      </c>
    </row>
    <row r="3115" spans="1:3" ht="15.75" customHeight="1" x14ac:dyDescent="0.25">
      <c r="A3115" s="1" t="s">
        <v>2970</v>
      </c>
      <c r="B3115" s="1" t="s">
        <v>6396</v>
      </c>
      <c r="C3115" s="1" t="s">
        <v>5796</v>
      </c>
    </row>
    <row r="3116" spans="1:3" ht="15.75" customHeight="1" x14ac:dyDescent="0.25">
      <c r="A3116" s="1" t="s">
        <v>6395</v>
      </c>
      <c r="B3116" s="1" t="s">
        <v>6394</v>
      </c>
      <c r="C3116" s="1" t="s">
        <v>6290</v>
      </c>
    </row>
    <row r="3117" spans="1:3" ht="15.75" customHeight="1" x14ac:dyDescent="0.25">
      <c r="A3117" s="1" t="s">
        <v>6393</v>
      </c>
      <c r="B3117" s="1" t="s">
        <v>6392</v>
      </c>
      <c r="C3117" s="1" t="s">
        <v>6391</v>
      </c>
    </row>
    <row r="3118" spans="1:3" ht="15.75" customHeight="1" x14ac:dyDescent="0.25">
      <c r="A3118" s="1" t="s">
        <v>6390</v>
      </c>
      <c r="B3118" s="1" t="s">
        <v>6389</v>
      </c>
      <c r="C3118" s="1" t="s">
        <v>6252</v>
      </c>
    </row>
    <row r="3119" spans="1:3" ht="15.75" customHeight="1" x14ac:dyDescent="0.25">
      <c r="A3119" s="1" t="s">
        <v>6388</v>
      </c>
      <c r="B3119" s="1" t="s">
        <v>6387</v>
      </c>
      <c r="C3119" s="1" t="s">
        <v>5853</v>
      </c>
    </row>
    <row r="3120" spans="1:3" ht="15.75" customHeight="1" x14ac:dyDescent="0.25">
      <c r="A3120" s="1" t="s">
        <v>6386</v>
      </c>
      <c r="B3120" s="1" t="s">
        <v>6052</v>
      </c>
      <c r="C3120" s="1" t="s">
        <v>6385</v>
      </c>
    </row>
    <row r="3121" spans="1:3" ht="15.75" customHeight="1" x14ac:dyDescent="0.25">
      <c r="A3121" s="1" t="s">
        <v>6384</v>
      </c>
      <c r="B3121" s="1" t="s">
        <v>6383</v>
      </c>
      <c r="C3121" s="1" t="s">
        <v>6252</v>
      </c>
    </row>
    <row r="3122" spans="1:3" ht="15.75" customHeight="1" x14ac:dyDescent="0.25">
      <c r="A3122" s="1" t="s">
        <v>6382</v>
      </c>
      <c r="B3122" s="1" t="s">
        <v>6381</v>
      </c>
      <c r="C3122" s="1" t="s">
        <v>6290</v>
      </c>
    </row>
    <row r="3123" spans="1:3" ht="15.75" customHeight="1" x14ac:dyDescent="0.25">
      <c r="A3123" s="1" t="s">
        <v>1215</v>
      </c>
      <c r="B3123" s="1" t="s">
        <v>6380</v>
      </c>
      <c r="C3123" s="1" t="s">
        <v>5802</v>
      </c>
    </row>
    <row r="3124" spans="1:3" ht="15.75" customHeight="1" x14ac:dyDescent="0.25">
      <c r="A3124" s="1" t="s">
        <v>6379</v>
      </c>
      <c r="B3124" s="1" t="s">
        <v>6378</v>
      </c>
      <c r="C3124" s="1" t="s">
        <v>5805</v>
      </c>
    </row>
    <row r="3125" spans="1:3" ht="15.75" customHeight="1" x14ac:dyDescent="0.25">
      <c r="A3125" s="1" t="s">
        <v>6377</v>
      </c>
      <c r="B3125" s="1" t="s">
        <v>6376</v>
      </c>
      <c r="C3125" s="1" t="s">
        <v>6375</v>
      </c>
    </row>
    <row r="3126" spans="1:3" ht="15.75" customHeight="1" x14ac:dyDescent="0.25">
      <c r="A3126" s="1" t="s">
        <v>6374</v>
      </c>
      <c r="B3126" s="1" t="s">
        <v>6373</v>
      </c>
      <c r="C3126" s="1" t="s">
        <v>6252</v>
      </c>
    </row>
    <row r="3127" spans="1:3" ht="15.75" customHeight="1" x14ac:dyDescent="0.25">
      <c r="A3127" s="1" t="s">
        <v>6372</v>
      </c>
      <c r="B3127" s="1" t="s">
        <v>6371</v>
      </c>
      <c r="C3127" s="1" t="s">
        <v>6306</v>
      </c>
    </row>
    <row r="3128" spans="1:3" ht="15.75" customHeight="1" x14ac:dyDescent="0.25">
      <c r="A3128" s="1" t="s">
        <v>6370</v>
      </c>
      <c r="B3128" s="1" t="s">
        <v>6369</v>
      </c>
      <c r="C3128" s="1" t="s">
        <v>6252</v>
      </c>
    </row>
    <row r="3129" spans="1:3" ht="15.75" customHeight="1" x14ac:dyDescent="0.25">
      <c r="A3129" s="1" t="s">
        <v>6368</v>
      </c>
      <c r="B3129" s="1" t="s">
        <v>6367</v>
      </c>
      <c r="C3129" s="1" t="s">
        <v>6252</v>
      </c>
    </row>
    <row r="3130" spans="1:3" ht="15.75" customHeight="1" x14ac:dyDescent="0.25">
      <c r="A3130" s="1" t="s">
        <v>3842</v>
      </c>
      <c r="B3130" s="1" t="s">
        <v>6366</v>
      </c>
      <c r="C3130" s="1" t="s">
        <v>5796</v>
      </c>
    </row>
    <row r="3131" spans="1:3" ht="15.75" customHeight="1" x14ac:dyDescent="0.25">
      <c r="A3131" s="1" t="s">
        <v>6365</v>
      </c>
      <c r="B3131" s="1" t="s">
        <v>6364</v>
      </c>
      <c r="C3131" s="1" t="s">
        <v>6252</v>
      </c>
    </row>
    <row r="3132" spans="1:3" ht="15.75" customHeight="1" x14ac:dyDescent="0.25">
      <c r="A3132" s="1" t="s">
        <v>6363</v>
      </c>
      <c r="B3132" s="1" t="s">
        <v>6362</v>
      </c>
      <c r="C3132" s="1" t="s">
        <v>6252</v>
      </c>
    </row>
    <row r="3133" spans="1:3" ht="15.75" customHeight="1" x14ac:dyDescent="0.25">
      <c r="A3133" s="1" t="s">
        <v>6361</v>
      </c>
      <c r="B3133" s="1" t="s">
        <v>6360</v>
      </c>
      <c r="C3133" s="1" t="s">
        <v>6252</v>
      </c>
    </row>
    <row r="3134" spans="1:3" ht="15.75" customHeight="1" x14ac:dyDescent="0.25">
      <c r="A3134" s="1" t="s">
        <v>2938</v>
      </c>
      <c r="B3134" s="1" t="s">
        <v>6359</v>
      </c>
      <c r="C3134" s="1" t="s">
        <v>5796</v>
      </c>
    </row>
    <row r="3135" spans="1:3" ht="15.75" customHeight="1" x14ac:dyDescent="0.25">
      <c r="A3135" s="1" t="s">
        <v>6358</v>
      </c>
      <c r="B3135" s="1" t="s">
        <v>6357</v>
      </c>
      <c r="C3135" s="1" t="s">
        <v>6290</v>
      </c>
    </row>
    <row r="3136" spans="1:3" ht="15.75" customHeight="1" x14ac:dyDescent="0.25">
      <c r="A3136" s="1" t="s">
        <v>6356</v>
      </c>
      <c r="B3136" s="1" t="s">
        <v>6355</v>
      </c>
      <c r="C3136" s="1" t="s">
        <v>6252</v>
      </c>
    </row>
    <row r="3137" spans="1:3" ht="15.75" customHeight="1" x14ac:dyDescent="0.25">
      <c r="A3137" s="1" t="s">
        <v>6354</v>
      </c>
      <c r="B3137" s="1" t="s">
        <v>6353</v>
      </c>
      <c r="C3137" s="1" t="s">
        <v>6252</v>
      </c>
    </row>
    <row r="3138" spans="1:3" ht="15.75" customHeight="1" x14ac:dyDescent="0.25">
      <c r="A3138" s="1" t="s">
        <v>15</v>
      </c>
      <c r="B3138" s="1" t="s">
        <v>6352</v>
      </c>
      <c r="C3138" s="1" t="s">
        <v>6351</v>
      </c>
    </row>
    <row r="3139" spans="1:3" ht="15.75" customHeight="1" x14ac:dyDescent="0.25">
      <c r="A3139" s="1" t="s">
        <v>6350</v>
      </c>
      <c r="B3139" s="1" t="s">
        <v>6349</v>
      </c>
      <c r="C3139" s="1" t="s">
        <v>6290</v>
      </c>
    </row>
    <row r="3140" spans="1:3" ht="15.75" customHeight="1" x14ac:dyDescent="0.25">
      <c r="A3140" s="1" t="s">
        <v>6348</v>
      </c>
      <c r="B3140" s="1" t="s">
        <v>6347</v>
      </c>
      <c r="C3140" s="1" t="s">
        <v>6290</v>
      </c>
    </row>
    <row r="3141" spans="1:3" ht="15.75" customHeight="1" x14ac:dyDescent="0.25">
      <c r="A3141" s="1" t="s">
        <v>1620</v>
      </c>
      <c r="B3141" s="1" t="s">
        <v>6346</v>
      </c>
      <c r="C3141" s="1" t="s">
        <v>5789</v>
      </c>
    </row>
    <row r="3142" spans="1:3" ht="15.75" customHeight="1" x14ac:dyDescent="0.25">
      <c r="A3142" s="1" t="s">
        <v>1293</v>
      </c>
      <c r="B3142" s="1" t="s">
        <v>6345</v>
      </c>
      <c r="C3142" s="1" t="s">
        <v>5805</v>
      </c>
    </row>
    <row r="3143" spans="1:3" ht="15.75" customHeight="1" x14ac:dyDescent="0.25">
      <c r="A3143" s="1" t="s">
        <v>6344</v>
      </c>
      <c r="B3143" s="1" t="s">
        <v>6343</v>
      </c>
      <c r="C3143" s="1" t="s">
        <v>6342</v>
      </c>
    </row>
    <row r="3144" spans="1:3" ht="15.75" customHeight="1" x14ac:dyDescent="0.25">
      <c r="A3144" s="1" t="s">
        <v>1059</v>
      </c>
      <c r="B3144" s="1" t="s">
        <v>6341</v>
      </c>
      <c r="C3144" s="1" t="s">
        <v>5798</v>
      </c>
    </row>
    <row r="3145" spans="1:3" ht="15.75" customHeight="1" x14ac:dyDescent="0.25">
      <c r="A3145" s="1" t="s">
        <v>6340</v>
      </c>
      <c r="B3145" s="1" t="s">
        <v>6052</v>
      </c>
      <c r="C3145" s="1" t="s">
        <v>6339</v>
      </c>
    </row>
    <row r="3146" spans="1:3" ht="15.75" customHeight="1" x14ac:dyDescent="0.25">
      <c r="A3146" s="1" t="s">
        <v>6338</v>
      </c>
      <c r="B3146" s="1" t="s">
        <v>6052</v>
      </c>
      <c r="C3146" s="1" t="s">
        <v>6337</v>
      </c>
    </row>
    <row r="3147" spans="1:3" ht="15.75" customHeight="1" x14ac:dyDescent="0.25">
      <c r="A3147" s="1" t="s">
        <v>6336</v>
      </c>
      <c r="B3147" s="1" t="s">
        <v>5994</v>
      </c>
      <c r="C3147" s="1" t="s">
        <v>6335</v>
      </c>
    </row>
    <row r="3148" spans="1:3" ht="15.75" customHeight="1" x14ac:dyDescent="0.25">
      <c r="A3148" s="1" t="s">
        <v>6334</v>
      </c>
      <c r="B3148" s="1" t="s">
        <v>5931</v>
      </c>
      <c r="C3148" s="1" t="s">
        <v>6333</v>
      </c>
    </row>
    <row r="3149" spans="1:3" ht="15.75" customHeight="1" x14ac:dyDescent="0.25">
      <c r="A3149" s="1" t="s">
        <v>6332</v>
      </c>
      <c r="B3149" s="1" t="s">
        <v>6331</v>
      </c>
      <c r="C3149" s="1" t="s">
        <v>6252</v>
      </c>
    </row>
    <row r="3150" spans="1:3" ht="15.75" customHeight="1" x14ac:dyDescent="0.25">
      <c r="A3150" s="1" t="s">
        <v>6330</v>
      </c>
      <c r="B3150" s="1" t="s">
        <v>6329</v>
      </c>
      <c r="C3150" s="1" t="s">
        <v>6252</v>
      </c>
    </row>
    <row r="3151" spans="1:3" ht="15.75" customHeight="1" x14ac:dyDescent="0.25">
      <c r="A3151" s="1" t="s">
        <v>6328</v>
      </c>
      <c r="B3151" s="1" t="s">
        <v>6327</v>
      </c>
      <c r="C3151" s="1" t="s">
        <v>6326</v>
      </c>
    </row>
    <row r="3152" spans="1:3" ht="15.75" customHeight="1" x14ac:dyDescent="0.25">
      <c r="A3152" s="1" t="s">
        <v>6325</v>
      </c>
      <c r="B3152" s="1" t="s">
        <v>6324</v>
      </c>
      <c r="C3152" s="1" t="s">
        <v>6323</v>
      </c>
    </row>
    <row r="3153" spans="1:3" ht="15.75" customHeight="1" x14ac:dyDescent="0.25">
      <c r="A3153" s="1" t="s">
        <v>5597</v>
      </c>
      <c r="B3153" s="1" t="s">
        <v>6322</v>
      </c>
      <c r="C3153" s="1" t="s">
        <v>5796</v>
      </c>
    </row>
    <row r="3154" spans="1:3" ht="15.75" customHeight="1" x14ac:dyDescent="0.25">
      <c r="A3154" s="1" t="s">
        <v>6321</v>
      </c>
      <c r="B3154" s="1" t="s">
        <v>6320</v>
      </c>
      <c r="C3154" s="1" t="s">
        <v>6319</v>
      </c>
    </row>
    <row r="3155" spans="1:3" ht="15.75" customHeight="1" x14ac:dyDescent="0.25">
      <c r="A3155" s="1" t="s">
        <v>6318</v>
      </c>
      <c r="B3155" s="1" t="s">
        <v>6317</v>
      </c>
      <c r="C3155" s="1" t="s">
        <v>6276</v>
      </c>
    </row>
    <row r="3156" spans="1:3" ht="15.75" customHeight="1" x14ac:dyDescent="0.25">
      <c r="A3156" s="1" t="s">
        <v>4607</v>
      </c>
      <c r="B3156" s="1" t="s">
        <v>6316</v>
      </c>
      <c r="C3156" s="1" t="s">
        <v>6315</v>
      </c>
    </row>
    <row r="3157" spans="1:3" ht="15.75" customHeight="1" x14ac:dyDescent="0.25">
      <c r="A3157" s="1" t="s">
        <v>6314</v>
      </c>
      <c r="B3157" s="1" t="s">
        <v>6313</v>
      </c>
      <c r="C3157" s="1" t="s">
        <v>6312</v>
      </c>
    </row>
    <row r="3158" spans="1:3" ht="15.75" customHeight="1" x14ac:dyDescent="0.25">
      <c r="A3158" s="1" t="s">
        <v>4760</v>
      </c>
      <c r="B3158" s="1" t="s">
        <v>6311</v>
      </c>
      <c r="C3158" s="1" t="s">
        <v>5796</v>
      </c>
    </row>
    <row r="3159" spans="1:3" ht="15.75" customHeight="1" x14ac:dyDescent="0.25">
      <c r="A3159" s="1" t="s">
        <v>6310</v>
      </c>
      <c r="B3159" s="1" t="s">
        <v>6309</v>
      </c>
      <c r="C3159" s="1" t="s">
        <v>6282</v>
      </c>
    </row>
    <row r="3160" spans="1:3" ht="15.75" customHeight="1" x14ac:dyDescent="0.25">
      <c r="A3160" s="1" t="s">
        <v>6308</v>
      </c>
      <c r="B3160" s="1" t="s">
        <v>6307</v>
      </c>
      <c r="C3160" s="1" t="s">
        <v>6306</v>
      </c>
    </row>
    <row r="3161" spans="1:3" ht="15.75" customHeight="1" x14ac:dyDescent="0.25">
      <c r="A3161" s="1" t="s">
        <v>6305</v>
      </c>
      <c r="B3161" s="1" t="s">
        <v>6304</v>
      </c>
      <c r="C3161" s="1" t="s">
        <v>6303</v>
      </c>
    </row>
    <row r="3162" spans="1:3" ht="15.75" customHeight="1" x14ac:dyDescent="0.25">
      <c r="A3162" s="1" t="s">
        <v>6302</v>
      </c>
      <c r="B3162" s="1" t="s">
        <v>6301</v>
      </c>
      <c r="C3162" s="1" t="s">
        <v>6252</v>
      </c>
    </row>
    <row r="3163" spans="1:3" ht="15.75" customHeight="1" x14ac:dyDescent="0.25">
      <c r="A3163" s="1" t="s">
        <v>6300</v>
      </c>
      <c r="B3163" s="1" t="s">
        <v>6299</v>
      </c>
      <c r="C3163" s="1" t="s">
        <v>6290</v>
      </c>
    </row>
    <row r="3164" spans="1:3" ht="15.75" customHeight="1" x14ac:dyDescent="0.25">
      <c r="A3164" s="1" t="s">
        <v>6298</v>
      </c>
      <c r="B3164" s="1" t="s">
        <v>6297</v>
      </c>
      <c r="C3164" s="1" t="s">
        <v>5838</v>
      </c>
    </row>
    <row r="3165" spans="1:3" ht="15.75" customHeight="1" x14ac:dyDescent="0.25">
      <c r="A3165" s="1" t="s">
        <v>2468</v>
      </c>
      <c r="B3165" s="1" t="s">
        <v>6296</v>
      </c>
      <c r="C3165" s="1" t="s">
        <v>6295</v>
      </c>
    </row>
    <row r="3166" spans="1:3" ht="15.75" customHeight="1" x14ac:dyDescent="0.25">
      <c r="A3166" s="1" t="s">
        <v>6294</v>
      </c>
      <c r="B3166" s="1" t="s">
        <v>6293</v>
      </c>
      <c r="C3166" s="1" t="s">
        <v>5873</v>
      </c>
    </row>
    <row r="3167" spans="1:3" ht="15.75" customHeight="1" x14ac:dyDescent="0.25">
      <c r="A3167" s="1" t="s">
        <v>6292</v>
      </c>
      <c r="B3167" s="1" t="s">
        <v>6291</v>
      </c>
      <c r="C3167" s="1" t="s">
        <v>6290</v>
      </c>
    </row>
    <row r="3168" spans="1:3" ht="15.75" customHeight="1" x14ac:dyDescent="0.25">
      <c r="A3168" s="1" t="s">
        <v>4740</v>
      </c>
      <c r="B3168" s="1" t="s">
        <v>6289</v>
      </c>
      <c r="C3168" s="1" t="s">
        <v>6288</v>
      </c>
    </row>
    <row r="3169" spans="1:3" ht="15.75" customHeight="1" x14ac:dyDescent="0.25">
      <c r="A3169" s="1" t="s">
        <v>6287</v>
      </c>
      <c r="B3169" s="1" t="s">
        <v>6286</v>
      </c>
      <c r="C3169" s="1" t="s">
        <v>6285</v>
      </c>
    </row>
    <row r="3170" spans="1:3" ht="15.75" customHeight="1" x14ac:dyDescent="0.25">
      <c r="A3170" s="1" t="s">
        <v>6284</v>
      </c>
      <c r="B3170" s="1" t="s">
        <v>6283</v>
      </c>
      <c r="C3170" s="1" t="s">
        <v>6282</v>
      </c>
    </row>
    <row r="3171" spans="1:3" ht="15.75" customHeight="1" x14ac:dyDescent="0.25">
      <c r="A3171" s="1" t="s">
        <v>796</v>
      </c>
      <c r="B3171" s="1" t="s">
        <v>6281</v>
      </c>
      <c r="C3171" s="1" t="s">
        <v>5798</v>
      </c>
    </row>
    <row r="3172" spans="1:3" ht="15.75" customHeight="1" x14ac:dyDescent="0.25">
      <c r="A3172" s="1" t="s">
        <v>6280</v>
      </c>
      <c r="B3172" s="1" t="s">
        <v>92</v>
      </c>
      <c r="C3172" s="1" t="s">
        <v>6279</v>
      </c>
    </row>
    <row r="3173" spans="1:3" ht="15.75" customHeight="1" x14ac:dyDescent="0.25">
      <c r="A3173" s="1" t="s">
        <v>6278</v>
      </c>
      <c r="B3173" s="1" t="s">
        <v>6277</v>
      </c>
      <c r="C3173" s="1" t="s">
        <v>6276</v>
      </c>
    </row>
    <row r="3174" spans="1:3" ht="15.75" customHeight="1" x14ac:dyDescent="0.25">
      <c r="A3174" s="1" t="s">
        <v>6275</v>
      </c>
      <c r="B3174" s="1" t="s">
        <v>6274</v>
      </c>
      <c r="C3174" s="1" t="s">
        <v>5798</v>
      </c>
    </row>
    <row r="3175" spans="1:3" ht="15.75" customHeight="1" x14ac:dyDescent="0.25">
      <c r="A3175" s="1" t="s">
        <v>6273</v>
      </c>
      <c r="B3175" s="1" t="s">
        <v>6272</v>
      </c>
      <c r="C3175" s="1" t="s">
        <v>6252</v>
      </c>
    </row>
    <row r="3176" spans="1:3" ht="15.75" customHeight="1" x14ac:dyDescent="0.25">
      <c r="A3176" s="1" t="s">
        <v>4072</v>
      </c>
      <c r="B3176" s="1" t="s">
        <v>6271</v>
      </c>
      <c r="C3176" s="1" t="s">
        <v>5796</v>
      </c>
    </row>
    <row r="3177" spans="1:3" ht="15.75" customHeight="1" x14ac:dyDescent="0.25">
      <c r="A3177" s="1" t="s">
        <v>6270</v>
      </c>
      <c r="B3177" s="1" t="s">
        <v>6269</v>
      </c>
      <c r="C3177" s="1" t="s">
        <v>5838</v>
      </c>
    </row>
    <row r="3178" spans="1:3" ht="15.75" customHeight="1" x14ac:dyDescent="0.25">
      <c r="A3178" s="1" t="s">
        <v>6268</v>
      </c>
      <c r="B3178" s="1" t="s">
        <v>6267</v>
      </c>
      <c r="C3178" s="1" t="s">
        <v>6252</v>
      </c>
    </row>
    <row r="3179" spans="1:3" ht="15.75" customHeight="1" x14ac:dyDescent="0.25">
      <c r="A3179" s="1" t="s">
        <v>6266</v>
      </c>
      <c r="B3179" s="1" t="s">
        <v>6265</v>
      </c>
      <c r="C3179" s="1" t="s">
        <v>6252</v>
      </c>
    </row>
    <row r="3180" spans="1:3" ht="15.75" customHeight="1" x14ac:dyDescent="0.25">
      <c r="A3180" s="1" t="s">
        <v>6264</v>
      </c>
      <c r="B3180" s="1" t="s">
        <v>6263</v>
      </c>
      <c r="C3180" s="1" t="s">
        <v>6252</v>
      </c>
    </row>
    <row r="3181" spans="1:3" ht="15.75" customHeight="1" x14ac:dyDescent="0.25">
      <c r="A3181" s="1" t="s">
        <v>6262</v>
      </c>
      <c r="B3181" s="1" t="s">
        <v>6261</v>
      </c>
      <c r="C3181" s="1" t="s">
        <v>6260</v>
      </c>
    </row>
    <row r="3182" spans="1:3" ht="15.75" customHeight="1" x14ac:dyDescent="0.25">
      <c r="A3182" s="1" t="s">
        <v>6259</v>
      </c>
      <c r="B3182" s="1" t="s">
        <v>6258</v>
      </c>
      <c r="C3182" s="1" t="s">
        <v>6257</v>
      </c>
    </row>
    <row r="3183" spans="1:3" ht="15.75" customHeight="1" x14ac:dyDescent="0.25">
      <c r="A3183" s="1" t="s">
        <v>6256</v>
      </c>
      <c r="B3183" s="1" t="s">
        <v>6255</v>
      </c>
      <c r="C3183" s="1" t="s">
        <v>6252</v>
      </c>
    </row>
    <row r="3184" spans="1:3" ht="15.75" customHeight="1" x14ac:dyDescent="0.25">
      <c r="A3184" s="1" t="s">
        <v>6254</v>
      </c>
      <c r="B3184" s="1" t="s">
        <v>6253</v>
      </c>
      <c r="C3184" s="1" t="s">
        <v>6252</v>
      </c>
    </row>
    <row r="3185" spans="1:3" ht="15.75" customHeight="1" x14ac:dyDescent="0.25">
      <c r="A3185" s="1" t="s">
        <v>6251</v>
      </c>
      <c r="B3185" s="1" t="s">
        <v>6190</v>
      </c>
      <c r="C3185" s="1" t="s">
        <v>6250</v>
      </c>
    </row>
    <row r="3186" spans="1:3" ht="15.75" customHeight="1" x14ac:dyDescent="0.25">
      <c r="A3186" s="1" t="s">
        <v>634</v>
      </c>
      <c r="B3186" s="1" t="s">
        <v>6249</v>
      </c>
      <c r="C3186" s="1" t="s">
        <v>5873</v>
      </c>
    </row>
    <row r="3187" spans="1:3" ht="15.75" customHeight="1" x14ac:dyDescent="0.25">
      <c r="A3187" s="1" t="s">
        <v>948</v>
      </c>
      <c r="B3187" s="1" t="s">
        <v>6248</v>
      </c>
      <c r="C3187" s="1" t="s">
        <v>5925</v>
      </c>
    </row>
    <row r="3188" spans="1:3" ht="15.75" customHeight="1" x14ac:dyDescent="0.25">
      <c r="A3188" s="1" t="s">
        <v>1065</v>
      </c>
      <c r="B3188" s="1" t="s">
        <v>6247</v>
      </c>
      <c r="C3188" s="1" t="s">
        <v>5805</v>
      </c>
    </row>
    <row r="3189" spans="1:3" ht="15.75" customHeight="1" x14ac:dyDescent="0.25">
      <c r="A3189" s="1" t="s">
        <v>2015</v>
      </c>
      <c r="B3189" s="1" t="s">
        <v>6246</v>
      </c>
      <c r="C3189" s="1" t="s">
        <v>5805</v>
      </c>
    </row>
    <row r="3190" spans="1:3" ht="15.75" customHeight="1" x14ac:dyDescent="0.25">
      <c r="A3190" s="1" t="s">
        <v>6245</v>
      </c>
      <c r="B3190" s="1" t="s">
        <v>6244</v>
      </c>
      <c r="C3190" s="1" t="s">
        <v>5886</v>
      </c>
    </row>
    <row r="3191" spans="1:3" ht="15.75" customHeight="1" x14ac:dyDescent="0.25">
      <c r="A3191" s="1" t="s">
        <v>1487</v>
      </c>
      <c r="B3191" s="1" t="s">
        <v>6243</v>
      </c>
      <c r="C3191" s="1" t="s">
        <v>6242</v>
      </c>
    </row>
    <row r="3192" spans="1:3" ht="15.75" customHeight="1" x14ac:dyDescent="0.25">
      <c r="A3192" s="1" t="s">
        <v>2696</v>
      </c>
      <c r="B3192" s="1" t="s">
        <v>6241</v>
      </c>
      <c r="C3192" s="1" t="s">
        <v>5805</v>
      </c>
    </row>
    <row r="3193" spans="1:3" ht="15.75" customHeight="1" x14ac:dyDescent="0.25">
      <c r="A3193" s="1" t="s">
        <v>6240</v>
      </c>
      <c r="B3193" s="1" t="s">
        <v>6239</v>
      </c>
      <c r="C3193" s="1" t="s">
        <v>6238</v>
      </c>
    </row>
    <row r="3194" spans="1:3" ht="15.75" customHeight="1" x14ac:dyDescent="0.25">
      <c r="A3194" s="1" t="s">
        <v>1967</v>
      </c>
      <c r="B3194" s="1" t="s">
        <v>6237</v>
      </c>
      <c r="C3194" s="1" t="s">
        <v>6236</v>
      </c>
    </row>
    <row r="3195" spans="1:3" ht="15.75" customHeight="1" x14ac:dyDescent="0.25">
      <c r="A3195" s="1" t="s">
        <v>1313</v>
      </c>
      <c r="B3195" s="1" t="s">
        <v>6235</v>
      </c>
      <c r="C3195" s="1" t="s">
        <v>5805</v>
      </c>
    </row>
    <row r="3196" spans="1:3" ht="15.75" customHeight="1" x14ac:dyDescent="0.25">
      <c r="A3196" s="1" t="s">
        <v>1006</v>
      </c>
      <c r="B3196" s="1" t="s">
        <v>6234</v>
      </c>
      <c r="C3196" s="1" t="s">
        <v>5805</v>
      </c>
    </row>
    <row r="3197" spans="1:3" ht="15.75" customHeight="1" x14ac:dyDescent="0.25">
      <c r="A3197" s="1" t="s">
        <v>2351</v>
      </c>
      <c r="B3197" s="1" t="s">
        <v>6233</v>
      </c>
      <c r="C3197" s="1" t="s">
        <v>5794</v>
      </c>
    </row>
    <row r="3198" spans="1:3" ht="15.75" customHeight="1" x14ac:dyDescent="0.25">
      <c r="A3198" s="1" t="s">
        <v>571</v>
      </c>
      <c r="B3198" s="1" t="s">
        <v>6232</v>
      </c>
      <c r="C3198" s="1" t="s">
        <v>6231</v>
      </c>
    </row>
    <row r="3199" spans="1:3" ht="15.75" customHeight="1" x14ac:dyDescent="0.25">
      <c r="A3199" s="1" t="s">
        <v>1571</v>
      </c>
      <c r="B3199" s="1" t="s">
        <v>6230</v>
      </c>
      <c r="C3199" s="1" t="s">
        <v>5925</v>
      </c>
    </row>
    <row r="3200" spans="1:3" ht="15.75" customHeight="1" x14ac:dyDescent="0.25">
      <c r="A3200" s="1" t="s">
        <v>2160</v>
      </c>
      <c r="B3200" s="1" t="s">
        <v>6229</v>
      </c>
      <c r="C3200" s="1" t="s">
        <v>5802</v>
      </c>
    </row>
    <row r="3201" spans="1:3" ht="15.75" customHeight="1" x14ac:dyDescent="0.25">
      <c r="A3201" s="1" t="s">
        <v>573</v>
      </c>
      <c r="B3201" s="1" t="s">
        <v>6228</v>
      </c>
      <c r="C3201" s="1" t="s">
        <v>5787</v>
      </c>
    </row>
    <row r="3202" spans="1:3" ht="15.75" customHeight="1" x14ac:dyDescent="0.25">
      <c r="A3202" s="1" t="s">
        <v>2651</v>
      </c>
      <c r="B3202" s="1" t="s">
        <v>6227</v>
      </c>
      <c r="C3202" s="1" t="s">
        <v>5802</v>
      </c>
    </row>
    <row r="3203" spans="1:3" ht="15.75" customHeight="1" x14ac:dyDescent="0.25">
      <c r="A3203" s="1" t="s">
        <v>6226</v>
      </c>
      <c r="B3203" s="1" t="s">
        <v>6225</v>
      </c>
      <c r="C3203" s="1" t="s">
        <v>5794</v>
      </c>
    </row>
    <row r="3204" spans="1:3" ht="15.75" customHeight="1" x14ac:dyDescent="0.25">
      <c r="A3204" s="1" t="s">
        <v>1034</v>
      </c>
      <c r="B3204" s="1" t="s">
        <v>6224</v>
      </c>
      <c r="C3204" s="1" t="s">
        <v>5925</v>
      </c>
    </row>
    <row r="3205" spans="1:3" ht="15.75" customHeight="1" x14ac:dyDescent="0.25">
      <c r="A3205" s="1" t="s">
        <v>2679</v>
      </c>
      <c r="B3205" s="1" t="s">
        <v>6223</v>
      </c>
      <c r="C3205" s="1" t="s">
        <v>5873</v>
      </c>
    </row>
    <row r="3206" spans="1:3" ht="15.75" customHeight="1" x14ac:dyDescent="0.25">
      <c r="A3206" s="1" t="s">
        <v>3379</v>
      </c>
      <c r="B3206" s="1" t="s">
        <v>6222</v>
      </c>
      <c r="C3206" s="1" t="s">
        <v>5796</v>
      </c>
    </row>
    <row r="3207" spans="1:3" ht="15.75" customHeight="1" x14ac:dyDescent="0.25">
      <c r="A3207" s="1" t="s">
        <v>1084</v>
      </c>
      <c r="B3207" s="1" t="s">
        <v>6221</v>
      </c>
      <c r="C3207" s="1" t="s">
        <v>5798</v>
      </c>
    </row>
    <row r="3208" spans="1:3" ht="15.75" customHeight="1" x14ac:dyDescent="0.25">
      <c r="A3208" s="1" t="s">
        <v>6220</v>
      </c>
      <c r="B3208" s="1" t="s">
        <v>6219</v>
      </c>
      <c r="C3208" s="1" t="s">
        <v>5805</v>
      </c>
    </row>
    <row r="3209" spans="1:3" ht="15.75" customHeight="1" x14ac:dyDescent="0.25">
      <c r="A3209" s="1" t="s">
        <v>800</v>
      </c>
      <c r="B3209" s="1" t="s">
        <v>6218</v>
      </c>
      <c r="C3209" s="1" t="s">
        <v>5798</v>
      </c>
    </row>
    <row r="3210" spans="1:3" ht="15.75" customHeight="1" x14ac:dyDescent="0.25">
      <c r="A3210" s="1" t="s">
        <v>6217</v>
      </c>
      <c r="B3210" s="1" t="s">
        <v>6216</v>
      </c>
      <c r="C3210" s="1" t="s">
        <v>5798</v>
      </c>
    </row>
    <row r="3211" spans="1:3" ht="15.75" customHeight="1" x14ac:dyDescent="0.25">
      <c r="A3211" s="1" t="s">
        <v>2328</v>
      </c>
      <c r="B3211" s="1" t="s">
        <v>6215</v>
      </c>
      <c r="C3211" s="1" t="s">
        <v>5802</v>
      </c>
    </row>
    <row r="3212" spans="1:3" ht="15.75" customHeight="1" x14ac:dyDescent="0.25">
      <c r="A3212" s="1" t="s">
        <v>6214</v>
      </c>
      <c r="B3212" s="1" t="s">
        <v>5931</v>
      </c>
      <c r="C3212" s="1" t="s">
        <v>6213</v>
      </c>
    </row>
    <row r="3213" spans="1:3" ht="15.75" customHeight="1" x14ac:dyDescent="0.25">
      <c r="A3213" s="1" t="s">
        <v>6212</v>
      </c>
      <c r="B3213" s="1" t="s">
        <v>6211</v>
      </c>
      <c r="C3213" s="1" t="s">
        <v>5873</v>
      </c>
    </row>
    <row r="3214" spans="1:3" ht="15.75" customHeight="1" x14ac:dyDescent="0.25">
      <c r="A3214" s="1" t="s">
        <v>966</v>
      </c>
      <c r="B3214" s="1" t="s">
        <v>6210</v>
      </c>
      <c r="C3214" s="1" t="s">
        <v>5925</v>
      </c>
    </row>
    <row r="3215" spans="1:3" ht="15.75" customHeight="1" x14ac:dyDescent="0.25">
      <c r="A3215" s="1" t="s">
        <v>6209</v>
      </c>
      <c r="B3215" s="1" t="s">
        <v>6208</v>
      </c>
      <c r="C3215" s="1" t="s">
        <v>5805</v>
      </c>
    </row>
    <row r="3216" spans="1:3" ht="15.75" customHeight="1" x14ac:dyDescent="0.25">
      <c r="A3216" s="1" t="s">
        <v>2980</v>
      </c>
      <c r="B3216" s="1" t="s">
        <v>5832</v>
      </c>
      <c r="C3216" s="1" t="s">
        <v>6207</v>
      </c>
    </row>
    <row r="3217" spans="1:3" ht="15.75" customHeight="1" x14ac:dyDescent="0.25">
      <c r="A3217" s="1" t="s">
        <v>2544</v>
      </c>
      <c r="B3217" s="1" t="s">
        <v>6206</v>
      </c>
      <c r="C3217" s="1" t="s">
        <v>5873</v>
      </c>
    </row>
    <row r="3218" spans="1:3" ht="15.75" customHeight="1" x14ac:dyDescent="0.25">
      <c r="A3218" s="1" t="s">
        <v>6205</v>
      </c>
      <c r="B3218" s="1" t="s">
        <v>6204</v>
      </c>
      <c r="C3218" s="1" t="s">
        <v>5868</v>
      </c>
    </row>
    <row r="3219" spans="1:3" ht="15.75" customHeight="1" x14ac:dyDescent="0.25">
      <c r="A3219" s="1" t="s">
        <v>6203</v>
      </c>
      <c r="B3219" s="1" t="s">
        <v>6202</v>
      </c>
      <c r="C3219" s="1" t="s">
        <v>5805</v>
      </c>
    </row>
    <row r="3220" spans="1:3" ht="15.75" customHeight="1" x14ac:dyDescent="0.25">
      <c r="A3220" s="1" t="s">
        <v>2427</v>
      </c>
      <c r="B3220" s="1" t="s">
        <v>6201</v>
      </c>
      <c r="C3220" s="1" t="s">
        <v>5925</v>
      </c>
    </row>
    <row r="3221" spans="1:3" ht="15.75" customHeight="1" x14ac:dyDescent="0.25">
      <c r="A3221" s="1" t="s">
        <v>1008</v>
      </c>
      <c r="B3221" s="1" t="s">
        <v>6200</v>
      </c>
      <c r="C3221" s="1" t="s">
        <v>5798</v>
      </c>
    </row>
    <row r="3222" spans="1:3" ht="15.75" customHeight="1" x14ac:dyDescent="0.25">
      <c r="A3222" s="1" t="s">
        <v>1726</v>
      </c>
      <c r="B3222" s="1" t="s">
        <v>6199</v>
      </c>
      <c r="C3222" s="1" t="s">
        <v>5925</v>
      </c>
    </row>
    <row r="3223" spans="1:3" ht="15.75" customHeight="1" x14ac:dyDescent="0.25">
      <c r="A3223" s="1" t="s">
        <v>2108</v>
      </c>
      <c r="B3223" s="1" t="s">
        <v>6198</v>
      </c>
      <c r="C3223" s="1" t="s">
        <v>5925</v>
      </c>
    </row>
    <row r="3224" spans="1:3" ht="15.75" customHeight="1" x14ac:dyDescent="0.25">
      <c r="A3224" s="1" t="s">
        <v>1569</v>
      </c>
      <c r="B3224" s="1" t="s">
        <v>6197</v>
      </c>
      <c r="C3224" s="1" t="s">
        <v>5948</v>
      </c>
    </row>
    <row r="3225" spans="1:3" ht="15.75" customHeight="1" x14ac:dyDescent="0.25">
      <c r="A3225" s="1" t="s">
        <v>3582</v>
      </c>
      <c r="B3225" s="1" t="s">
        <v>5979</v>
      </c>
      <c r="C3225" s="1" t="s">
        <v>5794</v>
      </c>
    </row>
    <row r="3226" spans="1:3" ht="15.75" customHeight="1" x14ac:dyDescent="0.25">
      <c r="A3226" s="1" t="s">
        <v>6196</v>
      </c>
      <c r="B3226" s="1" t="s">
        <v>6195</v>
      </c>
      <c r="C3226" s="1" t="s">
        <v>5794</v>
      </c>
    </row>
    <row r="3227" spans="1:3" ht="15.75" customHeight="1" x14ac:dyDescent="0.25">
      <c r="A3227" s="1" t="s">
        <v>1016</v>
      </c>
      <c r="B3227" s="1" t="s">
        <v>6194</v>
      </c>
      <c r="C3227" s="1" t="s">
        <v>5798</v>
      </c>
    </row>
    <row r="3228" spans="1:3" ht="15.75" customHeight="1" x14ac:dyDescent="0.25">
      <c r="A3228" s="1" t="s">
        <v>6193</v>
      </c>
      <c r="B3228" s="1" t="s">
        <v>6192</v>
      </c>
      <c r="C3228" s="1" t="s">
        <v>5794</v>
      </c>
    </row>
    <row r="3229" spans="1:3" ht="15.75" customHeight="1" x14ac:dyDescent="0.25">
      <c r="A3229" s="1" t="s">
        <v>1102</v>
      </c>
      <c r="B3229" s="1" t="s">
        <v>6191</v>
      </c>
      <c r="C3229" s="1" t="s">
        <v>5873</v>
      </c>
    </row>
    <row r="3230" spans="1:3" ht="15.75" customHeight="1" x14ac:dyDescent="0.25">
      <c r="A3230" s="1" t="s">
        <v>5454</v>
      </c>
      <c r="B3230" s="1" t="s">
        <v>6190</v>
      </c>
      <c r="C3230" s="1" t="s">
        <v>6189</v>
      </c>
    </row>
    <row r="3231" spans="1:3" ht="15.75" customHeight="1" x14ac:dyDescent="0.25">
      <c r="A3231" s="1" t="s">
        <v>2559</v>
      </c>
      <c r="B3231" s="1" t="s">
        <v>6188</v>
      </c>
      <c r="C3231" s="1" t="s">
        <v>5925</v>
      </c>
    </row>
    <row r="3232" spans="1:3" ht="15.75" customHeight="1" x14ac:dyDescent="0.25">
      <c r="A3232" s="1" t="s">
        <v>885</v>
      </c>
      <c r="B3232" s="1" t="s">
        <v>6187</v>
      </c>
      <c r="C3232" s="1" t="s">
        <v>5805</v>
      </c>
    </row>
    <row r="3233" spans="1:3" ht="15.75" customHeight="1" x14ac:dyDescent="0.25">
      <c r="A3233" s="1" t="s">
        <v>3260</v>
      </c>
      <c r="B3233" s="1" t="s">
        <v>6186</v>
      </c>
      <c r="C3233" s="1" t="s">
        <v>5868</v>
      </c>
    </row>
    <row r="3234" spans="1:3" ht="15.75" customHeight="1" x14ac:dyDescent="0.25">
      <c r="A3234" s="1" t="s">
        <v>1524</v>
      </c>
      <c r="B3234" s="1" t="s">
        <v>6185</v>
      </c>
      <c r="C3234" s="1" t="s">
        <v>5805</v>
      </c>
    </row>
    <row r="3235" spans="1:3" ht="15.75" customHeight="1" x14ac:dyDescent="0.25">
      <c r="A3235" s="1" t="s">
        <v>3068</v>
      </c>
      <c r="B3235" s="1" t="s">
        <v>6184</v>
      </c>
      <c r="C3235" s="1" t="s">
        <v>5925</v>
      </c>
    </row>
    <row r="3236" spans="1:3" ht="15.75" customHeight="1" x14ac:dyDescent="0.25">
      <c r="A3236" s="1" t="s">
        <v>3592</v>
      </c>
      <c r="B3236" s="1" t="s">
        <v>6183</v>
      </c>
      <c r="C3236" s="1" t="s">
        <v>5901</v>
      </c>
    </row>
    <row r="3237" spans="1:3" ht="15.75" customHeight="1" x14ac:dyDescent="0.25">
      <c r="A3237" s="1" t="s">
        <v>2209</v>
      </c>
      <c r="B3237" s="1" t="s">
        <v>6182</v>
      </c>
      <c r="C3237" s="1" t="s">
        <v>5805</v>
      </c>
    </row>
    <row r="3238" spans="1:3" ht="15.75" customHeight="1" x14ac:dyDescent="0.25">
      <c r="A3238" s="1" t="s">
        <v>6181</v>
      </c>
      <c r="B3238" s="1" t="s">
        <v>6180</v>
      </c>
      <c r="C3238" s="1" t="s">
        <v>5868</v>
      </c>
    </row>
    <row r="3239" spans="1:3" ht="15.75" customHeight="1" x14ac:dyDescent="0.25">
      <c r="A3239" s="1" t="s">
        <v>2148</v>
      </c>
      <c r="B3239" s="1" t="s">
        <v>6179</v>
      </c>
      <c r="C3239" s="1" t="s">
        <v>5798</v>
      </c>
    </row>
    <row r="3240" spans="1:3" ht="15.75" customHeight="1" x14ac:dyDescent="0.25">
      <c r="A3240" s="1" t="s">
        <v>1489</v>
      </c>
      <c r="B3240" s="1" t="s">
        <v>6178</v>
      </c>
      <c r="C3240" s="1" t="s">
        <v>5868</v>
      </c>
    </row>
    <row r="3241" spans="1:3" ht="15.75" customHeight="1" x14ac:dyDescent="0.25">
      <c r="A3241" s="1" t="s">
        <v>6177</v>
      </c>
      <c r="B3241" s="1" t="s">
        <v>6176</v>
      </c>
      <c r="C3241" s="1" t="s">
        <v>5794</v>
      </c>
    </row>
    <row r="3242" spans="1:3" ht="15.75" customHeight="1" x14ac:dyDescent="0.25">
      <c r="A3242" s="1" t="s">
        <v>6175</v>
      </c>
      <c r="B3242" s="1" t="s">
        <v>6052</v>
      </c>
      <c r="C3242" s="1" t="s">
        <v>6174</v>
      </c>
    </row>
    <row r="3243" spans="1:3" ht="15.75" customHeight="1" x14ac:dyDescent="0.25">
      <c r="A3243" s="1" t="s">
        <v>6173</v>
      </c>
      <c r="B3243" s="1" t="s">
        <v>6172</v>
      </c>
      <c r="C3243" s="1" t="s">
        <v>5873</v>
      </c>
    </row>
    <row r="3244" spans="1:3" ht="15.75" customHeight="1" x14ac:dyDescent="0.25">
      <c r="A3244" s="1" t="s">
        <v>1260</v>
      </c>
      <c r="B3244" s="1" t="s">
        <v>6171</v>
      </c>
      <c r="C3244" s="1" t="s">
        <v>5868</v>
      </c>
    </row>
    <row r="3245" spans="1:3" ht="15.75" customHeight="1" x14ac:dyDescent="0.25">
      <c r="A3245" s="1" t="s">
        <v>6170</v>
      </c>
      <c r="B3245" s="1" t="s">
        <v>6169</v>
      </c>
      <c r="C3245" s="1" t="s">
        <v>6168</v>
      </c>
    </row>
    <row r="3246" spans="1:3" ht="15.75" customHeight="1" x14ac:dyDescent="0.25">
      <c r="A3246" s="1" t="s">
        <v>2478</v>
      </c>
      <c r="B3246" s="1" t="s">
        <v>6167</v>
      </c>
      <c r="C3246" s="1" t="s">
        <v>6166</v>
      </c>
    </row>
    <row r="3247" spans="1:3" ht="15.75" customHeight="1" x14ac:dyDescent="0.25">
      <c r="A3247" s="1" t="s">
        <v>2472</v>
      </c>
      <c r="B3247" s="1" t="s">
        <v>6165</v>
      </c>
      <c r="C3247" s="1" t="s">
        <v>5802</v>
      </c>
    </row>
    <row r="3248" spans="1:3" ht="15.75" customHeight="1" x14ac:dyDescent="0.25">
      <c r="A3248" s="1" t="s">
        <v>1658</v>
      </c>
      <c r="B3248" s="1" t="s">
        <v>6164</v>
      </c>
      <c r="C3248" s="1" t="s">
        <v>5798</v>
      </c>
    </row>
    <row r="3249" spans="1:3" ht="15.75" customHeight="1" x14ac:dyDescent="0.25">
      <c r="A3249" s="1" t="s">
        <v>2573</v>
      </c>
      <c r="B3249" s="1" t="s">
        <v>6163</v>
      </c>
      <c r="C3249" s="1" t="s">
        <v>5802</v>
      </c>
    </row>
    <row r="3250" spans="1:3" ht="15.75" customHeight="1" x14ac:dyDescent="0.25">
      <c r="A3250" s="1" t="s">
        <v>2199</v>
      </c>
      <c r="B3250" s="1" t="s">
        <v>6162</v>
      </c>
      <c r="C3250" s="1" t="s">
        <v>5802</v>
      </c>
    </row>
    <row r="3251" spans="1:3" ht="15.75" customHeight="1" x14ac:dyDescent="0.25">
      <c r="A3251" s="1" t="s">
        <v>2120</v>
      </c>
      <c r="B3251" s="1" t="s">
        <v>6161</v>
      </c>
      <c r="C3251" s="1" t="s">
        <v>5925</v>
      </c>
    </row>
    <row r="3252" spans="1:3" ht="15.75" customHeight="1" x14ac:dyDescent="0.25">
      <c r="A3252" s="1" t="s">
        <v>1301</v>
      </c>
      <c r="B3252" s="1" t="s">
        <v>6160</v>
      </c>
      <c r="C3252" s="1" t="s">
        <v>5802</v>
      </c>
    </row>
    <row r="3253" spans="1:3" ht="15.75" customHeight="1" x14ac:dyDescent="0.25">
      <c r="A3253" s="1" t="s">
        <v>2349</v>
      </c>
      <c r="B3253" s="1" t="s">
        <v>6159</v>
      </c>
      <c r="C3253" s="1" t="s">
        <v>5802</v>
      </c>
    </row>
    <row r="3254" spans="1:3" ht="15.75" customHeight="1" x14ac:dyDescent="0.25">
      <c r="A3254" s="1" t="s">
        <v>1483</v>
      </c>
      <c r="B3254" s="1" t="s">
        <v>6158</v>
      </c>
      <c r="C3254" s="1" t="s">
        <v>5798</v>
      </c>
    </row>
    <row r="3255" spans="1:3" ht="15.75" customHeight="1" x14ac:dyDescent="0.25">
      <c r="A3255" s="1" t="s">
        <v>6157</v>
      </c>
      <c r="B3255" s="1" t="s">
        <v>6156</v>
      </c>
      <c r="C3255" s="1" t="s">
        <v>5925</v>
      </c>
    </row>
    <row r="3256" spans="1:3" ht="15.75" customHeight="1" x14ac:dyDescent="0.25">
      <c r="A3256" s="1" t="s">
        <v>6155</v>
      </c>
      <c r="B3256" s="1" t="s">
        <v>6154</v>
      </c>
      <c r="C3256" s="1" t="s">
        <v>5794</v>
      </c>
    </row>
    <row r="3257" spans="1:3" ht="15.75" customHeight="1" x14ac:dyDescent="0.25">
      <c r="A3257" s="1" t="s">
        <v>6153</v>
      </c>
      <c r="B3257" s="1" t="s">
        <v>6152</v>
      </c>
      <c r="C3257" s="1" t="s">
        <v>5787</v>
      </c>
    </row>
    <row r="3258" spans="1:3" ht="15.75" customHeight="1" x14ac:dyDescent="0.25">
      <c r="A3258" s="1" t="s">
        <v>2431</v>
      </c>
      <c r="B3258" s="1" t="s">
        <v>6151</v>
      </c>
      <c r="C3258" s="1" t="s">
        <v>5805</v>
      </c>
    </row>
    <row r="3259" spans="1:3" ht="15.75" customHeight="1" x14ac:dyDescent="0.25">
      <c r="A3259" s="1" t="s">
        <v>6150</v>
      </c>
      <c r="B3259" s="1" t="s">
        <v>5941</v>
      </c>
      <c r="C3259" s="1" t="s">
        <v>5794</v>
      </c>
    </row>
    <row r="3260" spans="1:3" ht="15.75" customHeight="1" x14ac:dyDescent="0.25">
      <c r="A3260" s="1" t="s">
        <v>1134</v>
      </c>
      <c r="B3260" s="1" t="s">
        <v>6149</v>
      </c>
      <c r="C3260" s="1" t="s">
        <v>5868</v>
      </c>
    </row>
    <row r="3261" spans="1:3" ht="15.75" customHeight="1" x14ac:dyDescent="0.25">
      <c r="A3261" s="1" t="s">
        <v>2158</v>
      </c>
      <c r="B3261" s="1" t="s">
        <v>6148</v>
      </c>
      <c r="C3261" s="1" t="s">
        <v>5925</v>
      </c>
    </row>
    <row r="3262" spans="1:3" ht="15.75" customHeight="1" x14ac:dyDescent="0.25">
      <c r="A3262" s="1" t="s">
        <v>4136</v>
      </c>
      <c r="B3262" s="1" t="s">
        <v>6147</v>
      </c>
      <c r="C3262" s="1" t="s">
        <v>5805</v>
      </c>
    </row>
    <row r="3263" spans="1:3" ht="15.75" customHeight="1" x14ac:dyDescent="0.25">
      <c r="A3263" s="1" t="s">
        <v>6146</v>
      </c>
      <c r="B3263" s="1" t="s">
        <v>6145</v>
      </c>
      <c r="C3263" s="1" t="s">
        <v>5794</v>
      </c>
    </row>
    <row r="3264" spans="1:3" ht="15.75" customHeight="1" x14ac:dyDescent="0.25">
      <c r="A3264" s="1" t="s">
        <v>794</v>
      </c>
      <c r="B3264" s="1" t="s">
        <v>6144</v>
      </c>
      <c r="C3264" s="1" t="s">
        <v>5805</v>
      </c>
    </row>
    <row r="3265" spans="1:3" ht="15.75" customHeight="1" x14ac:dyDescent="0.25">
      <c r="A3265" s="1" t="s">
        <v>2069</v>
      </c>
      <c r="B3265" s="1" t="s">
        <v>6143</v>
      </c>
      <c r="C3265" s="1" t="s">
        <v>5802</v>
      </c>
    </row>
    <row r="3266" spans="1:3" ht="15.75" customHeight="1" x14ac:dyDescent="0.25">
      <c r="A3266" s="1" t="s">
        <v>2177</v>
      </c>
      <c r="B3266" s="1" t="s">
        <v>6142</v>
      </c>
      <c r="C3266" s="1" t="s">
        <v>5868</v>
      </c>
    </row>
    <row r="3267" spans="1:3" ht="15.75" customHeight="1" x14ac:dyDescent="0.25">
      <c r="A3267" s="1" t="s">
        <v>5238</v>
      </c>
      <c r="B3267" s="1" t="s">
        <v>6141</v>
      </c>
      <c r="C3267" s="1" t="s">
        <v>6140</v>
      </c>
    </row>
    <row r="3268" spans="1:3" ht="15.75" customHeight="1" x14ac:dyDescent="0.25">
      <c r="A3268" s="1" t="s">
        <v>1991</v>
      </c>
      <c r="B3268" s="1" t="s">
        <v>6139</v>
      </c>
      <c r="C3268" s="1" t="s">
        <v>5802</v>
      </c>
    </row>
    <row r="3269" spans="1:3" ht="15.75" customHeight="1" x14ac:dyDescent="0.25">
      <c r="A3269" s="1" t="s">
        <v>4276</v>
      </c>
      <c r="B3269" s="1" t="s">
        <v>6138</v>
      </c>
      <c r="C3269" s="1" t="s">
        <v>5796</v>
      </c>
    </row>
    <row r="3270" spans="1:3" ht="15.75" customHeight="1" x14ac:dyDescent="0.25">
      <c r="A3270" s="1" t="s">
        <v>1811</v>
      </c>
      <c r="B3270" s="1" t="s">
        <v>6137</v>
      </c>
      <c r="C3270" s="1" t="s">
        <v>5802</v>
      </c>
    </row>
    <row r="3271" spans="1:3" ht="15.75" customHeight="1" x14ac:dyDescent="0.25">
      <c r="A3271" s="1" t="s">
        <v>3319</v>
      </c>
      <c r="B3271" s="1" t="s">
        <v>6136</v>
      </c>
      <c r="C3271" s="1" t="s">
        <v>5796</v>
      </c>
    </row>
    <row r="3272" spans="1:3" ht="15.75" customHeight="1" x14ac:dyDescent="0.25">
      <c r="A3272" s="1" t="s">
        <v>2046</v>
      </c>
      <c r="B3272" s="1" t="s">
        <v>6135</v>
      </c>
      <c r="C3272" s="1" t="s">
        <v>5925</v>
      </c>
    </row>
    <row r="3273" spans="1:3" ht="15.75" customHeight="1" x14ac:dyDescent="0.25">
      <c r="A3273" s="1" t="s">
        <v>1618</v>
      </c>
      <c r="B3273" s="1" t="s">
        <v>6134</v>
      </c>
    </row>
    <row r="3274" spans="1:3" ht="15.75" customHeight="1" x14ac:dyDescent="0.25">
      <c r="A3274" s="1" t="s">
        <v>4152</v>
      </c>
      <c r="B3274" s="1" t="s">
        <v>6133</v>
      </c>
      <c r="C3274" s="1" t="s">
        <v>5796</v>
      </c>
    </row>
    <row r="3275" spans="1:3" ht="15.75" customHeight="1" x14ac:dyDescent="0.25">
      <c r="A3275" s="1" t="s">
        <v>1477</v>
      </c>
      <c r="B3275" s="1" t="s">
        <v>6132</v>
      </c>
      <c r="C3275" s="1" t="s">
        <v>5794</v>
      </c>
    </row>
    <row r="3276" spans="1:3" ht="15.75" customHeight="1" x14ac:dyDescent="0.25">
      <c r="A3276" s="1" t="s">
        <v>3309</v>
      </c>
      <c r="B3276" s="1" t="s">
        <v>6131</v>
      </c>
      <c r="C3276" s="1" t="s">
        <v>5873</v>
      </c>
    </row>
    <row r="3277" spans="1:3" ht="15.75" customHeight="1" x14ac:dyDescent="0.25">
      <c r="A3277" s="1" t="s">
        <v>2772</v>
      </c>
      <c r="B3277" s="1" t="s">
        <v>6130</v>
      </c>
      <c r="C3277" s="1" t="s">
        <v>5805</v>
      </c>
    </row>
    <row r="3278" spans="1:3" ht="15.75" customHeight="1" x14ac:dyDescent="0.25">
      <c r="A3278" s="1" t="s">
        <v>1999</v>
      </c>
      <c r="B3278" s="1" t="s">
        <v>6129</v>
      </c>
      <c r="C3278" s="1" t="s">
        <v>5802</v>
      </c>
    </row>
    <row r="3279" spans="1:3" ht="15.75" customHeight="1" x14ac:dyDescent="0.25">
      <c r="A3279" s="1" t="s">
        <v>6128</v>
      </c>
      <c r="B3279" s="1" t="s">
        <v>6127</v>
      </c>
      <c r="C3279" s="1" t="s">
        <v>5802</v>
      </c>
    </row>
    <row r="3280" spans="1:3" ht="15.75" customHeight="1" x14ac:dyDescent="0.25">
      <c r="A3280" s="1" t="s">
        <v>2878</v>
      </c>
      <c r="B3280" s="1" t="s">
        <v>6126</v>
      </c>
      <c r="C3280" s="1" t="s">
        <v>6125</v>
      </c>
    </row>
    <row r="3281" spans="1:3" ht="15.75" customHeight="1" x14ac:dyDescent="0.25">
      <c r="A3281" s="1" t="s">
        <v>2376</v>
      </c>
      <c r="B3281" s="1" t="s">
        <v>6124</v>
      </c>
      <c r="C3281" s="1" t="s">
        <v>5802</v>
      </c>
    </row>
    <row r="3282" spans="1:3" ht="15.75" customHeight="1" x14ac:dyDescent="0.25">
      <c r="A3282" s="1" t="s">
        <v>4106</v>
      </c>
      <c r="B3282" s="1" t="s">
        <v>6123</v>
      </c>
      <c r="C3282" s="1" t="s">
        <v>6122</v>
      </c>
    </row>
    <row r="3283" spans="1:3" ht="15.75" customHeight="1" x14ac:dyDescent="0.25">
      <c r="A3283" s="1" t="s">
        <v>6121</v>
      </c>
      <c r="B3283" s="1" t="s">
        <v>6120</v>
      </c>
      <c r="C3283" s="1" t="s">
        <v>5873</v>
      </c>
    </row>
    <row r="3284" spans="1:3" ht="15.75" customHeight="1" x14ac:dyDescent="0.25">
      <c r="A3284" s="1" t="s">
        <v>1973</v>
      </c>
      <c r="B3284" s="1" t="s">
        <v>6119</v>
      </c>
      <c r="C3284" s="1" t="s">
        <v>5802</v>
      </c>
    </row>
    <row r="3285" spans="1:3" ht="15.75" customHeight="1" x14ac:dyDescent="0.25">
      <c r="A3285" s="1" t="s">
        <v>6118</v>
      </c>
      <c r="B3285" s="1" t="s">
        <v>6117</v>
      </c>
    </row>
    <row r="3286" spans="1:3" ht="15.75" customHeight="1" x14ac:dyDescent="0.25">
      <c r="A3286" s="1" t="s">
        <v>6116</v>
      </c>
      <c r="B3286" s="1" t="s">
        <v>6115</v>
      </c>
      <c r="C3286" s="1" t="s">
        <v>5805</v>
      </c>
    </row>
    <row r="3287" spans="1:3" ht="15.75" customHeight="1" x14ac:dyDescent="0.25">
      <c r="A3287" s="1" t="s">
        <v>6114</v>
      </c>
      <c r="B3287" s="1" t="s">
        <v>6113</v>
      </c>
      <c r="C3287" s="1" t="s">
        <v>5868</v>
      </c>
    </row>
    <row r="3288" spans="1:3" ht="15.75" customHeight="1" x14ac:dyDescent="0.25">
      <c r="A3288" s="1" t="s">
        <v>2030</v>
      </c>
      <c r="B3288" s="1" t="s">
        <v>6112</v>
      </c>
      <c r="C3288" s="1" t="s">
        <v>5805</v>
      </c>
    </row>
    <row r="3289" spans="1:3" ht="15.75" customHeight="1" x14ac:dyDescent="0.25">
      <c r="A3289" s="1" t="s">
        <v>1143</v>
      </c>
      <c r="B3289" s="1" t="s">
        <v>6111</v>
      </c>
      <c r="C3289" s="1" t="s">
        <v>5945</v>
      </c>
    </row>
    <row r="3290" spans="1:3" ht="15.75" customHeight="1" x14ac:dyDescent="0.25">
      <c r="A3290" s="1" t="s">
        <v>6110</v>
      </c>
      <c r="B3290" s="1" t="s">
        <v>6109</v>
      </c>
      <c r="C3290" s="1" t="s">
        <v>5802</v>
      </c>
    </row>
    <row r="3291" spans="1:3" ht="15.75" customHeight="1" x14ac:dyDescent="0.25">
      <c r="A3291" s="1" t="s">
        <v>6108</v>
      </c>
      <c r="B3291" s="1" t="s">
        <v>6107</v>
      </c>
      <c r="C3291" s="1" t="s">
        <v>5798</v>
      </c>
    </row>
    <row r="3292" spans="1:3" ht="15.75" customHeight="1" x14ac:dyDescent="0.25">
      <c r="A3292" s="1" t="s">
        <v>4766</v>
      </c>
      <c r="B3292" s="1" t="s">
        <v>6106</v>
      </c>
      <c r="C3292" s="1" t="s">
        <v>5873</v>
      </c>
    </row>
    <row r="3293" spans="1:3" ht="15.75" customHeight="1" x14ac:dyDescent="0.25">
      <c r="A3293" s="1" t="s">
        <v>6105</v>
      </c>
      <c r="B3293" s="1" t="s">
        <v>6104</v>
      </c>
      <c r="C3293" s="1" t="s">
        <v>5794</v>
      </c>
    </row>
    <row r="3294" spans="1:3" ht="15.75" customHeight="1" x14ac:dyDescent="0.25">
      <c r="A3294" s="1" t="s">
        <v>4270</v>
      </c>
      <c r="B3294" s="1" t="s">
        <v>6103</v>
      </c>
      <c r="C3294" s="1" t="s">
        <v>5945</v>
      </c>
    </row>
    <row r="3295" spans="1:3" ht="15.75" customHeight="1" x14ac:dyDescent="0.25">
      <c r="A3295" s="1" t="s">
        <v>1926</v>
      </c>
      <c r="B3295" s="1" t="s">
        <v>6102</v>
      </c>
      <c r="C3295" s="1" t="s">
        <v>5805</v>
      </c>
    </row>
    <row r="3296" spans="1:3" ht="15.75" customHeight="1" x14ac:dyDescent="0.25">
      <c r="A3296" s="1" t="s">
        <v>6101</v>
      </c>
      <c r="B3296" s="1" t="s">
        <v>5994</v>
      </c>
      <c r="C3296" s="1" t="s">
        <v>6100</v>
      </c>
    </row>
    <row r="3297" spans="1:3" ht="15.75" customHeight="1" x14ac:dyDescent="0.25">
      <c r="A3297" s="1" t="s">
        <v>1765</v>
      </c>
      <c r="B3297" s="1" t="s">
        <v>1764</v>
      </c>
      <c r="C3297" s="1" t="s">
        <v>5802</v>
      </c>
    </row>
    <row r="3298" spans="1:3" ht="15.75" customHeight="1" x14ac:dyDescent="0.25">
      <c r="A3298" s="1" t="s">
        <v>6099</v>
      </c>
      <c r="B3298" s="1" t="s">
        <v>5994</v>
      </c>
      <c r="C3298" s="1" t="s">
        <v>6098</v>
      </c>
    </row>
    <row r="3299" spans="1:3" ht="15.75" customHeight="1" x14ac:dyDescent="0.25">
      <c r="A3299" s="1" t="s">
        <v>6097</v>
      </c>
      <c r="B3299" s="1" t="s">
        <v>5994</v>
      </c>
      <c r="C3299" s="1" t="s">
        <v>6096</v>
      </c>
    </row>
    <row r="3300" spans="1:3" ht="15.75" customHeight="1" x14ac:dyDescent="0.25">
      <c r="A3300" s="1" t="s">
        <v>1299</v>
      </c>
      <c r="B3300" s="1" t="s">
        <v>6095</v>
      </c>
      <c r="C3300" s="1" t="s">
        <v>5802</v>
      </c>
    </row>
    <row r="3301" spans="1:3" ht="15.75" customHeight="1" x14ac:dyDescent="0.25">
      <c r="A3301" s="1" t="s">
        <v>3219</v>
      </c>
      <c r="B3301" s="1" t="s">
        <v>6094</v>
      </c>
      <c r="C3301" s="1" t="s">
        <v>6093</v>
      </c>
    </row>
    <row r="3302" spans="1:3" ht="15.75" customHeight="1" x14ac:dyDescent="0.25">
      <c r="A3302" s="1" t="s">
        <v>1499</v>
      </c>
      <c r="B3302" s="1" t="s">
        <v>6092</v>
      </c>
      <c r="C3302" s="1" t="s">
        <v>5802</v>
      </c>
    </row>
    <row r="3303" spans="1:3" ht="15.75" customHeight="1" x14ac:dyDescent="0.25">
      <c r="A3303" s="1" t="s">
        <v>1130</v>
      </c>
      <c r="B3303" s="1" t="s">
        <v>6091</v>
      </c>
      <c r="C3303" s="1" t="s">
        <v>5798</v>
      </c>
    </row>
    <row r="3304" spans="1:3" ht="15.75" customHeight="1" x14ac:dyDescent="0.25">
      <c r="A3304" s="1" t="s">
        <v>1805</v>
      </c>
      <c r="B3304" s="1" t="s">
        <v>6090</v>
      </c>
      <c r="C3304" s="1" t="s">
        <v>6089</v>
      </c>
    </row>
    <row r="3305" spans="1:3" ht="15.75" customHeight="1" x14ac:dyDescent="0.25">
      <c r="A3305" s="1" t="s">
        <v>4431</v>
      </c>
      <c r="B3305" s="1" t="s">
        <v>6088</v>
      </c>
      <c r="C3305" s="1" t="s">
        <v>5796</v>
      </c>
    </row>
    <row r="3306" spans="1:3" ht="15.75" customHeight="1" x14ac:dyDescent="0.25">
      <c r="A3306" s="1" t="s">
        <v>747</v>
      </c>
      <c r="B3306" s="1" t="s">
        <v>6087</v>
      </c>
      <c r="C3306" s="1" t="s">
        <v>5787</v>
      </c>
    </row>
    <row r="3307" spans="1:3" ht="15.75" customHeight="1" x14ac:dyDescent="0.25">
      <c r="A3307" s="1" t="s">
        <v>798</v>
      </c>
      <c r="B3307" s="1" t="s">
        <v>6086</v>
      </c>
      <c r="C3307" s="1" t="s">
        <v>5805</v>
      </c>
    </row>
    <row r="3308" spans="1:3" ht="15.75" customHeight="1" x14ac:dyDescent="0.25">
      <c r="A3308" s="1" t="s">
        <v>1977</v>
      </c>
      <c r="B3308" s="1" t="s">
        <v>6085</v>
      </c>
      <c r="C3308" s="1" t="s">
        <v>5802</v>
      </c>
    </row>
    <row r="3309" spans="1:3" ht="15.75" customHeight="1" x14ac:dyDescent="0.25">
      <c r="A3309" s="1" t="s">
        <v>5006</v>
      </c>
      <c r="B3309" s="1" t="s">
        <v>6084</v>
      </c>
      <c r="C3309" s="1" t="s">
        <v>5796</v>
      </c>
    </row>
    <row r="3310" spans="1:3" ht="15.75" customHeight="1" x14ac:dyDescent="0.25">
      <c r="A3310" s="1" t="s">
        <v>3113</v>
      </c>
      <c r="B3310" s="1" t="s">
        <v>6083</v>
      </c>
      <c r="C3310" s="1" t="s">
        <v>5796</v>
      </c>
    </row>
    <row r="3311" spans="1:3" ht="15.75" customHeight="1" x14ac:dyDescent="0.25">
      <c r="A3311" s="1" t="s">
        <v>1401</v>
      </c>
      <c r="B3311" s="1" t="s">
        <v>6082</v>
      </c>
      <c r="C3311" s="1" t="s">
        <v>5948</v>
      </c>
    </row>
    <row r="3312" spans="1:3" ht="15.75" customHeight="1" x14ac:dyDescent="0.25">
      <c r="A3312" s="1" t="s">
        <v>911</v>
      </c>
      <c r="B3312" s="1" t="s">
        <v>6081</v>
      </c>
      <c r="C3312" s="1" t="s">
        <v>5805</v>
      </c>
    </row>
    <row r="3313" spans="1:3" ht="15.75" customHeight="1" x14ac:dyDescent="0.25">
      <c r="A3313" s="1" t="s">
        <v>2042</v>
      </c>
      <c r="B3313" s="1" t="s">
        <v>6080</v>
      </c>
      <c r="C3313" s="1" t="s">
        <v>5798</v>
      </c>
    </row>
    <row r="3314" spans="1:3" ht="15.75" customHeight="1" x14ac:dyDescent="0.25">
      <c r="A3314" s="1" t="s">
        <v>1224</v>
      </c>
      <c r="B3314" s="1" t="s">
        <v>6079</v>
      </c>
      <c r="C3314" s="1" t="s">
        <v>5945</v>
      </c>
    </row>
    <row r="3315" spans="1:3" ht="15.75" customHeight="1" x14ac:dyDescent="0.25">
      <c r="A3315" s="1" t="s">
        <v>6078</v>
      </c>
      <c r="B3315" s="1" t="s">
        <v>6077</v>
      </c>
      <c r="C3315" s="1" t="s">
        <v>5805</v>
      </c>
    </row>
    <row r="3316" spans="1:3" ht="15.75" customHeight="1" x14ac:dyDescent="0.25">
      <c r="A3316" s="1" t="s">
        <v>804</v>
      </c>
      <c r="B3316" s="1" t="s">
        <v>6076</v>
      </c>
      <c r="C3316" s="1" t="s">
        <v>5945</v>
      </c>
    </row>
    <row r="3317" spans="1:3" ht="15.75" customHeight="1" x14ac:dyDescent="0.25">
      <c r="A3317" s="1" t="s">
        <v>12</v>
      </c>
      <c r="B3317" s="1" t="s">
        <v>6075</v>
      </c>
      <c r="C3317" s="1" t="s">
        <v>5930</v>
      </c>
    </row>
    <row r="3318" spans="1:3" ht="15.75" customHeight="1" x14ac:dyDescent="0.25">
      <c r="A3318" s="1" t="s">
        <v>3976</v>
      </c>
      <c r="B3318" s="1" t="s">
        <v>6074</v>
      </c>
      <c r="C3318" s="1" t="s">
        <v>5787</v>
      </c>
    </row>
    <row r="3319" spans="1:3" ht="15.75" customHeight="1" x14ac:dyDescent="0.25">
      <c r="A3319" s="1" t="s">
        <v>6073</v>
      </c>
      <c r="B3319" s="1" t="s">
        <v>6072</v>
      </c>
      <c r="C3319" s="1" t="s">
        <v>5873</v>
      </c>
    </row>
    <row r="3320" spans="1:3" ht="15.75" customHeight="1" x14ac:dyDescent="0.25">
      <c r="A3320" s="1" t="s">
        <v>695</v>
      </c>
      <c r="B3320" s="1" t="s">
        <v>6071</v>
      </c>
      <c r="C3320" s="1" t="s">
        <v>5868</v>
      </c>
    </row>
    <row r="3321" spans="1:3" ht="15.75" customHeight="1" x14ac:dyDescent="0.25">
      <c r="A3321" s="1" t="s">
        <v>890</v>
      </c>
      <c r="B3321" s="1" t="s">
        <v>6070</v>
      </c>
      <c r="C3321" s="1" t="s">
        <v>5945</v>
      </c>
    </row>
    <row r="3322" spans="1:3" ht="15.75" customHeight="1" x14ac:dyDescent="0.25">
      <c r="A3322" s="1" t="s">
        <v>6069</v>
      </c>
      <c r="B3322" s="1" t="s">
        <v>6068</v>
      </c>
      <c r="C3322" s="1" t="s">
        <v>5873</v>
      </c>
    </row>
    <row r="3323" spans="1:3" ht="15.75" customHeight="1" x14ac:dyDescent="0.25">
      <c r="A3323" s="1" t="s">
        <v>2183</v>
      </c>
      <c r="B3323" s="1" t="s">
        <v>6067</v>
      </c>
      <c r="C3323" s="1" t="s">
        <v>5802</v>
      </c>
    </row>
    <row r="3324" spans="1:3" ht="15.75" customHeight="1" x14ac:dyDescent="0.25">
      <c r="A3324" s="1" t="s">
        <v>1445</v>
      </c>
      <c r="B3324" s="1" t="s">
        <v>6066</v>
      </c>
      <c r="C3324" s="1" t="s">
        <v>5802</v>
      </c>
    </row>
    <row r="3325" spans="1:3" ht="15.75" customHeight="1" x14ac:dyDescent="0.25">
      <c r="A3325" s="1" t="s">
        <v>1370</v>
      </c>
      <c r="B3325" s="1" t="s">
        <v>6065</v>
      </c>
      <c r="C3325" s="1" t="s">
        <v>5805</v>
      </c>
    </row>
    <row r="3326" spans="1:3" ht="15.75" customHeight="1" x14ac:dyDescent="0.25">
      <c r="A3326" s="1" t="s">
        <v>1565</v>
      </c>
      <c r="B3326" s="1" t="s">
        <v>6064</v>
      </c>
      <c r="C3326" s="1" t="s">
        <v>5805</v>
      </c>
    </row>
    <row r="3327" spans="1:3" ht="15.75" customHeight="1" x14ac:dyDescent="0.25">
      <c r="A3327" s="1" t="s">
        <v>6063</v>
      </c>
      <c r="B3327" s="1" t="s">
        <v>6062</v>
      </c>
      <c r="C3327" s="1" t="s">
        <v>5802</v>
      </c>
    </row>
    <row r="3328" spans="1:3" ht="15.75" customHeight="1" x14ac:dyDescent="0.25">
      <c r="A3328" s="1" t="s">
        <v>689</v>
      </c>
      <c r="B3328" s="1" t="s">
        <v>6061</v>
      </c>
      <c r="C3328" s="1" t="s">
        <v>5805</v>
      </c>
    </row>
    <row r="3329" spans="1:3" ht="15.75" customHeight="1" x14ac:dyDescent="0.25">
      <c r="A3329" s="1" t="s">
        <v>2470</v>
      </c>
      <c r="B3329" s="1" t="s">
        <v>6060</v>
      </c>
      <c r="C3329" s="1" t="s">
        <v>6059</v>
      </c>
    </row>
    <row r="3330" spans="1:3" ht="15.75" customHeight="1" x14ac:dyDescent="0.25">
      <c r="A3330" s="1" t="s">
        <v>2142</v>
      </c>
      <c r="B3330" s="1" t="s">
        <v>6058</v>
      </c>
      <c r="C3330" s="1" t="s">
        <v>5873</v>
      </c>
    </row>
    <row r="3331" spans="1:3" ht="15.75" customHeight="1" x14ac:dyDescent="0.25">
      <c r="A3331" s="1" t="s">
        <v>6057</v>
      </c>
      <c r="B3331" s="1" t="s">
        <v>6056</v>
      </c>
      <c r="C3331" s="1" t="s">
        <v>5802</v>
      </c>
    </row>
    <row r="3332" spans="1:3" ht="15.75" customHeight="1" x14ac:dyDescent="0.25">
      <c r="A3332" s="1" t="s">
        <v>892</v>
      </c>
      <c r="B3332" s="1" t="s">
        <v>6055</v>
      </c>
      <c r="C3332" s="1" t="s">
        <v>5945</v>
      </c>
    </row>
    <row r="3333" spans="1:3" ht="15.75" customHeight="1" x14ac:dyDescent="0.25">
      <c r="A3333" s="1" t="s">
        <v>6054</v>
      </c>
      <c r="B3333" s="1" t="s">
        <v>6053</v>
      </c>
      <c r="C3333" s="1" t="s">
        <v>5873</v>
      </c>
    </row>
    <row r="3334" spans="1:3" ht="15.75" customHeight="1" x14ac:dyDescent="0.25">
      <c r="A3334" s="1" t="s">
        <v>4588</v>
      </c>
      <c r="B3334" s="1" t="s">
        <v>6052</v>
      </c>
      <c r="C3334" s="1" t="s">
        <v>6051</v>
      </c>
    </row>
    <row r="3335" spans="1:3" ht="15.75" customHeight="1" x14ac:dyDescent="0.25">
      <c r="A3335" s="1" t="s">
        <v>1809</v>
      </c>
      <c r="B3335" s="1" t="s">
        <v>6050</v>
      </c>
      <c r="C3335" s="1" t="s">
        <v>5802</v>
      </c>
    </row>
    <row r="3336" spans="1:3" ht="15.75" customHeight="1" x14ac:dyDescent="0.25">
      <c r="A3336" s="1" t="s">
        <v>2073</v>
      </c>
      <c r="B3336" s="1" t="s">
        <v>6049</v>
      </c>
      <c r="C3336" s="1" t="s">
        <v>5798</v>
      </c>
    </row>
    <row r="3337" spans="1:3" ht="15.75" customHeight="1" x14ac:dyDescent="0.25">
      <c r="A3337" s="1" t="s">
        <v>2788</v>
      </c>
      <c r="B3337" s="1" t="s">
        <v>6048</v>
      </c>
      <c r="C3337" s="1" t="s">
        <v>5805</v>
      </c>
    </row>
    <row r="3338" spans="1:3" ht="15.75" customHeight="1" x14ac:dyDescent="0.25">
      <c r="A3338" s="1" t="s">
        <v>1507</v>
      </c>
      <c r="B3338" s="1" t="s">
        <v>6047</v>
      </c>
      <c r="C3338" s="1" t="s">
        <v>6035</v>
      </c>
    </row>
    <row r="3339" spans="1:3" ht="15.75" customHeight="1" x14ac:dyDescent="0.25">
      <c r="A3339" s="1" t="s">
        <v>2335</v>
      </c>
      <c r="B3339" s="1" t="s">
        <v>6046</v>
      </c>
      <c r="C3339" s="1" t="s">
        <v>5805</v>
      </c>
    </row>
    <row r="3340" spans="1:3" ht="15.75" customHeight="1" x14ac:dyDescent="0.25">
      <c r="A3340" s="1" t="s">
        <v>2339</v>
      </c>
      <c r="B3340" s="1" t="s">
        <v>6045</v>
      </c>
      <c r="C3340" s="1" t="s">
        <v>5945</v>
      </c>
    </row>
    <row r="3341" spans="1:3" ht="15.75" customHeight="1" x14ac:dyDescent="0.25">
      <c r="A3341" s="1" t="s">
        <v>4166</v>
      </c>
      <c r="B3341" s="1" t="s">
        <v>6044</v>
      </c>
      <c r="C3341" s="1" t="s">
        <v>6043</v>
      </c>
    </row>
    <row r="3342" spans="1:3" ht="15.75" customHeight="1" x14ac:dyDescent="0.25">
      <c r="A3342" s="1" t="s">
        <v>1345</v>
      </c>
      <c r="B3342" s="1" t="s">
        <v>6042</v>
      </c>
      <c r="C3342" s="1" t="s">
        <v>5805</v>
      </c>
    </row>
    <row r="3343" spans="1:3" ht="15.75" customHeight="1" x14ac:dyDescent="0.25">
      <c r="A3343" s="1" t="s">
        <v>3507</v>
      </c>
      <c r="B3343" s="1" t="s">
        <v>6041</v>
      </c>
      <c r="C3343" s="1" t="s">
        <v>5873</v>
      </c>
    </row>
    <row r="3344" spans="1:3" ht="15.75" customHeight="1" x14ac:dyDescent="0.25">
      <c r="A3344" s="1" t="s">
        <v>4566</v>
      </c>
      <c r="B3344" s="1" t="s">
        <v>6040</v>
      </c>
      <c r="C3344" s="1" t="s">
        <v>5787</v>
      </c>
    </row>
    <row r="3345" spans="1:3" ht="15.75" customHeight="1" x14ac:dyDescent="0.25">
      <c r="A3345" s="1" t="s">
        <v>4231</v>
      </c>
      <c r="B3345" s="1" t="s">
        <v>6039</v>
      </c>
      <c r="C3345" s="1" t="s">
        <v>5805</v>
      </c>
    </row>
    <row r="3346" spans="1:3" ht="15.75" customHeight="1" x14ac:dyDescent="0.25">
      <c r="A3346" s="1" t="s">
        <v>3815</v>
      </c>
      <c r="B3346" s="1" t="s">
        <v>6038</v>
      </c>
      <c r="C3346" s="1" t="s">
        <v>5945</v>
      </c>
    </row>
    <row r="3347" spans="1:3" ht="15.75" customHeight="1" x14ac:dyDescent="0.25">
      <c r="A3347" s="1" t="s">
        <v>3652</v>
      </c>
      <c r="B3347" s="1" t="s">
        <v>6037</v>
      </c>
      <c r="C3347" s="1" t="s">
        <v>5794</v>
      </c>
    </row>
    <row r="3348" spans="1:3" ht="15.75" customHeight="1" x14ac:dyDescent="0.25">
      <c r="A3348" s="1" t="s">
        <v>2698</v>
      </c>
      <c r="B3348" s="1" t="s">
        <v>6036</v>
      </c>
      <c r="C3348" s="1" t="s">
        <v>6035</v>
      </c>
    </row>
    <row r="3349" spans="1:3" ht="15.75" customHeight="1" x14ac:dyDescent="0.25">
      <c r="A3349" s="1" t="s">
        <v>1411</v>
      </c>
      <c r="B3349" s="1" t="s">
        <v>6034</v>
      </c>
      <c r="C3349" s="1" t="s">
        <v>5873</v>
      </c>
    </row>
    <row r="3350" spans="1:3" ht="15.75" customHeight="1" x14ac:dyDescent="0.25">
      <c r="A3350" s="1" t="s">
        <v>6033</v>
      </c>
      <c r="B3350" s="1" t="s">
        <v>6032</v>
      </c>
      <c r="C3350" s="1" t="s">
        <v>5868</v>
      </c>
    </row>
    <row r="3351" spans="1:3" ht="15.75" customHeight="1" x14ac:dyDescent="0.25">
      <c r="A3351" s="1" t="s">
        <v>1158</v>
      </c>
      <c r="B3351" s="1" t="s">
        <v>6031</v>
      </c>
      <c r="C3351" s="1" t="s">
        <v>5925</v>
      </c>
    </row>
    <row r="3352" spans="1:3" ht="15.75" customHeight="1" x14ac:dyDescent="0.25">
      <c r="A3352" s="1" t="s">
        <v>636</v>
      </c>
      <c r="B3352" s="1" t="s">
        <v>6030</v>
      </c>
      <c r="C3352" s="1" t="s">
        <v>5794</v>
      </c>
    </row>
    <row r="3353" spans="1:3" ht="15.75" customHeight="1" x14ac:dyDescent="0.25">
      <c r="A3353" s="1" t="s">
        <v>6029</v>
      </c>
      <c r="B3353" s="1" t="s">
        <v>6028</v>
      </c>
      <c r="C3353" s="1" t="s">
        <v>5794</v>
      </c>
    </row>
    <row r="3354" spans="1:3" ht="15.75" customHeight="1" x14ac:dyDescent="0.25">
      <c r="A3354" s="1" t="s">
        <v>697</v>
      </c>
      <c r="B3354" s="1" t="s">
        <v>6027</v>
      </c>
      <c r="C3354" s="1" t="s">
        <v>5802</v>
      </c>
    </row>
    <row r="3355" spans="1:3" ht="15.75" customHeight="1" x14ac:dyDescent="0.25">
      <c r="A3355" s="1" t="s">
        <v>2810</v>
      </c>
      <c r="B3355" s="1" t="s">
        <v>6026</v>
      </c>
      <c r="C3355" s="1" t="s">
        <v>5805</v>
      </c>
    </row>
    <row r="3356" spans="1:3" ht="15.75" customHeight="1" x14ac:dyDescent="0.25">
      <c r="A3356" s="1" t="s">
        <v>923</v>
      </c>
      <c r="B3356" s="1" t="s">
        <v>6025</v>
      </c>
      <c r="C3356" s="1" t="s">
        <v>5798</v>
      </c>
    </row>
    <row r="3357" spans="1:3" ht="15.75" customHeight="1" x14ac:dyDescent="0.25">
      <c r="A3357" s="1" t="s">
        <v>3534</v>
      </c>
      <c r="B3357" s="1" t="s">
        <v>6024</v>
      </c>
      <c r="C3357" s="1" t="s">
        <v>5925</v>
      </c>
    </row>
    <row r="3358" spans="1:3" ht="15.75" customHeight="1" x14ac:dyDescent="0.25">
      <c r="A3358" s="1" t="s">
        <v>3097</v>
      </c>
      <c r="B3358" s="1" t="s">
        <v>6023</v>
      </c>
      <c r="C3358" s="1" t="s">
        <v>5805</v>
      </c>
    </row>
    <row r="3359" spans="1:3" ht="15.75" customHeight="1" x14ac:dyDescent="0.25">
      <c r="A3359" s="1" t="s">
        <v>1356</v>
      </c>
      <c r="B3359" s="1" t="s">
        <v>6022</v>
      </c>
      <c r="C3359" s="1" t="s">
        <v>5787</v>
      </c>
    </row>
    <row r="3360" spans="1:3" ht="15.75" customHeight="1" x14ac:dyDescent="0.25">
      <c r="A3360" s="1" t="s">
        <v>6021</v>
      </c>
      <c r="B3360" s="1" t="s">
        <v>6020</v>
      </c>
      <c r="C3360" s="1" t="s">
        <v>5868</v>
      </c>
    </row>
    <row r="3361" spans="1:3" ht="15.75" customHeight="1" x14ac:dyDescent="0.25">
      <c r="A3361" s="1" t="s">
        <v>6019</v>
      </c>
      <c r="B3361" s="1" t="s">
        <v>6018</v>
      </c>
      <c r="C3361" s="1" t="s">
        <v>5805</v>
      </c>
    </row>
    <row r="3362" spans="1:3" ht="15.75" customHeight="1" x14ac:dyDescent="0.25">
      <c r="A3362" s="1" t="s">
        <v>3429</v>
      </c>
      <c r="B3362" s="1" t="s">
        <v>6017</v>
      </c>
      <c r="C3362" s="1" t="s">
        <v>5901</v>
      </c>
    </row>
    <row r="3363" spans="1:3" ht="15.75" customHeight="1" x14ac:dyDescent="0.25">
      <c r="A3363" s="1" t="s">
        <v>1182</v>
      </c>
      <c r="B3363" s="1" t="s">
        <v>6016</v>
      </c>
      <c r="C3363" s="1" t="s">
        <v>5925</v>
      </c>
    </row>
    <row r="3364" spans="1:3" ht="15.75" customHeight="1" x14ac:dyDescent="0.25">
      <c r="A3364" s="1" t="s">
        <v>745</v>
      </c>
      <c r="B3364" s="1" t="s">
        <v>6015</v>
      </c>
      <c r="C3364" s="1" t="s">
        <v>5901</v>
      </c>
    </row>
    <row r="3365" spans="1:3" ht="15.75" customHeight="1" x14ac:dyDescent="0.25">
      <c r="A3365" s="1" t="s">
        <v>1732</v>
      </c>
      <c r="B3365" s="1" t="s">
        <v>6014</v>
      </c>
      <c r="C3365" s="1" t="s">
        <v>5868</v>
      </c>
    </row>
    <row r="3366" spans="1:3" ht="15.75" customHeight="1" x14ac:dyDescent="0.25">
      <c r="A3366" s="1" t="s">
        <v>6013</v>
      </c>
      <c r="B3366" s="1" t="s">
        <v>6012</v>
      </c>
      <c r="C3366" s="1" t="s">
        <v>5794</v>
      </c>
    </row>
    <row r="3367" spans="1:3" ht="15.75" customHeight="1" x14ac:dyDescent="0.25">
      <c r="A3367" s="1" t="s">
        <v>6011</v>
      </c>
      <c r="B3367" s="1" t="s">
        <v>6010</v>
      </c>
      <c r="C3367" s="1" t="s">
        <v>5925</v>
      </c>
    </row>
    <row r="3368" spans="1:3" ht="15.75" customHeight="1" x14ac:dyDescent="0.25">
      <c r="A3368" s="1" t="s">
        <v>1797</v>
      </c>
      <c r="B3368" s="1" t="s">
        <v>6009</v>
      </c>
      <c r="C3368" s="1" t="s">
        <v>5798</v>
      </c>
    </row>
    <row r="3369" spans="1:3" ht="15.75" customHeight="1" x14ac:dyDescent="0.25">
      <c r="A3369" s="1" t="s">
        <v>641</v>
      </c>
      <c r="B3369" s="1" t="s">
        <v>6008</v>
      </c>
      <c r="C3369" s="1" t="s">
        <v>5868</v>
      </c>
    </row>
    <row r="3370" spans="1:3" ht="15.75" customHeight="1" x14ac:dyDescent="0.25">
      <c r="A3370" s="1" t="s">
        <v>6007</v>
      </c>
      <c r="B3370" s="1" t="s">
        <v>6006</v>
      </c>
      <c r="C3370" s="1" t="s">
        <v>5805</v>
      </c>
    </row>
    <row r="3371" spans="1:3" ht="15.75" customHeight="1" x14ac:dyDescent="0.25">
      <c r="A3371" s="1" t="s">
        <v>6005</v>
      </c>
      <c r="B3371" s="1" t="s">
        <v>6004</v>
      </c>
      <c r="C3371" s="1" t="s">
        <v>5798</v>
      </c>
    </row>
    <row r="3372" spans="1:3" ht="15.75" customHeight="1" x14ac:dyDescent="0.25">
      <c r="A3372" s="1" t="s">
        <v>1928</v>
      </c>
      <c r="B3372" s="1" t="s">
        <v>6003</v>
      </c>
      <c r="C3372" s="1" t="s">
        <v>5925</v>
      </c>
    </row>
    <row r="3373" spans="1:3" ht="15.75" customHeight="1" x14ac:dyDescent="0.25">
      <c r="A3373" s="1" t="s">
        <v>802</v>
      </c>
      <c r="B3373" s="1" t="s">
        <v>6002</v>
      </c>
      <c r="C3373" s="1" t="s">
        <v>5802</v>
      </c>
    </row>
    <row r="3374" spans="1:3" ht="15.75" customHeight="1" x14ac:dyDescent="0.25">
      <c r="A3374" s="1" t="s">
        <v>3528</v>
      </c>
      <c r="B3374" s="1" t="s">
        <v>6001</v>
      </c>
      <c r="C3374" s="1" t="s">
        <v>5798</v>
      </c>
    </row>
    <row r="3375" spans="1:3" ht="15.75" customHeight="1" x14ac:dyDescent="0.25">
      <c r="A3375" s="1" t="s">
        <v>1666</v>
      </c>
      <c r="B3375" s="1" t="s">
        <v>6000</v>
      </c>
      <c r="C3375" s="1" t="s">
        <v>5805</v>
      </c>
    </row>
    <row r="3376" spans="1:3" ht="15.75" customHeight="1" x14ac:dyDescent="0.25">
      <c r="A3376" s="1" t="s">
        <v>1481</v>
      </c>
      <c r="B3376" s="1" t="s">
        <v>5999</v>
      </c>
      <c r="C3376" s="1" t="s">
        <v>5802</v>
      </c>
    </row>
    <row r="3377" spans="1:3" ht="15.75" customHeight="1" x14ac:dyDescent="0.25">
      <c r="A3377" s="1" t="s">
        <v>3038</v>
      </c>
      <c r="B3377" s="1" t="s">
        <v>5998</v>
      </c>
      <c r="C3377" s="1" t="s">
        <v>5805</v>
      </c>
    </row>
    <row r="3378" spans="1:3" ht="15.75" customHeight="1" x14ac:dyDescent="0.25">
      <c r="A3378" s="1" t="s">
        <v>4396</v>
      </c>
      <c r="B3378" s="1" t="s">
        <v>5931</v>
      </c>
      <c r="C3378" s="1" t="s">
        <v>5997</v>
      </c>
    </row>
    <row r="3379" spans="1:3" ht="15.75" customHeight="1" x14ac:dyDescent="0.25">
      <c r="A3379" s="1" t="s">
        <v>1222</v>
      </c>
      <c r="B3379" s="1" t="s">
        <v>5996</v>
      </c>
      <c r="C3379" s="1" t="s">
        <v>5868</v>
      </c>
    </row>
    <row r="3380" spans="1:3" ht="15.75" customHeight="1" x14ac:dyDescent="0.25">
      <c r="A3380" s="1" t="s">
        <v>1807</v>
      </c>
      <c r="B3380" s="1" t="s">
        <v>5995</v>
      </c>
      <c r="C3380" s="1" t="s">
        <v>5802</v>
      </c>
    </row>
    <row r="3381" spans="1:3" ht="15.75" customHeight="1" x14ac:dyDescent="0.25">
      <c r="A3381" s="1" t="s">
        <v>9</v>
      </c>
      <c r="B3381" s="1" t="s">
        <v>5994</v>
      </c>
      <c r="C3381" s="1" t="s">
        <v>5993</v>
      </c>
    </row>
    <row r="3382" spans="1:3" ht="15.75" customHeight="1" x14ac:dyDescent="0.25">
      <c r="A3382" s="1" t="s">
        <v>3091</v>
      </c>
      <c r="B3382" s="1" t="s">
        <v>5992</v>
      </c>
      <c r="C3382" s="1" t="s">
        <v>5991</v>
      </c>
    </row>
    <row r="3383" spans="1:3" ht="15.75" customHeight="1" x14ac:dyDescent="0.25">
      <c r="A3383" s="1" t="s">
        <v>1381</v>
      </c>
      <c r="B3383" s="1" t="s">
        <v>5990</v>
      </c>
      <c r="C3383" s="1" t="s">
        <v>5925</v>
      </c>
    </row>
    <row r="3384" spans="1:3" ht="15.75" customHeight="1" x14ac:dyDescent="0.25">
      <c r="A3384" s="1" t="s">
        <v>2219</v>
      </c>
      <c r="B3384" s="1" t="s">
        <v>5989</v>
      </c>
      <c r="C3384" s="1" t="s">
        <v>5925</v>
      </c>
    </row>
    <row r="3385" spans="1:3" ht="15.75" customHeight="1" x14ac:dyDescent="0.25">
      <c r="A3385" s="1" t="s">
        <v>2716</v>
      </c>
      <c r="B3385" s="1" t="s">
        <v>5988</v>
      </c>
      <c r="C3385" s="1" t="s">
        <v>5802</v>
      </c>
    </row>
    <row r="3386" spans="1:3" ht="15.75" customHeight="1" x14ac:dyDescent="0.25">
      <c r="A3386" s="1" t="s">
        <v>1022</v>
      </c>
      <c r="B3386" s="1" t="s">
        <v>5987</v>
      </c>
      <c r="C3386" s="1" t="s">
        <v>5802</v>
      </c>
    </row>
    <row r="3387" spans="1:3" ht="15.75" customHeight="1" x14ac:dyDescent="0.25">
      <c r="A3387" s="1" t="s">
        <v>2017</v>
      </c>
      <c r="B3387" s="1" t="s">
        <v>5986</v>
      </c>
      <c r="C3387" s="1" t="s">
        <v>5787</v>
      </c>
    </row>
    <row r="3388" spans="1:3" ht="15.75" customHeight="1" x14ac:dyDescent="0.25">
      <c r="A3388" s="1" t="s">
        <v>5985</v>
      </c>
      <c r="B3388" s="1" t="s">
        <v>5984</v>
      </c>
      <c r="C3388" s="1" t="s">
        <v>5925</v>
      </c>
    </row>
    <row r="3389" spans="1:3" ht="15.75" customHeight="1" x14ac:dyDescent="0.25">
      <c r="A3389" s="1" t="s">
        <v>2974</v>
      </c>
      <c r="B3389" s="1" t="s">
        <v>5983</v>
      </c>
      <c r="C3389" s="1" t="s">
        <v>5802</v>
      </c>
    </row>
    <row r="3390" spans="1:3" ht="15.75" customHeight="1" x14ac:dyDescent="0.25">
      <c r="A3390" s="1" t="s">
        <v>655</v>
      </c>
      <c r="B3390" s="1" t="s">
        <v>5982</v>
      </c>
      <c r="C3390" s="1" t="s">
        <v>5802</v>
      </c>
    </row>
    <row r="3391" spans="1:3" ht="15.75" customHeight="1" x14ac:dyDescent="0.25">
      <c r="A3391" s="1" t="s">
        <v>3193</v>
      </c>
      <c r="B3391" s="1" t="s">
        <v>5981</v>
      </c>
      <c r="C3391" s="1" t="s">
        <v>5868</v>
      </c>
    </row>
    <row r="3392" spans="1:3" ht="15.75" customHeight="1" x14ac:dyDescent="0.25">
      <c r="A3392" s="1" t="s">
        <v>483</v>
      </c>
      <c r="B3392" s="1" t="s">
        <v>5980</v>
      </c>
      <c r="C3392" s="1" t="s">
        <v>5873</v>
      </c>
    </row>
    <row r="3393" spans="1:3" ht="15.75" customHeight="1" x14ac:dyDescent="0.25">
      <c r="A3393" s="1" t="s">
        <v>1032</v>
      </c>
      <c r="B3393" s="1" t="s">
        <v>5979</v>
      </c>
      <c r="C3393" s="1" t="s">
        <v>5805</v>
      </c>
    </row>
    <row r="3394" spans="1:3" ht="15.75" customHeight="1" x14ac:dyDescent="0.25">
      <c r="A3394" s="1" t="s">
        <v>5978</v>
      </c>
      <c r="B3394" s="1" t="s">
        <v>5977</v>
      </c>
      <c r="C3394" s="1" t="s">
        <v>5802</v>
      </c>
    </row>
    <row r="3395" spans="1:3" ht="15.75" customHeight="1" x14ac:dyDescent="0.25">
      <c r="A3395" s="1" t="s">
        <v>5240</v>
      </c>
      <c r="B3395" s="1" t="s">
        <v>5976</v>
      </c>
      <c r="C3395" s="1" t="s">
        <v>5975</v>
      </c>
    </row>
    <row r="3396" spans="1:3" ht="15.75" customHeight="1" x14ac:dyDescent="0.25">
      <c r="A3396" s="1" t="s">
        <v>5974</v>
      </c>
      <c r="B3396" s="1" t="s">
        <v>5938</v>
      </c>
      <c r="C3396" s="1" t="s">
        <v>5973</v>
      </c>
    </row>
    <row r="3397" spans="1:3" ht="15.75" customHeight="1" x14ac:dyDescent="0.25">
      <c r="A3397" s="1" t="s">
        <v>1347</v>
      </c>
      <c r="B3397" s="1" t="s">
        <v>5972</v>
      </c>
      <c r="C3397" s="1" t="s">
        <v>5868</v>
      </c>
    </row>
    <row r="3398" spans="1:3" ht="15.75" customHeight="1" x14ac:dyDescent="0.25">
      <c r="A3398" s="1" t="s">
        <v>3002</v>
      </c>
      <c r="B3398" s="1" t="s">
        <v>5971</v>
      </c>
      <c r="C3398" s="1" t="s">
        <v>5794</v>
      </c>
    </row>
    <row r="3399" spans="1:3" ht="15.75" customHeight="1" x14ac:dyDescent="0.25">
      <c r="A3399" s="1" t="s">
        <v>2193</v>
      </c>
      <c r="B3399" s="1" t="s">
        <v>5970</v>
      </c>
      <c r="C3399" s="1" t="s">
        <v>5873</v>
      </c>
    </row>
    <row r="3400" spans="1:3" ht="15.75" customHeight="1" x14ac:dyDescent="0.25">
      <c r="A3400" s="1" t="s">
        <v>5969</v>
      </c>
      <c r="B3400" s="1" t="s">
        <v>5968</v>
      </c>
      <c r="C3400" s="1" t="s">
        <v>5794</v>
      </c>
    </row>
    <row r="3401" spans="1:3" ht="15.75" customHeight="1" x14ac:dyDescent="0.25">
      <c r="A3401" s="1" t="s">
        <v>625</v>
      </c>
      <c r="B3401" s="1" t="s">
        <v>5967</v>
      </c>
      <c r="C3401" s="1" t="s">
        <v>5805</v>
      </c>
    </row>
    <row r="3402" spans="1:3" ht="15.75" customHeight="1" x14ac:dyDescent="0.25">
      <c r="A3402" s="1" t="s">
        <v>5966</v>
      </c>
      <c r="B3402" s="1" t="s">
        <v>5965</v>
      </c>
      <c r="C3402" s="1" t="s">
        <v>5805</v>
      </c>
    </row>
    <row r="3403" spans="1:3" ht="15.75" customHeight="1" x14ac:dyDescent="0.25">
      <c r="A3403" s="1" t="s">
        <v>2673</v>
      </c>
      <c r="B3403" s="1" t="s">
        <v>5964</v>
      </c>
      <c r="C3403" s="1" t="s">
        <v>5873</v>
      </c>
    </row>
    <row r="3404" spans="1:3" ht="15.75" customHeight="1" x14ac:dyDescent="0.25">
      <c r="A3404" s="1" t="s">
        <v>4594</v>
      </c>
      <c r="B3404" s="1" t="s">
        <v>5963</v>
      </c>
      <c r="C3404" s="1" t="s">
        <v>5787</v>
      </c>
    </row>
    <row r="3405" spans="1:3" ht="15.75" customHeight="1" x14ac:dyDescent="0.25">
      <c r="A3405" s="1" t="s">
        <v>1744</v>
      </c>
      <c r="B3405" s="1" t="s">
        <v>5962</v>
      </c>
      <c r="C3405" s="1" t="s">
        <v>5945</v>
      </c>
    </row>
    <row r="3406" spans="1:3" ht="15.75" customHeight="1" x14ac:dyDescent="0.25">
      <c r="A3406" s="1" t="s">
        <v>2763</v>
      </c>
      <c r="B3406" s="1" t="s">
        <v>5961</v>
      </c>
      <c r="C3406" s="1" t="s">
        <v>5873</v>
      </c>
    </row>
    <row r="3407" spans="1:3" ht="15.75" customHeight="1" x14ac:dyDescent="0.25">
      <c r="A3407" s="1" t="s">
        <v>5960</v>
      </c>
      <c r="B3407" s="1" t="s">
        <v>5959</v>
      </c>
      <c r="C3407" s="1" t="s">
        <v>5802</v>
      </c>
    </row>
    <row r="3408" spans="1:3" ht="15.75" customHeight="1" x14ac:dyDescent="0.25">
      <c r="A3408" s="1" t="s">
        <v>3400</v>
      </c>
      <c r="B3408" s="1" t="s">
        <v>5958</v>
      </c>
      <c r="C3408" s="1" t="s">
        <v>5805</v>
      </c>
    </row>
    <row r="3409" spans="1:3" ht="15.75" customHeight="1" x14ac:dyDescent="0.25">
      <c r="A3409" s="1" t="s">
        <v>2063</v>
      </c>
      <c r="B3409" s="1" t="s">
        <v>5957</v>
      </c>
      <c r="C3409" s="1" t="s">
        <v>5925</v>
      </c>
    </row>
    <row r="3410" spans="1:3" ht="15.75" customHeight="1" x14ac:dyDescent="0.25">
      <c r="A3410" s="1" t="s">
        <v>5956</v>
      </c>
      <c r="B3410" s="1" t="s">
        <v>5955</v>
      </c>
      <c r="C3410" s="1" t="s">
        <v>5925</v>
      </c>
    </row>
    <row r="3411" spans="1:3" ht="15.75" customHeight="1" x14ac:dyDescent="0.25">
      <c r="A3411" s="1" t="s">
        <v>3904</v>
      </c>
      <c r="B3411" s="1" t="s">
        <v>5954</v>
      </c>
      <c r="C3411" s="1" t="s">
        <v>5873</v>
      </c>
    </row>
    <row r="3412" spans="1:3" ht="15.75" customHeight="1" x14ac:dyDescent="0.25">
      <c r="A3412" s="1" t="s">
        <v>2876</v>
      </c>
      <c r="B3412" s="1" t="s">
        <v>5953</v>
      </c>
      <c r="C3412" s="1" t="s">
        <v>5873</v>
      </c>
    </row>
    <row r="3413" spans="1:3" ht="15.75" customHeight="1" x14ac:dyDescent="0.25">
      <c r="A3413" s="1" t="s">
        <v>3986</v>
      </c>
      <c r="B3413" s="1" t="s">
        <v>5952</v>
      </c>
      <c r="C3413" s="1" t="s">
        <v>5951</v>
      </c>
    </row>
    <row r="3414" spans="1:3" ht="15.75" customHeight="1" x14ac:dyDescent="0.25">
      <c r="A3414" s="1" t="s">
        <v>4062</v>
      </c>
      <c r="B3414" s="1" t="s">
        <v>5950</v>
      </c>
      <c r="C3414" s="1" t="s">
        <v>5873</v>
      </c>
    </row>
    <row r="3415" spans="1:3" ht="15.75" customHeight="1" x14ac:dyDescent="0.25">
      <c r="A3415" s="1" t="s">
        <v>3269</v>
      </c>
      <c r="B3415" s="1" t="s">
        <v>5949</v>
      </c>
      <c r="C3415" s="1" t="s">
        <v>5948</v>
      </c>
    </row>
    <row r="3416" spans="1:3" ht="15.75" customHeight="1" x14ac:dyDescent="0.25">
      <c r="A3416" s="1" t="s">
        <v>2321</v>
      </c>
      <c r="B3416" s="1" t="s">
        <v>5947</v>
      </c>
      <c r="C3416" s="1" t="s">
        <v>5805</v>
      </c>
    </row>
    <row r="3417" spans="1:3" ht="15.75" customHeight="1" x14ac:dyDescent="0.25">
      <c r="A3417" s="1" t="s">
        <v>5613</v>
      </c>
      <c r="B3417" s="1" t="s">
        <v>5946</v>
      </c>
      <c r="C3417" s="1" t="s">
        <v>5945</v>
      </c>
    </row>
    <row r="3418" spans="1:3" ht="15.75" customHeight="1" x14ac:dyDescent="0.25">
      <c r="A3418" s="1" t="s">
        <v>2585</v>
      </c>
      <c r="B3418" s="1" t="s">
        <v>5944</v>
      </c>
      <c r="C3418" s="1" t="s">
        <v>5873</v>
      </c>
    </row>
    <row r="3419" spans="1:3" ht="15.75" customHeight="1" x14ac:dyDescent="0.25">
      <c r="A3419" s="1" t="s">
        <v>1892</v>
      </c>
      <c r="B3419" s="1" t="s">
        <v>5943</v>
      </c>
      <c r="C3419" s="1" t="s">
        <v>5873</v>
      </c>
    </row>
    <row r="3420" spans="1:3" ht="15.75" customHeight="1" x14ac:dyDescent="0.25">
      <c r="A3420" s="1" t="s">
        <v>2403</v>
      </c>
      <c r="B3420" s="1" t="s">
        <v>5942</v>
      </c>
      <c r="C3420" s="1" t="s">
        <v>5873</v>
      </c>
    </row>
    <row r="3421" spans="1:3" ht="15.75" customHeight="1" x14ac:dyDescent="0.25">
      <c r="A3421" s="1" t="s">
        <v>3613</v>
      </c>
      <c r="B3421" s="1" t="s">
        <v>5941</v>
      </c>
      <c r="C3421" s="1" t="s">
        <v>5940</v>
      </c>
    </row>
    <row r="3422" spans="1:3" ht="15.75" customHeight="1" x14ac:dyDescent="0.25">
      <c r="A3422" s="1" t="s">
        <v>1862</v>
      </c>
      <c r="B3422" s="1" t="s">
        <v>5939</v>
      </c>
      <c r="C3422" s="1" t="s">
        <v>5925</v>
      </c>
    </row>
    <row r="3423" spans="1:3" ht="15.75" customHeight="1" x14ac:dyDescent="0.25">
      <c r="A3423" s="1" t="s">
        <v>4833</v>
      </c>
      <c r="B3423" s="1" t="s">
        <v>5938</v>
      </c>
      <c r="C3423" s="1" t="s">
        <v>5937</v>
      </c>
    </row>
    <row r="3424" spans="1:3" ht="15.75" customHeight="1" x14ac:dyDescent="0.25">
      <c r="A3424" s="1" t="s">
        <v>2759</v>
      </c>
      <c r="B3424" s="1" t="s">
        <v>5936</v>
      </c>
      <c r="C3424" s="1" t="s">
        <v>5798</v>
      </c>
    </row>
    <row r="3425" spans="1:3" ht="15.75" customHeight="1" x14ac:dyDescent="0.25">
      <c r="A3425" s="1" t="s">
        <v>3398</v>
      </c>
      <c r="B3425" s="1" t="s">
        <v>5935</v>
      </c>
      <c r="C3425" s="1" t="s">
        <v>5794</v>
      </c>
    </row>
    <row r="3426" spans="1:3" ht="15.75" customHeight="1" x14ac:dyDescent="0.25">
      <c r="A3426" s="1" t="s">
        <v>4669</v>
      </c>
      <c r="B3426" s="1" t="s">
        <v>5934</v>
      </c>
      <c r="C3426" s="1" t="s">
        <v>5794</v>
      </c>
    </row>
    <row r="3427" spans="1:3" ht="15.75" customHeight="1" x14ac:dyDescent="0.25">
      <c r="A3427" s="1" t="s">
        <v>2217</v>
      </c>
      <c r="B3427" s="1" t="s">
        <v>5933</v>
      </c>
      <c r="C3427" s="1" t="s">
        <v>5805</v>
      </c>
    </row>
    <row r="3428" spans="1:3" ht="15.75" customHeight="1" x14ac:dyDescent="0.25">
      <c r="A3428" s="1" t="s">
        <v>2075</v>
      </c>
      <c r="B3428" s="1" t="s">
        <v>5932</v>
      </c>
      <c r="C3428" s="1" t="s">
        <v>5802</v>
      </c>
    </row>
    <row r="3429" spans="1:3" ht="15.75" customHeight="1" x14ac:dyDescent="0.25">
      <c r="A3429" s="1" t="s">
        <v>5721</v>
      </c>
      <c r="B3429" s="1" t="s">
        <v>5931</v>
      </c>
      <c r="C3429" s="1" t="s">
        <v>5930</v>
      </c>
    </row>
    <row r="3430" spans="1:3" ht="15.75" customHeight="1" x14ac:dyDescent="0.25">
      <c r="A3430" s="1" t="s">
        <v>3676</v>
      </c>
      <c r="B3430" s="1" t="s">
        <v>5929</v>
      </c>
      <c r="C3430" s="1" t="s">
        <v>5868</v>
      </c>
    </row>
    <row r="3431" spans="1:3" ht="15.75" customHeight="1" x14ac:dyDescent="0.25">
      <c r="A3431" s="1" t="s">
        <v>2173</v>
      </c>
      <c r="B3431" s="1" t="s">
        <v>5928</v>
      </c>
      <c r="C3431" s="1" t="s">
        <v>5802</v>
      </c>
    </row>
    <row r="3432" spans="1:3" ht="15.75" customHeight="1" x14ac:dyDescent="0.25">
      <c r="A3432" s="1" t="s">
        <v>1689</v>
      </c>
      <c r="B3432" s="1" t="s">
        <v>5927</v>
      </c>
      <c r="C3432" s="1" t="s">
        <v>5805</v>
      </c>
    </row>
    <row r="3433" spans="1:3" ht="15.75" customHeight="1" x14ac:dyDescent="0.25">
      <c r="A3433" s="1" t="s">
        <v>1789</v>
      </c>
      <c r="B3433" s="1" t="s">
        <v>5926</v>
      </c>
      <c r="C3433" s="1" t="s">
        <v>5925</v>
      </c>
    </row>
    <row r="3434" spans="1:3" ht="15.75" customHeight="1" x14ac:dyDescent="0.25">
      <c r="A3434" s="1" t="s">
        <v>1832</v>
      </c>
      <c r="B3434" s="1" t="s">
        <v>5924</v>
      </c>
      <c r="C3434" s="1" t="s">
        <v>5873</v>
      </c>
    </row>
    <row r="3435" spans="1:3" ht="15.75" customHeight="1" x14ac:dyDescent="0.25">
      <c r="A3435" s="1" t="s">
        <v>2768</v>
      </c>
      <c r="B3435" s="1" t="s">
        <v>5923</v>
      </c>
      <c r="C3435" s="1" t="s">
        <v>5802</v>
      </c>
    </row>
    <row r="3436" spans="1:3" ht="15.75" customHeight="1" x14ac:dyDescent="0.25">
      <c r="A3436" s="1" t="s">
        <v>839</v>
      </c>
      <c r="B3436" s="1" t="s">
        <v>5922</v>
      </c>
      <c r="C3436" s="1" t="s">
        <v>5798</v>
      </c>
    </row>
    <row r="3437" spans="1:3" ht="15.75" customHeight="1" x14ac:dyDescent="0.25">
      <c r="A3437" s="1" t="s">
        <v>3101</v>
      </c>
      <c r="B3437" s="1" t="s">
        <v>5921</v>
      </c>
      <c r="C3437" s="1" t="s">
        <v>5919</v>
      </c>
    </row>
    <row r="3438" spans="1:3" ht="15.75" customHeight="1" x14ac:dyDescent="0.25">
      <c r="A3438" s="1" t="s">
        <v>5025</v>
      </c>
      <c r="B3438" s="1" t="s">
        <v>5920</v>
      </c>
      <c r="C3438" s="1" t="s">
        <v>5919</v>
      </c>
    </row>
    <row r="3439" spans="1:3" ht="15.75" customHeight="1" x14ac:dyDescent="0.25">
      <c r="A3439" s="1" t="s">
        <v>5918</v>
      </c>
      <c r="B3439" s="1" t="s">
        <v>5917</v>
      </c>
      <c r="C3439" s="1" t="s">
        <v>5893</v>
      </c>
    </row>
    <row r="3440" spans="1:3" ht="15.75" customHeight="1" x14ac:dyDescent="0.25">
      <c r="A3440" s="1" t="s">
        <v>2460</v>
      </c>
      <c r="B3440" s="1" t="s">
        <v>5916</v>
      </c>
      <c r="C3440" s="1" t="s">
        <v>5886</v>
      </c>
    </row>
    <row r="3441" spans="1:3" ht="15.75" customHeight="1" x14ac:dyDescent="0.25">
      <c r="A3441" s="1" t="s">
        <v>4237</v>
      </c>
      <c r="B3441" s="1" t="s">
        <v>5915</v>
      </c>
      <c r="C3441" s="1" t="s">
        <v>5914</v>
      </c>
    </row>
    <row r="3442" spans="1:3" ht="15.75" customHeight="1" x14ac:dyDescent="0.25">
      <c r="A3442" s="1" t="s">
        <v>5913</v>
      </c>
      <c r="B3442" s="1" t="s">
        <v>5912</v>
      </c>
      <c r="C3442" s="1" t="s">
        <v>5784</v>
      </c>
    </row>
    <row r="3443" spans="1:3" ht="15.75" customHeight="1" x14ac:dyDescent="0.25">
      <c r="A3443" s="1" t="s">
        <v>1801</v>
      </c>
      <c r="B3443" s="1" t="s">
        <v>5911</v>
      </c>
      <c r="C3443" s="1" t="s">
        <v>5796</v>
      </c>
    </row>
    <row r="3444" spans="1:3" ht="15.75" customHeight="1" x14ac:dyDescent="0.25">
      <c r="A3444" s="1" t="s">
        <v>5910</v>
      </c>
      <c r="B3444" s="1" t="s">
        <v>5909</v>
      </c>
      <c r="C3444" s="1" t="s">
        <v>5908</v>
      </c>
    </row>
    <row r="3445" spans="1:3" ht="15.75" customHeight="1" x14ac:dyDescent="0.25">
      <c r="A3445" s="1" t="s">
        <v>4194</v>
      </c>
      <c r="B3445" s="1" t="s">
        <v>5907</v>
      </c>
      <c r="C3445" s="1" t="s">
        <v>5906</v>
      </c>
    </row>
    <row r="3446" spans="1:3" ht="15.75" customHeight="1" x14ac:dyDescent="0.25">
      <c r="A3446" s="1" t="s">
        <v>5905</v>
      </c>
      <c r="B3446" s="1" t="s">
        <v>5904</v>
      </c>
      <c r="C3446" s="1" t="s">
        <v>5903</v>
      </c>
    </row>
    <row r="3447" spans="1:3" ht="15.75" customHeight="1" x14ac:dyDescent="0.25">
      <c r="A3447" s="1" t="s">
        <v>1814</v>
      </c>
      <c r="B3447" s="1" t="s">
        <v>5902</v>
      </c>
      <c r="C3447" s="1" t="s">
        <v>5901</v>
      </c>
    </row>
    <row r="3448" spans="1:3" ht="15.75" customHeight="1" x14ac:dyDescent="0.25">
      <c r="A3448" s="1" t="s">
        <v>5900</v>
      </c>
      <c r="B3448" s="1" t="s">
        <v>5899</v>
      </c>
      <c r="C3448" s="1" t="s">
        <v>5896</v>
      </c>
    </row>
    <row r="3449" spans="1:3" ht="15.75" customHeight="1" x14ac:dyDescent="0.25">
      <c r="A3449" s="1" t="s">
        <v>5898</v>
      </c>
      <c r="B3449" s="1" t="s">
        <v>5897</v>
      </c>
      <c r="C3449" s="1" t="s">
        <v>5896</v>
      </c>
    </row>
    <row r="3450" spans="1:3" ht="15.75" customHeight="1" x14ac:dyDescent="0.25">
      <c r="A3450" s="1" t="s">
        <v>5895</v>
      </c>
      <c r="B3450" s="1" t="s">
        <v>5894</v>
      </c>
      <c r="C3450" s="1" t="s">
        <v>5893</v>
      </c>
    </row>
    <row r="3451" spans="1:3" ht="15.75" customHeight="1" x14ac:dyDescent="0.25">
      <c r="A3451" s="1" t="s">
        <v>5892</v>
      </c>
      <c r="B3451" s="1" t="s">
        <v>5891</v>
      </c>
      <c r="C3451" s="1" t="s">
        <v>5890</v>
      </c>
    </row>
    <row r="3452" spans="1:3" ht="15.75" customHeight="1" x14ac:dyDescent="0.25">
      <c r="A3452" s="1" t="s">
        <v>5889</v>
      </c>
      <c r="B3452" s="1" t="s">
        <v>5888</v>
      </c>
      <c r="C3452" s="1" t="s">
        <v>5789</v>
      </c>
    </row>
    <row r="3453" spans="1:3" ht="15.75" customHeight="1" x14ac:dyDescent="0.25">
      <c r="A3453" s="1" t="s">
        <v>3402</v>
      </c>
      <c r="B3453" s="1" t="s">
        <v>5887</v>
      </c>
      <c r="C3453" s="1" t="s">
        <v>5886</v>
      </c>
    </row>
    <row r="3454" spans="1:3" ht="15.75" customHeight="1" x14ac:dyDescent="0.25">
      <c r="A3454" s="1" t="s">
        <v>5885</v>
      </c>
      <c r="B3454" s="1" t="s">
        <v>5884</v>
      </c>
      <c r="C3454" s="1" t="s">
        <v>5820</v>
      </c>
    </row>
    <row r="3455" spans="1:3" ht="15.75" customHeight="1" x14ac:dyDescent="0.25">
      <c r="A3455" s="1" t="s">
        <v>5883</v>
      </c>
      <c r="B3455" s="1" t="s">
        <v>5882</v>
      </c>
      <c r="C3455" s="1" t="s">
        <v>5881</v>
      </c>
    </row>
    <row r="3456" spans="1:3" ht="15.75" customHeight="1" x14ac:dyDescent="0.25">
      <c r="A3456" s="1" t="s">
        <v>5880</v>
      </c>
      <c r="B3456" s="1" t="s">
        <v>5879</v>
      </c>
      <c r="C3456" s="1" t="s">
        <v>5878</v>
      </c>
    </row>
    <row r="3457" spans="1:3" ht="15.75" customHeight="1" x14ac:dyDescent="0.25">
      <c r="A3457" s="1" t="s">
        <v>5877</v>
      </c>
      <c r="B3457" s="1" t="s">
        <v>5876</v>
      </c>
      <c r="C3457" s="1" t="s">
        <v>5811</v>
      </c>
    </row>
    <row r="3458" spans="1:3" ht="15.75" customHeight="1" x14ac:dyDescent="0.25">
      <c r="A3458" s="1" t="s">
        <v>5875</v>
      </c>
      <c r="B3458" s="1" t="s">
        <v>5874</v>
      </c>
      <c r="C3458" s="1" t="s">
        <v>5873</v>
      </c>
    </row>
    <row r="3459" spans="1:3" ht="15.75" customHeight="1" x14ac:dyDescent="0.25">
      <c r="A3459" s="1" t="s">
        <v>1497</v>
      </c>
      <c r="B3459" s="1" t="s">
        <v>5872</v>
      </c>
      <c r="C3459" s="1" t="s">
        <v>5802</v>
      </c>
    </row>
    <row r="3460" spans="1:3" ht="15.75" customHeight="1" x14ac:dyDescent="0.25">
      <c r="A3460" s="1" t="s">
        <v>1063</v>
      </c>
      <c r="B3460" s="1" t="s">
        <v>5871</v>
      </c>
      <c r="C3460" s="1" t="s">
        <v>5787</v>
      </c>
    </row>
    <row r="3461" spans="1:3" ht="15.75" customHeight="1" x14ac:dyDescent="0.25">
      <c r="A3461" s="1" t="s">
        <v>5870</v>
      </c>
      <c r="B3461" s="1" t="s">
        <v>5869</v>
      </c>
      <c r="C3461" s="1" t="s">
        <v>5868</v>
      </c>
    </row>
    <row r="3462" spans="1:3" ht="15.75" customHeight="1" x14ac:dyDescent="0.25">
      <c r="A3462" s="1" t="s">
        <v>5867</v>
      </c>
      <c r="B3462" s="1" t="s">
        <v>5866</v>
      </c>
      <c r="C3462" s="1" t="s">
        <v>5796</v>
      </c>
    </row>
    <row r="3463" spans="1:3" ht="15.75" customHeight="1" x14ac:dyDescent="0.25">
      <c r="A3463" s="1" t="s">
        <v>1232</v>
      </c>
      <c r="B3463" s="1" t="s">
        <v>5865</v>
      </c>
      <c r="C3463" s="1" t="s">
        <v>5798</v>
      </c>
    </row>
    <row r="3464" spans="1:3" ht="15.75" customHeight="1" x14ac:dyDescent="0.25">
      <c r="A3464" s="1" t="s">
        <v>5864</v>
      </c>
      <c r="B3464" s="1" t="s">
        <v>5863</v>
      </c>
      <c r="C3464" s="1" t="s">
        <v>5802</v>
      </c>
    </row>
    <row r="3465" spans="1:3" ht="15.75" customHeight="1" x14ac:dyDescent="0.25">
      <c r="A3465" s="1" t="s">
        <v>5862</v>
      </c>
      <c r="B3465" s="1" t="s">
        <v>5861</v>
      </c>
      <c r="C3465" s="1" t="s">
        <v>5860</v>
      </c>
    </row>
    <row r="3466" spans="1:3" ht="15.75" customHeight="1" x14ac:dyDescent="0.25">
      <c r="A3466" s="1" t="s">
        <v>3879</v>
      </c>
      <c r="B3466" s="1" t="s">
        <v>5859</v>
      </c>
      <c r="C3466" s="1" t="s">
        <v>5796</v>
      </c>
    </row>
    <row r="3467" spans="1:3" ht="15.75" customHeight="1" x14ac:dyDescent="0.25">
      <c r="A3467" s="1" t="s">
        <v>5858</v>
      </c>
      <c r="B3467" s="1" t="s">
        <v>5857</v>
      </c>
      <c r="C3467" s="1" t="s">
        <v>5856</v>
      </c>
    </row>
    <row r="3468" spans="1:3" ht="15.75" customHeight="1" x14ac:dyDescent="0.25">
      <c r="A3468" s="1" t="s">
        <v>5855</v>
      </c>
      <c r="B3468" s="1" t="s">
        <v>5854</v>
      </c>
      <c r="C3468" s="1" t="s">
        <v>5853</v>
      </c>
    </row>
    <row r="3469" spans="1:3" ht="15.75" customHeight="1" x14ac:dyDescent="0.25">
      <c r="A3469" s="1" t="s">
        <v>5852</v>
      </c>
      <c r="B3469" s="1" t="s">
        <v>5851</v>
      </c>
      <c r="C3469" s="1" t="s">
        <v>5850</v>
      </c>
    </row>
    <row r="3470" spans="1:3" ht="15.75" customHeight="1" x14ac:dyDescent="0.25">
      <c r="A3470" s="1" t="s">
        <v>4289</v>
      </c>
      <c r="B3470" s="1" t="s">
        <v>5849</v>
      </c>
      <c r="C3470" s="1" t="s">
        <v>5836</v>
      </c>
    </row>
    <row r="3471" spans="1:3" ht="15.75" customHeight="1" x14ac:dyDescent="0.25">
      <c r="A3471" s="1" t="s">
        <v>5848</v>
      </c>
      <c r="B3471" s="1" t="s">
        <v>5847</v>
      </c>
      <c r="C3471" s="1" t="s">
        <v>5798</v>
      </c>
    </row>
    <row r="3472" spans="1:3" ht="15.75" customHeight="1" x14ac:dyDescent="0.25">
      <c r="A3472" s="1" t="s">
        <v>5846</v>
      </c>
      <c r="B3472" s="1" t="s">
        <v>5845</v>
      </c>
      <c r="C3472" s="1" t="s">
        <v>5844</v>
      </c>
    </row>
    <row r="3473" spans="1:3" ht="15.75" customHeight="1" x14ac:dyDescent="0.25">
      <c r="A3473" s="1" t="s">
        <v>1664</v>
      </c>
      <c r="B3473" s="1" t="s">
        <v>5843</v>
      </c>
      <c r="C3473" s="1" t="s">
        <v>5805</v>
      </c>
    </row>
    <row r="3474" spans="1:3" ht="15.75" customHeight="1" x14ac:dyDescent="0.25">
      <c r="A3474" s="1" t="s">
        <v>5842</v>
      </c>
      <c r="B3474" s="1" t="s">
        <v>5841</v>
      </c>
      <c r="C3474" s="1" t="s">
        <v>5802</v>
      </c>
    </row>
    <row r="3475" spans="1:3" ht="15.75" customHeight="1" x14ac:dyDescent="0.25">
      <c r="A3475" s="1" t="s">
        <v>5840</v>
      </c>
      <c r="B3475" s="1" t="s">
        <v>5839</v>
      </c>
      <c r="C3475" s="1" t="s">
        <v>5838</v>
      </c>
    </row>
    <row r="3476" spans="1:3" ht="15.75" customHeight="1" x14ac:dyDescent="0.25">
      <c r="A3476" s="1" t="s">
        <v>3491</v>
      </c>
      <c r="B3476" s="1" t="s">
        <v>5837</v>
      </c>
      <c r="C3476" s="1" t="s">
        <v>5836</v>
      </c>
    </row>
    <row r="3477" spans="1:3" ht="15.75" customHeight="1" x14ac:dyDescent="0.25">
      <c r="A3477" s="1" t="s">
        <v>5835</v>
      </c>
      <c r="B3477" s="1" t="s">
        <v>5834</v>
      </c>
      <c r="C3477" s="1" t="s">
        <v>5802</v>
      </c>
    </row>
    <row r="3478" spans="1:3" ht="15.75" customHeight="1" x14ac:dyDescent="0.25">
      <c r="A3478" s="1" t="s">
        <v>5833</v>
      </c>
      <c r="B3478" s="1" t="s">
        <v>5832</v>
      </c>
      <c r="C3478" s="1" t="s">
        <v>5831</v>
      </c>
    </row>
    <row r="3479" spans="1:3" ht="15.75" customHeight="1" x14ac:dyDescent="0.25">
      <c r="A3479" s="1" t="s">
        <v>3427</v>
      </c>
      <c r="B3479" s="1" t="s">
        <v>5830</v>
      </c>
      <c r="C3479" s="1" t="s">
        <v>5829</v>
      </c>
    </row>
    <row r="3480" spans="1:3" ht="15.75" customHeight="1" x14ac:dyDescent="0.25">
      <c r="A3480" s="1" t="s">
        <v>3923</v>
      </c>
      <c r="B3480" s="1" t="s">
        <v>5828</v>
      </c>
      <c r="C3480" s="1" t="s">
        <v>5827</v>
      </c>
    </row>
    <row r="3481" spans="1:3" ht="15.75" customHeight="1" x14ac:dyDescent="0.25">
      <c r="A3481" s="1" t="s">
        <v>1256</v>
      </c>
      <c r="B3481" s="1" t="s">
        <v>5826</v>
      </c>
      <c r="C3481" s="1" t="s">
        <v>5805</v>
      </c>
    </row>
    <row r="3482" spans="1:3" ht="15.75" customHeight="1" x14ac:dyDescent="0.25">
      <c r="A3482" s="1" t="s">
        <v>4318</v>
      </c>
      <c r="B3482" s="1" t="s">
        <v>5825</v>
      </c>
      <c r="C3482" s="1" t="s">
        <v>5824</v>
      </c>
    </row>
    <row r="3483" spans="1:3" ht="15.75" customHeight="1" x14ac:dyDescent="0.25">
      <c r="A3483" s="1" t="s">
        <v>5823</v>
      </c>
      <c r="B3483" s="1" t="s">
        <v>5815</v>
      </c>
      <c r="C3483" s="1" t="s">
        <v>5822</v>
      </c>
    </row>
    <row r="3484" spans="1:3" ht="15.75" customHeight="1" x14ac:dyDescent="0.25">
      <c r="A3484" s="1" t="s">
        <v>6</v>
      </c>
      <c r="B3484" s="1" t="s">
        <v>5821</v>
      </c>
      <c r="C3484" s="1" t="s">
        <v>5820</v>
      </c>
    </row>
    <row r="3485" spans="1:3" ht="15.75" customHeight="1" x14ac:dyDescent="0.25">
      <c r="A3485" s="1" t="s">
        <v>5819</v>
      </c>
      <c r="B3485" s="1" t="s">
        <v>5818</v>
      </c>
      <c r="C3485" s="1" t="s">
        <v>5811</v>
      </c>
    </row>
    <row r="3486" spans="1:3" ht="15.75" customHeight="1" x14ac:dyDescent="0.25">
      <c r="A3486" s="1" t="s">
        <v>1213</v>
      </c>
      <c r="B3486" s="1" t="s">
        <v>5817</v>
      </c>
      <c r="C3486" s="1" t="s">
        <v>5805</v>
      </c>
    </row>
    <row r="3487" spans="1:3" ht="15.75" customHeight="1" x14ac:dyDescent="0.25">
      <c r="A3487" s="1" t="s">
        <v>5816</v>
      </c>
      <c r="B3487" s="1" t="s">
        <v>5815</v>
      </c>
      <c r="C3487" s="1" t="s">
        <v>5814</v>
      </c>
    </row>
    <row r="3488" spans="1:3" ht="15.75" customHeight="1" x14ac:dyDescent="0.25">
      <c r="A3488" s="1" t="s">
        <v>5813</v>
      </c>
      <c r="B3488" s="1" t="s">
        <v>5812</v>
      </c>
      <c r="C3488" s="1" t="s">
        <v>5811</v>
      </c>
    </row>
    <row r="3489" spans="1:3" ht="15.75" customHeight="1" x14ac:dyDescent="0.25">
      <c r="A3489" s="1" t="s">
        <v>2089</v>
      </c>
      <c r="B3489" s="1" t="s">
        <v>5810</v>
      </c>
      <c r="C3489" s="1" t="s">
        <v>5809</v>
      </c>
    </row>
    <row r="3490" spans="1:3" ht="15.75" customHeight="1" x14ac:dyDescent="0.25">
      <c r="A3490" s="1" t="s">
        <v>2862</v>
      </c>
      <c r="B3490" s="1" t="s">
        <v>5808</v>
      </c>
      <c r="C3490" s="1" t="s">
        <v>5807</v>
      </c>
    </row>
    <row r="3491" spans="1:3" ht="15.75" customHeight="1" x14ac:dyDescent="0.25">
      <c r="A3491" s="1" t="s">
        <v>2140</v>
      </c>
      <c r="B3491" s="1" t="s">
        <v>5806</v>
      </c>
      <c r="C3491" s="1" t="s">
        <v>5805</v>
      </c>
    </row>
    <row r="3492" spans="1:3" ht="15.75" customHeight="1" x14ac:dyDescent="0.25">
      <c r="A3492" s="1" t="s">
        <v>5804</v>
      </c>
      <c r="B3492" s="1" t="s">
        <v>5803</v>
      </c>
      <c r="C3492" s="1" t="s">
        <v>5802</v>
      </c>
    </row>
    <row r="3493" spans="1:3" ht="15.75" customHeight="1" x14ac:dyDescent="0.25">
      <c r="A3493" s="1" t="s">
        <v>4506</v>
      </c>
      <c r="B3493" s="1" t="s">
        <v>5801</v>
      </c>
      <c r="C3493" s="1" t="s">
        <v>5800</v>
      </c>
    </row>
    <row r="3494" spans="1:3" ht="15.75" customHeight="1" x14ac:dyDescent="0.25">
      <c r="A3494" s="1" t="s">
        <v>1660</v>
      </c>
      <c r="B3494" s="1" t="s">
        <v>5799</v>
      </c>
      <c r="C3494" s="1" t="s">
        <v>5798</v>
      </c>
    </row>
    <row r="3495" spans="1:3" ht="15.75" customHeight="1" x14ac:dyDescent="0.25">
      <c r="A3495" s="1" t="s">
        <v>4781</v>
      </c>
      <c r="B3495" s="1" t="s">
        <v>5797</v>
      </c>
      <c r="C3495" s="1" t="s">
        <v>5796</v>
      </c>
    </row>
    <row r="3496" spans="1:3" ht="15.75" customHeight="1" x14ac:dyDescent="0.25">
      <c r="A3496" s="1" t="s">
        <v>1539</v>
      </c>
      <c r="B3496" s="1" t="s">
        <v>5795</v>
      </c>
      <c r="C3496" s="1" t="s">
        <v>5794</v>
      </c>
    </row>
    <row r="3497" spans="1:3" ht="15.75" customHeight="1" x14ac:dyDescent="0.25">
      <c r="A3497" s="1" t="s">
        <v>5793</v>
      </c>
      <c r="B3497" s="1" t="s">
        <v>5792</v>
      </c>
      <c r="C3497" s="1" t="s">
        <v>5791</v>
      </c>
    </row>
    <row r="3498" spans="1:3" ht="15.75" customHeight="1" x14ac:dyDescent="0.25">
      <c r="A3498" s="1" t="s">
        <v>982</v>
      </c>
      <c r="B3498" s="1" t="s">
        <v>5790</v>
      </c>
      <c r="C3498" s="1" t="s">
        <v>5789</v>
      </c>
    </row>
    <row r="3499" spans="1:3" ht="15.75" customHeight="1" x14ac:dyDescent="0.25">
      <c r="A3499" s="1" t="s">
        <v>1061</v>
      </c>
      <c r="B3499" s="1" t="s">
        <v>5788</v>
      </c>
      <c r="C3499" s="1" t="s">
        <v>5787</v>
      </c>
    </row>
    <row r="3500" spans="1:3" ht="15.75" customHeight="1" x14ac:dyDescent="0.25">
      <c r="A3500" s="1" t="s">
        <v>5786</v>
      </c>
      <c r="B3500" s="1" t="s">
        <v>5785</v>
      </c>
      <c r="C3500" s="1" t="s">
        <v>5784</v>
      </c>
    </row>
    <row r="3501" spans="1:3" ht="15.75" customHeight="1" x14ac:dyDescent="0.25">
      <c r="A3501" s="1" t="s">
        <v>5783</v>
      </c>
      <c r="B3501" s="1" t="s">
        <v>5782</v>
      </c>
      <c r="C3501" s="1" t="s">
        <v>5781</v>
      </c>
    </row>
    <row r="3502" spans="1:3" ht="15.75" customHeight="1" x14ac:dyDescent="0.25">
      <c r="A3502" s="1" t="s">
        <v>3</v>
      </c>
      <c r="B3502" s="1" t="s">
        <v>5780</v>
      </c>
      <c r="C3502" s="1" t="s">
        <v>5779</v>
      </c>
    </row>
    <row r="3503" spans="1:3" ht="15.75" customHeight="1" x14ac:dyDescent="0.25">
      <c r="A3503" s="1" t="s">
        <v>5778</v>
      </c>
      <c r="B3503" s="1" t="s">
        <v>5777</v>
      </c>
      <c r="C3503" s="1" t="s">
        <v>5776</v>
      </c>
    </row>
    <row r="3504" spans="1:3" ht="15.75" customHeight="1" x14ac:dyDescent="0.25">
      <c r="A3504" s="1" t="s">
        <v>5775</v>
      </c>
      <c r="B3504" s="1" t="s">
        <v>5774</v>
      </c>
      <c r="C3504" s="1" t="s">
        <v>5773</v>
      </c>
    </row>
  </sheetData>
  <conditionalFormatting sqref="A1:A1048576">
    <cfRule type="duplicateValues" dxfId="124" priority="1"/>
  </conditionalFormatting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13CB4-B997-4B94-B752-EE59C87C4AAF}">
  <dimension ref="B1:G266"/>
  <sheetViews>
    <sheetView topLeftCell="A244" zoomScaleNormal="100" workbookViewId="0">
      <selection activeCell="B251" sqref="B251"/>
    </sheetView>
  </sheetViews>
  <sheetFormatPr defaultRowHeight="15" x14ac:dyDescent="0.25"/>
  <cols>
    <col min="2" max="2" width="49" bestFit="1" customWidth="1"/>
    <col min="3" max="3" width="21.42578125" bestFit="1" customWidth="1"/>
    <col min="4" max="4" width="20.7109375" bestFit="1" customWidth="1"/>
    <col min="5" max="6" width="20.42578125" bestFit="1" customWidth="1"/>
    <col min="7" max="7" width="22.140625" style="145" bestFit="1" customWidth="1"/>
  </cols>
  <sheetData>
    <row r="1" spans="2:7" x14ac:dyDescent="0.25">
      <c r="B1" s="143" t="s">
        <v>13109</v>
      </c>
      <c r="C1" s="143" t="s">
        <v>13113</v>
      </c>
      <c r="D1" s="143" t="s">
        <v>13108</v>
      </c>
      <c r="E1" s="143" t="s">
        <v>13110</v>
      </c>
      <c r="F1" s="143" t="s">
        <v>13111</v>
      </c>
      <c r="G1" s="144" t="s">
        <v>13112</v>
      </c>
    </row>
    <row r="2" spans="2:7" x14ac:dyDescent="0.25">
      <c r="B2" s="143" t="s">
        <v>567</v>
      </c>
      <c r="C2" s="143" t="s">
        <v>12669</v>
      </c>
      <c r="D2" s="143" t="s">
        <v>12670</v>
      </c>
      <c r="E2" s="143" t="s">
        <v>12671</v>
      </c>
      <c r="F2" s="143" t="s">
        <v>12672</v>
      </c>
      <c r="G2" s="144">
        <v>4</v>
      </c>
    </row>
    <row r="3" spans="2:7" x14ac:dyDescent="0.25">
      <c r="B3" s="143" t="s">
        <v>12795</v>
      </c>
      <c r="C3" s="143" t="s">
        <v>12673</v>
      </c>
      <c r="D3" s="143" t="s">
        <v>12674</v>
      </c>
      <c r="E3" s="143" t="s">
        <v>12796</v>
      </c>
      <c r="F3" s="143" t="s">
        <v>5253</v>
      </c>
      <c r="G3" s="144">
        <v>248</v>
      </c>
    </row>
    <row r="4" spans="2:7" x14ac:dyDescent="0.25">
      <c r="B4" s="143" t="s">
        <v>4931</v>
      </c>
      <c r="C4" s="143" t="s">
        <v>12673</v>
      </c>
      <c r="D4" s="143" t="s">
        <v>12674</v>
      </c>
      <c r="E4" s="143" t="s">
        <v>12675</v>
      </c>
      <c r="F4" s="143" t="s">
        <v>5101</v>
      </c>
      <c r="G4" s="144">
        <v>8</v>
      </c>
    </row>
    <row r="5" spans="2:7" x14ac:dyDescent="0.25">
      <c r="B5" s="143" t="s">
        <v>493</v>
      </c>
      <c r="C5" s="143" t="s">
        <v>12679</v>
      </c>
      <c r="D5" s="143" t="s">
        <v>12671</v>
      </c>
      <c r="E5" s="143" t="s">
        <v>12680</v>
      </c>
      <c r="F5" s="143" t="s">
        <v>3518</v>
      </c>
      <c r="G5" s="144">
        <v>12</v>
      </c>
    </row>
    <row r="6" spans="2:7" x14ac:dyDescent="0.25">
      <c r="B6" s="143" t="s">
        <v>2623</v>
      </c>
      <c r="C6" s="143" t="s">
        <v>12681</v>
      </c>
      <c r="D6" s="143" t="s">
        <v>12682</v>
      </c>
      <c r="E6" s="143" t="s">
        <v>12670</v>
      </c>
      <c r="F6" s="143" t="s">
        <v>10817</v>
      </c>
      <c r="G6" s="144">
        <v>16</v>
      </c>
    </row>
    <row r="7" spans="2:7" x14ac:dyDescent="0.25">
      <c r="B7" s="143" t="s">
        <v>13118</v>
      </c>
      <c r="C7" s="143" t="s">
        <v>12673</v>
      </c>
      <c r="D7" s="143" t="s">
        <v>12674</v>
      </c>
      <c r="E7" s="143" t="s">
        <v>12683</v>
      </c>
      <c r="F7" s="143" t="s">
        <v>12684</v>
      </c>
      <c r="G7" s="144">
        <v>20</v>
      </c>
    </row>
    <row r="8" spans="2:7" x14ac:dyDescent="0.25">
      <c r="B8" s="143" t="s">
        <v>644</v>
      </c>
      <c r="C8" s="143" t="s">
        <v>12679</v>
      </c>
      <c r="D8" s="143" t="s">
        <v>12671</v>
      </c>
      <c r="E8" s="143" t="s">
        <v>12685</v>
      </c>
      <c r="F8" s="143" t="s">
        <v>12686</v>
      </c>
      <c r="G8" s="144">
        <v>24</v>
      </c>
    </row>
    <row r="9" spans="2:7" x14ac:dyDescent="0.25">
      <c r="B9" s="143" t="s">
        <v>1159</v>
      </c>
      <c r="C9" s="143" t="s">
        <v>12687</v>
      </c>
      <c r="D9" s="143" t="s">
        <v>12688</v>
      </c>
      <c r="E9" s="143" t="s">
        <v>12992</v>
      </c>
      <c r="F9" s="143" t="s">
        <v>10938</v>
      </c>
      <c r="G9" s="144">
        <v>660</v>
      </c>
    </row>
    <row r="10" spans="2:7" x14ac:dyDescent="0.25">
      <c r="B10" s="143" t="s">
        <v>12676</v>
      </c>
      <c r="C10" s="143" t="s">
        <v>12676</v>
      </c>
      <c r="D10" s="143" t="s">
        <v>12677</v>
      </c>
      <c r="E10" s="143" t="s">
        <v>12678</v>
      </c>
      <c r="F10" s="143" t="s">
        <v>4945</v>
      </c>
      <c r="G10" s="144">
        <v>10</v>
      </c>
    </row>
    <row r="11" spans="2:7" x14ac:dyDescent="0.25">
      <c r="B11" s="306" t="s">
        <v>10861</v>
      </c>
      <c r="C11" s="143" t="s">
        <v>12687</v>
      </c>
      <c r="D11" s="143" t="s">
        <v>12688</v>
      </c>
      <c r="E11" s="143" t="s">
        <v>12689</v>
      </c>
      <c r="F11" s="143" t="s">
        <v>12690</v>
      </c>
      <c r="G11" s="144">
        <v>28</v>
      </c>
    </row>
    <row r="12" spans="2:7" x14ac:dyDescent="0.25">
      <c r="B12" s="306" t="s">
        <v>11669</v>
      </c>
      <c r="C12" s="143" t="s">
        <v>12693</v>
      </c>
      <c r="D12" s="143" t="s">
        <v>12694</v>
      </c>
      <c r="E12" s="143" t="s">
        <v>12695</v>
      </c>
      <c r="F12" s="143" t="s">
        <v>12696</v>
      </c>
      <c r="G12" s="144">
        <v>32</v>
      </c>
    </row>
    <row r="13" spans="2:7" x14ac:dyDescent="0.25">
      <c r="B13" s="143" t="s">
        <v>1270</v>
      </c>
      <c r="C13" s="143" t="s">
        <v>12669</v>
      </c>
      <c r="D13" s="143" t="s">
        <v>12670</v>
      </c>
      <c r="E13" s="143" t="s">
        <v>12704</v>
      </c>
      <c r="F13" s="143" t="s">
        <v>2761</v>
      </c>
      <c r="G13" s="144">
        <v>51</v>
      </c>
    </row>
    <row r="14" spans="2:7" x14ac:dyDescent="0.25">
      <c r="B14" s="143" t="s">
        <v>1270</v>
      </c>
      <c r="C14" s="143" t="s">
        <v>12673</v>
      </c>
      <c r="D14" s="143" t="s">
        <v>12674</v>
      </c>
      <c r="E14" s="143" t="s">
        <v>12704</v>
      </c>
      <c r="F14" s="143" t="s">
        <v>2761</v>
      </c>
      <c r="G14" s="144">
        <v>51</v>
      </c>
    </row>
    <row r="15" spans="2:7" x14ac:dyDescent="0.25">
      <c r="B15" s="143" t="s">
        <v>4958</v>
      </c>
      <c r="C15" s="143" t="s">
        <v>12687</v>
      </c>
      <c r="D15" s="143" t="s">
        <v>12688</v>
      </c>
      <c r="E15" s="143" t="s">
        <v>12927</v>
      </c>
      <c r="F15" s="143" t="s">
        <v>12928</v>
      </c>
      <c r="G15" s="144">
        <v>533</v>
      </c>
    </row>
    <row r="16" spans="2:7" x14ac:dyDescent="0.25">
      <c r="B16" s="143" t="s">
        <v>774</v>
      </c>
      <c r="C16" s="143" t="s">
        <v>12681</v>
      </c>
      <c r="D16" s="143" t="s">
        <v>12682</v>
      </c>
      <c r="E16" s="143" t="s">
        <v>12697</v>
      </c>
      <c r="F16" s="143" t="s">
        <v>5524</v>
      </c>
      <c r="G16" s="144">
        <v>36</v>
      </c>
    </row>
    <row r="17" spans="2:7" x14ac:dyDescent="0.25">
      <c r="B17" s="143" t="s">
        <v>3915</v>
      </c>
      <c r="C17" s="143" t="s">
        <v>12673</v>
      </c>
      <c r="D17" s="143" t="s">
        <v>12674</v>
      </c>
      <c r="E17" s="143" t="s">
        <v>12698</v>
      </c>
      <c r="F17" s="143" t="s">
        <v>12699</v>
      </c>
      <c r="G17" s="144">
        <v>40</v>
      </c>
    </row>
    <row r="18" spans="2:7" x14ac:dyDescent="0.25">
      <c r="B18" s="143" t="s">
        <v>1377</v>
      </c>
      <c r="C18" s="143" t="s">
        <v>12673</v>
      </c>
      <c r="D18" s="143" t="s">
        <v>12674</v>
      </c>
      <c r="E18" s="143" t="s">
        <v>12691</v>
      </c>
      <c r="F18" s="143" t="s">
        <v>12692</v>
      </c>
      <c r="G18" s="144">
        <v>31</v>
      </c>
    </row>
    <row r="19" spans="2:7" x14ac:dyDescent="0.25">
      <c r="B19" s="143" t="s">
        <v>1377</v>
      </c>
      <c r="C19" s="143" t="s">
        <v>12669</v>
      </c>
      <c r="D19" s="143" t="s">
        <v>12670</v>
      </c>
      <c r="E19" s="143" t="s">
        <v>12691</v>
      </c>
      <c r="F19" s="143" t="s">
        <v>12692</v>
      </c>
      <c r="G19" s="144">
        <v>31</v>
      </c>
    </row>
    <row r="20" spans="2:7" x14ac:dyDescent="0.25">
      <c r="B20" s="143" t="s">
        <v>13119</v>
      </c>
      <c r="C20" s="143" t="s">
        <v>12687</v>
      </c>
      <c r="D20" s="143" t="s">
        <v>12688</v>
      </c>
      <c r="E20" s="143" t="s">
        <v>12700</v>
      </c>
      <c r="F20" s="143" t="s">
        <v>1543</v>
      </c>
      <c r="G20" s="144">
        <v>44</v>
      </c>
    </row>
    <row r="21" spans="2:7" x14ac:dyDescent="0.25">
      <c r="B21" s="143" t="s">
        <v>5428</v>
      </c>
      <c r="C21" s="143" t="s">
        <v>12669</v>
      </c>
      <c r="D21" s="143" t="s">
        <v>12670</v>
      </c>
      <c r="E21" s="143" t="s">
        <v>12701</v>
      </c>
      <c r="F21" s="143" t="s">
        <v>1813</v>
      </c>
      <c r="G21" s="144">
        <v>48</v>
      </c>
    </row>
    <row r="22" spans="2:7" x14ac:dyDescent="0.25">
      <c r="B22" s="143" t="s">
        <v>1710</v>
      </c>
      <c r="C22" s="143" t="s">
        <v>12669</v>
      </c>
      <c r="D22" s="143" t="s">
        <v>12670</v>
      </c>
      <c r="E22" s="143" t="s">
        <v>12702</v>
      </c>
      <c r="F22" s="143" t="s">
        <v>12703</v>
      </c>
      <c r="G22" s="144">
        <v>50</v>
      </c>
    </row>
    <row r="23" spans="2:7" x14ac:dyDescent="0.25">
      <c r="B23" s="143" t="s">
        <v>4991</v>
      </c>
      <c r="C23" s="143" t="s">
        <v>12687</v>
      </c>
      <c r="D23" s="143" t="s">
        <v>12688</v>
      </c>
      <c r="E23" s="143" t="s">
        <v>12705</v>
      </c>
      <c r="F23" s="143" t="s">
        <v>12706</v>
      </c>
      <c r="G23" s="144">
        <v>52</v>
      </c>
    </row>
    <row r="24" spans="2:7" x14ac:dyDescent="0.25">
      <c r="B24" s="143" t="s">
        <v>1959</v>
      </c>
      <c r="C24" s="143" t="s">
        <v>12673</v>
      </c>
      <c r="D24" s="143" t="s">
        <v>12674</v>
      </c>
      <c r="E24" s="143" t="s">
        <v>12733</v>
      </c>
      <c r="F24" s="143" t="s">
        <v>414</v>
      </c>
      <c r="G24" s="144">
        <v>112</v>
      </c>
    </row>
    <row r="25" spans="2:7" x14ac:dyDescent="0.25">
      <c r="B25" s="143" t="s">
        <v>3180</v>
      </c>
      <c r="C25" s="143" t="s">
        <v>12673</v>
      </c>
      <c r="D25" s="143" t="s">
        <v>12674</v>
      </c>
      <c r="E25" s="143" t="s">
        <v>12707</v>
      </c>
      <c r="F25" s="143" t="s">
        <v>426</v>
      </c>
      <c r="G25" s="144">
        <v>56</v>
      </c>
    </row>
    <row r="26" spans="2:7" x14ac:dyDescent="0.25">
      <c r="B26" s="143" t="s">
        <v>3977</v>
      </c>
      <c r="C26" s="143" t="s">
        <v>12687</v>
      </c>
      <c r="D26" s="143" t="s">
        <v>12688</v>
      </c>
      <c r="E26" s="143" t="s">
        <v>12719</v>
      </c>
      <c r="F26" s="143" t="s">
        <v>10592</v>
      </c>
      <c r="G26" s="144">
        <v>84</v>
      </c>
    </row>
    <row r="27" spans="2:7" x14ac:dyDescent="0.25">
      <c r="B27" s="143" t="s">
        <v>3689</v>
      </c>
      <c r="C27" s="143" t="s">
        <v>12679</v>
      </c>
      <c r="D27" s="143" t="s">
        <v>12671</v>
      </c>
      <c r="E27" s="143" t="s">
        <v>12772</v>
      </c>
      <c r="F27" s="143" t="s">
        <v>4551</v>
      </c>
      <c r="G27" s="144">
        <v>204</v>
      </c>
    </row>
    <row r="28" spans="2:7" x14ac:dyDescent="0.25">
      <c r="B28" s="143" t="s">
        <v>4427</v>
      </c>
      <c r="C28" s="143" t="s">
        <v>12687</v>
      </c>
      <c r="D28" s="143" t="s">
        <v>12688</v>
      </c>
      <c r="E28" s="143" t="s">
        <v>12708</v>
      </c>
      <c r="F28" s="143" t="s">
        <v>10578</v>
      </c>
      <c r="G28" s="144">
        <v>60</v>
      </c>
    </row>
    <row r="29" spans="2:7" x14ac:dyDescent="0.25">
      <c r="B29" s="143" t="s">
        <v>2908</v>
      </c>
      <c r="C29" s="143" t="s">
        <v>12669</v>
      </c>
      <c r="D29" s="143" t="s">
        <v>12670</v>
      </c>
      <c r="E29" s="143" t="s">
        <v>12709</v>
      </c>
      <c r="F29" s="143" t="s">
        <v>12710</v>
      </c>
      <c r="G29" s="144">
        <v>64</v>
      </c>
    </row>
    <row r="30" spans="2:7" x14ac:dyDescent="0.25">
      <c r="B30" s="143" t="s">
        <v>1144</v>
      </c>
      <c r="C30" s="143" t="s">
        <v>12693</v>
      </c>
      <c r="D30" s="143" t="s">
        <v>12694</v>
      </c>
      <c r="E30" s="143" t="s">
        <v>12711</v>
      </c>
      <c r="F30" s="143" t="s">
        <v>12712</v>
      </c>
      <c r="G30" s="144">
        <v>68</v>
      </c>
    </row>
    <row r="31" spans="2:7" x14ac:dyDescent="0.25">
      <c r="B31" s="143" t="s">
        <v>10546</v>
      </c>
      <c r="C31" s="143" t="s">
        <v>12687</v>
      </c>
      <c r="D31" s="143" t="s">
        <v>12688</v>
      </c>
      <c r="E31" s="143" t="s">
        <v>12931</v>
      </c>
      <c r="F31" s="143" t="s">
        <v>4553</v>
      </c>
      <c r="G31" s="144">
        <v>535</v>
      </c>
    </row>
    <row r="32" spans="2:7" x14ac:dyDescent="0.25">
      <c r="B32" s="143" t="s">
        <v>656</v>
      </c>
      <c r="C32" s="143" t="s">
        <v>12673</v>
      </c>
      <c r="D32" s="143" t="s">
        <v>12674</v>
      </c>
      <c r="E32" s="143" t="s">
        <v>12713</v>
      </c>
      <c r="F32" s="143" t="s">
        <v>12714</v>
      </c>
      <c r="G32" s="144">
        <v>70</v>
      </c>
    </row>
    <row r="33" spans="2:7" x14ac:dyDescent="0.25">
      <c r="B33" s="143" t="s">
        <v>1625</v>
      </c>
      <c r="C33" s="143" t="s">
        <v>12679</v>
      </c>
      <c r="D33" s="143" t="s">
        <v>12671</v>
      </c>
      <c r="E33" s="143" t="s">
        <v>12715</v>
      </c>
      <c r="F33" s="143" t="s">
        <v>2288</v>
      </c>
      <c r="G33" s="144">
        <v>72</v>
      </c>
    </row>
    <row r="34" spans="2:7" x14ac:dyDescent="0.25">
      <c r="B34" s="143" t="s">
        <v>13120</v>
      </c>
      <c r="C34" s="143" t="s">
        <v>12676</v>
      </c>
      <c r="D34" s="143" t="s">
        <v>12677</v>
      </c>
      <c r="E34" s="143" t="s">
        <v>12716</v>
      </c>
      <c r="F34" s="143" t="s">
        <v>12717</v>
      </c>
      <c r="G34" s="144">
        <v>74</v>
      </c>
    </row>
    <row r="35" spans="2:7" x14ac:dyDescent="0.25">
      <c r="B35" s="143" t="s">
        <v>517</v>
      </c>
      <c r="C35" s="143" t="s">
        <v>12693</v>
      </c>
      <c r="D35" s="143" t="s">
        <v>12694</v>
      </c>
      <c r="E35" s="143" t="s">
        <v>12718</v>
      </c>
      <c r="F35" s="143" t="s">
        <v>10523</v>
      </c>
      <c r="G35" s="144">
        <v>76</v>
      </c>
    </row>
    <row r="36" spans="2:7" x14ac:dyDescent="0.25">
      <c r="B36" s="143" t="s">
        <v>13121</v>
      </c>
      <c r="C36" s="143" t="s">
        <v>12669</v>
      </c>
      <c r="D36" s="143" t="s">
        <v>12670</v>
      </c>
      <c r="E36" s="143" t="s">
        <v>12720</v>
      </c>
      <c r="F36" s="143" t="s">
        <v>12721</v>
      </c>
      <c r="G36" s="144">
        <v>86</v>
      </c>
    </row>
    <row r="37" spans="2:7" x14ac:dyDescent="0.25">
      <c r="B37" s="143" t="s">
        <v>12724</v>
      </c>
      <c r="C37" s="143" t="s">
        <v>12687</v>
      </c>
      <c r="D37" s="143" t="s">
        <v>12688</v>
      </c>
      <c r="E37" s="143" t="s">
        <v>12725</v>
      </c>
      <c r="F37" s="143" t="s">
        <v>12726</v>
      </c>
      <c r="G37" s="144">
        <v>92</v>
      </c>
    </row>
    <row r="38" spans="2:7" x14ac:dyDescent="0.25">
      <c r="B38" s="143" t="s">
        <v>4829</v>
      </c>
      <c r="C38" s="143" t="s">
        <v>12669</v>
      </c>
      <c r="D38" s="143" t="s">
        <v>12670</v>
      </c>
      <c r="E38" s="143" t="s">
        <v>12727</v>
      </c>
      <c r="F38" s="143" t="s">
        <v>3933</v>
      </c>
      <c r="G38" s="144">
        <v>96</v>
      </c>
    </row>
    <row r="39" spans="2:7" x14ac:dyDescent="0.25">
      <c r="B39" s="143" t="s">
        <v>1459</v>
      </c>
      <c r="C39" s="143" t="s">
        <v>12673</v>
      </c>
      <c r="D39" s="143" t="s">
        <v>12674</v>
      </c>
      <c r="E39" s="143" t="s">
        <v>12728</v>
      </c>
      <c r="F39" s="143" t="s">
        <v>4406</v>
      </c>
      <c r="G39" s="144">
        <v>100</v>
      </c>
    </row>
    <row r="40" spans="2:7" x14ac:dyDescent="0.25">
      <c r="B40" s="143" t="s">
        <v>761</v>
      </c>
      <c r="C40" s="143" t="s">
        <v>12679</v>
      </c>
      <c r="D40" s="143" t="s">
        <v>12671</v>
      </c>
      <c r="E40" s="143" t="s">
        <v>13085</v>
      </c>
      <c r="F40" s="143" t="s">
        <v>13086</v>
      </c>
      <c r="G40" s="144">
        <v>854</v>
      </c>
    </row>
    <row r="41" spans="2:7" x14ac:dyDescent="0.25">
      <c r="B41" s="143" t="s">
        <v>2612</v>
      </c>
      <c r="C41" s="143" t="s">
        <v>12679</v>
      </c>
      <c r="D41" s="143" t="s">
        <v>12671</v>
      </c>
      <c r="E41" s="143" t="s">
        <v>12731</v>
      </c>
      <c r="F41" s="143" t="s">
        <v>12732</v>
      </c>
      <c r="G41" s="144">
        <v>108</v>
      </c>
    </row>
    <row r="42" spans="2:7" x14ac:dyDescent="0.25">
      <c r="B42" s="143" t="s">
        <v>4853</v>
      </c>
      <c r="C42" s="143" t="s">
        <v>12669</v>
      </c>
      <c r="D42" s="143" t="s">
        <v>12670</v>
      </c>
      <c r="E42" s="143" t="s">
        <v>12734</v>
      </c>
      <c r="F42" s="143" t="s">
        <v>12735</v>
      </c>
      <c r="G42" s="144">
        <v>116</v>
      </c>
    </row>
    <row r="43" spans="2:7" x14ac:dyDescent="0.25">
      <c r="B43" s="143" t="s">
        <v>11782</v>
      </c>
      <c r="C43" s="143" t="s">
        <v>12679</v>
      </c>
      <c r="D43" s="143" t="s">
        <v>12671</v>
      </c>
      <c r="E43" s="143" t="s">
        <v>12736</v>
      </c>
      <c r="F43" s="143" t="s">
        <v>12737</v>
      </c>
      <c r="G43" s="144">
        <v>120</v>
      </c>
    </row>
    <row r="44" spans="2:7" x14ac:dyDescent="0.25">
      <c r="B44" s="143" t="s">
        <v>514</v>
      </c>
      <c r="C44" s="143" t="s">
        <v>12687</v>
      </c>
      <c r="D44" s="143" t="s">
        <v>12688</v>
      </c>
      <c r="E44" s="143" t="s">
        <v>12738</v>
      </c>
      <c r="F44" s="143" t="s">
        <v>385</v>
      </c>
      <c r="G44" s="144">
        <v>124</v>
      </c>
    </row>
    <row r="45" spans="2:7" x14ac:dyDescent="0.25">
      <c r="B45" s="143" t="s">
        <v>886</v>
      </c>
      <c r="C45" s="143" t="s">
        <v>12679</v>
      </c>
      <c r="D45" s="143" t="s">
        <v>12671</v>
      </c>
      <c r="E45" s="143" t="s">
        <v>12739</v>
      </c>
      <c r="F45" s="143" t="s">
        <v>2826</v>
      </c>
      <c r="G45" s="144">
        <v>132</v>
      </c>
    </row>
    <row r="46" spans="2:7" x14ac:dyDescent="0.25">
      <c r="B46" s="143" t="s">
        <v>12740</v>
      </c>
      <c r="C46" s="143" t="s">
        <v>12687</v>
      </c>
      <c r="D46" s="143" t="s">
        <v>12688</v>
      </c>
      <c r="E46" s="143" t="s">
        <v>12741</v>
      </c>
      <c r="F46" s="143" t="s">
        <v>12742</v>
      </c>
      <c r="G46" s="144">
        <v>136</v>
      </c>
    </row>
    <row r="47" spans="2:7" x14ac:dyDescent="0.25">
      <c r="B47" s="143" t="s">
        <v>2738</v>
      </c>
      <c r="C47" s="143" t="s">
        <v>12679</v>
      </c>
      <c r="D47" s="143" t="s">
        <v>12671</v>
      </c>
      <c r="E47" s="143" t="s">
        <v>12743</v>
      </c>
      <c r="F47" s="143" t="s">
        <v>12744</v>
      </c>
      <c r="G47" s="144">
        <v>140</v>
      </c>
    </row>
    <row r="48" spans="2:7" x14ac:dyDescent="0.25">
      <c r="B48" s="143" t="s">
        <v>3272</v>
      </c>
      <c r="C48" s="143" t="s">
        <v>12679</v>
      </c>
      <c r="D48" s="143" t="s">
        <v>12671</v>
      </c>
      <c r="E48" s="143" t="s">
        <v>12746</v>
      </c>
      <c r="F48" s="143" t="s">
        <v>12747</v>
      </c>
      <c r="G48" s="144">
        <v>148</v>
      </c>
    </row>
    <row r="49" spans="2:7" x14ac:dyDescent="0.25">
      <c r="B49" s="143" t="s">
        <v>530</v>
      </c>
      <c r="C49" s="143" t="s">
        <v>12693</v>
      </c>
      <c r="D49" s="143" t="s">
        <v>12694</v>
      </c>
      <c r="E49" s="143" t="s">
        <v>12748</v>
      </c>
      <c r="F49" s="143" t="s">
        <v>12749</v>
      </c>
      <c r="G49" s="144">
        <v>152</v>
      </c>
    </row>
    <row r="50" spans="2:7" x14ac:dyDescent="0.25">
      <c r="B50" s="143" t="s">
        <v>14</v>
      </c>
      <c r="C50" s="143" t="s">
        <v>12669</v>
      </c>
      <c r="D50" s="143" t="s">
        <v>12670</v>
      </c>
      <c r="E50" s="143" t="s">
        <v>12750</v>
      </c>
      <c r="F50" s="143" t="s">
        <v>12751</v>
      </c>
      <c r="G50" s="144">
        <v>156</v>
      </c>
    </row>
    <row r="51" spans="2:7" x14ac:dyDescent="0.25">
      <c r="B51" s="143" t="s">
        <v>6457</v>
      </c>
      <c r="C51" s="143" t="s">
        <v>12669</v>
      </c>
      <c r="D51" s="143" t="s">
        <v>12670</v>
      </c>
      <c r="E51" s="143" t="s">
        <v>12754</v>
      </c>
      <c r="F51" s="143" t="s">
        <v>345</v>
      </c>
      <c r="G51" s="144">
        <v>162</v>
      </c>
    </row>
    <row r="52" spans="2:7" x14ac:dyDescent="0.25">
      <c r="B52" s="143" t="s">
        <v>12755</v>
      </c>
      <c r="C52" s="143" t="s">
        <v>12669</v>
      </c>
      <c r="D52" s="143" t="s">
        <v>12670</v>
      </c>
      <c r="E52" s="143" t="s">
        <v>12756</v>
      </c>
      <c r="F52" s="143" t="s">
        <v>1176</v>
      </c>
      <c r="G52" s="144">
        <v>166</v>
      </c>
    </row>
    <row r="53" spans="2:7" x14ac:dyDescent="0.25">
      <c r="B53" s="143" t="s">
        <v>860</v>
      </c>
      <c r="C53" s="143" t="s">
        <v>12693</v>
      </c>
      <c r="D53" s="143" t="s">
        <v>12694</v>
      </c>
      <c r="E53" s="143" t="s">
        <v>12757</v>
      </c>
      <c r="F53" s="143" t="s">
        <v>12758</v>
      </c>
      <c r="G53" s="144">
        <v>170</v>
      </c>
    </row>
    <row r="54" spans="2:7" x14ac:dyDescent="0.25">
      <c r="B54" s="143" t="s">
        <v>1135</v>
      </c>
      <c r="C54" s="143" t="s">
        <v>12679</v>
      </c>
      <c r="D54" s="143" t="s">
        <v>12671</v>
      </c>
      <c r="E54" s="143" t="s">
        <v>12759</v>
      </c>
      <c r="F54" s="143" t="s">
        <v>12760</v>
      </c>
      <c r="G54" s="144">
        <v>174</v>
      </c>
    </row>
    <row r="55" spans="2:7" x14ac:dyDescent="0.25">
      <c r="B55" s="16" t="s">
        <v>11823</v>
      </c>
      <c r="C55" s="143" t="s">
        <v>12679</v>
      </c>
      <c r="D55" s="143" t="s">
        <v>12671</v>
      </c>
      <c r="E55" s="143" t="s">
        <v>12762</v>
      </c>
      <c r="F55" s="143" t="s">
        <v>10237</v>
      </c>
      <c r="G55" s="144">
        <v>178</v>
      </c>
    </row>
    <row r="56" spans="2:7" x14ac:dyDescent="0.25">
      <c r="B56" s="143" t="s">
        <v>4546</v>
      </c>
      <c r="C56" s="143" t="s">
        <v>12679</v>
      </c>
      <c r="D56" s="143" t="s">
        <v>12671</v>
      </c>
      <c r="E56" s="143" t="s">
        <v>12763</v>
      </c>
      <c r="F56" s="143" t="s">
        <v>2197</v>
      </c>
      <c r="G56" s="144">
        <v>180</v>
      </c>
    </row>
    <row r="57" spans="2:7" x14ac:dyDescent="0.25">
      <c r="B57" s="143" t="s">
        <v>674</v>
      </c>
      <c r="C57" s="143" t="s">
        <v>12681</v>
      </c>
      <c r="D57" s="143" t="s">
        <v>12682</v>
      </c>
      <c r="E57" s="143" t="s">
        <v>12764</v>
      </c>
      <c r="F57" s="143" t="s">
        <v>355</v>
      </c>
      <c r="G57" s="144">
        <v>184</v>
      </c>
    </row>
    <row r="58" spans="2:7" x14ac:dyDescent="0.25">
      <c r="B58" s="143" t="s">
        <v>812</v>
      </c>
      <c r="C58" s="143" t="s">
        <v>12687</v>
      </c>
      <c r="D58" s="143" t="s">
        <v>12688</v>
      </c>
      <c r="E58" s="143" t="s">
        <v>12765</v>
      </c>
      <c r="F58" s="143" t="s">
        <v>653</v>
      </c>
      <c r="G58" s="144">
        <v>188</v>
      </c>
    </row>
    <row r="59" spans="2:7" x14ac:dyDescent="0.25">
      <c r="B59" s="143" t="s">
        <v>13115</v>
      </c>
      <c r="C59" s="143" t="s">
        <v>12679</v>
      </c>
      <c r="D59" s="143" t="s">
        <v>12671</v>
      </c>
      <c r="E59" s="143" t="s">
        <v>12853</v>
      </c>
      <c r="F59" s="143" t="s">
        <v>12854</v>
      </c>
      <c r="G59" s="144">
        <v>384</v>
      </c>
    </row>
    <row r="60" spans="2:7" x14ac:dyDescent="0.25">
      <c r="B60" s="143" t="s">
        <v>1117</v>
      </c>
      <c r="C60" s="143" t="s">
        <v>12673</v>
      </c>
      <c r="D60" s="143" t="s">
        <v>12674</v>
      </c>
      <c r="E60" s="143" t="s">
        <v>12766</v>
      </c>
      <c r="F60" s="143" t="s">
        <v>12767</v>
      </c>
      <c r="G60" s="144">
        <v>191</v>
      </c>
    </row>
    <row r="61" spans="2:7" x14ac:dyDescent="0.25">
      <c r="B61" s="143" t="s">
        <v>683</v>
      </c>
      <c r="C61" s="143" t="s">
        <v>12687</v>
      </c>
      <c r="D61" s="143" t="s">
        <v>12688</v>
      </c>
      <c r="E61" s="143" t="s">
        <v>12768</v>
      </c>
      <c r="F61" s="143" t="s">
        <v>12769</v>
      </c>
      <c r="G61" s="144">
        <v>192</v>
      </c>
    </row>
    <row r="62" spans="2:7" x14ac:dyDescent="0.25">
      <c r="B62" s="143" t="s">
        <v>12925</v>
      </c>
      <c r="C62" s="143" t="s">
        <v>12687</v>
      </c>
      <c r="D62" s="143" t="s">
        <v>12688</v>
      </c>
      <c r="E62" s="143" t="s">
        <v>12926</v>
      </c>
      <c r="F62" s="143" t="s">
        <v>10183</v>
      </c>
      <c r="G62" s="144">
        <v>531</v>
      </c>
    </row>
    <row r="63" spans="2:7" x14ac:dyDescent="0.25">
      <c r="B63" s="143" t="s">
        <v>4909</v>
      </c>
      <c r="C63" s="143" t="s">
        <v>12673</v>
      </c>
      <c r="D63" s="143" t="s">
        <v>12674</v>
      </c>
      <c r="E63" s="143" t="s">
        <v>12770</v>
      </c>
      <c r="F63" s="143" t="s">
        <v>2164</v>
      </c>
      <c r="G63" s="144">
        <v>196</v>
      </c>
    </row>
    <row r="64" spans="2:7" x14ac:dyDescent="0.25">
      <c r="B64" s="143" t="s">
        <v>4909</v>
      </c>
      <c r="C64" s="143" t="s">
        <v>12669</v>
      </c>
      <c r="D64" s="143" t="s">
        <v>12670</v>
      </c>
      <c r="E64" s="143" t="s">
        <v>12770</v>
      </c>
      <c r="F64" s="143" t="s">
        <v>2164</v>
      </c>
      <c r="G64" s="144">
        <v>196</v>
      </c>
    </row>
    <row r="65" spans="2:7" x14ac:dyDescent="0.25">
      <c r="B65" s="16" t="s">
        <v>11049</v>
      </c>
      <c r="C65" s="143" t="s">
        <v>12673</v>
      </c>
      <c r="D65" s="143" t="s">
        <v>12674</v>
      </c>
      <c r="E65" s="143" t="s">
        <v>12771</v>
      </c>
      <c r="F65" s="143" t="s">
        <v>10149</v>
      </c>
      <c r="G65" s="144">
        <v>203</v>
      </c>
    </row>
    <row r="66" spans="2:7" x14ac:dyDescent="0.25">
      <c r="B66" s="143" t="s">
        <v>876</v>
      </c>
      <c r="C66" s="143" t="s">
        <v>12673</v>
      </c>
      <c r="D66" s="143" t="s">
        <v>12674</v>
      </c>
      <c r="E66" s="143" t="s">
        <v>12773</v>
      </c>
      <c r="F66" s="143" t="s">
        <v>4987</v>
      </c>
      <c r="G66" s="144">
        <v>208</v>
      </c>
    </row>
    <row r="67" spans="2:7" x14ac:dyDescent="0.25">
      <c r="B67" s="143" t="s">
        <v>13100</v>
      </c>
      <c r="C67" s="143" t="s">
        <v>12681</v>
      </c>
      <c r="D67" s="143" t="s">
        <v>12682</v>
      </c>
      <c r="E67" s="143" t="s">
        <v>13101</v>
      </c>
      <c r="F67" s="143"/>
      <c r="G67" s="144"/>
    </row>
    <row r="68" spans="2:7" x14ac:dyDescent="0.25">
      <c r="B68" s="143" t="s">
        <v>3213</v>
      </c>
      <c r="C68" s="143" t="s">
        <v>12679</v>
      </c>
      <c r="D68" s="143" t="s">
        <v>12671</v>
      </c>
      <c r="E68" s="143" t="s">
        <v>12805</v>
      </c>
      <c r="F68" s="143" t="s">
        <v>12806</v>
      </c>
      <c r="G68" s="144">
        <v>262</v>
      </c>
    </row>
    <row r="69" spans="2:7" x14ac:dyDescent="0.25">
      <c r="B69" s="143" t="s">
        <v>3417</v>
      </c>
      <c r="C69" s="143" t="s">
        <v>12687</v>
      </c>
      <c r="D69" s="143" t="s">
        <v>12688</v>
      </c>
      <c r="E69" s="143" t="s">
        <v>12774</v>
      </c>
      <c r="F69" s="143" t="s">
        <v>12775</v>
      </c>
      <c r="G69" s="144">
        <v>212</v>
      </c>
    </row>
    <row r="70" spans="2:7" x14ac:dyDescent="0.25">
      <c r="B70" s="143" t="s">
        <v>2791</v>
      </c>
      <c r="C70" s="143" t="s">
        <v>12687</v>
      </c>
      <c r="D70" s="143" t="s">
        <v>12688</v>
      </c>
      <c r="E70" s="143" t="s">
        <v>12776</v>
      </c>
      <c r="F70" s="143" t="s">
        <v>3419</v>
      </c>
      <c r="G70" s="144">
        <v>214</v>
      </c>
    </row>
    <row r="71" spans="2:7" x14ac:dyDescent="0.25">
      <c r="B71" s="143" t="s">
        <v>2293</v>
      </c>
      <c r="C71" s="143" t="s">
        <v>12693</v>
      </c>
      <c r="D71" s="143" t="s">
        <v>12694</v>
      </c>
      <c r="E71" s="143" t="s">
        <v>12777</v>
      </c>
      <c r="F71" s="143" t="s">
        <v>12778</v>
      </c>
      <c r="G71" s="144">
        <v>218</v>
      </c>
    </row>
    <row r="72" spans="2:7" x14ac:dyDescent="0.25">
      <c r="B72" s="143" t="s">
        <v>1124</v>
      </c>
      <c r="C72" s="143" t="s">
        <v>12679</v>
      </c>
      <c r="D72" s="143" t="s">
        <v>12671</v>
      </c>
      <c r="E72" s="143" t="s">
        <v>13069</v>
      </c>
      <c r="F72" s="143" t="s">
        <v>13070</v>
      </c>
      <c r="G72" s="144">
        <v>818</v>
      </c>
    </row>
    <row r="73" spans="2:7" x14ac:dyDescent="0.25">
      <c r="B73" s="143" t="s">
        <v>4920</v>
      </c>
      <c r="C73" s="143" t="s">
        <v>12687</v>
      </c>
      <c r="D73" s="143" t="s">
        <v>12688</v>
      </c>
      <c r="E73" s="143" t="s">
        <v>12779</v>
      </c>
      <c r="F73" s="143" t="s">
        <v>1110</v>
      </c>
      <c r="G73" s="144">
        <v>222</v>
      </c>
    </row>
    <row r="74" spans="2:7" x14ac:dyDescent="0.25">
      <c r="B74" s="143" t="s">
        <v>3616</v>
      </c>
      <c r="C74" s="143" t="s">
        <v>12679</v>
      </c>
      <c r="D74" s="143" t="s">
        <v>12671</v>
      </c>
      <c r="E74" s="143" t="s">
        <v>12780</v>
      </c>
      <c r="F74" s="143" t="s">
        <v>12781</v>
      </c>
      <c r="G74" s="144">
        <v>226</v>
      </c>
    </row>
    <row r="75" spans="2:7" x14ac:dyDescent="0.25">
      <c r="B75" s="143" t="s">
        <v>13117</v>
      </c>
      <c r="C75" s="143" t="s">
        <v>12679</v>
      </c>
      <c r="D75" s="143" t="s">
        <v>12671</v>
      </c>
      <c r="E75" s="143" t="s">
        <v>12783</v>
      </c>
      <c r="F75" s="143" t="s">
        <v>3520</v>
      </c>
      <c r="G75" s="144">
        <v>232</v>
      </c>
    </row>
    <row r="76" spans="2:7" x14ac:dyDescent="0.25">
      <c r="B76" s="143" t="s">
        <v>520</v>
      </c>
      <c r="C76" s="143" t="s">
        <v>12673</v>
      </c>
      <c r="D76" s="143" t="s">
        <v>12674</v>
      </c>
      <c r="E76" s="143" t="s">
        <v>12784</v>
      </c>
      <c r="F76" s="143" t="s">
        <v>12785</v>
      </c>
      <c r="G76" s="144">
        <v>233</v>
      </c>
    </row>
    <row r="77" spans="2:7" x14ac:dyDescent="0.25">
      <c r="B77" s="143" t="s">
        <v>2527</v>
      </c>
      <c r="C77" s="143" t="s">
        <v>12679</v>
      </c>
      <c r="D77" s="143" t="s">
        <v>12671</v>
      </c>
      <c r="E77" s="143" t="s">
        <v>12782</v>
      </c>
      <c r="F77" s="143" t="s">
        <v>4615</v>
      </c>
      <c r="G77" s="144">
        <v>231</v>
      </c>
    </row>
    <row r="78" spans="2:7" x14ac:dyDescent="0.25">
      <c r="B78" s="143" t="s">
        <v>13122</v>
      </c>
      <c r="C78" s="143" t="s">
        <v>12693</v>
      </c>
      <c r="D78" s="143" t="s">
        <v>12694</v>
      </c>
      <c r="E78" s="143" t="s">
        <v>12787</v>
      </c>
      <c r="F78" s="143" t="s">
        <v>12788</v>
      </c>
      <c r="G78" s="144">
        <v>238</v>
      </c>
    </row>
    <row r="79" spans="2:7" x14ac:dyDescent="0.25">
      <c r="B79" s="143" t="s">
        <v>9856</v>
      </c>
      <c r="C79" s="143" t="s">
        <v>12673</v>
      </c>
      <c r="D79" s="143" t="s">
        <v>12674</v>
      </c>
      <c r="E79" s="143" t="s">
        <v>12786</v>
      </c>
      <c r="F79" s="143" t="s">
        <v>3093</v>
      </c>
      <c r="G79" s="144">
        <v>234</v>
      </c>
    </row>
    <row r="80" spans="2:7" x14ac:dyDescent="0.25">
      <c r="B80" s="143" t="s">
        <v>2356</v>
      </c>
      <c r="C80" s="143" t="s">
        <v>12681</v>
      </c>
      <c r="D80" s="143" t="s">
        <v>12682</v>
      </c>
      <c r="E80" s="143" t="s">
        <v>12791</v>
      </c>
      <c r="F80" s="143" t="s">
        <v>12792</v>
      </c>
      <c r="G80" s="144">
        <v>242</v>
      </c>
    </row>
    <row r="81" spans="2:7" x14ac:dyDescent="0.25">
      <c r="B81" s="143" t="s">
        <v>807</v>
      </c>
      <c r="C81" s="143" t="s">
        <v>12673</v>
      </c>
      <c r="D81" s="143" t="s">
        <v>12674</v>
      </c>
      <c r="E81" s="143" t="s">
        <v>12793</v>
      </c>
      <c r="F81" s="143" t="s">
        <v>12794</v>
      </c>
      <c r="G81" s="144">
        <v>246</v>
      </c>
    </row>
    <row r="82" spans="2:7" x14ac:dyDescent="0.25">
      <c r="B82" s="143" t="s">
        <v>560</v>
      </c>
      <c r="C82" s="143" t="s">
        <v>12673</v>
      </c>
      <c r="D82" s="143" t="s">
        <v>12674</v>
      </c>
      <c r="E82" s="143" t="s">
        <v>12797</v>
      </c>
      <c r="F82" s="143" t="s">
        <v>306</v>
      </c>
      <c r="G82" s="144">
        <v>250</v>
      </c>
    </row>
    <row r="83" spans="2:7" x14ac:dyDescent="0.25">
      <c r="B83" s="143" t="s">
        <v>4050</v>
      </c>
      <c r="C83" s="143" t="s">
        <v>12693</v>
      </c>
      <c r="D83" s="143" t="s">
        <v>12694</v>
      </c>
      <c r="E83" s="143" t="s">
        <v>12798</v>
      </c>
      <c r="F83" s="143" t="s">
        <v>12799</v>
      </c>
      <c r="G83" s="144">
        <v>254</v>
      </c>
    </row>
    <row r="84" spans="2:7" x14ac:dyDescent="0.25">
      <c r="B84" s="143" t="s">
        <v>662</v>
      </c>
      <c r="C84" s="143" t="s">
        <v>12681</v>
      </c>
      <c r="D84" s="143" t="s">
        <v>12682</v>
      </c>
      <c r="E84" s="143" t="s">
        <v>12800</v>
      </c>
      <c r="F84" s="143" t="s">
        <v>12801</v>
      </c>
      <c r="G84" s="144">
        <v>258</v>
      </c>
    </row>
    <row r="85" spans="2:7" x14ac:dyDescent="0.25">
      <c r="B85" s="143" t="s">
        <v>12802</v>
      </c>
      <c r="C85" s="143" t="s">
        <v>12676</v>
      </c>
      <c r="D85" s="143" t="s">
        <v>12677</v>
      </c>
      <c r="E85" s="143" t="s">
        <v>12803</v>
      </c>
      <c r="F85" s="143" t="s">
        <v>12804</v>
      </c>
      <c r="G85" s="144">
        <v>260</v>
      </c>
    </row>
    <row r="86" spans="2:7" x14ac:dyDescent="0.25">
      <c r="B86" s="143" t="s">
        <v>4347</v>
      </c>
      <c r="C86" s="143" t="s">
        <v>12679</v>
      </c>
      <c r="D86" s="143" t="s">
        <v>12671</v>
      </c>
      <c r="E86" s="143" t="s">
        <v>12807</v>
      </c>
      <c r="F86" s="143" t="s">
        <v>12808</v>
      </c>
      <c r="G86" s="144">
        <v>266</v>
      </c>
    </row>
    <row r="87" spans="2:7" x14ac:dyDescent="0.25">
      <c r="B87" s="143" t="s">
        <v>3724</v>
      </c>
      <c r="C87" s="143" t="s">
        <v>12679</v>
      </c>
      <c r="D87" s="143" t="s">
        <v>12671</v>
      </c>
      <c r="E87" s="143" t="s">
        <v>12810</v>
      </c>
      <c r="F87" s="143" t="s">
        <v>9683</v>
      </c>
      <c r="G87" s="144">
        <v>270</v>
      </c>
    </row>
    <row r="88" spans="2:7" x14ac:dyDescent="0.25">
      <c r="B88" s="143" t="s">
        <v>1578</v>
      </c>
      <c r="C88" s="143" t="s">
        <v>12673</v>
      </c>
      <c r="D88" s="143" t="s">
        <v>12674</v>
      </c>
      <c r="E88" s="143" t="s">
        <v>12809</v>
      </c>
      <c r="F88" s="143" t="s">
        <v>3405</v>
      </c>
      <c r="G88" s="144">
        <v>268</v>
      </c>
    </row>
    <row r="89" spans="2:7" x14ac:dyDescent="0.25">
      <c r="B89" s="143" t="s">
        <v>1578</v>
      </c>
      <c r="C89" s="143" t="s">
        <v>12669</v>
      </c>
      <c r="D89" s="143" t="s">
        <v>12670</v>
      </c>
      <c r="E89" s="143" t="s">
        <v>12809</v>
      </c>
      <c r="F89" s="143" t="s">
        <v>3405</v>
      </c>
      <c r="G89" s="144">
        <v>268</v>
      </c>
    </row>
    <row r="90" spans="2:7" x14ac:dyDescent="0.25">
      <c r="B90" s="143" t="s">
        <v>1427</v>
      </c>
      <c r="C90" s="143" t="s">
        <v>12673</v>
      </c>
      <c r="D90" s="143" t="s">
        <v>12674</v>
      </c>
      <c r="E90" s="143" t="s">
        <v>12812</v>
      </c>
      <c r="F90" s="143" t="s">
        <v>12813</v>
      </c>
      <c r="G90" s="144">
        <v>276</v>
      </c>
    </row>
    <row r="91" spans="2:7" x14ac:dyDescent="0.25">
      <c r="B91" s="143" t="s">
        <v>1441</v>
      </c>
      <c r="C91" s="143" t="s">
        <v>12679</v>
      </c>
      <c r="D91" s="143" t="s">
        <v>12671</v>
      </c>
      <c r="E91" s="143" t="s">
        <v>12814</v>
      </c>
      <c r="F91" s="143" t="s">
        <v>2079</v>
      </c>
      <c r="G91" s="144">
        <v>288</v>
      </c>
    </row>
    <row r="92" spans="2:7" x14ac:dyDescent="0.25">
      <c r="B92" s="143" t="s">
        <v>3733</v>
      </c>
      <c r="C92" s="143" t="s">
        <v>12673</v>
      </c>
      <c r="D92" s="143" t="s">
        <v>12674</v>
      </c>
      <c r="E92" s="143" t="s">
        <v>12815</v>
      </c>
      <c r="F92" s="143" t="s">
        <v>3735</v>
      </c>
      <c r="G92" s="144">
        <v>292</v>
      </c>
    </row>
    <row r="93" spans="2:7" x14ac:dyDescent="0.25">
      <c r="B93" s="143" t="s">
        <v>597</v>
      </c>
      <c r="C93" s="143" t="s">
        <v>12673</v>
      </c>
      <c r="D93" s="143" t="s">
        <v>12674</v>
      </c>
      <c r="E93" s="143" t="s">
        <v>12817</v>
      </c>
      <c r="F93" s="143" t="s">
        <v>12818</v>
      </c>
      <c r="G93" s="144">
        <v>300</v>
      </c>
    </row>
    <row r="94" spans="2:7" x14ac:dyDescent="0.25">
      <c r="B94" s="143" t="s">
        <v>600</v>
      </c>
      <c r="C94" s="143" t="s">
        <v>12687</v>
      </c>
      <c r="D94" s="143" t="s">
        <v>12688</v>
      </c>
      <c r="E94" s="143" t="s">
        <v>12819</v>
      </c>
      <c r="F94" s="143" t="s">
        <v>9649</v>
      </c>
      <c r="G94" s="144">
        <v>304</v>
      </c>
    </row>
    <row r="95" spans="2:7" x14ac:dyDescent="0.25">
      <c r="B95" s="143" t="s">
        <v>3795</v>
      </c>
      <c r="C95" s="143" t="s">
        <v>12687</v>
      </c>
      <c r="D95" s="143" t="s">
        <v>12688</v>
      </c>
      <c r="E95" s="143" t="s">
        <v>12820</v>
      </c>
      <c r="F95" s="143" t="s">
        <v>12821</v>
      </c>
      <c r="G95" s="144">
        <v>308</v>
      </c>
    </row>
    <row r="96" spans="2:7" x14ac:dyDescent="0.25">
      <c r="B96" s="143" t="s">
        <v>4988</v>
      </c>
      <c r="C96" s="143" t="s">
        <v>12687</v>
      </c>
      <c r="D96" s="143" t="s">
        <v>12688</v>
      </c>
      <c r="E96" s="143" t="s">
        <v>12822</v>
      </c>
      <c r="F96" s="143" t="s">
        <v>12823</v>
      </c>
      <c r="G96" s="144">
        <v>312</v>
      </c>
    </row>
    <row r="97" spans="2:7" x14ac:dyDescent="0.25">
      <c r="B97" s="143" t="s">
        <v>5080</v>
      </c>
      <c r="C97" s="143" t="s">
        <v>12681</v>
      </c>
      <c r="D97" s="143" t="s">
        <v>12682</v>
      </c>
      <c r="E97" s="143" t="s">
        <v>12824</v>
      </c>
      <c r="F97" s="143" t="s">
        <v>5082</v>
      </c>
      <c r="G97" s="144">
        <v>316</v>
      </c>
    </row>
    <row r="98" spans="2:7" x14ac:dyDescent="0.25">
      <c r="B98" s="143" t="s">
        <v>5119</v>
      </c>
      <c r="C98" s="143" t="s">
        <v>12687</v>
      </c>
      <c r="D98" s="143" t="s">
        <v>12688</v>
      </c>
      <c r="E98" s="143" t="s">
        <v>12825</v>
      </c>
      <c r="F98" s="143" t="s">
        <v>12826</v>
      </c>
      <c r="G98" s="144">
        <v>320</v>
      </c>
    </row>
    <row r="99" spans="2:7" x14ac:dyDescent="0.25">
      <c r="B99" s="143" t="s">
        <v>9753</v>
      </c>
      <c r="C99" s="143" t="s">
        <v>12673</v>
      </c>
      <c r="D99" s="143" t="s">
        <v>12674</v>
      </c>
      <c r="E99" s="143" t="s">
        <v>13073</v>
      </c>
      <c r="F99" s="143" t="s">
        <v>13074</v>
      </c>
      <c r="G99" s="144">
        <v>831</v>
      </c>
    </row>
    <row r="100" spans="2:7" x14ac:dyDescent="0.25">
      <c r="B100" s="143" t="s">
        <v>3535</v>
      </c>
      <c r="C100" s="143" t="s">
        <v>12679</v>
      </c>
      <c r="D100" s="143" t="s">
        <v>12671</v>
      </c>
      <c r="E100" s="143" t="s">
        <v>12827</v>
      </c>
      <c r="F100" s="143" t="s">
        <v>12828</v>
      </c>
      <c r="G100" s="144">
        <v>324</v>
      </c>
    </row>
    <row r="101" spans="2:7" x14ac:dyDescent="0.25">
      <c r="B101" s="143" t="s">
        <v>2022</v>
      </c>
      <c r="C101" s="143" t="s">
        <v>12679</v>
      </c>
      <c r="D101" s="143" t="s">
        <v>12671</v>
      </c>
      <c r="E101" s="143" t="s">
        <v>12971</v>
      </c>
      <c r="F101" s="143" t="s">
        <v>3774</v>
      </c>
      <c r="G101" s="144">
        <v>624</v>
      </c>
    </row>
    <row r="102" spans="2:7" x14ac:dyDescent="0.25">
      <c r="B102" s="143" t="s">
        <v>3403</v>
      </c>
      <c r="C102" s="143" t="s">
        <v>12693</v>
      </c>
      <c r="D102" s="143" t="s">
        <v>12694</v>
      </c>
      <c r="E102" s="143" t="s">
        <v>12829</v>
      </c>
      <c r="F102" s="143" t="s">
        <v>12830</v>
      </c>
      <c r="G102" s="144">
        <v>328</v>
      </c>
    </row>
    <row r="103" spans="2:7" x14ac:dyDescent="0.25">
      <c r="B103" s="143" t="s">
        <v>5476</v>
      </c>
      <c r="C103" s="143" t="s">
        <v>12687</v>
      </c>
      <c r="D103" s="143" t="s">
        <v>12688</v>
      </c>
      <c r="E103" s="143" t="s">
        <v>12831</v>
      </c>
      <c r="F103" s="143" t="s">
        <v>4001</v>
      </c>
      <c r="G103" s="144">
        <v>332</v>
      </c>
    </row>
    <row r="104" spans="2:7" x14ac:dyDescent="0.25">
      <c r="B104" s="143" t="s">
        <v>12832</v>
      </c>
      <c r="C104" s="143" t="s">
        <v>12676</v>
      </c>
      <c r="D104" s="143" t="s">
        <v>12677</v>
      </c>
      <c r="E104" s="143" t="s">
        <v>12833</v>
      </c>
      <c r="F104" s="143" t="s">
        <v>12834</v>
      </c>
      <c r="G104" s="144">
        <v>334</v>
      </c>
    </row>
    <row r="105" spans="2:7" x14ac:dyDescent="0.25">
      <c r="B105" s="143" t="s">
        <v>13123</v>
      </c>
      <c r="C105" s="143" t="s">
        <v>12673</v>
      </c>
      <c r="D105" s="143" t="s">
        <v>12674</v>
      </c>
      <c r="E105" s="143" t="s">
        <v>12835</v>
      </c>
      <c r="F105" s="143" t="s">
        <v>6766</v>
      </c>
      <c r="G105" s="144">
        <v>336</v>
      </c>
    </row>
    <row r="106" spans="2:7" x14ac:dyDescent="0.25">
      <c r="B106" s="143" t="s">
        <v>3350</v>
      </c>
      <c r="C106" s="143" t="s">
        <v>12687</v>
      </c>
      <c r="D106" s="143" t="s">
        <v>12688</v>
      </c>
      <c r="E106" s="143" t="s">
        <v>12836</v>
      </c>
      <c r="F106" s="143" t="s">
        <v>270</v>
      </c>
      <c r="G106" s="144">
        <v>340</v>
      </c>
    </row>
    <row r="107" spans="2:7" x14ac:dyDescent="0.25">
      <c r="B107" s="143" t="s">
        <v>9501</v>
      </c>
      <c r="C107" s="143" t="s">
        <v>12669</v>
      </c>
      <c r="D107" s="143" t="s">
        <v>12670</v>
      </c>
      <c r="E107" s="143" t="s">
        <v>12837</v>
      </c>
      <c r="F107" s="143" t="s">
        <v>277</v>
      </c>
      <c r="G107" s="144">
        <v>344</v>
      </c>
    </row>
    <row r="108" spans="2:7" x14ac:dyDescent="0.25">
      <c r="B108" s="143" t="s">
        <v>2729</v>
      </c>
      <c r="C108" s="143" t="s">
        <v>12673</v>
      </c>
      <c r="D108" s="143" t="s">
        <v>12674</v>
      </c>
      <c r="E108" s="143" t="s">
        <v>12838</v>
      </c>
      <c r="F108" s="143" t="s">
        <v>9429</v>
      </c>
      <c r="G108" s="144">
        <v>348</v>
      </c>
    </row>
    <row r="109" spans="2:7" x14ac:dyDescent="0.25">
      <c r="B109" s="143" t="s">
        <v>630</v>
      </c>
      <c r="C109" s="143" t="s">
        <v>12673</v>
      </c>
      <c r="D109" s="143" t="s">
        <v>12674</v>
      </c>
      <c r="E109" s="143" t="s">
        <v>12839</v>
      </c>
      <c r="F109" s="143" t="s">
        <v>12840</v>
      </c>
      <c r="G109" s="144">
        <v>352</v>
      </c>
    </row>
    <row r="110" spans="2:7" x14ac:dyDescent="0.25">
      <c r="B110" s="143" t="s">
        <v>1070</v>
      </c>
      <c r="C110" s="143" t="s">
        <v>12669</v>
      </c>
      <c r="D110" s="143" t="s">
        <v>12670</v>
      </c>
      <c r="E110" s="143" t="s">
        <v>12841</v>
      </c>
      <c r="F110" s="143" t="s">
        <v>5499</v>
      </c>
      <c r="G110" s="144">
        <v>356</v>
      </c>
    </row>
    <row r="111" spans="2:7" x14ac:dyDescent="0.25">
      <c r="B111" s="143" t="s">
        <v>1261</v>
      </c>
      <c r="C111" s="143" t="s">
        <v>12669</v>
      </c>
      <c r="D111" s="143" t="s">
        <v>12670</v>
      </c>
      <c r="E111" s="143" t="s">
        <v>12842</v>
      </c>
      <c r="F111" s="143" t="s">
        <v>9380</v>
      </c>
      <c r="G111" s="144">
        <v>360</v>
      </c>
    </row>
    <row r="112" spans="2:7" x14ac:dyDescent="0.25">
      <c r="B112" s="143" t="s">
        <v>502</v>
      </c>
      <c r="C112" s="143" t="s">
        <v>12669</v>
      </c>
      <c r="D112" s="143" t="s">
        <v>12670</v>
      </c>
      <c r="E112" s="143" t="s">
        <v>12843</v>
      </c>
      <c r="F112" s="143" t="s">
        <v>12844</v>
      </c>
      <c r="G112" s="144">
        <v>364</v>
      </c>
    </row>
    <row r="113" spans="2:7" x14ac:dyDescent="0.25">
      <c r="B113" s="143" t="s">
        <v>3163</v>
      </c>
      <c r="C113" s="143" t="s">
        <v>12669</v>
      </c>
      <c r="D113" s="143" t="s">
        <v>12670</v>
      </c>
      <c r="E113" s="143" t="s">
        <v>12845</v>
      </c>
      <c r="F113" s="143" t="s">
        <v>12846</v>
      </c>
      <c r="G113" s="144">
        <v>368</v>
      </c>
    </row>
    <row r="114" spans="2:7" x14ac:dyDescent="0.25">
      <c r="B114" s="143" t="s">
        <v>13102</v>
      </c>
      <c r="C114" s="143" t="s">
        <v>12669</v>
      </c>
      <c r="D114" s="143" t="s">
        <v>12670</v>
      </c>
      <c r="E114" s="143" t="s">
        <v>13103</v>
      </c>
      <c r="F114" s="143"/>
      <c r="G114" s="144"/>
    </row>
    <row r="115" spans="2:7" x14ac:dyDescent="0.25">
      <c r="B115" s="143" t="s">
        <v>1858</v>
      </c>
      <c r="C115" s="143" t="s">
        <v>12673</v>
      </c>
      <c r="D115" s="143" t="s">
        <v>12674</v>
      </c>
      <c r="E115" s="143" t="s">
        <v>12847</v>
      </c>
      <c r="F115" s="143" t="s">
        <v>12848</v>
      </c>
      <c r="G115" s="144">
        <v>372</v>
      </c>
    </row>
    <row r="116" spans="2:7" x14ac:dyDescent="0.25">
      <c r="B116" s="143" t="s">
        <v>9327</v>
      </c>
      <c r="C116" s="143" t="s">
        <v>12673</v>
      </c>
      <c r="D116" s="143" t="s">
        <v>12674</v>
      </c>
      <c r="E116" s="143" t="s">
        <v>13077</v>
      </c>
      <c r="F116" s="143" t="s">
        <v>13078</v>
      </c>
      <c r="G116" s="144">
        <v>833</v>
      </c>
    </row>
    <row r="117" spans="2:7" x14ac:dyDescent="0.25">
      <c r="B117" s="143" t="s">
        <v>1216</v>
      </c>
      <c r="C117" s="143" t="s">
        <v>12669</v>
      </c>
      <c r="D117" s="143" t="s">
        <v>12670</v>
      </c>
      <c r="E117" s="143" t="s">
        <v>12849</v>
      </c>
      <c r="F117" s="143" t="s">
        <v>12850</v>
      </c>
      <c r="G117" s="144">
        <v>376</v>
      </c>
    </row>
    <row r="118" spans="2:7" x14ac:dyDescent="0.25">
      <c r="B118" s="143" t="s">
        <v>308</v>
      </c>
      <c r="C118" s="143" t="s">
        <v>12673</v>
      </c>
      <c r="D118" s="143" t="s">
        <v>12674</v>
      </c>
      <c r="E118" s="143" t="s">
        <v>12851</v>
      </c>
      <c r="F118" s="143" t="s">
        <v>12852</v>
      </c>
      <c r="G118" s="144">
        <v>380</v>
      </c>
    </row>
    <row r="119" spans="2:7" x14ac:dyDescent="0.25">
      <c r="B119" s="143" t="s">
        <v>4894</v>
      </c>
      <c r="C119" s="143" t="s">
        <v>12687</v>
      </c>
      <c r="D119" s="143" t="s">
        <v>12688</v>
      </c>
      <c r="E119" s="143" t="s">
        <v>12855</v>
      </c>
      <c r="F119" s="143" t="s">
        <v>12856</v>
      </c>
      <c r="G119" s="144">
        <v>388</v>
      </c>
    </row>
    <row r="120" spans="2:7" x14ac:dyDescent="0.25">
      <c r="B120" s="143" t="s">
        <v>142</v>
      </c>
      <c r="C120" s="143" t="s">
        <v>12669</v>
      </c>
      <c r="D120" s="143" t="s">
        <v>12670</v>
      </c>
      <c r="E120" s="143" t="s">
        <v>12857</v>
      </c>
      <c r="F120" s="143" t="s">
        <v>12858</v>
      </c>
      <c r="G120" s="144">
        <v>392</v>
      </c>
    </row>
    <row r="121" spans="2:7" x14ac:dyDescent="0.25">
      <c r="B121" s="143" t="s">
        <v>9225</v>
      </c>
      <c r="C121" s="143" t="s">
        <v>12673</v>
      </c>
      <c r="D121" s="143" t="s">
        <v>12674</v>
      </c>
      <c r="E121" s="143" t="s">
        <v>13075</v>
      </c>
      <c r="F121" s="143" t="s">
        <v>13076</v>
      </c>
      <c r="G121" s="144">
        <v>832</v>
      </c>
    </row>
    <row r="122" spans="2:7" x14ac:dyDescent="0.25">
      <c r="B122" s="143" t="s">
        <v>2711</v>
      </c>
      <c r="C122" s="143" t="s">
        <v>12669</v>
      </c>
      <c r="D122" s="143" t="s">
        <v>12670</v>
      </c>
      <c r="E122" s="143" t="s">
        <v>12861</v>
      </c>
      <c r="F122" s="143" t="s">
        <v>12862</v>
      </c>
      <c r="G122" s="144">
        <v>400</v>
      </c>
    </row>
    <row r="123" spans="2:7" x14ac:dyDescent="0.25">
      <c r="B123" s="143" t="s">
        <v>588</v>
      </c>
      <c r="C123" s="143" t="s">
        <v>12673</v>
      </c>
      <c r="D123" s="143" t="s">
        <v>12674</v>
      </c>
      <c r="E123" s="143" t="s">
        <v>12859</v>
      </c>
      <c r="F123" s="143" t="s">
        <v>12860</v>
      </c>
      <c r="G123" s="144">
        <v>398</v>
      </c>
    </row>
    <row r="124" spans="2:7" x14ac:dyDescent="0.25">
      <c r="B124" s="143" t="s">
        <v>1189</v>
      </c>
      <c r="C124" s="143" t="s">
        <v>12679</v>
      </c>
      <c r="D124" s="143" t="s">
        <v>12671</v>
      </c>
      <c r="E124" s="143" t="s">
        <v>12863</v>
      </c>
      <c r="F124" s="143" t="s">
        <v>12864</v>
      </c>
      <c r="G124" s="144">
        <v>404</v>
      </c>
    </row>
    <row r="125" spans="2:7" x14ac:dyDescent="0.25">
      <c r="B125" s="143" t="s">
        <v>1037</v>
      </c>
      <c r="C125" s="143" t="s">
        <v>12681</v>
      </c>
      <c r="D125" s="143" t="s">
        <v>12682</v>
      </c>
      <c r="E125" s="143" t="s">
        <v>12816</v>
      </c>
      <c r="F125" s="143" t="s">
        <v>3221</v>
      </c>
      <c r="G125" s="144">
        <v>296</v>
      </c>
    </row>
    <row r="126" spans="2:7" x14ac:dyDescent="0.25">
      <c r="B126" s="143" t="s">
        <v>258</v>
      </c>
      <c r="C126" s="143" t="s">
        <v>12669</v>
      </c>
      <c r="D126" s="143" t="s">
        <v>12670</v>
      </c>
      <c r="E126" s="143" t="s">
        <v>12867</v>
      </c>
      <c r="F126" s="143" t="s">
        <v>12868</v>
      </c>
      <c r="G126" s="144">
        <v>410</v>
      </c>
    </row>
    <row r="127" spans="2:7" x14ac:dyDescent="0.25">
      <c r="B127" s="143" t="s">
        <v>2891</v>
      </c>
      <c r="C127" s="143" t="s">
        <v>12669</v>
      </c>
      <c r="D127" s="143" t="s">
        <v>12670</v>
      </c>
      <c r="E127" s="143" t="s">
        <v>12865</v>
      </c>
      <c r="F127" s="143" t="s">
        <v>12866</v>
      </c>
      <c r="G127" s="144">
        <v>408</v>
      </c>
    </row>
    <row r="128" spans="2:7" x14ac:dyDescent="0.25">
      <c r="B128" s="143" t="s">
        <v>5481</v>
      </c>
      <c r="C128" s="143" t="s">
        <v>12669</v>
      </c>
      <c r="D128" s="143" t="s">
        <v>12670</v>
      </c>
      <c r="E128" s="143" t="s">
        <v>12869</v>
      </c>
      <c r="F128" s="143" t="s">
        <v>8969</v>
      </c>
      <c r="G128" s="144">
        <v>414</v>
      </c>
    </row>
    <row r="129" spans="2:7" x14ac:dyDescent="0.25">
      <c r="B129" s="143" t="s">
        <v>12870</v>
      </c>
      <c r="C129" s="143" t="s">
        <v>12669</v>
      </c>
      <c r="D129" s="143" t="s">
        <v>12670</v>
      </c>
      <c r="E129" s="143" t="s">
        <v>12871</v>
      </c>
      <c r="F129" s="143" t="s">
        <v>12872</v>
      </c>
      <c r="G129" s="144">
        <v>417</v>
      </c>
    </row>
    <row r="130" spans="2:7" x14ac:dyDescent="0.25">
      <c r="B130" s="143" t="s">
        <v>974</v>
      </c>
      <c r="C130" s="143" t="s">
        <v>12669</v>
      </c>
      <c r="D130" s="143" t="s">
        <v>12670</v>
      </c>
      <c r="E130" s="143" t="s">
        <v>12873</v>
      </c>
      <c r="F130" s="143" t="s">
        <v>206</v>
      </c>
      <c r="G130" s="144">
        <v>418</v>
      </c>
    </row>
    <row r="131" spans="2:7" x14ac:dyDescent="0.25">
      <c r="B131" s="143" t="s">
        <v>496</v>
      </c>
      <c r="C131" s="143" t="s">
        <v>12673</v>
      </c>
      <c r="D131" s="143" t="s">
        <v>12674</v>
      </c>
      <c r="E131" s="143" t="s">
        <v>12878</v>
      </c>
      <c r="F131" s="143" t="s">
        <v>12879</v>
      </c>
      <c r="G131" s="144">
        <v>428</v>
      </c>
    </row>
    <row r="132" spans="2:7" x14ac:dyDescent="0.25">
      <c r="B132" s="143" t="s">
        <v>5393</v>
      </c>
      <c r="C132" s="143" t="s">
        <v>12669</v>
      </c>
      <c r="D132" s="143" t="s">
        <v>12670</v>
      </c>
      <c r="E132" s="143" t="s">
        <v>12874</v>
      </c>
      <c r="F132" s="143" t="s">
        <v>12875</v>
      </c>
      <c r="G132" s="144">
        <v>422</v>
      </c>
    </row>
    <row r="133" spans="2:7" x14ac:dyDescent="0.25">
      <c r="B133" s="143" t="s">
        <v>2104</v>
      </c>
      <c r="C133" s="143" t="s">
        <v>12679</v>
      </c>
      <c r="D133" s="143" t="s">
        <v>12671</v>
      </c>
      <c r="E133" s="143" t="s">
        <v>12876</v>
      </c>
      <c r="F133" s="143" t="s">
        <v>12877</v>
      </c>
      <c r="G133" s="144">
        <v>426</v>
      </c>
    </row>
    <row r="134" spans="2:7" x14ac:dyDescent="0.25">
      <c r="B134" s="143" t="s">
        <v>2454</v>
      </c>
      <c r="C134" s="143" t="s">
        <v>12679</v>
      </c>
      <c r="D134" s="143" t="s">
        <v>12671</v>
      </c>
      <c r="E134" s="143" t="s">
        <v>12880</v>
      </c>
      <c r="F134" s="143" t="s">
        <v>12881</v>
      </c>
      <c r="G134" s="144">
        <v>430</v>
      </c>
    </row>
    <row r="135" spans="2:7" x14ac:dyDescent="0.25">
      <c r="B135" s="143" t="s">
        <v>4549</v>
      </c>
      <c r="C135" s="143" t="s">
        <v>12679</v>
      </c>
      <c r="D135" s="143" t="s">
        <v>12671</v>
      </c>
      <c r="E135" s="143" t="s">
        <v>12882</v>
      </c>
      <c r="F135" s="143" t="s">
        <v>12883</v>
      </c>
      <c r="G135" s="144">
        <v>434</v>
      </c>
    </row>
    <row r="136" spans="2:7" x14ac:dyDescent="0.25">
      <c r="B136" s="143" t="s">
        <v>13124</v>
      </c>
      <c r="C136" s="143" t="s">
        <v>12673</v>
      </c>
      <c r="D136" s="143" t="s">
        <v>12674</v>
      </c>
      <c r="E136" s="143" t="s">
        <v>12884</v>
      </c>
      <c r="F136" s="143" t="s">
        <v>12885</v>
      </c>
      <c r="G136" s="144">
        <v>438</v>
      </c>
    </row>
    <row r="137" spans="2:7" x14ac:dyDescent="0.25">
      <c r="B137" s="143" t="s">
        <v>508</v>
      </c>
      <c r="C137" s="143" t="s">
        <v>12673</v>
      </c>
      <c r="D137" s="143" t="s">
        <v>12674</v>
      </c>
      <c r="E137" s="143" t="s">
        <v>12886</v>
      </c>
      <c r="F137" s="143" t="s">
        <v>12887</v>
      </c>
      <c r="G137" s="144">
        <v>440</v>
      </c>
    </row>
    <row r="138" spans="2:7" x14ac:dyDescent="0.25">
      <c r="B138" s="143" t="s">
        <v>4889</v>
      </c>
      <c r="C138" s="143" t="s">
        <v>12673</v>
      </c>
      <c r="D138" s="143" t="s">
        <v>12674</v>
      </c>
      <c r="E138" s="143" t="s">
        <v>12888</v>
      </c>
      <c r="F138" s="143" t="s">
        <v>4891</v>
      </c>
      <c r="G138" s="144">
        <v>442</v>
      </c>
    </row>
    <row r="139" spans="2:7" x14ac:dyDescent="0.25">
      <c r="B139" s="143" t="s">
        <v>13125</v>
      </c>
      <c r="C139" s="143" t="s">
        <v>12669</v>
      </c>
      <c r="D139" s="143" t="s">
        <v>12670</v>
      </c>
      <c r="E139" s="143" t="s">
        <v>12889</v>
      </c>
      <c r="F139" s="143" t="s">
        <v>12890</v>
      </c>
      <c r="G139" s="144">
        <v>446</v>
      </c>
    </row>
    <row r="140" spans="2:7" x14ac:dyDescent="0.25">
      <c r="B140" s="143" t="s">
        <v>13126</v>
      </c>
      <c r="C140" s="143" t="s">
        <v>12673</v>
      </c>
      <c r="D140" s="143" t="s">
        <v>12674</v>
      </c>
      <c r="E140" s="143" t="s">
        <v>13067</v>
      </c>
      <c r="F140" s="143" t="s">
        <v>13068</v>
      </c>
      <c r="G140" s="144">
        <v>807</v>
      </c>
    </row>
    <row r="141" spans="2:7" x14ac:dyDescent="0.25">
      <c r="B141" s="143" t="s">
        <v>938</v>
      </c>
      <c r="C141" s="143" t="s">
        <v>12679</v>
      </c>
      <c r="D141" s="143" t="s">
        <v>12671</v>
      </c>
      <c r="E141" s="143" t="s">
        <v>12891</v>
      </c>
      <c r="F141" s="143" t="s">
        <v>3563</v>
      </c>
      <c r="G141" s="144">
        <v>450</v>
      </c>
    </row>
    <row r="142" spans="2:7" x14ac:dyDescent="0.25">
      <c r="B142" s="143" t="s">
        <v>3293</v>
      </c>
      <c r="C142" s="143" t="s">
        <v>12679</v>
      </c>
      <c r="D142" s="143" t="s">
        <v>12671</v>
      </c>
      <c r="E142" s="143" t="s">
        <v>12892</v>
      </c>
      <c r="F142" s="143" t="s">
        <v>12893</v>
      </c>
      <c r="G142" s="144">
        <v>454</v>
      </c>
    </row>
    <row r="143" spans="2:7" x14ac:dyDescent="0.25">
      <c r="B143" s="143" t="s">
        <v>709</v>
      </c>
      <c r="C143" s="143" t="s">
        <v>12669</v>
      </c>
      <c r="D143" s="143" t="s">
        <v>12670</v>
      </c>
      <c r="E143" s="143" t="s">
        <v>12894</v>
      </c>
      <c r="F143" s="143" t="s">
        <v>12895</v>
      </c>
      <c r="G143" s="144">
        <v>458</v>
      </c>
    </row>
    <row r="144" spans="2:7" x14ac:dyDescent="0.25">
      <c r="B144" s="143" t="s">
        <v>2366</v>
      </c>
      <c r="C144" s="143" t="s">
        <v>12669</v>
      </c>
      <c r="D144" s="143" t="s">
        <v>12670</v>
      </c>
      <c r="E144" s="143" t="s">
        <v>12896</v>
      </c>
      <c r="F144" s="143" t="s">
        <v>12897</v>
      </c>
      <c r="G144" s="144">
        <v>462</v>
      </c>
    </row>
    <row r="145" spans="2:7" x14ac:dyDescent="0.25">
      <c r="B145" s="143" t="s">
        <v>669</v>
      </c>
      <c r="C145" s="143" t="s">
        <v>12679</v>
      </c>
      <c r="D145" s="143" t="s">
        <v>12671</v>
      </c>
      <c r="E145" s="143" t="s">
        <v>12898</v>
      </c>
      <c r="F145" s="143" t="s">
        <v>4518</v>
      </c>
      <c r="G145" s="144">
        <v>466</v>
      </c>
    </row>
    <row r="146" spans="2:7" x14ac:dyDescent="0.25">
      <c r="B146" s="143" t="s">
        <v>5183</v>
      </c>
      <c r="C146" s="143" t="s">
        <v>12673</v>
      </c>
      <c r="D146" s="143" t="s">
        <v>12674</v>
      </c>
      <c r="E146" s="143" t="s">
        <v>12899</v>
      </c>
      <c r="F146" s="143" t="s">
        <v>12900</v>
      </c>
      <c r="G146" s="144">
        <v>470</v>
      </c>
    </row>
    <row r="147" spans="2:7" x14ac:dyDescent="0.25">
      <c r="B147" s="143" t="s">
        <v>13127</v>
      </c>
      <c r="C147" s="143" t="s">
        <v>12681</v>
      </c>
      <c r="D147" s="143" t="s">
        <v>12682</v>
      </c>
      <c r="E147" s="143" t="s">
        <v>12953</v>
      </c>
      <c r="F147" s="143" t="s">
        <v>12954</v>
      </c>
      <c r="G147" s="144">
        <v>584</v>
      </c>
    </row>
    <row r="148" spans="2:7" x14ac:dyDescent="0.25">
      <c r="B148" s="143" t="s">
        <v>4861</v>
      </c>
      <c r="C148" s="143" t="s">
        <v>12687</v>
      </c>
      <c r="D148" s="143" t="s">
        <v>12688</v>
      </c>
      <c r="E148" s="143" t="s">
        <v>12901</v>
      </c>
      <c r="F148" s="143" t="s">
        <v>12902</v>
      </c>
      <c r="G148" s="144">
        <v>474</v>
      </c>
    </row>
    <row r="149" spans="2:7" x14ac:dyDescent="0.25">
      <c r="B149" s="143" t="s">
        <v>2547</v>
      </c>
      <c r="C149" s="143" t="s">
        <v>12679</v>
      </c>
      <c r="D149" s="143" t="s">
        <v>12671</v>
      </c>
      <c r="E149" s="143" t="s">
        <v>12903</v>
      </c>
      <c r="F149" s="143" t="s">
        <v>12904</v>
      </c>
      <c r="G149" s="144">
        <v>478</v>
      </c>
    </row>
    <row r="150" spans="2:7" x14ac:dyDescent="0.25">
      <c r="B150" s="143" t="s">
        <v>5096</v>
      </c>
      <c r="C150" s="143" t="s">
        <v>12679</v>
      </c>
      <c r="D150" s="143" t="s">
        <v>12671</v>
      </c>
      <c r="E150" s="143" t="s">
        <v>12905</v>
      </c>
      <c r="F150" s="143" t="s">
        <v>12906</v>
      </c>
      <c r="G150" s="144">
        <v>480</v>
      </c>
    </row>
    <row r="151" spans="2:7" x14ac:dyDescent="0.25">
      <c r="B151" s="143" t="s">
        <v>3516</v>
      </c>
      <c r="C151" s="143" t="s">
        <v>12679</v>
      </c>
      <c r="D151" s="143" t="s">
        <v>12671</v>
      </c>
      <c r="E151" s="143" t="s">
        <v>12761</v>
      </c>
      <c r="F151" s="143" t="s">
        <v>8329</v>
      </c>
      <c r="G151" s="144">
        <v>175</v>
      </c>
    </row>
    <row r="152" spans="2:7" x14ac:dyDescent="0.25">
      <c r="B152" s="143" t="s">
        <v>1749</v>
      </c>
      <c r="C152" s="143" t="s">
        <v>12687</v>
      </c>
      <c r="D152" s="143" t="s">
        <v>12688</v>
      </c>
      <c r="E152" s="143" t="s">
        <v>12907</v>
      </c>
      <c r="F152" s="143" t="s">
        <v>5703</v>
      </c>
      <c r="G152" s="144">
        <v>484</v>
      </c>
    </row>
    <row r="153" spans="2:7" x14ac:dyDescent="0.25">
      <c r="B153" s="143" t="s">
        <v>1870</v>
      </c>
      <c r="C153" s="143" t="s">
        <v>12681</v>
      </c>
      <c r="D153" s="143" t="s">
        <v>12682</v>
      </c>
      <c r="E153" s="143" t="s">
        <v>12952</v>
      </c>
      <c r="F153" s="143" t="s">
        <v>3064</v>
      </c>
      <c r="G153" s="144">
        <v>583</v>
      </c>
    </row>
    <row r="154" spans="2:7" x14ac:dyDescent="0.25">
      <c r="B154" s="143" t="s">
        <v>4434</v>
      </c>
      <c r="C154" s="143" t="s">
        <v>12673</v>
      </c>
      <c r="D154" s="143" t="s">
        <v>12674</v>
      </c>
      <c r="E154" s="143" t="s">
        <v>12910</v>
      </c>
      <c r="F154" s="143" t="s">
        <v>12911</v>
      </c>
      <c r="G154" s="144">
        <v>498</v>
      </c>
    </row>
    <row r="155" spans="2:7" x14ac:dyDescent="0.25">
      <c r="B155" s="143" t="s">
        <v>13128</v>
      </c>
      <c r="C155" s="143" t="s">
        <v>12673</v>
      </c>
      <c r="D155" s="143" t="s">
        <v>12674</v>
      </c>
      <c r="E155" s="143" t="s">
        <v>12908</v>
      </c>
      <c r="F155" s="143" t="s">
        <v>5727</v>
      </c>
      <c r="G155" s="144">
        <v>492</v>
      </c>
    </row>
    <row r="156" spans="2:7" x14ac:dyDescent="0.25">
      <c r="B156" s="143" t="s">
        <v>533</v>
      </c>
      <c r="C156" s="143" t="s">
        <v>12669</v>
      </c>
      <c r="D156" s="143" t="s">
        <v>12670</v>
      </c>
      <c r="E156" s="143" t="s">
        <v>12909</v>
      </c>
      <c r="F156" s="143" t="s">
        <v>1076</v>
      </c>
      <c r="G156" s="144">
        <v>496</v>
      </c>
    </row>
    <row r="157" spans="2:7" x14ac:dyDescent="0.25">
      <c r="B157" s="143" t="s">
        <v>3980</v>
      </c>
      <c r="C157" s="143" t="s">
        <v>12673</v>
      </c>
      <c r="D157" s="143" t="s">
        <v>12674</v>
      </c>
      <c r="E157" s="143" t="s">
        <v>12912</v>
      </c>
      <c r="F157" s="143" t="s">
        <v>12913</v>
      </c>
      <c r="G157" s="144">
        <v>499</v>
      </c>
    </row>
    <row r="158" spans="2:7" x14ac:dyDescent="0.25">
      <c r="B158" s="143" t="s">
        <v>8477</v>
      </c>
      <c r="C158" s="143" t="s">
        <v>12687</v>
      </c>
      <c r="D158" s="143" t="s">
        <v>12688</v>
      </c>
      <c r="E158" s="143" t="s">
        <v>12914</v>
      </c>
      <c r="F158" s="143" t="s">
        <v>2846</v>
      </c>
      <c r="G158" s="144">
        <v>500</v>
      </c>
    </row>
    <row r="159" spans="2:7" x14ac:dyDescent="0.25">
      <c r="B159" s="143" t="s">
        <v>608</v>
      </c>
      <c r="C159" s="143" t="s">
        <v>12679</v>
      </c>
      <c r="D159" s="143" t="s">
        <v>12671</v>
      </c>
      <c r="E159" s="143" t="s">
        <v>12915</v>
      </c>
      <c r="F159" s="143" t="s">
        <v>5130</v>
      </c>
      <c r="G159" s="144">
        <v>504</v>
      </c>
    </row>
    <row r="160" spans="2:7" x14ac:dyDescent="0.25">
      <c r="B160" s="143" t="s">
        <v>1531</v>
      </c>
      <c r="C160" s="143" t="s">
        <v>12679</v>
      </c>
      <c r="D160" s="143" t="s">
        <v>12671</v>
      </c>
      <c r="E160" s="143" t="s">
        <v>12916</v>
      </c>
      <c r="F160" s="143" t="s">
        <v>3019</v>
      </c>
      <c r="G160" s="144">
        <v>508</v>
      </c>
    </row>
    <row r="161" spans="2:7" x14ac:dyDescent="0.25">
      <c r="B161" s="143" t="s">
        <v>11046</v>
      </c>
      <c r="C161" s="143" t="s">
        <v>12669</v>
      </c>
      <c r="D161" s="143" t="s">
        <v>12670</v>
      </c>
      <c r="E161" s="143" t="s">
        <v>12729</v>
      </c>
      <c r="F161" s="143" t="s">
        <v>12730</v>
      </c>
      <c r="G161" s="144">
        <v>104</v>
      </c>
    </row>
    <row r="162" spans="2:7" x14ac:dyDescent="0.25">
      <c r="B162" s="143" t="s">
        <v>580</v>
      </c>
      <c r="C162" s="143" t="s">
        <v>12679</v>
      </c>
      <c r="D162" s="143" t="s">
        <v>12671</v>
      </c>
      <c r="E162" s="143" t="s">
        <v>12688</v>
      </c>
      <c r="F162" s="143" t="s">
        <v>12919</v>
      </c>
      <c r="G162" s="144">
        <v>516</v>
      </c>
    </row>
    <row r="163" spans="2:7" x14ac:dyDescent="0.25">
      <c r="B163" s="143" t="s">
        <v>1170</v>
      </c>
      <c r="C163" s="143" t="s">
        <v>12681</v>
      </c>
      <c r="D163" s="143" t="s">
        <v>12682</v>
      </c>
      <c r="E163" s="143" t="s">
        <v>12920</v>
      </c>
      <c r="F163" s="143" t="s">
        <v>12921</v>
      </c>
      <c r="G163" s="144">
        <v>520</v>
      </c>
    </row>
    <row r="164" spans="2:7" x14ac:dyDescent="0.25">
      <c r="B164" s="143" t="s">
        <v>867</v>
      </c>
      <c r="C164" s="143" t="s">
        <v>12669</v>
      </c>
      <c r="D164" s="143" t="s">
        <v>12670</v>
      </c>
      <c r="E164" s="143" t="s">
        <v>12922</v>
      </c>
      <c r="F164" s="143" t="s">
        <v>3541</v>
      </c>
      <c r="G164" s="144">
        <v>524</v>
      </c>
    </row>
    <row r="165" spans="2:7" x14ac:dyDescent="0.25">
      <c r="B165" s="143" t="s">
        <v>2324</v>
      </c>
      <c r="C165" s="143" t="s">
        <v>12687</v>
      </c>
      <c r="D165" s="143" t="s">
        <v>12688</v>
      </c>
      <c r="E165" s="143" t="s">
        <v>12677</v>
      </c>
      <c r="F165" s="143" t="s">
        <v>12924</v>
      </c>
      <c r="G165" s="144">
        <v>530</v>
      </c>
    </row>
    <row r="166" spans="2:7" x14ac:dyDescent="0.25">
      <c r="B166" s="143" t="s">
        <v>3204</v>
      </c>
      <c r="C166" s="143" t="s">
        <v>12673</v>
      </c>
      <c r="D166" s="143" t="s">
        <v>12674</v>
      </c>
      <c r="E166" s="143" t="s">
        <v>12923</v>
      </c>
      <c r="F166" s="143" t="s">
        <v>8234</v>
      </c>
      <c r="G166" s="144">
        <v>528</v>
      </c>
    </row>
    <row r="167" spans="2:7" x14ac:dyDescent="0.25">
      <c r="B167" s="143" t="s">
        <v>523</v>
      </c>
      <c r="C167" s="143" t="s">
        <v>12681</v>
      </c>
      <c r="D167" s="143" t="s">
        <v>12682</v>
      </c>
      <c r="E167" s="143" t="s">
        <v>12932</v>
      </c>
      <c r="F167" s="143" t="s">
        <v>5402</v>
      </c>
      <c r="G167" s="144">
        <v>540</v>
      </c>
    </row>
    <row r="168" spans="2:7" x14ac:dyDescent="0.25">
      <c r="B168" s="143" t="s">
        <v>730</v>
      </c>
      <c r="C168" s="143" t="s">
        <v>12681</v>
      </c>
      <c r="D168" s="143" t="s">
        <v>12682</v>
      </c>
      <c r="E168" s="143" t="s">
        <v>12935</v>
      </c>
      <c r="F168" s="143" t="s">
        <v>12936</v>
      </c>
      <c r="G168" s="144">
        <v>554</v>
      </c>
    </row>
    <row r="169" spans="2:7" x14ac:dyDescent="0.25">
      <c r="B169" s="143" t="s">
        <v>4554</v>
      </c>
      <c r="C169" s="143" t="s">
        <v>12687</v>
      </c>
      <c r="D169" s="143" t="s">
        <v>12688</v>
      </c>
      <c r="E169" s="143" t="s">
        <v>12937</v>
      </c>
      <c r="F169" s="143" t="s">
        <v>8249</v>
      </c>
      <c r="G169" s="144">
        <v>558</v>
      </c>
    </row>
    <row r="170" spans="2:7" x14ac:dyDescent="0.25">
      <c r="B170" s="143" t="s">
        <v>3079</v>
      </c>
      <c r="C170" s="143" t="s">
        <v>12679</v>
      </c>
      <c r="D170" s="143" t="s">
        <v>12671</v>
      </c>
      <c r="E170" s="143" t="s">
        <v>12938</v>
      </c>
      <c r="F170" s="143" t="s">
        <v>8270</v>
      </c>
      <c r="G170" s="144">
        <v>562</v>
      </c>
    </row>
    <row r="171" spans="2:7" x14ac:dyDescent="0.25">
      <c r="B171" s="143" t="s">
        <v>2059</v>
      </c>
      <c r="C171" s="143" t="s">
        <v>12679</v>
      </c>
      <c r="D171" s="143" t="s">
        <v>12671</v>
      </c>
      <c r="E171" s="143" t="s">
        <v>12939</v>
      </c>
      <c r="F171" s="143" t="s">
        <v>12940</v>
      </c>
      <c r="G171" s="144">
        <v>566</v>
      </c>
    </row>
    <row r="172" spans="2:7" x14ac:dyDescent="0.25">
      <c r="B172" s="143" t="s">
        <v>933</v>
      </c>
      <c r="C172" s="143" t="s">
        <v>12681</v>
      </c>
      <c r="D172" s="143" t="s">
        <v>12682</v>
      </c>
      <c r="E172" s="143" t="s">
        <v>12941</v>
      </c>
      <c r="F172" s="143" t="s">
        <v>12942</v>
      </c>
      <c r="G172" s="144">
        <v>570</v>
      </c>
    </row>
    <row r="173" spans="2:7" x14ac:dyDescent="0.25">
      <c r="B173" s="143" t="s">
        <v>2254</v>
      </c>
      <c r="C173" s="143" t="s">
        <v>12681</v>
      </c>
      <c r="D173" s="143" t="s">
        <v>12682</v>
      </c>
      <c r="E173" s="143" t="s">
        <v>12943</v>
      </c>
      <c r="F173" s="143" t="s">
        <v>12944</v>
      </c>
      <c r="G173" s="144">
        <v>574</v>
      </c>
    </row>
    <row r="174" spans="2:7" x14ac:dyDescent="0.25">
      <c r="B174" s="143" t="s">
        <v>1931</v>
      </c>
      <c r="C174" s="143" t="s">
        <v>12681</v>
      </c>
      <c r="D174" s="143" t="s">
        <v>12682</v>
      </c>
      <c r="E174" s="143" t="s">
        <v>12947</v>
      </c>
      <c r="F174" s="143" t="s">
        <v>12948</v>
      </c>
      <c r="G174" s="144">
        <v>580</v>
      </c>
    </row>
    <row r="175" spans="2:7" x14ac:dyDescent="0.25">
      <c r="B175" s="143" t="s">
        <v>605</v>
      </c>
      <c r="C175" s="143" t="s">
        <v>12673</v>
      </c>
      <c r="D175" s="143" t="s">
        <v>12674</v>
      </c>
      <c r="E175" s="143" t="s">
        <v>12945</v>
      </c>
      <c r="F175" s="143" t="s">
        <v>12946</v>
      </c>
      <c r="G175" s="144">
        <v>578</v>
      </c>
    </row>
    <row r="176" spans="2:7" x14ac:dyDescent="0.25">
      <c r="B176" s="143" t="s">
        <v>1456</v>
      </c>
      <c r="C176" s="143" t="s">
        <v>12669</v>
      </c>
      <c r="D176" s="143" t="s">
        <v>12670</v>
      </c>
      <c r="E176" s="143" t="s">
        <v>12917</v>
      </c>
      <c r="F176" s="143" t="s">
        <v>12918</v>
      </c>
      <c r="G176" s="144">
        <v>512</v>
      </c>
    </row>
    <row r="177" spans="2:7" x14ac:dyDescent="0.25">
      <c r="B177" s="143" t="s">
        <v>197</v>
      </c>
      <c r="C177" s="143" t="s">
        <v>12669</v>
      </c>
      <c r="D177" s="143" t="s">
        <v>12670</v>
      </c>
      <c r="E177" s="143" t="s">
        <v>12956</v>
      </c>
      <c r="F177" s="143" t="s">
        <v>7988</v>
      </c>
      <c r="G177" s="144">
        <v>586</v>
      </c>
    </row>
    <row r="178" spans="2:7" x14ac:dyDescent="0.25">
      <c r="B178" s="143" t="s">
        <v>13116</v>
      </c>
      <c r="C178" s="143" t="s">
        <v>12681</v>
      </c>
      <c r="D178" s="143" t="s">
        <v>12682</v>
      </c>
      <c r="E178" s="143" t="s">
        <v>12955</v>
      </c>
      <c r="F178" s="143" t="s">
        <v>7853</v>
      </c>
      <c r="G178" s="144">
        <v>585</v>
      </c>
    </row>
    <row r="179" spans="2:7" x14ac:dyDescent="0.25">
      <c r="B179" s="143" t="s">
        <v>13129</v>
      </c>
      <c r="C179" s="143" t="s">
        <v>12669</v>
      </c>
      <c r="D179" s="143" t="s">
        <v>12670</v>
      </c>
      <c r="E179" s="143" t="s">
        <v>12811</v>
      </c>
      <c r="F179" s="143" t="s">
        <v>3199</v>
      </c>
      <c r="G179" s="144">
        <v>275</v>
      </c>
    </row>
    <row r="180" spans="2:7" x14ac:dyDescent="0.25">
      <c r="B180" s="143" t="s">
        <v>2329</v>
      </c>
      <c r="C180" s="143" t="s">
        <v>12687</v>
      </c>
      <c r="D180" s="143" t="s">
        <v>12688</v>
      </c>
      <c r="E180" s="143" t="s">
        <v>12957</v>
      </c>
      <c r="F180" s="143" t="s">
        <v>12958</v>
      </c>
      <c r="G180" s="144">
        <v>591</v>
      </c>
    </row>
    <row r="181" spans="2:7" x14ac:dyDescent="0.25">
      <c r="B181" s="143" t="s">
        <v>1865</v>
      </c>
      <c r="C181" s="143" t="s">
        <v>12681</v>
      </c>
      <c r="D181" s="143" t="s">
        <v>12682</v>
      </c>
      <c r="E181" s="143" t="s">
        <v>12959</v>
      </c>
      <c r="F181" s="143" t="s">
        <v>12960</v>
      </c>
      <c r="G181" s="144">
        <v>598</v>
      </c>
    </row>
    <row r="182" spans="2:7" x14ac:dyDescent="0.25">
      <c r="B182" s="143" t="s">
        <v>2395</v>
      </c>
      <c r="C182" s="143" t="s">
        <v>12693</v>
      </c>
      <c r="D182" s="143" t="s">
        <v>12694</v>
      </c>
      <c r="E182" s="143" t="s">
        <v>12961</v>
      </c>
      <c r="F182" s="143" t="s">
        <v>12962</v>
      </c>
      <c r="G182" s="144">
        <v>600</v>
      </c>
    </row>
    <row r="183" spans="2:7" x14ac:dyDescent="0.25">
      <c r="B183" s="143" t="s">
        <v>714</v>
      </c>
      <c r="C183" s="143" t="s">
        <v>12693</v>
      </c>
      <c r="D183" s="143" t="s">
        <v>12694</v>
      </c>
      <c r="E183" s="143" t="s">
        <v>12963</v>
      </c>
      <c r="F183" s="143" t="s">
        <v>126</v>
      </c>
      <c r="G183" s="144">
        <v>604</v>
      </c>
    </row>
    <row r="184" spans="2:7" x14ac:dyDescent="0.25">
      <c r="B184" s="143" t="s">
        <v>717</v>
      </c>
      <c r="C184" s="143" t="s">
        <v>12669</v>
      </c>
      <c r="D184" s="143" t="s">
        <v>12670</v>
      </c>
      <c r="E184" s="143" t="s">
        <v>12964</v>
      </c>
      <c r="F184" s="143" t="s">
        <v>124</v>
      </c>
      <c r="G184" s="144">
        <v>608</v>
      </c>
    </row>
    <row r="185" spans="2:7" x14ac:dyDescent="0.25">
      <c r="B185" s="143" t="s">
        <v>12965</v>
      </c>
      <c r="C185" s="143" t="s">
        <v>12681</v>
      </c>
      <c r="D185" s="143" t="s">
        <v>12682</v>
      </c>
      <c r="E185" s="143" t="s">
        <v>12966</v>
      </c>
      <c r="F185" s="143" t="s">
        <v>12967</v>
      </c>
      <c r="G185" s="144">
        <v>612</v>
      </c>
    </row>
    <row r="186" spans="2:7" x14ac:dyDescent="0.25">
      <c r="B186" s="143" t="s">
        <v>758</v>
      </c>
      <c r="C186" s="143" t="s">
        <v>12673</v>
      </c>
      <c r="D186" s="143" t="s">
        <v>12674</v>
      </c>
      <c r="E186" s="143" t="s">
        <v>12968</v>
      </c>
      <c r="F186" s="143" t="s">
        <v>2657</v>
      </c>
      <c r="G186" s="144">
        <v>616</v>
      </c>
    </row>
    <row r="187" spans="2:7" x14ac:dyDescent="0.25">
      <c r="B187" s="143" t="s">
        <v>733</v>
      </c>
      <c r="C187" s="143" t="s">
        <v>12673</v>
      </c>
      <c r="D187" s="143" t="s">
        <v>12674</v>
      </c>
      <c r="E187" s="143" t="s">
        <v>12969</v>
      </c>
      <c r="F187" s="143" t="s">
        <v>12970</v>
      </c>
      <c r="G187" s="144">
        <v>620</v>
      </c>
    </row>
    <row r="188" spans="2:7" x14ac:dyDescent="0.25">
      <c r="B188" s="143" t="s">
        <v>1946</v>
      </c>
      <c r="C188" s="143" t="s">
        <v>12687</v>
      </c>
      <c r="D188" s="143" t="s">
        <v>12688</v>
      </c>
      <c r="E188" s="143" t="s">
        <v>12973</v>
      </c>
      <c r="F188" s="143" t="s">
        <v>2853</v>
      </c>
      <c r="G188" s="144">
        <v>630</v>
      </c>
    </row>
    <row r="189" spans="2:7" x14ac:dyDescent="0.25">
      <c r="B189" s="143" t="s">
        <v>5634</v>
      </c>
      <c r="C189" s="143" t="s">
        <v>12669</v>
      </c>
      <c r="D189" s="143" t="s">
        <v>12670</v>
      </c>
      <c r="E189" s="143" t="s">
        <v>12974</v>
      </c>
      <c r="F189" s="143" t="s">
        <v>12975</v>
      </c>
      <c r="G189" s="144">
        <v>634</v>
      </c>
    </row>
    <row r="190" spans="2:7" x14ac:dyDescent="0.25">
      <c r="B190" s="16" t="s">
        <v>2860</v>
      </c>
      <c r="C190" s="143" t="s">
        <v>12679</v>
      </c>
      <c r="D190" s="143" t="s">
        <v>12671</v>
      </c>
      <c r="E190" s="143" t="s">
        <v>12977</v>
      </c>
      <c r="F190" s="143" t="s">
        <v>4886</v>
      </c>
      <c r="G190" s="144">
        <v>638</v>
      </c>
    </row>
    <row r="191" spans="2:7" x14ac:dyDescent="0.25">
      <c r="B191" s="143" t="s">
        <v>1420</v>
      </c>
      <c r="C191" s="143" t="s">
        <v>12673</v>
      </c>
      <c r="D191" s="143" t="s">
        <v>12674</v>
      </c>
      <c r="E191" s="143" t="s">
        <v>12978</v>
      </c>
      <c r="F191" s="143" t="s">
        <v>12979</v>
      </c>
      <c r="G191" s="144">
        <v>642</v>
      </c>
    </row>
    <row r="192" spans="2:7" x14ac:dyDescent="0.25">
      <c r="B192" s="143" t="s">
        <v>78</v>
      </c>
      <c r="C192" s="143" t="s">
        <v>12673</v>
      </c>
      <c r="D192" s="143" t="s">
        <v>12674</v>
      </c>
      <c r="E192" s="143" t="s">
        <v>12980</v>
      </c>
      <c r="F192" s="143" t="s">
        <v>12981</v>
      </c>
      <c r="G192" s="144">
        <v>643</v>
      </c>
    </row>
    <row r="193" spans="2:7" x14ac:dyDescent="0.25">
      <c r="B193" s="143" t="s">
        <v>78</v>
      </c>
      <c r="C193" s="143" t="s">
        <v>12669</v>
      </c>
      <c r="D193" s="143" t="s">
        <v>12670</v>
      </c>
      <c r="E193" s="143" t="s">
        <v>12980</v>
      </c>
      <c r="F193" s="143" t="s">
        <v>12981</v>
      </c>
      <c r="G193" s="144">
        <v>643</v>
      </c>
    </row>
    <row r="194" spans="2:7" x14ac:dyDescent="0.25">
      <c r="B194" s="143" t="s">
        <v>1352</v>
      </c>
      <c r="C194" s="143" t="s">
        <v>12679</v>
      </c>
      <c r="D194" s="143" t="s">
        <v>12671</v>
      </c>
      <c r="E194" s="143" t="s">
        <v>12982</v>
      </c>
      <c r="F194" s="143" t="s">
        <v>12983</v>
      </c>
      <c r="G194" s="144">
        <v>646</v>
      </c>
    </row>
    <row r="195" spans="2:7" x14ac:dyDescent="0.25">
      <c r="B195" s="143" t="s">
        <v>12984</v>
      </c>
      <c r="C195" s="143" t="s">
        <v>12687</v>
      </c>
      <c r="D195" s="143" t="s">
        <v>12688</v>
      </c>
      <c r="E195" s="143" t="s">
        <v>12985</v>
      </c>
      <c r="F195" s="143" t="s">
        <v>12986</v>
      </c>
      <c r="G195" s="144">
        <v>652</v>
      </c>
    </row>
    <row r="196" spans="2:7" x14ac:dyDescent="0.25">
      <c r="B196" s="143" t="s">
        <v>12987</v>
      </c>
      <c r="C196" s="143" t="s">
        <v>12679</v>
      </c>
      <c r="D196" s="143" t="s">
        <v>12671</v>
      </c>
      <c r="E196" s="143" t="s">
        <v>12988</v>
      </c>
      <c r="F196" s="143" t="s">
        <v>12989</v>
      </c>
      <c r="G196" s="144">
        <v>654</v>
      </c>
    </row>
    <row r="197" spans="2:7" x14ac:dyDescent="0.25">
      <c r="B197" s="143" t="s">
        <v>2540</v>
      </c>
      <c r="C197" s="143" t="s">
        <v>12687</v>
      </c>
      <c r="D197" s="143" t="s">
        <v>12688</v>
      </c>
      <c r="E197" s="143" t="s">
        <v>12990</v>
      </c>
      <c r="F197" s="143" t="s">
        <v>12991</v>
      </c>
      <c r="G197" s="144">
        <v>659</v>
      </c>
    </row>
    <row r="198" spans="2:7" x14ac:dyDescent="0.25">
      <c r="B198" s="143" t="s">
        <v>3709</v>
      </c>
      <c r="C198" s="143" t="s">
        <v>12687</v>
      </c>
      <c r="D198" s="143" t="s">
        <v>12688</v>
      </c>
      <c r="E198" s="143" t="s">
        <v>12993</v>
      </c>
      <c r="F198" s="143" t="s">
        <v>5365</v>
      </c>
      <c r="G198" s="144">
        <v>662</v>
      </c>
    </row>
    <row r="199" spans="2:7" x14ac:dyDescent="0.25">
      <c r="B199" s="143" t="s">
        <v>12994</v>
      </c>
      <c r="C199" s="143" t="s">
        <v>12687</v>
      </c>
      <c r="D199" s="143" t="s">
        <v>12688</v>
      </c>
      <c r="E199" s="143" t="s">
        <v>12995</v>
      </c>
      <c r="F199" s="143" t="s">
        <v>4473</v>
      </c>
      <c r="G199" s="144">
        <v>663</v>
      </c>
    </row>
    <row r="200" spans="2:7" x14ac:dyDescent="0.25">
      <c r="B200" s="143" t="s">
        <v>1671</v>
      </c>
      <c r="C200" s="143" t="s">
        <v>12687</v>
      </c>
      <c r="D200" s="143" t="s">
        <v>12688</v>
      </c>
      <c r="E200" s="143" t="s">
        <v>12996</v>
      </c>
      <c r="F200" s="143" t="s">
        <v>12997</v>
      </c>
      <c r="G200" s="144">
        <v>666</v>
      </c>
    </row>
    <row r="201" spans="2:7" x14ac:dyDescent="0.25">
      <c r="B201" s="143" t="s">
        <v>3254</v>
      </c>
      <c r="C201" s="143" t="s">
        <v>12687</v>
      </c>
      <c r="D201" s="143" t="s">
        <v>12688</v>
      </c>
      <c r="E201" s="143" t="s">
        <v>12998</v>
      </c>
      <c r="F201" s="143" t="s">
        <v>937</v>
      </c>
      <c r="G201" s="144">
        <v>670</v>
      </c>
    </row>
    <row r="202" spans="2:7" x14ac:dyDescent="0.25">
      <c r="B202" s="143" t="s">
        <v>3706</v>
      </c>
      <c r="C202" s="143" t="s">
        <v>12681</v>
      </c>
      <c r="D202" s="143" t="s">
        <v>12682</v>
      </c>
      <c r="E202" s="143" t="s">
        <v>13094</v>
      </c>
      <c r="F202" s="143" t="s">
        <v>13095</v>
      </c>
      <c r="G202" s="144">
        <v>882</v>
      </c>
    </row>
    <row r="203" spans="2:7" x14ac:dyDescent="0.25">
      <c r="B203" s="143" t="s">
        <v>7483</v>
      </c>
      <c r="C203" s="143" t="s">
        <v>12673</v>
      </c>
      <c r="D203" s="143" t="s">
        <v>12674</v>
      </c>
      <c r="E203" s="143" t="s">
        <v>12999</v>
      </c>
      <c r="F203" s="143" t="s">
        <v>4146</v>
      </c>
      <c r="G203" s="144">
        <v>674</v>
      </c>
    </row>
    <row r="204" spans="2:7" x14ac:dyDescent="0.25">
      <c r="B204" s="143" t="s">
        <v>13130</v>
      </c>
      <c r="C204" s="143" t="s">
        <v>12679</v>
      </c>
      <c r="D204" s="143" t="s">
        <v>12671</v>
      </c>
      <c r="E204" s="143" t="s">
        <v>13000</v>
      </c>
      <c r="F204" s="143" t="s">
        <v>13001</v>
      </c>
      <c r="G204" s="144">
        <v>678</v>
      </c>
    </row>
    <row r="205" spans="2:7" x14ac:dyDescent="0.25">
      <c r="B205" s="143" t="s">
        <v>172</v>
      </c>
      <c r="C205" s="143" t="s">
        <v>12669</v>
      </c>
      <c r="D205" s="143" t="s">
        <v>12670</v>
      </c>
      <c r="E205" s="143" t="s">
        <v>12694</v>
      </c>
      <c r="F205" s="143" t="s">
        <v>13002</v>
      </c>
      <c r="G205" s="144">
        <v>682</v>
      </c>
    </row>
    <row r="206" spans="2:7" x14ac:dyDescent="0.25">
      <c r="B206" s="143" t="s">
        <v>611</v>
      </c>
      <c r="C206" s="143" t="s">
        <v>12679</v>
      </c>
      <c r="D206" s="143" t="s">
        <v>12671</v>
      </c>
      <c r="E206" s="143" t="s">
        <v>13003</v>
      </c>
      <c r="F206" s="143" t="s">
        <v>2001</v>
      </c>
      <c r="G206" s="144">
        <v>686</v>
      </c>
    </row>
    <row r="207" spans="2:7" x14ac:dyDescent="0.25">
      <c r="B207" s="143" t="s">
        <v>1683</v>
      </c>
      <c r="C207" s="143" t="s">
        <v>12673</v>
      </c>
      <c r="D207" s="143" t="s">
        <v>12674</v>
      </c>
      <c r="E207" s="143" t="s">
        <v>13004</v>
      </c>
      <c r="F207" s="143" t="s">
        <v>13005</v>
      </c>
      <c r="G207" s="144">
        <v>688</v>
      </c>
    </row>
    <row r="208" spans="2:7" x14ac:dyDescent="0.25">
      <c r="B208" s="143" t="s">
        <v>2851</v>
      </c>
      <c r="C208" s="143" t="s">
        <v>12679</v>
      </c>
      <c r="D208" s="143" t="s">
        <v>12671</v>
      </c>
      <c r="E208" s="143" t="s">
        <v>13006</v>
      </c>
      <c r="F208" s="143" t="s">
        <v>13007</v>
      </c>
      <c r="G208" s="144">
        <v>690</v>
      </c>
    </row>
    <row r="209" spans="2:7" x14ac:dyDescent="0.25">
      <c r="B209" s="143" t="s">
        <v>3146</v>
      </c>
      <c r="C209" s="143" t="s">
        <v>12679</v>
      </c>
      <c r="D209" s="143" t="s">
        <v>12671</v>
      </c>
      <c r="E209" s="143" t="s">
        <v>13008</v>
      </c>
      <c r="F209" s="143" t="s">
        <v>7425</v>
      </c>
      <c r="G209" s="144">
        <v>694</v>
      </c>
    </row>
    <row r="210" spans="2:7" x14ac:dyDescent="0.25">
      <c r="B210" s="143" t="s">
        <v>92</v>
      </c>
      <c r="C210" s="143" t="s">
        <v>12669</v>
      </c>
      <c r="D210" s="143" t="s">
        <v>12670</v>
      </c>
      <c r="E210" s="143" t="s">
        <v>13009</v>
      </c>
      <c r="F210" s="143" t="s">
        <v>13010</v>
      </c>
      <c r="G210" s="144">
        <v>702</v>
      </c>
    </row>
    <row r="211" spans="2:7" x14ac:dyDescent="0.25">
      <c r="B211" s="143" t="s">
        <v>12929</v>
      </c>
      <c r="C211" s="143" t="s">
        <v>12687</v>
      </c>
      <c r="D211" s="143" t="s">
        <v>12688</v>
      </c>
      <c r="E211" s="143" t="s">
        <v>12930</v>
      </c>
      <c r="F211" s="143" t="s">
        <v>4878</v>
      </c>
      <c r="G211" s="144">
        <v>534</v>
      </c>
    </row>
    <row r="212" spans="2:7" x14ac:dyDescent="0.25">
      <c r="B212" s="143" t="s">
        <v>659</v>
      </c>
      <c r="C212" s="143" t="s">
        <v>12673</v>
      </c>
      <c r="D212" s="143" t="s">
        <v>12674</v>
      </c>
      <c r="E212" s="143" t="s">
        <v>13011</v>
      </c>
      <c r="F212" s="143" t="s">
        <v>13012</v>
      </c>
      <c r="G212" s="144">
        <v>703</v>
      </c>
    </row>
    <row r="213" spans="2:7" x14ac:dyDescent="0.25">
      <c r="B213" s="143" t="s">
        <v>992</v>
      </c>
      <c r="C213" s="143" t="s">
        <v>12673</v>
      </c>
      <c r="D213" s="143" t="s">
        <v>12674</v>
      </c>
      <c r="E213" s="143" t="s">
        <v>13015</v>
      </c>
      <c r="F213" s="143" t="s">
        <v>13016</v>
      </c>
      <c r="G213" s="144">
        <v>705</v>
      </c>
    </row>
    <row r="214" spans="2:7" x14ac:dyDescent="0.25">
      <c r="B214" s="143" t="s">
        <v>3410</v>
      </c>
      <c r="C214" s="143" t="s">
        <v>12681</v>
      </c>
      <c r="D214" s="143" t="s">
        <v>12682</v>
      </c>
      <c r="E214" s="143" t="s">
        <v>12722</v>
      </c>
      <c r="F214" s="143" t="s">
        <v>12723</v>
      </c>
      <c r="G214" s="144">
        <v>90</v>
      </c>
    </row>
    <row r="215" spans="2:7" x14ac:dyDescent="0.25">
      <c r="B215" s="143" t="s">
        <v>1513</v>
      </c>
      <c r="C215" s="143" t="s">
        <v>12679</v>
      </c>
      <c r="D215" s="143" t="s">
        <v>12671</v>
      </c>
      <c r="E215" s="143" t="s">
        <v>13017</v>
      </c>
      <c r="F215" s="143" t="s">
        <v>13018</v>
      </c>
      <c r="G215" s="144">
        <v>706</v>
      </c>
    </row>
    <row r="216" spans="2:7" x14ac:dyDescent="0.25">
      <c r="B216" s="143" t="s">
        <v>926</v>
      </c>
      <c r="C216" s="143" t="s">
        <v>12679</v>
      </c>
      <c r="D216" s="143" t="s">
        <v>12671</v>
      </c>
      <c r="E216" s="143" t="s">
        <v>13019</v>
      </c>
      <c r="F216" s="143" t="s">
        <v>13020</v>
      </c>
      <c r="G216" s="144">
        <v>710</v>
      </c>
    </row>
    <row r="217" spans="2:7" x14ac:dyDescent="0.25">
      <c r="B217" s="143" t="s">
        <v>12789</v>
      </c>
      <c r="C217" s="143" t="s">
        <v>12676</v>
      </c>
      <c r="D217" s="143" t="s">
        <v>12677</v>
      </c>
      <c r="E217" s="143" t="s">
        <v>12790</v>
      </c>
      <c r="F217" s="143" t="s">
        <v>1078</v>
      </c>
      <c r="G217" s="144">
        <v>239</v>
      </c>
    </row>
    <row r="218" spans="2:7" x14ac:dyDescent="0.25">
      <c r="B218" s="143" t="s">
        <v>13025</v>
      </c>
      <c r="C218" s="143" t="s">
        <v>12679</v>
      </c>
      <c r="D218" s="143" t="s">
        <v>12671</v>
      </c>
      <c r="E218" s="143" t="s">
        <v>13026</v>
      </c>
      <c r="F218" s="143" t="s">
        <v>13027</v>
      </c>
      <c r="G218" s="144">
        <v>728</v>
      </c>
    </row>
    <row r="219" spans="2:7" x14ac:dyDescent="0.25">
      <c r="B219" s="143" t="s">
        <v>119</v>
      </c>
      <c r="C219" s="143" t="s">
        <v>12673</v>
      </c>
      <c r="D219" s="143" t="s">
        <v>12674</v>
      </c>
      <c r="E219" s="143" t="s">
        <v>13023</v>
      </c>
      <c r="F219" s="143" t="s">
        <v>13024</v>
      </c>
      <c r="G219" s="144">
        <v>724</v>
      </c>
    </row>
    <row r="220" spans="2:7" x14ac:dyDescent="0.25">
      <c r="B220" s="143" t="s">
        <v>13106</v>
      </c>
      <c r="C220" s="143" t="s">
        <v>12669</v>
      </c>
      <c r="D220" s="143" t="s">
        <v>12670</v>
      </c>
      <c r="E220" s="143" t="s">
        <v>13107</v>
      </c>
      <c r="F220" s="143"/>
      <c r="G220" s="144"/>
    </row>
    <row r="221" spans="2:7" x14ac:dyDescent="0.25">
      <c r="B221" s="143" t="s">
        <v>5124</v>
      </c>
      <c r="C221" s="143" t="s">
        <v>12669</v>
      </c>
      <c r="D221" s="143" t="s">
        <v>12670</v>
      </c>
      <c r="E221" s="143" t="s">
        <v>12745</v>
      </c>
      <c r="F221" s="143" t="s">
        <v>8846</v>
      </c>
      <c r="G221" s="144">
        <v>144</v>
      </c>
    </row>
    <row r="222" spans="2:7" x14ac:dyDescent="0.25">
      <c r="B222" s="143" t="s">
        <v>881</v>
      </c>
      <c r="C222" s="143" t="s">
        <v>12679</v>
      </c>
      <c r="D222" s="143" t="s">
        <v>12671</v>
      </c>
      <c r="E222" s="143" t="s">
        <v>13031</v>
      </c>
      <c r="F222" s="143" t="s">
        <v>13032</v>
      </c>
      <c r="G222" s="144">
        <v>736</v>
      </c>
    </row>
    <row r="223" spans="2:7" x14ac:dyDescent="0.25">
      <c r="B223" s="143" t="s">
        <v>3834</v>
      </c>
      <c r="C223" s="143" t="s">
        <v>12693</v>
      </c>
      <c r="D223" s="143" t="s">
        <v>12694</v>
      </c>
      <c r="E223" s="143" t="s">
        <v>13033</v>
      </c>
      <c r="F223" s="143" t="s">
        <v>1128</v>
      </c>
      <c r="G223" s="144">
        <v>740</v>
      </c>
    </row>
    <row r="224" spans="2:7" x14ac:dyDescent="0.25">
      <c r="B224" s="143" t="s">
        <v>13034</v>
      </c>
      <c r="C224" s="143" t="s">
        <v>12673</v>
      </c>
      <c r="D224" s="143" t="s">
        <v>12674</v>
      </c>
      <c r="E224" s="143" t="s">
        <v>13035</v>
      </c>
      <c r="F224" s="143" t="s">
        <v>13036</v>
      </c>
      <c r="G224" s="144">
        <v>744</v>
      </c>
    </row>
    <row r="225" spans="2:7" x14ac:dyDescent="0.25">
      <c r="B225" s="143" t="s">
        <v>2363</v>
      </c>
      <c r="C225" s="143" t="s">
        <v>12679</v>
      </c>
      <c r="D225" s="143" t="s">
        <v>12671</v>
      </c>
      <c r="E225" s="143" t="s">
        <v>13037</v>
      </c>
      <c r="F225" s="143" t="s">
        <v>13038</v>
      </c>
      <c r="G225" s="144">
        <v>748</v>
      </c>
    </row>
    <row r="226" spans="2:7" x14ac:dyDescent="0.25">
      <c r="B226" s="143" t="s">
        <v>585</v>
      </c>
      <c r="C226" s="143" t="s">
        <v>12673</v>
      </c>
      <c r="D226" s="143" t="s">
        <v>12674</v>
      </c>
      <c r="E226" s="143" t="s">
        <v>13039</v>
      </c>
      <c r="F226" s="143" t="s">
        <v>13040</v>
      </c>
      <c r="G226" s="144">
        <v>752</v>
      </c>
    </row>
    <row r="227" spans="2:7" x14ac:dyDescent="0.25">
      <c r="B227" s="143" t="s">
        <v>1674</v>
      </c>
      <c r="C227" s="143" t="s">
        <v>12673</v>
      </c>
      <c r="D227" s="143" t="s">
        <v>12674</v>
      </c>
      <c r="E227" s="143" t="s">
        <v>13041</v>
      </c>
      <c r="F227" s="143" t="s">
        <v>13042</v>
      </c>
      <c r="G227" s="144">
        <v>756</v>
      </c>
    </row>
    <row r="228" spans="2:7" x14ac:dyDescent="0.25">
      <c r="B228" s="143" t="s">
        <v>1654</v>
      </c>
      <c r="C228" s="143" t="s">
        <v>12669</v>
      </c>
      <c r="D228" s="143" t="s">
        <v>12670</v>
      </c>
      <c r="E228" s="143" t="s">
        <v>13043</v>
      </c>
      <c r="F228" s="143" t="s">
        <v>4997</v>
      </c>
      <c r="G228" s="144">
        <v>760</v>
      </c>
    </row>
    <row r="229" spans="2:7" x14ac:dyDescent="0.25">
      <c r="B229" s="143" t="s">
        <v>46</v>
      </c>
      <c r="C229" s="143" t="s">
        <v>12669</v>
      </c>
      <c r="D229" s="143" t="s">
        <v>12670</v>
      </c>
      <c r="E229" s="143" t="s">
        <v>12752</v>
      </c>
      <c r="F229" s="143" t="s">
        <v>12753</v>
      </c>
      <c r="G229" s="144">
        <v>158</v>
      </c>
    </row>
    <row r="230" spans="2:7" x14ac:dyDescent="0.25">
      <c r="B230" s="143" t="s">
        <v>4452</v>
      </c>
      <c r="C230" s="143" t="s">
        <v>12669</v>
      </c>
      <c r="D230" s="143" t="s">
        <v>12670</v>
      </c>
      <c r="E230" s="143" t="s">
        <v>13044</v>
      </c>
      <c r="F230" s="143" t="s">
        <v>13045</v>
      </c>
      <c r="G230" s="144">
        <v>762</v>
      </c>
    </row>
    <row r="231" spans="2:7" x14ac:dyDescent="0.25">
      <c r="B231" s="143" t="s">
        <v>1516</v>
      </c>
      <c r="C231" s="143" t="s">
        <v>12679</v>
      </c>
      <c r="D231" s="143" t="s">
        <v>12671</v>
      </c>
      <c r="E231" s="143" t="s">
        <v>13079</v>
      </c>
      <c r="F231" s="143" t="s">
        <v>6912</v>
      </c>
      <c r="G231" s="144">
        <v>834</v>
      </c>
    </row>
    <row r="232" spans="2:7" x14ac:dyDescent="0.25">
      <c r="B232" s="143" t="s">
        <v>332</v>
      </c>
      <c r="C232" s="143" t="s">
        <v>12669</v>
      </c>
      <c r="D232" s="143" t="s">
        <v>12670</v>
      </c>
      <c r="E232" s="143" t="s">
        <v>13046</v>
      </c>
      <c r="F232" s="143" t="s">
        <v>13047</v>
      </c>
      <c r="G232" s="144">
        <v>764</v>
      </c>
    </row>
    <row r="233" spans="2:7" x14ac:dyDescent="0.25">
      <c r="B233" s="143" t="s">
        <v>13132</v>
      </c>
      <c r="C233" s="143" t="s">
        <v>12669</v>
      </c>
      <c r="D233" s="143" t="s">
        <v>12670</v>
      </c>
      <c r="E233" s="143" t="s">
        <v>12972</v>
      </c>
      <c r="F233" s="143" t="s">
        <v>5475</v>
      </c>
      <c r="G233" s="144">
        <v>626</v>
      </c>
    </row>
    <row r="234" spans="2:7" x14ac:dyDescent="0.25">
      <c r="B234" s="143" t="s">
        <v>490</v>
      </c>
      <c r="C234" s="143" t="s">
        <v>12679</v>
      </c>
      <c r="D234" s="143" t="s">
        <v>12671</v>
      </c>
      <c r="E234" s="143" t="s">
        <v>13048</v>
      </c>
      <c r="F234" s="143" t="s">
        <v>2690</v>
      </c>
      <c r="G234" s="144">
        <v>768</v>
      </c>
    </row>
    <row r="235" spans="2:7" x14ac:dyDescent="0.25">
      <c r="B235" s="143" t="s">
        <v>13049</v>
      </c>
      <c r="C235" s="143" t="s">
        <v>12681</v>
      </c>
      <c r="D235" s="143" t="s">
        <v>12682</v>
      </c>
      <c r="E235" s="143" t="s">
        <v>13050</v>
      </c>
      <c r="F235" s="143" t="s">
        <v>13051</v>
      </c>
      <c r="G235" s="144">
        <v>772</v>
      </c>
    </row>
    <row r="236" spans="2:7" x14ac:dyDescent="0.25">
      <c r="B236" s="143" t="s">
        <v>1646</v>
      </c>
      <c r="C236" s="143" t="s">
        <v>12681</v>
      </c>
      <c r="D236" s="143" t="s">
        <v>12682</v>
      </c>
      <c r="E236" s="143" t="s">
        <v>13052</v>
      </c>
      <c r="F236" s="143" t="s">
        <v>13053</v>
      </c>
      <c r="G236" s="144">
        <v>776</v>
      </c>
    </row>
    <row r="237" spans="2:7" x14ac:dyDescent="0.25">
      <c r="B237" s="143" t="s">
        <v>5077</v>
      </c>
      <c r="C237" s="143" t="s">
        <v>12687</v>
      </c>
      <c r="D237" s="143" t="s">
        <v>12688</v>
      </c>
      <c r="E237" s="143" t="s">
        <v>13054</v>
      </c>
      <c r="F237" s="143" t="s">
        <v>13055</v>
      </c>
      <c r="G237" s="144">
        <v>780</v>
      </c>
    </row>
    <row r="238" spans="2:7" x14ac:dyDescent="0.25">
      <c r="B238" s="143" t="s">
        <v>971</v>
      </c>
      <c r="C238" s="143" t="s">
        <v>12679</v>
      </c>
      <c r="D238" s="143" t="s">
        <v>12671</v>
      </c>
      <c r="E238" s="143" t="s">
        <v>13058</v>
      </c>
      <c r="F238" s="143" t="s">
        <v>5295</v>
      </c>
      <c r="G238" s="144">
        <v>788</v>
      </c>
    </row>
    <row r="239" spans="2:7" x14ac:dyDescent="0.25">
      <c r="B239" s="143" t="s">
        <v>700</v>
      </c>
      <c r="C239" s="143" t="s">
        <v>12669</v>
      </c>
      <c r="D239" s="143" t="s">
        <v>12670</v>
      </c>
      <c r="E239" s="143" t="s">
        <v>13059</v>
      </c>
      <c r="F239" s="143" t="s">
        <v>6955</v>
      </c>
      <c r="G239" s="144">
        <v>792</v>
      </c>
    </row>
    <row r="240" spans="2:7" x14ac:dyDescent="0.25">
      <c r="B240" s="143" t="s">
        <v>700</v>
      </c>
      <c r="C240" s="143" t="s">
        <v>12669</v>
      </c>
      <c r="D240" s="143" t="s">
        <v>12670</v>
      </c>
      <c r="E240" s="143" t="s">
        <v>13059</v>
      </c>
      <c r="F240" s="143" t="s">
        <v>6955</v>
      </c>
      <c r="G240" s="144">
        <v>792</v>
      </c>
    </row>
    <row r="241" spans="2:7" x14ac:dyDescent="0.25">
      <c r="B241" s="143" t="s">
        <v>4497</v>
      </c>
      <c r="C241" s="143" t="s">
        <v>12669</v>
      </c>
      <c r="D241" s="143" t="s">
        <v>12670</v>
      </c>
      <c r="E241" s="143" t="s">
        <v>13060</v>
      </c>
      <c r="F241" s="143" t="s">
        <v>13061</v>
      </c>
      <c r="G241" s="144">
        <v>795</v>
      </c>
    </row>
    <row r="242" spans="2:7" x14ac:dyDescent="0.25">
      <c r="B242" s="143" t="s">
        <v>3946</v>
      </c>
      <c r="C242" s="143" t="s">
        <v>12687</v>
      </c>
      <c r="D242" s="143" t="s">
        <v>12688</v>
      </c>
      <c r="E242" s="143" t="s">
        <v>13062</v>
      </c>
      <c r="F242" s="143" t="s">
        <v>7219</v>
      </c>
      <c r="G242" s="144">
        <v>796</v>
      </c>
    </row>
    <row r="243" spans="2:7" x14ac:dyDescent="0.25">
      <c r="B243" s="143" t="s">
        <v>823</v>
      </c>
      <c r="C243" s="143" t="s">
        <v>12681</v>
      </c>
      <c r="D243" s="143" t="s">
        <v>12682</v>
      </c>
      <c r="E243" s="143" t="s">
        <v>13063</v>
      </c>
      <c r="F243" s="143" t="s">
        <v>6950</v>
      </c>
      <c r="G243" s="144">
        <v>798</v>
      </c>
    </row>
    <row r="244" spans="2:7" x14ac:dyDescent="0.25">
      <c r="B244" s="143" t="s">
        <v>637</v>
      </c>
      <c r="C244" s="143" t="s">
        <v>12679</v>
      </c>
      <c r="D244" s="143" t="s">
        <v>12671</v>
      </c>
      <c r="E244" s="143" t="s">
        <v>13064</v>
      </c>
      <c r="F244" s="143" t="s">
        <v>1288</v>
      </c>
      <c r="G244" s="144">
        <v>800</v>
      </c>
    </row>
    <row r="245" spans="2:7" x14ac:dyDescent="0.25">
      <c r="B245" s="143" t="s">
        <v>722</v>
      </c>
      <c r="C245" s="143" t="s">
        <v>12673</v>
      </c>
      <c r="D245" s="143" t="s">
        <v>12674</v>
      </c>
      <c r="E245" s="143" t="s">
        <v>13065</v>
      </c>
      <c r="F245" s="143" t="s">
        <v>13066</v>
      </c>
      <c r="G245" s="144">
        <v>804</v>
      </c>
    </row>
    <row r="246" spans="2:7" x14ac:dyDescent="0.25">
      <c r="B246" s="143" t="s">
        <v>1847</v>
      </c>
      <c r="C246" s="143" t="s">
        <v>12669</v>
      </c>
      <c r="D246" s="143" t="s">
        <v>12670</v>
      </c>
      <c r="E246" s="143" t="s">
        <v>13056</v>
      </c>
      <c r="F246" s="143" t="s">
        <v>13057</v>
      </c>
      <c r="G246" s="144">
        <v>784</v>
      </c>
    </row>
    <row r="247" spans="2:7" x14ac:dyDescent="0.25">
      <c r="B247" s="143" t="s">
        <v>83</v>
      </c>
      <c r="C247" s="143" t="s">
        <v>12673</v>
      </c>
      <c r="D247" s="143" t="s">
        <v>12674</v>
      </c>
      <c r="E247" s="143" t="s">
        <v>13071</v>
      </c>
      <c r="F247" s="143" t="s">
        <v>13072</v>
      </c>
      <c r="G247" s="144">
        <v>826</v>
      </c>
    </row>
    <row r="248" spans="2:7" x14ac:dyDescent="0.25">
      <c r="B248" s="143" t="s">
        <v>13104</v>
      </c>
      <c r="C248" s="143" t="s">
        <v>12669</v>
      </c>
      <c r="D248" s="143" t="s">
        <v>12670</v>
      </c>
      <c r="E248" s="143" t="s">
        <v>13105</v>
      </c>
      <c r="F248" s="143"/>
      <c r="G248" s="144"/>
    </row>
    <row r="249" spans="2:7" x14ac:dyDescent="0.25">
      <c r="B249" s="143" t="s">
        <v>12949</v>
      </c>
      <c r="C249" s="143" t="s">
        <v>12681</v>
      </c>
      <c r="D249" s="143" t="s">
        <v>12682</v>
      </c>
      <c r="E249" s="143" t="s">
        <v>12950</v>
      </c>
      <c r="F249" s="143" t="s">
        <v>12951</v>
      </c>
      <c r="G249" s="144">
        <v>581</v>
      </c>
    </row>
    <row r="250" spans="2:7" x14ac:dyDescent="0.25">
      <c r="B250" s="143" t="s">
        <v>12949</v>
      </c>
      <c r="C250" s="143" t="s">
        <v>12687</v>
      </c>
      <c r="D250" s="143" t="s">
        <v>12688</v>
      </c>
      <c r="E250" s="143" t="s">
        <v>12950</v>
      </c>
      <c r="F250" s="143" t="s">
        <v>12951</v>
      </c>
      <c r="G250" s="144">
        <v>581</v>
      </c>
    </row>
    <row r="251" spans="2:7" x14ac:dyDescent="0.25">
      <c r="B251" s="16" t="s">
        <v>11732</v>
      </c>
      <c r="C251" s="143" t="s">
        <v>12687</v>
      </c>
      <c r="D251" s="143" t="s">
        <v>15969</v>
      </c>
      <c r="E251" s="143" t="s">
        <v>13080</v>
      </c>
      <c r="F251" s="143" t="s">
        <v>13081</v>
      </c>
      <c r="G251" s="144">
        <v>840</v>
      </c>
    </row>
    <row r="252" spans="2:7" x14ac:dyDescent="0.25">
      <c r="B252" s="143" t="s">
        <v>13082</v>
      </c>
      <c r="C252" s="143" t="s">
        <v>12687</v>
      </c>
      <c r="D252" s="143" t="s">
        <v>12688</v>
      </c>
      <c r="E252" s="143" t="s">
        <v>13083</v>
      </c>
      <c r="F252" s="143" t="s">
        <v>13084</v>
      </c>
      <c r="G252" s="144">
        <v>850</v>
      </c>
    </row>
    <row r="253" spans="2:7" x14ac:dyDescent="0.25">
      <c r="B253" s="143" t="s">
        <v>545</v>
      </c>
      <c r="C253" s="143" t="s">
        <v>12693</v>
      </c>
      <c r="D253" s="143" t="s">
        <v>12694</v>
      </c>
      <c r="E253" s="143" t="s">
        <v>13087</v>
      </c>
      <c r="F253" s="143" t="s">
        <v>3048</v>
      </c>
      <c r="G253" s="144">
        <v>858</v>
      </c>
    </row>
    <row r="254" spans="2:7" x14ac:dyDescent="0.25">
      <c r="B254" s="143" t="s">
        <v>2764</v>
      </c>
      <c r="C254" s="143" t="s">
        <v>12669</v>
      </c>
      <c r="D254" s="143" t="s">
        <v>12670</v>
      </c>
      <c r="E254" s="143" t="s">
        <v>13088</v>
      </c>
      <c r="F254" s="143" t="s">
        <v>13089</v>
      </c>
      <c r="G254" s="144">
        <v>860</v>
      </c>
    </row>
    <row r="255" spans="2:7" x14ac:dyDescent="0.25">
      <c r="B255" s="143" t="s">
        <v>2680</v>
      </c>
      <c r="C255" s="143" t="s">
        <v>12681</v>
      </c>
      <c r="D255" s="143" t="s">
        <v>12682</v>
      </c>
      <c r="E255" s="143" t="s">
        <v>12933</v>
      </c>
      <c r="F255" s="143" t="s">
        <v>12934</v>
      </c>
      <c r="G255" s="144">
        <v>548</v>
      </c>
    </row>
    <row r="256" spans="2:7" x14ac:dyDescent="0.25">
      <c r="B256" s="143" t="s">
        <v>4045</v>
      </c>
      <c r="C256" s="143" t="s">
        <v>12693</v>
      </c>
      <c r="D256" s="143" t="s">
        <v>12694</v>
      </c>
      <c r="E256" s="143" t="s">
        <v>13090</v>
      </c>
      <c r="F256" s="143" t="s">
        <v>13091</v>
      </c>
      <c r="G256" s="144">
        <v>862</v>
      </c>
    </row>
    <row r="257" spans="2:7" x14ac:dyDescent="0.25">
      <c r="B257" s="143" t="s">
        <v>1314</v>
      </c>
      <c r="C257" s="143" t="s">
        <v>12669</v>
      </c>
      <c r="D257" s="143" t="s">
        <v>12670</v>
      </c>
      <c r="E257" s="143" t="s">
        <v>13013</v>
      </c>
      <c r="F257" s="143" t="s">
        <v>13014</v>
      </c>
      <c r="G257" s="144">
        <v>704</v>
      </c>
    </row>
    <row r="258" spans="2:7" x14ac:dyDescent="0.25">
      <c r="B258" s="143" t="s">
        <v>1438</v>
      </c>
      <c r="C258" s="143" t="s">
        <v>12681</v>
      </c>
      <c r="D258" s="143" t="s">
        <v>12682</v>
      </c>
      <c r="E258" s="143" t="s">
        <v>13092</v>
      </c>
      <c r="F258" s="143" t="s">
        <v>13093</v>
      </c>
      <c r="G258" s="144">
        <v>876</v>
      </c>
    </row>
    <row r="259" spans="2:7" x14ac:dyDescent="0.25">
      <c r="B259" s="143" t="s">
        <v>13028</v>
      </c>
      <c r="C259" s="143" t="s">
        <v>12679</v>
      </c>
      <c r="D259" s="143" t="s">
        <v>12671</v>
      </c>
      <c r="E259" s="143" t="s">
        <v>13029</v>
      </c>
      <c r="F259" s="143" t="s">
        <v>13030</v>
      </c>
      <c r="G259" s="144">
        <v>732</v>
      </c>
    </row>
    <row r="260" spans="2:7" x14ac:dyDescent="0.25">
      <c r="B260" s="143" t="s">
        <v>1289</v>
      </c>
      <c r="C260" s="143" t="s">
        <v>12669</v>
      </c>
      <c r="D260" s="143" t="s">
        <v>12670</v>
      </c>
      <c r="E260" s="143" t="s">
        <v>13096</v>
      </c>
      <c r="F260" s="143" t="s">
        <v>13097</v>
      </c>
      <c r="G260" s="144">
        <v>887</v>
      </c>
    </row>
    <row r="261" spans="2:7" x14ac:dyDescent="0.25">
      <c r="B261" s="143" t="s">
        <v>1323</v>
      </c>
      <c r="C261" s="143" t="s">
        <v>12679</v>
      </c>
      <c r="D261" s="143" t="s">
        <v>12671</v>
      </c>
      <c r="E261" s="143" t="s">
        <v>13098</v>
      </c>
      <c r="F261" s="143" t="s">
        <v>13099</v>
      </c>
      <c r="G261" s="144">
        <v>894</v>
      </c>
    </row>
    <row r="262" spans="2:7" x14ac:dyDescent="0.25">
      <c r="B262" s="143" t="s">
        <v>542</v>
      </c>
      <c r="C262" s="143" t="s">
        <v>12679</v>
      </c>
      <c r="D262" s="143" t="s">
        <v>12671</v>
      </c>
      <c r="E262" s="143" t="s">
        <v>13021</v>
      </c>
      <c r="F262" s="143" t="s">
        <v>13022</v>
      </c>
      <c r="G262" s="144">
        <v>716</v>
      </c>
    </row>
    <row r="263" spans="2:7" x14ac:dyDescent="0.25">
      <c r="B263" s="146" t="s">
        <v>3265</v>
      </c>
      <c r="C263" s="143" t="s">
        <v>12669</v>
      </c>
      <c r="D263" s="143" t="s">
        <v>12670</v>
      </c>
      <c r="E263" s="143"/>
      <c r="F263" s="143"/>
      <c r="G263" s="144"/>
    </row>
    <row r="264" spans="2:7" x14ac:dyDescent="0.25">
      <c r="B264" s="143" t="s">
        <v>499</v>
      </c>
      <c r="C264" s="143" t="s">
        <v>12679</v>
      </c>
      <c r="D264" s="143" t="s">
        <v>12671</v>
      </c>
      <c r="E264" s="143"/>
      <c r="F264" s="143"/>
      <c r="G264" s="144"/>
    </row>
    <row r="265" spans="2:7" x14ac:dyDescent="0.25">
      <c r="B265" s="143" t="s">
        <v>13131</v>
      </c>
      <c r="C265" s="143" t="s">
        <v>12679</v>
      </c>
      <c r="D265" s="143" t="s">
        <v>12671</v>
      </c>
      <c r="E265" s="143" t="s">
        <v>13037</v>
      </c>
      <c r="F265" s="143" t="s">
        <v>13038</v>
      </c>
      <c r="G265" s="144">
        <v>748</v>
      </c>
    </row>
    <row r="266" spans="2:7" x14ac:dyDescent="0.25">
      <c r="B266" s="143" t="s">
        <v>2798</v>
      </c>
      <c r="C266" s="143" t="s">
        <v>12669</v>
      </c>
      <c r="D266" s="143" t="s">
        <v>12670</v>
      </c>
      <c r="E266" s="143" t="s">
        <v>12972</v>
      </c>
      <c r="F266" s="143" t="s">
        <v>5475</v>
      </c>
      <c r="G266" s="144">
        <v>626</v>
      </c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3F6FB-C10C-4D58-B23B-A991CF566067}">
  <sheetPr>
    <tabColor rgb="FF00B050"/>
  </sheetPr>
  <dimension ref="A1:G2934"/>
  <sheetViews>
    <sheetView zoomScale="85" zoomScaleNormal="85" workbookViewId="0">
      <pane xSplit="1" ySplit="1" topLeftCell="B2" activePane="bottomRight" state="frozen"/>
      <selection pane="topRight" activeCell="C1" sqref="C1"/>
      <selection pane="bottomLeft" activeCell="A3" sqref="A3"/>
      <selection pane="bottomRight" activeCell="G41" sqref="F41:G41"/>
    </sheetView>
  </sheetViews>
  <sheetFormatPr defaultColWidth="9.140625" defaultRowHeight="15" x14ac:dyDescent="0.25"/>
  <cols>
    <col min="1" max="1" width="13.140625" style="54" bestFit="1" customWidth="1"/>
    <col min="2" max="2" width="11.140625" style="54" bestFit="1" customWidth="1"/>
    <col min="3" max="3" width="11.5703125" style="54" bestFit="1" customWidth="1"/>
    <col min="4" max="4" width="15.7109375" style="188" bestFit="1" customWidth="1"/>
    <col min="5" max="5" width="11.28515625" style="54" bestFit="1" customWidth="1"/>
    <col min="6" max="6" width="13.140625" style="54" bestFit="1" customWidth="1"/>
    <col min="7" max="16384" width="9.140625" style="137"/>
  </cols>
  <sheetData>
    <row r="1" spans="1:6" s="187" customFormat="1" x14ac:dyDescent="0.25">
      <c r="A1" s="184" t="s">
        <v>467</v>
      </c>
      <c r="B1" s="184" t="s">
        <v>489</v>
      </c>
      <c r="C1" s="184" t="s">
        <v>488</v>
      </c>
      <c r="D1" s="189" t="s">
        <v>462</v>
      </c>
      <c r="E1" s="185" t="s">
        <v>10108</v>
      </c>
      <c r="F1" s="186" t="s">
        <v>15108</v>
      </c>
    </row>
    <row r="2" spans="1:6" x14ac:dyDescent="0.25">
      <c r="A2" s="137" t="s">
        <v>15511</v>
      </c>
      <c r="B2" s="137" t="s">
        <v>406</v>
      </c>
      <c r="C2" s="137" t="s">
        <v>4054</v>
      </c>
      <c r="D2" s="338">
        <v>6562</v>
      </c>
      <c r="E2" s="137">
        <v>3579</v>
      </c>
      <c r="F2" s="137">
        <v>3579</v>
      </c>
    </row>
    <row r="3" spans="1:6" x14ac:dyDescent="0.25">
      <c r="A3" s="137" t="s">
        <v>15362</v>
      </c>
      <c r="B3" s="137" t="s">
        <v>406</v>
      </c>
      <c r="C3" s="137" t="s">
        <v>4529</v>
      </c>
      <c r="D3" s="338">
        <v>8433</v>
      </c>
      <c r="E3" s="137">
        <v>5327</v>
      </c>
      <c r="F3" s="137">
        <v>5327</v>
      </c>
    </row>
    <row r="4" spans="1:6" x14ac:dyDescent="0.25">
      <c r="A4" s="137" t="s">
        <v>15732</v>
      </c>
      <c r="B4" s="137" t="s">
        <v>406</v>
      </c>
      <c r="C4" s="137" t="s">
        <v>4229</v>
      </c>
      <c r="D4" s="338">
        <v>4294</v>
      </c>
      <c r="E4" s="137">
        <v>4299</v>
      </c>
      <c r="F4" s="137">
        <v>4299</v>
      </c>
    </row>
    <row r="5" spans="1:6" x14ac:dyDescent="0.25">
      <c r="A5" s="137" t="s">
        <v>15433</v>
      </c>
      <c r="B5" s="137" t="s">
        <v>406</v>
      </c>
      <c r="C5" s="137" t="s">
        <v>5267</v>
      </c>
      <c r="D5" s="338">
        <v>7130</v>
      </c>
      <c r="E5" s="137">
        <v>5415</v>
      </c>
      <c r="F5" s="137">
        <v>5415</v>
      </c>
    </row>
    <row r="6" spans="1:6" x14ac:dyDescent="0.25">
      <c r="A6" s="137" t="s">
        <v>15370</v>
      </c>
      <c r="B6" s="137" t="s">
        <v>406</v>
      </c>
      <c r="C6" s="137" t="s">
        <v>4631</v>
      </c>
      <c r="D6" s="338">
        <v>8026</v>
      </c>
      <c r="E6" s="137">
        <v>5044</v>
      </c>
      <c r="F6" s="137">
        <v>5044</v>
      </c>
    </row>
    <row r="7" spans="1:6" x14ac:dyDescent="0.25">
      <c r="A7" s="137" t="s">
        <v>15672</v>
      </c>
      <c r="B7" s="137" t="s">
        <v>406</v>
      </c>
      <c r="C7" s="137" t="s">
        <v>5443</v>
      </c>
      <c r="D7" s="338">
        <v>4882</v>
      </c>
      <c r="E7" s="137">
        <v>4607</v>
      </c>
      <c r="F7" s="137">
        <v>4607</v>
      </c>
    </row>
    <row r="8" spans="1:6" x14ac:dyDescent="0.25">
      <c r="A8" s="137" t="s">
        <v>15790</v>
      </c>
      <c r="B8" s="137" t="s">
        <v>406</v>
      </c>
      <c r="C8" s="137" t="s">
        <v>457</v>
      </c>
      <c r="D8" s="338">
        <v>3835</v>
      </c>
      <c r="E8" s="137">
        <v>6878</v>
      </c>
      <c r="F8" s="137">
        <v>6878</v>
      </c>
    </row>
    <row r="9" spans="1:6" x14ac:dyDescent="0.25">
      <c r="A9" s="137" t="s">
        <v>15351</v>
      </c>
      <c r="B9" s="137" t="s">
        <v>406</v>
      </c>
      <c r="C9" s="137" t="s">
        <v>5487</v>
      </c>
      <c r="D9" s="338">
        <v>9167</v>
      </c>
      <c r="E9" s="137">
        <v>3442</v>
      </c>
      <c r="F9" s="137">
        <v>30</v>
      </c>
    </row>
    <row r="10" spans="1:6" x14ac:dyDescent="0.25">
      <c r="A10" s="137" t="s">
        <v>15365</v>
      </c>
      <c r="B10" s="137" t="s">
        <v>406</v>
      </c>
      <c r="C10" s="137" t="s">
        <v>4816</v>
      </c>
      <c r="D10" s="338">
        <v>8237</v>
      </c>
      <c r="E10" s="137">
        <v>4483</v>
      </c>
      <c r="F10" s="137">
        <v>1071</v>
      </c>
    </row>
    <row r="11" spans="1:6" x14ac:dyDescent="0.25">
      <c r="A11" s="137" t="s">
        <v>15386</v>
      </c>
      <c r="B11" s="137" t="s">
        <v>406</v>
      </c>
      <c r="C11" s="137" t="s">
        <v>5619</v>
      </c>
      <c r="D11" s="338">
        <v>7655</v>
      </c>
      <c r="E11" s="137">
        <v>3403</v>
      </c>
      <c r="F11" s="137">
        <v>1697</v>
      </c>
    </row>
    <row r="12" spans="1:6" x14ac:dyDescent="0.25">
      <c r="A12" s="137" t="s">
        <v>15853</v>
      </c>
      <c r="B12" s="137" t="s">
        <v>406</v>
      </c>
      <c r="C12" s="137" t="s">
        <v>454</v>
      </c>
      <c r="D12" s="338">
        <v>3181</v>
      </c>
      <c r="E12" s="137">
        <v>5162</v>
      </c>
      <c r="F12" s="137">
        <v>5162</v>
      </c>
    </row>
    <row r="13" spans="1:6" x14ac:dyDescent="0.25">
      <c r="A13" s="137" t="s">
        <v>19820</v>
      </c>
      <c r="B13" s="137" t="s">
        <v>406</v>
      </c>
      <c r="C13" s="137" t="s">
        <v>1230</v>
      </c>
      <c r="D13" s="338">
        <v>7622</v>
      </c>
      <c r="E13" s="137">
        <v>3361</v>
      </c>
      <c r="F13" s="137">
        <v>3361</v>
      </c>
    </row>
    <row r="14" spans="1:6" x14ac:dyDescent="0.25">
      <c r="A14" s="137" t="s">
        <v>15829</v>
      </c>
      <c r="B14" s="137" t="s">
        <v>406</v>
      </c>
      <c r="C14" s="137" t="s">
        <v>4494</v>
      </c>
      <c r="D14" s="338">
        <v>3510</v>
      </c>
      <c r="E14" s="137">
        <v>3839</v>
      </c>
      <c r="F14" s="137">
        <v>3839</v>
      </c>
    </row>
    <row r="15" spans="1:6" x14ac:dyDescent="0.25">
      <c r="A15" s="137" t="s">
        <v>15306</v>
      </c>
      <c r="B15" s="137" t="s">
        <v>406</v>
      </c>
      <c r="C15" s="137" t="s">
        <v>452</v>
      </c>
      <c r="D15" s="338">
        <v>12307</v>
      </c>
      <c r="E15" s="137">
        <v>4853</v>
      </c>
      <c r="F15" s="137">
        <v>1441</v>
      </c>
    </row>
    <row r="16" spans="1:6" x14ac:dyDescent="0.25">
      <c r="A16" s="137" t="s">
        <v>15417</v>
      </c>
      <c r="B16" s="137" t="s">
        <v>406</v>
      </c>
      <c r="C16" s="137" t="s">
        <v>5570</v>
      </c>
      <c r="D16" s="338">
        <v>7288</v>
      </c>
      <c r="E16" s="137">
        <v>3273</v>
      </c>
      <c r="F16" s="137">
        <v>3273</v>
      </c>
    </row>
    <row r="17" spans="1:6" x14ac:dyDescent="0.25">
      <c r="A17" s="137" t="s">
        <v>15452</v>
      </c>
      <c r="B17" s="137" t="s">
        <v>406</v>
      </c>
      <c r="C17" s="137" t="s">
        <v>450</v>
      </c>
      <c r="D17" s="338">
        <v>6972</v>
      </c>
      <c r="E17" s="137">
        <v>4675</v>
      </c>
      <c r="F17" s="137">
        <v>4675</v>
      </c>
    </row>
    <row r="18" spans="1:6" x14ac:dyDescent="0.25">
      <c r="A18" s="137" t="s">
        <v>15774</v>
      </c>
      <c r="B18" s="137" t="s">
        <v>406</v>
      </c>
      <c r="C18" s="137" t="s">
        <v>4814</v>
      </c>
      <c r="D18" s="338">
        <v>3961</v>
      </c>
      <c r="E18" s="137">
        <v>4566</v>
      </c>
      <c r="F18" s="137">
        <v>4566</v>
      </c>
    </row>
    <row r="19" spans="1:6" x14ac:dyDescent="0.25">
      <c r="A19" s="137" t="s">
        <v>15961</v>
      </c>
      <c r="B19" s="137" t="s">
        <v>406</v>
      </c>
      <c r="C19" s="137" t="s">
        <v>448</v>
      </c>
      <c r="D19" s="137">
        <v>444</v>
      </c>
      <c r="E19" s="137">
        <v>3565</v>
      </c>
      <c r="F19" s="137">
        <v>3565</v>
      </c>
    </row>
    <row r="20" spans="1:6" x14ac:dyDescent="0.25">
      <c r="A20" s="137" t="s">
        <v>15778</v>
      </c>
      <c r="B20" s="137" t="s">
        <v>406</v>
      </c>
      <c r="C20" s="137" t="s">
        <v>5317</v>
      </c>
      <c r="D20" s="338">
        <v>3939</v>
      </c>
      <c r="E20" s="137">
        <v>4799</v>
      </c>
      <c r="F20" s="137">
        <v>4799</v>
      </c>
    </row>
    <row r="21" spans="1:6" x14ac:dyDescent="0.25">
      <c r="A21" s="137" t="s">
        <v>15466</v>
      </c>
      <c r="B21" s="137" t="s">
        <v>406</v>
      </c>
      <c r="C21" s="137" t="s">
        <v>446</v>
      </c>
      <c r="D21" s="338">
        <v>6861</v>
      </c>
      <c r="E21" s="137">
        <v>4055</v>
      </c>
      <c r="F21" s="137">
        <v>643</v>
      </c>
    </row>
    <row r="22" spans="1:6" x14ac:dyDescent="0.25">
      <c r="A22" s="137" t="s">
        <v>15705</v>
      </c>
      <c r="B22" s="137" t="s">
        <v>406</v>
      </c>
      <c r="C22" s="137" t="s">
        <v>1678</v>
      </c>
      <c r="D22" s="338">
        <v>4607</v>
      </c>
      <c r="E22" s="137">
        <v>2981</v>
      </c>
      <c r="F22" s="137">
        <v>2981</v>
      </c>
    </row>
    <row r="23" spans="1:6" x14ac:dyDescent="0.25">
      <c r="A23" s="137" t="s">
        <v>15770</v>
      </c>
      <c r="B23" s="137" t="s">
        <v>406</v>
      </c>
      <c r="C23" s="137" t="s">
        <v>2713</v>
      </c>
      <c r="D23" s="338">
        <v>3989</v>
      </c>
      <c r="E23" s="137">
        <v>3505</v>
      </c>
      <c r="F23" s="137">
        <v>3505</v>
      </c>
    </row>
    <row r="24" spans="1:6" x14ac:dyDescent="0.25">
      <c r="A24" s="137" t="s">
        <v>15556</v>
      </c>
      <c r="B24" s="137" t="s">
        <v>406</v>
      </c>
      <c r="C24" s="137" t="s">
        <v>5653</v>
      </c>
      <c r="D24" s="338">
        <v>6249</v>
      </c>
      <c r="E24" s="137">
        <v>3832</v>
      </c>
      <c r="F24" s="137">
        <v>3832</v>
      </c>
    </row>
    <row r="25" spans="1:6" x14ac:dyDescent="0.25">
      <c r="A25" s="137" t="s">
        <v>15746</v>
      </c>
      <c r="B25" s="137" t="s">
        <v>406</v>
      </c>
      <c r="C25" s="137" t="s">
        <v>4404</v>
      </c>
      <c r="D25" s="338">
        <v>4202</v>
      </c>
      <c r="E25" s="137">
        <v>4064</v>
      </c>
      <c r="F25" s="137">
        <v>4064</v>
      </c>
    </row>
    <row r="26" spans="1:6" x14ac:dyDescent="0.25">
      <c r="A26" s="137" t="s">
        <v>15751</v>
      </c>
      <c r="B26" s="137" t="s">
        <v>406</v>
      </c>
      <c r="C26" s="137" t="s">
        <v>4640</v>
      </c>
      <c r="D26" s="338">
        <v>4165</v>
      </c>
      <c r="E26" s="137">
        <v>4463</v>
      </c>
      <c r="F26" s="137">
        <v>4463</v>
      </c>
    </row>
    <row r="27" spans="1:6" x14ac:dyDescent="0.25">
      <c r="A27" s="137" t="s">
        <v>15638</v>
      </c>
      <c r="B27" s="137" t="s">
        <v>406</v>
      </c>
      <c r="C27" s="137" t="s">
        <v>440</v>
      </c>
      <c r="D27" s="338">
        <v>5150</v>
      </c>
      <c r="E27" s="137">
        <v>3675</v>
      </c>
      <c r="F27" s="137">
        <v>3675</v>
      </c>
    </row>
    <row r="28" spans="1:6" x14ac:dyDescent="0.25">
      <c r="A28" s="137" t="s">
        <v>15222</v>
      </c>
      <c r="B28" s="137" t="s">
        <v>406</v>
      </c>
      <c r="C28" s="137" t="s">
        <v>5768</v>
      </c>
      <c r="D28" s="338">
        <v>13681</v>
      </c>
      <c r="E28" s="137">
        <v>3980</v>
      </c>
      <c r="F28" s="137">
        <v>568</v>
      </c>
    </row>
    <row r="29" spans="1:6" x14ac:dyDescent="0.25">
      <c r="A29" s="137" t="s">
        <v>15943</v>
      </c>
      <c r="B29" s="137" t="s">
        <v>406</v>
      </c>
      <c r="C29" s="137" t="s">
        <v>437</v>
      </c>
      <c r="D29" s="338">
        <v>1416</v>
      </c>
      <c r="E29" s="137">
        <v>4228</v>
      </c>
      <c r="F29" s="137">
        <v>4228</v>
      </c>
    </row>
    <row r="30" spans="1:6" x14ac:dyDescent="0.25">
      <c r="A30" s="137" t="s">
        <v>15923</v>
      </c>
      <c r="B30" s="137" t="s">
        <v>406</v>
      </c>
      <c r="C30" s="137" t="s">
        <v>435</v>
      </c>
      <c r="D30" s="338">
        <v>1971</v>
      </c>
      <c r="E30" s="137">
        <v>3806</v>
      </c>
      <c r="F30" s="137">
        <v>-1312</v>
      </c>
    </row>
    <row r="31" spans="1:6" x14ac:dyDescent="0.25">
      <c r="A31" s="137" t="s">
        <v>15341</v>
      </c>
      <c r="B31" s="137" t="s">
        <v>406</v>
      </c>
      <c r="C31" s="137" t="s">
        <v>2692</v>
      </c>
      <c r="D31" s="338">
        <v>9797</v>
      </c>
      <c r="E31" s="137">
        <v>2441</v>
      </c>
      <c r="F31" s="137">
        <v>2441</v>
      </c>
    </row>
    <row r="32" spans="1:6" x14ac:dyDescent="0.25">
      <c r="A32" s="137" t="s">
        <v>15776</v>
      </c>
      <c r="B32" s="137" t="s">
        <v>406</v>
      </c>
      <c r="C32" s="137" t="s">
        <v>3941</v>
      </c>
      <c r="D32" s="338">
        <v>3946</v>
      </c>
      <c r="E32" s="137">
        <v>5582</v>
      </c>
      <c r="F32" s="137">
        <v>5582</v>
      </c>
    </row>
    <row r="33" spans="1:6" x14ac:dyDescent="0.25">
      <c r="A33" s="137" t="s">
        <v>15886</v>
      </c>
      <c r="B33" s="137" t="s">
        <v>406</v>
      </c>
      <c r="C33" s="137" t="s">
        <v>4964</v>
      </c>
      <c r="D33" s="338">
        <v>2772</v>
      </c>
      <c r="E33" s="137">
        <v>4686</v>
      </c>
      <c r="F33" s="137">
        <v>4686</v>
      </c>
    </row>
    <row r="34" spans="1:6" x14ac:dyDescent="0.25">
      <c r="A34" s="137" t="s">
        <v>15712</v>
      </c>
      <c r="B34" s="137" t="s">
        <v>406</v>
      </c>
      <c r="C34" s="137" t="s">
        <v>5663</v>
      </c>
      <c r="D34" s="338">
        <v>4534</v>
      </c>
      <c r="E34" s="137">
        <v>5138</v>
      </c>
      <c r="F34" s="137">
        <v>5138</v>
      </c>
    </row>
    <row r="35" spans="1:6" x14ac:dyDescent="0.25">
      <c r="A35" s="137" t="s">
        <v>15127</v>
      </c>
      <c r="B35" s="137" t="s">
        <v>406</v>
      </c>
      <c r="C35" s="137" t="s">
        <v>4649</v>
      </c>
      <c r="D35" s="338">
        <v>15152</v>
      </c>
      <c r="E35" s="137">
        <v>2912</v>
      </c>
      <c r="F35" s="137">
        <v>2912</v>
      </c>
    </row>
    <row r="36" spans="1:6" x14ac:dyDescent="0.25">
      <c r="A36" s="137" t="s">
        <v>15640</v>
      </c>
      <c r="B36" s="137" t="s">
        <v>406</v>
      </c>
      <c r="C36" s="137" t="s">
        <v>5526</v>
      </c>
      <c r="D36" s="338">
        <v>5149</v>
      </c>
      <c r="E36" s="137">
        <v>4204</v>
      </c>
      <c r="F36" s="137">
        <v>4204</v>
      </c>
    </row>
    <row r="37" spans="1:6" x14ac:dyDescent="0.25">
      <c r="A37" s="137" t="s">
        <v>15442</v>
      </c>
      <c r="B37" s="137" t="s">
        <v>406</v>
      </c>
      <c r="C37" s="137" t="s">
        <v>430</v>
      </c>
      <c r="D37" s="338">
        <v>7039</v>
      </c>
      <c r="E37" s="137">
        <v>3727</v>
      </c>
      <c r="F37" s="137">
        <v>315</v>
      </c>
    </row>
    <row r="38" spans="1:6" x14ac:dyDescent="0.25">
      <c r="A38" s="137" t="s">
        <v>15287</v>
      </c>
      <c r="B38" s="137" t="s">
        <v>406</v>
      </c>
      <c r="C38" s="137" t="s">
        <v>4429</v>
      </c>
      <c r="D38" s="338">
        <v>12729</v>
      </c>
      <c r="E38" s="137">
        <v>3307</v>
      </c>
      <c r="F38" s="137">
        <v>3307</v>
      </c>
    </row>
    <row r="39" spans="1:6" x14ac:dyDescent="0.25">
      <c r="A39" s="137" t="s">
        <v>15305</v>
      </c>
      <c r="B39" s="137" t="s">
        <v>406</v>
      </c>
      <c r="C39" s="137" t="s">
        <v>428</v>
      </c>
      <c r="D39" s="338">
        <v>12364</v>
      </c>
      <c r="E39" s="137">
        <v>3153</v>
      </c>
      <c r="F39" s="137">
        <v>3153</v>
      </c>
    </row>
    <row r="40" spans="1:6" x14ac:dyDescent="0.25">
      <c r="A40" s="137" t="s">
        <v>15249</v>
      </c>
      <c r="B40" s="137" t="s">
        <v>406</v>
      </c>
      <c r="C40" s="137" t="s">
        <v>426</v>
      </c>
      <c r="D40" s="338">
        <v>13342</v>
      </c>
      <c r="E40" s="137">
        <v>4328</v>
      </c>
      <c r="F40" s="137">
        <v>916</v>
      </c>
    </row>
    <row r="41" spans="1:6" x14ac:dyDescent="0.25">
      <c r="A41" s="137" t="s">
        <v>15400</v>
      </c>
      <c r="B41" s="137" t="s">
        <v>406</v>
      </c>
      <c r="C41" s="137" t="s">
        <v>4553</v>
      </c>
      <c r="D41" s="338">
        <v>7507</v>
      </c>
      <c r="E41" s="137">
        <v>2425</v>
      </c>
      <c r="F41" s="137">
        <v>2425</v>
      </c>
    </row>
    <row r="42" spans="1:6" x14ac:dyDescent="0.25">
      <c r="A42" s="137" t="s">
        <v>15390</v>
      </c>
      <c r="B42" s="137" t="s">
        <v>406</v>
      </c>
      <c r="C42" s="137" t="s">
        <v>424</v>
      </c>
      <c r="D42" s="338">
        <v>7593</v>
      </c>
      <c r="E42" s="137">
        <v>3176</v>
      </c>
      <c r="F42" s="137">
        <v>3176</v>
      </c>
    </row>
    <row r="43" spans="1:6" x14ac:dyDescent="0.25">
      <c r="A43" s="137" t="s">
        <v>15458</v>
      </c>
      <c r="B43" s="137" t="s">
        <v>406</v>
      </c>
      <c r="C43" s="137" t="s">
        <v>5356</v>
      </c>
      <c r="D43" s="338">
        <v>6948</v>
      </c>
      <c r="E43" s="137">
        <v>3476</v>
      </c>
      <c r="F43" s="137">
        <v>3476</v>
      </c>
    </row>
    <row r="44" spans="1:6" x14ac:dyDescent="0.25">
      <c r="A44" s="137" t="s">
        <v>15532</v>
      </c>
      <c r="B44" s="137" t="s">
        <v>406</v>
      </c>
      <c r="C44" s="137" t="s">
        <v>5507</v>
      </c>
      <c r="D44" s="338">
        <v>6435</v>
      </c>
      <c r="E44" s="137">
        <v>3269</v>
      </c>
      <c r="F44" s="137">
        <v>-143</v>
      </c>
    </row>
    <row r="45" spans="1:6" x14ac:dyDescent="0.25">
      <c r="A45" s="137" t="s">
        <v>15948</v>
      </c>
      <c r="B45" s="137" t="s">
        <v>406</v>
      </c>
      <c r="C45" s="137" t="s">
        <v>419</v>
      </c>
      <c r="D45" s="338">
        <v>1147</v>
      </c>
      <c r="E45" s="137">
        <v>5497</v>
      </c>
      <c r="F45" s="137">
        <v>379</v>
      </c>
    </row>
    <row r="46" spans="1:6" x14ac:dyDescent="0.25">
      <c r="A46" s="137" t="s">
        <v>15796</v>
      </c>
      <c r="B46" s="137" t="s">
        <v>406</v>
      </c>
      <c r="C46" s="137" t="s">
        <v>4064</v>
      </c>
      <c r="D46" s="338">
        <v>3800</v>
      </c>
      <c r="E46" s="137">
        <v>3804</v>
      </c>
      <c r="F46" s="137">
        <v>3804</v>
      </c>
    </row>
    <row r="47" spans="1:6" x14ac:dyDescent="0.25">
      <c r="A47" s="137" t="s">
        <v>15678</v>
      </c>
      <c r="B47" s="137" t="s">
        <v>406</v>
      </c>
      <c r="C47" s="137" t="s">
        <v>5128</v>
      </c>
      <c r="D47" s="338">
        <v>4814</v>
      </c>
      <c r="E47" s="137">
        <v>4212</v>
      </c>
      <c r="F47" s="137">
        <v>4212</v>
      </c>
    </row>
    <row r="48" spans="1:6" x14ac:dyDescent="0.25">
      <c r="A48" s="137" t="s">
        <v>15669</v>
      </c>
      <c r="B48" s="137" t="s">
        <v>406</v>
      </c>
      <c r="C48" s="137" t="s">
        <v>417</v>
      </c>
      <c r="D48" s="338">
        <v>4895</v>
      </c>
      <c r="E48" s="137">
        <v>4088</v>
      </c>
      <c r="F48" s="137">
        <v>4088</v>
      </c>
    </row>
    <row r="49" spans="1:6" x14ac:dyDescent="0.25">
      <c r="A49" s="137" t="s">
        <v>15871</v>
      </c>
      <c r="B49" s="137" t="s">
        <v>406</v>
      </c>
      <c r="C49" s="137" t="s">
        <v>415</v>
      </c>
      <c r="D49" s="338">
        <v>3031</v>
      </c>
      <c r="E49" s="137">
        <v>6536</v>
      </c>
      <c r="F49" s="137">
        <v>-288</v>
      </c>
    </row>
    <row r="50" spans="1:6" x14ac:dyDescent="0.25">
      <c r="A50" s="137" t="s">
        <v>15500</v>
      </c>
      <c r="B50" s="137" t="s">
        <v>406</v>
      </c>
      <c r="C50" s="137" t="s">
        <v>5091</v>
      </c>
      <c r="D50" s="338">
        <v>6630</v>
      </c>
      <c r="E50" s="137">
        <v>2936</v>
      </c>
      <c r="F50" s="137">
        <v>2936</v>
      </c>
    </row>
    <row r="51" spans="1:6" x14ac:dyDescent="0.25">
      <c r="A51" s="137" t="s">
        <v>15551</v>
      </c>
      <c r="B51" s="137" t="s">
        <v>406</v>
      </c>
      <c r="C51" s="137" t="s">
        <v>5392</v>
      </c>
      <c r="D51" s="338">
        <v>6298</v>
      </c>
      <c r="E51" s="137">
        <v>3123</v>
      </c>
      <c r="F51" s="137">
        <v>3123</v>
      </c>
    </row>
    <row r="52" spans="1:6" x14ac:dyDescent="0.25">
      <c r="A52" s="137" t="s">
        <v>15957</v>
      </c>
      <c r="B52" s="137" t="s">
        <v>406</v>
      </c>
      <c r="C52" s="137" t="s">
        <v>414</v>
      </c>
      <c r="D52" s="137">
        <v>834</v>
      </c>
      <c r="E52" s="137">
        <v>5192</v>
      </c>
      <c r="F52" s="137">
        <v>5192</v>
      </c>
    </row>
    <row r="53" spans="1:6" x14ac:dyDescent="0.25">
      <c r="A53" s="137" t="s">
        <v>15791</v>
      </c>
      <c r="B53" s="137" t="s">
        <v>406</v>
      </c>
      <c r="C53" s="137" t="s">
        <v>412</v>
      </c>
      <c r="D53" s="338">
        <v>3831</v>
      </c>
      <c r="E53" s="137">
        <v>3667</v>
      </c>
      <c r="F53" s="137">
        <v>3667</v>
      </c>
    </row>
    <row r="54" spans="1:6" x14ac:dyDescent="0.25">
      <c r="A54" s="137" t="s">
        <v>15337</v>
      </c>
      <c r="B54" s="137" t="s">
        <v>406</v>
      </c>
      <c r="C54" s="137" t="s">
        <v>410</v>
      </c>
      <c r="D54" s="338">
        <v>10063</v>
      </c>
      <c r="E54" s="137">
        <v>4341</v>
      </c>
      <c r="F54" s="137">
        <v>929</v>
      </c>
    </row>
    <row r="55" spans="1:6" x14ac:dyDescent="0.25">
      <c r="A55" s="137" t="s">
        <v>15423</v>
      </c>
      <c r="B55" s="137" t="s">
        <v>406</v>
      </c>
      <c r="C55" s="137" t="s">
        <v>5281</v>
      </c>
      <c r="D55" s="338">
        <v>7248</v>
      </c>
      <c r="E55" s="137">
        <v>2719</v>
      </c>
      <c r="F55" s="137">
        <v>2719</v>
      </c>
    </row>
    <row r="56" spans="1:6" x14ac:dyDescent="0.25">
      <c r="A56" s="137" t="s">
        <v>15114</v>
      </c>
      <c r="B56" s="137" t="s">
        <v>406</v>
      </c>
      <c r="C56" s="137" t="s">
        <v>408</v>
      </c>
      <c r="D56" s="338">
        <v>15543</v>
      </c>
      <c r="E56" s="137">
        <v>3948</v>
      </c>
      <c r="F56" s="137">
        <v>536</v>
      </c>
    </row>
    <row r="57" spans="1:6" x14ac:dyDescent="0.25">
      <c r="A57" s="137" t="s">
        <v>15270</v>
      </c>
      <c r="B57" s="137" t="s">
        <v>406</v>
      </c>
      <c r="C57" s="137" t="s">
        <v>5132</v>
      </c>
      <c r="D57" s="338">
        <v>12990</v>
      </c>
      <c r="E57" s="137">
        <v>2966</v>
      </c>
      <c r="F57" s="137">
        <v>2966</v>
      </c>
    </row>
    <row r="58" spans="1:6" x14ac:dyDescent="0.25">
      <c r="A58" s="137" t="s">
        <v>15486</v>
      </c>
      <c r="B58" s="137" t="s">
        <v>406</v>
      </c>
      <c r="C58" s="137" t="s">
        <v>4865</v>
      </c>
      <c r="D58" s="338">
        <v>6729</v>
      </c>
      <c r="E58" s="137">
        <v>3116</v>
      </c>
      <c r="F58" s="137">
        <v>3116</v>
      </c>
    </row>
    <row r="59" spans="1:6" x14ac:dyDescent="0.25">
      <c r="A59" s="137" t="s">
        <v>15310</v>
      </c>
      <c r="B59" s="137" t="s">
        <v>406</v>
      </c>
      <c r="C59" s="137" t="s">
        <v>404</v>
      </c>
      <c r="D59" s="338">
        <v>12245</v>
      </c>
      <c r="E59" s="137">
        <v>3667</v>
      </c>
      <c r="F59" s="137">
        <v>255</v>
      </c>
    </row>
    <row r="60" spans="1:6" x14ac:dyDescent="0.25">
      <c r="A60" s="137" t="s">
        <v>15889</v>
      </c>
      <c r="B60" s="137" t="s">
        <v>406</v>
      </c>
      <c r="C60" s="137" t="s">
        <v>2496</v>
      </c>
      <c r="D60" s="338">
        <v>2750</v>
      </c>
      <c r="E60" s="137">
        <v>3614</v>
      </c>
      <c r="F60" s="137">
        <v>3614</v>
      </c>
    </row>
    <row r="61" spans="1:6" x14ac:dyDescent="0.25">
      <c r="A61" s="137" t="s">
        <v>15464</v>
      </c>
      <c r="B61" s="137" t="s">
        <v>406</v>
      </c>
      <c r="C61" s="137" t="s">
        <v>402</v>
      </c>
      <c r="D61" s="338">
        <v>6867</v>
      </c>
      <c r="E61" s="137">
        <v>3565</v>
      </c>
      <c r="F61" s="137">
        <v>153</v>
      </c>
    </row>
    <row r="62" spans="1:6" x14ac:dyDescent="0.25">
      <c r="A62" s="137" t="s">
        <v>15215</v>
      </c>
      <c r="B62" s="137" t="s">
        <v>406</v>
      </c>
      <c r="C62" s="137" t="s">
        <v>399</v>
      </c>
      <c r="D62" s="338">
        <v>13757</v>
      </c>
      <c r="E62" s="137">
        <v>4954</v>
      </c>
      <c r="F62" s="137">
        <v>-164</v>
      </c>
    </row>
    <row r="63" spans="1:6" x14ac:dyDescent="0.25">
      <c r="A63" s="137" t="s">
        <v>15775</v>
      </c>
      <c r="B63" s="137" t="s">
        <v>406</v>
      </c>
      <c r="C63" s="137" t="s">
        <v>395</v>
      </c>
      <c r="D63" s="338">
        <v>3948</v>
      </c>
      <c r="E63" s="137">
        <v>4948</v>
      </c>
      <c r="F63" s="137">
        <v>1536</v>
      </c>
    </row>
    <row r="64" spans="1:6" x14ac:dyDescent="0.25">
      <c r="A64" s="137" t="s">
        <v>15599</v>
      </c>
      <c r="B64" s="137" t="s">
        <v>406</v>
      </c>
      <c r="C64" s="137" t="s">
        <v>393</v>
      </c>
      <c r="D64" s="338">
        <v>5747</v>
      </c>
      <c r="E64" s="137">
        <v>3904</v>
      </c>
      <c r="F64" s="137">
        <v>492</v>
      </c>
    </row>
    <row r="65" spans="1:6" x14ac:dyDescent="0.25">
      <c r="A65" s="137" t="s">
        <v>15281</v>
      </c>
      <c r="B65" s="137" t="s">
        <v>406</v>
      </c>
      <c r="C65" s="137" t="s">
        <v>5682</v>
      </c>
      <c r="D65" s="338">
        <v>12806</v>
      </c>
      <c r="E65" s="137">
        <v>3614</v>
      </c>
      <c r="F65" s="137">
        <v>202</v>
      </c>
    </row>
    <row r="66" spans="1:6" x14ac:dyDescent="0.25">
      <c r="A66" s="137" t="s">
        <v>15777</v>
      </c>
      <c r="B66" s="137" t="s">
        <v>406</v>
      </c>
      <c r="C66" s="137" t="s">
        <v>390</v>
      </c>
      <c r="D66" s="338">
        <v>3942</v>
      </c>
      <c r="E66" s="137">
        <v>3353</v>
      </c>
      <c r="F66" s="137">
        <v>3353</v>
      </c>
    </row>
    <row r="67" spans="1:6" x14ac:dyDescent="0.25">
      <c r="A67" s="137" t="s">
        <v>19822</v>
      </c>
      <c r="B67" s="137" t="s">
        <v>406</v>
      </c>
      <c r="C67" s="137" t="s">
        <v>1742</v>
      </c>
      <c r="D67" s="338">
        <v>3646</v>
      </c>
      <c r="E67" s="137">
        <v>3682</v>
      </c>
      <c r="F67" s="137">
        <v>3682</v>
      </c>
    </row>
    <row r="68" spans="1:6" x14ac:dyDescent="0.25">
      <c r="A68" s="137" t="s">
        <v>15729</v>
      </c>
      <c r="B68" s="137" t="s">
        <v>406</v>
      </c>
      <c r="C68" s="137" t="s">
        <v>388</v>
      </c>
      <c r="D68" s="338">
        <v>4342</v>
      </c>
      <c r="E68" s="137">
        <v>5758</v>
      </c>
      <c r="F68" s="137">
        <v>5758</v>
      </c>
    </row>
    <row r="69" spans="1:6" x14ac:dyDescent="0.25">
      <c r="A69" s="137" t="s">
        <v>15745</v>
      </c>
      <c r="B69" s="137" t="s">
        <v>406</v>
      </c>
      <c r="C69" s="137" t="s">
        <v>385</v>
      </c>
      <c r="D69" s="338">
        <v>4205</v>
      </c>
      <c r="E69" s="137">
        <v>5656</v>
      </c>
      <c r="F69" s="137">
        <v>538</v>
      </c>
    </row>
    <row r="70" spans="1:6" x14ac:dyDescent="0.25">
      <c r="A70" s="137" t="s">
        <v>15238</v>
      </c>
      <c r="B70" s="137" t="s">
        <v>406</v>
      </c>
      <c r="C70" s="137" t="s">
        <v>4052</v>
      </c>
      <c r="D70" s="338">
        <v>13463</v>
      </c>
      <c r="E70" s="137">
        <v>3793</v>
      </c>
      <c r="F70" s="137">
        <v>381</v>
      </c>
    </row>
    <row r="71" spans="1:6" x14ac:dyDescent="0.25">
      <c r="A71" s="137" t="s">
        <v>15338</v>
      </c>
      <c r="B71" s="137" t="s">
        <v>406</v>
      </c>
      <c r="C71" s="137" t="s">
        <v>5200</v>
      </c>
      <c r="D71" s="338">
        <v>10053</v>
      </c>
      <c r="E71" s="137">
        <v>3216</v>
      </c>
      <c r="F71" s="137">
        <v>3216</v>
      </c>
    </row>
    <row r="72" spans="1:6" x14ac:dyDescent="0.25">
      <c r="A72" s="137" t="s">
        <v>15954</v>
      </c>
      <c r="B72" s="137" t="s">
        <v>406</v>
      </c>
      <c r="C72" s="137" t="s">
        <v>383</v>
      </c>
      <c r="D72" s="137">
        <v>944</v>
      </c>
      <c r="E72" s="137">
        <v>4435</v>
      </c>
      <c r="F72" s="137">
        <v>-683</v>
      </c>
    </row>
    <row r="73" spans="1:6" x14ac:dyDescent="0.25">
      <c r="A73" s="137" t="s">
        <v>15150</v>
      </c>
      <c r="B73" s="137" t="s">
        <v>406</v>
      </c>
      <c r="C73" s="137" t="s">
        <v>381</v>
      </c>
      <c r="D73" s="338">
        <v>14518</v>
      </c>
      <c r="E73" s="137">
        <v>3966</v>
      </c>
      <c r="F73" s="137">
        <v>554</v>
      </c>
    </row>
    <row r="74" spans="1:6" x14ac:dyDescent="0.25">
      <c r="A74" s="137" t="s">
        <v>15937</v>
      </c>
      <c r="B74" s="137" t="s">
        <v>406</v>
      </c>
      <c r="C74" s="137" t="s">
        <v>378</v>
      </c>
      <c r="D74" s="338">
        <v>1665</v>
      </c>
      <c r="E74" s="137">
        <v>5395</v>
      </c>
      <c r="F74" s="137">
        <v>-1429</v>
      </c>
    </row>
    <row r="75" spans="1:6" x14ac:dyDescent="0.25">
      <c r="A75" s="137" t="s">
        <v>15448</v>
      </c>
      <c r="B75" s="137" t="s">
        <v>406</v>
      </c>
      <c r="C75" s="137" t="s">
        <v>376</v>
      </c>
      <c r="D75" s="338">
        <v>6994</v>
      </c>
      <c r="E75" s="137">
        <v>3439</v>
      </c>
      <c r="F75" s="137">
        <v>27</v>
      </c>
    </row>
    <row r="76" spans="1:6" x14ac:dyDescent="0.25">
      <c r="A76" s="137" t="s">
        <v>15615</v>
      </c>
      <c r="B76" s="137" t="s">
        <v>406</v>
      </c>
      <c r="C76" s="137" t="s">
        <v>373</v>
      </c>
      <c r="D76" s="338">
        <v>5565</v>
      </c>
      <c r="E76" s="137">
        <v>4955</v>
      </c>
      <c r="F76" s="137">
        <v>4955</v>
      </c>
    </row>
    <row r="77" spans="1:6" x14ac:dyDescent="0.25">
      <c r="A77" s="137" t="s">
        <v>15882</v>
      </c>
      <c r="B77" s="137" t="s">
        <v>406</v>
      </c>
      <c r="C77" s="137" t="s">
        <v>371</v>
      </c>
      <c r="D77" s="338">
        <v>2830</v>
      </c>
      <c r="E77" s="137">
        <v>4279</v>
      </c>
      <c r="F77" s="137">
        <v>867</v>
      </c>
    </row>
    <row r="78" spans="1:6" x14ac:dyDescent="0.25">
      <c r="A78" s="137" t="s">
        <v>15493</v>
      </c>
      <c r="B78" s="137" t="s">
        <v>406</v>
      </c>
      <c r="C78" s="137" t="s">
        <v>5587</v>
      </c>
      <c r="D78" s="338">
        <v>6681</v>
      </c>
      <c r="E78" s="137">
        <v>3395</v>
      </c>
      <c r="F78" s="137">
        <v>3395</v>
      </c>
    </row>
    <row r="79" spans="1:6" x14ac:dyDescent="0.25">
      <c r="A79" s="137" t="s">
        <v>15726</v>
      </c>
      <c r="B79" s="137" t="s">
        <v>406</v>
      </c>
      <c r="C79" s="137" t="s">
        <v>5489</v>
      </c>
      <c r="D79" s="338">
        <v>4377</v>
      </c>
      <c r="E79" s="137">
        <v>4704</v>
      </c>
      <c r="F79" s="137">
        <v>4704</v>
      </c>
    </row>
    <row r="80" spans="1:6" x14ac:dyDescent="0.25">
      <c r="A80" s="137" t="s">
        <v>15610</v>
      </c>
      <c r="B80" s="137" t="s">
        <v>406</v>
      </c>
      <c r="C80" s="137" t="s">
        <v>366</v>
      </c>
      <c r="D80" s="338">
        <v>5600</v>
      </c>
      <c r="E80" s="137">
        <v>4019</v>
      </c>
      <c r="F80" s="137">
        <v>4019</v>
      </c>
    </row>
    <row r="81" spans="1:6" x14ac:dyDescent="0.25">
      <c r="A81" s="137" t="s">
        <v>15312</v>
      </c>
      <c r="B81" s="137" t="s">
        <v>406</v>
      </c>
      <c r="C81" s="137" t="s">
        <v>364</v>
      </c>
      <c r="D81" s="338">
        <v>12222</v>
      </c>
      <c r="E81" s="137">
        <v>4288</v>
      </c>
      <c r="F81" s="137">
        <v>876</v>
      </c>
    </row>
    <row r="82" spans="1:6" x14ac:dyDescent="0.25">
      <c r="A82" s="137" t="s">
        <v>15644</v>
      </c>
      <c r="B82" s="137" t="s">
        <v>406</v>
      </c>
      <c r="C82" s="137" t="s">
        <v>4924</v>
      </c>
      <c r="D82" s="338">
        <v>5091</v>
      </c>
      <c r="E82" s="137">
        <v>2929</v>
      </c>
      <c r="F82" s="137">
        <v>2929</v>
      </c>
    </row>
    <row r="83" spans="1:6" x14ac:dyDescent="0.25">
      <c r="A83" s="137" t="s">
        <v>15619</v>
      </c>
      <c r="B83" s="137" t="s">
        <v>406</v>
      </c>
      <c r="C83" s="137" t="s">
        <v>5608</v>
      </c>
      <c r="D83" s="338">
        <v>5519</v>
      </c>
      <c r="E83" s="137">
        <v>4138</v>
      </c>
      <c r="F83" s="137">
        <v>726</v>
      </c>
    </row>
    <row r="84" spans="1:6" x14ac:dyDescent="0.25">
      <c r="A84" s="137" t="s">
        <v>15819</v>
      </c>
      <c r="B84" s="137" t="s">
        <v>406</v>
      </c>
      <c r="C84" s="137" t="s">
        <v>361</v>
      </c>
      <c r="D84" s="338">
        <v>3603</v>
      </c>
      <c r="E84" s="137">
        <v>5311</v>
      </c>
      <c r="F84" s="137">
        <v>5311</v>
      </c>
    </row>
    <row r="85" spans="1:6" x14ac:dyDescent="0.25">
      <c r="A85" s="137" t="s">
        <v>15348</v>
      </c>
      <c r="B85" s="137" t="s">
        <v>406</v>
      </c>
      <c r="C85" s="137" t="s">
        <v>3537</v>
      </c>
      <c r="D85" s="338">
        <v>9297</v>
      </c>
      <c r="E85" s="137">
        <v>5056</v>
      </c>
      <c r="F85" s="137">
        <v>5056</v>
      </c>
    </row>
    <row r="86" spans="1:6" x14ac:dyDescent="0.25">
      <c r="A86" s="137" t="s">
        <v>15245</v>
      </c>
      <c r="B86" s="137" t="s">
        <v>406</v>
      </c>
      <c r="C86" s="137" t="s">
        <v>5732</v>
      </c>
      <c r="D86" s="338">
        <v>13378</v>
      </c>
      <c r="E86" s="137">
        <v>3877</v>
      </c>
      <c r="F86" s="137">
        <v>3877</v>
      </c>
    </row>
    <row r="87" spans="1:6" x14ac:dyDescent="0.25">
      <c r="A87" s="137" t="s">
        <v>15271</v>
      </c>
      <c r="B87" s="137" t="s">
        <v>406</v>
      </c>
      <c r="C87" s="137" t="s">
        <v>5441</v>
      </c>
      <c r="D87" s="338">
        <v>12984</v>
      </c>
      <c r="E87" s="137">
        <v>3219</v>
      </c>
      <c r="F87" s="137">
        <v>3219</v>
      </c>
    </row>
    <row r="88" spans="1:6" x14ac:dyDescent="0.25">
      <c r="A88" s="137" t="s">
        <v>15372</v>
      </c>
      <c r="B88" s="137" t="s">
        <v>406</v>
      </c>
      <c r="C88" s="137" t="s">
        <v>359</v>
      </c>
      <c r="D88" s="338">
        <v>7996</v>
      </c>
      <c r="E88" s="137">
        <v>5067</v>
      </c>
      <c r="F88" s="137">
        <v>1655</v>
      </c>
    </row>
    <row r="89" spans="1:6" x14ac:dyDescent="0.25">
      <c r="A89" s="137" t="s">
        <v>15241</v>
      </c>
      <c r="B89" s="137" t="s">
        <v>406</v>
      </c>
      <c r="C89" s="137" t="s">
        <v>5485</v>
      </c>
      <c r="D89" s="338">
        <v>13433</v>
      </c>
      <c r="E89" s="137">
        <v>4739</v>
      </c>
      <c r="F89" s="137">
        <v>1327</v>
      </c>
    </row>
    <row r="90" spans="1:6" x14ac:dyDescent="0.25">
      <c r="A90" s="137" t="s">
        <v>15356</v>
      </c>
      <c r="B90" s="137" t="s">
        <v>406</v>
      </c>
      <c r="C90" s="137" t="s">
        <v>5262</v>
      </c>
      <c r="D90" s="338">
        <v>8913</v>
      </c>
      <c r="E90" s="137">
        <v>3193</v>
      </c>
      <c r="F90" s="137">
        <v>3193</v>
      </c>
    </row>
    <row r="91" spans="1:6" x14ac:dyDescent="0.25">
      <c r="A91" s="137" t="s">
        <v>15890</v>
      </c>
      <c r="B91" s="137" t="s">
        <v>406</v>
      </c>
      <c r="C91" s="137" t="s">
        <v>357</v>
      </c>
      <c r="D91" s="338">
        <v>2743</v>
      </c>
      <c r="E91" s="137">
        <v>4826</v>
      </c>
      <c r="F91" s="137">
        <v>1414</v>
      </c>
    </row>
    <row r="92" spans="1:6" x14ac:dyDescent="0.25">
      <c r="A92" s="137" t="s">
        <v>15952</v>
      </c>
      <c r="B92" s="137" t="s">
        <v>406</v>
      </c>
      <c r="C92" s="137" t="s">
        <v>355</v>
      </c>
      <c r="D92" s="338">
        <v>1064</v>
      </c>
      <c r="E92" s="137">
        <v>4743</v>
      </c>
      <c r="F92" s="137">
        <v>1331</v>
      </c>
    </row>
    <row r="93" spans="1:6" x14ac:dyDescent="0.25">
      <c r="A93" s="137" t="s">
        <v>15116</v>
      </c>
      <c r="B93" s="137" t="s">
        <v>406</v>
      </c>
      <c r="C93" s="137" t="s">
        <v>4642</v>
      </c>
      <c r="D93" s="338">
        <v>15523</v>
      </c>
      <c r="E93" s="137">
        <v>2802</v>
      </c>
      <c r="F93" s="137">
        <v>-610</v>
      </c>
    </row>
    <row r="94" spans="1:6" x14ac:dyDescent="0.25">
      <c r="A94" s="137" t="s">
        <v>15535</v>
      </c>
      <c r="B94" s="137" t="s">
        <v>406</v>
      </c>
      <c r="C94" s="137" t="s">
        <v>5658</v>
      </c>
      <c r="D94" s="338">
        <v>6413</v>
      </c>
      <c r="E94" s="137">
        <v>3578</v>
      </c>
      <c r="F94" s="137">
        <v>166</v>
      </c>
    </row>
    <row r="95" spans="1:6" x14ac:dyDescent="0.25">
      <c r="A95" s="137" t="s">
        <v>15366</v>
      </c>
      <c r="B95" s="137" t="s">
        <v>406</v>
      </c>
      <c r="C95" s="137" t="s">
        <v>353</v>
      </c>
      <c r="D95" s="338">
        <v>8235</v>
      </c>
      <c r="E95" s="137">
        <v>5139</v>
      </c>
      <c r="F95" s="137">
        <v>5139</v>
      </c>
    </row>
    <row r="96" spans="1:6" x14ac:dyDescent="0.25">
      <c r="A96" s="137" t="s">
        <v>15463</v>
      </c>
      <c r="B96" s="137" t="s">
        <v>406</v>
      </c>
      <c r="C96" s="137" t="s">
        <v>349</v>
      </c>
      <c r="D96" s="338">
        <v>6872</v>
      </c>
      <c r="E96" s="137">
        <v>3850</v>
      </c>
      <c r="F96" s="137">
        <v>438</v>
      </c>
    </row>
    <row r="97" spans="1:6" x14ac:dyDescent="0.25">
      <c r="A97" s="137" t="s">
        <v>15837</v>
      </c>
      <c r="B97" s="137" t="s">
        <v>406</v>
      </c>
      <c r="C97" s="137" t="s">
        <v>347</v>
      </c>
      <c r="D97" s="338">
        <v>3377</v>
      </c>
      <c r="E97" s="137">
        <v>5647</v>
      </c>
      <c r="F97" s="137">
        <v>-1177</v>
      </c>
    </row>
    <row r="98" spans="1:6" x14ac:dyDescent="0.25">
      <c r="A98" s="137" t="s">
        <v>15132</v>
      </c>
      <c r="B98" s="137" t="s">
        <v>406</v>
      </c>
      <c r="C98" s="137" t="s">
        <v>5616</v>
      </c>
      <c r="D98" s="338">
        <v>15042</v>
      </c>
      <c r="E98" s="137">
        <v>3525</v>
      </c>
      <c r="F98" s="137">
        <v>113</v>
      </c>
    </row>
    <row r="99" spans="1:6" x14ac:dyDescent="0.25">
      <c r="A99" s="137" t="s">
        <v>15261</v>
      </c>
      <c r="B99" s="137" t="s">
        <v>406</v>
      </c>
      <c r="C99" s="137" t="s">
        <v>5589</v>
      </c>
      <c r="D99" s="338">
        <v>13144</v>
      </c>
      <c r="E99" s="137">
        <v>3322</v>
      </c>
      <c r="F99" s="137">
        <v>3322</v>
      </c>
    </row>
    <row r="100" spans="1:6" x14ac:dyDescent="0.25">
      <c r="A100" s="137" t="s">
        <v>15773</v>
      </c>
      <c r="B100" s="137" t="s">
        <v>406</v>
      </c>
      <c r="C100" s="137" t="s">
        <v>345</v>
      </c>
      <c r="D100" s="338">
        <v>3966</v>
      </c>
      <c r="E100" s="137">
        <v>4142</v>
      </c>
      <c r="F100" s="137">
        <v>4142</v>
      </c>
    </row>
    <row r="101" spans="1:6" x14ac:dyDescent="0.25">
      <c r="A101" s="137" t="s">
        <v>15673</v>
      </c>
      <c r="B101" s="137" t="s">
        <v>406</v>
      </c>
      <c r="C101" s="137" t="s">
        <v>4118</v>
      </c>
      <c r="D101" s="338">
        <v>4879</v>
      </c>
      <c r="E101" s="137">
        <v>3396</v>
      </c>
      <c r="F101" s="137">
        <v>3396</v>
      </c>
    </row>
    <row r="102" spans="1:6" x14ac:dyDescent="0.25">
      <c r="A102" s="137" t="s">
        <v>15800</v>
      </c>
      <c r="B102" s="137" t="s">
        <v>406</v>
      </c>
      <c r="C102" s="137" t="s">
        <v>341</v>
      </c>
      <c r="D102" s="338">
        <v>3755</v>
      </c>
      <c r="E102" s="137">
        <v>4376</v>
      </c>
      <c r="F102" s="137">
        <v>4376</v>
      </c>
    </row>
    <row r="103" spans="1:6" x14ac:dyDescent="0.25">
      <c r="A103" s="137" t="s">
        <v>15779</v>
      </c>
      <c r="B103" s="137" t="s">
        <v>406</v>
      </c>
      <c r="C103" s="137" t="s">
        <v>5196</v>
      </c>
      <c r="D103" s="338">
        <v>3934</v>
      </c>
      <c r="E103" s="137">
        <v>5029</v>
      </c>
      <c r="F103" s="137">
        <v>5029</v>
      </c>
    </row>
    <row r="104" spans="1:6" x14ac:dyDescent="0.25">
      <c r="A104" s="137" t="s">
        <v>15269</v>
      </c>
      <c r="B104" s="137" t="s">
        <v>406</v>
      </c>
      <c r="C104" s="137" t="s">
        <v>5074</v>
      </c>
      <c r="D104" s="338">
        <v>13042</v>
      </c>
      <c r="E104" s="137">
        <v>2977</v>
      </c>
      <c r="F104" s="137">
        <v>2977</v>
      </c>
    </row>
    <row r="105" spans="1:6" x14ac:dyDescent="0.25">
      <c r="A105" s="137" t="s">
        <v>15601</v>
      </c>
      <c r="B105" s="137" t="s">
        <v>406</v>
      </c>
      <c r="C105" s="137" t="s">
        <v>4651</v>
      </c>
      <c r="D105" s="338">
        <v>5712</v>
      </c>
      <c r="E105" s="137">
        <v>3298</v>
      </c>
      <c r="F105" s="137">
        <v>3298</v>
      </c>
    </row>
    <row r="106" spans="1:6" x14ac:dyDescent="0.25">
      <c r="A106" s="137" t="s">
        <v>15949</v>
      </c>
      <c r="B106" s="137" t="s">
        <v>406</v>
      </c>
      <c r="C106" s="137" t="s">
        <v>339</v>
      </c>
      <c r="D106" s="338">
        <v>1138</v>
      </c>
      <c r="E106" s="137">
        <v>5907</v>
      </c>
      <c r="F106" s="137">
        <v>789</v>
      </c>
    </row>
    <row r="107" spans="1:6" x14ac:dyDescent="0.25">
      <c r="A107" s="137" t="s">
        <v>15809</v>
      </c>
      <c r="B107" s="137" t="s">
        <v>406</v>
      </c>
      <c r="C107" s="137" t="s">
        <v>2067</v>
      </c>
      <c r="D107" s="338">
        <v>3677</v>
      </c>
      <c r="E107" s="137">
        <v>3772</v>
      </c>
      <c r="F107" s="137">
        <v>3772</v>
      </c>
    </row>
    <row r="108" spans="1:6" x14ac:dyDescent="0.25">
      <c r="A108" s="137" t="s">
        <v>15181</v>
      </c>
      <c r="B108" s="137" t="s">
        <v>406</v>
      </c>
      <c r="C108" s="137" t="s">
        <v>5758</v>
      </c>
      <c r="D108" s="338">
        <v>14139</v>
      </c>
      <c r="E108" s="137">
        <v>2882</v>
      </c>
      <c r="F108" s="137">
        <v>1176</v>
      </c>
    </row>
    <row r="109" spans="1:6" x14ac:dyDescent="0.25">
      <c r="A109" s="137" t="s">
        <v>15879</v>
      </c>
      <c r="B109" s="137" t="s">
        <v>406</v>
      </c>
      <c r="C109" s="137" t="s">
        <v>3435</v>
      </c>
      <c r="D109" s="338">
        <v>2894</v>
      </c>
      <c r="E109" s="137">
        <v>3747</v>
      </c>
      <c r="F109" s="137">
        <v>3747</v>
      </c>
    </row>
    <row r="110" spans="1:6" x14ac:dyDescent="0.25">
      <c r="A110" s="137" t="s">
        <v>15798</v>
      </c>
      <c r="B110" s="137" t="s">
        <v>406</v>
      </c>
      <c r="C110" s="137" t="s">
        <v>4609</v>
      </c>
      <c r="D110" s="338">
        <v>3786</v>
      </c>
      <c r="E110" s="137">
        <v>4185</v>
      </c>
      <c r="F110" s="137">
        <v>4185</v>
      </c>
    </row>
    <row r="111" spans="1:6" x14ac:dyDescent="0.25">
      <c r="A111" s="137" t="s">
        <v>15639</v>
      </c>
      <c r="B111" s="137" t="s">
        <v>406</v>
      </c>
      <c r="C111" s="137" t="s">
        <v>337</v>
      </c>
      <c r="D111" s="338">
        <v>5149</v>
      </c>
      <c r="E111" s="137">
        <v>4467</v>
      </c>
      <c r="F111" s="137">
        <v>4467</v>
      </c>
    </row>
    <row r="112" spans="1:6" x14ac:dyDescent="0.25">
      <c r="A112" s="137" t="s">
        <v>15691</v>
      </c>
      <c r="B112" s="137" t="s">
        <v>406</v>
      </c>
      <c r="C112" s="137" t="s">
        <v>5221</v>
      </c>
      <c r="D112" s="338">
        <v>4703</v>
      </c>
      <c r="E112" s="137">
        <v>4249</v>
      </c>
      <c r="F112" s="137">
        <v>4249</v>
      </c>
    </row>
    <row r="113" spans="1:6" x14ac:dyDescent="0.25">
      <c r="A113" s="137" t="s">
        <v>15873</v>
      </c>
      <c r="B113" s="137" t="s">
        <v>406</v>
      </c>
      <c r="C113" s="137" t="s">
        <v>333</v>
      </c>
      <c r="D113" s="338">
        <v>3010</v>
      </c>
      <c r="E113" s="137">
        <v>6534</v>
      </c>
      <c r="F113" s="137">
        <v>-290</v>
      </c>
    </row>
    <row r="114" spans="1:6" x14ac:dyDescent="0.25">
      <c r="A114" s="137" t="s">
        <v>15899</v>
      </c>
      <c r="B114" s="137" t="s">
        <v>406</v>
      </c>
      <c r="C114" s="137" t="s">
        <v>5260</v>
      </c>
      <c r="D114" s="338">
        <v>2499</v>
      </c>
      <c r="E114" s="137">
        <v>3843</v>
      </c>
      <c r="F114" s="137">
        <v>3843</v>
      </c>
    </row>
    <row r="115" spans="1:6" x14ac:dyDescent="0.25">
      <c r="A115" s="137" t="s">
        <v>15856</v>
      </c>
      <c r="B115" s="137" t="s">
        <v>406</v>
      </c>
      <c r="C115" s="137" t="s">
        <v>3070</v>
      </c>
      <c r="D115" s="338">
        <v>3143</v>
      </c>
      <c r="E115" s="137">
        <v>3659</v>
      </c>
      <c r="F115" s="137">
        <v>3659</v>
      </c>
    </row>
    <row r="116" spans="1:6" x14ac:dyDescent="0.25">
      <c r="A116" s="137" t="s">
        <v>15700</v>
      </c>
      <c r="B116" s="137" t="s">
        <v>406</v>
      </c>
      <c r="C116" s="137" t="s">
        <v>3046</v>
      </c>
      <c r="D116" s="338">
        <v>4652</v>
      </c>
      <c r="E116" s="137">
        <v>3301</v>
      </c>
      <c r="F116" s="137">
        <v>3301</v>
      </c>
    </row>
    <row r="117" spans="1:6" x14ac:dyDescent="0.25">
      <c r="A117" s="137" t="s">
        <v>15911</v>
      </c>
      <c r="B117" s="137" t="s">
        <v>406</v>
      </c>
      <c r="C117" s="137" t="s">
        <v>5636</v>
      </c>
      <c r="D117" s="338">
        <v>2295</v>
      </c>
      <c r="E117" s="137">
        <v>3989</v>
      </c>
      <c r="F117" s="137">
        <v>3989</v>
      </c>
    </row>
    <row r="118" spans="1:6" x14ac:dyDescent="0.25">
      <c r="A118" s="137" t="s">
        <v>15614</v>
      </c>
      <c r="B118" s="137" t="s">
        <v>406</v>
      </c>
      <c r="C118" s="137" t="s">
        <v>328</v>
      </c>
      <c r="D118" s="338">
        <v>5575</v>
      </c>
      <c r="E118" s="137">
        <v>4815</v>
      </c>
      <c r="F118" s="137">
        <v>1403</v>
      </c>
    </row>
    <row r="119" spans="1:6" x14ac:dyDescent="0.25">
      <c r="A119" s="137" t="s">
        <v>15422</v>
      </c>
      <c r="B119" s="137" t="s">
        <v>406</v>
      </c>
      <c r="C119" s="137" t="s">
        <v>4533</v>
      </c>
      <c r="D119" s="338">
        <v>7254</v>
      </c>
      <c r="E119" s="137">
        <v>2701</v>
      </c>
      <c r="F119" s="137">
        <v>2701</v>
      </c>
    </row>
    <row r="120" spans="1:6" x14ac:dyDescent="0.25">
      <c r="A120" s="137" t="s">
        <v>15344</v>
      </c>
      <c r="B120" s="137" t="s">
        <v>406</v>
      </c>
      <c r="C120" s="137" t="s">
        <v>5163</v>
      </c>
      <c r="D120" s="338">
        <v>9475</v>
      </c>
      <c r="E120" s="137">
        <v>5652</v>
      </c>
      <c r="F120" s="137">
        <v>5652</v>
      </c>
    </row>
    <row r="121" spans="1:6" x14ac:dyDescent="0.25">
      <c r="A121" s="137" t="s">
        <v>15285</v>
      </c>
      <c r="B121" s="137" t="s">
        <v>406</v>
      </c>
      <c r="C121" s="137" t="s">
        <v>5715</v>
      </c>
      <c r="D121" s="338">
        <v>12778</v>
      </c>
      <c r="E121" s="137">
        <v>3708</v>
      </c>
      <c r="F121" s="137">
        <v>3708</v>
      </c>
    </row>
    <row r="122" spans="1:6" x14ac:dyDescent="0.25">
      <c r="A122" s="137" t="s">
        <v>15444</v>
      </c>
      <c r="B122" s="137" t="s">
        <v>406</v>
      </c>
      <c r="C122" s="137" t="s">
        <v>326</v>
      </c>
      <c r="D122" s="338">
        <v>7026</v>
      </c>
      <c r="E122" s="137">
        <v>4759</v>
      </c>
      <c r="F122" s="137">
        <v>4759</v>
      </c>
    </row>
    <row r="123" spans="1:6" x14ac:dyDescent="0.25">
      <c r="A123" s="137" t="s">
        <v>15489</v>
      </c>
      <c r="B123" s="137" t="s">
        <v>406</v>
      </c>
      <c r="C123" s="137" t="s">
        <v>324</v>
      </c>
      <c r="D123" s="338">
        <v>6713</v>
      </c>
      <c r="E123" s="137">
        <v>3693</v>
      </c>
      <c r="F123" s="137">
        <v>281</v>
      </c>
    </row>
    <row r="124" spans="1:6" x14ac:dyDescent="0.25">
      <c r="A124" s="137" t="s">
        <v>15590</v>
      </c>
      <c r="B124" s="137" t="s">
        <v>406</v>
      </c>
      <c r="C124" s="137" t="s">
        <v>322</v>
      </c>
      <c r="D124" s="338">
        <v>5847</v>
      </c>
      <c r="E124" s="137">
        <v>3964</v>
      </c>
      <c r="F124" s="137">
        <v>3964</v>
      </c>
    </row>
    <row r="125" spans="1:6" x14ac:dyDescent="0.25">
      <c r="A125" s="137" t="s">
        <v>15925</v>
      </c>
      <c r="B125" s="137" t="s">
        <v>406</v>
      </c>
      <c r="C125" s="137" t="s">
        <v>319</v>
      </c>
      <c r="D125" s="338">
        <v>1926</v>
      </c>
      <c r="E125" s="137">
        <v>4724</v>
      </c>
      <c r="F125" s="137">
        <v>-394</v>
      </c>
    </row>
    <row r="126" spans="1:6" x14ac:dyDescent="0.25">
      <c r="A126" s="137" t="s">
        <v>15360</v>
      </c>
      <c r="B126" s="137" t="s">
        <v>406</v>
      </c>
      <c r="C126" s="137" t="s">
        <v>1653</v>
      </c>
      <c r="D126" s="338">
        <v>8777</v>
      </c>
      <c r="E126" s="137">
        <v>2911</v>
      </c>
      <c r="F126" s="137">
        <v>2911</v>
      </c>
    </row>
    <row r="127" spans="1:6" x14ac:dyDescent="0.25">
      <c r="A127" s="137" t="s">
        <v>15418</v>
      </c>
      <c r="B127" s="137" t="s">
        <v>406</v>
      </c>
      <c r="C127" s="137" t="s">
        <v>5401</v>
      </c>
      <c r="D127" s="338">
        <v>7275</v>
      </c>
      <c r="E127" s="137">
        <v>3216</v>
      </c>
      <c r="F127" s="137">
        <v>3216</v>
      </c>
    </row>
    <row r="128" spans="1:6" x14ac:dyDescent="0.25">
      <c r="A128" s="137" t="s">
        <v>15759</v>
      </c>
      <c r="B128" s="137" t="s">
        <v>406</v>
      </c>
      <c r="C128" s="137" t="s">
        <v>2618</v>
      </c>
      <c r="D128" s="338">
        <v>4066</v>
      </c>
      <c r="E128" s="137">
        <v>3374</v>
      </c>
      <c r="F128" s="137">
        <v>3374</v>
      </c>
    </row>
    <row r="129" spans="1:6" x14ac:dyDescent="0.25">
      <c r="A129" s="137" t="s">
        <v>15720</v>
      </c>
      <c r="B129" s="137" t="s">
        <v>406</v>
      </c>
      <c r="C129" s="137" t="s">
        <v>316</v>
      </c>
      <c r="D129" s="338">
        <v>4456</v>
      </c>
      <c r="E129" s="137">
        <v>4961</v>
      </c>
      <c r="F129" s="137">
        <v>4961</v>
      </c>
    </row>
    <row r="130" spans="1:6" x14ac:dyDescent="0.25">
      <c r="A130" s="137" t="s">
        <v>19821</v>
      </c>
      <c r="B130" s="137" t="s">
        <v>406</v>
      </c>
      <c r="C130" s="137" t="s">
        <v>1322</v>
      </c>
      <c r="D130" s="338">
        <v>8235</v>
      </c>
      <c r="E130" s="137">
        <v>3561</v>
      </c>
      <c r="F130" s="137">
        <v>3561</v>
      </c>
    </row>
    <row r="131" spans="1:6" x14ac:dyDescent="0.25">
      <c r="A131" s="137" t="s">
        <v>18216</v>
      </c>
      <c r="B131" s="137" t="s">
        <v>406</v>
      </c>
      <c r="C131" s="137" t="s">
        <v>2445</v>
      </c>
      <c r="D131" s="338">
        <v>8684</v>
      </c>
      <c r="E131" s="137">
        <v>3788</v>
      </c>
      <c r="F131" s="137">
        <v>3788</v>
      </c>
    </row>
    <row r="132" spans="1:6" x14ac:dyDescent="0.25">
      <c r="A132" s="137" t="s">
        <v>15492</v>
      </c>
      <c r="B132" s="137" t="s">
        <v>406</v>
      </c>
      <c r="C132" s="137" t="s">
        <v>4142</v>
      </c>
      <c r="D132" s="338">
        <v>6695</v>
      </c>
      <c r="E132" s="137">
        <v>2798</v>
      </c>
      <c r="F132" s="137">
        <v>2798</v>
      </c>
    </row>
    <row r="133" spans="1:6" x14ac:dyDescent="0.25">
      <c r="A133" s="137" t="s">
        <v>15296</v>
      </c>
      <c r="B133" s="137" t="s">
        <v>406</v>
      </c>
      <c r="C133" s="137" t="s">
        <v>314</v>
      </c>
      <c r="D133" s="338">
        <v>12549</v>
      </c>
      <c r="E133" s="137">
        <v>3781</v>
      </c>
      <c r="F133" s="137">
        <v>369</v>
      </c>
    </row>
    <row r="134" spans="1:6" x14ac:dyDescent="0.25">
      <c r="A134" s="137" t="s">
        <v>15134</v>
      </c>
      <c r="B134" s="137" t="s">
        <v>406</v>
      </c>
      <c r="C134" s="137" t="s">
        <v>312</v>
      </c>
      <c r="D134" s="338">
        <v>14950</v>
      </c>
      <c r="E134" s="137">
        <v>3343</v>
      </c>
      <c r="F134" s="137">
        <v>-69</v>
      </c>
    </row>
    <row r="135" spans="1:6" x14ac:dyDescent="0.25">
      <c r="A135" s="137" t="s">
        <v>15560</v>
      </c>
      <c r="B135" s="137" t="s">
        <v>406</v>
      </c>
      <c r="C135" s="137" t="s">
        <v>309</v>
      </c>
      <c r="D135" s="338">
        <v>6195</v>
      </c>
      <c r="E135" s="137">
        <v>3936</v>
      </c>
      <c r="F135" s="137">
        <v>524</v>
      </c>
    </row>
    <row r="136" spans="1:6" x14ac:dyDescent="0.25">
      <c r="A136" s="137" t="s">
        <v>15383</v>
      </c>
      <c r="B136" s="137" t="s">
        <v>406</v>
      </c>
      <c r="C136" s="137" t="s">
        <v>4104</v>
      </c>
      <c r="D136" s="338">
        <v>7747</v>
      </c>
      <c r="E136" s="137">
        <v>3963</v>
      </c>
      <c r="F136" s="137">
        <v>551</v>
      </c>
    </row>
    <row r="137" spans="1:6" x14ac:dyDescent="0.25">
      <c r="A137" s="137" t="s">
        <v>15358</v>
      </c>
      <c r="B137" s="137" t="s">
        <v>406</v>
      </c>
      <c r="C137" s="137" t="s">
        <v>5064</v>
      </c>
      <c r="D137" s="338">
        <v>8846</v>
      </c>
      <c r="E137" s="137">
        <v>3481</v>
      </c>
      <c r="F137" s="137">
        <v>69</v>
      </c>
    </row>
    <row r="138" spans="1:6" x14ac:dyDescent="0.25">
      <c r="A138" s="137" t="s">
        <v>15674</v>
      </c>
      <c r="B138" s="137" t="s">
        <v>406</v>
      </c>
      <c r="C138" s="137" t="s">
        <v>5386</v>
      </c>
      <c r="D138" s="338">
        <v>4843</v>
      </c>
      <c r="E138" s="137">
        <v>4232</v>
      </c>
      <c r="F138" s="137">
        <v>4232</v>
      </c>
    </row>
    <row r="139" spans="1:6" x14ac:dyDescent="0.25">
      <c r="A139" s="137" t="s">
        <v>15510</v>
      </c>
      <c r="B139" s="137" t="s">
        <v>406</v>
      </c>
      <c r="C139" s="137" t="s">
        <v>306</v>
      </c>
      <c r="D139" s="338">
        <v>6571</v>
      </c>
      <c r="E139" s="137">
        <v>4162</v>
      </c>
      <c r="F139" s="137">
        <v>750</v>
      </c>
    </row>
    <row r="140" spans="1:6" x14ac:dyDescent="0.25">
      <c r="A140" s="137" t="s">
        <v>15587</v>
      </c>
      <c r="B140" s="137" t="s">
        <v>406</v>
      </c>
      <c r="C140" s="137" t="s">
        <v>5661</v>
      </c>
      <c r="D140" s="338">
        <v>5886</v>
      </c>
      <c r="E140" s="137">
        <v>3940</v>
      </c>
      <c r="F140" s="137">
        <v>528</v>
      </c>
    </row>
    <row r="141" spans="1:6" x14ac:dyDescent="0.25">
      <c r="A141" s="137" t="s">
        <v>15917</v>
      </c>
      <c r="B141" s="137" t="s">
        <v>406</v>
      </c>
      <c r="C141" s="137" t="s">
        <v>304</v>
      </c>
      <c r="D141" s="338">
        <v>2071</v>
      </c>
      <c r="E141" s="137">
        <v>4645</v>
      </c>
      <c r="F141" s="137">
        <v>1233</v>
      </c>
    </row>
    <row r="142" spans="1:6" x14ac:dyDescent="0.25">
      <c r="A142" s="137" t="s">
        <v>15592</v>
      </c>
      <c r="B142" s="137" t="s">
        <v>406</v>
      </c>
      <c r="C142" s="137" t="s">
        <v>302</v>
      </c>
      <c r="D142" s="338">
        <v>5828</v>
      </c>
      <c r="E142" s="137">
        <v>3557</v>
      </c>
      <c r="F142" s="137">
        <v>3557</v>
      </c>
    </row>
    <row r="143" spans="1:6" x14ac:dyDescent="0.25">
      <c r="A143" s="137" t="s">
        <v>15242</v>
      </c>
      <c r="B143" s="137" t="s">
        <v>406</v>
      </c>
      <c r="C143" s="137" t="s">
        <v>5611</v>
      </c>
      <c r="D143" s="338">
        <v>13422</v>
      </c>
      <c r="E143" s="137">
        <v>5095</v>
      </c>
      <c r="F143" s="137">
        <v>1683</v>
      </c>
    </row>
    <row r="144" spans="1:6" x14ac:dyDescent="0.25">
      <c r="A144" s="137" t="s">
        <v>15851</v>
      </c>
      <c r="B144" s="137" t="s">
        <v>406</v>
      </c>
      <c r="C144" s="137" t="s">
        <v>4414</v>
      </c>
      <c r="D144" s="338">
        <v>3208</v>
      </c>
      <c r="E144" s="137">
        <v>3774</v>
      </c>
      <c r="F144" s="137">
        <v>3774</v>
      </c>
    </row>
    <row r="145" spans="1:6" x14ac:dyDescent="0.25">
      <c r="A145" s="137" t="s">
        <v>15612</v>
      </c>
      <c r="B145" s="137" t="s">
        <v>406</v>
      </c>
      <c r="C145" s="137" t="s">
        <v>5625</v>
      </c>
      <c r="D145" s="338">
        <v>5580</v>
      </c>
      <c r="E145" s="137">
        <v>4175</v>
      </c>
      <c r="F145" s="137">
        <v>763</v>
      </c>
    </row>
    <row r="146" spans="1:6" x14ac:dyDescent="0.25">
      <c r="A146" s="137" t="s">
        <v>15962</v>
      </c>
      <c r="B146" s="137" t="s">
        <v>406</v>
      </c>
      <c r="C146" s="137" t="s">
        <v>300</v>
      </c>
      <c r="D146" s="137">
        <v>424</v>
      </c>
      <c r="E146" s="137">
        <v>3468</v>
      </c>
      <c r="F146" s="137">
        <v>3468</v>
      </c>
    </row>
    <row r="147" spans="1:6" x14ac:dyDescent="0.25">
      <c r="A147" s="137" t="s">
        <v>15880</v>
      </c>
      <c r="B147" s="137" t="s">
        <v>406</v>
      </c>
      <c r="C147" s="137" t="s">
        <v>1882</v>
      </c>
      <c r="D147" s="338">
        <v>2878</v>
      </c>
      <c r="E147" s="137">
        <v>3463</v>
      </c>
      <c r="F147" s="137">
        <v>3463</v>
      </c>
    </row>
    <row r="148" spans="1:6" x14ac:dyDescent="0.25">
      <c r="A148" s="137" t="s">
        <v>15523</v>
      </c>
      <c r="B148" s="137" t="s">
        <v>406</v>
      </c>
      <c r="C148" s="137" t="s">
        <v>5285</v>
      </c>
      <c r="D148" s="338">
        <v>6491</v>
      </c>
      <c r="E148" s="137">
        <v>3206</v>
      </c>
      <c r="F148" s="137">
        <v>3206</v>
      </c>
    </row>
    <row r="149" spans="1:6" x14ac:dyDescent="0.25">
      <c r="A149" s="137" t="s">
        <v>15284</v>
      </c>
      <c r="B149" s="137" t="s">
        <v>406</v>
      </c>
      <c r="C149" s="137" t="s">
        <v>4917</v>
      </c>
      <c r="D149" s="338">
        <v>12781</v>
      </c>
      <c r="E149" s="137">
        <v>2875</v>
      </c>
      <c r="F149" s="137">
        <v>2875</v>
      </c>
    </row>
    <row r="150" spans="1:6" x14ac:dyDescent="0.25">
      <c r="A150" s="137" t="s">
        <v>15213</v>
      </c>
      <c r="B150" s="137" t="s">
        <v>406</v>
      </c>
      <c r="C150" s="137" t="s">
        <v>298</v>
      </c>
      <c r="D150" s="338">
        <v>13758</v>
      </c>
      <c r="E150" s="137">
        <v>5351</v>
      </c>
      <c r="F150" s="137">
        <v>233</v>
      </c>
    </row>
    <row r="151" spans="1:6" x14ac:dyDescent="0.25">
      <c r="A151" s="137" t="s">
        <v>15392</v>
      </c>
      <c r="B151" s="137" t="s">
        <v>406</v>
      </c>
      <c r="C151" s="137" t="s">
        <v>4789</v>
      </c>
      <c r="D151" s="338">
        <v>7584</v>
      </c>
      <c r="E151" s="137">
        <v>2679</v>
      </c>
      <c r="F151" s="137">
        <v>2679</v>
      </c>
    </row>
    <row r="152" spans="1:6" x14ac:dyDescent="0.25">
      <c r="A152" s="137" t="s">
        <v>15574</v>
      </c>
      <c r="B152" s="137" t="s">
        <v>406</v>
      </c>
      <c r="C152" s="137" t="s">
        <v>4568</v>
      </c>
      <c r="D152" s="338">
        <v>6018</v>
      </c>
      <c r="E152" s="137">
        <v>2764</v>
      </c>
      <c r="F152" s="137">
        <v>2764</v>
      </c>
    </row>
    <row r="153" spans="1:6" x14ac:dyDescent="0.25">
      <c r="A153" s="137" t="s">
        <v>15256</v>
      </c>
      <c r="B153" s="137" t="s">
        <v>406</v>
      </c>
      <c r="C153" s="137" t="s">
        <v>4902</v>
      </c>
      <c r="D153" s="338">
        <v>13248</v>
      </c>
      <c r="E153" s="137">
        <v>2852</v>
      </c>
      <c r="F153" s="137">
        <v>2852</v>
      </c>
    </row>
    <row r="154" spans="1:6" x14ac:dyDescent="0.25">
      <c r="A154" s="137" t="s">
        <v>15387</v>
      </c>
      <c r="B154" s="137" t="s">
        <v>406</v>
      </c>
      <c r="C154" s="137" t="s">
        <v>5082</v>
      </c>
      <c r="D154" s="338">
        <v>7654</v>
      </c>
      <c r="E154" s="137">
        <v>2911</v>
      </c>
      <c r="F154" s="137">
        <v>1205</v>
      </c>
    </row>
    <row r="155" spans="1:6" x14ac:dyDescent="0.25">
      <c r="A155" s="137" t="s">
        <v>15488</v>
      </c>
      <c r="B155" s="137" t="s">
        <v>406</v>
      </c>
      <c r="C155" s="137" t="s">
        <v>295</v>
      </c>
      <c r="D155" s="338">
        <v>6716</v>
      </c>
      <c r="E155" s="137">
        <v>3177</v>
      </c>
      <c r="F155" s="137">
        <v>1471</v>
      </c>
    </row>
    <row r="156" spans="1:6" x14ac:dyDescent="0.25">
      <c r="A156" s="137" t="s">
        <v>15772</v>
      </c>
      <c r="B156" s="137" t="s">
        <v>406</v>
      </c>
      <c r="C156" s="137" t="s">
        <v>4447</v>
      </c>
      <c r="D156" s="338">
        <v>3968</v>
      </c>
      <c r="E156" s="137">
        <v>4047</v>
      </c>
      <c r="F156" s="137">
        <v>4047</v>
      </c>
    </row>
    <row r="157" spans="1:6" x14ac:dyDescent="0.25">
      <c r="A157" s="137" t="s">
        <v>15517</v>
      </c>
      <c r="B157" s="137" t="s">
        <v>406</v>
      </c>
      <c r="C157" s="137" t="s">
        <v>5343</v>
      </c>
      <c r="D157" s="338">
        <v>6531</v>
      </c>
      <c r="E157" s="137">
        <v>3116</v>
      </c>
      <c r="F157" s="137">
        <v>3116</v>
      </c>
    </row>
    <row r="158" spans="1:6" x14ac:dyDescent="0.25">
      <c r="A158" s="137" t="s">
        <v>15780</v>
      </c>
      <c r="B158" s="137" t="s">
        <v>406</v>
      </c>
      <c r="C158" s="137" t="s">
        <v>290</v>
      </c>
      <c r="D158" s="338">
        <v>3933</v>
      </c>
      <c r="E158" s="137">
        <v>4846</v>
      </c>
      <c r="F158" s="137">
        <v>4846</v>
      </c>
    </row>
    <row r="159" spans="1:6" x14ac:dyDescent="0.25">
      <c r="A159" s="137" t="s">
        <v>15516</v>
      </c>
      <c r="B159" s="137" t="s">
        <v>406</v>
      </c>
      <c r="C159" s="137" t="s">
        <v>288</v>
      </c>
      <c r="D159" s="338">
        <v>6534</v>
      </c>
      <c r="E159" s="137">
        <v>3367</v>
      </c>
      <c r="F159" s="137">
        <v>3367</v>
      </c>
    </row>
    <row r="160" spans="1:6" x14ac:dyDescent="0.25">
      <c r="A160" s="137" t="s">
        <v>15834</v>
      </c>
      <c r="B160" s="137" t="s">
        <v>406</v>
      </c>
      <c r="C160" s="137" t="s">
        <v>286</v>
      </c>
      <c r="D160" s="338">
        <v>3441</v>
      </c>
      <c r="E160" s="137">
        <v>5050</v>
      </c>
      <c r="F160" s="137">
        <v>5050</v>
      </c>
    </row>
    <row r="161" spans="1:6" x14ac:dyDescent="0.25">
      <c r="A161" s="137" t="s">
        <v>15143</v>
      </c>
      <c r="B161" s="137" t="s">
        <v>406</v>
      </c>
      <c r="C161" s="137" t="s">
        <v>5465</v>
      </c>
      <c r="D161" s="338">
        <v>14625</v>
      </c>
      <c r="E161" s="137">
        <v>3427</v>
      </c>
      <c r="F161" s="137">
        <v>15</v>
      </c>
    </row>
    <row r="162" spans="1:6" x14ac:dyDescent="0.25">
      <c r="A162" s="137" t="s">
        <v>15845</v>
      </c>
      <c r="B162" s="137" t="s">
        <v>406</v>
      </c>
      <c r="C162" s="137" t="s">
        <v>284</v>
      </c>
      <c r="D162" s="338">
        <v>3267</v>
      </c>
      <c r="E162" s="137">
        <v>4515</v>
      </c>
      <c r="F162" s="137">
        <v>-603</v>
      </c>
    </row>
    <row r="163" spans="1:6" x14ac:dyDescent="0.25">
      <c r="A163" s="137" t="s">
        <v>15581</v>
      </c>
      <c r="B163" s="137" t="s">
        <v>406</v>
      </c>
      <c r="C163" s="137" t="s">
        <v>282</v>
      </c>
      <c r="D163" s="338">
        <v>5926</v>
      </c>
      <c r="E163" s="137">
        <v>3650</v>
      </c>
      <c r="F163" s="137">
        <v>238</v>
      </c>
    </row>
    <row r="164" spans="1:6" x14ac:dyDescent="0.25">
      <c r="A164" s="137" t="s">
        <v>15725</v>
      </c>
      <c r="B164" s="137" t="s">
        <v>406</v>
      </c>
      <c r="C164" s="137" t="s">
        <v>5149</v>
      </c>
      <c r="D164" s="338">
        <v>4411</v>
      </c>
      <c r="E164" s="137">
        <v>4358</v>
      </c>
      <c r="F164" s="137">
        <v>4358</v>
      </c>
    </row>
    <row r="165" spans="1:6" x14ac:dyDescent="0.25">
      <c r="A165" s="137" t="s">
        <v>15703</v>
      </c>
      <c r="B165" s="137" t="s">
        <v>406</v>
      </c>
      <c r="C165" s="137" t="s">
        <v>5194</v>
      </c>
      <c r="D165" s="338">
        <v>4645</v>
      </c>
      <c r="E165" s="137">
        <v>3999</v>
      </c>
      <c r="F165" s="137">
        <v>3999</v>
      </c>
    </row>
    <row r="166" spans="1:6" x14ac:dyDescent="0.25">
      <c r="A166" s="137" t="s">
        <v>15667</v>
      </c>
      <c r="B166" s="137" t="s">
        <v>406</v>
      </c>
      <c r="C166" s="137" t="s">
        <v>279</v>
      </c>
      <c r="D166" s="338">
        <v>4928</v>
      </c>
      <c r="E166" s="137">
        <v>4690</v>
      </c>
      <c r="F166" s="137">
        <v>4690</v>
      </c>
    </row>
    <row r="167" spans="1:6" x14ac:dyDescent="0.25">
      <c r="A167" s="137" t="s">
        <v>15738</v>
      </c>
      <c r="B167" s="137" t="s">
        <v>406</v>
      </c>
      <c r="C167" s="137" t="s">
        <v>277</v>
      </c>
      <c r="D167" s="338">
        <v>4273</v>
      </c>
      <c r="E167" s="137">
        <v>5957</v>
      </c>
      <c r="F167" s="137">
        <v>839</v>
      </c>
    </row>
    <row r="168" spans="1:6" x14ac:dyDescent="0.25">
      <c r="A168" s="137" t="s">
        <v>15875</v>
      </c>
      <c r="B168" s="137" t="s">
        <v>406</v>
      </c>
      <c r="C168" s="137" t="s">
        <v>275</v>
      </c>
      <c r="D168" s="338">
        <v>3004</v>
      </c>
      <c r="E168" s="137">
        <v>5240</v>
      </c>
      <c r="F168" s="137">
        <v>-1584</v>
      </c>
    </row>
    <row r="169" spans="1:6" x14ac:dyDescent="0.25">
      <c r="A169" s="137" t="s">
        <v>15451</v>
      </c>
      <c r="B169" s="137" t="s">
        <v>406</v>
      </c>
      <c r="C169" s="137" t="s">
        <v>273</v>
      </c>
      <c r="D169" s="338">
        <v>6975</v>
      </c>
      <c r="E169" s="137">
        <v>3622</v>
      </c>
      <c r="F169" s="137">
        <v>3622</v>
      </c>
    </row>
    <row r="170" spans="1:6" x14ac:dyDescent="0.25">
      <c r="A170" s="137" t="s">
        <v>15698</v>
      </c>
      <c r="B170" s="137" t="s">
        <v>406</v>
      </c>
      <c r="C170" s="137" t="s">
        <v>272</v>
      </c>
      <c r="D170" s="338">
        <v>4674</v>
      </c>
      <c r="E170" s="137">
        <v>3588</v>
      </c>
      <c r="F170" s="137">
        <v>176</v>
      </c>
    </row>
    <row r="171" spans="1:6" x14ac:dyDescent="0.25">
      <c r="A171" s="137" t="s">
        <v>15481</v>
      </c>
      <c r="B171" s="137" t="s">
        <v>406</v>
      </c>
      <c r="C171" s="137" t="s">
        <v>3984</v>
      </c>
      <c r="D171" s="338">
        <v>6750</v>
      </c>
      <c r="E171" s="137">
        <v>3528</v>
      </c>
      <c r="F171" s="137">
        <v>3528</v>
      </c>
    </row>
    <row r="172" spans="1:6" x14ac:dyDescent="0.25">
      <c r="A172" s="137" t="s">
        <v>15485</v>
      </c>
      <c r="B172" s="137" t="s">
        <v>406</v>
      </c>
      <c r="C172" s="137" t="s">
        <v>270</v>
      </c>
      <c r="D172" s="338">
        <v>6734</v>
      </c>
      <c r="E172" s="137">
        <v>4493</v>
      </c>
      <c r="F172" s="137">
        <v>1081</v>
      </c>
    </row>
    <row r="173" spans="1:6" x14ac:dyDescent="0.25">
      <c r="A173" s="137" t="s">
        <v>15275</v>
      </c>
      <c r="B173" s="137" t="s">
        <v>406</v>
      </c>
      <c r="C173" s="137" t="s">
        <v>485</v>
      </c>
      <c r="D173" s="338">
        <v>12896</v>
      </c>
      <c r="E173" s="137">
        <v>3497</v>
      </c>
      <c r="F173" s="137">
        <v>3497</v>
      </c>
    </row>
    <row r="174" spans="1:6" x14ac:dyDescent="0.25">
      <c r="A174" s="137" t="s">
        <v>19823</v>
      </c>
      <c r="B174" s="137" t="s">
        <v>406</v>
      </c>
      <c r="C174" s="137" t="s">
        <v>2848</v>
      </c>
      <c r="D174" s="338">
        <v>3538</v>
      </c>
      <c r="E174" s="137">
        <v>3935</v>
      </c>
      <c r="F174" s="137">
        <v>3935</v>
      </c>
    </row>
    <row r="175" spans="1:6" x14ac:dyDescent="0.25">
      <c r="A175" s="137" t="s">
        <v>15603</v>
      </c>
      <c r="B175" s="137" t="s">
        <v>406</v>
      </c>
      <c r="C175" s="137" t="s">
        <v>268</v>
      </c>
      <c r="D175" s="338">
        <v>5683</v>
      </c>
      <c r="E175" s="137">
        <v>4269</v>
      </c>
      <c r="F175" s="137">
        <v>4269</v>
      </c>
    </row>
    <row r="176" spans="1:6" x14ac:dyDescent="0.25">
      <c r="A176" s="137" t="s">
        <v>15758</v>
      </c>
      <c r="B176" s="137" t="s">
        <v>406</v>
      </c>
      <c r="C176" s="137" t="s">
        <v>5471</v>
      </c>
      <c r="D176" s="338">
        <v>4078</v>
      </c>
      <c r="E176" s="137">
        <v>5200</v>
      </c>
      <c r="F176" s="137">
        <v>5200</v>
      </c>
    </row>
    <row r="177" spans="1:6" x14ac:dyDescent="0.25">
      <c r="A177" s="137" t="s">
        <v>15916</v>
      </c>
      <c r="B177" s="137" t="s">
        <v>406</v>
      </c>
      <c r="C177" s="137" t="s">
        <v>3235</v>
      </c>
      <c r="D177" s="338">
        <v>2109</v>
      </c>
      <c r="E177" s="137">
        <v>3321</v>
      </c>
      <c r="F177" s="137">
        <v>3321</v>
      </c>
    </row>
    <row r="178" spans="1:6" x14ac:dyDescent="0.25">
      <c r="A178" s="137" t="s">
        <v>15960</v>
      </c>
      <c r="B178" s="137" t="s">
        <v>406</v>
      </c>
      <c r="C178" s="137" t="s">
        <v>263</v>
      </c>
      <c r="D178" s="137">
        <v>622</v>
      </c>
      <c r="E178" s="137">
        <v>5045</v>
      </c>
      <c r="F178" s="137">
        <v>5045</v>
      </c>
    </row>
    <row r="179" spans="1:6" x14ac:dyDescent="0.25">
      <c r="A179" s="137" t="s">
        <v>15276</v>
      </c>
      <c r="B179" s="137" t="s">
        <v>406</v>
      </c>
      <c r="C179" s="137" t="s">
        <v>261</v>
      </c>
      <c r="D179" s="338">
        <v>12864</v>
      </c>
      <c r="E179" s="137">
        <v>3585</v>
      </c>
      <c r="F179" s="137">
        <v>173</v>
      </c>
    </row>
    <row r="180" spans="1:6" x14ac:dyDescent="0.25">
      <c r="A180" s="137" t="s">
        <v>15434</v>
      </c>
      <c r="B180" s="137" t="s">
        <v>406</v>
      </c>
      <c r="C180" s="137" t="s">
        <v>5333</v>
      </c>
      <c r="D180" s="338">
        <v>7115</v>
      </c>
      <c r="E180" s="137">
        <v>3023</v>
      </c>
      <c r="F180" s="137">
        <v>3023</v>
      </c>
    </row>
    <row r="181" spans="1:6" x14ac:dyDescent="0.25">
      <c r="A181" s="137" t="s">
        <v>15618</v>
      </c>
      <c r="B181" s="137" t="s">
        <v>406</v>
      </c>
      <c r="C181" s="137" t="s">
        <v>259</v>
      </c>
      <c r="D181" s="338">
        <v>5548</v>
      </c>
      <c r="E181" s="137">
        <v>4667</v>
      </c>
      <c r="F181" s="137">
        <v>1255</v>
      </c>
    </row>
    <row r="182" spans="1:6" x14ac:dyDescent="0.25">
      <c r="A182" s="137" t="s">
        <v>15894</v>
      </c>
      <c r="B182" s="137" t="s">
        <v>406</v>
      </c>
      <c r="C182" s="137" t="s">
        <v>4935</v>
      </c>
      <c r="D182" s="338">
        <v>2584</v>
      </c>
      <c r="E182" s="137">
        <v>4090</v>
      </c>
      <c r="F182" s="137">
        <v>4090</v>
      </c>
    </row>
    <row r="183" spans="1:6" x14ac:dyDescent="0.25">
      <c r="A183" s="137" t="s">
        <v>15885</v>
      </c>
      <c r="B183" s="137" t="s">
        <v>406</v>
      </c>
      <c r="C183" s="137" t="s">
        <v>5283</v>
      </c>
      <c r="D183" s="338">
        <v>2800</v>
      </c>
      <c r="E183" s="137">
        <v>4940</v>
      </c>
      <c r="F183" s="137">
        <v>4940</v>
      </c>
    </row>
    <row r="184" spans="1:6" x14ac:dyDescent="0.25">
      <c r="A184" s="137" t="s">
        <v>15788</v>
      </c>
      <c r="B184" s="137" t="s">
        <v>406</v>
      </c>
      <c r="C184" s="137" t="s">
        <v>5043</v>
      </c>
      <c r="D184" s="338">
        <v>3874</v>
      </c>
      <c r="E184" s="137">
        <v>4217</v>
      </c>
      <c r="F184" s="137">
        <v>4217</v>
      </c>
    </row>
    <row r="185" spans="1:6" x14ac:dyDescent="0.25">
      <c r="A185" s="137" t="s">
        <v>15263</v>
      </c>
      <c r="B185" s="137" t="s">
        <v>406</v>
      </c>
      <c r="C185" s="137" t="s">
        <v>5499</v>
      </c>
      <c r="D185" s="338">
        <v>13131</v>
      </c>
      <c r="E185" s="137">
        <v>3241</v>
      </c>
      <c r="F185" s="137">
        <v>3241</v>
      </c>
    </row>
    <row r="186" spans="1:6" x14ac:dyDescent="0.25">
      <c r="A186" s="137" t="s">
        <v>15938</v>
      </c>
      <c r="B186" s="137" t="s">
        <v>406</v>
      </c>
      <c r="C186" s="137" t="s">
        <v>254</v>
      </c>
      <c r="D186" s="338">
        <v>1616</v>
      </c>
      <c r="E186" s="137">
        <v>5209</v>
      </c>
      <c r="F186" s="137">
        <v>-1615</v>
      </c>
    </row>
    <row r="187" spans="1:6" x14ac:dyDescent="0.25">
      <c r="A187" s="137" t="s">
        <v>15675</v>
      </c>
      <c r="B187" s="137" t="s">
        <v>406</v>
      </c>
      <c r="C187" s="137" t="s">
        <v>252</v>
      </c>
      <c r="D187" s="338">
        <v>4836</v>
      </c>
      <c r="E187" s="137">
        <v>3908</v>
      </c>
      <c r="F187" s="137">
        <v>496</v>
      </c>
    </row>
    <row r="188" spans="1:6" x14ac:dyDescent="0.25">
      <c r="A188" s="137" t="s">
        <v>15541</v>
      </c>
      <c r="B188" s="137" t="s">
        <v>406</v>
      </c>
      <c r="C188" s="137" t="s">
        <v>249</v>
      </c>
      <c r="D188" s="338">
        <v>6343</v>
      </c>
      <c r="E188" s="137">
        <v>3874</v>
      </c>
      <c r="F188" s="137">
        <v>462</v>
      </c>
    </row>
    <row r="189" spans="1:6" x14ac:dyDescent="0.25">
      <c r="A189" s="137" t="s">
        <v>15257</v>
      </c>
      <c r="B189" s="137" t="s">
        <v>406</v>
      </c>
      <c r="C189" s="137" t="s">
        <v>4744</v>
      </c>
      <c r="D189" s="338">
        <v>13243</v>
      </c>
      <c r="E189" s="137">
        <v>2806</v>
      </c>
      <c r="F189" s="137">
        <v>2806</v>
      </c>
    </row>
    <row r="190" spans="1:6" x14ac:dyDescent="0.25">
      <c r="A190" s="137" t="s">
        <v>15932</v>
      </c>
      <c r="B190" s="137" t="s">
        <v>406</v>
      </c>
      <c r="C190" s="137" t="s">
        <v>248</v>
      </c>
      <c r="D190" s="338">
        <v>1793</v>
      </c>
      <c r="E190" s="137">
        <v>4176</v>
      </c>
      <c r="F190" s="137">
        <v>-942</v>
      </c>
    </row>
    <row r="191" spans="1:6" x14ac:dyDescent="0.25">
      <c r="A191" s="137" t="s">
        <v>15958</v>
      </c>
      <c r="B191" s="137" t="s">
        <v>406</v>
      </c>
      <c r="C191" s="137" t="s">
        <v>246</v>
      </c>
      <c r="D191" s="137">
        <v>714</v>
      </c>
      <c r="E191" s="137">
        <v>4162</v>
      </c>
      <c r="F191" s="137">
        <v>4162</v>
      </c>
    </row>
    <row r="192" spans="1:6" x14ac:dyDescent="0.25">
      <c r="A192" s="137" t="s">
        <v>15935</v>
      </c>
      <c r="B192" s="137" t="s">
        <v>406</v>
      </c>
      <c r="C192" s="137" t="s">
        <v>244</v>
      </c>
      <c r="D192" s="338">
        <v>1736</v>
      </c>
      <c r="E192" s="137">
        <v>3953</v>
      </c>
      <c r="F192" s="137">
        <v>3953</v>
      </c>
    </row>
    <row r="193" spans="1:6" x14ac:dyDescent="0.25">
      <c r="A193" s="137" t="s">
        <v>15912</v>
      </c>
      <c r="B193" s="137" t="s">
        <v>406</v>
      </c>
      <c r="C193" s="137" t="s">
        <v>242</v>
      </c>
      <c r="D193" s="338">
        <v>2283</v>
      </c>
      <c r="E193" s="137">
        <v>4331</v>
      </c>
      <c r="F193" s="137">
        <v>-787</v>
      </c>
    </row>
    <row r="194" spans="1:6" x14ac:dyDescent="0.25">
      <c r="A194" s="137" t="s">
        <v>15955</v>
      </c>
      <c r="B194" s="137" t="s">
        <v>406</v>
      </c>
      <c r="C194" s="137" t="s">
        <v>240</v>
      </c>
      <c r="D194" s="137">
        <v>911</v>
      </c>
      <c r="E194" s="137">
        <v>4315</v>
      </c>
      <c r="F194" s="137">
        <v>4315</v>
      </c>
    </row>
    <row r="195" spans="1:6" x14ac:dyDescent="0.25">
      <c r="A195" s="137" t="s">
        <v>15828</v>
      </c>
      <c r="B195" s="137" t="s">
        <v>406</v>
      </c>
      <c r="C195" s="137" t="s">
        <v>5639</v>
      </c>
      <c r="D195" s="338">
        <v>3519</v>
      </c>
      <c r="E195" s="137">
        <v>5076</v>
      </c>
      <c r="F195" s="137">
        <v>5076</v>
      </c>
    </row>
    <row r="196" spans="1:6" x14ac:dyDescent="0.25">
      <c r="A196" s="137" t="s">
        <v>15297</v>
      </c>
      <c r="B196" s="137" t="s">
        <v>406</v>
      </c>
      <c r="C196" s="137" t="s">
        <v>238</v>
      </c>
      <c r="D196" s="338">
        <v>12535</v>
      </c>
      <c r="E196" s="137">
        <v>3916</v>
      </c>
      <c r="F196" s="137">
        <v>504</v>
      </c>
    </row>
    <row r="197" spans="1:6" x14ac:dyDescent="0.25">
      <c r="A197" s="137" t="s">
        <v>15718</v>
      </c>
      <c r="B197" s="137" t="s">
        <v>406</v>
      </c>
      <c r="C197" s="137" t="s">
        <v>2313</v>
      </c>
      <c r="D197" s="338">
        <v>4476</v>
      </c>
      <c r="E197" s="137">
        <v>3399</v>
      </c>
      <c r="F197" s="137">
        <v>3399</v>
      </c>
    </row>
    <row r="198" spans="1:6" x14ac:dyDescent="0.25">
      <c r="A198" s="137" t="s">
        <v>15453</v>
      </c>
      <c r="B198" s="137" t="s">
        <v>406</v>
      </c>
      <c r="C198" s="137" t="s">
        <v>234</v>
      </c>
      <c r="D198" s="338">
        <v>6965</v>
      </c>
      <c r="E198" s="137">
        <v>5400</v>
      </c>
      <c r="F198" s="137">
        <v>5400</v>
      </c>
    </row>
    <row r="199" spans="1:6" x14ac:dyDescent="0.25">
      <c r="A199" s="137" t="s">
        <v>15704</v>
      </c>
      <c r="B199" s="137" t="s">
        <v>406</v>
      </c>
      <c r="C199" s="137" t="s">
        <v>2868</v>
      </c>
      <c r="D199" s="338">
        <v>4618</v>
      </c>
      <c r="E199" s="137">
        <v>3128</v>
      </c>
      <c r="F199" s="137">
        <v>3128</v>
      </c>
    </row>
    <row r="200" spans="1:6" x14ac:dyDescent="0.25">
      <c r="A200" s="137" t="s">
        <v>15835</v>
      </c>
      <c r="B200" s="137" t="s">
        <v>406</v>
      </c>
      <c r="C200" s="137" t="s">
        <v>4915</v>
      </c>
      <c r="D200" s="338">
        <v>3422</v>
      </c>
      <c r="E200" s="137">
        <v>4314</v>
      </c>
      <c r="F200" s="137">
        <v>4314</v>
      </c>
    </row>
    <row r="201" spans="1:6" x14ac:dyDescent="0.25">
      <c r="A201" s="137" t="s">
        <v>15811</v>
      </c>
      <c r="B201" s="137" t="s">
        <v>406</v>
      </c>
      <c r="C201" s="137" t="s">
        <v>1656</v>
      </c>
      <c r="D201" s="338">
        <v>3666</v>
      </c>
      <c r="E201" s="137">
        <v>3697</v>
      </c>
      <c r="F201" s="137">
        <v>3697</v>
      </c>
    </row>
    <row r="202" spans="1:6" x14ac:dyDescent="0.25">
      <c r="A202" s="137" t="s">
        <v>15439</v>
      </c>
      <c r="B202" s="137" t="s">
        <v>406</v>
      </c>
      <c r="C202" s="137" t="s">
        <v>2907</v>
      </c>
      <c r="D202" s="338">
        <v>7070</v>
      </c>
      <c r="E202" s="137">
        <v>4337</v>
      </c>
      <c r="F202" s="137">
        <v>4337</v>
      </c>
    </row>
    <row r="203" spans="1:6" x14ac:dyDescent="0.25">
      <c r="A203" s="137" t="s">
        <v>15460</v>
      </c>
      <c r="B203" s="137" t="s">
        <v>406</v>
      </c>
      <c r="C203" s="137" t="s">
        <v>5452</v>
      </c>
      <c r="D203" s="338">
        <v>6903</v>
      </c>
      <c r="E203" s="137">
        <v>5730</v>
      </c>
      <c r="F203" s="137">
        <v>5730</v>
      </c>
    </row>
    <row r="204" spans="1:6" x14ac:dyDescent="0.25">
      <c r="A204" s="137" t="s">
        <v>15865</v>
      </c>
      <c r="B204" s="137" t="s">
        <v>406</v>
      </c>
      <c r="C204" s="137" t="s">
        <v>229</v>
      </c>
      <c r="D204" s="338">
        <v>3070</v>
      </c>
      <c r="E204" s="137">
        <v>4183</v>
      </c>
      <c r="F204" s="137">
        <v>-935</v>
      </c>
    </row>
    <row r="205" spans="1:6" x14ac:dyDescent="0.25">
      <c r="A205" s="137" t="s">
        <v>15363</v>
      </c>
      <c r="B205" s="137" t="s">
        <v>406</v>
      </c>
      <c r="C205" s="137" t="s">
        <v>227</v>
      </c>
      <c r="D205" s="338">
        <v>8371</v>
      </c>
      <c r="E205" s="137">
        <v>3307</v>
      </c>
      <c r="F205" s="137">
        <v>3307</v>
      </c>
    </row>
    <row r="206" spans="1:6" x14ac:dyDescent="0.25">
      <c r="A206" s="137" t="s">
        <v>15910</v>
      </c>
      <c r="B206" s="137" t="s">
        <v>406</v>
      </c>
      <c r="C206" s="137" t="s">
        <v>4172</v>
      </c>
      <c r="D206" s="338">
        <v>2295</v>
      </c>
      <c r="E206" s="137">
        <v>3470</v>
      </c>
      <c r="F206" s="137">
        <v>3470</v>
      </c>
    </row>
    <row r="207" spans="1:6" x14ac:dyDescent="0.25">
      <c r="A207" s="137" t="s">
        <v>15666</v>
      </c>
      <c r="B207" s="137" t="s">
        <v>406</v>
      </c>
      <c r="C207" s="137" t="s">
        <v>5275</v>
      </c>
      <c r="D207" s="338">
        <v>4931</v>
      </c>
      <c r="E207" s="137">
        <v>3333</v>
      </c>
      <c r="F207" s="137">
        <v>1627</v>
      </c>
    </row>
    <row r="208" spans="1:6" x14ac:dyDescent="0.25">
      <c r="A208" s="137" t="s">
        <v>15956</v>
      </c>
      <c r="B208" s="137" t="s">
        <v>406</v>
      </c>
      <c r="C208" s="137" t="s">
        <v>224</v>
      </c>
      <c r="D208" s="137">
        <v>874</v>
      </c>
      <c r="E208" s="137">
        <v>5128</v>
      </c>
      <c r="F208" s="137">
        <v>5128</v>
      </c>
    </row>
    <row r="209" spans="1:6" x14ac:dyDescent="0.25">
      <c r="A209" s="137" t="s">
        <v>15717</v>
      </c>
      <c r="B209" s="137" t="s">
        <v>406</v>
      </c>
      <c r="C209" s="137" t="s">
        <v>5265</v>
      </c>
      <c r="D209" s="338">
        <v>4480</v>
      </c>
      <c r="E209" s="137">
        <v>4397</v>
      </c>
      <c r="F209" s="137">
        <v>4397</v>
      </c>
    </row>
    <row r="210" spans="1:6" x14ac:dyDescent="0.25">
      <c r="A210" s="137" t="s">
        <v>15536</v>
      </c>
      <c r="B210" s="137" t="s">
        <v>406</v>
      </c>
      <c r="C210" s="137" t="s">
        <v>221</v>
      </c>
      <c r="D210" s="338">
        <v>6407</v>
      </c>
      <c r="E210" s="137">
        <v>3609</v>
      </c>
      <c r="F210" s="137">
        <v>3609</v>
      </c>
    </row>
    <row r="211" spans="1:6" x14ac:dyDescent="0.25">
      <c r="A211" s="137" t="s">
        <v>15407</v>
      </c>
      <c r="B211" s="137" t="s">
        <v>406</v>
      </c>
      <c r="C211" s="137" t="s">
        <v>2374</v>
      </c>
      <c r="D211" s="338">
        <v>7419</v>
      </c>
      <c r="E211" s="137">
        <v>3473</v>
      </c>
      <c r="F211" s="137">
        <v>3473</v>
      </c>
    </row>
    <row r="212" spans="1:6" x14ac:dyDescent="0.25">
      <c r="A212" s="137" t="s">
        <v>15546</v>
      </c>
      <c r="B212" s="137" t="s">
        <v>406</v>
      </c>
      <c r="C212" s="137" t="s">
        <v>219</v>
      </c>
      <c r="D212" s="338">
        <v>6326</v>
      </c>
      <c r="E212" s="137">
        <v>3858</v>
      </c>
      <c r="F212" s="137">
        <v>446</v>
      </c>
    </row>
    <row r="213" spans="1:6" x14ac:dyDescent="0.25">
      <c r="A213" s="137" t="s">
        <v>15964</v>
      </c>
      <c r="B213" s="137" t="s">
        <v>406</v>
      </c>
      <c r="C213" s="137" t="s">
        <v>11164</v>
      </c>
      <c r="D213" s="338">
        <v>4811</v>
      </c>
      <c r="E213" s="137">
        <v>4991</v>
      </c>
      <c r="F213" s="137">
        <v>-127</v>
      </c>
    </row>
    <row r="214" spans="1:6" x14ac:dyDescent="0.25">
      <c r="A214" s="137" t="s">
        <v>15857</v>
      </c>
      <c r="B214" s="137" t="s">
        <v>406</v>
      </c>
      <c r="C214" s="137" t="s">
        <v>217</v>
      </c>
      <c r="D214" s="338">
        <v>3142</v>
      </c>
      <c r="E214" s="137">
        <v>5443</v>
      </c>
      <c r="F214" s="137">
        <v>5443</v>
      </c>
    </row>
    <row r="215" spans="1:6" x14ac:dyDescent="0.25">
      <c r="A215" s="137" t="s">
        <v>15842</v>
      </c>
      <c r="B215" s="137" t="s">
        <v>406</v>
      </c>
      <c r="C215" s="137" t="s">
        <v>215</v>
      </c>
      <c r="D215" s="338">
        <v>3307</v>
      </c>
      <c r="E215" s="137">
        <v>5788</v>
      </c>
      <c r="F215" s="137">
        <v>670</v>
      </c>
    </row>
    <row r="216" spans="1:6" x14ac:dyDescent="0.25">
      <c r="A216" s="137" t="s">
        <v>15260</v>
      </c>
      <c r="B216" s="137" t="s">
        <v>406</v>
      </c>
      <c r="C216" s="137" t="s">
        <v>5095</v>
      </c>
      <c r="D216" s="338">
        <v>13158</v>
      </c>
      <c r="E216" s="137">
        <v>2946</v>
      </c>
      <c r="F216" s="137">
        <v>2946</v>
      </c>
    </row>
    <row r="217" spans="1:6" x14ac:dyDescent="0.25">
      <c r="A217" s="137" t="s">
        <v>15883</v>
      </c>
      <c r="B217" s="137" t="s">
        <v>406</v>
      </c>
      <c r="C217" s="137" t="s">
        <v>3586</v>
      </c>
      <c r="D217" s="338">
        <v>2810</v>
      </c>
      <c r="E217" s="137">
        <v>3767</v>
      </c>
      <c r="F217" s="137">
        <v>3767</v>
      </c>
    </row>
    <row r="218" spans="1:6" x14ac:dyDescent="0.25">
      <c r="A218" s="137" t="s">
        <v>15869</v>
      </c>
      <c r="B218" s="137" t="s">
        <v>406</v>
      </c>
      <c r="C218" s="137" t="s">
        <v>4160</v>
      </c>
      <c r="D218" s="338">
        <v>3051</v>
      </c>
      <c r="E218" s="137">
        <v>4179</v>
      </c>
      <c r="F218" s="137">
        <v>4179</v>
      </c>
    </row>
    <row r="219" spans="1:6" x14ac:dyDescent="0.25">
      <c r="A219" s="137" t="s">
        <v>15939</v>
      </c>
      <c r="B219" s="137" t="s">
        <v>406</v>
      </c>
      <c r="C219" s="137" t="s">
        <v>5037</v>
      </c>
      <c r="D219" s="338">
        <v>1592</v>
      </c>
      <c r="E219" s="137">
        <v>4951</v>
      </c>
      <c r="F219" s="137">
        <v>4951</v>
      </c>
    </row>
    <row r="220" spans="1:6" x14ac:dyDescent="0.25">
      <c r="A220" s="137" t="s">
        <v>15817</v>
      </c>
      <c r="B220" s="137" t="s">
        <v>406</v>
      </c>
      <c r="C220" s="137" t="s">
        <v>211</v>
      </c>
      <c r="D220" s="338">
        <v>3625</v>
      </c>
      <c r="E220" s="137">
        <v>5531</v>
      </c>
      <c r="F220" s="137">
        <v>413</v>
      </c>
    </row>
    <row r="221" spans="1:6" x14ac:dyDescent="0.25">
      <c r="A221" s="137" t="s">
        <v>15826</v>
      </c>
      <c r="B221" s="137" t="s">
        <v>406</v>
      </c>
      <c r="C221" s="137" t="s">
        <v>5406</v>
      </c>
      <c r="D221" s="338">
        <v>3536</v>
      </c>
      <c r="E221" s="137">
        <v>4861</v>
      </c>
      <c r="F221" s="137">
        <v>4861</v>
      </c>
    </row>
    <row r="222" spans="1:6" x14ac:dyDescent="0.25">
      <c r="A222" s="137" t="s">
        <v>15616</v>
      </c>
      <c r="B222" s="137" t="s">
        <v>406</v>
      </c>
      <c r="C222" s="137" t="s">
        <v>4764</v>
      </c>
      <c r="D222" s="338">
        <v>5558</v>
      </c>
      <c r="E222" s="137">
        <v>3130</v>
      </c>
      <c r="F222" s="137">
        <v>3130</v>
      </c>
    </row>
    <row r="223" spans="1:6" x14ac:dyDescent="0.25">
      <c r="A223" s="137" t="s">
        <v>15786</v>
      </c>
      <c r="B223" s="137" t="s">
        <v>406</v>
      </c>
      <c r="C223" s="137" t="s">
        <v>5373</v>
      </c>
      <c r="D223" s="338">
        <v>3876</v>
      </c>
      <c r="E223" s="137">
        <v>4496</v>
      </c>
      <c r="F223" s="137">
        <v>4496</v>
      </c>
    </row>
    <row r="224" spans="1:6" x14ac:dyDescent="0.25">
      <c r="A224" s="137" t="s">
        <v>15724</v>
      </c>
      <c r="B224" s="137" t="s">
        <v>406</v>
      </c>
      <c r="C224" s="137" t="s">
        <v>3699</v>
      </c>
      <c r="D224" s="338">
        <v>4416</v>
      </c>
      <c r="E224" s="137">
        <v>3773</v>
      </c>
      <c r="F224" s="137">
        <v>3773</v>
      </c>
    </row>
    <row r="225" spans="1:6" x14ac:dyDescent="0.25">
      <c r="A225" s="137" t="s">
        <v>15199</v>
      </c>
      <c r="B225" s="137" t="s">
        <v>406</v>
      </c>
      <c r="C225" s="137" t="s">
        <v>5754</v>
      </c>
      <c r="D225" s="338">
        <v>14002</v>
      </c>
      <c r="E225" s="137">
        <v>2919</v>
      </c>
      <c r="F225" s="137">
        <v>-493</v>
      </c>
    </row>
    <row r="226" spans="1:6" x14ac:dyDescent="0.25">
      <c r="A226" s="137" t="s">
        <v>15605</v>
      </c>
      <c r="B226" s="137" t="s">
        <v>406</v>
      </c>
      <c r="C226" s="137" t="s">
        <v>204</v>
      </c>
      <c r="D226" s="338">
        <v>5646</v>
      </c>
      <c r="E226" s="137">
        <v>4169</v>
      </c>
      <c r="F226" s="137">
        <v>4169</v>
      </c>
    </row>
    <row r="227" spans="1:6" x14ac:dyDescent="0.25">
      <c r="A227" s="137" t="s">
        <v>15402</v>
      </c>
      <c r="B227" s="137" t="s">
        <v>406</v>
      </c>
      <c r="C227" s="137" t="s">
        <v>4590</v>
      </c>
      <c r="D227" s="338">
        <v>7465</v>
      </c>
      <c r="E227" s="137">
        <v>2658</v>
      </c>
      <c r="F227" s="137">
        <v>2658</v>
      </c>
    </row>
    <row r="228" spans="1:6" x14ac:dyDescent="0.25">
      <c r="A228" s="137" t="s">
        <v>15428</v>
      </c>
      <c r="B228" s="137" t="s">
        <v>406</v>
      </c>
      <c r="C228" s="137" t="s">
        <v>200</v>
      </c>
      <c r="D228" s="338">
        <v>7195</v>
      </c>
      <c r="E228" s="137">
        <v>3953</v>
      </c>
      <c r="F228" s="137">
        <v>541</v>
      </c>
    </row>
    <row r="229" spans="1:6" x14ac:dyDescent="0.25">
      <c r="A229" s="137" t="s">
        <v>15944</v>
      </c>
      <c r="B229" s="137" t="s">
        <v>406</v>
      </c>
      <c r="C229" s="137" t="s">
        <v>198</v>
      </c>
      <c r="D229" s="338">
        <v>1391</v>
      </c>
      <c r="E229" s="137">
        <v>5094</v>
      </c>
      <c r="F229" s="137">
        <v>1682</v>
      </c>
    </row>
    <row r="230" spans="1:6" x14ac:dyDescent="0.25">
      <c r="A230" s="137" t="s">
        <v>15425</v>
      </c>
      <c r="B230" s="137" t="s">
        <v>406</v>
      </c>
      <c r="C230" s="137" t="s">
        <v>195</v>
      </c>
      <c r="D230" s="338">
        <v>7215</v>
      </c>
      <c r="E230" s="137">
        <v>4136</v>
      </c>
      <c r="F230" s="137">
        <v>724</v>
      </c>
    </row>
    <row r="231" spans="1:6" x14ac:dyDescent="0.25">
      <c r="A231" s="137" t="s">
        <v>15822</v>
      </c>
      <c r="B231" s="137" t="s">
        <v>406</v>
      </c>
      <c r="C231" s="137" t="s">
        <v>5141</v>
      </c>
      <c r="D231" s="338">
        <v>3567</v>
      </c>
      <c r="E231" s="137">
        <v>4556</v>
      </c>
      <c r="F231" s="137">
        <v>4556</v>
      </c>
    </row>
    <row r="232" spans="1:6" x14ac:dyDescent="0.25">
      <c r="A232" s="137" t="s">
        <v>15454</v>
      </c>
      <c r="B232" s="137" t="s">
        <v>406</v>
      </c>
      <c r="C232" s="137" t="s">
        <v>4671</v>
      </c>
      <c r="D232" s="338">
        <v>6963</v>
      </c>
      <c r="E232" s="137">
        <v>2460</v>
      </c>
      <c r="F232" s="137">
        <v>2460</v>
      </c>
    </row>
    <row r="233" spans="1:6" x14ac:dyDescent="0.25">
      <c r="A233" s="137" t="s">
        <v>15371</v>
      </c>
      <c r="B233" s="137" t="s">
        <v>406</v>
      </c>
      <c r="C233" s="137" t="s">
        <v>193</v>
      </c>
      <c r="D233" s="338">
        <v>8019</v>
      </c>
      <c r="E233" s="137">
        <v>3928</v>
      </c>
      <c r="F233" s="137">
        <v>516</v>
      </c>
    </row>
    <row r="234" spans="1:6" x14ac:dyDescent="0.25">
      <c r="A234" s="137" t="s">
        <v>15544</v>
      </c>
      <c r="B234" s="137" t="s">
        <v>406</v>
      </c>
      <c r="C234" s="137" t="s">
        <v>4545</v>
      </c>
      <c r="D234" s="338">
        <v>6335</v>
      </c>
      <c r="E234" s="137">
        <v>2780</v>
      </c>
      <c r="F234" s="137">
        <v>2780</v>
      </c>
    </row>
    <row r="235" spans="1:6" x14ac:dyDescent="0.25">
      <c r="A235" s="137" t="s">
        <v>15566</v>
      </c>
      <c r="B235" s="137" t="s">
        <v>406</v>
      </c>
      <c r="C235" s="137" t="s">
        <v>4402</v>
      </c>
      <c r="D235" s="338">
        <v>6136</v>
      </c>
      <c r="E235" s="137">
        <v>2712</v>
      </c>
      <c r="F235" s="137">
        <v>2712</v>
      </c>
    </row>
    <row r="236" spans="1:6" x14ac:dyDescent="0.25">
      <c r="A236" s="137" t="s">
        <v>15388</v>
      </c>
      <c r="B236" s="137" t="s">
        <v>406</v>
      </c>
      <c r="C236" s="137" t="s">
        <v>484</v>
      </c>
      <c r="D236" s="338">
        <v>7625</v>
      </c>
      <c r="E236" s="137">
        <v>5662</v>
      </c>
      <c r="F236" s="137">
        <v>5662</v>
      </c>
    </row>
    <row r="237" spans="1:6" x14ac:dyDescent="0.25">
      <c r="A237" s="137" t="s">
        <v>15357</v>
      </c>
      <c r="B237" s="137" t="s">
        <v>406</v>
      </c>
      <c r="C237" s="137" t="s">
        <v>5583</v>
      </c>
      <c r="D237" s="338">
        <v>8865</v>
      </c>
      <c r="E237" s="137">
        <v>3405</v>
      </c>
      <c r="F237" s="137">
        <v>1699</v>
      </c>
    </row>
    <row r="238" spans="1:6" x14ac:dyDescent="0.25">
      <c r="A238" s="137" t="s">
        <v>15762</v>
      </c>
      <c r="B238" s="137" t="s">
        <v>406</v>
      </c>
      <c r="C238" s="137" t="s">
        <v>2972</v>
      </c>
      <c r="D238" s="338">
        <v>4044</v>
      </c>
      <c r="E238" s="137">
        <v>3839</v>
      </c>
      <c r="F238" s="137">
        <v>3839</v>
      </c>
    </row>
    <row r="239" spans="1:6" x14ac:dyDescent="0.25">
      <c r="A239" s="137" t="s">
        <v>15915</v>
      </c>
      <c r="B239" s="137" t="s">
        <v>406</v>
      </c>
      <c r="C239" s="137" t="s">
        <v>8728</v>
      </c>
      <c r="D239" s="338">
        <v>2148</v>
      </c>
      <c r="E239" s="137">
        <v>4346</v>
      </c>
      <c r="F239" s="137">
        <v>4346</v>
      </c>
    </row>
    <row r="240" spans="1:6" x14ac:dyDescent="0.25">
      <c r="A240" s="137" t="s">
        <v>15748</v>
      </c>
      <c r="B240" s="137" t="s">
        <v>406</v>
      </c>
      <c r="C240" s="137" t="s">
        <v>5019</v>
      </c>
      <c r="D240" s="338">
        <v>4178</v>
      </c>
      <c r="E240" s="137">
        <v>4737</v>
      </c>
      <c r="F240" s="137">
        <v>4737</v>
      </c>
    </row>
    <row r="241" spans="1:6" x14ac:dyDescent="0.25">
      <c r="A241" s="137" t="s">
        <v>15946</v>
      </c>
      <c r="B241" s="137" t="s">
        <v>406</v>
      </c>
      <c r="C241" s="137" t="s">
        <v>3243</v>
      </c>
      <c r="D241" s="338">
        <v>1365</v>
      </c>
      <c r="E241" s="137">
        <v>4138</v>
      </c>
      <c r="F241" s="137">
        <v>4138</v>
      </c>
    </row>
    <row r="242" spans="1:6" x14ac:dyDescent="0.25">
      <c r="A242" s="137" t="s">
        <v>15475</v>
      </c>
      <c r="B242" s="137" t="s">
        <v>406</v>
      </c>
      <c r="C242" s="137" t="s">
        <v>5543</v>
      </c>
      <c r="D242" s="338">
        <v>6794</v>
      </c>
      <c r="E242" s="137">
        <v>2868</v>
      </c>
      <c r="F242" s="137">
        <v>2868</v>
      </c>
    </row>
    <row r="243" spans="1:6" x14ac:dyDescent="0.25">
      <c r="A243" s="137" t="s">
        <v>15902</v>
      </c>
      <c r="B243" s="137" t="s">
        <v>406</v>
      </c>
      <c r="C243" s="137" t="s">
        <v>2884</v>
      </c>
      <c r="D243" s="338">
        <v>2450</v>
      </c>
      <c r="E243" s="137">
        <v>3141</v>
      </c>
      <c r="F243" s="137">
        <v>3141</v>
      </c>
    </row>
    <row r="244" spans="1:6" x14ac:dyDescent="0.25">
      <c r="A244" s="137" t="s">
        <v>15953</v>
      </c>
      <c r="B244" s="137" t="s">
        <v>406</v>
      </c>
      <c r="C244" s="137" t="s">
        <v>187</v>
      </c>
      <c r="D244" s="338">
        <v>1034</v>
      </c>
      <c r="E244" s="137">
        <v>5350</v>
      </c>
      <c r="F244" s="137">
        <v>232</v>
      </c>
    </row>
    <row r="245" spans="1:6" x14ac:dyDescent="0.25">
      <c r="A245" s="137" t="s">
        <v>15397</v>
      </c>
      <c r="B245" s="137" t="s">
        <v>406</v>
      </c>
      <c r="C245" s="137" t="s">
        <v>185</v>
      </c>
      <c r="D245" s="338">
        <v>7519</v>
      </c>
      <c r="E245" s="137">
        <v>4009</v>
      </c>
      <c r="F245" s="137">
        <v>597</v>
      </c>
    </row>
    <row r="246" spans="1:6" x14ac:dyDescent="0.25">
      <c r="A246" s="137" t="s">
        <v>15411</v>
      </c>
      <c r="B246" s="137" t="s">
        <v>406</v>
      </c>
      <c r="C246" s="137" t="s">
        <v>182</v>
      </c>
      <c r="D246" s="338">
        <v>7338</v>
      </c>
      <c r="E246" s="137">
        <v>3805</v>
      </c>
      <c r="F246" s="137">
        <v>393</v>
      </c>
    </row>
    <row r="247" spans="1:6" x14ac:dyDescent="0.25">
      <c r="A247" s="137" t="s">
        <v>15135</v>
      </c>
      <c r="B247" s="137" t="s">
        <v>406</v>
      </c>
      <c r="C247" s="137" t="s">
        <v>5130</v>
      </c>
      <c r="D247" s="338">
        <v>14927</v>
      </c>
      <c r="E247" s="137">
        <v>3227</v>
      </c>
      <c r="F247" s="137">
        <v>-185</v>
      </c>
    </row>
    <row r="248" spans="1:6" x14ac:dyDescent="0.25">
      <c r="A248" s="137" t="s">
        <v>15243</v>
      </c>
      <c r="B248" s="137" t="s">
        <v>406</v>
      </c>
      <c r="C248" s="137" t="s">
        <v>5574</v>
      </c>
      <c r="D248" s="338">
        <v>13399</v>
      </c>
      <c r="E248" s="137">
        <v>3366</v>
      </c>
      <c r="F248" s="137">
        <v>3366</v>
      </c>
    </row>
    <row r="249" spans="1:6" x14ac:dyDescent="0.25">
      <c r="A249" s="137" t="s">
        <v>15192</v>
      </c>
      <c r="B249" s="137" t="s">
        <v>406</v>
      </c>
      <c r="C249" s="137" t="s">
        <v>5727</v>
      </c>
      <c r="D249" s="338">
        <v>14050</v>
      </c>
      <c r="E249" s="137">
        <v>2832</v>
      </c>
      <c r="F249" s="137">
        <v>1126</v>
      </c>
    </row>
    <row r="250" spans="1:6" x14ac:dyDescent="0.25">
      <c r="A250" s="137" t="s">
        <v>15830</v>
      </c>
      <c r="B250" s="137" t="s">
        <v>406</v>
      </c>
      <c r="C250" s="137" t="s">
        <v>173</v>
      </c>
      <c r="D250" s="338">
        <v>3469</v>
      </c>
      <c r="E250" s="137">
        <v>5472</v>
      </c>
      <c r="F250" s="137">
        <v>354</v>
      </c>
    </row>
    <row r="251" spans="1:6" x14ac:dyDescent="0.25">
      <c r="A251" s="137" t="s">
        <v>15340</v>
      </c>
      <c r="B251" s="137" t="s">
        <v>406</v>
      </c>
      <c r="C251" s="137" t="s">
        <v>170</v>
      </c>
      <c r="D251" s="338">
        <v>9809</v>
      </c>
      <c r="E251" s="137">
        <v>4075</v>
      </c>
      <c r="F251" s="137">
        <v>663</v>
      </c>
    </row>
    <row r="252" spans="1:6" x14ac:dyDescent="0.25">
      <c r="A252" s="137" t="s">
        <v>15740</v>
      </c>
      <c r="B252" s="137" t="s">
        <v>406</v>
      </c>
      <c r="C252" s="137" t="s">
        <v>5300</v>
      </c>
      <c r="D252" s="338">
        <v>4240</v>
      </c>
      <c r="E252" s="137">
        <v>4529</v>
      </c>
      <c r="F252" s="137">
        <v>4529</v>
      </c>
    </row>
    <row r="253" spans="1:6" x14ac:dyDescent="0.25">
      <c r="A253" s="137" t="s">
        <v>15824</v>
      </c>
      <c r="B253" s="137" t="s">
        <v>406</v>
      </c>
      <c r="C253" s="137" t="s">
        <v>2258</v>
      </c>
      <c r="D253" s="338">
        <v>3551</v>
      </c>
      <c r="E253" s="137">
        <v>5817</v>
      </c>
      <c r="F253" s="137">
        <v>5817</v>
      </c>
    </row>
    <row r="254" spans="1:6" x14ac:dyDescent="0.25">
      <c r="A254" s="137" t="s">
        <v>15909</v>
      </c>
      <c r="B254" s="137" t="s">
        <v>406</v>
      </c>
      <c r="C254" s="137" t="s">
        <v>4824</v>
      </c>
      <c r="D254" s="338">
        <v>2304</v>
      </c>
      <c r="E254" s="137">
        <v>4035</v>
      </c>
      <c r="F254" s="137">
        <v>4035</v>
      </c>
    </row>
    <row r="255" spans="1:6" x14ac:dyDescent="0.25">
      <c r="A255" s="137" t="s">
        <v>15313</v>
      </c>
      <c r="B255" s="137" t="s">
        <v>406</v>
      </c>
      <c r="C255" s="137" t="s">
        <v>5192</v>
      </c>
      <c r="D255" s="338">
        <v>12215</v>
      </c>
      <c r="E255" s="137">
        <v>3033</v>
      </c>
      <c r="F255" s="137">
        <v>3033</v>
      </c>
    </row>
    <row r="256" spans="1:6" x14ac:dyDescent="0.25">
      <c r="A256" s="137" t="s">
        <v>15164</v>
      </c>
      <c r="B256" s="137" t="s">
        <v>406</v>
      </c>
      <c r="C256" s="137" t="s">
        <v>168</v>
      </c>
      <c r="D256" s="338">
        <v>14246</v>
      </c>
      <c r="E256" s="137">
        <v>2804</v>
      </c>
      <c r="F256" s="137">
        <v>1098</v>
      </c>
    </row>
    <row r="257" spans="1:6" x14ac:dyDescent="0.25">
      <c r="A257" s="137" t="s">
        <v>15279</v>
      </c>
      <c r="B257" s="137" t="s">
        <v>406</v>
      </c>
      <c r="C257" s="137" t="s">
        <v>5505</v>
      </c>
      <c r="D257" s="338">
        <v>12845</v>
      </c>
      <c r="E257" s="137">
        <v>3197</v>
      </c>
      <c r="F257" s="137">
        <v>3197</v>
      </c>
    </row>
    <row r="258" spans="1:6" x14ac:dyDescent="0.25">
      <c r="A258" s="137" t="s">
        <v>15503</v>
      </c>
      <c r="B258" s="137" t="s">
        <v>406</v>
      </c>
      <c r="C258" s="137" t="s">
        <v>5350</v>
      </c>
      <c r="D258" s="338">
        <v>6618</v>
      </c>
      <c r="E258" s="137">
        <v>2793</v>
      </c>
      <c r="F258" s="137">
        <v>2793</v>
      </c>
    </row>
    <row r="259" spans="1:6" x14ac:dyDescent="0.25">
      <c r="A259" s="137" t="s">
        <v>15267</v>
      </c>
      <c r="B259" s="137" t="s">
        <v>406</v>
      </c>
      <c r="C259" s="137" t="s">
        <v>4518</v>
      </c>
      <c r="D259" s="338">
        <v>13072</v>
      </c>
      <c r="E259" s="137">
        <v>2725</v>
      </c>
      <c r="F259" s="137">
        <v>2725</v>
      </c>
    </row>
    <row r="260" spans="1:6" x14ac:dyDescent="0.25">
      <c r="A260" s="137" t="s">
        <v>15538</v>
      </c>
      <c r="B260" s="137" t="s">
        <v>406</v>
      </c>
      <c r="C260" s="137" t="s">
        <v>4851</v>
      </c>
      <c r="D260" s="338">
        <v>6366</v>
      </c>
      <c r="E260" s="137">
        <v>2965</v>
      </c>
      <c r="F260" s="137">
        <v>2965</v>
      </c>
    </row>
    <row r="261" spans="1:6" x14ac:dyDescent="0.25">
      <c r="A261" s="137" t="s">
        <v>15641</v>
      </c>
      <c r="B261" s="137" t="s">
        <v>406</v>
      </c>
      <c r="C261" s="137" t="s">
        <v>166</v>
      </c>
      <c r="D261" s="338">
        <v>5137</v>
      </c>
      <c r="E261" s="137">
        <v>5059</v>
      </c>
      <c r="F261" s="137">
        <v>-59</v>
      </c>
    </row>
    <row r="262" spans="1:6" x14ac:dyDescent="0.25">
      <c r="A262" s="137" t="s">
        <v>15491</v>
      </c>
      <c r="B262" s="137" t="s">
        <v>406</v>
      </c>
      <c r="C262" s="137" t="s">
        <v>163</v>
      </c>
      <c r="D262" s="338">
        <v>6698</v>
      </c>
      <c r="E262" s="137">
        <v>3736</v>
      </c>
      <c r="F262" s="137">
        <v>3736</v>
      </c>
    </row>
    <row r="263" spans="1:6" x14ac:dyDescent="0.25">
      <c r="A263" s="137" t="s">
        <v>15478</v>
      </c>
      <c r="B263" s="137" t="s">
        <v>406</v>
      </c>
      <c r="C263" s="137" t="s">
        <v>5495</v>
      </c>
      <c r="D263" s="338">
        <v>6777</v>
      </c>
      <c r="E263" s="137">
        <v>2815</v>
      </c>
      <c r="F263" s="137">
        <v>2815</v>
      </c>
    </row>
    <row r="264" spans="1:6" x14ac:dyDescent="0.25">
      <c r="A264" s="137" t="s">
        <v>15694</v>
      </c>
      <c r="B264" s="137" t="s">
        <v>406</v>
      </c>
      <c r="C264" s="137" t="s">
        <v>160</v>
      </c>
      <c r="D264" s="338">
        <v>4696</v>
      </c>
      <c r="E264" s="137">
        <v>3801</v>
      </c>
      <c r="F264" s="137">
        <v>3801</v>
      </c>
    </row>
    <row r="265" spans="1:6" x14ac:dyDescent="0.25">
      <c r="A265" s="137" t="s">
        <v>15286</v>
      </c>
      <c r="B265" s="137" t="s">
        <v>406</v>
      </c>
      <c r="C265" s="137" t="s">
        <v>5719</v>
      </c>
      <c r="D265" s="338">
        <v>12766</v>
      </c>
      <c r="E265" s="137">
        <v>3777</v>
      </c>
      <c r="F265" s="137">
        <v>3777</v>
      </c>
    </row>
    <row r="266" spans="1:6" x14ac:dyDescent="0.25">
      <c r="A266" s="137" t="s">
        <v>15547</v>
      </c>
      <c r="B266" s="137" t="s">
        <v>406</v>
      </c>
      <c r="C266" s="137" t="s">
        <v>157</v>
      </c>
      <c r="D266" s="338">
        <v>6313</v>
      </c>
      <c r="E266" s="137">
        <v>3987</v>
      </c>
      <c r="F266" s="137">
        <v>575</v>
      </c>
    </row>
    <row r="267" spans="1:6" x14ac:dyDescent="0.25">
      <c r="A267" s="137" t="s">
        <v>15620</v>
      </c>
      <c r="B267" s="137" t="s">
        <v>406</v>
      </c>
      <c r="C267" s="137" t="s">
        <v>2253</v>
      </c>
      <c r="D267" s="338">
        <v>5518</v>
      </c>
      <c r="E267" s="137">
        <v>2460</v>
      </c>
      <c r="F267" s="137">
        <v>2460</v>
      </c>
    </row>
    <row r="268" spans="1:6" x14ac:dyDescent="0.25">
      <c r="A268" s="137" t="s">
        <v>15520</v>
      </c>
      <c r="B268" s="137" t="s">
        <v>406</v>
      </c>
      <c r="C268" s="137" t="s">
        <v>5672</v>
      </c>
      <c r="D268" s="338">
        <v>6510</v>
      </c>
      <c r="E268" s="137">
        <v>3646</v>
      </c>
      <c r="F268" s="137">
        <v>234</v>
      </c>
    </row>
    <row r="269" spans="1:6" x14ac:dyDescent="0.25">
      <c r="A269" s="137" t="s">
        <v>15240</v>
      </c>
      <c r="B269" s="137" t="s">
        <v>406</v>
      </c>
      <c r="C269" s="137" t="s">
        <v>4785</v>
      </c>
      <c r="D269" s="338">
        <v>13433</v>
      </c>
      <c r="E269" s="137">
        <v>2857</v>
      </c>
      <c r="F269" s="137">
        <v>2857</v>
      </c>
    </row>
    <row r="270" spans="1:6" x14ac:dyDescent="0.25">
      <c r="A270" s="137" t="s">
        <v>15959</v>
      </c>
      <c r="B270" s="137" t="s">
        <v>406</v>
      </c>
      <c r="C270" s="137" t="s">
        <v>154</v>
      </c>
      <c r="D270" s="137">
        <v>682</v>
      </c>
      <c r="E270" s="137">
        <v>4270</v>
      </c>
      <c r="F270" s="137">
        <v>4270</v>
      </c>
    </row>
    <row r="271" spans="1:6" x14ac:dyDescent="0.25">
      <c r="A271" s="137" t="s">
        <v>15504</v>
      </c>
      <c r="B271" s="137" t="s">
        <v>406</v>
      </c>
      <c r="C271" s="137" t="s">
        <v>5591</v>
      </c>
      <c r="D271" s="338">
        <v>6617</v>
      </c>
      <c r="E271" s="137">
        <v>2953</v>
      </c>
      <c r="F271" s="137">
        <v>2953</v>
      </c>
    </row>
    <row r="272" spans="1:6" x14ac:dyDescent="0.25">
      <c r="A272" s="137" t="s">
        <v>15655</v>
      </c>
      <c r="B272" s="137" t="s">
        <v>406</v>
      </c>
      <c r="C272" s="137" t="s">
        <v>5272</v>
      </c>
      <c r="D272" s="338">
        <v>5025</v>
      </c>
      <c r="E272" s="137">
        <v>4111</v>
      </c>
      <c r="F272" s="137">
        <v>4111</v>
      </c>
    </row>
    <row r="273" spans="1:6" x14ac:dyDescent="0.25">
      <c r="A273" s="137" t="s">
        <v>15527</v>
      </c>
      <c r="B273" s="137" t="s">
        <v>406</v>
      </c>
      <c r="C273" s="137" t="s">
        <v>149</v>
      </c>
      <c r="D273" s="338">
        <v>6468</v>
      </c>
      <c r="E273" s="137">
        <v>3665</v>
      </c>
      <c r="F273" s="137">
        <v>253</v>
      </c>
    </row>
    <row r="274" spans="1:6" x14ac:dyDescent="0.25">
      <c r="A274" s="137" t="s">
        <v>15680</v>
      </c>
      <c r="B274" s="137" t="s">
        <v>406</v>
      </c>
      <c r="C274" s="137" t="s">
        <v>147</v>
      </c>
      <c r="D274" s="338">
        <v>4789</v>
      </c>
      <c r="E274" s="137">
        <v>4527</v>
      </c>
      <c r="F274" s="137">
        <v>4527</v>
      </c>
    </row>
    <row r="275" spans="1:6" x14ac:dyDescent="0.25">
      <c r="A275" s="137" t="s">
        <v>15477</v>
      </c>
      <c r="B275" s="137" t="s">
        <v>406</v>
      </c>
      <c r="C275" s="137" t="s">
        <v>145</v>
      </c>
      <c r="D275" s="338">
        <v>6788</v>
      </c>
      <c r="E275" s="137">
        <v>4265</v>
      </c>
      <c r="F275" s="137">
        <v>853</v>
      </c>
    </row>
    <row r="276" spans="1:6" x14ac:dyDescent="0.25">
      <c r="A276" s="137" t="s">
        <v>15413</v>
      </c>
      <c r="B276" s="137" t="s">
        <v>406</v>
      </c>
      <c r="C276" s="137" t="s">
        <v>5202</v>
      </c>
      <c r="D276" s="338">
        <v>7305</v>
      </c>
      <c r="E276" s="137">
        <v>2693</v>
      </c>
      <c r="F276" s="137">
        <v>2693</v>
      </c>
    </row>
    <row r="277" spans="1:6" x14ac:dyDescent="0.25">
      <c r="A277" s="137" t="s">
        <v>15554</v>
      </c>
      <c r="B277" s="137" t="s">
        <v>406</v>
      </c>
      <c r="C277" s="137" t="s">
        <v>5084</v>
      </c>
      <c r="D277" s="338">
        <v>6269</v>
      </c>
      <c r="E277" s="137">
        <v>3080</v>
      </c>
      <c r="F277" s="137">
        <v>3080</v>
      </c>
    </row>
    <row r="278" spans="1:6" x14ac:dyDescent="0.25">
      <c r="A278" s="137" t="s">
        <v>15634</v>
      </c>
      <c r="B278" s="137" t="s">
        <v>406</v>
      </c>
      <c r="C278" s="137" t="s">
        <v>3025</v>
      </c>
      <c r="D278" s="338">
        <v>5189</v>
      </c>
      <c r="E278" s="137">
        <v>3183</v>
      </c>
      <c r="F278" s="137">
        <v>3183</v>
      </c>
    </row>
    <row r="279" spans="1:6" x14ac:dyDescent="0.25">
      <c r="A279" s="137" t="s">
        <v>15607</v>
      </c>
      <c r="B279" s="137" t="s">
        <v>406</v>
      </c>
      <c r="C279" s="137" t="s">
        <v>143</v>
      </c>
      <c r="D279" s="338">
        <v>5638</v>
      </c>
      <c r="E279" s="137">
        <v>3729</v>
      </c>
      <c r="F279" s="137">
        <v>317</v>
      </c>
    </row>
    <row r="280" spans="1:6" x14ac:dyDescent="0.25">
      <c r="A280" s="137" t="s">
        <v>15259</v>
      </c>
      <c r="B280" s="137" t="s">
        <v>406</v>
      </c>
      <c r="C280" s="137" t="s">
        <v>5293</v>
      </c>
      <c r="D280" s="338">
        <v>13204</v>
      </c>
      <c r="E280" s="137">
        <v>3121</v>
      </c>
      <c r="F280" s="137">
        <v>3121</v>
      </c>
    </row>
    <row r="281" spans="1:6" x14ac:dyDescent="0.25">
      <c r="A281" s="137" t="s">
        <v>15274</v>
      </c>
      <c r="B281" s="137" t="s">
        <v>406</v>
      </c>
      <c r="C281" s="137" t="s">
        <v>5762</v>
      </c>
      <c r="D281" s="338">
        <v>12946</v>
      </c>
      <c r="E281" s="137">
        <v>3993</v>
      </c>
      <c r="F281" s="137">
        <v>581</v>
      </c>
    </row>
    <row r="282" spans="1:6" x14ac:dyDescent="0.25">
      <c r="A282" s="137" t="s">
        <v>15412</v>
      </c>
      <c r="B282" s="137" t="s">
        <v>406</v>
      </c>
      <c r="C282" s="137" t="s">
        <v>4636</v>
      </c>
      <c r="D282" s="338">
        <v>7325</v>
      </c>
      <c r="E282" s="137">
        <v>3783</v>
      </c>
      <c r="F282" s="137">
        <v>3783</v>
      </c>
    </row>
    <row r="283" spans="1:6" x14ac:dyDescent="0.25">
      <c r="A283" s="137" t="s">
        <v>15446</v>
      </c>
      <c r="B283" s="137" t="s">
        <v>406</v>
      </c>
      <c r="C283" s="137" t="s">
        <v>5706</v>
      </c>
      <c r="D283" s="338">
        <v>7008</v>
      </c>
      <c r="E283" s="137">
        <v>3225</v>
      </c>
      <c r="F283" s="137">
        <v>1519</v>
      </c>
    </row>
    <row r="284" spans="1:6" x14ac:dyDescent="0.25">
      <c r="A284" s="137" t="s">
        <v>15501</v>
      </c>
      <c r="B284" s="137" t="s">
        <v>406</v>
      </c>
      <c r="C284" s="137" t="s">
        <v>140</v>
      </c>
      <c r="D284" s="338">
        <v>6629</v>
      </c>
      <c r="E284" s="137">
        <v>4175</v>
      </c>
      <c r="F284" s="137">
        <v>4175</v>
      </c>
    </row>
    <row r="285" spans="1:6" x14ac:dyDescent="0.25">
      <c r="A285" s="137" t="s">
        <v>15637</v>
      </c>
      <c r="B285" s="137" t="s">
        <v>406</v>
      </c>
      <c r="C285" s="137" t="s">
        <v>5358</v>
      </c>
      <c r="D285" s="338">
        <v>5151</v>
      </c>
      <c r="E285" s="137">
        <v>4088</v>
      </c>
      <c r="F285" s="137">
        <v>4088</v>
      </c>
    </row>
    <row r="286" spans="1:6" x14ac:dyDescent="0.25">
      <c r="A286" s="137" t="s">
        <v>15403</v>
      </c>
      <c r="B286" s="137" t="s">
        <v>406</v>
      </c>
      <c r="C286" s="137" t="s">
        <v>3743</v>
      </c>
      <c r="D286" s="338">
        <v>7456</v>
      </c>
      <c r="E286" s="137">
        <v>3913</v>
      </c>
      <c r="F286" s="137">
        <v>3913</v>
      </c>
    </row>
    <row r="287" spans="1:6" x14ac:dyDescent="0.25">
      <c r="A287" s="137" t="s">
        <v>15292</v>
      </c>
      <c r="B287" s="137" t="s">
        <v>406</v>
      </c>
      <c r="C287" s="137" t="s">
        <v>5620</v>
      </c>
      <c r="D287" s="338">
        <v>12659</v>
      </c>
      <c r="E287" s="137">
        <v>3466</v>
      </c>
      <c r="F287" s="137">
        <v>3466</v>
      </c>
    </row>
    <row r="288" spans="1:6" x14ac:dyDescent="0.25">
      <c r="A288" s="137" t="s">
        <v>15684</v>
      </c>
      <c r="B288" s="137" t="s">
        <v>406</v>
      </c>
      <c r="C288" s="137" t="s">
        <v>130</v>
      </c>
      <c r="D288" s="338">
        <v>4765</v>
      </c>
      <c r="E288" s="137">
        <v>5265</v>
      </c>
      <c r="F288" s="137">
        <v>147</v>
      </c>
    </row>
    <row r="289" spans="1:6" x14ac:dyDescent="0.25">
      <c r="A289" s="137" t="s">
        <v>15415</v>
      </c>
      <c r="B289" s="137" t="s">
        <v>406</v>
      </c>
      <c r="C289" s="137" t="s">
        <v>126</v>
      </c>
      <c r="D289" s="338">
        <v>7299</v>
      </c>
      <c r="E289" s="137">
        <v>3524</v>
      </c>
      <c r="F289" s="137">
        <v>112</v>
      </c>
    </row>
    <row r="290" spans="1:6" x14ac:dyDescent="0.25">
      <c r="A290" s="137" t="s">
        <v>15414</v>
      </c>
      <c r="B290" s="137" t="s">
        <v>406</v>
      </c>
      <c r="C290" s="137" t="s">
        <v>4629</v>
      </c>
      <c r="D290" s="338">
        <v>7299</v>
      </c>
      <c r="E290" s="137">
        <v>4880</v>
      </c>
      <c r="F290" s="137">
        <v>4880</v>
      </c>
    </row>
    <row r="291" spans="1:6" x14ac:dyDescent="0.25">
      <c r="A291" s="137" t="s">
        <v>15290</v>
      </c>
      <c r="B291" s="137" t="s">
        <v>406</v>
      </c>
      <c r="C291" s="137" t="s">
        <v>124</v>
      </c>
      <c r="D291" s="338">
        <v>12675</v>
      </c>
      <c r="E291" s="137">
        <v>3785</v>
      </c>
      <c r="F291" s="137">
        <v>3785</v>
      </c>
    </row>
    <row r="292" spans="1:6" x14ac:dyDescent="0.25">
      <c r="A292" s="137" t="s">
        <v>15175</v>
      </c>
      <c r="B292" s="137" t="s">
        <v>406</v>
      </c>
      <c r="C292" s="137" t="s">
        <v>5734</v>
      </c>
      <c r="D292" s="338">
        <v>14155</v>
      </c>
      <c r="E292" s="137">
        <v>2828</v>
      </c>
      <c r="F292" s="137">
        <v>-584</v>
      </c>
    </row>
    <row r="293" spans="1:6" x14ac:dyDescent="0.25">
      <c r="A293" s="137" t="s">
        <v>15401</v>
      </c>
      <c r="B293" s="137" t="s">
        <v>406</v>
      </c>
      <c r="C293" s="137" t="s">
        <v>5057</v>
      </c>
      <c r="D293" s="338">
        <v>7486</v>
      </c>
      <c r="E293" s="137">
        <v>2904</v>
      </c>
      <c r="F293" s="137">
        <v>2904</v>
      </c>
    </row>
    <row r="294" spans="1:6" x14ac:dyDescent="0.25">
      <c r="A294" s="137" t="s">
        <v>15280</v>
      </c>
      <c r="B294" s="137" t="s">
        <v>406</v>
      </c>
      <c r="C294" s="137" t="s">
        <v>5519</v>
      </c>
      <c r="D294" s="338">
        <v>12832</v>
      </c>
      <c r="E294" s="137">
        <v>3218</v>
      </c>
      <c r="F294" s="137">
        <v>3218</v>
      </c>
    </row>
    <row r="295" spans="1:6" x14ac:dyDescent="0.25">
      <c r="A295" s="137" t="s">
        <v>15369</v>
      </c>
      <c r="B295" s="137" t="s">
        <v>406</v>
      </c>
      <c r="C295" s="137" t="s">
        <v>2984</v>
      </c>
      <c r="D295" s="338">
        <v>8032</v>
      </c>
      <c r="E295" s="137">
        <v>3103</v>
      </c>
      <c r="F295" s="137">
        <v>3103</v>
      </c>
    </row>
    <row r="296" spans="1:6" x14ac:dyDescent="0.25">
      <c r="A296" s="137" t="s">
        <v>15687</v>
      </c>
      <c r="B296" s="137" t="s">
        <v>406</v>
      </c>
      <c r="C296" s="137" t="s">
        <v>122</v>
      </c>
      <c r="D296" s="338">
        <v>4733</v>
      </c>
      <c r="E296" s="137">
        <v>4981</v>
      </c>
      <c r="F296" s="137">
        <v>1569</v>
      </c>
    </row>
    <row r="297" spans="1:6" x14ac:dyDescent="0.25">
      <c r="A297" s="137" t="s">
        <v>15449</v>
      </c>
      <c r="B297" s="137" t="s">
        <v>406</v>
      </c>
      <c r="C297" s="137" t="s">
        <v>120</v>
      </c>
      <c r="D297" s="338">
        <v>6993</v>
      </c>
      <c r="E297" s="137">
        <v>3599</v>
      </c>
      <c r="F297" s="137">
        <v>-1519</v>
      </c>
    </row>
    <row r="298" spans="1:6" x14ac:dyDescent="0.25">
      <c r="A298" s="137" t="s">
        <v>15282</v>
      </c>
      <c r="B298" s="137" t="s">
        <v>406</v>
      </c>
      <c r="C298" s="137" t="s">
        <v>3553</v>
      </c>
      <c r="D298" s="338">
        <v>12801</v>
      </c>
      <c r="E298" s="137">
        <v>3640</v>
      </c>
      <c r="F298" s="137">
        <v>228</v>
      </c>
    </row>
    <row r="299" spans="1:6" x14ac:dyDescent="0.25">
      <c r="A299" s="137" t="s">
        <v>15197</v>
      </c>
      <c r="B299" s="137" t="s">
        <v>406</v>
      </c>
      <c r="C299" s="137" t="s">
        <v>5079</v>
      </c>
      <c r="D299" s="338">
        <v>14012</v>
      </c>
      <c r="E299" s="137">
        <v>2941</v>
      </c>
      <c r="F299" s="137">
        <v>1235</v>
      </c>
    </row>
    <row r="300" spans="1:6" x14ac:dyDescent="0.25">
      <c r="A300" s="137" t="s">
        <v>15539</v>
      </c>
      <c r="B300" s="137" t="s">
        <v>406</v>
      </c>
      <c r="C300" s="137" t="s">
        <v>5279</v>
      </c>
      <c r="D300" s="338">
        <v>6362</v>
      </c>
      <c r="E300" s="137">
        <v>3035</v>
      </c>
      <c r="F300" s="137">
        <v>3035</v>
      </c>
    </row>
    <row r="301" spans="1:6" x14ac:dyDescent="0.25">
      <c r="A301" s="137" t="s">
        <v>15598</v>
      </c>
      <c r="B301" s="137" t="s">
        <v>406</v>
      </c>
      <c r="C301" s="137" t="s">
        <v>5497</v>
      </c>
      <c r="D301" s="338">
        <v>5752</v>
      </c>
      <c r="E301" s="137">
        <v>3866</v>
      </c>
      <c r="F301" s="137">
        <v>454</v>
      </c>
    </row>
    <row r="302" spans="1:6" x14ac:dyDescent="0.25">
      <c r="A302" s="137" t="s">
        <v>15569</v>
      </c>
      <c r="B302" s="137" t="s">
        <v>406</v>
      </c>
      <c r="C302" s="137" t="s">
        <v>3741</v>
      </c>
      <c r="D302" s="338">
        <v>6097</v>
      </c>
      <c r="E302" s="137">
        <v>3021</v>
      </c>
      <c r="F302" s="137">
        <v>3021</v>
      </c>
    </row>
    <row r="303" spans="1:6" x14ac:dyDescent="0.25">
      <c r="A303" s="137" t="s">
        <v>15650</v>
      </c>
      <c r="B303" s="137" t="s">
        <v>406</v>
      </c>
      <c r="C303" s="137" t="s">
        <v>114</v>
      </c>
      <c r="D303" s="338">
        <v>5065</v>
      </c>
      <c r="E303" s="137">
        <v>5137</v>
      </c>
      <c r="F303" s="137">
        <v>19</v>
      </c>
    </row>
    <row r="304" spans="1:6" x14ac:dyDescent="0.25">
      <c r="A304" s="137" t="s">
        <v>15622</v>
      </c>
      <c r="B304" s="137" t="s">
        <v>406</v>
      </c>
      <c r="C304" s="137" t="s">
        <v>3543</v>
      </c>
      <c r="D304" s="338">
        <v>5441</v>
      </c>
      <c r="E304" s="137">
        <v>2501</v>
      </c>
      <c r="F304" s="137">
        <v>2501</v>
      </c>
    </row>
    <row r="305" spans="1:6" x14ac:dyDescent="0.25">
      <c r="A305" s="137" t="s">
        <v>15864</v>
      </c>
      <c r="B305" s="137" t="s">
        <v>406</v>
      </c>
      <c r="C305" s="137" t="s">
        <v>3189</v>
      </c>
      <c r="D305" s="338">
        <v>3071</v>
      </c>
      <c r="E305" s="137">
        <v>3713</v>
      </c>
      <c r="F305" s="137">
        <v>3713</v>
      </c>
    </row>
    <row r="306" spans="1:6" x14ac:dyDescent="0.25">
      <c r="A306" s="137" t="s">
        <v>15368</v>
      </c>
      <c r="B306" s="137" t="s">
        <v>406</v>
      </c>
      <c r="C306" s="137" t="s">
        <v>5155</v>
      </c>
      <c r="D306" s="338">
        <v>8078</v>
      </c>
      <c r="E306" s="137">
        <v>4604</v>
      </c>
      <c r="F306" s="137">
        <v>1192</v>
      </c>
    </row>
    <row r="307" spans="1:6" x14ac:dyDescent="0.25">
      <c r="A307" s="137" t="s">
        <v>15376</v>
      </c>
      <c r="B307" s="137" t="s">
        <v>406</v>
      </c>
      <c r="C307" s="137" t="s">
        <v>3799</v>
      </c>
      <c r="D307" s="338">
        <v>7906</v>
      </c>
      <c r="E307" s="137">
        <v>3878</v>
      </c>
      <c r="F307" s="137">
        <v>466</v>
      </c>
    </row>
    <row r="308" spans="1:6" x14ac:dyDescent="0.25">
      <c r="A308" s="137" t="s">
        <v>15258</v>
      </c>
      <c r="B308" s="137" t="s">
        <v>406</v>
      </c>
      <c r="C308" s="137" t="s">
        <v>5553</v>
      </c>
      <c r="D308" s="338">
        <v>13217</v>
      </c>
      <c r="E308" s="137">
        <v>3272</v>
      </c>
      <c r="F308" s="137">
        <v>3272</v>
      </c>
    </row>
    <row r="309" spans="1:6" x14ac:dyDescent="0.25">
      <c r="A309" s="137" t="s">
        <v>15318</v>
      </c>
      <c r="B309" s="137" t="s">
        <v>406</v>
      </c>
      <c r="C309" s="137" t="s">
        <v>5425</v>
      </c>
      <c r="D309" s="338">
        <v>12167</v>
      </c>
      <c r="E309" s="137">
        <v>4714</v>
      </c>
      <c r="F309" s="137">
        <v>1302</v>
      </c>
    </row>
    <row r="310" spans="1:6" x14ac:dyDescent="0.25">
      <c r="A310" s="137" t="s">
        <v>15685</v>
      </c>
      <c r="B310" s="137" t="s">
        <v>406</v>
      </c>
      <c r="C310" s="137" t="s">
        <v>5219</v>
      </c>
      <c r="D310" s="338">
        <v>4758</v>
      </c>
      <c r="E310" s="137">
        <v>3056</v>
      </c>
      <c r="F310" s="137">
        <v>3056</v>
      </c>
    </row>
    <row r="311" spans="1:6" x14ac:dyDescent="0.25">
      <c r="A311" s="137" t="s">
        <v>15768</v>
      </c>
      <c r="B311" s="137" t="s">
        <v>406</v>
      </c>
      <c r="C311" s="137" t="s">
        <v>4445</v>
      </c>
      <c r="D311" s="338">
        <v>3990</v>
      </c>
      <c r="E311" s="137">
        <v>4389</v>
      </c>
      <c r="F311" s="137">
        <v>4389</v>
      </c>
    </row>
    <row r="312" spans="1:6" x14ac:dyDescent="0.25">
      <c r="A312" s="137" t="s">
        <v>15664</v>
      </c>
      <c r="B312" s="137" t="s">
        <v>406</v>
      </c>
      <c r="C312" s="137" t="s">
        <v>14212</v>
      </c>
      <c r="D312" s="338">
        <v>4946</v>
      </c>
      <c r="E312" s="137">
        <v>2946</v>
      </c>
      <c r="F312" s="137">
        <v>-466</v>
      </c>
    </row>
    <row r="313" spans="1:6" x14ac:dyDescent="0.25">
      <c r="A313" s="137" t="s">
        <v>15246</v>
      </c>
      <c r="B313" s="137" t="s">
        <v>406</v>
      </c>
      <c r="C313" s="137" t="s">
        <v>5247</v>
      </c>
      <c r="D313" s="338">
        <v>13373</v>
      </c>
      <c r="E313" s="137">
        <v>3048</v>
      </c>
      <c r="F313" s="137">
        <v>3048</v>
      </c>
    </row>
    <row r="314" spans="1:6" x14ac:dyDescent="0.25">
      <c r="A314" s="137" t="s">
        <v>15887</v>
      </c>
      <c r="B314" s="137" t="s">
        <v>406</v>
      </c>
      <c r="C314" s="137" t="s">
        <v>110</v>
      </c>
      <c r="D314" s="338">
        <v>2771</v>
      </c>
      <c r="E314" s="137">
        <v>5335</v>
      </c>
      <c r="F314" s="137">
        <v>217</v>
      </c>
    </row>
    <row r="315" spans="1:6" x14ac:dyDescent="0.25">
      <c r="A315" s="137" t="s">
        <v>15951</v>
      </c>
      <c r="B315" s="137" t="s">
        <v>406</v>
      </c>
      <c r="C315" s="137" t="s">
        <v>1904</v>
      </c>
      <c r="D315" s="338">
        <v>1066</v>
      </c>
      <c r="E315" s="137">
        <v>3732</v>
      </c>
      <c r="F315" s="137">
        <v>3732</v>
      </c>
    </row>
    <row r="316" spans="1:6" x14ac:dyDescent="0.25">
      <c r="A316" s="137" t="s">
        <v>15682</v>
      </c>
      <c r="B316" s="137" t="s">
        <v>406</v>
      </c>
      <c r="C316" s="137" t="s">
        <v>5457</v>
      </c>
      <c r="D316" s="338">
        <v>4779</v>
      </c>
      <c r="E316" s="137">
        <v>4590</v>
      </c>
      <c r="F316" s="137">
        <v>4590</v>
      </c>
    </row>
    <row r="317" spans="1:6" x14ac:dyDescent="0.25">
      <c r="A317" s="137" t="s">
        <v>15702</v>
      </c>
      <c r="B317" s="137" t="s">
        <v>406</v>
      </c>
      <c r="C317" s="137" t="s">
        <v>107</v>
      </c>
      <c r="D317" s="338">
        <v>4648</v>
      </c>
      <c r="E317" s="137">
        <v>3412</v>
      </c>
      <c r="F317" s="137">
        <v>3412</v>
      </c>
    </row>
    <row r="318" spans="1:6" x14ac:dyDescent="0.25">
      <c r="A318" s="137" t="s">
        <v>15377</v>
      </c>
      <c r="B318" s="137" t="s">
        <v>406</v>
      </c>
      <c r="C318" s="137" t="s">
        <v>4955</v>
      </c>
      <c r="D318" s="338">
        <v>7883</v>
      </c>
      <c r="E318" s="137">
        <v>2756</v>
      </c>
      <c r="F318" s="137">
        <v>2756</v>
      </c>
    </row>
    <row r="319" spans="1:6" x14ac:dyDescent="0.25">
      <c r="A319" s="137" t="s">
        <v>15252</v>
      </c>
      <c r="B319" s="137" t="s">
        <v>406</v>
      </c>
      <c r="C319" s="137" t="s">
        <v>5206</v>
      </c>
      <c r="D319" s="338">
        <v>13270</v>
      </c>
      <c r="E319" s="137">
        <v>3039</v>
      </c>
      <c r="F319" s="137">
        <v>3039</v>
      </c>
    </row>
    <row r="320" spans="1:6" x14ac:dyDescent="0.25">
      <c r="A320" s="137" t="s">
        <v>15468</v>
      </c>
      <c r="B320" s="137" t="s">
        <v>406</v>
      </c>
      <c r="C320" s="137" t="s">
        <v>5204</v>
      </c>
      <c r="D320" s="338">
        <v>6821</v>
      </c>
      <c r="E320" s="137">
        <v>3207</v>
      </c>
      <c r="F320" s="137">
        <v>1501</v>
      </c>
    </row>
    <row r="321" spans="1:6" x14ac:dyDescent="0.25">
      <c r="A321" s="137" t="s">
        <v>15303</v>
      </c>
      <c r="B321" s="137" t="s">
        <v>406</v>
      </c>
      <c r="C321" s="137" t="s">
        <v>5717</v>
      </c>
      <c r="D321" s="338">
        <v>12465</v>
      </c>
      <c r="E321" s="137">
        <v>3746</v>
      </c>
      <c r="F321" s="137">
        <v>334</v>
      </c>
    </row>
    <row r="322" spans="1:6" x14ac:dyDescent="0.25">
      <c r="A322" s="137" t="s">
        <v>15347</v>
      </c>
      <c r="B322" s="137" t="s">
        <v>406</v>
      </c>
      <c r="C322" s="137" t="s">
        <v>2958</v>
      </c>
      <c r="D322" s="338">
        <v>9390</v>
      </c>
      <c r="E322" s="137">
        <v>2745</v>
      </c>
      <c r="F322" s="137">
        <v>2745</v>
      </c>
    </row>
    <row r="323" spans="1:6" x14ac:dyDescent="0.25">
      <c r="A323" s="137" t="s">
        <v>15233</v>
      </c>
      <c r="B323" s="137" t="s">
        <v>406</v>
      </c>
      <c r="C323" s="137" t="s">
        <v>5737</v>
      </c>
      <c r="D323" s="338">
        <v>13514</v>
      </c>
      <c r="E323" s="137">
        <v>3853</v>
      </c>
      <c r="F323" s="137">
        <v>441</v>
      </c>
    </row>
    <row r="324" spans="1:6" x14ac:dyDescent="0.25">
      <c r="A324" s="137" t="s">
        <v>15802</v>
      </c>
      <c r="B324" s="137" t="s">
        <v>406</v>
      </c>
      <c r="C324" s="137" t="s">
        <v>100</v>
      </c>
      <c r="D324" s="338">
        <v>3737</v>
      </c>
      <c r="E324" s="137">
        <v>5697</v>
      </c>
      <c r="F324" s="137">
        <v>5697</v>
      </c>
    </row>
    <row r="325" spans="1:6" x14ac:dyDescent="0.25">
      <c r="A325" s="137" t="s">
        <v>15656</v>
      </c>
      <c r="B325" s="137" t="s">
        <v>406</v>
      </c>
      <c r="C325" s="137" t="s">
        <v>97</v>
      </c>
      <c r="D325" s="338">
        <v>5020</v>
      </c>
      <c r="E325" s="137">
        <v>4903</v>
      </c>
      <c r="F325" s="137">
        <v>-215</v>
      </c>
    </row>
    <row r="326" spans="1:6" x14ac:dyDescent="0.25">
      <c r="A326" s="137" t="s">
        <v>15627</v>
      </c>
      <c r="B326" s="137" t="s">
        <v>406</v>
      </c>
      <c r="C326" s="137" t="s">
        <v>95</v>
      </c>
      <c r="D326" s="338">
        <v>5370</v>
      </c>
      <c r="E326" s="137">
        <v>4356</v>
      </c>
      <c r="F326" s="137">
        <v>4356</v>
      </c>
    </row>
    <row r="327" spans="1:6" x14ac:dyDescent="0.25">
      <c r="A327" s="137" t="s">
        <v>15785</v>
      </c>
      <c r="B327" s="137" t="s">
        <v>406</v>
      </c>
      <c r="C327" s="137" t="s">
        <v>93</v>
      </c>
      <c r="D327" s="338">
        <v>3921</v>
      </c>
      <c r="E327" s="137">
        <v>4512</v>
      </c>
      <c r="F327" s="137">
        <v>-606</v>
      </c>
    </row>
    <row r="328" spans="1:6" x14ac:dyDescent="0.25">
      <c r="A328" s="137" t="s">
        <v>15205</v>
      </c>
      <c r="B328" s="137" t="s">
        <v>406</v>
      </c>
      <c r="C328" s="137" t="s">
        <v>5532</v>
      </c>
      <c r="D328" s="338">
        <v>13889</v>
      </c>
      <c r="E328" s="137">
        <v>3774</v>
      </c>
      <c r="F328" s="137">
        <v>362</v>
      </c>
    </row>
    <row r="329" spans="1:6" x14ac:dyDescent="0.25">
      <c r="A329" s="137" t="s">
        <v>15711</v>
      </c>
      <c r="B329" s="137" t="s">
        <v>406</v>
      </c>
      <c r="C329" s="137" t="s">
        <v>4750</v>
      </c>
      <c r="D329" s="338">
        <v>4553</v>
      </c>
      <c r="E329" s="137">
        <v>3687</v>
      </c>
      <c r="F329" s="137">
        <v>3687</v>
      </c>
    </row>
    <row r="330" spans="1:6" x14ac:dyDescent="0.25">
      <c r="A330" s="137" t="s">
        <v>15250</v>
      </c>
      <c r="B330" s="137" t="s">
        <v>406</v>
      </c>
      <c r="C330" s="137" t="s">
        <v>5676</v>
      </c>
      <c r="D330" s="338">
        <v>13342</v>
      </c>
      <c r="E330" s="137">
        <v>3575</v>
      </c>
      <c r="F330" s="137">
        <v>3575</v>
      </c>
    </row>
    <row r="331" spans="1:6" x14ac:dyDescent="0.25">
      <c r="A331" s="137" t="s">
        <v>15381</v>
      </c>
      <c r="B331" s="137" t="s">
        <v>406</v>
      </c>
      <c r="C331" s="137" t="s">
        <v>87</v>
      </c>
      <c r="D331" s="338">
        <v>7786</v>
      </c>
      <c r="E331" s="137">
        <v>3268</v>
      </c>
      <c r="F331" s="137">
        <v>3268</v>
      </c>
    </row>
    <row r="332" spans="1:6" x14ac:dyDescent="0.25">
      <c r="A332" s="137" t="s">
        <v>15291</v>
      </c>
      <c r="B332" s="137" t="s">
        <v>406</v>
      </c>
      <c r="C332" s="137" t="s">
        <v>5509</v>
      </c>
      <c r="D332" s="338">
        <v>12675</v>
      </c>
      <c r="E332" s="137">
        <v>4923</v>
      </c>
      <c r="F332" s="137">
        <v>1511</v>
      </c>
    </row>
    <row r="333" spans="1:6" x14ac:dyDescent="0.25">
      <c r="A333" s="137" t="s">
        <v>15764</v>
      </c>
      <c r="B333" s="137" t="s">
        <v>406</v>
      </c>
      <c r="C333" s="137" t="s">
        <v>5513</v>
      </c>
      <c r="D333" s="338">
        <v>4028</v>
      </c>
      <c r="E333" s="137">
        <v>5227</v>
      </c>
      <c r="F333" s="137">
        <v>5227</v>
      </c>
    </row>
    <row r="334" spans="1:6" x14ac:dyDescent="0.25">
      <c r="A334" s="137" t="s">
        <v>15248</v>
      </c>
      <c r="B334" s="137" t="s">
        <v>406</v>
      </c>
      <c r="C334" s="137" t="s">
        <v>5606</v>
      </c>
      <c r="D334" s="338">
        <v>13354</v>
      </c>
      <c r="E334" s="137">
        <v>3416</v>
      </c>
      <c r="F334" s="137">
        <v>3416</v>
      </c>
    </row>
    <row r="335" spans="1:6" x14ac:dyDescent="0.25">
      <c r="A335" s="137" t="s">
        <v>15429</v>
      </c>
      <c r="B335" s="137" t="s">
        <v>406</v>
      </c>
      <c r="C335" s="137" t="s">
        <v>84</v>
      </c>
      <c r="D335" s="338">
        <v>7167</v>
      </c>
      <c r="E335" s="137">
        <v>3817</v>
      </c>
      <c r="F335" s="137">
        <v>405</v>
      </c>
    </row>
    <row r="336" spans="1:6" x14ac:dyDescent="0.25">
      <c r="A336" s="137" t="s">
        <v>15521</v>
      </c>
      <c r="B336" s="137" t="s">
        <v>406</v>
      </c>
      <c r="C336" s="137" t="s">
        <v>5585</v>
      </c>
      <c r="D336" s="338">
        <v>6506</v>
      </c>
      <c r="E336" s="137">
        <v>3471</v>
      </c>
      <c r="F336" s="137">
        <v>3471</v>
      </c>
    </row>
    <row r="337" spans="1:6" x14ac:dyDescent="0.25">
      <c r="A337" s="137" t="s">
        <v>15632</v>
      </c>
      <c r="B337" s="137" t="s">
        <v>406</v>
      </c>
      <c r="C337" s="137" t="s">
        <v>81</v>
      </c>
      <c r="D337" s="338">
        <v>5273</v>
      </c>
      <c r="E337" s="137">
        <v>5003</v>
      </c>
      <c r="F337" s="137">
        <v>1591</v>
      </c>
    </row>
    <row r="338" spans="1:6" x14ac:dyDescent="0.25">
      <c r="A338" s="137" t="s">
        <v>15651</v>
      </c>
      <c r="B338" s="137" t="s">
        <v>406</v>
      </c>
      <c r="C338" s="137" t="s">
        <v>79</v>
      </c>
      <c r="D338" s="338">
        <v>5052</v>
      </c>
      <c r="E338" s="137">
        <v>4711</v>
      </c>
      <c r="F338" s="137">
        <v>4711</v>
      </c>
    </row>
    <row r="339" spans="1:6" x14ac:dyDescent="0.25">
      <c r="A339" s="137" t="s">
        <v>15382</v>
      </c>
      <c r="B339" s="137" t="s">
        <v>406</v>
      </c>
      <c r="C339" s="137" t="s">
        <v>5313</v>
      </c>
      <c r="D339" s="338">
        <v>7765</v>
      </c>
      <c r="E339" s="137">
        <v>3045</v>
      </c>
      <c r="F339" s="137">
        <v>3045</v>
      </c>
    </row>
    <row r="340" spans="1:6" x14ac:dyDescent="0.25">
      <c r="A340" s="137" t="s">
        <v>15936</v>
      </c>
      <c r="B340" s="137" t="s">
        <v>406</v>
      </c>
      <c r="C340" s="137" t="s">
        <v>74</v>
      </c>
      <c r="D340" s="338">
        <v>1667</v>
      </c>
      <c r="E340" s="137">
        <v>4325</v>
      </c>
      <c r="F340" s="137">
        <v>-793</v>
      </c>
    </row>
    <row r="341" spans="1:6" x14ac:dyDescent="0.25">
      <c r="A341" s="137" t="s">
        <v>15335</v>
      </c>
      <c r="B341" s="137" t="s">
        <v>406</v>
      </c>
      <c r="C341" s="137" t="s">
        <v>71</v>
      </c>
      <c r="D341" s="338">
        <v>10161</v>
      </c>
      <c r="E341" s="137">
        <v>4648</v>
      </c>
      <c r="F341" s="137">
        <v>1236</v>
      </c>
    </row>
    <row r="342" spans="1:6" x14ac:dyDescent="0.25">
      <c r="A342" s="137" t="s">
        <v>15789</v>
      </c>
      <c r="B342" s="137" t="s">
        <v>406</v>
      </c>
      <c r="C342" s="137" t="s">
        <v>68</v>
      </c>
      <c r="D342" s="338">
        <v>3844</v>
      </c>
      <c r="E342" s="137">
        <v>4786</v>
      </c>
      <c r="F342" s="137">
        <v>4786</v>
      </c>
    </row>
    <row r="343" spans="1:6" x14ac:dyDescent="0.25">
      <c r="A343" s="137" t="s">
        <v>15907</v>
      </c>
      <c r="B343" s="137" t="s">
        <v>406</v>
      </c>
      <c r="C343" s="137" t="s">
        <v>5035</v>
      </c>
      <c r="D343" s="338">
        <v>2355</v>
      </c>
      <c r="E343" s="137">
        <v>4286</v>
      </c>
      <c r="F343" s="137">
        <v>4286</v>
      </c>
    </row>
    <row r="344" spans="1:6" x14ac:dyDescent="0.25">
      <c r="A344" s="137" t="s">
        <v>15743</v>
      </c>
      <c r="B344" s="137" t="s">
        <v>406</v>
      </c>
      <c r="C344" s="137" t="s">
        <v>4488</v>
      </c>
      <c r="D344" s="338">
        <v>4226</v>
      </c>
      <c r="E344" s="137">
        <v>4061</v>
      </c>
      <c r="F344" s="137">
        <v>4061</v>
      </c>
    </row>
    <row r="345" spans="1:6" x14ac:dyDescent="0.25">
      <c r="A345" s="137" t="s">
        <v>15739</v>
      </c>
      <c r="B345" s="137" t="s">
        <v>406</v>
      </c>
      <c r="C345" s="137" t="s">
        <v>65</v>
      </c>
      <c r="D345" s="338">
        <v>4260</v>
      </c>
      <c r="E345" s="137">
        <v>5376</v>
      </c>
      <c r="F345" s="137">
        <v>258</v>
      </c>
    </row>
    <row r="346" spans="1:6" x14ac:dyDescent="0.25">
      <c r="A346" s="137" t="s">
        <v>15600</v>
      </c>
      <c r="B346" s="137" t="s">
        <v>406</v>
      </c>
      <c r="C346" s="137" t="s">
        <v>4683</v>
      </c>
      <c r="D346" s="338">
        <v>5731</v>
      </c>
      <c r="E346" s="137">
        <v>3056</v>
      </c>
      <c r="F346" s="137">
        <v>3056</v>
      </c>
    </row>
    <row r="347" spans="1:6" x14ac:dyDescent="0.25">
      <c r="A347" s="137" t="s">
        <v>15659</v>
      </c>
      <c r="B347" s="137" t="s">
        <v>406</v>
      </c>
      <c r="C347" s="137" t="s">
        <v>63</v>
      </c>
      <c r="D347" s="338">
        <v>4995</v>
      </c>
      <c r="E347" s="137">
        <v>4345</v>
      </c>
      <c r="F347" s="137">
        <v>4345</v>
      </c>
    </row>
    <row r="348" spans="1:6" x14ac:dyDescent="0.25">
      <c r="A348" s="137" t="s">
        <v>15840</v>
      </c>
      <c r="B348" s="137" t="s">
        <v>406</v>
      </c>
      <c r="C348" s="137" t="s">
        <v>4611</v>
      </c>
      <c r="D348" s="338">
        <v>3332</v>
      </c>
      <c r="E348" s="137">
        <v>4542</v>
      </c>
      <c r="F348" s="137">
        <v>4542</v>
      </c>
    </row>
    <row r="349" spans="1:6" x14ac:dyDescent="0.25">
      <c r="A349" s="137" t="s">
        <v>15355</v>
      </c>
      <c r="B349" s="137" t="s">
        <v>406</v>
      </c>
      <c r="C349" s="137" t="s">
        <v>5277</v>
      </c>
      <c r="D349" s="338">
        <v>8938</v>
      </c>
      <c r="E349" s="137">
        <v>3150</v>
      </c>
      <c r="F349" s="137">
        <v>3150</v>
      </c>
    </row>
    <row r="350" spans="1:6" x14ac:dyDescent="0.25">
      <c r="A350" s="137" t="s">
        <v>15354</v>
      </c>
      <c r="B350" s="137" t="s">
        <v>406</v>
      </c>
      <c r="C350" s="137" t="s">
        <v>5536</v>
      </c>
      <c r="D350" s="338">
        <v>8974</v>
      </c>
      <c r="E350" s="137">
        <v>3285</v>
      </c>
      <c r="F350" s="137">
        <v>1579</v>
      </c>
    </row>
    <row r="351" spans="1:6" x14ac:dyDescent="0.25">
      <c r="A351" s="137" t="s">
        <v>15810</v>
      </c>
      <c r="B351" s="137" t="s">
        <v>406</v>
      </c>
      <c r="C351" s="137" t="s">
        <v>1463</v>
      </c>
      <c r="D351" s="338">
        <v>3675</v>
      </c>
      <c r="E351" s="137">
        <v>3432</v>
      </c>
      <c r="F351" s="137">
        <v>3432</v>
      </c>
    </row>
    <row r="352" spans="1:6" x14ac:dyDescent="0.25">
      <c r="A352" s="137" t="s">
        <v>15884</v>
      </c>
      <c r="B352" s="137" t="s">
        <v>406</v>
      </c>
      <c r="C352" s="137" t="s">
        <v>58</v>
      </c>
      <c r="D352" s="338">
        <v>2805</v>
      </c>
      <c r="E352" s="137">
        <v>5502</v>
      </c>
      <c r="F352" s="137">
        <v>5502</v>
      </c>
    </row>
    <row r="353" spans="1:6" x14ac:dyDescent="0.25">
      <c r="A353" s="137" t="s">
        <v>15367</v>
      </c>
      <c r="B353" s="137" t="s">
        <v>406</v>
      </c>
      <c r="C353" s="137" t="s">
        <v>2103</v>
      </c>
      <c r="D353" s="338">
        <v>8185</v>
      </c>
      <c r="E353" s="137">
        <v>3262</v>
      </c>
      <c r="F353" s="137">
        <v>3262</v>
      </c>
    </row>
    <row r="354" spans="1:6" x14ac:dyDescent="0.25">
      <c r="A354" s="137" t="s">
        <v>15437</v>
      </c>
      <c r="B354" s="137" t="s">
        <v>406</v>
      </c>
      <c r="C354" s="137" t="s">
        <v>5475</v>
      </c>
      <c r="D354" s="338">
        <v>7087</v>
      </c>
      <c r="E354" s="137">
        <v>2792</v>
      </c>
      <c r="F354" s="137">
        <v>2792</v>
      </c>
    </row>
    <row r="355" spans="1:6" x14ac:dyDescent="0.25">
      <c r="A355" s="137" t="s">
        <v>15688</v>
      </c>
      <c r="B355" s="137" t="s">
        <v>406</v>
      </c>
      <c r="C355" s="137" t="s">
        <v>52</v>
      </c>
      <c r="D355" s="338">
        <v>4730</v>
      </c>
      <c r="E355" s="137">
        <v>4248</v>
      </c>
      <c r="F355" s="137">
        <v>4248</v>
      </c>
    </row>
    <row r="356" spans="1:6" x14ac:dyDescent="0.25">
      <c r="A356" s="137" t="s">
        <v>15380</v>
      </c>
      <c r="B356" s="137" t="s">
        <v>406</v>
      </c>
      <c r="C356" s="137" t="s">
        <v>50</v>
      </c>
      <c r="D356" s="338">
        <v>7798</v>
      </c>
      <c r="E356" s="137">
        <v>3973</v>
      </c>
      <c r="F356" s="137">
        <v>561</v>
      </c>
    </row>
    <row r="357" spans="1:6" x14ac:dyDescent="0.25">
      <c r="A357" s="137" t="s">
        <v>15658</v>
      </c>
      <c r="B357" s="137" t="s">
        <v>406</v>
      </c>
      <c r="C357" s="137" t="s">
        <v>47</v>
      </c>
      <c r="D357" s="338">
        <v>5003</v>
      </c>
      <c r="E357" s="137">
        <v>4109</v>
      </c>
      <c r="F357" s="137">
        <v>-1009</v>
      </c>
    </row>
    <row r="358" spans="1:6" x14ac:dyDescent="0.25">
      <c r="A358" s="137" t="s">
        <v>15483</v>
      </c>
      <c r="B358" s="137" t="s">
        <v>406</v>
      </c>
      <c r="C358" s="137" t="s">
        <v>5234</v>
      </c>
      <c r="D358" s="338">
        <v>6737</v>
      </c>
      <c r="E358" s="137">
        <v>3523</v>
      </c>
      <c r="F358" s="137">
        <v>3523</v>
      </c>
    </row>
    <row r="359" spans="1:6" x14ac:dyDescent="0.25">
      <c r="A359" s="137" t="s">
        <v>15497</v>
      </c>
      <c r="B359" s="137" t="s">
        <v>406</v>
      </c>
      <c r="C359" s="137" t="s">
        <v>4847</v>
      </c>
      <c r="D359" s="338">
        <v>6647</v>
      </c>
      <c r="E359" s="137">
        <v>3161</v>
      </c>
      <c r="F359" s="137">
        <v>3161</v>
      </c>
    </row>
    <row r="360" spans="1:6" x14ac:dyDescent="0.25">
      <c r="A360" s="137" t="s">
        <v>15505</v>
      </c>
      <c r="B360" s="137" t="s">
        <v>406</v>
      </c>
      <c r="C360" s="137" t="s">
        <v>5236</v>
      </c>
      <c r="D360" s="338">
        <v>6591</v>
      </c>
      <c r="E360" s="137">
        <v>3053</v>
      </c>
      <c r="F360" s="137">
        <v>3053</v>
      </c>
    </row>
    <row r="361" spans="1:6" x14ac:dyDescent="0.25">
      <c r="A361" s="137" t="s">
        <v>15947</v>
      </c>
      <c r="B361" s="137" t="s">
        <v>406</v>
      </c>
      <c r="C361" s="137" t="s">
        <v>44</v>
      </c>
      <c r="D361" s="338">
        <v>1258</v>
      </c>
      <c r="E361" s="137">
        <v>4620</v>
      </c>
      <c r="F361" s="137">
        <v>1208</v>
      </c>
    </row>
    <row r="362" spans="1:6" x14ac:dyDescent="0.25">
      <c r="A362" s="137" t="s">
        <v>15679</v>
      </c>
      <c r="B362" s="137" t="s">
        <v>406</v>
      </c>
      <c r="C362" s="137" t="s">
        <v>42</v>
      </c>
      <c r="D362" s="338">
        <v>4800</v>
      </c>
      <c r="E362" s="137">
        <v>4230</v>
      </c>
      <c r="F362" s="137">
        <v>4230</v>
      </c>
    </row>
    <row r="363" spans="1:6" x14ac:dyDescent="0.25">
      <c r="A363" s="137" t="s">
        <v>15792</v>
      </c>
      <c r="B363" s="137" t="s">
        <v>406</v>
      </c>
      <c r="C363" s="137" t="s">
        <v>4245</v>
      </c>
      <c r="D363" s="338">
        <v>3816</v>
      </c>
      <c r="E363" s="137">
        <v>3568</v>
      </c>
      <c r="F363" s="137">
        <v>3568</v>
      </c>
    </row>
    <row r="364" spans="1:6" x14ac:dyDescent="0.25">
      <c r="A364" s="137" t="s">
        <v>15552</v>
      </c>
      <c r="B364" s="137" t="s">
        <v>406</v>
      </c>
      <c r="C364" s="137" t="s">
        <v>5631</v>
      </c>
      <c r="D364" s="338">
        <v>6294</v>
      </c>
      <c r="E364" s="137">
        <v>3518</v>
      </c>
      <c r="F364" s="137">
        <v>106</v>
      </c>
    </row>
    <row r="365" spans="1:6" x14ac:dyDescent="0.25">
      <c r="A365" s="137" t="s">
        <v>15727</v>
      </c>
      <c r="B365" s="137" t="s">
        <v>406</v>
      </c>
      <c r="C365" s="137" t="s">
        <v>5331</v>
      </c>
      <c r="D365" s="338">
        <v>4363</v>
      </c>
      <c r="E365" s="137">
        <v>4522</v>
      </c>
      <c r="F365" s="137">
        <v>4522</v>
      </c>
    </row>
    <row r="366" spans="1:6" x14ac:dyDescent="0.25">
      <c r="A366" s="137" t="s">
        <v>15945</v>
      </c>
      <c r="B366" s="137" t="s">
        <v>406</v>
      </c>
      <c r="C366" s="137" t="s">
        <v>3628</v>
      </c>
      <c r="D366" s="338">
        <v>1378</v>
      </c>
      <c r="E366" s="137">
        <v>4133</v>
      </c>
      <c r="F366" s="137">
        <v>4133</v>
      </c>
    </row>
    <row r="367" spans="1:6" x14ac:dyDescent="0.25">
      <c r="A367" s="137" t="s">
        <v>15723</v>
      </c>
      <c r="B367" s="137" t="s">
        <v>406</v>
      </c>
      <c r="C367" s="137" t="s">
        <v>40</v>
      </c>
      <c r="D367" s="338">
        <v>4420</v>
      </c>
      <c r="E367" s="137">
        <v>4029</v>
      </c>
      <c r="F367" s="137">
        <v>4029</v>
      </c>
    </row>
    <row r="368" spans="1:6" x14ac:dyDescent="0.25">
      <c r="A368" s="137" t="s">
        <v>15596</v>
      </c>
      <c r="B368" s="137" t="s">
        <v>406</v>
      </c>
      <c r="C368" s="137" t="s">
        <v>37</v>
      </c>
      <c r="D368" s="338">
        <v>5773</v>
      </c>
      <c r="E368" s="137">
        <v>4365</v>
      </c>
      <c r="F368" s="137">
        <v>953</v>
      </c>
    </row>
    <row r="369" spans="1:6" x14ac:dyDescent="0.25">
      <c r="A369" s="137" t="s">
        <v>15863</v>
      </c>
      <c r="B369" s="137" t="s">
        <v>406</v>
      </c>
      <c r="C369" s="137" t="s">
        <v>34</v>
      </c>
      <c r="D369" s="338">
        <v>3077</v>
      </c>
      <c r="E369" s="137">
        <v>4900</v>
      </c>
      <c r="F369" s="137">
        <v>4900</v>
      </c>
    </row>
    <row r="370" spans="1:6" x14ac:dyDescent="0.25">
      <c r="A370" s="137" t="s">
        <v>15870</v>
      </c>
      <c r="B370" s="137" t="s">
        <v>406</v>
      </c>
      <c r="C370" s="137" t="s">
        <v>32</v>
      </c>
      <c r="D370" s="338">
        <v>3036</v>
      </c>
      <c r="E370" s="137">
        <v>4045</v>
      </c>
      <c r="F370" s="137">
        <v>633</v>
      </c>
    </row>
    <row r="371" spans="1:6" x14ac:dyDescent="0.25">
      <c r="A371" s="137" t="s">
        <v>15385</v>
      </c>
      <c r="B371" s="137" t="s">
        <v>406</v>
      </c>
      <c r="C371" s="137" t="s">
        <v>1851</v>
      </c>
      <c r="D371" s="338">
        <v>7658</v>
      </c>
      <c r="E371" s="137">
        <v>3344</v>
      </c>
      <c r="F371" s="137">
        <v>3344</v>
      </c>
    </row>
    <row r="372" spans="1:6" x14ac:dyDescent="0.25">
      <c r="A372" s="137" t="s">
        <v>15861</v>
      </c>
      <c r="B372" s="137" t="s">
        <v>406</v>
      </c>
      <c r="C372" s="137" t="s">
        <v>30</v>
      </c>
      <c r="D372" s="338">
        <v>3089</v>
      </c>
      <c r="E372" s="137">
        <v>3598</v>
      </c>
      <c r="F372" s="137">
        <v>186</v>
      </c>
    </row>
    <row r="373" spans="1:6" x14ac:dyDescent="0.25">
      <c r="A373" s="137" t="s">
        <v>15457</v>
      </c>
      <c r="B373" s="137" t="s">
        <v>406</v>
      </c>
      <c r="C373" s="137" t="s">
        <v>4181</v>
      </c>
      <c r="D373" s="338">
        <v>6955</v>
      </c>
      <c r="E373" s="137">
        <v>3404</v>
      </c>
      <c r="F373" s="137">
        <v>3404</v>
      </c>
    </row>
    <row r="374" spans="1:6" x14ac:dyDescent="0.25">
      <c r="A374" s="137" t="s">
        <v>15557</v>
      </c>
      <c r="B374" s="137" t="s">
        <v>406</v>
      </c>
      <c r="C374" s="137" t="s">
        <v>5473</v>
      </c>
      <c r="D374" s="338">
        <v>6228</v>
      </c>
      <c r="E374" s="137">
        <v>3177</v>
      </c>
      <c r="F374" s="137">
        <v>3177</v>
      </c>
    </row>
    <row r="375" spans="1:6" x14ac:dyDescent="0.25">
      <c r="A375" s="137" t="s">
        <v>15210</v>
      </c>
      <c r="B375" s="137" t="s">
        <v>406</v>
      </c>
      <c r="C375" s="137" t="s">
        <v>5380</v>
      </c>
      <c r="D375" s="338">
        <v>13819</v>
      </c>
      <c r="E375" s="137">
        <v>4684</v>
      </c>
      <c r="F375" s="137">
        <v>1272</v>
      </c>
    </row>
    <row r="376" spans="1:6" x14ac:dyDescent="0.25">
      <c r="A376" s="137" t="s">
        <v>15578</v>
      </c>
      <c r="B376" s="137" t="s">
        <v>406</v>
      </c>
      <c r="C376" s="137" t="s">
        <v>27</v>
      </c>
      <c r="D376" s="338">
        <v>5960</v>
      </c>
      <c r="E376" s="137">
        <v>3792</v>
      </c>
      <c r="F376" s="137">
        <v>380</v>
      </c>
    </row>
    <row r="377" spans="1:6" x14ac:dyDescent="0.25">
      <c r="A377" s="137" t="s">
        <v>15353</v>
      </c>
      <c r="B377" s="137" t="s">
        <v>406</v>
      </c>
      <c r="C377" s="137" t="s">
        <v>1393</v>
      </c>
      <c r="D377" s="338">
        <v>9053</v>
      </c>
      <c r="E377" s="137">
        <v>3513</v>
      </c>
      <c r="F377" s="137">
        <v>3513</v>
      </c>
    </row>
    <row r="378" spans="1:6" x14ac:dyDescent="0.25">
      <c r="A378" s="137" t="s">
        <v>15654</v>
      </c>
      <c r="B378" s="137" t="s">
        <v>406</v>
      </c>
      <c r="C378" s="137" t="s">
        <v>5511</v>
      </c>
      <c r="D378" s="338">
        <v>5033</v>
      </c>
      <c r="E378" s="137">
        <v>4388</v>
      </c>
      <c r="F378" s="137">
        <v>4388</v>
      </c>
    </row>
    <row r="379" spans="1:6" x14ac:dyDescent="0.25">
      <c r="A379" s="137" t="s">
        <v>15419</v>
      </c>
      <c r="B379" s="137" t="s">
        <v>406</v>
      </c>
      <c r="C379" s="137" t="s">
        <v>5416</v>
      </c>
      <c r="D379" s="338">
        <v>7268</v>
      </c>
      <c r="E379" s="137">
        <v>3121</v>
      </c>
      <c r="F379" s="137">
        <v>3121</v>
      </c>
    </row>
    <row r="380" spans="1:6" x14ac:dyDescent="0.25">
      <c r="A380" s="137" t="s">
        <v>15950</v>
      </c>
      <c r="B380" s="137" t="s">
        <v>406</v>
      </c>
      <c r="C380" s="137" t="s">
        <v>24</v>
      </c>
      <c r="D380" s="338">
        <v>1103</v>
      </c>
      <c r="E380" s="137">
        <v>4069</v>
      </c>
      <c r="F380" s="137">
        <v>4069</v>
      </c>
    </row>
    <row r="381" spans="1:6" x14ac:dyDescent="0.25">
      <c r="A381" s="137" t="s">
        <v>15568</v>
      </c>
      <c r="B381" s="137" t="s">
        <v>406</v>
      </c>
      <c r="C381" s="137" t="s">
        <v>21</v>
      </c>
      <c r="D381" s="338">
        <v>6103</v>
      </c>
      <c r="E381" s="137">
        <v>3597</v>
      </c>
      <c r="F381" s="137">
        <v>3597</v>
      </c>
    </row>
    <row r="382" spans="1:6" x14ac:dyDescent="0.25">
      <c r="A382" s="137" t="s">
        <v>15595</v>
      </c>
      <c r="B382" s="137" t="s">
        <v>406</v>
      </c>
      <c r="C382" s="137" t="s">
        <v>5567</v>
      </c>
      <c r="D382" s="338">
        <v>5781</v>
      </c>
      <c r="E382" s="137">
        <v>4043</v>
      </c>
      <c r="F382" s="137">
        <v>4043</v>
      </c>
    </row>
    <row r="383" spans="1:6" x14ac:dyDescent="0.25">
      <c r="A383" s="137" t="s">
        <v>15730</v>
      </c>
      <c r="B383" s="137" t="s">
        <v>406</v>
      </c>
      <c r="C383" s="137" t="s">
        <v>18</v>
      </c>
      <c r="D383" s="338">
        <v>4340</v>
      </c>
      <c r="E383" s="137">
        <v>4861</v>
      </c>
      <c r="F383" s="137">
        <v>4861</v>
      </c>
    </row>
    <row r="384" spans="1:6" x14ac:dyDescent="0.25">
      <c r="A384" s="137" t="s">
        <v>15665</v>
      </c>
      <c r="B384" s="137" t="s">
        <v>406</v>
      </c>
      <c r="C384" s="137" t="s">
        <v>5029</v>
      </c>
      <c r="D384" s="338">
        <v>4936</v>
      </c>
      <c r="E384" s="137">
        <v>3811</v>
      </c>
      <c r="F384" s="137">
        <v>3811</v>
      </c>
    </row>
    <row r="385" spans="1:6" x14ac:dyDescent="0.25">
      <c r="A385" s="137" t="s">
        <v>15797</v>
      </c>
      <c r="B385" s="137" t="s">
        <v>406</v>
      </c>
      <c r="C385" s="137" t="s">
        <v>3358</v>
      </c>
      <c r="D385" s="338">
        <v>3796</v>
      </c>
      <c r="E385" s="137">
        <v>3601</v>
      </c>
      <c r="F385" s="137">
        <v>3601</v>
      </c>
    </row>
    <row r="386" spans="1:6" x14ac:dyDescent="0.25">
      <c r="A386" s="137" t="s">
        <v>15858</v>
      </c>
      <c r="B386" s="137" t="s">
        <v>406</v>
      </c>
      <c r="C386" s="137" t="s">
        <v>3842</v>
      </c>
      <c r="D386" s="338">
        <v>3139</v>
      </c>
      <c r="E386" s="137">
        <v>3843</v>
      </c>
      <c r="F386" s="137">
        <v>3843</v>
      </c>
    </row>
    <row r="387" spans="1:6" x14ac:dyDescent="0.25">
      <c r="A387" s="137" t="s">
        <v>15783</v>
      </c>
      <c r="B387" s="137" t="s">
        <v>406</v>
      </c>
      <c r="C387" s="137" t="s">
        <v>15</v>
      </c>
      <c r="D387" s="338">
        <v>3923</v>
      </c>
      <c r="E387" s="137">
        <v>5156</v>
      </c>
      <c r="F387" s="137">
        <v>5156</v>
      </c>
    </row>
    <row r="388" spans="1:6" x14ac:dyDescent="0.25">
      <c r="A388" s="137" t="s">
        <v>15696</v>
      </c>
      <c r="B388" s="137" t="s">
        <v>406</v>
      </c>
      <c r="C388" s="137" t="s">
        <v>5597</v>
      </c>
      <c r="D388" s="338">
        <v>4692</v>
      </c>
      <c r="E388" s="137">
        <v>4464</v>
      </c>
      <c r="F388" s="137">
        <v>4464</v>
      </c>
    </row>
    <row r="389" spans="1:6" x14ac:dyDescent="0.25">
      <c r="A389" s="137" t="s">
        <v>15833</v>
      </c>
      <c r="B389" s="137" t="s">
        <v>406</v>
      </c>
      <c r="C389" s="137" t="s">
        <v>4760</v>
      </c>
      <c r="D389" s="338">
        <v>3441</v>
      </c>
      <c r="E389" s="137">
        <v>4292</v>
      </c>
      <c r="F389" s="137">
        <v>4292</v>
      </c>
    </row>
    <row r="390" spans="1:6" x14ac:dyDescent="0.25">
      <c r="A390" s="137" t="s">
        <v>15692</v>
      </c>
      <c r="B390" s="137" t="s">
        <v>406</v>
      </c>
      <c r="C390" s="137" t="s">
        <v>4072</v>
      </c>
      <c r="D390" s="338">
        <v>4703</v>
      </c>
      <c r="E390" s="137">
        <v>3441</v>
      </c>
      <c r="F390" s="137">
        <v>3441</v>
      </c>
    </row>
    <row r="391" spans="1:6" x14ac:dyDescent="0.25">
      <c r="A391" s="137" t="s">
        <v>15752</v>
      </c>
      <c r="B391" s="137" t="s">
        <v>406</v>
      </c>
      <c r="C391" s="137" t="s">
        <v>4070</v>
      </c>
      <c r="D391" s="338">
        <v>4144</v>
      </c>
      <c r="E391" s="137">
        <v>3745</v>
      </c>
      <c r="F391" s="137">
        <v>3745</v>
      </c>
    </row>
    <row r="392" spans="1:6" x14ac:dyDescent="0.25">
      <c r="A392" s="137" t="s">
        <v>15323</v>
      </c>
      <c r="B392" s="137" t="s">
        <v>406</v>
      </c>
      <c r="C392" s="137" t="s">
        <v>5454</v>
      </c>
      <c r="D392" s="338">
        <v>11944</v>
      </c>
      <c r="E392" s="137">
        <v>3520</v>
      </c>
      <c r="F392" s="137">
        <v>108</v>
      </c>
    </row>
    <row r="393" spans="1:6" x14ac:dyDescent="0.25">
      <c r="A393" s="137" t="s">
        <v>15295</v>
      </c>
      <c r="B393" s="137" t="s">
        <v>406</v>
      </c>
      <c r="C393" s="137" t="s">
        <v>4136</v>
      </c>
      <c r="D393" s="338">
        <v>12558</v>
      </c>
      <c r="E393" s="137">
        <v>2817</v>
      </c>
      <c r="F393" s="137">
        <v>2817</v>
      </c>
    </row>
    <row r="394" spans="1:6" x14ac:dyDescent="0.25">
      <c r="A394" s="137" t="s">
        <v>15645</v>
      </c>
      <c r="B394" s="137" t="s">
        <v>406</v>
      </c>
      <c r="C394" s="137" t="s">
        <v>14211</v>
      </c>
      <c r="D394" s="338">
        <v>5088</v>
      </c>
      <c r="E394" s="137">
        <v>4630</v>
      </c>
      <c r="F394" s="137">
        <v>-488</v>
      </c>
    </row>
    <row r="395" spans="1:6" x14ac:dyDescent="0.25">
      <c r="A395" s="137" t="s">
        <v>15507</v>
      </c>
      <c r="B395" s="137" t="s">
        <v>406</v>
      </c>
      <c r="C395" s="137" t="s">
        <v>2061</v>
      </c>
      <c r="D395" s="338">
        <v>6579</v>
      </c>
      <c r="E395" s="137">
        <v>4120</v>
      </c>
      <c r="F395" s="137">
        <v>4120</v>
      </c>
    </row>
    <row r="396" spans="1:6" x14ac:dyDescent="0.25">
      <c r="A396" s="137" t="s">
        <v>15315</v>
      </c>
      <c r="B396" s="137" t="s">
        <v>406</v>
      </c>
      <c r="C396" s="137" t="s">
        <v>12</v>
      </c>
      <c r="D396" s="338">
        <v>12182</v>
      </c>
      <c r="E396" s="137">
        <v>3407</v>
      </c>
      <c r="F396" s="137">
        <v>3407</v>
      </c>
    </row>
    <row r="397" spans="1:6" x14ac:dyDescent="0.25">
      <c r="A397" s="137" t="s">
        <v>15317</v>
      </c>
      <c r="B397" s="137" t="s">
        <v>406</v>
      </c>
      <c r="C397" s="137" t="s">
        <v>3507</v>
      </c>
      <c r="D397" s="338">
        <v>12170</v>
      </c>
      <c r="E397" s="137">
        <v>2711</v>
      </c>
      <c r="F397" s="137">
        <v>2711</v>
      </c>
    </row>
    <row r="398" spans="1:6" x14ac:dyDescent="0.25">
      <c r="A398" s="137" t="s">
        <v>15321</v>
      </c>
      <c r="B398" s="137" t="s">
        <v>406</v>
      </c>
      <c r="C398" s="137" t="s">
        <v>9</v>
      </c>
      <c r="D398" s="338">
        <v>12087</v>
      </c>
      <c r="E398" s="137">
        <v>3865</v>
      </c>
      <c r="F398" s="137">
        <v>453</v>
      </c>
    </row>
    <row r="399" spans="1:6" x14ac:dyDescent="0.25">
      <c r="A399" s="137" t="s">
        <v>15309</v>
      </c>
      <c r="B399" s="137" t="s">
        <v>406</v>
      </c>
      <c r="C399" s="137" t="s">
        <v>483</v>
      </c>
      <c r="D399" s="338">
        <v>12261</v>
      </c>
      <c r="E399" s="137">
        <v>4016</v>
      </c>
      <c r="F399" s="137">
        <v>604</v>
      </c>
    </row>
    <row r="400" spans="1:6" x14ac:dyDescent="0.25">
      <c r="A400" s="137" t="s">
        <v>15308</v>
      </c>
      <c r="B400" s="137" t="s">
        <v>406</v>
      </c>
      <c r="C400" s="137" t="s">
        <v>5240</v>
      </c>
      <c r="D400" s="338">
        <v>12284</v>
      </c>
      <c r="E400" s="137">
        <v>3373</v>
      </c>
      <c r="F400" s="137">
        <v>3373</v>
      </c>
    </row>
    <row r="401" spans="1:6" x14ac:dyDescent="0.25">
      <c r="A401" s="137" t="s">
        <v>15307</v>
      </c>
      <c r="B401" s="137" t="s">
        <v>406</v>
      </c>
      <c r="C401" s="137" t="s">
        <v>4062</v>
      </c>
      <c r="D401" s="338">
        <v>12295</v>
      </c>
      <c r="E401" s="137">
        <v>2837</v>
      </c>
      <c r="F401" s="137">
        <v>2837</v>
      </c>
    </row>
    <row r="402" spans="1:6" x14ac:dyDescent="0.25">
      <c r="A402" s="137" t="s">
        <v>15314</v>
      </c>
      <c r="B402" s="137" t="s">
        <v>406</v>
      </c>
      <c r="C402" s="137" t="s">
        <v>5613</v>
      </c>
      <c r="D402" s="338">
        <v>12183</v>
      </c>
      <c r="E402" s="137">
        <v>3783</v>
      </c>
      <c r="F402" s="137">
        <v>371</v>
      </c>
    </row>
    <row r="403" spans="1:6" x14ac:dyDescent="0.25">
      <c r="A403" s="137" t="s">
        <v>15300</v>
      </c>
      <c r="B403" s="137" t="s">
        <v>406</v>
      </c>
      <c r="C403" s="137" t="s">
        <v>5721</v>
      </c>
      <c r="D403" s="338">
        <v>12497</v>
      </c>
      <c r="E403" s="137">
        <v>4225</v>
      </c>
      <c r="F403" s="137">
        <v>813</v>
      </c>
    </row>
    <row r="404" spans="1:6" x14ac:dyDescent="0.25">
      <c r="A404" s="137" t="s">
        <v>15580</v>
      </c>
      <c r="B404" s="137" t="s">
        <v>406</v>
      </c>
      <c r="C404" s="137" t="s">
        <v>5025</v>
      </c>
      <c r="D404" s="338">
        <v>5946</v>
      </c>
      <c r="E404" s="137">
        <v>3536</v>
      </c>
      <c r="F404" s="137">
        <v>3536</v>
      </c>
    </row>
    <row r="405" spans="1:6" x14ac:dyDescent="0.25">
      <c r="A405" s="137" t="s">
        <v>15801</v>
      </c>
      <c r="B405" s="137" t="s">
        <v>406</v>
      </c>
      <c r="C405" s="137" t="s">
        <v>1963</v>
      </c>
      <c r="D405" s="338">
        <v>3740</v>
      </c>
      <c r="E405" s="137">
        <v>3288</v>
      </c>
      <c r="F405" s="137">
        <v>3288</v>
      </c>
    </row>
    <row r="406" spans="1:6" x14ac:dyDescent="0.25">
      <c r="A406" s="137" t="s">
        <v>15514</v>
      </c>
      <c r="B406" s="137" t="s">
        <v>406</v>
      </c>
      <c r="C406" s="137" t="s">
        <v>6</v>
      </c>
      <c r="D406" s="338">
        <v>6541</v>
      </c>
      <c r="E406" s="137">
        <v>3373</v>
      </c>
      <c r="F406" s="137">
        <v>1667</v>
      </c>
    </row>
    <row r="407" spans="1:6" x14ac:dyDescent="0.25">
      <c r="A407" s="137" t="s">
        <v>15744</v>
      </c>
      <c r="B407" s="137" t="s">
        <v>406</v>
      </c>
      <c r="C407" s="137" t="s">
        <v>4781</v>
      </c>
      <c r="D407" s="338">
        <v>4219</v>
      </c>
      <c r="E407" s="137">
        <v>4032</v>
      </c>
      <c r="F407" s="137">
        <v>4032</v>
      </c>
    </row>
    <row r="408" spans="1:6" x14ac:dyDescent="0.25">
      <c r="A408" s="137" t="s">
        <v>12246</v>
      </c>
      <c r="B408" s="137" t="s">
        <v>369</v>
      </c>
      <c r="C408" s="137" t="s">
        <v>4054</v>
      </c>
      <c r="D408" s="338">
        <v>11204</v>
      </c>
      <c r="E408" s="137">
        <v>4024</v>
      </c>
      <c r="F408" s="137">
        <v>64</v>
      </c>
    </row>
    <row r="409" spans="1:6" x14ac:dyDescent="0.25">
      <c r="A409" s="137" t="s">
        <v>12258</v>
      </c>
      <c r="B409" s="137" t="s">
        <v>369</v>
      </c>
      <c r="C409" s="137" t="s">
        <v>4164</v>
      </c>
      <c r="D409" s="338">
        <v>10949</v>
      </c>
      <c r="E409" s="137">
        <v>2858</v>
      </c>
      <c r="F409" s="137">
        <v>-1102</v>
      </c>
    </row>
    <row r="410" spans="1:6" x14ac:dyDescent="0.25">
      <c r="A410" s="137" t="s">
        <v>12220</v>
      </c>
      <c r="B410" s="137" t="s">
        <v>369</v>
      </c>
      <c r="C410" s="137" t="s">
        <v>4529</v>
      </c>
      <c r="D410" s="338">
        <v>12342</v>
      </c>
      <c r="E410" s="137">
        <v>5613</v>
      </c>
      <c r="F410" s="137">
        <v>333</v>
      </c>
    </row>
    <row r="411" spans="1:6" x14ac:dyDescent="0.25">
      <c r="A411" s="137" t="s">
        <v>12465</v>
      </c>
      <c r="B411" s="137" t="s">
        <v>369</v>
      </c>
      <c r="C411" s="137" t="s">
        <v>5267</v>
      </c>
      <c r="D411" s="338">
        <v>11144</v>
      </c>
      <c r="E411" s="137">
        <v>6019</v>
      </c>
      <c r="F411" s="137">
        <v>739</v>
      </c>
    </row>
    <row r="412" spans="1:6" x14ac:dyDescent="0.25">
      <c r="A412" s="137" t="s">
        <v>12230</v>
      </c>
      <c r="B412" s="137" t="s">
        <v>369</v>
      </c>
      <c r="C412" s="137" t="s">
        <v>4631</v>
      </c>
      <c r="D412" s="338">
        <v>11930</v>
      </c>
      <c r="E412" s="137">
        <v>5518</v>
      </c>
      <c r="F412" s="137">
        <v>238</v>
      </c>
    </row>
    <row r="413" spans="1:6" x14ac:dyDescent="0.25">
      <c r="A413" s="137" t="s">
        <v>12504</v>
      </c>
      <c r="B413" s="137" t="s">
        <v>369</v>
      </c>
      <c r="C413" s="137" t="s">
        <v>5443</v>
      </c>
      <c r="D413" s="338">
        <v>9524</v>
      </c>
      <c r="E413" s="137">
        <v>4641</v>
      </c>
      <c r="F413" s="137">
        <v>681</v>
      </c>
    </row>
    <row r="414" spans="1:6" x14ac:dyDescent="0.25">
      <c r="A414" s="137" t="s">
        <v>12372</v>
      </c>
      <c r="B414" s="137" t="s">
        <v>369</v>
      </c>
      <c r="C414" s="137" t="s">
        <v>3950</v>
      </c>
      <c r="D414" s="338">
        <v>7128</v>
      </c>
      <c r="E414" s="137">
        <v>4326</v>
      </c>
      <c r="F414" s="137">
        <v>366</v>
      </c>
    </row>
    <row r="415" spans="1:6" x14ac:dyDescent="0.25">
      <c r="A415" s="137" t="s">
        <v>12642</v>
      </c>
      <c r="B415" s="137" t="s">
        <v>369</v>
      </c>
      <c r="C415" s="137" t="s">
        <v>5487</v>
      </c>
      <c r="D415" s="338">
        <v>4574</v>
      </c>
      <c r="E415" s="137">
        <v>3133</v>
      </c>
      <c r="F415" s="137">
        <v>493</v>
      </c>
    </row>
    <row r="416" spans="1:6" x14ac:dyDescent="0.25">
      <c r="A416" s="137" t="s">
        <v>12515</v>
      </c>
      <c r="B416" s="137" t="s">
        <v>369</v>
      </c>
      <c r="C416" s="137" t="s">
        <v>4828</v>
      </c>
      <c r="D416" s="338">
        <v>8648</v>
      </c>
      <c r="E416" s="137">
        <v>3658</v>
      </c>
      <c r="F416" s="137">
        <v>1018</v>
      </c>
    </row>
    <row r="417" spans="1:6" x14ac:dyDescent="0.25">
      <c r="A417" s="137" t="s">
        <v>12441</v>
      </c>
      <c r="B417" s="137" t="s">
        <v>369</v>
      </c>
      <c r="C417" s="137" t="s">
        <v>4816</v>
      </c>
      <c r="D417" s="338">
        <v>12850</v>
      </c>
      <c r="E417" s="137">
        <v>4838</v>
      </c>
      <c r="F417" s="137">
        <v>878</v>
      </c>
    </row>
    <row r="418" spans="1:6" x14ac:dyDescent="0.25">
      <c r="A418" s="137" t="s">
        <v>12591</v>
      </c>
      <c r="B418" s="137" t="s">
        <v>369</v>
      </c>
      <c r="C418" s="137" t="s">
        <v>5619</v>
      </c>
      <c r="D418" s="338">
        <v>12299</v>
      </c>
      <c r="E418" s="137">
        <v>3607</v>
      </c>
      <c r="F418" s="137">
        <v>-353</v>
      </c>
    </row>
    <row r="419" spans="1:6" x14ac:dyDescent="0.25">
      <c r="A419" s="137" t="s">
        <v>12464</v>
      </c>
      <c r="B419" s="137" t="s">
        <v>369</v>
      </c>
      <c r="C419" s="137" t="s">
        <v>4776</v>
      </c>
      <c r="D419" s="338">
        <v>11159</v>
      </c>
      <c r="E419" s="137">
        <v>3037</v>
      </c>
      <c r="F419" s="137">
        <v>397</v>
      </c>
    </row>
    <row r="420" spans="1:6" x14ac:dyDescent="0.25">
      <c r="A420" s="137" t="s">
        <v>11326</v>
      </c>
      <c r="B420" s="137" t="s">
        <v>369</v>
      </c>
      <c r="C420" s="137" t="s">
        <v>452</v>
      </c>
      <c r="D420" s="338">
        <v>7664</v>
      </c>
      <c r="E420" s="137">
        <v>4039</v>
      </c>
      <c r="F420" s="137">
        <v>79</v>
      </c>
    </row>
    <row r="421" spans="1:6" x14ac:dyDescent="0.25">
      <c r="A421" s="137" t="s">
        <v>12592</v>
      </c>
      <c r="B421" s="137" t="s">
        <v>369</v>
      </c>
      <c r="C421" s="137" t="s">
        <v>5570</v>
      </c>
      <c r="D421" s="338">
        <v>11932</v>
      </c>
      <c r="E421" s="137">
        <v>3505</v>
      </c>
      <c r="F421" s="137">
        <v>865</v>
      </c>
    </row>
    <row r="422" spans="1:6" x14ac:dyDescent="0.25">
      <c r="A422" s="137" t="s">
        <v>11367</v>
      </c>
      <c r="B422" s="137" t="s">
        <v>369</v>
      </c>
      <c r="C422" s="137" t="s">
        <v>450</v>
      </c>
      <c r="D422" s="338">
        <v>11614</v>
      </c>
      <c r="E422" s="137">
        <v>4950</v>
      </c>
      <c r="F422" s="137">
        <v>990</v>
      </c>
    </row>
    <row r="423" spans="1:6" x14ac:dyDescent="0.25">
      <c r="A423" s="137" t="s">
        <v>11174</v>
      </c>
      <c r="B423" s="137" t="s">
        <v>369</v>
      </c>
      <c r="C423" s="137" t="s">
        <v>448</v>
      </c>
      <c r="D423" s="338">
        <v>4921</v>
      </c>
      <c r="E423" s="137">
        <v>4762</v>
      </c>
      <c r="F423" s="137">
        <v>802</v>
      </c>
    </row>
    <row r="424" spans="1:6" x14ac:dyDescent="0.25">
      <c r="A424" s="137" t="s">
        <v>11382</v>
      </c>
      <c r="B424" s="137" t="s">
        <v>369</v>
      </c>
      <c r="C424" s="137" t="s">
        <v>446</v>
      </c>
      <c r="D424" s="338">
        <v>11356</v>
      </c>
      <c r="E424" s="137">
        <v>4258</v>
      </c>
      <c r="F424" s="137">
        <v>298</v>
      </c>
    </row>
    <row r="425" spans="1:6" x14ac:dyDescent="0.25">
      <c r="A425" s="137" t="s">
        <v>12457</v>
      </c>
      <c r="B425" s="137" t="s">
        <v>369</v>
      </c>
      <c r="C425" s="137" t="s">
        <v>5327</v>
      </c>
      <c r="D425" s="338">
        <v>11320</v>
      </c>
      <c r="E425" s="137">
        <v>3003</v>
      </c>
      <c r="F425" s="137">
        <v>363</v>
      </c>
    </row>
    <row r="426" spans="1:6" x14ac:dyDescent="0.25">
      <c r="A426" s="137" t="s">
        <v>12265</v>
      </c>
      <c r="B426" s="137" t="s">
        <v>369</v>
      </c>
      <c r="C426" s="137" t="s">
        <v>4092</v>
      </c>
      <c r="D426" s="338">
        <v>10744</v>
      </c>
      <c r="E426" s="137">
        <v>2841</v>
      </c>
      <c r="F426" s="137">
        <v>201</v>
      </c>
    </row>
    <row r="427" spans="1:6" x14ac:dyDescent="0.25">
      <c r="A427" s="137" t="s">
        <v>12302</v>
      </c>
      <c r="B427" s="137" t="s">
        <v>369</v>
      </c>
      <c r="C427" s="137" t="s">
        <v>3708</v>
      </c>
      <c r="D427" s="338">
        <v>8916</v>
      </c>
      <c r="E427" s="137">
        <v>3516</v>
      </c>
      <c r="F427" s="137">
        <v>876</v>
      </c>
    </row>
    <row r="428" spans="1:6" x14ac:dyDescent="0.25">
      <c r="A428" s="137" t="s">
        <v>12199</v>
      </c>
      <c r="B428" s="137" t="s">
        <v>369</v>
      </c>
      <c r="C428" s="137" t="s">
        <v>1678</v>
      </c>
      <c r="D428" s="338">
        <v>4230</v>
      </c>
      <c r="E428" s="137">
        <v>3493</v>
      </c>
      <c r="F428" s="137">
        <v>853</v>
      </c>
    </row>
    <row r="429" spans="1:6" x14ac:dyDescent="0.25">
      <c r="A429" s="137" t="s">
        <v>12492</v>
      </c>
      <c r="B429" s="137" t="s">
        <v>369</v>
      </c>
      <c r="C429" s="137" t="s">
        <v>5653</v>
      </c>
      <c r="D429" s="338">
        <v>10527</v>
      </c>
      <c r="E429" s="137">
        <v>4027</v>
      </c>
      <c r="F429" s="137">
        <v>67</v>
      </c>
    </row>
    <row r="430" spans="1:6" x14ac:dyDescent="0.25">
      <c r="A430" s="137" t="s">
        <v>12119</v>
      </c>
      <c r="B430" s="137" t="s">
        <v>369</v>
      </c>
      <c r="C430" s="137" t="s">
        <v>501</v>
      </c>
      <c r="D430" s="338">
        <v>12514</v>
      </c>
      <c r="E430" s="137">
        <v>4467</v>
      </c>
      <c r="F430" s="137">
        <v>507</v>
      </c>
    </row>
    <row r="431" spans="1:6" x14ac:dyDescent="0.25">
      <c r="A431" s="137" t="s">
        <v>12305</v>
      </c>
      <c r="B431" s="137" t="s">
        <v>369</v>
      </c>
      <c r="C431" s="137" t="s">
        <v>4404</v>
      </c>
      <c r="D431" s="338">
        <v>8834</v>
      </c>
      <c r="E431" s="137">
        <v>3754</v>
      </c>
      <c r="F431" s="137">
        <v>1114</v>
      </c>
    </row>
    <row r="432" spans="1:6" x14ac:dyDescent="0.25">
      <c r="A432" s="137" t="s">
        <v>12614</v>
      </c>
      <c r="B432" s="137" t="s">
        <v>369</v>
      </c>
      <c r="C432" s="137" t="s">
        <v>440</v>
      </c>
      <c r="D432" s="338">
        <v>9794</v>
      </c>
      <c r="E432" s="137">
        <v>3542</v>
      </c>
      <c r="F432" s="137">
        <v>902</v>
      </c>
    </row>
    <row r="433" spans="1:6" x14ac:dyDescent="0.25">
      <c r="A433" s="137" t="s">
        <v>11181</v>
      </c>
      <c r="B433" s="137" t="s">
        <v>369</v>
      </c>
      <c r="C433" s="137" t="s">
        <v>437</v>
      </c>
      <c r="D433" s="338">
        <v>5396</v>
      </c>
      <c r="E433" s="137">
        <v>4236</v>
      </c>
      <c r="F433" s="137">
        <v>276</v>
      </c>
    </row>
    <row r="434" spans="1:6" x14ac:dyDescent="0.25">
      <c r="A434" s="137" t="s">
        <v>12632</v>
      </c>
      <c r="B434" s="137" t="s">
        <v>369</v>
      </c>
      <c r="C434" s="137" t="s">
        <v>435</v>
      </c>
      <c r="D434" s="338">
        <v>6576</v>
      </c>
      <c r="E434" s="137">
        <v>3714</v>
      </c>
      <c r="F434" s="137">
        <v>1074</v>
      </c>
    </row>
    <row r="435" spans="1:6" x14ac:dyDescent="0.25">
      <c r="A435" s="137" t="s">
        <v>12411</v>
      </c>
      <c r="B435" s="137" t="s">
        <v>369</v>
      </c>
      <c r="C435" s="137" t="s">
        <v>2692</v>
      </c>
      <c r="D435" s="338">
        <v>5206</v>
      </c>
      <c r="E435" s="137">
        <v>2301</v>
      </c>
      <c r="F435" s="137">
        <v>981</v>
      </c>
    </row>
    <row r="436" spans="1:6" x14ac:dyDescent="0.25">
      <c r="A436" s="137" t="s">
        <v>12619</v>
      </c>
      <c r="B436" s="137" t="s">
        <v>369</v>
      </c>
      <c r="C436" s="137" t="s">
        <v>5663</v>
      </c>
      <c r="D436" s="338">
        <v>9178</v>
      </c>
      <c r="E436" s="137">
        <v>4977</v>
      </c>
      <c r="F436" s="137">
        <v>1017</v>
      </c>
    </row>
    <row r="437" spans="1:6" x14ac:dyDescent="0.25">
      <c r="A437" s="137" t="s">
        <v>12125</v>
      </c>
      <c r="B437" s="137" t="s">
        <v>369</v>
      </c>
      <c r="C437" s="137" t="s">
        <v>1920</v>
      </c>
      <c r="D437" s="338">
        <v>11982</v>
      </c>
      <c r="E437" s="137">
        <v>3562</v>
      </c>
      <c r="F437" s="137">
        <v>922</v>
      </c>
    </row>
    <row r="438" spans="1:6" x14ac:dyDescent="0.25">
      <c r="A438" s="137" t="s">
        <v>12534</v>
      </c>
      <c r="B438" s="137" t="s">
        <v>369</v>
      </c>
      <c r="C438" s="137" t="s">
        <v>5430</v>
      </c>
      <c r="D438" s="338">
        <v>7028</v>
      </c>
      <c r="E438" s="137">
        <v>3664</v>
      </c>
      <c r="F438" s="137">
        <v>1024</v>
      </c>
    </row>
    <row r="439" spans="1:6" x14ac:dyDescent="0.25">
      <c r="A439" s="137" t="s">
        <v>12615</v>
      </c>
      <c r="B439" s="137" t="s">
        <v>369</v>
      </c>
      <c r="C439" s="137" t="s">
        <v>5526</v>
      </c>
      <c r="D439" s="338">
        <v>9745</v>
      </c>
      <c r="E439" s="137">
        <v>4169</v>
      </c>
      <c r="F439" s="137">
        <v>209</v>
      </c>
    </row>
    <row r="440" spans="1:6" x14ac:dyDescent="0.25">
      <c r="A440" s="137" t="s">
        <v>11270</v>
      </c>
      <c r="B440" s="137" t="s">
        <v>369</v>
      </c>
      <c r="C440" s="137" t="s">
        <v>430</v>
      </c>
      <c r="D440" s="338">
        <v>11676</v>
      </c>
      <c r="E440" s="137">
        <v>3950</v>
      </c>
      <c r="F440" s="137">
        <v>-10</v>
      </c>
    </row>
    <row r="441" spans="1:6" x14ac:dyDescent="0.25">
      <c r="A441" s="137" t="s">
        <v>12284</v>
      </c>
      <c r="B441" s="137" t="s">
        <v>369</v>
      </c>
      <c r="C441" s="137" t="s">
        <v>4551</v>
      </c>
      <c r="D441" s="338">
        <v>10033</v>
      </c>
      <c r="E441" s="137">
        <v>3357</v>
      </c>
      <c r="F441" s="137">
        <v>717</v>
      </c>
    </row>
    <row r="442" spans="1:6" x14ac:dyDescent="0.25">
      <c r="A442" s="137" t="s">
        <v>12227</v>
      </c>
      <c r="B442" s="137" t="s">
        <v>369</v>
      </c>
      <c r="C442" s="137" t="s">
        <v>4553</v>
      </c>
      <c r="D442" s="338">
        <v>12066</v>
      </c>
      <c r="E442" s="137">
        <v>2730</v>
      </c>
      <c r="F442" s="137">
        <v>90</v>
      </c>
    </row>
    <row r="443" spans="1:6" x14ac:dyDescent="0.25">
      <c r="A443" s="137" t="s">
        <v>12449</v>
      </c>
      <c r="B443" s="137" t="s">
        <v>369</v>
      </c>
      <c r="C443" s="137" t="s">
        <v>424</v>
      </c>
      <c r="D443" s="338">
        <v>12022</v>
      </c>
      <c r="E443" s="137">
        <v>3445</v>
      </c>
      <c r="F443" s="137">
        <v>805</v>
      </c>
    </row>
    <row r="444" spans="1:6" x14ac:dyDescent="0.25">
      <c r="A444" s="137" t="s">
        <v>12460</v>
      </c>
      <c r="B444" s="137" t="s">
        <v>369</v>
      </c>
      <c r="C444" s="137" t="s">
        <v>5356</v>
      </c>
      <c r="D444" s="338">
        <v>11231</v>
      </c>
      <c r="E444" s="137">
        <v>3820</v>
      </c>
      <c r="F444" s="137">
        <v>1180</v>
      </c>
    </row>
    <row r="445" spans="1:6" x14ac:dyDescent="0.25">
      <c r="A445" s="137" t="s">
        <v>11179</v>
      </c>
      <c r="B445" s="137" t="s">
        <v>369</v>
      </c>
      <c r="C445" s="137" t="s">
        <v>422</v>
      </c>
      <c r="D445" s="338">
        <v>7891</v>
      </c>
      <c r="E445" s="137">
        <v>4776</v>
      </c>
      <c r="F445" s="137">
        <v>816</v>
      </c>
    </row>
    <row r="446" spans="1:6" x14ac:dyDescent="0.25">
      <c r="A446" s="137" t="s">
        <v>12603</v>
      </c>
      <c r="B446" s="137" t="s">
        <v>369</v>
      </c>
      <c r="C446" s="137" t="s">
        <v>5507</v>
      </c>
      <c r="D446" s="338">
        <v>11037</v>
      </c>
      <c r="E446" s="137">
        <v>3651</v>
      </c>
      <c r="F446" s="137">
        <v>1011</v>
      </c>
    </row>
    <row r="447" spans="1:6" x14ac:dyDescent="0.25">
      <c r="A447" s="137" t="s">
        <v>12382</v>
      </c>
      <c r="B447" s="137" t="s">
        <v>369</v>
      </c>
      <c r="C447" s="137" t="s">
        <v>3539</v>
      </c>
      <c r="D447" s="338">
        <v>6687</v>
      </c>
      <c r="E447" s="137">
        <v>3823</v>
      </c>
      <c r="F447" s="137">
        <v>-137</v>
      </c>
    </row>
    <row r="448" spans="1:6" x14ac:dyDescent="0.25">
      <c r="A448" s="137" t="s">
        <v>11365</v>
      </c>
      <c r="B448" s="137" t="s">
        <v>369</v>
      </c>
      <c r="C448" s="137" t="s">
        <v>419</v>
      </c>
      <c r="D448" s="338">
        <v>5432</v>
      </c>
      <c r="E448" s="137">
        <v>5674</v>
      </c>
      <c r="F448" s="137">
        <v>394</v>
      </c>
    </row>
    <row r="449" spans="1:6" x14ac:dyDescent="0.25">
      <c r="A449" s="137" t="s">
        <v>12505</v>
      </c>
      <c r="B449" s="137" t="s">
        <v>369</v>
      </c>
      <c r="C449" s="137" t="s">
        <v>5128</v>
      </c>
      <c r="D449" s="338">
        <v>9458</v>
      </c>
      <c r="E449" s="137">
        <v>4139</v>
      </c>
      <c r="F449" s="137">
        <v>-2461</v>
      </c>
    </row>
    <row r="450" spans="1:6" x14ac:dyDescent="0.25">
      <c r="A450" s="137" t="s">
        <v>12217</v>
      </c>
      <c r="B450" s="137" t="s">
        <v>369</v>
      </c>
      <c r="C450" s="137" t="s">
        <v>2553</v>
      </c>
      <c r="D450" s="338">
        <v>12462</v>
      </c>
      <c r="E450" s="137">
        <v>2553</v>
      </c>
      <c r="F450" s="137">
        <v>-87</v>
      </c>
    </row>
    <row r="451" spans="1:6" x14ac:dyDescent="0.25">
      <c r="A451" s="137" t="s">
        <v>11282</v>
      </c>
      <c r="B451" s="137" t="s">
        <v>369</v>
      </c>
      <c r="C451" s="137" t="s">
        <v>415</v>
      </c>
      <c r="D451" s="338">
        <v>2297</v>
      </c>
      <c r="E451" s="137">
        <v>5540</v>
      </c>
      <c r="F451" s="137">
        <v>260</v>
      </c>
    </row>
    <row r="452" spans="1:6" x14ac:dyDescent="0.25">
      <c r="A452" s="137" t="s">
        <v>12242</v>
      </c>
      <c r="B452" s="137" t="s">
        <v>369</v>
      </c>
      <c r="C452" s="137" t="s">
        <v>2512</v>
      </c>
      <c r="D452" s="338">
        <v>11339</v>
      </c>
      <c r="E452" s="137">
        <v>3657</v>
      </c>
      <c r="F452" s="137">
        <v>1017</v>
      </c>
    </row>
    <row r="453" spans="1:6" x14ac:dyDescent="0.25">
      <c r="A453" s="137" t="s">
        <v>12469</v>
      </c>
      <c r="B453" s="137" t="s">
        <v>369</v>
      </c>
      <c r="C453" s="137" t="s">
        <v>5091</v>
      </c>
      <c r="D453" s="338">
        <v>11042</v>
      </c>
      <c r="E453" s="137">
        <v>3183</v>
      </c>
      <c r="F453" s="137">
        <v>543</v>
      </c>
    </row>
    <row r="454" spans="1:6" x14ac:dyDescent="0.25">
      <c r="A454" s="137" t="s">
        <v>12478</v>
      </c>
      <c r="B454" s="137" t="s">
        <v>369</v>
      </c>
      <c r="C454" s="137" t="s">
        <v>5392</v>
      </c>
      <c r="D454" s="338">
        <v>10911</v>
      </c>
      <c r="E454" s="137">
        <v>3573</v>
      </c>
      <c r="F454" s="137">
        <v>933</v>
      </c>
    </row>
    <row r="455" spans="1:6" x14ac:dyDescent="0.25">
      <c r="A455" s="137" t="s">
        <v>11175</v>
      </c>
      <c r="B455" s="137" t="s">
        <v>369</v>
      </c>
      <c r="C455" s="137" t="s">
        <v>414</v>
      </c>
      <c r="D455" s="338">
        <v>3853</v>
      </c>
      <c r="E455" s="137">
        <v>6010</v>
      </c>
      <c r="F455" s="137">
        <v>730</v>
      </c>
    </row>
    <row r="456" spans="1:6" x14ac:dyDescent="0.25">
      <c r="A456" s="137" t="s">
        <v>11278</v>
      </c>
      <c r="B456" s="137" t="s">
        <v>369</v>
      </c>
      <c r="C456" s="137" t="s">
        <v>410</v>
      </c>
      <c r="D456" s="338">
        <v>5440</v>
      </c>
      <c r="E456" s="137">
        <v>3654</v>
      </c>
      <c r="F456" s="137">
        <v>1014</v>
      </c>
    </row>
    <row r="457" spans="1:6" x14ac:dyDescent="0.25">
      <c r="A457" s="137" t="s">
        <v>12453</v>
      </c>
      <c r="B457" s="137" t="s">
        <v>369</v>
      </c>
      <c r="C457" s="137" t="s">
        <v>5281</v>
      </c>
      <c r="D457" s="338">
        <v>11857</v>
      </c>
      <c r="E457" s="137">
        <v>2981</v>
      </c>
      <c r="F457" s="137">
        <v>341</v>
      </c>
    </row>
    <row r="458" spans="1:6" x14ac:dyDescent="0.25">
      <c r="A458" s="137" t="s">
        <v>11333</v>
      </c>
      <c r="B458" s="137" t="s">
        <v>369</v>
      </c>
      <c r="C458" s="137" t="s">
        <v>406</v>
      </c>
      <c r="D458" s="338">
        <v>4644</v>
      </c>
      <c r="E458" s="137">
        <v>5732</v>
      </c>
      <c r="F458" s="137">
        <v>452</v>
      </c>
    </row>
    <row r="459" spans="1:6" x14ac:dyDescent="0.25">
      <c r="A459" s="137" t="s">
        <v>12485</v>
      </c>
      <c r="B459" s="137" t="s">
        <v>369</v>
      </c>
      <c r="C459" s="137" t="s">
        <v>4865</v>
      </c>
      <c r="D459" s="338">
        <v>10737</v>
      </c>
      <c r="E459" s="137">
        <v>3630</v>
      </c>
      <c r="F459" s="137">
        <v>990</v>
      </c>
    </row>
    <row r="460" spans="1:6" x14ac:dyDescent="0.25">
      <c r="A460" s="137" t="s">
        <v>12120</v>
      </c>
      <c r="B460" s="137" t="s">
        <v>369</v>
      </c>
      <c r="C460" s="137" t="s">
        <v>763</v>
      </c>
      <c r="D460" s="338">
        <v>12425</v>
      </c>
      <c r="E460" s="137">
        <v>5078</v>
      </c>
      <c r="F460" s="137">
        <v>-2842</v>
      </c>
    </row>
    <row r="461" spans="1:6" x14ac:dyDescent="0.25">
      <c r="A461" s="137" t="s">
        <v>12596</v>
      </c>
      <c r="B461" s="137" t="s">
        <v>369</v>
      </c>
      <c r="C461" s="137" t="s">
        <v>402</v>
      </c>
      <c r="D461" s="338">
        <v>11390</v>
      </c>
      <c r="E461" s="137">
        <v>4085</v>
      </c>
      <c r="F461" s="137">
        <v>125</v>
      </c>
    </row>
    <row r="462" spans="1:6" x14ac:dyDescent="0.25">
      <c r="A462" s="137" t="s">
        <v>12138</v>
      </c>
      <c r="B462" s="137" t="s">
        <v>369</v>
      </c>
      <c r="C462" s="137" t="s">
        <v>1695</v>
      </c>
      <c r="D462" s="338">
        <v>11394</v>
      </c>
      <c r="E462" s="137">
        <v>3528</v>
      </c>
      <c r="F462" s="137">
        <v>888</v>
      </c>
    </row>
    <row r="463" spans="1:6" x14ac:dyDescent="0.25">
      <c r="A463" s="137" t="s">
        <v>12462</v>
      </c>
      <c r="B463" s="137" t="s">
        <v>369</v>
      </c>
      <c r="C463" s="137" t="s">
        <v>397</v>
      </c>
      <c r="D463" s="338">
        <v>11196</v>
      </c>
      <c r="E463" s="137">
        <v>3402</v>
      </c>
      <c r="F463" s="137">
        <v>762</v>
      </c>
    </row>
    <row r="464" spans="1:6" x14ac:dyDescent="0.25">
      <c r="A464" s="137" t="s">
        <v>12611</v>
      </c>
      <c r="B464" s="137" t="s">
        <v>369</v>
      </c>
      <c r="C464" s="137" t="s">
        <v>393</v>
      </c>
      <c r="D464" s="338">
        <v>10316</v>
      </c>
      <c r="E464" s="137">
        <v>4382</v>
      </c>
      <c r="F464" s="137">
        <v>422</v>
      </c>
    </row>
    <row r="465" spans="1:6" x14ac:dyDescent="0.25">
      <c r="A465" s="137" t="s">
        <v>12280</v>
      </c>
      <c r="B465" s="137" t="s">
        <v>369</v>
      </c>
      <c r="C465" s="137" t="s">
        <v>4548</v>
      </c>
      <c r="D465" s="338">
        <v>10114</v>
      </c>
      <c r="E465" s="137">
        <v>4959</v>
      </c>
      <c r="F465" s="137">
        <v>999</v>
      </c>
    </row>
    <row r="466" spans="1:6" x14ac:dyDescent="0.25">
      <c r="A466" s="137" t="s">
        <v>12468</v>
      </c>
      <c r="B466" s="137" t="s">
        <v>369</v>
      </c>
      <c r="C466" s="137" t="s">
        <v>5231</v>
      </c>
      <c r="D466" s="338">
        <v>11094</v>
      </c>
      <c r="E466" s="137">
        <v>3395</v>
      </c>
      <c r="F466" s="137">
        <v>755</v>
      </c>
    </row>
    <row r="467" spans="1:6" x14ac:dyDescent="0.25">
      <c r="A467" s="137" t="s">
        <v>12620</v>
      </c>
      <c r="B467" s="137" t="s">
        <v>369</v>
      </c>
      <c r="C467" s="137" t="s">
        <v>388</v>
      </c>
      <c r="D467" s="338">
        <v>8951</v>
      </c>
      <c r="E467" s="137">
        <v>5046</v>
      </c>
      <c r="F467" s="137">
        <v>1086</v>
      </c>
    </row>
    <row r="468" spans="1:6" x14ac:dyDescent="0.25">
      <c r="A468" s="137" t="s">
        <v>11233</v>
      </c>
      <c r="B468" s="137" t="s">
        <v>369</v>
      </c>
      <c r="C468" s="137" t="s">
        <v>385</v>
      </c>
      <c r="D468" s="338">
        <v>3361</v>
      </c>
      <c r="E468" s="137">
        <v>5870</v>
      </c>
      <c r="F468" s="137">
        <v>-730</v>
      </c>
    </row>
    <row r="469" spans="1:6" x14ac:dyDescent="0.25">
      <c r="A469" s="137" t="s">
        <v>12122</v>
      </c>
      <c r="B469" s="137" t="s">
        <v>369</v>
      </c>
      <c r="C469" s="137" t="s">
        <v>1522</v>
      </c>
      <c r="D469" s="338">
        <v>12157</v>
      </c>
      <c r="E469" s="137">
        <v>3509</v>
      </c>
      <c r="F469" s="137">
        <v>869</v>
      </c>
    </row>
    <row r="470" spans="1:6" x14ac:dyDescent="0.25">
      <c r="A470" s="137" t="s">
        <v>12549</v>
      </c>
      <c r="B470" s="137" t="s">
        <v>369</v>
      </c>
      <c r="C470" s="137" t="s">
        <v>5200</v>
      </c>
      <c r="D470" s="338">
        <v>5420</v>
      </c>
      <c r="E470" s="137">
        <v>3089</v>
      </c>
      <c r="F470" s="137">
        <v>449</v>
      </c>
    </row>
    <row r="471" spans="1:6" x14ac:dyDescent="0.25">
      <c r="A471" s="137" t="s">
        <v>12275</v>
      </c>
      <c r="B471" s="137" t="s">
        <v>369</v>
      </c>
      <c r="C471" s="137" t="s">
        <v>2531</v>
      </c>
      <c r="D471" s="338">
        <v>10205</v>
      </c>
      <c r="E471" s="137">
        <v>4659</v>
      </c>
      <c r="F471" s="137">
        <v>699</v>
      </c>
    </row>
    <row r="472" spans="1:6" x14ac:dyDescent="0.25">
      <c r="A472" s="137" t="s">
        <v>11191</v>
      </c>
      <c r="B472" s="137" t="s">
        <v>369</v>
      </c>
      <c r="C472" s="137" t="s">
        <v>383</v>
      </c>
      <c r="D472" s="338">
        <v>3903</v>
      </c>
      <c r="E472" s="137">
        <v>5205</v>
      </c>
      <c r="F472" s="137">
        <v>1245</v>
      </c>
    </row>
    <row r="473" spans="1:6" x14ac:dyDescent="0.25">
      <c r="A473" s="137" t="s">
        <v>11173</v>
      </c>
      <c r="B473" s="137" t="s">
        <v>369</v>
      </c>
      <c r="C473" s="137" t="s">
        <v>378</v>
      </c>
      <c r="D473" s="338">
        <v>3764</v>
      </c>
      <c r="E473" s="137">
        <v>5907</v>
      </c>
      <c r="F473" s="137">
        <v>627</v>
      </c>
    </row>
    <row r="474" spans="1:6" x14ac:dyDescent="0.25">
      <c r="A474" s="137" t="s">
        <v>12488</v>
      </c>
      <c r="B474" s="137" t="s">
        <v>369</v>
      </c>
      <c r="C474" s="137" t="s">
        <v>5377</v>
      </c>
      <c r="D474" s="338">
        <v>10608</v>
      </c>
      <c r="E474" s="137">
        <v>3040</v>
      </c>
      <c r="F474" s="137">
        <v>400</v>
      </c>
    </row>
    <row r="475" spans="1:6" x14ac:dyDescent="0.25">
      <c r="A475" s="137" t="s">
        <v>12650</v>
      </c>
      <c r="B475" s="137" t="s">
        <v>369</v>
      </c>
      <c r="C475" s="137" t="s">
        <v>376</v>
      </c>
      <c r="D475" s="338">
        <v>11550</v>
      </c>
      <c r="E475" s="137">
        <v>3864</v>
      </c>
      <c r="F475" s="137">
        <v>1224</v>
      </c>
    </row>
    <row r="476" spans="1:6" x14ac:dyDescent="0.25">
      <c r="A476" s="137" t="s">
        <v>12522</v>
      </c>
      <c r="B476" s="137" t="s">
        <v>369</v>
      </c>
      <c r="C476" s="137" t="s">
        <v>5438</v>
      </c>
      <c r="D476" s="338">
        <v>7992</v>
      </c>
      <c r="E476" s="137">
        <v>4163</v>
      </c>
      <c r="F476" s="137">
        <v>203</v>
      </c>
    </row>
    <row r="477" spans="1:6" x14ac:dyDescent="0.25">
      <c r="A477" s="137" t="s">
        <v>12600</v>
      </c>
      <c r="B477" s="137" t="s">
        <v>369</v>
      </c>
      <c r="C477" s="137" t="s">
        <v>5587</v>
      </c>
      <c r="D477" s="338">
        <v>11205</v>
      </c>
      <c r="E477" s="137">
        <v>3672</v>
      </c>
      <c r="F477" s="137">
        <v>1032</v>
      </c>
    </row>
    <row r="478" spans="1:6" x14ac:dyDescent="0.25">
      <c r="A478" s="137" t="s">
        <v>12641</v>
      </c>
      <c r="B478" s="137" t="s">
        <v>369</v>
      </c>
      <c r="C478" s="137" t="s">
        <v>5489</v>
      </c>
      <c r="D478" s="338">
        <v>4583</v>
      </c>
      <c r="E478" s="137">
        <v>4271</v>
      </c>
      <c r="F478" s="137">
        <v>311</v>
      </c>
    </row>
    <row r="479" spans="1:6" x14ac:dyDescent="0.25">
      <c r="A479" s="137" t="s">
        <v>12573</v>
      </c>
      <c r="B479" s="137" t="s">
        <v>369</v>
      </c>
      <c r="C479" s="137" t="s">
        <v>368</v>
      </c>
      <c r="D479" s="338">
        <v>3545</v>
      </c>
      <c r="E479" s="137">
        <v>5986</v>
      </c>
      <c r="F479" s="137">
        <v>706</v>
      </c>
    </row>
    <row r="480" spans="1:6" x14ac:dyDescent="0.25">
      <c r="A480" s="137" t="s">
        <v>11261</v>
      </c>
      <c r="B480" s="137" t="s">
        <v>369</v>
      </c>
      <c r="C480" s="137" t="s">
        <v>366</v>
      </c>
      <c r="D480" s="338">
        <v>5892</v>
      </c>
      <c r="E480" s="137">
        <v>4051</v>
      </c>
      <c r="F480" s="137">
        <v>91</v>
      </c>
    </row>
    <row r="481" spans="1:6" x14ac:dyDescent="0.25">
      <c r="A481" s="137" t="s">
        <v>12525</v>
      </c>
      <c r="B481" s="137" t="s">
        <v>369</v>
      </c>
      <c r="C481" s="137" t="s">
        <v>364</v>
      </c>
      <c r="D481" s="338">
        <v>7606</v>
      </c>
      <c r="E481" s="137">
        <v>3707</v>
      </c>
      <c r="F481" s="137">
        <v>1067</v>
      </c>
    </row>
    <row r="482" spans="1:6" x14ac:dyDescent="0.25">
      <c r="A482" s="137" t="s">
        <v>12501</v>
      </c>
      <c r="B482" s="137" t="s">
        <v>369</v>
      </c>
      <c r="C482" s="137" t="s">
        <v>4924</v>
      </c>
      <c r="D482" s="338">
        <v>9732</v>
      </c>
      <c r="E482" s="137">
        <v>2894</v>
      </c>
      <c r="F482" s="137">
        <v>254</v>
      </c>
    </row>
    <row r="483" spans="1:6" x14ac:dyDescent="0.25">
      <c r="A483" s="137" t="s">
        <v>11257</v>
      </c>
      <c r="B483" s="137" t="s">
        <v>369</v>
      </c>
      <c r="C483" s="137" t="s">
        <v>361</v>
      </c>
      <c r="D483" s="338">
        <v>3986</v>
      </c>
      <c r="E483" s="137">
        <v>4984</v>
      </c>
      <c r="F483" s="137">
        <v>1024</v>
      </c>
    </row>
    <row r="484" spans="1:6" x14ac:dyDescent="0.25">
      <c r="A484" s="137" t="s">
        <v>12207</v>
      </c>
      <c r="B484" s="137" t="s">
        <v>369</v>
      </c>
      <c r="C484" s="137" t="s">
        <v>3537</v>
      </c>
      <c r="D484" s="338">
        <v>13435</v>
      </c>
      <c r="E484" s="137">
        <v>5504</v>
      </c>
      <c r="F484" s="137">
        <v>224</v>
      </c>
    </row>
    <row r="485" spans="1:6" x14ac:dyDescent="0.25">
      <c r="A485" s="137" t="s">
        <v>11178</v>
      </c>
      <c r="B485" s="137" t="s">
        <v>369</v>
      </c>
      <c r="C485" s="137" t="s">
        <v>359</v>
      </c>
      <c r="D485" s="338">
        <v>12630</v>
      </c>
      <c r="E485" s="137">
        <v>5405</v>
      </c>
      <c r="F485" s="137">
        <v>125</v>
      </c>
    </row>
    <row r="486" spans="1:6" x14ac:dyDescent="0.25">
      <c r="A486" s="137" t="s">
        <v>12563</v>
      </c>
      <c r="B486" s="137" t="s">
        <v>369</v>
      </c>
      <c r="C486" s="137" t="s">
        <v>5262</v>
      </c>
      <c r="D486" s="338">
        <v>4415</v>
      </c>
      <c r="E486" s="137">
        <v>3461</v>
      </c>
      <c r="F486" s="137">
        <v>821</v>
      </c>
    </row>
    <row r="487" spans="1:6" x14ac:dyDescent="0.25">
      <c r="A487" s="137" t="s">
        <v>11189</v>
      </c>
      <c r="B487" s="137" t="s">
        <v>369</v>
      </c>
      <c r="C487" s="137" t="s">
        <v>355</v>
      </c>
      <c r="D487" s="338">
        <v>3809</v>
      </c>
      <c r="E487" s="137">
        <v>5511</v>
      </c>
      <c r="F487" s="137">
        <v>231</v>
      </c>
    </row>
    <row r="488" spans="1:6" x14ac:dyDescent="0.25">
      <c r="A488" s="137" t="s">
        <v>12608</v>
      </c>
      <c r="B488" s="137" t="s">
        <v>369</v>
      </c>
      <c r="C488" s="137" t="s">
        <v>5658</v>
      </c>
      <c r="D488" s="338">
        <v>10823</v>
      </c>
      <c r="E488" s="137">
        <v>3821</v>
      </c>
      <c r="F488" s="137">
        <v>-139</v>
      </c>
    </row>
    <row r="489" spans="1:6" x14ac:dyDescent="0.25">
      <c r="A489" s="137" t="s">
        <v>12616</v>
      </c>
      <c r="B489" s="137" t="s">
        <v>369</v>
      </c>
      <c r="C489" s="137" t="s">
        <v>353</v>
      </c>
      <c r="D489" s="338">
        <v>9451</v>
      </c>
      <c r="E489" s="137">
        <v>4927</v>
      </c>
      <c r="F489" s="137">
        <v>-1673</v>
      </c>
    </row>
    <row r="490" spans="1:6" x14ac:dyDescent="0.25">
      <c r="A490" s="137" t="s">
        <v>12633</v>
      </c>
      <c r="B490" s="137" t="s">
        <v>369</v>
      </c>
      <c r="C490" s="137" t="s">
        <v>349</v>
      </c>
      <c r="D490" s="338">
        <v>6487</v>
      </c>
      <c r="E490" s="137">
        <v>3739</v>
      </c>
      <c r="F490" s="137">
        <v>1099</v>
      </c>
    </row>
    <row r="491" spans="1:6" x14ac:dyDescent="0.25">
      <c r="A491" s="137" t="s">
        <v>11231</v>
      </c>
      <c r="B491" s="137" t="s">
        <v>369</v>
      </c>
      <c r="C491" s="137" t="s">
        <v>347</v>
      </c>
      <c r="D491" s="338">
        <v>4106</v>
      </c>
      <c r="E491" s="137">
        <v>5231</v>
      </c>
      <c r="F491" s="137">
        <v>1271</v>
      </c>
    </row>
    <row r="492" spans="1:6" x14ac:dyDescent="0.25">
      <c r="A492" s="137" t="s">
        <v>11185</v>
      </c>
      <c r="B492" s="137" t="s">
        <v>369</v>
      </c>
      <c r="C492" s="137" t="s">
        <v>345</v>
      </c>
      <c r="D492" s="338">
        <v>2035</v>
      </c>
      <c r="E492" s="137">
        <v>3864</v>
      </c>
      <c r="F492" s="137">
        <v>-1416</v>
      </c>
    </row>
    <row r="493" spans="1:6" x14ac:dyDescent="0.25">
      <c r="A493" s="137" t="s">
        <v>12244</v>
      </c>
      <c r="B493" s="137" t="s">
        <v>369</v>
      </c>
      <c r="C493" s="137" t="s">
        <v>3693</v>
      </c>
      <c r="D493" s="338">
        <v>11311</v>
      </c>
      <c r="E493" s="137">
        <v>3906</v>
      </c>
      <c r="F493" s="137">
        <v>1266</v>
      </c>
    </row>
    <row r="494" spans="1:6" x14ac:dyDescent="0.25">
      <c r="A494" s="137" t="s">
        <v>11296</v>
      </c>
      <c r="B494" s="137" t="s">
        <v>369</v>
      </c>
      <c r="C494" s="137" t="s">
        <v>343</v>
      </c>
      <c r="D494" s="338">
        <v>3771</v>
      </c>
      <c r="E494" s="137">
        <v>6106</v>
      </c>
      <c r="F494" s="137">
        <v>826</v>
      </c>
    </row>
    <row r="495" spans="1:6" x14ac:dyDescent="0.25">
      <c r="A495" s="137" t="s">
        <v>12653</v>
      </c>
      <c r="B495" s="137" t="s">
        <v>369</v>
      </c>
      <c r="C495" s="137" t="s">
        <v>4651</v>
      </c>
      <c r="D495" s="338">
        <v>10339</v>
      </c>
      <c r="E495" s="137">
        <v>3631</v>
      </c>
      <c r="F495" s="137">
        <v>991</v>
      </c>
    </row>
    <row r="496" spans="1:6" x14ac:dyDescent="0.25">
      <c r="A496" s="137" t="s">
        <v>12202</v>
      </c>
      <c r="B496" s="137" t="s">
        <v>369</v>
      </c>
      <c r="C496" s="137" t="s">
        <v>1937</v>
      </c>
      <c r="D496" s="338">
        <v>2259</v>
      </c>
      <c r="E496" s="137">
        <v>2250</v>
      </c>
      <c r="F496" s="137">
        <v>930</v>
      </c>
    </row>
    <row r="497" spans="1:6" x14ac:dyDescent="0.25">
      <c r="A497" s="137" t="s">
        <v>11360</v>
      </c>
      <c r="B497" s="137" t="s">
        <v>369</v>
      </c>
      <c r="C497" s="137" t="s">
        <v>339</v>
      </c>
      <c r="D497" s="338">
        <v>4991</v>
      </c>
      <c r="E497" s="137">
        <v>6025</v>
      </c>
      <c r="F497" s="137">
        <v>-575</v>
      </c>
    </row>
    <row r="498" spans="1:6" x14ac:dyDescent="0.25">
      <c r="A498" s="137" t="s">
        <v>12334</v>
      </c>
      <c r="B498" s="137" t="s">
        <v>369</v>
      </c>
      <c r="C498" s="137" t="s">
        <v>4609</v>
      </c>
      <c r="D498" s="338">
        <v>8413</v>
      </c>
      <c r="E498" s="137">
        <v>3837</v>
      </c>
      <c r="F498" s="137">
        <v>-123</v>
      </c>
    </row>
    <row r="499" spans="1:6" x14ac:dyDescent="0.25">
      <c r="A499" s="137" t="s">
        <v>12477</v>
      </c>
      <c r="B499" s="137" t="s">
        <v>369</v>
      </c>
      <c r="C499" s="137" t="s">
        <v>5068</v>
      </c>
      <c r="D499" s="338">
        <v>10931</v>
      </c>
      <c r="E499" s="137">
        <v>4313</v>
      </c>
      <c r="F499" s="137">
        <v>353</v>
      </c>
    </row>
    <row r="500" spans="1:6" x14ac:dyDescent="0.25">
      <c r="A500" s="137" t="s">
        <v>12144</v>
      </c>
      <c r="B500" s="137" t="s">
        <v>369</v>
      </c>
      <c r="C500" s="137" t="s">
        <v>1838</v>
      </c>
      <c r="D500" s="338">
        <v>11018</v>
      </c>
      <c r="E500" s="137">
        <v>3552</v>
      </c>
      <c r="F500" s="137">
        <v>912</v>
      </c>
    </row>
    <row r="501" spans="1:6" x14ac:dyDescent="0.25">
      <c r="A501" s="137" t="s">
        <v>12260</v>
      </c>
      <c r="B501" s="137" t="s">
        <v>369</v>
      </c>
      <c r="C501" s="137" t="s">
        <v>4324</v>
      </c>
      <c r="D501" s="338">
        <v>10823</v>
      </c>
      <c r="E501" s="137">
        <v>5382</v>
      </c>
      <c r="F501" s="137">
        <v>102</v>
      </c>
    </row>
    <row r="502" spans="1:6" x14ac:dyDescent="0.25">
      <c r="A502" s="137" t="s">
        <v>11264</v>
      </c>
      <c r="B502" s="137" t="s">
        <v>369</v>
      </c>
      <c r="C502" s="137" t="s">
        <v>337</v>
      </c>
      <c r="D502" s="338">
        <v>5244</v>
      </c>
      <c r="E502" s="137">
        <v>4176</v>
      </c>
      <c r="F502" s="137">
        <v>216</v>
      </c>
    </row>
    <row r="503" spans="1:6" x14ac:dyDescent="0.25">
      <c r="A503" s="137" t="s">
        <v>12508</v>
      </c>
      <c r="B503" s="137" t="s">
        <v>369</v>
      </c>
      <c r="C503" s="137" t="s">
        <v>5221</v>
      </c>
      <c r="D503" s="338">
        <v>9347</v>
      </c>
      <c r="E503" s="137">
        <v>4204</v>
      </c>
      <c r="F503" s="137">
        <v>244</v>
      </c>
    </row>
    <row r="504" spans="1:6" x14ac:dyDescent="0.25">
      <c r="A504" s="137" t="s">
        <v>11242</v>
      </c>
      <c r="B504" s="137" t="s">
        <v>369</v>
      </c>
      <c r="C504" s="137" t="s">
        <v>335</v>
      </c>
      <c r="D504" s="338">
        <v>9264</v>
      </c>
      <c r="E504" s="137">
        <v>4680</v>
      </c>
      <c r="F504" s="137">
        <v>720</v>
      </c>
    </row>
    <row r="505" spans="1:6" x14ac:dyDescent="0.25">
      <c r="A505" s="137" t="s">
        <v>11299</v>
      </c>
      <c r="B505" s="137" t="s">
        <v>369</v>
      </c>
      <c r="C505" s="137" t="s">
        <v>333</v>
      </c>
      <c r="D505" s="338">
        <v>2326</v>
      </c>
      <c r="E505" s="137">
        <v>5246</v>
      </c>
      <c r="F505" s="137">
        <v>1286</v>
      </c>
    </row>
    <row r="506" spans="1:6" x14ac:dyDescent="0.25">
      <c r="A506" s="137" t="s">
        <v>12295</v>
      </c>
      <c r="B506" s="137" t="s">
        <v>369</v>
      </c>
      <c r="C506" s="137" t="s">
        <v>3046</v>
      </c>
      <c r="D506" s="338">
        <v>9295</v>
      </c>
      <c r="E506" s="137">
        <v>3405</v>
      </c>
      <c r="F506" s="137">
        <v>765</v>
      </c>
    </row>
    <row r="507" spans="1:6" x14ac:dyDescent="0.25">
      <c r="A507" s="137" t="s">
        <v>12631</v>
      </c>
      <c r="B507" s="137" t="s">
        <v>369</v>
      </c>
      <c r="C507" s="137" t="s">
        <v>5636</v>
      </c>
      <c r="D507" s="338">
        <v>6899</v>
      </c>
      <c r="E507" s="137">
        <v>3934</v>
      </c>
      <c r="F507" s="137">
        <v>3934</v>
      </c>
    </row>
    <row r="508" spans="1:6" x14ac:dyDescent="0.25">
      <c r="A508" s="137" t="s">
        <v>12484</v>
      </c>
      <c r="B508" s="137" t="s">
        <v>369</v>
      </c>
      <c r="C508" s="137" t="s">
        <v>4937</v>
      </c>
      <c r="D508" s="338">
        <v>10741</v>
      </c>
      <c r="E508" s="137">
        <v>3161</v>
      </c>
      <c r="F508" s="137">
        <v>521</v>
      </c>
    </row>
    <row r="509" spans="1:6" x14ac:dyDescent="0.25">
      <c r="A509" s="137" t="s">
        <v>12580</v>
      </c>
      <c r="B509" s="137" t="s">
        <v>369</v>
      </c>
      <c r="C509" s="137" t="s">
        <v>4884</v>
      </c>
      <c r="D509" s="338">
        <v>2747</v>
      </c>
      <c r="E509" s="137">
        <v>3293</v>
      </c>
      <c r="F509" s="137">
        <v>653</v>
      </c>
    </row>
    <row r="510" spans="1:6" x14ac:dyDescent="0.25">
      <c r="A510" s="137" t="s">
        <v>12234</v>
      </c>
      <c r="B510" s="137" t="s">
        <v>369</v>
      </c>
      <c r="C510" s="137" t="s">
        <v>4533</v>
      </c>
      <c r="D510" s="338">
        <v>11721</v>
      </c>
      <c r="E510" s="137">
        <v>3016</v>
      </c>
      <c r="F510" s="137">
        <v>376</v>
      </c>
    </row>
    <row r="511" spans="1:6" x14ac:dyDescent="0.25">
      <c r="A511" s="137" t="s">
        <v>12599</v>
      </c>
      <c r="B511" s="137" t="s">
        <v>369</v>
      </c>
      <c r="C511" s="137" t="s">
        <v>324</v>
      </c>
      <c r="D511" s="338">
        <v>11228</v>
      </c>
      <c r="E511" s="137">
        <v>3898</v>
      </c>
      <c r="F511" s="137">
        <v>-62</v>
      </c>
    </row>
    <row r="512" spans="1:6" x14ac:dyDescent="0.25">
      <c r="A512" s="137" t="s">
        <v>11305</v>
      </c>
      <c r="B512" s="137" t="s">
        <v>369</v>
      </c>
      <c r="C512" s="137" t="s">
        <v>319</v>
      </c>
      <c r="D512" s="338">
        <v>6548</v>
      </c>
      <c r="E512" s="137">
        <v>4458</v>
      </c>
      <c r="F512" s="137">
        <v>498</v>
      </c>
    </row>
    <row r="513" spans="1:6" x14ac:dyDescent="0.25">
      <c r="A513" s="137" t="s">
        <v>12153</v>
      </c>
      <c r="B513" s="137" t="s">
        <v>369</v>
      </c>
      <c r="C513" s="137" t="s">
        <v>1653</v>
      </c>
      <c r="D513" s="338">
        <v>9748</v>
      </c>
      <c r="E513" s="137">
        <v>3067</v>
      </c>
      <c r="F513" s="137">
        <v>427</v>
      </c>
    </row>
    <row r="514" spans="1:6" x14ac:dyDescent="0.25">
      <c r="A514" s="137" t="s">
        <v>12456</v>
      </c>
      <c r="B514" s="137" t="s">
        <v>369</v>
      </c>
      <c r="C514" s="137" t="s">
        <v>4898</v>
      </c>
      <c r="D514" s="338">
        <v>11322</v>
      </c>
      <c r="E514" s="137">
        <v>3291</v>
      </c>
      <c r="F514" s="137">
        <v>651</v>
      </c>
    </row>
    <row r="515" spans="1:6" x14ac:dyDescent="0.25">
      <c r="A515" s="137" t="s">
        <v>12130</v>
      </c>
      <c r="B515" s="137" t="s">
        <v>369</v>
      </c>
      <c r="C515" s="137" t="s">
        <v>615</v>
      </c>
      <c r="D515" s="338">
        <v>11675</v>
      </c>
      <c r="E515" s="137">
        <v>3316</v>
      </c>
      <c r="F515" s="137">
        <v>676</v>
      </c>
    </row>
    <row r="516" spans="1:6" x14ac:dyDescent="0.25">
      <c r="A516" s="137" t="s">
        <v>12140</v>
      </c>
      <c r="B516" s="137" t="s">
        <v>369</v>
      </c>
      <c r="C516" s="137" t="s">
        <v>1163</v>
      </c>
      <c r="D516" s="338">
        <v>11300</v>
      </c>
      <c r="E516" s="137">
        <v>3451</v>
      </c>
      <c r="F516" s="137">
        <v>811</v>
      </c>
    </row>
    <row r="517" spans="1:6" x14ac:dyDescent="0.25">
      <c r="A517" s="137" t="s">
        <v>12455</v>
      </c>
      <c r="B517" s="137" t="s">
        <v>369</v>
      </c>
      <c r="C517" s="137" t="s">
        <v>5401</v>
      </c>
      <c r="D517" s="338">
        <v>11755</v>
      </c>
      <c r="E517" s="137">
        <v>3465</v>
      </c>
      <c r="F517" s="137">
        <v>825</v>
      </c>
    </row>
    <row r="518" spans="1:6" x14ac:dyDescent="0.25">
      <c r="A518" s="137" t="s">
        <v>12121</v>
      </c>
      <c r="B518" s="137" t="s">
        <v>369</v>
      </c>
      <c r="C518" s="137" t="s">
        <v>853</v>
      </c>
      <c r="D518" s="338">
        <v>12354</v>
      </c>
      <c r="E518" s="137">
        <v>3866</v>
      </c>
      <c r="F518" s="137">
        <v>-94</v>
      </c>
    </row>
    <row r="519" spans="1:6" x14ac:dyDescent="0.25">
      <c r="A519" s="137" t="s">
        <v>12510</v>
      </c>
      <c r="B519" s="137" t="s">
        <v>369</v>
      </c>
      <c r="C519" s="137" t="s">
        <v>316</v>
      </c>
      <c r="D519" s="338">
        <v>9082</v>
      </c>
      <c r="E519" s="137">
        <v>4440</v>
      </c>
      <c r="F519" s="137">
        <v>480</v>
      </c>
    </row>
    <row r="520" spans="1:6" x14ac:dyDescent="0.25">
      <c r="A520" s="137" t="s">
        <v>12655</v>
      </c>
      <c r="B520" s="137" t="s">
        <v>369</v>
      </c>
      <c r="C520" s="137" t="s">
        <v>3363</v>
      </c>
      <c r="D520" s="338">
        <v>8603</v>
      </c>
      <c r="E520" s="137">
        <v>2747</v>
      </c>
      <c r="F520" s="137">
        <v>107</v>
      </c>
    </row>
    <row r="521" spans="1:6" x14ac:dyDescent="0.25">
      <c r="A521" s="137" t="s">
        <v>12268</v>
      </c>
      <c r="B521" s="137" t="s">
        <v>369</v>
      </c>
      <c r="C521" s="137" t="s">
        <v>4142</v>
      </c>
      <c r="D521" s="338">
        <v>10643</v>
      </c>
      <c r="E521" s="137">
        <v>3299</v>
      </c>
      <c r="F521" s="137">
        <v>659</v>
      </c>
    </row>
    <row r="522" spans="1:6" x14ac:dyDescent="0.25">
      <c r="A522" s="137" t="s">
        <v>12520</v>
      </c>
      <c r="B522" s="137" t="s">
        <v>369</v>
      </c>
      <c r="C522" s="137" t="s">
        <v>4779</v>
      </c>
      <c r="D522" s="338">
        <v>8168</v>
      </c>
      <c r="E522" s="137">
        <v>3680</v>
      </c>
      <c r="F522" s="137">
        <v>1040</v>
      </c>
    </row>
    <row r="523" spans="1:6" x14ac:dyDescent="0.25">
      <c r="A523" s="137" t="s">
        <v>12310</v>
      </c>
      <c r="B523" s="137" t="s">
        <v>369</v>
      </c>
      <c r="C523" s="137" t="s">
        <v>3313</v>
      </c>
      <c r="D523" s="338">
        <v>8693</v>
      </c>
      <c r="E523" s="137">
        <v>5148</v>
      </c>
      <c r="F523" s="137">
        <v>1188</v>
      </c>
    </row>
    <row r="524" spans="1:6" x14ac:dyDescent="0.25">
      <c r="A524" s="137" t="s">
        <v>11293</v>
      </c>
      <c r="B524" s="137" t="s">
        <v>369</v>
      </c>
      <c r="C524" s="137" t="s">
        <v>309</v>
      </c>
      <c r="D524" s="338">
        <v>10829</v>
      </c>
      <c r="E524" s="137">
        <v>4147</v>
      </c>
      <c r="F524" s="137">
        <v>187</v>
      </c>
    </row>
    <row r="525" spans="1:6" x14ac:dyDescent="0.25">
      <c r="A525" s="137" t="s">
        <v>12219</v>
      </c>
      <c r="B525" s="137" t="s">
        <v>369</v>
      </c>
      <c r="C525" s="137" t="s">
        <v>4104</v>
      </c>
      <c r="D525" s="338">
        <v>12382</v>
      </c>
      <c r="E525" s="137">
        <v>4460</v>
      </c>
      <c r="F525" s="137">
        <v>500</v>
      </c>
    </row>
    <row r="526" spans="1:6" x14ac:dyDescent="0.25">
      <c r="A526" s="137" t="s">
        <v>12281</v>
      </c>
      <c r="B526" s="137" t="s">
        <v>369</v>
      </c>
      <c r="C526" s="137" t="s">
        <v>4088</v>
      </c>
      <c r="D526" s="338">
        <v>10091</v>
      </c>
      <c r="E526" s="137">
        <v>5902</v>
      </c>
      <c r="F526" s="137">
        <v>622</v>
      </c>
    </row>
    <row r="527" spans="1:6" x14ac:dyDescent="0.25">
      <c r="A527" s="137" t="s">
        <v>12298</v>
      </c>
      <c r="B527" s="137" t="s">
        <v>369</v>
      </c>
      <c r="C527" s="137" t="s">
        <v>3339</v>
      </c>
      <c r="D527" s="338">
        <v>9056</v>
      </c>
      <c r="E527" s="137">
        <v>5154</v>
      </c>
      <c r="F527" s="137">
        <v>1194</v>
      </c>
    </row>
    <row r="528" spans="1:6" x14ac:dyDescent="0.25">
      <c r="A528" s="137" t="s">
        <v>12255</v>
      </c>
      <c r="B528" s="137" t="s">
        <v>369</v>
      </c>
      <c r="C528" s="137" t="s">
        <v>4003</v>
      </c>
      <c r="D528" s="338">
        <v>10993</v>
      </c>
      <c r="E528" s="137">
        <v>2876</v>
      </c>
      <c r="F528" s="137">
        <v>236</v>
      </c>
    </row>
    <row r="529" spans="1:6" x14ac:dyDescent="0.25">
      <c r="A529" s="137" t="s">
        <v>12209</v>
      </c>
      <c r="B529" s="137" t="s">
        <v>369</v>
      </c>
      <c r="C529" s="137" t="s">
        <v>3148</v>
      </c>
      <c r="D529" s="338">
        <v>13386</v>
      </c>
      <c r="E529" s="137">
        <v>5721</v>
      </c>
      <c r="F529" s="137">
        <v>441</v>
      </c>
    </row>
    <row r="530" spans="1:6" x14ac:dyDescent="0.25">
      <c r="A530" s="137" t="s">
        <v>12571</v>
      </c>
      <c r="B530" s="137" t="s">
        <v>369</v>
      </c>
      <c r="C530" s="137" t="s">
        <v>5386</v>
      </c>
      <c r="D530" s="338">
        <v>3832</v>
      </c>
      <c r="E530" s="137">
        <v>4574</v>
      </c>
      <c r="F530" s="137">
        <v>614</v>
      </c>
    </row>
    <row r="531" spans="1:6" x14ac:dyDescent="0.25">
      <c r="A531" s="137" t="s">
        <v>12652</v>
      </c>
      <c r="B531" s="137" t="s">
        <v>369</v>
      </c>
      <c r="C531" s="137" t="s">
        <v>306</v>
      </c>
      <c r="D531" s="338">
        <v>11110</v>
      </c>
      <c r="E531" s="137">
        <v>4346</v>
      </c>
      <c r="F531" s="137">
        <v>386</v>
      </c>
    </row>
    <row r="532" spans="1:6" x14ac:dyDescent="0.25">
      <c r="A532" s="137" t="s">
        <v>11346</v>
      </c>
      <c r="B532" s="137" t="s">
        <v>369</v>
      </c>
      <c r="C532" s="137" t="s">
        <v>304</v>
      </c>
      <c r="D532" s="338">
        <v>3936</v>
      </c>
      <c r="E532" s="137">
        <v>5183</v>
      </c>
      <c r="F532" s="137">
        <v>1223</v>
      </c>
    </row>
    <row r="533" spans="1:6" x14ac:dyDescent="0.25">
      <c r="A533" s="137" t="s">
        <v>12494</v>
      </c>
      <c r="B533" s="137" t="s">
        <v>369</v>
      </c>
      <c r="C533" s="137" t="s">
        <v>4900</v>
      </c>
      <c r="D533" s="338">
        <v>10446</v>
      </c>
      <c r="E533" s="137">
        <v>3833</v>
      </c>
      <c r="F533" s="137">
        <v>1193</v>
      </c>
    </row>
    <row r="534" spans="1:6" x14ac:dyDescent="0.25">
      <c r="A534" s="137" t="s">
        <v>12135</v>
      </c>
      <c r="B534" s="137" t="s">
        <v>369</v>
      </c>
      <c r="C534" s="137" t="s">
        <v>2079</v>
      </c>
      <c r="D534" s="338">
        <v>11581</v>
      </c>
      <c r="E534" s="137">
        <v>3585</v>
      </c>
      <c r="F534" s="137">
        <v>945</v>
      </c>
    </row>
    <row r="535" spans="1:6" x14ac:dyDescent="0.25">
      <c r="A535" s="137" t="s">
        <v>12466</v>
      </c>
      <c r="B535" s="137" t="s">
        <v>369</v>
      </c>
      <c r="C535" s="137" t="s">
        <v>299</v>
      </c>
      <c r="D535" s="338">
        <v>11107</v>
      </c>
      <c r="E535" s="137">
        <v>3020</v>
      </c>
      <c r="F535" s="137">
        <v>380</v>
      </c>
    </row>
    <row r="536" spans="1:6" x14ac:dyDescent="0.25">
      <c r="A536" s="137" t="s">
        <v>11188</v>
      </c>
      <c r="B536" s="137" t="s">
        <v>369</v>
      </c>
      <c r="C536" s="137" t="s">
        <v>300</v>
      </c>
      <c r="D536" s="338">
        <v>4336</v>
      </c>
      <c r="E536" s="137">
        <v>5653</v>
      </c>
      <c r="F536" s="137">
        <v>373</v>
      </c>
    </row>
    <row r="537" spans="1:6" x14ac:dyDescent="0.25">
      <c r="A537" s="137" t="s">
        <v>12481</v>
      </c>
      <c r="B537" s="137" t="s">
        <v>369</v>
      </c>
      <c r="C537" s="137" t="s">
        <v>5285</v>
      </c>
      <c r="D537" s="338">
        <v>10845</v>
      </c>
      <c r="E537" s="137">
        <v>3611</v>
      </c>
      <c r="F537" s="137">
        <v>971</v>
      </c>
    </row>
    <row r="538" spans="1:6" x14ac:dyDescent="0.25">
      <c r="A538" s="137" t="s">
        <v>12448</v>
      </c>
      <c r="B538" s="137" t="s">
        <v>369</v>
      </c>
      <c r="C538" s="137" t="s">
        <v>4789</v>
      </c>
      <c r="D538" s="338">
        <v>12228</v>
      </c>
      <c r="E538" s="137">
        <v>2991</v>
      </c>
      <c r="F538" s="137">
        <v>351</v>
      </c>
    </row>
    <row r="539" spans="1:6" x14ac:dyDescent="0.25">
      <c r="A539" s="137" t="s">
        <v>12270</v>
      </c>
      <c r="B539" s="137" t="s">
        <v>369</v>
      </c>
      <c r="C539" s="137" t="s">
        <v>4568</v>
      </c>
      <c r="D539" s="338">
        <v>10600</v>
      </c>
      <c r="E539" s="137">
        <v>3031</v>
      </c>
      <c r="F539" s="137">
        <v>391</v>
      </c>
    </row>
    <row r="540" spans="1:6" x14ac:dyDescent="0.25">
      <c r="A540" s="137" t="s">
        <v>12597</v>
      </c>
      <c r="B540" s="137" t="s">
        <v>369</v>
      </c>
      <c r="C540" s="137" t="s">
        <v>295</v>
      </c>
      <c r="D540" s="338">
        <v>11312</v>
      </c>
      <c r="E540" s="137">
        <v>3435</v>
      </c>
      <c r="F540" s="137">
        <v>-525</v>
      </c>
    </row>
    <row r="541" spans="1:6" x14ac:dyDescent="0.25">
      <c r="A541" s="137" t="s">
        <v>12524</v>
      </c>
      <c r="B541" s="137" t="s">
        <v>369</v>
      </c>
      <c r="C541" s="137" t="s">
        <v>4962</v>
      </c>
      <c r="D541" s="338">
        <v>7751</v>
      </c>
      <c r="E541" s="137">
        <v>3747</v>
      </c>
      <c r="F541" s="137">
        <v>1107</v>
      </c>
    </row>
    <row r="542" spans="1:6" x14ac:dyDescent="0.25">
      <c r="A542" s="137" t="s">
        <v>12317</v>
      </c>
      <c r="B542" s="137" t="s">
        <v>369</v>
      </c>
      <c r="C542" s="137" t="s">
        <v>4447</v>
      </c>
      <c r="D542" s="338">
        <v>8607</v>
      </c>
      <c r="E542" s="137">
        <v>3771</v>
      </c>
      <c r="F542" s="137">
        <v>-189</v>
      </c>
    </row>
    <row r="543" spans="1:6" x14ac:dyDescent="0.25">
      <c r="A543" s="137" t="s">
        <v>11177</v>
      </c>
      <c r="B543" s="137" t="s">
        <v>369</v>
      </c>
      <c r="C543" s="137" t="s">
        <v>293</v>
      </c>
      <c r="D543" s="338">
        <v>6980</v>
      </c>
      <c r="E543" s="137">
        <v>4587</v>
      </c>
      <c r="F543" s="137">
        <v>627</v>
      </c>
    </row>
    <row r="544" spans="1:6" x14ac:dyDescent="0.25">
      <c r="A544" s="137" t="s">
        <v>11275</v>
      </c>
      <c r="B544" s="137" t="s">
        <v>369</v>
      </c>
      <c r="C544" s="137" t="s">
        <v>290</v>
      </c>
      <c r="D544" s="338">
        <v>2928</v>
      </c>
      <c r="E544" s="137">
        <v>4998</v>
      </c>
      <c r="F544" s="137">
        <v>1038</v>
      </c>
    </row>
    <row r="545" spans="1:6" x14ac:dyDescent="0.25">
      <c r="A545" s="137" t="s">
        <v>12605</v>
      </c>
      <c r="B545" s="137" t="s">
        <v>369</v>
      </c>
      <c r="C545" s="137" t="s">
        <v>288</v>
      </c>
      <c r="D545" s="338">
        <v>10998</v>
      </c>
      <c r="E545" s="137">
        <v>3814</v>
      </c>
      <c r="F545" s="137">
        <v>1174</v>
      </c>
    </row>
    <row r="546" spans="1:6" x14ac:dyDescent="0.25">
      <c r="A546" s="137" t="s">
        <v>11184</v>
      </c>
      <c r="B546" s="137" t="s">
        <v>369</v>
      </c>
      <c r="C546" s="137" t="s">
        <v>286</v>
      </c>
      <c r="D546" s="338">
        <v>3043</v>
      </c>
      <c r="E546" s="137">
        <v>5004</v>
      </c>
      <c r="F546" s="137">
        <v>1044</v>
      </c>
    </row>
    <row r="547" spans="1:6" x14ac:dyDescent="0.25">
      <c r="A547" s="137" t="s">
        <v>12613</v>
      </c>
      <c r="B547" s="137" t="s">
        <v>369</v>
      </c>
      <c r="C547" s="137" t="s">
        <v>282</v>
      </c>
      <c r="D547" s="338">
        <v>10147</v>
      </c>
      <c r="E547" s="137">
        <v>3980</v>
      </c>
      <c r="F547" s="137">
        <v>20</v>
      </c>
    </row>
    <row r="548" spans="1:6" x14ac:dyDescent="0.25">
      <c r="A548" s="137" t="s">
        <v>12550</v>
      </c>
      <c r="B548" s="137" t="s">
        <v>369</v>
      </c>
      <c r="C548" s="137" t="s">
        <v>5149</v>
      </c>
      <c r="D548" s="338">
        <v>5251</v>
      </c>
      <c r="E548" s="137">
        <v>3779</v>
      </c>
      <c r="F548" s="137">
        <v>1139</v>
      </c>
    </row>
    <row r="549" spans="1:6" x14ac:dyDescent="0.25">
      <c r="A549" s="137" t="s">
        <v>12565</v>
      </c>
      <c r="B549" s="137" t="s">
        <v>369</v>
      </c>
      <c r="C549" s="137" t="s">
        <v>5194</v>
      </c>
      <c r="D549" s="338">
        <v>4364</v>
      </c>
      <c r="E549" s="137">
        <v>4354</v>
      </c>
      <c r="F549" s="137">
        <v>394</v>
      </c>
    </row>
    <row r="550" spans="1:6" x14ac:dyDescent="0.25">
      <c r="A550" s="137" t="s">
        <v>11262</v>
      </c>
      <c r="B550" s="137" t="s">
        <v>369</v>
      </c>
      <c r="C550" s="137" t="s">
        <v>279</v>
      </c>
      <c r="D550" s="338">
        <v>4302</v>
      </c>
      <c r="E550" s="137">
        <v>5016</v>
      </c>
      <c r="F550" s="137">
        <v>1056</v>
      </c>
    </row>
    <row r="551" spans="1:6" x14ac:dyDescent="0.25">
      <c r="A551" s="137" t="s">
        <v>11234</v>
      </c>
      <c r="B551" s="137" t="s">
        <v>369</v>
      </c>
      <c r="C551" s="137" t="s">
        <v>277</v>
      </c>
      <c r="D551" s="338">
        <v>3259</v>
      </c>
      <c r="E551" s="137">
        <v>5977</v>
      </c>
      <c r="F551" s="137">
        <v>697</v>
      </c>
    </row>
    <row r="552" spans="1:6" x14ac:dyDescent="0.25">
      <c r="A552" s="137" t="s">
        <v>11371</v>
      </c>
      <c r="B552" s="137" t="s">
        <v>369</v>
      </c>
      <c r="C552" s="137" t="s">
        <v>275</v>
      </c>
      <c r="D552" s="338">
        <v>1834</v>
      </c>
      <c r="E552" s="137">
        <v>4302</v>
      </c>
      <c r="F552" s="137">
        <v>342</v>
      </c>
    </row>
    <row r="553" spans="1:6" x14ac:dyDescent="0.25">
      <c r="A553" s="137" t="s">
        <v>12240</v>
      </c>
      <c r="B553" s="137" t="s">
        <v>369</v>
      </c>
      <c r="C553" s="137" t="s">
        <v>3984</v>
      </c>
      <c r="D553" s="338">
        <v>11361</v>
      </c>
      <c r="E553" s="137">
        <v>3998</v>
      </c>
      <c r="F553" s="137">
        <v>-1282</v>
      </c>
    </row>
    <row r="554" spans="1:6" x14ac:dyDescent="0.25">
      <c r="A554" s="137" t="s">
        <v>11284</v>
      </c>
      <c r="B554" s="137" t="s">
        <v>369</v>
      </c>
      <c r="C554" s="137" t="s">
        <v>270</v>
      </c>
      <c r="D554" s="338">
        <v>5785</v>
      </c>
      <c r="E554" s="137">
        <v>4246</v>
      </c>
      <c r="F554" s="137">
        <v>286</v>
      </c>
    </row>
    <row r="555" spans="1:6" x14ac:dyDescent="0.25">
      <c r="A555" s="137" t="s">
        <v>11269</v>
      </c>
      <c r="B555" s="137" t="s">
        <v>369</v>
      </c>
      <c r="C555" s="137" t="s">
        <v>485</v>
      </c>
      <c r="D555" s="338">
        <v>10816</v>
      </c>
      <c r="E555" s="137">
        <v>3342</v>
      </c>
      <c r="F555" s="137">
        <v>702</v>
      </c>
    </row>
    <row r="556" spans="1:6" x14ac:dyDescent="0.25">
      <c r="A556" s="137" t="s">
        <v>12123</v>
      </c>
      <c r="B556" s="137" t="s">
        <v>369</v>
      </c>
      <c r="C556" s="137" t="s">
        <v>1333</v>
      </c>
      <c r="D556" s="338">
        <v>12133</v>
      </c>
      <c r="E556" s="137">
        <v>2833</v>
      </c>
      <c r="F556" s="137">
        <v>193</v>
      </c>
    </row>
    <row r="557" spans="1:6" x14ac:dyDescent="0.25">
      <c r="A557" s="137" t="s">
        <v>11292</v>
      </c>
      <c r="B557" s="137" t="s">
        <v>369</v>
      </c>
      <c r="C557" s="137" t="s">
        <v>268</v>
      </c>
      <c r="D557" s="338">
        <v>6076</v>
      </c>
      <c r="E557" s="137">
        <v>4233</v>
      </c>
      <c r="F557" s="137">
        <v>273</v>
      </c>
    </row>
    <row r="558" spans="1:6" x14ac:dyDescent="0.25">
      <c r="A558" s="137" t="s">
        <v>12622</v>
      </c>
      <c r="B558" s="137" t="s">
        <v>369</v>
      </c>
      <c r="C558" s="137" t="s">
        <v>5471</v>
      </c>
      <c r="D558" s="338">
        <v>8649</v>
      </c>
      <c r="E558" s="137">
        <v>4695</v>
      </c>
      <c r="F558" s="137">
        <v>735</v>
      </c>
    </row>
    <row r="559" spans="1:6" x14ac:dyDescent="0.25">
      <c r="A559" s="137" t="s">
        <v>12133</v>
      </c>
      <c r="B559" s="137" t="s">
        <v>369</v>
      </c>
      <c r="C559" s="137" t="s">
        <v>1643</v>
      </c>
      <c r="D559" s="338">
        <v>11624</v>
      </c>
      <c r="E559" s="137">
        <v>3520</v>
      </c>
      <c r="F559" s="137">
        <v>880</v>
      </c>
    </row>
    <row r="560" spans="1:6" x14ac:dyDescent="0.25">
      <c r="A560" s="137" t="s">
        <v>11198</v>
      </c>
      <c r="B560" s="137" t="s">
        <v>369</v>
      </c>
      <c r="C560" s="137" t="s">
        <v>263</v>
      </c>
      <c r="D560" s="338">
        <v>4046</v>
      </c>
      <c r="E560" s="137">
        <v>5931</v>
      </c>
      <c r="F560" s="137">
        <v>651</v>
      </c>
    </row>
    <row r="561" spans="1:6" x14ac:dyDescent="0.25">
      <c r="A561" s="137" t="s">
        <v>12254</v>
      </c>
      <c r="B561" s="137" t="s">
        <v>369</v>
      </c>
      <c r="C561" s="137" t="s">
        <v>3008</v>
      </c>
      <c r="D561" s="338">
        <v>11017</v>
      </c>
      <c r="E561" s="137">
        <v>3758</v>
      </c>
      <c r="F561" s="137">
        <v>1118</v>
      </c>
    </row>
    <row r="562" spans="1:6" x14ac:dyDescent="0.25">
      <c r="A562" s="137" t="s">
        <v>12454</v>
      </c>
      <c r="B562" s="137" t="s">
        <v>369</v>
      </c>
      <c r="C562" s="137" t="s">
        <v>5333</v>
      </c>
      <c r="D562" s="338">
        <v>11759</v>
      </c>
      <c r="E562" s="137">
        <v>3282</v>
      </c>
      <c r="F562" s="137">
        <v>642</v>
      </c>
    </row>
    <row r="563" spans="1:6" x14ac:dyDescent="0.25">
      <c r="A563" s="137" t="s">
        <v>11255</v>
      </c>
      <c r="B563" s="137" t="s">
        <v>369</v>
      </c>
      <c r="C563" s="137" t="s">
        <v>259</v>
      </c>
      <c r="D563" s="338">
        <v>5264</v>
      </c>
      <c r="E563" s="137">
        <v>4202</v>
      </c>
      <c r="F563" s="137">
        <v>242</v>
      </c>
    </row>
    <row r="564" spans="1:6" x14ac:dyDescent="0.25">
      <c r="A564" s="137" t="s">
        <v>12556</v>
      </c>
      <c r="B564" s="137" t="s">
        <v>369</v>
      </c>
      <c r="C564" s="137" t="s">
        <v>5043</v>
      </c>
      <c r="D564" s="338">
        <v>4943</v>
      </c>
      <c r="E564" s="137">
        <v>3715</v>
      </c>
      <c r="F564" s="137">
        <v>1075</v>
      </c>
    </row>
    <row r="565" spans="1:6" x14ac:dyDescent="0.25">
      <c r="A565" s="137" t="s">
        <v>12129</v>
      </c>
      <c r="B565" s="137" t="s">
        <v>369</v>
      </c>
      <c r="C565" s="137" t="s">
        <v>1169</v>
      </c>
      <c r="D565" s="338">
        <v>11718</v>
      </c>
      <c r="E565" s="137">
        <v>3452</v>
      </c>
      <c r="F565" s="137">
        <v>-508</v>
      </c>
    </row>
    <row r="566" spans="1:6" x14ac:dyDescent="0.25">
      <c r="A566" s="137" t="s">
        <v>11187</v>
      </c>
      <c r="B566" s="137" t="s">
        <v>369</v>
      </c>
      <c r="C566" s="137" t="s">
        <v>254</v>
      </c>
      <c r="D566" s="338">
        <v>5659</v>
      </c>
      <c r="E566" s="137">
        <v>5323</v>
      </c>
      <c r="F566" s="137">
        <v>43</v>
      </c>
    </row>
    <row r="567" spans="1:6" x14ac:dyDescent="0.25">
      <c r="A567" s="137" t="s">
        <v>11321</v>
      </c>
      <c r="B567" s="137" t="s">
        <v>369</v>
      </c>
      <c r="C567" s="137" t="s">
        <v>252</v>
      </c>
      <c r="D567" s="338">
        <v>9460</v>
      </c>
      <c r="E567" s="137">
        <v>3804</v>
      </c>
      <c r="F567" s="137">
        <v>-156</v>
      </c>
    </row>
    <row r="568" spans="1:6" x14ac:dyDescent="0.25">
      <c r="A568" s="137" t="s">
        <v>12420</v>
      </c>
      <c r="B568" s="137" t="s">
        <v>369</v>
      </c>
      <c r="C568" s="137" t="s">
        <v>246</v>
      </c>
      <c r="D568" s="338">
        <v>4102</v>
      </c>
      <c r="E568" s="137">
        <v>4687</v>
      </c>
      <c r="F568" s="137">
        <v>727</v>
      </c>
    </row>
    <row r="569" spans="1:6" x14ac:dyDescent="0.25">
      <c r="A569" s="137" t="s">
        <v>11169</v>
      </c>
      <c r="B569" s="137" t="s">
        <v>369</v>
      </c>
      <c r="C569" s="137" t="s">
        <v>244</v>
      </c>
      <c r="D569" s="338">
        <v>5423</v>
      </c>
      <c r="E569" s="137">
        <v>3994</v>
      </c>
      <c r="F569" s="137">
        <v>34</v>
      </c>
    </row>
    <row r="570" spans="1:6" x14ac:dyDescent="0.25">
      <c r="A570" s="137" t="s">
        <v>11332</v>
      </c>
      <c r="B570" s="137" t="s">
        <v>369</v>
      </c>
      <c r="C570" s="137" t="s">
        <v>240</v>
      </c>
      <c r="D570" s="338">
        <v>4945</v>
      </c>
      <c r="E570" s="137">
        <v>4454</v>
      </c>
      <c r="F570" s="137">
        <v>494</v>
      </c>
    </row>
    <row r="571" spans="1:6" x14ac:dyDescent="0.25">
      <c r="A571" s="137" t="s">
        <v>12624</v>
      </c>
      <c r="B571" s="137" t="s">
        <v>369</v>
      </c>
      <c r="C571" s="137" t="s">
        <v>234</v>
      </c>
      <c r="D571" s="338">
        <v>8555</v>
      </c>
      <c r="E571" s="137">
        <v>5307</v>
      </c>
      <c r="F571" s="137">
        <v>27</v>
      </c>
    </row>
    <row r="572" spans="1:6" x14ac:dyDescent="0.25">
      <c r="A572" s="137" t="s">
        <v>12566</v>
      </c>
      <c r="B572" s="137" t="s">
        <v>369</v>
      </c>
      <c r="C572" s="137" t="s">
        <v>4915</v>
      </c>
      <c r="D572" s="338">
        <v>4347</v>
      </c>
      <c r="E572" s="137">
        <v>4206</v>
      </c>
      <c r="F572" s="137">
        <v>246</v>
      </c>
    </row>
    <row r="573" spans="1:6" x14ac:dyDescent="0.25">
      <c r="A573" s="137" t="s">
        <v>12250</v>
      </c>
      <c r="B573" s="137" t="s">
        <v>369</v>
      </c>
      <c r="C573" s="137" t="s">
        <v>2907</v>
      </c>
      <c r="D573" s="338">
        <v>11152</v>
      </c>
      <c r="E573" s="137">
        <v>4916</v>
      </c>
      <c r="F573" s="137">
        <v>956</v>
      </c>
    </row>
    <row r="574" spans="1:6" x14ac:dyDescent="0.25">
      <c r="A574" s="137" t="s">
        <v>12604</v>
      </c>
      <c r="B574" s="137" t="s">
        <v>369</v>
      </c>
      <c r="C574" s="137" t="s">
        <v>5452</v>
      </c>
      <c r="D574" s="338">
        <v>11033</v>
      </c>
      <c r="E574" s="137">
        <v>6265</v>
      </c>
      <c r="F574" s="137">
        <v>985</v>
      </c>
    </row>
    <row r="575" spans="1:6" x14ac:dyDescent="0.25">
      <c r="A575" s="137" t="s">
        <v>12503</v>
      </c>
      <c r="B575" s="137" t="s">
        <v>369</v>
      </c>
      <c r="C575" s="137" t="s">
        <v>5419</v>
      </c>
      <c r="D575" s="338">
        <v>9538</v>
      </c>
      <c r="E575" s="137">
        <v>4162</v>
      </c>
      <c r="F575" s="137">
        <v>202</v>
      </c>
    </row>
    <row r="576" spans="1:6" x14ac:dyDescent="0.25">
      <c r="A576" s="137" t="s">
        <v>12445</v>
      </c>
      <c r="B576" s="137" t="s">
        <v>369</v>
      </c>
      <c r="C576" s="137" t="s">
        <v>227</v>
      </c>
      <c r="D576" s="338">
        <v>12438</v>
      </c>
      <c r="E576" s="137">
        <v>3419</v>
      </c>
      <c r="F576" s="137">
        <v>779</v>
      </c>
    </row>
    <row r="577" spans="1:6" x14ac:dyDescent="0.25">
      <c r="A577" s="137" t="s">
        <v>11370</v>
      </c>
      <c r="B577" s="137" t="s">
        <v>369</v>
      </c>
      <c r="C577" s="137" t="s">
        <v>224</v>
      </c>
      <c r="D577" s="338">
        <v>5493</v>
      </c>
      <c r="E577" s="137">
        <v>5402</v>
      </c>
      <c r="F577" s="137">
        <v>122</v>
      </c>
    </row>
    <row r="578" spans="1:6" x14ac:dyDescent="0.25">
      <c r="A578" s="137" t="s">
        <v>12570</v>
      </c>
      <c r="B578" s="137" t="s">
        <v>369</v>
      </c>
      <c r="C578" s="137" t="s">
        <v>5265</v>
      </c>
      <c r="D578" s="338">
        <v>4015</v>
      </c>
      <c r="E578" s="137">
        <v>4398</v>
      </c>
      <c r="F578" s="137">
        <v>438</v>
      </c>
    </row>
    <row r="579" spans="1:6" x14ac:dyDescent="0.25">
      <c r="A579" s="137" t="s">
        <v>12383</v>
      </c>
      <c r="B579" s="137" t="s">
        <v>369</v>
      </c>
      <c r="C579" s="137" t="s">
        <v>221</v>
      </c>
      <c r="D579" s="338">
        <v>6684</v>
      </c>
      <c r="E579" s="137">
        <v>3431</v>
      </c>
      <c r="F579" s="137">
        <v>791</v>
      </c>
    </row>
    <row r="580" spans="1:6" x14ac:dyDescent="0.25">
      <c r="A580" s="137" t="s">
        <v>14062</v>
      </c>
      <c r="B580" s="137" t="s">
        <v>369</v>
      </c>
      <c r="C580" s="137" t="s">
        <v>11164</v>
      </c>
      <c r="D580" s="137">
        <v>176</v>
      </c>
      <c r="E580" s="137">
        <v>3046</v>
      </c>
      <c r="F580" s="137">
        <v>406</v>
      </c>
    </row>
    <row r="581" spans="1:6" x14ac:dyDescent="0.25">
      <c r="A581" s="137" t="s">
        <v>11225</v>
      </c>
      <c r="B581" s="137" t="s">
        <v>369</v>
      </c>
      <c r="C581" s="137" t="s">
        <v>217</v>
      </c>
      <c r="D581" s="338">
        <v>3487</v>
      </c>
      <c r="E581" s="137">
        <v>5406</v>
      </c>
      <c r="F581" s="137">
        <v>126</v>
      </c>
    </row>
    <row r="582" spans="1:6" x14ac:dyDescent="0.25">
      <c r="A582" s="137" t="s">
        <v>12253</v>
      </c>
      <c r="B582" s="137" t="s">
        <v>369</v>
      </c>
      <c r="C582" s="137" t="s">
        <v>3664</v>
      </c>
      <c r="D582" s="338">
        <v>11041</v>
      </c>
      <c r="E582" s="137">
        <v>2747</v>
      </c>
      <c r="F582" s="137">
        <v>107</v>
      </c>
    </row>
    <row r="583" spans="1:6" x14ac:dyDescent="0.25">
      <c r="A583" s="137" t="s">
        <v>12512</v>
      </c>
      <c r="B583" s="137" t="s">
        <v>369</v>
      </c>
      <c r="C583" s="137" t="s">
        <v>4860</v>
      </c>
      <c r="D583" s="338">
        <v>8769</v>
      </c>
      <c r="E583" s="137">
        <v>3853</v>
      </c>
      <c r="F583" s="137">
        <v>1213</v>
      </c>
    </row>
    <row r="584" spans="1:6" x14ac:dyDescent="0.25">
      <c r="A584" s="137" t="s">
        <v>12495</v>
      </c>
      <c r="B584" s="137" t="s">
        <v>369</v>
      </c>
      <c r="C584" s="137" t="s">
        <v>5061</v>
      </c>
      <c r="D584" s="338">
        <v>10364</v>
      </c>
      <c r="E584" s="137">
        <v>3867</v>
      </c>
      <c r="F584" s="137">
        <v>1227</v>
      </c>
    </row>
    <row r="585" spans="1:6" x14ac:dyDescent="0.25">
      <c r="A585" s="137" t="s">
        <v>11230</v>
      </c>
      <c r="B585" s="137" t="s">
        <v>369</v>
      </c>
      <c r="C585" s="137" t="s">
        <v>211</v>
      </c>
      <c r="D585" s="338">
        <v>1129</v>
      </c>
      <c r="E585" s="137">
        <v>4438</v>
      </c>
      <c r="F585" s="137">
        <v>-842</v>
      </c>
    </row>
    <row r="586" spans="1:6" x14ac:dyDescent="0.25">
      <c r="A586" s="137" t="s">
        <v>12654</v>
      </c>
      <c r="B586" s="137" t="s">
        <v>369</v>
      </c>
      <c r="C586" s="137" t="s">
        <v>3999</v>
      </c>
      <c r="D586" s="338">
        <v>10096</v>
      </c>
      <c r="E586" s="137">
        <v>3316</v>
      </c>
      <c r="F586" s="137">
        <v>676</v>
      </c>
    </row>
    <row r="587" spans="1:6" x14ac:dyDescent="0.25">
      <c r="A587" s="137" t="s">
        <v>12283</v>
      </c>
      <c r="B587" s="137" t="s">
        <v>369</v>
      </c>
      <c r="C587" s="137" t="s">
        <v>3551</v>
      </c>
      <c r="D587" s="338">
        <v>10060</v>
      </c>
      <c r="E587" s="137">
        <v>2927</v>
      </c>
      <c r="F587" s="137">
        <v>287</v>
      </c>
    </row>
    <row r="588" spans="1:6" x14ac:dyDescent="0.25">
      <c r="A588" s="137" t="s">
        <v>12572</v>
      </c>
      <c r="B588" s="137" t="s">
        <v>369</v>
      </c>
      <c r="C588" s="137" t="s">
        <v>5406</v>
      </c>
      <c r="D588" s="338">
        <v>3618</v>
      </c>
      <c r="E588" s="137">
        <v>4621</v>
      </c>
      <c r="F588" s="137">
        <v>1981</v>
      </c>
    </row>
    <row r="589" spans="1:6" x14ac:dyDescent="0.25">
      <c r="A589" s="137" t="s">
        <v>12630</v>
      </c>
      <c r="B589" s="137" t="s">
        <v>369</v>
      </c>
      <c r="C589" s="137" t="s">
        <v>5483</v>
      </c>
      <c r="D589" s="338">
        <v>7395</v>
      </c>
      <c r="E589" s="137">
        <v>3928</v>
      </c>
      <c r="F589" s="137">
        <v>1288</v>
      </c>
    </row>
    <row r="590" spans="1:6" x14ac:dyDescent="0.25">
      <c r="A590" s="137" t="s">
        <v>12575</v>
      </c>
      <c r="B590" s="137" t="s">
        <v>369</v>
      </c>
      <c r="C590" s="137" t="s">
        <v>5373</v>
      </c>
      <c r="D590" s="338">
        <v>3505</v>
      </c>
      <c r="E590" s="137">
        <v>4594</v>
      </c>
      <c r="F590" s="137">
        <v>1954</v>
      </c>
    </row>
    <row r="591" spans="1:6" x14ac:dyDescent="0.25">
      <c r="A591" s="137" t="s">
        <v>12299</v>
      </c>
      <c r="B591" s="137" t="s">
        <v>369</v>
      </c>
      <c r="C591" s="137" t="s">
        <v>3699</v>
      </c>
      <c r="D591" s="338">
        <v>9056</v>
      </c>
      <c r="E591" s="137">
        <v>3535</v>
      </c>
      <c r="F591" s="137">
        <v>895</v>
      </c>
    </row>
    <row r="592" spans="1:6" x14ac:dyDescent="0.25">
      <c r="A592" s="137" t="s">
        <v>11399</v>
      </c>
      <c r="B592" s="137" t="s">
        <v>369</v>
      </c>
      <c r="C592" s="137" t="s">
        <v>209</v>
      </c>
      <c r="D592" s="338">
        <v>10279</v>
      </c>
      <c r="E592" s="137">
        <v>5634</v>
      </c>
      <c r="F592" s="137">
        <v>354</v>
      </c>
    </row>
    <row r="593" spans="1:6" x14ac:dyDescent="0.25">
      <c r="A593" s="137" t="s">
        <v>12261</v>
      </c>
      <c r="B593" s="137" t="s">
        <v>369</v>
      </c>
      <c r="C593" s="137" t="s">
        <v>4349</v>
      </c>
      <c r="D593" s="338">
        <v>10816</v>
      </c>
      <c r="E593" s="137">
        <v>4292</v>
      </c>
      <c r="F593" s="137">
        <v>332</v>
      </c>
    </row>
    <row r="594" spans="1:6" x14ac:dyDescent="0.25">
      <c r="A594" s="137" t="s">
        <v>12511</v>
      </c>
      <c r="B594" s="137" t="s">
        <v>369</v>
      </c>
      <c r="C594" s="137" t="s">
        <v>5365</v>
      </c>
      <c r="D594" s="338">
        <v>8876</v>
      </c>
      <c r="E594" s="137">
        <v>3309</v>
      </c>
      <c r="F594" s="137">
        <v>669</v>
      </c>
    </row>
    <row r="595" spans="1:6" x14ac:dyDescent="0.25">
      <c r="A595" s="137" t="s">
        <v>12204</v>
      </c>
      <c r="B595" s="137" t="s">
        <v>369</v>
      </c>
      <c r="C595" s="137" t="s">
        <v>2231</v>
      </c>
      <c r="D595" s="338">
        <v>1961</v>
      </c>
      <c r="E595" s="137">
        <v>2432</v>
      </c>
      <c r="F595" s="137">
        <v>1112</v>
      </c>
    </row>
    <row r="596" spans="1:6" x14ac:dyDescent="0.25">
      <c r="A596" s="137" t="s">
        <v>11237</v>
      </c>
      <c r="B596" s="137" t="s">
        <v>369</v>
      </c>
      <c r="C596" s="137" t="s">
        <v>204</v>
      </c>
      <c r="D596" s="338">
        <v>9848</v>
      </c>
      <c r="E596" s="137">
        <v>4127</v>
      </c>
      <c r="F596" s="137">
        <v>167</v>
      </c>
    </row>
    <row r="597" spans="1:6" x14ac:dyDescent="0.25">
      <c r="A597" s="137" t="s">
        <v>12225</v>
      </c>
      <c r="B597" s="137" t="s">
        <v>369</v>
      </c>
      <c r="C597" s="137" t="s">
        <v>4590</v>
      </c>
      <c r="D597" s="338">
        <v>12108</v>
      </c>
      <c r="E597" s="137">
        <v>2924</v>
      </c>
      <c r="F597" s="137">
        <v>284</v>
      </c>
    </row>
    <row r="598" spans="1:6" x14ac:dyDescent="0.25">
      <c r="A598" s="137" t="s">
        <v>12232</v>
      </c>
      <c r="B598" s="137" t="s">
        <v>369</v>
      </c>
      <c r="C598" s="137" t="s">
        <v>3678</v>
      </c>
      <c r="D598" s="338">
        <v>11779</v>
      </c>
      <c r="E598" s="137">
        <v>5281</v>
      </c>
      <c r="F598" s="137">
        <v>1</v>
      </c>
    </row>
    <row r="599" spans="1:6" x14ac:dyDescent="0.25">
      <c r="A599" s="137" t="s">
        <v>12243</v>
      </c>
      <c r="B599" s="137" t="s">
        <v>369</v>
      </c>
      <c r="C599" s="137" t="s">
        <v>3929</v>
      </c>
      <c r="D599" s="338">
        <v>11326</v>
      </c>
      <c r="E599" s="137">
        <v>2919</v>
      </c>
      <c r="F599" s="137">
        <v>279</v>
      </c>
    </row>
    <row r="600" spans="1:6" x14ac:dyDescent="0.25">
      <c r="A600" s="137" t="s">
        <v>11379</v>
      </c>
      <c r="B600" s="137" t="s">
        <v>369</v>
      </c>
      <c r="C600" s="137" t="s">
        <v>200</v>
      </c>
      <c r="D600" s="338">
        <v>11712</v>
      </c>
      <c r="E600" s="137">
        <v>4175</v>
      </c>
      <c r="F600" s="137">
        <v>215</v>
      </c>
    </row>
    <row r="601" spans="1:6" x14ac:dyDescent="0.25">
      <c r="A601" s="137" t="s">
        <v>11366</v>
      </c>
      <c r="B601" s="137" t="s">
        <v>369</v>
      </c>
      <c r="C601" s="137" t="s">
        <v>198</v>
      </c>
      <c r="D601" s="338">
        <v>5408</v>
      </c>
      <c r="E601" s="137">
        <v>4901</v>
      </c>
      <c r="F601" s="137">
        <v>941</v>
      </c>
    </row>
    <row r="602" spans="1:6" x14ac:dyDescent="0.25">
      <c r="A602" s="137" t="s">
        <v>11301</v>
      </c>
      <c r="B602" s="137" t="s">
        <v>369</v>
      </c>
      <c r="C602" s="137" t="s">
        <v>195</v>
      </c>
      <c r="D602" s="338">
        <v>11724</v>
      </c>
      <c r="E602" s="137">
        <v>4346</v>
      </c>
      <c r="F602" s="137">
        <v>386</v>
      </c>
    </row>
    <row r="603" spans="1:6" x14ac:dyDescent="0.25">
      <c r="A603" s="137" t="s">
        <v>12560</v>
      </c>
      <c r="B603" s="137" t="s">
        <v>369</v>
      </c>
      <c r="C603" s="137" t="s">
        <v>5141</v>
      </c>
      <c r="D603" s="338">
        <v>4752</v>
      </c>
      <c r="E603" s="137">
        <v>3775</v>
      </c>
      <c r="F603" s="137">
        <v>1135</v>
      </c>
    </row>
    <row r="604" spans="1:6" x14ac:dyDescent="0.25">
      <c r="A604" s="137" t="s">
        <v>12237</v>
      </c>
      <c r="B604" s="137" t="s">
        <v>369</v>
      </c>
      <c r="C604" s="137" t="s">
        <v>4671</v>
      </c>
      <c r="D604" s="338">
        <v>11493</v>
      </c>
      <c r="E604" s="137">
        <v>2754</v>
      </c>
      <c r="F604" s="137">
        <v>114</v>
      </c>
    </row>
    <row r="605" spans="1:6" x14ac:dyDescent="0.25">
      <c r="A605" s="137" t="s">
        <v>11267</v>
      </c>
      <c r="B605" s="137" t="s">
        <v>369</v>
      </c>
      <c r="C605" s="137" t="s">
        <v>193</v>
      </c>
      <c r="D605" s="338">
        <v>12661</v>
      </c>
      <c r="E605" s="137">
        <v>4234</v>
      </c>
      <c r="F605" s="137">
        <v>274</v>
      </c>
    </row>
    <row r="606" spans="1:6" x14ac:dyDescent="0.25">
      <c r="A606" s="137" t="s">
        <v>12148</v>
      </c>
      <c r="B606" s="137" t="s">
        <v>369</v>
      </c>
      <c r="C606" s="137" t="s">
        <v>2266</v>
      </c>
      <c r="D606" s="338">
        <v>10337</v>
      </c>
      <c r="E606" s="137">
        <v>2789</v>
      </c>
      <c r="F606" s="137">
        <v>149</v>
      </c>
    </row>
    <row r="607" spans="1:6" x14ac:dyDescent="0.25">
      <c r="A607" s="137" t="s">
        <v>12272</v>
      </c>
      <c r="B607" s="137" t="s">
        <v>369</v>
      </c>
      <c r="C607" s="137" t="s">
        <v>4545</v>
      </c>
      <c r="D607" s="338">
        <v>10379</v>
      </c>
      <c r="E607" s="137">
        <v>3276</v>
      </c>
      <c r="F607" s="137">
        <v>636</v>
      </c>
    </row>
    <row r="608" spans="1:6" x14ac:dyDescent="0.25">
      <c r="A608" s="137" t="s">
        <v>12267</v>
      </c>
      <c r="B608" s="137" t="s">
        <v>369</v>
      </c>
      <c r="C608" s="137" t="s">
        <v>4402</v>
      </c>
      <c r="D608" s="338">
        <v>10700</v>
      </c>
      <c r="E608" s="137">
        <v>2974</v>
      </c>
      <c r="F608" s="137">
        <v>-2306</v>
      </c>
    </row>
    <row r="609" spans="1:6" x14ac:dyDescent="0.25">
      <c r="A609" s="137" t="s">
        <v>12131</v>
      </c>
      <c r="B609" s="137" t="s">
        <v>369</v>
      </c>
      <c r="C609" s="137" t="s">
        <v>575</v>
      </c>
      <c r="D609" s="338">
        <v>11656</v>
      </c>
      <c r="E609" s="137">
        <v>3300</v>
      </c>
      <c r="F609" s="137">
        <v>660</v>
      </c>
    </row>
    <row r="610" spans="1:6" x14ac:dyDescent="0.25">
      <c r="A610" s="137" t="s">
        <v>11319</v>
      </c>
      <c r="B610" s="137" t="s">
        <v>369</v>
      </c>
      <c r="C610" s="137" t="s">
        <v>484</v>
      </c>
      <c r="D610" s="338">
        <v>11555</v>
      </c>
      <c r="E610" s="137">
        <v>6253</v>
      </c>
      <c r="F610" s="137">
        <v>973</v>
      </c>
    </row>
    <row r="611" spans="1:6" x14ac:dyDescent="0.25">
      <c r="A611" s="137" t="s">
        <v>11176</v>
      </c>
      <c r="B611" s="137" t="s">
        <v>369</v>
      </c>
      <c r="C611" s="137" t="s">
        <v>190</v>
      </c>
      <c r="D611" s="338">
        <v>8569</v>
      </c>
      <c r="E611" s="137">
        <v>4995</v>
      </c>
      <c r="F611" s="137">
        <v>1035</v>
      </c>
    </row>
    <row r="612" spans="1:6" x14ac:dyDescent="0.25">
      <c r="A612" s="137" t="s">
        <v>12458</v>
      </c>
      <c r="B612" s="137" t="s">
        <v>369</v>
      </c>
      <c r="C612" s="137" t="s">
        <v>4891</v>
      </c>
      <c r="D612" s="338">
        <v>11280</v>
      </c>
      <c r="E612" s="137">
        <v>3083</v>
      </c>
      <c r="F612" s="137">
        <v>443</v>
      </c>
    </row>
    <row r="613" spans="1:6" x14ac:dyDescent="0.25">
      <c r="A613" s="137" t="s">
        <v>12174</v>
      </c>
      <c r="B613" s="137" t="s">
        <v>369</v>
      </c>
      <c r="C613" s="137" t="s">
        <v>1272</v>
      </c>
      <c r="D613" s="338">
        <v>8237</v>
      </c>
      <c r="E613" s="137">
        <v>3028</v>
      </c>
      <c r="F613" s="137">
        <v>388</v>
      </c>
    </row>
    <row r="614" spans="1:6" x14ac:dyDescent="0.25">
      <c r="A614" s="137" t="s">
        <v>12568</v>
      </c>
      <c r="B614" s="137" t="s">
        <v>369</v>
      </c>
      <c r="C614" s="137" t="s">
        <v>8728</v>
      </c>
      <c r="D614" s="338">
        <v>4284</v>
      </c>
      <c r="E614" s="137">
        <v>4613</v>
      </c>
      <c r="F614" s="137">
        <v>653</v>
      </c>
    </row>
    <row r="615" spans="1:6" x14ac:dyDescent="0.25">
      <c r="A615" s="137" t="s">
        <v>12595</v>
      </c>
      <c r="B615" s="137" t="s">
        <v>369</v>
      </c>
      <c r="C615" s="137" t="s">
        <v>5543</v>
      </c>
      <c r="D615" s="338">
        <v>11396</v>
      </c>
      <c r="E615" s="137">
        <v>3302</v>
      </c>
      <c r="F615" s="137">
        <v>662</v>
      </c>
    </row>
    <row r="616" spans="1:6" x14ac:dyDescent="0.25">
      <c r="A616" s="137" t="s">
        <v>11190</v>
      </c>
      <c r="B616" s="137" t="s">
        <v>369</v>
      </c>
      <c r="C616" s="137" t="s">
        <v>187</v>
      </c>
      <c r="D616" s="338">
        <v>3616</v>
      </c>
      <c r="E616" s="137">
        <v>6351</v>
      </c>
      <c r="F616" s="137">
        <v>1071</v>
      </c>
    </row>
    <row r="617" spans="1:6" x14ac:dyDescent="0.25">
      <c r="A617" s="137" t="s">
        <v>11258</v>
      </c>
      <c r="B617" s="137" t="s">
        <v>369</v>
      </c>
      <c r="C617" s="137" t="s">
        <v>185</v>
      </c>
      <c r="D617" s="338">
        <v>12158</v>
      </c>
      <c r="E617" s="137">
        <v>4168</v>
      </c>
      <c r="F617" s="137">
        <v>208</v>
      </c>
    </row>
    <row r="618" spans="1:6" x14ac:dyDescent="0.25">
      <c r="A618" s="137" t="s">
        <v>11287</v>
      </c>
      <c r="B618" s="137" t="s">
        <v>369</v>
      </c>
      <c r="C618" s="137" t="s">
        <v>182</v>
      </c>
      <c r="D618" s="338">
        <v>11806</v>
      </c>
      <c r="E618" s="137">
        <v>3991</v>
      </c>
      <c r="F618" s="137">
        <v>31</v>
      </c>
    </row>
    <row r="619" spans="1:6" x14ac:dyDescent="0.25">
      <c r="A619" s="137" t="s">
        <v>11397</v>
      </c>
      <c r="B619" s="137" t="s">
        <v>369</v>
      </c>
      <c r="C619" s="137" t="s">
        <v>175</v>
      </c>
      <c r="D619" s="338">
        <v>3306</v>
      </c>
      <c r="E619" s="137">
        <v>5436</v>
      </c>
      <c r="F619" s="137">
        <v>156</v>
      </c>
    </row>
    <row r="620" spans="1:6" x14ac:dyDescent="0.25">
      <c r="A620" s="137" t="s">
        <v>11272</v>
      </c>
      <c r="B620" s="137" t="s">
        <v>369</v>
      </c>
      <c r="C620" s="137" t="s">
        <v>173</v>
      </c>
      <c r="D620" s="338">
        <v>8003</v>
      </c>
      <c r="E620" s="137">
        <v>4310</v>
      </c>
      <c r="F620" s="137">
        <v>350</v>
      </c>
    </row>
    <row r="621" spans="1:6" x14ac:dyDescent="0.25">
      <c r="A621" s="137" t="s">
        <v>11279</v>
      </c>
      <c r="B621" s="137" t="s">
        <v>369</v>
      </c>
      <c r="C621" s="137" t="s">
        <v>170</v>
      </c>
      <c r="D621" s="338">
        <v>5212</v>
      </c>
      <c r="E621" s="137">
        <v>3799</v>
      </c>
      <c r="F621" s="137">
        <v>1159</v>
      </c>
    </row>
    <row r="622" spans="1:6" x14ac:dyDescent="0.25">
      <c r="A622" s="137" t="s">
        <v>12577</v>
      </c>
      <c r="B622" s="137" t="s">
        <v>369</v>
      </c>
      <c r="C622" s="137" t="s">
        <v>5300</v>
      </c>
      <c r="D622" s="338">
        <v>3234</v>
      </c>
      <c r="E622" s="137">
        <v>4510</v>
      </c>
      <c r="F622" s="137">
        <v>550</v>
      </c>
    </row>
    <row r="623" spans="1:6" x14ac:dyDescent="0.25">
      <c r="A623" s="137" t="s">
        <v>12476</v>
      </c>
      <c r="B623" s="137" t="s">
        <v>369</v>
      </c>
      <c r="C623" s="137" t="s">
        <v>5304</v>
      </c>
      <c r="D623" s="338">
        <v>10939</v>
      </c>
      <c r="E623" s="137">
        <v>4507</v>
      </c>
      <c r="F623" s="137">
        <v>547</v>
      </c>
    </row>
    <row r="624" spans="1:6" x14ac:dyDescent="0.25">
      <c r="A624" s="137" t="s">
        <v>12463</v>
      </c>
      <c r="B624" s="137" t="s">
        <v>369</v>
      </c>
      <c r="C624" s="137" t="s">
        <v>5350</v>
      </c>
      <c r="D624" s="338">
        <v>11196</v>
      </c>
      <c r="E624" s="137">
        <v>3025</v>
      </c>
      <c r="F624" s="137">
        <v>385</v>
      </c>
    </row>
    <row r="625" spans="1:6" x14ac:dyDescent="0.25">
      <c r="A625" s="137" t="s">
        <v>12482</v>
      </c>
      <c r="B625" s="137" t="s">
        <v>369</v>
      </c>
      <c r="C625" s="137" t="s">
        <v>4851</v>
      </c>
      <c r="D625" s="338">
        <v>10778</v>
      </c>
      <c r="E625" s="137">
        <v>3373</v>
      </c>
      <c r="F625" s="137">
        <v>733</v>
      </c>
    </row>
    <row r="626" spans="1:6" x14ac:dyDescent="0.25">
      <c r="A626" s="137" t="s">
        <v>11372</v>
      </c>
      <c r="B626" s="137" t="s">
        <v>369</v>
      </c>
      <c r="C626" s="137" t="s">
        <v>166</v>
      </c>
      <c r="D626" s="338">
        <v>2788</v>
      </c>
      <c r="E626" s="137">
        <v>5646</v>
      </c>
      <c r="F626" s="137">
        <v>366</v>
      </c>
    </row>
    <row r="627" spans="1:6" x14ac:dyDescent="0.25">
      <c r="A627" s="137" t="s">
        <v>12594</v>
      </c>
      <c r="B627" s="137" t="s">
        <v>369</v>
      </c>
      <c r="C627" s="137" t="s">
        <v>5495</v>
      </c>
      <c r="D627" s="338">
        <v>11401</v>
      </c>
      <c r="E627" s="137">
        <v>3278</v>
      </c>
      <c r="F627" s="137">
        <v>638</v>
      </c>
    </row>
    <row r="628" spans="1:6" x14ac:dyDescent="0.25">
      <c r="A628" s="137" t="s">
        <v>12289</v>
      </c>
      <c r="B628" s="137" t="s">
        <v>369</v>
      </c>
      <c r="C628" s="137" t="s">
        <v>4572</v>
      </c>
      <c r="D628" s="338">
        <v>9822</v>
      </c>
      <c r="E628" s="137">
        <v>3538</v>
      </c>
      <c r="F628" s="137">
        <v>898</v>
      </c>
    </row>
    <row r="629" spans="1:6" x14ac:dyDescent="0.25">
      <c r="A629" s="137" t="s">
        <v>11385</v>
      </c>
      <c r="B629" s="137" t="s">
        <v>369</v>
      </c>
      <c r="C629" s="137" t="s">
        <v>157</v>
      </c>
      <c r="D629" s="338">
        <v>10878</v>
      </c>
      <c r="E629" s="137">
        <v>4183</v>
      </c>
      <c r="F629" s="137">
        <v>223</v>
      </c>
    </row>
    <row r="630" spans="1:6" x14ac:dyDescent="0.25">
      <c r="A630" s="137" t="s">
        <v>12601</v>
      </c>
      <c r="B630" s="137" t="s">
        <v>369</v>
      </c>
      <c r="C630" s="137" t="s">
        <v>5672</v>
      </c>
      <c r="D630" s="338">
        <v>11113</v>
      </c>
      <c r="E630" s="137">
        <v>3994</v>
      </c>
      <c r="F630" s="137">
        <v>34</v>
      </c>
    </row>
    <row r="631" spans="1:6" x14ac:dyDescent="0.25">
      <c r="A631" s="137" t="s">
        <v>12175</v>
      </c>
      <c r="B631" s="137" t="s">
        <v>369</v>
      </c>
      <c r="C631" s="137" t="s">
        <v>1379</v>
      </c>
      <c r="D631" s="338">
        <v>8042</v>
      </c>
      <c r="E631" s="137">
        <v>3029</v>
      </c>
      <c r="F631" s="137">
        <v>389</v>
      </c>
    </row>
    <row r="632" spans="1:6" x14ac:dyDescent="0.25">
      <c r="A632" s="137" t="s">
        <v>12523</v>
      </c>
      <c r="B632" s="137" t="s">
        <v>369</v>
      </c>
      <c r="C632" s="137" t="s">
        <v>4804</v>
      </c>
      <c r="D632" s="338">
        <v>7771</v>
      </c>
      <c r="E632" s="137">
        <v>3775</v>
      </c>
      <c r="F632" s="137">
        <v>-185</v>
      </c>
    </row>
    <row r="633" spans="1:6" x14ac:dyDescent="0.25">
      <c r="A633" s="137" t="s">
        <v>12303</v>
      </c>
      <c r="B633" s="137" t="s">
        <v>369</v>
      </c>
      <c r="C633" s="137" t="s">
        <v>2890</v>
      </c>
      <c r="D633" s="338">
        <v>8914</v>
      </c>
      <c r="E633" s="137">
        <v>3371</v>
      </c>
      <c r="F633" s="137">
        <v>731</v>
      </c>
    </row>
    <row r="634" spans="1:6" x14ac:dyDescent="0.25">
      <c r="A634" s="137" t="s">
        <v>12257</v>
      </c>
      <c r="B634" s="137" t="s">
        <v>369</v>
      </c>
      <c r="C634" s="137" t="s">
        <v>3381</v>
      </c>
      <c r="D634" s="338">
        <v>10969</v>
      </c>
      <c r="E634" s="137">
        <v>3702</v>
      </c>
      <c r="F634" s="137">
        <v>1062</v>
      </c>
    </row>
    <row r="635" spans="1:6" x14ac:dyDescent="0.25">
      <c r="A635" s="137" t="s">
        <v>11180</v>
      </c>
      <c r="B635" s="137" t="s">
        <v>369</v>
      </c>
      <c r="C635" s="137" t="s">
        <v>152</v>
      </c>
      <c r="D635" s="338">
        <v>7752</v>
      </c>
      <c r="E635" s="137">
        <v>5541</v>
      </c>
      <c r="F635" s="137">
        <v>261</v>
      </c>
    </row>
    <row r="636" spans="1:6" x14ac:dyDescent="0.25">
      <c r="A636" s="137" t="s">
        <v>12598</v>
      </c>
      <c r="B636" s="137" t="s">
        <v>369</v>
      </c>
      <c r="C636" s="137" t="s">
        <v>5591</v>
      </c>
      <c r="D636" s="338">
        <v>11239</v>
      </c>
      <c r="E636" s="137">
        <v>3401</v>
      </c>
      <c r="F636" s="137">
        <v>761</v>
      </c>
    </row>
    <row r="637" spans="1:6" x14ac:dyDescent="0.25">
      <c r="A637" s="137" t="s">
        <v>12222</v>
      </c>
      <c r="B637" s="137" t="s">
        <v>369</v>
      </c>
      <c r="C637" s="137" t="s">
        <v>3705</v>
      </c>
      <c r="D637" s="338">
        <v>12191</v>
      </c>
      <c r="E637" s="137">
        <v>4395</v>
      </c>
      <c r="F637" s="137">
        <v>435</v>
      </c>
    </row>
    <row r="638" spans="1:6" x14ac:dyDescent="0.25">
      <c r="A638" s="137" t="s">
        <v>12567</v>
      </c>
      <c r="B638" s="137" t="s">
        <v>369</v>
      </c>
      <c r="C638" s="137" t="s">
        <v>5272</v>
      </c>
      <c r="D638" s="338">
        <v>4300</v>
      </c>
      <c r="E638" s="137">
        <v>4406</v>
      </c>
      <c r="F638" s="137">
        <v>446</v>
      </c>
    </row>
    <row r="639" spans="1:6" x14ac:dyDescent="0.25">
      <c r="A639" s="137" t="s">
        <v>12233</v>
      </c>
      <c r="B639" s="137" t="s">
        <v>369</v>
      </c>
      <c r="C639" s="137" t="s">
        <v>3081</v>
      </c>
      <c r="D639" s="338">
        <v>11731</v>
      </c>
      <c r="E639" s="137">
        <v>5804</v>
      </c>
      <c r="F639" s="137">
        <v>524</v>
      </c>
    </row>
    <row r="640" spans="1:6" x14ac:dyDescent="0.25">
      <c r="A640" s="137" t="s">
        <v>11260</v>
      </c>
      <c r="B640" s="137" t="s">
        <v>369</v>
      </c>
      <c r="C640" s="137" t="s">
        <v>147</v>
      </c>
      <c r="D640" s="338">
        <v>4431</v>
      </c>
      <c r="E640" s="137">
        <v>4646</v>
      </c>
      <c r="F640" s="137">
        <v>686</v>
      </c>
    </row>
    <row r="641" spans="1:6" x14ac:dyDescent="0.25">
      <c r="A641" s="137" t="s">
        <v>12385</v>
      </c>
      <c r="B641" s="137" t="s">
        <v>369</v>
      </c>
      <c r="C641" s="137" t="s">
        <v>4032</v>
      </c>
      <c r="D641" s="338">
        <v>6621</v>
      </c>
      <c r="E641" s="137">
        <v>3396</v>
      </c>
      <c r="F641" s="137">
        <v>756</v>
      </c>
    </row>
    <row r="642" spans="1:6" x14ac:dyDescent="0.25">
      <c r="A642" s="137" t="s">
        <v>11283</v>
      </c>
      <c r="B642" s="137" t="s">
        <v>369</v>
      </c>
      <c r="C642" s="137" t="s">
        <v>145</v>
      </c>
      <c r="D642" s="338">
        <v>5840</v>
      </c>
      <c r="E642" s="137">
        <v>4052</v>
      </c>
      <c r="F642" s="137">
        <v>92</v>
      </c>
    </row>
    <row r="643" spans="1:6" x14ac:dyDescent="0.25">
      <c r="A643" s="137" t="s">
        <v>12452</v>
      </c>
      <c r="B643" s="137" t="s">
        <v>369</v>
      </c>
      <c r="C643" s="137" t="s">
        <v>5202</v>
      </c>
      <c r="D643" s="338">
        <v>11885</v>
      </c>
      <c r="E643" s="137">
        <v>2933</v>
      </c>
      <c r="F643" s="137">
        <v>293</v>
      </c>
    </row>
    <row r="644" spans="1:6" x14ac:dyDescent="0.25">
      <c r="A644" s="137" t="s">
        <v>12490</v>
      </c>
      <c r="B644" s="137" t="s">
        <v>369</v>
      </c>
      <c r="C644" s="137" t="s">
        <v>5084</v>
      </c>
      <c r="D644" s="338">
        <v>10578</v>
      </c>
      <c r="E644" s="137">
        <v>3538</v>
      </c>
      <c r="F644" s="137">
        <v>898</v>
      </c>
    </row>
    <row r="645" spans="1:6" x14ac:dyDescent="0.25">
      <c r="A645" s="137" t="s">
        <v>12506</v>
      </c>
      <c r="B645" s="137" t="s">
        <v>369</v>
      </c>
      <c r="C645" s="137" t="s">
        <v>4985</v>
      </c>
      <c r="D645" s="338">
        <v>9444</v>
      </c>
      <c r="E645" s="137">
        <v>3805</v>
      </c>
      <c r="F645" s="137">
        <v>1165</v>
      </c>
    </row>
    <row r="646" spans="1:6" x14ac:dyDescent="0.25">
      <c r="A646" s="137" t="s">
        <v>12137</v>
      </c>
      <c r="B646" s="137" t="s">
        <v>369</v>
      </c>
      <c r="C646" s="137" t="s">
        <v>1553</v>
      </c>
      <c r="D646" s="338">
        <v>11430</v>
      </c>
      <c r="E646" s="137">
        <v>3511</v>
      </c>
      <c r="F646" s="137">
        <v>871</v>
      </c>
    </row>
    <row r="647" spans="1:6" x14ac:dyDescent="0.25">
      <c r="A647" s="137" t="s">
        <v>12526</v>
      </c>
      <c r="B647" s="137" t="s">
        <v>369</v>
      </c>
      <c r="C647" s="137" t="s">
        <v>5436</v>
      </c>
      <c r="D647" s="338">
        <v>7461</v>
      </c>
      <c r="E647" s="137">
        <v>3969</v>
      </c>
      <c r="F647" s="137">
        <v>9</v>
      </c>
    </row>
    <row r="648" spans="1:6" x14ac:dyDescent="0.25">
      <c r="A648" s="137" t="s">
        <v>12443</v>
      </c>
      <c r="B648" s="137" t="s">
        <v>369</v>
      </c>
      <c r="C648" s="137" t="s">
        <v>5321</v>
      </c>
      <c r="D648" s="338">
        <v>12565</v>
      </c>
      <c r="E648" s="137">
        <v>3796</v>
      </c>
      <c r="F648" s="137">
        <v>-164</v>
      </c>
    </row>
    <row r="649" spans="1:6" x14ac:dyDescent="0.25">
      <c r="A649" s="137" t="s">
        <v>12228</v>
      </c>
      <c r="B649" s="137" t="s">
        <v>369</v>
      </c>
      <c r="C649" s="137" t="s">
        <v>4636</v>
      </c>
      <c r="D649" s="338">
        <v>11965</v>
      </c>
      <c r="E649" s="137">
        <v>4240</v>
      </c>
      <c r="F649" s="137">
        <v>280</v>
      </c>
    </row>
    <row r="650" spans="1:6" x14ac:dyDescent="0.25">
      <c r="A650" s="137" t="s">
        <v>12649</v>
      </c>
      <c r="B650" s="137" t="s">
        <v>369</v>
      </c>
      <c r="C650" s="137" t="s">
        <v>5706</v>
      </c>
      <c r="D650" s="338">
        <v>11568</v>
      </c>
      <c r="E650" s="137">
        <v>3642</v>
      </c>
      <c r="F650" s="137">
        <v>1002</v>
      </c>
    </row>
    <row r="651" spans="1:6" x14ac:dyDescent="0.25">
      <c r="A651" s="137" t="s">
        <v>12606</v>
      </c>
      <c r="B651" s="137" t="s">
        <v>369</v>
      </c>
      <c r="C651" s="137" t="s">
        <v>140</v>
      </c>
      <c r="D651" s="338">
        <v>10908</v>
      </c>
      <c r="E651" s="137">
        <v>4457</v>
      </c>
      <c r="F651" s="137">
        <v>497</v>
      </c>
    </row>
    <row r="652" spans="1:6" x14ac:dyDescent="0.25">
      <c r="A652" s="137" t="s">
        <v>12271</v>
      </c>
      <c r="B652" s="137" t="s">
        <v>369</v>
      </c>
      <c r="C652" s="137" t="s">
        <v>3576</v>
      </c>
      <c r="D652" s="338">
        <v>10425</v>
      </c>
      <c r="E652" s="137">
        <v>3126</v>
      </c>
      <c r="F652" s="137">
        <v>486</v>
      </c>
    </row>
    <row r="653" spans="1:6" x14ac:dyDescent="0.25">
      <c r="A653" s="137" t="s">
        <v>12236</v>
      </c>
      <c r="B653" s="137" t="s">
        <v>369</v>
      </c>
      <c r="C653" s="137" t="s">
        <v>3311</v>
      </c>
      <c r="D653" s="338">
        <v>11499</v>
      </c>
      <c r="E653" s="137">
        <v>2826</v>
      </c>
      <c r="F653" s="137">
        <v>186</v>
      </c>
    </row>
    <row r="654" spans="1:6" x14ac:dyDescent="0.25">
      <c r="A654" s="137" t="s">
        <v>12223</v>
      </c>
      <c r="B654" s="137" t="s">
        <v>369</v>
      </c>
      <c r="C654" s="137" t="s">
        <v>3515</v>
      </c>
      <c r="D654" s="338">
        <v>12124</v>
      </c>
      <c r="E654" s="137">
        <v>5677</v>
      </c>
      <c r="F654" s="137">
        <v>397</v>
      </c>
    </row>
    <row r="655" spans="1:6" x14ac:dyDescent="0.25">
      <c r="A655" s="137" t="s">
        <v>12226</v>
      </c>
      <c r="B655" s="137" t="s">
        <v>369</v>
      </c>
      <c r="C655" s="137" t="s">
        <v>3743</v>
      </c>
      <c r="D655" s="338">
        <v>12093</v>
      </c>
      <c r="E655" s="137">
        <v>4401</v>
      </c>
      <c r="F655" s="137">
        <v>441</v>
      </c>
    </row>
    <row r="656" spans="1:6" x14ac:dyDescent="0.25">
      <c r="A656" s="137" t="s">
        <v>12215</v>
      </c>
      <c r="B656" s="137" t="s">
        <v>369</v>
      </c>
      <c r="C656" s="137" t="s">
        <v>2569</v>
      </c>
      <c r="D656" s="338">
        <v>12603</v>
      </c>
      <c r="E656" s="137">
        <v>4097</v>
      </c>
      <c r="F656" s="137">
        <v>137</v>
      </c>
    </row>
    <row r="657" spans="1:6" x14ac:dyDescent="0.25">
      <c r="A657" s="137" t="s">
        <v>11347</v>
      </c>
      <c r="B657" s="137" t="s">
        <v>369</v>
      </c>
      <c r="C657" s="137" t="s">
        <v>130</v>
      </c>
      <c r="D657" s="338">
        <v>5239</v>
      </c>
      <c r="E657" s="137">
        <v>4933</v>
      </c>
      <c r="F657" s="137">
        <v>973</v>
      </c>
    </row>
    <row r="658" spans="1:6" x14ac:dyDescent="0.25">
      <c r="A658" s="137" t="s">
        <v>12645</v>
      </c>
      <c r="B658" s="137" t="s">
        <v>369</v>
      </c>
      <c r="C658" s="137" t="s">
        <v>126</v>
      </c>
      <c r="D658" s="338">
        <v>3029</v>
      </c>
      <c r="E658" s="137">
        <v>3931</v>
      </c>
      <c r="F658" s="137">
        <v>1291</v>
      </c>
    </row>
    <row r="659" spans="1:6" x14ac:dyDescent="0.25">
      <c r="A659" s="137" t="s">
        <v>12252</v>
      </c>
      <c r="B659" s="137" t="s">
        <v>369</v>
      </c>
      <c r="C659" s="137" t="s">
        <v>4629</v>
      </c>
      <c r="D659" s="338">
        <v>11139</v>
      </c>
      <c r="E659" s="137">
        <v>5495</v>
      </c>
      <c r="F659" s="137">
        <v>215</v>
      </c>
    </row>
    <row r="660" spans="1:6" x14ac:dyDescent="0.25">
      <c r="A660" s="137" t="s">
        <v>12451</v>
      </c>
      <c r="B660" s="137" t="s">
        <v>369</v>
      </c>
      <c r="C660" s="137" t="s">
        <v>5057</v>
      </c>
      <c r="D660" s="338">
        <v>11898</v>
      </c>
      <c r="E660" s="137">
        <v>3226</v>
      </c>
      <c r="F660" s="137">
        <v>-734</v>
      </c>
    </row>
    <row r="661" spans="1:6" x14ac:dyDescent="0.25">
      <c r="A661" s="137" t="s">
        <v>11217</v>
      </c>
      <c r="B661" s="137" t="s">
        <v>369</v>
      </c>
      <c r="C661" s="137" t="s">
        <v>122</v>
      </c>
      <c r="D661" s="338">
        <v>5173</v>
      </c>
      <c r="E661" s="137">
        <v>4907</v>
      </c>
      <c r="F661" s="137">
        <v>947</v>
      </c>
    </row>
    <row r="662" spans="1:6" x14ac:dyDescent="0.25">
      <c r="A662" s="137" t="s">
        <v>11172</v>
      </c>
      <c r="B662" s="137" t="s">
        <v>369</v>
      </c>
      <c r="C662" s="137" t="s">
        <v>120</v>
      </c>
      <c r="D662" s="338">
        <v>11636</v>
      </c>
      <c r="E662" s="137">
        <v>3831</v>
      </c>
      <c r="F662" s="137">
        <v>-129</v>
      </c>
    </row>
    <row r="663" spans="1:6" x14ac:dyDescent="0.25">
      <c r="A663" s="137" t="s">
        <v>12483</v>
      </c>
      <c r="B663" s="137" t="s">
        <v>369</v>
      </c>
      <c r="C663" s="137" t="s">
        <v>5311</v>
      </c>
      <c r="D663" s="338">
        <v>10741</v>
      </c>
      <c r="E663" s="137">
        <v>3510</v>
      </c>
      <c r="F663" s="137">
        <v>870</v>
      </c>
    </row>
    <row r="664" spans="1:6" x14ac:dyDescent="0.25">
      <c r="A664" s="137" t="s">
        <v>11236</v>
      </c>
      <c r="B664" s="137" t="s">
        <v>369</v>
      </c>
      <c r="C664" s="137" t="s">
        <v>117</v>
      </c>
      <c r="D664" s="338">
        <v>1975</v>
      </c>
      <c r="E664" s="137">
        <v>4966</v>
      </c>
      <c r="F664" s="137">
        <v>1006</v>
      </c>
    </row>
    <row r="665" spans="1:6" x14ac:dyDescent="0.25">
      <c r="A665" s="137" t="s">
        <v>12300</v>
      </c>
      <c r="B665" s="137" t="s">
        <v>369</v>
      </c>
      <c r="C665" s="137" t="s">
        <v>2625</v>
      </c>
      <c r="D665" s="338">
        <v>9051</v>
      </c>
      <c r="E665" s="137">
        <v>3271</v>
      </c>
      <c r="F665" s="137">
        <v>631</v>
      </c>
    </row>
    <row r="666" spans="1:6" x14ac:dyDescent="0.25">
      <c r="A666" s="137" t="s">
        <v>12459</v>
      </c>
      <c r="B666" s="137" t="s">
        <v>369</v>
      </c>
      <c r="C666" s="137" t="s">
        <v>4835</v>
      </c>
      <c r="D666" s="338">
        <v>11247</v>
      </c>
      <c r="E666" s="137">
        <v>3537</v>
      </c>
      <c r="F666" s="137">
        <v>897</v>
      </c>
    </row>
    <row r="667" spans="1:6" x14ac:dyDescent="0.25">
      <c r="A667" s="137" t="s">
        <v>12610</v>
      </c>
      <c r="B667" s="137" t="s">
        <v>369</v>
      </c>
      <c r="C667" s="137" t="s">
        <v>5602</v>
      </c>
      <c r="D667" s="338">
        <v>10703</v>
      </c>
      <c r="E667" s="137">
        <v>4227</v>
      </c>
      <c r="F667" s="137">
        <v>267</v>
      </c>
    </row>
    <row r="668" spans="1:6" x14ac:dyDescent="0.25">
      <c r="A668" s="137" t="s">
        <v>12473</v>
      </c>
      <c r="B668" s="137" t="s">
        <v>369</v>
      </c>
      <c r="C668" s="137" t="s">
        <v>5279</v>
      </c>
      <c r="D668" s="338">
        <v>10983</v>
      </c>
      <c r="E668" s="137">
        <v>3477</v>
      </c>
      <c r="F668" s="137">
        <v>837</v>
      </c>
    </row>
    <row r="669" spans="1:6" x14ac:dyDescent="0.25">
      <c r="A669" s="137" t="s">
        <v>12205</v>
      </c>
      <c r="B669" s="137" t="s">
        <v>369</v>
      </c>
      <c r="C669" s="137" t="s">
        <v>3761</v>
      </c>
      <c r="D669" s="338">
        <v>13439</v>
      </c>
      <c r="E669" s="137">
        <v>3453</v>
      </c>
      <c r="F669" s="137">
        <v>-507</v>
      </c>
    </row>
    <row r="670" spans="1:6" x14ac:dyDescent="0.25">
      <c r="A670" s="137" t="s">
        <v>12266</v>
      </c>
      <c r="B670" s="137" t="s">
        <v>369</v>
      </c>
      <c r="C670" s="137" t="s">
        <v>3741</v>
      </c>
      <c r="D670" s="338">
        <v>10705</v>
      </c>
      <c r="E670" s="137">
        <v>3327</v>
      </c>
      <c r="F670" s="137">
        <v>-633</v>
      </c>
    </row>
    <row r="671" spans="1:6" x14ac:dyDescent="0.25">
      <c r="A671" s="137" t="s">
        <v>11294</v>
      </c>
      <c r="B671" s="137" t="s">
        <v>369</v>
      </c>
      <c r="C671" s="137" t="s">
        <v>114</v>
      </c>
      <c r="D671" s="338">
        <v>4447</v>
      </c>
      <c r="E671" s="137">
        <v>5321</v>
      </c>
      <c r="F671" s="137">
        <v>41</v>
      </c>
    </row>
    <row r="672" spans="1:6" x14ac:dyDescent="0.25">
      <c r="A672" s="137" t="s">
        <v>12282</v>
      </c>
      <c r="B672" s="137" t="s">
        <v>369</v>
      </c>
      <c r="C672" s="137" t="s">
        <v>3543</v>
      </c>
      <c r="D672" s="338">
        <v>10083</v>
      </c>
      <c r="E672" s="137">
        <v>2790</v>
      </c>
      <c r="F672" s="137">
        <v>150</v>
      </c>
    </row>
    <row r="673" spans="1:6" x14ac:dyDescent="0.25">
      <c r="A673" s="137" t="s">
        <v>12206</v>
      </c>
      <c r="B673" s="137" t="s">
        <v>369</v>
      </c>
      <c r="C673" s="137" t="s">
        <v>2886</v>
      </c>
      <c r="D673" s="338">
        <v>13436</v>
      </c>
      <c r="E673" s="137">
        <v>3138</v>
      </c>
      <c r="F673" s="137">
        <v>-822</v>
      </c>
    </row>
    <row r="674" spans="1:6" x14ac:dyDescent="0.25">
      <c r="A674" s="137" t="s">
        <v>12442</v>
      </c>
      <c r="B674" s="137" t="s">
        <v>369</v>
      </c>
      <c r="C674" s="137" t="s">
        <v>5155</v>
      </c>
      <c r="D674" s="338">
        <v>12700</v>
      </c>
      <c r="E674" s="137">
        <v>5088</v>
      </c>
      <c r="F674" s="137">
        <v>-192</v>
      </c>
    </row>
    <row r="675" spans="1:6" x14ac:dyDescent="0.25">
      <c r="A675" s="137" t="s">
        <v>12216</v>
      </c>
      <c r="B675" s="137" t="s">
        <v>369</v>
      </c>
      <c r="C675" s="137" t="s">
        <v>3799</v>
      </c>
      <c r="D675" s="338">
        <v>12542</v>
      </c>
      <c r="E675" s="137">
        <v>4427</v>
      </c>
      <c r="F675" s="137">
        <v>467</v>
      </c>
    </row>
    <row r="676" spans="1:6" x14ac:dyDescent="0.25">
      <c r="A676" s="137" t="s">
        <v>11171</v>
      </c>
      <c r="B676" s="137" t="s">
        <v>369</v>
      </c>
      <c r="C676" s="137" t="s">
        <v>113</v>
      </c>
      <c r="D676" s="338">
        <v>2811</v>
      </c>
      <c r="E676" s="137">
        <v>6941</v>
      </c>
      <c r="F676" s="137">
        <v>341</v>
      </c>
    </row>
    <row r="677" spans="1:6" x14ac:dyDescent="0.25">
      <c r="A677" s="137" t="s">
        <v>12507</v>
      </c>
      <c r="B677" s="137" t="s">
        <v>369</v>
      </c>
      <c r="C677" s="137" t="s">
        <v>5219</v>
      </c>
      <c r="D677" s="338">
        <v>9402</v>
      </c>
      <c r="E677" s="137">
        <v>3041</v>
      </c>
      <c r="F677" s="137">
        <v>401</v>
      </c>
    </row>
    <row r="678" spans="1:6" x14ac:dyDescent="0.25">
      <c r="A678" s="137" t="s">
        <v>12498</v>
      </c>
      <c r="B678" s="137" t="s">
        <v>369</v>
      </c>
      <c r="C678" s="137" t="s">
        <v>5255</v>
      </c>
      <c r="D678" s="338">
        <v>10139</v>
      </c>
      <c r="E678" s="137">
        <v>4045</v>
      </c>
      <c r="F678" s="137">
        <v>85</v>
      </c>
    </row>
    <row r="679" spans="1:6" x14ac:dyDescent="0.25">
      <c r="A679" s="137" t="s">
        <v>12381</v>
      </c>
      <c r="B679" s="137" t="s">
        <v>369</v>
      </c>
      <c r="C679" s="137" t="s">
        <v>3078</v>
      </c>
      <c r="D679" s="338">
        <v>6725</v>
      </c>
      <c r="E679" s="137">
        <v>4106</v>
      </c>
      <c r="F679" s="137">
        <v>146</v>
      </c>
    </row>
    <row r="680" spans="1:6" x14ac:dyDescent="0.25">
      <c r="A680" s="137" t="s">
        <v>12262</v>
      </c>
      <c r="B680" s="137" t="s">
        <v>369</v>
      </c>
      <c r="C680" s="137" t="s">
        <v>4144</v>
      </c>
      <c r="D680" s="338">
        <v>10806</v>
      </c>
      <c r="E680" s="137">
        <v>2852</v>
      </c>
      <c r="F680" s="137">
        <v>212</v>
      </c>
    </row>
    <row r="681" spans="1:6" x14ac:dyDescent="0.25">
      <c r="A681" s="137" t="s">
        <v>12213</v>
      </c>
      <c r="B681" s="137" t="s">
        <v>369</v>
      </c>
      <c r="C681" s="137" t="s">
        <v>3152</v>
      </c>
      <c r="D681" s="338">
        <v>13060</v>
      </c>
      <c r="E681" s="137">
        <v>5300</v>
      </c>
      <c r="F681" s="137">
        <v>20</v>
      </c>
    </row>
    <row r="682" spans="1:6" x14ac:dyDescent="0.25">
      <c r="A682" s="137" t="s">
        <v>11256</v>
      </c>
      <c r="B682" s="137" t="s">
        <v>369</v>
      </c>
      <c r="C682" s="137" t="s">
        <v>110</v>
      </c>
      <c r="D682" s="338">
        <v>7344</v>
      </c>
      <c r="E682" s="137">
        <v>4507</v>
      </c>
      <c r="F682" s="137">
        <v>547</v>
      </c>
    </row>
    <row r="683" spans="1:6" x14ac:dyDescent="0.25">
      <c r="A683" s="137" t="s">
        <v>12274</v>
      </c>
      <c r="B683" s="137" t="s">
        <v>369</v>
      </c>
      <c r="C683" s="137" t="s">
        <v>3723</v>
      </c>
      <c r="D683" s="338">
        <v>10232</v>
      </c>
      <c r="E683" s="137">
        <v>2989</v>
      </c>
      <c r="F683" s="137">
        <v>349</v>
      </c>
    </row>
    <row r="684" spans="1:6" x14ac:dyDescent="0.25">
      <c r="A684" s="137" t="s">
        <v>12278</v>
      </c>
      <c r="B684" s="137" t="s">
        <v>369</v>
      </c>
      <c r="C684" s="137" t="s">
        <v>3597</v>
      </c>
      <c r="D684" s="338">
        <v>10152</v>
      </c>
      <c r="E684" s="137">
        <v>3424</v>
      </c>
      <c r="F684" s="137">
        <v>784</v>
      </c>
    </row>
    <row r="685" spans="1:6" x14ac:dyDescent="0.25">
      <c r="A685" s="137" t="s">
        <v>12530</v>
      </c>
      <c r="B685" s="137" t="s">
        <v>369</v>
      </c>
      <c r="C685" s="137" t="s">
        <v>4756</v>
      </c>
      <c r="D685" s="338">
        <v>7283</v>
      </c>
      <c r="E685" s="137">
        <v>4644</v>
      </c>
      <c r="F685" s="137">
        <v>684</v>
      </c>
    </row>
    <row r="686" spans="1:6" x14ac:dyDescent="0.25">
      <c r="A686" s="137" t="s">
        <v>12617</v>
      </c>
      <c r="B686" s="137" t="s">
        <v>369</v>
      </c>
      <c r="C686" s="137" t="s">
        <v>5457</v>
      </c>
      <c r="D686" s="338">
        <v>9405</v>
      </c>
      <c r="E686" s="137">
        <v>4694</v>
      </c>
      <c r="F686" s="137">
        <v>-1906</v>
      </c>
    </row>
    <row r="687" spans="1:6" x14ac:dyDescent="0.25">
      <c r="A687" s="137" t="s">
        <v>12444</v>
      </c>
      <c r="B687" s="137" t="s">
        <v>369</v>
      </c>
      <c r="C687" s="137" t="s">
        <v>4955</v>
      </c>
      <c r="D687" s="338">
        <v>12503</v>
      </c>
      <c r="E687" s="137">
        <v>3057</v>
      </c>
      <c r="F687" s="137">
        <v>417</v>
      </c>
    </row>
    <row r="688" spans="1:6" x14ac:dyDescent="0.25">
      <c r="A688" s="137" t="s">
        <v>12277</v>
      </c>
      <c r="B688" s="137" t="s">
        <v>369</v>
      </c>
      <c r="C688" s="137" t="s">
        <v>3292</v>
      </c>
      <c r="D688" s="338">
        <v>10164</v>
      </c>
      <c r="E688" s="137">
        <v>4842</v>
      </c>
      <c r="F688" s="137">
        <v>882</v>
      </c>
    </row>
    <row r="689" spans="1:6" x14ac:dyDescent="0.25">
      <c r="A689" s="137" t="s">
        <v>12545</v>
      </c>
      <c r="B689" s="137" t="s">
        <v>369</v>
      </c>
      <c r="C689" s="137" t="s">
        <v>5204</v>
      </c>
      <c r="D689" s="338">
        <v>6064</v>
      </c>
      <c r="E689" s="137">
        <v>2998</v>
      </c>
      <c r="F689" s="137">
        <v>358</v>
      </c>
    </row>
    <row r="690" spans="1:6" x14ac:dyDescent="0.25">
      <c r="A690" s="137" t="s">
        <v>12214</v>
      </c>
      <c r="B690" s="137" t="s">
        <v>369</v>
      </c>
      <c r="C690" s="137" t="s">
        <v>2958</v>
      </c>
      <c r="D690" s="338">
        <v>13031</v>
      </c>
      <c r="E690" s="137">
        <v>3057</v>
      </c>
      <c r="F690" s="137">
        <v>-903</v>
      </c>
    </row>
    <row r="691" spans="1:6" x14ac:dyDescent="0.25">
      <c r="A691" s="137" t="s">
        <v>11373</v>
      </c>
      <c r="B691" s="137" t="s">
        <v>369</v>
      </c>
      <c r="C691" s="137" t="s">
        <v>100</v>
      </c>
      <c r="D691" s="338">
        <v>1884</v>
      </c>
      <c r="E691" s="137">
        <v>5044</v>
      </c>
      <c r="F691" s="137">
        <v>1084</v>
      </c>
    </row>
    <row r="692" spans="1:6" x14ac:dyDescent="0.25">
      <c r="A692" s="137" t="s">
        <v>11238</v>
      </c>
      <c r="B692" s="137" t="s">
        <v>369</v>
      </c>
      <c r="C692" s="137" t="s">
        <v>97</v>
      </c>
      <c r="D692" s="338">
        <v>4434</v>
      </c>
      <c r="E692" s="137">
        <v>5050</v>
      </c>
      <c r="F692" s="137">
        <v>-230</v>
      </c>
    </row>
    <row r="693" spans="1:6" x14ac:dyDescent="0.25">
      <c r="A693" s="137" t="s">
        <v>11193</v>
      </c>
      <c r="B693" s="137" t="s">
        <v>369</v>
      </c>
      <c r="C693" s="137" t="s">
        <v>95</v>
      </c>
      <c r="D693" s="338">
        <v>5581</v>
      </c>
      <c r="E693" s="137">
        <v>4087</v>
      </c>
      <c r="F693" s="137">
        <v>127</v>
      </c>
    </row>
    <row r="694" spans="1:6" x14ac:dyDescent="0.25">
      <c r="A694" s="137" t="s">
        <v>11281</v>
      </c>
      <c r="B694" s="137" t="s">
        <v>369</v>
      </c>
      <c r="C694" s="137" t="s">
        <v>93</v>
      </c>
      <c r="D694" s="137">
        <v>883</v>
      </c>
      <c r="E694" s="137">
        <v>3740</v>
      </c>
      <c r="F694" s="137">
        <v>1100</v>
      </c>
    </row>
    <row r="695" spans="1:6" x14ac:dyDescent="0.25">
      <c r="A695" s="137" t="s">
        <v>12554</v>
      </c>
      <c r="B695" s="137" t="s">
        <v>369</v>
      </c>
      <c r="C695" s="137" t="s">
        <v>4750</v>
      </c>
      <c r="D695" s="338">
        <v>5008</v>
      </c>
      <c r="E695" s="137">
        <v>3693</v>
      </c>
      <c r="F695" s="137">
        <v>1053</v>
      </c>
    </row>
    <row r="696" spans="1:6" x14ac:dyDescent="0.25">
      <c r="A696" s="137" t="s">
        <v>12396</v>
      </c>
      <c r="B696" s="137" t="s">
        <v>369</v>
      </c>
      <c r="C696" s="137" t="s">
        <v>90</v>
      </c>
      <c r="D696" s="338">
        <v>6324</v>
      </c>
      <c r="E696" s="137">
        <v>3088</v>
      </c>
      <c r="F696" s="137">
        <v>448</v>
      </c>
    </row>
    <row r="697" spans="1:6" x14ac:dyDescent="0.25">
      <c r="A697" s="137" t="s">
        <v>12447</v>
      </c>
      <c r="B697" s="137" t="s">
        <v>369</v>
      </c>
      <c r="C697" s="137" t="s">
        <v>87</v>
      </c>
      <c r="D697" s="338">
        <v>12255</v>
      </c>
      <c r="E697" s="137">
        <v>3709</v>
      </c>
      <c r="F697" s="137">
        <v>-251</v>
      </c>
    </row>
    <row r="698" spans="1:6" x14ac:dyDescent="0.25">
      <c r="A698" s="137" t="s">
        <v>12154</v>
      </c>
      <c r="B698" s="137" t="s">
        <v>369</v>
      </c>
      <c r="C698" s="137" t="s">
        <v>1965</v>
      </c>
      <c r="D698" s="338">
        <v>9724</v>
      </c>
      <c r="E698" s="137">
        <v>4154</v>
      </c>
      <c r="F698" s="137">
        <v>194</v>
      </c>
    </row>
    <row r="699" spans="1:6" x14ac:dyDescent="0.25">
      <c r="A699" s="137" t="s">
        <v>12623</v>
      </c>
      <c r="B699" s="137" t="s">
        <v>369</v>
      </c>
      <c r="C699" s="137" t="s">
        <v>5513</v>
      </c>
      <c r="D699" s="338">
        <v>8613</v>
      </c>
      <c r="E699" s="137">
        <v>4755</v>
      </c>
      <c r="F699" s="137">
        <v>795</v>
      </c>
    </row>
    <row r="700" spans="1:6" x14ac:dyDescent="0.25">
      <c r="A700" s="137" t="s">
        <v>11380</v>
      </c>
      <c r="B700" s="137" t="s">
        <v>369</v>
      </c>
      <c r="C700" s="137" t="s">
        <v>84</v>
      </c>
      <c r="D700" s="338">
        <v>11669</v>
      </c>
      <c r="E700" s="137">
        <v>3979</v>
      </c>
      <c r="F700" s="137">
        <v>19</v>
      </c>
    </row>
    <row r="701" spans="1:6" x14ac:dyDescent="0.25">
      <c r="A701" s="137" t="s">
        <v>12602</v>
      </c>
      <c r="B701" s="137" t="s">
        <v>369</v>
      </c>
      <c r="C701" s="137" t="s">
        <v>5585</v>
      </c>
      <c r="D701" s="338">
        <v>11067</v>
      </c>
      <c r="E701" s="137">
        <v>3671</v>
      </c>
      <c r="F701" s="137">
        <v>1031</v>
      </c>
    </row>
    <row r="702" spans="1:6" x14ac:dyDescent="0.25">
      <c r="A702" s="137" t="s">
        <v>11186</v>
      </c>
      <c r="B702" s="137" t="s">
        <v>369</v>
      </c>
      <c r="C702" s="137" t="s">
        <v>79</v>
      </c>
      <c r="D702" s="338">
        <v>9315</v>
      </c>
      <c r="E702" s="137">
        <v>4530</v>
      </c>
      <c r="F702" s="137">
        <v>570</v>
      </c>
    </row>
    <row r="703" spans="1:6" x14ac:dyDescent="0.25">
      <c r="A703" s="137" t="s">
        <v>12446</v>
      </c>
      <c r="B703" s="137" t="s">
        <v>369</v>
      </c>
      <c r="C703" s="137" t="s">
        <v>5313</v>
      </c>
      <c r="D703" s="338">
        <v>12409</v>
      </c>
      <c r="E703" s="137">
        <v>3266</v>
      </c>
      <c r="F703" s="137">
        <v>626</v>
      </c>
    </row>
    <row r="704" spans="1:6" x14ac:dyDescent="0.25">
      <c r="A704" s="137" t="s">
        <v>12521</v>
      </c>
      <c r="B704" s="137" t="s">
        <v>369</v>
      </c>
      <c r="C704" s="137" t="s">
        <v>5047</v>
      </c>
      <c r="D704" s="338">
        <v>8131</v>
      </c>
      <c r="E704" s="137">
        <v>3641</v>
      </c>
      <c r="F704" s="137">
        <v>1001</v>
      </c>
    </row>
    <row r="705" spans="1:6" x14ac:dyDescent="0.25">
      <c r="A705" s="137" t="s">
        <v>12263</v>
      </c>
      <c r="B705" s="137" t="s">
        <v>369</v>
      </c>
      <c r="C705" s="137" t="s">
        <v>4279</v>
      </c>
      <c r="D705" s="338">
        <v>10762</v>
      </c>
      <c r="E705" s="137">
        <v>2942</v>
      </c>
      <c r="F705" s="137">
        <v>302</v>
      </c>
    </row>
    <row r="706" spans="1:6" x14ac:dyDescent="0.25">
      <c r="A706" s="137" t="s">
        <v>11400</v>
      </c>
      <c r="B706" s="137" t="s">
        <v>369</v>
      </c>
      <c r="C706" s="137" t="s">
        <v>74</v>
      </c>
      <c r="D706" s="338">
        <v>5581</v>
      </c>
      <c r="E706" s="137">
        <v>4526</v>
      </c>
      <c r="F706" s="137">
        <v>566</v>
      </c>
    </row>
    <row r="707" spans="1:6" x14ac:dyDescent="0.25">
      <c r="A707" s="137" t="s">
        <v>11280</v>
      </c>
      <c r="B707" s="137" t="s">
        <v>369</v>
      </c>
      <c r="C707" s="137" t="s">
        <v>71</v>
      </c>
      <c r="D707" s="338">
        <v>5520</v>
      </c>
      <c r="E707" s="137">
        <v>3915</v>
      </c>
      <c r="F707" s="137">
        <v>1275</v>
      </c>
    </row>
    <row r="708" spans="1:6" x14ac:dyDescent="0.25">
      <c r="A708" s="137" t="s">
        <v>11276</v>
      </c>
      <c r="B708" s="137" t="s">
        <v>369</v>
      </c>
      <c r="C708" s="137" t="s">
        <v>68</v>
      </c>
      <c r="D708" s="338">
        <v>2733</v>
      </c>
      <c r="E708" s="137">
        <v>4971</v>
      </c>
      <c r="F708" s="137">
        <v>1011</v>
      </c>
    </row>
    <row r="709" spans="1:6" x14ac:dyDescent="0.25">
      <c r="A709" s="137" t="s">
        <v>12306</v>
      </c>
      <c r="B709" s="137" t="s">
        <v>369</v>
      </c>
      <c r="C709" s="137" t="s">
        <v>4488</v>
      </c>
      <c r="D709" s="338">
        <v>8831</v>
      </c>
      <c r="E709" s="137">
        <v>3782</v>
      </c>
      <c r="F709" s="137">
        <v>-178</v>
      </c>
    </row>
    <row r="710" spans="1:6" x14ac:dyDescent="0.25">
      <c r="A710" s="137" t="s">
        <v>11232</v>
      </c>
      <c r="B710" s="137" t="s">
        <v>369</v>
      </c>
      <c r="C710" s="137" t="s">
        <v>65</v>
      </c>
      <c r="D710" s="338">
        <v>3292</v>
      </c>
      <c r="E710" s="137">
        <v>5550</v>
      </c>
      <c r="F710" s="137">
        <v>270</v>
      </c>
    </row>
    <row r="711" spans="1:6" x14ac:dyDescent="0.25">
      <c r="A711" s="137" t="s">
        <v>11263</v>
      </c>
      <c r="B711" s="137" t="s">
        <v>369</v>
      </c>
      <c r="C711" s="137" t="s">
        <v>63</v>
      </c>
      <c r="D711" s="338">
        <v>4927</v>
      </c>
      <c r="E711" s="137">
        <v>4180</v>
      </c>
      <c r="F711" s="137">
        <v>220</v>
      </c>
    </row>
    <row r="712" spans="1:6" x14ac:dyDescent="0.25">
      <c r="A712" s="137" t="s">
        <v>12342</v>
      </c>
      <c r="B712" s="137" t="s">
        <v>369</v>
      </c>
      <c r="C712" s="137" t="s">
        <v>4223</v>
      </c>
      <c r="D712" s="338">
        <v>8194</v>
      </c>
      <c r="E712" s="137">
        <v>3694</v>
      </c>
      <c r="F712" s="137">
        <v>1054</v>
      </c>
    </row>
    <row r="713" spans="1:6" x14ac:dyDescent="0.25">
      <c r="A713" s="137" t="s">
        <v>12249</v>
      </c>
      <c r="B713" s="137" t="s">
        <v>369</v>
      </c>
      <c r="C713" s="137" t="s">
        <v>2579</v>
      </c>
      <c r="D713" s="338">
        <v>11176</v>
      </c>
      <c r="E713" s="137">
        <v>3666</v>
      </c>
      <c r="F713" s="137">
        <v>1026</v>
      </c>
    </row>
    <row r="714" spans="1:6" x14ac:dyDescent="0.25">
      <c r="A714" s="137" t="s">
        <v>12139</v>
      </c>
      <c r="B714" s="137" t="s">
        <v>369</v>
      </c>
      <c r="C714" s="137" t="s">
        <v>820</v>
      </c>
      <c r="D714" s="338">
        <v>11365</v>
      </c>
      <c r="E714" s="137">
        <v>3390</v>
      </c>
      <c r="F714" s="137">
        <v>750</v>
      </c>
    </row>
    <row r="715" spans="1:6" x14ac:dyDescent="0.25">
      <c r="A715" s="137" t="s">
        <v>12629</v>
      </c>
      <c r="B715" s="137" t="s">
        <v>369</v>
      </c>
      <c r="C715" s="137" t="s">
        <v>58</v>
      </c>
      <c r="D715" s="338">
        <v>7408</v>
      </c>
      <c r="E715" s="137">
        <v>4508</v>
      </c>
      <c r="F715" s="137">
        <v>548</v>
      </c>
    </row>
    <row r="716" spans="1:6" x14ac:dyDescent="0.25">
      <c r="A716" s="137" t="s">
        <v>12128</v>
      </c>
      <c r="B716" s="137" t="s">
        <v>369</v>
      </c>
      <c r="C716" s="137" t="s">
        <v>527</v>
      </c>
      <c r="D716" s="338">
        <v>11780</v>
      </c>
      <c r="E716" s="137">
        <v>3258</v>
      </c>
      <c r="F716" s="137">
        <v>618</v>
      </c>
    </row>
    <row r="717" spans="1:6" x14ac:dyDescent="0.25">
      <c r="A717" s="137" t="s">
        <v>12118</v>
      </c>
      <c r="B717" s="137" t="s">
        <v>369</v>
      </c>
      <c r="C717" s="137" t="s">
        <v>2103</v>
      </c>
      <c r="D717" s="338">
        <v>12766</v>
      </c>
      <c r="E717" s="137">
        <v>3589</v>
      </c>
      <c r="F717" s="137">
        <v>949</v>
      </c>
    </row>
    <row r="718" spans="1:6" x14ac:dyDescent="0.25">
      <c r="A718" s="137" t="s">
        <v>12486</v>
      </c>
      <c r="B718" s="137" t="s">
        <v>369</v>
      </c>
      <c r="C718" s="137" t="s">
        <v>5171</v>
      </c>
      <c r="D718" s="338">
        <v>10704</v>
      </c>
      <c r="E718" s="137">
        <v>4034</v>
      </c>
      <c r="F718" s="137">
        <v>74</v>
      </c>
    </row>
    <row r="719" spans="1:6" x14ac:dyDescent="0.25">
      <c r="A719" s="137" t="s">
        <v>12497</v>
      </c>
      <c r="B719" s="137" t="s">
        <v>369</v>
      </c>
      <c r="C719" s="137" t="s">
        <v>4930</v>
      </c>
      <c r="D719" s="338">
        <v>10139</v>
      </c>
      <c r="E719" s="137">
        <v>3706</v>
      </c>
      <c r="F719" s="137">
        <v>1066</v>
      </c>
    </row>
    <row r="720" spans="1:6" x14ac:dyDescent="0.25">
      <c r="A720" s="137" t="s">
        <v>12593</v>
      </c>
      <c r="B720" s="137" t="s">
        <v>369</v>
      </c>
      <c r="C720" s="137" t="s">
        <v>5475</v>
      </c>
      <c r="D720" s="338">
        <v>11708</v>
      </c>
      <c r="E720" s="137">
        <v>3275</v>
      </c>
      <c r="F720" s="137">
        <v>635</v>
      </c>
    </row>
    <row r="721" spans="1:6" x14ac:dyDescent="0.25">
      <c r="A721" s="137" t="s">
        <v>12621</v>
      </c>
      <c r="B721" s="137" t="s">
        <v>369</v>
      </c>
      <c r="C721" s="137" t="s">
        <v>55</v>
      </c>
      <c r="D721" s="338">
        <v>8680</v>
      </c>
      <c r="E721" s="137">
        <v>3654</v>
      </c>
      <c r="F721" s="137">
        <v>1014</v>
      </c>
    </row>
    <row r="722" spans="1:6" x14ac:dyDescent="0.25">
      <c r="A722" s="137" t="s">
        <v>12238</v>
      </c>
      <c r="B722" s="137" t="s">
        <v>369</v>
      </c>
      <c r="C722" s="137" t="s">
        <v>2946</v>
      </c>
      <c r="D722" s="338">
        <v>11421</v>
      </c>
      <c r="E722" s="137">
        <v>3744</v>
      </c>
      <c r="F722" s="137">
        <v>-216</v>
      </c>
    </row>
    <row r="723" spans="1:6" x14ac:dyDescent="0.25">
      <c r="A723" s="137" t="s">
        <v>12127</v>
      </c>
      <c r="B723" s="137" t="s">
        <v>369</v>
      </c>
      <c r="C723" s="137" t="s">
        <v>673</v>
      </c>
      <c r="D723" s="338">
        <v>11930</v>
      </c>
      <c r="E723" s="137">
        <v>3340</v>
      </c>
      <c r="F723" s="137">
        <v>700</v>
      </c>
    </row>
    <row r="724" spans="1:6" x14ac:dyDescent="0.25">
      <c r="A724" s="137" t="s">
        <v>11197</v>
      </c>
      <c r="B724" s="137" t="s">
        <v>369</v>
      </c>
      <c r="C724" s="137" t="s">
        <v>52</v>
      </c>
      <c r="D724" s="338">
        <v>4905</v>
      </c>
      <c r="E724" s="137">
        <v>3999</v>
      </c>
      <c r="F724" s="137">
        <v>-1281</v>
      </c>
    </row>
    <row r="725" spans="1:6" x14ac:dyDescent="0.25">
      <c r="A725" s="137" t="s">
        <v>12218</v>
      </c>
      <c r="B725" s="137" t="s">
        <v>369</v>
      </c>
      <c r="C725" s="137" t="s">
        <v>50</v>
      </c>
      <c r="D725" s="338">
        <v>12440</v>
      </c>
      <c r="E725" s="137">
        <v>4505</v>
      </c>
      <c r="F725" s="137">
        <v>-2095</v>
      </c>
    </row>
    <row r="726" spans="1:6" x14ac:dyDescent="0.25">
      <c r="A726" s="137" t="s">
        <v>12248</v>
      </c>
      <c r="B726" s="137" t="s">
        <v>369</v>
      </c>
      <c r="C726" s="137" t="s">
        <v>2665</v>
      </c>
      <c r="D726" s="338">
        <v>11177</v>
      </c>
      <c r="E726" s="137">
        <v>3565</v>
      </c>
      <c r="F726" s="137">
        <v>925</v>
      </c>
    </row>
    <row r="727" spans="1:6" x14ac:dyDescent="0.25">
      <c r="A727" s="137" t="s">
        <v>11229</v>
      </c>
      <c r="B727" s="137" t="s">
        <v>369</v>
      </c>
      <c r="C727" s="137" t="s">
        <v>47</v>
      </c>
      <c r="D727" s="338">
        <v>3812</v>
      </c>
      <c r="E727" s="137">
        <v>4351</v>
      </c>
      <c r="F727" s="137">
        <v>391</v>
      </c>
    </row>
    <row r="728" spans="1:6" x14ac:dyDescent="0.25">
      <c r="A728" s="137" t="s">
        <v>12479</v>
      </c>
      <c r="B728" s="137" t="s">
        <v>369</v>
      </c>
      <c r="C728" s="137" t="s">
        <v>5234</v>
      </c>
      <c r="D728" s="338">
        <v>10903</v>
      </c>
      <c r="E728" s="137">
        <v>3845</v>
      </c>
      <c r="F728" s="137">
        <v>1205</v>
      </c>
    </row>
    <row r="729" spans="1:6" x14ac:dyDescent="0.25">
      <c r="A729" s="137" t="s">
        <v>12474</v>
      </c>
      <c r="B729" s="137" t="s">
        <v>369</v>
      </c>
      <c r="C729" s="137" t="s">
        <v>4847</v>
      </c>
      <c r="D729" s="338">
        <v>10959</v>
      </c>
      <c r="E729" s="137">
        <v>3580</v>
      </c>
      <c r="F729" s="137">
        <v>940</v>
      </c>
    </row>
    <row r="730" spans="1:6" x14ac:dyDescent="0.25">
      <c r="A730" s="137" t="s">
        <v>12461</v>
      </c>
      <c r="B730" s="137" t="s">
        <v>369</v>
      </c>
      <c r="C730" s="137" t="s">
        <v>5236</v>
      </c>
      <c r="D730" s="338">
        <v>11198</v>
      </c>
      <c r="E730" s="137">
        <v>3383</v>
      </c>
      <c r="F730" s="137">
        <v>743</v>
      </c>
    </row>
    <row r="731" spans="1:6" x14ac:dyDescent="0.25">
      <c r="A731" s="137" t="s">
        <v>12264</v>
      </c>
      <c r="B731" s="137" t="s">
        <v>369</v>
      </c>
      <c r="C731" s="137" t="s">
        <v>4355</v>
      </c>
      <c r="D731" s="338">
        <v>10745</v>
      </c>
      <c r="E731" s="137">
        <v>2903</v>
      </c>
      <c r="F731" s="137">
        <v>1583</v>
      </c>
    </row>
    <row r="732" spans="1:6" x14ac:dyDescent="0.25">
      <c r="A732" s="137" t="s">
        <v>11209</v>
      </c>
      <c r="B732" s="137" t="s">
        <v>369</v>
      </c>
      <c r="C732" s="137" t="s">
        <v>44</v>
      </c>
      <c r="D732" s="338">
        <v>3676</v>
      </c>
      <c r="E732" s="137">
        <v>5565</v>
      </c>
      <c r="F732" s="137">
        <v>285</v>
      </c>
    </row>
    <row r="733" spans="1:6" x14ac:dyDescent="0.25">
      <c r="A733" s="137" t="s">
        <v>11259</v>
      </c>
      <c r="B733" s="137" t="s">
        <v>369</v>
      </c>
      <c r="C733" s="137" t="s">
        <v>42</v>
      </c>
      <c r="D733" s="338">
        <v>5152</v>
      </c>
      <c r="E733" s="137">
        <v>3994</v>
      </c>
      <c r="F733" s="137">
        <v>34</v>
      </c>
    </row>
    <row r="734" spans="1:6" x14ac:dyDescent="0.25">
      <c r="A734" s="137" t="s">
        <v>12472</v>
      </c>
      <c r="B734" s="137" t="s">
        <v>369</v>
      </c>
      <c r="C734" s="137" t="s">
        <v>5295</v>
      </c>
      <c r="D734" s="338">
        <v>10989</v>
      </c>
      <c r="E734" s="137">
        <v>4498</v>
      </c>
      <c r="F734" s="137">
        <v>538</v>
      </c>
    </row>
    <row r="735" spans="1:6" x14ac:dyDescent="0.25">
      <c r="A735" s="137" t="s">
        <v>12609</v>
      </c>
      <c r="B735" s="137" t="s">
        <v>369</v>
      </c>
      <c r="C735" s="137" t="s">
        <v>5631</v>
      </c>
      <c r="D735" s="338">
        <v>10778</v>
      </c>
      <c r="E735" s="137">
        <v>3987</v>
      </c>
      <c r="F735" s="137">
        <v>27</v>
      </c>
    </row>
    <row r="736" spans="1:6" x14ac:dyDescent="0.25">
      <c r="A736" s="137" t="s">
        <v>12558</v>
      </c>
      <c r="B736" s="137" t="s">
        <v>369</v>
      </c>
      <c r="C736" s="137" t="s">
        <v>5331</v>
      </c>
      <c r="D736" s="338">
        <v>4918</v>
      </c>
      <c r="E736" s="137">
        <v>3921</v>
      </c>
      <c r="F736" s="137">
        <v>1281</v>
      </c>
    </row>
    <row r="737" spans="1:6" x14ac:dyDescent="0.25">
      <c r="A737" s="137" t="s">
        <v>11265</v>
      </c>
      <c r="B737" s="137" t="s">
        <v>369</v>
      </c>
      <c r="C737" s="137" t="s">
        <v>34</v>
      </c>
      <c r="D737" s="338">
        <v>5888</v>
      </c>
      <c r="E737" s="137">
        <v>4039</v>
      </c>
      <c r="F737" s="137">
        <v>79</v>
      </c>
    </row>
    <row r="738" spans="1:6" x14ac:dyDescent="0.25">
      <c r="A738" s="137" t="s">
        <v>12210</v>
      </c>
      <c r="B738" s="137" t="s">
        <v>369</v>
      </c>
      <c r="C738" s="137" t="s">
        <v>4078</v>
      </c>
      <c r="D738" s="338">
        <v>13223</v>
      </c>
      <c r="E738" s="137">
        <v>3458</v>
      </c>
      <c r="F738" s="137">
        <v>818</v>
      </c>
    </row>
    <row r="739" spans="1:6" x14ac:dyDescent="0.25">
      <c r="A739" s="137" t="s">
        <v>12308</v>
      </c>
      <c r="B739" s="137" t="s">
        <v>369</v>
      </c>
      <c r="C739" s="137" t="s">
        <v>2903</v>
      </c>
      <c r="D739" s="338">
        <v>8753</v>
      </c>
      <c r="E739" s="137">
        <v>3373</v>
      </c>
      <c r="F739" s="137">
        <v>733</v>
      </c>
    </row>
    <row r="740" spans="1:6" x14ac:dyDescent="0.25">
      <c r="A740" s="137" t="s">
        <v>12256</v>
      </c>
      <c r="B740" s="137" t="s">
        <v>369</v>
      </c>
      <c r="C740" s="137" t="s">
        <v>3127</v>
      </c>
      <c r="D740" s="338">
        <v>10988</v>
      </c>
      <c r="E740" s="137">
        <v>2665</v>
      </c>
      <c r="F740" s="137">
        <v>25</v>
      </c>
    </row>
    <row r="741" spans="1:6" x14ac:dyDescent="0.25">
      <c r="A741" s="137" t="s">
        <v>12607</v>
      </c>
      <c r="B741" s="137" t="s">
        <v>369</v>
      </c>
      <c r="C741" s="137" t="s">
        <v>5473</v>
      </c>
      <c r="D741" s="338">
        <v>10830</v>
      </c>
      <c r="E741" s="137">
        <v>3682</v>
      </c>
      <c r="F741" s="137">
        <v>1042</v>
      </c>
    </row>
    <row r="742" spans="1:6" x14ac:dyDescent="0.25">
      <c r="A742" s="137" t="s">
        <v>12156</v>
      </c>
      <c r="B742" s="137" t="s">
        <v>369</v>
      </c>
      <c r="C742" s="137" t="s">
        <v>1598</v>
      </c>
      <c r="D742" s="338">
        <v>9483</v>
      </c>
      <c r="E742" s="137">
        <v>4098</v>
      </c>
      <c r="F742" s="137">
        <v>-1182</v>
      </c>
    </row>
    <row r="743" spans="1:6" x14ac:dyDescent="0.25">
      <c r="A743" s="137" t="s">
        <v>11277</v>
      </c>
      <c r="B743" s="137" t="s">
        <v>369</v>
      </c>
      <c r="C743" s="137" t="s">
        <v>27</v>
      </c>
      <c r="D743" s="338">
        <v>10523</v>
      </c>
      <c r="E743" s="137">
        <v>4000</v>
      </c>
      <c r="F743" s="137">
        <v>40</v>
      </c>
    </row>
    <row r="744" spans="1:6" x14ac:dyDescent="0.25">
      <c r="A744" s="137" t="s">
        <v>12618</v>
      </c>
      <c r="B744" s="137" t="s">
        <v>369</v>
      </c>
      <c r="C744" s="137" t="s">
        <v>5511</v>
      </c>
      <c r="D744" s="338">
        <v>9309</v>
      </c>
      <c r="E744" s="137">
        <v>4429</v>
      </c>
      <c r="F744" s="137">
        <v>469</v>
      </c>
    </row>
    <row r="745" spans="1:6" x14ac:dyDescent="0.25">
      <c r="A745" s="137" t="s">
        <v>12450</v>
      </c>
      <c r="B745" s="137" t="s">
        <v>369</v>
      </c>
      <c r="C745" s="137" t="s">
        <v>5416</v>
      </c>
      <c r="D745" s="338">
        <v>11911</v>
      </c>
      <c r="E745" s="137">
        <v>3346</v>
      </c>
      <c r="F745" s="137">
        <v>706</v>
      </c>
    </row>
    <row r="746" spans="1:6" x14ac:dyDescent="0.25">
      <c r="A746" s="137" t="s">
        <v>12221</v>
      </c>
      <c r="B746" s="137" t="s">
        <v>369</v>
      </c>
      <c r="C746" s="137" t="s">
        <v>4030</v>
      </c>
      <c r="D746" s="338">
        <v>12242</v>
      </c>
      <c r="E746" s="137">
        <v>2788</v>
      </c>
      <c r="F746" s="137">
        <v>148</v>
      </c>
    </row>
    <row r="747" spans="1:6" x14ac:dyDescent="0.25">
      <c r="A747" s="137" t="s">
        <v>12288</v>
      </c>
      <c r="B747" s="137" t="s">
        <v>369</v>
      </c>
      <c r="C747" s="137" t="s">
        <v>3371</v>
      </c>
      <c r="D747" s="338">
        <v>9913</v>
      </c>
      <c r="E747" s="137">
        <v>4433</v>
      </c>
      <c r="F747" s="137">
        <v>473</v>
      </c>
    </row>
    <row r="748" spans="1:6" x14ac:dyDescent="0.25">
      <c r="A748" s="137" t="s">
        <v>12475</v>
      </c>
      <c r="B748" s="137" t="s">
        <v>369</v>
      </c>
      <c r="C748" s="137" t="s">
        <v>5167</v>
      </c>
      <c r="D748" s="338">
        <v>10945</v>
      </c>
      <c r="E748" s="137">
        <v>3368</v>
      </c>
      <c r="F748" s="137">
        <v>728</v>
      </c>
    </row>
    <row r="749" spans="1:6" x14ac:dyDescent="0.25">
      <c r="A749" s="137" t="s">
        <v>11183</v>
      </c>
      <c r="B749" s="137" t="s">
        <v>369</v>
      </c>
      <c r="C749" s="137" t="s">
        <v>24</v>
      </c>
      <c r="D749" s="338">
        <v>3695</v>
      </c>
      <c r="E749" s="137">
        <v>5102</v>
      </c>
      <c r="F749" s="137">
        <v>1142</v>
      </c>
    </row>
    <row r="750" spans="1:6" x14ac:dyDescent="0.25">
      <c r="A750" s="137" t="s">
        <v>12142</v>
      </c>
      <c r="B750" s="137" t="s">
        <v>369</v>
      </c>
      <c r="C750" s="137" t="s">
        <v>1433</v>
      </c>
      <c r="D750" s="338">
        <v>11112</v>
      </c>
      <c r="E750" s="137">
        <v>3492</v>
      </c>
      <c r="F750" s="137">
        <v>852</v>
      </c>
    </row>
    <row r="751" spans="1:6" x14ac:dyDescent="0.25">
      <c r="A751" s="137" t="s">
        <v>12612</v>
      </c>
      <c r="B751" s="137" t="s">
        <v>369</v>
      </c>
      <c r="C751" s="137" t="s">
        <v>5567</v>
      </c>
      <c r="D751" s="338">
        <v>10255</v>
      </c>
      <c r="E751" s="137">
        <v>4247</v>
      </c>
      <c r="F751" s="137">
        <v>287</v>
      </c>
    </row>
    <row r="752" spans="1:6" x14ac:dyDescent="0.25">
      <c r="A752" s="137" t="s">
        <v>11226</v>
      </c>
      <c r="B752" s="137" t="s">
        <v>369</v>
      </c>
      <c r="C752" s="137" t="s">
        <v>18</v>
      </c>
      <c r="D752" s="338">
        <v>4182</v>
      </c>
      <c r="E752" s="137">
        <v>4884</v>
      </c>
      <c r="F752" s="137">
        <v>924</v>
      </c>
    </row>
    <row r="753" spans="1:6" x14ac:dyDescent="0.25">
      <c r="A753" s="137" t="s">
        <v>12562</v>
      </c>
      <c r="B753" s="137" t="s">
        <v>369</v>
      </c>
      <c r="C753" s="137" t="s">
        <v>5029</v>
      </c>
      <c r="D753" s="338">
        <v>4432</v>
      </c>
      <c r="E753" s="137">
        <v>4072</v>
      </c>
      <c r="F753" s="137">
        <v>112</v>
      </c>
    </row>
    <row r="754" spans="1:6" x14ac:dyDescent="0.25">
      <c r="A754" s="137" t="s">
        <v>11194</v>
      </c>
      <c r="B754" s="137" t="s">
        <v>369</v>
      </c>
      <c r="C754" s="137" t="s">
        <v>15</v>
      </c>
      <c r="D754" s="338">
        <v>4518</v>
      </c>
      <c r="E754" s="137">
        <v>4368</v>
      </c>
      <c r="F754" s="137">
        <v>408</v>
      </c>
    </row>
    <row r="755" spans="1:6" x14ac:dyDescent="0.25">
      <c r="A755" s="137" t="s">
        <v>12644</v>
      </c>
      <c r="B755" s="137" t="s">
        <v>369</v>
      </c>
      <c r="C755" s="137" t="s">
        <v>5597</v>
      </c>
      <c r="D755" s="338">
        <v>3630</v>
      </c>
      <c r="E755" s="137">
        <v>4914</v>
      </c>
      <c r="F755" s="137">
        <v>954</v>
      </c>
    </row>
    <row r="756" spans="1:6" x14ac:dyDescent="0.25">
      <c r="A756" s="137" t="s">
        <v>12559</v>
      </c>
      <c r="B756" s="137" t="s">
        <v>369</v>
      </c>
      <c r="C756" s="137" t="s">
        <v>4760</v>
      </c>
      <c r="D756" s="338">
        <v>4768</v>
      </c>
      <c r="E756" s="137">
        <v>3579</v>
      </c>
      <c r="F756" s="137">
        <v>939</v>
      </c>
    </row>
    <row r="757" spans="1:6" x14ac:dyDescent="0.25">
      <c r="A757" s="137" t="s">
        <v>12355</v>
      </c>
      <c r="B757" s="137" t="s">
        <v>369</v>
      </c>
      <c r="C757" s="137" t="s">
        <v>4106</v>
      </c>
      <c r="D757" s="338">
        <v>7842</v>
      </c>
      <c r="E757" s="137">
        <v>3261</v>
      </c>
      <c r="F757" s="137">
        <v>621</v>
      </c>
    </row>
    <row r="758" spans="1:6" x14ac:dyDescent="0.25">
      <c r="A758" s="137" t="s">
        <v>12146</v>
      </c>
      <c r="B758" s="137" t="s">
        <v>369</v>
      </c>
      <c r="C758" s="137" t="s">
        <v>2061</v>
      </c>
      <c r="D758" s="338">
        <v>10581</v>
      </c>
      <c r="E758" s="137">
        <v>4738</v>
      </c>
      <c r="F758" s="137">
        <v>778</v>
      </c>
    </row>
    <row r="759" spans="1:6" x14ac:dyDescent="0.25">
      <c r="A759" s="137" t="s">
        <v>12211</v>
      </c>
      <c r="B759" s="137" t="s">
        <v>369</v>
      </c>
      <c r="C759" s="137" t="s">
        <v>3507</v>
      </c>
      <c r="D759" s="338">
        <v>13210</v>
      </c>
      <c r="E759" s="137">
        <v>2672</v>
      </c>
      <c r="F759" s="137">
        <v>32</v>
      </c>
    </row>
    <row r="760" spans="1:6" x14ac:dyDescent="0.25">
      <c r="A760" s="137" t="s">
        <v>11266</v>
      </c>
      <c r="B760" s="137" t="s">
        <v>369</v>
      </c>
      <c r="C760" s="137" t="s">
        <v>483</v>
      </c>
      <c r="D760" s="338">
        <v>13345</v>
      </c>
      <c r="E760" s="137">
        <v>3699</v>
      </c>
      <c r="F760" s="137">
        <v>1059</v>
      </c>
    </row>
    <row r="761" spans="1:6" x14ac:dyDescent="0.25">
      <c r="A761" s="137" t="s">
        <v>12212</v>
      </c>
      <c r="B761" s="137" t="s">
        <v>369</v>
      </c>
      <c r="C761" s="137" t="s">
        <v>3904</v>
      </c>
      <c r="D761" s="338">
        <v>13114</v>
      </c>
      <c r="E761" s="137">
        <v>2749</v>
      </c>
      <c r="F761" s="137">
        <v>109</v>
      </c>
    </row>
    <row r="762" spans="1:6" x14ac:dyDescent="0.25">
      <c r="A762" s="137" t="s">
        <v>12208</v>
      </c>
      <c r="B762" s="137" t="s">
        <v>369</v>
      </c>
      <c r="C762" s="137" t="s">
        <v>4062</v>
      </c>
      <c r="D762" s="338">
        <v>13407</v>
      </c>
      <c r="E762" s="137">
        <v>2783</v>
      </c>
      <c r="F762" s="137">
        <v>143</v>
      </c>
    </row>
    <row r="763" spans="1:6" x14ac:dyDescent="0.25">
      <c r="A763" s="137" t="s">
        <v>12224</v>
      </c>
      <c r="B763" s="137" t="s">
        <v>369</v>
      </c>
      <c r="C763" s="137" t="s">
        <v>3269</v>
      </c>
      <c r="D763" s="338">
        <v>12109</v>
      </c>
      <c r="E763" s="137">
        <v>2645</v>
      </c>
      <c r="F763" s="137">
        <v>5</v>
      </c>
    </row>
    <row r="764" spans="1:6" x14ac:dyDescent="0.25">
      <c r="A764" s="137" t="s">
        <v>12491</v>
      </c>
      <c r="B764" s="137" t="s">
        <v>369</v>
      </c>
      <c r="C764" s="137" t="s">
        <v>5025</v>
      </c>
      <c r="D764" s="338">
        <v>10543</v>
      </c>
      <c r="E764" s="137">
        <v>3824</v>
      </c>
      <c r="F764" s="137">
        <v>-136</v>
      </c>
    </row>
    <row r="765" spans="1:6" x14ac:dyDescent="0.25">
      <c r="A765" s="137" t="s">
        <v>12229</v>
      </c>
      <c r="B765" s="137" t="s">
        <v>369</v>
      </c>
      <c r="C765" s="137" t="s">
        <v>4194</v>
      </c>
      <c r="D765" s="338">
        <v>11930</v>
      </c>
      <c r="E765" s="137">
        <v>2823</v>
      </c>
      <c r="F765" s="137">
        <v>183</v>
      </c>
    </row>
    <row r="766" spans="1:6" x14ac:dyDescent="0.25">
      <c r="A766" s="137" t="s">
        <v>12247</v>
      </c>
      <c r="B766" s="137" t="s">
        <v>369</v>
      </c>
      <c r="C766" s="137" t="s">
        <v>3638</v>
      </c>
      <c r="D766" s="338">
        <v>11197</v>
      </c>
      <c r="E766" s="137">
        <v>2800</v>
      </c>
      <c r="F766" s="137">
        <v>160</v>
      </c>
    </row>
    <row r="767" spans="1:6" x14ac:dyDescent="0.25">
      <c r="A767" s="137" t="s">
        <v>12651</v>
      </c>
      <c r="B767" s="137" t="s">
        <v>369</v>
      </c>
      <c r="C767" s="137" t="s">
        <v>6</v>
      </c>
      <c r="D767" s="338">
        <v>11121</v>
      </c>
      <c r="E767" s="137">
        <v>3795</v>
      </c>
      <c r="F767" s="137">
        <v>-165</v>
      </c>
    </row>
    <row r="768" spans="1:6" x14ac:dyDescent="0.25">
      <c r="A768" s="137" t="s">
        <v>12578</v>
      </c>
      <c r="B768" s="137" t="s">
        <v>369</v>
      </c>
      <c r="C768" s="137" t="s">
        <v>4781</v>
      </c>
      <c r="D768" s="338">
        <v>3213</v>
      </c>
      <c r="E768" s="137">
        <v>4152</v>
      </c>
      <c r="F768" s="137">
        <v>192</v>
      </c>
    </row>
    <row r="769" spans="1:6" x14ac:dyDescent="0.25">
      <c r="A769" s="137" t="s">
        <v>12423</v>
      </c>
      <c r="B769" s="137" t="s">
        <v>369</v>
      </c>
      <c r="C769" s="137" t="s">
        <v>3</v>
      </c>
      <c r="D769" s="338">
        <v>3810</v>
      </c>
      <c r="E769" s="137">
        <v>5058</v>
      </c>
      <c r="F769" s="137">
        <v>1098</v>
      </c>
    </row>
    <row r="770" spans="1:6" x14ac:dyDescent="0.25">
      <c r="A770" s="137" t="s">
        <v>15011</v>
      </c>
      <c r="B770" s="137" t="s">
        <v>335</v>
      </c>
      <c r="C770" s="137" t="s">
        <v>1126</v>
      </c>
      <c r="D770" s="338">
        <v>2725</v>
      </c>
      <c r="E770" s="137">
        <v>2971</v>
      </c>
      <c r="F770" s="137">
        <v>771</v>
      </c>
    </row>
    <row r="771" spans="1:6" x14ac:dyDescent="0.25">
      <c r="A771" s="137" t="s">
        <v>14389</v>
      </c>
      <c r="B771" s="137" t="s">
        <v>335</v>
      </c>
      <c r="C771" s="137" t="s">
        <v>5411</v>
      </c>
      <c r="D771" s="338">
        <v>9409</v>
      </c>
      <c r="E771" s="137">
        <v>2320</v>
      </c>
      <c r="F771" s="137">
        <v>1220</v>
      </c>
    </row>
    <row r="772" spans="1:6" x14ac:dyDescent="0.25">
      <c r="A772" s="137" t="s">
        <v>15021</v>
      </c>
      <c r="B772" s="137" t="s">
        <v>335</v>
      </c>
      <c r="C772" s="137" t="s">
        <v>4229</v>
      </c>
      <c r="D772" s="338">
        <v>3710</v>
      </c>
      <c r="E772" s="137">
        <v>3405</v>
      </c>
      <c r="F772" s="137">
        <v>1205</v>
      </c>
    </row>
    <row r="773" spans="1:6" x14ac:dyDescent="0.25">
      <c r="A773" s="137" t="s">
        <v>15062</v>
      </c>
      <c r="B773" s="137" t="s">
        <v>335</v>
      </c>
      <c r="C773" s="137" t="s">
        <v>5267</v>
      </c>
      <c r="D773" s="338">
        <v>5819</v>
      </c>
      <c r="E773" s="137">
        <v>4367</v>
      </c>
      <c r="F773" s="137">
        <v>-33</v>
      </c>
    </row>
    <row r="774" spans="1:6" x14ac:dyDescent="0.25">
      <c r="A774" s="137" t="s">
        <v>15023</v>
      </c>
      <c r="B774" s="137" t="s">
        <v>335</v>
      </c>
      <c r="C774" s="137" t="s">
        <v>457</v>
      </c>
      <c r="D774" s="338">
        <v>5164</v>
      </c>
      <c r="E774" s="137">
        <v>5115</v>
      </c>
      <c r="F774" s="137">
        <v>715</v>
      </c>
    </row>
    <row r="775" spans="1:6" x14ac:dyDescent="0.25">
      <c r="A775" s="137" t="s">
        <v>14277</v>
      </c>
      <c r="B775" s="137" t="s">
        <v>335</v>
      </c>
      <c r="C775" s="137" t="s">
        <v>5487</v>
      </c>
      <c r="D775" s="338">
        <v>13777</v>
      </c>
      <c r="E775" s="137">
        <v>2960</v>
      </c>
      <c r="F775" s="137">
        <v>760</v>
      </c>
    </row>
    <row r="776" spans="1:6" x14ac:dyDescent="0.25">
      <c r="A776" s="137" t="s">
        <v>15052</v>
      </c>
      <c r="B776" s="137" t="s">
        <v>335</v>
      </c>
      <c r="C776" s="137" t="s">
        <v>4816</v>
      </c>
      <c r="D776" s="338">
        <v>4626</v>
      </c>
      <c r="E776" s="137">
        <v>3535</v>
      </c>
      <c r="F776" s="137">
        <v>235</v>
      </c>
    </row>
    <row r="777" spans="1:6" x14ac:dyDescent="0.25">
      <c r="A777" s="137" t="s">
        <v>14663</v>
      </c>
      <c r="B777" s="137" t="s">
        <v>335</v>
      </c>
      <c r="C777" s="137" t="s">
        <v>5619</v>
      </c>
      <c r="D777" s="338">
        <v>3794</v>
      </c>
      <c r="E777" s="137">
        <v>2963</v>
      </c>
      <c r="F777" s="137">
        <v>763</v>
      </c>
    </row>
    <row r="778" spans="1:6" x14ac:dyDescent="0.25">
      <c r="A778" s="137" t="s">
        <v>14885</v>
      </c>
      <c r="B778" s="137" t="s">
        <v>335</v>
      </c>
      <c r="C778" s="137" t="s">
        <v>454</v>
      </c>
      <c r="D778" s="338">
        <v>4153</v>
      </c>
      <c r="E778" s="137">
        <v>3774</v>
      </c>
      <c r="F778" s="137">
        <v>474</v>
      </c>
    </row>
    <row r="779" spans="1:6" x14ac:dyDescent="0.25">
      <c r="A779" s="137" t="s">
        <v>14656</v>
      </c>
      <c r="B779" s="137" t="s">
        <v>335</v>
      </c>
      <c r="C779" s="137" t="s">
        <v>5570</v>
      </c>
      <c r="D779" s="338">
        <v>3425</v>
      </c>
      <c r="E779" s="137">
        <v>2978</v>
      </c>
      <c r="F779" s="137">
        <v>778</v>
      </c>
    </row>
    <row r="780" spans="1:6" x14ac:dyDescent="0.25">
      <c r="A780" s="137" t="s">
        <v>14975</v>
      </c>
      <c r="B780" s="137" t="s">
        <v>335</v>
      </c>
      <c r="C780" s="137" t="s">
        <v>450</v>
      </c>
      <c r="D780" s="338">
        <v>3334</v>
      </c>
      <c r="E780" s="137">
        <v>4271</v>
      </c>
      <c r="F780" s="137">
        <v>971</v>
      </c>
    </row>
    <row r="781" spans="1:6" x14ac:dyDescent="0.25">
      <c r="A781" s="137" t="s">
        <v>14772</v>
      </c>
      <c r="B781" s="137" t="s">
        <v>335</v>
      </c>
      <c r="C781" s="137" t="s">
        <v>448</v>
      </c>
      <c r="D781" s="338">
        <v>4587</v>
      </c>
      <c r="E781" s="137">
        <v>3980</v>
      </c>
      <c r="F781" s="137">
        <v>680</v>
      </c>
    </row>
    <row r="782" spans="1:6" x14ac:dyDescent="0.25">
      <c r="A782" s="137" t="s">
        <v>14585</v>
      </c>
      <c r="B782" s="137" t="s">
        <v>335</v>
      </c>
      <c r="C782" s="137" t="s">
        <v>446</v>
      </c>
      <c r="D782" s="338">
        <v>2179</v>
      </c>
      <c r="E782" s="137">
        <v>3229</v>
      </c>
      <c r="F782" s="137">
        <v>1029</v>
      </c>
    </row>
    <row r="783" spans="1:6" x14ac:dyDescent="0.25">
      <c r="A783" s="137" t="s">
        <v>14812</v>
      </c>
      <c r="B783" s="137" t="s">
        <v>335</v>
      </c>
      <c r="C783" s="137" t="s">
        <v>4725</v>
      </c>
      <c r="D783" s="338">
        <v>7092</v>
      </c>
      <c r="E783" s="137">
        <v>2272</v>
      </c>
      <c r="F783" s="137">
        <v>1172</v>
      </c>
    </row>
    <row r="784" spans="1:6" x14ac:dyDescent="0.25">
      <c r="A784" s="137" t="s">
        <v>14266</v>
      </c>
      <c r="B784" s="137" t="s">
        <v>335</v>
      </c>
      <c r="C784" s="137" t="s">
        <v>4941</v>
      </c>
      <c r="D784" s="338">
        <v>12726</v>
      </c>
      <c r="E784" s="137">
        <v>3659</v>
      </c>
      <c r="F784" s="137">
        <v>359</v>
      </c>
    </row>
    <row r="785" spans="1:6" x14ac:dyDescent="0.25">
      <c r="A785" s="137" t="s">
        <v>15020</v>
      </c>
      <c r="B785" s="137" t="s">
        <v>335</v>
      </c>
      <c r="C785" s="137" t="s">
        <v>4640</v>
      </c>
      <c r="D785" s="338">
        <v>3522</v>
      </c>
      <c r="E785" s="137">
        <v>3749</v>
      </c>
      <c r="F785" s="137">
        <v>449</v>
      </c>
    </row>
    <row r="786" spans="1:6" x14ac:dyDescent="0.25">
      <c r="A786" s="137" t="s">
        <v>14260</v>
      </c>
      <c r="B786" s="137" t="s">
        <v>335</v>
      </c>
      <c r="C786" s="137" t="s">
        <v>4945</v>
      </c>
      <c r="D786" s="338">
        <v>12459</v>
      </c>
      <c r="E786" s="137">
        <v>3579</v>
      </c>
      <c r="F786" s="137">
        <v>279</v>
      </c>
    </row>
    <row r="787" spans="1:6" x14ac:dyDescent="0.25">
      <c r="A787" s="137" t="s">
        <v>14547</v>
      </c>
      <c r="B787" s="137" t="s">
        <v>335</v>
      </c>
      <c r="C787" s="137" t="s">
        <v>440</v>
      </c>
      <c r="D787" s="338">
        <v>2206</v>
      </c>
      <c r="E787" s="137">
        <v>2906</v>
      </c>
      <c r="F787" s="137">
        <v>706</v>
      </c>
    </row>
    <row r="788" spans="1:6" x14ac:dyDescent="0.25">
      <c r="A788" s="137" t="s">
        <v>14348</v>
      </c>
      <c r="B788" s="137" t="s">
        <v>335</v>
      </c>
      <c r="C788" s="137" t="s">
        <v>5768</v>
      </c>
      <c r="D788" s="338">
        <v>8706</v>
      </c>
      <c r="E788" s="137">
        <v>2820</v>
      </c>
      <c r="F788" s="137">
        <v>620</v>
      </c>
    </row>
    <row r="789" spans="1:6" x14ac:dyDescent="0.25">
      <c r="A789" s="137" t="s">
        <v>14768</v>
      </c>
      <c r="B789" s="137" t="s">
        <v>335</v>
      </c>
      <c r="C789" s="137" t="s">
        <v>437</v>
      </c>
      <c r="D789" s="338">
        <v>3895</v>
      </c>
      <c r="E789" s="137">
        <v>3831</v>
      </c>
      <c r="F789" s="137">
        <v>531</v>
      </c>
    </row>
    <row r="790" spans="1:6" x14ac:dyDescent="0.25">
      <c r="A790" s="137" t="s">
        <v>15016</v>
      </c>
      <c r="B790" s="137" t="s">
        <v>335</v>
      </c>
      <c r="C790" s="137" t="s">
        <v>3751</v>
      </c>
      <c r="D790" s="338">
        <v>3203</v>
      </c>
      <c r="E790" s="137">
        <v>3441</v>
      </c>
      <c r="F790" s="137">
        <v>1241</v>
      </c>
    </row>
    <row r="791" spans="1:6" x14ac:dyDescent="0.25">
      <c r="A791" s="137" t="s">
        <v>14415</v>
      </c>
      <c r="B791" s="137" t="s">
        <v>335</v>
      </c>
      <c r="C791" s="137" t="s">
        <v>4960</v>
      </c>
      <c r="D791" s="338">
        <v>9961</v>
      </c>
      <c r="E791" s="137">
        <v>3033</v>
      </c>
      <c r="F791" s="137">
        <v>833</v>
      </c>
    </row>
    <row r="792" spans="1:6" x14ac:dyDescent="0.25">
      <c r="A792" s="137" t="s">
        <v>14948</v>
      </c>
      <c r="B792" s="137" t="s">
        <v>335</v>
      </c>
      <c r="C792" s="137" t="s">
        <v>435</v>
      </c>
      <c r="D792" s="338">
        <v>3708</v>
      </c>
      <c r="E792" s="137">
        <v>3240</v>
      </c>
      <c r="F792" s="137">
        <v>1040</v>
      </c>
    </row>
    <row r="793" spans="1:6" x14ac:dyDescent="0.25">
      <c r="A793" s="137" t="s">
        <v>14400</v>
      </c>
      <c r="B793" s="137" t="s">
        <v>335</v>
      </c>
      <c r="C793" s="137" t="s">
        <v>5524</v>
      </c>
      <c r="D793" s="338">
        <v>9604</v>
      </c>
      <c r="E793" s="137">
        <v>2402</v>
      </c>
      <c r="F793" s="137">
        <v>1302</v>
      </c>
    </row>
    <row r="794" spans="1:6" x14ac:dyDescent="0.25">
      <c r="A794" s="137" t="s">
        <v>14279</v>
      </c>
      <c r="B794" s="137" t="s">
        <v>335</v>
      </c>
      <c r="C794" s="137" t="s">
        <v>2692</v>
      </c>
      <c r="D794" s="338">
        <v>14392</v>
      </c>
      <c r="E794" s="137">
        <v>1567</v>
      </c>
      <c r="F794" s="137">
        <v>467</v>
      </c>
    </row>
    <row r="795" spans="1:6" x14ac:dyDescent="0.25">
      <c r="A795" s="137" t="s">
        <v>15024</v>
      </c>
      <c r="B795" s="137" t="s">
        <v>335</v>
      </c>
      <c r="C795" s="137" t="s">
        <v>3941</v>
      </c>
      <c r="D795" s="338">
        <v>5377</v>
      </c>
      <c r="E795" s="137">
        <v>4074</v>
      </c>
      <c r="F795" s="137">
        <v>774</v>
      </c>
    </row>
    <row r="796" spans="1:6" x14ac:dyDescent="0.25">
      <c r="A796" s="137" t="s">
        <v>14264</v>
      </c>
      <c r="B796" s="137" t="s">
        <v>335</v>
      </c>
      <c r="C796" s="137" t="s">
        <v>1842</v>
      </c>
      <c r="D796" s="338">
        <v>12601</v>
      </c>
      <c r="E796" s="137">
        <v>2726</v>
      </c>
      <c r="F796" s="137">
        <v>526</v>
      </c>
    </row>
    <row r="797" spans="1:6" x14ac:dyDescent="0.25">
      <c r="A797" s="137" t="s">
        <v>14940</v>
      </c>
      <c r="B797" s="137" t="s">
        <v>335</v>
      </c>
      <c r="C797" s="137" t="s">
        <v>5663</v>
      </c>
      <c r="D797" s="338">
        <v>2127</v>
      </c>
      <c r="E797" s="137">
        <v>4055</v>
      </c>
      <c r="F797" s="137">
        <v>755</v>
      </c>
    </row>
    <row r="798" spans="1:6" x14ac:dyDescent="0.25">
      <c r="A798" s="137" t="s">
        <v>14247</v>
      </c>
      <c r="B798" s="137" t="s">
        <v>335</v>
      </c>
      <c r="C798" s="137" t="s">
        <v>4649</v>
      </c>
      <c r="D798" s="338">
        <v>10389</v>
      </c>
      <c r="E798" s="137">
        <v>3166</v>
      </c>
      <c r="F798" s="137">
        <v>966</v>
      </c>
    </row>
    <row r="799" spans="1:6" x14ac:dyDescent="0.25">
      <c r="A799" s="137" t="s">
        <v>14606</v>
      </c>
      <c r="B799" s="137" t="s">
        <v>335</v>
      </c>
      <c r="C799" s="137" t="s">
        <v>5526</v>
      </c>
      <c r="D799" s="338">
        <v>1473</v>
      </c>
      <c r="E799" s="137">
        <v>3271</v>
      </c>
      <c r="F799" s="137">
        <v>1071</v>
      </c>
    </row>
    <row r="800" spans="1:6" x14ac:dyDescent="0.25">
      <c r="A800" s="137" t="s">
        <v>14649</v>
      </c>
      <c r="B800" s="137" t="s">
        <v>335</v>
      </c>
      <c r="C800" s="137" t="s">
        <v>430</v>
      </c>
      <c r="D800" s="338">
        <v>3029</v>
      </c>
      <c r="E800" s="137">
        <v>3380</v>
      </c>
      <c r="F800" s="137">
        <v>1180</v>
      </c>
    </row>
    <row r="801" spans="1:6" x14ac:dyDescent="0.25">
      <c r="A801" s="137" t="s">
        <v>14237</v>
      </c>
      <c r="B801" s="137" t="s">
        <v>335</v>
      </c>
      <c r="C801" s="137" t="s">
        <v>426</v>
      </c>
      <c r="D801" s="338">
        <v>9908</v>
      </c>
      <c r="E801" s="137">
        <v>3173</v>
      </c>
      <c r="F801" s="137">
        <v>973</v>
      </c>
    </row>
    <row r="802" spans="1:6" x14ac:dyDescent="0.25">
      <c r="A802" s="137" t="s">
        <v>14418</v>
      </c>
      <c r="B802" s="137" t="s">
        <v>335</v>
      </c>
      <c r="C802" s="137" t="s">
        <v>4993</v>
      </c>
      <c r="D802" s="338">
        <v>9275</v>
      </c>
      <c r="E802" s="137">
        <v>2551</v>
      </c>
      <c r="F802" s="137">
        <v>351</v>
      </c>
    </row>
    <row r="803" spans="1:6" x14ac:dyDescent="0.25">
      <c r="A803" s="137" t="s">
        <v>14564</v>
      </c>
      <c r="B803" s="137" t="s">
        <v>335</v>
      </c>
      <c r="C803" s="137" t="s">
        <v>5507</v>
      </c>
      <c r="D803" s="338">
        <v>2246</v>
      </c>
      <c r="E803" s="137">
        <v>2636</v>
      </c>
      <c r="F803" s="137">
        <v>436</v>
      </c>
    </row>
    <row r="804" spans="1:6" x14ac:dyDescent="0.25">
      <c r="A804" s="137" t="s">
        <v>14854</v>
      </c>
      <c r="B804" s="137" t="s">
        <v>335</v>
      </c>
      <c r="C804" s="137" t="s">
        <v>419</v>
      </c>
      <c r="D804" s="338">
        <v>3942</v>
      </c>
      <c r="E804" s="137">
        <v>4922</v>
      </c>
      <c r="F804" s="137">
        <v>522</v>
      </c>
    </row>
    <row r="805" spans="1:6" x14ac:dyDescent="0.25">
      <c r="A805" s="137" t="s">
        <v>14839</v>
      </c>
      <c r="B805" s="137" t="s">
        <v>335</v>
      </c>
      <c r="C805" s="137" t="s">
        <v>417</v>
      </c>
      <c r="D805" s="338">
        <v>8719</v>
      </c>
      <c r="E805" s="137">
        <v>3426</v>
      </c>
      <c r="F805" s="137">
        <v>1226</v>
      </c>
    </row>
    <row r="806" spans="1:6" x14ac:dyDescent="0.25">
      <c r="A806" s="137" t="s">
        <v>14908</v>
      </c>
      <c r="B806" s="137" t="s">
        <v>335</v>
      </c>
      <c r="C806" s="137" t="s">
        <v>415</v>
      </c>
      <c r="D806" s="338">
        <v>7060</v>
      </c>
      <c r="E806" s="137">
        <v>4541</v>
      </c>
      <c r="F806" s="137">
        <v>1241</v>
      </c>
    </row>
    <row r="807" spans="1:6" x14ac:dyDescent="0.25">
      <c r="A807" s="137" t="s">
        <v>14784</v>
      </c>
      <c r="B807" s="137" t="s">
        <v>335</v>
      </c>
      <c r="C807" s="137" t="s">
        <v>414</v>
      </c>
      <c r="D807" s="338">
        <v>5808</v>
      </c>
      <c r="E807" s="137">
        <v>4460</v>
      </c>
      <c r="F807" s="137">
        <v>1160</v>
      </c>
    </row>
    <row r="808" spans="1:6" x14ac:dyDescent="0.25">
      <c r="A808" s="137" t="s">
        <v>14340</v>
      </c>
      <c r="B808" s="137" t="s">
        <v>335</v>
      </c>
      <c r="C808" s="137" t="s">
        <v>5551</v>
      </c>
      <c r="D808" s="338">
        <v>8563</v>
      </c>
      <c r="E808" s="137">
        <v>2374</v>
      </c>
      <c r="F808" s="137">
        <v>1274</v>
      </c>
    </row>
    <row r="809" spans="1:6" x14ac:dyDescent="0.25">
      <c r="A809" s="137" t="s">
        <v>14278</v>
      </c>
      <c r="B809" s="137" t="s">
        <v>335</v>
      </c>
      <c r="C809" s="137" t="s">
        <v>410</v>
      </c>
      <c r="D809" s="338">
        <v>14058</v>
      </c>
      <c r="E809" s="137">
        <v>2524</v>
      </c>
      <c r="F809" s="137">
        <v>324</v>
      </c>
    </row>
    <row r="810" spans="1:6" x14ac:dyDescent="0.25">
      <c r="A810" s="137" t="s">
        <v>14249</v>
      </c>
      <c r="B810" s="137" t="s">
        <v>335</v>
      </c>
      <c r="C810" s="137" t="s">
        <v>408</v>
      </c>
      <c r="D810" s="338">
        <v>10937</v>
      </c>
      <c r="E810" s="137">
        <v>4121</v>
      </c>
      <c r="F810" s="137">
        <v>821</v>
      </c>
    </row>
    <row r="811" spans="1:6" x14ac:dyDescent="0.25">
      <c r="A811" s="137" t="s">
        <v>14773</v>
      </c>
      <c r="B811" s="137" t="s">
        <v>335</v>
      </c>
      <c r="C811" s="137" t="s">
        <v>406</v>
      </c>
      <c r="D811" s="338">
        <v>4989</v>
      </c>
      <c r="E811" s="137">
        <v>4843</v>
      </c>
      <c r="F811" s="137">
        <v>443</v>
      </c>
    </row>
    <row r="812" spans="1:6" x14ac:dyDescent="0.25">
      <c r="A812" s="137" t="s">
        <v>14293</v>
      </c>
      <c r="B812" s="137" t="s">
        <v>335</v>
      </c>
      <c r="C812" s="137" t="s">
        <v>404</v>
      </c>
      <c r="D812" s="338">
        <v>7256</v>
      </c>
      <c r="E812" s="137">
        <v>2572</v>
      </c>
      <c r="F812" s="137">
        <v>372</v>
      </c>
    </row>
    <row r="813" spans="1:6" x14ac:dyDescent="0.25">
      <c r="A813" s="137" t="s">
        <v>14494</v>
      </c>
      <c r="B813" s="137" t="s">
        <v>335</v>
      </c>
      <c r="C813" s="137" t="s">
        <v>402</v>
      </c>
      <c r="D813" s="338">
        <v>2260</v>
      </c>
      <c r="E813" s="137">
        <v>2908</v>
      </c>
      <c r="F813" s="137">
        <v>708</v>
      </c>
    </row>
    <row r="814" spans="1:6" x14ac:dyDescent="0.25">
      <c r="A814" s="137" t="s">
        <v>14240</v>
      </c>
      <c r="B814" s="137" t="s">
        <v>335</v>
      </c>
      <c r="C814" s="137" t="s">
        <v>399</v>
      </c>
      <c r="D814" s="338">
        <v>11198</v>
      </c>
      <c r="E814" s="137">
        <v>4180</v>
      </c>
      <c r="F814" s="137">
        <v>880</v>
      </c>
    </row>
    <row r="815" spans="1:6" x14ac:dyDescent="0.25">
      <c r="A815" s="137" t="s">
        <v>14789</v>
      </c>
      <c r="B815" s="137" t="s">
        <v>335</v>
      </c>
      <c r="C815" s="137" t="s">
        <v>395</v>
      </c>
      <c r="D815" s="338">
        <v>8432</v>
      </c>
      <c r="E815" s="137">
        <v>3646</v>
      </c>
      <c r="F815" s="137">
        <v>346</v>
      </c>
    </row>
    <row r="816" spans="1:6" x14ac:dyDescent="0.25">
      <c r="A816" s="137" t="s">
        <v>14553</v>
      </c>
      <c r="B816" s="137" t="s">
        <v>335</v>
      </c>
      <c r="C816" s="137" t="s">
        <v>393</v>
      </c>
      <c r="D816" s="338">
        <v>1559</v>
      </c>
      <c r="E816" s="137">
        <v>3017</v>
      </c>
      <c r="F816" s="137">
        <v>817</v>
      </c>
    </row>
    <row r="817" spans="1:6" x14ac:dyDescent="0.25">
      <c r="A817" s="137" t="s">
        <v>14310</v>
      </c>
      <c r="B817" s="137" t="s">
        <v>335</v>
      </c>
      <c r="C817" s="137" t="s">
        <v>5682</v>
      </c>
      <c r="D817" s="338">
        <v>7819</v>
      </c>
      <c r="E817" s="137">
        <v>2529</v>
      </c>
      <c r="F817" s="137">
        <v>329</v>
      </c>
    </row>
    <row r="818" spans="1:6" x14ac:dyDescent="0.25">
      <c r="A818" s="137" t="s">
        <v>14700</v>
      </c>
      <c r="B818" s="137" t="s">
        <v>335</v>
      </c>
      <c r="C818" s="137" t="s">
        <v>4831</v>
      </c>
      <c r="D818" s="338">
        <v>8740</v>
      </c>
      <c r="E818" s="137">
        <v>2393</v>
      </c>
      <c r="F818" s="137">
        <v>1293</v>
      </c>
    </row>
    <row r="819" spans="1:6" x14ac:dyDescent="0.25">
      <c r="A819" s="137" t="s">
        <v>15014</v>
      </c>
      <c r="B819" s="137" t="s">
        <v>335</v>
      </c>
      <c r="C819" s="137" t="s">
        <v>388</v>
      </c>
      <c r="D819" s="338">
        <v>2859</v>
      </c>
      <c r="E819" s="137">
        <v>4788</v>
      </c>
      <c r="F819" s="137">
        <v>388</v>
      </c>
    </row>
    <row r="820" spans="1:6" x14ac:dyDescent="0.25">
      <c r="A820" s="137" t="s">
        <v>14740</v>
      </c>
      <c r="B820" s="137" t="s">
        <v>335</v>
      </c>
      <c r="C820" s="137" t="s">
        <v>385</v>
      </c>
      <c r="D820" s="338">
        <v>6976</v>
      </c>
      <c r="E820" s="137">
        <v>4106</v>
      </c>
      <c r="F820" s="137">
        <v>806</v>
      </c>
    </row>
    <row r="821" spans="1:6" x14ac:dyDescent="0.25">
      <c r="A821" s="137" t="s">
        <v>14280</v>
      </c>
      <c r="B821" s="137" t="s">
        <v>335</v>
      </c>
      <c r="C821" s="137" t="s">
        <v>5200</v>
      </c>
      <c r="D821" s="338">
        <v>14469</v>
      </c>
      <c r="E821" s="137">
        <v>2057</v>
      </c>
      <c r="F821" s="137">
        <v>957</v>
      </c>
    </row>
    <row r="822" spans="1:6" x14ac:dyDescent="0.25">
      <c r="A822" s="137" t="s">
        <v>14785</v>
      </c>
      <c r="B822" s="137" t="s">
        <v>335</v>
      </c>
      <c r="C822" s="137" t="s">
        <v>383</v>
      </c>
      <c r="D822" s="338">
        <v>5928</v>
      </c>
      <c r="E822" s="137">
        <v>3688</v>
      </c>
      <c r="F822" s="137">
        <v>388</v>
      </c>
    </row>
    <row r="823" spans="1:6" x14ac:dyDescent="0.25">
      <c r="A823" s="137" t="s">
        <v>14270</v>
      </c>
      <c r="B823" s="137" t="s">
        <v>335</v>
      </c>
      <c r="C823" s="137" t="s">
        <v>381</v>
      </c>
      <c r="D823" s="338">
        <v>9959</v>
      </c>
      <c r="E823" s="137">
        <v>3876</v>
      </c>
      <c r="F823" s="137">
        <v>576</v>
      </c>
    </row>
    <row r="824" spans="1:6" x14ac:dyDescent="0.25">
      <c r="A824" s="137" t="s">
        <v>14779</v>
      </c>
      <c r="B824" s="137" t="s">
        <v>335</v>
      </c>
      <c r="C824" s="137" t="s">
        <v>378</v>
      </c>
      <c r="D824" s="338">
        <v>5500</v>
      </c>
      <c r="E824" s="137">
        <v>4335</v>
      </c>
      <c r="F824" s="137">
        <v>1035</v>
      </c>
    </row>
    <row r="825" spans="1:6" x14ac:dyDescent="0.25">
      <c r="A825" s="137" t="s">
        <v>14518</v>
      </c>
      <c r="B825" s="137" t="s">
        <v>335</v>
      </c>
      <c r="C825" s="137" t="s">
        <v>376</v>
      </c>
      <c r="D825" s="338">
        <v>2481</v>
      </c>
      <c r="E825" s="137">
        <v>2784</v>
      </c>
      <c r="F825" s="137">
        <v>584</v>
      </c>
    </row>
    <row r="826" spans="1:6" x14ac:dyDescent="0.25">
      <c r="A826" s="137" t="s">
        <v>14859</v>
      </c>
      <c r="B826" s="137" t="s">
        <v>335</v>
      </c>
      <c r="C826" s="137" t="s">
        <v>373</v>
      </c>
      <c r="D826" s="338">
        <v>8821</v>
      </c>
      <c r="E826" s="137">
        <v>3991</v>
      </c>
      <c r="F826" s="137">
        <v>691</v>
      </c>
    </row>
    <row r="827" spans="1:6" x14ac:dyDescent="0.25">
      <c r="A827" s="137" t="s">
        <v>14537</v>
      </c>
      <c r="B827" s="137" t="s">
        <v>335</v>
      </c>
      <c r="C827" s="137" t="s">
        <v>5587</v>
      </c>
      <c r="D827" s="338">
        <v>2095</v>
      </c>
      <c r="E827" s="137">
        <v>2736</v>
      </c>
      <c r="F827" s="137">
        <v>536</v>
      </c>
    </row>
    <row r="828" spans="1:6" x14ac:dyDescent="0.25">
      <c r="A828" s="137" t="s">
        <v>14766</v>
      </c>
      <c r="B828" s="137" t="s">
        <v>335</v>
      </c>
      <c r="C828" s="137" t="s">
        <v>5489</v>
      </c>
      <c r="D828" s="338">
        <v>6065</v>
      </c>
      <c r="E828" s="137">
        <v>3436</v>
      </c>
      <c r="F828" s="137">
        <v>1236</v>
      </c>
    </row>
    <row r="829" spans="1:6" x14ac:dyDescent="0.25">
      <c r="A829" s="137" t="s">
        <v>14699</v>
      </c>
      <c r="B829" s="137" t="s">
        <v>335</v>
      </c>
      <c r="C829" s="137" t="s">
        <v>368</v>
      </c>
      <c r="D829" s="338">
        <v>5738</v>
      </c>
      <c r="E829" s="137">
        <v>4289</v>
      </c>
      <c r="F829" s="137">
        <v>989</v>
      </c>
    </row>
    <row r="830" spans="1:6" x14ac:dyDescent="0.25">
      <c r="A830" s="137" t="s">
        <v>14760</v>
      </c>
      <c r="B830" s="137" t="s">
        <v>335</v>
      </c>
      <c r="C830" s="137" t="s">
        <v>366</v>
      </c>
      <c r="D830" s="338">
        <v>6007</v>
      </c>
      <c r="E830" s="137">
        <v>3188</v>
      </c>
      <c r="F830" s="137">
        <v>988</v>
      </c>
    </row>
    <row r="831" spans="1:6" x14ac:dyDescent="0.25">
      <c r="A831" s="137" t="s">
        <v>14896</v>
      </c>
      <c r="B831" s="137" t="s">
        <v>335</v>
      </c>
      <c r="C831" s="137" t="s">
        <v>5608</v>
      </c>
      <c r="D831" s="338">
        <v>6919</v>
      </c>
      <c r="E831" s="137">
        <v>3155</v>
      </c>
      <c r="F831" s="137">
        <v>955</v>
      </c>
    </row>
    <row r="832" spans="1:6" x14ac:dyDescent="0.25">
      <c r="A832" s="137" t="s">
        <v>14761</v>
      </c>
      <c r="B832" s="137" t="s">
        <v>335</v>
      </c>
      <c r="C832" s="137" t="s">
        <v>361</v>
      </c>
      <c r="D832" s="338">
        <v>6012</v>
      </c>
      <c r="E832" s="137">
        <v>3623</v>
      </c>
      <c r="F832" s="137">
        <v>323</v>
      </c>
    </row>
    <row r="833" spans="1:6" x14ac:dyDescent="0.25">
      <c r="A833" s="137" t="s">
        <v>14250</v>
      </c>
      <c r="B833" s="137" t="s">
        <v>335</v>
      </c>
      <c r="C833" s="137" t="s">
        <v>5021</v>
      </c>
      <c r="D833" s="338">
        <v>11177</v>
      </c>
      <c r="E833" s="137">
        <v>3387</v>
      </c>
      <c r="F833" s="137">
        <v>1187</v>
      </c>
    </row>
    <row r="834" spans="1:6" x14ac:dyDescent="0.25">
      <c r="A834" s="137" t="s">
        <v>14335</v>
      </c>
      <c r="B834" s="137" t="s">
        <v>335</v>
      </c>
      <c r="C834" s="137" t="s">
        <v>5732</v>
      </c>
      <c r="D834" s="338">
        <v>8394</v>
      </c>
      <c r="E834" s="137">
        <v>2786</v>
      </c>
      <c r="F834" s="137">
        <v>586</v>
      </c>
    </row>
    <row r="835" spans="1:6" x14ac:dyDescent="0.25">
      <c r="A835" s="137" t="s">
        <v>15049</v>
      </c>
      <c r="B835" s="137" t="s">
        <v>335</v>
      </c>
      <c r="C835" s="137" t="s">
        <v>359</v>
      </c>
      <c r="D835" s="338">
        <v>4256</v>
      </c>
      <c r="E835" s="137">
        <v>4433</v>
      </c>
      <c r="F835" s="137">
        <v>1133</v>
      </c>
    </row>
    <row r="836" spans="1:6" x14ac:dyDescent="0.25">
      <c r="A836" s="137" t="s">
        <v>14241</v>
      </c>
      <c r="B836" s="137" t="s">
        <v>335</v>
      </c>
      <c r="C836" s="137" t="s">
        <v>5485</v>
      </c>
      <c r="D836" s="338">
        <v>11300</v>
      </c>
      <c r="E836" s="137">
        <v>3799</v>
      </c>
      <c r="F836" s="137">
        <v>499</v>
      </c>
    </row>
    <row r="837" spans="1:6" x14ac:dyDescent="0.25">
      <c r="A837" s="137" t="s">
        <v>14283</v>
      </c>
      <c r="B837" s="137" t="s">
        <v>335</v>
      </c>
      <c r="C837" s="137" t="s">
        <v>5262</v>
      </c>
      <c r="D837" s="338">
        <v>12670</v>
      </c>
      <c r="E837" s="137">
        <v>2772</v>
      </c>
      <c r="F837" s="137">
        <v>572</v>
      </c>
    </row>
    <row r="838" spans="1:6" x14ac:dyDescent="0.25">
      <c r="A838" s="137" t="s">
        <v>14907</v>
      </c>
      <c r="B838" s="137" t="s">
        <v>335</v>
      </c>
      <c r="C838" s="137" t="s">
        <v>357</v>
      </c>
      <c r="D838" s="338">
        <v>6488</v>
      </c>
      <c r="E838" s="137">
        <v>3338</v>
      </c>
      <c r="F838" s="137">
        <v>1138</v>
      </c>
    </row>
    <row r="839" spans="1:6" x14ac:dyDescent="0.25">
      <c r="A839" s="137" t="s">
        <v>14787</v>
      </c>
      <c r="B839" s="137" t="s">
        <v>335</v>
      </c>
      <c r="C839" s="137" t="s">
        <v>355</v>
      </c>
      <c r="D839" s="338">
        <v>6047</v>
      </c>
      <c r="E839" s="137">
        <v>3980</v>
      </c>
      <c r="F839" s="137">
        <v>680</v>
      </c>
    </row>
    <row r="840" spans="1:6" x14ac:dyDescent="0.25">
      <c r="A840" s="137" t="s">
        <v>14502</v>
      </c>
      <c r="B840" s="137" t="s">
        <v>335</v>
      </c>
      <c r="C840" s="137" t="s">
        <v>5658</v>
      </c>
      <c r="D840" s="338">
        <v>1581</v>
      </c>
      <c r="E840" s="137">
        <v>2776</v>
      </c>
      <c r="F840" s="137">
        <v>576</v>
      </c>
    </row>
    <row r="841" spans="1:6" x14ac:dyDescent="0.25">
      <c r="A841" s="137" t="s">
        <v>15076</v>
      </c>
      <c r="B841" s="137" t="s">
        <v>335</v>
      </c>
      <c r="C841" s="137" t="s">
        <v>353</v>
      </c>
      <c r="D841" s="338">
        <v>10109</v>
      </c>
      <c r="E841" s="137">
        <v>4545</v>
      </c>
      <c r="F841" s="137">
        <v>1245</v>
      </c>
    </row>
    <row r="842" spans="1:6" x14ac:dyDescent="0.25">
      <c r="A842" s="137" t="s">
        <v>14811</v>
      </c>
      <c r="B842" s="137" t="s">
        <v>335</v>
      </c>
      <c r="C842" s="137" t="s">
        <v>349</v>
      </c>
      <c r="D842" s="338">
        <v>6965</v>
      </c>
      <c r="E842" s="137">
        <v>3077</v>
      </c>
      <c r="F842" s="137">
        <v>877</v>
      </c>
    </row>
    <row r="843" spans="1:6" x14ac:dyDescent="0.25">
      <c r="A843" s="137" t="s">
        <v>14753</v>
      </c>
      <c r="B843" s="137" t="s">
        <v>335</v>
      </c>
      <c r="C843" s="137" t="s">
        <v>347</v>
      </c>
      <c r="D843" s="338">
        <v>5760</v>
      </c>
      <c r="E843" s="137">
        <v>3818</v>
      </c>
      <c r="F843" s="137">
        <v>518</v>
      </c>
    </row>
    <row r="844" spans="1:6" x14ac:dyDescent="0.25">
      <c r="A844" s="137" t="s">
        <v>14463</v>
      </c>
      <c r="B844" s="137" t="s">
        <v>335</v>
      </c>
      <c r="C844" s="137" t="s">
        <v>5616</v>
      </c>
      <c r="D844" s="338">
        <v>10053</v>
      </c>
      <c r="E844" s="137">
        <v>3363</v>
      </c>
      <c r="F844" s="137">
        <v>1163</v>
      </c>
    </row>
    <row r="845" spans="1:6" x14ac:dyDescent="0.25">
      <c r="A845" s="137" t="s">
        <v>14263</v>
      </c>
      <c r="B845" s="137" t="s">
        <v>335</v>
      </c>
      <c r="C845" s="137" t="s">
        <v>4738</v>
      </c>
      <c r="D845" s="338">
        <v>12495</v>
      </c>
      <c r="E845" s="137">
        <v>3481</v>
      </c>
      <c r="F845" s="137">
        <v>1281</v>
      </c>
    </row>
    <row r="846" spans="1:6" x14ac:dyDescent="0.25">
      <c r="A846" s="137" t="s">
        <v>14324</v>
      </c>
      <c r="B846" s="137" t="s">
        <v>335</v>
      </c>
      <c r="C846" s="137" t="s">
        <v>5589</v>
      </c>
      <c r="D846" s="338">
        <v>8193</v>
      </c>
      <c r="E846" s="137">
        <v>2464</v>
      </c>
      <c r="F846" s="137">
        <v>264</v>
      </c>
    </row>
    <row r="847" spans="1:6" x14ac:dyDescent="0.25">
      <c r="A847" s="137" t="s">
        <v>14698</v>
      </c>
      <c r="B847" s="137" t="s">
        <v>335</v>
      </c>
      <c r="C847" s="137" t="s">
        <v>343</v>
      </c>
      <c r="D847" s="338">
        <v>5510</v>
      </c>
      <c r="E847" s="137">
        <v>4485</v>
      </c>
      <c r="F847" s="137">
        <v>1185</v>
      </c>
    </row>
    <row r="848" spans="1:6" x14ac:dyDescent="0.25">
      <c r="A848" s="137" t="s">
        <v>14953</v>
      </c>
      <c r="B848" s="137" t="s">
        <v>335</v>
      </c>
      <c r="C848" s="137" t="s">
        <v>341</v>
      </c>
      <c r="D848" s="338">
        <v>7307</v>
      </c>
      <c r="E848" s="137">
        <v>3209</v>
      </c>
      <c r="F848" s="137">
        <v>1009</v>
      </c>
    </row>
    <row r="849" spans="1:6" x14ac:dyDescent="0.25">
      <c r="A849" s="137" t="s">
        <v>15083</v>
      </c>
      <c r="B849" s="137" t="s">
        <v>335</v>
      </c>
      <c r="C849" s="137" t="s">
        <v>4716</v>
      </c>
      <c r="D849" s="338">
        <v>6928</v>
      </c>
      <c r="E849" s="137">
        <v>4013</v>
      </c>
      <c r="F849" s="137">
        <v>713</v>
      </c>
    </row>
    <row r="850" spans="1:6" x14ac:dyDescent="0.25">
      <c r="A850" s="137" t="s">
        <v>14770</v>
      </c>
      <c r="B850" s="137" t="s">
        <v>335</v>
      </c>
      <c r="C850" s="137" t="s">
        <v>339</v>
      </c>
      <c r="D850" s="338">
        <v>4308</v>
      </c>
      <c r="E850" s="137">
        <v>5410</v>
      </c>
      <c r="F850" s="137">
        <v>1010</v>
      </c>
    </row>
    <row r="851" spans="1:6" x14ac:dyDescent="0.25">
      <c r="A851" s="137" t="s">
        <v>14354</v>
      </c>
      <c r="B851" s="137" t="s">
        <v>335</v>
      </c>
      <c r="C851" s="137" t="s">
        <v>5765</v>
      </c>
      <c r="D851" s="338">
        <v>8847</v>
      </c>
      <c r="E851" s="137">
        <v>2810</v>
      </c>
      <c r="F851" s="137">
        <v>610</v>
      </c>
    </row>
    <row r="852" spans="1:6" x14ac:dyDescent="0.25">
      <c r="A852" s="137" t="s">
        <v>14385</v>
      </c>
      <c r="B852" s="137" t="s">
        <v>335</v>
      </c>
      <c r="C852" s="137" t="s">
        <v>5758</v>
      </c>
      <c r="D852" s="338">
        <v>9305</v>
      </c>
      <c r="E852" s="137">
        <v>2873</v>
      </c>
      <c r="F852" s="137">
        <v>673</v>
      </c>
    </row>
    <row r="853" spans="1:6" x14ac:dyDescent="0.25">
      <c r="A853" s="137" t="s">
        <v>15091</v>
      </c>
      <c r="B853" s="137" t="s">
        <v>335</v>
      </c>
      <c r="C853" s="137" t="s">
        <v>5068</v>
      </c>
      <c r="D853" s="338">
        <v>3176</v>
      </c>
      <c r="E853" s="137">
        <v>3678</v>
      </c>
      <c r="F853" s="137">
        <v>378</v>
      </c>
    </row>
    <row r="854" spans="1:6" x14ac:dyDescent="0.25">
      <c r="A854" s="137" t="s">
        <v>14722</v>
      </c>
      <c r="B854" s="137" t="s">
        <v>335</v>
      </c>
      <c r="C854" s="137" t="s">
        <v>337</v>
      </c>
      <c r="D854" s="338">
        <v>6171</v>
      </c>
      <c r="E854" s="137">
        <v>3526</v>
      </c>
      <c r="F854" s="137">
        <v>226</v>
      </c>
    </row>
    <row r="855" spans="1:6" x14ac:dyDescent="0.25">
      <c r="A855" s="137" t="s">
        <v>14909</v>
      </c>
      <c r="B855" s="137" t="s">
        <v>335</v>
      </c>
      <c r="C855" s="137" t="s">
        <v>333</v>
      </c>
      <c r="D855" s="338">
        <v>7030</v>
      </c>
      <c r="E855" s="137">
        <v>4387</v>
      </c>
      <c r="F855" s="137">
        <v>1087</v>
      </c>
    </row>
    <row r="856" spans="1:6" x14ac:dyDescent="0.25">
      <c r="A856" s="137" t="s">
        <v>14794</v>
      </c>
      <c r="B856" s="137" t="s">
        <v>335</v>
      </c>
      <c r="C856" s="137" t="s">
        <v>328</v>
      </c>
      <c r="D856" s="338">
        <v>10019</v>
      </c>
      <c r="E856" s="137">
        <v>3873</v>
      </c>
      <c r="F856" s="137">
        <v>573</v>
      </c>
    </row>
    <row r="857" spans="1:6" x14ac:dyDescent="0.25">
      <c r="A857" s="137" t="s">
        <v>14275</v>
      </c>
      <c r="B857" s="137" t="s">
        <v>335</v>
      </c>
      <c r="C857" s="137" t="s">
        <v>4884</v>
      </c>
      <c r="D857" s="338">
        <v>11330</v>
      </c>
      <c r="E857" s="137">
        <v>2608</v>
      </c>
      <c r="F857" s="137">
        <v>408</v>
      </c>
    </row>
    <row r="858" spans="1:6" x14ac:dyDescent="0.25">
      <c r="A858" s="137" t="s">
        <v>15064</v>
      </c>
      <c r="B858" s="137" t="s">
        <v>335</v>
      </c>
      <c r="C858" s="137" t="s">
        <v>5163</v>
      </c>
      <c r="D858" s="338">
        <v>6497</v>
      </c>
      <c r="E858" s="137">
        <v>4342</v>
      </c>
      <c r="F858" s="137">
        <v>1042</v>
      </c>
    </row>
    <row r="859" spans="1:6" x14ac:dyDescent="0.25">
      <c r="A859" s="137" t="s">
        <v>14309</v>
      </c>
      <c r="B859" s="137" t="s">
        <v>335</v>
      </c>
      <c r="C859" s="137" t="s">
        <v>5715</v>
      </c>
      <c r="D859" s="338">
        <v>7833</v>
      </c>
      <c r="E859" s="137">
        <v>2598</v>
      </c>
      <c r="F859" s="137">
        <v>398</v>
      </c>
    </row>
    <row r="860" spans="1:6" x14ac:dyDescent="0.25">
      <c r="A860" s="137" t="s">
        <v>15075</v>
      </c>
      <c r="B860" s="137" t="s">
        <v>335</v>
      </c>
      <c r="C860" s="137" t="s">
        <v>326</v>
      </c>
      <c r="D860" s="338">
        <v>9478</v>
      </c>
      <c r="E860" s="137">
        <v>4003</v>
      </c>
      <c r="F860" s="137">
        <v>703</v>
      </c>
    </row>
    <row r="861" spans="1:6" x14ac:dyDescent="0.25">
      <c r="A861" s="137" t="s">
        <v>14536</v>
      </c>
      <c r="B861" s="137" t="s">
        <v>335</v>
      </c>
      <c r="C861" s="137" t="s">
        <v>324</v>
      </c>
      <c r="D861" s="338">
        <v>2098</v>
      </c>
      <c r="E861" s="137">
        <v>2966</v>
      </c>
      <c r="F861" s="137">
        <v>766</v>
      </c>
    </row>
    <row r="862" spans="1:6" x14ac:dyDescent="0.25">
      <c r="A862" s="137" t="s">
        <v>14860</v>
      </c>
      <c r="B862" s="137" t="s">
        <v>335</v>
      </c>
      <c r="C862" s="137" t="s">
        <v>322</v>
      </c>
      <c r="D862" s="338">
        <v>9215</v>
      </c>
      <c r="E862" s="137">
        <v>3280</v>
      </c>
      <c r="F862" s="137">
        <v>1080</v>
      </c>
    </row>
    <row r="863" spans="1:6" x14ac:dyDescent="0.25">
      <c r="A863" s="137" t="s">
        <v>14944</v>
      </c>
      <c r="B863" s="137" t="s">
        <v>335</v>
      </c>
      <c r="C863" s="137" t="s">
        <v>319</v>
      </c>
      <c r="D863" s="338">
        <v>3643</v>
      </c>
      <c r="E863" s="137">
        <v>4159</v>
      </c>
      <c r="F863" s="137">
        <v>859</v>
      </c>
    </row>
    <row r="864" spans="1:6" x14ac:dyDescent="0.25">
      <c r="A864" s="137" t="s">
        <v>14298</v>
      </c>
      <c r="B864" s="137" t="s">
        <v>335</v>
      </c>
      <c r="C864" s="137" t="s">
        <v>314</v>
      </c>
      <c r="D864" s="338">
        <v>7560</v>
      </c>
      <c r="E864" s="137">
        <v>2589</v>
      </c>
      <c r="F864" s="137">
        <v>389</v>
      </c>
    </row>
    <row r="865" spans="1:6" x14ac:dyDescent="0.25">
      <c r="A865" s="137" t="s">
        <v>14226</v>
      </c>
      <c r="B865" s="137" t="s">
        <v>335</v>
      </c>
      <c r="C865" s="137" t="s">
        <v>312</v>
      </c>
      <c r="D865" s="338">
        <v>13513</v>
      </c>
      <c r="E865" s="137">
        <v>3808</v>
      </c>
      <c r="F865" s="137">
        <v>508</v>
      </c>
    </row>
    <row r="866" spans="1:6" x14ac:dyDescent="0.25">
      <c r="A866" s="137" t="s">
        <v>14568</v>
      </c>
      <c r="B866" s="137" t="s">
        <v>335</v>
      </c>
      <c r="C866" s="137" t="s">
        <v>309</v>
      </c>
      <c r="D866" s="338">
        <v>2395</v>
      </c>
      <c r="E866" s="137">
        <v>3168</v>
      </c>
      <c r="F866" s="137">
        <v>968</v>
      </c>
    </row>
    <row r="867" spans="1:6" x14ac:dyDescent="0.25">
      <c r="A867" s="137" t="s">
        <v>14461</v>
      </c>
      <c r="B867" s="137" t="s">
        <v>335</v>
      </c>
      <c r="C867" s="137" t="s">
        <v>4863</v>
      </c>
      <c r="D867" s="338">
        <v>9229</v>
      </c>
      <c r="E867" s="137">
        <v>2680</v>
      </c>
      <c r="F867" s="137">
        <v>480</v>
      </c>
    </row>
    <row r="868" spans="1:6" x14ac:dyDescent="0.25">
      <c r="A868" s="137" t="s">
        <v>14746</v>
      </c>
      <c r="B868" s="137" t="s">
        <v>335</v>
      </c>
      <c r="C868" s="137" t="s">
        <v>5386</v>
      </c>
      <c r="D868" s="338">
        <v>7154</v>
      </c>
      <c r="E868" s="137">
        <v>3320</v>
      </c>
      <c r="F868" s="137">
        <v>1120</v>
      </c>
    </row>
    <row r="869" spans="1:6" x14ac:dyDescent="0.25">
      <c r="A869" s="137" t="s">
        <v>14539</v>
      </c>
      <c r="B869" s="137" t="s">
        <v>335</v>
      </c>
      <c r="C869" s="137" t="s">
        <v>306</v>
      </c>
      <c r="D869" s="338">
        <v>2047</v>
      </c>
      <c r="E869" s="137">
        <v>3305</v>
      </c>
      <c r="F869" s="137">
        <v>1105</v>
      </c>
    </row>
    <row r="870" spans="1:6" x14ac:dyDescent="0.25">
      <c r="A870" s="137" t="s">
        <v>14816</v>
      </c>
      <c r="B870" s="137" t="s">
        <v>335</v>
      </c>
      <c r="C870" s="137" t="s">
        <v>5661</v>
      </c>
      <c r="D870" s="338">
        <v>7146</v>
      </c>
      <c r="E870" s="137">
        <v>3061</v>
      </c>
      <c r="F870" s="137">
        <v>861</v>
      </c>
    </row>
    <row r="871" spans="1:6" x14ac:dyDescent="0.25">
      <c r="A871" s="137" t="s">
        <v>14777</v>
      </c>
      <c r="B871" s="137" t="s">
        <v>335</v>
      </c>
      <c r="C871" s="137" t="s">
        <v>304</v>
      </c>
      <c r="D871" s="338">
        <v>5381</v>
      </c>
      <c r="E871" s="137">
        <v>3789</v>
      </c>
      <c r="F871" s="137">
        <v>489</v>
      </c>
    </row>
    <row r="872" spans="1:6" x14ac:dyDescent="0.25">
      <c r="A872" s="137" t="s">
        <v>14475</v>
      </c>
      <c r="B872" s="137" t="s">
        <v>335</v>
      </c>
      <c r="C872" s="137" t="s">
        <v>5480</v>
      </c>
      <c r="D872" s="338">
        <v>10813</v>
      </c>
      <c r="E872" s="137">
        <v>3513</v>
      </c>
      <c r="F872" s="137">
        <v>1313</v>
      </c>
    </row>
    <row r="873" spans="1:6" x14ac:dyDescent="0.25">
      <c r="A873" s="137" t="s">
        <v>14242</v>
      </c>
      <c r="B873" s="137" t="s">
        <v>335</v>
      </c>
      <c r="C873" s="137" t="s">
        <v>5611</v>
      </c>
      <c r="D873" s="338">
        <v>11545</v>
      </c>
      <c r="E873" s="137">
        <v>4110</v>
      </c>
      <c r="F873" s="137">
        <v>810</v>
      </c>
    </row>
    <row r="874" spans="1:6" x14ac:dyDescent="0.25">
      <c r="A874" s="137" t="s">
        <v>14890</v>
      </c>
      <c r="B874" s="137" t="s">
        <v>335</v>
      </c>
      <c r="C874" s="137" t="s">
        <v>5625</v>
      </c>
      <c r="D874" s="338">
        <v>6595</v>
      </c>
      <c r="E874" s="137">
        <v>3274</v>
      </c>
      <c r="F874" s="137">
        <v>1074</v>
      </c>
    </row>
    <row r="875" spans="1:6" x14ac:dyDescent="0.25">
      <c r="A875" s="137" t="s">
        <v>14776</v>
      </c>
      <c r="B875" s="137" t="s">
        <v>335</v>
      </c>
      <c r="C875" s="137" t="s">
        <v>300</v>
      </c>
      <c r="D875" s="338">
        <v>5403</v>
      </c>
      <c r="E875" s="137">
        <v>3936</v>
      </c>
      <c r="F875" s="137">
        <v>636</v>
      </c>
    </row>
    <row r="876" spans="1:6" x14ac:dyDescent="0.25">
      <c r="A876" s="137" t="s">
        <v>14457</v>
      </c>
      <c r="B876" s="137" t="s">
        <v>335</v>
      </c>
      <c r="C876" s="137" t="s">
        <v>5121</v>
      </c>
      <c r="D876" s="338">
        <v>10868</v>
      </c>
      <c r="E876" s="137">
        <v>4191</v>
      </c>
      <c r="F876" s="137">
        <v>891</v>
      </c>
    </row>
    <row r="877" spans="1:6" x14ac:dyDescent="0.25">
      <c r="A877" s="137" t="s">
        <v>14285</v>
      </c>
      <c r="B877" s="137" t="s">
        <v>335</v>
      </c>
      <c r="C877" s="137" t="s">
        <v>5082</v>
      </c>
      <c r="D877" s="338">
        <v>9809</v>
      </c>
      <c r="E877" s="137">
        <v>2440</v>
      </c>
      <c r="F877" s="137">
        <v>240</v>
      </c>
    </row>
    <row r="878" spans="1:6" x14ac:dyDescent="0.25">
      <c r="A878" s="137" t="s">
        <v>14674</v>
      </c>
      <c r="B878" s="137" t="s">
        <v>335</v>
      </c>
      <c r="C878" s="137" t="s">
        <v>295</v>
      </c>
      <c r="D878" s="338">
        <v>2428</v>
      </c>
      <c r="E878" s="137">
        <v>2558</v>
      </c>
      <c r="F878" s="137">
        <v>358</v>
      </c>
    </row>
    <row r="879" spans="1:6" x14ac:dyDescent="0.25">
      <c r="A879" s="137" t="s">
        <v>14253</v>
      </c>
      <c r="B879" s="137" t="s">
        <v>335</v>
      </c>
      <c r="C879" s="137" t="s">
        <v>5225</v>
      </c>
      <c r="D879" s="338">
        <v>11922</v>
      </c>
      <c r="E879" s="137">
        <v>3834</v>
      </c>
      <c r="F879" s="137">
        <v>534</v>
      </c>
    </row>
    <row r="880" spans="1:6" x14ac:dyDescent="0.25">
      <c r="A880" s="137" t="s">
        <v>14743</v>
      </c>
      <c r="B880" s="137" t="s">
        <v>335</v>
      </c>
      <c r="C880" s="137" t="s">
        <v>290</v>
      </c>
      <c r="D880" s="338">
        <v>7101</v>
      </c>
      <c r="E880" s="137">
        <v>3427</v>
      </c>
      <c r="F880" s="137">
        <v>1227</v>
      </c>
    </row>
    <row r="881" spans="1:6" x14ac:dyDescent="0.25">
      <c r="A881" s="137" t="s">
        <v>14533</v>
      </c>
      <c r="B881" s="137" t="s">
        <v>335</v>
      </c>
      <c r="C881" s="137" t="s">
        <v>288</v>
      </c>
      <c r="D881" s="338">
        <v>1800</v>
      </c>
      <c r="E881" s="137">
        <v>2698</v>
      </c>
      <c r="F881" s="137">
        <v>498</v>
      </c>
    </row>
    <row r="882" spans="1:6" x14ac:dyDescent="0.25">
      <c r="A882" s="137" t="s">
        <v>14952</v>
      </c>
      <c r="B882" s="137" t="s">
        <v>335</v>
      </c>
      <c r="C882" s="137" t="s">
        <v>286</v>
      </c>
      <c r="D882" s="338">
        <v>6695</v>
      </c>
      <c r="E882" s="137">
        <v>3478</v>
      </c>
      <c r="F882" s="137">
        <v>1278</v>
      </c>
    </row>
    <row r="883" spans="1:6" x14ac:dyDescent="0.25">
      <c r="A883" s="137" t="s">
        <v>14446</v>
      </c>
      <c r="B883" s="137" t="s">
        <v>335</v>
      </c>
      <c r="C883" s="137" t="s">
        <v>5465</v>
      </c>
      <c r="D883" s="338">
        <v>9642</v>
      </c>
      <c r="E883" s="137">
        <v>3326</v>
      </c>
      <c r="F883" s="137">
        <v>1126</v>
      </c>
    </row>
    <row r="884" spans="1:6" x14ac:dyDescent="0.25">
      <c r="A884" s="137" t="s">
        <v>15013</v>
      </c>
      <c r="B884" s="137" t="s">
        <v>335</v>
      </c>
      <c r="C884" s="137" t="s">
        <v>3463</v>
      </c>
      <c r="D884" s="338">
        <v>2799</v>
      </c>
      <c r="E884" s="137">
        <v>3405</v>
      </c>
      <c r="F884" s="137">
        <v>1205</v>
      </c>
    </row>
    <row r="885" spans="1:6" x14ac:dyDescent="0.25">
      <c r="A885" s="137" t="s">
        <v>14914</v>
      </c>
      <c r="B885" s="137" t="s">
        <v>335</v>
      </c>
      <c r="C885" s="137" t="s">
        <v>284</v>
      </c>
      <c r="D885" s="338">
        <v>7665</v>
      </c>
      <c r="E885" s="137">
        <v>3087</v>
      </c>
      <c r="F885" s="137">
        <v>887</v>
      </c>
    </row>
    <row r="886" spans="1:6" x14ac:dyDescent="0.25">
      <c r="A886" s="137" t="s">
        <v>14507</v>
      </c>
      <c r="B886" s="137" t="s">
        <v>335</v>
      </c>
      <c r="C886" s="137" t="s">
        <v>282</v>
      </c>
      <c r="D886" s="137">
        <v>937</v>
      </c>
      <c r="E886" s="137">
        <v>2706</v>
      </c>
      <c r="F886" s="137">
        <v>506</v>
      </c>
    </row>
    <row r="887" spans="1:6" x14ac:dyDescent="0.25">
      <c r="A887" s="137" t="s">
        <v>14716</v>
      </c>
      <c r="B887" s="137" t="s">
        <v>335</v>
      </c>
      <c r="C887" s="137" t="s">
        <v>5149</v>
      </c>
      <c r="D887" s="338">
        <v>5438</v>
      </c>
      <c r="E887" s="137">
        <v>3139</v>
      </c>
      <c r="F887" s="137">
        <v>939</v>
      </c>
    </row>
    <row r="888" spans="1:6" x14ac:dyDescent="0.25">
      <c r="A888" s="137" t="s">
        <v>14727</v>
      </c>
      <c r="B888" s="137" t="s">
        <v>335</v>
      </c>
      <c r="C888" s="137" t="s">
        <v>5194</v>
      </c>
      <c r="D888" s="338">
        <v>6507</v>
      </c>
      <c r="E888" s="137">
        <v>3176</v>
      </c>
      <c r="F888" s="137">
        <v>976</v>
      </c>
    </row>
    <row r="889" spans="1:6" x14ac:dyDescent="0.25">
      <c r="A889" s="137" t="s">
        <v>14736</v>
      </c>
      <c r="B889" s="137" t="s">
        <v>335</v>
      </c>
      <c r="C889" s="137" t="s">
        <v>279</v>
      </c>
      <c r="D889" s="338">
        <v>6832</v>
      </c>
      <c r="E889" s="137">
        <v>3718</v>
      </c>
      <c r="F889" s="137">
        <v>418</v>
      </c>
    </row>
    <row r="890" spans="1:6" x14ac:dyDescent="0.25">
      <c r="A890" s="137" t="s">
        <v>14810</v>
      </c>
      <c r="B890" s="137" t="s">
        <v>335</v>
      </c>
      <c r="C890" s="137" t="s">
        <v>5008</v>
      </c>
      <c r="D890" s="338">
        <v>7009</v>
      </c>
      <c r="E890" s="137">
        <v>2372</v>
      </c>
      <c r="F890" s="137">
        <v>1272</v>
      </c>
    </row>
    <row r="891" spans="1:6" x14ac:dyDescent="0.25">
      <c r="A891" s="137" t="s">
        <v>14744</v>
      </c>
      <c r="B891" s="137" t="s">
        <v>335</v>
      </c>
      <c r="C891" s="137" t="s">
        <v>277</v>
      </c>
      <c r="D891" s="338">
        <v>7110</v>
      </c>
      <c r="E891" s="137">
        <v>4254</v>
      </c>
      <c r="F891" s="137">
        <v>954</v>
      </c>
    </row>
    <row r="892" spans="1:6" x14ac:dyDescent="0.25">
      <c r="A892" s="137" t="s">
        <v>14912</v>
      </c>
      <c r="B892" s="137" t="s">
        <v>335</v>
      </c>
      <c r="C892" s="137" t="s">
        <v>275</v>
      </c>
      <c r="D892" s="338">
        <v>7431</v>
      </c>
      <c r="E892" s="137">
        <v>3499</v>
      </c>
      <c r="F892" s="137">
        <v>1299</v>
      </c>
    </row>
    <row r="893" spans="1:6" x14ac:dyDescent="0.25">
      <c r="A893" s="137" t="s">
        <v>14790</v>
      </c>
      <c r="B893" s="137" t="s">
        <v>335</v>
      </c>
      <c r="C893" s="137" t="s">
        <v>272</v>
      </c>
      <c r="D893" s="338">
        <v>9291</v>
      </c>
      <c r="E893" s="137">
        <v>2953</v>
      </c>
      <c r="F893" s="137">
        <v>753</v>
      </c>
    </row>
    <row r="894" spans="1:6" x14ac:dyDescent="0.25">
      <c r="A894" s="137" t="s">
        <v>14823</v>
      </c>
      <c r="B894" s="137" t="s">
        <v>335</v>
      </c>
      <c r="C894" s="137" t="s">
        <v>270</v>
      </c>
      <c r="D894" s="338">
        <v>7501</v>
      </c>
      <c r="E894" s="137">
        <v>3527</v>
      </c>
      <c r="F894" s="137">
        <v>227</v>
      </c>
    </row>
    <row r="895" spans="1:6" x14ac:dyDescent="0.25">
      <c r="A895" s="137" t="s">
        <v>14412</v>
      </c>
      <c r="B895" s="137" t="s">
        <v>335</v>
      </c>
      <c r="C895" s="137" t="s">
        <v>485</v>
      </c>
      <c r="D895" s="338">
        <v>11355</v>
      </c>
      <c r="E895" s="137">
        <v>2790</v>
      </c>
      <c r="F895" s="137">
        <v>590</v>
      </c>
    </row>
    <row r="896" spans="1:6" x14ac:dyDescent="0.25">
      <c r="A896" s="137" t="s">
        <v>14762</v>
      </c>
      <c r="B896" s="137" t="s">
        <v>335</v>
      </c>
      <c r="C896" s="137" t="s">
        <v>268</v>
      </c>
      <c r="D896" s="338">
        <v>5910</v>
      </c>
      <c r="E896" s="137">
        <v>3377</v>
      </c>
      <c r="F896" s="137">
        <v>1177</v>
      </c>
    </row>
    <row r="897" spans="1:6" x14ac:dyDescent="0.25">
      <c r="A897" s="137" t="s">
        <v>15017</v>
      </c>
      <c r="B897" s="137" t="s">
        <v>335</v>
      </c>
      <c r="C897" s="137" t="s">
        <v>5471</v>
      </c>
      <c r="D897" s="338">
        <v>3157</v>
      </c>
      <c r="E897" s="137">
        <v>4426</v>
      </c>
      <c r="F897" s="137">
        <v>1126</v>
      </c>
    </row>
    <row r="898" spans="1:6" x14ac:dyDescent="0.25">
      <c r="A898" s="137" t="s">
        <v>14778</v>
      </c>
      <c r="B898" s="137" t="s">
        <v>335</v>
      </c>
      <c r="C898" s="137" t="s">
        <v>263</v>
      </c>
      <c r="D898" s="338">
        <v>5449</v>
      </c>
      <c r="E898" s="137">
        <v>4209</v>
      </c>
      <c r="F898" s="137">
        <v>909</v>
      </c>
    </row>
    <row r="899" spans="1:6" x14ac:dyDescent="0.25">
      <c r="A899" s="137" t="s">
        <v>14308</v>
      </c>
      <c r="B899" s="137" t="s">
        <v>335</v>
      </c>
      <c r="C899" s="137" t="s">
        <v>261</v>
      </c>
      <c r="D899" s="338">
        <v>7878</v>
      </c>
      <c r="E899" s="137">
        <v>2540</v>
      </c>
      <c r="F899" s="137">
        <v>340</v>
      </c>
    </row>
    <row r="900" spans="1:6" x14ac:dyDescent="0.25">
      <c r="A900" s="137" t="s">
        <v>14395</v>
      </c>
      <c r="B900" s="137" t="s">
        <v>335</v>
      </c>
      <c r="C900" s="137" t="s">
        <v>5741</v>
      </c>
      <c r="D900" s="338">
        <v>9535</v>
      </c>
      <c r="E900" s="137">
        <v>2802</v>
      </c>
      <c r="F900" s="137">
        <v>602</v>
      </c>
    </row>
    <row r="901" spans="1:6" x14ac:dyDescent="0.25">
      <c r="A901" s="137" t="s">
        <v>14891</v>
      </c>
      <c r="B901" s="137" t="s">
        <v>335</v>
      </c>
      <c r="C901" s="137" t="s">
        <v>259</v>
      </c>
      <c r="D901" s="338">
        <v>6583</v>
      </c>
      <c r="E901" s="137">
        <v>3644</v>
      </c>
      <c r="F901" s="137">
        <v>344</v>
      </c>
    </row>
    <row r="902" spans="1:6" x14ac:dyDescent="0.25">
      <c r="A902" s="137" t="s">
        <v>14714</v>
      </c>
      <c r="B902" s="137" t="s">
        <v>335</v>
      </c>
      <c r="C902" s="137" t="s">
        <v>5043</v>
      </c>
      <c r="D902" s="338">
        <v>5298</v>
      </c>
      <c r="E902" s="137">
        <v>3051</v>
      </c>
      <c r="F902" s="137">
        <v>851</v>
      </c>
    </row>
    <row r="903" spans="1:6" x14ac:dyDescent="0.25">
      <c r="A903" s="137" t="s">
        <v>14850</v>
      </c>
      <c r="B903" s="137" t="s">
        <v>335</v>
      </c>
      <c r="C903" s="137" t="s">
        <v>254</v>
      </c>
      <c r="D903" s="338">
        <v>3629</v>
      </c>
      <c r="E903" s="137">
        <v>4847</v>
      </c>
      <c r="F903" s="137">
        <v>447</v>
      </c>
    </row>
    <row r="904" spans="1:6" x14ac:dyDescent="0.25">
      <c r="A904" s="137" t="s">
        <v>14924</v>
      </c>
      <c r="B904" s="137" t="s">
        <v>335</v>
      </c>
      <c r="C904" s="137" t="s">
        <v>252</v>
      </c>
      <c r="D904" s="338">
        <v>1709</v>
      </c>
      <c r="E904" s="137">
        <v>3029</v>
      </c>
      <c r="F904" s="137">
        <v>829</v>
      </c>
    </row>
    <row r="905" spans="1:6" x14ac:dyDescent="0.25">
      <c r="A905" s="137" t="s">
        <v>14820</v>
      </c>
      <c r="B905" s="137" t="s">
        <v>335</v>
      </c>
      <c r="C905" s="137" t="s">
        <v>249</v>
      </c>
      <c r="D905" s="338">
        <v>7328</v>
      </c>
      <c r="E905" s="137">
        <v>3125</v>
      </c>
      <c r="F905" s="137">
        <v>925</v>
      </c>
    </row>
    <row r="906" spans="1:6" x14ac:dyDescent="0.25">
      <c r="A906" s="137" t="s">
        <v>14413</v>
      </c>
      <c r="B906" s="137" t="s">
        <v>335</v>
      </c>
      <c r="C906" s="137" t="s">
        <v>4744</v>
      </c>
      <c r="D906" s="338">
        <v>11574</v>
      </c>
      <c r="E906" s="137">
        <v>2253</v>
      </c>
      <c r="F906" s="137">
        <v>1153</v>
      </c>
    </row>
    <row r="907" spans="1:6" x14ac:dyDescent="0.25">
      <c r="A907" s="137" t="s">
        <v>14775</v>
      </c>
      <c r="B907" s="137" t="s">
        <v>335</v>
      </c>
      <c r="C907" s="137" t="s">
        <v>248</v>
      </c>
      <c r="D907" s="338">
        <v>5132</v>
      </c>
      <c r="E907" s="137">
        <v>3466</v>
      </c>
      <c r="F907" s="137">
        <v>1266</v>
      </c>
    </row>
    <row r="908" spans="1:6" x14ac:dyDescent="0.25">
      <c r="A908" s="137" t="s">
        <v>14783</v>
      </c>
      <c r="B908" s="137" t="s">
        <v>335</v>
      </c>
      <c r="C908" s="137" t="s">
        <v>246</v>
      </c>
      <c r="D908" s="338">
        <v>5694</v>
      </c>
      <c r="E908" s="137">
        <v>3453</v>
      </c>
      <c r="F908" s="137">
        <v>153</v>
      </c>
    </row>
    <row r="909" spans="1:6" x14ac:dyDescent="0.25">
      <c r="A909" s="137" t="s">
        <v>14769</v>
      </c>
      <c r="B909" s="137" t="s">
        <v>335</v>
      </c>
      <c r="C909" s="137" t="s">
        <v>244</v>
      </c>
      <c r="D909" s="338">
        <v>3840</v>
      </c>
      <c r="E909" s="137">
        <v>3643</v>
      </c>
      <c r="F909" s="137">
        <v>343</v>
      </c>
    </row>
    <row r="910" spans="1:6" x14ac:dyDescent="0.25">
      <c r="A910" s="137" t="s">
        <v>14782</v>
      </c>
      <c r="B910" s="137" t="s">
        <v>335</v>
      </c>
      <c r="C910" s="137" t="s">
        <v>242</v>
      </c>
      <c r="D910" s="338">
        <v>6772</v>
      </c>
      <c r="E910" s="137">
        <v>3465</v>
      </c>
      <c r="F910" s="137">
        <v>1265</v>
      </c>
    </row>
    <row r="911" spans="1:6" x14ac:dyDescent="0.25">
      <c r="A911" s="137" t="s">
        <v>14771</v>
      </c>
      <c r="B911" s="137" t="s">
        <v>335</v>
      </c>
      <c r="C911" s="137" t="s">
        <v>240</v>
      </c>
      <c r="D911" s="338">
        <v>4397</v>
      </c>
      <c r="E911" s="137">
        <v>4116</v>
      </c>
      <c r="F911" s="137">
        <v>816</v>
      </c>
    </row>
    <row r="912" spans="1:6" x14ac:dyDescent="0.25">
      <c r="A912" s="137" t="s">
        <v>14261</v>
      </c>
      <c r="B912" s="137" t="s">
        <v>335</v>
      </c>
      <c r="C912" s="137" t="s">
        <v>917</v>
      </c>
      <c r="D912" s="338">
        <v>12554</v>
      </c>
      <c r="E912" s="137">
        <v>2565</v>
      </c>
      <c r="F912" s="137">
        <v>365</v>
      </c>
    </row>
    <row r="913" spans="1:6" x14ac:dyDescent="0.25">
      <c r="A913" s="137" t="s">
        <v>14352</v>
      </c>
      <c r="B913" s="137" t="s">
        <v>335</v>
      </c>
      <c r="C913" s="137" t="s">
        <v>5397</v>
      </c>
      <c r="D913" s="338">
        <v>8881</v>
      </c>
      <c r="E913" s="137">
        <v>2335</v>
      </c>
      <c r="F913" s="137">
        <v>1235</v>
      </c>
    </row>
    <row r="914" spans="1:6" x14ac:dyDescent="0.25">
      <c r="A914" s="137" t="s">
        <v>14881</v>
      </c>
      <c r="B914" s="137" t="s">
        <v>335</v>
      </c>
      <c r="C914" s="137" t="s">
        <v>5639</v>
      </c>
      <c r="D914" s="338">
        <v>3752</v>
      </c>
      <c r="E914" s="137">
        <v>3903</v>
      </c>
      <c r="F914" s="137">
        <v>603</v>
      </c>
    </row>
    <row r="915" spans="1:6" x14ac:dyDescent="0.25">
      <c r="A915" s="137" t="s">
        <v>14299</v>
      </c>
      <c r="B915" s="137" t="s">
        <v>335</v>
      </c>
      <c r="C915" s="137" t="s">
        <v>238</v>
      </c>
      <c r="D915" s="338">
        <v>7547</v>
      </c>
      <c r="E915" s="137">
        <v>2754</v>
      </c>
      <c r="F915" s="137">
        <v>554</v>
      </c>
    </row>
    <row r="916" spans="1:6" x14ac:dyDescent="0.25">
      <c r="A916" s="137" t="s">
        <v>14837</v>
      </c>
      <c r="B916" s="137" t="s">
        <v>335</v>
      </c>
      <c r="C916" s="137" t="s">
        <v>236</v>
      </c>
      <c r="D916" s="338">
        <v>8357</v>
      </c>
      <c r="E916" s="137">
        <v>2925</v>
      </c>
      <c r="F916" s="137">
        <v>725</v>
      </c>
    </row>
    <row r="917" spans="1:6" x14ac:dyDescent="0.25">
      <c r="A917" s="137" t="s">
        <v>15072</v>
      </c>
      <c r="B917" s="137" t="s">
        <v>335</v>
      </c>
      <c r="C917" s="137" t="s">
        <v>234</v>
      </c>
      <c r="D917" s="338">
        <v>9116</v>
      </c>
      <c r="E917" s="137">
        <v>4414</v>
      </c>
      <c r="F917" s="137">
        <v>1114</v>
      </c>
    </row>
    <row r="918" spans="1:6" x14ac:dyDescent="0.25">
      <c r="A918" s="137" t="s">
        <v>14262</v>
      </c>
      <c r="B918" s="137" t="s">
        <v>335</v>
      </c>
      <c r="C918" s="137" t="s">
        <v>3307</v>
      </c>
      <c r="D918" s="338">
        <v>12558</v>
      </c>
      <c r="E918" s="137">
        <v>3061</v>
      </c>
      <c r="F918" s="137">
        <v>-239</v>
      </c>
    </row>
    <row r="919" spans="1:6" x14ac:dyDescent="0.25">
      <c r="A919" s="137" t="s">
        <v>14718</v>
      </c>
      <c r="B919" s="137" t="s">
        <v>335</v>
      </c>
      <c r="C919" s="137" t="s">
        <v>4915</v>
      </c>
      <c r="D919" s="338">
        <v>5565</v>
      </c>
      <c r="E919" s="137">
        <v>3043</v>
      </c>
      <c r="F919" s="137">
        <v>843</v>
      </c>
    </row>
    <row r="920" spans="1:6" x14ac:dyDescent="0.25">
      <c r="A920" s="137" t="s">
        <v>15057</v>
      </c>
      <c r="B920" s="137" t="s">
        <v>335</v>
      </c>
      <c r="C920" s="137" t="s">
        <v>5452</v>
      </c>
      <c r="D920" s="338">
        <v>5453</v>
      </c>
      <c r="E920" s="137">
        <v>4623</v>
      </c>
      <c r="F920" s="137">
        <v>223</v>
      </c>
    </row>
    <row r="921" spans="1:6" x14ac:dyDescent="0.25">
      <c r="A921" s="137" t="s">
        <v>14904</v>
      </c>
      <c r="B921" s="137" t="s">
        <v>335</v>
      </c>
      <c r="C921" s="137" t="s">
        <v>5275</v>
      </c>
      <c r="D921" s="338">
        <v>7491</v>
      </c>
      <c r="E921" s="137">
        <v>2621</v>
      </c>
      <c r="F921" s="137">
        <v>421</v>
      </c>
    </row>
    <row r="922" spans="1:6" x14ac:dyDescent="0.25">
      <c r="A922" s="137" t="s">
        <v>14855</v>
      </c>
      <c r="B922" s="137" t="s">
        <v>335</v>
      </c>
      <c r="C922" s="137" t="s">
        <v>224</v>
      </c>
      <c r="D922" s="338">
        <v>4144</v>
      </c>
      <c r="E922" s="137">
        <v>4769</v>
      </c>
      <c r="F922" s="137">
        <v>369</v>
      </c>
    </row>
    <row r="923" spans="1:6" x14ac:dyDescent="0.25">
      <c r="A923" s="137" t="s">
        <v>14731</v>
      </c>
      <c r="B923" s="137" t="s">
        <v>335</v>
      </c>
      <c r="C923" s="137" t="s">
        <v>5265</v>
      </c>
      <c r="D923" s="338">
        <v>6667</v>
      </c>
      <c r="E923" s="137">
        <v>3254</v>
      </c>
      <c r="F923" s="137">
        <v>1054</v>
      </c>
    </row>
    <row r="924" spans="1:6" x14ac:dyDescent="0.25">
      <c r="A924" s="137" t="s">
        <v>14819</v>
      </c>
      <c r="B924" s="137" t="s">
        <v>335</v>
      </c>
      <c r="C924" s="137" t="s">
        <v>219</v>
      </c>
      <c r="D924" s="338">
        <v>7348</v>
      </c>
      <c r="E924" s="137">
        <v>2999</v>
      </c>
      <c r="F924" s="137">
        <v>799</v>
      </c>
    </row>
    <row r="925" spans="1:6" x14ac:dyDescent="0.25">
      <c r="A925" s="137" t="s">
        <v>14721</v>
      </c>
      <c r="B925" s="137" t="s">
        <v>335</v>
      </c>
      <c r="C925" s="137" t="s">
        <v>217</v>
      </c>
      <c r="D925" s="338">
        <v>6171</v>
      </c>
      <c r="E925" s="137">
        <v>3827</v>
      </c>
      <c r="F925" s="137">
        <v>527</v>
      </c>
    </row>
    <row r="926" spans="1:6" x14ac:dyDescent="0.25">
      <c r="A926" s="137" t="s">
        <v>14813</v>
      </c>
      <c r="B926" s="137" t="s">
        <v>335</v>
      </c>
      <c r="C926" s="137" t="s">
        <v>5187</v>
      </c>
      <c r="D926" s="338">
        <v>7235</v>
      </c>
      <c r="E926" s="137">
        <v>2515</v>
      </c>
      <c r="F926" s="137">
        <v>315</v>
      </c>
    </row>
    <row r="927" spans="1:6" x14ac:dyDescent="0.25">
      <c r="A927" s="137" t="s">
        <v>14788</v>
      </c>
      <c r="B927" s="137" t="s">
        <v>335</v>
      </c>
      <c r="C927" s="137" t="s">
        <v>215</v>
      </c>
      <c r="D927" s="338">
        <v>7886</v>
      </c>
      <c r="E927" s="137">
        <v>3860</v>
      </c>
      <c r="F927" s="137">
        <v>560</v>
      </c>
    </row>
    <row r="928" spans="1:6" x14ac:dyDescent="0.25">
      <c r="A928" s="137" t="s">
        <v>14414</v>
      </c>
      <c r="B928" s="137" t="s">
        <v>335</v>
      </c>
      <c r="C928" s="137" t="s">
        <v>5095</v>
      </c>
      <c r="D928" s="338">
        <v>11558</v>
      </c>
      <c r="E928" s="137">
        <v>2389</v>
      </c>
      <c r="F928" s="137">
        <v>1289</v>
      </c>
    </row>
    <row r="929" spans="1:6" x14ac:dyDescent="0.25">
      <c r="A929" s="137" t="s">
        <v>14818</v>
      </c>
      <c r="B929" s="137" t="s">
        <v>335</v>
      </c>
      <c r="C929" s="137" t="s">
        <v>5408</v>
      </c>
      <c r="D929" s="338">
        <v>7317</v>
      </c>
      <c r="E929" s="137">
        <v>2687</v>
      </c>
      <c r="F929" s="137">
        <v>487</v>
      </c>
    </row>
    <row r="930" spans="1:6" x14ac:dyDescent="0.25">
      <c r="A930" s="137" t="s">
        <v>14836</v>
      </c>
      <c r="B930" s="137" t="s">
        <v>335</v>
      </c>
      <c r="C930" s="137" t="s">
        <v>211</v>
      </c>
      <c r="D930" s="338">
        <v>8136</v>
      </c>
      <c r="E930" s="137">
        <v>3771</v>
      </c>
      <c r="F930" s="137">
        <v>471</v>
      </c>
    </row>
    <row r="931" spans="1:6" x14ac:dyDescent="0.25">
      <c r="A931" s="137" t="s">
        <v>14724</v>
      </c>
      <c r="B931" s="137" t="s">
        <v>335</v>
      </c>
      <c r="C931" s="137" t="s">
        <v>5406</v>
      </c>
      <c r="D931" s="338">
        <v>6287</v>
      </c>
      <c r="E931" s="137">
        <v>3354</v>
      </c>
      <c r="F931" s="137">
        <v>1154</v>
      </c>
    </row>
    <row r="932" spans="1:6" x14ac:dyDescent="0.25">
      <c r="A932" s="137" t="s">
        <v>14827</v>
      </c>
      <c r="B932" s="137" t="s">
        <v>335</v>
      </c>
      <c r="C932" s="137" t="s">
        <v>5483</v>
      </c>
      <c r="D932" s="338">
        <v>3020</v>
      </c>
      <c r="E932" s="137">
        <v>3921</v>
      </c>
      <c r="F932" s="137">
        <v>621</v>
      </c>
    </row>
    <row r="933" spans="1:6" x14ac:dyDescent="0.25">
      <c r="A933" s="137" t="s">
        <v>14732</v>
      </c>
      <c r="B933" s="137" t="s">
        <v>335</v>
      </c>
      <c r="C933" s="137" t="s">
        <v>5373</v>
      </c>
      <c r="D933" s="338">
        <v>6612</v>
      </c>
      <c r="E933" s="137">
        <v>3311</v>
      </c>
      <c r="F933" s="137">
        <v>1111</v>
      </c>
    </row>
    <row r="934" spans="1:6" x14ac:dyDescent="0.25">
      <c r="A934" s="137" t="s">
        <v>14997</v>
      </c>
      <c r="B934" s="137" t="s">
        <v>335</v>
      </c>
      <c r="C934" s="137" t="s">
        <v>209</v>
      </c>
      <c r="D934" s="338">
        <v>7505</v>
      </c>
      <c r="E934" s="137">
        <v>4103</v>
      </c>
      <c r="F934" s="137">
        <v>803</v>
      </c>
    </row>
    <row r="935" spans="1:6" x14ac:dyDescent="0.25">
      <c r="A935" s="137" t="s">
        <v>14396</v>
      </c>
      <c r="B935" s="137" t="s">
        <v>335</v>
      </c>
      <c r="C935" s="137" t="s">
        <v>5739</v>
      </c>
      <c r="D935" s="338">
        <v>9527</v>
      </c>
      <c r="E935" s="137">
        <v>2824</v>
      </c>
      <c r="F935" s="137">
        <v>624</v>
      </c>
    </row>
    <row r="936" spans="1:6" x14ac:dyDescent="0.25">
      <c r="A936" s="137" t="s">
        <v>14410</v>
      </c>
      <c r="B936" s="137" t="s">
        <v>335</v>
      </c>
      <c r="C936" s="137" t="s">
        <v>5754</v>
      </c>
      <c r="D936" s="338">
        <v>9829</v>
      </c>
      <c r="E936" s="137">
        <v>2792</v>
      </c>
      <c r="F936" s="137">
        <v>592</v>
      </c>
    </row>
    <row r="937" spans="1:6" x14ac:dyDescent="0.25">
      <c r="A937" s="137" t="s">
        <v>14659</v>
      </c>
      <c r="B937" s="137" t="s">
        <v>335</v>
      </c>
      <c r="C937" s="137" t="s">
        <v>4590</v>
      </c>
      <c r="D937" s="338">
        <v>3651</v>
      </c>
      <c r="E937" s="137">
        <v>2486</v>
      </c>
      <c r="F937" s="137">
        <v>286</v>
      </c>
    </row>
    <row r="938" spans="1:6" x14ac:dyDescent="0.25">
      <c r="A938" s="137" t="s">
        <v>14683</v>
      </c>
      <c r="B938" s="137" t="s">
        <v>335</v>
      </c>
      <c r="C938" s="137" t="s">
        <v>200</v>
      </c>
      <c r="D938" s="338">
        <v>2544</v>
      </c>
      <c r="E938" s="137">
        <v>3134</v>
      </c>
      <c r="F938" s="137">
        <v>934</v>
      </c>
    </row>
    <row r="939" spans="1:6" x14ac:dyDescent="0.25">
      <c r="A939" s="137" t="s">
        <v>14852</v>
      </c>
      <c r="B939" s="137" t="s">
        <v>335</v>
      </c>
      <c r="C939" s="137" t="s">
        <v>198</v>
      </c>
      <c r="D939" s="338">
        <v>3889</v>
      </c>
      <c r="E939" s="137">
        <v>4552</v>
      </c>
      <c r="F939" s="137">
        <v>1252</v>
      </c>
    </row>
    <row r="940" spans="1:6" x14ac:dyDescent="0.25">
      <c r="A940" s="137" t="s">
        <v>14682</v>
      </c>
      <c r="B940" s="137" t="s">
        <v>335</v>
      </c>
      <c r="C940" s="137" t="s">
        <v>195</v>
      </c>
      <c r="D940" s="338">
        <v>2545</v>
      </c>
      <c r="E940" s="137">
        <v>3294</v>
      </c>
      <c r="F940" s="137">
        <v>1094</v>
      </c>
    </row>
    <row r="941" spans="1:6" x14ac:dyDescent="0.25">
      <c r="A941" s="137" t="s">
        <v>14715</v>
      </c>
      <c r="B941" s="137" t="s">
        <v>335</v>
      </c>
      <c r="C941" s="137" t="s">
        <v>5141</v>
      </c>
      <c r="D941" s="338">
        <v>5266</v>
      </c>
      <c r="E941" s="137">
        <v>3086</v>
      </c>
      <c r="F941" s="137">
        <v>886</v>
      </c>
    </row>
    <row r="942" spans="1:6" x14ac:dyDescent="0.25">
      <c r="A942" s="137" t="s">
        <v>14265</v>
      </c>
      <c r="B942" s="137" t="s">
        <v>335</v>
      </c>
      <c r="C942" s="137" t="s">
        <v>5549</v>
      </c>
      <c r="D942" s="338">
        <v>12676</v>
      </c>
      <c r="E942" s="137">
        <v>4188</v>
      </c>
      <c r="F942" s="137">
        <v>888</v>
      </c>
    </row>
    <row r="943" spans="1:6" x14ac:dyDescent="0.25">
      <c r="A943" s="137" t="s">
        <v>14598</v>
      </c>
      <c r="B943" s="137" t="s">
        <v>335</v>
      </c>
      <c r="C943" s="137" t="s">
        <v>193</v>
      </c>
      <c r="D943" s="338">
        <v>3914</v>
      </c>
      <c r="E943" s="137">
        <v>3486</v>
      </c>
      <c r="F943" s="137">
        <v>1286</v>
      </c>
    </row>
    <row r="944" spans="1:6" x14ac:dyDescent="0.25">
      <c r="A944" s="137" t="s">
        <v>15060</v>
      </c>
      <c r="B944" s="137" t="s">
        <v>335</v>
      </c>
      <c r="C944" s="137" t="s">
        <v>484</v>
      </c>
      <c r="D944" s="338">
        <v>6233</v>
      </c>
      <c r="E944" s="137">
        <v>4541</v>
      </c>
      <c r="F944" s="137">
        <v>1241</v>
      </c>
    </row>
    <row r="945" spans="1:6" x14ac:dyDescent="0.25">
      <c r="A945" s="137" t="s">
        <v>14665</v>
      </c>
      <c r="B945" s="137" t="s">
        <v>335</v>
      </c>
      <c r="C945" s="137" t="s">
        <v>5583</v>
      </c>
      <c r="D945" s="338">
        <v>5197</v>
      </c>
      <c r="E945" s="137">
        <v>2605</v>
      </c>
      <c r="F945" s="137">
        <v>405</v>
      </c>
    </row>
    <row r="946" spans="1:6" x14ac:dyDescent="0.25">
      <c r="A946" s="137" t="s">
        <v>14709</v>
      </c>
      <c r="B946" s="137" t="s">
        <v>335</v>
      </c>
      <c r="C946" s="137" t="s">
        <v>8728</v>
      </c>
      <c r="D946" s="338">
        <v>5061</v>
      </c>
      <c r="E946" s="137">
        <v>3383</v>
      </c>
      <c r="F946" s="137">
        <v>1183</v>
      </c>
    </row>
    <row r="947" spans="1:6" x14ac:dyDescent="0.25">
      <c r="A947" s="137" t="s">
        <v>15019</v>
      </c>
      <c r="B947" s="137" t="s">
        <v>335</v>
      </c>
      <c r="C947" s="137" t="s">
        <v>5019</v>
      </c>
      <c r="D947" s="338">
        <v>3334</v>
      </c>
      <c r="E947" s="137">
        <v>4017</v>
      </c>
      <c r="F947" s="137">
        <v>717</v>
      </c>
    </row>
    <row r="948" spans="1:6" x14ac:dyDescent="0.25">
      <c r="A948" s="137" t="s">
        <v>14851</v>
      </c>
      <c r="B948" s="137" t="s">
        <v>335</v>
      </c>
      <c r="C948" s="137" t="s">
        <v>3243</v>
      </c>
      <c r="D948" s="338">
        <v>3825</v>
      </c>
      <c r="E948" s="137">
        <v>3664</v>
      </c>
      <c r="F948" s="137">
        <v>364</v>
      </c>
    </row>
    <row r="949" spans="1:6" x14ac:dyDescent="0.25">
      <c r="A949" s="137" t="s">
        <v>14516</v>
      </c>
      <c r="B949" s="137" t="s">
        <v>335</v>
      </c>
      <c r="C949" s="137" t="s">
        <v>5543</v>
      </c>
      <c r="D949" s="338">
        <v>2526</v>
      </c>
      <c r="E949" s="137">
        <v>2306</v>
      </c>
      <c r="F949" s="137">
        <v>1206</v>
      </c>
    </row>
    <row r="950" spans="1:6" x14ac:dyDescent="0.25">
      <c r="A950" s="137" t="s">
        <v>14786</v>
      </c>
      <c r="B950" s="137" t="s">
        <v>335</v>
      </c>
      <c r="C950" s="137" t="s">
        <v>187</v>
      </c>
      <c r="D950" s="338">
        <v>5953</v>
      </c>
      <c r="E950" s="137">
        <v>4450</v>
      </c>
      <c r="F950" s="137">
        <v>1150</v>
      </c>
    </row>
    <row r="951" spans="1:6" x14ac:dyDescent="0.25">
      <c r="A951" s="137" t="s">
        <v>14657</v>
      </c>
      <c r="B951" s="137" t="s">
        <v>335</v>
      </c>
      <c r="C951" s="137" t="s">
        <v>185</v>
      </c>
      <c r="D951" s="338">
        <v>3436</v>
      </c>
      <c r="E951" s="137">
        <v>3571</v>
      </c>
      <c r="F951" s="137">
        <v>271</v>
      </c>
    </row>
    <row r="952" spans="1:6" x14ac:dyDescent="0.25">
      <c r="A952" s="137" t="s">
        <v>14686</v>
      </c>
      <c r="B952" s="137" t="s">
        <v>335</v>
      </c>
      <c r="C952" s="137" t="s">
        <v>182</v>
      </c>
      <c r="D952" s="338">
        <v>2576</v>
      </c>
      <c r="E952" s="137">
        <v>2995</v>
      </c>
      <c r="F952" s="137">
        <v>795</v>
      </c>
    </row>
    <row r="953" spans="1:6" x14ac:dyDescent="0.25">
      <c r="A953" s="137" t="s">
        <v>14272</v>
      </c>
      <c r="B953" s="137" t="s">
        <v>335</v>
      </c>
      <c r="C953" s="137" t="s">
        <v>5130</v>
      </c>
      <c r="D953" s="338">
        <v>10244</v>
      </c>
      <c r="E953" s="137">
        <v>3509</v>
      </c>
      <c r="F953" s="137">
        <v>1309</v>
      </c>
    </row>
    <row r="954" spans="1:6" x14ac:dyDescent="0.25">
      <c r="A954" s="137" t="s">
        <v>14339</v>
      </c>
      <c r="B954" s="137" t="s">
        <v>335</v>
      </c>
      <c r="C954" s="137" t="s">
        <v>5574</v>
      </c>
      <c r="D954" s="338">
        <v>8571</v>
      </c>
      <c r="E954" s="137">
        <v>2413</v>
      </c>
      <c r="F954" s="137">
        <v>1313</v>
      </c>
    </row>
    <row r="955" spans="1:6" x14ac:dyDescent="0.25">
      <c r="A955" s="137" t="s">
        <v>14370</v>
      </c>
      <c r="B955" s="137" t="s">
        <v>335</v>
      </c>
      <c r="C955" s="137" t="s">
        <v>5727</v>
      </c>
      <c r="D955" s="338">
        <v>9061</v>
      </c>
      <c r="E955" s="137">
        <v>2758</v>
      </c>
      <c r="F955" s="137">
        <v>558</v>
      </c>
    </row>
    <row r="956" spans="1:6" x14ac:dyDescent="0.25">
      <c r="A956" s="137" t="s">
        <v>14248</v>
      </c>
      <c r="B956" s="137" t="s">
        <v>335</v>
      </c>
      <c r="C956" s="137" t="s">
        <v>178</v>
      </c>
      <c r="D956" s="338">
        <v>10874</v>
      </c>
      <c r="E956" s="137">
        <v>3110</v>
      </c>
      <c r="F956" s="137">
        <v>910</v>
      </c>
    </row>
    <row r="957" spans="1:6" x14ac:dyDescent="0.25">
      <c r="A957" s="137" t="s">
        <v>14844</v>
      </c>
      <c r="B957" s="137" t="s">
        <v>335</v>
      </c>
      <c r="C957" s="137" t="s">
        <v>175</v>
      </c>
      <c r="D957" s="338">
        <v>6040</v>
      </c>
      <c r="E957" s="137">
        <v>3709</v>
      </c>
      <c r="F957" s="137">
        <v>409</v>
      </c>
    </row>
    <row r="958" spans="1:6" x14ac:dyDescent="0.25">
      <c r="A958" s="137" t="s">
        <v>14252</v>
      </c>
      <c r="B958" s="137" t="s">
        <v>335</v>
      </c>
      <c r="C958" s="137" t="s">
        <v>3595</v>
      </c>
      <c r="D958" s="338">
        <v>11853</v>
      </c>
      <c r="E958" s="137">
        <v>3059</v>
      </c>
      <c r="F958" s="137">
        <v>859</v>
      </c>
    </row>
    <row r="959" spans="1:6" x14ac:dyDescent="0.25">
      <c r="A959" s="137" t="s">
        <v>14875</v>
      </c>
      <c r="B959" s="137" t="s">
        <v>335</v>
      </c>
      <c r="C959" s="137" t="s">
        <v>173</v>
      </c>
      <c r="D959" s="338">
        <v>3435</v>
      </c>
      <c r="E959" s="137">
        <v>4192</v>
      </c>
      <c r="F959" s="137">
        <v>892</v>
      </c>
    </row>
    <row r="960" spans="1:6" x14ac:dyDescent="0.25">
      <c r="A960" s="137" t="s">
        <v>14282</v>
      </c>
      <c r="B960" s="137" t="s">
        <v>335</v>
      </c>
      <c r="C960" s="137" t="s">
        <v>170</v>
      </c>
      <c r="D960" s="338">
        <v>14386</v>
      </c>
      <c r="E960" s="137">
        <v>2640</v>
      </c>
      <c r="F960" s="137">
        <v>440</v>
      </c>
    </row>
    <row r="961" spans="1:6" x14ac:dyDescent="0.25">
      <c r="A961" s="137" t="s">
        <v>14353</v>
      </c>
      <c r="B961" s="137" t="s">
        <v>335</v>
      </c>
      <c r="C961" s="137" t="s">
        <v>5579</v>
      </c>
      <c r="D961" s="338">
        <v>8809</v>
      </c>
      <c r="E961" s="137">
        <v>2458</v>
      </c>
      <c r="F961" s="137">
        <v>-842</v>
      </c>
    </row>
    <row r="962" spans="1:6" x14ac:dyDescent="0.25">
      <c r="A962" s="137" t="s">
        <v>14476</v>
      </c>
      <c r="B962" s="137" t="s">
        <v>335</v>
      </c>
      <c r="C962" s="137" t="s">
        <v>5703</v>
      </c>
      <c r="D962" s="338">
        <v>10760</v>
      </c>
      <c r="E962" s="137">
        <v>4063</v>
      </c>
      <c r="F962" s="137">
        <v>763</v>
      </c>
    </row>
    <row r="963" spans="1:6" x14ac:dyDescent="0.25">
      <c r="A963" s="137" t="s">
        <v>14741</v>
      </c>
      <c r="B963" s="137" t="s">
        <v>335</v>
      </c>
      <c r="C963" s="137" t="s">
        <v>5300</v>
      </c>
      <c r="D963" s="338">
        <v>7104</v>
      </c>
      <c r="E963" s="137">
        <v>3256</v>
      </c>
      <c r="F963" s="137">
        <v>1056</v>
      </c>
    </row>
    <row r="964" spans="1:6" x14ac:dyDescent="0.25">
      <c r="A964" s="137" t="s">
        <v>14386</v>
      </c>
      <c r="B964" s="137" t="s">
        <v>335</v>
      </c>
      <c r="C964" s="137" t="s">
        <v>168</v>
      </c>
      <c r="D964" s="338">
        <v>9265</v>
      </c>
      <c r="E964" s="137">
        <v>2721</v>
      </c>
      <c r="F964" s="137">
        <v>-579</v>
      </c>
    </row>
    <row r="965" spans="1:6" x14ac:dyDescent="0.25">
      <c r="A965" s="137" t="s">
        <v>14464</v>
      </c>
      <c r="B965" s="137" t="s">
        <v>335</v>
      </c>
      <c r="C965" s="137" t="s">
        <v>4735</v>
      </c>
      <c r="D965" s="338">
        <v>10195</v>
      </c>
      <c r="E965" s="137">
        <v>2973</v>
      </c>
      <c r="F965" s="137">
        <v>773</v>
      </c>
    </row>
    <row r="966" spans="1:6" x14ac:dyDescent="0.25">
      <c r="A966" s="137" t="s">
        <v>15087</v>
      </c>
      <c r="B966" s="137" t="s">
        <v>335</v>
      </c>
      <c r="C966" s="137" t="s">
        <v>5304</v>
      </c>
      <c r="D966" s="338">
        <v>3003</v>
      </c>
      <c r="E966" s="137">
        <v>3787</v>
      </c>
      <c r="F966" s="137">
        <v>487</v>
      </c>
    </row>
    <row r="967" spans="1:6" x14ac:dyDescent="0.25">
      <c r="A967" s="137" t="s">
        <v>14858</v>
      </c>
      <c r="B967" s="137" t="s">
        <v>335</v>
      </c>
      <c r="C967" s="137" t="s">
        <v>166</v>
      </c>
      <c r="D967" s="338">
        <v>8253</v>
      </c>
      <c r="E967" s="137">
        <v>4045</v>
      </c>
      <c r="F967" s="137">
        <v>745</v>
      </c>
    </row>
    <row r="968" spans="1:6" x14ac:dyDescent="0.25">
      <c r="A968" s="137" t="s">
        <v>14521</v>
      </c>
      <c r="B968" s="137" t="s">
        <v>335</v>
      </c>
      <c r="C968" s="137" t="s">
        <v>5495</v>
      </c>
      <c r="D968" s="338">
        <v>2678</v>
      </c>
      <c r="E968" s="137">
        <v>2621</v>
      </c>
      <c r="F968" s="137">
        <v>421</v>
      </c>
    </row>
    <row r="969" spans="1:6" x14ac:dyDescent="0.25">
      <c r="A969" s="137" t="s">
        <v>15042</v>
      </c>
      <c r="B969" s="137" t="s">
        <v>335</v>
      </c>
      <c r="C969" s="137" t="s">
        <v>160</v>
      </c>
      <c r="D969" s="338">
        <v>8640</v>
      </c>
      <c r="E969" s="137">
        <v>3139</v>
      </c>
      <c r="F969" s="137">
        <v>939</v>
      </c>
    </row>
    <row r="970" spans="1:6" x14ac:dyDescent="0.25">
      <c r="A970" s="137" t="s">
        <v>14313</v>
      </c>
      <c r="B970" s="137" t="s">
        <v>335</v>
      </c>
      <c r="C970" s="137" t="s">
        <v>5719</v>
      </c>
      <c r="D970" s="338">
        <v>7959</v>
      </c>
      <c r="E970" s="137">
        <v>2563</v>
      </c>
      <c r="F970" s="137">
        <v>363</v>
      </c>
    </row>
    <row r="971" spans="1:6" x14ac:dyDescent="0.25">
      <c r="A971" s="137" t="s">
        <v>15035</v>
      </c>
      <c r="B971" s="137" t="s">
        <v>335</v>
      </c>
      <c r="C971" s="137" t="s">
        <v>2106</v>
      </c>
      <c r="D971" s="338">
        <v>9491</v>
      </c>
      <c r="E971" s="137">
        <v>3471</v>
      </c>
      <c r="F971" s="137">
        <v>1271</v>
      </c>
    </row>
    <row r="972" spans="1:6" x14ac:dyDescent="0.25">
      <c r="A972" s="137" t="s">
        <v>14383</v>
      </c>
      <c r="B972" s="137" t="s">
        <v>335</v>
      </c>
      <c r="C972" s="137" t="s">
        <v>5516</v>
      </c>
      <c r="D972" s="338">
        <v>9322</v>
      </c>
      <c r="E972" s="137">
        <v>2351</v>
      </c>
      <c r="F972" s="137">
        <v>1251</v>
      </c>
    </row>
    <row r="973" spans="1:6" x14ac:dyDescent="0.25">
      <c r="A973" s="137" t="s">
        <v>14465</v>
      </c>
      <c r="B973" s="137" t="s">
        <v>335</v>
      </c>
      <c r="C973" s="137" t="s">
        <v>5463</v>
      </c>
      <c r="D973" s="338">
        <v>10150</v>
      </c>
      <c r="E973" s="137">
        <v>3437</v>
      </c>
      <c r="F973" s="137">
        <v>1237</v>
      </c>
    </row>
    <row r="974" spans="1:6" x14ac:dyDescent="0.25">
      <c r="A974" s="137" t="s">
        <v>14534</v>
      </c>
      <c r="B974" s="137" t="s">
        <v>335</v>
      </c>
      <c r="C974" s="137" t="s">
        <v>157</v>
      </c>
      <c r="D974" s="338">
        <v>1942</v>
      </c>
      <c r="E974" s="137">
        <v>3171</v>
      </c>
      <c r="F974" s="137">
        <v>971</v>
      </c>
    </row>
    <row r="975" spans="1:6" x14ac:dyDescent="0.25">
      <c r="A975" s="137" t="s">
        <v>14268</v>
      </c>
      <c r="B975" s="137" t="s">
        <v>335</v>
      </c>
      <c r="C975" s="137" t="s">
        <v>4752</v>
      </c>
      <c r="D975" s="338">
        <v>13363</v>
      </c>
      <c r="E975" s="137">
        <v>3134</v>
      </c>
      <c r="F975" s="137">
        <v>934</v>
      </c>
    </row>
    <row r="976" spans="1:6" x14ac:dyDescent="0.25">
      <c r="A976" s="137" t="s">
        <v>14563</v>
      </c>
      <c r="B976" s="137" t="s">
        <v>335</v>
      </c>
      <c r="C976" s="137" t="s">
        <v>5672</v>
      </c>
      <c r="D976" s="338">
        <v>2308</v>
      </c>
      <c r="E976" s="137">
        <v>2943</v>
      </c>
      <c r="F976" s="137">
        <v>743</v>
      </c>
    </row>
    <row r="977" spans="1:6" x14ac:dyDescent="0.25">
      <c r="A977" s="137" t="s">
        <v>14774</v>
      </c>
      <c r="B977" s="137" t="s">
        <v>335</v>
      </c>
      <c r="C977" s="137" t="s">
        <v>154</v>
      </c>
      <c r="D977" s="338">
        <v>5112</v>
      </c>
      <c r="E977" s="137">
        <v>3628</v>
      </c>
      <c r="F977" s="137">
        <v>328</v>
      </c>
    </row>
    <row r="978" spans="1:6" x14ac:dyDescent="0.25">
      <c r="A978" s="137" t="s">
        <v>14284</v>
      </c>
      <c r="B978" s="137" t="s">
        <v>335</v>
      </c>
      <c r="C978" s="137" t="s">
        <v>4804</v>
      </c>
      <c r="D978" s="338">
        <v>14624</v>
      </c>
      <c r="E978" s="137">
        <v>2608</v>
      </c>
      <c r="F978" s="137">
        <v>408</v>
      </c>
    </row>
    <row r="979" spans="1:6" x14ac:dyDescent="0.25">
      <c r="A979" s="137" t="s">
        <v>14417</v>
      </c>
      <c r="B979" s="137" t="s">
        <v>335</v>
      </c>
      <c r="C979" s="137" t="s">
        <v>5179</v>
      </c>
      <c r="D979" s="338">
        <v>9192</v>
      </c>
      <c r="E979" s="137">
        <v>2815</v>
      </c>
      <c r="F979" s="137">
        <v>615</v>
      </c>
    </row>
    <row r="980" spans="1:6" x14ac:dyDescent="0.25">
      <c r="A980" s="137" t="s">
        <v>15032</v>
      </c>
      <c r="B980" s="137" t="s">
        <v>335</v>
      </c>
      <c r="C980" s="137" t="s">
        <v>152</v>
      </c>
      <c r="D980" s="338">
        <v>6310</v>
      </c>
      <c r="E980" s="137">
        <v>4360</v>
      </c>
      <c r="F980" s="137">
        <v>1060</v>
      </c>
    </row>
    <row r="981" spans="1:6" x14ac:dyDescent="0.25">
      <c r="A981" s="137" t="s">
        <v>14515</v>
      </c>
      <c r="B981" s="137" t="s">
        <v>335</v>
      </c>
      <c r="C981" s="137" t="s">
        <v>5591</v>
      </c>
      <c r="D981" s="338">
        <v>2541</v>
      </c>
      <c r="E981" s="137">
        <v>2334</v>
      </c>
      <c r="F981" s="137">
        <v>1234</v>
      </c>
    </row>
    <row r="982" spans="1:6" x14ac:dyDescent="0.25">
      <c r="A982" s="137" t="s">
        <v>14739</v>
      </c>
      <c r="B982" s="137" t="s">
        <v>335</v>
      </c>
      <c r="C982" s="137" t="s">
        <v>5272</v>
      </c>
      <c r="D982" s="338">
        <v>6930</v>
      </c>
      <c r="E982" s="137">
        <v>3260</v>
      </c>
      <c r="F982" s="137">
        <v>1060</v>
      </c>
    </row>
    <row r="983" spans="1:6" x14ac:dyDescent="0.25">
      <c r="A983" s="137" t="s">
        <v>14821</v>
      </c>
      <c r="B983" s="137" t="s">
        <v>335</v>
      </c>
      <c r="C983" s="137" t="s">
        <v>149</v>
      </c>
      <c r="D983" s="338">
        <v>7398</v>
      </c>
      <c r="E983" s="137">
        <v>2890</v>
      </c>
      <c r="F983" s="137">
        <v>690</v>
      </c>
    </row>
    <row r="984" spans="1:6" x14ac:dyDescent="0.25">
      <c r="A984" s="137" t="s">
        <v>14815</v>
      </c>
      <c r="B984" s="137" t="s">
        <v>335</v>
      </c>
      <c r="C984" s="137" t="s">
        <v>5108</v>
      </c>
      <c r="D984" s="338">
        <v>7173</v>
      </c>
      <c r="E984" s="137">
        <v>2448</v>
      </c>
      <c r="F984" s="137">
        <v>248</v>
      </c>
    </row>
    <row r="985" spans="1:6" x14ac:dyDescent="0.25">
      <c r="A985" s="137" t="s">
        <v>15041</v>
      </c>
      <c r="B985" s="137" t="s">
        <v>335</v>
      </c>
      <c r="C985" s="137" t="s">
        <v>5089</v>
      </c>
      <c r="D985" s="338">
        <v>6113</v>
      </c>
      <c r="E985" s="137">
        <v>4198</v>
      </c>
      <c r="F985" s="137">
        <v>-202</v>
      </c>
    </row>
    <row r="986" spans="1:6" x14ac:dyDescent="0.25">
      <c r="A986" s="137" t="s">
        <v>14733</v>
      </c>
      <c r="B986" s="137" t="s">
        <v>335</v>
      </c>
      <c r="C986" s="137" t="s">
        <v>147</v>
      </c>
      <c r="D986" s="338">
        <v>6582</v>
      </c>
      <c r="E986" s="137">
        <v>3538</v>
      </c>
      <c r="F986" s="137">
        <v>238</v>
      </c>
    </row>
    <row r="987" spans="1:6" x14ac:dyDescent="0.25">
      <c r="A987" s="137" t="s">
        <v>14286</v>
      </c>
      <c r="B987" s="137" t="s">
        <v>335</v>
      </c>
      <c r="C987" s="137" t="s">
        <v>4032</v>
      </c>
      <c r="D987" s="338">
        <v>14393</v>
      </c>
      <c r="E987" s="137">
        <v>2224</v>
      </c>
      <c r="F987" s="137">
        <v>1124</v>
      </c>
    </row>
    <row r="988" spans="1:6" x14ac:dyDescent="0.25">
      <c r="A988" s="137" t="s">
        <v>14822</v>
      </c>
      <c r="B988" s="137" t="s">
        <v>335</v>
      </c>
      <c r="C988" s="137" t="s">
        <v>145</v>
      </c>
      <c r="D988" s="338">
        <v>7515</v>
      </c>
      <c r="E988" s="137">
        <v>3366</v>
      </c>
      <c r="F988" s="137">
        <v>1166</v>
      </c>
    </row>
    <row r="989" spans="1:6" x14ac:dyDescent="0.25">
      <c r="A989" s="137" t="s">
        <v>14394</v>
      </c>
      <c r="B989" s="137" t="s">
        <v>335</v>
      </c>
      <c r="C989" s="137" t="s">
        <v>5563</v>
      </c>
      <c r="D989" s="338">
        <v>9491</v>
      </c>
      <c r="E989" s="137">
        <v>2400</v>
      </c>
      <c r="F989" s="137">
        <v>1300</v>
      </c>
    </row>
    <row r="990" spans="1:6" x14ac:dyDescent="0.25">
      <c r="A990" s="137" t="s">
        <v>14814</v>
      </c>
      <c r="B990" s="137" t="s">
        <v>335</v>
      </c>
      <c r="C990" s="137" t="s">
        <v>4943</v>
      </c>
      <c r="D990" s="338">
        <v>7230</v>
      </c>
      <c r="E990" s="137">
        <v>2421</v>
      </c>
      <c r="F990" s="137">
        <v>221</v>
      </c>
    </row>
    <row r="991" spans="1:6" x14ac:dyDescent="0.25">
      <c r="A991" s="137" t="s">
        <v>14824</v>
      </c>
      <c r="B991" s="137" t="s">
        <v>335</v>
      </c>
      <c r="C991" s="137" t="s">
        <v>143</v>
      </c>
      <c r="D991" s="338">
        <v>7624</v>
      </c>
      <c r="E991" s="137">
        <v>3004</v>
      </c>
      <c r="F991" s="137">
        <v>804</v>
      </c>
    </row>
    <row r="992" spans="1:6" x14ac:dyDescent="0.25">
      <c r="A992" s="137" t="s">
        <v>14318</v>
      </c>
      <c r="B992" s="137" t="s">
        <v>335</v>
      </c>
      <c r="C992" s="137" t="s">
        <v>5762</v>
      </c>
      <c r="D992" s="338">
        <v>8044</v>
      </c>
      <c r="E992" s="137">
        <v>2764</v>
      </c>
      <c r="F992" s="137">
        <v>564</v>
      </c>
    </row>
    <row r="993" spans="1:6" x14ac:dyDescent="0.25">
      <c r="A993" s="137" t="s">
        <v>14517</v>
      </c>
      <c r="B993" s="137" t="s">
        <v>335</v>
      </c>
      <c r="C993" s="137" t="s">
        <v>5706</v>
      </c>
      <c r="D993" s="338">
        <v>2509</v>
      </c>
      <c r="E993" s="137">
        <v>2602</v>
      </c>
      <c r="F993" s="137">
        <v>402</v>
      </c>
    </row>
    <row r="994" spans="1:6" x14ac:dyDescent="0.25">
      <c r="A994" s="137" t="s">
        <v>14586</v>
      </c>
      <c r="B994" s="137" t="s">
        <v>335</v>
      </c>
      <c r="C994" s="137" t="s">
        <v>140</v>
      </c>
      <c r="D994" s="338">
        <v>1661</v>
      </c>
      <c r="E994" s="137">
        <v>3177</v>
      </c>
      <c r="F994" s="137">
        <v>977</v>
      </c>
    </row>
    <row r="995" spans="1:6" x14ac:dyDescent="0.25">
      <c r="A995" s="137" t="s">
        <v>14458</v>
      </c>
      <c r="B995" s="137" t="s">
        <v>335</v>
      </c>
      <c r="C995" s="137" t="s">
        <v>137</v>
      </c>
      <c r="D995" s="338">
        <v>9522</v>
      </c>
      <c r="E995" s="137">
        <v>4689</v>
      </c>
      <c r="F995" s="137">
        <v>289</v>
      </c>
    </row>
    <row r="996" spans="1:6" x14ac:dyDescent="0.25">
      <c r="A996" s="137" t="s">
        <v>14378</v>
      </c>
      <c r="B996" s="137" t="s">
        <v>335</v>
      </c>
      <c r="C996" s="137" t="s">
        <v>132</v>
      </c>
      <c r="D996" s="338">
        <v>9169</v>
      </c>
      <c r="E996" s="137">
        <v>2307</v>
      </c>
      <c r="F996" s="137">
        <v>1207</v>
      </c>
    </row>
    <row r="997" spans="1:6" x14ac:dyDescent="0.25">
      <c r="A997" s="137" t="s">
        <v>14258</v>
      </c>
      <c r="B997" s="137" t="s">
        <v>335</v>
      </c>
      <c r="C997" s="137" t="s">
        <v>3481</v>
      </c>
      <c r="D997" s="338">
        <v>12185</v>
      </c>
      <c r="E997" s="137">
        <v>3035</v>
      </c>
      <c r="F997" s="137">
        <v>835</v>
      </c>
    </row>
    <row r="998" spans="1:6" x14ac:dyDescent="0.25">
      <c r="A998" s="137" t="s">
        <v>14341</v>
      </c>
      <c r="B998" s="137" t="s">
        <v>335</v>
      </c>
      <c r="C998" s="137" t="s">
        <v>5620</v>
      </c>
      <c r="D998" s="338">
        <v>8638</v>
      </c>
      <c r="E998" s="137">
        <v>2505</v>
      </c>
      <c r="F998" s="137">
        <v>305</v>
      </c>
    </row>
    <row r="999" spans="1:6" x14ac:dyDescent="0.25">
      <c r="A999" s="137" t="s">
        <v>14752</v>
      </c>
      <c r="B999" s="137" t="s">
        <v>335</v>
      </c>
      <c r="C999" s="137" t="s">
        <v>130</v>
      </c>
      <c r="D999" s="338">
        <v>5786</v>
      </c>
      <c r="E999" s="137">
        <v>4200</v>
      </c>
      <c r="F999" s="137">
        <v>900</v>
      </c>
    </row>
    <row r="1000" spans="1:6" x14ac:dyDescent="0.25">
      <c r="A1000" s="137" t="s">
        <v>14257</v>
      </c>
      <c r="B1000" s="137" t="s">
        <v>335</v>
      </c>
      <c r="C1000" s="137" t="s">
        <v>3225</v>
      </c>
      <c r="D1000" s="338">
        <v>12241</v>
      </c>
      <c r="E1000" s="137">
        <v>3000</v>
      </c>
      <c r="F1000" s="137">
        <v>800</v>
      </c>
    </row>
    <row r="1001" spans="1:6" x14ac:dyDescent="0.25">
      <c r="A1001" s="137" t="s">
        <v>14832</v>
      </c>
      <c r="B1001" s="137" t="s">
        <v>335</v>
      </c>
      <c r="C1001" s="137" t="s">
        <v>128</v>
      </c>
      <c r="D1001" s="338">
        <v>7812</v>
      </c>
      <c r="E1001" s="137">
        <v>3143</v>
      </c>
      <c r="F1001" s="137">
        <v>943</v>
      </c>
    </row>
    <row r="1002" spans="1:6" x14ac:dyDescent="0.25">
      <c r="A1002" s="137" t="s">
        <v>14276</v>
      </c>
      <c r="B1002" s="137" t="s">
        <v>335</v>
      </c>
      <c r="C1002" s="137" t="s">
        <v>126</v>
      </c>
      <c r="D1002" s="338">
        <v>12192</v>
      </c>
      <c r="E1002" s="137">
        <v>3124</v>
      </c>
      <c r="F1002" s="137">
        <v>924</v>
      </c>
    </row>
    <row r="1003" spans="1:6" x14ac:dyDescent="0.25">
      <c r="A1003" s="137" t="s">
        <v>14302</v>
      </c>
      <c r="B1003" s="137" t="s">
        <v>335</v>
      </c>
      <c r="C1003" s="137" t="s">
        <v>124</v>
      </c>
      <c r="D1003" s="338">
        <v>7687</v>
      </c>
      <c r="E1003" s="137">
        <v>2618</v>
      </c>
      <c r="F1003" s="137">
        <v>418</v>
      </c>
    </row>
    <row r="1004" spans="1:6" x14ac:dyDescent="0.25">
      <c r="A1004" s="137" t="s">
        <v>14406</v>
      </c>
      <c r="B1004" s="137" t="s">
        <v>335</v>
      </c>
      <c r="C1004" s="137" t="s">
        <v>5734</v>
      </c>
      <c r="D1004" s="338">
        <v>9732</v>
      </c>
      <c r="E1004" s="137">
        <v>2726</v>
      </c>
      <c r="F1004" s="137">
        <v>526</v>
      </c>
    </row>
    <row r="1005" spans="1:6" x14ac:dyDescent="0.25">
      <c r="A1005" s="137" t="s">
        <v>14758</v>
      </c>
      <c r="B1005" s="137" t="s">
        <v>335</v>
      </c>
      <c r="C1005" s="137" t="s">
        <v>122</v>
      </c>
      <c r="D1005" s="338">
        <v>5821</v>
      </c>
      <c r="E1005" s="137">
        <v>3958</v>
      </c>
      <c r="F1005" s="137">
        <v>658</v>
      </c>
    </row>
    <row r="1006" spans="1:6" x14ac:dyDescent="0.25">
      <c r="A1006" s="137" t="s">
        <v>14652</v>
      </c>
      <c r="B1006" s="137" t="s">
        <v>335</v>
      </c>
      <c r="C1006" s="137" t="s">
        <v>120</v>
      </c>
      <c r="D1006" s="338">
        <v>3126</v>
      </c>
      <c r="E1006" s="137">
        <v>3302</v>
      </c>
      <c r="F1006" s="137">
        <v>1102</v>
      </c>
    </row>
    <row r="1007" spans="1:6" x14ac:dyDescent="0.25">
      <c r="A1007" s="137" t="s">
        <v>14269</v>
      </c>
      <c r="B1007" s="137" t="s">
        <v>335</v>
      </c>
      <c r="C1007" s="137" t="s">
        <v>4973</v>
      </c>
      <c r="D1007" s="338">
        <v>9748</v>
      </c>
      <c r="E1007" s="137">
        <v>3277</v>
      </c>
      <c r="F1007" s="137">
        <v>1077</v>
      </c>
    </row>
    <row r="1008" spans="1:6" x14ac:dyDescent="0.25">
      <c r="A1008" s="137" t="s">
        <v>14701</v>
      </c>
      <c r="B1008" s="137" t="s">
        <v>335</v>
      </c>
      <c r="C1008" s="137" t="s">
        <v>117</v>
      </c>
      <c r="D1008" s="338">
        <v>7507</v>
      </c>
      <c r="E1008" s="137">
        <v>3944</v>
      </c>
      <c r="F1008" s="137">
        <v>644</v>
      </c>
    </row>
    <row r="1009" spans="1:6" x14ac:dyDescent="0.25">
      <c r="A1009" s="137" t="s">
        <v>14238</v>
      </c>
      <c r="B1009" s="137" t="s">
        <v>335</v>
      </c>
      <c r="C1009" s="137" t="s">
        <v>3553</v>
      </c>
      <c r="D1009" s="338">
        <v>10150</v>
      </c>
      <c r="E1009" s="137">
        <v>2901</v>
      </c>
      <c r="F1009" s="137">
        <v>701</v>
      </c>
    </row>
    <row r="1010" spans="1:6" x14ac:dyDescent="0.25">
      <c r="A1010" s="137" t="s">
        <v>14486</v>
      </c>
      <c r="B1010" s="137" t="s">
        <v>335</v>
      </c>
      <c r="C1010" s="137" t="s">
        <v>5602</v>
      </c>
      <c r="D1010" s="338">
        <v>1687</v>
      </c>
      <c r="E1010" s="137">
        <v>3055</v>
      </c>
      <c r="F1010" s="137">
        <v>855</v>
      </c>
    </row>
    <row r="1011" spans="1:6" x14ac:dyDescent="0.25">
      <c r="A1011" s="137" t="s">
        <v>14456</v>
      </c>
      <c r="B1011" s="137" t="s">
        <v>335</v>
      </c>
      <c r="C1011" s="137" t="s">
        <v>4990</v>
      </c>
      <c r="D1011" s="338">
        <v>9107</v>
      </c>
      <c r="E1011" s="137">
        <v>2758</v>
      </c>
      <c r="F1011" s="137">
        <v>558</v>
      </c>
    </row>
    <row r="1012" spans="1:6" x14ac:dyDescent="0.25">
      <c r="A1012" s="137" t="s">
        <v>14481</v>
      </c>
      <c r="B1012" s="137" t="s">
        <v>335</v>
      </c>
      <c r="C1012" s="137" t="s">
        <v>5323</v>
      </c>
      <c r="D1012" s="338">
        <v>10823</v>
      </c>
      <c r="E1012" s="137">
        <v>3467</v>
      </c>
      <c r="F1012" s="137">
        <v>1267</v>
      </c>
    </row>
    <row r="1013" spans="1:6" x14ac:dyDescent="0.25">
      <c r="A1013" s="137" t="s">
        <v>14452</v>
      </c>
      <c r="B1013" s="137" t="s">
        <v>335</v>
      </c>
      <c r="C1013" s="137" t="s">
        <v>4977</v>
      </c>
      <c r="D1013" s="338">
        <v>9298</v>
      </c>
      <c r="E1013" s="137">
        <v>3249</v>
      </c>
      <c r="F1013" s="137">
        <v>1049</v>
      </c>
    </row>
    <row r="1014" spans="1:6" x14ac:dyDescent="0.25">
      <c r="A1014" s="137" t="s">
        <v>14895</v>
      </c>
      <c r="B1014" s="137" t="s">
        <v>335</v>
      </c>
      <c r="C1014" s="137" t="s">
        <v>5497</v>
      </c>
      <c r="D1014" s="338">
        <v>6921</v>
      </c>
      <c r="E1014" s="137">
        <v>2965</v>
      </c>
      <c r="F1014" s="137">
        <v>765</v>
      </c>
    </row>
    <row r="1015" spans="1:6" x14ac:dyDescent="0.25">
      <c r="A1015" s="137" t="s">
        <v>14737</v>
      </c>
      <c r="B1015" s="137" t="s">
        <v>335</v>
      </c>
      <c r="C1015" s="137" t="s">
        <v>114</v>
      </c>
      <c r="D1015" s="338">
        <v>6838</v>
      </c>
      <c r="E1015" s="137">
        <v>4062</v>
      </c>
      <c r="F1015" s="137">
        <v>762</v>
      </c>
    </row>
    <row r="1016" spans="1:6" x14ac:dyDescent="0.25">
      <c r="A1016" s="137" t="s">
        <v>14477</v>
      </c>
      <c r="B1016" s="137" t="s">
        <v>335</v>
      </c>
      <c r="C1016" s="137" t="s">
        <v>5210</v>
      </c>
      <c r="D1016" s="338">
        <v>10869</v>
      </c>
      <c r="E1016" s="137">
        <v>3233</v>
      </c>
      <c r="F1016" s="137">
        <v>1033</v>
      </c>
    </row>
    <row r="1017" spans="1:6" x14ac:dyDescent="0.25">
      <c r="A1017" s="137" t="s">
        <v>14236</v>
      </c>
      <c r="B1017" s="137" t="s">
        <v>335</v>
      </c>
      <c r="C1017" s="137" t="s">
        <v>5425</v>
      </c>
      <c r="D1017" s="338">
        <v>9694</v>
      </c>
      <c r="E1017" s="137">
        <v>3409</v>
      </c>
      <c r="F1017" s="137">
        <v>1209</v>
      </c>
    </row>
    <row r="1018" spans="1:6" x14ac:dyDescent="0.25">
      <c r="A1018" s="137" t="s">
        <v>14843</v>
      </c>
      <c r="B1018" s="137" t="s">
        <v>335</v>
      </c>
      <c r="C1018" s="137" t="s">
        <v>113</v>
      </c>
      <c r="D1018" s="338">
        <v>6484</v>
      </c>
      <c r="E1018" s="137">
        <v>4757</v>
      </c>
      <c r="F1018" s="137">
        <v>357</v>
      </c>
    </row>
    <row r="1019" spans="1:6" x14ac:dyDescent="0.25">
      <c r="A1019" s="137" t="s">
        <v>14961</v>
      </c>
      <c r="B1019" s="137" t="s">
        <v>335</v>
      </c>
      <c r="C1019" s="137" t="s">
        <v>3078</v>
      </c>
      <c r="D1019" s="338">
        <v>4638</v>
      </c>
      <c r="E1019" s="137">
        <v>3313</v>
      </c>
      <c r="F1019" s="137">
        <v>1113</v>
      </c>
    </row>
    <row r="1020" spans="1:6" x14ac:dyDescent="0.25">
      <c r="A1020" s="137" t="s">
        <v>15018</v>
      </c>
      <c r="B1020" s="137" t="s">
        <v>335</v>
      </c>
      <c r="C1020" s="137" t="s">
        <v>4445</v>
      </c>
      <c r="D1020" s="338">
        <v>3331</v>
      </c>
      <c r="E1020" s="137">
        <v>3622</v>
      </c>
      <c r="F1020" s="137">
        <v>322</v>
      </c>
    </row>
    <row r="1021" spans="1:6" x14ac:dyDescent="0.25">
      <c r="A1021" s="137" t="s">
        <v>14384</v>
      </c>
      <c r="B1021" s="137" t="s">
        <v>335</v>
      </c>
      <c r="C1021" s="137" t="s">
        <v>5491</v>
      </c>
      <c r="D1021" s="338">
        <v>9266</v>
      </c>
      <c r="E1021" s="137">
        <v>2368</v>
      </c>
      <c r="F1021" s="137">
        <v>2368</v>
      </c>
    </row>
    <row r="1022" spans="1:6" x14ac:dyDescent="0.25">
      <c r="A1022" s="137" t="s">
        <v>14879</v>
      </c>
      <c r="B1022" s="137" t="s">
        <v>335</v>
      </c>
      <c r="C1022" s="137" t="s">
        <v>110</v>
      </c>
      <c r="D1022" s="338">
        <v>3462</v>
      </c>
      <c r="E1022" s="137">
        <v>4204</v>
      </c>
      <c r="F1022" s="137">
        <v>904</v>
      </c>
    </row>
    <row r="1023" spans="1:6" x14ac:dyDescent="0.25">
      <c r="A1023" s="137" t="s">
        <v>14970</v>
      </c>
      <c r="B1023" s="137" t="s">
        <v>335</v>
      </c>
      <c r="C1023" s="137" t="s">
        <v>4979</v>
      </c>
      <c r="D1023" s="338">
        <v>8648</v>
      </c>
      <c r="E1023" s="137">
        <v>2697</v>
      </c>
      <c r="F1023" s="137">
        <v>497</v>
      </c>
    </row>
    <row r="1024" spans="1:6" x14ac:dyDescent="0.25">
      <c r="A1024" s="137" t="s">
        <v>14853</v>
      </c>
      <c r="B1024" s="137" t="s">
        <v>335</v>
      </c>
      <c r="C1024" s="137" t="s">
        <v>1904</v>
      </c>
      <c r="D1024" s="338">
        <v>3958</v>
      </c>
      <c r="E1024" s="137">
        <v>3479</v>
      </c>
      <c r="F1024" s="137">
        <v>1279</v>
      </c>
    </row>
    <row r="1025" spans="1:6" x14ac:dyDescent="0.25">
      <c r="A1025" s="137" t="s">
        <v>14454</v>
      </c>
      <c r="B1025" s="137" t="s">
        <v>335</v>
      </c>
      <c r="C1025" s="137" t="s">
        <v>4922</v>
      </c>
      <c r="D1025" s="338">
        <v>10909</v>
      </c>
      <c r="E1025" s="137">
        <v>3759</v>
      </c>
      <c r="F1025" s="137">
        <v>459</v>
      </c>
    </row>
    <row r="1026" spans="1:6" x14ac:dyDescent="0.25">
      <c r="A1026" s="137" t="s">
        <v>14411</v>
      </c>
      <c r="B1026" s="137" t="s">
        <v>335</v>
      </c>
      <c r="C1026" s="137" t="s">
        <v>5651</v>
      </c>
      <c r="D1026" s="338">
        <v>9933</v>
      </c>
      <c r="E1026" s="137">
        <v>2578</v>
      </c>
      <c r="F1026" s="137">
        <v>378</v>
      </c>
    </row>
    <row r="1027" spans="1:6" x14ac:dyDescent="0.25">
      <c r="A1027" s="137" t="s">
        <v>14923</v>
      </c>
      <c r="B1027" s="137" t="s">
        <v>335</v>
      </c>
      <c r="C1027" s="137" t="s">
        <v>5457</v>
      </c>
      <c r="D1027" s="338">
        <v>1734</v>
      </c>
      <c r="E1027" s="137">
        <v>3589</v>
      </c>
      <c r="F1027" s="137">
        <v>289</v>
      </c>
    </row>
    <row r="1028" spans="1:6" x14ac:dyDescent="0.25">
      <c r="A1028" s="137" t="s">
        <v>14246</v>
      </c>
      <c r="B1028" s="137" t="s">
        <v>335</v>
      </c>
      <c r="C1028" s="137" t="s">
        <v>103</v>
      </c>
      <c r="D1028" s="338">
        <v>14151</v>
      </c>
      <c r="E1028" s="137">
        <v>2692</v>
      </c>
      <c r="F1028" s="137">
        <v>492</v>
      </c>
    </row>
    <row r="1029" spans="1:6" x14ac:dyDescent="0.25">
      <c r="A1029" s="137" t="s">
        <v>14817</v>
      </c>
      <c r="B1029" s="137" t="s">
        <v>335</v>
      </c>
      <c r="C1029" s="137" t="s">
        <v>5204</v>
      </c>
      <c r="D1029" s="338">
        <v>7332</v>
      </c>
      <c r="E1029" s="137">
        <v>2524</v>
      </c>
      <c r="F1029" s="137">
        <v>324</v>
      </c>
    </row>
    <row r="1030" spans="1:6" x14ac:dyDescent="0.25">
      <c r="A1030" s="137" t="s">
        <v>14453</v>
      </c>
      <c r="B1030" s="137" t="s">
        <v>335</v>
      </c>
      <c r="C1030" s="137" t="s">
        <v>5147</v>
      </c>
      <c r="D1030" s="338">
        <v>9387</v>
      </c>
      <c r="E1030" s="137">
        <v>3315</v>
      </c>
      <c r="F1030" s="137">
        <v>1115</v>
      </c>
    </row>
    <row r="1031" spans="1:6" x14ac:dyDescent="0.25">
      <c r="A1031" s="137" t="s">
        <v>14334</v>
      </c>
      <c r="B1031" s="137" t="s">
        <v>335</v>
      </c>
      <c r="C1031" s="137" t="s">
        <v>5717</v>
      </c>
      <c r="D1031" s="338">
        <v>8431</v>
      </c>
      <c r="E1031" s="137">
        <v>2677</v>
      </c>
      <c r="F1031" s="137">
        <v>477</v>
      </c>
    </row>
    <row r="1032" spans="1:6" x14ac:dyDescent="0.25">
      <c r="A1032" s="137" t="s">
        <v>14397</v>
      </c>
      <c r="B1032" s="137" t="s">
        <v>335</v>
      </c>
      <c r="C1032" s="137" t="s">
        <v>5737</v>
      </c>
      <c r="D1032" s="338">
        <v>9505</v>
      </c>
      <c r="E1032" s="137">
        <v>2731</v>
      </c>
      <c r="F1032" s="137">
        <v>531</v>
      </c>
    </row>
    <row r="1033" spans="1:6" x14ac:dyDescent="0.25">
      <c r="A1033" s="137" t="s">
        <v>14955</v>
      </c>
      <c r="B1033" s="137" t="s">
        <v>335</v>
      </c>
      <c r="C1033" s="137" t="s">
        <v>100</v>
      </c>
      <c r="D1033" s="338">
        <v>7686</v>
      </c>
      <c r="E1033" s="137">
        <v>3983</v>
      </c>
      <c r="F1033" s="137">
        <v>683</v>
      </c>
    </row>
    <row r="1034" spans="1:6" x14ac:dyDescent="0.25">
      <c r="A1034" s="137" t="s">
        <v>14738</v>
      </c>
      <c r="B1034" s="137" t="s">
        <v>335</v>
      </c>
      <c r="C1034" s="137" t="s">
        <v>97</v>
      </c>
      <c r="D1034" s="338">
        <v>6805</v>
      </c>
      <c r="E1034" s="137">
        <v>3937</v>
      </c>
      <c r="F1034" s="137">
        <v>637</v>
      </c>
    </row>
    <row r="1035" spans="1:6" x14ac:dyDescent="0.25">
      <c r="A1035" s="137" t="s">
        <v>14765</v>
      </c>
      <c r="B1035" s="137" t="s">
        <v>335</v>
      </c>
      <c r="C1035" s="137" t="s">
        <v>95</v>
      </c>
      <c r="D1035" s="338">
        <v>6069</v>
      </c>
      <c r="E1035" s="137">
        <v>3477</v>
      </c>
      <c r="F1035" s="137">
        <v>1277</v>
      </c>
    </row>
    <row r="1036" spans="1:6" x14ac:dyDescent="0.25">
      <c r="A1036" s="137" t="s">
        <v>14889</v>
      </c>
      <c r="B1036" s="137" t="s">
        <v>335</v>
      </c>
      <c r="C1036" s="137" t="s">
        <v>93</v>
      </c>
      <c r="D1036" s="338">
        <v>8402</v>
      </c>
      <c r="E1036" s="137">
        <v>3354</v>
      </c>
      <c r="F1036" s="137">
        <v>1154</v>
      </c>
    </row>
    <row r="1037" spans="1:6" x14ac:dyDescent="0.25">
      <c r="A1037" s="137" t="s">
        <v>14393</v>
      </c>
      <c r="B1037" s="137" t="s">
        <v>335</v>
      </c>
      <c r="C1037" s="137" t="s">
        <v>5534</v>
      </c>
      <c r="D1037" s="338">
        <v>9525</v>
      </c>
      <c r="E1037" s="137">
        <v>2368</v>
      </c>
      <c r="F1037" s="137">
        <v>1268</v>
      </c>
    </row>
    <row r="1038" spans="1:6" x14ac:dyDescent="0.25">
      <c r="A1038" s="137" t="s">
        <v>14474</v>
      </c>
      <c r="B1038" s="137" t="s">
        <v>335</v>
      </c>
      <c r="C1038" s="137" t="s">
        <v>5114</v>
      </c>
      <c r="D1038" s="338">
        <v>10759</v>
      </c>
      <c r="E1038" s="137">
        <v>3244</v>
      </c>
      <c r="F1038" s="137">
        <v>1044</v>
      </c>
    </row>
    <row r="1039" spans="1:6" x14ac:dyDescent="0.25">
      <c r="A1039" s="137" t="s">
        <v>14439</v>
      </c>
      <c r="B1039" s="137" t="s">
        <v>335</v>
      </c>
      <c r="C1039" s="137" t="s">
        <v>5298</v>
      </c>
      <c r="D1039" s="338">
        <v>10998</v>
      </c>
      <c r="E1039" s="137">
        <v>3323</v>
      </c>
      <c r="F1039" s="137">
        <v>1123</v>
      </c>
    </row>
    <row r="1040" spans="1:6" x14ac:dyDescent="0.25">
      <c r="A1040" s="137" t="s">
        <v>14483</v>
      </c>
      <c r="B1040" s="137" t="s">
        <v>335</v>
      </c>
      <c r="C1040" s="137" t="s">
        <v>5532</v>
      </c>
      <c r="D1040" s="338">
        <v>9173</v>
      </c>
      <c r="E1040" s="137">
        <v>2671</v>
      </c>
      <c r="F1040" s="137">
        <v>471</v>
      </c>
    </row>
    <row r="1041" spans="1:6" x14ac:dyDescent="0.25">
      <c r="A1041" s="137" t="s">
        <v>14757</v>
      </c>
      <c r="B1041" s="137" t="s">
        <v>335</v>
      </c>
      <c r="C1041" s="137" t="s">
        <v>4750</v>
      </c>
      <c r="D1041" s="338">
        <v>5814</v>
      </c>
      <c r="E1041" s="137">
        <v>2913</v>
      </c>
      <c r="F1041" s="137">
        <v>713</v>
      </c>
    </row>
    <row r="1042" spans="1:6" x14ac:dyDescent="0.25">
      <c r="A1042" s="137" t="s">
        <v>14362</v>
      </c>
      <c r="B1042" s="137" t="s">
        <v>335</v>
      </c>
      <c r="C1042" s="137" t="s">
        <v>5676</v>
      </c>
      <c r="D1042" s="338">
        <v>8947</v>
      </c>
      <c r="E1042" s="137">
        <v>2562</v>
      </c>
      <c r="F1042" s="137">
        <v>362</v>
      </c>
    </row>
    <row r="1043" spans="1:6" x14ac:dyDescent="0.25">
      <c r="A1043" s="137" t="s">
        <v>14999</v>
      </c>
      <c r="B1043" s="137" t="s">
        <v>335</v>
      </c>
      <c r="C1043" s="137" t="s">
        <v>1965</v>
      </c>
      <c r="D1043" s="338">
        <v>8020</v>
      </c>
      <c r="E1043" s="137">
        <v>3220</v>
      </c>
      <c r="F1043" s="137">
        <v>1020</v>
      </c>
    </row>
    <row r="1044" spans="1:6" x14ac:dyDescent="0.25">
      <c r="A1044" s="137" t="s">
        <v>14239</v>
      </c>
      <c r="B1044" s="137" t="s">
        <v>335</v>
      </c>
      <c r="C1044" s="137" t="s">
        <v>5509</v>
      </c>
      <c r="D1044" s="338">
        <v>10343</v>
      </c>
      <c r="E1044" s="137">
        <v>3797</v>
      </c>
      <c r="F1044" s="137">
        <v>497</v>
      </c>
    </row>
    <row r="1045" spans="1:6" x14ac:dyDescent="0.25">
      <c r="A1045" s="137" t="s">
        <v>15015</v>
      </c>
      <c r="B1045" s="137" t="s">
        <v>335</v>
      </c>
      <c r="C1045" s="137" t="s">
        <v>5513</v>
      </c>
      <c r="D1045" s="338">
        <v>3064</v>
      </c>
      <c r="E1045" s="137">
        <v>4502</v>
      </c>
      <c r="F1045" s="137">
        <v>1202</v>
      </c>
    </row>
    <row r="1046" spans="1:6" x14ac:dyDescent="0.25">
      <c r="A1046" s="137" t="s">
        <v>14333</v>
      </c>
      <c r="B1046" s="137" t="s">
        <v>335</v>
      </c>
      <c r="C1046" s="137" t="s">
        <v>5606</v>
      </c>
      <c r="D1046" s="338">
        <v>8459</v>
      </c>
      <c r="E1046" s="137">
        <v>2500</v>
      </c>
      <c r="F1046" s="137">
        <v>300</v>
      </c>
    </row>
    <row r="1047" spans="1:6" x14ac:dyDescent="0.25">
      <c r="A1047" s="137" t="s">
        <v>14684</v>
      </c>
      <c r="B1047" s="137" t="s">
        <v>335</v>
      </c>
      <c r="C1047" s="137" t="s">
        <v>84</v>
      </c>
      <c r="D1047" s="338">
        <v>2482</v>
      </c>
      <c r="E1047" s="137">
        <v>3004</v>
      </c>
      <c r="F1047" s="137">
        <v>804</v>
      </c>
    </row>
    <row r="1048" spans="1:6" x14ac:dyDescent="0.25">
      <c r="A1048" s="137" t="s">
        <v>14538</v>
      </c>
      <c r="B1048" s="137" t="s">
        <v>335</v>
      </c>
      <c r="C1048" s="137" t="s">
        <v>5585</v>
      </c>
      <c r="D1048" s="338">
        <v>2081</v>
      </c>
      <c r="E1048" s="137">
        <v>2744</v>
      </c>
      <c r="F1048" s="137">
        <v>544</v>
      </c>
    </row>
    <row r="1049" spans="1:6" x14ac:dyDescent="0.25">
      <c r="A1049" s="137" t="s">
        <v>14792</v>
      </c>
      <c r="B1049" s="137" t="s">
        <v>335</v>
      </c>
      <c r="C1049" s="137" t="s">
        <v>81</v>
      </c>
      <c r="D1049" s="338">
        <v>9748</v>
      </c>
      <c r="E1049" s="137">
        <v>4120</v>
      </c>
      <c r="F1049" s="137">
        <v>820</v>
      </c>
    </row>
    <row r="1050" spans="1:6" x14ac:dyDescent="0.25">
      <c r="A1050" s="137" t="s">
        <v>14767</v>
      </c>
      <c r="B1050" s="137" t="s">
        <v>335</v>
      </c>
      <c r="C1050" s="137" t="s">
        <v>74</v>
      </c>
      <c r="D1050" s="338">
        <v>3692</v>
      </c>
      <c r="E1050" s="137">
        <v>4149</v>
      </c>
      <c r="F1050" s="137">
        <v>849</v>
      </c>
    </row>
    <row r="1051" spans="1:6" x14ac:dyDescent="0.25">
      <c r="A1051" s="137" t="s">
        <v>14281</v>
      </c>
      <c r="B1051" s="137" t="s">
        <v>335</v>
      </c>
      <c r="C1051" s="137" t="s">
        <v>71</v>
      </c>
      <c r="D1051" s="338">
        <v>14484</v>
      </c>
      <c r="E1051" s="137">
        <v>2728</v>
      </c>
      <c r="F1051" s="137">
        <v>528</v>
      </c>
    </row>
    <row r="1052" spans="1:6" x14ac:dyDescent="0.25">
      <c r="A1052" s="137" t="s">
        <v>14747</v>
      </c>
      <c r="B1052" s="137" t="s">
        <v>335</v>
      </c>
      <c r="C1052" s="137" t="s">
        <v>68</v>
      </c>
      <c r="D1052" s="338">
        <v>7181</v>
      </c>
      <c r="E1052" s="137">
        <v>3397</v>
      </c>
      <c r="F1052" s="137">
        <v>1197</v>
      </c>
    </row>
    <row r="1053" spans="1:6" x14ac:dyDescent="0.25">
      <c r="A1053" s="137" t="s">
        <v>14745</v>
      </c>
      <c r="B1053" s="137" t="s">
        <v>335</v>
      </c>
      <c r="C1053" s="137" t="s">
        <v>65</v>
      </c>
      <c r="D1053" s="338">
        <v>7075</v>
      </c>
      <c r="E1053" s="137">
        <v>3926</v>
      </c>
      <c r="F1053" s="137">
        <v>626</v>
      </c>
    </row>
    <row r="1054" spans="1:6" x14ac:dyDescent="0.25">
      <c r="A1054" s="137" t="s">
        <v>14725</v>
      </c>
      <c r="B1054" s="137" t="s">
        <v>335</v>
      </c>
      <c r="C1054" s="137" t="s">
        <v>63</v>
      </c>
      <c r="D1054" s="338">
        <v>6322</v>
      </c>
      <c r="E1054" s="137">
        <v>3508</v>
      </c>
      <c r="F1054" s="137">
        <v>1308</v>
      </c>
    </row>
    <row r="1055" spans="1:6" x14ac:dyDescent="0.25">
      <c r="A1055" s="137" t="s">
        <v>15012</v>
      </c>
      <c r="B1055" s="137" t="s">
        <v>335</v>
      </c>
      <c r="C1055" s="137" t="s">
        <v>3373</v>
      </c>
      <c r="D1055" s="338">
        <v>2882</v>
      </c>
      <c r="E1055" s="137">
        <v>3420</v>
      </c>
      <c r="F1055" s="137">
        <v>1220</v>
      </c>
    </row>
    <row r="1056" spans="1:6" x14ac:dyDescent="0.25">
      <c r="A1056" s="137" t="s">
        <v>14664</v>
      </c>
      <c r="B1056" s="137" t="s">
        <v>335</v>
      </c>
      <c r="C1056" s="137" t="s">
        <v>5277</v>
      </c>
      <c r="D1056" s="338">
        <v>5208</v>
      </c>
      <c r="E1056" s="137">
        <v>2385</v>
      </c>
      <c r="F1056" s="137">
        <v>1285</v>
      </c>
    </row>
    <row r="1057" spans="1:6" x14ac:dyDescent="0.25">
      <c r="A1057" s="137" t="s">
        <v>14666</v>
      </c>
      <c r="B1057" s="137" t="s">
        <v>335</v>
      </c>
      <c r="C1057" s="137" t="s">
        <v>5536</v>
      </c>
      <c r="D1057" s="338">
        <v>5261</v>
      </c>
      <c r="E1057" s="137">
        <v>2581</v>
      </c>
      <c r="F1057" s="137">
        <v>381</v>
      </c>
    </row>
    <row r="1058" spans="1:6" x14ac:dyDescent="0.25">
      <c r="A1058" s="137" t="s">
        <v>14798</v>
      </c>
      <c r="B1058" s="137" t="s">
        <v>335</v>
      </c>
      <c r="C1058" s="137" t="s">
        <v>58</v>
      </c>
      <c r="D1058" s="338">
        <v>2419</v>
      </c>
      <c r="E1058" s="137">
        <v>3842</v>
      </c>
      <c r="F1058" s="137">
        <v>542</v>
      </c>
    </row>
    <row r="1059" spans="1:6" x14ac:dyDescent="0.25">
      <c r="A1059" s="137" t="s">
        <v>14462</v>
      </c>
      <c r="B1059" s="137" t="s">
        <v>335</v>
      </c>
      <c r="C1059" s="137" t="s">
        <v>5269</v>
      </c>
      <c r="D1059" s="338">
        <v>9949</v>
      </c>
      <c r="E1059" s="137">
        <v>3071</v>
      </c>
      <c r="F1059" s="137">
        <v>871</v>
      </c>
    </row>
    <row r="1060" spans="1:6" x14ac:dyDescent="0.25">
      <c r="A1060" s="137" t="s">
        <v>15038</v>
      </c>
      <c r="B1060" s="137" t="s">
        <v>335</v>
      </c>
      <c r="C1060" s="137" t="s">
        <v>5171</v>
      </c>
      <c r="D1060" s="338">
        <v>3175</v>
      </c>
      <c r="E1060" s="137">
        <v>3411</v>
      </c>
      <c r="F1060" s="137">
        <v>1211</v>
      </c>
    </row>
    <row r="1061" spans="1:6" x14ac:dyDescent="0.25">
      <c r="A1061" s="137" t="s">
        <v>14473</v>
      </c>
      <c r="B1061" s="137" t="s">
        <v>335</v>
      </c>
      <c r="C1061" s="137" t="s">
        <v>5070</v>
      </c>
      <c r="D1061" s="338">
        <v>10791</v>
      </c>
      <c r="E1061" s="137">
        <v>3201</v>
      </c>
      <c r="F1061" s="137">
        <v>1001</v>
      </c>
    </row>
    <row r="1062" spans="1:6" x14ac:dyDescent="0.25">
      <c r="A1062" s="137" t="s">
        <v>14525</v>
      </c>
      <c r="B1062" s="137" t="s">
        <v>335</v>
      </c>
      <c r="C1062" s="137" t="s">
        <v>5475</v>
      </c>
      <c r="D1062" s="338">
        <v>2900</v>
      </c>
      <c r="E1062" s="137">
        <v>2626</v>
      </c>
      <c r="F1062" s="137">
        <v>426</v>
      </c>
    </row>
    <row r="1063" spans="1:6" x14ac:dyDescent="0.25">
      <c r="A1063" s="137" t="s">
        <v>14807</v>
      </c>
      <c r="B1063" s="137" t="s">
        <v>335</v>
      </c>
      <c r="C1063" s="137" t="s">
        <v>55</v>
      </c>
      <c r="D1063" s="338">
        <v>2613</v>
      </c>
      <c r="E1063" s="137">
        <v>3439</v>
      </c>
      <c r="F1063" s="137">
        <v>1239</v>
      </c>
    </row>
    <row r="1064" spans="1:6" x14ac:dyDescent="0.25">
      <c r="A1064" s="137" t="s">
        <v>14764</v>
      </c>
      <c r="B1064" s="137" t="s">
        <v>335</v>
      </c>
      <c r="C1064" s="137" t="s">
        <v>52</v>
      </c>
      <c r="D1064" s="338">
        <v>6082</v>
      </c>
      <c r="E1064" s="137">
        <v>3341</v>
      </c>
      <c r="F1064" s="137">
        <v>1141</v>
      </c>
    </row>
    <row r="1065" spans="1:6" x14ac:dyDescent="0.25">
      <c r="A1065" s="137" t="s">
        <v>14379</v>
      </c>
      <c r="B1065" s="137" t="s">
        <v>335</v>
      </c>
      <c r="C1065" s="137" t="s">
        <v>5647</v>
      </c>
      <c r="D1065" s="338">
        <v>9165</v>
      </c>
      <c r="E1065" s="137">
        <v>2533</v>
      </c>
      <c r="F1065" s="137">
        <v>333</v>
      </c>
    </row>
    <row r="1066" spans="1:6" x14ac:dyDescent="0.25">
      <c r="A1066" s="137" t="s">
        <v>14903</v>
      </c>
      <c r="B1066" s="137" t="s">
        <v>335</v>
      </c>
      <c r="C1066" s="137" t="s">
        <v>47</v>
      </c>
      <c r="D1066" s="338">
        <v>7327</v>
      </c>
      <c r="E1066" s="137">
        <v>3229</v>
      </c>
      <c r="F1066" s="137">
        <v>1029</v>
      </c>
    </row>
    <row r="1067" spans="1:6" x14ac:dyDescent="0.25">
      <c r="A1067" s="137" t="s">
        <v>14259</v>
      </c>
      <c r="B1067" s="137" t="s">
        <v>335</v>
      </c>
      <c r="C1067" s="137" t="s">
        <v>3442</v>
      </c>
      <c r="D1067" s="338">
        <v>12432</v>
      </c>
      <c r="E1067" s="137">
        <v>3046</v>
      </c>
      <c r="F1067" s="137">
        <v>-254</v>
      </c>
    </row>
    <row r="1068" spans="1:6" x14ac:dyDescent="0.25">
      <c r="A1068" s="137" t="s">
        <v>14781</v>
      </c>
      <c r="B1068" s="137" t="s">
        <v>335</v>
      </c>
      <c r="C1068" s="137" t="s">
        <v>44</v>
      </c>
      <c r="D1068" s="338">
        <v>6240</v>
      </c>
      <c r="E1068" s="137">
        <v>3787</v>
      </c>
      <c r="F1068" s="137">
        <v>487</v>
      </c>
    </row>
    <row r="1069" spans="1:6" x14ac:dyDescent="0.25">
      <c r="A1069" s="137" t="s">
        <v>14756</v>
      </c>
      <c r="B1069" s="137" t="s">
        <v>335</v>
      </c>
      <c r="C1069" s="137" t="s">
        <v>42</v>
      </c>
      <c r="D1069" s="338">
        <v>5908</v>
      </c>
      <c r="E1069" s="137">
        <v>3306</v>
      </c>
      <c r="F1069" s="137">
        <v>1106</v>
      </c>
    </row>
    <row r="1070" spans="1:6" x14ac:dyDescent="0.25">
      <c r="A1070" s="137" t="s">
        <v>15088</v>
      </c>
      <c r="B1070" s="137" t="s">
        <v>335</v>
      </c>
      <c r="C1070" s="137" t="s">
        <v>5295</v>
      </c>
      <c r="D1070" s="338">
        <v>2931</v>
      </c>
      <c r="E1070" s="137">
        <v>3804</v>
      </c>
      <c r="F1070" s="137">
        <v>504</v>
      </c>
    </row>
    <row r="1071" spans="1:6" x14ac:dyDescent="0.25">
      <c r="A1071" s="137" t="s">
        <v>14530</v>
      </c>
      <c r="B1071" s="137" t="s">
        <v>335</v>
      </c>
      <c r="C1071" s="137" t="s">
        <v>5631</v>
      </c>
      <c r="D1071" s="338">
        <v>1631</v>
      </c>
      <c r="E1071" s="137">
        <v>2787</v>
      </c>
      <c r="F1071" s="137">
        <v>587</v>
      </c>
    </row>
    <row r="1072" spans="1:6" x14ac:dyDescent="0.25">
      <c r="A1072" s="137" t="s">
        <v>14750</v>
      </c>
      <c r="B1072" s="137" t="s">
        <v>335</v>
      </c>
      <c r="C1072" s="137" t="s">
        <v>5331</v>
      </c>
      <c r="D1072" s="338">
        <v>5730</v>
      </c>
      <c r="E1072" s="137">
        <v>3270</v>
      </c>
      <c r="F1072" s="137">
        <v>1070</v>
      </c>
    </row>
    <row r="1073" spans="1:6" x14ac:dyDescent="0.25">
      <c r="A1073" s="137" t="s">
        <v>14849</v>
      </c>
      <c r="B1073" s="137" t="s">
        <v>335</v>
      </c>
      <c r="C1073" s="137" t="s">
        <v>3628</v>
      </c>
      <c r="D1073" s="338">
        <v>3613</v>
      </c>
      <c r="E1073" s="137">
        <v>4024</v>
      </c>
      <c r="F1073" s="137">
        <v>724</v>
      </c>
    </row>
    <row r="1074" spans="1:6" x14ac:dyDescent="0.25">
      <c r="A1074" s="137" t="s">
        <v>14251</v>
      </c>
      <c r="B1074" s="137" t="s">
        <v>335</v>
      </c>
      <c r="C1074" s="137" t="s">
        <v>5336</v>
      </c>
      <c r="D1074" s="338">
        <v>11649</v>
      </c>
      <c r="E1074" s="137">
        <v>3897</v>
      </c>
      <c r="F1074" s="137">
        <v>597</v>
      </c>
    </row>
    <row r="1075" spans="1:6" x14ac:dyDescent="0.25">
      <c r="A1075" s="137" t="s">
        <v>14793</v>
      </c>
      <c r="B1075" s="137" t="s">
        <v>335</v>
      </c>
      <c r="C1075" s="137" t="s">
        <v>37</v>
      </c>
      <c r="D1075" s="338">
        <v>9949</v>
      </c>
      <c r="E1075" s="137">
        <v>3697</v>
      </c>
      <c r="F1075" s="137">
        <v>397</v>
      </c>
    </row>
    <row r="1076" spans="1:6" x14ac:dyDescent="0.25">
      <c r="A1076" s="137" t="s">
        <v>14705</v>
      </c>
      <c r="B1076" s="137" t="s">
        <v>335</v>
      </c>
      <c r="C1076" s="137" t="s">
        <v>34</v>
      </c>
      <c r="D1076" s="338">
        <v>3699</v>
      </c>
      <c r="E1076" s="137">
        <v>3901</v>
      </c>
      <c r="F1076" s="137">
        <v>601</v>
      </c>
    </row>
    <row r="1077" spans="1:6" x14ac:dyDescent="0.25">
      <c r="A1077" s="137" t="s">
        <v>14642</v>
      </c>
      <c r="B1077" s="137" t="s">
        <v>335</v>
      </c>
      <c r="C1077" s="137" t="s">
        <v>4181</v>
      </c>
      <c r="D1077" s="338">
        <v>6660</v>
      </c>
      <c r="E1077" s="137">
        <v>2708</v>
      </c>
      <c r="F1077" s="137">
        <v>508</v>
      </c>
    </row>
    <row r="1078" spans="1:6" x14ac:dyDescent="0.25">
      <c r="A1078" s="137" t="s">
        <v>14557</v>
      </c>
      <c r="B1078" s="137" t="s">
        <v>335</v>
      </c>
      <c r="C1078" s="137" t="s">
        <v>5473</v>
      </c>
      <c r="D1078" s="338">
        <v>2100</v>
      </c>
      <c r="E1078" s="137">
        <v>2556</v>
      </c>
      <c r="F1078" s="137">
        <v>356</v>
      </c>
    </row>
    <row r="1079" spans="1:6" x14ac:dyDescent="0.25">
      <c r="A1079" s="137" t="s">
        <v>14243</v>
      </c>
      <c r="B1079" s="137" t="s">
        <v>335</v>
      </c>
      <c r="C1079" s="137" t="s">
        <v>5380</v>
      </c>
      <c r="D1079" s="338">
        <v>11796</v>
      </c>
      <c r="E1079" s="137">
        <v>3736</v>
      </c>
      <c r="F1079" s="137">
        <v>436</v>
      </c>
    </row>
    <row r="1080" spans="1:6" x14ac:dyDescent="0.25">
      <c r="A1080" s="137" t="s">
        <v>14487</v>
      </c>
      <c r="B1080" s="137" t="s">
        <v>335</v>
      </c>
      <c r="C1080" s="137" t="s">
        <v>27</v>
      </c>
      <c r="D1080" s="338">
        <v>1668</v>
      </c>
      <c r="E1080" s="137">
        <v>2973</v>
      </c>
      <c r="F1080" s="137">
        <v>773</v>
      </c>
    </row>
    <row r="1081" spans="1:6" x14ac:dyDescent="0.25">
      <c r="A1081" s="137" t="s">
        <v>14271</v>
      </c>
      <c r="B1081" s="137" t="s">
        <v>335</v>
      </c>
      <c r="C1081" s="137" t="s">
        <v>4058</v>
      </c>
      <c r="D1081" s="338">
        <v>10057</v>
      </c>
      <c r="E1081" s="137">
        <v>2833</v>
      </c>
      <c r="F1081" s="137">
        <v>633</v>
      </c>
    </row>
    <row r="1082" spans="1:6" x14ac:dyDescent="0.25">
      <c r="A1082" s="137" t="s">
        <v>14780</v>
      </c>
      <c r="B1082" s="137" t="s">
        <v>335</v>
      </c>
      <c r="C1082" s="137" t="s">
        <v>24</v>
      </c>
      <c r="D1082" s="338">
        <v>5660</v>
      </c>
      <c r="E1082" s="137">
        <v>3467</v>
      </c>
      <c r="F1082" s="137">
        <v>1267</v>
      </c>
    </row>
    <row r="1083" spans="1:6" x14ac:dyDescent="0.25">
      <c r="A1083" s="137" t="s">
        <v>14641</v>
      </c>
      <c r="B1083" s="137" t="s">
        <v>335</v>
      </c>
      <c r="C1083" s="137" t="s">
        <v>21</v>
      </c>
      <c r="D1083" s="338">
        <v>6412</v>
      </c>
      <c r="E1083" s="137">
        <v>2869</v>
      </c>
      <c r="F1083" s="137">
        <v>669</v>
      </c>
    </row>
    <row r="1084" spans="1:6" x14ac:dyDescent="0.25">
      <c r="A1084" s="137" t="s">
        <v>14594</v>
      </c>
      <c r="B1084" s="137" t="s">
        <v>335</v>
      </c>
      <c r="C1084" s="137" t="s">
        <v>5567</v>
      </c>
      <c r="D1084" s="338">
        <v>1166</v>
      </c>
      <c r="E1084" s="137">
        <v>2964</v>
      </c>
      <c r="F1084" s="137">
        <v>764</v>
      </c>
    </row>
    <row r="1085" spans="1:6" x14ac:dyDescent="0.25">
      <c r="A1085" s="137" t="s">
        <v>14726</v>
      </c>
      <c r="B1085" s="137" t="s">
        <v>335</v>
      </c>
      <c r="C1085" s="137" t="s">
        <v>18</v>
      </c>
      <c r="D1085" s="338">
        <v>6399</v>
      </c>
      <c r="E1085" s="137">
        <v>3588</v>
      </c>
      <c r="F1085" s="137">
        <v>288</v>
      </c>
    </row>
    <row r="1086" spans="1:6" x14ac:dyDescent="0.25">
      <c r="A1086" s="137" t="s">
        <v>14734</v>
      </c>
      <c r="B1086" s="137" t="s">
        <v>335</v>
      </c>
      <c r="C1086" s="137" t="s">
        <v>5029</v>
      </c>
      <c r="D1086" s="338">
        <v>6724</v>
      </c>
      <c r="E1086" s="137">
        <v>3022</v>
      </c>
      <c r="F1086" s="137">
        <v>822</v>
      </c>
    </row>
    <row r="1087" spans="1:6" x14ac:dyDescent="0.25">
      <c r="A1087" s="137" t="s">
        <v>14751</v>
      </c>
      <c r="B1087" s="137" t="s">
        <v>335</v>
      </c>
      <c r="C1087" s="137" t="s">
        <v>15</v>
      </c>
      <c r="D1087" s="338">
        <v>5754</v>
      </c>
      <c r="E1087" s="137">
        <v>3645</v>
      </c>
      <c r="F1087" s="137">
        <v>345</v>
      </c>
    </row>
    <row r="1088" spans="1:6" x14ac:dyDescent="0.25">
      <c r="A1088" s="137" t="s">
        <v>14748</v>
      </c>
      <c r="B1088" s="137" t="s">
        <v>335</v>
      </c>
      <c r="C1088" s="137" t="s">
        <v>5597</v>
      </c>
      <c r="D1088" s="338">
        <v>7180</v>
      </c>
      <c r="E1088" s="137">
        <v>3543</v>
      </c>
      <c r="F1088" s="137">
        <v>243</v>
      </c>
    </row>
    <row r="1089" spans="1:6" x14ac:dyDescent="0.25">
      <c r="A1089" s="137" t="s">
        <v>14710</v>
      </c>
      <c r="B1089" s="137" t="s">
        <v>335</v>
      </c>
      <c r="C1089" s="137" t="s">
        <v>4760</v>
      </c>
      <c r="D1089" s="338">
        <v>5166</v>
      </c>
      <c r="E1089" s="137">
        <v>2918</v>
      </c>
      <c r="F1089" s="137">
        <v>718</v>
      </c>
    </row>
    <row r="1090" spans="1:6" x14ac:dyDescent="0.25">
      <c r="A1090" s="137" t="s">
        <v>14430</v>
      </c>
      <c r="B1090" s="137" t="s">
        <v>335</v>
      </c>
      <c r="C1090" s="137" t="s">
        <v>5454</v>
      </c>
      <c r="D1090" s="338">
        <v>7649</v>
      </c>
      <c r="E1090" s="137">
        <v>2473</v>
      </c>
      <c r="F1090" s="137">
        <v>273</v>
      </c>
    </row>
    <row r="1091" spans="1:6" x14ac:dyDescent="0.25">
      <c r="A1091" s="137" t="s">
        <v>14791</v>
      </c>
      <c r="B1091" s="137" t="s">
        <v>335</v>
      </c>
      <c r="C1091" s="137" t="s">
        <v>14211</v>
      </c>
      <c r="D1091" s="338">
        <v>9644</v>
      </c>
      <c r="E1091" s="137">
        <v>3837</v>
      </c>
      <c r="F1091" s="137">
        <v>537</v>
      </c>
    </row>
    <row r="1092" spans="1:6" x14ac:dyDescent="0.25">
      <c r="A1092" s="137" t="s">
        <v>14425</v>
      </c>
      <c r="B1092" s="137" t="s">
        <v>335</v>
      </c>
      <c r="C1092" s="137" t="s">
        <v>12</v>
      </c>
      <c r="D1092" s="338">
        <v>7207</v>
      </c>
      <c r="E1092" s="137">
        <v>2331</v>
      </c>
      <c r="F1092" s="137">
        <v>1231</v>
      </c>
    </row>
    <row r="1093" spans="1:6" x14ac:dyDescent="0.25">
      <c r="A1093" s="137" t="s">
        <v>14424</v>
      </c>
      <c r="B1093" s="137" t="s">
        <v>335</v>
      </c>
      <c r="C1093" s="137" t="s">
        <v>9</v>
      </c>
      <c r="D1093" s="338">
        <v>7106</v>
      </c>
      <c r="E1093" s="137">
        <v>2604</v>
      </c>
      <c r="F1093" s="137">
        <v>404</v>
      </c>
    </row>
    <row r="1094" spans="1:6" x14ac:dyDescent="0.25">
      <c r="A1094" s="137" t="s">
        <v>14435</v>
      </c>
      <c r="B1094" s="137" t="s">
        <v>335</v>
      </c>
      <c r="C1094" s="137" t="s">
        <v>483</v>
      </c>
      <c r="D1094" s="338">
        <v>8253</v>
      </c>
      <c r="E1094" s="137">
        <v>2890</v>
      </c>
      <c r="F1094" s="137">
        <v>690</v>
      </c>
    </row>
    <row r="1095" spans="1:6" x14ac:dyDescent="0.25">
      <c r="A1095" s="137" t="s">
        <v>14429</v>
      </c>
      <c r="B1095" s="137" t="s">
        <v>335</v>
      </c>
      <c r="C1095" s="137" t="s">
        <v>5240</v>
      </c>
      <c r="D1095" s="338">
        <v>7591</v>
      </c>
      <c r="E1095" s="137">
        <v>2355</v>
      </c>
      <c r="F1095" s="137">
        <v>1255</v>
      </c>
    </row>
    <row r="1096" spans="1:6" x14ac:dyDescent="0.25">
      <c r="A1096" s="137" t="s">
        <v>14432</v>
      </c>
      <c r="B1096" s="137" t="s">
        <v>335</v>
      </c>
      <c r="C1096" s="137" t="s">
        <v>5613</v>
      </c>
      <c r="D1096" s="338">
        <v>7891</v>
      </c>
      <c r="E1096" s="137">
        <v>2614</v>
      </c>
      <c r="F1096" s="137">
        <v>-686</v>
      </c>
    </row>
    <row r="1097" spans="1:6" x14ac:dyDescent="0.25">
      <c r="A1097" s="137" t="s">
        <v>14427</v>
      </c>
      <c r="B1097" s="137" t="s">
        <v>335</v>
      </c>
      <c r="C1097" s="137" t="s">
        <v>5721</v>
      </c>
      <c r="D1097" s="338">
        <v>7535</v>
      </c>
      <c r="E1097" s="137">
        <v>2914</v>
      </c>
      <c r="F1097" s="137">
        <v>714</v>
      </c>
    </row>
    <row r="1098" spans="1:6" x14ac:dyDescent="0.25">
      <c r="A1098" s="137" t="s">
        <v>14672</v>
      </c>
      <c r="B1098" s="137" t="s">
        <v>335</v>
      </c>
      <c r="C1098" s="137" t="s">
        <v>6</v>
      </c>
      <c r="D1098" s="338">
        <v>2197</v>
      </c>
      <c r="E1098" s="137">
        <v>2732</v>
      </c>
      <c r="F1098" s="137">
        <v>532</v>
      </c>
    </row>
    <row r="1099" spans="1:6" x14ac:dyDescent="0.25">
      <c r="A1099" s="137" t="s">
        <v>14742</v>
      </c>
      <c r="B1099" s="137" t="s">
        <v>335</v>
      </c>
      <c r="C1099" s="137" t="s">
        <v>4781</v>
      </c>
      <c r="D1099" s="338">
        <v>7103</v>
      </c>
      <c r="E1099" s="137">
        <v>2970</v>
      </c>
      <c r="F1099" s="137">
        <v>770</v>
      </c>
    </row>
    <row r="1100" spans="1:6" x14ac:dyDescent="0.25">
      <c r="A1100" s="137" t="s">
        <v>13645</v>
      </c>
      <c r="B1100" s="137" t="s">
        <v>298</v>
      </c>
      <c r="C1100" s="137" t="s">
        <v>4529</v>
      </c>
      <c r="D1100" s="338">
        <v>5611</v>
      </c>
      <c r="E1100" s="137">
        <v>4095</v>
      </c>
      <c r="F1100" s="137">
        <v>135</v>
      </c>
    </row>
    <row r="1101" spans="1:6" x14ac:dyDescent="0.25">
      <c r="A1101" s="137" t="s">
        <v>13958</v>
      </c>
      <c r="B1101" s="137" t="s">
        <v>298</v>
      </c>
      <c r="C1101" s="137" t="s">
        <v>5411</v>
      </c>
      <c r="D1101" s="338">
        <v>9078</v>
      </c>
      <c r="E1101" s="137">
        <v>2366</v>
      </c>
      <c r="F1101" s="137">
        <v>1046</v>
      </c>
    </row>
    <row r="1102" spans="1:6" x14ac:dyDescent="0.25">
      <c r="A1102" s="137" t="s">
        <v>13711</v>
      </c>
      <c r="B1102" s="137" t="s">
        <v>298</v>
      </c>
      <c r="C1102" s="137" t="s">
        <v>5267</v>
      </c>
      <c r="D1102" s="338">
        <v>6864</v>
      </c>
      <c r="E1102" s="137">
        <v>4428</v>
      </c>
      <c r="F1102" s="137">
        <v>468</v>
      </c>
    </row>
    <row r="1103" spans="1:6" x14ac:dyDescent="0.25">
      <c r="A1103" s="137" t="s">
        <v>13889</v>
      </c>
      <c r="B1103" s="137" t="s">
        <v>298</v>
      </c>
      <c r="C1103" s="137" t="s">
        <v>5443</v>
      </c>
      <c r="D1103" s="338">
        <v>10286</v>
      </c>
      <c r="E1103" s="137">
        <v>4211</v>
      </c>
      <c r="F1103" s="137">
        <v>251</v>
      </c>
    </row>
    <row r="1104" spans="1:6" x14ac:dyDescent="0.25">
      <c r="A1104" s="137" t="s">
        <v>13547</v>
      </c>
      <c r="B1104" s="137" t="s">
        <v>298</v>
      </c>
      <c r="C1104" s="137" t="s">
        <v>457</v>
      </c>
      <c r="D1104" s="338">
        <v>9928</v>
      </c>
      <c r="E1104" s="137">
        <v>5342</v>
      </c>
      <c r="F1104" s="137">
        <v>62</v>
      </c>
    </row>
    <row r="1105" spans="1:6" x14ac:dyDescent="0.25">
      <c r="A1105" s="137" t="s">
        <v>14052</v>
      </c>
      <c r="B1105" s="137" t="s">
        <v>298</v>
      </c>
      <c r="C1105" s="137" t="s">
        <v>3950</v>
      </c>
      <c r="D1105" s="338">
        <v>10723</v>
      </c>
      <c r="E1105" s="137">
        <v>4132</v>
      </c>
      <c r="F1105" s="137">
        <v>172</v>
      </c>
    </row>
    <row r="1106" spans="1:6" x14ac:dyDescent="0.25">
      <c r="A1106" s="137" t="s">
        <v>13770</v>
      </c>
      <c r="B1106" s="137" t="s">
        <v>298</v>
      </c>
      <c r="C1106" s="137" t="s">
        <v>4828</v>
      </c>
      <c r="D1106" s="338">
        <v>11501</v>
      </c>
      <c r="E1106" s="137">
        <v>3217</v>
      </c>
      <c r="F1106" s="137">
        <v>577</v>
      </c>
    </row>
    <row r="1107" spans="1:6" x14ac:dyDescent="0.25">
      <c r="A1107" s="137" t="s">
        <v>13697</v>
      </c>
      <c r="B1107" s="137" t="s">
        <v>298</v>
      </c>
      <c r="C1107" s="137" t="s">
        <v>4816</v>
      </c>
      <c r="D1107" s="338">
        <v>7168</v>
      </c>
      <c r="E1107" s="137">
        <v>3570</v>
      </c>
      <c r="F1107" s="137">
        <v>930</v>
      </c>
    </row>
    <row r="1108" spans="1:6" x14ac:dyDescent="0.25">
      <c r="A1108" s="137" t="s">
        <v>13830</v>
      </c>
      <c r="B1108" s="137" t="s">
        <v>298</v>
      </c>
      <c r="C1108" s="137" t="s">
        <v>5619</v>
      </c>
      <c r="D1108" s="338">
        <v>8004</v>
      </c>
      <c r="E1108" s="137">
        <v>2580</v>
      </c>
      <c r="F1108" s="137">
        <v>1260</v>
      </c>
    </row>
    <row r="1109" spans="1:6" x14ac:dyDescent="0.25">
      <c r="A1109" s="137" t="s">
        <v>13791</v>
      </c>
      <c r="B1109" s="137" t="s">
        <v>298</v>
      </c>
      <c r="C1109" s="137" t="s">
        <v>454</v>
      </c>
      <c r="D1109" s="338">
        <v>10719</v>
      </c>
      <c r="E1109" s="137">
        <v>3817</v>
      </c>
      <c r="F1109" s="137">
        <v>1177</v>
      </c>
    </row>
    <row r="1110" spans="1:6" x14ac:dyDescent="0.25">
      <c r="A1110" s="137" t="s">
        <v>13643</v>
      </c>
      <c r="B1110" s="137" t="s">
        <v>298</v>
      </c>
      <c r="C1110" s="137" t="s">
        <v>4776</v>
      </c>
      <c r="D1110" s="338">
        <v>9096</v>
      </c>
      <c r="E1110" s="137">
        <v>2292</v>
      </c>
      <c r="F1110" s="137">
        <v>972</v>
      </c>
    </row>
    <row r="1111" spans="1:6" x14ac:dyDescent="0.25">
      <c r="A1111" s="137" t="s">
        <v>13705</v>
      </c>
      <c r="B1111" s="137" t="s">
        <v>298</v>
      </c>
      <c r="C1111" s="137" t="s">
        <v>452</v>
      </c>
      <c r="D1111" s="338">
        <v>12028</v>
      </c>
      <c r="E1111" s="137">
        <v>3636</v>
      </c>
      <c r="F1111" s="137">
        <v>996</v>
      </c>
    </row>
    <row r="1112" spans="1:6" x14ac:dyDescent="0.25">
      <c r="A1112" s="137" t="s">
        <v>13649</v>
      </c>
      <c r="B1112" s="137" t="s">
        <v>298</v>
      </c>
      <c r="C1112" s="137" t="s">
        <v>3365</v>
      </c>
      <c r="D1112" s="338">
        <v>12944</v>
      </c>
      <c r="E1112" s="137">
        <v>3051</v>
      </c>
      <c r="F1112" s="137">
        <v>411</v>
      </c>
    </row>
    <row r="1113" spans="1:6" x14ac:dyDescent="0.25">
      <c r="A1113" s="137" t="s">
        <v>13825</v>
      </c>
      <c r="B1113" s="137" t="s">
        <v>298</v>
      </c>
      <c r="C1113" s="137" t="s">
        <v>5570</v>
      </c>
      <c r="D1113" s="338">
        <v>8368</v>
      </c>
      <c r="E1113" s="137">
        <v>2600</v>
      </c>
      <c r="F1113" s="137">
        <v>1280</v>
      </c>
    </row>
    <row r="1114" spans="1:6" x14ac:dyDescent="0.25">
      <c r="A1114" s="137" t="s">
        <v>13386</v>
      </c>
      <c r="B1114" s="137" t="s">
        <v>298</v>
      </c>
      <c r="C1114" s="137" t="s">
        <v>450</v>
      </c>
      <c r="D1114" s="338">
        <v>8476</v>
      </c>
      <c r="E1114" s="137">
        <v>3913</v>
      </c>
      <c r="F1114" s="137">
        <v>1273</v>
      </c>
    </row>
    <row r="1115" spans="1:6" x14ac:dyDescent="0.25">
      <c r="A1115" s="137" t="s">
        <v>13850</v>
      </c>
      <c r="B1115" s="137" t="s">
        <v>298</v>
      </c>
      <c r="C1115" s="137" t="s">
        <v>4814</v>
      </c>
      <c r="D1115" s="338">
        <v>10991</v>
      </c>
      <c r="E1115" s="137">
        <v>3890</v>
      </c>
      <c r="F1115" s="137">
        <v>1250</v>
      </c>
    </row>
    <row r="1116" spans="1:6" x14ac:dyDescent="0.25">
      <c r="A1116" s="137" t="s">
        <v>13647</v>
      </c>
      <c r="B1116" s="137" t="s">
        <v>298</v>
      </c>
      <c r="C1116" s="137" t="s">
        <v>5317</v>
      </c>
      <c r="D1116" s="338">
        <v>10691</v>
      </c>
      <c r="E1116" s="137">
        <v>4073</v>
      </c>
      <c r="F1116" s="137">
        <v>1433</v>
      </c>
    </row>
    <row r="1117" spans="1:6" x14ac:dyDescent="0.25">
      <c r="A1117" s="137" t="s">
        <v>13701</v>
      </c>
      <c r="B1117" s="137" t="s">
        <v>298</v>
      </c>
      <c r="C1117" s="137" t="s">
        <v>446</v>
      </c>
      <c r="D1117" s="338">
        <v>9777</v>
      </c>
      <c r="E1117" s="137">
        <v>3213</v>
      </c>
      <c r="F1117" s="137">
        <v>573</v>
      </c>
    </row>
    <row r="1118" spans="1:6" x14ac:dyDescent="0.25">
      <c r="A1118" s="137" t="s">
        <v>13773</v>
      </c>
      <c r="B1118" s="137" t="s">
        <v>298</v>
      </c>
      <c r="C1118" s="137" t="s">
        <v>3708</v>
      </c>
      <c r="D1118" s="338">
        <v>12791</v>
      </c>
      <c r="E1118" s="137">
        <v>3201</v>
      </c>
      <c r="F1118" s="137">
        <v>561</v>
      </c>
    </row>
    <row r="1119" spans="1:6" x14ac:dyDescent="0.25">
      <c r="A1119" s="137" t="s">
        <v>13734</v>
      </c>
      <c r="B1119" s="137" t="s">
        <v>298</v>
      </c>
      <c r="C1119" s="137" t="s">
        <v>4941</v>
      </c>
      <c r="D1119" s="338">
        <v>2738</v>
      </c>
      <c r="E1119" s="137">
        <v>3748</v>
      </c>
      <c r="F1119" s="137">
        <v>1108</v>
      </c>
    </row>
    <row r="1120" spans="1:6" x14ac:dyDescent="0.25">
      <c r="A1120" s="137" t="s">
        <v>13841</v>
      </c>
      <c r="B1120" s="137" t="s">
        <v>298</v>
      </c>
      <c r="C1120" s="137" t="s">
        <v>5653</v>
      </c>
      <c r="D1120" s="338">
        <v>10923</v>
      </c>
      <c r="E1120" s="137">
        <v>3480</v>
      </c>
      <c r="F1120" s="137">
        <v>840</v>
      </c>
    </row>
    <row r="1121" spans="1:6" x14ac:dyDescent="0.25">
      <c r="A1121" s="137" t="s">
        <v>13876</v>
      </c>
      <c r="B1121" s="137" t="s">
        <v>298</v>
      </c>
      <c r="C1121" s="137" t="s">
        <v>4404</v>
      </c>
      <c r="D1121" s="338">
        <v>10963</v>
      </c>
      <c r="E1121" s="137">
        <v>3423</v>
      </c>
      <c r="F1121" s="137">
        <v>783</v>
      </c>
    </row>
    <row r="1122" spans="1:6" x14ac:dyDescent="0.25">
      <c r="A1122" s="137" t="s">
        <v>13728</v>
      </c>
      <c r="B1122" s="137" t="s">
        <v>298</v>
      </c>
      <c r="C1122" s="137" t="s">
        <v>4945</v>
      </c>
      <c r="D1122" s="338">
        <v>3660</v>
      </c>
      <c r="E1122" s="137">
        <v>3690</v>
      </c>
      <c r="F1122" s="137">
        <v>1050</v>
      </c>
    </row>
    <row r="1123" spans="1:6" x14ac:dyDescent="0.25">
      <c r="A1123" s="137" t="s">
        <v>13595</v>
      </c>
      <c r="B1123" s="137" t="s">
        <v>298</v>
      </c>
      <c r="C1123" s="137" t="s">
        <v>440</v>
      </c>
      <c r="D1123" s="338">
        <v>10022</v>
      </c>
      <c r="E1123" s="137">
        <v>3026</v>
      </c>
      <c r="F1123" s="137">
        <v>386</v>
      </c>
    </row>
    <row r="1124" spans="1:6" x14ac:dyDescent="0.25">
      <c r="A1124" s="137" t="s">
        <v>14021</v>
      </c>
      <c r="B1124" s="137" t="s">
        <v>298</v>
      </c>
      <c r="C1124" s="137" t="s">
        <v>5768</v>
      </c>
      <c r="D1124" s="338">
        <v>7512</v>
      </c>
      <c r="E1124" s="137">
        <v>2638</v>
      </c>
      <c r="F1124" s="137">
        <v>1318</v>
      </c>
    </row>
    <row r="1125" spans="1:6" x14ac:dyDescent="0.25">
      <c r="A1125" s="137" t="s">
        <v>13429</v>
      </c>
      <c r="B1125" s="137" t="s">
        <v>298</v>
      </c>
      <c r="C1125" s="137" t="s">
        <v>4960</v>
      </c>
      <c r="D1125" s="338">
        <v>4747</v>
      </c>
      <c r="E1125" s="137">
        <v>2892</v>
      </c>
      <c r="F1125" s="137">
        <v>252</v>
      </c>
    </row>
    <row r="1126" spans="1:6" x14ac:dyDescent="0.25">
      <c r="A1126" s="137" t="s">
        <v>13904</v>
      </c>
      <c r="B1126" s="137" t="s">
        <v>298</v>
      </c>
      <c r="C1126" s="137" t="s">
        <v>435</v>
      </c>
      <c r="D1126" s="338">
        <v>12122</v>
      </c>
      <c r="E1126" s="137">
        <v>3286</v>
      </c>
      <c r="F1126" s="137">
        <v>646</v>
      </c>
    </row>
    <row r="1127" spans="1:6" x14ac:dyDescent="0.25">
      <c r="A1127" s="137" t="s">
        <v>13433</v>
      </c>
      <c r="B1127" s="137" t="s">
        <v>298</v>
      </c>
      <c r="C1127" s="137" t="s">
        <v>2692</v>
      </c>
      <c r="D1127" s="338">
        <v>13088</v>
      </c>
      <c r="E1127" s="137">
        <v>2184</v>
      </c>
      <c r="F1127" s="137">
        <v>864</v>
      </c>
    </row>
    <row r="1128" spans="1:6" x14ac:dyDescent="0.25">
      <c r="A1128" s="137" t="s">
        <v>13548</v>
      </c>
      <c r="B1128" s="137" t="s">
        <v>298</v>
      </c>
      <c r="C1128" s="137" t="s">
        <v>3941</v>
      </c>
      <c r="D1128" s="338">
        <v>9811</v>
      </c>
      <c r="E1128" s="137">
        <v>4275</v>
      </c>
      <c r="F1128" s="137">
        <v>315</v>
      </c>
    </row>
    <row r="1129" spans="1:6" x14ac:dyDescent="0.25">
      <c r="A1129" s="137" t="s">
        <v>13623</v>
      </c>
      <c r="B1129" s="137" t="s">
        <v>298</v>
      </c>
      <c r="C1129" s="137" t="s">
        <v>4964</v>
      </c>
      <c r="D1129" s="338">
        <v>11807</v>
      </c>
      <c r="E1129" s="137">
        <v>3592</v>
      </c>
      <c r="F1129" s="137">
        <v>952</v>
      </c>
    </row>
    <row r="1130" spans="1:6" x14ac:dyDescent="0.25">
      <c r="A1130" s="137" t="s">
        <v>13885</v>
      </c>
      <c r="B1130" s="137" t="s">
        <v>298</v>
      </c>
      <c r="C1130" s="137" t="s">
        <v>5663</v>
      </c>
      <c r="D1130" s="338">
        <v>10501</v>
      </c>
      <c r="E1130" s="137">
        <v>4701</v>
      </c>
      <c r="F1130" s="137">
        <v>741</v>
      </c>
    </row>
    <row r="1131" spans="1:6" x14ac:dyDescent="0.25">
      <c r="A1131" s="137" t="s">
        <v>13526</v>
      </c>
      <c r="B1131" s="137" t="s">
        <v>298</v>
      </c>
      <c r="C1131" s="137" t="s">
        <v>2793</v>
      </c>
      <c r="D1131" s="338">
        <v>5378</v>
      </c>
      <c r="E1131" s="137">
        <v>2636</v>
      </c>
      <c r="F1131" s="137">
        <v>1316</v>
      </c>
    </row>
    <row r="1132" spans="1:6" x14ac:dyDescent="0.25">
      <c r="A1132" s="137" t="s">
        <v>13440</v>
      </c>
      <c r="B1132" s="137" t="s">
        <v>298</v>
      </c>
      <c r="C1132" s="137" t="s">
        <v>5430</v>
      </c>
      <c r="D1132" s="338">
        <v>11803</v>
      </c>
      <c r="E1132" s="137">
        <v>3356</v>
      </c>
      <c r="F1132" s="137">
        <v>716</v>
      </c>
    </row>
    <row r="1133" spans="1:6" x14ac:dyDescent="0.25">
      <c r="A1133" s="137" t="s">
        <v>13868</v>
      </c>
      <c r="B1133" s="137" t="s">
        <v>298</v>
      </c>
      <c r="C1133" s="137" t="s">
        <v>3129</v>
      </c>
      <c r="D1133" s="338">
        <v>11384</v>
      </c>
      <c r="E1133" s="137">
        <v>3094</v>
      </c>
      <c r="F1133" s="137">
        <v>454</v>
      </c>
    </row>
    <row r="1134" spans="1:6" x14ac:dyDescent="0.25">
      <c r="A1134" s="137" t="s">
        <v>13808</v>
      </c>
      <c r="B1134" s="137" t="s">
        <v>298</v>
      </c>
      <c r="C1134" s="137" t="s">
        <v>433</v>
      </c>
      <c r="D1134" s="338">
        <v>10609</v>
      </c>
      <c r="E1134" s="137">
        <v>4801</v>
      </c>
      <c r="F1134" s="137">
        <v>841</v>
      </c>
    </row>
    <row r="1135" spans="1:6" x14ac:dyDescent="0.25">
      <c r="A1135" s="137" t="s">
        <v>13752</v>
      </c>
      <c r="B1135" s="137" t="s">
        <v>298</v>
      </c>
      <c r="C1135" s="137" t="s">
        <v>5526</v>
      </c>
      <c r="D1135" s="338">
        <v>10537</v>
      </c>
      <c r="E1135" s="137">
        <v>3873</v>
      </c>
      <c r="F1135" s="137">
        <v>1233</v>
      </c>
    </row>
    <row r="1136" spans="1:6" x14ac:dyDescent="0.25">
      <c r="A1136" s="137" t="s">
        <v>13817</v>
      </c>
      <c r="B1136" s="137" t="s">
        <v>298</v>
      </c>
      <c r="C1136" s="137" t="s">
        <v>430</v>
      </c>
      <c r="D1136" s="338">
        <v>8766</v>
      </c>
      <c r="E1136" s="137">
        <v>2962</v>
      </c>
      <c r="F1136" s="137">
        <v>322</v>
      </c>
    </row>
    <row r="1137" spans="1:6" x14ac:dyDescent="0.25">
      <c r="A1137" s="137" t="s">
        <v>13445</v>
      </c>
      <c r="B1137" s="137" t="s">
        <v>298</v>
      </c>
      <c r="C1137" s="137" t="s">
        <v>4429</v>
      </c>
      <c r="D1137" s="338">
        <v>6500</v>
      </c>
      <c r="E1137" s="137">
        <v>2422</v>
      </c>
      <c r="F1137" s="137">
        <v>1102</v>
      </c>
    </row>
    <row r="1138" spans="1:6" x14ac:dyDescent="0.25">
      <c r="A1138" s="137" t="s">
        <v>13801</v>
      </c>
      <c r="B1138" s="137" t="s">
        <v>298</v>
      </c>
      <c r="C1138" s="137" t="s">
        <v>5110</v>
      </c>
      <c r="D1138" s="338">
        <v>10160</v>
      </c>
      <c r="E1138" s="137">
        <v>3637</v>
      </c>
      <c r="F1138" s="137">
        <v>997</v>
      </c>
    </row>
    <row r="1139" spans="1:6" x14ac:dyDescent="0.25">
      <c r="A1139" s="137" t="s">
        <v>13453</v>
      </c>
      <c r="B1139" s="137" t="s">
        <v>298</v>
      </c>
      <c r="C1139" s="137" t="s">
        <v>426</v>
      </c>
      <c r="D1139" s="338">
        <v>2462</v>
      </c>
      <c r="E1139" s="137">
        <v>3126</v>
      </c>
      <c r="F1139" s="137">
        <v>486</v>
      </c>
    </row>
    <row r="1140" spans="1:6" x14ac:dyDescent="0.25">
      <c r="A1140" s="137" t="s">
        <v>13659</v>
      </c>
      <c r="B1140" s="137" t="s">
        <v>298</v>
      </c>
      <c r="C1140" s="137" t="s">
        <v>4551</v>
      </c>
      <c r="D1140" s="338">
        <v>9399</v>
      </c>
      <c r="E1140" s="137">
        <v>2794</v>
      </c>
      <c r="F1140" s="137">
        <v>154</v>
      </c>
    </row>
    <row r="1141" spans="1:6" x14ac:dyDescent="0.25">
      <c r="A1141" s="137" t="s">
        <v>13656</v>
      </c>
      <c r="B1141" s="137" t="s">
        <v>298</v>
      </c>
      <c r="C1141" s="137" t="s">
        <v>5395</v>
      </c>
      <c r="D1141" s="338">
        <v>10742</v>
      </c>
      <c r="E1141" s="137">
        <v>3711</v>
      </c>
      <c r="F1141" s="137">
        <v>1071</v>
      </c>
    </row>
    <row r="1142" spans="1:6" x14ac:dyDescent="0.25">
      <c r="A1142" s="137" t="s">
        <v>13912</v>
      </c>
      <c r="B1142" s="137" t="s">
        <v>298</v>
      </c>
      <c r="C1142" s="137" t="s">
        <v>424</v>
      </c>
      <c r="D1142" s="338">
        <v>9495</v>
      </c>
      <c r="E1142" s="137">
        <v>2705</v>
      </c>
      <c r="F1142" s="137">
        <v>65</v>
      </c>
    </row>
    <row r="1143" spans="1:6" x14ac:dyDescent="0.25">
      <c r="A1143" s="137" t="s">
        <v>13720</v>
      </c>
      <c r="B1143" s="137" t="s">
        <v>298</v>
      </c>
      <c r="C1143" s="137" t="s">
        <v>5356</v>
      </c>
      <c r="D1143" s="338">
        <v>10415</v>
      </c>
      <c r="E1143" s="137">
        <v>3126</v>
      </c>
      <c r="F1143" s="137">
        <v>486</v>
      </c>
    </row>
    <row r="1144" spans="1:6" x14ac:dyDescent="0.25">
      <c r="A1144" s="137" t="s">
        <v>13636</v>
      </c>
      <c r="B1144" s="137" t="s">
        <v>298</v>
      </c>
      <c r="C1144" s="137" t="s">
        <v>5507</v>
      </c>
      <c r="D1144" s="338">
        <v>9548</v>
      </c>
      <c r="E1144" s="137">
        <v>2604</v>
      </c>
      <c r="F1144" s="137">
        <v>1284</v>
      </c>
    </row>
    <row r="1145" spans="1:6" x14ac:dyDescent="0.25">
      <c r="A1145" s="137" t="s">
        <v>14043</v>
      </c>
      <c r="B1145" s="137" t="s">
        <v>298</v>
      </c>
      <c r="C1145" s="137" t="s">
        <v>3539</v>
      </c>
      <c r="D1145" s="338">
        <v>13395</v>
      </c>
      <c r="E1145" s="137">
        <v>3489</v>
      </c>
      <c r="F1145" s="137">
        <v>849</v>
      </c>
    </row>
    <row r="1146" spans="1:6" x14ac:dyDescent="0.25">
      <c r="A1146" s="137" t="s">
        <v>13465</v>
      </c>
      <c r="B1146" s="137" t="s">
        <v>298</v>
      </c>
      <c r="C1146" s="137" t="s">
        <v>2614</v>
      </c>
      <c r="D1146" s="338">
        <v>8413</v>
      </c>
      <c r="E1146" s="137">
        <v>4094</v>
      </c>
      <c r="F1146" s="137">
        <v>134</v>
      </c>
    </row>
    <row r="1147" spans="1:6" x14ac:dyDescent="0.25">
      <c r="A1147" s="137" t="s">
        <v>13890</v>
      </c>
      <c r="B1147" s="137" t="s">
        <v>298</v>
      </c>
      <c r="C1147" s="137" t="s">
        <v>5128</v>
      </c>
      <c r="D1147" s="338">
        <v>10271</v>
      </c>
      <c r="E1147" s="137">
        <v>3827</v>
      </c>
      <c r="F1147" s="137">
        <v>1187</v>
      </c>
    </row>
    <row r="1148" spans="1:6" x14ac:dyDescent="0.25">
      <c r="A1148" s="137" t="s">
        <v>13383</v>
      </c>
      <c r="B1148" s="137" t="s">
        <v>298</v>
      </c>
      <c r="C1148" s="137" t="s">
        <v>2512</v>
      </c>
      <c r="D1148" s="338">
        <v>8610</v>
      </c>
      <c r="E1148" s="137">
        <v>2791</v>
      </c>
      <c r="F1148" s="137">
        <v>151</v>
      </c>
    </row>
    <row r="1149" spans="1:6" x14ac:dyDescent="0.25">
      <c r="A1149" s="137" t="s">
        <v>13635</v>
      </c>
      <c r="B1149" s="137" t="s">
        <v>298</v>
      </c>
      <c r="C1149" s="137" t="s">
        <v>5392</v>
      </c>
      <c r="D1149" s="338">
        <v>9564</v>
      </c>
      <c r="E1149" s="137">
        <v>2668</v>
      </c>
      <c r="F1149" s="137">
        <v>28</v>
      </c>
    </row>
    <row r="1150" spans="1:6" x14ac:dyDescent="0.25">
      <c r="A1150" s="137" t="s">
        <v>13498</v>
      </c>
      <c r="B1150" s="137" t="s">
        <v>298</v>
      </c>
      <c r="C1150" s="137" t="s">
        <v>408</v>
      </c>
      <c r="D1150" s="338">
        <v>4337</v>
      </c>
      <c r="E1150" s="137">
        <v>4141</v>
      </c>
      <c r="F1150" s="137">
        <v>181</v>
      </c>
    </row>
    <row r="1151" spans="1:6" x14ac:dyDescent="0.25">
      <c r="A1151" s="137" t="s">
        <v>13461</v>
      </c>
      <c r="B1151" s="137" t="s">
        <v>298</v>
      </c>
      <c r="C1151" s="137" t="s">
        <v>4975</v>
      </c>
      <c r="D1151" s="338">
        <v>10536</v>
      </c>
      <c r="E1151" s="137">
        <v>3329</v>
      </c>
      <c r="F1151" s="137">
        <v>689</v>
      </c>
    </row>
    <row r="1152" spans="1:6" x14ac:dyDescent="0.25">
      <c r="A1152" s="137" t="s">
        <v>13716</v>
      </c>
      <c r="B1152" s="137" t="s">
        <v>298</v>
      </c>
      <c r="C1152" s="137" t="s">
        <v>4865</v>
      </c>
      <c r="D1152" s="338">
        <v>11254</v>
      </c>
      <c r="E1152" s="137">
        <v>2857</v>
      </c>
      <c r="F1152" s="137">
        <v>217</v>
      </c>
    </row>
    <row r="1153" spans="1:6" x14ac:dyDescent="0.25">
      <c r="A1153" s="137" t="s">
        <v>14010</v>
      </c>
      <c r="B1153" s="137" t="s">
        <v>298</v>
      </c>
      <c r="C1153" s="137" t="s">
        <v>404</v>
      </c>
      <c r="D1153" s="338">
        <v>7740</v>
      </c>
      <c r="E1153" s="137">
        <v>2460</v>
      </c>
      <c r="F1153" s="137">
        <v>1140</v>
      </c>
    </row>
    <row r="1154" spans="1:6" x14ac:dyDescent="0.25">
      <c r="A1154" s="137" t="s">
        <v>13443</v>
      </c>
      <c r="B1154" s="137" t="s">
        <v>298</v>
      </c>
      <c r="C1154" s="137" t="s">
        <v>402</v>
      </c>
      <c r="D1154" s="338">
        <v>9653</v>
      </c>
      <c r="E1154" s="137">
        <v>2979</v>
      </c>
      <c r="F1154" s="137">
        <v>339</v>
      </c>
    </row>
    <row r="1155" spans="1:6" x14ac:dyDescent="0.25">
      <c r="A1155" s="137" t="s">
        <v>13457</v>
      </c>
      <c r="B1155" s="137" t="s">
        <v>298</v>
      </c>
      <c r="C1155" s="137" t="s">
        <v>399</v>
      </c>
      <c r="D1155" s="137">
        <v>854</v>
      </c>
      <c r="E1155" s="137">
        <v>3538</v>
      </c>
      <c r="F1155" s="137">
        <v>898</v>
      </c>
    </row>
    <row r="1156" spans="1:6" x14ac:dyDescent="0.25">
      <c r="A1156" s="137" t="s">
        <v>13609</v>
      </c>
      <c r="B1156" s="137" t="s">
        <v>298</v>
      </c>
      <c r="C1156" s="137" t="s">
        <v>393</v>
      </c>
      <c r="D1156" s="338">
        <v>10251</v>
      </c>
      <c r="E1156" s="137">
        <v>3606</v>
      </c>
      <c r="F1156" s="137">
        <v>966</v>
      </c>
    </row>
    <row r="1157" spans="1:6" x14ac:dyDescent="0.25">
      <c r="A1157" s="137" t="s">
        <v>14018</v>
      </c>
      <c r="B1157" s="137" t="s">
        <v>298</v>
      </c>
      <c r="C1157" s="137" t="s">
        <v>5682</v>
      </c>
      <c r="D1157" s="338">
        <v>7639</v>
      </c>
      <c r="E1157" s="137">
        <v>2412</v>
      </c>
      <c r="F1157" s="137">
        <v>1092</v>
      </c>
    </row>
    <row r="1158" spans="1:6" x14ac:dyDescent="0.25">
      <c r="A1158" s="137" t="s">
        <v>13500</v>
      </c>
      <c r="B1158" s="137" t="s">
        <v>298</v>
      </c>
      <c r="C1158" s="137" t="s">
        <v>4548</v>
      </c>
      <c r="D1158" s="338">
        <v>6942</v>
      </c>
      <c r="E1158" s="137">
        <v>3630</v>
      </c>
      <c r="F1158" s="137">
        <v>990</v>
      </c>
    </row>
    <row r="1159" spans="1:6" x14ac:dyDescent="0.25">
      <c r="A1159" s="137" t="s">
        <v>13538</v>
      </c>
      <c r="B1159" s="137" t="s">
        <v>298</v>
      </c>
      <c r="C1159" s="137" t="s">
        <v>388</v>
      </c>
      <c r="D1159" s="338">
        <v>10219</v>
      </c>
      <c r="E1159" s="137">
        <v>4507</v>
      </c>
      <c r="F1159" s="137">
        <v>547</v>
      </c>
    </row>
    <row r="1160" spans="1:6" x14ac:dyDescent="0.25">
      <c r="A1160" s="137" t="s">
        <v>13431</v>
      </c>
      <c r="B1160" s="137" t="s">
        <v>298</v>
      </c>
      <c r="C1160" s="137" t="s">
        <v>5200</v>
      </c>
      <c r="D1160" s="338">
        <v>13282</v>
      </c>
      <c r="E1160" s="137">
        <v>2853</v>
      </c>
      <c r="F1160" s="137">
        <v>213</v>
      </c>
    </row>
    <row r="1161" spans="1:6" x14ac:dyDescent="0.25">
      <c r="A1161" s="137" t="s">
        <v>13410</v>
      </c>
      <c r="B1161" s="137" t="s">
        <v>298</v>
      </c>
      <c r="C1161" s="137" t="s">
        <v>2531</v>
      </c>
      <c r="D1161" s="338">
        <v>6416</v>
      </c>
      <c r="E1161" s="137">
        <v>3379</v>
      </c>
      <c r="F1161" s="137">
        <v>739</v>
      </c>
    </row>
    <row r="1162" spans="1:6" x14ac:dyDescent="0.25">
      <c r="A1162" s="137" t="s">
        <v>14046</v>
      </c>
      <c r="B1162" s="137" t="s">
        <v>298</v>
      </c>
      <c r="C1162" s="137" t="s">
        <v>381</v>
      </c>
      <c r="D1162" s="338">
        <v>4395</v>
      </c>
      <c r="E1162" s="137">
        <v>4096</v>
      </c>
      <c r="F1162" s="137">
        <v>136</v>
      </c>
    </row>
    <row r="1163" spans="1:6" x14ac:dyDescent="0.25">
      <c r="A1163" s="137" t="s">
        <v>13557</v>
      </c>
      <c r="B1163" s="137" t="s">
        <v>298</v>
      </c>
      <c r="C1163" s="137" t="s">
        <v>376</v>
      </c>
      <c r="D1163" s="338">
        <v>9406</v>
      </c>
      <c r="E1163" s="137">
        <v>2742</v>
      </c>
      <c r="F1163" s="137">
        <v>102</v>
      </c>
    </row>
    <row r="1164" spans="1:6" x14ac:dyDescent="0.25">
      <c r="A1164" s="137" t="s">
        <v>13755</v>
      </c>
      <c r="B1164" s="137" t="s">
        <v>298</v>
      </c>
      <c r="C1164" s="137" t="s">
        <v>5438</v>
      </c>
      <c r="D1164" s="338">
        <v>13259</v>
      </c>
      <c r="E1164" s="137">
        <v>3675</v>
      </c>
      <c r="F1164" s="137">
        <v>1035</v>
      </c>
    </row>
    <row r="1165" spans="1:6" x14ac:dyDescent="0.25">
      <c r="A1165" s="137" t="s">
        <v>13585</v>
      </c>
      <c r="B1165" s="137" t="s">
        <v>298</v>
      </c>
      <c r="C1165" s="137" t="s">
        <v>5587</v>
      </c>
      <c r="D1165" s="338">
        <v>9786</v>
      </c>
      <c r="E1165" s="137">
        <v>2729</v>
      </c>
      <c r="F1165" s="137">
        <v>89</v>
      </c>
    </row>
    <row r="1166" spans="1:6" x14ac:dyDescent="0.25">
      <c r="A1166" s="137" t="s">
        <v>13706</v>
      </c>
      <c r="B1166" s="137" t="s">
        <v>298</v>
      </c>
      <c r="C1166" s="137" t="s">
        <v>364</v>
      </c>
      <c r="D1166" s="338">
        <v>11579</v>
      </c>
      <c r="E1166" s="137">
        <v>3276</v>
      </c>
      <c r="F1166" s="137">
        <v>636</v>
      </c>
    </row>
    <row r="1167" spans="1:6" x14ac:dyDescent="0.25">
      <c r="A1167" s="137" t="s">
        <v>13597</v>
      </c>
      <c r="B1167" s="137" t="s">
        <v>298</v>
      </c>
      <c r="C1167" s="137" t="s">
        <v>4924</v>
      </c>
      <c r="D1167" s="338">
        <v>9903</v>
      </c>
      <c r="E1167" s="137">
        <v>2475</v>
      </c>
      <c r="F1167" s="137">
        <v>1155</v>
      </c>
    </row>
    <row r="1168" spans="1:6" x14ac:dyDescent="0.25">
      <c r="A1168" s="137" t="s">
        <v>13497</v>
      </c>
      <c r="B1168" s="137" t="s">
        <v>298</v>
      </c>
      <c r="C1168" s="137" t="s">
        <v>5021</v>
      </c>
      <c r="D1168" s="338">
        <v>4417</v>
      </c>
      <c r="E1168" s="137">
        <v>3345</v>
      </c>
      <c r="F1168" s="137">
        <v>705</v>
      </c>
    </row>
    <row r="1169" spans="1:6" x14ac:dyDescent="0.25">
      <c r="A1169" s="137" t="s">
        <v>14025</v>
      </c>
      <c r="B1169" s="137" t="s">
        <v>298</v>
      </c>
      <c r="C1169" s="137" t="s">
        <v>5732</v>
      </c>
      <c r="D1169" s="338">
        <v>7466</v>
      </c>
      <c r="E1169" s="137">
        <v>2572</v>
      </c>
      <c r="F1169" s="137">
        <v>1252</v>
      </c>
    </row>
    <row r="1170" spans="1:6" x14ac:dyDescent="0.25">
      <c r="A1170" s="137" t="s">
        <v>13694</v>
      </c>
      <c r="B1170" s="137" t="s">
        <v>298</v>
      </c>
      <c r="C1170" s="137" t="s">
        <v>359</v>
      </c>
      <c r="D1170" s="338">
        <v>7541</v>
      </c>
      <c r="E1170" s="137">
        <v>4063</v>
      </c>
      <c r="F1170" s="137">
        <v>103</v>
      </c>
    </row>
    <row r="1171" spans="1:6" x14ac:dyDescent="0.25">
      <c r="A1171" s="137" t="s">
        <v>13750</v>
      </c>
      <c r="B1171" s="137" t="s">
        <v>298</v>
      </c>
      <c r="C1171" s="137" t="s">
        <v>4408</v>
      </c>
      <c r="D1171" s="338">
        <v>10698</v>
      </c>
      <c r="E1171" s="137">
        <v>3147</v>
      </c>
      <c r="F1171" s="137">
        <v>507</v>
      </c>
    </row>
    <row r="1172" spans="1:6" x14ac:dyDescent="0.25">
      <c r="A1172" s="137" t="s">
        <v>13458</v>
      </c>
      <c r="B1172" s="137" t="s">
        <v>298</v>
      </c>
      <c r="C1172" s="137" t="s">
        <v>5485</v>
      </c>
      <c r="D1172" s="137">
        <v>495</v>
      </c>
      <c r="E1172" s="137">
        <v>2450</v>
      </c>
      <c r="F1172" s="137">
        <v>1130</v>
      </c>
    </row>
    <row r="1173" spans="1:6" x14ac:dyDescent="0.25">
      <c r="A1173" s="137" t="s">
        <v>13519</v>
      </c>
      <c r="B1173" s="137" t="s">
        <v>298</v>
      </c>
      <c r="C1173" s="137" t="s">
        <v>5658</v>
      </c>
      <c r="D1173" s="338">
        <v>10407</v>
      </c>
      <c r="E1173" s="137">
        <v>3319</v>
      </c>
      <c r="F1173" s="137">
        <v>679</v>
      </c>
    </row>
    <row r="1174" spans="1:6" x14ac:dyDescent="0.25">
      <c r="A1174" s="137" t="s">
        <v>13816</v>
      </c>
      <c r="B1174" s="137" t="s">
        <v>298</v>
      </c>
      <c r="C1174" s="137" t="s">
        <v>353</v>
      </c>
      <c r="D1174" s="338">
        <v>6352</v>
      </c>
      <c r="E1174" s="137">
        <v>4059</v>
      </c>
      <c r="F1174" s="137">
        <v>-1221</v>
      </c>
    </row>
    <row r="1175" spans="1:6" x14ac:dyDescent="0.25">
      <c r="A1175" s="137" t="s">
        <v>13686</v>
      </c>
      <c r="B1175" s="137" t="s">
        <v>298</v>
      </c>
      <c r="C1175" s="137" t="s">
        <v>5616</v>
      </c>
      <c r="D1175" s="338">
        <v>6604</v>
      </c>
      <c r="E1175" s="137">
        <v>3303</v>
      </c>
      <c r="F1175" s="137">
        <v>663</v>
      </c>
    </row>
    <row r="1176" spans="1:6" x14ac:dyDescent="0.25">
      <c r="A1176" s="137" t="s">
        <v>13703</v>
      </c>
      <c r="B1176" s="137" t="s">
        <v>298</v>
      </c>
      <c r="C1176" s="137" t="s">
        <v>4621</v>
      </c>
      <c r="D1176" s="338">
        <v>4657</v>
      </c>
      <c r="E1176" s="137">
        <v>2467</v>
      </c>
      <c r="F1176" s="137">
        <v>1147</v>
      </c>
    </row>
    <row r="1177" spans="1:6" x14ac:dyDescent="0.25">
      <c r="A1177" s="137" t="s">
        <v>13733</v>
      </c>
      <c r="B1177" s="137" t="s">
        <v>298</v>
      </c>
      <c r="C1177" s="137" t="s">
        <v>4738</v>
      </c>
      <c r="D1177" s="338">
        <v>2898</v>
      </c>
      <c r="E1177" s="137">
        <v>3531</v>
      </c>
      <c r="F1177" s="137">
        <v>891</v>
      </c>
    </row>
    <row r="1178" spans="1:6" x14ac:dyDescent="0.25">
      <c r="A1178" s="137" t="s">
        <v>13382</v>
      </c>
      <c r="B1178" s="137" t="s">
        <v>298</v>
      </c>
      <c r="C1178" s="137" t="s">
        <v>3693</v>
      </c>
      <c r="D1178" s="338">
        <v>8669</v>
      </c>
      <c r="E1178" s="137">
        <v>2969</v>
      </c>
      <c r="F1178" s="137">
        <v>329</v>
      </c>
    </row>
    <row r="1179" spans="1:6" x14ac:dyDescent="0.25">
      <c r="A1179" s="137" t="s">
        <v>13852</v>
      </c>
      <c r="B1179" s="137" t="s">
        <v>298</v>
      </c>
      <c r="C1179" s="137" t="s">
        <v>5196</v>
      </c>
      <c r="D1179" s="338">
        <v>10811</v>
      </c>
      <c r="E1179" s="137">
        <v>4111</v>
      </c>
      <c r="F1179" s="137">
        <v>151</v>
      </c>
    </row>
    <row r="1180" spans="1:6" x14ac:dyDescent="0.25">
      <c r="A1180" s="137" t="s">
        <v>13853</v>
      </c>
      <c r="B1180" s="137" t="s">
        <v>298</v>
      </c>
      <c r="C1180" s="137" t="s">
        <v>4716</v>
      </c>
      <c r="D1180" s="338">
        <v>9266</v>
      </c>
      <c r="E1180" s="137">
        <v>4120</v>
      </c>
      <c r="F1180" s="137">
        <v>160</v>
      </c>
    </row>
    <row r="1181" spans="1:6" x14ac:dyDescent="0.25">
      <c r="A1181" s="137" t="s">
        <v>13954</v>
      </c>
      <c r="B1181" s="137" t="s">
        <v>298</v>
      </c>
      <c r="C1181" s="137" t="s">
        <v>5765</v>
      </c>
      <c r="D1181" s="338">
        <v>9268</v>
      </c>
      <c r="E1181" s="137">
        <v>2742</v>
      </c>
      <c r="F1181" s="137">
        <v>102</v>
      </c>
    </row>
    <row r="1182" spans="1:6" x14ac:dyDescent="0.25">
      <c r="A1182" s="137" t="s">
        <v>13983</v>
      </c>
      <c r="B1182" s="137" t="s">
        <v>298</v>
      </c>
      <c r="C1182" s="137" t="s">
        <v>5758</v>
      </c>
      <c r="D1182" s="338">
        <v>8246</v>
      </c>
      <c r="E1182" s="137">
        <v>2742</v>
      </c>
      <c r="F1182" s="137">
        <v>102</v>
      </c>
    </row>
    <row r="1183" spans="1:6" x14ac:dyDescent="0.25">
      <c r="A1183" s="137" t="s">
        <v>13870</v>
      </c>
      <c r="B1183" s="137" t="s">
        <v>298</v>
      </c>
      <c r="C1183" s="137" t="s">
        <v>4609</v>
      </c>
      <c r="D1183" s="338">
        <v>11307</v>
      </c>
      <c r="E1183" s="137">
        <v>3508</v>
      </c>
      <c r="F1183" s="137">
        <v>868</v>
      </c>
    </row>
    <row r="1184" spans="1:6" x14ac:dyDescent="0.25">
      <c r="A1184" s="137" t="s">
        <v>13862</v>
      </c>
      <c r="B1184" s="137" t="s">
        <v>298</v>
      </c>
      <c r="C1184" s="137" t="s">
        <v>5068</v>
      </c>
      <c r="D1184" s="338">
        <v>8788</v>
      </c>
      <c r="E1184" s="137">
        <v>3293</v>
      </c>
      <c r="F1184" s="137">
        <v>653</v>
      </c>
    </row>
    <row r="1185" spans="1:6" x14ac:dyDescent="0.25">
      <c r="A1185" s="137" t="s">
        <v>13468</v>
      </c>
      <c r="B1185" s="137" t="s">
        <v>298</v>
      </c>
      <c r="C1185" s="137" t="s">
        <v>4324</v>
      </c>
      <c r="D1185" s="338">
        <v>6808</v>
      </c>
      <c r="E1185" s="137">
        <v>3981</v>
      </c>
      <c r="F1185" s="137">
        <v>21</v>
      </c>
    </row>
    <row r="1186" spans="1:6" x14ac:dyDescent="0.25">
      <c r="A1186" s="137" t="s">
        <v>13888</v>
      </c>
      <c r="B1186" s="137" t="s">
        <v>298</v>
      </c>
      <c r="C1186" s="137" t="s">
        <v>5221</v>
      </c>
      <c r="D1186" s="338">
        <v>10332</v>
      </c>
      <c r="E1186" s="137">
        <v>3883</v>
      </c>
      <c r="F1186" s="137">
        <v>1243</v>
      </c>
    </row>
    <row r="1187" spans="1:6" x14ac:dyDescent="0.25">
      <c r="A1187" s="137" t="s">
        <v>13764</v>
      </c>
      <c r="B1187" s="137" t="s">
        <v>298</v>
      </c>
      <c r="C1187" s="137" t="s">
        <v>335</v>
      </c>
      <c r="D1187" s="338">
        <v>11794</v>
      </c>
      <c r="E1187" s="137">
        <v>4217</v>
      </c>
      <c r="F1187" s="137">
        <v>257</v>
      </c>
    </row>
    <row r="1188" spans="1:6" x14ac:dyDescent="0.25">
      <c r="A1188" s="137" t="s">
        <v>13774</v>
      </c>
      <c r="B1188" s="137" t="s">
        <v>298</v>
      </c>
      <c r="C1188" s="137" t="s">
        <v>5260</v>
      </c>
      <c r="D1188" s="338">
        <v>11731</v>
      </c>
      <c r="E1188" s="137">
        <v>3475</v>
      </c>
      <c r="F1188" s="137">
        <v>835</v>
      </c>
    </row>
    <row r="1189" spans="1:6" x14ac:dyDescent="0.25">
      <c r="A1189" s="137" t="s">
        <v>13894</v>
      </c>
      <c r="B1189" s="137" t="s">
        <v>298</v>
      </c>
      <c r="C1189" s="137" t="s">
        <v>4987</v>
      </c>
      <c r="D1189" s="338">
        <v>11343</v>
      </c>
      <c r="E1189" s="137">
        <v>3469</v>
      </c>
      <c r="F1189" s="137">
        <v>829</v>
      </c>
    </row>
    <row r="1190" spans="1:6" x14ac:dyDescent="0.25">
      <c r="A1190" s="137" t="s">
        <v>13749</v>
      </c>
      <c r="B1190" s="137" t="s">
        <v>298</v>
      </c>
      <c r="C1190" s="137" t="s">
        <v>5636</v>
      </c>
      <c r="D1190" s="338">
        <v>11856</v>
      </c>
      <c r="E1190" s="137">
        <v>3472</v>
      </c>
      <c r="F1190" s="137">
        <v>832</v>
      </c>
    </row>
    <row r="1191" spans="1:6" x14ac:dyDescent="0.25">
      <c r="A1191" s="137" t="s">
        <v>13800</v>
      </c>
      <c r="B1191" s="137" t="s">
        <v>298</v>
      </c>
      <c r="C1191" s="137" t="s">
        <v>5163</v>
      </c>
      <c r="D1191" s="338">
        <v>5308</v>
      </c>
      <c r="E1191" s="137">
        <v>4387</v>
      </c>
      <c r="F1191" s="137">
        <v>427</v>
      </c>
    </row>
    <row r="1192" spans="1:6" x14ac:dyDescent="0.25">
      <c r="A1192" s="137" t="s">
        <v>13985</v>
      </c>
      <c r="B1192" s="137" t="s">
        <v>298</v>
      </c>
      <c r="C1192" s="137" t="s">
        <v>5715</v>
      </c>
      <c r="D1192" s="338">
        <v>8226</v>
      </c>
      <c r="E1192" s="137">
        <v>2610</v>
      </c>
      <c r="F1192" s="137">
        <v>1290</v>
      </c>
    </row>
    <row r="1193" spans="1:6" x14ac:dyDescent="0.25">
      <c r="A1193" s="137" t="s">
        <v>13811</v>
      </c>
      <c r="B1193" s="137" t="s">
        <v>298</v>
      </c>
      <c r="C1193" s="137" t="s">
        <v>326</v>
      </c>
      <c r="D1193" s="338">
        <v>7608</v>
      </c>
      <c r="E1193" s="137">
        <v>3818</v>
      </c>
      <c r="F1193" s="137">
        <v>1178</v>
      </c>
    </row>
    <row r="1194" spans="1:6" x14ac:dyDescent="0.25">
      <c r="A1194" s="137" t="s">
        <v>13584</v>
      </c>
      <c r="B1194" s="137" t="s">
        <v>298</v>
      </c>
      <c r="C1194" s="137" t="s">
        <v>324</v>
      </c>
      <c r="D1194" s="338">
        <v>9798</v>
      </c>
      <c r="E1194" s="137">
        <v>2912</v>
      </c>
      <c r="F1194" s="137">
        <v>272</v>
      </c>
    </row>
    <row r="1195" spans="1:6" x14ac:dyDescent="0.25">
      <c r="A1195" s="137" t="s">
        <v>13903</v>
      </c>
      <c r="B1195" s="137" t="s">
        <v>298</v>
      </c>
      <c r="C1195" s="137" t="s">
        <v>320</v>
      </c>
      <c r="D1195" s="338">
        <v>12187</v>
      </c>
      <c r="E1195" s="137">
        <v>2968</v>
      </c>
      <c r="F1195" s="137">
        <v>328</v>
      </c>
    </row>
    <row r="1196" spans="1:6" x14ac:dyDescent="0.25">
      <c r="A1196" s="137" t="s">
        <v>13901</v>
      </c>
      <c r="B1196" s="137" t="s">
        <v>298</v>
      </c>
      <c r="C1196" s="137" t="s">
        <v>319</v>
      </c>
      <c r="D1196" s="338">
        <v>12219</v>
      </c>
      <c r="E1196" s="137">
        <v>4008</v>
      </c>
      <c r="F1196" s="137">
        <v>48</v>
      </c>
    </row>
    <row r="1197" spans="1:6" x14ac:dyDescent="0.25">
      <c r="A1197" s="137" t="s">
        <v>13836</v>
      </c>
      <c r="B1197" s="137" t="s">
        <v>298</v>
      </c>
      <c r="C1197" s="137" t="s">
        <v>883</v>
      </c>
      <c r="D1197" s="338">
        <v>9275</v>
      </c>
      <c r="E1197" s="137">
        <v>3370</v>
      </c>
      <c r="F1197" s="137">
        <v>730</v>
      </c>
    </row>
    <row r="1198" spans="1:6" x14ac:dyDescent="0.25">
      <c r="A1198" s="137" t="s">
        <v>13653</v>
      </c>
      <c r="B1198" s="137" t="s">
        <v>298</v>
      </c>
      <c r="C1198" s="137" t="s">
        <v>1600</v>
      </c>
      <c r="D1198" s="338">
        <v>9182</v>
      </c>
      <c r="E1198" s="137">
        <v>3440</v>
      </c>
      <c r="F1198" s="137">
        <v>800</v>
      </c>
    </row>
    <row r="1199" spans="1:6" x14ac:dyDescent="0.25">
      <c r="A1199" s="137" t="s">
        <v>13837</v>
      </c>
      <c r="B1199" s="137" t="s">
        <v>298</v>
      </c>
      <c r="C1199" s="137" t="s">
        <v>2394</v>
      </c>
      <c r="D1199" s="338">
        <v>8824</v>
      </c>
      <c r="E1199" s="137">
        <v>3596</v>
      </c>
      <c r="F1199" s="137">
        <v>956</v>
      </c>
    </row>
    <row r="1200" spans="1:6" x14ac:dyDescent="0.25">
      <c r="A1200" s="137" t="s">
        <v>13909</v>
      </c>
      <c r="B1200" s="137" t="s">
        <v>298</v>
      </c>
      <c r="C1200" s="137" t="s">
        <v>5401</v>
      </c>
      <c r="D1200" s="338">
        <v>9537</v>
      </c>
      <c r="E1200" s="137">
        <v>2714</v>
      </c>
      <c r="F1200" s="137">
        <v>74</v>
      </c>
    </row>
    <row r="1201" spans="1:6" x14ac:dyDescent="0.25">
      <c r="A1201" s="137" t="s">
        <v>13866</v>
      </c>
      <c r="B1201" s="137" t="s">
        <v>298</v>
      </c>
      <c r="C1201" s="137" t="s">
        <v>4198</v>
      </c>
      <c r="D1201" s="338">
        <v>11465</v>
      </c>
      <c r="E1201" s="137">
        <v>3324</v>
      </c>
      <c r="F1201" s="137">
        <v>684</v>
      </c>
    </row>
    <row r="1202" spans="1:6" x14ac:dyDescent="0.25">
      <c r="A1202" s="137" t="s">
        <v>13879</v>
      </c>
      <c r="B1202" s="137" t="s">
        <v>298</v>
      </c>
      <c r="C1202" s="137" t="s">
        <v>316</v>
      </c>
      <c r="D1202" s="338">
        <v>10828</v>
      </c>
      <c r="E1202" s="137">
        <v>4111</v>
      </c>
      <c r="F1202" s="137">
        <v>151</v>
      </c>
    </row>
    <row r="1203" spans="1:6" x14ac:dyDescent="0.25">
      <c r="A1203" s="137" t="s">
        <v>13427</v>
      </c>
      <c r="B1203" s="137" t="s">
        <v>298</v>
      </c>
      <c r="C1203" s="137" t="s">
        <v>4779</v>
      </c>
      <c r="D1203" s="338">
        <v>11732</v>
      </c>
      <c r="E1203" s="137">
        <v>3558</v>
      </c>
      <c r="F1203" s="137">
        <v>918</v>
      </c>
    </row>
    <row r="1204" spans="1:6" x14ac:dyDescent="0.25">
      <c r="A1204" s="137" t="s">
        <v>14012</v>
      </c>
      <c r="B1204" s="137" t="s">
        <v>298</v>
      </c>
      <c r="C1204" s="137" t="s">
        <v>314</v>
      </c>
      <c r="D1204" s="338">
        <v>7686</v>
      </c>
      <c r="E1204" s="137">
        <v>2534</v>
      </c>
      <c r="F1204" s="137">
        <v>1214</v>
      </c>
    </row>
    <row r="1205" spans="1:6" x14ac:dyDescent="0.25">
      <c r="A1205" s="137" t="s">
        <v>13423</v>
      </c>
      <c r="B1205" s="137" t="s">
        <v>298</v>
      </c>
      <c r="C1205" s="137" t="s">
        <v>312</v>
      </c>
      <c r="D1205" s="338">
        <v>1723</v>
      </c>
      <c r="E1205" s="137">
        <v>3333</v>
      </c>
      <c r="F1205" s="137">
        <v>693</v>
      </c>
    </row>
    <row r="1206" spans="1:6" x14ac:dyDescent="0.25">
      <c r="A1206" s="137" t="s">
        <v>13517</v>
      </c>
      <c r="B1206" s="137" t="s">
        <v>298</v>
      </c>
      <c r="C1206" s="137" t="s">
        <v>3313</v>
      </c>
      <c r="D1206" s="338">
        <v>7882</v>
      </c>
      <c r="E1206" s="137">
        <v>4063</v>
      </c>
      <c r="F1206" s="137">
        <v>103</v>
      </c>
    </row>
    <row r="1207" spans="1:6" x14ac:dyDescent="0.25">
      <c r="A1207" s="137" t="s">
        <v>13639</v>
      </c>
      <c r="B1207" s="137" t="s">
        <v>298</v>
      </c>
      <c r="C1207" s="137" t="s">
        <v>309</v>
      </c>
      <c r="D1207" s="338">
        <v>9434</v>
      </c>
      <c r="E1207" s="137">
        <v>3123</v>
      </c>
      <c r="F1207" s="137">
        <v>483</v>
      </c>
    </row>
    <row r="1208" spans="1:6" x14ac:dyDescent="0.25">
      <c r="A1208" s="137" t="s">
        <v>13746</v>
      </c>
      <c r="B1208" s="137" t="s">
        <v>298</v>
      </c>
      <c r="C1208" s="137" t="s">
        <v>5064</v>
      </c>
      <c r="D1208" s="338">
        <v>6993</v>
      </c>
      <c r="E1208" s="137">
        <v>2679</v>
      </c>
      <c r="F1208" s="137">
        <v>39</v>
      </c>
    </row>
    <row r="1209" spans="1:6" x14ac:dyDescent="0.25">
      <c r="A1209" s="137" t="s">
        <v>13583</v>
      </c>
      <c r="B1209" s="137" t="s">
        <v>298</v>
      </c>
      <c r="C1209" s="137" t="s">
        <v>306</v>
      </c>
      <c r="D1209" s="338">
        <v>9799</v>
      </c>
      <c r="E1209" s="137">
        <v>3278</v>
      </c>
      <c r="F1209" s="137">
        <v>638</v>
      </c>
    </row>
    <row r="1210" spans="1:6" x14ac:dyDescent="0.25">
      <c r="A1210" s="137" t="s">
        <v>13452</v>
      </c>
      <c r="B1210" s="137" t="s">
        <v>298</v>
      </c>
      <c r="C1210" s="137" t="s">
        <v>3868</v>
      </c>
      <c r="D1210" s="338">
        <v>7263</v>
      </c>
      <c r="E1210" s="137">
        <v>3161</v>
      </c>
      <c r="F1210" s="137">
        <v>521</v>
      </c>
    </row>
    <row r="1211" spans="1:6" x14ac:dyDescent="0.25">
      <c r="A1211" s="137" t="s">
        <v>13676</v>
      </c>
      <c r="B1211" s="137" t="s">
        <v>298</v>
      </c>
      <c r="C1211" s="137" t="s">
        <v>5480</v>
      </c>
      <c r="D1211" s="338">
        <v>7863</v>
      </c>
      <c r="E1211" s="137">
        <v>3167</v>
      </c>
      <c r="F1211" s="137">
        <v>527</v>
      </c>
    </row>
    <row r="1212" spans="1:6" x14ac:dyDescent="0.25">
      <c r="A1212" s="137" t="s">
        <v>13738</v>
      </c>
      <c r="B1212" s="137" t="s">
        <v>298</v>
      </c>
      <c r="C1212" s="137" t="s">
        <v>4900</v>
      </c>
      <c r="D1212" s="338">
        <v>10628</v>
      </c>
      <c r="E1212" s="137">
        <v>3021</v>
      </c>
      <c r="F1212" s="137">
        <v>381</v>
      </c>
    </row>
    <row r="1213" spans="1:6" x14ac:dyDescent="0.25">
      <c r="A1213" s="137" t="s">
        <v>13807</v>
      </c>
      <c r="B1213" s="137" t="s">
        <v>298</v>
      </c>
      <c r="C1213" s="137" t="s">
        <v>2007</v>
      </c>
      <c r="D1213" s="338">
        <v>10707</v>
      </c>
      <c r="E1213" s="137">
        <v>4761</v>
      </c>
      <c r="F1213" s="137">
        <v>801</v>
      </c>
    </row>
    <row r="1214" spans="1:6" x14ac:dyDescent="0.25">
      <c r="A1214" s="137" t="s">
        <v>13466</v>
      </c>
      <c r="B1214" s="137" t="s">
        <v>298</v>
      </c>
      <c r="C1214" s="137" t="s">
        <v>1769</v>
      </c>
      <c r="D1214" s="338">
        <v>7454</v>
      </c>
      <c r="E1214" s="137">
        <v>3357</v>
      </c>
      <c r="F1214" s="137">
        <v>717</v>
      </c>
    </row>
    <row r="1215" spans="1:6" x14ac:dyDescent="0.25">
      <c r="A1215" s="137" t="s">
        <v>13847</v>
      </c>
      <c r="B1215" s="137" t="s">
        <v>298</v>
      </c>
      <c r="C1215" s="137" t="s">
        <v>295</v>
      </c>
      <c r="D1215" s="338">
        <v>9381</v>
      </c>
      <c r="E1215" s="137">
        <v>2712</v>
      </c>
      <c r="F1215" s="137">
        <v>72</v>
      </c>
    </row>
    <row r="1216" spans="1:6" x14ac:dyDescent="0.25">
      <c r="A1216" s="137" t="s">
        <v>14050</v>
      </c>
      <c r="B1216" s="137" t="s">
        <v>298</v>
      </c>
      <c r="C1216" s="137" t="s">
        <v>1755</v>
      </c>
      <c r="D1216" s="338">
        <v>11229</v>
      </c>
      <c r="E1216" s="137">
        <v>3542</v>
      </c>
      <c r="F1216" s="137">
        <v>902</v>
      </c>
    </row>
    <row r="1217" spans="1:6" x14ac:dyDescent="0.25">
      <c r="A1217" s="137" t="s">
        <v>13437</v>
      </c>
      <c r="B1217" s="137" t="s">
        <v>298</v>
      </c>
      <c r="C1217" s="137" t="s">
        <v>4962</v>
      </c>
      <c r="D1217" s="338">
        <v>12202</v>
      </c>
      <c r="E1217" s="137">
        <v>3641</v>
      </c>
      <c r="F1217" s="137">
        <v>1001</v>
      </c>
    </row>
    <row r="1218" spans="1:6" x14ac:dyDescent="0.25">
      <c r="A1218" s="137" t="s">
        <v>13875</v>
      </c>
      <c r="B1218" s="137" t="s">
        <v>298</v>
      </c>
      <c r="C1218" s="137" t="s">
        <v>4447</v>
      </c>
      <c r="D1218" s="338">
        <v>11045</v>
      </c>
      <c r="E1218" s="137">
        <v>3473</v>
      </c>
      <c r="F1218" s="137">
        <v>833</v>
      </c>
    </row>
    <row r="1219" spans="1:6" x14ac:dyDescent="0.25">
      <c r="A1219" s="137" t="s">
        <v>13579</v>
      </c>
      <c r="B1219" s="137" t="s">
        <v>298</v>
      </c>
      <c r="C1219" s="137" t="s">
        <v>288</v>
      </c>
      <c r="D1219" s="338">
        <v>10135</v>
      </c>
      <c r="E1219" s="137">
        <v>2975</v>
      </c>
      <c r="F1219" s="137">
        <v>335</v>
      </c>
    </row>
    <row r="1220" spans="1:6" x14ac:dyDescent="0.25">
      <c r="A1220" s="137" t="s">
        <v>13505</v>
      </c>
      <c r="B1220" s="137" t="s">
        <v>298</v>
      </c>
      <c r="C1220" s="137" t="s">
        <v>5465</v>
      </c>
      <c r="D1220" s="338">
        <v>6461</v>
      </c>
      <c r="E1220" s="137">
        <v>3204</v>
      </c>
      <c r="F1220" s="137">
        <v>564</v>
      </c>
    </row>
    <row r="1221" spans="1:6" x14ac:dyDescent="0.25">
      <c r="A1221" s="137" t="s">
        <v>13552</v>
      </c>
      <c r="B1221" s="137" t="s">
        <v>298</v>
      </c>
      <c r="C1221" s="137" t="s">
        <v>282</v>
      </c>
      <c r="D1221" s="338">
        <v>11298</v>
      </c>
      <c r="E1221" s="137">
        <v>3302</v>
      </c>
      <c r="F1221" s="137">
        <v>662</v>
      </c>
    </row>
    <row r="1222" spans="1:6" x14ac:dyDescent="0.25">
      <c r="A1222" s="137" t="s">
        <v>13389</v>
      </c>
      <c r="B1222" s="137" t="s">
        <v>298</v>
      </c>
      <c r="C1222" s="137" t="s">
        <v>3984</v>
      </c>
      <c r="D1222" s="338">
        <v>8298</v>
      </c>
      <c r="E1222" s="137">
        <v>3077</v>
      </c>
      <c r="F1222" s="137">
        <v>437</v>
      </c>
    </row>
    <row r="1223" spans="1:6" x14ac:dyDescent="0.25">
      <c r="A1223" s="137" t="s">
        <v>13915</v>
      </c>
      <c r="B1223" s="137" t="s">
        <v>298</v>
      </c>
      <c r="C1223" s="137" t="s">
        <v>485</v>
      </c>
      <c r="D1223" s="338">
        <v>13037</v>
      </c>
      <c r="E1223" s="137">
        <v>2703</v>
      </c>
      <c r="F1223" s="137">
        <v>63</v>
      </c>
    </row>
    <row r="1224" spans="1:6" x14ac:dyDescent="0.25">
      <c r="A1224" s="137" t="s">
        <v>13511</v>
      </c>
      <c r="B1224" s="137" t="s">
        <v>298</v>
      </c>
      <c r="C1224" s="137" t="s">
        <v>4391</v>
      </c>
      <c r="D1224" s="338">
        <v>5886</v>
      </c>
      <c r="E1224" s="137">
        <v>2640</v>
      </c>
      <c r="F1224" s="137">
        <v>0</v>
      </c>
    </row>
    <row r="1225" spans="1:6" x14ac:dyDescent="0.25">
      <c r="A1225" s="137" t="s">
        <v>13572</v>
      </c>
      <c r="B1225" s="137" t="s">
        <v>298</v>
      </c>
      <c r="C1225" s="137" t="s">
        <v>1333</v>
      </c>
      <c r="D1225" s="338">
        <v>9658</v>
      </c>
      <c r="E1225" s="137">
        <v>2085</v>
      </c>
      <c r="F1225" s="137">
        <v>765</v>
      </c>
    </row>
    <row r="1226" spans="1:6" x14ac:dyDescent="0.25">
      <c r="A1226" s="137" t="s">
        <v>13536</v>
      </c>
      <c r="B1226" s="137" t="s">
        <v>298</v>
      </c>
      <c r="C1226" s="137" t="s">
        <v>5471</v>
      </c>
      <c r="D1226" s="338">
        <v>10288</v>
      </c>
      <c r="E1226" s="137">
        <v>4165</v>
      </c>
      <c r="F1226" s="137">
        <v>205</v>
      </c>
    </row>
    <row r="1227" spans="1:6" x14ac:dyDescent="0.25">
      <c r="A1227" s="137" t="s">
        <v>14015</v>
      </c>
      <c r="B1227" s="137" t="s">
        <v>298</v>
      </c>
      <c r="C1227" s="137" t="s">
        <v>261</v>
      </c>
      <c r="D1227" s="338">
        <v>7651</v>
      </c>
      <c r="E1227" s="137">
        <v>2431</v>
      </c>
      <c r="F1227" s="137">
        <v>1111</v>
      </c>
    </row>
    <row r="1228" spans="1:6" x14ac:dyDescent="0.25">
      <c r="A1228" s="137" t="s">
        <v>14002</v>
      </c>
      <c r="B1228" s="137" t="s">
        <v>298</v>
      </c>
      <c r="C1228" s="137" t="s">
        <v>5741</v>
      </c>
      <c r="D1228" s="338">
        <v>7908</v>
      </c>
      <c r="E1228" s="137">
        <v>2588</v>
      </c>
      <c r="F1228" s="137">
        <v>1268</v>
      </c>
    </row>
    <row r="1229" spans="1:6" x14ac:dyDescent="0.25">
      <c r="A1229" s="137" t="s">
        <v>13388</v>
      </c>
      <c r="B1229" s="137" t="s">
        <v>298</v>
      </c>
      <c r="C1229" s="137" t="s">
        <v>3008</v>
      </c>
      <c r="D1229" s="338">
        <v>8304</v>
      </c>
      <c r="E1229" s="137">
        <v>2806</v>
      </c>
      <c r="F1229" s="137">
        <v>166</v>
      </c>
    </row>
    <row r="1230" spans="1:6" x14ac:dyDescent="0.25">
      <c r="A1230" s="137" t="s">
        <v>13620</v>
      </c>
      <c r="B1230" s="137" t="s">
        <v>298</v>
      </c>
      <c r="C1230" s="137" t="s">
        <v>4935</v>
      </c>
      <c r="D1230" s="338">
        <v>12132</v>
      </c>
      <c r="E1230" s="137">
        <v>3572</v>
      </c>
      <c r="F1230" s="137">
        <v>932</v>
      </c>
    </row>
    <row r="1231" spans="1:6" x14ac:dyDescent="0.25">
      <c r="A1231" s="137" t="s">
        <v>13619</v>
      </c>
      <c r="B1231" s="137" t="s">
        <v>298</v>
      </c>
      <c r="C1231" s="137" t="s">
        <v>5283</v>
      </c>
      <c r="D1231" s="338">
        <v>12150</v>
      </c>
      <c r="E1231" s="137">
        <v>3754</v>
      </c>
      <c r="F1231" s="137">
        <v>1114</v>
      </c>
    </row>
    <row r="1232" spans="1:6" x14ac:dyDescent="0.25">
      <c r="A1232" s="137" t="s">
        <v>13490</v>
      </c>
      <c r="B1232" s="137" t="s">
        <v>298</v>
      </c>
      <c r="C1232" s="137" t="s">
        <v>256</v>
      </c>
      <c r="D1232" s="338">
        <v>6278</v>
      </c>
      <c r="E1232" s="137">
        <v>2023</v>
      </c>
      <c r="F1232" s="137">
        <v>703</v>
      </c>
    </row>
    <row r="1233" spans="1:6" x14ac:dyDescent="0.25">
      <c r="A1233" s="137" t="s">
        <v>13493</v>
      </c>
      <c r="B1233" s="137" t="s">
        <v>298</v>
      </c>
      <c r="C1233" s="137" t="s">
        <v>3964</v>
      </c>
      <c r="D1233" s="338">
        <v>2464</v>
      </c>
      <c r="E1233" s="137">
        <v>2476</v>
      </c>
      <c r="F1233" s="137">
        <v>1156</v>
      </c>
    </row>
    <row r="1234" spans="1:6" x14ac:dyDescent="0.25">
      <c r="A1234" s="137" t="s">
        <v>13883</v>
      </c>
      <c r="B1234" s="137" t="s">
        <v>298</v>
      </c>
      <c r="C1234" s="137" t="s">
        <v>252</v>
      </c>
      <c r="D1234" s="338">
        <v>10559</v>
      </c>
      <c r="E1234" s="137">
        <v>3440</v>
      </c>
      <c r="F1234" s="137">
        <v>800</v>
      </c>
    </row>
    <row r="1235" spans="1:6" x14ac:dyDescent="0.25">
      <c r="A1235" s="137" t="s">
        <v>13731</v>
      </c>
      <c r="B1235" s="137" t="s">
        <v>298</v>
      </c>
      <c r="C1235" s="137" t="s">
        <v>917</v>
      </c>
      <c r="D1235" s="338">
        <v>3327</v>
      </c>
      <c r="E1235" s="137">
        <v>2663</v>
      </c>
      <c r="F1235" s="137">
        <v>23</v>
      </c>
    </row>
    <row r="1236" spans="1:6" x14ac:dyDescent="0.25">
      <c r="A1236" s="137" t="s">
        <v>13798</v>
      </c>
      <c r="B1236" s="137" t="s">
        <v>298</v>
      </c>
      <c r="C1236" s="137" t="s">
        <v>5639</v>
      </c>
      <c r="D1236" s="338">
        <v>10532</v>
      </c>
      <c r="E1236" s="137">
        <v>3847</v>
      </c>
      <c r="F1236" s="137">
        <v>1207</v>
      </c>
    </row>
    <row r="1237" spans="1:6" x14ac:dyDescent="0.25">
      <c r="A1237" s="137" t="s">
        <v>14013</v>
      </c>
      <c r="B1237" s="137" t="s">
        <v>298</v>
      </c>
      <c r="C1237" s="137" t="s">
        <v>238</v>
      </c>
      <c r="D1237" s="338">
        <v>7666</v>
      </c>
      <c r="E1237" s="137">
        <v>2628</v>
      </c>
      <c r="F1237" s="137">
        <v>1308</v>
      </c>
    </row>
    <row r="1238" spans="1:6" x14ac:dyDescent="0.25">
      <c r="A1238" s="137" t="s">
        <v>13523</v>
      </c>
      <c r="B1238" s="137" t="s">
        <v>298</v>
      </c>
      <c r="C1238" s="137" t="s">
        <v>3215</v>
      </c>
      <c r="D1238" s="338">
        <v>10480</v>
      </c>
      <c r="E1238" s="137">
        <v>4181</v>
      </c>
      <c r="F1238" s="137">
        <v>221</v>
      </c>
    </row>
    <row r="1239" spans="1:6" x14ac:dyDescent="0.25">
      <c r="A1239" s="137" t="s">
        <v>13812</v>
      </c>
      <c r="B1239" s="137" t="s">
        <v>298</v>
      </c>
      <c r="C1239" s="137" t="s">
        <v>234</v>
      </c>
      <c r="D1239" s="338">
        <v>7440</v>
      </c>
      <c r="E1239" s="137">
        <v>4418</v>
      </c>
      <c r="F1239" s="137">
        <v>458</v>
      </c>
    </row>
    <row r="1240" spans="1:6" x14ac:dyDescent="0.25">
      <c r="A1240" s="137" t="s">
        <v>13854</v>
      </c>
      <c r="B1240" s="137" t="s">
        <v>298</v>
      </c>
      <c r="C1240" s="137" t="s">
        <v>3668</v>
      </c>
      <c r="D1240" s="338">
        <v>9199</v>
      </c>
      <c r="E1240" s="137">
        <v>3764</v>
      </c>
      <c r="F1240" s="137">
        <v>1124</v>
      </c>
    </row>
    <row r="1241" spans="1:6" x14ac:dyDescent="0.25">
      <c r="A1241" s="137" t="s">
        <v>13709</v>
      </c>
      <c r="B1241" s="137" t="s">
        <v>298</v>
      </c>
      <c r="C1241" s="137" t="s">
        <v>5452</v>
      </c>
      <c r="D1241" s="338">
        <v>7164</v>
      </c>
      <c r="E1241" s="137">
        <v>4613</v>
      </c>
      <c r="F1241" s="137">
        <v>653</v>
      </c>
    </row>
    <row r="1242" spans="1:6" x14ac:dyDescent="0.25">
      <c r="A1242" s="137" t="s">
        <v>13895</v>
      </c>
      <c r="B1242" s="137" t="s">
        <v>298</v>
      </c>
      <c r="C1242" s="137" t="s">
        <v>5419</v>
      </c>
      <c r="D1242" s="338">
        <v>11150</v>
      </c>
      <c r="E1242" s="137">
        <v>3831</v>
      </c>
      <c r="F1242" s="137">
        <v>1191</v>
      </c>
    </row>
    <row r="1243" spans="1:6" x14ac:dyDescent="0.25">
      <c r="A1243" s="137" t="s">
        <v>13379</v>
      </c>
      <c r="B1243" s="137" t="s">
        <v>298</v>
      </c>
      <c r="C1243" s="137" t="s">
        <v>3674</v>
      </c>
      <c r="D1243" s="338">
        <v>13383</v>
      </c>
      <c r="E1243" s="137">
        <v>2787</v>
      </c>
      <c r="F1243" s="137">
        <v>147</v>
      </c>
    </row>
    <row r="1244" spans="1:6" x14ac:dyDescent="0.25">
      <c r="A1244" s="137" t="s">
        <v>13610</v>
      </c>
      <c r="B1244" s="137" t="s">
        <v>298</v>
      </c>
      <c r="C1244" s="137" t="s">
        <v>227</v>
      </c>
      <c r="D1244" s="338">
        <v>9942</v>
      </c>
      <c r="E1244" s="137">
        <v>2529</v>
      </c>
      <c r="F1244" s="137">
        <v>1209</v>
      </c>
    </row>
    <row r="1245" spans="1:6" x14ac:dyDescent="0.25">
      <c r="A1245" s="137" t="s">
        <v>13723</v>
      </c>
      <c r="B1245" s="137" t="s">
        <v>298</v>
      </c>
      <c r="C1245" s="137" t="s">
        <v>224</v>
      </c>
      <c r="D1245" s="338">
        <v>13353</v>
      </c>
      <c r="E1245" s="137">
        <v>4932</v>
      </c>
      <c r="F1245" s="137">
        <v>972</v>
      </c>
    </row>
    <row r="1246" spans="1:6" x14ac:dyDescent="0.25">
      <c r="A1246" s="137" t="s">
        <v>13918</v>
      </c>
      <c r="B1246" s="137" t="s">
        <v>298</v>
      </c>
      <c r="C1246" s="137" t="s">
        <v>5095</v>
      </c>
      <c r="D1246" s="338">
        <v>12798</v>
      </c>
      <c r="E1246" s="137">
        <v>2389</v>
      </c>
      <c r="F1246" s="137">
        <v>1069</v>
      </c>
    </row>
    <row r="1247" spans="1:6" x14ac:dyDescent="0.25">
      <c r="A1247" s="137" t="s">
        <v>13769</v>
      </c>
      <c r="B1247" s="137" t="s">
        <v>298</v>
      </c>
      <c r="C1247" s="137" t="s">
        <v>4860</v>
      </c>
      <c r="D1247" s="338">
        <v>11502</v>
      </c>
      <c r="E1247" s="137">
        <v>3231</v>
      </c>
      <c r="F1247" s="137">
        <v>591</v>
      </c>
    </row>
    <row r="1248" spans="1:6" x14ac:dyDescent="0.25">
      <c r="A1248" s="137" t="s">
        <v>13835</v>
      </c>
      <c r="B1248" s="137" t="s">
        <v>298</v>
      </c>
      <c r="C1248" s="137" t="s">
        <v>3650</v>
      </c>
      <c r="D1248" s="338">
        <v>9618</v>
      </c>
      <c r="E1248" s="137">
        <v>3831</v>
      </c>
      <c r="F1248" s="137">
        <v>1191</v>
      </c>
    </row>
    <row r="1249" spans="1:6" x14ac:dyDescent="0.25">
      <c r="A1249" s="137" t="s">
        <v>13865</v>
      </c>
      <c r="B1249" s="137" t="s">
        <v>298</v>
      </c>
      <c r="C1249" s="137" t="s">
        <v>3640</v>
      </c>
      <c r="D1249" s="338">
        <v>11643</v>
      </c>
      <c r="E1249" s="137">
        <v>3170</v>
      </c>
      <c r="F1249" s="137">
        <v>530</v>
      </c>
    </row>
    <row r="1250" spans="1:6" x14ac:dyDescent="0.25">
      <c r="A1250" s="137" t="s">
        <v>13740</v>
      </c>
      <c r="B1250" s="137" t="s">
        <v>298</v>
      </c>
      <c r="C1250" s="137" t="s">
        <v>5061</v>
      </c>
      <c r="D1250" s="338">
        <v>10424</v>
      </c>
      <c r="E1250" s="137">
        <v>3197</v>
      </c>
      <c r="F1250" s="137">
        <v>557</v>
      </c>
    </row>
    <row r="1251" spans="1:6" x14ac:dyDescent="0.25">
      <c r="A1251" s="137" t="s">
        <v>13592</v>
      </c>
      <c r="B1251" s="137" t="s">
        <v>298</v>
      </c>
      <c r="C1251" s="137" t="s">
        <v>3763</v>
      </c>
      <c r="D1251" s="338">
        <v>10237</v>
      </c>
      <c r="E1251" s="137">
        <v>2368</v>
      </c>
      <c r="F1251" s="137">
        <v>1048</v>
      </c>
    </row>
    <row r="1252" spans="1:6" x14ac:dyDescent="0.25">
      <c r="A1252" s="137" t="s">
        <v>13654</v>
      </c>
      <c r="B1252" s="137" t="s">
        <v>298</v>
      </c>
      <c r="C1252" s="137" t="s">
        <v>5483</v>
      </c>
      <c r="D1252" s="338">
        <v>11660</v>
      </c>
      <c r="E1252" s="137">
        <v>3879</v>
      </c>
      <c r="F1252" s="137">
        <v>1239</v>
      </c>
    </row>
    <row r="1253" spans="1:6" x14ac:dyDescent="0.25">
      <c r="A1253" s="137" t="s">
        <v>13408</v>
      </c>
      <c r="B1253" s="137" t="s">
        <v>298</v>
      </c>
      <c r="C1253" s="137" t="s">
        <v>209</v>
      </c>
      <c r="D1253" s="338">
        <v>6535</v>
      </c>
      <c r="E1253" s="137">
        <v>4185</v>
      </c>
      <c r="F1253" s="137">
        <v>225</v>
      </c>
    </row>
    <row r="1254" spans="1:6" x14ac:dyDescent="0.25">
      <c r="A1254" s="137" t="s">
        <v>13940</v>
      </c>
      <c r="B1254" s="137" t="s">
        <v>298</v>
      </c>
      <c r="C1254" s="137" t="s">
        <v>5739</v>
      </c>
      <c r="D1254" s="338">
        <v>9785</v>
      </c>
      <c r="E1254" s="137">
        <v>2686</v>
      </c>
      <c r="F1254" s="137">
        <v>46</v>
      </c>
    </row>
    <row r="1255" spans="1:6" x14ac:dyDescent="0.25">
      <c r="A1255" s="137" t="s">
        <v>13935</v>
      </c>
      <c r="B1255" s="137" t="s">
        <v>298</v>
      </c>
      <c r="C1255" s="137" t="s">
        <v>5754</v>
      </c>
      <c r="D1255" s="338">
        <v>9921</v>
      </c>
      <c r="E1255" s="137">
        <v>2742</v>
      </c>
      <c r="F1255" s="137">
        <v>102</v>
      </c>
    </row>
    <row r="1256" spans="1:6" x14ac:dyDescent="0.25">
      <c r="A1256" s="137" t="s">
        <v>13768</v>
      </c>
      <c r="B1256" s="137" t="s">
        <v>298</v>
      </c>
      <c r="C1256" s="137" t="s">
        <v>204</v>
      </c>
      <c r="D1256" s="338">
        <v>11539</v>
      </c>
      <c r="E1256" s="137">
        <v>3675</v>
      </c>
      <c r="F1256" s="137">
        <v>1035</v>
      </c>
    </row>
    <row r="1257" spans="1:6" x14ac:dyDescent="0.25">
      <c r="A1257" s="137" t="s">
        <v>13914</v>
      </c>
      <c r="B1257" s="137" t="s">
        <v>298</v>
      </c>
      <c r="C1257" s="137" t="s">
        <v>200</v>
      </c>
      <c r="D1257" s="338">
        <v>9447</v>
      </c>
      <c r="E1257" s="137">
        <v>3138</v>
      </c>
      <c r="F1257" s="137">
        <v>498</v>
      </c>
    </row>
    <row r="1258" spans="1:6" x14ac:dyDescent="0.25">
      <c r="A1258" s="137" t="s">
        <v>13913</v>
      </c>
      <c r="B1258" s="137" t="s">
        <v>298</v>
      </c>
      <c r="C1258" s="137" t="s">
        <v>195</v>
      </c>
      <c r="D1258" s="338">
        <v>9462</v>
      </c>
      <c r="E1258" s="137">
        <v>3278</v>
      </c>
      <c r="F1258" s="137">
        <v>638</v>
      </c>
    </row>
    <row r="1259" spans="1:6" x14ac:dyDescent="0.25">
      <c r="A1259" s="137" t="s">
        <v>13729</v>
      </c>
      <c r="B1259" s="137" t="s">
        <v>298</v>
      </c>
      <c r="C1259" s="137" t="s">
        <v>5549</v>
      </c>
      <c r="D1259" s="338">
        <v>3476</v>
      </c>
      <c r="E1259" s="137">
        <v>4445</v>
      </c>
      <c r="F1259" s="137">
        <v>485</v>
      </c>
    </row>
    <row r="1260" spans="1:6" x14ac:dyDescent="0.25">
      <c r="A1260" s="137" t="s">
        <v>13742</v>
      </c>
      <c r="B1260" s="137" t="s">
        <v>298</v>
      </c>
      <c r="C1260" s="137" t="s">
        <v>193</v>
      </c>
      <c r="D1260" s="338">
        <v>7936</v>
      </c>
      <c r="E1260" s="137">
        <v>3249</v>
      </c>
      <c r="F1260" s="137">
        <v>609</v>
      </c>
    </row>
    <row r="1261" spans="1:6" x14ac:dyDescent="0.25">
      <c r="A1261" s="137" t="s">
        <v>13713</v>
      </c>
      <c r="B1261" s="137" t="s">
        <v>298</v>
      </c>
      <c r="C1261" s="137" t="s">
        <v>484</v>
      </c>
      <c r="D1261" s="338">
        <v>6352</v>
      </c>
      <c r="E1261" s="137">
        <v>4707</v>
      </c>
      <c r="F1261" s="137">
        <v>747</v>
      </c>
    </row>
    <row r="1262" spans="1:6" x14ac:dyDescent="0.25">
      <c r="A1262" s="137" t="s">
        <v>13833</v>
      </c>
      <c r="B1262" s="137" t="s">
        <v>298</v>
      </c>
      <c r="C1262" s="137" t="s">
        <v>5583</v>
      </c>
      <c r="D1262" s="338">
        <v>6614</v>
      </c>
      <c r="E1262" s="137">
        <v>2517</v>
      </c>
      <c r="F1262" s="137">
        <v>1197</v>
      </c>
    </row>
    <row r="1263" spans="1:6" x14ac:dyDescent="0.25">
      <c r="A1263" s="137" t="s">
        <v>13446</v>
      </c>
      <c r="B1263" s="137" t="s">
        <v>298</v>
      </c>
      <c r="C1263" s="137" t="s">
        <v>4456</v>
      </c>
      <c r="D1263" s="338">
        <v>2394</v>
      </c>
      <c r="E1263" s="137">
        <v>3111</v>
      </c>
      <c r="F1263" s="137">
        <v>1791</v>
      </c>
    </row>
    <row r="1264" spans="1:6" x14ac:dyDescent="0.25">
      <c r="A1264" s="137" t="s">
        <v>13528</v>
      </c>
      <c r="B1264" s="137" t="s">
        <v>298</v>
      </c>
      <c r="C1264" s="137" t="s">
        <v>3889</v>
      </c>
      <c r="D1264" s="338">
        <v>5257</v>
      </c>
      <c r="E1264" s="137">
        <v>2824</v>
      </c>
      <c r="F1264" s="137">
        <v>184</v>
      </c>
    </row>
    <row r="1265" spans="1:6" x14ac:dyDescent="0.25">
      <c r="A1265" s="137" t="s">
        <v>13663</v>
      </c>
      <c r="B1265" s="137" t="s">
        <v>298</v>
      </c>
      <c r="C1265" s="137" t="s">
        <v>4891</v>
      </c>
      <c r="D1265" s="338">
        <v>9644</v>
      </c>
      <c r="E1265" s="137">
        <v>2338</v>
      </c>
      <c r="F1265" s="137">
        <v>1018</v>
      </c>
    </row>
    <row r="1266" spans="1:6" x14ac:dyDescent="0.25">
      <c r="A1266" s="137" t="s">
        <v>13428</v>
      </c>
      <c r="B1266" s="137" t="s">
        <v>298</v>
      </c>
      <c r="C1266" s="137" t="s">
        <v>1272</v>
      </c>
      <c r="D1266" s="338">
        <v>11709</v>
      </c>
      <c r="E1266" s="137">
        <v>2706</v>
      </c>
      <c r="F1266" s="137">
        <v>66</v>
      </c>
    </row>
    <row r="1267" spans="1:6" x14ac:dyDescent="0.25">
      <c r="A1267" s="137" t="s">
        <v>13539</v>
      </c>
      <c r="B1267" s="137" t="s">
        <v>298</v>
      </c>
      <c r="C1267" s="137" t="s">
        <v>5019</v>
      </c>
      <c r="D1267" s="338">
        <v>10118</v>
      </c>
      <c r="E1267" s="137">
        <v>3754</v>
      </c>
      <c r="F1267" s="137">
        <v>1114</v>
      </c>
    </row>
    <row r="1268" spans="1:6" x14ac:dyDescent="0.25">
      <c r="A1268" s="137" t="s">
        <v>13559</v>
      </c>
      <c r="B1268" s="137" t="s">
        <v>298</v>
      </c>
      <c r="C1268" s="137" t="s">
        <v>5543</v>
      </c>
      <c r="D1268" s="338">
        <v>9284</v>
      </c>
      <c r="E1268" s="137">
        <v>2306</v>
      </c>
      <c r="F1268" s="137">
        <v>986</v>
      </c>
    </row>
    <row r="1269" spans="1:6" x14ac:dyDescent="0.25">
      <c r="A1269" s="137" t="s">
        <v>13824</v>
      </c>
      <c r="B1269" s="137" t="s">
        <v>298</v>
      </c>
      <c r="C1269" s="137" t="s">
        <v>185</v>
      </c>
      <c r="D1269" s="338">
        <v>8380</v>
      </c>
      <c r="E1269" s="137">
        <v>3140</v>
      </c>
      <c r="F1269" s="137">
        <v>500</v>
      </c>
    </row>
    <row r="1270" spans="1:6" x14ac:dyDescent="0.25">
      <c r="A1270" s="137" t="s">
        <v>13908</v>
      </c>
      <c r="B1270" s="137" t="s">
        <v>298</v>
      </c>
      <c r="C1270" s="137" t="s">
        <v>182</v>
      </c>
      <c r="D1270" s="338">
        <v>9540</v>
      </c>
      <c r="E1270" s="137">
        <v>2989</v>
      </c>
      <c r="F1270" s="137">
        <v>349</v>
      </c>
    </row>
    <row r="1271" spans="1:6" x14ac:dyDescent="0.25">
      <c r="A1271" s="137" t="s">
        <v>14044</v>
      </c>
      <c r="B1271" s="137" t="s">
        <v>298</v>
      </c>
      <c r="C1271" s="137" t="s">
        <v>5130</v>
      </c>
      <c r="D1271" s="338">
        <v>4674</v>
      </c>
      <c r="E1271" s="137">
        <v>3104</v>
      </c>
      <c r="F1271" s="137">
        <v>464</v>
      </c>
    </row>
    <row r="1272" spans="1:6" x14ac:dyDescent="0.25">
      <c r="A1272" s="137" t="s">
        <v>13651</v>
      </c>
      <c r="B1272" s="137" t="s">
        <v>298</v>
      </c>
      <c r="C1272" s="137" t="s">
        <v>4644</v>
      </c>
      <c r="D1272" s="338">
        <v>9430</v>
      </c>
      <c r="E1272" s="137">
        <v>4046</v>
      </c>
      <c r="F1272" s="137">
        <v>86</v>
      </c>
    </row>
    <row r="1273" spans="1:6" x14ac:dyDescent="0.25">
      <c r="A1273" s="137" t="s">
        <v>14036</v>
      </c>
      <c r="B1273" s="137" t="s">
        <v>298</v>
      </c>
      <c r="C1273" s="137" t="s">
        <v>5727</v>
      </c>
      <c r="D1273" s="338">
        <v>6871</v>
      </c>
      <c r="E1273" s="137">
        <v>2546</v>
      </c>
      <c r="F1273" s="137">
        <v>1226</v>
      </c>
    </row>
    <row r="1274" spans="1:6" x14ac:dyDescent="0.25">
      <c r="A1274" s="137" t="s">
        <v>13721</v>
      </c>
      <c r="B1274" s="137" t="s">
        <v>298</v>
      </c>
      <c r="C1274" s="137" t="s">
        <v>180</v>
      </c>
      <c r="D1274" s="338">
        <v>12447</v>
      </c>
      <c r="E1274" s="137">
        <v>3565</v>
      </c>
      <c r="F1274" s="137">
        <v>925</v>
      </c>
    </row>
    <row r="1275" spans="1:6" x14ac:dyDescent="0.25">
      <c r="A1275" s="137" t="s">
        <v>13530</v>
      </c>
      <c r="B1275" s="137" t="s">
        <v>298</v>
      </c>
      <c r="C1275" s="137" t="s">
        <v>3595</v>
      </c>
      <c r="D1275" s="338">
        <v>4457</v>
      </c>
      <c r="E1275" s="137">
        <v>3057</v>
      </c>
      <c r="F1275" s="137">
        <v>417</v>
      </c>
    </row>
    <row r="1276" spans="1:6" x14ac:dyDescent="0.25">
      <c r="A1276" s="137" t="s">
        <v>13792</v>
      </c>
      <c r="B1276" s="137" t="s">
        <v>298</v>
      </c>
      <c r="C1276" s="137" t="s">
        <v>173</v>
      </c>
      <c r="D1276" s="338">
        <v>10709</v>
      </c>
      <c r="E1276" s="137">
        <v>4038</v>
      </c>
      <c r="F1276" s="137">
        <v>78</v>
      </c>
    </row>
    <row r="1277" spans="1:6" x14ac:dyDescent="0.25">
      <c r="A1277" s="137" t="s">
        <v>13432</v>
      </c>
      <c r="B1277" s="137" t="s">
        <v>298</v>
      </c>
      <c r="C1277" s="137" t="s">
        <v>170</v>
      </c>
      <c r="D1277" s="338">
        <v>13122</v>
      </c>
      <c r="E1277" s="137">
        <v>3407</v>
      </c>
      <c r="F1277" s="137">
        <v>767</v>
      </c>
    </row>
    <row r="1278" spans="1:6" x14ac:dyDescent="0.25">
      <c r="A1278" s="137" t="s">
        <v>13682</v>
      </c>
      <c r="B1278" s="137" t="s">
        <v>298</v>
      </c>
      <c r="C1278" s="137" t="s">
        <v>5703</v>
      </c>
      <c r="D1278" s="338">
        <v>7435</v>
      </c>
      <c r="E1278" s="137">
        <v>3459</v>
      </c>
      <c r="F1278" s="137">
        <v>819</v>
      </c>
    </row>
    <row r="1279" spans="1:6" x14ac:dyDescent="0.25">
      <c r="A1279" s="137" t="s">
        <v>13809</v>
      </c>
      <c r="B1279" s="137" t="s">
        <v>298</v>
      </c>
      <c r="C1279" s="137" t="s">
        <v>2258</v>
      </c>
      <c r="D1279" s="338">
        <v>10279</v>
      </c>
      <c r="E1279" s="137">
        <v>4820</v>
      </c>
      <c r="F1279" s="137">
        <v>860</v>
      </c>
    </row>
    <row r="1280" spans="1:6" x14ac:dyDescent="0.25">
      <c r="A1280" s="137" t="s">
        <v>13614</v>
      </c>
      <c r="B1280" s="137" t="s">
        <v>298</v>
      </c>
      <c r="C1280" s="137" t="s">
        <v>4824</v>
      </c>
      <c r="D1280" s="338">
        <v>12916</v>
      </c>
      <c r="E1280" s="137">
        <v>3515</v>
      </c>
      <c r="F1280" s="137">
        <v>875</v>
      </c>
    </row>
    <row r="1281" spans="1:6" x14ac:dyDescent="0.25">
      <c r="A1281" s="137" t="s">
        <v>14041</v>
      </c>
      <c r="B1281" s="137" t="s">
        <v>298</v>
      </c>
      <c r="C1281" s="137" t="s">
        <v>168</v>
      </c>
      <c r="D1281" s="338">
        <v>6575</v>
      </c>
      <c r="E1281" s="137">
        <v>2553</v>
      </c>
      <c r="F1281" s="137">
        <v>1233</v>
      </c>
    </row>
    <row r="1282" spans="1:6" x14ac:dyDescent="0.25">
      <c r="A1282" s="137" t="s">
        <v>13685</v>
      </c>
      <c r="B1282" s="137" t="s">
        <v>298</v>
      </c>
      <c r="C1282" s="137" t="s">
        <v>4735</v>
      </c>
      <c r="D1282" s="338">
        <v>6800</v>
      </c>
      <c r="E1282" s="137">
        <v>2687</v>
      </c>
      <c r="F1282" s="137">
        <v>47</v>
      </c>
    </row>
    <row r="1283" spans="1:6" x14ac:dyDescent="0.25">
      <c r="A1283" s="137" t="s">
        <v>13859</v>
      </c>
      <c r="B1283" s="137" t="s">
        <v>298</v>
      </c>
      <c r="C1283" s="137" t="s">
        <v>5304</v>
      </c>
      <c r="D1283" s="338">
        <v>8916</v>
      </c>
      <c r="E1283" s="137">
        <v>3426</v>
      </c>
      <c r="F1283" s="137">
        <v>786</v>
      </c>
    </row>
    <row r="1284" spans="1:6" x14ac:dyDescent="0.25">
      <c r="A1284" s="137" t="s">
        <v>14071</v>
      </c>
      <c r="B1284" s="137" t="s">
        <v>298</v>
      </c>
      <c r="C1284" s="137" t="s">
        <v>5104</v>
      </c>
      <c r="D1284" s="338">
        <v>13248</v>
      </c>
      <c r="E1284" s="137">
        <v>3522</v>
      </c>
      <c r="F1284" s="137">
        <v>882</v>
      </c>
    </row>
    <row r="1285" spans="1:6" x14ac:dyDescent="0.25">
      <c r="A1285" s="137" t="s">
        <v>13871</v>
      </c>
      <c r="B1285" s="137" t="s">
        <v>298</v>
      </c>
      <c r="C1285" s="137" t="s">
        <v>4013</v>
      </c>
      <c r="D1285" s="338">
        <v>11157</v>
      </c>
      <c r="E1285" s="137">
        <v>3357</v>
      </c>
      <c r="F1285" s="137">
        <v>717</v>
      </c>
    </row>
    <row r="1286" spans="1:6" x14ac:dyDescent="0.25">
      <c r="A1286" s="137" t="s">
        <v>13844</v>
      </c>
      <c r="B1286" s="137" t="s">
        <v>298</v>
      </c>
      <c r="C1286" s="137" t="s">
        <v>4851</v>
      </c>
      <c r="D1286" s="338">
        <v>10437</v>
      </c>
      <c r="E1286" s="137">
        <v>2655</v>
      </c>
      <c r="F1286" s="137">
        <v>15</v>
      </c>
    </row>
    <row r="1287" spans="1:6" x14ac:dyDescent="0.25">
      <c r="A1287" s="137" t="s">
        <v>13564</v>
      </c>
      <c r="B1287" s="137" t="s">
        <v>298</v>
      </c>
      <c r="C1287" s="137" t="s">
        <v>5495</v>
      </c>
      <c r="D1287" s="338">
        <v>9117</v>
      </c>
      <c r="E1287" s="137">
        <v>2279</v>
      </c>
      <c r="F1287" s="137">
        <v>959</v>
      </c>
    </row>
    <row r="1288" spans="1:6" x14ac:dyDescent="0.25">
      <c r="A1288" s="137" t="s">
        <v>13669</v>
      </c>
      <c r="B1288" s="137" t="s">
        <v>298</v>
      </c>
      <c r="C1288" s="137" t="s">
        <v>160</v>
      </c>
      <c r="D1288" s="338">
        <v>10465</v>
      </c>
      <c r="E1288" s="137">
        <v>3486</v>
      </c>
      <c r="F1288" s="137">
        <v>846</v>
      </c>
    </row>
    <row r="1289" spans="1:6" x14ac:dyDescent="0.25">
      <c r="A1289" s="137" t="s">
        <v>13960</v>
      </c>
      <c r="B1289" s="137" t="s">
        <v>298</v>
      </c>
      <c r="C1289" s="137" t="s">
        <v>5719</v>
      </c>
      <c r="D1289" s="338">
        <v>8955</v>
      </c>
      <c r="E1289" s="137">
        <v>2616</v>
      </c>
      <c r="F1289" s="137">
        <v>1296</v>
      </c>
    </row>
    <row r="1290" spans="1:6" x14ac:dyDescent="0.25">
      <c r="A1290" s="137" t="s">
        <v>13657</v>
      </c>
      <c r="B1290" s="137" t="s">
        <v>298</v>
      </c>
      <c r="C1290" s="137" t="s">
        <v>2106</v>
      </c>
      <c r="D1290" s="338">
        <v>7279</v>
      </c>
      <c r="E1290" s="137">
        <v>3388</v>
      </c>
      <c r="F1290" s="137">
        <v>748</v>
      </c>
    </row>
    <row r="1291" spans="1:6" x14ac:dyDescent="0.25">
      <c r="A1291" s="137" t="s">
        <v>13675</v>
      </c>
      <c r="B1291" s="137" t="s">
        <v>298</v>
      </c>
      <c r="C1291" s="137" t="s">
        <v>5463</v>
      </c>
      <c r="D1291" s="338">
        <v>7955</v>
      </c>
      <c r="E1291" s="137">
        <v>3119</v>
      </c>
      <c r="F1291" s="137">
        <v>479</v>
      </c>
    </row>
    <row r="1292" spans="1:6" x14ac:dyDescent="0.25">
      <c r="A1292" s="137" t="s">
        <v>13582</v>
      </c>
      <c r="B1292" s="137" t="s">
        <v>298</v>
      </c>
      <c r="C1292" s="137" t="s">
        <v>157</v>
      </c>
      <c r="D1292" s="338">
        <v>9859</v>
      </c>
      <c r="E1292" s="137">
        <v>3145</v>
      </c>
      <c r="F1292" s="137">
        <v>505</v>
      </c>
    </row>
    <row r="1293" spans="1:6" x14ac:dyDescent="0.25">
      <c r="A1293" s="137" t="s">
        <v>14042</v>
      </c>
      <c r="B1293" s="137" t="s">
        <v>298</v>
      </c>
      <c r="C1293" s="137" t="s">
        <v>4752</v>
      </c>
      <c r="D1293" s="338">
        <v>1570</v>
      </c>
      <c r="E1293" s="137">
        <v>2731</v>
      </c>
      <c r="F1293" s="137">
        <v>91</v>
      </c>
    </row>
    <row r="1294" spans="1:6" x14ac:dyDescent="0.25">
      <c r="A1294" s="137" t="s">
        <v>13855</v>
      </c>
      <c r="B1294" s="137" t="s">
        <v>298</v>
      </c>
      <c r="C1294" s="137" t="s">
        <v>3329</v>
      </c>
      <c r="D1294" s="338">
        <v>8820</v>
      </c>
      <c r="E1294" s="137">
        <v>3760</v>
      </c>
      <c r="F1294" s="137">
        <v>1120</v>
      </c>
    </row>
    <row r="1295" spans="1:6" x14ac:dyDescent="0.25">
      <c r="A1295" s="137" t="s">
        <v>13637</v>
      </c>
      <c r="B1295" s="137" t="s">
        <v>298</v>
      </c>
      <c r="C1295" s="137" t="s">
        <v>5672</v>
      </c>
      <c r="D1295" s="338">
        <v>9487</v>
      </c>
      <c r="E1295" s="137">
        <v>2883</v>
      </c>
      <c r="F1295" s="137">
        <v>243</v>
      </c>
    </row>
    <row r="1296" spans="1:6" x14ac:dyDescent="0.25">
      <c r="A1296" s="137" t="s">
        <v>13549</v>
      </c>
      <c r="B1296" s="137" t="s">
        <v>298</v>
      </c>
      <c r="C1296" s="137" t="s">
        <v>4804</v>
      </c>
      <c r="D1296" s="338">
        <v>13408</v>
      </c>
      <c r="E1296" s="137">
        <v>3605</v>
      </c>
      <c r="F1296" s="137">
        <v>965</v>
      </c>
    </row>
    <row r="1297" spans="1:6" x14ac:dyDescent="0.25">
      <c r="A1297" s="137" t="s">
        <v>13652</v>
      </c>
      <c r="B1297" s="137" t="s">
        <v>298</v>
      </c>
      <c r="C1297" s="137" t="s">
        <v>152</v>
      </c>
      <c r="D1297" s="338">
        <v>9277</v>
      </c>
      <c r="E1297" s="137">
        <v>4612</v>
      </c>
      <c r="F1297" s="137">
        <v>652</v>
      </c>
    </row>
    <row r="1298" spans="1:6" x14ac:dyDescent="0.25">
      <c r="A1298" s="137" t="s">
        <v>13561</v>
      </c>
      <c r="B1298" s="137" t="s">
        <v>298</v>
      </c>
      <c r="C1298" s="137" t="s">
        <v>5591</v>
      </c>
      <c r="D1298" s="338">
        <v>9252</v>
      </c>
      <c r="E1298" s="137">
        <v>2350</v>
      </c>
      <c r="F1298" s="137">
        <v>1030</v>
      </c>
    </row>
    <row r="1299" spans="1:6" x14ac:dyDescent="0.25">
      <c r="A1299" s="137" t="s">
        <v>13668</v>
      </c>
      <c r="B1299" s="137" t="s">
        <v>298</v>
      </c>
      <c r="C1299" s="137" t="s">
        <v>5089</v>
      </c>
      <c r="D1299" s="338">
        <v>5684</v>
      </c>
      <c r="E1299" s="137">
        <v>4282</v>
      </c>
      <c r="F1299" s="137">
        <v>322</v>
      </c>
    </row>
    <row r="1300" spans="1:6" x14ac:dyDescent="0.25">
      <c r="A1300" s="137" t="s">
        <v>13467</v>
      </c>
      <c r="B1300" s="137" t="s">
        <v>298</v>
      </c>
      <c r="C1300" s="137" t="s">
        <v>3361</v>
      </c>
      <c r="D1300" s="338">
        <v>6970</v>
      </c>
      <c r="E1300" s="137">
        <v>3644</v>
      </c>
      <c r="F1300" s="137">
        <v>1004</v>
      </c>
    </row>
    <row r="1301" spans="1:6" x14ac:dyDescent="0.25">
      <c r="A1301" s="137" t="s">
        <v>13842</v>
      </c>
      <c r="B1301" s="137" t="s">
        <v>298</v>
      </c>
      <c r="C1301" s="137" t="s">
        <v>5084</v>
      </c>
      <c r="D1301" s="338">
        <v>10822</v>
      </c>
      <c r="E1301" s="137">
        <v>2823</v>
      </c>
      <c r="F1301" s="137">
        <v>183</v>
      </c>
    </row>
    <row r="1302" spans="1:6" x14ac:dyDescent="0.25">
      <c r="A1302" s="137" t="s">
        <v>13925</v>
      </c>
      <c r="B1302" s="137" t="s">
        <v>298</v>
      </c>
      <c r="C1302" s="137" t="s">
        <v>5563</v>
      </c>
      <c r="D1302" s="338">
        <v>10423</v>
      </c>
      <c r="E1302" s="137">
        <v>2547</v>
      </c>
      <c r="F1302" s="137">
        <v>1227</v>
      </c>
    </row>
    <row r="1303" spans="1:6" x14ac:dyDescent="0.25">
      <c r="A1303" s="137" t="s">
        <v>13897</v>
      </c>
      <c r="B1303" s="137" t="s">
        <v>298</v>
      </c>
      <c r="C1303" s="137" t="s">
        <v>4985</v>
      </c>
      <c r="D1303" s="338">
        <v>10952</v>
      </c>
      <c r="E1303" s="137">
        <v>3458</v>
      </c>
      <c r="F1303" s="137">
        <v>818</v>
      </c>
    </row>
    <row r="1304" spans="1:6" x14ac:dyDescent="0.25">
      <c r="A1304" s="137" t="s">
        <v>13741</v>
      </c>
      <c r="B1304" s="137" t="s">
        <v>298</v>
      </c>
      <c r="C1304" s="137" t="s">
        <v>5321</v>
      </c>
      <c r="D1304" s="338">
        <v>8181</v>
      </c>
      <c r="E1304" s="137">
        <v>2998</v>
      </c>
      <c r="F1304" s="137">
        <v>358</v>
      </c>
    </row>
    <row r="1305" spans="1:6" x14ac:dyDescent="0.25">
      <c r="A1305" s="137" t="s">
        <v>13976</v>
      </c>
      <c r="B1305" s="137" t="s">
        <v>298</v>
      </c>
      <c r="C1305" s="137" t="s">
        <v>5762</v>
      </c>
      <c r="D1305" s="338">
        <v>8430</v>
      </c>
      <c r="E1305" s="137">
        <v>2742</v>
      </c>
      <c r="F1305" s="137">
        <v>102</v>
      </c>
    </row>
    <row r="1306" spans="1:6" x14ac:dyDescent="0.25">
      <c r="A1306" s="137" t="s">
        <v>13395</v>
      </c>
      <c r="B1306" s="137" t="s">
        <v>298</v>
      </c>
      <c r="C1306" s="137" t="s">
        <v>4636</v>
      </c>
      <c r="D1306" s="338">
        <v>8149</v>
      </c>
      <c r="E1306" s="137">
        <v>3151</v>
      </c>
      <c r="F1306" s="137">
        <v>511</v>
      </c>
    </row>
    <row r="1307" spans="1:6" x14ac:dyDescent="0.25">
      <c r="A1307" s="137" t="s">
        <v>13558</v>
      </c>
      <c r="B1307" s="137" t="s">
        <v>298</v>
      </c>
      <c r="C1307" s="137" t="s">
        <v>5706</v>
      </c>
      <c r="D1307" s="338">
        <v>9374</v>
      </c>
      <c r="E1307" s="137">
        <v>2579</v>
      </c>
      <c r="F1307" s="137">
        <v>1259</v>
      </c>
    </row>
    <row r="1308" spans="1:6" x14ac:dyDescent="0.25">
      <c r="A1308" s="137" t="s">
        <v>13718</v>
      </c>
      <c r="B1308" s="137" t="s">
        <v>298</v>
      </c>
      <c r="C1308" s="137" t="s">
        <v>140</v>
      </c>
      <c r="D1308" s="338">
        <v>10651</v>
      </c>
      <c r="E1308" s="137">
        <v>3695</v>
      </c>
      <c r="F1308" s="137">
        <v>1055</v>
      </c>
    </row>
    <row r="1309" spans="1:6" x14ac:dyDescent="0.25">
      <c r="A1309" s="137" t="s">
        <v>13751</v>
      </c>
      <c r="B1309" s="137" t="s">
        <v>298</v>
      </c>
      <c r="C1309" s="137" t="s">
        <v>5358</v>
      </c>
      <c r="D1309" s="338">
        <v>10541</v>
      </c>
      <c r="E1309" s="137">
        <v>3727</v>
      </c>
      <c r="F1309" s="137">
        <v>1087</v>
      </c>
    </row>
    <row r="1310" spans="1:6" x14ac:dyDescent="0.25">
      <c r="A1310" s="137" t="s">
        <v>13463</v>
      </c>
      <c r="B1310" s="137" t="s">
        <v>298</v>
      </c>
      <c r="C1310" s="137" t="s">
        <v>3515</v>
      </c>
      <c r="D1310" s="338">
        <v>6304</v>
      </c>
      <c r="E1310" s="137">
        <v>4067</v>
      </c>
      <c r="F1310" s="137">
        <v>107</v>
      </c>
    </row>
    <row r="1311" spans="1:6" x14ac:dyDescent="0.25">
      <c r="A1311" s="137" t="s">
        <v>13606</v>
      </c>
      <c r="B1311" s="137" t="s">
        <v>298</v>
      </c>
      <c r="C1311" s="137" t="s">
        <v>137</v>
      </c>
      <c r="D1311" s="338">
        <v>5449</v>
      </c>
      <c r="E1311" s="137">
        <v>4486</v>
      </c>
      <c r="F1311" s="137">
        <v>526</v>
      </c>
    </row>
    <row r="1312" spans="1:6" x14ac:dyDescent="0.25">
      <c r="A1312" s="137" t="s">
        <v>13730</v>
      </c>
      <c r="B1312" s="137" t="s">
        <v>298</v>
      </c>
      <c r="C1312" s="137" t="s">
        <v>3481</v>
      </c>
      <c r="D1312" s="338">
        <v>3430</v>
      </c>
      <c r="E1312" s="137">
        <v>3165</v>
      </c>
      <c r="F1312" s="137">
        <v>525</v>
      </c>
    </row>
    <row r="1313" spans="1:6" x14ac:dyDescent="0.25">
      <c r="A1313" s="137" t="s">
        <v>13922</v>
      </c>
      <c r="B1313" s="137" t="s">
        <v>298</v>
      </c>
      <c r="C1313" s="137" t="s">
        <v>5620</v>
      </c>
      <c r="D1313" s="338">
        <v>10842</v>
      </c>
      <c r="E1313" s="137">
        <v>2625</v>
      </c>
      <c r="F1313" s="137">
        <v>1305</v>
      </c>
    </row>
    <row r="1314" spans="1:6" x14ac:dyDescent="0.25">
      <c r="A1314" s="137" t="s">
        <v>13757</v>
      </c>
      <c r="B1314" s="137" t="s">
        <v>298</v>
      </c>
      <c r="C1314" s="137" t="s">
        <v>4308</v>
      </c>
      <c r="D1314" s="338">
        <v>12930</v>
      </c>
      <c r="E1314" s="137">
        <v>3114</v>
      </c>
      <c r="F1314" s="137">
        <v>474</v>
      </c>
    </row>
    <row r="1315" spans="1:6" x14ac:dyDescent="0.25">
      <c r="A1315" s="137" t="s">
        <v>13712</v>
      </c>
      <c r="B1315" s="137" t="s">
        <v>298</v>
      </c>
      <c r="C1315" s="137" t="s">
        <v>4629</v>
      </c>
      <c r="D1315" s="338">
        <v>6599</v>
      </c>
      <c r="E1315" s="137">
        <v>4037</v>
      </c>
      <c r="F1315" s="137">
        <v>77</v>
      </c>
    </row>
    <row r="1316" spans="1:6" x14ac:dyDescent="0.25">
      <c r="A1316" s="137" t="s">
        <v>14016</v>
      </c>
      <c r="B1316" s="137" t="s">
        <v>298</v>
      </c>
      <c r="C1316" s="137" t="s">
        <v>124</v>
      </c>
      <c r="D1316" s="338">
        <v>7647</v>
      </c>
      <c r="E1316" s="137">
        <v>2506</v>
      </c>
      <c r="F1316" s="137">
        <v>1186</v>
      </c>
    </row>
    <row r="1317" spans="1:6" x14ac:dyDescent="0.25">
      <c r="A1317" s="137" t="s">
        <v>13949</v>
      </c>
      <c r="B1317" s="137" t="s">
        <v>298</v>
      </c>
      <c r="C1317" s="137" t="s">
        <v>5734</v>
      </c>
      <c r="D1317" s="338">
        <v>9385</v>
      </c>
      <c r="E1317" s="137">
        <v>2677</v>
      </c>
      <c r="F1317" s="137">
        <v>37</v>
      </c>
    </row>
    <row r="1318" spans="1:6" x14ac:dyDescent="0.25">
      <c r="A1318" s="137" t="s">
        <v>13818</v>
      </c>
      <c r="B1318" s="137" t="s">
        <v>298</v>
      </c>
      <c r="C1318" s="137" t="s">
        <v>120</v>
      </c>
      <c r="D1318" s="338">
        <v>8668</v>
      </c>
      <c r="E1318" s="137">
        <v>2865</v>
      </c>
      <c r="F1318" s="137">
        <v>225</v>
      </c>
    </row>
    <row r="1319" spans="1:6" x14ac:dyDescent="0.25">
      <c r="A1319" s="137" t="s">
        <v>14047</v>
      </c>
      <c r="B1319" s="137" t="s">
        <v>298</v>
      </c>
      <c r="C1319" s="137" t="s">
        <v>4973</v>
      </c>
      <c r="D1319" s="338">
        <v>4268</v>
      </c>
      <c r="E1319" s="137">
        <v>3504</v>
      </c>
      <c r="F1319" s="137">
        <v>864</v>
      </c>
    </row>
    <row r="1320" spans="1:6" x14ac:dyDescent="0.25">
      <c r="A1320" s="137" t="s">
        <v>13525</v>
      </c>
      <c r="B1320" s="137" t="s">
        <v>298</v>
      </c>
      <c r="C1320" s="137" t="s">
        <v>4675</v>
      </c>
      <c r="D1320" s="338">
        <v>5469</v>
      </c>
      <c r="E1320" s="137">
        <v>3003</v>
      </c>
      <c r="F1320" s="137">
        <v>363</v>
      </c>
    </row>
    <row r="1321" spans="1:6" x14ac:dyDescent="0.25">
      <c r="A1321" s="137" t="s">
        <v>13405</v>
      </c>
      <c r="B1321" s="137" t="s">
        <v>298</v>
      </c>
      <c r="C1321" s="137" t="s">
        <v>2625</v>
      </c>
      <c r="D1321" s="338">
        <v>12645</v>
      </c>
      <c r="E1321" s="137">
        <v>2967</v>
      </c>
      <c r="F1321" s="137">
        <v>327</v>
      </c>
    </row>
    <row r="1322" spans="1:6" x14ac:dyDescent="0.25">
      <c r="A1322" s="137" t="s">
        <v>13571</v>
      </c>
      <c r="B1322" s="137" t="s">
        <v>298</v>
      </c>
      <c r="C1322" s="137" t="s">
        <v>4835</v>
      </c>
      <c r="D1322" s="338">
        <v>10514</v>
      </c>
      <c r="E1322" s="137">
        <v>2993</v>
      </c>
      <c r="F1322" s="137">
        <v>353</v>
      </c>
    </row>
    <row r="1323" spans="1:6" x14ac:dyDescent="0.25">
      <c r="A1323" s="137" t="s">
        <v>13515</v>
      </c>
      <c r="B1323" s="137" t="s">
        <v>298</v>
      </c>
      <c r="C1323" s="137" t="s">
        <v>5602</v>
      </c>
      <c r="D1323" s="338">
        <v>10120</v>
      </c>
      <c r="E1323" s="137">
        <v>3594</v>
      </c>
      <c r="F1323" s="137">
        <v>954</v>
      </c>
    </row>
    <row r="1324" spans="1:6" x14ac:dyDescent="0.25">
      <c r="A1324" s="137" t="s">
        <v>13638</v>
      </c>
      <c r="B1324" s="137" t="s">
        <v>298</v>
      </c>
      <c r="C1324" s="137" t="s">
        <v>5279</v>
      </c>
      <c r="D1324" s="338">
        <v>9448</v>
      </c>
      <c r="E1324" s="137">
        <v>2523</v>
      </c>
      <c r="F1324" s="137">
        <v>1203</v>
      </c>
    </row>
    <row r="1325" spans="1:6" x14ac:dyDescent="0.25">
      <c r="A1325" s="137" t="s">
        <v>13529</v>
      </c>
      <c r="B1325" s="137" t="s">
        <v>298</v>
      </c>
      <c r="C1325" s="137" t="s">
        <v>4977</v>
      </c>
      <c r="D1325" s="338">
        <v>5240</v>
      </c>
      <c r="E1325" s="137">
        <v>3097</v>
      </c>
      <c r="F1325" s="137">
        <v>457</v>
      </c>
    </row>
    <row r="1326" spans="1:6" x14ac:dyDescent="0.25">
      <c r="A1326" s="137" t="s">
        <v>13491</v>
      </c>
      <c r="B1326" s="137" t="s">
        <v>298</v>
      </c>
      <c r="C1326" s="137" t="s">
        <v>3761</v>
      </c>
      <c r="D1326" s="338">
        <v>3878</v>
      </c>
      <c r="E1326" s="137">
        <v>2665</v>
      </c>
      <c r="F1326" s="137">
        <v>25</v>
      </c>
    </row>
    <row r="1327" spans="1:6" x14ac:dyDescent="0.25">
      <c r="A1327" s="137" t="s">
        <v>13673</v>
      </c>
      <c r="B1327" s="137" t="s">
        <v>298</v>
      </c>
      <c r="C1327" s="137" t="s">
        <v>5210</v>
      </c>
      <c r="D1327" s="338">
        <v>8039</v>
      </c>
      <c r="E1327" s="137">
        <v>2941</v>
      </c>
      <c r="F1327" s="137">
        <v>301</v>
      </c>
    </row>
    <row r="1328" spans="1:6" x14ac:dyDescent="0.25">
      <c r="A1328" s="137" t="s">
        <v>13696</v>
      </c>
      <c r="B1328" s="137" t="s">
        <v>298</v>
      </c>
      <c r="C1328" s="137" t="s">
        <v>5155</v>
      </c>
      <c r="D1328" s="338">
        <v>7361</v>
      </c>
      <c r="E1328" s="137">
        <v>3824</v>
      </c>
      <c r="F1328" s="137">
        <v>1184</v>
      </c>
    </row>
    <row r="1329" spans="1:6" x14ac:dyDescent="0.25">
      <c r="A1329" s="137" t="s">
        <v>13454</v>
      </c>
      <c r="B1329" s="137" t="s">
        <v>298</v>
      </c>
      <c r="C1329" s="137" t="s">
        <v>5425</v>
      </c>
      <c r="D1329" s="338">
        <v>2100</v>
      </c>
      <c r="E1329" s="137">
        <v>3360</v>
      </c>
      <c r="F1329" s="137">
        <v>720</v>
      </c>
    </row>
    <row r="1330" spans="1:6" x14ac:dyDescent="0.25">
      <c r="A1330" s="137" t="s">
        <v>13591</v>
      </c>
      <c r="B1330" s="137" t="s">
        <v>298</v>
      </c>
      <c r="C1330" s="137" t="s">
        <v>5219</v>
      </c>
      <c r="D1330" s="338">
        <v>10260</v>
      </c>
      <c r="E1330" s="137">
        <v>2831</v>
      </c>
      <c r="F1330" s="137">
        <v>191</v>
      </c>
    </row>
    <row r="1331" spans="1:6" x14ac:dyDescent="0.25">
      <c r="A1331" s="137" t="s">
        <v>13655</v>
      </c>
      <c r="B1331" s="137" t="s">
        <v>298</v>
      </c>
      <c r="C1331" s="137" t="s">
        <v>5255</v>
      </c>
      <c r="D1331" s="338">
        <v>11070</v>
      </c>
      <c r="E1331" s="137">
        <v>3240</v>
      </c>
      <c r="F1331" s="137">
        <v>600</v>
      </c>
    </row>
    <row r="1332" spans="1:6" x14ac:dyDescent="0.25">
      <c r="A1332" s="137" t="s">
        <v>14049</v>
      </c>
      <c r="B1332" s="137" t="s">
        <v>298</v>
      </c>
      <c r="C1332" s="137" t="s">
        <v>3078</v>
      </c>
      <c r="D1332" s="338">
        <v>11234</v>
      </c>
      <c r="E1332" s="137">
        <v>3919</v>
      </c>
      <c r="F1332" s="137">
        <v>1279</v>
      </c>
    </row>
    <row r="1333" spans="1:6" x14ac:dyDescent="0.25">
      <c r="A1333" s="137" t="s">
        <v>13899</v>
      </c>
      <c r="B1333" s="137" t="s">
        <v>298</v>
      </c>
      <c r="C1333" s="137" t="s">
        <v>3141</v>
      </c>
      <c r="D1333" s="338">
        <v>12286</v>
      </c>
      <c r="E1333" s="137">
        <v>2496</v>
      </c>
      <c r="F1333" s="137">
        <v>1176</v>
      </c>
    </row>
    <row r="1334" spans="1:6" x14ac:dyDescent="0.25">
      <c r="A1334" s="137" t="s">
        <v>13778</v>
      </c>
      <c r="B1334" s="137" t="s">
        <v>298</v>
      </c>
      <c r="C1334" s="137" t="s">
        <v>110</v>
      </c>
      <c r="D1334" s="338">
        <v>11382</v>
      </c>
      <c r="E1334" s="137">
        <v>4024</v>
      </c>
      <c r="F1334" s="137">
        <v>64</v>
      </c>
    </row>
    <row r="1335" spans="1:6" x14ac:dyDescent="0.25">
      <c r="A1335" s="137" t="s">
        <v>13772</v>
      </c>
      <c r="B1335" s="137" t="s">
        <v>298</v>
      </c>
      <c r="C1335" s="137" t="s">
        <v>4979</v>
      </c>
      <c r="D1335" s="338">
        <v>10240</v>
      </c>
      <c r="E1335" s="137">
        <v>3014</v>
      </c>
      <c r="F1335" s="137">
        <v>374</v>
      </c>
    </row>
    <row r="1336" spans="1:6" x14ac:dyDescent="0.25">
      <c r="A1336" s="137" t="s">
        <v>14051</v>
      </c>
      <c r="B1336" s="137" t="s">
        <v>298</v>
      </c>
      <c r="C1336" s="137" t="s">
        <v>4756</v>
      </c>
      <c r="D1336" s="338">
        <v>10755</v>
      </c>
      <c r="E1336" s="137">
        <v>4376</v>
      </c>
      <c r="F1336" s="137">
        <v>416</v>
      </c>
    </row>
    <row r="1337" spans="1:6" x14ac:dyDescent="0.25">
      <c r="A1337" s="137" t="s">
        <v>13942</v>
      </c>
      <c r="B1337" s="137" t="s">
        <v>298</v>
      </c>
      <c r="C1337" s="137" t="s">
        <v>5651</v>
      </c>
      <c r="D1337" s="338">
        <v>9756</v>
      </c>
      <c r="E1337" s="137">
        <v>2459</v>
      </c>
      <c r="F1337" s="137">
        <v>1139</v>
      </c>
    </row>
    <row r="1338" spans="1:6" x14ac:dyDescent="0.25">
      <c r="A1338" s="137" t="s">
        <v>13881</v>
      </c>
      <c r="B1338" s="137" t="s">
        <v>298</v>
      </c>
      <c r="C1338" s="137" t="s">
        <v>5457</v>
      </c>
      <c r="D1338" s="338">
        <v>10582</v>
      </c>
      <c r="E1338" s="137">
        <v>4194</v>
      </c>
      <c r="F1338" s="137">
        <v>234</v>
      </c>
    </row>
    <row r="1339" spans="1:6" x14ac:dyDescent="0.25">
      <c r="A1339" s="137" t="s">
        <v>13492</v>
      </c>
      <c r="B1339" s="137" t="s">
        <v>298</v>
      </c>
      <c r="C1339" s="137" t="s">
        <v>103</v>
      </c>
      <c r="D1339" s="338">
        <v>2615</v>
      </c>
      <c r="E1339" s="137">
        <v>3716</v>
      </c>
      <c r="F1339" s="137">
        <v>1076</v>
      </c>
    </row>
    <row r="1340" spans="1:6" x14ac:dyDescent="0.25">
      <c r="A1340" s="137" t="s">
        <v>14048</v>
      </c>
      <c r="B1340" s="137" t="s">
        <v>298</v>
      </c>
      <c r="C1340" s="137" t="s">
        <v>1291</v>
      </c>
      <c r="D1340" s="338">
        <v>11608</v>
      </c>
      <c r="E1340" s="137">
        <v>3587</v>
      </c>
      <c r="F1340" s="137">
        <v>947</v>
      </c>
    </row>
    <row r="1341" spans="1:6" x14ac:dyDescent="0.25">
      <c r="A1341" s="137" t="s">
        <v>13411</v>
      </c>
      <c r="B1341" s="137" t="s">
        <v>298</v>
      </c>
      <c r="C1341" s="137" t="s">
        <v>3292</v>
      </c>
      <c r="D1341" s="338">
        <v>6335</v>
      </c>
      <c r="E1341" s="137">
        <v>3452</v>
      </c>
      <c r="F1341" s="137">
        <v>812</v>
      </c>
    </row>
    <row r="1342" spans="1:6" x14ac:dyDescent="0.25">
      <c r="A1342" s="137" t="s">
        <v>13527</v>
      </c>
      <c r="B1342" s="137" t="s">
        <v>298</v>
      </c>
      <c r="C1342" s="137" t="s">
        <v>5147</v>
      </c>
      <c r="D1342" s="338">
        <v>5293</v>
      </c>
      <c r="E1342" s="137">
        <v>3241</v>
      </c>
      <c r="F1342" s="137">
        <v>601</v>
      </c>
    </row>
    <row r="1343" spans="1:6" x14ac:dyDescent="0.25">
      <c r="A1343" s="137" t="s">
        <v>13921</v>
      </c>
      <c r="B1343" s="137" t="s">
        <v>298</v>
      </c>
      <c r="C1343" s="137" t="s">
        <v>5717</v>
      </c>
      <c r="D1343" s="338">
        <v>10913</v>
      </c>
      <c r="E1343" s="137">
        <v>2860</v>
      </c>
      <c r="F1343" s="137">
        <v>220</v>
      </c>
    </row>
    <row r="1344" spans="1:6" x14ac:dyDescent="0.25">
      <c r="A1344" s="137" t="s">
        <v>13802</v>
      </c>
      <c r="B1344" s="137" t="s">
        <v>298</v>
      </c>
      <c r="C1344" s="137" t="s">
        <v>3772</v>
      </c>
      <c r="D1344" s="338">
        <v>11018</v>
      </c>
      <c r="E1344" s="137">
        <v>2845</v>
      </c>
      <c r="F1344" s="137">
        <v>205</v>
      </c>
    </row>
    <row r="1345" spans="1:6" x14ac:dyDescent="0.25">
      <c r="A1345" s="137" t="s">
        <v>13601</v>
      </c>
      <c r="B1345" s="137" t="s">
        <v>298</v>
      </c>
      <c r="C1345" s="137" t="s">
        <v>2958</v>
      </c>
      <c r="D1345" s="338">
        <v>10066</v>
      </c>
      <c r="E1345" s="137">
        <v>2329</v>
      </c>
      <c r="F1345" s="137">
        <v>1009</v>
      </c>
    </row>
    <row r="1346" spans="1:6" x14ac:dyDescent="0.25">
      <c r="A1346" s="137" t="s">
        <v>13924</v>
      </c>
      <c r="B1346" s="137" t="s">
        <v>298</v>
      </c>
      <c r="C1346" s="137" t="s">
        <v>5737</v>
      </c>
      <c r="D1346" s="338">
        <v>10430</v>
      </c>
      <c r="E1346" s="137">
        <v>2938</v>
      </c>
      <c r="F1346" s="137">
        <v>298</v>
      </c>
    </row>
    <row r="1347" spans="1:6" x14ac:dyDescent="0.25">
      <c r="A1347" s="137" t="s">
        <v>13900</v>
      </c>
      <c r="B1347" s="137" t="s">
        <v>298</v>
      </c>
      <c r="C1347" s="137" t="s">
        <v>5369</v>
      </c>
      <c r="D1347" s="338">
        <v>12236</v>
      </c>
      <c r="E1347" s="137">
        <v>3262</v>
      </c>
      <c r="F1347" s="137">
        <v>622</v>
      </c>
    </row>
    <row r="1348" spans="1:6" x14ac:dyDescent="0.25">
      <c r="A1348" s="137" t="s">
        <v>13488</v>
      </c>
      <c r="B1348" s="137" t="s">
        <v>298</v>
      </c>
      <c r="C1348" s="137" t="s">
        <v>4570</v>
      </c>
      <c r="D1348" s="338">
        <v>5147</v>
      </c>
      <c r="E1348" s="137">
        <v>3429</v>
      </c>
      <c r="F1348" s="137">
        <v>789</v>
      </c>
    </row>
    <row r="1349" spans="1:6" x14ac:dyDescent="0.25">
      <c r="A1349" s="137" t="s">
        <v>13926</v>
      </c>
      <c r="B1349" s="137" t="s">
        <v>298</v>
      </c>
      <c r="C1349" s="137" t="s">
        <v>5534</v>
      </c>
      <c r="D1349" s="338">
        <v>10382</v>
      </c>
      <c r="E1349" s="137">
        <v>2520</v>
      </c>
      <c r="F1349" s="137">
        <v>1200</v>
      </c>
    </row>
    <row r="1350" spans="1:6" x14ac:dyDescent="0.25">
      <c r="A1350" s="137" t="s">
        <v>13671</v>
      </c>
      <c r="B1350" s="137" t="s">
        <v>298</v>
      </c>
      <c r="C1350" s="137" t="s">
        <v>5114</v>
      </c>
      <c r="D1350" s="338">
        <v>8575</v>
      </c>
      <c r="E1350" s="137">
        <v>2983</v>
      </c>
      <c r="F1350" s="137">
        <v>343</v>
      </c>
    </row>
    <row r="1351" spans="1:6" x14ac:dyDescent="0.25">
      <c r="A1351" s="137" t="s">
        <v>13501</v>
      </c>
      <c r="B1351" s="137" t="s">
        <v>298</v>
      </c>
      <c r="C1351" s="137" t="s">
        <v>5298</v>
      </c>
      <c r="D1351" s="338">
        <v>5538</v>
      </c>
      <c r="E1351" s="137">
        <v>2938</v>
      </c>
      <c r="F1351" s="137">
        <v>298</v>
      </c>
    </row>
    <row r="1352" spans="1:6" x14ac:dyDescent="0.25">
      <c r="A1352" s="137" t="s">
        <v>13748</v>
      </c>
      <c r="B1352" s="137" t="s">
        <v>298</v>
      </c>
      <c r="C1352" s="137" t="s">
        <v>5532</v>
      </c>
      <c r="D1352" s="338">
        <v>5117</v>
      </c>
      <c r="E1352" s="137">
        <v>2615</v>
      </c>
      <c r="F1352" s="137">
        <v>1295</v>
      </c>
    </row>
    <row r="1353" spans="1:6" x14ac:dyDescent="0.25">
      <c r="A1353" s="137" t="s">
        <v>13939</v>
      </c>
      <c r="B1353" s="137" t="s">
        <v>298</v>
      </c>
      <c r="C1353" s="137" t="s">
        <v>5676</v>
      </c>
      <c r="D1353" s="338">
        <v>9830</v>
      </c>
      <c r="E1353" s="137">
        <v>2497</v>
      </c>
      <c r="F1353" s="137">
        <v>1177</v>
      </c>
    </row>
    <row r="1354" spans="1:6" x14ac:dyDescent="0.25">
      <c r="A1354" s="137" t="s">
        <v>13722</v>
      </c>
      <c r="B1354" s="137" t="s">
        <v>298</v>
      </c>
      <c r="C1354" s="137" t="s">
        <v>90</v>
      </c>
      <c r="D1354" s="338">
        <v>11800</v>
      </c>
      <c r="E1354" s="137">
        <v>2944</v>
      </c>
      <c r="F1354" s="137">
        <v>304</v>
      </c>
    </row>
    <row r="1355" spans="1:6" x14ac:dyDescent="0.25">
      <c r="A1355" s="137" t="s">
        <v>13462</v>
      </c>
      <c r="B1355" s="137" t="s">
        <v>298</v>
      </c>
      <c r="C1355" s="137" t="s">
        <v>5190</v>
      </c>
      <c r="D1355" s="338">
        <v>10250</v>
      </c>
      <c r="E1355" s="137">
        <v>3419</v>
      </c>
      <c r="F1355" s="137">
        <v>779</v>
      </c>
    </row>
    <row r="1356" spans="1:6" x14ac:dyDescent="0.25">
      <c r="A1356" s="137" t="s">
        <v>13407</v>
      </c>
      <c r="B1356" s="137" t="s">
        <v>298</v>
      </c>
      <c r="C1356" s="137" t="s">
        <v>1965</v>
      </c>
      <c r="D1356" s="338">
        <v>6767</v>
      </c>
      <c r="E1356" s="137">
        <v>3268</v>
      </c>
      <c r="F1356" s="137">
        <v>628</v>
      </c>
    </row>
    <row r="1357" spans="1:6" x14ac:dyDescent="0.25">
      <c r="A1357" s="137" t="s">
        <v>13456</v>
      </c>
      <c r="B1357" s="137" t="s">
        <v>298</v>
      </c>
      <c r="C1357" s="137" t="s">
        <v>5509</v>
      </c>
      <c r="D1357" s="338">
        <v>1451</v>
      </c>
      <c r="E1357" s="137">
        <v>3365</v>
      </c>
      <c r="F1357" s="137">
        <v>725</v>
      </c>
    </row>
    <row r="1358" spans="1:6" x14ac:dyDescent="0.25">
      <c r="A1358" s="137" t="s">
        <v>13535</v>
      </c>
      <c r="B1358" s="137" t="s">
        <v>298</v>
      </c>
      <c r="C1358" s="137" t="s">
        <v>5513</v>
      </c>
      <c r="D1358" s="338">
        <v>10379</v>
      </c>
      <c r="E1358" s="137">
        <v>4224</v>
      </c>
      <c r="F1358" s="137">
        <v>264</v>
      </c>
    </row>
    <row r="1359" spans="1:6" x14ac:dyDescent="0.25">
      <c r="A1359" s="137" t="s">
        <v>13911</v>
      </c>
      <c r="B1359" s="137" t="s">
        <v>298</v>
      </c>
      <c r="C1359" s="137" t="s">
        <v>84</v>
      </c>
      <c r="D1359" s="338">
        <v>9528</v>
      </c>
      <c r="E1359" s="137">
        <v>2979</v>
      </c>
      <c r="F1359" s="137">
        <v>339</v>
      </c>
    </row>
    <row r="1360" spans="1:6" x14ac:dyDescent="0.25">
      <c r="A1360" s="137" t="s">
        <v>13587</v>
      </c>
      <c r="B1360" s="137" t="s">
        <v>298</v>
      </c>
      <c r="C1360" s="137" t="s">
        <v>5585</v>
      </c>
      <c r="D1360" s="338">
        <v>9737</v>
      </c>
      <c r="E1360" s="137">
        <v>2728</v>
      </c>
      <c r="F1360" s="137">
        <v>88</v>
      </c>
    </row>
    <row r="1361" spans="1:6" x14ac:dyDescent="0.25">
      <c r="A1361" s="137" t="s">
        <v>13765</v>
      </c>
      <c r="B1361" s="137" t="s">
        <v>298</v>
      </c>
      <c r="C1361" s="137" t="s">
        <v>79</v>
      </c>
      <c r="D1361" s="338">
        <v>11784</v>
      </c>
      <c r="E1361" s="137">
        <v>4069</v>
      </c>
      <c r="F1361" s="137">
        <v>109</v>
      </c>
    </row>
    <row r="1362" spans="1:6" x14ac:dyDescent="0.25">
      <c r="A1362" s="137" t="s">
        <v>13756</v>
      </c>
      <c r="B1362" s="137" t="s">
        <v>298</v>
      </c>
      <c r="C1362" s="137" t="s">
        <v>5047</v>
      </c>
      <c r="D1362" s="338">
        <v>13214</v>
      </c>
      <c r="E1362" s="137">
        <v>3342</v>
      </c>
      <c r="F1362" s="137">
        <v>702</v>
      </c>
    </row>
    <row r="1363" spans="1:6" x14ac:dyDescent="0.25">
      <c r="A1363" s="137" t="s">
        <v>13430</v>
      </c>
      <c r="B1363" s="137" t="s">
        <v>298</v>
      </c>
      <c r="C1363" s="137" t="s">
        <v>71</v>
      </c>
      <c r="D1363" s="338">
        <v>13371</v>
      </c>
      <c r="E1363" s="137">
        <v>3519</v>
      </c>
      <c r="F1363" s="137">
        <v>879</v>
      </c>
    </row>
    <row r="1364" spans="1:6" x14ac:dyDescent="0.25">
      <c r="A1364" s="137" t="s">
        <v>13621</v>
      </c>
      <c r="B1364" s="137" t="s">
        <v>298</v>
      </c>
      <c r="C1364" s="137" t="s">
        <v>5035</v>
      </c>
      <c r="D1364" s="338">
        <v>12097</v>
      </c>
      <c r="E1364" s="137">
        <v>3646</v>
      </c>
      <c r="F1364" s="137">
        <v>1006</v>
      </c>
    </row>
    <row r="1365" spans="1:6" x14ac:dyDescent="0.25">
      <c r="A1365" s="137" t="s">
        <v>13872</v>
      </c>
      <c r="B1365" s="137" t="s">
        <v>298</v>
      </c>
      <c r="C1365" s="137" t="s">
        <v>4488</v>
      </c>
      <c r="D1365" s="338">
        <v>11153</v>
      </c>
      <c r="E1365" s="137">
        <v>3418</v>
      </c>
      <c r="F1365" s="137">
        <v>778</v>
      </c>
    </row>
    <row r="1366" spans="1:6" x14ac:dyDescent="0.25">
      <c r="A1366" s="137" t="s">
        <v>13381</v>
      </c>
      <c r="B1366" s="137" t="s">
        <v>298</v>
      </c>
      <c r="C1366" s="137" t="s">
        <v>2579</v>
      </c>
      <c r="D1366" s="338">
        <v>8709</v>
      </c>
      <c r="E1366" s="137">
        <v>2798</v>
      </c>
      <c r="F1366" s="137">
        <v>158</v>
      </c>
    </row>
    <row r="1367" spans="1:6" x14ac:dyDescent="0.25">
      <c r="A1367" s="137" t="s">
        <v>13834</v>
      </c>
      <c r="B1367" s="137" t="s">
        <v>298</v>
      </c>
      <c r="C1367" s="137" t="s">
        <v>5536</v>
      </c>
      <c r="D1367" s="338">
        <v>6561</v>
      </c>
      <c r="E1367" s="137">
        <v>2461</v>
      </c>
      <c r="F1367" s="137">
        <v>1141</v>
      </c>
    </row>
    <row r="1368" spans="1:6" x14ac:dyDescent="0.25">
      <c r="A1368" s="137" t="s">
        <v>13618</v>
      </c>
      <c r="B1368" s="137" t="s">
        <v>298</v>
      </c>
      <c r="C1368" s="137" t="s">
        <v>58</v>
      </c>
      <c r="D1368" s="338">
        <v>12172</v>
      </c>
      <c r="E1368" s="137">
        <v>4202</v>
      </c>
      <c r="F1368" s="137">
        <v>242</v>
      </c>
    </row>
    <row r="1369" spans="1:6" x14ac:dyDescent="0.25">
      <c r="A1369" s="137" t="s">
        <v>13670</v>
      </c>
      <c r="B1369" s="137" t="s">
        <v>298</v>
      </c>
      <c r="C1369" s="137" t="s">
        <v>5269</v>
      </c>
      <c r="D1369" s="338">
        <v>9728</v>
      </c>
      <c r="E1369" s="137">
        <v>3066</v>
      </c>
      <c r="F1369" s="137">
        <v>426</v>
      </c>
    </row>
    <row r="1370" spans="1:6" x14ac:dyDescent="0.25">
      <c r="A1370" s="137" t="s">
        <v>13660</v>
      </c>
      <c r="B1370" s="137" t="s">
        <v>298</v>
      </c>
      <c r="C1370" s="137" t="s">
        <v>5171</v>
      </c>
      <c r="D1370" s="338">
        <v>8883</v>
      </c>
      <c r="E1370" s="137">
        <v>3126</v>
      </c>
      <c r="F1370" s="137">
        <v>486</v>
      </c>
    </row>
    <row r="1371" spans="1:6" x14ac:dyDescent="0.25">
      <c r="A1371" s="137" t="s">
        <v>13681</v>
      </c>
      <c r="B1371" s="137" t="s">
        <v>298</v>
      </c>
      <c r="C1371" s="137" t="s">
        <v>5070</v>
      </c>
      <c r="D1371" s="338">
        <v>7470</v>
      </c>
      <c r="E1371" s="137">
        <v>2794</v>
      </c>
      <c r="F1371" s="137">
        <v>154</v>
      </c>
    </row>
    <row r="1372" spans="1:6" x14ac:dyDescent="0.25">
      <c r="A1372" s="137" t="s">
        <v>13546</v>
      </c>
      <c r="B1372" s="137" t="s">
        <v>298</v>
      </c>
      <c r="C1372" s="137" t="s">
        <v>4930</v>
      </c>
      <c r="D1372" s="338">
        <v>11244</v>
      </c>
      <c r="E1372" s="137">
        <v>2961</v>
      </c>
      <c r="F1372" s="137">
        <v>321</v>
      </c>
    </row>
    <row r="1373" spans="1:6" x14ac:dyDescent="0.25">
      <c r="A1373" s="137" t="s">
        <v>13567</v>
      </c>
      <c r="B1373" s="137" t="s">
        <v>298</v>
      </c>
      <c r="C1373" s="137" t="s">
        <v>5475</v>
      </c>
      <c r="D1373" s="338">
        <v>8912</v>
      </c>
      <c r="E1373" s="137">
        <v>2269</v>
      </c>
      <c r="F1373" s="137">
        <v>949</v>
      </c>
    </row>
    <row r="1374" spans="1:6" x14ac:dyDescent="0.25">
      <c r="A1374" s="137" t="s">
        <v>13626</v>
      </c>
      <c r="B1374" s="137" t="s">
        <v>298</v>
      </c>
      <c r="C1374" s="137" t="s">
        <v>55</v>
      </c>
      <c r="D1374" s="338">
        <v>10609</v>
      </c>
      <c r="E1374" s="137">
        <v>3455</v>
      </c>
      <c r="F1374" s="137">
        <v>815</v>
      </c>
    </row>
    <row r="1375" spans="1:6" x14ac:dyDescent="0.25">
      <c r="A1375" s="137" t="s">
        <v>13717</v>
      </c>
      <c r="B1375" s="137" t="s">
        <v>298</v>
      </c>
      <c r="C1375" s="137" t="s">
        <v>5234</v>
      </c>
      <c r="D1375" s="338">
        <v>10872</v>
      </c>
      <c r="E1375" s="137">
        <v>3117</v>
      </c>
      <c r="F1375" s="137">
        <v>477</v>
      </c>
    </row>
    <row r="1376" spans="1:6" x14ac:dyDescent="0.25">
      <c r="A1376" s="137" t="s">
        <v>13719</v>
      </c>
      <c r="B1376" s="137" t="s">
        <v>298</v>
      </c>
      <c r="C1376" s="137" t="s">
        <v>4847</v>
      </c>
      <c r="D1376" s="338">
        <v>10544</v>
      </c>
      <c r="E1376" s="137">
        <v>2945</v>
      </c>
      <c r="F1376" s="137">
        <v>305</v>
      </c>
    </row>
    <row r="1377" spans="1:6" x14ac:dyDescent="0.25">
      <c r="A1377" s="137" t="s">
        <v>13727</v>
      </c>
      <c r="B1377" s="137" t="s">
        <v>298</v>
      </c>
      <c r="C1377" s="137" t="s">
        <v>3442</v>
      </c>
      <c r="D1377" s="338">
        <v>3874</v>
      </c>
      <c r="E1377" s="137">
        <v>2949</v>
      </c>
      <c r="F1377" s="137">
        <v>309</v>
      </c>
    </row>
    <row r="1378" spans="1:6" x14ac:dyDescent="0.25">
      <c r="A1378" s="137" t="s">
        <v>13857</v>
      </c>
      <c r="B1378" s="137" t="s">
        <v>298</v>
      </c>
      <c r="C1378" s="137" t="s">
        <v>5295</v>
      </c>
      <c r="D1378" s="338">
        <v>8956</v>
      </c>
      <c r="E1378" s="137">
        <v>3496</v>
      </c>
      <c r="F1378" s="137">
        <v>856</v>
      </c>
    </row>
    <row r="1379" spans="1:6" x14ac:dyDescent="0.25">
      <c r="A1379" s="137" t="s">
        <v>13577</v>
      </c>
      <c r="B1379" s="137" t="s">
        <v>298</v>
      </c>
      <c r="C1379" s="137" t="s">
        <v>5631</v>
      </c>
      <c r="D1379" s="338">
        <v>10231</v>
      </c>
      <c r="E1379" s="137">
        <v>3103</v>
      </c>
      <c r="F1379" s="137">
        <v>463</v>
      </c>
    </row>
    <row r="1380" spans="1:6" x14ac:dyDescent="0.25">
      <c r="A1380" s="137" t="s">
        <v>13412</v>
      </c>
      <c r="B1380" s="137" t="s">
        <v>298</v>
      </c>
      <c r="C1380" s="137" t="s">
        <v>4078</v>
      </c>
      <c r="D1380" s="338">
        <v>3933</v>
      </c>
      <c r="E1380" s="137">
        <v>2809</v>
      </c>
      <c r="F1380" s="137">
        <v>169</v>
      </c>
    </row>
    <row r="1381" spans="1:6" x14ac:dyDescent="0.25">
      <c r="A1381" s="137" t="s">
        <v>13838</v>
      </c>
      <c r="B1381" s="137" t="s">
        <v>298</v>
      </c>
      <c r="C1381" s="137" t="s">
        <v>2490</v>
      </c>
      <c r="D1381" s="338">
        <v>8708</v>
      </c>
      <c r="E1381" s="137">
        <v>3549</v>
      </c>
      <c r="F1381" s="137">
        <v>909</v>
      </c>
    </row>
    <row r="1382" spans="1:6" x14ac:dyDescent="0.25">
      <c r="A1382" s="137" t="s">
        <v>13630</v>
      </c>
      <c r="B1382" s="137" t="s">
        <v>298</v>
      </c>
      <c r="C1382" s="137" t="s">
        <v>5473</v>
      </c>
      <c r="D1382" s="338">
        <v>9696</v>
      </c>
      <c r="E1382" s="137">
        <v>2574</v>
      </c>
      <c r="F1382" s="137">
        <v>1254</v>
      </c>
    </row>
    <row r="1383" spans="1:6" x14ac:dyDescent="0.25">
      <c r="A1383" s="137" t="s">
        <v>13406</v>
      </c>
      <c r="B1383" s="137" t="s">
        <v>298</v>
      </c>
      <c r="C1383" s="137" t="s">
        <v>1598</v>
      </c>
      <c r="D1383" s="338">
        <v>7235</v>
      </c>
      <c r="E1383" s="137">
        <v>3229</v>
      </c>
      <c r="F1383" s="137">
        <v>589</v>
      </c>
    </row>
    <row r="1384" spans="1:6" x14ac:dyDescent="0.25">
      <c r="A1384" s="137" t="s">
        <v>13434</v>
      </c>
      <c r="B1384" s="137" t="s">
        <v>298</v>
      </c>
      <c r="C1384" s="137" t="s">
        <v>27</v>
      </c>
      <c r="D1384" s="338">
        <v>10126</v>
      </c>
      <c r="E1384" s="137">
        <v>3290</v>
      </c>
      <c r="F1384" s="137">
        <v>650</v>
      </c>
    </row>
    <row r="1385" spans="1:6" x14ac:dyDescent="0.25">
      <c r="A1385" s="137" t="s">
        <v>13767</v>
      </c>
      <c r="B1385" s="137" t="s">
        <v>298</v>
      </c>
      <c r="C1385" s="137" t="s">
        <v>5511</v>
      </c>
      <c r="D1385" s="338">
        <v>11762</v>
      </c>
      <c r="E1385" s="137">
        <v>3767</v>
      </c>
      <c r="F1385" s="137">
        <v>1127</v>
      </c>
    </row>
    <row r="1386" spans="1:6" x14ac:dyDescent="0.25">
      <c r="A1386" s="137" t="s">
        <v>14045</v>
      </c>
      <c r="B1386" s="137" t="s">
        <v>298</v>
      </c>
      <c r="C1386" s="137" t="s">
        <v>4058</v>
      </c>
      <c r="D1386" s="338">
        <v>4405</v>
      </c>
      <c r="E1386" s="137">
        <v>3105</v>
      </c>
      <c r="F1386" s="137">
        <v>465</v>
      </c>
    </row>
    <row r="1387" spans="1:6" x14ac:dyDescent="0.25">
      <c r="A1387" s="137" t="s">
        <v>13409</v>
      </c>
      <c r="B1387" s="137" t="s">
        <v>298</v>
      </c>
      <c r="C1387" s="137" t="s">
        <v>3371</v>
      </c>
      <c r="D1387" s="338">
        <v>6477</v>
      </c>
      <c r="E1387" s="137">
        <v>3509</v>
      </c>
      <c r="F1387" s="137">
        <v>869</v>
      </c>
    </row>
    <row r="1388" spans="1:6" x14ac:dyDescent="0.25">
      <c r="A1388" s="137" t="s">
        <v>13506</v>
      </c>
      <c r="B1388" s="137" t="s">
        <v>298</v>
      </c>
      <c r="C1388" s="137" t="s">
        <v>4729</v>
      </c>
      <c r="D1388" s="338">
        <v>6402</v>
      </c>
      <c r="E1388" s="137">
        <v>2738</v>
      </c>
      <c r="F1388" s="137">
        <v>98</v>
      </c>
    </row>
    <row r="1389" spans="1:6" x14ac:dyDescent="0.25">
      <c r="A1389" s="137" t="s">
        <v>13737</v>
      </c>
      <c r="B1389" s="137" t="s">
        <v>298</v>
      </c>
      <c r="C1389" s="137" t="s">
        <v>5567</v>
      </c>
      <c r="D1389" s="338">
        <v>10636</v>
      </c>
      <c r="E1389" s="137">
        <v>3583</v>
      </c>
      <c r="F1389" s="137">
        <v>943</v>
      </c>
    </row>
    <row r="1390" spans="1:6" x14ac:dyDescent="0.25">
      <c r="A1390" s="137" t="s">
        <v>13474</v>
      </c>
      <c r="B1390" s="137" t="s">
        <v>298</v>
      </c>
      <c r="C1390" s="137" t="s">
        <v>5454</v>
      </c>
      <c r="D1390" s="338">
        <v>10685</v>
      </c>
      <c r="E1390" s="137">
        <v>2712</v>
      </c>
      <c r="F1390" s="137">
        <v>72</v>
      </c>
    </row>
    <row r="1391" spans="1:6" x14ac:dyDescent="0.25">
      <c r="A1391" s="137" t="s">
        <v>13485</v>
      </c>
      <c r="B1391" s="137" t="s">
        <v>298</v>
      </c>
      <c r="C1391" s="137" t="s">
        <v>9</v>
      </c>
      <c r="D1391" s="338">
        <v>8145</v>
      </c>
      <c r="E1391" s="137">
        <v>2557</v>
      </c>
      <c r="F1391" s="137">
        <v>1237</v>
      </c>
    </row>
    <row r="1392" spans="1:6" x14ac:dyDescent="0.25">
      <c r="A1392" s="137" t="s">
        <v>13472</v>
      </c>
      <c r="B1392" s="137" t="s">
        <v>298</v>
      </c>
      <c r="C1392" s="137" t="s">
        <v>483</v>
      </c>
      <c r="D1392" s="338">
        <v>11055</v>
      </c>
      <c r="E1392" s="137">
        <v>3022</v>
      </c>
      <c r="F1392" s="137">
        <v>382</v>
      </c>
    </row>
    <row r="1393" spans="1:6" x14ac:dyDescent="0.25">
      <c r="A1393" s="137" t="s">
        <v>13475</v>
      </c>
      <c r="B1393" s="137" t="s">
        <v>298</v>
      </c>
      <c r="C1393" s="137" t="s">
        <v>5613</v>
      </c>
      <c r="D1393" s="338">
        <v>10582</v>
      </c>
      <c r="E1393" s="137">
        <v>2905</v>
      </c>
      <c r="F1393" s="137">
        <v>265</v>
      </c>
    </row>
    <row r="1394" spans="1:6" x14ac:dyDescent="0.25">
      <c r="A1394" s="137" t="s">
        <v>13483</v>
      </c>
      <c r="B1394" s="137" t="s">
        <v>298</v>
      </c>
      <c r="C1394" s="137" t="s">
        <v>5721</v>
      </c>
      <c r="D1394" s="338">
        <v>8196</v>
      </c>
      <c r="E1394" s="137">
        <v>2957</v>
      </c>
      <c r="F1394" s="137">
        <v>317</v>
      </c>
    </row>
    <row r="1395" spans="1:6" x14ac:dyDescent="0.25">
      <c r="A1395" s="137" t="s">
        <v>13502</v>
      </c>
      <c r="B1395" s="137" t="s">
        <v>298</v>
      </c>
      <c r="C1395" s="137" t="s">
        <v>5025</v>
      </c>
      <c r="D1395" s="338">
        <v>9943</v>
      </c>
      <c r="E1395" s="137">
        <v>2906</v>
      </c>
      <c r="F1395" s="137">
        <v>266</v>
      </c>
    </row>
    <row r="1396" spans="1:6" x14ac:dyDescent="0.25">
      <c r="A1396" s="137" t="s">
        <v>13845</v>
      </c>
      <c r="B1396" s="137" t="s">
        <v>298</v>
      </c>
      <c r="C1396" s="137" t="s">
        <v>6</v>
      </c>
      <c r="D1396" s="338">
        <v>9610</v>
      </c>
      <c r="E1396" s="137">
        <v>2716</v>
      </c>
      <c r="F1396" s="137">
        <v>76</v>
      </c>
    </row>
    <row r="1397" spans="1:6" x14ac:dyDescent="0.25">
      <c r="A1397" s="137" t="s">
        <v>11452</v>
      </c>
      <c r="B1397" s="137" t="s">
        <v>5599</v>
      </c>
      <c r="C1397" s="137" t="s">
        <v>5443</v>
      </c>
      <c r="D1397" s="338">
        <v>7164</v>
      </c>
      <c r="E1397" s="137">
        <v>4790</v>
      </c>
      <c r="F1397" s="137">
        <v>830</v>
      </c>
    </row>
    <row r="1398" spans="1:6" x14ac:dyDescent="0.25">
      <c r="A1398" s="137" t="s">
        <v>11295</v>
      </c>
      <c r="B1398" s="137" t="s">
        <v>5599</v>
      </c>
      <c r="C1398" s="137" t="s">
        <v>457</v>
      </c>
      <c r="D1398" s="338">
        <v>3939</v>
      </c>
      <c r="E1398" s="137">
        <v>7283</v>
      </c>
      <c r="F1398" s="137">
        <v>683</v>
      </c>
    </row>
    <row r="1399" spans="1:6" x14ac:dyDescent="0.25">
      <c r="A1399" s="137" t="s">
        <v>11376</v>
      </c>
      <c r="B1399" s="137" t="s">
        <v>5599</v>
      </c>
      <c r="C1399" s="137" t="s">
        <v>3950</v>
      </c>
      <c r="D1399" s="338">
        <v>4516</v>
      </c>
      <c r="E1399" s="137">
        <v>4391</v>
      </c>
      <c r="F1399" s="137">
        <v>431</v>
      </c>
    </row>
    <row r="1400" spans="1:6" x14ac:dyDescent="0.25">
      <c r="A1400" s="137" t="s">
        <v>11616</v>
      </c>
      <c r="B1400" s="137" t="s">
        <v>5599</v>
      </c>
      <c r="C1400" s="137" t="s">
        <v>5487</v>
      </c>
      <c r="D1400" s="338">
        <v>9706</v>
      </c>
      <c r="E1400" s="137">
        <v>3546</v>
      </c>
      <c r="F1400" s="137">
        <v>906</v>
      </c>
    </row>
    <row r="1401" spans="1:6" x14ac:dyDescent="0.25">
      <c r="A1401" s="137" t="s">
        <v>11586</v>
      </c>
      <c r="B1401" s="137" t="s">
        <v>5599</v>
      </c>
      <c r="C1401" s="137" t="s">
        <v>5619</v>
      </c>
      <c r="D1401" s="338">
        <v>7972</v>
      </c>
      <c r="E1401" s="137">
        <v>3568</v>
      </c>
      <c r="F1401" s="137">
        <v>928</v>
      </c>
    </row>
    <row r="1402" spans="1:6" x14ac:dyDescent="0.25">
      <c r="A1402" s="137" t="s">
        <v>11640</v>
      </c>
      <c r="B1402" s="137" t="s">
        <v>5599</v>
      </c>
      <c r="C1402" s="137" t="s">
        <v>2397</v>
      </c>
      <c r="D1402" s="338">
        <v>8567</v>
      </c>
      <c r="E1402" s="137">
        <v>3082</v>
      </c>
      <c r="F1402" s="137">
        <v>442</v>
      </c>
    </row>
    <row r="1403" spans="1:6" x14ac:dyDescent="0.25">
      <c r="A1403" s="137" t="s">
        <v>11244</v>
      </c>
      <c r="B1403" s="137" t="s">
        <v>5599</v>
      </c>
      <c r="C1403" s="137" t="s">
        <v>454</v>
      </c>
      <c r="D1403" s="338">
        <v>5031</v>
      </c>
      <c r="E1403" s="137">
        <v>4755</v>
      </c>
      <c r="F1403" s="137">
        <v>-525</v>
      </c>
    </row>
    <row r="1404" spans="1:6" x14ac:dyDescent="0.25">
      <c r="A1404" s="137" t="s">
        <v>11467</v>
      </c>
      <c r="B1404" s="137" t="s">
        <v>5599</v>
      </c>
      <c r="C1404" s="137" t="s">
        <v>4494</v>
      </c>
      <c r="D1404" s="338">
        <v>6247</v>
      </c>
      <c r="E1404" s="137">
        <v>3377</v>
      </c>
      <c r="F1404" s="137">
        <v>737</v>
      </c>
    </row>
    <row r="1405" spans="1:6" x14ac:dyDescent="0.25">
      <c r="A1405" s="137" t="s">
        <v>11358</v>
      </c>
      <c r="B1405" s="137" t="s">
        <v>5599</v>
      </c>
      <c r="C1405" s="137" t="s">
        <v>452</v>
      </c>
      <c r="D1405" s="338">
        <v>11982</v>
      </c>
      <c r="E1405" s="137">
        <v>5337</v>
      </c>
      <c r="F1405" s="137">
        <v>57</v>
      </c>
    </row>
    <row r="1406" spans="1:6" x14ac:dyDescent="0.25">
      <c r="A1406" s="137" t="s">
        <v>11168</v>
      </c>
      <c r="B1406" s="137" t="s">
        <v>5599</v>
      </c>
      <c r="C1406" s="137" t="s">
        <v>3365</v>
      </c>
      <c r="D1406" s="338">
        <v>8813</v>
      </c>
      <c r="E1406" s="137">
        <v>3437</v>
      </c>
      <c r="F1406" s="137">
        <v>797</v>
      </c>
    </row>
    <row r="1407" spans="1:6" x14ac:dyDescent="0.25">
      <c r="A1407" s="137" t="s">
        <v>11343</v>
      </c>
      <c r="B1407" s="137" t="s">
        <v>5599</v>
      </c>
      <c r="C1407" s="137" t="s">
        <v>5253</v>
      </c>
      <c r="D1407" s="338">
        <v>8943</v>
      </c>
      <c r="E1407" s="137">
        <v>4695</v>
      </c>
      <c r="F1407" s="137">
        <v>735</v>
      </c>
    </row>
    <row r="1408" spans="1:6" x14ac:dyDescent="0.25">
      <c r="A1408" s="137" t="s">
        <v>11357</v>
      </c>
      <c r="B1408" s="137" t="s">
        <v>5599</v>
      </c>
      <c r="C1408" s="137" t="s">
        <v>450</v>
      </c>
      <c r="D1408" s="338">
        <v>7613</v>
      </c>
      <c r="E1408" s="137">
        <v>4918</v>
      </c>
      <c r="F1408" s="137">
        <v>958</v>
      </c>
    </row>
    <row r="1409" spans="1:6" x14ac:dyDescent="0.25">
      <c r="A1409" s="137" t="s">
        <v>11336</v>
      </c>
      <c r="B1409" s="137" t="s">
        <v>5599</v>
      </c>
      <c r="C1409" s="137" t="s">
        <v>4814</v>
      </c>
      <c r="D1409" s="338">
        <v>6924</v>
      </c>
      <c r="E1409" s="137">
        <v>4328</v>
      </c>
      <c r="F1409" s="137">
        <v>368</v>
      </c>
    </row>
    <row r="1410" spans="1:6" x14ac:dyDescent="0.25">
      <c r="A1410" s="137" t="s">
        <v>11364</v>
      </c>
      <c r="B1410" s="137" t="s">
        <v>5599</v>
      </c>
      <c r="C1410" s="137" t="s">
        <v>448</v>
      </c>
      <c r="D1410" s="338">
        <v>6950</v>
      </c>
      <c r="E1410" s="137">
        <v>5203</v>
      </c>
      <c r="F1410" s="137">
        <v>-77</v>
      </c>
    </row>
    <row r="1411" spans="1:6" x14ac:dyDescent="0.25">
      <c r="A1411" s="137" t="s">
        <v>11363</v>
      </c>
      <c r="B1411" s="137" t="s">
        <v>5599</v>
      </c>
      <c r="C1411" s="137" t="s">
        <v>446</v>
      </c>
      <c r="D1411" s="338">
        <v>9112</v>
      </c>
      <c r="E1411" s="137">
        <v>4687</v>
      </c>
      <c r="F1411" s="137">
        <v>727</v>
      </c>
    </row>
    <row r="1412" spans="1:6" x14ac:dyDescent="0.25">
      <c r="A1412" s="137" t="s">
        <v>11459</v>
      </c>
      <c r="B1412" s="137" t="s">
        <v>5599</v>
      </c>
      <c r="C1412" s="137" t="s">
        <v>4543</v>
      </c>
      <c r="D1412" s="338">
        <v>6206</v>
      </c>
      <c r="E1412" s="137">
        <v>3409</v>
      </c>
      <c r="F1412" s="137">
        <v>769</v>
      </c>
    </row>
    <row r="1413" spans="1:6" x14ac:dyDescent="0.25">
      <c r="A1413" s="137" t="s">
        <v>11544</v>
      </c>
      <c r="B1413" s="137" t="s">
        <v>5599</v>
      </c>
      <c r="C1413" s="137" t="s">
        <v>4941</v>
      </c>
      <c r="D1413" s="338">
        <v>10572</v>
      </c>
      <c r="E1413" s="137">
        <v>4691</v>
      </c>
      <c r="F1413" s="137">
        <v>731</v>
      </c>
    </row>
    <row r="1414" spans="1:6" x14ac:dyDescent="0.25">
      <c r="A1414" s="137" t="s">
        <v>11450</v>
      </c>
      <c r="B1414" s="137" t="s">
        <v>5599</v>
      </c>
      <c r="C1414" s="137" t="s">
        <v>4404</v>
      </c>
      <c r="D1414" s="338">
        <v>7201</v>
      </c>
      <c r="E1414" s="137">
        <v>3775</v>
      </c>
      <c r="F1414" s="137">
        <v>1135</v>
      </c>
    </row>
    <row r="1415" spans="1:6" x14ac:dyDescent="0.25">
      <c r="A1415" s="137" t="s">
        <v>11543</v>
      </c>
      <c r="B1415" s="137" t="s">
        <v>5599</v>
      </c>
      <c r="C1415" s="137" t="s">
        <v>4945</v>
      </c>
      <c r="D1415" s="338">
        <v>11522</v>
      </c>
      <c r="E1415" s="137">
        <v>4691</v>
      </c>
      <c r="F1415" s="137">
        <v>731</v>
      </c>
    </row>
    <row r="1416" spans="1:6" x14ac:dyDescent="0.25">
      <c r="A1416" s="137" t="s">
        <v>11352</v>
      </c>
      <c r="B1416" s="137" t="s">
        <v>5599</v>
      </c>
      <c r="C1416" s="137" t="s">
        <v>437</v>
      </c>
      <c r="D1416" s="338">
        <v>7820</v>
      </c>
      <c r="E1416" s="137">
        <v>4397</v>
      </c>
      <c r="F1416" s="137">
        <v>437</v>
      </c>
    </row>
    <row r="1417" spans="1:6" x14ac:dyDescent="0.25">
      <c r="A1417" s="137" t="s">
        <v>11617</v>
      </c>
      <c r="B1417" s="137" t="s">
        <v>5599</v>
      </c>
      <c r="C1417" s="137" t="s">
        <v>4960</v>
      </c>
      <c r="D1417" s="338">
        <v>11858</v>
      </c>
      <c r="E1417" s="137">
        <v>4053</v>
      </c>
      <c r="F1417" s="137">
        <v>93</v>
      </c>
    </row>
    <row r="1418" spans="1:6" x14ac:dyDescent="0.25">
      <c r="A1418" s="137" t="s">
        <v>11642</v>
      </c>
      <c r="B1418" s="137" t="s">
        <v>5599</v>
      </c>
      <c r="C1418" s="137" t="s">
        <v>435</v>
      </c>
      <c r="D1418" s="338">
        <v>6082</v>
      </c>
      <c r="E1418" s="137">
        <v>3855</v>
      </c>
      <c r="F1418" s="137">
        <v>1215</v>
      </c>
    </row>
    <row r="1419" spans="1:6" x14ac:dyDescent="0.25">
      <c r="A1419" s="137" t="s">
        <v>11618</v>
      </c>
      <c r="B1419" s="137" t="s">
        <v>5599</v>
      </c>
      <c r="C1419" s="137" t="s">
        <v>2692</v>
      </c>
      <c r="D1419" s="338">
        <v>9977</v>
      </c>
      <c r="E1419" s="137">
        <v>2281</v>
      </c>
      <c r="F1419" s="137">
        <v>961</v>
      </c>
    </row>
    <row r="1420" spans="1:6" x14ac:dyDescent="0.25">
      <c r="A1420" s="137" t="s">
        <v>11588</v>
      </c>
      <c r="B1420" s="137" t="s">
        <v>5599</v>
      </c>
      <c r="C1420" s="137" t="s">
        <v>1842</v>
      </c>
      <c r="D1420" s="338">
        <v>10991</v>
      </c>
      <c r="E1420" s="137">
        <v>3280</v>
      </c>
      <c r="F1420" s="137">
        <v>640</v>
      </c>
    </row>
    <row r="1421" spans="1:6" x14ac:dyDescent="0.25">
      <c r="A1421" s="137" t="s">
        <v>11457</v>
      </c>
      <c r="B1421" s="137" t="s">
        <v>5599</v>
      </c>
      <c r="C1421" s="137" t="s">
        <v>5663</v>
      </c>
      <c r="D1421" s="338">
        <v>6989</v>
      </c>
      <c r="E1421" s="137">
        <v>5560</v>
      </c>
      <c r="F1421" s="137">
        <v>280</v>
      </c>
    </row>
    <row r="1422" spans="1:6" x14ac:dyDescent="0.25">
      <c r="A1422" s="137" t="s">
        <v>11619</v>
      </c>
      <c r="B1422" s="137" t="s">
        <v>5599</v>
      </c>
      <c r="C1422" s="137" t="s">
        <v>2793</v>
      </c>
      <c r="D1422" s="338">
        <v>12121</v>
      </c>
      <c r="E1422" s="137">
        <v>3498</v>
      </c>
      <c r="F1422" s="137">
        <v>858</v>
      </c>
    </row>
    <row r="1423" spans="1:6" x14ac:dyDescent="0.25">
      <c r="A1423" s="137" t="s">
        <v>11597</v>
      </c>
      <c r="B1423" s="137" t="s">
        <v>5599</v>
      </c>
      <c r="C1423" s="137" t="s">
        <v>4649</v>
      </c>
      <c r="D1423" s="338">
        <v>12261</v>
      </c>
      <c r="E1423" s="137">
        <v>4042</v>
      </c>
      <c r="F1423" s="137">
        <v>82</v>
      </c>
    </row>
    <row r="1424" spans="1:6" x14ac:dyDescent="0.25">
      <c r="A1424" s="137" t="s">
        <v>11235</v>
      </c>
      <c r="B1424" s="137" t="s">
        <v>5599</v>
      </c>
      <c r="C1424" s="137" t="s">
        <v>433</v>
      </c>
      <c r="D1424" s="338">
        <v>4254</v>
      </c>
      <c r="E1424" s="137">
        <v>5571</v>
      </c>
      <c r="F1424" s="137">
        <v>291</v>
      </c>
    </row>
    <row r="1425" spans="1:6" x14ac:dyDescent="0.25">
      <c r="A1425" s="137" t="s">
        <v>11227</v>
      </c>
      <c r="B1425" s="137" t="s">
        <v>5599</v>
      </c>
      <c r="C1425" s="137" t="s">
        <v>430</v>
      </c>
      <c r="D1425" s="338">
        <v>8110</v>
      </c>
      <c r="E1425" s="137">
        <v>4092</v>
      </c>
      <c r="F1425" s="137">
        <v>132</v>
      </c>
    </row>
    <row r="1426" spans="1:6" x14ac:dyDescent="0.25">
      <c r="A1426" s="137" t="s">
        <v>11377</v>
      </c>
      <c r="B1426" s="137" t="s">
        <v>5599</v>
      </c>
      <c r="C1426" s="137" t="s">
        <v>4429</v>
      </c>
      <c r="D1426" s="338">
        <v>12152</v>
      </c>
      <c r="E1426" s="137">
        <v>3389</v>
      </c>
      <c r="F1426" s="137">
        <v>749</v>
      </c>
    </row>
    <row r="1427" spans="1:6" x14ac:dyDescent="0.25">
      <c r="A1427" s="137" t="s">
        <v>11579</v>
      </c>
      <c r="B1427" s="137" t="s">
        <v>5599</v>
      </c>
      <c r="C1427" s="137" t="s">
        <v>428</v>
      </c>
      <c r="D1427" s="338">
        <v>13115</v>
      </c>
      <c r="E1427" s="137">
        <v>3201</v>
      </c>
      <c r="F1427" s="137">
        <v>561</v>
      </c>
    </row>
    <row r="1428" spans="1:6" x14ac:dyDescent="0.25">
      <c r="A1428" s="137" t="s">
        <v>11602</v>
      </c>
      <c r="B1428" s="137" t="s">
        <v>5599</v>
      </c>
      <c r="C1428" s="137" t="s">
        <v>426</v>
      </c>
      <c r="D1428" s="338">
        <v>9048</v>
      </c>
      <c r="E1428" s="137">
        <v>4146</v>
      </c>
      <c r="F1428" s="137">
        <v>186</v>
      </c>
    </row>
    <row r="1429" spans="1:6" x14ac:dyDescent="0.25">
      <c r="A1429" s="137" t="s">
        <v>11436</v>
      </c>
      <c r="B1429" s="137" t="s">
        <v>5599</v>
      </c>
      <c r="C1429" s="137" t="s">
        <v>5395</v>
      </c>
      <c r="D1429" s="338">
        <v>6652</v>
      </c>
      <c r="E1429" s="137">
        <v>4303</v>
      </c>
      <c r="F1429" s="137">
        <v>343</v>
      </c>
    </row>
    <row r="1430" spans="1:6" x14ac:dyDescent="0.25">
      <c r="A1430" s="137" t="s">
        <v>11620</v>
      </c>
      <c r="B1430" s="137" t="s">
        <v>5599</v>
      </c>
      <c r="C1430" s="137" t="s">
        <v>4993</v>
      </c>
      <c r="D1430" s="338">
        <v>10844</v>
      </c>
      <c r="E1430" s="137">
        <v>3471</v>
      </c>
      <c r="F1430" s="137">
        <v>831</v>
      </c>
    </row>
    <row r="1431" spans="1:6" x14ac:dyDescent="0.25">
      <c r="A1431" s="137" t="s">
        <v>11574</v>
      </c>
      <c r="B1431" s="137" t="s">
        <v>5599</v>
      </c>
      <c r="C1431" s="137" t="s">
        <v>4406</v>
      </c>
      <c r="D1431" s="338">
        <v>12872</v>
      </c>
      <c r="E1431" s="137">
        <v>2605</v>
      </c>
      <c r="F1431" s="137">
        <v>1285</v>
      </c>
    </row>
    <row r="1432" spans="1:6" x14ac:dyDescent="0.25">
      <c r="A1432" s="137" t="s">
        <v>11405</v>
      </c>
      <c r="B1432" s="137" t="s">
        <v>5599</v>
      </c>
      <c r="C1432" s="137" t="s">
        <v>5507</v>
      </c>
      <c r="D1432" s="338">
        <v>8292</v>
      </c>
      <c r="E1432" s="137">
        <v>3605</v>
      </c>
      <c r="F1432" s="137">
        <v>965</v>
      </c>
    </row>
    <row r="1433" spans="1:6" x14ac:dyDescent="0.25">
      <c r="A1433" s="137" t="s">
        <v>11310</v>
      </c>
      <c r="B1433" s="137" t="s">
        <v>5599</v>
      </c>
      <c r="C1433" s="137" t="s">
        <v>419</v>
      </c>
      <c r="D1433" s="338">
        <v>7431</v>
      </c>
      <c r="E1433" s="137">
        <v>6054</v>
      </c>
      <c r="F1433" s="137">
        <v>774</v>
      </c>
    </row>
    <row r="1434" spans="1:6" x14ac:dyDescent="0.25">
      <c r="A1434" s="137" t="s">
        <v>11454</v>
      </c>
      <c r="B1434" s="137" t="s">
        <v>5599</v>
      </c>
      <c r="C1434" s="137" t="s">
        <v>5128</v>
      </c>
      <c r="D1434" s="338">
        <v>7045</v>
      </c>
      <c r="E1434" s="137">
        <v>4337</v>
      </c>
      <c r="F1434" s="137">
        <v>377</v>
      </c>
    </row>
    <row r="1435" spans="1:6" x14ac:dyDescent="0.25">
      <c r="A1435" s="137" t="s">
        <v>11443</v>
      </c>
      <c r="B1435" s="137" t="s">
        <v>5599</v>
      </c>
      <c r="C1435" s="137" t="s">
        <v>417</v>
      </c>
      <c r="D1435" s="338">
        <v>9650</v>
      </c>
      <c r="E1435" s="137">
        <v>4579</v>
      </c>
      <c r="F1435" s="137">
        <v>619</v>
      </c>
    </row>
    <row r="1436" spans="1:6" x14ac:dyDescent="0.25">
      <c r="A1436" s="137" t="s">
        <v>11362</v>
      </c>
      <c r="B1436" s="137" t="s">
        <v>5599</v>
      </c>
      <c r="C1436" s="137" t="s">
        <v>415</v>
      </c>
      <c r="D1436" s="338">
        <v>8586</v>
      </c>
      <c r="E1436" s="137">
        <v>6608</v>
      </c>
      <c r="F1436" s="137">
        <v>8</v>
      </c>
    </row>
    <row r="1437" spans="1:6" x14ac:dyDescent="0.25">
      <c r="A1437" s="137" t="s">
        <v>11403</v>
      </c>
      <c r="B1437" s="137" t="s">
        <v>5599</v>
      </c>
      <c r="C1437" s="137" t="s">
        <v>5392</v>
      </c>
      <c r="D1437" s="338">
        <v>8129</v>
      </c>
      <c r="E1437" s="137">
        <v>3323</v>
      </c>
      <c r="F1437" s="137">
        <v>683</v>
      </c>
    </row>
    <row r="1438" spans="1:6" x14ac:dyDescent="0.25">
      <c r="A1438" s="137" t="s">
        <v>11394</v>
      </c>
      <c r="B1438" s="137" t="s">
        <v>5599</v>
      </c>
      <c r="C1438" s="137" t="s">
        <v>414</v>
      </c>
      <c r="D1438" s="338">
        <v>6540</v>
      </c>
      <c r="E1438" s="137">
        <v>5909</v>
      </c>
      <c r="F1438" s="137">
        <v>629</v>
      </c>
    </row>
    <row r="1439" spans="1:6" x14ac:dyDescent="0.25">
      <c r="A1439" s="137" t="s">
        <v>11383</v>
      </c>
      <c r="B1439" s="137" t="s">
        <v>5599</v>
      </c>
      <c r="C1439" s="137" t="s">
        <v>410</v>
      </c>
      <c r="D1439" s="338">
        <v>11324</v>
      </c>
      <c r="E1439" s="137">
        <v>4698</v>
      </c>
      <c r="F1439" s="137">
        <v>738</v>
      </c>
    </row>
    <row r="1440" spans="1:6" x14ac:dyDescent="0.25">
      <c r="A1440" s="137" t="s">
        <v>11214</v>
      </c>
      <c r="B1440" s="137" t="s">
        <v>5599</v>
      </c>
      <c r="C1440" s="137" t="s">
        <v>408</v>
      </c>
      <c r="D1440" s="338">
        <v>11910</v>
      </c>
      <c r="E1440" s="137">
        <v>5754</v>
      </c>
      <c r="F1440" s="137">
        <v>474</v>
      </c>
    </row>
    <row r="1441" spans="1:6" x14ac:dyDescent="0.25">
      <c r="A1441" s="137" t="s">
        <v>11402</v>
      </c>
      <c r="B1441" s="137" t="s">
        <v>5599</v>
      </c>
      <c r="C1441" s="137" t="s">
        <v>406</v>
      </c>
      <c r="D1441" s="338">
        <v>6634</v>
      </c>
      <c r="E1441" s="137">
        <v>6691</v>
      </c>
      <c r="F1441" s="137">
        <v>91</v>
      </c>
    </row>
    <row r="1442" spans="1:6" x14ac:dyDescent="0.25">
      <c r="A1442" s="137" t="s">
        <v>11621</v>
      </c>
      <c r="B1442" s="137" t="s">
        <v>5599</v>
      </c>
      <c r="C1442" s="137" t="s">
        <v>4076</v>
      </c>
      <c r="D1442" s="338">
        <v>11668</v>
      </c>
      <c r="E1442" s="137">
        <v>3129</v>
      </c>
      <c r="F1442" s="137">
        <v>489</v>
      </c>
    </row>
    <row r="1443" spans="1:6" x14ac:dyDescent="0.25">
      <c r="A1443" s="137" t="s">
        <v>11390</v>
      </c>
      <c r="B1443" s="137" t="s">
        <v>5599</v>
      </c>
      <c r="C1443" s="137" t="s">
        <v>404</v>
      </c>
      <c r="D1443" s="338">
        <v>12989</v>
      </c>
      <c r="E1443" s="137">
        <v>3863</v>
      </c>
      <c r="F1443" s="137">
        <v>1223</v>
      </c>
    </row>
    <row r="1444" spans="1:6" x14ac:dyDescent="0.25">
      <c r="A1444" s="137" t="s">
        <v>11592</v>
      </c>
      <c r="B1444" s="137" t="s">
        <v>5599</v>
      </c>
      <c r="C1444" s="137" t="s">
        <v>3992</v>
      </c>
      <c r="D1444" s="338">
        <v>11834</v>
      </c>
      <c r="E1444" s="137">
        <v>2873</v>
      </c>
      <c r="F1444" s="137">
        <v>233</v>
      </c>
    </row>
    <row r="1445" spans="1:6" x14ac:dyDescent="0.25">
      <c r="A1445" s="137" t="s">
        <v>11605</v>
      </c>
      <c r="B1445" s="137" t="s">
        <v>5599</v>
      </c>
      <c r="C1445" s="137" t="s">
        <v>402</v>
      </c>
      <c r="D1445" s="338">
        <v>8978</v>
      </c>
      <c r="E1445" s="137">
        <v>4104</v>
      </c>
      <c r="F1445" s="137">
        <v>144</v>
      </c>
    </row>
    <row r="1446" spans="1:6" x14ac:dyDescent="0.25">
      <c r="A1446" s="137" t="s">
        <v>11323</v>
      </c>
      <c r="B1446" s="137" t="s">
        <v>5599</v>
      </c>
      <c r="C1446" s="137" t="s">
        <v>399</v>
      </c>
      <c r="D1446" s="338">
        <v>8317</v>
      </c>
      <c r="E1446" s="137">
        <v>5134</v>
      </c>
      <c r="F1446" s="137">
        <v>1174</v>
      </c>
    </row>
    <row r="1447" spans="1:6" x14ac:dyDescent="0.25">
      <c r="A1447" s="137" t="s">
        <v>11348</v>
      </c>
      <c r="B1447" s="137" t="s">
        <v>5599</v>
      </c>
      <c r="C1447" s="137" t="s">
        <v>395</v>
      </c>
      <c r="D1447" s="338">
        <v>8227</v>
      </c>
      <c r="E1447" s="137">
        <v>4856</v>
      </c>
      <c r="F1447" s="137">
        <v>896</v>
      </c>
    </row>
    <row r="1448" spans="1:6" x14ac:dyDescent="0.25">
      <c r="A1448" s="137" t="s">
        <v>11411</v>
      </c>
      <c r="B1448" s="137" t="s">
        <v>5599</v>
      </c>
      <c r="C1448" s="137" t="s">
        <v>393</v>
      </c>
      <c r="D1448" s="338">
        <v>8268</v>
      </c>
      <c r="E1448" s="137">
        <v>4401</v>
      </c>
      <c r="F1448" s="137">
        <v>441</v>
      </c>
    </row>
    <row r="1449" spans="1:6" x14ac:dyDescent="0.25">
      <c r="A1449" s="137" t="s">
        <v>11569</v>
      </c>
      <c r="B1449" s="137" t="s">
        <v>5599</v>
      </c>
      <c r="C1449" s="137" t="s">
        <v>5682</v>
      </c>
      <c r="D1449" s="338">
        <v>13390</v>
      </c>
      <c r="E1449" s="137">
        <v>3744</v>
      </c>
      <c r="F1449" s="137">
        <v>1104</v>
      </c>
    </row>
    <row r="1450" spans="1:6" x14ac:dyDescent="0.25">
      <c r="A1450" s="137" t="s">
        <v>11361</v>
      </c>
      <c r="B1450" s="137" t="s">
        <v>5599</v>
      </c>
      <c r="C1450" s="137" t="s">
        <v>390</v>
      </c>
      <c r="D1450" s="338">
        <v>10541</v>
      </c>
      <c r="E1450" s="137">
        <v>3302</v>
      </c>
      <c r="F1450" s="137">
        <v>662</v>
      </c>
    </row>
    <row r="1451" spans="1:6" x14ac:dyDescent="0.25">
      <c r="A1451" s="137" t="s">
        <v>11396</v>
      </c>
      <c r="B1451" s="137" t="s">
        <v>5599</v>
      </c>
      <c r="C1451" s="137" t="s">
        <v>388</v>
      </c>
      <c r="D1451" s="338">
        <v>6234</v>
      </c>
      <c r="E1451" s="137">
        <v>5567</v>
      </c>
      <c r="F1451" s="137">
        <v>287</v>
      </c>
    </row>
    <row r="1452" spans="1:6" x14ac:dyDescent="0.25">
      <c r="A1452" s="137" t="s">
        <v>11224</v>
      </c>
      <c r="B1452" s="137" t="s">
        <v>5599</v>
      </c>
      <c r="C1452" s="137" t="s">
        <v>385</v>
      </c>
      <c r="D1452" s="338">
        <v>10268</v>
      </c>
      <c r="E1452" s="137">
        <v>6479</v>
      </c>
      <c r="F1452" s="137">
        <v>2519</v>
      </c>
    </row>
    <row r="1453" spans="1:6" x14ac:dyDescent="0.25">
      <c r="A1453" s="137" t="s">
        <v>11622</v>
      </c>
      <c r="B1453" s="137" t="s">
        <v>5599</v>
      </c>
      <c r="C1453" s="137" t="s">
        <v>4052</v>
      </c>
      <c r="D1453" s="338">
        <v>9740</v>
      </c>
      <c r="E1453" s="137">
        <v>3409</v>
      </c>
      <c r="F1453" s="137">
        <v>769</v>
      </c>
    </row>
    <row r="1454" spans="1:6" x14ac:dyDescent="0.25">
      <c r="A1454" s="137" t="s">
        <v>11550</v>
      </c>
      <c r="B1454" s="137" t="s">
        <v>5599</v>
      </c>
      <c r="C1454" s="137" t="s">
        <v>4291</v>
      </c>
      <c r="D1454" s="338">
        <v>10008</v>
      </c>
      <c r="E1454" s="137">
        <v>3908</v>
      </c>
      <c r="F1454" s="137">
        <v>-52</v>
      </c>
    </row>
    <row r="1455" spans="1:6" x14ac:dyDescent="0.25">
      <c r="A1455" s="137" t="s">
        <v>11623</v>
      </c>
      <c r="B1455" s="137" t="s">
        <v>5599</v>
      </c>
      <c r="C1455" s="137" t="s">
        <v>5200</v>
      </c>
      <c r="D1455" s="338">
        <v>10496</v>
      </c>
      <c r="E1455" s="137">
        <v>3506</v>
      </c>
      <c r="F1455" s="137">
        <v>866</v>
      </c>
    </row>
    <row r="1456" spans="1:6" x14ac:dyDescent="0.25">
      <c r="A1456" s="137" t="s">
        <v>11624</v>
      </c>
      <c r="B1456" s="137" t="s">
        <v>5599</v>
      </c>
      <c r="C1456" s="137" t="s">
        <v>2710</v>
      </c>
      <c r="D1456" s="338">
        <v>13101</v>
      </c>
      <c r="E1456" s="137">
        <v>3160</v>
      </c>
      <c r="F1456" s="137">
        <v>520</v>
      </c>
    </row>
    <row r="1457" spans="1:6" x14ac:dyDescent="0.25">
      <c r="A1457" s="137" t="s">
        <v>11329</v>
      </c>
      <c r="B1457" s="137" t="s">
        <v>5599</v>
      </c>
      <c r="C1457" s="137" t="s">
        <v>383</v>
      </c>
      <c r="D1457" s="338">
        <v>6246</v>
      </c>
      <c r="E1457" s="137">
        <v>4834</v>
      </c>
      <c r="F1457" s="137">
        <v>874</v>
      </c>
    </row>
    <row r="1458" spans="1:6" x14ac:dyDescent="0.25">
      <c r="A1458" s="137" t="s">
        <v>11247</v>
      </c>
      <c r="B1458" s="137" t="s">
        <v>5599</v>
      </c>
      <c r="C1458" s="137" t="s">
        <v>381</v>
      </c>
      <c r="D1458" s="338">
        <v>11471</v>
      </c>
      <c r="E1458" s="137">
        <v>5861</v>
      </c>
      <c r="F1458" s="137">
        <v>581</v>
      </c>
    </row>
    <row r="1459" spans="1:6" x14ac:dyDescent="0.25">
      <c r="A1459" s="137" t="s">
        <v>11386</v>
      </c>
      <c r="B1459" s="137" t="s">
        <v>5599</v>
      </c>
      <c r="C1459" s="137" t="s">
        <v>378</v>
      </c>
      <c r="D1459" s="338">
        <v>8086</v>
      </c>
      <c r="E1459" s="137">
        <v>5774</v>
      </c>
      <c r="F1459" s="137">
        <v>494</v>
      </c>
    </row>
    <row r="1460" spans="1:6" x14ac:dyDescent="0.25">
      <c r="A1460" s="137" t="s">
        <v>11239</v>
      </c>
      <c r="B1460" s="137" t="s">
        <v>5599</v>
      </c>
      <c r="C1460" s="137" t="s">
        <v>376</v>
      </c>
      <c r="D1460" s="338">
        <v>8850</v>
      </c>
      <c r="E1460" s="137">
        <v>3876</v>
      </c>
      <c r="F1460" s="137">
        <v>1236</v>
      </c>
    </row>
    <row r="1461" spans="1:6" x14ac:dyDescent="0.25">
      <c r="A1461" s="137" t="s">
        <v>11250</v>
      </c>
      <c r="B1461" s="137" t="s">
        <v>5599</v>
      </c>
      <c r="C1461" s="137" t="s">
        <v>373</v>
      </c>
      <c r="D1461" s="338">
        <v>10648</v>
      </c>
      <c r="E1461" s="137">
        <v>6007</v>
      </c>
      <c r="F1461" s="137">
        <v>727</v>
      </c>
    </row>
    <row r="1462" spans="1:6" x14ac:dyDescent="0.25">
      <c r="A1462" s="137" t="s">
        <v>11324</v>
      </c>
      <c r="B1462" s="137" t="s">
        <v>5599</v>
      </c>
      <c r="C1462" s="137" t="s">
        <v>369</v>
      </c>
      <c r="D1462" s="338">
        <v>8122</v>
      </c>
      <c r="E1462" s="137">
        <v>6671</v>
      </c>
      <c r="F1462" s="137">
        <v>71</v>
      </c>
    </row>
    <row r="1463" spans="1:6" x14ac:dyDescent="0.25">
      <c r="A1463" s="137" t="s">
        <v>11202</v>
      </c>
      <c r="B1463" s="137" t="s">
        <v>5599</v>
      </c>
      <c r="C1463" s="137" t="s">
        <v>368</v>
      </c>
      <c r="D1463" s="338">
        <v>8332</v>
      </c>
      <c r="E1463" s="137">
        <v>5805</v>
      </c>
      <c r="F1463" s="137">
        <v>525</v>
      </c>
    </row>
    <row r="1464" spans="1:6" x14ac:dyDescent="0.25">
      <c r="A1464" s="137" t="s">
        <v>11195</v>
      </c>
      <c r="B1464" s="137" t="s">
        <v>5599</v>
      </c>
      <c r="C1464" s="137" t="s">
        <v>366</v>
      </c>
      <c r="D1464" s="338">
        <v>12212</v>
      </c>
      <c r="E1464" s="137">
        <v>4774</v>
      </c>
      <c r="F1464" s="137">
        <v>814</v>
      </c>
    </row>
    <row r="1465" spans="1:6" x14ac:dyDescent="0.25">
      <c r="A1465" s="137" t="s">
        <v>11441</v>
      </c>
      <c r="B1465" s="137" t="s">
        <v>5599</v>
      </c>
      <c r="C1465" s="137" t="s">
        <v>364</v>
      </c>
      <c r="D1465" s="338">
        <v>11285</v>
      </c>
      <c r="E1465" s="137">
        <v>4717</v>
      </c>
      <c r="F1465" s="137">
        <v>757</v>
      </c>
    </row>
    <row r="1466" spans="1:6" x14ac:dyDescent="0.25">
      <c r="A1466" s="137" t="s">
        <v>11598</v>
      </c>
      <c r="B1466" s="137" t="s">
        <v>5599</v>
      </c>
      <c r="C1466" s="137" t="s">
        <v>3739</v>
      </c>
      <c r="D1466" s="338">
        <v>9997</v>
      </c>
      <c r="E1466" s="137">
        <v>3045</v>
      </c>
      <c r="F1466" s="137">
        <v>405</v>
      </c>
    </row>
    <row r="1467" spans="1:6" x14ac:dyDescent="0.25">
      <c r="A1467" s="137" t="s">
        <v>11307</v>
      </c>
      <c r="B1467" s="137" t="s">
        <v>5599</v>
      </c>
      <c r="C1467" s="137" t="s">
        <v>5608</v>
      </c>
      <c r="D1467" s="338">
        <v>11902</v>
      </c>
      <c r="E1467" s="137">
        <v>5062</v>
      </c>
      <c r="F1467" s="137">
        <v>1102</v>
      </c>
    </row>
    <row r="1468" spans="1:6" x14ac:dyDescent="0.25">
      <c r="A1468" s="137" t="s">
        <v>11273</v>
      </c>
      <c r="B1468" s="137" t="s">
        <v>5599</v>
      </c>
      <c r="C1468" s="137" t="s">
        <v>361</v>
      </c>
      <c r="D1468" s="338">
        <v>10025</v>
      </c>
      <c r="E1468" s="137">
        <v>5130</v>
      </c>
      <c r="F1468" s="137">
        <v>1170</v>
      </c>
    </row>
    <row r="1469" spans="1:6" x14ac:dyDescent="0.25">
      <c r="A1469" s="137" t="s">
        <v>11568</v>
      </c>
      <c r="B1469" s="137" t="s">
        <v>5599</v>
      </c>
      <c r="C1469" s="137" t="s">
        <v>5021</v>
      </c>
      <c r="D1469" s="338">
        <v>12076</v>
      </c>
      <c r="E1469" s="137">
        <v>4322</v>
      </c>
      <c r="F1469" s="137">
        <v>362</v>
      </c>
    </row>
    <row r="1470" spans="1:6" x14ac:dyDescent="0.25">
      <c r="A1470" s="137" t="s">
        <v>11216</v>
      </c>
      <c r="B1470" s="137" t="s">
        <v>5599</v>
      </c>
      <c r="C1470" s="137" t="s">
        <v>359</v>
      </c>
      <c r="D1470" s="338">
        <v>7842</v>
      </c>
      <c r="E1470" s="137">
        <v>5272</v>
      </c>
      <c r="F1470" s="137">
        <v>1312</v>
      </c>
    </row>
    <row r="1471" spans="1:6" x14ac:dyDescent="0.25">
      <c r="A1471" s="137" t="s">
        <v>11625</v>
      </c>
      <c r="B1471" s="137" t="s">
        <v>5599</v>
      </c>
      <c r="C1471" s="137" t="s">
        <v>2520</v>
      </c>
      <c r="D1471" s="338">
        <v>12997</v>
      </c>
      <c r="E1471" s="137">
        <v>3110</v>
      </c>
      <c r="F1471" s="137">
        <v>470</v>
      </c>
    </row>
    <row r="1472" spans="1:6" x14ac:dyDescent="0.25">
      <c r="A1472" s="137" t="s">
        <v>11461</v>
      </c>
      <c r="B1472" s="137" t="s">
        <v>5599</v>
      </c>
      <c r="C1472" s="137" t="s">
        <v>357</v>
      </c>
      <c r="D1472" s="338">
        <v>8724</v>
      </c>
      <c r="E1472" s="137">
        <v>4579</v>
      </c>
      <c r="F1472" s="137">
        <v>619</v>
      </c>
    </row>
    <row r="1473" spans="1:6" x14ac:dyDescent="0.25">
      <c r="A1473" s="137" t="s">
        <v>11298</v>
      </c>
      <c r="B1473" s="137" t="s">
        <v>5599</v>
      </c>
      <c r="C1473" s="137" t="s">
        <v>355</v>
      </c>
      <c r="D1473" s="338">
        <v>6209</v>
      </c>
      <c r="E1473" s="137">
        <v>5242</v>
      </c>
      <c r="F1473" s="137">
        <v>-38</v>
      </c>
    </row>
    <row r="1474" spans="1:6" x14ac:dyDescent="0.25">
      <c r="A1474" s="137" t="s">
        <v>11612</v>
      </c>
      <c r="B1474" s="137" t="s">
        <v>5599</v>
      </c>
      <c r="C1474" s="137" t="s">
        <v>4642</v>
      </c>
      <c r="D1474" s="338">
        <v>9137</v>
      </c>
      <c r="E1474" s="137">
        <v>3613</v>
      </c>
      <c r="F1474" s="137">
        <v>973</v>
      </c>
    </row>
    <row r="1475" spans="1:6" x14ac:dyDescent="0.25">
      <c r="A1475" s="137" t="s">
        <v>11274</v>
      </c>
      <c r="B1475" s="137" t="s">
        <v>5599</v>
      </c>
      <c r="C1475" s="137" t="s">
        <v>353</v>
      </c>
      <c r="D1475" s="338">
        <v>1614</v>
      </c>
      <c r="E1475" s="137">
        <v>5197</v>
      </c>
      <c r="F1475" s="137">
        <v>1237</v>
      </c>
    </row>
    <row r="1476" spans="1:6" x14ac:dyDescent="0.25">
      <c r="A1476" s="137" t="s">
        <v>11643</v>
      </c>
      <c r="B1476" s="137" t="s">
        <v>5599</v>
      </c>
      <c r="C1476" s="137" t="s">
        <v>351</v>
      </c>
      <c r="D1476" s="338">
        <v>10546</v>
      </c>
      <c r="E1476" s="137">
        <v>4569</v>
      </c>
      <c r="F1476" s="137">
        <v>609</v>
      </c>
    </row>
    <row r="1477" spans="1:6" x14ac:dyDescent="0.25">
      <c r="A1477" s="137" t="s">
        <v>11207</v>
      </c>
      <c r="B1477" s="137" t="s">
        <v>5599</v>
      </c>
      <c r="C1477" s="137" t="s">
        <v>349</v>
      </c>
      <c r="D1477" s="338">
        <v>13444</v>
      </c>
      <c r="E1477" s="137">
        <v>4852</v>
      </c>
      <c r="F1477" s="137">
        <v>-428</v>
      </c>
    </row>
    <row r="1478" spans="1:6" x14ac:dyDescent="0.25">
      <c r="A1478" s="137" t="s">
        <v>11251</v>
      </c>
      <c r="B1478" s="137" t="s">
        <v>5599</v>
      </c>
      <c r="C1478" s="137" t="s">
        <v>347</v>
      </c>
      <c r="D1478" s="338">
        <v>9859</v>
      </c>
      <c r="E1478" s="137">
        <v>5471</v>
      </c>
      <c r="F1478" s="137">
        <v>191</v>
      </c>
    </row>
    <row r="1479" spans="1:6" x14ac:dyDescent="0.25">
      <c r="A1479" s="137" t="s">
        <v>11626</v>
      </c>
      <c r="B1479" s="137" t="s">
        <v>5599</v>
      </c>
      <c r="C1479" s="137" t="s">
        <v>4621</v>
      </c>
      <c r="D1479" s="338">
        <v>11739</v>
      </c>
      <c r="E1479" s="137">
        <v>3353</v>
      </c>
      <c r="F1479" s="137">
        <v>713</v>
      </c>
    </row>
    <row r="1480" spans="1:6" x14ac:dyDescent="0.25">
      <c r="A1480" s="137" t="s">
        <v>11545</v>
      </c>
      <c r="B1480" s="137" t="s">
        <v>5599</v>
      </c>
      <c r="C1480" s="137" t="s">
        <v>4738</v>
      </c>
      <c r="D1480" s="338">
        <v>10756</v>
      </c>
      <c r="E1480" s="137">
        <v>4494</v>
      </c>
      <c r="F1480" s="137">
        <v>534</v>
      </c>
    </row>
    <row r="1481" spans="1:6" x14ac:dyDescent="0.25">
      <c r="A1481" s="137" t="s">
        <v>12660</v>
      </c>
      <c r="B1481" s="137" t="s">
        <v>5599</v>
      </c>
      <c r="C1481" s="137" t="s">
        <v>345</v>
      </c>
      <c r="D1481" s="338">
        <v>9293</v>
      </c>
      <c r="E1481" s="137">
        <v>4021</v>
      </c>
      <c r="F1481" s="137">
        <v>2701</v>
      </c>
    </row>
    <row r="1482" spans="1:6" x14ac:dyDescent="0.25">
      <c r="A1482" s="137" t="s">
        <v>11615</v>
      </c>
      <c r="B1482" s="137" t="s">
        <v>5599</v>
      </c>
      <c r="C1482" s="137" t="s">
        <v>2844</v>
      </c>
      <c r="D1482" s="338">
        <v>13367</v>
      </c>
      <c r="E1482" s="137">
        <v>3201</v>
      </c>
      <c r="F1482" s="137">
        <v>561</v>
      </c>
    </row>
    <row r="1483" spans="1:6" x14ac:dyDescent="0.25">
      <c r="A1483" s="137" t="s">
        <v>11203</v>
      </c>
      <c r="B1483" s="137" t="s">
        <v>5599</v>
      </c>
      <c r="C1483" s="137" t="s">
        <v>343</v>
      </c>
      <c r="D1483" s="338">
        <v>8325</v>
      </c>
      <c r="E1483" s="137">
        <v>6023</v>
      </c>
      <c r="F1483" s="137">
        <v>-577</v>
      </c>
    </row>
    <row r="1484" spans="1:6" x14ac:dyDescent="0.25">
      <c r="A1484" s="137" t="s">
        <v>11337</v>
      </c>
      <c r="B1484" s="137" t="s">
        <v>5599</v>
      </c>
      <c r="C1484" s="137" t="s">
        <v>5196</v>
      </c>
      <c r="D1484" s="338">
        <v>6612</v>
      </c>
      <c r="E1484" s="137">
        <v>4731</v>
      </c>
      <c r="F1484" s="137">
        <v>771</v>
      </c>
    </row>
    <row r="1485" spans="1:6" x14ac:dyDescent="0.25">
      <c r="A1485" s="137" t="s">
        <v>11240</v>
      </c>
      <c r="B1485" s="137" t="s">
        <v>5599</v>
      </c>
      <c r="C1485" s="137" t="s">
        <v>339</v>
      </c>
      <c r="D1485" s="338">
        <v>7703</v>
      </c>
      <c r="E1485" s="137">
        <v>6721</v>
      </c>
      <c r="F1485" s="137">
        <v>1441</v>
      </c>
    </row>
    <row r="1486" spans="1:6" x14ac:dyDescent="0.25">
      <c r="A1486" s="137" t="s">
        <v>11462</v>
      </c>
      <c r="B1486" s="137" t="s">
        <v>5599</v>
      </c>
      <c r="C1486" s="137" t="s">
        <v>2067</v>
      </c>
      <c r="D1486" s="338">
        <v>6854</v>
      </c>
      <c r="E1486" s="137">
        <v>3179</v>
      </c>
      <c r="F1486" s="137">
        <v>539</v>
      </c>
    </row>
    <row r="1487" spans="1:6" x14ac:dyDescent="0.25">
      <c r="A1487" s="137" t="s">
        <v>11463</v>
      </c>
      <c r="B1487" s="137" t="s">
        <v>5599</v>
      </c>
      <c r="C1487" s="137" t="s">
        <v>4609</v>
      </c>
      <c r="D1487" s="338">
        <v>7142</v>
      </c>
      <c r="E1487" s="137">
        <v>3897</v>
      </c>
      <c r="F1487" s="137">
        <v>-63</v>
      </c>
    </row>
    <row r="1488" spans="1:6" x14ac:dyDescent="0.25">
      <c r="A1488" s="137" t="s">
        <v>11318</v>
      </c>
      <c r="B1488" s="137" t="s">
        <v>5599</v>
      </c>
      <c r="C1488" s="137" t="s">
        <v>337</v>
      </c>
      <c r="D1488" s="338">
        <v>11701</v>
      </c>
      <c r="E1488" s="137">
        <v>5315</v>
      </c>
      <c r="F1488" s="137">
        <v>35</v>
      </c>
    </row>
    <row r="1489" spans="1:6" x14ac:dyDescent="0.25">
      <c r="A1489" s="137" t="s">
        <v>11435</v>
      </c>
      <c r="B1489" s="137" t="s">
        <v>5599</v>
      </c>
      <c r="C1489" s="137" t="s">
        <v>5221</v>
      </c>
      <c r="D1489" s="338">
        <v>6977</v>
      </c>
      <c r="E1489" s="137">
        <v>4433</v>
      </c>
      <c r="F1489" s="137">
        <v>473</v>
      </c>
    </row>
    <row r="1490" spans="1:6" x14ac:dyDescent="0.25">
      <c r="A1490" s="137" t="s">
        <v>11304</v>
      </c>
      <c r="B1490" s="137" t="s">
        <v>5599</v>
      </c>
      <c r="C1490" s="137" t="s">
        <v>335</v>
      </c>
      <c r="D1490" s="338">
        <v>9060</v>
      </c>
      <c r="E1490" s="137">
        <v>5536</v>
      </c>
      <c r="F1490" s="137">
        <v>256</v>
      </c>
    </row>
    <row r="1491" spans="1:6" x14ac:dyDescent="0.25">
      <c r="A1491" s="137" t="s">
        <v>11220</v>
      </c>
      <c r="B1491" s="137" t="s">
        <v>5599</v>
      </c>
      <c r="C1491" s="137" t="s">
        <v>333</v>
      </c>
      <c r="D1491" s="338">
        <v>8587</v>
      </c>
      <c r="E1491" s="137">
        <v>6512</v>
      </c>
      <c r="F1491" s="137">
        <v>1232</v>
      </c>
    </row>
    <row r="1492" spans="1:6" x14ac:dyDescent="0.25">
      <c r="A1492" s="137" t="s">
        <v>11311</v>
      </c>
      <c r="B1492" s="137" t="s">
        <v>5599</v>
      </c>
      <c r="C1492" s="137" t="s">
        <v>5260</v>
      </c>
      <c r="D1492" s="338">
        <v>6113</v>
      </c>
      <c r="E1492" s="137">
        <v>3972</v>
      </c>
      <c r="F1492" s="137">
        <v>12</v>
      </c>
    </row>
    <row r="1493" spans="1:6" x14ac:dyDescent="0.25">
      <c r="A1493" s="137" t="s">
        <v>11627</v>
      </c>
      <c r="B1493" s="137" t="s">
        <v>5599</v>
      </c>
      <c r="C1493" s="137" t="s">
        <v>3419</v>
      </c>
      <c r="D1493" s="338">
        <v>11135</v>
      </c>
      <c r="E1493" s="137">
        <v>3528</v>
      </c>
      <c r="F1493" s="137">
        <v>888</v>
      </c>
    </row>
    <row r="1494" spans="1:6" x14ac:dyDescent="0.25">
      <c r="A1494" s="137" t="s">
        <v>11349</v>
      </c>
      <c r="B1494" s="137" t="s">
        <v>5599</v>
      </c>
      <c r="C1494" s="137" t="s">
        <v>328</v>
      </c>
      <c r="D1494" s="338">
        <v>8850</v>
      </c>
      <c r="E1494" s="137">
        <v>5281</v>
      </c>
      <c r="F1494" s="137">
        <v>1</v>
      </c>
    </row>
    <row r="1495" spans="1:6" x14ac:dyDescent="0.25">
      <c r="A1495" s="137" t="s">
        <v>11628</v>
      </c>
      <c r="B1495" s="137" t="s">
        <v>5599</v>
      </c>
      <c r="C1495" s="137" t="s">
        <v>4884</v>
      </c>
      <c r="D1495" s="338">
        <v>10219</v>
      </c>
      <c r="E1495" s="137">
        <v>3249</v>
      </c>
      <c r="F1495" s="137">
        <v>609</v>
      </c>
    </row>
    <row r="1496" spans="1:6" x14ac:dyDescent="0.25">
      <c r="A1496" s="137" t="s">
        <v>11245</v>
      </c>
      <c r="B1496" s="137" t="s">
        <v>5599</v>
      </c>
      <c r="C1496" s="137" t="s">
        <v>326</v>
      </c>
      <c r="D1496" s="137">
        <v>435</v>
      </c>
      <c r="E1496" s="137">
        <v>3524</v>
      </c>
      <c r="F1496" s="137">
        <v>884</v>
      </c>
    </row>
    <row r="1497" spans="1:6" x14ac:dyDescent="0.25">
      <c r="A1497" s="137" t="s">
        <v>11641</v>
      </c>
      <c r="B1497" s="137" t="s">
        <v>5599</v>
      </c>
      <c r="C1497" s="137" t="s">
        <v>324</v>
      </c>
      <c r="D1497" s="338">
        <v>8952</v>
      </c>
      <c r="E1497" s="137">
        <v>3953</v>
      </c>
      <c r="F1497" s="137">
        <v>1313</v>
      </c>
    </row>
    <row r="1498" spans="1:6" x14ac:dyDescent="0.25">
      <c r="A1498" s="137" t="s">
        <v>11466</v>
      </c>
      <c r="B1498" s="137" t="s">
        <v>5599</v>
      </c>
      <c r="C1498" s="137" t="s">
        <v>322</v>
      </c>
      <c r="D1498" s="338">
        <v>10661</v>
      </c>
      <c r="E1498" s="137">
        <v>4654</v>
      </c>
      <c r="F1498" s="137">
        <v>694</v>
      </c>
    </row>
    <row r="1499" spans="1:6" x14ac:dyDescent="0.25">
      <c r="A1499" s="137" t="s">
        <v>11317</v>
      </c>
      <c r="B1499" s="137" t="s">
        <v>5599</v>
      </c>
      <c r="C1499" s="137" t="s">
        <v>319</v>
      </c>
      <c r="D1499" s="338">
        <v>6195</v>
      </c>
      <c r="E1499" s="137">
        <v>5131</v>
      </c>
      <c r="F1499" s="137">
        <v>-149</v>
      </c>
    </row>
    <row r="1500" spans="1:6" x14ac:dyDescent="0.25">
      <c r="A1500" s="137" t="s">
        <v>11449</v>
      </c>
      <c r="B1500" s="137" t="s">
        <v>5599</v>
      </c>
      <c r="C1500" s="137" t="s">
        <v>4198</v>
      </c>
      <c r="D1500" s="338">
        <v>7381</v>
      </c>
      <c r="E1500" s="137">
        <v>3681</v>
      </c>
      <c r="F1500" s="137">
        <v>1041</v>
      </c>
    </row>
    <row r="1501" spans="1:6" x14ac:dyDescent="0.25">
      <c r="A1501" s="137" t="s">
        <v>11389</v>
      </c>
      <c r="B1501" s="137" t="s">
        <v>5599</v>
      </c>
      <c r="C1501" s="137" t="s">
        <v>316</v>
      </c>
      <c r="D1501" s="338">
        <v>7346</v>
      </c>
      <c r="E1501" s="137">
        <v>4837</v>
      </c>
      <c r="F1501" s="137">
        <v>877</v>
      </c>
    </row>
    <row r="1502" spans="1:6" x14ac:dyDescent="0.25">
      <c r="A1502" s="137" t="s">
        <v>11608</v>
      </c>
      <c r="B1502" s="137" t="s">
        <v>5599</v>
      </c>
      <c r="C1502" s="137" t="s">
        <v>4779</v>
      </c>
      <c r="D1502" s="338">
        <v>7449</v>
      </c>
      <c r="E1502" s="137">
        <v>3960</v>
      </c>
      <c r="F1502" s="137">
        <v>1320</v>
      </c>
    </row>
    <row r="1503" spans="1:6" x14ac:dyDescent="0.25">
      <c r="A1503" s="137" t="s">
        <v>11388</v>
      </c>
      <c r="B1503" s="137" t="s">
        <v>5599</v>
      </c>
      <c r="C1503" s="137" t="s">
        <v>314</v>
      </c>
      <c r="D1503" s="338">
        <v>13211</v>
      </c>
      <c r="E1503" s="137">
        <v>4006</v>
      </c>
      <c r="F1503" s="137">
        <v>46</v>
      </c>
    </row>
    <row r="1504" spans="1:6" x14ac:dyDescent="0.25">
      <c r="A1504" s="137" t="s">
        <v>11614</v>
      </c>
      <c r="B1504" s="137" t="s">
        <v>5599</v>
      </c>
      <c r="C1504" s="137" t="s">
        <v>312</v>
      </c>
      <c r="D1504" s="338">
        <v>8496</v>
      </c>
      <c r="E1504" s="137">
        <v>4709</v>
      </c>
      <c r="F1504" s="137">
        <v>749</v>
      </c>
    </row>
    <row r="1505" spans="1:6" x14ac:dyDescent="0.25">
      <c r="A1505" s="137" t="s">
        <v>11331</v>
      </c>
      <c r="B1505" s="137" t="s">
        <v>5599</v>
      </c>
      <c r="C1505" s="137" t="s">
        <v>309</v>
      </c>
      <c r="D1505" s="338">
        <v>7817</v>
      </c>
      <c r="E1505" s="137">
        <v>4317</v>
      </c>
      <c r="F1505" s="137">
        <v>357</v>
      </c>
    </row>
    <row r="1506" spans="1:6" x14ac:dyDescent="0.25">
      <c r="A1506" s="137" t="s">
        <v>11629</v>
      </c>
      <c r="B1506" s="137" t="s">
        <v>5599</v>
      </c>
      <c r="C1506" s="137" t="s">
        <v>4863</v>
      </c>
      <c r="D1506" s="338">
        <v>11062</v>
      </c>
      <c r="E1506" s="137">
        <v>3762</v>
      </c>
      <c r="F1506" s="137">
        <v>1122</v>
      </c>
    </row>
    <row r="1507" spans="1:6" x14ac:dyDescent="0.25">
      <c r="A1507" s="137" t="s">
        <v>11639</v>
      </c>
      <c r="B1507" s="137" t="s">
        <v>5599</v>
      </c>
      <c r="C1507" s="137" t="s">
        <v>5064</v>
      </c>
      <c r="D1507" s="338">
        <v>8354</v>
      </c>
      <c r="E1507" s="137">
        <v>3559</v>
      </c>
      <c r="F1507" s="137">
        <v>919</v>
      </c>
    </row>
    <row r="1508" spans="1:6" x14ac:dyDescent="0.25">
      <c r="A1508" s="137" t="s">
        <v>11581</v>
      </c>
      <c r="B1508" s="137" t="s">
        <v>5599</v>
      </c>
      <c r="C1508" s="137" t="s">
        <v>3891</v>
      </c>
      <c r="D1508" s="338">
        <v>13253</v>
      </c>
      <c r="E1508" s="137">
        <v>3231</v>
      </c>
      <c r="F1508" s="137">
        <v>591</v>
      </c>
    </row>
    <row r="1509" spans="1:6" x14ac:dyDescent="0.25">
      <c r="A1509" s="137" t="s">
        <v>11413</v>
      </c>
      <c r="B1509" s="137" t="s">
        <v>5599</v>
      </c>
      <c r="C1509" s="137" t="s">
        <v>306</v>
      </c>
      <c r="D1509" s="338">
        <v>8775</v>
      </c>
      <c r="E1509" s="137">
        <v>4776</v>
      </c>
      <c r="F1509" s="137">
        <v>816</v>
      </c>
    </row>
    <row r="1510" spans="1:6" x14ac:dyDescent="0.25">
      <c r="A1510" s="137" t="s">
        <v>11354</v>
      </c>
      <c r="B1510" s="137" t="s">
        <v>5599</v>
      </c>
      <c r="C1510" s="137" t="s">
        <v>304</v>
      </c>
      <c r="D1510" s="338">
        <v>8574</v>
      </c>
      <c r="E1510" s="137">
        <v>4999</v>
      </c>
      <c r="F1510" s="137">
        <v>1039</v>
      </c>
    </row>
    <row r="1511" spans="1:6" x14ac:dyDescent="0.25">
      <c r="A1511" s="137" t="s">
        <v>11356</v>
      </c>
      <c r="B1511" s="137" t="s">
        <v>5599</v>
      </c>
      <c r="C1511" s="137" t="s">
        <v>5611</v>
      </c>
      <c r="D1511" s="338">
        <v>7577</v>
      </c>
      <c r="E1511" s="137">
        <v>4793</v>
      </c>
      <c r="F1511" s="137">
        <v>833</v>
      </c>
    </row>
    <row r="1512" spans="1:6" x14ac:dyDescent="0.25">
      <c r="A1512" s="137" t="s">
        <v>11308</v>
      </c>
      <c r="B1512" s="137" t="s">
        <v>5599</v>
      </c>
      <c r="C1512" s="137" t="s">
        <v>5625</v>
      </c>
      <c r="D1512" s="338">
        <v>12078</v>
      </c>
      <c r="E1512" s="137">
        <v>5152</v>
      </c>
      <c r="F1512" s="137">
        <v>1192</v>
      </c>
    </row>
    <row r="1513" spans="1:6" x14ac:dyDescent="0.25">
      <c r="A1513" s="137" t="s">
        <v>11395</v>
      </c>
      <c r="B1513" s="137" t="s">
        <v>5599</v>
      </c>
      <c r="C1513" s="137" t="s">
        <v>300</v>
      </c>
      <c r="D1513" s="338">
        <v>6405</v>
      </c>
      <c r="E1513" s="137">
        <v>5046</v>
      </c>
      <c r="F1513" s="137">
        <v>-234</v>
      </c>
    </row>
    <row r="1514" spans="1:6" x14ac:dyDescent="0.25">
      <c r="A1514" s="137" t="s">
        <v>11246</v>
      </c>
      <c r="B1514" s="137" t="s">
        <v>5599</v>
      </c>
      <c r="C1514" s="137" t="s">
        <v>298</v>
      </c>
      <c r="D1514" s="338">
        <v>7862</v>
      </c>
      <c r="E1514" s="137">
        <v>5398</v>
      </c>
      <c r="F1514" s="137">
        <v>-1202</v>
      </c>
    </row>
    <row r="1515" spans="1:6" x14ac:dyDescent="0.25">
      <c r="A1515" s="137" t="s">
        <v>11630</v>
      </c>
      <c r="B1515" s="137" t="s">
        <v>5599</v>
      </c>
      <c r="C1515" s="137" t="s">
        <v>5082</v>
      </c>
      <c r="D1515" s="338">
        <v>12862</v>
      </c>
      <c r="E1515" s="137">
        <v>3261</v>
      </c>
      <c r="F1515" s="137">
        <v>621</v>
      </c>
    </row>
    <row r="1516" spans="1:6" x14ac:dyDescent="0.25">
      <c r="A1516" s="137" t="s">
        <v>11447</v>
      </c>
      <c r="B1516" s="137" t="s">
        <v>5599</v>
      </c>
      <c r="C1516" s="137" t="s">
        <v>590</v>
      </c>
      <c r="D1516" s="338">
        <v>8351</v>
      </c>
      <c r="E1516" s="137">
        <v>2602</v>
      </c>
      <c r="F1516" s="137">
        <v>-38</v>
      </c>
    </row>
    <row r="1517" spans="1:6" x14ac:dyDescent="0.25">
      <c r="A1517" s="137" t="s">
        <v>12661</v>
      </c>
      <c r="B1517" s="137" t="s">
        <v>5599</v>
      </c>
      <c r="C1517" s="137" t="s">
        <v>295</v>
      </c>
      <c r="D1517" s="338">
        <v>8457</v>
      </c>
      <c r="E1517" s="137">
        <v>3479</v>
      </c>
      <c r="F1517" s="137">
        <v>2159</v>
      </c>
    </row>
    <row r="1518" spans="1:6" x14ac:dyDescent="0.25">
      <c r="A1518" s="137" t="s">
        <v>11316</v>
      </c>
      <c r="B1518" s="137" t="s">
        <v>5599</v>
      </c>
      <c r="C1518" s="137" t="s">
        <v>1755</v>
      </c>
      <c r="D1518" s="338">
        <v>4978</v>
      </c>
      <c r="E1518" s="137">
        <v>3688</v>
      </c>
      <c r="F1518" s="137">
        <v>1048</v>
      </c>
    </row>
    <row r="1519" spans="1:6" x14ac:dyDescent="0.25">
      <c r="A1519" s="137" t="s">
        <v>11417</v>
      </c>
      <c r="B1519" s="137" t="s">
        <v>5599</v>
      </c>
      <c r="C1519" s="137" t="s">
        <v>4962</v>
      </c>
      <c r="D1519" s="338">
        <v>7602</v>
      </c>
      <c r="E1519" s="137">
        <v>4062</v>
      </c>
      <c r="F1519" s="137">
        <v>102</v>
      </c>
    </row>
    <row r="1520" spans="1:6" x14ac:dyDescent="0.25">
      <c r="A1520" s="137" t="s">
        <v>11564</v>
      </c>
      <c r="B1520" s="137" t="s">
        <v>5599</v>
      </c>
      <c r="C1520" s="137" t="s">
        <v>5225</v>
      </c>
      <c r="D1520" s="338">
        <v>12132</v>
      </c>
      <c r="E1520" s="137">
        <v>5053</v>
      </c>
      <c r="F1520" s="137">
        <v>1093</v>
      </c>
    </row>
    <row r="1521" spans="1:6" x14ac:dyDescent="0.25">
      <c r="A1521" s="137" t="s">
        <v>11434</v>
      </c>
      <c r="B1521" s="137" t="s">
        <v>5599</v>
      </c>
      <c r="C1521" s="137" t="s">
        <v>4447</v>
      </c>
      <c r="D1521" s="338">
        <v>7011</v>
      </c>
      <c r="E1521" s="137">
        <v>3802</v>
      </c>
      <c r="F1521" s="137">
        <v>1162</v>
      </c>
    </row>
    <row r="1522" spans="1:6" x14ac:dyDescent="0.25">
      <c r="A1522" s="137" t="s">
        <v>11288</v>
      </c>
      <c r="B1522" s="137" t="s">
        <v>5599</v>
      </c>
      <c r="C1522" s="137" t="s">
        <v>293</v>
      </c>
      <c r="D1522" s="338">
        <v>1954</v>
      </c>
      <c r="E1522" s="137">
        <v>4559</v>
      </c>
      <c r="F1522" s="137">
        <v>599</v>
      </c>
    </row>
    <row r="1523" spans="1:6" x14ac:dyDescent="0.25">
      <c r="A1523" s="137" t="s">
        <v>11253</v>
      </c>
      <c r="B1523" s="137" t="s">
        <v>5599</v>
      </c>
      <c r="C1523" s="137" t="s">
        <v>290</v>
      </c>
      <c r="D1523" s="338">
        <v>9829</v>
      </c>
      <c r="E1523" s="137">
        <v>4807</v>
      </c>
      <c r="F1523" s="137">
        <v>847</v>
      </c>
    </row>
    <row r="1524" spans="1:6" x14ac:dyDescent="0.25">
      <c r="A1524" s="137" t="s">
        <v>11387</v>
      </c>
      <c r="B1524" s="137" t="s">
        <v>5599</v>
      </c>
      <c r="C1524" s="137" t="s">
        <v>279</v>
      </c>
      <c r="D1524" s="338">
        <v>11235</v>
      </c>
      <c r="E1524" s="137">
        <v>5629</v>
      </c>
      <c r="F1524" s="137">
        <v>349</v>
      </c>
    </row>
    <row r="1525" spans="1:6" x14ac:dyDescent="0.25">
      <c r="A1525" s="137" t="s">
        <v>11369</v>
      </c>
      <c r="B1525" s="137" t="s">
        <v>5599</v>
      </c>
      <c r="C1525" s="137" t="s">
        <v>277</v>
      </c>
      <c r="D1525" s="338">
        <v>10269</v>
      </c>
      <c r="E1525" s="137">
        <v>6675</v>
      </c>
      <c r="F1525" s="137">
        <v>75</v>
      </c>
    </row>
    <row r="1526" spans="1:6" x14ac:dyDescent="0.25">
      <c r="A1526" s="137" t="s">
        <v>11249</v>
      </c>
      <c r="B1526" s="137" t="s">
        <v>5599</v>
      </c>
      <c r="C1526" s="137" t="s">
        <v>275</v>
      </c>
      <c r="D1526" s="338">
        <v>8041</v>
      </c>
      <c r="E1526" s="137">
        <v>4763</v>
      </c>
      <c r="F1526" s="137">
        <v>803</v>
      </c>
    </row>
    <row r="1527" spans="1:6" x14ac:dyDescent="0.25">
      <c r="A1527" s="137" t="s">
        <v>11208</v>
      </c>
      <c r="B1527" s="137" t="s">
        <v>5599</v>
      </c>
      <c r="C1527" s="137" t="s">
        <v>270</v>
      </c>
      <c r="D1527" s="338">
        <v>13133</v>
      </c>
      <c r="E1527" s="137">
        <v>5636</v>
      </c>
      <c r="F1527" s="137">
        <v>356</v>
      </c>
    </row>
    <row r="1528" spans="1:6" x14ac:dyDescent="0.25">
      <c r="A1528" s="137" t="s">
        <v>11594</v>
      </c>
      <c r="B1528" s="137" t="s">
        <v>5599</v>
      </c>
      <c r="C1528" s="137" t="s">
        <v>4391</v>
      </c>
      <c r="D1528" s="338">
        <v>12824</v>
      </c>
      <c r="E1528" s="137">
        <v>3782</v>
      </c>
      <c r="F1528" s="137">
        <v>1142</v>
      </c>
    </row>
    <row r="1529" spans="1:6" x14ac:dyDescent="0.25">
      <c r="A1529" s="137" t="s">
        <v>11222</v>
      </c>
      <c r="B1529" s="137" t="s">
        <v>5599</v>
      </c>
      <c r="C1529" s="137" t="s">
        <v>268</v>
      </c>
      <c r="D1529" s="338">
        <v>12308</v>
      </c>
      <c r="E1529" s="137">
        <v>5074</v>
      </c>
      <c r="F1529" s="137">
        <v>1114</v>
      </c>
    </row>
    <row r="1530" spans="1:6" x14ac:dyDescent="0.25">
      <c r="A1530" s="137" t="s">
        <v>11254</v>
      </c>
      <c r="B1530" s="137" t="s">
        <v>5599</v>
      </c>
      <c r="C1530" s="137" t="s">
        <v>266</v>
      </c>
      <c r="D1530" s="137">
        <v>901</v>
      </c>
      <c r="E1530" s="137">
        <v>4495</v>
      </c>
      <c r="F1530" s="137">
        <v>535</v>
      </c>
    </row>
    <row r="1531" spans="1:6" x14ac:dyDescent="0.25">
      <c r="A1531" s="137" t="s">
        <v>11248</v>
      </c>
      <c r="B1531" s="137" t="s">
        <v>5599</v>
      </c>
      <c r="C1531" s="137" t="s">
        <v>263</v>
      </c>
      <c r="D1531" s="338">
        <v>6901</v>
      </c>
      <c r="E1531" s="137">
        <v>5605</v>
      </c>
      <c r="F1531" s="137">
        <v>325</v>
      </c>
    </row>
    <row r="1532" spans="1:6" x14ac:dyDescent="0.25">
      <c r="A1532" s="137" t="s">
        <v>11391</v>
      </c>
      <c r="B1532" s="137" t="s">
        <v>5599</v>
      </c>
      <c r="C1532" s="137" t="s">
        <v>261</v>
      </c>
      <c r="D1532" s="338">
        <v>13453</v>
      </c>
      <c r="E1532" s="137">
        <v>3805</v>
      </c>
      <c r="F1532" s="137">
        <v>1165</v>
      </c>
    </row>
    <row r="1533" spans="1:6" x14ac:dyDescent="0.25">
      <c r="A1533" s="137" t="s">
        <v>11309</v>
      </c>
      <c r="B1533" s="137" t="s">
        <v>5599</v>
      </c>
      <c r="C1533" s="137" t="s">
        <v>259</v>
      </c>
      <c r="D1533" s="338">
        <v>12046</v>
      </c>
      <c r="E1533" s="137">
        <v>5825</v>
      </c>
      <c r="F1533" s="137">
        <v>545</v>
      </c>
    </row>
    <row r="1534" spans="1:6" x14ac:dyDescent="0.25">
      <c r="A1534" s="137" t="s">
        <v>11547</v>
      </c>
      <c r="B1534" s="137" t="s">
        <v>5599</v>
      </c>
      <c r="C1534" s="137" t="s">
        <v>256</v>
      </c>
      <c r="D1534" s="338">
        <v>12849</v>
      </c>
      <c r="E1534" s="137">
        <v>2723</v>
      </c>
      <c r="F1534" s="137">
        <v>83</v>
      </c>
    </row>
    <row r="1535" spans="1:6" x14ac:dyDescent="0.25">
      <c r="A1535" s="137" t="s">
        <v>11599</v>
      </c>
      <c r="B1535" s="137" t="s">
        <v>5599</v>
      </c>
      <c r="C1535" s="137" t="s">
        <v>3964</v>
      </c>
      <c r="D1535" s="338">
        <v>10218</v>
      </c>
      <c r="E1535" s="137">
        <v>3440</v>
      </c>
      <c r="F1535" s="137">
        <v>800</v>
      </c>
    </row>
    <row r="1536" spans="1:6" x14ac:dyDescent="0.25">
      <c r="A1536" s="137" t="s">
        <v>11271</v>
      </c>
      <c r="B1536" s="137" t="s">
        <v>5599</v>
      </c>
      <c r="C1536" s="137" t="s">
        <v>254</v>
      </c>
      <c r="D1536" s="338">
        <v>7885</v>
      </c>
      <c r="E1536" s="137">
        <v>5593</v>
      </c>
      <c r="F1536" s="137">
        <v>313</v>
      </c>
    </row>
    <row r="1537" spans="1:6" x14ac:dyDescent="0.25">
      <c r="A1537" s="137" t="s">
        <v>11464</v>
      </c>
      <c r="B1537" s="137" t="s">
        <v>5599</v>
      </c>
      <c r="C1537" s="137" t="s">
        <v>252</v>
      </c>
      <c r="D1537" s="338">
        <v>7482</v>
      </c>
      <c r="E1537" s="137">
        <v>4384</v>
      </c>
      <c r="F1537" s="137">
        <v>424</v>
      </c>
    </row>
    <row r="1538" spans="1:6" x14ac:dyDescent="0.25">
      <c r="A1538" s="137" t="s">
        <v>11290</v>
      </c>
      <c r="B1538" s="137" t="s">
        <v>5599</v>
      </c>
      <c r="C1538" s="137" t="s">
        <v>249</v>
      </c>
      <c r="D1538" s="338">
        <v>12729</v>
      </c>
      <c r="E1538" s="137">
        <v>4868</v>
      </c>
      <c r="F1538" s="137">
        <v>908</v>
      </c>
    </row>
    <row r="1539" spans="1:6" x14ac:dyDescent="0.25">
      <c r="A1539" s="137" t="s">
        <v>11410</v>
      </c>
      <c r="B1539" s="137" t="s">
        <v>5599</v>
      </c>
      <c r="C1539" s="137" t="s">
        <v>248</v>
      </c>
      <c r="D1539" s="338">
        <v>8360</v>
      </c>
      <c r="E1539" s="137">
        <v>4521</v>
      </c>
      <c r="F1539" s="137">
        <v>561</v>
      </c>
    </row>
    <row r="1540" spans="1:6" x14ac:dyDescent="0.25">
      <c r="A1540" s="137" t="s">
        <v>11350</v>
      </c>
      <c r="B1540" s="137" t="s">
        <v>5599</v>
      </c>
      <c r="C1540" s="137" t="s">
        <v>246</v>
      </c>
      <c r="D1540" s="338">
        <v>6298</v>
      </c>
      <c r="E1540" s="137">
        <v>4434</v>
      </c>
      <c r="F1540" s="137">
        <v>474</v>
      </c>
    </row>
    <row r="1541" spans="1:6" x14ac:dyDescent="0.25">
      <c r="A1541" s="137" t="s">
        <v>11409</v>
      </c>
      <c r="B1541" s="137" t="s">
        <v>5599</v>
      </c>
      <c r="C1541" s="137" t="s">
        <v>242</v>
      </c>
      <c r="D1541" s="338">
        <v>7730</v>
      </c>
      <c r="E1541" s="137">
        <v>4291</v>
      </c>
      <c r="F1541" s="137">
        <v>331</v>
      </c>
    </row>
    <row r="1542" spans="1:6" x14ac:dyDescent="0.25">
      <c r="A1542" s="137" t="s">
        <v>11297</v>
      </c>
      <c r="B1542" s="137" t="s">
        <v>5599</v>
      </c>
      <c r="C1542" s="137" t="s">
        <v>240</v>
      </c>
      <c r="D1542" s="338">
        <v>7474</v>
      </c>
      <c r="E1542" s="137">
        <v>4730</v>
      </c>
      <c r="F1542" s="137">
        <v>770</v>
      </c>
    </row>
    <row r="1543" spans="1:6" x14ac:dyDescent="0.25">
      <c r="A1543" s="137" t="s">
        <v>11587</v>
      </c>
      <c r="B1543" s="137" t="s">
        <v>5599</v>
      </c>
      <c r="C1543" s="137" t="s">
        <v>917</v>
      </c>
      <c r="D1543" s="338">
        <v>11186</v>
      </c>
      <c r="E1543" s="137">
        <v>3053</v>
      </c>
      <c r="F1543" s="137">
        <v>413</v>
      </c>
    </row>
    <row r="1544" spans="1:6" x14ac:dyDescent="0.25">
      <c r="A1544" s="137" t="s">
        <v>11312</v>
      </c>
      <c r="B1544" s="137" t="s">
        <v>5599</v>
      </c>
      <c r="C1544" s="137" t="s">
        <v>5639</v>
      </c>
      <c r="D1544" s="338">
        <v>5342</v>
      </c>
      <c r="E1544" s="137">
        <v>4761</v>
      </c>
      <c r="F1544" s="137">
        <v>801</v>
      </c>
    </row>
    <row r="1545" spans="1:6" x14ac:dyDescent="0.25">
      <c r="A1545" s="137" t="s">
        <v>11393</v>
      </c>
      <c r="B1545" s="137" t="s">
        <v>5599</v>
      </c>
      <c r="C1545" s="137" t="s">
        <v>238</v>
      </c>
      <c r="D1545" s="338">
        <v>13178</v>
      </c>
      <c r="E1545" s="137">
        <v>4189</v>
      </c>
      <c r="F1545" s="137">
        <v>229</v>
      </c>
    </row>
    <row r="1546" spans="1:6" x14ac:dyDescent="0.25">
      <c r="A1546" s="137" t="s">
        <v>11210</v>
      </c>
      <c r="B1546" s="137" t="s">
        <v>5599</v>
      </c>
      <c r="C1546" s="137" t="s">
        <v>234</v>
      </c>
      <c r="D1546" s="137">
        <v>433</v>
      </c>
      <c r="E1546" s="137">
        <v>4116</v>
      </c>
      <c r="F1546" s="137">
        <v>156</v>
      </c>
    </row>
    <row r="1547" spans="1:6" x14ac:dyDescent="0.25">
      <c r="A1547" s="137" t="s">
        <v>11589</v>
      </c>
      <c r="B1547" s="137" t="s">
        <v>5599</v>
      </c>
      <c r="C1547" s="137" t="s">
        <v>3307</v>
      </c>
      <c r="D1547" s="338">
        <v>10485</v>
      </c>
      <c r="E1547" s="137">
        <v>3724</v>
      </c>
      <c r="F1547" s="137">
        <v>1084</v>
      </c>
    </row>
    <row r="1548" spans="1:6" x14ac:dyDescent="0.25">
      <c r="A1548" s="137" t="s">
        <v>11453</v>
      </c>
      <c r="B1548" s="137" t="s">
        <v>5599</v>
      </c>
      <c r="C1548" s="137" t="s">
        <v>1656</v>
      </c>
      <c r="D1548" s="338">
        <v>7058</v>
      </c>
      <c r="E1548" s="137">
        <v>3085</v>
      </c>
      <c r="F1548" s="137">
        <v>445</v>
      </c>
    </row>
    <row r="1549" spans="1:6" x14ac:dyDescent="0.25">
      <c r="A1549" s="137" t="s">
        <v>11609</v>
      </c>
      <c r="B1549" s="137" t="s">
        <v>5599</v>
      </c>
      <c r="C1549" s="137" t="s">
        <v>232</v>
      </c>
      <c r="D1549" s="338">
        <v>7756</v>
      </c>
      <c r="E1549" s="137">
        <v>3874</v>
      </c>
      <c r="F1549" s="137">
        <v>1234</v>
      </c>
    </row>
    <row r="1550" spans="1:6" x14ac:dyDescent="0.25">
      <c r="A1550" s="137" t="s">
        <v>11576</v>
      </c>
      <c r="B1550" s="137" t="s">
        <v>5599</v>
      </c>
      <c r="C1550" s="137" t="s">
        <v>227</v>
      </c>
      <c r="D1550" s="338">
        <v>11083</v>
      </c>
      <c r="E1550" s="137">
        <v>3783</v>
      </c>
      <c r="F1550" s="137">
        <v>1143</v>
      </c>
    </row>
    <row r="1551" spans="1:6" x14ac:dyDescent="0.25">
      <c r="A1551" s="137" t="s">
        <v>11442</v>
      </c>
      <c r="B1551" s="137" t="s">
        <v>5599</v>
      </c>
      <c r="C1551" s="137" t="s">
        <v>2601</v>
      </c>
      <c r="D1551" s="338">
        <v>9323</v>
      </c>
      <c r="E1551" s="137">
        <v>3159</v>
      </c>
      <c r="F1551" s="137">
        <v>519</v>
      </c>
    </row>
    <row r="1552" spans="1:6" x14ac:dyDescent="0.25">
      <c r="A1552" s="137" t="s">
        <v>11465</v>
      </c>
      <c r="B1552" s="137" t="s">
        <v>5599</v>
      </c>
      <c r="C1552" s="137" t="s">
        <v>5275</v>
      </c>
      <c r="D1552" s="338">
        <v>10877</v>
      </c>
      <c r="E1552" s="137">
        <v>3965</v>
      </c>
      <c r="F1552" s="137">
        <v>5</v>
      </c>
    </row>
    <row r="1553" spans="1:6" x14ac:dyDescent="0.25">
      <c r="A1553" s="137" t="s">
        <v>11328</v>
      </c>
      <c r="B1553" s="137" t="s">
        <v>5599</v>
      </c>
      <c r="C1553" s="137" t="s">
        <v>224</v>
      </c>
      <c r="D1553" s="338">
        <v>6764</v>
      </c>
      <c r="E1553" s="137">
        <v>5707</v>
      </c>
      <c r="F1553" s="137">
        <v>427</v>
      </c>
    </row>
    <row r="1554" spans="1:6" x14ac:dyDescent="0.25">
      <c r="A1554" s="137" t="s">
        <v>11644</v>
      </c>
      <c r="B1554" s="137" t="s">
        <v>5599</v>
      </c>
      <c r="C1554" s="137" t="s">
        <v>221</v>
      </c>
      <c r="D1554" s="338">
        <v>13039</v>
      </c>
      <c r="E1554" s="137">
        <v>3994</v>
      </c>
      <c r="F1554" s="137">
        <v>34</v>
      </c>
    </row>
    <row r="1555" spans="1:6" x14ac:dyDescent="0.25">
      <c r="A1555" s="137" t="s">
        <v>11206</v>
      </c>
      <c r="B1555" s="137" t="s">
        <v>5599</v>
      </c>
      <c r="C1555" s="137" t="s">
        <v>219</v>
      </c>
      <c r="D1555" s="338">
        <v>12701</v>
      </c>
      <c r="E1555" s="137">
        <v>4777</v>
      </c>
      <c r="F1555" s="137">
        <v>817</v>
      </c>
    </row>
    <row r="1556" spans="1:6" x14ac:dyDescent="0.25">
      <c r="A1556" s="137" t="s">
        <v>11407</v>
      </c>
      <c r="B1556" s="137" t="s">
        <v>5599</v>
      </c>
      <c r="C1556" s="137" t="s">
        <v>11164</v>
      </c>
      <c r="D1556" s="338">
        <v>8248</v>
      </c>
      <c r="E1556" s="137">
        <v>5541</v>
      </c>
      <c r="F1556" s="137">
        <v>1581</v>
      </c>
    </row>
    <row r="1557" spans="1:6" x14ac:dyDescent="0.25">
      <c r="A1557" s="137" t="s">
        <v>11303</v>
      </c>
      <c r="B1557" s="137" t="s">
        <v>5599</v>
      </c>
      <c r="C1557" s="137" t="s">
        <v>217</v>
      </c>
      <c r="D1557" s="338">
        <v>9424</v>
      </c>
      <c r="E1557" s="137">
        <v>5339</v>
      </c>
      <c r="F1557" s="137">
        <v>59</v>
      </c>
    </row>
    <row r="1558" spans="1:6" x14ac:dyDescent="0.25">
      <c r="A1558" s="137" t="s">
        <v>11325</v>
      </c>
      <c r="B1558" s="137" t="s">
        <v>5599</v>
      </c>
      <c r="C1558" s="137" t="s">
        <v>215</v>
      </c>
      <c r="D1558" s="338">
        <v>7846</v>
      </c>
      <c r="E1558" s="137">
        <v>5306</v>
      </c>
      <c r="F1558" s="137">
        <v>26</v>
      </c>
    </row>
    <row r="1559" spans="1:6" x14ac:dyDescent="0.25">
      <c r="A1559" s="137" t="s">
        <v>11439</v>
      </c>
      <c r="B1559" s="137" t="s">
        <v>5599</v>
      </c>
      <c r="C1559" s="137" t="s">
        <v>3640</v>
      </c>
      <c r="D1559" s="338">
        <v>7474</v>
      </c>
      <c r="E1559" s="137">
        <v>3443</v>
      </c>
      <c r="F1559" s="137">
        <v>803</v>
      </c>
    </row>
    <row r="1560" spans="1:6" x14ac:dyDescent="0.25">
      <c r="A1560" s="137" t="s">
        <v>11268</v>
      </c>
      <c r="B1560" s="137" t="s">
        <v>5599</v>
      </c>
      <c r="C1560" s="137" t="s">
        <v>211</v>
      </c>
      <c r="D1560" s="338">
        <v>8075</v>
      </c>
      <c r="E1560" s="137">
        <v>5332</v>
      </c>
      <c r="F1560" s="137">
        <v>1372</v>
      </c>
    </row>
    <row r="1561" spans="1:6" x14ac:dyDescent="0.25">
      <c r="A1561" s="137" t="s">
        <v>11437</v>
      </c>
      <c r="B1561" s="137" t="s">
        <v>5599</v>
      </c>
      <c r="C1561" s="137" t="s">
        <v>4764</v>
      </c>
      <c r="D1561" s="338">
        <v>11991</v>
      </c>
      <c r="E1561" s="137">
        <v>3761</v>
      </c>
      <c r="F1561" s="137">
        <v>1121</v>
      </c>
    </row>
    <row r="1562" spans="1:6" x14ac:dyDescent="0.25">
      <c r="A1562" s="137" t="s">
        <v>11221</v>
      </c>
      <c r="B1562" s="137" t="s">
        <v>5599</v>
      </c>
      <c r="C1562" s="137" t="s">
        <v>209</v>
      </c>
      <c r="D1562" s="338">
        <v>2787</v>
      </c>
      <c r="E1562" s="137">
        <v>6140</v>
      </c>
      <c r="F1562" s="137">
        <v>860</v>
      </c>
    </row>
    <row r="1563" spans="1:6" x14ac:dyDescent="0.25">
      <c r="A1563" s="137" t="s">
        <v>11334</v>
      </c>
      <c r="B1563" s="137" t="s">
        <v>5599</v>
      </c>
      <c r="C1563" s="137" t="s">
        <v>204</v>
      </c>
      <c r="D1563" s="338">
        <v>9536</v>
      </c>
      <c r="E1563" s="137">
        <v>4644</v>
      </c>
      <c r="F1563" s="137">
        <v>684</v>
      </c>
    </row>
    <row r="1564" spans="1:6" x14ac:dyDescent="0.25">
      <c r="A1564" s="137" t="s">
        <v>11468</v>
      </c>
      <c r="B1564" s="137" t="s">
        <v>5599</v>
      </c>
      <c r="C1564" s="137" t="s">
        <v>200</v>
      </c>
      <c r="D1564" s="338">
        <v>9153</v>
      </c>
      <c r="E1564" s="137">
        <v>4537</v>
      </c>
      <c r="F1564" s="137">
        <v>577</v>
      </c>
    </row>
    <row r="1565" spans="1:6" x14ac:dyDescent="0.25">
      <c r="A1565" s="137" t="s">
        <v>11342</v>
      </c>
      <c r="B1565" s="137" t="s">
        <v>5599</v>
      </c>
      <c r="C1565" s="137" t="s">
        <v>198</v>
      </c>
      <c r="D1565" s="338">
        <v>7780</v>
      </c>
      <c r="E1565" s="137">
        <v>5271</v>
      </c>
      <c r="F1565" s="137">
        <v>1311</v>
      </c>
    </row>
    <row r="1566" spans="1:6" x14ac:dyDescent="0.25">
      <c r="A1566" s="137" t="s">
        <v>11460</v>
      </c>
      <c r="B1566" s="137" t="s">
        <v>5599</v>
      </c>
      <c r="C1566" s="137" t="s">
        <v>195</v>
      </c>
      <c r="D1566" s="338">
        <v>9194</v>
      </c>
      <c r="E1566" s="137">
        <v>4780</v>
      </c>
      <c r="F1566" s="137">
        <v>820</v>
      </c>
    </row>
    <row r="1567" spans="1:6" x14ac:dyDescent="0.25">
      <c r="A1567" s="137" t="s">
        <v>11542</v>
      </c>
      <c r="B1567" s="137" t="s">
        <v>5599</v>
      </c>
      <c r="C1567" s="137" t="s">
        <v>5549</v>
      </c>
      <c r="D1567" s="338">
        <v>11328</v>
      </c>
      <c r="E1567" s="137">
        <v>5744</v>
      </c>
      <c r="F1567" s="137">
        <v>464</v>
      </c>
    </row>
    <row r="1568" spans="1:6" x14ac:dyDescent="0.25">
      <c r="A1568" s="137" t="s">
        <v>11446</v>
      </c>
      <c r="B1568" s="137" t="s">
        <v>5599</v>
      </c>
      <c r="C1568" s="137" t="s">
        <v>193</v>
      </c>
      <c r="D1568" s="338">
        <v>8402</v>
      </c>
      <c r="E1568" s="137">
        <v>4518</v>
      </c>
      <c r="F1568" s="137">
        <v>558</v>
      </c>
    </row>
    <row r="1569" spans="1:6" x14ac:dyDescent="0.25">
      <c r="A1569" s="137" t="s">
        <v>11585</v>
      </c>
      <c r="B1569" s="137" t="s">
        <v>5599</v>
      </c>
      <c r="C1569" s="137" t="s">
        <v>5583</v>
      </c>
      <c r="D1569" s="338">
        <v>7884</v>
      </c>
      <c r="E1569" s="137">
        <v>3462</v>
      </c>
      <c r="F1569" s="137">
        <v>822</v>
      </c>
    </row>
    <row r="1570" spans="1:6" x14ac:dyDescent="0.25">
      <c r="A1570" s="137" t="s">
        <v>11551</v>
      </c>
      <c r="B1570" s="137" t="s">
        <v>5599</v>
      </c>
      <c r="C1570" s="137" t="s">
        <v>4456</v>
      </c>
      <c r="D1570" s="338">
        <v>10244</v>
      </c>
      <c r="E1570" s="137">
        <v>4370</v>
      </c>
      <c r="F1570" s="137">
        <v>410</v>
      </c>
    </row>
    <row r="1571" spans="1:6" x14ac:dyDescent="0.25">
      <c r="A1571" s="137" t="s">
        <v>11631</v>
      </c>
      <c r="B1571" s="137" t="s">
        <v>5599</v>
      </c>
      <c r="C1571" s="137" t="s">
        <v>3889</v>
      </c>
      <c r="D1571" s="338">
        <v>12007</v>
      </c>
      <c r="E1571" s="137">
        <v>3855</v>
      </c>
      <c r="F1571" s="137">
        <v>1215</v>
      </c>
    </row>
    <row r="1572" spans="1:6" x14ac:dyDescent="0.25">
      <c r="A1572" s="137" t="s">
        <v>11458</v>
      </c>
      <c r="B1572" s="137" t="s">
        <v>5599</v>
      </c>
      <c r="C1572" s="137" t="s">
        <v>2972</v>
      </c>
      <c r="D1572" s="338">
        <v>6829</v>
      </c>
      <c r="E1572" s="137">
        <v>3442</v>
      </c>
      <c r="F1572" s="137">
        <v>802</v>
      </c>
    </row>
    <row r="1573" spans="1:6" x14ac:dyDescent="0.25">
      <c r="A1573" s="137" t="s">
        <v>11300</v>
      </c>
      <c r="B1573" s="137" t="s">
        <v>5599</v>
      </c>
      <c r="C1573" s="137" t="s">
        <v>190</v>
      </c>
      <c r="D1573" s="338">
        <v>1253</v>
      </c>
      <c r="E1573" s="137">
        <v>4810</v>
      </c>
      <c r="F1573" s="137">
        <v>850</v>
      </c>
    </row>
    <row r="1574" spans="1:6" x14ac:dyDescent="0.25">
      <c r="A1574" s="137" t="s">
        <v>11455</v>
      </c>
      <c r="B1574" s="137" t="s">
        <v>5599</v>
      </c>
      <c r="C1574" s="137" t="s">
        <v>3243</v>
      </c>
      <c r="D1574" s="338">
        <v>7683</v>
      </c>
      <c r="E1574" s="137">
        <v>4092</v>
      </c>
      <c r="F1574" s="137">
        <v>132</v>
      </c>
    </row>
    <row r="1575" spans="1:6" x14ac:dyDescent="0.25">
      <c r="A1575" s="137" t="s">
        <v>11192</v>
      </c>
      <c r="B1575" s="137" t="s">
        <v>5599</v>
      </c>
      <c r="C1575" s="137" t="s">
        <v>187</v>
      </c>
      <c r="D1575" s="338">
        <v>6728</v>
      </c>
      <c r="E1575" s="137">
        <v>5938</v>
      </c>
      <c r="F1575" s="137">
        <v>658</v>
      </c>
    </row>
    <row r="1576" spans="1:6" x14ac:dyDescent="0.25">
      <c r="A1576" s="137" t="s">
        <v>11285</v>
      </c>
      <c r="B1576" s="137" t="s">
        <v>5599</v>
      </c>
      <c r="C1576" s="137" t="s">
        <v>185</v>
      </c>
      <c r="D1576" s="338">
        <v>8277</v>
      </c>
      <c r="E1576" s="137">
        <v>4560</v>
      </c>
      <c r="F1576" s="137">
        <v>600</v>
      </c>
    </row>
    <row r="1577" spans="1:6" x14ac:dyDescent="0.25">
      <c r="A1577" s="137" t="s">
        <v>11444</v>
      </c>
      <c r="B1577" s="137" t="s">
        <v>5599</v>
      </c>
      <c r="C1577" s="137" t="s">
        <v>182</v>
      </c>
      <c r="D1577" s="338">
        <v>9437</v>
      </c>
      <c r="E1577" s="137">
        <v>4251</v>
      </c>
      <c r="F1577" s="137">
        <v>291</v>
      </c>
    </row>
    <row r="1578" spans="1:6" x14ac:dyDescent="0.25">
      <c r="A1578" s="137" t="s">
        <v>11559</v>
      </c>
      <c r="B1578" s="137" t="s">
        <v>5599</v>
      </c>
      <c r="C1578" s="137" t="s">
        <v>5130</v>
      </c>
      <c r="D1578" s="338">
        <v>11942</v>
      </c>
      <c r="E1578" s="137">
        <v>4632</v>
      </c>
      <c r="F1578" s="137">
        <v>672</v>
      </c>
    </row>
    <row r="1579" spans="1:6" x14ac:dyDescent="0.25">
      <c r="A1579" s="137" t="s">
        <v>11401</v>
      </c>
      <c r="B1579" s="137" t="s">
        <v>5599</v>
      </c>
      <c r="C1579" s="137" t="s">
        <v>180</v>
      </c>
      <c r="D1579" s="338">
        <v>6163</v>
      </c>
      <c r="E1579" s="137">
        <v>4155</v>
      </c>
      <c r="F1579" s="137">
        <v>195</v>
      </c>
    </row>
    <row r="1580" spans="1:6" x14ac:dyDescent="0.25">
      <c r="A1580" s="137" t="s">
        <v>11596</v>
      </c>
      <c r="B1580" s="137" t="s">
        <v>5599</v>
      </c>
      <c r="C1580" s="137" t="s">
        <v>178</v>
      </c>
      <c r="D1580" s="338">
        <v>12108</v>
      </c>
      <c r="E1580" s="137">
        <v>3900</v>
      </c>
      <c r="F1580" s="137">
        <v>1260</v>
      </c>
    </row>
    <row r="1581" spans="1:6" x14ac:dyDescent="0.25">
      <c r="A1581" s="137" t="s">
        <v>11375</v>
      </c>
      <c r="B1581" s="137" t="s">
        <v>5599</v>
      </c>
      <c r="C1581" s="137" t="s">
        <v>175</v>
      </c>
      <c r="D1581" s="338">
        <v>8645</v>
      </c>
      <c r="E1581" s="137">
        <v>4875</v>
      </c>
      <c r="F1581" s="137">
        <v>915</v>
      </c>
    </row>
    <row r="1582" spans="1:6" x14ac:dyDescent="0.25">
      <c r="A1582" s="137" t="s">
        <v>11613</v>
      </c>
      <c r="B1582" s="137" t="s">
        <v>5599</v>
      </c>
      <c r="C1582" s="137" t="s">
        <v>4412</v>
      </c>
      <c r="D1582" s="338">
        <v>9448</v>
      </c>
      <c r="E1582" s="137">
        <v>3476</v>
      </c>
      <c r="F1582" s="137">
        <v>836</v>
      </c>
    </row>
    <row r="1583" spans="1:6" x14ac:dyDescent="0.25">
      <c r="A1583" s="137" t="s">
        <v>11632</v>
      </c>
      <c r="B1583" s="137" t="s">
        <v>5599</v>
      </c>
      <c r="C1583" s="137" t="s">
        <v>3595</v>
      </c>
      <c r="D1583" s="338">
        <v>12274</v>
      </c>
      <c r="E1583" s="137">
        <v>3831</v>
      </c>
      <c r="F1583" s="137">
        <v>1191</v>
      </c>
    </row>
    <row r="1584" spans="1:6" x14ac:dyDescent="0.25">
      <c r="A1584" s="137" t="s">
        <v>11313</v>
      </c>
      <c r="B1584" s="137" t="s">
        <v>5599</v>
      </c>
      <c r="C1584" s="137" t="s">
        <v>173</v>
      </c>
      <c r="D1584" s="338">
        <v>5666</v>
      </c>
      <c r="E1584" s="137">
        <v>5046</v>
      </c>
      <c r="F1584" s="137">
        <v>1086</v>
      </c>
    </row>
    <row r="1585" spans="1:6" x14ac:dyDescent="0.25">
      <c r="A1585" s="137" t="s">
        <v>11302</v>
      </c>
      <c r="B1585" s="137" t="s">
        <v>5599</v>
      </c>
      <c r="C1585" s="137" t="s">
        <v>170</v>
      </c>
      <c r="D1585" s="338">
        <v>10027</v>
      </c>
      <c r="E1585" s="137">
        <v>4510</v>
      </c>
      <c r="F1585" s="137">
        <v>550</v>
      </c>
    </row>
    <row r="1586" spans="1:6" x14ac:dyDescent="0.25">
      <c r="A1586" s="137" t="s">
        <v>11578</v>
      </c>
      <c r="B1586" s="137" t="s">
        <v>5599</v>
      </c>
      <c r="C1586" s="137" t="s">
        <v>5192</v>
      </c>
      <c r="D1586" s="338">
        <v>13036</v>
      </c>
      <c r="E1586" s="137">
        <v>3041</v>
      </c>
      <c r="F1586" s="137">
        <v>401</v>
      </c>
    </row>
    <row r="1587" spans="1:6" x14ac:dyDescent="0.25">
      <c r="A1587" s="137" t="s">
        <v>11392</v>
      </c>
      <c r="B1587" s="137" t="s">
        <v>5599</v>
      </c>
      <c r="C1587" s="137" t="s">
        <v>168</v>
      </c>
      <c r="D1587" s="338">
        <v>13382</v>
      </c>
      <c r="E1587" s="137">
        <v>4043</v>
      </c>
      <c r="F1587" s="137">
        <v>83</v>
      </c>
    </row>
    <row r="1588" spans="1:6" x14ac:dyDescent="0.25">
      <c r="A1588" s="137" t="s">
        <v>11451</v>
      </c>
      <c r="B1588" s="137" t="s">
        <v>5599</v>
      </c>
      <c r="C1588" s="137" t="s">
        <v>4013</v>
      </c>
      <c r="D1588" s="338">
        <v>7181</v>
      </c>
      <c r="E1588" s="137">
        <v>3592</v>
      </c>
      <c r="F1588" s="137">
        <v>952</v>
      </c>
    </row>
    <row r="1589" spans="1:6" x14ac:dyDescent="0.25">
      <c r="A1589" s="137" t="s">
        <v>11291</v>
      </c>
      <c r="B1589" s="137" t="s">
        <v>5599</v>
      </c>
      <c r="C1589" s="137" t="s">
        <v>166</v>
      </c>
      <c r="D1589" s="338">
        <v>10558</v>
      </c>
      <c r="E1589" s="137">
        <v>6132</v>
      </c>
      <c r="F1589" s="137">
        <v>852</v>
      </c>
    </row>
    <row r="1590" spans="1:6" x14ac:dyDescent="0.25">
      <c r="A1590" s="137" t="s">
        <v>11241</v>
      </c>
      <c r="B1590" s="137" t="s">
        <v>5599</v>
      </c>
      <c r="C1590" s="137" t="s">
        <v>160</v>
      </c>
      <c r="D1590" s="338">
        <v>2634</v>
      </c>
      <c r="E1590" s="137">
        <v>4499</v>
      </c>
      <c r="F1590" s="137">
        <v>539</v>
      </c>
    </row>
    <row r="1591" spans="1:6" x14ac:dyDescent="0.25">
      <c r="A1591" s="137" t="s">
        <v>11412</v>
      </c>
      <c r="B1591" s="137" t="s">
        <v>5599</v>
      </c>
      <c r="C1591" s="137" t="s">
        <v>157</v>
      </c>
      <c r="D1591" s="338">
        <v>8517</v>
      </c>
      <c r="E1591" s="137">
        <v>4547</v>
      </c>
      <c r="F1591" s="137">
        <v>587</v>
      </c>
    </row>
    <row r="1592" spans="1:6" x14ac:dyDescent="0.25">
      <c r="A1592" s="137" t="s">
        <v>11560</v>
      </c>
      <c r="B1592" s="137" t="s">
        <v>5599</v>
      </c>
      <c r="C1592" s="137" t="s">
        <v>4752</v>
      </c>
      <c r="D1592" s="338">
        <v>8283</v>
      </c>
      <c r="E1592" s="137">
        <v>3617</v>
      </c>
      <c r="F1592" s="137">
        <v>977</v>
      </c>
    </row>
    <row r="1593" spans="1:6" x14ac:dyDescent="0.25">
      <c r="A1593" s="137" t="s">
        <v>11406</v>
      </c>
      <c r="B1593" s="137" t="s">
        <v>5599</v>
      </c>
      <c r="C1593" s="137" t="s">
        <v>5672</v>
      </c>
      <c r="D1593" s="338">
        <v>8315</v>
      </c>
      <c r="E1593" s="137">
        <v>4079</v>
      </c>
      <c r="F1593" s="137">
        <v>119</v>
      </c>
    </row>
    <row r="1594" spans="1:6" x14ac:dyDescent="0.25">
      <c r="A1594" s="137" t="s">
        <v>11351</v>
      </c>
      <c r="B1594" s="137" t="s">
        <v>5599</v>
      </c>
      <c r="C1594" s="137" t="s">
        <v>154</v>
      </c>
      <c r="D1594" s="338">
        <v>7243</v>
      </c>
      <c r="E1594" s="137">
        <v>4597</v>
      </c>
      <c r="F1594" s="137">
        <v>637</v>
      </c>
    </row>
    <row r="1595" spans="1:6" x14ac:dyDescent="0.25">
      <c r="A1595" s="137" t="s">
        <v>11606</v>
      </c>
      <c r="B1595" s="137" t="s">
        <v>5599</v>
      </c>
      <c r="C1595" s="137" t="s">
        <v>1379</v>
      </c>
      <c r="D1595" s="338">
        <v>7364</v>
      </c>
      <c r="E1595" s="137">
        <v>2792</v>
      </c>
      <c r="F1595" s="137">
        <v>152</v>
      </c>
    </row>
    <row r="1596" spans="1:6" x14ac:dyDescent="0.25">
      <c r="A1596" s="137" t="s">
        <v>11582</v>
      </c>
      <c r="B1596" s="137" t="s">
        <v>5599</v>
      </c>
      <c r="C1596" s="137" t="s">
        <v>5179</v>
      </c>
      <c r="D1596" s="338">
        <v>13086</v>
      </c>
      <c r="E1596" s="137">
        <v>3892</v>
      </c>
      <c r="F1596" s="137">
        <v>1252</v>
      </c>
    </row>
    <row r="1597" spans="1:6" x14ac:dyDescent="0.25">
      <c r="A1597" s="137" t="s">
        <v>11243</v>
      </c>
      <c r="B1597" s="137" t="s">
        <v>5599</v>
      </c>
      <c r="C1597" s="137" t="s">
        <v>152</v>
      </c>
      <c r="D1597" s="338">
        <v>2775</v>
      </c>
      <c r="E1597" s="137">
        <v>6719</v>
      </c>
      <c r="F1597" s="137">
        <v>119</v>
      </c>
    </row>
    <row r="1598" spans="1:6" x14ac:dyDescent="0.25">
      <c r="A1598" s="137" t="s">
        <v>11205</v>
      </c>
      <c r="B1598" s="137" t="s">
        <v>5599</v>
      </c>
      <c r="C1598" s="137" t="s">
        <v>149</v>
      </c>
      <c r="D1598" s="338">
        <v>12852</v>
      </c>
      <c r="E1598" s="137">
        <v>4569</v>
      </c>
      <c r="F1598" s="137">
        <v>609</v>
      </c>
    </row>
    <row r="1599" spans="1:6" x14ac:dyDescent="0.25">
      <c r="A1599" s="137" t="s">
        <v>11320</v>
      </c>
      <c r="B1599" s="137" t="s">
        <v>5599</v>
      </c>
      <c r="C1599" s="137" t="s">
        <v>147</v>
      </c>
      <c r="D1599" s="338">
        <v>11174</v>
      </c>
      <c r="E1599" s="137">
        <v>5400</v>
      </c>
      <c r="F1599" s="137">
        <v>120</v>
      </c>
    </row>
    <row r="1600" spans="1:6" x14ac:dyDescent="0.25">
      <c r="A1600" s="137" t="s">
        <v>11633</v>
      </c>
      <c r="B1600" s="137" t="s">
        <v>5599</v>
      </c>
      <c r="C1600" s="137" t="s">
        <v>4032</v>
      </c>
      <c r="D1600" s="338">
        <v>12713</v>
      </c>
      <c r="E1600" s="137">
        <v>3688</v>
      </c>
      <c r="F1600" s="137">
        <v>1048</v>
      </c>
    </row>
    <row r="1601" spans="1:6" x14ac:dyDescent="0.25">
      <c r="A1601" s="137" t="s">
        <v>11384</v>
      </c>
      <c r="B1601" s="137" t="s">
        <v>5599</v>
      </c>
      <c r="C1601" s="137" t="s">
        <v>145</v>
      </c>
      <c r="D1601" s="338">
        <v>13191</v>
      </c>
      <c r="E1601" s="137">
        <v>5317</v>
      </c>
      <c r="F1601" s="137">
        <v>37</v>
      </c>
    </row>
    <row r="1602" spans="1:6" x14ac:dyDescent="0.25">
      <c r="A1602" s="137" t="s">
        <v>11204</v>
      </c>
      <c r="B1602" s="137" t="s">
        <v>5599</v>
      </c>
      <c r="C1602" s="137" t="s">
        <v>143</v>
      </c>
      <c r="D1602" s="338">
        <v>11715</v>
      </c>
      <c r="E1602" s="137">
        <v>4677</v>
      </c>
      <c r="F1602" s="137">
        <v>717</v>
      </c>
    </row>
    <row r="1603" spans="1:6" x14ac:dyDescent="0.25">
      <c r="A1603" s="137" t="s">
        <v>11561</v>
      </c>
      <c r="B1603" s="137" t="s">
        <v>5599</v>
      </c>
      <c r="C1603" s="137" t="s">
        <v>5321</v>
      </c>
      <c r="D1603" s="338">
        <v>8595</v>
      </c>
      <c r="E1603" s="137">
        <v>3838</v>
      </c>
      <c r="F1603" s="137">
        <v>1198</v>
      </c>
    </row>
    <row r="1604" spans="1:6" x14ac:dyDescent="0.25">
      <c r="A1604" s="137" t="s">
        <v>11228</v>
      </c>
      <c r="B1604" s="137" t="s">
        <v>5599</v>
      </c>
      <c r="C1604" s="137" t="s">
        <v>140</v>
      </c>
      <c r="D1604" s="338">
        <v>9776</v>
      </c>
      <c r="E1604" s="137">
        <v>4760</v>
      </c>
      <c r="F1604" s="137">
        <v>800</v>
      </c>
    </row>
    <row r="1605" spans="1:6" x14ac:dyDescent="0.25">
      <c r="A1605" s="137" t="s">
        <v>11211</v>
      </c>
      <c r="B1605" s="137" t="s">
        <v>5599</v>
      </c>
      <c r="C1605" s="137" t="s">
        <v>137</v>
      </c>
      <c r="D1605" s="338">
        <v>12343</v>
      </c>
      <c r="E1605" s="137">
        <v>6670</v>
      </c>
      <c r="F1605" s="137">
        <v>70</v>
      </c>
    </row>
    <row r="1606" spans="1:6" x14ac:dyDescent="0.25">
      <c r="A1606" s="137" t="s">
        <v>11580</v>
      </c>
      <c r="B1606" s="137" t="s">
        <v>5599</v>
      </c>
      <c r="C1606" s="137" t="s">
        <v>132</v>
      </c>
      <c r="D1606" s="338">
        <v>13391</v>
      </c>
      <c r="E1606" s="137">
        <v>3248</v>
      </c>
      <c r="F1606" s="137">
        <v>608</v>
      </c>
    </row>
    <row r="1607" spans="1:6" x14ac:dyDescent="0.25">
      <c r="A1607" s="137" t="s">
        <v>11583</v>
      </c>
      <c r="B1607" s="137" t="s">
        <v>5599</v>
      </c>
      <c r="C1607" s="137" t="s">
        <v>3836</v>
      </c>
      <c r="D1607" s="338">
        <v>10052</v>
      </c>
      <c r="E1607" s="137">
        <v>3695</v>
      </c>
      <c r="F1607" s="137">
        <v>1055</v>
      </c>
    </row>
    <row r="1608" spans="1:6" x14ac:dyDescent="0.25">
      <c r="A1608" s="137" t="s">
        <v>11591</v>
      </c>
      <c r="B1608" s="137" t="s">
        <v>5599</v>
      </c>
      <c r="C1608" s="137" t="s">
        <v>3481</v>
      </c>
      <c r="D1608" s="338">
        <v>11284</v>
      </c>
      <c r="E1608" s="137">
        <v>3776</v>
      </c>
      <c r="F1608" s="137">
        <v>1136</v>
      </c>
    </row>
    <row r="1609" spans="1:6" x14ac:dyDescent="0.25">
      <c r="A1609" s="137" t="s">
        <v>11212</v>
      </c>
      <c r="B1609" s="137" t="s">
        <v>5599</v>
      </c>
      <c r="C1609" s="137" t="s">
        <v>130</v>
      </c>
      <c r="D1609" s="338">
        <v>11356</v>
      </c>
      <c r="E1609" s="137">
        <v>6632</v>
      </c>
      <c r="F1609" s="137">
        <v>32</v>
      </c>
    </row>
    <row r="1610" spans="1:6" x14ac:dyDescent="0.25">
      <c r="A1610" s="137" t="s">
        <v>11590</v>
      </c>
      <c r="B1610" s="137" t="s">
        <v>5599</v>
      </c>
      <c r="C1610" s="137" t="s">
        <v>3225</v>
      </c>
      <c r="D1610" s="338">
        <v>10546</v>
      </c>
      <c r="E1610" s="137">
        <v>3702</v>
      </c>
      <c r="F1610" s="137">
        <v>1062</v>
      </c>
    </row>
    <row r="1611" spans="1:6" x14ac:dyDescent="0.25">
      <c r="A1611" s="137" t="s">
        <v>11607</v>
      </c>
      <c r="B1611" s="137" t="s">
        <v>5599</v>
      </c>
      <c r="C1611" s="137" t="s">
        <v>126</v>
      </c>
      <c r="D1611" s="338">
        <v>7939</v>
      </c>
      <c r="E1611" s="137">
        <v>3780</v>
      </c>
      <c r="F1611" s="137">
        <v>1140</v>
      </c>
    </row>
    <row r="1612" spans="1:6" x14ac:dyDescent="0.25">
      <c r="A1612" s="137" t="s">
        <v>11570</v>
      </c>
      <c r="B1612" s="137" t="s">
        <v>5599</v>
      </c>
      <c r="C1612" s="137" t="s">
        <v>124</v>
      </c>
      <c r="D1612" s="338">
        <v>13284</v>
      </c>
      <c r="E1612" s="137">
        <v>3925</v>
      </c>
      <c r="F1612" s="137">
        <v>1285</v>
      </c>
    </row>
    <row r="1613" spans="1:6" x14ac:dyDescent="0.25">
      <c r="A1613" s="137" t="s">
        <v>11196</v>
      </c>
      <c r="B1613" s="137" t="s">
        <v>5599</v>
      </c>
      <c r="C1613" s="137" t="s">
        <v>122</v>
      </c>
      <c r="D1613" s="338">
        <v>11317</v>
      </c>
      <c r="E1613" s="137">
        <v>6197</v>
      </c>
      <c r="F1613" s="137">
        <v>917</v>
      </c>
    </row>
    <row r="1614" spans="1:6" x14ac:dyDescent="0.25">
      <c r="A1614" s="137" t="s">
        <v>11469</v>
      </c>
      <c r="B1614" s="137" t="s">
        <v>5599</v>
      </c>
      <c r="C1614" s="137" t="s">
        <v>1335</v>
      </c>
      <c r="D1614" s="338">
        <v>9692</v>
      </c>
      <c r="E1614" s="137">
        <v>2886</v>
      </c>
      <c r="F1614" s="137">
        <v>246</v>
      </c>
    </row>
    <row r="1615" spans="1:6" x14ac:dyDescent="0.25">
      <c r="A1615" s="137" t="s">
        <v>11286</v>
      </c>
      <c r="B1615" s="137" t="s">
        <v>5599</v>
      </c>
      <c r="C1615" s="137" t="s">
        <v>120</v>
      </c>
      <c r="D1615" s="338">
        <v>7913</v>
      </c>
      <c r="E1615" s="137">
        <v>3904</v>
      </c>
      <c r="F1615" s="137">
        <v>1264</v>
      </c>
    </row>
    <row r="1616" spans="1:6" x14ac:dyDescent="0.25">
      <c r="A1616" s="137" t="s">
        <v>11558</v>
      </c>
      <c r="B1616" s="137" t="s">
        <v>5599</v>
      </c>
      <c r="C1616" s="137" t="s">
        <v>4973</v>
      </c>
      <c r="D1616" s="338">
        <v>11185</v>
      </c>
      <c r="E1616" s="137">
        <v>4711</v>
      </c>
      <c r="F1616" s="137">
        <v>751</v>
      </c>
    </row>
    <row r="1617" spans="1:6" x14ac:dyDescent="0.25">
      <c r="A1617" s="137" t="s">
        <v>11355</v>
      </c>
      <c r="B1617" s="137" t="s">
        <v>5599</v>
      </c>
      <c r="C1617" s="137" t="s">
        <v>117</v>
      </c>
      <c r="D1617" s="338">
        <v>8851</v>
      </c>
      <c r="E1617" s="137">
        <v>5241</v>
      </c>
      <c r="F1617" s="137">
        <v>1281</v>
      </c>
    </row>
    <row r="1618" spans="1:6" x14ac:dyDescent="0.25">
      <c r="A1618" s="137" t="s">
        <v>11567</v>
      </c>
      <c r="B1618" s="137" t="s">
        <v>5599</v>
      </c>
      <c r="C1618" s="137" t="s">
        <v>4675</v>
      </c>
      <c r="D1618" s="338">
        <v>12222</v>
      </c>
      <c r="E1618" s="137">
        <v>4249</v>
      </c>
      <c r="F1618" s="137">
        <v>289</v>
      </c>
    </row>
    <row r="1619" spans="1:6" x14ac:dyDescent="0.25">
      <c r="A1619" s="137" t="s">
        <v>11634</v>
      </c>
      <c r="B1619" s="137" t="s">
        <v>5599</v>
      </c>
      <c r="C1619" s="137" t="s">
        <v>5079</v>
      </c>
      <c r="D1619" s="338">
        <v>10909</v>
      </c>
      <c r="E1619" s="137">
        <v>4142</v>
      </c>
      <c r="F1619" s="137">
        <v>182</v>
      </c>
    </row>
    <row r="1620" spans="1:6" x14ac:dyDescent="0.25">
      <c r="A1620" s="137" t="s">
        <v>11635</v>
      </c>
      <c r="B1620" s="137" t="s">
        <v>5599</v>
      </c>
      <c r="C1620" s="137" t="s">
        <v>4990</v>
      </c>
      <c r="D1620" s="338">
        <v>11191</v>
      </c>
      <c r="E1620" s="137">
        <v>3736</v>
      </c>
      <c r="F1620" s="137">
        <v>1096</v>
      </c>
    </row>
    <row r="1621" spans="1:6" x14ac:dyDescent="0.25">
      <c r="A1621" s="137" t="s">
        <v>11562</v>
      </c>
      <c r="B1621" s="137" t="s">
        <v>5599</v>
      </c>
      <c r="C1621" s="137" t="s">
        <v>5323</v>
      </c>
      <c r="D1621" s="338">
        <v>12639</v>
      </c>
      <c r="E1621" s="137">
        <v>4502</v>
      </c>
      <c r="F1621" s="137">
        <v>542</v>
      </c>
    </row>
    <row r="1622" spans="1:6" x14ac:dyDescent="0.25">
      <c r="A1622" s="137" t="s">
        <v>11565</v>
      </c>
      <c r="B1622" s="137" t="s">
        <v>5599</v>
      </c>
      <c r="C1622" s="137" t="s">
        <v>4977</v>
      </c>
      <c r="D1622" s="338">
        <v>11957</v>
      </c>
      <c r="E1622" s="137">
        <v>4475</v>
      </c>
      <c r="F1622" s="137">
        <v>515</v>
      </c>
    </row>
    <row r="1623" spans="1:6" x14ac:dyDescent="0.25">
      <c r="A1623" s="137" t="s">
        <v>11546</v>
      </c>
      <c r="B1623" s="137" t="s">
        <v>5599</v>
      </c>
      <c r="C1623" s="137" t="s">
        <v>3761</v>
      </c>
      <c r="D1623" s="338">
        <v>8574</v>
      </c>
      <c r="E1623" s="137">
        <v>3054</v>
      </c>
      <c r="F1623" s="137">
        <v>414</v>
      </c>
    </row>
    <row r="1624" spans="1:6" x14ac:dyDescent="0.25">
      <c r="A1624" s="137" t="s">
        <v>11306</v>
      </c>
      <c r="B1624" s="137" t="s">
        <v>5599</v>
      </c>
      <c r="C1624" s="137" t="s">
        <v>5497</v>
      </c>
      <c r="D1624" s="338">
        <v>12176</v>
      </c>
      <c r="E1624" s="137">
        <v>4698</v>
      </c>
      <c r="F1624" s="137">
        <v>738</v>
      </c>
    </row>
    <row r="1625" spans="1:6" x14ac:dyDescent="0.25">
      <c r="A1625" s="137" t="s">
        <v>11219</v>
      </c>
      <c r="B1625" s="137" t="s">
        <v>5599</v>
      </c>
      <c r="C1625" s="137" t="s">
        <v>114</v>
      </c>
      <c r="D1625" s="338">
        <v>11396</v>
      </c>
      <c r="E1625" s="137">
        <v>6470</v>
      </c>
      <c r="F1625" s="137">
        <v>1190</v>
      </c>
    </row>
    <row r="1626" spans="1:6" x14ac:dyDescent="0.25">
      <c r="A1626" s="137" t="s">
        <v>11359</v>
      </c>
      <c r="B1626" s="137" t="s">
        <v>5599</v>
      </c>
      <c r="C1626" s="137" t="s">
        <v>113</v>
      </c>
      <c r="D1626" s="338">
        <v>8360</v>
      </c>
      <c r="E1626" s="137">
        <v>6323</v>
      </c>
      <c r="F1626" s="137">
        <v>1043</v>
      </c>
    </row>
    <row r="1627" spans="1:6" x14ac:dyDescent="0.25">
      <c r="A1627" s="137" t="s">
        <v>11345</v>
      </c>
      <c r="B1627" s="137" t="s">
        <v>5599</v>
      </c>
      <c r="C1627" s="137" t="s">
        <v>3078</v>
      </c>
      <c r="D1627" s="338">
        <v>4866</v>
      </c>
      <c r="E1627" s="137">
        <v>4057</v>
      </c>
      <c r="F1627" s="137">
        <v>97</v>
      </c>
    </row>
    <row r="1628" spans="1:6" x14ac:dyDescent="0.25">
      <c r="A1628" s="137" t="s">
        <v>11314</v>
      </c>
      <c r="B1628" s="137" t="s">
        <v>5599</v>
      </c>
      <c r="C1628" s="137" t="s">
        <v>110</v>
      </c>
      <c r="D1628" s="338">
        <v>5859</v>
      </c>
      <c r="E1628" s="137">
        <v>5079</v>
      </c>
      <c r="F1628" s="137">
        <v>-201</v>
      </c>
    </row>
    <row r="1629" spans="1:6" x14ac:dyDescent="0.25">
      <c r="A1629" s="137" t="s">
        <v>11440</v>
      </c>
      <c r="B1629" s="137" t="s">
        <v>5599</v>
      </c>
      <c r="C1629" s="137" t="s">
        <v>1904</v>
      </c>
      <c r="D1629" s="338">
        <v>7260</v>
      </c>
      <c r="E1629" s="137">
        <v>3711</v>
      </c>
      <c r="F1629" s="137">
        <v>1071</v>
      </c>
    </row>
    <row r="1630" spans="1:6" x14ac:dyDescent="0.25">
      <c r="A1630" s="137" t="s">
        <v>11378</v>
      </c>
      <c r="B1630" s="137" t="s">
        <v>5599</v>
      </c>
      <c r="C1630" s="137" t="s">
        <v>4756</v>
      </c>
      <c r="D1630" s="338">
        <v>4773</v>
      </c>
      <c r="E1630" s="137">
        <v>4874</v>
      </c>
      <c r="F1630" s="137">
        <v>914</v>
      </c>
    </row>
    <row r="1631" spans="1:6" x14ac:dyDescent="0.25">
      <c r="A1631" s="137" t="s">
        <v>11448</v>
      </c>
      <c r="B1631" s="137" t="s">
        <v>5599</v>
      </c>
      <c r="C1631" s="137" t="s">
        <v>5457</v>
      </c>
      <c r="D1631" s="338">
        <v>7438</v>
      </c>
      <c r="E1631" s="137">
        <v>4821</v>
      </c>
      <c r="F1631" s="137">
        <v>861</v>
      </c>
    </row>
    <row r="1632" spans="1:6" x14ac:dyDescent="0.25">
      <c r="A1632" s="137" t="s">
        <v>11415</v>
      </c>
      <c r="B1632" s="137" t="s">
        <v>5599</v>
      </c>
      <c r="C1632" s="137" t="s">
        <v>103</v>
      </c>
      <c r="D1632" s="338">
        <v>9582</v>
      </c>
      <c r="E1632" s="137">
        <v>4486</v>
      </c>
      <c r="F1632" s="137">
        <v>526</v>
      </c>
    </row>
    <row r="1633" spans="1:6" x14ac:dyDescent="0.25">
      <c r="A1633" s="137" t="s">
        <v>11344</v>
      </c>
      <c r="B1633" s="137" t="s">
        <v>5599</v>
      </c>
      <c r="C1633" s="137" t="s">
        <v>1291</v>
      </c>
      <c r="D1633" s="338">
        <v>4870</v>
      </c>
      <c r="E1633" s="137">
        <v>3590</v>
      </c>
      <c r="F1633" s="137">
        <v>950</v>
      </c>
    </row>
    <row r="1634" spans="1:6" x14ac:dyDescent="0.25">
      <c r="A1634" s="137" t="s">
        <v>11636</v>
      </c>
      <c r="B1634" s="137" t="s">
        <v>5599</v>
      </c>
      <c r="C1634" s="137" t="s">
        <v>3452</v>
      </c>
      <c r="D1634" s="338">
        <v>12746</v>
      </c>
      <c r="E1634" s="137">
        <v>3375</v>
      </c>
      <c r="F1634" s="137">
        <v>735</v>
      </c>
    </row>
    <row r="1635" spans="1:6" x14ac:dyDescent="0.25">
      <c r="A1635" s="137" t="s">
        <v>11566</v>
      </c>
      <c r="B1635" s="137" t="s">
        <v>5599</v>
      </c>
      <c r="C1635" s="137" t="s">
        <v>5147</v>
      </c>
      <c r="D1635" s="338">
        <v>12080</v>
      </c>
      <c r="E1635" s="137">
        <v>4667</v>
      </c>
      <c r="F1635" s="137">
        <v>707</v>
      </c>
    </row>
    <row r="1636" spans="1:6" x14ac:dyDescent="0.25">
      <c r="A1636" s="137" t="s">
        <v>11571</v>
      </c>
      <c r="B1636" s="137" t="s">
        <v>5599</v>
      </c>
      <c r="C1636" s="137" t="s">
        <v>2958</v>
      </c>
      <c r="D1636" s="338">
        <v>12365</v>
      </c>
      <c r="E1636" s="137">
        <v>2987</v>
      </c>
      <c r="F1636" s="137">
        <v>347</v>
      </c>
    </row>
    <row r="1637" spans="1:6" x14ac:dyDescent="0.25">
      <c r="A1637" s="137" t="s">
        <v>11322</v>
      </c>
      <c r="B1637" s="137" t="s">
        <v>5599</v>
      </c>
      <c r="C1637" s="137" t="s">
        <v>100</v>
      </c>
      <c r="D1637" s="338">
        <v>8984</v>
      </c>
      <c r="E1637" s="137">
        <v>5735</v>
      </c>
      <c r="F1637" s="137">
        <v>455</v>
      </c>
    </row>
    <row r="1638" spans="1:6" x14ac:dyDescent="0.25">
      <c r="A1638" s="137" t="s">
        <v>11381</v>
      </c>
      <c r="B1638" s="137" t="s">
        <v>5599</v>
      </c>
      <c r="C1638" s="137" t="s">
        <v>97</v>
      </c>
      <c r="D1638" s="338">
        <v>11357</v>
      </c>
      <c r="E1638" s="137">
        <v>6040</v>
      </c>
      <c r="F1638" s="137">
        <v>760</v>
      </c>
    </row>
    <row r="1639" spans="1:6" x14ac:dyDescent="0.25">
      <c r="A1639" s="137" t="s">
        <v>11213</v>
      </c>
      <c r="B1639" s="137" t="s">
        <v>5599</v>
      </c>
      <c r="C1639" s="137" t="s">
        <v>95</v>
      </c>
      <c r="D1639" s="338">
        <v>11959</v>
      </c>
      <c r="E1639" s="137">
        <v>5160</v>
      </c>
      <c r="F1639" s="137">
        <v>1200</v>
      </c>
    </row>
    <row r="1640" spans="1:6" x14ac:dyDescent="0.25">
      <c r="A1640" s="137" t="s">
        <v>11338</v>
      </c>
      <c r="B1640" s="137" t="s">
        <v>5599</v>
      </c>
      <c r="C1640" s="137" t="s">
        <v>93</v>
      </c>
      <c r="D1640" s="338">
        <v>8227</v>
      </c>
      <c r="E1640" s="137">
        <v>4692</v>
      </c>
      <c r="F1640" s="137">
        <v>732</v>
      </c>
    </row>
    <row r="1641" spans="1:6" x14ac:dyDescent="0.25">
      <c r="A1641" s="137" t="s">
        <v>11637</v>
      </c>
      <c r="B1641" s="137" t="s">
        <v>5599</v>
      </c>
      <c r="C1641" s="137" t="s">
        <v>5298</v>
      </c>
      <c r="D1641" s="338">
        <v>13164</v>
      </c>
      <c r="E1641" s="137">
        <v>4232</v>
      </c>
      <c r="F1641" s="137">
        <v>272</v>
      </c>
    </row>
    <row r="1642" spans="1:6" x14ac:dyDescent="0.25">
      <c r="A1642" s="137" t="s">
        <v>11577</v>
      </c>
      <c r="B1642" s="137" t="s">
        <v>5599</v>
      </c>
      <c r="C1642" s="137" t="s">
        <v>5532</v>
      </c>
      <c r="D1642" s="338">
        <v>11722</v>
      </c>
      <c r="E1642" s="137">
        <v>3955</v>
      </c>
      <c r="F1642" s="137">
        <v>1315</v>
      </c>
    </row>
    <row r="1643" spans="1:6" x14ac:dyDescent="0.25">
      <c r="A1643" s="137" t="s">
        <v>11611</v>
      </c>
      <c r="B1643" s="137" t="s">
        <v>5599</v>
      </c>
      <c r="C1643" s="137" t="s">
        <v>4017</v>
      </c>
      <c r="D1643" s="338">
        <v>9568</v>
      </c>
      <c r="E1643" s="137">
        <v>3296</v>
      </c>
      <c r="F1643" s="137">
        <v>656</v>
      </c>
    </row>
    <row r="1644" spans="1:6" x14ac:dyDescent="0.25">
      <c r="A1644" s="137" t="s">
        <v>11638</v>
      </c>
      <c r="B1644" s="137" t="s">
        <v>5599</v>
      </c>
      <c r="C1644" s="137" t="s">
        <v>2484</v>
      </c>
      <c r="D1644" s="338">
        <v>13240</v>
      </c>
      <c r="E1644" s="137">
        <v>3100</v>
      </c>
      <c r="F1644" s="137">
        <v>460</v>
      </c>
    </row>
    <row r="1645" spans="1:6" x14ac:dyDescent="0.25">
      <c r="A1645" s="137" t="s">
        <v>11604</v>
      </c>
      <c r="B1645" s="137" t="s">
        <v>5599</v>
      </c>
      <c r="C1645" s="137" t="s">
        <v>3107</v>
      </c>
      <c r="D1645" s="338">
        <v>9844</v>
      </c>
      <c r="E1645" s="137">
        <v>3477</v>
      </c>
      <c r="F1645" s="137">
        <v>837</v>
      </c>
    </row>
    <row r="1646" spans="1:6" x14ac:dyDescent="0.25">
      <c r="A1646" s="137" t="s">
        <v>11548</v>
      </c>
      <c r="B1646" s="137" t="s">
        <v>5599</v>
      </c>
      <c r="C1646" s="137" t="s">
        <v>4100</v>
      </c>
      <c r="D1646" s="338">
        <v>9704</v>
      </c>
      <c r="E1646" s="137">
        <v>3823</v>
      </c>
      <c r="F1646" s="137">
        <v>1183</v>
      </c>
    </row>
    <row r="1647" spans="1:6" x14ac:dyDescent="0.25">
      <c r="A1647" s="137" t="s">
        <v>11645</v>
      </c>
      <c r="B1647" s="137" t="s">
        <v>5599</v>
      </c>
      <c r="C1647" s="137" t="s">
        <v>84</v>
      </c>
      <c r="D1647" s="338">
        <v>9210</v>
      </c>
      <c r="E1647" s="137">
        <v>4238</v>
      </c>
      <c r="F1647" s="137">
        <v>278</v>
      </c>
    </row>
    <row r="1648" spans="1:6" x14ac:dyDescent="0.25">
      <c r="A1648" s="137" t="s">
        <v>11252</v>
      </c>
      <c r="B1648" s="137" t="s">
        <v>5599</v>
      </c>
      <c r="C1648" s="137" t="s">
        <v>81</v>
      </c>
      <c r="D1648" s="338">
        <v>8676</v>
      </c>
      <c r="E1648" s="137">
        <v>5586</v>
      </c>
      <c r="F1648" s="137">
        <v>306</v>
      </c>
    </row>
    <row r="1649" spans="1:6" x14ac:dyDescent="0.25">
      <c r="A1649" s="137" t="s">
        <v>11340</v>
      </c>
      <c r="B1649" s="137" t="s">
        <v>5599</v>
      </c>
      <c r="C1649" s="137" t="s">
        <v>79</v>
      </c>
      <c r="D1649" s="338">
        <v>9120</v>
      </c>
      <c r="E1649" s="137">
        <v>5257</v>
      </c>
      <c r="F1649" s="137">
        <v>1297</v>
      </c>
    </row>
    <row r="1650" spans="1:6" x14ac:dyDescent="0.25">
      <c r="A1650" s="137" t="s">
        <v>11353</v>
      </c>
      <c r="B1650" s="137" t="s">
        <v>5599</v>
      </c>
      <c r="C1650" s="137" t="s">
        <v>74</v>
      </c>
      <c r="D1650" s="338">
        <v>8014</v>
      </c>
      <c r="E1650" s="137">
        <v>4523</v>
      </c>
      <c r="F1650" s="137">
        <v>563</v>
      </c>
    </row>
    <row r="1651" spans="1:6" x14ac:dyDescent="0.25">
      <c r="A1651" s="137" t="s">
        <v>72</v>
      </c>
      <c r="B1651" s="137" t="s">
        <v>5599</v>
      </c>
      <c r="C1651" s="137" t="s">
        <v>71</v>
      </c>
      <c r="D1651" s="338">
        <v>10732</v>
      </c>
      <c r="E1651" s="137">
        <v>5135</v>
      </c>
      <c r="F1651" s="137">
        <v>1175</v>
      </c>
    </row>
    <row r="1652" spans="1:6" x14ac:dyDescent="0.25">
      <c r="A1652" s="137" t="s">
        <v>11170</v>
      </c>
      <c r="B1652" s="137" t="s">
        <v>5599</v>
      </c>
      <c r="C1652" s="137" t="s">
        <v>68</v>
      </c>
      <c r="D1652" s="338">
        <v>9646</v>
      </c>
      <c r="E1652" s="137">
        <v>4739</v>
      </c>
      <c r="F1652" s="137">
        <v>779</v>
      </c>
    </row>
    <row r="1653" spans="1:6" x14ac:dyDescent="0.25">
      <c r="A1653" s="137" t="s">
        <v>11438</v>
      </c>
      <c r="B1653" s="137" t="s">
        <v>5599</v>
      </c>
      <c r="C1653" s="137" t="s">
        <v>4488</v>
      </c>
      <c r="D1653" s="338">
        <v>7484</v>
      </c>
      <c r="E1653" s="137">
        <v>3818</v>
      </c>
      <c r="F1653" s="137">
        <v>1178</v>
      </c>
    </row>
    <row r="1654" spans="1:6" x14ac:dyDescent="0.25">
      <c r="A1654" s="137" t="s">
        <v>11368</v>
      </c>
      <c r="B1654" s="137" t="s">
        <v>5599</v>
      </c>
      <c r="C1654" s="137" t="s">
        <v>65</v>
      </c>
      <c r="D1654" s="338">
        <v>10276</v>
      </c>
      <c r="E1654" s="137">
        <v>6059</v>
      </c>
      <c r="F1654" s="137">
        <v>779</v>
      </c>
    </row>
    <row r="1655" spans="1:6" x14ac:dyDescent="0.25">
      <c r="A1655" s="137" t="s">
        <v>11456</v>
      </c>
      <c r="B1655" s="137" t="s">
        <v>5599</v>
      </c>
      <c r="C1655" s="137" t="s">
        <v>4683</v>
      </c>
      <c r="D1655" s="338">
        <v>12177</v>
      </c>
      <c r="E1655" s="137">
        <v>3572</v>
      </c>
      <c r="F1655" s="137">
        <v>932</v>
      </c>
    </row>
    <row r="1656" spans="1:6" x14ac:dyDescent="0.25">
      <c r="A1656" s="137" t="s">
        <v>11223</v>
      </c>
      <c r="B1656" s="137" t="s">
        <v>5599</v>
      </c>
      <c r="C1656" s="137" t="s">
        <v>63</v>
      </c>
      <c r="D1656" s="338">
        <v>11494</v>
      </c>
      <c r="E1656" s="137">
        <v>5322</v>
      </c>
      <c r="F1656" s="137">
        <v>42</v>
      </c>
    </row>
    <row r="1657" spans="1:6" x14ac:dyDescent="0.25">
      <c r="A1657" s="137" t="s">
        <v>11414</v>
      </c>
      <c r="B1657" s="137" t="s">
        <v>5599</v>
      </c>
      <c r="C1657" s="137" t="s">
        <v>4223</v>
      </c>
      <c r="D1657" s="338">
        <v>7625</v>
      </c>
      <c r="E1657" s="137">
        <v>3702</v>
      </c>
      <c r="F1657" s="137">
        <v>-258</v>
      </c>
    </row>
    <row r="1658" spans="1:6" x14ac:dyDescent="0.25">
      <c r="A1658" s="137" t="s">
        <v>11572</v>
      </c>
      <c r="B1658" s="137" t="s">
        <v>5599</v>
      </c>
      <c r="C1658" s="137" t="s">
        <v>3388</v>
      </c>
      <c r="D1658" s="338">
        <v>9496</v>
      </c>
      <c r="E1658" s="137">
        <v>2700</v>
      </c>
      <c r="F1658" s="137">
        <v>60</v>
      </c>
    </row>
    <row r="1659" spans="1:6" x14ac:dyDescent="0.25">
      <c r="A1659" s="137" t="s">
        <v>11584</v>
      </c>
      <c r="B1659" s="137" t="s">
        <v>5599</v>
      </c>
      <c r="C1659" s="137" t="s">
        <v>5536</v>
      </c>
      <c r="D1659" s="338">
        <v>7976</v>
      </c>
      <c r="E1659" s="137">
        <v>3368</v>
      </c>
      <c r="F1659" s="137">
        <v>728</v>
      </c>
    </row>
    <row r="1660" spans="1:6" x14ac:dyDescent="0.25">
      <c r="A1660" s="137" t="s">
        <v>11374</v>
      </c>
      <c r="B1660" s="137" t="s">
        <v>5599</v>
      </c>
      <c r="C1660" s="137" t="s">
        <v>58</v>
      </c>
      <c r="D1660" s="338">
        <v>7130</v>
      </c>
      <c r="E1660" s="137">
        <v>5236</v>
      </c>
      <c r="F1660" s="137">
        <v>1276</v>
      </c>
    </row>
    <row r="1661" spans="1:6" x14ac:dyDescent="0.25">
      <c r="A1661" s="137" t="s">
        <v>11603</v>
      </c>
      <c r="B1661" s="137" t="s">
        <v>5599</v>
      </c>
      <c r="C1661" s="137" t="s">
        <v>3251</v>
      </c>
      <c r="D1661" s="338">
        <v>9661</v>
      </c>
      <c r="E1661" s="137">
        <v>3523</v>
      </c>
      <c r="F1661" s="137">
        <v>883</v>
      </c>
    </row>
    <row r="1662" spans="1:6" x14ac:dyDescent="0.25">
      <c r="A1662" s="137" t="s">
        <v>11182</v>
      </c>
      <c r="B1662" s="137" t="s">
        <v>5599</v>
      </c>
      <c r="C1662" s="137" t="s">
        <v>52</v>
      </c>
      <c r="D1662" s="338">
        <v>11261</v>
      </c>
      <c r="E1662" s="137">
        <v>5006</v>
      </c>
      <c r="F1662" s="137">
        <v>1046</v>
      </c>
    </row>
    <row r="1663" spans="1:6" x14ac:dyDescent="0.25">
      <c r="A1663" s="137" t="s">
        <v>11335</v>
      </c>
      <c r="B1663" s="137" t="s">
        <v>5599</v>
      </c>
      <c r="C1663" s="137" t="s">
        <v>47</v>
      </c>
      <c r="D1663" s="338">
        <v>11074</v>
      </c>
      <c r="E1663" s="137">
        <v>5130</v>
      </c>
      <c r="F1663" s="137">
        <v>1170</v>
      </c>
    </row>
    <row r="1664" spans="1:6" x14ac:dyDescent="0.25">
      <c r="A1664" s="137" t="s">
        <v>11593</v>
      </c>
      <c r="B1664" s="137" t="s">
        <v>5599</v>
      </c>
      <c r="C1664" s="137" t="s">
        <v>3442</v>
      </c>
      <c r="D1664" s="338">
        <v>11736</v>
      </c>
      <c r="E1664" s="137">
        <v>3762</v>
      </c>
      <c r="F1664" s="137">
        <v>1122</v>
      </c>
    </row>
    <row r="1665" spans="1:6" x14ac:dyDescent="0.25">
      <c r="A1665" s="137" t="s">
        <v>11330</v>
      </c>
      <c r="B1665" s="137" t="s">
        <v>5599</v>
      </c>
      <c r="C1665" s="137" t="s">
        <v>44</v>
      </c>
      <c r="D1665" s="338">
        <v>6132</v>
      </c>
      <c r="E1665" s="137">
        <v>4940</v>
      </c>
      <c r="F1665" s="137">
        <v>980</v>
      </c>
    </row>
    <row r="1666" spans="1:6" x14ac:dyDescent="0.25">
      <c r="A1666" s="137" t="s">
        <v>11445</v>
      </c>
      <c r="B1666" s="137" t="s">
        <v>5599</v>
      </c>
      <c r="C1666" s="137" t="s">
        <v>4677</v>
      </c>
      <c r="D1666" s="338">
        <v>9368</v>
      </c>
      <c r="E1666" s="137">
        <v>3986</v>
      </c>
      <c r="F1666" s="137">
        <v>26</v>
      </c>
    </row>
    <row r="1667" spans="1:6" x14ac:dyDescent="0.25">
      <c r="A1667" s="137" t="s">
        <v>11215</v>
      </c>
      <c r="B1667" s="137" t="s">
        <v>5599</v>
      </c>
      <c r="C1667" s="137" t="s">
        <v>42</v>
      </c>
      <c r="D1667" s="338">
        <v>11373</v>
      </c>
      <c r="E1667" s="137">
        <v>4999</v>
      </c>
      <c r="F1667" s="137">
        <v>1039</v>
      </c>
    </row>
    <row r="1668" spans="1:6" x14ac:dyDescent="0.25">
      <c r="A1668" s="137" t="s">
        <v>11341</v>
      </c>
      <c r="B1668" s="137" t="s">
        <v>5599</v>
      </c>
      <c r="C1668" s="137" t="s">
        <v>3628</v>
      </c>
      <c r="D1668" s="338">
        <v>7240</v>
      </c>
      <c r="E1668" s="137">
        <v>4219</v>
      </c>
      <c r="F1668" s="137">
        <v>259</v>
      </c>
    </row>
    <row r="1669" spans="1:6" x14ac:dyDescent="0.25">
      <c r="A1669" s="137" t="s">
        <v>11563</v>
      </c>
      <c r="B1669" s="137" t="s">
        <v>5599</v>
      </c>
      <c r="C1669" s="137" t="s">
        <v>5336</v>
      </c>
      <c r="D1669" s="338">
        <v>12100</v>
      </c>
      <c r="E1669" s="137">
        <v>5281</v>
      </c>
      <c r="F1669" s="137">
        <v>1321</v>
      </c>
    </row>
    <row r="1670" spans="1:6" x14ac:dyDescent="0.25">
      <c r="A1670" s="137" t="s">
        <v>11315</v>
      </c>
      <c r="B1670" s="137" t="s">
        <v>5599</v>
      </c>
      <c r="C1670" s="137" t="s">
        <v>40</v>
      </c>
      <c r="D1670" s="338">
        <v>11032</v>
      </c>
      <c r="E1670" s="137">
        <v>4177</v>
      </c>
      <c r="F1670" s="137">
        <v>217</v>
      </c>
    </row>
    <row r="1671" spans="1:6" x14ac:dyDescent="0.25">
      <c r="A1671" s="137" t="s">
        <v>11408</v>
      </c>
      <c r="B1671" s="137" t="s">
        <v>5599</v>
      </c>
      <c r="C1671" s="137" t="s">
        <v>37</v>
      </c>
      <c r="D1671" s="338">
        <v>9463</v>
      </c>
      <c r="E1671" s="137">
        <v>4845</v>
      </c>
      <c r="F1671" s="137">
        <v>-435</v>
      </c>
    </row>
    <row r="1672" spans="1:6" x14ac:dyDescent="0.25">
      <c r="A1672" s="137" t="s">
        <v>11218</v>
      </c>
      <c r="B1672" s="137" t="s">
        <v>5599</v>
      </c>
      <c r="C1672" s="137" t="s">
        <v>34</v>
      </c>
      <c r="D1672" s="338">
        <v>9567</v>
      </c>
      <c r="E1672" s="137">
        <v>4632</v>
      </c>
      <c r="F1672" s="137">
        <v>672</v>
      </c>
    </row>
    <row r="1673" spans="1:6" x14ac:dyDescent="0.25">
      <c r="A1673" s="137" t="s">
        <v>11610</v>
      </c>
      <c r="B1673" s="137" t="s">
        <v>5599</v>
      </c>
      <c r="C1673" s="137" t="s">
        <v>4078</v>
      </c>
      <c r="D1673" s="338">
        <v>8336</v>
      </c>
      <c r="E1673" s="137">
        <v>3273</v>
      </c>
      <c r="F1673" s="137">
        <v>633</v>
      </c>
    </row>
    <row r="1674" spans="1:6" x14ac:dyDescent="0.25">
      <c r="A1674" s="137" t="s">
        <v>11404</v>
      </c>
      <c r="B1674" s="137" t="s">
        <v>5599</v>
      </c>
      <c r="C1674" s="137" t="s">
        <v>5473</v>
      </c>
      <c r="D1674" s="338">
        <v>8203</v>
      </c>
      <c r="E1674" s="137">
        <v>3553</v>
      </c>
      <c r="F1674" s="137">
        <v>913</v>
      </c>
    </row>
    <row r="1675" spans="1:6" x14ac:dyDescent="0.25">
      <c r="A1675" s="137" t="s">
        <v>11416</v>
      </c>
      <c r="B1675" s="137" t="s">
        <v>5599</v>
      </c>
      <c r="C1675" s="137" t="s">
        <v>27</v>
      </c>
      <c r="D1675" s="338">
        <v>8387</v>
      </c>
      <c r="E1675" s="137">
        <v>4324</v>
      </c>
      <c r="F1675" s="137">
        <v>364</v>
      </c>
    </row>
    <row r="1676" spans="1:6" x14ac:dyDescent="0.25">
      <c r="A1676" s="137" t="s">
        <v>11339</v>
      </c>
      <c r="B1676" s="137" t="s">
        <v>5599</v>
      </c>
      <c r="C1676" s="137" t="s">
        <v>5511</v>
      </c>
      <c r="D1676" s="338">
        <v>9077</v>
      </c>
      <c r="E1676" s="137">
        <v>4786</v>
      </c>
      <c r="F1676" s="137">
        <v>826</v>
      </c>
    </row>
    <row r="1677" spans="1:6" x14ac:dyDescent="0.25">
      <c r="A1677" s="137" t="s">
        <v>11557</v>
      </c>
      <c r="B1677" s="137" t="s">
        <v>5599</v>
      </c>
      <c r="C1677" s="137" t="s">
        <v>4058</v>
      </c>
      <c r="D1677" s="338">
        <v>11544</v>
      </c>
      <c r="E1677" s="137">
        <v>4014</v>
      </c>
      <c r="F1677" s="137">
        <v>54</v>
      </c>
    </row>
    <row r="1678" spans="1:6" x14ac:dyDescent="0.25">
      <c r="A1678" s="137" t="s">
        <v>11595</v>
      </c>
      <c r="B1678" s="137" t="s">
        <v>5599</v>
      </c>
      <c r="C1678" s="137" t="s">
        <v>4729</v>
      </c>
      <c r="D1678" s="338">
        <v>13404</v>
      </c>
      <c r="E1678" s="137">
        <v>3995</v>
      </c>
      <c r="F1678" s="137">
        <v>35</v>
      </c>
    </row>
    <row r="1679" spans="1:6" x14ac:dyDescent="0.25">
      <c r="A1679" s="137" t="s">
        <v>11327</v>
      </c>
      <c r="B1679" s="137" t="s">
        <v>5599</v>
      </c>
      <c r="C1679" s="137" t="s">
        <v>24</v>
      </c>
      <c r="D1679" s="338">
        <v>7317</v>
      </c>
      <c r="E1679" s="137">
        <v>4367</v>
      </c>
      <c r="F1679" s="137">
        <v>407</v>
      </c>
    </row>
    <row r="1680" spans="1:6" x14ac:dyDescent="0.25">
      <c r="A1680" s="137" t="s">
        <v>11549</v>
      </c>
      <c r="B1680" s="137" t="s">
        <v>5599</v>
      </c>
      <c r="C1680" s="137" t="s">
        <v>4464</v>
      </c>
      <c r="D1680" s="338">
        <v>9709</v>
      </c>
      <c r="E1680" s="137">
        <v>3990</v>
      </c>
      <c r="F1680" s="137">
        <v>30</v>
      </c>
    </row>
    <row r="1681" spans="1:6" x14ac:dyDescent="0.25">
      <c r="A1681" s="137" t="s">
        <v>11646</v>
      </c>
      <c r="B1681" s="137" t="s">
        <v>5599</v>
      </c>
      <c r="C1681" s="137" t="s">
        <v>21</v>
      </c>
      <c r="D1681" s="338">
        <v>12696</v>
      </c>
      <c r="E1681" s="137">
        <v>4055</v>
      </c>
      <c r="F1681" s="137">
        <v>95</v>
      </c>
    </row>
    <row r="1682" spans="1:6" x14ac:dyDescent="0.25">
      <c r="A1682" s="137" t="s">
        <v>11398</v>
      </c>
      <c r="B1682" s="137" t="s">
        <v>5599</v>
      </c>
      <c r="C1682" s="137" t="s">
        <v>18</v>
      </c>
      <c r="D1682" s="338">
        <v>10721</v>
      </c>
      <c r="E1682" s="137">
        <v>5467</v>
      </c>
      <c r="F1682" s="137">
        <v>187</v>
      </c>
    </row>
    <row r="1683" spans="1:6" x14ac:dyDescent="0.25">
      <c r="A1683" s="137" t="s">
        <v>11289</v>
      </c>
      <c r="B1683" s="137" t="s">
        <v>5599</v>
      </c>
      <c r="C1683" s="137" t="s">
        <v>15</v>
      </c>
      <c r="D1683" s="338">
        <v>10457</v>
      </c>
      <c r="E1683" s="137">
        <v>5647</v>
      </c>
      <c r="F1683" s="137">
        <v>367</v>
      </c>
    </row>
    <row r="1684" spans="1:6" x14ac:dyDescent="0.25">
      <c r="A1684" s="137" t="s">
        <v>11601</v>
      </c>
      <c r="B1684" s="137" t="s">
        <v>5599</v>
      </c>
      <c r="C1684" s="137" t="s">
        <v>2651</v>
      </c>
      <c r="D1684" s="338">
        <v>13105</v>
      </c>
      <c r="E1684" s="137">
        <v>2480</v>
      </c>
      <c r="F1684" s="137">
        <v>1160</v>
      </c>
    </row>
    <row r="1685" spans="1:6" x14ac:dyDescent="0.25">
      <c r="A1685" s="137" t="s">
        <v>11573</v>
      </c>
      <c r="B1685" s="137" t="s">
        <v>5599</v>
      </c>
      <c r="C1685" s="137" t="s">
        <v>4106</v>
      </c>
      <c r="D1685" s="338">
        <v>12907</v>
      </c>
      <c r="E1685" s="137">
        <v>3712</v>
      </c>
      <c r="F1685" s="137">
        <v>1072</v>
      </c>
    </row>
    <row r="1686" spans="1:6" x14ac:dyDescent="0.25">
      <c r="A1686" s="137" t="s">
        <v>11199</v>
      </c>
      <c r="B1686" s="137" t="s">
        <v>5599</v>
      </c>
      <c r="C1686" s="137" t="s">
        <v>12</v>
      </c>
      <c r="D1686" s="338">
        <v>13411</v>
      </c>
      <c r="E1686" s="137">
        <v>3531</v>
      </c>
      <c r="F1686" s="137">
        <v>-429</v>
      </c>
    </row>
    <row r="1687" spans="1:6" x14ac:dyDescent="0.25">
      <c r="A1687" s="137" t="s">
        <v>11600</v>
      </c>
      <c r="B1687" s="137" t="s">
        <v>5599</v>
      </c>
      <c r="C1687" s="137" t="s">
        <v>3652</v>
      </c>
      <c r="D1687" s="338">
        <v>11952</v>
      </c>
      <c r="E1687" s="137">
        <v>2612</v>
      </c>
      <c r="F1687" s="137">
        <v>1292</v>
      </c>
    </row>
    <row r="1688" spans="1:6" x14ac:dyDescent="0.25">
      <c r="A1688" s="137" t="s">
        <v>11200</v>
      </c>
      <c r="B1688" s="137" t="s">
        <v>5599</v>
      </c>
      <c r="C1688" s="137" t="s">
        <v>9</v>
      </c>
      <c r="D1688" s="338">
        <v>13264</v>
      </c>
      <c r="E1688" s="137">
        <v>4055</v>
      </c>
      <c r="F1688" s="137">
        <v>95</v>
      </c>
    </row>
    <row r="1689" spans="1:6" x14ac:dyDescent="0.25">
      <c r="A1689" s="137" t="s">
        <v>11575</v>
      </c>
      <c r="B1689" s="137" t="s">
        <v>5599</v>
      </c>
      <c r="C1689" s="137" t="s">
        <v>3398</v>
      </c>
      <c r="D1689" s="338">
        <v>12485</v>
      </c>
      <c r="E1689" s="137">
        <v>2553</v>
      </c>
      <c r="F1689" s="137">
        <v>1233</v>
      </c>
    </row>
    <row r="1690" spans="1:6" x14ac:dyDescent="0.25">
      <c r="A1690" s="137" t="s">
        <v>12662</v>
      </c>
      <c r="B1690" s="137" t="s">
        <v>5599</v>
      </c>
      <c r="C1690" s="137" t="s">
        <v>6</v>
      </c>
      <c r="D1690" s="338">
        <v>8510</v>
      </c>
      <c r="E1690" s="137">
        <v>3835</v>
      </c>
      <c r="F1690" s="137">
        <v>2515</v>
      </c>
    </row>
    <row r="1691" spans="1:6" x14ac:dyDescent="0.25">
      <c r="A1691" s="137" t="s">
        <v>11201</v>
      </c>
      <c r="B1691" s="137" t="s">
        <v>5599</v>
      </c>
      <c r="C1691" s="137" t="s">
        <v>3</v>
      </c>
      <c r="D1691" s="338">
        <v>8519</v>
      </c>
      <c r="E1691" s="137">
        <v>4471</v>
      </c>
      <c r="F1691" s="137">
        <v>-809</v>
      </c>
    </row>
    <row r="1692" spans="1:6" x14ac:dyDescent="0.25">
      <c r="A1692" s="137" t="s">
        <v>17036</v>
      </c>
      <c r="B1692" s="137" t="s">
        <v>137</v>
      </c>
      <c r="C1692" s="137" t="s">
        <v>4054</v>
      </c>
      <c r="D1692" s="338">
        <v>7925</v>
      </c>
      <c r="E1692" s="137">
        <v>3017</v>
      </c>
      <c r="F1692" s="137">
        <v>167</v>
      </c>
    </row>
    <row r="1693" spans="1:6" x14ac:dyDescent="0.25">
      <c r="A1693" s="137" t="s">
        <v>17568</v>
      </c>
      <c r="B1693" s="137" t="s">
        <v>137</v>
      </c>
      <c r="C1693" s="137" t="s">
        <v>4772</v>
      </c>
      <c r="D1693" s="338">
        <v>7813</v>
      </c>
      <c r="E1693" s="137">
        <v>2301</v>
      </c>
      <c r="F1693" s="137">
        <v>401</v>
      </c>
    </row>
    <row r="1694" spans="1:6" x14ac:dyDescent="0.25">
      <c r="A1694" s="137" t="s">
        <v>17854</v>
      </c>
      <c r="B1694" s="137" t="s">
        <v>137</v>
      </c>
      <c r="C1694" s="137" t="s">
        <v>5411</v>
      </c>
      <c r="D1694" s="338">
        <v>3839</v>
      </c>
      <c r="E1694" s="137">
        <v>2611</v>
      </c>
      <c r="F1694" s="137">
        <v>711</v>
      </c>
    </row>
    <row r="1695" spans="1:6" x14ac:dyDescent="0.25">
      <c r="A1695" s="137" t="s">
        <v>17162</v>
      </c>
      <c r="B1695" s="137" t="s">
        <v>137</v>
      </c>
      <c r="C1695" s="137" t="s">
        <v>5267</v>
      </c>
      <c r="D1695" s="338">
        <v>8599</v>
      </c>
      <c r="E1695" s="137">
        <v>4884</v>
      </c>
      <c r="F1695" s="137">
        <v>134</v>
      </c>
    </row>
    <row r="1696" spans="1:6" x14ac:dyDescent="0.25">
      <c r="A1696" s="137" t="s">
        <v>17306</v>
      </c>
      <c r="B1696" s="137" t="s">
        <v>137</v>
      </c>
      <c r="C1696" s="137" t="s">
        <v>5072</v>
      </c>
      <c r="D1696" s="338">
        <v>10245</v>
      </c>
      <c r="E1696" s="137">
        <v>4023</v>
      </c>
      <c r="F1696" s="137">
        <v>223</v>
      </c>
    </row>
    <row r="1697" spans="1:6" x14ac:dyDescent="0.25">
      <c r="A1697" s="137" t="s">
        <v>17310</v>
      </c>
      <c r="B1697" s="137" t="s">
        <v>137</v>
      </c>
      <c r="C1697" s="137" t="s">
        <v>5443</v>
      </c>
      <c r="D1697" s="338">
        <v>9530</v>
      </c>
      <c r="E1697" s="137">
        <v>4246</v>
      </c>
      <c r="F1697" s="137">
        <v>446</v>
      </c>
    </row>
    <row r="1698" spans="1:6" x14ac:dyDescent="0.25">
      <c r="A1698" s="137" t="s">
        <v>17141</v>
      </c>
      <c r="B1698" s="137" t="s">
        <v>137</v>
      </c>
      <c r="C1698" s="137" t="s">
        <v>457</v>
      </c>
      <c r="D1698" s="338">
        <v>11866</v>
      </c>
      <c r="E1698" s="137">
        <v>6203</v>
      </c>
      <c r="F1698" s="137">
        <v>-447</v>
      </c>
    </row>
    <row r="1699" spans="1:6" x14ac:dyDescent="0.25">
      <c r="A1699" s="137" t="s">
        <v>17518</v>
      </c>
      <c r="B1699" s="137" t="s">
        <v>137</v>
      </c>
      <c r="C1699" s="137" t="s">
        <v>4828</v>
      </c>
      <c r="D1699" s="338">
        <v>10274</v>
      </c>
      <c r="E1699" s="137">
        <v>3505</v>
      </c>
      <c r="F1699" s="137">
        <v>655</v>
      </c>
    </row>
    <row r="1700" spans="1:6" x14ac:dyDescent="0.25">
      <c r="A1700" s="137" t="s">
        <v>17037</v>
      </c>
      <c r="B1700" s="137" t="s">
        <v>137</v>
      </c>
      <c r="C1700" s="137" t="s">
        <v>4816</v>
      </c>
      <c r="D1700" s="338">
        <v>6421</v>
      </c>
      <c r="E1700" s="137">
        <v>3619</v>
      </c>
      <c r="F1700" s="137">
        <v>769</v>
      </c>
    </row>
    <row r="1701" spans="1:6" x14ac:dyDescent="0.25">
      <c r="A1701" s="137" t="s">
        <v>17506</v>
      </c>
      <c r="B1701" s="137" t="s">
        <v>137</v>
      </c>
      <c r="C1701" s="137" t="s">
        <v>5619</v>
      </c>
      <c r="D1701" s="338">
        <v>6836</v>
      </c>
      <c r="E1701" s="137">
        <v>3043</v>
      </c>
      <c r="F1701" s="137">
        <v>193</v>
      </c>
    </row>
    <row r="1702" spans="1:6" x14ac:dyDescent="0.25">
      <c r="A1702" s="137" t="s">
        <v>18095</v>
      </c>
      <c r="B1702" s="137" t="s">
        <v>137</v>
      </c>
      <c r="C1702" s="137" t="s">
        <v>2397</v>
      </c>
      <c r="D1702" s="338">
        <v>5249</v>
      </c>
      <c r="E1702" s="137">
        <v>2413</v>
      </c>
      <c r="F1702" s="137">
        <v>513</v>
      </c>
    </row>
    <row r="1703" spans="1:6" x14ac:dyDescent="0.25">
      <c r="A1703" s="137" t="s">
        <v>17239</v>
      </c>
      <c r="B1703" s="137" t="s">
        <v>137</v>
      </c>
      <c r="C1703" s="137" t="s">
        <v>454</v>
      </c>
      <c r="D1703" s="338">
        <v>11818</v>
      </c>
      <c r="E1703" s="137">
        <v>4594</v>
      </c>
      <c r="F1703" s="137">
        <v>794</v>
      </c>
    </row>
    <row r="1704" spans="1:6" x14ac:dyDescent="0.25">
      <c r="A1704" s="137" t="s">
        <v>17385</v>
      </c>
      <c r="B1704" s="137" t="s">
        <v>137</v>
      </c>
      <c r="C1704" s="137" t="s">
        <v>4494</v>
      </c>
      <c r="D1704" s="338">
        <v>11002</v>
      </c>
      <c r="E1704" s="137">
        <v>3138</v>
      </c>
      <c r="F1704" s="137">
        <v>288</v>
      </c>
    </row>
    <row r="1705" spans="1:6" x14ac:dyDescent="0.25">
      <c r="A1705" s="137" t="s">
        <v>17038</v>
      </c>
      <c r="B1705" s="137" t="s">
        <v>137</v>
      </c>
      <c r="C1705" s="137" t="s">
        <v>452</v>
      </c>
      <c r="D1705" s="338">
        <v>13248</v>
      </c>
      <c r="E1705" s="137">
        <v>4488</v>
      </c>
      <c r="F1705" s="137">
        <v>688</v>
      </c>
    </row>
    <row r="1706" spans="1:6" x14ac:dyDescent="0.25">
      <c r="A1706" s="137" t="s">
        <v>17511</v>
      </c>
      <c r="B1706" s="137" t="s">
        <v>137</v>
      </c>
      <c r="C1706" s="137" t="s">
        <v>5253</v>
      </c>
      <c r="D1706" s="338">
        <v>12454</v>
      </c>
      <c r="E1706" s="137">
        <v>4272</v>
      </c>
      <c r="F1706" s="137">
        <v>472</v>
      </c>
    </row>
    <row r="1707" spans="1:6" x14ac:dyDescent="0.25">
      <c r="A1707" s="137" t="s">
        <v>18003</v>
      </c>
      <c r="B1707" s="137" t="s">
        <v>137</v>
      </c>
      <c r="C1707" s="137" t="s">
        <v>5101</v>
      </c>
      <c r="D1707" s="338">
        <v>2691</v>
      </c>
      <c r="E1707" s="137">
        <v>2485</v>
      </c>
      <c r="F1707" s="137">
        <v>585</v>
      </c>
    </row>
    <row r="1708" spans="1:6" x14ac:dyDescent="0.25">
      <c r="A1708" s="137" t="s">
        <v>17502</v>
      </c>
      <c r="B1708" s="137" t="s">
        <v>137</v>
      </c>
      <c r="C1708" s="137" t="s">
        <v>5570</v>
      </c>
      <c r="D1708" s="338">
        <v>7173</v>
      </c>
      <c r="E1708" s="137">
        <v>2903</v>
      </c>
      <c r="F1708" s="137">
        <v>53</v>
      </c>
    </row>
    <row r="1709" spans="1:6" x14ac:dyDescent="0.25">
      <c r="A1709" s="137" t="s">
        <v>17098</v>
      </c>
      <c r="B1709" s="137" t="s">
        <v>137</v>
      </c>
      <c r="C1709" s="137" t="s">
        <v>450</v>
      </c>
      <c r="D1709" s="338">
        <v>7522</v>
      </c>
      <c r="E1709" s="137">
        <v>4127</v>
      </c>
      <c r="F1709" s="137">
        <v>327</v>
      </c>
    </row>
    <row r="1710" spans="1:6" x14ac:dyDescent="0.25">
      <c r="A1710" s="137" t="s">
        <v>17303</v>
      </c>
      <c r="B1710" s="137" t="s">
        <v>137</v>
      </c>
      <c r="C1710" s="137" t="s">
        <v>4814</v>
      </c>
      <c r="D1710" s="338">
        <v>10440</v>
      </c>
      <c r="E1710" s="137">
        <v>4113</v>
      </c>
      <c r="F1710" s="137">
        <v>313</v>
      </c>
    </row>
    <row r="1711" spans="1:6" x14ac:dyDescent="0.25">
      <c r="A1711" s="137" t="s">
        <v>17264</v>
      </c>
      <c r="B1711" s="137" t="s">
        <v>137</v>
      </c>
      <c r="C1711" s="137" t="s">
        <v>448</v>
      </c>
      <c r="D1711" s="338">
        <v>14022</v>
      </c>
      <c r="E1711" s="137">
        <v>3537</v>
      </c>
      <c r="F1711" s="137">
        <v>687</v>
      </c>
    </row>
    <row r="1712" spans="1:6" x14ac:dyDescent="0.25">
      <c r="A1712" s="137" t="s">
        <v>17301</v>
      </c>
      <c r="B1712" s="137" t="s">
        <v>137</v>
      </c>
      <c r="C1712" s="137" t="s">
        <v>5317</v>
      </c>
      <c r="D1712" s="338">
        <v>10555</v>
      </c>
      <c r="E1712" s="137">
        <v>4368</v>
      </c>
      <c r="F1712" s="137">
        <v>568</v>
      </c>
    </row>
    <row r="1713" spans="1:6" x14ac:dyDescent="0.25">
      <c r="A1713" s="137" t="s">
        <v>17467</v>
      </c>
      <c r="B1713" s="137" t="s">
        <v>137</v>
      </c>
      <c r="C1713" s="137" t="s">
        <v>446</v>
      </c>
      <c r="D1713" s="338">
        <v>7513</v>
      </c>
      <c r="E1713" s="137">
        <v>3750</v>
      </c>
      <c r="F1713" s="137">
        <v>900</v>
      </c>
    </row>
    <row r="1714" spans="1:6" x14ac:dyDescent="0.25">
      <c r="A1714" s="137" t="s">
        <v>18069</v>
      </c>
      <c r="B1714" s="137" t="s">
        <v>137</v>
      </c>
      <c r="C1714" s="137" t="s">
        <v>3780</v>
      </c>
      <c r="D1714" s="338">
        <v>4678</v>
      </c>
      <c r="E1714" s="137">
        <v>2405</v>
      </c>
      <c r="F1714" s="137">
        <v>505</v>
      </c>
    </row>
    <row r="1715" spans="1:6" x14ac:dyDescent="0.25">
      <c r="A1715" s="137" t="s">
        <v>17288</v>
      </c>
      <c r="B1715" s="137" t="s">
        <v>137</v>
      </c>
      <c r="C1715" s="137" t="s">
        <v>4725</v>
      </c>
      <c r="D1715" s="338">
        <v>12595</v>
      </c>
      <c r="E1715" s="137">
        <v>2836</v>
      </c>
      <c r="F1715" s="137">
        <v>936</v>
      </c>
    </row>
    <row r="1716" spans="1:6" x14ac:dyDescent="0.25">
      <c r="A1716" s="137" t="s">
        <v>17039</v>
      </c>
      <c r="B1716" s="137" t="s">
        <v>137</v>
      </c>
      <c r="C1716" s="137" t="s">
        <v>3708</v>
      </c>
      <c r="D1716" s="338">
        <v>11497</v>
      </c>
      <c r="E1716" s="137">
        <v>3242</v>
      </c>
      <c r="F1716" s="137">
        <v>392</v>
      </c>
    </row>
    <row r="1717" spans="1:6" x14ac:dyDescent="0.25">
      <c r="A1717" s="137" t="s">
        <v>17375</v>
      </c>
      <c r="B1717" s="137" t="s">
        <v>137</v>
      </c>
      <c r="C1717" s="137" t="s">
        <v>4543</v>
      </c>
      <c r="D1717" s="338">
        <v>11593</v>
      </c>
      <c r="E1717" s="137">
        <v>3231</v>
      </c>
      <c r="F1717" s="137">
        <v>381</v>
      </c>
    </row>
    <row r="1718" spans="1:6" x14ac:dyDescent="0.25">
      <c r="A1718" s="137" t="s">
        <v>18051</v>
      </c>
      <c r="B1718" s="137" t="s">
        <v>137</v>
      </c>
      <c r="C1718" s="137" t="s">
        <v>4941</v>
      </c>
      <c r="D1718" s="338">
        <v>3884</v>
      </c>
      <c r="E1718" s="137">
        <v>3745</v>
      </c>
      <c r="F1718" s="137">
        <v>895</v>
      </c>
    </row>
    <row r="1719" spans="1:6" x14ac:dyDescent="0.25">
      <c r="A1719" s="137" t="s">
        <v>17550</v>
      </c>
      <c r="B1719" s="137" t="s">
        <v>137</v>
      </c>
      <c r="C1719" s="137" t="s">
        <v>5653</v>
      </c>
      <c r="D1719" s="338">
        <v>8246</v>
      </c>
      <c r="E1719" s="137">
        <v>3640</v>
      </c>
      <c r="F1719" s="137">
        <v>790</v>
      </c>
    </row>
    <row r="1720" spans="1:6" x14ac:dyDescent="0.25">
      <c r="A1720" s="137" t="s">
        <v>17040</v>
      </c>
      <c r="B1720" s="137" t="s">
        <v>137</v>
      </c>
      <c r="C1720" s="137" t="s">
        <v>10817</v>
      </c>
      <c r="D1720" s="338">
        <v>11598</v>
      </c>
      <c r="E1720" s="137">
        <v>4055</v>
      </c>
      <c r="F1720" s="137">
        <v>255</v>
      </c>
    </row>
    <row r="1721" spans="1:6" x14ac:dyDescent="0.25">
      <c r="A1721" s="137" t="s">
        <v>18066</v>
      </c>
      <c r="B1721" s="137" t="s">
        <v>137</v>
      </c>
      <c r="C1721" s="137" t="s">
        <v>443</v>
      </c>
      <c r="D1721" s="338">
        <v>5129</v>
      </c>
      <c r="E1721" s="137">
        <v>2967</v>
      </c>
      <c r="F1721" s="137">
        <v>117</v>
      </c>
    </row>
    <row r="1722" spans="1:6" x14ac:dyDescent="0.25">
      <c r="A1722" s="137" t="s">
        <v>18054</v>
      </c>
      <c r="B1722" s="137" t="s">
        <v>137</v>
      </c>
      <c r="C1722" s="137" t="s">
        <v>4945</v>
      </c>
      <c r="D1722" s="338">
        <v>3160</v>
      </c>
      <c r="E1722" s="137">
        <v>3995</v>
      </c>
      <c r="F1722" s="137">
        <v>195</v>
      </c>
    </row>
    <row r="1723" spans="1:6" x14ac:dyDescent="0.25">
      <c r="A1723" s="137" t="s">
        <v>17480</v>
      </c>
      <c r="B1723" s="137" t="s">
        <v>137</v>
      </c>
      <c r="C1723" s="137" t="s">
        <v>440</v>
      </c>
      <c r="D1723" s="338">
        <v>9277</v>
      </c>
      <c r="E1723" s="137">
        <v>3395</v>
      </c>
      <c r="F1723" s="137">
        <v>545</v>
      </c>
    </row>
    <row r="1724" spans="1:6" x14ac:dyDescent="0.25">
      <c r="A1724" s="137" t="s">
        <v>17842</v>
      </c>
      <c r="B1724" s="137" t="s">
        <v>137</v>
      </c>
      <c r="C1724" s="137" t="s">
        <v>5768</v>
      </c>
      <c r="D1724" s="338">
        <v>2063</v>
      </c>
      <c r="E1724" s="137">
        <v>3094</v>
      </c>
      <c r="F1724" s="137">
        <v>244</v>
      </c>
    </row>
    <row r="1725" spans="1:6" x14ac:dyDescent="0.25">
      <c r="A1725" s="137" t="s">
        <v>17041</v>
      </c>
      <c r="B1725" s="137" t="s">
        <v>137</v>
      </c>
      <c r="C1725" s="137" t="s">
        <v>3751</v>
      </c>
      <c r="D1725" s="338">
        <v>10325</v>
      </c>
      <c r="E1725" s="137">
        <v>3441</v>
      </c>
      <c r="F1725" s="137">
        <v>591</v>
      </c>
    </row>
    <row r="1726" spans="1:6" x14ac:dyDescent="0.25">
      <c r="A1726" s="137" t="s">
        <v>17760</v>
      </c>
      <c r="B1726" s="137" t="s">
        <v>137</v>
      </c>
      <c r="C1726" s="137" t="s">
        <v>4960</v>
      </c>
      <c r="D1726" s="137">
        <v>718</v>
      </c>
      <c r="E1726" s="137">
        <v>2899</v>
      </c>
      <c r="F1726" s="137">
        <v>49</v>
      </c>
    </row>
    <row r="1727" spans="1:6" x14ac:dyDescent="0.25">
      <c r="A1727" s="137" t="s">
        <v>17236</v>
      </c>
      <c r="B1727" s="137" t="s">
        <v>137</v>
      </c>
      <c r="C1727" s="137" t="s">
        <v>435</v>
      </c>
      <c r="D1727" s="338">
        <v>12541</v>
      </c>
      <c r="E1727" s="137">
        <v>3788</v>
      </c>
      <c r="F1727" s="137">
        <v>938</v>
      </c>
    </row>
    <row r="1728" spans="1:6" x14ac:dyDescent="0.25">
      <c r="A1728" s="137" t="s">
        <v>17140</v>
      </c>
      <c r="B1728" s="137" t="s">
        <v>137</v>
      </c>
      <c r="C1728" s="137" t="s">
        <v>3941</v>
      </c>
      <c r="D1728" s="338">
        <v>11915</v>
      </c>
      <c r="E1728" s="137">
        <v>4669</v>
      </c>
      <c r="F1728" s="137">
        <v>869</v>
      </c>
    </row>
    <row r="1729" spans="1:6" x14ac:dyDescent="0.25">
      <c r="A1729" s="137" t="s">
        <v>17298</v>
      </c>
      <c r="B1729" s="137" t="s">
        <v>137</v>
      </c>
      <c r="C1729" s="137" t="s">
        <v>4964</v>
      </c>
      <c r="D1729" s="338">
        <v>11633</v>
      </c>
      <c r="E1729" s="137">
        <v>3985</v>
      </c>
      <c r="F1729" s="137">
        <v>185</v>
      </c>
    </row>
    <row r="1730" spans="1:6" x14ac:dyDescent="0.25">
      <c r="A1730" s="137" t="s">
        <v>18096</v>
      </c>
      <c r="B1730" s="137" t="s">
        <v>137</v>
      </c>
      <c r="C1730" s="137" t="s">
        <v>1842</v>
      </c>
      <c r="D1730" s="338">
        <v>3535</v>
      </c>
      <c r="E1730" s="137">
        <v>2747</v>
      </c>
      <c r="F1730" s="137">
        <v>847</v>
      </c>
    </row>
    <row r="1731" spans="1:6" x14ac:dyDescent="0.25">
      <c r="A1731" s="137" t="s">
        <v>17244</v>
      </c>
      <c r="B1731" s="137" t="s">
        <v>137</v>
      </c>
      <c r="C1731" s="137" t="s">
        <v>5663</v>
      </c>
      <c r="D1731" s="338">
        <v>9884</v>
      </c>
      <c r="E1731" s="137">
        <v>4892</v>
      </c>
      <c r="F1731" s="137">
        <v>142</v>
      </c>
    </row>
    <row r="1732" spans="1:6" x14ac:dyDescent="0.25">
      <c r="A1732" s="137" t="s">
        <v>17368</v>
      </c>
      <c r="B1732" s="137" t="s">
        <v>137</v>
      </c>
      <c r="C1732" s="137" t="s">
        <v>3790</v>
      </c>
      <c r="D1732" s="338">
        <v>12025</v>
      </c>
      <c r="E1732" s="137">
        <v>3341</v>
      </c>
      <c r="F1732" s="137">
        <v>491</v>
      </c>
    </row>
    <row r="1733" spans="1:6" x14ac:dyDescent="0.25">
      <c r="A1733" s="137" t="s">
        <v>17294</v>
      </c>
      <c r="B1733" s="137" t="s">
        <v>137</v>
      </c>
      <c r="C1733" s="137" t="s">
        <v>5430</v>
      </c>
      <c r="D1733" s="338">
        <v>12092</v>
      </c>
      <c r="E1733" s="137">
        <v>3717</v>
      </c>
      <c r="F1733" s="137">
        <v>867</v>
      </c>
    </row>
    <row r="1734" spans="1:6" x14ac:dyDescent="0.25">
      <c r="A1734" s="137" t="s">
        <v>18093</v>
      </c>
      <c r="B1734" s="137" t="s">
        <v>137</v>
      </c>
      <c r="C1734" s="137" t="s">
        <v>4649</v>
      </c>
      <c r="D1734" s="137">
        <v>896</v>
      </c>
      <c r="E1734" s="137">
        <v>2822</v>
      </c>
      <c r="F1734" s="137">
        <v>922</v>
      </c>
    </row>
    <row r="1735" spans="1:6" x14ac:dyDescent="0.25">
      <c r="A1735" s="137" t="s">
        <v>17512</v>
      </c>
      <c r="B1735" s="137" t="s">
        <v>137</v>
      </c>
      <c r="C1735" s="137" t="s">
        <v>5002</v>
      </c>
      <c r="D1735" s="338">
        <v>11689</v>
      </c>
      <c r="E1735" s="137">
        <v>3737</v>
      </c>
      <c r="F1735" s="137">
        <v>887</v>
      </c>
    </row>
    <row r="1736" spans="1:6" x14ac:dyDescent="0.25">
      <c r="A1736" s="137" t="s">
        <v>18062</v>
      </c>
      <c r="B1736" s="137" t="s">
        <v>137</v>
      </c>
      <c r="C1736" s="137" t="s">
        <v>3557</v>
      </c>
      <c r="D1736" s="338">
        <v>7173</v>
      </c>
      <c r="E1736" s="137">
        <v>2365</v>
      </c>
      <c r="F1736" s="137">
        <v>465</v>
      </c>
    </row>
    <row r="1737" spans="1:6" x14ac:dyDescent="0.25">
      <c r="A1737" s="137" t="s">
        <v>17481</v>
      </c>
      <c r="B1737" s="137" t="s">
        <v>137</v>
      </c>
      <c r="C1737" s="137" t="s">
        <v>5526</v>
      </c>
      <c r="D1737" s="338">
        <v>9213</v>
      </c>
      <c r="E1737" s="137">
        <v>4011</v>
      </c>
      <c r="F1737" s="137">
        <v>211</v>
      </c>
    </row>
    <row r="1738" spans="1:6" x14ac:dyDescent="0.25">
      <c r="A1738" s="137" t="s">
        <v>17469</v>
      </c>
      <c r="B1738" s="137" t="s">
        <v>137</v>
      </c>
      <c r="C1738" s="137" t="s">
        <v>430</v>
      </c>
      <c r="D1738" s="338">
        <v>7372</v>
      </c>
      <c r="E1738" s="137">
        <v>3465</v>
      </c>
      <c r="F1738" s="137">
        <v>615</v>
      </c>
    </row>
    <row r="1739" spans="1:6" x14ac:dyDescent="0.25">
      <c r="A1739" s="137" t="s">
        <v>17535</v>
      </c>
      <c r="B1739" s="137" t="s">
        <v>137</v>
      </c>
      <c r="C1739" s="137" t="s">
        <v>5110</v>
      </c>
      <c r="D1739" s="338">
        <v>8765</v>
      </c>
      <c r="E1739" s="137">
        <v>3638</v>
      </c>
      <c r="F1739" s="137">
        <v>788</v>
      </c>
    </row>
    <row r="1740" spans="1:6" x14ac:dyDescent="0.25">
      <c r="A1740" s="137" t="s">
        <v>18053</v>
      </c>
      <c r="B1740" s="137" t="s">
        <v>137</v>
      </c>
      <c r="C1740" s="137" t="s">
        <v>426</v>
      </c>
      <c r="D1740" s="338">
        <v>3422</v>
      </c>
      <c r="E1740" s="137">
        <v>3780</v>
      </c>
      <c r="F1740" s="137">
        <v>930</v>
      </c>
    </row>
    <row r="1741" spans="1:6" x14ac:dyDescent="0.25">
      <c r="A1741" s="137" t="s">
        <v>17154</v>
      </c>
      <c r="B1741" s="137" t="s">
        <v>137</v>
      </c>
      <c r="C1741" s="137" t="s">
        <v>4551</v>
      </c>
      <c r="D1741" s="338">
        <v>9157</v>
      </c>
      <c r="E1741" s="137">
        <v>2928</v>
      </c>
      <c r="F1741" s="137">
        <v>78</v>
      </c>
    </row>
    <row r="1742" spans="1:6" x14ac:dyDescent="0.25">
      <c r="A1742" s="137" t="s">
        <v>17304</v>
      </c>
      <c r="B1742" s="137" t="s">
        <v>137</v>
      </c>
      <c r="C1742" s="137" t="s">
        <v>5395</v>
      </c>
      <c r="D1742" s="338">
        <v>10412</v>
      </c>
      <c r="E1742" s="137">
        <v>4062</v>
      </c>
      <c r="F1742" s="137">
        <v>262</v>
      </c>
    </row>
    <row r="1743" spans="1:6" x14ac:dyDescent="0.25">
      <c r="A1743" s="137" t="s">
        <v>17174</v>
      </c>
      <c r="B1743" s="137" t="s">
        <v>137</v>
      </c>
      <c r="C1743" s="137" t="s">
        <v>3759</v>
      </c>
      <c r="D1743" s="338">
        <v>11810</v>
      </c>
      <c r="E1743" s="137">
        <v>3561</v>
      </c>
      <c r="F1743" s="137">
        <v>711</v>
      </c>
    </row>
    <row r="1744" spans="1:6" x14ac:dyDescent="0.25">
      <c r="A1744" s="137" t="s">
        <v>17755</v>
      </c>
      <c r="B1744" s="137" t="s">
        <v>137</v>
      </c>
      <c r="C1744" s="137" t="s">
        <v>4993</v>
      </c>
      <c r="D1744" s="338">
        <v>1499</v>
      </c>
      <c r="E1744" s="137">
        <v>2549</v>
      </c>
      <c r="F1744" s="137">
        <v>649</v>
      </c>
    </row>
    <row r="1745" spans="1:6" x14ac:dyDescent="0.25">
      <c r="A1745" s="137" t="s">
        <v>17576</v>
      </c>
      <c r="B1745" s="137" t="s">
        <v>137</v>
      </c>
      <c r="C1745" s="137" t="s">
        <v>5356</v>
      </c>
      <c r="D1745" s="338">
        <v>7537</v>
      </c>
      <c r="E1745" s="137">
        <v>3165</v>
      </c>
      <c r="F1745" s="137">
        <v>315</v>
      </c>
    </row>
    <row r="1746" spans="1:6" x14ac:dyDescent="0.25">
      <c r="A1746" s="137" t="s">
        <v>17489</v>
      </c>
      <c r="B1746" s="137" t="s">
        <v>137</v>
      </c>
      <c r="C1746" s="137" t="s">
        <v>5507</v>
      </c>
      <c r="D1746" s="338">
        <v>7933</v>
      </c>
      <c r="E1746" s="137">
        <v>2910</v>
      </c>
      <c r="F1746" s="137">
        <v>60</v>
      </c>
    </row>
    <row r="1747" spans="1:6" x14ac:dyDescent="0.25">
      <c r="A1747" s="137" t="s">
        <v>18020</v>
      </c>
      <c r="B1747" s="137" t="s">
        <v>137</v>
      </c>
      <c r="C1747" s="137" t="s">
        <v>2565</v>
      </c>
      <c r="D1747" s="338">
        <v>6460</v>
      </c>
      <c r="E1747" s="137">
        <v>2259</v>
      </c>
      <c r="F1747" s="137">
        <v>359</v>
      </c>
    </row>
    <row r="1748" spans="1:6" x14ac:dyDescent="0.25">
      <c r="A1748" s="137" t="s">
        <v>17270</v>
      </c>
      <c r="B1748" s="137" t="s">
        <v>137</v>
      </c>
      <c r="C1748" s="137" t="s">
        <v>5159</v>
      </c>
      <c r="D1748" s="338">
        <v>13796</v>
      </c>
      <c r="E1748" s="137">
        <v>4671</v>
      </c>
      <c r="F1748" s="137">
        <v>871</v>
      </c>
    </row>
    <row r="1749" spans="1:6" x14ac:dyDescent="0.25">
      <c r="A1749" s="137" t="s">
        <v>17367</v>
      </c>
      <c r="B1749" s="137" t="s">
        <v>137</v>
      </c>
      <c r="C1749" s="137" t="s">
        <v>3539</v>
      </c>
      <c r="D1749" s="338">
        <v>12133</v>
      </c>
      <c r="E1749" s="137">
        <v>3459</v>
      </c>
      <c r="F1749" s="137">
        <v>609</v>
      </c>
    </row>
    <row r="1750" spans="1:6" x14ac:dyDescent="0.25">
      <c r="A1750" s="137" t="s">
        <v>17230</v>
      </c>
      <c r="B1750" s="137" t="s">
        <v>137</v>
      </c>
      <c r="C1750" s="137" t="s">
        <v>419</v>
      </c>
      <c r="D1750" s="338">
        <v>13438</v>
      </c>
      <c r="E1750" s="137">
        <v>5487</v>
      </c>
      <c r="F1750" s="137">
        <v>-1163</v>
      </c>
    </row>
    <row r="1751" spans="1:6" x14ac:dyDescent="0.25">
      <c r="A1751" s="137" t="s">
        <v>17503</v>
      </c>
      <c r="B1751" s="137" t="s">
        <v>137</v>
      </c>
      <c r="C1751" s="137" t="s">
        <v>5561</v>
      </c>
      <c r="D1751" s="338">
        <v>7071</v>
      </c>
      <c r="E1751" s="137">
        <v>3042</v>
      </c>
      <c r="F1751" s="137">
        <v>192</v>
      </c>
    </row>
    <row r="1752" spans="1:6" x14ac:dyDescent="0.25">
      <c r="A1752" s="137" t="s">
        <v>17584</v>
      </c>
      <c r="B1752" s="137" t="s">
        <v>137</v>
      </c>
      <c r="C1752" s="137" t="s">
        <v>5291</v>
      </c>
      <c r="D1752" s="338">
        <v>6953</v>
      </c>
      <c r="E1752" s="137">
        <v>2618</v>
      </c>
      <c r="F1752" s="137">
        <v>718</v>
      </c>
    </row>
    <row r="1753" spans="1:6" x14ac:dyDescent="0.25">
      <c r="A1753" s="137" t="s">
        <v>17119</v>
      </c>
      <c r="B1753" s="137" t="s">
        <v>137</v>
      </c>
      <c r="C1753" s="137" t="s">
        <v>2614</v>
      </c>
      <c r="D1753" s="338">
        <v>11351</v>
      </c>
      <c r="E1753" s="137">
        <v>4265</v>
      </c>
      <c r="F1753" s="137">
        <v>465</v>
      </c>
    </row>
    <row r="1754" spans="1:6" x14ac:dyDescent="0.25">
      <c r="A1754" s="137" t="s">
        <v>17309</v>
      </c>
      <c r="B1754" s="137" t="s">
        <v>137</v>
      </c>
      <c r="C1754" s="137" t="s">
        <v>5128</v>
      </c>
      <c r="D1754" s="338">
        <v>9612</v>
      </c>
      <c r="E1754" s="137">
        <v>3772</v>
      </c>
      <c r="F1754" s="137">
        <v>922</v>
      </c>
    </row>
    <row r="1755" spans="1:6" x14ac:dyDescent="0.25">
      <c r="A1755" s="137" t="s">
        <v>17042</v>
      </c>
      <c r="B1755" s="137" t="s">
        <v>137</v>
      </c>
      <c r="C1755" s="137" t="s">
        <v>4204</v>
      </c>
      <c r="D1755" s="338">
        <v>6894</v>
      </c>
      <c r="E1755" s="137">
        <v>4281</v>
      </c>
      <c r="F1755" s="137">
        <v>481</v>
      </c>
    </row>
    <row r="1756" spans="1:6" x14ac:dyDescent="0.25">
      <c r="A1756" s="137" t="s">
        <v>17569</v>
      </c>
      <c r="B1756" s="137" t="s">
        <v>137</v>
      </c>
      <c r="C1756" s="137" t="s">
        <v>5091</v>
      </c>
      <c r="D1756" s="338">
        <v>7781</v>
      </c>
      <c r="E1756" s="137">
        <v>2544</v>
      </c>
      <c r="F1756" s="137">
        <v>644</v>
      </c>
    </row>
    <row r="1757" spans="1:6" x14ac:dyDescent="0.25">
      <c r="A1757" s="137" t="s">
        <v>17867</v>
      </c>
      <c r="B1757" s="137" t="s">
        <v>137</v>
      </c>
      <c r="C1757" s="137" t="s">
        <v>5551</v>
      </c>
      <c r="D1757" s="338">
        <v>2408</v>
      </c>
      <c r="E1757" s="137">
        <v>2504</v>
      </c>
      <c r="F1757" s="137">
        <v>604</v>
      </c>
    </row>
    <row r="1758" spans="1:6" x14ac:dyDescent="0.25">
      <c r="A1758" s="137" t="s">
        <v>17358</v>
      </c>
      <c r="B1758" s="137" t="s">
        <v>137</v>
      </c>
      <c r="C1758" s="137" t="s">
        <v>4410</v>
      </c>
      <c r="D1758" s="338">
        <v>12501</v>
      </c>
      <c r="E1758" s="137">
        <v>3585</v>
      </c>
      <c r="F1758" s="137">
        <v>735</v>
      </c>
    </row>
    <row r="1759" spans="1:6" x14ac:dyDescent="0.25">
      <c r="A1759" s="137" t="s">
        <v>18043</v>
      </c>
      <c r="B1759" s="137" t="s">
        <v>137</v>
      </c>
      <c r="C1759" s="137" t="s">
        <v>408</v>
      </c>
      <c r="D1759" s="338">
        <v>1556</v>
      </c>
      <c r="E1759" s="137">
        <v>4172</v>
      </c>
      <c r="F1759" s="137">
        <v>372</v>
      </c>
    </row>
    <row r="1760" spans="1:6" x14ac:dyDescent="0.25">
      <c r="A1760" s="137" t="s">
        <v>17527</v>
      </c>
      <c r="B1760" s="137" t="s">
        <v>137</v>
      </c>
      <c r="C1760" s="137" t="s">
        <v>4975</v>
      </c>
      <c r="D1760" s="338">
        <v>9393</v>
      </c>
      <c r="E1760" s="137">
        <v>3248</v>
      </c>
      <c r="F1760" s="137">
        <v>398</v>
      </c>
    </row>
    <row r="1761" spans="1:6" x14ac:dyDescent="0.25">
      <c r="A1761" s="137" t="s">
        <v>17200</v>
      </c>
      <c r="B1761" s="137" t="s">
        <v>137</v>
      </c>
      <c r="C1761" s="137" t="s">
        <v>406</v>
      </c>
      <c r="D1761" s="338">
        <v>14361</v>
      </c>
      <c r="E1761" s="137">
        <v>4650</v>
      </c>
      <c r="F1761" s="137">
        <v>850</v>
      </c>
    </row>
    <row r="1762" spans="1:6" x14ac:dyDescent="0.25">
      <c r="A1762" s="137" t="s">
        <v>17561</v>
      </c>
      <c r="B1762" s="137" t="s">
        <v>137</v>
      </c>
      <c r="C1762" s="137" t="s">
        <v>4865</v>
      </c>
      <c r="D1762" s="338">
        <v>7966</v>
      </c>
      <c r="E1762" s="137">
        <v>2806</v>
      </c>
      <c r="F1762" s="137">
        <v>906</v>
      </c>
    </row>
    <row r="1763" spans="1:6" x14ac:dyDescent="0.25">
      <c r="A1763" s="137" t="s">
        <v>17836</v>
      </c>
      <c r="B1763" s="137" t="s">
        <v>137</v>
      </c>
      <c r="C1763" s="137" t="s">
        <v>404</v>
      </c>
      <c r="D1763" s="338">
        <v>2648</v>
      </c>
      <c r="E1763" s="137">
        <v>3314</v>
      </c>
      <c r="F1763" s="137">
        <v>464</v>
      </c>
    </row>
    <row r="1764" spans="1:6" x14ac:dyDescent="0.25">
      <c r="A1764" s="137" t="s">
        <v>17118</v>
      </c>
      <c r="B1764" s="137" t="s">
        <v>137</v>
      </c>
      <c r="C1764" s="137" t="s">
        <v>763</v>
      </c>
      <c r="D1764" s="338">
        <v>7313</v>
      </c>
      <c r="E1764" s="137">
        <v>3225</v>
      </c>
      <c r="F1764" s="137">
        <v>375</v>
      </c>
    </row>
    <row r="1765" spans="1:6" x14ac:dyDescent="0.25">
      <c r="A1765" s="137" t="s">
        <v>17812</v>
      </c>
      <c r="B1765" s="137" t="s">
        <v>137</v>
      </c>
      <c r="C1765" s="137" t="s">
        <v>3992</v>
      </c>
      <c r="D1765" s="137">
        <v>544</v>
      </c>
      <c r="E1765" s="137">
        <v>1457</v>
      </c>
      <c r="F1765" s="137">
        <v>507</v>
      </c>
    </row>
    <row r="1766" spans="1:6" x14ac:dyDescent="0.25">
      <c r="A1766" s="137" t="s">
        <v>17500</v>
      </c>
      <c r="B1766" s="137" t="s">
        <v>137</v>
      </c>
      <c r="C1766" s="137" t="s">
        <v>402</v>
      </c>
      <c r="D1766" s="338">
        <v>7499</v>
      </c>
      <c r="E1766" s="137">
        <v>3241</v>
      </c>
      <c r="F1766" s="137">
        <v>391</v>
      </c>
    </row>
    <row r="1767" spans="1:6" x14ac:dyDescent="0.25">
      <c r="A1767" s="137" t="s">
        <v>18041</v>
      </c>
      <c r="B1767" s="137" t="s">
        <v>137</v>
      </c>
      <c r="C1767" s="137" t="s">
        <v>399</v>
      </c>
      <c r="D1767" s="338">
        <v>4669</v>
      </c>
      <c r="E1767" s="137">
        <v>4097</v>
      </c>
      <c r="F1767" s="137">
        <v>297</v>
      </c>
    </row>
    <row r="1768" spans="1:6" x14ac:dyDescent="0.25">
      <c r="A1768" s="137" t="s">
        <v>17572</v>
      </c>
      <c r="B1768" s="137" t="s">
        <v>137</v>
      </c>
      <c r="C1768" s="137" t="s">
        <v>397</v>
      </c>
      <c r="D1768" s="338">
        <v>7744</v>
      </c>
      <c r="E1768" s="137">
        <v>2511</v>
      </c>
      <c r="F1768" s="137">
        <v>611</v>
      </c>
    </row>
    <row r="1769" spans="1:6" x14ac:dyDescent="0.25">
      <c r="A1769" s="137" t="s">
        <v>17542</v>
      </c>
      <c r="B1769" s="137" t="s">
        <v>137</v>
      </c>
      <c r="C1769" s="137" t="s">
        <v>5031</v>
      </c>
      <c r="D1769" s="338">
        <v>8446</v>
      </c>
      <c r="E1769" s="137">
        <v>3150</v>
      </c>
      <c r="F1769" s="137">
        <v>-650</v>
      </c>
    </row>
    <row r="1770" spans="1:6" x14ac:dyDescent="0.25">
      <c r="A1770" s="137" t="s">
        <v>17482</v>
      </c>
      <c r="B1770" s="137" t="s">
        <v>137</v>
      </c>
      <c r="C1770" s="137" t="s">
        <v>393</v>
      </c>
      <c r="D1770" s="338">
        <v>8614</v>
      </c>
      <c r="E1770" s="137">
        <v>3704</v>
      </c>
      <c r="F1770" s="137">
        <v>854</v>
      </c>
    </row>
    <row r="1771" spans="1:6" x14ac:dyDescent="0.25">
      <c r="A1771" s="137" t="s">
        <v>17892</v>
      </c>
      <c r="B1771" s="137" t="s">
        <v>137</v>
      </c>
      <c r="C1771" s="137" t="s">
        <v>5371</v>
      </c>
      <c r="D1771" s="338">
        <v>2776</v>
      </c>
      <c r="E1771" s="137">
        <v>2683</v>
      </c>
      <c r="F1771" s="137">
        <v>783</v>
      </c>
    </row>
    <row r="1772" spans="1:6" x14ac:dyDescent="0.25">
      <c r="A1772" s="137" t="s">
        <v>18088</v>
      </c>
      <c r="B1772" s="137" t="s">
        <v>137</v>
      </c>
      <c r="C1772" s="137" t="s">
        <v>3526</v>
      </c>
      <c r="D1772" s="338">
        <v>2158</v>
      </c>
      <c r="E1772" s="137">
        <v>2627</v>
      </c>
      <c r="F1772" s="137">
        <v>727</v>
      </c>
    </row>
    <row r="1773" spans="1:6" x14ac:dyDescent="0.25">
      <c r="A1773" s="137" t="s">
        <v>17840</v>
      </c>
      <c r="B1773" s="137" t="s">
        <v>137</v>
      </c>
      <c r="C1773" s="137" t="s">
        <v>5682</v>
      </c>
      <c r="D1773" s="338">
        <v>2329</v>
      </c>
      <c r="E1773" s="137">
        <v>2781</v>
      </c>
      <c r="F1773" s="137">
        <v>881</v>
      </c>
    </row>
    <row r="1774" spans="1:6" x14ac:dyDescent="0.25">
      <c r="A1774" s="137" t="s">
        <v>17132</v>
      </c>
      <c r="B1774" s="137" t="s">
        <v>137</v>
      </c>
      <c r="C1774" s="137" t="s">
        <v>388</v>
      </c>
      <c r="D1774" s="338">
        <v>10228</v>
      </c>
      <c r="E1774" s="137">
        <v>5223</v>
      </c>
      <c r="F1774" s="137">
        <v>473</v>
      </c>
    </row>
    <row r="1775" spans="1:6" x14ac:dyDescent="0.25">
      <c r="A1775" s="137" t="s">
        <v>18098</v>
      </c>
      <c r="B1775" s="137" t="s">
        <v>137</v>
      </c>
      <c r="C1775" s="137" t="s">
        <v>4052</v>
      </c>
      <c r="D1775" s="338">
        <v>2650</v>
      </c>
      <c r="E1775" s="137">
        <v>3117</v>
      </c>
      <c r="F1775" s="137">
        <v>267</v>
      </c>
    </row>
    <row r="1776" spans="1:6" x14ac:dyDescent="0.25">
      <c r="A1776" s="137" t="s">
        <v>18077</v>
      </c>
      <c r="B1776" s="137" t="s">
        <v>137</v>
      </c>
      <c r="C1776" s="137" t="s">
        <v>4291</v>
      </c>
      <c r="D1776" s="338">
        <v>4059</v>
      </c>
      <c r="E1776" s="137">
        <v>3356</v>
      </c>
      <c r="F1776" s="137">
        <v>506</v>
      </c>
    </row>
    <row r="1777" spans="1:6" x14ac:dyDescent="0.25">
      <c r="A1777" s="137" t="s">
        <v>17114</v>
      </c>
      <c r="B1777" s="137" t="s">
        <v>137</v>
      </c>
      <c r="C1777" s="137" t="s">
        <v>2531</v>
      </c>
      <c r="D1777" s="338">
        <v>10015</v>
      </c>
      <c r="E1777" s="137">
        <v>3381</v>
      </c>
      <c r="F1777" s="137">
        <v>531</v>
      </c>
    </row>
    <row r="1778" spans="1:6" x14ac:dyDescent="0.25">
      <c r="A1778" s="137" t="s">
        <v>18044</v>
      </c>
      <c r="B1778" s="137" t="s">
        <v>137</v>
      </c>
      <c r="C1778" s="137" t="s">
        <v>381</v>
      </c>
      <c r="D1778" s="338">
        <v>1054</v>
      </c>
      <c r="E1778" s="137">
        <v>4128</v>
      </c>
      <c r="F1778" s="137">
        <v>328</v>
      </c>
    </row>
    <row r="1779" spans="1:6" x14ac:dyDescent="0.25">
      <c r="A1779" s="137" t="s">
        <v>17214</v>
      </c>
      <c r="B1779" s="137" t="s">
        <v>137</v>
      </c>
      <c r="C1779" s="137" t="s">
        <v>378</v>
      </c>
      <c r="D1779" s="338">
        <v>14979</v>
      </c>
      <c r="E1779" s="137">
        <v>4015</v>
      </c>
      <c r="F1779" s="137">
        <v>215</v>
      </c>
    </row>
    <row r="1780" spans="1:6" x14ac:dyDescent="0.25">
      <c r="A1780" s="137" t="s">
        <v>17470</v>
      </c>
      <c r="B1780" s="137" t="s">
        <v>137</v>
      </c>
      <c r="C1780" s="137" t="s">
        <v>376</v>
      </c>
      <c r="D1780" s="338">
        <v>7367</v>
      </c>
      <c r="E1780" s="137">
        <v>3151</v>
      </c>
      <c r="F1780" s="137">
        <v>301</v>
      </c>
    </row>
    <row r="1781" spans="1:6" x14ac:dyDescent="0.25">
      <c r="A1781" s="137" t="s">
        <v>17495</v>
      </c>
      <c r="B1781" s="137" t="s">
        <v>137</v>
      </c>
      <c r="C1781" s="137" t="s">
        <v>5587</v>
      </c>
      <c r="D1781" s="338">
        <v>7685</v>
      </c>
      <c r="E1781" s="137">
        <v>3107</v>
      </c>
      <c r="F1781" s="137">
        <v>257</v>
      </c>
    </row>
    <row r="1782" spans="1:6" x14ac:dyDescent="0.25">
      <c r="A1782" s="137" t="s">
        <v>17222</v>
      </c>
      <c r="B1782" s="137" t="s">
        <v>137</v>
      </c>
      <c r="C1782" s="137" t="s">
        <v>5489</v>
      </c>
      <c r="D1782" s="338">
        <v>14079</v>
      </c>
      <c r="E1782" s="137">
        <v>3192</v>
      </c>
      <c r="F1782" s="137">
        <v>342</v>
      </c>
    </row>
    <row r="1783" spans="1:6" x14ac:dyDescent="0.25">
      <c r="A1783" s="137" t="s">
        <v>17246</v>
      </c>
      <c r="B1783" s="137" t="s">
        <v>137</v>
      </c>
      <c r="C1783" s="137" t="s">
        <v>368</v>
      </c>
      <c r="D1783" s="338">
        <v>15161</v>
      </c>
      <c r="E1783" s="137">
        <v>3888</v>
      </c>
      <c r="F1783" s="137">
        <v>88</v>
      </c>
    </row>
    <row r="1784" spans="1:6" x14ac:dyDescent="0.25">
      <c r="A1784" s="137" t="s">
        <v>17286</v>
      </c>
      <c r="B1784" s="137" t="s">
        <v>137</v>
      </c>
      <c r="C1784" s="137" t="s">
        <v>366</v>
      </c>
      <c r="D1784" s="338">
        <v>12823</v>
      </c>
      <c r="E1784" s="137">
        <v>3920</v>
      </c>
      <c r="F1784" s="137">
        <v>120</v>
      </c>
    </row>
    <row r="1785" spans="1:6" x14ac:dyDescent="0.25">
      <c r="A1785" s="137" t="s">
        <v>18068</v>
      </c>
      <c r="B1785" s="137" t="s">
        <v>137</v>
      </c>
      <c r="C1785" s="137" t="s">
        <v>4697</v>
      </c>
      <c r="D1785" s="338">
        <v>4749</v>
      </c>
      <c r="E1785" s="137">
        <v>2997</v>
      </c>
      <c r="F1785" s="137">
        <v>147</v>
      </c>
    </row>
    <row r="1786" spans="1:6" x14ac:dyDescent="0.25">
      <c r="A1786" s="137" t="s">
        <v>17043</v>
      </c>
      <c r="B1786" s="137" t="s">
        <v>137</v>
      </c>
      <c r="C1786" s="137" t="s">
        <v>364</v>
      </c>
      <c r="D1786" s="338">
        <v>13434</v>
      </c>
      <c r="E1786" s="137">
        <v>3881</v>
      </c>
      <c r="F1786" s="137">
        <v>81</v>
      </c>
    </row>
    <row r="1787" spans="1:6" x14ac:dyDescent="0.25">
      <c r="A1787" s="137" t="s">
        <v>17528</v>
      </c>
      <c r="B1787" s="137" t="s">
        <v>137</v>
      </c>
      <c r="C1787" s="137" t="s">
        <v>4924</v>
      </c>
      <c r="D1787" s="338">
        <v>9380</v>
      </c>
      <c r="E1787" s="137">
        <v>2571</v>
      </c>
      <c r="F1787" s="137">
        <v>671</v>
      </c>
    </row>
    <row r="1788" spans="1:6" x14ac:dyDescent="0.25">
      <c r="A1788" s="137" t="s">
        <v>18013</v>
      </c>
      <c r="B1788" s="137" t="s">
        <v>137</v>
      </c>
      <c r="C1788" s="137" t="s">
        <v>5023</v>
      </c>
      <c r="D1788" s="338">
        <v>1770</v>
      </c>
      <c r="E1788" s="137">
        <v>2124</v>
      </c>
      <c r="F1788" s="137">
        <v>224</v>
      </c>
    </row>
    <row r="1789" spans="1:6" x14ac:dyDescent="0.25">
      <c r="A1789" s="137" t="s">
        <v>18083</v>
      </c>
      <c r="B1789" s="137" t="s">
        <v>137</v>
      </c>
      <c r="C1789" s="137" t="s">
        <v>2806</v>
      </c>
      <c r="D1789" s="338">
        <v>2940</v>
      </c>
      <c r="E1789" s="137">
        <v>2972</v>
      </c>
      <c r="F1789" s="137">
        <v>122</v>
      </c>
    </row>
    <row r="1790" spans="1:6" x14ac:dyDescent="0.25">
      <c r="A1790" s="137" t="s">
        <v>18071</v>
      </c>
      <c r="B1790" s="137" t="s">
        <v>137</v>
      </c>
      <c r="C1790" s="137" t="s">
        <v>3739</v>
      </c>
      <c r="D1790" s="338">
        <v>4583</v>
      </c>
      <c r="E1790" s="137">
        <v>2425</v>
      </c>
      <c r="F1790" s="137">
        <v>525</v>
      </c>
    </row>
    <row r="1791" spans="1:6" x14ac:dyDescent="0.25">
      <c r="A1791" s="137" t="s">
        <v>17776</v>
      </c>
      <c r="B1791" s="137" t="s">
        <v>137</v>
      </c>
      <c r="C1791" s="137" t="s">
        <v>4363</v>
      </c>
      <c r="D1791" s="338">
        <v>3711</v>
      </c>
      <c r="E1791" s="137">
        <v>2893</v>
      </c>
      <c r="F1791" s="137">
        <v>43</v>
      </c>
    </row>
    <row r="1792" spans="1:6" x14ac:dyDescent="0.25">
      <c r="A1792" s="137" t="s">
        <v>17223</v>
      </c>
      <c r="B1792" s="137" t="s">
        <v>137</v>
      </c>
      <c r="C1792" s="137" t="s">
        <v>5608</v>
      </c>
      <c r="D1792" s="338">
        <v>13893</v>
      </c>
      <c r="E1792" s="137">
        <v>4223</v>
      </c>
      <c r="F1792" s="137">
        <v>423</v>
      </c>
    </row>
    <row r="1793" spans="1:6" x14ac:dyDescent="0.25">
      <c r="A1793" s="137" t="s">
        <v>17216</v>
      </c>
      <c r="B1793" s="137" t="s">
        <v>137</v>
      </c>
      <c r="C1793" s="137" t="s">
        <v>361</v>
      </c>
      <c r="D1793" s="338">
        <v>14647</v>
      </c>
      <c r="E1793" s="137">
        <v>3449</v>
      </c>
      <c r="F1793" s="137">
        <v>599</v>
      </c>
    </row>
    <row r="1794" spans="1:6" x14ac:dyDescent="0.25">
      <c r="A1794" s="137" t="s">
        <v>18057</v>
      </c>
      <c r="B1794" s="137" t="s">
        <v>137</v>
      </c>
      <c r="C1794" s="137" t="s">
        <v>5021</v>
      </c>
      <c r="D1794" s="338">
        <v>1730</v>
      </c>
      <c r="E1794" s="137">
        <v>3055</v>
      </c>
      <c r="F1794" s="137">
        <v>205</v>
      </c>
    </row>
    <row r="1795" spans="1:6" x14ac:dyDescent="0.25">
      <c r="A1795" s="137" t="s">
        <v>17843</v>
      </c>
      <c r="B1795" s="137" t="s">
        <v>137</v>
      </c>
      <c r="C1795" s="137" t="s">
        <v>5732</v>
      </c>
      <c r="D1795" s="338">
        <v>2036</v>
      </c>
      <c r="E1795" s="137">
        <v>3073</v>
      </c>
      <c r="F1795" s="137">
        <v>223</v>
      </c>
    </row>
    <row r="1796" spans="1:6" x14ac:dyDescent="0.25">
      <c r="A1796" s="137" t="s">
        <v>17044</v>
      </c>
      <c r="B1796" s="137" t="s">
        <v>137</v>
      </c>
      <c r="C1796" s="137" t="s">
        <v>359</v>
      </c>
      <c r="D1796" s="338">
        <v>6573</v>
      </c>
      <c r="E1796" s="137">
        <v>4308</v>
      </c>
      <c r="F1796" s="137">
        <v>508</v>
      </c>
    </row>
    <row r="1797" spans="1:6" x14ac:dyDescent="0.25">
      <c r="A1797" s="137" t="s">
        <v>18039</v>
      </c>
      <c r="B1797" s="137" t="s">
        <v>137</v>
      </c>
      <c r="C1797" s="137" t="s">
        <v>5485</v>
      </c>
      <c r="D1797" s="338">
        <v>5255</v>
      </c>
      <c r="E1797" s="137">
        <v>3687</v>
      </c>
      <c r="F1797" s="137">
        <v>837</v>
      </c>
    </row>
    <row r="1798" spans="1:6" x14ac:dyDescent="0.25">
      <c r="A1798" s="137" t="s">
        <v>18024</v>
      </c>
      <c r="B1798" s="137" t="s">
        <v>137</v>
      </c>
      <c r="C1798" s="137" t="s">
        <v>4642</v>
      </c>
      <c r="D1798" s="338">
        <v>5617</v>
      </c>
      <c r="E1798" s="137">
        <v>2853</v>
      </c>
      <c r="F1798" s="137">
        <v>3</v>
      </c>
    </row>
    <row r="1799" spans="1:6" x14ac:dyDescent="0.25">
      <c r="A1799" s="137" t="s">
        <v>17488</v>
      </c>
      <c r="B1799" s="137" t="s">
        <v>137</v>
      </c>
      <c r="C1799" s="137" t="s">
        <v>5658</v>
      </c>
      <c r="D1799" s="338">
        <v>8000</v>
      </c>
      <c r="E1799" s="137">
        <v>3227</v>
      </c>
      <c r="F1799" s="137">
        <v>377</v>
      </c>
    </row>
    <row r="1800" spans="1:6" x14ac:dyDescent="0.25">
      <c r="A1800" s="137" t="s">
        <v>17175</v>
      </c>
      <c r="B1800" s="137" t="s">
        <v>137</v>
      </c>
      <c r="C1800" s="137" t="s">
        <v>353</v>
      </c>
      <c r="D1800" s="338">
        <v>11230</v>
      </c>
      <c r="E1800" s="137">
        <v>5054</v>
      </c>
      <c r="F1800" s="137">
        <v>304</v>
      </c>
    </row>
    <row r="1801" spans="1:6" x14ac:dyDescent="0.25">
      <c r="A1801" s="137" t="s">
        <v>18018</v>
      </c>
      <c r="B1801" s="137" t="s">
        <v>137</v>
      </c>
      <c r="C1801" s="137" t="s">
        <v>3495</v>
      </c>
      <c r="D1801" s="338">
        <v>7176</v>
      </c>
      <c r="E1801" s="137">
        <v>2488</v>
      </c>
      <c r="F1801" s="137">
        <v>588</v>
      </c>
    </row>
    <row r="1802" spans="1:6" x14ac:dyDescent="0.25">
      <c r="A1802" s="137" t="s">
        <v>17578</v>
      </c>
      <c r="B1802" s="137" t="s">
        <v>137</v>
      </c>
      <c r="C1802" s="137" t="s">
        <v>5363</v>
      </c>
      <c r="D1802" s="338">
        <v>7498</v>
      </c>
      <c r="E1802" s="137">
        <v>2794</v>
      </c>
      <c r="F1802" s="137">
        <v>894</v>
      </c>
    </row>
    <row r="1803" spans="1:6" x14ac:dyDescent="0.25">
      <c r="A1803" s="137" t="s">
        <v>18059</v>
      </c>
      <c r="B1803" s="137" t="s">
        <v>137</v>
      </c>
      <c r="C1803" s="137" t="s">
        <v>4770</v>
      </c>
      <c r="D1803" s="137">
        <v>969</v>
      </c>
      <c r="E1803" s="137">
        <v>2828</v>
      </c>
      <c r="F1803" s="137">
        <v>928</v>
      </c>
    </row>
    <row r="1804" spans="1:6" x14ac:dyDescent="0.25">
      <c r="A1804" s="137" t="s">
        <v>17237</v>
      </c>
      <c r="B1804" s="137" t="s">
        <v>137</v>
      </c>
      <c r="C1804" s="137" t="s">
        <v>349</v>
      </c>
      <c r="D1804" s="338">
        <v>12360</v>
      </c>
      <c r="E1804" s="137">
        <v>4165</v>
      </c>
      <c r="F1804" s="137">
        <v>365</v>
      </c>
    </row>
    <row r="1805" spans="1:6" x14ac:dyDescent="0.25">
      <c r="A1805" s="137" t="s">
        <v>17199</v>
      </c>
      <c r="B1805" s="137" t="s">
        <v>137</v>
      </c>
      <c r="C1805" s="137" t="s">
        <v>347</v>
      </c>
      <c r="D1805" s="338">
        <v>14524</v>
      </c>
      <c r="E1805" s="137">
        <v>3657</v>
      </c>
      <c r="F1805" s="137">
        <v>807</v>
      </c>
    </row>
    <row r="1806" spans="1:6" x14ac:dyDescent="0.25">
      <c r="A1806" s="137" t="s">
        <v>17740</v>
      </c>
      <c r="B1806" s="137" t="s">
        <v>137</v>
      </c>
      <c r="C1806" s="137" t="s">
        <v>5616</v>
      </c>
      <c r="D1806" s="338">
        <v>1549</v>
      </c>
      <c r="E1806" s="137">
        <v>3721</v>
      </c>
      <c r="F1806" s="137">
        <v>871</v>
      </c>
    </row>
    <row r="1807" spans="1:6" x14ac:dyDescent="0.25">
      <c r="A1807" s="137" t="s">
        <v>18052</v>
      </c>
      <c r="B1807" s="137" t="s">
        <v>137</v>
      </c>
      <c r="C1807" s="137" t="s">
        <v>4738</v>
      </c>
      <c r="D1807" s="338">
        <v>3572</v>
      </c>
      <c r="E1807" s="137">
        <v>3792</v>
      </c>
      <c r="F1807" s="137">
        <v>942</v>
      </c>
    </row>
    <row r="1808" spans="1:6" x14ac:dyDescent="0.25">
      <c r="A1808" s="137" t="s">
        <v>17249</v>
      </c>
      <c r="B1808" s="137" t="s">
        <v>137</v>
      </c>
      <c r="C1808" s="137" t="s">
        <v>343</v>
      </c>
      <c r="D1808" s="338">
        <v>14942</v>
      </c>
      <c r="E1808" s="137">
        <v>4030</v>
      </c>
      <c r="F1808" s="137">
        <v>230</v>
      </c>
    </row>
    <row r="1809" spans="1:6" x14ac:dyDescent="0.25">
      <c r="A1809" s="137" t="s">
        <v>17857</v>
      </c>
      <c r="B1809" s="137" t="s">
        <v>137</v>
      </c>
      <c r="C1809" s="137" t="s">
        <v>5493</v>
      </c>
      <c r="D1809" s="338">
        <v>2916</v>
      </c>
      <c r="E1809" s="137">
        <v>2767</v>
      </c>
      <c r="F1809" s="137">
        <v>867</v>
      </c>
    </row>
    <row r="1810" spans="1:6" x14ac:dyDescent="0.25">
      <c r="A1810" s="137" t="s">
        <v>17302</v>
      </c>
      <c r="B1810" s="137" t="s">
        <v>137</v>
      </c>
      <c r="C1810" s="137" t="s">
        <v>5196</v>
      </c>
      <c r="D1810" s="338">
        <v>10518</v>
      </c>
      <c r="E1810" s="137">
        <v>4481</v>
      </c>
      <c r="F1810" s="137">
        <v>681</v>
      </c>
    </row>
    <row r="1811" spans="1:6" x14ac:dyDescent="0.25">
      <c r="A1811" s="137" t="s">
        <v>17183</v>
      </c>
      <c r="B1811" s="137" t="s">
        <v>137</v>
      </c>
      <c r="C1811" s="137" t="s">
        <v>4716</v>
      </c>
      <c r="D1811" s="338">
        <v>12514</v>
      </c>
      <c r="E1811" s="137">
        <v>4647</v>
      </c>
      <c r="F1811" s="137">
        <v>847</v>
      </c>
    </row>
    <row r="1812" spans="1:6" x14ac:dyDescent="0.25">
      <c r="A1812" s="137" t="s">
        <v>17203</v>
      </c>
      <c r="B1812" s="137" t="s">
        <v>137</v>
      </c>
      <c r="C1812" s="137" t="s">
        <v>339</v>
      </c>
      <c r="D1812" s="338">
        <v>13830</v>
      </c>
      <c r="E1812" s="137">
        <v>6085</v>
      </c>
      <c r="F1812" s="137">
        <v>-565</v>
      </c>
    </row>
    <row r="1813" spans="1:6" x14ac:dyDescent="0.25">
      <c r="A1813" s="137" t="s">
        <v>17830</v>
      </c>
      <c r="B1813" s="137" t="s">
        <v>137</v>
      </c>
      <c r="C1813" s="137" t="s">
        <v>5765</v>
      </c>
      <c r="D1813" s="338">
        <v>3898</v>
      </c>
      <c r="E1813" s="137">
        <v>3443</v>
      </c>
      <c r="F1813" s="137">
        <v>593</v>
      </c>
    </row>
    <row r="1814" spans="1:6" x14ac:dyDescent="0.25">
      <c r="A1814" s="137" t="s">
        <v>17833</v>
      </c>
      <c r="B1814" s="137" t="s">
        <v>137</v>
      </c>
      <c r="C1814" s="137" t="s">
        <v>5758</v>
      </c>
      <c r="D1814" s="338">
        <v>2934</v>
      </c>
      <c r="E1814" s="137">
        <v>3547</v>
      </c>
      <c r="F1814" s="137">
        <v>697</v>
      </c>
    </row>
    <row r="1815" spans="1:6" x14ac:dyDescent="0.25">
      <c r="A1815" s="137" t="s">
        <v>17142</v>
      </c>
      <c r="B1815" s="137" t="s">
        <v>137</v>
      </c>
      <c r="C1815" s="137" t="s">
        <v>2529</v>
      </c>
      <c r="D1815" s="338">
        <v>12147</v>
      </c>
      <c r="E1815" s="137">
        <v>4197</v>
      </c>
      <c r="F1815" s="137">
        <v>397</v>
      </c>
    </row>
    <row r="1816" spans="1:6" x14ac:dyDescent="0.25">
      <c r="A1816" s="137" t="s">
        <v>17191</v>
      </c>
      <c r="B1816" s="137" t="s">
        <v>137</v>
      </c>
      <c r="C1816" s="137" t="s">
        <v>5068</v>
      </c>
      <c r="D1816" s="338">
        <v>8251</v>
      </c>
      <c r="E1816" s="137">
        <v>3499</v>
      </c>
      <c r="F1816" s="137">
        <v>649</v>
      </c>
    </row>
    <row r="1817" spans="1:6" x14ac:dyDescent="0.25">
      <c r="A1817" s="137" t="s">
        <v>17045</v>
      </c>
      <c r="B1817" s="137" t="s">
        <v>137</v>
      </c>
      <c r="C1817" s="137" t="s">
        <v>4324</v>
      </c>
      <c r="D1817" s="338">
        <v>9027</v>
      </c>
      <c r="E1817" s="137">
        <v>4050</v>
      </c>
      <c r="F1817" s="137">
        <v>250</v>
      </c>
    </row>
    <row r="1818" spans="1:6" x14ac:dyDescent="0.25">
      <c r="A1818" s="137" t="s">
        <v>17228</v>
      </c>
      <c r="B1818" s="137" t="s">
        <v>137</v>
      </c>
      <c r="C1818" s="137" t="s">
        <v>337</v>
      </c>
      <c r="D1818" s="338">
        <v>13460</v>
      </c>
      <c r="E1818" s="137">
        <v>4380</v>
      </c>
      <c r="F1818" s="137">
        <v>580</v>
      </c>
    </row>
    <row r="1819" spans="1:6" x14ac:dyDescent="0.25">
      <c r="A1819" s="137" t="s">
        <v>17308</v>
      </c>
      <c r="B1819" s="137" t="s">
        <v>137</v>
      </c>
      <c r="C1819" s="137" t="s">
        <v>5221</v>
      </c>
      <c r="D1819" s="338">
        <v>9727</v>
      </c>
      <c r="E1819" s="137">
        <v>3874</v>
      </c>
      <c r="F1819" s="137">
        <v>74</v>
      </c>
    </row>
    <row r="1820" spans="1:6" x14ac:dyDescent="0.25">
      <c r="A1820" s="137" t="s">
        <v>17296</v>
      </c>
      <c r="B1820" s="137" t="s">
        <v>137</v>
      </c>
      <c r="C1820" s="137" t="s">
        <v>5260</v>
      </c>
      <c r="D1820" s="338">
        <v>12010</v>
      </c>
      <c r="E1820" s="137">
        <v>3734</v>
      </c>
      <c r="F1820" s="137">
        <v>884</v>
      </c>
    </row>
    <row r="1821" spans="1:6" x14ac:dyDescent="0.25">
      <c r="A1821" s="137" t="s">
        <v>17522</v>
      </c>
      <c r="B1821" s="137" t="s">
        <v>137</v>
      </c>
      <c r="C1821" s="137" t="s">
        <v>4987</v>
      </c>
      <c r="D1821" s="338">
        <v>9692</v>
      </c>
      <c r="E1821" s="137">
        <v>3402</v>
      </c>
      <c r="F1821" s="137">
        <v>552</v>
      </c>
    </row>
    <row r="1822" spans="1:6" x14ac:dyDescent="0.25">
      <c r="A1822" s="137" t="s">
        <v>17238</v>
      </c>
      <c r="B1822" s="137" t="s">
        <v>137</v>
      </c>
      <c r="C1822" s="137" t="s">
        <v>5636</v>
      </c>
      <c r="D1822" s="338">
        <v>12232</v>
      </c>
      <c r="E1822" s="137">
        <v>4095</v>
      </c>
      <c r="F1822" s="137">
        <v>295</v>
      </c>
    </row>
    <row r="1823" spans="1:6" x14ac:dyDescent="0.25">
      <c r="A1823" s="137" t="s">
        <v>17167</v>
      </c>
      <c r="B1823" s="137" t="s">
        <v>137</v>
      </c>
      <c r="C1823" s="137" t="s">
        <v>5163</v>
      </c>
      <c r="D1823" s="338">
        <v>5879</v>
      </c>
      <c r="E1823" s="137">
        <v>4630</v>
      </c>
      <c r="F1823" s="137">
        <v>830</v>
      </c>
    </row>
    <row r="1824" spans="1:6" x14ac:dyDescent="0.25">
      <c r="A1824" s="137" t="s">
        <v>17834</v>
      </c>
      <c r="B1824" s="137" t="s">
        <v>137</v>
      </c>
      <c r="C1824" s="137" t="s">
        <v>5715</v>
      </c>
      <c r="D1824" s="338">
        <v>2828</v>
      </c>
      <c r="E1824" s="137">
        <v>3423</v>
      </c>
      <c r="F1824" s="137">
        <v>573</v>
      </c>
    </row>
    <row r="1825" spans="1:6" x14ac:dyDescent="0.25">
      <c r="A1825" s="137" t="s">
        <v>17477</v>
      </c>
      <c r="B1825" s="137" t="s">
        <v>137</v>
      </c>
      <c r="C1825" s="137" t="s">
        <v>5697</v>
      </c>
      <c r="D1825" s="338">
        <v>6780</v>
      </c>
      <c r="E1825" s="137">
        <v>4021</v>
      </c>
      <c r="F1825" s="137">
        <v>-1679</v>
      </c>
    </row>
    <row r="1826" spans="1:6" x14ac:dyDescent="0.25">
      <c r="A1826" s="137" t="s">
        <v>17176</v>
      </c>
      <c r="B1826" s="137" t="s">
        <v>137</v>
      </c>
      <c r="C1826" s="137" t="s">
        <v>326</v>
      </c>
      <c r="D1826" s="338">
        <v>12279</v>
      </c>
      <c r="E1826" s="137">
        <v>4689</v>
      </c>
      <c r="F1826" s="137">
        <v>889</v>
      </c>
    </row>
    <row r="1827" spans="1:6" x14ac:dyDescent="0.25">
      <c r="A1827" s="137" t="s">
        <v>17496</v>
      </c>
      <c r="B1827" s="137" t="s">
        <v>137</v>
      </c>
      <c r="C1827" s="137" t="s">
        <v>324</v>
      </c>
      <c r="D1827" s="338">
        <v>7655</v>
      </c>
      <c r="E1827" s="137">
        <v>3284</v>
      </c>
      <c r="F1827" s="137">
        <v>434</v>
      </c>
    </row>
    <row r="1828" spans="1:6" x14ac:dyDescent="0.25">
      <c r="A1828" s="137" t="s">
        <v>17208</v>
      </c>
      <c r="B1828" s="137" t="s">
        <v>137</v>
      </c>
      <c r="C1828" s="137" t="s">
        <v>319</v>
      </c>
      <c r="D1828" s="338">
        <v>12548</v>
      </c>
      <c r="E1828" s="137">
        <v>4854</v>
      </c>
      <c r="F1828" s="137">
        <v>104</v>
      </c>
    </row>
    <row r="1829" spans="1:6" x14ac:dyDescent="0.25">
      <c r="A1829" s="137" t="s">
        <v>17369</v>
      </c>
      <c r="B1829" s="137" t="s">
        <v>137</v>
      </c>
      <c r="C1829" s="137" t="s">
        <v>3939</v>
      </c>
      <c r="D1829" s="338">
        <v>12017</v>
      </c>
      <c r="E1829" s="137">
        <v>2922</v>
      </c>
      <c r="F1829" s="137">
        <v>72</v>
      </c>
    </row>
    <row r="1830" spans="1:6" x14ac:dyDescent="0.25">
      <c r="A1830" s="137" t="s">
        <v>17904</v>
      </c>
      <c r="B1830" s="137" t="s">
        <v>137</v>
      </c>
      <c r="C1830" s="137" t="s">
        <v>5161</v>
      </c>
      <c r="D1830" s="338">
        <v>1890</v>
      </c>
      <c r="E1830" s="137">
        <v>2200</v>
      </c>
      <c r="F1830" s="137">
        <v>300</v>
      </c>
    </row>
    <row r="1831" spans="1:6" x14ac:dyDescent="0.25">
      <c r="A1831" s="137" t="s">
        <v>17504</v>
      </c>
      <c r="B1831" s="137" t="s">
        <v>137</v>
      </c>
      <c r="C1831" s="137" t="s">
        <v>5557</v>
      </c>
      <c r="D1831" s="338">
        <v>7000</v>
      </c>
      <c r="E1831" s="137">
        <v>2989</v>
      </c>
      <c r="F1831" s="137">
        <v>139</v>
      </c>
    </row>
    <row r="1832" spans="1:6" x14ac:dyDescent="0.25">
      <c r="A1832" s="137" t="s">
        <v>17150</v>
      </c>
      <c r="B1832" s="137" t="s">
        <v>137</v>
      </c>
      <c r="C1832" s="137" t="s">
        <v>1600</v>
      </c>
      <c r="D1832" s="338">
        <v>11840</v>
      </c>
      <c r="E1832" s="137">
        <v>3413</v>
      </c>
      <c r="F1832" s="137">
        <v>563</v>
      </c>
    </row>
    <row r="1833" spans="1:6" x14ac:dyDescent="0.25">
      <c r="A1833" s="137" t="s">
        <v>17574</v>
      </c>
      <c r="B1833" s="137" t="s">
        <v>137</v>
      </c>
      <c r="C1833" s="137" t="s">
        <v>4898</v>
      </c>
      <c r="D1833" s="338">
        <v>7559</v>
      </c>
      <c r="E1833" s="137">
        <v>2373</v>
      </c>
      <c r="F1833" s="137">
        <v>473</v>
      </c>
    </row>
    <row r="1834" spans="1:6" x14ac:dyDescent="0.25">
      <c r="A1834" s="137" t="s">
        <v>17046</v>
      </c>
      <c r="B1834" s="137" t="s">
        <v>137</v>
      </c>
      <c r="C1834" s="137" t="s">
        <v>615</v>
      </c>
      <c r="D1834" s="338">
        <v>7587</v>
      </c>
      <c r="E1834" s="137">
        <v>2154</v>
      </c>
      <c r="F1834" s="137">
        <v>254</v>
      </c>
    </row>
    <row r="1835" spans="1:6" x14ac:dyDescent="0.25">
      <c r="A1835" s="137" t="s">
        <v>17377</v>
      </c>
      <c r="B1835" s="137" t="s">
        <v>137</v>
      </c>
      <c r="C1835" s="137" t="s">
        <v>3883</v>
      </c>
      <c r="D1835" s="338">
        <v>11503</v>
      </c>
      <c r="E1835" s="137">
        <v>2928</v>
      </c>
      <c r="F1835" s="137">
        <v>78</v>
      </c>
    </row>
    <row r="1836" spans="1:6" x14ac:dyDescent="0.25">
      <c r="A1836" s="137" t="s">
        <v>18091</v>
      </c>
      <c r="B1836" s="137" t="s">
        <v>137</v>
      </c>
      <c r="C1836" s="137" t="s">
        <v>4578</v>
      </c>
      <c r="D1836" s="338">
        <v>1420</v>
      </c>
      <c r="E1836" s="137">
        <v>2851</v>
      </c>
      <c r="F1836" s="137">
        <v>1</v>
      </c>
    </row>
    <row r="1837" spans="1:6" x14ac:dyDescent="0.25">
      <c r="A1837" s="137" t="s">
        <v>17047</v>
      </c>
      <c r="B1837" s="137" t="s">
        <v>137</v>
      </c>
      <c r="C1837" s="137" t="s">
        <v>853</v>
      </c>
      <c r="D1837" s="338">
        <v>6883</v>
      </c>
      <c r="E1837" s="137">
        <v>2558</v>
      </c>
      <c r="F1837" s="137">
        <v>658</v>
      </c>
    </row>
    <row r="1838" spans="1:6" x14ac:dyDescent="0.25">
      <c r="A1838" s="137" t="s">
        <v>17307</v>
      </c>
      <c r="B1838" s="137" t="s">
        <v>137</v>
      </c>
      <c r="C1838" s="137" t="s">
        <v>316</v>
      </c>
      <c r="D1838" s="338">
        <v>9919</v>
      </c>
      <c r="E1838" s="137">
        <v>4195</v>
      </c>
      <c r="F1838" s="137">
        <v>395</v>
      </c>
    </row>
    <row r="1839" spans="1:6" x14ac:dyDescent="0.25">
      <c r="A1839" s="137" t="s">
        <v>17048</v>
      </c>
      <c r="B1839" s="137" t="s">
        <v>137</v>
      </c>
      <c r="C1839" s="137" t="s">
        <v>2445</v>
      </c>
      <c r="D1839" s="338">
        <v>6075</v>
      </c>
      <c r="E1839" s="137">
        <v>2796</v>
      </c>
      <c r="F1839" s="137">
        <v>896</v>
      </c>
    </row>
    <row r="1840" spans="1:6" x14ac:dyDescent="0.25">
      <c r="A1840" s="137" t="s">
        <v>17300</v>
      </c>
      <c r="B1840" s="137" t="s">
        <v>137</v>
      </c>
      <c r="C1840" s="137" t="s">
        <v>4779</v>
      </c>
      <c r="D1840" s="338">
        <v>10776</v>
      </c>
      <c r="E1840" s="137">
        <v>3687</v>
      </c>
      <c r="F1840" s="137">
        <v>837</v>
      </c>
    </row>
    <row r="1841" spans="1:6" x14ac:dyDescent="0.25">
      <c r="A1841" s="137" t="s">
        <v>17837</v>
      </c>
      <c r="B1841" s="137" t="s">
        <v>137</v>
      </c>
      <c r="C1841" s="137" t="s">
        <v>314</v>
      </c>
      <c r="D1841" s="338">
        <v>2466</v>
      </c>
      <c r="E1841" s="137">
        <v>2947</v>
      </c>
      <c r="F1841" s="137">
        <v>97</v>
      </c>
    </row>
    <row r="1842" spans="1:6" x14ac:dyDescent="0.25">
      <c r="A1842" s="137" t="s">
        <v>18089</v>
      </c>
      <c r="B1842" s="137" t="s">
        <v>137</v>
      </c>
      <c r="C1842" s="137" t="s">
        <v>3066</v>
      </c>
      <c r="D1842" s="338">
        <v>1474</v>
      </c>
      <c r="E1842" s="137">
        <v>2420</v>
      </c>
      <c r="F1842" s="137">
        <v>520</v>
      </c>
    </row>
    <row r="1843" spans="1:6" x14ac:dyDescent="0.25">
      <c r="A1843" s="137" t="s">
        <v>18014</v>
      </c>
      <c r="B1843" s="137" t="s">
        <v>137</v>
      </c>
      <c r="C1843" s="137" t="s">
        <v>312</v>
      </c>
      <c r="D1843" s="338">
        <v>6115</v>
      </c>
      <c r="E1843" s="137">
        <v>3749</v>
      </c>
      <c r="F1843" s="137">
        <v>899</v>
      </c>
    </row>
    <row r="1844" spans="1:6" x14ac:dyDescent="0.25">
      <c r="A1844" s="137" t="s">
        <v>17590</v>
      </c>
      <c r="B1844" s="137" t="s">
        <v>137</v>
      </c>
      <c r="C1844" s="137" t="s">
        <v>5354</v>
      </c>
      <c r="D1844" s="338">
        <v>6527</v>
      </c>
      <c r="E1844" s="137">
        <v>3113</v>
      </c>
      <c r="F1844" s="137">
        <v>263</v>
      </c>
    </row>
    <row r="1845" spans="1:6" x14ac:dyDescent="0.25">
      <c r="A1845" s="137" t="s">
        <v>17463</v>
      </c>
      <c r="B1845" s="137" t="s">
        <v>137</v>
      </c>
      <c r="C1845" s="137" t="s">
        <v>309</v>
      </c>
      <c r="D1845" s="338">
        <v>8203</v>
      </c>
      <c r="E1845" s="137">
        <v>3824</v>
      </c>
      <c r="F1845" s="137">
        <v>24</v>
      </c>
    </row>
    <row r="1846" spans="1:6" x14ac:dyDescent="0.25">
      <c r="A1846" s="137" t="s">
        <v>17757</v>
      </c>
      <c r="B1846" s="137" t="s">
        <v>137</v>
      </c>
      <c r="C1846" s="137" t="s">
        <v>4863</v>
      </c>
      <c r="D1846" s="338">
        <v>1282</v>
      </c>
      <c r="E1846" s="137">
        <v>2708</v>
      </c>
      <c r="F1846" s="137">
        <v>808</v>
      </c>
    </row>
    <row r="1847" spans="1:6" x14ac:dyDescent="0.25">
      <c r="A1847" s="137" t="s">
        <v>17049</v>
      </c>
      <c r="B1847" s="137" t="s">
        <v>137</v>
      </c>
      <c r="C1847" s="137" t="s">
        <v>4104</v>
      </c>
      <c r="D1847" s="338">
        <v>6811</v>
      </c>
      <c r="E1847" s="137">
        <v>3229</v>
      </c>
      <c r="F1847" s="137">
        <v>379</v>
      </c>
    </row>
    <row r="1848" spans="1:6" x14ac:dyDescent="0.25">
      <c r="A1848" s="137" t="s">
        <v>17845</v>
      </c>
      <c r="B1848" s="137" t="s">
        <v>137</v>
      </c>
      <c r="C1848" s="137" t="s">
        <v>5680</v>
      </c>
      <c r="D1848" s="338">
        <v>1160</v>
      </c>
      <c r="E1848" s="137">
        <v>2596</v>
      </c>
      <c r="F1848" s="137">
        <v>696</v>
      </c>
    </row>
    <row r="1849" spans="1:6" x14ac:dyDescent="0.25">
      <c r="A1849" s="137" t="s">
        <v>17050</v>
      </c>
      <c r="B1849" s="137" t="s">
        <v>137</v>
      </c>
      <c r="C1849" s="137" t="s">
        <v>3148</v>
      </c>
      <c r="D1849" s="338">
        <v>6457</v>
      </c>
      <c r="E1849" s="137">
        <v>3987</v>
      </c>
      <c r="F1849" s="137">
        <v>-763</v>
      </c>
    </row>
    <row r="1850" spans="1:6" x14ac:dyDescent="0.25">
      <c r="A1850" s="137" t="s">
        <v>17595</v>
      </c>
      <c r="B1850" s="137" t="s">
        <v>137</v>
      </c>
      <c r="C1850" s="137" t="s">
        <v>5064</v>
      </c>
      <c r="D1850" s="338">
        <v>5718</v>
      </c>
      <c r="E1850" s="137">
        <v>2821</v>
      </c>
      <c r="F1850" s="137">
        <v>921</v>
      </c>
    </row>
    <row r="1851" spans="1:6" x14ac:dyDescent="0.25">
      <c r="A1851" s="137" t="s">
        <v>17251</v>
      </c>
      <c r="B1851" s="137" t="s">
        <v>137</v>
      </c>
      <c r="C1851" s="137" t="s">
        <v>5386</v>
      </c>
      <c r="D1851" s="338">
        <v>14903</v>
      </c>
      <c r="E1851" s="137">
        <v>3083</v>
      </c>
      <c r="F1851" s="137">
        <v>233</v>
      </c>
    </row>
    <row r="1852" spans="1:6" x14ac:dyDescent="0.25">
      <c r="A1852" s="137" t="s">
        <v>18050</v>
      </c>
      <c r="B1852" s="137" t="s">
        <v>137</v>
      </c>
      <c r="C1852" s="137" t="s">
        <v>5352</v>
      </c>
      <c r="D1852" s="338">
        <v>4455</v>
      </c>
      <c r="E1852" s="137">
        <v>3853</v>
      </c>
      <c r="F1852" s="137">
        <v>53</v>
      </c>
    </row>
    <row r="1853" spans="1:6" x14ac:dyDescent="0.25">
      <c r="A1853" s="137" t="s">
        <v>17805</v>
      </c>
      <c r="B1853" s="137" t="s">
        <v>137</v>
      </c>
      <c r="C1853" s="137" t="s">
        <v>3891</v>
      </c>
      <c r="D1853" s="338">
        <v>1104</v>
      </c>
      <c r="E1853" s="137">
        <v>2229</v>
      </c>
      <c r="F1853" s="137">
        <v>329</v>
      </c>
    </row>
    <row r="1854" spans="1:6" x14ac:dyDescent="0.25">
      <c r="A1854" s="137" t="s">
        <v>17466</v>
      </c>
      <c r="B1854" s="137" t="s">
        <v>137</v>
      </c>
      <c r="C1854" s="137" t="s">
        <v>306</v>
      </c>
      <c r="D1854" s="338">
        <v>7792</v>
      </c>
      <c r="E1854" s="137">
        <v>3821</v>
      </c>
      <c r="F1854" s="137">
        <v>21</v>
      </c>
    </row>
    <row r="1855" spans="1:6" x14ac:dyDescent="0.25">
      <c r="A1855" s="137" t="s">
        <v>18017</v>
      </c>
      <c r="B1855" s="137" t="s">
        <v>137</v>
      </c>
      <c r="C1855" s="137" t="s">
        <v>3901</v>
      </c>
      <c r="D1855" s="338">
        <v>7659</v>
      </c>
      <c r="E1855" s="137">
        <v>2590</v>
      </c>
      <c r="F1855" s="137">
        <v>690</v>
      </c>
    </row>
    <row r="1856" spans="1:6" x14ac:dyDescent="0.25">
      <c r="A1856" s="137" t="s">
        <v>17225</v>
      </c>
      <c r="B1856" s="137" t="s">
        <v>137</v>
      </c>
      <c r="C1856" s="137" t="s">
        <v>5661</v>
      </c>
      <c r="D1856" s="338">
        <v>13736</v>
      </c>
      <c r="E1856" s="137">
        <v>4089</v>
      </c>
      <c r="F1856" s="137">
        <v>289</v>
      </c>
    </row>
    <row r="1857" spans="1:6" x14ac:dyDescent="0.25">
      <c r="A1857" s="137" t="s">
        <v>17051</v>
      </c>
      <c r="B1857" s="137" t="s">
        <v>137</v>
      </c>
      <c r="C1857" s="137" t="s">
        <v>973</v>
      </c>
      <c r="D1857" s="338">
        <v>8062</v>
      </c>
      <c r="E1857" s="137">
        <v>2156</v>
      </c>
      <c r="F1857" s="137">
        <v>256</v>
      </c>
    </row>
    <row r="1858" spans="1:6" x14ac:dyDescent="0.25">
      <c r="A1858" s="137" t="s">
        <v>17252</v>
      </c>
      <c r="B1858" s="137" t="s">
        <v>137</v>
      </c>
      <c r="C1858" s="137" t="s">
        <v>304</v>
      </c>
      <c r="D1858" s="338">
        <v>14753</v>
      </c>
      <c r="E1858" s="137">
        <v>3321</v>
      </c>
      <c r="F1858" s="137">
        <v>471</v>
      </c>
    </row>
    <row r="1859" spans="1:6" x14ac:dyDescent="0.25">
      <c r="A1859" s="137" t="s">
        <v>17116</v>
      </c>
      <c r="B1859" s="137" t="s">
        <v>137</v>
      </c>
      <c r="C1859" s="137" t="s">
        <v>3868</v>
      </c>
      <c r="D1859" s="338">
        <v>11657</v>
      </c>
      <c r="E1859" s="137">
        <v>3529</v>
      </c>
      <c r="F1859" s="137">
        <v>679</v>
      </c>
    </row>
    <row r="1860" spans="1:6" x14ac:dyDescent="0.25">
      <c r="A1860" s="137" t="s">
        <v>17737</v>
      </c>
      <c r="B1860" s="137" t="s">
        <v>137</v>
      </c>
      <c r="C1860" s="137" t="s">
        <v>5480</v>
      </c>
      <c r="D1860" s="338">
        <v>3252</v>
      </c>
      <c r="E1860" s="137">
        <v>4002</v>
      </c>
      <c r="F1860" s="137">
        <v>202</v>
      </c>
    </row>
    <row r="1861" spans="1:6" x14ac:dyDescent="0.25">
      <c r="A1861" s="137" t="s">
        <v>17545</v>
      </c>
      <c r="B1861" s="137" t="s">
        <v>137</v>
      </c>
      <c r="C1861" s="137" t="s">
        <v>4900</v>
      </c>
      <c r="D1861" s="338">
        <v>8388</v>
      </c>
      <c r="E1861" s="137">
        <v>2938</v>
      </c>
      <c r="F1861" s="137">
        <v>88</v>
      </c>
    </row>
    <row r="1862" spans="1:6" x14ac:dyDescent="0.25">
      <c r="A1862" s="137" t="s">
        <v>18029</v>
      </c>
      <c r="B1862" s="137" t="s">
        <v>137</v>
      </c>
      <c r="C1862" s="137" t="s">
        <v>841</v>
      </c>
      <c r="D1862" s="338">
        <v>7495</v>
      </c>
      <c r="E1862" s="137">
        <v>1936</v>
      </c>
      <c r="F1862" s="137">
        <v>36</v>
      </c>
    </row>
    <row r="1863" spans="1:6" x14ac:dyDescent="0.25">
      <c r="A1863" s="137" t="s">
        <v>17052</v>
      </c>
      <c r="B1863" s="137" t="s">
        <v>137</v>
      </c>
      <c r="C1863" s="137" t="s">
        <v>2079</v>
      </c>
      <c r="D1863" s="338">
        <v>7642</v>
      </c>
      <c r="E1863" s="137">
        <v>2474</v>
      </c>
      <c r="F1863" s="137">
        <v>574</v>
      </c>
    </row>
    <row r="1864" spans="1:6" x14ac:dyDescent="0.25">
      <c r="A1864" s="137" t="s">
        <v>18038</v>
      </c>
      <c r="B1864" s="137" t="s">
        <v>137</v>
      </c>
      <c r="C1864" s="137" t="s">
        <v>5611</v>
      </c>
      <c r="D1864" s="338">
        <v>5581</v>
      </c>
      <c r="E1864" s="137">
        <v>4034</v>
      </c>
      <c r="F1864" s="137">
        <v>-716</v>
      </c>
    </row>
    <row r="1865" spans="1:6" x14ac:dyDescent="0.25">
      <c r="A1865" s="137" t="s">
        <v>17372</v>
      </c>
      <c r="B1865" s="137" t="s">
        <v>137</v>
      </c>
      <c r="C1865" s="137" t="s">
        <v>4414</v>
      </c>
      <c r="D1865" s="338">
        <v>11878</v>
      </c>
      <c r="E1865" s="137">
        <v>3085</v>
      </c>
      <c r="F1865" s="137">
        <v>235</v>
      </c>
    </row>
    <row r="1866" spans="1:6" x14ac:dyDescent="0.25">
      <c r="A1866" s="137" t="s">
        <v>17505</v>
      </c>
      <c r="B1866" s="137" t="s">
        <v>137</v>
      </c>
      <c r="C1866" s="137" t="s">
        <v>5530</v>
      </c>
      <c r="D1866" s="338">
        <v>6934</v>
      </c>
      <c r="E1866" s="137">
        <v>2978</v>
      </c>
      <c r="F1866" s="137">
        <v>128</v>
      </c>
    </row>
    <row r="1867" spans="1:6" x14ac:dyDescent="0.25">
      <c r="A1867" s="137" t="s">
        <v>17227</v>
      </c>
      <c r="B1867" s="137" t="s">
        <v>137</v>
      </c>
      <c r="C1867" s="137" t="s">
        <v>5625</v>
      </c>
      <c r="D1867" s="338">
        <v>13464</v>
      </c>
      <c r="E1867" s="137">
        <v>4412</v>
      </c>
      <c r="F1867" s="137">
        <v>612</v>
      </c>
    </row>
    <row r="1868" spans="1:6" x14ac:dyDescent="0.25">
      <c r="A1868" s="137" t="s">
        <v>17253</v>
      </c>
      <c r="B1868" s="137" t="s">
        <v>137</v>
      </c>
      <c r="C1868" s="137" t="s">
        <v>300</v>
      </c>
      <c r="D1868" s="338">
        <v>14726</v>
      </c>
      <c r="E1868" s="137">
        <v>3447</v>
      </c>
      <c r="F1868" s="137">
        <v>597</v>
      </c>
    </row>
    <row r="1869" spans="1:6" x14ac:dyDescent="0.25">
      <c r="A1869" s="137" t="s">
        <v>17562</v>
      </c>
      <c r="B1869" s="137" t="s">
        <v>137</v>
      </c>
      <c r="C1869" s="137" t="s">
        <v>5285</v>
      </c>
      <c r="D1869" s="338">
        <v>7953</v>
      </c>
      <c r="E1869" s="137">
        <v>2809</v>
      </c>
      <c r="F1869" s="137">
        <v>909</v>
      </c>
    </row>
    <row r="1870" spans="1:6" x14ac:dyDescent="0.25">
      <c r="A1870" s="137" t="s">
        <v>17586</v>
      </c>
      <c r="B1870" s="137" t="s">
        <v>137</v>
      </c>
      <c r="C1870" s="137" t="s">
        <v>4789</v>
      </c>
      <c r="D1870" s="338">
        <v>6898</v>
      </c>
      <c r="E1870" s="137">
        <v>2249</v>
      </c>
      <c r="F1870" s="137">
        <v>349</v>
      </c>
    </row>
    <row r="1871" spans="1:6" x14ac:dyDescent="0.25">
      <c r="A1871" s="137" t="s">
        <v>17751</v>
      </c>
      <c r="B1871" s="137" t="s">
        <v>137</v>
      </c>
      <c r="C1871" s="137" t="s">
        <v>5121</v>
      </c>
      <c r="D1871" s="338">
        <v>1992</v>
      </c>
      <c r="E1871" s="137">
        <v>3926</v>
      </c>
      <c r="F1871" s="137">
        <v>126</v>
      </c>
    </row>
    <row r="1872" spans="1:6" x14ac:dyDescent="0.25">
      <c r="A1872" s="137" t="s">
        <v>17053</v>
      </c>
      <c r="B1872" s="137" t="s">
        <v>137</v>
      </c>
      <c r="C1872" s="137" t="s">
        <v>5082</v>
      </c>
      <c r="D1872" s="338">
        <v>14612</v>
      </c>
      <c r="E1872" s="137">
        <v>2071</v>
      </c>
      <c r="F1872" s="137">
        <v>171</v>
      </c>
    </row>
    <row r="1873" spans="1:6" x14ac:dyDescent="0.25">
      <c r="A1873" s="137" t="s">
        <v>17497</v>
      </c>
      <c r="B1873" s="137" t="s">
        <v>137</v>
      </c>
      <c r="C1873" s="137" t="s">
        <v>295</v>
      </c>
      <c r="D1873" s="338">
        <v>7650</v>
      </c>
      <c r="E1873" s="137">
        <v>2767</v>
      </c>
      <c r="F1873" s="137">
        <v>867</v>
      </c>
    </row>
    <row r="1874" spans="1:6" x14ac:dyDescent="0.25">
      <c r="A1874" s="137" t="s">
        <v>17515</v>
      </c>
      <c r="B1874" s="137" t="s">
        <v>137</v>
      </c>
      <c r="C1874" s="137" t="s">
        <v>4962</v>
      </c>
      <c r="D1874" s="338">
        <v>11156</v>
      </c>
      <c r="E1874" s="137">
        <v>3802</v>
      </c>
      <c r="F1874" s="137">
        <v>2</v>
      </c>
    </row>
    <row r="1875" spans="1:6" x14ac:dyDescent="0.25">
      <c r="A1875" s="137" t="s">
        <v>18055</v>
      </c>
      <c r="B1875" s="137" t="s">
        <v>137</v>
      </c>
      <c r="C1875" s="137" t="s">
        <v>5225</v>
      </c>
      <c r="D1875" s="338">
        <v>2451</v>
      </c>
      <c r="E1875" s="137">
        <v>3833</v>
      </c>
      <c r="F1875" s="137">
        <v>33</v>
      </c>
    </row>
    <row r="1876" spans="1:6" x14ac:dyDescent="0.25">
      <c r="A1876" s="137" t="s">
        <v>17493</v>
      </c>
      <c r="B1876" s="137" t="s">
        <v>137</v>
      </c>
      <c r="C1876" s="137" t="s">
        <v>288</v>
      </c>
      <c r="D1876" s="338">
        <v>7853</v>
      </c>
      <c r="E1876" s="137">
        <v>3010</v>
      </c>
      <c r="F1876" s="137">
        <v>160</v>
      </c>
    </row>
    <row r="1877" spans="1:6" x14ac:dyDescent="0.25">
      <c r="A1877" s="137" t="s">
        <v>17741</v>
      </c>
      <c r="B1877" s="137" t="s">
        <v>137</v>
      </c>
      <c r="C1877" s="137" t="s">
        <v>5465</v>
      </c>
      <c r="D1877" s="338">
        <v>1160</v>
      </c>
      <c r="E1877" s="137">
        <v>3447</v>
      </c>
      <c r="F1877" s="137">
        <v>597</v>
      </c>
    </row>
    <row r="1878" spans="1:6" x14ac:dyDescent="0.25">
      <c r="A1878" s="137" t="s">
        <v>17054</v>
      </c>
      <c r="B1878" s="137" t="s">
        <v>137</v>
      </c>
      <c r="C1878" s="137" t="s">
        <v>3463</v>
      </c>
      <c r="D1878" s="338">
        <v>10043</v>
      </c>
      <c r="E1878" s="137">
        <v>3040</v>
      </c>
      <c r="F1878" s="137">
        <v>190</v>
      </c>
    </row>
    <row r="1879" spans="1:6" x14ac:dyDescent="0.25">
      <c r="A1879" s="137" t="s">
        <v>17360</v>
      </c>
      <c r="B1879" s="137" t="s">
        <v>137</v>
      </c>
      <c r="C1879" s="137" t="s">
        <v>3856</v>
      </c>
      <c r="D1879" s="338">
        <v>12429</v>
      </c>
      <c r="E1879" s="137">
        <v>2963</v>
      </c>
      <c r="F1879" s="137">
        <v>113</v>
      </c>
    </row>
    <row r="1880" spans="1:6" x14ac:dyDescent="0.25">
      <c r="A1880" s="137" t="s">
        <v>17483</v>
      </c>
      <c r="B1880" s="137" t="s">
        <v>137</v>
      </c>
      <c r="C1880" s="137" t="s">
        <v>282</v>
      </c>
      <c r="D1880" s="338">
        <v>8612</v>
      </c>
      <c r="E1880" s="137">
        <v>3412</v>
      </c>
      <c r="F1880" s="137">
        <v>562</v>
      </c>
    </row>
    <row r="1881" spans="1:6" x14ac:dyDescent="0.25">
      <c r="A1881" s="137" t="s">
        <v>17525</v>
      </c>
      <c r="B1881" s="137" t="s">
        <v>137</v>
      </c>
      <c r="C1881" s="137" t="s">
        <v>5384</v>
      </c>
      <c r="D1881" s="338">
        <v>9475</v>
      </c>
      <c r="E1881" s="137">
        <v>2914</v>
      </c>
      <c r="F1881" s="137">
        <v>64</v>
      </c>
    </row>
    <row r="1882" spans="1:6" x14ac:dyDescent="0.25">
      <c r="A1882" s="137" t="s">
        <v>17281</v>
      </c>
      <c r="B1882" s="137" t="s">
        <v>137</v>
      </c>
      <c r="C1882" s="137" t="s">
        <v>5149</v>
      </c>
      <c r="D1882" s="338">
        <v>13396</v>
      </c>
      <c r="E1882" s="137">
        <v>3787</v>
      </c>
      <c r="F1882" s="137">
        <v>937</v>
      </c>
    </row>
    <row r="1883" spans="1:6" x14ac:dyDescent="0.25">
      <c r="A1883" s="137" t="s">
        <v>17260</v>
      </c>
      <c r="B1883" s="137" t="s">
        <v>137</v>
      </c>
      <c r="C1883" s="137" t="s">
        <v>5194</v>
      </c>
      <c r="D1883" s="338">
        <v>14326</v>
      </c>
      <c r="E1883" s="137">
        <v>2890</v>
      </c>
      <c r="F1883" s="137">
        <v>40</v>
      </c>
    </row>
    <row r="1884" spans="1:6" x14ac:dyDescent="0.25">
      <c r="A1884" s="137" t="s">
        <v>17219</v>
      </c>
      <c r="B1884" s="137" t="s">
        <v>137</v>
      </c>
      <c r="C1884" s="137" t="s">
        <v>279</v>
      </c>
      <c r="D1884" s="338">
        <v>14423</v>
      </c>
      <c r="E1884" s="137">
        <v>3414</v>
      </c>
      <c r="F1884" s="137">
        <v>564</v>
      </c>
    </row>
    <row r="1885" spans="1:6" x14ac:dyDescent="0.25">
      <c r="A1885" s="137" t="s">
        <v>17290</v>
      </c>
      <c r="B1885" s="137" t="s">
        <v>137</v>
      </c>
      <c r="C1885" s="137" t="s">
        <v>5008</v>
      </c>
      <c r="D1885" s="338">
        <v>12493</v>
      </c>
      <c r="E1885" s="137">
        <v>2961</v>
      </c>
      <c r="F1885" s="137">
        <v>111</v>
      </c>
    </row>
    <row r="1886" spans="1:6" x14ac:dyDescent="0.25">
      <c r="A1886" s="137" t="s">
        <v>17055</v>
      </c>
      <c r="B1886" s="137" t="s">
        <v>137</v>
      </c>
      <c r="C1886" s="137" t="s">
        <v>273</v>
      </c>
      <c r="D1886" s="338">
        <v>11889</v>
      </c>
      <c r="E1886" s="137">
        <v>3326</v>
      </c>
      <c r="F1886" s="137">
        <v>476</v>
      </c>
    </row>
    <row r="1887" spans="1:6" x14ac:dyDescent="0.25">
      <c r="A1887" s="137" t="s">
        <v>17206</v>
      </c>
      <c r="B1887" s="137" t="s">
        <v>137</v>
      </c>
      <c r="C1887" s="137" t="s">
        <v>270</v>
      </c>
      <c r="D1887" s="338">
        <v>13115</v>
      </c>
      <c r="E1887" s="137">
        <v>4735</v>
      </c>
      <c r="F1887" s="137">
        <v>935</v>
      </c>
    </row>
    <row r="1888" spans="1:6" x14ac:dyDescent="0.25">
      <c r="A1888" s="137" t="s">
        <v>17847</v>
      </c>
      <c r="B1888" s="137" t="s">
        <v>137</v>
      </c>
      <c r="C1888" s="137" t="s">
        <v>485</v>
      </c>
      <c r="D1888" s="338">
        <v>8837</v>
      </c>
      <c r="E1888" s="137">
        <v>2817</v>
      </c>
      <c r="F1888" s="137">
        <v>917</v>
      </c>
    </row>
    <row r="1889" spans="1:6" x14ac:dyDescent="0.25">
      <c r="A1889" s="137" t="s">
        <v>17056</v>
      </c>
      <c r="B1889" s="137" t="s">
        <v>137</v>
      </c>
      <c r="C1889" s="137" t="s">
        <v>1333</v>
      </c>
      <c r="D1889" s="338">
        <v>8536</v>
      </c>
      <c r="E1889" s="137">
        <v>1986</v>
      </c>
      <c r="F1889" s="137">
        <v>86</v>
      </c>
    </row>
    <row r="1890" spans="1:6" x14ac:dyDescent="0.25">
      <c r="A1890" s="137" t="s">
        <v>17235</v>
      </c>
      <c r="B1890" s="137" t="s">
        <v>137</v>
      </c>
      <c r="C1890" s="137" t="s">
        <v>268</v>
      </c>
      <c r="D1890" s="338">
        <v>12638</v>
      </c>
      <c r="E1890" s="137">
        <v>4276</v>
      </c>
      <c r="F1890" s="137">
        <v>476</v>
      </c>
    </row>
    <row r="1891" spans="1:6" x14ac:dyDescent="0.25">
      <c r="A1891" s="137" t="s">
        <v>17197</v>
      </c>
      <c r="B1891" s="137" t="s">
        <v>137</v>
      </c>
      <c r="C1891" s="137" t="s">
        <v>266</v>
      </c>
      <c r="D1891" s="338">
        <v>11998</v>
      </c>
      <c r="E1891" s="137">
        <v>4468</v>
      </c>
      <c r="F1891" s="137">
        <v>668</v>
      </c>
    </row>
    <row r="1892" spans="1:6" x14ac:dyDescent="0.25">
      <c r="A1892" s="137" t="s">
        <v>17131</v>
      </c>
      <c r="B1892" s="137" t="s">
        <v>137</v>
      </c>
      <c r="C1892" s="137" t="s">
        <v>5471</v>
      </c>
      <c r="D1892" s="338">
        <v>10573</v>
      </c>
      <c r="E1892" s="137">
        <v>4741</v>
      </c>
      <c r="F1892" s="137">
        <v>941</v>
      </c>
    </row>
    <row r="1893" spans="1:6" x14ac:dyDescent="0.25">
      <c r="A1893" s="137" t="s">
        <v>17215</v>
      </c>
      <c r="B1893" s="137" t="s">
        <v>137</v>
      </c>
      <c r="C1893" s="137" t="s">
        <v>263</v>
      </c>
      <c r="D1893" s="338">
        <v>14909</v>
      </c>
      <c r="E1893" s="137">
        <v>3830</v>
      </c>
      <c r="F1893" s="137">
        <v>30</v>
      </c>
    </row>
    <row r="1894" spans="1:6" x14ac:dyDescent="0.25">
      <c r="A1894" s="137" t="s">
        <v>17841</v>
      </c>
      <c r="B1894" s="137" t="s">
        <v>137</v>
      </c>
      <c r="C1894" s="137" t="s">
        <v>261</v>
      </c>
      <c r="D1894" s="338">
        <v>2319</v>
      </c>
      <c r="E1894" s="137">
        <v>2844</v>
      </c>
      <c r="F1894" s="137">
        <v>944</v>
      </c>
    </row>
    <row r="1895" spans="1:6" x14ac:dyDescent="0.25">
      <c r="A1895" s="137" t="s">
        <v>17835</v>
      </c>
      <c r="B1895" s="137" t="s">
        <v>137</v>
      </c>
      <c r="C1895" s="137" t="s">
        <v>5741</v>
      </c>
      <c r="D1895" s="338">
        <v>2651</v>
      </c>
      <c r="E1895" s="137">
        <v>3517</v>
      </c>
      <c r="F1895" s="137">
        <v>667</v>
      </c>
    </row>
    <row r="1896" spans="1:6" x14ac:dyDescent="0.25">
      <c r="A1896" s="137" t="s">
        <v>17579</v>
      </c>
      <c r="B1896" s="137" t="s">
        <v>137</v>
      </c>
      <c r="C1896" s="137" t="s">
        <v>5333</v>
      </c>
      <c r="D1896" s="338">
        <v>7335</v>
      </c>
      <c r="E1896" s="137">
        <v>2629</v>
      </c>
      <c r="F1896" s="137">
        <v>729</v>
      </c>
    </row>
    <row r="1897" spans="1:6" x14ac:dyDescent="0.25">
      <c r="A1897" s="137" t="s">
        <v>17205</v>
      </c>
      <c r="B1897" s="137" t="s">
        <v>137</v>
      </c>
      <c r="C1897" s="137" t="s">
        <v>259</v>
      </c>
      <c r="D1897" s="338">
        <v>13485</v>
      </c>
      <c r="E1897" s="137">
        <v>5031</v>
      </c>
      <c r="F1897" s="137">
        <v>281</v>
      </c>
    </row>
    <row r="1898" spans="1:6" x14ac:dyDescent="0.25">
      <c r="A1898" s="137" t="s">
        <v>17297</v>
      </c>
      <c r="B1898" s="137" t="s">
        <v>137</v>
      </c>
      <c r="C1898" s="137" t="s">
        <v>4935</v>
      </c>
      <c r="D1898" s="338">
        <v>11786</v>
      </c>
      <c r="E1898" s="137">
        <v>4032</v>
      </c>
      <c r="F1898" s="137">
        <v>232</v>
      </c>
    </row>
    <row r="1899" spans="1:6" x14ac:dyDescent="0.25">
      <c r="A1899" s="137" t="s">
        <v>18026</v>
      </c>
      <c r="B1899" s="137" t="s">
        <v>137</v>
      </c>
      <c r="C1899" s="137" t="s">
        <v>4213</v>
      </c>
      <c r="D1899" s="338">
        <v>5292</v>
      </c>
      <c r="E1899" s="137">
        <v>2694</v>
      </c>
      <c r="F1899" s="137">
        <v>794</v>
      </c>
    </row>
    <row r="1900" spans="1:6" x14ac:dyDescent="0.25">
      <c r="A1900" s="137" t="s">
        <v>17299</v>
      </c>
      <c r="B1900" s="137" t="s">
        <v>137</v>
      </c>
      <c r="C1900" s="137" t="s">
        <v>5283</v>
      </c>
      <c r="D1900" s="338">
        <v>11562</v>
      </c>
      <c r="E1900" s="137">
        <v>4363</v>
      </c>
      <c r="F1900" s="137">
        <v>563</v>
      </c>
    </row>
    <row r="1901" spans="1:6" x14ac:dyDescent="0.25">
      <c r="A1901" s="137" t="s">
        <v>17276</v>
      </c>
      <c r="B1901" s="137" t="s">
        <v>137</v>
      </c>
      <c r="C1901" s="137" t="s">
        <v>5043</v>
      </c>
      <c r="D1901" s="338">
        <v>13690</v>
      </c>
      <c r="E1901" s="137">
        <v>3677</v>
      </c>
      <c r="F1901" s="137">
        <v>827</v>
      </c>
    </row>
    <row r="1902" spans="1:6" x14ac:dyDescent="0.25">
      <c r="A1902" s="137" t="s">
        <v>17057</v>
      </c>
      <c r="B1902" s="137" t="s">
        <v>137</v>
      </c>
      <c r="C1902" s="137" t="s">
        <v>1169</v>
      </c>
      <c r="D1902" s="338">
        <v>7617</v>
      </c>
      <c r="E1902" s="137">
        <v>2294</v>
      </c>
      <c r="F1902" s="137">
        <v>394</v>
      </c>
    </row>
    <row r="1903" spans="1:6" x14ac:dyDescent="0.25">
      <c r="A1903" s="137" t="s">
        <v>18094</v>
      </c>
      <c r="B1903" s="137" t="s">
        <v>137</v>
      </c>
      <c r="C1903" s="137" t="s">
        <v>256</v>
      </c>
      <c r="D1903" s="338">
        <v>6473</v>
      </c>
      <c r="E1903" s="137">
        <v>1904</v>
      </c>
      <c r="F1903" s="137">
        <v>4</v>
      </c>
    </row>
    <row r="1904" spans="1:6" x14ac:dyDescent="0.25">
      <c r="A1904" s="137" t="s">
        <v>18073</v>
      </c>
      <c r="B1904" s="137" t="s">
        <v>137</v>
      </c>
      <c r="C1904" s="137" t="s">
        <v>3964</v>
      </c>
      <c r="D1904" s="338">
        <v>4356</v>
      </c>
      <c r="E1904" s="137">
        <v>2739</v>
      </c>
      <c r="F1904" s="137">
        <v>839</v>
      </c>
    </row>
    <row r="1905" spans="1:7" x14ac:dyDescent="0.25">
      <c r="A1905" s="137" t="s">
        <v>17283</v>
      </c>
      <c r="B1905" s="137" t="s">
        <v>137</v>
      </c>
      <c r="C1905" s="137" t="s">
        <v>254</v>
      </c>
      <c r="D1905" s="338">
        <v>13152</v>
      </c>
      <c r="E1905" s="137">
        <v>5295</v>
      </c>
      <c r="F1905" s="137">
        <v>545</v>
      </c>
    </row>
    <row r="1906" spans="1:7" x14ac:dyDescent="0.25">
      <c r="A1906" s="137" t="s">
        <v>17211</v>
      </c>
      <c r="B1906" s="137" t="s">
        <v>137</v>
      </c>
      <c r="C1906" s="137" t="s">
        <v>252</v>
      </c>
      <c r="D1906" s="338">
        <v>9540</v>
      </c>
      <c r="E1906" s="137">
        <v>3765</v>
      </c>
      <c r="F1906" s="137">
        <v>915</v>
      </c>
    </row>
    <row r="1907" spans="1:7" x14ac:dyDescent="0.25">
      <c r="A1907" s="137" t="s">
        <v>17231</v>
      </c>
      <c r="B1907" s="137" t="s">
        <v>137</v>
      </c>
      <c r="C1907" s="137" t="s">
        <v>249</v>
      </c>
      <c r="D1907" s="338">
        <v>13400</v>
      </c>
      <c r="E1907" s="137">
        <v>4180</v>
      </c>
      <c r="F1907" s="137">
        <v>380</v>
      </c>
    </row>
    <row r="1908" spans="1:7" x14ac:dyDescent="0.25">
      <c r="A1908" s="137" t="s">
        <v>17875</v>
      </c>
      <c r="B1908" s="137" t="s">
        <v>137</v>
      </c>
      <c r="C1908" s="137" t="s">
        <v>4744</v>
      </c>
      <c r="D1908" s="338">
        <v>8596</v>
      </c>
      <c r="E1908" s="137">
        <v>2126</v>
      </c>
      <c r="F1908" s="137">
        <v>226</v>
      </c>
    </row>
    <row r="1909" spans="1:7" x14ac:dyDescent="0.25">
      <c r="A1909" s="137" t="s">
        <v>17265</v>
      </c>
      <c r="B1909" s="137" t="s">
        <v>137</v>
      </c>
      <c r="C1909" s="137" t="s">
        <v>240</v>
      </c>
      <c r="D1909" s="338">
        <v>13909</v>
      </c>
      <c r="E1909" s="137">
        <v>4439</v>
      </c>
      <c r="F1909" s="137">
        <v>639</v>
      </c>
    </row>
    <row r="1910" spans="1:7" x14ac:dyDescent="0.25">
      <c r="A1910" s="137" t="s">
        <v>18097</v>
      </c>
      <c r="B1910" s="137" t="s">
        <v>137</v>
      </c>
      <c r="C1910" s="137" t="s">
        <v>917</v>
      </c>
      <c r="D1910" s="338">
        <v>3395</v>
      </c>
      <c r="E1910" s="137">
        <v>2467</v>
      </c>
      <c r="F1910" s="137">
        <v>567</v>
      </c>
    </row>
    <row r="1911" spans="1:7" x14ac:dyDescent="0.25">
      <c r="A1911" s="137" t="s">
        <v>17242</v>
      </c>
      <c r="B1911" s="137" t="s">
        <v>137</v>
      </c>
      <c r="C1911" s="137" t="s">
        <v>5639</v>
      </c>
      <c r="D1911" s="338">
        <v>11321</v>
      </c>
      <c r="E1911" s="137">
        <v>4583</v>
      </c>
      <c r="F1911" s="137">
        <v>783</v>
      </c>
    </row>
    <row r="1912" spans="1:7" x14ac:dyDescent="0.25">
      <c r="A1912" s="137" t="s">
        <v>17838</v>
      </c>
      <c r="B1912" s="137" t="s">
        <v>137</v>
      </c>
      <c r="C1912" s="137" t="s">
        <v>238</v>
      </c>
      <c r="D1912" s="338">
        <v>2457</v>
      </c>
      <c r="E1912" s="137">
        <v>3159</v>
      </c>
      <c r="F1912" s="137">
        <v>309</v>
      </c>
    </row>
    <row r="1913" spans="1:7" x14ac:dyDescent="0.25">
      <c r="A1913" s="137" t="s">
        <v>17058</v>
      </c>
      <c r="B1913" s="137" t="s">
        <v>137</v>
      </c>
      <c r="C1913" s="137" t="s">
        <v>3215</v>
      </c>
      <c r="D1913" s="338">
        <v>12189</v>
      </c>
      <c r="E1913" s="137">
        <v>4017</v>
      </c>
      <c r="F1913" s="137">
        <v>217</v>
      </c>
    </row>
    <row r="1914" spans="1:7" x14ac:dyDescent="0.25">
      <c r="A1914" s="137" t="s">
        <v>17059</v>
      </c>
      <c r="B1914" s="137" t="s">
        <v>137</v>
      </c>
      <c r="C1914" s="137" t="s">
        <v>234</v>
      </c>
      <c r="D1914" s="338">
        <v>11925</v>
      </c>
      <c r="E1914" s="137">
        <v>5585</v>
      </c>
      <c r="F1914" s="137">
        <v>835</v>
      </c>
    </row>
    <row r="1915" spans="1:7" x14ac:dyDescent="0.25">
      <c r="A1915" s="137" t="s">
        <v>18067</v>
      </c>
      <c r="B1915" s="137" t="s">
        <v>137</v>
      </c>
      <c r="C1915" s="137" t="s">
        <v>4516</v>
      </c>
      <c r="D1915" s="338">
        <v>4996</v>
      </c>
      <c r="E1915" s="137">
        <v>2903</v>
      </c>
      <c r="F1915" s="137">
        <v>53</v>
      </c>
    </row>
    <row r="1916" spans="1:7" x14ac:dyDescent="0.25">
      <c r="A1916" s="137" t="s">
        <v>18079</v>
      </c>
      <c r="B1916" s="137" t="s">
        <v>137</v>
      </c>
      <c r="C1916" s="137" t="s">
        <v>3307</v>
      </c>
      <c r="D1916" s="338">
        <v>3794</v>
      </c>
      <c r="E1916" s="137">
        <v>2958</v>
      </c>
      <c r="F1916" s="137">
        <v>108</v>
      </c>
    </row>
    <row r="1917" spans="1:7" x14ac:dyDescent="0.25">
      <c r="A1917" s="137" t="s">
        <v>17262</v>
      </c>
      <c r="B1917" s="137" t="s">
        <v>137</v>
      </c>
      <c r="C1917" s="137" t="s">
        <v>4915</v>
      </c>
      <c r="D1917" s="338">
        <v>14283</v>
      </c>
      <c r="E1917" s="137">
        <v>2649</v>
      </c>
      <c r="F1917" s="137">
        <v>749</v>
      </c>
    </row>
    <row r="1918" spans="1:7" x14ac:dyDescent="0.25">
      <c r="A1918" s="137" t="s">
        <v>17060</v>
      </c>
      <c r="B1918" s="137" t="s">
        <v>137</v>
      </c>
      <c r="C1918" s="137" t="s">
        <v>2907</v>
      </c>
      <c r="D1918" s="338">
        <v>8550</v>
      </c>
      <c r="E1918" s="137">
        <v>3508</v>
      </c>
      <c r="F1918" s="137">
        <v>-292</v>
      </c>
    </row>
    <row r="1919" spans="1:7" x14ac:dyDescent="0.25">
      <c r="A1919" s="137" t="s">
        <v>17161</v>
      </c>
      <c r="B1919" s="137" t="s">
        <v>137</v>
      </c>
      <c r="C1919" s="137" t="s">
        <v>5452</v>
      </c>
      <c r="D1919" s="338">
        <v>8633</v>
      </c>
      <c r="E1919" s="137">
        <v>5236</v>
      </c>
      <c r="F1919" s="137">
        <v>486</v>
      </c>
      <c r="G1919"/>
    </row>
    <row r="1920" spans="1:7" x14ac:dyDescent="0.25">
      <c r="A1920" s="137" t="s">
        <v>17285</v>
      </c>
      <c r="B1920" s="137" t="s">
        <v>137</v>
      </c>
      <c r="C1920" s="137" t="s">
        <v>232</v>
      </c>
      <c r="D1920" s="338">
        <v>12843</v>
      </c>
      <c r="E1920" s="137">
        <v>3711</v>
      </c>
      <c r="F1920" s="137">
        <v>861</v>
      </c>
      <c r="G1920"/>
    </row>
    <row r="1921" spans="1:7" x14ac:dyDescent="0.25">
      <c r="A1921" s="137" t="s">
        <v>17529</v>
      </c>
      <c r="B1921" s="137" t="s">
        <v>137</v>
      </c>
      <c r="C1921" s="137" t="s">
        <v>5419</v>
      </c>
      <c r="D1921" s="338">
        <v>9325</v>
      </c>
      <c r="E1921" s="137">
        <v>3862</v>
      </c>
      <c r="F1921" s="137">
        <v>62</v>
      </c>
      <c r="G1921"/>
    </row>
    <row r="1922" spans="1:7" x14ac:dyDescent="0.25">
      <c r="A1922" s="137" t="s">
        <v>17350</v>
      </c>
      <c r="B1922" s="137" t="s">
        <v>137</v>
      </c>
      <c r="C1922" s="137" t="s">
        <v>3674</v>
      </c>
      <c r="D1922" s="338">
        <v>12881</v>
      </c>
      <c r="E1922" s="137">
        <v>2812</v>
      </c>
      <c r="F1922" s="137">
        <v>912</v>
      </c>
    </row>
    <row r="1923" spans="1:7" x14ac:dyDescent="0.25">
      <c r="A1923" s="137" t="s">
        <v>17593</v>
      </c>
      <c r="B1923" s="137" t="s">
        <v>137</v>
      </c>
      <c r="C1923" s="137" t="s">
        <v>227</v>
      </c>
      <c r="D1923" s="338">
        <v>6258</v>
      </c>
      <c r="E1923" s="137">
        <v>2773</v>
      </c>
      <c r="F1923" s="137">
        <v>873</v>
      </c>
    </row>
    <row r="1924" spans="1:7" x14ac:dyDescent="0.25">
      <c r="A1924" s="137" t="s">
        <v>17603</v>
      </c>
      <c r="B1924" s="137" t="s">
        <v>137</v>
      </c>
      <c r="C1924" s="137" t="s">
        <v>2601</v>
      </c>
      <c r="D1924" s="338">
        <v>11709</v>
      </c>
      <c r="E1924" s="137">
        <v>2782</v>
      </c>
      <c r="F1924" s="137">
        <v>882</v>
      </c>
    </row>
    <row r="1925" spans="1:7" x14ac:dyDescent="0.25">
      <c r="A1925" s="137" t="s">
        <v>17279</v>
      </c>
      <c r="B1925" s="137" t="s">
        <v>137</v>
      </c>
      <c r="C1925" s="137" t="s">
        <v>224</v>
      </c>
      <c r="D1925" s="338">
        <v>13488</v>
      </c>
      <c r="E1925" s="137">
        <v>5327</v>
      </c>
      <c r="F1925" s="137">
        <v>577</v>
      </c>
    </row>
    <row r="1926" spans="1:7" x14ac:dyDescent="0.25">
      <c r="A1926" s="137" t="s">
        <v>17254</v>
      </c>
      <c r="B1926" s="137" t="s">
        <v>137</v>
      </c>
      <c r="C1926" s="137" t="s">
        <v>5265</v>
      </c>
      <c r="D1926" s="338">
        <v>14670</v>
      </c>
      <c r="E1926" s="137">
        <v>2907</v>
      </c>
      <c r="F1926" s="137">
        <v>57</v>
      </c>
    </row>
    <row r="1927" spans="1:7" x14ac:dyDescent="0.25">
      <c r="A1927" s="137" t="s">
        <v>17178</v>
      </c>
      <c r="B1927" s="137" t="s">
        <v>137</v>
      </c>
      <c r="C1927" s="137" t="s">
        <v>2374</v>
      </c>
      <c r="D1927" s="338">
        <v>11657</v>
      </c>
      <c r="E1927" s="137">
        <v>3092</v>
      </c>
      <c r="F1927" s="137">
        <v>242</v>
      </c>
    </row>
    <row r="1928" spans="1:7" x14ac:dyDescent="0.25">
      <c r="A1928" s="137" t="s">
        <v>17762</v>
      </c>
      <c r="B1928" s="137" t="s">
        <v>137</v>
      </c>
      <c r="C1928" s="137" t="s">
        <v>4896</v>
      </c>
      <c r="D1928" s="137">
        <v>480</v>
      </c>
      <c r="E1928" s="137">
        <v>2422</v>
      </c>
      <c r="F1928" s="137">
        <v>522</v>
      </c>
    </row>
    <row r="1929" spans="1:7" x14ac:dyDescent="0.25">
      <c r="A1929" s="137" t="s">
        <v>17229</v>
      </c>
      <c r="B1929" s="137" t="s">
        <v>137</v>
      </c>
      <c r="C1929" s="137" t="s">
        <v>219</v>
      </c>
      <c r="D1929" s="338">
        <v>13444</v>
      </c>
      <c r="E1929" s="137">
        <v>4033</v>
      </c>
      <c r="F1929" s="137">
        <v>233</v>
      </c>
    </row>
    <row r="1930" spans="1:7" x14ac:dyDescent="0.25">
      <c r="A1930" s="137" t="s">
        <v>17212</v>
      </c>
      <c r="B1930" s="137" t="s">
        <v>137</v>
      </c>
      <c r="C1930" s="137" t="s">
        <v>217</v>
      </c>
      <c r="D1930" s="338">
        <v>15143</v>
      </c>
      <c r="E1930" s="137">
        <v>3542</v>
      </c>
      <c r="F1930" s="137">
        <v>-2158</v>
      </c>
    </row>
    <row r="1931" spans="1:7" x14ac:dyDescent="0.25">
      <c r="A1931" s="137" t="s">
        <v>17271</v>
      </c>
      <c r="B1931" s="137" t="s">
        <v>137</v>
      </c>
      <c r="C1931" s="137" t="s">
        <v>5187</v>
      </c>
      <c r="D1931" s="338">
        <v>13794</v>
      </c>
      <c r="E1931" s="137">
        <v>3212</v>
      </c>
      <c r="F1931" s="137">
        <v>362</v>
      </c>
    </row>
    <row r="1932" spans="1:7" x14ac:dyDescent="0.25">
      <c r="A1932" s="137" t="s">
        <v>17282</v>
      </c>
      <c r="B1932" s="137" t="s">
        <v>137</v>
      </c>
      <c r="C1932" s="137" t="s">
        <v>5076</v>
      </c>
      <c r="D1932" s="338">
        <v>13202</v>
      </c>
      <c r="E1932" s="137">
        <v>3106</v>
      </c>
      <c r="F1932" s="137">
        <v>256</v>
      </c>
    </row>
    <row r="1933" spans="1:7" x14ac:dyDescent="0.25">
      <c r="A1933" s="137" t="s">
        <v>17266</v>
      </c>
      <c r="B1933" s="137" t="s">
        <v>137</v>
      </c>
      <c r="C1933" s="137" t="s">
        <v>5408</v>
      </c>
      <c r="D1933" s="338">
        <v>13903</v>
      </c>
      <c r="E1933" s="137">
        <v>3479</v>
      </c>
      <c r="F1933" s="137">
        <v>629</v>
      </c>
    </row>
    <row r="1934" spans="1:7" x14ac:dyDescent="0.25">
      <c r="A1934" s="137" t="s">
        <v>17539</v>
      </c>
      <c r="B1934" s="137" t="s">
        <v>137</v>
      </c>
      <c r="C1934" s="137" t="s">
        <v>5169</v>
      </c>
      <c r="D1934" s="338">
        <v>8581</v>
      </c>
      <c r="E1934" s="137">
        <v>3164</v>
      </c>
      <c r="F1934" s="137">
        <v>1264</v>
      </c>
    </row>
    <row r="1935" spans="1:7" x14ac:dyDescent="0.25">
      <c r="A1935" s="137" t="s">
        <v>17647</v>
      </c>
      <c r="B1935" s="137" t="s">
        <v>137</v>
      </c>
      <c r="C1935" s="137" t="s">
        <v>4187</v>
      </c>
      <c r="D1935" s="338">
        <v>8722</v>
      </c>
      <c r="E1935" s="137">
        <v>2725</v>
      </c>
      <c r="F1935" s="137">
        <v>-1075</v>
      </c>
    </row>
    <row r="1936" spans="1:7" x14ac:dyDescent="0.25">
      <c r="A1936" s="137" t="s">
        <v>17259</v>
      </c>
      <c r="B1936" s="137" t="s">
        <v>137</v>
      </c>
      <c r="C1936" s="137" t="s">
        <v>5037</v>
      </c>
      <c r="D1936" s="338">
        <v>14338</v>
      </c>
      <c r="E1936" s="137">
        <v>3552</v>
      </c>
      <c r="F1936" s="137">
        <v>702</v>
      </c>
    </row>
    <row r="1937" spans="1:6" x14ac:dyDescent="0.25">
      <c r="A1937" s="137" t="s">
        <v>17541</v>
      </c>
      <c r="B1937" s="137" t="s">
        <v>137</v>
      </c>
      <c r="C1937" s="137" t="s">
        <v>5061</v>
      </c>
      <c r="D1937" s="338">
        <v>8522</v>
      </c>
      <c r="E1937" s="137">
        <v>3045</v>
      </c>
      <c r="F1937" s="137">
        <v>195</v>
      </c>
    </row>
    <row r="1938" spans="1:6" x14ac:dyDescent="0.25">
      <c r="A1938" s="137" t="s">
        <v>17248</v>
      </c>
      <c r="B1938" s="137" t="s">
        <v>137</v>
      </c>
      <c r="C1938" s="137" t="s">
        <v>5406</v>
      </c>
      <c r="D1938" s="338">
        <v>15015</v>
      </c>
      <c r="E1938" s="137">
        <v>3032</v>
      </c>
      <c r="F1938" s="137">
        <v>182</v>
      </c>
    </row>
    <row r="1939" spans="1:6" x14ac:dyDescent="0.25">
      <c r="A1939" s="137" t="s">
        <v>17240</v>
      </c>
      <c r="B1939" s="137" t="s">
        <v>137</v>
      </c>
      <c r="C1939" s="137" t="s">
        <v>5483</v>
      </c>
      <c r="D1939" s="338">
        <v>11695</v>
      </c>
      <c r="E1939" s="137">
        <v>4509</v>
      </c>
      <c r="F1939" s="137">
        <v>709</v>
      </c>
    </row>
    <row r="1940" spans="1:6" x14ac:dyDescent="0.25">
      <c r="A1940" s="137" t="s">
        <v>17274</v>
      </c>
      <c r="B1940" s="137" t="s">
        <v>137</v>
      </c>
      <c r="C1940" s="137" t="s">
        <v>4764</v>
      </c>
      <c r="D1940" s="338">
        <v>13715</v>
      </c>
      <c r="E1940" s="137">
        <v>3154</v>
      </c>
      <c r="F1940" s="137">
        <v>304</v>
      </c>
    </row>
    <row r="1941" spans="1:6" x14ac:dyDescent="0.25">
      <c r="A1941" s="137" t="s">
        <v>17247</v>
      </c>
      <c r="B1941" s="137" t="s">
        <v>137</v>
      </c>
      <c r="C1941" s="137" t="s">
        <v>5373</v>
      </c>
      <c r="D1941" s="338">
        <v>15142</v>
      </c>
      <c r="E1941" s="137">
        <v>2987</v>
      </c>
      <c r="F1941" s="137">
        <v>137</v>
      </c>
    </row>
    <row r="1942" spans="1:6" x14ac:dyDescent="0.25">
      <c r="A1942" s="137" t="s">
        <v>17113</v>
      </c>
      <c r="B1942" s="137" t="s">
        <v>137</v>
      </c>
      <c r="C1942" s="137" t="s">
        <v>209</v>
      </c>
      <c r="D1942" s="338">
        <v>9857</v>
      </c>
      <c r="E1942" s="137">
        <v>4472</v>
      </c>
      <c r="F1942" s="137">
        <v>672</v>
      </c>
    </row>
    <row r="1943" spans="1:6" x14ac:dyDescent="0.25">
      <c r="A1943" s="137" t="s">
        <v>17827</v>
      </c>
      <c r="B1943" s="137" t="s">
        <v>137</v>
      </c>
      <c r="C1943" s="137" t="s">
        <v>5739</v>
      </c>
      <c r="D1943" s="338">
        <v>4613</v>
      </c>
      <c r="E1943" s="137">
        <v>2971</v>
      </c>
      <c r="F1943" s="137">
        <v>121</v>
      </c>
    </row>
    <row r="1944" spans="1:6" x14ac:dyDescent="0.25">
      <c r="A1944" s="137" t="s">
        <v>17826</v>
      </c>
      <c r="B1944" s="137" t="s">
        <v>137</v>
      </c>
      <c r="C1944" s="137" t="s">
        <v>5754</v>
      </c>
      <c r="D1944" s="338">
        <v>4859</v>
      </c>
      <c r="E1944" s="137">
        <v>3101</v>
      </c>
      <c r="F1944" s="137">
        <v>251</v>
      </c>
    </row>
    <row r="1945" spans="1:6" x14ac:dyDescent="0.25">
      <c r="A1945" s="137" t="s">
        <v>17519</v>
      </c>
      <c r="B1945" s="137" t="s">
        <v>137</v>
      </c>
      <c r="C1945" s="137" t="s">
        <v>5365</v>
      </c>
      <c r="D1945" s="338">
        <v>10208</v>
      </c>
      <c r="E1945" s="137">
        <v>3389</v>
      </c>
      <c r="F1945" s="137">
        <v>539</v>
      </c>
    </row>
    <row r="1946" spans="1:6" x14ac:dyDescent="0.25">
      <c r="A1946" s="137" t="s">
        <v>17881</v>
      </c>
      <c r="B1946" s="137" t="s">
        <v>137</v>
      </c>
      <c r="C1946" s="137" t="s">
        <v>5135</v>
      </c>
      <c r="D1946" s="338">
        <v>4834</v>
      </c>
      <c r="E1946" s="137">
        <v>2189</v>
      </c>
      <c r="F1946" s="137">
        <v>289</v>
      </c>
    </row>
    <row r="1947" spans="1:6" x14ac:dyDescent="0.25">
      <c r="A1947" s="137" t="s">
        <v>17473</v>
      </c>
      <c r="B1947" s="137" t="s">
        <v>137</v>
      </c>
      <c r="C1947" s="137" t="s">
        <v>200</v>
      </c>
      <c r="D1947" s="338">
        <v>7171</v>
      </c>
      <c r="E1947" s="137">
        <v>3666</v>
      </c>
      <c r="F1947" s="137">
        <v>816</v>
      </c>
    </row>
    <row r="1948" spans="1:6" x14ac:dyDescent="0.25">
      <c r="A1948" s="137" t="s">
        <v>17280</v>
      </c>
      <c r="B1948" s="137" t="s">
        <v>137</v>
      </c>
      <c r="C1948" s="137" t="s">
        <v>198</v>
      </c>
      <c r="D1948" s="338">
        <v>13411</v>
      </c>
      <c r="E1948" s="137">
        <v>4924</v>
      </c>
      <c r="F1948" s="137">
        <v>174</v>
      </c>
    </row>
    <row r="1949" spans="1:6" x14ac:dyDescent="0.25">
      <c r="A1949" s="137" t="s">
        <v>17474</v>
      </c>
      <c r="B1949" s="137" t="s">
        <v>137</v>
      </c>
      <c r="C1949" s="137" t="s">
        <v>195</v>
      </c>
      <c r="D1949" s="338">
        <v>7153</v>
      </c>
      <c r="E1949" s="137">
        <v>3882</v>
      </c>
      <c r="F1949" s="137">
        <v>2932</v>
      </c>
    </row>
    <row r="1950" spans="1:6" x14ac:dyDescent="0.25">
      <c r="A1950" s="137" t="s">
        <v>17267</v>
      </c>
      <c r="B1950" s="137" t="s">
        <v>137</v>
      </c>
      <c r="C1950" s="137" t="s">
        <v>5141</v>
      </c>
      <c r="D1950" s="338">
        <v>13878</v>
      </c>
      <c r="E1950" s="137">
        <v>3805</v>
      </c>
      <c r="F1950" s="137">
        <v>5</v>
      </c>
    </row>
    <row r="1951" spans="1:6" x14ac:dyDescent="0.25">
      <c r="A1951" s="137" t="s">
        <v>18042</v>
      </c>
      <c r="B1951" s="137" t="s">
        <v>137</v>
      </c>
      <c r="C1951" s="137" t="s">
        <v>5549</v>
      </c>
      <c r="D1951" s="338">
        <v>3444</v>
      </c>
      <c r="E1951" s="137">
        <v>4904</v>
      </c>
      <c r="F1951" s="137">
        <v>154</v>
      </c>
    </row>
    <row r="1952" spans="1:6" x14ac:dyDescent="0.25">
      <c r="A1952" s="137" t="s">
        <v>17799</v>
      </c>
      <c r="B1952" s="137" t="s">
        <v>137</v>
      </c>
      <c r="C1952" s="137" t="s">
        <v>3921</v>
      </c>
      <c r="D1952" s="338">
        <v>1679</v>
      </c>
      <c r="E1952" s="137">
        <v>2443</v>
      </c>
      <c r="F1952" s="137">
        <v>543</v>
      </c>
    </row>
    <row r="1953" spans="1:6" x14ac:dyDescent="0.25">
      <c r="A1953" s="137" t="s">
        <v>17507</v>
      </c>
      <c r="B1953" s="137" t="s">
        <v>137</v>
      </c>
      <c r="C1953" s="137" t="s">
        <v>193</v>
      </c>
      <c r="D1953" s="338">
        <v>6426</v>
      </c>
      <c r="E1953" s="137">
        <v>3660</v>
      </c>
      <c r="F1953" s="137">
        <v>810</v>
      </c>
    </row>
    <row r="1954" spans="1:6" x14ac:dyDescent="0.25">
      <c r="A1954" s="137" t="s">
        <v>17549</v>
      </c>
      <c r="B1954" s="137" t="s">
        <v>137</v>
      </c>
      <c r="C1954" s="137" t="s">
        <v>4822</v>
      </c>
      <c r="D1954" s="338">
        <v>8286</v>
      </c>
      <c r="E1954" s="137">
        <v>2771</v>
      </c>
      <c r="F1954" s="137">
        <v>871</v>
      </c>
    </row>
    <row r="1955" spans="1:6" x14ac:dyDescent="0.25">
      <c r="A1955" s="137" t="s">
        <v>17263</v>
      </c>
      <c r="B1955" s="137" t="s">
        <v>137</v>
      </c>
      <c r="C1955" s="137" t="s">
        <v>4841</v>
      </c>
      <c r="D1955" s="338">
        <v>14206</v>
      </c>
      <c r="E1955" s="137">
        <v>3218</v>
      </c>
      <c r="F1955" s="137">
        <v>368</v>
      </c>
    </row>
    <row r="1956" spans="1:6" x14ac:dyDescent="0.25">
      <c r="A1956" s="137" t="s">
        <v>17061</v>
      </c>
      <c r="B1956" s="137" t="s">
        <v>137</v>
      </c>
      <c r="C1956" s="137" t="s">
        <v>575</v>
      </c>
      <c r="D1956" s="338">
        <v>7539</v>
      </c>
      <c r="E1956" s="137">
        <v>2154</v>
      </c>
      <c r="F1956" s="137">
        <v>254</v>
      </c>
    </row>
    <row r="1957" spans="1:6" x14ac:dyDescent="0.25">
      <c r="A1957" s="137" t="s">
        <v>17062</v>
      </c>
      <c r="B1957" s="137" t="s">
        <v>137</v>
      </c>
      <c r="C1957" s="137" t="s">
        <v>484</v>
      </c>
      <c r="D1957" s="338">
        <v>8265</v>
      </c>
      <c r="E1957" s="137">
        <v>5271</v>
      </c>
      <c r="F1957" s="137">
        <v>521</v>
      </c>
    </row>
    <row r="1958" spans="1:6" x14ac:dyDescent="0.25">
      <c r="A1958" s="137" t="s">
        <v>17508</v>
      </c>
      <c r="B1958" s="137" t="s">
        <v>137</v>
      </c>
      <c r="C1958" s="137" t="s">
        <v>5583</v>
      </c>
      <c r="D1958" s="338">
        <v>5857</v>
      </c>
      <c r="E1958" s="137">
        <v>2929</v>
      </c>
      <c r="F1958" s="137">
        <v>79</v>
      </c>
    </row>
    <row r="1959" spans="1:6" x14ac:dyDescent="0.25">
      <c r="A1959" s="137" t="s">
        <v>18078</v>
      </c>
      <c r="B1959" s="137" t="s">
        <v>137</v>
      </c>
      <c r="C1959" s="137" t="s">
        <v>4456</v>
      </c>
      <c r="D1959" s="338">
        <v>3929</v>
      </c>
      <c r="E1959" s="137">
        <v>3531</v>
      </c>
      <c r="F1959" s="137">
        <v>681</v>
      </c>
    </row>
    <row r="1960" spans="1:6" x14ac:dyDescent="0.25">
      <c r="A1960" s="137" t="s">
        <v>17573</v>
      </c>
      <c r="B1960" s="137" t="s">
        <v>137</v>
      </c>
      <c r="C1960" s="137" t="s">
        <v>4891</v>
      </c>
      <c r="D1960" s="338">
        <v>7628</v>
      </c>
      <c r="E1960" s="137">
        <v>2416</v>
      </c>
      <c r="F1960" s="137">
        <v>516</v>
      </c>
    </row>
    <row r="1961" spans="1:6" x14ac:dyDescent="0.25">
      <c r="A1961" s="137" t="s">
        <v>17258</v>
      </c>
      <c r="B1961" s="137" t="s">
        <v>137</v>
      </c>
      <c r="C1961" s="137" t="s">
        <v>8728</v>
      </c>
      <c r="D1961" s="338">
        <v>14398</v>
      </c>
      <c r="E1961" s="137">
        <v>3126</v>
      </c>
      <c r="F1961" s="137">
        <v>276</v>
      </c>
    </row>
    <row r="1962" spans="1:6" x14ac:dyDescent="0.25">
      <c r="A1962" s="137" t="s">
        <v>17137</v>
      </c>
      <c r="B1962" s="137" t="s">
        <v>137</v>
      </c>
      <c r="C1962" s="137" t="s">
        <v>5019</v>
      </c>
      <c r="D1962" s="338">
        <v>10540</v>
      </c>
      <c r="E1962" s="137">
        <v>4068</v>
      </c>
      <c r="F1962" s="137">
        <v>268</v>
      </c>
    </row>
    <row r="1963" spans="1:6" x14ac:dyDescent="0.25">
      <c r="A1963" s="137" t="s">
        <v>17499</v>
      </c>
      <c r="B1963" s="137" t="s">
        <v>137</v>
      </c>
      <c r="C1963" s="137" t="s">
        <v>5543</v>
      </c>
      <c r="D1963" s="338">
        <v>7575</v>
      </c>
      <c r="E1963" s="137">
        <v>2451</v>
      </c>
      <c r="F1963" s="137">
        <v>551</v>
      </c>
    </row>
    <row r="1964" spans="1:6" x14ac:dyDescent="0.25">
      <c r="A1964" s="137" t="s">
        <v>17476</v>
      </c>
      <c r="B1964" s="137" t="s">
        <v>137</v>
      </c>
      <c r="C1964" s="137" t="s">
        <v>185</v>
      </c>
      <c r="D1964" s="338">
        <v>6903</v>
      </c>
      <c r="E1964" s="137">
        <v>3726</v>
      </c>
      <c r="F1964" s="137">
        <v>876</v>
      </c>
    </row>
    <row r="1965" spans="1:6" x14ac:dyDescent="0.25">
      <c r="A1965" s="137" t="s">
        <v>17475</v>
      </c>
      <c r="B1965" s="137" t="s">
        <v>137</v>
      </c>
      <c r="C1965" s="137" t="s">
        <v>182</v>
      </c>
      <c r="D1965" s="338">
        <v>7042</v>
      </c>
      <c r="E1965" s="137">
        <v>3459</v>
      </c>
      <c r="F1965" s="137">
        <v>609</v>
      </c>
    </row>
    <row r="1966" spans="1:6" x14ac:dyDescent="0.25">
      <c r="A1966" s="137" t="s">
        <v>18085</v>
      </c>
      <c r="B1966" s="137" t="s">
        <v>137</v>
      </c>
      <c r="C1966" s="137" t="s">
        <v>4337</v>
      </c>
      <c r="D1966" s="338">
        <v>2753</v>
      </c>
      <c r="E1966" s="137">
        <v>3336</v>
      </c>
      <c r="F1966" s="137">
        <v>486</v>
      </c>
    </row>
    <row r="1967" spans="1:6" x14ac:dyDescent="0.25">
      <c r="A1967" s="137" t="s">
        <v>18060</v>
      </c>
      <c r="B1967" s="137" t="s">
        <v>137</v>
      </c>
      <c r="C1967" s="137" t="s">
        <v>5130</v>
      </c>
      <c r="D1967" s="137">
        <v>894</v>
      </c>
      <c r="E1967" s="137">
        <v>3258</v>
      </c>
      <c r="F1967" s="137">
        <v>408</v>
      </c>
    </row>
    <row r="1968" spans="1:6" x14ac:dyDescent="0.25">
      <c r="A1968" s="137" t="s">
        <v>17149</v>
      </c>
      <c r="B1968" s="137" t="s">
        <v>137</v>
      </c>
      <c r="C1968" s="137" t="s">
        <v>4644</v>
      </c>
      <c r="D1968" s="338">
        <v>12459</v>
      </c>
      <c r="E1968" s="137">
        <v>4555</v>
      </c>
      <c r="F1968" s="137">
        <v>755</v>
      </c>
    </row>
    <row r="1969" spans="1:6" x14ac:dyDescent="0.25">
      <c r="A1969" s="137" t="s">
        <v>17761</v>
      </c>
      <c r="B1969" s="137" t="s">
        <v>137</v>
      </c>
      <c r="C1969" s="137" t="s">
        <v>5223</v>
      </c>
      <c r="D1969" s="137">
        <v>592</v>
      </c>
      <c r="E1969" s="137">
        <v>3499</v>
      </c>
      <c r="F1969" s="137">
        <v>649</v>
      </c>
    </row>
    <row r="1970" spans="1:6" x14ac:dyDescent="0.25">
      <c r="A1970" s="137" t="s">
        <v>17844</v>
      </c>
      <c r="B1970" s="137" t="s">
        <v>137</v>
      </c>
      <c r="C1970" s="137" t="s">
        <v>5727</v>
      </c>
      <c r="D1970" s="338">
        <v>1429</v>
      </c>
      <c r="E1970" s="137">
        <v>2895</v>
      </c>
      <c r="F1970" s="137">
        <v>45</v>
      </c>
    </row>
    <row r="1971" spans="1:6" x14ac:dyDescent="0.25">
      <c r="A1971" s="137" t="s">
        <v>17284</v>
      </c>
      <c r="B1971" s="137" t="s">
        <v>137</v>
      </c>
      <c r="C1971" s="137" t="s">
        <v>180</v>
      </c>
      <c r="D1971" s="338">
        <v>12896</v>
      </c>
      <c r="E1971" s="137">
        <v>3941</v>
      </c>
      <c r="F1971" s="137">
        <v>141</v>
      </c>
    </row>
    <row r="1972" spans="1:6" x14ac:dyDescent="0.25">
      <c r="A1972" s="137" t="s">
        <v>18047</v>
      </c>
      <c r="B1972" s="137" t="s">
        <v>137</v>
      </c>
      <c r="C1972" s="137" t="s">
        <v>4793</v>
      </c>
      <c r="D1972" s="338">
        <v>5079</v>
      </c>
      <c r="E1972" s="137">
        <v>3025</v>
      </c>
      <c r="F1972" s="137">
        <v>175</v>
      </c>
    </row>
    <row r="1973" spans="1:6" x14ac:dyDescent="0.25">
      <c r="A1973" s="137" t="s">
        <v>18090</v>
      </c>
      <c r="B1973" s="137" t="s">
        <v>137</v>
      </c>
      <c r="C1973" s="137" t="s">
        <v>178</v>
      </c>
      <c r="D1973" s="338">
        <v>1421</v>
      </c>
      <c r="E1973" s="137">
        <v>2685</v>
      </c>
      <c r="F1973" s="137">
        <v>785</v>
      </c>
    </row>
    <row r="1974" spans="1:6" x14ac:dyDescent="0.25">
      <c r="A1974" s="137" t="s">
        <v>18023</v>
      </c>
      <c r="B1974" s="137" t="s">
        <v>137</v>
      </c>
      <c r="C1974" s="137" t="s">
        <v>4412</v>
      </c>
      <c r="D1974" s="338">
        <v>5730</v>
      </c>
      <c r="E1974" s="137">
        <v>2736</v>
      </c>
      <c r="F1974" s="137">
        <v>836</v>
      </c>
    </row>
    <row r="1975" spans="1:6" x14ac:dyDescent="0.25">
      <c r="A1975" s="137" t="s">
        <v>18087</v>
      </c>
      <c r="B1975" s="137" t="s">
        <v>137</v>
      </c>
      <c r="C1975" s="137" t="s">
        <v>3595</v>
      </c>
      <c r="D1975" s="338">
        <v>2357</v>
      </c>
      <c r="E1975" s="137">
        <v>2847</v>
      </c>
      <c r="F1975" s="137">
        <v>947</v>
      </c>
    </row>
    <row r="1976" spans="1:6" x14ac:dyDescent="0.25">
      <c r="A1976" s="137" t="s">
        <v>17210</v>
      </c>
      <c r="B1976" s="137" t="s">
        <v>137</v>
      </c>
      <c r="C1976" s="137" t="s">
        <v>173</v>
      </c>
      <c r="D1976" s="338">
        <v>11232</v>
      </c>
      <c r="E1976" s="137">
        <v>4918</v>
      </c>
      <c r="F1976" s="137">
        <v>168</v>
      </c>
    </row>
    <row r="1977" spans="1:6" x14ac:dyDescent="0.25">
      <c r="A1977" s="137" t="s">
        <v>17866</v>
      </c>
      <c r="B1977" s="137" t="s">
        <v>137</v>
      </c>
      <c r="C1977" s="137" t="s">
        <v>5579</v>
      </c>
      <c r="D1977" s="338">
        <v>2528</v>
      </c>
      <c r="E1977" s="137">
        <v>2564</v>
      </c>
      <c r="F1977" s="137">
        <v>664</v>
      </c>
    </row>
    <row r="1978" spans="1:6" x14ac:dyDescent="0.25">
      <c r="A1978" s="137" t="s">
        <v>17733</v>
      </c>
      <c r="B1978" s="137" t="s">
        <v>137</v>
      </c>
      <c r="C1978" s="137" t="s">
        <v>5703</v>
      </c>
      <c r="D1978" s="338">
        <v>2814</v>
      </c>
      <c r="E1978" s="137">
        <v>4738</v>
      </c>
      <c r="F1978" s="137">
        <v>938</v>
      </c>
    </row>
    <row r="1979" spans="1:6" x14ac:dyDescent="0.25">
      <c r="A1979" s="137" t="s">
        <v>17293</v>
      </c>
      <c r="B1979" s="137" t="s">
        <v>137</v>
      </c>
      <c r="C1979" s="137" t="s">
        <v>4824</v>
      </c>
      <c r="D1979" s="338">
        <v>12103</v>
      </c>
      <c r="E1979" s="137">
        <v>3870</v>
      </c>
      <c r="F1979" s="137">
        <v>70</v>
      </c>
    </row>
    <row r="1980" spans="1:6" x14ac:dyDescent="0.25">
      <c r="A1980" s="137" t="s">
        <v>17846</v>
      </c>
      <c r="B1980" s="137" t="s">
        <v>137</v>
      </c>
      <c r="C1980" s="137" t="s">
        <v>168</v>
      </c>
      <c r="D1980" s="338">
        <v>1149</v>
      </c>
      <c r="E1980" s="137">
        <v>2791</v>
      </c>
      <c r="F1980" s="137">
        <v>891</v>
      </c>
    </row>
    <row r="1981" spans="1:6" x14ac:dyDescent="0.25">
      <c r="A1981" s="137" t="s">
        <v>17753</v>
      </c>
      <c r="B1981" s="137" t="s">
        <v>137</v>
      </c>
      <c r="C1981" s="137" t="s">
        <v>4735</v>
      </c>
      <c r="D1981" s="338">
        <v>1835</v>
      </c>
      <c r="E1981" s="137">
        <v>2779</v>
      </c>
      <c r="F1981" s="137">
        <v>-1021</v>
      </c>
    </row>
    <row r="1982" spans="1:6" x14ac:dyDescent="0.25">
      <c r="A1982" s="137" t="s">
        <v>17186</v>
      </c>
      <c r="B1982" s="137" t="s">
        <v>137</v>
      </c>
      <c r="C1982" s="137" t="s">
        <v>5304</v>
      </c>
      <c r="D1982" s="338">
        <v>8206</v>
      </c>
      <c r="E1982" s="137">
        <v>3714</v>
      </c>
      <c r="F1982" s="137">
        <v>864</v>
      </c>
    </row>
    <row r="1983" spans="1:6" x14ac:dyDescent="0.25">
      <c r="A1983" s="137" t="s">
        <v>17856</v>
      </c>
      <c r="B1983" s="137" t="s">
        <v>137</v>
      </c>
      <c r="C1983" s="137" t="s">
        <v>5505</v>
      </c>
      <c r="D1983" s="338">
        <v>3081</v>
      </c>
      <c r="E1983" s="137">
        <v>2816</v>
      </c>
      <c r="F1983" s="137">
        <v>916</v>
      </c>
    </row>
    <row r="1984" spans="1:6" x14ac:dyDescent="0.25">
      <c r="A1984" s="137" t="s">
        <v>17540</v>
      </c>
      <c r="B1984" s="137" t="s">
        <v>137</v>
      </c>
      <c r="C1984" s="137" t="s">
        <v>5185</v>
      </c>
      <c r="D1984" s="338">
        <v>8531</v>
      </c>
      <c r="E1984" s="137">
        <v>3315</v>
      </c>
      <c r="F1984" s="137">
        <v>-485</v>
      </c>
    </row>
    <row r="1985" spans="1:6" x14ac:dyDescent="0.25">
      <c r="A1985" s="137" t="s">
        <v>17555</v>
      </c>
      <c r="B1985" s="137" t="s">
        <v>137</v>
      </c>
      <c r="C1985" s="137" t="s">
        <v>4851</v>
      </c>
      <c r="D1985" s="338">
        <v>8046</v>
      </c>
      <c r="E1985" s="137">
        <v>2547</v>
      </c>
      <c r="F1985" s="137">
        <v>647</v>
      </c>
    </row>
    <row r="1986" spans="1:6" x14ac:dyDescent="0.25">
      <c r="A1986" s="137" t="s">
        <v>17172</v>
      </c>
      <c r="B1986" s="137" t="s">
        <v>137</v>
      </c>
      <c r="C1986" s="137" t="s">
        <v>163</v>
      </c>
      <c r="D1986" s="338">
        <v>12187</v>
      </c>
      <c r="E1986" s="137">
        <v>3321</v>
      </c>
      <c r="F1986" s="137">
        <v>471</v>
      </c>
    </row>
    <row r="1987" spans="1:6" x14ac:dyDescent="0.25">
      <c r="A1987" s="137" t="s">
        <v>17498</v>
      </c>
      <c r="B1987" s="137" t="s">
        <v>137</v>
      </c>
      <c r="C1987" s="137" t="s">
        <v>5495</v>
      </c>
      <c r="D1987" s="338">
        <v>7609</v>
      </c>
      <c r="E1987" s="137">
        <v>2412</v>
      </c>
      <c r="F1987" s="137">
        <v>512</v>
      </c>
    </row>
    <row r="1988" spans="1:6" x14ac:dyDescent="0.25">
      <c r="A1988" s="137" t="s">
        <v>17063</v>
      </c>
      <c r="B1988" s="137" t="s">
        <v>137</v>
      </c>
      <c r="C1988" s="137" t="s">
        <v>160</v>
      </c>
      <c r="D1988" s="338">
        <v>14792</v>
      </c>
      <c r="E1988" s="137">
        <v>2689</v>
      </c>
      <c r="F1988" s="137">
        <v>789</v>
      </c>
    </row>
    <row r="1989" spans="1:6" x14ac:dyDescent="0.25">
      <c r="A1989" s="137" t="s">
        <v>17831</v>
      </c>
      <c r="B1989" s="137" t="s">
        <v>137</v>
      </c>
      <c r="C1989" s="137" t="s">
        <v>5719</v>
      </c>
      <c r="D1989" s="338">
        <v>3509</v>
      </c>
      <c r="E1989" s="137">
        <v>3433</v>
      </c>
      <c r="F1989" s="137">
        <v>583</v>
      </c>
    </row>
    <row r="1990" spans="1:6" x14ac:dyDescent="0.25">
      <c r="A1990" s="137" t="s">
        <v>17868</v>
      </c>
      <c r="B1990" s="137" t="s">
        <v>137</v>
      </c>
      <c r="C1990" s="137" t="s">
        <v>5516</v>
      </c>
      <c r="D1990" s="338">
        <v>2215</v>
      </c>
      <c r="E1990" s="137">
        <v>2510</v>
      </c>
      <c r="F1990" s="137">
        <v>610</v>
      </c>
    </row>
    <row r="1991" spans="1:6" x14ac:dyDescent="0.25">
      <c r="A1991" s="137" t="s">
        <v>17739</v>
      </c>
      <c r="B1991" s="137" t="s">
        <v>137</v>
      </c>
      <c r="C1991" s="137" t="s">
        <v>5463</v>
      </c>
      <c r="D1991" s="338">
        <v>2967</v>
      </c>
      <c r="E1991" s="137">
        <v>3994</v>
      </c>
      <c r="F1991" s="137">
        <v>194</v>
      </c>
    </row>
    <row r="1992" spans="1:6" x14ac:dyDescent="0.25">
      <c r="A1992" s="137" t="s">
        <v>17464</v>
      </c>
      <c r="B1992" s="137" t="s">
        <v>137</v>
      </c>
      <c r="C1992" s="137" t="s">
        <v>157</v>
      </c>
      <c r="D1992" s="338">
        <v>8048</v>
      </c>
      <c r="E1992" s="137">
        <v>3640</v>
      </c>
      <c r="F1992" s="137">
        <v>790</v>
      </c>
    </row>
    <row r="1993" spans="1:6" x14ac:dyDescent="0.25">
      <c r="A1993" s="137" t="s">
        <v>18045</v>
      </c>
      <c r="B1993" s="137" t="s">
        <v>137</v>
      </c>
      <c r="C1993" s="137" t="s">
        <v>4752</v>
      </c>
      <c r="D1993" s="338">
        <v>6185</v>
      </c>
      <c r="E1993" s="137">
        <v>2948</v>
      </c>
      <c r="F1993" s="137">
        <v>98</v>
      </c>
    </row>
    <row r="1994" spans="1:6" x14ac:dyDescent="0.25">
      <c r="A1994" s="137" t="s">
        <v>17773</v>
      </c>
      <c r="B1994" s="137" t="s">
        <v>137</v>
      </c>
      <c r="C1994" s="137" t="s">
        <v>4049</v>
      </c>
      <c r="D1994" s="338">
        <v>4546</v>
      </c>
      <c r="E1994" s="137">
        <v>2489</v>
      </c>
      <c r="F1994" s="137">
        <v>589</v>
      </c>
    </row>
    <row r="1995" spans="1:6" x14ac:dyDescent="0.25">
      <c r="A1995" s="137" t="s">
        <v>17491</v>
      </c>
      <c r="B1995" s="137" t="s">
        <v>137</v>
      </c>
      <c r="C1995" s="137" t="s">
        <v>5672</v>
      </c>
      <c r="D1995" s="338">
        <v>7858</v>
      </c>
      <c r="E1995" s="137">
        <v>3336</v>
      </c>
      <c r="F1995" s="137">
        <v>486</v>
      </c>
    </row>
    <row r="1996" spans="1:6" x14ac:dyDescent="0.25">
      <c r="A1996" s="137" t="s">
        <v>17064</v>
      </c>
      <c r="B1996" s="137" t="s">
        <v>137</v>
      </c>
      <c r="C1996" s="137" t="s">
        <v>837</v>
      </c>
      <c r="D1996" s="338">
        <v>7245</v>
      </c>
      <c r="E1996" s="137">
        <v>3401</v>
      </c>
      <c r="F1996" s="137">
        <v>551</v>
      </c>
    </row>
    <row r="1997" spans="1:6" x14ac:dyDescent="0.25">
      <c r="A1997" s="137" t="s">
        <v>17356</v>
      </c>
      <c r="B1997" s="137" t="s">
        <v>137</v>
      </c>
      <c r="C1997" s="137" t="s">
        <v>3072</v>
      </c>
      <c r="D1997" s="338">
        <v>12545</v>
      </c>
      <c r="E1997" s="137">
        <v>2689</v>
      </c>
      <c r="F1997" s="137">
        <v>789</v>
      </c>
    </row>
    <row r="1998" spans="1:6" x14ac:dyDescent="0.25">
      <c r="A1998" s="137" t="s">
        <v>17779</v>
      </c>
      <c r="B1998" s="137" t="s">
        <v>137</v>
      </c>
      <c r="C1998" s="137" t="s">
        <v>4508</v>
      </c>
      <c r="D1998" s="338">
        <v>3559</v>
      </c>
      <c r="E1998" s="137">
        <v>3064</v>
      </c>
      <c r="F1998" s="137">
        <v>214</v>
      </c>
    </row>
    <row r="1999" spans="1:6" x14ac:dyDescent="0.25">
      <c r="A1999" s="137" t="s">
        <v>17255</v>
      </c>
      <c r="B1999" s="137" t="s">
        <v>137</v>
      </c>
      <c r="C1999" s="137" t="s">
        <v>154</v>
      </c>
      <c r="D1999" s="338">
        <v>14615</v>
      </c>
      <c r="E1999" s="137">
        <v>3106</v>
      </c>
      <c r="F1999" s="137">
        <v>256</v>
      </c>
    </row>
    <row r="2000" spans="1:6" x14ac:dyDescent="0.25">
      <c r="A2000" s="137" t="s">
        <v>17065</v>
      </c>
      <c r="B2000" s="137" t="s">
        <v>137</v>
      </c>
      <c r="C2000" s="137" t="s">
        <v>4804</v>
      </c>
      <c r="D2000" s="338">
        <v>12701</v>
      </c>
      <c r="E2000" s="137">
        <v>3741</v>
      </c>
      <c r="F2000" s="137">
        <v>891</v>
      </c>
    </row>
    <row r="2001" spans="1:6" x14ac:dyDescent="0.25">
      <c r="A2001" s="137" t="s">
        <v>17544</v>
      </c>
      <c r="B2001" s="137" t="s">
        <v>137</v>
      </c>
      <c r="C2001" s="137" t="s">
        <v>5399</v>
      </c>
      <c r="D2001" s="338">
        <v>8391</v>
      </c>
      <c r="E2001" s="137">
        <v>2888</v>
      </c>
      <c r="F2001" s="137">
        <v>38</v>
      </c>
    </row>
    <row r="2002" spans="1:6" x14ac:dyDescent="0.25">
      <c r="A2002" s="137" t="s">
        <v>17759</v>
      </c>
      <c r="B2002" s="137" t="s">
        <v>137</v>
      </c>
      <c r="C2002" s="137" t="s">
        <v>5179</v>
      </c>
      <c r="D2002" s="137">
        <v>895</v>
      </c>
      <c r="E2002" s="137">
        <v>2734</v>
      </c>
      <c r="F2002" s="137">
        <v>834</v>
      </c>
    </row>
    <row r="2003" spans="1:6" x14ac:dyDescent="0.25">
      <c r="A2003" s="137" t="s">
        <v>18049</v>
      </c>
      <c r="B2003" s="137" t="s">
        <v>137</v>
      </c>
      <c r="C2003" s="137" t="s">
        <v>5055</v>
      </c>
      <c r="D2003" s="338">
        <v>4890</v>
      </c>
      <c r="E2003" s="137">
        <v>3225</v>
      </c>
      <c r="F2003" s="137">
        <v>375</v>
      </c>
    </row>
    <row r="2004" spans="1:6" x14ac:dyDescent="0.25">
      <c r="A2004" s="137" t="s">
        <v>17151</v>
      </c>
      <c r="B2004" s="137" t="s">
        <v>137</v>
      </c>
      <c r="C2004" s="137" t="s">
        <v>152</v>
      </c>
      <c r="D2004" s="338">
        <v>12081</v>
      </c>
      <c r="E2004" s="137">
        <v>5476</v>
      </c>
      <c r="F2004" s="137">
        <v>726</v>
      </c>
    </row>
    <row r="2005" spans="1:6" x14ac:dyDescent="0.25">
      <c r="A2005" s="137" t="s">
        <v>17494</v>
      </c>
      <c r="B2005" s="137" t="s">
        <v>137</v>
      </c>
      <c r="C2005" s="137" t="s">
        <v>5591</v>
      </c>
      <c r="D2005" s="338">
        <v>7766</v>
      </c>
      <c r="E2005" s="137">
        <v>2523</v>
      </c>
      <c r="F2005" s="137">
        <v>623</v>
      </c>
    </row>
    <row r="2006" spans="1:6" x14ac:dyDescent="0.25">
      <c r="A2006" s="137" t="s">
        <v>17066</v>
      </c>
      <c r="B2006" s="137" t="s">
        <v>137</v>
      </c>
      <c r="C2006" s="137" t="s">
        <v>3705</v>
      </c>
      <c r="D2006" s="338">
        <v>6981</v>
      </c>
      <c r="E2006" s="137">
        <v>3153</v>
      </c>
      <c r="F2006" s="137">
        <v>303</v>
      </c>
    </row>
    <row r="2007" spans="1:6" x14ac:dyDescent="0.25">
      <c r="A2007" s="137" t="s">
        <v>17257</v>
      </c>
      <c r="B2007" s="137" t="s">
        <v>137</v>
      </c>
      <c r="C2007" s="137" t="s">
        <v>5272</v>
      </c>
      <c r="D2007" s="338">
        <v>14438</v>
      </c>
      <c r="E2007" s="137">
        <v>2943</v>
      </c>
      <c r="F2007" s="137">
        <v>93</v>
      </c>
    </row>
    <row r="2008" spans="1:6" x14ac:dyDescent="0.25">
      <c r="A2008" s="137" t="s">
        <v>17067</v>
      </c>
      <c r="B2008" s="137" t="s">
        <v>137</v>
      </c>
      <c r="C2008" s="137" t="s">
        <v>880</v>
      </c>
      <c r="D2008" s="338">
        <v>9315</v>
      </c>
      <c r="E2008" s="137">
        <v>3126</v>
      </c>
      <c r="F2008" s="137">
        <v>276</v>
      </c>
    </row>
    <row r="2009" spans="1:6" x14ac:dyDescent="0.25">
      <c r="A2009" s="137" t="s">
        <v>17232</v>
      </c>
      <c r="B2009" s="137" t="s">
        <v>137</v>
      </c>
      <c r="C2009" s="137" t="s">
        <v>149</v>
      </c>
      <c r="D2009" s="338">
        <v>13328</v>
      </c>
      <c r="E2009" s="137">
        <v>3862</v>
      </c>
      <c r="F2009" s="137">
        <v>62</v>
      </c>
    </row>
    <row r="2010" spans="1:6" x14ac:dyDescent="0.25">
      <c r="A2010" s="137" t="s">
        <v>17269</v>
      </c>
      <c r="B2010" s="137" t="s">
        <v>137</v>
      </c>
      <c r="C2010" s="137" t="s">
        <v>5108</v>
      </c>
      <c r="D2010" s="338">
        <v>13825</v>
      </c>
      <c r="E2010" s="137">
        <v>3129</v>
      </c>
      <c r="F2010" s="137">
        <v>279</v>
      </c>
    </row>
    <row r="2011" spans="1:6" x14ac:dyDescent="0.25">
      <c r="A2011" s="137" t="s">
        <v>17157</v>
      </c>
      <c r="B2011" s="137" t="s">
        <v>137</v>
      </c>
      <c r="C2011" s="137" t="s">
        <v>5089</v>
      </c>
      <c r="D2011" s="338">
        <v>5922</v>
      </c>
      <c r="E2011" s="137">
        <v>4431</v>
      </c>
      <c r="F2011" s="137">
        <v>631</v>
      </c>
    </row>
    <row r="2012" spans="1:6" x14ac:dyDescent="0.25">
      <c r="A2012" s="137" t="s">
        <v>17220</v>
      </c>
      <c r="B2012" s="137" t="s">
        <v>137</v>
      </c>
      <c r="C2012" s="137" t="s">
        <v>147</v>
      </c>
      <c r="D2012" s="338">
        <v>14272</v>
      </c>
      <c r="E2012" s="137">
        <v>3298</v>
      </c>
      <c r="F2012" s="137">
        <v>448</v>
      </c>
    </row>
    <row r="2013" spans="1:6" x14ac:dyDescent="0.25">
      <c r="A2013" s="137" t="s">
        <v>17068</v>
      </c>
      <c r="B2013" s="137" t="s">
        <v>137</v>
      </c>
      <c r="C2013" s="137" t="s">
        <v>4032</v>
      </c>
      <c r="D2013" s="338">
        <v>13941</v>
      </c>
      <c r="E2013" s="137">
        <v>3108</v>
      </c>
      <c r="F2013" s="137">
        <v>258</v>
      </c>
    </row>
    <row r="2014" spans="1:6" x14ac:dyDescent="0.25">
      <c r="A2014" s="137" t="s">
        <v>17115</v>
      </c>
      <c r="B2014" s="137" t="s">
        <v>137</v>
      </c>
      <c r="C2014" s="137" t="s">
        <v>2425</v>
      </c>
      <c r="D2014" s="338">
        <v>10260</v>
      </c>
      <c r="E2014" s="137">
        <v>3601</v>
      </c>
      <c r="F2014" s="137">
        <v>751</v>
      </c>
    </row>
    <row r="2015" spans="1:6" x14ac:dyDescent="0.25">
      <c r="A2015" s="137" t="s">
        <v>18021</v>
      </c>
      <c r="B2015" s="137" t="s">
        <v>137</v>
      </c>
      <c r="C2015" s="137" t="s">
        <v>4243</v>
      </c>
      <c r="D2015" s="338">
        <v>6413</v>
      </c>
      <c r="E2015" s="137">
        <v>2740</v>
      </c>
      <c r="F2015" s="137">
        <v>840</v>
      </c>
    </row>
    <row r="2016" spans="1:6" x14ac:dyDescent="0.25">
      <c r="A2016" s="137" t="s">
        <v>17207</v>
      </c>
      <c r="B2016" s="137" t="s">
        <v>137</v>
      </c>
      <c r="C2016" s="137" t="s">
        <v>145</v>
      </c>
      <c r="D2016" s="338">
        <v>13064</v>
      </c>
      <c r="E2016" s="137">
        <v>4470</v>
      </c>
      <c r="F2016" s="137">
        <v>670</v>
      </c>
    </row>
    <row r="2017" spans="1:6" x14ac:dyDescent="0.25">
      <c r="A2017" s="137" t="s">
        <v>17177</v>
      </c>
      <c r="B2017" s="137" t="s">
        <v>137</v>
      </c>
      <c r="C2017" s="137" t="s">
        <v>928</v>
      </c>
      <c r="D2017" s="338">
        <v>11800</v>
      </c>
      <c r="E2017" s="137">
        <v>2799</v>
      </c>
      <c r="F2017" s="137">
        <v>899</v>
      </c>
    </row>
    <row r="2018" spans="1:6" x14ac:dyDescent="0.25">
      <c r="A2018" s="137" t="s">
        <v>17551</v>
      </c>
      <c r="B2018" s="137" t="s">
        <v>137</v>
      </c>
      <c r="C2018" s="137" t="s">
        <v>5084</v>
      </c>
      <c r="D2018" s="338">
        <v>8206</v>
      </c>
      <c r="E2018" s="137">
        <v>2733</v>
      </c>
      <c r="F2018" s="137">
        <v>833</v>
      </c>
    </row>
    <row r="2019" spans="1:6" x14ac:dyDescent="0.25">
      <c r="A2019" s="137" t="s">
        <v>17849</v>
      </c>
      <c r="B2019" s="137" t="s">
        <v>137</v>
      </c>
      <c r="C2019" s="137" t="s">
        <v>5563</v>
      </c>
      <c r="D2019" s="338">
        <v>5265</v>
      </c>
      <c r="E2019" s="137">
        <v>2525</v>
      </c>
      <c r="F2019" s="137">
        <v>625</v>
      </c>
    </row>
    <row r="2020" spans="1:6" x14ac:dyDescent="0.25">
      <c r="A2020" s="137" t="s">
        <v>17526</v>
      </c>
      <c r="B2020" s="137" t="s">
        <v>137</v>
      </c>
      <c r="C2020" s="137" t="s">
        <v>4985</v>
      </c>
      <c r="D2020" s="338">
        <v>9473</v>
      </c>
      <c r="E2020" s="137">
        <v>3402</v>
      </c>
      <c r="F2020" s="137">
        <v>552</v>
      </c>
    </row>
    <row r="2021" spans="1:6" x14ac:dyDescent="0.25">
      <c r="A2021" s="137" t="s">
        <v>17275</v>
      </c>
      <c r="B2021" s="137" t="s">
        <v>137</v>
      </c>
      <c r="C2021" s="137" t="s">
        <v>4943</v>
      </c>
      <c r="D2021" s="338">
        <v>13693</v>
      </c>
      <c r="E2021" s="137">
        <v>2908</v>
      </c>
      <c r="F2021" s="137">
        <v>58</v>
      </c>
    </row>
    <row r="2022" spans="1:6" x14ac:dyDescent="0.25">
      <c r="A2022" s="137" t="s">
        <v>17217</v>
      </c>
      <c r="B2022" s="137" t="s">
        <v>137</v>
      </c>
      <c r="C2022" s="137" t="s">
        <v>143</v>
      </c>
      <c r="D2022" s="338">
        <v>14594</v>
      </c>
      <c r="E2022" s="137">
        <v>2921</v>
      </c>
      <c r="F2022" s="137">
        <v>71</v>
      </c>
    </row>
    <row r="2023" spans="1:6" x14ac:dyDescent="0.25">
      <c r="A2023" s="137" t="s">
        <v>17592</v>
      </c>
      <c r="B2023" s="137" t="s">
        <v>137</v>
      </c>
      <c r="C2023" s="137" t="s">
        <v>5321</v>
      </c>
      <c r="D2023" s="338">
        <v>6474</v>
      </c>
      <c r="E2023" s="137">
        <v>3106</v>
      </c>
      <c r="F2023" s="137">
        <v>256</v>
      </c>
    </row>
    <row r="2024" spans="1:6" x14ac:dyDescent="0.25">
      <c r="A2024" s="137" t="s">
        <v>17832</v>
      </c>
      <c r="B2024" s="137" t="s">
        <v>137</v>
      </c>
      <c r="C2024" s="137" t="s">
        <v>5762</v>
      </c>
      <c r="D2024" s="338">
        <v>2992</v>
      </c>
      <c r="E2024" s="137">
        <v>3649</v>
      </c>
      <c r="F2024" s="137">
        <v>799</v>
      </c>
    </row>
    <row r="2025" spans="1:6" x14ac:dyDescent="0.25">
      <c r="A2025" s="137" t="s">
        <v>17471</v>
      </c>
      <c r="B2025" s="137" t="s">
        <v>137</v>
      </c>
      <c r="C2025" s="137" t="s">
        <v>5706</v>
      </c>
      <c r="D2025" s="338">
        <v>7353</v>
      </c>
      <c r="E2025" s="137">
        <v>2855</v>
      </c>
      <c r="F2025" s="137">
        <v>5</v>
      </c>
    </row>
    <row r="2026" spans="1:6" x14ac:dyDescent="0.25">
      <c r="A2026" s="137" t="s">
        <v>17490</v>
      </c>
      <c r="B2026" s="137" t="s">
        <v>137</v>
      </c>
      <c r="C2026" s="137" t="s">
        <v>140</v>
      </c>
      <c r="D2026" s="338">
        <v>7862</v>
      </c>
      <c r="E2026" s="137">
        <v>3865</v>
      </c>
      <c r="F2026" s="137">
        <v>65</v>
      </c>
    </row>
    <row r="2027" spans="1:6" x14ac:dyDescent="0.25">
      <c r="A2027" s="137" t="s">
        <v>17530</v>
      </c>
      <c r="B2027" s="137" t="s">
        <v>137</v>
      </c>
      <c r="C2027" s="137" t="s">
        <v>5358</v>
      </c>
      <c r="D2027" s="338">
        <v>9211</v>
      </c>
      <c r="E2027" s="137">
        <v>3777</v>
      </c>
      <c r="F2027" s="137">
        <v>927</v>
      </c>
    </row>
    <row r="2028" spans="1:6" x14ac:dyDescent="0.25">
      <c r="A2028" s="137" t="s">
        <v>17117</v>
      </c>
      <c r="B2028" s="137" t="s">
        <v>137</v>
      </c>
      <c r="C2028" s="137" t="s">
        <v>3515</v>
      </c>
      <c r="D2028" s="338">
        <v>7574</v>
      </c>
      <c r="E2028" s="137">
        <v>3926</v>
      </c>
      <c r="F2028" s="137">
        <v>126</v>
      </c>
    </row>
    <row r="2029" spans="1:6" x14ac:dyDescent="0.25">
      <c r="A2029" s="137" t="s">
        <v>17069</v>
      </c>
      <c r="B2029" s="137" t="s">
        <v>137</v>
      </c>
      <c r="C2029" s="137" t="s">
        <v>3743</v>
      </c>
      <c r="D2029" s="338">
        <v>7083</v>
      </c>
      <c r="E2029" s="137">
        <v>3110</v>
      </c>
      <c r="F2029" s="137">
        <v>260</v>
      </c>
    </row>
    <row r="2030" spans="1:6" x14ac:dyDescent="0.25">
      <c r="A2030" s="137" t="s">
        <v>17070</v>
      </c>
      <c r="B2030" s="137" t="s">
        <v>137</v>
      </c>
      <c r="C2030" s="137" t="s">
        <v>2024</v>
      </c>
      <c r="D2030" s="338">
        <v>6100</v>
      </c>
      <c r="E2030" s="137">
        <v>3522</v>
      </c>
      <c r="F2030" s="137">
        <v>672</v>
      </c>
    </row>
    <row r="2031" spans="1:6" x14ac:dyDescent="0.25">
      <c r="A2031" s="137" t="s">
        <v>17071</v>
      </c>
      <c r="B2031" s="137" t="s">
        <v>137</v>
      </c>
      <c r="C2031" s="137" t="s">
        <v>2569</v>
      </c>
      <c r="D2031" s="338">
        <v>6655</v>
      </c>
      <c r="E2031" s="137">
        <v>2773</v>
      </c>
      <c r="F2031" s="137">
        <v>873</v>
      </c>
    </row>
    <row r="2032" spans="1:6" x14ac:dyDescent="0.25">
      <c r="A2032" s="137" t="s">
        <v>18086</v>
      </c>
      <c r="B2032" s="137" t="s">
        <v>137</v>
      </c>
      <c r="C2032" s="137" t="s">
        <v>3836</v>
      </c>
      <c r="D2032" s="338">
        <v>2361</v>
      </c>
      <c r="E2032" s="137">
        <v>2963</v>
      </c>
      <c r="F2032" s="137">
        <v>113</v>
      </c>
    </row>
    <row r="2033" spans="1:6" x14ac:dyDescent="0.25">
      <c r="A2033" s="137" t="s">
        <v>18082</v>
      </c>
      <c r="B2033" s="137" t="s">
        <v>137</v>
      </c>
      <c r="C2033" s="137" t="s">
        <v>3481</v>
      </c>
      <c r="D2033" s="338">
        <v>3008</v>
      </c>
      <c r="E2033" s="137">
        <v>3114</v>
      </c>
      <c r="F2033" s="137">
        <v>264</v>
      </c>
    </row>
    <row r="2034" spans="1:6" x14ac:dyDescent="0.25">
      <c r="A2034" s="137" t="s">
        <v>17848</v>
      </c>
      <c r="B2034" s="137" t="s">
        <v>137</v>
      </c>
      <c r="C2034" s="137" t="s">
        <v>5620</v>
      </c>
      <c r="D2034" s="338">
        <v>5490</v>
      </c>
      <c r="E2034" s="137">
        <v>2598</v>
      </c>
      <c r="F2034" s="137">
        <v>698</v>
      </c>
    </row>
    <row r="2035" spans="1:6" x14ac:dyDescent="0.25">
      <c r="A2035" s="137" t="s">
        <v>18080</v>
      </c>
      <c r="B2035" s="137" t="s">
        <v>137</v>
      </c>
      <c r="C2035" s="137" t="s">
        <v>3225</v>
      </c>
      <c r="D2035" s="338">
        <v>3485</v>
      </c>
      <c r="E2035" s="137">
        <v>3145</v>
      </c>
      <c r="F2035" s="137">
        <v>295</v>
      </c>
    </row>
    <row r="2036" spans="1:6" x14ac:dyDescent="0.25">
      <c r="A2036" s="137" t="s">
        <v>17521</v>
      </c>
      <c r="B2036" s="137" t="s">
        <v>137</v>
      </c>
      <c r="C2036" s="137" t="s">
        <v>4911</v>
      </c>
      <c r="D2036" s="338">
        <v>10120</v>
      </c>
      <c r="E2036" s="137">
        <v>2877</v>
      </c>
      <c r="F2036" s="137">
        <v>27</v>
      </c>
    </row>
    <row r="2037" spans="1:6" x14ac:dyDescent="0.25">
      <c r="A2037" s="137" t="s">
        <v>17164</v>
      </c>
      <c r="B2037" s="137" t="s">
        <v>137</v>
      </c>
      <c r="C2037" s="137" t="s">
        <v>4629</v>
      </c>
      <c r="D2037" s="338">
        <v>8700</v>
      </c>
      <c r="E2037" s="137">
        <v>4296</v>
      </c>
      <c r="F2037" s="137">
        <v>496</v>
      </c>
    </row>
    <row r="2038" spans="1:6" x14ac:dyDescent="0.25">
      <c r="A2038" s="137" t="s">
        <v>17839</v>
      </c>
      <c r="B2038" s="137" t="s">
        <v>137</v>
      </c>
      <c r="C2038" s="137" t="s">
        <v>124</v>
      </c>
      <c r="D2038" s="338">
        <v>2385</v>
      </c>
      <c r="E2038" s="137">
        <v>2923</v>
      </c>
      <c r="F2038" s="137">
        <v>73</v>
      </c>
    </row>
    <row r="2039" spans="1:6" x14ac:dyDescent="0.25">
      <c r="A2039" s="137" t="s">
        <v>17829</v>
      </c>
      <c r="B2039" s="137" t="s">
        <v>137</v>
      </c>
      <c r="C2039" s="137" t="s">
        <v>5734</v>
      </c>
      <c r="D2039" s="338">
        <v>4267</v>
      </c>
      <c r="E2039" s="137">
        <v>3285</v>
      </c>
      <c r="F2039" s="137">
        <v>435</v>
      </c>
    </row>
    <row r="2040" spans="1:6" x14ac:dyDescent="0.25">
      <c r="A2040" s="137" t="s">
        <v>17204</v>
      </c>
      <c r="B2040" s="137" t="s">
        <v>137</v>
      </c>
      <c r="C2040" s="137" t="s">
        <v>122</v>
      </c>
      <c r="D2040" s="338">
        <v>13496</v>
      </c>
      <c r="E2040" s="137">
        <v>5154</v>
      </c>
      <c r="F2040" s="137">
        <v>404</v>
      </c>
    </row>
    <row r="2041" spans="1:6" x14ac:dyDescent="0.25">
      <c r="A2041" s="137" t="s">
        <v>18065</v>
      </c>
      <c r="B2041" s="137" t="s">
        <v>137</v>
      </c>
      <c r="C2041" s="137" t="s">
        <v>4387</v>
      </c>
      <c r="D2041" s="338">
        <v>5275</v>
      </c>
      <c r="E2041" s="137">
        <v>2879</v>
      </c>
      <c r="F2041" s="137">
        <v>29</v>
      </c>
    </row>
    <row r="2042" spans="1:6" x14ac:dyDescent="0.25">
      <c r="A2042" s="137" t="s">
        <v>18063</v>
      </c>
      <c r="B2042" s="137" t="s">
        <v>137</v>
      </c>
      <c r="C2042" s="137" t="s">
        <v>4433</v>
      </c>
      <c r="D2042" s="338">
        <v>6676</v>
      </c>
      <c r="E2042" s="137">
        <v>2641</v>
      </c>
      <c r="F2042" s="137">
        <v>741</v>
      </c>
    </row>
    <row r="2043" spans="1:6" x14ac:dyDescent="0.25">
      <c r="A2043" s="137" t="s">
        <v>17468</v>
      </c>
      <c r="B2043" s="137" t="s">
        <v>137</v>
      </c>
      <c r="C2043" s="137" t="s">
        <v>120</v>
      </c>
      <c r="D2043" s="338">
        <v>7445</v>
      </c>
      <c r="E2043" s="137">
        <v>3290</v>
      </c>
      <c r="F2043" s="137">
        <v>440</v>
      </c>
    </row>
    <row r="2044" spans="1:6" x14ac:dyDescent="0.25">
      <c r="A2044" s="137" t="s">
        <v>18058</v>
      </c>
      <c r="B2044" s="137" t="s">
        <v>137</v>
      </c>
      <c r="C2044" s="137" t="s">
        <v>4973</v>
      </c>
      <c r="D2044" s="338">
        <v>1235</v>
      </c>
      <c r="E2044" s="137">
        <v>3429</v>
      </c>
      <c r="F2044" s="137">
        <v>579</v>
      </c>
    </row>
    <row r="2045" spans="1:6" x14ac:dyDescent="0.25">
      <c r="A2045" s="137" t="s">
        <v>17256</v>
      </c>
      <c r="B2045" s="137" t="s">
        <v>137</v>
      </c>
      <c r="C2045" s="137" t="s">
        <v>5137</v>
      </c>
      <c r="D2045" s="338">
        <v>14479</v>
      </c>
      <c r="E2045" s="137">
        <v>3443</v>
      </c>
      <c r="F2045" s="137">
        <v>593</v>
      </c>
    </row>
    <row r="2046" spans="1:6" x14ac:dyDescent="0.25">
      <c r="A2046" s="137" t="s">
        <v>18070</v>
      </c>
      <c r="B2046" s="137" t="s">
        <v>137</v>
      </c>
      <c r="C2046" s="137" t="s">
        <v>3553</v>
      </c>
      <c r="D2046" s="338">
        <v>4666</v>
      </c>
      <c r="E2046" s="137">
        <v>2602</v>
      </c>
      <c r="F2046" s="137">
        <v>702</v>
      </c>
    </row>
    <row r="2047" spans="1:6" x14ac:dyDescent="0.25">
      <c r="A2047" s="137" t="s">
        <v>17822</v>
      </c>
      <c r="B2047" s="137" t="s">
        <v>137</v>
      </c>
      <c r="C2047" s="137" t="s">
        <v>5079</v>
      </c>
      <c r="D2047" s="338">
        <v>1475</v>
      </c>
      <c r="E2047" s="137">
        <v>2957</v>
      </c>
      <c r="F2047" s="137">
        <v>107</v>
      </c>
    </row>
    <row r="2048" spans="1:6" x14ac:dyDescent="0.25">
      <c r="A2048" s="137" t="s">
        <v>17547</v>
      </c>
      <c r="B2048" s="137" t="s">
        <v>137</v>
      </c>
      <c r="C2048" s="137" t="s">
        <v>4727</v>
      </c>
      <c r="D2048" s="338">
        <v>8324</v>
      </c>
      <c r="E2048" s="137">
        <v>2839</v>
      </c>
      <c r="F2048" s="137">
        <v>939</v>
      </c>
    </row>
    <row r="2049" spans="1:6" x14ac:dyDescent="0.25">
      <c r="A2049" s="137" t="s">
        <v>17072</v>
      </c>
      <c r="B2049" s="137" t="s">
        <v>137</v>
      </c>
      <c r="C2049" s="137" t="s">
        <v>2625</v>
      </c>
      <c r="D2049" s="338">
        <v>11380</v>
      </c>
      <c r="E2049" s="137">
        <v>2828</v>
      </c>
      <c r="F2049" s="137">
        <v>928</v>
      </c>
    </row>
    <row r="2050" spans="1:6" x14ac:dyDescent="0.25">
      <c r="A2050" s="137" t="s">
        <v>17073</v>
      </c>
      <c r="B2050" s="137" t="s">
        <v>137</v>
      </c>
      <c r="C2050" s="137" t="s">
        <v>4835</v>
      </c>
      <c r="D2050" s="338">
        <v>9357</v>
      </c>
      <c r="E2050" s="137">
        <v>2832</v>
      </c>
      <c r="F2050" s="137">
        <v>932</v>
      </c>
    </row>
    <row r="2051" spans="1:6" x14ac:dyDescent="0.25">
      <c r="A2051" s="137" t="s">
        <v>17485</v>
      </c>
      <c r="B2051" s="137" t="s">
        <v>137</v>
      </c>
      <c r="C2051" s="137" t="s">
        <v>5602</v>
      </c>
      <c r="D2051" s="338">
        <v>8195</v>
      </c>
      <c r="E2051" s="137">
        <v>3785</v>
      </c>
      <c r="F2051" s="137">
        <v>935</v>
      </c>
    </row>
    <row r="2052" spans="1:6" x14ac:dyDescent="0.25">
      <c r="A2052" s="137" t="s">
        <v>17173</v>
      </c>
      <c r="B2052" s="137" t="s">
        <v>137</v>
      </c>
      <c r="C2052" s="137" t="s">
        <v>2663</v>
      </c>
      <c r="D2052" s="338">
        <v>11988</v>
      </c>
      <c r="E2052" s="137">
        <v>3130</v>
      </c>
      <c r="F2052" s="137">
        <v>280</v>
      </c>
    </row>
    <row r="2053" spans="1:6" x14ac:dyDescent="0.25">
      <c r="A2053" s="137" t="s">
        <v>17758</v>
      </c>
      <c r="B2053" s="137" t="s">
        <v>137</v>
      </c>
      <c r="C2053" s="137" t="s">
        <v>4990</v>
      </c>
      <c r="D2053" s="338">
        <v>1170</v>
      </c>
      <c r="E2053" s="137">
        <v>2657</v>
      </c>
      <c r="F2053" s="137">
        <v>757</v>
      </c>
    </row>
    <row r="2054" spans="1:6" x14ac:dyDescent="0.25">
      <c r="A2054" s="137" t="s">
        <v>17756</v>
      </c>
      <c r="B2054" s="137" t="s">
        <v>137</v>
      </c>
      <c r="C2054" s="137" t="s">
        <v>5323</v>
      </c>
      <c r="D2054" s="338">
        <v>1305</v>
      </c>
      <c r="E2054" s="137">
        <v>3303</v>
      </c>
      <c r="F2054" s="137">
        <v>453</v>
      </c>
    </row>
    <row r="2055" spans="1:6" x14ac:dyDescent="0.25">
      <c r="A2055" s="137" t="s">
        <v>17763</v>
      </c>
      <c r="B2055" s="137" t="s">
        <v>137</v>
      </c>
      <c r="C2055" s="137" t="s">
        <v>4977</v>
      </c>
      <c r="D2055" s="137">
        <v>415</v>
      </c>
      <c r="E2055" s="137">
        <v>2364</v>
      </c>
      <c r="F2055" s="137">
        <v>464</v>
      </c>
    </row>
    <row r="2056" spans="1:6" x14ac:dyDescent="0.25">
      <c r="A2056" s="137" t="s">
        <v>18061</v>
      </c>
      <c r="B2056" s="137" t="s">
        <v>137</v>
      </c>
      <c r="C2056" s="137" t="s">
        <v>3761</v>
      </c>
      <c r="D2056" s="338">
        <v>7963</v>
      </c>
      <c r="E2056" s="137">
        <v>2418</v>
      </c>
      <c r="F2056" s="137">
        <v>518</v>
      </c>
    </row>
    <row r="2057" spans="1:6" x14ac:dyDescent="0.25">
      <c r="A2057" s="137" t="s">
        <v>17226</v>
      </c>
      <c r="B2057" s="137" t="s">
        <v>137</v>
      </c>
      <c r="C2057" s="137" t="s">
        <v>5497</v>
      </c>
      <c r="D2057" s="338">
        <v>13635</v>
      </c>
      <c r="E2057" s="137">
        <v>3941</v>
      </c>
      <c r="F2057" s="137">
        <v>141</v>
      </c>
    </row>
    <row r="2058" spans="1:6" x14ac:dyDescent="0.25">
      <c r="A2058" s="137" t="s">
        <v>17202</v>
      </c>
      <c r="B2058" s="137" t="s">
        <v>137</v>
      </c>
      <c r="C2058" s="137" t="s">
        <v>114</v>
      </c>
      <c r="D2058" s="338">
        <v>14288</v>
      </c>
      <c r="E2058" s="137">
        <v>4068</v>
      </c>
      <c r="F2058" s="137">
        <v>268</v>
      </c>
    </row>
    <row r="2059" spans="1:6" x14ac:dyDescent="0.25">
      <c r="A2059" s="137" t="s">
        <v>17747</v>
      </c>
      <c r="B2059" s="137" t="s">
        <v>137</v>
      </c>
      <c r="C2059" s="137" t="s">
        <v>5210</v>
      </c>
      <c r="D2059" s="338">
        <v>3455</v>
      </c>
      <c r="E2059" s="137">
        <v>3636</v>
      </c>
      <c r="F2059" s="137">
        <v>786</v>
      </c>
    </row>
    <row r="2060" spans="1:6" x14ac:dyDescent="0.25">
      <c r="A2060" s="137" t="s">
        <v>17074</v>
      </c>
      <c r="B2060" s="137" t="s">
        <v>137</v>
      </c>
      <c r="C2060" s="137" t="s">
        <v>5155</v>
      </c>
      <c r="D2060" s="338">
        <v>6542</v>
      </c>
      <c r="E2060" s="137">
        <v>3911</v>
      </c>
      <c r="F2060" s="137">
        <v>111</v>
      </c>
    </row>
    <row r="2061" spans="1:6" x14ac:dyDescent="0.25">
      <c r="A2061" s="137" t="s">
        <v>17075</v>
      </c>
      <c r="B2061" s="137" t="s">
        <v>137</v>
      </c>
      <c r="C2061" s="137" t="s">
        <v>3799</v>
      </c>
      <c r="D2061" s="338">
        <v>6647</v>
      </c>
      <c r="E2061" s="137">
        <v>3201</v>
      </c>
      <c r="F2061" s="137">
        <v>351</v>
      </c>
    </row>
    <row r="2062" spans="1:6" x14ac:dyDescent="0.25">
      <c r="A2062" s="137" t="s">
        <v>18048</v>
      </c>
      <c r="B2062" s="137" t="s">
        <v>137</v>
      </c>
      <c r="C2062" s="137" t="s">
        <v>5425</v>
      </c>
      <c r="D2062" s="338">
        <v>5062</v>
      </c>
      <c r="E2062" s="137">
        <v>3578</v>
      </c>
      <c r="F2062" s="137">
        <v>728</v>
      </c>
    </row>
    <row r="2063" spans="1:6" x14ac:dyDescent="0.25">
      <c r="A2063" s="137" t="s">
        <v>18019</v>
      </c>
      <c r="B2063" s="137" t="s">
        <v>137</v>
      </c>
      <c r="C2063" s="137" t="s">
        <v>3850</v>
      </c>
      <c r="D2063" s="338">
        <v>6910</v>
      </c>
      <c r="E2063" s="137">
        <v>2593</v>
      </c>
      <c r="F2063" s="137">
        <v>693</v>
      </c>
    </row>
    <row r="2064" spans="1:6" x14ac:dyDescent="0.25">
      <c r="A2064" s="137" t="s">
        <v>18016</v>
      </c>
      <c r="B2064" s="137" t="s">
        <v>137</v>
      </c>
      <c r="C2064" s="137" t="s">
        <v>3323</v>
      </c>
      <c r="D2064" s="338">
        <v>7812</v>
      </c>
      <c r="E2064" s="137">
        <v>2437</v>
      </c>
      <c r="F2064" s="137">
        <v>537</v>
      </c>
    </row>
    <row r="2065" spans="1:6" x14ac:dyDescent="0.25">
      <c r="A2065" s="137" t="s">
        <v>17523</v>
      </c>
      <c r="B2065" s="137" t="s">
        <v>137</v>
      </c>
      <c r="C2065" s="137" t="s">
        <v>5219</v>
      </c>
      <c r="D2065" s="338">
        <v>9680</v>
      </c>
      <c r="E2065" s="137">
        <v>2761</v>
      </c>
      <c r="F2065" s="137">
        <v>861</v>
      </c>
    </row>
    <row r="2066" spans="1:6" x14ac:dyDescent="0.25">
      <c r="A2066" s="137" t="s">
        <v>17537</v>
      </c>
      <c r="B2066" s="137" t="s">
        <v>137</v>
      </c>
      <c r="C2066" s="137" t="s">
        <v>5255</v>
      </c>
      <c r="D2066" s="338">
        <v>8658</v>
      </c>
      <c r="E2066" s="137">
        <v>3126</v>
      </c>
      <c r="F2066" s="137">
        <v>276</v>
      </c>
    </row>
    <row r="2067" spans="1:6" x14ac:dyDescent="0.25">
      <c r="A2067" s="137" t="s">
        <v>17447</v>
      </c>
      <c r="B2067" s="137" t="s">
        <v>137</v>
      </c>
      <c r="C2067" s="137" t="s">
        <v>14212</v>
      </c>
      <c r="D2067" s="338">
        <v>15054</v>
      </c>
      <c r="E2067" s="137">
        <v>2194</v>
      </c>
      <c r="F2067" s="137">
        <v>294</v>
      </c>
    </row>
    <row r="2068" spans="1:6" x14ac:dyDescent="0.25">
      <c r="A2068" s="137" t="s">
        <v>18022</v>
      </c>
      <c r="B2068" s="137" t="s">
        <v>137</v>
      </c>
      <c r="C2068" s="137" t="s">
        <v>2671</v>
      </c>
      <c r="D2068" s="338">
        <v>5855</v>
      </c>
      <c r="E2068" s="137">
        <v>2231</v>
      </c>
      <c r="F2068" s="137">
        <v>331</v>
      </c>
    </row>
    <row r="2069" spans="1:6" x14ac:dyDescent="0.25">
      <c r="A2069" s="137" t="s">
        <v>17209</v>
      </c>
      <c r="B2069" s="137" t="s">
        <v>137</v>
      </c>
      <c r="C2069" s="137" t="s">
        <v>110</v>
      </c>
      <c r="D2069" s="338">
        <v>11832</v>
      </c>
      <c r="E2069" s="137">
        <v>4835</v>
      </c>
      <c r="F2069" s="137">
        <v>85</v>
      </c>
    </row>
    <row r="2070" spans="1:6" x14ac:dyDescent="0.25">
      <c r="A2070" s="137" t="s">
        <v>17165</v>
      </c>
      <c r="B2070" s="137" t="s">
        <v>137</v>
      </c>
      <c r="C2070" s="137" t="s">
        <v>4979</v>
      </c>
      <c r="D2070" s="338">
        <v>14574</v>
      </c>
      <c r="E2070" s="137">
        <v>2346</v>
      </c>
      <c r="F2070" s="137">
        <v>446</v>
      </c>
    </row>
    <row r="2071" spans="1:6" x14ac:dyDescent="0.25">
      <c r="A2071" s="137" t="s">
        <v>17646</v>
      </c>
      <c r="B2071" s="137" t="s">
        <v>137</v>
      </c>
      <c r="C2071" s="137" t="s">
        <v>3597</v>
      </c>
      <c r="D2071" s="338">
        <v>8735</v>
      </c>
      <c r="E2071" s="137">
        <v>2447</v>
      </c>
      <c r="F2071" s="137">
        <v>547</v>
      </c>
    </row>
    <row r="2072" spans="1:6" x14ac:dyDescent="0.25">
      <c r="A2072" s="137" t="s">
        <v>17292</v>
      </c>
      <c r="B2072" s="137" t="s">
        <v>137</v>
      </c>
      <c r="C2072" s="137" t="s">
        <v>4756</v>
      </c>
      <c r="D2072" s="338">
        <v>12104</v>
      </c>
      <c r="E2072" s="137">
        <v>4531</v>
      </c>
      <c r="F2072" s="137">
        <v>731</v>
      </c>
    </row>
    <row r="2073" spans="1:6" x14ac:dyDescent="0.25">
      <c r="A2073" s="137" t="s">
        <v>17752</v>
      </c>
      <c r="B2073" s="137" t="s">
        <v>137</v>
      </c>
      <c r="C2073" s="137" t="s">
        <v>4922</v>
      </c>
      <c r="D2073" s="338">
        <v>1879</v>
      </c>
      <c r="E2073" s="137">
        <v>3605</v>
      </c>
      <c r="F2073" s="137">
        <v>755</v>
      </c>
    </row>
    <row r="2074" spans="1:6" x14ac:dyDescent="0.25">
      <c r="A2074" s="137" t="s">
        <v>17852</v>
      </c>
      <c r="B2074" s="137" t="s">
        <v>137</v>
      </c>
      <c r="C2074" s="137" t="s">
        <v>5651</v>
      </c>
      <c r="D2074" s="338">
        <v>4728</v>
      </c>
      <c r="E2074" s="137">
        <v>2723</v>
      </c>
      <c r="F2074" s="137">
        <v>823</v>
      </c>
    </row>
    <row r="2075" spans="1:6" x14ac:dyDescent="0.25">
      <c r="A2075" s="137" t="s">
        <v>17245</v>
      </c>
      <c r="B2075" s="137" t="s">
        <v>137</v>
      </c>
      <c r="C2075" s="137" t="s">
        <v>5457</v>
      </c>
      <c r="D2075" s="338">
        <v>9598</v>
      </c>
      <c r="E2075" s="137">
        <v>4235</v>
      </c>
      <c r="F2075" s="137">
        <v>435</v>
      </c>
    </row>
    <row r="2076" spans="1:6" x14ac:dyDescent="0.25">
      <c r="A2076" s="137" t="s">
        <v>18037</v>
      </c>
      <c r="B2076" s="137" t="s">
        <v>137</v>
      </c>
      <c r="C2076" s="137" t="s">
        <v>103</v>
      </c>
      <c r="D2076" s="338">
        <v>5782</v>
      </c>
      <c r="E2076" s="137">
        <v>3630</v>
      </c>
      <c r="F2076" s="137">
        <v>780</v>
      </c>
    </row>
    <row r="2077" spans="1:6" x14ac:dyDescent="0.25">
      <c r="A2077" s="137" t="s">
        <v>17591</v>
      </c>
      <c r="B2077" s="137" t="s">
        <v>137</v>
      </c>
      <c r="C2077" s="137" t="s">
        <v>4955</v>
      </c>
      <c r="D2077" s="338">
        <v>6505</v>
      </c>
      <c r="E2077" s="137">
        <v>2348</v>
      </c>
      <c r="F2077" s="137">
        <v>448</v>
      </c>
    </row>
    <row r="2078" spans="1:6" x14ac:dyDescent="0.25">
      <c r="A2078" s="137" t="s">
        <v>17076</v>
      </c>
      <c r="B2078" s="137" t="s">
        <v>137</v>
      </c>
      <c r="C2078" s="137" t="s">
        <v>3292</v>
      </c>
      <c r="D2078" s="338">
        <v>10112</v>
      </c>
      <c r="E2078" s="137">
        <v>3955</v>
      </c>
      <c r="F2078" s="137">
        <v>155</v>
      </c>
    </row>
    <row r="2079" spans="1:6" x14ac:dyDescent="0.25">
      <c r="A2079" s="137" t="s">
        <v>17287</v>
      </c>
      <c r="B2079" s="137" t="s">
        <v>137</v>
      </c>
      <c r="C2079" s="137" t="s">
        <v>5204</v>
      </c>
      <c r="D2079" s="338">
        <v>12821</v>
      </c>
      <c r="E2079" s="137">
        <v>3166</v>
      </c>
      <c r="F2079" s="137">
        <v>316</v>
      </c>
    </row>
    <row r="2080" spans="1:6" x14ac:dyDescent="0.25">
      <c r="A2080" s="137" t="s">
        <v>17764</v>
      </c>
      <c r="B2080" s="137" t="s">
        <v>137</v>
      </c>
      <c r="C2080" s="137" t="s">
        <v>5147</v>
      </c>
      <c r="D2080" s="137">
        <v>277</v>
      </c>
      <c r="E2080" s="137">
        <v>2457</v>
      </c>
      <c r="F2080" s="137">
        <v>557</v>
      </c>
    </row>
    <row r="2081" spans="1:6" x14ac:dyDescent="0.25">
      <c r="A2081" s="137" t="s">
        <v>17824</v>
      </c>
      <c r="B2081" s="137" t="s">
        <v>137</v>
      </c>
      <c r="C2081" s="137" t="s">
        <v>5717</v>
      </c>
      <c r="D2081" s="338">
        <v>5529</v>
      </c>
      <c r="E2081" s="137">
        <v>2882</v>
      </c>
      <c r="F2081" s="137">
        <v>32</v>
      </c>
    </row>
    <row r="2082" spans="1:6" x14ac:dyDescent="0.25">
      <c r="A2082" s="137" t="s">
        <v>17168</v>
      </c>
      <c r="B2082" s="137" t="s">
        <v>137</v>
      </c>
      <c r="C2082" s="137" t="s">
        <v>3772</v>
      </c>
      <c r="D2082" s="338">
        <v>14152</v>
      </c>
      <c r="E2082" s="137">
        <v>2052</v>
      </c>
      <c r="F2082" s="137">
        <v>152</v>
      </c>
    </row>
    <row r="2083" spans="1:6" x14ac:dyDescent="0.25">
      <c r="A2083" s="137" t="s">
        <v>17825</v>
      </c>
      <c r="B2083" s="137" t="s">
        <v>137</v>
      </c>
      <c r="C2083" s="137" t="s">
        <v>5737</v>
      </c>
      <c r="D2083" s="338">
        <v>5277</v>
      </c>
      <c r="E2083" s="137">
        <v>3061</v>
      </c>
      <c r="F2083" s="137">
        <v>211</v>
      </c>
    </row>
    <row r="2084" spans="1:6" x14ac:dyDescent="0.25">
      <c r="A2084" s="137" t="s">
        <v>17201</v>
      </c>
      <c r="B2084" s="137" t="s">
        <v>137</v>
      </c>
      <c r="C2084" s="137" t="s">
        <v>97</v>
      </c>
      <c r="D2084" s="338">
        <v>14295</v>
      </c>
      <c r="E2084" s="137">
        <v>3797</v>
      </c>
      <c r="F2084" s="137">
        <v>947</v>
      </c>
    </row>
    <row r="2085" spans="1:6" x14ac:dyDescent="0.25">
      <c r="A2085" s="137" t="s">
        <v>17233</v>
      </c>
      <c r="B2085" s="137" t="s">
        <v>137</v>
      </c>
      <c r="C2085" s="137" t="s">
        <v>95</v>
      </c>
      <c r="D2085" s="338">
        <v>13128</v>
      </c>
      <c r="E2085" s="137">
        <v>4257</v>
      </c>
      <c r="F2085" s="137">
        <v>457</v>
      </c>
    </row>
    <row r="2086" spans="1:6" x14ac:dyDescent="0.25">
      <c r="A2086" s="137" t="s">
        <v>17289</v>
      </c>
      <c r="B2086" s="137" t="s">
        <v>137</v>
      </c>
      <c r="C2086" s="137" t="s">
        <v>5369</v>
      </c>
      <c r="D2086" s="338">
        <v>12556</v>
      </c>
      <c r="E2086" s="137">
        <v>3521</v>
      </c>
      <c r="F2086" s="137">
        <v>671</v>
      </c>
    </row>
    <row r="2087" spans="1:6" x14ac:dyDescent="0.25">
      <c r="A2087" s="137" t="s">
        <v>17077</v>
      </c>
      <c r="B2087" s="137" t="s">
        <v>137</v>
      </c>
      <c r="C2087" s="137" t="s">
        <v>4570</v>
      </c>
      <c r="D2087" s="338">
        <v>5217</v>
      </c>
      <c r="E2087" s="137">
        <v>3489</v>
      </c>
      <c r="F2087" s="137">
        <v>639</v>
      </c>
    </row>
    <row r="2088" spans="1:6" x14ac:dyDescent="0.25">
      <c r="A2088" s="137" t="s">
        <v>17746</v>
      </c>
      <c r="B2088" s="137" t="s">
        <v>137</v>
      </c>
      <c r="C2088" s="137" t="s">
        <v>5114</v>
      </c>
      <c r="D2088" s="338">
        <v>3912</v>
      </c>
      <c r="E2088" s="137">
        <v>3386</v>
      </c>
      <c r="F2088" s="137">
        <v>536</v>
      </c>
    </row>
    <row r="2089" spans="1:6" x14ac:dyDescent="0.25">
      <c r="A2089" s="137" t="s">
        <v>18064</v>
      </c>
      <c r="B2089" s="137" t="s">
        <v>137</v>
      </c>
      <c r="C2089" s="137" t="s">
        <v>2597</v>
      </c>
      <c r="D2089" s="338">
        <v>5464</v>
      </c>
      <c r="E2089" s="137">
        <v>2331</v>
      </c>
      <c r="F2089" s="137">
        <v>431</v>
      </c>
    </row>
    <row r="2090" spans="1:6" x14ac:dyDescent="0.25">
      <c r="A2090" s="137" t="s">
        <v>17754</v>
      </c>
      <c r="B2090" s="137" t="s">
        <v>137</v>
      </c>
      <c r="C2090" s="137" t="s">
        <v>5298</v>
      </c>
      <c r="D2090" s="338">
        <v>1599</v>
      </c>
      <c r="E2090" s="137">
        <v>3177</v>
      </c>
      <c r="F2090" s="137">
        <v>327</v>
      </c>
    </row>
    <row r="2091" spans="1:6" x14ac:dyDescent="0.25">
      <c r="A2091" s="137" t="s">
        <v>17742</v>
      </c>
      <c r="B2091" s="137" t="s">
        <v>137</v>
      </c>
      <c r="C2091" s="137" t="s">
        <v>5532</v>
      </c>
      <c r="D2091" s="137">
        <v>663</v>
      </c>
      <c r="E2091" s="137">
        <v>2775</v>
      </c>
      <c r="F2091" s="137">
        <v>875</v>
      </c>
    </row>
    <row r="2092" spans="1:6" x14ac:dyDescent="0.25">
      <c r="A2092" s="137" t="s">
        <v>17277</v>
      </c>
      <c r="B2092" s="137" t="s">
        <v>137</v>
      </c>
      <c r="C2092" s="137" t="s">
        <v>4750</v>
      </c>
      <c r="D2092" s="338">
        <v>13654</v>
      </c>
      <c r="E2092" s="137">
        <v>3507</v>
      </c>
      <c r="F2092" s="137">
        <v>657</v>
      </c>
    </row>
    <row r="2093" spans="1:6" x14ac:dyDescent="0.25">
      <c r="A2093" s="137" t="s">
        <v>17365</v>
      </c>
      <c r="B2093" s="137" t="s">
        <v>137</v>
      </c>
      <c r="C2093" s="137" t="s">
        <v>2766</v>
      </c>
      <c r="D2093" s="338">
        <v>12283</v>
      </c>
      <c r="E2093" s="137">
        <v>3266</v>
      </c>
      <c r="F2093" s="137">
        <v>416</v>
      </c>
    </row>
    <row r="2094" spans="1:6" x14ac:dyDescent="0.25">
      <c r="A2094" s="137" t="s">
        <v>17828</v>
      </c>
      <c r="B2094" s="137" t="s">
        <v>137</v>
      </c>
      <c r="C2094" s="137" t="s">
        <v>5676</v>
      </c>
      <c r="D2094" s="338">
        <v>4504</v>
      </c>
      <c r="E2094" s="137">
        <v>2719</v>
      </c>
      <c r="F2094" s="137">
        <v>819</v>
      </c>
    </row>
    <row r="2095" spans="1:6" x14ac:dyDescent="0.25">
      <c r="A2095" s="137" t="s">
        <v>17589</v>
      </c>
      <c r="B2095" s="137" t="s">
        <v>137</v>
      </c>
      <c r="C2095" s="137" t="s">
        <v>87</v>
      </c>
      <c r="D2095" s="338">
        <v>6592</v>
      </c>
      <c r="E2095" s="137">
        <v>2910</v>
      </c>
      <c r="F2095" s="137">
        <v>60</v>
      </c>
    </row>
    <row r="2096" spans="1:6" x14ac:dyDescent="0.25">
      <c r="A2096" s="137" t="s">
        <v>17531</v>
      </c>
      <c r="B2096" s="137" t="s">
        <v>137</v>
      </c>
      <c r="C2096" s="137" t="s">
        <v>5190</v>
      </c>
      <c r="D2096" s="338">
        <v>9071</v>
      </c>
      <c r="E2096" s="137">
        <v>3333</v>
      </c>
      <c r="F2096" s="137">
        <v>483</v>
      </c>
    </row>
    <row r="2097" spans="1:6" x14ac:dyDescent="0.25">
      <c r="A2097" s="137" t="s">
        <v>17078</v>
      </c>
      <c r="B2097" s="137" t="s">
        <v>137</v>
      </c>
      <c r="C2097" s="137" t="s">
        <v>4398</v>
      </c>
      <c r="D2097" s="338">
        <v>14417</v>
      </c>
      <c r="E2097" s="137">
        <v>1960</v>
      </c>
      <c r="F2097" s="137">
        <v>60</v>
      </c>
    </row>
    <row r="2098" spans="1:6" x14ac:dyDescent="0.25">
      <c r="A2098" s="137" t="s">
        <v>17112</v>
      </c>
      <c r="B2098" s="137" t="s">
        <v>137</v>
      </c>
      <c r="C2098" s="137" t="s">
        <v>1965</v>
      </c>
      <c r="D2098" s="338">
        <v>10526</v>
      </c>
      <c r="E2098" s="137">
        <v>3534</v>
      </c>
      <c r="F2098" s="137">
        <v>684</v>
      </c>
    </row>
    <row r="2099" spans="1:6" x14ac:dyDescent="0.25">
      <c r="A2099" s="137" t="s">
        <v>18074</v>
      </c>
      <c r="B2099" s="137" t="s">
        <v>137</v>
      </c>
      <c r="C2099" s="137" t="s">
        <v>3107</v>
      </c>
      <c r="D2099" s="338">
        <v>4250</v>
      </c>
      <c r="E2099" s="137">
        <v>3021</v>
      </c>
      <c r="F2099" s="137">
        <v>171</v>
      </c>
    </row>
    <row r="2100" spans="1:6" x14ac:dyDescent="0.25">
      <c r="A2100" s="137" t="s">
        <v>18075</v>
      </c>
      <c r="B2100" s="137" t="s">
        <v>137</v>
      </c>
      <c r="C2100" s="137" t="s">
        <v>4100</v>
      </c>
      <c r="D2100" s="338">
        <v>4168</v>
      </c>
      <c r="E2100" s="137">
        <v>3382</v>
      </c>
      <c r="F2100" s="137">
        <v>532</v>
      </c>
    </row>
    <row r="2101" spans="1:6" x14ac:dyDescent="0.25">
      <c r="A2101" s="137" t="s">
        <v>18040</v>
      </c>
      <c r="B2101" s="137" t="s">
        <v>137</v>
      </c>
      <c r="C2101" s="137" t="s">
        <v>5509</v>
      </c>
      <c r="D2101" s="338">
        <v>5112</v>
      </c>
      <c r="E2101" s="137">
        <v>3729</v>
      </c>
      <c r="F2101" s="137">
        <v>879</v>
      </c>
    </row>
    <row r="2102" spans="1:6" x14ac:dyDescent="0.25">
      <c r="A2102" s="137" t="s">
        <v>17130</v>
      </c>
      <c r="B2102" s="137" t="s">
        <v>137</v>
      </c>
      <c r="C2102" s="137" t="s">
        <v>5513</v>
      </c>
      <c r="D2102" s="338">
        <v>10590</v>
      </c>
      <c r="E2102" s="137">
        <v>4798</v>
      </c>
      <c r="F2102" s="137">
        <v>48</v>
      </c>
    </row>
    <row r="2103" spans="1:6" x14ac:dyDescent="0.25">
      <c r="A2103" s="137" t="s">
        <v>17823</v>
      </c>
      <c r="B2103" s="137" t="s">
        <v>137</v>
      </c>
      <c r="C2103" s="137" t="s">
        <v>4537</v>
      </c>
      <c r="D2103" s="137">
        <v>199</v>
      </c>
      <c r="E2103" s="137">
        <v>1963</v>
      </c>
      <c r="F2103" s="137">
        <v>63</v>
      </c>
    </row>
    <row r="2104" spans="1:6" x14ac:dyDescent="0.25">
      <c r="A2104" s="137" t="s">
        <v>17472</v>
      </c>
      <c r="B2104" s="137" t="s">
        <v>137</v>
      </c>
      <c r="C2104" s="137" t="s">
        <v>84</v>
      </c>
      <c r="D2104" s="338">
        <v>7203</v>
      </c>
      <c r="E2104" s="137">
        <v>3477</v>
      </c>
      <c r="F2104" s="137">
        <v>627</v>
      </c>
    </row>
    <row r="2105" spans="1:6" x14ac:dyDescent="0.25">
      <c r="A2105" s="137" t="s">
        <v>17492</v>
      </c>
      <c r="B2105" s="137" t="s">
        <v>137</v>
      </c>
      <c r="C2105" s="137" t="s">
        <v>5585</v>
      </c>
      <c r="D2105" s="338">
        <v>7855</v>
      </c>
      <c r="E2105" s="137">
        <v>3058</v>
      </c>
      <c r="F2105" s="137">
        <v>208</v>
      </c>
    </row>
    <row r="2106" spans="1:6" x14ac:dyDescent="0.25">
      <c r="A2106" s="137" t="s">
        <v>17575</v>
      </c>
      <c r="B2106" s="137" t="s">
        <v>137</v>
      </c>
      <c r="C2106" s="137" t="s">
        <v>5251</v>
      </c>
      <c r="D2106" s="338">
        <v>7559</v>
      </c>
      <c r="E2106" s="137">
        <v>2962</v>
      </c>
      <c r="F2106" s="137">
        <v>112</v>
      </c>
    </row>
    <row r="2107" spans="1:6" x14ac:dyDescent="0.25">
      <c r="A2107" s="137" t="s">
        <v>17479</v>
      </c>
      <c r="B2107" s="137" t="s">
        <v>137</v>
      </c>
      <c r="C2107" s="137" t="s">
        <v>79</v>
      </c>
      <c r="D2107" s="338">
        <v>9466</v>
      </c>
      <c r="E2107" s="137">
        <v>4427</v>
      </c>
      <c r="F2107" s="137">
        <v>627</v>
      </c>
    </row>
    <row r="2108" spans="1:6" x14ac:dyDescent="0.25">
      <c r="A2108" s="137" t="s">
        <v>17588</v>
      </c>
      <c r="B2108" s="137" t="s">
        <v>137</v>
      </c>
      <c r="C2108" s="137" t="s">
        <v>5313</v>
      </c>
      <c r="D2108" s="338">
        <v>6710</v>
      </c>
      <c r="E2108" s="137">
        <v>2602</v>
      </c>
      <c r="F2108" s="137">
        <v>702</v>
      </c>
    </row>
    <row r="2109" spans="1:6" x14ac:dyDescent="0.25">
      <c r="A2109" s="137" t="s">
        <v>18001</v>
      </c>
      <c r="B2109" s="137" t="s">
        <v>137</v>
      </c>
      <c r="C2109" s="137" t="s">
        <v>4997</v>
      </c>
      <c r="D2109" s="338">
        <v>2751</v>
      </c>
      <c r="E2109" s="137">
        <v>2447</v>
      </c>
      <c r="F2109" s="137">
        <v>547</v>
      </c>
    </row>
    <row r="2110" spans="1:6" x14ac:dyDescent="0.25">
      <c r="A2110" s="137" t="s">
        <v>17295</v>
      </c>
      <c r="B2110" s="137" t="s">
        <v>137</v>
      </c>
      <c r="C2110" s="137" t="s">
        <v>5035</v>
      </c>
      <c r="D2110" s="338">
        <v>12049</v>
      </c>
      <c r="E2110" s="137">
        <v>4066</v>
      </c>
      <c r="F2110" s="137">
        <v>266</v>
      </c>
    </row>
    <row r="2111" spans="1:6" x14ac:dyDescent="0.25">
      <c r="A2111" s="137" t="s">
        <v>17552</v>
      </c>
      <c r="B2111" s="137" t="s">
        <v>137</v>
      </c>
      <c r="C2111" s="137" t="s">
        <v>4971</v>
      </c>
      <c r="D2111" s="338">
        <v>8147</v>
      </c>
      <c r="E2111" s="137">
        <v>2560</v>
      </c>
      <c r="F2111" s="137">
        <v>660</v>
      </c>
    </row>
    <row r="2112" spans="1:6" x14ac:dyDescent="0.25">
      <c r="A2112" s="137" t="s">
        <v>17224</v>
      </c>
      <c r="B2112" s="137" t="s">
        <v>137</v>
      </c>
      <c r="C2112" s="137" t="s">
        <v>63</v>
      </c>
      <c r="D2112" s="338">
        <v>13776</v>
      </c>
      <c r="E2112" s="137">
        <v>4414</v>
      </c>
      <c r="F2112" s="137">
        <v>614</v>
      </c>
    </row>
    <row r="2113" spans="1:6" x14ac:dyDescent="0.25">
      <c r="A2113" s="137" t="s">
        <v>17291</v>
      </c>
      <c r="B2113" s="137" t="s">
        <v>137</v>
      </c>
      <c r="C2113" s="137" t="s">
        <v>4969</v>
      </c>
      <c r="D2113" s="338">
        <v>12276</v>
      </c>
      <c r="E2113" s="137">
        <v>4332</v>
      </c>
      <c r="F2113" s="137">
        <v>532</v>
      </c>
    </row>
    <row r="2114" spans="1:6" x14ac:dyDescent="0.25">
      <c r="A2114" s="137" t="s">
        <v>17612</v>
      </c>
      <c r="B2114" s="137" t="s">
        <v>137</v>
      </c>
      <c r="C2114" s="137" t="s">
        <v>4223</v>
      </c>
      <c r="D2114" s="338">
        <v>10727</v>
      </c>
      <c r="E2114" s="137">
        <v>3508</v>
      </c>
      <c r="F2114" s="137">
        <v>658</v>
      </c>
    </row>
    <row r="2115" spans="1:6" x14ac:dyDescent="0.25">
      <c r="A2115" s="137" t="s">
        <v>17079</v>
      </c>
      <c r="B2115" s="137" t="s">
        <v>137</v>
      </c>
      <c r="C2115" s="137" t="s">
        <v>3012</v>
      </c>
      <c r="D2115" s="338">
        <v>12031</v>
      </c>
      <c r="E2115" s="137">
        <v>3110</v>
      </c>
      <c r="F2115" s="137">
        <v>260</v>
      </c>
    </row>
    <row r="2116" spans="1:6" x14ac:dyDescent="0.25">
      <c r="A2116" s="137" t="s">
        <v>17080</v>
      </c>
      <c r="B2116" s="137" t="s">
        <v>137</v>
      </c>
      <c r="C2116" s="137" t="s">
        <v>3373</v>
      </c>
      <c r="D2116" s="338">
        <v>10550</v>
      </c>
      <c r="E2116" s="137">
        <v>3233</v>
      </c>
      <c r="F2116" s="137">
        <v>383</v>
      </c>
    </row>
    <row r="2117" spans="1:6" x14ac:dyDescent="0.25">
      <c r="A2117" s="137" t="s">
        <v>17596</v>
      </c>
      <c r="B2117" s="137" t="s">
        <v>137</v>
      </c>
      <c r="C2117" s="137" t="s">
        <v>3388</v>
      </c>
      <c r="D2117" s="338">
        <v>4885</v>
      </c>
      <c r="E2117" s="137">
        <v>2180</v>
      </c>
      <c r="F2117" s="137">
        <v>280</v>
      </c>
    </row>
    <row r="2118" spans="1:6" x14ac:dyDescent="0.25">
      <c r="A2118" s="137" t="s">
        <v>17594</v>
      </c>
      <c r="B2118" s="137" t="s">
        <v>137</v>
      </c>
      <c r="C2118" s="137" t="s">
        <v>5277</v>
      </c>
      <c r="D2118" s="338">
        <v>5761</v>
      </c>
      <c r="E2118" s="137">
        <v>2601</v>
      </c>
      <c r="F2118" s="137">
        <v>701</v>
      </c>
    </row>
    <row r="2119" spans="1:6" x14ac:dyDescent="0.25">
      <c r="A2119" s="137" t="s">
        <v>17509</v>
      </c>
      <c r="B2119" s="137" t="s">
        <v>137</v>
      </c>
      <c r="C2119" s="137" t="s">
        <v>5536</v>
      </c>
      <c r="D2119" s="338">
        <v>5740</v>
      </c>
      <c r="E2119" s="137">
        <v>2853</v>
      </c>
      <c r="F2119" s="137">
        <v>3</v>
      </c>
    </row>
    <row r="2120" spans="1:6" x14ac:dyDescent="0.25">
      <c r="A2120" s="137" t="s">
        <v>17081</v>
      </c>
      <c r="B2120" s="137" t="s">
        <v>137</v>
      </c>
      <c r="C2120" s="137" t="s">
        <v>820</v>
      </c>
      <c r="D2120" s="338">
        <v>7841</v>
      </c>
      <c r="E2120" s="137">
        <v>2192</v>
      </c>
      <c r="F2120" s="137">
        <v>292</v>
      </c>
    </row>
    <row r="2121" spans="1:6" x14ac:dyDescent="0.25">
      <c r="A2121" s="137" t="s">
        <v>17241</v>
      </c>
      <c r="B2121" s="137" t="s">
        <v>137</v>
      </c>
      <c r="C2121" s="137" t="s">
        <v>58</v>
      </c>
      <c r="D2121" s="338">
        <v>11556</v>
      </c>
      <c r="E2121" s="137">
        <v>4986</v>
      </c>
      <c r="F2121" s="137">
        <v>236</v>
      </c>
    </row>
    <row r="2122" spans="1:6" x14ac:dyDescent="0.25">
      <c r="A2122" s="137" t="s">
        <v>17082</v>
      </c>
      <c r="B2122" s="137" t="s">
        <v>137</v>
      </c>
      <c r="C2122" s="137" t="s">
        <v>527</v>
      </c>
      <c r="D2122" s="338">
        <v>7383</v>
      </c>
      <c r="E2122" s="137">
        <v>2078</v>
      </c>
      <c r="F2122" s="137">
        <v>178</v>
      </c>
    </row>
    <row r="2123" spans="1:6" x14ac:dyDescent="0.25">
      <c r="A2123" s="137" t="s">
        <v>17744</v>
      </c>
      <c r="B2123" s="137" t="s">
        <v>137</v>
      </c>
      <c r="C2123" s="137" t="s">
        <v>5269</v>
      </c>
      <c r="D2123" s="338">
        <v>4705</v>
      </c>
      <c r="E2123" s="137">
        <v>3175</v>
      </c>
      <c r="F2123" s="137">
        <v>325</v>
      </c>
    </row>
    <row r="2124" spans="1:6" x14ac:dyDescent="0.25">
      <c r="A2124" s="137" t="s">
        <v>17155</v>
      </c>
      <c r="B2124" s="137" t="s">
        <v>137</v>
      </c>
      <c r="C2124" s="137" t="s">
        <v>5171</v>
      </c>
      <c r="D2124" s="338">
        <v>8496</v>
      </c>
      <c r="E2124" s="137">
        <v>3396</v>
      </c>
      <c r="F2124" s="137">
        <v>546</v>
      </c>
    </row>
    <row r="2125" spans="1:6" x14ac:dyDescent="0.25">
      <c r="A2125" s="137" t="s">
        <v>17083</v>
      </c>
      <c r="B2125" s="137" t="s">
        <v>137</v>
      </c>
      <c r="C2125" s="137" t="s">
        <v>1933</v>
      </c>
      <c r="D2125" s="338">
        <v>14435</v>
      </c>
      <c r="E2125" s="137">
        <v>1581</v>
      </c>
      <c r="F2125" s="137">
        <v>-319</v>
      </c>
    </row>
    <row r="2126" spans="1:6" x14ac:dyDescent="0.25">
      <c r="A2126" s="137" t="s">
        <v>18072</v>
      </c>
      <c r="B2126" s="137" t="s">
        <v>137</v>
      </c>
      <c r="C2126" s="137" t="s">
        <v>3251</v>
      </c>
      <c r="D2126" s="338">
        <v>4540</v>
      </c>
      <c r="E2126" s="137">
        <v>2754</v>
      </c>
      <c r="F2126" s="137">
        <v>854</v>
      </c>
    </row>
    <row r="2127" spans="1:6" x14ac:dyDescent="0.25">
      <c r="A2127" s="137" t="s">
        <v>17750</v>
      </c>
      <c r="B2127" s="137" t="s">
        <v>137</v>
      </c>
      <c r="C2127" s="137" t="s">
        <v>5070</v>
      </c>
      <c r="D2127" s="338">
        <v>2867</v>
      </c>
      <c r="E2127" s="137">
        <v>3533</v>
      </c>
      <c r="F2127" s="137">
        <v>683</v>
      </c>
    </row>
    <row r="2128" spans="1:6" x14ac:dyDescent="0.25">
      <c r="A2128" s="137" t="s">
        <v>17538</v>
      </c>
      <c r="B2128" s="137" t="s">
        <v>137</v>
      </c>
      <c r="C2128" s="137" t="s">
        <v>4930</v>
      </c>
      <c r="D2128" s="338">
        <v>8630</v>
      </c>
      <c r="E2128" s="137">
        <v>2837</v>
      </c>
      <c r="F2128" s="137">
        <v>937</v>
      </c>
    </row>
    <row r="2129" spans="1:6" x14ac:dyDescent="0.25">
      <c r="A2129" s="137" t="s">
        <v>17501</v>
      </c>
      <c r="B2129" s="137" t="s">
        <v>137</v>
      </c>
      <c r="C2129" s="137" t="s">
        <v>5475</v>
      </c>
      <c r="D2129" s="338">
        <v>7298</v>
      </c>
      <c r="E2129" s="137">
        <v>2389</v>
      </c>
      <c r="F2129" s="137">
        <v>489</v>
      </c>
    </row>
    <row r="2130" spans="1:6" x14ac:dyDescent="0.25">
      <c r="A2130" s="137" t="s">
        <v>17243</v>
      </c>
      <c r="B2130" s="137" t="s">
        <v>137</v>
      </c>
      <c r="C2130" s="137" t="s">
        <v>55</v>
      </c>
      <c r="D2130" s="338">
        <v>10447</v>
      </c>
      <c r="E2130" s="137">
        <v>3859</v>
      </c>
      <c r="F2130" s="137">
        <v>59</v>
      </c>
    </row>
    <row r="2131" spans="1:6" x14ac:dyDescent="0.25">
      <c r="A2131" s="137" t="s">
        <v>17084</v>
      </c>
      <c r="B2131" s="137" t="s">
        <v>137</v>
      </c>
      <c r="C2131" s="137" t="s">
        <v>2946</v>
      </c>
      <c r="D2131" s="338">
        <v>8007</v>
      </c>
      <c r="E2131" s="137">
        <v>2681</v>
      </c>
      <c r="F2131" s="137">
        <v>781</v>
      </c>
    </row>
    <row r="2132" spans="1:6" x14ac:dyDescent="0.25">
      <c r="A2132" s="137" t="s">
        <v>17085</v>
      </c>
      <c r="B2132" s="137" t="s">
        <v>137</v>
      </c>
      <c r="C2132" s="137" t="s">
        <v>673</v>
      </c>
      <c r="D2132" s="338">
        <v>7364</v>
      </c>
      <c r="E2132" s="137">
        <v>2203</v>
      </c>
      <c r="F2132" s="137">
        <v>303</v>
      </c>
    </row>
    <row r="2133" spans="1:6" x14ac:dyDescent="0.25">
      <c r="A2133" s="137" t="s">
        <v>17272</v>
      </c>
      <c r="B2133" s="137" t="s">
        <v>137</v>
      </c>
      <c r="C2133" s="137" t="s">
        <v>52</v>
      </c>
      <c r="D2133" s="338">
        <v>13774</v>
      </c>
      <c r="E2133" s="137">
        <v>4189</v>
      </c>
      <c r="F2133" s="137">
        <v>389</v>
      </c>
    </row>
    <row r="2134" spans="1:6" x14ac:dyDescent="0.25">
      <c r="A2134" s="137" t="s">
        <v>17086</v>
      </c>
      <c r="B2134" s="137" t="s">
        <v>137</v>
      </c>
      <c r="C2134" s="137" t="s">
        <v>50</v>
      </c>
      <c r="D2134" s="338">
        <v>6714</v>
      </c>
      <c r="E2134" s="137">
        <v>3315</v>
      </c>
      <c r="F2134" s="137">
        <v>465</v>
      </c>
    </row>
    <row r="2135" spans="1:6" x14ac:dyDescent="0.25">
      <c r="A2135" s="137" t="s">
        <v>17087</v>
      </c>
      <c r="B2135" s="137" t="s">
        <v>137</v>
      </c>
      <c r="C2135" s="137" t="s">
        <v>4211</v>
      </c>
      <c r="D2135" s="338">
        <v>13708</v>
      </c>
      <c r="E2135" s="137">
        <v>4365</v>
      </c>
      <c r="F2135" s="137">
        <v>565</v>
      </c>
    </row>
    <row r="2136" spans="1:6" x14ac:dyDescent="0.25">
      <c r="A2136" s="137" t="s">
        <v>17871</v>
      </c>
      <c r="B2136" s="137" t="s">
        <v>137</v>
      </c>
      <c r="C2136" s="137" t="s">
        <v>5647</v>
      </c>
      <c r="D2136" s="338">
        <v>1477</v>
      </c>
      <c r="E2136" s="137">
        <v>2659</v>
      </c>
      <c r="F2136" s="137">
        <v>759</v>
      </c>
    </row>
    <row r="2137" spans="1:6" x14ac:dyDescent="0.25">
      <c r="A2137" s="137" t="s">
        <v>17198</v>
      </c>
      <c r="B2137" s="137" t="s">
        <v>137</v>
      </c>
      <c r="C2137" s="137" t="s">
        <v>47</v>
      </c>
      <c r="D2137" s="338">
        <v>14948</v>
      </c>
      <c r="E2137" s="137">
        <v>3194</v>
      </c>
      <c r="F2137" s="137">
        <v>344</v>
      </c>
    </row>
    <row r="2138" spans="1:6" x14ac:dyDescent="0.25">
      <c r="A2138" s="137" t="s">
        <v>18084</v>
      </c>
      <c r="B2138" s="137" t="s">
        <v>137</v>
      </c>
      <c r="C2138" s="137" t="s">
        <v>3416</v>
      </c>
      <c r="D2138" s="338">
        <v>2826</v>
      </c>
      <c r="E2138" s="137">
        <v>3103</v>
      </c>
      <c r="F2138" s="137">
        <v>253</v>
      </c>
    </row>
    <row r="2139" spans="1:6" x14ac:dyDescent="0.25">
      <c r="A2139" s="137" t="s">
        <v>17566</v>
      </c>
      <c r="B2139" s="137" t="s">
        <v>137</v>
      </c>
      <c r="C2139" s="137" t="s">
        <v>5234</v>
      </c>
      <c r="D2139" s="338">
        <v>7833</v>
      </c>
      <c r="E2139" s="137">
        <v>3180</v>
      </c>
      <c r="F2139" s="137">
        <v>330</v>
      </c>
    </row>
    <row r="2140" spans="1:6" x14ac:dyDescent="0.25">
      <c r="A2140" s="137" t="s">
        <v>17567</v>
      </c>
      <c r="B2140" s="137" t="s">
        <v>137</v>
      </c>
      <c r="C2140" s="137" t="s">
        <v>4847</v>
      </c>
      <c r="D2140" s="338">
        <v>7822</v>
      </c>
      <c r="E2140" s="137">
        <v>2828</v>
      </c>
      <c r="F2140" s="137">
        <v>928</v>
      </c>
    </row>
    <row r="2141" spans="1:6" x14ac:dyDescent="0.25">
      <c r="A2141" s="137" t="s">
        <v>18081</v>
      </c>
      <c r="B2141" s="137" t="s">
        <v>137</v>
      </c>
      <c r="C2141" s="137" t="s">
        <v>3442</v>
      </c>
      <c r="D2141" s="338">
        <v>3058</v>
      </c>
      <c r="E2141" s="137">
        <v>3200</v>
      </c>
      <c r="F2141" s="137">
        <v>350</v>
      </c>
    </row>
    <row r="2142" spans="1:6" x14ac:dyDescent="0.25">
      <c r="A2142" s="137" t="s">
        <v>17250</v>
      </c>
      <c r="B2142" s="137" t="s">
        <v>137</v>
      </c>
      <c r="C2142" s="137" t="s">
        <v>5257</v>
      </c>
      <c r="D2142" s="338">
        <v>14939</v>
      </c>
      <c r="E2142" s="137">
        <v>2438</v>
      </c>
      <c r="F2142" s="137">
        <v>538</v>
      </c>
    </row>
    <row r="2143" spans="1:6" x14ac:dyDescent="0.25">
      <c r="A2143" s="137" t="s">
        <v>17606</v>
      </c>
      <c r="B2143" s="137" t="s">
        <v>137</v>
      </c>
      <c r="C2143" s="137" t="s">
        <v>4677</v>
      </c>
      <c r="D2143" s="338">
        <v>11510</v>
      </c>
      <c r="E2143" s="137">
        <v>3601</v>
      </c>
      <c r="F2143" s="137">
        <v>751</v>
      </c>
    </row>
    <row r="2144" spans="1:6" x14ac:dyDescent="0.25">
      <c r="A2144" s="137" t="s">
        <v>17278</v>
      </c>
      <c r="B2144" s="137" t="s">
        <v>137</v>
      </c>
      <c r="C2144" s="137" t="s">
        <v>42</v>
      </c>
      <c r="D2144" s="338">
        <v>13524</v>
      </c>
      <c r="E2144" s="137">
        <v>4143</v>
      </c>
      <c r="F2144" s="137">
        <v>343</v>
      </c>
    </row>
    <row r="2145" spans="1:6" x14ac:dyDescent="0.25">
      <c r="A2145" s="137" t="s">
        <v>17187</v>
      </c>
      <c r="B2145" s="137" t="s">
        <v>137</v>
      </c>
      <c r="C2145" s="137" t="s">
        <v>5295</v>
      </c>
      <c r="D2145" s="338">
        <v>8136</v>
      </c>
      <c r="E2145" s="137">
        <v>3574</v>
      </c>
      <c r="F2145" s="137">
        <v>724</v>
      </c>
    </row>
    <row r="2146" spans="1:6" x14ac:dyDescent="0.25">
      <c r="A2146" s="137" t="s">
        <v>17487</v>
      </c>
      <c r="B2146" s="137" t="s">
        <v>137</v>
      </c>
      <c r="C2146" s="137" t="s">
        <v>5631</v>
      </c>
      <c r="D2146" s="338">
        <v>8086</v>
      </c>
      <c r="E2146" s="137">
        <v>3260</v>
      </c>
      <c r="F2146" s="137">
        <v>410</v>
      </c>
    </row>
    <row r="2147" spans="1:6" x14ac:dyDescent="0.25">
      <c r="A2147" s="137" t="s">
        <v>17273</v>
      </c>
      <c r="B2147" s="137" t="s">
        <v>137</v>
      </c>
      <c r="C2147" s="137" t="s">
        <v>5331</v>
      </c>
      <c r="D2147" s="338">
        <v>13734</v>
      </c>
      <c r="E2147" s="137">
        <v>4031</v>
      </c>
      <c r="F2147" s="137">
        <v>231</v>
      </c>
    </row>
    <row r="2148" spans="1:6" x14ac:dyDescent="0.25">
      <c r="A2148" s="137" t="s">
        <v>17305</v>
      </c>
      <c r="B2148" s="137" t="s">
        <v>137</v>
      </c>
      <c r="C2148" s="137" t="s">
        <v>4849</v>
      </c>
      <c r="D2148" s="338">
        <v>10392</v>
      </c>
      <c r="E2148" s="137">
        <v>3913</v>
      </c>
      <c r="F2148" s="137">
        <v>113</v>
      </c>
    </row>
    <row r="2149" spans="1:6" x14ac:dyDescent="0.25">
      <c r="A2149" s="137" t="s">
        <v>18056</v>
      </c>
      <c r="B2149" s="137" t="s">
        <v>137</v>
      </c>
      <c r="C2149" s="137" t="s">
        <v>5336</v>
      </c>
      <c r="D2149" s="338">
        <v>2189</v>
      </c>
      <c r="E2149" s="137">
        <v>4027</v>
      </c>
      <c r="F2149" s="137">
        <v>227</v>
      </c>
    </row>
    <row r="2150" spans="1:6" x14ac:dyDescent="0.25">
      <c r="A2150" s="137" t="s">
        <v>17234</v>
      </c>
      <c r="B2150" s="137" t="s">
        <v>137</v>
      </c>
      <c r="C2150" s="137" t="s">
        <v>34</v>
      </c>
      <c r="D2150" s="338">
        <v>12771</v>
      </c>
      <c r="E2150" s="137">
        <v>4198</v>
      </c>
      <c r="F2150" s="137">
        <v>398</v>
      </c>
    </row>
    <row r="2151" spans="1:6" x14ac:dyDescent="0.25">
      <c r="A2151" s="137" t="s">
        <v>18015</v>
      </c>
      <c r="B2151" s="137" t="s">
        <v>137</v>
      </c>
      <c r="C2151" s="137" t="s">
        <v>4078</v>
      </c>
      <c r="D2151" s="338">
        <v>8174</v>
      </c>
      <c r="E2151" s="137">
        <v>2676</v>
      </c>
      <c r="F2151" s="137">
        <v>776</v>
      </c>
    </row>
    <row r="2152" spans="1:6" x14ac:dyDescent="0.25">
      <c r="A2152" s="137" t="s">
        <v>17088</v>
      </c>
      <c r="B2152" s="137" t="s">
        <v>137</v>
      </c>
      <c r="C2152" s="137" t="s">
        <v>1851</v>
      </c>
      <c r="D2152" s="338">
        <v>11314</v>
      </c>
      <c r="E2152" s="137">
        <v>3040</v>
      </c>
      <c r="F2152" s="137">
        <v>190</v>
      </c>
    </row>
    <row r="2153" spans="1:6" x14ac:dyDescent="0.25">
      <c r="A2153" s="137" t="s">
        <v>17089</v>
      </c>
      <c r="B2153" s="137" t="s">
        <v>137</v>
      </c>
      <c r="C2153" s="137" t="s">
        <v>2490</v>
      </c>
      <c r="D2153" s="338">
        <v>10331</v>
      </c>
      <c r="E2153" s="137">
        <v>3722</v>
      </c>
      <c r="F2153" s="137">
        <v>872</v>
      </c>
    </row>
    <row r="2154" spans="1:6" x14ac:dyDescent="0.25">
      <c r="A2154" s="137" t="s">
        <v>17486</v>
      </c>
      <c r="B2154" s="137" t="s">
        <v>137</v>
      </c>
      <c r="C2154" s="137" t="s">
        <v>5473</v>
      </c>
      <c r="D2154" s="338">
        <v>8140</v>
      </c>
      <c r="E2154" s="137">
        <v>2902</v>
      </c>
      <c r="F2154" s="137">
        <v>52</v>
      </c>
    </row>
    <row r="2155" spans="1:6" x14ac:dyDescent="0.25">
      <c r="A2155" s="137" t="s">
        <v>18046</v>
      </c>
      <c r="B2155" s="137" t="s">
        <v>137</v>
      </c>
      <c r="C2155" s="137" t="s">
        <v>5380</v>
      </c>
      <c r="D2155" s="338">
        <v>5372</v>
      </c>
      <c r="E2155" s="137">
        <v>3638</v>
      </c>
      <c r="F2155" s="137">
        <v>788</v>
      </c>
    </row>
    <row r="2156" spans="1:6" x14ac:dyDescent="0.25">
      <c r="A2156" s="137" t="s">
        <v>17090</v>
      </c>
      <c r="B2156" s="137" t="s">
        <v>137</v>
      </c>
      <c r="C2156" s="137" t="s">
        <v>1598</v>
      </c>
      <c r="D2156" s="338">
        <v>10636</v>
      </c>
      <c r="E2156" s="137">
        <v>3409</v>
      </c>
      <c r="F2156" s="137">
        <v>559</v>
      </c>
    </row>
    <row r="2157" spans="1:6" x14ac:dyDescent="0.25">
      <c r="A2157" s="137" t="s">
        <v>17462</v>
      </c>
      <c r="B2157" s="137" t="s">
        <v>137</v>
      </c>
      <c r="C2157" s="137" t="s">
        <v>27</v>
      </c>
      <c r="D2157" s="338">
        <v>8401</v>
      </c>
      <c r="E2157" s="137">
        <v>3653</v>
      </c>
      <c r="F2157" s="137">
        <v>803</v>
      </c>
    </row>
    <row r="2158" spans="1:6" x14ac:dyDescent="0.25">
      <c r="A2158" s="137" t="s">
        <v>17091</v>
      </c>
      <c r="B2158" s="137" t="s">
        <v>137</v>
      </c>
      <c r="C2158" s="137" t="s">
        <v>1393</v>
      </c>
      <c r="D2158" s="338">
        <v>5838</v>
      </c>
      <c r="E2158" s="137">
        <v>2637</v>
      </c>
      <c r="F2158" s="137">
        <v>737</v>
      </c>
    </row>
    <row r="2159" spans="1:6" x14ac:dyDescent="0.25">
      <c r="A2159" s="137" t="s">
        <v>17478</v>
      </c>
      <c r="B2159" s="137" t="s">
        <v>137</v>
      </c>
      <c r="C2159" s="137" t="s">
        <v>5511</v>
      </c>
      <c r="D2159" s="338">
        <v>9477</v>
      </c>
      <c r="E2159" s="137">
        <v>3985</v>
      </c>
      <c r="F2159" s="137">
        <v>185</v>
      </c>
    </row>
    <row r="2160" spans="1:6" x14ac:dyDescent="0.25">
      <c r="A2160" s="137" t="s">
        <v>17580</v>
      </c>
      <c r="B2160" s="137" t="s">
        <v>137</v>
      </c>
      <c r="C2160" s="137" t="s">
        <v>5416</v>
      </c>
      <c r="D2160" s="338">
        <v>7171</v>
      </c>
      <c r="E2160" s="137">
        <v>2747</v>
      </c>
      <c r="F2160" s="137">
        <v>847</v>
      </c>
    </row>
    <row r="2161" spans="1:6" x14ac:dyDescent="0.25">
      <c r="A2161" s="137" t="s">
        <v>17092</v>
      </c>
      <c r="B2161" s="137" t="s">
        <v>137</v>
      </c>
      <c r="C2161" s="137" t="s">
        <v>3023</v>
      </c>
      <c r="D2161" s="338">
        <v>13645</v>
      </c>
      <c r="E2161" s="137">
        <v>3237</v>
      </c>
      <c r="F2161" s="137">
        <v>387</v>
      </c>
    </row>
    <row r="2162" spans="1:6" x14ac:dyDescent="0.25">
      <c r="A2162" s="137" t="s">
        <v>18092</v>
      </c>
      <c r="B2162" s="137" t="s">
        <v>137</v>
      </c>
      <c r="C2162" s="137" t="s">
        <v>4058</v>
      </c>
      <c r="D2162" s="338">
        <v>1048</v>
      </c>
      <c r="E2162" s="137">
        <v>2796</v>
      </c>
      <c r="F2162" s="137">
        <v>896</v>
      </c>
    </row>
    <row r="2163" spans="1:6" x14ac:dyDescent="0.25">
      <c r="A2163" s="137" t="s">
        <v>17534</v>
      </c>
      <c r="B2163" s="137" t="s">
        <v>137</v>
      </c>
      <c r="C2163" s="137" t="s">
        <v>4999</v>
      </c>
      <c r="D2163" s="338">
        <v>8808</v>
      </c>
      <c r="E2163" s="137">
        <v>2954</v>
      </c>
      <c r="F2163" s="137">
        <v>104</v>
      </c>
    </row>
    <row r="2164" spans="1:6" x14ac:dyDescent="0.25">
      <c r="A2164" s="137" t="s">
        <v>17093</v>
      </c>
      <c r="B2164" s="137" t="s">
        <v>137</v>
      </c>
      <c r="C2164" s="137" t="s">
        <v>3371</v>
      </c>
      <c r="D2164" s="338">
        <v>10401</v>
      </c>
      <c r="E2164" s="137">
        <v>3890</v>
      </c>
      <c r="F2164" s="137">
        <v>90</v>
      </c>
    </row>
    <row r="2165" spans="1:6" x14ac:dyDescent="0.25">
      <c r="A2165" s="137" t="s">
        <v>17311</v>
      </c>
      <c r="B2165" s="137" t="s">
        <v>137</v>
      </c>
      <c r="C2165" s="137" t="s">
        <v>24</v>
      </c>
      <c r="D2165" s="338">
        <v>15176</v>
      </c>
      <c r="E2165" s="137">
        <v>3023</v>
      </c>
      <c r="F2165" s="137">
        <v>173</v>
      </c>
    </row>
    <row r="2166" spans="1:6" x14ac:dyDescent="0.25">
      <c r="A2166" s="137" t="s">
        <v>18076</v>
      </c>
      <c r="B2166" s="137" t="s">
        <v>137</v>
      </c>
      <c r="C2166" s="137" t="s">
        <v>4464</v>
      </c>
      <c r="D2166" s="338">
        <v>4151</v>
      </c>
      <c r="E2166" s="137">
        <v>3453</v>
      </c>
      <c r="F2166" s="137">
        <v>603</v>
      </c>
    </row>
    <row r="2167" spans="1:6" x14ac:dyDescent="0.25">
      <c r="A2167" s="137" t="s">
        <v>17510</v>
      </c>
      <c r="B2167" s="137" t="s">
        <v>137</v>
      </c>
      <c r="C2167" s="137" t="s">
        <v>21</v>
      </c>
      <c r="D2167" s="338">
        <v>12689</v>
      </c>
      <c r="E2167" s="137">
        <v>3449</v>
      </c>
      <c r="F2167" s="137">
        <v>599</v>
      </c>
    </row>
    <row r="2168" spans="1:6" x14ac:dyDescent="0.25">
      <c r="A2168" s="137" t="s">
        <v>17094</v>
      </c>
      <c r="B2168" s="137" t="s">
        <v>137</v>
      </c>
      <c r="C2168" s="137" t="s">
        <v>1533</v>
      </c>
      <c r="D2168" s="338">
        <v>12299</v>
      </c>
      <c r="E2168" s="137">
        <v>3874</v>
      </c>
      <c r="F2168" s="137">
        <v>74</v>
      </c>
    </row>
    <row r="2169" spans="1:6" x14ac:dyDescent="0.25">
      <c r="A2169" s="137" t="s">
        <v>17484</v>
      </c>
      <c r="B2169" s="137" t="s">
        <v>137</v>
      </c>
      <c r="C2169" s="137" t="s">
        <v>5567</v>
      </c>
      <c r="D2169" s="338">
        <v>8606</v>
      </c>
      <c r="E2169" s="137">
        <v>3728</v>
      </c>
      <c r="F2169" s="137">
        <v>878</v>
      </c>
    </row>
    <row r="2170" spans="1:6" x14ac:dyDescent="0.25">
      <c r="A2170" s="137" t="s">
        <v>17218</v>
      </c>
      <c r="B2170" s="137" t="s">
        <v>137</v>
      </c>
      <c r="C2170" s="137" t="s">
        <v>18</v>
      </c>
      <c r="D2170" s="338">
        <v>14486</v>
      </c>
      <c r="E2170" s="137">
        <v>3328</v>
      </c>
      <c r="F2170" s="137">
        <v>478</v>
      </c>
    </row>
    <row r="2171" spans="1:6" x14ac:dyDescent="0.25">
      <c r="A2171" s="137" t="s">
        <v>17261</v>
      </c>
      <c r="B2171" s="137" t="s">
        <v>137</v>
      </c>
      <c r="C2171" s="137" t="s">
        <v>5029</v>
      </c>
      <c r="D2171" s="338">
        <v>14288</v>
      </c>
      <c r="E2171" s="137">
        <v>2701</v>
      </c>
      <c r="F2171" s="137">
        <v>801</v>
      </c>
    </row>
    <row r="2172" spans="1:6" x14ac:dyDescent="0.25">
      <c r="A2172" s="137" t="s">
        <v>17221</v>
      </c>
      <c r="B2172" s="137" t="s">
        <v>137</v>
      </c>
      <c r="C2172" s="137" t="s">
        <v>15</v>
      </c>
      <c r="D2172" s="338">
        <v>14121</v>
      </c>
      <c r="E2172" s="137">
        <v>3448</v>
      </c>
      <c r="F2172" s="137">
        <v>598</v>
      </c>
    </row>
    <row r="2173" spans="1:6" x14ac:dyDescent="0.25">
      <c r="A2173" s="137" t="s">
        <v>17213</v>
      </c>
      <c r="B2173" s="137" t="s">
        <v>137</v>
      </c>
      <c r="C2173" s="137" t="s">
        <v>5597</v>
      </c>
      <c r="D2173" s="338">
        <v>15093</v>
      </c>
      <c r="E2173" s="137">
        <v>3286</v>
      </c>
      <c r="F2173" s="137">
        <v>436</v>
      </c>
    </row>
    <row r="2174" spans="1:6" x14ac:dyDescent="0.25">
      <c r="A2174" s="137" t="s">
        <v>17268</v>
      </c>
      <c r="B2174" s="137" t="s">
        <v>137</v>
      </c>
      <c r="C2174" s="137" t="s">
        <v>4760</v>
      </c>
      <c r="D2174" s="338">
        <v>13862</v>
      </c>
      <c r="E2174" s="137">
        <v>3482</v>
      </c>
      <c r="F2174" s="137">
        <v>632</v>
      </c>
    </row>
    <row r="2175" spans="1:6" x14ac:dyDescent="0.25">
      <c r="A2175" s="137" t="s">
        <v>17735</v>
      </c>
      <c r="B2175" s="137" t="s">
        <v>137</v>
      </c>
      <c r="C2175" s="137" t="s">
        <v>5454</v>
      </c>
      <c r="D2175" s="338">
        <v>5235</v>
      </c>
      <c r="E2175" s="137">
        <v>2731</v>
      </c>
      <c r="F2175" s="137">
        <v>831</v>
      </c>
    </row>
    <row r="2176" spans="1:6" x14ac:dyDescent="0.25">
      <c r="A2176" s="137" t="s">
        <v>17748</v>
      </c>
      <c r="B2176" s="137" t="s">
        <v>137</v>
      </c>
      <c r="C2176" s="137" t="s">
        <v>5238</v>
      </c>
      <c r="D2176" s="338">
        <v>3036</v>
      </c>
      <c r="E2176" s="137">
        <v>2881</v>
      </c>
      <c r="F2176" s="137">
        <v>31</v>
      </c>
    </row>
    <row r="2177" spans="1:6" x14ac:dyDescent="0.25">
      <c r="A2177" s="137" t="s">
        <v>17743</v>
      </c>
      <c r="B2177" s="137" t="s">
        <v>137</v>
      </c>
      <c r="C2177" s="137" t="s">
        <v>4766</v>
      </c>
      <c r="D2177" s="338">
        <v>5423</v>
      </c>
      <c r="E2177" s="137">
        <v>2270</v>
      </c>
      <c r="F2177" s="137">
        <v>370</v>
      </c>
    </row>
    <row r="2178" spans="1:6" x14ac:dyDescent="0.25">
      <c r="A2178" s="137" t="s">
        <v>17163</v>
      </c>
      <c r="B2178" s="137" t="s">
        <v>137</v>
      </c>
      <c r="C2178" s="137" t="s">
        <v>2061</v>
      </c>
      <c r="D2178" s="338">
        <v>9132</v>
      </c>
      <c r="E2178" s="137">
        <v>3353</v>
      </c>
      <c r="F2178" s="137">
        <v>503</v>
      </c>
    </row>
    <row r="2179" spans="1:6" x14ac:dyDescent="0.25">
      <c r="A2179" s="137" t="s">
        <v>17749</v>
      </c>
      <c r="B2179" s="137" t="s">
        <v>137</v>
      </c>
      <c r="C2179" s="137" t="s">
        <v>12</v>
      </c>
      <c r="D2179" s="338">
        <v>2990</v>
      </c>
      <c r="E2179" s="137">
        <v>2969</v>
      </c>
      <c r="F2179" s="137">
        <v>119</v>
      </c>
    </row>
    <row r="2180" spans="1:6" x14ac:dyDescent="0.25">
      <c r="A2180" s="137" t="s">
        <v>17738</v>
      </c>
      <c r="B2180" s="137" t="s">
        <v>137</v>
      </c>
      <c r="C2180" s="137" t="s">
        <v>9</v>
      </c>
      <c r="D2180" s="338">
        <v>2993</v>
      </c>
      <c r="E2180" s="137">
        <v>3483</v>
      </c>
      <c r="F2180" s="137">
        <v>633</v>
      </c>
    </row>
    <row r="2181" spans="1:6" x14ac:dyDescent="0.25">
      <c r="A2181" s="137" t="s">
        <v>17734</v>
      </c>
      <c r="B2181" s="137" t="s">
        <v>137</v>
      </c>
      <c r="C2181" s="137" t="s">
        <v>483</v>
      </c>
      <c r="D2181" s="338">
        <v>5651</v>
      </c>
      <c r="E2181" s="137">
        <v>3085</v>
      </c>
      <c r="F2181" s="137">
        <v>235</v>
      </c>
    </row>
    <row r="2182" spans="1:6" x14ac:dyDescent="0.25">
      <c r="A2182" s="137" t="s">
        <v>17745</v>
      </c>
      <c r="B2182" s="137" t="s">
        <v>137</v>
      </c>
      <c r="C2182" s="137" t="s">
        <v>5240</v>
      </c>
      <c r="D2182" s="338">
        <v>4129</v>
      </c>
      <c r="E2182" s="137">
        <v>2796</v>
      </c>
      <c r="F2182" s="137">
        <v>896</v>
      </c>
    </row>
    <row r="2183" spans="1:6" x14ac:dyDescent="0.25">
      <c r="A2183" s="137" t="s">
        <v>17736</v>
      </c>
      <c r="B2183" s="137" t="s">
        <v>137</v>
      </c>
      <c r="C2183" s="137" t="s">
        <v>5613</v>
      </c>
      <c r="D2183" s="338">
        <v>5138</v>
      </c>
      <c r="E2183" s="137">
        <v>2960</v>
      </c>
      <c r="F2183" s="137">
        <v>110</v>
      </c>
    </row>
    <row r="2184" spans="1:6" x14ac:dyDescent="0.25">
      <c r="A2184" s="137" t="s">
        <v>17777</v>
      </c>
      <c r="B2184" s="137" t="s">
        <v>137</v>
      </c>
      <c r="C2184" s="137" t="s">
        <v>4669</v>
      </c>
      <c r="D2184" s="338">
        <v>3684</v>
      </c>
      <c r="E2184" s="137">
        <v>2600</v>
      </c>
      <c r="F2184" s="137">
        <v>700</v>
      </c>
    </row>
    <row r="2185" spans="1:6" x14ac:dyDescent="0.25">
      <c r="A2185" s="137" t="s">
        <v>17732</v>
      </c>
      <c r="B2185" s="137" t="s">
        <v>137</v>
      </c>
      <c r="C2185" s="137" t="s">
        <v>5721</v>
      </c>
      <c r="D2185" s="338">
        <v>2874</v>
      </c>
      <c r="E2185" s="137">
        <v>3917</v>
      </c>
      <c r="F2185" s="137">
        <v>117</v>
      </c>
    </row>
    <row r="2186" spans="1:6" x14ac:dyDescent="0.25">
      <c r="A2186" s="137" t="s">
        <v>17543</v>
      </c>
      <c r="B2186" s="137" t="s">
        <v>137</v>
      </c>
      <c r="C2186" s="137" t="s">
        <v>5025</v>
      </c>
      <c r="D2186" s="338">
        <v>8419</v>
      </c>
      <c r="E2186" s="137">
        <v>3141</v>
      </c>
      <c r="F2186" s="137">
        <v>291</v>
      </c>
    </row>
    <row r="2187" spans="1:6" x14ac:dyDescent="0.25">
      <c r="A2187" s="137" t="s">
        <v>17465</v>
      </c>
      <c r="B2187" s="137" t="s">
        <v>137</v>
      </c>
      <c r="C2187" s="137" t="s">
        <v>6</v>
      </c>
      <c r="D2187" s="338">
        <v>7821</v>
      </c>
      <c r="E2187" s="137">
        <v>3084</v>
      </c>
      <c r="F2187" s="137">
        <v>234</v>
      </c>
    </row>
    <row r="2188" spans="1:6" x14ac:dyDescent="0.25">
      <c r="A2188" s="137" t="s">
        <v>17316</v>
      </c>
      <c r="B2188" s="137" t="s">
        <v>137</v>
      </c>
      <c r="C2188" s="137" t="s">
        <v>3</v>
      </c>
      <c r="D2188" s="338">
        <v>14882</v>
      </c>
      <c r="E2188" s="137">
        <v>2912</v>
      </c>
      <c r="F2188" s="137">
        <v>62</v>
      </c>
    </row>
    <row r="2189" spans="1:6" x14ac:dyDescent="0.25">
      <c r="A2189" s="137" t="s">
        <v>16428</v>
      </c>
      <c r="B2189" s="137" t="s">
        <v>130</v>
      </c>
      <c r="C2189" s="137" t="s">
        <v>1126</v>
      </c>
      <c r="D2189" s="338">
        <v>7282</v>
      </c>
      <c r="E2189" s="137">
        <v>2880</v>
      </c>
      <c r="F2189" s="137">
        <v>240</v>
      </c>
    </row>
    <row r="2190" spans="1:6" x14ac:dyDescent="0.25">
      <c r="A2190" s="137" t="s">
        <v>16275</v>
      </c>
      <c r="B2190" s="137" t="s">
        <v>130</v>
      </c>
      <c r="C2190" s="137" t="s">
        <v>4054</v>
      </c>
      <c r="D2190" s="338">
        <v>8800</v>
      </c>
      <c r="E2190" s="137">
        <v>3283</v>
      </c>
      <c r="F2190" s="137">
        <v>643</v>
      </c>
    </row>
    <row r="2191" spans="1:6" x14ac:dyDescent="0.25">
      <c r="A2191" s="137" t="s">
        <v>16017</v>
      </c>
      <c r="B2191" s="137" t="s">
        <v>130</v>
      </c>
      <c r="C2191" s="137" t="s">
        <v>4529</v>
      </c>
      <c r="D2191" s="338">
        <v>12138</v>
      </c>
      <c r="E2191" s="137">
        <v>5068</v>
      </c>
      <c r="F2191" s="137">
        <v>1108</v>
      </c>
    </row>
    <row r="2192" spans="1:6" x14ac:dyDescent="0.25">
      <c r="A2192" s="137" t="s">
        <v>16341</v>
      </c>
      <c r="B2192" s="137" t="s">
        <v>130</v>
      </c>
      <c r="C2192" s="137" t="s">
        <v>4229</v>
      </c>
      <c r="D2192" s="338">
        <v>8021</v>
      </c>
      <c r="E2192" s="137">
        <v>3441</v>
      </c>
      <c r="F2192" s="137">
        <v>801</v>
      </c>
    </row>
    <row r="2193" spans="1:6" x14ac:dyDescent="0.25">
      <c r="A2193" s="137" t="s">
        <v>16094</v>
      </c>
      <c r="B2193" s="137" t="s">
        <v>130</v>
      </c>
      <c r="C2193" s="137" t="s">
        <v>5267</v>
      </c>
      <c r="D2193" s="338">
        <v>10965</v>
      </c>
      <c r="E2193" s="137">
        <v>5448</v>
      </c>
      <c r="F2193" s="137">
        <v>168</v>
      </c>
    </row>
    <row r="2194" spans="1:6" x14ac:dyDescent="0.25">
      <c r="A2194" s="137" t="s">
        <v>15987</v>
      </c>
      <c r="B2194" s="137" t="s">
        <v>130</v>
      </c>
      <c r="C2194" s="137" t="s">
        <v>4469</v>
      </c>
      <c r="D2194" s="338">
        <v>12664</v>
      </c>
      <c r="E2194" s="137">
        <v>3197</v>
      </c>
      <c r="F2194" s="137">
        <v>557</v>
      </c>
    </row>
    <row r="2195" spans="1:6" x14ac:dyDescent="0.25">
      <c r="A2195" s="137" t="s">
        <v>16032</v>
      </c>
      <c r="B2195" s="137" t="s">
        <v>130</v>
      </c>
      <c r="C2195" s="137" t="s">
        <v>4631</v>
      </c>
      <c r="D2195" s="338">
        <v>11818</v>
      </c>
      <c r="E2195" s="137">
        <v>5010</v>
      </c>
      <c r="F2195" s="137">
        <v>1050</v>
      </c>
    </row>
    <row r="2196" spans="1:6" x14ac:dyDescent="0.25">
      <c r="A2196" s="137" t="s">
        <v>16585</v>
      </c>
      <c r="B2196" s="137" t="s">
        <v>130</v>
      </c>
      <c r="C2196" s="137" t="s">
        <v>504</v>
      </c>
      <c r="D2196" s="338">
        <v>4997</v>
      </c>
      <c r="E2196" s="137">
        <v>2485</v>
      </c>
      <c r="F2196" s="137">
        <v>1165</v>
      </c>
    </row>
    <row r="2197" spans="1:6" x14ac:dyDescent="0.25">
      <c r="A2197" s="137" t="s">
        <v>16419</v>
      </c>
      <c r="B2197" s="137" t="s">
        <v>130</v>
      </c>
      <c r="C2197" s="137" t="s">
        <v>5443</v>
      </c>
      <c r="D2197" s="338">
        <v>7353</v>
      </c>
      <c r="E2197" s="137">
        <v>3955</v>
      </c>
      <c r="F2197" s="137">
        <v>1315</v>
      </c>
    </row>
    <row r="2198" spans="1:6" x14ac:dyDescent="0.25">
      <c r="A2198" s="137" t="s">
        <v>16311</v>
      </c>
      <c r="B2198" s="137" t="s">
        <v>130</v>
      </c>
      <c r="C2198" s="137" t="s">
        <v>457</v>
      </c>
      <c r="D2198" s="338">
        <v>8331</v>
      </c>
      <c r="E2198" s="137">
        <v>5857</v>
      </c>
      <c r="F2198" s="137">
        <v>577</v>
      </c>
    </row>
    <row r="2199" spans="1:6" x14ac:dyDescent="0.25">
      <c r="A2199" s="137" t="s">
        <v>16395</v>
      </c>
      <c r="B2199" s="137" t="s">
        <v>130</v>
      </c>
      <c r="C2199" s="137" t="s">
        <v>3950</v>
      </c>
      <c r="D2199" s="338">
        <v>7533</v>
      </c>
      <c r="E2199" s="137">
        <v>3920</v>
      </c>
      <c r="F2199" s="137">
        <v>1280</v>
      </c>
    </row>
    <row r="2200" spans="1:6" x14ac:dyDescent="0.25">
      <c r="A2200" s="137" t="s">
        <v>16289</v>
      </c>
      <c r="B2200" s="137" t="s">
        <v>130</v>
      </c>
      <c r="C2200" s="137" t="s">
        <v>5487</v>
      </c>
      <c r="D2200" s="338">
        <v>8642</v>
      </c>
      <c r="E2200" s="137">
        <v>3036</v>
      </c>
      <c r="F2200" s="137">
        <v>396</v>
      </c>
    </row>
    <row r="2201" spans="1:6" x14ac:dyDescent="0.25">
      <c r="A2201" s="137" t="s">
        <v>16532</v>
      </c>
      <c r="B2201" s="137" t="s">
        <v>130</v>
      </c>
      <c r="C2201" s="137" t="s">
        <v>4828</v>
      </c>
      <c r="D2201" s="338">
        <v>6135</v>
      </c>
      <c r="E2201" s="137">
        <v>3182</v>
      </c>
      <c r="F2201" s="137">
        <v>542</v>
      </c>
    </row>
    <row r="2202" spans="1:6" x14ac:dyDescent="0.25">
      <c r="A2202" s="137" t="s">
        <v>16149</v>
      </c>
      <c r="B2202" s="137" t="s">
        <v>130</v>
      </c>
      <c r="C2202" s="137" t="s">
        <v>4816</v>
      </c>
      <c r="D2202" s="338">
        <v>10412</v>
      </c>
      <c r="E2202" s="137">
        <v>4441</v>
      </c>
      <c r="F2202" s="137">
        <v>481</v>
      </c>
    </row>
    <row r="2203" spans="1:6" x14ac:dyDescent="0.25">
      <c r="A2203" s="137" t="s">
        <v>16210</v>
      </c>
      <c r="B2203" s="137" t="s">
        <v>130</v>
      </c>
      <c r="C2203" s="137" t="s">
        <v>5619</v>
      </c>
      <c r="D2203" s="338">
        <v>9578</v>
      </c>
      <c r="E2203" s="137">
        <v>3070</v>
      </c>
      <c r="F2203" s="137">
        <v>430</v>
      </c>
    </row>
    <row r="2204" spans="1:6" x14ac:dyDescent="0.25">
      <c r="A2204" s="137" t="s">
        <v>16023</v>
      </c>
      <c r="B2204" s="137" t="s">
        <v>130</v>
      </c>
      <c r="C2204" s="137" t="s">
        <v>3925</v>
      </c>
      <c r="D2204" s="338">
        <v>12053</v>
      </c>
      <c r="E2204" s="137">
        <v>3097</v>
      </c>
      <c r="F2204" s="137">
        <v>457</v>
      </c>
    </row>
    <row r="2205" spans="1:6" x14ac:dyDescent="0.25">
      <c r="A2205" s="137" t="s">
        <v>16415</v>
      </c>
      <c r="B2205" s="137" t="s">
        <v>130</v>
      </c>
      <c r="C2205" s="137" t="s">
        <v>454</v>
      </c>
      <c r="D2205" s="338">
        <v>7368</v>
      </c>
      <c r="E2205" s="137">
        <v>3782</v>
      </c>
      <c r="F2205" s="137">
        <v>1142</v>
      </c>
    </row>
    <row r="2206" spans="1:6" x14ac:dyDescent="0.25">
      <c r="A2206" s="137" t="s">
        <v>16148</v>
      </c>
      <c r="B2206" s="137" t="s">
        <v>130</v>
      </c>
      <c r="C2206" s="137" t="s">
        <v>452</v>
      </c>
      <c r="D2206" s="338">
        <v>10429</v>
      </c>
      <c r="E2206" s="137">
        <v>4184</v>
      </c>
      <c r="F2206" s="137">
        <v>224</v>
      </c>
    </row>
    <row r="2207" spans="1:6" x14ac:dyDescent="0.25">
      <c r="A2207" s="137" t="s">
        <v>16593</v>
      </c>
      <c r="B2207" s="137" t="s">
        <v>130</v>
      </c>
      <c r="C2207" s="137" t="s">
        <v>3365</v>
      </c>
      <c r="D2207" s="338">
        <v>4661</v>
      </c>
      <c r="E2207" s="137">
        <v>2939</v>
      </c>
      <c r="F2207" s="137">
        <v>299</v>
      </c>
    </row>
    <row r="2208" spans="1:6" x14ac:dyDescent="0.25">
      <c r="A2208" s="137" t="s">
        <v>16659</v>
      </c>
      <c r="B2208" s="137" t="s">
        <v>130</v>
      </c>
      <c r="C2208" s="137" t="s">
        <v>5253</v>
      </c>
      <c r="D2208" s="338">
        <v>3272</v>
      </c>
      <c r="E2208" s="137">
        <v>4293</v>
      </c>
      <c r="F2208" s="137">
        <v>333</v>
      </c>
    </row>
    <row r="2209" spans="1:6" x14ac:dyDescent="0.25">
      <c r="A2209" s="137" t="s">
        <v>16244</v>
      </c>
      <c r="B2209" s="137" t="s">
        <v>130</v>
      </c>
      <c r="C2209" s="137" t="s">
        <v>5570</v>
      </c>
      <c r="D2209" s="338">
        <v>9212</v>
      </c>
      <c r="E2209" s="137">
        <v>2949</v>
      </c>
      <c r="F2209" s="137">
        <v>309</v>
      </c>
    </row>
    <row r="2210" spans="1:6" x14ac:dyDescent="0.25">
      <c r="A2210" s="137" t="s">
        <v>16257</v>
      </c>
      <c r="B2210" s="137" t="s">
        <v>130</v>
      </c>
      <c r="C2210" s="137" t="s">
        <v>450</v>
      </c>
      <c r="D2210" s="338">
        <v>9106</v>
      </c>
      <c r="E2210" s="137">
        <v>4109</v>
      </c>
      <c r="F2210" s="137">
        <v>149</v>
      </c>
    </row>
    <row r="2211" spans="1:6" x14ac:dyDescent="0.25">
      <c r="A2211" s="137" t="s">
        <v>16488</v>
      </c>
      <c r="B2211" s="137" t="s">
        <v>130</v>
      </c>
      <c r="C2211" s="137" t="s">
        <v>4814</v>
      </c>
      <c r="D2211" s="338">
        <v>6716</v>
      </c>
      <c r="E2211" s="137">
        <v>3699</v>
      </c>
      <c r="F2211" s="137">
        <v>1059</v>
      </c>
    </row>
    <row r="2212" spans="1:6" x14ac:dyDescent="0.25">
      <c r="A2212" s="137" t="s">
        <v>16598</v>
      </c>
      <c r="B2212" s="137" t="s">
        <v>130</v>
      </c>
      <c r="C2212" s="137" t="s">
        <v>448</v>
      </c>
      <c r="D2212" s="338">
        <v>4516</v>
      </c>
      <c r="E2212" s="137">
        <v>4425</v>
      </c>
      <c r="F2212" s="137">
        <v>465</v>
      </c>
    </row>
    <row r="2213" spans="1:6" x14ac:dyDescent="0.25">
      <c r="A2213" s="137" t="s">
        <v>16453</v>
      </c>
      <c r="B2213" s="137" t="s">
        <v>130</v>
      </c>
      <c r="C2213" s="137" t="s">
        <v>5317</v>
      </c>
      <c r="D2213" s="338">
        <v>7071</v>
      </c>
      <c r="E2213" s="137">
        <v>3840</v>
      </c>
      <c r="F2213" s="137">
        <v>1200</v>
      </c>
    </row>
    <row r="2214" spans="1:6" x14ac:dyDescent="0.25">
      <c r="A2214" s="137" t="s">
        <v>16366</v>
      </c>
      <c r="B2214" s="137" t="s">
        <v>130</v>
      </c>
      <c r="C2214" s="137" t="s">
        <v>446</v>
      </c>
      <c r="D2214" s="338">
        <v>7828</v>
      </c>
      <c r="E2214" s="137">
        <v>3468</v>
      </c>
      <c r="F2214" s="137">
        <v>828</v>
      </c>
    </row>
    <row r="2215" spans="1:6" x14ac:dyDescent="0.25">
      <c r="A2215" s="137" t="s">
        <v>16705</v>
      </c>
      <c r="B2215" s="137" t="s">
        <v>130</v>
      </c>
      <c r="C2215" s="137" t="s">
        <v>4725</v>
      </c>
      <c r="D2215" s="338">
        <v>2036</v>
      </c>
      <c r="E2215" s="137">
        <v>2537</v>
      </c>
      <c r="F2215" s="137">
        <v>1217</v>
      </c>
    </row>
    <row r="2216" spans="1:6" x14ac:dyDescent="0.25">
      <c r="A2216" s="137" t="s">
        <v>16221</v>
      </c>
      <c r="B2216" s="137" t="s">
        <v>130</v>
      </c>
      <c r="C2216" s="137" t="s">
        <v>3708</v>
      </c>
      <c r="D2216" s="338">
        <v>9481</v>
      </c>
      <c r="E2216" s="137">
        <v>3208</v>
      </c>
      <c r="F2216" s="137">
        <v>568</v>
      </c>
    </row>
    <row r="2217" spans="1:6" x14ac:dyDescent="0.25">
      <c r="A2217" s="137" t="s">
        <v>16429</v>
      </c>
      <c r="B2217" s="137" t="s">
        <v>130</v>
      </c>
      <c r="C2217" s="137" t="s">
        <v>2713</v>
      </c>
      <c r="D2217" s="338">
        <v>7278</v>
      </c>
      <c r="E2217" s="137">
        <v>2845</v>
      </c>
      <c r="F2217" s="137">
        <v>205</v>
      </c>
    </row>
    <row r="2218" spans="1:6" x14ac:dyDescent="0.25">
      <c r="A2218" s="137" t="s">
        <v>16491</v>
      </c>
      <c r="B2218" s="137" t="s">
        <v>130</v>
      </c>
      <c r="C2218" s="137" t="s">
        <v>5653</v>
      </c>
      <c r="D2218" s="338">
        <v>6692</v>
      </c>
      <c r="E2218" s="137">
        <v>3342</v>
      </c>
      <c r="F2218" s="137">
        <v>702</v>
      </c>
    </row>
    <row r="2219" spans="1:6" x14ac:dyDescent="0.25">
      <c r="A2219" s="137" t="s">
        <v>16019</v>
      </c>
      <c r="B2219" s="137" t="s">
        <v>130</v>
      </c>
      <c r="C2219" s="137" t="s">
        <v>501</v>
      </c>
      <c r="D2219" s="338">
        <v>12117</v>
      </c>
      <c r="E2219" s="137">
        <v>3950</v>
      </c>
      <c r="F2219" s="137">
        <v>1310</v>
      </c>
    </row>
    <row r="2220" spans="1:6" x14ac:dyDescent="0.25">
      <c r="A2220" s="137" t="s">
        <v>16367</v>
      </c>
      <c r="B2220" s="137" t="s">
        <v>130</v>
      </c>
      <c r="C2220" s="137" t="s">
        <v>4640</v>
      </c>
      <c r="D2220" s="338">
        <v>7816</v>
      </c>
      <c r="E2220" s="137">
        <v>3538</v>
      </c>
      <c r="F2220" s="137">
        <v>898</v>
      </c>
    </row>
    <row r="2221" spans="1:6" x14ac:dyDescent="0.25">
      <c r="A2221" s="137" t="s">
        <v>16387</v>
      </c>
      <c r="B2221" s="137" t="s">
        <v>130</v>
      </c>
      <c r="C2221" s="137" t="s">
        <v>440</v>
      </c>
      <c r="D2221" s="338">
        <v>7608</v>
      </c>
      <c r="E2221" s="137">
        <v>3168</v>
      </c>
      <c r="F2221" s="137">
        <v>528</v>
      </c>
    </row>
    <row r="2222" spans="1:6" x14ac:dyDescent="0.25">
      <c r="A2222" s="137" t="s">
        <v>16052</v>
      </c>
      <c r="B2222" s="137" t="s">
        <v>130</v>
      </c>
      <c r="C2222" s="137" t="s">
        <v>5768</v>
      </c>
      <c r="D2222" s="338">
        <v>11541</v>
      </c>
      <c r="E2222" s="137">
        <v>3426</v>
      </c>
      <c r="F2222" s="137">
        <v>786</v>
      </c>
    </row>
    <row r="2223" spans="1:6" x14ac:dyDescent="0.25">
      <c r="A2223" s="137" t="s">
        <v>16636</v>
      </c>
      <c r="B2223" s="137" t="s">
        <v>130</v>
      </c>
      <c r="C2223" s="137" t="s">
        <v>437</v>
      </c>
      <c r="D2223" s="338">
        <v>3841</v>
      </c>
      <c r="E2223" s="137">
        <v>4284</v>
      </c>
      <c r="F2223" s="137">
        <v>324</v>
      </c>
    </row>
    <row r="2224" spans="1:6" x14ac:dyDescent="0.25">
      <c r="A2224" s="137" t="s">
        <v>16376</v>
      </c>
      <c r="B2224" s="137" t="s">
        <v>130</v>
      </c>
      <c r="C2224" s="137" t="s">
        <v>3751</v>
      </c>
      <c r="D2224" s="338">
        <v>7763</v>
      </c>
      <c r="E2224" s="137">
        <v>3252</v>
      </c>
      <c r="F2224" s="137">
        <v>612</v>
      </c>
    </row>
    <row r="2225" spans="1:6" x14ac:dyDescent="0.25">
      <c r="A2225" s="137" t="s">
        <v>16542</v>
      </c>
      <c r="B2225" s="137" t="s">
        <v>130</v>
      </c>
      <c r="C2225" s="137" t="s">
        <v>435</v>
      </c>
      <c r="D2225" s="338">
        <v>5957</v>
      </c>
      <c r="E2225" s="137">
        <v>3281</v>
      </c>
      <c r="F2225" s="137">
        <v>641</v>
      </c>
    </row>
    <row r="2226" spans="1:6" x14ac:dyDescent="0.25">
      <c r="A2226" s="137" t="s">
        <v>16298</v>
      </c>
      <c r="B2226" s="137" t="s">
        <v>130</v>
      </c>
      <c r="C2226" s="137" t="s">
        <v>3941</v>
      </c>
      <c r="D2226" s="338">
        <v>8492</v>
      </c>
      <c r="E2226" s="137">
        <v>4772</v>
      </c>
      <c r="F2226" s="137">
        <v>812</v>
      </c>
    </row>
    <row r="2227" spans="1:6" x14ac:dyDescent="0.25">
      <c r="A2227" s="137" t="s">
        <v>16536</v>
      </c>
      <c r="B2227" s="137" t="s">
        <v>130</v>
      </c>
      <c r="C2227" s="137" t="s">
        <v>4964</v>
      </c>
      <c r="D2227" s="338">
        <v>6055</v>
      </c>
      <c r="E2227" s="137">
        <v>3629</v>
      </c>
      <c r="F2227" s="137">
        <v>989</v>
      </c>
    </row>
    <row r="2228" spans="1:6" x14ac:dyDescent="0.25">
      <c r="A2228" s="137" t="s">
        <v>16441</v>
      </c>
      <c r="B2228" s="137" t="s">
        <v>130</v>
      </c>
      <c r="C2228" s="137" t="s">
        <v>5663</v>
      </c>
      <c r="D2228" s="338">
        <v>7167</v>
      </c>
      <c r="E2228" s="137">
        <v>4461</v>
      </c>
      <c r="F2228" s="137">
        <v>501</v>
      </c>
    </row>
    <row r="2229" spans="1:6" x14ac:dyDescent="0.25">
      <c r="A2229" s="137" t="s">
        <v>16566</v>
      </c>
      <c r="B2229" s="137" t="s">
        <v>130</v>
      </c>
      <c r="C2229" s="137" t="s">
        <v>3790</v>
      </c>
      <c r="D2229" s="338">
        <v>5566</v>
      </c>
      <c r="E2229" s="137">
        <v>3170</v>
      </c>
      <c r="F2229" s="137">
        <v>530</v>
      </c>
    </row>
    <row r="2230" spans="1:6" x14ac:dyDescent="0.25">
      <c r="A2230" s="137" t="s">
        <v>16182</v>
      </c>
      <c r="B2230" s="137" t="s">
        <v>130</v>
      </c>
      <c r="C2230" s="137" t="s">
        <v>1920</v>
      </c>
      <c r="D2230" s="338">
        <v>10036</v>
      </c>
      <c r="E2230" s="137">
        <v>2881</v>
      </c>
      <c r="F2230" s="137">
        <v>241</v>
      </c>
    </row>
    <row r="2231" spans="1:6" x14ac:dyDescent="0.25">
      <c r="A2231" s="137" t="s">
        <v>15971</v>
      </c>
      <c r="B2231" s="137" t="s">
        <v>130</v>
      </c>
      <c r="C2231" s="137" t="s">
        <v>2793</v>
      </c>
      <c r="D2231" s="338">
        <v>13387</v>
      </c>
      <c r="E2231" s="137">
        <v>3233</v>
      </c>
      <c r="F2231" s="137">
        <v>593</v>
      </c>
    </row>
    <row r="2232" spans="1:6" x14ac:dyDescent="0.25">
      <c r="A2232" s="137" t="s">
        <v>16530</v>
      </c>
      <c r="B2232" s="137" t="s">
        <v>130</v>
      </c>
      <c r="C2232" s="137" t="s">
        <v>5430</v>
      </c>
      <c r="D2232" s="338">
        <v>6187</v>
      </c>
      <c r="E2232" s="137">
        <v>3153</v>
      </c>
      <c r="F2232" s="137">
        <v>513</v>
      </c>
    </row>
    <row r="2233" spans="1:6" x14ac:dyDescent="0.25">
      <c r="A2233" s="137" t="s">
        <v>16672</v>
      </c>
      <c r="B2233" s="137" t="s">
        <v>130</v>
      </c>
      <c r="C2233" s="137" t="s">
        <v>5002</v>
      </c>
      <c r="D2233" s="338">
        <v>2883</v>
      </c>
      <c r="E2233" s="137">
        <v>3890</v>
      </c>
      <c r="F2233" s="137">
        <v>1250</v>
      </c>
    </row>
    <row r="2234" spans="1:6" x14ac:dyDescent="0.25">
      <c r="A2234" s="137" t="s">
        <v>16381</v>
      </c>
      <c r="B2234" s="137" t="s">
        <v>130</v>
      </c>
      <c r="C2234" s="137" t="s">
        <v>433</v>
      </c>
      <c r="D2234" s="338">
        <v>7710</v>
      </c>
      <c r="E2234" s="137">
        <v>4673</v>
      </c>
      <c r="F2234" s="137">
        <v>713</v>
      </c>
    </row>
    <row r="2235" spans="1:6" x14ac:dyDescent="0.25">
      <c r="A2235" s="137" t="s">
        <v>16457</v>
      </c>
      <c r="B2235" s="137" t="s">
        <v>130</v>
      </c>
      <c r="C2235" s="137" t="s">
        <v>5526</v>
      </c>
      <c r="D2235" s="338">
        <v>7059</v>
      </c>
      <c r="E2235" s="137">
        <v>3764</v>
      </c>
      <c r="F2235" s="137">
        <v>1124</v>
      </c>
    </row>
    <row r="2236" spans="1:6" x14ac:dyDescent="0.25">
      <c r="A2236" s="137" t="s">
        <v>16274</v>
      </c>
      <c r="B2236" s="137" t="s">
        <v>130</v>
      </c>
      <c r="C2236" s="137" t="s">
        <v>430</v>
      </c>
      <c r="D2236" s="338">
        <v>8814</v>
      </c>
      <c r="E2236" s="137">
        <v>3351</v>
      </c>
      <c r="F2236" s="137">
        <v>711</v>
      </c>
    </row>
    <row r="2237" spans="1:6" x14ac:dyDescent="0.25">
      <c r="A2237" s="137" t="s">
        <v>16027</v>
      </c>
      <c r="B2237" s="137" t="s">
        <v>130</v>
      </c>
      <c r="C2237" s="137" t="s">
        <v>4429</v>
      </c>
      <c r="D2237" s="338">
        <v>11961</v>
      </c>
      <c r="E2237" s="137">
        <v>2998</v>
      </c>
      <c r="F2237" s="137">
        <v>358</v>
      </c>
    </row>
    <row r="2238" spans="1:6" x14ac:dyDescent="0.25">
      <c r="A2238" s="137" t="s">
        <v>16316</v>
      </c>
      <c r="B2238" s="137" t="s">
        <v>130</v>
      </c>
      <c r="C2238" s="137" t="s">
        <v>4551</v>
      </c>
      <c r="D2238" s="338">
        <v>8262</v>
      </c>
      <c r="E2238" s="137">
        <v>3118</v>
      </c>
      <c r="F2238" s="137">
        <v>478</v>
      </c>
    </row>
    <row r="2239" spans="1:6" x14ac:dyDescent="0.25">
      <c r="A2239" s="137" t="s">
        <v>16467</v>
      </c>
      <c r="B2239" s="137" t="s">
        <v>130</v>
      </c>
      <c r="C2239" s="137" t="s">
        <v>5395</v>
      </c>
      <c r="D2239" s="338">
        <v>6987</v>
      </c>
      <c r="E2239" s="137">
        <v>3602</v>
      </c>
      <c r="F2239" s="137">
        <v>962</v>
      </c>
    </row>
    <row r="2240" spans="1:6" x14ac:dyDescent="0.25">
      <c r="A2240" s="137" t="s">
        <v>16519</v>
      </c>
      <c r="B2240" s="137" t="s">
        <v>130</v>
      </c>
      <c r="C2240" s="137" t="s">
        <v>422</v>
      </c>
      <c r="D2240" s="338">
        <v>6320</v>
      </c>
      <c r="E2240" s="137">
        <v>4115</v>
      </c>
      <c r="F2240" s="137">
        <v>155</v>
      </c>
    </row>
    <row r="2241" spans="1:6" x14ac:dyDescent="0.25">
      <c r="A2241" s="137" t="s">
        <v>16338</v>
      </c>
      <c r="B2241" s="137" t="s">
        <v>130</v>
      </c>
      <c r="C2241" s="137" t="s">
        <v>5507</v>
      </c>
      <c r="D2241" s="338">
        <v>8032</v>
      </c>
      <c r="E2241" s="137">
        <v>2868</v>
      </c>
      <c r="F2241" s="137">
        <v>228</v>
      </c>
    </row>
    <row r="2242" spans="1:6" x14ac:dyDescent="0.25">
      <c r="A2242" s="137" t="s">
        <v>16607</v>
      </c>
      <c r="B2242" s="137" t="s">
        <v>130</v>
      </c>
      <c r="C2242" s="137" t="s">
        <v>3539</v>
      </c>
      <c r="D2242" s="338">
        <v>4378</v>
      </c>
      <c r="E2242" s="137">
        <v>3662</v>
      </c>
      <c r="F2242" s="137">
        <v>1022</v>
      </c>
    </row>
    <row r="2243" spans="1:6" x14ac:dyDescent="0.25">
      <c r="A2243" s="137" t="s">
        <v>16613</v>
      </c>
      <c r="B2243" s="137" t="s">
        <v>130</v>
      </c>
      <c r="C2243" s="137" t="s">
        <v>419</v>
      </c>
      <c r="D2243" s="338">
        <v>4224</v>
      </c>
      <c r="E2243" s="137">
        <v>5587</v>
      </c>
      <c r="F2243" s="137">
        <v>307</v>
      </c>
    </row>
    <row r="2244" spans="1:6" x14ac:dyDescent="0.25">
      <c r="A2244" s="137" t="s">
        <v>16002</v>
      </c>
      <c r="B2244" s="137" t="s">
        <v>130</v>
      </c>
      <c r="C2244" s="137" t="s">
        <v>3726</v>
      </c>
      <c r="D2244" s="338">
        <v>12367</v>
      </c>
      <c r="E2244" s="137">
        <v>4927</v>
      </c>
      <c r="F2244" s="137">
        <v>967</v>
      </c>
    </row>
    <row r="2245" spans="1:6" x14ac:dyDescent="0.25">
      <c r="A2245" s="137" t="s">
        <v>16185</v>
      </c>
      <c r="B2245" s="137" t="s">
        <v>130</v>
      </c>
      <c r="C2245" s="137" t="s">
        <v>2614</v>
      </c>
      <c r="D2245" s="338">
        <v>10016</v>
      </c>
      <c r="E2245" s="137">
        <v>4523</v>
      </c>
      <c r="F2245" s="137">
        <v>563</v>
      </c>
    </row>
    <row r="2246" spans="1:6" x14ac:dyDescent="0.25">
      <c r="A2246" s="137" t="s">
        <v>16411</v>
      </c>
      <c r="B2246" s="137" t="s">
        <v>130</v>
      </c>
      <c r="C2246" s="137" t="s">
        <v>5128</v>
      </c>
      <c r="D2246" s="338">
        <v>7379</v>
      </c>
      <c r="E2246" s="137">
        <v>3706</v>
      </c>
      <c r="F2246" s="137">
        <v>1066</v>
      </c>
    </row>
    <row r="2247" spans="1:6" x14ac:dyDescent="0.25">
      <c r="A2247" s="137" t="s">
        <v>16014</v>
      </c>
      <c r="B2247" s="137" t="s">
        <v>130</v>
      </c>
      <c r="C2247" s="137" t="s">
        <v>4638</v>
      </c>
      <c r="D2247" s="338">
        <v>12165</v>
      </c>
      <c r="E2247" s="137">
        <v>3261</v>
      </c>
      <c r="F2247" s="137">
        <v>621</v>
      </c>
    </row>
    <row r="2248" spans="1:6" x14ac:dyDescent="0.25">
      <c r="A2248" s="137" t="s">
        <v>16638</v>
      </c>
      <c r="B2248" s="137" t="s">
        <v>130</v>
      </c>
      <c r="C2248" s="137" t="s">
        <v>417</v>
      </c>
      <c r="D2248" s="338">
        <v>3797</v>
      </c>
      <c r="E2248" s="137">
        <v>3933</v>
      </c>
      <c r="F2248" s="137">
        <v>1293</v>
      </c>
    </row>
    <row r="2249" spans="1:6" x14ac:dyDescent="0.25">
      <c r="A2249" s="137" t="s">
        <v>16656</v>
      </c>
      <c r="B2249" s="137" t="s">
        <v>130</v>
      </c>
      <c r="C2249" s="137" t="s">
        <v>415</v>
      </c>
      <c r="D2249" s="338">
        <v>3317</v>
      </c>
      <c r="E2249" s="137">
        <v>5728</v>
      </c>
      <c r="F2249" s="137">
        <v>448</v>
      </c>
    </row>
    <row r="2250" spans="1:6" x14ac:dyDescent="0.25">
      <c r="A2250" s="137" t="s">
        <v>16264</v>
      </c>
      <c r="B2250" s="137" t="s">
        <v>130</v>
      </c>
      <c r="C2250" s="137" t="s">
        <v>2512</v>
      </c>
      <c r="D2250" s="338">
        <v>8978</v>
      </c>
      <c r="E2250" s="137">
        <v>3013</v>
      </c>
      <c r="F2250" s="137">
        <v>373</v>
      </c>
    </row>
    <row r="2251" spans="1:6" x14ac:dyDescent="0.25">
      <c r="A2251" s="137" t="s">
        <v>16416</v>
      </c>
      <c r="B2251" s="137" t="s">
        <v>130</v>
      </c>
      <c r="C2251" s="137" t="s">
        <v>5091</v>
      </c>
      <c r="D2251" s="338">
        <v>7366</v>
      </c>
      <c r="E2251" s="137">
        <v>2564</v>
      </c>
      <c r="F2251" s="137">
        <v>1244</v>
      </c>
    </row>
    <row r="2252" spans="1:6" x14ac:dyDescent="0.25">
      <c r="A2252" s="137" t="s">
        <v>16590</v>
      </c>
      <c r="B2252" s="137" t="s">
        <v>130</v>
      </c>
      <c r="C2252" s="137" t="s">
        <v>414</v>
      </c>
      <c r="D2252" s="338">
        <v>4823</v>
      </c>
      <c r="E2252" s="137">
        <v>4889</v>
      </c>
      <c r="F2252" s="137">
        <v>929</v>
      </c>
    </row>
    <row r="2253" spans="1:6" x14ac:dyDescent="0.25">
      <c r="A2253" s="137" t="s">
        <v>16665</v>
      </c>
      <c r="B2253" s="137" t="s">
        <v>130</v>
      </c>
      <c r="C2253" s="137" t="s">
        <v>412</v>
      </c>
      <c r="D2253" s="338">
        <v>3159</v>
      </c>
      <c r="E2253" s="137">
        <v>3509</v>
      </c>
      <c r="F2253" s="137">
        <v>869</v>
      </c>
    </row>
    <row r="2254" spans="1:6" x14ac:dyDescent="0.25">
      <c r="A2254" s="137" t="s">
        <v>16564</v>
      </c>
      <c r="B2254" s="137" t="s">
        <v>130</v>
      </c>
      <c r="C2254" s="137" t="s">
        <v>4410</v>
      </c>
      <c r="D2254" s="338">
        <v>5645</v>
      </c>
      <c r="E2254" s="137">
        <v>3293</v>
      </c>
      <c r="F2254" s="137">
        <v>653</v>
      </c>
    </row>
    <row r="2255" spans="1:6" x14ac:dyDescent="0.25">
      <c r="A2255" s="137" t="s">
        <v>16306</v>
      </c>
      <c r="B2255" s="137" t="s">
        <v>130</v>
      </c>
      <c r="C2255" s="137" t="s">
        <v>410</v>
      </c>
      <c r="D2255" s="338">
        <v>8401</v>
      </c>
      <c r="E2255" s="137">
        <v>3403</v>
      </c>
      <c r="F2255" s="137">
        <v>763</v>
      </c>
    </row>
    <row r="2256" spans="1:6" x14ac:dyDescent="0.25">
      <c r="A2256" s="137" t="s">
        <v>16452</v>
      </c>
      <c r="B2256" s="137" t="s">
        <v>130</v>
      </c>
      <c r="C2256" s="137" t="s">
        <v>4975</v>
      </c>
      <c r="D2256" s="338">
        <v>7073</v>
      </c>
      <c r="E2256" s="137">
        <v>3157</v>
      </c>
      <c r="F2256" s="137">
        <v>517</v>
      </c>
    </row>
    <row r="2257" spans="1:6" x14ac:dyDescent="0.25">
      <c r="A2257" s="137" t="s">
        <v>16113</v>
      </c>
      <c r="B2257" s="137" t="s">
        <v>130</v>
      </c>
      <c r="C2257" s="137" t="s">
        <v>404</v>
      </c>
      <c r="D2257" s="338">
        <v>10819</v>
      </c>
      <c r="E2257" s="137">
        <v>3242</v>
      </c>
      <c r="F2257" s="137">
        <v>602</v>
      </c>
    </row>
    <row r="2258" spans="1:6" x14ac:dyDescent="0.25">
      <c r="A2258" s="137" t="s">
        <v>16045</v>
      </c>
      <c r="B2258" s="137" t="s">
        <v>130</v>
      </c>
      <c r="C2258" s="137" t="s">
        <v>763</v>
      </c>
      <c r="D2258" s="338">
        <v>11693</v>
      </c>
      <c r="E2258" s="137">
        <v>4490</v>
      </c>
      <c r="F2258" s="137">
        <v>530</v>
      </c>
    </row>
    <row r="2259" spans="1:6" x14ac:dyDescent="0.25">
      <c r="A2259" s="137" t="s">
        <v>16355</v>
      </c>
      <c r="B2259" s="137" t="s">
        <v>130</v>
      </c>
      <c r="C2259" s="137" t="s">
        <v>402</v>
      </c>
      <c r="D2259" s="338">
        <v>7946</v>
      </c>
      <c r="E2259" s="137">
        <v>3169</v>
      </c>
      <c r="F2259" s="137">
        <v>529</v>
      </c>
    </row>
    <row r="2260" spans="1:6" x14ac:dyDescent="0.25">
      <c r="A2260" s="137" t="s">
        <v>16258</v>
      </c>
      <c r="B2260" s="137" t="s">
        <v>130</v>
      </c>
      <c r="C2260" s="137" t="s">
        <v>1695</v>
      </c>
      <c r="D2260" s="338">
        <v>9091</v>
      </c>
      <c r="E2260" s="137">
        <v>2896</v>
      </c>
      <c r="F2260" s="137">
        <v>256</v>
      </c>
    </row>
    <row r="2261" spans="1:6" x14ac:dyDescent="0.25">
      <c r="A2261" s="137" t="s">
        <v>16342</v>
      </c>
      <c r="B2261" s="137" t="s">
        <v>130</v>
      </c>
      <c r="C2261" s="137" t="s">
        <v>397</v>
      </c>
      <c r="D2261" s="338">
        <v>8021</v>
      </c>
      <c r="E2261" s="137">
        <v>2577</v>
      </c>
      <c r="F2261" s="137">
        <v>1257</v>
      </c>
    </row>
    <row r="2262" spans="1:6" x14ac:dyDescent="0.25">
      <c r="A2262" s="137" t="s">
        <v>16529</v>
      </c>
      <c r="B2262" s="137" t="s">
        <v>130</v>
      </c>
      <c r="C2262" s="137" t="s">
        <v>3165</v>
      </c>
      <c r="D2262" s="338">
        <v>6189</v>
      </c>
      <c r="E2262" s="137">
        <v>3800</v>
      </c>
      <c r="F2262" s="137">
        <v>1160</v>
      </c>
    </row>
    <row r="2263" spans="1:6" x14ac:dyDescent="0.25">
      <c r="A2263" s="137" t="s">
        <v>16599</v>
      </c>
      <c r="B2263" s="137" t="s">
        <v>130</v>
      </c>
      <c r="C2263" s="137" t="s">
        <v>395</v>
      </c>
      <c r="D2263" s="338">
        <v>4512</v>
      </c>
      <c r="E2263" s="137">
        <v>3835</v>
      </c>
      <c r="F2263" s="137">
        <v>1195</v>
      </c>
    </row>
    <row r="2264" spans="1:6" x14ac:dyDescent="0.25">
      <c r="A2264" s="137" t="s">
        <v>16408</v>
      </c>
      <c r="B2264" s="137" t="s">
        <v>130</v>
      </c>
      <c r="C2264" s="137" t="s">
        <v>5031</v>
      </c>
      <c r="D2264" s="338">
        <v>7411</v>
      </c>
      <c r="E2264" s="137">
        <v>3093</v>
      </c>
      <c r="F2264" s="137">
        <v>453</v>
      </c>
    </row>
    <row r="2265" spans="1:6" x14ac:dyDescent="0.25">
      <c r="A2265" s="137" t="s">
        <v>16422</v>
      </c>
      <c r="B2265" s="137" t="s">
        <v>130</v>
      </c>
      <c r="C2265" s="137" t="s">
        <v>393</v>
      </c>
      <c r="D2265" s="338">
        <v>7330</v>
      </c>
      <c r="E2265" s="137">
        <v>3450</v>
      </c>
      <c r="F2265" s="137">
        <v>810</v>
      </c>
    </row>
    <row r="2266" spans="1:6" x14ac:dyDescent="0.25">
      <c r="A2266" s="137" t="s">
        <v>16080</v>
      </c>
      <c r="B2266" s="137" t="s">
        <v>130</v>
      </c>
      <c r="C2266" s="137" t="s">
        <v>5682</v>
      </c>
      <c r="D2266" s="338">
        <v>11103</v>
      </c>
      <c r="E2266" s="137">
        <v>3160</v>
      </c>
      <c r="F2266" s="137">
        <v>520</v>
      </c>
    </row>
    <row r="2267" spans="1:6" x14ac:dyDescent="0.25">
      <c r="A2267" s="137" t="s">
        <v>16631</v>
      </c>
      <c r="B2267" s="137" t="s">
        <v>130</v>
      </c>
      <c r="C2267" s="137" t="s">
        <v>4831</v>
      </c>
      <c r="D2267" s="338">
        <v>3911</v>
      </c>
      <c r="E2267" s="137">
        <v>2845</v>
      </c>
      <c r="F2267" s="137">
        <v>205</v>
      </c>
    </row>
    <row r="2268" spans="1:6" x14ac:dyDescent="0.25">
      <c r="A2268" s="137" t="s">
        <v>16070</v>
      </c>
      <c r="B2268" s="137" t="s">
        <v>130</v>
      </c>
      <c r="C2268" s="137" t="s">
        <v>4548</v>
      </c>
      <c r="D2268" s="338">
        <v>11278</v>
      </c>
      <c r="E2268" s="137">
        <v>4551</v>
      </c>
      <c r="F2268" s="137">
        <v>591</v>
      </c>
    </row>
    <row r="2269" spans="1:6" x14ac:dyDescent="0.25">
      <c r="A2269" s="137" t="s">
        <v>16394</v>
      </c>
      <c r="B2269" s="137" t="s">
        <v>130</v>
      </c>
      <c r="C2269" s="137" t="s">
        <v>388</v>
      </c>
      <c r="D2269" s="338">
        <v>7534</v>
      </c>
      <c r="E2269" s="137">
        <v>4470</v>
      </c>
      <c r="F2269" s="137">
        <v>510</v>
      </c>
    </row>
    <row r="2270" spans="1:6" x14ac:dyDescent="0.25">
      <c r="A2270" s="137" t="s">
        <v>16788</v>
      </c>
      <c r="B2270" s="137" t="s">
        <v>130</v>
      </c>
      <c r="C2270" s="137" t="s">
        <v>385</v>
      </c>
      <c r="D2270" s="338">
        <v>1881</v>
      </c>
      <c r="E2270" s="137">
        <v>4524</v>
      </c>
      <c r="F2270" s="137">
        <v>564</v>
      </c>
    </row>
    <row r="2271" spans="1:6" x14ac:dyDescent="0.25">
      <c r="A2271" s="137" t="s">
        <v>16192</v>
      </c>
      <c r="B2271" s="137" t="s">
        <v>130</v>
      </c>
      <c r="C2271" s="137" t="s">
        <v>1522</v>
      </c>
      <c r="D2271" s="338">
        <v>9860</v>
      </c>
      <c r="E2271" s="137">
        <v>2851</v>
      </c>
      <c r="F2271" s="137">
        <v>211</v>
      </c>
    </row>
    <row r="2272" spans="1:6" x14ac:dyDescent="0.25">
      <c r="A2272" s="137" t="s">
        <v>16261</v>
      </c>
      <c r="B2272" s="137" t="s">
        <v>130</v>
      </c>
      <c r="C2272" s="137" t="s">
        <v>5200</v>
      </c>
      <c r="D2272" s="338">
        <v>9025</v>
      </c>
      <c r="E2272" s="137">
        <v>2800</v>
      </c>
      <c r="F2272" s="137">
        <v>160</v>
      </c>
    </row>
    <row r="2273" spans="1:6" x14ac:dyDescent="0.25">
      <c r="A2273" s="137" t="s">
        <v>16024</v>
      </c>
      <c r="B2273" s="137" t="s">
        <v>130</v>
      </c>
      <c r="C2273" s="137" t="s">
        <v>2531</v>
      </c>
      <c r="D2273" s="338">
        <v>12008</v>
      </c>
      <c r="E2273" s="137">
        <v>4238</v>
      </c>
      <c r="F2273" s="137">
        <v>278</v>
      </c>
    </row>
    <row r="2274" spans="1:6" x14ac:dyDescent="0.25">
      <c r="A2274" s="137" t="s">
        <v>15981</v>
      </c>
      <c r="B2274" s="137" t="s">
        <v>130</v>
      </c>
      <c r="C2274" s="137" t="s">
        <v>2710</v>
      </c>
      <c r="D2274" s="338">
        <v>12884</v>
      </c>
      <c r="E2274" s="137">
        <v>2877</v>
      </c>
      <c r="F2274" s="137">
        <v>237</v>
      </c>
    </row>
    <row r="2275" spans="1:6" x14ac:dyDescent="0.25">
      <c r="A2275" s="137" t="s">
        <v>16580</v>
      </c>
      <c r="B2275" s="137" t="s">
        <v>130</v>
      </c>
      <c r="C2275" s="137" t="s">
        <v>383</v>
      </c>
      <c r="D2275" s="338">
        <v>5121</v>
      </c>
      <c r="E2275" s="137">
        <v>4198</v>
      </c>
      <c r="F2275" s="137">
        <v>238</v>
      </c>
    </row>
    <row r="2276" spans="1:6" x14ac:dyDescent="0.25">
      <c r="A2276" s="137" t="s">
        <v>16658</v>
      </c>
      <c r="B2276" s="137" t="s">
        <v>130</v>
      </c>
      <c r="C2276" s="137" t="s">
        <v>378</v>
      </c>
      <c r="D2276" s="338">
        <v>3277</v>
      </c>
      <c r="E2276" s="137">
        <v>5401</v>
      </c>
      <c r="F2276" s="137">
        <v>121</v>
      </c>
    </row>
    <row r="2277" spans="1:6" x14ac:dyDescent="0.25">
      <c r="A2277" s="137" t="s">
        <v>16319</v>
      </c>
      <c r="B2277" s="137" t="s">
        <v>130</v>
      </c>
      <c r="C2277" s="137" t="s">
        <v>376</v>
      </c>
      <c r="D2277" s="338">
        <v>8191</v>
      </c>
      <c r="E2277" s="137">
        <v>3157</v>
      </c>
      <c r="F2277" s="137">
        <v>517</v>
      </c>
    </row>
    <row r="2278" spans="1:6" x14ac:dyDescent="0.25">
      <c r="A2278" s="137" t="s">
        <v>16654</v>
      </c>
      <c r="B2278" s="137" t="s">
        <v>130</v>
      </c>
      <c r="C2278" s="137" t="s">
        <v>373</v>
      </c>
      <c r="D2278" s="338">
        <v>3390</v>
      </c>
      <c r="E2278" s="137">
        <v>4885</v>
      </c>
      <c r="F2278" s="137">
        <v>925</v>
      </c>
    </row>
    <row r="2279" spans="1:6" x14ac:dyDescent="0.25">
      <c r="A2279" s="137" t="s">
        <v>16609</v>
      </c>
      <c r="B2279" s="137" t="s">
        <v>130</v>
      </c>
      <c r="C2279" s="137" t="s">
        <v>5438</v>
      </c>
      <c r="D2279" s="338">
        <v>4322</v>
      </c>
      <c r="E2279" s="137">
        <v>4100</v>
      </c>
      <c r="F2279" s="137">
        <v>-1180</v>
      </c>
    </row>
    <row r="2280" spans="1:6" x14ac:dyDescent="0.25">
      <c r="A2280" s="137" t="s">
        <v>16368</v>
      </c>
      <c r="B2280" s="137" t="s">
        <v>130</v>
      </c>
      <c r="C2280" s="137" t="s">
        <v>5587</v>
      </c>
      <c r="D2280" s="338">
        <v>7808</v>
      </c>
      <c r="E2280" s="137">
        <v>2967</v>
      </c>
      <c r="F2280" s="137">
        <v>327</v>
      </c>
    </row>
    <row r="2281" spans="1:6" x14ac:dyDescent="0.25">
      <c r="A2281" s="137" t="s">
        <v>16733</v>
      </c>
      <c r="B2281" s="137" t="s">
        <v>130</v>
      </c>
      <c r="C2281" s="137" t="s">
        <v>5489</v>
      </c>
      <c r="D2281" s="137">
        <v>664</v>
      </c>
      <c r="E2281" s="137">
        <v>3548</v>
      </c>
      <c r="F2281" s="137">
        <v>908</v>
      </c>
    </row>
    <row r="2282" spans="1:6" x14ac:dyDescent="0.25">
      <c r="A2282" s="137" t="s">
        <v>16666</v>
      </c>
      <c r="B2282" s="137" t="s">
        <v>130</v>
      </c>
      <c r="C2282" s="137" t="s">
        <v>368</v>
      </c>
      <c r="D2282" s="338">
        <v>3061</v>
      </c>
      <c r="E2282" s="137">
        <v>5472</v>
      </c>
      <c r="F2282" s="137">
        <v>192</v>
      </c>
    </row>
    <row r="2283" spans="1:6" x14ac:dyDescent="0.25">
      <c r="A2283" s="137" t="s">
        <v>16107</v>
      </c>
      <c r="B2283" s="137" t="s">
        <v>130</v>
      </c>
      <c r="C2283" s="137" t="s">
        <v>364</v>
      </c>
      <c r="D2283" s="338">
        <v>10855</v>
      </c>
      <c r="E2283" s="137">
        <v>3671</v>
      </c>
      <c r="F2283" s="137">
        <v>1031</v>
      </c>
    </row>
    <row r="2284" spans="1:6" x14ac:dyDescent="0.25">
      <c r="A2284" s="137" t="s">
        <v>16764</v>
      </c>
      <c r="B2284" s="137" t="s">
        <v>130</v>
      </c>
      <c r="C2284" s="137" t="s">
        <v>5608</v>
      </c>
      <c r="D2284" s="338">
        <v>1144</v>
      </c>
      <c r="E2284" s="137">
        <v>3332</v>
      </c>
      <c r="F2284" s="137">
        <v>692</v>
      </c>
    </row>
    <row r="2285" spans="1:6" x14ac:dyDescent="0.25">
      <c r="A2285" s="137" t="s">
        <v>16770</v>
      </c>
      <c r="B2285" s="137" t="s">
        <v>130</v>
      </c>
      <c r="C2285" s="137" t="s">
        <v>361</v>
      </c>
      <c r="D2285" s="338">
        <v>1464</v>
      </c>
      <c r="E2285" s="137">
        <v>3964</v>
      </c>
      <c r="F2285" s="137">
        <v>4</v>
      </c>
    </row>
    <row r="2286" spans="1:6" x14ac:dyDescent="0.25">
      <c r="A2286" s="137" t="s">
        <v>15992</v>
      </c>
      <c r="B2286" s="137" t="s">
        <v>130</v>
      </c>
      <c r="C2286" s="137" t="s">
        <v>3537</v>
      </c>
      <c r="D2286" s="338">
        <v>12493</v>
      </c>
      <c r="E2286" s="137">
        <v>4961</v>
      </c>
      <c r="F2286" s="137">
        <v>1001</v>
      </c>
    </row>
    <row r="2287" spans="1:6" x14ac:dyDescent="0.25">
      <c r="A2287" s="137" t="s">
        <v>16058</v>
      </c>
      <c r="B2287" s="137" t="s">
        <v>130</v>
      </c>
      <c r="C2287" s="137" t="s">
        <v>5732</v>
      </c>
      <c r="D2287" s="338">
        <v>11455</v>
      </c>
      <c r="E2287" s="137">
        <v>3375</v>
      </c>
      <c r="F2287" s="137">
        <v>735</v>
      </c>
    </row>
    <row r="2288" spans="1:6" x14ac:dyDescent="0.25">
      <c r="A2288" s="137" t="s">
        <v>16577</v>
      </c>
      <c r="B2288" s="137" t="s">
        <v>130</v>
      </c>
      <c r="C2288" s="137" t="s">
        <v>5126</v>
      </c>
      <c r="D2288" s="338">
        <v>5165</v>
      </c>
      <c r="E2288" s="137">
        <v>3547</v>
      </c>
      <c r="F2288" s="137">
        <v>907</v>
      </c>
    </row>
    <row r="2289" spans="1:6" x14ac:dyDescent="0.25">
      <c r="A2289" s="137" t="s">
        <v>16181</v>
      </c>
      <c r="B2289" s="137" t="s">
        <v>130</v>
      </c>
      <c r="C2289" s="137" t="s">
        <v>359</v>
      </c>
      <c r="D2289" s="338">
        <v>10040</v>
      </c>
      <c r="E2289" s="137">
        <v>4615</v>
      </c>
      <c r="F2289" s="137">
        <v>655</v>
      </c>
    </row>
    <row r="2290" spans="1:6" x14ac:dyDescent="0.25">
      <c r="A2290" s="137" t="s">
        <v>15978</v>
      </c>
      <c r="B2290" s="137" t="s">
        <v>130</v>
      </c>
      <c r="C2290" s="137" t="s">
        <v>2520</v>
      </c>
      <c r="D2290" s="338">
        <v>13018</v>
      </c>
      <c r="E2290" s="137">
        <v>2827</v>
      </c>
      <c r="F2290" s="137">
        <v>187</v>
      </c>
    </row>
    <row r="2291" spans="1:6" x14ac:dyDescent="0.25">
      <c r="A2291" s="137" t="s">
        <v>16576</v>
      </c>
      <c r="B2291" s="137" t="s">
        <v>130</v>
      </c>
      <c r="C2291" s="137" t="s">
        <v>355</v>
      </c>
      <c r="D2291" s="338">
        <v>5167</v>
      </c>
      <c r="E2291" s="137">
        <v>4383</v>
      </c>
      <c r="F2291" s="137">
        <v>423</v>
      </c>
    </row>
    <row r="2292" spans="1:6" x14ac:dyDescent="0.25">
      <c r="A2292" s="137" t="s">
        <v>16440</v>
      </c>
      <c r="B2292" s="137" t="s">
        <v>130</v>
      </c>
      <c r="C2292" s="137" t="s">
        <v>5658</v>
      </c>
      <c r="D2292" s="338">
        <v>7196</v>
      </c>
      <c r="E2292" s="137">
        <v>3171</v>
      </c>
      <c r="F2292" s="137">
        <v>531</v>
      </c>
    </row>
    <row r="2293" spans="1:6" x14ac:dyDescent="0.25">
      <c r="A2293" s="137" t="s">
        <v>15979</v>
      </c>
      <c r="B2293" s="137" t="s">
        <v>130</v>
      </c>
      <c r="C2293" s="137" t="s">
        <v>353</v>
      </c>
      <c r="D2293" s="338">
        <v>12970</v>
      </c>
      <c r="E2293" s="137">
        <v>4936</v>
      </c>
      <c r="F2293" s="137">
        <v>976</v>
      </c>
    </row>
    <row r="2294" spans="1:6" x14ac:dyDescent="0.25">
      <c r="A2294" s="137" t="s">
        <v>16678</v>
      </c>
      <c r="B2294" s="137" t="s">
        <v>130</v>
      </c>
      <c r="C2294" s="137" t="s">
        <v>351</v>
      </c>
      <c r="D2294" s="338">
        <v>2795</v>
      </c>
      <c r="E2294" s="137">
        <v>3998</v>
      </c>
      <c r="F2294" s="137">
        <v>38</v>
      </c>
    </row>
    <row r="2295" spans="1:6" x14ac:dyDescent="0.25">
      <c r="A2295" s="137" t="s">
        <v>16699</v>
      </c>
      <c r="B2295" s="137" t="s">
        <v>130</v>
      </c>
      <c r="C2295" s="137" t="s">
        <v>349</v>
      </c>
      <c r="D2295" s="338">
        <v>2107</v>
      </c>
      <c r="E2295" s="137">
        <v>3453</v>
      </c>
      <c r="F2295" s="137">
        <v>813</v>
      </c>
    </row>
    <row r="2296" spans="1:6" x14ac:dyDescent="0.25">
      <c r="A2296" s="137" t="s">
        <v>16775</v>
      </c>
      <c r="B2296" s="137" t="s">
        <v>130</v>
      </c>
      <c r="C2296" s="137" t="s">
        <v>347</v>
      </c>
      <c r="D2296" s="338">
        <v>1545</v>
      </c>
      <c r="E2296" s="137">
        <v>4134</v>
      </c>
      <c r="F2296" s="137">
        <v>174</v>
      </c>
    </row>
    <row r="2297" spans="1:6" x14ac:dyDescent="0.25">
      <c r="A2297" s="137" t="s">
        <v>15983</v>
      </c>
      <c r="B2297" s="137" t="s">
        <v>130</v>
      </c>
      <c r="C2297" s="137" t="s">
        <v>5616</v>
      </c>
      <c r="D2297" s="338">
        <v>12800</v>
      </c>
      <c r="E2297" s="137">
        <v>4100</v>
      </c>
      <c r="F2297" s="137">
        <v>140</v>
      </c>
    </row>
    <row r="2298" spans="1:6" x14ac:dyDescent="0.25">
      <c r="A2298" s="137" t="s">
        <v>16662</v>
      </c>
      <c r="B2298" s="137" t="s">
        <v>130</v>
      </c>
      <c r="C2298" s="137" t="s">
        <v>345</v>
      </c>
      <c r="D2298" s="338">
        <v>3206</v>
      </c>
      <c r="E2298" s="137">
        <v>3888</v>
      </c>
      <c r="F2298" s="137">
        <v>1248</v>
      </c>
    </row>
    <row r="2299" spans="1:6" x14ac:dyDescent="0.25">
      <c r="A2299" s="137" t="s">
        <v>15980</v>
      </c>
      <c r="B2299" s="137" t="s">
        <v>130</v>
      </c>
      <c r="C2299" s="137" t="s">
        <v>2844</v>
      </c>
      <c r="D2299" s="338">
        <v>12905</v>
      </c>
      <c r="E2299" s="137">
        <v>2950</v>
      </c>
      <c r="F2299" s="137">
        <v>310</v>
      </c>
    </row>
    <row r="2300" spans="1:6" x14ac:dyDescent="0.25">
      <c r="A2300" s="137" t="s">
        <v>16268</v>
      </c>
      <c r="B2300" s="137" t="s">
        <v>130</v>
      </c>
      <c r="C2300" s="137" t="s">
        <v>3693</v>
      </c>
      <c r="D2300" s="338">
        <v>8918</v>
      </c>
      <c r="E2300" s="137">
        <v>3281</v>
      </c>
      <c r="F2300" s="137">
        <v>641</v>
      </c>
    </row>
    <row r="2301" spans="1:6" x14ac:dyDescent="0.25">
      <c r="A2301" s="137" t="s">
        <v>16667</v>
      </c>
      <c r="B2301" s="137" t="s">
        <v>130</v>
      </c>
      <c r="C2301" s="137" t="s">
        <v>343</v>
      </c>
      <c r="D2301" s="338">
        <v>3040</v>
      </c>
      <c r="E2301" s="137">
        <v>5630</v>
      </c>
      <c r="F2301" s="137">
        <v>350</v>
      </c>
    </row>
    <row r="2302" spans="1:6" x14ac:dyDescent="0.25">
      <c r="A2302" s="137" t="s">
        <v>16679</v>
      </c>
      <c r="B2302" s="137" t="s">
        <v>130</v>
      </c>
      <c r="C2302" s="137" t="s">
        <v>341</v>
      </c>
      <c r="D2302" s="338">
        <v>2793</v>
      </c>
      <c r="E2302" s="137">
        <v>4113</v>
      </c>
      <c r="F2302" s="137">
        <v>153</v>
      </c>
    </row>
    <row r="2303" spans="1:6" x14ac:dyDescent="0.25">
      <c r="A2303" s="137" t="s">
        <v>16473</v>
      </c>
      <c r="B2303" s="137" t="s">
        <v>130</v>
      </c>
      <c r="C2303" s="137" t="s">
        <v>5196</v>
      </c>
      <c r="D2303" s="338">
        <v>6930</v>
      </c>
      <c r="E2303" s="137">
        <v>3977</v>
      </c>
      <c r="F2303" s="137">
        <v>17</v>
      </c>
    </row>
    <row r="2304" spans="1:6" x14ac:dyDescent="0.25">
      <c r="A2304" s="137" t="s">
        <v>16225</v>
      </c>
      <c r="B2304" s="137" t="s">
        <v>130</v>
      </c>
      <c r="C2304" s="137" t="s">
        <v>4716</v>
      </c>
      <c r="D2304" s="338">
        <v>9443</v>
      </c>
      <c r="E2304" s="137">
        <v>4633</v>
      </c>
      <c r="F2304" s="137">
        <v>673</v>
      </c>
    </row>
    <row r="2305" spans="1:6" x14ac:dyDescent="0.25">
      <c r="A2305" s="137" t="s">
        <v>16383</v>
      </c>
      <c r="B2305" s="137" t="s">
        <v>130</v>
      </c>
      <c r="C2305" s="137" t="s">
        <v>4651</v>
      </c>
      <c r="D2305" s="338">
        <v>7704</v>
      </c>
      <c r="E2305" s="137">
        <v>2925</v>
      </c>
      <c r="F2305" s="137">
        <v>285</v>
      </c>
    </row>
    <row r="2306" spans="1:6" x14ac:dyDescent="0.25">
      <c r="A2306" s="137" t="s">
        <v>16637</v>
      </c>
      <c r="B2306" s="137" t="s">
        <v>130</v>
      </c>
      <c r="C2306" s="137" t="s">
        <v>339</v>
      </c>
      <c r="D2306" s="338">
        <v>3809</v>
      </c>
      <c r="E2306" s="137">
        <v>5809</v>
      </c>
      <c r="F2306" s="137">
        <v>529</v>
      </c>
    </row>
    <row r="2307" spans="1:6" x14ac:dyDescent="0.25">
      <c r="A2307" s="137" t="s">
        <v>16164</v>
      </c>
      <c r="B2307" s="137" t="s">
        <v>130</v>
      </c>
      <c r="C2307" s="137" t="s">
        <v>5765</v>
      </c>
      <c r="D2307" s="338">
        <v>10194</v>
      </c>
      <c r="E2307" s="137">
        <v>3383</v>
      </c>
      <c r="F2307" s="137">
        <v>743</v>
      </c>
    </row>
    <row r="2308" spans="1:6" x14ac:dyDescent="0.25">
      <c r="A2308" s="137" t="s">
        <v>16076</v>
      </c>
      <c r="B2308" s="137" t="s">
        <v>130</v>
      </c>
      <c r="C2308" s="137" t="s">
        <v>5758</v>
      </c>
      <c r="D2308" s="338">
        <v>11197</v>
      </c>
      <c r="E2308" s="137">
        <v>3405</v>
      </c>
      <c r="F2308" s="137">
        <v>765</v>
      </c>
    </row>
    <row r="2309" spans="1:6" x14ac:dyDescent="0.25">
      <c r="A2309" s="137" t="s">
        <v>16044</v>
      </c>
      <c r="B2309" s="137" t="s">
        <v>130</v>
      </c>
      <c r="C2309" s="137" t="s">
        <v>3483</v>
      </c>
      <c r="D2309" s="338">
        <v>11706</v>
      </c>
      <c r="E2309" s="137">
        <v>2968</v>
      </c>
      <c r="F2309" s="137">
        <v>328</v>
      </c>
    </row>
    <row r="2310" spans="1:6" x14ac:dyDescent="0.25">
      <c r="A2310" s="137" t="s">
        <v>16273</v>
      </c>
      <c r="B2310" s="137" t="s">
        <v>130</v>
      </c>
      <c r="C2310" s="137" t="s">
        <v>5068</v>
      </c>
      <c r="D2310" s="338">
        <v>8819</v>
      </c>
      <c r="E2310" s="137">
        <v>3581</v>
      </c>
      <c r="F2310" s="137">
        <v>941</v>
      </c>
    </row>
    <row r="2311" spans="1:6" x14ac:dyDescent="0.25">
      <c r="A2311" s="137" t="s">
        <v>16204</v>
      </c>
      <c r="B2311" s="137" t="s">
        <v>130</v>
      </c>
      <c r="C2311" s="137" t="s">
        <v>1838</v>
      </c>
      <c r="D2311" s="338">
        <v>9631</v>
      </c>
      <c r="E2311" s="137">
        <v>2954</v>
      </c>
      <c r="F2311" s="137">
        <v>314</v>
      </c>
    </row>
    <row r="2312" spans="1:6" x14ac:dyDescent="0.25">
      <c r="A2312" s="137" t="s">
        <v>16078</v>
      </c>
      <c r="B2312" s="137" t="s">
        <v>130</v>
      </c>
      <c r="C2312" s="137" t="s">
        <v>4324</v>
      </c>
      <c r="D2312" s="338">
        <v>11140</v>
      </c>
      <c r="E2312" s="137">
        <v>4869</v>
      </c>
      <c r="F2312" s="137">
        <v>909</v>
      </c>
    </row>
    <row r="2313" spans="1:6" x14ac:dyDescent="0.25">
      <c r="A2313" s="137" t="s">
        <v>16726</v>
      </c>
      <c r="B2313" s="137" t="s">
        <v>130</v>
      </c>
      <c r="C2313" s="137" t="s">
        <v>337</v>
      </c>
      <c r="D2313" s="137">
        <v>442</v>
      </c>
      <c r="E2313" s="137">
        <v>2703</v>
      </c>
      <c r="F2313" s="137">
        <v>63</v>
      </c>
    </row>
    <row r="2314" spans="1:6" x14ac:dyDescent="0.25">
      <c r="A2314" s="137" t="s">
        <v>16424</v>
      </c>
      <c r="B2314" s="137" t="s">
        <v>130</v>
      </c>
      <c r="C2314" s="137" t="s">
        <v>5221</v>
      </c>
      <c r="D2314" s="338">
        <v>7328</v>
      </c>
      <c r="E2314" s="137">
        <v>3746</v>
      </c>
      <c r="F2314" s="137">
        <v>1106</v>
      </c>
    </row>
    <row r="2315" spans="1:6" x14ac:dyDescent="0.25">
      <c r="A2315" s="137" t="s">
        <v>16657</v>
      </c>
      <c r="B2315" s="137" t="s">
        <v>130</v>
      </c>
      <c r="C2315" s="137" t="s">
        <v>333</v>
      </c>
      <c r="D2315" s="338">
        <v>3301</v>
      </c>
      <c r="E2315" s="137">
        <v>5605</v>
      </c>
      <c r="F2315" s="137">
        <v>325</v>
      </c>
    </row>
    <row r="2316" spans="1:6" x14ac:dyDescent="0.25">
      <c r="A2316" s="137" t="s">
        <v>16524</v>
      </c>
      <c r="B2316" s="137" t="s">
        <v>130</v>
      </c>
      <c r="C2316" s="137" t="s">
        <v>5260</v>
      </c>
      <c r="D2316" s="338">
        <v>6245</v>
      </c>
      <c r="E2316" s="137">
        <v>3331</v>
      </c>
      <c r="F2316" s="137">
        <v>691</v>
      </c>
    </row>
    <row r="2317" spans="1:6" x14ac:dyDescent="0.25">
      <c r="A2317" s="137" t="s">
        <v>16523</v>
      </c>
      <c r="B2317" s="137" t="s">
        <v>130</v>
      </c>
      <c r="C2317" s="137" t="s">
        <v>4987</v>
      </c>
      <c r="D2317" s="338">
        <v>6249</v>
      </c>
      <c r="E2317" s="137">
        <v>3321</v>
      </c>
      <c r="F2317" s="137">
        <v>681</v>
      </c>
    </row>
    <row r="2318" spans="1:6" x14ac:dyDescent="0.25">
      <c r="A2318" s="137" t="s">
        <v>16531</v>
      </c>
      <c r="B2318" s="137" t="s">
        <v>130</v>
      </c>
      <c r="C2318" s="137" t="s">
        <v>5636</v>
      </c>
      <c r="D2318" s="338">
        <v>6168</v>
      </c>
      <c r="E2318" s="137">
        <v>3514</v>
      </c>
      <c r="F2318" s="137">
        <v>874</v>
      </c>
    </row>
    <row r="2319" spans="1:6" x14ac:dyDescent="0.25">
      <c r="A2319" s="137" t="s">
        <v>16568</v>
      </c>
      <c r="B2319" s="137" t="s">
        <v>130</v>
      </c>
      <c r="C2319" s="137" t="s">
        <v>328</v>
      </c>
      <c r="D2319" s="338">
        <v>5432</v>
      </c>
      <c r="E2319" s="137">
        <v>4215</v>
      </c>
      <c r="F2319" s="137">
        <v>255</v>
      </c>
    </row>
    <row r="2320" spans="1:6" x14ac:dyDescent="0.25">
      <c r="A2320" s="137" t="s">
        <v>16006</v>
      </c>
      <c r="B2320" s="137" t="s">
        <v>130</v>
      </c>
      <c r="C2320" s="137" t="s">
        <v>5163</v>
      </c>
      <c r="D2320" s="338">
        <v>12274</v>
      </c>
      <c r="E2320" s="137">
        <v>5247</v>
      </c>
      <c r="F2320" s="137">
        <v>-33</v>
      </c>
    </row>
    <row r="2321" spans="1:6" x14ac:dyDescent="0.25">
      <c r="A2321" s="137" t="s">
        <v>16122</v>
      </c>
      <c r="B2321" s="137" t="s">
        <v>130</v>
      </c>
      <c r="C2321" s="137" t="s">
        <v>5715</v>
      </c>
      <c r="D2321" s="338">
        <v>10649</v>
      </c>
      <c r="E2321" s="137">
        <v>3306</v>
      </c>
      <c r="F2321" s="137">
        <v>666</v>
      </c>
    </row>
    <row r="2322" spans="1:6" x14ac:dyDescent="0.25">
      <c r="A2322" s="137" t="s">
        <v>16041</v>
      </c>
      <c r="B2322" s="137" t="s">
        <v>130</v>
      </c>
      <c r="C2322" s="137" t="s">
        <v>326</v>
      </c>
      <c r="D2322" s="338">
        <v>11723</v>
      </c>
      <c r="E2322" s="137">
        <v>4813</v>
      </c>
      <c r="F2322" s="137">
        <v>853</v>
      </c>
    </row>
    <row r="2323" spans="1:6" x14ac:dyDescent="0.25">
      <c r="A2323" s="137" t="s">
        <v>16370</v>
      </c>
      <c r="B2323" s="137" t="s">
        <v>130</v>
      </c>
      <c r="C2323" s="137" t="s">
        <v>324</v>
      </c>
      <c r="D2323" s="338">
        <v>7798</v>
      </c>
      <c r="E2323" s="137">
        <v>3223</v>
      </c>
      <c r="F2323" s="137">
        <v>583</v>
      </c>
    </row>
    <row r="2324" spans="1:6" x14ac:dyDescent="0.25">
      <c r="A2324" s="137" t="s">
        <v>16639</v>
      </c>
      <c r="B2324" s="137" t="s">
        <v>130</v>
      </c>
      <c r="C2324" s="137" t="s">
        <v>322</v>
      </c>
      <c r="D2324" s="338">
        <v>3774</v>
      </c>
      <c r="E2324" s="137">
        <v>3775</v>
      </c>
      <c r="F2324" s="137">
        <v>1135</v>
      </c>
    </row>
    <row r="2325" spans="1:6" x14ac:dyDescent="0.25">
      <c r="A2325" s="137" t="s">
        <v>16548</v>
      </c>
      <c r="B2325" s="137" t="s">
        <v>130</v>
      </c>
      <c r="C2325" s="137" t="s">
        <v>320</v>
      </c>
      <c r="D2325" s="338">
        <v>5885</v>
      </c>
      <c r="E2325" s="137">
        <v>2846</v>
      </c>
      <c r="F2325" s="137">
        <v>206</v>
      </c>
    </row>
    <row r="2326" spans="1:6" x14ac:dyDescent="0.25">
      <c r="A2326" s="137" t="s">
        <v>16551</v>
      </c>
      <c r="B2326" s="137" t="s">
        <v>130</v>
      </c>
      <c r="C2326" s="137" t="s">
        <v>319</v>
      </c>
      <c r="D2326" s="338">
        <v>5846</v>
      </c>
      <c r="E2326" s="137">
        <v>4012</v>
      </c>
      <c r="F2326" s="137">
        <v>52</v>
      </c>
    </row>
    <row r="2327" spans="1:6" x14ac:dyDescent="0.25">
      <c r="A2327" s="137" t="s">
        <v>16215</v>
      </c>
      <c r="B2327" s="137" t="s">
        <v>130</v>
      </c>
      <c r="C2327" s="137" t="s">
        <v>4562</v>
      </c>
      <c r="D2327" s="338">
        <v>9509</v>
      </c>
      <c r="E2327" s="137">
        <v>4663</v>
      </c>
      <c r="F2327" s="137">
        <v>703</v>
      </c>
    </row>
    <row r="2328" spans="1:6" x14ac:dyDescent="0.25">
      <c r="A2328" s="137" t="s">
        <v>16277</v>
      </c>
      <c r="B2328" s="137" t="s">
        <v>130</v>
      </c>
      <c r="C2328" s="137" t="s">
        <v>883</v>
      </c>
      <c r="D2328" s="338">
        <v>8766</v>
      </c>
      <c r="E2328" s="137">
        <v>3708</v>
      </c>
      <c r="F2328" s="137">
        <v>1068</v>
      </c>
    </row>
    <row r="2329" spans="1:6" x14ac:dyDescent="0.25">
      <c r="A2329" s="137" t="s">
        <v>16242</v>
      </c>
      <c r="B2329" s="137" t="s">
        <v>130</v>
      </c>
      <c r="C2329" s="137" t="s">
        <v>1600</v>
      </c>
      <c r="D2329" s="338">
        <v>9245</v>
      </c>
      <c r="E2329" s="137">
        <v>3664</v>
      </c>
      <c r="F2329" s="137">
        <v>1024</v>
      </c>
    </row>
    <row r="2330" spans="1:6" x14ac:dyDescent="0.25">
      <c r="A2330" s="137" t="s">
        <v>16251</v>
      </c>
      <c r="B2330" s="137" t="s">
        <v>130</v>
      </c>
      <c r="C2330" s="137" t="s">
        <v>2394</v>
      </c>
      <c r="D2330" s="338">
        <v>9146</v>
      </c>
      <c r="E2330" s="137">
        <v>3851</v>
      </c>
      <c r="F2330" s="137">
        <v>1211</v>
      </c>
    </row>
    <row r="2331" spans="1:6" x14ac:dyDescent="0.25">
      <c r="A2331" s="137" t="s">
        <v>16207</v>
      </c>
      <c r="B2331" s="137" t="s">
        <v>130</v>
      </c>
      <c r="C2331" s="137" t="s">
        <v>615</v>
      </c>
      <c r="D2331" s="338">
        <v>9611</v>
      </c>
      <c r="E2331" s="137">
        <v>2729</v>
      </c>
      <c r="F2331" s="137">
        <v>89</v>
      </c>
    </row>
    <row r="2332" spans="1:6" x14ac:dyDescent="0.25">
      <c r="A2332" s="137" t="s">
        <v>16254</v>
      </c>
      <c r="B2332" s="137" t="s">
        <v>130</v>
      </c>
      <c r="C2332" s="137" t="s">
        <v>1163</v>
      </c>
      <c r="D2332" s="338">
        <v>9119</v>
      </c>
      <c r="E2332" s="137">
        <v>2853</v>
      </c>
      <c r="F2332" s="137">
        <v>213</v>
      </c>
    </row>
    <row r="2333" spans="1:6" x14ac:dyDescent="0.25">
      <c r="A2333" s="137" t="s">
        <v>16186</v>
      </c>
      <c r="B2333" s="137" t="s">
        <v>130</v>
      </c>
      <c r="C2333" s="137" t="s">
        <v>853</v>
      </c>
      <c r="D2333" s="338">
        <v>9969</v>
      </c>
      <c r="E2333" s="137">
        <v>3187</v>
      </c>
      <c r="F2333" s="137">
        <v>547</v>
      </c>
    </row>
    <row r="2334" spans="1:6" x14ac:dyDescent="0.25">
      <c r="A2334" s="137" t="s">
        <v>16480</v>
      </c>
      <c r="B2334" s="137" t="s">
        <v>130</v>
      </c>
      <c r="C2334" s="137" t="s">
        <v>316</v>
      </c>
      <c r="D2334" s="338">
        <v>6817</v>
      </c>
      <c r="E2334" s="137">
        <v>3961</v>
      </c>
      <c r="F2334" s="137">
        <v>1</v>
      </c>
    </row>
    <row r="2335" spans="1:6" x14ac:dyDescent="0.25">
      <c r="A2335" s="137" t="s">
        <v>16430</v>
      </c>
      <c r="B2335" s="137" t="s">
        <v>130</v>
      </c>
      <c r="C2335" s="137" t="s">
        <v>3363</v>
      </c>
      <c r="D2335" s="338">
        <v>7271</v>
      </c>
      <c r="E2335" s="137">
        <v>2371</v>
      </c>
      <c r="F2335" s="137">
        <v>1051</v>
      </c>
    </row>
    <row r="2336" spans="1:6" x14ac:dyDescent="0.25">
      <c r="A2336" s="137" t="s">
        <v>16543</v>
      </c>
      <c r="B2336" s="137" t="s">
        <v>130</v>
      </c>
      <c r="C2336" s="137" t="s">
        <v>4779</v>
      </c>
      <c r="D2336" s="338">
        <v>5956</v>
      </c>
      <c r="E2336" s="137">
        <v>3394</v>
      </c>
      <c r="F2336" s="137">
        <v>754</v>
      </c>
    </row>
    <row r="2337" spans="1:6" x14ac:dyDescent="0.25">
      <c r="A2337" s="137" t="s">
        <v>16093</v>
      </c>
      <c r="B2337" s="137" t="s">
        <v>130</v>
      </c>
      <c r="C2337" s="137" t="s">
        <v>314</v>
      </c>
      <c r="D2337" s="338">
        <v>10970</v>
      </c>
      <c r="E2337" s="137">
        <v>3253</v>
      </c>
      <c r="F2337" s="137">
        <v>613</v>
      </c>
    </row>
    <row r="2338" spans="1:6" x14ac:dyDescent="0.25">
      <c r="A2338" s="137" t="s">
        <v>16115</v>
      </c>
      <c r="B2338" s="137" t="s">
        <v>130</v>
      </c>
      <c r="C2338" s="137" t="s">
        <v>3313</v>
      </c>
      <c r="D2338" s="338">
        <v>10757</v>
      </c>
      <c r="E2338" s="137">
        <v>5079</v>
      </c>
      <c r="F2338" s="137">
        <v>1119</v>
      </c>
    </row>
    <row r="2339" spans="1:6" x14ac:dyDescent="0.25">
      <c r="A2339" s="137" t="s">
        <v>16325</v>
      </c>
      <c r="B2339" s="137" t="s">
        <v>130</v>
      </c>
      <c r="C2339" s="137" t="s">
        <v>309</v>
      </c>
      <c r="D2339" s="338">
        <v>8149</v>
      </c>
      <c r="E2339" s="137">
        <v>3416</v>
      </c>
      <c r="F2339" s="137">
        <v>776</v>
      </c>
    </row>
    <row r="2340" spans="1:6" x14ac:dyDescent="0.25">
      <c r="A2340" s="137" t="s">
        <v>16194</v>
      </c>
      <c r="B2340" s="137" t="s">
        <v>130</v>
      </c>
      <c r="C2340" s="137" t="s">
        <v>4104</v>
      </c>
      <c r="D2340" s="338">
        <v>9837</v>
      </c>
      <c r="E2340" s="137">
        <v>3650</v>
      </c>
      <c r="F2340" s="137">
        <v>1010</v>
      </c>
    </row>
    <row r="2341" spans="1:6" x14ac:dyDescent="0.25">
      <c r="A2341" s="137" t="s">
        <v>16071</v>
      </c>
      <c r="B2341" s="137" t="s">
        <v>130</v>
      </c>
      <c r="C2341" s="137" t="s">
        <v>4088</v>
      </c>
      <c r="D2341" s="338">
        <v>11271</v>
      </c>
      <c r="E2341" s="137">
        <v>5405</v>
      </c>
      <c r="F2341" s="137">
        <v>125</v>
      </c>
    </row>
    <row r="2342" spans="1:6" x14ac:dyDescent="0.25">
      <c r="A2342" s="137" t="s">
        <v>16175</v>
      </c>
      <c r="B2342" s="137" t="s">
        <v>130</v>
      </c>
      <c r="C2342" s="137" t="s">
        <v>3339</v>
      </c>
      <c r="D2342" s="338">
        <v>10081</v>
      </c>
      <c r="E2342" s="137">
        <v>5036</v>
      </c>
      <c r="F2342" s="137">
        <v>1076</v>
      </c>
    </row>
    <row r="2343" spans="1:6" x14ac:dyDescent="0.25">
      <c r="A2343" s="137" t="s">
        <v>15989</v>
      </c>
      <c r="B2343" s="137" t="s">
        <v>130</v>
      </c>
      <c r="C2343" s="137" t="s">
        <v>3148</v>
      </c>
      <c r="D2343" s="338">
        <v>12546</v>
      </c>
      <c r="E2343" s="137">
        <v>5227</v>
      </c>
      <c r="F2343" s="137">
        <v>1267</v>
      </c>
    </row>
    <row r="2344" spans="1:6" x14ac:dyDescent="0.25">
      <c r="A2344" s="137" t="s">
        <v>16128</v>
      </c>
      <c r="B2344" s="137" t="s">
        <v>130</v>
      </c>
      <c r="C2344" s="137" t="s">
        <v>5064</v>
      </c>
      <c r="D2344" s="338">
        <v>10611</v>
      </c>
      <c r="E2344" s="137">
        <v>3273</v>
      </c>
      <c r="F2344" s="137">
        <v>633</v>
      </c>
    </row>
    <row r="2345" spans="1:6" x14ac:dyDescent="0.25">
      <c r="A2345" s="137" t="s">
        <v>16735</v>
      </c>
      <c r="B2345" s="137" t="s">
        <v>130</v>
      </c>
      <c r="C2345" s="137" t="s">
        <v>2893</v>
      </c>
      <c r="D2345" s="137">
        <v>783</v>
      </c>
      <c r="E2345" s="137">
        <v>2891</v>
      </c>
      <c r="F2345" s="137">
        <v>-1069</v>
      </c>
    </row>
    <row r="2346" spans="1:6" x14ac:dyDescent="0.25">
      <c r="A2346" s="137" t="s">
        <v>15994</v>
      </c>
      <c r="B2346" s="137" t="s">
        <v>130</v>
      </c>
      <c r="C2346" s="137" t="s">
        <v>3891</v>
      </c>
      <c r="D2346" s="338">
        <v>12441</v>
      </c>
      <c r="E2346" s="137">
        <v>2952</v>
      </c>
      <c r="F2346" s="137">
        <v>312</v>
      </c>
    </row>
    <row r="2347" spans="1:6" x14ac:dyDescent="0.25">
      <c r="A2347" s="137" t="s">
        <v>16372</v>
      </c>
      <c r="B2347" s="137" t="s">
        <v>130</v>
      </c>
      <c r="C2347" s="137" t="s">
        <v>306</v>
      </c>
      <c r="D2347" s="338">
        <v>7789</v>
      </c>
      <c r="E2347" s="137">
        <v>3584</v>
      </c>
      <c r="F2347" s="137">
        <v>944</v>
      </c>
    </row>
    <row r="2348" spans="1:6" x14ac:dyDescent="0.25">
      <c r="A2348" s="137" t="s">
        <v>16649</v>
      </c>
      <c r="B2348" s="137" t="s">
        <v>130</v>
      </c>
      <c r="C2348" s="137" t="s">
        <v>4239</v>
      </c>
      <c r="D2348" s="338">
        <v>3482</v>
      </c>
      <c r="E2348" s="137">
        <v>4133</v>
      </c>
      <c r="F2348" s="137">
        <v>173</v>
      </c>
    </row>
    <row r="2349" spans="1:6" x14ac:dyDescent="0.25">
      <c r="A2349" s="137" t="s">
        <v>16721</v>
      </c>
      <c r="B2349" s="137" t="s">
        <v>130</v>
      </c>
      <c r="C2349" s="137" t="s">
        <v>5661</v>
      </c>
      <c r="D2349" s="338">
        <v>1427</v>
      </c>
      <c r="E2349" s="137">
        <v>3320</v>
      </c>
      <c r="F2349" s="137">
        <v>680</v>
      </c>
    </row>
    <row r="2350" spans="1:6" x14ac:dyDescent="0.25">
      <c r="A2350" s="137" t="s">
        <v>16269</v>
      </c>
      <c r="B2350" s="137" t="s">
        <v>130</v>
      </c>
      <c r="C2350" s="137" t="s">
        <v>973</v>
      </c>
      <c r="D2350" s="338">
        <v>8913</v>
      </c>
      <c r="E2350" s="137">
        <v>2680</v>
      </c>
      <c r="F2350" s="137">
        <v>40</v>
      </c>
    </row>
    <row r="2351" spans="1:6" x14ac:dyDescent="0.25">
      <c r="A2351" s="137" t="s">
        <v>16680</v>
      </c>
      <c r="B2351" s="137" t="s">
        <v>130</v>
      </c>
      <c r="C2351" s="137" t="s">
        <v>304</v>
      </c>
      <c r="D2351" s="338">
        <v>2784</v>
      </c>
      <c r="E2351" s="137">
        <v>4718</v>
      </c>
      <c r="F2351" s="137">
        <v>758</v>
      </c>
    </row>
    <row r="2352" spans="1:6" x14ac:dyDescent="0.25">
      <c r="A2352" s="137" t="s">
        <v>16035</v>
      </c>
      <c r="B2352" s="137" t="s">
        <v>130</v>
      </c>
      <c r="C2352" s="137" t="s">
        <v>3868</v>
      </c>
      <c r="D2352" s="338">
        <v>11790</v>
      </c>
      <c r="E2352" s="137">
        <v>3805</v>
      </c>
      <c r="F2352" s="137">
        <v>1165</v>
      </c>
    </row>
    <row r="2353" spans="1:6" x14ac:dyDescent="0.25">
      <c r="A2353" s="137" t="s">
        <v>16020</v>
      </c>
      <c r="B2353" s="137" t="s">
        <v>130</v>
      </c>
      <c r="C2353" s="137" t="s">
        <v>5480</v>
      </c>
      <c r="D2353" s="338">
        <v>12113</v>
      </c>
      <c r="E2353" s="137">
        <v>3850</v>
      </c>
      <c r="F2353" s="137">
        <v>1210</v>
      </c>
    </row>
    <row r="2354" spans="1:6" x14ac:dyDescent="0.25">
      <c r="A2354" s="137" t="s">
        <v>16470</v>
      </c>
      <c r="B2354" s="137" t="s">
        <v>130</v>
      </c>
      <c r="C2354" s="137" t="s">
        <v>4900</v>
      </c>
      <c r="D2354" s="338">
        <v>6961</v>
      </c>
      <c r="E2354" s="137">
        <v>2910</v>
      </c>
      <c r="F2354" s="137">
        <v>270</v>
      </c>
    </row>
    <row r="2355" spans="1:6" x14ac:dyDescent="0.25">
      <c r="A2355" s="137" t="s">
        <v>16634</v>
      </c>
      <c r="B2355" s="137" t="s">
        <v>130</v>
      </c>
      <c r="C2355" s="137" t="s">
        <v>302</v>
      </c>
      <c r="D2355" s="338">
        <v>3878</v>
      </c>
      <c r="E2355" s="137">
        <v>3487</v>
      </c>
      <c r="F2355" s="137">
        <v>847</v>
      </c>
    </row>
    <row r="2356" spans="1:6" x14ac:dyDescent="0.25">
      <c r="A2356" s="137" t="s">
        <v>16229</v>
      </c>
      <c r="B2356" s="137" t="s">
        <v>130</v>
      </c>
      <c r="C2356" s="137" t="s">
        <v>2079</v>
      </c>
      <c r="D2356" s="338">
        <v>9406</v>
      </c>
      <c r="E2356" s="137">
        <v>2929</v>
      </c>
      <c r="F2356" s="137">
        <v>289</v>
      </c>
    </row>
    <row r="2357" spans="1:6" x14ac:dyDescent="0.25">
      <c r="A2357" s="137" t="s">
        <v>16400</v>
      </c>
      <c r="B2357" s="137" t="s">
        <v>130</v>
      </c>
      <c r="C2357" s="137" t="s">
        <v>4414</v>
      </c>
      <c r="D2357" s="338">
        <v>7464</v>
      </c>
      <c r="E2357" s="137">
        <v>2940</v>
      </c>
      <c r="F2357" s="137">
        <v>300</v>
      </c>
    </row>
    <row r="2358" spans="1:6" x14ac:dyDescent="0.25">
      <c r="A2358" s="137" t="s">
        <v>16377</v>
      </c>
      <c r="B2358" s="137" t="s">
        <v>130</v>
      </c>
      <c r="C2358" s="137" t="s">
        <v>2007</v>
      </c>
      <c r="D2358" s="338">
        <v>7754</v>
      </c>
      <c r="E2358" s="137">
        <v>4580</v>
      </c>
      <c r="F2358" s="137">
        <v>620</v>
      </c>
    </row>
    <row r="2359" spans="1:6" x14ac:dyDescent="0.25">
      <c r="A2359" s="137" t="s">
        <v>16745</v>
      </c>
      <c r="B2359" s="137" t="s">
        <v>130</v>
      </c>
      <c r="C2359" s="137" t="s">
        <v>5625</v>
      </c>
      <c r="D2359" s="137">
        <v>927</v>
      </c>
      <c r="E2359" s="137">
        <v>3391</v>
      </c>
      <c r="F2359" s="137">
        <v>751</v>
      </c>
    </row>
    <row r="2360" spans="1:6" x14ac:dyDescent="0.25">
      <c r="A2360" s="137" t="s">
        <v>16586</v>
      </c>
      <c r="B2360" s="137" t="s">
        <v>130</v>
      </c>
      <c r="C2360" s="137" t="s">
        <v>300</v>
      </c>
      <c r="D2360" s="338">
        <v>4956</v>
      </c>
      <c r="E2360" s="137">
        <v>4270</v>
      </c>
      <c r="F2360" s="137">
        <v>310</v>
      </c>
    </row>
    <row r="2361" spans="1:6" x14ac:dyDescent="0.25">
      <c r="A2361" s="137" t="s">
        <v>16450</v>
      </c>
      <c r="B2361" s="137" t="s">
        <v>130</v>
      </c>
      <c r="C2361" s="137" t="s">
        <v>5285</v>
      </c>
      <c r="D2361" s="338">
        <v>7086</v>
      </c>
      <c r="E2361" s="137">
        <v>2771</v>
      </c>
      <c r="F2361" s="137">
        <v>131</v>
      </c>
    </row>
    <row r="2362" spans="1:6" x14ac:dyDescent="0.25">
      <c r="A2362" s="137" t="s">
        <v>16145</v>
      </c>
      <c r="B2362" s="137" t="s">
        <v>130</v>
      </c>
      <c r="C2362" s="137" t="s">
        <v>1769</v>
      </c>
      <c r="D2362" s="338">
        <v>10444</v>
      </c>
      <c r="E2362" s="137">
        <v>4137</v>
      </c>
      <c r="F2362" s="137">
        <v>177</v>
      </c>
    </row>
    <row r="2363" spans="1:6" x14ac:dyDescent="0.25">
      <c r="A2363" s="137" t="s">
        <v>15974</v>
      </c>
      <c r="B2363" s="137" t="s">
        <v>130</v>
      </c>
      <c r="C2363" s="137" t="s">
        <v>5121</v>
      </c>
      <c r="D2363" s="338">
        <v>13325</v>
      </c>
      <c r="E2363" s="137">
        <v>4650</v>
      </c>
      <c r="F2363" s="137">
        <v>690</v>
      </c>
    </row>
    <row r="2364" spans="1:6" x14ac:dyDescent="0.25">
      <c r="A2364" s="137" t="s">
        <v>16623</v>
      </c>
      <c r="B2364" s="137" t="s">
        <v>130</v>
      </c>
      <c r="C2364" s="137" t="s">
        <v>5082</v>
      </c>
      <c r="D2364" s="338">
        <v>4038</v>
      </c>
      <c r="E2364" s="137">
        <v>2866</v>
      </c>
      <c r="F2364" s="137">
        <v>226</v>
      </c>
    </row>
    <row r="2365" spans="1:6" x14ac:dyDescent="0.25">
      <c r="A2365" s="137" t="s">
        <v>16318</v>
      </c>
      <c r="B2365" s="137" t="s">
        <v>130</v>
      </c>
      <c r="C2365" s="137" t="s">
        <v>295</v>
      </c>
      <c r="D2365" s="338">
        <v>8202</v>
      </c>
      <c r="E2365" s="137">
        <v>2867</v>
      </c>
      <c r="F2365" s="137">
        <v>227</v>
      </c>
    </row>
    <row r="2366" spans="1:6" x14ac:dyDescent="0.25">
      <c r="A2366" s="137" t="s">
        <v>16465</v>
      </c>
      <c r="B2366" s="137" t="s">
        <v>130</v>
      </c>
      <c r="C2366" s="137" t="s">
        <v>1755</v>
      </c>
      <c r="D2366" s="338">
        <v>6999</v>
      </c>
      <c r="E2366" s="137">
        <v>3416</v>
      </c>
      <c r="F2366" s="137">
        <v>776</v>
      </c>
    </row>
    <row r="2367" spans="1:6" x14ac:dyDescent="0.25">
      <c r="A2367" s="137" t="s">
        <v>16567</v>
      </c>
      <c r="B2367" s="137" t="s">
        <v>130</v>
      </c>
      <c r="C2367" s="137" t="s">
        <v>4962</v>
      </c>
      <c r="D2367" s="338">
        <v>5504</v>
      </c>
      <c r="E2367" s="137">
        <v>3418</v>
      </c>
      <c r="F2367" s="137">
        <v>778</v>
      </c>
    </row>
    <row r="2368" spans="1:6" x14ac:dyDescent="0.25">
      <c r="A2368" s="137" t="s">
        <v>16224</v>
      </c>
      <c r="B2368" s="137" t="s">
        <v>130</v>
      </c>
      <c r="C2368" s="137" t="s">
        <v>293</v>
      </c>
      <c r="D2368" s="338">
        <v>9458</v>
      </c>
      <c r="E2368" s="137">
        <v>4134</v>
      </c>
      <c r="F2368" s="137">
        <v>174</v>
      </c>
    </row>
    <row r="2369" spans="1:6" x14ac:dyDescent="0.25">
      <c r="A2369" s="137" t="s">
        <v>16392</v>
      </c>
      <c r="B2369" s="137" t="s">
        <v>130</v>
      </c>
      <c r="C2369" s="137" t="s">
        <v>5343</v>
      </c>
      <c r="D2369" s="338">
        <v>7559</v>
      </c>
      <c r="E2369" s="137">
        <v>2762</v>
      </c>
      <c r="F2369" s="137">
        <v>122</v>
      </c>
    </row>
    <row r="2370" spans="1:6" x14ac:dyDescent="0.25">
      <c r="A2370" s="137" t="s">
        <v>16693</v>
      </c>
      <c r="B2370" s="137" t="s">
        <v>130</v>
      </c>
      <c r="C2370" s="137" t="s">
        <v>290</v>
      </c>
      <c r="D2370" s="338">
        <v>2315</v>
      </c>
      <c r="E2370" s="137">
        <v>3883</v>
      </c>
      <c r="F2370" s="137">
        <v>1243</v>
      </c>
    </row>
    <row r="2371" spans="1:6" x14ac:dyDescent="0.25">
      <c r="A2371" s="137" t="s">
        <v>16399</v>
      </c>
      <c r="B2371" s="137" t="s">
        <v>130</v>
      </c>
      <c r="C2371" s="137" t="s">
        <v>288</v>
      </c>
      <c r="D2371" s="338">
        <v>7464</v>
      </c>
      <c r="E2371" s="137">
        <v>2924</v>
      </c>
      <c r="F2371" s="137">
        <v>284</v>
      </c>
    </row>
    <row r="2372" spans="1:6" x14ac:dyDescent="0.25">
      <c r="A2372" s="137" t="s">
        <v>16692</v>
      </c>
      <c r="B2372" s="137" t="s">
        <v>130</v>
      </c>
      <c r="C2372" s="137" t="s">
        <v>286</v>
      </c>
      <c r="D2372" s="338">
        <v>2332</v>
      </c>
      <c r="E2372" s="137">
        <v>3894</v>
      </c>
      <c r="F2372" s="137">
        <v>1254</v>
      </c>
    </row>
    <row r="2373" spans="1:6" x14ac:dyDescent="0.25">
      <c r="A2373" s="137" t="s">
        <v>15985</v>
      </c>
      <c r="B2373" s="137" t="s">
        <v>130</v>
      </c>
      <c r="C2373" s="137" t="s">
        <v>5465</v>
      </c>
      <c r="D2373" s="338">
        <v>12734</v>
      </c>
      <c r="E2373" s="137">
        <v>4081</v>
      </c>
      <c r="F2373" s="137">
        <v>121</v>
      </c>
    </row>
    <row r="2374" spans="1:6" x14ac:dyDescent="0.25">
      <c r="A2374" s="137" t="s">
        <v>16385</v>
      </c>
      <c r="B2374" s="137" t="s">
        <v>130</v>
      </c>
      <c r="C2374" s="137" t="s">
        <v>3463</v>
      </c>
      <c r="D2374" s="338">
        <v>7619</v>
      </c>
      <c r="E2374" s="137">
        <v>3251</v>
      </c>
      <c r="F2374" s="137">
        <v>611</v>
      </c>
    </row>
    <row r="2375" spans="1:6" x14ac:dyDescent="0.25">
      <c r="A2375" s="137" t="s">
        <v>16520</v>
      </c>
      <c r="B2375" s="137" t="s">
        <v>130</v>
      </c>
      <c r="C2375" s="137" t="s">
        <v>282</v>
      </c>
      <c r="D2375" s="338">
        <v>6309</v>
      </c>
      <c r="E2375" s="137">
        <v>3076</v>
      </c>
      <c r="F2375" s="137">
        <v>436</v>
      </c>
    </row>
    <row r="2376" spans="1:6" x14ac:dyDescent="0.25">
      <c r="A2376" s="137" t="s">
        <v>16763</v>
      </c>
      <c r="B2376" s="137" t="s">
        <v>130</v>
      </c>
      <c r="C2376" s="137" t="s">
        <v>279</v>
      </c>
      <c r="D2376" s="338">
        <v>1149</v>
      </c>
      <c r="E2376" s="137">
        <v>3871</v>
      </c>
      <c r="F2376" s="137">
        <v>1231</v>
      </c>
    </row>
    <row r="2377" spans="1:6" x14ac:dyDescent="0.25">
      <c r="A2377" s="137" t="s">
        <v>16361</v>
      </c>
      <c r="B2377" s="137" t="s">
        <v>130</v>
      </c>
      <c r="C2377" s="137" t="s">
        <v>5010</v>
      </c>
      <c r="D2377" s="338">
        <v>7867</v>
      </c>
      <c r="E2377" s="137">
        <v>2547</v>
      </c>
      <c r="F2377" s="137">
        <v>1227</v>
      </c>
    </row>
    <row r="2378" spans="1:6" x14ac:dyDescent="0.25">
      <c r="A2378" s="137" t="s">
        <v>16704</v>
      </c>
      <c r="B2378" s="137" t="s">
        <v>130</v>
      </c>
      <c r="C2378" s="137" t="s">
        <v>5008</v>
      </c>
      <c r="D2378" s="338">
        <v>2038</v>
      </c>
      <c r="E2378" s="137">
        <v>2689</v>
      </c>
      <c r="F2378" s="137">
        <v>49</v>
      </c>
    </row>
    <row r="2379" spans="1:6" x14ac:dyDescent="0.25">
      <c r="A2379" s="137" t="s">
        <v>16710</v>
      </c>
      <c r="B2379" s="137" t="s">
        <v>130</v>
      </c>
      <c r="C2379" s="137" t="s">
        <v>277</v>
      </c>
      <c r="D2379" s="338">
        <v>1992</v>
      </c>
      <c r="E2379" s="137">
        <v>4595</v>
      </c>
      <c r="F2379" s="137">
        <v>635</v>
      </c>
    </row>
    <row r="2380" spans="1:6" x14ac:dyDescent="0.25">
      <c r="A2380" s="137" t="s">
        <v>16042</v>
      </c>
      <c r="B2380" s="137" t="s">
        <v>130</v>
      </c>
      <c r="C2380" s="137" t="s">
        <v>273</v>
      </c>
      <c r="D2380" s="338">
        <v>11723</v>
      </c>
      <c r="E2380" s="137">
        <v>3695</v>
      </c>
      <c r="F2380" s="137">
        <v>1055</v>
      </c>
    </row>
    <row r="2381" spans="1:6" x14ac:dyDescent="0.25">
      <c r="A2381" s="137" t="s">
        <v>16575</v>
      </c>
      <c r="B2381" s="137" t="s">
        <v>130</v>
      </c>
      <c r="C2381" s="137" t="s">
        <v>272</v>
      </c>
      <c r="D2381" s="338">
        <v>5249</v>
      </c>
      <c r="E2381" s="137">
        <v>3129</v>
      </c>
      <c r="F2381" s="137">
        <v>489</v>
      </c>
    </row>
    <row r="2382" spans="1:6" x14ac:dyDescent="0.25">
      <c r="A2382" s="137" t="s">
        <v>16238</v>
      </c>
      <c r="B2382" s="137" t="s">
        <v>130</v>
      </c>
      <c r="C2382" s="137" t="s">
        <v>3984</v>
      </c>
      <c r="D2382" s="338">
        <v>9303</v>
      </c>
      <c r="E2382" s="137">
        <v>3302</v>
      </c>
      <c r="F2382" s="137">
        <v>662</v>
      </c>
    </row>
    <row r="2383" spans="1:6" x14ac:dyDescent="0.25">
      <c r="A2383" s="137" t="s">
        <v>16701</v>
      </c>
      <c r="B2383" s="137" t="s">
        <v>130</v>
      </c>
      <c r="C2383" s="137" t="s">
        <v>270</v>
      </c>
      <c r="D2383" s="338">
        <v>2092</v>
      </c>
      <c r="E2383" s="137">
        <v>3877</v>
      </c>
      <c r="F2383" s="137">
        <v>1237</v>
      </c>
    </row>
    <row r="2384" spans="1:6" x14ac:dyDescent="0.25">
      <c r="A2384" s="137" t="s">
        <v>16390</v>
      </c>
      <c r="B2384" s="137" t="s">
        <v>130</v>
      </c>
      <c r="C2384" s="137" t="s">
        <v>1475</v>
      </c>
      <c r="D2384" s="338">
        <v>7576</v>
      </c>
      <c r="E2384" s="137">
        <v>3456</v>
      </c>
      <c r="F2384" s="137">
        <v>816</v>
      </c>
    </row>
    <row r="2385" spans="1:6" x14ac:dyDescent="0.25">
      <c r="A2385" s="137" t="s">
        <v>15977</v>
      </c>
      <c r="B2385" s="137" t="s">
        <v>130</v>
      </c>
      <c r="C2385" s="137" t="s">
        <v>4391</v>
      </c>
      <c r="D2385" s="338">
        <v>13119</v>
      </c>
      <c r="E2385" s="137">
        <v>3306</v>
      </c>
      <c r="F2385" s="137">
        <v>666</v>
      </c>
    </row>
    <row r="2386" spans="1:6" x14ac:dyDescent="0.25">
      <c r="A2386" s="137" t="s">
        <v>16004</v>
      </c>
      <c r="B2386" s="137" t="s">
        <v>130</v>
      </c>
      <c r="C2386" s="137" t="s">
        <v>1333</v>
      </c>
      <c r="D2386" s="338">
        <v>12335</v>
      </c>
      <c r="E2386" s="137">
        <v>2567</v>
      </c>
      <c r="F2386" s="137">
        <v>1247</v>
      </c>
    </row>
    <row r="2387" spans="1:6" x14ac:dyDescent="0.25">
      <c r="A2387" s="137" t="s">
        <v>16742</v>
      </c>
      <c r="B2387" s="137" t="s">
        <v>130</v>
      </c>
      <c r="C2387" s="137" t="s">
        <v>268</v>
      </c>
      <c r="D2387" s="137">
        <v>999</v>
      </c>
      <c r="E2387" s="137">
        <v>3487</v>
      </c>
      <c r="F2387" s="137">
        <v>847</v>
      </c>
    </row>
    <row r="2388" spans="1:6" x14ac:dyDescent="0.25">
      <c r="A2388" s="137" t="s">
        <v>16099</v>
      </c>
      <c r="B2388" s="137" t="s">
        <v>130</v>
      </c>
      <c r="C2388" s="137" t="s">
        <v>266</v>
      </c>
      <c r="D2388" s="338">
        <v>10912</v>
      </c>
      <c r="E2388" s="137">
        <v>4849</v>
      </c>
      <c r="F2388" s="137">
        <v>889</v>
      </c>
    </row>
    <row r="2389" spans="1:6" x14ac:dyDescent="0.25">
      <c r="A2389" s="137" t="s">
        <v>16396</v>
      </c>
      <c r="B2389" s="137" t="s">
        <v>130</v>
      </c>
      <c r="C2389" s="137" t="s">
        <v>5471</v>
      </c>
      <c r="D2389" s="338">
        <v>7529</v>
      </c>
      <c r="E2389" s="137">
        <v>4217</v>
      </c>
      <c r="F2389" s="137">
        <v>257</v>
      </c>
    </row>
    <row r="2390" spans="1:6" x14ac:dyDescent="0.25">
      <c r="A2390" s="137" t="s">
        <v>16230</v>
      </c>
      <c r="B2390" s="137" t="s">
        <v>130</v>
      </c>
      <c r="C2390" s="137" t="s">
        <v>1643</v>
      </c>
      <c r="D2390" s="338">
        <v>9395</v>
      </c>
      <c r="E2390" s="137">
        <v>2925</v>
      </c>
      <c r="F2390" s="137">
        <v>285</v>
      </c>
    </row>
    <row r="2391" spans="1:6" x14ac:dyDescent="0.25">
      <c r="A2391" s="137" t="s">
        <v>16696</v>
      </c>
      <c r="B2391" s="137" t="s">
        <v>130</v>
      </c>
      <c r="C2391" s="137" t="s">
        <v>1267</v>
      </c>
      <c r="D2391" s="338">
        <v>2167</v>
      </c>
      <c r="E2391" s="137">
        <v>2806</v>
      </c>
      <c r="F2391" s="137">
        <v>166</v>
      </c>
    </row>
    <row r="2392" spans="1:6" x14ac:dyDescent="0.25">
      <c r="A2392" s="137" t="s">
        <v>16602</v>
      </c>
      <c r="B2392" s="137" t="s">
        <v>130</v>
      </c>
      <c r="C2392" s="137" t="s">
        <v>263</v>
      </c>
      <c r="D2392" s="338">
        <v>4454</v>
      </c>
      <c r="E2392" s="137">
        <v>5155</v>
      </c>
      <c r="F2392" s="137">
        <v>1195</v>
      </c>
    </row>
    <row r="2393" spans="1:6" x14ac:dyDescent="0.25">
      <c r="A2393" s="137" t="s">
        <v>16079</v>
      </c>
      <c r="B2393" s="137" t="s">
        <v>130</v>
      </c>
      <c r="C2393" s="137" t="s">
        <v>261</v>
      </c>
      <c r="D2393" s="338">
        <v>11115</v>
      </c>
      <c r="E2393" s="137">
        <v>3153</v>
      </c>
      <c r="F2393" s="137">
        <v>513</v>
      </c>
    </row>
    <row r="2394" spans="1:6" x14ac:dyDescent="0.25">
      <c r="A2394" s="137" t="s">
        <v>16050</v>
      </c>
      <c r="B2394" s="137" t="s">
        <v>130</v>
      </c>
      <c r="C2394" s="137" t="s">
        <v>5741</v>
      </c>
      <c r="D2394" s="338">
        <v>11559</v>
      </c>
      <c r="E2394" s="137">
        <v>3385</v>
      </c>
      <c r="F2394" s="137">
        <v>745</v>
      </c>
    </row>
    <row r="2395" spans="1:6" x14ac:dyDescent="0.25">
      <c r="A2395" s="137" t="s">
        <v>16233</v>
      </c>
      <c r="B2395" s="137" t="s">
        <v>130</v>
      </c>
      <c r="C2395" s="137" t="s">
        <v>3008</v>
      </c>
      <c r="D2395" s="338">
        <v>9333</v>
      </c>
      <c r="E2395" s="137">
        <v>3115</v>
      </c>
      <c r="F2395" s="137">
        <v>475</v>
      </c>
    </row>
    <row r="2396" spans="1:6" x14ac:dyDescent="0.25">
      <c r="A2396" s="137" t="s">
        <v>16738</v>
      </c>
      <c r="B2396" s="137" t="s">
        <v>130</v>
      </c>
      <c r="C2396" s="137" t="s">
        <v>259</v>
      </c>
      <c r="D2396" s="137">
        <v>902</v>
      </c>
      <c r="E2396" s="137">
        <v>3757</v>
      </c>
      <c r="F2396" s="137">
        <v>1117</v>
      </c>
    </row>
    <row r="2397" spans="1:6" x14ac:dyDescent="0.25">
      <c r="A2397" s="137" t="s">
        <v>16561</v>
      </c>
      <c r="B2397" s="137" t="s">
        <v>130</v>
      </c>
      <c r="C2397" s="137" t="s">
        <v>4935</v>
      </c>
      <c r="D2397" s="338">
        <v>5723</v>
      </c>
      <c r="E2397" s="137">
        <v>3575</v>
      </c>
      <c r="F2397" s="137">
        <v>935</v>
      </c>
    </row>
    <row r="2398" spans="1:6" x14ac:dyDescent="0.25">
      <c r="A2398" s="137" t="s">
        <v>16563</v>
      </c>
      <c r="B2398" s="137" t="s">
        <v>130</v>
      </c>
      <c r="C2398" s="137" t="s">
        <v>5283</v>
      </c>
      <c r="D2398" s="338">
        <v>5647</v>
      </c>
      <c r="E2398" s="137">
        <v>3741</v>
      </c>
      <c r="F2398" s="137">
        <v>1101</v>
      </c>
    </row>
    <row r="2399" spans="1:6" x14ac:dyDescent="0.25">
      <c r="A2399" s="137" t="s">
        <v>16189</v>
      </c>
      <c r="B2399" s="137" t="s">
        <v>130</v>
      </c>
      <c r="C2399" s="137" t="s">
        <v>1169</v>
      </c>
      <c r="D2399" s="338">
        <v>9899</v>
      </c>
      <c r="E2399" s="137">
        <v>2818</v>
      </c>
      <c r="F2399" s="137">
        <v>178</v>
      </c>
    </row>
    <row r="2400" spans="1:6" x14ac:dyDescent="0.25">
      <c r="A2400" s="137" t="s">
        <v>16632</v>
      </c>
      <c r="B2400" s="137" t="s">
        <v>130</v>
      </c>
      <c r="C2400" s="137" t="s">
        <v>254</v>
      </c>
      <c r="D2400" s="338">
        <v>3897</v>
      </c>
      <c r="E2400" s="137">
        <v>5116</v>
      </c>
      <c r="F2400" s="137">
        <v>-164</v>
      </c>
    </row>
    <row r="2401" spans="1:6" x14ac:dyDescent="0.25">
      <c r="A2401" s="137" t="s">
        <v>16455</v>
      </c>
      <c r="B2401" s="137" t="s">
        <v>130</v>
      </c>
      <c r="C2401" s="137" t="s">
        <v>252</v>
      </c>
      <c r="D2401" s="338">
        <v>7062</v>
      </c>
      <c r="E2401" s="137">
        <v>3379</v>
      </c>
      <c r="F2401" s="137">
        <v>739</v>
      </c>
    </row>
    <row r="2402" spans="1:6" x14ac:dyDescent="0.25">
      <c r="A2402" s="137" t="s">
        <v>16713</v>
      </c>
      <c r="B2402" s="137" t="s">
        <v>130</v>
      </c>
      <c r="C2402" s="137" t="s">
        <v>249</v>
      </c>
      <c r="D2402" s="338">
        <v>1762</v>
      </c>
      <c r="E2402" s="137">
        <v>3326</v>
      </c>
      <c r="F2402" s="137">
        <v>686</v>
      </c>
    </row>
    <row r="2403" spans="1:6" x14ac:dyDescent="0.25">
      <c r="A2403" s="137" t="s">
        <v>16669</v>
      </c>
      <c r="B2403" s="137" t="s">
        <v>130</v>
      </c>
      <c r="C2403" s="137" t="s">
        <v>248</v>
      </c>
      <c r="D2403" s="338">
        <v>2998</v>
      </c>
      <c r="E2403" s="137">
        <v>4349</v>
      </c>
      <c r="F2403" s="137">
        <v>389</v>
      </c>
    </row>
    <row r="2404" spans="1:6" x14ac:dyDescent="0.25">
      <c r="A2404" s="137" t="s">
        <v>16583</v>
      </c>
      <c r="B2404" s="137" t="s">
        <v>130</v>
      </c>
      <c r="C2404" s="137" t="s">
        <v>246</v>
      </c>
      <c r="D2404" s="338">
        <v>5058</v>
      </c>
      <c r="E2404" s="137">
        <v>3898</v>
      </c>
      <c r="F2404" s="137">
        <v>1258</v>
      </c>
    </row>
    <row r="2405" spans="1:6" x14ac:dyDescent="0.25">
      <c r="A2405" s="137" t="s">
        <v>16648</v>
      </c>
      <c r="B2405" s="137" t="s">
        <v>130</v>
      </c>
      <c r="C2405" s="137" t="s">
        <v>244</v>
      </c>
      <c r="D2405" s="338">
        <v>3496</v>
      </c>
      <c r="E2405" s="137">
        <v>4137</v>
      </c>
      <c r="F2405" s="137">
        <v>177</v>
      </c>
    </row>
    <row r="2406" spans="1:6" x14ac:dyDescent="0.25">
      <c r="A2406" s="137" t="s">
        <v>16630</v>
      </c>
      <c r="B2406" s="137" t="s">
        <v>130</v>
      </c>
      <c r="C2406" s="137" t="s">
        <v>242</v>
      </c>
      <c r="D2406" s="338">
        <v>3935</v>
      </c>
      <c r="E2406" s="137">
        <v>4129</v>
      </c>
      <c r="F2406" s="137">
        <v>169</v>
      </c>
    </row>
    <row r="2407" spans="1:6" x14ac:dyDescent="0.25">
      <c r="A2407" s="137" t="s">
        <v>16625</v>
      </c>
      <c r="B2407" s="137" t="s">
        <v>130</v>
      </c>
      <c r="C2407" s="137" t="s">
        <v>240</v>
      </c>
      <c r="D2407" s="338">
        <v>4019</v>
      </c>
      <c r="E2407" s="137">
        <v>4539</v>
      </c>
      <c r="F2407" s="137">
        <v>579</v>
      </c>
    </row>
    <row r="2408" spans="1:6" x14ac:dyDescent="0.25">
      <c r="A2408" s="137" t="s">
        <v>16403</v>
      </c>
      <c r="B2408" s="137" t="s">
        <v>130</v>
      </c>
      <c r="C2408" s="137" t="s">
        <v>5639</v>
      </c>
      <c r="D2408" s="338">
        <v>7438</v>
      </c>
      <c r="E2408" s="137">
        <v>3860</v>
      </c>
      <c r="F2408" s="137">
        <v>1220</v>
      </c>
    </row>
    <row r="2409" spans="1:6" x14ac:dyDescent="0.25">
      <c r="A2409" s="137" t="s">
        <v>16090</v>
      </c>
      <c r="B2409" s="137" t="s">
        <v>130</v>
      </c>
      <c r="C2409" s="137" t="s">
        <v>238</v>
      </c>
      <c r="D2409" s="338">
        <v>10981</v>
      </c>
      <c r="E2409" s="137">
        <v>3458</v>
      </c>
      <c r="F2409" s="137">
        <v>818</v>
      </c>
    </row>
    <row r="2410" spans="1:6" x14ac:dyDescent="0.25">
      <c r="A2410" s="137" t="s">
        <v>16601</v>
      </c>
      <c r="B2410" s="137" t="s">
        <v>130</v>
      </c>
      <c r="C2410" s="137" t="s">
        <v>236</v>
      </c>
      <c r="D2410" s="338">
        <v>4470</v>
      </c>
      <c r="E2410" s="137">
        <v>3409</v>
      </c>
      <c r="F2410" s="137">
        <v>769</v>
      </c>
    </row>
    <row r="2411" spans="1:6" x14ac:dyDescent="0.25">
      <c r="A2411" s="137" t="s">
        <v>16373</v>
      </c>
      <c r="B2411" s="137" t="s">
        <v>130</v>
      </c>
      <c r="C2411" s="137" t="s">
        <v>3215</v>
      </c>
      <c r="D2411" s="338">
        <v>7780</v>
      </c>
      <c r="E2411" s="137">
        <v>4023</v>
      </c>
      <c r="F2411" s="137">
        <v>63</v>
      </c>
    </row>
    <row r="2412" spans="1:6" x14ac:dyDescent="0.25">
      <c r="A2412" s="137" t="s">
        <v>16043</v>
      </c>
      <c r="B2412" s="137" t="s">
        <v>130</v>
      </c>
      <c r="C2412" s="137" t="s">
        <v>234</v>
      </c>
      <c r="D2412" s="338">
        <v>11711</v>
      </c>
      <c r="E2412" s="137">
        <v>5414</v>
      </c>
      <c r="F2412" s="137">
        <v>134</v>
      </c>
    </row>
    <row r="2413" spans="1:6" x14ac:dyDescent="0.25">
      <c r="A2413" s="137" t="s">
        <v>16231</v>
      </c>
      <c r="B2413" s="137" t="s">
        <v>130</v>
      </c>
      <c r="C2413" s="137" t="s">
        <v>3668</v>
      </c>
      <c r="D2413" s="338">
        <v>9368</v>
      </c>
      <c r="E2413" s="137">
        <v>4098</v>
      </c>
      <c r="F2413" s="137">
        <v>138</v>
      </c>
    </row>
    <row r="2414" spans="1:6" x14ac:dyDescent="0.25">
      <c r="A2414" s="137" t="s">
        <v>16111</v>
      </c>
      <c r="B2414" s="137" t="s">
        <v>130</v>
      </c>
      <c r="C2414" s="137" t="s">
        <v>2907</v>
      </c>
      <c r="D2414" s="338">
        <v>10831</v>
      </c>
      <c r="E2414" s="137">
        <v>4478</v>
      </c>
      <c r="F2414" s="137">
        <v>518</v>
      </c>
    </row>
    <row r="2415" spans="1:6" x14ac:dyDescent="0.25">
      <c r="A2415" s="137" t="s">
        <v>16125</v>
      </c>
      <c r="B2415" s="137" t="s">
        <v>130</v>
      </c>
      <c r="C2415" s="137" t="s">
        <v>5452</v>
      </c>
      <c r="D2415" s="338">
        <v>10633</v>
      </c>
      <c r="E2415" s="137">
        <v>5780</v>
      </c>
      <c r="F2415" s="137">
        <v>500</v>
      </c>
    </row>
    <row r="2416" spans="1:6" x14ac:dyDescent="0.25">
      <c r="A2416" s="137" t="s">
        <v>16615</v>
      </c>
      <c r="B2416" s="137" t="s">
        <v>130</v>
      </c>
      <c r="C2416" s="137" t="s">
        <v>232</v>
      </c>
      <c r="D2416" s="338">
        <v>4185</v>
      </c>
      <c r="E2416" s="137">
        <v>3473</v>
      </c>
      <c r="F2416" s="137">
        <v>833</v>
      </c>
    </row>
    <row r="2417" spans="1:6" x14ac:dyDescent="0.25">
      <c r="A2417" s="137" t="s">
        <v>16511</v>
      </c>
      <c r="B2417" s="137" t="s">
        <v>130</v>
      </c>
      <c r="C2417" s="137" t="s">
        <v>5419</v>
      </c>
      <c r="D2417" s="338">
        <v>6432</v>
      </c>
      <c r="E2417" s="137">
        <v>3670</v>
      </c>
      <c r="F2417" s="137">
        <v>1030</v>
      </c>
    </row>
    <row r="2418" spans="1:6" x14ac:dyDescent="0.25">
      <c r="A2418" s="137" t="s">
        <v>16596</v>
      </c>
      <c r="B2418" s="137" t="s">
        <v>130</v>
      </c>
      <c r="C2418" s="137" t="s">
        <v>3674</v>
      </c>
      <c r="D2418" s="338">
        <v>4610</v>
      </c>
      <c r="E2418" s="137">
        <v>2655</v>
      </c>
      <c r="F2418" s="137">
        <v>15</v>
      </c>
    </row>
    <row r="2419" spans="1:6" x14ac:dyDescent="0.25">
      <c r="A2419" s="137" t="s">
        <v>16359</v>
      </c>
      <c r="B2419" s="137" t="s">
        <v>130</v>
      </c>
      <c r="C2419" s="137" t="s">
        <v>227</v>
      </c>
      <c r="D2419" s="338">
        <v>7903</v>
      </c>
      <c r="E2419" s="137">
        <v>2734</v>
      </c>
      <c r="F2419" s="137">
        <v>94</v>
      </c>
    </row>
    <row r="2420" spans="1:6" x14ac:dyDescent="0.25">
      <c r="A2420" s="137" t="s">
        <v>16569</v>
      </c>
      <c r="B2420" s="137" t="s">
        <v>130</v>
      </c>
      <c r="C2420" s="137" t="s">
        <v>4256</v>
      </c>
      <c r="D2420" s="338">
        <v>5428</v>
      </c>
      <c r="E2420" s="137">
        <v>3325</v>
      </c>
      <c r="F2420" s="137">
        <v>685</v>
      </c>
    </row>
    <row r="2421" spans="1:6" x14ac:dyDescent="0.25">
      <c r="A2421" s="137" t="s">
        <v>16193</v>
      </c>
      <c r="B2421" s="137" t="s">
        <v>130</v>
      </c>
      <c r="C2421" s="137" t="s">
        <v>2962</v>
      </c>
      <c r="D2421" s="338">
        <v>9849</v>
      </c>
      <c r="E2421" s="137">
        <v>4348</v>
      </c>
      <c r="F2421" s="137">
        <v>388</v>
      </c>
    </row>
    <row r="2422" spans="1:6" x14ac:dyDescent="0.25">
      <c r="A2422" s="137" t="s">
        <v>16791</v>
      </c>
      <c r="B2422" s="137" t="s">
        <v>130</v>
      </c>
      <c r="C2422" s="137" t="s">
        <v>5275</v>
      </c>
      <c r="D2422" s="338">
        <v>1978</v>
      </c>
      <c r="E2422" s="137">
        <v>2950</v>
      </c>
      <c r="F2422" s="137">
        <v>310</v>
      </c>
    </row>
    <row r="2423" spans="1:6" x14ac:dyDescent="0.25">
      <c r="A2423" s="137" t="s">
        <v>16589</v>
      </c>
      <c r="B2423" s="137" t="s">
        <v>130</v>
      </c>
      <c r="C2423" s="137" t="s">
        <v>224</v>
      </c>
      <c r="D2423" s="338">
        <v>4865</v>
      </c>
      <c r="E2423" s="137">
        <v>4713</v>
      </c>
      <c r="F2423" s="137">
        <v>753</v>
      </c>
    </row>
    <row r="2424" spans="1:6" x14ac:dyDescent="0.25">
      <c r="A2424" s="137" t="s">
        <v>16015</v>
      </c>
      <c r="B2424" s="137" t="s">
        <v>130</v>
      </c>
      <c r="C2424" s="137" t="s">
        <v>2374</v>
      </c>
      <c r="D2424" s="338">
        <v>12163</v>
      </c>
      <c r="E2424" s="137">
        <v>3535</v>
      </c>
      <c r="F2424" s="137">
        <v>895</v>
      </c>
    </row>
    <row r="2425" spans="1:6" x14ac:dyDescent="0.25">
      <c r="A2425" s="137" t="s">
        <v>16719</v>
      </c>
      <c r="B2425" s="137" t="s">
        <v>130</v>
      </c>
      <c r="C2425" s="137" t="s">
        <v>219</v>
      </c>
      <c r="D2425" s="338">
        <v>1763</v>
      </c>
      <c r="E2425" s="137">
        <v>3315</v>
      </c>
      <c r="F2425" s="137">
        <v>675</v>
      </c>
    </row>
    <row r="2426" spans="1:6" x14ac:dyDescent="0.25">
      <c r="A2426" s="137" t="s">
        <v>16573</v>
      </c>
      <c r="B2426" s="137" t="s">
        <v>130</v>
      </c>
      <c r="C2426" s="137" t="s">
        <v>11164</v>
      </c>
      <c r="D2426" s="338">
        <v>5268</v>
      </c>
      <c r="E2426" s="137">
        <v>4287</v>
      </c>
      <c r="F2426" s="137">
        <v>-993</v>
      </c>
    </row>
    <row r="2427" spans="1:6" x14ac:dyDescent="0.25">
      <c r="A2427" s="137" t="s">
        <v>16698</v>
      </c>
      <c r="B2427" s="137" t="s">
        <v>130</v>
      </c>
      <c r="C2427" s="137" t="s">
        <v>217</v>
      </c>
      <c r="D2427" s="338">
        <v>2115</v>
      </c>
      <c r="E2427" s="137">
        <v>4261</v>
      </c>
      <c r="F2427" s="137">
        <v>301</v>
      </c>
    </row>
    <row r="2428" spans="1:6" x14ac:dyDescent="0.25">
      <c r="A2428" s="137" t="s">
        <v>16603</v>
      </c>
      <c r="B2428" s="137" t="s">
        <v>130</v>
      </c>
      <c r="C2428" s="137" t="s">
        <v>215</v>
      </c>
      <c r="D2428" s="338">
        <v>4427</v>
      </c>
      <c r="E2428" s="137">
        <v>4784</v>
      </c>
      <c r="F2428" s="137">
        <v>824</v>
      </c>
    </row>
    <row r="2429" spans="1:6" x14ac:dyDescent="0.25">
      <c r="A2429" s="137" t="s">
        <v>16723</v>
      </c>
      <c r="B2429" s="137" t="s">
        <v>130</v>
      </c>
      <c r="C2429" s="137" t="s">
        <v>5408</v>
      </c>
      <c r="D2429" s="338">
        <v>1567</v>
      </c>
      <c r="E2429" s="137">
        <v>2838</v>
      </c>
      <c r="F2429" s="137">
        <v>198</v>
      </c>
    </row>
    <row r="2430" spans="1:6" x14ac:dyDescent="0.25">
      <c r="A2430" s="137" t="s">
        <v>16533</v>
      </c>
      <c r="B2430" s="137" t="s">
        <v>130</v>
      </c>
      <c r="C2430" s="137" t="s">
        <v>4860</v>
      </c>
      <c r="D2430" s="338">
        <v>6119</v>
      </c>
      <c r="E2430" s="137">
        <v>3206</v>
      </c>
      <c r="F2430" s="137">
        <v>566</v>
      </c>
    </row>
    <row r="2431" spans="1:6" x14ac:dyDescent="0.25">
      <c r="A2431" s="137" t="s">
        <v>16305</v>
      </c>
      <c r="B2431" s="137" t="s">
        <v>130</v>
      </c>
      <c r="C2431" s="137" t="s">
        <v>3650</v>
      </c>
      <c r="D2431" s="338">
        <v>8402</v>
      </c>
      <c r="E2431" s="137">
        <v>4197</v>
      </c>
      <c r="F2431" s="137">
        <v>237</v>
      </c>
    </row>
    <row r="2432" spans="1:6" x14ac:dyDescent="0.25">
      <c r="A2432" s="137" t="s">
        <v>16538</v>
      </c>
      <c r="B2432" s="137" t="s">
        <v>130</v>
      </c>
      <c r="C2432" s="137" t="s">
        <v>4160</v>
      </c>
      <c r="D2432" s="338">
        <v>6026</v>
      </c>
      <c r="E2432" s="137">
        <v>3201</v>
      </c>
      <c r="F2432" s="137">
        <v>561</v>
      </c>
    </row>
    <row r="2433" spans="1:6" x14ac:dyDescent="0.25">
      <c r="A2433" s="137" t="s">
        <v>16443</v>
      </c>
      <c r="B2433" s="137" t="s">
        <v>130</v>
      </c>
      <c r="C2433" s="137" t="s">
        <v>5061</v>
      </c>
      <c r="D2433" s="338">
        <v>7156</v>
      </c>
      <c r="E2433" s="137">
        <v>3066</v>
      </c>
      <c r="F2433" s="137">
        <v>426</v>
      </c>
    </row>
    <row r="2434" spans="1:6" x14ac:dyDescent="0.25">
      <c r="A2434" s="137" t="s">
        <v>16611</v>
      </c>
      <c r="B2434" s="137" t="s">
        <v>130</v>
      </c>
      <c r="C2434" s="137" t="s">
        <v>213</v>
      </c>
      <c r="D2434" s="338">
        <v>4255</v>
      </c>
      <c r="E2434" s="137">
        <v>3089</v>
      </c>
      <c r="F2434" s="137">
        <v>449</v>
      </c>
    </row>
    <row r="2435" spans="1:6" x14ac:dyDescent="0.25">
      <c r="A2435" s="137" t="s">
        <v>16604</v>
      </c>
      <c r="B2435" s="137" t="s">
        <v>130</v>
      </c>
      <c r="C2435" s="137" t="s">
        <v>211</v>
      </c>
      <c r="D2435" s="338">
        <v>4414</v>
      </c>
      <c r="E2435" s="137">
        <v>4636</v>
      </c>
      <c r="F2435" s="137">
        <v>676</v>
      </c>
    </row>
    <row r="2436" spans="1:6" x14ac:dyDescent="0.25">
      <c r="A2436" s="137" t="s">
        <v>16494</v>
      </c>
      <c r="B2436" s="137" t="s">
        <v>130</v>
      </c>
      <c r="C2436" s="137" t="s">
        <v>3999</v>
      </c>
      <c r="D2436" s="338">
        <v>6614</v>
      </c>
      <c r="E2436" s="137">
        <v>2616</v>
      </c>
      <c r="F2436" s="137">
        <v>1296</v>
      </c>
    </row>
    <row r="2437" spans="1:6" x14ac:dyDescent="0.25">
      <c r="A2437" s="137" t="s">
        <v>16525</v>
      </c>
      <c r="B2437" s="137" t="s">
        <v>130</v>
      </c>
      <c r="C2437" s="137" t="s">
        <v>5483</v>
      </c>
      <c r="D2437" s="338">
        <v>6239</v>
      </c>
      <c r="E2437" s="137">
        <v>3722</v>
      </c>
      <c r="F2437" s="137">
        <v>1082</v>
      </c>
    </row>
    <row r="2438" spans="1:6" x14ac:dyDescent="0.25">
      <c r="A2438" s="137" t="s">
        <v>16754</v>
      </c>
      <c r="B2438" s="137" t="s">
        <v>130</v>
      </c>
      <c r="C2438" s="137" t="s">
        <v>4764</v>
      </c>
      <c r="D2438" s="338">
        <v>1055</v>
      </c>
      <c r="E2438" s="137">
        <v>2635</v>
      </c>
      <c r="F2438" s="137">
        <v>1315</v>
      </c>
    </row>
    <row r="2439" spans="1:6" x14ac:dyDescent="0.25">
      <c r="A2439" s="137" t="s">
        <v>16037</v>
      </c>
      <c r="B2439" s="137" t="s">
        <v>130</v>
      </c>
      <c r="C2439" s="137" t="s">
        <v>209</v>
      </c>
      <c r="D2439" s="338">
        <v>11777</v>
      </c>
      <c r="E2439" s="137">
        <v>5154</v>
      </c>
      <c r="F2439" s="137">
        <v>1194</v>
      </c>
    </row>
    <row r="2440" spans="1:6" x14ac:dyDescent="0.25">
      <c r="A2440" s="137" t="s">
        <v>16688</v>
      </c>
      <c r="B2440" s="137" t="s">
        <v>130</v>
      </c>
      <c r="C2440" s="137" t="s">
        <v>206</v>
      </c>
      <c r="D2440" s="338">
        <v>2465</v>
      </c>
      <c r="E2440" s="137">
        <v>3045</v>
      </c>
      <c r="F2440" s="137">
        <v>405</v>
      </c>
    </row>
    <row r="2441" spans="1:6" x14ac:dyDescent="0.25">
      <c r="A2441" s="137" t="s">
        <v>16183</v>
      </c>
      <c r="B2441" s="137" t="s">
        <v>130</v>
      </c>
      <c r="C2441" s="137" t="s">
        <v>5739</v>
      </c>
      <c r="D2441" s="338">
        <v>10034</v>
      </c>
      <c r="E2441" s="137">
        <v>3102</v>
      </c>
      <c r="F2441" s="137">
        <v>462</v>
      </c>
    </row>
    <row r="2442" spans="1:6" x14ac:dyDescent="0.25">
      <c r="A2442" s="137" t="s">
        <v>16180</v>
      </c>
      <c r="B2442" s="137" t="s">
        <v>130</v>
      </c>
      <c r="C2442" s="137" t="s">
        <v>5754</v>
      </c>
      <c r="D2442" s="338">
        <v>10040</v>
      </c>
      <c r="E2442" s="137">
        <v>3137</v>
      </c>
      <c r="F2442" s="137">
        <v>497</v>
      </c>
    </row>
    <row r="2443" spans="1:6" x14ac:dyDescent="0.25">
      <c r="A2443" s="137" t="s">
        <v>16061</v>
      </c>
      <c r="B2443" s="137" t="s">
        <v>130</v>
      </c>
      <c r="C2443" s="137" t="s">
        <v>4349</v>
      </c>
      <c r="D2443" s="338">
        <v>11428</v>
      </c>
      <c r="E2443" s="137">
        <v>3922</v>
      </c>
      <c r="F2443" s="137">
        <v>1282</v>
      </c>
    </row>
    <row r="2444" spans="1:6" x14ac:dyDescent="0.25">
      <c r="A2444" s="137" t="s">
        <v>16454</v>
      </c>
      <c r="B2444" s="137" t="s">
        <v>130</v>
      </c>
      <c r="C2444" s="137" t="s">
        <v>5365</v>
      </c>
      <c r="D2444" s="338">
        <v>7070</v>
      </c>
      <c r="E2444" s="137">
        <v>2896</v>
      </c>
      <c r="F2444" s="137">
        <v>256</v>
      </c>
    </row>
    <row r="2445" spans="1:6" x14ac:dyDescent="0.25">
      <c r="A2445" s="137" t="s">
        <v>15972</v>
      </c>
      <c r="B2445" s="137" t="s">
        <v>130</v>
      </c>
      <c r="C2445" s="137" t="s">
        <v>3461</v>
      </c>
      <c r="D2445" s="338">
        <v>13354</v>
      </c>
      <c r="E2445" s="137">
        <v>3549</v>
      </c>
      <c r="F2445" s="137">
        <v>909</v>
      </c>
    </row>
    <row r="2446" spans="1:6" x14ac:dyDescent="0.25">
      <c r="A2446" s="137" t="s">
        <v>16535</v>
      </c>
      <c r="B2446" s="137" t="s">
        <v>130</v>
      </c>
      <c r="C2446" s="137" t="s">
        <v>204</v>
      </c>
      <c r="D2446" s="338">
        <v>6058</v>
      </c>
      <c r="E2446" s="137">
        <v>3624</v>
      </c>
      <c r="F2446" s="137">
        <v>984</v>
      </c>
    </row>
    <row r="2447" spans="1:6" x14ac:dyDescent="0.25">
      <c r="A2447" s="137" t="s">
        <v>16047</v>
      </c>
      <c r="B2447" s="137" t="s">
        <v>130</v>
      </c>
      <c r="C2447" s="137" t="s">
        <v>3678</v>
      </c>
      <c r="D2447" s="338">
        <v>11662</v>
      </c>
      <c r="E2447" s="137">
        <v>4847</v>
      </c>
      <c r="F2447" s="137">
        <v>887</v>
      </c>
    </row>
    <row r="2448" spans="1:6" x14ac:dyDescent="0.25">
      <c r="A2448" s="137" t="s">
        <v>16618</v>
      </c>
      <c r="B2448" s="137" t="s">
        <v>130</v>
      </c>
      <c r="C2448" s="137" t="s">
        <v>202</v>
      </c>
      <c r="D2448" s="338">
        <v>4113</v>
      </c>
      <c r="E2448" s="137">
        <v>3381</v>
      </c>
      <c r="F2448" s="137">
        <v>741</v>
      </c>
    </row>
    <row r="2449" spans="1:6" x14ac:dyDescent="0.25">
      <c r="A2449" s="137" t="s">
        <v>16322</v>
      </c>
      <c r="B2449" s="137" t="s">
        <v>130</v>
      </c>
      <c r="C2449" s="137" t="s">
        <v>200</v>
      </c>
      <c r="D2449" s="338">
        <v>8167</v>
      </c>
      <c r="E2449" s="137">
        <v>3380</v>
      </c>
      <c r="F2449" s="137">
        <v>740</v>
      </c>
    </row>
    <row r="2450" spans="1:6" x14ac:dyDescent="0.25">
      <c r="A2450" s="137" t="s">
        <v>16633</v>
      </c>
      <c r="B2450" s="137" t="s">
        <v>130</v>
      </c>
      <c r="C2450" s="137" t="s">
        <v>198</v>
      </c>
      <c r="D2450" s="338">
        <v>3884</v>
      </c>
      <c r="E2450" s="137">
        <v>4875</v>
      </c>
      <c r="F2450" s="137">
        <v>915</v>
      </c>
    </row>
    <row r="2451" spans="1:6" x14ac:dyDescent="0.25">
      <c r="A2451" s="137" t="s">
        <v>16324</v>
      </c>
      <c r="B2451" s="137" t="s">
        <v>130</v>
      </c>
      <c r="C2451" s="137" t="s">
        <v>195</v>
      </c>
      <c r="D2451" s="338">
        <v>8155</v>
      </c>
      <c r="E2451" s="137">
        <v>3629</v>
      </c>
      <c r="F2451" s="137">
        <v>989</v>
      </c>
    </row>
    <row r="2452" spans="1:6" x14ac:dyDescent="0.25">
      <c r="A2452" s="137" t="s">
        <v>16201</v>
      </c>
      <c r="B2452" s="137" t="s">
        <v>130</v>
      </c>
      <c r="C2452" s="137" t="s">
        <v>193</v>
      </c>
      <c r="D2452" s="338">
        <v>9659</v>
      </c>
      <c r="E2452" s="137">
        <v>3551</v>
      </c>
      <c r="F2452" s="137">
        <v>911</v>
      </c>
    </row>
    <row r="2453" spans="1:6" x14ac:dyDescent="0.25">
      <c r="A2453" s="137" t="s">
        <v>16382</v>
      </c>
      <c r="B2453" s="137" t="s">
        <v>130</v>
      </c>
      <c r="C2453" s="137" t="s">
        <v>4822</v>
      </c>
      <c r="D2453" s="338">
        <v>7706</v>
      </c>
      <c r="E2453" s="137">
        <v>2757</v>
      </c>
      <c r="F2453" s="137">
        <v>117</v>
      </c>
    </row>
    <row r="2454" spans="1:6" x14ac:dyDescent="0.25">
      <c r="A2454" s="137" t="s">
        <v>16151</v>
      </c>
      <c r="B2454" s="137" t="s">
        <v>130</v>
      </c>
      <c r="C2454" s="137" t="s">
        <v>3295</v>
      </c>
      <c r="D2454" s="338">
        <v>10395</v>
      </c>
      <c r="E2454" s="137">
        <v>4616</v>
      </c>
      <c r="F2454" s="137">
        <v>656</v>
      </c>
    </row>
    <row r="2455" spans="1:6" x14ac:dyDescent="0.25">
      <c r="A2455" s="137" t="s">
        <v>16232</v>
      </c>
      <c r="B2455" s="137" t="s">
        <v>130</v>
      </c>
      <c r="C2455" s="137" t="s">
        <v>575</v>
      </c>
      <c r="D2455" s="338">
        <v>9355</v>
      </c>
      <c r="E2455" s="137">
        <v>2679</v>
      </c>
      <c r="F2455" s="137">
        <v>39</v>
      </c>
    </row>
    <row r="2456" spans="1:6" x14ac:dyDescent="0.25">
      <c r="A2456" s="137" t="s">
        <v>16056</v>
      </c>
      <c r="B2456" s="137" t="s">
        <v>130</v>
      </c>
      <c r="C2456" s="137" t="s">
        <v>484</v>
      </c>
      <c r="D2456" s="338">
        <v>11466</v>
      </c>
      <c r="E2456" s="137">
        <v>5476</v>
      </c>
      <c r="F2456" s="137">
        <v>196</v>
      </c>
    </row>
    <row r="2457" spans="1:6" x14ac:dyDescent="0.25">
      <c r="A2457" s="137" t="s">
        <v>16092</v>
      </c>
      <c r="B2457" s="137" t="s">
        <v>130</v>
      </c>
      <c r="C2457" s="137" t="s">
        <v>5583</v>
      </c>
      <c r="D2457" s="338">
        <v>10973</v>
      </c>
      <c r="E2457" s="137">
        <v>3263</v>
      </c>
      <c r="F2457" s="137">
        <v>623</v>
      </c>
    </row>
    <row r="2458" spans="1:6" x14ac:dyDescent="0.25">
      <c r="A2458" s="137" t="s">
        <v>16096</v>
      </c>
      <c r="B2458" s="137" t="s">
        <v>130</v>
      </c>
      <c r="C2458" s="137" t="s">
        <v>190</v>
      </c>
      <c r="D2458" s="338">
        <v>10945</v>
      </c>
      <c r="E2458" s="137">
        <v>4962</v>
      </c>
      <c r="F2458" s="137">
        <v>1002</v>
      </c>
    </row>
    <row r="2459" spans="1:6" x14ac:dyDescent="0.25">
      <c r="A2459" s="137" t="s">
        <v>16354</v>
      </c>
      <c r="B2459" s="137" t="s">
        <v>130</v>
      </c>
      <c r="C2459" s="137" t="s">
        <v>4891</v>
      </c>
      <c r="D2459" s="338">
        <v>7948</v>
      </c>
      <c r="E2459" s="137">
        <v>2453</v>
      </c>
      <c r="F2459" s="137">
        <v>1133</v>
      </c>
    </row>
    <row r="2460" spans="1:6" x14ac:dyDescent="0.25">
      <c r="A2460" s="137" t="s">
        <v>16541</v>
      </c>
      <c r="B2460" s="137" t="s">
        <v>130</v>
      </c>
      <c r="C2460" s="137" t="s">
        <v>1272</v>
      </c>
      <c r="D2460" s="338">
        <v>5969</v>
      </c>
      <c r="E2460" s="137">
        <v>2585</v>
      </c>
      <c r="F2460" s="137">
        <v>1265</v>
      </c>
    </row>
    <row r="2461" spans="1:6" x14ac:dyDescent="0.25">
      <c r="A2461" s="137" t="s">
        <v>16682</v>
      </c>
      <c r="B2461" s="137" t="s">
        <v>130</v>
      </c>
      <c r="C2461" s="137" t="s">
        <v>8728</v>
      </c>
      <c r="D2461" s="338">
        <v>2624</v>
      </c>
      <c r="E2461" s="137">
        <v>4326</v>
      </c>
      <c r="F2461" s="137">
        <v>366</v>
      </c>
    </row>
    <row r="2462" spans="1:6" x14ac:dyDescent="0.25">
      <c r="A2462" s="137" t="s">
        <v>16380</v>
      </c>
      <c r="B2462" s="137" t="s">
        <v>130</v>
      </c>
      <c r="C2462" s="137" t="s">
        <v>5019</v>
      </c>
      <c r="D2462" s="338">
        <v>7714</v>
      </c>
      <c r="E2462" s="137">
        <v>3739</v>
      </c>
      <c r="F2462" s="137">
        <v>1099</v>
      </c>
    </row>
    <row r="2463" spans="1:6" x14ac:dyDescent="0.25">
      <c r="A2463" s="137" t="s">
        <v>16626</v>
      </c>
      <c r="B2463" s="137" t="s">
        <v>130</v>
      </c>
      <c r="C2463" s="137" t="s">
        <v>3243</v>
      </c>
      <c r="D2463" s="338">
        <v>4011</v>
      </c>
      <c r="E2463" s="137">
        <v>4091</v>
      </c>
      <c r="F2463" s="137">
        <v>131</v>
      </c>
    </row>
    <row r="2464" spans="1:6" x14ac:dyDescent="0.25">
      <c r="A2464" s="137" t="s">
        <v>16314</v>
      </c>
      <c r="B2464" s="137" t="s">
        <v>130</v>
      </c>
      <c r="C2464" s="137" t="s">
        <v>5543</v>
      </c>
      <c r="D2464" s="338">
        <v>8300</v>
      </c>
      <c r="E2464" s="137">
        <v>2665</v>
      </c>
      <c r="F2464" s="137">
        <v>25</v>
      </c>
    </row>
    <row r="2465" spans="1:6" x14ac:dyDescent="0.25">
      <c r="A2465" s="137" t="s">
        <v>16594</v>
      </c>
      <c r="B2465" s="137" t="s">
        <v>130</v>
      </c>
      <c r="C2465" s="137" t="s">
        <v>187</v>
      </c>
      <c r="D2465" s="338">
        <v>4655</v>
      </c>
      <c r="E2465" s="137">
        <v>4831</v>
      </c>
      <c r="F2465" s="137">
        <v>-449</v>
      </c>
    </row>
    <row r="2466" spans="1:6" x14ac:dyDescent="0.25">
      <c r="A2466" s="137" t="s">
        <v>16245</v>
      </c>
      <c r="B2466" s="137" t="s">
        <v>130</v>
      </c>
      <c r="C2466" s="137" t="s">
        <v>185</v>
      </c>
      <c r="D2466" s="338">
        <v>9206</v>
      </c>
      <c r="E2466" s="137">
        <v>3548</v>
      </c>
      <c r="F2466" s="137">
        <v>908</v>
      </c>
    </row>
    <row r="2467" spans="1:6" x14ac:dyDescent="0.25">
      <c r="A2467" s="137" t="s">
        <v>16330</v>
      </c>
      <c r="B2467" s="137" t="s">
        <v>130</v>
      </c>
      <c r="C2467" s="137" t="s">
        <v>182</v>
      </c>
      <c r="D2467" s="338">
        <v>8094</v>
      </c>
      <c r="E2467" s="137">
        <v>3211</v>
      </c>
      <c r="F2467" s="137">
        <v>571</v>
      </c>
    </row>
    <row r="2468" spans="1:6" x14ac:dyDescent="0.25">
      <c r="A2468" s="137" t="s">
        <v>16246</v>
      </c>
      <c r="B2468" s="137" t="s">
        <v>130</v>
      </c>
      <c r="C2468" s="137" t="s">
        <v>4644</v>
      </c>
      <c r="D2468" s="338">
        <v>9201</v>
      </c>
      <c r="E2468" s="137">
        <v>4479</v>
      </c>
      <c r="F2468" s="137">
        <v>519</v>
      </c>
    </row>
    <row r="2469" spans="1:6" x14ac:dyDescent="0.25">
      <c r="A2469" s="137" t="s">
        <v>16011</v>
      </c>
      <c r="B2469" s="137" t="s">
        <v>130</v>
      </c>
      <c r="C2469" s="137" t="s">
        <v>5727</v>
      </c>
      <c r="D2469" s="338">
        <v>12179</v>
      </c>
      <c r="E2469" s="137">
        <v>3332</v>
      </c>
      <c r="F2469" s="137">
        <v>692</v>
      </c>
    </row>
    <row r="2470" spans="1:6" x14ac:dyDescent="0.25">
      <c r="A2470" s="137" t="s">
        <v>16562</v>
      </c>
      <c r="B2470" s="137" t="s">
        <v>130</v>
      </c>
      <c r="C2470" s="137" t="s">
        <v>180</v>
      </c>
      <c r="D2470" s="338">
        <v>5698</v>
      </c>
      <c r="E2470" s="137">
        <v>3458</v>
      </c>
      <c r="F2470" s="137">
        <v>818</v>
      </c>
    </row>
    <row r="2471" spans="1:6" x14ac:dyDescent="0.25">
      <c r="A2471" s="137" t="s">
        <v>16675</v>
      </c>
      <c r="B2471" s="137" t="s">
        <v>130</v>
      </c>
      <c r="C2471" s="137" t="s">
        <v>175</v>
      </c>
      <c r="D2471" s="338">
        <v>2822</v>
      </c>
      <c r="E2471" s="137">
        <v>4802</v>
      </c>
      <c r="F2471" s="137">
        <v>842</v>
      </c>
    </row>
    <row r="2472" spans="1:6" x14ac:dyDescent="0.25">
      <c r="A2472" s="137" t="s">
        <v>16438</v>
      </c>
      <c r="B2472" s="137" t="s">
        <v>130</v>
      </c>
      <c r="C2472" s="137" t="s">
        <v>173</v>
      </c>
      <c r="D2472" s="338">
        <v>7209</v>
      </c>
      <c r="E2472" s="137">
        <v>4022</v>
      </c>
      <c r="F2472" s="137">
        <v>62</v>
      </c>
    </row>
    <row r="2473" spans="1:6" x14ac:dyDescent="0.25">
      <c r="A2473" s="137" t="s">
        <v>16255</v>
      </c>
      <c r="B2473" s="137" t="s">
        <v>130</v>
      </c>
      <c r="C2473" s="137" t="s">
        <v>170</v>
      </c>
      <c r="D2473" s="338">
        <v>9115</v>
      </c>
      <c r="E2473" s="137">
        <v>3525</v>
      </c>
      <c r="F2473" s="137">
        <v>885</v>
      </c>
    </row>
    <row r="2474" spans="1:6" x14ac:dyDescent="0.25">
      <c r="A2474" s="137" t="s">
        <v>15995</v>
      </c>
      <c r="B2474" s="137" t="s">
        <v>130</v>
      </c>
      <c r="C2474" s="137" t="s">
        <v>5703</v>
      </c>
      <c r="D2474" s="338">
        <v>12439</v>
      </c>
      <c r="E2474" s="137">
        <v>4416</v>
      </c>
      <c r="F2474" s="137">
        <v>456</v>
      </c>
    </row>
    <row r="2475" spans="1:6" x14ac:dyDescent="0.25">
      <c r="A2475" s="137" t="s">
        <v>16315</v>
      </c>
      <c r="B2475" s="137" t="s">
        <v>130</v>
      </c>
      <c r="C2475" s="137" t="s">
        <v>2258</v>
      </c>
      <c r="D2475" s="338">
        <v>8281</v>
      </c>
      <c r="E2475" s="137">
        <v>4728</v>
      </c>
      <c r="F2475" s="137">
        <v>768</v>
      </c>
    </row>
    <row r="2476" spans="1:6" x14ac:dyDescent="0.25">
      <c r="A2476" s="137" t="s">
        <v>16588</v>
      </c>
      <c r="B2476" s="137" t="s">
        <v>130</v>
      </c>
      <c r="C2476" s="137" t="s">
        <v>4824</v>
      </c>
      <c r="D2476" s="338">
        <v>4913</v>
      </c>
      <c r="E2476" s="137">
        <v>3519</v>
      </c>
      <c r="F2476" s="137">
        <v>879</v>
      </c>
    </row>
    <row r="2477" spans="1:6" x14ac:dyDescent="0.25">
      <c r="A2477" s="137" t="s">
        <v>15993</v>
      </c>
      <c r="B2477" s="137" t="s">
        <v>130</v>
      </c>
      <c r="C2477" s="137" t="s">
        <v>168</v>
      </c>
      <c r="D2477" s="338">
        <v>12488</v>
      </c>
      <c r="E2477" s="137">
        <v>3319</v>
      </c>
      <c r="F2477" s="137">
        <v>679</v>
      </c>
    </row>
    <row r="2478" spans="1:6" x14ac:dyDescent="0.25">
      <c r="A2478" s="137" t="s">
        <v>15986</v>
      </c>
      <c r="B2478" s="137" t="s">
        <v>130</v>
      </c>
      <c r="C2478" s="137" t="s">
        <v>4735</v>
      </c>
      <c r="D2478" s="338">
        <v>12708</v>
      </c>
      <c r="E2478" s="137">
        <v>3320</v>
      </c>
      <c r="F2478" s="137">
        <v>680</v>
      </c>
    </row>
    <row r="2479" spans="1:6" x14ac:dyDescent="0.25">
      <c r="A2479" s="137" t="s">
        <v>16283</v>
      </c>
      <c r="B2479" s="137" t="s">
        <v>130</v>
      </c>
      <c r="C2479" s="137" t="s">
        <v>5304</v>
      </c>
      <c r="D2479" s="338">
        <v>8682</v>
      </c>
      <c r="E2479" s="137">
        <v>3792</v>
      </c>
      <c r="F2479" s="137">
        <v>1152</v>
      </c>
    </row>
    <row r="2480" spans="1:6" x14ac:dyDescent="0.25">
      <c r="A2480" s="137" t="s">
        <v>16303</v>
      </c>
      <c r="B2480" s="137" t="s">
        <v>130</v>
      </c>
      <c r="C2480" s="137" t="s">
        <v>5185</v>
      </c>
      <c r="D2480" s="338">
        <v>8419</v>
      </c>
      <c r="E2480" s="137">
        <v>3239</v>
      </c>
      <c r="F2480" s="137">
        <v>599</v>
      </c>
    </row>
    <row r="2481" spans="1:6" x14ac:dyDescent="0.25">
      <c r="A2481" s="137" t="s">
        <v>16005</v>
      </c>
      <c r="B2481" s="137" t="s">
        <v>130</v>
      </c>
      <c r="C2481" s="137" t="s">
        <v>4266</v>
      </c>
      <c r="D2481" s="338">
        <v>12299</v>
      </c>
      <c r="E2481" s="137">
        <v>3207</v>
      </c>
      <c r="F2481" s="137">
        <v>567</v>
      </c>
    </row>
    <row r="2482" spans="1:6" x14ac:dyDescent="0.25">
      <c r="A2482" s="137" t="s">
        <v>16673</v>
      </c>
      <c r="B2482" s="137" t="s">
        <v>130</v>
      </c>
      <c r="C2482" s="137" t="s">
        <v>166</v>
      </c>
      <c r="D2482" s="338">
        <v>2876</v>
      </c>
      <c r="E2482" s="137">
        <v>5061</v>
      </c>
      <c r="F2482" s="137">
        <v>1101</v>
      </c>
    </row>
    <row r="2483" spans="1:6" x14ac:dyDescent="0.25">
      <c r="A2483" s="137" t="s">
        <v>16060</v>
      </c>
      <c r="B2483" s="137" t="s">
        <v>130</v>
      </c>
      <c r="C2483" s="137" t="s">
        <v>163</v>
      </c>
      <c r="D2483" s="338">
        <v>11433</v>
      </c>
      <c r="E2483" s="137">
        <v>3734</v>
      </c>
      <c r="F2483" s="137">
        <v>1094</v>
      </c>
    </row>
    <row r="2484" spans="1:6" x14ac:dyDescent="0.25">
      <c r="A2484" s="137" t="s">
        <v>16301</v>
      </c>
      <c r="B2484" s="137" t="s">
        <v>130</v>
      </c>
      <c r="C2484" s="137" t="s">
        <v>5495</v>
      </c>
      <c r="D2484" s="338">
        <v>8464</v>
      </c>
      <c r="E2484" s="137">
        <v>2594</v>
      </c>
      <c r="F2484" s="137">
        <v>1274</v>
      </c>
    </row>
    <row r="2485" spans="1:6" x14ac:dyDescent="0.25">
      <c r="A2485" s="137" t="s">
        <v>16259</v>
      </c>
      <c r="B2485" s="137" t="s">
        <v>130</v>
      </c>
      <c r="C2485" s="137" t="s">
        <v>160</v>
      </c>
      <c r="D2485" s="338">
        <v>9079</v>
      </c>
      <c r="E2485" s="137">
        <v>3470</v>
      </c>
      <c r="F2485" s="137">
        <v>830</v>
      </c>
    </row>
    <row r="2486" spans="1:6" x14ac:dyDescent="0.25">
      <c r="A2486" s="137" t="s">
        <v>16550</v>
      </c>
      <c r="B2486" s="137" t="s">
        <v>130</v>
      </c>
      <c r="C2486" s="137" t="s">
        <v>4080</v>
      </c>
      <c r="D2486" s="338">
        <v>5871</v>
      </c>
      <c r="E2486" s="137">
        <v>2962</v>
      </c>
      <c r="F2486" s="137">
        <v>322</v>
      </c>
    </row>
    <row r="2487" spans="1:6" x14ac:dyDescent="0.25">
      <c r="A2487" s="137" t="s">
        <v>16171</v>
      </c>
      <c r="B2487" s="137" t="s">
        <v>130</v>
      </c>
      <c r="C2487" s="137" t="s">
        <v>5719</v>
      </c>
      <c r="D2487" s="338">
        <v>10112</v>
      </c>
      <c r="E2487" s="137">
        <v>3272</v>
      </c>
      <c r="F2487" s="137">
        <v>632</v>
      </c>
    </row>
    <row r="2488" spans="1:6" x14ac:dyDescent="0.25">
      <c r="A2488" s="137" t="s">
        <v>16510</v>
      </c>
      <c r="B2488" s="137" t="s">
        <v>130</v>
      </c>
      <c r="C2488" s="137" t="s">
        <v>4572</v>
      </c>
      <c r="D2488" s="338">
        <v>6439</v>
      </c>
      <c r="E2488" s="137">
        <v>3162</v>
      </c>
      <c r="F2488" s="137">
        <v>522</v>
      </c>
    </row>
    <row r="2489" spans="1:6" x14ac:dyDescent="0.25">
      <c r="A2489" s="137" t="s">
        <v>16026</v>
      </c>
      <c r="B2489" s="137" t="s">
        <v>130</v>
      </c>
      <c r="C2489" s="137" t="s">
        <v>2106</v>
      </c>
      <c r="D2489" s="338">
        <v>11988</v>
      </c>
      <c r="E2489" s="137">
        <v>4280</v>
      </c>
      <c r="F2489" s="137">
        <v>320</v>
      </c>
    </row>
    <row r="2490" spans="1:6" x14ac:dyDescent="0.25">
      <c r="A2490" s="137" t="s">
        <v>16038</v>
      </c>
      <c r="B2490" s="137" t="s">
        <v>130</v>
      </c>
      <c r="C2490" s="137" t="s">
        <v>5463</v>
      </c>
      <c r="D2490" s="338">
        <v>11769</v>
      </c>
      <c r="E2490" s="137">
        <v>3817</v>
      </c>
      <c r="F2490" s="137">
        <v>1177</v>
      </c>
    </row>
    <row r="2491" spans="1:6" x14ac:dyDescent="0.25">
      <c r="A2491" s="137" t="s">
        <v>16379</v>
      </c>
      <c r="B2491" s="137" t="s">
        <v>130</v>
      </c>
      <c r="C2491" s="137" t="s">
        <v>157</v>
      </c>
      <c r="D2491" s="338">
        <v>7722</v>
      </c>
      <c r="E2491" s="137">
        <v>3474</v>
      </c>
      <c r="F2491" s="137">
        <v>834</v>
      </c>
    </row>
    <row r="2492" spans="1:6" x14ac:dyDescent="0.25">
      <c r="A2492" s="137" t="s">
        <v>16202</v>
      </c>
      <c r="B2492" s="137" t="s">
        <v>130</v>
      </c>
      <c r="C2492" s="137" t="s">
        <v>3329</v>
      </c>
      <c r="D2492" s="338">
        <v>9646</v>
      </c>
      <c r="E2492" s="137">
        <v>4084</v>
      </c>
      <c r="F2492" s="137">
        <v>124</v>
      </c>
    </row>
    <row r="2493" spans="1:6" x14ac:dyDescent="0.25">
      <c r="A2493" s="137" t="s">
        <v>16331</v>
      </c>
      <c r="B2493" s="137" t="s">
        <v>130</v>
      </c>
      <c r="C2493" s="137" t="s">
        <v>5672</v>
      </c>
      <c r="D2493" s="338">
        <v>8094</v>
      </c>
      <c r="E2493" s="137">
        <v>3138</v>
      </c>
      <c r="F2493" s="137">
        <v>498</v>
      </c>
    </row>
    <row r="2494" spans="1:6" x14ac:dyDescent="0.25">
      <c r="A2494" s="137" t="s">
        <v>16617</v>
      </c>
      <c r="B2494" s="137" t="s">
        <v>130</v>
      </c>
      <c r="C2494" s="137" t="s">
        <v>154</v>
      </c>
      <c r="D2494" s="338">
        <v>4124</v>
      </c>
      <c r="E2494" s="137">
        <v>4429</v>
      </c>
      <c r="F2494" s="137">
        <v>1789</v>
      </c>
    </row>
    <row r="2495" spans="1:6" x14ac:dyDescent="0.25">
      <c r="A2495" s="137" t="s">
        <v>16263</v>
      </c>
      <c r="B2495" s="137" t="s">
        <v>130</v>
      </c>
      <c r="C2495" s="137" t="s">
        <v>4804</v>
      </c>
      <c r="D2495" s="338">
        <v>8995</v>
      </c>
      <c r="E2495" s="137">
        <v>3547</v>
      </c>
      <c r="F2495" s="137">
        <v>907</v>
      </c>
    </row>
    <row r="2496" spans="1:6" x14ac:dyDescent="0.25">
      <c r="A2496" s="137" t="s">
        <v>15988</v>
      </c>
      <c r="B2496" s="137" t="s">
        <v>130</v>
      </c>
      <c r="C2496" s="137" t="s">
        <v>5179</v>
      </c>
      <c r="D2496" s="338">
        <v>12632</v>
      </c>
      <c r="E2496" s="137">
        <v>3336</v>
      </c>
      <c r="F2496" s="137">
        <v>696</v>
      </c>
    </row>
    <row r="2497" spans="1:6" x14ac:dyDescent="0.25">
      <c r="A2497" s="137" t="s">
        <v>16285</v>
      </c>
      <c r="B2497" s="137" t="s">
        <v>130</v>
      </c>
      <c r="C2497" s="137" t="s">
        <v>3381</v>
      </c>
      <c r="D2497" s="338">
        <v>8680</v>
      </c>
      <c r="E2497" s="137">
        <v>3060</v>
      </c>
      <c r="F2497" s="137">
        <v>420</v>
      </c>
    </row>
    <row r="2498" spans="1:6" x14ac:dyDescent="0.25">
      <c r="A2498" s="137" t="s">
        <v>16243</v>
      </c>
      <c r="B2498" s="137" t="s">
        <v>130</v>
      </c>
      <c r="C2498" s="137" t="s">
        <v>152</v>
      </c>
      <c r="D2498" s="338">
        <v>9227</v>
      </c>
      <c r="E2498" s="137">
        <v>5056</v>
      </c>
      <c r="F2498" s="137">
        <v>1096</v>
      </c>
    </row>
    <row r="2499" spans="1:6" x14ac:dyDescent="0.25">
      <c r="A2499" s="137" t="s">
        <v>16312</v>
      </c>
      <c r="B2499" s="137" t="s">
        <v>130</v>
      </c>
      <c r="C2499" s="137" t="s">
        <v>5591</v>
      </c>
      <c r="D2499" s="338">
        <v>8327</v>
      </c>
      <c r="E2499" s="137">
        <v>2689</v>
      </c>
      <c r="F2499" s="137">
        <v>49</v>
      </c>
    </row>
    <row r="2500" spans="1:6" x14ac:dyDescent="0.25">
      <c r="A2500" s="137" t="s">
        <v>16172</v>
      </c>
      <c r="B2500" s="137" t="s">
        <v>130</v>
      </c>
      <c r="C2500" s="137" t="s">
        <v>3274</v>
      </c>
      <c r="D2500" s="338">
        <v>10102</v>
      </c>
      <c r="E2500" s="137">
        <v>4989</v>
      </c>
      <c r="F2500" s="137">
        <v>1029</v>
      </c>
    </row>
    <row r="2501" spans="1:6" x14ac:dyDescent="0.25">
      <c r="A2501" s="137" t="s">
        <v>16203</v>
      </c>
      <c r="B2501" s="137" t="s">
        <v>130</v>
      </c>
      <c r="C2501" s="137" t="s">
        <v>3705</v>
      </c>
      <c r="D2501" s="338">
        <v>9631</v>
      </c>
      <c r="E2501" s="137">
        <v>3569</v>
      </c>
      <c r="F2501" s="137">
        <v>929</v>
      </c>
    </row>
    <row r="2502" spans="1:6" x14ac:dyDescent="0.25">
      <c r="A2502" s="137" t="s">
        <v>16722</v>
      </c>
      <c r="B2502" s="137" t="s">
        <v>130</v>
      </c>
      <c r="C2502" s="137" t="s">
        <v>149</v>
      </c>
      <c r="D2502" s="338">
        <v>1872</v>
      </c>
      <c r="E2502" s="137">
        <v>3236</v>
      </c>
      <c r="F2502" s="137">
        <v>596</v>
      </c>
    </row>
    <row r="2503" spans="1:6" x14ac:dyDescent="0.25">
      <c r="A2503" s="137" t="s">
        <v>16087</v>
      </c>
      <c r="B2503" s="137" t="s">
        <v>130</v>
      </c>
      <c r="C2503" s="137" t="s">
        <v>3081</v>
      </c>
      <c r="D2503" s="338">
        <v>11017</v>
      </c>
      <c r="E2503" s="137">
        <v>5298</v>
      </c>
      <c r="F2503" s="137">
        <v>18</v>
      </c>
    </row>
    <row r="2504" spans="1:6" x14ac:dyDescent="0.25">
      <c r="A2504" s="137" t="s">
        <v>16030</v>
      </c>
      <c r="B2504" s="137" t="s">
        <v>130</v>
      </c>
      <c r="C2504" s="137" t="s">
        <v>5089</v>
      </c>
      <c r="D2504" s="338">
        <v>11896</v>
      </c>
      <c r="E2504" s="137">
        <v>5086</v>
      </c>
      <c r="F2504" s="137">
        <v>-194</v>
      </c>
    </row>
    <row r="2505" spans="1:6" x14ac:dyDescent="0.25">
      <c r="A2505" s="137" t="s">
        <v>16747</v>
      </c>
      <c r="B2505" s="137" t="s">
        <v>130</v>
      </c>
      <c r="C2505" s="137" t="s">
        <v>147</v>
      </c>
      <c r="D2505" s="137">
        <v>921</v>
      </c>
      <c r="E2505" s="137">
        <v>3734</v>
      </c>
      <c r="F2505" s="137">
        <v>1094</v>
      </c>
    </row>
    <row r="2506" spans="1:6" x14ac:dyDescent="0.25">
      <c r="A2506" s="137" t="s">
        <v>16291</v>
      </c>
      <c r="B2506" s="137" t="s">
        <v>130</v>
      </c>
      <c r="C2506" s="137" t="s">
        <v>4032</v>
      </c>
      <c r="D2506" s="338">
        <v>8609</v>
      </c>
      <c r="E2506" s="137">
        <v>3087</v>
      </c>
      <c r="F2506" s="137">
        <v>447</v>
      </c>
    </row>
    <row r="2507" spans="1:6" x14ac:dyDescent="0.25">
      <c r="A2507" s="137" t="s">
        <v>16697</v>
      </c>
      <c r="B2507" s="137" t="s">
        <v>130</v>
      </c>
      <c r="C2507" s="137" t="s">
        <v>145</v>
      </c>
      <c r="D2507" s="338">
        <v>2135</v>
      </c>
      <c r="E2507" s="137">
        <v>3715</v>
      </c>
      <c r="F2507" s="137">
        <v>1075</v>
      </c>
    </row>
    <row r="2508" spans="1:6" x14ac:dyDescent="0.25">
      <c r="A2508" s="137" t="s">
        <v>16088</v>
      </c>
      <c r="B2508" s="137" t="s">
        <v>130</v>
      </c>
      <c r="C2508" s="137" t="s">
        <v>3361</v>
      </c>
      <c r="D2508" s="338">
        <v>11009</v>
      </c>
      <c r="E2508" s="137">
        <v>4480</v>
      </c>
      <c r="F2508" s="137">
        <v>520</v>
      </c>
    </row>
    <row r="2509" spans="1:6" x14ac:dyDescent="0.25">
      <c r="A2509" s="137" t="s">
        <v>16493</v>
      </c>
      <c r="B2509" s="137" t="s">
        <v>130</v>
      </c>
      <c r="C2509" s="137" t="s">
        <v>4985</v>
      </c>
      <c r="D2509" s="338">
        <v>6643</v>
      </c>
      <c r="E2509" s="137">
        <v>3310</v>
      </c>
      <c r="F2509" s="137">
        <v>670</v>
      </c>
    </row>
    <row r="2510" spans="1:6" x14ac:dyDescent="0.25">
      <c r="A2510" s="137" t="s">
        <v>16234</v>
      </c>
      <c r="B2510" s="137" t="s">
        <v>130</v>
      </c>
      <c r="C2510" s="137" t="s">
        <v>1553</v>
      </c>
      <c r="D2510" s="338">
        <v>9333</v>
      </c>
      <c r="E2510" s="137">
        <v>2861</v>
      </c>
      <c r="F2510" s="137">
        <v>221</v>
      </c>
    </row>
    <row r="2511" spans="1:6" x14ac:dyDescent="0.25">
      <c r="A2511" s="137" t="s">
        <v>16720</v>
      </c>
      <c r="B2511" s="137" t="s">
        <v>130</v>
      </c>
      <c r="C2511" s="137" t="s">
        <v>143</v>
      </c>
      <c r="D2511" s="338">
        <v>1852</v>
      </c>
      <c r="E2511" s="137">
        <v>3361</v>
      </c>
      <c r="F2511" s="137">
        <v>721</v>
      </c>
    </row>
    <row r="2512" spans="1:6" x14ac:dyDescent="0.25">
      <c r="A2512" s="137" t="s">
        <v>16646</v>
      </c>
      <c r="B2512" s="137" t="s">
        <v>130</v>
      </c>
      <c r="C2512" s="137" t="s">
        <v>5436</v>
      </c>
      <c r="D2512" s="338">
        <v>3571</v>
      </c>
      <c r="E2512" s="137">
        <v>4252</v>
      </c>
      <c r="F2512" s="137">
        <v>292</v>
      </c>
    </row>
    <row r="2513" spans="1:6" x14ac:dyDescent="0.25">
      <c r="A2513" s="137" t="s">
        <v>16013</v>
      </c>
      <c r="B2513" s="137" t="s">
        <v>130</v>
      </c>
      <c r="C2513" s="137" t="s">
        <v>1465</v>
      </c>
      <c r="D2513" s="338">
        <v>12167</v>
      </c>
      <c r="E2513" s="137">
        <v>3454</v>
      </c>
      <c r="F2513" s="137">
        <v>814</v>
      </c>
    </row>
    <row r="2514" spans="1:6" x14ac:dyDescent="0.25">
      <c r="A2514" s="137" t="s">
        <v>16228</v>
      </c>
      <c r="B2514" s="137" t="s">
        <v>130</v>
      </c>
      <c r="C2514" s="137" t="s">
        <v>5321</v>
      </c>
      <c r="D2514" s="338">
        <v>9420</v>
      </c>
      <c r="E2514" s="137">
        <v>3250</v>
      </c>
      <c r="F2514" s="137">
        <v>610</v>
      </c>
    </row>
    <row r="2515" spans="1:6" x14ac:dyDescent="0.25">
      <c r="A2515" s="137" t="s">
        <v>16130</v>
      </c>
      <c r="B2515" s="137" t="s">
        <v>130</v>
      </c>
      <c r="C2515" s="137" t="s">
        <v>5762</v>
      </c>
      <c r="D2515" s="338">
        <v>10565</v>
      </c>
      <c r="E2515" s="137">
        <v>3448</v>
      </c>
      <c r="F2515" s="137">
        <v>808</v>
      </c>
    </row>
    <row r="2516" spans="1:6" x14ac:dyDescent="0.25">
      <c r="A2516" s="137" t="s">
        <v>16227</v>
      </c>
      <c r="B2516" s="137" t="s">
        <v>130</v>
      </c>
      <c r="C2516" s="137" t="s">
        <v>4636</v>
      </c>
      <c r="D2516" s="338">
        <v>9430</v>
      </c>
      <c r="E2516" s="137">
        <v>3532</v>
      </c>
      <c r="F2516" s="137">
        <v>892</v>
      </c>
    </row>
    <row r="2517" spans="1:6" x14ac:dyDescent="0.25">
      <c r="A2517" s="137" t="s">
        <v>16317</v>
      </c>
      <c r="B2517" s="137" t="s">
        <v>130</v>
      </c>
      <c r="C2517" s="137" t="s">
        <v>5706</v>
      </c>
      <c r="D2517" s="338">
        <v>8222</v>
      </c>
      <c r="E2517" s="137">
        <v>2935</v>
      </c>
      <c r="F2517" s="137">
        <v>295</v>
      </c>
    </row>
    <row r="2518" spans="1:6" x14ac:dyDescent="0.25">
      <c r="A2518" s="137" t="s">
        <v>16468</v>
      </c>
      <c r="B2518" s="137" t="s">
        <v>130</v>
      </c>
      <c r="C2518" s="137" t="s">
        <v>140</v>
      </c>
      <c r="D2518" s="338">
        <v>6984</v>
      </c>
      <c r="E2518" s="137">
        <v>3554</v>
      </c>
      <c r="F2518" s="137">
        <v>914</v>
      </c>
    </row>
    <row r="2519" spans="1:6" x14ac:dyDescent="0.25">
      <c r="A2519" s="137" t="s">
        <v>16458</v>
      </c>
      <c r="B2519" s="137" t="s">
        <v>130</v>
      </c>
      <c r="C2519" s="137" t="s">
        <v>5358</v>
      </c>
      <c r="D2519" s="338">
        <v>7055</v>
      </c>
      <c r="E2519" s="137">
        <v>3490</v>
      </c>
      <c r="F2519" s="137">
        <v>850</v>
      </c>
    </row>
    <row r="2520" spans="1:6" x14ac:dyDescent="0.25">
      <c r="A2520" s="137" t="s">
        <v>16064</v>
      </c>
      <c r="B2520" s="137" t="s">
        <v>130</v>
      </c>
      <c r="C2520" s="137" t="s">
        <v>3515</v>
      </c>
      <c r="D2520" s="338">
        <v>11386</v>
      </c>
      <c r="E2520" s="137">
        <v>5130</v>
      </c>
      <c r="F2520" s="137">
        <v>1170</v>
      </c>
    </row>
    <row r="2521" spans="1:6" x14ac:dyDescent="0.25">
      <c r="A2521" s="137" t="s">
        <v>16209</v>
      </c>
      <c r="B2521" s="137" t="s">
        <v>130</v>
      </c>
      <c r="C2521" s="137" t="s">
        <v>3743</v>
      </c>
      <c r="D2521" s="338">
        <v>9580</v>
      </c>
      <c r="E2521" s="137">
        <v>3690</v>
      </c>
      <c r="F2521" s="137">
        <v>1050</v>
      </c>
    </row>
    <row r="2522" spans="1:6" x14ac:dyDescent="0.25">
      <c r="A2522" s="137" t="s">
        <v>16670</v>
      </c>
      <c r="B2522" s="137" t="s">
        <v>130</v>
      </c>
      <c r="C2522" s="137" t="s">
        <v>4928</v>
      </c>
      <c r="D2522" s="338">
        <v>2996</v>
      </c>
      <c r="E2522" s="137">
        <v>3786</v>
      </c>
      <c r="F2522" s="137">
        <v>1146</v>
      </c>
    </row>
    <row r="2523" spans="1:6" x14ac:dyDescent="0.25">
      <c r="A2523" s="137" t="s">
        <v>15997</v>
      </c>
      <c r="B2523" s="137" t="s">
        <v>130</v>
      </c>
      <c r="C2523" s="137" t="s">
        <v>2024</v>
      </c>
      <c r="D2523" s="338">
        <v>12429</v>
      </c>
      <c r="E2523" s="137">
        <v>4646</v>
      </c>
      <c r="F2523" s="137">
        <v>686</v>
      </c>
    </row>
    <row r="2524" spans="1:6" x14ac:dyDescent="0.25">
      <c r="A2524" s="137" t="s">
        <v>16163</v>
      </c>
      <c r="B2524" s="137" t="s">
        <v>130</v>
      </c>
      <c r="C2524" s="137" t="s">
        <v>2569</v>
      </c>
      <c r="D2524" s="338">
        <v>10208</v>
      </c>
      <c r="E2524" s="137">
        <v>3678</v>
      </c>
      <c r="F2524" s="137">
        <v>1038</v>
      </c>
    </row>
    <row r="2525" spans="1:6" x14ac:dyDescent="0.25">
      <c r="A2525" s="137" t="s">
        <v>15970</v>
      </c>
      <c r="B2525" s="137" t="s">
        <v>130</v>
      </c>
      <c r="C2525" s="137" t="s">
        <v>137</v>
      </c>
      <c r="D2525" s="338">
        <v>13431</v>
      </c>
      <c r="E2525" s="137">
        <v>5321</v>
      </c>
      <c r="F2525" s="137">
        <v>41</v>
      </c>
    </row>
    <row r="2526" spans="1:6" x14ac:dyDescent="0.25">
      <c r="A2526" s="137" t="s">
        <v>15991</v>
      </c>
      <c r="B2526" s="137" t="s">
        <v>130</v>
      </c>
      <c r="C2526" s="137" t="s">
        <v>3792</v>
      </c>
      <c r="D2526" s="338">
        <v>12501</v>
      </c>
      <c r="E2526" s="137">
        <v>3032</v>
      </c>
      <c r="F2526" s="137">
        <v>392</v>
      </c>
    </row>
    <row r="2527" spans="1:6" x14ac:dyDescent="0.25">
      <c r="A2527" s="137" t="s">
        <v>16272</v>
      </c>
      <c r="B2527" s="137" t="s">
        <v>130</v>
      </c>
      <c r="C2527" s="137" t="s">
        <v>5620</v>
      </c>
      <c r="D2527" s="338">
        <v>8820</v>
      </c>
      <c r="E2527" s="137">
        <v>2732</v>
      </c>
      <c r="F2527" s="137">
        <v>92</v>
      </c>
    </row>
    <row r="2528" spans="1:6" x14ac:dyDescent="0.25">
      <c r="A2528" s="137" t="s">
        <v>16614</v>
      </c>
      <c r="B2528" s="137" t="s">
        <v>130</v>
      </c>
      <c r="C2528" s="137" t="s">
        <v>128</v>
      </c>
      <c r="D2528" s="338">
        <v>4199</v>
      </c>
      <c r="E2528" s="137">
        <v>3837</v>
      </c>
      <c r="F2528" s="137">
        <v>1197</v>
      </c>
    </row>
    <row r="2529" spans="1:6" x14ac:dyDescent="0.25">
      <c r="A2529" s="137" t="s">
        <v>16346</v>
      </c>
      <c r="B2529" s="137" t="s">
        <v>130</v>
      </c>
      <c r="C2529" s="137" t="s">
        <v>126</v>
      </c>
      <c r="D2529" s="338">
        <v>8011</v>
      </c>
      <c r="E2529" s="137">
        <v>2983</v>
      </c>
      <c r="F2529" s="137">
        <v>343</v>
      </c>
    </row>
    <row r="2530" spans="1:6" x14ac:dyDescent="0.25">
      <c r="A2530" s="137" t="s">
        <v>16069</v>
      </c>
      <c r="B2530" s="137" t="s">
        <v>130</v>
      </c>
      <c r="C2530" s="137" t="s">
        <v>4629</v>
      </c>
      <c r="D2530" s="338">
        <v>11292</v>
      </c>
      <c r="E2530" s="137">
        <v>5013</v>
      </c>
      <c r="F2530" s="137">
        <v>1053</v>
      </c>
    </row>
    <row r="2531" spans="1:6" x14ac:dyDescent="0.25">
      <c r="A2531" s="137" t="s">
        <v>16083</v>
      </c>
      <c r="B2531" s="137" t="s">
        <v>130</v>
      </c>
      <c r="C2531" s="137" t="s">
        <v>124</v>
      </c>
      <c r="D2531" s="338">
        <v>11047</v>
      </c>
      <c r="E2531" s="137">
        <v>3198</v>
      </c>
      <c r="F2531" s="137">
        <v>558</v>
      </c>
    </row>
    <row r="2532" spans="1:6" x14ac:dyDescent="0.25">
      <c r="A2532" s="137" t="s">
        <v>16147</v>
      </c>
      <c r="B2532" s="137" t="s">
        <v>130</v>
      </c>
      <c r="C2532" s="137" t="s">
        <v>5734</v>
      </c>
      <c r="D2532" s="338">
        <v>10441</v>
      </c>
      <c r="E2532" s="137">
        <v>3336</v>
      </c>
      <c r="F2532" s="137">
        <v>696</v>
      </c>
    </row>
    <row r="2533" spans="1:6" x14ac:dyDescent="0.25">
      <c r="A2533" s="137" t="s">
        <v>16270</v>
      </c>
      <c r="B2533" s="137" t="s">
        <v>130</v>
      </c>
      <c r="C2533" s="137" t="s">
        <v>120</v>
      </c>
      <c r="D2533" s="338">
        <v>8912</v>
      </c>
      <c r="E2533" s="137">
        <v>3202</v>
      </c>
      <c r="F2533" s="137">
        <v>562</v>
      </c>
    </row>
    <row r="2534" spans="1:6" x14ac:dyDescent="0.25">
      <c r="A2534" s="137" t="s">
        <v>16655</v>
      </c>
      <c r="B2534" s="137" t="s">
        <v>130</v>
      </c>
      <c r="C2534" s="137" t="s">
        <v>117</v>
      </c>
      <c r="D2534" s="338">
        <v>3376</v>
      </c>
      <c r="E2534" s="137">
        <v>5036</v>
      </c>
      <c r="F2534" s="137">
        <v>1076</v>
      </c>
    </row>
    <row r="2535" spans="1:6" x14ac:dyDescent="0.25">
      <c r="A2535" s="137" t="s">
        <v>15975</v>
      </c>
      <c r="B2535" s="137" t="s">
        <v>130</v>
      </c>
      <c r="C2535" s="137" t="s">
        <v>4675</v>
      </c>
      <c r="D2535" s="338">
        <v>13323</v>
      </c>
      <c r="E2535" s="137">
        <v>3702</v>
      </c>
      <c r="F2535" s="137">
        <v>1062</v>
      </c>
    </row>
    <row r="2536" spans="1:6" x14ac:dyDescent="0.25">
      <c r="A2536" s="137" t="s">
        <v>16206</v>
      </c>
      <c r="B2536" s="137" t="s">
        <v>130</v>
      </c>
      <c r="C2536" s="137" t="s">
        <v>2625</v>
      </c>
      <c r="D2536" s="338">
        <v>9621</v>
      </c>
      <c r="E2536" s="137">
        <v>2915</v>
      </c>
      <c r="F2536" s="137">
        <v>275</v>
      </c>
    </row>
    <row r="2537" spans="1:6" x14ac:dyDescent="0.25">
      <c r="A2537" s="137" t="s">
        <v>16049</v>
      </c>
      <c r="B2537" s="137" t="s">
        <v>130</v>
      </c>
      <c r="C2537" s="137" t="s">
        <v>4835</v>
      </c>
      <c r="D2537" s="338">
        <v>11572</v>
      </c>
      <c r="E2537" s="137">
        <v>3184</v>
      </c>
      <c r="F2537" s="137">
        <v>544</v>
      </c>
    </row>
    <row r="2538" spans="1:6" x14ac:dyDescent="0.25">
      <c r="A2538" s="137" t="s">
        <v>16401</v>
      </c>
      <c r="B2538" s="137" t="s">
        <v>130</v>
      </c>
      <c r="C2538" s="137" t="s">
        <v>5602</v>
      </c>
      <c r="D2538" s="338">
        <v>7462</v>
      </c>
      <c r="E2538" s="137">
        <v>3458</v>
      </c>
      <c r="F2538" s="137">
        <v>818</v>
      </c>
    </row>
    <row r="2539" spans="1:6" x14ac:dyDescent="0.25">
      <c r="A2539" s="137" t="s">
        <v>16167</v>
      </c>
      <c r="B2539" s="137" t="s">
        <v>130</v>
      </c>
      <c r="C2539" s="137" t="s">
        <v>4802</v>
      </c>
      <c r="D2539" s="338">
        <v>10158</v>
      </c>
      <c r="E2539" s="137">
        <v>2557</v>
      </c>
      <c r="F2539" s="137">
        <v>-83</v>
      </c>
    </row>
    <row r="2540" spans="1:6" x14ac:dyDescent="0.25">
      <c r="A2540" s="137" t="s">
        <v>16758</v>
      </c>
      <c r="B2540" s="137" t="s">
        <v>130</v>
      </c>
      <c r="C2540" s="137" t="s">
        <v>5497</v>
      </c>
      <c r="D2540" s="338">
        <v>1215</v>
      </c>
      <c r="E2540" s="137">
        <v>3198</v>
      </c>
      <c r="F2540" s="137">
        <v>558</v>
      </c>
    </row>
    <row r="2541" spans="1:6" x14ac:dyDescent="0.25">
      <c r="A2541" s="137" t="s">
        <v>16749</v>
      </c>
      <c r="B2541" s="137" t="s">
        <v>130</v>
      </c>
      <c r="C2541" s="137" t="s">
        <v>114</v>
      </c>
      <c r="D2541" s="338">
        <v>1099</v>
      </c>
      <c r="E2541" s="137">
        <v>4251</v>
      </c>
      <c r="F2541" s="137">
        <v>291</v>
      </c>
    </row>
    <row r="2542" spans="1:6" x14ac:dyDescent="0.25">
      <c r="A2542" s="137" t="s">
        <v>16025</v>
      </c>
      <c r="B2542" s="137" t="s">
        <v>130</v>
      </c>
      <c r="C2542" s="137" t="s">
        <v>5210</v>
      </c>
      <c r="D2542" s="338">
        <v>11991</v>
      </c>
      <c r="E2542" s="137">
        <v>3537</v>
      </c>
      <c r="F2542" s="137">
        <v>897</v>
      </c>
    </row>
    <row r="2543" spans="1:6" x14ac:dyDescent="0.25">
      <c r="A2543" s="137" t="s">
        <v>16161</v>
      </c>
      <c r="B2543" s="137" t="s">
        <v>130</v>
      </c>
      <c r="C2543" s="137" t="s">
        <v>5155</v>
      </c>
      <c r="D2543" s="338">
        <v>10219</v>
      </c>
      <c r="E2543" s="137">
        <v>4603</v>
      </c>
      <c r="F2543" s="137">
        <v>643</v>
      </c>
    </row>
    <row r="2544" spans="1:6" x14ac:dyDescent="0.25">
      <c r="A2544" s="137" t="s">
        <v>16188</v>
      </c>
      <c r="B2544" s="137" t="s">
        <v>130</v>
      </c>
      <c r="C2544" s="137" t="s">
        <v>3799</v>
      </c>
      <c r="D2544" s="338">
        <v>9933</v>
      </c>
      <c r="E2544" s="137">
        <v>3609</v>
      </c>
      <c r="F2544" s="137">
        <v>969</v>
      </c>
    </row>
    <row r="2545" spans="1:6" x14ac:dyDescent="0.25">
      <c r="A2545" s="137" t="s">
        <v>16660</v>
      </c>
      <c r="B2545" s="137" t="s">
        <v>130</v>
      </c>
      <c r="C2545" s="137" t="s">
        <v>113</v>
      </c>
      <c r="D2545" s="338">
        <v>3244</v>
      </c>
      <c r="E2545" s="137">
        <v>6135</v>
      </c>
      <c r="F2545" s="137">
        <v>855</v>
      </c>
    </row>
    <row r="2546" spans="1:6" x14ac:dyDescent="0.25">
      <c r="A2546" s="137" t="s">
        <v>16409</v>
      </c>
      <c r="B2546" s="137" t="s">
        <v>130</v>
      </c>
      <c r="C2546" s="137" t="s">
        <v>5219</v>
      </c>
      <c r="D2546" s="338">
        <v>7399</v>
      </c>
      <c r="E2546" s="137">
        <v>2672</v>
      </c>
      <c r="F2546" s="137">
        <v>32</v>
      </c>
    </row>
    <row r="2547" spans="1:6" x14ac:dyDescent="0.25">
      <c r="A2547" s="137" t="s">
        <v>16502</v>
      </c>
      <c r="B2547" s="137" t="s">
        <v>130</v>
      </c>
      <c r="C2547" s="137" t="s">
        <v>5255</v>
      </c>
      <c r="D2547" s="338">
        <v>6521</v>
      </c>
      <c r="E2547" s="137">
        <v>3088</v>
      </c>
      <c r="F2547" s="137">
        <v>448</v>
      </c>
    </row>
    <row r="2548" spans="1:6" x14ac:dyDescent="0.25">
      <c r="A2548" s="137" t="s">
        <v>16461</v>
      </c>
      <c r="B2548" s="137" t="s">
        <v>130</v>
      </c>
      <c r="C2548" s="137" t="s">
        <v>3078</v>
      </c>
      <c r="D2548" s="338">
        <v>7037</v>
      </c>
      <c r="E2548" s="137">
        <v>3713</v>
      </c>
      <c r="F2548" s="137">
        <v>1073</v>
      </c>
    </row>
    <row r="2549" spans="1:6" x14ac:dyDescent="0.25">
      <c r="A2549" s="137" t="s">
        <v>16391</v>
      </c>
      <c r="B2549" s="137" t="s">
        <v>130</v>
      </c>
      <c r="C2549" s="137" t="s">
        <v>4445</v>
      </c>
      <c r="D2549" s="338">
        <v>7568</v>
      </c>
      <c r="E2549" s="137">
        <v>3529</v>
      </c>
      <c r="F2549" s="137">
        <v>889</v>
      </c>
    </row>
    <row r="2550" spans="1:6" x14ac:dyDescent="0.25">
      <c r="A2550" s="137" t="s">
        <v>16781</v>
      </c>
      <c r="B2550" s="137" t="s">
        <v>130</v>
      </c>
      <c r="C2550" s="137" t="s">
        <v>14212</v>
      </c>
      <c r="D2550" s="338">
        <v>1799</v>
      </c>
      <c r="E2550" s="137">
        <v>2602</v>
      </c>
      <c r="F2550" s="137">
        <v>1282</v>
      </c>
    </row>
    <row r="2551" spans="1:6" x14ac:dyDescent="0.25">
      <c r="A2551" s="137" t="s">
        <v>15990</v>
      </c>
      <c r="B2551" s="137" t="s">
        <v>130</v>
      </c>
      <c r="C2551" s="137" t="s">
        <v>3152</v>
      </c>
      <c r="D2551" s="338">
        <v>12544</v>
      </c>
      <c r="E2551" s="137">
        <v>4711</v>
      </c>
      <c r="F2551" s="137">
        <v>751</v>
      </c>
    </row>
    <row r="2552" spans="1:6" x14ac:dyDescent="0.25">
      <c r="A2552" s="137" t="s">
        <v>16496</v>
      </c>
      <c r="B2552" s="137" t="s">
        <v>130</v>
      </c>
      <c r="C2552" s="137" t="s">
        <v>110</v>
      </c>
      <c r="D2552" s="338">
        <v>6598</v>
      </c>
      <c r="E2552" s="137">
        <v>3969</v>
      </c>
      <c r="F2552" s="137">
        <v>9</v>
      </c>
    </row>
    <row r="2553" spans="1:6" x14ac:dyDescent="0.25">
      <c r="A2553" s="137" t="s">
        <v>16240</v>
      </c>
      <c r="B2553" s="137" t="s">
        <v>130</v>
      </c>
      <c r="C2553" s="137" t="s">
        <v>4979</v>
      </c>
      <c r="D2553" s="338">
        <v>9267</v>
      </c>
      <c r="E2553" s="137">
        <v>2973</v>
      </c>
      <c r="F2553" s="137">
        <v>333</v>
      </c>
    </row>
    <row r="2554" spans="1:6" x14ac:dyDescent="0.25">
      <c r="A2554" s="137" t="s">
        <v>16605</v>
      </c>
      <c r="B2554" s="137" t="s">
        <v>130</v>
      </c>
      <c r="C2554" s="137" t="s">
        <v>1904</v>
      </c>
      <c r="D2554" s="338">
        <v>4398</v>
      </c>
      <c r="E2554" s="137">
        <v>3770</v>
      </c>
      <c r="F2554" s="137">
        <v>1130</v>
      </c>
    </row>
    <row r="2555" spans="1:6" x14ac:dyDescent="0.25">
      <c r="A2555" s="137" t="s">
        <v>16407</v>
      </c>
      <c r="B2555" s="137" t="s">
        <v>130</v>
      </c>
      <c r="C2555" s="137" t="s">
        <v>4756</v>
      </c>
      <c r="D2555" s="338">
        <v>7421</v>
      </c>
      <c r="E2555" s="137">
        <v>4289</v>
      </c>
      <c r="F2555" s="137">
        <v>329</v>
      </c>
    </row>
    <row r="2556" spans="1:6" x14ac:dyDescent="0.25">
      <c r="A2556" s="137" t="s">
        <v>16162</v>
      </c>
      <c r="B2556" s="137" t="s">
        <v>130</v>
      </c>
      <c r="C2556" s="137" t="s">
        <v>5651</v>
      </c>
      <c r="D2556" s="338">
        <v>10215</v>
      </c>
      <c r="E2556" s="137">
        <v>3070</v>
      </c>
      <c r="F2556" s="137">
        <v>430</v>
      </c>
    </row>
    <row r="2557" spans="1:6" x14ac:dyDescent="0.25">
      <c r="A2557" s="137" t="s">
        <v>15973</v>
      </c>
      <c r="B2557" s="137" t="s">
        <v>130</v>
      </c>
      <c r="C2557" s="137" t="s">
        <v>4335</v>
      </c>
      <c r="D2557" s="338">
        <v>13343</v>
      </c>
      <c r="E2557" s="137">
        <v>3794</v>
      </c>
      <c r="F2557" s="137">
        <v>1154</v>
      </c>
    </row>
    <row r="2558" spans="1:6" x14ac:dyDescent="0.25">
      <c r="A2558" s="137" t="s">
        <v>16459</v>
      </c>
      <c r="B2558" s="137" t="s">
        <v>130</v>
      </c>
      <c r="C2558" s="137" t="s">
        <v>5457</v>
      </c>
      <c r="D2558" s="338">
        <v>7044</v>
      </c>
      <c r="E2558" s="137">
        <v>3939</v>
      </c>
      <c r="F2558" s="137">
        <v>1299</v>
      </c>
    </row>
    <row r="2559" spans="1:6" x14ac:dyDescent="0.25">
      <c r="A2559" s="137" t="s">
        <v>16612</v>
      </c>
      <c r="B2559" s="137" t="s">
        <v>130</v>
      </c>
      <c r="C2559" s="137" t="s">
        <v>107</v>
      </c>
      <c r="D2559" s="338">
        <v>4231</v>
      </c>
      <c r="E2559" s="137">
        <v>3274</v>
      </c>
      <c r="F2559" s="137">
        <v>634</v>
      </c>
    </row>
    <row r="2560" spans="1:6" x14ac:dyDescent="0.25">
      <c r="A2560" s="137" t="s">
        <v>16481</v>
      </c>
      <c r="B2560" s="137" t="s">
        <v>130</v>
      </c>
      <c r="C2560" s="137" t="s">
        <v>1291</v>
      </c>
      <c r="D2560" s="338">
        <v>6794</v>
      </c>
      <c r="E2560" s="137">
        <v>3386</v>
      </c>
      <c r="F2560" s="137">
        <v>746</v>
      </c>
    </row>
    <row r="2561" spans="1:6" x14ac:dyDescent="0.25">
      <c r="A2561" s="137" t="s">
        <v>15976</v>
      </c>
      <c r="B2561" s="137" t="s">
        <v>130</v>
      </c>
      <c r="C2561" s="137" t="s">
        <v>3452</v>
      </c>
      <c r="D2561" s="338">
        <v>13218</v>
      </c>
      <c r="E2561" s="137">
        <v>2990</v>
      </c>
      <c r="F2561" s="137">
        <v>350</v>
      </c>
    </row>
    <row r="2562" spans="1:6" x14ac:dyDescent="0.25">
      <c r="A2562" s="137" t="s">
        <v>16012</v>
      </c>
      <c r="B2562" s="137" t="s">
        <v>130</v>
      </c>
      <c r="C2562" s="137" t="s">
        <v>3292</v>
      </c>
      <c r="D2562" s="338">
        <v>12168</v>
      </c>
      <c r="E2562" s="137">
        <v>4422</v>
      </c>
      <c r="F2562" s="137">
        <v>462</v>
      </c>
    </row>
    <row r="2563" spans="1:6" x14ac:dyDescent="0.25">
      <c r="A2563" s="137" t="s">
        <v>16700</v>
      </c>
      <c r="B2563" s="137" t="s">
        <v>130</v>
      </c>
      <c r="C2563" s="137" t="s">
        <v>5204</v>
      </c>
      <c r="D2563" s="338">
        <v>2104</v>
      </c>
      <c r="E2563" s="137">
        <v>2804</v>
      </c>
      <c r="F2563" s="137">
        <v>164</v>
      </c>
    </row>
    <row r="2564" spans="1:6" x14ac:dyDescent="0.25">
      <c r="A2564" s="137" t="s">
        <v>16284</v>
      </c>
      <c r="B2564" s="137" t="s">
        <v>130</v>
      </c>
      <c r="C2564" s="137" t="s">
        <v>5717</v>
      </c>
      <c r="D2564" s="338">
        <v>8681</v>
      </c>
      <c r="E2564" s="137">
        <v>2924</v>
      </c>
      <c r="F2564" s="137">
        <v>284</v>
      </c>
    </row>
    <row r="2565" spans="1:6" x14ac:dyDescent="0.25">
      <c r="A2565" s="137" t="s">
        <v>16352</v>
      </c>
      <c r="B2565" s="137" t="s">
        <v>130</v>
      </c>
      <c r="C2565" s="137" t="s">
        <v>3772</v>
      </c>
      <c r="D2565" s="338">
        <v>7957</v>
      </c>
      <c r="E2565" s="137">
        <v>2656</v>
      </c>
      <c r="F2565" s="137">
        <v>16</v>
      </c>
    </row>
    <row r="2566" spans="1:6" x14ac:dyDescent="0.25">
      <c r="A2566" s="137" t="s">
        <v>16278</v>
      </c>
      <c r="B2566" s="137" t="s">
        <v>130</v>
      </c>
      <c r="C2566" s="137" t="s">
        <v>2476</v>
      </c>
      <c r="D2566" s="338">
        <v>8763</v>
      </c>
      <c r="E2566" s="137">
        <v>2890</v>
      </c>
      <c r="F2566" s="137">
        <v>250</v>
      </c>
    </row>
    <row r="2567" spans="1:6" x14ac:dyDescent="0.25">
      <c r="A2567" s="137" t="s">
        <v>16336</v>
      </c>
      <c r="B2567" s="137" t="s">
        <v>130</v>
      </c>
      <c r="C2567" s="137" t="s">
        <v>2958</v>
      </c>
      <c r="D2567" s="338">
        <v>8059</v>
      </c>
      <c r="E2567" s="137">
        <v>2370</v>
      </c>
      <c r="F2567" s="137">
        <v>1050</v>
      </c>
    </row>
    <row r="2568" spans="1:6" x14ac:dyDescent="0.25">
      <c r="A2568" s="137" t="s">
        <v>16218</v>
      </c>
      <c r="B2568" s="137" t="s">
        <v>130</v>
      </c>
      <c r="C2568" s="137" t="s">
        <v>5737</v>
      </c>
      <c r="D2568" s="338">
        <v>9496</v>
      </c>
      <c r="E2568" s="137">
        <v>3040</v>
      </c>
      <c r="F2568" s="137">
        <v>400</v>
      </c>
    </row>
    <row r="2569" spans="1:6" x14ac:dyDescent="0.25">
      <c r="A2569" s="137" t="s">
        <v>16653</v>
      </c>
      <c r="B2569" s="137" t="s">
        <v>130</v>
      </c>
      <c r="C2569" s="137" t="s">
        <v>100</v>
      </c>
      <c r="D2569" s="338">
        <v>3398</v>
      </c>
      <c r="E2569" s="137">
        <v>5214</v>
      </c>
      <c r="F2569" s="137">
        <v>1254</v>
      </c>
    </row>
    <row r="2570" spans="1:6" x14ac:dyDescent="0.25">
      <c r="A2570" s="137" t="s">
        <v>16750</v>
      </c>
      <c r="B2570" s="137" t="s">
        <v>130</v>
      </c>
      <c r="C2570" s="137" t="s">
        <v>97</v>
      </c>
      <c r="D2570" s="338">
        <v>1076</v>
      </c>
      <c r="E2570" s="137">
        <v>4059</v>
      </c>
      <c r="F2570" s="137">
        <v>99</v>
      </c>
    </row>
    <row r="2571" spans="1:6" x14ac:dyDescent="0.25">
      <c r="A2571" s="137" t="s">
        <v>16734</v>
      </c>
      <c r="B2571" s="137" t="s">
        <v>130</v>
      </c>
      <c r="C2571" s="137" t="s">
        <v>95</v>
      </c>
      <c r="D2571" s="137">
        <v>605</v>
      </c>
      <c r="E2571" s="137">
        <v>3604</v>
      </c>
      <c r="F2571" s="137">
        <v>964</v>
      </c>
    </row>
    <row r="2572" spans="1:6" x14ac:dyDescent="0.25">
      <c r="A2572" s="137" t="s">
        <v>16554</v>
      </c>
      <c r="B2572" s="137" t="s">
        <v>130</v>
      </c>
      <c r="C2572" s="137" t="s">
        <v>5369</v>
      </c>
      <c r="D2572" s="338">
        <v>5829</v>
      </c>
      <c r="E2572" s="137">
        <v>3067</v>
      </c>
      <c r="F2572" s="137">
        <v>427</v>
      </c>
    </row>
    <row r="2573" spans="1:6" x14ac:dyDescent="0.25">
      <c r="A2573" s="137" t="s">
        <v>15996</v>
      </c>
      <c r="B2573" s="137" t="s">
        <v>130</v>
      </c>
      <c r="C2573" s="137" t="s">
        <v>4570</v>
      </c>
      <c r="D2573" s="338">
        <v>12439</v>
      </c>
      <c r="E2573" s="137">
        <v>4251</v>
      </c>
      <c r="F2573" s="137">
        <v>291</v>
      </c>
    </row>
    <row r="2574" spans="1:6" x14ac:dyDescent="0.25">
      <c r="A2574" s="137" t="s">
        <v>16600</v>
      </c>
      <c r="B2574" s="137" t="s">
        <v>130</v>
      </c>
      <c r="C2574" s="137" t="s">
        <v>93</v>
      </c>
      <c r="D2574" s="338">
        <v>4491</v>
      </c>
      <c r="E2574" s="137">
        <v>3950</v>
      </c>
      <c r="F2574" s="137">
        <v>1310</v>
      </c>
    </row>
    <row r="2575" spans="1:6" x14ac:dyDescent="0.25">
      <c r="A2575" s="137" t="s">
        <v>16054</v>
      </c>
      <c r="B2575" s="137" t="s">
        <v>130</v>
      </c>
      <c r="C2575" s="137" t="s">
        <v>5114</v>
      </c>
      <c r="D2575" s="338">
        <v>11508</v>
      </c>
      <c r="E2575" s="137">
        <v>3529</v>
      </c>
      <c r="F2575" s="137">
        <v>889</v>
      </c>
    </row>
    <row r="2576" spans="1:6" x14ac:dyDescent="0.25">
      <c r="A2576" s="137" t="s">
        <v>16616</v>
      </c>
      <c r="B2576" s="137" t="s">
        <v>130</v>
      </c>
      <c r="C2576" s="137" t="s">
        <v>2766</v>
      </c>
      <c r="D2576" s="338">
        <v>4176</v>
      </c>
      <c r="E2576" s="137">
        <v>3443</v>
      </c>
      <c r="F2576" s="137">
        <v>803</v>
      </c>
    </row>
    <row r="2577" spans="1:6" x14ac:dyDescent="0.25">
      <c r="A2577" s="137" t="s">
        <v>16197</v>
      </c>
      <c r="B2577" s="137" t="s">
        <v>130</v>
      </c>
      <c r="C2577" s="137" t="s">
        <v>5676</v>
      </c>
      <c r="D2577" s="338">
        <v>9773</v>
      </c>
      <c r="E2577" s="137">
        <v>2863</v>
      </c>
      <c r="F2577" s="137">
        <v>223</v>
      </c>
    </row>
    <row r="2578" spans="1:6" x14ac:dyDescent="0.25">
      <c r="A2578" s="137" t="s">
        <v>16506</v>
      </c>
      <c r="B2578" s="137" t="s">
        <v>130</v>
      </c>
      <c r="C2578" s="137" t="s">
        <v>90</v>
      </c>
      <c r="D2578" s="338">
        <v>6476</v>
      </c>
      <c r="E2578" s="137">
        <v>2771</v>
      </c>
      <c r="F2578" s="137">
        <v>131</v>
      </c>
    </row>
    <row r="2579" spans="1:6" x14ac:dyDescent="0.25">
      <c r="A2579" s="137" t="s">
        <v>16022</v>
      </c>
      <c r="B2579" s="137" t="s">
        <v>130</v>
      </c>
      <c r="C2579" s="137" t="s">
        <v>3574</v>
      </c>
      <c r="D2579" s="338">
        <v>12071</v>
      </c>
      <c r="E2579" s="137">
        <v>2979</v>
      </c>
      <c r="F2579" s="137">
        <v>339</v>
      </c>
    </row>
    <row r="2580" spans="1:6" x14ac:dyDescent="0.25">
      <c r="A2580" s="137" t="s">
        <v>16302</v>
      </c>
      <c r="B2580" s="137" t="s">
        <v>130</v>
      </c>
      <c r="C2580" s="137" t="s">
        <v>87</v>
      </c>
      <c r="D2580" s="338">
        <v>8446</v>
      </c>
      <c r="E2580" s="137">
        <v>2935</v>
      </c>
      <c r="F2580" s="137">
        <v>295</v>
      </c>
    </row>
    <row r="2581" spans="1:6" x14ac:dyDescent="0.25">
      <c r="A2581" s="137" t="s">
        <v>15982</v>
      </c>
      <c r="B2581" s="137" t="s">
        <v>130</v>
      </c>
      <c r="C2581" s="137" t="s">
        <v>2484</v>
      </c>
      <c r="D2581" s="338">
        <v>12853</v>
      </c>
      <c r="E2581" s="137">
        <v>2837</v>
      </c>
      <c r="F2581" s="137">
        <v>197</v>
      </c>
    </row>
    <row r="2582" spans="1:6" x14ac:dyDescent="0.25">
      <c r="A2582" s="137" t="s">
        <v>16420</v>
      </c>
      <c r="B2582" s="137" t="s">
        <v>130</v>
      </c>
      <c r="C2582" s="137" t="s">
        <v>5190</v>
      </c>
      <c r="D2582" s="338">
        <v>7349</v>
      </c>
      <c r="E2582" s="137">
        <v>3311</v>
      </c>
      <c r="F2582" s="137">
        <v>671</v>
      </c>
    </row>
    <row r="2583" spans="1:6" x14ac:dyDescent="0.25">
      <c r="A2583" s="137" t="s">
        <v>16034</v>
      </c>
      <c r="B2583" s="137" t="s">
        <v>130</v>
      </c>
      <c r="C2583" s="137" t="s">
        <v>1965</v>
      </c>
      <c r="D2583" s="338">
        <v>11799</v>
      </c>
      <c r="E2583" s="137">
        <v>4091</v>
      </c>
      <c r="F2583" s="137">
        <v>131</v>
      </c>
    </row>
    <row r="2584" spans="1:6" x14ac:dyDescent="0.25">
      <c r="A2584" s="137" t="s">
        <v>16072</v>
      </c>
      <c r="B2584" s="137" t="s">
        <v>130</v>
      </c>
      <c r="C2584" s="137" t="s">
        <v>3618</v>
      </c>
      <c r="D2584" s="338">
        <v>11242</v>
      </c>
      <c r="E2584" s="137">
        <v>3639</v>
      </c>
      <c r="F2584" s="137">
        <v>999</v>
      </c>
    </row>
    <row r="2585" spans="1:6" x14ac:dyDescent="0.25">
      <c r="A2585" s="137" t="s">
        <v>16404</v>
      </c>
      <c r="B2585" s="137" t="s">
        <v>130</v>
      </c>
      <c r="C2585" s="137" t="s">
        <v>5513</v>
      </c>
      <c r="D2585" s="338">
        <v>7430</v>
      </c>
      <c r="E2585" s="137">
        <v>4275</v>
      </c>
      <c r="F2585" s="137">
        <v>315</v>
      </c>
    </row>
    <row r="2586" spans="1:6" x14ac:dyDescent="0.25">
      <c r="A2586" s="137" t="s">
        <v>16333</v>
      </c>
      <c r="B2586" s="137" t="s">
        <v>130</v>
      </c>
      <c r="C2586" s="137" t="s">
        <v>84</v>
      </c>
      <c r="D2586" s="338">
        <v>8088</v>
      </c>
      <c r="E2586" s="137">
        <v>3202</v>
      </c>
      <c r="F2586" s="137">
        <v>562</v>
      </c>
    </row>
    <row r="2587" spans="1:6" x14ac:dyDescent="0.25">
      <c r="A2587" s="137" t="s">
        <v>16363</v>
      </c>
      <c r="B2587" s="137" t="s">
        <v>130</v>
      </c>
      <c r="C2587" s="137" t="s">
        <v>5585</v>
      </c>
      <c r="D2587" s="338">
        <v>7848</v>
      </c>
      <c r="E2587" s="137">
        <v>2937</v>
      </c>
      <c r="F2587" s="137">
        <v>297</v>
      </c>
    </row>
    <row r="2588" spans="1:6" x14ac:dyDescent="0.25">
      <c r="A2588" s="137" t="s">
        <v>16572</v>
      </c>
      <c r="B2588" s="137" t="s">
        <v>130</v>
      </c>
      <c r="C2588" s="137" t="s">
        <v>81</v>
      </c>
      <c r="D2588" s="338">
        <v>5293</v>
      </c>
      <c r="E2588" s="137">
        <v>4380</v>
      </c>
      <c r="F2588" s="137">
        <v>1740</v>
      </c>
    </row>
    <row r="2589" spans="1:6" x14ac:dyDescent="0.25">
      <c r="A2589" s="137" t="s">
        <v>16557</v>
      </c>
      <c r="B2589" s="137" t="s">
        <v>130</v>
      </c>
      <c r="C2589" s="137" t="s">
        <v>79</v>
      </c>
      <c r="D2589" s="338">
        <v>5796</v>
      </c>
      <c r="E2589" s="137">
        <v>4069</v>
      </c>
      <c r="F2589" s="137">
        <v>109</v>
      </c>
    </row>
    <row r="2590" spans="1:6" x14ac:dyDescent="0.25">
      <c r="A2590" s="137" t="s">
        <v>16208</v>
      </c>
      <c r="B2590" s="137" t="s">
        <v>130</v>
      </c>
      <c r="C2590" s="137" t="s">
        <v>5313</v>
      </c>
      <c r="D2590" s="338">
        <v>9596</v>
      </c>
      <c r="E2590" s="137">
        <v>2707</v>
      </c>
      <c r="F2590" s="137">
        <v>67</v>
      </c>
    </row>
    <row r="2591" spans="1:6" x14ac:dyDescent="0.25">
      <c r="A2591" s="137" t="s">
        <v>16608</v>
      </c>
      <c r="B2591" s="137" t="s">
        <v>130</v>
      </c>
      <c r="C2591" s="137" t="s">
        <v>5047</v>
      </c>
      <c r="D2591" s="338">
        <v>4365</v>
      </c>
      <c r="E2591" s="137">
        <v>3713</v>
      </c>
      <c r="F2591" s="137">
        <v>1073</v>
      </c>
    </row>
    <row r="2592" spans="1:6" x14ac:dyDescent="0.25">
      <c r="A2592" s="137" t="s">
        <v>16641</v>
      </c>
      <c r="B2592" s="137" t="s">
        <v>130</v>
      </c>
      <c r="C2592" s="137" t="s">
        <v>74</v>
      </c>
      <c r="D2592" s="338">
        <v>3738</v>
      </c>
      <c r="E2592" s="137">
        <v>4279</v>
      </c>
      <c r="F2592" s="137">
        <v>319</v>
      </c>
    </row>
    <row r="2593" spans="1:6" x14ac:dyDescent="0.25">
      <c r="A2593" s="137" t="s">
        <v>16266</v>
      </c>
      <c r="B2593" s="137" t="s">
        <v>130</v>
      </c>
      <c r="C2593" s="137" t="s">
        <v>71</v>
      </c>
      <c r="D2593" s="338">
        <v>8967</v>
      </c>
      <c r="E2593" s="137">
        <v>3686</v>
      </c>
      <c r="F2593" s="137">
        <v>1046</v>
      </c>
    </row>
    <row r="2594" spans="1:6" x14ac:dyDescent="0.25">
      <c r="A2594" s="137" t="s">
        <v>16685</v>
      </c>
      <c r="B2594" s="137" t="s">
        <v>130</v>
      </c>
      <c r="C2594" s="137" t="s">
        <v>68</v>
      </c>
      <c r="D2594" s="338">
        <v>2518</v>
      </c>
      <c r="E2594" s="137">
        <v>3848</v>
      </c>
      <c r="F2594" s="137">
        <v>1208</v>
      </c>
    </row>
    <row r="2595" spans="1:6" x14ac:dyDescent="0.25">
      <c r="A2595" s="137" t="s">
        <v>16553</v>
      </c>
      <c r="B2595" s="137" t="s">
        <v>130</v>
      </c>
      <c r="C2595" s="137" t="s">
        <v>5035</v>
      </c>
      <c r="D2595" s="338">
        <v>5834</v>
      </c>
      <c r="E2595" s="137">
        <v>3671</v>
      </c>
      <c r="F2595" s="137">
        <v>1031</v>
      </c>
    </row>
    <row r="2596" spans="1:6" x14ac:dyDescent="0.25">
      <c r="A2596" s="137" t="s">
        <v>16606</v>
      </c>
      <c r="B2596" s="137" t="s">
        <v>130</v>
      </c>
      <c r="C2596" s="137" t="s">
        <v>4439</v>
      </c>
      <c r="D2596" s="338">
        <v>4379</v>
      </c>
      <c r="E2596" s="137">
        <v>3337</v>
      </c>
      <c r="F2596" s="137">
        <v>697</v>
      </c>
    </row>
    <row r="2597" spans="1:6" x14ac:dyDescent="0.25">
      <c r="A2597" s="137" t="s">
        <v>16792</v>
      </c>
      <c r="B2597" s="137" t="s">
        <v>130</v>
      </c>
      <c r="C2597" s="137" t="s">
        <v>65</v>
      </c>
      <c r="D2597" s="338">
        <v>1957</v>
      </c>
      <c r="E2597" s="137">
        <v>4289</v>
      </c>
      <c r="F2597" s="137">
        <v>329</v>
      </c>
    </row>
    <row r="2598" spans="1:6" x14ac:dyDescent="0.25">
      <c r="A2598" s="137" t="s">
        <v>16393</v>
      </c>
      <c r="B2598" s="137" t="s">
        <v>130</v>
      </c>
      <c r="C2598" s="137" t="s">
        <v>1989</v>
      </c>
      <c r="D2598" s="338">
        <v>7549</v>
      </c>
      <c r="E2598" s="137">
        <v>3531</v>
      </c>
      <c r="F2598" s="137">
        <v>891</v>
      </c>
    </row>
    <row r="2599" spans="1:6" x14ac:dyDescent="0.25">
      <c r="A2599" s="137" t="s">
        <v>16730</v>
      </c>
      <c r="B2599" s="137" t="s">
        <v>130</v>
      </c>
      <c r="C2599" s="137" t="s">
        <v>63</v>
      </c>
      <c r="D2599" s="137">
        <v>538</v>
      </c>
      <c r="E2599" s="137">
        <v>2758</v>
      </c>
      <c r="F2599" s="137">
        <v>118</v>
      </c>
    </row>
    <row r="2600" spans="1:6" x14ac:dyDescent="0.25">
      <c r="A2600" s="137" t="s">
        <v>16629</v>
      </c>
      <c r="B2600" s="137" t="s">
        <v>130</v>
      </c>
      <c r="C2600" s="137" t="s">
        <v>4969</v>
      </c>
      <c r="D2600" s="338">
        <v>3942</v>
      </c>
      <c r="E2600" s="137">
        <v>4210</v>
      </c>
      <c r="F2600" s="137">
        <v>250</v>
      </c>
    </row>
    <row r="2601" spans="1:6" x14ac:dyDescent="0.25">
      <c r="A2601" s="137" t="s">
        <v>16281</v>
      </c>
      <c r="B2601" s="137" t="s">
        <v>130</v>
      </c>
      <c r="C2601" s="137" t="s">
        <v>2434</v>
      </c>
      <c r="D2601" s="338">
        <v>8718</v>
      </c>
      <c r="E2601" s="137">
        <v>2874</v>
      </c>
      <c r="F2601" s="137">
        <v>234</v>
      </c>
    </row>
    <row r="2602" spans="1:6" x14ac:dyDescent="0.25">
      <c r="A2602" s="137" t="s">
        <v>16547</v>
      </c>
      <c r="B2602" s="137" t="s">
        <v>130</v>
      </c>
      <c r="C2602" s="137" t="s">
        <v>4611</v>
      </c>
      <c r="D2602" s="338">
        <v>5909</v>
      </c>
      <c r="E2602" s="137">
        <v>3454</v>
      </c>
      <c r="F2602" s="137">
        <v>814</v>
      </c>
    </row>
    <row r="2603" spans="1:6" x14ac:dyDescent="0.25">
      <c r="A2603" s="137" t="s">
        <v>16426</v>
      </c>
      <c r="B2603" s="137" t="s">
        <v>130</v>
      </c>
      <c r="C2603" s="137" t="s">
        <v>3373</v>
      </c>
      <c r="D2603" s="338">
        <v>7299</v>
      </c>
      <c r="E2603" s="137">
        <v>3255</v>
      </c>
      <c r="F2603" s="137">
        <v>615</v>
      </c>
    </row>
    <row r="2604" spans="1:6" x14ac:dyDescent="0.25">
      <c r="A2604" s="137" t="s">
        <v>16271</v>
      </c>
      <c r="B2604" s="137" t="s">
        <v>130</v>
      </c>
      <c r="C2604" s="137" t="s">
        <v>2579</v>
      </c>
      <c r="D2604" s="338">
        <v>8883</v>
      </c>
      <c r="E2604" s="137">
        <v>3041</v>
      </c>
      <c r="F2604" s="137">
        <v>401</v>
      </c>
    </row>
    <row r="2605" spans="1:6" x14ac:dyDescent="0.25">
      <c r="A2605" s="137" t="s">
        <v>16141</v>
      </c>
      <c r="B2605" s="137" t="s">
        <v>130</v>
      </c>
      <c r="C2605" s="137" t="s">
        <v>3388</v>
      </c>
      <c r="D2605" s="338">
        <v>10505</v>
      </c>
      <c r="E2605" s="137">
        <v>2747</v>
      </c>
      <c r="F2605" s="137">
        <v>107</v>
      </c>
    </row>
    <row r="2606" spans="1:6" x14ac:dyDescent="0.25">
      <c r="A2606" s="137" t="s">
        <v>16091</v>
      </c>
      <c r="B2606" s="137" t="s">
        <v>130</v>
      </c>
      <c r="C2606" s="137" t="s">
        <v>5277</v>
      </c>
      <c r="D2606" s="338">
        <v>10976</v>
      </c>
      <c r="E2606" s="137">
        <v>3001</v>
      </c>
      <c r="F2606" s="137">
        <v>361</v>
      </c>
    </row>
    <row r="2607" spans="1:6" x14ac:dyDescent="0.25">
      <c r="A2607" s="137" t="s">
        <v>16085</v>
      </c>
      <c r="B2607" s="137" t="s">
        <v>130</v>
      </c>
      <c r="C2607" s="137" t="s">
        <v>5536</v>
      </c>
      <c r="D2607" s="338">
        <v>11029</v>
      </c>
      <c r="E2607" s="137">
        <v>3141</v>
      </c>
      <c r="F2607" s="137">
        <v>501</v>
      </c>
    </row>
    <row r="2608" spans="1:6" x14ac:dyDescent="0.25">
      <c r="A2608" s="137" t="s">
        <v>16620</v>
      </c>
      <c r="B2608" s="137" t="s">
        <v>130</v>
      </c>
      <c r="C2608" s="137" t="s">
        <v>61</v>
      </c>
      <c r="D2608" s="338">
        <v>4088</v>
      </c>
      <c r="E2608" s="137">
        <v>3098</v>
      </c>
      <c r="F2608" s="137">
        <v>458</v>
      </c>
    </row>
    <row r="2609" spans="1:6" x14ac:dyDescent="0.25">
      <c r="A2609" s="137" t="s">
        <v>16247</v>
      </c>
      <c r="B2609" s="137" t="s">
        <v>130</v>
      </c>
      <c r="C2609" s="137" t="s">
        <v>820</v>
      </c>
      <c r="D2609" s="338">
        <v>9200</v>
      </c>
      <c r="E2609" s="137">
        <v>2788</v>
      </c>
      <c r="F2609" s="137">
        <v>148</v>
      </c>
    </row>
    <row r="2610" spans="1:6" x14ac:dyDescent="0.25">
      <c r="A2610" s="137" t="s">
        <v>16565</v>
      </c>
      <c r="B2610" s="137" t="s">
        <v>130</v>
      </c>
      <c r="C2610" s="137" t="s">
        <v>58</v>
      </c>
      <c r="D2610" s="338">
        <v>5620</v>
      </c>
      <c r="E2610" s="137">
        <v>4216</v>
      </c>
      <c r="F2610" s="137">
        <v>256</v>
      </c>
    </row>
    <row r="2611" spans="1:6" x14ac:dyDescent="0.25">
      <c r="A2611" s="137" t="s">
        <v>16236</v>
      </c>
      <c r="B2611" s="137" t="s">
        <v>130</v>
      </c>
      <c r="C2611" s="137" t="s">
        <v>527</v>
      </c>
      <c r="D2611" s="338">
        <v>9324</v>
      </c>
      <c r="E2611" s="137">
        <v>2651</v>
      </c>
      <c r="F2611" s="137">
        <v>11</v>
      </c>
    </row>
    <row r="2612" spans="1:6" x14ac:dyDescent="0.25">
      <c r="A2612" s="137" t="s">
        <v>16158</v>
      </c>
      <c r="B2612" s="137" t="s">
        <v>130</v>
      </c>
      <c r="C2612" s="137" t="s">
        <v>5269</v>
      </c>
      <c r="D2612" s="338">
        <v>10245</v>
      </c>
      <c r="E2612" s="137">
        <v>3681</v>
      </c>
      <c r="F2612" s="137">
        <v>1041</v>
      </c>
    </row>
    <row r="2613" spans="1:6" x14ac:dyDescent="0.25">
      <c r="A2613" s="137" t="s">
        <v>16132</v>
      </c>
      <c r="B2613" s="137" t="s">
        <v>130</v>
      </c>
      <c r="C2613" s="137" t="s">
        <v>2103</v>
      </c>
      <c r="D2613" s="338">
        <v>10564</v>
      </c>
      <c r="E2613" s="137">
        <v>3172</v>
      </c>
      <c r="F2613" s="137">
        <v>532</v>
      </c>
    </row>
    <row r="2614" spans="1:6" x14ac:dyDescent="0.25">
      <c r="A2614" s="137" t="s">
        <v>16280</v>
      </c>
      <c r="B2614" s="137" t="s">
        <v>130</v>
      </c>
      <c r="C2614" s="137" t="s">
        <v>5171</v>
      </c>
      <c r="D2614" s="338">
        <v>8740</v>
      </c>
      <c r="E2614" s="137">
        <v>3402</v>
      </c>
      <c r="F2614" s="137">
        <v>762</v>
      </c>
    </row>
    <row r="2615" spans="1:6" x14ac:dyDescent="0.25">
      <c r="A2615" s="137" t="s">
        <v>15998</v>
      </c>
      <c r="B2615" s="137" t="s">
        <v>130</v>
      </c>
      <c r="C2615" s="137" t="s">
        <v>5070</v>
      </c>
      <c r="D2615" s="338">
        <v>12424</v>
      </c>
      <c r="E2615" s="137">
        <v>3515</v>
      </c>
      <c r="F2615" s="137">
        <v>875</v>
      </c>
    </row>
    <row r="2616" spans="1:6" x14ac:dyDescent="0.25">
      <c r="A2616" s="137" t="s">
        <v>16515</v>
      </c>
      <c r="B2616" s="137" t="s">
        <v>130</v>
      </c>
      <c r="C2616" s="137" t="s">
        <v>4930</v>
      </c>
      <c r="D2616" s="338">
        <v>6358</v>
      </c>
      <c r="E2616" s="137">
        <v>2899</v>
      </c>
      <c r="F2616" s="137">
        <v>259</v>
      </c>
    </row>
    <row r="2617" spans="1:6" x14ac:dyDescent="0.25">
      <c r="A2617" s="137" t="s">
        <v>16287</v>
      </c>
      <c r="B2617" s="137" t="s">
        <v>130</v>
      </c>
      <c r="C2617" s="137" t="s">
        <v>5475</v>
      </c>
      <c r="D2617" s="338">
        <v>8673</v>
      </c>
      <c r="E2617" s="137">
        <v>2549</v>
      </c>
      <c r="F2617" s="137">
        <v>1229</v>
      </c>
    </row>
    <row r="2618" spans="1:6" x14ac:dyDescent="0.25">
      <c r="A2618" s="137" t="s">
        <v>16444</v>
      </c>
      <c r="B2618" s="137" t="s">
        <v>130</v>
      </c>
      <c r="C2618" s="137" t="s">
        <v>55</v>
      </c>
      <c r="D2618" s="338">
        <v>7142</v>
      </c>
      <c r="E2618" s="137">
        <v>3280</v>
      </c>
      <c r="F2618" s="137">
        <v>640</v>
      </c>
    </row>
    <row r="2619" spans="1:6" x14ac:dyDescent="0.25">
      <c r="A2619" s="137" t="s">
        <v>16179</v>
      </c>
      <c r="B2619" s="137" t="s">
        <v>130</v>
      </c>
      <c r="C2619" s="137" t="s">
        <v>2946</v>
      </c>
      <c r="D2619" s="338">
        <v>10041</v>
      </c>
      <c r="E2619" s="137">
        <v>3131</v>
      </c>
      <c r="F2619" s="137">
        <v>491</v>
      </c>
    </row>
    <row r="2620" spans="1:6" x14ac:dyDescent="0.25">
      <c r="A2620" s="137" t="s">
        <v>16190</v>
      </c>
      <c r="B2620" s="137" t="s">
        <v>130</v>
      </c>
      <c r="C2620" s="137" t="s">
        <v>673</v>
      </c>
      <c r="D2620" s="338">
        <v>9892</v>
      </c>
      <c r="E2620" s="137">
        <v>2716</v>
      </c>
      <c r="F2620" s="137">
        <v>76</v>
      </c>
    </row>
    <row r="2621" spans="1:6" x14ac:dyDescent="0.25">
      <c r="A2621" s="137" t="s">
        <v>16198</v>
      </c>
      <c r="B2621" s="137" t="s">
        <v>130</v>
      </c>
      <c r="C2621" s="137" t="s">
        <v>50</v>
      </c>
      <c r="D2621" s="338">
        <v>9741</v>
      </c>
      <c r="E2621" s="137">
        <v>3738</v>
      </c>
      <c r="F2621" s="137">
        <v>1098</v>
      </c>
    </row>
    <row r="2622" spans="1:6" x14ac:dyDescent="0.25">
      <c r="A2622" s="137" t="s">
        <v>16200</v>
      </c>
      <c r="B2622" s="137" t="s">
        <v>130</v>
      </c>
      <c r="C2622" s="137" t="s">
        <v>4211</v>
      </c>
      <c r="D2622" s="338">
        <v>9686</v>
      </c>
      <c r="E2622" s="137">
        <v>4257</v>
      </c>
      <c r="F2622" s="137">
        <v>297</v>
      </c>
    </row>
    <row r="2623" spans="1:6" x14ac:dyDescent="0.25">
      <c r="A2623" s="137" t="s">
        <v>16262</v>
      </c>
      <c r="B2623" s="137" t="s">
        <v>130</v>
      </c>
      <c r="C2623" s="137" t="s">
        <v>2665</v>
      </c>
      <c r="D2623" s="338">
        <v>8997</v>
      </c>
      <c r="E2623" s="137">
        <v>2889</v>
      </c>
      <c r="F2623" s="137">
        <v>249</v>
      </c>
    </row>
    <row r="2624" spans="1:6" x14ac:dyDescent="0.25">
      <c r="A2624" s="137" t="s">
        <v>16010</v>
      </c>
      <c r="B2624" s="137" t="s">
        <v>130</v>
      </c>
      <c r="C2624" s="137" t="s">
        <v>5647</v>
      </c>
      <c r="D2624" s="338">
        <v>12197</v>
      </c>
      <c r="E2624" s="137">
        <v>3092</v>
      </c>
      <c r="F2624" s="137">
        <v>452</v>
      </c>
    </row>
    <row r="2625" spans="1:6" x14ac:dyDescent="0.25">
      <c r="A2625" s="137" t="s">
        <v>16786</v>
      </c>
      <c r="B2625" s="137" t="s">
        <v>130</v>
      </c>
      <c r="C2625" s="137" t="s">
        <v>47</v>
      </c>
      <c r="D2625" s="338">
        <v>1723</v>
      </c>
      <c r="E2625" s="137">
        <v>3445</v>
      </c>
      <c r="F2625" s="137">
        <v>805</v>
      </c>
    </row>
    <row r="2626" spans="1:6" x14ac:dyDescent="0.25">
      <c r="A2626" s="137" t="s">
        <v>16574</v>
      </c>
      <c r="B2626" s="137" t="s">
        <v>130</v>
      </c>
      <c r="C2626" s="137" t="s">
        <v>44</v>
      </c>
      <c r="D2626" s="338">
        <v>5266</v>
      </c>
      <c r="E2626" s="137">
        <v>4188</v>
      </c>
      <c r="F2626" s="137">
        <v>228</v>
      </c>
    </row>
    <row r="2627" spans="1:6" x14ac:dyDescent="0.25">
      <c r="A2627" s="137" t="s">
        <v>16643</v>
      </c>
      <c r="B2627" s="137" t="s">
        <v>130</v>
      </c>
      <c r="C2627" s="137" t="s">
        <v>4677</v>
      </c>
      <c r="D2627" s="338">
        <v>3653</v>
      </c>
      <c r="E2627" s="137">
        <v>3837</v>
      </c>
      <c r="F2627" s="137">
        <v>1197</v>
      </c>
    </row>
    <row r="2628" spans="1:6" x14ac:dyDescent="0.25">
      <c r="A2628" s="137" t="s">
        <v>16290</v>
      </c>
      <c r="B2628" s="137" t="s">
        <v>130</v>
      </c>
      <c r="C2628" s="137" t="s">
        <v>5295</v>
      </c>
      <c r="D2628" s="338">
        <v>8637</v>
      </c>
      <c r="E2628" s="137">
        <v>3713</v>
      </c>
      <c r="F2628" s="137">
        <v>1073</v>
      </c>
    </row>
    <row r="2629" spans="1:6" x14ac:dyDescent="0.25">
      <c r="A2629" s="137" t="s">
        <v>16417</v>
      </c>
      <c r="B2629" s="137" t="s">
        <v>130</v>
      </c>
      <c r="C2629" s="137" t="s">
        <v>5631</v>
      </c>
      <c r="D2629" s="338">
        <v>7358</v>
      </c>
      <c r="E2629" s="137">
        <v>3095</v>
      </c>
      <c r="F2629" s="137">
        <v>455</v>
      </c>
    </row>
    <row r="2630" spans="1:6" x14ac:dyDescent="0.25">
      <c r="A2630" s="137" t="s">
        <v>16597</v>
      </c>
      <c r="B2630" s="137" t="s">
        <v>130</v>
      </c>
      <c r="C2630" s="137" t="s">
        <v>3628</v>
      </c>
      <c r="D2630" s="338">
        <v>4583</v>
      </c>
      <c r="E2630" s="137">
        <v>3853</v>
      </c>
      <c r="F2630" s="137">
        <v>1213</v>
      </c>
    </row>
    <row r="2631" spans="1:6" x14ac:dyDescent="0.25">
      <c r="A2631" s="137" t="s">
        <v>16235</v>
      </c>
      <c r="B2631" s="137" t="s">
        <v>130</v>
      </c>
      <c r="C2631" s="137" t="s">
        <v>651</v>
      </c>
      <c r="D2631" s="338">
        <v>9325</v>
      </c>
      <c r="E2631" s="137">
        <v>3678</v>
      </c>
      <c r="F2631" s="137">
        <v>1038</v>
      </c>
    </row>
    <row r="2632" spans="1:6" x14ac:dyDescent="0.25">
      <c r="A2632" s="137" t="s">
        <v>16584</v>
      </c>
      <c r="B2632" s="137" t="s">
        <v>130</v>
      </c>
      <c r="C2632" s="137" t="s">
        <v>37</v>
      </c>
      <c r="D2632" s="338">
        <v>5030</v>
      </c>
      <c r="E2632" s="137">
        <v>3878</v>
      </c>
      <c r="F2632" s="137">
        <v>1238</v>
      </c>
    </row>
    <row r="2633" spans="1:6" x14ac:dyDescent="0.25">
      <c r="A2633" s="137" t="s">
        <v>16689</v>
      </c>
      <c r="B2633" s="137" t="s">
        <v>130</v>
      </c>
      <c r="C2633" s="137" t="s">
        <v>34</v>
      </c>
      <c r="D2633" s="338">
        <v>2430</v>
      </c>
      <c r="E2633" s="137">
        <v>3722</v>
      </c>
      <c r="F2633" s="137">
        <v>1082</v>
      </c>
    </row>
    <row r="2634" spans="1:6" x14ac:dyDescent="0.25">
      <c r="A2634" s="137" t="s">
        <v>15999</v>
      </c>
      <c r="B2634" s="137" t="s">
        <v>130</v>
      </c>
      <c r="C2634" s="137" t="s">
        <v>1851</v>
      </c>
      <c r="D2634" s="338">
        <v>12416</v>
      </c>
      <c r="E2634" s="137">
        <v>3467</v>
      </c>
      <c r="F2634" s="137">
        <v>827</v>
      </c>
    </row>
    <row r="2635" spans="1:6" x14ac:dyDescent="0.25">
      <c r="A2635" s="137" t="s">
        <v>16239</v>
      </c>
      <c r="B2635" s="137" t="s">
        <v>130</v>
      </c>
      <c r="C2635" s="137" t="s">
        <v>2490</v>
      </c>
      <c r="D2635" s="338">
        <v>9287</v>
      </c>
      <c r="E2635" s="137">
        <v>3946</v>
      </c>
      <c r="F2635" s="137">
        <v>1306</v>
      </c>
    </row>
    <row r="2636" spans="1:6" x14ac:dyDescent="0.25">
      <c r="A2636" s="137" t="s">
        <v>16360</v>
      </c>
      <c r="B2636" s="137" t="s">
        <v>130</v>
      </c>
      <c r="C2636" s="137" t="s">
        <v>5473</v>
      </c>
      <c r="D2636" s="338">
        <v>7884</v>
      </c>
      <c r="E2636" s="137">
        <v>2782</v>
      </c>
      <c r="F2636" s="137">
        <v>142</v>
      </c>
    </row>
    <row r="2637" spans="1:6" x14ac:dyDescent="0.25">
      <c r="A2637" s="137" t="s">
        <v>16074</v>
      </c>
      <c r="B2637" s="137" t="s">
        <v>130</v>
      </c>
      <c r="C2637" s="137" t="s">
        <v>1598</v>
      </c>
      <c r="D2637" s="338">
        <v>11223</v>
      </c>
      <c r="E2637" s="137">
        <v>3979</v>
      </c>
      <c r="F2637" s="137">
        <v>19</v>
      </c>
    </row>
    <row r="2638" spans="1:6" x14ac:dyDescent="0.25">
      <c r="A2638" s="137" t="s">
        <v>16402</v>
      </c>
      <c r="B2638" s="137" t="s">
        <v>130</v>
      </c>
      <c r="C2638" s="137" t="s">
        <v>27</v>
      </c>
      <c r="D2638" s="338">
        <v>7454</v>
      </c>
      <c r="E2638" s="137">
        <v>3277</v>
      </c>
      <c r="F2638" s="137">
        <v>637</v>
      </c>
    </row>
    <row r="2639" spans="1:6" x14ac:dyDescent="0.25">
      <c r="A2639" s="137" t="s">
        <v>16063</v>
      </c>
      <c r="B2639" s="137" t="s">
        <v>130</v>
      </c>
      <c r="C2639" s="137" t="s">
        <v>1393</v>
      </c>
      <c r="D2639" s="338">
        <v>11387</v>
      </c>
      <c r="E2639" s="137">
        <v>3511</v>
      </c>
      <c r="F2639" s="137">
        <v>871</v>
      </c>
    </row>
    <row r="2640" spans="1:6" x14ac:dyDescent="0.25">
      <c r="A2640" s="137" t="s">
        <v>16555</v>
      </c>
      <c r="B2640" s="137" t="s">
        <v>130</v>
      </c>
      <c r="C2640" s="137" t="s">
        <v>5511</v>
      </c>
      <c r="D2640" s="338">
        <v>5818</v>
      </c>
      <c r="E2640" s="137">
        <v>3785</v>
      </c>
      <c r="F2640" s="137">
        <v>1145</v>
      </c>
    </row>
    <row r="2641" spans="1:6" x14ac:dyDescent="0.25">
      <c r="A2641" s="137" t="s">
        <v>16018</v>
      </c>
      <c r="B2641" s="137" t="s">
        <v>130</v>
      </c>
      <c r="C2641" s="137" t="s">
        <v>3371</v>
      </c>
      <c r="D2641" s="338">
        <v>12133</v>
      </c>
      <c r="E2641" s="137">
        <v>4341</v>
      </c>
      <c r="F2641" s="137">
        <v>381</v>
      </c>
    </row>
    <row r="2642" spans="1:6" x14ac:dyDescent="0.25">
      <c r="A2642" s="137" t="s">
        <v>15984</v>
      </c>
      <c r="B2642" s="137" t="s">
        <v>130</v>
      </c>
      <c r="C2642" s="137" t="s">
        <v>4729</v>
      </c>
      <c r="D2642" s="338">
        <v>12756</v>
      </c>
      <c r="E2642" s="137">
        <v>3446</v>
      </c>
      <c r="F2642" s="137">
        <v>806</v>
      </c>
    </row>
    <row r="2643" spans="1:6" x14ac:dyDescent="0.25">
      <c r="A2643" s="137" t="s">
        <v>16677</v>
      </c>
      <c r="B2643" s="137" t="s">
        <v>130</v>
      </c>
      <c r="C2643" s="137" t="s">
        <v>3996</v>
      </c>
      <c r="D2643" s="338">
        <v>2801</v>
      </c>
      <c r="E2643" s="137">
        <v>4405</v>
      </c>
      <c r="F2643" s="137">
        <v>445</v>
      </c>
    </row>
    <row r="2644" spans="1:6" x14ac:dyDescent="0.25">
      <c r="A2644" s="137" t="s">
        <v>16622</v>
      </c>
      <c r="B2644" s="137" t="s">
        <v>130</v>
      </c>
      <c r="C2644" s="137" t="s">
        <v>24</v>
      </c>
      <c r="D2644" s="338">
        <v>4050</v>
      </c>
      <c r="E2644" s="137">
        <v>4222</v>
      </c>
      <c r="F2644" s="137">
        <v>262</v>
      </c>
    </row>
    <row r="2645" spans="1:6" x14ac:dyDescent="0.25">
      <c r="A2645" s="137" t="s">
        <v>16766</v>
      </c>
      <c r="B2645" s="137" t="s">
        <v>130</v>
      </c>
      <c r="C2645" s="137" t="s">
        <v>21</v>
      </c>
      <c r="D2645" s="338">
        <v>1341</v>
      </c>
      <c r="E2645" s="137">
        <v>3136</v>
      </c>
      <c r="F2645" s="137">
        <v>496</v>
      </c>
    </row>
    <row r="2646" spans="1:6" x14ac:dyDescent="0.25">
      <c r="A2646" s="137" t="s">
        <v>16216</v>
      </c>
      <c r="B2646" s="137" t="s">
        <v>130</v>
      </c>
      <c r="C2646" s="137" t="s">
        <v>1433</v>
      </c>
      <c r="D2646" s="338">
        <v>9507</v>
      </c>
      <c r="E2646" s="137">
        <v>2881</v>
      </c>
      <c r="F2646" s="137">
        <v>241</v>
      </c>
    </row>
    <row r="2647" spans="1:6" x14ac:dyDescent="0.25">
      <c r="A2647" s="137" t="s">
        <v>16471</v>
      </c>
      <c r="B2647" s="137" t="s">
        <v>130</v>
      </c>
      <c r="C2647" s="137" t="s">
        <v>5567</v>
      </c>
      <c r="D2647" s="338">
        <v>6945</v>
      </c>
      <c r="E2647" s="137">
        <v>3449</v>
      </c>
      <c r="F2647" s="137">
        <v>809</v>
      </c>
    </row>
    <row r="2648" spans="1:6" x14ac:dyDescent="0.25">
      <c r="A2648" s="137" t="s">
        <v>16003</v>
      </c>
      <c r="B2648" s="137" t="s">
        <v>130</v>
      </c>
      <c r="C2648" s="137" t="s">
        <v>4327</v>
      </c>
      <c r="D2648" s="338">
        <v>12345</v>
      </c>
      <c r="E2648" s="137">
        <v>4181</v>
      </c>
      <c r="F2648" s="137">
        <v>221</v>
      </c>
    </row>
    <row r="2649" spans="1:6" x14ac:dyDescent="0.25">
      <c r="A2649" s="137" t="s">
        <v>16753</v>
      </c>
      <c r="B2649" s="137" t="s">
        <v>130</v>
      </c>
      <c r="C2649" s="137" t="s">
        <v>18</v>
      </c>
      <c r="D2649" s="338">
        <v>1056</v>
      </c>
      <c r="E2649" s="137">
        <v>3716</v>
      </c>
      <c r="F2649" s="137">
        <v>1076</v>
      </c>
    </row>
    <row r="2650" spans="1:6" x14ac:dyDescent="0.25">
      <c r="A2650" s="137" t="s">
        <v>16744</v>
      </c>
      <c r="B2650" s="137" t="s">
        <v>130</v>
      </c>
      <c r="C2650" s="137" t="s">
        <v>15</v>
      </c>
      <c r="D2650" s="137">
        <v>933</v>
      </c>
      <c r="E2650" s="137">
        <v>3823</v>
      </c>
      <c r="F2650" s="137">
        <v>1183</v>
      </c>
    </row>
    <row r="2651" spans="1:6" x14ac:dyDescent="0.25">
      <c r="A2651" s="137" t="s">
        <v>16785</v>
      </c>
      <c r="B2651" s="137" t="s">
        <v>130</v>
      </c>
      <c r="C2651" s="137" t="s">
        <v>5597</v>
      </c>
      <c r="D2651" s="338">
        <v>1734</v>
      </c>
      <c r="E2651" s="137">
        <v>3901</v>
      </c>
      <c r="F2651" s="137">
        <v>1261</v>
      </c>
    </row>
    <row r="2652" spans="1:6" x14ac:dyDescent="0.25">
      <c r="A2652" s="137" t="s">
        <v>16293</v>
      </c>
      <c r="B2652" s="137" t="s">
        <v>130</v>
      </c>
      <c r="C2652" s="137" t="s">
        <v>5454</v>
      </c>
      <c r="D2652" s="338">
        <v>8574</v>
      </c>
      <c r="E2652" s="137">
        <v>2793</v>
      </c>
      <c r="F2652" s="137">
        <v>153</v>
      </c>
    </row>
    <row r="2653" spans="1:6" x14ac:dyDescent="0.25">
      <c r="A2653" s="137" t="s">
        <v>16127</v>
      </c>
      <c r="B2653" s="137" t="s">
        <v>130</v>
      </c>
      <c r="C2653" s="137" t="s">
        <v>4136</v>
      </c>
      <c r="D2653" s="338">
        <v>10613</v>
      </c>
      <c r="E2653" s="137">
        <v>2521</v>
      </c>
      <c r="F2653" s="137">
        <v>1201</v>
      </c>
    </row>
    <row r="2654" spans="1:6" x14ac:dyDescent="0.25">
      <c r="A2654" s="137" t="s">
        <v>16571</v>
      </c>
      <c r="B2654" s="137" t="s">
        <v>130</v>
      </c>
      <c r="C2654" s="137" t="s">
        <v>14211</v>
      </c>
      <c r="D2654" s="338">
        <v>5361</v>
      </c>
      <c r="E2654" s="137">
        <v>4137</v>
      </c>
      <c r="F2654" s="137">
        <v>-1143</v>
      </c>
    </row>
    <row r="2655" spans="1:6" x14ac:dyDescent="0.25">
      <c r="A2655" s="137" t="s">
        <v>16139</v>
      </c>
      <c r="B2655" s="137" t="s">
        <v>130</v>
      </c>
      <c r="C2655" s="137" t="s">
        <v>2061</v>
      </c>
      <c r="D2655" s="338">
        <v>10527</v>
      </c>
      <c r="E2655" s="137">
        <v>4217</v>
      </c>
      <c r="F2655" s="137">
        <v>257</v>
      </c>
    </row>
    <row r="2656" spans="1:6" x14ac:dyDescent="0.25">
      <c r="A2656" s="137" t="s">
        <v>16146</v>
      </c>
      <c r="B2656" s="137" t="s">
        <v>130</v>
      </c>
      <c r="C2656" s="137" t="s">
        <v>12</v>
      </c>
      <c r="D2656" s="338">
        <v>10443</v>
      </c>
      <c r="E2656" s="137">
        <v>2953</v>
      </c>
      <c r="F2656" s="137">
        <v>313</v>
      </c>
    </row>
    <row r="2657" spans="1:6" x14ac:dyDescent="0.25">
      <c r="A2657" s="137" t="s">
        <v>16174</v>
      </c>
      <c r="B2657" s="137" t="s">
        <v>130</v>
      </c>
      <c r="C2657" s="137" t="s">
        <v>3652</v>
      </c>
      <c r="D2657" s="338">
        <v>10081</v>
      </c>
      <c r="E2657" s="137">
        <v>2472</v>
      </c>
      <c r="F2657" s="137">
        <v>1152</v>
      </c>
    </row>
    <row r="2658" spans="1:6" x14ac:dyDescent="0.25">
      <c r="A2658" s="137" t="s">
        <v>16144</v>
      </c>
      <c r="B2658" s="137" t="s">
        <v>130</v>
      </c>
      <c r="C2658" s="137" t="s">
        <v>9</v>
      </c>
      <c r="D2658" s="338">
        <v>10449</v>
      </c>
      <c r="E2658" s="137">
        <v>3355</v>
      </c>
      <c r="F2658" s="137">
        <v>-605</v>
      </c>
    </row>
    <row r="2659" spans="1:6" x14ac:dyDescent="0.25">
      <c r="A2659" s="137" t="s">
        <v>16170</v>
      </c>
      <c r="B2659" s="137" t="s">
        <v>130</v>
      </c>
      <c r="C2659" s="137" t="s">
        <v>2974</v>
      </c>
      <c r="D2659" s="338">
        <v>10115</v>
      </c>
      <c r="E2659" s="137">
        <v>2308</v>
      </c>
      <c r="F2659" s="137">
        <v>988</v>
      </c>
    </row>
    <row r="2660" spans="1:6" x14ac:dyDescent="0.25">
      <c r="A2660" s="137" t="s">
        <v>16297</v>
      </c>
      <c r="B2660" s="137" t="s">
        <v>130</v>
      </c>
      <c r="C2660" s="137" t="s">
        <v>483</v>
      </c>
      <c r="D2660" s="338">
        <v>8494</v>
      </c>
      <c r="E2660" s="137">
        <v>3095</v>
      </c>
      <c r="F2660" s="137">
        <v>455</v>
      </c>
    </row>
    <row r="2661" spans="1:6" x14ac:dyDescent="0.25">
      <c r="A2661" s="137" t="s">
        <v>16222</v>
      </c>
      <c r="B2661" s="137" t="s">
        <v>130</v>
      </c>
      <c r="C2661" s="137" t="s">
        <v>5240</v>
      </c>
      <c r="D2661" s="338">
        <v>9479</v>
      </c>
      <c r="E2661" s="137">
        <v>2688</v>
      </c>
      <c r="F2661" s="137">
        <v>48</v>
      </c>
    </row>
    <row r="2662" spans="1:6" x14ac:dyDescent="0.25">
      <c r="A2662" s="137" t="s">
        <v>16279</v>
      </c>
      <c r="B2662" s="137" t="s">
        <v>130</v>
      </c>
      <c r="C2662" s="137" t="s">
        <v>5613</v>
      </c>
      <c r="D2662" s="338">
        <v>8751</v>
      </c>
      <c r="E2662" s="137">
        <v>2978</v>
      </c>
      <c r="F2662" s="137">
        <v>338</v>
      </c>
    </row>
    <row r="2663" spans="1:6" x14ac:dyDescent="0.25">
      <c r="A2663" s="137" t="s">
        <v>16133</v>
      </c>
      <c r="B2663" s="137" t="s">
        <v>130</v>
      </c>
      <c r="C2663" s="137" t="s">
        <v>5721</v>
      </c>
      <c r="D2663" s="338">
        <v>10563</v>
      </c>
      <c r="E2663" s="137">
        <v>3678</v>
      </c>
      <c r="F2663" s="137">
        <v>1038</v>
      </c>
    </row>
    <row r="2664" spans="1:6" x14ac:dyDescent="0.25">
      <c r="A2664" s="137" t="s">
        <v>16384</v>
      </c>
      <c r="B2664" s="137" t="s">
        <v>130</v>
      </c>
      <c r="C2664" s="137" t="s">
        <v>5025</v>
      </c>
      <c r="D2664" s="338">
        <v>7638</v>
      </c>
      <c r="E2664" s="137">
        <v>3094</v>
      </c>
      <c r="F2664" s="137">
        <v>454</v>
      </c>
    </row>
    <row r="2665" spans="1:6" x14ac:dyDescent="0.25">
      <c r="A2665" s="137" t="s">
        <v>16029</v>
      </c>
      <c r="B2665" s="137" t="s">
        <v>130</v>
      </c>
      <c r="C2665" s="137" t="s">
        <v>3972</v>
      </c>
      <c r="D2665" s="338">
        <v>11919</v>
      </c>
      <c r="E2665" s="137">
        <v>3041</v>
      </c>
      <c r="F2665" s="137">
        <v>401</v>
      </c>
    </row>
    <row r="2666" spans="1:6" x14ac:dyDescent="0.25">
      <c r="A2666" s="137" t="s">
        <v>16560</v>
      </c>
      <c r="B2666" s="137" t="s">
        <v>130</v>
      </c>
      <c r="C2666" s="137" t="s">
        <v>14216</v>
      </c>
      <c r="D2666" s="338">
        <v>5768</v>
      </c>
      <c r="E2666" s="137">
        <v>3203</v>
      </c>
      <c r="F2666" s="137">
        <v>563</v>
      </c>
    </row>
    <row r="2667" spans="1:6" x14ac:dyDescent="0.25">
      <c r="A2667" s="137" t="s">
        <v>16350</v>
      </c>
      <c r="B2667" s="137" t="s">
        <v>130</v>
      </c>
      <c r="C2667" s="137" t="s">
        <v>6</v>
      </c>
      <c r="D2667" s="338">
        <v>7972</v>
      </c>
      <c r="E2667" s="137">
        <v>2942</v>
      </c>
      <c r="F2667" s="137">
        <v>302</v>
      </c>
    </row>
    <row r="2668" spans="1:6" x14ac:dyDescent="0.25">
      <c r="A2668" s="137" t="s">
        <v>16674</v>
      </c>
      <c r="B2668" s="137" t="s">
        <v>130</v>
      </c>
      <c r="C2668" s="137" t="s">
        <v>3</v>
      </c>
      <c r="D2668" s="338">
        <v>2847</v>
      </c>
      <c r="E2668" s="137">
        <v>4520</v>
      </c>
      <c r="F2668" s="137">
        <v>560</v>
      </c>
    </row>
    <row r="2669" spans="1:6" x14ac:dyDescent="0.25">
      <c r="A2669" s="137" t="s">
        <v>19781</v>
      </c>
      <c r="B2669" s="137" t="s">
        <v>71</v>
      </c>
      <c r="C2669" s="137" t="s">
        <v>5443</v>
      </c>
      <c r="D2669" s="338">
        <v>15044</v>
      </c>
      <c r="E2669" s="137">
        <v>2510</v>
      </c>
      <c r="F2669" s="137">
        <v>610</v>
      </c>
    </row>
    <row r="2670" spans="1:6" x14ac:dyDescent="0.25">
      <c r="A2670" s="137" t="s">
        <v>19425</v>
      </c>
      <c r="B2670" s="137" t="s">
        <v>71</v>
      </c>
      <c r="C2670" s="137" t="s">
        <v>457</v>
      </c>
      <c r="D2670" s="338">
        <v>12626</v>
      </c>
      <c r="E2670" s="137">
        <v>4920</v>
      </c>
      <c r="F2670" s="137">
        <v>170</v>
      </c>
    </row>
    <row r="2671" spans="1:6" x14ac:dyDescent="0.25">
      <c r="A2671" s="137" t="s">
        <v>19381</v>
      </c>
      <c r="B2671" s="137" t="s">
        <v>71</v>
      </c>
      <c r="C2671" s="137" t="s">
        <v>3950</v>
      </c>
      <c r="D2671" s="338">
        <v>12282</v>
      </c>
      <c r="E2671" s="137">
        <v>3435</v>
      </c>
      <c r="F2671" s="137">
        <v>585</v>
      </c>
    </row>
    <row r="2672" spans="1:6" x14ac:dyDescent="0.25">
      <c r="A2672" s="137" t="s">
        <v>19650</v>
      </c>
      <c r="B2672" s="137" t="s">
        <v>71</v>
      </c>
      <c r="C2672" s="137" t="s">
        <v>4828</v>
      </c>
      <c r="D2672" s="338">
        <v>14127</v>
      </c>
      <c r="E2672" s="137">
        <v>2070</v>
      </c>
      <c r="F2672" s="137">
        <v>170</v>
      </c>
    </row>
    <row r="2673" spans="1:6" x14ac:dyDescent="0.25">
      <c r="A2673" s="137" t="s">
        <v>19451</v>
      </c>
      <c r="B2673" s="137" t="s">
        <v>71</v>
      </c>
      <c r="C2673" s="137" t="s">
        <v>454</v>
      </c>
      <c r="D2673" s="338">
        <v>12808</v>
      </c>
      <c r="E2673" s="137">
        <v>3276</v>
      </c>
      <c r="F2673" s="137">
        <v>426</v>
      </c>
    </row>
    <row r="2674" spans="1:6" x14ac:dyDescent="0.25">
      <c r="A2674" s="137" t="s">
        <v>19006</v>
      </c>
      <c r="B2674" s="137" t="s">
        <v>71</v>
      </c>
      <c r="C2674" s="137" t="s">
        <v>452</v>
      </c>
      <c r="D2674" s="338">
        <v>2160</v>
      </c>
      <c r="E2674" s="137">
        <v>2752</v>
      </c>
      <c r="F2674" s="137">
        <v>852</v>
      </c>
    </row>
    <row r="2675" spans="1:6" x14ac:dyDescent="0.25">
      <c r="A2675" s="137" t="s">
        <v>19504</v>
      </c>
      <c r="B2675" s="137" t="s">
        <v>71</v>
      </c>
      <c r="C2675" s="137" t="s">
        <v>3365</v>
      </c>
      <c r="D2675" s="338">
        <v>13100</v>
      </c>
      <c r="E2675" s="137">
        <v>2646</v>
      </c>
      <c r="F2675" s="137">
        <v>746</v>
      </c>
    </row>
    <row r="2676" spans="1:6" x14ac:dyDescent="0.25">
      <c r="A2676" s="137" t="s">
        <v>19302</v>
      </c>
      <c r="B2676" s="137" t="s">
        <v>71</v>
      </c>
      <c r="C2676" s="137" t="s">
        <v>5253</v>
      </c>
      <c r="D2676" s="338">
        <v>11413</v>
      </c>
      <c r="E2676" s="137">
        <v>3260</v>
      </c>
      <c r="F2676" s="137">
        <v>410</v>
      </c>
    </row>
    <row r="2677" spans="1:6" x14ac:dyDescent="0.25">
      <c r="A2677" s="137" t="s">
        <v>19648</v>
      </c>
      <c r="B2677" s="137" t="s">
        <v>71</v>
      </c>
      <c r="C2677" s="137" t="s">
        <v>4814</v>
      </c>
      <c r="D2677" s="338">
        <v>14123</v>
      </c>
      <c r="E2677" s="137">
        <v>2365</v>
      </c>
      <c r="F2677" s="137">
        <v>465</v>
      </c>
    </row>
    <row r="2678" spans="1:6" x14ac:dyDescent="0.25">
      <c r="A2678" s="137" t="s">
        <v>19246</v>
      </c>
      <c r="B2678" s="137" t="s">
        <v>71</v>
      </c>
      <c r="C2678" s="137" t="s">
        <v>448</v>
      </c>
      <c r="D2678" s="338">
        <v>10439</v>
      </c>
      <c r="E2678" s="137">
        <v>3809</v>
      </c>
      <c r="F2678" s="137">
        <v>9</v>
      </c>
    </row>
    <row r="2679" spans="1:6" x14ac:dyDescent="0.25">
      <c r="A2679" s="137" t="s">
        <v>19634</v>
      </c>
      <c r="B2679" s="137" t="s">
        <v>71</v>
      </c>
      <c r="C2679" s="137" t="s">
        <v>5317</v>
      </c>
      <c r="D2679" s="338">
        <v>14062</v>
      </c>
      <c r="E2679" s="137">
        <v>2442</v>
      </c>
      <c r="F2679" s="137">
        <v>542</v>
      </c>
    </row>
    <row r="2680" spans="1:6" x14ac:dyDescent="0.25">
      <c r="A2680" s="137" t="s">
        <v>19016</v>
      </c>
      <c r="B2680" s="137" t="s">
        <v>71</v>
      </c>
      <c r="C2680" s="137" t="s">
        <v>3708</v>
      </c>
      <c r="D2680" s="338">
        <v>4326</v>
      </c>
      <c r="E2680" s="137">
        <v>2650</v>
      </c>
      <c r="F2680" s="137">
        <v>2650</v>
      </c>
    </row>
    <row r="2681" spans="1:6" x14ac:dyDescent="0.25">
      <c r="A2681" s="137" t="s">
        <v>19454</v>
      </c>
      <c r="B2681" s="137" t="s">
        <v>71</v>
      </c>
      <c r="C2681" s="137" t="s">
        <v>4941</v>
      </c>
      <c r="D2681" s="338">
        <v>12824</v>
      </c>
      <c r="E2681" s="137">
        <v>3084</v>
      </c>
      <c r="F2681" s="137">
        <v>234</v>
      </c>
    </row>
    <row r="2682" spans="1:6" x14ac:dyDescent="0.25">
      <c r="A2682" s="137" t="s">
        <v>19399</v>
      </c>
      <c r="B2682" s="137" t="s">
        <v>71</v>
      </c>
      <c r="C2682" s="137" t="s">
        <v>4499</v>
      </c>
      <c r="D2682" s="338">
        <v>12465</v>
      </c>
      <c r="E2682" s="137">
        <v>3172</v>
      </c>
      <c r="F2682" s="137">
        <v>-2528</v>
      </c>
    </row>
    <row r="2683" spans="1:6" x14ac:dyDescent="0.25">
      <c r="A2683" s="137" t="s">
        <v>19483</v>
      </c>
      <c r="B2683" s="137" t="s">
        <v>71</v>
      </c>
      <c r="C2683" s="137" t="s">
        <v>10817</v>
      </c>
      <c r="D2683" s="338">
        <v>12988</v>
      </c>
      <c r="E2683" s="137">
        <v>3717</v>
      </c>
      <c r="F2683" s="137">
        <v>867</v>
      </c>
    </row>
    <row r="2684" spans="1:6" x14ac:dyDescent="0.25">
      <c r="A2684" s="137" t="s">
        <v>19444</v>
      </c>
      <c r="B2684" s="137" t="s">
        <v>71</v>
      </c>
      <c r="C2684" s="137" t="s">
        <v>443</v>
      </c>
      <c r="D2684" s="338">
        <v>12773</v>
      </c>
      <c r="E2684" s="137">
        <v>2807</v>
      </c>
      <c r="F2684" s="137">
        <v>907</v>
      </c>
    </row>
    <row r="2685" spans="1:6" x14ac:dyDescent="0.25">
      <c r="A2685" s="137" t="s">
        <v>19627</v>
      </c>
      <c r="B2685" s="137" t="s">
        <v>71</v>
      </c>
      <c r="C2685" s="137" t="s">
        <v>4640</v>
      </c>
      <c r="D2685" s="338">
        <v>14007</v>
      </c>
      <c r="E2685" s="137">
        <v>2298</v>
      </c>
      <c r="F2685" s="137">
        <v>398</v>
      </c>
    </row>
    <row r="2686" spans="1:6" x14ac:dyDescent="0.25">
      <c r="A2686" s="137" t="s">
        <v>19480</v>
      </c>
      <c r="B2686" s="137" t="s">
        <v>71</v>
      </c>
      <c r="C2686" s="137" t="s">
        <v>4945</v>
      </c>
      <c r="D2686" s="338">
        <v>12975</v>
      </c>
      <c r="E2686" s="137">
        <v>3094</v>
      </c>
      <c r="F2686" s="137">
        <v>244</v>
      </c>
    </row>
    <row r="2687" spans="1:6" x14ac:dyDescent="0.25">
      <c r="A2687" s="137" t="s">
        <v>19763</v>
      </c>
      <c r="B2687" s="137" t="s">
        <v>71</v>
      </c>
      <c r="C2687" s="137" t="s">
        <v>5768</v>
      </c>
      <c r="D2687" s="338">
        <v>14947</v>
      </c>
      <c r="E2687" s="137">
        <v>1920</v>
      </c>
      <c r="F2687" s="137">
        <v>20</v>
      </c>
    </row>
    <row r="2688" spans="1:6" x14ac:dyDescent="0.25">
      <c r="A2688" s="137" t="s">
        <v>19355</v>
      </c>
      <c r="B2688" s="137" t="s">
        <v>71</v>
      </c>
      <c r="C2688" s="137" t="s">
        <v>435</v>
      </c>
      <c r="D2688" s="338">
        <v>12064</v>
      </c>
      <c r="E2688" s="137">
        <v>2908</v>
      </c>
      <c r="F2688" s="137">
        <v>58</v>
      </c>
    </row>
    <row r="2689" spans="1:6" x14ac:dyDescent="0.25">
      <c r="A2689" s="137" t="s">
        <v>19412</v>
      </c>
      <c r="B2689" s="137" t="s">
        <v>71</v>
      </c>
      <c r="C2689" s="137" t="s">
        <v>3941</v>
      </c>
      <c r="D2689" s="338">
        <v>12537</v>
      </c>
      <c r="E2689" s="137">
        <v>4004</v>
      </c>
      <c r="F2689" s="137">
        <v>204</v>
      </c>
    </row>
    <row r="2690" spans="1:6" x14ac:dyDescent="0.25">
      <c r="A2690" s="137" t="s">
        <v>19471</v>
      </c>
      <c r="B2690" s="137" t="s">
        <v>71</v>
      </c>
      <c r="C2690" s="137" t="s">
        <v>4964</v>
      </c>
      <c r="D2690" s="338">
        <v>12933</v>
      </c>
      <c r="E2690" s="137">
        <v>3157</v>
      </c>
      <c r="F2690" s="137">
        <v>307</v>
      </c>
    </row>
    <row r="2691" spans="1:6" x14ac:dyDescent="0.25">
      <c r="A2691" s="137" t="s">
        <v>19721</v>
      </c>
      <c r="B2691" s="137" t="s">
        <v>71</v>
      </c>
      <c r="C2691" s="137" t="s">
        <v>5663</v>
      </c>
      <c r="D2691" s="338">
        <v>14696</v>
      </c>
      <c r="E2691" s="137">
        <v>2837</v>
      </c>
      <c r="F2691" s="137">
        <v>937</v>
      </c>
    </row>
    <row r="2692" spans="1:6" x14ac:dyDescent="0.25">
      <c r="A2692" s="137" t="s">
        <v>19367</v>
      </c>
      <c r="B2692" s="137" t="s">
        <v>71</v>
      </c>
      <c r="C2692" s="137" t="s">
        <v>433</v>
      </c>
      <c r="D2692" s="338">
        <v>12145</v>
      </c>
      <c r="E2692" s="137">
        <v>4256</v>
      </c>
      <c r="F2692" s="137">
        <v>456</v>
      </c>
    </row>
    <row r="2693" spans="1:6" x14ac:dyDescent="0.25">
      <c r="A2693" s="137" t="s">
        <v>19551</v>
      </c>
      <c r="B2693" s="137" t="s">
        <v>71</v>
      </c>
      <c r="C2693" s="137" t="s">
        <v>422</v>
      </c>
      <c r="D2693" s="338">
        <v>13409</v>
      </c>
      <c r="E2693" s="137">
        <v>3718</v>
      </c>
      <c r="F2693" s="137">
        <v>868</v>
      </c>
    </row>
    <row r="2694" spans="1:6" x14ac:dyDescent="0.25">
      <c r="A2694" s="137" t="s">
        <v>19256</v>
      </c>
      <c r="B2694" s="137" t="s">
        <v>71</v>
      </c>
      <c r="C2694" s="137" t="s">
        <v>5159</v>
      </c>
      <c r="D2694" s="338">
        <v>10701</v>
      </c>
      <c r="E2694" s="137">
        <v>3732</v>
      </c>
      <c r="F2694" s="137">
        <v>882</v>
      </c>
    </row>
    <row r="2695" spans="1:6" x14ac:dyDescent="0.25">
      <c r="A2695" s="137" t="s">
        <v>19359</v>
      </c>
      <c r="B2695" s="137" t="s">
        <v>71</v>
      </c>
      <c r="C2695" s="137" t="s">
        <v>3539</v>
      </c>
      <c r="D2695" s="338">
        <v>12089</v>
      </c>
      <c r="E2695" s="137">
        <v>2965</v>
      </c>
      <c r="F2695" s="137">
        <v>115</v>
      </c>
    </row>
    <row r="2696" spans="1:6" x14ac:dyDescent="0.25">
      <c r="A2696" s="137" t="s">
        <v>19271</v>
      </c>
      <c r="B2696" s="137" t="s">
        <v>71</v>
      </c>
      <c r="C2696" s="137" t="s">
        <v>419</v>
      </c>
      <c r="D2696" s="338">
        <v>10914</v>
      </c>
      <c r="E2696" s="137">
        <v>4333</v>
      </c>
      <c r="F2696" s="137">
        <v>533</v>
      </c>
    </row>
    <row r="2697" spans="1:6" x14ac:dyDescent="0.25">
      <c r="A2697" s="137" t="s">
        <v>19040</v>
      </c>
      <c r="B2697" s="137" t="s">
        <v>71</v>
      </c>
      <c r="C2697" s="137" t="s">
        <v>417</v>
      </c>
      <c r="D2697" s="338">
        <v>5772</v>
      </c>
      <c r="E2697" s="137">
        <v>2716</v>
      </c>
      <c r="F2697" s="137">
        <v>1766</v>
      </c>
    </row>
    <row r="2698" spans="1:6" x14ac:dyDescent="0.25">
      <c r="A2698" s="137" t="s">
        <v>19087</v>
      </c>
      <c r="B2698" s="137" t="s">
        <v>71</v>
      </c>
      <c r="C2698" s="137" t="s">
        <v>415</v>
      </c>
      <c r="D2698" s="338">
        <v>7516</v>
      </c>
      <c r="E2698" s="137">
        <v>3740</v>
      </c>
      <c r="F2698" s="137">
        <v>890</v>
      </c>
    </row>
    <row r="2699" spans="1:6" x14ac:dyDescent="0.25">
      <c r="A2699" s="137" t="s">
        <v>19211</v>
      </c>
      <c r="B2699" s="137" t="s">
        <v>71</v>
      </c>
      <c r="C2699" s="137" t="s">
        <v>414</v>
      </c>
      <c r="D2699" s="338">
        <v>9357</v>
      </c>
      <c r="E2699" s="137">
        <v>3814</v>
      </c>
      <c r="F2699" s="137">
        <v>14</v>
      </c>
    </row>
    <row r="2700" spans="1:6" x14ac:dyDescent="0.25">
      <c r="A2700" s="137" t="s">
        <v>18997</v>
      </c>
      <c r="B2700" s="137" t="s">
        <v>71</v>
      </c>
      <c r="C2700" s="137" t="s">
        <v>410</v>
      </c>
      <c r="D2700" s="137">
        <v>753</v>
      </c>
      <c r="E2700" s="137">
        <v>2390</v>
      </c>
      <c r="F2700" s="137">
        <v>-1410</v>
      </c>
    </row>
    <row r="2701" spans="1:6" x14ac:dyDescent="0.25">
      <c r="A2701" s="137" t="s">
        <v>19797</v>
      </c>
      <c r="B2701" s="137" t="s">
        <v>71</v>
      </c>
      <c r="C2701" s="137" t="s">
        <v>4975</v>
      </c>
      <c r="D2701" s="338">
        <v>15099</v>
      </c>
      <c r="E2701" s="137">
        <v>2039</v>
      </c>
      <c r="F2701" s="137">
        <v>139</v>
      </c>
    </row>
    <row r="2702" spans="1:6" x14ac:dyDescent="0.25">
      <c r="A2702" s="137" t="s">
        <v>19647</v>
      </c>
      <c r="B2702" s="137" t="s">
        <v>71</v>
      </c>
      <c r="C2702" s="137" t="s">
        <v>399</v>
      </c>
      <c r="D2702" s="338">
        <v>14121</v>
      </c>
      <c r="E2702" s="137">
        <v>2539</v>
      </c>
      <c r="F2702" s="137">
        <v>639</v>
      </c>
    </row>
    <row r="2703" spans="1:6" x14ac:dyDescent="0.25">
      <c r="A2703" s="137" t="s">
        <v>19484</v>
      </c>
      <c r="B2703" s="137" t="s">
        <v>71</v>
      </c>
      <c r="C2703" s="137" t="s">
        <v>3165</v>
      </c>
      <c r="D2703" s="338">
        <v>12990</v>
      </c>
      <c r="E2703" s="137">
        <v>3355</v>
      </c>
      <c r="F2703" s="137">
        <v>505</v>
      </c>
    </row>
    <row r="2704" spans="1:6" x14ac:dyDescent="0.25">
      <c r="A2704" s="137" t="s">
        <v>19045</v>
      </c>
      <c r="B2704" s="137" t="s">
        <v>71</v>
      </c>
      <c r="C2704" s="137" t="s">
        <v>395</v>
      </c>
      <c r="D2704" s="338">
        <v>6267</v>
      </c>
      <c r="E2704" s="137">
        <v>3023</v>
      </c>
      <c r="F2704" s="137">
        <v>173</v>
      </c>
    </row>
    <row r="2705" spans="1:6" x14ac:dyDescent="0.25">
      <c r="A2705" s="137" t="s">
        <v>19308</v>
      </c>
      <c r="B2705" s="137" t="s">
        <v>71</v>
      </c>
      <c r="C2705" s="137" t="s">
        <v>2533</v>
      </c>
      <c r="D2705" s="338">
        <v>11478</v>
      </c>
      <c r="E2705" s="137">
        <v>3362</v>
      </c>
      <c r="F2705" s="137">
        <v>512</v>
      </c>
    </row>
    <row r="2706" spans="1:6" x14ac:dyDescent="0.25">
      <c r="A2706" s="137" t="s">
        <v>19594</v>
      </c>
      <c r="B2706" s="137" t="s">
        <v>71</v>
      </c>
      <c r="C2706" s="137" t="s">
        <v>4548</v>
      </c>
      <c r="D2706" s="338">
        <v>13743</v>
      </c>
      <c r="E2706" s="137">
        <v>3490</v>
      </c>
      <c r="F2706" s="137">
        <v>640</v>
      </c>
    </row>
    <row r="2707" spans="1:6" x14ac:dyDescent="0.25">
      <c r="A2707" s="137" t="s">
        <v>19815</v>
      </c>
      <c r="B2707" s="137" t="s">
        <v>71</v>
      </c>
      <c r="C2707" s="137" t="s">
        <v>3121</v>
      </c>
      <c r="D2707" s="338">
        <v>13864</v>
      </c>
      <c r="E2707" s="137">
        <v>3409</v>
      </c>
      <c r="F2707" s="137">
        <v>3409</v>
      </c>
    </row>
    <row r="2708" spans="1:6" x14ac:dyDescent="0.25">
      <c r="A2708" s="137" t="s">
        <v>19686</v>
      </c>
      <c r="B2708" s="137" t="s">
        <v>71</v>
      </c>
      <c r="C2708" s="137" t="s">
        <v>388</v>
      </c>
      <c r="D2708" s="338">
        <v>14407</v>
      </c>
      <c r="E2708" s="137">
        <v>2884</v>
      </c>
      <c r="F2708" s="137">
        <v>34</v>
      </c>
    </row>
    <row r="2709" spans="1:6" x14ac:dyDescent="0.25">
      <c r="A2709" s="137" t="s">
        <v>19088</v>
      </c>
      <c r="B2709" s="137" t="s">
        <v>71</v>
      </c>
      <c r="C2709" s="137" t="s">
        <v>385</v>
      </c>
      <c r="D2709" s="338">
        <v>7531</v>
      </c>
      <c r="E2709" s="137">
        <v>3482</v>
      </c>
      <c r="F2709" s="137">
        <v>632</v>
      </c>
    </row>
    <row r="2710" spans="1:6" x14ac:dyDescent="0.25">
      <c r="A2710" s="137" t="s">
        <v>19500</v>
      </c>
      <c r="B2710" s="137" t="s">
        <v>71</v>
      </c>
      <c r="C2710" s="137" t="s">
        <v>4291</v>
      </c>
      <c r="D2710" s="338">
        <v>13070</v>
      </c>
      <c r="E2710" s="137">
        <v>3001</v>
      </c>
      <c r="F2710" s="137">
        <v>151</v>
      </c>
    </row>
    <row r="2711" spans="1:6" x14ac:dyDescent="0.25">
      <c r="A2711" s="137" t="s">
        <v>19195</v>
      </c>
      <c r="B2711" s="137" t="s">
        <v>71</v>
      </c>
      <c r="C2711" s="137" t="s">
        <v>378</v>
      </c>
      <c r="D2711" s="338">
        <v>9143</v>
      </c>
      <c r="E2711" s="137">
        <v>3784</v>
      </c>
      <c r="F2711" s="137">
        <v>934</v>
      </c>
    </row>
    <row r="2712" spans="1:6" x14ac:dyDescent="0.25">
      <c r="A2712" s="137" t="s">
        <v>19036</v>
      </c>
      <c r="B2712" s="137" t="s">
        <v>71</v>
      </c>
      <c r="C2712" s="137" t="s">
        <v>373</v>
      </c>
      <c r="D2712" s="338">
        <v>5699</v>
      </c>
      <c r="E2712" s="137">
        <v>3216</v>
      </c>
      <c r="F2712" s="137">
        <v>366</v>
      </c>
    </row>
    <row r="2713" spans="1:6" x14ac:dyDescent="0.25">
      <c r="A2713" s="137" t="s">
        <v>19124</v>
      </c>
      <c r="B2713" s="137" t="s">
        <v>71</v>
      </c>
      <c r="C2713" s="137" t="s">
        <v>371</v>
      </c>
      <c r="D2713" s="338">
        <v>8088</v>
      </c>
      <c r="E2713" s="137">
        <v>2476</v>
      </c>
      <c r="F2713" s="137">
        <v>576</v>
      </c>
    </row>
    <row r="2714" spans="1:6" x14ac:dyDescent="0.25">
      <c r="A2714" s="137" t="s">
        <v>19494</v>
      </c>
      <c r="B2714" s="137" t="s">
        <v>71</v>
      </c>
      <c r="C2714" s="137" t="s">
        <v>5438</v>
      </c>
      <c r="D2714" s="338">
        <v>13030</v>
      </c>
      <c r="E2714" s="137">
        <v>3206</v>
      </c>
      <c r="F2714" s="137">
        <v>356</v>
      </c>
    </row>
    <row r="2715" spans="1:6" x14ac:dyDescent="0.25">
      <c r="A2715" s="137" t="s">
        <v>19158</v>
      </c>
      <c r="B2715" s="137" t="s">
        <v>71</v>
      </c>
      <c r="C2715" s="137" t="s">
        <v>5489</v>
      </c>
      <c r="D2715" s="338">
        <v>8551</v>
      </c>
      <c r="E2715" s="137">
        <v>3006</v>
      </c>
      <c r="F2715" s="137">
        <v>156</v>
      </c>
    </row>
    <row r="2716" spans="1:6" x14ac:dyDescent="0.25">
      <c r="A2716" s="137" t="s">
        <v>19174</v>
      </c>
      <c r="B2716" s="137" t="s">
        <v>71</v>
      </c>
      <c r="C2716" s="137" t="s">
        <v>368</v>
      </c>
      <c r="D2716" s="338">
        <v>8858</v>
      </c>
      <c r="E2716" s="137">
        <v>3773</v>
      </c>
      <c r="F2716" s="137">
        <v>923</v>
      </c>
    </row>
    <row r="2717" spans="1:6" x14ac:dyDescent="0.25">
      <c r="A2717" s="137" t="s">
        <v>19189</v>
      </c>
      <c r="B2717" s="137" t="s">
        <v>71</v>
      </c>
      <c r="C2717" s="137" t="s">
        <v>366</v>
      </c>
      <c r="D2717" s="338">
        <v>9045</v>
      </c>
      <c r="E2717" s="137">
        <v>2848</v>
      </c>
      <c r="F2717" s="137">
        <v>948</v>
      </c>
    </row>
    <row r="2718" spans="1:6" x14ac:dyDescent="0.25">
      <c r="A2718" s="137" t="s">
        <v>19005</v>
      </c>
      <c r="B2718" s="137" t="s">
        <v>71</v>
      </c>
      <c r="C2718" s="137" t="s">
        <v>364</v>
      </c>
      <c r="D2718" s="338">
        <v>2126</v>
      </c>
      <c r="E2718" s="137">
        <v>2507</v>
      </c>
      <c r="F2718" s="137">
        <v>607</v>
      </c>
    </row>
    <row r="2719" spans="1:6" x14ac:dyDescent="0.25">
      <c r="A2719" s="137" t="s">
        <v>19397</v>
      </c>
      <c r="B2719" s="137" t="s">
        <v>71</v>
      </c>
      <c r="C2719" s="137" t="s">
        <v>3739</v>
      </c>
      <c r="D2719" s="338">
        <v>12444</v>
      </c>
      <c r="E2719" s="137">
        <v>2361</v>
      </c>
      <c r="F2719" s="137">
        <v>461</v>
      </c>
    </row>
    <row r="2720" spans="1:6" x14ac:dyDescent="0.25">
      <c r="A2720" s="137" t="s">
        <v>19151</v>
      </c>
      <c r="B2720" s="137" t="s">
        <v>71</v>
      </c>
      <c r="C2720" s="137" t="s">
        <v>361</v>
      </c>
      <c r="D2720" s="338">
        <v>8487</v>
      </c>
      <c r="E2720" s="137">
        <v>3153</v>
      </c>
      <c r="F2720" s="137">
        <v>303</v>
      </c>
    </row>
    <row r="2721" spans="1:6" x14ac:dyDescent="0.25">
      <c r="A2721" s="137" t="s">
        <v>19784</v>
      </c>
      <c r="B2721" s="137" t="s">
        <v>71</v>
      </c>
      <c r="C2721" s="137" t="s">
        <v>4408</v>
      </c>
      <c r="D2721" s="338">
        <v>15048</v>
      </c>
      <c r="E2721" s="137">
        <v>1963</v>
      </c>
      <c r="F2721" s="137">
        <v>63</v>
      </c>
    </row>
    <row r="2722" spans="1:6" x14ac:dyDescent="0.25">
      <c r="A2722" s="137" t="s">
        <v>19612</v>
      </c>
      <c r="B2722" s="137" t="s">
        <v>71</v>
      </c>
      <c r="C2722" s="137" t="s">
        <v>5485</v>
      </c>
      <c r="D2722" s="338">
        <v>13848</v>
      </c>
      <c r="E2722" s="137">
        <v>3226</v>
      </c>
      <c r="F2722" s="137">
        <v>376</v>
      </c>
    </row>
    <row r="2723" spans="1:6" x14ac:dyDescent="0.25">
      <c r="A2723" s="137" t="s">
        <v>19121</v>
      </c>
      <c r="B2723" s="137" t="s">
        <v>71</v>
      </c>
      <c r="C2723" s="137" t="s">
        <v>357</v>
      </c>
      <c r="D2723" s="338">
        <v>8057</v>
      </c>
      <c r="E2723" s="137">
        <v>2847</v>
      </c>
      <c r="F2723" s="137">
        <v>947</v>
      </c>
    </row>
    <row r="2724" spans="1:6" x14ac:dyDescent="0.25">
      <c r="A2724" s="137" t="s">
        <v>19333</v>
      </c>
      <c r="B2724" s="137" t="s">
        <v>71</v>
      </c>
      <c r="C2724" s="137" t="s">
        <v>4642</v>
      </c>
      <c r="D2724" s="338">
        <v>11868</v>
      </c>
      <c r="E2724" s="137">
        <v>2609</v>
      </c>
      <c r="F2724" s="137">
        <v>709</v>
      </c>
    </row>
    <row r="2725" spans="1:6" x14ac:dyDescent="0.25">
      <c r="A2725" s="137" t="s">
        <v>19277</v>
      </c>
      <c r="B2725" s="137" t="s">
        <v>71</v>
      </c>
      <c r="C2725" s="137" t="s">
        <v>353</v>
      </c>
      <c r="D2725" s="338">
        <v>10992</v>
      </c>
      <c r="E2725" s="137">
        <v>3888</v>
      </c>
      <c r="F2725" s="137">
        <v>88</v>
      </c>
    </row>
    <row r="2726" spans="1:6" x14ac:dyDescent="0.25">
      <c r="A2726" s="137" t="s">
        <v>19049</v>
      </c>
      <c r="B2726" s="137" t="s">
        <v>71</v>
      </c>
      <c r="C2726" s="137" t="s">
        <v>351</v>
      </c>
      <c r="D2726" s="338">
        <v>6354</v>
      </c>
      <c r="E2726" s="137">
        <v>2689</v>
      </c>
      <c r="F2726" s="137">
        <v>789</v>
      </c>
    </row>
    <row r="2727" spans="1:6" x14ac:dyDescent="0.25">
      <c r="A2727" s="137" t="s">
        <v>19160</v>
      </c>
      <c r="B2727" s="137" t="s">
        <v>71</v>
      </c>
      <c r="C2727" s="137" t="s">
        <v>349</v>
      </c>
      <c r="D2727" s="338">
        <v>8587</v>
      </c>
      <c r="E2727" s="137">
        <v>2655</v>
      </c>
      <c r="F2727" s="137">
        <v>755</v>
      </c>
    </row>
    <row r="2728" spans="1:6" x14ac:dyDescent="0.25">
      <c r="A2728" s="137" t="s">
        <v>19165</v>
      </c>
      <c r="B2728" s="137" t="s">
        <v>71</v>
      </c>
      <c r="C2728" s="137" t="s">
        <v>347</v>
      </c>
      <c r="D2728" s="338">
        <v>8731</v>
      </c>
      <c r="E2728" s="137">
        <v>3373</v>
      </c>
      <c r="F2728" s="137">
        <v>523</v>
      </c>
    </row>
    <row r="2729" spans="1:6" x14ac:dyDescent="0.25">
      <c r="A2729" s="137" t="s">
        <v>19661</v>
      </c>
      <c r="B2729" s="137" t="s">
        <v>71</v>
      </c>
      <c r="C2729" s="137" t="s">
        <v>5616</v>
      </c>
      <c r="D2729" s="338">
        <v>14192</v>
      </c>
      <c r="E2729" s="137">
        <v>2320</v>
      </c>
      <c r="F2729" s="137">
        <v>420</v>
      </c>
    </row>
    <row r="2730" spans="1:6" x14ac:dyDescent="0.25">
      <c r="A2730" s="137" t="s">
        <v>19496</v>
      </c>
      <c r="B2730" s="137" t="s">
        <v>71</v>
      </c>
      <c r="C2730" s="137" t="s">
        <v>4738</v>
      </c>
      <c r="D2730" s="338">
        <v>13042</v>
      </c>
      <c r="E2730" s="137">
        <v>2952</v>
      </c>
      <c r="F2730" s="137">
        <v>102</v>
      </c>
    </row>
    <row r="2731" spans="1:6" x14ac:dyDescent="0.25">
      <c r="A2731" s="137" t="s">
        <v>19056</v>
      </c>
      <c r="B2731" s="137" t="s">
        <v>71</v>
      </c>
      <c r="C2731" s="137" t="s">
        <v>345</v>
      </c>
      <c r="D2731" s="338">
        <v>6766</v>
      </c>
      <c r="E2731" s="137">
        <v>2576</v>
      </c>
      <c r="F2731" s="137">
        <v>676</v>
      </c>
    </row>
    <row r="2732" spans="1:6" x14ac:dyDescent="0.25">
      <c r="A2732" s="137" t="s">
        <v>19656</v>
      </c>
      <c r="B2732" s="137" t="s">
        <v>71</v>
      </c>
      <c r="C2732" s="137" t="s">
        <v>3970</v>
      </c>
      <c r="D2732" s="338">
        <v>14161</v>
      </c>
      <c r="E2732" s="137">
        <v>1796</v>
      </c>
      <c r="F2732" s="137">
        <v>846</v>
      </c>
    </row>
    <row r="2733" spans="1:6" x14ac:dyDescent="0.25">
      <c r="A2733" s="137" t="s">
        <v>19192</v>
      </c>
      <c r="B2733" s="137" t="s">
        <v>71</v>
      </c>
      <c r="C2733" s="137" t="s">
        <v>343</v>
      </c>
      <c r="D2733" s="338">
        <v>9084</v>
      </c>
      <c r="E2733" s="137">
        <v>3972</v>
      </c>
      <c r="F2733" s="137">
        <v>2072</v>
      </c>
    </row>
    <row r="2734" spans="1:6" x14ac:dyDescent="0.25">
      <c r="A2734" s="137" t="s">
        <v>19068</v>
      </c>
      <c r="B2734" s="137" t="s">
        <v>71</v>
      </c>
      <c r="C2734" s="137" t="s">
        <v>341</v>
      </c>
      <c r="D2734" s="338">
        <v>7185</v>
      </c>
      <c r="E2734" s="137">
        <v>2730</v>
      </c>
      <c r="F2734" s="137">
        <v>830</v>
      </c>
    </row>
    <row r="2735" spans="1:6" x14ac:dyDescent="0.25">
      <c r="A2735" s="137" t="s">
        <v>19642</v>
      </c>
      <c r="B2735" s="137" t="s">
        <v>71</v>
      </c>
      <c r="C2735" s="137" t="s">
        <v>5196</v>
      </c>
      <c r="D2735" s="338">
        <v>14082</v>
      </c>
      <c r="E2735" s="137">
        <v>2563</v>
      </c>
      <c r="F2735" s="137">
        <v>663</v>
      </c>
    </row>
    <row r="2736" spans="1:6" x14ac:dyDescent="0.25">
      <c r="A2736" s="137" t="s">
        <v>19313</v>
      </c>
      <c r="B2736" s="137" t="s">
        <v>71</v>
      </c>
      <c r="C2736" s="137" t="s">
        <v>4716</v>
      </c>
      <c r="D2736" s="338">
        <v>11563</v>
      </c>
      <c r="E2736" s="137">
        <v>3888</v>
      </c>
      <c r="F2736" s="137">
        <v>88</v>
      </c>
    </row>
    <row r="2737" spans="1:6" x14ac:dyDescent="0.25">
      <c r="A2737" s="137" t="s">
        <v>19245</v>
      </c>
      <c r="B2737" s="137" t="s">
        <v>71</v>
      </c>
      <c r="C2737" s="137" t="s">
        <v>339</v>
      </c>
      <c r="D2737" s="338">
        <v>10438</v>
      </c>
      <c r="E2737" s="137">
        <v>4648</v>
      </c>
      <c r="F2737" s="137">
        <v>848</v>
      </c>
    </row>
    <row r="2738" spans="1:6" x14ac:dyDescent="0.25">
      <c r="A2738" s="137" t="s">
        <v>19559</v>
      </c>
      <c r="B2738" s="137" t="s">
        <v>71</v>
      </c>
      <c r="C2738" s="137" t="s">
        <v>5765</v>
      </c>
      <c r="D2738" s="338">
        <v>13447</v>
      </c>
      <c r="E2738" s="137">
        <v>2569</v>
      </c>
      <c r="F2738" s="137">
        <v>669</v>
      </c>
    </row>
    <row r="2739" spans="1:6" x14ac:dyDescent="0.25">
      <c r="A2739" s="137" t="s">
        <v>19604</v>
      </c>
      <c r="B2739" s="137" t="s">
        <v>71</v>
      </c>
      <c r="C2739" s="137" t="s">
        <v>5758</v>
      </c>
      <c r="D2739" s="338">
        <v>13812</v>
      </c>
      <c r="E2739" s="137">
        <v>2577</v>
      </c>
      <c r="F2739" s="137">
        <v>677</v>
      </c>
    </row>
    <row r="2740" spans="1:6" x14ac:dyDescent="0.25">
      <c r="A2740" s="137" t="s">
        <v>19741</v>
      </c>
      <c r="B2740" s="137" t="s">
        <v>71</v>
      </c>
      <c r="C2740" s="137" t="s">
        <v>4324</v>
      </c>
      <c r="D2740" s="338">
        <v>14830</v>
      </c>
      <c r="E2740" s="137">
        <v>2857</v>
      </c>
      <c r="F2740" s="137">
        <v>7</v>
      </c>
    </row>
    <row r="2741" spans="1:6" x14ac:dyDescent="0.25">
      <c r="A2741" s="137" t="s">
        <v>19163</v>
      </c>
      <c r="B2741" s="137" t="s">
        <v>71</v>
      </c>
      <c r="C2741" s="137" t="s">
        <v>337</v>
      </c>
      <c r="D2741" s="338">
        <v>8665</v>
      </c>
      <c r="E2741" s="137">
        <v>3050</v>
      </c>
      <c r="F2741" s="137">
        <v>200</v>
      </c>
    </row>
    <row r="2742" spans="1:6" x14ac:dyDescent="0.25">
      <c r="A2742" s="137" t="s">
        <v>19743</v>
      </c>
      <c r="B2742" s="137" t="s">
        <v>71</v>
      </c>
      <c r="C2742" s="137" t="s">
        <v>5221</v>
      </c>
      <c r="D2742" s="338">
        <v>14863</v>
      </c>
      <c r="E2742" s="137">
        <v>2410</v>
      </c>
      <c r="F2742" s="137">
        <v>510</v>
      </c>
    </row>
    <row r="2743" spans="1:6" x14ac:dyDescent="0.25">
      <c r="A2743" s="137" t="s">
        <v>19089</v>
      </c>
      <c r="B2743" s="137" t="s">
        <v>71</v>
      </c>
      <c r="C2743" s="137" t="s">
        <v>333</v>
      </c>
      <c r="D2743" s="338">
        <v>7545</v>
      </c>
      <c r="E2743" s="137">
        <v>3638</v>
      </c>
      <c r="F2743" s="137">
        <v>788</v>
      </c>
    </row>
    <row r="2744" spans="1:6" x14ac:dyDescent="0.25">
      <c r="A2744" s="137" t="s">
        <v>19422</v>
      </c>
      <c r="B2744" s="137" t="s">
        <v>71</v>
      </c>
      <c r="C2744" s="137" t="s">
        <v>5260</v>
      </c>
      <c r="D2744" s="338">
        <v>12601</v>
      </c>
      <c r="E2744" s="137">
        <v>2957</v>
      </c>
      <c r="F2744" s="137">
        <v>107</v>
      </c>
    </row>
    <row r="2745" spans="1:6" x14ac:dyDescent="0.25">
      <c r="A2745" s="137" t="s">
        <v>19711</v>
      </c>
      <c r="B2745" s="137" t="s">
        <v>71</v>
      </c>
      <c r="C2745" s="137" t="s">
        <v>4987</v>
      </c>
      <c r="D2745" s="338">
        <v>14600</v>
      </c>
      <c r="E2745" s="137">
        <v>2160</v>
      </c>
      <c r="F2745" s="137">
        <v>260</v>
      </c>
    </row>
    <row r="2746" spans="1:6" x14ac:dyDescent="0.25">
      <c r="A2746" s="137" t="s">
        <v>19010</v>
      </c>
      <c r="B2746" s="137" t="s">
        <v>71</v>
      </c>
      <c r="C2746" s="137" t="s">
        <v>4884</v>
      </c>
      <c r="D2746" s="338">
        <v>3155</v>
      </c>
      <c r="E2746" s="137">
        <v>2294</v>
      </c>
      <c r="F2746" s="137">
        <v>394</v>
      </c>
    </row>
    <row r="2747" spans="1:6" x14ac:dyDescent="0.25">
      <c r="A2747" s="137" t="s">
        <v>19291</v>
      </c>
      <c r="B2747" s="137" t="s">
        <v>71</v>
      </c>
      <c r="C2747" s="137" t="s">
        <v>1653</v>
      </c>
      <c r="D2747" s="338">
        <v>11217</v>
      </c>
      <c r="E2747" s="137">
        <v>2272</v>
      </c>
      <c r="F2747" s="137">
        <v>2272</v>
      </c>
    </row>
    <row r="2748" spans="1:6" x14ac:dyDescent="0.25">
      <c r="A2748" s="137" t="s">
        <v>19654</v>
      </c>
      <c r="B2748" s="137" t="s">
        <v>71</v>
      </c>
      <c r="C2748" s="137" t="s">
        <v>2394</v>
      </c>
      <c r="D2748" s="338">
        <v>14140</v>
      </c>
      <c r="E2748" s="137">
        <v>2471</v>
      </c>
      <c r="F2748" s="137">
        <v>571</v>
      </c>
    </row>
    <row r="2749" spans="1:6" x14ac:dyDescent="0.25">
      <c r="A2749" s="137" t="s">
        <v>19710</v>
      </c>
      <c r="B2749" s="137" t="s">
        <v>71</v>
      </c>
      <c r="C2749" s="137" t="s">
        <v>316</v>
      </c>
      <c r="D2749" s="338">
        <v>14599</v>
      </c>
      <c r="E2749" s="137">
        <v>2529</v>
      </c>
      <c r="F2749" s="137">
        <v>629</v>
      </c>
    </row>
    <row r="2750" spans="1:6" x14ac:dyDescent="0.25">
      <c r="A2750" s="137" t="s">
        <v>19583</v>
      </c>
      <c r="B2750" s="137" t="s">
        <v>71</v>
      </c>
      <c r="C2750" s="137" t="s">
        <v>4779</v>
      </c>
      <c r="D2750" s="338">
        <v>13669</v>
      </c>
      <c r="E2750" s="137">
        <v>2990</v>
      </c>
      <c r="F2750" s="137">
        <v>140</v>
      </c>
    </row>
    <row r="2751" spans="1:6" x14ac:dyDescent="0.25">
      <c r="A2751" s="137" t="s">
        <v>19326</v>
      </c>
      <c r="B2751" s="137" t="s">
        <v>71</v>
      </c>
      <c r="C2751" s="137" t="s">
        <v>312</v>
      </c>
      <c r="D2751" s="338">
        <v>11769</v>
      </c>
      <c r="E2751" s="137">
        <v>3131</v>
      </c>
      <c r="F2751" s="137">
        <v>281</v>
      </c>
    </row>
    <row r="2752" spans="1:6" x14ac:dyDescent="0.25">
      <c r="A2752" s="137" t="s">
        <v>19371</v>
      </c>
      <c r="B2752" s="137" t="s">
        <v>71</v>
      </c>
      <c r="C2752" s="137" t="s">
        <v>3313</v>
      </c>
      <c r="D2752" s="338">
        <v>12208</v>
      </c>
      <c r="E2752" s="137">
        <v>3981</v>
      </c>
      <c r="F2752" s="137">
        <v>181</v>
      </c>
    </row>
    <row r="2753" spans="1:6" x14ac:dyDescent="0.25">
      <c r="A2753" s="137" t="s">
        <v>19589</v>
      </c>
      <c r="B2753" s="137" t="s">
        <v>71</v>
      </c>
      <c r="C2753" s="137" t="s">
        <v>4088</v>
      </c>
      <c r="D2753" s="338">
        <v>13718</v>
      </c>
      <c r="E2753" s="137">
        <v>4218</v>
      </c>
      <c r="F2753" s="137">
        <v>1368</v>
      </c>
    </row>
    <row r="2754" spans="1:6" x14ac:dyDescent="0.25">
      <c r="A2754" s="137" t="s">
        <v>19529</v>
      </c>
      <c r="B2754" s="137" t="s">
        <v>71</v>
      </c>
      <c r="C2754" s="137" t="s">
        <v>3339</v>
      </c>
      <c r="D2754" s="338">
        <v>13276</v>
      </c>
      <c r="E2754" s="137">
        <v>4023</v>
      </c>
      <c r="F2754" s="137">
        <v>223</v>
      </c>
    </row>
    <row r="2755" spans="1:6" x14ac:dyDescent="0.25">
      <c r="A2755" s="137" t="s">
        <v>19314</v>
      </c>
      <c r="B2755" s="137" t="s">
        <v>71</v>
      </c>
      <c r="C2755" s="137" t="s">
        <v>4239</v>
      </c>
      <c r="D2755" s="338">
        <v>11566</v>
      </c>
      <c r="E2755" s="137">
        <v>3168</v>
      </c>
      <c r="F2755" s="137">
        <v>318</v>
      </c>
    </row>
    <row r="2756" spans="1:6" x14ac:dyDescent="0.25">
      <c r="A2756" s="137" t="s">
        <v>19224</v>
      </c>
      <c r="B2756" s="137" t="s">
        <v>71</v>
      </c>
      <c r="C2756" s="137" t="s">
        <v>3901</v>
      </c>
      <c r="D2756" s="338">
        <v>9734</v>
      </c>
      <c r="E2756" s="137">
        <v>2219</v>
      </c>
      <c r="F2756" s="137">
        <v>319</v>
      </c>
    </row>
    <row r="2757" spans="1:6" x14ac:dyDescent="0.25">
      <c r="A2757" s="137" t="s">
        <v>19102</v>
      </c>
      <c r="B2757" s="137" t="s">
        <v>71</v>
      </c>
      <c r="C2757" s="137" t="s">
        <v>5661</v>
      </c>
      <c r="D2757" s="338">
        <v>7816</v>
      </c>
      <c r="E2757" s="137">
        <v>2516</v>
      </c>
      <c r="F2757" s="137">
        <v>616</v>
      </c>
    </row>
    <row r="2758" spans="1:6" x14ac:dyDescent="0.25">
      <c r="A2758" s="137" t="s">
        <v>19298</v>
      </c>
      <c r="B2758" s="137" t="s">
        <v>71</v>
      </c>
      <c r="C2758" s="137" t="s">
        <v>3868</v>
      </c>
      <c r="D2758" s="338">
        <v>11316</v>
      </c>
      <c r="E2758" s="137">
        <v>3027</v>
      </c>
      <c r="F2758" s="137">
        <v>177</v>
      </c>
    </row>
    <row r="2759" spans="1:6" x14ac:dyDescent="0.25">
      <c r="A2759" s="137" t="s">
        <v>19428</v>
      </c>
      <c r="B2759" s="137" t="s">
        <v>71</v>
      </c>
      <c r="C2759" s="137" t="s">
        <v>5480</v>
      </c>
      <c r="D2759" s="338">
        <v>12658</v>
      </c>
      <c r="E2759" s="137">
        <v>2964</v>
      </c>
      <c r="F2759" s="137">
        <v>114</v>
      </c>
    </row>
    <row r="2760" spans="1:6" x14ac:dyDescent="0.25">
      <c r="A2760" s="137" t="s">
        <v>19567</v>
      </c>
      <c r="B2760" s="137" t="s">
        <v>71</v>
      </c>
      <c r="C2760" s="137" t="s">
        <v>5611</v>
      </c>
      <c r="D2760" s="338">
        <v>13526</v>
      </c>
      <c r="E2760" s="137">
        <v>3367</v>
      </c>
      <c r="F2760" s="137">
        <v>517</v>
      </c>
    </row>
    <row r="2761" spans="1:6" x14ac:dyDescent="0.25">
      <c r="A2761" s="137" t="s">
        <v>19320</v>
      </c>
      <c r="B2761" s="137" t="s">
        <v>71</v>
      </c>
      <c r="C2761" s="137" t="s">
        <v>2007</v>
      </c>
      <c r="D2761" s="338">
        <v>11695</v>
      </c>
      <c r="E2761" s="137">
        <v>4168</v>
      </c>
      <c r="F2761" s="137">
        <v>368</v>
      </c>
    </row>
    <row r="2762" spans="1:6" x14ac:dyDescent="0.25">
      <c r="A2762" s="137" t="s">
        <v>19230</v>
      </c>
      <c r="B2762" s="137" t="s">
        <v>71</v>
      </c>
      <c r="C2762" s="137" t="s">
        <v>300</v>
      </c>
      <c r="D2762" s="338">
        <v>9837</v>
      </c>
      <c r="E2762" s="137">
        <v>3446</v>
      </c>
      <c r="F2762" s="137">
        <v>596</v>
      </c>
    </row>
    <row r="2763" spans="1:6" x14ac:dyDescent="0.25">
      <c r="A2763" s="137" t="s">
        <v>19540</v>
      </c>
      <c r="B2763" s="137" t="s">
        <v>71</v>
      </c>
      <c r="C2763" s="137" t="s">
        <v>590</v>
      </c>
      <c r="D2763" s="338">
        <v>13354</v>
      </c>
      <c r="E2763" s="137">
        <v>2211</v>
      </c>
      <c r="F2763" s="137">
        <v>311</v>
      </c>
    </row>
    <row r="2764" spans="1:6" x14ac:dyDescent="0.25">
      <c r="A2764" s="137" t="s">
        <v>19523</v>
      </c>
      <c r="B2764" s="137" t="s">
        <v>71</v>
      </c>
      <c r="C2764" s="137" t="s">
        <v>4962</v>
      </c>
      <c r="D2764" s="338">
        <v>13231</v>
      </c>
      <c r="E2764" s="137">
        <v>3055</v>
      </c>
      <c r="F2764" s="137">
        <v>205</v>
      </c>
    </row>
    <row r="2765" spans="1:6" x14ac:dyDescent="0.25">
      <c r="A2765" s="137" t="s">
        <v>19539</v>
      </c>
      <c r="B2765" s="137" t="s">
        <v>71</v>
      </c>
      <c r="C2765" s="137" t="s">
        <v>5225</v>
      </c>
      <c r="D2765" s="338">
        <v>13347</v>
      </c>
      <c r="E2765" s="137">
        <v>3205</v>
      </c>
      <c r="F2765" s="137">
        <v>355</v>
      </c>
    </row>
    <row r="2766" spans="1:6" x14ac:dyDescent="0.25">
      <c r="A2766" s="137" t="s">
        <v>19100</v>
      </c>
      <c r="B2766" s="137" t="s">
        <v>71</v>
      </c>
      <c r="C2766" s="137" t="s">
        <v>286</v>
      </c>
      <c r="D2766" s="338">
        <v>7791</v>
      </c>
      <c r="E2766" s="137">
        <v>2938</v>
      </c>
      <c r="F2766" s="137">
        <v>88</v>
      </c>
    </row>
    <row r="2767" spans="1:6" x14ac:dyDescent="0.25">
      <c r="A2767" s="137" t="s">
        <v>19722</v>
      </c>
      <c r="B2767" s="137" t="s">
        <v>71</v>
      </c>
      <c r="C2767" s="137" t="s">
        <v>5465</v>
      </c>
      <c r="D2767" s="338">
        <v>14701</v>
      </c>
      <c r="E2767" s="137">
        <v>2277</v>
      </c>
      <c r="F2767" s="137">
        <v>377</v>
      </c>
    </row>
    <row r="2768" spans="1:6" x14ac:dyDescent="0.25">
      <c r="A2768" s="137" t="s">
        <v>19340</v>
      </c>
      <c r="B2768" s="137" t="s">
        <v>71</v>
      </c>
      <c r="C2768" s="137" t="s">
        <v>3856</v>
      </c>
      <c r="D2768" s="338">
        <v>11961</v>
      </c>
      <c r="E2768" s="137">
        <v>2423</v>
      </c>
      <c r="F2768" s="137">
        <v>523</v>
      </c>
    </row>
    <row r="2769" spans="1:6" x14ac:dyDescent="0.25">
      <c r="A2769" s="137" t="s">
        <v>19106</v>
      </c>
      <c r="B2769" s="137" t="s">
        <v>71</v>
      </c>
      <c r="C2769" s="137" t="s">
        <v>279</v>
      </c>
      <c r="D2769" s="338">
        <v>7834</v>
      </c>
      <c r="E2769" s="137">
        <v>3099</v>
      </c>
      <c r="F2769" s="137">
        <v>249</v>
      </c>
    </row>
    <row r="2770" spans="1:6" x14ac:dyDescent="0.25">
      <c r="A2770" s="137" t="s">
        <v>19152</v>
      </c>
      <c r="B2770" s="137" t="s">
        <v>71</v>
      </c>
      <c r="C2770" s="137" t="s">
        <v>5008</v>
      </c>
      <c r="D2770" s="338">
        <v>8487</v>
      </c>
      <c r="E2770" s="137">
        <v>2158</v>
      </c>
      <c r="F2770" s="137">
        <v>258</v>
      </c>
    </row>
    <row r="2771" spans="1:6" x14ac:dyDescent="0.25">
      <c r="A2771" s="137" t="s">
        <v>19081</v>
      </c>
      <c r="B2771" s="137" t="s">
        <v>71</v>
      </c>
      <c r="C2771" s="137" t="s">
        <v>277</v>
      </c>
      <c r="D2771" s="338">
        <v>7395</v>
      </c>
      <c r="E2771" s="137">
        <v>3456</v>
      </c>
      <c r="F2771" s="137">
        <v>606</v>
      </c>
    </row>
    <row r="2772" spans="1:6" x14ac:dyDescent="0.25">
      <c r="A2772" s="137" t="s">
        <v>19072</v>
      </c>
      <c r="B2772" s="137" t="s">
        <v>71</v>
      </c>
      <c r="C2772" s="137" t="s">
        <v>275</v>
      </c>
      <c r="D2772" s="338">
        <v>7268</v>
      </c>
      <c r="E2772" s="137">
        <v>2978</v>
      </c>
      <c r="F2772" s="137">
        <v>128</v>
      </c>
    </row>
    <row r="2773" spans="1:6" x14ac:dyDescent="0.25">
      <c r="A2773" s="137" t="s">
        <v>19104</v>
      </c>
      <c r="B2773" s="137" t="s">
        <v>71</v>
      </c>
      <c r="C2773" s="137" t="s">
        <v>270</v>
      </c>
      <c r="D2773" s="338">
        <v>7820</v>
      </c>
      <c r="E2773" s="137">
        <v>2912</v>
      </c>
      <c r="F2773" s="137">
        <v>62</v>
      </c>
    </row>
    <row r="2774" spans="1:6" x14ac:dyDescent="0.25">
      <c r="A2774" s="137" t="s">
        <v>19131</v>
      </c>
      <c r="B2774" s="137" t="s">
        <v>71</v>
      </c>
      <c r="C2774" s="137" t="s">
        <v>485</v>
      </c>
      <c r="D2774" s="338">
        <v>8172</v>
      </c>
      <c r="E2774" s="137">
        <v>2128</v>
      </c>
      <c r="F2774" s="137">
        <v>228</v>
      </c>
    </row>
    <row r="2775" spans="1:6" x14ac:dyDescent="0.25">
      <c r="A2775" s="137" t="s">
        <v>19059</v>
      </c>
      <c r="B2775" s="137" t="s">
        <v>71</v>
      </c>
      <c r="C2775" s="137" t="s">
        <v>1333</v>
      </c>
      <c r="D2775" s="338">
        <v>6890</v>
      </c>
      <c r="E2775" s="137">
        <v>1737</v>
      </c>
      <c r="F2775" s="137">
        <v>1737</v>
      </c>
    </row>
    <row r="2776" spans="1:6" x14ac:dyDescent="0.25">
      <c r="A2776" s="137" t="s">
        <v>19304</v>
      </c>
      <c r="B2776" s="137" t="s">
        <v>71</v>
      </c>
      <c r="C2776" s="137" t="s">
        <v>266</v>
      </c>
      <c r="D2776" s="338">
        <v>11448</v>
      </c>
      <c r="E2776" s="137">
        <v>3694</v>
      </c>
      <c r="F2776" s="137">
        <v>844</v>
      </c>
    </row>
    <row r="2777" spans="1:6" x14ac:dyDescent="0.25">
      <c r="A2777" s="137" t="s">
        <v>19636</v>
      </c>
      <c r="B2777" s="137" t="s">
        <v>71</v>
      </c>
      <c r="C2777" s="137" t="s">
        <v>5471</v>
      </c>
      <c r="D2777" s="338">
        <v>14066</v>
      </c>
      <c r="E2777" s="137">
        <v>2734</v>
      </c>
      <c r="F2777" s="137">
        <v>834</v>
      </c>
    </row>
    <row r="2778" spans="1:6" x14ac:dyDescent="0.25">
      <c r="A2778" s="137" t="s">
        <v>19071</v>
      </c>
      <c r="B2778" s="137" t="s">
        <v>71</v>
      </c>
      <c r="C2778" s="137" t="s">
        <v>4056</v>
      </c>
      <c r="D2778" s="338">
        <v>7249</v>
      </c>
      <c r="E2778" s="137">
        <v>2555</v>
      </c>
      <c r="F2778" s="137">
        <v>655</v>
      </c>
    </row>
    <row r="2779" spans="1:6" x14ac:dyDescent="0.25">
      <c r="A2779" s="137" t="s">
        <v>19268</v>
      </c>
      <c r="B2779" s="137" t="s">
        <v>71</v>
      </c>
      <c r="C2779" s="137" t="s">
        <v>1267</v>
      </c>
      <c r="D2779" s="338">
        <v>10861</v>
      </c>
      <c r="E2779" s="137">
        <v>2489</v>
      </c>
      <c r="F2779" s="137">
        <v>589</v>
      </c>
    </row>
    <row r="2780" spans="1:6" x14ac:dyDescent="0.25">
      <c r="A2780" s="137" t="s">
        <v>19219</v>
      </c>
      <c r="B2780" s="137" t="s">
        <v>71</v>
      </c>
      <c r="C2780" s="137" t="s">
        <v>263</v>
      </c>
      <c r="D2780" s="338">
        <v>9567</v>
      </c>
      <c r="E2780" s="137">
        <v>3692</v>
      </c>
      <c r="F2780" s="137">
        <v>842</v>
      </c>
    </row>
    <row r="2781" spans="1:6" x14ac:dyDescent="0.25">
      <c r="A2781" s="137" t="s">
        <v>19460</v>
      </c>
      <c r="B2781" s="137" t="s">
        <v>71</v>
      </c>
      <c r="C2781" s="137" t="s">
        <v>4213</v>
      </c>
      <c r="D2781" s="338">
        <v>12851</v>
      </c>
      <c r="E2781" s="137">
        <v>2500</v>
      </c>
      <c r="F2781" s="137">
        <v>600</v>
      </c>
    </row>
    <row r="2782" spans="1:6" x14ac:dyDescent="0.25">
      <c r="A2782" s="137" t="s">
        <v>19470</v>
      </c>
      <c r="B2782" s="137" t="s">
        <v>71</v>
      </c>
      <c r="C2782" s="137" t="s">
        <v>5283</v>
      </c>
      <c r="D2782" s="338">
        <v>12922</v>
      </c>
      <c r="E2782" s="137">
        <v>3328</v>
      </c>
      <c r="F2782" s="137">
        <v>478</v>
      </c>
    </row>
    <row r="2783" spans="1:6" x14ac:dyDescent="0.25">
      <c r="A2783" s="137" t="s">
        <v>19197</v>
      </c>
      <c r="B2783" s="137" t="s">
        <v>71</v>
      </c>
      <c r="C2783" s="137" t="s">
        <v>256</v>
      </c>
      <c r="D2783" s="338">
        <v>9151</v>
      </c>
      <c r="E2783" s="137">
        <v>1861</v>
      </c>
      <c r="F2783" s="137">
        <v>911</v>
      </c>
    </row>
    <row r="2784" spans="1:6" x14ac:dyDescent="0.25">
      <c r="A2784" s="137" t="s">
        <v>19413</v>
      </c>
      <c r="B2784" s="137" t="s">
        <v>71</v>
      </c>
      <c r="C2784" s="137" t="s">
        <v>3964</v>
      </c>
      <c r="D2784" s="338">
        <v>12544</v>
      </c>
      <c r="E2784" s="137">
        <v>2388</v>
      </c>
      <c r="F2784" s="137">
        <v>488</v>
      </c>
    </row>
    <row r="2785" spans="1:6" x14ac:dyDescent="0.25">
      <c r="A2785" s="137" t="s">
        <v>19287</v>
      </c>
      <c r="B2785" s="137" t="s">
        <v>71</v>
      </c>
      <c r="C2785" s="137" t="s">
        <v>254</v>
      </c>
      <c r="D2785" s="338">
        <v>11076</v>
      </c>
      <c r="E2785" s="137">
        <v>4128</v>
      </c>
      <c r="F2785" s="137">
        <v>328</v>
      </c>
    </row>
    <row r="2786" spans="1:6" x14ac:dyDescent="0.25">
      <c r="A2786" s="137" t="s">
        <v>19771</v>
      </c>
      <c r="B2786" s="137" t="s">
        <v>71</v>
      </c>
      <c r="C2786" s="137" t="s">
        <v>252</v>
      </c>
      <c r="D2786" s="338">
        <v>14976</v>
      </c>
      <c r="E2786" s="137">
        <v>2203</v>
      </c>
      <c r="F2786" s="137">
        <v>303</v>
      </c>
    </row>
    <row r="2787" spans="1:6" x14ac:dyDescent="0.25">
      <c r="A2787" s="137" t="s">
        <v>19103</v>
      </c>
      <c r="B2787" s="137" t="s">
        <v>71</v>
      </c>
      <c r="C2787" s="137" t="s">
        <v>249</v>
      </c>
      <c r="D2787" s="338">
        <v>7818</v>
      </c>
      <c r="E2787" s="137">
        <v>2561</v>
      </c>
      <c r="F2787" s="137">
        <v>661</v>
      </c>
    </row>
    <row r="2788" spans="1:6" x14ac:dyDescent="0.25">
      <c r="A2788" s="137" t="s">
        <v>19244</v>
      </c>
      <c r="B2788" s="137" t="s">
        <v>71</v>
      </c>
      <c r="C2788" s="137" t="s">
        <v>240</v>
      </c>
      <c r="D2788" s="338">
        <v>10424</v>
      </c>
      <c r="E2788" s="137">
        <v>3653</v>
      </c>
      <c r="F2788" s="137">
        <v>803</v>
      </c>
    </row>
    <row r="2789" spans="1:6" x14ac:dyDescent="0.25">
      <c r="A2789" s="137" t="s">
        <v>19536</v>
      </c>
      <c r="B2789" s="137" t="s">
        <v>71</v>
      </c>
      <c r="C2789" s="137" t="s">
        <v>5639</v>
      </c>
      <c r="D2789" s="338">
        <v>13313</v>
      </c>
      <c r="E2789" s="137">
        <v>3354</v>
      </c>
      <c r="F2789" s="137">
        <v>504</v>
      </c>
    </row>
    <row r="2790" spans="1:6" x14ac:dyDescent="0.25">
      <c r="A2790" s="137" t="s">
        <v>19282</v>
      </c>
      <c r="B2790" s="137" t="s">
        <v>71</v>
      </c>
      <c r="C2790" s="137" t="s">
        <v>234</v>
      </c>
      <c r="D2790" s="338">
        <v>11026</v>
      </c>
      <c r="E2790" s="137">
        <v>4177</v>
      </c>
      <c r="F2790" s="137">
        <v>377</v>
      </c>
    </row>
    <row r="2791" spans="1:6" x14ac:dyDescent="0.25">
      <c r="A2791" s="137" t="s">
        <v>19344</v>
      </c>
      <c r="B2791" s="137" t="s">
        <v>71</v>
      </c>
      <c r="C2791" s="137" t="s">
        <v>3668</v>
      </c>
      <c r="D2791" s="338">
        <v>11983</v>
      </c>
      <c r="E2791" s="137">
        <v>3611</v>
      </c>
      <c r="F2791" s="137">
        <v>761</v>
      </c>
    </row>
    <row r="2792" spans="1:6" x14ac:dyDescent="0.25">
      <c r="A2792" s="137" t="s">
        <v>19303</v>
      </c>
      <c r="B2792" s="137" t="s">
        <v>71</v>
      </c>
      <c r="C2792" s="137" t="s">
        <v>232</v>
      </c>
      <c r="D2792" s="338">
        <v>11432</v>
      </c>
      <c r="E2792" s="137">
        <v>2815</v>
      </c>
      <c r="F2792" s="137">
        <v>915</v>
      </c>
    </row>
    <row r="2793" spans="1:6" x14ac:dyDescent="0.25">
      <c r="A2793" s="137" t="s">
        <v>19760</v>
      </c>
      <c r="B2793" s="137" t="s">
        <v>71</v>
      </c>
      <c r="C2793" s="137" t="s">
        <v>5419</v>
      </c>
      <c r="D2793" s="338">
        <v>14924</v>
      </c>
      <c r="E2793" s="137">
        <v>2416</v>
      </c>
      <c r="F2793" s="137">
        <v>516</v>
      </c>
    </row>
    <row r="2794" spans="1:6" x14ac:dyDescent="0.25">
      <c r="A2794" s="137" t="s">
        <v>19310</v>
      </c>
      <c r="B2794" s="137" t="s">
        <v>71</v>
      </c>
      <c r="C2794" s="137" t="s">
        <v>3674</v>
      </c>
      <c r="D2794" s="338">
        <v>11516</v>
      </c>
      <c r="E2794" s="137">
        <v>2366</v>
      </c>
      <c r="F2794" s="137">
        <v>466</v>
      </c>
    </row>
    <row r="2795" spans="1:6" x14ac:dyDescent="0.25">
      <c r="A2795" s="137" t="s">
        <v>19295</v>
      </c>
      <c r="B2795" s="137" t="s">
        <v>71</v>
      </c>
      <c r="C2795" s="137" t="s">
        <v>4172</v>
      </c>
      <c r="D2795" s="338">
        <v>11239</v>
      </c>
      <c r="E2795" s="137">
        <v>2711</v>
      </c>
      <c r="F2795" s="137">
        <v>811</v>
      </c>
    </row>
    <row r="2796" spans="1:6" x14ac:dyDescent="0.25">
      <c r="A2796" s="137" t="s">
        <v>19066</v>
      </c>
      <c r="B2796" s="137" t="s">
        <v>71</v>
      </c>
      <c r="C2796" s="137" t="s">
        <v>5275</v>
      </c>
      <c r="D2796" s="338">
        <v>7082</v>
      </c>
      <c r="E2796" s="137">
        <v>2198</v>
      </c>
      <c r="F2796" s="137">
        <v>1248</v>
      </c>
    </row>
    <row r="2797" spans="1:6" x14ac:dyDescent="0.25">
      <c r="A2797" s="137" t="s">
        <v>19281</v>
      </c>
      <c r="B2797" s="137" t="s">
        <v>71</v>
      </c>
      <c r="C2797" s="137" t="s">
        <v>224</v>
      </c>
      <c r="D2797" s="338">
        <v>11013</v>
      </c>
      <c r="E2797" s="137">
        <v>4177</v>
      </c>
      <c r="F2797" s="137">
        <v>377</v>
      </c>
    </row>
    <row r="2798" spans="1:6" x14ac:dyDescent="0.25">
      <c r="A2798" s="137" t="s">
        <v>19766</v>
      </c>
      <c r="B2798" s="137" t="s">
        <v>71</v>
      </c>
      <c r="C2798" s="137" t="s">
        <v>4896</v>
      </c>
      <c r="D2798" s="338">
        <v>14955</v>
      </c>
      <c r="E2798" s="137">
        <v>2224</v>
      </c>
      <c r="F2798" s="137">
        <v>324</v>
      </c>
    </row>
    <row r="2799" spans="1:6" x14ac:dyDescent="0.25">
      <c r="A2799" s="137" t="s">
        <v>19780</v>
      </c>
      <c r="B2799" s="137" t="s">
        <v>71</v>
      </c>
      <c r="C2799" s="137" t="s">
        <v>4436</v>
      </c>
      <c r="D2799" s="338">
        <v>15043</v>
      </c>
      <c r="E2799" s="137">
        <v>2313</v>
      </c>
      <c r="F2799" s="137">
        <v>413</v>
      </c>
    </row>
    <row r="2800" spans="1:6" x14ac:dyDescent="0.25">
      <c r="A2800" s="137" t="s">
        <v>19099</v>
      </c>
      <c r="B2800" s="137" t="s">
        <v>71</v>
      </c>
      <c r="C2800" s="137" t="s">
        <v>219</v>
      </c>
      <c r="D2800" s="338">
        <v>7784</v>
      </c>
      <c r="E2800" s="137">
        <v>2498</v>
      </c>
      <c r="F2800" s="137">
        <v>598</v>
      </c>
    </row>
    <row r="2801" spans="1:6" x14ac:dyDescent="0.25">
      <c r="A2801" s="137" t="s">
        <v>19029</v>
      </c>
      <c r="B2801" s="137" t="s">
        <v>71</v>
      </c>
      <c r="C2801" s="137" t="s">
        <v>11164</v>
      </c>
      <c r="D2801" s="338">
        <v>5355</v>
      </c>
      <c r="E2801" s="137">
        <v>3301</v>
      </c>
      <c r="F2801" s="137">
        <v>451</v>
      </c>
    </row>
    <row r="2802" spans="1:6" x14ac:dyDescent="0.25">
      <c r="A2802" s="137" t="s">
        <v>19142</v>
      </c>
      <c r="B2802" s="137" t="s">
        <v>71</v>
      </c>
      <c r="C2802" s="137" t="s">
        <v>217</v>
      </c>
      <c r="D2802" s="338">
        <v>8315</v>
      </c>
      <c r="E2802" s="137">
        <v>3249</v>
      </c>
      <c r="F2802" s="137">
        <v>399</v>
      </c>
    </row>
    <row r="2803" spans="1:6" x14ac:dyDescent="0.25">
      <c r="A2803" s="137" t="s">
        <v>19092</v>
      </c>
      <c r="B2803" s="137" t="s">
        <v>71</v>
      </c>
      <c r="C2803" s="137" t="s">
        <v>5187</v>
      </c>
      <c r="D2803" s="338">
        <v>7726</v>
      </c>
      <c r="E2803" s="137">
        <v>2112</v>
      </c>
      <c r="F2803" s="137">
        <v>212</v>
      </c>
    </row>
    <row r="2804" spans="1:6" x14ac:dyDescent="0.25">
      <c r="A2804" s="137" t="s">
        <v>19114</v>
      </c>
      <c r="B2804" s="137" t="s">
        <v>71</v>
      </c>
      <c r="C2804" s="137" t="s">
        <v>5076</v>
      </c>
      <c r="D2804" s="338">
        <v>7972</v>
      </c>
      <c r="E2804" s="137">
        <v>2108</v>
      </c>
      <c r="F2804" s="137">
        <v>208</v>
      </c>
    </row>
    <row r="2805" spans="1:6" x14ac:dyDescent="0.25">
      <c r="A2805" s="137" t="s">
        <v>19058</v>
      </c>
      <c r="B2805" s="137" t="s">
        <v>71</v>
      </c>
      <c r="C2805" s="137" t="s">
        <v>215</v>
      </c>
      <c r="D2805" s="338">
        <v>6885</v>
      </c>
      <c r="E2805" s="137">
        <v>3237</v>
      </c>
      <c r="F2805" s="137">
        <v>2287</v>
      </c>
    </row>
    <row r="2806" spans="1:6" x14ac:dyDescent="0.25">
      <c r="A2806" s="137" t="s">
        <v>19091</v>
      </c>
      <c r="B2806" s="137" t="s">
        <v>71</v>
      </c>
      <c r="C2806" s="137" t="s">
        <v>5408</v>
      </c>
      <c r="D2806" s="338">
        <v>7620</v>
      </c>
      <c r="E2806" s="137">
        <v>2217</v>
      </c>
      <c r="F2806" s="137">
        <v>317</v>
      </c>
    </row>
    <row r="2807" spans="1:6" x14ac:dyDescent="0.25">
      <c r="A2807" s="137" t="s">
        <v>19804</v>
      </c>
      <c r="B2807" s="137" t="s">
        <v>71</v>
      </c>
      <c r="C2807" s="137" t="s">
        <v>3305</v>
      </c>
      <c r="D2807" s="338">
        <v>15150</v>
      </c>
      <c r="E2807" s="137">
        <v>1435</v>
      </c>
      <c r="F2807" s="137">
        <v>1435</v>
      </c>
    </row>
    <row r="2808" spans="1:6" x14ac:dyDescent="0.25">
      <c r="A2808" s="137" t="s">
        <v>19668</v>
      </c>
      <c r="B2808" s="137" t="s">
        <v>71</v>
      </c>
      <c r="C2808" s="137" t="s">
        <v>4860</v>
      </c>
      <c r="D2808" s="338">
        <v>14229</v>
      </c>
      <c r="E2808" s="137">
        <v>2091</v>
      </c>
      <c r="F2808" s="137">
        <v>191</v>
      </c>
    </row>
    <row r="2809" spans="1:6" x14ac:dyDescent="0.25">
      <c r="A2809" s="137" t="s">
        <v>19574</v>
      </c>
      <c r="B2809" s="137" t="s">
        <v>71</v>
      </c>
      <c r="C2809" s="137" t="s">
        <v>3650</v>
      </c>
      <c r="D2809" s="338">
        <v>13591</v>
      </c>
      <c r="E2809" s="137">
        <v>3627</v>
      </c>
      <c r="F2809" s="137">
        <v>777</v>
      </c>
    </row>
    <row r="2810" spans="1:6" x14ac:dyDescent="0.25">
      <c r="A2810" s="137" t="s">
        <v>19584</v>
      </c>
      <c r="B2810" s="137" t="s">
        <v>71</v>
      </c>
      <c r="C2810" s="137" t="s">
        <v>4703</v>
      </c>
      <c r="D2810" s="338">
        <v>13670</v>
      </c>
      <c r="E2810" s="137">
        <v>2818</v>
      </c>
      <c r="F2810" s="137">
        <v>918</v>
      </c>
    </row>
    <row r="2811" spans="1:6" x14ac:dyDescent="0.25">
      <c r="A2811" s="137" t="s">
        <v>19052</v>
      </c>
      <c r="B2811" s="137" t="s">
        <v>71</v>
      </c>
      <c r="C2811" s="137" t="s">
        <v>211</v>
      </c>
      <c r="D2811" s="338">
        <v>6586</v>
      </c>
      <c r="E2811" s="137">
        <v>3224</v>
      </c>
      <c r="F2811" s="137">
        <v>374</v>
      </c>
    </row>
    <row r="2812" spans="1:6" x14ac:dyDescent="0.25">
      <c r="A2812" s="137" t="s">
        <v>19568</v>
      </c>
      <c r="B2812" s="137" t="s">
        <v>71</v>
      </c>
      <c r="C2812" s="137" t="s">
        <v>3000</v>
      </c>
      <c r="D2812" s="338">
        <v>13537</v>
      </c>
      <c r="E2812" s="137">
        <v>2571</v>
      </c>
      <c r="F2812" s="137">
        <v>671</v>
      </c>
    </row>
    <row r="2813" spans="1:6" x14ac:dyDescent="0.25">
      <c r="A2813" s="137" t="s">
        <v>19597</v>
      </c>
      <c r="B2813" s="137" t="s">
        <v>71</v>
      </c>
      <c r="C2813" s="137" t="s">
        <v>4705</v>
      </c>
      <c r="D2813" s="338">
        <v>13778</v>
      </c>
      <c r="E2813" s="137">
        <v>2837</v>
      </c>
      <c r="F2813" s="137">
        <v>937</v>
      </c>
    </row>
    <row r="2814" spans="1:6" x14ac:dyDescent="0.25">
      <c r="A2814" s="137" t="s">
        <v>19054</v>
      </c>
      <c r="B2814" s="137" t="s">
        <v>71</v>
      </c>
      <c r="C2814" s="137" t="s">
        <v>206</v>
      </c>
      <c r="D2814" s="338">
        <v>6645</v>
      </c>
      <c r="E2814" s="137">
        <v>2345</v>
      </c>
      <c r="F2814" s="137">
        <v>445</v>
      </c>
    </row>
    <row r="2815" spans="1:6" x14ac:dyDescent="0.25">
      <c r="A2815" s="137" t="s">
        <v>19396</v>
      </c>
      <c r="B2815" s="137" t="s">
        <v>71</v>
      </c>
      <c r="C2815" s="137" t="s">
        <v>5739</v>
      </c>
      <c r="D2815" s="338">
        <v>12437</v>
      </c>
      <c r="E2815" s="137">
        <v>2577</v>
      </c>
      <c r="F2815" s="137">
        <v>677</v>
      </c>
    </row>
    <row r="2816" spans="1:6" x14ac:dyDescent="0.25">
      <c r="A2816" s="137" t="s">
        <v>19354</v>
      </c>
      <c r="B2816" s="137" t="s">
        <v>71</v>
      </c>
      <c r="C2816" s="137" t="s">
        <v>5754</v>
      </c>
      <c r="D2816" s="338">
        <v>12064</v>
      </c>
      <c r="E2816" s="137">
        <v>2585</v>
      </c>
      <c r="F2816" s="137">
        <v>685</v>
      </c>
    </row>
    <row r="2817" spans="1:6" x14ac:dyDescent="0.25">
      <c r="A2817" s="137" t="s">
        <v>19704</v>
      </c>
      <c r="B2817" s="137" t="s">
        <v>71</v>
      </c>
      <c r="C2817" s="137" t="s">
        <v>4349</v>
      </c>
      <c r="D2817" s="338">
        <v>14570</v>
      </c>
      <c r="E2817" s="137">
        <v>2229</v>
      </c>
      <c r="F2817" s="137">
        <v>329</v>
      </c>
    </row>
    <row r="2818" spans="1:6" x14ac:dyDescent="0.25">
      <c r="A2818" s="137" t="s">
        <v>19761</v>
      </c>
      <c r="B2818" s="137" t="s">
        <v>71</v>
      </c>
      <c r="C2818" s="137" t="s">
        <v>204</v>
      </c>
      <c r="D2818" s="338">
        <v>14925</v>
      </c>
      <c r="E2818" s="137">
        <v>2366</v>
      </c>
      <c r="F2818" s="137">
        <v>466</v>
      </c>
    </row>
    <row r="2819" spans="1:6" x14ac:dyDescent="0.25">
      <c r="A2819" s="137" t="s">
        <v>19265</v>
      </c>
      <c r="B2819" s="137" t="s">
        <v>71</v>
      </c>
      <c r="C2819" s="137" t="s">
        <v>198</v>
      </c>
      <c r="D2819" s="338">
        <v>10842</v>
      </c>
      <c r="E2819" s="137">
        <v>3970</v>
      </c>
      <c r="F2819" s="137">
        <v>170</v>
      </c>
    </row>
    <row r="2820" spans="1:6" x14ac:dyDescent="0.25">
      <c r="A2820" s="137" t="s">
        <v>19449</v>
      </c>
      <c r="B2820" s="137" t="s">
        <v>71</v>
      </c>
      <c r="C2820" s="137" t="s">
        <v>5549</v>
      </c>
      <c r="D2820" s="338">
        <v>12797</v>
      </c>
      <c r="E2820" s="137">
        <v>3595</v>
      </c>
      <c r="F2820" s="137">
        <v>745</v>
      </c>
    </row>
    <row r="2821" spans="1:6" x14ac:dyDescent="0.25">
      <c r="A2821" s="137" t="s">
        <v>19590</v>
      </c>
      <c r="B2821" s="137" t="s">
        <v>71</v>
      </c>
      <c r="C2821" s="137" t="s">
        <v>3921</v>
      </c>
      <c r="D2821" s="338">
        <v>13722</v>
      </c>
      <c r="E2821" s="137">
        <v>2370</v>
      </c>
      <c r="F2821" s="137">
        <v>470</v>
      </c>
    </row>
    <row r="2822" spans="1:6" x14ac:dyDescent="0.25">
      <c r="A2822" s="137" t="s">
        <v>19312</v>
      </c>
      <c r="B2822" s="137" t="s">
        <v>71</v>
      </c>
      <c r="C2822" s="137" t="s">
        <v>3295</v>
      </c>
      <c r="D2822" s="338">
        <v>11539</v>
      </c>
      <c r="E2822" s="137">
        <v>3673</v>
      </c>
      <c r="F2822" s="137">
        <v>823</v>
      </c>
    </row>
    <row r="2823" spans="1:6" x14ac:dyDescent="0.25">
      <c r="A2823" s="137" t="s">
        <v>19493</v>
      </c>
      <c r="B2823" s="137" t="s">
        <v>71</v>
      </c>
      <c r="C2823" s="137" t="s">
        <v>4456</v>
      </c>
      <c r="D2823" s="338">
        <v>13028</v>
      </c>
      <c r="E2823" s="137">
        <v>3043</v>
      </c>
      <c r="F2823" s="137">
        <v>193</v>
      </c>
    </row>
    <row r="2824" spans="1:6" x14ac:dyDescent="0.25">
      <c r="A2824" s="137" t="s">
        <v>19331</v>
      </c>
      <c r="B2824" s="137" t="s">
        <v>71</v>
      </c>
      <c r="C2824" s="137" t="s">
        <v>190</v>
      </c>
      <c r="D2824" s="338">
        <v>11851</v>
      </c>
      <c r="E2824" s="137">
        <v>3838</v>
      </c>
      <c r="F2824" s="137">
        <v>38</v>
      </c>
    </row>
    <row r="2825" spans="1:6" x14ac:dyDescent="0.25">
      <c r="A2825" s="137" t="s">
        <v>19217</v>
      </c>
      <c r="B2825" s="137" t="s">
        <v>71</v>
      </c>
      <c r="C2825" s="137" t="s">
        <v>8728</v>
      </c>
      <c r="D2825" s="338">
        <v>9465</v>
      </c>
      <c r="E2825" s="137">
        <v>2973</v>
      </c>
      <c r="F2825" s="137">
        <v>123</v>
      </c>
    </row>
    <row r="2826" spans="1:6" x14ac:dyDescent="0.25">
      <c r="A2826" s="137" t="s">
        <v>19645</v>
      </c>
      <c r="B2826" s="137" t="s">
        <v>71</v>
      </c>
      <c r="C2826" s="137" t="s">
        <v>5019</v>
      </c>
      <c r="D2826" s="338">
        <v>14098</v>
      </c>
      <c r="E2826" s="137">
        <v>2457</v>
      </c>
      <c r="F2826" s="137">
        <v>557</v>
      </c>
    </row>
    <row r="2827" spans="1:6" x14ac:dyDescent="0.25">
      <c r="A2827" s="137" t="s">
        <v>19194</v>
      </c>
      <c r="B2827" s="137" t="s">
        <v>71</v>
      </c>
      <c r="C2827" s="137" t="s">
        <v>187</v>
      </c>
      <c r="D2827" s="338">
        <v>9130</v>
      </c>
      <c r="E2827" s="137">
        <v>3865</v>
      </c>
      <c r="F2827" s="137">
        <v>1965</v>
      </c>
    </row>
    <row r="2828" spans="1:6" x14ac:dyDescent="0.25">
      <c r="A2828" s="137" t="s">
        <v>19764</v>
      </c>
      <c r="B2828" s="137" t="s">
        <v>71</v>
      </c>
      <c r="C2828" s="137" t="s">
        <v>5130</v>
      </c>
      <c r="D2828" s="338">
        <v>14948</v>
      </c>
      <c r="E2828" s="137">
        <v>2217</v>
      </c>
      <c r="F2828" s="137">
        <v>317</v>
      </c>
    </row>
    <row r="2829" spans="1:6" x14ac:dyDescent="0.25">
      <c r="A2829" s="137" t="s">
        <v>19325</v>
      </c>
      <c r="B2829" s="137" t="s">
        <v>71</v>
      </c>
      <c r="C2829" s="137" t="s">
        <v>4644</v>
      </c>
      <c r="D2829" s="338">
        <v>11720</v>
      </c>
      <c r="E2829" s="137">
        <v>3759</v>
      </c>
      <c r="F2829" s="137">
        <v>909</v>
      </c>
    </row>
    <row r="2830" spans="1:6" x14ac:dyDescent="0.25">
      <c r="A2830" s="137" t="s">
        <v>19779</v>
      </c>
      <c r="B2830" s="137" t="s">
        <v>71</v>
      </c>
      <c r="C2830" s="137" t="s">
        <v>5727</v>
      </c>
      <c r="D2830" s="338">
        <v>15042</v>
      </c>
      <c r="E2830" s="137">
        <v>1871</v>
      </c>
      <c r="F2830" s="137">
        <v>921</v>
      </c>
    </row>
    <row r="2831" spans="1:6" x14ac:dyDescent="0.25">
      <c r="A2831" s="137" t="s">
        <v>19323</v>
      </c>
      <c r="B2831" s="137" t="s">
        <v>71</v>
      </c>
      <c r="C2831" s="137" t="s">
        <v>180</v>
      </c>
      <c r="D2831" s="338">
        <v>11698</v>
      </c>
      <c r="E2831" s="137">
        <v>2979</v>
      </c>
      <c r="F2831" s="137">
        <v>129</v>
      </c>
    </row>
    <row r="2832" spans="1:6" x14ac:dyDescent="0.25">
      <c r="A2832" s="137" t="s">
        <v>19802</v>
      </c>
      <c r="B2832" s="137" t="s">
        <v>71</v>
      </c>
      <c r="C2832" s="137" t="s">
        <v>4793</v>
      </c>
      <c r="D2832" s="338">
        <v>15131</v>
      </c>
      <c r="E2832" s="137">
        <v>2059</v>
      </c>
      <c r="F2832" s="137">
        <v>159</v>
      </c>
    </row>
    <row r="2833" spans="1:6" x14ac:dyDescent="0.25">
      <c r="A2833" s="137" t="s">
        <v>19154</v>
      </c>
      <c r="B2833" s="137" t="s">
        <v>71</v>
      </c>
      <c r="C2833" s="137" t="s">
        <v>175</v>
      </c>
      <c r="D2833" s="338">
        <v>8509</v>
      </c>
      <c r="E2833" s="137">
        <v>3317</v>
      </c>
      <c r="F2833" s="137">
        <v>467</v>
      </c>
    </row>
    <row r="2834" spans="1:6" x14ac:dyDescent="0.25">
      <c r="A2834" s="137" t="s">
        <v>19309</v>
      </c>
      <c r="B2834" s="137" t="s">
        <v>71</v>
      </c>
      <c r="C2834" s="137" t="s">
        <v>4412</v>
      </c>
      <c r="D2834" s="338">
        <v>11498</v>
      </c>
      <c r="E2834" s="137">
        <v>2554</v>
      </c>
      <c r="F2834" s="137">
        <v>654</v>
      </c>
    </row>
    <row r="2835" spans="1:6" x14ac:dyDescent="0.25">
      <c r="A2835" s="137" t="s">
        <v>19543</v>
      </c>
      <c r="B2835" s="137" t="s">
        <v>71</v>
      </c>
      <c r="C2835" s="137" t="s">
        <v>3595</v>
      </c>
      <c r="D2835" s="338">
        <v>13369</v>
      </c>
      <c r="E2835" s="137">
        <v>2657</v>
      </c>
      <c r="F2835" s="137">
        <v>757</v>
      </c>
    </row>
    <row r="2836" spans="1:6" x14ac:dyDescent="0.25">
      <c r="A2836" s="137" t="s">
        <v>19550</v>
      </c>
      <c r="B2836" s="137" t="s">
        <v>71</v>
      </c>
      <c r="C2836" s="137" t="s">
        <v>173</v>
      </c>
      <c r="D2836" s="338">
        <v>13408</v>
      </c>
      <c r="E2836" s="137">
        <v>3462</v>
      </c>
      <c r="F2836" s="137">
        <v>612</v>
      </c>
    </row>
    <row r="2837" spans="1:6" x14ac:dyDescent="0.25">
      <c r="A2837" s="137" t="s">
        <v>18996</v>
      </c>
      <c r="B2837" s="137" t="s">
        <v>71</v>
      </c>
      <c r="C2837" s="137" t="s">
        <v>170</v>
      </c>
      <c r="D2837" s="137">
        <v>705</v>
      </c>
      <c r="E2837" s="137">
        <v>2462</v>
      </c>
      <c r="F2837" s="137">
        <v>2462</v>
      </c>
    </row>
    <row r="2838" spans="1:6" x14ac:dyDescent="0.25">
      <c r="A2838" s="137" t="s">
        <v>19482</v>
      </c>
      <c r="B2838" s="137" t="s">
        <v>71</v>
      </c>
      <c r="C2838" s="137" t="s">
        <v>5703</v>
      </c>
      <c r="D2838" s="338">
        <v>12986</v>
      </c>
      <c r="E2838" s="137">
        <v>3412</v>
      </c>
      <c r="F2838" s="137">
        <v>562</v>
      </c>
    </row>
    <row r="2839" spans="1:6" x14ac:dyDescent="0.25">
      <c r="A2839" s="137" t="s">
        <v>19776</v>
      </c>
      <c r="B2839" s="137" t="s">
        <v>71</v>
      </c>
      <c r="C2839" s="137" t="s">
        <v>168</v>
      </c>
      <c r="D2839" s="338">
        <v>15026</v>
      </c>
      <c r="E2839" s="137">
        <v>1845</v>
      </c>
      <c r="F2839" s="137">
        <v>1845</v>
      </c>
    </row>
    <row r="2840" spans="1:6" x14ac:dyDescent="0.25">
      <c r="A2840" s="137" t="s">
        <v>19621</v>
      </c>
      <c r="B2840" s="137" t="s">
        <v>71</v>
      </c>
      <c r="C2840" s="137" t="s">
        <v>4735</v>
      </c>
      <c r="D2840" s="338">
        <v>13930</v>
      </c>
      <c r="E2840" s="137">
        <v>2601</v>
      </c>
      <c r="F2840" s="137">
        <v>701</v>
      </c>
    </row>
    <row r="2841" spans="1:6" x14ac:dyDescent="0.25">
      <c r="A2841" s="137" t="s">
        <v>19044</v>
      </c>
      <c r="B2841" s="137" t="s">
        <v>71</v>
      </c>
      <c r="C2841" s="137" t="s">
        <v>166</v>
      </c>
      <c r="D2841" s="338">
        <v>6264</v>
      </c>
      <c r="E2841" s="137">
        <v>3256</v>
      </c>
      <c r="F2841" s="137">
        <v>406</v>
      </c>
    </row>
    <row r="2842" spans="1:6" x14ac:dyDescent="0.25">
      <c r="A2842" s="137" t="s">
        <v>19191</v>
      </c>
      <c r="B2842" s="137" t="s">
        <v>71</v>
      </c>
      <c r="C2842" s="137" t="s">
        <v>160</v>
      </c>
      <c r="D2842" s="338">
        <v>9066</v>
      </c>
      <c r="E2842" s="137">
        <v>2683</v>
      </c>
      <c r="F2842" s="137">
        <v>2683</v>
      </c>
    </row>
    <row r="2843" spans="1:6" x14ac:dyDescent="0.25">
      <c r="A2843" s="137" t="s">
        <v>19617</v>
      </c>
      <c r="B2843" s="137" t="s">
        <v>71</v>
      </c>
      <c r="C2843" s="137" t="s">
        <v>4080</v>
      </c>
      <c r="D2843" s="338">
        <v>13907</v>
      </c>
      <c r="E2843" s="137">
        <v>2602</v>
      </c>
      <c r="F2843" s="137">
        <v>702</v>
      </c>
    </row>
    <row r="2844" spans="1:6" x14ac:dyDescent="0.25">
      <c r="A2844" s="137" t="s">
        <v>19694</v>
      </c>
      <c r="B2844" s="137" t="s">
        <v>71</v>
      </c>
      <c r="C2844" s="137" t="s">
        <v>5719</v>
      </c>
      <c r="D2844" s="338">
        <v>14503</v>
      </c>
      <c r="E2844" s="137">
        <v>1844</v>
      </c>
      <c r="F2844" s="137">
        <v>1844</v>
      </c>
    </row>
    <row r="2845" spans="1:6" x14ac:dyDescent="0.25">
      <c r="A2845" s="137" t="s">
        <v>19799</v>
      </c>
      <c r="B2845" s="137" t="s">
        <v>71</v>
      </c>
      <c r="C2845" s="137" t="s">
        <v>4572</v>
      </c>
      <c r="D2845" s="338">
        <v>15118</v>
      </c>
      <c r="E2845" s="137">
        <v>2040</v>
      </c>
      <c r="F2845" s="137">
        <v>140</v>
      </c>
    </row>
    <row r="2846" spans="1:6" x14ac:dyDescent="0.25">
      <c r="A2846" s="137" t="s">
        <v>19521</v>
      </c>
      <c r="B2846" s="137" t="s">
        <v>71</v>
      </c>
      <c r="C2846" s="137" t="s">
        <v>5463</v>
      </c>
      <c r="D2846" s="338">
        <v>13219</v>
      </c>
      <c r="E2846" s="137">
        <v>2949</v>
      </c>
      <c r="F2846" s="137">
        <v>99</v>
      </c>
    </row>
    <row r="2847" spans="1:6" x14ac:dyDescent="0.25">
      <c r="A2847" s="137" t="s">
        <v>19332</v>
      </c>
      <c r="B2847" s="137" t="s">
        <v>71</v>
      </c>
      <c r="C2847" s="137" t="s">
        <v>4752</v>
      </c>
      <c r="D2847" s="338">
        <v>11862</v>
      </c>
      <c r="E2847" s="137">
        <v>2611</v>
      </c>
      <c r="F2847" s="137">
        <v>711</v>
      </c>
    </row>
    <row r="2848" spans="1:6" x14ac:dyDescent="0.25">
      <c r="A2848" s="137" t="s">
        <v>19393</v>
      </c>
      <c r="B2848" s="137" t="s">
        <v>71</v>
      </c>
      <c r="C2848" s="137" t="s">
        <v>3329</v>
      </c>
      <c r="D2848" s="338">
        <v>12414</v>
      </c>
      <c r="E2848" s="137">
        <v>3558</v>
      </c>
      <c r="F2848" s="137">
        <v>708</v>
      </c>
    </row>
    <row r="2849" spans="1:6" x14ac:dyDescent="0.25">
      <c r="A2849" s="137" t="s">
        <v>19324</v>
      </c>
      <c r="B2849" s="137" t="s">
        <v>71</v>
      </c>
      <c r="C2849" s="137" t="s">
        <v>3072</v>
      </c>
      <c r="D2849" s="338">
        <v>11712</v>
      </c>
      <c r="E2849" s="137">
        <v>2239</v>
      </c>
      <c r="F2849" s="137">
        <v>339</v>
      </c>
    </row>
    <row r="2850" spans="1:6" x14ac:dyDescent="0.25">
      <c r="A2850" s="137" t="s">
        <v>19011</v>
      </c>
      <c r="B2850" s="137" t="s">
        <v>71</v>
      </c>
      <c r="C2850" s="137" t="s">
        <v>4804</v>
      </c>
      <c r="D2850" s="338">
        <v>3170</v>
      </c>
      <c r="E2850" s="137">
        <v>3127</v>
      </c>
      <c r="F2850" s="137">
        <v>277</v>
      </c>
    </row>
    <row r="2851" spans="1:6" x14ac:dyDescent="0.25">
      <c r="A2851" s="137" t="s">
        <v>19366</v>
      </c>
      <c r="B2851" s="137" t="s">
        <v>71</v>
      </c>
      <c r="C2851" s="137" t="s">
        <v>152</v>
      </c>
      <c r="D2851" s="338">
        <v>12138</v>
      </c>
      <c r="E2851" s="137">
        <v>4233</v>
      </c>
      <c r="F2851" s="137">
        <v>433</v>
      </c>
    </row>
    <row r="2852" spans="1:6" x14ac:dyDescent="0.25">
      <c r="A2852" s="137" t="s">
        <v>19768</v>
      </c>
      <c r="B2852" s="137" t="s">
        <v>71</v>
      </c>
      <c r="C2852" s="137" t="s">
        <v>3274</v>
      </c>
      <c r="D2852" s="338">
        <v>14971</v>
      </c>
      <c r="E2852" s="137">
        <v>2979</v>
      </c>
      <c r="F2852" s="137">
        <v>129</v>
      </c>
    </row>
    <row r="2853" spans="1:6" x14ac:dyDescent="0.25">
      <c r="A2853" s="137" t="s">
        <v>19101</v>
      </c>
      <c r="B2853" s="137" t="s">
        <v>71</v>
      </c>
      <c r="C2853" s="137" t="s">
        <v>149</v>
      </c>
      <c r="D2853" s="338">
        <v>7797</v>
      </c>
      <c r="E2853" s="137">
        <v>2453</v>
      </c>
      <c r="F2853" s="137">
        <v>553</v>
      </c>
    </row>
    <row r="2854" spans="1:6" x14ac:dyDescent="0.25">
      <c r="A2854" s="137" t="s">
        <v>19095</v>
      </c>
      <c r="B2854" s="137" t="s">
        <v>71</v>
      </c>
      <c r="C2854" s="137" t="s">
        <v>5108</v>
      </c>
      <c r="D2854" s="338">
        <v>7761</v>
      </c>
      <c r="E2854" s="137">
        <v>2098</v>
      </c>
      <c r="F2854" s="137">
        <v>198</v>
      </c>
    </row>
    <row r="2855" spans="1:6" x14ac:dyDescent="0.25">
      <c r="A2855" s="137" t="s">
        <v>19122</v>
      </c>
      <c r="B2855" s="137" t="s">
        <v>71</v>
      </c>
      <c r="C2855" s="137" t="s">
        <v>147</v>
      </c>
      <c r="D2855" s="338">
        <v>8079</v>
      </c>
      <c r="E2855" s="137">
        <v>2996</v>
      </c>
      <c r="F2855" s="137">
        <v>146</v>
      </c>
    </row>
    <row r="2856" spans="1:6" x14ac:dyDescent="0.25">
      <c r="A2856" s="137" t="s">
        <v>19004</v>
      </c>
      <c r="B2856" s="137" t="s">
        <v>71</v>
      </c>
      <c r="C2856" s="137" t="s">
        <v>4032</v>
      </c>
      <c r="D2856" s="338">
        <v>1981</v>
      </c>
      <c r="E2856" s="137">
        <v>2316</v>
      </c>
      <c r="F2856" s="137">
        <v>416</v>
      </c>
    </row>
    <row r="2857" spans="1:6" x14ac:dyDescent="0.25">
      <c r="A2857" s="137" t="s">
        <v>19105</v>
      </c>
      <c r="B2857" s="137" t="s">
        <v>71</v>
      </c>
      <c r="C2857" s="137" t="s">
        <v>145</v>
      </c>
      <c r="D2857" s="338">
        <v>7834</v>
      </c>
      <c r="E2857" s="137">
        <v>2762</v>
      </c>
      <c r="F2857" s="137">
        <v>862</v>
      </c>
    </row>
    <row r="2858" spans="1:6" x14ac:dyDescent="0.25">
      <c r="A2858" s="137" t="s">
        <v>19719</v>
      </c>
      <c r="B2858" s="137" t="s">
        <v>71</v>
      </c>
      <c r="C2858" s="137" t="s">
        <v>3361</v>
      </c>
      <c r="D2858" s="338">
        <v>14662</v>
      </c>
      <c r="E2858" s="137">
        <v>2645</v>
      </c>
      <c r="F2858" s="137">
        <v>745</v>
      </c>
    </row>
    <row r="2859" spans="1:6" x14ac:dyDescent="0.25">
      <c r="A2859" s="137" t="s">
        <v>19341</v>
      </c>
      <c r="B2859" s="137" t="s">
        <v>71</v>
      </c>
      <c r="C2859" s="137" t="s">
        <v>5563</v>
      </c>
      <c r="D2859" s="338">
        <v>11970</v>
      </c>
      <c r="E2859" s="137">
        <v>2216</v>
      </c>
      <c r="F2859" s="137">
        <v>316</v>
      </c>
    </row>
    <row r="2860" spans="1:6" x14ac:dyDescent="0.25">
      <c r="A2860" s="137" t="s">
        <v>19754</v>
      </c>
      <c r="B2860" s="137" t="s">
        <v>71</v>
      </c>
      <c r="C2860" s="137" t="s">
        <v>4985</v>
      </c>
      <c r="D2860" s="338">
        <v>14905</v>
      </c>
      <c r="E2860" s="137">
        <v>2215</v>
      </c>
      <c r="F2860" s="137">
        <v>315</v>
      </c>
    </row>
    <row r="2861" spans="1:6" x14ac:dyDescent="0.25">
      <c r="A2861" s="137" t="s">
        <v>19595</v>
      </c>
      <c r="B2861" s="137" t="s">
        <v>71</v>
      </c>
      <c r="C2861" s="137" t="s">
        <v>3271</v>
      </c>
      <c r="D2861" s="338">
        <v>13757</v>
      </c>
      <c r="E2861" s="137">
        <v>2441</v>
      </c>
      <c r="F2861" s="137">
        <v>541</v>
      </c>
    </row>
    <row r="2862" spans="1:6" x14ac:dyDescent="0.25">
      <c r="A2862" s="137" t="s">
        <v>19067</v>
      </c>
      <c r="B2862" s="137" t="s">
        <v>71</v>
      </c>
      <c r="C2862" s="137" t="s">
        <v>143</v>
      </c>
      <c r="D2862" s="338">
        <v>7135</v>
      </c>
      <c r="E2862" s="137">
        <v>2482</v>
      </c>
      <c r="F2862" s="137">
        <v>1532</v>
      </c>
    </row>
    <row r="2863" spans="1:6" x14ac:dyDescent="0.25">
      <c r="A2863" s="137" t="s">
        <v>19384</v>
      </c>
      <c r="B2863" s="137" t="s">
        <v>71</v>
      </c>
      <c r="C2863" s="137" t="s">
        <v>5436</v>
      </c>
      <c r="D2863" s="338">
        <v>12337</v>
      </c>
      <c r="E2863" s="137">
        <v>3237</v>
      </c>
      <c r="F2863" s="137">
        <v>387</v>
      </c>
    </row>
    <row r="2864" spans="1:6" x14ac:dyDescent="0.25">
      <c r="A2864" s="137" t="s">
        <v>19744</v>
      </c>
      <c r="B2864" s="137" t="s">
        <v>71</v>
      </c>
      <c r="C2864" s="137" t="s">
        <v>5762</v>
      </c>
      <c r="D2864" s="338">
        <v>14866</v>
      </c>
      <c r="E2864" s="137">
        <v>1951</v>
      </c>
      <c r="F2864" s="137">
        <v>51</v>
      </c>
    </row>
    <row r="2865" spans="1:6" x14ac:dyDescent="0.25">
      <c r="A2865" s="137" t="s">
        <v>19787</v>
      </c>
      <c r="B2865" s="137" t="s">
        <v>71</v>
      </c>
      <c r="C2865" s="137" t="s">
        <v>4320</v>
      </c>
      <c r="D2865" s="338">
        <v>15055</v>
      </c>
      <c r="E2865" s="137">
        <v>1543</v>
      </c>
      <c r="F2865" s="137">
        <v>593</v>
      </c>
    </row>
    <row r="2866" spans="1:6" x14ac:dyDescent="0.25">
      <c r="A2866" s="137" t="s">
        <v>19387</v>
      </c>
      <c r="B2866" s="137" t="s">
        <v>71</v>
      </c>
      <c r="C2866" s="137" t="s">
        <v>5620</v>
      </c>
      <c r="D2866" s="338">
        <v>12361</v>
      </c>
      <c r="E2866" s="137">
        <v>2278</v>
      </c>
      <c r="F2866" s="137">
        <v>378</v>
      </c>
    </row>
    <row r="2867" spans="1:6" x14ac:dyDescent="0.25">
      <c r="A2867" s="137" t="s">
        <v>19060</v>
      </c>
      <c r="B2867" s="137" t="s">
        <v>71</v>
      </c>
      <c r="C2867" s="137" t="s">
        <v>128</v>
      </c>
      <c r="D2867" s="338">
        <v>6896</v>
      </c>
      <c r="E2867" s="137">
        <v>2608</v>
      </c>
      <c r="F2867" s="137">
        <v>708</v>
      </c>
    </row>
    <row r="2868" spans="1:6" x14ac:dyDescent="0.25">
      <c r="A2868" s="137" t="s">
        <v>19013</v>
      </c>
      <c r="B2868" s="137" t="s">
        <v>71</v>
      </c>
      <c r="C2868" s="137" t="s">
        <v>126</v>
      </c>
      <c r="D2868" s="338">
        <v>3279</v>
      </c>
      <c r="E2868" s="137">
        <v>2699</v>
      </c>
      <c r="F2868" s="137">
        <v>799</v>
      </c>
    </row>
    <row r="2869" spans="1:6" x14ac:dyDescent="0.25">
      <c r="A2869" s="137" t="s">
        <v>19292</v>
      </c>
      <c r="B2869" s="137" t="s">
        <v>71</v>
      </c>
      <c r="C2869" s="137" t="s">
        <v>4496</v>
      </c>
      <c r="D2869" s="338">
        <v>11220</v>
      </c>
      <c r="E2869" s="137">
        <v>3625</v>
      </c>
      <c r="F2869" s="137">
        <v>775</v>
      </c>
    </row>
    <row r="2870" spans="1:6" x14ac:dyDescent="0.25">
      <c r="A2870" s="137" t="s">
        <v>19222</v>
      </c>
      <c r="B2870" s="137" t="s">
        <v>71</v>
      </c>
      <c r="C2870" s="137" t="s">
        <v>2984</v>
      </c>
      <c r="D2870" s="338">
        <v>9714</v>
      </c>
      <c r="E2870" s="137">
        <v>2260</v>
      </c>
      <c r="F2870" s="137">
        <v>2260</v>
      </c>
    </row>
    <row r="2871" spans="1:6" x14ac:dyDescent="0.25">
      <c r="A2871" s="137" t="s">
        <v>19181</v>
      </c>
      <c r="B2871" s="137" t="s">
        <v>71</v>
      </c>
      <c r="C2871" s="137" t="s">
        <v>122</v>
      </c>
      <c r="D2871" s="338">
        <v>8918</v>
      </c>
      <c r="E2871" s="137">
        <v>3476</v>
      </c>
      <c r="F2871" s="137">
        <v>626</v>
      </c>
    </row>
    <row r="2872" spans="1:6" x14ac:dyDescent="0.25">
      <c r="A2872" s="137" t="s">
        <v>19065</v>
      </c>
      <c r="B2872" s="137" t="s">
        <v>71</v>
      </c>
      <c r="C2872" s="137" t="s">
        <v>117</v>
      </c>
      <c r="D2872" s="338">
        <v>7039</v>
      </c>
      <c r="E2872" s="137">
        <v>3370</v>
      </c>
      <c r="F2872" s="137">
        <v>520</v>
      </c>
    </row>
    <row r="2873" spans="1:6" x14ac:dyDescent="0.25">
      <c r="A2873" s="137" t="s">
        <v>19234</v>
      </c>
      <c r="B2873" s="137" t="s">
        <v>71</v>
      </c>
      <c r="C2873" s="137" t="s">
        <v>5137</v>
      </c>
      <c r="D2873" s="338">
        <v>10039</v>
      </c>
      <c r="E2873" s="137">
        <v>3454</v>
      </c>
      <c r="F2873" s="137">
        <v>604</v>
      </c>
    </row>
    <row r="2874" spans="1:6" x14ac:dyDescent="0.25">
      <c r="A2874" s="137" t="s">
        <v>19009</v>
      </c>
      <c r="B2874" s="137" t="s">
        <v>71</v>
      </c>
      <c r="C2874" s="137" t="s">
        <v>4818</v>
      </c>
      <c r="D2874" s="338">
        <v>2755</v>
      </c>
      <c r="E2874" s="137">
        <v>3898</v>
      </c>
      <c r="F2874" s="137">
        <v>98</v>
      </c>
    </row>
    <row r="2875" spans="1:6" x14ac:dyDescent="0.25">
      <c r="A2875" s="137" t="s">
        <v>19017</v>
      </c>
      <c r="B2875" s="137" t="s">
        <v>71</v>
      </c>
      <c r="C2875" s="137" t="s">
        <v>2625</v>
      </c>
      <c r="D2875" s="338">
        <v>4403</v>
      </c>
      <c r="E2875" s="137">
        <v>2448</v>
      </c>
      <c r="F2875" s="137">
        <v>2448</v>
      </c>
    </row>
    <row r="2876" spans="1:6" x14ac:dyDescent="0.25">
      <c r="A2876" s="137" t="s">
        <v>19043</v>
      </c>
      <c r="B2876" s="137" t="s">
        <v>71</v>
      </c>
      <c r="C2876" s="137" t="s">
        <v>4835</v>
      </c>
      <c r="D2876" s="338">
        <v>6119</v>
      </c>
      <c r="E2876" s="137">
        <v>2206</v>
      </c>
      <c r="F2876" s="137">
        <v>306</v>
      </c>
    </row>
    <row r="2877" spans="1:6" x14ac:dyDescent="0.25">
      <c r="A2877" s="137" t="s">
        <v>19218</v>
      </c>
      <c r="B2877" s="137" t="s">
        <v>71</v>
      </c>
      <c r="C2877" s="137" t="s">
        <v>3761</v>
      </c>
      <c r="D2877" s="338">
        <v>9530</v>
      </c>
      <c r="E2877" s="137">
        <v>2125</v>
      </c>
      <c r="F2877" s="137">
        <v>225</v>
      </c>
    </row>
    <row r="2878" spans="1:6" x14ac:dyDescent="0.25">
      <c r="A2878" s="137" t="s">
        <v>19107</v>
      </c>
      <c r="B2878" s="137" t="s">
        <v>71</v>
      </c>
      <c r="C2878" s="137" t="s">
        <v>114</v>
      </c>
      <c r="D2878" s="338">
        <v>7867</v>
      </c>
      <c r="E2878" s="137">
        <v>3380</v>
      </c>
      <c r="F2878" s="137">
        <v>1480</v>
      </c>
    </row>
    <row r="2879" spans="1:6" x14ac:dyDescent="0.25">
      <c r="A2879" s="137" t="s">
        <v>19073</v>
      </c>
      <c r="B2879" s="137" t="s">
        <v>71</v>
      </c>
      <c r="C2879" s="137" t="s">
        <v>4906</v>
      </c>
      <c r="D2879" s="338">
        <v>7268</v>
      </c>
      <c r="E2879" s="137">
        <v>3381</v>
      </c>
      <c r="F2879" s="137">
        <v>531</v>
      </c>
    </row>
    <row r="2880" spans="1:6" x14ac:dyDescent="0.25">
      <c r="A2880" s="137" t="s">
        <v>19128</v>
      </c>
      <c r="B2880" s="137" t="s">
        <v>71</v>
      </c>
      <c r="C2880" s="137" t="s">
        <v>113</v>
      </c>
      <c r="D2880" s="338">
        <v>8119</v>
      </c>
      <c r="E2880" s="137">
        <v>4076</v>
      </c>
      <c r="F2880" s="137">
        <v>3126</v>
      </c>
    </row>
    <row r="2881" spans="1:6" x14ac:dyDescent="0.25">
      <c r="A2881" s="137" t="s">
        <v>19345</v>
      </c>
      <c r="B2881" s="137" t="s">
        <v>71</v>
      </c>
      <c r="C2881" s="137" t="s">
        <v>3078</v>
      </c>
      <c r="D2881" s="338">
        <v>11988</v>
      </c>
      <c r="E2881" s="137">
        <v>3323</v>
      </c>
      <c r="F2881" s="137">
        <v>473</v>
      </c>
    </row>
    <row r="2882" spans="1:6" x14ac:dyDescent="0.25">
      <c r="A2882" s="137" t="s">
        <v>19450</v>
      </c>
      <c r="B2882" s="137" t="s">
        <v>71</v>
      </c>
      <c r="C2882" s="137" t="s">
        <v>110</v>
      </c>
      <c r="D2882" s="338">
        <v>12798</v>
      </c>
      <c r="E2882" s="137">
        <v>3429</v>
      </c>
      <c r="F2882" s="137">
        <v>579</v>
      </c>
    </row>
    <row r="2883" spans="1:6" x14ac:dyDescent="0.25">
      <c r="A2883" s="137" t="s">
        <v>19201</v>
      </c>
      <c r="B2883" s="137" t="s">
        <v>71</v>
      </c>
      <c r="C2883" s="137" t="s">
        <v>4979</v>
      </c>
      <c r="D2883" s="338">
        <v>9226</v>
      </c>
      <c r="E2883" s="137">
        <v>2310</v>
      </c>
      <c r="F2883" s="137">
        <v>2310</v>
      </c>
    </row>
    <row r="2884" spans="1:6" x14ac:dyDescent="0.25">
      <c r="A2884" s="137" t="s">
        <v>19408</v>
      </c>
      <c r="B2884" s="137" t="s">
        <v>71</v>
      </c>
      <c r="C2884" s="137" t="s">
        <v>4756</v>
      </c>
      <c r="D2884" s="338">
        <v>12509</v>
      </c>
      <c r="E2884" s="137">
        <v>3773</v>
      </c>
      <c r="F2884" s="137">
        <v>923</v>
      </c>
    </row>
    <row r="2885" spans="1:6" x14ac:dyDescent="0.25">
      <c r="A2885" s="137" t="s">
        <v>19602</v>
      </c>
      <c r="B2885" s="137" t="s">
        <v>71</v>
      </c>
      <c r="C2885" s="137" t="s">
        <v>4335</v>
      </c>
      <c r="D2885" s="338">
        <v>13793</v>
      </c>
      <c r="E2885" s="137">
        <v>2976</v>
      </c>
      <c r="F2885" s="137">
        <v>126</v>
      </c>
    </row>
    <row r="2886" spans="1:6" x14ac:dyDescent="0.25">
      <c r="A2886" s="137" t="s">
        <v>19757</v>
      </c>
      <c r="B2886" s="137" t="s">
        <v>71</v>
      </c>
      <c r="C2886" s="137" t="s">
        <v>5457</v>
      </c>
      <c r="D2886" s="338">
        <v>14922</v>
      </c>
      <c r="E2886" s="137">
        <v>2587</v>
      </c>
      <c r="F2886" s="137">
        <v>687</v>
      </c>
    </row>
    <row r="2887" spans="1:6" x14ac:dyDescent="0.25">
      <c r="A2887" s="137" t="s">
        <v>19816</v>
      </c>
      <c r="B2887" s="137" t="s">
        <v>71</v>
      </c>
      <c r="C2887" s="137" t="s">
        <v>4383</v>
      </c>
      <c r="D2887" s="338">
        <v>11975</v>
      </c>
      <c r="E2887" s="137">
        <v>1905</v>
      </c>
      <c r="F2887" s="137">
        <v>1905</v>
      </c>
    </row>
    <row r="2888" spans="1:6" x14ac:dyDescent="0.25">
      <c r="A2888" s="137" t="s">
        <v>19299</v>
      </c>
      <c r="B2888" s="137" t="s">
        <v>71</v>
      </c>
      <c r="C2888" s="137" t="s">
        <v>103</v>
      </c>
      <c r="D2888" s="338">
        <v>11343</v>
      </c>
      <c r="E2888" s="137">
        <v>3018</v>
      </c>
      <c r="F2888" s="137">
        <v>168</v>
      </c>
    </row>
    <row r="2889" spans="1:6" x14ac:dyDescent="0.25">
      <c r="A2889" s="137" t="s">
        <v>19123</v>
      </c>
      <c r="B2889" s="137" t="s">
        <v>71</v>
      </c>
      <c r="C2889" s="137" t="s">
        <v>5204</v>
      </c>
      <c r="D2889" s="338">
        <v>8087</v>
      </c>
      <c r="E2889" s="137">
        <v>2139</v>
      </c>
      <c r="F2889" s="137">
        <v>239</v>
      </c>
    </row>
    <row r="2890" spans="1:6" x14ac:dyDescent="0.25">
      <c r="A2890" s="137" t="s">
        <v>19400</v>
      </c>
      <c r="B2890" s="137" t="s">
        <v>71</v>
      </c>
      <c r="C2890" s="137" t="s">
        <v>5717</v>
      </c>
      <c r="D2890" s="338">
        <v>12475</v>
      </c>
      <c r="E2890" s="137">
        <v>2495</v>
      </c>
      <c r="F2890" s="137">
        <v>595</v>
      </c>
    </row>
    <row r="2891" spans="1:6" x14ac:dyDescent="0.25">
      <c r="A2891" s="137" t="s">
        <v>19338</v>
      </c>
      <c r="B2891" s="137" t="s">
        <v>71</v>
      </c>
      <c r="C2891" s="137" t="s">
        <v>5737</v>
      </c>
      <c r="D2891" s="338">
        <v>11953</v>
      </c>
      <c r="E2891" s="137">
        <v>2598</v>
      </c>
      <c r="F2891" s="137">
        <v>698</v>
      </c>
    </row>
    <row r="2892" spans="1:6" x14ac:dyDescent="0.25">
      <c r="A2892" s="137" t="s">
        <v>19057</v>
      </c>
      <c r="B2892" s="137" t="s">
        <v>71</v>
      </c>
      <c r="C2892" s="137" t="s">
        <v>100</v>
      </c>
      <c r="D2892" s="338">
        <v>6848</v>
      </c>
      <c r="E2892" s="137">
        <v>3429</v>
      </c>
      <c r="F2892" s="137">
        <v>579</v>
      </c>
    </row>
    <row r="2893" spans="1:6" x14ac:dyDescent="0.25">
      <c r="A2893" s="137" t="s">
        <v>19110</v>
      </c>
      <c r="B2893" s="137" t="s">
        <v>71</v>
      </c>
      <c r="C2893" s="137" t="s">
        <v>97</v>
      </c>
      <c r="D2893" s="338">
        <v>7892</v>
      </c>
      <c r="E2893" s="137">
        <v>3258</v>
      </c>
      <c r="F2893" s="137">
        <v>408</v>
      </c>
    </row>
    <row r="2894" spans="1:6" x14ac:dyDescent="0.25">
      <c r="A2894" s="137" t="s">
        <v>19176</v>
      </c>
      <c r="B2894" s="137" t="s">
        <v>71</v>
      </c>
      <c r="C2894" s="137" t="s">
        <v>95</v>
      </c>
      <c r="D2894" s="338">
        <v>8870</v>
      </c>
      <c r="E2894" s="137">
        <v>3032</v>
      </c>
      <c r="F2894" s="137">
        <v>182</v>
      </c>
    </row>
    <row r="2895" spans="1:6" x14ac:dyDescent="0.25">
      <c r="A2895" s="137" t="s">
        <v>19603</v>
      </c>
      <c r="B2895" s="137" t="s">
        <v>71</v>
      </c>
      <c r="C2895" s="137" t="s">
        <v>5298</v>
      </c>
      <c r="D2895" s="338">
        <v>13805</v>
      </c>
      <c r="E2895" s="137">
        <v>2807</v>
      </c>
      <c r="F2895" s="137">
        <v>907</v>
      </c>
    </row>
    <row r="2896" spans="1:6" x14ac:dyDescent="0.25">
      <c r="A2896" s="137" t="s">
        <v>19725</v>
      </c>
      <c r="B2896" s="137" t="s">
        <v>71</v>
      </c>
      <c r="C2896" s="137" t="s">
        <v>5509</v>
      </c>
      <c r="D2896" s="338">
        <v>14712</v>
      </c>
      <c r="E2896" s="137">
        <v>2432</v>
      </c>
      <c r="F2896" s="137">
        <v>532</v>
      </c>
    </row>
    <row r="2897" spans="1:6" x14ac:dyDescent="0.25">
      <c r="A2897" s="137" t="s">
        <v>19631</v>
      </c>
      <c r="B2897" s="137" t="s">
        <v>71</v>
      </c>
      <c r="C2897" s="137" t="s">
        <v>5513</v>
      </c>
      <c r="D2897" s="338">
        <v>14048</v>
      </c>
      <c r="E2897" s="137">
        <v>2717</v>
      </c>
      <c r="F2897" s="137">
        <v>817</v>
      </c>
    </row>
    <row r="2898" spans="1:6" x14ac:dyDescent="0.25">
      <c r="A2898" s="137" t="s">
        <v>19698</v>
      </c>
      <c r="B2898" s="137" t="s">
        <v>71</v>
      </c>
      <c r="C2898" s="137" t="s">
        <v>79</v>
      </c>
      <c r="D2898" s="338">
        <v>14518</v>
      </c>
      <c r="E2898" s="137">
        <v>2582</v>
      </c>
      <c r="F2898" s="137">
        <v>682</v>
      </c>
    </row>
    <row r="2899" spans="1:6" x14ac:dyDescent="0.25">
      <c r="A2899" s="137" t="s">
        <v>19506</v>
      </c>
      <c r="B2899" s="137" t="s">
        <v>71</v>
      </c>
      <c r="C2899" s="137" t="s">
        <v>5047</v>
      </c>
      <c r="D2899" s="338">
        <v>13127</v>
      </c>
      <c r="E2899" s="137">
        <v>2949</v>
      </c>
      <c r="F2899" s="137">
        <v>99</v>
      </c>
    </row>
    <row r="2900" spans="1:6" x14ac:dyDescent="0.25">
      <c r="A2900" s="137" t="s">
        <v>19276</v>
      </c>
      <c r="B2900" s="137" t="s">
        <v>71</v>
      </c>
      <c r="C2900" s="137" t="s">
        <v>74</v>
      </c>
      <c r="D2900" s="338">
        <v>10972</v>
      </c>
      <c r="E2900" s="137">
        <v>3540</v>
      </c>
      <c r="F2900" s="137">
        <v>690</v>
      </c>
    </row>
    <row r="2901" spans="1:6" x14ac:dyDescent="0.25">
      <c r="A2901" s="137" t="s">
        <v>19085</v>
      </c>
      <c r="B2901" s="137" t="s">
        <v>71</v>
      </c>
      <c r="C2901" s="137" t="s">
        <v>65</v>
      </c>
      <c r="D2901" s="338">
        <v>7432</v>
      </c>
      <c r="E2901" s="137">
        <v>3280</v>
      </c>
      <c r="F2901" s="137">
        <v>430</v>
      </c>
    </row>
    <row r="2902" spans="1:6" x14ac:dyDescent="0.25">
      <c r="A2902" s="137" t="s">
        <v>19147</v>
      </c>
      <c r="B2902" s="137" t="s">
        <v>71</v>
      </c>
      <c r="C2902" s="137" t="s">
        <v>63</v>
      </c>
      <c r="D2902" s="338">
        <v>8438</v>
      </c>
      <c r="E2902" s="137">
        <v>3052</v>
      </c>
      <c r="F2902" s="137">
        <v>202</v>
      </c>
    </row>
    <row r="2903" spans="1:6" x14ac:dyDescent="0.25">
      <c r="A2903" s="137" t="s">
        <v>19327</v>
      </c>
      <c r="B2903" s="137" t="s">
        <v>71</v>
      </c>
      <c r="C2903" s="137" t="s">
        <v>4969</v>
      </c>
      <c r="D2903" s="338">
        <v>11821</v>
      </c>
      <c r="E2903" s="137">
        <v>3446</v>
      </c>
      <c r="F2903" s="137">
        <v>596</v>
      </c>
    </row>
    <row r="2904" spans="1:6" x14ac:dyDescent="0.25">
      <c r="A2904" s="137" t="s">
        <v>19585</v>
      </c>
      <c r="B2904" s="137" t="s">
        <v>71</v>
      </c>
      <c r="C2904" s="137" t="s">
        <v>4223</v>
      </c>
      <c r="D2904" s="338">
        <v>13678</v>
      </c>
      <c r="E2904" s="137">
        <v>2877</v>
      </c>
      <c r="F2904" s="137">
        <v>27</v>
      </c>
    </row>
    <row r="2905" spans="1:6" x14ac:dyDescent="0.25">
      <c r="A2905" s="137" t="s">
        <v>19557</v>
      </c>
      <c r="B2905" s="137" t="s">
        <v>71</v>
      </c>
      <c r="C2905" s="137" t="s">
        <v>4611</v>
      </c>
      <c r="D2905" s="338">
        <v>13443</v>
      </c>
      <c r="E2905" s="137">
        <v>2969</v>
      </c>
      <c r="F2905" s="137">
        <v>119</v>
      </c>
    </row>
    <row r="2906" spans="1:6" x14ac:dyDescent="0.25">
      <c r="A2906" s="137" t="s">
        <v>19469</v>
      </c>
      <c r="B2906" s="137" t="s">
        <v>71</v>
      </c>
      <c r="C2906" s="137" t="s">
        <v>58</v>
      </c>
      <c r="D2906" s="338">
        <v>12922</v>
      </c>
      <c r="E2906" s="137">
        <v>3608</v>
      </c>
      <c r="F2906" s="137">
        <v>-1142</v>
      </c>
    </row>
    <row r="2907" spans="1:6" x14ac:dyDescent="0.25">
      <c r="A2907" s="137" t="s">
        <v>19472</v>
      </c>
      <c r="B2907" s="137" t="s">
        <v>71</v>
      </c>
      <c r="C2907" s="137" t="s">
        <v>5070</v>
      </c>
      <c r="D2907" s="338">
        <v>12935</v>
      </c>
      <c r="E2907" s="137">
        <v>2716</v>
      </c>
      <c r="F2907" s="137">
        <v>816</v>
      </c>
    </row>
    <row r="2908" spans="1:6" x14ac:dyDescent="0.25">
      <c r="A2908" s="137" t="s">
        <v>19657</v>
      </c>
      <c r="B2908" s="137" t="s">
        <v>71</v>
      </c>
      <c r="C2908" s="137" t="s">
        <v>55</v>
      </c>
      <c r="D2908" s="338">
        <v>14171</v>
      </c>
      <c r="E2908" s="137">
        <v>2122</v>
      </c>
      <c r="F2908" s="137">
        <v>222</v>
      </c>
    </row>
    <row r="2909" spans="1:6" x14ac:dyDescent="0.25">
      <c r="A2909" s="137" t="s">
        <v>19162</v>
      </c>
      <c r="B2909" s="137" t="s">
        <v>71</v>
      </c>
      <c r="C2909" s="137" t="s">
        <v>52</v>
      </c>
      <c r="D2909" s="338">
        <v>8625</v>
      </c>
      <c r="E2909" s="137">
        <v>2957</v>
      </c>
      <c r="F2909" s="137">
        <v>107</v>
      </c>
    </row>
    <row r="2910" spans="1:6" x14ac:dyDescent="0.25">
      <c r="A2910" s="137" t="s">
        <v>19235</v>
      </c>
      <c r="B2910" s="137" t="s">
        <v>71</v>
      </c>
      <c r="C2910" s="137" t="s">
        <v>4211</v>
      </c>
      <c r="D2910" s="338">
        <v>10048</v>
      </c>
      <c r="E2910" s="137">
        <v>3399</v>
      </c>
      <c r="F2910" s="137">
        <v>549</v>
      </c>
    </row>
    <row r="2911" spans="1:6" x14ac:dyDescent="0.25">
      <c r="A2911" s="137" t="s">
        <v>19076</v>
      </c>
      <c r="B2911" s="137" t="s">
        <v>71</v>
      </c>
      <c r="C2911" s="137" t="s">
        <v>47</v>
      </c>
      <c r="D2911" s="338">
        <v>7287</v>
      </c>
      <c r="E2911" s="137">
        <v>2649</v>
      </c>
      <c r="F2911" s="137">
        <v>749</v>
      </c>
    </row>
    <row r="2912" spans="1:6" x14ac:dyDescent="0.25">
      <c r="A2912" s="137" t="s">
        <v>19074</v>
      </c>
      <c r="B2912" s="137" t="s">
        <v>71</v>
      </c>
      <c r="C2912" s="137" t="s">
        <v>5257</v>
      </c>
      <c r="D2912" s="338">
        <v>7272</v>
      </c>
      <c r="E2912" s="137">
        <v>2194</v>
      </c>
      <c r="F2912" s="137">
        <v>294</v>
      </c>
    </row>
    <row r="2913" spans="1:6" x14ac:dyDescent="0.25">
      <c r="A2913" s="137" t="s">
        <v>19374</v>
      </c>
      <c r="B2913" s="137" t="s">
        <v>71</v>
      </c>
      <c r="C2913" s="137" t="s">
        <v>4677</v>
      </c>
      <c r="D2913" s="338">
        <v>12227</v>
      </c>
      <c r="E2913" s="137">
        <v>2865</v>
      </c>
      <c r="F2913" s="137">
        <v>15</v>
      </c>
    </row>
    <row r="2914" spans="1:6" x14ac:dyDescent="0.25">
      <c r="A2914" s="137" t="s">
        <v>19173</v>
      </c>
      <c r="B2914" s="137" t="s">
        <v>71</v>
      </c>
      <c r="C2914" s="137" t="s">
        <v>42</v>
      </c>
      <c r="D2914" s="338">
        <v>8842</v>
      </c>
      <c r="E2914" s="137">
        <v>2907</v>
      </c>
      <c r="F2914" s="137">
        <v>57</v>
      </c>
    </row>
    <row r="2915" spans="1:6" x14ac:dyDescent="0.25">
      <c r="A2915" s="137" t="s">
        <v>19377</v>
      </c>
      <c r="B2915" s="137" t="s">
        <v>71</v>
      </c>
      <c r="C2915" s="137" t="s">
        <v>3636</v>
      </c>
      <c r="D2915" s="338">
        <v>12252</v>
      </c>
      <c r="E2915" s="137">
        <v>2346</v>
      </c>
      <c r="F2915" s="137">
        <v>446</v>
      </c>
    </row>
    <row r="2916" spans="1:6" x14ac:dyDescent="0.25">
      <c r="A2916" s="137" t="s">
        <v>19180</v>
      </c>
      <c r="B2916" s="137" t="s">
        <v>71</v>
      </c>
      <c r="C2916" s="137" t="s">
        <v>5331</v>
      </c>
      <c r="D2916" s="338">
        <v>8914</v>
      </c>
      <c r="E2916" s="137">
        <v>2899</v>
      </c>
      <c r="F2916" s="137">
        <v>49</v>
      </c>
    </row>
    <row r="2917" spans="1:6" x14ac:dyDescent="0.25">
      <c r="A2917" s="137" t="s">
        <v>19300</v>
      </c>
      <c r="B2917" s="137" t="s">
        <v>71</v>
      </c>
      <c r="C2917" s="137" t="s">
        <v>3628</v>
      </c>
      <c r="D2917" s="338">
        <v>11354</v>
      </c>
      <c r="E2917" s="137">
        <v>3439</v>
      </c>
      <c r="F2917" s="137">
        <v>589</v>
      </c>
    </row>
    <row r="2918" spans="1:6" x14ac:dyDescent="0.25">
      <c r="A2918" s="137" t="s">
        <v>19538</v>
      </c>
      <c r="B2918" s="137" t="s">
        <v>71</v>
      </c>
      <c r="C2918" s="137" t="s">
        <v>4685</v>
      </c>
      <c r="D2918" s="338">
        <v>13342</v>
      </c>
      <c r="E2918" s="137">
        <v>2749</v>
      </c>
      <c r="F2918" s="137">
        <v>849</v>
      </c>
    </row>
    <row r="2919" spans="1:6" x14ac:dyDescent="0.25">
      <c r="A2919" s="137" t="s">
        <v>19577</v>
      </c>
      <c r="B2919" s="137" t="s">
        <v>71</v>
      </c>
      <c r="C2919" s="137" t="s">
        <v>5336</v>
      </c>
      <c r="D2919" s="338">
        <v>13612</v>
      </c>
      <c r="E2919" s="137">
        <v>3322</v>
      </c>
      <c r="F2919" s="137">
        <v>472</v>
      </c>
    </row>
    <row r="2920" spans="1:6" x14ac:dyDescent="0.25">
      <c r="A2920" s="137" t="s">
        <v>19237</v>
      </c>
      <c r="B2920" s="137" t="s">
        <v>71</v>
      </c>
      <c r="C2920" s="137" t="s">
        <v>40</v>
      </c>
      <c r="D2920" s="338">
        <v>10113</v>
      </c>
      <c r="E2920" s="137">
        <v>2911</v>
      </c>
      <c r="F2920" s="137">
        <v>61</v>
      </c>
    </row>
    <row r="2921" spans="1:6" x14ac:dyDescent="0.25">
      <c r="A2921" s="137" t="s">
        <v>19261</v>
      </c>
      <c r="B2921" s="137" t="s">
        <v>71</v>
      </c>
      <c r="C2921" s="137" t="s">
        <v>34</v>
      </c>
      <c r="D2921" s="338">
        <v>10792</v>
      </c>
      <c r="E2921" s="137">
        <v>3313</v>
      </c>
      <c r="F2921" s="137">
        <v>463</v>
      </c>
    </row>
    <row r="2922" spans="1:6" x14ac:dyDescent="0.25">
      <c r="A2922" s="137" t="s">
        <v>19215</v>
      </c>
      <c r="B2922" s="137" t="s">
        <v>71</v>
      </c>
      <c r="C2922" s="137" t="s">
        <v>4078</v>
      </c>
      <c r="D2922" s="338">
        <v>9449</v>
      </c>
      <c r="E2922" s="137">
        <v>2264</v>
      </c>
      <c r="F2922" s="137">
        <v>364</v>
      </c>
    </row>
    <row r="2923" spans="1:6" x14ac:dyDescent="0.25">
      <c r="A2923" s="137" t="s">
        <v>19547</v>
      </c>
      <c r="B2923" s="137" t="s">
        <v>71</v>
      </c>
      <c r="C2923" s="137" t="s">
        <v>5380</v>
      </c>
      <c r="D2923" s="338">
        <v>13396</v>
      </c>
      <c r="E2923" s="137">
        <v>3131</v>
      </c>
      <c r="F2923" s="137">
        <v>281</v>
      </c>
    </row>
    <row r="2924" spans="1:6" x14ac:dyDescent="0.25">
      <c r="A2924" s="137" t="s">
        <v>19701</v>
      </c>
      <c r="B2924" s="137" t="s">
        <v>71</v>
      </c>
      <c r="C2924" s="137" t="s">
        <v>5511</v>
      </c>
      <c r="D2924" s="338">
        <v>14525</v>
      </c>
      <c r="E2924" s="137">
        <v>2420</v>
      </c>
      <c r="F2924" s="137">
        <v>520</v>
      </c>
    </row>
    <row r="2925" spans="1:6" x14ac:dyDescent="0.25">
      <c r="A2925" s="137" t="s">
        <v>19522</v>
      </c>
      <c r="B2925" s="137" t="s">
        <v>71</v>
      </c>
      <c r="C2925" s="137" t="s">
        <v>4464</v>
      </c>
      <c r="D2925" s="338">
        <v>13227</v>
      </c>
      <c r="E2925" s="137">
        <v>3043</v>
      </c>
      <c r="F2925" s="137">
        <v>193</v>
      </c>
    </row>
    <row r="2926" spans="1:6" x14ac:dyDescent="0.25">
      <c r="A2926" s="137" t="s">
        <v>19306</v>
      </c>
      <c r="B2926" s="137" t="s">
        <v>71</v>
      </c>
      <c r="C2926" s="137" t="s">
        <v>1533</v>
      </c>
      <c r="D2926" s="338">
        <v>11453</v>
      </c>
      <c r="E2926" s="137">
        <v>3661</v>
      </c>
      <c r="F2926" s="137">
        <v>811</v>
      </c>
    </row>
    <row r="2927" spans="1:6" x14ac:dyDescent="0.25">
      <c r="A2927" s="137" t="s">
        <v>19353</v>
      </c>
      <c r="B2927" s="137" t="s">
        <v>71</v>
      </c>
      <c r="C2927" s="137" t="s">
        <v>4327</v>
      </c>
      <c r="D2927" s="338">
        <v>12059</v>
      </c>
      <c r="E2927" s="137">
        <v>3225</v>
      </c>
      <c r="F2927" s="137">
        <v>375</v>
      </c>
    </row>
    <row r="2928" spans="1:6" x14ac:dyDescent="0.25">
      <c r="A2928" s="137" t="s">
        <v>19132</v>
      </c>
      <c r="B2928" s="137" t="s">
        <v>71</v>
      </c>
      <c r="C2928" s="137" t="s">
        <v>18</v>
      </c>
      <c r="D2928" s="338">
        <v>8177</v>
      </c>
      <c r="E2928" s="137">
        <v>3148</v>
      </c>
      <c r="F2928" s="137">
        <v>298</v>
      </c>
    </row>
    <row r="2929" spans="1:6" x14ac:dyDescent="0.25">
      <c r="A2929" s="137" t="s">
        <v>19170</v>
      </c>
      <c r="B2929" s="137" t="s">
        <v>71</v>
      </c>
      <c r="C2929" s="137" t="s">
        <v>15</v>
      </c>
      <c r="D2929" s="338">
        <v>8797</v>
      </c>
      <c r="E2929" s="137">
        <v>3262</v>
      </c>
      <c r="F2929" s="137">
        <v>412</v>
      </c>
    </row>
    <row r="2930" spans="1:6" x14ac:dyDescent="0.25">
      <c r="A2930" s="137" t="s">
        <v>19533</v>
      </c>
      <c r="B2930" s="137" t="s">
        <v>71</v>
      </c>
      <c r="C2930" s="137" t="s">
        <v>5454</v>
      </c>
      <c r="D2930" s="338">
        <v>13296</v>
      </c>
      <c r="E2930" s="137">
        <v>2362</v>
      </c>
      <c r="F2930" s="137">
        <v>462</v>
      </c>
    </row>
    <row r="2931" spans="1:6" x14ac:dyDescent="0.25">
      <c r="A2931" s="137" t="s">
        <v>19406</v>
      </c>
      <c r="B2931" s="137" t="s">
        <v>71</v>
      </c>
      <c r="C2931" s="137" t="s">
        <v>483</v>
      </c>
      <c r="D2931" s="338">
        <v>12504</v>
      </c>
      <c r="E2931" s="137">
        <v>2616</v>
      </c>
      <c r="F2931" s="137">
        <v>716</v>
      </c>
    </row>
    <row r="2932" spans="1:6" x14ac:dyDescent="0.25">
      <c r="A2932" s="137" t="s">
        <v>19674</v>
      </c>
      <c r="B2932" s="137" t="s">
        <v>71</v>
      </c>
      <c r="C2932" s="137" t="s">
        <v>5240</v>
      </c>
      <c r="D2932" s="338">
        <v>14302</v>
      </c>
      <c r="E2932" s="137">
        <v>1657</v>
      </c>
      <c r="F2932" s="137">
        <v>1657</v>
      </c>
    </row>
    <row r="2933" spans="1:6" x14ac:dyDescent="0.25">
      <c r="A2933" s="137" t="s">
        <v>19515</v>
      </c>
      <c r="B2933" s="137" t="s">
        <v>71</v>
      </c>
      <c r="C2933" s="137" t="s">
        <v>5613</v>
      </c>
      <c r="D2933" s="338">
        <v>13188</v>
      </c>
      <c r="E2933" s="137">
        <v>2555</v>
      </c>
      <c r="F2933" s="137">
        <v>655</v>
      </c>
    </row>
    <row r="2934" spans="1:6" x14ac:dyDescent="0.25">
      <c r="A2934" s="137" t="s">
        <v>19690</v>
      </c>
      <c r="B2934" s="137" t="s">
        <v>71</v>
      </c>
      <c r="C2934" s="137" t="s">
        <v>14216</v>
      </c>
      <c r="D2934" s="338">
        <v>14472</v>
      </c>
      <c r="E2934" s="137">
        <v>2072</v>
      </c>
      <c r="F2934" s="137">
        <v>172</v>
      </c>
    </row>
  </sheetData>
  <phoneticPr fontId="1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1143A-89AD-4697-A377-A60E3FA4B341}">
  <dimension ref="A1:M490"/>
  <sheetViews>
    <sheetView topLeftCell="E1" zoomScaleNormal="100" workbookViewId="0">
      <selection activeCell="M3" sqref="M3"/>
    </sheetView>
  </sheetViews>
  <sheetFormatPr defaultRowHeight="15" x14ac:dyDescent="0.25"/>
  <cols>
    <col min="1" max="1" width="27" bestFit="1" customWidth="1"/>
    <col min="2" max="2" width="20" bestFit="1" customWidth="1"/>
    <col min="3" max="3" width="19" style="251" bestFit="1" customWidth="1"/>
    <col min="4" max="4" width="19" bestFit="1" customWidth="1"/>
    <col min="11" max="11" width="89.28515625" bestFit="1" customWidth="1"/>
    <col min="12" max="12" width="97.85546875" style="17" bestFit="1" customWidth="1"/>
  </cols>
  <sheetData>
    <row r="1" spans="1:13" x14ac:dyDescent="0.25">
      <c r="I1" t="s">
        <v>18856</v>
      </c>
      <c r="J1" t="s">
        <v>18857</v>
      </c>
      <c r="K1" t="s">
        <v>18858</v>
      </c>
      <c r="L1" s="17" t="s">
        <v>18859</v>
      </c>
      <c r="M1" t="s">
        <v>18860</v>
      </c>
    </row>
    <row r="2" spans="1:13" x14ac:dyDescent="0.25">
      <c r="I2" t="s">
        <v>18855</v>
      </c>
      <c r="J2">
        <v>19</v>
      </c>
      <c r="K2" t="s">
        <v>18372</v>
      </c>
      <c r="L2" s="17">
        <v>49</v>
      </c>
      <c r="M2">
        <f>Table23[[#This Row],[AIRCRAFT]]/7</f>
        <v>7</v>
      </c>
    </row>
    <row r="3" spans="1:13" x14ac:dyDescent="0.25">
      <c r="A3" s="152" t="s">
        <v>14058</v>
      </c>
      <c r="B3" t="s">
        <v>14067</v>
      </c>
      <c r="C3" t="s">
        <v>16809</v>
      </c>
      <c r="I3" t="s">
        <v>18855</v>
      </c>
      <c r="J3">
        <v>172</v>
      </c>
      <c r="K3" t="s">
        <v>18423</v>
      </c>
      <c r="L3" s="17">
        <v>49</v>
      </c>
      <c r="M3">
        <f>Table23[[#This Row],[AIRCRAFT]]/7</f>
        <v>7</v>
      </c>
    </row>
    <row r="4" spans="1:13" x14ac:dyDescent="0.25">
      <c r="A4" s="17" t="s">
        <v>12671</v>
      </c>
      <c r="B4" s="103">
        <v>35597.37654121068</v>
      </c>
      <c r="C4" s="145">
        <v>22.872483221476511</v>
      </c>
      <c r="I4" t="s">
        <v>18855</v>
      </c>
      <c r="J4">
        <v>358</v>
      </c>
      <c r="K4" t="s">
        <v>18485</v>
      </c>
      <c r="L4" s="17">
        <v>49</v>
      </c>
      <c r="M4">
        <f>Table23[[#This Row],[AIRCRAFT]]/7</f>
        <v>7</v>
      </c>
    </row>
    <row r="5" spans="1:13" x14ac:dyDescent="0.25">
      <c r="A5" s="17" t="s">
        <v>12670</v>
      </c>
      <c r="B5" s="103">
        <v>35555.488522471336</v>
      </c>
      <c r="C5" s="145">
        <v>30.089015151515152</v>
      </c>
      <c r="I5" t="s">
        <v>18855</v>
      </c>
      <c r="J5">
        <v>706</v>
      </c>
      <c r="K5" t="s">
        <v>18601</v>
      </c>
      <c r="L5" s="17">
        <v>42</v>
      </c>
      <c r="M5">
        <f>Table23[[#This Row],[AIRCRAFT]]/7</f>
        <v>6</v>
      </c>
    </row>
    <row r="6" spans="1:13" x14ac:dyDescent="0.25">
      <c r="A6" s="17" t="s">
        <v>12674</v>
      </c>
      <c r="B6" s="103">
        <v>29485.224340767927</v>
      </c>
      <c r="C6" s="145">
        <v>20.976765799256505</v>
      </c>
      <c r="I6" t="s">
        <v>18855</v>
      </c>
      <c r="J6">
        <v>10</v>
      </c>
      <c r="K6" t="s">
        <v>18369</v>
      </c>
      <c r="L6" s="17">
        <v>35</v>
      </c>
      <c r="M6">
        <f>Table23[[#This Row],[AIRCRAFT]]/7</f>
        <v>5</v>
      </c>
    </row>
    <row r="7" spans="1:13" x14ac:dyDescent="0.25">
      <c r="A7" s="17" t="s">
        <v>12688</v>
      </c>
      <c r="B7" s="103">
        <v>22956.762336467364</v>
      </c>
      <c r="C7" s="145">
        <v>7.7231182795698921</v>
      </c>
      <c r="I7" t="s">
        <v>18855</v>
      </c>
      <c r="J7">
        <v>118</v>
      </c>
      <c r="K7" t="s">
        <v>18405</v>
      </c>
      <c r="L7" s="17">
        <v>35</v>
      </c>
      <c r="M7">
        <f>Table23[[#This Row],[AIRCRAFT]]/7</f>
        <v>5</v>
      </c>
    </row>
    <row r="8" spans="1:13" x14ac:dyDescent="0.25">
      <c r="A8" s="17" t="s">
        <v>15969</v>
      </c>
      <c r="B8" s="103">
        <v>10274.80595737799</v>
      </c>
      <c r="C8" s="145">
        <v>9.6947368421052627</v>
      </c>
      <c r="I8" t="s">
        <v>18855</v>
      </c>
      <c r="J8">
        <v>244</v>
      </c>
      <c r="K8" t="s">
        <v>18447</v>
      </c>
      <c r="L8" s="17">
        <v>35</v>
      </c>
      <c r="M8">
        <f>Table23[[#This Row],[AIRCRAFT]]/7</f>
        <v>5</v>
      </c>
    </row>
    <row r="9" spans="1:13" x14ac:dyDescent="0.25">
      <c r="A9" s="191" t="s">
        <v>11732</v>
      </c>
      <c r="B9" s="103">
        <v>10274.80595737799</v>
      </c>
      <c r="C9" s="145">
        <v>9.6947368421052627</v>
      </c>
      <c r="I9" t="s">
        <v>18855</v>
      </c>
      <c r="J9">
        <v>322</v>
      </c>
      <c r="K9" t="s">
        <v>18473</v>
      </c>
      <c r="L9" s="17">
        <v>35</v>
      </c>
      <c r="M9">
        <f>Table23[[#This Row],[AIRCRAFT]]/7</f>
        <v>5</v>
      </c>
    </row>
    <row r="10" spans="1:13" x14ac:dyDescent="0.25">
      <c r="A10" s="17" t="s">
        <v>12682</v>
      </c>
      <c r="B10" s="103">
        <v>91220.416204527864</v>
      </c>
      <c r="C10" s="145">
        <v>29.653846153846153</v>
      </c>
      <c r="I10" t="s">
        <v>18855</v>
      </c>
      <c r="J10">
        <v>406</v>
      </c>
      <c r="K10" t="s">
        <v>18501</v>
      </c>
      <c r="L10" s="17">
        <v>35</v>
      </c>
      <c r="M10">
        <f>Table23[[#This Row],[AIRCRAFT]]/7</f>
        <v>5</v>
      </c>
    </row>
    <row r="11" spans="1:13" x14ac:dyDescent="0.25">
      <c r="A11" s="17" t="s">
        <v>12694</v>
      </c>
      <c r="B11" s="103">
        <v>47965.504125804233</v>
      </c>
      <c r="C11" s="145">
        <v>11.820588235294117</v>
      </c>
      <c r="I11" t="s">
        <v>18855</v>
      </c>
      <c r="J11">
        <v>610</v>
      </c>
      <c r="K11" t="s">
        <v>18569</v>
      </c>
      <c r="L11" s="17">
        <v>35</v>
      </c>
      <c r="M11">
        <f>Table23[[#This Row],[AIRCRAFT]]/7</f>
        <v>5</v>
      </c>
    </row>
    <row r="12" spans="1:13" x14ac:dyDescent="0.25">
      <c r="A12" s="17" t="s">
        <v>14059</v>
      </c>
      <c r="B12" s="103">
        <v>30077.430585874801</v>
      </c>
      <c r="C12" s="145">
        <v>19.70343367826905</v>
      </c>
      <c r="I12" t="s">
        <v>18855</v>
      </c>
      <c r="J12">
        <v>634</v>
      </c>
      <c r="K12" t="s">
        <v>18577</v>
      </c>
      <c r="L12" s="17">
        <v>35</v>
      </c>
      <c r="M12">
        <f>Table23[[#This Row],[AIRCRAFT]]/7</f>
        <v>5</v>
      </c>
    </row>
    <row r="13" spans="1:13" x14ac:dyDescent="0.25">
      <c r="C13"/>
      <c r="I13" t="s">
        <v>18855</v>
      </c>
      <c r="J13">
        <v>661</v>
      </c>
      <c r="K13" t="s">
        <v>18586</v>
      </c>
      <c r="L13" s="17">
        <v>35</v>
      </c>
      <c r="M13">
        <f>Table23[[#This Row],[AIRCRAFT]]/7</f>
        <v>5</v>
      </c>
    </row>
    <row r="14" spans="1:13" x14ac:dyDescent="0.25">
      <c r="C14"/>
      <c r="I14" t="s">
        <v>18855</v>
      </c>
      <c r="J14">
        <v>676</v>
      </c>
      <c r="K14" t="s">
        <v>18591</v>
      </c>
      <c r="L14" s="17">
        <v>35</v>
      </c>
      <c r="M14">
        <f>Table23[[#This Row],[AIRCRAFT]]/7</f>
        <v>5</v>
      </c>
    </row>
    <row r="15" spans="1:13" x14ac:dyDescent="0.25">
      <c r="C15"/>
      <c r="I15" t="s">
        <v>18855</v>
      </c>
      <c r="J15">
        <v>694</v>
      </c>
      <c r="K15" t="s">
        <v>18597</v>
      </c>
      <c r="L15" s="17">
        <v>35</v>
      </c>
      <c r="M15">
        <f>Table23[[#This Row],[AIRCRAFT]]/7</f>
        <v>5</v>
      </c>
    </row>
    <row r="16" spans="1:13" x14ac:dyDescent="0.25">
      <c r="C16"/>
      <c r="I16" t="s">
        <v>18855</v>
      </c>
      <c r="J16">
        <v>760</v>
      </c>
      <c r="K16" t="s">
        <v>18619</v>
      </c>
      <c r="L16" s="17">
        <v>35</v>
      </c>
      <c r="M16">
        <f>Table23[[#This Row],[AIRCRAFT]]/7</f>
        <v>5</v>
      </c>
    </row>
    <row r="17" spans="3:13" x14ac:dyDescent="0.25">
      <c r="C17"/>
      <c r="I17" t="s">
        <v>18855</v>
      </c>
      <c r="J17">
        <v>769</v>
      </c>
      <c r="K17" t="s">
        <v>18622</v>
      </c>
      <c r="L17" s="17">
        <v>35</v>
      </c>
      <c r="M17">
        <f>Table23[[#This Row],[AIRCRAFT]]/7</f>
        <v>5</v>
      </c>
    </row>
    <row r="18" spans="3:13" x14ac:dyDescent="0.25">
      <c r="C18"/>
      <c r="I18" t="s">
        <v>18855</v>
      </c>
      <c r="J18">
        <v>787</v>
      </c>
      <c r="K18" t="s">
        <v>18628</v>
      </c>
      <c r="L18" s="17">
        <v>35</v>
      </c>
      <c r="M18">
        <f>Table23[[#This Row],[AIRCRAFT]]/7</f>
        <v>5</v>
      </c>
    </row>
    <row r="19" spans="3:13" x14ac:dyDescent="0.25">
      <c r="C19"/>
      <c r="I19" t="s">
        <v>18855</v>
      </c>
      <c r="J19">
        <v>841</v>
      </c>
      <c r="K19" t="s">
        <v>18646</v>
      </c>
      <c r="L19" s="17">
        <v>35</v>
      </c>
      <c r="M19">
        <f>Table23[[#This Row],[AIRCRAFT]]/7</f>
        <v>5</v>
      </c>
    </row>
    <row r="20" spans="3:13" x14ac:dyDescent="0.25">
      <c r="C20"/>
      <c r="I20" t="s">
        <v>18855</v>
      </c>
      <c r="J20">
        <v>925</v>
      </c>
      <c r="K20" t="s">
        <v>18674</v>
      </c>
      <c r="L20" s="17">
        <v>35</v>
      </c>
      <c r="M20">
        <f>Table23[[#This Row],[AIRCRAFT]]/7</f>
        <v>5</v>
      </c>
    </row>
    <row r="21" spans="3:13" x14ac:dyDescent="0.25">
      <c r="C21"/>
      <c r="I21" t="s">
        <v>18855</v>
      </c>
      <c r="J21">
        <v>1033</v>
      </c>
      <c r="K21" t="s">
        <v>18710</v>
      </c>
      <c r="L21" s="17">
        <v>35</v>
      </c>
      <c r="M21">
        <f>Table23[[#This Row],[AIRCRAFT]]/7</f>
        <v>5</v>
      </c>
    </row>
    <row r="22" spans="3:13" x14ac:dyDescent="0.25">
      <c r="C22"/>
      <c r="I22" t="s">
        <v>18855</v>
      </c>
      <c r="J22">
        <v>1120</v>
      </c>
      <c r="K22" t="s">
        <v>18739</v>
      </c>
      <c r="L22" s="17">
        <v>35</v>
      </c>
      <c r="M22">
        <f>Table23[[#This Row],[AIRCRAFT]]/7</f>
        <v>5</v>
      </c>
    </row>
    <row r="23" spans="3:13" x14ac:dyDescent="0.25">
      <c r="C23"/>
      <c r="I23" t="s">
        <v>18855</v>
      </c>
      <c r="J23">
        <v>1213</v>
      </c>
      <c r="K23" t="s">
        <v>18770</v>
      </c>
      <c r="L23" s="17">
        <v>35</v>
      </c>
      <c r="M23">
        <f>Table23[[#This Row],[AIRCRAFT]]/7</f>
        <v>5</v>
      </c>
    </row>
    <row r="24" spans="3:13" x14ac:dyDescent="0.25">
      <c r="C24"/>
      <c r="I24" t="s">
        <v>18855</v>
      </c>
      <c r="J24">
        <v>1267</v>
      </c>
      <c r="K24" t="s">
        <v>18788</v>
      </c>
      <c r="L24" s="17">
        <v>35</v>
      </c>
      <c r="M24">
        <f>Table23[[#This Row],[AIRCRAFT]]/7</f>
        <v>5</v>
      </c>
    </row>
    <row r="25" spans="3:13" x14ac:dyDescent="0.25">
      <c r="C25"/>
      <c r="I25" t="s">
        <v>18855</v>
      </c>
      <c r="J25">
        <v>13</v>
      </c>
      <c r="K25" t="s">
        <v>18370</v>
      </c>
      <c r="L25" s="17">
        <v>28</v>
      </c>
      <c r="M25">
        <f>Table23[[#This Row],[AIRCRAFT]]/7</f>
        <v>4</v>
      </c>
    </row>
    <row r="26" spans="3:13" x14ac:dyDescent="0.25">
      <c r="C26"/>
      <c r="I26" t="s">
        <v>18855</v>
      </c>
      <c r="J26">
        <v>16</v>
      </c>
      <c r="K26" t="s">
        <v>18371</v>
      </c>
      <c r="L26" s="17">
        <v>28</v>
      </c>
      <c r="M26">
        <f>Table23[[#This Row],[AIRCRAFT]]/7</f>
        <v>4</v>
      </c>
    </row>
    <row r="27" spans="3:13" x14ac:dyDescent="0.25">
      <c r="C27"/>
      <c r="I27" t="s">
        <v>18855</v>
      </c>
      <c r="J27">
        <v>34</v>
      </c>
      <c r="K27" t="s">
        <v>18377</v>
      </c>
      <c r="L27" s="17">
        <v>28</v>
      </c>
      <c r="M27">
        <f>Table23[[#This Row],[AIRCRAFT]]/7</f>
        <v>4</v>
      </c>
    </row>
    <row r="28" spans="3:13" x14ac:dyDescent="0.25">
      <c r="C28"/>
      <c r="I28" t="s">
        <v>18855</v>
      </c>
      <c r="J28">
        <v>40</v>
      </c>
      <c r="K28" t="s">
        <v>18379</v>
      </c>
      <c r="L28" s="17">
        <v>28</v>
      </c>
      <c r="M28">
        <f>Table23[[#This Row],[AIRCRAFT]]/7</f>
        <v>4</v>
      </c>
    </row>
    <row r="29" spans="3:13" x14ac:dyDescent="0.25">
      <c r="C29"/>
      <c r="I29" t="s">
        <v>18855</v>
      </c>
      <c r="J29">
        <v>43</v>
      </c>
      <c r="K29" t="s">
        <v>18380</v>
      </c>
      <c r="L29" s="17">
        <v>28</v>
      </c>
      <c r="M29">
        <f>Table23[[#This Row],[AIRCRAFT]]/7</f>
        <v>4</v>
      </c>
    </row>
    <row r="30" spans="3:13" x14ac:dyDescent="0.25">
      <c r="C30"/>
      <c r="I30" t="s">
        <v>18855</v>
      </c>
      <c r="J30">
        <v>52</v>
      </c>
      <c r="K30" t="s">
        <v>18383</v>
      </c>
      <c r="L30" s="17">
        <v>28</v>
      </c>
      <c r="M30">
        <f>Table23[[#This Row],[AIRCRAFT]]/7</f>
        <v>4</v>
      </c>
    </row>
    <row r="31" spans="3:13" x14ac:dyDescent="0.25">
      <c r="C31"/>
      <c r="I31" t="s">
        <v>18855</v>
      </c>
      <c r="J31">
        <v>55</v>
      </c>
      <c r="K31" t="s">
        <v>18384</v>
      </c>
      <c r="L31" s="17">
        <v>28</v>
      </c>
      <c r="M31">
        <f>Table23[[#This Row],[AIRCRAFT]]/7</f>
        <v>4</v>
      </c>
    </row>
    <row r="32" spans="3:13" x14ac:dyDescent="0.25">
      <c r="C32"/>
      <c r="I32" t="s">
        <v>18855</v>
      </c>
      <c r="J32">
        <v>61</v>
      </c>
      <c r="K32" t="s">
        <v>18386</v>
      </c>
      <c r="L32" s="17">
        <v>28</v>
      </c>
      <c r="M32">
        <f>Table23[[#This Row],[AIRCRAFT]]/7</f>
        <v>4</v>
      </c>
    </row>
    <row r="33" spans="3:13" x14ac:dyDescent="0.25">
      <c r="C33"/>
      <c r="I33" t="s">
        <v>18855</v>
      </c>
      <c r="J33">
        <v>85</v>
      </c>
      <c r="K33" t="s">
        <v>18394</v>
      </c>
      <c r="L33" s="17">
        <v>28</v>
      </c>
      <c r="M33">
        <f>Table23[[#This Row],[AIRCRAFT]]/7</f>
        <v>4</v>
      </c>
    </row>
    <row r="34" spans="3:13" x14ac:dyDescent="0.25">
      <c r="C34"/>
      <c r="I34" t="s">
        <v>18855</v>
      </c>
      <c r="J34">
        <v>91</v>
      </c>
      <c r="K34" t="s">
        <v>18396</v>
      </c>
      <c r="L34" s="17">
        <v>28</v>
      </c>
      <c r="M34">
        <f>Table23[[#This Row],[AIRCRAFT]]/7</f>
        <v>4</v>
      </c>
    </row>
    <row r="35" spans="3:13" x14ac:dyDescent="0.25">
      <c r="C35"/>
      <c r="I35" t="s">
        <v>18855</v>
      </c>
      <c r="J35">
        <v>109</v>
      </c>
      <c r="K35" t="s">
        <v>18402</v>
      </c>
      <c r="L35" s="17">
        <v>28</v>
      </c>
      <c r="M35">
        <f>Table23[[#This Row],[AIRCRAFT]]/7</f>
        <v>4</v>
      </c>
    </row>
    <row r="36" spans="3:13" x14ac:dyDescent="0.25">
      <c r="C36"/>
      <c r="I36" t="s">
        <v>18855</v>
      </c>
      <c r="J36">
        <v>112</v>
      </c>
      <c r="K36" t="s">
        <v>18403</v>
      </c>
      <c r="L36" s="17">
        <v>28</v>
      </c>
      <c r="M36">
        <f>Table23[[#This Row],[AIRCRAFT]]/7</f>
        <v>4</v>
      </c>
    </row>
    <row r="37" spans="3:13" x14ac:dyDescent="0.25">
      <c r="C37"/>
      <c r="I37" t="s">
        <v>18855</v>
      </c>
      <c r="J37">
        <v>133</v>
      </c>
      <c r="K37" t="s">
        <v>18410</v>
      </c>
      <c r="L37" s="17">
        <v>28</v>
      </c>
      <c r="M37">
        <f>Table23[[#This Row],[AIRCRAFT]]/7</f>
        <v>4</v>
      </c>
    </row>
    <row r="38" spans="3:13" x14ac:dyDescent="0.25">
      <c r="C38"/>
      <c r="I38" t="s">
        <v>18855</v>
      </c>
      <c r="J38">
        <v>148</v>
      </c>
      <c r="K38" t="s">
        <v>18415</v>
      </c>
      <c r="L38" s="17">
        <v>28</v>
      </c>
      <c r="M38">
        <f>Table23[[#This Row],[AIRCRAFT]]/7</f>
        <v>4</v>
      </c>
    </row>
    <row r="39" spans="3:13" x14ac:dyDescent="0.25">
      <c r="C39"/>
      <c r="I39" t="s">
        <v>18855</v>
      </c>
      <c r="J39">
        <v>166</v>
      </c>
      <c r="K39" t="s">
        <v>18421</v>
      </c>
      <c r="L39" s="17">
        <v>28</v>
      </c>
      <c r="M39">
        <f>Table23[[#This Row],[AIRCRAFT]]/7</f>
        <v>4</v>
      </c>
    </row>
    <row r="40" spans="3:13" x14ac:dyDescent="0.25">
      <c r="C40"/>
      <c r="I40" t="s">
        <v>18855</v>
      </c>
      <c r="J40">
        <v>181</v>
      </c>
      <c r="K40" t="s">
        <v>18426</v>
      </c>
      <c r="L40" s="17">
        <v>28</v>
      </c>
      <c r="M40">
        <f>Table23[[#This Row],[AIRCRAFT]]/7</f>
        <v>4</v>
      </c>
    </row>
    <row r="41" spans="3:13" x14ac:dyDescent="0.25">
      <c r="C41"/>
      <c r="I41" t="s">
        <v>18855</v>
      </c>
      <c r="J41">
        <v>187</v>
      </c>
      <c r="K41" t="s">
        <v>18428</v>
      </c>
      <c r="L41" s="17">
        <v>28</v>
      </c>
      <c r="M41">
        <f>Table23[[#This Row],[AIRCRAFT]]/7</f>
        <v>4</v>
      </c>
    </row>
    <row r="42" spans="3:13" x14ac:dyDescent="0.25">
      <c r="C42"/>
      <c r="I42" t="s">
        <v>18855</v>
      </c>
      <c r="J42">
        <v>199</v>
      </c>
      <c r="K42" t="s">
        <v>18432</v>
      </c>
      <c r="L42" s="17">
        <v>28</v>
      </c>
      <c r="M42">
        <f>Table23[[#This Row],[AIRCRAFT]]/7</f>
        <v>4</v>
      </c>
    </row>
    <row r="43" spans="3:13" x14ac:dyDescent="0.25">
      <c r="C43"/>
      <c r="I43" t="s">
        <v>18855</v>
      </c>
      <c r="J43">
        <v>205</v>
      </c>
      <c r="K43" t="s">
        <v>18434</v>
      </c>
      <c r="L43" s="17">
        <v>28</v>
      </c>
      <c r="M43">
        <f>Table23[[#This Row],[AIRCRAFT]]/7</f>
        <v>4</v>
      </c>
    </row>
    <row r="44" spans="3:13" x14ac:dyDescent="0.25">
      <c r="C44"/>
      <c r="I44" t="s">
        <v>18855</v>
      </c>
      <c r="J44">
        <v>223</v>
      </c>
      <c r="K44" t="s">
        <v>18440</v>
      </c>
      <c r="L44" s="17">
        <v>28</v>
      </c>
      <c r="M44">
        <f>Table23[[#This Row],[AIRCRAFT]]/7</f>
        <v>4</v>
      </c>
    </row>
    <row r="45" spans="3:13" x14ac:dyDescent="0.25">
      <c r="C45"/>
      <c r="I45" t="s">
        <v>18855</v>
      </c>
      <c r="J45">
        <v>256</v>
      </c>
      <c r="K45" t="s">
        <v>18451</v>
      </c>
      <c r="L45" s="17">
        <v>28</v>
      </c>
      <c r="M45">
        <f>Table23[[#This Row],[AIRCRAFT]]/7</f>
        <v>4</v>
      </c>
    </row>
    <row r="46" spans="3:13" x14ac:dyDescent="0.25">
      <c r="C46"/>
      <c r="I46" t="s">
        <v>18855</v>
      </c>
      <c r="J46">
        <v>259</v>
      </c>
      <c r="K46" t="s">
        <v>18452</v>
      </c>
      <c r="L46" s="17">
        <v>28</v>
      </c>
      <c r="M46">
        <f>Table23[[#This Row],[AIRCRAFT]]/7</f>
        <v>4</v>
      </c>
    </row>
    <row r="47" spans="3:13" x14ac:dyDescent="0.25">
      <c r="C47"/>
      <c r="I47" t="s">
        <v>18855</v>
      </c>
      <c r="J47">
        <v>271</v>
      </c>
      <c r="K47" t="s">
        <v>18456</v>
      </c>
      <c r="L47" s="17">
        <v>28</v>
      </c>
      <c r="M47">
        <f>Table23[[#This Row],[AIRCRAFT]]/7</f>
        <v>4</v>
      </c>
    </row>
    <row r="48" spans="3:13" x14ac:dyDescent="0.25">
      <c r="C48"/>
      <c r="I48" t="s">
        <v>18855</v>
      </c>
      <c r="J48">
        <v>274</v>
      </c>
      <c r="K48" t="s">
        <v>18457</v>
      </c>
      <c r="L48" s="17">
        <v>28</v>
      </c>
      <c r="M48">
        <f>Table23[[#This Row],[AIRCRAFT]]/7</f>
        <v>4</v>
      </c>
    </row>
    <row r="49" spans="3:13" x14ac:dyDescent="0.25">
      <c r="C49"/>
      <c r="I49" t="s">
        <v>18855</v>
      </c>
      <c r="J49">
        <v>280</v>
      </c>
      <c r="K49" t="s">
        <v>18459</v>
      </c>
      <c r="L49" s="17">
        <v>28</v>
      </c>
      <c r="M49">
        <f>Table23[[#This Row],[AIRCRAFT]]/7</f>
        <v>4</v>
      </c>
    </row>
    <row r="50" spans="3:13" x14ac:dyDescent="0.25">
      <c r="C50"/>
      <c r="I50" t="s">
        <v>18855</v>
      </c>
      <c r="J50">
        <v>298</v>
      </c>
      <c r="K50" t="s">
        <v>18465</v>
      </c>
      <c r="L50" s="17">
        <v>28</v>
      </c>
      <c r="M50">
        <f>Table23[[#This Row],[AIRCRAFT]]/7</f>
        <v>4</v>
      </c>
    </row>
    <row r="51" spans="3:13" x14ac:dyDescent="0.25">
      <c r="C51"/>
      <c r="I51" t="s">
        <v>18855</v>
      </c>
      <c r="J51">
        <v>310</v>
      </c>
      <c r="K51" t="s">
        <v>18469</v>
      </c>
      <c r="L51" s="17">
        <v>28</v>
      </c>
      <c r="M51">
        <f>Table23[[#This Row],[AIRCRAFT]]/7</f>
        <v>4</v>
      </c>
    </row>
    <row r="52" spans="3:13" x14ac:dyDescent="0.25">
      <c r="C52"/>
      <c r="I52" t="s">
        <v>18855</v>
      </c>
      <c r="J52">
        <v>334</v>
      </c>
      <c r="K52" t="s">
        <v>18477</v>
      </c>
      <c r="L52" s="17">
        <v>28</v>
      </c>
      <c r="M52">
        <f>Table23[[#This Row],[AIRCRAFT]]/7</f>
        <v>4</v>
      </c>
    </row>
    <row r="53" spans="3:13" x14ac:dyDescent="0.25">
      <c r="C53"/>
      <c r="I53" t="s">
        <v>18855</v>
      </c>
      <c r="J53">
        <v>346</v>
      </c>
      <c r="K53" t="s">
        <v>18481</v>
      </c>
      <c r="L53" s="17">
        <v>28</v>
      </c>
      <c r="M53">
        <f>Table23[[#This Row],[AIRCRAFT]]/7</f>
        <v>4</v>
      </c>
    </row>
    <row r="54" spans="3:13" x14ac:dyDescent="0.25">
      <c r="C54"/>
      <c r="I54" t="s">
        <v>18855</v>
      </c>
      <c r="J54">
        <v>352</v>
      </c>
      <c r="K54" t="s">
        <v>18483</v>
      </c>
      <c r="L54" s="17">
        <v>28</v>
      </c>
      <c r="M54">
        <f>Table23[[#This Row],[AIRCRAFT]]/7</f>
        <v>4</v>
      </c>
    </row>
    <row r="55" spans="3:13" x14ac:dyDescent="0.25">
      <c r="C55"/>
      <c r="I55" t="s">
        <v>18855</v>
      </c>
      <c r="J55">
        <v>355</v>
      </c>
      <c r="K55" t="s">
        <v>18484</v>
      </c>
      <c r="L55" s="17">
        <v>28</v>
      </c>
      <c r="M55">
        <f>Table23[[#This Row],[AIRCRAFT]]/7</f>
        <v>4</v>
      </c>
    </row>
    <row r="56" spans="3:13" x14ac:dyDescent="0.25">
      <c r="C56"/>
      <c r="I56" t="s">
        <v>18855</v>
      </c>
      <c r="J56">
        <v>367</v>
      </c>
      <c r="K56" t="s">
        <v>18488</v>
      </c>
      <c r="L56" s="17">
        <v>28</v>
      </c>
      <c r="M56">
        <f>Table23[[#This Row],[AIRCRAFT]]/7</f>
        <v>4</v>
      </c>
    </row>
    <row r="57" spans="3:13" x14ac:dyDescent="0.25">
      <c r="C57"/>
      <c r="I57" t="s">
        <v>18855</v>
      </c>
      <c r="J57">
        <v>373</v>
      </c>
      <c r="K57" t="s">
        <v>18490</v>
      </c>
      <c r="L57" s="17">
        <v>28</v>
      </c>
      <c r="M57">
        <f>Table23[[#This Row],[AIRCRAFT]]/7</f>
        <v>4</v>
      </c>
    </row>
    <row r="58" spans="3:13" x14ac:dyDescent="0.25">
      <c r="C58"/>
      <c r="I58" t="s">
        <v>18855</v>
      </c>
      <c r="J58">
        <v>376</v>
      </c>
      <c r="K58" t="s">
        <v>18491</v>
      </c>
      <c r="L58" s="17">
        <v>28</v>
      </c>
      <c r="M58">
        <f>Table23[[#This Row],[AIRCRAFT]]/7</f>
        <v>4</v>
      </c>
    </row>
    <row r="59" spans="3:13" x14ac:dyDescent="0.25">
      <c r="C59"/>
      <c r="I59" t="s">
        <v>18855</v>
      </c>
      <c r="J59">
        <v>379</v>
      </c>
      <c r="K59" t="s">
        <v>18492</v>
      </c>
      <c r="L59" s="17">
        <v>28</v>
      </c>
      <c r="M59">
        <f>Table23[[#This Row],[AIRCRAFT]]/7</f>
        <v>4</v>
      </c>
    </row>
    <row r="60" spans="3:13" x14ac:dyDescent="0.25">
      <c r="C60"/>
      <c r="I60" t="s">
        <v>18855</v>
      </c>
      <c r="J60">
        <v>388</v>
      </c>
      <c r="K60" t="s">
        <v>18495</v>
      </c>
      <c r="L60" s="17">
        <v>28</v>
      </c>
      <c r="M60">
        <f>Table23[[#This Row],[AIRCRAFT]]/7</f>
        <v>4</v>
      </c>
    </row>
    <row r="61" spans="3:13" x14ac:dyDescent="0.25">
      <c r="C61"/>
      <c r="I61" t="s">
        <v>18855</v>
      </c>
      <c r="J61">
        <v>391</v>
      </c>
      <c r="K61" t="s">
        <v>18496</v>
      </c>
      <c r="L61" s="17">
        <v>28</v>
      </c>
      <c r="M61">
        <f>Table23[[#This Row],[AIRCRAFT]]/7</f>
        <v>4</v>
      </c>
    </row>
    <row r="62" spans="3:13" x14ac:dyDescent="0.25">
      <c r="C62"/>
      <c r="I62" t="s">
        <v>18855</v>
      </c>
      <c r="J62">
        <v>397</v>
      </c>
      <c r="K62" t="s">
        <v>18498</v>
      </c>
      <c r="L62" s="17">
        <v>28</v>
      </c>
      <c r="M62">
        <f>Table23[[#This Row],[AIRCRAFT]]/7</f>
        <v>4</v>
      </c>
    </row>
    <row r="63" spans="3:13" x14ac:dyDescent="0.25">
      <c r="C63"/>
      <c r="I63" t="s">
        <v>18855</v>
      </c>
      <c r="J63">
        <v>400</v>
      </c>
      <c r="K63" t="s">
        <v>18499</v>
      </c>
      <c r="L63" s="17">
        <v>28</v>
      </c>
      <c r="M63">
        <f>Table23[[#This Row],[AIRCRAFT]]/7</f>
        <v>4</v>
      </c>
    </row>
    <row r="64" spans="3:13" x14ac:dyDescent="0.25">
      <c r="C64"/>
      <c r="I64" t="s">
        <v>18855</v>
      </c>
      <c r="J64">
        <v>436</v>
      </c>
      <c r="K64" t="s">
        <v>18511</v>
      </c>
      <c r="L64" s="17">
        <v>28</v>
      </c>
      <c r="M64">
        <f>Table23[[#This Row],[AIRCRAFT]]/7</f>
        <v>4</v>
      </c>
    </row>
    <row r="65" spans="3:13" x14ac:dyDescent="0.25">
      <c r="C65"/>
      <c r="I65" t="s">
        <v>18855</v>
      </c>
      <c r="J65">
        <v>454</v>
      </c>
      <c r="K65" t="s">
        <v>18517</v>
      </c>
      <c r="L65" s="17">
        <v>28</v>
      </c>
      <c r="M65">
        <f>Table23[[#This Row],[AIRCRAFT]]/7</f>
        <v>4</v>
      </c>
    </row>
    <row r="66" spans="3:13" x14ac:dyDescent="0.25">
      <c r="C66"/>
      <c r="I66" t="s">
        <v>18855</v>
      </c>
      <c r="J66">
        <v>466</v>
      </c>
      <c r="K66" t="s">
        <v>18521</v>
      </c>
      <c r="L66" s="17">
        <v>28</v>
      </c>
      <c r="M66">
        <f>Table23[[#This Row],[AIRCRAFT]]/7</f>
        <v>4</v>
      </c>
    </row>
    <row r="67" spans="3:13" x14ac:dyDescent="0.25">
      <c r="C67"/>
      <c r="I67" t="s">
        <v>18855</v>
      </c>
      <c r="J67">
        <v>475</v>
      </c>
      <c r="K67" t="s">
        <v>18524</v>
      </c>
      <c r="L67" s="17">
        <v>28</v>
      </c>
      <c r="M67">
        <f>Table23[[#This Row],[AIRCRAFT]]/7</f>
        <v>4</v>
      </c>
    </row>
    <row r="68" spans="3:13" x14ac:dyDescent="0.25">
      <c r="C68"/>
      <c r="I68" t="s">
        <v>18855</v>
      </c>
      <c r="J68">
        <v>481</v>
      </c>
      <c r="K68" t="s">
        <v>18526</v>
      </c>
      <c r="L68" s="17">
        <v>28</v>
      </c>
      <c r="M68">
        <f>Table23[[#This Row],[AIRCRAFT]]/7</f>
        <v>4</v>
      </c>
    </row>
    <row r="69" spans="3:13" x14ac:dyDescent="0.25">
      <c r="C69"/>
      <c r="I69" t="s">
        <v>18855</v>
      </c>
      <c r="J69">
        <v>487</v>
      </c>
      <c r="K69" t="s">
        <v>18528</v>
      </c>
      <c r="L69" s="17">
        <v>28</v>
      </c>
      <c r="M69">
        <f>Table23[[#This Row],[AIRCRAFT]]/7</f>
        <v>4</v>
      </c>
    </row>
    <row r="70" spans="3:13" x14ac:dyDescent="0.25">
      <c r="C70"/>
      <c r="I70" t="s">
        <v>18855</v>
      </c>
      <c r="J70">
        <v>499</v>
      </c>
      <c r="K70" t="s">
        <v>18532</v>
      </c>
      <c r="L70" s="17">
        <v>28</v>
      </c>
      <c r="M70">
        <f>Table23[[#This Row],[AIRCRAFT]]/7</f>
        <v>4</v>
      </c>
    </row>
    <row r="71" spans="3:13" x14ac:dyDescent="0.25">
      <c r="C71"/>
      <c r="I71" t="s">
        <v>18855</v>
      </c>
      <c r="J71">
        <v>511</v>
      </c>
      <c r="K71" t="s">
        <v>18536</v>
      </c>
      <c r="L71" s="17">
        <v>28</v>
      </c>
      <c r="M71">
        <f>Table23[[#This Row],[AIRCRAFT]]/7</f>
        <v>4</v>
      </c>
    </row>
    <row r="72" spans="3:13" x14ac:dyDescent="0.25">
      <c r="C72"/>
      <c r="I72" t="s">
        <v>18855</v>
      </c>
      <c r="J72">
        <v>520</v>
      </c>
      <c r="K72" t="s">
        <v>18539</v>
      </c>
      <c r="L72" s="17">
        <v>28</v>
      </c>
      <c r="M72">
        <f>Table23[[#This Row],[AIRCRAFT]]/7</f>
        <v>4</v>
      </c>
    </row>
    <row r="73" spans="3:13" x14ac:dyDescent="0.25">
      <c r="C73"/>
      <c r="I73" t="s">
        <v>18855</v>
      </c>
      <c r="J73">
        <v>532</v>
      </c>
      <c r="K73" t="s">
        <v>18543</v>
      </c>
      <c r="L73" s="17">
        <v>28</v>
      </c>
      <c r="M73">
        <f>Table23[[#This Row],[AIRCRAFT]]/7</f>
        <v>4</v>
      </c>
    </row>
    <row r="74" spans="3:13" x14ac:dyDescent="0.25">
      <c r="C74"/>
      <c r="I74" t="s">
        <v>18855</v>
      </c>
      <c r="J74">
        <v>541</v>
      </c>
      <c r="K74" t="s">
        <v>18546</v>
      </c>
      <c r="L74" s="17">
        <v>28</v>
      </c>
      <c r="M74">
        <f>Table23[[#This Row],[AIRCRAFT]]/7</f>
        <v>4</v>
      </c>
    </row>
    <row r="75" spans="3:13" x14ac:dyDescent="0.25">
      <c r="C75"/>
      <c r="I75" t="s">
        <v>18855</v>
      </c>
      <c r="J75">
        <v>544</v>
      </c>
      <c r="K75" t="s">
        <v>18547</v>
      </c>
      <c r="L75" s="17">
        <v>28</v>
      </c>
      <c r="M75">
        <f>Table23[[#This Row],[AIRCRAFT]]/7</f>
        <v>4</v>
      </c>
    </row>
    <row r="76" spans="3:13" x14ac:dyDescent="0.25">
      <c r="C76"/>
      <c r="I76" t="s">
        <v>18855</v>
      </c>
      <c r="J76">
        <v>580</v>
      </c>
      <c r="K76" t="s">
        <v>18559</v>
      </c>
      <c r="L76" s="17">
        <v>28</v>
      </c>
      <c r="M76">
        <f>Table23[[#This Row],[AIRCRAFT]]/7</f>
        <v>4</v>
      </c>
    </row>
    <row r="77" spans="3:13" x14ac:dyDescent="0.25">
      <c r="C77"/>
      <c r="I77" t="s">
        <v>18855</v>
      </c>
      <c r="J77">
        <v>589</v>
      </c>
      <c r="K77" t="s">
        <v>18562</v>
      </c>
      <c r="L77" s="17">
        <v>28</v>
      </c>
      <c r="M77">
        <f>Table23[[#This Row],[AIRCRAFT]]/7</f>
        <v>4</v>
      </c>
    </row>
    <row r="78" spans="3:13" x14ac:dyDescent="0.25">
      <c r="C78"/>
      <c r="I78" t="s">
        <v>18855</v>
      </c>
      <c r="J78">
        <v>592</v>
      </c>
      <c r="K78" t="s">
        <v>18563</v>
      </c>
      <c r="L78" s="17">
        <v>28</v>
      </c>
      <c r="M78">
        <f>Table23[[#This Row],[AIRCRAFT]]/7</f>
        <v>4</v>
      </c>
    </row>
    <row r="79" spans="3:13" x14ac:dyDescent="0.25">
      <c r="C79"/>
      <c r="I79" t="s">
        <v>18855</v>
      </c>
      <c r="J79">
        <v>595</v>
      </c>
      <c r="K79" t="s">
        <v>18564</v>
      </c>
      <c r="L79" s="17">
        <v>28</v>
      </c>
      <c r="M79">
        <f>Table23[[#This Row],[AIRCRAFT]]/7</f>
        <v>4</v>
      </c>
    </row>
    <row r="80" spans="3:13" x14ac:dyDescent="0.25">
      <c r="C80"/>
      <c r="I80" t="s">
        <v>18855</v>
      </c>
      <c r="J80">
        <v>598</v>
      </c>
      <c r="K80" t="s">
        <v>18565</v>
      </c>
      <c r="L80" s="17">
        <v>28</v>
      </c>
      <c r="M80">
        <f>Table23[[#This Row],[AIRCRAFT]]/7</f>
        <v>4</v>
      </c>
    </row>
    <row r="81" spans="3:13" x14ac:dyDescent="0.25">
      <c r="C81"/>
      <c r="I81" t="s">
        <v>18855</v>
      </c>
      <c r="J81">
        <v>613</v>
      </c>
      <c r="K81" t="s">
        <v>18570</v>
      </c>
      <c r="L81" s="17">
        <v>28</v>
      </c>
      <c r="M81">
        <f>Table23[[#This Row],[AIRCRAFT]]/7</f>
        <v>4</v>
      </c>
    </row>
    <row r="82" spans="3:13" x14ac:dyDescent="0.25">
      <c r="C82"/>
      <c r="I82" t="s">
        <v>18855</v>
      </c>
      <c r="J82">
        <v>619</v>
      </c>
      <c r="K82" t="s">
        <v>18572</v>
      </c>
      <c r="L82" s="17">
        <v>28</v>
      </c>
      <c r="M82">
        <f>Table23[[#This Row],[AIRCRAFT]]/7</f>
        <v>4</v>
      </c>
    </row>
    <row r="83" spans="3:13" x14ac:dyDescent="0.25">
      <c r="C83"/>
      <c r="I83" t="s">
        <v>18855</v>
      </c>
      <c r="J83">
        <v>640</v>
      </c>
      <c r="K83" t="s">
        <v>18579</v>
      </c>
      <c r="L83" s="17">
        <v>28</v>
      </c>
      <c r="M83">
        <f>Table23[[#This Row],[AIRCRAFT]]/7</f>
        <v>4</v>
      </c>
    </row>
    <row r="84" spans="3:13" x14ac:dyDescent="0.25">
      <c r="C84"/>
      <c r="I84" t="s">
        <v>18855</v>
      </c>
      <c r="J84">
        <v>646</v>
      </c>
      <c r="K84" t="s">
        <v>18581</v>
      </c>
      <c r="L84" s="17">
        <v>28</v>
      </c>
      <c r="M84">
        <f>Table23[[#This Row],[AIRCRAFT]]/7</f>
        <v>4</v>
      </c>
    </row>
    <row r="85" spans="3:13" x14ac:dyDescent="0.25">
      <c r="C85"/>
      <c r="I85" t="s">
        <v>18855</v>
      </c>
      <c r="J85">
        <v>652</v>
      </c>
      <c r="K85" t="s">
        <v>18583</v>
      </c>
      <c r="L85" s="17">
        <v>28</v>
      </c>
      <c r="M85">
        <f>Table23[[#This Row],[AIRCRAFT]]/7</f>
        <v>4</v>
      </c>
    </row>
    <row r="86" spans="3:13" x14ac:dyDescent="0.25">
      <c r="C86"/>
      <c r="I86" t="s">
        <v>18855</v>
      </c>
      <c r="J86">
        <v>658</v>
      </c>
      <c r="K86" t="s">
        <v>18585</v>
      </c>
      <c r="L86" s="17">
        <v>28</v>
      </c>
      <c r="M86">
        <f>Table23[[#This Row],[AIRCRAFT]]/7</f>
        <v>4</v>
      </c>
    </row>
    <row r="87" spans="3:13" x14ac:dyDescent="0.25">
      <c r="C87"/>
      <c r="I87" t="s">
        <v>18855</v>
      </c>
      <c r="J87">
        <v>682</v>
      </c>
      <c r="K87" t="s">
        <v>18593</v>
      </c>
      <c r="L87" s="17">
        <v>28</v>
      </c>
      <c r="M87">
        <f>Table23[[#This Row],[AIRCRAFT]]/7</f>
        <v>4</v>
      </c>
    </row>
    <row r="88" spans="3:13" x14ac:dyDescent="0.25">
      <c r="C88"/>
      <c r="I88" t="s">
        <v>18855</v>
      </c>
      <c r="J88">
        <v>703</v>
      </c>
      <c r="K88" t="s">
        <v>18600</v>
      </c>
      <c r="L88" s="17">
        <v>28</v>
      </c>
      <c r="M88">
        <f>Table23[[#This Row],[AIRCRAFT]]/7</f>
        <v>4</v>
      </c>
    </row>
    <row r="89" spans="3:13" x14ac:dyDescent="0.25">
      <c r="C89"/>
      <c r="I89" t="s">
        <v>18855</v>
      </c>
      <c r="J89">
        <v>733</v>
      </c>
      <c r="K89" t="s">
        <v>18610</v>
      </c>
      <c r="L89" s="17">
        <v>28</v>
      </c>
      <c r="M89">
        <f>Table23[[#This Row],[AIRCRAFT]]/7</f>
        <v>4</v>
      </c>
    </row>
    <row r="90" spans="3:13" x14ac:dyDescent="0.25">
      <c r="C90"/>
      <c r="I90" t="s">
        <v>18855</v>
      </c>
      <c r="J90">
        <v>742</v>
      </c>
      <c r="K90" t="s">
        <v>18613</v>
      </c>
      <c r="L90" s="17">
        <v>28</v>
      </c>
      <c r="M90">
        <f>Table23[[#This Row],[AIRCRAFT]]/7</f>
        <v>4</v>
      </c>
    </row>
    <row r="91" spans="3:13" x14ac:dyDescent="0.25">
      <c r="C91"/>
      <c r="I91" t="s">
        <v>18855</v>
      </c>
      <c r="J91">
        <v>763</v>
      </c>
      <c r="K91" t="s">
        <v>18620</v>
      </c>
      <c r="L91" s="17">
        <v>28</v>
      </c>
      <c r="M91">
        <f>Table23[[#This Row],[AIRCRAFT]]/7</f>
        <v>4</v>
      </c>
    </row>
    <row r="92" spans="3:13" x14ac:dyDescent="0.25">
      <c r="C92"/>
      <c r="I92" t="s">
        <v>18855</v>
      </c>
      <c r="J92">
        <v>766</v>
      </c>
      <c r="K92" t="s">
        <v>18621</v>
      </c>
      <c r="L92" s="17">
        <v>28</v>
      </c>
      <c r="M92">
        <f>Table23[[#This Row],[AIRCRAFT]]/7</f>
        <v>4</v>
      </c>
    </row>
    <row r="93" spans="3:13" x14ac:dyDescent="0.25">
      <c r="C93"/>
      <c r="I93" t="s">
        <v>18855</v>
      </c>
      <c r="J93">
        <v>802</v>
      </c>
      <c r="K93" t="s">
        <v>18633</v>
      </c>
      <c r="L93" s="17">
        <v>28</v>
      </c>
      <c r="M93">
        <f>Table23[[#This Row],[AIRCRAFT]]/7</f>
        <v>4</v>
      </c>
    </row>
    <row r="94" spans="3:13" x14ac:dyDescent="0.25">
      <c r="C94"/>
      <c r="I94" t="s">
        <v>18855</v>
      </c>
      <c r="J94">
        <v>820</v>
      </c>
      <c r="K94" t="s">
        <v>18639</v>
      </c>
      <c r="L94" s="17">
        <v>28</v>
      </c>
      <c r="M94">
        <f>Table23[[#This Row],[AIRCRAFT]]/7</f>
        <v>4</v>
      </c>
    </row>
    <row r="95" spans="3:13" x14ac:dyDescent="0.25">
      <c r="C95"/>
      <c r="I95" t="s">
        <v>18855</v>
      </c>
      <c r="J95">
        <v>829</v>
      </c>
      <c r="K95" t="s">
        <v>18642</v>
      </c>
      <c r="L95" s="17">
        <v>28</v>
      </c>
      <c r="M95">
        <f>Table23[[#This Row],[AIRCRAFT]]/7</f>
        <v>4</v>
      </c>
    </row>
    <row r="96" spans="3:13" x14ac:dyDescent="0.25">
      <c r="C96"/>
      <c r="I96" t="s">
        <v>18855</v>
      </c>
      <c r="J96">
        <v>847</v>
      </c>
      <c r="K96" t="s">
        <v>18648</v>
      </c>
      <c r="L96" s="17">
        <v>28</v>
      </c>
      <c r="M96">
        <f>Table23[[#This Row],[AIRCRAFT]]/7</f>
        <v>4</v>
      </c>
    </row>
    <row r="97" spans="3:13" x14ac:dyDescent="0.25">
      <c r="C97"/>
      <c r="I97" t="s">
        <v>18855</v>
      </c>
      <c r="J97">
        <v>850</v>
      </c>
      <c r="K97" t="s">
        <v>18649</v>
      </c>
      <c r="L97" s="17">
        <v>28</v>
      </c>
      <c r="M97">
        <f>Table23[[#This Row],[AIRCRAFT]]/7</f>
        <v>4</v>
      </c>
    </row>
    <row r="98" spans="3:13" x14ac:dyDescent="0.25">
      <c r="C98"/>
      <c r="I98" t="s">
        <v>18855</v>
      </c>
      <c r="J98">
        <v>856</v>
      </c>
      <c r="K98" t="s">
        <v>18651</v>
      </c>
      <c r="L98" s="17">
        <v>28</v>
      </c>
      <c r="M98">
        <f>Table23[[#This Row],[AIRCRAFT]]/7</f>
        <v>4</v>
      </c>
    </row>
    <row r="99" spans="3:13" x14ac:dyDescent="0.25">
      <c r="C99"/>
      <c r="I99" t="s">
        <v>18855</v>
      </c>
      <c r="J99">
        <v>865</v>
      </c>
      <c r="K99" t="s">
        <v>18654</v>
      </c>
      <c r="L99" s="17">
        <v>28</v>
      </c>
      <c r="M99">
        <f>Table23[[#This Row],[AIRCRAFT]]/7</f>
        <v>4</v>
      </c>
    </row>
    <row r="100" spans="3:13" x14ac:dyDescent="0.25">
      <c r="C100"/>
      <c r="I100" t="s">
        <v>18855</v>
      </c>
      <c r="J100">
        <v>886</v>
      </c>
      <c r="K100" t="s">
        <v>18661</v>
      </c>
      <c r="L100" s="17">
        <v>28</v>
      </c>
      <c r="M100">
        <f>Table23[[#This Row],[AIRCRAFT]]/7</f>
        <v>4</v>
      </c>
    </row>
    <row r="101" spans="3:13" x14ac:dyDescent="0.25">
      <c r="C101"/>
      <c r="I101" t="s">
        <v>18855</v>
      </c>
      <c r="J101">
        <v>940</v>
      </c>
      <c r="K101" t="s">
        <v>18679</v>
      </c>
      <c r="L101" s="17">
        <v>28</v>
      </c>
      <c r="M101">
        <f>Table23[[#This Row],[AIRCRAFT]]/7</f>
        <v>4</v>
      </c>
    </row>
    <row r="102" spans="3:13" x14ac:dyDescent="0.25">
      <c r="C102"/>
      <c r="I102" t="s">
        <v>18855</v>
      </c>
      <c r="J102">
        <v>946</v>
      </c>
      <c r="K102" t="s">
        <v>18681</v>
      </c>
      <c r="L102" s="17">
        <v>28</v>
      </c>
      <c r="M102">
        <f>Table23[[#This Row],[AIRCRAFT]]/7</f>
        <v>4</v>
      </c>
    </row>
    <row r="103" spans="3:13" x14ac:dyDescent="0.25">
      <c r="C103"/>
      <c r="I103" t="s">
        <v>18855</v>
      </c>
      <c r="J103">
        <v>961</v>
      </c>
      <c r="K103" t="s">
        <v>18686</v>
      </c>
      <c r="L103" s="17">
        <v>28</v>
      </c>
      <c r="M103">
        <f>Table23[[#This Row],[AIRCRAFT]]/7</f>
        <v>4</v>
      </c>
    </row>
    <row r="104" spans="3:13" x14ac:dyDescent="0.25">
      <c r="C104"/>
      <c r="I104" t="s">
        <v>18855</v>
      </c>
      <c r="J104">
        <v>991</v>
      </c>
      <c r="K104" t="s">
        <v>18696</v>
      </c>
      <c r="L104" s="17">
        <v>28</v>
      </c>
      <c r="M104">
        <f>Table23[[#This Row],[AIRCRAFT]]/7</f>
        <v>4</v>
      </c>
    </row>
    <row r="105" spans="3:13" x14ac:dyDescent="0.25">
      <c r="C105"/>
      <c r="I105" t="s">
        <v>18855</v>
      </c>
      <c r="J105">
        <v>997</v>
      </c>
      <c r="K105" t="s">
        <v>18698</v>
      </c>
      <c r="L105" s="17">
        <v>28</v>
      </c>
      <c r="M105">
        <f>Table23[[#This Row],[AIRCRAFT]]/7</f>
        <v>4</v>
      </c>
    </row>
    <row r="106" spans="3:13" x14ac:dyDescent="0.25">
      <c r="C106"/>
      <c r="I106" t="s">
        <v>18855</v>
      </c>
      <c r="J106">
        <v>1024</v>
      </c>
      <c r="K106" t="s">
        <v>18707</v>
      </c>
      <c r="L106" s="17">
        <v>28</v>
      </c>
      <c r="M106">
        <f>Table23[[#This Row],[AIRCRAFT]]/7</f>
        <v>4</v>
      </c>
    </row>
    <row r="107" spans="3:13" x14ac:dyDescent="0.25">
      <c r="C107"/>
      <c r="I107" t="s">
        <v>18855</v>
      </c>
      <c r="J107">
        <v>1084</v>
      </c>
      <c r="K107" t="s">
        <v>18727</v>
      </c>
      <c r="L107" s="17">
        <v>28</v>
      </c>
      <c r="M107">
        <f>Table23[[#This Row],[AIRCRAFT]]/7</f>
        <v>4</v>
      </c>
    </row>
    <row r="108" spans="3:13" x14ac:dyDescent="0.25">
      <c r="C108"/>
      <c r="I108" t="s">
        <v>18855</v>
      </c>
      <c r="J108">
        <v>1087</v>
      </c>
      <c r="K108" t="s">
        <v>18728</v>
      </c>
      <c r="L108" s="17">
        <v>28</v>
      </c>
      <c r="M108">
        <f>Table23[[#This Row],[AIRCRAFT]]/7</f>
        <v>4</v>
      </c>
    </row>
    <row r="109" spans="3:13" x14ac:dyDescent="0.25">
      <c r="C109"/>
      <c r="I109" t="s">
        <v>18855</v>
      </c>
      <c r="J109">
        <v>1093</v>
      </c>
      <c r="K109" t="s">
        <v>18730</v>
      </c>
      <c r="L109" s="17">
        <v>28</v>
      </c>
      <c r="M109">
        <f>Table23[[#This Row],[AIRCRAFT]]/7</f>
        <v>4</v>
      </c>
    </row>
    <row r="110" spans="3:13" x14ac:dyDescent="0.25">
      <c r="C110"/>
      <c r="I110" t="s">
        <v>18855</v>
      </c>
      <c r="J110">
        <v>1126</v>
      </c>
      <c r="K110" t="s">
        <v>18741</v>
      </c>
      <c r="L110" s="17">
        <v>28</v>
      </c>
      <c r="M110">
        <f>Table23[[#This Row],[AIRCRAFT]]/7</f>
        <v>4</v>
      </c>
    </row>
    <row r="111" spans="3:13" x14ac:dyDescent="0.25">
      <c r="C111"/>
      <c r="I111" t="s">
        <v>18855</v>
      </c>
      <c r="J111">
        <v>1135</v>
      </c>
      <c r="K111" t="s">
        <v>18744</v>
      </c>
      <c r="L111" s="17">
        <v>28</v>
      </c>
      <c r="M111">
        <f>Table23[[#This Row],[AIRCRAFT]]/7</f>
        <v>4</v>
      </c>
    </row>
    <row r="112" spans="3:13" x14ac:dyDescent="0.25">
      <c r="C112"/>
      <c r="I112" t="s">
        <v>18855</v>
      </c>
      <c r="J112">
        <v>1144</v>
      </c>
      <c r="K112" t="s">
        <v>18747</v>
      </c>
      <c r="L112" s="17">
        <v>28</v>
      </c>
      <c r="M112">
        <f>Table23[[#This Row],[AIRCRAFT]]/7</f>
        <v>4</v>
      </c>
    </row>
    <row r="113" spans="3:13" x14ac:dyDescent="0.25">
      <c r="C113"/>
      <c r="I113" t="s">
        <v>18855</v>
      </c>
      <c r="J113">
        <v>1162</v>
      </c>
      <c r="K113" t="s">
        <v>18753</v>
      </c>
      <c r="L113" s="17">
        <v>28</v>
      </c>
      <c r="M113">
        <f>Table23[[#This Row],[AIRCRAFT]]/7</f>
        <v>4</v>
      </c>
    </row>
    <row r="114" spans="3:13" x14ac:dyDescent="0.25">
      <c r="C114"/>
      <c r="I114" t="s">
        <v>18855</v>
      </c>
      <c r="J114">
        <v>1225</v>
      </c>
      <c r="K114" t="s">
        <v>18774</v>
      </c>
      <c r="L114" s="17">
        <v>28</v>
      </c>
      <c r="M114">
        <f>Table23[[#This Row],[AIRCRAFT]]/7</f>
        <v>4</v>
      </c>
    </row>
    <row r="115" spans="3:13" x14ac:dyDescent="0.25">
      <c r="C115"/>
      <c r="I115" t="s">
        <v>18855</v>
      </c>
      <c r="J115">
        <v>1234</v>
      </c>
      <c r="K115" t="s">
        <v>18777</v>
      </c>
      <c r="L115" s="17">
        <v>28</v>
      </c>
      <c r="M115">
        <f>Table23[[#This Row],[AIRCRAFT]]/7</f>
        <v>4</v>
      </c>
    </row>
    <row r="116" spans="3:13" x14ac:dyDescent="0.25">
      <c r="C116"/>
      <c r="I116" t="s">
        <v>18855</v>
      </c>
      <c r="J116">
        <v>1240</v>
      </c>
      <c r="K116" t="s">
        <v>18779</v>
      </c>
      <c r="L116" s="17">
        <v>28</v>
      </c>
      <c r="M116">
        <f>Table23[[#This Row],[AIRCRAFT]]/7</f>
        <v>4</v>
      </c>
    </row>
    <row r="117" spans="3:13" x14ac:dyDescent="0.25">
      <c r="C117"/>
      <c r="I117" t="s">
        <v>18855</v>
      </c>
      <c r="J117">
        <v>1243</v>
      </c>
      <c r="K117" t="s">
        <v>18780</v>
      </c>
      <c r="L117" s="17">
        <v>28</v>
      </c>
      <c r="M117">
        <f>Table23[[#This Row],[AIRCRAFT]]/7</f>
        <v>4</v>
      </c>
    </row>
    <row r="118" spans="3:13" x14ac:dyDescent="0.25">
      <c r="C118"/>
      <c r="I118" t="s">
        <v>18855</v>
      </c>
      <c r="J118">
        <v>1294</v>
      </c>
      <c r="K118" t="s">
        <v>18797</v>
      </c>
      <c r="L118" s="17">
        <v>28</v>
      </c>
      <c r="M118">
        <f>Table23[[#This Row],[AIRCRAFT]]/7</f>
        <v>4</v>
      </c>
    </row>
    <row r="119" spans="3:13" x14ac:dyDescent="0.25">
      <c r="C119"/>
      <c r="I119" t="s">
        <v>18855</v>
      </c>
      <c r="J119">
        <v>1303</v>
      </c>
      <c r="K119" t="s">
        <v>18800</v>
      </c>
      <c r="L119" s="17">
        <v>28</v>
      </c>
      <c r="M119">
        <f>Table23[[#This Row],[AIRCRAFT]]/7</f>
        <v>4</v>
      </c>
    </row>
    <row r="120" spans="3:13" x14ac:dyDescent="0.25">
      <c r="C120"/>
      <c r="I120" t="s">
        <v>18855</v>
      </c>
      <c r="J120">
        <v>1309</v>
      </c>
      <c r="K120" t="s">
        <v>18802</v>
      </c>
      <c r="L120" s="17">
        <v>28</v>
      </c>
      <c r="M120">
        <f>Table23[[#This Row],[AIRCRAFT]]/7</f>
        <v>4</v>
      </c>
    </row>
    <row r="121" spans="3:13" x14ac:dyDescent="0.25">
      <c r="C121"/>
      <c r="I121" t="s">
        <v>18855</v>
      </c>
      <c r="J121">
        <v>1333</v>
      </c>
      <c r="K121" t="s">
        <v>18810</v>
      </c>
      <c r="L121" s="17">
        <v>28</v>
      </c>
      <c r="M121">
        <f>Table23[[#This Row],[AIRCRAFT]]/7</f>
        <v>4</v>
      </c>
    </row>
    <row r="122" spans="3:13" x14ac:dyDescent="0.25">
      <c r="C122"/>
      <c r="I122" t="s">
        <v>18855</v>
      </c>
      <c r="J122">
        <v>1342</v>
      </c>
      <c r="K122" t="s">
        <v>18813</v>
      </c>
      <c r="L122" s="17">
        <v>28</v>
      </c>
      <c r="M122">
        <f>Table23[[#This Row],[AIRCRAFT]]/7</f>
        <v>4</v>
      </c>
    </row>
    <row r="123" spans="3:13" x14ac:dyDescent="0.25">
      <c r="C123"/>
      <c r="I123" t="s">
        <v>18855</v>
      </c>
      <c r="J123">
        <v>1345</v>
      </c>
      <c r="K123" t="s">
        <v>18814</v>
      </c>
      <c r="L123" s="17">
        <v>28</v>
      </c>
      <c r="M123">
        <f>Table23[[#This Row],[AIRCRAFT]]/7</f>
        <v>4</v>
      </c>
    </row>
    <row r="124" spans="3:13" x14ac:dyDescent="0.25">
      <c r="C124"/>
      <c r="I124" t="s">
        <v>18855</v>
      </c>
      <c r="J124">
        <v>1348</v>
      </c>
      <c r="K124" t="s">
        <v>18815</v>
      </c>
      <c r="L124" s="17">
        <v>28</v>
      </c>
      <c r="M124">
        <f>Table23[[#This Row],[AIRCRAFT]]/7</f>
        <v>4</v>
      </c>
    </row>
    <row r="125" spans="3:13" x14ac:dyDescent="0.25">
      <c r="C125"/>
      <c r="I125" t="s">
        <v>18855</v>
      </c>
      <c r="J125">
        <v>1351</v>
      </c>
      <c r="K125" t="s">
        <v>18816</v>
      </c>
      <c r="L125" s="17">
        <v>28</v>
      </c>
      <c r="M125">
        <f>Table23[[#This Row],[AIRCRAFT]]/7</f>
        <v>4</v>
      </c>
    </row>
    <row r="126" spans="3:13" x14ac:dyDescent="0.25">
      <c r="C126"/>
      <c r="I126" t="s">
        <v>18855</v>
      </c>
      <c r="J126">
        <v>1378</v>
      </c>
      <c r="K126" t="s">
        <v>18825</v>
      </c>
      <c r="L126" s="17">
        <v>28</v>
      </c>
      <c r="M126">
        <f>Table23[[#This Row],[AIRCRAFT]]/7</f>
        <v>4</v>
      </c>
    </row>
    <row r="127" spans="3:13" x14ac:dyDescent="0.25">
      <c r="C127"/>
      <c r="I127" t="s">
        <v>18855</v>
      </c>
      <c r="J127">
        <v>1393</v>
      </c>
      <c r="K127" t="s">
        <v>18830</v>
      </c>
      <c r="L127" s="17">
        <v>28</v>
      </c>
      <c r="M127">
        <f>Table23[[#This Row],[AIRCRAFT]]/7</f>
        <v>4</v>
      </c>
    </row>
    <row r="128" spans="3:13" x14ac:dyDescent="0.25">
      <c r="C128"/>
      <c r="I128" t="s">
        <v>18855</v>
      </c>
      <c r="J128">
        <v>1405</v>
      </c>
      <c r="K128" t="s">
        <v>18834</v>
      </c>
      <c r="L128" s="17">
        <v>28</v>
      </c>
      <c r="M128">
        <f>Table23[[#This Row],[AIRCRAFT]]/7</f>
        <v>4</v>
      </c>
    </row>
    <row r="129" spans="3:13" x14ac:dyDescent="0.25">
      <c r="C129"/>
      <c r="I129" t="s">
        <v>18855</v>
      </c>
      <c r="J129">
        <v>1456</v>
      </c>
      <c r="K129" t="s">
        <v>18851</v>
      </c>
      <c r="L129" s="17">
        <v>28</v>
      </c>
      <c r="M129">
        <f>Table23[[#This Row],[AIRCRAFT]]/7</f>
        <v>4</v>
      </c>
    </row>
    <row r="130" spans="3:13" x14ac:dyDescent="0.25">
      <c r="C130"/>
      <c r="I130" t="s">
        <v>18855</v>
      </c>
      <c r="J130">
        <v>1</v>
      </c>
      <c r="K130" t="s">
        <v>18366</v>
      </c>
      <c r="L130" s="17">
        <v>21</v>
      </c>
      <c r="M130">
        <f>Table23[[#This Row],[AIRCRAFT]]/7</f>
        <v>3</v>
      </c>
    </row>
    <row r="131" spans="3:13" x14ac:dyDescent="0.25">
      <c r="C131"/>
      <c r="I131" t="s">
        <v>18855</v>
      </c>
      <c r="J131">
        <v>22</v>
      </c>
      <c r="K131" t="s">
        <v>18373</v>
      </c>
      <c r="L131" s="17">
        <v>21</v>
      </c>
      <c r="M131">
        <f>Table23[[#This Row],[AIRCRAFT]]/7</f>
        <v>3</v>
      </c>
    </row>
    <row r="132" spans="3:13" x14ac:dyDescent="0.25">
      <c r="C132"/>
      <c r="I132" t="s">
        <v>18855</v>
      </c>
      <c r="J132">
        <v>25</v>
      </c>
      <c r="K132" t="s">
        <v>18374</v>
      </c>
      <c r="L132" s="17">
        <v>21</v>
      </c>
      <c r="M132">
        <f>Table23[[#This Row],[AIRCRAFT]]/7</f>
        <v>3</v>
      </c>
    </row>
    <row r="133" spans="3:13" x14ac:dyDescent="0.25">
      <c r="C133"/>
      <c r="I133" t="s">
        <v>18855</v>
      </c>
      <c r="J133">
        <v>28</v>
      </c>
      <c r="K133" t="s">
        <v>18375</v>
      </c>
      <c r="L133" s="17">
        <v>21</v>
      </c>
      <c r="M133">
        <f>Table23[[#This Row],[AIRCRAFT]]/7</f>
        <v>3</v>
      </c>
    </row>
    <row r="134" spans="3:13" x14ac:dyDescent="0.25">
      <c r="C134"/>
      <c r="I134" t="s">
        <v>18855</v>
      </c>
      <c r="J134">
        <v>37</v>
      </c>
      <c r="K134" t="s">
        <v>18378</v>
      </c>
      <c r="L134" s="17">
        <v>21</v>
      </c>
      <c r="M134">
        <f>Table23[[#This Row],[AIRCRAFT]]/7</f>
        <v>3</v>
      </c>
    </row>
    <row r="135" spans="3:13" x14ac:dyDescent="0.25">
      <c r="C135"/>
      <c r="I135" t="s">
        <v>18855</v>
      </c>
      <c r="J135">
        <v>49</v>
      </c>
      <c r="K135" t="s">
        <v>18382</v>
      </c>
      <c r="L135" s="17">
        <v>21</v>
      </c>
      <c r="M135">
        <f>Table23[[#This Row],[AIRCRAFT]]/7</f>
        <v>3</v>
      </c>
    </row>
    <row r="136" spans="3:13" x14ac:dyDescent="0.25">
      <c r="C136"/>
      <c r="I136" t="s">
        <v>18855</v>
      </c>
      <c r="J136">
        <v>58</v>
      </c>
      <c r="K136" t="s">
        <v>18385</v>
      </c>
      <c r="L136" s="17">
        <v>21</v>
      </c>
      <c r="M136">
        <f>Table23[[#This Row],[AIRCRAFT]]/7</f>
        <v>3</v>
      </c>
    </row>
    <row r="137" spans="3:13" x14ac:dyDescent="0.25">
      <c r="C137"/>
      <c r="I137" t="s">
        <v>18855</v>
      </c>
      <c r="J137">
        <v>64</v>
      </c>
      <c r="K137" t="s">
        <v>18387</v>
      </c>
      <c r="L137" s="17">
        <v>21</v>
      </c>
      <c r="M137">
        <f>Table23[[#This Row],[AIRCRAFT]]/7</f>
        <v>3</v>
      </c>
    </row>
    <row r="138" spans="3:13" x14ac:dyDescent="0.25">
      <c r="C138"/>
      <c r="I138" t="s">
        <v>18855</v>
      </c>
      <c r="J138">
        <v>73</v>
      </c>
      <c r="K138" t="s">
        <v>18390</v>
      </c>
      <c r="L138" s="17">
        <v>21</v>
      </c>
      <c r="M138">
        <f>Table23[[#This Row],[AIRCRAFT]]/7</f>
        <v>3</v>
      </c>
    </row>
    <row r="139" spans="3:13" x14ac:dyDescent="0.25">
      <c r="C139"/>
      <c r="I139" t="s">
        <v>18855</v>
      </c>
      <c r="J139">
        <v>76</v>
      </c>
      <c r="K139" t="s">
        <v>18391</v>
      </c>
      <c r="L139" s="17">
        <v>21</v>
      </c>
      <c r="M139">
        <f>Table23[[#This Row],[AIRCRAFT]]/7</f>
        <v>3</v>
      </c>
    </row>
    <row r="140" spans="3:13" x14ac:dyDescent="0.25">
      <c r="C140"/>
      <c r="I140" t="s">
        <v>18855</v>
      </c>
      <c r="J140">
        <v>79</v>
      </c>
      <c r="K140" t="s">
        <v>18392</v>
      </c>
      <c r="L140" s="17">
        <v>21</v>
      </c>
      <c r="M140">
        <f>Table23[[#This Row],[AIRCRAFT]]/7</f>
        <v>3</v>
      </c>
    </row>
    <row r="141" spans="3:13" x14ac:dyDescent="0.25">
      <c r="C141"/>
      <c r="I141" t="s">
        <v>18855</v>
      </c>
      <c r="J141">
        <v>82</v>
      </c>
      <c r="K141" t="s">
        <v>18393</v>
      </c>
      <c r="L141" s="17">
        <v>21</v>
      </c>
      <c r="M141">
        <f>Table23[[#This Row],[AIRCRAFT]]/7</f>
        <v>3</v>
      </c>
    </row>
    <row r="142" spans="3:13" x14ac:dyDescent="0.25">
      <c r="C142"/>
      <c r="I142" t="s">
        <v>18855</v>
      </c>
      <c r="J142">
        <v>88</v>
      </c>
      <c r="K142" t="s">
        <v>18395</v>
      </c>
      <c r="L142" s="17">
        <v>21</v>
      </c>
      <c r="M142">
        <f>Table23[[#This Row],[AIRCRAFT]]/7</f>
        <v>3</v>
      </c>
    </row>
    <row r="143" spans="3:13" x14ac:dyDescent="0.25">
      <c r="C143"/>
      <c r="I143" t="s">
        <v>18855</v>
      </c>
      <c r="J143">
        <v>94</v>
      </c>
      <c r="K143" t="s">
        <v>18397</v>
      </c>
      <c r="L143" s="17">
        <v>21</v>
      </c>
      <c r="M143">
        <f>Table23[[#This Row],[AIRCRAFT]]/7</f>
        <v>3</v>
      </c>
    </row>
    <row r="144" spans="3:13" x14ac:dyDescent="0.25">
      <c r="C144"/>
      <c r="I144" t="s">
        <v>18855</v>
      </c>
      <c r="J144">
        <v>97</v>
      </c>
      <c r="K144" t="s">
        <v>18398</v>
      </c>
      <c r="L144" s="17">
        <v>21</v>
      </c>
      <c r="M144">
        <f>Table23[[#This Row],[AIRCRAFT]]/7</f>
        <v>3</v>
      </c>
    </row>
    <row r="145" spans="3:13" x14ac:dyDescent="0.25">
      <c r="C145"/>
      <c r="I145" t="s">
        <v>18855</v>
      </c>
      <c r="J145">
        <v>100</v>
      </c>
      <c r="K145" t="s">
        <v>18399</v>
      </c>
      <c r="L145" s="17">
        <v>21</v>
      </c>
      <c r="M145">
        <f>Table23[[#This Row],[AIRCRAFT]]/7</f>
        <v>3</v>
      </c>
    </row>
    <row r="146" spans="3:13" x14ac:dyDescent="0.25">
      <c r="C146"/>
      <c r="I146" t="s">
        <v>18855</v>
      </c>
      <c r="J146">
        <v>103</v>
      </c>
      <c r="K146" t="s">
        <v>18400</v>
      </c>
      <c r="L146" s="17">
        <v>21</v>
      </c>
      <c r="M146">
        <f>Table23[[#This Row],[AIRCRAFT]]/7</f>
        <v>3</v>
      </c>
    </row>
    <row r="147" spans="3:13" x14ac:dyDescent="0.25">
      <c r="C147"/>
      <c r="I147" t="s">
        <v>18855</v>
      </c>
      <c r="J147">
        <v>106</v>
      </c>
      <c r="K147" t="s">
        <v>18401</v>
      </c>
      <c r="L147" s="17">
        <v>21</v>
      </c>
      <c r="M147">
        <f>Table23[[#This Row],[AIRCRAFT]]/7</f>
        <v>3</v>
      </c>
    </row>
    <row r="148" spans="3:13" x14ac:dyDescent="0.25">
      <c r="C148"/>
      <c r="I148" t="s">
        <v>18855</v>
      </c>
      <c r="J148">
        <v>121</v>
      </c>
      <c r="K148" t="s">
        <v>18406</v>
      </c>
      <c r="L148" s="17">
        <v>21</v>
      </c>
      <c r="M148">
        <f>Table23[[#This Row],[AIRCRAFT]]/7</f>
        <v>3</v>
      </c>
    </row>
    <row r="149" spans="3:13" x14ac:dyDescent="0.25">
      <c r="C149"/>
      <c r="I149" t="s">
        <v>18855</v>
      </c>
      <c r="J149">
        <v>124</v>
      </c>
      <c r="K149" t="s">
        <v>18407</v>
      </c>
      <c r="L149" s="17">
        <v>21</v>
      </c>
      <c r="M149">
        <f>Table23[[#This Row],[AIRCRAFT]]/7</f>
        <v>3</v>
      </c>
    </row>
    <row r="150" spans="3:13" x14ac:dyDescent="0.25">
      <c r="C150"/>
      <c r="I150" t="s">
        <v>18855</v>
      </c>
      <c r="J150">
        <v>127</v>
      </c>
      <c r="K150" t="s">
        <v>18408</v>
      </c>
      <c r="L150" s="17">
        <v>21</v>
      </c>
      <c r="M150">
        <f>Table23[[#This Row],[AIRCRAFT]]/7</f>
        <v>3</v>
      </c>
    </row>
    <row r="151" spans="3:13" x14ac:dyDescent="0.25">
      <c r="C151"/>
      <c r="I151" t="s">
        <v>18855</v>
      </c>
      <c r="J151">
        <v>136</v>
      </c>
      <c r="K151" t="s">
        <v>18411</v>
      </c>
      <c r="L151" s="17">
        <v>21</v>
      </c>
      <c r="M151">
        <f>Table23[[#This Row],[AIRCRAFT]]/7</f>
        <v>3</v>
      </c>
    </row>
    <row r="152" spans="3:13" x14ac:dyDescent="0.25">
      <c r="C152"/>
      <c r="I152" t="s">
        <v>18855</v>
      </c>
      <c r="J152">
        <v>139</v>
      </c>
      <c r="K152" t="s">
        <v>18412</v>
      </c>
      <c r="L152" s="17">
        <v>21</v>
      </c>
      <c r="M152">
        <f>Table23[[#This Row],[AIRCRAFT]]/7</f>
        <v>3</v>
      </c>
    </row>
    <row r="153" spans="3:13" x14ac:dyDescent="0.25">
      <c r="C153"/>
      <c r="I153" t="s">
        <v>18855</v>
      </c>
      <c r="J153">
        <v>142</v>
      </c>
      <c r="K153" t="s">
        <v>18413</v>
      </c>
      <c r="L153" s="17">
        <v>21</v>
      </c>
      <c r="M153">
        <f>Table23[[#This Row],[AIRCRAFT]]/7</f>
        <v>3</v>
      </c>
    </row>
    <row r="154" spans="3:13" x14ac:dyDescent="0.25">
      <c r="C154"/>
      <c r="I154" t="s">
        <v>18855</v>
      </c>
      <c r="J154">
        <v>145</v>
      </c>
      <c r="K154" t="s">
        <v>18414</v>
      </c>
      <c r="L154" s="17">
        <v>21</v>
      </c>
      <c r="M154">
        <f>Table23[[#This Row],[AIRCRAFT]]/7</f>
        <v>3</v>
      </c>
    </row>
    <row r="155" spans="3:13" x14ac:dyDescent="0.25">
      <c r="C155"/>
      <c r="I155" t="s">
        <v>18855</v>
      </c>
      <c r="J155">
        <v>151</v>
      </c>
      <c r="K155" t="s">
        <v>18416</v>
      </c>
      <c r="L155" s="17">
        <v>21</v>
      </c>
      <c r="M155">
        <f>Table23[[#This Row],[AIRCRAFT]]/7</f>
        <v>3</v>
      </c>
    </row>
    <row r="156" spans="3:13" x14ac:dyDescent="0.25">
      <c r="C156"/>
      <c r="I156" t="s">
        <v>18855</v>
      </c>
      <c r="J156">
        <v>157</v>
      </c>
      <c r="K156" t="s">
        <v>18418</v>
      </c>
      <c r="L156" s="17">
        <v>21</v>
      </c>
      <c r="M156">
        <f>Table23[[#This Row],[AIRCRAFT]]/7</f>
        <v>3</v>
      </c>
    </row>
    <row r="157" spans="3:13" x14ac:dyDescent="0.25">
      <c r="C157"/>
      <c r="I157" t="s">
        <v>18855</v>
      </c>
      <c r="J157">
        <v>160</v>
      </c>
      <c r="K157" t="s">
        <v>18419</v>
      </c>
      <c r="L157" s="17">
        <v>21</v>
      </c>
      <c r="M157">
        <f>Table23[[#This Row],[AIRCRAFT]]/7</f>
        <v>3</v>
      </c>
    </row>
    <row r="158" spans="3:13" x14ac:dyDescent="0.25">
      <c r="C158"/>
      <c r="I158" t="s">
        <v>18855</v>
      </c>
      <c r="J158">
        <v>169</v>
      </c>
      <c r="K158" t="s">
        <v>18422</v>
      </c>
      <c r="L158" s="17">
        <v>21</v>
      </c>
      <c r="M158">
        <f>Table23[[#This Row],[AIRCRAFT]]/7</f>
        <v>3</v>
      </c>
    </row>
    <row r="159" spans="3:13" x14ac:dyDescent="0.25">
      <c r="C159"/>
      <c r="I159" t="s">
        <v>18855</v>
      </c>
      <c r="J159">
        <v>175</v>
      </c>
      <c r="K159" t="s">
        <v>18424</v>
      </c>
      <c r="L159" s="17">
        <v>21</v>
      </c>
      <c r="M159">
        <f>Table23[[#This Row],[AIRCRAFT]]/7</f>
        <v>3</v>
      </c>
    </row>
    <row r="160" spans="3:13" x14ac:dyDescent="0.25">
      <c r="C160"/>
      <c r="I160" t="s">
        <v>18855</v>
      </c>
      <c r="J160">
        <v>184</v>
      </c>
      <c r="K160" t="s">
        <v>18427</v>
      </c>
      <c r="L160" s="17">
        <v>21</v>
      </c>
      <c r="M160">
        <f>Table23[[#This Row],[AIRCRAFT]]/7</f>
        <v>3</v>
      </c>
    </row>
    <row r="161" spans="3:13" x14ac:dyDescent="0.25">
      <c r="C161"/>
      <c r="I161" t="s">
        <v>18855</v>
      </c>
      <c r="J161">
        <v>196</v>
      </c>
      <c r="K161" t="s">
        <v>18431</v>
      </c>
      <c r="L161" s="17">
        <v>21</v>
      </c>
      <c r="M161">
        <f>Table23[[#This Row],[AIRCRAFT]]/7</f>
        <v>3</v>
      </c>
    </row>
    <row r="162" spans="3:13" x14ac:dyDescent="0.25">
      <c r="C162"/>
      <c r="I162" t="s">
        <v>18855</v>
      </c>
      <c r="J162">
        <v>202</v>
      </c>
      <c r="K162" t="s">
        <v>18433</v>
      </c>
      <c r="L162" s="17">
        <v>21</v>
      </c>
      <c r="M162">
        <f>Table23[[#This Row],[AIRCRAFT]]/7</f>
        <v>3</v>
      </c>
    </row>
    <row r="163" spans="3:13" x14ac:dyDescent="0.25">
      <c r="C163"/>
      <c r="I163" t="s">
        <v>18855</v>
      </c>
      <c r="J163">
        <v>211</v>
      </c>
      <c r="K163" t="s">
        <v>18436</v>
      </c>
      <c r="L163" s="17">
        <v>21</v>
      </c>
      <c r="M163">
        <f>Table23[[#This Row],[AIRCRAFT]]/7</f>
        <v>3</v>
      </c>
    </row>
    <row r="164" spans="3:13" x14ac:dyDescent="0.25">
      <c r="C164"/>
      <c r="I164" t="s">
        <v>18855</v>
      </c>
      <c r="J164">
        <v>214</v>
      </c>
      <c r="K164" t="s">
        <v>18437</v>
      </c>
      <c r="L164" s="17">
        <v>21</v>
      </c>
      <c r="M164">
        <f>Table23[[#This Row],[AIRCRAFT]]/7</f>
        <v>3</v>
      </c>
    </row>
    <row r="165" spans="3:13" x14ac:dyDescent="0.25">
      <c r="C165"/>
      <c r="I165" t="s">
        <v>18855</v>
      </c>
      <c r="J165">
        <v>220</v>
      </c>
      <c r="K165" t="s">
        <v>18439</v>
      </c>
      <c r="L165" s="17">
        <v>21</v>
      </c>
      <c r="M165">
        <f>Table23[[#This Row],[AIRCRAFT]]/7</f>
        <v>3</v>
      </c>
    </row>
    <row r="166" spans="3:13" x14ac:dyDescent="0.25">
      <c r="C166"/>
      <c r="I166" t="s">
        <v>18855</v>
      </c>
      <c r="J166">
        <v>229</v>
      </c>
      <c r="K166" t="s">
        <v>18442</v>
      </c>
      <c r="L166" s="17">
        <v>21</v>
      </c>
      <c r="M166">
        <f>Table23[[#This Row],[AIRCRAFT]]/7</f>
        <v>3</v>
      </c>
    </row>
    <row r="167" spans="3:13" x14ac:dyDescent="0.25">
      <c r="C167"/>
      <c r="I167" t="s">
        <v>18855</v>
      </c>
      <c r="J167">
        <v>232</v>
      </c>
      <c r="K167" t="s">
        <v>18443</v>
      </c>
      <c r="L167" s="17">
        <v>21</v>
      </c>
      <c r="M167">
        <f>Table23[[#This Row],[AIRCRAFT]]/7</f>
        <v>3</v>
      </c>
    </row>
    <row r="168" spans="3:13" x14ac:dyDescent="0.25">
      <c r="C168"/>
      <c r="I168" t="s">
        <v>18855</v>
      </c>
      <c r="J168">
        <v>247</v>
      </c>
      <c r="K168" t="s">
        <v>18448</v>
      </c>
      <c r="L168" s="17">
        <v>21</v>
      </c>
      <c r="M168">
        <f>Table23[[#This Row],[AIRCRAFT]]/7</f>
        <v>3</v>
      </c>
    </row>
    <row r="169" spans="3:13" x14ac:dyDescent="0.25">
      <c r="C169"/>
      <c r="I169" t="s">
        <v>18855</v>
      </c>
      <c r="J169">
        <v>250</v>
      </c>
      <c r="K169" t="s">
        <v>18449</v>
      </c>
      <c r="L169" s="17">
        <v>21</v>
      </c>
      <c r="M169">
        <f>Table23[[#This Row],[AIRCRAFT]]/7</f>
        <v>3</v>
      </c>
    </row>
    <row r="170" spans="3:13" x14ac:dyDescent="0.25">
      <c r="C170"/>
      <c r="I170" t="s">
        <v>18855</v>
      </c>
      <c r="J170">
        <v>253</v>
      </c>
      <c r="K170" t="s">
        <v>18450</v>
      </c>
      <c r="L170" s="17">
        <v>21</v>
      </c>
      <c r="M170">
        <f>Table23[[#This Row],[AIRCRAFT]]/7</f>
        <v>3</v>
      </c>
    </row>
    <row r="171" spans="3:13" x14ac:dyDescent="0.25">
      <c r="C171"/>
      <c r="I171" t="s">
        <v>18855</v>
      </c>
      <c r="J171">
        <v>262</v>
      </c>
      <c r="K171" t="s">
        <v>18453</v>
      </c>
      <c r="L171" s="17">
        <v>21</v>
      </c>
      <c r="M171">
        <f>Table23[[#This Row],[AIRCRAFT]]/7</f>
        <v>3</v>
      </c>
    </row>
    <row r="172" spans="3:13" x14ac:dyDescent="0.25">
      <c r="C172"/>
      <c r="I172" t="s">
        <v>18855</v>
      </c>
      <c r="J172">
        <v>265</v>
      </c>
      <c r="K172" t="s">
        <v>18454</v>
      </c>
      <c r="L172" s="17">
        <v>21</v>
      </c>
      <c r="M172">
        <f>Table23[[#This Row],[AIRCRAFT]]/7</f>
        <v>3</v>
      </c>
    </row>
    <row r="173" spans="3:13" x14ac:dyDescent="0.25">
      <c r="C173"/>
      <c r="I173" t="s">
        <v>18855</v>
      </c>
      <c r="J173">
        <v>268</v>
      </c>
      <c r="K173" t="s">
        <v>18455</v>
      </c>
      <c r="L173" s="17">
        <v>21</v>
      </c>
      <c r="M173">
        <f>Table23[[#This Row],[AIRCRAFT]]/7</f>
        <v>3</v>
      </c>
    </row>
    <row r="174" spans="3:13" x14ac:dyDescent="0.25">
      <c r="C174"/>
      <c r="I174" t="s">
        <v>18855</v>
      </c>
      <c r="J174">
        <v>277</v>
      </c>
      <c r="K174" t="s">
        <v>18458</v>
      </c>
      <c r="L174" s="17">
        <v>21</v>
      </c>
      <c r="M174">
        <f>Table23[[#This Row],[AIRCRAFT]]/7</f>
        <v>3</v>
      </c>
    </row>
    <row r="175" spans="3:13" x14ac:dyDescent="0.25">
      <c r="C175"/>
      <c r="I175" t="s">
        <v>18855</v>
      </c>
      <c r="J175">
        <v>289</v>
      </c>
      <c r="K175" t="s">
        <v>18462</v>
      </c>
      <c r="L175" s="17">
        <v>21</v>
      </c>
      <c r="M175">
        <f>Table23[[#This Row],[AIRCRAFT]]/7</f>
        <v>3</v>
      </c>
    </row>
    <row r="176" spans="3:13" x14ac:dyDescent="0.25">
      <c r="C176"/>
      <c r="I176" t="s">
        <v>18855</v>
      </c>
      <c r="J176">
        <v>295</v>
      </c>
      <c r="K176" t="s">
        <v>18464</v>
      </c>
      <c r="L176" s="17">
        <v>21</v>
      </c>
      <c r="M176">
        <f>Table23[[#This Row],[AIRCRAFT]]/7</f>
        <v>3</v>
      </c>
    </row>
    <row r="177" spans="3:13" x14ac:dyDescent="0.25">
      <c r="C177"/>
      <c r="I177" t="s">
        <v>18855</v>
      </c>
      <c r="J177">
        <v>301</v>
      </c>
      <c r="K177" t="s">
        <v>18466</v>
      </c>
      <c r="L177" s="17">
        <v>21</v>
      </c>
      <c r="M177">
        <f>Table23[[#This Row],[AIRCRAFT]]/7</f>
        <v>3</v>
      </c>
    </row>
    <row r="178" spans="3:13" x14ac:dyDescent="0.25">
      <c r="C178"/>
      <c r="I178" t="s">
        <v>18855</v>
      </c>
      <c r="J178">
        <v>304</v>
      </c>
      <c r="K178" t="s">
        <v>18467</v>
      </c>
      <c r="L178" s="17">
        <v>21</v>
      </c>
      <c r="M178">
        <f>Table23[[#This Row],[AIRCRAFT]]/7</f>
        <v>3</v>
      </c>
    </row>
    <row r="179" spans="3:13" x14ac:dyDescent="0.25">
      <c r="C179"/>
      <c r="I179" t="s">
        <v>18855</v>
      </c>
      <c r="J179">
        <v>307</v>
      </c>
      <c r="K179" t="s">
        <v>18468</v>
      </c>
      <c r="L179" s="17">
        <v>21</v>
      </c>
      <c r="M179">
        <f>Table23[[#This Row],[AIRCRAFT]]/7</f>
        <v>3</v>
      </c>
    </row>
    <row r="180" spans="3:13" x14ac:dyDescent="0.25">
      <c r="C180"/>
      <c r="I180" t="s">
        <v>18855</v>
      </c>
      <c r="J180">
        <v>313</v>
      </c>
      <c r="K180" t="s">
        <v>18470</v>
      </c>
      <c r="L180" s="17">
        <v>21</v>
      </c>
      <c r="M180">
        <f>Table23[[#This Row],[AIRCRAFT]]/7</f>
        <v>3</v>
      </c>
    </row>
    <row r="181" spans="3:13" x14ac:dyDescent="0.25">
      <c r="C181"/>
      <c r="I181" t="s">
        <v>18855</v>
      </c>
      <c r="J181">
        <v>316</v>
      </c>
      <c r="K181" t="s">
        <v>18471</v>
      </c>
      <c r="L181" s="17">
        <v>21</v>
      </c>
      <c r="M181">
        <f>Table23[[#This Row],[AIRCRAFT]]/7</f>
        <v>3</v>
      </c>
    </row>
    <row r="182" spans="3:13" x14ac:dyDescent="0.25">
      <c r="C182"/>
      <c r="I182" t="s">
        <v>18855</v>
      </c>
      <c r="J182">
        <v>319</v>
      </c>
      <c r="K182" t="s">
        <v>18472</v>
      </c>
      <c r="L182" s="17">
        <v>21</v>
      </c>
      <c r="M182">
        <f>Table23[[#This Row],[AIRCRAFT]]/7</f>
        <v>3</v>
      </c>
    </row>
    <row r="183" spans="3:13" x14ac:dyDescent="0.25">
      <c r="C183"/>
      <c r="I183" t="s">
        <v>18855</v>
      </c>
      <c r="J183">
        <v>337</v>
      </c>
      <c r="K183" t="s">
        <v>18478</v>
      </c>
      <c r="L183" s="17">
        <v>21</v>
      </c>
      <c r="M183">
        <f>Table23[[#This Row],[AIRCRAFT]]/7</f>
        <v>3</v>
      </c>
    </row>
    <row r="184" spans="3:13" x14ac:dyDescent="0.25">
      <c r="I184" t="s">
        <v>18855</v>
      </c>
      <c r="J184">
        <v>340</v>
      </c>
      <c r="K184" t="s">
        <v>18479</v>
      </c>
      <c r="L184" s="17">
        <v>21</v>
      </c>
      <c r="M184">
        <f>Table23[[#This Row],[AIRCRAFT]]/7</f>
        <v>3</v>
      </c>
    </row>
    <row r="185" spans="3:13" x14ac:dyDescent="0.25">
      <c r="I185" t="s">
        <v>18855</v>
      </c>
      <c r="J185">
        <v>343</v>
      </c>
      <c r="K185" t="s">
        <v>18480</v>
      </c>
      <c r="L185" s="17">
        <v>21</v>
      </c>
      <c r="M185">
        <f>Table23[[#This Row],[AIRCRAFT]]/7</f>
        <v>3</v>
      </c>
    </row>
    <row r="186" spans="3:13" x14ac:dyDescent="0.25">
      <c r="I186" t="s">
        <v>18855</v>
      </c>
      <c r="J186">
        <v>361</v>
      </c>
      <c r="K186" t="s">
        <v>18486</v>
      </c>
      <c r="L186" s="17">
        <v>21</v>
      </c>
      <c r="M186">
        <f>Table23[[#This Row],[AIRCRAFT]]/7</f>
        <v>3</v>
      </c>
    </row>
    <row r="187" spans="3:13" x14ac:dyDescent="0.25">
      <c r="I187" t="s">
        <v>18855</v>
      </c>
      <c r="J187">
        <v>364</v>
      </c>
      <c r="K187" t="s">
        <v>18487</v>
      </c>
      <c r="L187" s="17">
        <v>21</v>
      </c>
      <c r="M187">
        <f>Table23[[#This Row],[AIRCRAFT]]/7</f>
        <v>3</v>
      </c>
    </row>
    <row r="188" spans="3:13" x14ac:dyDescent="0.25">
      <c r="I188" t="s">
        <v>18855</v>
      </c>
      <c r="J188">
        <v>370</v>
      </c>
      <c r="K188" t="s">
        <v>18489</v>
      </c>
      <c r="L188" s="17">
        <v>21</v>
      </c>
      <c r="M188">
        <f>Table23[[#This Row],[AIRCRAFT]]/7</f>
        <v>3</v>
      </c>
    </row>
    <row r="189" spans="3:13" x14ac:dyDescent="0.25">
      <c r="I189" t="s">
        <v>18855</v>
      </c>
      <c r="J189">
        <v>382</v>
      </c>
      <c r="K189" t="s">
        <v>18493</v>
      </c>
      <c r="L189" s="17">
        <v>21</v>
      </c>
      <c r="M189">
        <f>Table23[[#This Row],[AIRCRAFT]]/7</f>
        <v>3</v>
      </c>
    </row>
    <row r="190" spans="3:13" x14ac:dyDescent="0.25">
      <c r="I190" t="s">
        <v>18855</v>
      </c>
      <c r="J190">
        <v>385</v>
      </c>
      <c r="K190" t="s">
        <v>18494</v>
      </c>
      <c r="L190" s="17">
        <v>21</v>
      </c>
      <c r="M190">
        <f>Table23[[#This Row],[AIRCRAFT]]/7</f>
        <v>3</v>
      </c>
    </row>
    <row r="191" spans="3:13" x14ac:dyDescent="0.25">
      <c r="I191" t="s">
        <v>18855</v>
      </c>
      <c r="J191">
        <v>394</v>
      </c>
      <c r="K191" t="s">
        <v>18497</v>
      </c>
      <c r="L191" s="17">
        <v>21</v>
      </c>
      <c r="M191">
        <f>Table23[[#This Row],[AIRCRAFT]]/7</f>
        <v>3</v>
      </c>
    </row>
    <row r="192" spans="3:13" x14ac:dyDescent="0.25">
      <c r="I192" t="s">
        <v>18855</v>
      </c>
      <c r="J192">
        <v>403</v>
      </c>
      <c r="K192" t="s">
        <v>18500</v>
      </c>
      <c r="L192" s="17">
        <v>21</v>
      </c>
      <c r="M192">
        <f>Table23[[#This Row],[AIRCRAFT]]/7</f>
        <v>3</v>
      </c>
    </row>
    <row r="193" spans="9:13" x14ac:dyDescent="0.25">
      <c r="I193" t="s">
        <v>18855</v>
      </c>
      <c r="J193">
        <v>409</v>
      </c>
      <c r="K193" t="s">
        <v>18502</v>
      </c>
      <c r="L193" s="17">
        <v>21</v>
      </c>
      <c r="M193">
        <f>Table23[[#This Row],[AIRCRAFT]]/7</f>
        <v>3</v>
      </c>
    </row>
    <row r="194" spans="9:13" x14ac:dyDescent="0.25">
      <c r="I194" t="s">
        <v>18855</v>
      </c>
      <c r="J194">
        <v>415</v>
      </c>
      <c r="K194" t="s">
        <v>18504</v>
      </c>
      <c r="L194" s="17">
        <v>21</v>
      </c>
      <c r="M194">
        <f>Table23[[#This Row],[AIRCRAFT]]/7</f>
        <v>3</v>
      </c>
    </row>
    <row r="195" spans="9:13" x14ac:dyDescent="0.25">
      <c r="I195" t="s">
        <v>18855</v>
      </c>
      <c r="J195">
        <v>418</v>
      </c>
      <c r="K195" t="s">
        <v>18505</v>
      </c>
      <c r="L195" s="17">
        <v>21</v>
      </c>
      <c r="M195">
        <f>Table23[[#This Row],[AIRCRAFT]]/7</f>
        <v>3</v>
      </c>
    </row>
    <row r="196" spans="9:13" x14ac:dyDescent="0.25">
      <c r="I196" t="s">
        <v>18855</v>
      </c>
      <c r="J196">
        <v>427</v>
      </c>
      <c r="K196" t="s">
        <v>18508</v>
      </c>
      <c r="L196" s="17">
        <v>21</v>
      </c>
      <c r="M196">
        <f>Table23[[#This Row],[AIRCRAFT]]/7</f>
        <v>3</v>
      </c>
    </row>
    <row r="197" spans="9:13" x14ac:dyDescent="0.25">
      <c r="I197" t="s">
        <v>18855</v>
      </c>
      <c r="J197">
        <v>442</v>
      </c>
      <c r="K197" t="s">
        <v>18513</v>
      </c>
      <c r="L197" s="17">
        <v>21</v>
      </c>
      <c r="M197">
        <f>Table23[[#This Row],[AIRCRAFT]]/7</f>
        <v>3</v>
      </c>
    </row>
    <row r="198" spans="9:13" x14ac:dyDescent="0.25">
      <c r="I198" t="s">
        <v>18855</v>
      </c>
      <c r="J198">
        <v>448</v>
      </c>
      <c r="K198" t="s">
        <v>18515</v>
      </c>
      <c r="L198" s="17">
        <v>21</v>
      </c>
      <c r="M198">
        <f>Table23[[#This Row],[AIRCRAFT]]/7</f>
        <v>3</v>
      </c>
    </row>
    <row r="199" spans="9:13" x14ac:dyDescent="0.25">
      <c r="I199" t="s">
        <v>18855</v>
      </c>
      <c r="J199">
        <v>451</v>
      </c>
      <c r="K199" t="s">
        <v>18516</v>
      </c>
      <c r="L199" s="17">
        <v>21</v>
      </c>
      <c r="M199">
        <f>Table23[[#This Row],[AIRCRAFT]]/7</f>
        <v>3</v>
      </c>
    </row>
    <row r="200" spans="9:13" x14ac:dyDescent="0.25">
      <c r="I200" t="s">
        <v>18855</v>
      </c>
      <c r="J200">
        <v>460</v>
      </c>
      <c r="K200" t="s">
        <v>18519</v>
      </c>
      <c r="L200" s="17">
        <v>21</v>
      </c>
      <c r="M200">
        <f>Table23[[#This Row],[AIRCRAFT]]/7</f>
        <v>3</v>
      </c>
    </row>
    <row r="201" spans="9:13" x14ac:dyDescent="0.25">
      <c r="I201" t="s">
        <v>18855</v>
      </c>
      <c r="J201">
        <v>472</v>
      </c>
      <c r="K201" t="s">
        <v>18523</v>
      </c>
      <c r="L201" s="17">
        <v>21</v>
      </c>
      <c r="M201">
        <f>Table23[[#This Row],[AIRCRAFT]]/7</f>
        <v>3</v>
      </c>
    </row>
    <row r="202" spans="9:13" x14ac:dyDescent="0.25">
      <c r="I202" t="s">
        <v>18855</v>
      </c>
      <c r="J202">
        <v>493</v>
      </c>
      <c r="K202" t="s">
        <v>18530</v>
      </c>
      <c r="L202" s="17">
        <v>21</v>
      </c>
      <c r="M202">
        <f>Table23[[#This Row],[AIRCRAFT]]/7</f>
        <v>3</v>
      </c>
    </row>
    <row r="203" spans="9:13" x14ac:dyDescent="0.25">
      <c r="I203" t="s">
        <v>18855</v>
      </c>
      <c r="J203">
        <v>496</v>
      </c>
      <c r="K203" t="s">
        <v>18531</v>
      </c>
      <c r="L203" s="17">
        <v>21</v>
      </c>
      <c r="M203">
        <f>Table23[[#This Row],[AIRCRAFT]]/7</f>
        <v>3</v>
      </c>
    </row>
    <row r="204" spans="9:13" x14ac:dyDescent="0.25">
      <c r="I204" t="s">
        <v>18855</v>
      </c>
      <c r="J204">
        <v>502</v>
      </c>
      <c r="K204" t="s">
        <v>18533</v>
      </c>
      <c r="L204" s="17">
        <v>21</v>
      </c>
      <c r="M204">
        <f>Table23[[#This Row],[AIRCRAFT]]/7</f>
        <v>3</v>
      </c>
    </row>
    <row r="205" spans="9:13" x14ac:dyDescent="0.25">
      <c r="I205" t="s">
        <v>18855</v>
      </c>
      <c r="J205">
        <v>514</v>
      </c>
      <c r="K205" t="s">
        <v>18537</v>
      </c>
      <c r="L205" s="17">
        <v>21</v>
      </c>
      <c r="M205">
        <f>Table23[[#This Row],[AIRCRAFT]]/7</f>
        <v>3</v>
      </c>
    </row>
    <row r="206" spans="9:13" x14ac:dyDescent="0.25">
      <c r="I206" t="s">
        <v>18855</v>
      </c>
      <c r="J206">
        <v>517</v>
      </c>
      <c r="K206" t="s">
        <v>18538</v>
      </c>
      <c r="L206" s="17">
        <v>21</v>
      </c>
      <c r="M206">
        <f>Table23[[#This Row],[AIRCRAFT]]/7</f>
        <v>3</v>
      </c>
    </row>
    <row r="207" spans="9:13" x14ac:dyDescent="0.25">
      <c r="I207" t="s">
        <v>18855</v>
      </c>
      <c r="J207">
        <v>523</v>
      </c>
      <c r="K207" t="s">
        <v>18540</v>
      </c>
      <c r="L207" s="17">
        <v>21</v>
      </c>
      <c r="M207">
        <f>Table23[[#This Row],[AIRCRAFT]]/7</f>
        <v>3</v>
      </c>
    </row>
    <row r="208" spans="9:13" x14ac:dyDescent="0.25">
      <c r="I208" t="s">
        <v>18855</v>
      </c>
      <c r="J208">
        <v>547</v>
      </c>
      <c r="K208" t="s">
        <v>18548</v>
      </c>
      <c r="L208" s="17">
        <v>21</v>
      </c>
      <c r="M208">
        <f>Table23[[#This Row],[AIRCRAFT]]/7</f>
        <v>3</v>
      </c>
    </row>
    <row r="209" spans="9:13" x14ac:dyDescent="0.25">
      <c r="I209" t="s">
        <v>18855</v>
      </c>
      <c r="J209">
        <v>550</v>
      </c>
      <c r="K209" t="s">
        <v>18549</v>
      </c>
      <c r="L209" s="17">
        <v>21</v>
      </c>
      <c r="M209">
        <f>Table23[[#This Row],[AIRCRAFT]]/7</f>
        <v>3</v>
      </c>
    </row>
    <row r="210" spans="9:13" x14ac:dyDescent="0.25">
      <c r="I210" t="s">
        <v>18855</v>
      </c>
      <c r="J210">
        <v>553</v>
      </c>
      <c r="K210" t="s">
        <v>18550</v>
      </c>
      <c r="L210" s="17">
        <v>21</v>
      </c>
      <c r="M210">
        <f>Table23[[#This Row],[AIRCRAFT]]/7</f>
        <v>3</v>
      </c>
    </row>
    <row r="211" spans="9:13" x14ac:dyDescent="0.25">
      <c r="I211" t="s">
        <v>18855</v>
      </c>
      <c r="J211">
        <v>556</v>
      </c>
      <c r="K211" t="s">
        <v>18551</v>
      </c>
      <c r="L211" s="17">
        <v>21</v>
      </c>
      <c r="M211">
        <f>Table23[[#This Row],[AIRCRAFT]]/7</f>
        <v>3</v>
      </c>
    </row>
    <row r="212" spans="9:13" x14ac:dyDescent="0.25">
      <c r="I212" t="s">
        <v>18855</v>
      </c>
      <c r="J212">
        <v>559</v>
      </c>
      <c r="K212" t="s">
        <v>18552</v>
      </c>
      <c r="L212" s="17">
        <v>21</v>
      </c>
      <c r="M212">
        <f>Table23[[#This Row],[AIRCRAFT]]/7</f>
        <v>3</v>
      </c>
    </row>
    <row r="213" spans="9:13" x14ac:dyDescent="0.25">
      <c r="I213" t="s">
        <v>18855</v>
      </c>
      <c r="J213">
        <v>562</v>
      </c>
      <c r="K213" t="s">
        <v>18553</v>
      </c>
      <c r="L213" s="17">
        <v>21</v>
      </c>
      <c r="M213">
        <f>Table23[[#This Row],[AIRCRAFT]]/7</f>
        <v>3</v>
      </c>
    </row>
    <row r="214" spans="9:13" x14ac:dyDescent="0.25">
      <c r="I214" t="s">
        <v>18855</v>
      </c>
      <c r="J214">
        <v>565</v>
      </c>
      <c r="K214" t="s">
        <v>18554</v>
      </c>
      <c r="L214" s="17">
        <v>21</v>
      </c>
      <c r="M214">
        <f>Table23[[#This Row],[AIRCRAFT]]/7</f>
        <v>3</v>
      </c>
    </row>
    <row r="215" spans="9:13" x14ac:dyDescent="0.25">
      <c r="I215" t="s">
        <v>18855</v>
      </c>
      <c r="J215">
        <v>568</v>
      </c>
      <c r="K215" t="s">
        <v>18555</v>
      </c>
      <c r="L215" s="17">
        <v>21</v>
      </c>
      <c r="M215">
        <f>Table23[[#This Row],[AIRCRAFT]]/7</f>
        <v>3</v>
      </c>
    </row>
    <row r="216" spans="9:13" x14ac:dyDescent="0.25">
      <c r="I216" t="s">
        <v>18855</v>
      </c>
      <c r="J216">
        <v>571</v>
      </c>
      <c r="K216" t="s">
        <v>18556</v>
      </c>
      <c r="L216" s="17">
        <v>21</v>
      </c>
      <c r="M216">
        <f>Table23[[#This Row],[AIRCRAFT]]/7</f>
        <v>3</v>
      </c>
    </row>
    <row r="217" spans="9:13" x14ac:dyDescent="0.25">
      <c r="I217" t="s">
        <v>18855</v>
      </c>
      <c r="J217">
        <v>574</v>
      </c>
      <c r="K217" t="s">
        <v>18557</v>
      </c>
      <c r="L217" s="17">
        <v>21</v>
      </c>
      <c r="M217">
        <f>Table23[[#This Row],[AIRCRAFT]]/7</f>
        <v>3</v>
      </c>
    </row>
    <row r="218" spans="9:13" x14ac:dyDescent="0.25">
      <c r="I218" t="s">
        <v>18855</v>
      </c>
      <c r="J218">
        <v>577</v>
      </c>
      <c r="K218" t="s">
        <v>18558</v>
      </c>
      <c r="L218" s="17">
        <v>21</v>
      </c>
      <c r="M218">
        <f>Table23[[#This Row],[AIRCRAFT]]/7</f>
        <v>3</v>
      </c>
    </row>
    <row r="219" spans="9:13" x14ac:dyDescent="0.25">
      <c r="I219" t="s">
        <v>18855</v>
      </c>
      <c r="J219">
        <v>604</v>
      </c>
      <c r="K219" t="s">
        <v>18567</v>
      </c>
      <c r="L219" s="17">
        <v>21</v>
      </c>
      <c r="M219">
        <f>Table23[[#This Row],[AIRCRAFT]]/7</f>
        <v>3</v>
      </c>
    </row>
    <row r="220" spans="9:13" x14ac:dyDescent="0.25">
      <c r="I220" t="s">
        <v>18855</v>
      </c>
      <c r="J220">
        <v>622</v>
      </c>
      <c r="K220" t="s">
        <v>18573</v>
      </c>
      <c r="L220" s="17">
        <v>21</v>
      </c>
      <c r="M220">
        <f>Table23[[#This Row],[AIRCRAFT]]/7</f>
        <v>3</v>
      </c>
    </row>
    <row r="221" spans="9:13" x14ac:dyDescent="0.25">
      <c r="I221" t="s">
        <v>18855</v>
      </c>
      <c r="J221">
        <v>637</v>
      </c>
      <c r="K221" t="s">
        <v>18578</v>
      </c>
      <c r="L221" s="17">
        <v>21</v>
      </c>
      <c r="M221">
        <f>Table23[[#This Row],[AIRCRAFT]]/7</f>
        <v>3</v>
      </c>
    </row>
    <row r="222" spans="9:13" x14ac:dyDescent="0.25">
      <c r="I222" t="s">
        <v>18855</v>
      </c>
      <c r="J222">
        <v>655</v>
      </c>
      <c r="K222" t="s">
        <v>18584</v>
      </c>
      <c r="L222" s="17">
        <v>21</v>
      </c>
      <c r="M222">
        <f>Table23[[#This Row],[AIRCRAFT]]/7</f>
        <v>3</v>
      </c>
    </row>
    <row r="223" spans="9:13" x14ac:dyDescent="0.25">
      <c r="I223" t="s">
        <v>18855</v>
      </c>
      <c r="J223">
        <v>664</v>
      </c>
      <c r="K223" t="s">
        <v>18587</v>
      </c>
      <c r="L223" s="17">
        <v>21</v>
      </c>
      <c r="M223">
        <f>Table23[[#This Row],[AIRCRAFT]]/7</f>
        <v>3</v>
      </c>
    </row>
    <row r="224" spans="9:13" x14ac:dyDescent="0.25">
      <c r="I224" t="s">
        <v>18855</v>
      </c>
      <c r="J224">
        <v>667</v>
      </c>
      <c r="K224" t="s">
        <v>18588</v>
      </c>
      <c r="L224" s="17">
        <v>21</v>
      </c>
      <c r="M224">
        <f>Table23[[#This Row],[AIRCRAFT]]/7</f>
        <v>3</v>
      </c>
    </row>
    <row r="225" spans="9:13" x14ac:dyDescent="0.25">
      <c r="I225" t="s">
        <v>18855</v>
      </c>
      <c r="J225">
        <v>673</v>
      </c>
      <c r="K225" t="s">
        <v>18590</v>
      </c>
      <c r="L225" s="17">
        <v>21</v>
      </c>
      <c r="M225">
        <f>Table23[[#This Row],[AIRCRAFT]]/7</f>
        <v>3</v>
      </c>
    </row>
    <row r="226" spans="9:13" x14ac:dyDescent="0.25">
      <c r="I226" t="s">
        <v>18855</v>
      </c>
      <c r="J226">
        <v>679</v>
      </c>
      <c r="K226" t="s">
        <v>18592</v>
      </c>
      <c r="L226" s="17">
        <v>21</v>
      </c>
      <c r="M226">
        <f>Table23[[#This Row],[AIRCRAFT]]/7</f>
        <v>3</v>
      </c>
    </row>
    <row r="227" spans="9:13" x14ac:dyDescent="0.25">
      <c r="I227" t="s">
        <v>18855</v>
      </c>
      <c r="J227">
        <v>697</v>
      </c>
      <c r="K227" t="s">
        <v>18598</v>
      </c>
      <c r="L227" s="17">
        <v>21</v>
      </c>
      <c r="M227">
        <f>Table23[[#This Row],[AIRCRAFT]]/7</f>
        <v>3</v>
      </c>
    </row>
    <row r="228" spans="9:13" x14ac:dyDescent="0.25">
      <c r="I228" t="s">
        <v>18855</v>
      </c>
      <c r="J228">
        <v>700</v>
      </c>
      <c r="K228" t="s">
        <v>18599</v>
      </c>
      <c r="L228" s="17">
        <v>21</v>
      </c>
      <c r="M228">
        <f>Table23[[#This Row],[AIRCRAFT]]/7</f>
        <v>3</v>
      </c>
    </row>
    <row r="229" spans="9:13" x14ac:dyDescent="0.25">
      <c r="I229" t="s">
        <v>18855</v>
      </c>
      <c r="J229">
        <v>709</v>
      </c>
      <c r="K229" t="s">
        <v>18602</v>
      </c>
      <c r="L229" s="17">
        <v>21</v>
      </c>
      <c r="M229">
        <f>Table23[[#This Row],[AIRCRAFT]]/7</f>
        <v>3</v>
      </c>
    </row>
    <row r="230" spans="9:13" x14ac:dyDescent="0.25">
      <c r="I230" t="s">
        <v>18855</v>
      </c>
      <c r="J230">
        <v>712</v>
      </c>
      <c r="K230" t="s">
        <v>18603</v>
      </c>
      <c r="L230" s="17">
        <v>21</v>
      </c>
      <c r="M230">
        <f>Table23[[#This Row],[AIRCRAFT]]/7</f>
        <v>3</v>
      </c>
    </row>
    <row r="231" spans="9:13" x14ac:dyDescent="0.25">
      <c r="I231" t="s">
        <v>18855</v>
      </c>
      <c r="J231">
        <v>715</v>
      </c>
      <c r="K231" t="s">
        <v>18604</v>
      </c>
      <c r="L231" s="17">
        <v>21</v>
      </c>
      <c r="M231">
        <f>Table23[[#This Row],[AIRCRAFT]]/7</f>
        <v>3</v>
      </c>
    </row>
    <row r="232" spans="9:13" x14ac:dyDescent="0.25">
      <c r="I232" t="s">
        <v>18855</v>
      </c>
      <c r="J232">
        <v>718</v>
      </c>
      <c r="K232" t="s">
        <v>18605</v>
      </c>
      <c r="L232" s="17">
        <v>21</v>
      </c>
      <c r="M232">
        <f>Table23[[#This Row],[AIRCRAFT]]/7</f>
        <v>3</v>
      </c>
    </row>
    <row r="233" spans="9:13" x14ac:dyDescent="0.25">
      <c r="I233" t="s">
        <v>18855</v>
      </c>
      <c r="J233">
        <v>724</v>
      </c>
      <c r="K233" t="s">
        <v>18607</v>
      </c>
      <c r="L233" s="17">
        <v>21</v>
      </c>
      <c r="M233">
        <f>Table23[[#This Row],[AIRCRAFT]]/7</f>
        <v>3</v>
      </c>
    </row>
    <row r="234" spans="9:13" x14ac:dyDescent="0.25">
      <c r="I234" t="s">
        <v>18855</v>
      </c>
      <c r="J234">
        <v>727</v>
      </c>
      <c r="K234" t="s">
        <v>18608</v>
      </c>
      <c r="L234" s="17">
        <v>21</v>
      </c>
      <c r="M234">
        <f>Table23[[#This Row],[AIRCRAFT]]/7</f>
        <v>3</v>
      </c>
    </row>
    <row r="235" spans="9:13" x14ac:dyDescent="0.25">
      <c r="I235" t="s">
        <v>18855</v>
      </c>
      <c r="J235">
        <v>730</v>
      </c>
      <c r="K235" t="s">
        <v>18609</v>
      </c>
      <c r="L235" s="17">
        <v>21</v>
      </c>
      <c r="M235">
        <f>Table23[[#This Row],[AIRCRAFT]]/7</f>
        <v>3</v>
      </c>
    </row>
    <row r="236" spans="9:13" x14ac:dyDescent="0.25">
      <c r="I236" t="s">
        <v>18855</v>
      </c>
      <c r="J236">
        <v>736</v>
      </c>
      <c r="K236" t="s">
        <v>18611</v>
      </c>
      <c r="L236" s="17">
        <v>21</v>
      </c>
      <c r="M236">
        <f>Table23[[#This Row],[AIRCRAFT]]/7</f>
        <v>3</v>
      </c>
    </row>
    <row r="237" spans="9:13" x14ac:dyDescent="0.25">
      <c r="I237" t="s">
        <v>18855</v>
      </c>
      <c r="J237">
        <v>739</v>
      </c>
      <c r="K237" t="s">
        <v>18612</v>
      </c>
      <c r="L237" s="17">
        <v>21</v>
      </c>
      <c r="M237">
        <f>Table23[[#This Row],[AIRCRAFT]]/7</f>
        <v>3</v>
      </c>
    </row>
    <row r="238" spans="9:13" x14ac:dyDescent="0.25">
      <c r="I238" t="s">
        <v>18855</v>
      </c>
      <c r="J238">
        <v>745</v>
      </c>
      <c r="K238" t="s">
        <v>18614</v>
      </c>
      <c r="L238" s="17">
        <v>21</v>
      </c>
      <c r="M238">
        <f>Table23[[#This Row],[AIRCRAFT]]/7</f>
        <v>3</v>
      </c>
    </row>
    <row r="239" spans="9:13" x14ac:dyDescent="0.25">
      <c r="I239" t="s">
        <v>18855</v>
      </c>
      <c r="J239">
        <v>748</v>
      </c>
      <c r="K239" t="s">
        <v>18615</v>
      </c>
      <c r="L239" s="17">
        <v>21</v>
      </c>
      <c r="M239">
        <f>Table23[[#This Row],[AIRCRAFT]]/7</f>
        <v>3</v>
      </c>
    </row>
    <row r="240" spans="9:13" x14ac:dyDescent="0.25">
      <c r="I240" t="s">
        <v>18855</v>
      </c>
      <c r="J240">
        <v>751</v>
      </c>
      <c r="K240" t="s">
        <v>18616</v>
      </c>
      <c r="L240" s="17">
        <v>21</v>
      </c>
      <c r="M240">
        <f>Table23[[#This Row],[AIRCRAFT]]/7</f>
        <v>3</v>
      </c>
    </row>
    <row r="241" spans="9:13" x14ac:dyDescent="0.25">
      <c r="I241" t="s">
        <v>18855</v>
      </c>
      <c r="J241">
        <v>757</v>
      </c>
      <c r="K241" t="s">
        <v>18618</v>
      </c>
      <c r="L241" s="17">
        <v>21</v>
      </c>
      <c r="M241">
        <f>Table23[[#This Row],[AIRCRAFT]]/7</f>
        <v>3</v>
      </c>
    </row>
    <row r="242" spans="9:13" x14ac:dyDescent="0.25">
      <c r="I242" t="s">
        <v>18855</v>
      </c>
      <c r="J242">
        <v>775</v>
      </c>
      <c r="K242" t="s">
        <v>18624</v>
      </c>
      <c r="L242" s="17">
        <v>21</v>
      </c>
      <c r="M242">
        <f>Table23[[#This Row],[AIRCRAFT]]/7</f>
        <v>3</v>
      </c>
    </row>
    <row r="243" spans="9:13" x14ac:dyDescent="0.25">
      <c r="I243" t="s">
        <v>18855</v>
      </c>
      <c r="J243">
        <v>781</v>
      </c>
      <c r="K243" t="s">
        <v>18626</v>
      </c>
      <c r="L243" s="17">
        <v>21</v>
      </c>
      <c r="M243">
        <f>Table23[[#This Row],[AIRCRAFT]]/7</f>
        <v>3</v>
      </c>
    </row>
    <row r="244" spans="9:13" x14ac:dyDescent="0.25">
      <c r="I244" t="s">
        <v>18855</v>
      </c>
      <c r="J244">
        <v>790</v>
      </c>
      <c r="K244" t="s">
        <v>18629</v>
      </c>
      <c r="L244" s="17">
        <v>21</v>
      </c>
      <c r="M244">
        <f>Table23[[#This Row],[AIRCRAFT]]/7</f>
        <v>3</v>
      </c>
    </row>
    <row r="245" spans="9:13" x14ac:dyDescent="0.25">
      <c r="I245" t="s">
        <v>18855</v>
      </c>
      <c r="J245">
        <v>793</v>
      </c>
      <c r="K245" t="s">
        <v>18630</v>
      </c>
      <c r="L245" s="17">
        <v>21</v>
      </c>
      <c r="M245">
        <f>Table23[[#This Row],[AIRCRAFT]]/7</f>
        <v>3</v>
      </c>
    </row>
    <row r="246" spans="9:13" x14ac:dyDescent="0.25">
      <c r="I246" t="s">
        <v>18855</v>
      </c>
      <c r="J246">
        <v>799</v>
      </c>
      <c r="K246" t="s">
        <v>18632</v>
      </c>
      <c r="L246" s="17">
        <v>21</v>
      </c>
      <c r="M246">
        <f>Table23[[#This Row],[AIRCRAFT]]/7</f>
        <v>3</v>
      </c>
    </row>
    <row r="247" spans="9:13" x14ac:dyDescent="0.25">
      <c r="I247" t="s">
        <v>18855</v>
      </c>
      <c r="J247">
        <v>808</v>
      </c>
      <c r="K247" t="s">
        <v>18635</v>
      </c>
      <c r="L247" s="17">
        <v>21</v>
      </c>
      <c r="M247">
        <f>Table23[[#This Row],[AIRCRAFT]]/7</f>
        <v>3</v>
      </c>
    </row>
    <row r="248" spans="9:13" x14ac:dyDescent="0.25">
      <c r="I248" t="s">
        <v>18855</v>
      </c>
      <c r="J248">
        <v>811</v>
      </c>
      <c r="K248" t="s">
        <v>18636</v>
      </c>
      <c r="L248" s="17">
        <v>21</v>
      </c>
      <c r="M248">
        <f>Table23[[#This Row],[AIRCRAFT]]/7</f>
        <v>3</v>
      </c>
    </row>
    <row r="249" spans="9:13" x14ac:dyDescent="0.25">
      <c r="I249" t="s">
        <v>18855</v>
      </c>
      <c r="J249">
        <v>814</v>
      </c>
      <c r="K249" t="s">
        <v>18637</v>
      </c>
      <c r="L249" s="17">
        <v>21</v>
      </c>
      <c r="M249">
        <f>Table23[[#This Row],[AIRCRAFT]]/7</f>
        <v>3</v>
      </c>
    </row>
    <row r="250" spans="9:13" x14ac:dyDescent="0.25">
      <c r="I250" t="s">
        <v>18855</v>
      </c>
      <c r="J250">
        <v>817</v>
      </c>
      <c r="K250" t="s">
        <v>18638</v>
      </c>
      <c r="L250" s="17">
        <v>21</v>
      </c>
      <c r="M250">
        <f>Table23[[#This Row],[AIRCRAFT]]/7</f>
        <v>3</v>
      </c>
    </row>
    <row r="251" spans="9:13" x14ac:dyDescent="0.25">
      <c r="I251" t="s">
        <v>18855</v>
      </c>
      <c r="J251">
        <v>823</v>
      </c>
      <c r="K251" t="s">
        <v>18640</v>
      </c>
      <c r="L251" s="17">
        <v>21</v>
      </c>
      <c r="M251">
        <f>Table23[[#This Row],[AIRCRAFT]]/7</f>
        <v>3</v>
      </c>
    </row>
    <row r="252" spans="9:13" x14ac:dyDescent="0.25">
      <c r="I252" t="s">
        <v>18855</v>
      </c>
      <c r="J252">
        <v>826</v>
      </c>
      <c r="K252" t="s">
        <v>18641</v>
      </c>
      <c r="L252" s="17">
        <v>21</v>
      </c>
      <c r="M252">
        <f>Table23[[#This Row],[AIRCRAFT]]/7</f>
        <v>3</v>
      </c>
    </row>
    <row r="253" spans="9:13" x14ac:dyDescent="0.25">
      <c r="I253" t="s">
        <v>18855</v>
      </c>
      <c r="J253">
        <v>832</v>
      </c>
      <c r="K253" t="s">
        <v>18643</v>
      </c>
      <c r="L253" s="17">
        <v>21</v>
      </c>
      <c r="M253">
        <f>Table23[[#This Row],[AIRCRAFT]]/7</f>
        <v>3</v>
      </c>
    </row>
    <row r="254" spans="9:13" x14ac:dyDescent="0.25">
      <c r="I254" t="s">
        <v>18855</v>
      </c>
      <c r="J254">
        <v>859</v>
      </c>
      <c r="K254" t="s">
        <v>18652</v>
      </c>
      <c r="L254" s="17">
        <v>21</v>
      </c>
      <c r="M254">
        <f>Table23[[#This Row],[AIRCRAFT]]/7</f>
        <v>3</v>
      </c>
    </row>
    <row r="255" spans="9:13" x14ac:dyDescent="0.25">
      <c r="I255" t="s">
        <v>18855</v>
      </c>
      <c r="J255">
        <v>871</v>
      </c>
      <c r="K255" t="s">
        <v>18656</v>
      </c>
      <c r="L255" s="17">
        <v>21</v>
      </c>
      <c r="M255">
        <f>Table23[[#This Row],[AIRCRAFT]]/7</f>
        <v>3</v>
      </c>
    </row>
    <row r="256" spans="9:13" x14ac:dyDescent="0.25">
      <c r="I256" t="s">
        <v>18855</v>
      </c>
      <c r="J256">
        <v>880</v>
      </c>
      <c r="K256" t="s">
        <v>18659</v>
      </c>
      <c r="L256" s="17">
        <v>21</v>
      </c>
      <c r="M256">
        <f>Table23[[#This Row],[AIRCRAFT]]/7</f>
        <v>3</v>
      </c>
    </row>
    <row r="257" spans="9:13" x14ac:dyDescent="0.25">
      <c r="I257" t="s">
        <v>18855</v>
      </c>
      <c r="J257">
        <v>889</v>
      </c>
      <c r="K257" t="s">
        <v>18662</v>
      </c>
      <c r="L257" s="17">
        <v>21</v>
      </c>
      <c r="M257">
        <f>Table23[[#This Row],[AIRCRAFT]]/7</f>
        <v>3</v>
      </c>
    </row>
    <row r="258" spans="9:13" x14ac:dyDescent="0.25">
      <c r="I258" t="s">
        <v>18855</v>
      </c>
      <c r="J258">
        <v>892</v>
      </c>
      <c r="K258" t="s">
        <v>18663</v>
      </c>
      <c r="L258" s="17">
        <v>21</v>
      </c>
      <c r="M258">
        <f>Table23[[#This Row],[AIRCRAFT]]/7</f>
        <v>3</v>
      </c>
    </row>
    <row r="259" spans="9:13" x14ac:dyDescent="0.25">
      <c r="I259" t="s">
        <v>18855</v>
      </c>
      <c r="J259">
        <v>898</v>
      </c>
      <c r="K259" t="s">
        <v>18665</v>
      </c>
      <c r="L259" s="17">
        <v>21</v>
      </c>
      <c r="M259">
        <f>Table23[[#This Row],[AIRCRAFT]]/7</f>
        <v>3</v>
      </c>
    </row>
    <row r="260" spans="9:13" x14ac:dyDescent="0.25">
      <c r="I260" t="s">
        <v>18855</v>
      </c>
      <c r="J260">
        <v>901</v>
      </c>
      <c r="K260" t="s">
        <v>18666</v>
      </c>
      <c r="L260" s="17">
        <v>21</v>
      </c>
      <c r="M260">
        <f>Table23[[#This Row],[AIRCRAFT]]/7</f>
        <v>3</v>
      </c>
    </row>
    <row r="261" spans="9:13" x14ac:dyDescent="0.25">
      <c r="I261" t="s">
        <v>18855</v>
      </c>
      <c r="J261">
        <v>907</v>
      </c>
      <c r="K261" t="s">
        <v>18668</v>
      </c>
      <c r="L261" s="17">
        <v>21</v>
      </c>
      <c r="M261">
        <f>Table23[[#This Row],[AIRCRAFT]]/7</f>
        <v>3</v>
      </c>
    </row>
    <row r="262" spans="9:13" x14ac:dyDescent="0.25">
      <c r="I262" t="s">
        <v>18855</v>
      </c>
      <c r="J262">
        <v>910</v>
      </c>
      <c r="K262" t="s">
        <v>18669</v>
      </c>
      <c r="L262" s="17">
        <v>21</v>
      </c>
      <c r="M262">
        <f>Table23[[#This Row],[AIRCRAFT]]/7</f>
        <v>3</v>
      </c>
    </row>
    <row r="263" spans="9:13" x14ac:dyDescent="0.25">
      <c r="I263" t="s">
        <v>18855</v>
      </c>
      <c r="J263">
        <v>913</v>
      </c>
      <c r="K263" t="s">
        <v>18670</v>
      </c>
      <c r="L263" s="17">
        <v>21</v>
      </c>
      <c r="M263">
        <f>Table23[[#This Row],[AIRCRAFT]]/7</f>
        <v>3</v>
      </c>
    </row>
    <row r="264" spans="9:13" x14ac:dyDescent="0.25">
      <c r="I264" t="s">
        <v>18855</v>
      </c>
      <c r="J264">
        <v>916</v>
      </c>
      <c r="K264" t="s">
        <v>18671</v>
      </c>
      <c r="L264" s="17">
        <v>21</v>
      </c>
      <c r="M264">
        <f>Table23[[#This Row],[AIRCRAFT]]/7</f>
        <v>3</v>
      </c>
    </row>
    <row r="265" spans="9:13" x14ac:dyDescent="0.25">
      <c r="I265" t="s">
        <v>18855</v>
      </c>
      <c r="J265">
        <v>922</v>
      </c>
      <c r="K265" t="s">
        <v>18673</v>
      </c>
      <c r="L265" s="17">
        <v>21</v>
      </c>
      <c r="M265">
        <f>Table23[[#This Row],[AIRCRAFT]]/7</f>
        <v>3</v>
      </c>
    </row>
    <row r="266" spans="9:13" x14ac:dyDescent="0.25">
      <c r="I266" t="s">
        <v>18855</v>
      </c>
      <c r="J266">
        <v>931</v>
      </c>
      <c r="K266" t="s">
        <v>18676</v>
      </c>
      <c r="L266" s="17">
        <v>21</v>
      </c>
      <c r="M266">
        <f>Table23[[#This Row],[AIRCRAFT]]/7</f>
        <v>3</v>
      </c>
    </row>
    <row r="267" spans="9:13" x14ac:dyDescent="0.25">
      <c r="I267" t="s">
        <v>18855</v>
      </c>
      <c r="J267">
        <v>934</v>
      </c>
      <c r="K267" t="s">
        <v>18677</v>
      </c>
      <c r="L267" s="17">
        <v>21</v>
      </c>
      <c r="M267">
        <f>Table23[[#This Row],[AIRCRAFT]]/7</f>
        <v>3</v>
      </c>
    </row>
    <row r="268" spans="9:13" x14ac:dyDescent="0.25">
      <c r="I268" t="s">
        <v>18855</v>
      </c>
      <c r="J268">
        <v>937</v>
      </c>
      <c r="K268" t="s">
        <v>18678</v>
      </c>
      <c r="L268" s="17">
        <v>21</v>
      </c>
      <c r="M268">
        <f>Table23[[#This Row],[AIRCRAFT]]/7</f>
        <v>3</v>
      </c>
    </row>
    <row r="269" spans="9:13" x14ac:dyDescent="0.25">
      <c r="I269" t="s">
        <v>18855</v>
      </c>
      <c r="J269">
        <v>943</v>
      </c>
      <c r="K269" t="s">
        <v>18680</v>
      </c>
      <c r="L269" s="17">
        <v>21</v>
      </c>
      <c r="M269">
        <f>Table23[[#This Row],[AIRCRAFT]]/7</f>
        <v>3</v>
      </c>
    </row>
    <row r="270" spans="9:13" x14ac:dyDescent="0.25">
      <c r="I270" t="s">
        <v>18855</v>
      </c>
      <c r="J270">
        <v>949</v>
      </c>
      <c r="K270" t="s">
        <v>18682</v>
      </c>
      <c r="L270" s="17">
        <v>21</v>
      </c>
      <c r="M270">
        <f>Table23[[#This Row],[AIRCRAFT]]/7</f>
        <v>3</v>
      </c>
    </row>
    <row r="271" spans="9:13" x14ac:dyDescent="0.25">
      <c r="I271" t="s">
        <v>18855</v>
      </c>
      <c r="J271">
        <v>952</v>
      </c>
      <c r="K271" t="s">
        <v>18683</v>
      </c>
      <c r="L271" s="17">
        <v>21</v>
      </c>
      <c r="M271">
        <f>Table23[[#This Row],[AIRCRAFT]]/7</f>
        <v>3</v>
      </c>
    </row>
    <row r="272" spans="9:13" x14ac:dyDescent="0.25">
      <c r="I272" t="s">
        <v>18855</v>
      </c>
      <c r="J272">
        <v>955</v>
      </c>
      <c r="K272" t="s">
        <v>18684</v>
      </c>
      <c r="L272" s="17">
        <v>21</v>
      </c>
      <c r="M272">
        <f>Table23[[#This Row],[AIRCRAFT]]/7</f>
        <v>3</v>
      </c>
    </row>
    <row r="273" spans="9:13" x14ac:dyDescent="0.25">
      <c r="I273" t="s">
        <v>18855</v>
      </c>
      <c r="J273">
        <v>973</v>
      </c>
      <c r="K273" t="s">
        <v>18690</v>
      </c>
      <c r="L273" s="17">
        <v>21</v>
      </c>
      <c r="M273">
        <f>Table23[[#This Row],[AIRCRAFT]]/7</f>
        <v>3</v>
      </c>
    </row>
    <row r="274" spans="9:13" x14ac:dyDescent="0.25">
      <c r="I274" t="s">
        <v>18855</v>
      </c>
      <c r="J274">
        <v>976</v>
      </c>
      <c r="K274" t="s">
        <v>18691</v>
      </c>
      <c r="L274" s="17">
        <v>21</v>
      </c>
      <c r="M274">
        <f>Table23[[#This Row],[AIRCRAFT]]/7</f>
        <v>3</v>
      </c>
    </row>
    <row r="275" spans="9:13" x14ac:dyDescent="0.25">
      <c r="I275" t="s">
        <v>18855</v>
      </c>
      <c r="J275">
        <v>979</v>
      </c>
      <c r="K275" t="s">
        <v>18692</v>
      </c>
      <c r="L275" s="17">
        <v>21</v>
      </c>
      <c r="M275">
        <f>Table23[[#This Row],[AIRCRAFT]]/7</f>
        <v>3</v>
      </c>
    </row>
    <row r="276" spans="9:13" x14ac:dyDescent="0.25">
      <c r="I276" t="s">
        <v>18855</v>
      </c>
      <c r="J276">
        <v>982</v>
      </c>
      <c r="K276" t="s">
        <v>18693</v>
      </c>
      <c r="L276" s="17">
        <v>21</v>
      </c>
      <c r="M276">
        <f>Table23[[#This Row],[AIRCRAFT]]/7</f>
        <v>3</v>
      </c>
    </row>
    <row r="277" spans="9:13" x14ac:dyDescent="0.25">
      <c r="I277" t="s">
        <v>18855</v>
      </c>
      <c r="J277">
        <v>985</v>
      </c>
      <c r="K277" t="s">
        <v>18694</v>
      </c>
      <c r="L277" s="17">
        <v>21</v>
      </c>
      <c r="M277">
        <f>Table23[[#This Row],[AIRCRAFT]]/7</f>
        <v>3</v>
      </c>
    </row>
    <row r="278" spans="9:13" x14ac:dyDescent="0.25">
      <c r="I278" t="s">
        <v>18855</v>
      </c>
      <c r="J278">
        <v>988</v>
      </c>
      <c r="K278" t="s">
        <v>18695</v>
      </c>
      <c r="L278" s="17">
        <v>21</v>
      </c>
      <c r="M278">
        <f>Table23[[#This Row],[AIRCRAFT]]/7</f>
        <v>3</v>
      </c>
    </row>
    <row r="279" spans="9:13" x14ac:dyDescent="0.25">
      <c r="I279" t="s">
        <v>18855</v>
      </c>
      <c r="J279">
        <v>994</v>
      </c>
      <c r="K279" t="s">
        <v>18697</v>
      </c>
      <c r="L279" s="17">
        <v>21</v>
      </c>
      <c r="M279">
        <f>Table23[[#This Row],[AIRCRAFT]]/7</f>
        <v>3</v>
      </c>
    </row>
    <row r="280" spans="9:13" x14ac:dyDescent="0.25">
      <c r="I280" t="s">
        <v>18855</v>
      </c>
      <c r="J280">
        <v>1000</v>
      </c>
      <c r="K280" t="s">
        <v>18699</v>
      </c>
      <c r="L280" s="17">
        <v>21</v>
      </c>
      <c r="M280">
        <f>Table23[[#This Row],[AIRCRAFT]]/7</f>
        <v>3</v>
      </c>
    </row>
    <row r="281" spans="9:13" x14ac:dyDescent="0.25">
      <c r="I281" t="s">
        <v>18855</v>
      </c>
      <c r="J281">
        <v>1003</v>
      </c>
      <c r="K281" t="s">
        <v>18700</v>
      </c>
      <c r="L281" s="17">
        <v>21</v>
      </c>
      <c r="M281">
        <f>Table23[[#This Row],[AIRCRAFT]]/7</f>
        <v>3</v>
      </c>
    </row>
    <row r="282" spans="9:13" x14ac:dyDescent="0.25">
      <c r="I282" t="s">
        <v>18855</v>
      </c>
      <c r="J282">
        <v>1012</v>
      </c>
      <c r="K282" t="s">
        <v>18703</v>
      </c>
      <c r="L282" s="17">
        <v>21</v>
      </c>
      <c r="M282">
        <f>Table23[[#This Row],[AIRCRAFT]]/7</f>
        <v>3</v>
      </c>
    </row>
    <row r="283" spans="9:13" x14ac:dyDescent="0.25">
      <c r="I283" t="s">
        <v>18855</v>
      </c>
      <c r="J283">
        <v>1018</v>
      </c>
      <c r="K283" t="s">
        <v>18705</v>
      </c>
      <c r="L283" s="17">
        <v>21</v>
      </c>
      <c r="M283">
        <f>Table23[[#This Row],[AIRCRAFT]]/7</f>
        <v>3</v>
      </c>
    </row>
    <row r="284" spans="9:13" x14ac:dyDescent="0.25">
      <c r="I284" t="s">
        <v>18855</v>
      </c>
      <c r="J284">
        <v>1021</v>
      </c>
      <c r="K284" t="s">
        <v>18706</v>
      </c>
      <c r="L284" s="17">
        <v>21</v>
      </c>
      <c r="M284">
        <f>Table23[[#This Row],[AIRCRAFT]]/7</f>
        <v>3</v>
      </c>
    </row>
    <row r="285" spans="9:13" x14ac:dyDescent="0.25">
      <c r="I285" t="s">
        <v>18855</v>
      </c>
      <c r="J285">
        <v>1027</v>
      </c>
      <c r="K285" t="s">
        <v>18708</v>
      </c>
      <c r="L285" s="17">
        <v>21</v>
      </c>
      <c r="M285">
        <f>Table23[[#This Row],[AIRCRAFT]]/7</f>
        <v>3</v>
      </c>
    </row>
    <row r="286" spans="9:13" x14ac:dyDescent="0.25">
      <c r="I286" t="s">
        <v>18855</v>
      </c>
      <c r="J286">
        <v>1030</v>
      </c>
      <c r="K286" t="s">
        <v>18709</v>
      </c>
      <c r="L286" s="17">
        <v>21</v>
      </c>
      <c r="M286">
        <f>Table23[[#This Row],[AIRCRAFT]]/7</f>
        <v>3</v>
      </c>
    </row>
    <row r="287" spans="9:13" x14ac:dyDescent="0.25">
      <c r="I287" t="s">
        <v>18855</v>
      </c>
      <c r="J287">
        <v>1036</v>
      </c>
      <c r="K287" t="s">
        <v>18711</v>
      </c>
      <c r="L287" s="17">
        <v>21</v>
      </c>
      <c r="M287">
        <f>Table23[[#This Row],[AIRCRAFT]]/7</f>
        <v>3</v>
      </c>
    </row>
    <row r="288" spans="9:13" x14ac:dyDescent="0.25">
      <c r="I288" t="s">
        <v>18855</v>
      </c>
      <c r="J288">
        <v>1042</v>
      </c>
      <c r="K288" t="s">
        <v>18713</v>
      </c>
      <c r="L288" s="17">
        <v>21</v>
      </c>
      <c r="M288">
        <f>Table23[[#This Row],[AIRCRAFT]]/7</f>
        <v>3</v>
      </c>
    </row>
    <row r="289" spans="9:13" x14ac:dyDescent="0.25">
      <c r="I289" t="s">
        <v>18855</v>
      </c>
      <c r="J289">
        <v>1048</v>
      </c>
      <c r="K289" t="s">
        <v>18715</v>
      </c>
      <c r="L289" s="17">
        <v>21</v>
      </c>
      <c r="M289">
        <f>Table23[[#This Row],[AIRCRAFT]]/7</f>
        <v>3</v>
      </c>
    </row>
    <row r="290" spans="9:13" x14ac:dyDescent="0.25">
      <c r="I290" t="s">
        <v>18855</v>
      </c>
      <c r="J290">
        <v>1066</v>
      </c>
      <c r="K290" t="s">
        <v>18721</v>
      </c>
      <c r="L290" s="17">
        <v>21</v>
      </c>
      <c r="M290">
        <f>Table23[[#This Row],[AIRCRAFT]]/7</f>
        <v>3</v>
      </c>
    </row>
    <row r="291" spans="9:13" x14ac:dyDescent="0.25">
      <c r="I291" t="s">
        <v>18855</v>
      </c>
      <c r="J291">
        <v>1069</v>
      </c>
      <c r="K291" t="s">
        <v>18722</v>
      </c>
      <c r="L291" s="17">
        <v>21</v>
      </c>
      <c r="M291">
        <f>Table23[[#This Row],[AIRCRAFT]]/7</f>
        <v>3</v>
      </c>
    </row>
    <row r="292" spans="9:13" x14ac:dyDescent="0.25">
      <c r="I292" t="s">
        <v>18855</v>
      </c>
      <c r="J292">
        <v>1075</v>
      </c>
      <c r="K292" t="s">
        <v>18724</v>
      </c>
      <c r="L292" s="17">
        <v>21</v>
      </c>
      <c r="M292">
        <f>Table23[[#This Row],[AIRCRAFT]]/7</f>
        <v>3</v>
      </c>
    </row>
    <row r="293" spans="9:13" x14ac:dyDescent="0.25">
      <c r="I293" t="s">
        <v>18855</v>
      </c>
      <c r="J293">
        <v>1090</v>
      </c>
      <c r="K293" t="s">
        <v>18729</v>
      </c>
      <c r="L293" s="17">
        <v>21</v>
      </c>
      <c r="M293">
        <f>Table23[[#This Row],[AIRCRAFT]]/7</f>
        <v>3</v>
      </c>
    </row>
    <row r="294" spans="9:13" x14ac:dyDescent="0.25">
      <c r="I294" t="s">
        <v>18855</v>
      </c>
      <c r="J294">
        <v>1096</v>
      </c>
      <c r="K294" t="s">
        <v>18731</v>
      </c>
      <c r="L294" s="17">
        <v>21</v>
      </c>
      <c r="M294">
        <f>Table23[[#This Row],[AIRCRAFT]]/7</f>
        <v>3</v>
      </c>
    </row>
    <row r="295" spans="9:13" x14ac:dyDescent="0.25">
      <c r="I295" t="s">
        <v>18855</v>
      </c>
      <c r="J295">
        <v>1099</v>
      </c>
      <c r="K295" t="s">
        <v>18732</v>
      </c>
      <c r="L295" s="17">
        <v>21</v>
      </c>
      <c r="M295">
        <f>Table23[[#This Row],[AIRCRAFT]]/7</f>
        <v>3</v>
      </c>
    </row>
    <row r="296" spans="9:13" x14ac:dyDescent="0.25">
      <c r="I296" t="s">
        <v>18855</v>
      </c>
      <c r="J296">
        <v>1111</v>
      </c>
      <c r="K296" t="s">
        <v>18736</v>
      </c>
      <c r="L296" s="17">
        <v>21</v>
      </c>
      <c r="M296">
        <f>Table23[[#This Row],[AIRCRAFT]]/7</f>
        <v>3</v>
      </c>
    </row>
    <row r="297" spans="9:13" x14ac:dyDescent="0.25">
      <c r="I297" t="s">
        <v>18855</v>
      </c>
      <c r="J297">
        <v>1129</v>
      </c>
      <c r="K297" t="s">
        <v>18742</v>
      </c>
      <c r="L297" s="17">
        <v>21</v>
      </c>
      <c r="M297">
        <f>Table23[[#This Row],[AIRCRAFT]]/7</f>
        <v>3</v>
      </c>
    </row>
    <row r="298" spans="9:13" x14ac:dyDescent="0.25">
      <c r="I298" t="s">
        <v>18855</v>
      </c>
      <c r="J298">
        <v>1138</v>
      </c>
      <c r="K298" t="s">
        <v>18745</v>
      </c>
      <c r="L298" s="17">
        <v>21</v>
      </c>
      <c r="M298">
        <f>Table23[[#This Row],[AIRCRAFT]]/7</f>
        <v>3</v>
      </c>
    </row>
    <row r="299" spans="9:13" x14ac:dyDescent="0.25">
      <c r="I299" t="s">
        <v>18855</v>
      </c>
      <c r="J299">
        <v>1147</v>
      </c>
      <c r="K299" t="s">
        <v>18748</v>
      </c>
      <c r="L299" s="17">
        <v>21</v>
      </c>
      <c r="M299">
        <f>Table23[[#This Row],[AIRCRAFT]]/7</f>
        <v>3</v>
      </c>
    </row>
    <row r="300" spans="9:13" x14ac:dyDescent="0.25">
      <c r="I300" t="s">
        <v>18855</v>
      </c>
      <c r="J300">
        <v>1150</v>
      </c>
      <c r="K300" t="s">
        <v>18749</v>
      </c>
      <c r="L300" s="17">
        <v>21</v>
      </c>
      <c r="M300">
        <f>Table23[[#This Row],[AIRCRAFT]]/7</f>
        <v>3</v>
      </c>
    </row>
    <row r="301" spans="9:13" x14ac:dyDescent="0.25">
      <c r="I301" t="s">
        <v>18855</v>
      </c>
      <c r="J301">
        <v>1156</v>
      </c>
      <c r="K301" t="s">
        <v>18751</v>
      </c>
      <c r="L301" s="17">
        <v>21</v>
      </c>
      <c r="M301">
        <f>Table23[[#This Row],[AIRCRAFT]]/7</f>
        <v>3</v>
      </c>
    </row>
    <row r="302" spans="9:13" x14ac:dyDescent="0.25">
      <c r="I302" t="s">
        <v>18855</v>
      </c>
      <c r="J302">
        <v>1159</v>
      </c>
      <c r="K302" t="s">
        <v>18752</v>
      </c>
      <c r="L302" s="17">
        <v>21</v>
      </c>
      <c r="M302">
        <f>Table23[[#This Row],[AIRCRAFT]]/7</f>
        <v>3</v>
      </c>
    </row>
    <row r="303" spans="9:13" x14ac:dyDescent="0.25">
      <c r="I303" t="s">
        <v>18855</v>
      </c>
      <c r="J303">
        <v>1165</v>
      </c>
      <c r="K303" t="s">
        <v>18754</v>
      </c>
      <c r="L303" s="17">
        <v>21</v>
      </c>
      <c r="M303">
        <f>Table23[[#This Row],[AIRCRAFT]]/7</f>
        <v>3</v>
      </c>
    </row>
    <row r="304" spans="9:13" x14ac:dyDescent="0.25">
      <c r="I304" t="s">
        <v>18855</v>
      </c>
      <c r="J304">
        <v>1168</v>
      </c>
      <c r="K304" t="s">
        <v>18755</v>
      </c>
      <c r="L304" s="17">
        <v>21</v>
      </c>
      <c r="M304">
        <f>Table23[[#This Row],[AIRCRAFT]]/7</f>
        <v>3</v>
      </c>
    </row>
    <row r="305" spans="9:13" x14ac:dyDescent="0.25">
      <c r="I305" t="s">
        <v>18855</v>
      </c>
      <c r="J305">
        <v>1171</v>
      </c>
      <c r="K305" t="s">
        <v>18756</v>
      </c>
      <c r="L305" s="17">
        <v>21</v>
      </c>
      <c r="M305">
        <f>Table23[[#This Row],[AIRCRAFT]]/7</f>
        <v>3</v>
      </c>
    </row>
    <row r="306" spans="9:13" x14ac:dyDescent="0.25">
      <c r="I306" t="s">
        <v>18855</v>
      </c>
      <c r="J306">
        <v>1183</v>
      </c>
      <c r="K306" t="s">
        <v>18760</v>
      </c>
      <c r="L306" s="17">
        <v>21</v>
      </c>
      <c r="M306">
        <f>Table23[[#This Row],[AIRCRAFT]]/7</f>
        <v>3</v>
      </c>
    </row>
    <row r="307" spans="9:13" x14ac:dyDescent="0.25">
      <c r="I307" t="s">
        <v>18855</v>
      </c>
      <c r="J307">
        <v>1186</v>
      </c>
      <c r="K307" t="s">
        <v>18761</v>
      </c>
      <c r="L307" s="17">
        <v>21</v>
      </c>
      <c r="M307">
        <f>Table23[[#This Row],[AIRCRAFT]]/7</f>
        <v>3</v>
      </c>
    </row>
    <row r="308" spans="9:13" x14ac:dyDescent="0.25">
      <c r="I308" t="s">
        <v>18855</v>
      </c>
      <c r="J308">
        <v>1192</v>
      </c>
      <c r="K308" t="s">
        <v>18763</v>
      </c>
      <c r="L308" s="17">
        <v>21</v>
      </c>
      <c r="M308">
        <f>Table23[[#This Row],[AIRCRAFT]]/7</f>
        <v>3</v>
      </c>
    </row>
    <row r="309" spans="9:13" x14ac:dyDescent="0.25">
      <c r="I309" t="s">
        <v>18855</v>
      </c>
      <c r="J309">
        <v>1195</v>
      </c>
      <c r="K309" t="s">
        <v>18764</v>
      </c>
      <c r="L309" s="17">
        <v>21</v>
      </c>
      <c r="M309">
        <f>Table23[[#This Row],[AIRCRAFT]]/7</f>
        <v>3</v>
      </c>
    </row>
    <row r="310" spans="9:13" x14ac:dyDescent="0.25">
      <c r="I310" t="s">
        <v>18855</v>
      </c>
      <c r="J310">
        <v>1201</v>
      </c>
      <c r="K310" t="s">
        <v>18766</v>
      </c>
      <c r="L310" s="17">
        <v>21</v>
      </c>
      <c r="M310">
        <f>Table23[[#This Row],[AIRCRAFT]]/7</f>
        <v>3</v>
      </c>
    </row>
    <row r="311" spans="9:13" x14ac:dyDescent="0.25">
      <c r="I311" t="s">
        <v>18855</v>
      </c>
      <c r="J311">
        <v>1204</v>
      </c>
      <c r="K311" t="s">
        <v>18767</v>
      </c>
      <c r="L311" s="17">
        <v>21</v>
      </c>
      <c r="M311">
        <f>Table23[[#This Row],[AIRCRAFT]]/7</f>
        <v>3</v>
      </c>
    </row>
    <row r="312" spans="9:13" x14ac:dyDescent="0.25">
      <c r="I312" t="s">
        <v>18855</v>
      </c>
      <c r="J312">
        <v>1207</v>
      </c>
      <c r="K312" t="s">
        <v>18768</v>
      </c>
      <c r="L312" s="17">
        <v>21</v>
      </c>
      <c r="M312">
        <f>Table23[[#This Row],[AIRCRAFT]]/7</f>
        <v>3</v>
      </c>
    </row>
    <row r="313" spans="9:13" x14ac:dyDescent="0.25">
      <c r="I313" t="s">
        <v>18855</v>
      </c>
      <c r="J313">
        <v>1210</v>
      </c>
      <c r="K313" t="s">
        <v>18769</v>
      </c>
      <c r="L313" s="17">
        <v>21</v>
      </c>
      <c r="M313">
        <f>Table23[[#This Row],[AIRCRAFT]]/7</f>
        <v>3</v>
      </c>
    </row>
    <row r="314" spans="9:13" x14ac:dyDescent="0.25">
      <c r="I314" t="s">
        <v>18855</v>
      </c>
      <c r="J314">
        <v>1216</v>
      </c>
      <c r="K314" t="s">
        <v>18771</v>
      </c>
      <c r="L314" s="17">
        <v>21</v>
      </c>
      <c r="M314">
        <f>Table23[[#This Row],[AIRCRAFT]]/7</f>
        <v>3</v>
      </c>
    </row>
    <row r="315" spans="9:13" x14ac:dyDescent="0.25">
      <c r="I315" t="s">
        <v>18855</v>
      </c>
      <c r="J315">
        <v>1219</v>
      </c>
      <c r="K315" t="s">
        <v>18772</v>
      </c>
      <c r="L315" s="17">
        <v>21</v>
      </c>
      <c r="M315">
        <f>Table23[[#This Row],[AIRCRAFT]]/7</f>
        <v>3</v>
      </c>
    </row>
    <row r="316" spans="9:13" x14ac:dyDescent="0.25">
      <c r="I316" t="s">
        <v>18855</v>
      </c>
      <c r="J316">
        <v>1222</v>
      </c>
      <c r="K316" t="s">
        <v>18773</v>
      </c>
      <c r="L316" s="17">
        <v>21</v>
      </c>
      <c r="M316">
        <f>Table23[[#This Row],[AIRCRAFT]]/7</f>
        <v>3</v>
      </c>
    </row>
    <row r="317" spans="9:13" x14ac:dyDescent="0.25">
      <c r="I317" t="s">
        <v>18855</v>
      </c>
      <c r="J317">
        <v>1246</v>
      </c>
      <c r="K317" t="s">
        <v>18781</v>
      </c>
      <c r="L317" s="17">
        <v>21</v>
      </c>
      <c r="M317">
        <f>Table23[[#This Row],[AIRCRAFT]]/7</f>
        <v>3</v>
      </c>
    </row>
    <row r="318" spans="9:13" x14ac:dyDescent="0.25">
      <c r="I318" t="s">
        <v>18855</v>
      </c>
      <c r="J318">
        <v>1249</v>
      </c>
      <c r="K318" t="s">
        <v>18782</v>
      </c>
      <c r="L318" s="17">
        <v>21</v>
      </c>
      <c r="M318">
        <f>Table23[[#This Row],[AIRCRAFT]]/7</f>
        <v>3</v>
      </c>
    </row>
    <row r="319" spans="9:13" x14ac:dyDescent="0.25">
      <c r="I319" t="s">
        <v>18855</v>
      </c>
      <c r="J319">
        <v>1252</v>
      </c>
      <c r="K319" t="s">
        <v>18783</v>
      </c>
      <c r="L319" s="17">
        <v>21</v>
      </c>
      <c r="M319">
        <f>Table23[[#This Row],[AIRCRAFT]]/7</f>
        <v>3</v>
      </c>
    </row>
    <row r="320" spans="9:13" x14ac:dyDescent="0.25">
      <c r="I320" t="s">
        <v>18855</v>
      </c>
      <c r="J320">
        <v>1261</v>
      </c>
      <c r="K320" t="s">
        <v>18786</v>
      </c>
      <c r="L320" s="17">
        <v>21</v>
      </c>
      <c r="M320">
        <f>Table23[[#This Row],[AIRCRAFT]]/7</f>
        <v>3</v>
      </c>
    </row>
    <row r="321" spans="9:13" x14ac:dyDescent="0.25">
      <c r="I321" t="s">
        <v>18855</v>
      </c>
      <c r="J321">
        <v>1273</v>
      </c>
      <c r="K321" t="s">
        <v>18790</v>
      </c>
      <c r="L321" s="17">
        <v>21</v>
      </c>
      <c r="M321">
        <f>Table23[[#This Row],[AIRCRAFT]]/7</f>
        <v>3</v>
      </c>
    </row>
    <row r="322" spans="9:13" x14ac:dyDescent="0.25">
      <c r="I322" t="s">
        <v>18855</v>
      </c>
      <c r="J322">
        <v>1276</v>
      </c>
      <c r="K322" t="s">
        <v>18791</v>
      </c>
      <c r="L322" s="17">
        <v>21</v>
      </c>
      <c r="M322">
        <f>Table23[[#This Row],[AIRCRAFT]]/7</f>
        <v>3</v>
      </c>
    </row>
    <row r="323" spans="9:13" x14ac:dyDescent="0.25">
      <c r="I323" t="s">
        <v>18855</v>
      </c>
      <c r="J323">
        <v>1285</v>
      </c>
      <c r="K323" t="s">
        <v>18794</v>
      </c>
      <c r="L323" s="17">
        <v>21</v>
      </c>
      <c r="M323">
        <f>Table23[[#This Row],[AIRCRAFT]]/7</f>
        <v>3</v>
      </c>
    </row>
    <row r="324" spans="9:13" x14ac:dyDescent="0.25">
      <c r="I324" t="s">
        <v>18855</v>
      </c>
      <c r="J324">
        <v>1306</v>
      </c>
      <c r="K324" t="s">
        <v>18801</v>
      </c>
      <c r="L324" s="17">
        <v>21</v>
      </c>
      <c r="M324">
        <f>Table23[[#This Row],[AIRCRAFT]]/7</f>
        <v>3</v>
      </c>
    </row>
    <row r="325" spans="9:13" x14ac:dyDescent="0.25">
      <c r="I325" t="s">
        <v>18855</v>
      </c>
      <c r="J325">
        <v>1312</v>
      </c>
      <c r="K325" t="s">
        <v>18803</v>
      </c>
      <c r="L325" s="17">
        <v>21</v>
      </c>
      <c r="M325">
        <f>Table23[[#This Row],[AIRCRAFT]]/7</f>
        <v>3</v>
      </c>
    </row>
    <row r="326" spans="9:13" x14ac:dyDescent="0.25">
      <c r="I326" t="s">
        <v>18855</v>
      </c>
      <c r="J326">
        <v>1315</v>
      </c>
      <c r="K326" t="s">
        <v>18804</v>
      </c>
      <c r="L326" s="17">
        <v>21</v>
      </c>
      <c r="M326">
        <f>Table23[[#This Row],[AIRCRAFT]]/7</f>
        <v>3</v>
      </c>
    </row>
    <row r="327" spans="9:13" x14ac:dyDescent="0.25">
      <c r="I327" t="s">
        <v>18855</v>
      </c>
      <c r="J327">
        <v>1318</v>
      </c>
      <c r="K327" t="s">
        <v>18805</v>
      </c>
      <c r="L327" s="17">
        <v>21</v>
      </c>
      <c r="M327">
        <f>Table23[[#This Row],[AIRCRAFT]]/7</f>
        <v>3</v>
      </c>
    </row>
    <row r="328" spans="9:13" x14ac:dyDescent="0.25">
      <c r="I328" t="s">
        <v>18855</v>
      </c>
      <c r="J328">
        <v>1324</v>
      </c>
      <c r="K328" t="s">
        <v>18807</v>
      </c>
      <c r="L328" s="17">
        <v>21</v>
      </c>
      <c r="M328">
        <f>Table23[[#This Row],[AIRCRAFT]]/7</f>
        <v>3</v>
      </c>
    </row>
    <row r="329" spans="9:13" x14ac:dyDescent="0.25">
      <c r="I329" t="s">
        <v>18855</v>
      </c>
      <c r="J329">
        <v>1330</v>
      </c>
      <c r="K329" t="s">
        <v>18809</v>
      </c>
      <c r="L329" s="17">
        <v>21</v>
      </c>
      <c r="M329">
        <f>Table23[[#This Row],[AIRCRAFT]]/7</f>
        <v>3</v>
      </c>
    </row>
    <row r="330" spans="9:13" x14ac:dyDescent="0.25">
      <c r="I330" t="s">
        <v>18855</v>
      </c>
      <c r="J330">
        <v>1336</v>
      </c>
      <c r="K330" t="s">
        <v>18811</v>
      </c>
      <c r="L330" s="17">
        <v>21</v>
      </c>
      <c r="M330">
        <f>Table23[[#This Row],[AIRCRAFT]]/7</f>
        <v>3</v>
      </c>
    </row>
    <row r="331" spans="9:13" x14ac:dyDescent="0.25">
      <c r="I331" t="s">
        <v>18855</v>
      </c>
      <c r="J331">
        <v>1339</v>
      </c>
      <c r="K331" t="s">
        <v>18812</v>
      </c>
      <c r="L331" s="17">
        <v>21</v>
      </c>
      <c r="M331">
        <f>Table23[[#This Row],[AIRCRAFT]]/7</f>
        <v>3</v>
      </c>
    </row>
    <row r="332" spans="9:13" x14ac:dyDescent="0.25">
      <c r="I332" t="s">
        <v>18855</v>
      </c>
      <c r="J332">
        <v>1357</v>
      </c>
      <c r="K332" t="s">
        <v>18818</v>
      </c>
      <c r="L332" s="17">
        <v>21</v>
      </c>
      <c r="M332">
        <f>Table23[[#This Row],[AIRCRAFT]]/7</f>
        <v>3</v>
      </c>
    </row>
    <row r="333" spans="9:13" x14ac:dyDescent="0.25">
      <c r="I333" t="s">
        <v>18855</v>
      </c>
      <c r="J333">
        <v>1360</v>
      </c>
      <c r="K333" t="s">
        <v>18819</v>
      </c>
      <c r="L333" s="17">
        <v>21</v>
      </c>
      <c r="M333">
        <f>Table23[[#This Row],[AIRCRAFT]]/7</f>
        <v>3</v>
      </c>
    </row>
    <row r="334" spans="9:13" x14ac:dyDescent="0.25">
      <c r="I334" t="s">
        <v>18855</v>
      </c>
      <c r="J334">
        <v>1363</v>
      </c>
      <c r="K334" t="s">
        <v>18820</v>
      </c>
      <c r="L334" s="17">
        <v>21</v>
      </c>
      <c r="M334">
        <f>Table23[[#This Row],[AIRCRAFT]]/7</f>
        <v>3</v>
      </c>
    </row>
    <row r="335" spans="9:13" x14ac:dyDescent="0.25">
      <c r="I335" t="s">
        <v>18855</v>
      </c>
      <c r="J335">
        <v>1366</v>
      </c>
      <c r="K335" t="s">
        <v>18821</v>
      </c>
      <c r="L335" s="17">
        <v>21</v>
      </c>
      <c r="M335">
        <f>Table23[[#This Row],[AIRCRAFT]]/7</f>
        <v>3</v>
      </c>
    </row>
    <row r="336" spans="9:13" x14ac:dyDescent="0.25">
      <c r="I336" t="s">
        <v>18855</v>
      </c>
      <c r="J336">
        <v>1369</v>
      </c>
      <c r="K336" t="s">
        <v>18822</v>
      </c>
      <c r="L336" s="17">
        <v>21</v>
      </c>
      <c r="M336">
        <f>Table23[[#This Row],[AIRCRAFT]]/7</f>
        <v>3</v>
      </c>
    </row>
    <row r="337" spans="9:13" x14ac:dyDescent="0.25">
      <c r="I337" t="s">
        <v>18855</v>
      </c>
      <c r="J337">
        <v>1372</v>
      </c>
      <c r="K337" t="s">
        <v>18823</v>
      </c>
      <c r="L337" s="17">
        <v>21</v>
      </c>
      <c r="M337">
        <f>Table23[[#This Row],[AIRCRAFT]]/7</f>
        <v>3</v>
      </c>
    </row>
    <row r="338" spans="9:13" x14ac:dyDescent="0.25">
      <c r="I338" t="s">
        <v>18855</v>
      </c>
      <c r="J338">
        <v>1384</v>
      </c>
      <c r="K338" t="s">
        <v>18827</v>
      </c>
      <c r="L338" s="17">
        <v>21</v>
      </c>
      <c r="M338">
        <f>Table23[[#This Row],[AIRCRAFT]]/7</f>
        <v>3</v>
      </c>
    </row>
    <row r="339" spans="9:13" x14ac:dyDescent="0.25">
      <c r="I339" t="s">
        <v>18855</v>
      </c>
      <c r="J339">
        <v>1390</v>
      </c>
      <c r="K339" t="s">
        <v>18829</v>
      </c>
      <c r="L339" s="17">
        <v>21</v>
      </c>
      <c r="M339">
        <f>Table23[[#This Row],[AIRCRAFT]]/7</f>
        <v>3</v>
      </c>
    </row>
    <row r="340" spans="9:13" x14ac:dyDescent="0.25">
      <c r="I340" t="s">
        <v>18855</v>
      </c>
      <c r="J340">
        <v>1396</v>
      </c>
      <c r="K340" t="s">
        <v>18831</v>
      </c>
      <c r="L340" s="17">
        <v>21</v>
      </c>
      <c r="M340">
        <f>Table23[[#This Row],[AIRCRAFT]]/7</f>
        <v>3</v>
      </c>
    </row>
    <row r="341" spans="9:13" x14ac:dyDescent="0.25">
      <c r="I341" t="s">
        <v>18855</v>
      </c>
      <c r="J341">
        <v>1399</v>
      </c>
      <c r="K341" t="s">
        <v>18832</v>
      </c>
      <c r="L341" s="17">
        <v>21</v>
      </c>
      <c r="M341">
        <f>Table23[[#This Row],[AIRCRAFT]]/7</f>
        <v>3</v>
      </c>
    </row>
    <row r="342" spans="9:13" x14ac:dyDescent="0.25">
      <c r="I342" t="s">
        <v>18855</v>
      </c>
      <c r="J342">
        <v>1402</v>
      </c>
      <c r="K342" t="s">
        <v>18833</v>
      </c>
      <c r="L342" s="17">
        <v>21</v>
      </c>
      <c r="M342">
        <f>Table23[[#This Row],[AIRCRAFT]]/7</f>
        <v>3</v>
      </c>
    </row>
    <row r="343" spans="9:13" x14ac:dyDescent="0.25">
      <c r="I343" t="s">
        <v>18855</v>
      </c>
      <c r="J343">
        <v>1408</v>
      </c>
      <c r="K343" t="s">
        <v>18835</v>
      </c>
      <c r="L343" s="17">
        <v>21</v>
      </c>
      <c r="M343">
        <f>Table23[[#This Row],[AIRCRAFT]]/7</f>
        <v>3</v>
      </c>
    </row>
    <row r="344" spans="9:13" x14ac:dyDescent="0.25">
      <c r="I344" t="s">
        <v>18855</v>
      </c>
      <c r="J344">
        <v>1411</v>
      </c>
      <c r="K344" t="s">
        <v>18836</v>
      </c>
      <c r="L344" s="17">
        <v>21</v>
      </c>
      <c r="M344">
        <f>Table23[[#This Row],[AIRCRAFT]]/7</f>
        <v>3</v>
      </c>
    </row>
    <row r="345" spans="9:13" x14ac:dyDescent="0.25">
      <c r="I345" t="s">
        <v>18855</v>
      </c>
      <c r="J345">
        <v>1417</v>
      </c>
      <c r="K345" t="s">
        <v>18838</v>
      </c>
      <c r="L345" s="17">
        <v>21</v>
      </c>
      <c r="M345">
        <f>Table23[[#This Row],[AIRCRAFT]]/7</f>
        <v>3</v>
      </c>
    </row>
    <row r="346" spans="9:13" x14ac:dyDescent="0.25">
      <c r="I346" t="s">
        <v>18855</v>
      </c>
      <c r="J346">
        <v>1420</v>
      </c>
      <c r="K346" t="s">
        <v>18839</v>
      </c>
      <c r="L346" s="17">
        <v>21</v>
      </c>
      <c r="M346">
        <f>Table23[[#This Row],[AIRCRAFT]]/7</f>
        <v>3</v>
      </c>
    </row>
    <row r="347" spans="9:13" x14ac:dyDescent="0.25">
      <c r="I347" t="s">
        <v>18855</v>
      </c>
      <c r="J347">
        <v>1423</v>
      </c>
      <c r="K347" t="s">
        <v>18840</v>
      </c>
      <c r="L347" s="17">
        <v>21</v>
      </c>
      <c r="M347">
        <f>Table23[[#This Row],[AIRCRAFT]]/7</f>
        <v>3</v>
      </c>
    </row>
    <row r="348" spans="9:13" x14ac:dyDescent="0.25">
      <c r="I348" t="s">
        <v>18855</v>
      </c>
      <c r="J348">
        <v>1429</v>
      </c>
      <c r="K348" t="s">
        <v>18842</v>
      </c>
      <c r="L348" s="17">
        <v>21</v>
      </c>
      <c r="M348">
        <f>Table23[[#This Row],[AIRCRAFT]]/7</f>
        <v>3</v>
      </c>
    </row>
    <row r="349" spans="9:13" x14ac:dyDescent="0.25">
      <c r="I349" t="s">
        <v>18855</v>
      </c>
      <c r="J349">
        <v>1435</v>
      </c>
      <c r="K349" t="s">
        <v>18844</v>
      </c>
      <c r="L349" s="17">
        <v>21</v>
      </c>
      <c r="M349">
        <f>Table23[[#This Row],[AIRCRAFT]]/7</f>
        <v>3</v>
      </c>
    </row>
    <row r="350" spans="9:13" x14ac:dyDescent="0.25">
      <c r="I350" t="s">
        <v>18855</v>
      </c>
      <c r="J350">
        <v>1438</v>
      </c>
      <c r="K350" t="s">
        <v>18845</v>
      </c>
      <c r="L350" s="17">
        <v>21</v>
      </c>
      <c r="M350">
        <f>Table23[[#This Row],[AIRCRAFT]]/7</f>
        <v>3</v>
      </c>
    </row>
    <row r="351" spans="9:13" x14ac:dyDescent="0.25">
      <c r="I351" t="s">
        <v>18855</v>
      </c>
      <c r="J351">
        <v>1441</v>
      </c>
      <c r="K351" t="s">
        <v>18846</v>
      </c>
      <c r="L351" s="17">
        <v>21</v>
      </c>
      <c r="M351">
        <f>Table23[[#This Row],[AIRCRAFT]]/7</f>
        <v>3</v>
      </c>
    </row>
    <row r="352" spans="9:13" x14ac:dyDescent="0.25">
      <c r="I352" t="s">
        <v>18855</v>
      </c>
      <c r="J352">
        <v>1444</v>
      </c>
      <c r="K352" t="s">
        <v>18847</v>
      </c>
      <c r="L352" s="17">
        <v>21</v>
      </c>
      <c r="M352">
        <f>Table23[[#This Row],[AIRCRAFT]]/7</f>
        <v>3</v>
      </c>
    </row>
    <row r="353" spans="9:13" x14ac:dyDescent="0.25">
      <c r="I353" t="s">
        <v>18855</v>
      </c>
      <c r="J353">
        <v>1450</v>
      </c>
      <c r="K353" t="s">
        <v>18849</v>
      </c>
      <c r="L353" s="17">
        <v>21</v>
      </c>
      <c r="M353">
        <f>Table23[[#This Row],[AIRCRAFT]]/7</f>
        <v>3</v>
      </c>
    </row>
    <row r="354" spans="9:13" x14ac:dyDescent="0.25">
      <c r="I354" t="s">
        <v>18855</v>
      </c>
      <c r="J354">
        <v>1459</v>
      </c>
      <c r="K354" t="s">
        <v>18852</v>
      </c>
      <c r="L354" s="17">
        <v>21</v>
      </c>
      <c r="M354">
        <f>Table23[[#This Row],[AIRCRAFT]]/7</f>
        <v>3</v>
      </c>
    </row>
    <row r="355" spans="9:13" x14ac:dyDescent="0.25">
      <c r="I355" t="s">
        <v>18855</v>
      </c>
      <c r="J355">
        <v>1462</v>
      </c>
      <c r="K355" t="s">
        <v>18853</v>
      </c>
      <c r="L355" s="17">
        <v>21</v>
      </c>
      <c r="M355">
        <f>Table23[[#This Row],[AIRCRAFT]]/7</f>
        <v>3</v>
      </c>
    </row>
    <row r="356" spans="9:13" x14ac:dyDescent="0.25">
      <c r="I356" t="s">
        <v>18855</v>
      </c>
      <c r="J356">
        <v>1465</v>
      </c>
      <c r="K356" t="s">
        <v>18854</v>
      </c>
      <c r="L356" s="17">
        <v>21</v>
      </c>
      <c r="M356">
        <f>Table23[[#This Row],[AIRCRAFT]]/7</f>
        <v>3</v>
      </c>
    </row>
    <row r="357" spans="9:13" x14ac:dyDescent="0.25">
      <c r="I357" t="s">
        <v>18855</v>
      </c>
      <c r="J357">
        <v>4</v>
      </c>
      <c r="K357" t="s">
        <v>18367</v>
      </c>
      <c r="L357" s="17">
        <v>14</v>
      </c>
      <c r="M357">
        <f>Table23[[#This Row],[AIRCRAFT]]/7</f>
        <v>2</v>
      </c>
    </row>
    <row r="358" spans="9:13" x14ac:dyDescent="0.25">
      <c r="I358" t="s">
        <v>18855</v>
      </c>
      <c r="J358">
        <v>7</v>
      </c>
      <c r="K358" t="s">
        <v>18368</v>
      </c>
      <c r="L358" s="17">
        <v>14</v>
      </c>
      <c r="M358">
        <f>Table23[[#This Row],[AIRCRAFT]]/7</f>
        <v>2</v>
      </c>
    </row>
    <row r="359" spans="9:13" x14ac:dyDescent="0.25">
      <c r="I359" t="s">
        <v>18855</v>
      </c>
      <c r="J359">
        <v>31</v>
      </c>
      <c r="K359" t="s">
        <v>18376</v>
      </c>
      <c r="L359" s="17">
        <v>14</v>
      </c>
      <c r="M359">
        <f>Table23[[#This Row],[AIRCRAFT]]/7</f>
        <v>2</v>
      </c>
    </row>
    <row r="360" spans="9:13" x14ac:dyDescent="0.25">
      <c r="I360" t="s">
        <v>18855</v>
      </c>
      <c r="J360">
        <v>67</v>
      </c>
      <c r="K360" t="s">
        <v>18388</v>
      </c>
      <c r="L360" s="17">
        <v>14</v>
      </c>
      <c r="M360">
        <f>Table23[[#This Row],[AIRCRAFT]]/7</f>
        <v>2</v>
      </c>
    </row>
    <row r="361" spans="9:13" x14ac:dyDescent="0.25">
      <c r="I361" t="s">
        <v>18855</v>
      </c>
      <c r="J361">
        <v>70</v>
      </c>
      <c r="K361" t="s">
        <v>18389</v>
      </c>
      <c r="L361" s="17">
        <v>14</v>
      </c>
      <c r="M361">
        <f>Table23[[#This Row],[AIRCRAFT]]/7</f>
        <v>2</v>
      </c>
    </row>
    <row r="362" spans="9:13" x14ac:dyDescent="0.25">
      <c r="I362" t="s">
        <v>18855</v>
      </c>
      <c r="J362">
        <v>130</v>
      </c>
      <c r="K362" t="s">
        <v>18409</v>
      </c>
      <c r="L362" s="17">
        <v>14</v>
      </c>
      <c r="M362">
        <f>Table23[[#This Row],[AIRCRAFT]]/7</f>
        <v>2</v>
      </c>
    </row>
    <row r="363" spans="9:13" x14ac:dyDescent="0.25">
      <c r="I363" t="s">
        <v>18855</v>
      </c>
      <c r="J363">
        <v>163</v>
      </c>
      <c r="K363" t="s">
        <v>18420</v>
      </c>
      <c r="L363" s="17">
        <v>14</v>
      </c>
      <c r="M363">
        <f>Table23[[#This Row],[AIRCRAFT]]/7</f>
        <v>2</v>
      </c>
    </row>
    <row r="364" spans="9:13" x14ac:dyDescent="0.25">
      <c r="I364" t="s">
        <v>18855</v>
      </c>
      <c r="J364">
        <v>178</v>
      </c>
      <c r="K364" t="s">
        <v>18425</v>
      </c>
      <c r="L364" s="17">
        <v>14</v>
      </c>
      <c r="M364">
        <f>Table23[[#This Row],[AIRCRAFT]]/7</f>
        <v>2</v>
      </c>
    </row>
    <row r="365" spans="9:13" x14ac:dyDescent="0.25">
      <c r="I365" t="s">
        <v>18855</v>
      </c>
      <c r="J365">
        <v>190</v>
      </c>
      <c r="K365" t="s">
        <v>18429</v>
      </c>
      <c r="L365" s="17">
        <v>14</v>
      </c>
      <c r="M365">
        <f>Table23[[#This Row],[AIRCRAFT]]/7</f>
        <v>2</v>
      </c>
    </row>
    <row r="366" spans="9:13" x14ac:dyDescent="0.25">
      <c r="I366" t="s">
        <v>18855</v>
      </c>
      <c r="J366">
        <v>193</v>
      </c>
      <c r="K366" t="s">
        <v>18430</v>
      </c>
      <c r="L366" s="17">
        <v>14</v>
      </c>
      <c r="M366">
        <f>Table23[[#This Row],[AIRCRAFT]]/7</f>
        <v>2</v>
      </c>
    </row>
    <row r="367" spans="9:13" x14ac:dyDescent="0.25">
      <c r="I367" t="s">
        <v>18855</v>
      </c>
      <c r="J367">
        <v>208</v>
      </c>
      <c r="K367" t="s">
        <v>18435</v>
      </c>
      <c r="L367" s="17">
        <v>14</v>
      </c>
      <c r="M367">
        <f>Table23[[#This Row],[AIRCRAFT]]/7</f>
        <v>2</v>
      </c>
    </row>
    <row r="368" spans="9:13" x14ac:dyDescent="0.25">
      <c r="I368" t="s">
        <v>18855</v>
      </c>
      <c r="J368">
        <v>226</v>
      </c>
      <c r="K368" t="s">
        <v>18441</v>
      </c>
      <c r="L368" s="17">
        <v>14</v>
      </c>
      <c r="M368">
        <f>Table23[[#This Row],[AIRCRAFT]]/7</f>
        <v>2</v>
      </c>
    </row>
    <row r="369" spans="9:13" x14ac:dyDescent="0.25">
      <c r="I369" t="s">
        <v>18855</v>
      </c>
      <c r="J369">
        <v>235</v>
      </c>
      <c r="K369" t="s">
        <v>18444</v>
      </c>
      <c r="L369" s="17">
        <v>14</v>
      </c>
      <c r="M369">
        <f>Table23[[#This Row],[AIRCRAFT]]/7</f>
        <v>2</v>
      </c>
    </row>
    <row r="370" spans="9:13" x14ac:dyDescent="0.25">
      <c r="I370" t="s">
        <v>18855</v>
      </c>
      <c r="J370">
        <v>238</v>
      </c>
      <c r="K370" t="s">
        <v>18445</v>
      </c>
      <c r="L370" s="17">
        <v>14</v>
      </c>
      <c r="M370">
        <f>Table23[[#This Row],[AIRCRAFT]]/7</f>
        <v>2</v>
      </c>
    </row>
    <row r="371" spans="9:13" x14ac:dyDescent="0.25">
      <c r="I371" t="s">
        <v>18855</v>
      </c>
      <c r="J371">
        <v>241</v>
      </c>
      <c r="K371" t="s">
        <v>18446</v>
      </c>
      <c r="L371" s="17">
        <v>14</v>
      </c>
      <c r="M371">
        <f>Table23[[#This Row],[AIRCRAFT]]/7</f>
        <v>2</v>
      </c>
    </row>
    <row r="372" spans="9:13" x14ac:dyDescent="0.25">
      <c r="I372" t="s">
        <v>18855</v>
      </c>
      <c r="J372">
        <v>283</v>
      </c>
      <c r="K372" t="s">
        <v>18460</v>
      </c>
      <c r="L372" s="17">
        <v>14</v>
      </c>
      <c r="M372">
        <f>Table23[[#This Row],[AIRCRAFT]]/7</f>
        <v>2</v>
      </c>
    </row>
    <row r="373" spans="9:13" x14ac:dyDescent="0.25">
      <c r="I373" t="s">
        <v>18855</v>
      </c>
      <c r="J373">
        <v>292</v>
      </c>
      <c r="K373" t="s">
        <v>18463</v>
      </c>
      <c r="L373" s="17">
        <v>14</v>
      </c>
      <c r="M373">
        <f>Table23[[#This Row],[AIRCRAFT]]/7</f>
        <v>2</v>
      </c>
    </row>
    <row r="374" spans="9:13" x14ac:dyDescent="0.25">
      <c r="I374" t="s">
        <v>18855</v>
      </c>
      <c r="J374">
        <v>325</v>
      </c>
      <c r="K374" t="s">
        <v>18474</v>
      </c>
      <c r="L374" s="17">
        <v>14</v>
      </c>
      <c r="M374">
        <f>Table23[[#This Row],[AIRCRAFT]]/7</f>
        <v>2</v>
      </c>
    </row>
    <row r="375" spans="9:13" x14ac:dyDescent="0.25">
      <c r="I375" t="s">
        <v>18855</v>
      </c>
      <c r="J375">
        <v>328</v>
      </c>
      <c r="K375" t="s">
        <v>18475</v>
      </c>
      <c r="L375" s="17">
        <v>14</v>
      </c>
      <c r="M375">
        <f>Table23[[#This Row],[AIRCRAFT]]/7</f>
        <v>2</v>
      </c>
    </row>
    <row r="376" spans="9:13" x14ac:dyDescent="0.25">
      <c r="I376" t="s">
        <v>18855</v>
      </c>
      <c r="J376">
        <v>331</v>
      </c>
      <c r="K376" t="s">
        <v>18476</v>
      </c>
      <c r="L376" s="17">
        <v>14</v>
      </c>
      <c r="M376">
        <f>Table23[[#This Row],[AIRCRAFT]]/7</f>
        <v>2</v>
      </c>
    </row>
    <row r="377" spans="9:13" x14ac:dyDescent="0.25">
      <c r="I377" t="s">
        <v>18855</v>
      </c>
      <c r="J377">
        <v>349</v>
      </c>
      <c r="K377" t="s">
        <v>18482</v>
      </c>
      <c r="L377" s="17">
        <v>14</v>
      </c>
      <c r="M377">
        <f>Table23[[#This Row],[AIRCRAFT]]/7</f>
        <v>2</v>
      </c>
    </row>
    <row r="378" spans="9:13" x14ac:dyDescent="0.25">
      <c r="I378" t="s">
        <v>18855</v>
      </c>
      <c r="J378">
        <v>421</v>
      </c>
      <c r="K378" t="s">
        <v>18506</v>
      </c>
      <c r="L378" s="17">
        <v>14</v>
      </c>
      <c r="M378">
        <f>Table23[[#This Row],[AIRCRAFT]]/7</f>
        <v>2</v>
      </c>
    </row>
    <row r="379" spans="9:13" x14ac:dyDescent="0.25">
      <c r="I379" t="s">
        <v>18855</v>
      </c>
      <c r="J379">
        <v>424</v>
      </c>
      <c r="K379" t="s">
        <v>18507</v>
      </c>
      <c r="L379" s="17">
        <v>14</v>
      </c>
      <c r="M379">
        <f>Table23[[#This Row],[AIRCRAFT]]/7</f>
        <v>2</v>
      </c>
    </row>
    <row r="380" spans="9:13" x14ac:dyDescent="0.25">
      <c r="I380" t="s">
        <v>18855</v>
      </c>
      <c r="J380">
        <v>433</v>
      </c>
      <c r="K380" t="s">
        <v>18510</v>
      </c>
      <c r="L380" s="17">
        <v>14</v>
      </c>
      <c r="M380">
        <f>Table23[[#This Row],[AIRCRAFT]]/7</f>
        <v>2</v>
      </c>
    </row>
    <row r="381" spans="9:13" x14ac:dyDescent="0.25">
      <c r="I381" t="s">
        <v>18855</v>
      </c>
      <c r="J381">
        <v>439</v>
      </c>
      <c r="K381" t="s">
        <v>18512</v>
      </c>
      <c r="L381" s="17">
        <v>14</v>
      </c>
      <c r="M381">
        <f>Table23[[#This Row],[AIRCRAFT]]/7</f>
        <v>2</v>
      </c>
    </row>
    <row r="382" spans="9:13" x14ac:dyDescent="0.25">
      <c r="I382" t="s">
        <v>18855</v>
      </c>
      <c r="J382">
        <v>445</v>
      </c>
      <c r="K382" t="s">
        <v>18514</v>
      </c>
      <c r="L382" s="17">
        <v>14</v>
      </c>
      <c r="M382">
        <f>Table23[[#This Row],[AIRCRAFT]]/7</f>
        <v>2</v>
      </c>
    </row>
    <row r="383" spans="9:13" x14ac:dyDescent="0.25">
      <c r="I383" t="s">
        <v>18855</v>
      </c>
      <c r="J383">
        <v>457</v>
      </c>
      <c r="K383" t="s">
        <v>18518</v>
      </c>
      <c r="L383" s="17">
        <v>14</v>
      </c>
      <c r="M383">
        <f>Table23[[#This Row],[AIRCRAFT]]/7</f>
        <v>2</v>
      </c>
    </row>
    <row r="384" spans="9:13" x14ac:dyDescent="0.25">
      <c r="I384" t="s">
        <v>18855</v>
      </c>
      <c r="J384">
        <v>463</v>
      </c>
      <c r="K384" t="s">
        <v>18520</v>
      </c>
      <c r="L384" s="17">
        <v>14</v>
      </c>
      <c r="M384">
        <f>Table23[[#This Row],[AIRCRAFT]]/7</f>
        <v>2</v>
      </c>
    </row>
    <row r="385" spans="9:13" x14ac:dyDescent="0.25">
      <c r="I385" t="s">
        <v>18855</v>
      </c>
      <c r="J385">
        <v>469</v>
      </c>
      <c r="K385" t="s">
        <v>18522</v>
      </c>
      <c r="L385" s="17">
        <v>14</v>
      </c>
      <c r="M385">
        <f>Table23[[#This Row],[AIRCRAFT]]/7</f>
        <v>2</v>
      </c>
    </row>
    <row r="386" spans="9:13" x14ac:dyDescent="0.25">
      <c r="I386" t="s">
        <v>18855</v>
      </c>
      <c r="J386">
        <v>478</v>
      </c>
      <c r="K386" t="s">
        <v>18525</v>
      </c>
      <c r="L386" s="17">
        <v>14</v>
      </c>
      <c r="M386">
        <f>Table23[[#This Row],[AIRCRAFT]]/7</f>
        <v>2</v>
      </c>
    </row>
    <row r="387" spans="9:13" x14ac:dyDescent="0.25">
      <c r="I387" t="s">
        <v>18855</v>
      </c>
      <c r="J387">
        <v>484</v>
      </c>
      <c r="K387" t="s">
        <v>18527</v>
      </c>
      <c r="L387" s="17">
        <v>14</v>
      </c>
      <c r="M387">
        <f>Table23[[#This Row],[AIRCRAFT]]/7</f>
        <v>2</v>
      </c>
    </row>
    <row r="388" spans="9:13" x14ac:dyDescent="0.25">
      <c r="I388" t="s">
        <v>18855</v>
      </c>
      <c r="J388">
        <v>490</v>
      </c>
      <c r="K388" t="s">
        <v>18529</v>
      </c>
      <c r="L388" s="17">
        <v>14</v>
      </c>
      <c r="M388">
        <f>Table23[[#This Row],[AIRCRAFT]]/7</f>
        <v>2</v>
      </c>
    </row>
    <row r="389" spans="9:13" x14ac:dyDescent="0.25">
      <c r="I389" t="s">
        <v>18855</v>
      </c>
      <c r="J389">
        <v>505</v>
      </c>
      <c r="K389" t="s">
        <v>18534</v>
      </c>
      <c r="L389" s="17">
        <v>14</v>
      </c>
      <c r="M389">
        <f>Table23[[#This Row],[AIRCRAFT]]/7</f>
        <v>2</v>
      </c>
    </row>
    <row r="390" spans="9:13" x14ac:dyDescent="0.25">
      <c r="I390" t="s">
        <v>18855</v>
      </c>
      <c r="J390">
        <v>508</v>
      </c>
      <c r="K390" t="s">
        <v>18535</v>
      </c>
      <c r="L390" s="17">
        <v>14</v>
      </c>
      <c r="M390">
        <f>Table23[[#This Row],[AIRCRAFT]]/7</f>
        <v>2</v>
      </c>
    </row>
    <row r="391" spans="9:13" x14ac:dyDescent="0.25">
      <c r="I391" t="s">
        <v>18855</v>
      </c>
      <c r="J391">
        <v>526</v>
      </c>
      <c r="K391" t="s">
        <v>18541</v>
      </c>
      <c r="L391" s="17">
        <v>14</v>
      </c>
      <c r="M391">
        <f>Table23[[#This Row],[AIRCRAFT]]/7</f>
        <v>2</v>
      </c>
    </row>
    <row r="392" spans="9:13" x14ac:dyDescent="0.25">
      <c r="I392" t="s">
        <v>18855</v>
      </c>
      <c r="J392">
        <v>529</v>
      </c>
      <c r="K392" t="s">
        <v>18542</v>
      </c>
      <c r="L392" s="17">
        <v>14</v>
      </c>
      <c r="M392">
        <f>Table23[[#This Row],[AIRCRAFT]]/7</f>
        <v>2</v>
      </c>
    </row>
    <row r="393" spans="9:13" x14ac:dyDescent="0.25">
      <c r="I393" t="s">
        <v>18855</v>
      </c>
      <c r="J393">
        <v>535</v>
      </c>
      <c r="K393" t="s">
        <v>18544</v>
      </c>
      <c r="L393" s="17">
        <v>14</v>
      </c>
      <c r="M393">
        <f>Table23[[#This Row],[AIRCRAFT]]/7</f>
        <v>2</v>
      </c>
    </row>
    <row r="394" spans="9:13" x14ac:dyDescent="0.25">
      <c r="I394" t="s">
        <v>18855</v>
      </c>
      <c r="J394">
        <v>538</v>
      </c>
      <c r="K394" t="s">
        <v>18545</v>
      </c>
      <c r="L394" s="17">
        <v>14</v>
      </c>
      <c r="M394">
        <f>Table23[[#This Row],[AIRCRAFT]]/7</f>
        <v>2</v>
      </c>
    </row>
    <row r="395" spans="9:13" x14ac:dyDescent="0.25">
      <c r="I395" t="s">
        <v>18855</v>
      </c>
      <c r="J395">
        <v>583</v>
      </c>
      <c r="K395" t="s">
        <v>18560</v>
      </c>
      <c r="L395" s="17">
        <v>14</v>
      </c>
      <c r="M395">
        <f>Table23[[#This Row],[AIRCRAFT]]/7</f>
        <v>2</v>
      </c>
    </row>
    <row r="396" spans="9:13" x14ac:dyDescent="0.25">
      <c r="I396" t="s">
        <v>18855</v>
      </c>
      <c r="J396">
        <v>586</v>
      </c>
      <c r="K396" t="s">
        <v>18561</v>
      </c>
      <c r="L396" s="17">
        <v>14</v>
      </c>
      <c r="M396">
        <f>Table23[[#This Row],[AIRCRAFT]]/7</f>
        <v>2</v>
      </c>
    </row>
    <row r="397" spans="9:13" x14ac:dyDescent="0.25">
      <c r="I397" t="s">
        <v>18855</v>
      </c>
      <c r="J397">
        <v>601</v>
      </c>
      <c r="K397" t="s">
        <v>18566</v>
      </c>
      <c r="L397" s="17">
        <v>14</v>
      </c>
      <c r="M397">
        <f>Table23[[#This Row],[AIRCRAFT]]/7</f>
        <v>2</v>
      </c>
    </row>
    <row r="398" spans="9:13" x14ac:dyDescent="0.25">
      <c r="I398" t="s">
        <v>18855</v>
      </c>
      <c r="J398">
        <v>607</v>
      </c>
      <c r="K398" t="s">
        <v>18568</v>
      </c>
      <c r="L398" s="17">
        <v>14</v>
      </c>
      <c r="M398">
        <f>Table23[[#This Row],[AIRCRAFT]]/7</f>
        <v>2</v>
      </c>
    </row>
    <row r="399" spans="9:13" x14ac:dyDescent="0.25">
      <c r="I399" t="s">
        <v>18855</v>
      </c>
      <c r="J399">
        <v>616</v>
      </c>
      <c r="K399" t="s">
        <v>18571</v>
      </c>
      <c r="L399" s="17">
        <v>14</v>
      </c>
      <c r="M399">
        <f>Table23[[#This Row],[AIRCRAFT]]/7</f>
        <v>2</v>
      </c>
    </row>
    <row r="400" spans="9:13" x14ac:dyDescent="0.25">
      <c r="I400" t="s">
        <v>18855</v>
      </c>
      <c r="J400">
        <v>625</v>
      </c>
      <c r="K400" t="s">
        <v>18574</v>
      </c>
      <c r="L400" s="17">
        <v>14</v>
      </c>
      <c r="M400">
        <f>Table23[[#This Row],[AIRCRAFT]]/7</f>
        <v>2</v>
      </c>
    </row>
    <row r="401" spans="9:13" x14ac:dyDescent="0.25">
      <c r="I401" t="s">
        <v>18855</v>
      </c>
      <c r="J401">
        <v>628</v>
      </c>
      <c r="K401" t="s">
        <v>18575</v>
      </c>
      <c r="L401" s="17">
        <v>14</v>
      </c>
      <c r="M401">
        <f>Table23[[#This Row],[AIRCRAFT]]/7</f>
        <v>2</v>
      </c>
    </row>
    <row r="402" spans="9:13" x14ac:dyDescent="0.25">
      <c r="I402" t="s">
        <v>18855</v>
      </c>
      <c r="J402">
        <v>643</v>
      </c>
      <c r="K402" t="s">
        <v>18580</v>
      </c>
      <c r="L402" s="17">
        <v>14</v>
      </c>
      <c r="M402">
        <f>Table23[[#This Row],[AIRCRAFT]]/7</f>
        <v>2</v>
      </c>
    </row>
    <row r="403" spans="9:13" x14ac:dyDescent="0.25">
      <c r="I403" t="s">
        <v>18855</v>
      </c>
      <c r="J403">
        <v>670</v>
      </c>
      <c r="K403" t="s">
        <v>18589</v>
      </c>
      <c r="L403" s="17">
        <v>14</v>
      </c>
      <c r="M403">
        <f>Table23[[#This Row],[AIRCRAFT]]/7</f>
        <v>2</v>
      </c>
    </row>
    <row r="404" spans="9:13" x14ac:dyDescent="0.25">
      <c r="I404" t="s">
        <v>18855</v>
      </c>
      <c r="J404">
        <v>685</v>
      </c>
      <c r="K404" t="s">
        <v>18594</v>
      </c>
      <c r="L404" s="17">
        <v>14</v>
      </c>
      <c r="M404">
        <f>Table23[[#This Row],[AIRCRAFT]]/7</f>
        <v>2</v>
      </c>
    </row>
    <row r="405" spans="9:13" x14ac:dyDescent="0.25">
      <c r="I405" t="s">
        <v>18855</v>
      </c>
      <c r="J405">
        <v>688</v>
      </c>
      <c r="K405" t="s">
        <v>18595</v>
      </c>
      <c r="L405" s="17">
        <v>14</v>
      </c>
      <c r="M405">
        <f>Table23[[#This Row],[AIRCRAFT]]/7</f>
        <v>2</v>
      </c>
    </row>
    <row r="406" spans="9:13" x14ac:dyDescent="0.25">
      <c r="I406" t="s">
        <v>18855</v>
      </c>
      <c r="J406">
        <v>691</v>
      </c>
      <c r="K406" t="s">
        <v>18596</v>
      </c>
      <c r="L406" s="17">
        <v>14</v>
      </c>
      <c r="M406">
        <f>Table23[[#This Row],[AIRCRAFT]]/7</f>
        <v>2</v>
      </c>
    </row>
    <row r="407" spans="9:13" x14ac:dyDescent="0.25">
      <c r="I407" t="s">
        <v>18855</v>
      </c>
      <c r="J407">
        <v>721</v>
      </c>
      <c r="K407" t="s">
        <v>18606</v>
      </c>
      <c r="L407" s="17">
        <v>14</v>
      </c>
      <c r="M407">
        <f>Table23[[#This Row],[AIRCRAFT]]/7</f>
        <v>2</v>
      </c>
    </row>
    <row r="408" spans="9:13" x14ac:dyDescent="0.25">
      <c r="I408" t="s">
        <v>18855</v>
      </c>
      <c r="J408">
        <v>754</v>
      </c>
      <c r="K408" t="s">
        <v>18617</v>
      </c>
      <c r="L408" s="17">
        <v>14</v>
      </c>
      <c r="M408">
        <f>Table23[[#This Row],[AIRCRAFT]]/7</f>
        <v>2</v>
      </c>
    </row>
    <row r="409" spans="9:13" x14ac:dyDescent="0.25">
      <c r="I409" t="s">
        <v>18855</v>
      </c>
      <c r="J409">
        <v>772</v>
      </c>
      <c r="K409" t="s">
        <v>18623</v>
      </c>
      <c r="L409" s="17">
        <v>14</v>
      </c>
      <c r="M409">
        <f>Table23[[#This Row],[AIRCRAFT]]/7</f>
        <v>2</v>
      </c>
    </row>
    <row r="410" spans="9:13" x14ac:dyDescent="0.25">
      <c r="I410" t="s">
        <v>18855</v>
      </c>
      <c r="J410">
        <v>778</v>
      </c>
      <c r="K410" t="s">
        <v>18625</v>
      </c>
      <c r="L410" s="17">
        <v>14</v>
      </c>
      <c r="M410">
        <f>Table23[[#This Row],[AIRCRAFT]]/7</f>
        <v>2</v>
      </c>
    </row>
    <row r="411" spans="9:13" x14ac:dyDescent="0.25">
      <c r="I411" t="s">
        <v>18855</v>
      </c>
      <c r="J411">
        <v>784</v>
      </c>
      <c r="K411" t="s">
        <v>18627</v>
      </c>
      <c r="L411" s="17">
        <v>14</v>
      </c>
      <c r="M411">
        <f>Table23[[#This Row],[AIRCRAFT]]/7</f>
        <v>2</v>
      </c>
    </row>
    <row r="412" spans="9:13" x14ac:dyDescent="0.25">
      <c r="I412" t="s">
        <v>18855</v>
      </c>
      <c r="J412">
        <v>796</v>
      </c>
      <c r="K412" t="s">
        <v>18631</v>
      </c>
      <c r="L412" s="17">
        <v>14</v>
      </c>
      <c r="M412">
        <f>Table23[[#This Row],[AIRCRAFT]]/7</f>
        <v>2</v>
      </c>
    </row>
    <row r="413" spans="9:13" x14ac:dyDescent="0.25">
      <c r="I413" t="s">
        <v>18855</v>
      </c>
      <c r="J413">
        <v>805</v>
      </c>
      <c r="K413" t="s">
        <v>18634</v>
      </c>
      <c r="L413" s="17">
        <v>14</v>
      </c>
      <c r="M413">
        <f>Table23[[#This Row],[AIRCRAFT]]/7</f>
        <v>2</v>
      </c>
    </row>
    <row r="414" spans="9:13" x14ac:dyDescent="0.25">
      <c r="I414" t="s">
        <v>18855</v>
      </c>
      <c r="J414">
        <v>835</v>
      </c>
      <c r="K414" t="s">
        <v>18644</v>
      </c>
      <c r="L414" s="17">
        <v>14</v>
      </c>
      <c r="M414">
        <f>Table23[[#This Row],[AIRCRAFT]]/7</f>
        <v>2</v>
      </c>
    </row>
    <row r="415" spans="9:13" x14ac:dyDescent="0.25">
      <c r="I415" t="s">
        <v>18855</v>
      </c>
      <c r="J415">
        <v>844</v>
      </c>
      <c r="K415" t="s">
        <v>18647</v>
      </c>
      <c r="L415" s="17">
        <v>14</v>
      </c>
      <c r="M415">
        <f>Table23[[#This Row],[AIRCRAFT]]/7</f>
        <v>2</v>
      </c>
    </row>
    <row r="416" spans="9:13" x14ac:dyDescent="0.25">
      <c r="I416" t="s">
        <v>18855</v>
      </c>
      <c r="J416">
        <v>853</v>
      </c>
      <c r="K416" t="s">
        <v>18650</v>
      </c>
      <c r="L416" s="17">
        <v>14</v>
      </c>
      <c r="M416">
        <f>Table23[[#This Row],[AIRCRAFT]]/7</f>
        <v>2</v>
      </c>
    </row>
    <row r="417" spans="9:13" x14ac:dyDescent="0.25">
      <c r="I417" t="s">
        <v>18855</v>
      </c>
      <c r="J417">
        <v>862</v>
      </c>
      <c r="K417" t="s">
        <v>18653</v>
      </c>
      <c r="L417" s="17">
        <v>14</v>
      </c>
      <c r="M417">
        <f>Table23[[#This Row],[AIRCRAFT]]/7</f>
        <v>2</v>
      </c>
    </row>
    <row r="418" spans="9:13" x14ac:dyDescent="0.25">
      <c r="I418" t="s">
        <v>18855</v>
      </c>
      <c r="J418">
        <v>868</v>
      </c>
      <c r="K418" t="s">
        <v>18655</v>
      </c>
      <c r="L418" s="17">
        <v>14</v>
      </c>
      <c r="M418">
        <f>Table23[[#This Row],[AIRCRAFT]]/7</f>
        <v>2</v>
      </c>
    </row>
    <row r="419" spans="9:13" x14ac:dyDescent="0.25">
      <c r="I419" t="s">
        <v>18855</v>
      </c>
      <c r="J419">
        <v>874</v>
      </c>
      <c r="K419" t="s">
        <v>18657</v>
      </c>
      <c r="L419" s="17">
        <v>14</v>
      </c>
      <c r="M419">
        <f>Table23[[#This Row],[AIRCRAFT]]/7</f>
        <v>2</v>
      </c>
    </row>
    <row r="420" spans="9:13" x14ac:dyDescent="0.25">
      <c r="I420" t="s">
        <v>18855</v>
      </c>
      <c r="J420">
        <v>877</v>
      </c>
      <c r="K420" t="s">
        <v>18658</v>
      </c>
      <c r="L420" s="17">
        <v>14</v>
      </c>
      <c r="M420">
        <f>Table23[[#This Row],[AIRCRAFT]]/7</f>
        <v>2</v>
      </c>
    </row>
    <row r="421" spans="9:13" x14ac:dyDescent="0.25">
      <c r="I421" t="s">
        <v>18855</v>
      </c>
      <c r="J421">
        <v>895</v>
      </c>
      <c r="K421" t="s">
        <v>18664</v>
      </c>
      <c r="L421" s="17">
        <v>14</v>
      </c>
      <c r="M421">
        <f>Table23[[#This Row],[AIRCRAFT]]/7</f>
        <v>2</v>
      </c>
    </row>
    <row r="422" spans="9:13" x14ac:dyDescent="0.25">
      <c r="I422" t="s">
        <v>18855</v>
      </c>
      <c r="J422">
        <v>904</v>
      </c>
      <c r="K422" t="s">
        <v>18667</v>
      </c>
      <c r="L422" s="17">
        <v>14</v>
      </c>
      <c r="M422">
        <f>Table23[[#This Row],[AIRCRAFT]]/7</f>
        <v>2</v>
      </c>
    </row>
    <row r="423" spans="9:13" x14ac:dyDescent="0.25">
      <c r="I423" t="s">
        <v>18855</v>
      </c>
      <c r="J423">
        <v>919</v>
      </c>
      <c r="K423" t="s">
        <v>18672</v>
      </c>
      <c r="L423" s="17">
        <v>14</v>
      </c>
      <c r="M423">
        <f>Table23[[#This Row],[AIRCRAFT]]/7</f>
        <v>2</v>
      </c>
    </row>
    <row r="424" spans="9:13" x14ac:dyDescent="0.25">
      <c r="I424" t="s">
        <v>18855</v>
      </c>
      <c r="J424">
        <v>928</v>
      </c>
      <c r="K424" t="s">
        <v>18675</v>
      </c>
      <c r="L424" s="17">
        <v>14</v>
      </c>
      <c r="M424">
        <f>Table23[[#This Row],[AIRCRAFT]]/7</f>
        <v>2</v>
      </c>
    </row>
    <row r="425" spans="9:13" x14ac:dyDescent="0.25">
      <c r="I425" t="s">
        <v>18855</v>
      </c>
      <c r="J425">
        <v>958</v>
      </c>
      <c r="K425" t="s">
        <v>18685</v>
      </c>
      <c r="L425" s="17">
        <v>14</v>
      </c>
      <c r="M425">
        <f>Table23[[#This Row],[AIRCRAFT]]/7</f>
        <v>2</v>
      </c>
    </row>
    <row r="426" spans="9:13" x14ac:dyDescent="0.25">
      <c r="I426" t="s">
        <v>18855</v>
      </c>
      <c r="J426">
        <v>964</v>
      </c>
      <c r="K426" t="s">
        <v>18687</v>
      </c>
      <c r="L426" s="17">
        <v>14</v>
      </c>
      <c r="M426">
        <f>Table23[[#This Row],[AIRCRAFT]]/7</f>
        <v>2</v>
      </c>
    </row>
    <row r="427" spans="9:13" x14ac:dyDescent="0.25">
      <c r="I427" t="s">
        <v>18855</v>
      </c>
      <c r="J427">
        <v>967</v>
      </c>
      <c r="K427" t="s">
        <v>18688</v>
      </c>
      <c r="L427" s="17">
        <v>14</v>
      </c>
      <c r="M427">
        <f>Table23[[#This Row],[AIRCRAFT]]/7</f>
        <v>2</v>
      </c>
    </row>
    <row r="428" spans="9:13" x14ac:dyDescent="0.25">
      <c r="I428" t="s">
        <v>18855</v>
      </c>
      <c r="J428">
        <v>970</v>
      </c>
      <c r="K428" t="s">
        <v>18689</v>
      </c>
      <c r="L428" s="17">
        <v>14</v>
      </c>
      <c r="M428">
        <f>Table23[[#This Row],[AIRCRAFT]]/7</f>
        <v>2</v>
      </c>
    </row>
    <row r="429" spans="9:13" x14ac:dyDescent="0.25">
      <c r="I429" t="s">
        <v>18855</v>
      </c>
      <c r="J429">
        <v>1006</v>
      </c>
      <c r="K429" t="s">
        <v>18701</v>
      </c>
      <c r="L429" s="17">
        <v>14</v>
      </c>
      <c r="M429">
        <f>Table23[[#This Row],[AIRCRAFT]]/7</f>
        <v>2</v>
      </c>
    </row>
    <row r="430" spans="9:13" x14ac:dyDescent="0.25">
      <c r="I430" t="s">
        <v>18855</v>
      </c>
      <c r="J430">
        <v>1015</v>
      </c>
      <c r="K430" t="s">
        <v>18704</v>
      </c>
      <c r="L430" s="17">
        <v>14</v>
      </c>
      <c r="M430">
        <f>Table23[[#This Row],[AIRCRAFT]]/7</f>
        <v>2</v>
      </c>
    </row>
    <row r="431" spans="9:13" x14ac:dyDescent="0.25">
      <c r="I431" t="s">
        <v>18855</v>
      </c>
      <c r="J431">
        <v>1039</v>
      </c>
      <c r="K431" t="s">
        <v>18712</v>
      </c>
      <c r="L431" s="17">
        <v>14</v>
      </c>
      <c r="M431">
        <f>Table23[[#This Row],[AIRCRAFT]]/7</f>
        <v>2</v>
      </c>
    </row>
    <row r="432" spans="9:13" x14ac:dyDescent="0.25">
      <c r="I432" t="s">
        <v>18855</v>
      </c>
      <c r="J432">
        <v>1051</v>
      </c>
      <c r="K432" t="s">
        <v>18716</v>
      </c>
      <c r="L432" s="17">
        <v>14</v>
      </c>
      <c r="M432">
        <f>Table23[[#This Row],[AIRCRAFT]]/7</f>
        <v>2</v>
      </c>
    </row>
    <row r="433" spans="9:13" x14ac:dyDescent="0.25">
      <c r="I433" t="s">
        <v>18855</v>
      </c>
      <c r="J433">
        <v>1057</v>
      </c>
      <c r="K433" t="s">
        <v>18718</v>
      </c>
      <c r="L433" s="17">
        <v>14</v>
      </c>
      <c r="M433">
        <f>Table23[[#This Row],[AIRCRAFT]]/7</f>
        <v>2</v>
      </c>
    </row>
    <row r="434" spans="9:13" x14ac:dyDescent="0.25">
      <c r="I434" t="s">
        <v>18855</v>
      </c>
      <c r="J434">
        <v>1060</v>
      </c>
      <c r="K434" t="s">
        <v>18719</v>
      </c>
      <c r="L434" s="17">
        <v>14</v>
      </c>
      <c r="M434">
        <f>Table23[[#This Row],[AIRCRAFT]]/7</f>
        <v>2</v>
      </c>
    </row>
    <row r="435" spans="9:13" x14ac:dyDescent="0.25">
      <c r="I435" t="s">
        <v>18855</v>
      </c>
      <c r="J435">
        <v>1063</v>
      </c>
      <c r="K435" t="s">
        <v>18720</v>
      </c>
      <c r="L435" s="17">
        <v>14</v>
      </c>
      <c r="M435">
        <f>Table23[[#This Row],[AIRCRAFT]]/7</f>
        <v>2</v>
      </c>
    </row>
    <row r="436" spans="9:13" x14ac:dyDescent="0.25">
      <c r="I436" t="s">
        <v>18855</v>
      </c>
      <c r="J436">
        <v>1072</v>
      </c>
      <c r="K436" t="s">
        <v>18723</v>
      </c>
      <c r="L436" s="17">
        <v>14</v>
      </c>
      <c r="M436">
        <f>Table23[[#This Row],[AIRCRAFT]]/7</f>
        <v>2</v>
      </c>
    </row>
    <row r="437" spans="9:13" x14ac:dyDescent="0.25">
      <c r="I437" t="s">
        <v>18855</v>
      </c>
      <c r="J437">
        <v>1078</v>
      </c>
      <c r="K437" t="s">
        <v>18725</v>
      </c>
      <c r="L437" s="17">
        <v>14</v>
      </c>
      <c r="M437">
        <f>Table23[[#This Row],[AIRCRAFT]]/7</f>
        <v>2</v>
      </c>
    </row>
    <row r="438" spans="9:13" x14ac:dyDescent="0.25">
      <c r="I438" t="s">
        <v>18855</v>
      </c>
      <c r="J438">
        <v>1081</v>
      </c>
      <c r="K438" t="s">
        <v>18726</v>
      </c>
      <c r="L438" s="17">
        <v>14</v>
      </c>
      <c r="M438">
        <f>Table23[[#This Row],[AIRCRAFT]]/7</f>
        <v>2</v>
      </c>
    </row>
    <row r="439" spans="9:13" x14ac:dyDescent="0.25">
      <c r="I439" t="s">
        <v>18855</v>
      </c>
      <c r="J439">
        <v>1102</v>
      </c>
      <c r="K439" t="s">
        <v>18733</v>
      </c>
      <c r="L439" s="17">
        <v>14</v>
      </c>
      <c r="M439">
        <f>Table23[[#This Row],[AIRCRAFT]]/7</f>
        <v>2</v>
      </c>
    </row>
    <row r="440" spans="9:13" x14ac:dyDescent="0.25">
      <c r="I440" t="s">
        <v>18855</v>
      </c>
      <c r="J440">
        <v>1105</v>
      </c>
      <c r="K440" t="s">
        <v>18734</v>
      </c>
      <c r="L440" s="17">
        <v>14</v>
      </c>
      <c r="M440">
        <f>Table23[[#This Row],[AIRCRAFT]]/7</f>
        <v>2</v>
      </c>
    </row>
    <row r="441" spans="9:13" x14ac:dyDescent="0.25">
      <c r="I441" t="s">
        <v>18855</v>
      </c>
      <c r="J441">
        <v>1108</v>
      </c>
      <c r="K441" t="s">
        <v>18735</v>
      </c>
      <c r="L441" s="17">
        <v>14</v>
      </c>
      <c r="M441">
        <f>Table23[[#This Row],[AIRCRAFT]]/7</f>
        <v>2</v>
      </c>
    </row>
    <row r="442" spans="9:13" x14ac:dyDescent="0.25">
      <c r="I442" t="s">
        <v>18855</v>
      </c>
      <c r="J442">
        <v>1114</v>
      </c>
      <c r="K442" t="s">
        <v>18737</v>
      </c>
      <c r="L442" s="17">
        <v>14</v>
      </c>
      <c r="M442">
        <f>Table23[[#This Row],[AIRCRAFT]]/7</f>
        <v>2</v>
      </c>
    </row>
    <row r="443" spans="9:13" x14ac:dyDescent="0.25">
      <c r="I443" t="s">
        <v>18855</v>
      </c>
      <c r="J443">
        <v>1117</v>
      </c>
      <c r="K443" t="s">
        <v>18738</v>
      </c>
      <c r="L443" s="17">
        <v>14</v>
      </c>
      <c r="M443">
        <f>Table23[[#This Row],[AIRCRAFT]]/7</f>
        <v>2</v>
      </c>
    </row>
    <row r="444" spans="9:13" x14ac:dyDescent="0.25">
      <c r="I444" t="s">
        <v>18855</v>
      </c>
      <c r="J444">
        <v>1123</v>
      </c>
      <c r="K444" t="s">
        <v>18740</v>
      </c>
      <c r="L444" s="17">
        <v>14</v>
      </c>
      <c r="M444">
        <f>Table23[[#This Row],[AIRCRAFT]]/7</f>
        <v>2</v>
      </c>
    </row>
    <row r="445" spans="9:13" x14ac:dyDescent="0.25">
      <c r="I445" t="s">
        <v>18855</v>
      </c>
      <c r="J445">
        <v>1132</v>
      </c>
      <c r="K445" t="s">
        <v>18743</v>
      </c>
      <c r="L445" s="17">
        <v>14</v>
      </c>
      <c r="M445">
        <f>Table23[[#This Row],[AIRCRAFT]]/7</f>
        <v>2</v>
      </c>
    </row>
    <row r="446" spans="9:13" x14ac:dyDescent="0.25">
      <c r="I446" t="s">
        <v>18855</v>
      </c>
      <c r="J446">
        <v>1141</v>
      </c>
      <c r="K446" t="s">
        <v>18746</v>
      </c>
      <c r="L446" s="17">
        <v>14</v>
      </c>
      <c r="M446">
        <f>Table23[[#This Row],[AIRCRAFT]]/7</f>
        <v>2</v>
      </c>
    </row>
    <row r="447" spans="9:13" x14ac:dyDescent="0.25">
      <c r="I447" t="s">
        <v>18855</v>
      </c>
      <c r="J447">
        <v>1153</v>
      </c>
      <c r="K447" t="s">
        <v>18750</v>
      </c>
      <c r="L447" s="17">
        <v>14</v>
      </c>
      <c r="M447">
        <f>Table23[[#This Row],[AIRCRAFT]]/7</f>
        <v>2</v>
      </c>
    </row>
    <row r="448" spans="9:13" x14ac:dyDescent="0.25">
      <c r="I448" t="s">
        <v>18855</v>
      </c>
      <c r="J448">
        <v>1174</v>
      </c>
      <c r="K448" t="s">
        <v>18757</v>
      </c>
      <c r="L448" s="17">
        <v>14</v>
      </c>
      <c r="M448">
        <f>Table23[[#This Row],[AIRCRAFT]]/7</f>
        <v>2</v>
      </c>
    </row>
    <row r="449" spans="9:13" x14ac:dyDescent="0.25">
      <c r="I449" t="s">
        <v>18855</v>
      </c>
      <c r="J449">
        <v>1177</v>
      </c>
      <c r="K449" t="s">
        <v>18758</v>
      </c>
      <c r="L449" s="17">
        <v>14</v>
      </c>
      <c r="M449">
        <f>Table23[[#This Row],[AIRCRAFT]]/7</f>
        <v>2</v>
      </c>
    </row>
    <row r="450" spans="9:13" x14ac:dyDescent="0.25">
      <c r="I450" t="s">
        <v>18855</v>
      </c>
      <c r="J450">
        <v>1180</v>
      </c>
      <c r="K450" t="s">
        <v>18759</v>
      </c>
      <c r="L450" s="17">
        <v>14</v>
      </c>
      <c r="M450">
        <f>Table23[[#This Row],[AIRCRAFT]]/7</f>
        <v>2</v>
      </c>
    </row>
    <row r="451" spans="9:13" x14ac:dyDescent="0.25">
      <c r="I451" t="s">
        <v>18855</v>
      </c>
      <c r="J451">
        <v>1189</v>
      </c>
      <c r="K451" t="s">
        <v>18762</v>
      </c>
      <c r="L451" s="17">
        <v>14</v>
      </c>
      <c r="M451">
        <f>Table23[[#This Row],[AIRCRAFT]]/7</f>
        <v>2</v>
      </c>
    </row>
    <row r="452" spans="9:13" x14ac:dyDescent="0.25">
      <c r="I452" t="s">
        <v>18855</v>
      </c>
      <c r="J452">
        <v>1198</v>
      </c>
      <c r="K452" t="s">
        <v>18765</v>
      </c>
      <c r="L452" s="17">
        <v>14</v>
      </c>
      <c r="M452">
        <f>Table23[[#This Row],[AIRCRAFT]]/7</f>
        <v>2</v>
      </c>
    </row>
    <row r="453" spans="9:13" x14ac:dyDescent="0.25">
      <c r="I453" t="s">
        <v>18855</v>
      </c>
      <c r="J453">
        <v>1228</v>
      </c>
      <c r="K453" t="s">
        <v>18775</v>
      </c>
      <c r="L453" s="17">
        <v>14</v>
      </c>
      <c r="M453">
        <f>Table23[[#This Row],[AIRCRAFT]]/7</f>
        <v>2</v>
      </c>
    </row>
    <row r="454" spans="9:13" x14ac:dyDescent="0.25">
      <c r="I454" t="s">
        <v>18855</v>
      </c>
      <c r="J454">
        <v>1237</v>
      </c>
      <c r="K454" t="s">
        <v>18778</v>
      </c>
      <c r="L454" s="17">
        <v>14</v>
      </c>
      <c r="M454">
        <f>Table23[[#This Row],[AIRCRAFT]]/7</f>
        <v>2</v>
      </c>
    </row>
    <row r="455" spans="9:13" x14ac:dyDescent="0.25">
      <c r="I455" t="s">
        <v>18855</v>
      </c>
      <c r="J455">
        <v>1255</v>
      </c>
      <c r="K455" t="s">
        <v>18784</v>
      </c>
      <c r="L455" s="17">
        <v>14</v>
      </c>
      <c r="M455">
        <f>Table23[[#This Row],[AIRCRAFT]]/7</f>
        <v>2</v>
      </c>
    </row>
    <row r="456" spans="9:13" x14ac:dyDescent="0.25">
      <c r="I456" t="s">
        <v>18855</v>
      </c>
      <c r="J456">
        <v>1258</v>
      </c>
      <c r="K456" t="s">
        <v>18785</v>
      </c>
      <c r="L456" s="17">
        <v>14</v>
      </c>
      <c r="M456">
        <f>Table23[[#This Row],[AIRCRAFT]]/7</f>
        <v>2</v>
      </c>
    </row>
    <row r="457" spans="9:13" x14ac:dyDescent="0.25">
      <c r="I457" t="s">
        <v>18855</v>
      </c>
      <c r="J457">
        <v>1264</v>
      </c>
      <c r="K457" t="s">
        <v>18787</v>
      </c>
      <c r="L457" s="17">
        <v>14</v>
      </c>
      <c r="M457">
        <f>Table23[[#This Row],[AIRCRAFT]]/7</f>
        <v>2</v>
      </c>
    </row>
    <row r="458" spans="9:13" x14ac:dyDescent="0.25">
      <c r="I458" t="s">
        <v>18855</v>
      </c>
      <c r="J458">
        <v>1270</v>
      </c>
      <c r="K458" t="s">
        <v>18789</v>
      </c>
      <c r="L458" s="17">
        <v>14</v>
      </c>
      <c r="M458">
        <f>Table23[[#This Row],[AIRCRAFT]]/7</f>
        <v>2</v>
      </c>
    </row>
    <row r="459" spans="9:13" x14ac:dyDescent="0.25">
      <c r="I459" t="s">
        <v>18855</v>
      </c>
      <c r="J459">
        <v>1279</v>
      </c>
      <c r="K459" t="s">
        <v>18792</v>
      </c>
      <c r="L459" s="17">
        <v>14</v>
      </c>
      <c r="M459">
        <f>Table23[[#This Row],[AIRCRAFT]]/7</f>
        <v>2</v>
      </c>
    </row>
    <row r="460" spans="9:13" x14ac:dyDescent="0.25">
      <c r="I460" t="s">
        <v>18855</v>
      </c>
      <c r="J460">
        <v>1282</v>
      </c>
      <c r="K460" t="s">
        <v>18793</v>
      </c>
      <c r="L460" s="17">
        <v>14</v>
      </c>
      <c r="M460">
        <f>Table23[[#This Row],[AIRCRAFT]]/7</f>
        <v>2</v>
      </c>
    </row>
    <row r="461" spans="9:13" x14ac:dyDescent="0.25">
      <c r="I461" t="s">
        <v>18855</v>
      </c>
      <c r="J461">
        <v>1288</v>
      </c>
      <c r="K461" t="s">
        <v>18795</v>
      </c>
      <c r="L461" s="17">
        <v>14</v>
      </c>
      <c r="M461">
        <f>Table23[[#This Row],[AIRCRAFT]]/7</f>
        <v>2</v>
      </c>
    </row>
    <row r="462" spans="9:13" x14ac:dyDescent="0.25">
      <c r="I462" t="s">
        <v>18855</v>
      </c>
      <c r="J462">
        <v>1291</v>
      </c>
      <c r="K462" t="s">
        <v>18796</v>
      </c>
      <c r="L462" s="17">
        <v>14</v>
      </c>
      <c r="M462">
        <f>Table23[[#This Row],[AIRCRAFT]]/7</f>
        <v>2</v>
      </c>
    </row>
    <row r="463" spans="9:13" x14ac:dyDescent="0.25">
      <c r="I463" t="s">
        <v>18855</v>
      </c>
      <c r="J463">
        <v>1297</v>
      </c>
      <c r="K463" t="s">
        <v>18798</v>
      </c>
      <c r="L463" s="17">
        <v>14</v>
      </c>
      <c r="M463">
        <f>Table23[[#This Row],[AIRCRAFT]]/7</f>
        <v>2</v>
      </c>
    </row>
    <row r="464" spans="9:13" x14ac:dyDescent="0.25">
      <c r="I464" t="s">
        <v>18855</v>
      </c>
      <c r="J464">
        <v>1300</v>
      </c>
      <c r="K464" t="s">
        <v>18799</v>
      </c>
      <c r="L464" s="17">
        <v>14</v>
      </c>
      <c r="M464">
        <f>Table23[[#This Row],[AIRCRAFT]]/7</f>
        <v>2</v>
      </c>
    </row>
    <row r="465" spans="9:13" x14ac:dyDescent="0.25">
      <c r="I465" t="s">
        <v>18855</v>
      </c>
      <c r="J465">
        <v>1321</v>
      </c>
      <c r="K465" t="s">
        <v>18806</v>
      </c>
      <c r="L465" s="17">
        <v>14</v>
      </c>
      <c r="M465">
        <f>Table23[[#This Row],[AIRCRAFT]]/7</f>
        <v>2</v>
      </c>
    </row>
    <row r="466" spans="9:13" x14ac:dyDescent="0.25">
      <c r="I466" t="s">
        <v>18855</v>
      </c>
      <c r="J466">
        <v>1327</v>
      </c>
      <c r="K466" t="s">
        <v>18808</v>
      </c>
      <c r="L466" s="17">
        <v>14</v>
      </c>
      <c r="M466">
        <f>Table23[[#This Row],[AIRCRAFT]]/7</f>
        <v>2</v>
      </c>
    </row>
    <row r="467" spans="9:13" x14ac:dyDescent="0.25">
      <c r="I467" t="s">
        <v>18855</v>
      </c>
      <c r="J467">
        <v>1354</v>
      </c>
      <c r="K467" t="s">
        <v>18817</v>
      </c>
      <c r="L467" s="17">
        <v>14</v>
      </c>
      <c r="M467">
        <f>Table23[[#This Row],[AIRCRAFT]]/7</f>
        <v>2</v>
      </c>
    </row>
    <row r="468" spans="9:13" x14ac:dyDescent="0.25">
      <c r="I468" t="s">
        <v>18855</v>
      </c>
      <c r="J468">
        <v>1375</v>
      </c>
      <c r="K468" t="s">
        <v>18824</v>
      </c>
      <c r="L468" s="17">
        <v>14</v>
      </c>
      <c r="M468">
        <f>Table23[[#This Row],[AIRCRAFT]]/7</f>
        <v>2</v>
      </c>
    </row>
    <row r="469" spans="9:13" x14ac:dyDescent="0.25">
      <c r="I469" t="s">
        <v>18855</v>
      </c>
      <c r="J469">
        <v>1381</v>
      </c>
      <c r="K469" t="s">
        <v>18826</v>
      </c>
      <c r="L469" s="17">
        <v>14</v>
      </c>
      <c r="M469">
        <f>Table23[[#This Row],[AIRCRAFT]]/7</f>
        <v>2</v>
      </c>
    </row>
    <row r="470" spans="9:13" x14ac:dyDescent="0.25">
      <c r="I470" t="s">
        <v>18855</v>
      </c>
      <c r="J470">
        <v>1414</v>
      </c>
      <c r="K470" t="s">
        <v>18837</v>
      </c>
      <c r="L470" s="17">
        <v>14</v>
      </c>
      <c r="M470">
        <f>Table23[[#This Row],[AIRCRAFT]]/7</f>
        <v>2</v>
      </c>
    </row>
    <row r="471" spans="9:13" x14ac:dyDescent="0.25">
      <c r="I471" t="s">
        <v>18855</v>
      </c>
      <c r="J471">
        <v>1426</v>
      </c>
      <c r="K471" t="s">
        <v>18841</v>
      </c>
      <c r="L471" s="17">
        <v>14</v>
      </c>
      <c r="M471">
        <f>Table23[[#This Row],[AIRCRAFT]]/7</f>
        <v>2</v>
      </c>
    </row>
    <row r="472" spans="9:13" x14ac:dyDescent="0.25">
      <c r="I472" t="s">
        <v>18855</v>
      </c>
      <c r="J472">
        <v>1432</v>
      </c>
      <c r="K472" t="s">
        <v>18843</v>
      </c>
      <c r="L472" s="17">
        <v>14</v>
      </c>
      <c r="M472">
        <f>Table23[[#This Row],[AIRCRAFT]]/7</f>
        <v>2</v>
      </c>
    </row>
    <row r="473" spans="9:13" x14ac:dyDescent="0.25">
      <c r="I473" t="s">
        <v>18855</v>
      </c>
      <c r="J473">
        <v>1447</v>
      </c>
      <c r="K473" t="s">
        <v>18848</v>
      </c>
      <c r="L473" s="17">
        <v>14</v>
      </c>
      <c r="M473">
        <f>Table23[[#This Row],[AIRCRAFT]]/7</f>
        <v>2</v>
      </c>
    </row>
    <row r="474" spans="9:13" x14ac:dyDescent="0.25">
      <c r="I474" t="s">
        <v>18855</v>
      </c>
      <c r="J474">
        <v>1453</v>
      </c>
      <c r="K474" t="s">
        <v>18850</v>
      </c>
      <c r="L474" s="17">
        <v>14</v>
      </c>
      <c r="M474">
        <f>Table23[[#This Row],[AIRCRAFT]]/7</f>
        <v>2</v>
      </c>
    </row>
    <row r="475" spans="9:13" x14ac:dyDescent="0.25">
      <c r="I475" t="s">
        <v>18855</v>
      </c>
      <c r="J475">
        <v>46</v>
      </c>
      <c r="K475" t="s">
        <v>18381</v>
      </c>
      <c r="L475" s="17">
        <v>7</v>
      </c>
      <c r="M475">
        <f>Table23[[#This Row],[AIRCRAFT]]/7</f>
        <v>1</v>
      </c>
    </row>
    <row r="476" spans="9:13" x14ac:dyDescent="0.25">
      <c r="I476" t="s">
        <v>18855</v>
      </c>
      <c r="J476">
        <v>115</v>
      </c>
      <c r="K476" t="s">
        <v>18404</v>
      </c>
      <c r="L476" s="17">
        <v>7</v>
      </c>
      <c r="M476">
        <f>Table23[[#This Row],[AIRCRAFT]]/7</f>
        <v>1</v>
      </c>
    </row>
    <row r="477" spans="9:13" x14ac:dyDescent="0.25">
      <c r="I477" t="s">
        <v>18855</v>
      </c>
      <c r="J477">
        <v>154</v>
      </c>
      <c r="K477" t="s">
        <v>18417</v>
      </c>
      <c r="L477" s="17">
        <v>7</v>
      </c>
      <c r="M477">
        <f>Table23[[#This Row],[AIRCRAFT]]/7</f>
        <v>1</v>
      </c>
    </row>
    <row r="478" spans="9:13" x14ac:dyDescent="0.25">
      <c r="I478" t="s">
        <v>18855</v>
      </c>
      <c r="J478">
        <v>217</v>
      </c>
      <c r="K478" t="s">
        <v>18438</v>
      </c>
      <c r="L478" s="17">
        <v>7</v>
      </c>
      <c r="M478">
        <f>Table23[[#This Row],[AIRCRAFT]]/7</f>
        <v>1</v>
      </c>
    </row>
    <row r="479" spans="9:13" x14ac:dyDescent="0.25">
      <c r="I479" t="s">
        <v>18855</v>
      </c>
      <c r="J479">
        <v>286</v>
      </c>
      <c r="K479" t="s">
        <v>18461</v>
      </c>
      <c r="L479" s="17">
        <v>7</v>
      </c>
      <c r="M479">
        <f>Table23[[#This Row],[AIRCRAFT]]/7</f>
        <v>1</v>
      </c>
    </row>
    <row r="480" spans="9:13" x14ac:dyDescent="0.25">
      <c r="I480" t="s">
        <v>18855</v>
      </c>
      <c r="J480">
        <v>412</v>
      </c>
      <c r="K480" t="s">
        <v>18503</v>
      </c>
      <c r="L480" s="17">
        <v>7</v>
      </c>
      <c r="M480">
        <f>Table23[[#This Row],[AIRCRAFT]]/7</f>
        <v>1</v>
      </c>
    </row>
    <row r="481" spans="9:13" x14ac:dyDescent="0.25">
      <c r="I481" t="s">
        <v>18855</v>
      </c>
      <c r="J481">
        <v>430</v>
      </c>
      <c r="K481" t="s">
        <v>18509</v>
      </c>
      <c r="L481" s="17">
        <v>7</v>
      </c>
      <c r="M481">
        <f>Table23[[#This Row],[AIRCRAFT]]/7</f>
        <v>1</v>
      </c>
    </row>
    <row r="482" spans="9:13" x14ac:dyDescent="0.25">
      <c r="I482" t="s">
        <v>18855</v>
      </c>
      <c r="J482">
        <v>631</v>
      </c>
      <c r="K482" t="s">
        <v>18576</v>
      </c>
      <c r="L482" s="17">
        <v>7</v>
      </c>
      <c r="M482">
        <f>Table23[[#This Row],[AIRCRAFT]]/7</f>
        <v>1</v>
      </c>
    </row>
    <row r="483" spans="9:13" x14ac:dyDescent="0.25">
      <c r="I483" t="s">
        <v>18855</v>
      </c>
      <c r="J483">
        <v>649</v>
      </c>
      <c r="K483" t="s">
        <v>18582</v>
      </c>
      <c r="L483" s="17">
        <v>7</v>
      </c>
      <c r="M483">
        <f>Table23[[#This Row],[AIRCRAFT]]/7</f>
        <v>1</v>
      </c>
    </row>
    <row r="484" spans="9:13" x14ac:dyDescent="0.25">
      <c r="I484" t="s">
        <v>18855</v>
      </c>
      <c r="J484">
        <v>838</v>
      </c>
      <c r="K484" t="s">
        <v>18645</v>
      </c>
      <c r="L484" s="17">
        <v>7</v>
      </c>
      <c r="M484">
        <f>Table23[[#This Row],[AIRCRAFT]]/7</f>
        <v>1</v>
      </c>
    </row>
    <row r="485" spans="9:13" x14ac:dyDescent="0.25">
      <c r="I485" t="s">
        <v>18855</v>
      </c>
      <c r="J485">
        <v>883</v>
      </c>
      <c r="K485" t="s">
        <v>18660</v>
      </c>
      <c r="L485" s="17">
        <v>7</v>
      </c>
      <c r="M485">
        <f>Table23[[#This Row],[AIRCRAFT]]/7</f>
        <v>1</v>
      </c>
    </row>
    <row r="486" spans="9:13" x14ac:dyDescent="0.25">
      <c r="I486" t="s">
        <v>18855</v>
      </c>
      <c r="J486">
        <v>1009</v>
      </c>
      <c r="K486" t="s">
        <v>18702</v>
      </c>
      <c r="L486" s="17">
        <v>7</v>
      </c>
      <c r="M486">
        <f>Table23[[#This Row],[AIRCRAFT]]/7</f>
        <v>1</v>
      </c>
    </row>
    <row r="487" spans="9:13" x14ac:dyDescent="0.25">
      <c r="I487" t="s">
        <v>18855</v>
      </c>
      <c r="J487">
        <v>1045</v>
      </c>
      <c r="K487" t="s">
        <v>18714</v>
      </c>
      <c r="L487" s="17">
        <v>7</v>
      </c>
      <c r="M487">
        <f>Table23[[#This Row],[AIRCRAFT]]/7</f>
        <v>1</v>
      </c>
    </row>
    <row r="488" spans="9:13" x14ac:dyDescent="0.25">
      <c r="I488" t="s">
        <v>18855</v>
      </c>
      <c r="J488">
        <v>1054</v>
      </c>
      <c r="K488" t="s">
        <v>18717</v>
      </c>
      <c r="L488" s="17">
        <v>7</v>
      </c>
      <c r="M488">
        <f>Table23[[#This Row],[AIRCRAFT]]/7</f>
        <v>1</v>
      </c>
    </row>
    <row r="489" spans="9:13" x14ac:dyDescent="0.25">
      <c r="I489" t="s">
        <v>18855</v>
      </c>
      <c r="J489">
        <v>1231</v>
      </c>
      <c r="K489" t="s">
        <v>18776</v>
      </c>
      <c r="L489" s="17">
        <v>7</v>
      </c>
      <c r="M489">
        <f>Table23[[#This Row],[AIRCRAFT]]/7</f>
        <v>1</v>
      </c>
    </row>
    <row r="490" spans="9:13" x14ac:dyDescent="0.25">
      <c r="I490" t="s">
        <v>18855</v>
      </c>
      <c r="J490">
        <v>1387</v>
      </c>
      <c r="K490" t="s">
        <v>18828</v>
      </c>
      <c r="L490" s="17">
        <v>7</v>
      </c>
      <c r="M490">
        <f>Table23[[#This Row],[AIRCRAFT]]/7</f>
        <v>1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35B5-5A3D-4EA4-80C3-AAB510388757}">
  <sheetPr>
    <tabColor theme="4"/>
  </sheetPr>
  <dimension ref="A1:AY817"/>
  <sheetViews>
    <sheetView zoomScale="70" zoomScaleNormal="70" workbookViewId="0">
      <selection activeCell="S25" sqref="S25"/>
    </sheetView>
  </sheetViews>
  <sheetFormatPr defaultRowHeight="15" x14ac:dyDescent="0.25"/>
  <cols>
    <col min="1" max="1" width="16.28515625" style="16" bestFit="1" customWidth="1"/>
    <col min="2" max="2" width="10" style="16" bestFit="1" customWidth="1"/>
    <col min="3" max="3" width="12.28515625" style="16" bestFit="1" customWidth="1"/>
    <col min="4" max="4" width="11" style="16" bestFit="1" customWidth="1"/>
    <col min="5" max="5" width="17.5703125" style="16" customWidth="1"/>
    <col min="6" max="6" width="10.5703125" style="16" customWidth="1"/>
    <col min="7" max="7" width="22.140625" style="16" customWidth="1"/>
    <col min="8" max="8" width="13.140625" style="181" bestFit="1" customWidth="1"/>
    <col min="9" max="9" width="13.28515625" style="16" bestFit="1" customWidth="1"/>
    <col min="10" max="10" width="22.140625" style="316" customWidth="1"/>
    <col min="11" max="11" width="14.7109375" style="316" bestFit="1" customWidth="1"/>
    <col min="12" max="12" width="16.7109375" style="16" bestFit="1" customWidth="1"/>
    <col min="13" max="13" width="16.28515625" style="16" bestFit="1" customWidth="1"/>
    <col min="14" max="14" width="15.85546875" style="16" bestFit="1" customWidth="1"/>
    <col min="15" max="15" width="15.5703125" style="16" bestFit="1" customWidth="1"/>
    <col min="16" max="16" width="13.42578125" style="16" bestFit="1" customWidth="1"/>
    <col min="17" max="18" width="14.28515625" style="16" bestFit="1" customWidth="1"/>
    <col min="19" max="19" width="15.85546875" style="16" bestFit="1" customWidth="1"/>
    <col min="20" max="20" width="14.140625" style="316" bestFit="1" customWidth="1"/>
    <col min="21" max="21" width="13.28515625" style="316" bestFit="1" customWidth="1"/>
    <col min="22" max="22" width="12.85546875" style="316" bestFit="1" customWidth="1"/>
    <col min="23" max="24" width="12.85546875" style="316" customWidth="1"/>
    <col min="25" max="26" width="9.140625" style="16"/>
    <col min="27" max="27" width="14.28515625" style="16" bestFit="1" customWidth="1"/>
    <col min="28" max="29" width="30.5703125" style="16" customWidth="1"/>
    <col min="30" max="31" width="10.7109375" style="16" bestFit="1" customWidth="1"/>
    <col min="32" max="44" width="9.140625" style="16"/>
    <col min="45" max="45" width="31.5703125" style="16" bestFit="1" customWidth="1"/>
    <col min="46" max="46" width="44.140625" style="16" bestFit="1" customWidth="1"/>
    <col min="47" max="47" width="7.140625" style="16" customWidth="1"/>
    <col min="48" max="48" width="11.85546875" style="16" customWidth="1"/>
    <col min="49" max="49" width="10.28515625" style="16" bestFit="1" customWidth="1"/>
    <col min="50" max="50" width="11.28515625" style="16" customWidth="1"/>
    <col min="51" max="51" width="11.5703125" style="16" customWidth="1"/>
    <col min="52" max="16384" width="9.140625" style="16"/>
  </cols>
  <sheetData>
    <row r="1" spans="1:51" ht="21" x14ac:dyDescent="0.25">
      <c r="A1" s="376"/>
      <c r="B1" s="376"/>
      <c r="C1" s="376"/>
      <c r="D1" s="107"/>
      <c r="E1" s="376"/>
      <c r="F1" s="376"/>
      <c r="G1" s="376"/>
      <c r="H1" s="383"/>
      <c r="I1" s="376"/>
      <c r="J1" s="377">
        <f>SUM(J3:J1048576)</f>
        <v>606106459</v>
      </c>
      <c r="K1" s="378">
        <f>AVERAGE(K3:K1048576)</f>
        <v>302.25850743904084</v>
      </c>
      <c r="L1" s="376"/>
      <c r="M1" s="379">
        <f>SUM(Table24[INIT PLANES])</f>
        <v>1636.9231578947361</v>
      </c>
      <c r="N1" s="376"/>
      <c r="O1" s="376"/>
      <c r="P1" s="380">
        <f>SUM(P3:P1048576)</f>
        <v>29</v>
      </c>
      <c r="Q1" s="380">
        <f>SUM(Q3:Q1048576)</f>
        <v>590.5</v>
      </c>
      <c r="R1" s="381"/>
      <c r="S1" s="376"/>
      <c r="T1" s="381">
        <f>SUM(T3:T1048576)</f>
        <v>0</v>
      </c>
      <c r="U1" s="381">
        <f>SUM(U3:U1048576)</f>
        <v>0</v>
      </c>
      <c r="V1" s="386">
        <f>T1-U1</f>
        <v>0</v>
      </c>
      <c r="W1" s="386"/>
      <c r="X1" s="386"/>
    </row>
    <row r="2" spans="1:51" ht="43.5" customHeight="1" thickBot="1" x14ac:dyDescent="0.3">
      <c r="A2" s="372" t="s">
        <v>467</v>
      </c>
      <c r="B2" s="372" t="s">
        <v>466</v>
      </c>
      <c r="C2" s="372" t="s">
        <v>465</v>
      </c>
      <c r="D2" s="382" t="s">
        <v>14057</v>
      </c>
      <c r="E2" s="372" t="s">
        <v>11659</v>
      </c>
      <c r="F2" s="372" t="s">
        <v>13114</v>
      </c>
      <c r="G2" s="372" t="s">
        <v>11660</v>
      </c>
      <c r="H2" s="384" t="s">
        <v>11663</v>
      </c>
      <c r="I2" s="372" t="s">
        <v>16810</v>
      </c>
      <c r="J2" s="373" t="s">
        <v>11120</v>
      </c>
      <c r="K2" s="374" t="s">
        <v>459</v>
      </c>
      <c r="L2" s="375" t="s">
        <v>16794</v>
      </c>
      <c r="M2" s="375" t="s">
        <v>17035</v>
      </c>
      <c r="N2" s="372" t="s">
        <v>16795</v>
      </c>
      <c r="O2" s="372" t="s">
        <v>16796</v>
      </c>
      <c r="P2" s="372" t="s">
        <v>17034</v>
      </c>
      <c r="Q2" s="372" t="s">
        <v>16798</v>
      </c>
      <c r="R2" s="373" t="s">
        <v>16804</v>
      </c>
      <c r="S2" s="372" t="s">
        <v>16805</v>
      </c>
      <c r="T2" s="373" t="s">
        <v>16806</v>
      </c>
      <c r="U2" s="373" t="s">
        <v>18863</v>
      </c>
      <c r="V2" s="373" t="s">
        <v>18864</v>
      </c>
      <c r="W2" s="402"/>
      <c r="X2" s="402"/>
      <c r="AA2" s="16" t="s">
        <v>19810</v>
      </c>
      <c r="AB2" s="16" t="s">
        <v>474</v>
      </c>
      <c r="AC2" s="16" t="s">
        <v>19814</v>
      </c>
      <c r="AD2" s="16" t="s">
        <v>19811</v>
      </c>
      <c r="AE2" s="16" t="s">
        <v>19812</v>
      </c>
      <c r="AF2" s="16" t="s">
        <v>19813</v>
      </c>
      <c r="AS2" s="16" t="s">
        <v>18875</v>
      </c>
      <c r="AT2" s="16" t="s">
        <v>11660</v>
      </c>
      <c r="AU2" s="16" t="s">
        <v>18876</v>
      </c>
      <c r="AV2" s="16" t="s">
        <v>18877</v>
      </c>
      <c r="AW2" s="16" t="s">
        <v>11661</v>
      </c>
      <c r="AX2" s="16" t="s">
        <v>11662</v>
      </c>
      <c r="AY2" s="16" t="s">
        <v>11663</v>
      </c>
    </row>
    <row r="3" spans="1:51" x14ac:dyDescent="0.25">
      <c r="A3" s="16" t="s">
        <v>19128</v>
      </c>
      <c r="B3" s="16" t="s">
        <v>113</v>
      </c>
      <c r="C3" s="16" t="s">
        <v>467</v>
      </c>
      <c r="D3" s="16">
        <v>3</v>
      </c>
      <c r="E3" s="16" t="s">
        <v>11046</v>
      </c>
      <c r="F3" s="16" t="str">
        <f>VLOOKUP(Table28[[#This Row],[Country]],Table10[[COUNTRY NAME]:[CONTINENT CODE]],3,FALSE)</f>
        <v>AS</v>
      </c>
      <c r="G3" s="16" t="s">
        <v>12088</v>
      </c>
      <c r="H3" s="181">
        <v>8119</v>
      </c>
      <c r="I3" s="180">
        <v>20</v>
      </c>
      <c r="K3" s="316">
        <f>IFERROR(Table28[[#This Row],[ROUTE COST]]/Table28[[#This Row],[O - DEMAND]],0)</f>
        <v>0</v>
      </c>
      <c r="M3" s="16">
        <f>Table28[[#This Row],[O - DEMAND]]/950</f>
        <v>0</v>
      </c>
      <c r="N3" s="16">
        <f>IFERROR(VLOOKUP(Table28[[#This Row],[ROUTE]],DEMAND!A:F,5,FALSE),0)</f>
        <v>4076</v>
      </c>
      <c r="O3" s="16">
        <f>IFERROR(VLOOKUP(Table28[[#This Row],[ROUTE]],DEMAND!A:F,6,FALSE),0)</f>
        <v>3126</v>
      </c>
      <c r="P3" s="403">
        <f>ROUNDDOWN(Table28[[#This Row],[R-DEMAND]]/950,0)</f>
        <v>3</v>
      </c>
      <c r="Q3" s="16">
        <f>Table28[[#This Row],[ADD ACC
(475/950)]]*Table28[[#This Row],[Duration
(A359)]]</f>
        <v>60</v>
      </c>
      <c r="R3" s="16">
        <f>IFERROR(VLOOKUP(Table28[[#This Row],[ROUTE]],PRICING!A:B,2,FALSE),0)</f>
        <v>0</v>
      </c>
      <c r="S3" s="16">
        <f>Table28[[#This Row],[C_DEMAND]]-Table28[[#This Row],[R-DEMAND]]</f>
        <v>950</v>
      </c>
      <c r="T3" s="316">
        <f>Table28[[#This Row],[SEATS SOLD]]*Table28[[#This Row],[ECO SEAT]]</f>
        <v>0</v>
      </c>
      <c r="U3" s="316">
        <f>Table28[[#This Row],[SEATS SOLD]]*(IFERROR(VLOOKUP(Table28[[#This Row],[ROUTE]],PRICING!A:C,3,FALSE),0))</f>
        <v>0</v>
      </c>
      <c r="V3" s="316">
        <f>Table28[[#This Row],[SEAT REV]]-Table28[[#This Row],[SEAT REV
(IF IDEAL $)]]</f>
        <v>0</v>
      </c>
      <c r="AA3" s="26" t="s">
        <v>15335</v>
      </c>
      <c r="AB3" s="26" t="s">
        <v>406</v>
      </c>
      <c r="AC3" s="26" t="s">
        <v>71</v>
      </c>
      <c r="AD3" s="174">
        <v>10161</v>
      </c>
      <c r="AE3" s="26">
        <v>4648</v>
      </c>
      <c r="AF3" s="16">
        <v>1236</v>
      </c>
      <c r="AS3" s="16" t="s">
        <v>774</v>
      </c>
      <c r="AT3" s="16" t="s">
        <v>10392</v>
      </c>
      <c r="AU3" s="16" t="s">
        <v>5200</v>
      </c>
      <c r="AV3" s="16" t="s">
        <v>18884</v>
      </c>
      <c r="AW3" s="16" t="s">
        <v>18885</v>
      </c>
      <c r="AX3" s="16" t="s">
        <v>18919</v>
      </c>
      <c r="AY3" s="16">
        <v>236</v>
      </c>
    </row>
    <row r="4" spans="1:51" x14ac:dyDescent="0.25">
      <c r="A4" s="16" t="s">
        <v>19355</v>
      </c>
      <c r="B4" s="16" t="s">
        <v>435</v>
      </c>
      <c r="C4" s="16" t="s">
        <v>467</v>
      </c>
      <c r="D4" s="16">
        <v>4</v>
      </c>
      <c r="E4" s="16" t="s">
        <v>1847</v>
      </c>
      <c r="F4" s="16" t="str">
        <f>VLOOKUP(Table28[[#This Row],[Country]],Table10[[COUNTRY NAME]:[CONTINENT CODE]],3,FALSE)</f>
        <v>AS</v>
      </c>
      <c r="G4" s="16" t="s">
        <v>11109</v>
      </c>
      <c r="H4" s="181">
        <v>12064</v>
      </c>
      <c r="I4" s="180">
        <v>28.5</v>
      </c>
      <c r="K4" s="316">
        <f>IFERROR(Table28[[#This Row],[ROUTE COST]]/Table28[[#This Row],[O - DEMAND]],0)</f>
        <v>0</v>
      </c>
      <c r="M4" s="16">
        <f>Table28[[#This Row],[O - DEMAND]]/950</f>
        <v>0</v>
      </c>
      <c r="N4" s="16">
        <f>IFERROR(VLOOKUP(Table28[[#This Row],[ROUTE]],DEMAND!A:F,5,FALSE),0)</f>
        <v>2908</v>
      </c>
      <c r="O4" s="16">
        <f>IFERROR(VLOOKUP(Table28[[#This Row],[ROUTE]],DEMAND!A:F,6,FALSE),0)</f>
        <v>58</v>
      </c>
      <c r="P4" s="16">
        <f>ROUNDDOWN(Table28[[#This Row],[R-DEMAND]]/950,0)</f>
        <v>0</v>
      </c>
      <c r="Q4" s="16">
        <f>Table28[[#This Row],[ADD ACC
(475/950)]]*Table28[[#This Row],[Duration
(A359)]]</f>
        <v>0</v>
      </c>
      <c r="R4" s="16">
        <f>IFERROR(VLOOKUP(Table28[[#This Row],[ROUTE]],PRICING!A:B,2,FALSE),0)</f>
        <v>0</v>
      </c>
      <c r="S4" s="16">
        <f>Table28[[#This Row],[C_DEMAND]]-Table28[[#This Row],[R-DEMAND]]</f>
        <v>2850</v>
      </c>
      <c r="T4" s="316">
        <f>Table28[[#This Row],[SEATS SOLD]]*Table28[[#This Row],[ECO SEAT]]</f>
        <v>0</v>
      </c>
      <c r="U4" s="316">
        <f>Table28[[#This Row],[SEATS SOLD]]*(IFERROR(VLOOKUP(Table28[[#This Row],[ROUTE]],PRICING!A:C,3,FALSE),0))</f>
        <v>0</v>
      </c>
      <c r="V4" s="316">
        <f>Table28[[#This Row],[SEAT REV]]-Table28[[#This Row],[SEAT REV
(IF IDEAL $)]]</f>
        <v>0</v>
      </c>
      <c r="AA4" s="26" t="s">
        <v>11280</v>
      </c>
      <c r="AB4" s="26" t="s">
        <v>369</v>
      </c>
      <c r="AC4" s="26" t="s">
        <v>71</v>
      </c>
      <c r="AD4" s="174">
        <v>5520</v>
      </c>
      <c r="AE4" s="26">
        <v>3915</v>
      </c>
      <c r="AF4" s="16">
        <v>1275</v>
      </c>
      <c r="AS4" s="16" t="s">
        <v>774</v>
      </c>
      <c r="AT4" s="16" t="s">
        <v>11060</v>
      </c>
      <c r="AU4" s="16" t="s">
        <v>170</v>
      </c>
      <c r="AV4" s="16" t="s">
        <v>18884</v>
      </c>
      <c r="AW4" s="16" t="s">
        <v>18918</v>
      </c>
      <c r="AX4" s="16" t="s">
        <v>18917</v>
      </c>
      <c r="AY4" s="16">
        <v>705</v>
      </c>
    </row>
    <row r="5" spans="1:51" x14ac:dyDescent="0.25">
      <c r="A5" s="16" t="s">
        <v>19192</v>
      </c>
      <c r="B5" s="16" t="s">
        <v>343</v>
      </c>
      <c r="C5" s="16" t="s">
        <v>467</v>
      </c>
      <c r="D5" s="16">
        <v>3</v>
      </c>
      <c r="E5" s="16" t="s">
        <v>1710</v>
      </c>
      <c r="F5" s="16" t="str">
        <f>VLOOKUP(Table28[[#This Row],[Country]],Table10[[COUNTRY NAME]:[CONTINENT CODE]],3,FALSE)</f>
        <v>AS</v>
      </c>
      <c r="G5" s="16" t="s">
        <v>12070</v>
      </c>
      <c r="H5" s="181">
        <v>9084</v>
      </c>
      <c r="I5" s="180">
        <v>22</v>
      </c>
      <c r="K5" s="316">
        <f>IFERROR(Table28[[#This Row],[ROUTE COST]]/Table28[[#This Row],[O - DEMAND]],0)</f>
        <v>0</v>
      </c>
      <c r="M5" s="16">
        <f>Table28[[#This Row],[O - DEMAND]]/950</f>
        <v>0</v>
      </c>
      <c r="N5" s="16">
        <f>IFERROR(VLOOKUP(Table28[[#This Row],[ROUTE]],DEMAND!A:F,5,FALSE),0)</f>
        <v>3972</v>
      </c>
      <c r="O5" s="16">
        <f>IFERROR(VLOOKUP(Table28[[#This Row],[ROUTE]],DEMAND!A:F,6,FALSE),0)</f>
        <v>2072</v>
      </c>
      <c r="P5" s="403">
        <f>ROUNDDOWN(Table28[[#This Row],[R-DEMAND]]/950,0)</f>
        <v>2</v>
      </c>
      <c r="Q5" s="16">
        <f>Table28[[#This Row],[ADD ACC
(475/950)]]*Table28[[#This Row],[Duration
(A359)]]</f>
        <v>44</v>
      </c>
      <c r="R5" s="16">
        <f>IFERROR(VLOOKUP(Table28[[#This Row],[ROUTE]],PRICING!A:B,2,FALSE),0)</f>
        <v>0</v>
      </c>
      <c r="S5" s="16">
        <f>Table28[[#This Row],[C_DEMAND]]-Table28[[#This Row],[R-DEMAND]]</f>
        <v>1900</v>
      </c>
      <c r="T5" s="316">
        <f>Table28[[#This Row],[SEATS SOLD]]*Table28[[#This Row],[ECO SEAT]]</f>
        <v>0</v>
      </c>
      <c r="U5" s="316">
        <f>Table28[[#This Row],[SEATS SOLD]]*(IFERROR(VLOOKUP(Table28[[#This Row],[ROUTE]],PRICING!A:C,3,FALSE),0))</f>
        <v>0</v>
      </c>
      <c r="V5" s="316">
        <f>Table28[[#This Row],[SEAT REV]]-Table28[[#This Row],[SEAT REV
(IF IDEAL $)]]</f>
        <v>0</v>
      </c>
      <c r="AA5" s="26" t="s">
        <v>14281</v>
      </c>
      <c r="AB5" s="26" t="s">
        <v>335</v>
      </c>
      <c r="AC5" s="26" t="s">
        <v>71</v>
      </c>
      <c r="AD5" s="174">
        <v>14484</v>
      </c>
      <c r="AE5" s="26">
        <v>2728</v>
      </c>
      <c r="AF5" s="16">
        <v>528</v>
      </c>
      <c r="AS5" s="16" t="s">
        <v>774</v>
      </c>
      <c r="AT5" s="16" t="s">
        <v>11104</v>
      </c>
      <c r="AU5" s="16" t="s">
        <v>410</v>
      </c>
      <c r="AV5" s="16" t="s">
        <v>18884</v>
      </c>
      <c r="AW5" s="16" t="s">
        <v>18918</v>
      </c>
      <c r="AX5" s="16" t="s">
        <v>18917</v>
      </c>
      <c r="AY5" s="16">
        <v>753</v>
      </c>
    </row>
    <row r="6" spans="1:51" x14ac:dyDescent="0.25">
      <c r="A6" s="16" t="s">
        <v>19194</v>
      </c>
      <c r="B6" s="16" t="s">
        <v>187</v>
      </c>
      <c r="C6" s="16" t="s">
        <v>467</v>
      </c>
      <c r="D6" s="16">
        <v>4</v>
      </c>
      <c r="E6" s="16" t="s">
        <v>1070</v>
      </c>
      <c r="F6" s="16" t="str">
        <f>VLOOKUP(Table28[[#This Row],[Country]],Table10[[COUNTRY NAME]:[CONTINENT CODE]],3,FALSE)</f>
        <v>AS</v>
      </c>
      <c r="G6" s="16" t="s">
        <v>11062</v>
      </c>
      <c r="H6" s="181">
        <v>9130</v>
      </c>
      <c r="I6" s="180">
        <v>22.25</v>
      </c>
      <c r="K6" s="316">
        <f>IFERROR(Table28[[#This Row],[ROUTE COST]]/Table28[[#This Row],[O - DEMAND]],0)</f>
        <v>0</v>
      </c>
      <c r="M6" s="16">
        <f>Table28[[#This Row],[O - DEMAND]]/950</f>
        <v>0</v>
      </c>
      <c r="N6" s="16">
        <f>IFERROR(VLOOKUP(Table28[[#This Row],[ROUTE]],DEMAND!A:F,5,FALSE),0)</f>
        <v>3865</v>
      </c>
      <c r="O6" s="16">
        <f>IFERROR(VLOOKUP(Table28[[#This Row],[ROUTE]],DEMAND!A:F,6,FALSE),0)</f>
        <v>1965</v>
      </c>
      <c r="P6" s="403">
        <f>ROUNDDOWN(Table28[[#This Row],[R-DEMAND]]/950,0)</f>
        <v>2</v>
      </c>
      <c r="Q6" s="16">
        <f>Table28[[#This Row],[ADD ACC
(475/950)]]*Table28[[#This Row],[Duration
(A359)]]</f>
        <v>44.5</v>
      </c>
      <c r="R6" s="16">
        <f>IFERROR(VLOOKUP(Table28[[#This Row],[ROUTE]],PRICING!A:B,2,FALSE),0)</f>
        <v>0</v>
      </c>
      <c r="S6" s="16">
        <f>Table28[[#This Row],[C_DEMAND]]-Table28[[#This Row],[R-DEMAND]]</f>
        <v>1900</v>
      </c>
      <c r="T6" s="316">
        <f>Table28[[#This Row],[SEATS SOLD]]*Table28[[#This Row],[ECO SEAT]]</f>
        <v>0</v>
      </c>
      <c r="U6" s="316">
        <f>Table28[[#This Row],[SEATS SOLD]]*(IFERROR(VLOOKUP(Table28[[#This Row],[ROUTE]],PRICING!A:C,3,FALSE),0))</f>
        <v>0</v>
      </c>
      <c r="V6" s="316">
        <f>Table28[[#This Row],[SEAT REV]]-Table28[[#This Row],[SEAT REV
(IF IDEAL $)]]</f>
        <v>0</v>
      </c>
      <c r="AA6" s="26" t="s">
        <v>13430</v>
      </c>
      <c r="AB6" s="26" t="s">
        <v>298</v>
      </c>
      <c r="AC6" s="26" t="s">
        <v>71</v>
      </c>
      <c r="AD6" s="174">
        <v>13371</v>
      </c>
      <c r="AE6" s="26">
        <v>3519</v>
      </c>
      <c r="AF6" s="16">
        <v>879</v>
      </c>
      <c r="AS6" s="16" t="s">
        <v>774</v>
      </c>
      <c r="AT6" s="16" t="s">
        <v>12022</v>
      </c>
      <c r="AU6" s="16" t="s">
        <v>2692</v>
      </c>
      <c r="AV6" s="16" t="s">
        <v>18881</v>
      </c>
      <c r="AW6" s="16" t="s">
        <v>18879</v>
      </c>
      <c r="AX6" s="16" t="s">
        <v>18917</v>
      </c>
      <c r="AY6" s="16">
        <v>755</v>
      </c>
    </row>
    <row r="7" spans="1:51" x14ac:dyDescent="0.25">
      <c r="A7" s="16" t="s">
        <v>19016</v>
      </c>
      <c r="B7" s="16" t="s">
        <v>3708</v>
      </c>
      <c r="D7" s="16">
        <v>2</v>
      </c>
      <c r="E7" s="16" t="s">
        <v>3706</v>
      </c>
      <c r="F7" s="16" t="str">
        <f>VLOOKUP(Table28[[#This Row],[Country]],Table10[[COUNTRY NAME]:[CONTINENT CODE]],3,FALSE)</f>
        <v>OC</v>
      </c>
      <c r="G7" s="16" t="s">
        <v>11862</v>
      </c>
      <c r="H7" s="181">
        <v>4326</v>
      </c>
      <c r="I7" s="180">
        <v>11.5</v>
      </c>
      <c r="K7" s="316">
        <f>IFERROR(Table28[[#This Row],[ROUTE COST]]/Table28[[#This Row],[O - DEMAND]],0)</f>
        <v>0</v>
      </c>
      <c r="M7" s="16">
        <f>Table28[[#This Row],[O - DEMAND]]/950</f>
        <v>0</v>
      </c>
      <c r="N7" s="16">
        <f>IFERROR(VLOOKUP(Table28[[#This Row],[ROUTE]],DEMAND!A:F,5,FALSE),0)</f>
        <v>2650</v>
      </c>
      <c r="O7" s="16">
        <f>IFERROR(VLOOKUP(Table28[[#This Row],[ROUTE]],DEMAND!A:F,6,FALSE),0)</f>
        <v>2650</v>
      </c>
      <c r="P7" s="16">
        <f>ROUNDDOWN(Table28[[#This Row],[R-DEMAND]]/950,0)</f>
        <v>2</v>
      </c>
      <c r="Q7" s="16">
        <f>Table28[[#This Row],[ADD ACC
(475/950)]]*Table28[[#This Row],[Duration
(A359)]]</f>
        <v>23</v>
      </c>
      <c r="R7" s="16">
        <f>IFERROR(VLOOKUP(Table28[[#This Row],[ROUTE]],PRICING!A:B,2,FALSE),0)</f>
        <v>0</v>
      </c>
      <c r="S7" s="16">
        <f>Table28[[#This Row],[C_DEMAND]]-Table28[[#This Row],[R-DEMAND]]</f>
        <v>0</v>
      </c>
      <c r="T7" s="316">
        <f>Table28[[#This Row],[SEATS SOLD]]*Table28[[#This Row],[ECO SEAT]]</f>
        <v>0</v>
      </c>
      <c r="U7" s="316">
        <f>Table28[[#This Row],[SEATS SOLD]]*(IFERROR(VLOOKUP(Table28[[#This Row],[ROUTE]],PRICING!A:C,3,FALSE),0))</f>
        <v>0</v>
      </c>
      <c r="V7" s="316">
        <f>Table28[[#This Row],[SEAT REV]]-Table28[[#This Row],[SEAT REV
(IF IDEAL $)]]</f>
        <v>0</v>
      </c>
      <c r="AA7" s="26" t="s">
        <v>72</v>
      </c>
      <c r="AB7" s="26" t="s">
        <v>5599</v>
      </c>
      <c r="AC7" s="26" t="s">
        <v>71</v>
      </c>
      <c r="AD7" s="174">
        <v>10732</v>
      </c>
      <c r="AE7" s="26">
        <v>5135</v>
      </c>
      <c r="AF7" s="16">
        <v>1175</v>
      </c>
      <c r="AS7" s="16" t="s">
        <v>774</v>
      </c>
      <c r="AT7" s="16" t="s">
        <v>10654</v>
      </c>
      <c r="AU7" s="16" t="s">
        <v>2343</v>
      </c>
      <c r="AV7" s="16" t="s">
        <v>18878</v>
      </c>
      <c r="AW7" s="16" t="s">
        <v>18890</v>
      </c>
      <c r="AX7" s="16" t="s">
        <v>18916</v>
      </c>
      <c r="AY7" s="16">
        <v>930</v>
      </c>
    </row>
    <row r="8" spans="1:51" x14ac:dyDescent="0.25">
      <c r="A8" s="16" t="s">
        <v>19291</v>
      </c>
      <c r="B8" s="16" t="s">
        <v>1653</v>
      </c>
      <c r="D8" s="16">
        <v>1</v>
      </c>
      <c r="E8" s="16" t="s">
        <v>78</v>
      </c>
      <c r="F8" s="16" t="str">
        <f>VLOOKUP(Table28[[#This Row],[Country]],Table10[[COUNTRY NAME]:[CONTINENT CODE]],3,FALSE)</f>
        <v>EU</v>
      </c>
      <c r="G8" s="16" t="s">
        <v>11836</v>
      </c>
      <c r="H8" s="181">
        <v>11217</v>
      </c>
      <c r="I8" s="180">
        <v>26.75</v>
      </c>
      <c r="K8" s="316">
        <f>IFERROR(Table28[[#This Row],[ROUTE COST]]/Table28[[#This Row],[O - DEMAND]],0)</f>
        <v>0</v>
      </c>
      <c r="M8" s="16">
        <f>Table28[[#This Row],[O - DEMAND]]/950</f>
        <v>0</v>
      </c>
      <c r="N8" s="16">
        <f>IFERROR(VLOOKUP(Table28[[#This Row],[ROUTE]],DEMAND!A:F,5,FALSE),0)</f>
        <v>2272</v>
      </c>
      <c r="O8" s="16">
        <f>IFERROR(VLOOKUP(Table28[[#This Row],[ROUTE]],DEMAND!A:F,6,FALSE),0)</f>
        <v>2272</v>
      </c>
      <c r="P8" s="16">
        <f>ROUNDDOWN(Table28[[#This Row],[R-DEMAND]]/950,0)</f>
        <v>2</v>
      </c>
      <c r="Q8" s="16">
        <f>Table28[[#This Row],[ADD ACC
(475/950)]]*Table28[[#This Row],[Duration
(A359)]]</f>
        <v>53.5</v>
      </c>
      <c r="R8" s="16">
        <f>IFERROR(VLOOKUP(Table28[[#This Row],[ROUTE]],PRICING!A:B,2,FALSE),0)</f>
        <v>0</v>
      </c>
      <c r="S8" s="16">
        <f>Table28[[#This Row],[C_DEMAND]]-Table28[[#This Row],[R-DEMAND]]</f>
        <v>0</v>
      </c>
      <c r="T8" s="316">
        <f>Table28[[#This Row],[SEATS SOLD]]*Table28[[#This Row],[ECO SEAT]]</f>
        <v>0</v>
      </c>
      <c r="U8" s="316">
        <f>Table28[[#This Row],[SEATS SOLD]]*(IFERROR(VLOOKUP(Table28[[#This Row],[ROUTE]],PRICING!A:C,3,FALSE),0))</f>
        <v>0</v>
      </c>
      <c r="V8" s="316">
        <f>Table28[[#This Row],[SEAT REV]]-Table28[[#This Row],[SEAT REV
(IF IDEAL $)]]</f>
        <v>0</v>
      </c>
      <c r="AA8" s="26" t="s">
        <v>16266</v>
      </c>
      <c r="AB8" s="26" t="s">
        <v>130</v>
      </c>
      <c r="AC8" s="26" t="s">
        <v>71</v>
      </c>
      <c r="AD8" s="174">
        <v>8967</v>
      </c>
      <c r="AE8" s="26">
        <v>3686</v>
      </c>
      <c r="AF8" s="16">
        <v>1046</v>
      </c>
      <c r="AS8" s="16" t="s">
        <v>774</v>
      </c>
      <c r="AT8" s="16" t="s">
        <v>11118</v>
      </c>
      <c r="AU8" s="16" t="s">
        <v>5487</v>
      </c>
      <c r="AV8" s="16" t="s">
        <v>18881</v>
      </c>
      <c r="AW8" s="16" t="s">
        <v>18899</v>
      </c>
      <c r="AX8" s="16" t="s">
        <v>18915</v>
      </c>
      <c r="AY8" s="385">
        <v>1164</v>
      </c>
    </row>
    <row r="9" spans="1:51" x14ac:dyDescent="0.25">
      <c r="A9" s="16" t="s">
        <v>18996</v>
      </c>
      <c r="B9" s="16" t="s">
        <v>170</v>
      </c>
      <c r="C9" s="16" t="s">
        <v>467</v>
      </c>
      <c r="D9" s="16">
        <v>5</v>
      </c>
      <c r="E9" s="16" t="s">
        <v>774</v>
      </c>
      <c r="F9" s="16" t="str">
        <f>VLOOKUP(Table28[[#This Row],[Country]],Table10[[COUNTRY NAME]:[CONTINENT CODE]],3,FALSE)</f>
        <v>OC</v>
      </c>
      <c r="G9" s="16" t="s">
        <v>11060</v>
      </c>
      <c r="H9" s="181">
        <v>705</v>
      </c>
      <c r="I9" s="180">
        <v>3.75</v>
      </c>
      <c r="K9" s="316">
        <f>IFERROR(Table28[[#This Row],[ROUTE COST]]/Table28[[#This Row],[O - DEMAND]],0)</f>
        <v>0</v>
      </c>
      <c r="M9" s="16">
        <f>Table28[[#This Row],[O - DEMAND]]/950</f>
        <v>0</v>
      </c>
      <c r="N9" s="16">
        <f>IFERROR(VLOOKUP(Table28[[#This Row],[ROUTE]],DEMAND!A:F,5,FALSE),0)</f>
        <v>2462</v>
      </c>
      <c r="O9" s="16">
        <f>IFERROR(VLOOKUP(Table28[[#This Row],[ROUTE]],DEMAND!A:F,6,FALSE),0)</f>
        <v>2462</v>
      </c>
      <c r="P9" s="16">
        <f>ROUNDDOWN(Table28[[#This Row],[R-DEMAND]]/950,0)</f>
        <v>2</v>
      </c>
      <c r="Q9" s="16">
        <f>Table28[[#This Row],[ADD ACC
(475/950)]]*Table28[[#This Row],[Duration
(A359)]]</f>
        <v>7.5</v>
      </c>
      <c r="R9" s="16">
        <f>IFERROR(VLOOKUP(Table28[[#This Row],[ROUTE]],PRICING!A:B,2,FALSE),0)</f>
        <v>0</v>
      </c>
      <c r="S9" s="16">
        <f>Table28[[#This Row],[C_DEMAND]]-Table28[[#This Row],[R-DEMAND]]</f>
        <v>0</v>
      </c>
      <c r="T9" s="316">
        <f>Table28[[#This Row],[SEATS SOLD]]*Table28[[#This Row],[ECO SEAT]]</f>
        <v>0</v>
      </c>
      <c r="U9" s="316">
        <f>Table28[[#This Row],[SEATS SOLD]]*(IFERROR(VLOOKUP(Table28[[#This Row],[ROUTE]],PRICING!A:C,3,FALSE),0))</f>
        <v>0</v>
      </c>
      <c r="V9" s="316">
        <f>Table28[[#This Row],[SEAT REV]]-Table28[[#This Row],[SEAT REV
(IF IDEAL $)]]</f>
        <v>0</v>
      </c>
      <c r="AA9" s="26" t="s">
        <v>19781</v>
      </c>
      <c r="AB9" s="26" t="s">
        <v>71</v>
      </c>
      <c r="AC9" s="26" t="s">
        <v>5443</v>
      </c>
      <c r="AD9" s="174">
        <v>15044</v>
      </c>
      <c r="AE9" s="26">
        <v>2510</v>
      </c>
      <c r="AF9" s="16">
        <v>2510</v>
      </c>
      <c r="AS9" s="16" t="s">
        <v>774</v>
      </c>
      <c r="AT9" s="16" t="s">
        <v>7536</v>
      </c>
      <c r="AU9" s="16" t="s">
        <v>4333</v>
      </c>
      <c r="AV9" s="16" t="s">
        <v>18878</v>
      </c>
      <c r="AW9" s="16" t="s">
        <v>18879</v>
      </c>
      <c r="AX9" s="16" t="s">
        <v>18915</v>
      </c>
      <c r="AY9" s="385">
        <v>1176</v>
      </c>
    </row>
    <row r="10" spans="1:51" x14ac:dyDescent="0.25">
      <c r="A10" s="16" t="s">
        <v>19191</v>
      </c>
      <c r="B10" s="16" t="s">
        <v>160</v>
      </c>
      <c r="C10" s="16" t="s">
        <v>467</v>
      </c>
      <c r="D10" s="16">
        <v>3</v>
      </c>
      <c r="E10" s="16" t="s">
        <v>5096</v>
      </c>
      <c r="F10" s="16" t="str">
        <f>VLOOKUP(Table28[[#This Row],[Country]],Table10[[COUNTRY NAME]:[CONTINENT CODE]],3,FALSE)</f>
        <v>AF</v>
      </c>
      <c r="G10" s="16" t="s">
        <v>12011</v>
      </c>
      <c r="H10" s="181">
        <v>9066</v>
      </c>
      <c r="I10" s="180">
        <v>22</v>
      </c>
      <c r="K10" s="316">
        <f>IFERROR(Table28[[#This Row],[ROUTE COST]]/Table28[[#This Row],[O - DEMAND]],0)</f>
        <v>0</v>
      </c>
      <c r="M10" s="16">
        <f>Table28[[#This Row],[O - DEMAND]]/950</f>
        <v>0</v>
      </c>
      <c r="N10" s="16">
        <f>IFERROR(VLOOKUP(Table28[[#This Row],[ROUTE]],DEMAND!A:F,5,FALSE),0)</f>
        <v>2683</v>
      </c>
      <c r="O10" s="16">
        <f>IFERROR(VLOOKUP(Table28[[#This Row],[ROUTE]],DEMAND!A:F,6,FALSE),0)</f>
        <v>2683</v>
      </c>
      <c r="P10" s="16">
        <f>ROUNDDOWN(Table28[[#This Row],[R-DEMAND]]/950,0)</f>
        <v>2</v>
      </c>
      <c r="Q10" s="16">
        <f>Table28[[#This Row],[ADD ACC
(475/950)]]*Table28[[#This Row],[Duration
(A359)]]</f>
        <v>44</v>
      </c>
      <c r="R10" s="16">
        <f>IFERROR(VLOOKUP(Table28[[#This Row],[ROUTE]],PRICING!A:B,2,FALSE),0)</f>
        <v>0</v>
      </c>
      <c r="S10" s="16">
        <f>Table28[[#This Row],[C_DEMAND]]-Table28[[#This Row],[R-DEMAND]]</f>
        <v>0</v>
      </c>
      <c r="T10" s="316">
        <f>Table28[[#This Row],[SEATS SOLD]]*Table28[[#This Row],[ECO SEAT]]</f>
        <v>0</v>
      </c>
      <c r="U10" s="316">
        <f>Table28[[#This Row],[SEATS SOLD]]*(IFERROR(VLOOKUP(Table28[[#This Row],[ROUTE]],PRICING!A:C,3,FALSE),0))</f>
        <v>0</v>
      </c>
      <c r="V10" s="316">
        <f>Table28[[#This Row],[SEAT REV]]-Table28[[#This Row],[SEAT REV
(IF IDEAL $)]]</f>
        <v>0</v>
      </c>
      <c r="AA10" s="26" t="s">
        <v>19425</v>
      </c>
      <c r="AB10" s="26" t="s">
        <v>71</v>
      </c>
      <c r="AC10" s="26" t="s">
        <v>457</v>
      </c>
      <c r="AD10" s="174">
        <v>12626</v>
      </c>
      <c r="AE10" s="26">
        <v>4920</v>
      </c>
      <c r="AF10" s="16">
        <v>4920</v>
      </c>
      <c r="AS10" s="16" t="s">
        <v>774</v>
      </c>
      <c r="AT10" s="16" t="s">
        <v>9300</v>
      </c>
      <c r="AU10" s="16" t="s">
        <v>3414</v>
      </c>
      <c r="AV10" s="16" t="s">
        <v>18878</v>
      </c>
      <c r="AW10" s="16" t="s">
        <v>18879</v>
      </c>
      <c r="AX10" s="16" t="s">
        <v>18914</v>
      </c>
      <c r="AY10" s="385">
        <v>1872</v>
      </c>
    </row>
    <row r="11" spans="1:51" x14ac:dyDescent="0.25">
      <c r="A11" s="16" t="s">
        <v>19222</v>
      </c>
      <c r="B11" s="16" t="s">
        <v>2984</v>
      </c>
      <c r="D11" s="16">
        <v>2</v>
      </c>
      <c r="E11" s="16" t="s">
        <v>78</v>
      </c>
      <c r="F11" s="16" t="str">
        <f>VLOOKUP(Table28[[#This Row],[Country]],Table10[[COUNTRY NAME]:[CONTINENT CODE]],3,FALSE)</f>
        <v>EU</v>
      </c>
      <c r="G11" s="16" t="s">
        <v>11911</v>
      </c>
      <c r="H11" s="181">
        <v>9714</v>
      </c>
      <c r="I11" s="180">
        <v>23.5</v>
      </c>
      <c r="K11" s="316">
        <f>IFERROR(Table28[[#This Row],[ROUTE COST]]/Table28[[#This Row],[O - DEMAND]],0)</f>
        <v>0</v>
      </c>
      <c r="M11" s="16">
        <f>Table28[[#This Row],[O - DEMAND]]/950</f>
        <v>0</v>
      </c>
      <c r="N11" s="16">
        <f>IFERROR(VLOOKUP(Table28[[#This Row],[ROUTE]],DEMAND!A:F,5,FALSE),0)</f>
        <v>2260</v>
      </c>
      <c r="O11" s="16">
        <f>IFERROR(VLOOKUP(Table28[[#This Row],[ROUTE]],DEMAND!A:F,6,FALSE),0)</f>
        <v>2260</v>
      </c>
      <c r="P11" s="16">
        <f>ROUNDDOWN(Table28[[#This Row],[R-DEMAND]]/950,0)</f>
        <v>2</v>
      </c>
      <c r="Q11" s="16">
        <f>Table28[[#This Row],[ADD ACC
(475/950)]]*Table28[[#This Row],[Duration
(A359)]]</f>
        <v>47</v>
      </c>
      <c r="R11" s="16">
        <f>IFERROR(VLOOKUP(Table28[[#This Row],[ROUTE]],PRICING!A:B,2,FALSE),0)</f>
        <v>0</v>
      </c>
      <c r="S11" s="16">
        <f>Table28[[#This Row],[C_DEMAND]]-Table28[[#This Row],[R-DEMAND]]</f>
        <v>0</v>
      </c>
      <c r="T11" s="316">
        <f>Table28[[#This Row],[SEATS SOLD]]*Table28[[#This Row],[ECO SEAT]]</f>
        <v>0</v>
      </c>
      <c r="U11" s="316">
        <f>Table28[[#This Row],[SEATS SOLD]]*(IFERROR(VLOOKUP(Table28[[#This Row],[ROUTE]],PRICING!A:C,3,FALSE),0))</f>
        <v>0</v>
      </c>
      <c r="V11" s="316">
        <f>Table28[[#This Row],[SEAT REV]]-Table28[[#This Row],[SEAT REV
(IF IDEAL $)]]</f>
        <v>0</v>
      </c>
      <c r="AA11" s="26" t="s">
        <v>19381</v>
      </c>
      <c r="AB11" s="26" t="s">
        <v>71</v>
      </c>
      <c r="AC11" s="26" t="s">
        <v>3950</v>
      </c>
      <c r="AD11" s="174">
        <v>12282</v>
      </c>
      <c r="AE11" s="26">
        <v>3435</v>
      </c>
      <c r="AF11" s="16">
        <v>3435</v>
      </c>
      <c r="AS11" s="16" t="s">
        <v>774</v>
      </c>
      <c r="AT11" s="16" t="s">
        <v>12048</v>
      </c>
      <c r="AU11" s="16" t="s">
        <v>5262</v>
      </c>
      <c r="AV11" s="16" t="s">
        <v>18881</v>
      </c>
      <c r="AW11" s="16" t="s">
        <v>18885</v>
      </c>
      <c r="AX11" s="16" t="s">
        <v>18913</v>
      </c>
      <c r="AY11" s="385">
        <v>1974</v>
      </c>
    </row>
    <row r="12" spans="1:51" x14ac:dyDescent="0.25">
      <c r="A12" s="16" t="s">
        <v>19017</v>
      </c>
      <c r="B12" s="16" t="s">
        <v>2625</v>
      </c>
      <c r="D12" s="16">
        <v>2</v>
      </c>
      <c r="E12" s="16" t="s">
        <v>2623</v>
      </c>
      <c r="F12" s="16" t="str">
        <f>VLOOKUP(Table28[[#This Row],[Country]],Table10[[COUNTRY NAME]:[CONTINENT CODE]],3,FALSE)</f>
        <v>OC</v>
      </c>
      <c r="G12" s="16" t="s">
        <v>11860</v>
      </c>
      <c r="H12" s="181">
        <v>4403</v>
      </c>
      <c r="I12" s="180">
        <v>11.75</v>
      </c>
      <c r="K12" s="316">
        <f>IFERROR(Table28[[#This Row],[ROUTE COST]]/Table28[[#This Row],[O - DEMAND]],0)</f>
        <v>0</v>
      </c>
      <c r="M12" s="16">
        <f>Table28[[#This Row],[O - DEMAND]]/950</f>
        <v>0</v>
      </c>
      <c r="N12" s="16">
        <f>IFERROR(VLOOKUP(Table28[[#This Row],[ROUTE]],DEMAND!A:F,5,FALSE),0)</f>
        <v>2448</v>
      </c>
      <c r="O12" s="16">
        <f>IFERROR(VLOOKUP(Table28[[#This Row],[ROUTE]],DEMAND!A:F,6,FALSE),0)</f>
        <v>2448</v>
      </c>
      <c r="P12" s="16">
        <f>ROUNDDOWN(Table28[[#This Row],[R-DEMAND]]/950,0)</f>
        <v>2</v>
      </c>
      <c r="Q12" s="16">
        <f>Table28[[#This Row],[ADD ACC
(475/950)]]*Table28[[#This Row],[Duration
(A359)]]</f>
        <v>23.5</v>
      </c>
      <c r="R12" s="16">
        <f>IFERROR(VLOOKUP(Table28[[#This Row],[ROUTE]],PRICING!A:B,2,FALSE),0)</f>
        <v>0</v>
      </c>
      <c r="S12" s="16">
        <f>Table28[[#This Row],[C_DEMAND]]-Table28[[#This Row],[R-DEMAND]]</f>
        <v>0</v>
      </c>
      <c r="T12" s="316">
        <f>Table28[[#This Row],[SEATS SOLD]]*Table28[[#This Row],[ECO SEAT]]</f>
        <v>0</v>
      </c>
      <c r="U12" s="316">
        <f>Table28[[#This Row],[SEATS SOLD]]*(IFERROR(VLOOKUP(Table28[[#This Row],[ROUTE]],PRICING!A:C,3,FALSE),0))</f>
        <v>0</v>
      </c>
      <c r="V12" s="316">
        <f>Table28[[#This Row],[SEAT REV]]-Table28[[#This Row],[SEAT REV
(IF IDEAL $)]]</f>
        <v>0</v>
      </c>
      <c r="AA12" s="26" t="s">
        <v>19650</v>
      </c>
      <c r="AB12" s="26" t="s">
        <v>71</v>
      </c>
      <c r="AC12" s="26" t="s">
        <v>4828</v>
      </c>
      <c r="AD12" s="174">
        <v>14127</v>
      </c>
      <c r="AE12" s="26">
        <v>2070</v>
      </c>
      <c r="AF12" s="16">
        <v>2070</v>
      </c>
      <c r="AS12" s="16" t="s">
        <v>523</v>
      </c>
      <c r="AT12" s="16" t="s">
        <v>11972</v>
      </c>
      <c r="AU12" s="16" t="s">
        <v>4032</v>
      </c>
      <c r="AV12" s="16" t="s">
        <v>18881</v>
      </c>
      <c r="AW12" s="16" t="s">
        <v>18879</v>
      </c>
      <c r="AX12" s="16" t="s">
        <v>18913</v>
      </c>
      <c r="AY12" s="385">
        <v>1981</v>
      </c>
    </row>
    <row r="13" spans="1:51" x14ac:dyDescent="0.25">
      <c r="A13" s="16" t="s">
        <v>19201</v>
      </c>
      <c r="B13" s="16" t="s">
        <v>4979</v>
      </c>
      <c r="C13" s="16" t="s">
        <v>467</v>
      </c>
      <c r="D13" s="16">
        <v>3</v>
      </c>
      <c r="E13" s="16" t="s">
        <v>2860</v>
      </c>
      <c r="F13" s="16" t="str">
        <f>VLOOKUP(Table28[[#This Row],[Country]],Table10[[COUNTRY NAME]:[CONTINENT CODE]],3,FALSE)</f>
        <v>AF</v>
      </c>
      <c r="G13" s="16" t="s">
        <v>12005</v>
      </c>
      <c r="H13" s="181">
        <v>9226</v>
      </c>
      <c r="I13" s="180">
        <v>22.5</v>
      </c>
      <c r="K13" s="316">
        <f>IFERROR(Table28[[#This Row],[ROUTE COST]]/Table28[[#This Row],[O - DEMAND]],0)</f>
        <v>0</v>
      </c>
      <c r="M13" s="16">
        <f>Table28[[#This Row],[O - DEMAND]]/950</f>
        <v>0</v>
      </c>
      <c r="N13" s="16">
        <f>IFERROR(VLOOKUP(Table28[[#This Row],[ROUTE]],DEMAND!A:F,5,FALSE),0)</f>
        <v>2310</v>
      </c>
      <c r="O13" s="16">
        <f>IFERROR(VLOOKUP(Table28[[#This Row],[ROUTE]],DEMAND!A:F,6,FALSE),0)</f>
        <v>2310</v>
      </c>
      <c r="P13" s="16">
        <f>ROUNDDOWN(Table28[[#This Row],[R-DEMAND]]/950,0)</f>
        <v>2</v>
      </c>
      <c r="Q13" s="16">
        <f>Table28[[#This Row],[ADD ACC
(475/950)]]*Table28[[#This Row],[Duration
(A359)]]</f>
        <v>45</v>
      </c>
      <c r="R13" s="16">
        <f>IFERROR(VLOOKUP(Table28[[#This Row],[ROUTE]],PRICING!A:B,2,FALSE),0)</f>
        <v>0</v>
      </c>
      <c r="S13" s="16">
        <f>Table28[[#This Row],[C_DEMAND]]-Table28[[#This Row],[R-DEMAND]]</f>
        <v>0</v>
      </c>
      <c r="T13" s="316">
        <f>Table28[[#This Row],[SEATS SOLD]]*Table28[[#This Row],[ECO SEAT]]</f>
        <v>0</v>
      </c>
      <c r="U13" s="316">
        <f>Table28[[#This Row],[SEATS SOLD]]*(IFERROR(VLOOKUP(Table28[[#This Row],[ROUTE]],PRICING!A:C,3,FALSE),0))</f>
        <v>0</v>
      </c>
      <c r="V13" s="316">
        <f>Table28[[#This Row],[SEAT REV]]-Table28[[#This Row],[SEAT REV
(IF IDEAL $)]]</f>
        <v>0</v>
      </c>
      <c r="AA13" s="26" t="s">
        <v>19451</v>
      </c>
      <c r="AB13" s="26" t="s">
        <v>71</v>
      </c>
      <c r="AC13" s="26" t="s">
        <v>454</v>
      </c>
      <c r="AD13" s="174">
        <v>12808</v>
      </c>
      <c r="AE13" s="26">
        <v>3276</v>
      </c>
      <c r="AF13" s="16">
        <v>3276</v>
      </c>
      <c r="AS13" s="16" t="s">
        <v>730</v>
      </c>
      <c r="AT13" s="16" t="s">
        <v>11933</v>
      </c>
      <c r="AU13" s="16" t="s">
        <v>364</v>
      </c>
      <c r="AV13" s="16" t="s">
        <v>18884</v>
      </c>
      <c r="AW13" s="16" t="s">
        <v>18885</v>
      </c>
      <c r="AX13" s="16" t="s">
        <v>18988</v>
      </c>
      <c r="AY13" s="385">
        <v>2126</v>
      </c>
    </row>
    <row r="14" spans="1:51" x14ac:dyDescent="0.25">
      <c r="A14" s="16" t="s">
        <v>19374</v>
      </c>
      <c r="B14" s="16" t="s">
        <v>4677</v>
      </c>
      <c r="C14" s="16" t="s">
        <v>467</v>
      </c>
      <c r="D14" s="16">
        <v>2</v>
      </c>
      <c r="E14" s="16" t="s">
        <v>588</v>
      </c>
      <c r="F14" s="16" t="str">
        <f>VLOOKUP(Table28[[#This Row],[Country]],Table10[[COUNTRY NAME]:[CONTINENT CODE]],3,FALSE)</f>
        <v>EU</v>
      </c>
      <c r="G14" s="16" t="s">
        <v>11948</v>
      </c>
      <c r="H14" s="181">
        <v>12227</v>
      </c>
      <c r="I14" s="180">
        <v>29</v>
      </c>
      <c r="K14" s="316">
        <f>IFERROR(Table28[[#This Row],[ROUTE COST]]/Table28[[#This Row],[O - DEMAND]],0)</f>
        <v>0</v>
      </c>
      <c r="M14" s="16">
        <f>Table28[[#This Row],[O - DEMAND]]/950</f>
        <v>0</v>
      </c>
      <c r="N14" s="16">
        <f>IFERROR(VLOOKUP(Table28[[#This Row],[ROUTE]],DEMAND!A:F,5,FALSE),0)</f>
        <v>2865</v>
      </c>
      <c r="O14" s="16">
        <f>IFERROR(VLOOKUP(Table28[[#This Row],[ROUTE]],DEMAND!A:F,6,FALSE),0)</f>
        <v>15</v>
      </c>
      <c r="P14" s="16">
        <f>ROUNDDOWN(Table28[[#This Row],[R-DEMAND]]/950,0)</f>
        <v>0</v>
      </c>
      <c r="Q14" s="16">
        <f>Table28[[#This Row],[ADD ACC
(475/950)]]*Table28[[#This Row],[Duration
(A359)]]</f>
        <v>0</v>
      </c>
      <c r="R14" s="16">
        <f>IFERROR(VLOOKUP(Table28[[#This Row],[ROUTE]],PRICING!A:B,2,FALSE),0)</f>
        <v>0</v>
      </c>
      <c r="S14" s="16">
        <f>Table28[[#This Row],[C_DEMAND]]-Table28[[#This Row],[R-DEMAND]]</f>
        <v>2850</v>
      </c>
      <c r="T14" s="316">
        <f>Table28[[#This Row],[SEATS SOLD]]*Table28[[#This Row],[ECO SEAT]]</f>
        <v>0</v>
      </c>
      <c r="U14" s="316">
        <f>Table28[[#This Row],[SEATS SOLD]]*(IFERROR(VLOOKUP(Table28[[#This Row],[ROUTE]],PRICING!A:C,3,FALSE),0))</f>
        <v>0</v>
      </c>
      <c r="V14" s="316">
        <f>Table28[[#This Row],[SEAT REV]]-Table28[[#This Row],[SEAT REV
(IF IDEAL $)]]</f>
        <v>0</v>
      </c>
      <c r="AA14" s="26" t="s">
        <v>19006</v>
      </c>
      <c r="AB14" s="26" t="s">
        <v>71</v>
      </c>
      <c r="AC14" s="26" t="s">
        <v>452</v>
      </c>
      <c r="AD14" s="174">
        <v>2160</v>
      </c>
      <c r="AE14" s="26">
        <v>2752</v>
      </c>
      <c r="AF14" s="16">
        <v>2752</v>
      </c>
      <c r="AS14" s="16" t="s">
        <v>730</v>
      </c>
      <c r="AT14" s="16" t="s">
        <v>11116</v>
      </c>
      <c r="AU14" s="16" t="s">
        <v>452</v>
      </c>
      <c r="AV14" s="16" t="s">
        <v>18884</v>
      </c>
      <c r="AW14" s="16" t="s">
        <v>18899</v>
      </c>
      <c r="AX14" s="16" t="s">
        <v>18988</v>
      </c>
      <c r="AY14" s="385">
        <v>2160</v>
      </c>
    </row>
    <row r="15" spans="1:51" x14ac:dyDescent="0.25">
      <c r="A15" s="16" t="s">
        <v>19040</v>
      </c>
      <c r="B15" s="16" t="s">
        <v>417</v>
      </c>
      <c r="C15" s="16" t="s">
        <v>467</v>
      </c>
      <c r="D15" s="16">
        <v>3</v>
      </c>
      <c r="E15" s="16" t="s">
        <v>709</v>
      </c>
      <c r="F15" s="16" t="str">
        <f>VLOOKUP(Table28[[#This Row],[Country]],Table10[[COUNTRY NAME]:[CONTINENT CODE]],3,FALSE)</f>
        <v>AS</v>
      </c>
      <c r="G15" s="16" t="s">
        <v>12105</v>
      </c>
      <c r="H15" s="181">
        <v>5772</v>
      </c>
      <c r="I15" s="180">
        <v>14.75</v>
      </c>
      <c r="K15" s="316">
        <f>IFERROR(Table28[[#This Row],[ROUTE COST]]/Table28[[#This Row],[O - DEMAND]],0)</f>
        <v>0</v>
      </c>
      <c r="M15" s="16">
        <f>Table28[[#This Row],[O - DEMAND]]/950</f>
        <v>0</v>
      </c>
      <c r="N15" s="16">
        <f>IFERROR(VLOOKUP(Table28[[#This Row],[ROUTE]],DEMAND!A:F,5,FALSE),0)</f>
        <v>2716</v>
      </c>
      <c r="O15" s="16">
        <f>IFERROR(VLOOKUP(Table28[[#This Row],[ROUTE]],DEMAND!A:F,6,FALSE),0)</f>
        <v>1766</v>
      </c>
      <c r="P15" s="403">
        <f>ROUNDDOWN(Table28[[#This Row],[R-DEMAND]]/950,0)</f>
        <v>1</v>
      </c>
      <c r="Q15" s="16">
        <f>Table28[[#This Row],[ADD ACC
(475/950)]]*Table28[[#This Row],[Duration
(A359)]]</f>
        <v>14.75</v>
      </c>
      <c r="R15" s="16">
        <f>IFERROR(VLOOKUP(Table28[[#This Row],[ROUTE]],PRICING!A:B,2,FALSE),0)</f>
        <v>0</v>
      </c>
      <c r="S15" s="16">
        <f>Table28[[#This Row],[C_DEMAND]]-Table28[[#This Row],[R-DEMAND]]</f>
        <v>950</v>
      </c>
      <c r="T15" s="316">
        <f>Table28[[#This Row],[SEATS SOLD]]*Table28[[#This Row],[ECO SEAT]]</f>
        <v>0</v>
      </c>
      <c r="U15" s="316">
        <f>Table28[[#This Row],[SEATS SOLD]]*(IFERROR(VLOOKUP(Table28[[#This Row],[ROUTE]],PRICING!A:C,3,FALSE),0))</f>
        <v>0</v>
      </c>
      <c r="V15" s="316">
        <f>Table28[[#This Row],[SEAT REV]]-Table28[[#This Row],[SEAT REV
(IF IDEAL $)]]</f>
        <v>0</v>
      </c>
      <c r="AA15" s="26" t="s">
        <v>19504</v>
      </c>
      <c r="AB15" s="26" t="s">
        <v>71</v>
      </c>
      <c r="AC15" s="26" t="s">
        <v>3365</v>
      </c>
      <c r="AD15" s="174">
        <v>13100</v>
      </c>
      <c r="AE15" s="26">
        <v>2646</v>
      </c>
      <c r="AF15" s="16">
        <v>2646</v>
      </c>
      <c r="AS15" s="16" t="s">
        <v>774</v>
      </c>
      <c r="AT15" s="16" t="s">
        <v>18105</v>
      </c>
      <c r="AU15" s="16" t="s">
        <v>3719</v>
      </c>
      <c r="AV15" s="16" t="s">
        <v>18878</v>
      </c>
      <c r="AW15" s="16" t="s">
        <v>18879</v>
      </c>
      <c r="AX15" s="16" t="s">
        <v>18912</v>
      </c>
      <c r="AY15" s="385">
        <v>2178</v>
      </c>
    </row>
    <row r="16" spans="1:51" x14ac:dyDescent="0.25">
      <c r="A16" s="16" t="s">
        <v>19066</v>
      </c>
      <c r="B16" s="16" t="s">
        <v>5275</v>
      </c>
      <c r="C16" s="16" t="s">
        <v>467</v>
      </c>
      <c r="D16" s="16">
        <v>3</v>
      </c>
      <c r="E16" s="16" t="s">
        <v>46</v>
      </c>
      <c r="F16" s="16" t="str">
        <f>VLOOKUP(Table28[[#This Row],[Country]],Table10[[COUNTRY NAME]:[CONTINENT CODE]],3,FALSE)</f>
        <v>AS</v>
      </c>
      <c r="G16" s="16" t="s">
        <v>12076</v>
      </c>
      <c r="H16" s="181">
        <v>7082</v>
      </c>
      <c r="I16" s="180">
        <v>17.75</v>
      </c>
      <c r="K16" s="316">
        <f>IFERROR(Table28[[#This Row],[ROUTE COST]]/Table28[[#This Row],[O - DEMAND]],0)</f>
        <v>0</v>
      </c>
      <c r="M16" s="16">
        <f>Table28[[#This Row],[O - DEMAND]]/950</f>
        <v>0</v>
      </c>
      <c r="N16" s="16">
        <f>IFERROR(VLOOKUP(Table28[[#This Row],[ROUTE]],DEMAND!A:F,5,FALSE),0)</f>
        <v>2198</v>
      </c>
      <c r="O16" s="16">
        <f>IFERROR(VLOOKUP(Table28[[#This Row],[ROUTE]],DEMAND!A:F,6,FALSE),0)</f>
        <v>1248</v>
      </c>
      <c r="P16" s="403">
        <f>ROUNDDOWN(Table28[[#This Row],[R-DEMAND]]/950,0)</f>
        <v>1</v>
      </c>
      <c r="Q16" s="16">
        <f>Table28[[#This Row],[ADD ACC
(475/950)]]*Table28[[#This Row],[Duration
(A359)]]</f>
        <v>17.75</v>
      </c>
      <c r="R16" s="16">
        <f>IFERROR(VLOOKUP(Table28[[#This Row],[ROUTE]],PRICING!A:B,2,FALSE),0)</f>
        <v>0</v>
      </c>
      <c r="S16" s="16">
        <f>Table28[[#This Row],[C_DEMAND]]-Table28[[#This Row],[R-DEMAND]]</f>
        <v>950</v>
      </c>
      <c r="T16" s="316">
        <f>Table28[[#This Row],[SEATS SOLD]]*Table28[[#This Row],[ECO SEAT]]</f>
        <v>0</v>
      </c>
      <c r="U16" s="316">
        <f>Table28[[#This Row],[SEATS SOLD]]*(IFERROR(VLOOKUP(Table28[[#This Row],[ROUTE]],PRICING!A:C,3,FALSE),0))</f>
        <v>0</v>
      </c>
      <c r="V16" s="316">
        <f>Table28[[#This Row],[SEAT REV]]-Table28[[#This Row],[SEAT REV
(IF IDEAL $)]]</f>
        <v>0</v>
      </c>
      <c r="AA16" s="26" t="s">
        <v>19302</v>
      </c>
      <c r="AB16" s="26" t="s">
        <v>71</v>
      </c>
      <c r="AC16" s="26" t="s">
        <v>5253</v>
      </c>
      <c r="AD16" s="174">
        <v>11413</v>
      </c>
      <c r="AE16" s="26">
        <v>3260</v>
      </c>
      <c r="AF16" s="16">
        <v>3260</v>
      </c>
      <c r="AS16" s="16" t="s">
        <v>2680</v>
      </c>
      <c r="AT16" s="16" t="s">
        <v>16830</v>
      </c>
      <c r="AU16" s="16" t="s">
        <v>3023</v>
      </c>
      <c r="AV16" s="16" t="s">
        <v>18878</v>
      </c>
      <c r="AW16" s="16" t="s">
        <v>18879</v>
      </c>
      <c r="AX16" s="16" t="s">
        <v>18993</v>
      </c>
      <c r="AY16" s="385">
        <v>2484</v>
      </c>
    </row>
    <row r="17" spans="1:51" x14ac:dyDescent="0.25">
      <c r="A17" s="16" t="s">
        <v>19804</v>
      </c>
      <c r="B17" s="16" t="s">
        <v>3305</v>
      </c>
      <c r="C17" s="16" t="s">
        <v>467</v>
      </c>
      <c r="D17" s="16">
        <v>2</v>
      </c>
      <c r="E17" s="16" t="s">
        <v>585</v>
      </c>
      <c r="F17" s="16" t="str">
        <f>VLOOKUP(Table28[[#This Row],[Country]],Table10[[COUNTRY NAME]:[CONTINENT CODE]],3,FALSE)</f>
        <v>EU</v>
      </c>
      <c r="G17" s="16" t="s">
        <v>16900</v>
      </c>
      <c r="H17" s="181">
        <v>15150</v>
      </c>
      <c r="I17" s="180">
        <v>35.5</v>
      </c>
      <c r="K17" s="316">
        <f>IFERROR(Table28[[#This Row],[ROUTE COST]]/Table28[[#This Row],[O - DEMAND]],0)</f>
        <v>0</v>
      </c>
      <c r="M17" s="16">
        <f>Table28[[#This Row],[O - DEMAND]]/950</f>
        <v>0</v>
      </c>
      <c r="N17" s="16">
        <f>IFERROR(VLOOKUP(Table28[[#This Row],[ROUTE]],DEMAND!A:F,5,FALSE),0)</f>
        <v>1435</v>
      </c>
      <c r="O17" s="16">
        <f>IFERROR(VLOOKUP(Table28[[#This Row],[ROUTE]],DEMAND!A:F,6,FALSE),0)</f>
        <v>1435</v>
      </c>
      <c r="P17" s="403">
        <f>ROUNDDOWN(Table28[[#This Row],[R-DEMAND]]/950,0)</f>
        <v>1</v>
      </c>
      <c r="Q17" s="16">
        <f>Table28[[#This Row],[ADD ACC
(475/950)]]*Table28[[#This Row],[Duration
(A359)]]</f>
        <v>35.5</v>
      </c>
      <c r="R17" s="16">
        <f>IFERROR(VLOOKUP(Table28[[#This Row],[ROUTE]],PRICING!A:B,2,FALSE),0)</f>
        <v>0</v>
      </c>
      <c r="S17" s="16">
        <f>Table28[[#This Row],[C_DEMAND]]-Table28[[#This Row],[R-DEMAND]]</f>
        <v>0</v>
      </c>
      <c r="T17" s="316">
        <f>Table28[[#This Row],[SEATS SOLD]]*Table28[[#This Row],[ECO SEAT]]</f>
        <v>0</v>
      </c>
      <c r="U17" s="316">
        <f>Table28[[#This Row],[SEATS SOLD]]*(IFERROR(VLOOKUP(Table28[[#This Row],[ROUTE]],PRICING!A:C,3,FALSE),0))</f>
        <v>0</v>
      </c>
      <c r="V17" s="316">
        <f>Table28[[#This Row],[SEAT REV]]-Table28[[#This Row],[SEAT REV
(IF IDEAL $)]]</f>
        <v>0</v>
      </c>
      <c r="AA17" s="26" t="s">
        <v>19648</v>
      </c>
      <c r="AB17" s="26" t="s">
        <v>71</v>
      </c>
      <c r="AC17" s="26" t="s">
        <v>4814</v>
      </c>
      <c r="AD17" s="174">
        <v>14123</v>
      </c>
      <c r="AE17" s="26">
        <v>2365</v>
      </c>
      <c r="AF17" s="16">
        <v>2365</v>
      </c>
      <c r="AS17" s="16" t="s">
        <v>1865</v>
      </c>
      <c r="AT17" s="16" t="s">
        <v>18104</v>
      </c>
      <c r="AU17" s="16" t="s">
        <v>4818</v>
      </c>
      <c r="AV17" s="16" t="s">
        <v>18878</v>
      </c>
      <c r="AW17" s="16" t="s">
        <v>18885</v>
      </c>
      <c r="AX17" s="16" t="s">
        <v>18989</v>
      </c>
      <c r="AY17" s="385">
        <v>2755</v>
      </c>
    </row>
    <row r="18" spans="1:51" x14ac:dyDescent="0.25">
      <c r="A18" s="16" t="s">
        <v>19776</v>
      </c>
      <c r="B18" s="16" t="s">
        <v>168</v>
      </c>
      <c r="C18" s="16" t="s">
        <v>467</v>
      </c>
      <c r="D18" s="16">
        <v>5</v>
      </c>
      <c r="E18" s="16" t="s">
        <v>11732</v>
      </c>
      <c r="F18" s="16" t="str">
        <f>VLOOKUP(Table28[[#This Row],[Country]],Table10[[COUNTRY NAME]:[CONTINENT CODE]],3,FALSE)</f>
        <v>NA - US</v>
      </c>
      <c r="G18" s="16" t="s">
        <v>13373</v>
      </c>
      <c r="H18" s="181">
        <v>15026</v>
      </c>
      <c r="I18" s="180">
        <v>35</v>
      </c>
      <c r="K18" s="316">
        <f>IFERROR(Table28[[#This Row],[ROUTE COST]]/Table28[[#This Row],[O - DEMAND]],0)</f>
        <v>0</v>
      </c>
      <c r="M18" s="180">
        <f>Table28[[#This Row],[O - DEMAND]]/950</f>
        <v>0</v>
      </c>
      <c r="N18" s="16">
        <f>IFERROR(VLOOKUP(Table28[[#This Row],[ROUTE]],DEMAND!A:F,5,FALSE),0)</f>
        <v>1845</v>
      </c>
      <c r="O18" s="16">
        <f>IFERROR(VLOOKUP(Table28[[#This Row],[ROUTE]],DEMAND!A:F,6,FALSE),0)</f>
        <v>1845</v>
      </c>
      <c r="P18" s="403">
        <f>ROUNDDOWN(Table28[[#This Row],[R-DEMAND]]/950,0)</f>
        <v>1</v>
      </c>
      <c r="Q18" s="16">
        <f>Table28[[#This Row],[ADD ACC
(475/950)]]*Table28[[#This Row],[Duration
(A359)]]</f>
        <v>35</v>
      </c>
      <c r="R18" s="16">
        <f>IFERROR(VLOOKUP(Table28[[#This Row],[ROUTE]],PRICING!A:B,2,FALSE),0)</f>
        <v>0</v>
      </c>
      <c r="S18" s="16">
        <f>Table28[[#This Row],[C_DEMAND]]-Table28[[#This Row],[R-DEMAND]]</f>
        <v>0</v>
      </c>
      <c r="T18" s="316">
        <f>Table28[[#This Row],[SEATS SOLD]]*Table28[[#This Row],[ECO SEAT]]</f>
        <v>0</v>
      </c>
      <c r="U18" s="316">
        <f>Table28[[#This Row],[SEATS SOLD]]*(IFERROR(VLOOKUP(Table28[[#This Row],[ROUTE]],PRICING!A:C,3,FALSE),0))</f>
        <v>0</v>
      </c>
      <c r="V18" s="316">
        <f>Table28[[#This Row],[SEAT REV]]-Table28[[#This Row],[SEAT REV
(IF IDEAL $)]]</f>
        <v>0</v>
      </c>
      <c r="AA18" s="26" t="s">
        <v>19246</v>
      </c>
      <c r="AB18" s="26" t="s">
        <v>71</v>
      </c>
      <c r="AC18" s="26" t="s">
        <v>448</v>
      </c>
      <c r="AD18" s="174">
        <v>10439</v>
      </c>
      <c r="AE18" s="26">
        <v>3809</v>
      </c>
      <c r="AF18" s="16">
        <v>3809</v>
      </c>
      <c r="AS18" s="16" t="s">
        <v>774</v>
      </c>
      <c r="AT18" s="16" t="s">
        <v>12090</v>
      </c>
      <c r="AU18" s="16" t="s">
        <v>4884</v>
      </c>
      <c r="AV18" s="16" t="s">
        <v>18884</v>
      </c>
      <c r="AW18" s="16" t="s">
        <v>18885</v>
      </c>
      <c r="AX18" s="16" t="s">
        <v>18911</v>
      </c>
      <c r="AY18" s="385">
        <v>3155</v>
      </c>
    </row>
    <row r="19" spans="1:51" x14ac:dyDescent="0.25">
      <c r="A19" s="16" t="s">
        <v>19694</v>
      </c>
      <c r="B19" s="16" t="s">
        <v>5719</v>
      </c>
      <c r="C19" s="16" t="s">
        <v>467</v>
      </c>
      <c r="D19" s="16">
        <v>5</v>
      </c>
      <c r="E19" s="16" t="s">
        <v>11732</v>
      </c>
      <c r="F19" s="16" t="str">
        <f>VLOOKUP(Table28[[#This Row],[Country]],Table10[[COUNTRY NAME]:[CONTINENT CODE]],3,FALSE)</f>
        <v>NA - US</v>
      </c>
      <c r="G19" s="16" t="s">
        <v>13294</v>
      </c>
      <c r="H19" s="181">
        <v>14503</v>
      </c>
      <c r="I19" s="180">
        <v>34</v>
      </c>
      <c r="K19" s="316">
        <f>IFERROR(Table28[[#This Row],[ROUTE COST]]/Table28[[#This Row],[O - DEMAND]],0)</f>
        <v>0</v>
      </c>
      <c r="M19" s="180">
        <f>Table28[[#This Row],[O - DEMAND]]/950</f>
        <v>0</v>
      </c>
      <c r="N19" s="16">
        <f>IFERROR(VLOOKUP(Table28[[#This Row],[ROUTE]],DEMAND!A:F,5,FALSE),0)</f>
        <v>1844</v>
      </c>
      <c r="O19" s="16">
        <f>IFERROR(VLOOKUP(Table28[[#This Row],[ROUTE]],DEMAND!A:F,6,FALSE),0)</f>
        <v>1844</v>
      </c>
      <c r="P19" s="403">
        <f>ROUNDDOWN(Table28[[#This Row],[R-DEMAND]]/950,0)</f>
        <v>1</v>
      </c>
      <c r="Q19" s="16">
        <f>Table28[[#This Row],[ADD ACC
(475/950)]]*Table28[[#This Row],[Duration
(A359)]]</f>
        <v>34</v>
      </c>
      <c r="R19" s="16">
        <f>IFERROR(VLOOKUP(Table28[[#This Row],[ROUTE]],PRICING!A:B,2,FALSE),0)</f>
        <v>0</v>
      </c>
      <c r="S19" s="16">
        <f>Table28[[#This Row],[C_DEMAND]]-Table28[[#This Row],[R-DEMAND]]</f>
        <v>0</v>
      </c>
      <c r="T19" s="316">
        <f>Table28[[#This Row],[SEATS SOLD]]*Table28[[#This Row],[ECO SEAT]]</f>
        <v>0</v>
      </c>
      <c r="U19" s="316">
        <f>Table28[[#This Row],[SEATS SOLD]]*(IFERROR(VLOOKUP(Table28[[#This Row],[ROUTE]],PRICING!A:C,3,FALSE),0))</f>
        <v>0</v>
      </c>
      <c r="V19" s="316">
        <f>Table28[[#This Row],[SEAT REV]]-Table28[[#This Row],[SEAT REV
(IF IDEAL $)]]</f>
        <v>0</v>
      </c>
      <c r="AA19" s="26" t="s">
        <v>19634</v>
      </c>
      <c r="AB19" s="26" t="s">
        <v>71</v>
      </c>
      <c r="AC19" s="26" t="s">
        <v>5317</v>
      </c>
      <c r="AD19" s="174">
        <v>14062</v>
      </c>
      <c r="AE19" s="26">
        <v>2442</v>
      </c>
      <c r="AF19" s="16">
        <v>2442</v>
      </c>
      <c r="AS19" s="16" t="s">
        <v>2356</v>
      </c>
      <c r="AT19" s="16" t="s">
        <v>11925</v>
      </c>
      <c r="AU19" s="16" t="s">
        <v>4804</v>
      </c>
      <c r="AV19" s="16" t="s">
        <v>18884</v>
      </c>
      <c r="AW19" s="16" t="s">
        <v>18885</v>
      </c>
      <c r="AX19" s="16" t="s">
        <v>18911</v>
      </c>
      <c r="AY19" s="385">
        <v>3170</v>
      </c>
    </row>
    <row r="20" spans="1:51" x14ac:dyDescent="0.25">
      <c r="A20" s="16" t="s">
        <v>19067</v>
      </c>
      <c r="B20" s="16" t="s">
        <v>143</v>
      </c>
      <c r="C20" s="16" t="s">
        <v>467</v>
      </c>
      <c r="D20" s="16">
        <v>4</v>
      </c>
      <c r="E20" s="16" t="s">
        <v>142</v>
      </c>
      <c r="F20" s="16" t="str">
        <f>VLOOKUP(Table28[[#This Row],[Country]],Table10[[COUNTRY NAME]:[CONTINENT CODE]],3,FALSE)</f>
        <v>AS</v>
      </c>
      <c r="G20" s="16" t="s">
        <v>11053</v>
      </c>
      <c r="H20" s="181">
        <v>7135</v>
      </c>
      <c r="I20" s="180">
        <v>17.75</v>
      </c>
      <c r="K20" s="316">
        <f>IFERROR(Table28[[#This Row],[ROUTE COST]]/Table28[[#This Row],[O - DEMAND]],0)</f>
        <v>0</v>
      </c>
      <c r="M20" s="16">
        <f>Table28[[#This Row],[O - DEMAND]]/950</f>
        <v>0</v>
      </c>
      <c r="N20" s="16">
        <f>IFERROR(VLOOKUP(Table28[[#This Row],[ROUTE]],DEMAND!A:F,5,FALSE),0)</f>
        <v>2482</v>
      </c>
      <c r="O20" s="16">
        <f>IFERROR(VLOOKUP(Table28[[#This Row],[ROUTE]],DEMAND!A:F,6,FALSE),0)</f>
        <v>1532</v>
      </c>
      <c r="P20" s="403">
        <f>ROUNDDOWN(Table28[[#This Row],[R-DEMAND]]/950,0)</f>
        <v>1</v>
      </c>
      <c r="Q20" s="16">
        <f>Table28[[#This Row],[ADD ACC
(475/950)]]*Table28[[#This Row],[Duration
(A359)]]</f>
        <v>17.75</v>
      </c>
      <c r="R20" s="16">
        <f>IFERROR(VLOOKUP(Table28[[#This Row],[ROUTE]],PRICING!A:B,2,FALSE),0)</f>
        <v>0</v>
      </c>
      <c r="S20" s="16">
        <f>Table28[[#This Row],[C_DEMAND]]-Table28[[#This Row],[R-DEMAND]]</f>
        <v>950</v>
      </c>
      <c r="T20" s="316">
        <f>Table28[[#This Row],[SEATS SOLD]]*Table28[[#This Row],[ECO SEAT]]</f>
        <v>0</v>
      </c>
      <c r="U20" s="316">
        <f>Table28[[#This Row],[SEATS SOLD]]*(IFERROR(VLOOKUP(Table28[[#This Row],[ROUTE]],PRICING!A:C,3,FALSE),0))</f>
        <v>0</v>
      </c>
      <c r="V20" s="316">
        <f>Table28[[#This Row],[SEAT REV]]-Table28[[#This Row],[SEAT REV
(IF IDEAL $)]]</f>
        <v>0</v>
      </c>
      <c r="AA20" s="26" t="s">
        <v>19454</v>
      </c>
      <c r="AB20" s="26" t="s">
        <v>71</v>
      </c>
      <c r="AC20" s="26" t="s">
        <v>4941</v>
      </c>
      <c r="AD20" s="174">
        <v>12824</v>
      </c>
      <c r="AE20" s="26">
        <v>3084</v>
      </c>
      <c r="AF20" s="16">
        <v>3084</v>
      </c>
      <c r="AS20" s="16" t="s">
        <v>774</v>
      </c>
      <c r="AT20" s="16" t="s">
        <v>12099</v>
      </c>
      <c r="AU20" s="16" t="s">
        <v>1937</v>
      </c>
      <c r="AV20" s="16" t="s">
        <v>18881</v>
      </c>
      <c r="AW20" s="16" t="s">
        <v>18890</v>
      </c>
      <c r="AX20" s="16" t="s">
        <v>18910</v>
      </c>
      <c r="AY20" s="385">
        <v>3271</v>
      </c>
    </row>
    <row r="21" spans="1:51" x14ac:dyDescent="0.25">
      <c r="A21" s="16" t="s">
        <v>19107</v>
      </c>
      <c r="B21" s="16" t="s">
        <v>114</v>
      </c>
      <c r="C21" s="16" t="s">
        <v>467</v>
      </c>
      <c r="D21" s="16">
        <v>5</v>
      </c>
      <c r="E21" s="16" t="s">
        <v>14</v>
      </c>
      <c r="F21" s="16" t="str">
        <f>VLOOKUP(Table28[[#This Row],[Country]],Table10[[COUNTRY NAME]:[CONTINENT CODE]],3,FALSE)</f>
        <v>AS</v>
      </c>
      <c r="G21" s="16" t="s">
        <v>12045</v>
      </c>
      <c r="H21" s="181">
        <v>7867</v>
      </c>
      <c r="I21" s="180">
        <v>19.5</v>
      </c>
      <c r="K21" s="316">
        <f>IFERROR(Table28[[#This Row],[ROUTE COST]]/Table28[[#This Row],[O - DEMAND]],0)</f>
        <v>0</v>
      </c>
      <c r="M21" s="16">
        <f>Table28[[#This Row],[O - DEMAND]]/950</f>
        <v>0</v>
      </c>
      <c r="N21" s="16">
        <f>IFERROR(VLOOKUP(Table28[[#This Row],[ROUTE]],DEMAND!A:F,5,FALSE),0)</f>
        <v>3380</v>
      </c>
      <c r="O21" s="16">
        <f>IFERROR(VLOOKUP(Table28[[#This Row],[ROUTE]],DEMAND!A:F,6,FALSE),0)</f>
        <v>1480</v>
      </c>
      <c r="P21" s="403">
        <f>ROUNDDOWN(Table28[[#This Row],[R-DEMAND]]/950,0)</f>
        <v>1</v>
      </c>
      <c r="Q21" s="16">
        <f>Table28[[#This Row],[ADD ACC
(475/950)]]*Table28[[#This Row],[Duration
(A359)]]</f>
        <v>19.5</v>
      </c>
      <c r="R21" s="16">
        <f>IFERROR(VLOOKUP(Table28[[#This Row],[ROUTE]],PRICING!A:B,2,FALSE),0)</f>
        <v>0</v>
      </c>
      <c r="S21" s="16">
        <f>Table28[[#This Row],[C_DEMAND]]-Table28[[#This Row],[R-DEMAND]]</f>
        <v>1900</v>
      </c>
      <c r="T21" s="316">
        <f>Table28[[#This Row],[SEATS SOLD]]*Table28[[#This Row],[ECO SEAT]]</f>
        <v>0</v>
      </c>
      <c r="U21" s="316">
        <f>Table28[[#This Row],[SEATS SOLD]]*(IFERROR(VLOOKUP(Table28[[#This Row],[ROUTE]],PRICING!A:C,3,FALSE),0))</f>
        <v>0</v>
      </c>
      <c r="V21" s="316">
        <f>Table28[[#This Row],[SEAT REV]]-Table28[[#This Row],[SEAT REV
(IF IDEAL $)]]</f>
        <v>0</v>
      </c>
      <c r="AA21" s="26" t="s">
        <v>19399</v>
      </c>
      <c r="AB21" s="26" t="s">
        <v>71</v>
      </c>
      <c r="AC21" s="26" t="s">
        <v>4499</v>
      </c>
      <c r="AD21" s="174">
        <v>12465</v>
      </c>
      <c r="AE21" s="26">
        <v>3172</v>
      </c>
      <c r="AF21" s="16">
        <v>3172</v>
      </c>
      <c r="AS21" s="16" t="s">
        <v>774</v>
      </c>
      <c r="AT21" s="16" t="s">
        <v>11050</v>
      </c>
      <c r="AU21" s="16" t="s">
        <v>126</v>
      </c>
      <c r="AV21" s="16" t="s">
        <v>18884</v>
      </c>
      <c r="AW21" s="16" t="s">
        <v>18899</v>
      </c>
      <c r="AX21" s="16" t="s">
        <v>18910</v>
      </c>
      <c r="AY21" s="385">
        <v>3279</v>
      </c>
    </row>
    <row r="22" spans="1:51" x14ac:dyDescent="0.25">
      <c r="A22" s="16" t="s">
        <v>19674</v>
      </c>
      <c r="B22" s="16" t="s">
        <v>5240</v>
      </c>
      <c r="C22" s="16" t="s">
        <v>467</v>
      </c>
      <c r="D22" s="16">
        <v>3</v>
      </c>
      <c r="E22" s="16" t="s">
        <v>514</v>
      </c>
      <c r="F22" s="16" t="str">
        <f>VLOOKUP(Table28[[#This Row],[Country]],Table10[[COUNTRY NAME]:[CONTINENT CODE]],3,FALSE)</f>
        <v>NA</v>
      </c>
      <c r="G22" s="16" t="s">
        <v>13166</v>
      </c>
      <c r="H22" s="181">
        <v>14302</v>
      </c>
      <c r="I22" s="180">
        <v>33.5</v>
      </c>
      <c r="K22" s="316">
        <f>IFERROR(Table28[[#This Row],[ROUTE COST]]/Table28[[#This Row],[O - DEMAND]],0)</f>
        <v>0</v>
      </c>
      <c r="M22" s="16">
        <f>Table28[[#This Row],[O - DEMAND]]/950</f>
        <v>0</v>
      </c>
      <c r="N22" s="16">
        <f>IFERROR(VLOOKUP(Table28[[#This Row],[ROUTE]],DEMAND!A:F,5,FALSE),0)</f>
        <v>1657</v>
      </c>
      <c r="O22" s="16">
        <f>IFERROR(VLOOKUP(Table28[[#This Row],[ROUTE]],DEMAND!A:F,6,FALSE),0)</f>
        <v>1657</v>
      </c>
      <c r="P22" s="403">
        <f>ROUNDDOWN(Table28[[#This Row],[R-DEMAND]]/950,0)</f>
        <v>1</v>
      </c>
      <c r="Q22" s="16">
        <f>Table28[[#This Row],[ADD ACC
(475/950)]]*Table28[[#This Row],[Duration
(A359)]]</f>
        <v>33.5</v>
      </c>
      <c r="R22" s="16">
        <f>IFERROR(VLOOKUP(Table28[[#This Row],[ROUTE]],PRICING!A:B,2,FALSE),0)</f>
        <v>0</v>
      </c>
      <c r="S22" s="16">
        <f>Table28[[#This Row],[C_DEMAND]]-Table28[[#This Row],[R-DEMAND]]</f>
        <v>0</v>
      </c>
      <c r="T22" s="316">
        <f>Table28[[#This Row],[SEATS SOLD]]*Table28[[#This Row],[ECO SEAT]]</f>
        <v>0</v>
      </c>
      <c r="U22" s="316">
        <f>Table28[[#This Row],[SEATS SOLD]]*(IFERROR(VLOOKUP(Table28[[#This Row],[ROUTE]],PRICING!A:C,3,FALSE),0))</f>
        <v>0</v>
      </c>
      <c r="V22" s="316">
        <f>Table28[[#This Row],[SEAT REV]]-Table28[[#This Row],[SEAT REV
(IF IDEAL $)]]</f>
        <v>0</v>
      </c>
      <c r="AA22" s="26" t="s">
        <v>19483</v>
      </c>
      <c r="AB22" s="26" t="s">
        <v>71</v>
      </c>
      <c r="AC22" s="26" t="s">
        <v>10817</v>
      </c>
      <c r="AD22" s="174">
        <v>12988</v>
      </c>
      <c r="AE22" s="26">
        <v>3717</v>
      </c>
      <c r="AF22" s="16">
        <v>3717</v>
      </c>
      <c r="AS22" s="16" t="s">
        <v>1646</v>
      </c>
      <c r="AT22" s="16" t="s">
        <v>16852</v>
      </c>
      <c r="AU22" s="16" t="s">
        <v>3012</v>
      </c>
      <c r="AV22" s="16" t="s">
        <v>18878</v>
      </c>
      <c r="AW22" s="16" t="s">
        <v>18879</v>
      </c>
      <c r="AX22" s="16" t="s">
        <v>18992</v>
      </c>
      <c r="AY22" s="385">
        <v>3587</v>
      </c>
    </row>
    <row r="23" spans="1:51" x14ac:dyDescent="0.25">
      <c r="A23" s="16" t="s">
        <v>19059</v>
      </c>
      <c r="B23" s="16" t="s">
        <v>1333</v>
      </c>
      <c r="D23" s="16">
        <v>1</v>
      </c>
      <c r="E23" s="16" t="s">
        <v>662</v>
      </c>
      <c r="F23" s="16" t="str">
        <f>VLOOKUP(Table28[[#This Row],[Country]],Table10[[COUNTRY NAME]:[CONTINENT CODE]],3,FALSE)</f>
        <v>OC</v>
      </c>
      <c r="G23" s="16" t="s">
        <v>11694</v>
      </c>
      <c r="H23" s="181">
        <v>6890</v>
      </c>
      <c r="I23" s="180">
        <v>17.25</v>
      </c>
      <c r="K23" s="316">
        <f>IFERROR(Table28[[#This Row],[ROUTE COST]]/Table28[[#This Row],[O - DEMAND]],0)</f>
        <v>0</v>
      </c>
      <c r="M23" s="16">
        <f>Table28[[#This Row],[O - DEMAND]]/950</f>
        <v>0</v>
      </c>
      <c r="N23" s="16">
        <f>IFERROR(VLOOKUP(Table28[[#This Row],[ROUTE]],DEMAND!A:F,5,FALSE),0)</f>
        <v>1737</v>
      </c>
      <c r="O23" s="16">
        <f>IFERROR(VLOOKUP(Table28[[#This Row],[ROUTE]],DEMAND!A:F,6,FALSE),0)</f>
        <v>1737</v>
      </c>
      <c r="P23" s="16">
        <f>ROUNDDOWN(Table28[[#This Row],[R-DEMAND]]/950,0)</f>
        <v>1</v>
      </c>
      <c r="Q23" s="16">
        <f>Table28[[#This Row],[ADD ACC
(475/950)]]*Table28[[#This Row],[Duration
(A359)]]</f>
        <v>17.25</v>
      </c>
      <c r="R23" s="16">
        <f>IFERROR(VLOOKUP(Table28[[#This Row],[ROUTE]],PRICING!A:B,2,FALSE),0)</f>
        <v>0</v>
      </c>
      <c r="S23" s="16">
        <f>Table28[[#This Row],[C_DEMAND]]-Table28[[#This Row],[R-DEMAND]]</f>
        <v>0</v>
      </c>
      <c r="T23" s="316">
        <f>Table28[[#This Row],[SEATS SOLD]]*Table28[[#This Row],[ECO SEAT]]</f>
        <v>0</v>
      </c>
      <c r="U23" s="316">
        <f>Table28[[#This Row],[SEATS SOLD]]*(IFERROR(VLOOKUP(Table28[[#This Row],[ROUTE]],PRICING!A:C,3,FALSE),0))</f>
        <v>0</v>
      </c>
      <c r="V23" s="316">
        <f>Table28[[#This Row],[SEAT REV]]-Table28[[#This Row],[SEAT REV
(IF IDEAL $)]]</f>
        <v>0</v>
      </c>
      <c r="AA23" s="26" t="s">
        <v>19444</v>
      </c>
      <c r="AB23" s="26" t="s">
        <v>71</v>
      </c>
      <c r="AC23" s="26" t="s">
        <v>443</v>
      </c>
      <c r="AD23" s="174">
        <v>12773</v>
      </c>
      <c r="AE23" s="26">
        <v>2807</v>
      </c>
      <c r="AF23" s="16">
        <v>2807</v>
      </c>
      <c r="AS23" s="16" t="s">
        <v>774</v>
      </c>
      <c r="AT23" s="16" t="s">
        <v>8897</v>
      </c>
      <c r="AU23" s="16" t="s">
        <v>2231</v>
      </c>
      <c r="AV23" s="16" t="s">
        <v>18881</v>
      </c>
      <c r="AW23" s="16" t="s">
        <v>18890</v>
      </c>
      <c r="AX23" s="16" t="s">
        <v>18909</v>
      </c>
      <c r="AY23" s="385">
        <v>3840</v>
      </c>
    </row>
    <row r="24" spans="1:51" x14ac:dyDescent="0.25">
      <c r="A24" s="16" t="s">
        <v>19667</v>
      </c>
      <c r="B24" s="16" t="s">
        <v>1126</v>
      </c>
      <c r="D24" s="16">
        <v>1</v>
      </c>
      <c r="E24" s="16" t="s">
        <v>1124</v>
      </c>
      <c r="F24" s="16" t="str">
        <f>VLOOKUP(Table28[[#This Row],[Country]],Table10[[COUNTRY NAME]:[CONTINENT CODE]],3,FALSE)</f>
        <v>AF</v>
      </c>
      <c r="G24" s="16" t="s">
        <v>11871</v>
      </c>
      <c r="H24" s="181">
        <v>14228</v>
      </c>
      <c r="I24" s="180">
        <v>33.25</v>
      </c>
      <c r="K24" s="316">
        <f>IFERROR(Table28[[#This Row],[ROUTE COST]]/Table28[[#This Row],[O - DEMAND]],0)</f>
        <v>0</v>
      </c>
      <c r="M24" s="16">
        <f>Table28[[#This Row],[O - DEMAND]]/950</f>
        <v>0</v>
      </c>
      <c r="N24" s="16">
        <f>IFERROR(VLOOKUP(Table28[[#This Row],[ROUTE]],DEMAND!A:F,5,FALSE),0)</f>
        <v>0</v>
      </c>
      <c r="O24" s="16">
        <f>IFERROR(VLOOKUP(Table28[[#This Row],[ROUTE]],DEMAND!A:F,6,FALSE),0)</f>
        <v>0</v>
      </c>
      <c r="P24" s="16">
        <f>ROUNDDOWN(Table28[[#This Row],[R-DEMAND]]/950,0)</f>
        <v>0</v>
      </c>
      <c r="Q24" s="16">
        <f>Table28[[#This Row],[ADD ACC
(475/950)]]*Table28[[#This Row],[Duration
(A359)]]</f>
        <v>0</v>
      </c>
      <c r="R24" s="16">
        <f>IFERROR(VLOOKUP(Table28[[#This Row],[ROUTE]],PRICING!A:B,2,FALSE),0)</f>
        <v>0</v>
      </c>
      <c r="S24" s="16">
        <f>Table28[[#This Row],[C_DEMAND]]-Table28[[#This Row],[R-DEMAND]]</f>
        <v>0</v>
      </c>
      <c r="T24" s="316">
        <f>Table28[[#This Row],[SEATS SOLD]]*Table28[[#This Row],[ECO SEAT]]</f>
        <v>0</v>
      </c>
      <c r="U24" s="316">
        <f>Table28[[#This Row],[SEATS SOLD]]*(IFERROR(VLOOKUP(Table28[[#This Row],[ROUTE]],PRICING!A:C,3,FALSE),0))</f>
        <v>0</v>
      </c>
      <c r="V24" s="316">
        <f>Table28[[#This Row],[SEAT REV]]-Table28[[#This Row],[SEAT REV
(IF IDEAL $)]]</f>
        <v>0</v>
      </c>
      <c r="AA24" s="26" t="s">
        <v>19627</v>
      </c>
      <c r="AB24" s="26" t="s">
        <v>71</v>
      </c>
      <c r="AC24" s="26" t="s">
        <v>4640</v>
      </c>
      <c r="AD24" s="174">
        <v>14007</v>
      </c>
      <c r="AE24" s="26">
        <v>2298</v>
      </c>
      <c r="AF24" s="16">
        <v>2298</v>
      </c>
      <c r="AS24" s="16" t="s">
        <v>3706</v>
      </c>
      <c r="AT24" s="16" t="s">
        <v>11862</v>
      </c>
      <c r="AU24" s="16" t="s">
        <v>3708</v>
      </c>
      <c r="AV24" s="16" t="s">
        <v>18892</v>
      </c>
      <c r="AW24" s="16" t="s">
        <v>18879</v>
      </c>
      <c r="AX24" s="16" t="s">
        <v>18991</v>
      </c>
      <c r="AY24" s="385">
        <v>4326</v>
      </c>
    </row>
    <row r="25" spans="1:51" x14ac:dyDescent="0.25">
      <c r="A25" s="16" t="s">
        <v>19342</v>
      </c>
      <c r="B25" s="16" t="s">
        <v>2872</v>
      </c>
      <c r="D25" s="16">
        <v>2</v>
      </c>
      <c r="E25" s="16" t="s">
        <v>1847</v>
      </c>
      <c r="F25" s="16" t="str">
        <f>VLOOKUP(Table28[[#This Row],[Country]],Table10[[COUNTRY NAME]:[CONTINENT CODE]],3,FALSE)</f>
        <v>AS</v>
      </c>
      <c r="G25" s="16" t="s">
        <v>11982</v>
      </c>
      <c r="H25" s="181">
        <v>11971</v>
      </c>
      <c r="I25" s="180">
        <v>28.5</v>
      </c>
      <c r="K25" s="316">
        <f>IFERROR(Table28[[#This Row],[ROUTE COST]]/Table28[[#This Row],[O - DEMAND]],0)</f>
        <v>0</v>
      </c>
      <c r="M25" s="16">
        <f>Table28[[#This Row],[O - DEMAND]]/950</f>
        <v>0</v>
      </c>
      <c r="N25" s="16">
        <f>IFERROR(VLOOKUP(Table28[[#This Row],[ROUTE]],DEMAND!A:F,5,FALSE),0)</f>
        <v>0</v>
      </c>
      <c r="O25" s="16">
        <f>IFERROR(VLOOKUP(Table28[[#This Row],[ROUTE]],DEMAND!A:F,6,FALSE),0)</f>
        <v>0</v>
      </c>
      <c r="P25" s="16">
        <f>ROUNDDOWN(Table28[[#This Row],[R-DEMAND]]/950,0)</f>
        <v>0</v>
      </c>
      <c r="Q25" s="16">
        <f>Table28[[#This Row],[ADD ACC
(475/950)]]*Table28[[#This Row],[Duration
(A359)]]</f>
        <v>0</v>
      </c>
      <c r="R25" s="16">
        <f>IFERROR(VLOOKUP(Table28[[#This Row],[ROUTE]],PRICING!A:B,2,FALSE),0)</f>
        <v>0</v>
      </c>
      <c r="S25" s="16">
        <f>Table28[[#This Row],[C_DEMAND]]-Table28[[#This Row],[R-DEMAND]]</f>
        <v>0</v>
      </c>
      <c r="T25" s="316">
        <f>Table28[[#This Row],[SEATS SOLD]]*Table28[[#This Row],[ECO SEAT]]</f>
        <v>0</v>
      </c>
      <c r="U25" s="316">
        <f>Table28[[#This Row],[SEATS SOLD]]*(IFERROR(VLOOKUP(Table28[[#This Row],[ROUTE]],PRICING!A:C,3,FALSE),0))</f>
        <v>0</v>
      </c>
      <c r="V25" s="316">
        <f>Table28[[#This Row],[SEAT REV]]-Table28[[#This Row],[SEAT REV
(IF IDEAL $)]]</f>
        <v>0</v>
      </c>
      <c r="AA25" s="26" t="s">
        <v>19480</v>
      </c>
      <c r="AB25" s="26" t="s">
        <v>71</v>
      </c>
      <c r="AC25" s="26" t="s">
        <v>4945</v>
      </c>
      <c r="AD25" s="174">
        <v>12975</v>
      </c>
      <c r="AE25" s="26">
        <v>3094</v>
      </c>
      <c r="AF25" s="16">
        <v>3094</v>
      </c>
      <c r="AS25" s="16" t="s">
        <v>2623</v>
      </c>
      <c r="AT25" s="16" t="s">
        <v>11860</v>
      </c>
      <c r="AU25" s="16" t="s">
        <v>2625</v>
      </c>
      <c r="AV25" s="16" t="s">
        <v>18881</v>
      </c>
      <c r="AW25" s="16" t="s">
        <v>18879</v>
      </c>
      <c r="AX25" s="16" t="s">
        <v>18887</v>
      </c>
      <c r="AY25" s="385">
        <v>4403</v>
      </c>
    </row>
    <row r="26" spans="1:51" x14ac:dyDescent="0.25">
      <c r="A26" s="16" t="s">
        <v>19297</v>
      </c>
      <c r="B26" s="16" t="s">
        <v>2268</v>
      </c>
      <c r="D26" s="16">
        <v>1</v>
      </c>
      <c r="E26" s="16" t="s">
        <v>78</v>
      </c>
      <c r="F26" s="16" t="str">
        <f>VLOOKUP(Table28[[#This Row],[Country]],Table10[[COUNTRY NAME]:[CONTINENT CODE]],3,FALSE)</f>
        <v>EU</v>
      </c>
      <c r="G26" s="16" t="s">
        <v>11013</v>
      </c>
      <c r="H26" s="181">
        <v>11315</v>
      </c>
      <c r="I26" s="180">
        <v>27</v>
      </c>
      <c r="K26" s="316">
        <f>IFERROR(Table28[[#This Row],[ROUTE COST]]/Table28[[#This Row],[O - DEMAND]],0)</f>
        <v>0</v>
      </c>
      <c r="M26" s="16">
        <f>Table28[[#This Row],[O - DEMAND]]/950</f>
        <v>0</v>
      </c>
      <c r="N26" s="16">
        <f>IFERROR(VLOOKUP(Table28[[#This Row],[ROUTE]],DEMAND!A:F,5,FALSE),0)</f>
        <v>0</v>
      </c>
      <c r="O26" s="16">
        <f>IFERROR(VLOOKUP(Table28[[#This Row],[ROUTE]],DEMAND!A:F,6,FALSE),0)</f>
        <v>0</v>
      </c>
      <c r="P26" s="16">
        <f>ROUNDDOWN(Table28[[#This Row],[R-DEMAND]]/950,0)</f>
        <v>0</v>
      </c>
      <c r="Q26" s="16">
        <f>Table28[[#This Row],[ADD ACC
(475/950)]]*Table28[[#This Row],[Duration
(A359)]]</f>
        <v>0</v>
      </c>
      <c r="R26" s="16">
        <f>IFERROR(VLOOKUP(Table28[[#This Row],[ROUTE]],PRICING!A:B,2,FALSE),0)</f>
        <v>0</v>
      </c>
      <c r="S26" s="16">
        <f>Table28[[#This Row],[C_DEMAND]]-Table28[[#This Row],[R-DEMAND]]</f>
        <v>0</v>
      </c>
      <c r="T26" s="316">
        <f>Table28[[#This Row],[SEATS SOLD]]*Table28[[#This Row],[ECO SEAT]]</f>
        <v>0</v>
      </c>
      <c r="U26" s="316">
        <f>Table28[[#This Row],[SEATS SOLD]]*(IFERROR(VLOOKUP(Table28[[#This Row],[ROUTE]],PRICING!A:C,3,FALSE),0))</f>
        <v>0</v>
      </c>
      <c r="V26" s="316">
        <f>Table28[[#This Row],[SEAT REV]]-Table28[[#This Row],[SEAT REV
(IF IDEAL $)]]</f>
        <v>0</v>
      </c>
      <c r="AA26" s="26" t="s">
        <v>19763</v>
      </c>
      <c r="AB26" s="26" t="s">
        <v>71</v>
      </c>
      <c r="AC26" s="26" t="s">
        <v>5768</v>
      </c>
      <c r="AD26" s="174">
        <v>14947</v>
      </c>
      <c r="AE26" s="26">
        <v>1920</v>
      </c>
      <c r="AF26" s="16">
        <v>1920</v>
      </c>
      <c r="AS26" s="16" t="s">
        <v>1261</v>
      </c>
      <c r="AT26" s="16" t="s">
        <v>18107</v>
      </c>
      <c r="AU26" s="16" t="s">
        <v>5287</v>
      </c>
      <c r="AV26" s="16" t="s">
        <v>18878</v>
      </c>
      <c r="AW26" s="16" t="s">
        <v>18899</v>
      </c>
      <c r="AX26" s="16" t="s">
        <v>18982</v>
      </c>
      <c r="AY26" s="385">
        <v>4533</v>
      </c>
    </row>
    <row r="27" spans="1:51" x14ac:dyDescent="0.25">
      <c r="A27" s="16" t="s">
        <v>19502</v>
      </c>
      <c r="B27" s="16" t="s">
        <v>5411</v>
      </c>
      <c r="D27" s="16">
        <v>4</v>
      </c>
      <c r="E27" s="16" t="s">
        <v>11732</v>
      </c>
      <c r="F27" s="16" t="str">
        <f>VLOOKUP(Table28[[#This Row],[Country]],Table10[[COUNTRY NAME]:[CONTINENT CODE]],3,FALSE)</f>
        <v>NA - US</v>
      </c>
      <c r="G27" s="16" t="s">
        <v>13292</v>
      </c>
      <c r="H27" s="181">
        <v>13087</v>
      </c>
      <c r="I27" s="180">
        <v>30.75</v>
      </c>
      <c r="K27" s="316">
        <f>IFERROR(Table28[[#This Row],[ROUTE COST]]/Table28[[#This Row],[O - DEMAND]],0)</f>
        <v>0</v>
      </c>
      <c r="M27" s="180">
        <f>Table28[[#This Row],[O - DEMAND]]/950</f>
        <v>0</v>
      </c>
      <c r="N27" s="16">
        <f>IFERROR(VLOOKUP(Table28[[#This Row],[ROUTE]],DEMAND!A:F,5,FALSE),0)</f>
        <v>0</v>
      </c>
      <c r="O27" s="16">
        <f>IFERROR(VLOOKUP(Table28[[#This Row],[ROUTE]],DEMAND!A:F,6,FALSE),0)</f>
        <v>0</v>
      </c>
      <c r="P27" s="16">
        <f>ROUNDDOWN(Table28[[#This Row],[R-DEMAND]]/950,0)</f>
        <v>0</v>
      </c>
      <c r="Q27" s="16">
        <f>Table28[[#This Row],[ADD ACC
(475/950)]]*Table28[[#This Row],[Duration
(A359)]]</f>
        <v>0</v>
      </c>
      <c r="R27" s="16">
        <f>IFERROR(VLOOKUP(Table28[[#This Row],[ROUTE]],PRICING!A:B,2,FALSE),0)</f>
        <v>0</v>
      </c>
      <c r="S27" s="16">
        <f>Table28[[#This Row],[C_DEMAND]]-Table28[[#This Row],[R-DEMAND]]</f>
        <v>0</v>
      </c>
      <c r="T27" s="316">
        <f>Table28[[#This Row],[SEATS SOLD]]*Table28[[#This Row],[ECO SEAT]]</f>
        <v>0</v>
      </c>
      <c r="U27" s="316">
        <f>Table28[[#This Row],[SEATS SOLD]]*(IFERROR(VLOOKUP(Table28[[#This Row],[ROUTE]],PRICING!A:C,3,FALSE),0))</f>
        <v>0</v>
      </c>
      <c r="V27" s="316">
        <f>Table28[[#This Row],[SEAT REV]]-Table28[[#This Row],[SEAT REV
(IF IDEAL $)]]</f>
        <v>0</v>
      </c>
      <c r="AA27" s="26" t="s">
        <v>19355</v>
      </c>
      <c r="AB27" s="26" t="s">
        <v>71</v>
      </c>
      <c r="AC27" s="26" t="s">
        <v>435</v>
      </c>
      <c r="AD27" s="174">
        <v>12064</v>
      </c>
      <c r="AE27" s="26">
        <v>2908</v>
      </c>
      <c r="AF27" s="16">
        <v>2908</v>
      </c>
      <c r="AS27" s="16" t="s">
        <v>1261</v>
      </c>
      <c r="AT27" s="16" t="s">
        <v>12110</v>
      </c>
      <c r="AU27" s="16" t="s">
        <v>37</v>
      </c>
      <c r="AV27" s="16" t="s">
        <v>18881</v>
      </c>
      <c r="AW27" s="16" t="s">
        <v>18885</v>
      </c>
      <c r="AX27" s="16" t="s">
        <v>18981</v>
      </c>
      <c r="AY27" s="385">
        <v>4577</v>
      </c>
    </row>
    <row r="28" spans="1:51" x14ac:dyDescent="0.25">
      <c r="A28" s="16" t="s">
        <v>19630</v>
      </c>
      <c r="B28" s="16" t="s">
        <v>4229</v>
      </c>
      <c r="D28" s="16">
        <v>2</v>
      </c>
      <c r="E28" s="16" t="s">
        <v>1124</v>
      </c>
      <c r="F28" s="16" t="str">
        <f>VLOOKUP(Table28[[#This Row],[Country]],Table10[[COUNTRY NAME]:[CONTINENT CODE]],3,FALSE)</f>
        <v>AF</v>
      </c>
      <c r="G28" s="16" t="s">
        <v>11001</v>
      </c>
      <c r="H28" s="181">
        <v>14040</v>
      </c>
      <c r="I28" s="180">
        <v>33</v>
      </c>
      <c r="K28" s="316">
        <f>IFERROR(Table28[[#This Row],[ROUTE COST]]/Table28[[#This Row],[O - DEMAND]],0)</f>
        <v>0</v>
      </c>
      <c r="M28" s="16">
        <f>Table28[[#This Row],[O - DEMAND]]/950</f>
        <v>0</v>
      </c>
      <c r="N28" s="16">
        <f>IFERROR(VLOOKUP(Table28[[#This Row],[ROUTE]],DEMAND!A:F,5,FALSE),0)</f>
        <v>0</v>
      </c>
      <c r="O28" s="16">
        <f>IFERROR(VLOOKUP(Table28[[#This Row],[ROUTE]],DEMAND!A:F,6,FALSE),0)</f>
        <v>0</v>
      </c>
      <c r="P28" s="16">
        <f>ROUNDDOWN(Table28[[#This Row],[R-DEMAND]]/950,0)</f>
        <v>0</v>
      </c>
      <c r="Q28" s="16">
        <f>Table28[[#This Row],[ADD ACC
(475/950)]]*Table28[[#This Row],[Duration
(A359)]]</f>
        <v>0</v>
      </c>
      <c r="R28" s="16">
        <f>IFERROR(VLOOKUP(Table28[[#This Row],[ROUTE]],PRICING!A:B,2,FALSE),0)</f>
        <v>0</v>
      </c>
      <c r="S28" s="16">
        <f>Table28[[#This Row],[C_DEMAND]]-Table28[[#This Row],[R-DEMAND]]</f>
        <v>0</v>
      </c>
      <c r="T28" s="316">
        <f>Table28[[#This Row],[SEATS SOLD]]*Table28[[#This Row],[ECO SEAT]]</f>
        <v>0</v>
      </c>
      <c r="U28" s="316">
        <f>Table28[[#This Row],[SEATS SOLD]]*(IFERROR(VLOOKUP(Table28[[#This Row],[ROUTE]],PRICING!A:C,3,FALSE),0))</f>
        <v>0</v>
      </c>
      <c r="V28" s="316">
        <f>Table28[[#This Row],[SEAT REV]]-Table28[[#This Row],[SEAT REV
(IF IDEAL $)]]</f>
        <v>0</v>
      </c>
      <c r="AA28" s="26" t="s">
        <v>19412</v>
      </c>
      <c r="AB28" s="26" t="s">
        <v>71</v>
      </c>
      <c r="AC28" s="26" t="s">
        <v>3941</v>
      </c>
      <c r="AD28" s="174">
        <v>12537</v>
      </c>
      <c r="AE28" s="26">
        <v>4004</v>
      </c>
      <c r="AF28" s="16">
        <v>4004</v>
      </c>
      <c r="AS28" s="16" t="s">
        <v>1261</v>
      </c>
      <c r="AT28" s="16" t="s">
        <v>11089</v>
      </c>
      <c r="AU28" s="16" t="s">
        <v>328</v>
      </c>
      <c r="AV28" s="16" t="s">
        <v>18892</v>
      </c>
      <c r="AW28" s="16" t="s">
        <v>18899</v>
      </c>
      <c r="AX28" s="16" t="s">
        <v>18981</v>
      </c>
      <c r="AY28" s="385">
        <v>4623</v>
      </c>
    </row>
    <row r="29" spans="1:51" x14ac:dyDescent="0.25">
      <c r="A29" s="16" t="s">
        <v>19489</v>
      </c>
      <c r="B29" s="16" t="s">
        <v>3497</v>
      </c>
      <c r="D29" s="16">
        <v>2</v>
      </c>
      <c r="E29" s="16" t="s">
        <v>172</v>
      </c>
      <c r="F29" s="16" t="str">
        <f>VLOOKUP(Table28[[#This Row],[Country]],Table10[[COUNTRY NAME]:[CONTINENT CODE]],3,FALSE)</f>
        <v>AS</v>
      </c>
      <c r="G29" s="16" t="s">
        <v>11931</v>
      </c>
      <c r="H29" s="181">
        <v>13013</v>
      </c>
      <c r="I29" s="180">
        <v>30.75</v>
      </c>
      <c r="K29" s="316">
        <f>IFERROR(Table28[[#This Row],[ROUTE COST]]/Table28[[#This Row],[O - DEMAND]],0)</f>
        <v>0</v>
      </c>
      <c r="M29" s="16">
        <f>Table28[[#This Row],[O - DEMAND]]/950</f>
        <v>0</v>
      </c>
      <c r="N29" s="16">
        <f>IFERROR(VLOOKUP(Table28[[#This Row],[ROUTE]],DEMAND!A:F,5,FALSE),0)</f>
        <v>0</v>
      </c>
      <c r="O29" s="16">
        <f>IFERROR(VLOOKUP(Table28[[#This Row],[ROUTE]],DEMAND!A:F,6,FALSE),0)</f>
        <v>0</v>
      </c>
      <c r="P29" s="16">
        <f>ROUNDDOWN(Table28[[#This Row],[R-DEMAND]]/950,0)</f>
        <v>0</v>
      </c>
      <c r="Q29" s="16">
        <f>Table28[[#This Row],[ADD ACC
(475/950)]]*Table28[[#This Row],[Duration
(A359)]]</f>
        <v>0</v>
      </c>
      <c r="R29" s="16">
        <f>IFERROR(VLOOKUP(Table28[[#This Row],[ROUTE]],PRICING!A:B,2,FALSE),0)</f>
        <v>0</v>
      </c>
      <c r="S29" s="16">
        <f>Table28[[#This Row],[C_DEMAND]]-Table28[[#This Row],[R-DEMAND]]</f>
        <v>0</v>
      </c>
      <c r="T29" s="316">
        <f>Table28[[#This Row],[SEATS SOLD]]*Table28[[#This Row],[ECO SEAT]]</f>
        <v>0</v>
      </c>
      <c r="U29" s="316">
        <f>Table28[[#This Row],[SEATS SOLD]]*(IFERROR(VLOOKUP(Table28[[#This Row],[ROUTE]],PRICING!A:C,3,FALSE),0))</f>
        <v>0</v>
      </c>
      <c r="V29" s="316">
        <f>Table28[[#This Row],[SEAT REV]]-Table28[[#This Row],[SEAT REV
(IF IDEAL $)]]</f>
        <v>0</v>
      </c>
      <c r="AA29" s="26" t="s">
        <v>19471</v>
      </c>
      <c r="AB29" s="26" t="s">
        <v>71</v>
      </c>
      <c r="AC29" s="26" t="s">
        <v>4964</v>
      </c>
      <c r="AD29" s="174">
        <v>12933</v>
      </c>
      <c r="AE29" s="26">
        <v>3157</v>
      </c>
      <c r="AF29" s="16">
        <v>3157</v>
      </c>
      <c r="AS29" s="16" t="s">
        <v>1261</v>
      </c>
      <c r="AT29" s="16" t="s">
        <v>18106</v>
      </c>
      <c r="AU29" s="16" t="s">
        <v>3829</v>
      </c>
      <c r="AV29" s="16" t="s">
        <v>18878</v>
      </c>
      <c r="AW29" s="16" t="s">
        <v>18879</v>
      </c>
      <c r="AX29" s="16" t="s">
        <v>18980</v>
      </c>
      <c r="AY29" s="385">
        <v>4808</v>
      </c>
    </row>
    <row r="30" spans="1:51" x14ac:dyDescent="0.25">
      <c r="A30" s="16" t="s">
        <v>19445</v>
      </c>
      <c r="B30" s="16" t="s">
        <v>4469</v>
      </c>
      <c r="D30" s="16">
        <v>2</v>
      </c>
      <c r="E30" s="16" t="s">
        <v>1749</v>
      </c>
      <c r="F30" s="16" t="str">
        <f>VLOOKUP(Table28[[#This Row],[Country]],Table10[[COUNTRY NAME]:[CONTINENT CODE]],3,FALSE)</f>
        <v>NA</v>
      </c>
      <c r="G30" s="16" t="s">
        <v>13227</v>
      </c>
      <c r="H30" s="181">
        <v>12776</v>
      </c>
      <c r="I30" s="180">
        <v>30.25</v>
      </c>
      <c r="K30" s="316">
        <f>IFERROR(Table28[[#This Row],[ROUTE COST]]/Table28[[#This Row],[O - DEMAND]],0)</f>
        <v>0</v>
      </c>
      <c r="M30" s="16">
        <f>Table28[[#This Row],[O - DEMAND]]/950</f>
        <v>0</v>
      </c>
      <c r="N30" s="16">
        <f>IFERROR(VLOOKUP(Table28[[#This Row],[ROUTE]],DEMAND!A:F,5,FALSE),0)</f>
        <v>0</v>
      </c>
      <c r="O30" s="16">
        <f>IFERROR(VLOOKUP(Table28[[#This Row],[ROUTE]],DEMAND!A:F,6,FALSE),0)</f>
        <v>0</v>
      </c>
      <c r="P30" s="16">
        <f>ROUNDDOWN(Table28[[#This Row],[R-DEMAND]]/950,0)</f>
        <v>0</v>
      </c>
      <c r="Q30" s="16">
        <f>Table28[[#This Row],[ADD ACC
(475/950)]]*Table28[[#This Row],[Duration
(A359)]]</f>
        <v>0</v>
      </c>
      <c r="R30" s="16">
        <f>IFERROR(VLOOKUP(Table28[[#This Row],[ROUTE]],PRICING!A:B,2,FALSE),0)</f>
        <v>0</v>
      </c>
      <c r="S30" s="16">
        <f>Table28[[#This Row],[C_DEMAND]]-Table28[[#This Row],[R-DEMAND]]</f>
        <v>0</v>
      </c>
      <c r="T30" s="316">
        <f>Table28[[#This Row],[SEATS SOLD]]*Table28[[#This Row],[ECO SEAT]]</f>
        <v>0</v>
      </c>
      <c r="U30" s="316">
        <f>Table28[[#This Row],[SEATS SOLD]]*(IFERROR(VLOOKUP(Table28[[#This Row],[ROUTE]],PRICING!A:C,3,FALSE),0))</f>
        <v>0</v>
      </c>
      <c r="V30" s="316">
        <f>Table28[[#This Row],[SEAT REV]]-Table28[[#This Row],[SEAT REV
(IF IDEAL $)]]</f>
        <v>0</v>
      </c>
      <c r="AA30" s="26" t="s">
        <v>19721</v>
      </c>
      <c r="AB30" s="26" t="s">
        <v>71</v>
      </c>
      <c r="AC30" s="26" t="s">
        <v>5663</v>
      </c>
      <c r="AD30" s="174">
        <v>14696</v>
      </c>
      <c r="AE30" s="26">
        <v>2837</v>
      </c>
      <c r="AF30" s="16">
        <v>2837</v>
      </c>
      <c r="AS30" s="16" t="s">
        <v>1261</v>
      </c>
      <c r="AT30" s="16" t="s">
        <v>11040</v>
      </c>
      <c r="AU30" s="16" t="s">
        <v>81</v>
      </c>
      <c r="AV30" s="16" t="s">
        <v>18881</v>
      </c>
      <c r="AW30" s="16" t="s">
        <v>18899</v>
      </c>
      <c r="AX30" s="16" t="s">
        <v>18979</v>
      </c>
      <c r="AY30" s="385">
        <v>4919</v>
      </c>
    </row>
    <row r="31" spans="1:51" x14ac:dyDescent="0.25">
      <c r="A31" s="16" t="s">
        <v>19330</v>
      </c>
      <c r="B31" s="16" t="s">
        <v>504</v>
      </c>
      <c r="D31" s="16">
        <v>1</v>
      </c>
      <c r="E31" s="16" t="s">
        <v>502</v>
      </c>
      <c r="F31" s="16" t="str">
        <f>VLOOKUP(Table28[[#This Row],[Country]],Table10[[COUNTRY NAME]:[CONTINENT CODE]],3,FALSE)</f>
        <v>AS</v>
      </c>
      <c r="G31" s="16" t="s">
        <v>11986</v>
      </c>
      <c r="H31" s="181">
        <v>11844</v>
      </c>
      <c r="I31" s="180">
        <v>28.25</v>
      </c>
      <c r="K31" s="316">
        <f>IFERROR(Table28[[#This Row],[ROUTE COST]]/Table28[[#This Row],[O - DEMAND]],0)</f>
        <v>0</v>
      </c>
      <c r="M31" s="16">
        <f>Table28[[#This Row],[O - DEMAND]]/950</f>
        <v>0</v>
      </c>
      <c r="N31" s="16">
        <f>IFERROR(VLOOKUP(Table28[[#This Row],[ROUTE]],DEMAND!A:F,5,FALSE),0)</f>
        <v>0</v>
      </c>
      <c r="O31" s="16">
        <f>IFERROR(VLOOKUP(Table28[[#This Row],[ROUTE]],DEMAND!A:F,6,FALSE),0)</f>
        <v>0</v>
      </c>
      <c r="P31" s="16">
        <f>ROUNDDOWN(Table28[[#This Row],[R-DEMAND]]/950,0)</f>
        <v>0</v>
      </c>
      <c r="Q31" s="16">
        <f>Table28[[#This Row],[ADD ACC
(475/950)]]*Table28[[#This Row],[Duration
(A359)]]</f>
        <v>0</v>
      </c>
      <c r="R31" s="16">
        <f>IFERROR(VLOOKUP(Table28[[#This Row],[ROUTE]],PRICING!A:B,2,FALSE),0)</f>
        <v>0</v>
      </c>
      <c r="S31" s="16">
        <f>Table28[[#This Row],[C_DEMAND]]-Table28[[#This Row],[R-DEMAND]]</f>
        <v>0</v>
      </c>
      <c r="T31" s="316">
        <f>Table28[[#This Row],[SEATS SOLD]]*Table28[[#This Row],[ECO SEAT]]</f>
        <v>0</v>
      </c>
      <c r="U31" s="316">
        <f>Table28[[#This Row],[SEATS SOLD]]*(IFERROR(VLOOKUP(Table28[[#This Row],[ROUTE]],PRICING!A:C,3,FALSE),0))</f>
        <v>0</v>
      </c>
      <c r="V31" s="316">
        <f>Table28[[#This Row],[SEAT REV]]-Table28[[#This Row],[SEAT REV
(IF IDEAL $)]]</f>
        <v>0</v>
      </c>
      <c r="AA31" s="26" t="s">
        <v>19367</v>
      </c>
      <c r="AB31" s="26" t="s">
        <v>71</v>
      </c>
      <c r="AC31" s="26" t="s">
        <v>433</v>
      </c>
      <c r="AD31" s="174">
        <v>12145</v>
      </c>
      <c r="AE31" s="26">
        <v>4256</v>
      </c>
      <c r="AF31" s="16">
        <v>4256</v>
      </c>
      <c r="AS31" s="16" t="s">
        <v>1261</v>
      </c>
      <c r="AT31" s="16" t="s">
        <v>18109</v>
      </c>
      <c r="AU31" s="16" t="s">
        <v>3697</v>
      </c>
      <c r="AV31" s="16" t="s">
        <v>18878</v>
      </c>
      <c r="AW31" s="16" t="s">
        <v>18879</v>
      </c>
      <c r="AX31" s="16" t="s">
        <v>18978</v>
      </c>
      <c r="AY31" s="385">
        <v>5076</v>
      </c>
    </row>
    <row r="32" spans="1:51" x14ac:dyDescent="0.25">
      <c r="A32" s="16" t="s">
        <v>19676</v>
      </c>
      <c r="B32" s="16" t="s">
        <v>5072</v>
      </c>
      <c r="D32" s="16">
        <v>3</v>
      </c>
      <c r="E32" s="16" t="s">
        <v>700</v>
      </c>
      <c r="F32" s="16" t="str">
        <f>VLOOKUP(Table28[[#This Row],[Country]],Table10[[COUNTRY NAME]:[CONTINENT CODE]],3,FALSE)</f>
        <v>AS</v>
      </c>
      <c r="G32" s="16" t="s">
        <v>16871</v>
      </c>
      <c r="H32" s="181">
        <v>14315</v>
      </c>
      <c r="I32" s="180">
        <v>33.5</v>
      </c>
      <c r="K32" s="316">
        <f>IFERROR(Table28[[#This Row],[ROUTE COST]]/Table28[[#This Row],[O - DEMAND]],0)</f>
        <v>0</v>
      </c>
      <c r="M32" s="16">
        <f>Table28[[#This Row],[O - DEMAND]]/950</f>
        <v>0</v>
      </c>
      <c r="N32" s="16">
        <f>IFERROR(VLOOKUP(Table28[[#This Row],[ROUTE]],DEMAND!A:F,5,FALSE),0)</f>
        <v>0</v>
      </c>
      <c r="O32" s="16">
        <f>IFERROR(VLOOKUP(Table28[[#This Row],[ROUTE]],DEMAND!A:F,6,FALSE),0)</f>
        <v>0</v>
      </c>
      <c r="P32" s="16">
        <f>ROUNDDOWN(Table28[[#This Row],[R-DEMAND]]/950,0)</f>
        <v>0</v>
      </c>
      <c r="Q32" s="16">
        <f>Table28[[#This Row],[ADD ACC
(475/950)]]*Table28[[#This Row],[Duration
(A359)]]</f>
        <v>0</v>
      </c>
      <c r="R32" s="16">
        <f>IFERROR(VLOOKUP(Table28[[#This Row],[ROUTE]],PRICING!A:B,2,FALSE),0)</f>
        <v>0</v>
      </c>
      <c r="S32" s="16">
        <f>Table28[[#This Row],[C_DEMAND]]-Table28[[#This Row],[R-DEMAND]]</f>
        <v>0</v>
      </c>
      <c r="T32" s="316">
        <f>Table28[[#This Row],[SEATS SOLD]]*Table28[[#This Row],[ECO SEAT]]</f>
        <v>0</v>
      </c>
      <c r="U32" s="316">
        <f>Table28[[#This Row],[SEATS SOLD]]*(IFERROR(VLOOKUP(Table28[[#This Row],[ROUTE]],PRICING!A:C,3,FALSE),0))</f>
        <v>0</v>
      </c>
      <c r="V32" s="316">
        <f>Table28[[#This Row],[SEAT REV]]-Table28[[#This Row],[SEAT REV
(IF IDEAL $)]]</f>
        <v>0</v>
      </c>
      <c r="AA32" s="26" t="s">
        <v>19551</v>
      </c>
      <c r="AB32" s="26" t="s">
        <v>71</v>
      </c>
      <c r="AC32" s="26" t="s">
        <v>422</v>
      </c>
      <c r="AD32" s="174">
        <v>13409</v>
      </c>
      <c r="AE32" s="26">
        <v>3718</v>
      </c>
      <c r="AF32" s="16">
        <v>3718</v>
      </c>
      <c r="AS32" s="16" t="s">
        <v>1261</v>
      </c>
      <c r="AT32" s="16" t="s">
        <v>14210</v>
      </c>
      <c r="AU32" s="16" t="s">
        <v>14211</v>
      </c>
      <c r="AV32" s="16" t="s">
        <v>18881</v>
      </c>
      <c r="AX32" s="16" t="s">
        <v>18978</v>
      </c>
      <c r="AY32" s="385">
        <v>5083</v>
      </c>
    </row>
    <row r="33" spans="1:51" x14ac:dyDescent="0.25">
      <c r="A33" s="16" t="s">
        <v>19781</v>
      </c>
      <c r="B33" s="16" t="s">
        <v>5443</v>
      </c>
      <c r="C33" s="16" t="s">
        <v>467</v>
      </c>
      <c r="D33" s="16">
        <v>3</v>
      </c>
      <c r="E33" s="16" t="s">
        <v>700</v>
      </c>
      <c r="F33" s="16" t="str">
        <f>VLOOKUP(Table28[[#This Row],[Country]],Table10[[COUNTRY NAME]:[CONTINENT CODE]],3,FALSE)</f>
        <v>AS</v>
      </c>
      <c r="G33" s="16" t="s">
        <v>11847</v>
      </c>
      <c r="H33" s="181">
        <v>15044</v>
      </c>
      <c r="I33" s="180">
        <v>35.25</v>
      </c>
      <c r="K33" s="316">
        <f>IFERROR(Table28[[#This Row],[ROUTE COST]]/Table28[[#This Row],[O - DEMAND]],0)</f>
        <v>0</v>
      </c>
      <c r="M33" s="16">
        <f>Table28[[#This Row],[O - DEMAND]]/950</f>
        <v>0</v>
      </c>
      <c r="N33" s="16">
        <f>IFERROR(VLOOKUP(Table28[[#This Row],[ROUTE]],DEMAND!A:F,5,FALSE),0)</f>
        <v>2510</v>
      </c>
      <c r="O33" s="16">
        <f>IFERROR(VLOOKUP(Table28[[#This Row],[ROUTE]],DEMAND!A:F,6,FALSE),0)</f>
        <v>610</v>
      </c>
      <c r="P33" s="16">
        <f>ROUNDDOWN(Table28[[#This Row],[R-DEMAND]]/950,0)</f>
        <v>0</v>
      </c>
      <c r="Q33" s="16">
        <f>Table28[[#This Row],[ADD ACC
(475/950)]]*Table28[[#This Row],[Duration
(A359)]]</f>
        <v>0</v>
      </c>
      <c r="R33" s="16">
        <f>IFERROR(VLOOKUP(Table28[[#This Row],[ROUTE]],PRICING!A:B,2,FALSE),0)</f>
        <v>0</v>
      </c>
      <c r="S33" s="16">
        <f>Table28[[#This Row],[C_DEMAND]]-Table28[[#This Row],[R-DEMAND]]</f>
        <v>1900</v>
      </c>
      <c r="T33" s="316">
        <f>Table28[[#This Row],[SEATS SOLD]]*Table28[[#This Row],[ECO SEAT]]</f>
        <v>0</v>
      </c>
      <c r="U33" s="316">
        <f>Table28[[#This Row],[SEATS SOLD]]*(IFERROR(VLOOKUP(Table28[[#This Row],[ROUTE]],PRICING!A:C,3,FALSE),0))</f>
        <v>0</v>
      </c>
      <c r="V33" s="316">
        <f>Table28[[#This Row],[SEAT REV]]-Table28[[#This Row],[SEAT REV
(IF IDEAL $)]]</f>
        <v>0</v>
      </c>
      <c r="AA33" s="26" t="s">
        <v>19256</v>
      </c>
      <c r="AB33" s="26" t="s">
        <v>71</v>
      </c>
      <c r="AC33" s="26" t="s">
        <v>5159</v>
      </c>
      <c r="AD33" s="174">
        <v>10701</v>
      </c>
      <c r="AE33" s="26">
        <v>3732</v>
      </c>
      <c r="AF33" s="16">
        <v>3732</v>
      </c>
      <c r="AS33" s="16" t="s">
        <v>1261</v>
      </c>
      <c r="AT33" s="16" t="s">
        <v>18112</v>
      </c>
      <c r="AU33" s="16" t="s">
        <v>4268</v>
      </c>
      <c r="AV33" s="16" t="s">
        <v>18878</v>
      </c>
      <c r="AW33" s="16" t="s">
        <v>18879</v>
      </c>
      <c r="AX33" s="16" t="s">
        <v>18977</v>
      </c>
      <c r="AY33" s="385">
        <v>5148</v>
      </c>
    </row>
    <row r="34" spans="1:51" x14ac:dyDescent="0.25">
      <c r="A34" s="16" t="s">
        <v>19425</v>
      </c>
      <c r="B34" s="16" t="s">
        <v>457</v>
      </c>
      <c r="C34" s="16" t="s">
        <v>467</v>
      </c>
      <c r="D34" s="16">
        <v>4</v>
      </c>
      <c r="E34" s="16" t="s">
        <v>2527</v>
      </c>
      <c r="F34" s="16" t="str">
        <f>VLOOKUP(Table28[[#This Row],[Country]],Table10[[COUNTRY NAME]:[CONTINENT CODE]],3,FALSE)</f>
        <v>AF</v>
      </c>
      <c r="G34" s="16" t="s">
        <v>11119</v>
      </c>
      <c r="H34" s="181">
        <v>12626</v>
      </c>
      <c r="I34" s="180">
        <v>29.75</v>
      </c>
      <c r="K34" s="316">
        <f>IFERROR(Table28[[#This Row],[ROUTE COST]]/Table28[[#This Row],[O - DEMAND]],0)</f>
        <v>0</v>
      </c>
      <c r="M34" s="16">
        <f>Table28[[#This Row],[O - DEMAND]]/950</f>
        <v>0</v>
      </c>
      <c r="N34" s="16">
        <f>IFERROR(VLOOKUP(Table28[[#This Row],[ROUTE]],DEMAND!A:F,5,FALSE),0)</f>
        <v>4920</v>
      </c>
      <c r="O34" s="16">
        <f>IFERROR(VLOOKUP(Table28[[#This Row],[ROUTE]],DEMAND!A:F,6,FALSE),0)</f>
        <v>170</v>
      </c>
      <c r="P34" s="16">
        <f>ROUNDDOWN(Table28[[#This Row],[R-DEMAND]]/950,0)</f>
        <v>0</v>
      </c>
      <c r="Q34" s="16">
        <f>Table28[[#This Row],[ADD ACC
(475/950)]]*Table28[[#This Row],[Duration
(A359)]]</f>
        <v>0</v>
      </c>
      <c r="R34" s="16">
        <f>IFERROR(VLOOKUP(Table28[[#This Row],[ROUTE]],PRICING!A:B,2,FALSE),0)</f>
        <v>0</v>
      </c>
      <c r="S34" s="16">
        <f>Table28[[#This Row],[C_DEMAND]]-Table28[[#This Row],[R-DEMAND]]</f>
        <v>4750</v>
      </c>
      <c r="T34" s="316">
        <f>Table28[[#This Row],[SEATS SOLD]]*Table28[[#This Row],[ECO SEAT]]</f>
        <v>0</v>
      </c>
      <c r="U34" s="316">
        <f>Table28[[#This Row],[SEATS SOLD]]*(IFERROR(VLOOKUP(Table28[[#This Row],[ROUTE]],PRICING!A:C,3,FALSE),0))</f>
        <v>0</v>
      </c>
      <c r="V34" s="316">
        <f>Table28[[#This Row],[SEAT REV]]-Table28[[#This Row],[SEAT REV
(IF IDEAL $)]]</f>
        <v>0</v>
      </c>
      <c r="AA34" s="26" t="s">
        <v>19359</v>
      </c>
      <c r="AB34" s="26" t="s">
        <v>71</v>
      </c>
      <c r="AC34" s="26" t="s">
        <v>3539</v>
      </c>
      <c r="AD34" s="174">
        <v>12089</v>
      </c>
      <c r="AE34" s="26">
        <v>2965</v>
      </c>
      <c r="AF34" s="16">
        <v>2965</v>
      </c>
      <c r="AS34" s="16" t="s">
        <v>717</v>
      </c>
      <c r="AT34" s="16" t="s">
        <v>12097</v>
      </c>
      <c r="AU34" s="16" t="s">
        <v>302</v>
      </c>
      <c r="AV34" s="16" t="s">
        <v>18881</v>
      </c>
      <c r="AW34" s="16" t="s">
        <v>18879</v>
      </c>
      <c r="AX34" s="16" t="s">
        <v>18977</v>
      </c>
      <c r="AY34" s="385">
        <v>5227</v>
      </c>
    </row>
    <row r="35" spans="1:51" x14ac:dyDescent="0.25">
      <c r="A35" s="16" t="s">
        <v>19381</v>
      </c>
      <c r="B35" s="16" t="s">
        <v>3950</v>
      </c>
      <c r="C35" s="16" t="s">
        <v>467</v>
      </c>
      <c r="D35" s="16">
        <v>2</v>
      </c>
      <c r="E35" s="16" t="s">
        <v>1289</v>
      </c>
      <c r="F35" s="16" t="str">
        <f>VLOOKUP(Table28[[#This Row],[Country]],Table10[[COUNTRY NAME]:[CONTINENT CODE]],3,FALSE)</f>
        <v>AS</v>
      </c>
      <c r="G35" s="16" t="s">
        <v>11950</v>
      </c>
      <c r="H35" s="181">
        <v>12282</v>
      </c>
      <c r="I35" s="180">
        <v>29</v>
      </c>
      <c r="K35" s="316">
        <f>IFERROR(Table28[[#This Row],[ROUTE COST]]/Table28[[#This Row],[O - DEMAND]],0)</f>
        <v>0</v>
      </c>
      <c r="M35" s="16">
        <f>Table28[[#This Row],[O - DEMAND]]/950</f>
        <v>0</v>
      </c>
      <c r="N35" s="16">
        <f>IFERROR(VLOOKUP(Table28[[#This Row],[ROUTE]],DEMAND!A:F,5,FALSE),0)</f>
        <v>3435</v>
      </c>
      <c r="O35" s="16">
        <f>IFERROR(VLOOKUP(Table28[[#This Row],[ROUTE]],DEMAND!A:F,6,FALSE),0)</f>
        <v>585</v>
      </c>
      <c r="P35" s="16">
        <f>ROUNDDOWN(Table28[[#This Row],[R-DEMAND]]/950,0)</f>
        <v>0</v>
      </c>
      <c r="Q35" s="16">
        <f>Table28[[#This Row],[ADD ACC
(475/950)]]*Table28[[#This Row],[Duration
(A359)]]</f>
        <v>0</v>
      </c>
      <c r="R35" s="16">
        <f>IFERROR(VLOOKUP(Table28[[#This Row],[ROUTE]],PRICING!A:B,2,FALSE),0)</f>
        <v>0</v>
      </c>
      <c r="S35" s="16">
        <f>Table28[[#This Row],[C_DEMAND]]-Table28[[#This Row],[R-DEMAND]]</f>
        <v>2850</v>
      </c>
      <c r="T35" s="316">
        <f>Table28[[#This Row],[SEATS SOLD]]*Table28[[#This Row],[ECO SEAT]]</f>
        <v>0</v>
      </c>
      <c r="U35" s="316">
        <f>Table28[[#This Row],[SEATS SOLD]]*(IFERROR(VLOOKUP(Table28[[#This Row],[ROUTE]],PRICING!A:C,3,FALSE),0))</f>
        <v>0</v>
      </c>
      <c r="V35" s="316">
        <f>Table28[[#This Row],[SEAT REV]]-Table28[[#This Row],[SEAT REV
(IF IDEAL $)]]</f>
        <v>0</v>
      </c>
      <c r="AA35" s="26" t="s">
        <v>19271</v>
      </c>
      <c r="AB35" s="26" t="s">
        <v>71</v>
      </c>
      <c r="AC35" s="26" t="s">
        <v>419</v>
      </c>
      <c r="AD35" s="174">
        <v>10914</v>
      </c>
      <c r="AE35" s="26">
        <v>4333</v>
      </c>
      <c r="AF35" s="16">
        <v>4333</v>
      </c>
      <c r="AS35" s="16" t="s">
        <v>717</v>
      </c>
      <c r="AT35" s="16" t="s">
        <v>12094</v>
      </c>
      <c r="AU35" s="16" t="s">
        <v>322</v>
      </c>
      <c r="AV35" s="16" t="s">
        <v>18892</v>
      </c>
      <c r="AW35" s="16" t="s">
        <v>18885</v>
      </c>
      <c r="AX35" s="16" t="s">
        <v>18969</v>
      </c>
      <c r="AY35" s="385">
        <v>5301</v>
      </c>
    </row>
    <row r="36" spans="1:51" x14ac:dyDescent="0.25">
      <c r="A36" s="16" t="s">
        <v>19639</v>
      </c>
      <c r="B36" s="16" t="s">
        <v>2609</v>
      </c>
      <c r="D36" s="16">
        <v>2</v>
      </c>
      <c r="E36" s="16" t="s">
        <v>700</v>
      </c>
      <c r="F36" s="16" t="str">
        <f>VLOOKUP(Table28[[#This Row],[Country]],Table10[[COUNTRY NAME]:[CONTINENT CODE]],3,FALSE)</f>
        <v>AS</v>
      </c>
      <c r="G36" s="16" t="s">
        <v>16866</v>
      </c>
      <c r="H36" s="181">
        <v>14071</v>
      </c>
      <c r="I36" s="180">
        <v>33</v>
      </c>
      <c r="K36" s="316">
        <f>IFERROR(Table28[[#This Row],[ROUTE COST]]/Table28[[#This Row],[O - DEMAND]],0)</f>
        <v>0</v>
      </c>
      <c r="M36" s="16">
        <f>Table28[[#This Row],[O - DEMAND]]/950</f>
        <v>0</v>
      </c>
      <c r="N36" s="16">
        <f>IFERROR(VLOOKUP(Table28[[#This Row],[ROUTE]],DEMAND!A:F,5,FALSE),0)</f>
        <v>0</v>
      </c>
      <c r="O36" s="16">
        <f>IFERROR(VLOOKUP(Table28[[#This Row],[ROUTE]],DEMAND!A:F,6,FALSE),0)</f>
        <v>0</v>
      </c>
      <c r="P36" s="16">
        <f>ROUNDDOWN(Table28[[#This Row],[R-DEMAND]]/950,0)</f>
        <v>0</v>
      </c>
      <c r="Q36" s="16">
        <f>Table28[[#This Row],[ADD ACC
(475/950)]]*Table28[[#This Row],[Duration
(A359)]]</f>
        <v>0</v>
      </c>
      <c r="R36" s="16">
        <f>IFERROR(VLOOKUP(Table28[[#This Row],[ROUTE]],PRICING!A:B,2,FALSE),0)</f>
        <v>0</v>
      </c>
      <c r="S36" s="16">
        <f>Table28[[#This Row],[C_DEMAND]]-Table28[[#This Row],[R-DEMAND]]</f>
        <v>0</v>
      </c>
      <c r="T36" s="316">
        <f>Table28[[#This Row],[SEATS SOLD]]*Table28[[#This Row],[ECO SEAT]]</f>
        <v>0</v>
      </c>
      <c r="U36" s="316">
        <f>Table28[[#This Row],[SEATS SOLD]]*(IFERROR(VLOOKUP(Table28[[#This Row],[ROUTE]],PRICING!A:C,3,FALSE),0))</f>
        <v>0</v>
      </c>
      <c r="V36" s="316">
        <f>Table28[[#This Row],[SEAT REV]]-Table28[[#This Row],[SEAT REV
(IF IDEAL $)]]</f>
        <v>0</v>
      </c>
      <c r="AA36" s="26" t="s">
        <v>19040</v>
      </c>
      <c r="AB36" s="26" t="s">
        <v>71</v>
      </c>
      <c r="AC36" s="26" t="s">
        <v>417</v>
      </c>
      <c r="AD36" s="174">
        <v>5772</v>
      </c>
      <c r="AE36" s="26">
        <v>2716</v>
      </c>
      <c r="AF36" s="16">
        <v>2716</v>
      </c>
      <c r="AS36" s="16" t="s">
        <v>5080</v>
      </c>
      <c r="AT36" s="16" t="s">
        <v>12038</v>
      </c>
      <c r="AU36" s="16" t="s">
        <v>5082</v>
      </c>
      <c r="AV36" s="16" t="s">
        <v>18881</v>
      </c>
      <c r="AW36" s="16" t="s">
        <v>18885</v>
      </c>
      <c r="AX36" s="16" t="s">
        <v>18969</v>
      </c>
      <c r="AY36" s="385">
        <v>5318</v>
      </c>
    </row>
    <row r="37" spans="1:51" x14ac:dyDescent="0.25">
      <c r="A37" s="16" t="s">
        <v>19000</v>
      </c>
      <c r="B37" s="16" t="s">
        <v>5487</v>
      </c>
      <c r="D37" s="16">
        <v>4</v>
      </c>
      <c r="E37" s="16" t="s">
        <v>774</v>
      </c>
      <c r="F37" s="16" t="str">
        <f>VLOOKUP(Table28[[#This Row],[Country]],Table10[[COUNTRY NAME]:[CONTINENT CODE]],3,FALSE)</f>
        <v>OC</v>
      </c>
      <c r="G37" s="16" t="s">
        <v>11118</v>
      </c>
      <c r="H37" s="181">
        <v>1164</v>
      </c>
      <c r="I37" s="180">
        <v>4.75</v>
      </c>
      <c r="K37" s="316">
        <f>IFERROR(Table28[[#This Row],[ROUTE COST]]/Table28[[#This Row],[O - DEMAND]],0)</f>
        <v>0</v>
      </c>
      <c r="M37" s="16">
        <f>Table28[[#This Row],[O - DEMAND]]/950</f>
        <v>0</v>
      </c>
      <c r="N37" s="16">
        <f>IFERROR(VLOOKUP(Table28[[#This Row],[ROUTE]],DEMAND!A:F,5,FALSE),0)</f>
        <v>0</v>
      </c>
      <c r="O37" s="16">
        <f>IFERROR(VLOOKUP(Table28[[#This Row],[ROUTE]],DEMAND!A:F,6,FALSE),0)</f>
        <v>0</v>
      </c>
      <c r="P37" s="16">
        <f>ROUNDDOWN(Table28[[#This Row],[R-DEMAND]]/950,0)</f>
        <v>0</v>
      </c>
      <c r="Q37" s="16">
        <f>Table28[[#This Row],[ADD ACC
(475/950)]]*Table28[[#This Row],[Duration
(A359)]]</f>
        <v>0</v>
      </c>
      <c r="R37" s="16">
        <f>IFERROR(VLOOKUP(Table28[[#This Row],[ROUTE]],PRICING!A:B,2,FALSE),0)</f>
        <v>0</v>
      </c>
      <c r="S37" s="16">
        <f>Table28[[#This Row],[C_DEMAND]]-Table28[[#This Row],[R-DEMAND]]</f>
        <v>0</v>
      </c>
      <c r="T37" s="316">
        <f>Table28[[#This Row],[SEATS SOLD]]*Table28[[#This Row],[ECO SEAT]]</f>
        <v>0</v>
      </c>
      <c r="U37" s="316">
        <f>Table28[[#This Row],[SEATS SOLD]]*(IFERROR(VLOOKUP(Table28[[#This Row],[ROUTE]],PRICING!A:C,3,FALSE),0))</f>
        <v>0</v>
      </c>
      <c r="V37" s="316">
        <f>Table28[[#This Row],[SEAT REV]]-Table28[[#This Row],[SEAT REV
(IF IDEAL $)]]</f>
        <v>0</v>
      </c>
      <c r="AA37" s="26" t="s">
        <v>19087</v>
      </c>
      <c r="AB37" s="26" t="s">
        <v>71</v>
      </c>
      <c r="AC37" s="26" t="s">
        <v>415</v>
      </c>
      <c r="AD37" s="174">
        <v>7516</v>
      </c>
      <c r="AE37" s="26">
        <v>3740</v>
      </c>
      <c r="AF37" s="16">
        <v>3740</v>
      </c>
      <c r="AS37" s="16" t="s">
        <v>1261</v>
      </c>
      <c r="AT37" s="16" t="s">
        <v>15967</v>
      </c>
      <c r="AU37" s="16" t="s">
        <v>11164</v>
      </c>
      <c r="AV37" s="16" t="s">
        <v>18892</v>
      </c>
      <c r="AW37" s="16" t="s">
        <v>18899</v>
      </c>
      <c r="AX37" s="16" t="s">
        <v>18976</v>
      </c>
      <c r="AY37" s="385">
        <v>5355</v>
      </c>
    </row>
    <row r="38" spans="1:51" x14ac:dyDescent="0.25">
      <c r="A38" s="16" t="s">
        <v>19650</v>
      </c>
      <c r="B38" s="16" t="s">
        <v>4828</v>
      </c>
      <c r="C38" s="16" t="s">
        <v>467</v>
      </c>
      <c r="D38" s="16">
        <v>3</v>
      </c>
      <c r="E38" s="16" t="s">
        <v>78</v>
      </c>
      <c r="F38" s="16" t="str">
        <f>VLOOKUP(Table28[[#This Row],[Country]],Table10[[COUNTRY NAME]:[CONTINENT CODE]],3,FALSE)</f>
        <v>EU</v>
      </c>
      <c r="G38" s="16" t="s">
        <v>11879</v>
      </c>
      <c r="H38" s="181">
        <v>14127</v>
      </c>
      <c r="I38" s="180">
        <v>33.25</v>
      </c>
      <c r="K38" s="316">
        <f>IFERROR(Table28[[#This Row],[ROUTE COST]]/Table28[[#This Row],[O - DEMAND]],0)</f>
        <v>0</v>
      </c>
      <c r="M38" s="16">
        <f>Table28[[#This Row],[O - DEMAND]]/950</f>
        <v>0</v>
      </c>
      <c r="N38" s="16">
        <f>IFERROR(VLOOKUP(Table28[[#This Row],[ROUTE]],DEMAND!A:F,5,FALSE),0)</f>
        <v>2070</v>
      </c>
      <c r="O38" s="16">
        <f>IFERROR(VLOOKUP(Table28[[#This Row],[ROUTE]],DEMAND!A:F,6,FALSE),0)</f>
        <v>170</v>
      </c>
      <c r="P38" s="16">
        <f>ROUNDDOWN(Table28[[#This Row],[R-DEMAND]]/950,0)</f>
        <v>0</v>
      </c>
      <c r="Q38" s="16">
        <f>Table28[[#This Row],[ADD ACC
(475/950)]]*Table28[[#This Row],[Duration
(A359)]]</f>
        <v>0</v>
      </c>
      <c r="R38" s="16">
        <f>IFERROR(VLOOKUP(Table28[[#This Row],[ROUTE]],PRICING!A:B,2,FALSE),0)</f>
        <v>0</v>
      </c>
      <c r="S38" s="16">
        <f>Table28[[#This Row],[C_DEMAND]]-Table28[[#This Row],[R-DEMAND]]</f>
        <v>1900</v>
      </c>
      <c r="T38" s="316">
        <f>Table28[[#This Row],[SEATS SOLD]]*Table28[[#This Row],[ECO SEAT]]</f>
        <v>0</v>
      </c>
      <c r="U38" s="316">
        <f>Table28[[#This Row],[SEATS SOLD]]*(IFERROR(VLOOKUP(Table28[[#This Row],[ROUTE]],PRICING!A:C,3,FALSE),0))</f>
        <v>0</v>
      </c>
      <c r="V38" s="316">
        <f>Table28[[#This Row],[SEAT REV]]-Table28[[#This Row],[SEAT REV
(IF IDEAL $)]]</f>
        <v>0</v>
      </c>
      <c r="AA38" s="26" t="s">
        <v>19211</v>
      </c>
      <c r="AB38" s="26" t="s">
        <v>71</v>
      </c>
      <c r="AC38" s="26" t="s">
        <v>414</v>
      </c>
      <c r="AD38" s="174">
        <v>9357</v>
      </c>
      <c r="AE38" s="26">
        <v>3814</v>
      </c>
      <c r="AF38" s="16">
        <v>3814</v>
      </c>
      <c r="AS38" s="16" t="s">
        <v>1931</v>
      </c>
      <c r="AT38" s="16" t="s">
        <v>16821</v>
      </c>
      <c r="AU38" s="16" t="s">
        <v>1933</v>
      </c>
      <c r="AV38" s="16" t="s">
        <v>18878</v>
      </c>
      <c r="AW38" s="16" t="s">
        <v>18890</v>
      </c>
      <c r="AX38" s="16" t="s">
        <v>18975</v>
      </c>
      <c r="AY38" s="385">
        <v>5475</v>
      </c>
    </row>
    <row r="39" spans="1:51" x14ac:dyDescent="0.25">
      <c r="A39" s="16" t="s">
        <v>19655</v>
      </c>
      <c r="B39" s="16" t="s">
        <v>3721</v>
      </c>
      <c r="D39" s="16">
        <v>2</v>
      </c>
      <c r="E39" s="16" t="s">
        <v>11732</v>
      </c>
      <c r="F39" s="16" t="str">
        <f>VLOOKUP(Table28[[#This Row],[Country]],Table10[[COUNTRY NAME]:[CONTINENT CODE]],3,FALSE)</f>
        <v>NA - US</v>
      </c>
      <c r="G39" s="16" t="s">
        <v>13337</v>
      </c>
      <c r="H39" s="181">
        <v>14143</v>
      </c>
      <c r="I39" s="180">
        <v>33.25</v>
      </c>
      <c r="K39" s="316">
        <f>IFERROR(Table28[[#This Row],[ROUTE COST]]/Table28[[#This Row],[O - DEMAND]],0)</f>
        <v>0</v>
      </c>
      <c r="M39" s="180">
        <f>Table28[[#This Row],[O - DEMAND]]/950</f>
        <v>0</v>
      </c>
      <c r="N39" s="16">
        <f>IFERROR(VLOOKUP(Table28[[#This Row],[ROUTE]],DEMAND!A:F,5,FALSE),0)</f>
        <v>0</v>
      </c>
      <c r="O39" s="16">
        <f>IFERROR(VLOOKUP(Table28[[#This Row],[ROUTE]],DEMAND!A:F,6,FALSE),0)</f>
        <v>0</v>
      </c>
      <c r="P39" s="16">
        <f>ROUNDDOWN(Table28[[#This Row],[R-DEMAND]]/950,0)</f>
        <v>0</v>
      </c>
      <c r="Q39" s="16">
        <f>Table28[[#This Row],[ADD ACC
(475/950)]]*Table28[[#This Row],[Duration
(A359)]]</f>
        <v>0</v>
      </c>
      <c r="R39" s="16">
        <f>IFERROR(VLOOKUP(Table28[[#This Row],[ROUTE]],PRICING!A:B,2,FALSE),0)</f>
        <v>0</v>
      </c>
      <c r="S39" s="16">
        <f>Table28[[#This Row],[C_DEMAND]]-Table28[[#This Row],[R-DEMAND]]</f>
        <v>0</v>
      </c>
      <c r="T39" s="316">
        <f>Table28[[#This Row],[SEATS SOLD]]*Table28[[#This Row],[ECO SEAT]]</f>
        <v>0</v>
      </c>
      <c r="U39" s="316">
        <f>Table28[[#This Row],[SEATS SOLD]]*(IFERROR(VLOOKUP(Table28[[#This Row],[ROUTE]],PRICING!A:C,3,FALSE),0))</f>
        <v>0</v>
      </c>
      <c r="V39" s="316">
        <f>Table28[[#This Row],[SEAT REV]]-Table28[[#This Row],[SEAT REV
(IF IDEAL $)]]</f>
        <v>0</v>
      </c>
      <c r="AA39" s="26" t="s">
        <v>18997</v>
      </c>
      <c r="AB39" s="26" t="s">
        <v>71</v>
      </c>
      <c r="AC39" s="26" t="s">
        <v>410</v>
      </c>
      <c r="AD39" s="26">
        <v>753</v>
      </c>
      <c r="AE39" s="26">
        <v>2390</v>
      </c>
      <c r="AF39" s="16">
        <v>2390</v>
      </c>
      <c r="AS39" s="16" t="s">
        <v>717</v>
      </c>
      <c r="AT39" s="16" t="s">
        <v>18108</v>
      </c>
      <c r="AU39" s="16" t="s">
        <v>4237</v>
      </c>
      <c r="AV39" s="16" t="s">
        <v>18878</v>
      </c>
      <c r="AW39" s="16" t="s">
        <v>18879</v>
      </c>
      <c r="AX39" s="16" t="s">
        <v>18975</v>
      </c>
      <c r="AY39" s="385">
        <v>5483</v>
      </c>
    </row>
    <row r="40" spans="1:51" x14ac:dyDescent="0.25">
      <c r="A40" s="16" t="s">
        <v>19601</v>
      </c>
      <c r="B40" s="16" t="s">
        <v>4183</v>
      </c>
      <c r="D40" s="16">
        <v>2</v>
      </c>
      <c r="E40" s="16" t="s">
        <v>11732</v>
      </c>
      <c r="F40" s="16" t="str">
        <f>VLOOKUP(Table28[[#This Row],[Country]],Table10[[COUNTRY NAME]:[CONTINENT CODE]],3,FALSE)</f>
        <v>NA - US</v>
      </c>
      <c r="G40" s="16" t="s">
        <v>13315</v>
      </c>
      <c r="H40" s="181">
        <v>13791</v>
      </c>
      <c r="I40" s="180">
        <v>32.5</v>
      </c>
      <c r="K40" s="316">
        <f>IFERROR(Table28[[#This Row],[ROUTE COST]]/Table28[[#This Row],[O - DEMAND]],0)</f>
        <v>0</v>
      </c>
      <c r="M40" s="180">
        <f>Table28[[#This Row],[O - DEMAND]]/950</f>
        <v>0</v>
      </c>
      <c r="N40" s="16">
        <f>IFERROR(VLOOKUP(Table28[[#This Row],[ROUTE]],DEMAND!A:F,5,FALSE),0)</f>
        <v>0</v>
      </c>
      <c r="O40" s="16">
        <f>IFERROR(VLOOKUP(Table28[[#This Row],[ROUTE]],DEMAND!A:F,6,FALSE),0)</f>
        <v>0</v>
      </c>
      <c r="P40" s="16">
        <f>ROUNDDOWN(Table28[[#This Row],[R-DEMAND]]/950,0)</f>
        <v>0</v>
      </c>
      <c r="Q40" s="16">
        <f>Table28[[#This Row],[ADD ACC
(475/950)]]*Table28[[#This Row],[Duration
(A359)]]</f>
        <v>0</v>
      </c>
      <c r="R40" s="16">
        <f>IFERROR(VLOOKUP(Table28[[#This Row],[ROUTE]],PRICING!A:B,2,FALSE),0)</f>
        <v>0</v>
      </c>
      <c r="S40" s="16">
        <f>Table28[[#This Row],[C_DEMAND]]-Table28[[#This Row],[R-DEMAND]]</f>
        <v>0</v>
      </c>
      <c r="T40" s="316">
        <f>Table28[[#This Row],[SEATS SOLD]]*Table28[[#This Row],[ECO SEAT]]</f>
        <v>0</v>
      </c>
      <c r="U40" s="316">
        <f>Table28[[#This Row],[SEATS SOLD]]*(IFERROR(VLOOKUP(Table28[[#This Row],[ROUTE]],PRICING!A:C,3,FALSE),0))</f>
        <v>0</v>
      </c>
      <c r="V40" s="316">
        <f>Table28[[#This Row],[SEAT REV]]-Table28[[#This Row],[SEAT REV
(IF IDEAL $)]]</f>
        <v>0</v>
      </c>
      <c r="AA40" s="26" t="s">
        <v>19797</v>
      </c>
      <c r="AB40" s="26" t="s">
        <v>71</v>
      </c>
      <c r="AC40" s="26" t="s">
        <v>4975</v>
      </c>
      <c r="AD40" s="174">
        <v>15099</v>
      </c>
      <c r="AE40" s="26">
        <v>2039</v>
      </c>
      <c r="AF40" s="16">
        <v>2039</v>
      </c>
      <c r="AS40" s="16" t="s">
        <v>1931</v>
      </c>
      <c r="AT40" s="16" t="s">
        <v>16822</v>
      </c>
      <c r="AU40" s="16" t="s">
        <v>4398</v>
      </c>
      <c r="AV40" s="16" t="s">
        <v>18878</v>
      </c>
      <c r="AW40" s="16" t="s">
        <v>18879</v>
      </c>
      <c r="AX40" s="16" t="s">
        <v>18975</v>
      </c>
      <c r="AY40" s="385">
        <v>5487</v>
      </c>
    </row>
    <row r="41" spans="1:51" x14ac:dyDescent="0.25">
      <c r="A41" s="16" t="s">
        <v>19461</v>
      </c>
      <c r="B41" s="16" t="s">
        <v>2397</v>
      </c>
      <c r="D41" s="16">
        <v>1</v>
      </c>
      <c r="E41" s="16" t="s">
        <v>2395</v>
      </c>
      <c r="F41" s="16" t="str">
        <f>VLOOKUP(Table28[[#This Row],[Country]],Table10[[COUNTRY NAME]:[CONTINENT CODE]],3,FALSE)</f>
        <v>SA</v>
      </c>
      <c r="G41" s="16" t="s">
        <v>13234</v>
      </c>
      <c r="H41" s="181">
        <v>12864</v>
      </c>
      <c r="I41" s="180">
        <v>30.25</v>
      </c>
      <c r="K41" s="316">
        <f>IFERROR(Table28[[#This Row],[ROUTE COST]]/Table28[[#This Row],[O - DEMAND]],0)</f>
        <v>0</v>
      </c>
      <c r="M41" s="16">
        <f>Table28[[#This Row],[O - DEMAND]]/950</f>
        <v>0</v>
      </c>
      <c r="N41" s="16">
        <f>IFERROR(VLOOKUP(Table28[[#This Row],[ROUTE]],DEMAND!A:F,5,FALSE),0)</f>
        <v>0</v>
      </c>
      <c r="O41" s="16">
        <f>IFERROR(VLOOKUP(Table28[[#This Row],[ROUTE]],DEMAND!A:F,6,FALSE),0)</f>
        <v>0</v>
      </c>
      <c r="P41" s="16">
        <f>ROUNDDOWN(Table28[[#This Row],[R-DEMAND]]/950,0)</f>
        <v>0</v>
      </c>
      <c r="Q41" s="16">
        <f>Table28[[#This Row],[ADD ACC
(475/950)]]*Table28[[#This Row],[Duration
(A359)]]</f>
        <v>0</v>
      </c>
      <c r="R41" s="16">
        <f>IFERROR(VLOOKUP(Table28[[#This Row],[ROUTE]],PRICING!A:B,2,FALSE),0)</f>
        <v>0</v>
      </c>
      <c r="S41" s="16">
        <f>Table28[[#This Row],[C_DEMAND]]-Table28[[#This Row],[R-DEMAND]]</f>
        <v>0</v>
      </c>
      <c r="T41" s="316">
        <f>Table28[[#This Row],[SEATS SOLD]]*Table28[[#This Row],[ECO SEAT]]</f>
        <v>0</v>
      </c>
      <c r="U41" s="316">
        <f>Table28[[#This Row],[SEATS SOLD]]*(IFERROR(VLOOKUP(Table28[[#This Row],[ROUTE]],PRICING!A:C,3,FALSE),0))</f>
        <v>0</v>
      </c>
      <c r="V41" s="316">
        <f>Table28[[#This Row],[SEAT REV]]-Table28[[#This Row],[SEAT REV
(IF IDEAL $)]]</f>
        <v>0</v>
      </c>
      <c r="AA41" s="26" t="s">
        <v>19647</v>
      </c>
      <c r="AB41" s="26" t="s">
        <v>71</v>
      </c>
      <c r="AC41" s="26" t="s">
        <v>399</v>
      </c>
      <c r="AD41" s="174">
        <v>14121</v>
      </c>
      <c r="AE41" s="26">
        <v>2539</v>
      </c>
      <c r="AF41" s="16">
        <v>2539</v>
      </c>
      <c r="AS41" s="16" t="s">
        <v>709</v>
      </c>
      <c r="AT41" s="16" t="s">
        <v>6930</v>
      </c>
      <c r="AU41" s="16" t="s">
        <v>4304</v>
      </c>
      <c r="AV41" s="16" t="s">
        <v>18878</v>
      </c>
      <c r="AW41" s="16" t="s">
        <v>18879</v>
      </c>
      <c r="AX41" s="16" t="s">
        <v>18975</v>
      </c>
      <c r="AY41" s="385">
        <v>5489</v>
      </c>
    </row>
    <row r="42" spans="1:51" x14ac:dyDescent="0.25">
      <c r="A42" s="16" t="s">
        <v>19453</v>
      </c>
      <c r="B42" s="16" t="s">
        <v>3925</v>
      </c>
      <c r="D42" s="16">
        <v>2</v>
      </c>
      <c r="E42" s="16" t="s">
        <v>1749</v>
      </c>
      <c r="F42" s="16" t="str">
        <f>VLOOKUP(Table28[[#This Row],[Country]],Table10[[COUNTRY NAME]:[CONTINENT CODE]],3,FALSE)</f>
        <v>NA</v>
      </c>
      <c r="G42" s="16" t="s">
        <v>13220</v>
      </c>
      <c r="H42" s="181">
        <v>12811</v>
      </c>
      <c r="I42" s="180">
        <v>30.25</v>
      </c>
      <c r="K42" s="316">
        <f>IFERROR(Table28[[#This Row],[ROUTE COST]]/Table28[[#This Row],[O - DEMAND]],0)</f>
        <v>0</v>
      </c>
      <c r="M42" s="16">
        <f>Table28[[#This Row],[O - DEMAND]]/950</f>
        <v>0</v>
      </c>
      <c r="N42" s="16">
        <f>IFERROR(VLOOKUP(Table28[[#This Row],[ROUTE]],DEMAND!A:F,5,FALSE),0)</f>
        <v>0</v>
      </c>
      <c r="O42" s="16">
        <f>IFERROR(VLOOKUP(Table28[[#This Row],[ROUTE]],DEMAND!A:F,6,FALSE),0)</f>
        <v>0</v>
      </c>
      <c r="P42" s="16">
        <f>ROUNDDOWN(Table28[[#This Row],[R-DEMAND]]/950,0)</f>
        <v>0</v>
      </c>
      <c r="Q42" s="16">
        <f>Table28[[#This Row],[ADD ACC
(475/950)]]*Table28[[#This Row],[Duration
(A359)]]</f>
        <v>0</v>
      </c>
      <c r="R42" s="16">
        <f>IFERROR(VLOOKUP(Table28[[#This Row],[ROUTE]],PRICING!A:B,2,FALSE),0)</f>
        <v>0</v>
      </c>
      <c r="S42" s="16">
        <f>Table28[[#This Row],[C_DEMAND]]-Table28[[#This Row],[R-DEMAND]]</f>
        <v>0</v>
      </c>
      <c r="T42" s="316">
        <f>Table28[[#This Row],[SEATS SOLD]]*Table28[[#This Row],[ECO SEAT]]</f>
        <v>0</v>
      </c>
      <c r="U42" s="316">
        <f>Table28[[#This Row],[SEATS SOLD]]*(IFERROR(VLOOKUP(Table28[[#This Row],[ROUTE]],PRICING!A:C,3,FALSE),0))</f>
        <v>0</v>
      </c>
      <c r="V42" s="316">
        <f>Table28[[#This Row],[SEAT REV]]-Table28[[#This Row],[SEAT REV
(IF IDEAL $)]]</f>
        <v>0</v>
      </c>
      <c r="AA42" s="26" t="s">
        <v>19484</v>
      </c>
      <c r="AB42" s="26" t="s">
        <v>71</v>
      </c>
      <c r="AC42" s="26" t="s">
        <v>3165</v>
      </c>
      <c r="AD42" s="174">
        <v>12990</v>
      </c>
      <c r="AE42" s="26">
        <v>3355</v>
      </c>
      <c r="AF42" s="16">
        <v>3355</v>
      </c>
      <c r="AS42" s="16" t="s">
        <v>1261</v>
      </c>
      <c r="AT42" s="16" t="s">
        <v>12117</v>
      </c>
      <c r="AU42" s="16" t="s">
        <v>272</v>
      </c>
      <c r="AV42" s="16" t="s">
        <v>18892</v>
      </c>
      <c r="AW42" s="16" t="s">
        <v>18879</v>
      </c>
      <c r="AX42" s="16" t="s">
        <v>18975</v>
      </c>
      <c r="AY42" s="385">
        <v>5490</v>
      </c>
    </row>
    <row r="43" spans="1:51" x14ac:dyDescent="0.25">
      <c r="A43" s="16" t="s">
        <v>19451</v>
      </c>
      <c r="B43" s="16" t="s">
        <v>454</v>
      </c>
      <c r="C43" s="16" t="s">
        <v>467</v>
      </c>
      <c r="D43" s="16">
        <v>4</v>
      </c>
      <c r="E43" s="16" t="s">
        <v>172</v>
      </c>
      <c r="F43" s="16" t="str">
        <f>VLOOKUP(Table28[[#This Row],[Country]],Table10[[COUNTRY NAME]:[CONTINENT CODE]],3,FALSE)</f>
        <v>AS</v>
      </c>
      <c r="G43" s="16" t="s">
        <v>10941</v>
      </c>
      <c r="H43" s="181">
        <v>12808</v>
      </c>
      <c r="I43" s="180">
        <v>30.25</v>
      </c>
      <c r="K43" s="316">
        <f>IFERROR(Table28[[#This Row],[ROUTE COST]]/Table28[[#This Row],[O - DEMAND]],0)</f>
        <v>0</v>
      </c>
      <c r="M43" s="16">
        <f>Table28[[#This Row],[O - DEMAND]]/950</f>
        <v>0</v>
      </c>
      <c r="N43" s="16">
        <f>IFERROR(VLOOKUP(Table28[[#This Row],[ROUTE]],DEMAND!A:F,5,FALSE),0)</f>
        <v>3276</v>
      </c>
      <c r="O43" s="16">
        <f>IFERROR(VLOOKUP(Table28[[#This Row],[ROUTE]],DEMAND!A:F,6,FALSE),0)</f>
        <v>426</v>
      </c>
      <c r="P43" s="16">
        <f>ROUNDDOWN(Table28[[#This Row],[R-DEMAND]]/950,0)</f>
        <v>0</v>
      </c>
      <c r="Q43" s="16">
        <f>Table28[[#This Row],[ADD ACC
(475/950)]]*Table28[[#This Row],[Duration
(A359)]]</f>
        <v>0</v>
      </c>
      <c r="R43" s="16">
        <f>IFERROR(VLOOKUP(Table28[[#This Row],[ROUTE]],PRICING!A:B,2,FALSE),0)</f>
        <v>0</v>
      </c>
      <c r="S43" s="16">
        <f>Table28[[#This Row],[C_DEMAND]]-Table28[[#This Row],[R-DEMAND]]</f>
        <v>2850</v>
      </c>
      <c r="T43" s="316">
        <f>Table28[[#This Row],[SEATS SOLD]]*Table28[[#This Row],[ECO SEAT]]</f>
        <v>0</v>
      </c>
      <c r="U43" s="316">
        <f>Table28[[#This Row],[SEATS SOLD]]*(IFERROR(VLOOKUP(Table28[[#This Row],[ROUTE]],PRICING!A:C,3,FALSE),0))</f>
        <v>0</v>
      </c>
      <c r="V43" s="316">
        <f>Table28[[#This Row],[SEAT REV]]-Table28[[#This Row],[SEAT REV
(IF IDEAL $)]]</f>
        <v>0</v>
      </c>
      <c r="AA43" s="26" t="s">
        <v>19045</v>
      </c>
      <c r="AB43" s="26" t="s">
        <v>71</v>
      </c>
      <c r="AC43" s="26" t="s">
        <v>395</v>
      </c>
      <c r="AD43" s="174">
        <v>6267</v>
      </c>
      <c r="AE43" s="26">
        <v>3023</v>
      </c>
      <c r="AF43" s="16">
        <v>3023</v>
      </c>
      <c r="AS43" s="16" t="s">
        <v>1261</v>
      </c>
      <c r="AT43" s="16" t="s">
        <v>18974</v>
      </c>
      <c r="AU43" s="16" t="s">
        <v>369</v>
      </c>
      <c r="AV43" s="16" t="s">
        <v>18884</v>
      </c>
      <c r="AW43" s="16" t="s">
        <v>18918</v>
      </c>
      <c r="AX43" s="16" t="s">
        <v>18975</v>
      </c>
      <c r="AY43" s="385">
        <v>5520</v>
      </c>
    </row>
    <row r="44" spans="1:51" x14ac:dyDescent="0.25">
      <c r="A44" s="16" t="s">
        <v>19578</v>
      </c>
      <c r="B44" s="16" t="s">
        <v>4494</v>
      </c>
      <c r="D44" s="16">
        <v>2</v>
      </c>
      <c r="E44" s="16" t="s">
        <v>172</v>
      </c>
      <c r="F44" s="16" t="str">
        <f>VLOOKUP(Table28[[#This Row],[Country]],Table10[[COUNTRY NAME]:[CONTINENT CODE]],3,FALSE)</f>
        <v>AS</v>
      </c>
      <c r="G44" s="16" t="s">
        <v>10925</v>
      </c>
      <c r="H44" s="181">
        <v>13617</v>
      </c>
      <c r="I44" s="180">
        <v>32</v>
      </c>
      <c r="K44" s="316">
        <f>IFERROR(Table28[[#This Row],[ROUTE COST]]/Table28[[#This Row],[O - DEMAND]],0)</f>
        <v>0</v>
      </c>
      <c r="M44" s="16">
        <f>Table28[[#This Row],[O - DEMAND]]/950</f>
        <v>0</v>
      </c>
      <c r="N44" s="16">
        <f>IFERROR(VLOOKUP(Table28[[#This Row],[ROUTE]],DEMAND!A:F,5,FALSE),0)</f>
        <v>0</v>
      </c>
      <c r="O44" s="16">
        <f>IFERROR(VLOOKUP(Table28[[#This Row],[ROUTE]],DEMAND!A:F,6,FALSE),0)</f>
        <v>0</v>
      </c>
      <c r="P44" s="16">
        <f>ROUNDDOWN(Table28[[#This Row],[R-DEMAND]]/950,0)</f>
        <v>0</v>
      </c>
      <c r="Q44" s="16">
        <f>Table28[[#This Row],[ADD ACC
(475/950)]]*Table28[[#This Row],[Duration
(A359)]]</f>
        <v>0</v>
      </c>
      <c r="R44" s="16">
        <f>IFERROR(VLOOKUP(Table28[[#This Row],[ROUTE]],PRICING!A:B,2,FALSE),0)</f>
        <v>0</v>
      </c>
      <c r="S44" s="16">
        <f>Table28[[#This Row],[C_DEMAND]]-Table28[[#This Row],[R-DEMAND]]</f>
        <v>0</v>
      </c>
      <c r="T44" s="316">
        <f>Table28[[#This Row],[SEATS SOLD]]*Table28[[#This Row],[ECO SEAT]]</f>
        <v>0</v>
      </c>
      <c r="U44" s="316">
        <f>Table28[[#This Row],[SEATS SOLD]]*(IFERROR(VLOOKUP(Table28[[#This Row],[ROUTE]],PRICING!A:C,3,FALSE),0))</f>
        <v>0</v>
      </c>
      <c r="V44" s="316">
        <f>Table28[[#This Row],[SEAT REV]]-Table28[[#This Row],[SEAT REV
(IF IDEAL $)]]</f>
        <v>0</v>
      </c>
      <c r="AA44" s="26" t="s">
        <v>19308</v>
      </c>
      <c r="AB44" s="26" t="s">
        <v>71</v>
      </c>
      <c r="AC44" s="26" t="s">
        <v>2533</v>
      </c>
      <c r="AD44" s="174">
        <v>11478</v>
      </c>
      <c r="AE44" s="26">
        <v>3362</v>
      </c>
      <c r="AF44" s="16">
        <v>3362</v>
      </c>
      <c r="AS44" s="16" t="s">
        <v>717</v>
      </c>
      <c r="AT44" s="16" t="s">
        <v>12093</v>
      </c>
      <c r="AU44" s="16" t="s">
        <v>373</v>
      </c>
      <c r="AV44" s="16" t="s">
        <v>18884</v>
      </c>
      <c r="AW44" s="16" t="s">
        <v>18885</v>
      </c>
      <c r="AX44" s="16" t="s">
        <v>18930</v>
      </c>
      <c r="AY44" s="385">
        <v>5699</v>
      </c>
    </row>
    <row r="45" spans="1:51" x14ac:dyDescent="0.25">
      <c r="A45" s="16" t="s">
        <v>19006</v>
      </c>
      <c r="B45" s="16" t="s">
        <v>452</v>
      </c>
      <c r="C45" s="16" t="s">
        <v>467</v>
      </c>
      <c r="D45" s="16">
        <v>4</v>
      </c>
      <c r="E45" s="16" t="s">
        <v>730</v>
      </c>
      <c r="F45" s="16" t="str">
        <f>VLOOKUP(Table28[[#This Row],[Country]],Table10[[COUNTRY NAME]:[CONTINENT CODE]],3,FALSE)</f>
        <v>OC</v>
      </c>
      <c r="G45" s="16" t="s">
        <v>11116</v>
      </c>
      <c r="H45" s="181">
        <v>2160</v>
      </c>
      <c r="I45" s="180">
        <v>6.75</v>
      </c>
      <c r="K45" s="316">
        <f>IFERROR(Table28[[#This Row],[ROUTE COST]]/Table28[[#This Row],[O - DEMAND]],0)</f>
        <v>0</v>
      </c>
      <c r="M45" s="16">
        <f>Table28[[#This Row],[O - DEMAND]]/950</f>
        <v>0</v>
      </c>
      <c r="N45" s="16">
        <f>IFERROR(VLOOKUP(Table28[[#This Row],[ROUTE]],DEMAND!A:F,5,FALSE),0)</f>
        <v>2752</v>
      </c>
      <c r="O45" s="16">
        <f>IFERROR(VLOOKUP(Table28[[#This Row],[ROUTE]],DEMAND!A:F,6,FALSE),0)</f>
        <v>852</v>
      </c>
      <c r="P45" s="16">
        <f>ROUNDDOWN(Table28[[#This Row],[R-DEMAND]]/950,0)</f>
        <v>0</v>
      </c>
      <c r="Q45" s="16">
        <f>Table28[[#This Row],[ADD ACC
(475/950)]]*Table28[[#This Row],[Duration
(A359)]]</f>
        <v>0</v>
      </c>
      <c r="R45" s="16">
        <f>IFERROR(VLOOKUP(Table28[[#This Row],[ROUTE]],PRICING!A:B,2,FALSE),0)</f>
        <v>0</v>
      </c>
      <c r="S45" s="16">
        <f>Table28[[#This Row],[C_DEMAND]]-Table28[[#This Row],[R-DEMAND]]</f>
        <v>1900</v>
      </c>
      <c r="T45" s="316">
        <f>Table28[[#This Row],[SEATS SOLD]]*Table28[[#This Row],[ECO SEAT]]</f>
        <v>0</v>
      </c>
      <c r="U45" s="316">
        <f>Table28[[#This Row],[SEATS SOLD]]*(IFERROR(VLOOKUP(Table28[[#This Row],[ROUTE]],PRICING!A:C,3,FALSE),0))</f>
        <v>0</v>
      </c>
      <c r="V45" s="316">
        <f>Table28[[#This Row],[SEAT REV]]-Table28[[#This Row],[SEAT REV
(IF IDEAL $)]]</f>
        <v>0</v>
      </c>
      <c r="AA45" s="26" t="s">
        <v>19594</v>
      </c>
      <c r="AB45" s="26" t="s">
        <v>71</v>
      </c>
      <c r="AC45" s="26" t="s">
        <v>4548</v>
      </c>
      <c r="AD45" s="174">
        <v>13743</v>
      </c>
      <c r="AE45" s="26">
        <v>3490</v>
      </c>
      <c r="AF45" s="16">
        <v>3490</v>
      </c>
      <c r="AS45" s="16" t="s">
        <v>709</v>
      </c>
      <c r="AT45" s="16" t="s">
        <v>4042</v>
      </c>
      <c r="AU45" s="16" t="s">
        <v>4043</v>
      </c>
      <c r="AV45" s="16" t="s">
        <v>18878</v>
      </c>
      <c r="AW45" s="16" t="s">
        <v>18879</v>
      </c>
      <c r="AX45" s="16" t="s">
        <v>18930</v>
      </c>
      <c r="AY45" s="385">
        <v>5741</v>
      </c>
    </row>
    <row r="46" spans="1:51" x14ac:dyDescent="0.25">
      <c r="A46" s="16" t="s">
        <v>19301</v>
      </c>
      <c r="B46" s="16" t="s">
        <v>2551</v>
      </c>
      <c r="D46" s="16">
        <v>2</v>
      </c>
      <c r="E46" s="16" t="s">
        <v>11732</v>
      </c>
      <c r="F46" s="16" t="str">
        <f>VLOOKUP(Table28[[#This Row],[Country]],Table10[[COUNTRY NAME]:[CONTINENT CODE]],3,FALSE)</f>
        <v>NA - US</v>
      </c>
      <c r="G46" s="16" t="s">
        <v>10909</v>
      </c>
      <c r="H46" s="181">
        <v>11375</v>
      </c>
      <c r="I46" s="180">
        <v>27</v>
      </c>
      <c r="K46" s="316">
        <f>IFERROR(Table28[[#This Row],[ROUTE COST]]/Table28[[#This Row],[O - DEMAND]],0)</f>
        <v>0</v>
      </c>
      <c r="M46" s="180">
        <f>Table28[[#This Row],[O - DEMAND]]/950</f>
        <v>0</v>
      </c>
      <c r="N46" s="16">
        <f>IFERROR(VLOOKUP(Table28[[#This Row],[ROUTE]],DEMAND!A:F,5,FALSE),0)</f>
        <v>0</v>
      </c>
      <c r="O46" s="16">
        <f>IFERROR(VLOOKUP(Table28[[#This Row],[ROUTE]],DEMAND!A:F,6,FALSE),0)</f>
        <v>0</v>
      </c>
      <c r="P46" s="16">
        <f>ROUNDDOWN(Table28[[#This Row],[R-DEMAND]]/950,0)</f>
        <v>0</v>
      </c>
      <c r="Q46" s="16">
        <f>Table28[[#This Row],[ADD ACC
(475/950)]]*Table28[[#This Row],[Duration
(A359)]]</f>
        <v>0</v>
      </c>
      <c r="R46" s="16">
        <f>IFERROR(VLOOKUP(Table28[[#This Row],[ROUTE]],PRICING!A:B,2,FALSE),0)</f>
        <v>0</v>
      </c>
      <c r="S46" s="16">
        <f>Table28[[#This Row],[C_DEMAND]]-Table28[[#This Row],[R-DEMAND]]</f>
        <v>0</v>
      </c>
      <c r="T46" s="316">
        <f>Table28[[#This Row],[SEATS SOLD]]*Table28[[#This Row],[ECO SEAT]]</f>
        <v>0</v>
      </c>
      <c r="U46" s="316">
        <f>Table28[[#This Row],[SEATS SOLD]]*(IFERROR(VLOOKUP(Table28[[#This Row],[ROUTE]],PRICING!A:C,3,FALSE),0))</f>
        <v>0</v>
      </c>
      <c r="V46" s="316">
        <f>Table28[[#This Row],[SEAT REV]]-Table28[[#This Row],[SEAT REV
(IF IDEAL $)]]</f>
        <v>0</v>
      </c>
      <c r="AA46" s="26" t="s">
        <v>19815</v>
      </c>
      <c r="AB46" s="26" t="s">
        <v>71</v>
      </c>
      <c r="AC46" s="26" t="s">
        <v>3121</v>
      </c>
      <c r="AD46" s="174">
        <v>13864</v>
      </c>
      <c r="AE46" s="26">
        <v>3409</v>
      </c>
      <c r="AF46" s="16">
        <v>3409</v>
      </c>
      <c r="AS46" s="16" t="s">
        <v>709</v>
      </c>
      <c r="AT46" s="16" t="s">
        <v>12114</v>
      </c>
      <c r="AU46" s="16" t="s">
        <v>107</v>
      </c>
      <c r="AV46" s="16" t="s">
        <v>18892</v>
      </c>
      <c r="AW46" s="16" t="s">
        <v>18879</v>
      </c>
      <c r="AX46" s="16" t="s">
        <v>18930</v>
      </c>
      <c r="AY46" s="385">
        <v>5745</v>
      </c>
    </row>
    <row r="47" spans="1:51" x14ac:dyDescent="0.25">
      <c r="A47" s="16" t="s">
        <v>19504</v>
      </c>
      <c r="B47" s="16" t="s">
        <v>3365</v>
      </c>
      <c r="C47" s="16" t="s">
        <v>467</v>
      </c>
      <c r="D47" s="16">
        <v>2</v>
      </c>
      <c r="E47" s="16" t="s">
        <v>588</v>
      </c>
      <c r="F47" s="16" t="str">
        <f>VLOOKUP(Table28[[#This Row],[Country]],Table10[[COUNTRY NAME]:[CONTINENT CODE]],3,FALSE)</f>
        <v>EU</v>
      </c>
      <c r="G47" s="16" t="s">
        <v>11924</v>
      </c>
      <c r="H47" s="181">
        <v>13100</v>
      </c>
      <c r="I47" s="180">
        <v>31</v>
      </c>
      <c r="K47" s="316">
        <f>IFERROR(Table28[[#This Row],[ROUTE COST]]/Table28[[#This Row],[O - DEMAND]],0)</f>
        <v>0</v>
      </c>
      <c r="M47" s="16">
        <f>Table28[[#This Row],[O - DEMAND]]/950</f>
        <v>0</v>
      </c>
      <c r="N47" s="16">
        <f>IFERROR(VLOOKUP(Table28[[#This Row],[ROUTE]],DEMAND!A:F,5,FALSE),0)</f>
        <v>2646</v>
      </c>
      <c r="O47" s="16">
        <f>IFERROR(VLOOKUP(Table28[[#This Row],[ROUTE]],DEMAND!A:F,6,FALSE),0)</f>
        <v>746</v>
      </c>
      <c r="P47" s="16">
        <f>ROUNDDOWN(Table28[[#This Row],[R-DEMAND]]/950,0)</f>
        <v>0</v>
      </c>
      <c r="Q47" s="16">
        <f>Table28[[#This Row],[ADD ACC
(475/950)]]*Table28[[#This Row],[Duration
(A359)]]</f>
        <v>0</v>
      </c>
      <c r="R47" s="16">
        <f>IFERROR(VLOOKUP(Table28[[#This Row],[ROUTE]],PRICING!A:B,2,FALSE),0)</f>
        <v>0</v>
      </c>
      <c r="S47" s="16">
        <f>Table28[[#This Row],[C_DEMAND]]-Table28[[#This Row],[R-DEMAND]]</f>
        <v>1900</v>
      </c>
      <c r="T47" s="316">
        <f>Table28[[#This Row],[SEATS SOLD]]*Table28[[#This Row],[ECO SEAT]]</f>
        <v>0</v>
      </c>
      <c r="U47" s="316">
        <f>Table28[[#This Row],[SEATS SOLD]]*(IFERROR(VLOOKUP(Table28[[#This Row],[ROUTE]],PRICING!A:C,3,FALSE),0))</f>
        <v>0</v>
      </c>
      <c r="V47" s="316">
        <f>Table28[[#This Row],[SEAT REV]]-Table28[[#This Row],[SEAT REV
(IF IDEAL $)]]</f>
        <v>0</v>
      </c>
      <c r="AA47" s="26" t="s">
        <v>19686</v>
      </c>
      <c r="AB47" s="26" t="s">
        <v>71</v>
      </c>
      <c r="AC47" s="26" t="s">
        <v>388</v>
      </c>
      <c r="AD47" s="174">
        <v>14407</v>
      </c>
      <c r="AE47" s="26">
        <v>2884</v>
      </c>
      <c r="AF47" s="16">
        <v>2884</v>
      </c>
      <c r="AS47" s="16" t="s">
        <v>4829</v>
      </c>
      <c r="AT47" s="16" t="s">
        <v>12108</v>
      </c>
      <c r="AU47" s="16" t="s">
        <v>4831</v>
      </c>
      <c r="AV47" s="16" t="s">
        <v>18884</v>
      </c>
      <c r="AW47" s="16" t="s">
        <v>18885</v>
      </c>
      <c r="AX47" s="16" t="s">
        <v>18930</v>
      </c>
      <c r="AY47" s="385">
        <v>5761</v>
      </c>
    </row>
    <row r="48" spans="1:51" x14ac:dyDescent="0.25">
      <c r="A48" s="16" t="s">
        <v>19302</v>
      </c>
      <c r="B48" s="16" t="s">
        <v>5253</v>
      </c>
      <c r="C48" s="16" t="s">
        <v>467</v>
      </c>
      <c r="D48" s="16">
        <v>3</v>
      </c>
      <c r="E48" s="16" t="s">
        <v>588</v>
      </c>
      <c r="F48" s="16" t="str">
        <f>VLOOKUP(Table28[[#This Row],[Country]],Table10[[COUNTRY NAME]:[CONTINENT CODE]],3,FALSE)</f>
        <v>EU</v>
      </c>
      <c r="G48" s="16" t="s">
        <v>11991</v>
      </c>
      <c r="H48" s="181">
        <v>11413</v>
      </c>
      <c r="I48" s="180">
        <v>27.25</v>
      </c>
      <c r="K48" s="316">
        <f>IFERROR(Table28[[#This Row],[ROUTE COST]]/Table28[[#This Row],[O - DEMAND]],0)</f>
        <v>0</v>
      </c>
      <c r="M48" s="16">
        <f>Table28[[#This Row],[O - DEMAND]]/950</f>
        <v>0</v>
      </c>
      <c r="N48" s="16">
        <f>IFERROR(VLOOKUP(Table28[[#This Row],[ROUTE]],DEMAND!A:F,5,FALSE),0)</f>
        <v>3260</v>
      </c>
      <c r="O48" s="16">
        <f>IFERROR(VLOOKUP(Table28[[#This Row],[ROUTE]],DEMAND!A:F,6,FALSE),0)</f>
        <v>410</v>
      </c>
      <c r="P48" s="16">
        <f>ROUNDDOWN(Table28[[#This Row],[R-DEMAND]]/950,0)</f>
        <v>0</v>
      </c>
      <c r="Q48" s="16">
        <f>Table28[[#This Row],[ADD ACC
(475/950)]]*Table28[[#This Row],[Duration
(A359)]]</f>
        <v>0</v>
      </c>
      <c r="R48" s="16">
        <f>IFERROR(VLOOKUP(Table28[[#This Row],[ROUTE]],PRICING!A:B,2,FALSE),0)</f>
        <v>0</v>
      </c>
      <c r="S48" s="16">
        <f>Table28[[#This Row],[C_DEMAND]]-Table28[[#This Row],[R-DEMAND]]</f>
        <v>2850</v>
      </c>
      <c r="T48" s="316">
        <f>Table28[[#This Row],[SEATS SOLD]]*Table28[[#This Row],[ECO SEAT]]</f>
        <v>0</v>
      </c>
      <c r="U48" s="316">
        <f>Table28[[#This Row],[SEATS SOLD]]*(IFERROR(VLOOKUP(Table28[[#This Row],[ROUTE]],PRICING!A:C,3,FALSE),0))</f>
        <v>0</v>
      </c>
      <c r="V48" s="316">
        <f>Table28[[#This Row],[SEAT REV]]-Table28[[#This Row],[SEAT REV
(IF IDEAL $)]]</f>
        <v>0</v>
      </c>
      <c r="AA48" s="26" t="s">
        <v>19088</v>
      </c>
      <c r="AB48" s="26" t="s">
        <v>71</v>
      </c>
      <c r="AC48" s="26" t="s">
        <v>385</v>
      </c>
      <c r="AD48" s="174">
        <v>7531</v>
      </c>
      <c r="AE48" s="26">
        <v>3482</v>
      </c>
      <c r="AF48" s="16">
        <v>3482</v>
      </c>
      <c r="AS48" s="16" t="s">
        <v>709</v>
      </c>
      <c r="AT48" s="16" t="s">
        <v>12105</v>
      </c>
      <c r="AU48" s="16" t="s">
        <v>417</v>
      </c>
      <c r="AV48" s="16" t="s">
        <v>18884</v>
      </c>
      <c r="AW48" s="16" t="s">
        <v>18885</v>
      </c>
      <c r="AX48" s="16" t="s">
        <v>18930</v>
      </c>
      <c r="AY48" s="385">
        <v>5772</v>
      </c>
    </row>
    <row r="49" spans="1:51" x14ac:dyDescent="0.25">
      <c r="A49" s="16" t="s">
        <v>19697</v>
      </c>
      <c r="B49" s="16" t="s">
        <v>2011</v>
      </c>
      <c r="D49" s="16">
        <v>1</v>
      </c>
      <c r="E49" s="16" t="s">
        <v>11732</v>
      </c>
      <c r="F49" s="16" t="str">
        <f>VLOOKUP(Table28[[#This Row],[Country]],Table10[[COUNTRY NAME]:[CONTINENT CODE]],3,FALSE)</f>
        <v>NA - US</v>
      </c>
      <c r="G49" s="16" t="s">
        <v>16978</v>
      </c>
      <c r="H49" s="181">
        <v>14516</v>
      </c>
      <c r="I49" s="180">
        <v>34</v>
      </c>
      <c r="K49" s="316">
        <f>IFERROR(Table28[[#This Row],[ROUTE COST]]/Table28[[#This Row],[O - DEMAND]],0)</f>
        <v>0</v>
      </c>
      <c r="M49" s="180">
        <f>Table28[[#This Row],[O - DEMAND]]/950</f>
        <v>0</v>
      </c>
      <c r="N49" s="16">
        <f>IFERROR(VLOOKUP(Table28[[#This Row],[ROUTE]],DEMAND!A:F,5,FALSE),0)</f>
        <v>0</v>
      </c>
      <c r="O49" s="16">
        <f>IFERROR(VLOOKUP(Table28[[#This Row],[ROUTE]],DEMAND!A:F,6,FALSE),0)</f>
        <v>0</v>
      </c>
      <c r="P49" s="16">
        <f>ROUNDDOWN(Table28[[#This Row],[R-DEMAND]]/950,0)</f>
        <v>0</v>
      </c>
      <c r="Q49" s="16">
        <f>Table28[[#This Row],[ADD ACC
(475/950)]]*Table28[[#This Row],[Duration
(A359)]]</f>
        <v>0</v>
      </c>
      <c r="R49" s="16">
        <f>IFERROR(VLOOKUP(Table28[[#This Row],[ROUTE]],PRICING!A:B,2,FALSE),0)</f>
        <v>0</v>
      </c>
      <c r="S49" s="16">
        <f>Table28[[#This Row],[C_DEMAND]]-Table28[[#This Row],[R-DEMAND]]</f>
        <v>0</v>
      </c>
      <c r="T49" s="316">
        <f>Table28[[#This Row],[SEATS SOLD]]*Table28[[#This Row],[ECO SEAT]]</f>
        <v>0</v>
      </c>
      <c r="U49" s="316">
        <f>Table28[[#This Row],[SEATS SOLD]]*(IFERROR(VLOOKUP(Table28[[#This Row],[ROUTE]],PRICING!A:C,3,FALSE),0))</f>
        <v>0</v>
      </c>
      <c r="V49" s="316">
        <f>Table28[[#This Row],[SEAT REV]]-Table28[[#This Row],[SEAT REV
(IF IDEAL $)]]</f>
        <v>0</v>
      </c>
      <c r="AA49" s="26" t="s">
        <v>19500</v>
      </c>
      <c r="AB49" s="26" t="s">
        <v>71</v>
      </c>
      <c r="AC49" s="26" t="s">
        <v>4291</v>
      </c>
      <c r="AD49" s="174">
        <v>13070</v>
      </c>
      <c r="AE49" s="26">
        <v>3001</v>
      </c>
      <c r="AF49" s="16">
        <v>3001</v>
      </c>
      <c r="AS49" s="16" t="s">
        <v>709</v>
      </c>
      <c r="AT49" s="16" t="s">
        <v>8321</v>
      </c>
      <c r="AU49" s="16" t="s">
        <v>4795</v>
      </c>
      <c r="AV49" s="16" t="s">
        <v>18878</v>
      </c>
      <c r="AW49" s="16" t="s">
        <v>18885</v>
      </c>
      <c r="AX49" s="16" t="s">
        <v>18930</v>
      </c>
      <c r="AY49" s="385">
        <v>5773</v>
      </c>
    </row>
    <row r="50" spans="1:51" x14ac:dyDescent="0.25">
      <c r="A50" s="16" t="s">
        <v>19648</v>
      </c>
      <c r="B50" s="16" t="s">
        <v>4814</v>
      </c>
      <c r="C50" s="16" t="s">
        <v>467</v>
      </c>
      <c r="D50" s="16">
        <v>3</v>
      </c>
      <c r="E50" s="16" t="s">
        <v>1654</v>
      </c>
      <c r="F50" s="16" t="str">
        <f>VLOOKUP(Table28[[#This Row],[Country]],Table10[[COUNTRY NAME]:[CONTINENT CODE]],3,FALSE)</f>
        <v>AS</v>
      </c>
      <c r="G50" s="16" t="s">
        <v>11886</v>
      </c>
      <c r="H50" s="181">
        <v>14123</v>
      </c>
      <c r="I50" s="180">
        <v>33.25</v>
      </c>
      <c r="K50" s="316">
        <f>IFERROR(Table28[[#This Row],[ROUTE COST]]/Table28[[#This Row],[O - DEMAND]],0)</f>
        <v>0</v>
      </c>
      <c r="M50" s="16">
        <f>Table28[[#This Row],[O - DEMAND]]/950</f>
        <v>0</v>
      </c>
      <c r="N50" s="16">
        <f>IFERROR(VLOOKUP(Table28[[#This Row],[ROUTE]],DEMAND!A:F,5,FALSE),0)</f>
        <v>2365</v>
      </c>
      <c r="O50" s="16">
        <f>IFERROR(VLOOKUP(Table28[[#This Row],[ROUTE]],DEMAND!A:F,6,FALSE),0)</f>
        <v>465</v>
      </c>
      <c r="P50" s="16">
        <f>ROUNDDOWN(Table28[[#This Row],[R-DEMAND]]/950,0)</f>
        <v>0</v>
      </c>
      <c r="Q50" s="16">
        <f>Table28[[#This Row],[ADD ACC
(475/950)]]*Table28[[#This Row],[Duration
(A359)]]</f>
        <v>0</v>
      </c>
      <c r="R50" s="16">
        <f>IFERROR(VLOOKUP(Table28[[#This Row],[ROUTE]],PRICING!A:B,2,FALSE),0)</f>
        <v>0</v>
      </c>
      <c r="S50" s="16">
        <f>Table28[[#This Row],[C_DEMAND]]-Table28[[#This Row],[R-DEMAND]]</f>
        <v>1900</v>
      </c>
      <c r="T50" s="316">
        <f>Table28[[#This Row],[SEATS SOLD]]*Table28[[#This Row],[ECO SEAT]]</f>
        <v>0</v>
      </c>
      <c r="U50" s="316">
        <f>Table28[[#This Row],[SEATS SOLD]]*(IFERROR(VLOOKUP(Table28[[#This Row],[ROUTE]],PRICING!A:C,3,FALSE),0))</f>
        <v>0</v>
      </c>
      <c r="V50" s="316">
        <f>Table28[[#This Row],[SEAT REV]]-Table28[[#This Row],[SEAT REV
(IF IDEAL $)]]</f>
        <v>0</v>
      </c>
      <c r="AA50" s="26" t="s">
        <v>19195</v>
      </c>
      <c r="AB50" s="26" t="s">
        <v>71</v>
      </c>
      <c r="AC50" s="26" t="s">
        <v>378</v>
      </c>
      <c r="AD50" s="174">
        <v>9143</v>
      </c>
      <c r="AE50" s="26">
        <v>3784</v>
      </c>
      <c r="AF50" s="16">
        <v>3784</v>
      </c>
      <c r="AS50" s="16" t="s">
        <v>717</v>
      </c>
      <c r="AT50" s="16" t="s">
        <v>18111</v>
      </c>
      <c r="AU50" s="16" t="s">
        <v>4346</v>
      </c>
      <c r="AV50" s="16" t="s">
        <v>18878</v>
      </c>
      <c r="AW50" s="16" t="s">
        <v>18879</v>
      </c>
      <c r="AX50" s="16" t="s">
        <v>18990</v>
      </c>
      <c r="AY50" s="385">
        <v>5943</v>
      </c>
    </row>
    <row r="51" spans="1:51" x14ac:dyDescent="0.25">
      <c r="A51" s="16" t="s">
        <v>19526</v>
      </c>
      <c r="B51" s="16" t="s">
        <v>1002</v>
      </c>
      <c r="D51" s="16">
        <v>1</v>
      </c>
      <c r="E51" s="16" t="s">
        <v>11732</v>
      </c>
      <c r="F51" s="16" t="str">
        <f>VLOOKUP(Table28[[#This Row],[Country]],Table10[[COUNTRY NAME]:[CONTINENT CODE]],3,FALSE)</f>
        <v>NA - US</v>
      </c>
      <c r="G51" s="16" t="s">
        <v>16967</v>
      </c>
      <c r="H51" s="181">
        <v>13252</v>
      </c>
      <c r="I51" s="180">
        <v>31.25</v>
      </c>
      <c r="K51" s="316">
        <f>IFERROR(Table28[[#This Row],[ROUTE COST]]/Table28[[#This Row],[O - DEMAND]],0)</f>
        <v>0</v>
      </c>
      <c r="M51" s="180">
        <f>Table28[[#This Row],[O - DEMAND]]/950</f>
        <v>0</v>
      </c>
      <c r="N51" s="16">
        <f>IFERROR(VLOOKUP(Table28[[#This Row],[ROUTE]],DEMAND!A:F,5,FALSE),0)</f>
        <v>0</v>
      </c>
      <c r="O51" s="16">
        <f>IFERROR(VLOOKUP(Table28[[#This Row],[ROUTE]],DEMAND!A:F,6,FALSE),0)</f>
        <v>0</v>
      </c>
      <c r="P51" s="16">
        <f>ROUNDDOWN(Table28[[#This Row],[R-DEMAND]]/950,0)</f>
        <v>0</v>
      </c>
      <c r="Q51" s="16">
        <f>Table28[[#This Row],[ADD ACC
(475/950)]]*Table28[[#This Row],[Duration
(A359)]]</f>
        <v>0</v>
      </c>
      <c r="R51" s="16">
        <f>IFERROR(VLOOKUP(Table28[[#This Row],[ROUTE]],PRICING!A:B,2,FALSE),0)</f>
        <v>0</v>
      </c>
      <c r="S51" s="16">
        <f>Table28[[#This Row],[C_DEMAND]]-Table28[[#This Row],[R-DEMAND]]</f>
        <v>0</v>
      </c>
      <c r="T51" s="316">
        <f>Table28[[#This Row],[SEATS SOLD]]*Table28[[#This Row],[ECO SEAT]]</f>
        <v>0</v>
      </c>
      <c r="U51" s="316">
        <f>Table28[[#This Row],[SEATS SOLD]]*(IFERROR(VLOOKUP(Table28[[#This Row],[ROUTE]],PRICING!A:C,3,FALSE),0))</f>
        <v>0</v>
      </c>
      <c r="V51" s="316">
        <f>Table28[[#This Row],[SEAT REV]]-Table28[[#This Row],[SEAT REV
(IF IDEAL $)]]</f>
        <v>0</v>
      </c>
      <c r="AA51" s="26" t="s">
        <v>19036</v>
      </c>
      <c r="AB51" s="26" t="s">
        <v>71</v>
      </c>
      <c r="AC51" s="26" t="s">
        <v>373</v>
      </c>
      <c r="AD51" s="174">
        <v>5699</v>
      </c>
      <c r="AE51" s="26">
        <v>3216</v>
      </c>
      <c r="AF51" s="16">
        <v>3216</v>
      </c>
      <c r="AS51" s="16" t="s">
        <v>662</v>
      </c>
      <c r="AT51" s="16" t="s">
        <v>11741</v>
      </c>
      <c r="AU51" s="16" t="s">
        <v>4835</v>
      </c>
      <c r="AV51" s="16" t="s">
        <v>18884</v>
      </c>
      <c r="AW51" s="16" t="s">
        <v>18885</v>
      </c>
      <c r="AX51" s="16" t="s">
        <v>18968</v>
      </c>
      <c r="AY51" s="385">
        <v>6119</v>
      </c>
    </row>
    <row r="52" spans="1:51" x14ac:dyDescent="0.25">
      <c r="A52" s="16" t="s">
        <v>19564</v>
      </c>
      <c r="B52" s="16" t="s">
        <v>4416</v>
      </c>
      <c r="D52" s="16">
        <v>2</v>
      </c>
      <c r="E52" s="16" t="s">
        <v>11732</v>
      </c>
      <c r="F52" s="16" t="str">
        <f>VLOOKUP(Table28[[#This Row],[Country]],Table10[[COUNTRY NAME]:[CONTINENT CODE]],3,FALSE)</f>
        <v>NA - US</v>
      </c>
      <c r="G52" s="16" t="s">
        <v>13300</v>
      </c>
      <c r="H52" s="181">
        <v>13506</v>
      </c>
      <c r="I52" s="180">
        <v>31.75</v>
      </c>
      <c r="K52" s="316">
        <f>IFERROR(Table28[[#This Row],[ROUTE COST]]/Table28[[#This Row],[O - DEMAND]],0)</f>
        <v>0</v>
      </c>
      <c r="M52" s="180">
        <f>Table28[[#This Row],[O - DEMAND]]/950</f>
        <v>0</v>
      </c>
      <c r="N52" s="16">
        <f>IFERROR(VLOOKUP(Table28[[#This Row],[ROUTE]],DEMAND!A:F,5,FALSE),0)</f>
        <v>0</v>
      </c>
      <c r="O52" s="16">
        <f>IFERROR(VLOOKUP(Table28[[#This Row],[ROUTE]],DEMAND!A:F,6,FALSE),0)</f>
        <v>0</v>
      </c>
      <c r="P52" s="16">
        <f>ROUNDDOWN(Table28[[#This Row],[R-DEMAND]]/950,0)</f>
        <v>0</v>
      </c>
      <c r="Q52" s="16">
        <f>Table28[[#This Row],[ADD ACC
(475/950)]]*Table28[[#This Row],[Duration
(A359)]]</f>
        <v>0</v>
      </c>
      <c r="R52" s="16">
        <f>IFERROR(VLOOKUP(Table28[[#This Row],[ROUTE]],PRICING!A:B,2,FALSE),0)</f>
        <v>0</v>
      </c>
      <c r="S52" s="16">
        <f>Table28[[#This Row],[C_DEMAND]]-Table28[[#This Row],[R-DEMAND]]</f>
        <v>0</v>
      </c>
      <c r="T52" s="316">
        <f>Table28[[#This Row],[SEATS SOLD]]*Table28[[#This Row],[ECO SEAT]]</f>
        <v>0</v>
      </c>
      <c r="U52" s="316">
        <f>Table28[[#This Row],[SEATS SOLD]]*(IFERROR(VLOOKUP(Table28[[#This Row],[ROUTE]],PRICING!A:C,3,FALSE),0))</f>
        <v>0</v>
      </c>
      <c r="V52" s="316">
        <f>Table28[[#This Row],[SEAT REV]]-Table28[[#This Row],[SEAT REV
(IF IDEAL $)]]</f>
        <v>0</v>
      </c>
      <c r="AA52" s="26" t="s">
        <v>19124</v>
      </c>
      <c r="AB52" s="26" t="s">
        <v>71</v>
      </c>
      <c r="AC52" s="26" t="s">
        <v>371</v>
      </c>
      <c r="AD52" s="174">
        <v>8088</v>
      </c>
      <c r="AE52" s="26">
        <v>2476</v>
      </c>
      <c r="AF52" s="16">
        <v>2476</v>
      </c>
      <c r="AS52" s="16" t="s">
        <v>717</v>
      </c>
      <c r="AT52" s="16" t="s">
        <v>12089</v>
      </c>
      <c r="AU52" s="16" t="s">
        <v>166</v>
      </c>
      <c r="AV52" s="16" t="s">
        <v>18884</v>
      </c>
      <c r="AW52" s="16" t="s">
        <v>18918</v>
      </c>
      <c r="AX52" s="16" t="s">
        <v>18973</v>
      </c>
      <c r="AY52" s="385">
        <v>6264</v>
      </c>
    </row>
    <row r="53" spans="1:51" x14ac:dyDescent="0.25">
      <c r="A53" s="16" t="s">
        <v>19246</v>
      </c>
      <c r="B53" s="16" t="s">
        <v>448</v>
      </c>
      <c r="C53" s="16" t="s">
        <v>467</v>
      </c>
      <c r="D53" s="16">
        <v>3</v>
      </c>
      <c r="E53" s="16" t="s">
        <v>1070</v>
      </c>
      <c r="F53" s="16" t="str">
        <f>VLOOKUP(Table28[[#This Row],[Country]],Table10[[COUNTRY NAME]:[CONTINENT CODE]],3,FALSE)</f>
        <v>AS</v>
      </c>
      <c r="G53" s="16" t="s">
        <v>12031</v>
      </c>
      <c r="H53" s="181">
        <v>10439</v>
      </c>
      <c r="I53" s="180">
        <v>25</v>
      </c>
      <c r="K53" s="316">
        <f>IFERROR(Table28[[#This Row],[ROUTE COST]]/Table28[[#This Row],[O - DEMAND]],0)</f>
        <v>0</v>
      </c>
      <c r="M53" s="16">
        <f>Table28[[#This Row],[O - DEMAND]]/950</f>
        <v>0</v>
      </c>
      <c r="N53" s="16">
        <f>IFERROR(VLOOKUP(Table28[[#This Row],[ROUTE]],DEMAND!A:F,5,FALSE),0)</f>
        <v>3809</v>
      </c>
      <c r="O53" s="16">
        <f>IFERROR(VLOOKUP(Table28[[#This Row],[ROUTE]],DEMAND!A:F,6,FALSE),0)</f>
        <v>9</v>
      </c>
      <c r="P53" s="16">
        <f>ROUNDDOWN(Table28[[#This Row],[R-DEMAND]]/950,0)</f>
        <v>0</v>
      </c>
      <c r="Q53" s="16">
        <f>Table28[[#This Row],[ADD ACC
(475/950)]]*Table28[[#This Row],[Duration
(A359)]]</f>
        <v>0</v>
      </c>
      <c r="R53" s="16">
        <f>IFERROR(VLOOKUP(Table28[[#This Row],[ROUTE]],PRICING!A:B,2,FALSE),0)</f>
        <v>0</v>
      </c>
      <c r="S53" s="16">
        <f>Table28[[#This Row],[C_DEMAND]]-Table28[[#This Row],[R-DEMAND]]</f>
        <v>3800</v>
      </c>
      <c r="T53" s="316">
        <f>Table28[[#This Row],[SEATS SOLD]]*Table28[[#This Row],[ECO SEAT]]</f>
        <v>0</v>
      </c>
      <c r="U53" s="316">
        <f>Table28[[#This Row],[SEATS SOLD]]*(IFERROR(VLOOKUP(Table28[[#This Row],[ROUTE]],PRICING!A:C,3,FALSE),0))</f>
        <v>0</v>
      </c>
      <c r="V53" s="316">
        <f>Table28[[#This Row],[SEAT REV]]-Table28[[#This Row],[SEAT REV
(IF IDEAL $)]]</f>
        <v>0</v>
      </c>
      <c r="AA53" s="26" t="s">
        <v>19494</v>
      </c>
      <c r="AB53" s="26" t="s">
        <v>71</v>
      </c>
      <c r="AC53" s="26" t="s">
        <v>5438</v>
      </c>
      <c r="AD53" s="174">
        <v>13030</v>
      </c>
      <c r="AE53" s="26">
        <v>3206</v>
      </c>
      <c r="AF53" s="16">
        <v>3206</v>
      </c>
      <c r="AS53" s="16" t="s">
        <v>1261</v>
      </c>
      <c r="AT53" s="16" t="s">
        <v>12116</v>
      </c>
      <c r="AU53" s="16" t="s">
        <v>395</v>
      </c>
      <c r="AV53" s="16" t="s">
        <v>18884</v>
      </c>
      <c r="AW53" s="16" t="s">
        <v>18885</v>
      </c>
      <c r="AX53" s="16" t="s">
        <v>18973</v>
      </c>
      <c r="AY53" s="385">
        <v>6267</v>
      </c>
    </row>
    <row r="54" spans="1:51" x14ac:dyDescent="0.25">
      <c r="A54" s="16" t="s">
        <v>19634</v>
      </c>
      <c r="B54" s="16" t="s">
        <v>5317</v>
      </c>
      <c r="C54" s="16" t="s">
        <v>467</v>
      </c>
      <c r="D54" s="16">
        <v>3</v>
      </c>
      <c r="E54" s="16" t="s">
        <v>2711</v>
      </c>
      <c r="F54" s="16" t="str">
        <f>VLOOKUP(Table28[[#This Row],[Country]],Table10[[COUNTRY NAME]:[CONTINENT CODE]],3,FALSE)</f>
        <v>AS</v>
      </c>
      <c r="G54" s="16" t="s">
        <v>11892</v>
      </c>
      <c r="H54" s="181">
        <v>14062</v>
      </c>
      <c r="I54" s="180">
        <v>33</v>
      </c>
      <c r="K54" s="316">
        <f>IFERROR(Table28[[#This Row],[ROUTE COST]]/Table28[[#This Row],[O - DEMAND]],0)</f>
        <v>0</v>
      </c>
      <c r="M54" s="16">
        <f>Table28[[#This Row],[O - DEMAND]]/950</f>
        <v>0</v>
      </c>
      <c r="N54" s="16">
        <f>IFERROR(VLOOKUP(Table28[[#This Row],[ROUTE]],DEMAND!A:F,5,FALSE),0)</f>
        <v>2442</v>
      </c>
      <c r="O54" s="16">
        <f>IFERROR(VLOOKUP(Table28[[#This Row],[ROUTE]],DEMAND!A:F,6,FALSE),0)</f>
        <v>542</v>
      </c>
      <c r="P54" s="16">
        <f>ROUNDDOWN(Table28[[#This Row],[R-DEMAND]]/950,0)</f>
        <v>0</v>
      </c>
      <c r="Q54" s="16">
        <f>Table28[[#This Row],[ADD ACC
(475/950)]]*Table28[[#This Row],[Duration
(A359)]]</f>
        <v>0</v>
      </c>
      <c r="R54" s="16">
        <f>IFERROR(VLOOKUP(Table28[[#This Row],[ROUTE]],PRICING!A:B,2,FALSE),0)</f>
        <v>0</v>
      </c>
      <c r="S54" s="16">
        <f>Table28[[#This Row],[C_DEMAND]]-Table28[[#This Row],[R-DEMAND]]</f>
        <v>1900</v>
      </c>
      <c r="T54" s="316">
        <f>Table28[[#This Row],[SEATS SOLD]]*Table28[[#This Row],[ECO SEAT]]</f>
        <v>0</v>
      </c>
      <c r="U54" s="316">
        <f>Table28[[#This Row],[SEATS SOLD]]*(IFERROR(VLOOKUP(Table28[[#This Row],[ROUTE]],PRICING!A:C,3,FALSE),0))</f>
        <v>0</v>
      </c>
      <c r="V54" s="316">
        <f>Table28[[#This Row],[SEAT REV]]-Table28[[#This Row],[SEAT REV
(IF IDEAL $)]]</f>
        <v>0</v>
      </c>
      <c r="AA54" s="26" t="s">
        <v>19158</v>
      </c>
      <c r="AB54" s="26" t="s">
        <v>71</v>
      </c>
      <c r="AC54" s="26" t="s">
        <v>5489</v>
      </c>
      <c r="AD54" s="174">
        <v>8551</v>
      </c>
      <c r="AE54" s="26">
        <v>3006</v>
      </c>
      <c r="AF54" s="16">
        <v>3006</v>
      </c>
      <c r="AS54" s="16" t="s">
        <v>92</v>
      </c>
      <c r="AT54" s="16" t="s">
        <v>91</v>
      </c>
      <c r="AU54" s="16" t="s">
        <v>93</v>
      </c>
      <c r="AV54" s="16" t="s">
        <v>18884</v>
      </c>
      <c r="AW54" s="16" t="s">
        <v>18918</v>
      </c>
      <c r="AX54" s="16" t="s">
        <v>18973</v>
      </c>
      <c r="AY54" s="385">
        <v>6296</v>
      </c>
    </row>
    <row r="55" spans="1:51" x14ac:dyDescent="0.25">
      <c r="A55" s="16" t="s">
        <v>19328</v>
      </c>
      <c r="B55" s="16" t="s">
        <v>5327</v>
      </c>
      <c r="D55" s="16">
        <v>3</v>
      </c>
      <c r="E55" s="16" t="s">
        <v>11732</v>
      </c>
      <c r="F55" s="16" t="str">
        <f>VLOOKUP(Table28[[#This Row],[Country]],Table10[[COUNTRY NAME]:[CONTINENT CODE]],3,FALSE)</f>
        <v>NA - US</v>
      </c>
      <c r="G55" s="16" t="s">
        <v>11737</v>
      </c>
      <c r="H55" s="181">
        <v>11833</v>
      </c>
      <c r="I55" s="180">
        <v>28</v>
      </c>
      <c r="K55" s="316">
        <f>IFERROR(Table28[[#This Row],[ROUTE COST]]/Table28[[#This Row],[O - DEMAND]],0)</f>
        <v>0</v>
      </c>
      <c r="M55" s="180">
        <f>Table28[[#This Row],[O - DEMAND]]/950</f>
        <v>0</v>
      </c>
      <c r="N55" s="16">
        <f>IFERROR(VLOOKUP(Table28[[#This Row],[ROUTE]],DEMAND!A:F,5,FALSE),0)</f>
        <v>0</v>
      </c>
      <c r="O55" s="16">
        <f>IFERROR(VLOOKUP(Table28[[#This Row],[ROUTE]],DEMAND!A:F,6,FALSE),0)</f>
        <v>0</v>
      </c>
      <c r="P55" s="16">
        <f>ROUNDDOWN(Table28[[#This Row],[R-DEMAND]]/950,0)</f>
        <v>0</v>
      </c>
      <c r="Q55" s="16">
        <f>Table28[[#This Row],[ADD ACC
(475/950)]]*Table28[[#This Row],[Duration
(A359)]]</f>
        <v>0</v>
      </c>
      <c r="R55" s="16">
        <f>IFERROR(VLOOKUP(Table28[[#This Row],[ROUTE]],PRICING!A:B,2,FALSE),0)</f>
        <v>0</v>
      </c>
      <c r="S55" s="16">
        <f>Table28[[#This Row],[C_DEMAND]]-Table28[[#This Row],[R-DEMAND]]</f>
        <v>0</v>
      </c>
      <c r="T55" s="316">
        <f>Table28[[#This Row],[SEATS SOLD]]*Table28[[#This Row],[ECO SEAT]]</f>
        <v>0</v>
      </c>
      <c r="U55" s="316">
        <f>Table28[[#This Row],[SEATS SOLD]]*(IFERROR(VLOOKUP(Table28[[#This Row],[ROUTE]],PRICING!A:C,3,FALSE),0))</f>
        <v>0</v>
      </c>
      <c r="V55" s="316">
        <f>Table28[[#This Row],[SEAT REV]]-Table28[[#This Row],[SEAT REV
(IF IDEAL $)]]</f>
        <v>0</v>
      </c>
      <c r="AA55" s="26" t="s">
        <v>19174</v>
      </c>
      <c r="AB55" s="26" t="s">
        <v>71</v>
      </c>
      <c r="AC55" s="26" t="s">
        <v>368</v>
      </c>
      <c r="AD55" s="174">
        <v>8858</v>
      </c>
      <c r="AE55" s="26">
        <v>3773</v>
      </c>
      <c r="AF55" s="16">
        <v>3773</v>
      </c>
      <c r="AS55" s="16" t="s">
        <v>717</v>
      </c>
      <c r="AT55" s="16" t="s">
        <v>18110</v>
      </c>
      <c r="AU55" s="16" t="s">
        <v>2083</v>
      </c>
      <c r="AV55" s="16" t="s">
        <v>18878</v>
      </c>
      <c r="AW55" s="16" t="s">
        <v>18890</v>
      </c>
      <c r="AX55" s="16" t="s">
        <v>18973</v>
      </c>
      <c r="AY55" s="385">
        <v>6332</v>
      </c>
    </row>
    <row r="56" spans="1:51" x14ac:dyDescent="0.25">
      <c r="A56" s="16" t="s">
        <v>19379</v>
      </c>
      <c r="B56" s="16" t="s">
        <v>3780</v>
      </c>
      <c r="D56" s="16">
        <v>2</v>
      </c>
      <c r="E56" s="16" t="s">
        <v>530</v>
      </c>
      <c r="F56" s="16" t="str">
        <f>VLOOKUP(Table28[[#This Row],[Country]],Table10[[COUNTRY NAME]:[CONTINENT CODE]],3,FALSE)</f>
        <v>SA</v>
      </c>
      <c r="G56" s="16" t="s">
        <v>16952</v>
      </c>
      <c r="H56" s="181">
        <v>12267</v>
      </c>
      <c r="I56" s="180">
        <v>29</v>
      </c>
      <c r="K56" s="316">
        <f>IFERROR(Table28[[#This Row],[ROUTE COST]]/Table28[[#This Row],[O - DEMAND]],0)</f>
        <v>0</v>
      </c>
      <c r="M56" s="16">
        <f>Table28[[#This Row],[O - DEMAND]]/950</f>
        <v>0</v>
      </c>
      <c r="N56" s="16">
        <f>IFERROR(VLOOKUP(Table28[[#This Row],[ROUTE]],DEMAND!A:F,5,FALSE),0)</f>
        <v>0</v>
      </c>
      <c r="O56" s="16">
        <f>IFERROR(VLOOKUP(Table28[[#This Row],[ROUTE]],DEMAND!A:F,6,FALSE),0)</f>
        <v>0</v>
      </c>
      <c r="P56" s="16">
        <f>ROUNDDOWN(Table28[[#This Row],[R-DEMAND]]/950,0)</f>
        <v>0</v>
      </c>
      <c r="Q56" s="16">
        <f>Table28[[#This Row],[ADD ACC
(475/950)]]*Table28[[#This Row],[Duration
(A359)]]</f>
        <v>0</v>
      </c>
      <c r="R56" s="16">
        <f>IFERROR(VLOOKUP(Table28[[#This Row],[ROUTE]],PRICING!A:B,2,FALSE),0)</f>
        <v>0</v>
      </c>
      <c r="S56" s="16">
        <f>Table28[[#This Row],[C_DEMAND]]-Table28[[#This Row],[R-DEMAND]]</f>
        <v>0</v>
      </c>
      <c r="T56" s="316">
        <f>Table28[[#This Row],[SEATS SOLD]]*Table28[[#This Row],[ECO SEAT]]</f>
        <v>0</v>
      </c>
      <c r="U56" s="316">
        <f>Table28[[#This Row],[SEATS SOLD]]*(IFERROR(VLOOKUP(Table28[[#This Row],[ROUTE]],PRICING!A:C,3,FALSE),0))</f>
        <v>0</v>
      </c>
      <c r="V56" s="316">
        <f>Table28[[#This Row],[SEAT REV]]-Table28[[#This Row],[SEAT REV
(IF IDEAL $)]]</f>
        <v>0</v>
      </c>
      <c r="AA56" s="26" t="s">
        <v>19189</v>
      </c>
      <c r="AB56" s="26" t="s">
        <v>71</v>
      </c>
      <c r="AC56" s="26" t="s">
        <v>366</v>
      </c>
      <c r="AD56" s="174">
        <v>9045</v>
      </c>
      <c r="AE56" s="26">
        <v>2848</v>
      </c>
      <c r="AF56" s="16">
        <v>2848</v>
      </c>
      <c r="AS56" s="16" t="s">
        <v>709</v>
      </c>
      <c r="AT56" s="16" t="s">
        <v>12115</v>
      </c>
      <c r="AU56" s="16" t="s">
        <v>236</v>
      </c>
      <c r="AV56" s="16" t="s">
        <v>18884</v>
      </c>
      <c r="AW56" s="16" t="s">
        <v>18885</v>
      </c>
      <c r="AX56" s="16" t="s">
        <v>18973</v>
      </c>
      <c r="AY56" s="385">
        <v>6343</v>
      </c>
    </row>
    <row r="57" spans="1:51" x14ac:dyDescent="0.25">
      <c r="A57" s="16" t="s">
        <v>19738</v>
      </c>
      <c r="B57" s="16" t="s">
        <v>2508</v>
      </c>
      <c r="D57" s="16">
        <v>2</v>
      </c>
      <c r="E57" s="16" t="s">
        <v>700</v>
      </c>
      <c r="F57" s="16" t="str">
        <f>VLOOKUP(Table28[[#This Row],[Country]],Table10[[COUNTRY NAME]:[CONTINENT CODE]],3,FALSE)</f>
        <v>AS</v>
      </c>
      <c r="G57" s="16" t="s">
        <v>16876</v>
      </c>
      <c r="H57" s="181">
        <v>14797</v>
      </c>
      <c r="I57" s="180">
        <v>34.5</v>
      </c>
      <c r="K57" s="316">
        <f>IFERROR(Table28[[#This Row],[ROUTE COST]]/Table28[[#This Row],[O - DEMAND]],0)</f>
        <v>0</v>
      </c>
      <c r="M57" s="16">
        <f>Table28[[#This Row],[O - DEMAND]]/950</f>
        <v>0</v>
      </c>
      <c r="N57" s="16">
        <f>IFERROR(VLOOKUP(Table28[[#This Row],[ROUTE]],DEMAND!A:F,5,FALSE),0)</f>
        <v>0</v>
      </c>
      <c r="O57" s="16">
        <f>IFERROR(VLOOKUP(Table28[[#This Row],[ROUTE]],DEMAND!A:F,6,FALSE),0)</f>
        <v>0</v>
      </c>
      <c r="P57" s="16">
        <f>ROUNDDOWN(Table28[[#This Row],[R-DEMAND]]/950,0)</f>
        <v>0</v>
      </c>
      <c r="Q57" s="16">
        <f>Table28[[#This Row],[ADD ACC
(475/950)]]*Table28[[#This Row],[Duration
(A359)]]</f>
        <v>0</v>
      </c>
      <c r="R57" s="16">
        <f>IFERROR(VLOOKUP(Table28[[#This Row],[ROUTE]],PRICING!A:B,2,FALSE),0)</f>
        <v>0</v>
      </c>
      <c r="S57" s="16">
        <f>Table28[[#This Row],[C_DEMAND]]-Table28[[#This Row],[R-DEMAND]]</f>
        <v>0</v>
      </c>
      <c r="T57" s="316">
        <f>Table28[[#This Row],[SEATS SOLD]]*Table28[[#This Row],[ECO SEAT]]</f>
        <v>0</v>
      </c>
      <c r="U57" s="316">
        <f>Table28[[#This Row],[SEATS SOLD]]*(IFERROR(VLOOKUP(Table28[[#This Row],[ROUTE]],PRICING!A:C,3,FALSE),0))</f>
        <v>0</v>
      </c>
      <c r="V57" s="316">
        <f>Table28[[#This Row],[SEAT REV]]-Table28[[#This Row],[SEAT REV
(IF IDEAL $)]]</f>
        <v>0</v>
      </c>
      <c r="AA57" s="26" t="s">
        <v>19005</v>
      </c>
      <c r="AB57" s="26" t="s">
        <v>71</v>
      </c>
      <c r="AC57" s="26" t="s">
        <v>364</v>
      </c>
      <c r="AD57" s="174">
        <v>2126</v>
      </c>
      <c r="AE57" s="26">
        <v>2507</v>
      </c>
      <c r="AF57" s="16">
        <v>2507</v>
      </c>
      <c r="AS57" s="16" t="s">
        <v>717</v>
      </c>
      <c r="AT57" s="16" t="s">
        <v>12087</v>
      </c>
      <c r="AU57" s="16" t="s">
        <v>351</v>
      </c>
      <c r="AV57" s="16" t="s">
        <v>18881</v>
      </c>
      <c r="AW57" s="16" t="s">
        <v>18879</v>
      </c>
      <c r="AX57" s="16" t="s">
        <v>18973</v>
      </c>
      <c r="AY57" s="385">
        <v>6354</v>
      </c>
    </row>
    <row r="58" spans="1:51" x14ac:dyDescent="0.25">
      <c r="A58" s="16" t="s">
        <v>19146</v>
      </c>
      <c r="B58" s="16" t="s">
        <v>4725</v>
      </c>
      <c r="D58" s="16">
        <v>3</v>
      </c>
      <c r="E58" s="16" t="s">
        <v>142</v>
      </c>
      <c r="F58" s="16" t="str">
        <f>VLOOKUP(Table28[[#This Row],[Country]],Table10[[COUNTRY NAME]:[CONTINENT CODE]],3,FALSE)</f>
        <v>AS</v>
      </c>
      <c r="G58" s="16" t="s">
        <v>10855</v>
      </c>
      <c r="H58" s="181">
        <v>8375</v>
      </c>
      <c r="I58" s="180">
        <v>20.5</v>
      </c>
      <c r="K58" s="316">
        <f>IFERROR(Table28[[#This Row],[ROUTE COST]]/Table28[[#This Row],[O - DEMAND]],0)</f>
        <v>0</v>
      </c>
      <c r="M58" s="16">
        <f>Table28[[#This Row],[O - DEMAND]]/950</f>
        <v>0</v>
      </c>
      <c r="N58" s="16">
        <f>IFERROR(VLOOKUP(Table28[[#This Row],[ROUTE]],DEMAND!A:F,5,FALSE),0)</f>
        <v>0</v>
      </c>
      <c r="O58" s="16">
        <f>IFERROR(VLOOKUP(Table28[[#This Row],[ROUTE]],DEMAND!A:F,6,FALSE),0)</f>
        <v>0</v>
      </c>
      <c r="P58" s="16">
        <f>ROUNDDOWN(Table28[[#This Row],[R-DEMAND]]/950,0)</f>
        <v>0</v>
      </c>
      <c r="Q58" s="16">
        <f>Table28[[#This Row],[ADD ACC
(475/950)]]*Table28[[#This Row],[Duration
(A359)]]</f>
        <v>0</v>
      </c>
      <c r="R58" s="16">
        <f>IFERROR(VLOOKUP(Table28[[#This Row],[ROUTE]],PRICING!A:B,2,FALSE),0)</f>
        <v>0</v>
      </c>
      <c r="S58" s="16">
        <f>Table28[[#This Row],[C_DEMAND]]-Table28[[#This Row],[R-DEMAND]]</f>
        <v>0</v>
      </c>
      <c r="T58" s="316">
        <f>Table28[[#This Row],[SEATS SOLD]]*Table28[[#This Row],[ECO SEAT]]</f>
        <v>0</v>
      </c>
      <c r="U58" s="316">
        <f>Table28[[#This Row],[SEATS SOLD]]*(IFERROR(VLOOKUP(Table28[[#This Row],[ROUTE]],PRICING!A:C,3,FALSE),0))</f>
        <v>0</v>
      </c>
      <c r="V58" s="316">
        <f>Table28[[#This Row],[SEAT REV]]-Table28[[#This Row],[SEAT REV
(IF IDEAL $)]]</f>
        <v>0</v>
      </c>
      <c r="AA58" s="26" t="s">
        <v>19397</v>
      </c>
      <c r="AB58" s="26" t="s">
        <v>71</v>
      </c>
      <c r="AC58" s="26" t="s">
        <v>3739</v>
      </c>
      <c r="AD58" s="174">
        <v>12444</v>
      </c>
      <c r="AE58" s="26">
        <v>2361</v>
      </c>
      <c r="AF58" s="16">
        <v>2361</v>
      </c>
      <c r="AS58" s="16" t="s">
        <v>1261</v>
      </c>
      <c r="AT58" s="16" t="s">
        <v>18113</v>
      </c>
      <c r="AU58" s="16" t="s">
        <v>4762</v>
      </c>
      <c r="AV58" s="16" t="s">
        <v>18878</v>
      </c>
      <c r="AW58" s="16" t="s">
        <v>18885</v>
      </c>
      <c r="AX58" s="16" t="s">
        <v>18972</v>
      </c>
      <c r="AY58" s="385">
        <v>6444</v>
      </c>
    </row>
    <row r="59" spans="1:51" x14ac:dyDescent="0.25">
      <c r="A59" s="16" t="s">
        <v>19062</v>
      </c>
      <c r="B59" s="16" t="s">
        <v>3662</v>
      </c>
      <c r="D59" s="16">
        <v>2</v>
      </c>
      <c r="E59" s="16" t="s">
        <v>709</v>
      </c>
      <c r="F59" s="16" t="str">
        <f>VLOOKUP(Table28[[#This Row],[Country]],Table10[[COUNTRY NAME]:[CONTINENT CODE]],3,FALSE)</f>
        <v>AS</v>
      </c>
      <c r="G59" s="16" t="s">
        <v>18117</v>
      </c>
      <c r="H59" s="181">
        <v>6955</v>
      </c>
      <c r="I59" s="180">
        <v>17.5</v>
      </c>
      <c r="K59" s="316">
        <f>IFERROR(Table28[[#This Row],[ROUTE COST]]/Table28[[#This Row],[O - DEMAND]],0)</f>
        <v>0</v>
      </c>
      <c r="M59" s="16">
        <f>Table28[[#This Row],[O - DEMAND]]/950</f>
        <v>0</v>
      </c>
      <c r="N59" s="16">
        <f>IFERROR(VLOOKUP(Table28[[#This Row],[ROUTE]],DEMAND!A:F,5,FALSE),0)</f>
        <v>0</v>
      </c>
      <c r="O59" s="16">
        <f>IFERROR(VLOOKUP(Table28[[#This Row],[ROUTE]],DEMAND!A:F,6,FALSE),0)</f>
        <v>0</v>
      </c>
      <c r="P59" s="16">
        <f>ROUNDDOWN(Table28[[#This Row],[R-DEMAND]]/950,0)</f>
        <v>0</v>
      </c>
      <c r="Q59" s="16">
        <f>Table28[[#This Row],[ADD ACC
(475/950)]]*Table28[[#This Row],[Duration
(A359)]]</f>
        <v>0</v>
      </c>
      <c r="R59" s="16">
        <f>IFERROR(VLOOKUP(Table28[[#This Row],[ROUTE]],PRICING!A:B,2,FALSE),0)</f>
        <v>0</v>
      </c>
      <c r="S59" s="16">
        <f>Table28[[#This Row],[C_DEMAND]]-Table28[[#This Row],[R-DEMAND]]</f>
        <v>0</v>
      </c>
      <c r="T59" s="316">
        <f>Table28[[#This Row],[SEATS SOLD]]*Table28[[#This Row],[ECO SEAT]]</f>
        <v>0</v>
      </c>
      <c r="U59" s="316">
        <f>Table28[[#This Row],[SEATS SOLD]]*(IFERROR(VLOOKUP(Table28[[#This Row],[ROUTE]],PRICING!A:C,3,FALSE),0))</f>
        <v>0</v>
      </c>
      <c r="V59" s="316">
        <f>Table28[[#This Row],[SEAT REV]]-Table28[[#This Row],[SEAT REV
(IF IDEAL $)]]</f>
        <v>0</v>
      </c>
      <c r="AA59" s="26" t="s">
        <v>19151</v>
      </c>
      <c r="AB59" s="26" t="s">
        <v>71</v>
      </c>
      <c r="AC59" s="26" t="s">
        <v>361</v>
      </c>
      <c r="AD59" s="174">
        <v>8487</v>
      </c>
      <c r="AE59" s="26">
        <v>3153</v>
      </c>
      <c r="AF59" s="16">
        <v>3153</v>
      </c>
      <c r="AS59" s="16" t="s">
        <v>709</v>
      </c>
      <c r="AT59" s="16" t="s">
        <v>12113</v>
      </c>
      <c r="AU59" s="16" t="s">
        <v>213</v>
      </c>
      <c r="AV59" s="16" t="s">
        <v>18892</v>
      </c>
      <c r="AW59" s="16" t="s">
        <v>18879</v>
      </c>
      <c r="AX59" s="16" t="s">
        <v>18987</v>
      </c>
      <c r="AY59" s="385">
        <v>6544</v>
      </c>
    </row>
    <row r="60" spans="1:51" x14ac:dyDescent="0.25">
      <c r="A60" s="16" t="s">
        <v>19117</v>
      </c>
      <c r="B60" s="16" t="s">
        <v>1678</v>
      </c>
      <c r="D60" s="16">
        <v>1</v>
      </c>
      <c r="E60" s="16" t="s">
        <v>14</v>
      </c>
      <c r="F60" s="16" t="str">
        <f>VLOOKUP(Table28[[#This Row],[Country]],Table10[[COUNTRY NAME]:[CONTINENT CODE]],3,FALSE)</f>
        <v>AS</v>
      </c>
      <c r="G60" s="16" t="s">
        <v>12056</v>
      </c>
      <c r="H60" s="181">
        <v>8021</v>
      </c>
      <c r="I60" s="180">
        <v>19.75</v>
      </c>
      <c r="K60" s="316">
        <f>IFERROR(Table28[[#This Row],[ROUTE COST]]/Table28[[#This Row],[O - DEMAND]],0)</f>
        <v>0</v>
      </c>
      <c r="M60" s="16">
        <f>Table28[[#This Row],[O - DEMAND]]/950</f>
        <v>0</v>
      </c>
      <c r="N60" s="16">
        <f>IFERROR(VLOOKUP(Table28[[#This Row],[ROUTE]],DEMAND!A:F,5,FALSE),0)</f>
        <v>0</v>
      </c>
      <c r="O60" s="16">
        <f>IFERROR(VLOOKUP(Table28[[#This Row],[ROUTE]],DEMAND!A:F,6,FALSE),0)</f>
        <v>0</v>
      </c>
      <c r="P60" s="16">
        <f>ROUNDDOWN(Table28[[#This Row],[R-DEMAND]]/950,0)</f>
        <v>0</v>
      </c>
      <c r="Q60" s="16">
        <f>Table28[[#This Row],[ADD ACC
(475/950)]]*Table28[[#This Row],[Duration
(A359)]]</f>
        <v>0</v>
      </c>
      <c r="R60" s="16">
        <f>IFERROR(VLOOKUP(Table28[[#This Row],[ROUTE]],PRICING!A:B,2,FALSE),0)</f>
        <v>0</v>
      </c>
      <c r="S60" s="16">
        <f>Table28[[#This Row],[C_DEMAND]]-Table28[[#This Row],[R-DEMAND]]</f>
        <v>0</v>
      </c>
      <c r="T60" s="316">
        <f>Table28[[#This Row],[SEATS SOLD]]*Table28[[#This Row],[ECO SEAT]]</f>
        <v>0</v>
      </c>
      <c r="U60" s="316">
        <f>Table28[[#This Row],[SEATS SOLD]]*(IFERROR(VLOOKUP(Table28[[#This Row],[ROUTE]],PRICING!A:C,3,FALSE),0))</f>
        <v>0</v>
      </c>
      <c r="V60" s="316">
        <f>Table28[[#This Row],[SEAT REV]]-Table28[[#This Row],[SEAT REV
(IF IDEAL $)]]</f>
        <v>0</v>
      </c>
      <c r="AA60" s="26" t="s">
        <v>19784</v>
      </c>
      <c r="AB60" s="26" t="s">
        <v>71</v>
      </c>
      <c r="AC60" s="26" t="s">
        <v>4408</v>
      </c>
      <c r="AD60" s="174">
        <v>15048</v>
      </c>
      <c r="AE60" s="26">
        <v>1963</v>
      </c>
      <c r="AF60" s="16">
        <v>1963</v>
      </c>
      <c r="AS60" s="16" t="s">
        <v>709</v>
      </c>
      <c r="AT60" s="16" t="s">
        <v>11069</v>
      </c>
      <c r="AU60" s="16" t="s">
        <v>211</v>
      </c>
      <c r="AV60" s="16" t="s">
        <v>18884</v>
      </c>
      <c r="AW60" s="16" t="s">
        <v>18918</v>
      </c>
      <c r="AX60" s="16" t="s">
        <v>18987</v>
      </c>
      <c r="AY60" s="385">
        <v>6586</v>
      </c>
    </row>
    <row r="61" spans="1:51" x14ac:dyDescent="0.25">
      <c r="A61" s="16" t="s">
        <v>19491</v>
      </c>
      <c r="B61" s="16" t="s">
        <v>4543</v>
      </c>
      <c r="D61" s="16">
        <v>2</v>
      </c>
      <c r="E61" s="16" t="s">
        <v>172</v>
      </c>
      <c r="F61" s="16" t="str">
        <f>VLOOKUP(Table28[[#This Row],[Country]],Table10[[COUNTRY NAME]:[CONTINENT CODE]],3,FALSE)</f>
        <v>AS</v>
      </c>
      <c r="G61" s="16" t="s">
        <v>11936</v>
      </c>
      <c r="H61" s="181">
        <v>13018</v>
      </c>
      <c r="I61" s="180">
        <v>30.75</v>
      </c>
      <c r="K61" s="316">
        <f>IFERROR(Table28[[#This Row],[ROUTE COST]]/Table28[[#This Row],[O - DEMAND]],0)</f>
        <v>0</v>
      </c>
      <c r="M61" s="16">
        <f>Table28[[#This Row],[O - DEMAND]]/950</f>
        <v>0</v>
      </c>
      <c r="N61" s="16">
        <f>IFERROR(VLOOKUP(Table28[[#This Row],[ROUTE]],DEMAND!A:F,5,FALSE),0)</f>
        <v>0</v>
      </c>
      <c r="O61" s="16">
        <f>IFERROR(VLOOKUP(Table28[[#This Row],[ROUTE]],DEMAND!A:F,6,FALSE),0)</f>
        <v>0</v>
      </c>
      <c r="P61" s="16">
        <f>ROUNDDOWN(Table28[[#This Row],[R-DEMAND]]/950,0)</f>
        <v>0</v>
      </c>
      <c r="Q61" s="16">
        <f>Table28[[#This Row],[ADD ACC
(475/950)]]*Table28[[#This Row],[Duration
(A359)]]</f>
        <v>0</v>
      </c>
      <c r="R61" s="16">
        <f>IFERROR(VLOOKUP(Table28[[#This Row],[ROUTE]],PRICING!A:B,2,FALSE),0)</f>
        <v>0</v>
      </c>
      <c r="S61" s="16">
        <f>Table28[[#This Row],[C_DEMAND]]-Table28[[#This Row],[R-DEMAND]]</f>
        <v>0</v>
      </c>
      <c r="T61" s="316">
        <f>Table28[[#This Row],[SEATS SOLD]]*Table28[[#This Row],[ECO SEAT]]</f>
        <v>0</v>
      </c>
      <c r="U61" s="316">
        <f>Table28[[#This Row],[SEATS SOLD]]*(IFERROR(VLOOKUP(Table28[[#This Row],[ROUTE]],PRICING!A:C,3,FALSE),0))</f>
        <v>0</v>
      </c>
      <c r="V61" s="316">
        <f>Table28[[#This Row],[SEAT REV]]-Table28[[#This Row],[SEAT REV
(IF IDEAL $)]]</f>
        <v>0</v>
      </c>
      <c r="AA61" s="26" t="s">
        <v>19612</v>
      </c>
      <c r="AB61" s="26" t="s">
        <v>71</v>
      </c>
      <c r="AC61" s="26" t="s">
        <v>5485</v>
      </c>
      <c r="AD61" s="174">
        <v>13848</v>
      </c>
      <c r="AE61" s="26">
        <v>3226</v>
      </c>
      <c r="AF61" s="16">
        <v>3226</v>
      </c>
      <c r="AS61" s="16" t="s">
        <v>709</v>
      </c>
      <c r="AT61" s="16" t="s">
        <v>12112</v>
      </c>
      <c r="AU61" s="16" t="s">
        <v>4439</v>
      </c>
      <c r="AV61" s="16" t="s">
        <v>18884</v>
      </c>
      <c r="AW61" s="16" t="s">
        <v>18879</v>
      </c>
      <c r="AX61" s="16" t="s">
        <v>18986</v>
      </c>
      <c r="AY61" s="385">
        <v>6628</v>
      </c>
    </row>
    <row r="62" spans="1:51" x14ac:dyDescent="0.25">
      <c r="A62" s="16" t="s">
        <v>19635</v>
      </c>
      <c r="B62" s="16" t="s">
        <v>2713</v>
      </c>
      <c r="D62" s="16">
        <v>2</v>
      </c>
      <c r="E62" s="16" t="s">
        <v>2711</v>
      </c>
      <c r="F62" s="16" t="str">
        <f>VLOOKUP(Table28[[#This Row],[Country]],Table10[[COUNTRY NAME]:[CONTINENT CODE]],3,FALSE)</f>
        <v>AS</v>
      </c>
      <c r="G62" s="16" t="s">
        <v>11887</v>
      </c>
      <c r="H62" s="181">
        <v>14062</v>
      </c>
      <c r="I62" s="180">
        <v>33</v>
      </c>
      <c r="K62" s="316">
        <f>IFERROR(Table28[[#This Row],[ROUTE COST]]/Table28[[#This Row],[O - DEMAND]],0)</f>
        <v>0</v>
      </c>
      <c r="M62" s="16">
        <f>Table28[[#This Row],[O - DEMAND]]/950</f>
        <v>0</v>
      </c>
      <c r="N62" s="16">
        <f>IFERROR(VLOOKUP(Table28[[#This Row],[ROUTE]],DEMAND!A:F,5,FALSE),0)</f>
        <v>0</v>
      </c>
      <c r="O62" s="16">
        <f>IFERROR(VLOOKUP(Table28[[#This Row],[ROUTE]],DEMAND!A:F,6,FALSE),0)</f>
        <v>0</v>
      </c>
      <c r="P62" s="16">
        <f>ROUNDDOWN(Table28[[#This Row],[R-DEMAND]]/950,0)</f>
        <v>0</v>
      </c>
      <c r="Q62" s="16">
        <f>Table28[[#This Row],[ADD ACC
(475/950)]]*Table28[[#This Row],[Duration
(A359)]]</f>
        <v>0</v>
      </c>
      <c r="R62" s="16">
        <f>IFERROR(VLOOKUP(Table28[[#This Row],[ROUTE]],PRICING!A:B,2,FALSE),0)</f>
        <v>0</v>
      </c>
      <c r="S62" s="16">
        <f>Table28[[#This Row],[C_DEMAND]]-Table28[[#This Row],[R-DEMAND]]</f>
        <v>0</v>
      </c>
      <c r="T62" s="316">
        <f>Table28[[#This Row],[SEATS SOLD]]*Table28[[#This Row],[ECO SEAT]]</f>
        <v>0</v>
      </c>
      <c r="U62" s="316">
        <f>Table28[[#This Row],[SEATS SOLD]]*(IFERROR(VLOOKUP(Table28[[#This Row],[ROUTE]],PRICING!A:C,3,FALSE),0))</f>
        <v>0</v>
      </c>
      <c r="V62" s="316">
        <f>Table28[[#This Row],[SEAT REV]]-Table28[[#This Row],[SEAT REV
(IF IDEAL $)]]</f>
        <v>0</v>
      </c>
      <c r="AA62" s="26" t="s">
        <v>19121</v>
      </c>
      <c r="AB62" s="26" t="s">
        <v>71</v>
      </c>
      <c r="AC62" s="26" t="s">
        <v>357</v>
      </c>
      <c r="AD62" s="174">
        <v>8057</v>
      </c>
      <c r="AE62" s="26">
        <v>2847</v>
      </c>
      <c r="AF62" s="16">
        <v>2847</v>
      </c>
      <c r="AS62" s="16" t="s">
        <v>717</v>
      </c>
      <c r="AT62" s="16" t="s">
        <v>12081</v>
      </c>
      <c r="AU62" s="16" t="s">
        <v>206</v>
      </c>
      <c r="AV62" s="16" t="s">
        <v>18892</v>
      </c>
      <c r="AW62" s="16" t="s">
        <v>18879</v>
      </c>
      <c r="AX62" s="16" t="s">
        <v>18986</v>
      </c>
      <c r="AY62" s="385">
        <v>6645</v>
      </c>
    </row>
    <row r="63" spans="1:51" x14ac:dyDescent="0.25">
      <c r="A63" s="16" t="s">
        <v>19454</v>
      </c>
      <c r="B63" s="16" t="s">
        <v>4941</v>
      </c>
      <c r="C63" s="16" t="s">
        <v>467</v>
      </c>
      <c r="D63" s="16">
        <v>3</v>
      </c>
      <c r="E63" s="16" t="s">
        <v>714</v>
      </c>
      <c r="F63" s="16" t="str">
        <f>VLOOKUP(Table28[[#This Row],[Country]],Table10[[COUNTRY NAME]:[CONTINENT CODE]],3,FALSE)</f>
        <v>SA</v>
      </c>
      <c r="G63" s="16" t="s">
        <v>13242</v>
      </c>
      <c r="H63" s="181">
        <v>12824</v>
      </c>
      <c r="I63" s="180">
        <v>30.25</v>
      </c>
      <c r="K63" s="316">
        <f>IFERROR(Table28[[#This Row],[ROUTE COST]]/Table28[[#This Row],[O - DEMAND]],0)</f>
        <v>0</v>
      </c>
      <c r="M63" s="16">
        <f>Table28[[#This Row],[O - DEMAND]]/950</f>
        <v>0</v>
      </c>
      <c r="N63" s="16">
        <f>IFERROR(VLOOKUP(Table28[[#This Row],[ROUTE]],DEMAND!A:F,5,FALSE),0)</f>
        <v>3084</v>
      </c>
      <c r="O63" s="16">
        <f>IFERROR(VLOOKUP(Table28[[#This Row],[ROUTE]],DEMAND!A:F,6,FALSE),0)</f>
        <v>234</v>
      </c>
      <c r="P63" s="16">
        <f>ROUNDDOWN(Table28[[#This Row],[R-DEMAND]]/950,0)</f>
        <v>0</v>
      </c>
      <c r="Q63" s="16">
        <f>Table28[[#This Row],[ADD ACC
(475/950)]]*Table28[[#This Row],[Duration
(A359)]]</f>
        <v>0</v>
      </c>
      <c r="R63" s="16">
        <f>IFERROR(VLOOKUP(Table28[[#This Row],[ROUTE]],PRICING!A:B,2,FALSE),0)</f>
        <v>0</v>
      </c>
      <c r="S63" s="16">
        <f>Table28[[#This Row],[C_DEMAND]]-Table28[[#This Row],[R-DEMAND]]</f>
        <v>2850</v>
      </c>
      <c r="T63" s="316">
        <f>Table28[[#This Row],[SEATS SOLD]]*Table28[[#This Row],[ECO SEAT]]</f>
        <v>0</v>
      </c>
      <c r="U63" s="316">
        <f>Table28[[#This Row],[SEATS SOLD]]*(IFERROR(VLOOKUP(Table28[[#This Row],[ROUTE]],PRICING!A:C,3,FALSE),0))</f>
        <v>0</v>
      </c>
      <c r="V63" s="316">
        <f>Table28[[#This Row],[SEAT REV]]-Table28[[#This Row],[SEAT REV
(IF IDEAL $)]]</f>
        <v>0</v>
      </c>
      <c r="AA63" s="26" t="s">
        <v>19333</v>
      </c>
      <c r="AB63" s="26" t="s">
        <v>71</v>
      </c>
      <c r="AC63" s="26" t="s">
        <v>4642</v>
      </c>
      <c r="AD63" s="174">
        <v>11868</v>
      </c>
      <c r="AE63" s="26">
        <v>2609</v>
      </c>
      <c r="AF63" s="16">
        <v>2609</v>
      </c>
      <c r="AS63" s="16" t="s">
        <v>709</v>
      </c>
      <c r="AT63" s="16" t="s">
        <v>12111</v>
      </c>
      <c r="AU63" s="16" t="s">
        <v>61</v>
      </c>
      <c r="AV63" s="16" t="s">
        <v>18892</v>
      </c>
      <c r="AW63" s="16" t="s">
        <v>18879</v>
      </c>
      <c r="AX63" s="16" t="s">
        <v>18986</v>
      </c>
      <c r="AY63" s="385">
        <v>6677</v>
      </c>
    </row>
    <row r="64" spans="1:51" x14ac:dyDescent="0.25">
      <c r="A64" s="16" t="s">
        <v>19399</v>
      </c>
      <c r="B64" s="16" t="s">
        <v>4499</v>
      </c>
      <c r="C64" s="16" t="s">
        <v>467</v>
      </c>
      <c r="D64" s="16">
        <v>2</v>
      </c>
      <c r="E64" s="16" t="s">
        <v>4497</v>
      </c>
      <c r="F64" s="16" t="str">
        <f>VLOOKUP(Table28[[#This Row],[Country]],Table10[[COUNTRY NAME]:[CONTINENT CODE]],3,FALSE)</f>
        <v>AS</v>
      </c>
      <c r="G64" s="16" t="s">
        <v>11958</v>
      </c>
      <c r="H64" s="181">
        <v>12465</v>
      </c>
      <c r="I64" s="180">
        <v>29.5</v>
      </c>
      <c r="K64" s="316">
        <f>IFERROR(Table28[[#This Row],[ROUTE COST]]/Table28[[#This Row],[O - DEMAND]],0)</f>
        <v>0</v>
      </c>
      <c r="M64" s="16">
        <f>Table28[[#This Row],[O - DEMAND]]/950</f>
        <v>0</v>
      </c>
      <c r="N64" s="16">
        <f>IFERROR(VLOOKUP(Table28[[#This Row],[ROUTE]],DEMAND!A:F,5,FALSE),0)</f>
        <v>3172</v>
      </c>
      <c r="O64" s="16">
        <f>IFERROR(VLOOKUP(Table28[[#This Row],[ROUTE]],DEMAND!A:F,6,FALSE),0)</f>
        <v>-2528</v>
      </c>
      <c r="P64" s="16">
        <f>ROUNDDOWN(Table28[[#This Row],[R-DEMAND]]/950,0)</f>
        <v>-2</v>
      </c>
      <c r="Q64" s="16">
        <f>Table28[[#This Row],[ADD ACC
(475/950)]]*Table28[[#This Row],[Duration
(A359)]]</f>
        <v>-59</v>
      </c>
      <c r="R64" s="16">
        <f>IFERROR(VLOOKUP(Table28[[#This Row],[ROUTE]],PRICING!A:B,2,FALSE),0)</f>
        <v>0</v>
      </c>
      <c r="S64" s="16">
        <f>Table28[[#This Row],[C_DEMAND]]-Table28[[#This Row],[R-DEMAND]]</f>
        <v>5700</v>
      </c>
      <c r="T64" s="316">
        <f>Table28[[#This Row],[SEATS SOLD]]*Table28[[#This Row],[ECO SEAT]]</f>
        <v>0</v>
      </c>
      <c r="U64" s="316">
        <f>Table28[[#This Row],[SEATS SOLD]]*(IFERROR(VLOOKUP(Table28[[#This Row],[ROUTE]],PRICING!A:C,3,FALSE),0))</f>
        <v>0</v>
      </c>
      <c r="V64" s="316">
        <f>Table28[[#This Row],[SEAT REV]]-Table28[[#This Row],[SEAT REV
(IF IDEAL $)]]</f>
        <v>0</v>
      </c>
      <c r="AA64" s="26" t="s">
        <v>19277</v>
      </c>
      <c r="AB64" s="26" t="s">
        <v>71</v>
      </c>
      <c r="AC64" s="26" t="s">
        <v>353</v>
      </c>
      <c r="AD64" s="174">
        <v>10992</v>
      </c>
      <c r="AE64" s="26">
        <v>3888</v>
      </c>
      <c r="AF64" s="16">
        <v>3888</v>
      </c>
      <c r="AS64" s="16" t="s">
        <v>1314</v>
      </c>
      <c r="AT64" s="16" t="s">
        <v>12102</v>
      </c>
      <c r="AU64" s="16" t="s">
        <v>345</v>
      </c>
      <c r="AV64" s="16" t="s">
        <v>18881</v>
      </c>
      <c r="AW64" s="16" t="s">
        <v>18879</v>
      </c>
      <c r="AX64" s="16" t="s">
        <v>18994</v>
      </c>
      <c r="AY64" s="385">
        <v>6766</v>
      </c>
    </row>
    <row r="65" spans="1:51" x14ac:dyDescent="0.25">
      <c r="A65" s="16" t="s">
        <v>19483</v>
      </c>
      <c r="B65" s="16" t="s">
        <v>10817</v>
      </c>
      <c r="C65" s="16" t="s">
        <v>467</v>
      </c>
      <c r="D65" s="16">
        <v>2</v>
      </c>
      <c r="E65" s="16" t="s">
        <v>13117</v>
      </c>
      <c r="F65" s="16" t="str">
        <f>VLOOKUP(Table28[[#This Row],[Country]],Table10[[COUNTRY NAME]:[CONTINENT CODE]],3,FALSE)</f>
        <v>AF</v>
      </c>
      <c r="G65" s="16" t="s">
        <v>16857</v>
      </c>
      <c r="H65" s="181">
        <v>12988</v>
      </c>
      <c r="I65" s="180">
        <v>30.75</v>
      </c>
      <c r="K65" s="316">
        <f>IFERROR(Table28[[#This Row],[ROUTE COST]]/Table28[[#This Row],[O - DEMAND]],0)</f>
        <v>0</v>
      </c>
      <c r="M65" s="16">
        <f>Table28[[#This Row],[O - DEMAND]]/950</f>
        <v>0</v>
      </c>
      <c r="N65" s="16">
        <f>IFERROR(VLOOKUP(Table28[[#This Row],[ROUTE]],DEMAND!A:F,5,FALSE),0)</f>
        <v>3717</v>
      </c>
      <c r="O65" s="16">
        <f>IFERROR(VLOOKUP(Table28[[#This Row],[ROUTE]],DEMAND!A:F,6,FALSE),0)</f>
        <v>867</v>
      </c>
      <c r="P65" s="16">
        <f>ROUNDDOWN(Table28[[#This Row],[R-DEMAND]]/950,0)</f>
        <v>0</v>
      </c>
      <c r="Q65" s="16">
        <f>Table28[[#This Row],[ADD ACC
(475/950)]]*Table28[[#This Row],[Duration
(A359)]]</f>
        <v>0</v>
      </c>
      <c r="R65" s="16">
        <f>IFERROR(VLOOKUP(Table28[[#This Row],[ROUTE]],PRICING!A:B,2,FALSE),0)</f>
        <v>0</v>
      </c>
      <c r="S65" s="16">
        <f>Table28[[#This Row],[C_DEMAND]]-Table28[[#This Row],[R-DEMAND]]</f>
        <v>2850</v>
      </c>
      <c r="T65" s="316">
        <f>Table28[[#This Row],[SEATS SOLD]]*Table28[[#This Row],[ECO SEAT]]</f>
        <v>0</v>
      </c>
      <c r="U65" s="316">
        <f>Table28[[#This Row],[SEATS SOLD]]*(IFERROR(VLOOKUP(Table28[[#This Row],[ROUTE]],PRICING!A:C,3,FALSE),0))</f>
        <v>0</v>
      </c>
      <c r="V65" s="316">
        <f>Table28[[#This Row],[SEAT REV]]-Table28[[#This Row],[SEAT REV
(IF IDEAL $)]]</f>
        <v>0</v>
      </c>
      <c r="AA65" s="26" t="s">
        <v>19049</v>
      </c>
      <c r="AB65" s="26" t="s">
        <v>71</v>
      </c>
      <c r="AC65" s="26" t="s">
        <v>351</v>
      </c>
      <c r="AD65" s="174">
        <v>6354</v>
      </c>
      <c r="AE65" s="26">
        <v>2689</v>
      </c>
      <c r="AF65" s="16">
        <v>2689</v>
      </c>
      <c r="AS65" s="16" t="s">
        <v>1314</v>
      </c>
      <c r="AT65" s="16" t="s">
        <v>11043</v>
      </c>
      <c r="AU65" s="16" t="s">
        <v>100</v>
      </c>
      <c r="AV65" s="16" t="s">
        <v>18884</v>
      </c>
      <c r="AW65" s="16" t="s">
        <v>18899</v>
      </c>
      <c r="AX65" s="16" t="s">
        <v>18967</v>
      </c>
      <c r="AY65" s="385">
        <v>6848</v>
      </c>
    </row>
    <row r="66" spans="1:51" x14ac:dyDescent="0.25">
      <c r="A66" s="16" t="s">
        <v>19681</v>
      </c>
      <c r="B66" s="16" t="s">
        <v>4404</v>
      </c>
      <c r="D66" s="16">
        <v>2</v>
      </c>
      <c r="E66" s="16" t="s">
        <v>700</v>
      </c>
      <c r="F66" s="16" t="str">
        <f>VLOOKUP(Table28[[#This Row],[Country]],Table10[[COUNTRY NAME]:[CONTINENT CODE]],3,FALSE)</f>
        <v>AS</v>
      </c>
      <c r="G66" s="16" t="s">
        <v>11867</v>
      </c>
      <c r="H66" s="181">
        <v>14353</v>
      </c>
      <c r="I66" s="180">
        <v>33.75</v>
      </c>
      <c r="K66" s="316">
        <f>IFERROR(Table28[[#This Row],[ROUTE COST]]/Table28[[#This Row],[O - DEMAND]],0)</f>
        <v>0</v>
      </c>
      <c r="M66" s="16">
        <f>Table28[[#This Row],[O - DEMAND]]/950</f>
        <v>0</v>
      </c>
      <c r="N66" s="16">
        <f>IFERROR(VLOOKUP(Table28[[#This Row],[ROUTE]],DEMAND!A:F,5,FALSE),0)</f>
        <v>0</v>
      </c>
      <c r="O66" s="16">
        <f>IFERROR(VLOOKUP(Table28[[#This Row],[ROUTE]],DEMAND!A:F,6,FALSE),0)</f>
        <v>0</v>
      </c>
      <c r="P66" s="16">
        <f>ROUNDDOWN(Table28[[#This Row],[R-DEMAND]]/950,0)</f>
        <v>0</v>
      </c>
      <c r="Q66" s="16">
        <f>Table28[[#This Row],[ADD ACC
(475/950)]]*Table28[[#This Row],[Duration
(A359)]]</f>
        <v>0</v>
      </c>
      <c r="R66" s="16">
        <f>IFERROR(VLOOKUP(Table28[[#This Row],[ROUTE]],PRICING!A:B,2,FALSE),0)</f>
        <v>0</v>
      </c>
      <c r="S66" s="16">
        <f>Table28[[#This Row],[C_DEMAND]]-Table28[[#This Row],[R-DEMAND]]</f>
        <v>0</v>
      </c>
      <c r="T66" s="316">
        <f>Table28[[#This Row],[SEATS SOLD]]*Table28[[#This Row],[ECO SEAT]]</f>
        <v>0</v>
      </c>
      <c r="U66" s="316">
        <f>Table28[[#This Row],[SEATS SOLD]]*(IFERROR(VLOOKUP(Table28[[#This Row],[ROUTE]],PRICING!A:C,3,FALSE),0))</f>
        <v>0</v>
      </c>
      <c r="V66" s="316">
        <f>Table28[[#This Row],[SEAT REV]]-Table28[[#This Row],[SEAT REV
(IF IDEAL $)]]</f>
        <v>0</v>
      </c>
      <c r="AA66" s="26" t="s">
        <v>19160</v>
      </c>
      <c r="AB66" s="26" t="s">
        <v>71</v>
      </c>
      <c r="AC66" s="26" t="s">
        <v>349</v>
      </c>
      <c r="AD66" s="174">
        <v>8587</v>
      </c>
      <c r="AE66" s="26">
        <v>2655</v>
      </c>
      <c r="AF66" s="16">
        <v>2655</v>
      </c>
      <c r="AS66" s="16" t="s">
        <v>1261</v>
      </c>
      <c r="AT66" s="16" t="s">
        <v>11070</v>
      </c>
      <c r="AU66" s="16" t="s">
        <v>215</v>
      </c>
      <c r="AV66" s="16" t="s">
        <v>18884</v>
      </c>
      <c r="AW66" s="16" t="s">
        <v>18899</v>
      </c>
      <c r="AX66" s="16" t="s">
        <v>18967</v>
      </c>
      <c r="AY66" s="385">
        <v>6885</v>
      </c>
    </row>
    <row r="67" spans="1:51" x14ac:dyDescent="0.25">
      <c r="A67" s="16" t="s">
        <v>19444</v>
      </c>
      <c r="B67" s="16" t="s">
        <v>443</v>
      </c>
      <c r="C67" s="16" t="s">
        <v>467</v>
      </c>
      <c r="D67" s="16">
        <v>2</v>
      </c>
      <c r="E67" s="16" t="s">
        <v>2395</v>
      </c>
      <c r="F67" s="16" t="str">
        <f>VLOOKUP(Table28[[#This Row],[Country]],Table10[[COUNTRY NAME]:[CONTINENT CODE]],3,FALSE)</f>
        <v>SA</v>
      </c>
      <c r="G67" s="16" t="s">
        <v>13233</v>
      </c>
      <c r="H67" s="181">
        <v>12773</v>
      </c>
      <c r="I67" s="180">
        <v>30.25</v>
      </c>
      <c r="K67" s="316">
        <f>IFERROR(Table28[[#This Row],[ROUTE COST]]/Table28[[#This Row],[O - DEMAND]],0)</f>
        <v>0</v>
      </c>
      <c r="M67" s="16">
        <f>Table28[[#This Row],[O - DEMAND]]/950</f>
        <v>0</v>
      </c>
      <c r="N67" s="16">
        <f>IFERROR(VLOOKUP(Table28[[#This Row],[ROUTE]],DEMAND!A:F,5,FALSE),0)</f>
        <v>2807</v>
      </c>
      <c r="O67" s="16">
        <f>IFERROR(VLOOKUP(Table28[[#This Row],[ROUTE]],DEMAND!A:F,6,FALSE),0)</f>
        <v>907</v>
      </c>
      <c r="P67" s="16">
        <f>ROUNDDOWN(Table28[[#This Row],[R-DEMAND]]/950,0)</f>
        <v>0</v>
      </c>
      <c r="Q67" s="16">
        <f>Table28[[#This Row],[ADD ACC
(475/950)]]*Table28[[#This Row],[Duration
(A359)]]</f>
        <v>0</v>
      </c>
      <c r="R67" s="16">
        <f>IFERROR(VLOOKUP(Table28[[#This Row],[ROUTE]],PRICING!A:B,2,FALSE),0)</f>
        <v>0</v>
      </c>
      <c r="S67" s="16">
        <f>Table28[[#This Row],[C_DEMAND]]-Table28[[#This Row],[R-DEMAND]]</f>
        <v>1900</v>
      </c>
      <c r="T67" s="316">
        <f>Table28[[#This Row],[SEATS SOLD]]*Table28[[#This Row],[ECO SEAT]]</f>
        <v>0</v>
      </c>
      <c r="U67" s="316">
        <f>Table28[[#This Row],[SEATS SOLD]]*(IFERROR(VLOOKUP(Table28[[#This Row],[ROUTE]],PRICING!A:C,3,FALSE),0))</f>
        <v>0</v>
      </c>
      <c r="V67" s="316">
        <f>Table28[[#This Row],[SEAT REV]]-Table28[[#This Row],[SEAT REV
(IF IDEAL $)]]</f>
        <v>0</v>
      </c>
      <c r="AA67" s="26" t="s">
        <v>19165</v>
      </c>
      <c r="AB67" s="26" t="s">
        <v>71</v>
      </c>
      <c r="AC67" s="26" t="s">
        <v>347</v>
      </c>
      <c r="AD67" s="174">
        <v>8731</v>
      </c>
      <c r="AE67" s="26">
        <v>3373</v>
      </c>
      <c r="AF67" s="16">
        <v>3373</v>
      </c>
      <c r="AS67" s="16" t="s">
        <v>662</v>
      </c>
      <c r="AT67" s="16" t="s">
        <v>11694</v>
      </c>
      <c r="AU67" s="16" t="s">
        <v>1333</v>
      </c>
      <c r="AV67" s="16" t="s">
        <v>18884</v>
      </c>
      <c r="AW67" s="16" t="s">
        <v>18890</v>
      </c>
      <c r="AX67" s="16" t="s">
        <v>18967</v>
      </c>
      <c r="AY67" s="385">
        <v>6890</v>
      </c>
    </row>
    <row r="68" spans="1:51" x14ac:dyDescent="0.25">
      <c r="A68" s="16" t="s">
        <v>19627</v>
      </c>
      <c r="B68" s="16" t="s">
        <v>4640</v>
      </c>
      <c r="C68" s="16" t="s">
        <v>467</v>
      </c>
      <c r="D68" s="16">
        <v>2</v>
      </c>
      <c r="E68" s="16" t="s">
        <v>1124</v>
      </c>
      <c r="F68" s="16" t="str">
        <f>VLOOKUP(Table28[[#This Row],[Country]],Table10[[COUNTRY NAME]:[CONTINENT CODE]],3,FALSE)</f>
        <v>AF</v>
      </c>
      <c r="G68" s="16" t="s">
        <v>11878</v>
      </c>
      <c r="H68" s="181">
        <v>14007</v>
      </c>
      <c r="I68" s="180">
        <v>33</v>
      </c>
      <c r="K68" s="316">
        <f>IFERROR(Table28[[#This Row],[ROUTE COST]]/Table28[[#This Row],[O - DEMAND]],0)</f>
        <v>0</v>
      </c>
      <c r="M68" s="16">
        <f>Table28[[#This Row],[O - DEMAND]]/950</f>
        <v>0</v>
      </c>
      <c r="N68" s="16">
        <f>IFERROR(VLOOKUP(Table28[[#This Row],[ROUTE]],DEMAND!A:F,5,FALSE),0)</f>
        <v>2298</v>
      </c>
      <c r="O68" s="16">
        <f>IFERROR(VLOOKUP(Table28[[#This Row],[ROUTE]],DEMAND!A:F,6,FALSE),0)</f>
        <v>398</v>
      </c>
      <c r="P68" s="16">
        <f>ROUNDDOWN(Table28[[#This Row],[R-DEMAND]]/950,0)</f>
        <v>0</v>
      </c>
      <c r="Q68" s="16">
        <f>Table28[[#This Row],[ADD ACC
(475/950)]]*Table28[[#This Row],[Duration
(A359)]]</f>
        <v>0</v>
      </c>
      <c r="R68" s="16">
        <f>IFERROR(VLOOKUP(Table28[[#This Row],[ROUTE]],PRICING!A:B,2,FALSE),0)</f>
        <v>0</v>
      </c>
      <c r="S68" s="16">
        <f>Table28[[#This Row],[C_DEMAND]]-Table28[[#This Row],[R-DEMAND]]</f>
        <v>1900</v>
      </c>
      <c r="T68" s="316">
        <f>Table28[[#This Row],[SEATS SOLD]]*Table28[[#This Row],[ECO SEAT]]</f>
        <v>0</v>
      </c>
      <c r="U68" s="316">
        <f>Table28[[#This Row],[SEATS SOLD]]*(IFERROR(VLOOKUP(Table28[[#This Row],[ROUTE]],PRICING!A:C,3,FALSE),0))</f>
        <v>0</v>
      </c>
      <c r="V68" s="316">
        <f>Table28[[#This Row],[SEAT REV]]-Table28[[#This Row],[SEAT REV
(IF IDEAL $)]]</f>
        <v>0</v>
      </c>
      <c r="AA68" s="26" t="s">
        <v>19661</v>
      </c>
      <c r="AB68" s="26" t="s">
        <v>71</v>
      </c>
      <c r="AC68" s="26" t="s">
        <v>5616</v>
      </c>
      <c r="AD68" s="174">
        <v>14192</v>
      </c>
      <c r="AE68" s="26">
        <v>2320</v>
      </c>
      <c r="AF68" s="16">
        <v>2320</v>
      </c>
      <c r="AS68" s="16" t="s">
        <v>709</v>
      </c>
      <c r="AT68" s="16" t="s">
        <v>12109</v>
      </c>
      <c r="AU68" s="16" t="s">
        <v>128</v>
      </c>
      <c r="AV68" s="16" t="s">
        <v>18884</v>
      </c>
      <c r="AW68" s="16" t="s">
        <v>18885</v>
      </c>
      <c r="AX68" s="16" t="s">
        <v>18967</v>
      </c>
      <c r="AY68" s="385">
        <v>6896</v>
      </c>
    </row>
    <row r="69" spans="1:51" x14ac:dyDescent="0.25">
      <c r="A69" s="16" t="s">
        <v>19480</v>
      </c>
      <c r="B69" s="16" t="s">
        <v>4945</v>
      </c>
      <c r="C69" s="16" t="s">
        <v>467</v>
      </c>
      <c r="D69" s="16">
        <v>3</v>
      </c>
      <c r="E69" s="16" t="s">
        <v>714</v>
      </c>
      <c r="F69" s="16" t="str">
        <f>VLOOKUP(Table28[[#This Row],[Country]],Table10[[COUNTRY NAME]:[CONTINENT CODE]],3,FALSE)</f>
        <v>SA</v>
      </c>
      <c r="G69" s="16" t="s">
        <v>13236</v>
      </c>
      <c r="H69" s="181">
        <v>12975</v>
      </c>
      <c r="I69" s="180">
        <v>30.5</v>
      </c>
      <c r="K69" s="316">
        <f>IFERROR(Table28[[#This Row],[ROUTE COST]]/Table28[[#This Row],[O - DEMAND]],0)</f>
        <v>0</v>
      </c>
      <c r="M69" s="16">
        <f>Table28[[#This Row],[O - DEMAND]]/950</f>
        <v>0</v>
      </c>
      <c r="N69" s="16">
        <f>IFERROR(VLOOKUP(Table28[[#This Row],[ROUTE]],DEMAND!A:F,5,FALSE),0)</f>
        <v>3094</v>
      </c>
      <c r="O69" s="16">
        <f>IFERROR(VLOOKUP(Table28[[#This Row],[ROUTE]],DEMAND!A:F,6,FALSE),0)</f>
        <v>244</v>
      </c>
      <c r="P69" s="16">
        <f>ROUNDDOWN(Table28[[#This Row],[R-DEMAND]]/950,0)</f>
        <v>0</v>
      </c>
      <c r="Q69" s="16">
        <f>Table28[[#This Row],[ADD ACC
(475/950)]]*Table28[[#This Row],[Duration
(A359)]]</f>
        <v>0</v>
      </c>
      <c r="R69" s="16">
        <f>IFERROR(VLOOKUP(Table28[[#This Row],[ROUTE]],PRICING!A:B,2,FALSE),0)</f>
        <v>0</v>
      </c>
      <c r="S69" s="16">
        <f>Table28[[#This Row],[C_DEMAND]]-Table28[[#This Row],[R-DEMAND]]</f>
        <v>2850</v>
      </c>
      <c r="T69" s="316">
        <f>Table28[[#This Row],[SEATS SOLD]]*Table28[[#This Row],[ECO SEAT]]</f>
        <v>0</v>
      </c>
      <c r="U69" s="316">
        <f>Table28[[#This Row],[SEATS SOLD]]*(IFERROR(VLOOKUP(Table28[[#This Row],[ROUTE]],PRICING!A:C,3,FALSE),0))</f>
        <v>0</v>
      </c>
      <c r="V69" s="316">
        <f>Table28[[#This Row],[SEAT REV]]-Table28[[#This Row],[SEAT REV
(IF IDEAL $)]]</f>
        <v>0</v>
      </c>
      <c r="AA69" s="26" t="s">
        <v>19496</v>
      </c>
      <c r="AB69" s="26" t="s">
        <v>71</v>
      </c>
      <c r="AC69" s="26" t="s">
        <v>4738</v>
      </c>
      <c r="AD69" s="174">
        <v>13042</v>
      </c>
      <c r="AE69" s="26">
        <v>2952</v>
      </c>
      <c r="AF69" s="16">
        <v>2952</v>
      </c>
      <c r="AS69" s="16" t="s">
        <v>1314</v>
      </c>
      <c r="AT69" s="16" t="s">
        <v>12101</v>
      </c>
      <c r="AU69" s="16" t="s">
        <v>412</v>
      </c>
      <c r="AV69" s="16" t="s">
        <v>18892</v>
      </c>
      <c r="AW69" s="16" t="s">
        <v>18879</v>
      </c>
      <c r="AX69" s="16" t="s">
        <v>18967</v>
      </c>
      <c r="AY69" s="385">
        <v>6900</v>
      </c>
    </row>
    <row r="70" spans="1:51" x14ac:dyDescent="0.25">
      <c r="A70" s="16" t="s">
        <v>19763</v>
      </c>
      <c r="B70" s="16" t="s">
        <v>5768</v>
      </c>
      <c r="C70" s="16" t="s">
        <v>467</v>
      </c>
      <c r="D70" s="16">
        <v>5</v>
      </c>
      <c r="E70" s="16" t="s">
        <v>11732</v>
      </c>
      <c r="F70" s="16" t="str">
        <f>VLOOKUP(Table28[[#This Row],[Country]],Table10[[COUNTRY NAME]:[CONTINENT CODE]],3,FALSE)</f>
        <v>NA - US</v>
      </c>
      <c r="G70" s="16" t="s">
        <v>13354</v>
      </c>
      <c r="H70" s="181">
        <v>14947</v>
      </c>
      <c r="I70" s="180">
        <v>35</v>
      </c>
      <c r="K70" s="316">
        <f>IFERROR(Table28[[#This Row],[ROUTE COST]]/Table28[[#This Row],[O - DEMAND]],0)</f>
        <v>0</v>
      </c>
      <c r="M70" s="180">
        <f>Table28[[#This Row],[O - DEMAND]]/950</f>
        <v>0</v>
      </c>
      <c r="N70" s="16">
        <f>IFERROR(VLOOKUP(Table28[[#This Row],[ROUTE]],DEMAND!A:F,5,FALSE),0)</f>
        <v>1920</v>
      </c>
      <c r="O70" s="16">
        <f>IFERROR(VLOOKUP(Table28[[#This Row],[ROUTE]],DEMAND!A:F,6,FALSE),0)</f>
        <v>20</v>
      </c>
      <c r="P70" s="16">
        <f>ROUNDDOWN(Table28[[#This Row],[R-DEMAND]]/950,0)</f>
        <v>0</v>
      </c>
      <c r="Q70" s="16">
        <f>Table28[[#This Row],[ADD ACC
(475/950)]]*Table28[[#This Row],[Duration
(A359)]]</f>
        <v>0</v>
      </c>
      <c r="R70" s="16">
        <f>IFERROR(VLOOKUP(Table28[[#This Row],[ROUTE]],PRICING!A:B,2,FALSE),0)</f>
        <v>0</v>
      </c>
      <c r="S70" s="16">
        <f>Table28[[#This Row],[C_DEMAND]]-Table28[[#This Row],[R-DEMAND]]</f>
        <v>1900</v>
      </c>
      <c r="T70" s="316">
        <f>Table28[[#This Row],[SEATS SOLD]]*Table28[[#This Row],[ECO SEAT]]</f>
        <v>0</v>
      </c>
      <c r="U70" s="316">
        <f>Table28[[#This Row],[SEATS SOLD]]*(IFERROR(VLOOKUP(Table28[[#This Row],[ROUTE]],PRICING!A:C,3,FALSE),0))</f>
        <v>0</v>
      </c>
      <c r="V70" s="316">
        <f>Table28[[#This Row],[SEAT REV]]-Table28[[#This Row],[SEAT REV
(IF IDEAL $)]]</f>
        <v>0</v>
      </c>
      <c r="AA70" s="26" t="s">
        <v>19056</v>
      </c>
      <c r="AB70" s="26" t="s">
        <v>71</v>
      </c>
      <c r="AC70" s="26" t="s">
        <v>345</v>
      </c>
      <c r="AD70" s="174">
        <v>6766</v>
      </c>
      <c r="AE70" s="26">
        <v>2576</v>
      </c>
      <c r="AF70" s="16">
        <v>2576</v>
      </c>
      <c r="AS70" s="16" t="s">
        <v>709</v>
      </c>
      <c r="AT70" s="16" t="s">
        <v>18117</v>
      </c>
      <c r="AU70" s="16" t="s">
        <v>3662</v>
      </c>
      <c r="AV70" s="16" t="s">
        <v>18878</v>
      </c>
      <c r="AW70" s="16" t="s">
        <v>18879</v>
      </c>
      <c r="AX70" s="16" t="s">
        <v>18932</v>
      </c>
      <c r="AY70" s="385">
        <v>6955</v>
      </c>
    </row>
    <row r="71" spans="1:51" x14ac:dyDescent="0.25">
      <c r="A71" s="16" t="s">
        <v>19264</v>
      </c>
      <c r="B71" s="16" t="s">
        <v>437</v>
      </c>
      <c r="D71" s="16">
        <v>2</v>
      </c>
      <c r="E71" s="16" t="s">
        <v>1070</v>
      </c>
      <c r="F71" s="16" t="str">
        <f>VLOOKUP(Table28[[#This Row],[Country]],Table10[[COUNTRY NAME]:[CONTINENT CODE]],3,FALSE)</f>
        <v>AS</v>
      </c>
      <c r="G71" s="16" t="s">
        <v>12018</v>
      </c>
      <c r="H71" s="181">
        <v>10823</v>
      </c>
      <c r="I71" s="180">
        <v>26</v>
      </c>
      <c r="K71" s="316">
        <f>IFERROR(Table28[[#This Row],[ROUTE COST]]/Table28[[#This Row],[O - DEMAND]],0)</f>
        <v>0</v>
      </c>
      <c r="M71" s="16">
        <f>Table28[[#This Row],[O - DEMAND]]/950</f>
        <v>0</v>
      </c>
      <c r="N71" s="16">
        <f>IFERROR(VLOOKUP(Table28[[#This Row],[ROUTE]],DEMAND!A:F,5,FALSE),0)</f>
        <v>0</v>
      </c>
      <c r="O71" s="16">
        <f>IFERROR(VLOOKUP(Table28[[#This Row],[ROUTE]],DEMAND!A:F,6,FALSE),0)</f>
        <v>0</v>
      </c>
      <c r="P71" s="16">
        <f>ROUNDDOWN(Table28[[#This Row],[R-DEMAND]]/950,0)</f>
        <v>0</v>
      </c>
      <c r="Q71" s="16">
        <f>Table28[[#This Row],[ADD ACC
(475/950)]]*Table28[[#This Row],[Duration
(A359)]]</f>
        <v>0</v>
      </c>
      <c r="R71" s="16">
        <f>IFERROR(VLOOKUP(Table28[[#This Row],[ROUTE]],PRICING!A:B,2,FALSE),0)</f>
        <v>0</v>
      </c>
      <c r="S71" s="16">
        <f>Table28[[#This Row],[C_DEMAND]]-Table28[[#This Row],[R-DEMAND]]</f>
        <v>0</v>
      </c>
      <c r="T71" s="316">
        <f>Table28[[#This Row],[SEATS SOLD]]*Table28[[#This Row],[ECO SEAT]]</f>
        <v>0</v>
      </c>
      <c r="U71" s="316">
        <f>Table28[[#This Row],[SEATS SOLD]]*(IFERROR(VLOOKUP(Table28[[#This Row],[ROUTE]],PRICING!A:C,3,FALSE),0))</f>
        <v>0</v>
      </c>
      <c r="V71" s="316">
        <f>Table28[[#This Row],[SEAT REV]]-Table28[[#This Row],[SEAT REV
(IF IDEAL $)]]</f>
        <v>0</v>
      </c>
      <c r="AA71" s="26" t="s">
        <v>19656</v>
      </c>
      <c r="AB71" s="26" t="s">
        <v>71</v>
      </c>
      <c r="AC71" s="26" t="s">
        <v>3970</v>
      </c>
      <c r="AD71" s="174">
        <v>14161</v>
      </c>
      <c r="AE71" s="26">
        <v>1796</v>
      </c>
      <c r="AF71" s="16">
        <v>1796</v>
      </c>
      <c r="AS71" s="16" t="s">
        <v>332</v>
      </c>
      <c r="AT71" s="16" t="s">
        <v>12106</v>
      </c>
      <c r="AU71" s="16" t="s">
        <v>284</v>
      </c>
      <c r="AV71" s="16" t="s">
        <v>18881</v>
      </c>
      <c r="AW71" s="16" t="s">
        <v>18885</v>
      </c>
      <c r="AX71" s="16" t="s">
        <v>18932</v>
      </c>
      <c r="AY71" s="385">
        <v>7012</v>
      </c>
    </row>
    <row r="72" spans="1:51" x14ac:dyDescent="0.25">
      <c r="A72" s="16" t="s">
        <v>19675</v>
      </c>
      <c r="B72" s="16" t="s">
        <v>3751</v>
      </c>
      <c r="D72" s="16">
        <v>2</v>
      </c>
      <c r="E72" s="16" t="s">
        <v>1124</v>
      </c>
      <c r="F72" s="16" t="str">
        <f>VLOOKUP(Table28[[#This Row],[Country]],Table10[[COUNTRY NAME]:[CONTINENT CODE]],3,FALSE)</f>
        <v>AF</v>
      </c>
      <c r="G72" s="16" t="s">
        <v>11864</v>
      </c>
      <c r="H72" s="181">
        <v>14314</v>
      </c>
      <c r="I72" s="180">
        <v>33.5</v>
      </c>
      <c r="K72" s="316">
        <f>IFERROR(Table28[[#This Row],[ROUTE COST]]/Table28[[#This Row],[O - DEMAND]],0)</f>
        <v>0</v>
      </c>
      <c r="M72" s="16">
        <f>Table28[[#This Row],[O - DEMAND]]/950</f>
        <v>0</v>
      </c>
      <c r="N72" s="16">
        <f>IFERROR(VLOOKUP(Table28[[#This Row],[ROUTE]],DEMAND!A:F,5,FALSE),0)</f>
        <v>0</v>
      </c>
      <c r="O72" s="16">
        <f>IFERROR(VLOOKUP(Table28[[#This Row],[ROUTE]],DEMAND!A:F,6,FALSE),0)</f>
        <v>0</v>
      </c>
      <c r="P72" s="16">
        <f>ROUNDDOWN(Table28[[#This Row],[R-DEMAND]]/950,0)</f>
        <v>0</v>
      </c>
      <c r="Q72" s="16">
        <f>Table28[[#This Row],[ADD ACC
(475/950)]]*Table28[[#This Row],[Duration
(A359)]]</f>
        <v>0</v>
      </c>
      <c r="R72" s="16">
        <f>IFERROR(VLOOKUP(Table28[[#This Row],[ROUTE]],PRICING!A:B,2,FALSE),0)</f>
        <v>0</v>
      </c>
      <c r="S72" s="16">
        <f>Table28[[#This Row],[C_DEMAND]]-Table28[[#This Row],[R-DEMAND]]</f>
        <v>0</v>
      </c>
      <c r="T72" s="316">
        <f>Table28[[#This Row],[SEATS SOLD]]*Table28[[#This Row],[ECO SEAT]]</f>
        <v>0</v>
      </c>
      <c r="U72" s="316">
        <f>Table28[[#This Row],[SEATS SOLD]]*(IFERROR(VLOOKUP(Table28[[#This Row],[ROUTE]],PRICING!A:C,3,FALSE),0))</f>
        <v>0</v>
      </c>
      <c r="V72" s="316">
        <f>Table28[[#This Row],[SEAT REV]]-Table28[[#This Row],[SEAT REV
(IF IDEAL $)]]</f>
        <v>0</v>
      </c>
      <c r="AA72" s="26" t="s">
        <v>19192</v>
      </c>
      <c r="AB72" s="26" t="s">
        <v>71</v>
      </c>
      <c r="AC72" s="26" t="s">
        <v>343</v>
      </c>
      <c r="AD72" s="174">
        <v>9084</v>
      </c>
      <c r="AE72" s="26">
        <v>3972</v>
      </c>
      <c r="AF72" s="16">
        <v>3972</v>
      </c>
      <c r="AS72" s="16" t="s">
        <v>709</v>
      </c>
      <c r="AT72" s="16" t="s">
        <v>12107</v>
      </c>
      <c r="AU72" s="16" t="s">
        <v>202</v>
      </c>
      <c r="AV72" s="16" t="s">
        <v>18884</v>
      </c>
      <c r="AW72" s="16" t="s">
        <v>18879</v>
      </c>
      <c r="AX72" s="16" t="s">
        <v>18932</v>
      </c>
      <c r="AY72" s="385">
        <v>7019</v>
      </c>
    </row>
    <row r="73" spans="1:51" x14ac:dyDescent="0.25">
      <c r="A73" s="16" t="s">
        <v>19579</v>
      </c>
      <c r="B73" s="16" t="s">
        <v>5524</v>
      </c>
      <c r="D73" s="16">
        <v>4</v>
      </c>
      <c r="E73" s="16" t="s">
        <v>11732</v>
      </c>
      <c r="F73" s="16" t="str">
        <f>VLOOKUP(Table28[[#This Row],[Country]],Table10[[COUNTRY NAME]:[CONTINENT CODE]],3,FALSE)</f>
        <v>NA - US</v>
      </c>
      <c r="G73" s="16" t="s">
        <v>13324</v>
      </c>
      <c r="H73" s="181">
        <v>13642</v>
      </c>
      <c r="I73" s="180">
        <v>32</v>
      </c>
      <c r="K73" s="316">
        <f>IFERROR(Table28[[#This Row],[ROUTE COST]]/Table28[[#This Row],[O - DEMAND]],0)</f>
        <v>0</v>
      </c>
      <c r="M73" s="180">
        <f>Table28[[#This Row],[O - DEMAND]]/950</f>
        <v>0</v>
      </c>
      <c r="N73" s="16">
        <f>IFERROR(VLOOKUP(Table28[[#This Row],[ROUTE]],DEMAND!A:F,5,FALSE),0)</f>
        <v>0</v>
      </c>
      <c r="O73" s="16">
        <f>IFERROR(VLOOKUP(Table28[[#This Row],[ROUTE]],DEMAND!A:F,6,FALSE),0)</f>
        <v>0</v>
      </c>
      <c r="P73" s="16">
        <f>ROUNDDOWN(Table28[[#This Row],[R-DEMAND]]/950,0)</f>
        <v>0</v>
      </c>
      <c r="Q73" s="16">
        <f>Table28[[#This Row],[ADD ACC
(475/950)]]*Table28[[#This Row],[Duration
(A359)]]</f>
        <v>0</v>
      </c>
      <c r="R73" s="16">
        <f>IFERROR(VLOOKUP(Table28[[#This Row],[ROUTE]],PRICING!A:B,2,FALSE),0)</f>
        <v>0</v>
      </c>
      <c r="S73" s="16">
        <f>Table28[[#This Row],[C_DEMAND]]-Table28[[#This Row],[R-DEMAND]]</f>
        <v>0</v>
      </c>
      <c r="T73" s="316">
        <f>Table28[[#This Row],[SEATS SOLD]]*Table28[[#This Row],[ECO SEAT]]</f>
        <v>0</v>
      </c>
      <c r="U73" s="316">
        <f>Table28[[#This Row],[SEATS SOLD]]*(IFERROR(VLOOKUP(Table28[[#This Row],[ROUTE]],PRICING!A:C,3,FALSE),0))</f>
        <v>0</v>
      </c>
      <c r="V73" s="316">
        <f>Table28[[#This Row],[SEAT REV]]-Table28[[#This Row],[SEAT REV
(IF IDEAL $)]]</f>
        <v>0</v>
      </c>
      <c r="AA73" s="26" t="s">
        <v>19068</v>
      </c>
      <c r="AB73" s="26" t="s">
        <v>71</v>
      </c>
      <c r="AC73" s="26" t="s">
        <v>341</v>
      </c>
      <c r="AD73" s="174">
        <v>7185</v>
      </c>
      <c r="AE73" s="26">
        <v>2730</v>
      </c>
      <c r="AF73" s="16">
        <v>2730</v>
      </c>
      <c r="AS73" s="16" t="s">
        <v>4853</v>
      </c>
      <c r="AT73" s="16" t="s">
        <v>12103</v>
      </c>
      <c r="AU73" s="16" t="s">
        <v>117</v>
      </c>
      <c r="AV73" s="16" t="s">
        <v>18892</v>
      </c>
      <c r="AW73" s="16" t="s">
        <v>18885</v>
      </c>
      <c r="AX73" s="16" t="s">
        <v>18932</v>
      </c>
      <c r="AY73" s="385">
        <v>7039</v>
      </c>
    </row>
    <row r="74" spans="1:51" x14ac:dyDescent="0.25">
      <c r="A74" s="16" t="s">
        <v>18998</v>
      </c>
      <c r="B74" s="16" t="s">
        <v>2692</v>
      </c>
      <c r="D74" s="16">
        <v>2</v>
      </c>
      <c r="E74" s="16" t="s">
        <v>774</v>
      </c>
      <c r="F74" s="16" t="str">
        <f>VLOOKUP(Table28[[#This Row],[Country]],Table10[[COUNTRY NAME]:[CONTINENT CODE]],3,FALSE)</f>
        <v>OC</v>
      </c>
      <c r="G74" s="16" t="s">
        <v>12022</v>
      </c>
      <c r="H74" s="181">
        <v>755</v>
      </c>
      <c r="I74" s="180">
        <v>3.75</v>
      </c>
      <c r="K74" s="316">
        <f>IFERROR(Table28[[#This Row],[ROUTE COST]]/Table28[[#This Row],[O - DEMAND]],0)</f>
        <v>0</v>
      </c>
      <c r="M74" s="16">
        <f>Table28[[#This Row],[O - DEMAND]]/950</f>
        <v>0</v>
      </c>
      <c r="N74" s="16">
        <f>IFERROR(VLOOKUP(Table28[[#This Row],[ROUTE]],DEMAND!A:F,5,FALSE),0)</f>
        <v>0</v>
      </c>
      <c r="O74" s="16">
        <f>IFERROR(VLOOKUP(Table28[[#This Row],[ROUTE]],DEMAND!A:F,6,FALSE),0)</f>
        <v>0</v>
      </c>
      <c r="P74" s="16">
        <f>ROUNDDOWN(Table28[[#This Row],[R-DEMAND]]/950,0)</f>
        <v>0</v>
      </c>
      <c r="Q74" s="16">
        <f>Table28[[#This Row],[ADD ACC
(475/950)]]*Table28[[#This Row],[Duration
(A359)]]</f>
        <v>0</v>
      </c>
      <c r="R74" s="16">
        <f>IFERROR(VLOOKUP(Table28[[#This Row],[ROUTE]],PRICING!A:B,2,FALSE),0)</f>
        <v>0</v>
      </c>
      <c r="S74" s="16">
        <f>Table28[[#This Row],[C_DEMAND]]-Table28[[#This Row],[R-DEMAND]]</f>
        <v>0</v>
      </c>
      <c r="T74" s="316">
        <f>Table28[[#This Row],[SEATS SOLD]]*Table28[[#This Row],[ECO SEAT]]</f>
        <v>0</v>
      </c>
      <c r="U74" s="316">
        <f>Table28[[#This Row],[SEATS SOLD]]*(IFERROR(VLOOKUP(Table28[[#This Row],[ROUTE]],PRICING!A:C,3,FALSE),0))</f>
        <v>0</v>
      </c>
      <c r="V74" s="316">
        <f>Table28[[#This Row],[SEAT REV]]-Table28[[#This Row],[SEAT REV
(IF IDEAL $)]]</f>
        <v>0</v>
      </c>
      <c r="AA74" s="26" t="s">
        <v>19642</v>
      </c>
      <c r="AB74" s="26" t="s">
        <v>71</v>
      </c>
      <c r="AC74" s="26" t="s">
        <v>5196</v>
      </c>
      <c r="AD74" s="174">
        <v>14082</v>
      </c>
      <c r="AE74" s="26">
        <v>2563</v>
      </c>
      <c r="AF74" s="16">
        <v>2563</v>
      </c>
      <c r="AS74" s="16" t="s">
        <v>46</v>
      </c>
      <c r="AT74" s="16" t="s">
        <v>12076</v>
      </c>
      <c r="AU74" s="16" t="s">
        <v>5275</v>
      </c>
      <c r="AV74" s="16" t="s">
        <v>18881</v>
      </c>
      <c r="AW74" s="16" t="s">
        <v>18885</v>
      </c>
      <c r="AX74" s="16" t="s">
        <v>18985</v>
      </c>
      <c r="AY74" s="385">
        <v>7082</v>
      </c>
    </row>
    <row r="75" spans="1:51" x14ac:dyDescent="0.25">
      <c r="A75" s="16" t="s">
        <v>19412</v>
      </c>
      <c r="B75" s="16" t="s">
        <v>3941</v>
      </c>
      <c r="C75" s="16" t="s">
        <v>467</v>
      </c>
      <c r="D75" s="16">
        <v>2</v>
      </c>
      <c r="E75" s="16" t="s">
        <v>2527</v>
      </c>
      <c r="F75" s="16" t="str">
        <f>VLOOKUP(Table28[[#This Row],[Country]],Table10[[COUNTRY NAME]:[CONTINENT CODE]],3,FALSE)</f>
        <v>AF</v>
      </c>
      <c r="G75" s="16" t="s">
        <v>11929</v>
      </c>
      <c r="H75" s="181">
        <v>12537</v>
      </c>
      <c r="I75" s="180">
        <v>29.75</v>
      </c>
      <c r="K75" s="316">
        <f>IFERROR(Table28[[#This Row],[ROUTE COST]]/Table28[[#This Row],[O - DEMAND]],0)</f>
        <v>0</v>
      </c>
      <c r="M75" s="16">
        <f>Table28[[#This Row],[O - DEMAND]]/950</f>
        <v>0</v>
      </c>
      <c r="N75" s="16">
        <f>IFERROR(VLOOKUP(Table28[[#This Row],[ROUTE]],DEMAND!A:F,5,FALSE),0)</f>
        <v>4004</v>
      </c>
      <c r="O75" s="16">
        <f>IFERROR(VLOOKUP(Table28[[#This Row],[ROUTE]],DEMAND!A:F,6,FALSE),0)</f>
        <v>204</v>
      </c>
      <c r="P75" s="16">
        <f>ROUNDDOWN(Table28[[#This Row],[R-DEMAND]]/950,0)</f>
        <v>0</v>
      </c>
      <c r="Q75" s="16">
        <f>Table28[[#This Row],[ADD ACC
(475/950)]]*Table28[[#This Row],[Duration
(A359)]]</f>
        <v>0</v>
      </c>
      <c r="R75" s="16">
        <f>IFERROR(VLOOKUP(Table28[[#This Row],[ROUTE]],PRICING!A:B,2,FALSE),0)</f>
        <v>0</v>
      </c>
      <c r="S75" s="16">
        <f>Table28[[#This Row],[C_DEMAND]]-Table28[[#This Row],[R-DEMAND]]</f>
        <v>3800</v>
      </c>
      <c r="T75" s="316">
        <f>Table28[[#This Row],[SEATS SOLD]]*Table28[[#This Row],[ECO SEAT]]</f>
        <v>0</v>
      </c>
      <c r="U75" s="316">
        <f>Table28[[#This Row],[SEATS SOLD]]*(IFERROR(VLOOKUP(Table28[[#This Row],[ROUTE]],PRICING!A:C,3,FALSE),0))</f>
        <v>0</v>
      </c>
      <c r="V75" s="316">
        <f>Table28[[#This Row],[SEAT REV]]-Table28[[#This Row],[SEAT REV
(IF IDEAL $)]]</f>
        <v>0</v>
      </c>
      <c r="AA75" s="26" t="s">
        <v>19313</v>
      </c>
      <c r="AB75" s="26" t="s">
        <v>71</v>
      </c>
      <c r="AC75" s="26" t="s">
        <v>4716</v>
      </c>
      <c r="AD75" s="174">
        <v>11563</v>
      </c>
      <c r="AE75" s="26">
        <v>3888</v>
      </c>
      <c r="AF75" s="16">
        <v>3888</v>
      </c>
      <c r="AS75" s="16" t="s">
        <v>142</v>
      </c>
      <c r="AT75" s="16" t="s">
        <v>11053</v>
      </c>
      <c r="AU75" s="16" t="s">
        <v>143</v>
      </c>
      <c r="AV75" s="16" t="s">
        <v>18892</v>
      </c>
      <c r="AW75" s="16" t="s">
        <v>18899</v>
      </c>
      <c r="AX75" s="16" t="s">
        <v>18985</v>
      </c>
      <c r="AY75" s="385">
        <v>7135</v>
      </c>
    </row>
    <row r="76" spans="1:51" x14ac:dyDescent="0.25">
      <c r="A76" s="16" t="s">
        <v>19471</v>
      </c>
      <c r="B76" s="16" t="s">
        <v>4964</v>
      </c>
      <c r="C76" s="16" t="s">
        <v>467</v>
      </c>
      <c r="D76" s="16">
        <v>3</v>
      </c>
      <c r="E76" s="16" t="s">
        <v>502</v>
      </c>
      <c r="F76" s="16" t="str">
        <f>VLOOKUP(Table28[[#This Row],[Country]],Table10[[COUNTRY NAME]:[CONTINENT CODE]],3,FALSE)</f>
        <v>AS</v>
      </c>
      <c r="G76" s="16" t="s">
        <v>10765</v>
      </c>
      <c r="H76" s="181">
        <v>12933</v>
      </c>
      <c r="I76" s="180">
        <v>30.5</v>
      </c>
      <c r="K76" s="316">
        <f>IFERROR(Table28[[#This Row],[ROUTE COST]]/Table28[[#This Row],[O - DEMAND]],0)</f>
        <v>0</v>
      </c>
      <c r="M76" s="16">
        <f>Table28[[#This Row],[O - DEMAND]]/950</f>
        <v>0</v>
      </c>
      <c r="N76" s="16">
        <f>IFERROR(VLOOKUP(Table28[[#This Row],[ROUTE]],DEMAND!A:F,5,FALSE),0)</f>
        <v>3157</v>
      </c>
      <c r="O76" s="16">
        <f>IFERROR(VLOOKUP(Table28[[#This Row],[ROUTE]],DEMAND!A:F,6,FALSE),0)</f>
        <v>307</v>
      </c>
      <c r="P76" s="16">
        <f>ROUNDDOWN(Table28[[#This Row],[R-DEMAND]]/950,0)</f>
        <v>0</v>
      </c>
      <c r="Q76" s="16">
        <f>Table28[[#This Row],[ADD ACC
(475/950)]]*Table28[[#This Row],[Duration
(A359)]]</f>
        <v>0</v>
      </c>
      <c r="R76" s="16">
        <f>IFERROR(VLOOKUP(Table28[[#This Row],[ROUTE]],PRICING!A:B,2,FALSE),0)</f>
        <v>0</v>
      </c>
      <c r="S76" s="16">
        <f>Table28[[#This Row],[C_DEMAND]]-Table28[[#This Row],[R-DEMAND]]</f>
        <v>2850</v>
      </c>
      <c r="T76" s="316">
        <f>Table28[[#This Row],[SEATS SOLD]]*Table28[[#This Row],[ECO SEAT]]</f>
        <v>0</v>
      </c>
      <c r="U76" s="316">
        <f>Table28[[#This Row],[SEATS SOLD]]*(IFERROR(VLOOKUP(Table28[[#This Row],[ROUTE]],PRICING!A:C,3,FALSE),0))</f>
        <v>0</v>
      </c>
      <c r="V76" s="316">
        <f>Table28[[#This Row],[SEAT REV]]-Table28[[#This Row],[SEAT REV
(IF IDEAL $)]]</f>
        <v>0</v>
      </c>
      <c r="AA76" s="26" t="s">
        <v>19245</v>
      </c>
      <c r="AB76" s="26" t="s">
        <v>71</v>
      </c>
      <c r="AC76" s="26" t="s">
        <v>339</v>
      </c>
      <c r="AD76" s="174">
        <v>10438</v>
      </c>
      <c r="AE76" s="26">
        <v>4648</v>
      </c>
      <c r="AF76" s="16">
        <v>4648</v>
      </c>
      <c r="AS76" s="16" t="s">
        <v>1314</v>
      </c>
      <c r="AT76" s="16" t="s">
        <v>12096</v>
      </c>
      <c r="AU76" s="16" t="s">
        <v>341</v>
      </c>
      <c r="AV76" s="16" t="s">
        <v>18881</v>
      </c>
      <c r="AW76" s="16" t="s">
        <v>18885</v>
      </c>
      <c r="AX76" s="16" t="s">
        <v>18931</v>
      </c>
      <c r="AY76" s="385">
        <v>7185</v>
      </c>
    </row>
    <row r="77" spans="1:51" x14ac:dyDescent="0.25">
      <c r="A77" s="16" t="s">
        <v>19468</v>
      </c>
      <c r="B77" s="16" t="s">
        <v>1842</v>
      </c>
      <c r="D77" s="16">
        <v>1</v>
      </c>
      <c r="E77" s="16" t="s">
        <v>714</v>
      </c>
      <c r="F77" s="16" t="str">
        <f>VLOOKUP(Table28[[#This Row],[Country]],Table10[[COUNTRY NAME]:[CONTINENT CODE]],3,FALSE)</f>
        <v>SA</v>
      </c>
      <c r="G77" s="16" t="s">
        <v>13240</v>
      </c>
      <c r="H77" s="181">
        <v>12915</v>
      </c>
      <c r="I77" s="180">
        <v>30.5</v>
      </c>
      <c r="K77" s="316">
        <f>IFERROR(Table28[[#This Row],[ROUTE COST]]/Table28[[#This Row],[O - DEMAND]],0)</f>
        <v>0</v>
      </c>
      <c r="M77" s="16">
        <f>Table28[[#This Row],[O - DEMAND]]/950</f>
        <v>0</v>
      </c>
      <c r="N77" s="16">
        <f>IFERROR(VLOOKUP(Table28[[#This Row],[ROUTE]],DEMAND!A:F,5,FALSE),0)</f>
        <v>0</v>
      </c>
      <c r="O77" s="16">
        <f>IFERROR(VLOOKUP(Table28[[#This Row],[ROUTE]],DEMAND!A:F,6,FALSE),0)</f>
        <v>0</v>
      </c>
      <c r="P77" s="16">
        <f>ROUNDDOWN(Table28[[#This Row],[R-DEMAND]]/950,0)</f>
        <v>0</v>
      </c>
      <c r="Q77" s="16">
        <f>Table28[[#This Row],[ADD ACC
(475/950)]]*Table28[[#This Row],[Duration
(A359)]]</f>
        <v>0</v>
      </c>
      <c r="R77" s="16">
        <f>IFERROR(VLOOKUP(Table28[[#This Row],[ROUTE]],PRICING!A:B,2,FALSE),0)</f>
        <v>0</v>
      </c>
      <c r="S77" s="16">
        <f>Table28[[#This Row],[C_DEMAND]]-Table28[[#This Row],[R-DEMAND]]</f>
        <v>0</v>
      </c>
      <c r="T77" s="316">
        <f>Table28[[#This Row],[SEATS SOLD]]*Table28[[#This Row],[ECO SEAT]]</f>
        <v>0</v>
      </c>
      <c r="U77" s="316">
        <f>Table28[[#This Row],[SEATS SOLD]]*(IFERROR(VLOOKUP(Table28[[#This Row],[ROUTE]],PRICING!A:C,3,FALSE),0))</f>
        <v>0</v>
      </c>
      <c r="V77" s="316">
        <f>Table28[[#This Row],[SEAT REV]]-Table28[[#This Row],[SEAT REV
(IF IDEAL $)]]</f>
        <v>0</v>
      </c>
      <c r="AA77" s="26" t="s">
        <v>19559</v>
      </c>
      <c r="AB77" s="26" t="s">
        <v>71</v>
      </c>
      <c r="AC77" s="26" t="s">
        <v>5765</v>
      </c>
      <c r="AD77" s="174">
        <v>13447</v>
      </c>
      <c r="AE77" s="26">
        <v>2569</v>
      </c>
      <c r="AF77" s="16">
        <v>2569</v>
      </c>
      <c r="AS77" s="16" t="s">
        <v>332</v>
      </c>
      <c r="AT77" s="16" t="s">
        <v>9107</v>
      </c>
      <c r="AU77" s="16" t="s">
        <v>229</v>
      </c>
      <c r="AV77" s="16" t="s">
        <v>18881</v>
      </c>
      <c r="AW77" s="16" t="s">
        <v>18879</v>
      </c>
      <c r="AX77" s="16" t="s">
        <v>18931</v>
      </c>
      <c r="AY77" s="385">
        <v>7214</v>
      </c>
    </row>
    <row r="78" spans="1:51" x14ac:dyDescent="0.25">
      <c r="A78" s="16" t="s">
        <v>19007</v>
      </c>
      <c r="B78" s="16" t="s">
        <v>3719</v>
      </c>
      <c r="D78" s="16">
        <v>2</v>
      </c>
      <c r="E78" s="16" t="s">
        <v>774</v>
      </c>
      <c r="F78" s="16" t="str">
        <f>VLOOKUP(Table28[[#This Row],[Country]],Table10[[COUNTRY NAME]:[CONTINENT CODE]],3,FALSE)</f>
        <v>OC</v>
      </c>
      <c r="G78" s="16" t="s">
        <v>18105</v>
      </c>
      <c r="H78" s="181">
        <v>2178</v>
      </c>
      <c r="I78" s="180">
        <v>7</v>
      </c>
      <c r="K78" s="316">
        <f>IFERROR(Table28[[#This Row],[ROUTE COST]]/Table28[[#This Row],[O - DEMAND]],0)</f>
        <v>0</v>
      </c>
      <c r="M78" s="16">
        <f>Table28[[#This Row],[O - DEMAND]]/950</f>
        <v>0</v>
      </c>
      <c r="N78" s="16">
        <f>IFERROR(VLOOKUP(Table28[[#This Row],[ROUTE]],DEMAND!A:F,5,FALSE),0)</f>
        <v>0</v>
      </c>
      <c r="O78" s="16">
        <f>IFERROR(VLOOKUP(Table28[[#This Row],[ROUTE]],DEMAND!A:F,6,FALSE),0)</f>
        <v>0</v>
      </c>
      <c r="P78" s="16">
        <f>ROUNDDOWN(Table28[[#This Row],[R-DEMAND]]/950,0)</f>
        <v>0</v>
      </c>
      <c r="Q78" s="16">
        <f>Table28[[#This Row],[ADD ACC
(475/950)]]*Table28[[#This Row],[Duration
(A359)]]</f>
        <v>0</v>
      </c>
      <c r="R78" s="16">
        <f>IFERROR(VLOOKUP(Table28[[#This Row],[ROUTE]],PRICING!A:B,2,FALSE),0)</f>
        <v>0</v>
      </c>
      <c r="S78" s="16">
        <f>Table28[[#This Row],[C_DEMAND]]-Table28[[#This Row],[R-DEMAND]]</f>
        <v>0</v>
      </c>
      <c r="T78" s="316">
        <f>Table28[[#This Row],[SEATS SOLD]]*Table28[[#This Row],[ECO SEAT]]</f>
        <v>0</v>
      </c>
      <c r="U78" s="316">
        <f>Table28[[#This Row],[SEATS SOLD]]*(IFERROR(VLOOKUP(Table28[[#This Row],[ROUTE]],PRICING!A:C,3,FALSE),0))</f>
        <v>0</v>
      </c>
      <c r="V78" s="316">
        <f>Table28[[#This Row],[SEAT REV]]-Table28[[#This Row],[SEAT REV
(IF IDEAL $)]]</f>
        <v>0</v>
      </c>
      <c r="AA78" s="26" t="s">
        <v>19604</v>
      </c>
      <c r="AB78" s="26" t="s">
        <v>71</v>
      </c>
      <c r="AC78" s="26" t="s">
        <v>5758</v>
      </c>
      <c r="AD78" s="174">
        <v>13812</v>
      </c>
      <c r="AE78" s="26">
        <v>2577</v>
      </c>
      <c r="AF78" s="16">
        <v>2577</v>
      </c>
      <c r="AS78" s="16" t="s">
        <v>46</v>
      </c>
      <c r="AT78" s="16" t="s">
        <v>14213</v>
      </c>
      <c r="AU78" s="16" t="s">
        <v>14212</v>
      </c>
      <c r="AV78" s="16" t="s">
        <v>18884</v>
      </c>
      <c r="AX78" s="16" t="s">
        <v>18931</v>
      </c>
      <c r="AY78" s="385">
        <v>7235</v>
      </c>
    </row>
    <row r="79" spans="1:51" x14ac:dyDescent="0.25">
      <c r="A79" s="16" t="s">
        <v>19721</v>
      </c>
      <c r="B79" s="16" t="s">
        <v>5663</v>
      </c>
      <c r="C79" s="16" t="s">
        <v>467</v>
      </c>
      <c r="D79" s="16">
        <v>4</v>
      </c>
      <c r="E79" s="16" t="s">
        <v>700</v>
      </c>
      <c r="F79" s="16" t="str">
        <f>VLOOKUP(Table28[[#This Row],[Country]],Table10[[COUNTRY NAME]:[CONTINENT CODE]],3,FALSE)</f>
        <v>AS</v>
      </c>
      <c r="G79" s="16" t="s">
        <v>10756</v>
      </c>
      <c r="H79" s="181">
        <v>14696</v>
      </c>
      <c r="I79" s="180">
        <v>34.5</v>
      </c>
      <c r="K79" s="316">
        <f>IFERROR(Table28[[#This Row],[ROUTE COST]]/Table28[[#This Row],[O - DEMAND]],0)</f>
        <v>0</v>
      </c>
      <c r="M79" s="16">
        <f>Table28[[#This Row],[O - DEMAND]]/950</f>
        <v>0</v>
      </c>
      <c r="N79" s="16">
        <f>IFERROR(VLOOKUP(Table28[[#This Row],[ROUTE]],DEMAND!A:F,5,FALSE),0)</f>
        <v>2837</v>
      </c>
      <c r="O79" s="16">
        <f>IFERROR(VLOOKUP(Table28[[#This Row],[ROUTE]],DEMAND!A:F,6,FALSE),0)</f>
        <v>937</v>
      </c>
      <c r="P79" s="16">
        <f>ROUNDDOWN(Table28[[#This Row],[R-DEMAND]]/950,0)</f>
        <v>0</v>
      </c>
      <c r="Q79" s="16">
        <f>Table28[[#This Row],[ADD ACC
(475/950)]]*Table28[[#This Row],[Duration
(A359)]]</f>
        <v>0</v>
      </c>
      <c r="R79" s="16">
        <f>IFERROR(VLOOKUP(Table28[[#This Row],[ROUTE]],PRICING!A:B,2,FALSE),0)</f>
        <v>0</v>
      </c>
      <c r="S79" s="16">
        <f>Table28[[#This Row],[C_DEMAND]]-Table28[[#This Row],[R-DEMAND]]</f>
        <v>1900</v>
      </c>
      <c r="T79" s="316">
        <f>Table28[[#This Row],[SEATS SOLD]]*Table28[[#This Row],[ECO SEAT]]</f>
        <v>0</v>
      </c>
      <c r="U79" s="316">
        <f>Table28[[#This Row],[SEATS SOLD]]*(IFERROR(VLOOKUP(Table28[[#This Row],[ROUTE]],PRICING!A:C,3,FALSE),0))</f>
        <v>0</v>
      </c>
      <c r="V79" s="316">
        <f>Table28[[#This Row],[SEAT REV]]-Table28[[#This Row],[SEAT REV
(IF IDEAL $)]]</f>
        <v>0</v>
      </c>
      <c r="AA79" s="26" t="s">
        <v>19741</v>
      </c>
      <c r="AB79" s="26" t="s">
        <v>71</v>
      </c>
      <c r="AC79" s="26" t="s">
        <v>4324</v>
      </c>
      <c r="AD79" s="174">
        <v>14830</v>
      </c>
      <c r="AE79" s="26">
        <v>2857</v>
      </c>
      <c r="AF79" s="16">
        <v>2857</v>
      </c>
      <c r="AS79" s="16" t="s">
        <v>1314</v>
      </c>
      <c r="AT79" s="16" t="s">
        <v>18114</v>
      </c>
      <c r="AU79" s="16" t="s">
        <v>4056</v>
      </c>
      <c r="AV79" s="16" t="s">
        <v>18878</v>
      </c>
      <c r="AW79" s="16" t="s">
        <v>18879</v>
      </c>
      <c r="AX79" s="16" t="s">
        <v>18931</v>
      </c>
      <c r="AY79" s="385">
        <v>7249</v>
      </c>
    </row>
    <row r="80" spans="1:51" x14ac:dyDescent="0.25">
      <c r="A80" s="16" t="s">
        <v>19421</v>
      </c>
      <c r="B80" s="16" t="s">
        <v>4178</v>
      </c>
      <c r="D80" s="16">
        <v>2</v>
      </c>
      <c r="E80" s="16" t="s">
        <v>11732</v>
      </c>
      <c r="F80" s="16" t="str">
        <f>VLOOKUP(Table28[[#This Row],[Country]],Table10[[COUNTRY NAME]:[CONTINENT CODE]],3,FALSE)</f>
        <v>NA - US</v>
      </c>
      <c r="G80" s="16" t="s">
        <v>13285</v>
      </c>
      <c r="H80" s="181">
        <v>12585</v>
      </c>
      <c r="I80" s="180">
        <v>29.75</v>
      </c>
      <c r="K80" s="316">
        <f>IFERROR(Table28[[#This Row],[ROUTE COST]]/Table28[[#This Row],[O - DEMAND]],0)</f>
        <v>0</v>
      </c>
      <c r="M80" s="180">
        <f>Table28[[#This Row],[O - DEMAND]]/950</f>
        <v>0</v>
      </c>
      <c r="N80" s="16">
        <f>IFERROR(VLOOKUP(Table28[[#This Row],[ROUTE]],DEMAND!A:F,5,FALSE),0)</f>
        <v>0</v>
      </c>
      <c r="O80" s="16">
        <f>IFERROR(VLOOKUP(Table28[[#This Row],[ROUTE]],DEMAND!A:F,6,FALSE),0)</f>
        <v>0</v>
      </c>
      <c r="P80" s="16">
        <f>ROUNDDOWN(Table28[[#This Row],[R-DEMAND]]/950,0)</f>
        <v>0</v>
      </c>
      <c r="Q80" s="16">
        <f>Table28[[#This Row],[ADD ACC
(475/950)]]*Table28[[#This Row],[Duration
(A359)]]</f>
        <v>0</v>
      </c>
      <c r="R80" s="16">
        <f>IFERROR(VLOOKUP(Table28[[#This Row],[ROUTE]],PRICING!A:B,2,FALSE),0)</f>
        <v>0</v>
      </c>
      <c r="S80" s="16">
        <f>Table28[[#This Row],[C_DEMAND]]-Table28[[#This Row],[R-DEMAND]]</f>
        <v>0</v>
      </c>
      <c r="T80" s="316">
        <f>Table28[[#This Row],[SEATS SOLD]]*Table28[[#This Row],[ECO SEAT]]</f>
        <v>0</v>
      </c>
      <c r="U80" s="316">
        <f>Table28[[#This Row],[SEATS SOLD]]*(IFERROR(VLOOKUP(Table28[[#This Row],[ROUTE]],PRICING!A:C,3,FALSE),0))</f>
        <v>0</v>
      </c>
      <c r="V80" s="316">
        <f>Table28[[#This Row],[SEAT REV]]-Table28[[#This Row],[SEAT REV
(IF IDEAL $)]]</f>
        <v>0</v>
      </c>
      <c r="AA80" s="26" t="s">
        <v>19163</v>
      </c>
      <c r="AB80" s="26" t="s">
        <v>71</v>
      </c>
      <c r="AC80" s="26" t="s">
        <v>337</v>
      </c>
      <c r="AD80" s="174">
        <v>8665</v>
      </c>
      <c r="AE80" s="26">
        <v>3050</v>
      </c>
      <c r="AF80" s="16">
        <v>3050</v>
      </c>
      <c r="AS80" s="16" t="s">
        <v>332</v>
      </c>
      <c r="AT80" s="16" t="s">
        <v>12104</v>
      </c>
      <c r="AU80" s="16" t="s">
        <v>275</v>
      </c>
      <c r="AV80" s="16" t="s">
        <v>18892</v>
      </c>
      <c r="AW80" s="16" t="s">
        <v>18885</v>
      </c>
      <c r="AX80" s="16" t="s">
        <v>18931</v>
      </c>
      <c r="AY80" s="385">
        <v>7268</v>
      </c>
    </row>
    <row r="81" spans="1:51" x14ac:dyDescent="0.25">
      <c r="A81" s="16" t="s">
        <v>19405</v>
      </c>
      <c r="B81" s="16" t="s">
        <v>3790</v>
      </c>
      <c r="D81" s="16">
        <v>2</v>
      </c>
      <c r="E81" s="16" t="s">
        <v>502</v>
      </c>
      <c r="F81" s="16" t="str">
        <f>VLOOKUP(Table28[[#This Row],[Country]],Table10[[COUNTRY NAME]:[CONTINENT CODE]],3,FALSE)</f>
        <v>AS</v>
      </c>
      <c r="G81" s="16" t="s">
        <v>11961</v>
      </c>
      <c r="H81" s="181">
        <v>12492</v>
      </c>
      <c r="I81" s="180">
        <v>29.5</v>
      </c>
      <c r="K81" s="316">
        <f>IFERROR(Table28[[#This Row],[ROUTE COST]]/Table28[[#This Row],[O - DEMAND]],0)</f>
        <v>0</v>
      </c>
      <c r="M81" s="16">
        <f>Table28[[#This Row],[O - DEMAND]]/950</f>
        <v>0</v>
      </c>
      <c r="N81" s="16">
        <f>IFERROR(VLOOKUP(Table28[[#This Row],[ROUTE]],DEMAND!A:F,5,FALSE),0)</f>
        <v>0</v>
      </c>
      <c r="O81" s="16">
        <f>IFERROR(VLOOKUP(Table28[[#This Row],[ROUTE]],DEMAND!A:F,6,FALSE),0)</f>
        <v>0</v>
      </c>
      <c r="P81" s="16">
        <f>ROUNDDOWN(Table28[[#This Row],[R-DEMAND]]/950,0)</f>
        <v>0</v>
      </c>
      <c r="Q81" s="16">
        <f>Table28[[#This Row],[ADD ACC
(475/950)]]*Table28[[#This Row],[Duration
(A359)]]</f>
        <v>0</v>
      </c>
      <c r="R81" s="16">
        <f>IFERROR(VLOOKUP(Table28[[#This Row],[ROUTE]],PRICING!A:B,2,FALSE),0)</f>
        <v>0</v>
      </c>
      <c r="S81" s="16">
        <f>Table28[[#This Row],[C_DEMAND]]-Table28[[#This Row],[R-DEMAND]]</f>
        <v>0</v>
      </c>
      <c r="T81" s="316">
        <f>Table28[[#This Row],[SEATS SOLD]]*Table28[[#This Row],[ECO SEAT]]</f>
        <v>0</v>
      </c>
      <c r="U81" s="316">
        <f>Table28[[#This Row],[SEATS SOLD]]*(IFERROR(VLOOKUP(Table28[[#This Row],[ROUTE]],PRICING!A:C,3,FALSE),0))</f>
        <v>0</v>
      </c>
      <c r="V81" s="316">
        <f>Table28[[#This Row],[SEAT REV]]-Table28[[#This Row],[SEAT REV
(IF IDEAL $)]]</f>
        <v>0</v>
      </c>
      <c r="AA81" s="26" t="s">
        <v>19743</v>
      </c>
      <c r="AB81" s="26" t="s">
        <v>71</v>
      </c>
      <c r="AC81" s="26" t="s">
        <v>5221</v>
      </c>
      <c r="AD81" s="174">
        <v>14863</v>
      </c>
      <c r="AE81" s="26">
        <v>2410</v>
      </c>
      <c r="AF81" s="16">
        <v>2410</v>
      </c>
      <c r="AS81" s="16" t="s">
        <v>4853</v>
      </c>
      <c r="AT81" s="16" t="s">
        <v>18116</v>
      </c>
      <c r="AU81" s="16" t="s">
        <v>4906</v>
      </c>
      <c r="AV81" s="16" t="s">
        <v>18878</v>
      </c>
      <c r="AW81" s="16" t="s">
        <v>18885</v>
      </c>
      <c r="AX81" s="16" t="s">
        <v>18931</v>
      </c>
      <c r="AY81" s="385">
        <v>7268</v>
      </c>
    </row>
    <row r="82" spans="1:51" x14ac:dyDescent="0.25">
      <c r="A82" s="16" t="s">
        <v>19410</v>
      </c>
      <c r="B82" s="16" t="s">
        <v>5430</v>
      </c>
      <c r="D82" s="16">
        <v>3</v>
      </c>
      <c r="E82" s="16" t="s">
        <v>5428</v>
      </c>
      <c r="F82" s="16" t="str">
        <f>VLOOKUP(Table28[[#This Row],[Country]],Table10[[COUNTRY NAME]:[CONTINENT CODE]],3,FALSE)</f>
        <v>AS</v>
      </c>
      <c r="G82" s="16" t="s">
        <v>11956</v>
      </c>
      <c r="H82" s="181">
        <v>12517</v>
      </c>
      <c r="I82" s="180">
        <v>29.5</v>
      </c>
      <c r="K82" s="316">
        <f>IFERROR(Table28[[#This Row],[ROUTE COST]]/Table28[[#This Row],[O - DEMAND]],0)</f>
        <v>0</v>
      </c>
      <c r="M82" s="16">
        <f>Table28[[#This Row],[O - DEMAND]]/950</f>
        <v>0</v>
      </c>
      <c r="N82" s="16">
        <f>IFERROR(VLOOKUP(Table28[[#This Row],[ROUTE]],DEMAND!A:F,5,FALSE),0)</f>
        <v>0</v>
      </c>
      <c r="O82" s="16">
        <f>IFERROR(VLOOKUP(Table28[[#This Row],[ROUTE]],DEMAND!A:F,6,FALSE),0)</f>
        <v>0</v>
      </c>
      <c r="P82" s="16">
        <f>ROUNDDOWN(Table28[[#This Row],[R-DEMAND]]/950,0)</f>
        <v>0</v>
      </c>
      <c r="Q82" s="16">
        <f>Table28[[#This Row],[ADD ACC
(475/950)]]*Table28[[#This Row],[Duration
(A359)]]</f>
        <v>0</v>
      </c>
      <c r="R82" s="16">
        <f>IFERROR(VLOOKUP(Table28[[#This Row],[ROUTE]],PRICING!A:B,2,FALSE),0)</f>
        <v>0</v>
      </c>
      <c r="S82" s="16">
        <f>Table28[[#This Row],[C_DEMAND]]-Table28[[#This Row],[R-DEMAND]]</f>
        <v>0</v>
      </c>
      <c r="T82" s="316">
        <f>Table28[[#This Row],[SEATS SOLD]]*Table28[[#This Row],[ECO SEAT]]</f>
        <v>0</v>
      </c>
      <c r="U82" s="316">
        <f>Table28[[#This Row],[SEATS SOLD]]*(IFERROR(VLOOKUP(Table28[[#This Row],[ROUTE]],PRICING!A:C,3,FALSE),0))</f>
        <v>0</v>
      </c>
      <c r="V82" s="316">
        <f>Table28[[#This Row],[SEAT REV]]-Table28[[#This Row],[SEAT REV
(IF IDEAL $)]]</f>
        <v>0</v>
      </c>
      <c r="AA82" s="26" t="s">
        <v>19089</v>
      </c>
      <c r="AB82" s="26" t="s">
        <v>71</v>
      </c>
      <c r="AC82" s="26" t="s">
        <v>333</v>
      </c>
      <c r="AD82" s="174">
        <v>7545</v>
      </c>
      <c r="AE82" s="26">
        <v>3638</v>
      </c>
      <c r="AF82" s="16">
        <v>3638</v>
      </c>
      <c r="AS82" s="16" t="s">
        <v>46</v>
      </c>
      <c r="AT82" s="16" t="s">
        <v>16812</v>
      </c>
      <c r="AU82" s="16" t="s">
        <v>5257</v>
      </c>
      <c r="AV82" s="16" t="s">
        <v>18878</v>
      </c>
      <c r="AW82" s="16" t="s">
        <v>18885</v>
      </c>
      <c r="AX82" s="16" t="s">
        <v>18931</v>
      </c>
      <c r="AY82" s="385">
        <v>7272</v>
      </c>
    </row>
    <row r="83" spans="1:51" x14ac:dyDescent="0.25">
      <c r="A83" s="16" t="s">
        <v>19613</v>
      </c>
      <c r="B83" s="16" t="s">
        <v>3129</v>
      </c>
      <c r="D83" s="16">
        <v>2</v>
      </c>
      <c r="E83" s="16" t="s">
        <v>700</v>
      </c>
      <c r="F83" s="16" t="str">
        <f>VLOOKUP(Table28[[#This Row],[Country]],Table10[[COUNTRY NAME]:[CONTINENT CODE]],3,FALSE)</f>
        <v>AS</v>
      </c>
      <c r="G83" s="16" t="s">
        <v>10746</v>
      </c>
      <c r="H83" s="181">
        <v>13857</v>
      </c>
      <c r="I83" s="180">
        <v>32.5</v>
      </c>
      <c r="K83" s="316">
        <f>IFERROR(Table28[[#This Row],[ROUTE COST]]/Table28[[#This Row],[O - DEMAND]],0)</f>
        <v>0</v>
      </c>
      <c r="M83" s="16">
        <f>Table28[[#This Row],[O - DEMAND]]/950</f>
        <v>0</v>
      </c>
      <c r="N83" s="16">
        <f>IFERROR(VLOOKUP(Table28[[#This Row],[ROUTE]],DEMAND!A:F,5,FALSE),0)</f>
        <v>0</v>
      </c>
      <c r="O83" s="16">
        <f>IFERROR(VLOOKUP(Table28[[#This Row],[ROUTE]],DEMAND!A:F,6,FALSE),0)</f>
        <v>0</v>
      </c>
      <c r="P83" s="16">
        <f>ROUNDDOWN(Table28[[#This Row],[R-DEMAND]]/950,0)</f>
        <v>0</v>
      </c>
      <c r="Q83" s="16">
        <f>Table28[[#This Row],[ADD ACC
(475/950)]]*Table28[[#This Row],[Duration
(A359)]]</f>
        <v>0</v>
      </c>
      <c r="R83" s="16">
        <f>IFERROR(VLOOKUP(Table28[[#This Row],[ROUTE]],PRICING!A:B,2,FALSE),0)</f>
        <v>0</v>
      </c>
      <c r="S83" s="16">
        <f>Table28[[#This Row],[C_DEMAND]]-Table28[[#This Row],[R-DEMAND]]</f>
        <v>0</v>
      </c>
      <c r="T83" s="316">
        <f>Table28[[#This Row],[SEATS SOLD]]*Table28[[#This Row],[ECO SEAT]]</f>
        <v>0</v>
      </c>
      <c r="U83" s="316">
        <f>Table28[[#This Row],[SEATS SOLD]]*(IFERROR(VLOOKUP(Table28[[#This Row],[ROUTE]],PRICING!A:C,3,FALSE),0))</f>
        <v>0</v>
      </c>
      <c r="V83" s="316">
        <f>Table28[[#This Row],[SEAT REV]]-Table28[[#This Row],[SEAT REV
(IF IDEAL $)]]</f>
        <v>0</v>
      </c>
      <c r="AA83" s="26" t="s">
        <v>19422</v>
      </c>
      <c r="AB83" s="26" t="s">
        <v>71</v>
      </c>
      <c r="AC83" s="26" t="s">
        <v>5260</v>
      </c>
      <c r="AD83" s="174">
        <v>12601</v>
      </c>
      <c r="AE83" s="26">
        <v>2957</v>
      </c>
      <c r="AF83" s="16">
        <v>2957</v>
      </c>
      <c r="AS83" s="16" t="s">
        <v>332</v>
      </c>
      <c r="AT83" s="16" t="s">
        <v>6817</v>
      </c>
      <c r="AU83" s="16" t="s">
        <v>32</v>
      </c>
      <c r="AV83" s="16" t="s">
        <v>18892</v>
      </c>
      <c r="AW83" s="16" t="s">
        <v>18879</v>
      </c>
      <c r="AX83" s="16" t="s">
        <v>18931</v>
      </c>
      <c r="AY83" s="385">
        <v>7282</v>
      </c>
    </row>
    <row r="84" spans="1:51" x14ac:dyDescent="0.25">
      <c r="A84" s="16" t="s">
        <v>19723</v>
      </c>
      <c r="B84" s="16" t="s">
        <v>4649</v>
      </c>
      <c r="D84" s="16">
        <v>2</v>
      </c>
      <c r="E84" s="16" t="s">
        <v>860</v>
      </c>
      <c r="F84" s="16" t="str">
        <f>VLOOKUP(Table28[[#This Row],[Country]],Table10[[COUNTRY NAME]:[CONTINENT CODE]],3,FALSE)</f>
        <v>SA</v>
      </c>
      <c r="G84" s="16" t="s">
        <v>13181</v>
      </c>
      <c r="H84" s="181">
        <v>14704</v>
      </c>
      <c r="I84" s="180">
        <v>34.5</v>
      </c>
      <c r="K84" s="316">
        <f>IFERROR(Table28[[#This Row],[ROUTE COST]]/Table28[[#This Row],[O - DEMAND]],0)</f>
        <v>0</v>
      </c>
      <c r="M84" s="16">
        <f>Table28[[#This Row],[O - DEMAND]]/950</f>
        <v>0</v>
      </c>
      <c r="N84" s="16">
        <f>IFERROR(VLOOKUP(Table28[[#This Row],[ROUTE]],DEMAND!A:F,5,FALSE),0)</f>
        <v>0</v>
      </c>
      <c r="O84" s="16">
        <f>IFERROR(VLOOKUP(Table28[[#This Row],[ROUTE]],DEMAND!A:F,6,FALSE),0)</f>
        <v>0</v>
      </c>
      <c r="P84" s="16">
        <f>ROUNDDOWN(Table28[[#This Row],[R-DEMAND]]/950,0)</f>
        <v>0</v>
      </c>
      <c r="Q84" s="16">
        <f>Table28[[#This Row],[ADD ACC
(475/950)]]*Table28[[#This Row],[Duration
(A359)]]</f>
        <v>0</v>
      </c>
      <c r="R84" s="16">
        <f>IFERROR(VLOOKUP(Table28[[#This Row],[ROUTE]],PRICING!A:B,2,FALSE),0)</f>
        <v>0</v>
      </c>
      <c r="S84" s="16">
        <f>Table28[[#This Row],[C_DEMAND]]-Table28[[#This Row],[R-DEMAND]]</f>
        <v>0</v>
      </c>
      <c r="T84" s="316">
        <f>Table28[[#This Row],[SEATS SOLD]]*Table28[[#This Row],[ECO SEAT]]</f>
        <v>0</v>
      </c>
      <c r="U84" s="316">
        <f>Table28[[#This Row],[SEATS SOLD]]*(IFERROR(VLOOKUP(Table28[[#This Row],[ROUTE]],PRICING!A:C,3,FALSE),0))</f>
        <v>0</v>
      </c>
      <c r="V84" s="316">
        <f>Table28[[#This Row],[SEAT REV]]-Table28[[#This Row],[SEAT REV
(IF IDEAL $)]]</f>
        <v>0</v>
      </c>
      <c r="AA84" s="26" t="s">
        <v>19711</v>
      </c>
      <c r="AB84" s="26" t="s">
        <v>71</v>
      </c>
      <c r="AC84" s="26" t="s">
        <v>4987</v>
      </c>
      <c r="AD84" s="174">
        <v>14600</v>
      </c>
      <c r="AE84" s="26">
        <v>2160</v>
      </c>
      <c r="AF84" s="16">
        <v>2160</v>
      </c>
      <c r="AS84" s="16" t="s">
        <v>46</v>
      </c>
      <c r="AT84" s="16" t="s">
        <v>45</v>
      </c>
      <c r="AU84" s="16" t="s">
        <v>47</v>
      </c>
      <c r="AV84" s="16" t="s">
        <v>18884</v>
      </c>
      <c r="AW84" s="16" t="s">
        <v>18918</v>
      </c>
      <c r="AX84" s="16" t="s">
        <v>18931</v>
      </c>
      <c r="AY84" s="385">
        <v>7287</v>
      </c>
    </row>
    <row r="85" spans="1:51" x14ac:dyDescent="0.25">
      <c r="A85" s="16" t="s">
        <v>19318</v>
      </c>
      <c r="B85" s="16" t="s">
        <v>5002</v>
      </c>
      <c r="D85" s="16">
        <v>3</v>
      </c>
      <c r="E85" s="16" t="s">
        <v>78</v>
      </c>
      <c r="F85" s="16" t="str">
        <f>VLOOKUP(Table28[[#This Row],[Country]],Table10[[COUNTRY NAME]:[CONTINENT CODE]],3,FALSE)</f>
        <v>EU</v>
      </c>
      <c r="G85" s="16" t="s">
        <v>10740</v>
      </c>
      <c r="H85" s="181">
        <v>11684</v>
      </c>
      <c r="I85" s="180">
        <v>27.75</v>
      </c>
      <c r="K85" s="316">
        <f>IFERROR(Table28[[#This Row],[ROUTE COST]]/Table28[[#This Row],[O - DEMAND]],0)</f>
        <v>0</v>
      </c>
      <c r="M85" s="16">
        <f>Table28[[#This Row],[O - DEMAND]]/950</f>
        <v>0</v>
      </c>
      <c r="N85" s="16">
        <f>IFERROR(VLOOKUP(Table28[[#This Row],[ROUTE]],DEMAND!A:F,5,FALSE),0)</f>
        <v>0</v>
      </c>
      <c r="O85" s="16">
        <f>IFERROR(VLOOKUP(Table28[[#This Row],[ROUTE]],DEMAND!A:F,6,FALSE),0)</f>
        <v>0</v>
      </c>
      <c r="P85" s="16">
        <f>ROUNDDOWN(Table28[[#This Row],[R-DEMAND]]/950,0)</f>
        <v>0</v>
      </c>
      <c r="Q85" s="16">
        <f>Table28[[#This Row],[ADD ACC
(475/950)]]*Table28[[#This Row],[Duration
(A359)]]</f>
        <v>0</v>
      </c>
      <c r="R85" s="16">
        <f>IFERROR(VLOOKUP(Table28[[#This Row],[ROUTE]],PRICING!A:B,2,FALSE),0)</f>
        <v>0</v>
      </c>
      <c r="S85" s="16">
        <f>Table28[[#This Row],[C_DEMAND]]-Table28[[#This Row],[R-DEMAND]]</f>
        <v>0</v>
      </c>
      <c r="T85" s="316">
        <f>Table28[[#This Row],[SEATS SOLD]]*Table28[[#This Row],[ECO SEAT]]</f>
        <v>0</v>
      </c>
      <c r="U85" s="316">
        <f>Table28[[#This Row],[SEATS SOLD]]*(IFERROR(VLOOKUP(Table28[[#This Row],[ROUTE]],PRICING!A:C,3,FALSE),0))</f>
        <v>0</v>
      </c>
      <c r="V85" s="316">
        <f>Table28[[#This Row],[SEAT REV]]-Table28[[#This Row],[SEAT REV
(IF IDEAL $)]]</f>
        <v>0</v>
      </c>
      <c r="AA85" s="26" t="s">
        <v>19010</v>
      </c>
      <c r="AB85" s="26" t="s">
        <v>71</v>
      </c>
      <c r="AC85" s="26" t="s">
        <v>4884</v>
      </c>
      <c r="AD85" s="174">
        <v>3155</v>
      </c>
      <c r="AE85" s="26">
        <v>2294</v>
      </c>
      <c r="AF85" s="16">
        <v>2294</v>
      </c>
      <c r="AS85" s="16" t="s">
        <v>14</v>
      </c>
      <c r="AT85" s="16" t="s">
        <v>12091</v>
      </c>
      <c r="AU85" s="16" t="s">
        <v>68</v>
      </c>
      <c r="AV85" s="16" t="s">
        <v>18884</v>
      </c>
      <c r="AW85" s="16" t="s">
        <v>18899</v>
      </c>
      <c r="AX85" s="16" t="s">
        <v>18958</v>
      </c>
      <c r="AY85" s="385">
        <v>7303</v>
      </c>
    </row>
    <row r="86" spans="1:51" x14ac:dyDescent="0.25">
      <c r="A86" s="16" t="s">
        <v>19238</v>
      </c>
      <c r="B86" s="16" t="s">
        <v>3557</v>
      </c>
      <c r="D86" s="16">
        <v>2</v>
      </c>
      <c r="E86" s="16" t="s">
        <v>530</v>
      </c>
      <c r="F86" s="16" t="str">
        <f>VLOOKUP(Table28[[#This Row],[Country]],Table10[[COUNTRY NAME]:[CONTINENT CODE]],3,FALSE)</f>
        <v>SA</v>
      </c>
      <c r="G86" s="16" t="s">
        <v>10738</v>
      </c>
      <c r="H86" s="181">
        <v>10149</v>
      </c>
      <c r="I86" s="180">
        <v>24.5</v>
      </c>
      <c r="K86" s="316">
        <f>IFERROR(Table28[[#This Row],[ROUTE COST]]/Table28[[#This Row],[O - DEMAND]],0)</f>
        <v>0</v>
      </c>
      <c r="M86" s="16">
        <f>Table28[[#This Row],[O - DEMAND]]/950</f>
        <v>0</v>
      </c>
      <c r="N86" s="16">
        <f>IFERROR(VLOOKUP(Table28[[#This Row],[ROUTE]],DEMAND!A:F,5,FALSE),0)</f>
        <v>0</v>
      </c>
      <c r="O86" s="16">
        <f>IFERROR(VLOOKUP(Table28[[#This Row],[ROUTE]],DEMAND!A:F,6,FALSE),0)</f>
        <v>0</v>
      </c>
      <c r="P86" s="16">
        <f>ROUNDDOWN(Table28[[#This Row],[R-DEMAND]]/950,0)</f>
        <v>0</v>
      </c>
      <c r="Q86" s="16">
        <f>Table28[[#This Row],[ADD ACC
(475/950)]]*Table28[[#This Row],[Duration
(A359)]]</f>
        <v>0</v>
      </c>
      <c r="R86" s="16">
        <f>IFERROR(VLOOKUP(Table28[[#This Row],[ROUTE]],PRICING!A:B,2,FALSE),0)</f>
        <v>0</v>
      </c>
      <c r="S86" s="16">
        <f>Table28[[#This Row],[C_DEMAND]]-Table28[[#This Row],[R-DEMAND]]</f>
        <v>0</v>
      </c>
      <c r="T86" s="316">
        <f>Table28[[#This Row],[SEATS SOLD]]*Table28[[#This Row],[ECO SEAT]]</f>
        <v>0</v>
      </c>
      <c r="U86" s="316">
        <f>Table28[[#This Row],[SEATS SOLD]]*(IFERROR(VLOOKUP(Table28[[#This Row],[ROUTE]],PRICING!A:C,3,FALSE),0))</f>
        <v>0</v>
      </c>
      <c r="V86" s="316">
        <f>Table28[[#This Row],[SEAT REV]]-Table28[[#This Row],[SEAT REV
(IF IDEAL $)]]</f>
        <v>0</v>
      </c>
      <c r="AA86" s="26" t="s">
        <v>19654</v>
      </c>
      <c r="AB86" s="26" t="s">
        <v>71</v>
      </c>
      <c r="AC86" s="26" t="s">
        <v>2394</v>
      </c>
      <c r="AD86" s="174">
        <v>14140</v>
      </c>
      <c r="AE86" s="26">
        <v>2471</v>
      </c>
      <c r="AF86" s="16">
        <v>2471</v>
      </c>
      <c r="AS86" s="16" t="s">
        <v>14</v>
      </c>
      <c r="AT86" s="16" t="s">
        <v>12085</v>
      </c>
      <c r="AU86" s="16" t="s">
        <v>290</v>
      </c>
      <c r="AV86" s="16" t="s">
        <v>18884</v>
      </c>
      <c r="AW86" s="16" t="s">
        <v>18899</v>
      </c>
      <c r="AX86" s="16" t="s">
        <v>18958</v>
      </c>
      <c r="AY86" s="385">
        <v>7383</v>
      </c>
    </row>
    <row r="87" spans="1:51" x14ac:dyDescent="0.25">
      <c r="A87" s="16" t="s">
        <v>19367</v>
      </c>
      <c r="B87" s="16" t="s">
        <v>433</v>
      </c>
      <c r="C87" s="16" t="s">
        <v>467</v>
      </c>
      <c r="D87" s="16">
        <v>2</v>
      </c>
      <c r="E87" s="16" t="s">
        <v>1513</v>
      </c>
      <c r="F87" s="16" t="str">
        <f>VLOOKUP(Table28[[#This Row],[Country]],Table10[[COUNTRY NAME]:[CONTINENT CODE]],3,FALSE)</f>
        <v>AF</v>
      </c>
      <c r="G87" s="16" t="s">
        <v>10731</v>
      </c>
      <c r="H87" s="181">
        <v>12145</v>
      </c>
      <c r="I87" s="180">
        <v>28.75</v>
      </c>
      <c r="K87" s="316">
        <f>IFERROR(Table28[[#This Row],[ROUTE COST]]/Table28[[#This Row],[O - DEMAND]],0)</f>
        <v>0</v>
      </c>
      <c r="M87" s="16">
        <f>Table28[[#This Row],[O - DEMAND]]/950</f>
        <v>0</v>
      </c>
      <c r="N87" s="16">
        <f>IFERROR(VLOOKUP(Table28[[#This Row],[ROUTE]],DEMAND!A:F,5,FALSE),0)</f>
        <v>4256</v>
      </c>
      <c r="O87" s="16">
        <f>IFERROR(VLOOKUP(Table28[[#This Row],[ROUTE]],DEMAND!A:F,6,FALSE),0)</f>
        <v>456</v>
      </c>
      <c r="P87" s="16">
        <f>ROUNDDOWN(Table28[[#This Row],[R-DEMAND]]/950,0)</f>
        <v>0</v>
      </c>
      <c r="Q87" s="16">
        <f>Table28[[#This Row],[ADD ACC
(475/950)]]*Table28[[#This Row],[Duration
(A359)]]</f>
        <v>0</v>
      </c>
      <c r="R87" s="16">
        <f>IFERROR(VLOOKUP(Table28[[#This Row],[ROUTE]],PRICING!A:B,2,FALSE),0)</f>
        <v>0</v>
      </c>
      <c r="S87" s="16">
        <f>Table28[[#This Row],[C_DEMAND]]-Table28[[#This Row],[R-DEMAND]]</f>
        <v>3800</v>
      </c>
      <c r="T87" s="316">
        <f>Table28[[#This Row],[SEATS SOLD]]*Table28[[#This Row],[ECO SEAT]]</f>
        <v>0</v>
      </c>
      <c r="U87" s="316">
        <f>Table28[[#This Row],[SEATS SOLD]]*(IFERROR(VLOOKUP(Table28[[#This Row],[ROUTE]],PRICING!A:C,3,FALSE),0))</f>
        <v>0</v>
      </c>
      <c r="V87" s="316">
        <f>Table28[[#This Row],[SEAT REV]]-Table28[[#This Row],[SEAT REV
(IF IDEAL $)]]</f>
        <v>0</v>
      </c>
      <c r="AA87" s="26" t="s">
        <v>19710</v>
      </c>
      <c r="AB87" s="26" t="s">
        <v>71</v>
      </c>
      <c r="AC87" s="26" t="s">
        <v>316</v>
      </c>
      <c r="AD87" s="174">
        <v>14599</v>
      </c>
      <c r="AE87" s="26">
        <v>2529</v>
      </c>
      <c r="AF87" s="16">
        <v>2529</v>
      </c>
      <c r="AS87" s="16" t="s">
        <v>14</v>
      </c>
      <c r="AT87" s="16" t="s">
        <v>11027</v>
      </c>
      <c r="AU87" s="16" t="s">
        <v>5597</v>
      </c>
      <c r="AV87" s="16" t="s">
        <v>18884</v>
      </c>
      <c r="AW87" s="16" t="s">
        <v>18899</v>
      </c>
      <c r="AX87" s="16" t="s">
        <v>18958</v>
      </c>
      <c r="AY87" s="385">
        <v>7384</v>
      </c>
    </row>
    <row r="88" spans="1:51" x14ac:dyDescent="0.25">
      <c r="A88" s="16" t="s">
        <v>19660</v>
      </c>
      <c r="B88" s="16" t="s">
        <v>5395</v>
      </c>
      <c r="D88" s="16">
        <v>3</v>
      </c>
      <c r="E88" s="16" t="s">
        <v>5393</v>
      </c>
      <c r="F88" s="16" t="str">
        <f>VLOOKUP(Table28[[#This Row],[Country]],Table10[[COUNTRY NAME]:[CONTINENT CODE]],3,FALSE)</f>
        <v>AS</v>
      </c>
      <c r="G88" s="16" t="s">
        <v>11877</v>
      </c>
      <c r="H88" s="181">
        <v>14187</v>
      </c>
      <c r="I88" s="180">
        <v>33.25</v>
      </c>
      <c r="K88" s="316">
        <f>IFERROR(Table28[[#This Row],[ROUTE COST]]/Table28[[#This Row],[O - DEMAND]],0)</f>
        <v>0</v>
      </c>
      <c r="M88" s="16">
        <f>Table28[[#This Row],[O - DEMAND]]/950</f>
        <v>0</v>
      </c>
      <c r="N88" s="16">
        <f>IFERROR(VLOOKUP(Table28[[#This Row],[ROUTE]],DEMAND!A:F,5,FALSE),0)</f>
        <v>0</v>
      </c>
      <c r="O88" s="16">
        <f>IFERROR(VLOOKUP(Table28[[#This Row],[ROUTE]],DEMAND!A:F,6,FALSE),0)</f>
        <v>0</v>
      </c>
      <c r="P88" s="16">
        <f>ROUNDDOWN(Table28[[#This Row],[R-DEMAND]]/950,0)</f>
        <v>0</v>
      </c>
      <c r="Q88" s="16">
        <f>Table28[[#This Row],[ADD ACC
(475/950)]]*Table28[[#This Row],[Duration
(A359)]]</f>
        <v>0</v>
      </c>
      <c r="R88" s="16">
        <f>IFERROR(VLOOKUP(Table28[[#This Row],[ROUTE]],PRICING!A:B,2,FALSE),0)</f>
        <v>0</v>
      </c>
      <c r="S88" s="16">
        <f>Table28[[#This Row],[C_DEMAND]]-Table28[[#This Row],[R-DEMAND]]</f>
        <v>0</v>
      </c>
      <c r="T88" s="316">
        <f>Table28[[#This Row],[SEATS SOLD]]*Table28[[#This Row],[ECO SEAT]]</f>
        <v>0</v>
      </c>
      <c r="U88" s="316">
        <f>Table28[[#This Row],[SEATS SOLD]]*(IFERROR(VLOOKUP(Table28[[#This Row],[ROUTE]],PRICING!A:C,3,FALSE),0))</f>
        <v>0</v>
      </c>
      <c r="V88" s="316">
        <f>Table28[[#This Row],[SEAT REV]]-Table28[[#This Row],[SEAT REV
(IF IDEAL $)]]</f>
        <v>0</v>
      </c>
      <c r="AA88" s="26" t="s">
        <v>19583</v>
      </c>
      <c r="AB88" s="26" t="s">
        <v>71</v>
      </c>
      <c r="AC88" s="26" t="s">
        <v>4779</v>
      </c>
      <c r="AD88" s="174">
        <v>13669</v>
      </c>
      <c r="AE88" s="26">
        <v>2990</v>
      </c>
      <c r="AF88" s="16">
        <v>2990</v>
      </c>
      <c r="AS88" s="16" t="s">
        <v>14</v>
      </c>
      <c r="AT88" s="16" t="s">
        <v>16811</v>
      </c>
      <c r="AU88" s="16" t="s">
        <v>4875</v>
      </c>
      <c r="AV88" s="16" t="s">
        <v>18878</v>
      </c>
      <c r="AX88" s="16" t="s">
        <v>18958</v>
      </c>
      <c r="AY88" s="385">
        <v>7385</v>
      </c>
    </row>
    <row r="89" spans="1:51" x14ac:dyDescent="0.25">
      <c r="A89" s="16" t="s">
        <v>19576</v>
      </c>
      <c r="B89" s="16" t="s">
        <v>5469</v>
      </c>
      <c r="D89" s="16">
        <v>4</v>
      </c>
      <c r="E89" s="16" t="s">
        <v>11732</v>
      </c>
      <c r="F89" s="16" t="str">
        <f>VLOOKUP(Table28[[#This Row],[Country]],Table10[[COUNTRY NAME]:[CONTINENT CODE]],3,FALSE)</f>
        <v>NA - US</v>
      </c>
      <c r="G89" s="16" t="s">
        <v>16966</v>
      </c>
      <c r="H89" s="181">
        <v>13607</v>
      </c>
      <c r="I89" s="180">
        <v>32</v>
      </c>
      <c r="K89" s="316">
        <f>IFERROR(Table28[[#This Row],[ROUTE COST]]/Table28[[#This Row],[O - DEMAND]],0)</f>
        <v>0</v>
      </c>
      <c r="M89" s="180">
        <f>Table28[[#This Row],[O - DEMAND]]/950</f>
        <v>0</v>
      </c>
      <c r="N89" s="16">
        <f>IFERROR(VLOOKUP(Table28[[#This Row],[ROUTE]],DEMAND!A:F,5,FALSE),0)</f>
        <v>0</v>
      </c>
      <c r="O89" s="16">
        <f>IFERROR(VLOOKUP(Table28[[#This Row],[ROUTE]],DEMAND!A:F,6,FALSE),0)</f>
        <v>0</v>
      </c>
      <c r="P89" s="16">
        <f>ROUNDDOWN(Table28[[#This Row],[R-DEMAND]]/950,0)</f>
        <v>0</v>
      </c>
      <c r="Q89" s="16">
        <f>Table28[[#This Row],[ADD ACC
(475/950)]]*Table28[[#This Row],[Duration
(A359)]]</f>
        <v>0</v>
      </c>
      <c r="R89" s="16">
        <f>IFERROR(VLOOKUP(Table28[[#This Row],[ROUTE]],PRICING!A:B,2,FALSE),0)</f>
        <v>0</v>
      </c>
      <c r="S89" s="16">
        <f>Table28[[#This Row],[C_DEMAND]]-Table28[[#This Row],[R-DEMAND]]</f>
        <v>0</v>
      </c>
      <c r="T89" s="316">
        <f>Table28[[#This Row],[SEATS SOLD]]*Table28[[#This Row],[ECO SEAT]]</f>
        <v>0</v>
      </c>
      <c r="U89" s="316">
        <f>Table28[[#This Row],[SEATS SOLD]]*(IFERROR(VLOOKUP(Table28[[#This Row],[ROUTE]],PRICING!A:C,3,FALSE),0))</f>
        <v>0</v>
      </c>
      <c r="V89" s="316">
        <f>Table28[[#This Row],[SEAT REV]]-Table28[[#This Row],[SEAT REV
(IF IDEAL $)]]</f>
        <v>0</v>
      </c>
      <c r="AA89" s="26" t="s">
        <v>19326</v>
      </c>
      <c r="AB89" s="26" t="s">
        <v>71</v>
      </c>
      <c r="AC89" s="26" t="s">
        <v>312</v>
      </c>
      <c r="AD89" s="174">
        <v>11769</v>
      </c>
      <c r="AE89" s="26">
        <v>3131</v>
      </c>
      <c r="AF89" s="16">
        <v>3131</v>
      </c>
      <c r="AS89" s="16" t="s">
        <v>14</v>
      </c>
      <c r="AT89" s="16" t="s">
        <v>11081</v>
      </c>
      <c r="AU89" s="16" t="s">
        <v>277</v>
      </c>
      <c r="AV89" s="16" t="s">
        <v>18884</v>
      </c>
      <c r="AW89" s="16" t="s">
        <v>18918</v>
      </c>
      <c r="AX89" s="16" t="s">
        <v>18958</v>
      </c>
      <c r="AY89" s="385">
        <v>7395</v>
      </c>
    </row>
    <row r="90" spans="1:51" x14ac:dyDescent="0.25">
      <c r="A90" s="16" t="s">
        <v>19401</v>
      </c>
      <c r="B90" s="16" t="s">
        <v>2451</v>
      </c>
      <c r="D90" s="16">
        <v>1</v>
      </c>
      <c r="E90" s="16" t="s">
        <v>11732</v>
      </c>
      <c r="F90" s="16" t="str">
        <f>VLOOKUP(Table28[[#This Row],[Country]],Table10[[COUNTRY NAME]:[CONTINENT CODE]],3,FALSE)</f>
        <v>NA - US</v>
      </c>
      <c r="G90" s="16" t="s">
        <v>13255</v>
      </c>
      <c r="H90" s="181">
        <v>12480</v>
      </c>
      <c r="I90" s="180">
        <v>29.5</v>
      </c>
      <c r="K90" s="316">
        <f>IFERROR(Table28[[#This Row],[ROUTE COST]]/Table28[[#This Row],[O - DEMAND]],0)</f>
        <v>0</v>
      </c>
      <c r="M90" s="180">
        <f>Table28[[#This Row],[O - DEMAND]]/950</f>
        <v>0</v>
      </c>
      <c r="N90" s="16">
        <f>IFERROR(VLOOKUP(Table28[[#This Row],[ROUTE]],DEMAND!A:F,5,FALSE),0)</f>
        <v>0</v>
      </c>
      <c r="O90" s="16">
        <f>IFERROR(VLOOKUP(Table28[[#This Row],[ROUTE]],DEMAND!A:F,6,FALSE),0)</f>
        <v>0</v>
      </c>
      <c r="P90" s="16">
        <f>ROUNDDOWN(Table28[[#This Row],[R-DEMAND]]/950,0)</f>
        <v>0</v>
      </c>
      <c r="Q90" s="16">
        <f>Table28[[#This Row],[ADD ACC
(475/950)]]*Table28[[#This Row],[Duration
(A359)]]</f>
        <v>0</v>
      </c>
      <c r="R90" s="16">
        <f>IFERROR(VLOOKUP(Table28[[#This Row],[ROUTE]],PRICING!A:B,2,FALSE),0)</f>
        <v>0</v>
      </c>
      <c r="S90" s="16">
        <f>Table28[[#This Row],[C_DEMAND]]-Table28[[#This Row],[R-DEMAND]]</f>
        <v>0</v>
      </c>
      <c r="T90" s="316">
        <f>Table28[[#This Row],[SEATS SOLD]]*Table28[[#This Row],[ECO SEAT]]</f>
        <v>0</v>
      </c>
      <c r="U90" s="316">
        <f>Table28[[#This Row],[SEATS SOLD]]*(IFERROR(VLOOKUP(Table28[[#This Row],[ROUTE]],PRICING!A:C,3,FALSE),0))</f>
        <v>0</v>
      </c>
      <c r="V90" s="316">
        <f>Table28[[#This Row],[SEAT REV]]-Table28[[#This Row],[SEAT REV
(IF IDEAL $)]]</f>
        <v>0</v>
      </c>
      <c r="AA90" s="26" t="s">
        <v>19371</v>
      </c>
      <c r="AB90" s="26" t="s">
        <v>71</v>
      </c>
      <c r="AC90" s="26" t="s">
        <v>3313</v>
      </c>
      <c r="AD90" s="174">
        <v>12208</v>
      </c>
      <c r="AE90" s="26">
        <v>3981</v>
      </c>
      <c r="AF90" s="16">
        <v>3981</v>
      </c>
      <c r="AS90" s="16" t="s">
        <v>14</v>
      </c>
      <c r="AT90" s="16" t="s">
        <v>12080</v>
      </c>
      <c r="AU90" s="16" t="s">
        <v>4781</v>
      </c>
      <c r="AV90" s="16" t="s">
        <v>18884</v>
      </c>
      <c r="AW90" s="16" t="s">
        <v>18885</v>
      </c>
      <c r="AX90" s="16" t="s">
        <v>18958</v>
      </c>
      <c r="AY90" s="385">
        <v>7398</v>
      </c>
    </row>
    <row r="91" spans="1:51" x14ac:dyDescent="0.25">
      <c r="A91" s="16" t="s">
        <v>19360</v>
      </c>
      <c r="B91" s="16" t="s">
        <v>3337</v>
      </c>
      <c r="D91" s="16">
        <v>2</v>
      </c>
      <c r="E91" s="16" t="s">
        <v>11732</v>
      </c>
      <c r="F91" s="16" t="str">
        <f>VLOOKUP(Table28[[#This Row],[Country]],Table10[[COUNTRY NAME]:[CONTINENT CODE]],3,FALSE)</f>
        <v>NA - US</v>
      </c>
      <c r="G91" s="16" t="s">
        <v>13267</v>
      </c>
      <c r="H91" s="181">
        <v>12092</v>
      </c>
      <c r="I91" s="180">
        <v>28.75</v>
      </c>
      <c r="K91" s="316">
        <f>IFERROR(Table28[[#This Row],[ROUTE COST]]/Table28[[#This Row],[O - DEMAND]],0)</f>
        <v>0</v>
      </c>
      <c r="M91" s="180">
        <f>Table28[[#This Row],[O - DEMAND]]/950</f>
        <v>0</v>
      </c>
      <c r="N91" s="16">
        <f>IFERROR(VLOOKUP(Table28[[#This Row],[ROUTE]],DEMAND!A:F,5,FALSE),0)</f>
        <v>0</v>
      </c>
      <c r="O91" s="16">
        <f>IFERROR(VLOOKUP(Table28[[#This Row],[ROUTE]],DEMAND!A:F,6,FALSE),0)</f>
        <v>0</v>
      </c>
      <c r="P91" s="16">
        <f>ROUNDDOWN(Table28[[#This Row],[R-DEMAND]]/950,0)</f>
        <v>0</v>
      </c>
      <c r="Q91" s="16">
        <f>Table28[[#This Row],[ADD ACC
(475/950)]]*Table28[[#This Row],[Duration
(A359)]]</f>
        <v>0</v>
      </c>
      <c r="R91" s="16">
        <f>IFERROR(VLOOKUP(Table28[[#This Row],[ROUTE]],PRICING!A:B,2,FALSE),0)</f>
        <v>0</v>
      </c>
      <c r="S91" s="16">
        <f>Table28[[#This Row],[C_DEMAND]]-Table28[[#This Row],[R-DEMAND]]</f>
        <v>0</v>
      </c>
      <c r="T91" s="316">
        <f>Table28[[#This Row],[SEATS SOLD]]*Table28[[#This Row],[ECO SEAT]]</f>
        <v>0</v>
      </c>
      <c r="U91" s="316">
        <f>Table28[[#This Row],[SEATS SOLD]]*(IFERROR(VLOOKUP(Table28[[#This Row],[ROUTE]],PRICING!A:C,3,FALSE),0))</f>
        <v>0</v>
      </c>
      <c r="V91" s="316">
        <f>Table28[[#This Row],[SEAT REV]]-Table28[[#This Row],[SEAT REV
(IF IDEAL $)]]</f>
        <v>0</v>
      </c>
      <c r="AA91" s="26" t="s">
        <v>19589</v>
      </c>
      <c r="AB91" s="26" t="s">
        <v>71</v>
      </c>
      <c r="AC91" s="26" t="s">
        <v>4088</v>
      </c>
      <c r="AD91" s="174">
        <v>13718</v>
      </c>
      <c r="AE91" s="26">
        <v>4218</v>
      </c>
      <c r="AF91" s="16">
        <v>4218</v>
      </c>
      <c r="AS91" s="16" t="s">
        <v>14</v>
      </c>
      <c r="AT91" s="16" t="s">
        <v>12079</v>
      </c>
      <c r="AU91" s="16" t="s">
        <v>5300</v>
      </c>
      <c r="AV91" s="16" t="s">
        <v>18884</v>
      </c>
      <c r="AW91" s="16" t="s">
        <v>18885</v>
      </c>
      <c r="AX91" s="16" t="s">
        <v>18958</v>
      </c>
      <c r="AY91" s="385">
        <v>7399</v>
      </c>
    </row>
    <row r="92" spans="1:51" x14ac:dyDescent="0.25">
      <c r="A92" s="16" t="s">
        <v>19696</v>
      </c>
      <c r="B92" s="16" t="s">
        <v>4837</v>
      </c>
      <c r="D92" s="16">
        <v>3</v>
      </c>
      <c r="E92" s="16" t="s">
        <v>11732</v>
      </c>
      <c r="F92" s="16" t="str">
        <f>VLOOKUP(Table28[[#This Row],[Country]],Table10[[COUNTRY NAME]:[CONTINENT CODE]],3,FALSE)</f>
        <v>NA - US</v>
      </c>
      <c r="G92" s="16" t="s">
        <v>13357</v>
      </c>
      <c r="H92" s="181">
        <v>14515</v>
      </c>
      <c r="I92" s="180">
        <v>34</v>
      </c>
      <c r="K92" s="316">
        <f>IFERROR(Table28[[#This Row],[ROUTE COST]]/Table28[[#This Row],[O - DEMAND]],0)</f>
        <v>0</v>
      </c>
      <c r="M92" s="180">
        <f>Table28[[#This Row],[O - DEMAND]]/950</f>
        <v>0</v>
      </c>
      <c r="N92" s="16">
        <f>IFERROR(VLOOKUP(Table28[[#This Row],[ROUTE]],DEMAND!A:F,5,FALSE),0)</f>
        <v>0</v>
      </c>
      <c r="O92" s="16">
        <f>IFERROR(VLOOKUP(Table28[[#This Row],[ROUTE]],DEMAND!A:F,6,FALSE),0)</f>
        <v>0</v>
      </c>
      <c r="P92" s="16">
        <f>ROUNDDOWN(Table28[[#This Row],[R-DEMAND]]/950,0)</f>
        <v>0</v>
      </c>
      <c r="Q92" s="16">
        <f>Table28[[#This Row],[ADD ACC
(475/950)]]*Table28[[#This Row],[Duration
(A359)]]</f>
        <v>0</v>
      </c>
      <c r="R92" s="16">
        <f>IFERROR(VLOOKUP(Table28[[#This Row],[ROUTE]],PRICING!A:B,2,FALSE),0)</f>
        <v>0</v>
      </c>
      <c r="S92" s="16">
        <f>Table28[[#This Row],[C_DEMAND]]-Table28[[#This Row],[R-DEMAND]]</f>
        <v>0</v>
      </c>
      <c r="T92" s="316">
        <f>Table28[[#This Row],[SEATS SOLD]]*Table28[[#This Row],[ECO SEAT]]</f>
        <v>0</v>
      </c>
      <c r="U92" s="316">
        <f>Table28[[#This Row],[SEATS SOLD]]*(IFERROR(VLOOKUP(Table28[[#This Row],[ROUTE]],PRICING!A:C,3,FALSE),0))</f>
        <v>0</v>
      </c>
      <c r="V92" s="316">
        <f>Table28[[#This Row],[SEAT REV]]-Table28[[#This Row],[SEAT REV
(IF IDEAL $)]]</f>
        <v>0</v>
      </c>
      <c r="AA92" s="26" t="s">
        <v>19529</v>
      </c>
      <c r="AB92" s="26" t="s">
        <v>71</v>
      </c>
      <c r="AC92" s="26" t="s">
        <v>3339</v>
      </c>
      <c r="AD92" s="174">
        <v>13276</v>
      </c>
      <c r="AE92" s="26">
        <v>4023</v>
      </c>
      <c r="AF92" s="16">
        <v>4023</v>
      </c>
      <c r="AS92" s="16" t="s">
        <v>332</v>
      </c>
      <c r="AT92" s="16" t="s">
        <v>12100</v>
      </c>
      <c r="AU92" s="16" t="s">
        <v>30</v>
      </c>
      <c r="AV92" s="16" t="s">
        <v>18884</v>
      </c>
      <c r="AW92" s="16" t="s">
        <v>18890</v>
      </c>
      <c r="AX92" s="16" t="s">
        <v>18957</v>
      </c>
      <c r="AY92" s="385">
        <v>7417</v>
      </c>
    </row>
    <row r="93" spans="1:51" x14ac:dyDescent="0.25">
      <c r="A93" s="16" t="s">
        <v>19272</v>
      </c>
      <c r="B93" s="16" t="s">
        <v>3759</v>
      </c>
      <c r="D93" s="16">
        <v>2</v>
      </c>
      <c r="E93" s="16" t="s">
        <v>926</v>
      </c>
      <c r="F93" s="16" t="str">
        <f>VLOOKUP(Table28[[#This Row],[Country]],Table10[[COUNTRY NAME]:[CONTINENT CODE]],3,FALSE)</f>
        <v>AF</v>
      </c>
      <c r="G93" s="16" t="s">
        <v>16854</v>
      </c>
      <c r="H93" s="181">
        <v>10924</v>
      </c>
      <c r="I93" s="180">
        <v>26</v>
      </c>
      <c r="K93" s="316">
        <f>IFERROR(Table28[[#This Row],[ROUTE COST]]/Table28[[#This Row],[O - DEMAND]],0)</f>
        <v>0</v>
      </c>
      <c r="M93" s="16">
        <f>Table28[[#This Row],[O - DEMAND]]/950</f>
        <v>0</v>
      </c>
      <c r="N93" s="16">
        <f>IFERROR(VLOOKUP(Table28[[#This Row],[ROUTE]],DEMAND!A:F,5,FALSE),0)</f>
        <v>0</v>
      </c>
      <c r="O93" s="16">
        <f>IFERROR(VLOOKUP(Table28[[#This Row],[ROUTE]],DEMAND!A:F,6,FALSE),0)</f>
        <v>0</v>
      </c>
      <c r="P93" s="16">
        <f>ROUNDDOWN(Table28[[#This Row],[R-DEMAND]]/950,0)</f>
        <v>0</v>
      </c>
      <c r="Q93" s="16">
        <f>Table28[[#This Row],[ADD ACC
(475/950)]]*Table28[[#This Row],[Duration
(A359)]]</f>
        <v>0</v>
      </c>
      <c r="R93" s="16">
        <f>IFERROR(VLOOKUP(Table28[[#This Row],[ROUTE]],PRICING!A:B,2,FALSE),0)</f>
        <v>0</v>
      </c>
      <c r="S93" s="16">
        <f>Table28[[#This Row],[C_DEMAND]]-Table28[[#This Row],[R-DEMAND]]</f>
        <v>0</v>
      </c>
      <c r="T93" s="316">
        <f>Table28[[#This Row],[SEATS SOLD]]*Table28[[#This Row],[ECO SEAT]]</f>
        <v>0</v>
      </c>
      <c r="U93" s="316">
        <f>Table28[[#This Row],[SEATS SOLD]]*(IFERROR(VLOOKUP(Table28[[#This Row],[ROUTE]],PRICING!A:C,3,FALSE),0))</f>
        <v>0</v>
      </c>
      <c r="V93" s="316">
        <f>Table28[[#This Row],[SEAT REV]]-Table28[[#This Row],[SEAT REV
(IF IDEAL $)]]</f>
        <v>0</v>
      </c>
      <c r="AA93" s="26" t="s">
        <v>19314</v>
      </c>
      <c r="AB93" s="26" t="s">
        <v>71</v>
      </c>
      <c r="AC93" s="26" t="s">
        <v>4239</v>
      </c>
      <c r="AD93" s="174">
        <v>11566</v>
      </c>
      <c r="AE93" s="26">
        <v>3168</v>
      </c>
      <c r="AF93" s="16">
        <v>3168</v>
      </c>
      <c r="AS93" s="16" t="s">
        <v>14</v>
      </c>
      <c r="AT93" s="16" t="s">
        <v>11039</v>
      </c>
      <c r="AU93" s="16" t="s">
        <v>65</v>
      </c>
      <c r="AV93" s="16" t="s">
        <v>18884</v>
      </c>
      <c r="AW93" s="16" t="s">
        <v>18918</v>
      </c>
      <c r="AX93" s="16" t="s">
        <v>18957</v>
      </c>
      <c r="AY93" s="385">
        <v>7432</v>
      </c>
    </row>
    <row r="94" spans="1:51" x14ac:dyDescent="0.25">
      <c r="A94" s="16" t="s">
        <v>19137</v>
      </c>
      <c r="B94" s="16" t="s">
        <v>5348</v>
      </c>
      <c r="D94" s="16">
        <v>3</v>
      </c>
      <c r="E94" s="16" t="s">
        <v>14</v>
      </c>
      <c r="F94" s="16" t="str">
        <f>VLOOKUP(Table28[[#This Row],[Country]],Table10[[COUNTRY NAME]:[CONTINENT CODE]],3,FALSE)</f>
        <v>AS</v>
      </c>
      <c r="G94" s="16" t="s">
        <v>16823</v>
      </c>
      <c r="H94" s="181">
        <v>8229</v>
      </c>
      <c r="I94" s="180">
        <v>20.25</v>
      </c>
      <c r="K94" s="316">
        <f>IFERROR(Table28[[#This Row],[ROUTE COST]]/Table28[[#This Row],[O - DEMAND]],0)</f>
        <v>0</v>
      </c>
      <c r="M94" s="16">
        <f>Table28[[#This Row],[O - DEMAND]]/950</f>
        <v>0</v>
      </c>
      <c r="N94" s="16">
        <f>IFERROR(VLOOKUP(Table28[[#This Row],[ROUTE]],DEMAND!A:F,5,FALSE),0)</f>
        <v>0</v>
      </c>
      <c r="O94" s="16">
        <f>IFERROR(VLOOKUP(Table28[[#This Row],[ROUTE]],DEMAND!A:F,6,FALSE),0)</f>
        <v>0</v>
      </c>
      <c r="P94" s="16">
        <f>ROUNDDOWN(Table28[[#This Row],[R-DEMAND]]/950,0)</f>
        <v>0</v>
      </c>
      <c r="Q94" s="16">
        <f>Table28[[#This Row],[ADD ACC
(475/950)]]*Table28[[#This Row],[Duration
(A359)]]</f>
        <v>0</v>
      </c>
      <c r="R94" s="16">
        <f>IFERROR(VLOOKUP(Table28[[#This Row],[ROUTE]],PRICING!A:B,2,FALSE),0)</f>
        <v>0</v>
      </c>
      <c r="S94" s="16">
        <f>Table28[[#This Row],[C_DEMAND]]-Table28[[#This Row],[R-DEMAND]]</f>
        <v>0</v>
      </c>
      <c r="T94" s="316">
        <f>Table28[[#This Row],[SEATS SOLD]]*Table28[[#This Row],[ECO SEAT]]</f>
        <v>0</v>
      </c>
      <c r="U94" s="316">
        <f>Table28[[#This Row],[SEATS SOLD]]*(IFERROR(VLOOKUP(Table28[[#This Row],[ROUTE]],PRICING!A:C,3,FALSE),0))</f>
        <v>0</v>
      </c>
      <c r="V94" s="316">
        <f>Table28[[#This Row],[SEAT REV]]-Table28[[#This Row],[SEAT REV
(IF IDEAL $)]]</f>
        <v>0</v>
      </c>
      <c r="AA94" s="26" t="s">
        <v>19224</v>
      </c>
      <c r="AB94" s="26" t="s">
        <v>71</v>
      </c>
      <c r="AC94" s="26" t="s">
        <v>3901</v>
      </c>
      <c r="AD94" s="174">
        <v>9734</v>
      </c>
      <c r="AE94" s="26">
        <v>2219</v>
      </c>
      <c r="AF94" s="16">
        <v>2219</v>
      </c>
      <c r="AS94" s="16" t="s">
        <v>14</v>
      </c>
      <c r="AT94" s="16" t="s">
        <v>12066</v>
      </c>
      <c r="AU94" s="16" t="s">
        <v>5386</v>
      </c>
      <c r="AV94" s="16" t="s">
        <v>18884</v>
      </c>
      <c r="AW94" s="16" t="s">
        <v>18885</v>
      </c>
      <c r="AX94" s="16" t="s">
        <v>18957</v>
      </c>
      <c r="AY94" s="385">
        <v>7444</v>
      </c>
    </row>
    <row r="95" spans="1:51" x14ac:dyDescent="0.25">
      <c r="A95" s="16" t="s">
        <v>19653</v>
      </c>
      <c r="B95" s="16" t="s">
        <v>2740</v>
      </c>
      <c r="D95" s="16">
        <v>2</v>
      </c>
      <c r="E95" s="16" t="s">
        <v>2738</v>
      </c>
      <c r="F95" s="16" t="str">
        <f>VLOOKUP(Table28[[#This Row],[Country]],Table10[[COUNTRY NAME]:[CONTINENT CODE]],3,FALSE)</f>
        <v>AF</v>
      </c>
      <c r="G95" s="16" t="s">
        <v>16874</v>
      </c>
      <c r="H95" s="181">
        <v>14137</v>
      </c>
      <c r="I95" s="180">
        <v>33.25</v>
      </c>
      <c r="K95" s="316">
        <f>IFERROR(Table28[[#This Row],[ROUTE COST]]/Table28[[#This Row],[O - DEMAND]],0)</f>
        <v>0</v>
      </c>
      <c r="M95" s="16">
        <f>Table28[[#This Row],[O - DEMAND]]/950</f>
        <v>0</v>
      </c>
      <c r="N95" s="16">
        <f>IFERROR(VLOOKUP(Table28[[#This Row],[ROUTE]],DEMAND!A:F,5,FALSE),0)</f>
        <v>0</v>
      </c>
      <c r="O95" s="16">
        <f>IFERROR(VLOOKUP(Table28[[#This Row],[ROUTE]],DEMAND!A:F,6,FALSE),0)</f>
        <v>0</v>
      </c>
      <c r="P95" s="16">
        <f>ROUNDDOWN(Table28[[#This Row],[R-DEMAND]]/950,0)</f>
        <v>0</v>
      </c>
      <c r="Q95" s="16">
        <f>Table28[[#This Row],[ADD ACC
(475/950)]]*Table28[[#This Row],[Duration
(A359)]]</f>
        <v>0</v>
      </c>
      <c r="R95" s="16">
        <f>IFERROR(VLOOKUP(Table28[[#This Row],[ROUTE]],PRICING!A:B,2,FALSE),0)</f>
        <v>0</v>
      </c>
      <c r="S95" s="16">
        <f>Table28[[#This Row],[C_DEMAND]]-Table28[[#This Row],[R-DEMAND]]</f>
        <v>0</v>
      </c>
      <c r="T95" s="316">
        <f>Table28[[#This Row],[SEATS SOLD]]*Table28[[#This Row],[ECO SEAT]]</f>
        <v>0</v>
      </c>
      <c r="U95" s="316">
        <f>Table28[[#This Row],[SEATS SOLD]]*(IFERROR(VLOOKUP(Table28[[#This Row],[ROUTE]],PRICING!A:C,3,FALSE),0))</f>
        <v>0</v>
      </c>
      <c r="V95" s="316">
        <f>Table28[[#This Row],[SEAT REV]]-Table28[[#This Row],[SEAT REV
(IF IDEAL $)]]</f>
        <v>0</v>
      </c>
      <c r="AA95" s="26" t="s">
        <v>19102</v>
      </c>
      <c r="AB95" s="26" t="s">
        <v>71</v>
      </c>
      <c r="AC95" s="26" t="s">
        <v>5661</v>
      </c>
      <c r="AD95" s="174">
        <v>7816</v>
      </c>
      <c r="AE95" s="26">
        <v>2516</v>
      </c>
      <c r="AF95" s="16">
        <v>2516</v>
      </c>
      <c r="AS95" s="16" t="s">
        <v>332</v>
      </c>
      <c r="AT95" s="16" t="s">
        <v>11105</v>
      </c>
      <c r="AU95" s="16" t="s">
        <v>415</v>
      </c>
      <c r="AV95" s="16" t="s">
        <v>18884</v>
      </c>
      <c r="AW95" s="16" t="s">
        <v>18918</v>
      </c>
      <c r="AX95" s="16" t="s">
        <v>18956</v>
      </c>
      <c r="AY95" s="385">
        <v>7516</v>
      </c>
    </row>
    <row r="96" spans="1:51" x14ac:dyDescent="0.25">
      <c r="A96" s="16" t="s">
        <v>19551</v>
      </c>
      <c r="B96" s="16" t="s">
        <v>422</v>
      </c>
      <c r="C96" s="16" t="s">
        <v>467</v>
      </c>
      <c r="D96" s="16">
        <v>2</v>
      </c>
      <c r="E96" s="16" t="s">
        <v>3163</v>
      </c>
      <c r="F96" s="16" t="str">
        <f>VLOOKUP(Table28[[#This Row],[Country]],Table10[[COUNTRY NAME]:[CONTINENT CODE]],3,FALSE)</f>
        <v>AS</v>
      </c>
      <c r="G96" s="16" t="s">
        <v>11923</v>
      </c>
      <c r="H96" s="181">
        <v>13409</v>
      </c>
      <c r="I96" s="180">
        <v>31.5</v>
      </c>
      <c r="K96" s="316">
        <f>IFERROR(Table28[[#This Row],[ROUTE COST]]/Table28[[#This Row],[O - DEMAND]],0)</f>
        <v>0</v>
      </c>
      <c r="M96" s="16">
        <f>Table28[[#This Row],[O - DEMAND]]/950</f>
        <v>0</v>
      </c>
      <c r="N96" s="16">
        <f>IFERROR(VLOOKUP(Table28[[#This Row],[ROUTE]],DEMAND!A:F,5,FALSE),0)</f>
        <v>3718</v>
      </c>
      <c r="O96" s="16">
        <f>IFERROR(VLOOKUP(Table28[[#This Row],[ROUTE]],DEMAND!A:F,6,FALSE),0)</f>
        <v>868</v>
      </c>
      <c r="P96" s="16">
        <f>ROUNDDOWN(Table28[[#This Row],[R-DEMAND]]/950,0)</f>
        <v>0</v>
      </c>
      <c r="Q96" s="16">
        <f>Table28[[#This Row],[ADD ACC
(475/950)]]*Table28[[#This Row],[Duration
(A359)]]</f>
        <v>0</v>
      </c>
      <c r="R96" s="16">
        <f>IFERROR(VLOOKUP(Table28[[#This Row],[ROUTE]],PRICING!A:B,2,FALSE),0)</f>
        <v>0</v>
      </c>
      <c r="S96" s="16">
        <f>Table28[[#This Row],[C_DEMAND]]-Table28[[#This Row],[R-DEMAND]]</f>
        <v>2850</v>
      </c>
      <c r="T96" s="316">
        <f>Table28[[#This Row],[SEATS SOLD]]*Table28[[#This Row],[ECO SEAT]]</f>
        <v>0</v>
      </c>
      <c r="U96" s="316">
        <f>Table28[[#This Row],[SEATS SOLD]]*(IFERROR(VLOOKUP(Table28[[#This Row],[ROUTE]],PRICING!A:C,3,FALSE),0))</f>
        <v>0</v>
      </c>
      <c r="V96" s="316">
        <f>Table28[[#This Row],[SEAT REV]]-Table28[[#This Row],[SEAT REV
(IF IDEAL $)]]</f>
        <v>0</v>
      </c>
      <c r="AA96" s="26" t="s">
        <v>19298</v>
      </c>
      <c r="AB96" s="26" t="s">
        <v>71</v>
      </c>
      <c r="AC96" s="26" t="s">
        <v>3868</v>
      </c>
      <c r="AD96" s="174">
        <v>11316</v>
      </c>
      <c r="AE96" s="26">
        <v>3027</v>
      </c>
      <c r="AF96" s="16">
        <v>3027</v>
      </c>
      <c r="AS96" s="16" t="s">
        <v>14</v>
      </c>
      <c r="AT96" s="16" t="s">
        <v>384</v>
      </c>
      <c r="AU96" s="16" t="s">
        <v>385</v>
      </c>
      <c r="AV96" s="16" t="s">
        <v>18884</v>
      </c>
      <c r="AW96" s="16" t="s">
        <v>18918</v>
      </c>
      <c r="AX96" s="16" t="s">
        <v>18956</v>
      </c>
      <c r="AY96" s="385">
        <v>7531</v>
      </c>
    </row>
    <row r="97" spans="1:51" x14ac:dyDescent="0.25">
      <c r="A97" s="16" t="s">
        <v>19464</v>
      </c>
      <c r="B97" s="16" t="s">
        <v>3469</v>
      </c>
      <c r="D97" s="16">
        <v>2</v>
      </c>
      <c r="E97" s="16" t="s">
        <v>172</v>
      </c>
      <c r="F97" s="16" t="str">
        <f>VLOOKUP(Table28[[#This Row],[Country]],Table10[[COUNTRY NAME]:[CONTINENT CODE]],3,FALSE)</f>
        <v>AS</v>
      </c>
      <c r="G97" s="16" t="s">
        <v>10659</v>
      </c>
      <c r="H97" s="181">
        <v>12906</v>
      </c>
      <c r="I97" s="180">
        <v>30.5</v>
      </c>
      <c r="K97" s="316">
        <f>IFERROR(Table28[[#This Row],[ROUTE COST]]/Table28[[#This Row],[O - DEMAND]],0)</f>
        <v>0</v>
      </c>
      <c r="M97" s="16">
        <f>Table28[[#This Row],[O - DEMAND]]/950</f>
        <v>0</v>
      </c>
      <c r="N97" s="16">
        <f>IFERROR(VLOOKUP(Table28[[#This Row],[ROUTE]],DEMAND!A:F,5,FALSE),0)</f>
        <v>0</v>
      </c>
      <c r="O97" s="16">
        <f>IFERROR(VLOOKUP(Table28[[#This Row],[ROUTE]],DEMAND!A:F,6,FALSE),0)</f>
        <v>0</v>
      </c>
      <c r="P97" s="16">
        <f>ROUNDDOWN(Table28[[#This Row],[R-DEMAND]]/950,0)</f>
        <v>0</v>
      </c>
      <c r="Q97" s="16">
        <f>Table28[[#This Row],[ADD ACC
(475/950)]]*Table28[[#This Row],[Duration
(A359)]]</f>
        <v>0</v>
      </c>
      <c r="R97" s="16">
        <f>IFERROR(VLOOKUP(Table28[[#This Row],[ROUTE]],PRICING!A:B,2,FALSE),0)</f>
        <v>0</v>
      </c>
      <c r="S97" s="16">
        <f>Table28[[#This Row],[C_DEMAND]]-Table28[[#This Row],[R-DEMAND]]</f>
        <v>0</v>
      </c>
      <c r="T97" s="316">
        <f>Table28[[#This Row],[SEATS SOLD]]*Table28[[#This Row],[ECO SEAT]]</f>
        <v>0</v>
      </c>
      <c r="U97" s="316">
        <f>Table28[[#This Row],[SEATS SOLD]]*(IFERROR(VLOOKUP(Table28[[#This Row],[ROUTE]],PRICING!A:C,3,FALSE),0))</f>
        <v>0</v>
      </c>
      <c r="V97" s="316">
        <f>Table28[[#This Row],[SEAT REV]]-Table28[[#This Row],[SEAT REV
(IF IDEAL $)]]</f>
        <v>0</v>
      </c>
      <c r="AA97" s="26" t="s">
        <v>19428</v>
      </c>
      <c r="AB97" s="26" t="s">
        <v>71</v>
      </c>
      <c r="AC97" s="26" t="s">
        <v>5480</v>
      </c>
      <c r="AD97" s="174">
        <v>12658</v>
      </c>
      <c r="AE97" s="26">
        <v>2964</v>
      </c>
      <c r="AF97" s="16">
        <v>2964</v>
      </c>
      <c r="AS97" s="16" t="s">
        <v>332</v>
      </c>
      <c r="AT97" s="16" t="s">
        <v>12098</v>
      </c>
      <c r="AU97" s="16" t="s">
        <v>333</v>
      </c>
      <c r="AV97" s="16" t="s">
        <v>18884</v>
      </c>
      <c r="AW97" s="16" t="s">
        <v>18918</v>
      </c>
      <c r="AX97" s="16" t="s">
        <v>18956</v>
      </c>
      <c r="AY97" s="385">
        <v>7545</v>
      </c>
    </row>
    <row r="98" spans="1:51" x14ac:dyDescent="0.25">
      <c r="A98" s="16" t="s">
        <v>19294</v>
      </c>
      <c r="B98" s="16" t="s">
        <v>2565</v>
      </c>
      <c r="D98" s="16">
        <v>2</v>
      </c>
      <c r="E98" s="16" t="s">
        <v>11669</v>
      </c>
      <c r="F98" s="16" t="str">
        <f>VLOOKUP(Table28[[#This Row],[Country]],Table10[[COUNTRY NAME]:[CONTINENT CODE]],3,FALSE)</f>
        <v>SA</v>
      </c>
      <c r="G98" s="16" t="s">
        <v>16933</v>
      </c>
      <c r="H98" s="181">
        <v>11237</v>
      </c>
      <c r="I98" s="180">
        <v>26.75</v>
      </c>
      <c r="K98" s="316">
        <f>IFERROR(Table28[[#This Row],[ROUTE COST]]/Table28[[#This Row],[O - DEMAND]],0)</f>
        <v>0</v>
      </c>
      <c r="M98" s="16">
        <f>Table28[[#This Row],[O - DEMAND]]/950</f>
        <v>0</v>
      </c>
      <c r="N98" s="16">
        <f>IFERROR(VLOOKUP(Table28[[#This Row],[ROUTE]],DEMAND!A:F,5,FALSE),0)</f>
        <v>0</v>
      </c>
      <c r="O98" s="16">
        <f>IFERROR(VLOOKUP(Table28[[#This Row],[ROUTE]],DEMAND!A:F,6,FALSE),0)</f>
        <v>0</v>
      </c>
      <c r="P98" s="16">
        <f>ROUNDDOWN(Table28[[#This Row],[R-DEMAND]]/950,0)</f>
        <v>0</v>
      </c>
      <c r="Q98" s="16">
        <f>Table28[[#This Row],[ADD ACC
(475/950)]]*Table28[[#This Row],[Duration
(A359)]]</f>
        <v>0</v>
      </c>
      <c r="R98" s="16">
        <f>IFERROR(VLOOKUP(Table28[[#This Row],[ROUTE]],PRICING!A:B,2,FALSE),0)</f>
        <v>0</v>
      </c>
      <c r="S98" s="16">
        <f>Table28[[#This Row],[C_DEMAND]]-Table28[[#This Row],[R-DEMAND]]</f>
        <v>0</v>
      </c>
      <c r="T98" s="316">
        <f>Table28[[#This Row],[SEATS SOLD]]*Table28[[#This Row],[ECO SEAT]]</f>
        <v>0</v>
      </c>
      <c r="U98" s="316">
        <f>Table28[[#This Row],[SEATS SOLD]]*(IFERROR(VLOOKUP(Table28[[#This Row],[ROUTE]],PRICING!A:C,3,FALSE),0))</f>
        <v>0</v>
      </c>
      <c r="V98" s="316">
        <f>Table28[[#This Row],[SEAT REV]]-Table28[[#This Row],[SEAT REV
(IF IDEAL $)]]</f>
        <v>0</v>
      </c>
      <c r="AA98" s="26" t="s">
        <v>19567</v>
      </c>
      <c r="AB98" s="26" t="s">
        <v>71</v>
      </c>
      <c r="AC98" s="26" t="s">
        <v>5611</v>
      </c>
      <c r="AD98" s="174">
        <v>13526</v>
      </c>
      <c r="AE98" s="26">
        <v>3367</v>
      </c>
      <c r="AF98" s="16">
        <v>3367</v>
      </c>
      <c r="AS98" s="16" t="s">
        <v>14</v>
      </c>
      <c r="AT98" s="16" t="s">
        <v>12082</v>
      </c>
      <c r="AU98" s="16" t="s">
        <v>4064</v>
      </c>
      <c r="AV98" s="16" t="s">
        <v>18881</v>
      </c>
      <c r="AW98" s="16" t="s">
        <v>18879</v>
      </c>
      <c r="AX98" s="16" t="s">
        <v>18956</v>
      </c>
      <c r="AY98" s="385">
        <v>7598</v>
      </c>
    </row>
    <row r="99" spans="1:51" x14ac:dyDescent="0.25">
      <c r="A99" s="16" t="s">
        <v>19256</v>
      </c>
      <c r="B99" s="16" t="s">
        <v>5159</v>
      </c>
      <c r="C99" s="16" t="s">
        <v>467</v>
      </c>
      <c r="D99" s="16">
        <v>3</v>
      </c>
      <c r="E99" s="16" t="s">
        <v>1070</v>
      </c>
      <c r="F99" s="16" t="str">
        <f>VLOOKUP(Table28[[#This Row],[Country]],Table10[[COUNTRY NAME]:[CONTINENT CODE]],3,FALSE)</f>
        <v>AS</v>
      </c>
      <c r="G99" s="16" t="s">
        <v>16827</v>
      </c>
      <c r="H99" s="181">
        <v>10701</v>
      </c>
      <c r="I99" s="180">
        <v>25.5</v>
      </c>
      <c r="K99" s="316">
        <f>IFERROR(Table28[[#This Row],[ROUTE COST]]/Table28[[#This Row],[O - DEMAND]],0)</f>
        <v>0</v>
      </c>
      <c r="M99" s="16">
        <f>Table28[[#This Row],[O - DEMAND]]/950</f>
        <v>0</v>
      </c>
      <c r="N99" s="16">
        <f>IFERROR(VLOOKUP(Table28[[#This Row],[ROUTE]],DEMAND!A:F,5,FALSE),0)</f>
        <v>3732</v>
      </c>
      <c r="O99" s="16">
        <f>IFERROR(VLOOKUP(Table28[[#This Row],[ROUTE]],DEMAND!A:F,6,FALSE),0)</f>
        <v>882</v>
      </c>
      <c r="P99" s="16">
        <f>ROUNDDOWN(Table28[[#This Row],[R-DEMAND]]/950,0)</f>
        <v>0</v>
      </c>
      <c r="Q99" s="16">
        <f>Table28[[#This Row],[ADD ACC
(475/950)]]*Table28[[#This Row],[Duration
(A359)]]</f>
        <v>0</v>
      </c>
      <c r="R99" s="16">
        <f>IFERROR(VLOOKUP(Table28[[#This Row],[ROUTE]],PRICING!A:B,2,FALSE),0)</f>
        <v>0</v>
      </c>
      <c r="S99" s="16">
        <f>Table28[[#This Row],[C_DEMAND]]-Table28[[#This Row],[R-DEMAND]]</f>
        <v>2850</v>
      </c>
      <c r="T99" s="316">
        <f>Table28[[#This Row],[SEATS SOLD]]*Table28[[#This Row],[ECO SEAT]]</f>
        <v>0</v>
      </c>
      <c r="U99" s="316">
        <f>Table28[[#This Row],[SEATS SOLD]]*(IFERROR(VLOOKUP(Table28[[#This Row],[ROUTE]],PRICING!A:C,3,FALSE),0))</f>
        <v>0</v>
      </c>
      <c r="V99" s="316">
        <f>Table28[[#This Row],[SEAT REV]]-Table28[[#This Row],[SEAT REV
(IF IDEAL $)]]</f>
        <v>0</v>
      </c>
      <c r="AA99" s="26" t="s">
        <v>19320</v>
      </c>
      <c r="AB99" s="26" t="s">
        <v>71</v>
      </c>
      <c r="AC99" s="26" t="s">
        <v>2007</v>
      </c>
      <c r="AD99" s="174">
        <v>11695</v>
      </c>
      <c r="AE99" s="26">
        <v>4168</v>
      </c>
      <c r="AF99" s="16">
        <v>4168</v>
      </c>
      <c r="AS99" s="16" t="s">
        <v>142</v>
      </c>
      <c r="AT99" s="16" t="s">
        <v>12030</v>
      </c>
      <c r="AU99" s="16" t="s">
        <v>5408</v>
      </c>
      <c r="AV99" s="16" t="s">
        <v>18892</v>
      </c>
      <c r="AW99" s="16" t="s">
        <v>18885</v>
      </c>
      <c r="AX99" s="16" t="s">
        <v>18956</v>
      </c>
      <c r="AY99" s="385">
        <v>7620</v>
      </c>
    </row>
    <row r="100" spans="1:51" x14ac:dyDescent="0.25">
      <c r="A100" s="16" t="s">
        <v>19728</v>
      </c>
      <c r="B100" s="16" t="s">
        <v>5145</v>
      </c>
      <c r="D100" s="16">
        <v>3</v>
      </c>
      <c r="E100" s="16" t="s">
        <v>11732</v>
      </c>
      <c r="F100" s="16" t="str">
        <f>VLOOKUP(Table28[[#This Row],[Country]],Table10[[COUNTRY NAME]:[CONTINENT CODE]],3,FALSE)</f>
        <v>NA - US</v>
      </c>
      <c r="G100" s="16" t="s">
        <v>13350</v>
      </c>
      <c r="H100" s="181">
        <v>14738</v>
      </c>
      <c r="I100" s="180">
        <v>34.5</v>
      </c>
      <c r="K100" s="316">
        <f>IFERROR(Table28[[#This Row],[ROUTE COST]]/Table28[[#This Row],[O - DEMAND]],0)</f>
        <v>0</v>
      </c>
      <c r="M100" s="180">
        <f>Table28[[#This Row],[O - DEMAND]]/950</f>
        <v>0</v>
      </c>
      <c r="N100" s="16">
        <f>IFERROR(VLOOKUP(Table28[[#This Row],[ROUTE]],DEMAND!A:F,5,FALSE),0)</f>
        <v>0</v>
      </c>
      <c r="O100" s="16">
        <f>IFERROR(VLOOKUP(Table28[[#This Row],[ROUTE]],DEMAND!A:F,6,FALSE),0)</f>
        <v>0</v>
      </c>
      <c r="P100" s="16">
        <f>ROUNDDOWN(Table28[[#This Row],[R-DEMAND]]/950,0)</f>
        <v>0</v>
      </c>
      <c r="Q100" s="16">
        <f>Table28[[#This Row],[ADD ACC
(475/950)]]*Table28[[#This Row],[Duration
(A359)]]</f>
        <v>0</v>
      </c>
      <c r="R100" s="16">
        <f>IFERROR(VLOOKUP(Table28[[#This Row],[ROUTE]],PRICING!A:B,2,FALSE),0)</f>
        <v>0</v>
      </c>
      <c r="S100" s="16">
        <f>Table28[[#This Row],[C_DEMAND]]-Table28[[#This Row],[R-DEMAND]]</f>
        <v>0</v>
      </c>
      <c r="T100" s="316">
        <f>Table28[[#This Row],[SEATS SOLD]]*Table28[[#This Row],[ECO SEAT]]</f>
        <v>0</v>
      </c>
      <c r="U100" s="316">
        <f>Table28[[#This Row],[SEATS SOLD]]*(IFERROR(VLOOKUP(Table28[[#This Row],[ROUTE]],PRICING!A:C,3,FALSE),0))</f>
        <v>0</v>
      </c>
      <c r="V100" s="316">
        <f>Table28[[#This Row],[SEAT REV]]-Table28[[#This Row],[SEAT REV
(IF IDEAL $)]]</f>
        <v>0</v>
      </c>
      <c r="AA100" s="26" t="s">
        <v>19230</v>
      </c>
      <c r="AB100" s="26" t="s">
        <v>71</v>
      </c>
      <c r="AC100" s="26" t="s">
        <v>300</v>
      </c>
      <c r="AD100" s="174">
        <v>9837</v>
      </c>
      <c r="AE100" s="26">
        <v>3446</v>
      </c>
      <c r="AF100" s="16">
        <v>3446</v>
      </c>
      <c r="AS100" s="16" t="s">
        <v>142</v>
      </c>
      <c r="AT100" s="16" t="s">
        <v>12024</v>
      </c>
      <c r="AU100" s="16" t="s">
        <v>5187</v>
      </c>
      <c r="AV100" s="16" t="s">
        <v>18892</v>
      </c>
      <c r="AW100" s="16" t="s">
        <v>18885</v>
      </c>
      <c r="AX100" s="16" t="s">
        <v>18984</v>
      </c>
      <c r="AY100" s="385">
        <v>7726</v>
      </c>
    </row>
    <row r="101" spans="1:51" x14ac:dyDescent="0.25">
      <c r="A101" s="16" t="s">
        <v>18999</v>
      </c>
      <c r="B101" s="16" t="s">
        <v>2343</v>
      </c>
      <c r="D101" s="16">
        <v>1</v>
      </c>
      <c r="E101" s="16" t="s">
        <v>774</v>
      </c>
      <c r="F101" s="16" t="str">
        <f>VLOOKUP(Table28[[#This Row],[Country]],Table10[[COUNTRY NAME]:[CONTINENT CODE]],3,FALSE)</f>
        <v>OC</v>
      </c>
      <c r="G101" s="16" t="s">
        <v>10654</v>
      </c>
      <c r="H101" s="181">
        <v>930</v>
      </c>
      <c r="I101" s="180">
        <v>4.25</v>
      </c>
      <c r="K101" s="316">
        <f>IFERROR(Table28[[#This Row],[ROUTE COST]]/Table28[[#This Row],[O - DEMAND]],0)</f>
        <v>0</v>
      </c>
      <c r="M101" s="16">
        <f>Table28[[#This Row],[O - DEMAND]]/950</f>
        <v>0</v>
      </c>
      <c r="N101" s="16">
        <f>IFERROR(VLOOKUP(Table28[[#This Row],[ROUTE]],DEMAND!A:F,5,FALSE),0)</f>
        <v>0</v>
      </c>
      <c r="O101" s="16">
        <f>IFERROR(VLOOKUP(Table28[[#This Row],[ROUTE]],DEMAND!A:F,6,FALSE),0)</f>
        <v>0</v>
      </c>
      <c r="P101" s="16">
        <f>ROUNDDOWN(Table28[[#This Row],[R-DEMAND]]/950,0)</f>
        <v>0</v>
      </c>
      <c r="Q101" s="16">
        <f>Table28[[#This Row],[ADD ACC
(475/950)]]*Table28[[#This Row],[Duration
(A359)]]</f>
        <v>0</v>
      </c>
      <c r="R101" s="16">
        <f>IFERROR(VLOOKUP(Table28[[#This Row],[ROUTE]],PRICING!A:B,2,FALSE),0)</f>
        <v>0</v>
      </c>
      <c r="S101" s="16">
        <f>Table28[[#This Row],[C_DEMAND]]-Table28[[#This Row],[R-DEMAND]]</f>
        <v>0</v>
      </c>
      <c r="T101" s="316">
        <f>Table28[[#This Row],[SEATS SOLD]]*Table28[[#This Row],[ECO SEAT]]</f>
        <v>0</v>
      </c>
      <c r="U101" s="316">
        <f>Table28[[#This Row],[SEATS SOLD]]*(IFERROR(VLOOKUP(Table28[[#This Row],[ROUTE]],PRICING!A:C,3,FALSE),0))</f>
        <v>0</v>
      </c>
      <c r="V101" s="316">
        <f>Table28[[#This Row],[SEAT REV]]-Table28[[#This Row],[SEAT REV
(IF IDEAL $)]]</f>
        <v>0</v>
      </c>
      <c r="AA101" s="26" t="s">
        <v>19540</v>
      </c>
      <c r="AB101" s="26" t="s">
        <v>71</v>
      </c>
      <c r="AC101" s="26" t="s">
        <v>590</v>
      </c>
      <c r="AD101" s="174">
        <v>13354</v>
      </c>
      <c r="AE101" s="26">
        <v>2211</v>
      </c>
      <c r="AF101" s="16">
        <v>2211</v>
      </c>
      <c r="AS101" s="16" t="s">
        <v>974</v>
      </c>
      <c r="AT101" s="16" t="s">
        <v>12092</v>
      </c>
      <c r="AU101" s="16" t="s">
        <v>3996</v>
      </c>
      <c r="AV101" s="16" t="s">
        <v>18892</v>
      </c>
      <c r="AW101" s="16" t="s">
        <v>18879</v>
      </c>
      <c r="AX101" s="16" t="s">
        <v>18984</v>
      </c>
      <c r="AY101" s="385">
        <v>7737</v>
      </c>
    </row>
    <row r="102" spans="1:51" x14ac:dyDescent="0.25">
      <c r="A102" s="16" t="s">
        <v>19271</v>
      </c>
      <c r="B102" s="16" t="s">
        <v>419</v>
      </c>
      <c r="C102" s="16" t="s">
        <v>467</v>
      </c>
      <c r="D102" s="16">
        <v>4</v>
      </c>
      <c r="E102" s="16" t="s">
        <v>197</v>
      </c>
      <c r="F102" s="16" t="str">
        <f>VLOOKUP(Table28[[#This Row],[Country]],Table10[[COUNTRY NAME]:[CONTINENT CODE]],3,FALSE)</f>
        <v>AS</v>
      </c>
      <c r="G102" s="16" t="s">
        <v>418</v>
      </c>
      <c r="H102" s="181">
        <v>10914</v>
      </c>
      <c r="I102" s="180">
        <v>26</v>
      </c>
      <c r="K102" s="316">
        <f>IFERROR(Table28[[#This Row],[ROUTE COST]]/Table28[[#This Row],[O - DEMAND]],0)</f>
        <v>0</v>
      </c>
      <c r="M102" s="16">
        <f>Table28[[#This Row],[O - DEMAND]]/950</f>
        <v>0</v>
      </c>
      <c r="N102" s="16">
        <f>IFERROR(VLOOKUP(Table28[[#This Row],[ROUTE]],DEMAND!A:F,5,FALSE),0)</f>
        <v>4333</v>
      </c>
      <c r="O102" s="16">
        <f>IFERROR(VLOOKUP(Table28[[#This Row],[ROUTE]],DEMAND!A:F,6,FALSE),0)</f>
        <v>533</v>
      </c>
      <c r="P102" s="16">
        <f>ROUNDDOWN(Table28[[#This Row],[R-DEMAND]]/950,0)</f>
        <v>0</v>
      </c>
      <c r="Q102" s="16">
        <f>Table28[[#This Row],[ADD ACC
(475/950)]]*Table28[[#This Row],[Duration
(A359)]]</f>
        <v>0</v>
      </c>
      <c r="R102" s="16">
        <f>IFERROR(VLOOKUP(Table28[[#This Row],[ROUTE]],PRICING!A:B,2,FALSE),0)</f>
        <v>0</v>
      </c>
      <c r="S102" s="16">
        <f>Table28[[#This Row],[C_DEMAND]]-Table28[[#This Row],[R-DEMAND]]</f>
        <v>3800</v>
      </c>
      <c r="T102" s="316">
        <f>Table28[[#This Row],[SEATS SOLD]]*Table28[[#This Row],[ECO SEAT]]</f>
        <v>0</v>
      </c>
      <c r="U102" s="316">
        <f>Table28[[#This Row],[SEATS SOLD]]*(IFERROR(VLOOKUP(Table28[[#This Row],[ROUTE]],PRICING!A:C,3,FALSE),0))</f>
        <v>0</v>
      </c>
      <c r="V102" s="316">
        <f>Table28[[#This Row],[SEAT REV]]-Table28[[#This Row],[SEAT REV
(IF IDEAL $)]]</f>
        <v>0</v>
      </c>
      <c r="AA102" s="26" t="s">
        <v>19523</v>
      </c>
      <c r="AB102" s="26" t="s">
        <v>71</v>
      </c>
      <c r="AC102" s="26" t="s">
        <v>4962</v>
      </c>
      <c r="AD102" s="174">
        <v>13231</v>
      </c>
      <c r="AE102" s="26">
        <v>3055</v>
      </c>
      <c r="AF102" s="16">
        <v>3055</v>
      </c>
      <c r="AS102" s="16" t="s">
        <v>14</v>
      </c>
      <c r="AT102" s="16" t="s">
        <v>12053</v>
      </c>
      <c r="AU102" s="16" t="s">
        <v>5272</v>
      </c>
      <c r="AV102" s="16" t="s">
        <v>18881</v>
      </c>
      <c r="AW102" s="16" t="s">
        <v>18885</v>
      </c>
      <c r="AX102" s="16" t="s">
        <v>18955</v>
      </c>
      <c r="AY102" s="385">
        <v>7750</v>
      </c>
    </row>
    <row r="103" spans="1:51" x14ac:dyDescent="0.25">
      <c r="A103" s="16" t="s">
        <v>19090</v>
      </c>
      <c r="B103" s="16" t="s">
        <v>4064</v>
      </c>
      <c r="D103" s="16">
        <v>2</v>
      </c>
      <c r="E103" s="16" t="s">
        <v>14</v>
      </c>
      <c r="F103" s="16" t="str">
        <f>VLOOKUP(Table28[[#This Row],[Country]],Table10[[COUNTRY NAME]:[CONTINENT CODE]],3,FALSE)</f>
        <v>AS</v>
      </c>
      <c r="G103" s="16" t="s">
        <v>12082</v>
      </c>
      <c r="H103" s="181">
        <v>7598</v>
      </c>
      <c r="I103" s="180">
        <v>18.75</v>
      </c>
      <c r="K103" s="316">
        <f>IFERROR(Table28[[#This Row],[ROUTE COST]]/Table28[[#This Row],[O - DEMAND]],0)</f>
        <v>0</v>
      </c>
      <c r="M103" s="16">
        <f>Table28[[#This Row],[O - DEMAND]]/950</f>
        <v>0</v>
      </c>
      <c r="N103" s="16">
        <f>IFERROR(VLOOKUP(Table28[[#This Row],[ROUTE]],DEMAND!A:F,5,FALSE),0)</f>
        <v>0</v>
      </c>
      <c r="O103" s="16">
        <f>IFERROR(VLOOKUP(Table28[[#This Row],[ROUTE]],DEMAND!A:F,6,FALSE),0)</f>
        <v>0</v>
      </c>
      <c r="P103" s="16">
        <f>ROUNDDOWN(Table28[[#This Row],[R-DEMAND]]/950,0)</f>
        <v>0</v>
      </c>
      <c r="Q103" s="16">
        <f>Table28[[#This Row],[ADD ACC
(475/950)]]*Table28[[#This Row],[Duration
(A359)]]</f>
        <v>0</v>
      </c>
      <c r="R103" s="16">
        <f>IFERROR(VLOOKUP(Table28[[#This Row],[ROUTE]],PRICING!A:B,2,FALSE),0)</f>
        <v>0</v>
      </c>
      <c r="S103" s="16">
        <f>Table28[[#This Row],[C_DEMAND]]-Table28[[#This Row],[R-DEMAND]]</f>
        <v>0</v>
      </c>
      <c r="T103" s="316">
        <f>Table28[[#This Row],[SEATS SOLD]]*Table28[[#This Row],[ECO SEAT]]</f>
        <v>0</v>
      </c>
      <c r="U103" s="316">
        <f>Table28[[#This Row],[SEATS SOLD]]*(IFERROR(VLOOKUP(Table28[[#This Row],[ROUTE]],PRICING!A:C,3,FALSE),0))</f>
        <v>0</v>
      </c>
      <c r="V103" s="316">
        <f>Table28[[#This Row],[SEAT REV]]-Table28[[#This Row],[SEAT REV
(IF IDEAL $)]]</f>
        <v>0</v>
      </c>
      <c r="AA103" s="26" t="s">
        <v>19539</v>
      </c>
      <c r="AB103" s="26" t="s">
        <v>71</v>
      </c>
      <c r="AC103" s="26" t="s">
        <v>5225</v>
      </c>
      <c r="AD103" s="174">
        <v>13347</v>
      </c>
      <c r="AE103" s="26">
        <v>3205</v>
      </c>
      <c r="AF103" s="16">
        <v>3205</v>
      </c>
      <c r="AS103" s="16" t="s">
        <v>142</v>
      </c>
      <c r="AT103" s="16" t="s">
        <v>5107</v>
      </c>
      <c r="AU103" s="16" t="s">
        <v>5108</v>
      </c>
      <c r="AV103" s="16" t="s">
        <v>18892</v>
      </c>
      <c r="AW103" s="16" t="s">
        <v>18885</v>
      </c>
      <c r="AX103" s="16" t="s">
        <v>18955</v>
      </c>
      <c r="AY103" s="385">
        <v>7761</v>
      </c>
    </row>
    <row r="104" spans="1:51" x14ac:dyDescent="0.25">
      <c r="A104" s="16" t="s">
        <v>19545</v>
      </c>
      <c r="B104" s="16" t="s">
        <v>4424</v>
      </c>
      <c r="D104" s="16">
        <v>2</v>
      </c>
      <c r="E104" s="16" t="s">
        <v>11732</v>
      </c>
      <c r="F104" s="16" t="str">
        <f>VLOOKUP(Table28[[#This Row],[Country]],Table10[[COUNTRY NAME]:[CONTINENT CODE]],3,FALSE)</f>
        <v>NA - US</v>
      </c>
      <c r="G104" s="16" t="s">
        <v>13270</v>
      </c>
      <c r="H104" s="181">
        <v>13373</v>
      </c>
      <c r="I104" s="180">
        <v>31.5</v>
      </c>
      <c r="K104" s="316">
        <f>IFERROR(Table28[[#This Row],[ROUTE COST]]/Table28[[#This Row],[O - DEMAND]],0)</f>
        <v>0</v>
      </c>
      <c r="M104" s="180">
        <f>Table28[[#This Row],[O - DEMAND]]/950</f>
        <v>0</v>
      </c>
      <c r="N104" s="16">
        <f>IFERROR(VLOOKUP(Table28[[#This Row],[ROUTE]],DEMAND!A:F,5,FALSE),0)</f>
        <v>0</v>
      </c>
      <c r="O104" s="16">
        <f>IFERROR(VLOOKUP(Table28[[#This Row],[ROUTE]],DEMAND!A:F,6,FALSE),0)</f>
        <v>0</v>
      </c>
      <c r="P104" s="16">
        <f>ROUNDDOWN(Table28[[#This Row],[R-DEMAND]]/950,0)</f>
        <v>0</v>
      </c>
      <c r="Q104" s="16">
        <f>Table28[[#This Row],[ADD ACC
(475/950)]]*Table28[[#This Row],[Duration
(A359)]]</f>
        <v>0</v>
      </c>
      <c r="R104" s="16">
        <f>IFERROR(VLOOKUP(Table28[[#This Row],[ROUTE]],PRICING!A:B,2,FALSE),0)</f>
        <v>0</v>
      </c>
      <c r="S104" s="16">
        <f>Table28[[#This Row],[C_DEMAND]]-Table28[[#This Row],[R-DEMAND]]</f>
        <v>0</v>
      </c>
      <c r="T104" s="316">
        <f>Table28[[#This Row],[SEATS SOLD]]*Table28[[#This Row],[ECO SEAT]]</f>
        <v>0</v>
      </c>
      <c r="U104" s="316">
        <f>Table28[[#This Row],[SEATS SOLD]]*(IFERROR(VLOOKUP(Table28[[#This Row],[ROUTE]],PRICING!A:C,3,FALSE),0))</f>
        <v>0</v>
      </c>
      <c r="V104" s="316">
        <f>Table28[[#This Row],[SEAT REV]]-Table28[[#This Row],[SEAT REV
(IF IDEAL $)]]</f>
        <v>0</v>
      </c>
      <c r="AA104" s="26" t="s">
        <v>19100</v>
      </c>
      <c r="AB104" s="26" t="s">
        <v>71</v>
      </c>
      <c r="AC104" s="26" t="s">
        <v>286</v>
      </c>
      <c r="AD104" s="174">
        <v>7791</v>
      </c>
      <c r="AE104" s="26">
        <v>2938</v>
      </c>
      <c r="AF104" s="16">
        <v>2938</v>
      </c>
      <c r="AS104" s="16" t="s">
        <v>14</v>
      </c>
      <c r="AT104" s="16" t="s">
        <v>18115</v>
      </c>
      <c r="AU104" s="16" t="s">
        <v>5319</v>
      </c>
      <c r="AV104" s="16" t="s">
        <v>18878</v>
      </c>
      <c r="AX104" s="16" t="s">
        <v>18955</v>
      </c>
      <c r="AY104" s="385">
        <v>7763</v>
      </c>
    </row>
    <row r="105" spans="1:51" x14ac:dyDescent="0.25">
      <c r="A105" s="16" t="s">
        <v>19625</v>
      </c>
      <c r="B105" s="16" t="s">
        <v>3831</v>
      </c>
      <c r="E105" s="16" t="s">
        <v>11732</v>
      </c>
      <c r="F105" s="16" t="str">
        <f>VLOOKUP(Table28[[#This Row],[Country]],Table10[[COUNTRY NAME]:[CONTINENT CODE]],3,FALSE)</f>
        <v>NA - US</v>
      </c>
      <c r="G105" s="16" t="s">
        <v>16961</v>
      </c>
      <c r="H105" s="181">
        <v>13978</v>
      </c>
      <c r="I105" s="180">
        <v>32.75</v>
      </c>
      <c r="K105" s="316">
        <f>IFERROR(Table28[[#This Row],[ROUTE COST]]/Table28[[#This Row],[O - DEMAND]],0)</f>
        <v>0</v>
      </c>
      <c r="M105" s="180">
        <f>Table28[[#This Row],[O - DEMAND]]/950</f>
        <v>0</v>
      </c>
      <c r="N105" s="16">
        <f>IFERROR(VLOOKUP(Table28[[#This Row],[ROUTE]],DEMAND!A:F,5,FALSE),0)</f>
        <v>0</v>
      </c>
      <c r="O105" s="16">
        <f>IFERROR(VLOOKUP(Table28[[#This Row],[ROUTE]],DEMAND!A:F,6,FALSE),0)</f>
        <v>0</v>
      </c>
      <c r="P105" s="16">
        <f>ROUNDDOWN(Table28[[#This Row],[R-DEMAND]]/950,0)</f>
        <v>0</v>
      </c>
      <c r="Q105" s="16">
        <f>Table28[[#This Row],[ADD ACC
(475/950)]]*Table28[[#This Row],[Duration
(A359)]]</f>
        <v>0</v>
      </c>
      <c r="R105" s="16">
        <f>IFERROR(VLOOKUP(Table28[[#This Row],[ROUTE]],PRICING!A:B,2,FALSE),0)</f>
        <v>0</v>
      </c>
      <c r="S105" s="16">
        <f>Table28[[#This Row],[C_DEMAND]]-Table28[[#This Row],[R-DEMAND]]</f>
        <v>0</v>
      </c>
      <c r="T105" s="316">
        <f>Table28[[#This Row],[SEATS SOLD]]*Table28[[#This Row],[ECO SEAT]]</f>
        <v>0</v>
      </c>
      <c r="U105" s="316">
        <f>Table28[[#This Row],[SEATS SOLD]]*(IFERROR(VLOOKUP(Table28[[#This Row],[ROUTE]],PRICING!A:C,3,FALSE),0))</f>
        <v>0</v>
      </c>
      <c r="V105" s="316">
        <f>Table28[[#This Row],[SEAT REV]]-Table28[[#This Row],[SEAT REV
(IF IDEAL $)]]</f>
        <v>0</v>
      </c>
      <c r="AA105" s="26" t="s">
        <v>19722</v>
      </c>
      <c r="AB105" s="26" t="s">
        <v>71</v>
      </c>
      <c r="AC105" s="26" t="s">
        <v>5465</v>
      </c>
      <c r="AD105" s="174">
        <v>14701</v>
      </c>
      <c r="AE105" s="26">
        <v>2277</v>
      </c>
      <c r="AF105" s="16">
        <v>2277</v>
      </c>
      <c r="AS105" s="16" t="s">
        <v>142</v>
      </c>
      <c r="AT105" s="16" t="s">
        <v>8110</v>
      </c>
      <c r="AU105" s="16" t="s">
        <v>4943</v>
      </c>
      <c r="AV105" s="16" t="s">
        <v>18892</v>
      </c>
      <c r="AW105" s="16" t="s">
        <v>18885</v>
      </c>
      <c r="AX105" s="16" t="s">
        <v>18955</v>
      </c>
      <c r="AY105" s="385">
        <v>7769</v>
      </c>
    </row>
    <row r="106" spans="1:51" x14ac:dyDescent="0.25">
      <c r="A106" s="16" t="s">
        <v>19430</v>
      </c>
      <c r="B106" s="16" t="s">
        <v>2614</v>
      </c>
      <c r="D106" s="16">
        <v>2</v>
      </c>
      <c r="E106" s="16" t="s">
        <v>2612</v>
      </c>
      <c r="F106" s="16" t="str">
        <f>VLOOKUP(Table28[[#This Row],[Country]],Table10[[COUNTRY NAME]:[CONTINENT CODE]],3,FALSE)</f>
        <v>AF</v>
      </c>
      <c r="G106" s="16" t="s">
        <v>11891</v>
      </c>
      <c r="H106" s="181">
        <v>12665</v>
      </c>
      <c r="I106" s="180">
        <v>30</v>
      </c>
      <c r="K106" s="316">
        <f>IFERROR(Table28[[#This Row],[ROUTE COST]]/Table28[[#This Row],[O - DEMAND]],0)</f>
        <v>0</v>
      </c>
      <c r="M106" s="16">
        <f>Table28[[#This Row],[O - DEMAND]]/950</f>
        <v>0</v>
      </c>
      <c r="N106" s="16">
        <f>IFERROR(VLOOKUP(Table28[[#This Row],[ROUTE]],DEMAND!A:F,5,FALSE),0)</f>
        <v>0</v>
      </c>
      <c r="O106" s="16">
        <f>IFERROR(VLOOKUP(Table28[[#This Row],[ROUTE]],DEMAND!A:F,6,FALSE),0)</f>
        <v>0</v>
      </c>
      <c r="P106" s="16">
        <f>ROUNDDOWN(Table28[[#This Row],[R-DEMAND]]/950,0)</f>
        <v>0</v>
      </c>
      <c r="Q106" s="16">
        <f>Table28[[#This Row],[ADD ACC
(475/950)]]*Table28[[#This Row],[Duration
(A359)]]</f>
        <v>0</v>
      </c>
      <c r="R106" s="16">
        <f>IFERROR(VLOOKUP(Table28[[#This Row],[ROUTE]],PRICING!A:B,2,FALSE),0)</f>
        <v>0</v>
      </c>
      <c r="S106" s="16">
        <f>Table28[[#This Row],[C_DEMAND]]-Table28[[#This Row],[R-DEMAND]]</f>
        <v>0</v>
      </c>
      <c r="T106" s="316">
        <f>Table28[[#This Row],[SEATS SOLD]]*Table28[[#This Row],[ECO SEAT]]</f>
        <v>0</v>
      </c>
      <c r="U106" s="316">
        <f>Table28[[#This Row],[SEATS SOLD]]*(IFERROR(VLOOKUP(Table28[[#This Row],[ROUTE]],PRICING!A:C,3,FALSE),0))</f>
        <v>0</v>
      </c>
      <c r="V106" s="316">
        <f>Table28[[#This Row],[SEAT REV]]-Table28[[#This Row],[SEAT REV
(IF IDEAL $)]]</f>
        <v>0</v>
      </c>
      <c r="AA106" s="26" t="s">
        <v>19340</v>
      </c>
      <c r="AB106" s="26" t="s">
        <v>71</v>
      </c>
      <c r="AC106" s="26" t="s">
        <v>3856</v>
      </c>
      <c r="AD106" s="174">
        <v>11961</v>
      </c>
      <c r="AE106" s="26">
        <v>2423</v>
      </c>
      <c r="AF106" s="16">
        <v>2423</v>
      </c>
      <c r="AS106" s="16" t="s">
        <v>14</v>
      </c>
      <c r="AT106" s="16" t="s">
        <v>16813</v>
      </c>
      <c r="AU106" s="16" t="s">
        <v>2776</v>
      </c>
      <c r="AV106" s="16" t="s">
        <v>18878</v>
      </c>
      <c r="AW106" s="16" t="s">
        <v>18879</v>
      </c>
      <c r="AX106" s="16" t="s">
        <v>18955</v>
      </c>
      <c r="AY106" s="385">
        <v>7778</v>
      </c>
    </row>
    <row r="107" spans="1:51" x14ac:dyDescent="0.25">
      <c r="A107" s="16" t="s">
        <v>19769</v>
      </c>
      <c r="B107" s="16" t="s">
        <v>5128</v>
      </c>
      <c r="D107" s="16">
        <v>3</v>
      </c>
      <c r="E107" s="16" t="s">
        <v>700</v>
      </c>
      <c r="F107" s="16" t="str">
        <f>VLOOKUP(Table28[[#This Row],[Country]],Table10[[COUNTRY NAME]:[CONTINENT CODE]],3,FALSE)</f>
        <v>AS</v>
      </c>
      <c r="G107" s="16" t="s">
        <v>11849</v>
      </c>
      <c r="H107" s="181">
        <v>14975</v>
      </c>
      <c r="I107" s="180">
        <v>35</v>
      </c>
      <c r="K107" s="316">
        <f>IFERROR(Table28[[#This Row],[ROUTE COST]]/Table28[[#This Row],[O - DEMAND]],0)</f>
        <v>0</v>
      </c>
      <c r="M107" s="16">
        <f>Table28[[#This Row],[O - DEMAND]]/950</f>
        <v>0</v>
      </c>
      <c r="N107" s="16">
        <f>IFERROR(VLOOKUP(Table28[[#This Row],[ROUTE]],DEMAND!A:F,5,FALSE),0)</f>
        <v>0</v>
      </c>
      <c r="O107" s="16">
        <f>IFERROR(VLOOKUP(Table28[[#This Row],[ROUTE]],DEMAND!A:F,6,FALSE),0)</f>
        <v>0</v>
      </c>
      <c r="P107" s="16">
        <f>ROUNDDOWN(Table28[[#This Row],[R-DEMAND]]/950,0)</f>
        <v>0</v>
      </c>
      <c r="Q107" s="16">
        <f>Table28[[#This Row],[ADD ACC
(475/950)]]*Table28[[#This Row],[Duration
(A359)]]</f>
        <v>0</v>
      </c>
      <c r="R107" s="16">
        <f>IFERROR(VLOOKUP(Table28[[#This Row],[ROUTE]],PRICING!A:B,2,FALSE),0)</f>
        <v>0</v>
      </c>
      <c r="S107" s="16">
        <f>Table28[[#This Row],[C_DEMAND]]-Table28[[#This Row],[R-DEMAND]]</f>
        <v>0</v>
      </c>
      <c r="T107" s="316">
        <f>Table28[[#This Row],[SEATS SOLD]]*Table28[[#This Row],[ECO SEAT]]</f>
        <v>0</v>
      </c>
      <c r="U107" s="316">
        <f>Table28[[#This Row],[SEATS SOLD]]*(IFERROR(VLOOKUP(Table28[[#This Row],[ROUTE]],PRICING!A:C,3,FALSE),0))</f>
        <v>0</v>
      </c>
      <c r="V107" s="316">
        <f>Table28[[#This Row],[SEAT REV]]-Table28[[#This Row],[SEAT REV
(IF IDEAL $)]]</f>
        <v>0</v>
      </c>
      <c r="AA107" s="26" t="s">
        <v>19106</v>
      </c>
      <c r="AB107" s="26" t="s">
        <v>71</v>
      </c>
      <c r="AC107" s="26" t="s">
        <v>279</v>
      </c>
      <c r="AD107" s="174">
        <v>7834</v>
      </c>
      <c r="AE107" s="26">
        <v>3099</v>
      </c>
      <c r="AF107" s="16">
        <v>3099</v>
      </c>
      <c r="AS107" s="16" t="s">
        <v>142</v>
      </c>
      <c r="AT107" s="16" t="s">
        <v>11072</v>
      </c>
      <c r="AU107" s="16" t="s">
        <v>219</v>
      </c>
      <c r="AV107" s="16" t="s">
        <v>18884</v>
      </c>
      <c r="AW107" s="16" t="s">
        <v>18899</v>
      </c>
      <c r="AX107" s="16" t="s">
        <v>18955</v>
      </c>
      <c r="AY107" s="385">
        <v>7784</v>
      </c>
    </row>
    <row r="108" spans="1:51" x14ac:dyDescent="0.25">
      <c r="A108" s="16" t="s">
        <v>19459</v>
      </c>
      <c r="B108" s="16" t="s">
        <v>4638</v>
      </c>
      <c r="D108" s="16">
        <v>2</v>
      </c>
      <c r="E108" s="16" t="s">
        <v>1749</v>
      </c>
      <c r="F108" s="16" t="str">
        <f>VLOOKUP(Table28[[#This Row],[Country]],Table10[[COUNTRY NAME]:[CONTINENT CODE]],3,FALSE)</f>
        <v>NA</v>
      </c>
      <c r="G108" s="16" t="s">
        <v>13222</v>
      </c>
      <c r="H108" s="181">
        <v>12849</v>
      </c>
      <c r="I108" s="180">
        <v>30.25</v>
      </c>
      <c r="K108" s="316">
        <f>IFERROR(Table28[[#This Row],[ROUTE COST]]/Table28[[#This Row],[O - DEMAND]],0)</f>
        <v>0</v>
      </c>
      <c r="M108" s="16">
        <f>Table28[[#This Row],[O - DEMAND]]/950</f>
        <v>0</v>
      </c>
      <c r="N108" s="16">
        <f>IFERROR(VLOOKUP(Table28[[#This Row],[ROUTE]],DEMAND!A:F,5,FALSE),0)</f>
        <v>0</v>
      </c>
      <c r="O108" s="16">
        <f>IFERROR(VLOOKUP(Table28[[#This Row],[ROUTE]],DEMAND!A:F,6,FALSE),0)</f>
        <v>0</v>
      </c>
      <c r="P108" s="16">
        <f>ROUNDDOWN(Table28[[#This Row],[R-DEMAND]]/950,0)</f>
        <v>0</v>
      </c>
      <c r="Q108" s="16">
        <f>Table28[[#This Row],[ADD ACC
(475/950)]]*Table28[[#This Row],[Duration
(A359)]]</f>
        <v>0</v>
      </c>
      <c r="R108" s="16">
        <f>IFERROR(VLOOKUP(Table28[[#This Row],[ROUTE]],PRICING!A:B,2,FALSE),0)</f>
        <v>0</v>
      </c>
      <c r="S108" s="16">
        <f>Table28[[#This Row],[C_DEMAND]]-Table28[[#This Row],[R-DEMAND]]</f>
        <v>0</v>
      </c>
      <c r="T108" s="316">
        <f>Table28[[#This Row],[SEATS SOLD]]*Table28[[#This Row],[ECO SEAT]]</f>
        <v>0</v>
      </c>
      <c r="U108" s="316">
        <f>Table28[[#This Row],[SEATS SOLD]]*(IFERROR(VLOOKUP(Table28[[#This Row],[ROUTE]],PRICING!A:C,3,FALSE),0))</f>
        <v>0</v>
      </c>
      <c r="V108" s="316">
        <f>Table28[[#This Row],[SEAT REV]]-Table28[[#This Row],[SEAT REV
(IF IDEAL $)]]</f>
        <v>0</v>
      </c>
      <c r="AA108" s="26" t="s">
        <v>19152</v>
      </c>
      <c r="AB108" s="26" t="s">
        <v>71</v>
      </c>
      <c r="AC108" s="26" t="s">
        <v>5008</v>
      </c>
      <c r="AD108" s="174">
        <v>8487</v>
      </c>
      <c r="AE108" s="26">
        <v>2158</v>
      </c>
      <c r="AF108" s="16">
        <v>2158</v>
      </c>
      <c r="AS108" s="16" t="s">
        <v>1314</v>
      </c>
      <c r="AT108" s="16" t="s">
        <v>12083</v>
      </c>
      <c r="AU108" s="16" t="s">
        <v>286</v>
      </c>
      <c r="AV108" s="16" t="s">
        <v>18884</v>
      </c>
      <c r="AW108" s="16" t="s">
        <v>18885</v>
      </c>
      <c r="AX108" s="16" t="s">
        <v>18955</v>
      </c>
      <c r="AY108" s="385">
        <v>7791</v>
      </c>
    </row>
    <row r="109" spans="1:51" x14ac:dyDescent="0.25">
      <c r="A109" s="16" t="s">
        <v>19087</v>
      </c>
      <c r="B109" s="16" t="s">
        <v>415</v>
      </c>
      <c r="C109" s="16" t="s">
        <v>467</v>
      </c>
      <c r="D109" s="16">
        <v>5</v>
      </c>
      <c r="E109" s="16" t="s">
        <v>332</v>
      </c>
      <c r="F109" s="16" t="str">
        <f>VLOOKUP(Table28[[#This Row],[Country]],Table10[[COUNTRY NAME]:[CONTINENT CODE]],3,FALSE)</f>
        <v>AS</v>
      </c>
      <c r="G109" s="16" t="s">
        <v>11105</v>
      </c>
      <c r="H109" s="181">
        <v>7516</v>
      </c>
      <c r="I109" s="180">
        <v>18.75</v>
      </c>
      <c r="K109" s="316">
        <f>IFERROR(Table28[[#This Row],[ROUTE COST]]/Table28[[#This Row],[O - DEMAND]],0)</f>
        <v>0</v>
      </c>
      <c r="M109" s="16">
        <f>Table28[[#This Row],[O - DEMAND]]/950</f>
        <v>0</v>
      </c>
      <c r="N109" s="16">
        <f>IFERROR(VLOOKUP(Table28[[#This Row],[ROUTE]],DEMAND!A:F,5,FALSE),0)</f>
        <v>3740</v>
      </c>
      <c r="O109" s="16">
        <f>IFERROR(VLOOKUP(Table28[[#This Row],[ROUTE]],DEMAND!A:F,6,FALSE),0)</f>
        <v>890</v>
      </c>
      <c r="P109" s="16">
        <f>ROUNDDOWN(Table28[[#This Row],[R-DEMAND]]/950,0)</f>
        <v>0</v>
      </c>
      <c r="Q109" s="16">
        <f>Table28[[#This Row],[ADD ACC
(475/950)]]*Table28[[#This Row],[Duration
(A359)]]</f>
        <v>0</v>
      </c>
      <c r="R109" s="16">
        <f>IFERROR(VLOOKUP(Table28[[#This Row],[ROUTE]],PRICING!A:B,2,FALSE),0)</f>
        <v>0</v>
      </c>
      <c r="S109" s="16">
        <f>Table28[[#This Row],[C_DEMAND]]-Table28[[#This Row],[R-DEMAND]]</f>
        <v>2850</v>
      </c>
      <c r="T109" s="316">
        <f>Table28[[#This Row],[SEATS SOLD]]*Table28[[#This Row],[ECO SEAT]]</f>
        <v>0</v>
      </c>
      <c r="U109" s="316">
        <f>Table28[[#This Row],[SEATS SOLD]]*(IFERROR(VLOOKUP(Table28[[#This Row],[ROUTE]],PRICING!A:C,3,FALSE),0))</f>
        <v>0</v>
      </c>
      <c r="V109" s="316">
        <f>Table28[[#This Row],[SEAT REV]]-Table28[[#This Row],[SEAT REV
(IF IDEAL $)]]</f>
        <v>0</v>
      </c>
      <c r="AA109" s="26" t="s">
        <v>19081</v>
      </c>
      <c r="AB109" s="26" t="s">
        <v>71</v>
      </c>
      <c r="AC109" s="26" t="s">
        <v>277</v>
      </c>
      <c r="AD109" s="174">
        <v>7395</v>
      </c>
      <c r="AE109" s="26">
        <v>3456</v>
      </c>
      <c r="AF109" s="16">
        <v>3456</v>
      </c>
      <c r="AS109" s="16" t="s">
        <v>142</v>
      </c>
      <c r="AT109" s="16" t="s">
        <v>11054</v>
      </c>
      <c r="AU109" s="16" t="s">
        <v>149</v>
      </c>
      <c r="AV109" s="16" t="s">
        <v>18884</v>
      </c>
      <c r="AW109" s="16" t="s">
        <v>18899</v>
      </c>
      <c r="AX109" s="16" t="s">
        <v>18955</v>
      </c>
      <c r="AY109" s="385">
        <v>7797</v>
      </c>
    </row>
    <row r="110" spans="1:51" x14ac:dyDescent="0.25">
      <c r="A110" s="16" t="s">
        <v>19211</v>
      </c>
      <c r="B110" s="16" t="s">
        <v>414</v>
      </c>
      <c r="C110" s="16" t="s">
        <v>467</v>
      </c>
      <c r="D110" s="16">
        <v>4</v>
      </c>
      <c r="E110" s="16" t="s">
        <v>1070</v>
      </c>
      <c r="F110" s="16" t="str">
        <f>VLOOKUP(Table28[[#This Row],[Country]],Table10[[COUNTRY NAME]:[CONTINENT CODE]],3,FALSE)</f>
        <v>AS</v>
      </c>
      <c r="G110" s="16" t="s">
        <v>12064</v>
      </c>
      <c r="H110" s="181">
        <v>9357</v>
      </c>
      <c r="I110" s="180">
        <v>22.75</v>
      </c>
      <c r="K110" s="316">
        <f>IFERROR(Table28[[#This Row],[ROUTE COST]]/Table28[[#This Row],[O - DEMAND]],0)</f>
        <v>0</v>
      </c>
      <c r="M110" s="16">
        <f>Table28[[#This Row],[O - DEMAND]]/950</f>
        <v>0</v>
      </c>
      <c r="N110" s="16">
        <f>IFERROR(VLOOKUP(Table28[[#This Row],[ROUTE]],DEMAND!A:F,5,FALSE),0)</f>
        <v>3814</v>
      </c>
      <c r="O110" s="16">
        <f>IFERROR(VLOOKUP(Table28[[#This Row],[ROUTE]],DEMAND!A:F,6,FALSE),0)</f>
        <v>14</v>
      </c>
      <c r="P110" s="16">
        <f>ROUNDDOWN(Table28[[#This Row],[R-DEMAND]]/950,0)</f>
        <v>0</v>
      </c>
      <c r="Q110" s="16">
        <f>Table28[[#This Row],[ADD ACC
(475/950)]]*Table28[[#This Row],[Duration
(A359)]]</f>
        <v>0</v>
      </c>
      <c r="R110" s="16">
        <f>IFERROR(VLOOKUP(Table28[[#This Row],[ROUTE]],PRICING!A:B,2,FALSE),0)</f>
        <v>0</v>
      </c>
      <c r="S110" s="16">
        <f>Table28[[#This Row],[C_DEMAND]]-Table28[[#This Row],[R-DEMAND]]</f>
        <v>3800</v>
      </c>
      <c r="T110" s="316">
        <f>Table28[[#This Row],[SEATS SOLD]]*Table28[[#This Row],[ECO SEAT]]</f>
        <v>0</v>
      </c>
      <c r="U110" s="316">
        <f>Table28[[#This Row],[SEATS SOLD]]*(IFERROR(VLOOKUP(Table28[[#This Row],[ROUTE]],PRICING!A:C,3,FALSE),0))</f>
        <v>0</v>
      </c>
      <c r="V110" s="316">
        <f>Table28[[#This Row],[SEAT REV]]-Table28[[#This Row],[SEAT REV
(IF IDEAL $)]]</f>
        <v>0</v>
      </c>
      <c r="AA110" s="26" t="s">
        <v>19072</v>
      </c>
      <c r="AB110" s="26" t="s">
        <v>71</v>
      </c>
      <c r="AC110" s="26" t="s">
        <v>275</v>
      </c>
      <c r="AD110" s="174">
        <v>7268</v>
      </c>
      <c r="AE110" s="26">
        <v>2978</v>
      </c>
      <c r="AF110" s="16">
        <v>2978</v>
      </c>
      <c r="AS110" s="16" t="s">
        <v>142</v>
      </c>
      <c r="AT110" s="16" t="s">
        <v>9777</v>
      </c>
      <c r="AU110" s="16" t="s">
        <v>5661</v>
      </c>
      <c r="AV110" s="16" t="s">
        <v>18892</v>
      </c>
      <c r="AW110" s="16" t="s">
        <v>18899</v>
      </c>
      <c r="AX110" s="16" t="s">
        <v>18955</v>
      </c>
      <c r="AY110" s="385">
        <v>7816</v>
      </c>
    </row>
    <row r="111" spans="1:51" x14ac:dyDescent="0.25">
      <c r="A111" s="16" t="s">
        <v>19714</v>
      </c>
      <c r="B111" s="16" t="s">
        <v>2207</v>
      </c>
      <c r="D111" s="16">
        <v>1</v>
      </c>
      <c r="E111" s="16" t="s">
        <v>11732</v>
      </c>
      <c r="F111" s="16" t="str">
        <f>VLOOKUP(Table28[[#This Row],[Country]],Table10[[COUNTRY NAME]:[CONTINENT CODE]],3,FALSE)</f>
        <v>NA - US</v>
      </c>
      <c r="G111" s="16" t="s">
        <v>13317</v>
      </c>
      <c r="H111" s="181">
        <v>14624</v>
      </c>
      <c r="I111" s="180">
        <v>34.25</v>
      </c>
      <c r="K111" s="316">
        <f>IFERROR(Table28[[#This Row],[ROUTE COST]]/Table28[[#This Row],[O - DEMAND]],0)</f>
        <v>0</v>
      </c>
      <c r="M111" s="180">
        <f>Table28[[#This Row],[O - DEMAND]]/950</f>
        <v>0</v>
      </c>
      <c r="N111" s="16">
        <f>IFERROR(VLOOKUP(Table28[[#This Row],[ROUTE]],DEMAND!A:F,5,FALSE),0)</f>
        <v>0</v>
      </c>
      <c r="O111" s="16">
        <f>IFERROR(VLOOKUP(Table28[[#This Row],[ROUTE]],DEMAND!A:F,6,FALSE),0)</f>
        <v>0</v>
      </c>
      <c r="P111" s="16">
        <f>ROUNDDOWN(Table28[[#This Row],[R-DEMAND]]/950,0)</f>
        <v>0</v>
      </c>
      <c r="Q111" s="16">
        <f>Table28[[#This Row],[ADD ACC
(475/950)]]*Table28[[#This Row],[Duration
(A359)]]</f>
        <v>0</v>
      </c>
      <c r="R111" s="16">
        <f>IFERROR(VLOOKUP(Table28[[#This Row],[ROUTE]],PRICING!A:B,2,FALSE),0)</f>
        <v>0</v>
      </c>
      <c r="S111" s="16">
        <f>Table28[[#This Row],[C_DEMAND]]-Table28[[#This Row],[R-DEMAND]]</f>
        <v>0</v>
      </c>
      <c r="T111" s="316">
        <f>Table28[[#This Row],[SEATS SOLD]]*Table28[[#This Row],[ECO SEAT]]</f>
        <v>0</v>
      </c>
      <c r="U111" s="316">
        <f>Table28[[#This Row],[SEATS SOLD]]*(IFERROR(VLOOKUP(Table28[[#This Row],[ROUTE]],PRICING!A:C,3,FALSE),0))</f>
        <v>0</v>
      </c>
      <c r="V111" s="316">
        <f>Table28[[#This Row],[SEAT REV]]-Table28[[#This Row],[SEAT REV
(IF IDEAL $)]]</f>
        <v>0</v>
      </c>
      <c r="AA111" s="26" t="s">
        <v>19104</v>
      </c>
      <c r="AB111" s="26" t="s">
        <v>71</v>
      </c>
      <c r="AC111" s="26" t="s">
        <v>270</v>
      </c>
      <c r="AD111" s="174">
        <v>7820</v>
      </c>
      <c r="AE111" s="26">
        <v>2912</v>
      </c>
      <c r="AF111" s="16">
        <v>2912</v>
      </c>
      <c r="AS111" s="16" t="s">
        <v>142</v>
      </c>
      <c r="AT111" s="16" t="s">
        <v>11076</v>
      </c>
      <c r="AU111" s="16" t="s">
        <v>249</v>
      </c>
      <c r="AV111" s="16" t="s">
        <v>18892</v>
      </c>
      <c r="AW111" s="16" t="s">
        <v>18899</v>
      </c>
      <c r="AX111" s="16" t="s">
        <v>18955</v>
      </c>
      <c r="AY111" s="385">
        <v>7818</v>
      </c>
    </row>
    <row r="112" spans="1:51" x14ac:dyDescent="0.25">
      <c r="A112" s="16" t="s">
        <v>19061</v>
      </c>
      <c r="B112" s="16" t="s">
        <v>412</v>
      </c>
      <c r="D112" s="16">
        <v>2</v>
      </c>
      <c r="E112" s="16" t="s">
        <v>1314</v>
      </c>
      <c r="F112" s="16" t="str">
        <f>VLOOKUP(Table28[[#This Row],[Country]],Table10[[COUNTRY NAME]:[CONTINENT CODE]],3,FALSE)</f>
        <v>AS</v>
      </c>
      <c r="G112" s="16" t="s">
        <v>12101</v>
      </c>
      <c r="H112" s="181">
        <v>6900</v>
      </c>
      <c r="I112" s="180">
        <v>17.25</v>
      </c>
      <c r="K112" s="316">
        <f>IFERROR(Table28[[#This Row],[ROUTE COST]]/Table28[[#This Row],[O - DEMAND]],0)</f>
        <v>0</v>
      </c>
      <c r="M112" s="16">
        <f>Table28[[#This Row],[O - DEMAND]]/950</f>
        <v>0</v>
      </c>
      <c r="N112" s="16">
        <f>IFERROR(VLOOKUP(Table28[[#This Row],[ROUTE]],DEMAND!A:F,5,FALSE),0)</f>
        <v>0</v>
      </c>
      <c r="O112" s="16">
        <f>IFERROR(VLOOKUP(Table28[[#This Row],[ROUTE]],DEMAND!A:F,6,FALSE),0)</f>
        <v>0</v>
      </c>
      <c r="P112" s="16">
        <f>ROUNDDOWN(Table28[[#This Row],[R-DEMAND]]/950,0)</f>
        <v>0</v>
      </c>
      <c r="Q112" s="16">
        <f>Table28[[#This Row],[ADD ACC
(475/950)]]*Table28[[#This Row],[Duration
(A359)]]</f>
        <v>0</v>
      </c>
      <c r="R112" s="16">
        <f>IFERROR(VLOOKUP(Table28[[#This Row],[ROUTE]],PRICING!A:B,2,FALSE),0)</f>
        <v>0</v>
      </c>
      <c r="S112" s="16">
        <f>Table28[[#This Row],[C_DEMAND]]-Table28[[#This Row],[R-DEMAND]]</f>
        <v>0</v>
      </c>
      <c r="T112" s="316">
        <f>Table28[[#This Row],[SEATS SOLD]]*Table28[[#This Row],[ECO SEAT]]</f>
        <v>0</v>
      </c>
      <c r="U112" s="316">
        <f>Table28[[#This Row],[SEATS SOLD]]*(IFERROR(VLOOKUP(Table28[[#This Row],[ROUTE]],PRICING!A:C,3,FALSE),0))</f>
        <v>0</v>
      </c>
      <c r="V112" s="316">
        <f>Table28[[#This Row],[SEAT REV]]-Table28[[#This Row],[SEAT REV
(IF IDEAL $)]]</f>
        <v>0</v>
      </c>
      <c r="AA112" s="26" t="s">
        <v>19131</v>
      </c>
      <c r="AB112" s="26" t="s">
        <v>71</v>
      </c>
      <c r="AC112" s="26" t="s">
        <v>485</v>
      </c>
      <c r="AD112" s="174">
        <v>8172</v>
      </c>
      <c r="AE112" s="26">
        <v>2128</v>
      </c>
      <c r="AF112" s="16">
        <v>2128</v>
      </c>
      <c r="AS112" s="16" t="s">
        <v>142</v>
      </c>
      <c r="AT112" s="16" t="s">
        <v>269</v>
      </c>
      <c r="AU112" s="16" t="s">
        <v>270</v>
      </c>
      <c r="AV112" s="16" t="s">
        <v>18892</v>
      </c>
      <c r="AW112" s="16" t="s">
        <v>18918</v>
      </c>
      <c r="AX112" s="16" t="s">
        <v>18955</v>
      </c>
      <c r="AY112" s="385">
        <v>7820</v>
      </c>
    </row>
    <row r="113" spans="1:51" x14ac:dyDescent="0.25">
      <c r="A113" s="16" t="s">
        <v>19740</v>
      </c>
      <c r="B113" s="16" t="s">
        <v>5551</v>
      </c>
      <c r="D113" s="16">
        <v>4</v>
      </c>
      <c r="E113" s="16" t="s">
        <v>11732</v>
      </c>
      <c r="F113" s="16" t="str">
        <f>VLOOKUP(Table28[[#This Row],[Country]],Table10[[COUNTRY NAME]:[CONTINENT CODE]],3,FALSE)</f>
        <v>NA - US</v>
      </c>
      <c r="G113" s="16" t="s">
        <v>13336</v>
      </c>
      <c r="H113" s="181">
        <v>14825</v>
      </c>
      <c r="I113" s="180">
        <v>34.75</v>
      </c>
      <c r="K113" s="316">
        <f>IFERROR(Table28[[#This Row],[ROUTE COST]]/Table28[[#This Row],[O - DEMAND]],0)</f>
        <v>0</v>
      </c>
      <c r="M113" s="180">
        <f>Table28[[#This Row],[O - DEMAND]]/950</f>
        <v>0</v>
      </c>
      <c r="N113" s="16">
        <f>IFERROR(VLOOKUP(Table28[[#This Row],[ROUTE]],DEMAND!A:F,5,FALSE),0)</f>
        <v>0</v>
      </c>
      <c r="O113" s="16">
        <f>IFERROR(VLOOKUP(Table28[[#This Row],[ROUTE]],DEMAND!A:F,6,FALSE),0)</f>
        <v>0</v>
      </c>
      <c r="P113" s="16">
        <f>ROUNDDOWN(Table28[[#This Row],[R-DEMAND]]/950,0)</f>
        <v>0</v>
      </c>
      <c r="Q113" s="16">
        <f>Table28[[#This Row],[ADD ACC
(475/950)]]*Table28[[#This Row],[Duration
(A359)]]</f>
        <v>0</v>
      </c>
      <c r="R113" s="16">
        <f>IFERROR(VLOOKUP(Table28[[#This Row],[ROUTE]],PRICING!A:B,2,FALSE),0)</f>
        <v>0</v>
      </c>
      <c r="S113" s="16">
        <f>Table28[[#This Row],[C_DEMAND]]-Table28[[#This Row],[R-DEMAND]]</f>
        <v>0</v>
      </c>
      <c r="T113" s="316">
        <f>Table28[[#This Row],[SEATS SOLD]]*Table28[[#This Row],[ECO SEAT]]</f>
        <v>0</v>
      </c>
      <c r="U113" s="316">
        <f>Table28[[#This Row],[SEATS SOLD]]*(IFERROR(VLOOKUP(Table28[[#This Row],[ROUTE]],PRICING!A:C,3,FALSE),0))</f>
        <v>0</v>
      </c>
      <c r="V113" s="316">
        <f>Table28[[#This Row],[SEAT REV]]-Table28[[#This Row],[SEAT REV
(IF IDEAL $)]]</f>
        <v>0</v>
      </c>
      <c r="AA113" s="26" t="s">
        <v>19304</v>
      </c>
      <c r="AB113" s="26" t="s">
        <v>71</v>
      </c>
      <c r="AC113" s="26" t="s">
        <v>266</v>
      </c>
      <c r="AD113" s="174">
        <v>11448</v>
      </c>
      <c r="AE113" s="26">
        <v>3694</v>
      </c>
      <c r="AF113" s="16">
        <v>3694</v>
      </c>
      <c r="AS113" s="16" t="s">
        <v>14</v>
      </c>
      <c r="AT113" s="16" t="s">
        <v>278</v>
      </c>
      <c r="AU113" s="16" t="s">
        <v>279</v>
      </c>
      <c r="AV113" s="16" t="s">
        <v>18884</v>
      </c>
      <c r="AW113" s="16" t="s">
        <v>18899</v>
      </c>
      <c r="AX113" s="16" t="s">
        <v>18955</v>
      </c>
      <c r="AY113" s="385">
        <v>7834</v>
      </c>
    </row>
    <row r="114" spans="1:51" x14ac:dyDescent="0.25">
      <c r="A114" s="16" t="s">
        <v>19356</v>
      </c>
      <c r="B114" s="16" t="s">
        <v>4410</v>
      </c>
      <c r="D114" s="16">
        <v>2</v>
      </c>
      <c r="E114" s="16" t="s">
        <v>502</v>
      </c>
      <c r="F114" s="16" t="str">
        <f>VLOOKUP(Table28[[#This Row],[Country]],Table10[[COUNTRY NAME]:[CONTINENT CODE]],3,FALSE)</f>
        <v>AS</v>
      </c>
      <c r="G114" s="16" t="s">
        <v>11974</v>
      </c>
      <c r="H114" s="181">
        <v>12066</v>
      </c>
      <c r="I114" s="180">
        <v>28.5</v>
      </c>
      <c r="K114" s="316">
        <f>IFERROR(Table28[[#This Row],[ROUTE COST]]/Table28[[#This Row],[O - DEMAND]],0)</f>
        <v>0</v>
      </c>
      <c r="M114" s="16">
        <f>Table28[[#This Row],[O - DEMAND]]/950</f>
        <v>0</v>
      </c>
      <c r="N114" s="16">
        <f>IFERROR(VLOOKUP(Table28[[#This Row],[ROUTE]],DEMAND!A:F,5,FALSE),0)</f>
        <v>0</v>
      </c>
      <c r="O114" s="16">
        <f>IFERROR(VLOOKUP(Table28[[#This Row],[ROUTE]],DEMAND!A:F,6,FALSE),0)</f>
        <v>0</v>
      </c>
      <c r="P114" s="16">
        <f>ROUNDDOWN(Table28[[#This Row],[R-DEMAND]]/950,0)</f>
        <v>0</v>
      </c>
      <c r="Q114" s="16">
        <f>Table28[[#This Row],[ADD ACC
(475/950)]]*Table28[[#This Row],[Duration
(A359)]]</f>
        <v>0</v>
      </c>
      <c r="R114" s="16">
        <f>IFERROR(VLOOKUP(Table28[[#This Row],[ROUTE]],PRICING!A:B,2,FALSE),0)</f>
        <v>0</v>
      </c>
      <c r="S114" s="16">
        <f>Table28[[#This Row],[C_DEMAND]]-Table28[[#This Row],[R-DEMAND]]</f>
        <v>0</v>
      </c>
      <c r="T114" s="316">
        <f>Table28[[#This Row],[SEATS SOLD]]*Table28[[#This Row],[ECO SEAT]]</f>
        <v>0</v>
      </c>
      <c r="U114" s="316">
        <f>Table28[[#This Row],[SEATS SOLD]]*(IFERROR(VLOOKUP(Table28[[#This Row],[ROUTE]],PRICING!A:C,3,FALSE),0))</f>
        <v>0</v>
      </c>
      <c r="V114" s="316">
        <f>Table28[[#This Row],[SEAT REV]]-Table28[[#This Row],[SEAT REV
(IF IDEAL $)]]</f>
        <v>0</v>
      </c>
      <c r="AA114" s="26" t="s">
        <v>19636</v>
      </c>
      <c r="AB114" s="26" t="s">
        <v>71</v>
      </c>
      <c r="AC114" s="26" t="s">
        <v>5471</v>
      </c>
      <c r="AD114" s="174">
        <v>14066</v>
      </c>
      <c r="AE114" s="26">
        <v>2734</v>
      </c>
      <c r="AF114" s="16">
        <v>2734</v>
      </c>
      <c r="AS114" s="16" t="s">
        <v>142</v>
      </c>
      <c r="AT114" s="16" t="s">
        <v>144</v>
      </c>
      <c r="AU114" s="16" t="s">
        <v>145</v>
      </c>
      <c r="AV114" s="16" t="s">
        <v>18884</v>
      </c>
      <c r="AW114" s="16" t="s">
        <v>18918</v>
      </c>
      <c r="AX114" s="16" t="s">
        <v>18955</v>
      </c>
      <c r="AY114" s="385">
        <v>7834</v>
      </c>
    </row>
    <row r="115" spans="1:51" x14ac:dyDescent="0.25">
      <c r="A115" s="16" t="s">
        <v>19679</v>
      </c>
      <c r="B115" s="16" t="s">
        <v>408</v>
      </c>
      <c r="D115" s="16">
        <v>4</v>
      </c>
      <c r="E115" s="16" t="s">
        <v>860</v>
      </c>
      <c r="F115" s="16" t="str">
        <f>VLOOKUP(Table28[[#This Row],[Country]],Table10[[COUNTRY NAME]:[CONTINENT CODE]],3,FALSE)</f>
        <v>SA</v>
      </c>
      <c r="G115" s="16" t="s">
        <v>13184</v>
      </c>
      <c r="H115" s="181">
        <v>14329</v>
      </c>
      <c r="I115" s="180">
        <v>33.5</v>
      </c>
      <c r="K115" s="316">
        <f>IFERROR(Table28[[#This Row],[ROUTE COST]]/Table28[[#This Row],[O - DEMAND]],0)</f>
        <v>0</v>
      </c>
      <c r="M115" s="16">
        <f>Table28[[#This Row],[O - DEMAND]]/950</f>
        <v>0</v>
      </c>
      <c r="N115" s="16">
        <f>IFERROR(VLOOKUP(Table28[[#This Row],[ROUTE]],DEMAND!A:F,5,FALSE),0)</f>
        <v>0</v>
      </c>
      <c r="O115" s="16">
        <f>IFERROR(VLOOKUP(Table28[[#This Row],[ROUTE]],DEMAND!A:F,6,FALSE),0)</f>
        <v>0</v>
      </c>
      <c r="P115" s="16">
        <f>ROUNDDOWN(Table28[[#This Row],[R-DEMAND]]/950,0)</f>
        <v>0</v>
      </c>
      <c r="Q115" s="16">
        <f>Table28[[#This Row],[ADD ACC
(475/950)]]*Table28[[#This Row],[Duration
(A359)]]</f>
        <v>0</v>
      </c>
      <c r="R115" s="16">
        <f>IFERROR(VLOOKUP(Table28[[#This Row],[ROUTE]],PRICING!A:B,2,FALSE),0)</f>
        <v>0</v>
      </c>
      <c r="S115" s="16">
        <f>Table28[[#This Row],[C_DEMAND]]-Table28[[#This Row],[R-DEMAND]]</f>
        <v>0</v>
      </c>
      <c r="T115" s="316">
        <f>Table28[[#This Row],[SEATS SOLD]]*Table28[[#This Row],[ECO SEAT]]</f>
        <v>0</v>
      </c>
      <c r="U115" s="316">
        <f>Table28[[#This Row],[SEATS SOLD]]*(IFERROR(VLOOKUP(Table28[[#This Row],[ROUTE]],PRICING!A:C,3,FALSE),0))</f>
        <v>0</v>
      </c>
      <c r="V115" s="316">
        <f>Table28[[#This Row],[SEAT REV]]-Table28[[#This Row],[SEAT REV
(IF IDEAL $)]]</f>
        <v>0</v>
      </c>
      <c r="AA115" s="26" t="s">
        <v>19071</v>
      </c>
      <c r="AB115" s="26" t="s">
        <v>71</v>
      </c>
      <c r="AC115" s="26" t="s">
        <v>4056</v>
      </c>
      <c r="AD115" s="174">
        <v>7249</v>
      </c>
      <c r="AE115" s="26">
        <v>2555</v>
      </c>
      <c r="AF115" s="16">
        <v>2555</v>
      </c>
      <c r="AS115" s="16" t="s">
        <v>14</v>
      </c>
      <c r="AT115" s="16" t="s">
        <v>12045</v>
      </c>
      <c r="AU115" s="16" t="s">
        <v>114</v>
      </c>
      <c r="AV115" s="16" t="s">
        <v>18884</v>
      </c>
      <c r="AW115" s="16" t="s">
        <v>18918</v>
      </c>
      <c r="AX115" s="16" t="s">
        <v>18954</v>
      </c>
      <c r="AY115" s="385">
        <v>7867</v>
      </c>
    </row>
    <row r="116" spans="1:51" x14ac:dyDescent="0.25">
      <c r="A116" s="16" t="s">
        <v>19438</v>
      </c>
      <c r="B116" s="16" t="s">
        <v>5132</v>
      </c>
      <c r="D116" s="16">
        <v>3</v>
      </c>
      <c r="E116" s="16" t="s">
        <v>11732</v>
      </c>
      <c r="F116" s="16" t="str">
        <f>VLOOKUP(Table28[[#This Row],[Country]],Table10[[COUNTRY NAME]:[CONTINENT CODE]],3,FALSE)</f>
        <v>NA - US</v>
      </c>
      <c r="G116" s="16" t="s">
        <v>13264</v>
      </c>
      <c r="H116" s="181">
        <v>12717</v>
      </c>
      <c r="I116" s="180">
        <v>30</v>
      </c>
      <c r="K116" s="316">
        <f>IFERROR(Table28[[#This Row],[ROUTE COST]]/Table28[[#This Row],[O - DEMAND]],0)</f>
        <v>0</v>
      </c>
      <c r="M116" s="180">
        <f>Table28[[#This Row],[O - DEMAND]]/950</f>
        <v>0</v>
      </c>
      <c r="N116" s="16">
        <f>IFERROR(VLOOKUP(Table28[[#This Row],[ROUTE]],DEMAND!A:F,5,FALSE),0)</f>
        <v>0</v>
      </c>
      <c r="O116" s="16">
        <f>IFERROR(VLOOKUP(Table28[[#This Row],[ROUTE]],DEMAND!A:F,6,FALSE),0)</f>
        <v>0</v>
      </c>
      <c r="P116" s="16">
        <f>ROUNDDOWN(Table28[[#This Row],[R-DEMAND]]/950,0)</f>
        <v>0</v>
      </c>
      <c r="Q116" s="16">
        <f>Table28[[#This Row],[ADD ACC
(475/950)]]*Table28[[#This Row],[Duration
(A359)]]</f>
        <v>0</v>
      </c>
      <c r="R116" s="16">
        <f>IFERROR(VLOOKUP(Table28[[#This Row],[ROUTE]],PRICING!A:B,2,FALSE),0)</f>
        <v>0</v>
      </c>
      <c r="S116" s="16">
        <f>Table28[[#This Row],[C_DEMAND]]-Table28[[#This Row],[R-DEMAND]]</f>
        <v>0</v>
      </c>
      <c r="T116" s="316">
        <f>Table28[[#This Row],[SEATS SOLD]]*Table28[[#This Row],[ECO SEAT]]</f>
        <v>0</v>
      </c>
      <c r="U116" s="316">
        <f>Table28[[#This Row],[SEATS SOLD]]*(IFERROR(VLOOKUP(Table28[[#This Row],[ROUTE]],PRICING!A:C,3,FALSE),0))</f>
        <v>0</v>
      </c>
      <c r="V116" s="316">
        <f>Table28[[#This Row],[SEAT REV]]-Table28[[#This Row],[SEAT REV
(IF IDEAL $)]]</f>
        <v>0</v>
      </c>
      <c r="AA116" s="26" t="s">
        <v>19268</v>
      </c>
      <c r="AB116" s="26" t="s">
        <v>71</v>
      </c>
      <c r="AC116" s="26" t="s">
        <v>1267</v>
      </c>
      <c r="AD116" s="174">
        <v>10861</v>
      </c>
      <c r="AE116" s="26">
        <v>2489</v>
      </c>
      <c r="AF116" s="16">
        <v>2489</v>
      </c>
      <c r="AS116" s="16" t="s">
        <v>14</v>
      </c>
      <c r="AT116" s="16" t="s">
        <v>16819</v>
      </c>
      <c r="AU116" s="16" t="s">
        <v>3624</v>
      </c>
      <c r="AV116" s="16" t="s">
        <v>18878</v>
      </c>
      <c r="AW116" s="16" t="s">
        <v>18879</v>
      </c>
      <c r="AX116" s="16" t="s">
        <v>18954</v>
      </c>
      <c r="AY116" s="385">
        <v>7882</v>
      </c>
    </row>
    <row r="117" spans="1:51" x14ac:dyDescent="0.25">
      <c r="A117" s="16" t="s">
        <v>19797</v>
      </c>
      <c r="B117" s="16" t="s">
        <v>4975</v>
      </c>
      <c r="C117" s="16" t="s">
        <v>467</v>
      </c>
      <c r="D117" s="16">
        <v>3</v>
      </c>
      <c r="E117" s="16" t="s">
        <v>1459</v>
      </c>
      <c r="F117" s="16" t="str">
        <f>VLOOKUP(Table28[[#This Row],[Country]],Table10[[COUNTRY NAME]:[CONTINENT CODE]],3,FALSE)</f>
        <v>EU</v>
      </c>
      <c r="G117" s="16" t="s">
        <v>11842</v>
      </c>
      <c r="H117" s="181">
        <v>15099</v>
      </c>
      <c r="I117" s="180">
        <v>35.25</v>
      </c>
      <c r="K117" s="316">
        <f>IFERROR(Table28[[#This Row],[ROUTE COST]]/Table28[[#This Row],[O - DEMAND]],0)</f>
        <v>0</v>
      </c>
      <c r="M117" s="16">
        <f>Table28[[#This Row],[O - DEMAND]]/950</f>
        <v>0</v>
      </c>
      <c r="N117" s="16">
        <f>IFERROR(VLOOKUP(Table28[[#This Row],[ROUTE]],DEMAND!A:F,5,FALSE),0)</f>
        <v>2039</v>
      </c>
      <c r="O117" s="16">
        <f>IFERROR(VLOOKUP(Table28[[#This Row],[ROUTE]],DEMAND!A:F,6,FALSE),0)</f>
        <v>139</v>
      </c>
      <c r="P117" s="16">
        <f>ROUNDDOWN(Table28[[#This Row],[R-DEMAND]]/950,0)</f>
        <v>0</v>
      </c>
      <c r="Q117" s="16">
        <f>Table28[[#This Row],[ADD ACC
(475/950)]]*Table28[[#This Row],[Duration
(A359)]]</f>
        <v>0</v>
      </c>
      <c r="R117" s="16">
        <f>IFERROR(VLOOKUP(Table28[[#This Row],[ROUTE]],PRICING!A:B,2,FALSE),0)</f>
        <v>0</v>
      </c>
      <c r="S117" s="16">
        <f>Table28[[#This Row],[C_DEMAND]]-Table28[[#This Row],[R-DEMAND]]</f>
        <v>1900</v>
      </c>
      <c r="T117" s="316">
        <f>Table28[[#This Row],[SEATS SOLD]]*Table28[[#This Row],[ECO SEAT]]</f>
        <v>0</v>
      </c>
      <c r="U117" s="316">
        <f>Table28[[#This Row],[SEATS SOLD]]*(IFERROR(VLOOKUP(Table28[[#This Row],[ROUTE]],PRICING!A:C,3,FALSE),0))</f>
        <v>0</v>
      </c>
      <c r="V117" s="316">
        <f>Table28[[#This Row],[SEAT REV]]-Table28[[#This Row],[SEAT REV
(IF IDEAL $)]]</f>
        <v>0</v>
      </c>
      <c r="AA117" s="26" t="s">
        <v>19219</v>
      </c>
      <c r="AB117" s="26" t="s">
        <v>71</v>
      </c>
      <c r="AC117" s="26" t="s">
        <v>263</v>
      </c>
      <c r="AD117" s="174">
        <v>9567</v>
      </c>
      <c r="AE117" s="26">
        <v>3692</v>
      </c>
      <c r="AF117" s="16">
        <v>3692</v>
      </c>
      <c r="AS117" s="16" t="s">
        <v>14</v>
      </c>
      <c r="AT117" s="16" t="s">
        <v>12077</v>
      </c>
      <c r="AU117" s="16" t="s">
        <v>5373</v>
      </c>
      <c r="AV117" s="16" t="s">
        <v>18892</v>
      </c>
      <c r="AW117" s="16" t="s">
        <v>18885</v>
      </c>
      <c r="AX117" s="16" t="s">
        <v>18954</v>
      </c>
      <c r="AY117" s="385">
        <v>7885</v>
      </c>
    </row>
    <row r="118" spans="1:51" x14ac:dyDescent="0.25">
      <c r="A118" s="16" t="s">
        <v>19239</v>
      </c>
      <c r="B118" s="16" t="s">
        <v>406</v>
      </c>
      <c r="D118" s="16">
        <v>5</v>
      </c>
      <c r="E118" s="16" t="s">
        <v>1070</v>
      </c>
      <c r="F118" s="16" t="str">
        <f>VLOOKUP(Table28[[#This Row],[Country]],Table10[[COUNTRY NAME]:[CONTINENT CODE]],3,FALSE)</f>
        <v>AS</v>
      </c>
      <c r="G118" s="16" t="s">
        <v>12040</v>
      </c>
      <c r="H118" s="181">
        <v>10161</v>
      </c>
      <c r="I118" s="180">
        <v>24.5</v>
      </c>
      <c r="K118" s="316">
        <f>IFERROR(Table28[[#This Row],[ROUTE COST]]/Table28[[#This Row],[O - DEMAND]],0)</f>
        <v>0</v>
      </c>
      <c r="M118" s="16">
        <f>Table28[[#This Row],[O - DEMAND]]/950</f>
        <v>0</v>
      </c>
      <c r="N118" s="16">
        <f>IFERROR(VLOOKUP(Table28[[#This Row],[ROUTE]],DEMAND!A:F,5,FALSE),0)</f>
        <v>0</v>
      </c>
      <c r="O118" s="16">
        <f>IFERROR(VLOOKUP(Table28[[#This Row],[ROUTE]],DEMAND!A:F,6,FALSE),0)</f>
        <v>0</v>
      </c>
      <c r="P118" s="16">
        <f>ROUNDDOWN(Table28[[#This Row],[R-DEMAND]]/950,0)</f>
        <v>0</v>
      </c>
      <c r="Q118" s="16">
        <f>Table28[[#This Row],[ADD ACC
(475/950)]]*Table28[[#This Row],[Duration
(A359)]]</f>
        <v>0</v>
      </c>
      <c r="R118" s="16">
        <f>IFERROR(VLOOKUP(Table28[[#This Row],[ROUTE]],PRICING!A:B,2,FALSE),0)</f>
        <v>0</v>
      </c>
      <c r="S118" s="16">
        <f>Table28[[#This Row],[C_DEMAND]]-Table28[[#This Row],[R-DEMAND]]</f>
        <v>0</v>
      </c>
      <c r="T118" s="316">
        <f>Table28[[#This Row],[SEATS SOLD]]*Table28[[#This Row],[ECO SEAT]]</f>
        <v>0</v>
      </c>
      <c r="U118" s="316">
        <f>Table28[[#This Row],[SEATS SOLD]]*(IFERROR(VLOOKUP(Table28[[#This Row],[ROUTE]],PRICING!A:C,3,FALSE),0))</f>
        <v>0</v>
      </c>
      <c r="V118" s="316">
        <f>Table28[[#This Row],[SEAT REV]]-Table28[[#This Row],[SEAT REV
(IF IDEAL $)]]</f>
        <v>0</v>
      </c>
      <c r="AA118" s="26" t="s">
        <v>19460</v>
      </c>
      <c r="AB118" s="26" t="s">
        <v>71</v>
      </c>
      <c r="AC118" s="26" t="s">
        <v>4213</v>
      </c>
      <c r="AD118" s="174">
        <v>12851</v>
      </c>
      <c r="AE118" s="26">
        <v>2500</v>
      </c>
      <c r="AF118" s="16">
        <v>2500</v>
      </c>
      <c r="AS118" s="16" t="s">
        <v>14</v>
      </c>
      <c r="AT118" s="16" t="s">
        <v>12046</v>
      </c>
      <c r="AU118" s="16" t="s">
        <v>97</v>
      </c>
      <c r="AV118" s="16" t="s">
        <v>18884</v>
      </c>
      <c r="AW118" s="16" t="s">
        <v>18918</v>
      </c>
      <c r="AX118" s="16" t="s">
        <v>18954</v>
      </c>
      <c r="AY118" s="385">
        <v>7892</v>
      </c>
    </row>
    <row r="119" spans="1:51" x14ac:dyDescent="0.25">
      <c r="A119" s="16" t="s">
        <v>19196</v>
      </c>
      <c r="B119" s="16" t="s">
        <v>2496</v>
      </c>
      <c r="D119" s="16">
        <v>1</v>
      </c>
      <c r="E119" s="16" t="s">
        <v>14</v>
      </c>
      <c r="F119" s="16" t="str">
        <f>VLOOKUP(Table28[[#This Row],[Country]],Table10[[COUNTRY NAME]:[CONTINENT CODE]],3,FALSE)</f>
        <v>AS</v>
      </c>
      <c r="G119" s="16" t="s">
        <v>12057</v>
      </c>
      <c r="H119" s="181">
        <v>9145</v>
      </c>
      <c r="I119" s="180">
        <v>22.25</v>
      </c>
      <c r="K119" s="316">
        <f>IFERROR(Table28[[#This Row],[ROUTE COST]]/Table28[[#This Row],[O - DEMAND]],0)</f>
        <v>0</v>
      </c>
      <c r="M119" s="16">
        <f>Table28[[#This Row],[O - DEMAND]]/950</f>
        <v>0</v>
      </c>
      <c r="N119" s="16">
        <f>IFERROR(VLOOKUP(Table28[[#This Row],[ROUTE]],DEMAND!A:F,5,FALSE),0)</f>
        <v>0</v>
      </c>
      <c r="O119" s="16">
        <f>IFERROR(VLOOKUP(Table28[[#This Row],[ROUTE]],DEMAND!A:F,6,FALSE),0)</f>
        <v>0</v>
      </c>
      <c r="P119" s="16">
        <f>ROUNDDOWN(Table28[[#This Row],[R-DEMAND]]/950,0)</f>
        <v>0</v>
      </c>
      <c r="Q119" s="16">
        <f>Table28[[#This Row],[ADD ACC
(475/950)]]*Table28[[#This Row],[Duration
(A359)]]</f>
        <v>0</v>
      </c>
      <c r="R119" s="16">
        <f>IFERROR(VLOOKUP(Table28[[#This Row],[ROUTE]],PRICING!A:B,2,FALSE),0)</f>
        <v>0</v>
      </c>
      <c r="S119" s="16">
        <f>Table28[[#This Row],[C_DEMAND]]-Table28[[#This Row],[R-DEMAND]]</f>
        <v>0</v>
      </c>
      <c r="T119" s="316">
        <f>Table28[[#This Row],[SEATS SOLD]]*Table28[[#This Row],[ECO SEAT]]</f>
        <v>0</v>
      </c>
      <c r="U119" s="316">
        <f>Table28[[#This Row],[SEATS SOLD]]*(IFERROR(VLOOKUP(Table28[[#This Row],[ROUTE]],PRICING!A:C,3,FALSE),0))</f>
        <v>0</v>
      </c>
      <c r="V119" s="316">
        <f>Table28[[#This Row],[SEAT REV]]-Table28[[#This Row],[SEAT REV
(IF IDEAL $)]]</f>
        <v>0</v>
      </c>
      <c r="AA119" s="26" t="s">
        <v>19470</v>
      </c>
      <c r="AB119" s="26" t="s">
        <v>71</v>
      </c>
      <c r="AC119" s="26" t="s">
        <v>5283</v>
      </c>
      <c r="AD119" s="174">
        <v>12922</v>
      </c>
      <c r="AE119" s="26">
        <v>3328</v>
      </c>
      <c r="AF119" s="16">
        <v>3328</v>
      </c>
      <c r="AS119" s="16" t="s">
        <v>14</v>
      </c>
      <c r="AT119" s="16" t="s">
        <v>12061</v>
      </c>
      <c r="AU119" s="16" t="s">
        <v>5265</v>
      </c>
      <c r="AV119" s="16" t="s">
        <v>18892</v>
      </c>
      <c r="AW119" s="16" t="s">
        <v>18885</v>
      </c>
      <c r="AX119" s="16" t="s">
        <v>18954</v>
      </c>
      <c r="AY119" s="385">
        <v>7910</v>
      </c>
    </row>
    <row r="120" spans="1:51" x14ac:dyDescent="0.25">
      <c r="A120" s="16" t="s">
        <v>19221</v>
      </c>
      <c r="B120" s="16" t="s">
        <v>2870</v>
      </c>
      <c r="D120" s="16">
        <v>2</v>
      </c>
      <c r="E120" s="16" t="s">
        <v>78</v>
      </c>
      <c r="F120" s="16" t="str">
        <f>VLOOKUP(Table28[[#This Row],[Country]],Table10[[COUNTRY NAME]:[CONTINENT CODE]],3,FALSE)</f>
        <v>EU</v>
      </c>
      <c r="G120" s="16" t="s">
        <v>11973</v>
      </c>
      <c r="H120" s="181">
        <v>9670</v>
      </c>
      <c r="I120" s="180">
        <v>23.25</v>
      </c>
      <c r="K120" s="316">
        <f>IFERROR(Table28[[#This Row],[ROUTE COST]]/Table28[[#This Row],[O - DEMAND]],0)</f>
        <v>0</v>
      </c>
      <c r="M120" s="16">
        <f>Table28[[#This Row],[O - DEMAND]]/950</f>
        <v>0</v>
      </c>
      <c r="N120" s="16">
        <f>IFERROR(VLOOKUP(Table28[[#This Row],[ROUTE]],DEMAND!A:F,5,FALSE),0)</f>
        <v>0</v>
      </c>
      <c r="O120" s="16">
        <f>IFERROR(VLOOKUP(Table28[[#This Row],[ROUTE]],DEMAND!A:F,6,FALSE),0)</f>
        <v>0</v>
      </c>
      <c r="P120" s="16">
        <f>ROUNDDOWN(Table28[[#This Row],[R-DEMAND]]/950,0)</f>
        <v>0</v>
      </c>
      <c r="Q120" s="16">
        <f>Table28[[#This Row],[ADD ACC
(475/950)]]*Table28[[#This Row],[Duration
(A359)]]</f>
        <v>0</v>
      </c>
      <c r="R120" s="16">
        <f>IFERROR(VLOOKUP(Table28[[#This Row],[ROUTE]],PRICING!A:B,2,FALSE),0)</f>
        <v>0</v>
      </c>
      <c r="S120" s="16">
        <f>Table28[[#This Row],[C_DEMAND]]-Table28[[#This Row],[R-DEMAND]]</f>
        <v>0</v>
      </c>
      <c r="T120" s="316">
        <f>Table28[[#This Row],[SEATS SOLD]]*Table28[[#This Row],[ECO SEAT]]</f>
        <v>0</v>
      </c>
      <c r="U120" s="316">
        <f>Table28[[#This Row],[SEATS SOLD]]*(IFERROR(VLOOKUP(Table28[[#This Row],[ROUTE]],PRICING!A:C,3,FALSE),0))</f>
        <v>0</v>
      </c>
      <c r="V120" s="316">
        <f>Table28[[#This Row],[SEAT REV]]-Table28[[#This Row],[SEAT REV
(IF IDEAL $)]]</f>
        <v>0</v>
      </c>
      <c r="AA120" s="26" t="s">
        <v>19197</v>
      </c>
      <c r="AB120" s="26" t="s">
        <v>71</v>
      </c>
      <c r="AC120" s="26" t="s">
        <v>256</v>
      </c>
      <c r="AD120" s="174">
        <v>9151</v>
      </c>
      <c r="AE120" s="26">
        <v>1861</v>
      </c>
      <c r="AF120" s="16">
        <v>1861</v>
      </c>
      <c r="AS120" s="16" t="s">
        <v>258</v>
      </c>
      <c r="AT120" s="16" t="s">
        <v>11097</v>
      </c>
      <c r="AU120" s="16" t="s">
        <v>5608</v>
      </c>
      <c r="AV120" s="16" t="s">
        <v>18892</v>
      </c>
      <c r="AW120" s="16" t="s">
        <v>18899</v>
      </c>
      <c r="AX120" s="16" t="s">
        <v>18954</v>
      </c>
      <c r="AY120" s="385">
        <v>7933</v>
      </c>
    </row>
    <row r="121" spans="1:51" x14ac:dyDescent="0.25">
      <c r="A121" s="16" t="s">
        <v>19647</v>
      </c>
      <c r="B121" s="16" t="s">
        <v>399</v>
      </c>
      <c r="C121" s="16" t="s">
        <v>467</v>
      </c>
      <c r="D121" s="16">
        <v>4</v>
      </c>
      <c r="E121" s="16" t="s">
        <v>517</v>
      </c>
      <c r="F121" s="16" t="str">
        <f>VLOOKUP(Table28[[#This Row],[Country]],Table10[[COUNTRY NAME]:[CONTINENT CODE]],3,FALSE)</f>
        <v>SA</v>
      </c>
      <c r="G121" s="16" t="s">
        <v>13159</v>
      </c>
      <c r="H121" s="181">
        <v>14121</v>
      </c>
      <c r="I121" s="180">
        <v>33.25</v>
      </c>
      <c r="K121" s="316">
        <f>IFERROR(Table28[[#This Row],[ROUTE COST]]/Table28[[#This Row],[O - DEMAND]],0)</f>
        <v>0</v>
      </c>
      <c r="M121" s="16">
        <f>Table28[[#This Row],[O - DEMAND]]/950</f>
        <v>0</v>
      </c>
      <c r="N121" s="16">
        <f>IFERROR(VLOOKUP(Table28[[#This Row],[ROUTE]],DEMAND!A:F,5,FALSE),0)</f>
        <v>2539</v>
      </c>
      <c r="O121" s="16">
        <f>IFERROR(VLOOKUP(Table28[[#This Row],[ROUTE]],DEMAND!A:F,6,FALSE),0)</f>
        <v>639</v>
      </c>
      <c r="P121" s="16">
        <f>ROUNDDOWN(Table28[[#This Row],[R-DEMAND]]/950,0)</f>
        <v>0</v>
      </c>
      <c r="Q121" s="16">
        <f>Table28[[#This Row],[ADD ACC
(475/950)]]*Table28[[#This Row],[Duration
(A359)]]</f>
        <v>0</v>
      </c>
      <c r="R121" s="16">
        <f>IFERROR(VLOOKUP(Table28[[#This Row],[ROUTE]],PRICING!A:B,2,FALSE),0)</f>
        <v>0</v>
      </c>
      <c r="S121" s="16">
        <f>Table28[[#This Row],[C_DEMAND]]-Table28[[#This Row],[R-DEMAND]]</f>
        <v>1900</v>
      </c>
      <c r="T121" s="316">
        <f>Table28[[#This Row],[SEATS SOLD]]*Table28[[#This Row],[ECO SEAT]]</f>
        <v>0</v>
      </c>
      <c r="U121" s="316">
        <f>Table28[[#This Row],[SEATS SOLD]]*(IFERROR(VLOOKUP(Table28[[#This Row],[ROUTE]],PRICING!A:C,3,FALSE),0))</f>
        <v>0</v>
      </c>
      <c r="V121" s="316">
        <f>Table28[[#This Row],[SEAT REV]]-Table28[[#This Row],[SEAT REV
(IF IDEAL $)]]</f>
        <v>0</v>
      </c>
      <c r="AA121" s="26" t="s">
        <v>19413</v>
      </c>
      <c r="AB121" s="26" t="s">
        <v>71</v>
      </c>
      <c r="AC121" s="26" t="s">
        <v>3964</v>
      </c>
      <c r="AD121" s="174">
        <v>12544</v>
      </c>
      <c r="AE121" s="26">
        <v>2388</v>
      </c>
      <c r="AF121" s="16">
        <v>2388</v>
      </c>
      <c r="AS121" s="16" t="s">
        <v>14</v>
      </c>
      <c r="AT121" s="16" t="s">
        <v>12047</v>
      </c>
      <c r="AU121" s="16" t="s">
        <v>5029</v>
      </c>
      <c r="AV121" s="16" t="s">
        <v>18881</v>
      </c>
      <c r="AW121" s="16" t="s">
        <v>18885</v>
      </c>
      <c r="AX121" s="16" t="s">
        <v>18954</v>
      </c>
      <c r="AY121" s="385">
        <v>7960</v>
      </c>
    </row>
    <row r="122" spans="1:51" x14ac:dyDescent="0.25">
      <c r="A122" s="16" t="s">
        <v>19484</v>
      </c>
      <c r="B122" s="16" t="s">
        <v>3165</v>
      </c>
      <c r="C122" s="16" t="s">
        <v>467</v>
      </c>
      <c r="D122" s="16">
        <v>2</v>
      </c>
      <c r="E122" s="16" t="s">
        <v>3163</v>
      </c>
      <c r="F122" s="16" t="str">
        <f>VLOOKUP(Table28[[#This Row],[Country]],Table10[[COUNTRY NAME]:[CONTINENT CODE]],3,FALSE)</f>
        <v>AS</v>
      </c>
      <c r="G122" s="16" t="s">
        <v>11937</v>
      </c>
      <c r="H122" s="181">
        <v>12990</v>
      </c>
      <c r="I122" s="180">
        <v>30.75</v>
      </c>
      <c r="K122" s="316">
        <f>IFERROR(Table28[[#This Row],[ROUTE COST]]/Table28[[#This Row],[O - DEMAND]],0)</f>
        <v>0</v>
      </c>
      <c r="M122" s="16">
        <f>Table28[[#This Row],[O - DEMAND]]/950</f>
        <v>0</v>
      </c>
      <c r="N122" s="16">
        <f>IFERROR(VLOOKUP(Table28[[#This Row],[ROUTE]],DEMAND!A:F,5,FALSE),0)</f>
        <v>3355</v>
      </c>
      <c r="O122" s="16">
        <f>IFERROR(VLOOKUP(Table28[[#This Row],[ROUTE]],DEMAND!A:F,6,FALSE),0)</f>
        <v>505</v>
      </c>
      <c r="P122" s="16">
        <f>ROUNDDOWN(Table28[[#This Row],[R-DEMAND]]/950,0)</f>
        <v>0</v>
      </c>
      <c r="Q122" s="16">
        <f>Table28[[#This Row],[ADD ACC
(475/950)]]*Table28[[#This Row],[Duration
(A359)]]</f>
        <v>0</v>
      </c>
      <c r="R122" s="16">
        <f>IFERROR(VLOOKUP(Table28[[#This Row],[ROUTE]],PRICING!A:B,2,FALSE),0)</f>
        <v>0</v>
      </c>
      <c r="S122" s="16">
        <f>Table28[[#This Row],[C_DEMAND]]-Table28[[#This Row],[R-DEMAND]]</f>
        <v>2850</v>
      </c>
      <c r="T122" s="316">
        <f>Table28[[#This Row],[SEATS SOLD]]*Table28[[#This Row],[ECO SEAT]]</f>
        <v>0</v>
      </c>
      <c r="U122" s="316">
        <f>Table28[[#This Row],[SEATS SOLD]]*(IFERROR(VLOOKUP(Table28[[#This Row],[ROUTE]],PRICING!A:C,3,FALSE),0))</f>
        <v>0</v>
      </c>
      <c r="V122" s="316">
        <f>Table28[[#This Row],[SEAT REV]]-Table28[[#This Row],[SEAT REV
(IF IDEAL $)]]</f>
        <v>0</v>
      </c>
      <c r="AA122" s="26" t="s">
        <v>19287</v>
      </c>
      <c r="AB122" s="26" t="s">
        <v>71</v>
      </c>
      <c r="AC122" s="26" t="s">
        <v>254</v>
      </c>
      <c r="AD122" s="174">
        <v>11076</v>
      </c>
      <c r="AE122" s="26">
        <v>4128</v>
      </c>
      <c r="AF122" s="16">
        <v>4128</v>
      </c>
      <c r="AS122" s="16" t="s">
        <v>142</v>
      </c>
      <c r="AT122" s="16" t="s">
        <v>16839</v>
      </c>
      <c r="AU122" s="16" t="s">
        <v>5076</v>
      </c>
      <c r="AV122" s="16" t="s">
        <v>18878</v>
      </c>
      <c r="AW122" s="16" t="s">
        <v>18885</v>
      </c>
      <c r="AX122" s="16" t="s">
        <v>18953</v>
      </c>
      <c r="AY122" s="385">
        <v>7972</v>
      </c>
    </row>
    <row r="123" spans="1:51" x14ac:dyDescent="0.25">
      <c r="A123" s="16" t="s">
        <v>19045</v>
      </c>
      <c r="B123" s="16" t="s">
        <v>395</v>
      </c>
      <c r="C123" s="16" t="s">
        <v>467</v>
      </c>
      <c r="D123" s="16">
        <v>3</v>
      </c>
      <c r="E123" s="16" t="s">
        <v>1261</v>
      </c>
      <c r="F123" s="16" t="str">
        <f>VLOOKUP(Table28[[#This Row],[Country]],Table10[[COUNTRY NAME]:[CONTINENT CODE]],3,FALSE)</f>
        <v>AS</v>
      </c>
      <c r="G123" s="16" t="s">
        <v>12116</v>
      </c>
      <c r="H123" s="181">
        <v>6267</v>
      </c>
      <c r="I123" s="180">
        <v>16</v>
      </c>
      <c r="K123" s="316">
        <f>IFERROR(Table28[[#This Row],[ROUTE COST]]/Table28[[#This Row],[O - DEMAND]],0)</f>
        <v>0</v>
      </c>
      <c r="M123" s="16">
        <f>Table28[[#This Row],[O - DEMAND]]/950</f>
        <v>0</v>
      </c>
      <c r="N123" s="16">
        <f>IFERROR(VLOOKUP(Table28[[#This Row],[ROUTE]],DEMAND!A:F,5,FALSE),0)</f>
        <v>3023</v>
      </c>
      <c r="O123" s="16">
        <f>IFERROR(VLOOKUP(Table28[[#This Row],[ROUTE]],DEMAND!A:F,6,FALSE),0)</f>
        <v>173</v>
      </c>
      <c r="P123" s="16">
        <f>ROUNDDOWN(Table28[[#This Row],[R-DEMAND]]/950,0)</f>
        <v>0</v>
      </c>
      <c r="Q123" s="16">
        <f>Table28[[#This Row],[ADD ACC
(475/950)]]*Table28[[#This Row],[Duration
(A359)]]</f>
        <v>0</v>
      </c>
      <c r="R123" s="16">
        <f>IFERROR(VLOOKUP(Table28[[#This Row],[ROUTE]],PRICING!A:B,2,FALSE),0)</f>
        <v>0</v>
      </c>
      <c r="S123" s="16">
        <f>Table28[[#This Row],[C_DEMAND]]-Table28[[#This Row],[R-DEMAND]]</f>
        <v>2850</v>
      </c>
      <c r="T123" s="316">
        <f>Table28[[#This Row],[SEATS SOLD]]*Table28[[#This Row],[ECO SEAT]]</f>
        <v>0</v>
      </c>
      <c r="U123" s="316">
        <f>Table28[[#This Row],[SEATS SOLD]]*(IFERROR(VLOOKUP(Table28[[#This Row],[ROUTE]],PRICING!A:C,3,FALSE),0))</f>
        <v>0</v>
      </c>
      <c r="V123" s="316">
        <f>Table28[[#This Row],[SEAT REV]]-Table28[[#This Row],[SEAT REV
(IF IDEAL $)]]</f>
        <v>0</v>
      </c>
      <c r="AA123" s="26" t="s">
        <v>19771</v>
      </c>
      <c r="AB123" s="26" t="s">
        <v>71</v>
      </c>
      <c r="AC123" s="26" t="s">
        <v>252</v>
      </c>
      <c r="AD123" s="174">
        <v>14976</v>
      </c>
      <c r="AE123" s="26">
        <v>2203</v>
      </c>
      <c r="AF123" s="16">
        <v>2203</v>
      </c>
      <c r="AS123" s="16" t="s">
        <v>14</v>
      </c>
      <c r="AT123" s="16" t="s">
        <v>12060</v>
      </c>
      <c r="AU123" s="16" t="s">
        <v>2313</v>
      </c>
      <c r="AV123" s="16" t="s">
        <v>18892</v>
      </c>
      <c r="AW123" s="16" t="s">
        <v>18890</v>
      </c>
      <c r="AX123" s="16" t="s">
        <v>18953</v>
      </c>
      <c r="AY123" s="385">
        <v>7974</v>
      </c>
    </row>
    <row r="124" spans="1:51" x14ac:dyDescent="0.25">
      <c r="A124" s="16" t="s">
        <v>19503</v>
      </c>
      <c r="B124" s="16" t="s">
        <v>2130</v>
      </c>
      <c r="D124" s="16">
        <v>1</v>
      </c>
      <c r="E124" s="16" t="s">
        <v>11732</v>
      </c>
      <c r="F124" s="16" t="str">
        <f>VLOOKUP(Table28[[#This Row],[Country]],Table10[[COUNTRY NAME]:[CONTINENT CODE]],3,FALSE)</f>
        <v>NA - US</v>
      </c>
      <c r="G124" s="16" t="s">
        <v>16948</v>
      </c>
      <c r="H124" s="181">
        <v>13091</v>
      </c>
      <c r="I124" s="180">
        <v>30.75</v>
      </c>
      <c r="K124" s="316">
        <f>IFERROR(Table28[[#This Row],[ROUTE COST]]/Table28[[#This Row],[O - DEMAND]],0)</f>
        <v>0</v>
      </c>
      <c r="M124" s="180">
        <f>Table28[[#This Row],[O - DEMAND]]/950</f>
        <v>0</v>
      </c>
      <c r="N124" s="16">
        <f>IFERROR(VLOOKUP(Table28[[#This Row],[ROUTE]],DEMAND!A:F,5,FALSE),0)</f>
        <v>0</v>
      </c>
      <c r="O124" s="16">
        <f>IFERROR(VLOOKUP(Table28[[#This Row],[ROUTE]],DEMAND!A:F,6,FALSE),0)</f>
        <v>0</v>
      </c>
      <c r="P124" s="16">
        <f>ROUNDDOWN(Table28[[#This Row],[R-DEMAND]]/950,0)</f>
        <v>0</v>
      </c>
      <c r="Q124" s="16">
        <f>Table28[[#This Row],[ADD ACC
(475/950)]]*Table28[[#This Row],[Duration
(A359)]]</f>
        <v>0</v>
      </c>
      <c r="R124" s="16">
        <f>IFERROR(VLOOKUP(Table28[[#This Row],[ROUTE]],PRICING!A:B,2,FALSE),0)</f>
        <v>0</v>
      </c>
      <c r="S124" s="16">
        <f>Table28[[#This Row],[C_DEMAND]]-Table28[[#This Row],[R-DEMAND]]</f>
        <v>0</v>
      </c>
      <c r="T124" s="316">
        <f>Table28[[#This Row],[SEATS SOLD]]*Table28[[#This Row],[ECO SEAT]]</f>
        <v>0</v>
      </c>
      <c r="U124" s="316">
        <f>Table28[[#This Row],[SEATS SOLD]]*(IFERROR(VLOOKUP(Table28[[#This Row],[ROUTE]],PRICING!A:C,3,FALSE),0))</f>
        <v>0</v>
      </c>
      <c r="V124" s="316">
        <f>Table28[[#This Row],[SEAT REV]]-Table28[[#This Row],[SEAT REV
(IF IDEAL $)]]</f>
        <v>0</v>
      </c>
      <c r="AA124" s="26" t="s">
        <v>19103</v>
      </c>
      <c r="AB124" s="26" t="s">
        <v>71</v>
      </c>
      <c r="AC124" s="26" t="s">
        <v>249</v>
      </c>
      <c r="AD124" s="174">
        <v>7818</v>
      </c>
      <c r="AE124" s="26">
        <v>2561</v>
      </c>
      <c r="AF124" s="16">
        <v>2561</v>
      </c>
      <c r="AS124" s="16" t="s">
        <v>1070</v>
      </c>
      <c r="AT124" s="16" t="s">
        <v>12095</v>
      </c>
      <c r="AU124" s="16" t="s">
        <v>242</v>
      </c>
      <c r="AV124" s="16" t="s">
        <v>18884</v>
      </c>
      <c r="AW124" s="16" t="s">
        <v>18879</v>
      </c>
      <c r="AX124" s="16" t="s">
        <v>18953</v>
      </c>
      <c r="AY124" s="385">
        <v>7985</v>
      </c>
    </row>
    <row r="125" spans="1:51" x14ac:dyDescent="0.25">
      <c r="A125" s="16" t="s">
        <v>19037</v>
      </c>
      <c r="B125" s="16" t="s">
        <v>4043</v>
      </c>
      <c r="D125" s="16">
        <v>2</v>
      </c>
      <c r="E125" s="16" t="s">
        <v>709</v>
      </c>
      <c r="F125" s="16" t="str">
        <f>VLOOKUP(Table28[[#This Row],[Country]],Table10[[COUNTRY NAME]:[CONTINENT CODE]],3,FALSE)</f>
        <v>AS</v>
      </c>
      <c r="G125" s="16" t="s">
        <v>4042</v>
      </c>
      <c r="H125" s="181">
        <v>5741</v>
      </c>
      <c r="I125" s="180">
        <v>14.75</v>
      </c>
      <c r="K125" s="316">
        <f>IFERROR(Table28[[#This Row],[ROUTE COST]]/Table28[[#This Row],[O - DEMAND]],0)</f>
        <v>0</v>
      </c>
      <c r="M125" s="16">
        <f>Table28[[#This Row],[O - DEMAND]]/950</f>
        <v>0</v>
      </c>
      <c r="N125" s="16">
        <f>IFERROR(VLOOKUP(Table28[[#This Row],[ROUTE]],DEMAND!A:F,5,FALSE),0)</f>
        <v>0</v>
      </c>
      <c r="O125" s="16">
        <f>IFERROR(VLOOKUP(Table28[[#This Row],[ROUTE]],DEMAND!A:F,6,FALSE),0)</f>
        <v>0</v>
      </c>
      <c r="P125" s="16">
        <f>ROUNDDOWN(Table28[[#This Row],[R-DEMAND]]/950,0)</f>
        <v>0</v>
      </c>
      <c r="Q125" s="16">
        <f>Table28[[#This Row],[ADD ACC
(475/950)]]*Table28[[#This Row],[Duration
(A359)]]</f>
        <v>0</v>
      </c>
      <c r="R125" s="16">
        <f>IFERROR(VLOOKUP(Table28[[#This Row],[ROUTE]],PRICING!A:B,2,FALSE),0)</f>
        <v>0</v>
      </c>
      <c r="S125" s="16">
        <f>Table28[[#This Row],[C_DEMAND]]-Table28[[#This Row],[R-DEMAND]]</f>
        <v>0</v>
      </c>
      <c r="T125" s="316">
        <f>Table28[[#This Row],[SEATS SOLD]]*Table28[[#This Row],[ECO SEAT]]</f>
        <v>0</v>
      </c>
      <c r="U125" s="316">
        <f>Table28[[#This Row],[SEATS SOLD]]*(IFERROR(VLOOKUP(Table28[[#This Row],[ROUTE]],PRICING!A:C,3,FALSE),0))</f>
        <v>0</v>
      </c>
      <c r="V125" s="316">
        <f>Table28[[#This Row],[SEAT REV]]-Table28[[#This Row],[SEAT REV
(IF IDEAL $)]]</f>
        <v>0</v>
      </c>
      <c r="AA125" s="26" t="s">
        <v>19244</v>
      </c>
      <c r="AB125" s="26" t="s">
        <v>71</v>
      </c>
      <c r="AC125" s="26" t="s">
        <v>240</v>
      </c>
      <c r="AD125" s="174">
        <v>10424</v>
      </c>
      <c r="AE125" s="26">
        <v>3653</v>
      </c>
      <c r="AF125" s="16">
        <v>3653</v>
      </c>
      <c r="AS125" s="16" t="s">
        <v>14</v>
      </c>
      <c r="AT125" s="16" t="s">
        <v>12056</v>
      </c>
      <c r="AU125" s="16" t="s">
        <v>1678</v>
      </c>
      <c r="AV125" s="16" t="s">
        <v>18892</v>
      </c>
      <c r="AW125" s="16" t="s">
        <v>18890</v>
      </c>
      <c r="AX125" s="16" t="s">
        <v>18953</v>
      </c>
      <c r="AY125" s="385">
        <v>8021</v>
      </c>
    </row>
    <row r="126" spans="1:51" x14ac:dyDescent="0.25">
      <c r="A126" s="16" t="s">
        <v>19308</v>
      </c>
      <c r="B126" s="16" t="s">
        <v>2533</v>
      </c>
      <c r="C126" s="16" t="s">
        <v>467</v>
      </c>
      <c r="D126" s="16">
        <v>2</v>
      </c>
      <c r="E126" s="16" t="s">
        <v>542</v>
      </c>
      <c r="F126" s="16" t="str">
        <f>VLOOKUP(Table28[[#This Row],[Country]],Table10[[COUNTRY NAME]:[CONTINENT CODE]],3,FALSE)</f>
        <v>AF</v>
      </c>
      <c r="G126" s="16" t="s">
        <v>16855</v>
      </c>
      <c r="H126" s="181">
        <v>11478</v>
      </c>
      <c r="I126" s="180">
        <v>27.25</v>
      </c>
      <c r="K126" s="316">
        <f>IFERROR(Table28[[#This Row],[ROUTE COST]]/Table28[[#This Row],[O - DEMAND]],0)</f>
        <v>0</v>
      </c>
      <c r="M126" s="16">
        <f>Table28[[#This Row],[O - DEMAND]]/950</f>
        <v>0</v>
      </c>
      <c r="N126" s="16">
        <f>IFERROR(VLOOKUP(Table28[[#This Row],[ROUTE]],DEMAND!A:F,5,FALSE),0)</f>
        <v>3362</v>
      </c>
      <c r="O126" s="16">
        <f>IFERROR(VLOOKUP(Table28[[#This Row],[ROUTE]],DEMAND!A:F,6,FALSE),0)</f>
        <v>512</v>
      </c>
      <c r="P126" s="16">
        <f>ROUNDDOWN(Table28[[#This Row],[R-DEMAND]]/950,0)</f>
        <v>0</v>
      </c>
      <c r="Q126" s="16">
        <f>Table28[[#This Row],[ADD ACC
(475/950)]]*Table28[[#This Row],[Duration
(A359)]]</f>
        <v>0</v>
      </c>
      <c r="R126" s="16">
        <f>IFERROR(VLOOKUP(Table28[[#This Row],[ROUTE]],PRICING!A:B,2,FALSE),0)</f>
        <v>0</v>
      </c>
      <c r="S126" s="16">
        <f>Table28[[#This Row],[C_DEMAND]]-Table28[[#This Row],[R-DEMAND]]</f>
        <v>2850</v>
      </c>
      <c r="T126" s="316">
        <f>Table28[[#This Row],[SEATS SOLD]]*Table28[[#This Row],[ECO SEAT]]</f>
        <v>0</v>
      </c>
      <c r="U126" s="316">
        <f>Table28[[#This Row],[SEATS SOLD]]*(IFERROR(VLOOKUP(Table28[[#This Row],[ROUTE]],PRICING!A:C,3,FALSE),0))</f>
        <v>0</v>
      </c>
      <c r="V126" s="316">
        <f>Table28[[#This Row],[SEAT REV]]-Table28[[#This Row],[SEAT REV
(IF IDEAL $)]]</f>
        <v>0</v>
      </c>
      <c r="AA126" s="26" t="s">
        <v>19536</v>
      </c>
      <c r="AB126" s="26" t="s">
        <v>71</v>
      </c>
      <c r="AC126" s="26" t="s">
        <v>5639</v>
      </c>
      <c r="AD126" s="174">
        <v>13313</v>
      </c>
      <c r="AE126" s="26">
        <v>3354</v>
      </c>
      <c r="AF126" s="16">
        <v>3354</v>
      </c>
      <c r="AS126" s="16" t="s">
        <v>258</v>
      </c>
      <c r="AT126" s="16" t="s">
        <v>11047</v>
      </c>
      <c r="AU126" s="16" t="s">
        <v>5497</v>
      </c>
      <c r="AV126" s="16" t="s">
        <v>18881</v>
      </c>
      <c r="AW126" s="16" t="s">
        <v>18899</v>
      </c>
      <c r="AX126" s="16" t="s">
        <v>18953</v>
      </c>
      <c r="AY126" s="385">
        <v>8029</v>
      </c>
    </row>
    <row r="127" spans="1:51" x14ac:dyDescent="0.25">
      <c r="A127" s="16" t="s">
        <v>19039</v>
      </c>
      <c r="B127" s="16" t="s">
        <v>4831</v>
      </c>
      <c r="D127" s="16">
        <v>3</v>
      </c>
      <c r="E127" s="16" t="s">
        <v>4829</v>
      </c>
      <c r="F127" s="16" t="str">
        <f>VLOOKUP(Table28[[#This Row],[Country]],Table10[[COUNTRY NAME]:[CONTINENT CODE]],3,FALSE)</f>
        <v>AS</v>
      </c>
      <c r="G127" s="16" t="s">
        <v>12108</v>
      </c>
      <c r="H127" s="181">
        <v>5761</v>
      </c>
      <c r="I127" s="180">
        <v>14.75</v>
      </c>
      <c r="K127" s="316">
        <f>IFERROR(Table28[[#This Row],[ROUTE COST]]/Table28[[#This Row],[O - DEMAND]],0)</f>
        <v>0</v>
      </c>
      <c r="M127" s="16">
        <f>Table28[[#This Row],[O - DEMAND]]/950</f>
        <v>0</v>
      </c>
      <c r="N127" s="16">
        <f>IFERROR(VLOOKUP(Table28[[#This Row],[ROUTE]],DEMAND!A:F,5,FALSE),0)</f>
        <v>0</v>
      </c>
      <c r="O127" s="16">
        <f>IFERROR(VLOOKUP(Table28[[#This Row],[ROUTE]],DEMAND!A:F,6,FALSE),0)</f>
        <v>0</v>
      </c>
      <c r="P127" s="16">
        <f>ROUNDDOWN(Table28[[#This Row],[R-DEMAND]]/950,0)</f>
        <v>0</v>
      </c>
      <c r="Q127" s="16">
        <f>Table28[[#This Row],[ADD ACC
(475/950)]]*Table28[[#This Row],[Duration
(A359)]]</f>
        <v>0</v>
      </c>
      <c r="R127" s="16">
        <f>IFERROR(VLOOKUP(Table28[[#This Row],[ROUTE]],PRICING!A:B,2,FALSE),0)</f>
        <v>0</v>
      </c>
      <c r="S127" s="16">
        <f>Table28[[#This Row],[C_DEMAND]]-Table28[[#This Row],[R-DEMAND]]</f>
        <v>0</v>
      </c>
      <c r="T127" s="316">
        <f>Table28[[#This Row],[SEATS SOLD]]*Table28[[#This Row],[ECO SEAT]]</f>
        <v>0</v>
      </c>
      <c r="U127" s="316">
        <f>Table28[[#This Row],[SEATS SOLD]]*(IFERROR(VLOOKUP(Table28[[#This Row],[ROUTE]],PRICING!A:C,3,FALSE),0))</f>
        <v>0</v>
      </c>
      <c r="V127" s="316">
        <f>Table28[[#This Row],[SEAT REV]]-Table28[[#This Row],[SEAT REV
(IF IDEAL $)]]</f>
        <v>0</v>
      </c>
      <c r="AA127" s="26" t="s">
        <v>19282</v>
      </c>
      <c r="AB127" s="26" t="s">
        <v>71</v>
      </c>
      <c r="AC127" s="26" t="s">
        <v>234</v>
      </c>
      <c r="AD127" s="174">
        <v>11026</v>
      </c>
      <c r="AE127" s="26">
        <v>4177</v>
      </c>
      <c r="AF127" s="16">
        <v>4177</v>
      </c>
      <c r="AS127" s="16" t="s">
        <v>14</v>
      </c>
      <c r="AT127" s="16" t="s">
        <v>12044</v>
      </c>
      <c r="AU127" s="16" t="s">
        <v>4118</v>
      </c>
      <c r="AV127" s="16" t="s">
        <v>18892</v>
      </c>
      <c r="AW127" s="16" t="s">
        <v>18879</v>
      </c>
      <c r="AX127" s="16" t="s">
        <v>18953</v>
      </c>
      <c r="AY127" s="385">
        <v>8030</v>
      </c>
    </row>
    <row r="128" spans="1:51" x14ac:dyDescent="0.25">
      <c r="A128" s="16" t="s">
        <v>19241</v>
      </c>
      <c r="B128" s="16" t="s">
        <v>390</v>
      </c>
      <c r="D128" s="16">
        <v>1</v>
      </c>
      <c r="E128" s="16" t="s">
        <v>533</v>
      </c>
      <c r="F128" s="16" t="str">
        <f>VLOOKUP(Table28[[#This Row],[Country]],Table10[[COUNTRY NAME]:[CONTINENT CODE]],3,FALSE)</f>
        <v>AS</v>
      </c>
      <c r="G128" s="16" t="s">
        <v>12004</v>
      </c>
      <c r="H128" s="181">
        <v>10246</v>
      </c>
      <c r="I128" s="180">
        <v>24.5</v>
      </c>
      <c r="K128" s="316">
        <f>IFERROR(Table28[[#This Row],[ROUTE COST]]/Table28[[#This Row],[O - DEMAND]],0)</f>
        <v>0</v>
      </c>
      <c r="M128" s="16">
        <f>Table28[[#This Row],[O - DEMAND]]/950</f>
        <v>0</v>
      </c>
      <c r="N128" s="16">
        <f>IFERROR(VLOOKUP(Table28[[#This Row],[ROUTE]],DEMAND!A:F,5,FALSE),0)</f>
        <v>0</v>
      </c>
      <c r="O128" s="16">
        <f>IFERROR(VLOOKUP(Table28[[#This Row],[ROUTE]],DEMAND!A:F,6,FALSE),0)</f>
        <v>0</v>
      </c>
      <c r="P128" s="16">
        <f>ROUNDDOWN(Table28[[#This Row],[R-DEMAND]]/950,0)</f>
        <v>0</v>
      </c>
      <c r="Q128" s="16">
        <f>Table28[[#This Row],[ADD ACC
(475/950)]]*Table28[[#This Row],[Duration
(A359)]]</f>
        <v>0</v>
      </c>
      <c r="R128" s="16">
        <f>IFERROR(VLOOKUP(Table28[[#This Row],[ROUTE]],PRICING!A:B,2,FALSE),0)</f>
        <v>0</v>
      </c>
      <c r="S128" s="16">
        <f>Table28[[#This Row],[C_DEMAND]]-Table28[[#This Row],[R-DEMAND]]</f>
        <v>0</v>
      </c>
      <c r="T128" s="316">
        <f>Table28[[#This Row],[SEATS SOLD]]*Table28[[#This Row],[ECO SEAT]]</f>
        <v>0</v>
      </c>
      <c r="U128" s="316">
        <f>Table28[[#This Row],[SEATS SOLD]]*(IFERROR(VLOOKUP(Table28[[#This Row],[ROUTE]],PRICING!A:C,3,FALSE),0))</f>
        <v>0</v>
      </c>
      <c r="V128" s="316">
        <f>Table28[[#This Row],[SEAT REV]]-Table28[[#This Row],[SEAT REV
(IF IDEAL $)]]</f>
        <v>0</v>
      </c>
      <c r="AA128" s="26" t="s">
        <v>19344</v>
      </c>
      <c r="AB128" s="26" t="s">
        <v>71</v>
      </c>
      <c r="AC128" s="26" t="s">
        <v>3668</v>
      </c>
      <c r="AD128" s="174">
        <v>11983</v>
      </c>
      <c r="AE128" s="26">
        <v>3611</v>
      </c>
      <c r="AF128" s="16">
        <v>3611</v>
      </c>
      <c r="AS128" s="16" t="s">
        <v>258</v>
      </c>
      <c r="AT128" s="16" t="s">
        <v>16829</v>
      </c>
      <c r="AU128" s="16" t="s">
        <v>3233</v>
      </c>
      <c r="AV128" s="16" t="s">
        <v>18878</v>
      </c>
      <c r="AW128" s="16" t="s">
        <v>18879</v>
      </c>
      <c r="AX128" s="16" t="s">
        <v>18953</v>
      </c>
      <c r="AY128" s="385">
        <v>8046</v>
      </c>
    </row>
    <row r="129" spans="1:51" x14ac:dyDescent="0.25">
      <c r="A129" s="16" t="s">
        <v>19513</v>
      </c>
      <c r="B129" s="16" t="s">
        <v>4306</v>
      </c>
      <c r="E129" s="16" t="s">
        <v>11732</v>
      </c>
      <c r="F129" s="16" t="str">
        <f>VLOOKUP(Table28[[#This Row],[Country]],Table10[[COUNTRY NAME]:[CONTINENT CODE]],3,FALSE)</f>
        <v>NA - US</v>
      </c>
      <c r="G129" s="16" t="s">
        <v>16953</v>
      </c>
      <c r="H129" s="181">
        <v>13182</v>
      </c>
      <c r="I129" s="180">
        <v>31</v>
      </c>
      <c r="K129" s="316">
        <f>IFERROR(Table28[[#This Row],[ROUTE COST]]/Table28[[#This Row],[O - DEMAND]],0)</f>
        <v>0</v>
      </c>
      <c r="M129" s="180">
        <f>Table28[[#This Row],[O - DEMAND]]/950</f>
        <v>0</v>
      </c>
      <c r="N129" s="16">
        <f>IFERROR(VLOOKUP(Table28[[#This Row],[ROUTE]],DEMAND!A:F,5,FALSE),0)</f>
        <v>0</v>
      </c>
      <c r="O129" s="16">
        <f>IFERROR(VLOOKUP(Table28[[#This Row],[ROUTE]],DEMAND!A:F,6,FALSE),0)</f>
        <v>0</v>
      </c>
      <c r="P129" s="16">
        <f>ROUNDDOWN(Table28[[#This Row],[R-DEMAND]]/950,0)</f>
        <v>0</v>
      </c>
      <c r="Q129" s="16">
        <f>Table28[[#This Row],[ADD ACC
(475/950)]]*Table28[[#This Row],[Duration
(A359)]]</f>
        <v>0</v>
      </c>
      <c r="R129" s="16">
        <f>IFERROR(VLOOKUP(Table28[[#This Row],[ROUTE]],PRICING!A:B,2,FALSE),0)</f>
        <v>0</v>
      </c>
      <c r="S129" s="16">
        <f>Table28[[#This Row],[C_DEMAND]]-Table28[[#This Row],[R-DEMAND]]</f>
        <v>0</v>
      </c>
      <c r="T129" s="316">
        <f>Table28[[#This Row],[SEATS SOLD]]*Table28[[#This Row],[ECO SEAT]]</f>
        <v>0</v>
      </c>
      <c r="U129" s="316">
        <f>Table28[[#This Row],[SEATS SOLD]]*(IFERROR(VLOOKUP(Table28[[#This Row],[ROUTE]],PRICING!A:C,3,FALSE),0))</f>
        <v>0</v>
      </c>
      <c r="V129" s="316">
        <f>Table28[[#This Row],[SEAT REV]]-Table28[[#This Row],[SEAT REV
(IF IDEAL $)]]</f>
        <v>0</v>
      </c>
      <c r="AA129" s="26" t="s">
        <v>19303</v>
      </c>
      <c r="AB129" s="26" t="s">
        <v>71</v>
      </c>
      <c r="AC129" s="26" t="s">
        <v>232</v>
      </c>
      <c r="AD129" s="174">
        <v>11432</v>
      </c>
      <c r="AE129" s="26">
        <v>2815</v>
      </c>
      <c r="AF129" s="16">
        <v>2815</v>
      </c>
      <c r="AS129" s="16" t="s">
        <v>332</v>
      </c>
      <c r="AT129" s="16" t="s">
        <v>12086</v>
      </c>
      <c r="AU129" s="16" t="s">
        <v>357</v>
      </c>
      <c r="AV129" s="16" t="s">
        <v>18881</v>
      </c>
      <c r="AW129" s="16" t="s">
        <v>18885</v>
      </c>
      <c r="AX129" s="16" t="s">
        <v>18953</v>
      </c>
      <c r="AY129" s="385">
        <v>8057</v>
      </c>
    </row>
    <row r="130" spans="1:51" x14ac:dyDescent="0.25">
      <c r="A130" s="16" t="s">
        <v>19594</v>
      </c>
      <c r="B130" s="16" t="s">
        <v>4548</v>
      </c>
      <c r="C130" s="16" t="s">
        <v>467</v>
      </c>
      <c r="D130" s="16">
        <v>2</v>
      </c>
      <c r="E130" s="16" t="s">
        <v>4546</v>
      </c>
      <c r="F130" s="16" t="str">
        <f>VLOOKUP(Table28[[#This Row],[Country]],Table10[[COUNTRY NAME]:[CONTINENT CODE]],3,FALSE)</f>
        <v>AF</v>
      </c>
      <c r="G130" s="16" t="s">
        <v>11821</v>
      </c>
      <c r="H130" s="181">
        <v>13743</v>
      </c>
      <c r="I130" s="180">
        <v>32.25</v>
      </c>
      <c r="K130" s="316">
        <f>IFERROR(Table28[[#This Row],[ROUTE COST]]/Table28[[#This Row],[O - DEMAND]],0)</f>
        <v>0</v>
      </c>
      <c r="M130" s="16">
        <f>Table28[[#This Row],[O - DEMAND]]/950</f>
        <v>0</v>
      </c>
      <c r="N130" s="16">
        <f>IFERROR(VLOOKUP(Table28[[#This Row],[ROUTE]],DEMAND!A:F,5,FALSE),0)</f>
        <v>3490</v>
      </c>
      <c r="O130" s="16">
        <f>IFERROR(VLOOKUP(Table28[[#This Row],[ROUTE]],DEMAND!A:F,6,FALSE),0)</f>
        <v>640</v>
      </c>
      <c r="P130" s="16">
        <f>ROUNDDOWN(Table28[[#This Row],[R-DEMAND]]/950,0)</f>
        <v>0</v>
      </c>
      <c r="Q130" s="16">
        <f>Table28[[#This Row],[ADD ACC
(475/950)]]*Table28[[#This Row],[Duration
(A359)]]</f>
        <v>0</v>
      </c>
      <c r="R130" s="16">
        <f>IFERROR(VLOOKUP(Table28[[#This Row],[ROUTE]],PRICING!A:B,2,FALSE),0)</f>
        <v>0</v>
      </c>
      <c r="S130" s="16">
        <f>Table28[[#This Row],[C_DEMAND]]-Table28[[#This Row],[R-DEMAND]]</f>
        <v>2850</v>
      </c>
      <c r="T130" s="316">
        <f>Table28[[#This Row],[SEATS SOLD]]*Table28[[#This Row],[ECO SEAT]]</f>
        <v>0</v>
      </c>
      <c r="U130" s="316">
        <f>Table28[[#This Row],[SEATS SOLD]]*(IFERROR(VLOOKUP(Table28[[#This Row],[ROUTE]],PRICING!A:C,3,FALSE),0))</f>
        <v>0</v>
      </c>
      <c r="V130" s="316">
        <f>Table28[[#This Row],[SEAT REV]]-Table28[[#This Row],[SEAT REV
(IF IDEAL $)]]</f>
        <v>0</v>
      </c>
      <c r="AA130" s="26" t="s">
        <v>19760</v>
      </c>
      <c r="AB130" s="26" t="s">
        <v>71</v>
      </c>
      <c r="AC130" s="26" t="s">
        <v>5419</v>
      </c>
      <c r="AD130" s="174">
        <v>14924</v>
      </c>
      <c r="AE130" s="26">
        <v>2416</v>
      </c>
      <c r="AF130" s="16">
        <v>2416</v>
      </c>
      <c r="AS130" s="16" t="s">
        <v>14</v>
      </c>
      <c r="AT130" s="16" t="s">
        <v>146</v>
      </c>
      <c r="AU130" s="16" t="s">
        <v>147</v>
      </c>
      <c r="AV130" s="16" t="s">
        <v>18884</v>
      </c>
      <c r="AW130" s="16" t="s">
        <v>18899</v>
      </c>
      <c r="AX130" s="16" t="s">
        <v>18953</v>
      </c>
      <c r="AY130" s="385">
        <v>8079</v>
      </c>
    </row>
    <row r="131" spans="1:51" x14ac:dyDescent="0.25">
      <c r="A131" s="16" t="s">
        <v>19686</v>
      </c>
      <c r="B131" s="16" t="s">
        <v>388</v>
      </c>
      <c r="C131" s="16" t="s">
        <v>467</v>
      </c>
      <c r="D131" s="16">
        <v>4</v>
      </c>
      <c r="E131" s="16" t="s">
        <v>1124</v>
      </c>
      <c r="F131" s="16" t="str">
        <f>VLOOKUP(Table28[[#This Row],[Country]],Table10[[COUNTRY NAME]:[CONTINENT CODE]],3,FALSE)</f>
        <v>AF</v>
      </c>
      <c r="G131" s="16" t="s">
        <v>11101</v>
      </c>
      <c r="H131" s="181">
        <v>14407</v>
      </c>
      <c r="I131" s="180">
        <v>33.75</v>
      </c>
      <c r="K131" s="316">
        <f>IFERROR(Table28[[#This Row],[ROUTE COST]]/Table28[[#This Row],[O - DEMAND]],0)</f>
        <v>0</v>
      </c>
      <c r="M131" s="16">
        <f>Table28[[#This Row],[O - DEMAND]]/950</f>
        <v>0</v>
      </c>
      <c r="N131" s="16">
        <f>IFERROR(VLOOKUP(Table28[[#This Row],[ROUTE]],DEMAND!A:F,5,FALSE),0)</f>
        <v>2884</v>
      </c>
      <c r="O131" s="16">
        <f>IFERROR(VLOOKUP(Table28[[#This Row],[ROUTE]],DEMAND!A:F,6,FALSE),0)</f>
        <v>34</v>
      </c>
      <c r="P131" s="16">
        <f>ROUNDDOWN(Table28[[#This Row],[R-DEMAND]]/950,0)</f>
        <v>0</v>
      </c>
      <c r="Q131" s="16">
        <f>Table28[[#This Row],[ADD ACC
(475/950)]]*Table28[[#This Row],[Duration
(A359)]]</f>
        <v>0</v>
      </c>
      <c r="R131" s="16">
        <f>IFERROR(VLOOKUP(Table28[[#This Row],[ROUTE]],PRICING!A:B,2,FALSE),0)</f>
        <v>0</v>
      </c>
      <c r="S131" s="16">
        <f>Table28[[#This Row],[C_DEMAND]]-Table28[[#This Row],[R-DEMAND]]</f>
        <v>2850</v>
      </c>
      <c r="T131" s="316">
        <f>Table28[[#This Row],[SEATS SOLD]]*Table28[[#This Row],[ECO SEAT]]</f>
        <v>0</v>
      </c>
      <c r="U131" s="316">
        <f>Table28[[#This Row],[SEATS SOLD]]*(IFERROR(VLOOKUP(Table28[[#This Row],[ROUTE]],PRICING!A:C,3,FALSE),0))</f>
        <v>0</v>
      </c>
      <c r="V131" s="316">
        <f>Table28[[#This Row],[SEAT REV]]-Table28[[#This Row],[SEAT REV
(IF IDEAL $)]]</f>
        <v>0</v>
      </c>
      <c r="AA131" s="26" t="s">
        <v>19310</v>
      </c>
      <c r="AB131" s="26" t="s">
        <v>71</v>
      </c>
      <c r="AC131" s="26" t="s">
        <v>3674</v>
      </c>
      <c r="AD131" s="174">
        <v>11516</v>
      </c>
      <c r="AE131" s="26">
        <v>2366</v>
      </c>
      <c r="AF131" s="16">
        <v>2366</v>
      </c>
      <c r="AS131" s="16" t="s">
        <v>142</v>
      </c>
      <c r="AT131" s="16" t="s">
        <v>11997</v>
      </c>
      <c r="AU131" s="16" t="s">
        <v>5204</v>
      </c>
      <c r="AV131" s="16" t="s">
        <v>18892</v>
      </c>
      <c r="AW131" s="16" t="s">
        <v>18885</v>
      </c>
      <c r="AX131" s="16" t="s">
        <v>18952</v>
      </c>
      <c r="AY131" s="385">
        <v>8087</v>
      </c>
    </row>
    <row r="132" spans="1:51" x14ac:dyDescent="0.25">
      <c r="A132" s="16" t="s">
        <v>19088</v>
      </c>
      <c r="B132" s="16" t="s">
        <v>385</v>
      </c>
      <c r="C132" s="16" t="s">
        <v>467</v>
      </c>
      <c r="D132" s="16">
        <v>5</v>
      </c>
      <c r="E132" s="16" t="s">
        <v>14</v>
      </c>
      <c r="F132" s="16" t="str">
        <f>VLOOKUP(Table28[[#This Row],[Country]],Table10[[COUNTRY NAME]:[CONTINENT CODE]],3,FALSE)</f>
        <v>AS</v>
      </c>
      <c r="G132" s="16" t="s">
        <v>384</v>
      </c>
      <c r="H132" s="181">
        <v>7531</v>
      </c>
      <c r="I132" s="180">
        <v>18.75</v>
      </c>
      <c r="K132" s="316">
        <f>IFERROR(Table28[[#This Row],[ROUTE COST]]/Table28[[#This Row],[O - DEMAND]],0)</f>
        <v>0</v>
      </c>
      <c r="M132" s="16">
        <f>Table28[[#This Row],[O - DEMAND]]/950</f>
        <v>0</v>
      </c>
      <c r="N132" s="16">
        <f>IFERROR(VLOOKUP(Table28[[#This Row],[ROUTE]],DEMAND!A:F,5,FALSE),0)</f>
        <v>3482</v>
      </c>
      <c r="O132" s="16">
        <f>IFERROR(VLOOKUP(Table28[[#This Row],[ROUTE]],DEMAND!A:F,6,FALSE),0)</f>
        <v>632</v>
      </c>
      <c r="P132" s="16">
        <f>ROUNDDOWN(Table28[[#This Row],[R-DEMAND]]/950,0)</f>
        <v>0</v>
      </c>
      <c r="Q132" s="16">
        <f>Table28[[#This Row],[ADD ACC
(475/950)]]*Table28[[#This Row],[Duration
(A359)]]</f>
        <v>0</v>
      </c>
      <c r="R132" s="16">
        <f>IFERROR(VLOOKUP(Table28[[#This Row],[ROUTE]],PRICING!A:B,2,FALSE),0)</f>
        <v>0</v>
      </c>
      <c r="S132" s="16">
        <f>Table28[[#This Row],[C_DEMAND]]-Table28[[#This Row],[R-DEMAND]]</f>
        <v>2850</v>
      </c>
      <c r="T132" s="316">
        <f>Table28[[#This Row],[SEATS SOLD]]*Table28[[#This Row],[ECO SEAT]]</f>
        <v>0</v>
      </c>
      <c r="U132" s="316">
        <f>Table28[[#This Row],[SEATS SOLD]]*(IFERROR(VLOOKUP(Table28[[#This Row],[ROUTE]],PRICING!A:C,3,FALSE),0))</f>
        <v>0</v>
      </c>
      <c r="V132" s="316">
        <f>Table28[[#This Row],[SEAT REV]]-Table28[[#This Row],[SEAT REV
(IF IDEAL $)]]</f>
        <v>0</v>
      </c>
      <c r="AA132" s="26" t="s">
        <v>19295</v>
      </c>
      <c r="AB132" s="26" t="s">
        <v>71</v>
      </c>
      <c r="AC132" s="26" t="s">
        <v>4172</v>
      </c>
      <c r="AD132" s="174">
        <v>11239</v>
      </c>
      <c r="AE132" s="26">
        <v>2711</v>
      </c>
      <c r="AF132" s="16">
        <v>2711</v>
      </c>
      <c r="AS132" s="16" t="s">
        <v>332</v>
      </c>
      <c r="AT132" s="16" t="s">
        <v>12084</v>
      </c>
      <c r="AU132" s="16" t="s">
        <v>371</v>
      </c>
      <c r="AV132" s="16" t="s">
        <v>18892</v>
      </c>
      <c r="AW132" s="16" t="s">
        <v>18879</v>
      </c>
      <c r="AX132" s="16" t="s">
        <v>18952</v>
      </c>
      <c r="AY132" s="385">
        <v>8088</v>
      </c>
    </row>
    <row r="133" spans="1:51" x14ac:dyDescent="0.25">
      <c r="A133" s="16" t="s">
        <v>19500</v>
      </c>
      <c r="B133" s="16" t="s">
        <v>4291</v>
      </c>
      <c r="C133" s="16" t="s">
        <v>467</v>
      </c>
      <c r="D133" s="16">
        <v>2</v>
      </c>
      <c r="E133" s="16" t="s">
        <v>1144</v>
      </c>
      <c r="F133" s="16" t="str">
        <f>VLOOKUP(Table28[[#This Row],[Country]],Table10[[COUNTRY NAME]:[CONTINENT CODE]],3,FALSE)</f>
        <v>SA</v>
      </c>
      <c r="G133" s="16" t="s">
        <v>13150</v>
      </c>
      <c r="H133" s="181">
        <v>13070</v>
      </c>
      <c r="I133" s="180">
        <v>30.75</v>
      </c>
      <c r="K133" s="316">
        <f>IFERROR(Table28[[#This Row],[ROUTE COST]]/Table28[[#This Row],[O - DEMAND]],0)</f>
        <v>0</v>
      </c>
      <c r="M133" s="16">
        <f>Table28[[#This Row],[O - DEMAND]]/950</f>
        <v>0</v>
      </c>
      <c r="N133" s="16">
        <f>IFERROR(VLOOKUP(Table28[[#This Row],[ROUTE]],DEMAND!A:F,5,FALSE),0)</f>
        <v>3001</v>
      </c>
      <c r="O133" s="16">
        <f>IFERROR(VLOOKUP(Table28[[#This Row],[ROUTE]],DEMAND!A:F,6,FALSE),0)</f>
        <v>151</v>
      </c>
      <c r="P133" s="16">
        <f>ROUNDDOWN(Table28[[#This Row],[R-DEMAND]]/950,0)</f>
        <v>0</v>
      </c>
      <c r="Q133" s="16">
        <f>Table28[[#This Row],[ADD ACC
(475/950)]]*Table28[[#This Row],[Duration
(A359)]]</f>
        <v>0</v>
      </c>
      <c r="R133" s="16">
        <f>IFERROR(VLOOKUP(Table28[[#This Row],[ROUTE]],PRICING!A:B,2,FALSE),0)</f>
        <v>0</v>
      </c>
      <c r="S133" s="16">
        <f>Table28[[#This Row],[C_DEMAND]]-Table28[[#This Row],[R-DEMAND]]</f>
        <v>2850</v>
      </c>
      <c r="T133" s="316">
        <f>Table28[[#This Row],[SEATS SOLD]]*Table28[[#This Row],[ECO SEAT]]</f>
        <v>0</v>
      </c>
      <c r="U133" s="316">
        <f>Table28[[#This Row],[SEATS SOLD]]*(IFERROR(VLOOKUP(Table28[[#This Row],[ROUTE]],PRICING!A:C,3,FALSE),0))</f>
        <v>0</v>
      </c>
      <c r="V133" s="316">
        <f>Table28[[#This Row],[SEAT REV]]-Table28[[#This Row],[SEAT REV
(IF IDEAL $)]]</f>
        <v>0</v>
      </c>
      <c r="AA133" s="26" t="s">
        <v>19066</v>
      </c>
      <c r="AB133" s="26" t="s">
        <v>71</v>
      </c>
      <c r="AC133" s="26" t="s">
        <v>5275</v>
      </c>
      <c r="AD133" s="174">
        <v>7082</v>
      </c>
      <c r="AE133" s="26">
        <v>2198</v>
      </c>
      <c r="AF133" s="16">
        <v>2198</v>
      </c>
      <c r="AS133" s="16" t="s">
        <v>258</v>
      </c>
      <c r="AT133" s="16" t="s">
        <v>8977</v>
      </c>
      <c r="AU133" s="16" t="s">
        <v>4764</v>
      </c>
      <c r="AV133" s="16" t="s">
        <v>18892</v>
      </c>
      <c r="AW133" s="16" t="s">
        <v>18885</v>
      </c>
      <c r="AX133" s="16" t="s">
        <v>18952</v>
      </c>
      <c r="AY133" s="385">
        <v>8090</v>
      </c>
    </row>
    <row r="134" spans="1:51" x14ac:dyDescent="0.25">
      <c r="A134" s="16" t="s">
        <v>18995</v>
      </c>
      <c r="B134" s="16" t="s">
        <v>5200</v>
      </c>
      <c r="D134" s="16">
        <v>3</v>
      </c>
      <c r="E134" s="16" t="s">
        <v>774</v>
      </c>
      <c r="F134" s="16" t="str">
        <f>VLOOKUP(Table28[[#This Row],[Country]],Table10[[COUNTRY NAME]:[CONTINENT CODE]],3,FALSE)</f>
        <v>OC</v>
      </c>
      <c r="G134" s="16" t="s">
        <v>10392</v>
      </c>
      <c r="H134" s="181">
        <v>236</v>
      </c>
      <c r="I134" s="180">
        <v>2.75</v>
      </c>
      <c r="K134" s="316">
        <f>IFERROR(Table28[[#This Row],[ROUTE COST]]/Table28[[#This Row],[O - DEMAND]],0)</f>
        <v>0</v>
      </c>
      <c r="M134" s="16">
        <f>Table28[[#This Row],[O - DEMAND]]/950</f>
        <v>0</v>
      </c>
      <c r="N134" s="16">
        <f>IFERROR(VLOOKUP(Table28[[#This Row],[ROUTE]],DEMAND!A:F,5,FALSE),0)</f>
        <v>0</v>
      </c>
      <c r="O134" s="16">
        <f>IFERROR(VLOOKUP(Table28[[#This Row],[ROUTE]],DEMAND!A:F,6,FALSE),0)</f>
        <v>0</v>
      </c>
      <c r="P134" s="16">
        <f>ROUNDDOWN(Table28[[#This Row],[R-DEMAND]]/950,0)</f>
        <v>0</v>
      </c>
      <c r="Q134" s="16">
        <f>Table28[[#This Row],[ADD ACC
(475/950)]]*Table28[[#This Row],[Duration
(A359)]]</f>
        <v>0</v>
      </c>
      <c r="R134" s="16">
        <f>IFERROR(VLOOKUP(Table28[[#This Row],[ROUTE]],PRICING!A:B,2,FALSE),0)</f>
        <v>0</v>
      </c>
      <c r="S134" s="16">
        <f>Table28[[#This Row],[C_DEMAND]]-Table28[[#This Row],[R-DEMAND]]</f>
        <v>0</v>
      </c>
      <c r="T134" s="316">
        <f>Table28[[#This Row],[SEATS SOLD]]*Table28[[#This Row],[ECO SEAT]]</f>
        <v>0</v>
      </c>
      <c r="U134" s="316">
        <f>Table28[[#This Row],[SEATS SOLD]]*(IFERROR(VLOOKUP(Table28[[#This Row],[ROUTE]],PRICING!A:C,3,FALSE),0))</f>
        <v>0</v>
      </c>
      <c r="V134" s="316">
        <f>Table28[[#This Row],[SEAT REV]]-Table28[[#This Row],[SEAT REV
(IF IDEAL $)]]</f>
        <v>0</v>
      </c>
      <c r="AA134" s="26" t="s">
        <v>19281</v>
      </c>
      <c r="AB134" s="26" t="s">
        <v>71</v>
      </c>
      <c r="AC134" s="26" t="s">
        <v>224</v>
      </c>
      <c r="AD134" s="174">
        <v>11013</v>
      </c>
      <c r="AE134" s="26">
        <v>4177</v>
      </c>
      <c r="AF134" s="16">
        <v>4177</v>
      </c>
      <c r="AS134" s="16" t="s">
        <v>258</v>
      </c>
      <c r="AT134" s="16" t="s">
        <v>12025</v>
      </c>
      <c r="AU134" s="16" t="s">
        <v>2253</v>
      </c>
      <c r="AV134" s="16" t="s">
        <v>18892</v>
      </c>
      <c r="AW134" s="16" t="s">
        <v>18890</v>
      </c>
      <c r="AX134" s="16" t="s">
        <v>18952</v>
      </c>
      <c r="AY134" s="385">
        <v>8090</v>
      </c>
    </row>
    <row r="135" spans="1:51" x14ac:dyDescent="0.25">
      <c r="A135" s="16" t="s">
        <v>19516</v>
      </c>
      <c r="B135" s="16" t="s">
        <v>2531</v>
      </c>
      <c r="D135" s="16">
        <v>2</v>
      </c>
      <c r="E135" s="16" t="s">
        <v>644</v>
      </c>
      <c r="F135" s="16" t="str">
        <f>VLOOKUP(Table28[[#This Row],[Country]],Table10[[COUNTRY NAME]:[CONTINENT CODE]],3,FALSE)</f>
        <v>AF</v>
      </c>
      <c r="G135" s="16" t="s">
        <v>11812</v>
      </c>
      <c r="H135" s="181">
        <v>13188</v>
      </c>
      <c r="I135" s="180">
        <v>31</v>
      </c>
      <c r="K135" s="316">
        <f>IFERROR(Table28[[#This Row],[ROUTE COST]]/Table28[[#This Row],[O - DEMAND]],0)</f>
        <v>0</v>
      </c>
      <c r="M135" s="16">
        <f>Table28[[#This Row],[O - DEMAND]]/950</f>
        <v>0</v>
      </c>
      <c r="N135" s="16">
        <f>IFERROR(VLOOKUP(Table28[[#This Row],[ROUTE]],DEMAND!A:F,5,FALSE),0)</f>
        <v>0</v>
      </c>
      <c r="O135" s="16">
        <f>IFERROR(VLOOKUP(Table28[[#This Row],[ROUTE]],DEMAND!A:F,6,FALSE),0)</f>
        <v>0</v>
      </c>
      <c r="P135" s="16">
        <f>ROUNDDOWN(Table28[[#This Row],[R-DEMAND]]/950,0)</f>
        <v>0</v>
      </c>
      <c r="Q135" s="16">
        <f>Table28[[#This Row],[ADD ACC
(475/950)]]*Table28[[#This Row],[Duration
(A359)]]</f>
        <v>0</v>
      </c>
      <c r="R135" s="16">
        <f>IFERROR(VLOOKUP(Table28[[#This Row],[ROUTE]],PRICING!A:B,2,FALSE),0)</f>
        <v>0</v>
      </c>
      <c r="S135" s="16">
        <f>Table28[[#This Row],[C_DEMAND]]-Table28[[#This Row],[R-DEMAND]]</f>
        <v>0</v>
      </c>
      <c r="T135" s="316">
        <f>Table28[[#This Row],[SEATS SOLD]]*Table28[[#This Row],[ECO SEAT]]</f>
        <v>0</v>
      </c>
      <c r="U135" s="316">
        <f>Table28[[#This Row],[SEATS SOLD]]*(IFERROR(VLOOKUP(Table28[[#This Row],[ROUTE]],PRICING!A:C,3,FALSE),0))</f>
        <v>0</v>
      </c>
      <c r="V135" s="316">
        <f>Table28[[#This Row],[SEAT REV]]-Table28[[#This Row],[SEAT REV
(IF IDEAL $)]]</f>
        <v>0</v>
      </c>
      <c r="AA135" s="26" t="s">
        <v>19766</v>
      </c>
      <c r="AB135" s="26" t="s">
        <v>71</v>
      </c>
      <c r="AC135" s="26" t="s">
        <v>4896</v>
      </c>
      <c r="AD135" s="174">
        <v>14955</v>
      </c>
      <c r="AE135" s="26">
        <v>2224</v>
      </c>
      <c r="AF135" s="16">
        <v>2224</v>
      </c>
      <c r="AS135" s="16" t="s">
        <v>258</v>
      </c>
      <c r="AT135" s="16" t="s">
        <v>12021</v>
      </c>
      <c r="AU135" s="16" t="s">
        <v>4683</v>
      </c>
      <c r="AV135" s="16" t="s">
        <v>18892</v>
      </c>
      <c r="AW135" s="16" t="s">
        <v>18879</v>
      </c>
      <c r="AX135" s="16" t="s">
        <v>18952</v>
      </c>
      <c r="AY135" s="385">
        <v>8112</v>
      </c>
    </row>
    <row r="136" spans="1:51" x14ac:dyDescent="0.25">
      <c r="A136" s="16" t="s">
        <v>19777</v>
      </c>
      <c r="B136" s="16" t="s">
        <v>2710</v>
      </c>
      <c r="D136" s="16">
        <v>2</v>
      </c>
      <c r="E136" s="16" t="s">
        <v>683</v>
      </c>
      <c r="F136" s="16" t="str">
        <f>VLOOKUP(Table28[[#This Row],[Country]],Table10[[COUNTRY NAME]:[CONTINENT CODE]],3,FALSE)</f>
        <v>NA</v>
      </c>
      <c r="G136" s="16" t="s">
        <v>13190</v>
      </c>
      <c r="H136" s="181">
        <v>15038</v>
      </c>
      <c r="I136" s="180">
        <v>35.25</v>
      </c>
      <c r="K136" s="316">
        <f>IFERROR(Table28[[#This Row],[ROUTE COST]]/Table28[[#This Row],[O - DEMAND]],0)</f>
        <v>0</v>
      </c>
      <c r="M136" s="16">
        <f>Table28[[#This Row],[O - DEMAND]]/950</f>
        <v>0</v>
      </c>
      <c r="N136" s="16">
        <f>IFERROR(VLOOKUP(Table28[[#This Row],[ROUTE]],DEMAND!A:F,5,FALSE),0)</f>
        <v>0</v>
      </c>
      <c r="O136" s="16">
        <f>IFERROR(VLOOKUP(Table28[[#This Row],[ROUTE]],DEMAND!A:F,6,FALSE),0)</f>
        <v>0</v>
      </c>
      <c r="P136" s="16">
        <f>ROUNDDOWN(Table28[[#This Row],[R-DEMAND]]/950,0)</f>
        <v>0</v>
      </c>
      <c r="Q136" s="16">
        <f>Table28[[#This Row],[ADD ACC
(475/950)]]*Table28[[#This Row],[Duration
(A359)]]</f>
        <v>0</v>
      </c>
      <c r="R136" s="16">
        <f>IFERROR(VLOOKUP(Table28[[#This Row],[ROUTE]],PRICING!A:B,2,FALSE),0)</f>
        <v>0</v>
      </c>
      <c r="S136" s="16">
        <f>Table28[[#This Row],[C_DEMAND]]-Table28[[#This Row],[R-DEMAND]]</f>
        <v>0</v>
      </c>
      <c r="T136" s="316">
        <f>Table28[[#This Row],[SEATS SOLD]]*Table28[[#This Row],[ECO SEAT]]</f>
        <v>0</v>
      </c>
      <c r="U136" s="316">
        <f>Table28[[#This Row],[SEATS SOLD]]*(IFERROR(VLOOKUP(Table28[[#This Row],[ROUTE]],PRICING!A:C,3,FALSE),0))</f>
        <v>0</v>
      </c>
      <c r="V136" s="316">
        <f>Table28[[#This Row],[SEAT REV]]-Table28[[#This Row],[SEAT REV
(IF IDEAL $)]]</f>
        <v>0</v>
      </c>
      <c r="AA136" s="26" t="s">
        <v>19780</v>
      </c>
      <c r="AB136" s="26" t="s">
        <v>71</v>
      </c>
      <c r="AC136" s="26" t="s">
        <v>4436</v>
      </c>
      <c r="AD136" s="174">
        <v>15043</v>
      </c>
      <c r="AE136" s="26">
        <v>2313</v>
      </c>
      <c r="AF136" s="16">
        <v>2313</v>
      </c>
      <c r="AS136" s="16" t="s">
        <v>11046</v>
      </c>
      <c r="AT136" s="16" t="s">
        <v>12088</v>
      </c>
      <c r="AU136" s="16" t="s">
        <v>113</v>
      </c>
      <c r="AV136" s="16" t="s">
        <v>18884</v>
      </c>
      <c r="AW136" s="16" t="s">
        <v>18885</v>
      </c>
      <c r="AX136" s="16" t="s">
        <v>18952</v>
      </c>
      <c r="AY136" s="385">
        <v>8119</v>
      </c>
    </row>
    <row r="137" spans="1:51" x14ac:dyDescent="0.25">
      <c r="A137" s="16" t="s">
        <v>19212</v>
      </c>
      <c r="B137" s="16" t="s">
        <v>383</v>
      </c>
      <c r="D137" s="16">
        <v>3</v>
      </c>
      <c r="E137" s="16" t="s">
        <v>1070</v>
      </c>
      <c r="F137" s="16" t="str">
        <f>VLOOKUP(Table28[[#This Row],[Country]],Table10[[COUNTRY NAME]:[CONTINENT CODE]],3,FALSE)</f>
        <v>AS</v>
      </c>
      <c r="G137" s="16" t="s">
        <v>12063</v>
      </c>
      <c r="H137" s="181">
        <v>9373</v>
      </c>
      <c r="I137" s="180">
        <v>22.75</v>
      </c>
      <c r="K137" s="316">
        <f>IFERROR(Table28[[#This Row],[ROUTE COST]]/Table28[[#This Row],[O - DEMAND]],0)</f>
        <v>0</v>
      </c>
      <c r="M137" s="16">
        <f>Table28[[#This Row],[O - DEMAND]]/950</f>
        <v>0</v>
      </c>
      <c r="N137" s="16">
        <f>IFERROR(VLOOKUP(Table28[[#This Row],[ROUTE]],DEMAND!A:F,5,FALSE),0)</f>
        <v>0</v>
      </c>
      <c r="O137" s="16">
        <f>IFERROR(VLOOKUP(Table28[[#This Row],[ROUTE]],DEMAND!A:F,6,FALSE),0)</f>
        <v>0</v>
      </c>
      <c r="P137" s="16">
        <f>ROUNDDOWN(Table28[[#This Row],[R-DEMAND]]/950,0)</f>
        <v>0</v>
      </c>
      <c r="Q137" s="16">
        <f>Table28[[#This Row],[ADD ACC
(475/950)]]*Table28[[#This Row],[Duration
(A359)]]</f>
        <v>0</v>
      </c>
      <c r="R137" s="16">
        <f>IFERROR(VLOOKUP(Table28[[#This Row],[ROUTE]],PRICING!A:B,2,FALSE),0)</f>
        <v>0</v>
      </c>
      <c r="S137" s="16">
        <f>Table28[[#This Row],[C_DEMAND]]-Table28[[#This Row],[R-DEMAND]]</f>
        <v>0</v>
      </c>
      <c r="T137" s="316">
        <f>Table28[[#This Row],[SEATS SOLD]]*Table28[[#This Row],[ECO SEAT]]</f>
        <v>0</v>
      </c>
      <c r="U137" s="316">
        <f>Table28[[#This Row],[SEATS SOLD]]*(IFERROR(VLOOKUP(Table28[[#This Row],[ROUTE]],PRICING!A:C,3,FALSE),0))</f>
        <v>0</v>
      </c>
      <c r="V137" s="316">
        <f>Table28[[#This Row],[SEAT REV]]-Table28[[#This Row],[SEAT REV
(IF IDEAL $)]]</f>
        <v>0</v>
      </c>
      <c r="AA137" s="26" t="s">
        <v>19099</v>
      </c>
      <c r="AB137" s="26" t="s">
        <v>71</v>
      </c>
      <c r="AC137" s="26" t="s">
        <v>219</v>
      </c>
      <c r="AD137" s="174">
        <v>7784</v>
      </c>
      <c r="AE137" s="26">
        <v>2498</v>
      </c>
      <c r="AF137" s="16">
        <v>2498</v>
      </c>
      <c r="AS137" s="16" t="s">
        <v>14</v>
      </c>
      <c r="AT137" s="16" t="s">
        <v>12050</v>
      </c>
      <c r="AU137" s="16" t="s">
        <v>5194</v>
      </c>
      <c r="AV137" s="16" t="s">
        <v>18892</v>
      </c>
      <c r="AW137" s="16" t="s">
        <v>18885</v>
      </c>
      <c r="AX137" s="16" t="s">
        <v>18952</v>
      </c>
      <c r="AY137" s="385">
        <v>8126</v>
      </c>
    </row>
    <row r="138" spans="1:51" x14ac:dyDescent="0.25">
      <c r="A138" s="16" t="s">
        <v>19195</v>
      </c>
      <c r="B138" s="16" t="s">
        <v>378</v>
      </c>
      <c r="C138" s="16" t="s">
        <v>467</v>
      </c>
      <c r="D138" s="16">
        <v>4</v>
      </c>
      <c r="E138" s="16" t="s">
        <v>1070</v>
      </c>
      <c r="F138" s="16" t="str">
        <f>VLOOKUP(Table28[[#This Row],[Country]],Table10[[COUNTRY NAME]:[CONTINENT CODE]],3,FALSE)</f>
        <v>AS</v>
      </c>
      <c r="G138" s="16" t="s">
        <v>12071</v>
      </c>
      <c r="H138" s="181">
        <v>9143</v>
      </c>
      <c r="I138" s="180">
        <v>22.25</v>
      </c>
      <c r="K138" s="316">
        <f>IFERROR(Table28[[#This Row],[ROUTE COST]]/Table28[[#This Row],[O - DEMAND]],0)</f>
        <v>0</v>
      </c>
      <c r="M138" s="16">
        <f>Table28[[#This Row],[O - DEMAND]]/950</f>
        <v>0</v>
      </c>
      <c r="N138" s="16">
        <f>IFERROR(VLOOKUP(Table28[[#This Row],[ROUTE]],DEMAND!A:F,5,FALSE),0)</f>
        <v>3784</v>
      </c>
      <c r="O138" s="16">
        <f>IFERROR(VLOOKUP(Table28[[#This Row],[ROUTE]],DEMAND!A:F,6,FALSE),0)</f>
        <v>934</v>
      </c>
      <c r="P138" s="16">
        <f>ROUNDDOWN(Table28[[#This Row],[R-DEMAND]]/950,0)</f>
        <v>0</v>
      </c>
      <c r="Q138" s="16">
        <f>Table28[[#This Row],[ADD ACC
(475/950)]]*Table28[[#This Row],[Duration
(A359)]]</f>
        <v>0</v>
      </c>
      <c r="R138" s="16">
        <f>IFERROR(VLOOKUP(Table28[[#This Row],[ROUTE]],PRICING!A:B,2,FALSE),0)</f>
        <v>0</v>
      </c>
      <c r="S138" s="16">
        <f>Table28[[#This Row],[C_DEMAND]]-Table28[[#This Row],[R-DEMAND]]</f>
        <v>2850</v>
      </c>
      <c r="T138" s="316">
        <f>Table28[[#This Row],[SEATS SOLD]]*Table28[[#This Row],[ECO SEAT]]</f>
        <v>0</v>
      </c>
      <c r="U138" s="316">
        <f>Table28[[#This Row],[SEATS SOLD]]*(IFERROR(VLOOKUP(Table28[[#This Row],[ROUTE]],PRICING!A:C,3,FALSE),0))</f>
        <v>0</v>
      </c>
      <c r="V138" s="316">
        <f>Table28[[#This Row],[SEAT REV]]-Table28[[#This Row],[SEAT REV
(IF IDEAL $)]]</f>
        <v>0</v>
      </c>
      <c r="AA138" s="26" t="s">
        <v>19029</v>
      </c>
      <c r="AB138" s="26" t="s">
        <v>71</v>
      </c>
      <c r="AC138" s="26" t="s">
        <v>11164</v>
      </c>
      <c r="AD138" s="174">
        <v>5355</v>
      </c>
      <c r="AE138" s="26">
        <v>3301</v>
      </c>
      <c r="AF138" s="16">
        <v>3301</v>
      </c>
      <c r="AS138" s="16" t="s">
        <v>14</v>
      </c>
      <c r="AT138" s="16" t="s">
        <v>16816</v>
      </c>
      <c r="AU138" s="16" t="s">
        <v>3493</v>
      </c>
      <c r="AV138" s="16" t="s">
        <v>18878</v>
      </c>
      <c r="AW138" s="16" t="s">
        <v>18879</v>
      </c>
      <c r="AX138" s="16" t="s">
        <v>18952</v>
      </c>
      <c r="AY138" s="385">
        <v>8135</v>
      </c>
    </row>
    <row r="139" spans="1:51" x14ac:dyDescent="0.25">
      <c r="A139" s="16" t="s">
        <v>19266</v>
      </c>
      <c r="B139" s="16" t="s">
        <v>5377</v>
      </c>
      <c r="D139" s="16">
        <v>3</v>
      </c>
      <c r="E139" s="16" t="s">
        <v>11732</v>
      </c>
      <c r="F139" s="16" t="str">
        <f>VLOOKUP(Table28[[#This Row],[Country]],Table10[[COUNTRY NAME]:[CONTINENT CODE]],3,FALSE)</f>
        <v>NA - US</v>
      </c>
      <c r="G139" s="16" t="s">
        <v>10380</v>
      </c>
      <c r="H139" s="181">
        <v>10843</v>
      </c>
      <c r="I139" s="180">
        <v>26</v>
      </c>
      <c r="K139" s="316">
        <f>IFERROR(Table28[[#This Row],[ROUTE COST]]/Table28[[#This Row],[O - DEMAND]],0)</f>
        <v>0</v>
      </c>
      <c r="M139" s="180">
        <f>Table28[[#This Row],[O - DEMAND]]/950</f>
        <v>0</v>
      </c>
      <c r="N139" s="16">
        <f>IFERROR(VLOOKUP(Table28[[#This Row],[ROUTE]],DEMAND!A:F,5,FALSE),0)</f>
        <v>0</v>
      </c>
      <c r="O139" s="16">
        <f>IFERROR(VLOOKUP(Table28[[#This Row],[ROUTE]],DEMAND!A:F,6,FALSE),0)</f>
        <v>0</v>
      </c>
      <c r="P139" s="16">
        <f>ROUNDDOWN(Table28[[#This Row],[R-DEMAND]]/950,0)</f>
        <v>0</v>
      </c>
      <c r="Q139" s="16">
        <f>Table28[[#This Row],[ADD ACC
(475/950)]]*Table28[[#This Row],[Duration
(A359)]]</f>
        <v>0</v>
      </c>
      <c r="R139" s="16">
        <f>IFERROR(VLOOKUP(Table28[[#This Row],[ROUTE]],PRICING!A:B,2,FALSE),0)</f>
        <v>0</v>
      </c>
      <c r="S139" s="16">
        <f>Table28[[#This Row],[C_DEMAND]]-Table28[[#This Row],[R-DEMAND]]</f>
        <v>0</v>
      </c>
      <c r="T139" s="316">
        <f>Table28[[#This Row],[SEATS SOLD]]*Table28[[#This Row],[ECO SEAT]]</f>
        <v>0</v>
      </c>
      <c r="U139" s="316">
        <f>Table28[[#This Row],[SEATS SOLD]]*(IFERROR(VLOOKUP(Table28[[#This Row],[ROUTE]],PRICING!A:C,3,FALSE),0))</f>
        <v>0</v>
      </c>
      <c r="V139" s="316">
        <f>Table28[[#This Row],[SEAT REV]]-Table28[[#This Row],[SEAT REV
(IF IDEAL $)]]</f>
        <v>0</v>
      </c>
      <c r="AA139" s="26" t="s">
        <v>19142</v>
      </c>
      <c r="AB139" s="26" t="s">
        <v>71</v>
      </c>
      <c r="AC139" s="26" t="s">
        <v>217</v>
      </c>
      <c r="AD139" s="174">
        <v>8315</v>
      </c>
      <c r="AE139" s="26">
        <v>3249</v>
      </c>
      <c r="AF139" s="16">
        <v>3249</v>
      </c>
      <c r="AS139" s="16" t="s">
        <v>11732</v>
      </c>
      <c r="AT139" s="16" t="s">
        <v>11080</v>
      </c>
      <c r="AU139" s="16" t="s">
        <v>485</v>
      </c>
      <c r="AV139" s="16" t="s">
        <v>18884</v>
      </c>
      <c r="AW139" s="16" t="s">
        <v>18899</v>
      </c>
      <c r="AX139" s="16" t="s">
        <v>18952</v>
      </c>
      <c r="AY139" s="385">
        <v>8172</v>
      </c>
    </row>
    <row r="140" spans="1:51" x14ac:dyDescent="0.25">
      <c r="A140" s="16" t="s">
        <v>19433</v>
      </c>
      <c r="B140" s="16" t="s">
        <v>915</v>
      </c>
      <c r="D140" s="16">
        <v>1</v>
      </c>
      <c r="E140" s="16" t="s">
        <v>11732</v>
      </c>
      <c r="F140" s="16" t="str">
        <f>VLOOKUP(Table28[[#This Row],[Country]],Table10[[COUNTRY NAME]:[CONTINENT CODE]],3,FALSE)</f>
        <v>NA - US</v>
      </c>
      <c r="G140" s="16" t="s">
        <v>16956</v>
      </c>
      <c r="H140" s="181">
        <v>12681</v>
      </c>
      <c r="I140" s="180">
        <v>30</v>
      </c>
      <c r="K140" s="316">
        <f>IFERROR(Table28[[#This Row],[ROUTE COST]]/Table28[[#This Row],[O - DEMAND]],0)</f>
        <v>0</v>
      </c>
      <c r="M140" s="180">
        <f>Table28[[#This Row],[O - DEMAND]]/950</f>
        <v>0</v>
      </c>
      <c r="N140" s="16">
        <f>IFERROR(VLOOKUP(Table28[[#This Row],[ROUTE]],DEMAND!A:F,5,FALSE),0)</f>
        <v>0</v>
      </c>
      <c r="O140" s="16">
        <f>IFERROR(VLOOKUP(Table28[[#This Row],[ROUTE]],DEMAND!A:F,6,FALSE),0)</f>
        <v>0</v>
      </c>
      <c r="P140" s="16">
        <f>ROUNDDOWN(Table28[[#This Row],[R-DEMAND]]/950,0)</f>
        <v>0</v>
      </c>
      <c r="Q140" s="16">
        <f>Table28[[#This Row],[ADD ACC
(475/950)]]*Table28[[#This Row],[Duration
(A359)]]</f>
        <v>0</v>
      </c>
      <c r="R140" s="16">
        <f>IFERROR(VLOOKUP(Table28[[#This Row],[ROUTE]],PRICING!A:B,2,FALSE),0)</f>
        <v>0</v>
      </c>
      <c r="S140" s="16">
        <f>Table28[[#This Row],[C_DEMAND]]-Table28[[#This Row],[R-DEMAND]]</f>
        <v>0</v>
      </c>
      <c r="T140" s="316">
        <f>Table28[[#This Row],[SEATS SOLD]]*Table28[[#This Row],[ECO SEAT]]</f>
        <v>0</v>
      </c>
      <c r="U140" s="316">
        <f>Table28[[#This Row],[SEATS SOLD]]*(IFERROR(VLOOKUP(Table28[[#This Row],[ROUTE]],PRICING!A:C,3,FALSE),0))</f>
        <v>0</v>
      </c>
      <c r="V140" s="316">
        <f>Table28[[#This Row],[SEAT REV]]-Table28[[#This Row],[SEAT REV
(IF IDEAL $)]]</f>
        <v>0</v>
      </c>
      <c r="AA140" s="26" t="s">
        <v>19092</v>
      </c>
      <c r="AB140" s="26" t="s">
        <v>71</v>
      </c>
      <c r="AC140" s="26" t="s">
        <v>5187</v>
      </c>
      <c r="AD140" s="174">
        <v>7726</v>
      </c>
      <c r="AE140" s="26">
        <v>2112</v>
      </c>
      <c r="AF140" s="16">
        <v>2112</v>
      </c>
      <c r="AS140" s="16" t="s">
        <v>258</v>
      </c>
      <c r="AT140" s="16" t="s">
        <v>8996</v>
      </c>
      <c r="AU140" s="16" t="s">
        <v>3085</v>
      </c>
      <c r="AV140" s="16" t="s">
        <v>18878</v>
      </c>
      <c r="AW140" s="16" t="s">
        <v>18879</v>
      </c>
      <c r="AX140" s="16" t="s">
        <v>18952</v>
      </c>
      <c r="AY140" s="385">
        <v>8177</v>
      </c>
    </row>
    <row r="141" spans="1:51" x14ac:dyDescent="0.25">
      <c r="A141" s="16" t="s">
        <v>19036</v>
      </c>
      <c r="B141" s="16" t="s">
        <v>373</v>
      </c>
      <c r="C141" s="16" t="s">
        <v>467</v>
      </c>
      <c r="D141" s="16">
        <v>3</v>
      </c>
      <c r="E141" s="16" t="s">
        <v>717</v>
      </c>
      <c r="F141" s="16" t="str">
        <f>VLOOKUP(Table28[[#This Row],[Country]],Table10[[COUNTRY NAME]:[CONTINENT CODE]],3,FALSE)</f>
        <v>AS</v>
      </c>
      <c r="G141" s="16" t="s">
        <v>12093</v>
      </c>
      <c r="H141" s="181">
        <v>5699</v>
      </c>
      <c r="I141" s="180">
        <v>14.75</v>
      </c>
      <c r="K141" s="316">
        <f>IFERROR(Table28[[#This Row],[ROUTE COST]]/Table28[[#This Row],[O - DEMAND]],0)</f>
        <v>0</v>
      </c>
      <c r="M141" s="16">
        <f>Table28[[#This Row],[O - DEMAND]]/950</f>
        <v>0</v>
      </c>
      <c r="N141" s="16">
        <f>IFERROR(VLOOKUP(Table28[[#This Row],[ROUTE]],DEMAND!A:F,5,FALSE),0)</f>
        <v>3216</v>
      </c>
      <c r="O141" s="16">
        <f>IFERROR(VLOOKUP(Table28[[#This Row],[ROUTE]],DEMAND!A:F,6,FALSE),0)</f>
        <v>366</v>
      </c>
      <c r="P141" s="16">
        <f>ROUNDDOWN(Table28[[#This Row],[R-DEMAND]]/950,0)</f>
        <v>0</v>
      </c>
      <c r="Q141" s="16">
        <f>Table28[[#This Row],[ADD ACC
(475/950)]]*Table28[[#This Row],[Duration
(A359)]]</f>
        <v>0</v>
      </c>
      <c r="R141" s="16">
        <f>IFERROR(VLOOKUP(Table28[[#This Row],[ROUTE]],PRICING!A:B,2,FALSE),0)</f>
        <v>0</v>
      </c>
      <c r="S141" s="16">
        <f>Table28[[#This Row],[C_DEMAND]]-Table28[[#This Row],[R-DEMAND]]</f>
        <v>2850</v>
      </c>
      <c r="T141" s="316">
        <f>Table28[[#This Row],[SEATS SOLD]]*Table28[[#This Row],[ECO SEAT]]</f>
        <v>0</v>
      </c>
      <c r="U141" s="316">
        <f>Table28[[#This Row],[SEATS SOLD]]*(IFERROR(VLOOKUP(Table28[[#This Row],[ROUTE]],PRICING!A:C,3,FALSE),0))</f>
        <v>0</v>
      </c>
      <c r="V141" s="316">
        <f>Table28[[#This Row],[SEAT REV]]-Table28[[#This Row],[SEAT REV
(IF IDEAL $)]]</f>
        <v>0</v>
      </c>
      <c r="AA141" s="26" t="s">
        <v>19114</v>
      </c>
      <c r="AB141" s="26" t="s">
        <v>71</v>
      </c>
      <c r="AC141" s="26" t="s">
        <v>5076</v>
      </c>
      <c r="AD141" s="174">
        <v>7972</v>
      </c>
      <c r="AE141" s="26">
        <v>2108</v>
      </c>
      <c r="AF141" s="16">
        <v>2108</v>
      </c>
      <c r="AS141" s="16" t="s">
        <v>11732</v>
      </c>
      <c r="AT141" s="16" t="s">
        <v>11765</v>
      </c>
      <c r="AU141" s="16" t="s">
        <v>5095</v>
      </c>
      <c r="AV141" s="16" t="s">
        <v>18884</v>
      </c>
      <c r="AW141" s="16" t="s">
        <v>18885</v>
      </c>
      <c r="AX141" s="16" t="s">
        <v>18952</v>
      </c>
      <c r="AY141" s="385">
        <v>8177</v>
      </c>
    </row>
    <row r="142" spans="1:51" x14ac:dyDescent="0.25">
      <c r="A142" s="16" t="s">
        <v>19124</v>
      </c>
      <c r="B142" s="16" t="s">
        <v>371</v>
      </c>
      <c r="C142" s="16" t="s">
        <v>467</v>
      </c>
      <c r="D142" s="16">
        <v>2</v>
      </c>
      <c r="E142" s="16" t="s">
        <v>332</v>
      </c>
      <c r="F142" s="16" t="str">
        <f>VLOOKUP(Table28[[#This Row],[Country]],Table10[[COUNTRY NAME]:[CONTINENT CODE]],3,FALSE)</f>
        <v>AS</v>
      </c>
      <c r="G142" s="16" t="s">
        <v>12084</v>
      </c>
      <c r="H142" s="181">
        <v>8088</v>
      </c>
      <c r="I142" s="180">
        <v>20</v>
      </c>
      <c r="K142" s="316">
        <f>IFERROR(Table28[[#This Row],[ROUTE COST]]/Table28[[#This Row],[O - DEMAND]],0)</f>
        <v>0</v>
      </c>
      <c r="M142" s="16">
        <f>Table28[[#This Row],[O - DEMAND]]/950</f>
        <v>0</v>
      </c>
      <c r="N142" s="16">
        <f>IFERROR(VLOOKUP(Table28[[#This Row],[ROUTE]],DEMAND!A:F,5,FALSE),0)</f>
        <v>2476</v>
      </c>
      <c r="O142" s="16">
        <f>IFERROR(VLOOKUP(Table28[[#This Row],[ROUTE]],DEMAND!A:F,6,FALSE),0)</f>
        <v>576</v>
      </c>
      <c r="P142" s="16">
        <f>ROUNDDOWN(Table28[[#This Row],[R-DEMAND]]/950,0)</f>
        <v>0</v>
      </c>
      <c r="Q142" s="16">
        <f>Table28[[#This Row],[ADD ACC
(475/950)]]*Table28[[#This Row],[Duration
(A359)]]</f>
        <v>0</v>
      </c>
      <c r="R142" s="16">
        <f>IFERROR(VLOOKUP(Table28[[#This Row],[ROUTE]],PRICING!A:B,2,FALSE),0)</f>
        <v>0</v>
      </c>
      <c r="S142" s="16">
        <f>Table28[[#This Row],[C_DEMAND]]-Table28[[#This Row],[R-DEMAND]]</f>
        <v>1900</v>
      </c>
      <c r="T142" s="316">
        <f>Table28[[#This Row],[SEATS SOLD]]*Table28[[#This Row],[ECO SEAT]]</f>
        <v>0</v>
      </c>
      <c r="U142" s="316">
        <f>Table28[[#This Row],[SEATS SOLD]]*(IFERROR(VLOOKUP(Table28[[#This Row],[ROUTE]],PRICING!A:C,3,FALSE),0))</f>
        <v>0</v>
      </c>
      <c r="V142" s="316">
        <f>Table28[[#This Row],[SEAT REV]]-Table28[[#This Row],[SEAT REV
(IF IDEAL $)]]</f>
        <v>0</v>
      </c>
      <c r="AA142" s="26" t="s">
        <v>19058</v>
      </c>
      <c r="AB142" s="26" t="s">
        <v>71</v>
      </c>
      <c r="AC142" s="26" t="s">
        <v>215</v>
      </c>
      <c r="AD142" s="174">
        <v>6885</v>
      </c>
      <c r="AE142" s="26">
        <v>3237</v>
      </c>
      <c r="AF142" s="16">
        <v>3237</v>
      </c>
      <c r="AS142" s="16" t="s">
        <v>14</v>
      </c>
      <c r="AT142" s="16" t="s">
        <v>11028</v>
      </c>
      <c r="AU142" s="16" t="s">
        <v>18</v>
      </c>
      <c r="AV142" s="16" t="s">
        <v>18884</v>
      </c>
      <c r="AW142" s="16" t="s">
        <v>18899</v>
      </c>
      <c r="AX142" s="16" t="s">
        <v>18952</v>
      </c>
      <c r="AY142" s="385">
        <v>8177</v>
      </c>
    </row>
    <row r="143" spans="1:51" x14ac:dyDescent="0.25">
      <c r="A143" s="16" t="s">
        <v>19494</v>
      </c>
      <c r="B143" s="16" t="s">
        <v>5438</v>
      </c>
      <c r="C143" s="16" t="s">
        <v>467</v>
      </c>
      <c r="D143" s="16">
        <v>3</v>
      </c>
      <c r="E143" s="16" t="s">
        <v>78</v>
      </c>
      <c r="F143" s="16" t="str">
        <f>VLOOKUP(Table28[[#This Row],[Country]],Table10[[COUNTRY NAME]:[CONTINENT CODE]],3,FALSE)</f>
        <v>EU</v>
      </c>
      <c r="G143" s="16" t="s">
        <v>11918</v>
      </c>
      <c r="H143" s="181">
        <v>13030</v>
      </c>
      <c r="I143" s="180">
        <v>30.75</v>
      </c>
      <c r="K143" s="316">
        <f>IFERROR(Table28[[#This Row],[ROUTE COST]]/Table28[[#This Row],[O - DEMAND]],0)</f>
        <v>0</v>
      </c>
      <c r="M143" s="16">
        <f>Table28[[#This Row],[O - DEMAND]]/950</f>
        <v>0</v>
      </c>
      <c r="N143" s="16">
        <f>IFERROR(VLOOKUP(Table28[[#This Row],[ROUTE]],DEMAND!A:F,5,FALSE),0)</f>
        <v>3206</v>
      </c>
      <c r="O143" s="16">
        <f>IFERROR(VLOOKUP(Table28[[#This Row],[ROUTE]],DEMAND!A:F,6,FALSE),0)</f>
        <v>356</v>
      </c>
      <c r="P143" s="16">
        <f>ROUNDDOWN(Table28[[#This Row],[R-DEMAND]]/950,0)</f>
        <v>0</v>
      </c>
      <c r="Q143" s="16">
        <f>Table28[[#This Row],[ADD ACC
(475/950)]]*Table28[[#This Row],[Duration
(A359)]]</f>
        <v>0</v>
      </c>
      <c r="R143" s="16">
        <f>IFERROR(VLOOKUP(Table28[[#This Row],[ROUTE]],PRICING!A:B,2,FALSE),0)</f>
        <v>0</v>
      </c>
      <c r="S143" s="16">
        <f>Table28[[#This Row],[C_DEMAND]]-Table28[[#This Row],[R-DEMAND]]</f>
        <v>2850</v>
      </c>
      <c r="T143" s="316">
        <f>Table28[[#This Row],[SEATS SOLD]]*Table28[[#This Row],[ECO SEAT]]</f>
        <v>0</v>
      </c>
      <c r="U143" s="316">
        <f>Table28[[#This Row],[SEATS SOLD]]*(IFERROR(VLOOKUP(Table28[[#This Row],[ROUTE]],PRICING!A:C,3,FALSE),0))</f>
        <v>0</v>
      </c>
      <c r="V143" s="316">
        <f>Table28[[#This Row],[SEAT REV]]-Table28[[#This Row],[SEAT REV
(IF IDEAL $)]]</f>
        <v>0</v>
      </c>
      <c r="AA143" s="26" t="s">
        <v>19091</v>
      </c>
      <c r="AB143" s="26" t="s">
        <v>71</v>
      </c>
      <c r="AC143" s="26" t="s">
        <v>5408</v>
      </c>
      <c r="AD143" s="174">
        <v>7620</v>
      </c>
      <c r="AE143" s="26">
        <v>2217</v>
      </c>
      <c r="AF143" s="16">
        <v>2217</v>
      </c>
      <c r="AS143" s="16" t="s">
        <v>14</v>
      </c>
      <c r="AT143" s="16" t="s">
        <v>12074</v>
      </c>
      <c r="AU143" s="16" t="s">
        <v>5406</v>
      </c>
      <c r="AV143" s="16" t="s">
        <v>18881</v>
      </c>
      <c r="AW143" s="16" t="s">
        <v>18885</v>
      </c>
      <c r="AX143" s="16" t="s">
        <v>18951</v>
      </c>
      <c r="AY143" s="385">
        <v>8200</v>
      </c>
    </row>
    <row r="144" spans="1:51" x14ac:dyDescent="0.25">
      <c r="A144" s="16" t="s">
        <v>19130</v>
      </c>
      <c r="B144" s="16" t="s">
        <v>3493</v>
      </c>
      <c r="D144" s="16">
        <v>2</v>
      </c>
      <c r="E144" s="16" t="s">
        <v>14</v>
      </c>
      <c r="F144" s="16" t="str">
        <f>VLOOKUP(Table28[[#This Row],[Country]],Table10[[COUNTRY NAME]:[CONTINENT CODE]],3,FALSE)</f>
        <v>AS</v>
      </c>
      <c r="G144" s="16" t="s">
        <v>16816</v>
      </c>
      <c r="H144" s="181">
        <v>8135</v>
      </c>
      <c r="I144" s="180">
        <v>20</v>
      </c>
      <c r="K144" s="316">
        <f>IFERROR(Table28[[#This Row],[ROUTE COST]]/Table28[[#This Row],[O - DEMAND]],0)</f>
        <v>0</v>
      </c>
      <c r="M144" s="16">
        <f>Table28[[#This Row],[O - DEMAND]]/950</f>
        <v>0</v>
      </c>
      <c r="N144" s="16">
        <f>IFERROR(VLOOKUP(Table28[[#This Row],[ROUTE]],DEMAND!A:F,5,FALSE),0)</f>
        <v>0</v>
      </c>
      <c r="O144" s="16">
        <f>IFERROR(VLOOKUP(Table28[[#This Row],[ROUTE]],DEMAND!A:F,6,FALSE),0)</f>
        <v>0</v>
      </c>
      <c r="P144" s="16">
        <f>ROUNDDOWN(Table28[[#This Row],[R-DEMAND]]/950,0)</f>
        <v>0</v>
      </c>
      <c r="Q144" s="16">
        <f>Table28[[#This Row],[ADD ACC
(475/950)]]*Table28[[#This Row],[Duration
(A359)]]</f>
        <v>0</v>
      </c>
      <c r="R144" s="16">
        <f>IFERROR(VLOOKUP(Table28[[#This Row],[ROUTE]],PRICING!A:B,2,FALSE),0)</f>
        <v>0</v>
      </c>
      <c r="S144" s="16">
        <f>Table28[[#This Row],[C_DEMAND]]-Table28[[#This Row],[R-DEMAND]]</f>
        <v>0</v>
      </c>
      <c r="T144" s="316">
        <f>Table28[[#This Row],[SEATS SOLD]]*Table28[[#This Row],[ECO SEAT]]</f>
        <v>0</v>
      </c>
      <c r="U144" s="316">
        <f>Table28[[#This Row],[SEATS SOLD]]*(IFERROR(VLOOKUP(Table28[[#This Row],[ROUTE]],PRICING!A:C,3,FALSE),0))</f>
        <v>0</v>
      </c>
      <c r="V144" s="316">
        <f>Table28[[#This Row],[SEAT REV]]-Table28[[#This Row],[SEAT REV
(IF IDEAL $)]]</f>
        <v>0</v>
      </c>
      <c r="AA144" s="26" t="s">
        <v>19804</v>
      </c>
      <c r="AB144" s="26" t="s">
        <v>71</v>
      </c>
      <c r="AC144" s="26" t="s">
        <v>3305</v>
      </c>
      <c r="AD144" s="174">
        <v>15150</v>
      </c>
      <c r="AE144" s="26">
        <v>1435</v>
      </c>
      <c r="AF144" s="16">
        <v>1435</v>
      </c>
      <c r="AS144" s="16" t="s">
        <v>14</v>
      </c>
      <c r="AT144" s="16" t="s">
        <v>16817</v>
      </c>
      <c r="AU144" s="16" t="s">
        <v>4693</v>
      </c>
      <c r="AV144" s="16" t="s">
        <v>18878</v>
      </c>
      <c r="AX144" s="16" t="s">
        <v>18951</v>
      </c>
      <c r="AY144" s="385">
        <v>8217</v>
      </c>
    </row>
    <row r="145" spans="1:51" x14ac:dyDescent="0.25">
      <c r="A145" s="16" t="s">
        <v>19035</v>
      </c>
      <c r="B145" s="16" t="s">
        <v>369</v>
      </c>
      <c r="D145" s="16">
        <v>5</v>
      </c>
      <c r="E145" s="16" t="s">
        <v>1261</v>
      </c>
      <c r="F145" s="16" t="str">
        <f>VLOOKUP(Table28[[#This Row],[Country]],Table10[[COUNTRY NAME]:[CONTINENT CODE]],3,FALSE)</f>
        <v>AS</v>
      </c>
      <c r="G145" s="16" t="s">
        <v>18974</v>
      </c>
      <c r="H145" s="181">
        <v>5520</v>
      </c>
      <c r="I145" s="180">
        <v>14.25</v>
      </c>
      <c r="K145" s="316">
        <f>IFERROR(Table28[[#This Row],[ROUTE COST]]/Table28[[#This Row],[O - DEMAND]],0)</f>
        <v>0</v>
      </c>
      <c r="M145" s="16">
        <f>Table28[[#This Row],[O - DEMAND]]/950</f>
        <v>0</v>
      </c>
      <c r="N145" s="16">
        <f>IFERROR(VLOOKUP(Table28[[#This Row],[ROUTE]],DEMAND!A:F,5,FALSE),0)</f>
        <v>0</v>
      </c>
      <c r="O145" s="16">
        <f>IFERROR(VLOOKUP(Table28[[#This Row],[ROUTE]],DEMAND!A:F,6,FALSE),0)</f>
        <v>0</v>
      </c>
      <c r="P145" s="16">
        <f>ROUNDDOWN(Table28[[#This Row],[R-DEMAND]]/950,0)</f>
        <v>0</v>
      </c>
      <c r="Q145" s="16">
        <f>Table28[[#This Row],[ADD ACC
(475/950)]]*Table28[[#This Row],[Duration
(A359)]]</f>
        <v>0</v>
      </c>
      <c r="R145" s="16">
        <f>IFERROR(VLOOKUP(Table28[[#This Row],[ROUTE]],PRICING!A:B,2,FALSE),0)</f>
        <v>0</v>
      </c>
      <c r="S145" s="16">
        <f>Table28[[#This Row],[C_DEMAND]]-Table28[[#This Row],[R-DEMAND]]</f>
        <v>0</v>
      </c>
      <c r="T145" s="316">
        <f>Table28[[#This Row],[SEATS SOLD]]*Table28[[#This Row],[ECO SEAT]]</f>
        <v>0</v>
      </c>
      <c r="U145" s="316">
        <f>Table28[[#This Row],[SEATS SOLD]]*(IFERROR(VLOOKUP(Table28[[#This Row],[ROUTE]],PRICING!A:C,3,FALSE),0))</f>
        <v>0</v>
      </c>
      <c r="V145" s="316">
        <f>Table28[[#This Row],[SEAT REV]]-Table28[[#This Row],[SEAT REV
(IF IDEAL $)]]</f>
        <v>0</v>
      </c>
      <c r="AA145" s="26" t="s">
        <v>19668</v>
      </c>
      <c r="AB145" s="26" t="s">
        <v>71</v>
      </c>
      <c r="AC145" s="26" t="s">
        <v>4860</v>
      </c>
      <c r="AD145" s="174">
        <v>14229</v>
      </c>
      <c r="AE145" s="26">
        <v>2091</v>
      </c>
      <c r="AF145" s="16">
        <v>2091</v>
      </c>
      <c r="AS145" s="16" t="s">
        <v>14</v>
      </c>
      <c r="AT145" s="16" t="s">
        <v>16823</v>
      </c>
      <c r="AU145" s="16" t="s">
        <v>5348</v>
      </c>
      <c r="AV145" s="16" t="s">
        <v>18878</v>
      </c>
      <c r="AW145" s="16" t="s">
        <v>18885</v>
      </c>
      <c r="AX145" s="16" t="s">
        <v>18951</v>
      </c>
      <c r="AY145" s="385">
        <v>8229</v>
      </c>
    </row>
    <row r="146" spans="1:51" x14ac:dyDescent="0.25">
      <c r="A146" s="16" t="s">
        <v>19158</v>
      </c>
      <c r="B146" s="16" t="s">
        <v>5489</v>
      </c>
      <c r="C146" s="16" t="s">
        <v>467</v>
      </c>
      <c r="D146" s="16">
        <v>4</v>
      </c>
      <c r="E146" s="16" t="s">
        <v>14</v>
      </c>
      <c r="F146" s="16" t="str">
        <f>VLOOKUP(Table28[[#This Row],[Country]],Table10[[COUNTRY NAME]:[CONTINENT CODE]],3,FALSE)</f>
        <v>AS</v>
      </c>
      <c r="G146" s="16" t="s">
        <v>11098</v>
      </c>
      <c r="H146" s="181">
        <v>8551</v>
      </c>
      <c r="I146" s="180">
        <v>21</v>
      </c>
      <c r="K146" s="316">
        <f>IFERROR(Table28[[#This Row],[ROUTE COST]]/Table28[[#This Row],[O - DEMAND]],0)</f>
        <v>0</v>
      </c>
      <c r="M146" s="16">
        <f>Table28[[#This Row],[O - DEMAND]]/950</f>
        <v>0</v>
      </c>
      <c r="N146" s="16">
        <f>IFERROR(VLOOKUP(Table28[[#This Row],[ROUTE]],DEMAND!A:F,5,FALSE),0)</f>
        <v>3006</v>
      </c>
      <c r="O146" s="16">
        <f>IFERROR(VLOOKUP(Table28[[#This Row],[ROUTE]],DEMAND!A:F,6,FALSE),0)</f>
        <v>156</v>
      </c>
      <c r="P146" s="16">
        <f>ROUNDDOWN(Table28[[#This Row],[R-DEMAND]]/950,0)</f>
        <v>0</v>
      </c>
      <c r="Q146" s="16">
        <f>Table28[[#This Row],[ADD ACC
(475/950)]]*Table28[[#This Row],[Duration
(A359)]]</f>
        <v>0</v>
      </c>
      <c r="R146" s="16">
        <f>IFERROR(VLOOKUP(Table28[[#This Row],[ROUTE]],PRICING!A:B,2,FALSE),0)</f>
        <v>0</v>
      </c>
      <c r="S146" s="16">
        <f>Table28[[#This Row],[C_DEMAND]]-Table28[[#This Row],[R-DEMAND]]</f>
        <v>2850</v>
      </c>
      <c r="T146" s="316">
        <f>Table28[[#This Row],[SEATS SOLD]]*Table28[[#This Row],[ECO SEAT]]</f>
        <v>0</v>
      </c>
      <c r="U146" s="316">
        <f>Table28[[#This Row],[SEATS SOLD]]*(IFERROR(VLOOKUP(Table28[[#This Row],[ROUTE]],PRICING!A:C,3,FALSE),0))</f>
        <v>0</v>
      </c>
      <c r="V146" s="316">
        <f>Table28[[#This Row],[SEAT REV]]-Table28[[#This Row],[SEAT REV
(IF IDEAL $)]]</f>
        <v>0</v>
      </c>
      <c r="AA146" s="26" t="s">
        <v>19574</v>
      </c>
      <c r="AB146" s="26" t="s">
        <v>71</v>
      </c>
      <c r="AC146" s="26" t="s">
        <v>3650</v>
      </c>
      <c r="AD146" s="174">
        <v>13591</v>
      </c>
      <c r="AE146" s="26">
        <v>3627</v>
      </c>
      <c r="AF146" s="16">
        <v>3627</v>
      </c>
      <c r="AS146" s="16" t="s">
        <v>258</v>
      </c>
      <c r="AT146" s="16" t="s">
        <v>16833</v>
      </c>
      <c r="AU146" s="16" t="s">
        <v>4586</v>
      </c>
      <c r="AV146" s="16" t="s">
        <v>18878</v>
      </c>
      <c r="AW146" s="16" t="s">
        <v>18879</v>
      </c>
      <c r="AX146" s="16" t="s">
        <v>18951</v>
      </c>
      <c r="AY146" s="385">
        <v>8233</v>
      </c>
    </row>
    <row r="147" spans="1:51" x14ac:dyDescent="0.25">
      <c r="A147" s="16" t="s">
        <v>19174</v>
      </c>
      <c r="B147" s="16" t="s">
        <v>368</v>
      </c>
      <c r="C147" s="16" t="s">
        <v>467</v>
      </c>
      <c r="D147" s="16">
        <v>3</v>
      </c>
      <c r="E147" s="16" t="s">
        <v>1710</v>
      </c>
      <c r="F147" s="16" t="str">
        <f>VLOOKUP(Table28[[#This Row],[Country]],Table10[[COUNTRY NAME]:[CONTINENT CODE]],3,FALSE)</f>
        <v>AS</v>
      </c>
      <c r="G147" s="16" t="s">
        <v>12075</v>
      </c>
      <c r="H147" s="181">
        <v>8858</v>
      </c>
      <c r="I147" s="180">
        <v>21.5</v>
      </c>
      <c r="K147" s="316">
        <f>IFERROR(Table28[[#This Row],[ROUTE COST]]/Table28[[#This Row],[O - DEMAND]],0)</f>
        <v>0</v>
      </c>
      <c r="M147" s="16">
        <f>Table28[[#This Row],[O - DEMAND]]/950</f>
        <v>0</v>
      </c>
      <c r="N147" s="16">
        <f>IFERROR(VLOOKUP(Table28[[#This Row],[ROUTE]],DEMAND!A:F,5,FALSE),0)</f>
        <v>3773</v>
      </c>
      <c r="O147" s="16">
        <f>IFERROR(VLOOKUP(Table28[[#This Row],[ROUTE]],DEMAND!A:F,6,FALSE),0)</f>
        <v>923</v>
      </c>
      <c r="P147" s="16">
        <f>ROUNDDOWN(Table28[[#This Row],[R-DEMAND]]/950,0)</f>
        <v>0</v>
      </c>
      <c r="Q147" s="16">
        <f>Table28[[#This Row],[ADD ACC
(475/950)]]*Table28[[#This Row],[Duration
(A359)]]</f>
        <v>0</v>
      </c>
      <c r="R147" s="16">
        <f>IFERROR(VLOOKUP(Table28[[#This Row],[ROUTE]],PRICING!A:B,2,FALSE),0)</f>
        <v>0</v>
      </c>
      <c r="S147" s="16">
        <f>Table28[[#This Row],[C_DEMAND]]-Table28[[#This Row],[R-DEMAND]]</f>
        <v>2850</v>
      </c>
      <c r="T147" s="316">
        <f>Table28[[#This Row],[SEATS SOLD]]*Table28[[#This Row],[ECO SEAT]]</f>
        <v>0</v>
      </c>
      <c r="U147" s="316">
        <f>Table28[[#This Row],[SEATS SOLD]]*(IFERROR(VLOOKUP(Table28[[#This Row],[ROUTE]],PRICING!A:C,3,FALSE),0))</f>
        <v>0</v>
      </c>
      <c r="V147" s="316">
        <f>Table28[[#This Row],[SEAT REV]]-Table28[[#This Row],[SEAT REV
(IF IDEAL $)]]</f>
        <v>0</v>
      </c>
      <c r="AA147" s="26" t="s">
        <v>19584</v>
      </c>
      <c r="AB147" s="26" t="s">
        <v>71</v>
      </c>
      <c r="AC147" s="26" t="s">
        <v>4703</v>
      </c>
      <c r="AD147" s="174">
        <v>13670</v>
      </c>
      <c r="AE147" s="26">
        <v>2818</v>
      </c>
      <c r="AF147" s="16">
        <v>2818</v>
      </c>
      <c r="AS147" s="16" t="s">
        <v>11732</v>
      </c>
      <c r="AT147" s="16" t="s">
        <v>11759</v>
      </c>
      <c r="AU147" s="16" t="s">
        <v>4744</v>
      </c>
      <c r="AV147" s="16" t="s">
        <v>18892</v>
      </c>
      <c r="AW147" s="16" t="s">
        <v>18885</v>
      </c>
      <c r="AX147" s="16" t="s">
        <v>18951</v>
      </c>
      <c r="AY147" s="385">
        <v>8247</v>
      </c>
    </row>
    <row r="148" spans="1:51" x14ac:dyDescent="0.25">
      <c r="A148" s="16" t="s">
        <v>19189</v>
      </c>
      <c r="B148" s="16" t="s">
        <v>366</v>
      </c>
      <c r="C148" s="16" t="s">
        <v>467</v>
      </c>
      <c r="D148" s="16">
        <v>3</v>
      </c>
      <c r="E148" s="16" t="s">
        <v>14</v>
      </c>
      <c r="F148" s="16" t="str">
        <f>VLOOKUP(Table28[[#This Row],[Country]],Table10[[COUNTRY NAME]:[CONTINENT CODE]],3,FALSE)</f>
        <v>AS</v>
      </c>
      <c r="G148" s="16" t="s">
        <v>12002</v>
      </c>
      <c r="H148" s="181">
        <v>9045</v>
      </c>
      <c r="I148" s="180">
        <v>22</v>
      </c>
      <c r="K148" s="316">
        <f>IFERROR(Table28[[#This Row],[ROUTE COST]]/Table28[[#This Row],[O - DEMAND]],0)</f>
        <v>0</v>
      </c>
      <c r="M148" s="16">
        <f>Table28[[#This Row],[O - DEMAND]]/950</f>
        <v>0</v>
      </c>
      <c r="N148" s="16">
        <f>IFERROR(VLOOKUP(Table28[[#This Row],[ROUTE]],DEMAND!A:F,5,FALSE),0)</f>
        <v>2848</v>
      </c>
      <c r="O148" s="16">
        <f>IFERROR(VLOOKUP(Table28[[#This Row],[ROUTE]],DEMAND!A:F,6,FALSE),0)</f>
        <v>948</v>
      </c>
      <c r="P148" s="16">
        <f>ROUNDDOWN(Table28[[#This Row],[R-DEMAND]]/950,0)</f>
        <v>0</v>
      </c>
      <c r="Q148" s="16">
        <f>Table28[[#This Row],[ADD ACC
(475/950)]]*Table28[[#This Row],[Duration
(A359)]]</f>
        <v>0</v>
      </c>
      <c r="R148" s="16">
        <f>IFERROR(VLOOKUP(Table28[[#This Row],[ROUTE]],PRICING!A:B,2,FALSE),0)</f>
        <v>0</v>
      </c>
      <c r="S148" s="16">
        <f>Table28[[#This Row],[C_DEMAND]]-Table28[[#This Row],[R-DEMAND]]</f>
        <v>1900</v>
      </c>
      <c r="T148" s="316">
        <f>Table28[[#This Row],[SEATS SOLD]]*Table28[[#This Row],[ECO SEAT]]</f>
        <v>0</v>
      </c>
      <c r="U148" s="316">
        <f>Table28[[#This Row],[SEATS SOLD]]*(IFERROR(VLOOKUP(Table28[[#This Row],[ROUTE]],PRICING!A:C,3,FALSE),0))</f>
        <v>0</v>
      </c>
      <c r="V148" s="316">
        <f>Table28[[#This Row],[SEAT REV]]-Table28[[#This Row],[SEAT REV
(IF IDEAL $)]]</f>
        <v>0</v>
      </c>
      <c r="AA148" s="26" t="s">
        <v>19052</v>
      </c>
      <c r="AB148" s="26" t="s">
        <v>71</v>
      </c>
      <c r="AC148" s="26" t="s">
        <v>211</v>
      </c>
      <c r="AD148" s="174">
        <v>6586</v>
      </c>
      <c r="AE148" s="26">
        <v>3224</v>
      </c>
      <c r="AF148" s="16">
        <v>3224</v>
      </c>
      <c r="AS148" s="16" t="s">
        <v>14</v>
      </c>
      <c r="AT148" s="16" t="s">
        <v>16818</v>
      </c>
      <c r="AU148" s="16" t="s">
        <v>4276</v>
      </c>
      <c r="AV148" s="16" t="s">
        <v>18878</v>
      </c>
      <c r="AX148" s="16" t="s">
        <v>18951</v>
      </c>
      <c r="AY148" s="385">
        <v>8294</v>
      </c>
    </row>
    <row r="149" spans="1:51" x14ac:dyDescent="0.25">
      <c r="A149" s="16" t="s">
        <v>19546</v>
      </c>
      <c r="B149" s="16" t="s">
        <v>4697</v>
      </c>
      <c r="D149" s="16">
        <v>2</v>
      </c>
      <c r="E149" s="16" t="s">
        <v>517</v>
      </c>
      <c r="F149" s="16" t="str">
        <f>VLOOKUP(Table28[[#This Row],[Country]],Table10[[COUNTRY NAME]:[CONTINENT CODE]],3,FALSE)</f>
        <v>SA</v>
      </c>
      <c r="G149" s="16" t="s">
        <v>16951</v>
      </c>
      <c r="H149" s="181">
        <v>13377</v>
      </c>
      <c r="I149" s="180">
        <v>31.5</v>
      </c>
      <c r="K149" s="316">
        <f>IFERROR(Table28[[#This Row],[ROUTE COST]]/Table28[[#This Row],[O - DEMAND]],0)</f>
        <v>0</v>
      </c>
      <c r="M149" s="16">
        <f>Table28[[#This Row],[O - DEMAND]]/950</f>
        <v>0</v>
      </c>
      <c r="N149" s="16">
        <f>IFERROR(VLOOKUP(Table28[[#This Row],[ROUTE]],DEMAND!A:F,5,FALSE),0)</f>
        <v>0</v>
      </c>
      <c r="O149" s="16">
        <f>IFERROR(VLOOKUP(Table28[[#This Row],[ROUTE]],DEMAND!A:F,6,FALSE),0)</f>
        <v>0</v>
      </c>
      <c r="P149" s="16">
        <f>ROUNDDOWN(Table28[[#This Row],[R-DEMAND]]/950,0)</f>
        <v>0</v>
      </c>
      <c r="Q149" s="16">
        <f>Table28[[#This Row],[ADD ACC
(475/950)]]*Table28[[#This Row],[Duration
(A359)]]</f>
        <v>0</v>
      </c>
      <c r="R149" s="16">
        <f>IFERROR(VLOOKUP(Table28[[#This Row],[ROUTE]],PRICING!A:B,2,FALSE),0)</f>
        <v>0</v>
      </c>
      <c r="S149" s="16">
        <f>Table28[[#This Row],[C_DEMAND]]-Table28[[#This Row],[R-DEMAND]]</f>
        <v>0</v>
      </c>
      <c r="T149" s="316">
        <f>Table28[[#This Row],[SEATS SOLD]]*Table28[[#This Row],[ECO SEAT]]</f>
        <v>0</v>
      </c>
      <c r="U149" s="316">
        <f>Table28[[#This Row],[SEATS SOLD]]*(IFERROR(VLOOKUP(Table28[[#This Row],[ROUTE]],PRICING!A:C,3,FALSE),0))</f>
        <v>0</v>
      </c>
      <c r="V149" s="316">
        <f>Table28[[#This Row],[SEAT REV]]-Table28[[#This Row],[SEAT REV
(IF IDEAL $)]]</f>
        <v>0</v>
      </c>
      <c r="AA149" s="26" t="s">
        <v>19568</v>
      </c>
      <c r="AB149" s="26" t="s">
        <v>71</v>
      </c>
      <c r="AC149" s="26" t="s">
        <v>3000</v>
      </c>
      <c r="AD149" s="174">
        <v>13537</v>
      </c>
      <c r="AE149" s="26">
        <v>2571</v>
      </c>
      <c r="AF149" s="16">
        <v>2571</v>
      </c>
      <c r="AS149" s="16" t="s">
        <v>258</v>
      </c>
      <c r="AT149" s="16" t="s">
        <v>16834</v>
      </c>
      <c r="AU149" s="16" t="s">
        <v>2474</v>
      </c>
      <c r="AV149" s="16" t="s">
        <v>18878</v>
      </c>
      <c r="AW149" s="16" t="s">
        <v>18890</v>
      </c>
      <c r="AX149" s="16" t="s">
        <v>18951</v>
      </c>
      <c r="AY149" s="385">
        <v>8295</v>
      </c>
    </row>
    <row r="150" spans="1:51" x14ac:dyDescent="0.25">
      <c r="A150" s="16" t="s">
        <v>19005</v>
      </c>
      <c r="B150" s="16" t="s">
        <v>364</v>
      </c>
      <c r="C150" s="16" t="s">
        <v>467</v>
      </c>
      <c r="D150" s="16">
        <v>3</v>
      </c>
      <c r="E150" s="16" t="s">
        <v>730</v>
      </c>
      <c r="F150" s="16" t="str">
        <f>VLOOKUP(Table28[[#This Row],[Country]],Table10[[COUNTRY NAME]:[CONTINENT CODE]],3,FALSE)</f>
        <v>OC</v>
      </c>
      <c r="G150" s="16" t="s">
        <v>11933</v>
      </c>
      <c r="H150" s="181">
        <v>2126</v>
      </c>
      <c r="I150" s="180">
        <v>6.75</v>
      </c>
      <c r="K150" s="316">
        <f>IFERROR(Table28[[#This Row],[ROUTE COST]]/Table28[[#This Row],[O - DEMAND]],0)</f>
        <v>0</v>
      </c>
      <c r="M150" s="16">
        <f>Table28[[#This Row],[O - DEMAND]]/950</f>
        <v>0</v>
      </c>
      <c r="N150" s="16">
        <f>IFERROR(VLOOKUP(Table28[[#This Row],[ROUTE]],DEMAND!A:F,5,FALSE),0)</f>
        <v>2507</v>
      </c>
      <c r="O150" s="16">
        <f>IFERROR(VLOOKUP(Table28[[#This Row],[ROUTE]],DEMAND!A:F,6,FALSE),0)</f>
        <v>607</v>
      </c>
      <c r="P150" s="16">
        <f>ROUNDDOWN(Table28[[#This Row],[R-DEMAND]]/950,0)</f>
        <v>0</v>
      </c>
      <c r="Q150" s="16">
        <f>Table28[[#This Row],[ADD ACC
(475/950)]]*Table28[[#This Row],[Duration
(A359)]]</f>
        <v>0</v>
      </c>
      <c r="R150" s="16">
        <f>IFERROR(VLOOKUP(Table28[[#This Row],[ROUTE]],PRICING!A:B,2,FALSE),0)</f>
        <v>0</v>
      </c>
      <c r="S150" s="16">
        <f>Table28[[#This Row],[C_DEMAND]]-Table28[[#This Row],[R-DEMAND]]</f>
        <v>1900</v>
      </c>
      <c r="T150" s="316">
        <f>Table28[[#This Row],[SEATS SOLD]]*Table28[[#This Row],[ECO SEAT]]</f>
        <v>0</v>
      </c>
      <c r="U150" s="316">
        <f>Table28[[#This Row],[SEATS SOLD]]*(IFERROR(VLOOKUP(Table28[[#This Row],[ROUTE]],PRICING!A:C,3,FALSE),0))</f>
        <v>0</v>
      </c>
      <c r="V150" s="316">
        <f>Table28[[#This Row],[SEAT REV]]-Table28[[#This Row],[SEAT REV
(IF IDEAL $)]]</f>
        <v>0</v>
      </c>
      <c r="AA150" s="26" t="s">
        <v>19597</v>
      </c>
      <c r="AB150" s="26" t="s">
        <v>71</v>
      </c>
      <c r="AC150" s="26" t="s">
        <v>4705</v>
      </c>
      <c r="AD150" s="174">
        <v>13778</v>
      </c>
      <c r="AE150" s="26">
        <v>2837</v>
      </c>
      <c r="AF150" s="16">
        <v>2837</v>
      </c>
      <c r="AS150" s="16" t="s">
        <v>14</v>
      </c>
      <c r="AT150" s="16" t="s">
        <v>11071</v>
      </c>
      <c r="AU150" s="16" t="s">
        <v>217</v>
      </c>
      <c r="AV150" s="16" t="s">
        <v>18884</v>
      </c>
      <c r="AW150" s="16" t="s">
        <v>18899</v>
      </c>
      <c r="AX150" s="16" t="s">
        <v>18950</v>
      </c>
      <c r="AY150" s="385">
        <v>8315</v>
      </c>
    </row>
    <row r="151" spans="1:51" x14ac:dyDescent="0.25">
      <c r="A151" s="16" t="s">
        <v>19703</v>
      </c>
      <c r="B151" s="16" t="s">
        <v>4522</v>
      </c>
      <c r="E151" s="16" t="s">
        <v>11732</v>
      </c>
      <c r="F151" s="16" t="str">
        <f>VLOOKUP(Table28[[#This Row],[Country]],Table10[[COUNTRY NAME]:[CONTINENT CODE]],3,FALSE)</f>
        <v>NA - US</v>
      </c>
      <c r="G151" s="16" t="s">
        <v>16981</v>
      </c>
      <c r="H151" s="181">
        <v>14556</v>
      </c>
      <c r="I151" s="180">
        <v>34</v>
      </c>
      <c r="K151" s="316">
        <f>IFERROR(Table28[[#This Row],[ROUTE COST]]/Table28[[#This Row],[O - DEMAND]],0)</f>
        <v>0</v>
      </c>
      <c r="M151" s="180">
        <f>Table28[[#This Row],[O - DEMAND]]/950</f>
        <v>0</v>
      </c>
      <c r="N151" s="16">
        <f>IFERROR(VLOOKUP(Table28[[#This Row],[ROUTE]],DEMAND!A:F,5,FALSE),0)</f>
        <v>0</v>
      </c>
      <c r="O151" s="16">
        <f>IFERROR(VLOOKUP(Table28[[#This Row],[ROUTE]],DEMAND!A:F,6,FALSE),0)</f>
        <v>0</v>
      </c>
      <c r="P151" s="16">
        <f>ROUNDDOWN(Table28[[#This Row],[R-DEMAND]]/950,0)</f>
        <v>0</v>
      </c>
      <c r="Q151" s="16">
        <f>Table28[[#This Row],[ADD ACC
(475/950)]]*Table28[[#This Row],[Duration
(A359)]]</f>
        <v>0</v>
      </c>
      <c r="R151" s="16">
        <f>IFERROR(VLOOKUP(Table28[[#This Row],[ROUTE]],PRICING!A:B,2,FALSE),0)</f>
        <v>0</v>
      </c>
      <c r="S151" s="16">
        <f>Table28[[#This Row],[C_DEMAND]]-Table28[[#This Row],[R-DEMAND]]</f>
        <v>0</v>
      </c>
      <c r="T151" s="316">
        <f>Table28[[#This Row],[SEATS SOLD]]*Table28[[#This Row],[ECO SEAT]]</f>
        <v>0</v>
      </c>
      <c r="U151" s="316">
        <f>Table28[[#This Row],[SEATS SOLD]]*(IFERROR(VLOOKUP(Table28[[#This Row],[ROUTE]],PRICING!A:C,3,FALSE),0))</f>
        <v>0</v>
      </c>
      <c r="V151" s="316">
        <f>Table28[[#This Row],[SEAT REV]]-Table28[[#This Row],[SEAT REV
(IF IDEAL $)]]</f>
        <v>0</v>
      </c>
      <c r="AA151" s="26" t="s">
        <v>19054</v>
      </c>
      <c r="AB151" s="26" t="s">
        <v>71</v>
      </c>
      <c r="AC151" s="26" t="s">
        <v>206</v>
      </c>
      <c r="AD151" s="174">
        <v>6645</v>
      </c>
      <c r="AE151" s="26">
        <v>2345</v>
      </c>
      <c r="AF151" s="16">
        <v>2345</v>
      </c>
      <c r="AS151" s="16" t="s">
        <v>14</v>
      </c>
      <c r="AT151" s="16" t="s">
        <v>12041</v>
      </c>
      <c r="AU151" s="16" t="s">
        <v>4072</v>
      </c>
      <c r="AV151" s="16" t="s">
        <v>18884</v>
      </c>
      <c r="AW151" s="16" t="s">
        <v>18879</v>
      </c>
      <c r="AX151" s="16" t="s">
        <v>18950</v>
      </c>
      <c r="AY151" s="385">
        <v>8336</v>
      </c>
    </row>
    <row r="152" spans="1:51" x14ac:dyDescent="0.25">
      <c r="A152" s="16" t="s">
        <v>19167</v>
      </c>
      <c r="B152" s="16" t="s">
        <v>3782</v>
      </c>
      <c r="D152" s="16">
        <v>2</v>
      </c>
      <c r="E152" s="16" t="s">
        <v>14</v>
      </c>
      <c r="F152" s="16" t="str">
        <f>VLOOKUP(Table28[[#This Row],[Country]],Table10[[COUNTRY NAME]:[CONTINENT CODE]],3,FALSE)</f>
        <v>AS</v>
      </c>
      <c r="G152" s="16" t="s">
        <v>16825</v>
      </c>
      <c r="H152" s="181">
        <v>8748</v>
      </c>
      <c r="I152" s="180">
        <v>21.25</v>
      </c>
      <c r="K152" s="316">
        <f>IFERROR(Table28[[#This Row],[ROUTE COST]]/Table28[[#This Row],[O - DEMAND]],0)</f>
        <v>0</v>
      </c>
      <c r="M152" s="16">
        <f>Table28[[#This Row],[O - DEMAND]]/950</f>
        <v>0</v>
      </c>
      <c r="N152" s="16">
        <f>IFERROR(VLOOKUP(Table28[[#This Row],[ROUTE]],DEMAND!A:F,5,FALSE),0)</f>
        <v>0</v>
      </c>
      <c r="O152" s="16">
        <f>IFERROR(VLOOKUP(Table28[[#This Row],[ROUTE]],DEMAND!A:F,6,FALSE),0)</f>
        <v>0</v>
      </c>
      <c r="P152" s="16">
        <f>ROUNDDOWN(Table28[[#This Row],[R-DEMAND]]/950,0)</f>
        <v>0</v>
      </c>
      <c r="Q152" s="16">
        <f>Table28[[#This Row],[ADD ACC
(475/950)]]*Table28[[#This Row],[Duration
(A359)]]</f>
        <v>0</v>
      </c>
      <c r="R152" s="16">
        <f>IFERROR(VLOOKUP(Table28[[#This Row],[ROUTE]],PRICING!A:B,2,FALSE),0)</f>
        <v>0</v>
      </c>
      <c r="S152" s="16">
        <f>Table28[[#This Row],[C_DEMAND]]-Table28[[#This Row],[R-DEMAND]]</f>
        <v>0</v>
      </c>
      <c r="T152" s="316">
        <f>Table28[[#This Row],[SEATS SOLD]]*Table28[[#This Row],[ECO SEAT]]</f>
        <v>0</v>
      </c>
      <c r="U152" s="316">
        <f>Table28[[#This Row],[SEATS SOLD]]*(IFERROR(VLOOKUP(Table28[[#This Row],[ROUTE]],PRICING!A:C,3,FALSE),0))</f>
        <v>0</v>
      </c>
      <c r="V152" s="316">
        <f>Table28[[#This Row],[SEAT REV]]-Table28[[#This Row],[SEAT REV
(IF IDEAL $)]]</f>
        <v>0</v>
      </c>
      <c r="AA152" s="26" t="s">
        <v>19396</v>
      </c>
      <c r="AB152" s="26" t="s">
        <v>71</v>
      </c>
      <c r="AC152" s="26" t="s">
        <v>5739</v>
      </c>
      <c r="AD152" s="174">
        <v>12437</v>
      </c>
      <c r="AE152" s="26">
        <v>2577</v>
      </c>
      <c r="AF152" s="16">
        <v>2577</v>
      </c>
      <c r="AS152" s="16" t="s">
        <v>258</v>
      </c>
      <c r="AT152" s="16" t="s">
        <v>11085</v>
      </c>
      <c r="AU152" s="16" t="s">
        <v>5625</v>
      </c>
      <c r="AV152" s="16" t="s">
        <v>18884</v>
      </c>
      <c r="AW152" s="16" t="s">
        <v>18899</v>
      </c>
      <c r="AX152" s="16" t="s">
        <v>18950</v>
      </c>
      <c r="AY152" s="385">
        <v>8343</v>
      </c>
    </row>
    <row r="153" spans="1:51" x14ac:dyDescent="0.25">
      <c r="A153" s="16" t="s">
        <v>19486</v>
      </c>
      <c r="B153" s="16" t="s">
        <v>2806</v>
      </c>
      <c r="D153" s="16">
        <v>2</v>
      </c>
      <c r="E153" s="16" t="s">
        <v>714</v>
      </c>
      <c r="F153" s="16" t="str">
        <f>VLOOKUP(Table28[[#This Row],[Country]],Table10[[COUNTRY NAME]:[CONTINENT CODE]],3,FALSE)</f>
        <v>SA</v>
      </c>
      <c r="G153" s="16" t="s">
        <v>16989</v>
      </c>
      <c r="H153" s="181">
        <v>13001</v>
      </c>
      <c r="I153" s="180">
        <v>30.75</v>
      </c>
      <c r="K153" s="316">
        <f>IFERROR(Table28[[#This Row],[ROUTE COST]]/Table28[[#This Row],[O - DEMAND]],0)</f>
        <v>0</v>
      </c>
      <c r="M153" s="16">
        <f>Table28[[#This Row],[O - DEMAND]]/950</f>
        <v>0</v>
      </c>
      <c r="N153" s="16">
        <f>IFERROR(VLOOKUP(Table28[[#This Row],[ROUTE]],DEMAND!A:F,5,FALSE),0)</f>
        <v>0</v>
      </c>
      <c r="O153" s="16">
        <f>IFERROR(VLOOKUP(Table28[[#This Row],[ROUTE]],DEMAND!A:F,6,FALSE),0)</f>
        <v>0</v>
      </c>
      <c r="P153" s="16">
        <f>ROUNDDOWN(Table28[[#This Row],[R-DEMAND]]/950,0)</f>
        <v>0</v>
      </c>
      <c r="Q153" s="16">
        <f>Table28[[#This Row],[ADD ACC
(475/950)]]*Table28[[#This Row],[Duration
(A359)]]</f>
        <v>0</v>
      </c>
      <c r="R153" s="16">
        <f>IFERROR(VLOOKUP(Table28[[#This Row],[ROUTE]],PRICING!A:B,2,FALSE),0)</f>
        <v>0</v>
      </c>
      <c r="S153" s="16">
        <f>Table28[[#This Row],[C_DEMAND]]-Table28[[#This Row],[R-DEMAND]]</f>
        <v>0</v>
      </c>
      <c r="T153" s="316">
        <f>Table28[[#This Row],[SEATS SOLD]]*Table28[[#This Row],[ECO SEAT]]</f>
        <v>0</v>
      </c>
      <c r="U153" s="316">
        <f>Table28[[#This Row],[SEATS SOLD]]*(IFERROR(VLOOKUP(Table28[[#This Row],[ROUTE]],PRICING!A:C,3,FALSE),0))</f>
        <v>0</v>
      </c>
      <c r="V153" s="316">
        <f>Table28[[#This Row],[SEAT REV]]-Table28[[#This Row],[SEAT REV
(IF IDEAL $)]]</f>
        <v>0</v>
      </c>
      <c r="AA153" s="26" t="s">
        <v>19354</v>
      </c>
      <c r="AB153" s="26" t="s">
        <v>71</v>
      </c>
      <c r="AC153" s="26" t="s">
        <v>5754</v>
      </c>
      <c r="AD153" s="174">
        <v>12064</v>
      </c>
      <c r="AE153" s="26">
        <v>2585</v>
      </c>
      <c r="AF153" s="16">
        <v>2585</v>
      </c>
      <c r="AS153" s="16" t="s">
        <v>258</v>
      </c>
      <c r="AT153" s="16" t="s">
        <v>257</v>
      </c>
      <c r="AU153" s="16" t="s">
        <v>259</v>
      </c>
      <c r="AV153" s="16" t="s">
        <v>18884</v>
      </c>
      <c r="AW153" s="16" t="s">
        <v>18918</v>
      </c>
      <c r="AX153" s="16" t="s">
        <v>18950</v>
      </c>
      <c r="AY153" s="385">
        <v>8344</v>
      </c>
    </row>
    <row r="154" spans="1:51" x14ac:dyDescent="0.25">
      <c r="A154" s="16" t="s">
        <v>19207</v>
      </c>
      <c r="B154" s="16" t="s">
        <v>4714</v>
      </c>
      <c r="D154" s="16">
        <v>3</v>
      </c>
      <c r="E154" s="16" t="s">
        <v>1070</v>
      </c>
      <c r="F154" s="16" t="str">
        <f>VLOOKUP(Table28[[#This Row],[Country]],Table10[[COUNTRY NAME]:[CONTINENT CODE]],3,FALSE)</f>
        <v>AS</v>
      </c>
      <c r="G154" s="16" t="s">
        <v>18119</v>
      </c>
      <c r="H154" s="181">
        <v>9270</v>
      </c>
      <c r="I154" s="180">
        <v>22.5</v>
      </c>
      <c r="K154" s="316">
        <f>IFERROR(Table28[[#This Row],[ROUTE COST]]/Table28[[#This Row],[O - DEMAND]],0)</f>
        <v>0</v>
      </c>
      <c r="M154" s="16">
        <f>Table28[[#This Row],[O - DEMAND]]/950</f>
        <v>0</v>
      </c>
      <c r="N154" s="16">
        <f>IFERROR(VLOOKUP(Table28[[#This Row],[ROUTE]],DEMAND!A:F,5,FALSE),0)</f>
        <v>0</v>
      </c>
      <c r="O154" s="16">
        <f>IFERROR(VLOOKUP(Table28[[#This Row],[ROUTE]],DEMAND!A:F,6,FALSE),0)</f>
        <v>0</v>
      </c>
      <c r="P154" s="16">
        <f>ROUNDDOWN(Table28[[#This Row],[R-DEMAND]]/950,0)</f>
        <v>0</v>
      </c>
      <c r="Q154" s="16">
        <f>Table28[[#This Row],[ADD ACC
(475/950)]]*Table28[[#This Row],[Duration
(A359)]]</f>
        <v>0</v>
      </c>
      <c r="R154" s="16">
        <f>IFERROR(VLOOKUP(Table28[[#This Row],[ROUTE]],PRICING!A:B,2,FALSE),0)</f>
        <v>0</v>
      </c>
      <c r="S154" s="16">
        <f>Table28[[#This Row],[C_DEMAND]]-Table28[[#This Row],[R-DEMAND]]</f>
        <v>0</v>
      </c>
      <c r="T154" s="316">
        <f>Table28[[#This Row],[SEATS SOLD]]*Table28[[#This Row],[ECO SEAT]]</f>
        <v>0</v>
      </c>
      <c r="U154" s="316">
        <f>Table28[[#This Row],[SEATS SOLD]]*(IFERROR(VLOOKUP(Table28[[#This Row],[ROUTE]],PRICING!A:C,3,FALSE),0))</f>
        <v>0</v>
      </c>
      <c r="V154" s="316">
        <f>Table28[[#This Row],[SEAT REV]]-Table28[[#This Row],[SEAT REV
(IF IDEAL $)]]</f>
        <v>0</v>
      </c>
      <c r="AA154" s="26" t="s">
        <v>19704</v>
      </c>
      <c r="AB154" s="26" t="s">
        <v>71</v>
      </c>
      <c r="AC154" s="26" t="s">
        <v>4349</v>
      </c>
      <c r="AD154" s="174">
        <v>14570</v>
      </c>
      <c r="AE154" s="26">
        <v>2229</v>
      </c>
      <c r="AF154" s="16">
        <v>2229</v>
      </c>
      <c r="AS154" s="16" t="s">
        <v>142</v>
      </c>
      <c r="AT154" s="16" t="s">
        <v>10855</v>
      </c>
      <c r="AU154" s="16" t="s">
        <v>4725</v>
      </c>
      <c r="AV154" s="16" t="s">
        <v>18881</v>
      </c>
      <c r="AW154" s="16" t="s">
        <v>18885</v>
      </c>
      <c r="AX154" s="16" t="s">
        <v>18950</v>
      </c>
      <c r="AY154" s="385">
        <v>8375</v>
      </c>
    </row>
    <row r="155" spans="1:51" x14ac:dyDescent="0.25">
      <c r="A155" s="16" t="s">
        <v>19397</v>
      </c>
      <c r="B155" s="16" t="s">
        <v>3739</v>
      </c>
      <c r="C155" s="16" t="s">
        <v>467</v>
      </c>
      <c r="D155" s="16">
        <v>2</v>
      </c>
      <c r="E155" s="16" t="s">
        <v>530</v>
      </c>
      <c r="F155" s="16" t="str">
        <f>VLOOKUP(Table28[[#This Row],[Country]],Table10[[COUNTRY NAME]:[CONTINENT CODE]],3,FALSE)</f>
        <v>SA</v>
      </c>
      <c r="G155" s="16" t="s">
        <v>13180</v>
      </c>
      <c r="H155" s="181">
        <v>12444</v>
      </c>
      <c r="I155" s="180">
        <v>29.5</v>
      </c>
      <c r="K155" s="316">
        <f>IFERROR(Table28[[#This Row],[ROUTE COST]]/Table28[[#This Row],[O - DEMAND]],0)</f>
        <v>0</v>
      </c>
      <c r="M155" s="16">
        <f>Table28[[#This Row],[O - DEMAND]]/950</f>
        <v>0</v>
      </c>
      <c r="N155" s="16">
        <f>IFERROR(VLOOKUP(Table28[[#This Row],[ROUTE]],DEMAND!A:F,5,FALSE),0)</f>
        <v>2361</v>
      </c>
      <c r="O155" s="16">
        <f>IFERROR(VLOOKUP(Table28[[#This Row],[ROUTE]],DEMAND!A:F,6,FALSE),0)</f>
        <v>461</v>
      </c>
      <c r="P155" s="16">
        <f>ROUNDDOWN(Table28[[#This Row],[R-DEMAND]]/950,0)</f>
        <v>0</v>
      </c>
      <c r="Q155" s="16">
        <f>Table28[[#This Row],[ADD ACC
(475/950)]]*Table28[[#This Row],[Duration
(A359)]]</f>
        <v>0</v>
      </c>
      <c r="R155" s="16">
        <f>IFERROR(VLOOKUP(Table28[[#This Row],[ROUTE]],PRICING!A:B,2,FALSE),0)</f>
        <v>0</v>
      </c>
      <c r="S155" s="16">
        <f>Table28[[#This Row],[C_DEMAND]]-Table28[[#This Row],[R-DEMAND]]</f>
        <v>1900</v>
      </c>
      <c r="T155" s="316">
        <f>Table28[[#This Row],[SEATS SOLD]]*Table28[[#This Row],[ECO SEAT]]</f>
        <v>0</v>
      </c>
      <c r="U155" s="316">
        <f>Table28[[#This Row],[SEATS SOLD]]*(IFERROR(VLOOKUP(Table28[[#This Row],[ROUTE]],PRICING!A:C,3,FALSE),0))</f>
        <v>0</v>
      </c>
      <c r="V155" s="316">
        <f>Table28[[#This Row],[SEAT REV]]-Table28[[#This Row],[SEAT REV
(IF IDEAL $)]]</f>
        <v>0</v>
      </c>
      <c r="AA155" s="26" t="s">
        <v>19761</v>
      </c>
      <c r="AB155" s="26" t="s">
        <v>71</v>
      </c>
      <c r="AC155" s="26" t="s">
        <v>204</v>
      </c>
      <c r="AD155" s="174">
        <v>14925</v>
      </c>
      <c r="AE155" s="26">
        <v>2366</v>
      </c>
      <c r="AF155" s="16">
        <v>2366</v>
      </c>
      <c r="AS155" s="16" t="s">
        <v>14</v>
      </c>
      <c r="AT155" s="16" t="s">
        <v>62</v>
      </c>
      <c r="AU155" s="16" t="s">
        <v>63</v>
      </c>
      <c r="AV155" s="16" t="s">
        <v>18884</v>
      </c>
      <c r="AW155" s="16" t="s">
        <v>18899</v>
      </c>
      <c r="AX155" s="16" t="s">
        <v>18949</v>
      </c>
      <c r="AY155" s="385">
        <v>8438</v>
      </c>
    </row>
    <row r="156" spans="1:51" x14ac:dyDescent="0.25">
      <c r="A156" s="16" t="s">
        <v>19138</v>
      </c>
      <c r="B156" s="16" t="s">
        <v>4586</v>
      </c>
      <c r="D156" s="16">
        <v>2</v>
      </c>
      <c r="E156" s="16" t="s">
        <v>258</v>
      </c>
      <c r="F156" s="16" t="str">
        <f>VLOOKUP(Table28[[#This Row],[Country]],Table10[[COUNTRY NAME]:[CONTINENT CODE]],3,FALSE)</f>
        <v>AS</v>
      </c>
      <c r="G156" s="16" t="s">
        <v>16833</v>
      </c>
      <c r="H156" s="181">
        <v>8233</v>
      </c>
      <c r="I156" s="180">
        <v>20.25</v>
      </c>
      <c r="K156" s="316">
        <f>IFERROR(Table28[[#This Row],[ROUTE COST]]/Table28[[#This Row],[O - DEMAND]],0)</f>
        <v>0</v>
      </c>
      <c r="M156" s="16">
        <f>Table28[[#This Row],[O - DEMAND]]/950</f>
        <v>0</v>
      </c>
      <c r="N156" s="16">
        <f>IFERROR(VLOOKUP(Table28[[#This Row],[ROUTE]],DEMAND!A:F,5,FALSE),0)</f>
        <v>0</v>
      </c>
      <c r="O156" s="16">
        <f>IFERROR(VLOOKUP(Table28[[#This Row],[ROUTE]],DEMAND!A:F,6,FALSE),0)</f>
        <v>0</v>
      </c>
      <c r="P156" s="16">
        <f>ROUNDDOWN(Table28[[#This Row],[R-DEMAND]]/950,0)</f>
        <v>0</v>
      </c>
      <c r="Q156" s="16">
        <f>Table28[[#This Row],[ADD ACC
(475/950)]]*Table28[[#This Row],[Duration
(A359)]]</f>
        <v>0</v>
      </c>
      <c r="R156" s="16">
        <f>IFERROR(VLOOKUP(Table28[[#This Row],[ROUTE]],PRICING!A:B,2,FALSE),0)</f>
        <v>0</v>
      </c>
      <c r="S156" s="16">
        <f>Table28[[#This Row],[C_DEMAND]]-Table28[[#This Row],[R-DEMAND]]</f>
        <v>0</v>
      </c>
      <c r="T156" s="316">
        <f>Table28[[#This Row],[SEATS SOLD]]*Table28[[#This Row],[ECO SEAT]]</f>
        <v>0</v>
      </c>
      <c r="U156" s="316">
        <f>Table28[[#This Row],[SEATS SOLD]]*(IFERROR(VLOOKUP(Table28[[#This Row],[ROUTE]],PRICING!A:C,3,FALSE),0))</f>
        <v>0</v>
      </c>
      <c r="V156" s="316">
        <f>Table28[[#This Row],[SEAT REV]]-Table28[[#This Row],[SEAT REV
(IF IDEAL $)]]</f>
        <v>0</v>
      </c>
      <c r="AA156" s="26" t="s">
        <v>19265</v>
      </c>
      <c r="AB156" s="26" t="s">
        <v>71</v>
      </c>
      <c r="AC156" s="26" t="s">
        <v>198</v>
      </c>
      <c r="AD156" s="174">
        <v>10842</v>
      </c>
      <c r="AE156" s="26">
        <v>3970</v>
      </c>
      <c r="AF156" s="16">
        <v>3970</v>
      </c>
      <c r="AS156" s="16" t="s">
        <v>14</v>
      </c>
      <c r="AT156" s="16" t="s">
        <v>5911</v>
      </c>
      <c r="AU156" s="16" t="s">
        <v>1801</v>
      </c>
      <c r="AV156" s="16" t="s">
        <v>18878</v>
      </c>
      <c r="AW156" s="16" t="s">
        <v>18890</v>
      </c>
      <c r="AX156" s="16" t="s">
        <v>18949</v>
      </c>
      <c r="AY156" s="385">
        <v>8450</v>
      </c>
    </row>
    <row r="157" spans="1:51" x14ac:dyDescent="0.25">
      <c r="A157" s="16" t="s">
        <v>19474</v>
      </c>
      <c r="B157" s="16" t="s">
        <v>4363</v>
      </c>
      <c r="D157" s="16">
        <v>2</v>
      </c>
      <c r="E157" s="16" t="s">
        <v>1749</v>
      </c>
      <c r="F157" s="16" t="str">
        <f>VLOOKUP(Table28[[#This Row],[Country]],Table10[[COUNTRY NAME]:[CONTINENT CODE]],3,FALSE)</f>
        <v>NA</v>
      </c>
      <c r="G157" s="16" t="s">
        <v>16970</v>
      </c>
      <c r="H157" s="181">
        <v>12945</v>
      </c>
      <c r="I157" s="180">
        <v>30.5</v>
      </c>
      <c r="K157" s="316">
        <f>IFERROR(Table28[[#This Row],[ROUTE COST]]/Table28[[#This Row],[O - DEMAND]],0)</f>
        <v>0</v>
      </c>
      <c r="M157" s="16">
        <f>Table28[[#This Row],[O - DEMAND]]/950</f>
        <v>0</v>
      </c>
      <c r="N157" s="16">
        <f>IFERROR(VLOOKUP(Table28[[#This Row],[ROUTE]],DEMAND!A:F,5,FALSE),0)</f>
        <v>0</v>
      </c>
      <c r="O157" s="16">
        <f>IFERROR(VLOOKUP(Table28[[#This Row],[ROUTE]],DEMAND!A:F,6,FALSE),0)</f>
        <v>0</v>
      </c>
      <c r="P157" s="16">
        <f>ROUNDDOWN(Table28[[#This Row],[R-DEMAND]]/950,0)</f>
        <v>0</v>
      </c>
      <c r="Q157" s="16">
        <f>Table28[[#This Row],[ADD ACC
(475/950)]]*Table28[[#This Row],[Duration
(A359)]]</f>
        <v>0</v>
      </c>
      <c r="R157" s="16">
        <f>IFERROR(VLOOKUP(Table28[[#This Row],[ROUTE]],PRICING!A:B,2,FALSE),0)</f>
        <v>0</v>
      </c>
      <c r="S157" s="16">
        <f>Table28[[#This Row],[C_DEMAND]]-Table28[[#This Row],[R-DEMAND]]</f>
        <v>0</v>
      </c>
      <c r="T157" s="316">
        <f>Table28[[#This Row],[SEATS SOLD]]*Table28[[#This Row],[ECO SEAT]]</f>
        <v>0</v>
      </c>
      <c r="U157" s="316">
        <f>Table28[[#This Row],[SEATS SOLD]]*(IFERROR(VLOOKUP(Table28[[#This Row],[ROUTE]],PRICING!A:C,3,FALSE),0))</f>
        <v>0</v>
      </c>
      <c r="V157" s="316">
        <f>Table28[[#This Row],[SEAT REV]]-Table28[[#This Row],[SEAT REV
(IF IDEAL $)]]</f>
        <v>0</v>
      </c>
      <c r="AA157" s="26" t="s">
        <v>19449</v>
      </c>
      <c r="AB157" s="26" t="s">
        <v>71</v>
      </c>
      <c r="AC157" s="26" t="s">
        <v>5549</v>
      </c>
      <c r="AD157" s="174">
        <v>12797</v>
      </c>
      <c r="AE157" s="26">
        <v>3595</v>
      </c>
      <c r="AF157" s="16">
        <v>3595</v>
      </c>
      <c r="AS157" s="16" t="s">
        <v>14</v>
      </c>
      <c r="AT157" s="16" t="s">
        <v>16831</v>
      </c>
      <c r="AU157" s="16" t="s">
        <v>4300</v>
      </c>
      <c r="AV157" s="16" t="s">
        <v>18878</v>
      </c>
      <c r="AX157" s="16" t="s">
        <v>18949</v>
      </c>
      <c r="AY157" s="385">
        <v>8460</v>
      </c>
    </row>
    <row r="158" spans="1:51" x14ac:dyDescent="0.25">
      <c r="A158" s="16" t="s">
        <v>19112</v>
      </c>
      <c r="B158" s="16" t="s">
        <v>5608</v>
      </c>
      <c r="D158" s="16">
        <v>4</v>
      </c>
      <c r="E158" s="16" t="s">
        <v>258</v>
      </c>
      <c r="F158" s="16" t="str">
        <f>VLOOKUP(Table28[[#This Row],[Country]],Table10[[COUNTRY NAME]:[CONTINENT CODE]],3,FALSE)</f>
        <v>AS</v>
      </c>
      <c r="G158" s="16" t="s">
        <v>11097</v>
      </c>
      <c r="H158" s="181">
        <v>7933</v>
      </c>
      <c r="I158" s="180">
        <v>19.5</v>
      </c>
      <c r="K158" s="316">
        <f>IFERROR(Table28[[#This Row],[ROUTE COST]]/Table28[[#This Row],[O - DEMAND]],0)</f>
        <v>0</v>
      </c>
      <c r="M158" s="16">
        <f>Table28[[#This Row],[O - DEMAND]]/950</f>
        <v>0</v>
      </c>
      <c r="N158" s="16">
        <f>IFERROR(VLOOKUP(Table28[[#This Row],[ROUTE]],DEMAND!A:F,5,FALSE),0)</f>
        <v>0</v>
      </c>
      <c r="O158" s="16">
        <f>IFERROR(VLOOKUP(Table28[[#This Row],[ROUTE]],DEMAND!A:F,6,FALSE),0)</f>
        <v>0</v>
      </c>
      <c r="P158" s="16">
        <f>ROUNDDOWN(Table28[[#This Row],[R-DEMAND]]/950,0)</f>
        <v>0</v>
      </c>
      <c r="Q158" s="16">
        <f>Table28[[#This Row],[ADD ACC
(475/950)]]*Table28[[#This Row],[Duration
(A359)]]</f>
        <v>0</v>
      </c>
      <c r="R158" s="16">
        <f>IFERROR(VLOOKUP(Table28[[#This Row],[ROUTE]],PRICING!A:B,2,FALSE),0)</f>
        <v>0</v>
      </c>
      <c r="S158" s="16">
        <f>Table28[[#This Row],[C_DEMAND]]-Table28[[#This Row],[R-DEMAND]]</f>
        <v>0</v>
      </c>
      <c r="T158" s="316">
        <f>Table28[[#This Row],[SEATS SOLD]]*Table28[[#This Row],[ECO SEAT]]</f>
        <v>0</v>
      </c>
      <c r="U158" s="316">
        <f>Table28[[#This Row],[SEATS SOLD]]*(IFERROR(VLOOKUP(Table28[[#This Row],[ROUTE]],PRICING!A:C,3,FALSE),0))</f>
        <v>0</v>
      </c>
      <c r="V158" s="316">
        <f>Table28[[#This Row],[SEAT REV]]-Table28[[#This Row],[SEAT REV
(IF IDEAL $)]]</f>
        <v>0</v>
      </c>
      <c r="AA158" s="26" t="s">
        <v>19590</v>
      </c>
      <c r="AB158" s="26" t="s">
        <v>71</v>
      </c>
      <c r="AC158" s="26" t="s">
        <v>3921</v>
      </c>
      <c r="AD158" s="174">
        <v>13722</v>
      </c>
      <c r="AE158" s="26">
        <v>2370</v>
      </c>
      <c r="AF158" s="16">
        <v>2370</v>
      </c>
      <c r="AS158" s="16" t="s">
        <v>14</v>
      </c>
      <c r="AT158" s="16" t="s">
        <v>12059</v>
      </c>
      <c r="AU158" s="16" t="s">
        <v>3358</v>
      </c>
      <c r="AV158" s="16" t="s">
        <v>18892</v>
      </c>
      <c r="AW158" s="16" t="s">
        <v>18879</v>
      </c>
      <c r="AX158" s="16" t="s">
        <v>18949</v>
      </c>
      <c r="AY158" s="385">
        <v>8482</v>
      </c>
    </row>
    <row r="159" spans="1:51" x14ac:dyDescent="0.25">
      <c r="A159" s="16" t="s">
        <v>19151</v>
      </c>
      <c r="B159" s="16" t="s">
        <v>361</v>
      </c>
      <c r="C159" s="16" t="s">
        <v>467</v>
      </c>
      <c r="D159" s="16">
        <v>4</v>
      </c>
      <c r="E159" s="16" t="s">
        <v>14</v>
      </c>
      <c r="F159" s="16" t="str">
        <f>VLOOKUP(Table28[[#This Row],[Country]],Table10[[COUNTRY NAME]:[CONTINENT CODE]],3,FALSE)</f>
        <v>AS</v>
      </c>
      <c r="G159" s="16" t="s">
        <v>11096</v>
      </c>
      <c r="H159" s="181">
        <v>8487</v>
      </c>
      <c r="I159" s="180">
        <v>20.75</v>
      </c>
      <c r="K159" s="316">
        <f>IFERROR(Table28[[#This Row],[ROUTE COST]]/Table28[[#This Row],[O - DEMAND]],0)</f>
        <v>0</v>
      </c>
      <c r="M159" s="16">
        <f>Table28[[#This Row],[O - DEMAND]]/950</f>
        <v>0</v>
      </c>
      <c r="N159" s="16">
        <f>IFERROR(VLOOKUP(Table28[[#This Row],[ROUTE]],DEMAND!A:F,5,FALSE),0)</f>
        <v>3153</v>
      </c>
      <c r="O159" s="16">
        <f>IFERROR(VLOOKUP(Table28[[#This Row],[ROUTE]],DEMAND!A:F,6,FALSE),0)</f>
        <v>303</v>
      </c>
      <c r="P159" s="16">
        <f>ROUNDDOWN(Table28[[#This Row],[R-DEMAND]]/950,0)</f>
        <v>0</v>
      </c>
      <c r="Q159" s="16">
        <f>Table28[[#This Row],[ADD ACC
(475/950)]]*Table28[[#This Row],[Duration
(A359)]]</f>
        <v>0</v>
      </c>
      <c r="R159" s="16">
        <f>IFERROR(VLOOKUP(Table28[[#This Row],[ROUTE]],PRICING!A:B,2,FALSE),0)</f>
        <v>0</v>
      </c>
      <c r="S159" s="16">
        <f>Table28[[#This Row],[C_DEMAND]]-Table28[[#This Row],[R-DEMAND]]</f>
        <v>2850</v>
      </c>
      <c r="T159" s="316">
        <f>Table28[[#This Row],[SEATS SOLD]]*Table28[[#This Row],[ECO SEAT]]</f>
        <v>0</v>
      </c>
      <c r="U159" s="316">
        <f>Table28[[#This Row],[SEATS SOLD]]*(IFERROR(VLOOKUP(Table28[[#This Row],[ROUTE]],PRICING!A:C,3,FALSE),0))</f>
        <v>0</v>
      </c>
      <c r="V159" s="316">
        <f>Table28[[#This Row],[SEAT REV]]-Table28[[#This Row],[SEAT REV
(IF IDEAL $)]]</f>
        <v>0</v>
      </c>
      <c r="AA159" s="26" t="s">
        <v>19312</v>
      </c>
      <c r="AB159" s="26" t="s">
        <v>71</v>
      </c>
      <c r="AC159" s="26" t="s">
        <v>3295</v>
      </c>
      <c r="AD159" s="174">
        <v>11539</v>
      </c>
      <c r="AE159" s="26">
        <v>3673</v>
      </c>
      <c r="AF159" s="16">
        <v>3673</v>
      </c>
      <c r="AS159" s="16" t="s">
        <v>14</v>
      </c>
      <c r="AT159" s="16" t="s">
        <v>11096</v>
      </c>
      <c r="AU159" s="16" t="s">
        <v>361</v>
      </c>
      <c r="AV159" s="16" t="s">
        <v>18881</v>
      </c>
      <c r="AW159" s="16" t="s">
        <v>18899</v>
      </c>
      <c r="AX159" s="16" t="s">
        <v>18949</v>
      </c>
      <c r="AY159" s="385">
        <v>8487</v>
      </c>
    </row>
    <row r="160" spans="1:51" x14ac:dyDescent="0.25">
      <c r="A160" s="16" t="s">
        <v>19633</v>
      </c>
      <c r="B160" s="16" t="s">
        <v>5021</v>
      </c>
      <c r="D160" s="16">
        <v>3</v>
      </c>
      <c r="E160" s="16" t="s">
        <v>860</v>
      </c>
      <c r="F160" s="16" t="str">
        <f>VLOOKUP(Table28[[#This Row],[Country]],Table10[[COUNTRY NAME]:[CONTINENT CODE]],3,FALSE)</f>
        <v>SA</v>
      </c>
      <c r="G160" s="16" t="s">
        <v>13183</v>
      </c>
      <c r="H160" s="181">
        <v>14057</v>
      </c>
      <c r="I160" s="180">
        <v>33</v>
      </c>
      <c r="K160" s="316">
        <f>IFERROR(Table28[[#This Row],[ROUTE COST]]/Table28[[#This Row],[O - DEMAND]],0)</f>
        <v>0</v>
      </c>
      <c r="M160" s="16">
        <f>Table28[[#This Row],[O - DEMAND]]/950</f>
        <v>0</v>
      </c>
      <c r="N160" s="16">
        <f>IFERROR(VLOOKUP(Table28[[#This Row],[ROUTE]],DEMAND!A:F,5,FALSE),0)</f>
        <v>0</v>
      </c>
      <c r="O160" s="16">
        <f>IFERROR(VLOOKUP(Table28[[#This Row],[ROUTE]],DEMAND!A:F,6,FALSE),0)</f>
        <v>0</v>
      </c>
      <c r="P160" s="16">
        <f>ROUNDDOWN(Table28[[#This Row],[R-DEMAND]]/950,0)</f>
        <v>0</v>
      </c>
      <c r="Q160" s="16">
        <f>Table28[[#This Row],[ADD ACC
(475/950)]]*Table28[[#This Row],[Duration
(A359)]]</f>
        <v>0</v>
      </c>
      <c r="R160" s="16">
        <f>IFERROR(VLOOKUP(Table28[[#This Row],[ROUTE]],PRICING!A:B,2,FALSE),0)</f>
        <v>0</v>
      </c>
      <c r="S160" s="16">
        <f>Table28[[#This Row],[C_DEMAND]]-Table28[[#This Row],[R-DEMAND]]</f>
        <v>0</v>
      </c>
      <c r="T160" s="316">
        <f>Table28[[#This Row],[SEATS SOLD]]*Table28[[#This Row],[ECO SEAT]]</f>
        <v>0</v>
      </c>
      <c r="U160" s="316">
        <f>Table28[[#This Row],[SEATS SOLD]]*(IFERROR(VLOOKUP(Table28[[#This Row],[ROUTE]],PRICING!A:C,3,FALSE),0))</f>
        <v>0</v>
      </c>
      <c r="V160" s="316">
        <f>Table28[[#This Row],[SEAT REV]]-Table28[[#This Row],[SEAT REV
(IF IDEAL $)]]</f>
        <v>0</v>
      </c>
      <c r="AA160" s="26" t="s">
        <v>19493</v>
      </c>
      <c r="AB160" s="26" t="s">
        <v>71</v>
      </c>
      <c r="AC160" s="26" t="s">
        <v>4456</v>
      </c>
      <c r="AD160" s="174">
        <v>13028</v>
      </c>
      <c r="AE160" s="26">
        <v>3043</v>
      </c>
      <c r="AF160" s="16">
        <v>3043</v>
      </c>
      <c r="AS160" s="16" t="s">
        <v>142</v>
      </c>
      <c r="AT160" s="16" t="s">
        <v>9502</v>
      </c>
      <c r="AU160" s="16" t="s">
        <v>5008</v>
      </c>
      <c r="AV160" s="16" t="s">
        <v>18892</v>
      </c>
      <c r="AW160" s="16" t="s">
        <v>18885</v>
      </c>
      <c r="AX160" s="16" t="s">
        <v>18949</v>
      </c>
      <c r="AY160" s="385">
        <v>8487</v>
      </c>
    </row>
    <row r="161" spans="1:51" x14ac:dyDescent="0.25">
      <c r="A161" s="16" t="s">
        <v>19169</v>
      </c>
      <c r="B161" s="16" t="s">
        <v>5126</v>
      </c>
      <c r="D161" s="16">
        <v>3</v>
      </c>
      <c r="E161" s="16" t="s">
        <v>5124</v>
      </c>
      <c r="F161" s="16" t="str">
        <f>VLOOKUP(Table28[[#This Row],[Country]],Table10[[COUNTRY NAME]:[CONTINENT CODE]],3,FALSE)</f>
        <v>AS</v>
      </c>
      <c r="G161" s="16" t="s">
        <v>12078</v>
      </c>
      <c r="H161" s="181">
        <v>8765</v>
      </c>
      <c r="I161" s="180">
        <v>21.25</v>
      </c>
      <c r="K161" s="316">
        <f>IFERROR(Table28[[#This Row],[ROUTE COST]]/Table28[[#This Row],[O - DEMAND]],0)</f>
        <v>0</v>
      </c>
      <c r="M161" s="16">
        <f>Table28[[#This Row],[O - DEMAND]]/950</f>
        <v>0</v>
      </c>
      <c r="N161" s="16">
        <f>IFERROR(VLOOKUP(Table28[[#This Row],[ROUTE]],DEMAND!A:F,5,FALSE),0)</f>
        <v>0</v>
      </c>
      <c r="O161" s="16">
        <f>IFERROR(VLOOKUP(Table28[[#This Row],[ROUTE]],DEMAND!A:F,6,FALSE),0)</f>
        <v>0</v>
      </c>
      <c r="P161" s="16">
        <f>ROUNDDOWN(Table28[[#This Row],[R-DEMAND]]/950,0)</f>
        <v>0</v>
      </c>
      <c r="Q161" s="16">
        <f>Table28[[#This Row],[ADD ACC
(475/950)]]*Table28[[#This Row],[Duration
(A359)]]</f>
        <v>0</v>
      </c>
      <c r="R161" s="16">
        <f>IFERROR(VLOOKUP(Table28[[#This Row],[ROUTE]],PRICING!A:B,2,FALSE),0)</f>
        <v>0</v>
      </c>
      <c r="S161" s="16">
        <f>Table28[[#This Row],[C_DEMAND]]-Table28[[#This Row],[R-DEMAND]]</f>
        <v>0</v>
      </c>
      <c r="T161" s="316">
        <f>Table28[[#This Row],[SEATS SOLD]]*Table28[[#This Row],[ECO SEAT]]</f>
        <v>0</v>
      </c>
      <c r="U161" s="316">
        <f>Table28[[#This Row],[SEATS SOLD]]*(IFERROR(VLOOKUP(Table28[[#This Row],[ROUTE]],PRICING!A:C,3,FALSE),0))</f>
        <v>0</v>
      </c>
      <c r="V161" s="316">
        <f>Table28[[#This Row],[SEAT REV]]-Table28[[#This Row],[SEAT REV
(IF IDEAL $)]]</f>
        <v>0</v>
      </c>
      <c r="AA161" s="26" t="s">
        <v>19331</v>
      </c>
      <c r="AB161" s="26" t="s">
        <v>71</v>
      </c>
      <c r="AC161" s="26" t="s">
        <v>190</v>
      </c>
      <c r="AD161" s="174">
        <v>11851</v>
      </c>
      <c r="AE161" s="26">
        <v>3838</v>
      </c>
      <c r="AF161" s="16">
        <v>3838</v>
      </c>
      <c r="AS161" s="16" t="s">
        <v>14</v>
      </c>
      <c r="AT161" s="16" t="s">
        <v>12073</v>
      </c>
      <c r="AU161" s="16" t="s">
        <v>3189</v>
      </c>
      <c r="AV161" s="16" t="s">
        <v>18892</v>
      </c>
      <c r="AW161" s="16" t="s">
        <v>18879</v>
      </c>
      <c r="AX161" s="16" t="s">
        <v>18949</v>
      </c>
      <c r="AY161" s="385">
        <v>8507</v>
      </c>
    </row>
    <row r="162" spans="1:51" x14ac:dyDescent="0.25">
      <c r="A162" s="16" t="s">
        <v>19782</v>
      </c>
      <c r="B162" s="16" t="s">
        <v>2520</v>
      </c>
      <c r="D162" s="16">
        <v>2</v>
      </c>
      <c r="E162" s="16" t="s">
        <v>683</v>
      </c>
      <c r="F162" s="16" t="str">
        <f>VLOOKUP(Table28[[#This Row],[Country]],Table10[[COUNTRY NAME]:[CONTINENT CODE]],3,FALSE)</f>
        <v>NA</v>
      </c>
      <c r="G162" s="16" t="s">
        <v>13191</v>
      </c>
      <c r="H162" s="181">
        <v>15044</v>
      </c>
      <c r="I162" s="180">
        <v>35.25</v>
      </c>
      <c r="K162" s="316">
        <f>IFERROR(Table28[[#This Row],[ROUTE COST]]/Table28[[#This Row],[O - DEMAND]],0)</f>
        <v>0</v>
      </c>
      <c r="M162" s="16">
        <f>Table28[[#This Row],[O - DEMAND]]/950</f>
        <v>0</v>
      </c>
      <c r="N162" s="16">
        <f>IFERROR(VLOOKUP(Table28[[#This Row],[ROUTE]],DEMAND!A:F,5,FALSE),0)</f>
        <v>0</v>
      </c>
      <c r="O162" s="16">
        <f>IFERROR(VLOOKUP(Table28[[#This Row],[ROUTE]],DEMAND!A:F,6,FALSE),0)</f>
        <v>0</v>
      </c>
      <c r="P162" s="16">
        <f>ROUNDDOWN(Table28[[#This Row],[R-DEMAND]]/950,0)</f>
        <v>0</v>
      </c>
      <c r="Q162" s="16">
        <f>Table28[[#This Row],[ADD ACC
(475/950)]]*Table28[[#This Row],[Duration
(A359)]]</f>
        <v>0</v>
      </c>
      <c r="R162" s="16">
        <f>IFERROR(VLOOKUP(Table28[[#This Row],[ROUTE]],PRICING!A:B,2,FALSE),0)</f>
        <v>0</v>
      </c>
      <c r="S162" s="16">
        <f>Table28[[#This Row],[C_DEMAND]]-Table28[[#This Row],[R-DEMAND]]</f>
        <v>0</v>
      </c>
      <c r="T162" s="316">
        <f>Table28[[#This Row],[SEATS SOLD]]*Table28[[#This Row],[ECO SEAT]]</f>
        <v>0</v>
      </c>
      <c r="U162" s="316">
        <f>Table28[[#This Row],[SEATS SOLD]]*(IFERROR(VLOOKUP(Table28[[#This Row],[ROUTE]],PRICING!A:C,3,FALSE),0))</f>
        <v>0</v>
      </c>
      <c r="V162" s="316">
        <f>Table28[[#This Row],[SEAT REV]]-Table28[[#This Row],[SEAT REV
(IF IDEAL $)]]</f>
        <v>0</v>
      </c>
      <c r="AA162" s="26" t="s">
        <v>19217</v>
      </c>
      <c r="AB162" s="26" t="s">
        <v>71</v>
      </c>
      <c r="AC162" s="26" t="s">
        <v>8728</v>
      </c>
      <c r="AD162" s="174">
        <v>9465</v>
      </c>
      <c r="AE162" s="26">
        <v>2973</v>
      </c>
      <c r="AF162" s="16">
        <v>2973</v>
      </c>
      <c r="AS162" s="16" t="s">
        <v>11046</v>
      </c>
      <c r="AT162" s="16" t="s">
        <v>4748</v>
      </c>
      <c r="AU162" s="16" t="s">
        <v>175</v>
      </c>
      <c r="AV162" s="16" t="s">
        <v>18884</v>
      </c>
      <c r="AW162" s="16" t="s">
        <v>18885</v>
      </c>
      <c r="AX162" s="16" t="s">
        <v>18949</v>
      </c>
      <c r="AY162" s="385">
        <v>8509</v>
      </c>
    </row>
    <row r="163" spans="1:51" x14ac:dyDescent="0.25">
      <c r="A163" s="16" t="s">
        <v>19784</v>
      </c>
      <c r="B163" s="16" t="s">
        <v>4408</v>
      </c>
      <c r="C163" s="16" t="s">
        <v>467</v>
      </c>
      <c r="D163" s="16">
        <v>2</v>
      </c>
      <c r="E163" s="16" t="s">
        <v>1420</v>
      </c>
      <c r="F163" s="16" t="str">
        <f>VLOOKUP(Table28[[#This Row],[Country]],Table10[[COUNTRY NAME]:[CONTINENT CODE]],3,FALSE)</f>
        <v>EU</v>
      </c>
      <c r="G163" s="16" t="s">
        <v>11844</v>
      </c>
      <c r="H163" s="181">
        <v>15048</v>
      </c>
      <c r="I163" s="180">
        <v>35.25</v>
      </c>
      <c r="K163" s="316">
        <f>IFERROR(Table28[[#This Row],[ROUTE COST]]/Table28[[#This Row],[O - DEMAND]],0)</f>
        <v>0</v>
      </c>
      <c r="M163" s="16">
        <f>Table28[[#This Row],[O - DEMAND]]/950</f>
        <v>0</v>
      </c>
      <c r="N163" s="16">
        <f>IFERROR(VLOOKUP(Table28[[#This Row],[ROUTE]],DEMAND!A:F,5,FALSE),0)</f>
        <v>1963</v>
      </c>
      <c r="O163" s="16">
        <f>IFERROR(VLOOKUP(Table28[[#This Row],[ROUTE]],DEMAND!A:F,6,FALSE),0)</f>
        <v>63</v>
      </c>
      <c r="P163" s="16">
        <f>ROUNDDOWN(Table28[[#This Row],[R-DEMAND]]/950,0)</f>
        <v>0</v>
      </c>
      <c r="Q163" s="16">
        <f>Table28[[#This Row],[ADD ACC
(475/950)]]*Table28[[#This Row],[Duration
(A359)]]</f>
        <v>0</v>
      </c>
      <c r="R163" s="16">
        <f>IFERROR(VLOOKUP(Table28[[#This Row],[ROUTE]],PRICING!A:B,2,FALSE),0)</f>
        <v>0</v>
      </c>
      <c r="S163" s="16">
        <f>Table28[[#This Row],[C_DEMAND]]-Table28[[#This Row],[R-DEMAND]]</f>
        <v>1900</v>
      </c>
      <c r="T163" s="316">
        <f>Table28[[#This Row],[SEATS SOLD]]*Table28[[#This Row],[ECO SEAT]]</f>
        <v>0</v>
      </c>
      <c r="U163" s="316">
        <f>Table28[[#This Row],[SEATS SOLD]]*(IFERROR(VLOOKUP(Table28[[#This Row],[ROUTE]],PRICING!A:C,3,FALSE),0))</f>
        <v>0</v>
      </c>
      <c r="V163" s="316">
        <f>Table28[[#This Row],[SEAT REV]]-Table28[[#This Row],[SEAT REV
(IF IDEAL $)]]</f>
        <v>0</v>
      </c>
      <c r="AA163" s="26" t="s">
        <v>19645</v>
      </c>
      <c r="AB163" s="26" t="s">
        <v>71</v>
      </c>
      <c r="AC163" s="26" t="s">
        <v>5019</v>
      </c>
      <c r="AD163" s="174">
        <v>14098</v>
      </c>
      <c r="AE163" s="26">
        <v>2457</v>
      </c>
      <c r="AF163" s="16">
        <v>2457</v>
      </c>
      <c r="AS163" s="16" t="s">
        <v>14</v>
      </c>
      <c r="AT163" s="16" t="s">
        <v>12039</v>
      </c>
      <c r="AU163" s="16" t="s">
        <v>2868</v>
      </c>
      <c r="AV163" s="16" t="s">
        <v>18892</v>
      </c>
      <c r="AW163" s="16" t="s">
        <v>18879</v>
      </c>
      <c r="AX163" s="16" t="s">
        <v>18949</v>
      </c>
      <c r="AY163" s="385">
        <v>8510</v>
      </c>
    </row>
    <row r="164" spans="1:51" x14ac:dyDescent="0.25">
      <c r="A164" s="16" t="s">
        <v>19612</v>
      </c>
      <c r="B164" s="16" t="s">
        <v>5485</v>
      </c>
      <c r="C164" s="16" t="s">
        <v>467</v>
      </c>
      <c r="D164" s="16">
        <v>4</v>
      </c>
      <c r="E164" s="16" t="s">
        <v>517</v>
      </c>
      <c r="F164" s="16" t="str">
        <f>VLOOKUP(Table28[[#This Row],[Country]],Table10[[COUNTRY NAME]:[CONTINENT CODE]],3,FALSE)</f>
        <v>SA</v>
      </c>
      <c r="G164" s="16" t="s">
        <v>13160</v>
      </c>
      <c r="H164" s="181">
        <v>13848</v>
      </c>
      <c r="I164" s="180">
        <v>32.5</v>
      </c>
      <c r="K164" s="316">
        <f>IFERROR(Table28[[#This Row],[ROUTE COST]]/Table28[[#This Row],[O - DEMAND]],0)</f>
        <v>0</v>
      </c>
      <c r="M164" s="16">
        <f>Table28[[#This Row],[O - DEMAND]]/950</f>
        <v>0</v>
      </c>
      <c r="N164" s="16">
        <f>IFERROR(VLOOKUP(Table28[[#This Row],[ROUTE]],DEMAND!A:F,5,FALSE),0)</f>
        <v>3226</v>
      </c>
      <c r="O164" s="16">
        <f>IFERROR(VLOOKUP(Table28[[#This Row],[ROUTE]],DEMAND!A:F,6,FALSE),0)</f>
        <v>376</v>
      </c>
      <c r="P164" s="16">
        <f>ROUNDDOWN(Table28[[#This Row],[R-DEMAND]]/950,0)</f>
        <v>0</v>
      </c>
      <c r="Q164" s="16">
        <f>Table28[[#This Row],[ADD ACC
(475/950)]]*Table28[[#This Row],[Duration
(A359)]]</f>
        <v>0</v>
      </c>
      <c r="R164" s="16">
        <f>IFERROR(VLOOKUP(Table28[[#This Row],[ROUTE]],PRICING!A:B,2,FALSE),0)</f>
        <v>0</v>
      </c>
      <c r="S164" s="16">
        <f>Table28[[#This Row],[C_DEMAND]]-Table28[[#This Row],[R-DEMAND]]</f>
        <v>2850</v>
      </c>
      <c r="T164" s="316">
        <f>Table28[[#This Row],[SEATS SOLD]]*Table28[[#This Row],[ECO SEAT]]</f>
        <v>0</v>
      </c>
      <c r="U164" s="316">
        <f>Table28[[#This Row],[SEATS SOLD]]*(IFERROR(VLOOKUP(Table28[[#This Row],[ROUTE]],PRICING!A:C,3,FALSE),0))</f>
        <v>0</v>
      </c>
      <c r="V164" s="316">
        <f>Table28[[#This Row],[SEAT REV]]-Table28[[#This Row],[SEAT REV
(IF IDEAL $)]]</f>
        <v>0</v>
      </c>
      <c r="AA164" s="26" t="s">
        <v>19194</v>
      </c>
      <c r="AB164" s="26" t="s">
        <v>71</v>
      </c>
      <c r="AC164" s="26" t="s">
        <v>187</v>
      </c>
      <c r="AD164" s="174">
        <v>9130</v>
      </c>
      <c r="AE164" s="26">
        <v>3865</v>
      </c>
      <c r="AF164" s="16">
        <v>3865</v>
      </c>
      <c r="AS164" s="16" t="s">
        <v>14</v>
      </c>
      <c r="AT164" s="16" t="s">
        <v>16832</v>
      </c>
      <c r="AU164" s="16" t="s">
        <v>5006</v>
      </c>
      <c r="AV164" s="16" t="s">
        <v>18878</v>
      </c>
      <c r="AX164" s="16" t="s">
        <v>18949</v>
      </c>
      <c r="AY164" s="385">
        <v>8514</v>
      </c>
    </row>
    <row r="165" spans="1:51" x14ac:dyDescent="0.25">
      <c r="A165" s="16" t="s">
        <v>19003</v>
      </c>
      <c r="B165" s="16" t="s">
        <v>5262</v>
      </c>
      <c r="D165" s="16">
        <v>3</v>
      </c>
      <c r="E165" s="16" t="s">
        <v>774</v>
      </c>
      <c r="F165" s="16" t="str">
        <f>VLOOKUP(Table28[[#This Row],[Country]],Table10[[COUNTRY NAME]:[CONTINENT CODE]],3,FALSE)</f>
        <v>OC</v>
      </c>
      <c r="G165" s="16" t="s">
        <v>12048</v>
      </c>
      <c r="H165" s="181">
        <v>1974</v>
      </c>
      <c r="I165" s="180">
        <v>6.5</v>
      </c>
      <c r="K165" s="316">
        <f>IFERROR(Table28[[#This Row],[ROUTE COST]]/Table28[[#This Row],[O - DEMAND]],0)</f>
        <v>0</v>
      </c>
      <c r="M165" s="16">
        <f>Table28[[#This Row],[O - DEMAND]]/950</f>
        <v>0</v>
      </c>
      <c r="N165" s="16">
        <f>IFERROR(VLOOKUP(Table28[[#This Row],[ROUTE]],DEMAND!A:F,5,FALSE),0)</f>
        <v>0</v>
      </c>
      <c r="O165" s="16">
        <f>IFERROR(VLOOKUP(Table28[[#This Row],[ROUTE]],DEMAND!A:F,6,FALSE),0)</f>
        <v>0</v>
      </c>
      <c r="P165" s="16">
        <f>ROUNDDOWN(Table28[[#This Row],[R-DEMAND]]/950,0)</f>
        <v>0</v>
      </c>
      <c r="Q165" s="16">
        <f>Table28[[#This Row],[ADD ACC
(475/950)]]*Table28[[#This Row],[Duration
(A359)]]</f>
        <v>0</v>
      </c>
      <c r="R165" s="16">
        <f>IFERROR(VLOOKUP(Table28[[#This Row],[ROUTE]],PRICING!A:B,2,FALSE),0)</f>
        <v>0</v>
      </c>
      <c r="S165" s="16">
        <f>Table28[[#This Row],[C_DEMAND]]-Table28[[#This Row],[R-DEMAND]]</f>
        <v>0</v>
      </c>
      <c r="T165" s="316">
        <f>Table28[[#This Row],[SEATS SOLD]]*Table28[[#This Row],[ECO SEAT]]</f>
        <v>0</v>
      </c>
      <c r="U165" s="316">
        <f>Table28[[#This Row],[SEATS SOLD]]*(IFERROR(VLOOKUP(Table28[[#This Row],[ROUTE]],PRICING!A:C,3,FALSE),0))</f>
        <v>0</v>
      </c>
      <c r="V165" s="316">
        <f>Table28[[#This Row],[SEAT REV]]-Table28[[#This Row],[SEAT REV
(IF IDEAL $)]]</f>
        <v>0</v>
      </c>
      <c r="AA165" s="26" t="s">
        <v>19764</v>
      </c>
      <c r="AB165" s="26" t="s">
        <v>71</v>
      </c>
      <c r="AC165" s="26" t="s">
        <v>5130</v>
      </c>
      <c r="AD165" s="174">
        <v>14948</v>
      </c>
      <c r="AE165" s="26">
        <v>2217</v>
      </c>
      <c r="AF165" s="16">
        <v>2217</v>
      </c>
      <c r="AS165" s="16" t="s">
        <v>14</v>
      </c>
      <c r="AT165" s="16" t="s">
        <v>16828</v>
      </c>
      <c r="AU165" s="16" t="s">
        <v>2780</v>
      </c>
      <c r="AV165" s="16" t="s">
        <v>18878</v>
      </c>
      <c r="AX165" s="16" t="s">
        <v>18949</v>
      </c>
      <c r="AY165" s="385">
        <v>8526</v>
      </c>
    </row>
    <row r="166" spans="1:51" x14ac:dyDescent="0.25">
      <c r="A166" s="16" t="s">
        <v>19121</v>
      </c>
      <c r="B166" s="16" t="s">
        <v>357</v>
      </c>
      <c r="C166" s="16" t="s">
        <v>467</v>
      </c>
      <c r="D166" s="16">
        <v>3</v>
      </c>
      <c r="E166" s="16" t="s">
        <v>332</v>
      </c>
      <c r="F166" s="16" t="str">
        <f>VLOOKUP(Table28[[#This Row],[Country]],Table10[[COUNTRY NAME]:[CONTINENT CODE]],3,FALSE)</f>
        <v>AS</v>
      </c>
      <c r="G166" s="16" t="s">
        <v>12086</v>
      </c>
      <c r="H166" s="181">
        <v>8057</v>
      </c>
      <c r="I166" s="180">
        <v>19.75</v>
      </c>
      <c r="K166" s="316">
        <f>IFERROR(Table28[[#This Row],[ROUTE COST]]/Table28[[#This Row],[O - DEMAND]],0)</f>
        <v>0</v>
      </c>
      <c r="M166" s="16">
        <f>Table28[[#This Row],[O - DEMAND]]/950</f>
        <v>0</v>
      </c>
      <c r="N166" s="16">
        <f>IFERROR(VLOOKUP(Table28[[#This Row],[ROUTE]],DEMAND!A:F,5,FALSE),0)</f>
        <v>2847</v>
      </c>
      <c r="O166" s="16">
        <f>IFERROR(VLOOKUP(Table28[[#This Row],[ROUTE]],DEMAND!A:F,6,FALSE),0)</f>
        <v>947</v>
      </c>
      <c r="P166" s="16">
        <f>ROUNDDOWN(Table28[[#This Row],[R-DEMAND]]/950,0)</f>
        <v>0</v>
      </c>
      <c r="Q166" s="16">
        <f>Table28[[#This Row],[ADD ACC
(475/950)]]*Table28[[#This Row],[Duration
(A359)]]</f>
        <v>0</v>
      </c>
      <c r="R166" s="16">
        <f>IFERROR(VLOOKUP(Table28[[#This Row],[ROUTE]],PRICING!A:B,2,FALSE),0)</f>
        <v>0</v>
      </c>
      <c r="S166" s="16">
        <f>Table28[[#This Row],[C_DEMAND]]-Table28[[#This Row],[R-DEMAND]]</f>
        <v>1900</v>
      </c>
      <c r="T166" s="316">
        <f>Table28[[#This Row],[SEATS SOLD]]*Table28[[#This Row],[ECO SEAT]]</f>
        <v>0</v>
      </c>
      <c r="U166" s="316">
        <f>Table28[[#This Row],[SEATS SOLD]]*(IFERROR(VLOOKUP(Table28[[#This Row],[ROUTE]],PRICING!A:C,3,FALSE),0))</f>
        <v>0</v>
      </c>
      <c r="V166" s="316">
        <f>Table28[[#This Row],[SEAT REV]]-Table28[[#This Row],[SEAT REV
(IF IDEAL $)]]</f>
        <v>0</v>
      </c>
      <c r="AA166" s="26" t="s">
        <v>19325</v>
      </c>
      <c r="AB166" s="26" t="s">
        <v>71</v>
      </c>
      <c r="AC166" s="26" t="s">
        <v>4644</v>
      </c>
      <c r="AD166" s="174">
        <v>11720</v>
      </c>
      <c r="AE166" s="26">
        <v>3759</v>
      </c>
      <c r="AF166" s="16">
        <v>3759</v>
      </c>
      <c r="AS166" s="16" t="s">
        <v>2891</v>
      </c>
      <c r="AT166" s="16" t="s">
        <v>12016</v>
      </c>
      <c r="AU166" s="16" t="s">
        <v>2893</v>
      </c>
      <c r="AV166" s="16" t="s">
        <v>18884</v>
      </c>
      <c r="AW166" s="16" t="s">
        <v>18879</v>
      </c>
      <c r="AX166" s="16" t="s">
        <v>18948</v>
      </c>
      <c r="AY166" s="385">
        <v>8551</v>
      </c>
    </row>
    <row r="167" spans="1:51" x14ac:dyDescent="0.25">
      <c r="A167" s="16" t="s">
        <v>19531</v>
      </c>
      <c r="B167" s="16" t="s">
        <v>2197</v>
      </c>
      <c r="D167" s="16">
        <v>1</v>
      </c>
      <c r="E167" s="16" t="s">
        <v>11732</v>
      </c>
      <c r="F167" s="16" t="str">
        <f>VLOOKUP(Table28[[#This Row],[Country]],Table10[[COUNTRY NAME]:[CONTINENT CODE]],3,FALSE)</f>
        <v>NA - US</v>
      </c>
      <c r="G167" s="16" t="s">
        <v>16957</v>
      </c>
      <c r="H167" s="181">
        <v>13289</v>
      </c>
      <c r="I167" s="180">
        <v>31.25</v>
      </c>
      <c r="K167" s="316">
        <f>IFERROR(Table28[[#This Row],[ROUTE COST]]/Table28[[#This Row],[O - DEMAND]],0)</f>
        <v>0</v>
      </c>
      <c r="M167" s="180">
        <f>Table28[[#This Row],[O - DEMAND]]/950</f>
        <v>0</v>
      </c>
      <c r="N167" s="16">
        <f>IFERROR(VLOOKUP(Table28[[#This Row],[ROUTE]],DEMAND!A:F,5,FALSE),0)</f>
        <v>0</v>
      </c>
      <c r="O167" s="16">
        <f>IFERROR(VLOOKUP(Table28[[#This Row],[ROUTE]],DEMAND!A:F,6,FALSE),0)</f>
        <v>0</v>
      </c>
      <c r="P167" s="16">
        <f>ROUNDDOWN(Table28[[#This Row],[R-DEMAND]]/950,0)</f>
        <v>0</v>
      </c>
      <c r="Q167" s="16">
        <f>Table28[[#This Row],[ADD ACC
(475/950)]]*Table28[[#This Row],[Duration
(A359)]]</f>
        <v>0</v>
      </c>
      <c r="R167" s="16">
        <f>IFERROR(VLOOKUP(Table28[[#This Row],[ROUTE]],PRICING!A:B,2,FALSE),0)</f>
        <v>0</v>
      </c>
      <c r="S167" s="16">
        <f>Table28[[#This Row],[C_DEMAND]]-Table28[[#This Row],[R-DEMAND]]</f>
        <v>0</v>
      </c>
      <c r="T167" s="316">
        <f>Table28[[#This Row],[SEATS SOLD]]*Table28[[#This Row],[ECO SEAT]]</f>
        <v>0</v>
      </c>
      <c r="U167" s="316">
        <f>Table28[[#This Row],[SEATS SOLD]]*(IFERROR(VLOOKUP(Table28[[#This Row],[ROUTE]],PRICING!A:C,3,FALSE),0))</f>
        <v>0</v>
      </c>
      <c r="V167" s="316">
        <f>Table28[[#This Row],[SEAT REV]]-Table28[[#This Row],[SEAT REV
(IF IDEAL $)]]</f>
        <v>0</v>
      </c>
      <c r="AA167" s="26" t="s">
        <v>19779</v>
      </c>
      <c r="AB167" s="26" t="s">
        <v>71</v>
      </c>
      <c r="AC167" s="26" t="s">
        <v>5727</v>
      </c>
      <c r="AD167" s="174">
        <v>15042</v>
      </c>
      <c r="AE167" s="26">
        <v>1871</v>
      </c>
      <c r="AF167" s="16">
        <v>1871</v>
      </c>
      <c r="AS167" s="16" t="s">
        <v>14</v>
      </c>
      <c r="AT167" s="16" t="s">
        <v>11098</v>
      </c>
      <c r="AU167" s="16" t="s">
        <v>5489</v>
      </c>
      <c r="AV167" s="16" t="s">
        <v>18884</v>
      </c>
      <c r="AW167" s="16" t="s">
        <v>18899</v>
      </c>
      <c r="AX167" s="16" t="s">
        <v>18948</v>
      </c>
      <c r="AY167" s="385">
        <v>8551</v>
      </c>
    </row>
    <row r="168" spans="1:51" x14ac:dyDescent="0.25">
      <c r="A168" s="16" t="s">
        <v>19205</v>
      </c>
      <c r="B168" s="16" t="s">
        <v>355</v>
      </c>
      <c r="D168" s="16">
        <v>3</v>
      </c>
      <c r="E168" s="16" t="s">
        <v>1070</v>
      </c>
      <c r="F168" s="16" t="str">
        <f>VLOOKUP(Table28[[#This Row],[Country]],Table10[[COUNTRY NAME]:[CONTINENT CODE]],3,FALSE)</f>
        <v>AS</v>
      </c>
      <c r="G168" s="16" t="s">
        <v>12069</v>
      </c>
      <c r="H168" s="181">
        <v>9269</v>
      </c>
      <c r="I168" s="180">
        <v>22.5</v>
      </c>
      <c r="K168" s="316">
        <f>IFERROR(Table28[[#This Row],[ROUTE COST]]/Table28[[#This Row],[O - DEMAND]],0)</f>
        <v>0</v>
      </c>
      <c r="M168" s="16">
        <f>Table28[[#This Row],[O - DEMAND]]/950</f>
        <v>0</v>
      </c>
      <c r="N168" s="16">
        <f>IFERROR(VLOOKUP(Table28[[#This Row],[ROUTE]],DEMAND!A:F,5,FALSE),0)</f>
        <v>0</v>
      </c>
      <c r="O168" s="16">
        <f>IFERROR(VLOOKUP(Table28[[#This Row],[ROUTE]],DEMAND!A:F,6,FALSE),0)</f>
        <v>0</v>
      </c>
      <c r="P168" s="16">
        <f>ROUNDDOWN(Table28[[#This Row],[R-DEMAND]]/950,0)</f>
        <v>0</v>
      </c>
      <c r="Q168" s="16">
        <f>Table28[[#This Row],[ADD ACC
(475/950)]]*Table28[[#This Row],[Duration
(A359)]]</f>
        <v>0</v>
      </c>
      <c r="R168" s="16">
        <f>IFERROR(VLOOKUP(Table28[[#This Row],[ROUTE]],PRICING!A:B,2,FALSE),0)</f>
        <v>0</v>
      </c>
      <c r="S168" s="16">
        <f>Table28[[#This Row],[C_DEMAND]]-Table28[[#This Row],[R-DEMAND]]</f>
        <v>0</v>
      </c>
      <c r="T168" s="316">
        <f>Table28[[#This Row],[SEATS SOLD]]*Table28[[#This Row],[ECO SEAT]]</f>
        <v>0</v>
      </c>
      <c r="U168" s="316">
        <f>Table28[[#This Row],[SEATS SOLD]]*(IFERROR(VLOOKUP(Table28[[#This Row],[ROUTE]],PRICING!A:C,3,FALSE),0))</f>
        <v>0</v>
      </c>
      <c r="V168" s="316">
        <f>Table28[[#This Row],[SEAT REV]]-Table28[[#This Row],[SEAT REV
(IF IDEAL $)]]</f>
        <v>0</v>
      </c>
      <c r="AA168" s="26" t="s">
        <v>19323</v>
      </c>
      <c r="AB168" s="26" t="s">
        <v>71</v>
      </c>
      <c r="AC168" s="26" t="s">
        <v>180</v>
      </c>
      <c r="AD168" s="174">
        <v>11698</v>
      </c>
      <c r="AE168" s="26">
        <v>2979</v>
      </c>
      <c r="AF168" s="16">
        <v>2979</v>
      </c>
      <c r="AS168" s="16" t="s">
        <v>142</v>
      </c>
      <c r="AT168" s="16" t="s">
        <v>11093</v>
      </c>
      <c r="AU168" s="16" t="s">
        <v>349</v>
      </c>
      <c r="AV168" s="16" t="s">
        <v>18892</v>
      </c>
      <c r="AW168" s="16" t="s">
        <v>18899</v>
      </c>
      <c r="AX168" s="16" t="s">
        <v>18948</v>
      </c>
      <c r="AY168" s="385">
        <v>8587</v>
      </c>
    </row>
    <row r="169" spans="1:51" x14ac:dyDescent="0.25">
      <c r="A169" s="16" t="s">
        <v>19229</v>
      </c>
      <c r="B169" s="16" t="s">
        <v>958</v>
      </c>
      <c r="D169" s="16">
        <v>1</v>
      </c>
      <c r="E169" s="16" t="s">
        <v>533</v>
      </c>
      <c r="F169" s="16" t="str">
        <f>VLOOKUP(Table28[[#This Row],[Country]],Table10[[COUNTRY NAME]:[CONTINENT CODE]],3,FALSE)</f>
        <v>AS</v>
      </c>
      <c r="G169" s="16" t="s">
        <v>16843</v>
      </c>
      <c r="H169" s="181">
        <v>9825</v>
      </c>
      <c r="I169" s="180">
        <v>23.75</v>
      </c>
      <c r="K169" s="316">
        <f>IFERROR(Table28[[#This Row],[ROUTE COST]]/Table28[[#This Row],[O - DEMAND]],0)</f>
        <v>0</v>
      </c>
      <c r="M169" s="16">
        <f>Table28[[#This Row],[O - DEMAND]]/950</f>
        <v>0</v>
      </c>
      <c r="N169" s="16">
        <f>IFERROR(VLOOKUP(Table28[[#This Row],[ROUTE]],DEMAND!A:F,5,FALSE),0)</f>
        <v>0</v>
      </c>
      <c r="O169" s="16">
        <f>IFERROR(VLOOKUP(Table28[[#This Row],[ROUTE]],DEMAND!A:F,6,FALSE),0)</f>
        <v>0</v>
      </c>
      <c r="P169" s="16">
        <f>ROUNDDOWN(Table28[[#This Row],[R-DEMAND]]/950,0)</f>
        <v>0</v>
      </c>
      <c r="Q169" s="16">
        <f>Table28[[#This Row],[ADD ACC
(475/950)]]*Table28[[#This Row],[Duration
(A359)]]</f>
        <v>0</v>
      </c>
      <c r="R169" s="16">
        <f>IFERROR(VLOOKUP(Table28[[#This Row],[ROUTE]],PRICING!A:B,2,FALSE),0)</f>
        <v>0</v>
      </c>
      <c r="S169" s="16">
        <f>Table28[[#This Row],[C_DEMAND]]-Table28[[#This Row],[R-DEMAND]]</f>
        <v>0</v>
      </c>
      <c r="T169" s="316">
        <f>Table28[[#This Row],[SEATS SOLD]]*Table28[[#This Row],[ECO SEAT]]</f>
        <v>0</v>
      </c>
      <c r="U169" s="316">
        <f>Table28[[#This Row],[SEATS SOLD]]*(IFERROR(VLOOKUP(Table28[[#This Row],[ROUTE]],PRICING!A:C,3,FALSE),0))</f>
        <v>0</v>
      </c>
      <c r="V169" s="316">
        <f>Table28[[#This Row],[SEAT REV]]-Table28[[#This Row],[SEAT REV
(IF IDEAL $)]]</f>
        <v>0</v>
      </c>
      <c r="AA169" s="26" t="s">
        <v>19802</v>
      </c>
      <c r="AB169" s="26" t="s">
        <v>71</v>
      </c>
      <c r="AC169" s="26" t="s">
        <v>4793</v>
      </c>
      <c r="AD169" s="174">
        <v>15131</v>
      </c>
      <c r="AE169" s="26">
        <v>2059</v>
      </c>
      <c r="AF169" s="16">
        <v>2059</v>
      </c>
      <c r="AS169" s="16" t="s">
        <v>14</v>
      </c>
      <c r="AT169" s="16" t="s">
        <v>12067</v>
      </c>
      <c r="AU169" s="16" t="s">
        <v>3842</v>
      </c>
      <c r="AV169" s="16" t="s">
        <v>18884</v>
      </c>
      <c r="AW169" s="16" t="s">
        <v>18879</v>
      </c>
      <c r="AX169" s="16" t="s">
        <v>18948</v>
      </c>
      <c r="AY169" s="385">
        <v>8606</v>
      </c>
    </row>
    <row r="170" spans="1:51" x14ac:dyDescent="0.25">
      <c r="A170" s="16" t="s">
        <v>19333</v>
      </c>
      <c r="B170" s="16" t="s">
        <v>4642</v>
      </c>
      <c r="C170" s="16" t="s">
        <v>467</v>
      </c>
      <c r="D170" s="16">
        <v>2</v>
      </c>
      <c r="E170" s="16" t="s">
        <v>11669</v>
      </c>
      <c r="F170" s="16" t="str">
        <f>VLOOKUP(Table28[[#This Row],[Country]],Table10[[COUNTRY NAME]:[CONTINENT CODE]],3,FALSE)</f>
        <v>SA</v>
      </c>
      <c r="G170" s="16" t="s">
        <v>13137</v>
      </c>
      <c r="H170" s="181">
        <v>11868</v>
      </c>
      <c r="I170" s="180">
        <v>28.25</v>
      </c>
      <c r="K170" s="316">
        <f>IFERROR(Table28[[#This Row],[ROUTE COST]]/Table28[[#This Row],[O - DEMAND]],0)</f>
        <v>0</v>
      </c>
      <c r="M170" s="16">
        <f>Table28[[#This Row],[O - DEMAND]]/950</f>
        <v>0</v>
      </c>
      <c r="N170" s="16">
        <f>IFERROR(VLOOKUP(Table28[[#This Row],[ROUTE]],DEMAND!A:F,5,FALSE),0)</f>
        <v>2609</v>
      </c>
      <c r="O170" s="16">
        <f>IFERROR(VLOOKUP(Table28[[#This Row],[ROUTE]],DEMAND!A:F,6,FALSE),0)</f>
        <v>709</v>
      </c>
      <c r="P170" s="16">
        <f>ROUNDDOWN(Table28[[#This Row],[R-DEMAND]]/950,0)</f>
        <v>0</v>
      </c>
      <c r="Q170" s="16">
        <f>Table28[[#This Row],[ADD ACC
(475/950)]]*Table28[[#This Row],[Duration
(A359)]]</f>
        <v>0</v>
      </c>
      <c r="R170" s="16">
        <f>IFERROR(VLOOKUP(Table28[[#This Row],[ROUTE]],PRICING!A:B,2,FALSE),0)</f>
        <v>0</v>
      </c>
      <c r="S170" s="16">
        <f>Table28[[#This Row],[C_DEMAND]]-Table28[[#This Row],[R-DEMAND]]</f>
        <v>1900</v>
      </c>
      <c r="T170" s="316">
        <f>Table28[[#This Row],[SEATS SOLD]]*Table28[[#This Row],[ECO SEAT]]</f>
        <v>0</v>
      </c>
      <c r="U170" s="316">
        <f>Table28[[#This Row],[SEATS SOLD]]*(IFERROR(VLOOKUP(Table28[[#This Row],[ROUTE]],PRICING!A:C,3,FALSE),0))</f>
        <v>0</v>
      </c>
      <c r="V170" s="316">
        <f>Table28[[#This Row],[SEAT REV]]-Table28[[#This Row],[SEAT REV
(IF IDEAL $)]]</f>
        <v>0</v>
      </c>
      <c r="AA170" s="26" t="s">
        <v>19154</v>
      </c>
      <c r="AB170" s="26" t="s">
        <v>71</v>
      </c>
      <c r="AC170" s="26" t="s">
        <v>175</v>
      </c>
      <c r="AD170" s="174">
        <v>8509</v>
      </c>
      <c r="AE170" s="26">
        <v>3317</v>
      </c>
      <c r="AF170" s="16">
        <v>3317</v>
      </c>
      <c r="AS170" s="16" t="s">
        <v>14</v>
      </c>
      <c r="AT170" s="16" t="s">
        <v>12033</v>
      </c>
      <c r="AU170" s="16" t="s">
        <v>52</v>
      </c>
      <c r="AV170" s="16" t="s">
        <v>18884</v>
      </c>
      <c r="AW170" s="16" t="s">
        <v>18885</v>
      </c>
      <c r="AX170" s="16" t="s">
        <v>18948</v>
      </c>
      <c r="AY170" s="385">
        <v>8625</v>
      </c>
    </row>
    <row r="171" spans="1:51" x14ac:dyDescent="0.25">
      <c r="A171" s="16" t="s">
        <v>19549</v>
      </c>
      <c r="B171" s="16" t="s">
        <v>4947</v>
      </c>
      <c r="D171" s="16">
        <v>3</v>
      </c>
      <c r="E171" s="16" t="s">
        <v>11732</v>
      </c>
      <c r="F171" s="16" t="str">
        <f>VLOOKUP(Table28[[#This Row],[Country]],Table10[[COUNTRY NAME]:[CONTINENT CODE]],3,FALSE)</f>
        <v>NA - US</v>
      </c>
      <c r="G171" s="16" t="s">
        <v>13290</v>
      </c>
      <c r="H171" s="181">
        <v>13403</v>
      </c>
      <c r="I171" s="180">
        <v>31.5</v>
      </c>
      <c r="K171" s="316">
        <f>IFERROR(Table28[[#This Row],[ROUTE COST]]/Table28[[#This Row],[O - DEMAND]],0)</f>
        <v>0</v>
      </c>
      <c r="M171" s="180">
        <f>Table28[[#This Row],[O - DEMAND]]/950</f>
        <v>0</v>
      </c>
      <c r="N171" s="16">
        <f>IFERROR(VLOOKUP(Table28[[#This Row],[ROUTE]],DEMAND!A:F,5,FALSE),0)</f>
        <v>0</v>
      </c>
      <c r="O171" s="16">
        <f>IFERROR(VLOOKUP(Table28[[#This Row],[ROUTE]],DEMAND!A:F,6,FALSE),0)</f>
        <v>0</v>
      </c>
      <c r="P171" s="16">
        <f>ROUNDDOWN(Table28[[#This Row],[R-DEMAND]]/950,0)</f>
        <v>0</v>
      </c>
      <c r="Q171" s="16">
        <f>Table28[[#This Row],[ADD ACC
(475/950)]]*Table28[[#This Row],[Duration
(A359)]]</f>
        <v>0</v>
      </c>
      <c r="R171" s="16">
        <f>IFERROR(VLOOKUP(Table28[[#This Row],[ROUTE]],PRICING!A:B,2,FALSE),0)</f>
        <v>0</v>
      </c>
      <c r="S171" s="16">
        <f>Table28[[#This Row],[C_DEMAND]]-Table28[[#This Row],[R-DEMAND]]</f>
        <v>0</v>
      </c>
      <c r="T171" s="316">
        <f>Table28[[#This Row],[SEATS SOLD]]*Table28[[#This Row],[ECO SEAT]]</f>
        <v>0</v>
      </c>
      <c r="U171" s="316">
        <f>Table28[[#This Row],[SEATS SOLD]]*(IFERROR(VLOOKUP(Table28[[#This Row],[ROUTE]],PRICING!A:C,3,FALSE),0))</f>
        <v>0</v>
      </c>
      <c r="V171" s="316">
        <f>Table28[[#This Row],[SEAT REV]]-Table28[[#This Row],[SEAT REV
(IF IDEAL $)]]</f>
        <v>0</v>
      </c>
      <c r="AA171" s="26" t="s">
        <v>19309</v>
      </c>
      <c r="AB171" s="26" t="s">
        <v>71</v>
      </c>
      <c r="AC171" s="26" t="s">
        <v>4412</v>
      </c>
      <c r="AD171" s="174">
        <v>11498</v>
      </c>
      <c r="AE171" s="26">
        <v>2554</v>
      </c>
      <c r="AF171" s="16">
        <v>2554</v>
      </c>
      <c r="AS171" s="16" t="s">
        <v>14</v>
      </c>
      <c r="AT171" s="16" t="s">
        <v>336</v>
      </c>
      <c r="AU171" s="16" t="s">
        <v>337</v>
      </c>
      <c r="AV171" s="16" t="s">
        <v>18884</v>
      </c>
      <c r="AW171" s="16" t="s">
        <v>18899</v>
      </c>
      <c r="AX171" s="16" t="s">
        <v>18947</v>
      </c>
      <c r="AY171" s="385">
        <v>8665</v>
      </c>
    </row>
    <row r="172" spans="1:51" x14ac:dyDescent="0.25">
      <c r="A172" s="16" t="s">
        <v>19553</v>
      </c>
      <c r="B172" s="16" t="s">
        <v>3035</v>
      </c>
      <c r="D172" s="16">
        <v>2</v>
      </c>
      <c r="E172" s="16" t="s">
        <v>11732</v>
      </c>
      <c r="F172" s="16" t="str">
        <f>VLOOKUP(Table28[[#This Row],[Country]],Table10[[COUNTRY NAME]:[CONTINENT CODE]],3,FALSE)</f>
        <v>NA - US</v>
      </c>
      <c r="G172" s="16" t="s">
        <v>13278</v>
      </c>
      <c r="H172" s="181">
        <v>13422</v>
      </c>
      <c r="I172" s="180">
        <v>31.5</v>
      </c>
      <c r="K172" s="316">
        <f>IFERROR(Table28[[#This Row],[ROUTE COST]]/Table28[[#This Row],[O - DEMAND]],0)</f>
        <v>0</v>
      </c>
      <c r="M172" s="180">
        <f>Table28[[#This Row],[O - DEMAND]]/950</f>
        <v>0</v>
      </c>
      <c r="N172" s="16">
        <f>IFERROR(VLOOKUP(Table28[[#This Row],[ROUTE]],DEMAND!A:F,5,FALSE),0)</f>
        <v>0</v>
      </c>
      <c r="O172" s="16">
        <f>IFERROR(VLOOKUP(Table28[[#This Row],[ROUTE]],DEMAND!A:F,6,FALSE),0)</f>
        <v>0</v>
      </c>
      <c r="P172" s="16">
        <f>ROUNDDOWN(Table28[[#This Row],[R-DEMAND]]/950,0)</f>
        <v>0</v>
      </c>
      <c r="Q172" s="16">
        <f>Table28[[#This Row],[ADD ACC
(475/950)]]*Table28[[#This Row],[Duration
(A359)]]</f>
        <v>0</v>
      </c>
      <c r="R172" s="16">
        <f>IFERROR(VLOOKUP(Table28[[#This Row],[ROUTE]],PRICING!A:B,2,FALSE),0)</f>
        <v>0</v>
      </c>
      <c r="S172" s="16">
        <f>Table28[[#This Row],[C_DEMAND]]-Table28[[#This Row],[R-DEMAND]]</f>
        <v>0</v>
      </c>
      <c r="T172" s="316">
        <f>Table28[[#This Row],[SEATS SOLD]]*Table28[[#This Row],[ECO SEAT]]</f>
        <v>0</v>
      </c>
      <c r="U172" s="316">
        <f>Table28[[#This Row],[SEATS SOLD]]*(IFERROR(VLOOKUP(Table28[[#This Row],[ROUTE]],PRICING!A:C,3,FALSE),0))</f>
        <v>0</v>
      </c>
      <c r="V172" s="316">
        <f>Table28[[#This Row],[SEAT REV]]-Table28[[#This Row],[SEAT REV
(IF IDEAL $)]]</f>
        <v>0</v>
      </c>
      <c r="AA172" s="26" t="s">
        <v>19543</v>
      </c>
      <c r="AB172" s="26" t="s">
        <v>71</v>
      </c>
      <c r="AC172" s="26" t="s">
        <v>3595</v>
      </c>
      <c r="AD172" s="174">
        <v>13369</v>
      </c>
      <c r="AE172" s="26">
        <v>2657</v>
      </c>
      <c r="AF172" s="16">
        <v>2657</v>
      </c>
      <c r="AS172" s="16" t="s">
        <v>14</v>
      </c>
      <c r="AT172" s="16" t="s">
        <v>16837</v>
      </c>
      <c r="AU172" s="16" t="s">
        <v>2637</v>
      </c>
      <c r="AV172" s="16" t="s">
        <v>18878</v>
      </c>
      <c r="AX172" s="16" t="s">
        <v>18947</v>
      </c>
      <c r="AY172" s="385">
        <v>8678</v>
      </c>
    </row>
    <row r="173" spans="1:51" x14ac:dyDescent="0.25">
      <c r="A173" s="16" t="s">
        <v>19277</v>
      </c>
      <c r="B173" s="16" t="s">
        <v>353</v>
      </c>
      <c r="C173" s="16" t="s">
        <v>467</v>
      </c>
      <c r="D173" s="16">
        <v>4</v>
      </c>
      <c r="E173" s="16" t="s">
        <v>926</v>
      </c>
      <c r="F173" s="16" t="str">
        <f>VLOOKUP(Table28[[#This Row],[Country]],Table10[[COUNTRY NAME]:[CONTINENT CODE]],3,FALSE)</f>
        <v>AF</v>
      </c>
      <c r="G173" s="16" t="s">
        <v>11094</v>
      </c>
      <c r="H173" s="181">
        <v>10992</v>
      </c>
      <c r="I173" s="180">
        <v>26.25</v>
      </c>
      <c r="K173" s="316">
        <f>IFERROR(Table28[[#This Row],[ROUTE COST]]/Table28[[#This Row],[O - DEMAND]],0)</f>
        <v>0</v>
      </c>
      <c r="M173" s="16">
        <f>Table28[[#This Row],[O - DEMAND]]/950</f>
        <v>0</v>
      </c>
      <c r="N173" s="16">
        <f>IFERROR(VLOOKUP(Table28[[#This Row],[ROUTE]],DEMAND!A:F,5,FALSE),0)</f>
        <v>3888</v>
      </c>
      <c r="O173" s="16">
        <f>IFERROR(VLOOKUP(Table28[[#This Row],[ROUTE]],DEMAND!A:F,6,FALSE),0)</f>
        <v>88</v>
      </c>
      <c r="P173" s="16">
        <f>ROUNDDOWN(Table28[[#This Row],[R-DEMAND]]/950,0)</f>
        <v>0</v>
      </c>
      <c r="Q173" s="16">
        <f>Table28[[#This Row],[ADD ACC
(475/950)]]*Table28[[#This Row],[Duration
(A359)]]</f>
        <v>0</v>
      </c>
      <c r="R173" s="16">
        <f>IFERROR(VLOOKUP(Table28[[#This Row],[ROUTE]],PRICING!A:B,2,FALSE),0)</f>
        <v>0</v>
      </c>
      <c r="S173" s="16">
        <f>Table28[[#This Row],[C_DEMAND]]-Table28[[#This Row],[R-DEMAND]]</f>
        <v>3800</v>
      </c>
      <c r="T173" s="316">
        <f>Table28[[#This Row],[SEATS SOLD]]*Table28[[#This Row],[ECO SEAT]]</f>
        <v>0</v>
      </c>
      <c r="U173" s="316">
        <f>Table28[[#This Row],[SEATS SOLD]]*(IFERROR(VLOOKUP(Table28[[#This Row],[ROUTE]],PRICING!A:C,3,FALSE),0))</f>
        <v>0</v>
      </c>
      <c r="V173" s="316">
        <f>Table28[[#This Row],[SEAT REV]]-Table28[[#This Row],[SEAT REV
(IF IDEAL $)]]</f>
        <v>0</v>
      </c>
      <c r="AA173" s="26" t="s">
        <v>19550</v>
      </c>
      <c r="AB173" s="26" t="s">
        <v>71</v>
      </c>
      <c r="AC173" s="26" t="s">
        <v>173</v>
      </c>
      <c r="AD173" s="174">
        <v>13408</v>
      </c>
      <c r="AE173" s="26">
        <v>3462</v>
      </c>
      <c r="AF173" s="16">
        <v>3462</v>
      </c>
      <c r="AS173" s="16" t="s">
        <v>14</v>
      </c>
      <c r="AT173" s="16" t="s">
        <v>11092</v>
      </c>
      <c r="AU173" s="16" t="s">
        <v>347</v>
      </c>
      <c r="AV173" s="16" t="s">
        <v>18884</v>
      </c>
      <c r="AW173" s="16" t="s">
        <v>18918</v>
      </c>
      <c r="AX173" s="16" t="s">
        <v>18947</v>
      </c>
      <c r="AY173" s="385">
        <v>8731</v>
      </c>
    </row>
    <row r="174" spans="1:51" x14ac:dyDescent="0.25">
      <c r="A174" s="16" t="s">
        <v>19243</v>
      </c>
      <c r="B174" s="16" t="s">
        <v>3495</v>
      </c>
      <c r="D174" s="16">
        <v>2</v>
      </c>
      <c r="E174" s="16" t="s">
        <v>11669</v>
      </c>
      <c r="F174" s="16" t="str">
        <f>VLOOKUP(Table28[[#This Row],[Country]],Table10[[COUNTRY NAME]:[CONTINENT CODE]],3,FALSE)</f>
        <v>SA</v>
      </c>
      <c r="G174" s="16" t="s">
        <v>16918</v>
      </c>
      <c r="H174" s="181">
        <v>10338</v>
      </c>
      <c r="I174" s="180">
        <v>24.75</v>
      </c>
      <c r="K174" s="316">
        <f>IFERROR(Table28[[#This Row],[ROUTE COST]]/Table28[[#This Row],[O - DEMAND]],0)</f>
        <v>0</v>
      </c>
      <c r="M174" s="16">
        <f>Table28[[#This Row],[O - DEMAND]]/950</f>
        <v>0</v>
      </c>
      <c r="N174" s="16">
        <f>IFERROR(VLOOKUP(Table28[[#This Row],[ROUTE]],DEMAND!A:F,5,FALSE),0)</f>
        <v>0</v>
      </c>
      <c r="O174" s="16">
        <f>IFERROR(VLOOKUP(Table28[[#This Row],[ROUTE]],DEMAND!A:F,6,FALSE),0)</f>
        <v>0</v>
      </c>
      <c r="P174" s="16">
        <f>ROUNDDOWN(Table28[[#This Row],[R-DEMAND]]/950,0)</f>
        <v>0</v>
      </c>
      <c r="Q174" s="16">
        <f>Table28[[#This Row],[ADD ACC
(475/950)]]*Table28[[#This Row],[Duration
(A359)]]</f>
        <v>0</v>
      </c>
      <c r="R174" s="16">
        <f>IFERROR(VLOOKUP(Table28[[#This Row],[ROUTE]],PRICING!A:B,2,FALSE),0)</f>
        <v>0</v>
      </c>
      <c r="S174" s="16">
        <f>Table28[[#This Row],[C_DEMAND]]-Table28[[#This Row],[R-DEMAND]]</f>
        <v>0</v>
      </c>
      <c r="T174" s="316">
        <f>Table28[[#This Row],[SEATS SOLD]]*Table28[[#This Row],[ECO SEAT]]</f>
        <v>0</v>
      </c>
      <c r="U174" s="316">
        <f>Table28[[#This Row],[SEATS SOLD]]*(IFERROR(VLOOKUP(Table28[[#This Row],[ROUTE]],PRICING!A:C,3,FALSE),0))</f>
        <v>0</v>
      </c>
      <c r="V174" s="316">
        <f>Table28[[#This Row],[SEAT REV]]-Table28[[#This Row],[SEAT REV
(IF IDEAL $)]]</f>
        <v>0</v>
      </c>
      <c r="AA174" s="26" t="s">
        <v>18996</v>
      </c>
      <c r="AB174" s="26" t="s">
        <v>71</v>
      </c>
      <c r="AC174" s="26" t="s">
        <v>170</v>
      </c>
      <c r="AD174" s="26">
        <v>705</v>
      </c>
      <c r="AE174" s="26">
        <v>2462</v>
      </c>
      <c r="AF174" s="16">
        <v>2462</v>
      </c>
      <c r="AS174" s="16" t="s">
        <v>14</v>
      </c>
      <c r="AT174" s="16" t="s">
        <v>12042</v>
      </c>
      <c r="AU174" s="16" t="s">
        <v>4070</v>
      </c>
      <c r="AV174" s="16" t="s">
        <v>18892</v>
      </c>
      <c r="AW174" s="16" t="s">
        <v>18879</v>
      </c>
      <c r="AX174" s="16" t="s">
        <v>18947</v>
      </c>
      <c r="AY174" s="385">
        <v>8743</v>
      </c>
    </row>
    <row r="175" spans="1:51" x14ac:dyDescent="0.25">
      <c r="A175" s="16" t="s">
        <v>19049</v>
      </c>
      <c r="B175" s="16" t="s">
        <v>351</v>
      </c>
      <c r="C175" s="16" t="s">
        <v>467</v>
      </c>
      <c r="D175" s="16">
        <v>2</v>
      </c>
      <c r="E175" s="16" t="s">
        <v>717</v>
      </c>
      <c r="F175" s="16" t="str">
        <f>VLOOKUP(Table28[[#This Row],[Country]],Table10[[COUNTRY NAME]:[CONTINENT CODE]],3,FALSE)</f>
        <v>AS</v>
      </c>
      <c r="G175" s="16" t="s">
        <v>12087</v>
      </c>
      <c r="H175" s="181">
        <v>6354</v>
      </c>
      <c r="I175" s="180">
        <v>16</v>
      </c>
      <c r="K175" s="316">
        <f>IFERROR(Table28[[#This Row],[ROUTE COST]]/Table28[[#This Row],[O - DEMAND]],0)</f>
        <v>0</v>
      </c>
      <c r="M175" s="16">
        <f>Table28[[#This Row],[O - DEMAND]]/950</f>
        <v>0</v>
      </c>
      <c r="N175" s="16">
        <f>IFERROR(VLOOKUP(Table28[[#This Row],[ROUTE]],DEMAND!A:F,5,FALSE),0)</f>
        <v>2689</v>
      </c>
      <c r="O175" s="16">
        <f>IFERROR(VLOOKUP(Table28[[#This Row],[ROUTE]],DEMAND!A:F,6,FALSE),0)</f>
        <v>789</v>
      </c>
      <c r="P175" s="16">
        <f>ROUNDDOWN(Table28[[#This Row],[R-DEMAND]]/950,0)</f>
        <v>0</v>
      </c>
      <c r="Q175" s="16">
        <f>Table28[[#This Row],[ADD ACC
(475/950)]]*Table28[[#This Row],[Duration
(A359)]]</f>
        <v>0</v>
      </c>
      <c r="R175" s="16">
        <f>IFERROR(VLOOKUP(Table28[[#This Row],[ROUTE]],PRICING!A:B,2,FALSE),0)</f>
        <v>0</v>
      </c>
      <c r="S175" s="16">
        <f>Table28[[#This Row],[C_DEMAND]]-Table28[[#This Row],[R-DEMAND]]</f>
        <v>1900</v>
      </c>
      <c r="T175" s="316">
        <f>Table28[[#This Row],[SEATS SOLD]]*Table28[[#This Row],[ECO SEAT]]</f>
        <v>0</v>
      </c>
      <c r="U175" s="316">
        <f>Table28[[#This Row],[SEATS SOLD]]*(IFERROR(VLOOKUP(Table28[[#This Row],[ROUTE]],PRICING!A:C,3,FALSE),0))</f>
        <v>0</v>
      </c>
      <c r="V175" s="316">
        <f>Table28[[#This Row],[SEAT REV]]-Table28[[#This Row],[SEAT REV
(IF IDEAL $)]]</f>
        <v>0</v>
      </c>
      <c r="AA175" s="26" t="s">
        <v>19482</v>
      </c>
      <c r="AB175" s="26" t="s">
        <v>71</v>
      </c>
      <c r="AC175" s="26" t="s">
        <v>5703</v>
      </c>
      <c r="AD175" s="174">
        <v>12986</v>
      </c>
      <c r="AE175" s="26">
        <v>3412</v>
      </c>
      <c r="AF175" s="16">
        <v>3412</v>
      </c>
      <c r="AS175" s="16" t="s">
        <v>14</v>
      </c>
      <c r="AT175" s="16" t="s">
        <v>16825</v>
      </c>
      <c r="AU175" s="16" t="s">
        <v>3782</v>
      </c>
      <c r="AV175" s="16" t="s">
        <v>18878</v>
      </c>
      <c r="AW175" s="16" t="s">
        <v>18879</v>
      </c>
      <c r="AX175" s="16" t="s">
        <v>18947</v>
      </c>
      <c r="AY175" s="385">
        <v>8748</v>
      </c>
    </row>
    <row r="176" spans="1:51" x14ac:dyDescent="0.25">
      <c r="A176" s="16" t="s">
        <v>19351</v>
      </c>
      <c r="B176" s="16" t="s">
        <v>1828</v>
      </c>
      <c r="D176" s="16">
        <v>1</v>
      </c>
      <c r="E176" s="16" t="s">
        <v>11669</v>
      </c>
      <c r="F176" s="16" t="str">
        <f>VLOOKUP(Table28[[#This Row],[Country]],Table10[[COUNTRY NAME]:[CONTINENT CODE]],3,FALSE)</f>
        <v>SA</v>
      </c>
      <c r="G176" s="16" t="s">
        <v>10204</v>
      </c>
      <c r="H176" s="181">
        <v>12052</v>
      </c>
      <c r="I176" s="180">
        <v>28.5</v>
      </c>
      <c r="K176" s="316">
        <f>IFERROR(Table28[[#This Row],[ROUTE COST]]/Table28[[#This Row],[O - DEMAND]],0)</f>
        <v>0</v>
      </c>
      <c r="M176" s="16">
        <f>Table28[[#This Row],[O - DEMAND]]/950</f>
        <v>0</v>
      </c>
      <c r="N176" s="16">
        <f>IFERROR(VLOOKUP(Table28[[#This Row],[ROUTE]],DEMAND!A:F,5,FALSE),0)</f>
        <v>0</v>
      </c>
      <c r="O176" s="16">
        <f>IFERROR(VLOOKUP(Table28[[#This Row],[ROUTE]],DEMAND!A:F,6,FALSE),0)</f>
        <v>0</v>
      </c>
      <c r="P176" s="16">
        <f>ROUNDDOWN(Table28[[#This Row],[R-DEMAND]]/950,0)</f>
        <v>0</v>
      </c>
      <c r="Q176" s="16">
        <f>Table28[[#This Row],[ADD ACC
(475/950)]]*Table28[[#This Row],[Duration
(A359)]]</f>
        <v>0</v>
      </c>
      <c r="R176" s="16">
        <f>IFERROR(VLOOKUP(Table28[[#This Row],[ROUTE]],PRICING!A:B,2,FALSE),0)</f>
        <v>0</v>
      </c>
      <c r="S176" s="16">
        <f>Table28[[#This Row],[C_DEMAND]]-Table28[[#This Row],[R-DEMAND]]</f>
        <v>0</v>
      </c>
      <c r="T176" s="316">
        <f>Table28[[#This Row],[SEATS SOLD]]*Table28[[#This Row],[ECO SEAT]]</f>
        <v>0</v>
      </c>
      <c r="U176" s="316">
        <f>Table28[[#This Row],[SEATS SOLD]]*(IFERROR(VLOOKUP(Table28[[#This Row],[ROUTE]],PRICING!A:C,3,FALSE),0))</f>
        <v>0</v>
      </c>
      <c r="V176" s="316">
        <f>Table28[[#This Row],[SEAT REV]]-Table28[[#This Row],[SEAT REV
(IF IDEAL $)]]</f>
        <v>0</v>
      </c>
      <c r="AA176" s="26" t="s">
        <v>19776</v>
      </c>
      <c r="AB176" s="26" t="s">
        <v>71</v>
      </c>
      <c r="AC176" s="26" t="s">
        <v>168</v>
      </c>
      <c r="AD176" s="174">
        <v>15026</v>
      </c>
      <c r="AE176" s="26">
        <v>1845</v>
      </c>
      <c r="AF176" s="16">
        <v>1845</v>
      </c>
      <c r="AS176" s="16" t="s">
        <v>14</v>
      </c>
      <c r="AT176" s="16" t="s">
        <v>12065</v>
      </c>
      <c r="AU176" s="16" t="s">
        <v>3435</v>
      </c>
      <c r="AV176" s="16" t="s">
        <v>18884</v>
      </c>
      <c r="AW176" s="16" t="s">
        <v>18879</v>
      </c>
      <c r="AX176" s="16" t="s">
        <v>18947</v>
      </c>
      <c r="AY176" s="385">
        <v>8750</v>
      </c>
    </row>
    <row r="177" spans="1:51" x14ac:dyDescent="0.25">
      <c r="A177" s="16" t="s">
        <v>19712</v>
      </c>
      <c r="B177" s="16" t="s">
        <v>4770</v>
      </c>
      <c r="D177" s="16">
        <v>3</v>
      </c>
      <c r="E177" s="16" t="s">
        <v>860</v>
      </c>
      <c r="F177" s="16" t="str">
        <f>VLOOKUP(Table28[[#This Row],[Country]],Table10[[COUNTRY NAME]:[CONTINENT CODE]],3,FALSE)</f>
        <v>SA</v>
      </c>
      <c r="G177" s="16" t="s">
        <v>17030</v>
      </c>
      <c r="H177" s="181">
        <v>14610</v>
      </c>
      <c r="I177" s="180">
        <v>34.25</v>
      </c>
      <c r="K177" s="316">
        <f>IFERROR(Table28[[#This Row],[ROUTE COST]]/Table28[[#This Row],[O - DEMAND]],0)</f>
        <v>0</v>
      </c>
      <c r="M177" s="16">
        <f>Table28[[#This Row],[O - DEMAND]]/950</f>
        <v>0</v>
      </c>
      <c r="N177" s="16">
        <f>IFERROR(VLOOKUP(Table28[[#This Row],[ROUTE]],DEMAND!A:F,5,FALSE),0)</f>
        <v>0</v>
      </c>
      <c r="O177" s="16">
        <f>IFERROR(VLOOKUP(Table28[[#This Row],[ROUTE]],DEMAND!A:F,6,FALSE),0)</f>
        <v>0</v>
      </c>
      <c r="P177" s="16">
        <f>ROUNDDOWN(Table28[[#This Row],[R-DEMAND]]/950,0)</f>
        <v>0</v>
      </c>
      <c r="Q177" s="16">
        <f>Table28[[#This Row],[ADD ACC
(475/950)]]*Table28[[#This Row],[Duration
(A359)]]</f>
        <v>0</v>
      </c>
      <c r="R177" s="16">
        <f>IFERROR(VLOOKUP(Table28[[#This Row],[ROUTE]],PRICING!A:B,2,FALSE),0)</f>
        <v>0</v>
      </c>
      <c r="S177" s="16">
        <f>Table28[[#This Row],[C_DEMAND]]-Table28[[#This Row],[R-DEMAND]]</f>
        <v>0</v>
      </c>
      <c r="T177" s="316">
        <f>Table28[[#This Row],[SEATS SOLD]]*Table28[[#This Row],[ECO SEAT]]</f>
        <v>0</v>
      </c>
      <c r="U177" s="316">
        <f>Table28[[#This Row],[SEATS SOLD]]*(IFERROR(VLOOKUP(Table28[[#This Row],[ROUTE]],PRICING!A:C,3,FALSE),0))</f>
        <v>0</v>
      </c>
      <c r="V177" s="316">
        <f>Table28[[#This Row],[SEAT REV]]-Table28[[#This Row],[SEAT REV
(IF IDEAL $)]]</f>
        <v>0</v>
      </c>
      <c r="AA177" s="26" t="s">
        <v>19621</v>
      </c>
      <c r="AB177" s="26" t="s">
        <v>71</v>
      </c>
      <c r="AC177" s="26" t="s">
        <v>4735</v>
      </c>
      <c r="AD177" s="174">
        <v>13930</v>
      </c>
      <c r="AE177" s="26">
        <v>2601</v>
      </c>
      <c r="AF177" s="16">
        <v>2601</v>
      </c>
      <c r="AS177" s="16" t="s">
        <v>5124</v>
      </c>
      <c r="AT177" s="16" t="s">
        <v>12078</v>
      </c>
      <c r="AU177" s="16" t="s">
        <v>5126</v>
      </c>
      <c r="AV177" s="16" t="s">
        <v>18884</v>
      </c>
      <c r="AW177" s="16" t="s">
        <v>18885</v>
      </c>
      <c r="AX177" s="16" t="s">
        <v>18947</v>
      </c>
      <c r="AY177" s="385">
        <v>8765</v>
      </c>
    </row>
    <row r="178" spans="1:51" x14ac:dyDescent="0.25">
      <c r="A178" s="16" t="s">
        <v>19160</v>
      </c>
      <c r="B178" s="16" t="s">
        <v>349</v>
      </c>
      <c r="C178" s="16" t="s">
        <v>467</v>
      </c>
      <c r="D178" s="16">
        <v>4</v>
      </c>
      <c r="E178" s="16" t="s">
        <v>142</v>
      </c>
      <c r="F178" s="16" t="str">
        <f>VLOOKUP(Table28[[#This Row],[Country]],Table10[[COUNTRY NAME]:[CONTINENT CODE]],3,FALSE)</f>
        <v>AS</v>
      </c>
      <c r="G178" s="16" t="s">
        <v>11093</v>
      </c>
      <c r="H178" s="181">
        <v>8587</v>
      </c>
      <c r="I178" s="180">
        <v>21</v>
      </c>
      <c r="K178" s="316">
        <f>IFERROR(Table28[[#This Row],[ROUTE COST]]/Table28[[#This Row],[O - DEMAND]],0)</f>
        <v>0</v>
      </c>
      <c r="M178" s="16">
        <f>Table28[[#This Row],[O - DEMAND]]/950</f>
        <v>0</v>
      </c>
      <c r="N178" s="16">
        <f>IFERROR(VLOOKUP(Table28[[#This Row],[ROUTE]],DEMAND!A:F,5,FALSE),0)</f>
        <v>2655</v>
      </c>
      <c r="O178" s="16">
        <f>IFERROR(VLOOKUP(Table28[[#This Row],[ROUTE]],DEMAND!A:F,6,FALSE),0)</f>
        <v>755</v>
      </c>
      <c r="P178" s="16">
        <f>ROUNDDOWN(Table28[[#This Row],[R-DEMAND]]/950,0)</f>
        <v>0</v>
      </c>
      <c r="Q178" s="16">
        <f>Table28[[#This Row],[ADD ACC
(475/950)]]*Table28[[#This Row],[Duration
(A359)]]</f>
        <v>0</v>
      </c>
      <c r="R178" s="16">
        <f>IFERROR(VLOOKUP(Table28[[#This Row],[ROUTE]],PRICING!A:B,2,FALSE),0)</f>
        <v>0</v>
      </c>
      <c r="S178" s="16">
        <f>Table28[[#This Row],[C_DEMAND]]-Table28[[#This Row],[R-DEMAND]]</f>
        <v>1900</v>
      </c>
      <c r="T178" s="316">
        <f>Table28[[#This Row],[SEATS SOLD]]*Table28[[#This Row],[ECO SEAT]]</f>
        <v>0</v>
      </c>
      <c r="U178" s="316">
        <f>Table28[[#This Row],[SEATS SOLD]]*(IFERROR(VLOOKUP(Table28[[#This Row],[ROUTE]],PRICING!A:C,3,FALSE),0))</f>
        <v>0</v>
      </c>
      <c r="V178" s="316">
        <f>Table28[[#This Row],[SEAT REV]]-Table28[[#This Row],[SEAT REV
(IF IDEAL $)]]</f>
        <v>0</v>
      </c>
      <c r="AA178" s="26" t="s">
        <v>19044</v>
      </c>
      <c r="AB178" s="26" t="s">
        <v>71</v>
      </c>
      <c r="AC178" s="26" t="s">
        <v>166</v>
      </c>
      <c r="AD178" s="174">
        <v>6264</v>
      </c>
      <c r="AE178" s="26">
        <v>3256</v>
      </c>
      <c r="AF178" s="16">
        <v>3256</v>
      </c>
      <c r="AS178" s="16" t="s">
        <v>14</v>
      </c>
      <c r="AT178" s="16" t="s">
        <v>13</v>
      </c>
      <c r="AU178" s="16" t="s">
        <v>15</v>
      </c>
      <c r="AV178" s="16" t="s">
        <v>18892</v>
      </c>
      <c r="AW178" s="16" t="s">
        <v>18899</v>
      </c>
      <c r="AX178" s="16" t="s">
        <v>18922</v>
      </c>
      <c r="AY178" s="385">
        <v>8797</v>
      </c>
    </row>
    <row r="179" spans="1:51" x14ac:dyDescent="0.25">
      <c r="A179" s="16" t="s">
        <v>19165</v>
      </c>
      <c r="B179" s="16" t="s">
        <v>347</v>
      </c>
      <c r="C179" s="16" t="s">
        <v>467</v>
      </c>
      <c r="D179" s="16">
        <v>5</v>
      </c>
      <c r="E179" s="16" t="s">
        <v>14</v>
      </c>
      <c r="F179" s="16" t="str">
        <f>VLOOKUP(Table28[[#This Row],[Country]],Table10[[COUNTRY NAME]:[CONTINENT CODE]],3,FALSE)</f>
        <v>AS</v>
      </c>
      <c r="G179" s="16" t="s">
        <v>11092</v>
      </c>
      <c r="H179" s="181">
        <v>8731</v>
      </c>
      <c r="I179" s="180">
        <v>21.25</v>
      </c>
      <c r="K179" s="316">
        <f>IFERROR(Table28[[#This Row],[ROUTE COST]]/Table28[[#This Row],[O - DEMAND]],0)</f>
        <v>0</v>
      </c>
      <c r="M179" s="16">
        <f>Table28[[#This Row],[O - DEMAND]]/950</f>
        <v>0</v>
      </c>
      <c r="N179" s="16">
        <f>IFERROR(VLOOKUP(Table28[[#This Row],[ROUTE]],DEMAND!A:F,5,FALSE),0)</f>
        <v>3373</v>
      </c>
      <c r="O179" s="16">
        <f>IFERROR(VLOOKUP(Table28[[#This Row],[ROUTE]],DEMAND!A:F,6,FALSE),0)</f>
        <v>523</v>
      </c>
      <c r="P179" s="16">
        <f>ROUNDDOWN(Table28[[#This Row],[R-DEMAND]]/950,0)</f>
        <v>0</v>
      </c>
      <c r="Q179" s="16">
        <f>Table28[[#This Row],[ADD ACC
(475/950)]]*Table28[[#This Row],[Duration
(A359)]]</f>
        <v>0</v>
      </c>
      <c r="R179" s="16">
        <f>IFERROR(VLOOKUP(Table28[[#This Row],[ROUTE]],PRICING!A:B,2,FALSE),0)</f>
        <v>0</v>
      </c>
      <c r="S179" s="16">
        <f>Table28[[#This Row],[C_DEMAND]]-Table28[[#This Row],[R-DEMAND]]</f>
        <v>2850</v>
      </c>
      <c r="T179" s="316">
        <f>Table28[[#This Row],[SEATS SOLD]]*Table28[[#This Row],[ECO SEAT]]</f>
        <v>0</v>
      </c>
      <c r="U179" s="316">
        <f>Table28[[#This Row],[SEATS SOLD]]*(IFERROR(VLOOKUP(Table28[[#This Row],[ROUTE]],PRICING!A:C,3,FALSE),0))</f>
        <v>0</v>
      </c>
      <c r="V179" s="316">
        <f>Table28[[#This Row],[SEAT REV]]-Table28[[#This Row],[SEAT REV
(IF IDEAL $)]]</f>
        <v>0</v>
      </c>
      <c r="AA179" s="26" t="s">
        <v>19617</v>
      </c>
      <c r="AB179" s="26" t="s">
        <v>71</v>
      </c>
      <c r="AC179" s="26" t="s">
        <v>4080</v>
      </c>
      <c r="AD179" s="174">
        <v>13907</v>
      </c>
      <c r="AE179" s="26">
        <v>2602</v>
      </c>
      <c r="AF179" s="16">
        <v>2602</v>
      </c>
      <c r="AS179" s="16" t="s">
        <v>78</v>
      </c>
      <c r="AT179" s="16" t="s">
        <v>11996</v>
      </c>
      <c r="AU179" s="16" t="s">
        <v>21</v>
      </c>
      <c r="AV179" s="16" t="s">
        <v>18884</v>
      </c>
      <c r="AW179" s="16" t="s">
        <v>18885</v>
      </c>
      <c r="AX179" s="16" t="s">
        <v>18922</v>
      </c>
      <c r="AY179" s="385">
        <v>8817</v>
      </c>
    </row>
    <row r="180" spans="1:51" x14ac:dyDescent="0.25">
      <c r="A180" s="16" t="s">
        <v>19661</v>
      </c>
      <c r="B180" s="16" t="s">
        <v>5616</v>
      </c>
      <c r="C180" s="16" t="s">
        <v>467</v>
      </c>
      <c r="D180" s="16">
        <v>4</v>
      </c>
      <c r="E180" s="16" t="s">
        <v>1749</v>
      </c>
      <c r="F180" s="16" t="str">
        <f>VLOOKUP(Table28[[#This Row],[Country]],Table10[[COUNTRY NAME]:[CONTINENT CODE]],3,FALSE)</f>
        <v>NA</v>
      </c>
      <c r="G180" s="16" t="s">
        <v>13229</v>
      </c>
      <c r="H180" s="181">
        <v>14192</v>
      </c>
      <c r="I180" s="180">
        <v>33.25</v>
      </c>
      <c r="K180" s="316">
        <f>IFERROR(Table28[[#This Row],[ROUTE COST]]/Table28[[#This Row],[O - DEMAND]],0)</f>
        <v>0</v>
      </c>
      <c r="M180" s="16">
        <f>Table28[[#This Row],[O - DEMAND]]/950</f>
        <v>0</v>
      </c>
      <c r="N180" s="16">
        <f>IFERROR(VLOOKUP(Table28[[#This Row],[ROUTE]],DEMAND!A:F,5,FALSE),0)</f>
        <v>2320</v>
      </c>
      <c r="O180" s="16">
        <f>IFERROR(VLOOKUP(Table28[[#This Row],[ROUTE]],DEMAND!A:F,6,FALSE),0)</f>
        <v>420</v>
      </c>
      <c r="P180" s="16">
        <f>ROUNDDOWN(Table28[[#This Row],[R-DEMAND]]/950,0)</f>
        <v>0</v>
      </c>
      <c r="Q180" s="16">
        <f>Table28[[#This Row],[ADD ACC
(475/950)]]*Table28[[#This Row],[Duration
(A359)]]</f>
        <v>0</v>
      </c>
      <c r="R180" s="16">
        <f>IFERROR(VLOOKUP(Table28[[#This Row],[ROUTE]],PRICING!A:B,2,FALSE),0)</f>
        <v>0</v>
      </c>
      <c r="S180" s="16">
        <f>Table28[[#This Row],[C_DEMAND]]-Table28[[#This Row],[R-DEMAND]]</f>
        <v>1900</v>
      </c>
      <c r="T180" s="316">
        <f>Table28[[#This Row],[SEATS SOLD]]*Table28[[#This Row],[ECO SEAT]]</f>
        <v>0</v>
      </c>
      <c r="U180" s="316">
        <f>Table28[[#This Row],[SEATS SOLD]]*(IFERROR(VLOOKUP(Table28[[#This Row],[ROUTE]],PRICING!A:C,3,FALSE),0))</f>
        <v>0</v>
      </c>
      <c r="V180" s="316">
        <f>Table28[[#This Row],[SEAT REV]]-Table28[[#This Row],[SEAT REV
(IF IDEAL $)]]</f>
        <v>0</v>
      </c>
      <c r="AA180" s="26" t="s">
        <v>19694</v>
      </c>
      <c r="AB180" s="26" t="s">
        <v>71</v>
      </c>
      <c r="AC180" s="26" t="s">
        <v>5719</v>
      </c>
      <c r="AD180" s="174">
        <v>14503</v>
      </c>
      <c r="AE180" s="26">
        <v>1844</v>
      </c>
      <c r="AF180" s="16">
        <v>1844</v>
      </c>
      <c r="AS180" s="16" t="s">
        <v>14</v>
      </c>
      <c r="AT180" s="16" t="s">
        <v>16841</v>
      </c>
      <c r="AU180" s="16" t="s">
        <v>4431</v>
      </c>
      <c r="AV180" s="16" t="s">
        <v>18878</v>
      </c>
      <c r="AX180" s="16" t="s">
        <v>18922</v>
      </c>
      <c r="AY180" s="385">
        <v>8826</v>
      </c>
    </row>
    <row r="181" spans="1:51" x14ac:dyDescent="0.25">
      <c r="A181" s="16" t="s">
        <v>19458</v>
      </c>
      <c r="B181" s="16" t="s">
        <v>4451</v>
      </c>
      <c r="D181" s="16">
        <v>2</v>
      </c>
      <c r="E181" s="16" t="s">
        <v>1749</v>
      </c>
      <c r="F181" s="16" t="str">
        <f>VLOOKUP(Table28[[#This Row],[Country]],Table10[[COUNTRY NAME]:[CONTINENT CODE]],3,FALSE)</f>
        <v>NA</v>
      </c>
      <c r="G181" s="16" t="s">
        <v>16973</v>
      </c>
      <c r="H181" s="181">
        <v>12844</v>
      </c>
      <c r="I181" s="180">
        <v>30.25</v>
      </c>
      <c r="K181" s="316">
        <f>IFERROR(Table28[[#This Row],[ROUTE COST]]/Table28[[#This Row],[O - DEMAND]],0)</f>
        <v>0</v>
      </c>
      <c r="M181" s="16">
        <f>Table28[[#This Row],[O - DEMAND]]/950</f>
        <v>0</v>
      </c>
      <c r="N181" s="16">
        <f>IFERROR(VLOOKUP(Table28[[#This Row],[ROUTE]],DEMAND!A:F,5,FALSE),0)</f>
        <v>0</v>
      </c>
      <c r="O181" s="16">
        <f>IFERROR(VLOOKUP(Table28[[#This Row],[ROUTE]],DEMAND!A:F,6,FALSE),0)</f>
        <v>0</v>
      </c>
      <c r="P181" s="16">
        <f>ROUNDDOWN(Table28[[#This Row],[R-DEMAND]]/950,0)</f>
        <v>0</v>
      </c>
      <c r="Q181" s="16">
        <f>Table28[[#This Row],[ADD ACC
(475/950)]]*Table28[[#This Row],[Duration
(A359)]]</f>
        <v>0</v>
      </c>
      <c r="R181" s="16">
        <f>IFERROR(VLOOKUP(Table28[[#This Row],[ROUTE]],PRICING!A:B,2,FALSE),0)</f>
        <v>0</v>
      </c>
      <c r="S181" s="16">
        <f>Table28[[#This Row],[C_DEMAND]]-Table28[[#This Row],[R-DEMAND]]</f>
        <v>0</v>
      </c>
      <c r="T181" s="316">
        <f>Table28[[#This Row],[SEATS SOLD]]*Table28[[#This Row],[ECO SEAT]]</f>
        <v>0</v>
      </c>
      <c r="U181" s="316">
        <f>Table28[[#This Row],[SEATS SOLD]]*(IFERROR(VLOOKUP(Table28[[#This Row],[ROUTE]],PRICING!A:C,3,FALSE),0))</f>
        <v>0</v>
      </c>
      <c r="V181" s="316">
        <f>Table28[[#This Row],[SEAT REV]]-Table28[[#This Row],[SEAT REV
(IF IDEAL $)]]</f>
        <v>0</v>
      </c>
      <c r="AA181" s="26" t="s">
        <v>19799</v>
      </c>
      <c r="AB181" s="26" t="s">
        <v>71</v>
      </c>
      <c r="AC181" s="26" t="s">
        <v>4572</v>
      </c>
      <c r="AD181" s="174">
        <v>15118</v>
      </c>
      <c r="AE181" s="26">
        <v>2040</v>
      </c>
      <c r="AF181" s="16">
        <v>2040</v>
      </c>
      <c r="AS181" s="16" t="s">
        <v>14</v>
      </c>
      <c r="AT181" s="16" t="s">
        <v>12023</v>
      </c>
      <c r="AU181" s="16" t="s">
        <v>42</v>
      </c>
      <c r="AV181" s="16" t="s">
        <v>18884</v>
      </c>
      <c r="AW181" s="16" t="s">
        <v>18885</v>
      </c>
      <c r="AX181" s="16" t="s">
        <v>18922</v>
      </c>
      <c r="AY181" s="385">
        <v>8842</v>
      </c>
    </row>
    <row r="182" spans="1:51" x14ac:dyDescent="0.25">
      <c r="A182" s="16" t="s">
        <v>19496</v>
      </c>
      <c r="B182" s="16" t="s">
        <v>4738</v>
      </c>
      <c r="C182" s="16" t="s">
        <v>467</v>
      </c>
      <c r="D182" s="16">
        <v>3</v>
      </c>
      <c r="E182" s="16" t="s">
        <v>714</v>
      </c>
      <c r="F182" s="16" t="str">
        <f>VLOOKUP(Table28[[#This Row],[Country]],Table10[[COUNTRY NAME]:[CONTINENT CODE]],3,FALSE)</f>
        <v>SA</v>
      </c>
      <c r="G182" s="16" t="s">
        <v>13241</v>
      </c>
      <c r="H182" s="181">
        <v>13042</v>
      </c>
      <c r="I182" s="180">
        <v>30.75</v>
      </c>
      <c r="K182" s="316">
        <f>IFERROR(Table28[[#This Row],[ROUTE COST]]/Table28[[#This Row],[O - DEMAND]],0)</f>
        <v>0</v>
      </c>
      <c r="M182" s="16">
        <f>Table28[[#This Row],[O - DEMAND]]/950</f>
        <v>0</v>
      </c>
      <c r="N182" s="16">
        <f>IFERROR(VLOOKUP(Table28[[#This Row],[ROUTE]],DEMAND!A:F,5,FALSE),0)</f>
        <v>2952</v>
      </c>
      <c r="O182" s="16">
        <f>IFERROR(VLOOKUP(Table28[[#This Row],[ROUTE]],DEMAND!A:F,6,FALSE),0)</f>
        <v>102</v>
      </c>
      <c r="P182" s="16">
        <f>ROUNDDOWN(Table28[[#This Row],[R-DEMAND]]/950,0)</f>
        <v>0</v>
      </c>
      <c r="Q182" s="16">
        <f>Table28[[#This Row],[ADD ACC
(475/950)]]*Table28[[#This Row],[Duration
(A359)]]</f>
        <v>0</v>
      </c>
      <c r="R182" s="16">
        <f>IFERROR(VLOOKUP(Table28[[#This Row],[ROUTE]],PRICING!A:B,2,FALSE),0)</f>
        <v>0</v>
      </c>
      <c r="S182" s="16">
        <f>Table28[[#This Row],[C_DEMAND]]-Table28[[#This Row],[R-DEMAND]]</f>
        <v>2850</v>
      </c>
      <c r="T182" s="316">
        <f>Table28[[#This Row],[SEATS SOLD]]*Table28[[#This Row],[ECO SEAT]]</f>
        <v>0</v>
      </c>
      <c r="U182" s="316">
        <f>Table28[[#This Row],[SEATS SOLD]]*(IFERROR(VLOOKUP(Table28[[#This Row],[ROUTE]],PRICING!A:C,3,FALSE),0))</f>
        <v>0</v>
      </c>
      <c r="V182" s="316">
        <f>Table28[[#This Row],[SEAT REV]]-Table28[[#This Row],[SEAT REV
(IF IDEAL $)]]</f>
        <v>0</v>
      </c>
      <c r="AA182" s="26" t="s">
        <v>19521</v>
      </c>
      <c r="AB182" s="26" t="s">
        <v>71</v>
      </c>
      <c r="AC182" s="26" t="s">
        <v>5463</v>
      </c>
      <c r="AD182" s="174">
        <v>13219</v>
      </c>
      <c r="AE182" s="26">
        <v>2949</v>
      </c>
      <c r="AF182" s="16">
        <v>2949</v>
      </c>
      <c r="AS182" s="16" t="s">
        <v>1710</v>
      </c>
      <c r="AT182" s="16" t="s">
        <v>12075</v>
      </c>
      <c r="AU182" s="16" t="s">
        <v>368</v>
      </c>
      <c r="AV182" s="16" t="s">
        <v>18892</v>
      </c>
      <c r="AW182" s="16" t="s">
        <v>18885</v>
      </c>
      <c r="AX182" s="16" t="s">
        <v>18922</v>
      </c>
      <c r="AY182" s="385">
        <v>8858</v>
      </c>
    </row>
    <row r="183" spans="1:51" x14ac:dyDescent="0.25">
      <c r="A183" s="16" t="s">
        <v>19791</v>
      </c>
      <c r="B183" s="16" t="s">
        <v>5589</v>
      </c>
      <c r="D183" s="16">
        <v>4</v>
      </c>
      <c r="E183" s="16" t="s">
        <v>11732</v>
      </c>
      <c r="F183" s="16" t="str">
        <f>VLOOKUP(Table28[[#This Row],[Country]],Table10[[COUNTRY NAME]:[CONTINENT CODE]],3,FALSE)</f>
        <v>NA - US</v>
      </c>
      <c r="G183" s="16" t="s">
        <v>13328</v>
      </c>
      <c r="H183" s="181">
        <v>15073</v>
      </c>
      <c r="I183" s="180">
        <v>35.25</v>
      </c>
      <c r="K183" s="316">
        <f>IFERROR(Table28[[#This Row],[ROUTE COST]]/Table28[[#This Row],[O - DEMAND]],0)</f>
        <v>0</v>
      </c>
      <c r="M183" s="180">
        <f>Table28[[#This Row],[O - DEMAND]]/950</f>
        <v>0</v>
      </c>
      <c r="N183" s="16">
        <f>IFERROR(VLOOKUP(Table28[[#This Row],[ROUTE]],DEMAND!A:F,5,FALSE),0)</f>
        <v>0</v>
      </c>
      <c r="O183" s="16">
        <f>IFERROR(VLOOKUP(Table28[[#This Row],[ROUTE]],DEMAND!A:F,6,FALSE),0)</f>
        <v>0</v>
      </c>
      <c r="P183" s="16">
        <f>ROUNDDOWN(Table28[[#This Row],[R-DEMAND]]/950,0)</f>
        <v>0</v>
      </c>
      <c r="Q183" s="16">
        <f>Table28[[#This Row],[ADD ACC
(475/950)]]*Table28[[#This Row],[Duration
(A359)]]</f>
        <v>0</v>
      </c>
      <c r="R183" s="16">
        <f>IFERROR(VLOOKUP(Table28[[#This Row],[ROUTE]],PRICING!A:B,2,FALSE),0)</f>
        <v>0</v>
      </c>
      <c r="S183" s="16">
        <f>Table28[[#This Row],[C_DEMAND]]-Table28[[#This Row],[R-DEMAND]]</f>
        <v>0</v>
      </c>
      <c r="T183" s="316">
        <f>Table28[[#This Row],[SEATS SOLD]]*Table28[[#This Row],[ECO SEAT]]</f>
        <v>0</v>
      </c>
      <c r="U183" s="316">
        <f>Table28[[#This Row],[SEATS SOLD]]*(IFERROR(VLOOKUP(Table28[[#This Row],[ROUTE]],PRICING!A:C,3,FALSE),0))</f>
        <v>0</v>
      </c>
      <c r="V183" s="316">
        <f>Table28[[#This Row],[SEAT REV]]-Table28[[#This Row],[SEAT REV
(IF IDEAL $)]]</f>
        <v>0</v>
      </c>
      <c r="AA183" s="26" t="s">
        <v>19332</v>
      </c>
      <c r="AB183" s="26" t="s">
        <v>71</v>
      </c>
      <c r="AC183" s="26" t="s">
        <v>4752</v>
      </c>
      <c r="AD183" s="174">
        <v>11862</v>
      </c>
      <c r="AE183" s="26">
        <v>2611</v>
      </c>
      <c r="AF183" s="16">
        <v>2611</v>
      </c>
      <c r="AS183" s="16" t="s">
        <v>2366</v>
      </c>
      <c r="AT183" s="16" t="s">
        <v>18118</v>
      </c>
      <c r="AU183" s="16" t="s">
        <v>2866</v>
      </c>
      <c r="AV183" s="16" t="s">
        <v>18878</v>
      </c>
      <c r="AW183" s="16" t="s">
        <v>18879</v>
      </c>
      <c r="AX183" s="16" t="s">
        <v>18922</v>
      </c>
      <c r="AY183" s="385">
        <v>8864</v>
      </c>
    </row>
    <row r="184" spans="1:51" x14ac:dyDescent="0.25">
      <c r="A184" s="16" t="s">
        <v>19056</v>
      </c>
      <c r="B184" s="16" t="s">
        <v>345</v>
      </c>
      <c r="C184" s="16" t="s">
        <v>467</v>
      </c>
      <c r="D184" s="16">
        <v>2</v>
      </c>
      <c r="E184" s="16" t="s">
        <v>1314</v>
      </c>
      <c r="F184" s="16" t="str">
        <f>VLOOKUP(Table28[[#This Row],[Country]],Table10[[COUNTRY NAME]:[CONTINENT CODE]],3,FALSE)</f>
        <v>AS</v>
      </c>
      <c r="G184" s="16" t="s">
        <v>12102</v>
      </c>
      <c r="H184" s="181">
        <v>6766</v>
      </c>
      <c r="I184" s="180">
        <v>17</v>
      </c>
      <c r="K184" s="316">
        <f>IFERROR(Table28[[#This Row],[ROUTE COST]]/Table28[[#This Row],[O - DEMAND]],0)</f>
        <v>0</v>
      </c>
      <c r="M184" s="16">
        <f>Table28[[#This Row],[O - DEMAND]]/950</f>
        <v>0</v>
      </c>
      <c r="N184" s="16">
        <f>IFERROR(VLOOKUP(Table28[[#This Row],[ROUTE]],DEMAND!A:F,5,FALSE),0)</f>
        <v>2576</v>
      </c>
      <c r="O184" s="16">
        <f>IFERROR(VLOOKUP(Table28[[#This Row],[ROUTE]],DEMAND!A:F,6,FALSE),0)</f>
        <v>676</v>
      </c>
      <c r="P184" s="16">
        <f>ROUNDDOWN(Table28[[#This Row],[R-DEMAND]]/950,0)</f>
        <v>0</v>
      </c>
      <c r="Q184" s="16">
        <f>Table28[[#This Row],[ADD ACC
(475/950)]]*Table28[[#This Row],[Duration
(A359)]]</f>
        <v>0</v>
      </c>
      <c r="R184" s="16">
        <f>IFERROR(VLOOKUP(Table28[[#This Row],[ROUTE]],PRICING!A:B,2,FALSE),0)</f>
        <v>0</v>
      </c>
      <c r="S184" s="16">
        <f>Table28[[#This Row],[C_DEMAND]]-Table28[[#This Row],[R-DEMAND]]</f>
        <v>1900</v>
      </c>
      <c r="T184" s="316">
        <f>Table28[[#This Row],[SEATS SOLD]]*Table28[[#This Row],[ECO SEAT]]</f>
        <v>0</v>
      </c>
      <c r="U184" s="316">
        <f>Table28[[#This Row],[SEATS SOLD]]*(IFERROR(VLOOKUP(Table28[[#This Row],[ROUTE]],PRICING!A:C,3,FALSE),0))</f>
        <v>0</v>
      </c>
      <c r="V184" s="316">
        <f>Table28[[#This Row],[SEAT REV]]-Table28[[#This Row],[SEAT REV
(IF IDEAL $)]]</f>
        <v>0</v>
      </c>
      <c r="AA184" s="26" t="s">
        <v>19393</v>
      </c>
      <c r="AB184" s="26" t="s">
        <v>71</v>
      </c>
      <c r="AC184" s="26" t="s">
        <v>3329</v>
      </c>
      <c r="AD184" s="174">
        <v>12414</v>
      </c>
      <c r="AE184" s="26">
        <v>3558</v>
      </c>
      <c r="AF184" s="16">
        <v>3558</v>
      </c>
      <c r="AS184" s="16" t="s">
        <v>14</v>
      </c>
      <c r="AT184" s="16" t="s">
        <v>94</v>
      </c>
      <c r="AU184" s="16" t="s">
        <v>95</v>
      </c>
      <c r="AV184" s="16" t="s">
        <v>18881</v>
      </c>
      <c r="AW184" s="16" t="s">
        <v>18899</v>
      </c>
      <c r="AX184" s="16" t="s">
        <v>18922</v>
      </c>
      <c r="AY184" s="385">
        <v>8870</v>
      </c>
    </row>
    <row r="185" spans="1:51" x14ac:dyDescent="0.25">
      <c r="A185" s="16" t="s">
        <v>19726</v>
      </c>
      <c r="B185" s="16" t="s">
        <v>2844</v>
      </c>
      <c r="D185" s="16">
        <v>2</v>
      </c>
      <c r="E185" s="16" t="s">
        <v>683</v>
      </c>
      <c r="F185" s="16" t="str">
        <f>VLOOKUP(Table28[[#This Row],[Country]],Table10[[COUNTRY NAME]:[CONTINENT CODE]],3,FALSE)</f>
        <v>NA</v>
      </c>
      <c r="G185" s="16" t="s">
        <v>13188</v>
      </c>
      <c r="H185" s="181">
        <v>14713</v>
      </c>
      <c r="I185" s="180">
        <v>34.5</v>
      </c>
      <c r="K185" s="316">
        <f>IFERROR(Table28[[#This Row],[ROUTE COST]]/Table28[[#This Row],[O - DEMAND]],0)</f>
        <v>0</v>
      </c>
      <c r="M185" s="16">
        <f>Table28[[#This Row],[O - DEMAND]]/950</f>
        <v>0</v>
      </c>
      <c r="N185" s="16">
        <f>IFERROR(VLOOKUP(Table28[[#This Row],[ROUTE]],DEMAND!A:F,5,FALSE),0)</f>
        <v>0</v>
      </c>
      <c r="O185" s="16">
        <f>IFERROR(VLOOKUP(Table28[[#This Row],[ROUTE]],DEMAND!A:F,6,FALSE),0)</f>
        <v>0</v>
      </c>
      <c r="P185" s="16">
        <f>ROUNDDOWN(Table28[[#This Row],[R-DEMAND]]/950,0)</f>
        <v>0</v>
      </c>
      <c r="Q185" s="16">
        <f>Table28[[#This Row],[ADD ACC
(475/950)]]*Table28[[#This Row],[Duration
(A359)]]</f>
        <v>0</v>
      </c>
      <c r="R185" s="16">
        <f>IFERROR(VLOOKUP(Table28[[#This Row],[ROUTE]],PRICING!A:B,2,FALSE),0)</f>
        <v>0</v>
      </c>
      <c r="S185" s="16">
        <f>Table28[[#This Row],[C_DEMAND]]-Table28[[#This Row],[R-DEMAND]]</f>
        <v>0</v>
      </c>
      <c r="T185" s="316">
        <f>Table28[[#This Row],[SEATS SOLD]]*Table28[[#This Row],[ECO SEAT]]</f>
        <v>0</v>
      </c>
      <c r="U185" s="316">
        <f>Table28[[#This Row],[SEATS SOLD]]*(IFERROR(VLOOKUP(Table28[[#This Row],[ROUTE]],PRICING!A:C,3,FALSE),0))</f>
        <v>0</v>
      </c>
      <c r="V185" s="316">
        <f>Table28[[#This Row],[SEAT REV]]-Table28[[#This Row],[SEAT REV
(IF IDEAL $)]]</f>
        <v>0</v>
      </c>
      <c r="AA185" s="26" t="s">
        <v>19324</v>
      </c>
      <c r="AB185" s="26" t="s">
        <v>71</v>
      </c>
      <c r="AC185" s="26" t="s">
        <v>3072</v>
      </c>
      <c r="AD185" s="174">
        <v>11712</v>
      </c>
      <c r="AE185" s="26">
        <v>2239</v>
      </c>
      <c r="AF185" s="16">
        <v>2239</v>
      </c>
      <c r="AS185" s="16" t="s">
        <v>14</v>
      </c>
      <c r="AT185" s="16" t="s">
        <v>12026</v>
      </c>
      <c r="AU185" s="16" t="s">
        <v>4750</v>
      </c>
      <c r="AV185" s="16" t="s">
        <v>18884</v>
      </c>
      <c r="AW185" s="16" t="s">
        <v>18885</v>
      </c>
      <c r="AX185" s="16" t="s">
        <v>18922</v>
      </c>
      <c r="AY185" s="385">
        <v>8872</v>
      </c>
    </row>
    <row r="186" spans="1:51" x14ac:dyDescent="0.25">
      <c r="A186" s="16" t="s">
        <v>19562</v>
      </c>
      <c r="B186" s="16" t="s">
        <v>1505</v>
      </c>
      <c r="D186" s="16">
        <v>1</v>
      </c>
      <c r="E186" s="16" t="s">
        <v>11732</v>
      </c>
      <c r="F186" s="16" t="str">
        <f>VLOOKUP(Table28[[#This Row],[Country]],Table10[[COUNTRY NAME]:[CONTINENT CODE]],3,FALSE)</f>
        <v>NA - US</v>
      </c>
      <c r="G186" s="16" t="s">
        <v>13284</v>
      </c>
      <c r="H186" s="181">
        <v>13486</v>
      </c>
      <c r="I186" s="180">
        <v>31.75</v>
      </c>
      <c r="K186" s="316">
        <f>IFERROR(Table28[[#This Row],[ROUTE COST]]/Table28[[#This Row],[O - DEMAND]],0)</f>
        <v>0</v>
      </c>
      <c r="M186" s="180">
        <f>Table28[[#This Row],[O - DEMAND]]/950</f>
        <v>0</v>
      </c>
      <c r="N186" s="16">
        <f>IFERROR(VLOOKUP(Table28[[#This Row],[ROUTE]],DEMAND!A:F,5,FALSE),0)</f>
        <v>0</v>
      </c>
      <c r="O186" s="16">
        <f>IFERROR(VLOOKUP(Table28[[#This Row],[ROUTE]],DEMAND!A:F,6,FALSE),0)</f>
        <v>0</v>
      </c>
      <c r="P186" s="16">
        <f>ROUNDDOWN(Table28[[#This Row],[R-DEMAND]]/950,0)</f>
        <v>0</v>
      </c>
      <c r="Q186" s="16">
        <f>Table28[[#This Row],[ADD ACC
(475/950)]]*Table28[[#This Row],[Duration
(A359)]]</f>
        <v>0</v>
      </c>
      <c r="R186" s="16">
        <f>IFERROR(VLOOKUP(Table28[[#This Row],[ROUTE]],PRICING!A:B,2,FALSE),0)</f>
        <v>0</v>
      </c>
      <c r="S186" s="16">
        <f>Table28[[#This Row],[C_DEMAND]]-Table28[[#This Row],[R-DEMAND]]</f>
        <v>0</v>
      </c>
      <c r="T186" s="316">
        <f>Table28[[#This Row],[SEATS SOLD]]*Table28[[#This Row],[ECO SEAT]]</f>
        <v>0</v>
      </c>
      <c r="U186" s="316">
        <f>Table28[[#This Row],[SEATS SOLD]]*(IFERROR(VLOOKUP(Table28[[#This Row],[ROUTE]],PRICING!A:C,3,FALSE),0))</f>
        <v>0</v>
      </c>
      <c r="V186" s="316">
        <f>Table28[[#This Row],[SEAT REV]]-Table28[[#This Row],[SEAT REV
(IF IDEAL $)]]</f>
        <v>0</v>
      </c>
      <c r="AA186" s="26" t="s">
        <v>19011</v>
      </c>
      <c r="AB186" s="26" t="s">
        <v>71</v>
      </c>
      <c r="AC186" s="26" t="s">
        <v>4804</v>
      </c>
      <c r="AD186" s="174">
        <v>3170</v>
      </c>
      <c r="AE186" s="26">
        <v>3127</v>
      </c>
      <c r="AF186" s="16">
        <v>3127</v>
      </c>
      <c r="AS186" s="16" t="s">
        <v>14</v>
      </c>
      <c r="AT186" s="16" t="s">
        <v>16838</v>
      </c>
      <c r="AU186" s="16" t="s">
        <v>2251</v>
      </c>
      <c r="AV186" s="16" t="s">
        <v>18878</v>
      </c>
      <c r="AX186" s="16" t="s">
        <v>18946</v>
      </c>
      <c r="AY186" s="385">
        <v>8898</v>
      </c>
    </row>
    <row r="187" spans="1:51" x14ac:dyDescent="0.25">
      <c r="A187" s="16" t="s">
        <v>19656</v>
      </c>
      <c r="B187" s="16" t="s">
        <v>3970</v>
      </c>
      <c r="C187" s="16" t="s">
        <v>467</v>
      </c>
      <c r="D187" s="16">
        <v>2</v>
      </c>
      <c r="E187" s="16" t="s">
        <v>1749</v>
      </c>
      <c r="F187" s="16" t="str">
        <f>VLOOKUP(Table28[[#This Row],[Country]],Table10[[COUNTRY NAME]:[CONTINENT CODE]],3,FALSE)</f>
        <v>NA</v>
      </c>
      <c r="G187" s="16" t="s">
        <v>17023</v>
      </c>
      <c r="H187" s="181">
        <v>14161</v>
      </c>
      <c r="I187" s="180">
        <v>33.25</v>
      </c>
      <c r="K187" s="316">
        <f>IFERROR(Table28[[#This Row],[ROUTE COST]]/Table28[[#This Row],[O - DEMAND]],0)</f>
        <v>0</v>
      </c>
      <c r="M187" s="16">
        <f>Table28[[#This Row],[O - DEMAND]]/950</f>
        <v>0</v>
      </c>
      <c r="N187" s="16">
        <f>IFERROR(VLOOKUP(Table28[[#This Row],[ROUTE]],DEMAND!A:F,5,FALSE),0)</f>
        <v>1796</v>
      </c>
      <c r="O187" s="16">
        <f>IFERROR(VLOOKUP(Table28[[#This Row],[ROUTE]],DEMAND!A:F,6,FALSE),0)</f>
        <v>846</v>
      </c>
      <c r="P187" s="16">
        <f>ROUNDDOWN(Table28[[#This Row],[R-DEMAND]]/950,0)</f>
        <v>0</v>
      </c>
      <c r="Q187" s="16">
        <f>Table28[[#This Row],[ADD ACC
(475/950)]]*Table28[[#This Row],[Duration
(A359)]]</f>
        <v>0</v>
      </c>
      <c r="R187" s="16">
        <f>IFERROR(VLOOKUP(Table28[[#This Row],[ROUTE]],PRICING!A:B,2,FALSE),0)</f>
        <v>0</v>
      </c>
      <c r="S187" s="16">
        <f>Table28[[#This Row],[C_DEMAND]]-Table28[[#This Row],[R-DEMAND]]</f>
        <v>950</v>
      </c>
      <c r="T187" s="316">
        <f>Table28[[#This Row],[SEATS SOLD]]*Table28[[#This Row],[ECO SEAT]]</f>
        <v>0</v>
      </c>
      <c r="U187" s="316">
        <f>Table28[[#This Row],[SEATS SOLD]]*(IFERROR(VLOOKUP(Table28[[#This Row],[ROUTE]],PRICING!A:C,3,FALSE),0))</f>
        <v>0</v>
      </c>
      <c r="V187" s="316">
        <f>Table28[[#This Row],[SEAT REV]]-Table28[[#This Row],[SEAT REV
(IF IDEAL $)]]</f>
        <v>0</v>
      </c>
      <c r="AA187" s="26" t="s">
        <v>19366</v>
      </c>
      <c r="AB187" s="26" t="s">
        <v>71</v>
      </c>
      <c r="AC187" s="26" t="s">
        <v>152</v>
      </c>
      <c r="AD187" s="174">
        <v>12138</v>
      </c>
      <c r="AE187" s="26">
        <v>4233</v>
      </c>
      <c r="AF187" s="16">
        <v>4233</v>
      </c>
      <c r="AS187" s="16" t="s">
        <v>1070</v>
      </c>
      <c r="AT187" s="16" t="s">
        <v>9344</v>
      </c>
      <c r="AU187" s="16" t="s">
        <v>4156</v>
      </c>
      <c r="AV187" s="16" t="s">
        <v>18878</v>
      </c>
      <c r="AW187" s="16" t="s">
        <v>18879</v>
      </c>
      <c r="AX187" s="16" t="s">
        <v>18946</v>
      </c>
      <c r="AY187" s="385">
        <v>8900</v>
      </c>
    </row>
    <row r="188" spans="1:51" x14ac:dyDescent="0.25">
      <c r="A188" s="16" t="s">
        <v>19119</v>
      </c>
      <c r="B188" s="16" t="s">
        <v>4118</v>
      </c>
      <c r="D188" s="16">
        <v>2</v>
      </c>
      <c r="E188" s="16" t="s">
        <v>14</v>
      </c>
      <c r="F188" s="16" t="str">
        <f>VLOOKUP(Table28[[#This Row],[Country]],Table10[[COUNTRY NAME]:[CONTINENT CODE]],3,FALSE)</f>
        <v>AS</v>
      </c>
      <c r="G188" s="16" t="s">
        <v>12044</v>
      </c>
      <c r="H188" s="181">
        <v>8030</v>
      </c>
      <c r="I188" s="180">
        <v>19.75</v>
      </c>
      <c r="K188" s="316">
        <f>IFERROR(Table28[[#This Row],[ROUTE COST]]/Table28[[#This Row],[O - DEMAND]],0)</f>
        <v>0</v>
      </c>
      <c r="M188" s="16">
        <f>Table28[[#This Row],[O - DEMAND]]/950</f>
        <v>0</v>
      </c>
      <c r="N188" s="16">
        <f>IFERROR(VLOOKUP(Table28[[#This Row],[ROUTE]],DEMAND!A:F,5,FALSE),0)</f>
        <v>0</v>
      </c>
      <c r="O188" s="16">
        <f>IFERROR(VLOOKUP(Table28[[#This Row],[ROUTE]],DEMAND!A:F,6,FALSE),0)</f>
        <v>0</v>
      </c>
      <c r="P188" s="16">
        <f>ROUNDDOWN(Table28[[#This Row],[R-DEMAND]]/950,0)</f>
        <v>0</v>
      </c>
      <c r="Q188" s="16">
        <f>Table28[[#This Row],[ADD ACC
(475/950)]]*Table28[[#This Row],[Duration
(A359)]]</f>
        <v>0</v>
      </c>
      <c r="R188" s="16">
        <f>IFERROR(VLOOKUP(Table28[[#This Row],[ROUTE]],PRICING!A:B,2,FALSE),0)</f>
        <v>0</v>
      </c>
      <c r="S188" s="16">
        <f>Table28[[#This Row],[C_DEMAND]]-Table28[[#This Row],[R-DEMAND]]</f>
        <v>0</v>
      </c>
      <c r="T188" s="316">
        <f>Table28[[#This Row],[SEATS SOLD]]*Table28[[#This Row],[ECO SEAT]]</f>
        <v>0</v>
      </c>
      <c r="U188" s="316">
        <f>Table28[[#This Row],[SEATS SOLD]]*(IFERROR(VLOOKUP(Table28[[#This Row],[ROUTE]],PRICING!A:C,3,FALSE),0))</f>
        <v>0</v>
      </c>
      <c r="V188" s="316">
        <f>Table28[[#This Row],[SEAT REV]]-Table28[[#This Row],[SEAT REV
(IF IDEAL $)]]</f>
        <v>0</v>
      </c>
      <c r="AA188" s="26" t="s">
        <v>19768</v>
      </c>
      <c r="AB188" s="26" t="s">
        <v>71</v>
      </c>
      <c r="AC188" s="26" t="s">
        <v>3274</v>
      </c>
      <c r="AD188" s="174">
        <v>14971</v>
      </c>
      <c r="AE188" s="26">
        <v>2979</v>
      </c>
      <c r="AF188" s="16">
        <v>2979</v>
      </c>
      <c r="AS188" s="16" t="s">
        <v>14</v>
      </c>
      <c r="AT188" s="16" t="s">
        <v>12032</v>
      </c>
      <c r="AU188" s="16" t="s">
        <v>5331</v>
      </c>
      <c r="AV188" s="16" t="s">
        <v>18881</v>
      </c>
      <c r="AW188" s="16" t="s">
        <v>18885</v>
      </c>
      <c r="AX188" s="16" t="s">
        <v>18946</v>
      </c>
      <c r="AY188" s="385">
        <v>8914</v>
      </c>
    </row>
    <row r="189" spans="1:51" x14ac:dyDescent="0.25">
      <c r="A189" s="16" t="s">
        <v>19796</v>
      </c>
      <c r="B189" s="16" t="s">
        <v>3897</v>
      </c>
      <c r="D189" s="16">
        <v>2</v>
      </c>
      <c r="E189" s="16" t="s">
        <v>11732</v>
      </c>
      <c r="F189" s="16" t="str">
        <f>VLOOKUP(Table28[[#This Row],[Country]],Table10[[COUNTRY NAME]:[CONTINENT CODE]],3,FALSE)</f>
        <v>NA - US</v>
      </c>
      <c r="G189" s="16" t="s">
        <v>13364</v>
      </c>
      <c r="H189" s="181">
        <v>15094</v>
      </c>
      <c r="I189" s="180">
        <v>35.25</v>
      </c>
      <c r="K189" s="316">
        <f>IFERROR(Table28[[#This Row],[ROUTE COST]]/Table28[[#This Row],[O - DEMAND]],0)</f>
        <v>0</v>
      </c>
      <c r="M189" s="180">
        <f>Table28[[#This Row],[O - DEMAND]]/950</f>
        <v>0</v>
      </c>
      <c r="N189" s="16">
        <f>IFERROR(VLOOKUP(Table28[[#This Row],[ROUTE]],DEMAND!A:F,5,FALSE),0)</f>
        <v>0</v>
      </c>
      <c r="O189" s="16">
        <f>IFERROR(VLOOKUP(Table28[[#This Row],[ROUTE]],DEMAND!A:F,6,FALSE),0)</f>
        <v>0</v>
      </c>
      <c r="P189" s="16">
        <f>ROUNDDOWN(Table28[[#This Row],[R-DEMAND]]/950,0)</f>
        <v>0</v>
      </c>
      <c r="Q189" s="16">
        <f>Table28[[#This Row],[ADD ACC
(475/950)]]*Table28[[#This Row],[Duration
(A359)]]</f>
        <v>0</v>
      </c>
      <c r="R189" s="16">
        <f>IFERROR(VLOOKUP(Table28[[#This Row],[ROUTE]],PRICING!A:B,2,FALSE),0)</f>
        <v>0</v>
      </c>
      <c r="S189" s="16">
        <f>Table28[[#This Row],[C_DEMAND]]-Table28[[#This Row],[R-DEMAND]]</f>
        <v>0</v>
      </c>
      <c r="T189" s="316">
        <f>Table28[[#This Row],[SEATS SOLD]]*Table28[[#This Row],[ECO SEAT]]</f>
        <v>0</v>
      </c>
      <c r="U189" s="316">
        <f>Table28[[#This Row],[SEATS SOLD]]*(IFERROR(VLOOKUP(Table28[[#This Row],[ROUTE]],PRICING!A:C,3,FALSE),0))</f>
        <v>0</v>
      </c>
      <c r="V189" s="316">
        <f>Table28[[#This Row],[SEAT REV]]-Table28[[#This Row],[SEAT REV
(IF IDEAL $)]]</f>
        <v>0</v>
      </c>
      <c r="AA189" s="26" t="s">
        <v>19101</v>
      </c>
      <c r="AB189" s="26" t="s">
        <v>71</v>
      </c>
      <c r="AC189" s="26" t="s">
        <v>149</v>
      </c>
      <c r="AD189" s="174">
        <v>7797</v>
      </c>
      <c r="AE189" s="26">
        <v>2453</v>
      </c>
      <c r="AF189" s="16">
        <v>2453</v>
      </c>
      <c r="AS189" s="16" t="s">
        <v>14</v>
      </c>
      <c r="AT189" s="16" t="s">
        <v>121</v>
      </c>
      <c r="AU189" s="16" t="s">
        <v>122</v>
      </c>
      <c r="AV189" s="16" t="s">
        <v>18884</v>
      </c>
      <c r="AW189" s="16" t="s">
        <v>18918</v>
      </c>
      <c r="AX189" s="16" t="s">
        <v>18946</v>
      </c>
      <c r="AY189" s="385">
        <v>8918</v>
      </c>
    </row>
    <row r="190" spans="1:51" x14ac:dyDescent="0.25">
      <c r="A190" s="16" t="s">
        <v>19068</v>
      </c>
      <c r="B190" s="16" t="s">
        <v>341</v>
      </c>
      <c r="C190" s="16" t="s">
        <v>467</v>
      </c>
      <c r="D190" s="16">
        <v>3</v>
      </c>
      <c r="E190" s="16" t="s">
        <v>1314</v>
      </c>
      <c r="F190" s="16" t="str">
        <f>VLOOKUP(Table28[[#This Row],[Country]],Table10[[COUNTRY NAME]:[CONTINENT CODE]],3,FALSE)</f>
        <v>AS</v>
      </c>
      <c r="G190" s="16" t="s">
        <v>12096</v>
      </c>
      <c r="H190" s="181">
        <v>7185</v>
      </c>
      <c r="I190" s="180">
        <v>18</v>
      </c>
      <c r="K190" s="316">
        <f>IFERROR(Table28[[#This Row],[ROUTE COST]]/Table28[[#This Row],[O - DEMAND]],0)</f>
        <v>0</v>
      </c>
      <c r="M190" s="16">
        <f>Table28[[#This Row],[O - DEMAND]]/950</f>
        <v>0</v>
      </c>
      <c r="N190" s="16">
        <f>IFERROR(VLOOKUP(Table28[[#This Row],[ROUTE]],DEMAND!A:F,5,FALSE),0)</f>
        <v>2730</v>
      </c>
      <c r="O190" s="16">
        <f>IFERROR(VLOOKUP(Table28[[#This Row],[ROUTE]],DEMAND!A:F,6,FALSE),0)</f>
        <v>830</v>
      </c>
      <c r="P190" s="16">
        <f>ROUNDDOWN(Table28[[#This Row],[R-DEMAND]]/950,0)</f>
        <v>0</v>
      </c>
      <c r="Q190" s="16">
        <f>Table28[[#This Row],[ADD ACC
(475/950)]]*Table28[[#This Row],[Duration
(A359)]]</f>
        <v>0</v>
      </c>
      <c r="R190" s="16">
        <f>IFERROR(VLOOKUP(Table28[[#This Row],[ROUTE]],PRICING!A:B,2,FALSE),0)</f>
        <v>0</v>
      </c>
      <c r="S190" s="16">
        <f>Table28[[#This Row],[C_DEMAND]]-Table28[[#This Row],[R-DEMAND]]</f>
        <v>1900</v>
      </c>
      <c r="T190" s="316">
        <f>Table28[[#This Row],[SEATS SOLD]]*Table28[[#This Row],[ECO SEAT]]</f>
        <v>0</v>
      </c>
      <c r="U190" s="316">
        <f>Table28[[#This Row],[SEATS SOLD]]*(IFERROR(VLOOKUP(Table28[[#This Row],[ROUTE]],PRICING!A:C,3,FALSE),0))</f>
        <v>0</v>
      </c>
      <c r="V190" s="316">
        <f>Table28[[#This Row],[SEAT REV]]-Table28[[#This Row],[SEAT REV
(IF IDEAL $)]]</f>
        <v>0</v>
      </c>
      <c r="AA190" s="26" t="s">
        <v>19095</v>
      </c>
      <c r="AB190" s="26" t="s">
        <v>71</v>
      </c>
      <c r="AC190" s="26" t="s">
        <v>5108</v>
      </c>
      <c r="AD190" s="174">
        <v>7761</v>
      </c>
      <c r="AE190" s="26">
        <v>2098</v>
      </c>
      <c r="AF190" s="16">
        <v>2098</v>
      </c>
      <c r="AS190" s="16" t="s">
        <v>14</v>
      </c>
      <c r="AT190" s="16" t="s">
        <v>12051</v>
      </c>
      <c r="AU190" s="16" t="s">
        <v>4915</v>
      </c>
      <c r="AV190" s="16" t="s">
        <v>18881</v>
      </c>
      <c r="AW190" s="16" t="s">
        <v>18885</v>
      </c>
      <c r="AX190" s="16" t="s">
        <v>18946</v>
      </c>
      <c r="AY190" s="385">
        <v>8935</v>
      </c>
    </row>
    <row r="191" spans="1:51" x14ac:dyDescent="0.25">
      <c r="A191" s="16" t="s">
        <v>19607</v>
      </c>
      <c r="B191" s="16" t="s">
        <v>5493</v>
      </c>
      <c r="D191" s="16">
        <v>4</v>
      </c>
      <c r="E191" s="16" t="s">
        <v>11732</v>
      </c>
      <c r="F191" s="16" t="str">
        <f>VLOOKUP(Table28[[#This Row],[Country]],Table10[[COUNTRY NAME]:[CONTINENT CODE]],3,FALSE)</f>
        <v>NA - US</v>
      </c>
      <c r="G191" s="16" t="s">
        <v>16991</v>
      </c>
      <c r="H191" s="181">
        <v>13826</v>
      </c>
      <c r="I191" s="180">
        <v>32.5</v>
      </c>
      <c r="K191" s="316">
        <f>IFERROR(Table28[[#This Row],[ROUTE COST]]/Table28[[#This Row],[O - DEMAND]],0)</f>
        <v>0</v>
      </c>
      <c r="M191" s="180">
        <f>Table28[[#This Row],[O - DEMAND]]/950</f>
        <v>0</v>
      </c>
      <c r="N191" s="16">
        <f>IFERROR(VLOOKUP(Table28[[#This Row],[ROUTE]],DEMAND!A:F,5,FALSE),0)</f>
        <v>0</v>
      </c>
      <c r="O191" s="16">
        <f>IFERROR(VLOOKUP(Table28[[#This Row],[ROUTE]],DEMAND!A:F,6,FALSE),0)</f>
        <v>0</v>
      </c>
      <c r="P191" s="16">
        <f>ROUNDDOWN(Table28[[#This Row],[R-DEMAND]]/950,0)</f>
        <v>0</v>
      </c>
      <c r="Q191" s="16">
        <f>Table28[[#This Row],[ADD ACC
(475/950)]]*Table28[[#This Row],[Duration
(A359)]]</f>
        <v>0</v>
      </c>
      <c r="R191" s="16">
        <f>IFERROR(VLOOKUP(Table28[[#This Row],[ROUTE]],PRICING!A:B,2,FALSE),0)</f>
        <v>0</v>
      </c>
      <c r="S191" s="16">
        <f>Table28[[#This Row],[C_DEMAND]]-Table28[[#This Row],[R-DEMAND]]</f>
        <v>0</v>
      </c>
      <c r="T191" s="316">
        <f>Table28[[#This Row],[SEATS SOLD]]*Table28[[#This Row],[ECO SEAT]]</f>
        <v>0</v>
      </c>
      <c r="U191" s="316">
        <f>Table28[[#This Row],[SEATS SOLD]]*(IFERROR(VLOOKUP(Table28[[#This Row],[ROUTE]],PRICING!A:C,3,FALSE),0))</f>
        <v>0</v>
      </c>
      <c r="V191" s="316">
        <f>Table28[[#This Row],[SEAT REV]]-Table28[[#This Row],[SEAT REV
(IF IDEAL $)]]</f>
        <v>0</v>
      </c>
      <c r="AA191" s="26" t="s">
        <v>19122</v>
      </c>
      <c r="AB191" s="26" t="s">
        <v>71</v>
      </c>
      <c r="AC191" s="26" t="s">
        <v>147</v>
      </c>
      <c r="AD191" s="174">
        <v>8079</v>
      </c>
      <c r="AE191" s="26">
        <v>2996</v>
      </c>
      <c r="AF191" s="16">
        <v>2996</v>
      </c>
      <c r="AS191" s="16" t="s">
        <v>14</v>
      </c>
      <c r="AT191" s="16" t="s">
        <v>12036</v>
      </c>
      <c r="AU191" s="16" t="s">
        <v>2618</v>
      </c>
      <c r="AV191" s="16" t="s">
        <v>18892</v>
      </c>
      <c r="AW191" s="16" t="s">
        <v>18879</v>
      </c>
      <c r="AX191" s="16" t="s">
        <v>18946</v>
      </c>
      <c r="AY191" s="385">
        <v>8958</v>
      </c>
    </row>
    <row r="192" spans="1:51" x14ac:dyDescent="0.25">
      <c r="A192" s="16" t="s">
        <v>19642</v>
      </c>
      <c r="B192" s="16" t="s">
        <v>5196</v>
      </c>
      <c r="C192" s="16" t="s">
        <v>467</v>
      </c>
      <c r="D192" s="16">
        <v>3</v>
      </c>
      <c r="E192" s="16" t="s">
        <v>1654</v>
      </c>
      <c r="F192" s="16" t="str">
        <f>VLOOKUP(Table28[[#This Row],[Country]],Table10[[COUNTRY NAME]:[CONTINENT CODE]],3,FALSE)</f>
        <v>AS</v>
      </c>
      <c r="G192" s="16" t="s">
        <v>11890</v>
      </c>
      <c r="H192" s="181">
        <v>14082</v>
      </c>
      <c r="I192" s="180">
        <v>33</v>
      </c>
      <c r="K192" s="316">
        <f>IFERROR(Table28[[#This Row],[ROUTE COST]]/Table28[[#This Row],[O - DEMAND]],0)</f>
        <v>0</v>
      </c>
      <c r="M192" s="16">
        <f>Table28[[#This Row],[O - DEMAND]]/950</f>
        <v>0</v>
      </c>
      <c r="N192" s="16">
        <f>IFERROR(VLOOKUP(Table28[[#This Row],[ROUTE]],DEMAND!A:F,5,FALSE),0)</f>
        <v>2563</v>
      </c>
      <c r="O192" s="16">
        <f>IFERROR(VLOOKUP(Table28[[#This Row],[ROUTE]],DEMAND!A:F,6,FALSE),0)</f>
        <v>663</v>
      </c>
      <c r="P192" s="16">
        <f>ROUNDDOWN(Table28[[#This Row],[R-DEMAND]]/950,0)</f>
        <v>0</v>
      </c>
      <c r="Q192" s="16">
        <f>Table28[[#This Row],[ADD ACC
(475/950)]]*Table28[[#This Row],[Duration
(A359)]]</f>
        <v>0</v>
      </c>
      <c r="R192" s="16">
        <f>IFERROR(VLOOKUP(Table28[[#This Row],[ROUTE]],PRICING!A:B,2,FALSE),0)</f>
        <v>0</v>
      </c>
      <c r="S192" s="16">
        <f>Table28[[#This Row],[C_DEMAND]]-Table28[[#This Row],[R-DEMAND]]</f>
        <v>1900</v>
      </c>
      <c r="T192" s="316">
        <f>Table28[[#This Row],[SEATS SOLD]]*Table28[[#This Row],[ECO SEAT]]</f>
        <v>0</v>
      </c>
      <c r="U192" s="316">
        <f>Table28[[#This Row],[SEATS SOLD]]*(IFERROR(VLOOKUP(Table28[[#This Row],[ROUTE]],PRICING!A:C,3,FALSE),0))</f>
        <v>0</v>
      </c>
      <c r="V192" s="316">
        <f>Table28[[#This Row],[SEAT REV]]-Table28[[#This Row],[SEAT REV
(IF IDEAL $)]]</f>
        <v>0</v>
      </c>
      <c r="AA192" s="26" t="s">
        <v>19004</v>
      </c>
      <c r="AB192" s="26" t="s">
        <v>71</v>
      </c>
      <c r="AC192" s="26" t="s">
        <v>4032</v>
      </c>
      <c r="AD192" s="174">
        <v>1981</v>
      </c>
      <c r="AE192" s="26">
        <v>2316</v>
      </c>
      <c r="AF192" s="16">
        <v>2316</v>
      </c>
      <c r="AS192" s="16" t="s">
        <v>14</v>
      </c>
      <c r="AT192" s="16" t="s">
        <v>12043</v>
      </c>
      <c r="AU192" s="16" t="s">
        <v>1463</v>
      </c>
      <c r="AV192" s="16" t="s">
        <v>18892</v>
      </c>
      <c r="AW192" s="16" t="s">
        <v>18890</v>
      </c>
      <c r="AX192" s="16" t="s">
        <v>18946</v>
      </c>
      <c r="AY192" s="385">
        <v>8962</v>
      </c>
    </row>
    <row r="193" spans="1:51" x14ac:dyDescent="0.25">
      <c r="A193" s="16" t="s">
        <v>19313</v>
      </c>
      <c r="B193" s="16" t="s">
        <v>4716</v>
      </c>
      <c r="C193" s="16" t="s">
        <v>467</v>
      </c>
      <c r="D193" s="16">
        <v>3</v>
      </c>
      <c r="E193" s="16" t="s">
        <v>1516</v>
      </c>
      <c r="F193" s="16" t="str">
        <f>VLOOKUP(Table28[[#This Row],[Country]],Table10[[COUNTRY NAME]:[CONTINENT CODE]],3,FALSE)</f>
        <v>AF</v>
      </c>
      <c r="G193" s="16" t="s">
        <v>11939</v>
      </c>
      <c r="H193" s="181">
        <v>11563</v>
      </c>
      <c r="I193" s="180">
        <v>27.5</v>
      </c>
      <c r="K193" s="316">
        <f>IFERROR(Table28[[#This Row],[ROUTE COST]]/Table28[[#This Row],[O - DEMAND]],0)</f>
        <v>0</v>
      </c>
      <c r="M193" s="16">
        <f>Table28[[#This Row],[O - DEMAND]]/950</f>
        <v>0</v>
      </c>
      <c r="N193" s="16">
        <f>IFERROR(VLOOKUP(Table28[[#This Row],[ROUTE]],DEMAND!A:F,5,FALSE),0)</f>
        <v>3888</v>
      </c>
      <c r="O193" s="16">
        <f>IFERROR(VLOOKUP(Table28[[#This Row],[ROUTE]],DEMAND!A:F,6,FALSE),0)</f>
        <v>88</v>
      </c>
      <c r="P193" s="16">
        <f>ROUNDDOWN(Table28[[#This Row],[R-DEMAND]]/950,0)</f>
        <v>0</v>
      </c>
      <c r="Q193" s="16">
        <f>Table28[[#This Row],[ADD ACC
(475/950)]]*Table28[[#This Row],[Duration
(A359)]]</f>
        <v>0</v>
      </c>
      <c r="R193" s="16">
        <f>IFERROR(VLOOKUP(Table28[[#This Row],[ROUTE]],PRICING!A:B,2,FALSE),0)</f>
        <v>0</v>
      </c>
      <c r="S193" s="16">
        <f>Table28[[#This Row],[C_DEMAND]]-Table28[[#This Row],[R-DEMAND]]</f>
        <v>3800</v>
      </c>
      <c r="T193" s="316">
        <f>Table28[[#This Row],[SEATS SOLD]]*Table28[[#This Row],[ECO SEAT]]</f>
        <v>0</v>
      </c>
      <c r="U193" s="316">
        <f>Table28[[#This Row],[SEATS SOLD]]*(IFERROR(VLOOKUP(Table28[[#This Row],[ROUTE]],PRICING!A:C,3,FALSE),0))</f>
        <v>0</v>
      </c>
      <c r="V193" s="316">
        <f>Table28[[#This Row],[SEAT REV]]-Table28[[#This Row],[SEAT REV
(IF IDEAL $)]]</f>
        <v>0</v>
      </c>
      <c r="AA193" s="26" t="s">
        <v>19105</v>
      </c>
      <c r="AB193" s="26" t="s">
        <v>71</v>
      </c>
      <c r="AC193" s="26" t="s">
        <v>145</v>
      </c>
      <c r="AD193" s="174">
        <v>7834</v>
      </c>
      <c r="AE193" s="26">
        <v>2762</v>
      </c>
      <c r="AF193" s="16">
        <v>2762</v>
      </c>
      <c r="AS193" s="16" t="s">
        <v>14</v>
      </c>
      <c r="AT193" s="16" t="s">
        <v>12020</v>
      </c>
      <c r="AU193" s="16" t="s">
        <v>130</v>
      </c>
      <c r="AV193" s="16" t="s">
        <v>18884</v>
      </c>
      <c r="AW193" s="16" t="s">
        <v>18918</v>
      </c>
      <c r="AX193" s="16" t="s">
        <v>18946</v>
      </c>
      <c r="AY193" s="385">
        <v>8967</v>
      </c>
    </row>
    <row r="194" spans="1:51" x14ac:dyDescent="0.25">
      <c r="A194" s="16" t="s">
        <v>19801</v>
      </c>
      <c r="B194" s="16" t="s">
        <v>5074</v>
      </c>
      <c r="D194" s="16">
        <v>3</v>
      </c>
      <c r="E194" s="16" t="s">
        <v>11732</v>
      </c>
      <c r="F194" s="16" t="str">
        <f>VLOOKUP(Table28[[#This Row],[Country]],Table10[[COUNTRY NAME]:[CONTINENT CODE]],3,FALSE)</f>
        <v>NA - US</v>
      </c>
      <c r="G194" s="16" t="s">
        <v>13325</v>
      </c>
      <c r="H194" s="181">
        <v>15129</v>
      </c>
      <c r="I194" s="180">
        <v>35.25</v>
      </c>
      <c r="K194" s="316">
        <f>IFERROR(Table28[[#This Row],[ROUTE COST]]/Table28[[#This Row],[O - DEMAND]],0)</f>
        <v>0</v>
      </c>
      <c r="M194" s="180">
        <f>Table28[[#This Row],[O - DEMAND]]/950</f>
        <v>0</v>
      </c>
      <c r="N194" s="16">
        <f>IFERROR(VLOOKUP(Table28[[#This Row],[ROUTE]],DEMAND!A:F,5,FALSE),0)</f>
        <v>0</v>
      </c>
      <c r="O194" s="16">
        <f>IFERROR(VLOOKUP(Table28[[#This Row],[ROUTE]],DEMAND!A:F,6,FALSE),0)</f>
        <v>0</v>
      </c>
      <c r="P194" s="16">
        <f>ROUNDDOWN(Table28[[#This Row],[R-DEMAND]]/950,0)</f>
        <v>0</v>
      </c>
      <c r="Q194" s="16">
        <f>Table28[[#This Row],[ADD ACC
(475/950)]]*Table28[[#This Row],[Duration
(A359)]]</f>
        <v>0</v>
      </c>
      <c r="R194" s="16">
        <f>IFERROR(VLOOKUP(Table28[[#This Row],[ROUTE]],PRICING!A:B,2,FALSE),0)</f>
        <v>0</v>
      </c>
      <c r="S194" s="16">
        <f>Table28[[#This Row],[C_DEMAND]]-Table28[[#This Row],[R-DEMAND]]</f>
        <v>0</v>
      </c>
      <c r="T194" s="316">
        <f>Table28[[#This Row],[SEATS SOLD]]*Table28[[#This Row],[ECO SEAT]]</f>
        <v>0</v>
      </c>
      <c r="U194" s="316">
        <f>Table28[[#This Row],[SEATS SOLD]]*(IFERROR(VLOOKUP(Table28[[#This Row],[ROUTE]],PRICING!A:C,3,FALSE),0))</f>
        <v>0</v>
      </c>
      <c r="V194" s="316">
        <f>Table28[[#This Row],[SEAT REV]]-Table28[[#This Row],[SEAT REV
(IF IDEAL $)]]</f>
        <v>0</v>
      </c>
      <c r="AA194" s="26" t="s">
        <v>19719</v>
      </c>
      <c r="AB194" s="26" t="s">
        <v>71</v>
      </c>
      <c r="AC194" s="26" t="s">
        <v>3361</v>
      </c>
      <c r="AD194" s="174">
        <v>14662</v>
      </c>
      <c r="AE194" s="26">
        <v>2645</v>
      </c>
      <c r="AF194" s="16">
        <v>2645</v>
      </c>
      <c r="AS194" s="16" t="s">
        <v>14</v>
      </c>
      <c r="AT194" s="16" t="s">
        <v>16842</v>
      </c>
      <c r="AU194" s="16" t="s">
        <v>3563</v>
      </c>
      <c r="AV194" s="16" t="s">
        <v>18878</v>
      </c>
      <c r="AX194" s="16" t="s">
        <v>18921</v>
      </c>
      <c r="AY194" s="385">
        <v>8997</v>
      </c>
    </row>
    <row r="195" spans="1:51" x14ac:dyDescent="0.25">
      <c r="A195" s="16" t="s">
        <v>19012</v>
      </c>
      <c r="B195" s="16" t="s">
        <v>1937</v>
      </c>
      <c r="D195" s="16">
        <v>1</v>
      </c>
      <c r="E195" s="16" t="s">
        <v>774</v>
      </c>
      <c r="F195" s="16" t="str">
        <f>VLOOKUP(Table28[[#This Row],[Country]],Table10[[COUNTRY NAME]:[CONTINENT CODE]],3,FALSE)</f>
        <v>OC</v>
      </c>
      <c r="G195" s="16" t="s">
        <v>12099</v>
      </c>
      <c r="H195" s="181">
        <v>3271</v>
      </c>
      <c r="I195" s="180">
        <v>9.25</v>
      </c>
      <c r="K195" s="316">
        <f>IFERROR(Table28[[#This Row],[ROUTE COST]]/Table28[[#This Row],[O - DEMAND]],0)</f>
        <v>0</v>
      </c>
      <c r="M195" s="16">
        <f>Table28[[#This Row],[O - DEMAND]]/950</f>
        <v>0</v>
      </c>
      <c r="N195" s="16">
        <f>IFERROR(VLOOKUP(Table28[[#This Row],[ROUTE]],DEMAND!A:F,5,FALSE),0)</f>
        <v>0</v>
      </c>
      <c r="O195" s="16">
        <f>IFERROR(VLOOKUP(Table28[[#This Row],[ROUTE]],DEMAND!A:F,6,FALSE),0)</f>
        <v>0</v>
      </c>
      <c r="P195" s="16">
        <f>ROUNDDOWN(Table28[[#This Row],[R-DEMAND]]/950,0)</f>
        <v>0</v>
      </c>
      <c r="Q195" s="16">
        <f>Table28[[#This Row],[ADD ACC
(475/950)]]*Table28[[#This Row],[Duration
(A359)]]</f>
        <v>0</v>
      </c>
      <c r="R195" s="16">
        <f>IFERROR(VLOOKUP(Table28[[#This Row],[ROUTE]],PRICING!A:B,2,FALSE),0)</f>
        <v>0</v>
      </c>
      <c r="S195" s="16">
        <f>Table28[[#This Row],[C_DEMAND]]-Table28[[#This Row],[R-DEMAND]]</f>
        <v>0</v>
      </c>
      <c r="T195" s="316">
        <f>Table28[[#This Row],[SEATS SOLD]]*Table28[[#This Row],[ECO SEAT]]</f>
        <v>0</v>
      </c>
      <c r="U195" s="316">
        <f>Table28[[#This Row],[SEATS SOLD]]*(IFERROR(VLOOKUP(Table28[[#This Row],[ROUTE]],PRICING!A:C,3,FALSE),0))</f>
        <v>0</v>
      </c>
      <c r="V195" s="316">
        <f>Table28[[#This Row],[SEAT REV]]-Table28[[#This Row],[SEAT REV
(IF IDEAL $)]]</f>
        <v>0</v>
      </c>
      <c r="AA195" s="26" t="s">
        <v>19341</v>
      </c>
      <c r="AB195" s="26" t="s">
        <v>71</v>
      </c>
      <c r="AC195" s="26" t="s">
        <v>5563</v>
      </c>
      <c r="AD195" s="174">
        <v>11970</v>
      </c>
      <c r="AE195" s="26">
        <v>2216</v>
      </c>
      <c r="AF195" s="16">
        <v>2216</v>
      </c>
      <c r="AS195" s="16" t="s">
        <v>78</v>
      </c>
      <c r="AT195" s="16" t="s">
        <v>11962</v>
      </c>
      <c r="AU195" s="16" t="s">
        <v>4181</v>
      </c>
      <c r="AV195" s="16" t="s">
        <v>18884</v>
      </c>
      <c r="AW195" s="16" t="s">
        <v>18879</v>
      </c>
      <c r="AX195" s="16" t="s">
        <v>18921</v>
      </c>
      <c r="AY195" s="385">
        <v>9030</v>
      </c>
    </row>
    <row r="196" spans="1:51" x14ac:dyDescent="0.25">
      <c r="A196" s="16" t="s">
        <v>19164</v>
      </c>
      <c r="B196" s="16" t="s">
        <v>2637</v>
      </c>
      <c r="E196" s="16" t="s">
        <v>14</v>
      </c>
      <c r="F196" s="16" t="str">
        <f>VLOOKUP(Table28[[#This Row],[Country]],Table10[[COUNTRY NAME]:[CONTINENT CODE]],3,FALSE)</f>
        <v>AS</v>
      </c>
      <c r="G196" s="16" t="s">
        <v>16837</v>
      </c>
      <c r="H196" s="181">
        <v>8678</v>
      </c>
      <c r="I196" s="180">
        <v>21.25</v>
      </c>
      <c r="K196" s="316">
        <f>IFERROR(Table28[[#This Row],[ROUTE COST]]/Table28[[#This Row],[O - DEMAND]],0)</f>
        <v>0</v>
      </c>
      <c r="M196" s="16">
        <f>Table28[[#This Row],[O - DEMAND]]/950</f>
        <v>0</v>
      </c>
      <c r="N196" s="16">
        <f>IFERROR(VLOOKUP(Table28[[#This Row],[ROUTE]],DEMAND!A:F,5,FALSE),0)</f>
        <v>0</v>
      </c>
      <c r="O196" s="16">
        <f>IFERROR(VLOOKUP(Table28[[#This Row],[ROUTE]],DEMAND!A:F,6,FALSE),0)</f>
        <v>0</v>
      </c>
      <c r="P196" s="16">
        <f>ROUNDDOWN(Table28[[#This Row],[R-DEMAND]]/950,0)</f>
        <v>0</v>
      </c>
      <c r="Q196" s="16">
        <f>Table28[[#This Row],[ADD ACC
(475/950)]]*Table28[[#This Row],[Duration
(A359)]]</f>
        <v>0</v>
      </c>
      <c r="R196" s="16">
        <f>IFERROR(VLOOKUP(Table28[[#This Row],[ROUTE]],PRICING!A:B,2,FALSE),0)</f>
        <v>0</v>
      </c>
      <c r="S196" s="16">
        <f>Table28[[#This Row],[C_DEMAND]]-Table28[[#This Row],[R-DEMAND]]</f>
        <v>0</v>
      </c>
      <c r="T196" s="316">
        <f>Table28[[#This Row],[SEATS SOLD]]*Table28[[#This Row],[ECO SEAT]]</f>
        <v>0</v>
      </c>
      <c r="U196" s="316">
        <f>Table28[[#This Row],[SEATS SOLD]]*(IFERROR(VLOOKUP(Table28[[#This Row],[ROUTE]],PRICING!A:C,3,FALSE),0))</f>
        <v>0</v>
      </c>
      <c r="V196" s="316">
        <f>Table28[[#This Row],[SEAT REV]]-Table28[[#This Row],[SEAT REV
(IF IDEAL $)]]</f>
        <v>0</v>
      </c>
      <c r="AA196" s="26" t="s">
        <v>19754</v>
      </c>
      <c r="AB196" s="26" t="s">
        <v>71</v>
      </c>
      <c r="AC196" s="26" t="s">
        <v>4985</v>
      </c>
      <c r="AD196" s="174">
        <v>14905</v>
      </c>
      <c r="AE196" s="26">
        <v>2215</v>
      </c>
      <c r="AF196" s="16">
        <v>2215</v>
      </c>
      <c r="AS196" s="16" t="s">
        <v>1070</v>
      </c>
      <c r="AT196" s="16" t="s">
        <v>16814</v>
      </c>
      <c r="AU196" s="16" t="s">
        <v>2229</v>
      </c>
      <c r="AV196" s="16" t="s">
        <v>18878</v>
      </c>
      <c r="AW196" s="16" t="s">
        <v>18890</v>
      </c>
      <c r="AX196" s="16" t="s">
        <v>18921</v>
      </c>
      <c r="AY196" s="385">
        <v>9035</v>
      </c>
    </row>
    <row r="197" spans="1:51" x14ac:dyDescent="0.25">
      <c r="A197" s="16" t="s">
        <v>19729</v>
      </c>
      <c r="B197" s="16" t="s">
        <v>1331</v>
      </c>
      <c r="D197" s="16">
        <v>1</v>
      </c>
      <c r="E197" s="16" t="s">
        <v>11732</v>
      </c>
      <c r="F197" s="16" t="str">
        <f>VLOOKUP(Table28[[#This Row],[Country]],Table10[[COUNTRY NAME]:[CONTINENT CODE]],3,FALSE)</f>
        <v>NA - US</v>
      </c>
      <c r="G197" s="16" t="s">
        <v>10110</v>
      </c>
      <c r="H197" s="181">
        <v>14739</v>
      </c>
      <c r="I197" s="180">
        <v>34.5</v>
      </c>
      <c r="K197" s="316">
        <f>IFERROR(Table28[[#This Row],[ROUTE COST]]/Table28[[#This Row],[O - DEMAND]],0)</f>
        <v>0</v>
      </c>
      <c r="M197" s="180">
        <f>Table28[[#This Row],[O - DEMAND]]/950</f>
        <v>0</v>
      </c>
      <c r="N197" s="16">
        <f>IFERROR(VLOOKUP(Table28[[#This Row],[ROUTE]],DEMAND!A:F,5,FALSE),0)</f>
        <v>0</v>
      </c>
      <c r="O197" s="16">
        <f>IFERROR(VLOOKUP(Table28[[#This Row],[ROUTE]],DEMAND!A:F,6,FALSE),0)</f>
        <v>0</v>
      </c>
      <c r="P197" s="16">
        <f>ROUNDDOWN(Table28[[#This Row],[R-DEMAND]]/950,0)</f>
        <v>0</v>
      </c>
      <c r="Q197" s="16">
        <f>Table28[[#This Row],[ADD ACC
(475/950)]]*Table28[[#This Row],[Duration
(A359)]]</f>
        <v>0</v>
      </c>
      <c r="R197" s="16">
        <f>IFERROR(VLOOKUP(Table28[[#This Row],[ROUTE]],PRICING!A:B,2,FALSE),0)</f>
        <v>0</v>
      </c>
      <c r="S197" s="16">
        <f>Table28[[#This Row],[C_DEMAND]]-Table28[[#This Row],[R-DEMAND]]</f>
        <v>0</v>
      </c>
      <c r="T197" s="316">
        <f>Table28[[#This Row],[SEATS SOLD]]*Table28[[#This Row],[ECO SEAT]]</f>
        <v>0</v>
      </c>
      <c r="U197" s="316">
        <f>Table28[[#This Row],[SEATS SOLD]]*(IFERROR(VLOOKUP(Table28[[#This Row],[ROUTE]],PRICING!A:C,3,FALSE),0))</f>
        <v>0</v>
      </c>
      <c r="V197" s="316">
        <f>Table28[[#This Row],[SEAT REV]]-Table28[[#This Row],[SEAT REV
(IF IDEAL $)]]</f>
        <v>0</v>
      </c>
      <c r="AA197" s="26" t="s">
        <v>19595</v>
      </c>
      <c r="AB197" s="26" t="s">
        <v>71</v>
      </c>
      <c r="AC197" s="26" t="s">
        <v>3271</v>
      </c>
      <c r="AD197" s="174">
        <v>13757</v>
      </c>
      <c r="AE197" s="26">
        <v>2441</v>
      </c>
      <c r="AF197" s="16">
        <v>2441</v>
      </c>
      <c r="AS197" s="16" t="s">
        <v>14</v>
      </c>
      <c r="AT197" s="16" t="s">
        <v>12002</v>
      </c>
      <c r="AU197" s="16" t="s">
        <v>366</v>
      </c>
      <c r="AV197" s="16" t="s">
        <v>18881</v>
      </c>
      <c r="AW197" s="16" t="s">
        <v>18885</v>
      </c>
      <c r="AX197" s="16" t="s">
        <v>18921</v>
      </c>
      <c r="AY197" s="385">
        <v>9045</v>
      </c>
    </row>
    <row r="198" spans="1:51" x14ac:dyDescent="0.25">
      <c r="A198" s="16" t="s">
        <v>19245</v>
      </c>
      <c r="B198" s="16" t="s">
        <v>339</v>
      </c>
      <c r="C198" s="16" t="s">
        <v>467</v>
      </c>
      <c r="D198" s="16">
        <v>5</v>
      </c>
      <c r="E198" s="16" t="s">
        <v>1070</v>
      </c>
      <c r="F198" s="16" t="str">
        <f>VLOOKUP(Table28[[#This Row],[Country]],Table10[[COUNTRY NAME]:[CONTINENT CODE]],3,FALSE)</f>
        <v>AS</v>
      </c>
      <c r="G198" s="16" t="s">
        <v>12027</v>
      </c>
      <c r="H198" s="181">
        <v>10438</v>
      </c>
      <c r="I198" s="180">
        <v>25</v>
      </c>
      <c r="K198" s="316">
        <f>IFERROR(Table28[[#This Row],[ROUTE COST]]/Table28[[#This Row],[O - DEMAND]],0)</f>
        <v>0</v>
      </c>
      <c r="M198" s="16">
        <f>Table28[[#This Row],[O - DEMAND]]/950</f>
        <v>0</v>
      </c>
      <c r="N198" s="16">
        <f>IFERROR(VLOOKUP(Table28[[#This Row],[ROUTE]],DEMAND!A:F,5,FALSE),0)</f>
        <v>4648</v>
      </c>
      <c r="O198" s="16">
        <f>IFERROR(VLOOKUP(Table28[[#This Row],[ROUTE]],DEMAND!A:F,6,FALSE),0)</f>
        <v>848</v>
      </c>
      <c r="P198" s="16">
        <f>ROUNDDOWN(Table28[[#This Row],[R-DEMAND]]/950,0)</f>
        <v>0</v>
      </c>
      <c r="Q198" s="16">
        <f>Table28[[#This Row],[ADD ACC
(475/950)]]*Table28[[#This Row],[Duration
(A359)]]</f>
        <v>0</v>
      </c>
      <c r="R198" s="16">
        <f>IFERROR(VLOOKUP(Table28[[#This Row],[ROUTE]],PRICING!A:B,2,FALSE),0)</f>
        <v>0</v>
      </c>
      <c r="S198" s="16">
        <f>Table28[[#This Row],[C_DEMAND]]-Table28[[#This Row],[R-DEMAND]]</f>
        <v>3800</v>
      </c>
      <c r="T198" s="316">
        <f>Table28[[#This Row],[SEATS SOLD]]*Table28[[#This Row],[ECO SEAT]]</f>
        <v>0</v>
      </c>
      <c r="U198" s="316">
        <f>Table28[[#This Row],[SEATS SOLD]]*(IFERROR(VLOOKUP(Table28[[#This Row],[ROUTE]],PRICING!A:C,3,FALSE),0))</f>
        <v>0</v>
      </c>
      <c r="V198" s="316">
        <f>Table28[[#This Row],[SEAT REV]]-Table28[[#This Row],[SEAT REV
(IF IDEAL $)]]</f>
        <v>0</v>
      </c>
      <c r="AA198" s="26" t="s">
        <v>19067</v>
      </c>
      <c r="AB198" s="26" t="s">
        <v>71</v>
      </c>
      <c r="AC198" s="26" t="s">
        <v>143</v>
      </c>
      <c r="AD198" s="174">
        <v>7135</v>
      </c>
      <c r="AE198" s="26">
        <v>2482</v>
      </c>
      <c r="AF198" s="16">
        <v>2482</v>
      </c>
      <c r="AS198" s="16" t="s">
        <v>1710</v>
      </c>
      <c r="AT198" s="16" t="s">
        <v>12068</v>
      </c>
      <c r="AU198" s="16" t="s">
        <v>3</v>
      </c>
      <c r="AV198" s="16" t="s">
        <v>18881</v>
      </c>
      <c r="AW198" s="16" t="s">
        <v>18879</v>
      </c>
      <c r="AX198" s="16" t="s">
        <v>18921</v>
      </c>
      <c r="AY198" s="385">
        <v>9062</v>
      </c>
    </row>
    <row r="199" spans="1:51" x14ac:dyDescent="0.25">
      <c r="A199" s="16" t="s">
        <v>19559</v>
      </c>
      <c r="B199" s="16" t="s">
        <v>5765</v>
      </c>
      <c r="C199" s="16" t="s">
        <v>467</v>
      </c>
      <c r="D199" s="16">
        <v>5</v>
      </c>
      <c r="E199" s="16" t="s">
        <v>11732</v>
      </c>
      <c r="F199" s="16" t="str">
        <f>VLOOKUP(Table28[[#This Row],[Country]],Table10[[COUNTRY NAME]:[CONTINENT CODE]],3,FALSE)</f>
        <v>NA - US</v>
      </c>
      <c r="G199" s="16" t="s">
        <v>13288</v>
      </c>
      <c r="H199" s="181">
        <v>13447</v>
      </c>
      <c r="I199" s="180">
        <v>31.75</v>
      </c>
      <c r="K199" s="316">
        <f>IFERROR(Table28[[#This Row],[ROUTE COST]]/Table28[[#This Row],[O - DEMAND]],0)</f>
        <v>0</v>
      </c>
      <c r="M199" s="180">
        <f>Table28[[#This Row],[O - DEMAND]]/950</f>
        <v>0</v>
      </c>
      <c r="N199" s="16">
        <f>IFERROR(VLOOKUP(Table28[[#This Row],[ROUTE]],DEMAND!A:F,5,FALSE),0)</f>
        <v>2569</v>
      </c>
      <c r="O199" s="16">
        <f>IFERROR(VLOOKUP(Table28[[#This Row],[ROUTE]],DEMAND!A:F,6,FALSE),0)</f>
        <v>669</v>
      </c>
      <c r="P199" s="16">
        <f>ROUNDDOWN(Table28[[#This Row],[R-DEMAND]]/950,0)</f>
        <v>0</v>
      </c>
      <c r="Q199" s="16">
        <f>Table28[[#This Row],[ADD ACC
(475/950)]]*Table28[[#This Row],[Duration
(A359)]]</f>
        <v>0</v>
      </c>
      <c r="R199" s="16">
        <f>IFERROR(VLOOKUP(Table28[[#This Row],[ROUTE]],PRICING!A:B,2,FALSE),0)</f>
        <v>0</v>
      </c>
      <c r="S199" s="16">
        <f>Table28[[#This Row],[C_DEMAND]]-Table28[[#This Row],[R-DEMAND]]</f>
        <v>1900</v>
      </c>
      <c r="T199" s="316">
        <f>Table28[[#This Row],[SEATS SOLD]]*Table28[[#This Row],[ECO SEAT]]</f>
        <v>0</v>
      </c>
      <c r="U199" s="316">
        <f>Table28[[#This Row],[SEATS SOLD]]*(IFERROR(VLOOKUP(Table28[[#This Row],[ROUTE]],PRICING!A:C,3,FALSE),0))</f>
        <v>0</v>
      </c>
      <c r="V199" s="316">
        <f>Table28[[#This Row],[SEAT REV]]-Table28[[#This Row],[SEAT REV
(IF IDEAL $)]]</f>
        <v>0</v>
      </c>
      <c r="AA199" s="26" t="s">
        <v>19384</v>
      </c>
      <c r="AB199" s="26" t="s">
        <v>71</v>
      </c>
      <c r="AC199" s="26" t="s">
        <v>5436</v>
      </c>
      <c r="AD199" s="174">
        <v>12337</v>
      </c>
      <c r="AE199" s="26">
        <v>3237</v>
      </c>
      <c r="AF199" s="16">
        <v>3237</v>
      </c>
      <c r="AS199" s="16" t="s">
        <v>5096</v>
      </c>
      <c r="AT199" s="16" t="s">
        <v>12011</v>
      </c>
      <c r="AU199" s="16" t="s">
        <v>160</v>
      </c>
      <c r="AV199" s="16" t="s">
        <v>18884</v>
      </c>
      <c r="AW199" s="16" t="s">
        <v>18885</v>
      </c>
      <c r="AX199" s="16" t="s">
        <v>18921</v>
      </c>
      <c r="AY199" s="385">
        <v>9066</v>
      </c>
    </row>
    <row r="200" spans="1:51" x14ac:dyDescent="0.25">
      <c r="A200" s="16" t="s">
        <v>19609</v>
      </c>
      <c r="B200" s="16" t="s">
        <v>2067</v>
      </c>
      <c r="D200" s="16">
        <v>1</v>
      </c>
      <c r="E200" s="16" t="s">
        <v>1654</v>
      </c>
      <c r="F200" s="16" t="str">
        <f>VLOOKUP(Table28[[#This Row],[Country]],Table10[[COUNTRY NAME]:[CONTINENT CODE]],3,FALSE)</f>
        <v>AS</v>
      </c>
      <c r="G200" s="16" t="s">
        <v>11900</v>
      </c>
      <c r="H200" s="181">
        <v>13838</v>
      </c>
      <c r="I200" s="180">
        <v>32.5</v>
      </c>
      <c r="K200" s="316">
        <f>IFERROR(Table28[[#This Row],[ROUTE COST]]/Table28[[#This Row],[O - DEMAND]],0)</f>
        <v>0</v>
      </c>
      <c r="M200" s="16">
        <f>Table28[[#This Row],[O - DEMAND]]/950</f>
        <v>0</v>
      </c>
      <c r="N200" s="16">
        <f>IFERROR(VLOOKUP(Table28[[#This Row],[ROUTE]],DEMAND!A:F,5,FALSE),0)</f>
        <v>0</v>
      </c>
      <c r="O200" s="16">
        <f>IFERROR(VLOOKUP(Table28[[#This Row],[ROUTE]],DEMAND!A:F,6,FALSE),0)</f>
        <v>0</v>
      </c>
      <c r="P200" s="16">
        <f>ROUNDDOWN(Table28[[#This Row],[R-DEMAND]]/950,0)</f>
        <v>0</v>
      </c>
      <c r="Q200" s="16">
        <f>Table28[[#This Row],[ADD ACC
(475/950)]]*Table28[[#This Row],[Duration
(A359)]]</f>
        <v>0</v>
      </c>
      <c r="R200" s="16">
        <f>IFERROR(VLOOKUP(Table28[[#This Row],[ROUTE]],PRICING!A:B,2,FALSE),0)</f>
        <v>0</v>
      </c>
      <c r="S200" s="16">
        <f>Table28[[#This Row],[C_DEMAND]]-Table28[[#This Row],[R-DEMAND]]</f>
        <v>0</v>
      </c>
      <c r="T200" s="316">
        <f>Table28[[#This Row],[SEATS SOLD]]*Table28[[#This Row],[ECO SEAT]]</f>
        <v>0</v>
      </c>
      <c r="U200" s="316">
        <f>Table28[[#This Row],[SEATS SOLD]]*(IFERROR(VLOOKUP(Table28[[#This Row],[ROUTE]],PRICING!A:C,3,FALSE),0))</f>
        <v>0</v>
      </c>
      <c r="V200" s="316">
        <f>Table28[[#This Row],[SEAT REV]]-Table28[[#This Row],[SEAT REV
(IF IDEAL $)]]</f>
        <v>0</v>
      </c>
      <c r="AA200" s="26" t="s">
        <v>19744</v>
      </c>
      <c r="AB200" s="26" t="s">
        <v>71</v>
      </c>
      <c r="AC200" s="26" t="s">
        <v>5762</v>
      </c>
      <c r="AD200" s="174">
        <v>14866</v>
      </c>
      <c r="AE200" s="26">
        <v>1951</v>
      </c>
      <c r="AF200" s="16">
        <v>1951</v>
      </c>
      <c r="AS200" s="16" t="s">
        <v>1710</v>
      </c>
      <c r="AT200" s="16" t="s">
        <v>12070</v>
      </c>
      <c r="AU200" s="16" t="s">
        <v>343</v>
      </c>
      <c r="AV200" s="16" t="s">
        <v>18881</v>
      </c>
      <c r="AW200" s="16" t="s">
        <v>18885</v>
      </c>
      <c r="AX200" s="16" t="s">
        <v>18921</v>
      </c>
      <c r="AY200" s="385">
        <v>9084</v>
      </c>
    </row>
    <row r="201" spans="1:51" x14ac:dyDescent="0.25">
      <c r="A201" s="16" t="s">
        <v>19604</v>
      </c>
      <c r="B201" s="16" t="s">
        <v>5758</v>
      </c>
      <c r="C201" s="16" t="s">
        <v>467</v>
      </c>
      <c r="D201" s="16">
        <v>5</v>
      </c>
      <c r="E201" s="16" t="s">
        <v>11732</v>
      </c>
      <c r="F201" s="16" t="str">
        <f>VLOOKUP(Table28[[#This Row],[Country]],Table10[[COUNTRY NAME]:[CONTINENT CODE]],3,FALSE)</f>
        <v>NA - US</v>
      </c>
      <c r="G201" s="16" t="s">
        <v>13316</v>
      </c>
      <c r="H201" s="181">
        <v>13812</v>
      </c>
      <c r="I201" s="180">
        <v>32.5</v>
      </c>
      <c r="K201" s="316">
        <f>IFERROR(Table28[[#This Row],[ROUTE COST]]/Table28[[#This Row],[O - DEMAND]],0)</f>
        <v>0</v>
      </c>
      <c r="M201" s="180">
        <f>Table28[[#This Row],[O - DEMAND]]/950</f>
        <v>0</v>
      </c>
      <c r="N201" s="16">
        <f>IFERROR(VLOOKUP(Table28[[#This Row],[ROUTE]],DEMAND!A:F,5,FALSE),0)</f>
        <v>2577</v>
      </c>
      <c r="O201" s="16">
        <f>IFERROR(VLOOKUP(Table28[[#This Row],[ROUTE]],DEMAND!A:F,6,FALSE),0)</f>
        <v>677</v>
      </c>
      <c r="P201" s="16">
        <f>ROUNDDOWN(Table28[[#This Row],[R-DEMAND]]/950,0)</f>
        <v>0</v>
      </c>
      <c r="Q201" s="16">
        <f>Table28[[#This Row],[ADD ACC
(475/950)]]*Table28[[#This Row],[Duration
(A359)]]</f>
        <v>0</v>
      </c>
      <c r="R201" s="16">
        <f>IFERROR(VLOOKUP(Table28[[#This Row],[ROUTE]],PRICING!A:B,2,FALSE),0)</f>
        <v>0</v>
      </c>
      <c r="S201" s="16">
        <f>Table28[[#This Row],[C_DEMAND]]-Table28[[#This Row],[R-DEMAND]]</f>
        <v>1900</v>
      </c>
      <c r="T201" s="316">
        <f>Table28[[#This Row],[SEATS SOLD]]*Table28[[#This Row],[ECO SEAT]]</f>
        <v>0</v>
      </c>
      <c r="U201" s="316">
        <f>Table28[[#This Row],[SEATS SOLD]]*(IFERROR(VLOOKUP(Table28[[#This Row],[ROUTE]],PRICING!A:C,3,FALSE),0))</f>
        <v>0</v>
      </c>
      <c r="V201" s="316">
        <f>Table28[[#This Row],[SEAT REV]]-Table28[[#This Row],[SEAT REV
(IF IDEAL $)]]</f>
        <v>0</v>
      </c>
      <c r="AA201" s="26" t="s">
        <v>19787</v>
      </c>
      <c r="AB201" s="26" t="s">
        <v>71</v>
      </c>
      <c r="AC201" s="26" t="s">
        <v>4320</v>
      </c>
      <c r="AD201" s="174">
        <v>15055</v>
      </c>
      <c r="AE201" s="26">
        <v>1543</v>
      </c>
      <c r="AF201" s="16">
        <v>1543</v>
      </c>
      <c r="AS201" s="16" t="s">
        <v>1070</v>
      </c>
      <c r="AT201" s="16" t="s">
        <v>12072</v>
      </c>
      <c r="AU201" s="16" t="s">
        <v>44</v>
      </c>
      <c r="AV201" s="16" t="s">
        <v>18884</v>
      </c>
      <c r="AW201" s="16" t="s">
        <v>18885</v>
      </c>
      <c r="AX201" s="16" t="s">
        <v>18940</v>
      </c>
      <c r="AY201" s="385">
        <v>9113</v>
      </c>
    </row>
    <row r="202" spans="1:51" x14ac:dyDescent="0.25">
      <c r="A202" s="16" t="s">
        <v>19440</v>
      </c>
      <c r="B202" s="16" t="s">
        <v>3483</v>
      </c>
      <c r="D202" s="16">
        <v>2</v>
      </c>
      <c r="E202" s="16" t="s">
        <v>1749</v>
      </c>
      <c r="F202" s="16" t="str">
        <f>VLOOKUP(Table28[[#This Row],[Country]],Table10[[COUNTRY NAME]:[CONTINENT CODE]],3,FALSE)</f>
        <v>NA</v>
      </c>
      <c r="G202" s="16" t="s">
        <v>13215</v>
      </c>
      <c r="H202" s="181">
        <v>12738</v>
      </c>
      <c r="I202" s="180">
        <v>30</v>
      </c>
      <c r="K202" s="316">
        <f>IFERROR(Table28[[#This Row],[ROUTE COST]]/Table28[[#This Row],[O - DEMAND]],0)</f>
        <v>0</v>
      </c>
      <c r="M202" s="16">
        <f>Table28[[#This Row],[O - DEMAND]]/950</f>
        <v>0</v>
      </c>
      <c r="N202" s="16">
        <f>IFERROR(VLOOKUP(Table28[[#This Row],[ROUTE]],DEMAND!A:F,5,FALSE),0)</f>
        <v>0</v>
      </c>
      <c r="O202" s="16">
        <f>IFERROR(VLOOKUP(Table28[[#This Row],[ROUTE]],DEMAND!A:F,6,FALSE),0)</f>
        <v>0</v>
      </c>
      <c r="P202" s="16">
        <f>ROUNDDOWN(Table28[[#This Row],[R-DEMAND]]/950,0)</f>
        <v>0</v>
      </c>
      <c r="Q202" s="16">
        <f>Table28[[#This Row],[ADD ACC
(475/950)]]*Table28[[#This Row],[Duration
(A359)]]</f>
        <v>0</v>
      </c>
      <c r="R202" s="16">
        <f>IFERROR(VLOOKUP(Table28[[#This Row],[ROUTE]],PRICING!A:B,2,FALSE),0)</f>
        <v>0</v>
      </c>
      <c r="S202" s="16">
        <f>Table28[[#This Row],[C_DEMAND]]-Table28[[#This Row],[R-DEMAND]]</f>
        <v>0</v>
      </c>
      <c r="T202" s="316">
        <f>Table28[[#This Row],[SEATS SOLD]]*Table28[[#This Row],[ECO SEAT]]</f>
        <v>0</v>
      </c>
      <c r="U202" s="316">
        <f>Table28[[#This Row],[SEATS SOLD]]*(IFERROR(VLOOKUP(Table28[[#This Row],[ROUTE]],PRICING!A:C,3,FALSE),0))</f>
        <v>0</v>
      </c>
      <c r="V202" s="316">
        <f>Table28[[#This Row],[SEAT REV]]-Table28[[#This Row],[SEAT REV
(IF IDEAL $)]]</f>
        <v>0</v>
      </c>
      <c r="AA202" s="26" t="s">
        <v>19387</v>
      </c>
      <c r="AB202" s="26" t="s">
        <v>71</v>
      </c>
      <c r="AC202" s="26" t="s">
        <v>5620</v>
      </c>
      <c r="AD202" s="174">
        <v>12361</v>
      </c>
      <c r="AE202" s="26">
        <v>2278</v>
      </c>
      <c r="AF202" s="16">
        <v>2278</v>
      </c>
      <c r="AS202" s="16" t="s">
        <v>1070</v>
      </c>
      <c r="AT202" s="16" t="s">
        <v>11062</v>
      </c>
      <c r="AU202" s="16" t="s">
        <v>187</v>
      </c>
      <c r="AV202" s="16" t="s">
        <v>18884</v>
      </c>
      <c r="AW202" s="16" t="s">
        <v>18899</v>
      </c>
      <c r="AX202" s="16" t="s">
        <v>18940</v>
      </c>
      <c r="AY202" s="385">
        <v>9130</v>
      </c>
    </row>
    <row r="203" spans="1:51" x14ac:dyDescent="0.25">
      <c r="A203" s="16" t="s">
        <v>19736</v>
      </c>
      <c r="B203" s="16" t="s">
        <v>2595</v>
      </c>
      <c r="D203" s="16">
        <v>2</v>
      </c>
      <c r="E203" s="16" t="s">
        <v>11732</v>
      </c>
      <c r="F203" s="16" t="str">
        <f>VLOOKUP(Table28[[#This Row],[Country]],Table10[[COUNTRY NAME]:[CONTINENT CODE]],3,FALSE)</f>
        <v>NA - US</v>
      </c>
      <c r="G203" s="16" t="s">
        <v>17019</v>
      </c>
      <c r="H203" s="181">
        <v>14776</v>
      </c>
      <c r="I203" s="180">
        <v>34.5</v>
      </c>
      <c r="K203" s="316">
        <f>IFERROR(Table28[[#This Row],[ROUTE COST]]/Table28[[#This Row],[O - DEMAND]],0)</f>
        <v>0</v>
      </c>
      <c r="M203" s="180">
        <f>Table28[[#This Row],[O - DEMAND]]/950</f>
        <v>0</v>
      </c>
      <c r="N203" s="16">
        <f>IFERROR(VLOOKUP(Table28[[#This Row],[ROUTE]],DEMAND!A:F,5,FALSE),0)</f>
        <v>0</v>
      </c>
      <c r="O203" s="16">
        <f>IFERROR(VLOOKUP(Table28[[#This Row],[ROUTE]],DEMAND!A:F,6,FALSE),0)</f>
        <v>0</v>
      </c>
      <c r="P203" s="16">
        <f>ROUNDDOWN(Table28[[#This Row],[R-DEMAND]]/950,0)</f>
        <v>0</v>
      </c>
      <c r="Q203" s="16">
        <f>Table28[[#This Row],[ADD ACC
(475/950)]]*Table28[[#This Row],[Duration
(A359)]]</f>
        <v>0</v>
      </c>
      <c r="R203" s="16">
        <f>IFERROR(VLOOKUP(Table28[[#This Row],[ROUTE]],PRICING!A:B,2,FALSE),0)</f>
        <v>0</v>
      </c>
      <c r="S203" s="16">
        <f>Table28[[#This Row],[C_DEMAND]]-Table28[[#This Row],[R-DEMAND]]</f>
        <v>0</v>
      </c>
      <c r="T203" s="316">
        <f>Table28[[#This Row],[SEATS SOLD]]*Table28[[#This Row],[ECO SEAT]]</f>
        <v>0</v>
      </c>
      <c r="U203" s="316">
        <f>Table28[[#This Row],[SEATS SOLD]]*(IFERROR(VLOOKUP(Table28[[#This Row],[ROUTE]],PRICING!A:C,3,FALSE),0))</f>
        <v>0</v>
      </c>
      <c r="V203" s="316">
        <f>Table28[[#This Row],[SEAT REV]]-Table28[[#This Row],[SEAT REV
(IF IDEAL $)]]</f>
        <v>0</v>
      </c>
      <c r="AA203" s="26" t="s">
        <v>19060</v>
      </c>
      <c r="AB203" s="26" t="s">
        <v>71</v>
      </c>
      <c r="AC203" s="26" t="s">
        <v>128</v>
      </c>
      <c r="AD203" s="174">
        <v>6896</v>
      </c>
      <c r="AE203" s="26">
        <v>2608</v>
      </c>
      <c r="AF203" s="16">
        <v>2608</v>
      </c>
      <c r="AS203" s="16" t="s">
        <v>1070</v>
      </c>
      <c r="AT203" s="16" t="s">
        <v>12071</v>
      </c>
      <c r="AU203" s="16" t="s">
        <v>378</v>
      </c>
      <c r="AV203" s="16" t="s">
        <v>18884</v>
      </c>
      <c r="AW203" s="16" t="s">
        <v>18899</v>
      </c>
      <c r="AX203" s="16" t="s">
        <v>18940</v>
      </c>
      <c r="AY203" s="385">
        <v>9143</v>
      </c>
    </row>
    <row r="204" spans="1:51" x14ac:dyDescent="0.25">
      <c r="A204" s="16" t="s">
        <v>19168</v>
      </c>
      <c r="B204" s="16" t="s">
        <v>3435</v>
      </c>
      <c r="D204" s="16">
        <v>2</v>
      </c>
      <c r="E204" s="16" t="s">
        <v>14</v>
      </c>
      <c r="F204" s="16" t="str">
        <f>VLOOKUP(Table28[[#This Row],[Country]],Table10[[COUNTRY NAME]:[CONTINENT CODE]],3,FALSE)</f>
        <v>AS</v>
      </c>
      <c r="G204" s="16" t="s">
        <v>12065</v>
      </c>
      <c r="H204" s="181">
        <v>8750</v>
      </c>
      <c r="I204" s="180">
        <v>21.25</v>
      </c>
      <c r="K204" s="316">
        <f>IFERROR(Table28[[#This Row],[ROUTE COST]]/Table28[[#This Row],[O - DEMAND]],0)</f>
        <v>0</v>
      </c>
      <c r="M204" s="16">
        <f>Table28[[#This Row],[O - DEMAND]]/950</f>
        <v>0</v>
      </c>
      <c r="N204" s="16">
        <f>IFERROR(VLOOKUP(Table28[[#This Row],[ROUTE]],DEMAND!A:F,5,FALSE),0)</f>
        <v>0</v>
      </c>
      <c r="O204" s="16">
        <f>IFERROR(VLOOKUP(Table28[[#This Row],[ROUTE]],DEMAND!A:F,6,FALSE),0)</f>
        <v>0</v>
      </c>
      <c r="P204" s="16">
        <f>ROUNDDOWN(Table28[[#This Row],[R-DEMAND]]/950,0)</f>
        <v>0</v>
      </c>
      <c r="Q204" s="16">
        <f>Table28[[#This Row],[ADD ACC
(475/950)]]*Table28[[#This Row],[Duration
(A359)]]</f>
        <v>0</v>
      </c>
      <c r="R204" s="16">
        <f>IFERROR(VLOOKUP(Table28[[#This Row],[ROUTE]],PRICING!A:B,2,FALSE),0)</f>
        <v>0</v>
      </c>
      <c r="S204" s="16">
        <f>Table28[[#This Row],[C_DEMAND]]-Table28[[#This Row],[R-DEMAND]]</f>
        <v>0</v>
      </c>
      <c r="T204" s="316">
        <f>Table28[[#This Row],[SEATS SOLD]]*Table28[[#This Row],[ECO SEAT]]</f>
        <v>0</v>
      </c>
      <c r="U204" s="316">
        <f>Table28[[#This Row],[SEATS SOLD]]*(IFERROR(VLOOKUP(Table28[[#This Row],[ROUTE]],PRICING!A:C,3,FALSE),0))</f>
        <v>0</v>
      </c>
      <c r="V204" s="316">
        <f>Table28[[#This Row],[SEAT REV]]-Table28[[#This Row],[SEAT REV
(IF IDEAL $)]]</f>
        <v>0</v>
      </c>
      <c r="AA204" s="26" t="s">
        <v>19013</v>
      </c>
      <c r="AB204" s="26" t="s">
        <v>71</v>
      </c>
      <c r="AC204" s="26" t="s">
        <v>126</v>
      </c>
      <c r="AD204" s="174">
        <v>3279</v>
      </c>
      <c r="AE204" s="26">
        <v>2699</v>
      </c>
      <c r="AF204" s="16">
        <v>2699</v>
      </c>
      <c r="AS204" s="16" t="s">
        <v>14</v>
      </c>
      <c r="AT204" s="16" t="s">
        <v>12057</v>
      </c>
      <c r="AU204" s="16" t="s">
        <v>2496</v>
      </c>
      <c r="AV204" s="16" t="s">
        <v>18884</v>
      </c>
      <c r="AW204" s="16" t="s">
        <v>18890</v>
      </c>
      <c r="AX204" s="16" t="s">
        <v>18940</v>
      </c>
      <c r="AY204" s="385">
        <v>9145</v>
      </c>
    </row>
    <row r="205" spans="1:51" x14ac:dyDescent="0.25">
      <c r="A205" s="16" t="s">
        <v>19390</v>
      </c>
      <c r="B205" s="16" t="s">
        <v>2529</v>
      </c>
      <c r="D205" s="16">
        <v>2</v>
      </c>
      <c r="E205" s="16" t="s">
        <v>2527</v>
      </c>
      <c r="F205" s="16" t="str">
        <f>VLOOKUP(Table28[[#This Row],[Country]],Table10[[COUNTRY NAME]:[CONTINENT CODE]],3,FALSE)</f>
        <v>AF</v>
      </c>
      <c r="G205" s="16" t="s">
        <v>16850</v>
      </c>
      <c r="H205" s="181">
        <v>12384</v>
      </c>
      <c r="I205" s="180">
        <v>29.25</v>
      </c>
      <c r="K205" s="316">
        <f>IFERROR(Table28[[#This Row],[ROUTE COST]]/Table28[[#This Row],[O - DEMAND]],0)</f>
        <v>0</v>
      </c>
      <c r="M205" s="16">
        <f>Table28[[#This Row],[O - DEMAND]]/950</f>
        <v>0</v>
      </c>
      <c r="N205" s="16">
        <f>IFERROR(VLOOKUP(Table28[[#This Row],[ROUTE]],DEMAND!A:F,5,FALSE),0)</f>
        <v>0</v>
      </c>
      <c r="O205" s="16">
        <f>IFERROR(VLOOKUP(Table28[[#This Row],[ROUTE]],DEMAND!A:F,6,FALSE),0)</f>
        <v>0</v>
      </c>
      <c r="P205" s="16">
        <f>ROUNDDOWN(Table28[[#This Row],[R-DEMAND]]/950,0)</f>
        <v>0</v>
      </c>
      <c r="Q205" s="16">
        <f>Table28[[#This Row],[ADD ACC
(475/950)]]*Table28[[#This Row],[Duration
(A359)]]</f>
        <v>0</v>
      </c>
      <c r="R205" s="16">
        <f>IFERROR(VLOOKUP(Table28[[#This Row],[ROUTE]],PRICING!A:B,2,FALSE),0)</f>
        <v>0</v>
      </c>
      <c r="S205" s="16">
        <f>Table28[[#This Row],[C_DEMAND]]-Table28[[#This Row],[R-DEMAND]]</f>
        <v>0</v>
      </c>
      <c r="T205" s="316">
        <f>Table28[[#This Row],[SEATS SOLD]]*Table28[[#This Row],[ECO SEAT]]</f>
        <v>0</v>
      </c>
      <c r="U205" s="316">
        <f>Table28[[#This Row],[SEATS SOLD]]*(IFERROR(VLOOKUP(Table28[[#This Row],[ROUTE]],PRICING!A:C,3,FALSE),0))</f>
        <v>0</v>
      </c>
      <c r="V205" s="316">
        <f>Table28[[#This Row],[SEAT REV]]-Table28[[#This Row],[SEAT REV
(IF IDEAL $)]]</f>
        <v>0</v>
      </c>
      <c r="AA205" s="26" t="s">
        <v>19292</v>
      </c>
      <c r="AB205" s="26" t="s">
        <v>71</v>
      </c>
      <c r="AC205" s="26" t="s">
        <v>4496</v>
      </c>
      <c r="AD205" s="174">
        <v>11220</v>
      </c>
      <c r="AE205" s="26">
        <v>3625</v>
      </c>
      <c r="AF205" s="16">
        <v>3625</v>
      </c>
      <c r="AS205" s="16" t="s">
        <v>530</v>
      </c>
      <c r="AT205" s="16" t="s">
        <v>13177</v>
      </c>
      <c r="AU205" s="16" t="s">
        <v>256</v>
      </c>
      <c r="AV205" s="16" t="s">
        <v>18884</v>
      </c>
      <c r="AW205" s="16" t="s">
        <v>18890</v>
      </c>
      <c r="AX205" s="16" t="s">
        <v>18940</v>
      </c>
      <c r="AY205" s="385">
        <v>9151</v>
      </c>
    </row>
    <row r="206" spans="1:51" x14ac:dyDescent="0.25">
      <c r="A206" s="16" t="s">
        <v>19622</v>
      </c>
      <c r="B206" s="16" t="s">
        <v>4609</v>
      </c>
      <c r="D206" s="16">
        <v>2</v>
      </c>
      <c r="E206" s="16" t="s">
        <v>700</v>
      </c>
      <c r="F206" s="16" t="str">
        <f>VLOOKUP(Table28[[#This Row],[Country]],Table10[[COUNTRY NAME]:[CONTINENT CODE]],3,FALSE)</f>
        <v>AS</v>
      </c>
      <c r="G206" s="16" t="s">
        <v>10085</v>
      </c>
      <c r="H206" s="181">
        <v>13932</v>
      </c>
      <c r="I206" s="180">
        <v>32.75</v>
      </c>
      <c r="K206" s="316">
        <f>IFERROR(Table28[[#This Row],[ROUTE COST]]/Table28[[#This Row],[O - DEMAND]],0)</f>
        <v>0</v>
      </c>
      <c r="M206" s="16">
        <f>Table28[[#This Row],[O - DEMAND]]/950</f>
        <v>0</v>
      </c>
      <c r="N206" s="16">
        <f>IFERROR(VLOOKUP(Table28[[#This Row],[ROUTE]],DEMAND!A:F,5,FALSE),0)</f>
        <v>0</v>
      </c>
      <c r="O206" s="16">
        <f>IFERROR(VLOOKUP(Table28[[#This Row],[ROUTE]],DEMAND!A:F,6,FALSE),0)</f>
        <v>0</v>
      </c>
      <c r="P206" s="16">
        <f>ROUNDDOWN(Table28[[#This Row],[R-DEMAND]]/950,0)</f>
        <v>0</v>
      </c>
      <c r="Q206" s="16">
        <f>Table28[[#This Row],[ADD ACC
(475/950)]]*Table28[[#This Row],[Duration
(A359)]]</f>
        <v>0</v>
      </c>
      <c r="R206" s="16">
        <f>IFERROR(VLOOKUP(Table28[[#This Row],[ROUTE]],PRICING!A:B,2,FALSE),0)</f>
        <v>0</v>
      </c>
      <c r="S206" s="16">
        <f>Table28[[#This Row],[C_DEMAND]]-Table28[[#This Row],[R-DEMAND]]</f>
        <v>0</v>
      </c>
      <c r="T206" s="316">
        <f>Table28[[#This Row],[SEATS SOLD]]*Table28[[#This Row],[ECO SEAT]]</f>
        <v>0</v>
      </c>
      <c r="U206" s="316">
        <f>Table28[[#This Row],[SEATS SOLD]]*(IFERROR(VLOOKUP(Table28[[#This Row],[ROUTE]],PRICING!A:C,3,FALSE),0))</f>
        <v>0</v>
      </c>
      <c r="V206" s="316">
        <f>Table28[[#This Row],[SEAT REV]]-Table28[[#This Row],[SEAT REV
(IF IDEAL $)]]</f>
        <v>0</v>
      </c>
      <c r="AA206" s="26" t="s">
        <v>19181</v>
      </c>
      <c r="AB206" s="26" t="s">
        <v>71</v>
      </c>
      <c r="AC206" s="26" t="s">
        <v>122</v>
      </c>
      <c r="AD206" s="174">
        <v>8918</v>
      </c>
      <c r="AE206" s="26">
        <v>3476</v>
      </c>
      <c r="AF206" s="16">
        <v>3476</v>
      </c>
      <c r="AS206" s="16" t="s">
        <v>1070</v>
      </c>
      <c r="AT206" s="16" t="s">
        <v>12062</v>
      </c>
      <c r="AU206" s="16" t="s">
        <v>304</v>
      </c>
      <c r="AV206" s="16" t="s">
        <v>18881</v>
      </c>
      <c r="AW206" s="16" t="s">
        <v>18885</v>
      </c>
      <c r="AX206" s="16" t="s">
        <v>18940</v>
      </c>
      <c r="AY206" s="385">
        <v>9170</v>
      </c>
    </row>
    <row r="207" spans="1:51" x14ac:dyDescent="0.25">
      <c r="A207" s="16" t="s">
        <v>19741</v>
      </c>
      <c r="B207" s="16" t="s">
        <v>4324</v>
      </c>
      <c r="C207" s="16" t="s">
        <v>467</v>
      </c>
      <c r="D207" s="16">
        <v>2</v>
      </c>
      <c r="E207" s="16" t="s">
        <v>11782</v>
      </c>
      <c r="F207" s="16" t="str">
        <f>VLOOKUP(Table28[[#This Row],[Country]],Table10[[COUNTRY NAME]:[CONTINENT CODE]],3,FALSE)</f>
        <v>AF</v>
      </c>
      <c r="G207" s="16" t="s">
        <v>11783</v>
      </c>
      <c r="H207" s="181">
        <v>14830</v>
      </c>
      <c r="I207" s="180">
        <v>34.75</v>
      </c>
      <c r="K207" s="316">
        <f>IFERROR(Table28[[#This Row],[ROUTE COST]]/Table28[[#This Row],[O - DEMAND]],0)</f>
        <v>0</v>
      </c>
      <c r="M207" s="16">
        <f>Table28[[#This Row],[O - DEMAND]]/950</f>
        <v>0</v>
      </c>
      <c r="N207" s="16">
        <f>IFERROR(VLOOKUP(Table28[[#This Row],[ROUTE]],DEMAND!A:F,5,FALSE),0)</f>
        <v>2857</v>
      </c>
      <c r="O207" s="16">
        <f>IFERROR(VLOOKUP(Table28[[#This Row],[ROUTE]],DEMAND!A:F,6,FALSE),0)</f>
        <v>7</v>
      </c>
      <c r="P207" s="16">
        <f>ROUNDDOWN(Table28[[#This Row],[R-DEMAND]]/950,0)</f>
        <v>0</v>
      </c>
      <c r="Q207" s="16">
        <f>Table28[[#This Row],[ADD ACC
(475/950)]]*Table28[[#This Row],[Duration
(A359)]]</f>
        <v>0</v>
      </c>
      <c r="R207" s="16">
        <f>IFERROR(VLOOKUP(Table28[[#This Row],[ROUTE]],PRICING!A:B,2,FALSE),0)</f>
        <v>0</v>
      </c>
      <c r="S207" s="16">
        <f>Table28[[#This Row],[C_DEMAND]]-Table28[[#This Row],[R-DEMAND]]</f>
        <v>2850</v>
      </c>
      <c r="T207" s="316">
        <f>Table28[[#This Row],[SEATS SOLD]]*Table28[[#This Row],[ECO SEAT]]</f>
        <v>0</v>
      </c>
      <c r="U207" s="316">
        <f>Table28[[#This Row],[SEATS SOLD]]*(IFERROR(VLOOKUP(Table28[[#This Row],[ROUTE]],PRICING!A:C,3,FALSE),0))</f>
        <v>0</v>
      </c>
      <c r="V207" s="316">
        <f>Table28[[#This Row],[SEAT REV]]-Table28[[#This Row],[SEAT REV
(IF IDEAL $)]]</f>
        <v>0</v>
      </c>
      <c r="AA207" s="26" t="s">
        <v>19065</v>
      </c>
      <c r="AB207" s="26" t="s">
        <v>71</v>
      </c>
      <c r="AC207" s="26" t="s">
        <v>117</v>
      </c>
      <c r="AD207" s="174">
        <v>7039</v>
      </c>
      <c r="AE207" s="26">
        <v>3370</v>
      </c>
      <c r="AF207" s="16">
        <v>3370</v>
      </c>
      <c r="AS207" s="16" t="s">
        <v>14</v>
      </c>
      <c r="AT207" s="16" t="s">
        <v>11995</v>
      </c>
      <c r="AU207" s="16" t="s">
        <v>268</v>
      </c>
      <c r="AV207" s="16" t="s">
        <v>18881</v>
      </c>
      <c r="AW207" s="16" t="s">
        <v>18899</v>
      </c>
      <c r="AX207" s="16" t="s">
        <v>18940</v>
      </c>
      <c r="AY207" s="385">
        <v>9198</v>
      </c>
    </row>
    <row r="208" spans="1:51" x14ac:dyDescent="0.25">
      <c r="A208" s="16" t="s">
        <v>19163</v>
      </c>
      <c r="B208" s="16" t="s">
        <v>337</v>
      </c>
      <c r="C208" s="16" t="s">
        <v>467</v>
      </c>
      <c r="D208" s="16">
        <v>4</v>
      </c>
      <c r="E208" s="16" t="s">
        <v>14</v>
      </c>
      <c r="F208" s="16" t="str">
        <f>VLOOKUP(Table28[[#This Row],[Country]],Table10[[COUNTRY NAME]:[CONTINENT CODE]],3,FALSE)</f>
        <v>AS</v>
      </c>
      <c r="G208" s="16" t="s">
        <v>336</v>
      </c>
      <c r="H208" s="181">
        <v>8665</v>
      </c>
      <c r="I208" s="180">
        <v>21.25</v>
      </c>
      <c r="K208" s="316">
        <f>IFERROR(Table28[[#This Row],[ROUTE COST]]/Table28[[#This Row],[O - DEMAND]],0)</f>
        <v>0</v>
      </c>
      <c r="M208" s="16">
        <f>Table28[[#This Row],[O - DEMAND]]/950</f>
        <v>0</v>
      </c>
      <c r="N208" s="16">
        <f>IFERROR(VLOOKUP(Table28[[#This Row],[ROUTE]],DEMAND!A:F,5,FALSE),0)</f>
        <v>3050</v>
      </c>
      <c r="O208" s="16">
        <f>IFERROR(VLOOKUP(Table28[[#This Row],[ROUTE]],DEMAND!A:F,6,FALSE),0)</f>
        <v>200</v>
      </c>
      <c r="P208" s="16">
        <f>ROUNDDOWN(Table28[[#This Row],[R-DEMAND]]/950,0)</f>
        <v>0</v>
      </c>
      <c r="Q208" s="16">
        <f>Table28[[#This Row],[ADD ACC
(475/950)]]*Table28[[#This Row],[Duration
(A359)]]</f>
        <v>0</v>
      </c>
      <c r="R208" s="16">
        <f>IFERROR(VLOOKUP(Table28[[#This Row],[ROUTE]],PRICING!A:B,2,FALSE),0)</f>
        <v>0</v>
      </c>
      <c r="S208" s="16">
        <f>Table28[[#This Row],[C_DEMAND]]-Table28[[#This Row],[R-DEMAND]]</f>
        <v>2850</v>
      </c>
      <c r="T208" s="316">
        <f>Table28[[#This Row],[SEATS SOLD]]*Table28[[#This Row],[ECO SEAT]]</f>
        <v>0</v>
      </c>
      <c r="U208" s="316">
        <f>Table28[[#This Row],[SEATS SOLD]]*(IFERROR(VLOOKUP(Table28[[#This Row],[ROUTE]],PRICING!A:C,3,FALSE),0))</f>
        <v>0</v>
      </c>
      <c r="V208" s="316">
        <f>Table28[[#This Row],[SEAT REV]]-Table28[[#This Row],[SEAT REV
(IF IDEAL $)]]</f>
        <v>0</v>
      </c>
      <c r="AA208" s="26" t="s">
        <v>19234</v>
      </c>
      <c r="AB208" s="26" t="s">
        <v>71</v>
      </c>
      <c r="AC208" s="26" t="s">
        <v>5137</v>
      </c>
      <c r="AD208" s="174">
        <v>10039</v>
      </c>
      <c r="AE208" s="26">
        <v>3454</v>
      </c>
      <c r="AF208" s="16">
        <v>3454</v>
      </c>
      <c r="AS208" s="16" t="s">
        <v>1070</v>
      </c>
      <c r="AT208" s="16" t="s">
        <v>6654</v>
      </c>
      <c r="AU208" s="16" t="s">
        <v>24</v>
      </c>
      <c r="AV208" s="16" t="s">
        <v>18881</v>
      </c>
      <c r="AW208" s="16" t="s">
        <v>18879</v>
      </c>
      <c r="AX208" s="16" t="s">
        <v>18940</v>
      </c>
      <c r="AY208" s="385">
        <v>9201</v>
      </c>
    </row>
    <row r="209" spans="1:51" x14ac:dyDescent="0.25">
      <c r="A209" s="16" t="s">
        <v>19713</v>
      </c>
      <c r="B209" s="16" t="s">
        <v>3545</v>
      </c>
      <c r="D209" s="16">
        <v>2</v>
      </c>
      <c r="E209" s="16" t="s">
        <v>11732</v>
      </c>
      <c r="F209" s="16" t="str">
        <f>VLOOKUP(Table28[[#This Row],[Country]],Table10[[COUNTRY NAME]:[CONTINENT CODE]],3,FALSE)</f>
        <v>NA - US</v>
      </c>
      <c r="G209" s="16" t="s">
        <v>13293</v>
      </c>
      <c r="H209" s="181">
        <v>14618</v>
      </c>
      <c r="I209" s="180">
        <v>34.25</v>
      </c>
      <c r="K209" s="316">
        <f>IFERROR(Table28[[#This Row],[ROUTE COST]]/Table28[[#This Row],[O - DEMAND]],0)</f>
        <v>0</v>
      </c>
      <c r="M209" s="180">
        <f>Table28[[#This Row],[O - DEMAND]]/950</f>
        <v>0</v>
      </c>
      <c r="N209" s="16">
        <f>IFERROR(VLOOKUP(Table28[[#This Row],[ROUTE]],DEMAND!A:F,5,FALSE),0)</f>
        <v>0</v>
      </c>
      <c r="O209" s="16">
        <f>IFERROR(VLOOKUP(Table28[[#This Row],[ROUTE]],DEMAND!A:F,6,FALSE),0)</f>
        <v>0</v>
      </c>
      <c r="P209" s="16">
        <f>ROUNDDOWN(Table28[[#This Row],[R-DEMAND]]/950,0)</f>
        <v>0</v>
      </c>
      <c r="Q209" s="16">
        <f>Table28[[#This Row],[ADD ACC
(475/950)]]*Table28[[#This Row],[Duration
(A359)]]</f>
        <v>0</v>
      </c>
      <c r="R209" s="16">
        <f>IFERROR(VLOOKUP(Table28[[#This Row],[ROUTE]],PRICING!A:B,2,FALSE),0)</f>
        <v>0</v>
      </c>
      <c r="S209" s="16">
        <f>Table28[[#This Row],[C_DEMAND]]-Table28[[#This Row],[R-DEMAND]]</f>
        <v>0</v>
      </c>
      <c r="T209" s="316">
        <f>Table28[[#This Row],[SEATS SOLD]]*Table28[[#This Row],[ECO SEAT]]</f>
        <v>0</v>
      </c>
      <c r="U209" s="316">
        <f>Table28[[#This Row],[SEATS SOLD]]*(IFERROR(VLOOKUP(Table28[[#This Row],[ROUTE]],PRICING!A:C,3,FALSE),0))</f>
        <v>0</v>
      </c>
      <c r="V209" s="316">
        <f>Table28[[#This Row],[SEAT REV]]-Table28[[#This Row],[SEAT REV
(IF IDEAL $)]]</f>
        <v>0</v>
      </c>
      <c r="AA209" s="26" t="s">
        <v>19009</v>
      </c>
      <c r="AB209" s="26" t="s">
        <v>71</v>
      </c>
      <c r="AC209" s="26" t="s">
        <v>4818</v>
      </c>
      <c r="AD209" s="174">
        <v>2755</v>
      </c>
      <c r="AE209" s="26">
        <v>3898</v>
      </c>
      <c r="AF209" s="16">
        <v>3898</v>
      </c>
      <c r="AS209" s="16" t="s">
        <v>2860</v>
      </c>
      <c r="AT209" s="16" t="s">
        <v>12005</v>
      </c>
      <c r="AU209" s="16" t="s">
        <v>4979</v>
      </c>
      <c r="AV209" s="16" t="s">
        <v>18881</v>
      </c>
      <c r="AW209" s="16" t="s">
        <v>18885</v>
      </c>
      <c r="AX209" s="16" t="s">
        <v>18945</v>
      </c>
      <c r="AY209" s="385">
        <v>9226</v>
      </c>
    </row>
    <row r="210" spans="1:51" x14ac:dyDescent="0.25">
      <c r="A210" s="16" t="s">
        <v>19743</v>
      </c>
      <c r="B210" s="16" t="s">
        <v>5221</v>
      </c>
      <c r="C210" s="16" t="s">
        <v>467</v>
      </c>
      <c r="D210" s="16">
        <v>3</v>
      </c>
      <c r="E210" s="16" t="s">
        <v>700</v>
      </c>
      <c r="F210" s="16" t="str">
        <f>VLOOKUP(Table28[[#This Row],[Country]],Table10[[COUNTRY NAME]:[CONTINENT CODE]],3,FALSE)</f>
        <v>AS</v>
      </c>
      <c r="G210" s="16" t="s">
        <v>10068</v>
      </c>
      <c r="H210" s="181">
        <v>14863</v>
      </c>
      <c r="I210" s="180">
        <v>34.75</v>
      </c>
      <c r="K210" s="316">
        <f>IFERROR(Table28[[#This Row],[ROUTE COST]]/Table28[[#This Row],[O - DEMAND]],0)</f>
        <v>0</v>
      </c>
      <c r="M210" s="16">
        <f>Table28[[#This Row],[O - DEMAND]]/950</f>
        <v>0</v>
      </c>
      <c r="N210" s="16">
        <f>IFERROR(VLOOKUP(Table28[[#This Row],[ROUTE]],DEMAND!A:F,5,FALSE),0)</f>
        <v>2410</v>
      </c>
      <c r="O210" s="16">
        <f>IFERROR(VLOOKUP(Table28[[#This Row],[ROUTE]],DEMAND!A:F,6,FALSE),0)</f>
        <v>510</v>
      </c>
      <c r="P210" s="16">
        <f>ROUNDDOWN(Table28[[#This Row],[R-DEMAND]]/950,0)</f>
        <v>0</v>
      </c>
      <c r="Q210" s="16">
        <f>Table28[[#This Row],[ADD ACC
(475/950)]]*Table28[[#This Row],[Duration
(A359)]]</f>
        <v>0</v>
      </c>
      <c r="R210" s="16">
        <f>IFERROR(VLOOKUP(Table28[[#This Row],[ROUTE]],PRICING!A:B,2,FALSE),0)</f>
        <v>0</v>
      </c>
      <c r="S210" s="16">
        <f>Table28[[#This Row],[C_DEMAND]]-Table28[[#This Row],[R-DEMAND]]</f>
        <v>1900</v>
      </c>
      <c r="T210" s="316">
        <f>Table28[[#This Row],[SEATS SOLD]]*Table28[[#This Row],[ECO SEAT]]</f>
        <v>0</v>
      </c>
      <c r="U210" s="316">
        <f>Table28[[#This Row],[SEATS SOLD]]*(IFERROR(VLOOKUP(Table28[[#This Row],[ROUTE]],PRICING!A:C,3,FALSE),0))</f>
        <v>0</v>
      </c>
      <c r="V210" s="316">
        <f>Table28[[#This Row],[SEAT REV]]-Table28[[#This Row],[SEAT REV
(IF IDEAL $)]]</f>
        <v>0</v>
      </c>
      <c r="AA210" s="26" t="s">
        <v>19043</v>
      </c>
      <c r="AB210" s="26" t="s">
        <v>71</v>
      </c>
      <c r="AC210" s="26" t="s">
        <v>4835</v>
      </c>
      <c r="AD210" s="174">
        <v>6119</v>
      </c>
      <c r="AE210" s="26">
        <v>2206</v>
      </c>
      <c r="AF210" s="16">
        <v>2206</v>
      </c>
      <c r="AS210" s="16" t="s">
        <v>14</v>
      </c>
      <c r="AT210" s="16" t="s">
        <v>12058</v>
      </c>
      <c r="AU210" s="16" t="s">
        <v>2884</v>
      </c>
      <c r="AV210" s="16" t="s">
        <v>18892</v>
      </c>
      <c r="AW210" s="16" t="s">
        <v>18879</v>
      </c>
      <c r="AX210" s="16" t="s">
        <v>18945</v>
      </c>
      <c r="AY210" s="385">
        <v>9228</v>
      </c>
    </row>
    <row r="211" spans="1:51" x14ac:dyDescent="0.25">
      <c r="A211" s="16" t="s">
        <v>19692</v>
      </c>
      <c r="B211" s="16" t="s">
        <v>335</v>
      </c>
      <c r="D211" s="16">
        <v>5</v>
      </c>
      <c r="E211" s="16" t="s">
        <v>78</v>
      </c>
      <c r="F211" s="16" t="str">
        <f>VLOOKUP(Table28[[#This Row],[Country]],Table10[[COUNTRY NAME]:[CONTINENT CODE]],3,FALSE)</f>
        <v>EU</v>
      </c>
      <c r="G211" s="16" t="s">
        <v>11091</v>
      </c>
      <c r="H211" s="181">
        <v>14484</v>
      </c>
      <c r="I211" s="180">
        <v>34</v>
      </c>
      <c r="K211" s="316">
        <f>IFERROR(Table28[[#This Row],[ROUTE COST]]/Table28[[#This Row],[O - DEMAND]],0)</f>
        <v>0</v>
      </c>
      <c r="M211" s="16">
        <f>Table28[[#This Row],[O - DEMAND]]/950</f>
        <v>0</v>
      </c>
      <c r="N211" s="16">
        <f>IFERROR(VLOOKUP(Table28[[#This Row],[ROUTE]],DEMAND!A:F,5,FALSE),0)</f>
        <v>0</v>
      </c>
      <c r="O211" s="16">
        <f>IFERROR(VLOOKUP(Table28[[#This Row],[ROUTE]],DEMAND!A:F,6,FALSE),0)</f>
        <v>0</v>
      </c>
      <c r="P211" s="16">
        <f>ROUNDDOWN(Table28[[#This Row],[R-DEMAND]]/950,0)</f>
        <v>0</v>
      </c>
      <c r="Q211" s="16">
        <f>Table28[[#This Row],[ADD ACC
(475/950)]]*Table28[[#This Row],[Duration
(A359)]]</f>
        <v>0</v>
      </c>
      <c r="R211" s="16">
        <f>IFERROR(VLOOKUP(Table28[[#This Row],[ROUTE]],PRICING!A:B,2,FALSE),0)</f>
        <v>0</v>
      </c>
      <c r="S211" s="16">
        <f>Table28[[#This Row],[C_DEMAND]]-Table28[[#This Row],[R-DEMAND]]</f>
        <v>0</v>
      </c>
      <c r="T211" s="316">
        <f>Table28[[#This Row],[SEATS SOLD]]*Table28[[#This Row],[ECO SEAT]]</f>
        <v>0</v>
      </c>
      <c r="U211" s="316">
        <f>Table28[[#This Row],[SEATS SOLD]]*(IFERROR(VLOOKUP(Table28[[#This Row],[ROUTE]],PRICING!A:C,3,FALSE),0))</f>
        <v>0</v>
      </c>
      <c r="V211" s="316">
        <f>Table28[[#This Row],[SEAT REV]]-Table28[[#This Row],[SEAT REV
(IF IDEAL $)]]</f>
        <v>0</v>
      </c>
      <c r="AA211" s="26" t="s">
        <v>19218</v>
      </c>
      <c r="AB211" s="26" t="s">
        <v>71</v>
      </c>
      <c r="AC211" s="26" t="s">
        <v>3761</v>
      </c>
      <c r="AD211" s="174">
        <v>9530</v>
      </c>
      <c r="AE211" s="26">
        <v>2125</v>
      </c>
      <c r="AF211" s="16">
        <v>2125</v>
      </c>
      <c r="AS211" s="16" t="s">
        <v>14</v>
      </c>
      <c r="AT211" s="16" t="s">
        <v>12019</v>
      </c>
      <c r="AU211" s="16" t="s">
        <v>5149</v>
      </c>
      <c r="AV211" s="16" t="s">
        <v>18884</v>
      </c>
      <c r="AW211" s="16" t="s">
        <v>18885</v>
      </c>
      <c r="AX211" s="16" t="s">
        <v>18945</v>
      </c>
      <c r="AY211" s="385">
        <v>9244</v>
      </c>
    </row>
    <row r="212" spans="1:51" x14ac:dyDescent="0.25">
      <c r="A212" s="16" t="s">
        <v>19089</v>
      </c>
      <c r="B212" s="16" t="s">
        <v>333</v>
      </c>
      <c r="C212" s="16" t="s">
        <v>467</v>
      </c>
      <c r="D212" s="16">
        <v>5</v>
      </c>
      <c r="E212" s="16" t="s">
        <v>332</v>
      </c>
      <c r="F212" s="16" t="str">
        <f>VLOOKUP(Table28[[#This Row],[Country]],Table10[[COUNTRY NAME]:[CONTINENT CODE]],3,FALSE)</f>
        <v>AS</v>
      </c>
      <c r="G212" s="16" t="s">
        <v>12098</v>
      </c>
      <c r="H212" s="181">
        <v>7545</v>
      </c>
      <c r="I212" s="180">
        <v>18.75</v>
      </c>
      <c r="K212" s="316">
        <f>IFERROR(Table28[[#This Row],[ROUTE COST]]/Table28[[#This Row],[O - DEMAND]],0)</f>
        <v>0</v>
      </c>
      <c r="M212" s="16">
        <f>Table28[[#This Row],[O - DEMAND]]/950</f>
        <v>0</v>
      </c>
      <c r="N212" s="16">
        <f>IFERROR(VLOOKUP(Table28[[#This Row],[ROUTE]],DEMAND!A:F,5,FALSE),0)</f>
        <v>3638</v>
      </c>
      <c r="O212" s="16">
        <f>IFERROR(VLOOKUP(Table28[[#This Row],[ROUTE]],DEMAND!A:F,6,FALSE),0)</f>
        <v>788</v>
      </c>
      <c r="P212" s="16">
        <f>ROUNDDOWN(Table28[[#This Row],[R-DEMAND]]/950,0)</f>
        <v>0</v>
      </c>
      <c r="Q212" s="16">
        <f>Table28[[#This Row],[ADD ACC
(475/950)]]*Table28[[#This Row],[Duration
(A359)]]</f>
        <v>0</v>
      </c>
      <c r="R212" s="16">
        <f>IFERROR(VLOOKUP(Table28[[#This Row],[ROUTE]],PRICING!A:B,2,FALSE),0)</f>
        <v>0</v>
      </c>
      <c r="S212" s="16">
        <f>Table28[[#This Row],[C_DEMAND]]-Table28[[#This Row],[R-DEMAND]]</f>
        <v>2850</v>
      </c>
      <c r="T212" s="316">
        <f>Table28[[#This Row],[SEATS SOLD]]*Table28[[#This Row],[ECO SEAT]]</f>
        <v>0</v>
      </c>
      <c r="U212" s="316">
        <f>Table28[[#This Row],[SEATS SOLD]]*(IFERROR(VLOOKUP(Table28[[#This Row],[ROUTE]],PRICING!A:C,3,FALSE),0))</f>
        <v>0</v>
      </c>
      <c r="V212" s="316">
        <f>Table28[[#This Row],[SEAT REV]]-Table28[[#This Row],[SEAT REV
(IF IDEAL $)]]</f>
        <v>0</v>
      </c>
      <c r="AA212" s="26" t="s">
        <v>19107</v>
      </c>
      <c r="AB212" s="26" t="s">
        <v>71</v>
      </c>
      <c r="AC212" s="26" t="s">
        <v>114</v>
      </c>
      <c r="AD212" s="174">
        <v>7867</v>
      </c>
      <c r="AE212" s="26">
        <v>3380</v>
      </c>
      <c r="AF212" s="16">
        <v>3380</v>
      </c>
      <c r="AS212" s="16" t="s">
        <v>14</v>
      </c>
      <c r="AT212" s="16" t="s">
        <v>12037</v>
      </c>
      <c r="AU212" s="16" t="s">
        <v>5141</v>
      </c>
      <c r="AV212" s="16" t="s">
        <v>18884</v>
      </c>
      <c r="AW212" s="16" t="s">
        <v>18885</v>
      </c>
      <c r="AX212" s="16" t="s">
        <v>18945</v>
      </c>
      <c r="AY212" s="385">
        <v>9258</v>
      </c>
    </row>
    <row r="213" spans="1:51" x14ac:dyDescent="0.25">
      <c r="A213" s="16" t="s">
        <v>19422</v>
      </c>
      <c r="B213" s="16" t="s">
        <v>5260</v>
      </c>
      <c r="C213" s="16" t="s">
        <v>467</v>
      </c>
      <c r="D213" s="16">
        <v>3</v>
      </c>
      <c r="E213" s="16" t="s">
        <v>172</v>
      </c>
      <c r="F213" s="16" t="str">
        <f>VLOOKUP(Table28[[#This Row],[Country]],Table10[[COUNTRY NAME]:[CONTINENT CODE]],3,FALSE)</f>
        <v>AS</v>
      </c>
      <c r="G213" s="16" t="s">
        <v>11951</v>
      </c>
      <c r="H213" s="181">
        <v>12601</v>
      </c>
      <c r="I213" s="180">
        <v>29.75</v>
      </c>
      <c r="K213" s="316">
        <f>IFERROR(Table28[[#This Row],[ROUTE COST]]/Table28[[#This Row],[O - DEMAND]],0)</f>
        <v>0</v>
      </c>
      <c r="M213" s="16">
        <f>Table28[[#This Row],[O - DEMAND]]/950</f>
        <v>0</v>
      </c>
      <c r="N213" s="16">
        <f>IFERROR(VLOOKUP(Table28[[#This Row],[ROUTE]],DEMAND!A:F,5,FALSE),0)</f>
        <v>2957</v>
      </c>
      <c r="O213" s="16">
        <f>IFERROR(VLOOKUP(Table28[[#This Row],[ROUTE]],DEMAND!A:F,6,FALSE),0)</f>
        <v>107</v>
      </c>
      <c r="P213" s="16">
        <f>ROUNDDOWN(Table28[[#This Row],[R-DEMAND]]/950,0)</f>
        <v>0</v>
      </c>
      <c r="Q213" s="16">
        <f>Table28[[#This Row],[ADD ACC
(475/950)]]*Table28[[#This Row],[Duration
(A359)]]</f>
        <v>0</v>
      </c>
      <c r="R213" s="16">
        <f>IFERROR(VLOOKUP(Table28[[#This Row],[ROUTE]],PRICING!A:B,2,FALSE),0)</f>
        <v>0</v>
      </c>
      <c r="S213" s="16">
        <f>Table28[[#This Row],[C_DEMAND]]-Table28[[#This Row],[R-DEMAND]]</f>
        <v>2850</v>
      </c>
      <c r="T213" s="316">
        <f>Table28[[#This Row],[SEATS SOLD]]*Table28[[#This Row],[ECO SEAT]]</f>
        <v>0</v>
      </c>
      <c r="U213" s="316">
        <f>Table28[[#This Row],[SEATS SOLD]]*(IFERROR(VLOOKUP(Table28[[#This Row],[ROUTE]],PRICING!A:C,3,FALSE),0))</f>
        <v>0</v>
      </c>
      <c r="V213" s="316">
        <f>Table28[[#This Row],[SEAT REV]]-Table28[[#This Row],[SEAT REV
(IF IDEAL $)]]</f>
        <v>0</v>
      </c>
      <c r="AA213" s="26" t="s">
        <v>19073</v>
      </c>
      <c r="AB213" s="26" t="s">
        <v>71</v>
      </c>
      <c r="AC213" s="26" t="s">
        <v>4906</v>
      </c>
      <c r="AD213" s="174">
        <v>7268</v>
      </c>
      <c r="AE213" s="26">
        <v>3381</v>
      </c>
      <c r="AF213" s="16">
        <v>3381</v>
      </c>
      <c r="AS213" s="16" t="s">
        <v>1070</v>
      </c>
      <c r="AT213" s="16" t="s">
        <v>12069</v>
      </c>
      <c r="AU213" s="16" t="s">
        <v>355</v>
      </c>
      <c r="AV213" s="16" t="s">
        <v>18884</v>
      </c>
      <c r="AW213" s="16" t="s">
        <v>18885</v>
      </c>
      <c r="AX213" s="16" t="s">
        <v>18945</v>
      </c>
      <c r="AY213" s="385">
        <v>9269</v>
      </c>
    </row>
    <row r="214" spans="1:51" x14ac:dyDescent="0.25">
      <c r="A214" s="16" t="s">
        <v>19236</v>
      </c>
      <c r="B214" s="16" t="s">
        <v>3070</v>
      </c>
      <c r="D214" s="16">
        <v>2</v>
      </c>
      <c r="E214" s="16" t="s">
        <v>14</v>
      </c>
      <c r="F214" s="16" t="str">
        <f>VLOOKUP(Table28[[#This Row],[Country]],Table10[[COUNTRY NAME]:[CONTINENT CODE]],3,FALSE)</f>
        <v>AS</v>
      </c>
      <c r="G214" s="16" t="s">
        <v>10058</v>
      </c>
      <c r="H214" s="181">
        <v>10067</v>
      </c>
      <c r="I214" s="180">
        <v>24.25</v>
      </c>
      <c r="K214" s="316">
        <f>IFERROR(Table28[[#This Row],[ROUTE COST]]/Table28[[#This Row],[O - DEMAND]],0)</f>
        <v>0</v>
      </c>
      <c r="M214" s="16">
        <f>Table28[[#This Row],[O - DEMAND]]/950</f>
        <v>0</v>
      </c>
      <c r="N214" s="16">
        <f>IFERROR(VLOOKUP(Table28[[#This Row],[ROUTE]],DEMAND!A:F,5,FALSE),0)</f>
        <v>0</v>
      </c>
      <c r="O214" s="16">
        <f>IFERROR(VLOOKUP(Table28[[#This Row],[ROUTE]],DEMAND!A:F,6,FALSE),0)</f>
        <v>0</v>
      </c>
      <c r="P214" s="16">
        <f>ROUNDDOWN(Table28[[#This Row],[R-DEMAND]]/950,0)</f>
        <v>0</v>
      </c>
      <c r="Q214" s="16">
        <f>Table28[[#This Row],[ADD ACC
(475/950)]]*Table28[[#This Row],[Duration
(A359)]]</f>
        <v>0</v>
      </c>
      <c r="R214" s="16">
        <f>IFERROR(VLOOKUP(Table28[[#This Row],[ROUTE]],PRICING!A:B,2,FALSE),0)</f>
        <v>0</v>
      </c>
      <c r="S214" s="16">
        <f>Table28[[#This Row],[C_DEMAND]]-Table28[[#This Row],[R-DEMAND]]</f>
        <v>0</v>
      </c>
      <c r="T214" s="316">
        <f>Table28[[#This Row],[SEATS SOLD]]*Table28[[#This Row],[ECO SEAT]]</f>
        <v>0</v>
      </c>
      <c r="U214" s="316">
        <f>Table28[[#This Row],[SEATS SOLD]]*(IFERROR(VLOOKUP(Table28[[#This Row],[ROUTE]],PRICING!A:C,3,FALSE),0))</f>
        <v>0</v>
      </c>
      <c r="V214" s="316">
        <f>Table28[[#This Row],[SEAT REV]]-Table28[[#This Row],[SEAT REV
(IF IDEAL $)]]</f>
        <v>0</v>
      </c>
      <c r="AA214" s="26" t="s">
        <v>19128</v>
      </c>
      <c r="AB214" s="26" t="s">
        <v>71</v>
      </c>
      <c r="AC214" s="26" t="s">
        <v>113</v>
      </c>
      <c r="AD214" s="174">
        <v>8119</v>
      </c>
      <c r="AE214" s="26">
        <v>4076</v>
      </c>
      <c r="AF214" s="16">
        <v>4076</v>
      </c>
      <c r="AS214" s="16" t="s">
        <v>14</v>
      </c>
      <c r="AT214" s="16" t="s">
        <v>12034</v>
      </c>
      <c r="AU214" s="16" t="s">
        <v>1963</v>
      </c>
      <c r="AV214" s="16" t="s">
        <v>18892</v>
      </c>
      <c r="AW214" s="16" t="s">
        <v>18890</v>
      </c>
      <c r="AX214" s="16" t="s">
        <v>18945</v>
      </c>
      <c r="AY214" s="385">
        <v>9269</v>
      </c>
    </row>
    <row r="215" spans="1:51" x14ac:dyDescent="0.25">
      <c r="A215" s="16" t="s">
        <v>19711</v>
      </c>
      <c r="B215" s="16" t="s">
        <v>4987</v>
      </c>
      <c r="C215" s="16" t="s">
        <v>467</v>
      </c>
      <c r="D215" s="16">
        <v>3</v>
      </c>
      <c r="E215" s="16" t="s">
        <v>722</v>
      </c>
      <c r="F215" s="16" t="str">
        <f>VLOOKUP(Table28[[#This Row],[Country]],Table10[[COUNTRY NAME]:[CONTINENT CODE]],3,FALSE)</f>
        <v>EU</v>
      </c>
      <c r="G215" s="16" t="s">
        <v>11855</v>
      </c>
      <c r="H215" s="181">
        <v>14600</v>
      </c>
      <c r="I215" s="180">
        <v>34.25</v>
      </c>
      <c r="K215" s="316">
        <f>IFERROR(Table28[[#This Row],[ROUTE COST]]/Table28[[#This Row],[O - DEMAND]],0)</f>
        <v>0</v>
      </c>
      <c r="M215" s="16">
        <f>Table28[[#This Row],[O - DEMAND]]/950</f>
        <v>0</v>
      </c>
      <c r="N215" s="16">
        <f>IFERROR(VLOOKUP(Table28[[#This Row],[ROUTE]],DEMAND!A:F,5,FALSE),0)</f>
        <v>2160</v>
      </c>
      <c r="O215" s="16">
        <f>IFERROR(VLOOKUP(Table28[[#This Row],[ROUTE]],DEMAND!A:F,6,FALSE),0)</f>
        <v>260</v>
      </c>
      <c r="P215" s="16">
        <f>ROUNDDOWN(Table28[[#This Row],[R-DEMAND]]/950,0)</f>
        <v>0</v>
      </c>
      <c r="Q215" s="16">
        <f>Table28[[#This Row],[ADD ACC
(475/950)]]*Table28[[#This Row],[Duration
(A359)]]</f>
        <v>0</v>
      </c>
      <c r="R215" s="16">
        <f>IFERROR(VLOOKUP(Table28[[#This Row],[ROUTE]],PRICING!A:B,2,FALSE),0)</f>
        <v>0</v>
      </c>
      <c r="S215" s="16">
        <f>Table28[[#This Row],[C_DEMAND]]-Table28[[#This Row],[R-DEMAND]]</f>
        <v>1900</v>
      </c>
      <c r="T215" s="316">
        <f>Table28[[#This Row],[SEATS SOLD]]*Table28[[#This Row],[ECO SEAT]]</f>
        <v>0</v>
      </c>
      <c r="U215" s="316">
        <f>Table28[[#This Row],[SEATS SOLD]]*(IFERROR(VLOOKUP(Table28[[#This Row],[ROUTE]],PRICING!A:C,3,FALSE),0))</f>
        <v>0</v>
      </c>
      <c r="V215" s="316">
        <f>Table28[[#This Row],[SEAT REV]]-Table28[[#This Row],[SEAT REV
(IF IDEAL $)]]</f>
        <v>0</v>
      </c>
      <c r="AA215" s="26" t="s">
        <v>19345</v>
      </c>
      <c r="AB215" s="26" t="s">
        <v>71</v>
      </c>
      <c r="AC215" s="26" t="s">
        <v>3078</v>
      </c>
      <c r="AD215" s="174">
        <v>11988</v>
      </c>
      <c r="AE215" s="26">
        <v>3323</v>
      </c>
      <c r="AF215" s="16">
        <v>3323</v>
      </c>
      <c r="AS215" s="16" t="s">
        <v>1070</v>
      </c>
      <c r="AT215" s="16" t="s">
        <v>18119</v>
      </c>
      <c r="AU215" s="16" t="s">
        <v>4714</v>
      </c>
      <c r="AV215" s="16" t="s">
        <v>18878</v>
      </c>
      <c r="AW215" s="16" t="s">
        <v>18885</v>
      </c>
      <c r="AX215" s="16" t="s">
        <v>18945</v>
      </c>
      <c r="AY215" s="385">
        <v>9270</v>
      </c>
    </row>
    <row r="216" spans="1:51" x14ac:dyDescent="0.25">
      <c r="A216" s="16" t="s">
        <v>19739</v>
      </c>
      <c r="B216" s="16" t="s">
        <v>3046</v>
      </c>
      <c r="D216" s="16">
        <v>2</v>
      </c>
      <c r="E216" s="16" t="s">
        <v>700</v>
      </c>
      <c r="F216" s="16" t="str">
        <f>VLOOKUP(Table28[[#This Row],[Country]],Table10[[COUNTRY NAME]:[CONTINENT CODE]],3,FALSE)</f>
        <v>AS</v>
      </c>
      <c r="G216" s="16" t="s">
        <v>11853</v>
      </c>
      <c r="H216" s="181">
        <v>14814</v>
      </c>
      <c r="I216" s="180">
        <v>34.75</v>
      </c>
      <c r="K216" s="316">
        <f>IFERROR(Table28[[#This Row],[ROUTE COST]]/Table28[[#This Row],[O - DEMAND]],0)</f>
        <v>0</v>
      </c>
      <c r="M216" s="16">
        <f>Table28[[#This Row],[O - DEMAND]]/950</f>
        <v>0</v>
      </c>
      <c r="N216" s="16">
        <f>IFERROR(VLOOKUP(Table28[[#This Row],[ROUTE]],DEMAND!A:F,5,FALSE),0)</f>
        <v>0</v>
      </c>
      <c r="O216" s="16">
        <f>IFERROR(VLOOKUP(Table28[[#This Row],[ROUTE]],DEMAND!A:F,6,FALSE),0)</f>
        <v>0</v>
      </c>
      <c r="P216" s="16">
        <f>ROUNDDOWN(Table28[[#This Row],[R-DEMAND]]/950,0)</f>
        <v>0</v>
      </c>
      <c r="Q216" s="16">
        <f>Table28[[#This Row],[ADD ACC
(475/950)]]*Table28[[#This Row],[Duration
(A359)]]</f>
        <v>0</v>
      </c>
      <c r="R216" s="16">
        <f>IFERROR(VLOOKUP(Table28[[#This Row],[ROUTE]],PRICING!A:B,2,FALSE),0)</f>
        <v>0</v>
      </c>
      <c r="S216" s="16">
        <f>Table28[[#This Row],[C_DEMAND]]-Table28[[#This Row],[R-DEMAND]]</f>
        <v>0</v>
      </c>
      <c r="T216" s="316">
        <f>Table28[[#This Row],[SEATS SOLD]]*Table28[[#This Row],[ECO SEAT]]</f>
        <v>0</v>
      </c>
      <c r="U216" s="316">
        <f>Table28[[#This Row],[SEATS SOLD]]*(IFERROR(VLOOKUP(Table28[[#This Row],[ROUTE]],PRICING!A:C,3,FALSE),0))</f>
        <v>0</v>
      </c>
      <c r="V216" s="316">
        <f>Table28[[#This Row],[SEAT REV]]-Table28[[#This Row],[SEAT REV
(IF IDEAL $)]]</f>
        <v>0</v>
      </c>
      <c r="AA216" s="26" t="s">
        <v>19450</v>
      </c>
      <c r="AB216" s="26" t="s">
        <v>71</v>
      </c>
      <c r="AC216" s="26" t="s">
        <v>110</v>
      </c>
      <c r="AD216" s="174">
        <v>12798</v>
      </c>
      <c r="AE216" s="26">
        <v>3429</v>
      </c>
      <c r="AF216" s="16">
        <v>3429</v>
      </c>
      <c r="AS216" s="16" t="s">
        <v>14</v>
      </c>
      <c r="AT216" s="16" t="s">
        <v>12029</v>
      </c>
      <c r="AU216" s="16" t="s">
        <v>5043</v>
      </c>
      <c r="AV216" s="16" t="s">
        <v>18881</v>
      </c>
      <c r="AW216" s="16" t="s">
        <v>18885</v>
      </c>
      <c r="AX216" s="16" t="s">
        <v>18945</v>
      </c>
      <c r="AY216" s="385">
        <v>9271</v>
      </c>
    </row>
    <row r="217" spans="1:51" x14ac:dyDescent="0.25">
      <c r="A217" s="16" t="s">
        <v>19389</v>
      </c>
      <c r="B217" s="16" t="s">
        <v>5636</v>
      </c>
      <c r="D217" s="16">
        <v>4</v>
      </c>
      <c r="E217" s="16" t="s">
        <v>5634</v>
      </c>
      <c r="F217" s="16" t="str">
        <f>VLOOKUP(Table28[[#This Row],[Country]],Table10[[COUNTRY NAME]:[CONTINENT CODE]],3,FALSE)</f>
        <v>AS</v>
      </c>
      <c r="G217" s="16" t="s">
        <v>11090</v>
      </c>
      <c r="H217" s="181">
        <v>12381</v>
      </c>
      <c r="I217" s="180">
        <v>29.25</v>
      </c>
      <c r="K217" s="316">
        <f>IFERROR(Table28[[#This Row],[ROUTE COST]]/Table28[[#This Row],[O - DEMAND]],0)</f>
        <v>0</v>
      </c>
      <c r="M217" s="16">
        <f>Table28[[#This Row],[O - DEMAND]]/950</f>
        <v>0</v>
      </c>
      <c r="N217" s="16">
        <f>IFERROR(VLOOKUP(Table28[[#This Row],[ROUTE]],DEMAND!A:F,5,FALSE),0)</f>
        <v>0</v>
      </c>
      <c r="O217" s="16">
        <f>IFERROR(VLOOKUP(Table28[[#This Row],[ROUTE]],DEMAND!A:F,6,FALSE),0)</f>
        <v>0</v>
      </c>
      <c r="P217" s="16">
        <f>ROUNDDOWN(Table28[[#This Row],[R-DEMAND]]/950,0)</f>
        <v>0</v>
      </c>
      <c r="Q217" s="16">
        <f>Table28[[#This Row],[ADD ACC
(475/950)]]*Table28[[#This Row],[Duration
(A359)]]</f>
        <v>0</v>
      </c>
      <c r="R217" s="16">
        <f>IFERROR(VLOOKUP(Table28[[#This Row],[ROUTE]],PRICING!A:B,2,FALSE),0)</f>
        <v>0</v>
      </c>
      <c r="S217" s="16">
        <f>Table28[[#This Row],[C_DEMAND]]-Table28[[#This Row],[R-DEMAND]]</f>
        <v>0</v>
      </c>
      <c r="T217" s="316">
        <f>Table28[[#This Row],[SEATS SOLD]]*Table28[[#This Row],[ECO SEAT]]</f>
        <v>0</v>
      </c>
      <c r="U217" s="316">
        <f>Table28[[#This Row],[SEATS SOLD]]*(IFERROR(VLOOKUP(Table28[[#This Row],[ROUTE]],PRICING!A:C,3,FALSE),0))</f>
        <v>0</v>
      </c>
      <c r="V217" s="316">
        <f>Table28[[#This Row],[SEAT REV]]-Table28[[#This Row],[SEAT REV
(IF IDEAL $)]]</f>
        <v>0</v>
      </c>
      <c r="AA217" s="26" t="s">
        <v>19408</v>
      </c>
      <c r="AB217" s="26" t="s">
        <v>71</v>
      </c>
      <c r="AC217" s="26" t="s">
        <v>4756</v>
      </c>
      <c r="AD217" s="174">
        <v>12509</v>
      </c>
      <c r="AE217" s="26">
        <v>3773</v>
      </c>
      <c r="AF217" s="16">
        <v>3773</v>
      </c>
      <c r="AS217" s="16" t="s">
        <v>78</v>
      </c>
      <c r="AT217" s="16" t="s">
        <v>11970</v>
      </c>
      <c r="AU217" s="16" t="s">
        <v>221</v>
      </c>
      <c r="AV217" s="16" t="s">
        <v>18884</v>
      </c>
      <c r="AW217" s="16" t="s">
        <v>18879</v>
      </c>
      <c r="AX217" s="16" t="s">
        <v>18945</v>
      </c>
      <c r="AY217" s="385">
        <v>9309</v>
      </c>
    </row>
    <row r="218" spans="1:51" x14ac:dyDescent="0.25">
      <c r="A218" s="16" t="s">
        <v>19020</v>
      </c>
      <c r="B218" s="16" t="s">
        <v>328</v>
      </c>
      <c r="D218" s="16">
        <v>4</v>
      </c>
      <c r="E218" s="16" t="s">
        <v>1261</v>
      </c>
      <c r="F218" s="16" t="str">
        <f>VLOOKUP(Table28[[#This Row],[Country]],Table10[[COUNTRY NAME]:[CONTINENT CODE]],3,FALSE)</f>
        <v>AS</v>
      </c>
      <c r="G218" s="16" t="s">
        <v>11089</v>
      </c>
      <c r="H218" s="181">
        <v>4623</v>
      </c>
      <c r="I218" s="180">
        <v>12.25</v>
      </c>
      <c r="K218" s="316">
        <f>IFERROR(Table28[[#This Row],[ROUTE COST]]/Table28[[#This Row],[O - DEMAND]],0)</f>
        <v>0</v>
      </c>
      <c r="M218" s="16">
        <f>Table28[[#This Row],[O - DEMAND]]/950</f>
        <v>0</v>
      </c>
      <c r="N218" s="16">
        <f>IFERROR(VLOOKUP(Table28[[#This Row],[ROUTE]],DEMAND!A:F,5,FALSE),0)</f>
        <v>0</v>
      </c>
      <c r="O218" s="16">
        <f>IFERROR(VLOOKUP(Table28[[#This Row],[ROUTE]],DEMAND!A:F,6,FALSE),0)</f>
        <v>0</v>
      </c>
      <c r="P218" s="16">
        <f>ROUNDDOWN(Table28[[#This Row],[R-DEMAND]]/950,0)</f>
        <v>0</v>
      </c>
      <c r="Q218" s="16">
        <f>Table28[[#This Row],[ADD ACC
(475/950)]]*Table28[[#This Row],[Duration
(A359)]]</f>
        <v>0</v>
      </c>
      <c r="R218" s="16">
        <f>IFERROR(VLOOKUP(Table28[[#This Row],[ROUTE]],PRICING!A:B,2,FALSE),0)</f>
        <v>0</v>
      </c>
      <c r="S218" s="16">
        <f>Table28[[#This Row],[C_DEMAND]]-Table28[[#This Row],[R-DEMAND]]</f>
        <v>0</v>
      </c>
      <c r="T218" s="316">
        <f>Table28[[#This Row],[SEATS SOLD]]*Table28[[#This Row],[ECO SEAT]]</f>
        <v>0</v>
      </c>
      <c r="U218" s="316">
        <f>Table28[[#This Row],[SEATS SOLD]]*(IFERROR(VLOOKUP(Table28[[#This Row],[ROUTE]],PRICING!A:C,3,FALSE),0))</f>
        <v>0</v>
      </c>
      <c r="V218" s="316">
        <f>Table28[[#This Row],[SEAT REV]]-Table28[[#This Row],[SEAT REV
(IF IDEAL $)]]</f>
        <v>0</v>
      </c>
      <c r="AA218" s="26" t="s">
        <v>19602</v>
      </c>
      <c r="AB218" s="26" t="s">
        <v>71</v>
      </c>
      <c r="AC218" s="26" t="s">
        <v>4335</v>
      </c>
      <c r="AD218" s="174">
        <v>13793</v>
      </c>
      <c r="AE218" s="26">
        <v>2976</v>
      </c>
      <c r="AF218" s="16">
        <v>2976</v>
      </c>
      <c r="AS218" s="16" t="s">
        <v>14</v>
      </c>
      <c r="AT218" s="16" t="s">
        <v>12035</v>
      </c>
      <c r="AU218" s="16" t="s">
        <v>4760</v>
      </c>
      <c r="AV218" s="16" t="s">
        <v>18892</v>
      </c>
      <c r="AW218" s="16" t="s">
        <v>18885</v>
      </c>
      <c r="AX218" s="16" t="s">
        <v>18907</v>
      </c>
      <c r="AY218" s="385">
        <v>9347</v>
      </c>
    </row>
    <row r="219" spans="1:51" x14ac:dyDescent="0.25">
      <c r="A219" s="16" t="s">
        <v>19501</v>
      </c>
      <c r="B219" s="16" t="s">
        <v>3672</v>
      </c>
      <c r="D219" s="16">
        <v>2</v>
      </c>
      <c r="E219" s="16" t="s">
        <v>11732</v>
      </c>
      <c r="F219" s="16" t="str">
        <f>VLOOKUP(Table28[[#This Row],[Country]],Table10[[COUNTRY NAME]:[CONTINENT CODE]],3,FALSE)</f>
        <v>NA - US</v>
      </c>
      <c r="G219" s="16" t="s">
        <v>13287</v>
      </c>
      <c r="H219" s="181">
        <v>13086</v>
      </c>
      <c r="I219" s="180">
        <v>30.75</v>
      </c>
      <c r="K219" s="316">
        <f>IFERROR(Table28[[#This Row],[ROUTE COST]]/Table28[[#This Row],[O - DEMAND]],0)</f>
        <v>0</v>
      </c>
      <c r="M219" s="180">
        <f>Table28[[#This Row],[O - DEMAND]]/950</f>
        <v>0</v>
      </c>
      <c r="N219" s="16">
        <f>IFERROR(VLOOKUP(Table28[[#This Row],[ROUTE]],DEMAND!A:F,5,FALSE),0)</f>
        <v>0</v>
      </c>
      <c r="O219" s="16">
        <f>IFERROR(VLOOKUP(Table28[[#This Row],[ROUTE]],DEMAND!A:F,6,FALSE),0)</f>
        <v>0</v>
      </c>
      <c r="P219" s="16">
        <f>ROUNDDOWN(Table28[[#This Row],[R-DEMAND]]/950,0)</f>
        <v>0</v>
      </c>
      <c r="Q219" s="16">
        <f>Table28[[#This Row],[ADD ACC
(475/950)]]*Table28[[#This Row],[Duration
(A359)]]</f>
        <v>0</v>
      </c>
      <c r="R219" s="16">
        <f>IFERROR(VLOOKUP(Table28[[#This Row],[ROUTE]],PRICING!A:B,2,FALSE),0)</f>
        <v>0</v>
      </c>
      <c r="S219" s="16">
        <f>Table28[[#This Row],[C_DEMAND]]-Table28[[#This Row],[R-DEMAND]]</f>
        <v>0</v>
      </c>
      <c r="T219" s="316">
        <f>Table28[[#This Row],[SEATS SOLD]]*Table28[[#This Row],[ECO SEAT]]</f>
        <v>0</v>
      </c>
      <c r="U219" s="316">
        <f>Table28[[#This Row],[SEATS SOLD]]*(IFERROR(VLOOKUP(Table28[[#This Row],[ROUTE]],PRICING!A:C,3,FALSE),0))</f>
        <v>0</v>
      </c>
      <c r="V219" s="316">
        <f>Table28[[#This Row],[SEAT REV]]-Table28[[#This Row],[SEAT REV
(IF IDEAL $)]]</f>
        <v>0</v>
      </c>
      <c r="AA219" s="26" t="s">
        <v>19757</v>
      </c>
      <c r="AB219" s="26" t="s">
        <v>71</v>
      </c>
      <c r="AC219" s="26" t="s">
        <v>5457</v>
      </c>
      <c r="AD219" s="174">
        <v>14922</v>
      </c>
      <c r="AE219" s="26">
        <v>2587</v>
      </c>
      <c r="AF219" s="16">
        <v>2587</v>
      </c>
      <c r="AS219" s="16" t="s">
        <v>1070</v>
      </c>
      <c r="AT219" s="16" t="s">
        <v>12064</v>
      </c>
      <c r="AU219" s="16" t="s">
        <v>414</v>
      </c>
      <c r="AV219" s="16" t="s">
        <v>18884</v>
      </c>
      <c r="AW219" s="16" t="s">
        <v>18899</v>
      </c>
      <c r="AX219" s="16" t="s">
        <v>18907</v>
      </c>
      <c r="AY219" s="385">
        <v>9357</v>
      </c>
    </row>
    <row r="220" spans="1:51" x14ac:dyDescent="0.25">
      <c r="A220" s="16" t="s">
        <v>19010</v>
      </c>
      <c r="B220" s="16" t="s">
        <v>4884</v>
      </c>
      <c r="C220" s="16" t="s">
        <v>467</v>
      </c>
      <c r="D220" s="16">
        <v>3</v>
      </c>
      <c r="E220" s="16" t="s">
        <v>774</v>
      </c>
      <c r="F220" s="16" t="str">
        <f>VLOOKUP(Table28[[#This Row],[Country]],Table10[[COUNTRY NAME]:[CONTINENT CODE]],3,FALSE)</f>
        <v>OC</v>
      </c>
      <c r="G220" s="16" t="s">
        <v>12090</v>
      </c>
      <c r="H220" s="181">
        <v>3155</v>
      </c>
      <c r="I220" s="180">
        <v>9</v>
      </c>
      <c r="K220" s="316">
        <f>IFERROR(Table28[[#This Row],[ROUTE COST]]/Table28[[#This Row],[O - DEMAND]],0)</f>
        <v>0</v>
      </c>
      <c r="M220" s="16">
        <f>Table28[[#This Row],[O - DEMAND]]/950</f>
        <v>0</v>
      </c>
      <c r="N220" s="16">
        <f>IFERROR(VLOOKUP(Table28[[#This Row],[ROUTE]],DEMAND!A:F,5,FALSE),0)</f>
        <v>2294</v>
      </c>
      <c r="O220" s="16">
        <f>IFERROR(VLOOKUP(Table28[[#This Row],[ROUTE]],DEMAND!A:F,6,FALSE),0)</f>
        <v>394</v>
      </c>
      <c r="P220" s="16">
        <f>ROUNDDOWN(Table28[[#This Row],[R-DEMAND]]/950,0)</f>
        <v>0</v>
      </c>
      <c r="Q220" s="16">
        <f>Table28[[#This Row],[ADD ACC
(475/950)]]*Table28[[#This Row],[Duration
(A359)]]</f>
        <v>0</v>
      </c>
      <c r="R220" s="16">
        <f>IFERROR(VLOOKUP(Table28[[#This Row],[ROUTE]],PRICING!A:B,2,FALSE),0)</f>
        <v>0</v>
      </c>
      <c r="S220" s="16">
        <f>Table28[[#This Row],[C_DEMAND]]-Table28[[#This Row],[R-DEMAND]]</f>
        <v>1900</v>
      </c>
      <c r="T220" s="316">
        <f>Table28[[#This Row],[SEATS SOLD]]*Table28[[#This Row],[ECO SEAT]]</f>
        <v>0</v>
      </c>
      <c r="U220" s="316">
        <f>Table28[[#This Row],[SEATS SOLD]]*(IFERROR(VLOOKUP(Table28[[#This Row],[ROUTE]],PRICING!A:C,3,FALSE),0))</f>
        <v>0</v>
      </c>
      <c r="V220" s="316">
        <f>Table28[[#This Row],[SEAT REV]]-Table28[[#This Row],[SEAT REV
(IF IDEAL $)]]</f>
        <v>0</v>
      </c>
      <c r="AA220" s="26" t="s">
        <v>19816</v>
      </c>
      <c r="AB220" s="26" t="s">
        <v>71</v>
      </c>
      <c r="AC220" s="26" t="s">
        <v>4383</v>
      </c>
      <c r="AD220" s="174">
        <v>11975</v>
      </c>
      <c r="AE220" s="26">
        <v>1905</v>
      </c>
      <c r="AF220" s="16">
        <v>1905</v>
      </c>
      <c r="AS220" s="16" t="s">
        <v>1070</v>
      </c>
      <c r="AT220" s="16" t="s">
        <v>12063</v>
      </c>
      <c r="AU220" s="16" t="s">
        <v>383</v>
      </c>
      <c r="AV220" s="16" t="s">
        <v>18892</v>
      </c>
      <c r="AW220" s="16" t="s">
        <v>18885</v>
      </c>
      <c r="AX220" s="16" t="s">
        <v>18907</v>
      </c>
      <c r="AY220" s="385">
        <v>9373</v>
      </c>
    </row>
    <row r="221" spans="1:51" x14ac:dyDescent="0.25">
      <c r="A221" s="16" t="s">
        <v>19683</v>
      </c>
      <c r="B221" s="16" t="s">
        <v>4893</v>
      </c>
      <c r="E221" s="16" t="s">
        <v>11732</v>
      </c>
      <c r="F221" s="16" t="str">
        <f>VLOOKUP(Table28[[#This Row],[Country]],Table10[[COUNTRY NAME]:[CONTINENT CODE]],3,FALSE)</f>
        <v>NA - US</v>
      </c>
      <c r="G221" s="16" t="s">
        <v>16979</v>
      </c>
      <c r="H221" s="181">
        <v>14388</v>
      </c>
      <c r="I221" s="180">
        <v>33.75</v>
      </c>
      <c r="K221" s="316">
        <f>IFERROR(Table28[[#This Row],[ROUTE COST]]/Table28[[#This Row],[O - DEMAND]],0)</f>
        <v>0</v>
      </c>
      <c r="M221" s="180">
        <f>Table28[[#This Row],[O - DEMAND]]/950</f>
        <v>0</v>
      </c>
      <c r="N221" s="16">
        <f>IFERROR(VLOOKUP(Table28[[#This Row],[ROUTE]],DEMAND!A:F,5,FALSE),0)</f>
        <v>0</v>
      </c>
      <c r="O221" s="16">
        <f>IFERROR(VLOOKUP(Table28[[#This Row],[ROUTE]],DEMAND!A:F,6,FALSE),0)</f>
        <v>0</v>
      </c>
      <c r="P221" s="16">
        <f>ROUNDDOWN(Table28[[#This Row],[R-DEMAND]]/950,0)</f>
        <v>0</v>
      </c>
      <c r="Q221" s="16">
        <f>Table28[[#This Row],[ADD ACC
(475/950)]]*Table28[[#This Row],[Duration
(A359)]]</f>
        <v>0</v>
      </c>
      <c r="R221" s="16">
        <f>IFERROR(VLOOKUP(Table28[[#This Row],[ROUTE]],PRICING!A:B,2,FALSE),0)</f>
        <v>0</v>
      </c>
      <c r="S221" s="16">
        <f>Table28[[#This Row],[C_DEMAND]]-Table28[[#This Row],[R-DEMAND]]</f>
        <v>0</v>
      </c>
      <c r="T221" s="316">
        <f>Table28[[#This Row],[SEATS SOLD]]*Table28[[#This Row],[ECO SEAT]]</f>
        <v>0</v>
      </c>
      <c r="U221" s="316">
        <f>Table28[[#This Row],[SEATS SOLD]]*(IFERROR(VLOOKUP(Table28[[#This Row],[ROUTE]],PRICING!A:C,3,FALSE),0))</f>
        <v>0</v>
      </c>
      <c r="V221" s="316">
        <f>Table28[[#This Row],[SEAT REV]]-Table28[[#This Row],[SEAT REV
(IF IDEAL $)]]</f>
        <v>0</v>
      </c>
      <c r="AA221" s="26" t="s">
        <v>19299</v>
      </c>
      <c r="AB221" s="26" t="s">
        <v>71</v>
      </c>
      <c r="AC221" s="26" t="s">
        <v>103</v>
      </c>
      <c r="AD221" s="174">
        <v>11343</v>
      </c>
      <c r="AE221" s="26">
        <v>3018</v>
      </c>
      <c r="AF221" s="16">
        <v>3018</v>
      </c>
      <c r="AS221" s="16" t="s">
        <v>14</v>
      </c>
      <c r="AT221" s="16" t="s">
        <v>16845</v>
      </c>
      <c r="AU221" s="16" t="s">
        <v>2882</v>
      </c>
      <c r="AV221" s="16" t="s">
        <v>18878</v>
      </c>
      <c r="AX221" s="16" t="s">
        <v>18907</v>
      </c>
      <c r="AY221" s="385">
        <v>9431</v>
      </c>
    </row>
    <row r="222" spans="1:51" x14ac:dyDescent="0.25">
      <c r="A222" s="16" t="s">
        <v>19250</v>
      </c>
      <c r="B222" s="16" t="s">
        <v>326</v>
      </c>
      <c r="D222" s="16">
        <v>3</v>
      </c>
      <c r="E222" s="16" t="s">
        <v>926</v>
      </c>
      <c r="F222" s="16" t="str">
        <f>VLOOKUP(Table28[[#This Row],[Country]],Table10[[COUNTRY NAME]:[CONTINENT CODE]],3,FALSE)</f>
        <v>AF</v>
      </c>
      <c r="G222" s="16" t="s">
        <v>11905</v>
      </c>
      <c r="H222" s="181">
        <v>10554</v>
      </c>
      <c r="I222" s="180">
        <v>25.25</v>
      </c>
      <c r="K222" s="316">
        <f>IFERROR(Table28[[#This Row],[ROUTE COST]]/Table28[[#This Row],[O - DEMAND]],0)</f>
        <v>0</v>
      </c>
      <c r="M222" s="16">
        <f>Table28[[#This Row],[O - DEMAND]]/950</f>
        <v>0</v>
      </c>
      <c r="N222" s="16">
        <f>IFERROR(VLOOKUP(Table28[[#This Row],[ROUTE]],DEMAND!A:F,5,FALSE),0)</f>
        <v>0</v>
      </c>
      <c r="O222" s="16">
        <f>IFERROR(VLOOKUP(Table28[[#This Row],[ROUTE]],DEMAND!A:F,6,FALSE),0)</f>
        <v>0</v>
      </c>
      <c r="P222" s="16">
        <f>ROUNDDOWN(Table28[[#This Row],[R-DEMAND]]/950,0)</f>
        <v>0</v>
      </c>
      <c r="Q222" s="16">
        <f>Table28[[#This Row],[ADD ACC
(475/950)]]*Table28[[#This Row],[Duration
(A359)]]</f>
        <v>0</v>
      </c>
      <c r="R222" s="16">
        <f>IFERROR(VLOOKUP(Table28[[#This Row],[ROUTE]],PRICING!A:B,2,FALSE),0)</f>
        <v>0</v>
      </c>
      <c r="S222" s="16">
        <f>Table28[[#This Row],[C_DEMAND]]-Table28[[#This Row],[R-DEMAND]]</f>
        <v>0</v>
      </c>
      <c r="T222" s="316">
        <f>Table28[[#This Row],[SEATS SOLD]]*Table28[[#This Row],[ECO SEAT]]</f>
        <v>0</v>
      </c>
      <c r="U222" s="316">
        <f>Table28[[#This Row],[SEATS SOLD]]*(IFERROR(VLOOKUP(Table28[[#This Row],[ROUTE]],PRICING!A:C,3,FALSE),0))</f>
        <v>0</v>
      </c>
      <c r="V222" s="316">
        <f>Table28[[#This Row],[SEAT REV]]-Table28[[#This Row],[SEAT REV
(IF IDEAL $)]]</f>
        <v>0</v>
      </c>
      <c r="AA222" s="26" t="s">
        <v>19123</v>
      </c>
      <c r="AB222" s="26" t="s">
        <v>71</v>
      </c>
      <c r="AC222" s="26" t="s">
        <v>5204</v>
      </c>
      <c r="AD222" s="174">
        <v>8087</v>
      </c>
      <c r="AE222" s="26">
        <v>2139</v>
      </c>
      <c r="AF222" s="16">
        <v>2139</v>
      </c>
      <c r="AS222" s="16" t="s">
        <v>1070</v>
      </c>
      <c r="AT222" s="16" t="s">
        <v>16815</v>
      </c>
      <c r="AU222" s="16" t="s">
        <v>3821</v>
      </c>
      <c r="AV222" s="16" t="s">
        <v>18878</v>
      </c>
      <c r="AW222" s="16" t="s">
        <v>18879</v>
      </c>
      <c r="AX222" s="16" t="s">
        <v>18907</v>
      </c>
      <c r="AY222" s="385">
        <v>9432</v>
      </c>
    </row>
    <row r="223" spans="1:51" x14ac:dyDescent="0.25">
      <c r="A223" s="16" t="s">
        <v>19027</v>
      </c>
      <c r="B223" s="16" t="s">
        <v>322</v>
      </c>
      <c r="D223" s="16">
        <v>3</v>
      </c>
      <c r="E223" s="16" t="s">
        <v>717</v>
      </c>
      <c r="F223" s="16" t="str">
        <f>VLOOKUP(Table28[[#This Row],[Country]],Table10[[COUNTRY NAME]:[CONTINENT CODE]],3,FALSE)</f>
        <v>AS</v>
      </c>
      <c r="G223" s="16" t="s">
        <v>12094</v>
      </c>
      <c r="H223" s="181">
        <v>5301</v>
      </c>
      <c r="I223" s="180">
        <v>13.75</v>
      </c>
      <c r="K223" s="316">
        <f>IFERROR(Table28[[#This Row],[ROUTE COST]]/Table28[[#This Row],[O - DEMAND]],0)</f>
        <v>0</v>
      </c>
      <c r="M223" s="16">
        <f>Table28[[#This Row],[O - DEMAND]]/950</f>
        <v>0</v>
      </c>
      <c r="N223" s="16">
        <f>IFERROR(VLOOKUP(Table28[[#This Row],[ROUTE]],DEMAND!A:F,5,FALSE),0)</f>
        <v>0</v>
      </c>
      <c r="O223" s="16">
        <f>IFERROR(VLOOKUP(Table28[[#This Row],[ROUTE]],DEMAND!A:F,6,FALSE),0)</f>
        <v>0</v>
      </c>
      <c r="P223" s="16">
        <f>ROUNDDOWN(Table28[[#This Row],[R-DEMAND]]/950,0)</f>
        <v>0</v>
      </c>
      <c r="Q223" s="16">
        <f>Table28[[#This Row],[ADD ACC
(475/950)]]*Table28[[#This Row],[Duration
(A359)]]</f>
        <v>0</v>
      </c>
      <c r="R223" s="16">
        <f>IFERROR(VLOOKUP(Table28[[#This Row],[ROUTE]],PRICING!A:B,2,FALSE),0)</f>
        <v>0</v>
      </c>
      <c r="S223" s="16">
        <f>Table28[[#This Row],[C_DEMAND]]-Table28[[#This Row],[R-DEMAND]]</f>
        <v>0</v>
      </c>
      <c r="T223" s="316">
        <f>Table28[[#This Row],[SEATS SOLD]]*Table28[[#This Row],[ECO SEAT]]</f>
        <v>0</v>
      </c>
      <c r="U223" s="316">
        <f>Table28[[#This Row],[SEATS SOLD]]*(IFERROR(VLOOKUP(Table28[[#This Row],[ROUTE]],PRICING!A:C,3,FALSE),0))</f>
        <v>0</v>
      </c>
      <c r="V223" s="316">
        <f>Table28[[#This Row],[SEAT REV]]-Table28[[#This Row],[SEAT REV
(IF IDEAL $)]]</f>
        <v>0</v>
      </c>
      <c r="AA223" s="26" t="s">
        <v>19400</v>
      </c>
      <c r="AB223" s="26" t="s">
        <v>71</v>
      </c>
      <c r="AC223" s="26" t="s">
        <v>5717</v>
      </c>
      <c r="AD223" s="174">
        <v>12475</v>
      </c>
      <c r="AE223" s="26">
        <v>2495</v>
      </c>
      <c r="AF223" s="16">
        <v>2495</v>
      </c>
      <c r="AS223" s="16" t="s">
        <v>11669</v>
      </c>
      <c r="AT223" s="16" t="s">
        <v>11670</v>
      </c>
      <c r="AU223" s="16" t="s">
        <v>4078</v>
      </c>
      <c r="AV223" s="16" t="s">
        <v>18892</v>
      </c>
      <c r="AW223" s="16" t="s">
        <v>18879</v>
      </c>
      <c r="AX223" s="16" t="s">
        <v>18907</v>
      </c>
      <c r="AY223" s="385">
        <v>9449</v>
      </c>
    </row>
    <row r="224" spans="1:51" x14ac:dyDescent="0.25">
      <c r="A224" s="16" t="s">
        <v>19349</v>
      </c>
      <c r="B224" s="16" t="s">
        <v>320</v>
      </c>
      <c r="E224" s="16" t="s">
        <v>1847</v>
      </c>
      <c r="F224" s="16" t="str">
        <f>VLOOKUP(Table28[[#This Row],[Country]],Table10[[COUNTRY NAME]:[CONTINENT CODE]],3,FALSE)</f>
        <v>AS</v>
      </c>
      <c r="G224" s="16" t="s">
        <v>11976</v>
      </c>
      <c r="H224" s="181">
        <v>12045</v>
      </c>
      <c r="I224" s="180">
        <v>28.5</v>
      </c>
      <c r="K224" s="316">
        <f>IFERROR(Table28[[#This Row],[ROUTE COST]]/Table28[[#This Row],[O - DEMAND]],0)</f>
        <v>0</v>
      </c>
      <c r="M224" s="16">
        <f>Table28[[#This Row],[O - DEMAND]]/950</f>
        <v>0</v>
      </c>
      <c r="N224" s="16">
        <f>IFERROR(VLOOKUP(Table28[[#This Row],[ROUTE]],DEMAND!A:F,5,FALSE),0)</f>
        <v>0</v>
      </c>
      <c r="O224" s="16">
        <f>IFERROR(VLOOKUP(Table28[[#This Row],[ROUTE]],DEMAND!A:F,6,FALSE),0)</f>
        <v>0</v>
      </c>
      <c r="P224" s="16">
        <f>ROUNDDOWN(Table28[[#This Row],[R-DEMAND]]/950,0)</f>
        <v>0</v>
      </c>
      <c r="Q224" s="16">
        <f>Table28[[#This Row],[ADD ACC
(475/950)]]*Table28[[#This Row],[Duration
(A359)]]</f>
        <v>0</v>
      </c>
      <c r="R224" s="16">
        <f>IFERROR(VLOOKUP(Table28[[#This Row],[ROUTE]],PRICING!A:B,2,FALSE),0)</f>
        <v>0</v>
      </c>
      <c r="S224" s="16">
        <f>Table28[[#This Row],[C_DEMAND]]-Table28[[#This Row],[R-DEMAND]]</f>
        <v>0</v>
      </c>
      <c r="T224" s="316">
        <f>Table28[[#This Row],[SEATS SOLD]]*Table28[[#This Row],[ECO SEAT]]</f>
        <v>0</v>
      </c>
      <c r="U224" s="316">
        <f>Table28[[#This Row],[SEATS SOLD]]*(IFERROR(VLOOKUP(Table28[[#This Row],[ROUTE]],PRICING!A:C,3,FALSE),0))</f>
        <v>0</v>
      </c>
      <c r="V224" s="316">
        <f>Table28[[#This Row],[SEAT REV]]-Table28[[#This Row],[SEAT REV
(IF IDEAL $)]]</f>
        <v>0</v>
      </c>
      <c r="AA224" s="26" t="s">
        <v>19338</v>
      </c>
      <c r="AB224" s="26" t="s">
        <v>71</v>
      </c>
      <c r="AC224" s="26" t="s">
        <v>5737</v>
      </c>
      <c r="AD224" s="174">
        <v>11953</v>
      </c>
      <c r="AE224" s="26">
        <v>2598</v>
      </c>
      <c r="AF224" s="16">
        <v>2598</v>
      </c>
      <c r="AS224" s="16" t="s">
        <v>1070</v>
      </c>
      <c r="AT224" s="16" t="s">
        <v>9270</v>
      </c>
      <c r="AU224" s="16" t="s">
        <v>248</v>
      </c>
      <c r="AV224" s="16" t="s">
        <v>18892</v>
      </c>
      <c r="AW224" s="16" t="s">
        <v>18879</v>
      </c>
      <c r="AX224" s="16" t="s">
        <v>18907</v>
      </c>
      <c r="AY224" s="385">
        <v>9451</v>
      </c>
    </row>
    <row r="225" spans="1:51" x14ac:dyDescent="0.25">
      <c r="A225" s="16" t="s">
        <v>19488</v>
      </c>
      <c r="B225" s="16" t="s">
        <v>1269</v>
      </c>
      <c r="D225" s="16">
        <v>1</v>
      </c>
      <c r="E225" s="16" t="s">
        <v>172</v>
      </c>
      <c r="F225" s="16" t="str">
        <f>VLOOKUP(Table28[[#This Row],[Country]],Table10[[COUNTRY NAME]:[CONTINENT CODE]],3,FALSE)</f>
        <v>AS</v>
      </c>
      <c r="G225" s="16" t="s">
        <v>11934</v>
      </c>
      <c r="H225" s="181">
        <v>13003</v>
      </c>
      <c r="I225" s="180">
        <v>30.75</v>
      </c>
      <c r="K225" s="316">
        <f>IFERROR(Table28[[#This Row],[ROUTE COST]]/Table28[[#This Row],[O - DEMAND]],0)</f>
        <v>0</v>
      </c>
      <c r="M225" s="16">
        <f>Table28[[#This Row],[O - DEMAND]]/950</f>
        <v>0</v>
      </c>
      <c r="N225" s="16">
        <f>IFERROR(VLOOKUP(Table28[[#This Row],[ROUTE]],DEMAND!A:F,5,FALSE),0)</f>
        <v>0</v>
      </c>
      <c r="O225" s="16">
        <f>IFERROR(VLOOKUP(Table28[[#This Row],[ROUTE]],DEMAND!A:F,6,FALSE),0)</f>
        <v>0</v>
      </c>
      <c r="P225" s="16">
        <f>ROUNDDOWN(Table28[[#This Row],[R-DEMAND]]/950,0)</f>
        <v>0</v>
      </c>
      <c r="Q225" s="16">
        <f>Table28[[#This Row],[ADD ACC
(475/950)]]*Table28[[#This Row],[Duration
(A359)]]</f>
        <v>0</v>
      </c>
      <c r="R225" s="16">
        <f>IFERROR(VLOOKUP(Table28[[#This Row],[ROUTE]],PRICING!A:B,2,FALSE),0)</f>
        <v>0</v>
      </c>
      <c r="S225" s="16">
        <f>Table28[[#This Row],[C_DEMAND]]-Table28[[#This Row],[R-DEMAND]]</f>
        <v>0</v>
      </c>
      <c r="T225" s="316">
        <f>Table28[[#This Row],[SEATS SOLD]]*Table28[[#This Row],[ECO SEAT]]</f>
        <v>0</v>
      </c>
      <c r="U225" s="316">
        <f>Table28[[#This Row],[SEATS SOLD]]*(IFERROR(VLOOKUP(Table28[[#This Row],[ROUTE]],PRICING!A:C,3,FALSE),0))</f>
        <v>0</v>
      </c>
      <c r="V225" s="316">
        <f>Table28[[#This Row],[SEAT REV]]-Table28[[#This Row],[SEAT REV
(IF IDEAL $)]]</f>
        <v>0</v>
      </c>
      <c r="AA225" s="26" t="s">
        <v>19057</v>
      </c>
      <c r="AB225" s="26" t="s">
        <v>71</v>
      </c>
      <c r="AC225" s="26" t="s">
        <v>100</v>
      </c>
      <c r="AD225" s="174">
        <v>6848</v>
      </c>
      <c r="AE225" s="26">
        <v>3429</v>
      </c>
      <c r="AF225" s="16">
        <v>3429</v>
      </c>
      <c r="AS225" s="16" t="s">
        <v>14</v>
      </c>
      <c r="AT225" s="16" t="s">
        <v>12054</v>
      </c>
      <c r="AU225" s="16" t="s">
        <v>8728</v>
      </c>
      <c r="AV225" s="16" t="s">
        <v>18884</v>
      </c>
      <c r="AW225" s="16" t="s">
        <v>18885</v>
      </c>
      <c r="AX225" s="16" t="s">
        <v>18939</v>
      </c>
      <c r="AY225" s="385">
        <v>9465</v>
      </c>
    </row>
    <row r="226" spans="1:51" x14ac:dyDescent="0.25">
      <c r="A226" s="16" t="s">
        <v>19350</v>
      </c>
      <c r="B226" s="16" t="s">
        <v>319</v>
      </c>
      <c r="D226" s="16">
        <v>5</v>
      </c>
      <c r="E226" s="16" t="s">
        <v>1847</v>
      </c>
      <c r="F226" s="16" t="str">
        <f>VLOOKUP(Table28[[#This Row],[Country]],Table10[[COUNTRY NAME]:[CONTINENT CODE]],3,FALSE)</f>
        <v>AS</v>
      </c>
      <c r="G226" s="16" t="s">
        <v>11087</v>
      </c>
      <c r="H226" s="181">
        <v>12047</v>
      </c>
      <c r="I226" s="180">
        <v>28.5</v>
      </c>
      <c r="K226" s="316">
        <f>IFERROR(Table28[[#This Row],[ROUTE COST]]/Table28[[#This Row],[O - DEMAND]],0)</f>
        <v>0</v>
      </c>
      <c r="M226" s="16">
        <f>Table28[[#This Row],[O - DEMAND]]/950</f>
        <v>0</v>
      </c>
      <c r="N226" s="16">
        <f>IFERROR(VLOOKUP(Table28[[#This Row],[ROUTE]],DEMAND!A:F,5,FALSE),0)</f>
        <v>0</v>
      </c>
      <c r="O226" s="16">
        <f>IFERROR(VLOOKUP(Table28[[#This Row],[ROUTE]],DEMAND!A:F,6,FALSE),0)</f>
        <v>0</v>
      </c>
      <c r="P226" s="16">
        <f>ROUNDDOWN(Table28[[#This Row],[R-DEMAND]]/950,0)</f>
        <v>0</v>
      </c>
      <c r="Q226" s="16">
        <f>Table28[[#This Row],[ADD ACC
(475/950)]]*Table28[[#This Row],[Duration
(A359)]]</f>
        <v>0</v>
      </c>
      <c r="R226" s="16">
        <f>IFERROR(VLOOKUP(Table28[[#This Row],[ROUTE]],PRICING!A:B,2,FALSE),0)</f>
        <v>0</v>
      </c>
      <c r="S226" s="16">
        <f>Table28[[#This Row],[C_DEMAND]]-Table28[[#This Row],[R-DEMAND]]</f>
        <v>0</v>
      </c>
      <c r="T226" s="316">
        <f>Table28[[#This Row],[SEATS SOLD]]*Table28[[#This Row],[ECO SEAT]]</f>
        <v>0</v>
      </c>
      <c r="U226" s="316">
        <f>Table28[[#This Row],[SEATS SOLD]]*(IFERROR(VLOOKUP(Table28[[#This Row],[ROUTE]],PRICING!A:C,3,FALSE),0))</f>
        <v>0</v>
      </c>
      <c r="V226" s="316">
        <f>Table28[[#This Row],[SEAT REV]]-Table28[[#This Row],[SEAT REV
(IF IDEAL $)]]</f>
        <v>0</v>
      </c>
      <c r="AA226" s="26" t="s">
        <v>19110</v>
      </c>
      <c r="AB226" s="26" t="s">
        <v>71</v>
      </c>
      <c r="AC226" s="26" t="s">
        <v>97</v>
      </c>
      <c r="AD226" s="174">
        <v>7892</v>
      </c>
      <c r="AE226" s="26">
        <v>3258</v>
      </c>
      <c r="AF226" s="16">
        <v>3258</v>
      </c>
      <c r="AS226" s="16" t="s">
        <v>530</v>
      </c>
      <c r="AT226" s="16" t="s">
        <v>11664</v>
      </c>
      <c r="AU226" s="16" t="s">
        <v>3761</v>
      </c>
      <c r="AV226" s="16" t="s">
        <v>18892</v>
      </c>
      <c r="AW226" s="16" t="s">
        <v>18879</v>
      </c>
      <c r="AX226" s="16" t="s">
        <v>18939</v>
      </c>
      <c r="AY226" s="385">
        <v>9530</v>
      </c>
    </row>
    <row r="227" spans="1:51" x14ac:dyDescent="0.25">
      <c r="A227" s="16" t="s">
        <v>19136</v>
      </c>
      <c r="B227" s="16" t="s">
        <v>4693</v>
      </c>
      <c r="E227" s="16" t="s">
        <v>14</v>
      </c>
      <c r="F227" s="16" t="str">
        <f>VLOOKUP(Table28[[#This Row],[Country]],Table10[[COUNTRY NAME]:[CONTINENT CODE]],3,FALSE)</f>
        <v>AS</v>
      </c>
      <c r="G227" s="16" t="s">
        <v>16817</v>
      </c>
      <c r="H227" s="181">
        <v>8217</v>
      </c>
      <c r="I227" s="180">
        <v>20.25</v>
      </c>
      <c r="K227" s="316">
        <f>IFERROR(Table28[[#This Row],[ROUTE COST]]/Table28[[#This Row],[O - DEMAND]],0)</f>
        <v>0</v>
      </c>
      <c r="M227" s="16">
        <f>Table28[[#This Row],[O - DEMAND]]/950</f>
        <v>0</v>
      </c>
      <c r="N227" s="16">
        <f>IFERROR(VLOOKUP(Table28[[#This Row],[ROUTE]],DEMAND!A:F,5,FALSE),0)</f>
        <v>0</v>
      </c>
      <c r="O227" s="16">
        <f>IFERROR(VLOOKUP(Table28[[#This Row],[ROUTE]],DEMAND!A:F,6,FALSE),0)</f>
        <v>0</v>
      </c>
      <c r="P227" s="16">
        <f>ROUNDDOWN(Table28[[#This Row],[R-DEMAND]]/950,0)</f>
        <v>0</v>
      </c>
      <c r="Q227" s="16">
        <f>Table28[[#This Row],[ADD ACC
(475/950)]]*Table28[[#This Row],[Duration
(A359)]]</f>
        <v>0</v>
      </c>
      <c r="R227" s="16">
        <f>IFERROR(VLOOKUP(Table28[[#This Row],[ROUTE]],PRICING!A:B,2,FALSE),0)</f>
        <v>0</v>
      </c>
      <c r="S227" s="16">
        <f>Table28[[#This Row],[C_DEMAND]]-Table28[[#This Row],[R-DEMAND]]</f>
        <v>0</v>
      </c>
      <c r="T227" s="316">
        <f>Table28[[#This Row],[SEATS SOLD]]*Table28[[#This Row],[ECO SEAT]]</f>
        <v>0</v>
      </c>
      <c r="U227" s="316">
        <f>Table28[[#This Row],[SEATS SOLD]]*(IFERROR(VLOOKUP(Table28[[#This Row],[ROUTE]],PRICING!A:C,3,FALSE),0))</f>
        <v>0</v>
      </c>
      <c r="V227" s="316">
        <f>Table28[[#This Row],[SEAT REV]]-Table28[[#This Row],[SEAT REV
(IF IDEAL $)]]</f>
        <v>0</v>
      </c>
      <c r="AA227" s="26" t="s">
        <v>19176</v>
      </c>
      <c r="AB227" s="26" t="s">
        <v>71</v>
      </c>
      <c r="AC227" s="26" t="s">
        <v>95</v>
      </c>
      <c r="AD227" s="174">
        <v>8870</v>
      </c>
      <c r="AE227" s="26">
        <v>3032</v>
      </c>
      <c r="AF227" s="16">
        <v>3032</v>
      </c>
      <c r="AS227" s="16" t="s">
        <v>1070</v>
      </c>
      <c r="AT227" s="16" t="s">
        <v>11078</v>
      </c>
      <c r="AU227" s="16" t="s">
        <v>263</v>
      </c>
      <c r="AV227" s="16" t="s">
        <v>18881</v>
      </c>
      <c r="AW227" s="16" t="s">
        <v>18899</v>
      </c>
      <c r="AX227" s="16" t="s">
        <v>18971</v>
      </c>
      <c r="AY227" s="385">
        <v>9567</v>
      </c>
    </row>
    <row r="228" spans="1:51" x14ac:dyDescent="0.25">
      <c r="A228" s="16" t="s">
        <v>19322</v>
      </c>
      <c r="B228" s="16" t="s">
        <v>4454</v>
      </c>
      <c r="D228" s="16">
        <v>2</v>
      </c>
      <c r="E228" s="16" t="s">
        <v>4452</v>
      </c>
      <c r="F228" s="16" t="str">
        <f>VLOOKUP(Table28[[#This Row],[Country]],Table10[[COUNTRY NAME]:[CONTINENT CODE]],3,FALSE)</f>
        <v>AS</v>
      </c>
      <c r="G228" s="16" t="s">
        <v>11988</v>
      </c>
      <c r="H228" s="181">
        <v>11697</v>
      </c>
      <c r="I228" s="180">
        <v>27.75</v>
      </c>
      <c r="K228" s="316">
        <f>IFERROR(Table28[[#This Row],[ROUTE COST]]/Table28[[#This Row],[O - DEMAND]],0)</f>
        <v>0</v>
      </c>
      <c r="M228" s="16">
        <f>Table28[[#This Row],[O - DEMAND]]/950</f>
        <v>0</v>
      </c>
      <c r="N228" s="16">
        <f>IFERROR(VLOOKUP(Table28[[#This Row],[ROUTE]],DEMAND!A:F,5,FALSE),0)</f>
        <v>0</v>
      </c>
      <c r="O228" s="16">
        <f>IFERROR(VLOOKUP(Table28[[#This Row],[ROUTE]],DEMAND!A:F,6,FALSE),0)</f>
        <v>0</v>
      </c>
      <c r="P228" s="16">
        <f>ROUNDDOWN(Table28[[#This Row],[R-DEMAND]]/950,0)</f>
        <v>0</v>
      </c>
      <c r="Q228" s="16">
        <f>Table28[[#This Row],[ADD ACC
(475/950)]]*Table28[[#This Row],[Duration
(A359)]]</f>
        <v>0</v>
      </c>
      <c r="R228" s="16">
        <f>IFERROR(VLOOKUP(Table28[[#This Row],[ROUTE]],PRICING!A:B,2,FALSE),0)</f>
        <v>0</v>
      </c>
      <c r="S228" s="16">
        <f>Table28[[#This Row],[C_DEMAND]]-Table28[[#This Row],[R-DEMAND]]</f>
        <v>0</v>
      </c>
      <c r="T228" s="316">
        <f>Table28[[#This Row],[SEATS SOLD]]*Table28[[#This Row],[ECO SEAT]]</f>
        <v>0</v>
      </c>
      <c r="U228" s="316">
        <f>Table28[[#This Row],[SEATS SOLD]]*(IFERROR(VLOOKUP(Table28[[#This Row],[ROUTE]],PRICING!A:C,3,FALSE),0))</f>
        <v>0</v>
      </c>
      <c r="V228" s="316">
        <f>Table28[[#This Row],[SEAT REV]]-Table28[[#This Row],[SEAT REV
(IF IDEAL $)]]</f>
        <v>0</v>
      </c>
      <c r="AA228" s="26" t="s">
        <v>19603</v>
      </c>
      <c r="AB228" s="26" t="s">
        <v>71</v>
      </c>
      <c r="AC228" s="26" t="s">
        <v>5298</v>
      </c>
      <c r="AD228" s="174">
        <v>13805</v>
      </c>
      <c r="AE228" s="26">
        <v>2807</v>
      </c>
      <c r="AF228" s="16">
        <v>2807</v>
      </c>
      <c r="AS228" s="16" t="s">
        <v>1070</v>
      </c>
      <c r="AT228" s="16" t="s">
        <v>9268</v>
      </c>
      <c r="AU228" s="16" t="s">
        <v>246</v>
      </c>
      <c r="AV228" s="16" t="s">
        <v>18892</v>
      </c>
      <c r="AW228" s="16" t="s">
        <v>18879</v>
      </c>
      <c r="AX228" s="16" t="s">
        <v>18971</v>
      </c>
      <c r="AY228" s="385">
        <v>9586</v>
      </c>
    </row>
    <row r="229" spans="1:51" x14ac:dyDescent="0.25">
      <c r="A229" s="16" t="s">
        <v>19423</v>
      </c>
      <c r="B229" s="16" t="s">
        <v>3939</v>
      </c>
      <c r="D229" s="16">
        <v>2</v>
      </c>
      <c r="E229" s="16" t="s">
        <v>172</v>
      </c>
      <c r="F229" s="16" t="str">
        <f>VLOOKUP(Table28[[#This Row],[Country]],Table10[[COUNTRY NAME]:[CONTINENT CODE]],3,FALSE)</f>
        <v>AS</v>
      </c>
      <c r="G229" s="16" t="s">
        <v>9989</v>
      </c>
      <c r="H229" s="181">
        <v>12611</v>
      </c>
      <c r="I229" s="180">
        <v>29.75</v>
      </c>
      <c r="K229" s="316">
        <f>IFERROR(Table28[[#This Row],[ROUTE COST]]/Table28[[#This Row],[O - DEMAND]],0)</f>
        <v>0</v>
      </c>
      <c r="M229" s="16">
        <f>Table28[[#This Row],[O - DEMAND]]/950</f>
        <v>0</v>
      </c>
      <c r="N229" s="16">
        <f>IFERROR(VLOOKUP(Table28[[#This Row],[ROUTE]],DEMAND!A:F,5,FALSE),0)</f>
        <v>0</v>
      </c>
      <c r="O229" s="16">
        <f>IFERROR(VLOOKUP(Table28[[#This Row],[ROUTE]],DEMAND!A:F,6,FALSE),0)</f>
        <v>0</v>
      </c>
      <c r="P229" s="16">
        <f>ROUNDDOWN(Table28[[#This Row],[R-DEMAND]]/950,0)</f>
        <v>0</v>
      </c>
      <c r="Q229" s="16">
        <f>Table28[[#This Row],[ADD ACC
(475/950)]]*Table28[[#This Row],[Duration
(A359)]]</f>
        <v>0</v>
      </c>
      <c r="R229" s="16">
        <f>IFERROR(VLOOKUP(Table28[[#This Row],[ROUTE]],PRICING!A:B,2,FALSE),0)</f>
        <v>0</v>
      </c>
      <c r="S229" s="16">
        <f>Table28[[#This Row],[C_DEMAND]]-Table28[[#This Row],[R-DEMAND]]</f>
        <v>0</v>
      </c>
      <c r="T229" s="316">
        <f>Table28[[#This Row],[SEATS SOLD]]*Table28[[#This Row],[ECO SEAT]]</f>
        <v>0</v>
      </c>
      <c r="U229" s="316">
        <f>Table28[[#This Row],[SEATS SOLD]]*(IFERROR(VLOOKUP(Table28[[#This Row],[ROUTE]],PRICING!A:C,3,FALSE),0))</f>
        <v>0</v>
      </c>
      <c r="V229" s="316">
        <f>Table28[[#This Row],[SEAT REV]]-Table28[[#This Row],[SEAT REV
(IF IDEAL $)]]</f>
        <v>0</v>
      </c>
      <c r="AA229" s="26" t="s">
        <v>19725</v>
      </c>
      <c r="AB229" s="26" t="s">
        <v>71</v>
      </c>
      <c r="AC229" s="26" t="s">
        <v>5509</v>
      </c>
      <c r="AD229" s="174">
        <v>14712</v>
      </c>
      <c r="AE229" s="26">
        <v>2432</v>
      </c>
      <c r="AF229" s="16">
        <v>2432</v>
      </c>
      <c r="AS229" s="16" t="s">
        <v>78</v>
      </c>
      <c r="AT229" s="16" t="s">
        <v>11973</v>
      </c>
      <c r="AU229" s="16" t="s">
        <v>2870</v>
      </c>
      <c r="AV229" s="16" t="s">
        <v>18892</v>
      </c>
      <c r="AW229" s="16" t="s">
        <v>18879</v>
      </c>
      <c r="AX229" s="16" t="s">
        <v>18971</v>
      </c>
      <c r="AY229" s="385">
        <v>9670</v>
      </c>
    </row>
    <row r="230" spans="1:51" x14ac:dyDescent="0.25">
      <c r="A230" s="16" t="s">
        <v>19426</v>
      </c>
      <c r="B230" s="16" t="s">
        <v>4562</v>
      </c>
      <c r="D230" s="16">
        <v>2</v>
      </c>
      <c r="E230" s="16" t="s">
        <v>637</v>
      </c>
      <c r="F230" s="16" t="str">
        <f>VLOOKUP(Table28[[#This Row],[Country]],Table10[[COUNTRY NAME]:[CONTINENT CODE]],3,FALSE)</f>
        <v>AF</v>
      </c>
      <c r="G230" s="16" t="s">
        <v>11908</v>
      </c>
      <c r="H230" s="181">
        <v>12627</v>
      </c>
      <c r="I230" s="180">
        <v>29.75</v>
      </c>
      <c r="K230" s="316">
        <f>IFERROR(Table28[[#This Row],[ROUTE COST]]/Table28[[#This Row],[O - DEMAND]],0)</f>
        <v>0</v>
      </c>
      <c r="M230" s="16">
        <f>Table28[[#This Row],[O - DEMAND]]/950</f>
        <v>0</v>
      </c>
      <c r="N230" s="16">
        <f>IFERROR(VLOOKUP(Table28[[#This Row],[ROUTE]],DEMAND!A:F,5,FALSE),0)</f>
        <v>0</v>
      </c>
      <c r="O230" s="16">
        <f>IFERROR(VLOOKUP(Table28[[#This Row],[ROUTE]],DEMAND!A:F,6,FALSE),0)</f>
        <v>0</v>
      </c>
      <c r="P230" s="16">
        <f>ROUNDDOWN(Table28[[#This Row],[R-DEMAND]]/950,0)</f>
        <v>0</v>
      </c>
      <c r="Q230" s="16">
        <f>Table28[[#This Row],[ADD ACC
(475/950)]]*Table28[[#This Row],[Duration
(A359)]]</f>
        <v>0</v>
      </c>
      <c r="R230" s="16">
        <f>IFERROR(VLOOKUP(Table28[[#This Row],[ROUTE]],PRICING!A:B,2,FALSE),0)</f>
        <v>0</v>
      </c>
      <c r="S230" s="16">
        <f>Table28[[#This Row],[C_DEMAND]]-Table28[[#This Row],[R-DEMAND]]</f>
        <v>0</v>
      </c>
      <c r="T230" s="316">
        <f>Table28[[#This Row],[SEATS SOLD]]*Table28[[#This Row],[ECO SEAT]]</f>
        <v>0</v>
      </c>
      <c r="U230" s="316">
        <f>Table28[[#This Row],[SEATS SOLD]]*(IFERROR(VLOOKUP(Table28[[#This Row],[ROUTE]],PRICING!A:C,3,FALSE),0))</f>
        <v>0</v>
      </c>
      <c r="V230" s="316">
        <f>Table28[[#This Row],[SEAT REV]]-Table28[[#This Row],[SEAT REV
(IF IDEAL $)]]</f>
        <v>0</v>
      </c>
      <c r="AA230" s="26" t="s">
        <v>19631</v>
      </c>
      <c r="AB230" s="26" t="s">
        <v>71</v>
      </c>
      <c r="AC230" s="26" t="s">
        <v>5513</v>
      </c>
      <c r="AD230" s="174">
        <v>14048</v>
      </c>
      <c r="AE230" s="26">
        <v>2717</v>
      </c>
      <c r="AF230" s="16">
        <v>2717</v>
      </c>
      <c r="AS230" s="16" t="s">
        <v>78</v>
      </c>
      <c r="AT230" s="16" t="s">
        <v>11911</v>
      </c>
      <c r="AU230" s="16" t="s">
        <v>2984</v>
      </c>
      <c r="AV230" s="16" t="s">
        <v>18884</v>
      </c>
      <c r="AW230" s="16" t="s">
        <v>18879</v>
      </c>
      <c r="AX230" s="16" t="s">
        <v>18906</v>
      </c>
      <c r="AY230" s="385">
        <v>9714</v>
      </c>
    </row>
    <row r="231" spans="1:51" x14ac:dyDescent="0.25">
      <c r="A231" s="16" t="s">
        <v>19581</v>
      </c>
      <c r="B231" s="16" t="s">
        <v>883</v>
      </c>
      <c r="D231" s="16">
        <v>1</v>
      </c>
      <c r="E231" s="16" t="s">
        <v>881</v>
      </c>
      <c r="F231" s="16" t="str">
        <f>VLOOKUP(Table28[[#This Row],[Country]],Table10[[COUNTRY NAME]:[CONTINENT CODE]],3,FALSE)</f>
        <v>AF</v>
      </c>
      <c r="G231" s="16" t="s">
        <v>9981</v>
      </c>
      <c r="H231" s="181">
        <v>13664</v>
      </c>
      <c r="I231" s="180">
        <v>32</v>
      </c>
      <c r="K231" s="316">
        <f>IFERROR(Table28[[#This Row],[ROUTE COST]]/Table28[[#This Row],[O - DEMAND]],0)</f>
        <v>0</v>
      </c>
      <c r="M231" s="16">
        <f>Table28[[#This Row],[O - DEMAND]]/950</f>
        <v>0</v>
      </c>
      <c r="N231" s="16">
        <f>IFERROR(VLOOKUP(Table28[[#This Row],[ROUTE]],DEMAND!A:F,5,FALSE),0)</f>
        <v>0</v>
      </c>
      <c r="O231" s="16">
        <f>IFERROR(VLOOKUP(Table28[[#This Row],[ROUTE]],DEMAND!A:F,6,FALSE),0)</f>
        <v>0</v>
      </c>
      <c r="P231" s="16">
        <f>ROUNDDOWN(Table28[[#This Row],[R-DEMAND]]/950,0)</f>
        <v>0</v>
      </c>
      <c r="Q231" s="16">
        <f>Table28[[#This Row],[ADD ACC
(475/950)]]*Table28[[#This Row],[Duration
(A359)]]</f>
        <v>0</v>
      </c>
      <c r="R231" s="16">
        <f>IFERROR(VLOOKUP(Table28[[#This Row],[ROUTE]],PRICING!A:B,2,FALSE),0)</f>
        <v>0</v>
      </c>
      <c r="S231" s="16">
        <f>Table28[[#This Row],[C_DEMAND]]-Table28[[#This Row],[R-DEMAND]]</f>
        <v>0</v>
      </c>
      <c r="T231" s="316">
        <f>Table28[[#This Row],[SEATS SOLD]]*Table28[[#This Row],[ECO SEAT]]</f>
        <v>0</v>
      </c>
      <c r="U231" s="316">
        <f>Table28[[#This Row],[SEATS SOLD]]*(IFERROR(VLOOKUP(Table28[[#This Row],[ROUTE]],PRICING!A:C,3,FALSE),0))</f>
        <v>0</v>
      </c>
      <c r="V231" s="316">
        <f>Table28[[#This Row],[SEAT REV]]-Table28[[#This Row],[SEAT REV
(IF IDEAL $)]]</f>
        <v>0</v>
      </c>
      <c r="AA231" s="26" t="s">
        <v>19698</v>
      </c>
      <c r="AB231" s="26" t="s">
        <v>71</v>
      </c>
      <c r="AC231" s="26" t="s">
        <v>79</v>
      </c>
      <c r="AD231" s="174">
        <v>14518</v>
      </c>
      <c r="AE231" s="26">
        <v>2582</v>
      </c>
      <c r="AF231" s="16">
        <v>2582</v>
      </c>
      <c r="AS231" s="16" t="s">
        <v>11669</v>
      </c>
      <c r="AT231" s="16" t="s">
        <v>13133</v>
      </c>
      <c r="AU231" s="16" t="s">
        <v>3323</v>
      </c>
      <c r="AV231" s="16" t="s">
        <v>18884</v>
      </c>
      <c r="AW231" s="16" t="s">
        <v>18879</v>
      </c>
      <c r="AX231" s="16" t="s">
        <v>18906</v>
      </c>
      <c r="AY231" s="385">
        <v>9717</v>
      </c>
    </row>
    <row r="232" spans="1:51" x14ac:dyDescent="0.25">
      <c r="A232" s="16" t="s">
        <v>19724</v>
      </c>
      <c r="B232" s="16" t="s">
        <v>5161</v>
      </c>
      <c r="D232" s="16">
        <v>3</v>
      </c>
      <c r="E232" s="16" t="s">
        <v>11732</v>
      </c>
      <c r="F232" s="16" t="str">
        <f>VLOOKUP(Table28[[#This Row],[Country]],Table10[[COUNTRY NAME]:[CONTINENT CODE]],3,FALSE)</f>
        <v>NA - US</v>
      </c>
      <c r="G232" s="16" t="s">
        <v>13232</v>
      </c>
      <c r="H232" s="181">
        <v>14709</v>
      </c>
      <c r="I232" s="180">
        <v>34.5</v>
      </c>
      <c r="K232" s="316">
        <f>IFERROR(Table28[[#This Row],[ROUTE COST]]/Table28[[#This Row],[O - DEMAND]],0)</f>
        <v>0</v>
      </c>
      <c r="M232" s="180">
        <f>Table28[[#This Row],[O - DEMAND]]/950</f>
        <v>0</v>
      </c>
      <c r="N232" s="16">
        <f>IFERROR(VLOOKUP(Table28[[#This Row],[ROUTE]],DEMAND!A:F,5,FALSE),0)</f>
        <v>0</v>
      </c>
      <c r="O232" s="16">
        <f>IFERROR(VLOOKUP(Table28[[#This Row],[ROUTE]],DEMAND!A:F,6,FALSE),0)</f>
        <v>0</v>
      </c>
      <c r="P232" s="16">
        <f>ROUNDDOWN(Table28[[#This Row],[R-DEMAND]]/950,0)</f>
        <v>0</v>
      </c>
      <c r="Q232" s="16">
        <f>Table28[[#This Row],[ADD ACC
(475/950)]]*Table28[[#This Row],[Duration
(A359)]]</f>
        <v>0</v>
      </c>
      <c r="R232" s="16">
        <f>IFERROR(VLOOKUP(Table28[[#This Row],[ROUTE]],PRICING!A:B,2,FALSE),0)</f>
        <v>0</v>
      </c>
      <c r="S232" s="16">
        <f>Table28[[#This Row],[C_DEMAND]]-Table28[[#This Row],[R-DEMAND]]</f>
        <v>0</v>
      </c>
      <c r="T232" s="316">
        <f>Table28[[#This Row],[SEATS SOLD]]*Table28[[#This Row],[ECO SEAT]]</f>
        <v>0</v>
      </c>
      <c r="U232" s="316">
        <f>Table28[[#This Row],[SEATS SOLD]]*(IFERROR(VLOOKUP(Table28[[#This Row],[ROUTE]],PRICING!A:C,3,FALSE),0))</f>
        <v>0</v>
      </c>
      <c r="V232" s="316">
        <f>Table28[[#This Row],[SEAT REV]]-Table28[[#This Row],[SEAT REV
(IF IDEAL $)]]</f>
        <v>0</v>
      </c>
      <c r="AA232" s="26" t="s">
        <v>19506</v>
      </c>
      <c r="AB232" s="26" t="s">
        <v>71</v>
      </c>
      <c r="AC232" s="26" t="s">
        <v>5047</v>
      </c>
      <c r="AD232" s="174">
        <v>13127</v>
      </c>
      <c r="AE232" s="26">
        <v>2949</v>
      </c>
      <c r="AF232" s="16">
        <v>2949</v>
      </c>
      <c r="AS232" s="16" t="s">
        <v>11669</v>
      </c>
      <c r="AT232" s="16" t="s">
        <v>16912</v>
      </c>
      <c r="AU232" s="16" t="s">
        <v>3901</v>
      </c>
      <c r="AV232" s="16" t="s">
        <v>18878</v>
      </c>
      <c r="AW232" s="16" t="s">
        <v>18879</v>
      </c>
      <c r="AX232" s="16" t="s">
        <v>18906</v>
      </c>
      <c r="AY232" s="385">
        <v>9734</v>
      </c>
    </row>
    <row r="233" spans="1:51" x14ac:dyDescent="0.25">
      <c r="A233" s="16" t="s">
        <v>19391</v>
      </c>
      <c r="B233" s="16" t="s">
        <v>1600</v>
      </c>
      <c r="D233" s="16">
        <v>1</v>
      </c>
      <c r="E233" s="16" t="s">
        <v>1189</v>
      </c>
      <c r="F233" s="16" t="str">
        <f>VLOOKUP(Table28[[#This Row],[Country]],Table10[[COUNTRY NAME]:[CONTINENT CODE]],3,FALSE)</f>
        <v>AF</v>
      </c>
      <c r="G233" s="16" t="s">
        <v>11920</v>
      </c>
      <c r="H233" s="181">
        <v>12403</v>
      </c>
      <c r="I233" s="180">
        <v>29.25</v>
      </c>
      <c r="K233" s="316">
        <f>IFERROR(Table28[[#This Row],[ROUTE COST]]/Table28[[#This Row],[O - DEMAND]],0)</f>
        <v>0</v>
      </c>
      <c r="M233" s="16">
        <f>Table28[[#This Row],[O - DEMAND]]/950</f>
        <v>0</v>
      </c>
      <c r="N233" s="16">
        <f>IFERROR(VLOOKUP(Table28[[#This Row],[ROUTE]],DEMAND!A:F,5,FALSE),0)</f>
        <v>0</v>
      </c>
      <c r="O233" s="16">
        <f>IFERROR(VLOOKUP(Table28[[#This Row],[ROUTE]],DEMAND!A:F,6,FALSE),0)</f>
        <v>0</v>
      </c>
      <c r="P233" s="16">
        <f>ROUNDDOWN(Table28[[#This Row],[R-DEMAND]]/950,0)</f>
        <v>0</v>
      </c>
      <c r="Q233" s="16">
        <f>Table28[[#This Row],[ADD ACC
(475/950)]]*Table28[[#This Row],[Duration
(A359)]]</f>
        <v>0</v>
      </c>
      <c r="R233" s="16">
        <f>IFERROR(VLOOKUP(Table28[[#This Row],[ROUTE]],PRICING!A:B,2,FALSE),0)</f>
        <v>0</v>
      </c>
      <c r="S233" s="16">
        <f>Table28[[#This Row],[C_DEMAND]]-Table28[[#This Row],[R-DEMAND]]</f>
        <v>0</v>
      </c>
      <c r="T233" s="316">
        <f>Table28[[#This Row],[SEATS SOLD]]*Table28[[#This Row],[ECO SEAT]]</f>
        <v>0</v>
      </c>
      <c r="U233" s="316">
        <f>Table28[[#This Row],[SEATS SOLD]]*(IFERROR(VLOOKUP(Table28[[#This Row],[ROUTE]],PRICING!A:C,3,FALSE),0))</f>
        <v>0</v>
      </c>
      <c r="V233" s="316">
        <f>Table28[[#This Row],[SEAT REV]]-Table28[[#This Row],[SEAT REV
(IF IDEAL $)]]</f>
        <v>0</v>
      </c>
      <c r="AA233" s="26" t="s">
        <v>19276</v>
      </c>
      <c r="AB233" s="26" t="s">
        <v>71</v>
      </c>
      <c r="AC233" s="26" t="s">
        <v>74</v>
      </c>
      <c r="AD233" s="174">
        <v>10972</v>
      </c>
      <c r="AE233" s="26">
        <v>3540</v>
      </c>
      <c r="AF233" s="16">
        <v>3540</v>
      </c>
      <c r="AS233" s="16" t="s">
        <v>867</v>
      </c>
      <c r="AT233" s="16" t="s">
        <v>12049</v>
      </c>
      <c r="AU233" s="16" t="s">
        <v>5037</v>
      </c>
      <c r="AV233" s="16" t="s">
        <v>18881</v>
      </c>
      <c r="AW233" s="16" t="s">
        <v>18885</v>
      </c>
      <c r="AX233" s="16" t="s">
        <v>18906</v>
      </c>
      <c r="AY233" s="385">
        <v>9746</v>
      </c>
    </row>
    <row r="234" spans="1:51" x14ac:dyDescent="0.25">
      <c r="A234" s="16" t="s">
        <v>19527</v>
      </c>
      <c r="B234" s="16" t="s">
        <v>3823</v>
      </c>
      <c r="E234" s="16" t="s">
        <v>11732</v>
      </c>
      <c r="F234" s="16" t="str">
        <f>VLOOKUP(Table28[[#This Row],[Country]],Table10[[COUNTRY NAME]:[CONTINENT CODE]],3,FALSE)</f>
        <v>NA - US</v>
      </c>
      <c r="G234" s="16" t="s">
        <v>16962</v>
      </c>
      <c r="H234" s="181">
        <v>13259</v>
      </c>
      <c r="I234" s="180">
        <v>31.25</v>
      </c>
      <c r="K234" s="316">
        <f>IFERROR(Table28[[#This Row],[ROUTE COST]]/Table28[[#This Row],[O - DEMAND]],0)</f>
        <v>0</v>
      </c>
      <c r="M234" s="180">
        <f>Table28[[#This Row],[O - DEMAND]]/950</f>
        <v>0</v>
      </c>
      <c r="N234" s="16">
        <f>IFERROR(VLOOKUP(Table28[[#This Row],[ROUTE]],DEMAND!A:F,5,FALSE),0)</f>
        <v>0</v>
      </c>
      <c r="O234" s="16">
        <f>IFERROR(VLOOKUP(Table28[[#This Row],[ROUTE]],DEMAND!A:F,6,FALSE),0)</f>
        <v>0</v>
      </c>
      <c r="P234" s="16">
        <f>ROUNDDOWN(Table28[[#This Row],[R-DEMAND]]/950,0)</f>
        <v>0</v>
      </c>
      <c r="Q234" s="16">
        <f>Table28[[#This Row],[ADD ACC
(475/950)]]*Table28[[#This Row],[Duration
(A359)]]</f>
        <v>0</v>
      </c>
      <c r="R234" s="16">
        <f>IFERROR(VLOOKUP(Table28[[#This Row],[ROUTE]],PRICING!A:B,2,FALSE),0)</f>
        <v>0</v>
      </c>
      <c r="S234" s="16">
        <f>Table28[[#This Row],[C_DEMAND]]-Table28[[#This Row],[R-DEMAND]]</f>
        <v>0</v>
      </c>
      <c r="T234" s="316">
        <f>Table28[[#This Row],[SEATS SOLD]]*Table28[[#This Row],[ECO SEAT]]</f>
        <v>0</v>
      </c>
      <c r="U234" s="316">
        <f>Table28[[#This Row],[SEATS SOLD]]*(IFERROR(VLOOKUP(Table28[[#This Row],[ROUTE]],PRICING!A:C,3,FALSE),0))</f>
        <v>0</v>
      </c>
      <c r="V234" s="316">
        <f>Table28[[#This Row],[SEAT REV]]-Table28[[#This Row],[SEAT REV
(IF IDEAL $)]]</f>
        <v>0</v>
      </c>
      <c r="AA234" s="26" t="s">
        <v>19085</v>
      </c>
      <c r="AB234" s="26" t="s">
        <v>71</v>
      </c>
      <c r="AC234" s="26" t="s">
        <v>65</v>
      </c>
      <c r="AD234" s="174">
        <v>7432</v>
      </c>
      <c r="AE234" s="26">
        <v>3280</v>
      </c>
      <c r="AF234" s="16">
        <v>3280</v>
      </c>
      <c r="AS234" s="16" t="s">
        <v>14</v>
      </c>
      <c r="AT234" s="16" t="s">
        <v>16848</v>
      </c>
      <c r="AU234" s="16" t="s">
        <v>4114</v>
      </c>
      <c r="AV234" s="16" t="s">
        <v>18878</v>
      </c>
      <c r="AX234" s="16" t="s">
        <v>18906</v>
      </c>
      <c r="AY234" s="385">
        <v>9754</v>
      </c>
    </row>
    <row r="235" spans="1:51" x14ac:dyDescent="0.25">
      <c r="A235" s="16" t="s">
        <v>19599</v>
      </c>
      <c r="B235" s="16" t="s">
        <v>1939</v>
      </c>
      <c r="D235" s="16">
        <v>1</v>
      </c>
      <c r="E235" s="16" t="s">
        <v>172</v>
      </c>
      <c r="F235" s="16" t="str">
        <f>VLOOKUP(Table28[[#This Row],[Country]],Table10[[COUNTRY NAME]:[CONTINENT CODE]],3,FALSE)</f>
        <v>AS</v>
      </c>
      <c r="G235" s="16" t="s">
        <v>9941</v>
      </c>
      <c r="H235" s="181">
        <v>13779</v>
      </c>
      <c r="I235" s="180">
        <v>32.5</v>
      </c>
      <c r="K235" s="316">
        <f>IFERROR(Table28[[#This Row],[ROUTE COST]]/Table28[[#This Row],[O - DEMAND]],0)</f>
        <v>0</v>
      </c>
      <c r="M235" s="16">
        <f>Table28[[#This Row],[O - DEMAND]]/950</f>
        <v>0</v>
      </c>
      <c r="N235" s="16">
        <f>IFERROR(VLOOKUP(Table28[[#This Row],[ROUTE]],DEMAND!A:F,5,FALSE),0)</f>
        <v>0</v>
      </c>
      <c r="O235" s="16">
        <f>IFERROR(VLOOKUP(Table28[[#This Row],[ROUTE]],DEMAND!A:F,6,FALSE),0)</f>
        <v>0</v>
      </c>
      <c r="P235" s="16">
        <f>ROUNDDOWN(Table28[[#This Row],[R-DEMAND]]/950,0)</f>
        <v>0</v>
      </c>
      <c r="Q235" s="16">
        <f>Table28[[#This Row],[ADD ACC
(475/950)]]*Table28[[#This Row],[Duration
(A359)]]</f>
        <v>0</v>
      </c>
      <c r="R235" s="16">
        <f>IFERROR(VLOOKUP(Table28[[#This Row],[ROUTE]],PRICING!A:B,2,FALSE),0)</f>
        <v>0</v>
      </c>
      <c r="S235" s="16">
        <f>Table28[[#This Row],[C_DEMAND]]-Table28[[#This Row],[R-DEMAND]]</f>
        <v>0</v>
      </c>
      <c r="T235" s="316">
        <f>Table28[[#This Row],[SEATS SOLD]]*Table28[[#This Row],[ECO SEAT]]</f>
        <v>0</v>
      </c>
      <c r="U235" s="316">
        <f>Table28[[#This Row],[SEATS SOLD]]*(IFERROR(VLOOKUP(Table28[[#This Row],[ROUTE]],PRICING!A:C,3,FALSE),0))</f>
        <v>0</v>
      </c>
      <c r="V235" s="316">
        <f>Table28[[#This Row],[SEAT REV]]-Table28[[#This Row],[SEAT REV
(IF IDEAL $)]]</f>
        <v>0</v>
      </c>
      <c r="AA235" s="26" t="s">
        <v>19147</v>
      </c>
      <c r="AB235" s="26" t="s">
        <v>71</v>
      </c>
      <c r="AC235" s="26" t="s">
        <v>63</v>
      </c>
      <c r="AD235" s="174">
        <v>8438</v>
      </c>
      <c r="AE235" s="26">
        <v>3052</v>
      </c>
      <c r="AF235" s="16">
        <v>3052</v>
      </c>
      <c r="AS235" s="16" t="s">
        <v>14</v>
      </c>
      <c r="AT235" s="16" t="s">
        <v>9663</v>
      </c>
      <c r="AU235" s="16" t="s">
        <v>1882</v>
      </c>
      <c r="AV235" s="16" t="s">
        <v>18884</v>
      </c>
      <c r="AW235" s="16" t="s">
        <v>18890</v>
      </c>
      <c r="AX235" s="16" t="s">
        <v>18906</v>
      </c>
      <c r="AY235" s="385">
        <v>9766</v>
      </c>
    </row>
    <row r="236" spans="1:51" x14ac:dyDescent="0.25">
      <c r="A236" s="16" t="s">
        <v>19654</v>
      </c>
      <c r="B236" s="16" t="s">
        <v>2394</v>
      </c>
      <c r="C236" s="16" t="s">
        <v>467</v>
      </c>
      <c r="D236" s="16">
        <v>1</v>
      </c>
      <c r="E236" s="16" t="s">
        <v>881</v>
      </c>
      <c r="F236" s="16" t="str">
        <f>VLOOKUP(Table28[[#This Row],[Country]],Table10[[COUNTRY NAME]:[CONTINENT CODE]],3,FALSE)</f>
        <v>AF</v>
      </c>
      <c r="G236" s="16" t="s">
        <v>9934</v>
      </c>
      <c r="H236" s="181">
        <v>14140</v>
      </c>
      <c r="I236" s="180">
        <v>33.25</v>
      </c>
      <c r="K236" s="316">
        <f>IFERROR(Table28[[#This Row],[ROUTE COST]]/Table28[[#This Row],[O - DEMAND]],0)</f>
        <v>0</v>
      </c>
      <c r="M236" s="16">
        <f>Table28[[#This Row],[O - DEMAND]]/950</f>
        <v>0</v>
      </c>
      <c r="N236" s="16">
        <f>IFERROR(VLOOKUP(Table28[[#This Row],[ROUTE]],DEMAND!A:F,5,FALSE),0)</f>
        <v>2471</v>
      </c>
      <c r="O236" s="16">
        <f>IFERROR(VLOOKUP(Table28[[#This Row],[ROUTE]],DEMAND!A:F,6,FALSE),0)</f>
        <v>571</v>
      </c>
      <c r="P236" s="16">
        <f>ROUNDDOWN(Table28[[#This Row],[R-DEMAND]]/950,0)</f>
        <v>0</v>
      </c>
      <c r="Q236" s="16">
        <f>Table28[[#This Row],[ADD ACC
(475/950)]]*Table28[[#This Row],[Duration
(A359)]]</f>
        <v>0</v>
      </c>
      <c r="R236" s="16">
        <f>IFERROR(VLOOKUP(Table28[[#This Row],[ROUTE]],PRICING!A:B,2,FALSE),0)</f>
        <v>0</v>
      </c>
      <c r="S236" s="16">
        <f>Table28[[#This Row],[C_DEMAND]]-Table28[[#This Row],[R-DEMAND]]</f>
        <v>1900</v>
      </c>
      <c r="T236" s="316">
        <f>Table28[[#This Row],[SEATS SOLD]]*Table28[[#This Row],[ECO SEAT]]</f>
        <v>0</v>
      </c>
      <c r="U236" s="316">
        <f>Table28[[#This Row],[SEATS SOLD]]*(IFERROR(VLOOKUP(Table28[[#This Row],[ROUTE]],PRICING!A:C,3,FALSE),0))</f>
        <v>0</v>
      </c>
      <c r="V236" s="316">
        <f>Table28[[#This Row],[SEAT REV]]-Table28[[#This Row],[SEAT REV
(IF IDEAL $)]]</f>
        <v>0</v>
      </c>
      <c r="AA236" s="26" t="s">
        <v>19327</v>
      </c>
      <c r="AB236" s="26" t="s">
        <v>71</v>
      </c>
      <c r="AC236" s="26" t="s">
        <v>4969</v>
      </c>
      <c r="AD236" s="174">
        <v>11821</v>
      </c>
      <c r="AE236" s="26">
        <v>3446</v>
      </c>
      <c r="AF236" s="16">
        <v>3446</v>
      </c>
      <c r="AS236" s="16" t="s">
        <v>1070</v>
      </c>
      <c r="AT236" s="16" t="s">
        <v>12055</v>
      </c>
      <c r="AU236" s="16" t="s">
        <v>154</v>
      </c>
      <c r="AV236" s="16" t="s">
        <v>18881</v>
      </c>
      <c r="AW236" s="16" t="s">
        <v>18885</v>
      </c>
      <c r="AX236" s="16" t="s">
        <v>18906</v>
      </c>
      <c r="AY236" s="385">
        <v>9777</v>
      </c>
    </row>
    <row r="237" spans="1:51" x14ac:dyDescent="0.25">
      <c r="A237" s="16" t="s">
        <v>19476</v>
      </c>
      <c r="B237" s="16" t="s">
        <v>5157</v>
      </c>
      <c r="D237" s="16">
        <v>3</v>
      </c>
      <c r="E237" s="16" t="s">
        <v>11732</v>
      </c>
      <c r="F237" s="16" t="str">
        <f>VLOOKUP(Table28[[#This Row],[Country]],Table10[[COUNTRY NAME]:[CONTINENT CODE]],3,FALSE)</f>
        <v>NA - US</v>
      </c>
      <c r="G237" s="16" t="s">
        <v>13295</v>
      </c>
      <c r="H237" s="181">
        <v>12958</v>
      </c>
      <c r="I237" s="180">
        <v>30.5</v>
      </c>
      <c r="K237" s="316">
        <f>IFERROR(Table28[[#This Row],[ROUTE COST]]/Table28[[#This Row],[O - DEMAND]],0)</f>
        <v>0</v>
      </c>
      <c r="M237" s="180">
        <f>Table28[[#This Row],[O - DEMAND]]/950</f>
        <v>0</v>
      </c>
      <c r="N237" s="16">
        <f>IFERROR(VLOOKUP(Table28[[#This Row],[ROUTE]],DEMAND!A:F,5,FALSE),0)</f>
        <v>0</v>
      </c>
      <c r="O237" s="16">
        <f>IFERROR(VLOOKUP(Table28[[#This Row],[ROUTE]],DEMAND!A:F,6,FALSE),0)</f>
        <v>0</v>
      </c>
      <c r="P237" s="16">
        <f>ROUNDDOWN(Table28[[#This Row],[R-DEMAND]]/950,0)</f>
        <v>0</v>
      </c>
      <c r="Q237" s="16">
        <f>Table28[[#This Row],[ADD ACC
(475/950)]]*Table28[[#This Row],[Duration
(A359)]]</f>
        <v>0</v>
      </c>
      <c r="R237" s="16">
        <f>IFERROR(VLOOKUP(Table28[[#This Row],[ROUTE]],PRICING!A:B,2,FALSE),0)</f>
        <v>0</v>
      </c>
      <c r="S237" s="16">
        <f>Table28[[#This Row],[C_DEMAND]]-Table28[[#This Row],[R-DEMAND]]</f>
        <v>0</v>
      </c>
      <c r="T237" s="316">
        <f>Table28[[#This Row],[SEATS SOLD]]*Table28[[#This Row],[ECO SEAT]]</f>
        <v>0</v>
      </c>
      <c r="U237" s="316">
        <f>Table28[[#This Row],[SEATS SOLD]]*(IFERROR(VLOOKUP(Table28[[#This Row],[ROUTE]],PRICING!A:C,3,FALSE),0))</f>
        <v>0</v>
      </c>
      <c r="V237" s="316">
        <f>Table28[[#This Row],[SEAT REV]]-Table28[[#This Row],[SEAT REV
(IF IDEAL $)]]</f>
        <v>0</v>
      </c>
      <c r="AA237" s="26" t="s">
        <v>19585</v>
      </c>
      <c r="AB237" s="26" t="s">
        <v>71</v>
      </c>
      <c r="AC237" s="26" t="s">
        <v>4223</v>
      </c>
      <c r="AD237" s="174">
        <v>13678</v>
      </c>
      <c r="AE237" s="26">
        <v>2877</v>
      </c>
      <c r="AF237" s="16">
        <v>2877</v>
      </c>
      <c r="AS237" s="16" t="s">
        <v>533</v>
      </c>
      <c r="AT237" s="16" t="s">
        <v>16843</v>
      </c>
      <c r="AU237" s="16" t="s">
        <v>958</v>
      </c>
      <c r="AV237" s="16" t="s">
        <v>18878</v>
      </c>
      <c r="AW237" s="16" t="s">
        <v>18890</v>
      </c>
      <c r="AX237" s="16" t="s">
        <v>18944</v>
      </c>
      <c r="AY237" s="385">
        <v>9825</v>
      </c>
    </row>
    <row r="238" spans="1:51" x14ac:dyDescent="0.25">
      <c r="A238" s="16" t="s">
        <v>19507</v>
      </c>
      <c r="B238" s="16" t="s">
        <v>3883</v>
      </c>
      <c r="D238" s="16">
        <v>2</v>
      </c>
      <c r="E238" s="16" t="s">
        <v>172</v>
      </c>
      <c r="F238" s="16" t="str">
        <f>VLOOKUP(Table28[[#This Row],[Country]],Table10[[COUNTRY NAME]:[CONTINENT CODE]],3,FALSE)</f>
        <v>AS</v>
      </c>
      <c r="G238" s="16" t="s">
        <v>9929</v>
      </c>
      <c r="H238" s="181">
        <v>13127</v>
      </c>
      <c r="I238" s="180">
        <v>31</v>
      </c>
      <c r="K238" s="316">
        <f>IFERROR(Table28[[#This Row],[ROUTE COST]]/Table28[[#This Row],[O - DEMAND]],0)</f>
        <v>0</v>
      </c>
      <c r="M238" s="16">
        <f>Table28[[#This Row],[O - DEMAND]]/950</f>
        <v>0</v>
      </c>
      <c r="N238" s="16">
        <f>IFERROR(VLOOKUP(Table28[[#This Row],[ROUTE]],DEMAND!A:F,5,FALSE),0)</f>
        <v>0</v>
      </c>
      <c r="O238" s="16">
        <f>IFERROR(VLOOKUP(Table28[[#This Row],[ROUTE]],DEMAND!A:F,6,FALSE),0)</f>
        <v>0</v>
      </c>
      <c r="P238" s="16">
        <f>ROUNDDOWN(Table28[[#This Row],[R-DEMAND]]/950,0)</f>
        <v>0</v>
      </c>
      <c r="Q238" s="16">
        <f>Table28[[#This Row],[ADD ACC
(475/950)]]*Table28[[#This Row],[Duration
(A359)]]</f>
        <v>0</v>
      </c>
      <c r="R238" s="16">
        <f>IFERROR(VLOOKUP(Table28[[#This Row],[ROUTE]],PRICING!A:B,2,FALSE),0)</f>
        <v>0</v>
      </c>
      <c r="S238" s="16">
        <f>Table28[[#This Row],[C_DEMAND]]-Table28[[#This Row],[R-DEMAND]]</f>
        <v>0</v>
      </c>
      <c r="T238" s="316">
        <f>Table28[[#This Row],[SEATS SOLD]]*Table28[[#This Row],[ECO SEAT]]</f>
        <v>0</v>
      </c>
      <c r="U238" s="316">
        <f>Table28[[#This Row],[SEATS SOLD]]*(IFERROR(VLOOKUP(Table28[[#This Row],[ROUTE]],PRICING!A:C,3,FALSE),0))</f>
        <v>0</v>
      </c>
      <c r="V238" s="316">
        <f>Table28[[#This Row],[SEAT REV]]-Table28[[#This Row],[SEAT REV
(IF IDEAL $)]]</f>
        <v>0</v>
      </c>
      <c r="AA238" s="26" t="s">
        <v>19557</v>
      </c>
      <c r="AB238" s="26" t="s">
        <v>71</v>
      </c>
      <c r="AC238" s="26" t="s">
        <v>4611</v>
      </c>
      <c r="AD238" s="174">
        <v>13443</v>
      </c>
      <c r="AE238" s="26">
        <v>2969</v>
      </c>
      <c r="AF238" s="16">
        <v>2969</v>
      </c>
      <c r="AS238" s="16" t="s">
        <v>1070</v>
      </c>
      <c r="AT238" s="16" t="s">
        <v>12052</v>
      </c>
      <c r="AU238" s="16" t="s">
        <v>300</v>
      </c>
      <c r="AV238" s="16" t="s">
        <v>18884</v>
      </c>
      <c r="AW238" s="16" t="s">
        <v>18885</v>
      </c>
      <c r="AX238" s="16" t="s">
        <v>18944</v>
      </c>
      <c r="AY238" s="385">
        <v>9837</v>
      </c>
    </row>
    <row r="239" spans="1:51" x14ac:dyDescent="0.25">
      <c r="A239" s="16" t="s">
        <v>19183</v>
      </c>
      <c r="B239" s="16" t="s">
        <v>2618</v>
      </c>
      <c r="D239" s="16">
        <v>2</v>
      </c>
      <c r="E239" s="16" t="s">
        <v>14</v>
      </c>
      <c r="F239" s="16" t="str">
        <f>VLOOKUP(Table28[[#This Row],[Country]],Table10[[COUNTRY NAME]:[CONTINENT CODE]],3,FALSE)</f>
        <v>AS</v>
      </c>
      <c r="G239" s="16" t="s">
        <v>12036</v>
      </c>
      <c r="H239" s="181">
        <v>8958</v>
      </c>
      <c r="I239" s="180">
        <v>21.75</v>
      </c>
      <c r="K239" s="316">
        <f>IFERROR(Table28[[#This Row],[ROUTE COST]]/Table28[[#This Row],[O - DEMAND]],0)</f>
        <v>0</v>
      </c>
      <c r="M239" s="16">
        <f>Table28[[#This Row],[O - DEMAND]]/950</f>
        <v>0</v>
      </c>
      <c r="N239" s="16">
        <f>IFERROR(VLOOKUP(Table28[[#This Row],[ROUTE]],DEMAND!A:F,5,FALSE),0)</f>
        <v>0</v>
      </c>
      <c r="O239" s="16">
        <f>IFERROR(VLOOKUP(Table28[[#This Row],[ROUTE]],DEMAND!A:F,6,FALSE),0)</f>
        <v>0</v>
      </c>
      <c r="P239" s="16">
        <f>ROUNDDOWN(Table28[[#This Row],[R-DEMAND]]/950,0)</f>
        <v>0</v>
      </c>
      <c r="Q239" s="16">
        <f>Table28[[#This Row],[ADD ACC
(475/950)]]*Table28[[#This Row],[Duration
(A359)]]</f>
        <v>0</v>
      </c>
      <c r="R239" s="16">
        <f>IFERROR(VLOOKUP(Table28[[#This Row],[ROUTE]],PRICING!A:B,2,FALSE),0)</f>
        <v>0</v>
      </c>
      <c r="S239" s="16">
        <f>Table28[[#This Row],[C_DEMAND]]-Table28[[#This Row],[R-DEMAND]]</f>
        <v>0</v>
      </c>
      <c r="T239" s="316">
        <f>Table28[[#This Row],[SEATS SOLD]]*Table28[[#This Row],[ECO SEAT]]</f>
        <v>0</v>
      </c>
      <c r="U239" s="316">
        <f>Table28[[#This Row],[SEATS SOLD]]*(IFERROR(VLOOKUP(Table28[[#This Row],[ROUTE]],PRICING!A:C,3,FALSE),0))</f>
        <v>0</v>
      </c>
      <c r="V239" s="316">
        <f>Table28[[#This Row],[SEAT REV]]-Table28[[#This Row],[SEAT REV
(IF IDEAL $)]]</f>
        <v>0</v>
      </c>
      <c r="AA239" s="26" t="s">
        <v>19469</v>
      </c>
      <c r="AB239" s="26" t="s">
        <v>71</v>
      </c>
      <c r="AC239" s="26" t="s">
        <v>58</v>
      </c>
      <c r="AD239" s="174">
        <v>12922</v>
      </c>
      <c r="AE239" s="26">
        <v>3608</v>
      </c>
      <c r="AF239" s="16">
        <v>3608</v>
      </c>
      <c r="AS239" s="16" t="s">
        <v>14</v>
      </c>
      <c r="AT239" s="16" t="s">
        <v>11990</v>
      </c>
      <c r="AU239" s="16" t="s">
        <v>3025</v>
      </c>
      <c r="AV239" s="16" t="s">
        <v>18892</v>
      </c>
      <c r="AW239" s="16" t="s">
        <v>18879</v>
      </c>
      <c r="AX239" s="16" t="s">
        <v>18944</v>
      </c>
      <c r="AY239" s="385">
        <v>9871</v>
      </c>
    </row>
    <row r="240" spans="1:51" x14ac:dyDescent="0.25">
      <c r="A240" s="16" t="s">
        <v>19677</v>
      </c>
      <c r="B240" s="16" t="s">
        <v>4578</v>
      </c>
      <c r="D240" s="16">
        <v>2</v>
      </c>
      <c r="E240" s="16" t="s">
        <v>860</v>
      </c>
      <c r="F240" s="16" t="str">
        <f>VLOOKUP(Table28[[#This Row],[Country]],Table10[[COUNTRY NAME]:[CONTINENT CODE]],3,FALSE)</f>
        <v>SA</v>
      </c>
      <c r="G240" s="16" t="s">
        <v>17025</v>
      </c>
      <c r="H240" s="181">
        <v>14315</v>
      </c>
      <c r="I240" s="180">
        <v>33.5</v>
      </c>
      <c r="K240" s="316">
        <f>IFERROR(Table28[[#This Row],[ROUTE COST]]/Table28[[#This Row],[O - DEMAND]],0)</f>
        <v>0</v>
      </c>
      <c r="M240" s="16">
        <f>Table28[[#This Row],[O - DEMAND]]/950</f>
        <v>0</v>
      </c>
      <c r="N240" s="16">
        <f>IFERROR(VLOOKUP(Table28[[#This Row],[ROUTE]],DEMAND!A:F,5,FALSE),0)</f>
        <v>0</v>
      </c>
      <c r="O240" s="16">
        <f>IFERROR(VLOOKUP(Table28[[#This Row],[ROUTE]],DEMAND!A:F,6,FALSE),0)</f>
        <v>0</v>
      </c>
      <c r="P240" s="16">
        <f>ROUNDDOWN(Table28[[#This Row],[R-DEMAND]]/950,0)</f>
        <v>0</v>
      </c>
      <c r="Q240" s="16">
        <f>Table28[[#This Row],[ADD ACC
(475/950)]]*Table28[[#This Row],[Duration
(A359)]]</f>
        <v>0</v>
      </c>
      <c r="R240" s="16">
        <f>IFERROR(VLOOKUP(Table28[[#This Row],[ROUTE]],PRICING!A:B,2,FALSE),0)</f>
        <v>0</v>
      </c>
      <c r="S240" s="16">
        <f>Table28[[#This Row],[C_DEMAND]]-Table28[[#This Row],[R-DEMAND]]</f>
        <v>0</v>
      </c>
      <c r="T240" s="316">
        <f>Table28[[#This Row],[SEATS SOLD]]*Table28[[#This Row],[ECO SEAT]]</f>
        <v>0</v>
      </c>
      <c r="U240" s="316">
        <f>Table28[[#This Row],[SEATS SOLD]]*(IFERROR(VLOOKUP(Table28[[#This Row],[ROUTE]],PRICING!A:C,3,FALSE),0))</f>
        <v>0</v>
      </c>
      <c r="V240" s="316">
        <f>Table28[[#This Row],[SEAT REV]]-Table28[[#This Row],[SEAT REV
(IF IDEAL $)]]</f>
        <v>0</v>
      </c>
      <c r="AA240" s="26" t="s">
        <v>19472</v>
      </c>
      <c r="AB240" s="26" t="s">
        <v>71</v>
      </c>
      <c r="AC240" s="26" t="s">
        <v>5070</v>
      </c>
      <c r="AD240" s="174">
        <v>12935</v>
      </c>
      <c r="AE240" s="26">
        <v>2716</v>
      </c>
      <c r="AF240" s="16">
        <v>2716</v>
      </c>
      <c r="AS240" s="16" t="s">
        <v>11669</v>
      </c>
      <c r="AT240" s="16" t="s">
        <v>9714</v>
      </c>
      <c r="AU240" s="16" t="s">
        <v>841</v>
      </c>
      <c r="AV240" s="16" t="s">
        <v>18878</v>
      </c>
      <c r="AW240" s="16" t="s">
        <v>18890</v>
      </c>
      <c r="AX240" s="16" t="s">
        <v>18905</v>
      </c>
      <c r="AY240" s="385">
        <v>9949</v>
      </c>
    </row>
    <row r="241" spans="1:51" x14ac:dyDescent="0.25">
      <c r="A241" s="16" t="s">
        <v>19632</v>
      </c>
      <c r="B241" s="16" t="s">
        <v>2914</v>
      </c>
      <c r="D241" s="16">
        <v>2</v>
      </c>
      <c r="E241" s="16" t="s">
        <v>700</v>
      </c>
      <c r="F241" s="16" t="str">
        <f>VLOOKUP(Table28[[#This Row],[Country]],Table10[[COUNTRY NAME]:[CONTINENT CODE]],3,FALSE)</f>
        <v>AS</v>
      </c>
      <c r="G241" s="16" t="s">
        <v>9893</v>
      </c>
      <c r="H241" s="181">
        <v>14049</v>
      </c>
      <c r="I241" s="180">
        <v>33</v>
      </c>
      <c r="K241" s="316">
        <f>IFERROR(Table28[[#This Row],[ROUTE COST]]/Table28[[#This Row],[O - DEMAND]],0)</f>
        <v>0</v>
      </c>
      <c r="M241" s="16">
        <f>Table28[[#This Row],[O - DEMAND]]/950</f>
        <v>0</v>
      </c>
      <c r="N241" s="16">
        <f>IFERROR(VLOOKUP(Table28[[#This Row],[ROUTE]],DEMAND!A:F,5,FALSE),0)</f>
        <v>0</v>
      </c>
      <c r="O241" s="16">
        <f>IFERROR(VLOOKUP(Table28[[#This Row],[ROUTE]],DEMAND!A:F,6,FALSE),0)</f>
        <v>0</v>
      </c>
      <c r="P241" s="16">
        <f>ROUNDDOWN(Table28[[#This Row],[R-DEMAND]]/950,0)</f>
        <v>0</v>
      </c>
      <c r="Q241" s="16">
        <f>Table28[[#This Row],[ADD ACC
(475/950)]]*Table28[[#This Row],[Duration
(A359)]]</f>
        <v>0</v>
      </c>
      <c r="R241" s="16">
        <f>IFERROR(VLOOKUP(Table28[[#This Row],[ROUTE]],PRICING!A:B,2,FALSE),0)</f>
        <v>0</v>
      </c>
      <c r="S241" s="16">
        <f>Table28[[#This Row],[C_DEMAND]]-Table28[[#This Row],[R-DEMAND]]</f>
        <v>0</v>
      </c>
      <c r="T241" s="316">
        <f>Table28[[#This Row],[SEATS SOLD]]*Table28[[#This Row],[ECO SEAT]]</f>
        <v>0</v>
      </c>
      <c r="U241" s="316">
        <f>Table28[[#This Row],[SEATS SOLD]]*(IFERROR(VLOOKUP(Table28[[#This Row],[ROUTE]],PRICING!A:C,3,FALSE),0))</f>
        <v>0</v>
      </c>
      <c r="V241" s="316">
        <f>Table28[[#This Row],[SEAT REV]]-Table28[[#This Row],[SEAT REV
(IF IDEAL $)]]</f>
        <v>0</v>
      </c>
      <c r="AA241" s="26" t="s">
        <v>19657</v>
      </c>
      <c r="AB241" s="26" t="s">
        <v>71</v>
      </c>
      <c r="AC241" s="26" t="s">
        <v>55</v>
      </c>
      <c r="AD241" s="174">
        <v>14171</v>
      </c>
      <c r="AE241" s="26">
        <v>2122</v>
      </c>
      <c r="AF241" s="16">
        <v>2122</v>
      </c>
      <c r="AS241" s="16" t="s">
        <v>1070</v>
      </c>
      <c r="AT241" s="16" t="s">
        <v>16824</v>
      </c>
      <c r="AU241" s="16" t="s">
        <v>4841</v>
      </c>
      <c r="AV241" s="16" t="s">
        <v>18878</v>
      </c>
      <c r="AW241" s="16" t="s">
        <v>18885</v>
      </c>
      <c r="AX241" s="16" t="s">
        <v>18905</v>
      </c>
      <c r="AY241" s="385">
        <v>10020</v>
      </c>
    </row>
    <row r="242" spans="1:51" x14ac:dyDescent="0.25">
      <c r="A242" s="16" t="s">
        <v>19620</v>
      </c>
      <c r="B242" s="16" t="s">
        <v>4198</v>
      </c>
      <c r="D242" s="16">
        <v>2</v>
      </c>
      <c r="E242" s="16" t="s">
        <v>700</v>
      </c>
      <c r="F242" s="16" t="str">
        <f>VLOOKUP(Table28[[#This Row],[Country]],Table10[[COUNTRY NAME]:[CONTINENT CODE]],3,FALSE)</f>
        <v>AS</v>
      </c>
      <c r="G242" s="16" t="s">
        <v>9890</v>
      </c>
      <c r="H242" s="181">
        <v>13923</v>
      </c>
      <c r="I242" s="180">
        <v>32.75</v>
      </c>
      <c r="K242" s="316">
        <f>IFERROR(Table28[[#This Row],[ROUTE COST]]/Table28[[#This Row],[O - DEMAND]],0)</f>
        <v>0</v>
      </c>
      <c r="M242" s="16">
        <f>Table28[[#This Row],[O - DEMAND]]/950</f>
        <v>0</v>
      </c>
      <c r="N242" s="16">
        <f>IFERROR(VLOOKUP(Table28[[#This Row],[ROUTE]],DEMAND!A:F,5,FALSE),0)</f>
        <v>0</v>
      </c>
      <c r="O242" s="16">
        <f>IFERROR(VLOOKUP(Table28[[#This Row],[ROUTE]],DEMAND!A:F,6,FALSE),0)</f>
        <v>0</v>
      </c>
      <c r="P242" s="16">
        <f>ROUNDDOWN(Table28[[#This Row],[R-DEMAND]]/950,0)</f>
        <v>0</v>
      </c>
      <c r="Q242" s="16">
        <f>Table28[[#This Row],[ADD ACC
(475/950)]]*Table28[[#This Row],[Duration
(A359)]]</f>
        <v>0</v>
      </c>
      <c r="R242" s="16">
        <f>IFERROR(VLOOKUP(Table28[[#This Row],[ROUTE]],PRICING!A:B,2,FALSE),0)</f>
        <v>0</v>
      </c>
      <c r="S242" s="16">
        <f>Table28[[#This Row],[C_DEMAND]]-Table28[[#This Row],[R-DEMAND]]</f>
        <v>0</v>
      </c>
      <c r="T242" s="316">
        <f>Table28[[#This Row],[SEATS SOLD]]*Table28[[#This Row],[ECO SEAT]]</f>
        <v>0</v>
      </c>
      <c r="U242" s="316">
        <f>Table28[[#This Row],[SEATS SOLD]]*(IFERROR(VLOOKUP(Table28[[#This Row],[ROUTE]],PRICING!A:C,3,FALSE),0))</f>
        <v>0</v>
      </c>
      <c r="V242" s="316">
        <f>Table28[[#This Row],[SEAT REV]]-Table28[[#This Row],[SEAT REV
(IF IDEAL $)]]</f>
        <v>0</v>
      </c>
      <c r="AA242" s="26" t="s">
        <v>19162</v>
      </c>
      <c r="AB242" s="26" t="s">
        <v>71</v>
      </c>
      <c r="AC242" s="26" t="s">
        <v>52</v>
      </c>
      <c r="AD242" s="174">
        <v>8625</v>
      </c>
      <c r="AE242" s="26">
        <v>2957</v>
      </c>
      <c r="AF242" s="16">
        <v>2957</v>
      </c>
      <c r="AS242" s="16" t="s">
        <v>1070</v>
      </c>
      <c r="AT242" s="16" t="s">
        <v>16820</v>
      </c>
      <c r="AU242" s="16" t="s">
        <v>5137</v>
      </c>
      <c r="AV242" s="16" t="s">
        <v>18878</v>
      </c>
      <c r="AW242" s="16" t="s">
        <v>18885</v>
      </c>
      <c r="AX242" s="16" t="s">
        <v>18943</v>
      </c>
      <c r="AY242" s="385">
        <v>10039</v>
      </c>
    </row>
    <row r="243" spans="1:51" x14ac:dyDescent="0.25">
      <c r="A243" s="16" t="s">
        <v>19710</v>
      </c>
      <c r="B243" s="16" t="s">
        <v>316</v>
      </c>
      <c r="C243" s="16" t="s">
        <v>467</v>
      </c>
      <c r="D243" s="16">
        <v>3</v>
      </c>
      <c r="E243" s="16" t="s">
        <v>700</v>
      </c>
      <c r="F243" s="16" t="str">
        <f>VLOOKUP(Table28[[#This Row],[Country]],Table10[[COUNTRY NAME]:[CONTINENT CODE]],3,FALSE)</f>
        <v>AS</v>
      </c>
      <c r="G243" s="16" t="s">
        <v>11858</v>
      </c>
      <c r="H243" s="181">
        <v>14599</v>
      </c>
      <c r="I243" s="180">
        <v>34.25</v>
      </c>
      <c r="K243" s="316">
        <f>IFERROR(Table28[[#This Row],[ROUTE COST]]/Table28[[#This Row],[O - DEMAND]],0)</f>
        <v>0</v>
      </c>
      <c r="M243" s="16">
        <f>Table28[[#This Row],[O - DEMAND]]/950</f>
        <v>0</v>
      </c>
      <c r="N243" s="16">
        <f>IFERROR(VLOOKUP(Table28[[#This Row],[ROUTE]],DEMAND!A:F,5,FALSE),0)</f>
        <v>2529</v>
      </c>
      <c r="O243" s="16">
        <f>IFERROR(VLOOKUP(Table28[[#This Row],[ROUTE]],DEMAND!A:F,6,FALSE),0)</f>
        <v>629</v>
      </c>
      <c r="P243" s="16">
        <f>ROUNDDOWN(Table28[[#This Row],[R-DEMAND]]/950,0)</f>
        <v>0</v>
      </c>
      <c r="Q243" s="16">
        <f>Table28[[#This Row],[ADD ACC
(475/950)]]*Table28[[#This Row],[Duration
(A359)]]</f>
        <v>0</v>
      </c>
      <c r="R243" s="16">
        <f>IFERROR(VLOOKUP(Table28[[#This Row],[ROUTE]],PRICING!A:B,2,FALSE),0)</f>
        <v>0</v>
      </c>
      <c r="S243" s="16">
        <f>Table28[[#This Row],[C_DEMAND]]-Table28[[#This Row],[R-DEMAND]]</f>
        <v>1900</v>
      </c>
      <c r="T243" s="316">
        <f>Table28[[#This Row],[SEATS SOLD]]*Table28[[#This Row],[ECO SEAT]]</f>
        <v>0</v>
      </c>
      <c r="U243" s="316">
        <f>Table28[[#This Row],[SEATS SOLD]]*(IFERROR(VLOOKUP(Table28[[#This Row],[ROUTE]],PRICING!A:C,3,FALSE),0))</f>
        <v>0</v>
      </c>
      <c r="V243" s="316">
        <f>Table28[[#This Row],[SEAT REV]]-Table28[[#This Row],[SEAT REV
(IF IDEAL $)]]</f>
        <v>0</v>
      </c>
      <c r="AA243" s="26" t="s">
        <v>19235</v>
      </c>
      <c r="AB243" s="26" t="s">
        <v>71</v>
      </c>
      <c r="AC243" s="26" t="s">
        <v>4211</v>
      </c>
      <c r="AD243" s="174">
        <v>10048</v>
      </c>
      <c r="AE243" s="26">
        <v>3399</v>
      </c>
      <c r="AF243" s="16">
        <v>3399</v>
      </c>
      <c r="AS243" s="16" t="s">
        <v>938</v>
      </c>
      <c r="AT243" s="16" t="s">
        <v>11975</v>
      </c>
      <c r="AU243" s="16" t="s">
        <v>4211</v>
      </c>
      <c r="AV243" s="16" t="s">
        <v>18881</v>
      </c>
      <c r="AW243" s="16" t="s">
        <v>18879</v>
      </c>
      <c r="AX243" s="16" t="s">
        <v>18943</v>
      </c>
      <c r="AY243" s="385">
        <v>10048</v>
      </c>
    </row>
    <row r="244" spans="1:51" x14ac:dyDescent="0.25">
      <c r="A244" s="16" t="s">
        <v>19637</v>
      </c>
      <c r="B244" s="16" t="s">
        <v>3363</v>
      </c>
      <c r="E244" s="16" t="s">
        <v>1216</v>
      </c>
      <c r="F244" s="16" t="str">
        <f>VLOOKUP(Table28[[#This Row],[Country]],Table10[[COUNTRY NAME]:[CONTINENT CODE]],3,FALSE)</f>
        <v>AS</v>
      </c>
      <c r="G244" s="16" t="s">
        <v>11876</v>
      </c>
      <c r="H244" s="181">
        <v>14067</v>
      </c>
      <c r="I244" s="180">
        <v>33</v>
      </c>
      <c r="K244" s="316">
        <f>IFERROR(Table28[[#This Row],[ROUTE COST]]/Table28[[#This Row],[O - DEMAND]],0)</f>
        <v>0</v>
      </c>
      <c r="M244" s="16">
        <f>Table28[[#This Row],[O - DEMAND]]/950</f>
        <v>0</v>
      </c>
      <c r="N244" s="16">
        <f>IFERROR(VLOOKUP(Table28[[#This Row],[ROUTE]],DEMAND!A:F,5,FALSE),0)</f>
        <v>0</v>
      </c>
      <c r="O244" s="16">
        <f>IFERROR(VLOOKUP(Table28[[#This Row],[ROUTE]],DEMAND!A:F,6,FALSE),0)</f>
        <v>0</v>
      </c>
      <c r="P244" s="16">
        <f>ROUNDDOWN(Table28[[#This Row],[R-DEMAND]]/950,0)</f>
        <v>0</v>
      </c>
      <c r="Q244" s="16">
        <f>Table28[[#This Row],[ADD ACC
(475/950)]]*Table28[[#This Row],[Duration
(A359)]]</f>
        <v>0</v>
      </c>
      <c r="R244" s="16">
        <f>IFERROR(VLOOKUP(Table28[[#This Row],[ROUTE]],PRICING!A:B,2,FALSE),0)</f>
        <v>0</v>
      </c>
      <c r="S244" s="16">
        <f>Table28[[#This Row],[C_DEMAND]]-Table28[[#This Row],[R-DEMAND]]</f>
        <v>0</v>
      </c>
      <c r="T244" s="316">
        <f>Table28[[#This Row],[SEATS SOLD]]*Table28[[#This Row],[ECO SEAT]]</f>
        <v>0</v>
      </c>
      <c r="U244" s="316">
        <f>Table28[[#This Row],[SEATS SOLD]]*(IFERROR(VLOOKUP(Table28[[#This Row],[ROUTE]],PRICING!A:C,3,FALSE),0))</f>
        <v>0</v>
      </c>
      <c r="V244" s="316">
        <f>Table28[[#This Row],[SEAT REV]]-Table28[[#This Row],[SEAT REV
(IF IDEAL $)]]</f>
        <v>0</v>
      </c>
      <c r="AA244" s="26" t="s">
        <v>19076</v>
      </c>
      <c r="AB244" s="26" t="s">
        <v>71</v>
      </c>
      <c r="AC244" s="26" t="s">
        <v>47</v>
      </c>
      <c r="AD244" s="174">
        <v>7287</v>
      </c>
      <c r="AE244" s="26">
        <v>2649</v>
      </c>
      <c r="AF244" s="16">
        <v>2649</v>
      </c>
      <c r="AS244" s="16" t="s">
        <v>14</v>
      </c>
      <c r="AT244" s="16" t="s">
        <v>10058</v>
      </c>
      <c r="AU244" s="16" t="s">
        <v>3070</v>
      </c>
      <c r="AV244" s="16" t="s">
        <v>18892</v>
      </c>
      <c r="AW244" s="16" t="s">
        <v>18879</v>
      </c>
      <c r="AX244" s="16" t="s">
        <v>18943</v>
      </c>
      <c r="AY244" s="385">
        <v>10067</v>
      </c>
    </row>
    <row r="245" spans="1:51" x14ac:dyDescent="0.25">
      <c r="A245" s="16" t="s">
        <v>19583</v>
      </c>
      <c r="B245" s="16" t="s">
        <v>4779</v>
      </c>
      <c r="C245" s="16" t="s">
        <v>467</v>
      </c>
      <c r="D245" s="16">
        <v>3</v>
      </c>
      <c r="E245" s="16" t="s">
        <v>1270</v>
      </c>
      <c r="F245" s="16" t="str">
        <f>VLOOKUP(Table28[[#This Row],[Country]],Table10[[COUNTRY NAME]:[CONTINENT CODE]],3,FALSE)</f>
        <v>AS</v>
      </c>
      <c r="G245" s="16" t="s">
        <v>11912</v>
      </c>
      <c r="H245" s="181">
        <v>13669</v>
      </c>
      <c r="I245" s="180">
        <v>32.25</v>
      </c>
      <c r="K245" s="316">
        <f>IFERROR(Table28[[#This Row],[ROUTE COST]]/Table28[[#This Row],[O - DEMAND]],0)</f>
        <v>0</v>
      </c>
      <c r="M245" s="16">
        <f>Table28[[#This Row],[O - DEMAND]]/950</f>
        <v>0</v>
      </c>
      <c r="N245" s="16">
        <f>IFERROR(VLOOKUP(Table28[[#This Row],[ROUTE]],DEMAND!A:F,5,FALSE),0)</f>
        <v>2990</v>
      </c>
      <c r="O245" s="16">
        <f>IFERROR(VLOOKUP(Table28[[#This Row],[ROUTE]],DEMAND!A:F,6,FALSE),0)</f>
        <v>140</v>
      </c>
      <c r="P245" s="16">
        <f>ROUNDDOWN(Table28[[#This Row],[R-DEMAND]]/950,0)</f>
        <v>0</v>
      </c>
      <c r="Q245" s="16">
        <f>Table28[[#This Row],[ADD ACC
(475/950)]]*Table28[[#This Row],[Duration
(A359)]]</f>
        <v>0</v>
      </c>
      <c r="R245" s="16">
        <f>IFERROR(VLOOKUP(Table28[[#This Row],[ROUTE]],PRICING!A:B,2,FALSE),0)</f>
        <v>0</v>
      </c>
      <c r="S245" s="16">
        <f>Table28[[#This Row],[C_DEMAND]]-Table28[[#This Row],[R-DEMAND]]</f>
        <v>2850</v>
      </c>
      <c r="T245" s="316">
        <f>Table28[[#This Row],[SEATS SOLD]]*Table28[[#This Row],[ECO SEAT]]</f>
        <v>0</v>
      </c>
      <c r="U245" s="316">
        <f>Table28[[#This Row],[SEATS SOLD]]*(IFERROR(VLOOKUP(Table28[[#This Row],[ROUTE]],PRICING!A:C,3,FALSE),0))</f>
        <v>0</v>
      </c>
      <c r="V245" s="316">
        <f>Table28[[#This Row],[SEAT REV]]-Table28[[#This Row],[SEAT REV
(IF IDEAL $)]]</f>
        <v>0</v>
      </c>
      <c r="AA245" s="26" t="s">
        <v>19074</v>
      </c>
      <c r="AB245" s="26" t="s">
        <v>71</v>
      </c>
      <c r="AC245" s="26" t="s">
        <v>5257</v>
      </c>
      <c r="AD245" s="174">
        <v>7272</v>
      </c>
      <c r="AE245" s="26">
        <v>2194</v>
      </c>
      <c r="AF245" s="16">
        <v>2194</v>
      </c>
      <c r="AS245" s="16" t="s">
        <v>533</v>
      </c>
      <c r="AT245" s="16" t="s">
        <v>11999</v>
      </c>
      <c r="AU245" s="16" t="s">
        <v>40</v>
      </c>
      <c r="AV245" s="16" t="s">
        <v>18881</v>
      </c>
      <c r="AW245" s="16" t="s">
        <v>18879</v>
      </c>
      <c r="AX245" s="16" t="s">
        <v>18943</v>
      </c>
      <c r="AY245" s="385">
        <v>10113</v>
      </c>
    </row>
    <row r="246" spans="1:51" x14ac:dyDescent="0.25">
      <c r="A246" s="16" t="s">
        <v>19700</v>
      </c>
      <c r="B246" s="16" t="s">
        <v>3066</v>
      </c>
      <c r="D246" s="16">
        <v>2</v>
      </c>
      <c r="E246" s="16" t="s">
        <v>860</v>
      </c>
      <c r="F246" s="16" t="str">
        <f>VLOOKUP(Table28[[#This Row],[Country]],Table10[[COUNTRY NAME]:[CONTINENT CODE]],3,FALSE)</f>
        <v>SA</v>
      </c>
      <c r="G246" s="16" t="s">
        <v>17024</v>
      </c>
      <c r="H246" s="181">
        <v>14522</v>
      </c>
      <c r="I246" s="180">
        <v>34</v>
      </c>
      <c r="K246" s="316">
        <f>IFERROR(Table28[[#This Row],[ROUTE COST]]/Table28[[#This Row],[O - DEMAND]],0)</f>
        <v>0</v>
      </c>
      <c r="M246" s="16">
        <f>Table28[[#This Row],[O - DEMAND]]/950</f>
        <v>0</v>
      </c>
      <c r="N246" s="16">
        <f>IFERROR(VLOOKUP(Table28[[#This Row],[ROUTE]],DEMAND!A:F,5,FALSE),0)</f>
        <v>0</v>
      </c>
      <c r="O246" s="16">
        <f>IFERROR(VLOOKUP(Table28[[#This Row],[ROUTE]],DEMAND!A:F,6,FALSE),0)</f>
        <v>0</v>
      </c>
      <c r="P246" s="16">
        <f>ROUNDDOWN(Table28[[#This Row],[R-DEMAND]]/950,0)</f>
        <v>0</v>
      </c>
      <c r="Q246" s="16">
        <f>Table28[[#This Row],[ADD ACC
(475/950)]]*Table28[[#This Row],[Duration
(A359)]]</f>
        <v>0</v>
      </c>
      <c r="R246" s="16">
        <f>IFERROR(VLOOKUP(Table28[[#This Row],[ROUTE]],PRICING!A:B,2,FALSE),0)</f>
        <v>0</v>
      </c>
      <c r="S246" s="16">
        <f>Table28[[#This Row],[C_DEMAND]]-Table28[[#This Row],[R-DEMAND]]</f>
        <v>0</v>
      </c>
      <c r="T246" s="316">
        <f>Table28[[#This Row],[SEATS SOLD]]*Table28[[#This Row],[ECO SEAT]]</f>
        <v>0</v>
      </c>
      <c r="U246" s="316">
        <f>Table28[[#This Row],[SEATS SOLD]]*(IFERROR(VLOOKUP(Table28[[#This Row],[ROUTE]],PRICING!A:C,3,FALSE),0))</f>
        <v>0</v>
      </c>
      <c r="V246" s="316">
        <f>Table28[[#This Row],[SEAT REV]]-Table28[[#This Row],[SEAT REV
(IF IDEAL $)]]</f>
        <v>0</v>
      </c>
      <c r="AA246" s="26" t="s">
        <v>19374</v>
      </c>
      <c r="AB246" s="26" t="s">
        <v>71</v>
      </c>
      <c r="AC246" s="26" t="s">
        <v>4677</v>
      </c>
      <c r="AD246" s="174">
        <v>12227</v>
      </c>
      <c r="AE246" s="26">
        <v>2865</v>
      </c>
      <c r="AF246" s="16">
        <v>2865</v>
      </c>
      <c r="AS246" s="16" t="s">
        <v>530</v>
      </c>
      <c r="AT246" s="16" t="s">
        <v>10738</v>
      </c>
      <c r="AU246" s="16" t="s">
        <v>3557</v>
      </c>
      <c r="AV246" s="16" t="s">
        <v>18878</v>
      </c>
      <c r="AW246" s="16" t="s">
        <v>18879</v>
      </c>
      <c r="AX246" s="16" t="s">
        <v>18938</v>
      </c>
      <c r="AY246" s="385">
        <v>10149</v>
      </c>
    </row>
    <row r="247" spans="1:51" x14ac:dyDescent="0.25">
      <c r="A247" s="16" t="s">
        <v>19326</v>
      </c>
      <c r="B247" s="16" t="s">
        <v>312</v>
      </c>
      <c r="C247" s="16" t="s">
        <v>467</v>
      </c>
      <c r="D247" s="16">
        <v>4</v>
      </c>
      <c r="E247" s="16" t="s">
        <v>11669</v>
      </c>
      <c r="F247" s="16" t="str">
        <f>VLOOKUP(Table28[[#This Row],[Country]],Table10[[COUNTRY NAME]:[CONTINENT CODE]],3,FALSE)</f>
        <v>SA</v>
      </c>
      <c r="G247" s="16" t="s">
        <v>13142</v>
      </c>
      <c r="H247" s="181">
        <v>11769</v>
      </c>
      <c r="I247" s="180">
        <v>28</v>
      </c>
      <c r="K247" s="316">
        <f>IFERROR(Table28[[#This Row],[ROUTE COST]]/Table28[[#This Row],[O - DEMAND]],0)</f>
        <v>0</v>
      </c>
      <c r="M247" s="16">
        <f>Table28[[#This Row],[O - DEMAND]]/950</f>
        <v>0</v>
      </c>
      <c r="N247" s="16">
        <f>IFERROR(VLOOKUP(Table28[[#This Row],[ROUTE]],DEMAND!A:F,5,FALSE),0)</f>
        <v>3131</v>
      </c>
      <c r="O247" s="16">
        <f>IFERROR(VLOOKUP(Table28[[#This Row],[ROUTE]],DEMAND!A:F,6,FALSE),0)</f>
        <v>281</v>
      </c>
      <c r="P247" s="16">
        <f>ROUNDDOWN(Table28[[#This Row],[R-DEMAND]]/950,0)</f>
        <v>0</v>
      </c>
      <c r="Q247" s="16">
        <f>Table28[[#This Row],[ADD ACC
(475/950)]]*Table28[[#This Row],[Duration
(A359)]]</f>
        <v>0</v>
      </c>
      <c r="R247" s="16">
        <f>IFERROR(VLOOKUP(Table28[[#This Row],[ROUTE]],PRICING!A:B,2,FALSE),0)</f>
        <v>0</v>
      </c>
      <c r="S247" s="16">
        <f>Table28[[#This Row],[C_DEMAND]]-Table28[[#This Row],[R-DEMAND]]</f>
        <v>2850</v>
      </c>
      <c r="T247" s="316">
        <f>Table28[[#This Row],[SEATS SOLD]]*Table28[[#This Row],[ECO SEAT]]</f>
        <v>0</v>
      </c>
      <c r="U247" s="316">
        <f>Table28[[#This Row],[SEATS SOLD]]*(IFERROR(VLOOKUP(Table28[[#This Row],[ROUTE]],PRICING!A:C,3,FALSE),0))</f>
        <v>0</v>
      </c>
      <c r="V247" s="316">
        <f>Table28[[#This Row],[SEAT REV]]-Table28[[#This Row],[SEAT REV
(IF IDEAL $)]]</f>
        <v>0</v>
      </c>
      <c r="AA247" s="26" t="s">
        <v>19173</v>
      </c>
      <c r="AB247" s="26" t="s">
        <v>71</v>
      </c>
      <c r="AC247" s="26" t="s">
        <v>42</v>
      </c>
      <c r="AD247" s="174">
        <v>8842</v>
      </c>
      <c r="AE247" s="26">
        <v>2907</v>
      </c>
      <c r="AF247" s="16">
        <v>2907</v>
      </c>
      <c r="AS247" s="16" t="s">
        <v>1070</v>
      </c>
      <c r="AT247" s="16" t="s">
        <v>12040</v>
      </c>
      <c r="AU247" s="16" t="s">
        <v>406</v>
      </c>
      <c r="AV247" s="16" t="s">
        <v>18884</v>
      </c>
      <c r="AW247" s="16" t="s">
        <v>18918</v>
      </c>
      <c r="AX247" s="16" t="s">
        <v>18938</v>
      </c>
      <c r="AY247" s="385">
        <v>10161</v>
      </c>
    </row>
    <row r="248" spans="1:51" x14ac:dyDescent="0.25">
      <c r="A248" s="16" t="s">
        <v>19369</v>
      </c>
      <c r="B248" s="16" t="s">
        <v>4475</v>
      </c>
      <c r="D248" s="16">
        <v>2</v>
      </c>
      <c r="E248" s="16" t="s">
        <v>11732</v>
      </c>
      <c r="F248" s="16" t="str">
        <f>VLOOKUP(Table28[[#This Row],[Country]],Table10[[COUNTRY NAME]:[CONTINENT CODE]],3,FALSE)</f>
        <v>NA - US</v>
      </c>
      <c r="G248" s="16" t="s">
        <v>11733</v>
      </c>
      <c r="H248" s="181">
        <v>12180</v>
      </c>
      <c r="I248" s="180">
        <v>28.75</v>
      </c>
      <c r="K248" s="316">
        <f>IFERROR(Table28[[#This Row],[ROUTE COST]]/Table28[[#This Row],[O - DEMAND]],0)</f>
        <v>0</v>
      </c>
      <c r="M248" s="180">
        <f>Table28[[#This Row],[O - DEMAND]]/950</f>
        <v>0</v>
      </c>
      <c r="N248" s="16">
        <f>IFERROR(VLOOKUP(Table28[[#This Row],[ROUTE]],DEMAND!A:F,5,FALSE),0)</f>
        <v>0</v>
      </c>
      <c r="O248" s="16">
        <f>IFERROR(VLOOKUP(Table28[[#This Row],[ROUTE]],DEMAND!A:F,6,FALSE),0)</f>
        <v>0</v>
      </c>
      <c r="P248" s="16">
        <f>ROUNDDOWN(Table28[[#This Row],[R-DEMAND]]/950,0)</f>
        <v>0</v>
      </c>
      <c r="Q248" s="16">
        <f>Table28[[#This Row],[ADD ACC
(475/950)]]*Table28[[#This Row],[Duration
(A359)]]</f>
        <v>0</v>
      </c>
      <c r="R248" s="16">
        <f>IFERROR(VLOOKUP(Table28[[#This Row],[ROUTE]],PRICING!A:B,2,FALSE),0)</f>
        <v>0</v>
      </c>
      <c r="S248" s="16">
        <f>Table28[[#This Row],[C_DEMAND]]-Table28[[#This Row],[R-DEMAND]]</f>
        <v>0</v>
      </c>
      <c r="T248" s="316">
        <f>Table28[[#This Row],[SEATS SOLD]]*Table28[[#This Row],[ECO SEAT]]</f>
        <v>0</v>
      </c>
      <c r="U248" s="316">
        <f>Table28[[#This Row],[SEATS SOLD]]*(IFERROR(VLOOKUP(Table28[[#This Row],[ROUTE]],PRICING!A:C,3,FALSE),0))</f>
        <v>0</v>
      </c>
      <c r="V248" s="316">
        <f>Table28[[#This Row],[SEAT REV]]-Table28[[#This Row],[SEAT REV
(IF IDEAL $)]]</f>
        <v>0</v>
      </c>
      <c r="AA248" s="26" t="s">
        <v>19377</v>
      </c>
      <c r="AB248" s="26" t="s">
        <v>71</v>
      </c>
      <c r="AC248" s="26" t="s">
        <v>3636</v>
      </c>
      <c r="AD248" s="174">
        <v>12252</v>
      </c>
      <c r="AE248" s="26">
        <v>2346</v>
      </c>
      <c r="AF248" s="16">
        <v>2346</v>
      </c>
      <c r="AS248" s="16" t="s">
        <v>2851</v>
      </c>
      <c r="AT248" s="16" t="s">
        <v>12007</v>
      </c>
      <c r="AU248" s="16" t="s">
        <v>3772</v>
      </c>
      <c r="AV248" s="16" t="s">
        <v>18892</v>
      </c>
      <c r="AW248" s="16" t="s">
        <v>18879</v>
      </c>
      <c r="AX248" s="16" t="s">
        <v>18938</v>
      </c>
      <c r="AY248" s="385">
        <v>10239</v>
      </c>
    </row>
    <row r="249" spans="1:51" x14ac:dyDescent="0.25">
      <c r="A249" s="16" t="s">
        <v>19671</v>
      </c>
      <c r="B249" s="16" t="s">
        <v>4322</v>
      </c>
      <c r="E249" s="16" t="s">
        <v>11732</v>
      </c>
      <c r="F249" s="16" t="str">
        <f>VLOOKUP(Table28[[#This Row],[Country]],Table10[[COUNTRY NAME]:[CONTINENT CODE]],3,FALSE)</f>
        <v>NA - US</v>
      </c>
      <c r="G249" s="16" t="s">
        <v>16968</v>
      </c>
      <c r="H249" s="181">
        <v>14273</v>
      </c>
      <c r="I249" s="180">
        <v>33.5</v>
      </c>
      <c r="K249" s="316">
        <f>IFERROR(Table28[[#This Row],[ROUTE COST]]/Table28[[#This Row],[O - DEMAND]],0)</f>
        <v>0</v>
      </c>
      <c r="M249" s="180">
        <f>Table28[[#This Row],[O - DEMAND]]/950</f>
        <v>0</v>
      </c>
      <c r="N249" s="16">
        <f>IFERROR(VLOOKUP(Table28[[#This Row],[ROUTE]],DEMAND!A:F,5,FALSE),0)</f>
        <v>0</v>
      </c>
      <c r="O249" s="16">
        <f>IFERROR(VLOOKUP(Table28[[#This Row],[ROUTE]],DEMAND!A:F,6,FALSE),0)</f>
        <v>0</v>
      </c>
      <c r="P249" s="16">
        <f>ROUNDDOWN(Table28[[#This Row],[R-DEMAND]]/950,0)</f>
        <v>0</v>
      </c>
      <c r="Q249" s="16">
        <f>Table28[[#This Row],[ADD ACC
(475/950)]]*Table28[[#This Row],[Duration
(A359)]]</f>
        <v>0</v>
      </c>
      <c r="R249" s="16">
        <f>IFERROR(VLOOKUP(Table28[[#This Row],[ROUTE]],PRICING!A:B,2,FALSE),0)</f>
        <v>0</v>
      </c>
      <c r="S249" s="16">
        <f>Table28[[#This Row],[C_DEMAND]]-Table28[[#This Row],[R-DEMAND]]</f>
        <v>0</v>
      </c>
      <c r="T249" s="316">
        <f>Table28[[#This Row],[SEATS SOLD]]*Table28[[#This Row],[ECO SEAT]]</f>
        <v>0</v>
      </c>
      <c r="U249" s="316">
        <f>Table28[[#This Row],[SEATS SOLD]]*(IFERROR(VLOOKUP(Table28[[#This Row],[ROUTE]],PRICING!A:C,3,FALSE),0))</f>
        <v>0</v>
      </c>
      <c r="V249" s="316">
        <f>Table28[[#This Row],[SEAT REV]]-Table28[[#This Row],[SEAT REV
(IF IDEAL $)]]</f>
        <v>0</v>
      </c>
      <c r="AA249" s="26" t="s">
        <v>19180</v>
      </c>
      <c r="AB249" s="26" t="s">
        <v>71</v>
      </c>
      <c r="AC249" s="26" t="s">
        <v>5331</v>
      </c>
      <c r="AD249" s="174">
        <v>8914</v>
      </c>
      <c r="AE249" s="26">
        <v>2899</v>
      </c>
      <c r="AF249" s="16">
        <v>2899</v>
      </c>
      <c r="AS249" s="16" t="s">
        <v>533</v>
      </c>
      <c r="AT249" s="16" t="s">
        <v>12004</v>
      </c>
      <c r="AU249" s="16" t="s">
        <v>390</v>
      </c>
      <c r="AV249" s="16" t="s">
        <v>18892</v>
      </c>
      <c r="AW249" s="16" t="s">
        <v>18890</v>
      </c>
      <c r="AX249" s="16" t="s">
        <v>18938</v>
      </c>
      <c r="AY249" s="385">
        <v>10246</v>
      </c>
    </row>
    <row r="250" spans="1:51" x14ac:dyDescent="0.25">
      <c r="A250" s="16" t="s">
        <v>19363</v>
      </c>
      <c r="B250" s="16" t="s">
        <v>4665</v>
      </c>
      <c r="D250" s="16">
        <v>3</v>
      </c>
      <c r="E250" s="16" t="s">
        <v>11732</v>
      </c>
      <c r="F250" s="16" t="str">
        <f>VLOOKUP(Table28[[#This Row],[Country]],Table10[[COUNTRY NAME]:[CONTINENT CODE]],3,FALSE)</f>
        <v>NA - US</v>
      </c>
      <c r="G250" s="16" t="s">
        <v>13266</v>
      </c>
      <c r="H250" s="181">
        <v>12112</v>
      </c>
      <c r="I250" s="180">
        <v>28.75</v>
      </c>
      <c r="K250" s="316">
        <f>IFERROR(Table28[[#This Row],[ROUTE COST]]/Table28[[#This Row],[O - DEMAND]],0)</f>
        <v>0</v>
      </c>
      <c r="M250" s="180">
        <f>Table28[[#This Row],[O - DEMAND]]/950</f>
        <v>0</v>
      </c>
      <c r="N250" s="16">
        <f>IFERROR(VLOOKUP(Table28[[#This Row],[ROUTE]],DEMAND!A:F,5,FALSE),0)</f>
        <v>0</v>
      </c>
      <c r="O250" s="16">
        <f>IFERROR(VLOOKUP(Table28[[#This Row],[ROUTE]],DEMAND!A:F,6,FALSE),0)</f>
        <v>0</v>
      </c>
      <c r="P250" s="16">
        <f>ROUNDDOWN(Table28[[#This Row],[R-DEMAND]]/950,0)</f>
        <v>0</v>
      </c>
      <c r="Q250" s="16">
        <f>Table28[[#This Row],[ADD ACC
(475/950)]]*Table28[[#This Row],[Duration
(A359)]]</f>
        <v>0</v>
      </c>
      <c r="R250" s="16">
        <f>IFERROR(VLOOKUP(Table28[[#This Row],[ROUTE]],PRICING!A:B,2,FALSE),0)</f>
        <v>0</v>
      </c>
      <c r="S250" s="16">
        <f>Table28[[#This Row],[C_DEMAND]]-Table28[[#This Row],[R-DEMAND]]</f>
        <v>0</v>
      </c>
      <c r="T250" s="316">
        <f>Table28[[#This Row],[SEATS SOLD]]*Table28[[#This Row],[ECO SEAT]]</f>
        <v>0</v>
      </c>
      <c r="U250" s="316">
        <f>Table28[[#This Row],[SEATS SOLD]]*(IFERROR(VLOOKUP(Table28[[#This Row],[ROUTE]],PRICING!A:C,3,FALSE),0))</f>
        <v>0</v>
      </c>
      <c r="V250" s="316">
        <f>Table28[[#This Row],[SEAT REV]]-Table28[[#This Row],[SEAT REV
(IF IDEAL $)]]</f>
        <v>0</v>
      </c>
      <c r="AA250" s="26" t="s">
        <v>19300</v>
      </c>
      <c r="AB250" s="26" t="s">
        <v>71</v>
      </c>
      <c r="AC250" s="26" t="s">
        <v>3628</v>
      </c>
      <c r="AD250" s="174">
        <v>11354</v>
      </c>
      <c r="AE250" s="26">
        <v>3439</v>
      </c>
      <c r="AF250" s="16">
        <v>3439</v>
      </c>
      <c r="AS250" s="16" t="s">
        <v>78</v>
      </c>
      <c r="AT250" s="16" t="s">
        <v>11980</v>
      </c>
      <c r="AU250" s="16" t="s">
        <v>2986</v>
      </c>
      <c r="AV250" s="16" t="s">
        <v>18892</v>
      </c>
      <c r="AW250" s="16" t="s">
        <v>18879</v>
      </c>
      <c r="AX250" s="16" t="s">
        <v>18938</v>
      </c>
      <c r="AY250" s="385">
        <v>10247</v>
      </c>
    </row>
    <row r="251" spans="1:51" x14ac:dyDescent="0.25">
      <c r="A251" s="16" t="s">
        <v>19371</v>
      </c>
      <c r="B251" s="16" t="s">
        <v>3313</v>
      </c>
      <c r="C251" s="16" t="s">
        <v>467</v>
      </c>
      <c r="D251" s="16">
        <v>2</v>
      </c>
      <c r="E251" s="16" t="s">
        <v>11823</v>
      </c>
      <c r="F251" s="16" t="str">
        <f>VLOOKUP(Table28[[#This Row],[Country]],Table10[[COUNTRY NAME]:[CONTINENT CODE]],3,FALSE)</f>
        <v>AF</v>
      </c>
      <c r="G251" s="16" t="s">
        <v>11873</v>
      </c>
      <c r="H251" s="181">
        <v>12208</v>
      </c>
      <c r="I251" s="180">
        <v>29</v>
      </c>
      <c r="K251" s="316">
        <f>IFERROR(Table28[[#This Row],[ROUTE COST]]/Table28[[#This Row],[O - DEMAND]],0)</f>
        <v>0</v>
      </c>
      <c r="M251" s="16">
        <f>Table28[[#This Row],[O - DEMAND]]/950</f>
        <v>0</v>
      </c>
      <c r="N251" s="16">
        <f>IFERROR(VLOOKUP(Table28[[#This Row],[ROUTE]],DEMAND!A:F,5,FALSE),0)</f>
        <v>3981</v>
      </c>
      <c r="O251" s="16">
        <f>IFERROR(VLOOKUP(Table28[[#This Row],[ROUTE]],DEMAND!A:F,6,FALSE),0)</f>
        <v>181</v>
      </c>
      <c r="P251" s="16">
        <f>ROUNDDOWN(Table28[[#This Row],[R-DEMAND]]/950,0)</f>
        <v>0</v>
      </c>
      <c r="Q251" s="16">
        <f>Table28[[#This Row],[ADD ACC
(475/950)]]*Table28[[#This Row],[Duration
(A359)]]</f>
        <v>0</v>
      </c>
      <c r="R251" s="16">
        <f>IFERROR(VLOOKUP(Table28[[#This Row],[ROUTE]],PRICING!A:B,2,FALSE),0)</f>
        <v>0</v>
      </c>
      <c r="S251" s="16">
        <f>Table28[[#This Row],[C_DEMAND]]-Table28[[#This Row],[R-DEMAND]]</f>
        <v>3800</v>
      </c>
      <c r="T251" s="316">
        <f>Table28[[#This Row],[SEATS SOLD]]*Table28[[#This Row],[ECO SEAT]]</f>
        <v>0</v>
      </c>
      <c r="U251" s="316">
        <f>Table28[[#This Row],[SEATS SOLD]]*(IFERROR(VLOOKUP(Table28[[#This Row],[ROUTE]],PRICING!A:C,3,FALSE),0))</f>
        <v>0</v>
      </c>
      <c r="V251" s="316">
        <f>Table28[[#This Row],[SEAT REV]]-Table28[[#This Row],[SEAT REV
(IF IDEAL $)]]</f>
        <v>0</v>
      </c>
      <c r="AA251" s="26" t="s">
        <v>19538</v>
      </c>
      <c r="AB251" s="26" t="s">
        <v>71</v>
      </c>
      <c r="AC251" s="26" t="s">
        <v>4685</v>
      </c>
      <c r="AD251" s="174">
        <v>13342</v>
      </c>
      <c r="AE251" s="26">
        <v>2749</v>
      </c>
      <c r="AF251" s="16">
        <v>2749</v>
      </c>
      <c r="AS251" s="16" t="s">
        <v>11669</v>
      </c>
      <c r="AT251" s="16" t="s">
        <v>16918</v>
      </c>
      <c r="AU251" s="16" t="s">
        <v>3495</v>
      </c>
      <c r="AV251" s="16" t="s">
        <v>18878</v>
      </c>
      <c r="AW251" s="16" t="s">
        <v>18879</v>
      </c>
      <c r="AX251" s="16" t="s">
        <v>18904</v>
      </c>
      <c r="AY251" s="385">
        <v>10338</v>
      </c>
    </row>
    <row r="252" spans="1:51" x14ac:dyDescent="0.25">
      <c r="A252" s="16" t="s">
        <v>19499</v>
      </c>
      <c r="B252" s="16" t="s">
        <v>3747</v>
      </c>
      <c r="E252" s="16" t="s">
        <v>11732</v>
      </c>
      <c r="F252" s="16" t="str">
        <f>VLOOKUP(Table28[[#This Row],[Country]],Table10[[COUNTRY NAME]:[CONTINENT CODE]],3,FALSE)</f>
        <v>NA - US</v>
      </c>
      <c r="G252" s="16" t="s">
        <v>16944</v>
      </c>
      <c r="H252" s="181">
        <v>13063</v>
      </c>
      <c r="I252" s="180">
        <v>30.75</v>
      </c>
      <c r="K252" s="316">
        <f>IFERROR(Table28[[#This Row],[ROUTE COST]]/Table28[[#This Row],[O - DEMAND]],0)</f>
        <v>0</v>
      </c>
      <c r="M252" s="180">
        <f>Table28[[#This Row],[O - DEMAND]]/950</f>
        <v>0</v>
      </c>
      <c r="N252" s="16">
        <f>IFERROR(VLOOKUP(Table28[[#This Row],[ROUTE]],DEMAND!A:F,5,FALSE),0)</f>
        <v>0</v>
      </c>
      <c r="O252" s="16">
        <f>IFERROR(VLOOKUP(Table28[[#This Row],[ROUTE]],DEMAND!A:F,6,FALSE),0)</f>
        <v>0</v>
      </c>
      <c r="P252" s="16">
        <f>ROUNDDOWN(Table28[[#This Row],[R-DEMAND]]/950,0)</f>
        <v>0</v>
      </c>
      <c r="Q252" s="16">
        <f>Table28[[#This Row],[ADD ACC
(475/950)]]*Table28[[#This Row],[Duration
(A359)]]</f>
        <v>0</v>
      </c>
      <c r="R252" s="16">
        <f>IFERROR(VLOOKUP(Table28[[#This Row],[ROUTE]],PRICING!A:B,2,FALSE),0)</f>
        <v>0</v>
      </c>
      <c r="S252" s="16">
        <f>Table28[[#This Row],[C_DEMAND]]-Table28[[#This Row],[R-DEMAND]]</f>
        <v>0</v>
      </c>
      <c r="T252" s="316">
        <f>Table28[[#This Row],[SEATS SOLD]]*Table28[[#This Row],[ECO SEAT]]</f>
        <v>0</v>
      </c>
      <c r="U252" s="316">
        <f>Table28[[#This Row],[SEATS SOLD]]*(IFERROR(VLOOKUP(Table28[[#This Row],[ROUTE]],PRICING!A:C,3,FALSE),0))</f>
        <v>0</v>
      </c>
      <c r="V252" s="316">
        <f>Table28[[#This Row],[SEAT REV]]-Table28[[#This Row],[SEAT REV
(IF IDEAL $)]]</f>
        <v>0</v>
      </c>
      <c r="AA252" s="26" t="s">
        <v>19577</v>
      </c>
      <c r="AB252" s="26" t="s">
        <v>71</v>
      </c>
      <c r="AC252" s="26" t="s">
        <v>5336</v>
      </c>
      <c r="AD252" s="174">
        <v>13612</v>
      </c>
      <c r="AE252" s="26">
        <v>3322</v>
      </c>
      <c r="AF252" s="16">
        <v>3322</v>
      </c>
      <c r="AS252" s="16" t="s">
        <v>1070</v>
      </c>
      <c r="AT252" s="16" t="s">
        <v>12028</v>
      </c>
      <c r="AU252" s="16" t="s">
        <v>240</v>
      </c>
      <c r="AV252" s="16" t="s">
        <v>18892</v>
      </c>
      <c r="AW252" s="16" t="s">
        <v>18885</v>
      </c>
      <c r="AX252" s="16" t="s">
        <v>18970</v>
      </c>
      <c r="AY252" s="385">
        <v>10424</v>
      </c>
    </row>
    <row r="253" spans="1:51" x14ac:dyDescent="0.25">
      <c r="A253" s="16" t="s">
        <v>19589</v>
      </c>
      <c r="B253" s="16" t="s">
        <v>4088</v>
      </c>
      <c r="C253" s="16" t="s">
        <v>467</v>
      </c>
      <c r="D253" s="16">
        <v>2</v>
      </c>
      <c r="E253" s="16" t="s">
        <v>11823</v>
      </c>
      <c r="F253" s="16" t="str">
        <f>VLOOKUP(Table28[[#This Row],[Country]],Table10[[COUNTRY NAME]:[CONTINENT CODE]],3,FALSE)</f>
        <v>AF</v>
      </c>
      <c r="G253" s="16" t="s">
        <v>11824</v>
      </c>
      <c r="H253" s="181">
        <v>13718</v>
      </c>
      <c r="I253" s="180">
        <v>32.25</v>
      </c>
      <c r="K253" s="316">
        <f>IFERROR(Table28[[#This Row],[ROUTE COST]]/Table28[[#This Row],[O - DEMAND]],0)</f>
        <v>0</v>
      </c>
      <c r="M253" s="16">
        <f>Table28[[#This Row],[O - DEMAND]]/950</f>
        <v>0</v>
      </c>
      <c r="N253" s="16">
        <f>IFERROR(VLOOKUP(Table28[[#This Row],[ROUTE]],DEMAND!A:F,5,FALSE),0)</f>
        <v>4218</v>
      </c>
      <c r="O253" s="16">
        <f>IFERROR(VLOOKUP(Table28[[#This Row],[ROUTE]],DEMAND!A:F,6,FALSE),0)</f>
        <v>1368</v>
      </c>
      <c r="P253" s="16">
        <f>ROUNDDOWN(Table28[[#This Row],[R-DEMAND]]/950,0)</f>
        <v>1</v>
      </c>
      <c r="Q253" s="16">
        <f>Table28[[#This Row],[ADD ACC
(475/950)]]*Table28[[#This Row],[Duration
(A359)]]</f>
        <v>32.25</v>
      </c>
      <c r="R253" s="16">
        <f>IFERROR(VLOOKUP(Table28[[#This Row],[ROUTE]],PRICING!A:B,2,FALSE),0)</f>
        <v>0</v>
      </c>
      <c r="S253" s="16">
        <f>Table28[[#This Row],[C_DEMAND]]-Table28[[#This Row],[R-DEMAND]]</f>
        <v>2850</v>
      </c>
      <c r="T253" s="316">
        <f>Table28[[#This Row],[SEATS SOLD]]*Table28[[#This Row],[ECO SEAT]]</f>
        <v>0</v>
      </c>
      <c r="U253" s="316">
        <f>Table28[[#This Row],[SEATS SOLD]]*(IFERROR(VLOOKUP(Table28[[#This Row],[ROUTE]],PRICING!A:C,3,FALSE),0))</f>
        <v>0</v>
      </c>
      <c r="V253" s="316">
        <f>Table28[[#This Row],[SEAT REV]]-Table28[[#This Row],[SEAT REV
(IF IDEAL $)]]</f>
        <v>0</v>
      </c>
      <c r="AA253" s="26" t="s">
        <v>19237</v>
      </c>
      <c r="AB253" s="26" t="s">
        <v>71</v>
      </c>
      <c r="AC253" s="26" t="s">
        <v>40</v>
      </c>
      <c r="AD253" s="174">
        <v>10113</v>
      </c>
      <c r="AE253" s="26">
        <v>2911</v>
      </c>
      <c r="AF253" s="16">
        <v>2911</v>
      </c>
      <c r="AS253" s="16" t="s">
        <v>1070</v>
      </c>
      <c r="AT253" s="16" t="s">
        <v>12027</v>
      </c>
      <c r="AU253" s="16" t="s">
        <v>339</v>
      </c>
      <c r="AV253" s="16" t="s">
        <v>18884</v>
      </c>
      <c r="AW253" s="16" t="s">
        <v>18918</v>
      </c>
      <c r="AX253" s="16" t="s">
        <v>18970</v>
      </c>
      <c r="AY253" s="385">
        <v>10438</v>
      </c>
    </row>
    <row r="254" spans="1:51" x14ac:dyDescent="0.25">
      <c r="A254" s="16" t="s">
        <v>19339</v>
      </c>
      <c r="B254" s="16" t="s">
        <v>1849</v>
      </c>
      <c r="D254" s="16">
        <v>1</v>
      </c>
      <c r="E254" s="16" t="s">
        <v>1847</v>
      </c>
      <c r="F254" s="16" t="str">
        <f>VLOOKUP(Table28[[#This Row],[Country]],Table10[[COUNTRY NAME]:[CONTINENT CODE]],3,FALSE)</f>
        <v>AS</v>
      </c>
      <c r="G254" s="16" t="s">
        <v>11983</v>
      </c>
      <c r="H254" s="181">
        <v>11955</v>
      </c>
      <c r="I254" s="180">
        <v>28.25</v>
      </c>
      <c r="K254" s="316">
        <f>IFERROR(Table28[[#This Row],[ROUTE COST]]/Table28[[#This Row],[O - DEMAND]],0)</f>
        <v>0</v>
      </c>
      <c r="M254" s="16">
        <f>Table28[[#This Row],[O - DEMAND]]/950</f>
        <v>0</v>
      </c>
      <c r="N254" s="16">
        <f>IFERROR(VLOOKUP(Table28[[#This Row],[ROUTE]],DEMAND!A:F,5,FALSE),0)</f>
        <v>0</v>
      </c>
      <c r="O254" s="16">
        <f>IFERROR(VLOOKUP(Table28[[#This Row],[ROUTE]],DEMAND!A:F,6,FALSE),0)</f>
        <v>0</v>
      </c>
      <c r="P254" s="16">
        <f>ROUNDDOWN(Table28[[#This Row],[R-DEMAND]]/950,0)</f>
        <v>0</v>
      </c>
      <c r="Q254" s="16">
        <f>Table28[[#This Row],[ADD ACC
(475/950)]]*Table28[[#This Row],[Duration
(A359)]]</f>
        <v>0</v>
      </c>
      <c r="R254" s="16">
        <f>IFERROR(VLOOKUP(Table28[[#This Row],[ROUTE]],PRICING!A:B,2,FALSE),0)</f>
        <v>0</v>
      </c>
      <c r="S254" s="16">
        <f>Table28[[#This Row],[C_DEMAND]]-Table28[[#This Row],[R-DEMAND]]</f>
        <v>0</v>
      </c>
      <c r="T254" s="316">
        <f>Table28[[#This Row],[SEATS SOLD]]*Table28[[#This Row],[ECO SEAT]]</f>
        <v>0</v>
      </c>
      <c r="U254" s="316">
        <f>Table28[[#This Row],[SEATS SOLD]]*(IFERROR(VLOOKUP(Table28[[#This Row],[ROUTE]],PRICING!A:C,3,FALSE),0))</f>
        <v>0</v>
      </c>
      <c r="V254" s="316">
        <f>Table28[[#This Row],[SEAT REV]]-Table28[[#This Row],[SEAT REV
(IF IDEAL $)]]</f>
        <v>0</v>
      </c>
      <c r="AA254" s="26" t="s">
        <v>19261</v>
      </c>
      <c r="AB254" s="26" t="s">
        <v>71</v>
      </c>
      <c r="AC254" s="26" t="s">
        <v>34</v>
      </c>
      <c r="AD254" s="174">
        <v>10792</v>
      </c>
      <c r="AE254" s="26">
        <v>3313</v>
      </c>
      <c r="AF254" s="16">
        <v>3313</v>
      </c>
      <c r="AS254" s="16" t="s">
        <v>1070</v>
      </c>
      <c r="AT254" s="16" t="s">
        <v>12031</v>
      </c>
      <c r="AU254" s="16" t="s">
        <v>448</v>
      </c>
      <c r="AV254" s="16" t="s">
        <v>18884</v>
      </c>
      <c r="AW254" s="16" t="s">
        <v>18885</v>
      </c>
      <c r="AX254" s="16" t="s">
        <v>18970</v>
      </c>
      <c r="AY254" s="385">
        <v>10439</v>
      </c>
    </row>
    <row r="255" spans="1:51" x14ac:dyDescent="0.25">
      <c r="A255" s="16" t="s">
        <v>19529</v>
      </c>
      <c r="B255" s="16" t="s">
        <v>3339</v>
      </c>
      <c r="C255" s="16" t="s">
        <v>467</v>
      </c>
      <c r="D255" s="16">
        <v>2</v>
      </c>
      <c r="E255" s="16" t="s">
        <v>11823</v>
      </c>
      <c r="F255" s="16" t="str">
        <f>VLOOKUP(Table28[[#This Row],[Country]],Table10[[COUNTRY NAME]:[CONTINENT CODE]],3,FALSE)</f>
        <v>AF</v>
      </c>
      <c r="G255" s="16" t="s">
        <v>11859</v>
      </c>
      <c r="H255" s="181">
        <v>13276</v>
      </c>
      <c r="I255" s="180">
        <v>31.25</v>
      </c>
      <c r="K255" s="316">
        <f>IFERROR(Table28[[#This Row],[ROUTE COST]]/Table28[[#This Row],[O - DEMAND]],0)</f>
        <v>0</v>
      </c>
      <c r="M255" s="16">
        <f>Table28[[#This Row],[O - DEMAND]]/950</f>
        <v>0</v>
      </c>
      <c r="N255" s="16">
        <f>IFERROR(VLOOKUP(Table28[[#This Row],[ROUTE]],DEMAND!A:F,5,FALSE),0)</f>
        <v>4023</v>
      </c>
      <c r="O255" s="16">
        <f>IFERROR(VLOOKUP(Table28[[#This Row],[ROUTE]],DEMAND!A:F,6,FALSE),0)</f>
        <v>223</v>
      </c>
      <c r="P255" s="16">
        <f>ROUNDDOWN(Table28[[#This Row],[R-DEMAND]]/950,0)</f>
        <v>0</v>
      </c>
      <c r="Q255" s="16">
        <f>Table28[[#This Row],[ADD ACC
(475/950)]]*Table28[[#This Row],[Duration
(A359)]]</f>
        <v>0</v>
      </c>
      <c r="R255" s="16">
        <f>IFERROR(VLOOKUP(Table28[[#This Row],[ROUTE]],PRICING!A:B,2,FALSE),0)</f>
        <v>0</v>
      </c>
      <c r="S255" s="16">
        <f>Table28[[#This Row],[C_DEMAND]]-Table28[[#This Row],[R-DEMAND]]</f>
        <v>3800</v>
      </c>
      <c r="T255" s="316">
        <f>Table28[[#This Row],[SEATS SOLD]]*Table28[[#This Row],[ECO SEAT]]</f>
        <v>0</v>
      </c>
      <c r="U255" s="316">
        <f>Table28[[#This Row],[SEATS SOLD]]*(IFERROR(VLOOKUP(Table28[[#This Row],[ROUTE]],PRICING!A:C,3,FALSE),0))</f>
        <v>0</v>
      </c>
      <c r="V255" s="316">
        <f>Table28[[#This Row],[SEAT REV]]-Table28[[#This Row],[SEAT REV
(IF IDEAL $)]]</f>
        <v>0</v>
      </c>
      <c r="AA255" s="26" t="s">
        <v>19215</v>
      </c>
      <c r="AB255" s="26" t="s">
        <v>71</v>
      </c>
      <c r="AC255" s="26" t="s">
        <v>4078</v>
      </c>
      <c r="AD255" s="174">
        <v>9449</v>
      </c>
      <c r="AE255" s="26">
        <v>2264</v>
      </c>
      <c r="AF255" s="16">
        <v>2264</v>
      </c>
      <c r="AS255" s="16" t="s">
        <v>78</v>
      </c>
      <c r="AT255" s="16" t="s">
        <v>11902</v>
      </c>
      <c r="AU255" s="16" t="s">
        <v>2401</v>
      </c>
      <c r="AV255" s="16" t="s">
        <v>18884</v>
      </c>
      <c r="AW255" s="16" t="s">
        <v>18890</v>
      </c>
      <c r="AX255" s="16" t="s">
        <v>18970</v>
      </c>
      <c r="AY255" s="385">
        <v>10439</v>
      </c>
    </row>
    <row r="256" spans="1:51" x14ac:dyDescent="0.25">
      <c r="A256" s="16" t="s">
        <v>19786</v>
      </c>
      <c r="B256" s="16" t="s">
        <v>5680</v>
      </c>
      <c r="D256" s="16">
        <v>5</v>
      </c>
      <c r="E256" s="16" t="s">
        <v>11732</v>
      </c>
      <c r="F256" s="16" t="str">
        <f>VLOOKUP(Table28[[#This Row],[Country]],Table10[[COUNTRY NAME]:[CONTINENT CODE]],3,FALSE)</f>
        <v>NA - US</v>
      </c>
      <c r="G256" s="16" t="s">
        <v>17028</v>
      </c>
      <c r="H256" s="181">
        <v>15051</v>
      </c>
      <c r="I256" s="180">
        <v>35.25</v>
      </c>
      <c r="K256" s="316">
        <f>IFERROR(Table28[[#This Row],[ROUTE COST]]/Table28[[#This Row],[O - DEMAND]],0)</f>
        <v>0</v>
      </c>
      <c r="M256" s="180">
        <f>Table28[[#This Row],[O - DEMAND]]/950</f>
        <v>0</v>
      </c>
      <c r="N256" s="16">
        <f>IFERROR(VLOOKUP(Table28[[#This Row],[ROUTE]],DEMAND!A:F,5,FALSE),0)</f>
        <v>0</v>
      </c>
      <c r="O256" s="16">
        <f>IFERROR(VLOOKUP(Table28[[#This Row],[ROUTE]],DEMAND!A:F,6,FALSE),0)</f>
        <v>0</v>
      </c>
      <c r="P256" s="16">
        <f>ROUNDDOWN(Table28[[#This Row],[R-DEMAND]]/950,0)</f>
        <v>0</v>
      </c>
      <c r="Q256" s="16">
        <f>Table28[[#This Row],[ADD ACC
(475/950)]]*Table28[[#This Row],[Duration
(A359)]]</f>
        <v>0</v>
      </c>
      <c r="R256" s="16">
        <f>IFERROR(VLOOKUP(Table28[[#This Row],[ROUTE]],PRICING!A:B,2,FALSE),0)</f>
        <v>0</v>
      </c>
      <c r="S256" s="16">
        <f>Table28[[#This Row],[C_DEMAND]]-Table28[[#This Row],[R-DEMAND]]</f>
        <v>0</v>
      </c>
      <c r="T256" s="316">
        <f>Table28[[#This Row],[SEATS SOLD]]*Table28[[#This Row],[ECO SEAT]]</f>
        <v>0</v>
      </c>
      <c r="U256" s="316">
        <f>Table28[[#This Row],[SEATS SOLD]]*(IFERROR(VLOOKUP(Table28[[#This Row],[ROUTE]],PRICING!A:C,3,FALSE),0))</f>
        <v>0</v>
      </c>
      <c r="V256" s="316">
        <f>Table28[[#This Row],[SEAT REV]]-Table28[[#This Row],[SEAT REV
(IF IDEAL $)]]</f>
        <v>0</v>
      </c>
      <c r="AA256" s="26" t="s">
        <v>19547</v>
      </c>
      <c r="AB256" s="26" t="s">
        <v>71</v>
      </c>
      <c r="AC256" s="26" t="s">
        <v>5380</v>
      </c>
      <c r="AD256" s="174">
        <v>13396</v>
      </c>
      <c r="AE256" s="26">
        <v>3131</v>
      </c>
      <c r="AF256" s="16">
        <v>3131</v>
      </c>
      <c r="AS256" s="16" t="s">
        <v>78</v>
      </c>
      <c r="AT256" s="16" t="s">
        <v>11984</v>
      </c>
      <c r="AU256" s="16" t="s">
        <v>3044</v>
      </c>
      <c r="AV256" s="16" t="s">
        <v>18892</v>
      </c>
      <c r="AW256" s="16" t="s">
        <v>18879</v>
      </c>
      <c r="AX256" s="16" t="s">
        <v>18970</v>
      </c>
      <c r="AY256" s="385">
        <v>10445</v>
      </c>
    </row>
    <row r="257" spans="1:51" x14ac:dyDescent="0.25">
      <c r="A257" s="16" t="s">
        <v>19159</v>
      </c>
      <c r="B257" s="16" t="s">
        <v>2893</v>
      </c>
      <c r="D257" s="16">
        <v>2</v>
      </c>
      <c r="E257" s="16" t="s">
        <v>2891</v>
      </c>
      <c r="F257" s="16" t="str">
        <f>VLOOKUP(Table28[[#This Row],[Country]],Table10[[COUNTRY NAME]:[CONTINENT CODE]],3,FALSE)</f>
        <v>AS</v>
      </c>
      <c r="G257" s="16" t="s">
        <v>12016</v>
      </c>
      <c r="H257" s="181">
        <v>8551</v>
      </c>
      <c r="I257" s="180">
        <v>21</v>
      </c>
      <c r="K257" s="316">
        <f>IFERROR(Table28[[#This Row],[ROUTE COST]]/Table28[[#This Row],[O - DEMAND]],0)</f>
        <v>0</v>
      </c>
      <c r="M257" s="16">
        <f>Table28[[#This Row],[O - DEMAND]]/950</f>
        <v>0</v>
      </c>
      <c r="N257" s="16">
        <f>IFERROR(VLOOKUP(Table28[[#This Row],[ROUTE]],DEMAND!A:F,5,FALSE),0)</f>
        <v>0</v>
      </c>
      <c r="O257" s="16">
        <f>IFERROR(VLOOKUP(Table28[[#This Row],[ROUTE]],DEMAND!A:F,6,FALSE),0)</f>
        <v>0</v>
      </c>
      <c r="P257" s="16">
        <f>ROUNDDOWN(Table28[[#This Row],[R-DEMAND]]/950,0)</f>
        <v>0</v>
      </c>
      <c r="Q257" s="16">
        <f>Table28[[#This Row],[ADD ACC
(475/950)]]*Table28[[#This Row],[Duration
(A359)]]</f>
        <v>0</v>
      </c>
      <c r="R257" s="16">
        <f>IFERROR(VLOOKUP(Table28[[#This Row],[ROUTE]],PRICING!A:B,2,FALSE),0)</f>
        <v>0</v>
      </c>
      <c r="S257" s="16">
        <f>Table28[[#This Row],[C_DEMAND]]-Table28[[#This Row],[R-DEMAND]]</f>
        <v>0</v>
      </c>
      <c r="T257" s="316">
        <f>Table28[[#This Row],[SEATS SOLD]]*Table28[[#This Row],[ECO SEAT]]</f>
        <v>0</v>
      </c>
      <c r="U257" s="316">
        <f>Table28[[#This Row],[SEATS SOLD]]*(IFERROR(VLOOKUP(Table28[[#This Row],[ROUTE]],PRICING!A:C,3,FALSE),0))</f>
        <v>0</v>
      </c>
      <c r="V257" s="316">
        <f>Table28[[#This Row],[SEAT REV]]-Table28[[#This Row],[SEAT REV
(IF IDEAL $)]]</f>
        <v>0</v>
      </c>
      <c r="AA257" s="26" t="s">
        <v>19701</v>
      </c>
      <c r="AB257" s="26" t="s">
        <v>71</v>
      </c>
      <c r="AC257" s="26" t="s">
        <v>5511</v>
      </c>
      <c r="AD257" s="174">
        <v>14525</v>
      </c>
      <c r="AE257" s="26">
        <v>2420</v>
      </c>
      <c r="AF257" s="16">
        <v>2420</v>
      </c>
      <c r="AS257" s="16" t="s">
        <v>530</v>
      </c>
      <c r="AT257" s="16" t="s">
        <v>16930</v>
      </c>
      <c r="AU257" s="16" t="s">
        <v>4433</v>
      </c>
      <c r="AV257" s="16" t="s">
        <v>18878</v>
      </c>
      <c r="AW257" s="16" t="s">
        <v>18879</v>
      </c>
      <c r="AX257" s="16" t="s">
        <v>18937</v>
      </c>
      <c r="AY257" s="385">
        <v>10493</v>
      </c>
    </row>
    <row r="258" spans="1:51" x14ac:dyDescent="0.25">
      <c r="A258" s="16" t="s">
        <v>19558</v>
      </c>
      <c r="B258" s="16" t="s">
        <v>2311</v>
      </c>
      <c r="D258" s="16">
        <v>1</v>
      </c>
      <c r="E258" s="16" t="s">
        <v>11732</v>
      </c>
      <c r="F258" s="16" t="str">
        <f>VLOOKUP(Table28[[#This Row],[Country]],Table10[[COUNTRY NAME]:[CONTINENT CODE]],3,FALSE)</f>
        <v>NA - US</v>
      </c>
      <c r="G258" s="16" t="s">
        <v>16965</v>
      </c>
      <c r="H258" s="181">
        <v>13443</v>
      </c>
      <c r="I258" s="180">
        <v>31.75</v>
      </c>
      <c r="K258" s="316">
        <f>IFERROR(Table28[[#This Row],[ROUTE COST]]/Table28[[#This Row],[O - DEMAND]],0)</f>
        <v>0</v>
      </c>
      <c r="M258" s="180">
        <f>Table28[[#This Row],[O - DEMAND]]/950</f>
        <v>0</v>
      </c>
      <c r="N258" s="16">
        <f>IFERROR(VLOOKUP(Table28[[#This Row],[ROUTE]],DEMAND!A:F,5,FALSE),0)</f>
        <v>0</v>
      </c>
      <c r="O258" s="16">
        <f>IFERROR(VLOOKUP(Table28[[#This Row],[ROUTE]],DEMAND!A:F,6,FALSE),0)</f>
        <v>0</v>
      </c>
      <c r="P258" s="16">
        <f>ROUNDDOWN(Table28[[#This Row],[R-DEMAND]]/950,0)</f>
        <v>0</v>
      </c>
      <c r="Q258" s="16">
        <f>Table28[[#This Row],[ADD ACC
(475/950)]]*Table28[[#This Row],[Duration
(A359)]]</f>
        <v>0</v>
      </c>
      <c r="R258" s="16">
        <f>IFERROR(VLOOKUP(Table28[[#This Row],[ROUTE]],PRICING!A:B,2,FALSE),0)</f>
        <v>0</v>
      </c>
      <c r="S258" s="16">
        <f>Table28[[#This Row],[C_DEMAND]]-Table28[[#This Row],[R-DEMAND]]</f>
        <v>0</v>
      </c>
      <c r="T258" s="316">
        <f>Table28[[#This Row],[SEATS SOLD]]*Table28[[#This Row],[ECO SEAT]]</f>
        <v>0</v>
      </c>
      <c r="U258" s="316">
        <f>Table28[[#This Row],[SEATS SOLD]]*(IFERROR(VLOOKUP(Table28[[#This Row],[ROUTE]],PRICING!A:C,3,FALSE),0))</f>
        <v>0</v>
      </c>
      <c r="V258" s="316">
        <f>Table28[[#This Row],[SEAT REV]]-Table28[[#This Row],[SEAT REV
(IF IDEAL $)]]</f>
        <v>0</v>
      </c>
      <c r="AA258" s="26" t="s">
        <v>19522</v>
      </c>
      <c r="AB258" s="26" t="s">
        <v>71</v>
      </c>
      <c r="AC258" s="26" t="s">
        <v>4464</v>
      </c>
      <c r="AD258" s="174">
        <v>13227</v>
      </c>
      <c r="AE258" s="26">
        <v>3043</v>
      </c>
      <c r="AF258" s="16">
        <v>3043</v>
      </c>
      <c r="AS258" s="16" t="s">
        <v>926</v>
      </c>
      <c r="AT258" s="16" t="s">
        <v>11905</v>
      </c>
      <c r="AU258" s="16" t="s">
        <v>326</v>
      </c>
      <c r="AV258" s="16" t="s">
        <v>18884</v>
      </c>
      <c r="AW258" s="16" t="s">
        <v>18885</v>
      </c>
      <c r="AX258" s="16" t="s">
        <v>18937</v>
      </c>
      <c r="AY258" s="385">
        <v>10554</v>
      </c>
    </row>
    <row r="259" spans="1:51" x14ac:dyDescent="0.25">
      <c r="A259" s="16" t="s">
        <v>19086</v>
      </c>
      <c r="B259" s="16" t="s">
        <v>5386</v>
      </c>
      <c r="D259" s="16">
        <v>3</v>
      </c>
      <c r="E259" s="16" t="s">
        <v>14</v>
      </c>
      <c r="F259" s="16" t="str">
        <f>VLOOKUP(Table28[[#This Row],[Country]],Table10[[COUNTRY NAME]:[CONTINENT CODE]],3,FALSE)</f>
        <v>AS</v>
      </c>
      <c r="G259" s="16" t="s">
        <v>12066</v>
      </c>
      <c r="H259" s="181">
        <v>7444</v>
      </c>
      <c r="I259" s="180">
        <v>18.5</v>
      </c>
      <c r="K259" s="316">
        <f>IFERROR(Table28[[#This Row],[ROUTE COST]]/Table28[[#This Row],[O - DEMAND]],0)</f>
        <v>0</v>
      </c>
      <c r="M259" s="16">
        <f>Table28[[#This Row],[O - DEMAND]]/950</f>
        <v>0</v>
      </c>
      <c r="N259" s="16">
        <f>IFERROR(VLOOKUP(Table28[[#This Row],[ROUTE]],DEMAND!A:F,5,FALSE),0)</f>
        <v>0</v>
      </c>
      <c r="O259" s="16">
        <f>IFERROR(VLOOKUP(Table28[[#This Row],[ROUTE]],DEMAND!A:F,6,FALSE),0)</f>
        <v>0</v>
      </c>
      <c r="P259" s="16">
        <f>ROUNDDOWN(Table28[[#This Row],[R-DEMAND]]/950,0)</f>
        <v>0</v>
      </c>
      <c r="Q259" s="16">
        <f>Table28[[#This Row],[ADD ACC
(475/950)]]*Table28[[#This Row],[Duration
(A359)]]</f>
        <v>0</v>
      </c>
      <c r="R259" s="16">
        <f>IFERROR(VLOOKUP(Table28[[#This Row],[ROUTE]],PRICING!A:B,2,FALSE),0)</f>
        <v>0</v>
      </c>
      <c r="S259" s="16">
        <f>Table28[[#This Row],[C_DEMAND]]-Table28[[#This Row],[R-DEMAND]]</f>
        <v>0</v>
      </c>
      <c r="T259" s="316">
        <f>Table28[[#This Row],[SEATS SOLD]]*Table28[[#This Row],[ECO SEAT]]</f>
        <v>0</v>
      </c>
      <c r="U259" s="316">
        <f>Table28[[#This Row],[SEATS SOLD]]*(IFERROR(VLOOKUP(Table28[[#This Row],[ROUTE]],PRICING!A:C,3,FALSE),0))</f>
        <v>0</v>
      </c>
      <c r="V259" s="316">
        <f>Table28[[#This Row],[SEAT REV]]-Table28[[#This Row],[SEAT REV
(IF IDEAL $)]]</f>
        <v>0</v>
      </c>
      <c r="AA259" s="26" t="s">
        <v>19306</v>
      </c>
      <c r="AB259" s="26" t="s">
        <v>71</v>
      </c>
      <c r="AC259" s="26" t="s">
        <v>1533</v>
      </c>
      <c r="AD259" s="174">
        <v>11453</v>
      </c>
      <c r="AE259" s="26">
        <v>3661</v>
      </c>
      <c r="AF259" s="16">
        <v>3661</v>
      </c>
      <c r="AS259" s="16" t="s">
        <v>1070</v>
      </c>
      <c r="AT259" s="16" t="s">
        <v>9269</v>
      </c>
      <c r="AU259" s="16" t="s">
        <v>4264</v>
      </c>
      <c r="AV259" s="16" t="s">
        <v>18878</v>
      </c>
      <c r="AW259" s="16" t="s">
        <v>18879</v>
      </c>
      <c r="AX259" s="16" t="s">
        <v>18903</v>
      </c>
      <c r="AY259" s="385">
        <v>10603</v>
      </c>
    </row>
    <row r="260" spans="1:51" x14ac:dyDescent="0.25">
      <c r="A260" s="16" t="s">
        <v>19314</v>
      </c>
      <c r="B260" s="16" t="s">
        <v>4239</v>
      </c>
      <c r="C260" s="16" t="s">
        <v>467</v>
      </c>
      <c r="D260" s="16">
        <v>2</v>
      </c>
      <c r="E260" s="16" t="s">
        <v>3265</v>
      </c>
      <c r="F260" s="16" t="str">
        <f>VLOOKUP(Table28[[#This Row],[Country]],Table10[[COUNTRY NAME]:[CONTINENT CODE]],3,FALSE)</f>
        <v>AS</v>
      </c>
      <c r="G260" s="16" t="s">
        <v>11985</v>
      </c>
      <c r="H260" s="181">
        <v>11566</v>
      </c>
      <c r="I260" s="180">
        <v>27.5</v>
      </c>
      <c r="K260" s="316">
        <f>IFERROR(Table28[[#This Row],[ROUTE COST]]/Table28[[#This Row],[O - DEMAND]],0)</f>
        <v>0</v>
      </c>
      <c r="M260" s="16">
        <f>Table28[[#This Row],[O - DEMAND]]/950</f>
        <v>0</v>
      </c>
      <c r="N260" s="16">
        <f>IFERROR(VLOOKUP(Table28[[#This Row],[ROUTE]],DEMAND!A:F,5,FALSE),0)</f>
        <v>3168</v>
      </c>
      <c r="O260" s="16">
        <f>IFERROR(VLOOKUP(Table28[[#This Row],[ROUTE]],DEMAND!A:F,6,FALSE),0)</f>
        <v>318</v>
      </c>
      <c r="P260" s="16">
        <f>ROUNDDOWN(Table28[[#This Row],[R-DEMAND]]/950,0)</f>
        <v>0</v>
      </c>
      <c r="Q260" s="16">
        <f>Table28[[#This Row],[ADD ACC
(475/950)]]*Table28[[#This Row],[Duration
(A359)]]</f>
        <v>0</v>
      </c>
      <c r="R260" s="16">
        <f>IFERROR(VLOOKUP(Table28[[#This Row],[ROUTE]],PRICING!A:B,2,FALSE),0)</f>
        <v>0</v>
      </c>
      <c r="S260" s="16">
        <f>Table28[[#This Row],[C_DEMAND]]-Table28[[#This Row],[R-DEMAND]]</f>
        <v>2850</v>
      </c>
      <c r="T260" s="316">
        <f>Table28[[#This Row],[SEATS SOLD]]*Table28[[#This Row],[ECO SEAT]]</f>
        <v>0</v>
      </c>
      <c r="U260" s="316">
        <f>Table28[[#This Row],[SEATS SOLD]]*(IFERROR(VLOOKUP(Table28[[#This Row],[ROUTE]],PRICING!A:C,3,FALSE),0))</f>
        <v>0</v>
      </c>
      <c r="V260" s="316">
        <f>Table28[[#This Row],[SEAT REV]]-Table28[[#This Row],[SEAT REV
(IF IDEAL $)]]</f>
        <v>0</v>
      </c>
      <c r="AA260" s="26" t="s">
        <v>19353</v>
      </c>
      <c r="AB260" s="26" t="s">
        <v>71</v>
      </c>
      <c r="AC260" s="26" t="s">
        <v>4327</v>
      </c>
      <c r="AD260" s="174">
        <v>12059</v>
      </c>
      <c r="AE260" s="26">
        <v>3225</v>
      </c>
      <c r="AF260" s="16">
        <v>3225</v>
      </c>
      <c r="AS260" s="16" t="s">
        <v>1070</v>
      </c>
      <c r="AT260" s="16" t="s">
        <v>9233</v>
      </c>
      <c r="AU260" s="16" t="s">
        <v>2587</v>
      </c>
      <c r="AV260" s="16" t="s">
        <v>18878</v>
      </c>
      <c r="AW260" s="16" t="s">
        <v>18879</v>
      </c>
      <c r="AX260" s="16" t="s">
        <v>18903</v>
      </c>
      <c r="AY260" s="385">
        <v>10609</v>
      </c>
    </row>
    <row r="261" spans="1:51" x14ac:dyDescent="0.25">
      <c r="A261" s="16" t="s">
        <v>19663</v>
      </c>
      <c r="B261" s="16" t="s">
        <v>4287</v>
      </c>
      <c r="E261" s="16" t="s">
        <v>11732</v>
      </c>
      <c r="F261" s="16" t="str">
        <f>VLOOKUP(Table28[[#This Row],[Country]],Table10[[COUNTRY NAME]:[CONTINENT CODE]],3,FALSE)</f>
        <v>NA - US</v>
      </c>
      <c r="G261" s="16" t="s">
        <v>16972</v>
      </c>
      <c r="H261" s="181">
        <v>14198</v>
      </c>
      <c r="I261" s="180">
        <v>33.25</v>
      </c>
      <c r="K261" s="316">
        <f>IFERROR(Table28[[#This Row],[ROUTE COST]]/Table28[[#This Row],[O - DEMAND]],0)</f>
        <v>0</v>
      </c>
      <c r="M261" s="180">
        <f>Table28[[#This Row],[O - DEMAND]]/950</f>
        <v>0</v>
      </c>
      <c r="N261" s="16">
        <f>IFERROR(VLOOKUP(Table28[[#This Row],[ROUTE]],DEMAND!A:F,5,FALSE),0)</f>
        <v>0</v>
      </c>
      <c r="O261" s="16">
        <f>IFERROR(VLOOKUP(Table28[[#This Row],[ROUTE]],DEMAND!A:F,6,FALSE),0)</f>
        <v>0</v>
      </c>
      <c r="P261" s="16">
        <f>ROUNDDOWN(Table28[[#This Row],[R-DEMAND]]/950,0)</f>
        <v>0</v>
      </c>
      <c r="Q261" s="16">
        <f>Table28[[#This Row],[ADD ACC
(475/950)]]*Table28[[#This Row],[Duration
(A359)]]</f>
        <v>0</v>
      </c>
      <c r="R261" s="16">
        <f>IFERROR(VLOOKUP(Table28[[#This Row],[ROUTE]],PRICING!A:B,2,FALSE),0)</f>
        <v>0</v>
      </c>
      <c r="S261" s="16">
        <f>Table28[[#This Row],[C_DEMAND]]-Table28[[#This Row],[R-DEMAND]]</f>
        <v>0</v>
      </c>
      <c r="T261" s="316">
        <f>Table28[[#This Row],[SEATS SOLD]]*Table28[[#This Row],[ECO SEAT]]</f>
        <v>0</v>
      </c>
      <c r="U261" s="316">
        <f>Table28[[#This Row],[SEATS SOLD]]*(IFERROR(VLOOKUP(Table28[[#This Row],[ROUTE]],PRICING!A:C,3,FALSE),0))</f>
        <v>0</v>
      </c>
      <c r="V261" s="316">
        <f>Table28[[#This Row],[SEAT REV]]-Table28[[#This Row],[SEAT REV
(IF IDEAL $)]]</f>
        <v>0</v>
      </c>
      <c r="AA261" s="26" t="s">
        <v>19132</v>
      </c>
      <c r="AB261" s="26" t="s">
        <v>71</v>
      </c>
      <c r="AC261" s="26" t="s">
        <v>18</v>
      </c>
      <c r="AD261" s="174">
        <v>8177</v>
      </c>
      <c r="AE261" s="26">
        <v>3148</v>
      </c>
      <c r="AF261" s="16">
        <v>3148</v>
      </c>
      <c r="AS261" s="16" t="s">
        <v>78</v>
      </c>
      <c r="AT261" s="16" t="s">
        <v>9358</v>
      </c>
      <c r="AU261" s="16" t="s">
        <v>4582</v>
      </c>
      <c r="AV261" s="16" t="s">
        <v>18881</v>
      </c>
      <c r="AW261" s="16" t="s">
        <v>18879</v>
      </c>
      <c r="AX261" s="16" t="s">
        <v>18903</v>
      </c>
      <c r="AY261" s="385">
        <v>10610</v>
      </c>
    </row>
    <row r="262" spans="1:51" x14ac:dyDescent="0.25">
      <c r="A262" s="16" t="s">
        <v>19224</v>
      </c>
      <c r="B262" s="16" t="s">
        <v>3901</v>
      </c>
      <c r="C262" s="16" t="s">
        <v>467</v>
      </c>
      <c r="D262" s="16">
        <v>2</v>
      </c>
      <c r="E262" s="16" t="s">
        <v>11669</v>
      </c>
      <c r="F262" s="16" t="str">
        <f>VLOOKUP(Table28[[#This Row],[Country]],Table10[[COUNTRY NAME]:[CONTINENT CODE]],3,FALSE)</f>
        <v>SA</v>
      </c>
      <c r="G262" s="16" t="s">
        <v>16912</v>
      </c>
      <c r="H262" s="181">
        <v>9734</v>
      </c>
      <c r="I262" s="180">
        <v>23.5</v>
      </c>
      <c r="K262" s="316">
        <f>IFERROR(Table28[[#This Row],[ROUTE COST]]/Table28[[#This Row],[O - DEMAND]],0)</f>
        <v>0</v>
      </c>
      <c r="M262" s="16">
        <f>Table28[[#This Row],[O - DEMAND]]/950</f>
        <v>0</v>
      </c>
      <c r="N262" s="16">
        <f>IFERROR(VLOOKUP(Table28[[#This Row],[ROUTE]],DEMAND!A:F,5,FALSE),0)</f>
        <v>2219</v>
      </c>
      <c r="O262" s="16">
        <f>IFERROR(VLOOKUP(Table28[[#This Row],[ROUTE]],DEMAND!A:F,6,FALSE),0)</f>
        <v>319</v>
      </c>
      <c r="P262" s="16">
        <f>ROUNDDOWN(Table28[[#This Row],[R-DEMAND]]/950,0)</f>
        <v>0</v>
      </c>
      <c r="Q262" s="16">
        <f>Table28[[#This Row],[ADD ACC
(475/950)]]*Table28[[#This Row],[Duration
(A359)]]</f>
        <v>0</v>
      </c>
      <c r="R262" s="16">
        <f>IFERROR(VLOOKUP(Table28[[#This Row],[ROUTE]],PRICING!A:B,2,FALSE),0)</f>
        <v>0</v>
      </c>
      <c r="S262" s="16">
        <f>Table28[[#This Row],[C_DEMAND]]-Table28[[#This Row],[R-DEMAND]]</f>
        <v>1900</v>
      </c>
      <c r="T262" s="316">
        <f>Table28[[#This Row],[SEATS SOLD]]*Table28[[#This Row],[ECO SEAT]]</f>
        <v>0</v>
      </c>
      <c r="U262" s="316">
        <f>Table28[[#This Row],[SEATS SOLD]]*(IFERROR(VLOOKUP(Table28[[#This Row],[ROUTE]],PRICING!A:C,3,FALSE),0))</f>
        <v>0</v>
      </c>
      <c r="V262" s="316">
        <f>Table28[[#This Row],[SEAT REV]]-Table28[[#This Row],[SEAT REV
(IF IDEAL $)]]</f>
        <v>0</v>
      </c>
      <c r="AA262" s="26" t="s">
        <v>19170</v>
      </c>
      <c r="AB262" s="26" t="s">
        <v>71</v>
      </c>
      <c r="AC262" s="26" t="s">
        <v>15</v>
      </c>
      <c r="AD262" s="174">
        <v>8797</v>
      </c>
      <c r="AE262" s="26">
        <v>3262</v>
      </c>
      <c r="AF262" s="16">
        <v>3262</v>
      </c>
      <c r="AS262" s="16" t="s">
        <v>1070</v>
      </c>
      <c r="AT262" s="16" t="s">
        <v>16826</v>
      </c>
      <c r="AU262" s="16" t="s">
        <v>2482</v>
      </c>
      <c r="AV262" s="16" t="s">
        <v>18878</v>
      </c>
      <c r="AW262" s="16" t="s">
        <v>18890</v>
      </c>
      <c r="AX262" s="16" t="s">
        <v>18903</v>
      </c>
      <c r="AY262" s="385">
        <v>10620</v>
      </c>
    </row>
    <row r="263" spans="1:51" x14ac:dyDescent="0.25">
      <c r="A263" s="16" t="s">
        <v>19102</v>
      </c>
      <c r="B263" s="16" t="s">
        <v>5661</v>
      </c>
      <c r="C263" s="16" t="s">
        <v>467</v>
      </c>
      <c r="D263" s="16">
        <v>4</v>
      </c>
      <c r="E263" s="16" t="s">
        <v>142</v>
      </c>
      <c r="F263" s="16" t="str">
        <f>VLOOKUP(Table28[[#This Row],[Country]],Table10[[COUNTRY NAME]:[CONTINENT CODE]],3,FALSE)</f>
        <v>AS</v>
      </c>
      <c r="G263" s="16" t="s">
        <v>9777</v>
      </c>
      <c r="H263" s="181">
        <v>7816</v>
      </c>
      <c r="I263" s="180">
        <v>19.25</v>
      </c>
      <c r="K263" s="316">
        <f>IFERROR(Table28[[#This Row],[ROUTE COST]]/Table28[[#This Row],[O - DEMAND]],0)</f>
        <v>0</v>
      </c>
      <c r="M263" s="16">
        <f>Table28[[#This Row],[O - DEMAND]]/950</f>
        <v>0</v>
      </c>
      <c r="N263" s="16">
        <f>IFERROR(VLOOKUP(Table28[[#This Row],[ROUTE]],DEMAND!A:F,5,FALSE),0)</f>
        <v>2516</v>
      </c>
      <c r="O263" s="16">
        <f>IFERROR(VLOOKUP(Table28[[#This Row],[ROUTE]],DEMAND!A:F,6,FALSE),0)</f>
        <v>616</v>
      </c>
      <c r="P263" s="16">
        <f>ROUNDDOWN(Table28[[#This Row],[R-DEMAND]]/950,0)</f>
        <v>0</v>
      </c>
      <c r="Q263" s="16">
        <f>Table28[[#This Row],[ADD ACC
(475/950)]]*Table28[[#This Row],[Duration
(A359)]]</f>
        <v>0</v>
      </c>
      <c r="R263" s="16">
        <f>IFERROR(VLOOKUP(Table28[[#This Row],[ROUTE]],PRICING!A:B,2,FALSE),0)</f>
        <v>0</v>
      </c>
      <c r="S263" s="16">
        <f>Table28[[#This Row],[C_DEMAND]]-Table28[[#This Row],[R-DEMAND]]</f>
        <v>1900</v>
      </c>
      <c r="T263" s="316">
        <f>Table28[[#This Row],[SEATS SOLD]]*Table28[[#This Row],[ECO SEAT]]</f>
        <v>0</v>
      </c>
      <c r="U263" s="316">
        <f>Table28[[#This Row],[SEATS SOLD]]*(IFERROR(VLOOKUP(Table28[[#This Row],[ROUTE]],PRICING!A:C,3,FALSE),0))</f>
        <v>0</v>
      </c>
      <c r="V263" s="316">
        <f>Table28[[#This Row],[SEAT REV]]-Table28[[#This Row],[SEAT REV
(IF IDEAL $)]]</f>
        <v>0</v>
      </c>
      <c r="AA263" s="26" t="s">
        <v>19533</v>
      </c>
      <c r="AB263" s="26" t="s">
        <v>71</v>
      </c>
      <c r="AC263" s="26" t="s">
        <v>5454</v>
      </c>
      <c r="AD263" s="174">
        <v>13296</v>
      </c>
      <c r="AE263" s="26">
        <v>2362</v>
      </c>
      <c r="AF263" s="16">
        <v>2362</v>
      </c>
      <c r="AS263" s="16" t="s">
        <v>11669</v>
      </c>
      <c r="AT263" s="16" t="s">
        <v>16925</v>
      </c>
      <c r="AU263" s="16" t="s">
        <v>3850</v>
      </c>
      <c r="AV263" s="16" t="s">
        <v>18878</v>
      </c>
      <c r="AW263" s="16" t="s">
        <v>18879</v>
      </c>
      <c r="AX263" s="16" t="s">
        <v>18903</v>
      </c>
      <c r="AY263" s="385">
        <v>10674</v>
      </c>
    </row>
    <row r="264" spans="1:51" x14ac:dyDescent="0.25">
      <c r="A264" s="16" t="s">
        <v>19790</v>
      </c>
      <c r="B264" s="16" t="s">
        <v>4094</v>
      </c>
      <c r="D264" s="16">
        <v>2</v>
      </c>
      <c r="E264" s="16" t="s">
        <v>11732</v>
      </c>
      <c r="F264" s="16" t="str">
        <f>VLOOKUP(Table28[[#This Row],[Country]],Table10[[COUNTRY NAME]:[CONTINENT CODE]],3,FALSE)</f>
        <v>NA - US</v>
      </c>
      <c r="G264" s="16" t="s">
        <v>13319</v>
      </c>
      <c r="H264" s="181">
        <v>15069</v>
      </c>
      <c r="I264" s="180">
        <v>35.25</v>
      </c>
      <c r="K264" s="316">
        <f>IFERROR(Table28[[#This Row],[ROUTE COST]]/Table28[[#This Row],[O - DEMAND]],0)</f>
        <v>0</v>
      </c>
      <c r="M264" s="180">
        <f>Table28[[#This Row],[O - DEMAND]]/950</f>
        <v>0</v>
      </c>
      <c r="N264" s="16">
        <f>IFERROR(VLOOKUP(Table28[[#This Row],[ROUTE]],DEMAND!A:F,5,FALSE),0)</f>
        <v>0</v>
      </c>
      <c r="O264" s="16">
        <f>IFERROR(VLOOKUP(Table28[[#This Row],[ROUTE]],DEMAND!A:F,6,FALSE),0)</f>
        <v>0</v>
      </c>
      <c r="P264" s="16">
        <f>ROUNDDOWN(Table28[[#This Row],[R-DEMAND]]/950,0)</f>
        <v>0</v>
      </c>
      <c r="Q264" s="16">
        <f>Table28[[#This Row],[ADD ACC
(475/950)]]*Table28[[#This Row],[Duration
(A359)]]</f>
        <v>0</v>
      </c>
      <c r="R264" s="16">
        <f>IFERROR(VLOOKUP(Table28[[#This Row],[ROUTE]],PRICING!A:B,2,FALSE),0)</f>
        <v>0</v>
      </c>
      <c r="S264" s="16">
        <f>Table28[[#This Row],[C_DEMAND]]-Table28[[#This Row],[R-DEMAND]]</f>
        <v>0</v>
      </c>
      <c r="T264" s="316">
        <f>Table28[[#This Row],[SEATS SOLD]]*Table28[[#This Row],[ECO SEAT]]</f>
        <v>0</v>
      </c>
      <c r="U264" s="316">
        <f>Table28[[#This Row],[SEATS SOLD]]*(IFERROR(VLOOKUP(Table28[[#This Row],[ROUTE]],PRICING!A:C,3,FALSE),0))</f>
        <v>0</v>
      </c>
      <c r="V264" s="316">
        <f>Table28[[#This Row],[SEAT REV]]-Table28[[#This Row],[SEAT REV
(IF IDEAL $)]]</f>
        <v>0</v>
      </c>
      <c r="AA264" s="26" t="s">
        <v>19406</v>
      </c>
      <c r="AB264" s="26" t="s">
        <v>71</v>
      </c>
      <c r="AC264" s="26" t="s">
        <v>483</v>
      </c>
      <c r="AD264" s="174">
        <v>12504</v>
      </c>
      <c r="AE264" s="26">
        <v>2616</v>
      </c>
      <c r="AF264" s="16">
        <v>2616</v>
      </c>
      <c r="AS264" s="16" t="s">
        <v>1070</v>
      </c>
      <c r="AT264" s="16" t="s">
        <v>16827</v>
      </c>
      <c r="AU264" s="16" t="s">
        <v>5159</v>
      </c>
      <c r="AV264" s="16" t="s">
        <v>18878</v>
      </c>
      <c r="AW264" s="16" t="s">
        <v>18885</v>
      </c>
      <c r="AX264" s="16" t="s">
        <v>18903</v>
      </c>
      <c r="AY264" s="385">
        <v>10701</v>
      </c>
    </row>
    <row r="265" spans="1:51" x14ac:dyDescent="0.25">
      <c r="A265" s="16" t="s">
        <v>19175</v>
      </c>
      <c r="B265" s="16" t="s">
        <v>2866</v>
      </c>
      <c r="D265" s="16">
        <v>2</v>
      </c>
      <c r="E265" s="16" t="s">
        <v>2366</v>
      </c>
      <c r="F265" s="16" t="str">
        <f>VLOOKUP(Table28[[#This Row],[Country]],Table10[[COUNTRY NAME]:[CONTINENT CODE]],3,FALSE)</f>
        <v>AS</v>
      </c>
      <c r="G265" s="16" t="s">
        <v>18118</v>
      </c>
      <c r="H265" s="181">
        <v>8864</v>
      </c>
      <c r="I265" s="180">
        <v>21.5</v>
      </c>
      <c r="K265" s="316">
        <f>IFERROR(Table28[[#This Row],[ROUTE COST]]/Table28[[#This Row],[O - DEMAND]],0)</f>
        <v>0</v>
      </c>
      <c r="M265" s="16">
        <f>Table28[[#This Row],[O - DEMAND]]/950</f>
        <v>0</v>
      </c>
      <c r="N265" s="16">
        <f>IFERROR(VLOOKUP(Table28[[#This Row],[ROUTE]],DEMAND!A:F,5,FALSE),0)</f>
        <v>0</v>
      </c>
      <c r="O265" s="16">
        <f>IFERROR(VLOOKUP(Table28[[#This Row],[ROUTE]],DEMAND!A:F,6,FALSE),0)</f>
        <v>0</v>
      </c>
      <c r="P265" s="16">
        <f>ROUNDDOWN(Table28[[#This Row],[R-DEMAND]]/950,0)</f>
        <v>0</v>
      </c>
      <c r="Q265" s="16">
        <f>Table28[[#This Row],[ADD ACC
(475/950)]]*Table28[[#This Row],[Duration
(A359)]]</f>
        <v>0</v>
      </c>
      <c r="R265" s="16">
        <f>IFERROR(VLOOKUP(Table28[[#This Row],[ROUTE]],PRICING!A:B,2,FALSE),0)</f>
        <v>0</v>
      </c>
      <c r="S265" s="16">
        <f>Table28[[#This Row],[C_DEMAND]]-Table28[[#This Row],[R-DEMAND]]</f>
        <v>0</v>
      </c>
      <c r="T265" s="316">
        <f>Table28[[#This Row],[SEATS SOLD]]*Table28[[#This Row],[ECO SEAT]]</f>
        <v>0</v>
      </c>
      <c r="U265" s="316">
        <f>Table28[[#This Row],[SEATS SOLD]]*(IFERROR(VLOOKUP(Table28[[#This Row],[ROUTE]],PRICING!A:C,3,FALSE),0))</f>
        <v>0</v>
      </c>
      <c r="V265" s="316">
        <f>Table28[[#This Row],[SEAT REV]]-Table28[[#This Row],[SEAT REV
(IF IDEAL $)]]</f>
        <v>0</v>
      </c>
      <c r="AA265" s="26" t="s">
        <v>19674</v>
      </c>
      <c r="AB265" s="26" t="s">
        <v>71</v>
      </c>
      <c r="AC265" s="26" t="s">
        <v>5240</v>
      </c>
      <c r="AD265" s="174">
        <v>14302</v>
      </c>
      <c r="AE265" s="26">
        <v>1657</v>
      </c>
      <c r="AF265" s="16">
        <v>1657</v>
      </c>
      <c r="AS265" s="16" t="s">
        <v>14</v>
      </c>
      <c r="AT265" s="16" t="s">
        <v>12006</v>
      </c>
      <c r="AU265" s="16" t="s">
        <v>3586</v>
      </c>
      <c r="AV265" s="16" t="s">
        <v>18892</v>
      </c>
      <c r="AW265" s="16" t="s">
        <v>18879</v>
      </c>
      <c r="AX265" s="16" t="s">
        <v>18942</v>
      </c>
      <c r="AY265" s="385">
        <v>10713</v>
      </c>
    </row>
    <row r="266" spans="1:51" x14ac:dyDescent="0.25">
      <c r="A266" s="16" t="s">
        <v>19198</v>
      </c>
      <c r="B266" s="16" t="s">
        <v>304</v>
      </c>
      <c r="D266" s="16">
        <v>3</v>
      </c>
      <c r="E266" s="16" t="s">
        <v>1070</v>
      </c>
      <c r="F266" s="16" t="str">
        <f>VLOOKUP(Table28[[#This Row],[Country]],Table10[[COUNTRY NAME]:[CONTINENT CODE]],3,FALSE)</f>
        <v>AS</v>
      </c>
      <c r="G266" s="16" t="s">
        <v>12062</v>
      </c>
      <c r="H266" s="181">
        <v>9170</v>
      </c>
      <c r="I266" s="180">
        <v>22.25</v>
      </c>
      <c r="K266" s="316">
        <f>IFERROR(Table28[[#This Row],[ROUTE COST]]/Table28[[#This Row],[O - DEMAND]],0)</f>
        <v>0</v>
      </c>
      <c r="M266" s="16">
        <f>Table28[[#This Row],[O - DEMAND]]/950</f>
        <v>0</v>
      </c>
      <c r="N266" s="16">
        <f>IFERROR(VLOOKUP(Table28[[#This Row],[ROUTE]],DEMAND!A:F,5,FALSE),0)</f>
        <v>0</v>
      </c>
      <c r="O266" s="16">
        <f>IFERROR(VLOOKUP(Table28[[#This Row],[ROUTE]],DEMAND!A:F,6,FALSE),0)</f>
        <v>0</v>
      </c>
      <c r="P266" s="16">
        <f>ROUNDDOWN(Table28[[#This Row],[R-DEMAND]]/950,0)</f>
        <v>0</v>
      </c>
      <c r="Q266" s="16">
        <f>Table28[[#This Row],[ADD ACC
(475/950)]]*Table28[[#This Row],[Duration
(A359)]]</f>
        <v>0</v>
      </c>
      <c r="R266" s="16">
        <f>IFERROR(VLOOKUP(Table28[[#This Row],[ROUTE]],PRICING!A:B,2,FALSE),0)</f>
        <v>0</v>
      </c>
      <c r="S266" s="16">
        <f>Table28[[#This Row],[C_DEMAND]]-Table28[[#This Row],[R-DEMAND]]</f>
        <v>0</v>
      </c>
      <c r="T266" s="316">
        <f>Table28[[#This Row],[SEATS SOLD]]*Table28[[#This Row],[ECO SEAT]]</f>
        <v>0</v>
      </c>
      <c r="U266" s="316">
        <f>Table28[[#This Row],[SEATS SOLD]]*(IFERROR(VLOOKUP(Table28[[#This Row],[ROUTE]],PRICING!A:C,3,FALSE),0))</f>
        <v>0</v>
      </c>
      <c r="V266" s="316">
        <f>Table28[[#This Row],[SEAT REV]]-Table28[[#This Row],[SEAT REV
(IF IDEAL $)]]</f>
        <v>0</v>
      </c>
      <c r="AA266" s="26" t="s">
        <v>19515</v>
      </c>
      <c r="AB266" s="26" t="s">
        <v>71</v>
      </c>
      <c r="AC266" s="26" t="s">
        <v>5613</v>
      </c>
      <c r="AD266" s="174">
        <v>13188</v>
      </c>
      <c r="AE266" s="26">
        <v>2555</v>
      </c>
      <c r="AF266" s="16">
        <v>2555</v>
      </c>
      <c r="AS266" s="16" t="s">
        <v>1531</v>
      </c>
      <c r="AT266" s="16" t="s">
        <v>11059</v>
      </c>
      <c r="AU266" s="16" t="s">
        <v>5599</v>
      </c>
      <c r="AV266" s="16" t="s">
        <v>18884</v>
      </c>
      <c r="AW266" s="16" t="s">
        <v>18899</v>
      </c>
      <c r="AX266" s="16" t="s">
        <v>18942</v>
      </c>
      <c r="AY266" s="385">
        <v>10732</v>
      </c>
    </row>
    <row r="267" spans="1:51" x14ac:dyDescent="0.25">
      <c r="A267" s="16" t="s">
        <v>19298</v>
      </c>
      <c r="B267" s="16" t="s">
        <v>3868</v>
      </c>
      <c r="C267" s="16" t="s">
        <v>467</v>
      </c>
      <c r="D267" s="16">
        <v>2</v>
      </c>
      <c r="E267" s="16" t="s">
        <v>1625</v>
      </c>
      <c r="F267" s="16" t="str">
        <f>VLOOKUP(Table28[[#This Row],[Country]],Table10[[COUNTRY NAME]:[CONTINENT CODE]],3,FALSE)</f>
        <v>AF</v>
      </c>
      <c r="G267" s="16" t="s">
        <v>11869</v>
      </c>
      <c r="H267" s="181">
        <v>11316</v>
      </c>
      <c r="I267" s="180">
        <v>27</v>
      </c>
      <c r="K267" s="316">
        <f>IFERROR(Table28[[#This Row],[ROUTE COST]]/Table28[[#This Row],[O - DEMAND]],0)</f>
        <v>0</v>
      </c>
      <c r="M267" s="16">
        <f>Table28[[#This Row],[O - DEMAND]]/950</f>
        <v>0</v>
      </c>
      <c r="N267" s="16">
        <f>IFERROR(VLOOKUP(Table28[[#This Row],[ROUTE]],DEMAND!A:F,5,FALSE),0)</f>
        <v>3027</v>
      </c>
      <c r="O267" s="16">
        <f>IFERROR(VLOOKUP(Table28[[#This Row],[ROUTE]],DEMAND!A:F,6,FALSE),0)</f>
        <v>177</v>
      </c>
      <c r="P267" s="16">
        <f>ROUNDDOWN(Table28[[#This Row],[R-DEMAND]]/950,0)</f>
        <v>0</v>
      </c>
      <c r="Q267" s="16">
        <f>Table28[[#This Row],[ADD ACC
(475/950)]]*Table28[[#This Row],[Duration
(A359)]]</f>
        <v>0</v>
      </c>
      <c r="R267" s="16">
        <f>IFERROR(VLOOKUP(Table28[[#This Row],[ROUTE]],PRICING!A:B,2,FALSE),0)</f>
        <v>0</v>
      </c>
      <c r="S267" s="16">
        <f>Table28[[#This Row],[C_DEMAND]]-Table28[[#This Row],[R-DEMAND]]</f>
        <v>2850</v>
      </c>
      <c r="T267" s="316">
        <f>Table28[[#This Row],[SEATS SOLD]]*Table28[[#This Row],[ECO SEAT]]</f>
        <v>0</v>
      </c>
      <c r="U267" s="316">
        <f>Table28[[#This Row],[SEATS SOLD]]*(IFERROR(VLOOKUP(Table28[[#This Row],[ROUTE]],PRICING!A:C,3,FALSE),0))</f>
        <v>0</v>
      </c>
      <c r="V267" s="316">
        <f>Table28[[#This Row],[SEAT REV]]-Table28[[#This Row],[SEAT REV
(IF IDEAL $)]]</f>
        <v>0</v>
      </c>
      <c r="AA267" s="26" t="s">
        <v>19690</v>
      </c>
      <c r="AB267" s="26" t="s">
        <v>71</v>
      </c>
      <c r="AC267" s="26" t="s">
        <v>14216</v>
      </c>
      <c r="AD267" s="174">
        <v>14472</v>
      </c>
      <c r="AE267" s="26">
        <v>2072</v>
      </c>
      <c r="AF267" s="16">
        <v>2072</v>
      </c>
      <c r="AS267" s="16" t="s">
        <v>1070</v>
      </c>
      <c r="AT267" s="16" t="s">
        <v>12015</v>
      </c>
      <c r="AU267" s="16" t="s">
        <v>244</v>
      </c>
      <c r="AV267" s="16" t="s">
        <v>18892</v>
      </c>
      <c r="AW267" s="16" t="s">
        <v>18879</v>
      </c>
      <c r="AX267" s="16" t="s">
        <v>18942</v>
      </c>
      <c r="AY267" s="385">
        <v>10775</v>
      </c>
    </row>
    <row r="268" spans="1:51" x14ac:dyDescent="0.25">
      <c r="A268" s="16" t="s">
        <v>19432</v>
      </c>
      <c r="B268" s="16" t="s">
        <v>4192</v>
      </c>
      <c r="E268" s="16" t="s">
        <v>11732</v>
      </c>
      <c r="F268" s="16" t="str">
        <f>VLOOKUP(Table28[[#This Row],[Country]],Table10[[COUNTRY NAME]:[CONTINENT CODE]],3,FALSE)</f>
        <v>NA - US</v>
      </c>
      <c r="G268" s="16" t="s">
        <v>16959</v>
      </c>
      <c r="H268" s="181">
        <v>12674</v>
      </c>
      <c r="I268" s="180">
        <v>30</v>
      </c>
      <c r="K268" s="316">
        <f>IFERROR(Table28[[#This Row],[ROUTE COST]]/Table28[[#This Row],[O - DEMAND]],0)</f>
        <v>0</v>
      </c>
      <c r="M268" s="180">
        <f>Table28[[#This Row],[O - DEMAND]]/950</f>
        <v>0</v>
      </c>
      <c r="N268" s="16">
        <f>IFERROR(VLOOKUP(Table28[[#This Row],[ROUTE]],DEMAND!A:F,5,FALSE),0)</f>
        <v>0</v>
      </c>
      <c r="O268" s="16">
        <f>IFERROR(VLOOKUP(Table28[[#This Row],[ROUTE]],DEMAND!A:F,6,FALSE),0)</f>
        <v>0</v>
      </c>
      <c r="P268" s="16">
        <f>ROUNDDOWN(Table28[[#This Row],[R-DEMAND]]/950,0)</f>
        <v>0</v>
      </c>
      <c r="Q268" s="16">
        <f>Table28[[#This Row],[ADD ACC
(475/950)]]*Table28[[#This Row],[Duration
(A359)]]</f>
        <v>0</v>
      </c>
      <c r="R268" s="16">
        <f>IFERROR(VLOOKUP(Table28[[#This Row],[ROUTE]],PRICING!A:B,2,FALSE),0)</f>
        <v>0</v>
      </c>
      <c r="S268" s="16">
        <f>Table28[[#This Row],[C_DEMAND]]-Table28[[#This Row],[R-DEMAND]]</f>
        <v>0</v>
      </c>
      <c r="T268" s="316">
        <f>Table28[[#This Row],[SEATS SOLD]]*Table28[[#This Row],[ECO SEAT]]</f>
        <v>0</v>
      </c>
      <c r="U268" s="316">
        <f>Table28[[#This Row],[SEATS SOLD]]*(IFERROR(VLOOKUP(Table28[[#This Row],[ROUTE]],PRICING!A:C,3,FALSE),0))</f>
        <v>0</v>
      </c>
      <c r="V268" s="316">
        <f>Table28[[#This Row],[SEAT REV]]-Table28[[#This Row],[SEAT REV
(IF IDEAL $)]]</f>
        <v>0</v>
      </c>
      <c r="AA268" s="26"/>
      <c r="AB268" s="26"/>
      <c r="AC268" s="26"/>
      <c r="AD268" s="26"/>
      <c r="AE268" s="26"/>
      <c r="AS268" s="16" t="s">
        <v>2363</v>
      </c>
      <c r="AT268" s="16" t="s">
        <v>16849</v>
      </c>
      <c r="AU268" s="16" t="s">
        <v>2365</v>
      </c>
      <c r="AV268" s="16" t="s">
        <v>18878</v>
      </c>
      <c r="AW268" s="16" t="s">
        <v>18890</v>
      </c>
      <c r="AX268" s="16" t="s">
        <v>18942</v>
      </c>
      <c r="AY268" s="385">
        <v>10778</v>
      </c>
    </row>
    <row r="269" spans="1:51" x14ac:dyDescent="0.25">
      <c r="A269" s="16" t="s">
        <v>19428</v>
      </c>
      <c r="B269" s="16" t="s">
        <v>5480</v>
      </c>
      <c r="C269" s="16" t="s">
        <v>467</v>
      </c>
      <c r="D269" s="16">
        <v>4</v>
      </c>
      <c r="E269" s="16" t="s">
        <v>1749</v>
      </c>
      <c r="F269" s="16" t="str">
        <f>VLOOKUP(Table28[[#This Row],[Country]],Table10[[COUNTRY NAME]:[CONTINENT CODE]],3,FALSE)</f>
        <v>NA</v>
      </c>
      <c r="G269" s="16" t="s">
        <v>13219</v>
      </c>
      <c r="H269" s="181">
        <v>12658</v>
      </c>
      <c r="I269" s="180">
        <v>30</v>
      </c>
      <c r="K269" s="316">
        <f>IFERROR(Table28[[#This Row],[ROUTE COST]]/Table28[[#This Row],[O - DEMAND]],0)</f>
        <v>0</v>
      </c>
      <c r="M269" s="16">
        <f>Table28[[#This Row],[O - DEMAND]]/950</f>
        <v>0</v>
      </c>
      <c r="N269" s="16">
        <f>IFERROR(VLOOKUP(Table28[[#This Row],[ROUTE]],DEMAND!A:F,5,FALSE),0)</f>
        <v>2964</v>
      </c>
      <c r="O269" s="16">
        <f>IFERROR(VLOOKUP(Table28[[#This Row],[ROUTE]],DEMAND!A:F,6,FALSE),0)</f>
        <v>114</v>
      </c>
      <c r="P269" s="16">
        <f>ROUNDDOWN(Table28[[#This Row],[R-DEMAND]]/950,0)</f>
        <v>0</v>
      </c>
      <c r="Q269" s="16">
        <f>Table28[[#This Row],[ADD ACC
(475/950)]]*Table28[[#This Row],[Duration
(A359)]]</f>
        <v>0</v>
      </c>
      <c r="R269" s="16">
        <f>IFERROR(VLOOKUP(Table28[[#This Row],[ROUTE]],PRICING!A:B,2,FALSE),0)</f>
        <v>0</v>
      </c>
      <c r="S269" s="16">
        <f>Table28[[#This Row],[C_DEMAND]]-Table28[[#This Row],[R-DEMAND]]</f>
        <v>2850</v>
      </c>
      <c r="T269" s="316">
        <f>Table28[[#This Row],[SEATS SOLD]]*Table28[[#This Row],[ECO SEAT]]</f>
        <v>0</v>
      </c>
      <c r="U269" s="316">
        <f>Table28[[#This Row],[SEATS SOLD]]*(IFERROR(VLOOKUP(Table28[[#This Row],[ROUTE]],PRICING!A:C,3,FALSE),0))</f>
        <v>0</v>
      </c>
      <c r="V269" s="316">
        <f>Table28[[#This Row],[SEAT REV]]-Table28[[#This Row],[SEAT REV
(IF IDEAL $)]]</f>
        <v>0</v>
      </c>
      <c r="AA269" s="26"/>
      <c r="AB269" s="26"/>
      <c r="AC269" s="26"/>
      <c r="AD269" s="26"/>
      <c r="AE269" s="26"/>
      <c r="AS269" s="16" t="s">
        <v>14</v>
      </c>
      <c r="AT269" s="16" t="s">
        <v>33</v>
      </c>
      <c r="AU269" s="16" t="s">
        <v>34</v>
      </c>
      <c r="AV269" s="16" t="s">
        <v>18884</v>
      </c>
      <c r="AW269" s="16" t="s">
        <v>18899</v>
      </c>
      <c r="AX269" s="16" t="s">
        <v>18942</v>
      </c>
      <c r="AY269" s="385">
        <v>10792</v>
      </c>
    </row>
    <row r="270" spans="1:51" x14ac:dyDescent="0.25">
      <c r="A270" s="16" t="s">
        <v>19247</v>
      </c>
      <c r="B270" s="16" t="s">
        <v>2401</v>
      </c>
      <c r="D270" s="16">
        <v>1</v>
      </c>
      <c r="E270" s="16" t="s">
        <v>78</v>
      </c>
      <c r="F270" s="16" t="str">
        <f>VLOOKUP(Table28[[#This Row],[Country]],Table10[[COUNTRY NAME]:[CONTINENT CODE]],3,FALSE)</f>
        <v>EU</v>
      </c>
      <c r="G270" s="16" t="s">
        <v>11902</v>
      </c>
      <c r="H270" s="181">
        <v>10439</v>
      </c>
      <c r="I270" s="180">
        <v>25</v>
      </c>
      <c r="K270" s="316">
        <f>IFERROR(Table28[[#This Row],[ROUTE COST]]/Table28[[#This Row],[O - DEMAND]],0)</f>
        <v>0</v>
      </c>
      <c r="M270" s="16">
        <f>Table28[[#This Row],[O - DEMAND]]/950</f>
        <v>0</v>
      </c>
      <c r="N270" s="16">
        <f>IFERROR(VLOOKUP(Table28[[#This Row],[ROUTE]],DEMAND!A:F,5,FALSE),0)</f>
        <v>0</v>
      </c>
      <c r="O270" s="16">
        <f>IFERROR(VLOOKUP(Table28[[#This Row],[ROUTE]],DEMAND!A:F,6,FALSE),0)</f>
        <v>0</v>
      </c>
      <c r="P270" s="16">
        <f>ROUNDDOWN(Table28[[#This Row],[R-DEMAND]]/950,0)</f>
        <v>0</v>
      </c>
      <c r="Q270" s="16">
        <f>Table28[[#This Row],[ADD ACC
(475/950)]]*Table28[[#This Row],[Duration
(A359)]]</f>
        <v>0</v>
      </c>
      <c r="R270" s="16">
        <f>IFERROR(VLOOKUP(Table28[[#This Row],[ROUTE]],PRICING!A:B,2,FALSE),0)</f>
        <v>0</v>
      </c>
      <c r="S270" s="16">
        <f>Table28[[#This Row],[C_DEMAND]]-Table28[[#This Row],[R-DEMAND]]</f>
        <v>0</v>
      </c>
      <c r="T270" s="316">
        <f>Table28[[#This Row],[SEATS SOLD]]*Table28[[#This Row],[ECO SEAT]]</f>
        <v>0</v>
      </c>
      <c r="U270" s="316">
        <f>Table28[[#This Row],[SEATS SOLD]]*(IFERROR(VLOOKUP(Table28[[#This Row],[ROUTE]],PRICING!A:C,3,FALSE),0))</f>
        <v>0</v>
      </c>
      <c r="V270" s="316">
        <f>Table28[[#This Row],[SEAT REV]]-Table28[[#This Row],[SEAT REV
(IF IDEAL $)]]</f>
        <v>0</v>
      </c>
      <c r="AA270" s="26"/>
      <c r="AB270" s="26"/>
      <c r="AC270" s="26"/>
      <c r="AD270" s="26"/>
      <c r="AE270" s="26"/>
      <c r="AS270" s="16" t="s">
        <v>14</v>
      </c>
      <c r="AT270" s="16" t="s">
        <v>9438</v>
      </c>
      <c r="AU270" s="16" t="s">
        <v>3235</v>
      </c>
      <c r="AV270" s="16" t="s">
        <v>18881</v>
      </c>
      <c r="AW270" s="16" t="s">
        <v>18879</v>
      </c>
      <c r="AX270" s="16" t="s">
        <v>18942</v>
      </c>
      <c r="AY270" s="385">
        <v>10803</v>
      </c>
    </row>
    <row r="271" spans="1:51" x14ac:dyDescent="0.25">
      <c r="A271" s="16" t="s">
        <v>19452</v>
      </c>
      <c r="B271" s="16" t="s">
        <v>5153</v>
      </c>
      <c r="E271" s="16" t="s">
        <v>11732</v>
      </c>
      <c r="F271" s="16" t="str">
        <f>VLOOKUP(Table28[[#This Row],[Country]],Table10[[COUNTRY NAME]:[CONTINENT CODE]],3,FALSE)</f>
        <v>NA - US</v>
      </c>
      <c r="G271" s="16" t="s">
        <v>16942</v>
      </c>
      <c r="H271" s="181">
        <v>12808</v>
      </c>
      <c r="I271" s="180">
        <v>30.25</v>
      </c>
      <c r="K271" s="316">
        <f>IFERROR(Table28[[#This Row],[ROUTE COST]]/Table28[[#This Row],[O - DEMAND]],0)</f>
        <v>0</v>
      </c>
      <c r="M271" s="180">
        <f>Table28[[#This Row],[O - DEMAND]]/950</f>
        <v>0</v>
      </c>
      <c r="N271" s="16">
        <f>IFERROR(VLOOKUP(Table28[[#This Row],[ROUTE]],DEMAND!A:F,5,FALSE),0)</f>
        <v>0</v>
      </c>
      <c r="O271" s="16">
        <f>IFERROR(VLOOKUP(Table28[[#This Row],[ROUTE]],DEMAND!A:F,6,FALSE),0)</f>
        <v>0</v>
      </c>
      <c r="P271" s="16">
        <f>ROUNDDOWN(Table28[[#This Row],[R-DEMAND]]/950,0)</f>
        <v>0</v>
      </c>
      <c r="Q271" s="16">
        <f>Table28[[#This Row],[ADD ACC
(475/950)]]*Table28[[#This Row],[Duration
(A359)]]</f>
        <v>0</v>
      </c>
      <c r="R271" s="16">
        <f>IFERROR(VLOOKUP(Table28[[#This Row],[ROUTE]],PRICING!A:B,2,FALSE),0)</f>
        <v>0</v>
      </c>
      <c r="S271" s="16">
        <f>Table28[[#This Row],[C_DEMAND]]-Table28[[#This Row],[R-DEMAND]]</f>
        <v>0</v>
      </c>
      <c r="T271" s="316">
        <f>Table28[[#This Row],[SEATS SOLD]]*Table28[[#This Row],[ECO SEAT]]</f>
        <v>0</v>
      </c>
      <c r="U271" s="316">
        <f>Table28[[#This Row],[SEATS SOLD]]*(IFERROR(VLOOKUP(Table28[[#This Row],[ROUTE]],PRICING!A:C,3,FALSE),0))</f>
        <v>0</v>
      </c>
      <c r="V271" s="316">
        <f>Table28[[#This Row],[SEAT REV]]-Table28[[#This Row],[SEAT REV
(IF IDEAL $)]]</f>
        <v>0</v>
      </c>
      <c r="AA271" s="26"/>
      <c r="AB271" s="26"/>
      <c r="AC271" s="26"/>
      <c r="AD271" s="26"/>
      <c r="AE271" s="26"/>
      <c r="AS271" s="16" t="s">
        <v>2104</v>
      </c>
      <c r="AT271" s="16" t="s">
        <v>11881</v>
      </c>
      <c r="AU271" s="16" t="s">
        <v>2106</v>
      </c>
      <c r="AV271" s="16" t="s">
        <v>18881</v>
      </c>
      <c r="AW271" s="16" t="s">
        <v>18890</v>
      </c>
      <c r="AX271" s="16" t="s">
        <v>18942</v>
      </c>
      <c r="AY271" s="385">
        <v>10811</v>
      </c>
    </row>
    <row r="272" spans="1:51" x14ac:dyDescent="0.25">
      <c r="A272" s="16" t="s">
        <v>19026</v>
      </c>
      <c r="B272" s="16" t="s">
        <v>302</v>
      </c>
      <c r="D272" s="16">
        <v>2</v>
      </c>
      <c r="E272" s="16" t="s">
        <v>717</v>
      </c>
      <c r="F272" s="16" t="str">
        <f>VLOOKUP(Table28[[#This Row],[Country]],Table10[[COUNTRY NAME]:[CONTINENT CODE]],3,FALSE)</f>
        <v>AS</v>
      </c>
      <c r="G272" s="16" t="s">
        <v>12097</v>
      </c>
      <c r="H272" s="181">
        <v>5227</v>
      </c>
      <c r="I272" s="180">
        <v>13.5</v>
      </c>
      <c r="K272" s="316">
        <f>IFERROR(Table28[[#This Row],[ROUTE COST]]/Table28[[#This Row],[O - DEMAND]],0)</f>
        <v>0</v>
      </c>
      <c r="M272" s="16">
        <f>Table28[[#This Row],[O - DEMAND]]/950</f>
        <v>0</v>
      </c>
      <c r="N272" s="16">
        <f>IFERROR(VLOOKUP(Table28[[#This Row],[ROUTE]],DEMAND!A:F,5,FALSE),0)</f>
        <v>0</v>
      </c>
      <c r="O272" s="16">
        <f>IFERROR(VLOOKUP(Table28[[#This Row],[ROUTE]],DEMAND!A:F,6,FALSE),0)</f>
        <v>0</v>
      </c>
      <c r="P272" s="16">
        <f>ROUNDDOWN(Table28[[#This Row],[R-DEMAND]]/950,0)</f>
        <v>0</v>
      </c>
      <c r="Q272" s="16">
        <f>Table28[[#This Row],[ADD ACC
(475/950)]]*Table28[[#This Row],[Duration
(A359)]]</f>
        <v>0</v>
      </c>
      <c r="R272" s="16">
        <f>IFERROR(VLOOKUP(Table28[[#This Row],[ROUTE]],PRICING!A:B,2,FALSE),0)</f>
        <v>0</v>
      </c>
      <c r="S272" s="16">
        <f>Table28[[#This Row],[C_DEMAND]]-Table28[[#This Row],[R-DEMAND]]</f>
        <v>0</v>
      </c>
      <c r="T272" s="316">
        <f>Table28[[#This Row],[SEATS SOLD]]*Table28[[#This Row],[ECO SEAT]]</f>
        <v>0</v>
      </c>
      <c r="U272" s="316">
        <f>Table28[[#This Row],[SEATS SOLD]]*(IFERROR(VLOOKUP(Table28[[#This Row],[ROUTE]],PRICING!A:C,3,FALSE),0))</f>
        <v>0</v>
      </c>
      <c r="V272" s="316">
        <f>Table28[[#This Row],[SEAT REV]]-Table28[[#This Row],[SEAT REV
(IF IDEAL $)]]</f>
        <v>0</v>
      </c>
      <c r="AA272" s="26"/>
      <c r="AB272" s="26"/>
      <c r="AC272" s="26"/>
      <c r="AD272" s="26"/>
      <c r="AE272" s="26"/>
      <c r="AS272" s="16" t="s">
        <v>1070</v>
      </c>
      <c r="AT272" s="16" t="s">
        <v>12018</v>
      </c>
      <c r="AU272" s="16" t="s">
        <v>437</v>
      </c>
      <c r="AV272" s="16" t="s">
        <v>18884</v>
      </c>
      <c r="AW272" s="16" t="s">
        <v>18879</v>
      </c>
      <c r="AX272" s="16" t="s">
        <v>18961</v>
      </c>
      <c r="AY272" s="385">
        <v>10823</v>
      </c>
    </row>
    <row r="273" spans="1:51" x14ac:dyDescent="0.25">
      <c r="A273" s="16" t="s">
        <v>19626</v>
      </c>
      <c r="B273" s="16" t="s">
        <v>2132</v>
      </c>
      <c r="D273" s="16">
        <v>1</v>
      </c>
      <c r="E273" s="16" t="s">
        <v>11732</v>
      </c>
      <c r="F273" s="16" t="str">
        <f>VLOOKUP(Table28[[#This Row],[Country]],Table10[[COUNTRY NAME]:[CONTINENT CODE]],3,FALSE)</f>
        <v>NA - US</v>
      </c>
      <c r="G273" s="16" t="s">
        <v>13327</v>
      </c>
      <c r="H273" s="181">
        <v>13994</v>
      </c>
      <c r="I273" s="180">
        <v>32.75</v>
      </c>
      <c r="K273" s="316">
        <f>IFERROR(Table28[[#This Row],[ROUTE COST]]/Table28[[#This Row],[O - DEMAND]],0)</f>
        <v>0</v>
      </c>
      <c r="M273" s="180">
        <f>Table28[[#This Row],[O - DEMAND]]/950</f>
        <v>0</v>
      </c>
      <c r="N273" s="16">
        <f>IFERROR(VLOOKUP(Table28[[#This Row],[ROUTE]],DEMAND!A:F,5,FALSE),0)</f>
        <v>0</v>
      </c>
      <c r="O273" s="16">
        <f>IFERROR(VLOOKUP(Table28[[#This Row],[ROUTE]],DEMAND!A:F,6,FALSE),0)</f>
        <v>0</v>
      </c>
      <c r="P273" s="16">
        <f>ROUNDDOWN(Table28[[#This Row],[R-DEMAND]]/950,0)</f>
        <v>0</v>
      </c>
      <c r="Q273" s="16">
        <f>Table28[[#This Row],[ADD ACC
(475/950)]]*Table28[[#This Row],[Duration
(A359)]]</f>
        <v>0</v>
      </c>
      <c r="R273" s="16">
        <f>IFERROR(VLOOKUP(Table28[[#This Row],[ROUTE]],PRICING!A:B,2,FALSE),0)</f>
        <v>0</v>
      </c>
      <c r="S273" s="16">
        <f>Table28[[#This Row],[C_DEMAND]]-Table28[[#This Row],[R-DEMAND]]</f>
        <v>0</v>
      </c>
      <c r="T273" s="316">
        <f>Table28[[#This Row],[SEATS SOLD]]*Table28[[#This Row],[ECO SEAT]]</f>
        <v>0</v>
      </c>
      <c r="U273" s="316">
        <f>Table28[[#This Row],[SEATS SOLD]]*(IFERROR(VLOOKUP(Table28[[#This Row],[ROUTE]],PRICING!A:C,3,FALSE),0))</f>
        <v>0</v>
      </c>
      <c r="V273" s="316">
        <f>Table28[[#This Row],[SEAT REV]]-Table28[[#This Row],[SEAT REV
(IF IDEAL $)]]</f>
        <v>0</v>
      </c>
      <c r="AA273" s="26"/>
      <c r="AB273" s="26"/>
      <c r="AC273" s="26"/>
      <c r="AD273" s="26"/>
      <c r="AE273" s="26"/>
      <c r="AS273" s="16" t="s">
        <v>197</v>
      </c>
      <c r="AT273" s="16" t="s">
        <v>12017</v>
      </c>
      <c r="AU273" s="16" t="s">
        <v>198</v>
      </c>
      <c r="AV273" s="16" t="s">
        <v>18884</v>
      </c>
      <c r="AW273" s="16" t="s">
        <v>18885</v>
      </c>
      <c r="AX273" s="16" t="s">
        <v>18961</v>
      </c>
      <c r="AY273" s="385">
        <v>10842</v>
      </c>
    </row>
    <row r="274" spans="1:51" x14ac:dyDescent="0.25">
      <c r="A274" s="16" t="s">
        <v>19232</v>
      </c>
      <c r="B274" s="16" t="s">
        <v>841</v>
      </c>
      <c r="D274" s="16">
        <v>1</v>
      </c>
      <c r="E274" s="16" t="s">
        <v>11669</v>
      </c>
      <c r="F274" s="16" t="str">
        <f>VLOOKUP(Table28[[#This Row],[Country]],Table10[[COUNTRY NAME]:[CONTINENT CODE]],3,FALSE)</f>
        <v>SA</v>
      </c>
      <c r="G274" s="16" t="s">
        <v>9714</v>
      </c>
      <c r="H274" s="181">
        <v>9949</v>
      </c>
      <c r="I274" s="180">
        <v>24</v>
      </c>
      <c r="K274" s="316">
        <f>IFERROR(Table28[[#This Row],[ROUTE COST]]/Table28[[#This Row],[O - DEMAND]],0)</f>
        <v>0</v>
      </c>
      <c r="M274" s="16">
        <f>Table28[[#This Row],[O - DEMAND]]/950</f>
        <v>0</v>
      </c>
      <c r="N274" s="16">
        <f>IFERROR(VLOOKUP(Table28[[#This Row],[ROUTE]],DEMAND!A:F,5,FALSE),0)</f>
        <v>0</v>
      </c>
      <c r="O274" s="16">
        <f>IFERROR(VLOOKUP(Table28[[#This Row],[ROUTE]],DEMAND!A:F,6,FALSE),0)</f>
        <v>0</v>
      </c>
      <c r="P274" s="16">
        <f>ROUNDDOWN(Table28[[#This Row],[R-DEMAND]]/950,0)</f>
        <v>0</v>
      </c>
      <c r="Q274" s="16">
        <f>Table28[[#This Row],[ADD ACC
(475/950)]]*Table28[[#This Row],[Duration
(A359)]]</f>
        <v>0</v>
      </c>
      <c r="R274" s="16">
        <f>IFERROR(VLOOKUP(Table28[[#This Row],[ROUTE]],PRICING!A:B,2,FALSE),0)</f>
        <v>0</v>
      </c>
      <c r="S274" s="16">
        <f>Table28[[#This Row],[C_DEMAND]]-Table28[[#This Row],[R-DEMAND]]</f>
        <v>0</v>
      </c>
      <c r="T274" s="316">
        <f>Table28[[#This Row],[SEATS SOLD]]*Table28[[#This Row],[ECO SEAT]]</f>
        <v>0</v>
      </c>
      <c r="U274" s="316">
        <f>Table28[[#This Row],[SEATS SOLD]]*(IFERROR(VLOOKUP(Table28[[#This Row],[ROUTE]],PRICING!A:C,3,FALSE),0))</f>
        <v>0</v>
      </c>
      <c r="V274" s="316">
        <f>Table28[[#This Row],[SEAT REV]]-Table28[[#This Row],[SEAT REV
(IF IDEAL $)]]</f>
        <v>0</v>
      </c>
      <c r="AA274" s="26"/>
      <c r="AB274" s="26"/>
      <c r="AC274" s="26"/>
      <c r="AD274" s="26"/>
      <c r="AE274" s="26"/>
      <c r="AS274" s="16" t="s">
        <v>11732</v>
      </c>
      <c r="AT274" s="16" t="s">
        <v>10380</v>
      </c>
      <c r="AU274" s="16" t="s">
        <v>5377</v>
      </c>
      <c r="AV274" s="16" t="s">
        <v>18881</v>
      </c>
      <c r="AW274" s="16" t="s">
        <v>18885</v>
      </c>
      <c r="AX274" s="16" t="s">
        <v>18961</v>
      </c>
      <c r="AY274" s="385">
        <v>10843</v>
      </c>
    </row>
    <row r="275" spans="1:51" x14ac:dyDescent="0.25">
      <c r="A275" s="16" t="s">
        <v>19567</v>
      </c>
      <c r="B275" s="16" t="s">
        <v>5611</v>
      </c>
      <c r="C275" s="16" t="s">
        <v>467</v>
      </c>
      <c r="D275" s="16">
        <v>4</v>
      </c>
      <c r="E275" s="16" t="s">
        <v>517</v>
      </c>
      <c r="F275" s="16" t="str">
        <f>VLOOKUP(Table28[[#This Row],[Country]],Table10[[COUNTRY NAME]:[CONTINENT CODE]],3,FALSE)</f>
        <v>SA</v>
      </c>
      <c r="G275" s="16" t="s">
        <v>13161</v>
      </c>
      <c r="H275" s="181">
        <v>13526</v>
      </c>
      <c r="I275" s="180">
        <v>31.75</v>
      </c>
      <c r="K275" s="316">
        <f>IFERROR(Table28[[#This Row],[ROUTE COST]]/Table28[[#This Row],[O - DEMAND]],0)</f>
        <v>0</v>
      </c>
      <c r="M275" s="16">
        <f>Table28[[#This Row],[O - DEMAND]]/950</f>
        <v>0</v>
      </c>
      <c r="N275" s="16">
        <f>IFERROR(VLOOKUP(Table28[[#This Row],[ROUTE]],DEMAND!A:F,5,FALSE),0)</f>
        <v>3367</v>
      </c>
      <c r="O275" s="16">
        <f>IFERROR(VLOOKUP(Table28[[#This Row],[ROUTE]],DEMAND!A:F,6,FALSE),0)</f>
        <v>517</v>
      </c>
      <c r="P275" s="16">
        <f>ROUNDDOWN(Table28[[#This Row],[R-DEMAND]]/950,0)</f>
        <v>0</v>
      </c>
      <c r="Q275" s="16">
        <f>Table28[[#This Row],[ADD ACC
(475/950)]]*Table28[[#This Row],[Duration
(A359)]]</f>
        <v>0</v>
      </c>
      <c r="R275" s="16">
        <f>IFERROR(VLOOKUP(Table28[[#This Row],[ROUTE]],PRICING!A:B,2,FALSE),0)</f>
        <v>0</v>
      </c>
      <c r="S275" s="16">
        <f>Table28[[#This Row],[C_DEMAND]]-Table28[[#This Row],[R-DEMAND]]</f>
        <v>2850</v>
      </c>
      <c r="T275" s="316">
        <f>Table28[[#This Row],[SEATS SOLD]]*Table28[[#This Row],[ECO SEAT]]</f>
        <v>0</v>
      </c>
      <c r="U275" s="316">
        <f>Table28[[#This Row],[SEATS SOLD]]*(IFERROR(VLOOKUP(Table28[[#This Row],[ROUTE]],PRICING!A:C,3,FALSE),0))</f>
        <v>0</v>
      </c>
      <c r="V275" s="316">
        <f>Table28[[#This Row],[SEAT REV]]-Table28[[#This Row],[SEAT REV
(IF IDEAL $)]]</f>
        <v>0</v>
      </c>
      <c r="AA275" s="26"/>
      <c r="AB275" s="26"/>
      <c r="AC275" s="26"/>
      <c r="AD275" s="26"/>
      <c r="AE275" s="26"/>
      <c r="AS275" s="16" t="s">
        <v>78</v>
      </c>
      <c r="AT275" s="16" t="s">
        <v>6123</v>
      </c>
      <c r="AU275" s="16" t="s">
        <v>4106</v>
      </c>
      <c r="AV275" s="16" t="s">
        <v>18884</v>
      </c>
      <c r="AW275" s="16" t="s">
        <v>18879</v>
      </c>
      <c r="AX275" s="16" t="s">
        <v>18961</v>
      </c>
      <c r="AY275" s="385">
        <v>10854</v>
      </c>
    </row>
    <row r="276" spans="1:51" x14ac:dyDescent="0.25">
      <c r="A276" s="16" t="s">
        <v>19441</v>
      </c>
      <c r="B276" s="16" t="s">
        <v>4414</v>
      </c>
      <c r="D276" s="16">
        <v>2</v>
      </c>
      <c r="E276" s="16" t="s">
        <v>172</v>
      </c>
      <c r="F276" s="16" t="str">
        <f>VLOOKUP(Table28[[#This Row],[Country]],Table10[[COUNTRY NAME]:[CONTINENT CODE]],3,FALSE)</f>
        <v>AS</v>
      </c>
      <c r="G276" s="16" t="s">
        <v>9697</v>
      </c>
      <c r="H276" s="181">
        <v>12740</v>
      </c>
      <c r="I276" s="180">
        <v>30</v>
      </c>
      <c r="K276" s="316">
        <f>IFERROR(Table28[[#This Row],[ROUTE COST]]/Table28[[#This Row],[O - DEMAND]],0)</f>
        <v>0</v>
      </c>
      <c r="M276" s="16">
        <f>Table28[[#This Row],[O - DEMAND]]/950</f>
        <v>0</v>
      </c>
      <c r="N276" s="16">
        <f>IFERROR(VLOOKUP(Table28[[#This Row],[ROUTE]],DEMAND!A:F,5,FALSE),0)</f>
        <v>0</v>
      </c>
      <c r="O276" s="16">
        <f>IFERROR(VLOOKUP(Table28[[#This Row],[ROUTE]],DEMAND!A:F,6,FALSE),0)</f>
        <v>0</v>
      </c>
      <c r="P276" s="16">
        <f>ROUNDDOWN(Table28[[#This Row],[R-DEMAND]]/950,0)</f>
        <v>0</v>
      </c>
      <c r="Q276" s="16">
        <f>Table28[[#This Row],[ADD ACC
(475/950)]]*Table28[[#This Row],[Duration
(A359)]]</f>
        <v>0</v>
      </c>
      <c r="R276" s="16">
        <f>IFERROR(VLOOKUP(Table28[[#This Row],[ROUTE]],PRICING!A:B,2,FALSE),0)</f>
        <v>0</v>
      </c>
      <c r="S276" s="16">
        <f>Table28[[#This Row],[C_DEMAND]]-Table28[[#This Row],[R-DEMAND]]</f>
        <v>0</v>
      </c>
      <c r="T276" s="316">
        <f>Table28[[#This Row],[SEATS SOLD]]*Table28[[#This Row],[ECO SEAT]]</f>
        <v>0</v>
      </c>
      <c r="U276" s="316">
        <f>Table28[[#This Row],[SEATS SOLD]]*(IFERROR(VLOOKUP(Table28[[#This Row],[ROUTE]],PRICING!A:C,3,FALSE),0))</f>
        <v>0</v>
      </c>
      <c r="V276" s="316">
        <f>Table28[[#This Row],[SEAT REV]]-Table28[[#This Row],[SEAT REV
(IF IDEAL $)]]</f>
        <v>0</v>
      </c>
      <c r="AA276" s="26"/>
      <c r="AB276" s="26"/>
      <c r="AC276" s="26"/>
      <c r="AD276" s="26"/>
      <c r="AE276" s="26"/>
      <c r="AS276" s="16" t="s">
        <v>533</v>
      </c>
      <c r="AT276" s="16" t="s">
        <v>11993</v>
      </c>
      <c r="AU276" s="16" t="s">
        <v>1267</v>
      </c>
      <c r="AV276" s="16" t="s">
        <v>18892</v>
      </c>
      <c r="AW276" s="16" t="s">
        <v>18890</v>
      </c>
      <c r="AX276" s="16" t="s">
        <v>18961</v>
      </c>
      <c r="AY276" s="385">
        <v>10861</v>
      </c>
    </row>
    <row r="277" spans="1:51" x14ac:dyDescent="0.25">
      <c r="A277" s="16" t="s">
        <v>19505</v>
      </c>
      <c r="B277" s="16" t="s">
        <v>4005</v>
      </c>
      <c r="D277" s="16">
        <v>2</v>
      </c>
      <c r="E277" s="16" t="s">
        <v>11732</v>
      </c>
      <c r="F277" s="16" t="str">
        <f>VLOOKUP(Table28[[#This Row],[Country]],Table10[[COUNTRY NAME]:[CONTINENT CODE]],3,FALSE)</f>
        <v>NA - US</v>
      </c>
      <c r="G277" s="16" t="s">
        <v>13280</v>
      </c>
      <c r="H277" s="181">
        <v>13109</v>
      </c>
      <c r="I277" s="180">
        <v>31</v>
      </c>
      <c r="K277" s="316">
        <f>IFERROR(Table28[[#This Row],[ROUTE COST]]/Table28[[#This Row],[O - DEMAND]],0)</f>
        <v>0</v>
      </c>
      <c r="M277" s="180">
        <f>Table28[[#This Row],[O - DEMAND]]/950</f>
        <v>0</v>
      </c>
      <c r="N277" s="16">
        <f>IFERROR(VLOOKUP(Table28[[#This Row],[ROUTE]],DEMAND!A:F,5,FALSE),0)</f>
        <v>0</v>
      </c>
      <c r="O277" s="16">
        <f>IFERROR(VLOOKUP(Table28[[#This Row],[ROUTE]],DEMAND!A:F,6,FALSE),0)</f>
        <v>0</v>
      </c>
      <c r="P277" s="16">
        <f>ROUNDDOWN(Table28[[#This Row],[R-DEMAND]]/950,0)</f>
        <v>0</v>
      </c>
      <c r="Q277" s="16">
        <f>Table28[[#This Row],[ADD ACC
(475/950)]]*Table28[[#This Row],[Duration
(A359)]]</f>
        <v>0</v>
      </c>
      <c r="R277" s="16">
        <f>IFERROR(VLOOKUP(Table28[[#This Row],[ROUTE]],PRICING!A:B,2,FALSE),0)</f>
        <v>0</v>
      </c>
      <c r="S277" s="16">
        <f>Table28[[#This Row],[C_DEMAND]]-Table28[[#This Row],[R-DEMAND]]</f>
        <v>0</v>
      </c>
      <c r="T277" s="316">
        <f>Table28[[#This Row],[SEATS SOLD]]*Table28[[#This Row],[ECO SEAT]]</f>
        <v>0</v>
      </c>
      <c r="U277" s="316">
        <f>Table28[[#This Row],[SEATS SOLD]]*(IFERROR(VLOOKUP(Table28[[#This Row],[ROUTE]],PRICING!A:C,3,FALSE),0))</f>
        <v>0</v>
      </c>
      <c r="V277" s="316">
        <f>Table28[[#This Row],[SEAT REV]]-Table28[[#This Row],[SEAT REV
(IF IDEAL $)]]</f>
        <v>0</v>
      </c>
      <c r="AA277" s="26"/>
      <c r="AB277" s="26"/>
      <c r="AC277" s="26"/>
      <c r="AD277" s="26"/>
      <c r="AE277" s="26"/>
      <c r="AS277" s="16" t="s">
        <v>926</v>
      </c>
      <c r="AT277" s="16" t="s">
        <v>11907</v>
      </c>
      <c r="AU277" s="16" t="s">
        <v>163</v>
      </c>
      <c r="AV277" s="16" t="s">
        <v>18881</v>
      </c>
      <c r="AW277" s="16" t="s">
        <v>18879</v>
      </c>
      <c r="AX277" s="16" t="s">
        <v>18961</v>
      </c>
      <c r="AY277" s="385">
        <v>10880</v>
      </c>
    </row>
    <row r="278" spans="1:51" x14ac:dyDescent="0.25">
      <c r="A278" s="16" t="s">
        <v>19320</v>
      </c>
      <c r="B278" s="16" t="s">
        <v>2007</v>
      </c>
      <c r="C278" s="16" t="s">
        <v>467</v>
      </c>
      <c r="D278" s="16">
        <v>1</v>
      </c>
      <c r="E278" s="16" t="s">
        <v>1513</v>
      </c>
      <c r="F278" s="16" t="str">
        <f>VLOOKUP(Table28[[#This Row],[Country]],Table10[[COUNTRY NAME]:[CONTINENT CODE]],3,FALSE)</f>
        <v>AF</v>
      </c>
      <c r="G278" s="16" t="s">
        <v>11967</v>
      </c>
      <c r="H278" s="181">
        <v>11695</v>
      </c>
      <c r="I278" s="180">
        <v>27.75</v>
      </c>
      <c r="K278" s="316">
        <f>IFERROR(Table28[[#This Row],[ROUTE COST]]/Table28[[#This Row],[O - DEMAND]],0)</f>
        <v>0</v>
      </c>
      <c r="M278" s="16">
        <f>Table28[[#This Row],[O - DEMAND]]/950</f>
        <v>0</v>
      </c>
      <c r="N278" s="16">
        <f>IFERROR(VLOOKUP(Table28[[#This Row],[ROUTE]],DEMAND!A:F,5,FALSE),0)</f>
        <v>4168</v>
      </c>
      <c r="O278" s="16">
        <f>IFERROR(VLOOKUP(Table28[[#This Row],[ROUTE]],DEMAND!A:F,6,FALSE),0)</f>
        <v>368</v>
      </c>
      <c r="P278" s="16">
        <f>ROUNDDOWN(Table28[[#This Row],[R-DEMAND]]/950,0)</f>
        <v>0</v>
      </c>
      <c r="Q278" s="16">
        <f>Table28[[#This Row],[ADD ACC
(475/950)]]*Table28[[#This Row],[Duration
(A359)]]</f>
        <v>0</v>
      </c>
      <c r="R278" s="16">
        <f>IFERROR(VLOOKUP(Table28[[#This Row],[ROUTE]],PRICING!A:B,2,FALSE),0)</f>
        <v>0</v>
      </c>
      <c r="S278" s="16">
        <f>Table28[[#This Row],[C_DEMAND]]-Table28[[#This Row],[R-DEMAND]]</f>
        <v>3800</v>
      </c>
      <c r="T278" s="316">
        <f>Table28[[#This Row],[SEATS SOLD]]*Table28[[#This Row],[ECO SEAT]]</f>
        <v>0</v>
      </c>
      <c r="U278" s="316">
        <f>Table28[[#This Row],[SEATS SOLD]]*(IFERROR(VLOOKUP(Table28[[#This Row],[ROUTE]],PRICING!A:C,3,FALSE),0))</f>
        <v>0</v>
      </c>
      <c r="V278" s="316">
        <f>Table28[[#This Row],[SEAT REV]]-Table28[[#This Row],[SEAT REV
(IF IDEAL $)]]</f>
        <v>0</v>
      </c>
      <c r="AA278" s="26"/>
      <c r="AB278" s="26"/>
      <c r="AC278" s="26"/>
      <c r="AD278" s="26"/>
      <c r="AE278" s="26"/>
      <c r="AS278" s="16" t="s">
        <v>1135</v>
      </c>
      <c r="AT278" s="16" t="s">
        <v>11960</v>
      </c>
      <c r="AU278" s="16" t="s">
        <v>293</v>
      </c>
      <c r="AV278" s="16" t="s">
        <v>18892</v>
      </c>
      <c r="AW278" s="16" t="s">
        <v>18879</v>
      </c>
      <c r="AX278" s="16" t="s">
        <v>18961</v>
      </c>
      <c r="AY278" s="385">
        <v>10894</v>
      </c>
    </row>
    <row r="279" spans="1:51" x14ac:dyDescent="0.25">
      <c r="A279" s="16" t="s">
        <v>19758</v>
      </c>
      <c r="B279" s="16" t="s">
        <v>1961</v>
      </c>
      <c r="D279" s="16">
        <v>1</v>
      </c>
      <c r="E279" s="16" t="s">
        <v>1959</v>
      </c>
      <c r="F279" s="16" t="str">
        <f>VLOOKUP(Table28[[#This Row],[Country]],Table10[[COUNTRY NAME]:[CONTINENT CODE]],3,FALSE)</f>
        <v>EU</v>
      </c>
      <c r="G279" s="16" t="s">
        <v>16881</v>
      </c>
      <c r="H279" s="181">
        <v>14922</v>
      </c>
      <c r="I279" s="180">
        <v>35</v>
      </c>
      <c r="K279" s="316">
        <f>IFERROR(Table28[[#This Row],[ROUTE COST]]/Table28[[#This Row],[O - DEMAND]],0)</f>
        <v>0</v>
      </c>
      <c r="M279" s="16">
        <f>Table28[[#This Row],[O - DEMAND]]/950</f>
        <v>0</v>
      </c>
      <c r="N279" s="16">
        <f>IFERROR(VLOOKUP(Table28[[#This Row],[ROUTE]],DEMAND!A:F,5,FALSE),0)</f>
        <v>0</v>
      </c>
      <c r="O279" s="16">
        <f>IFERROR(VLOOKUP(Table28[[#This Row],[ROUTE]],DEMAND!A:F,6,FALSE),0)</f>
        <v>0</v>
      </c>
      <c r="P279" s="16">
        <f>ROUNDDOWN(Table28[[#This Row],[R-DEMAND]]/950,0)</f>
        <v>0</v>
      </c>
      <c r="Q279" s="16">
        <f>Table28[[#This Row],[ADD ACC
(475/950)]]*Table28[[#This Row],[Duration
(A359)]]</f>
        <v>0</v>
      </c>
      <c r="R279" s="16">
        <f>IFERROR(VLOOKUP(Table28[[#This Row],[ROUTE]],PRICING!A:B,2,FALSE),0)</f>
        <v>0</v>
      </c>
      <c r="S279" s="16">
        <f>Table28[[#This Row],[C_DEMAND]]-Table28[[#This Row],[R-DEMAND]]</f>
        <v>0</v>
      </c>
      <c r="T279" s="316">
        <f>Table28[[#This Row],[SEATS SOLD]]*Table28[[#This Row],[ECO SEAT]]</f>
        <v>0</v>
      </c>
      <c r="U279" s="316">
        <f>Table28[[#This Row],[SEATS SOLD]]*(IFERROR(VLOOKUP(Table28[[#This Row],[ROUTE]],PRICING!A:C,3,FALSE),0))</f>
        <v>0</v>
      </c>
      <c r="V279" s="316">
        <f>Table28[[#This Row],[SEAT REV]]-Table28[[#This Row],[SEAT REV
(IF IDEAL $)]]</f>
        <v>0</v>
      </c>
      <c r="AA279" s="26"/>
      <c r="AB279" s="26"/>
      <c r="AC279" s="26"/>
      <c r="AD279" s="26"/>
      <c r="AE279" s="26"/>
      <c r="AS279" s="16" t="s">
        <v>197</v>
      </c>
      <c r="AT279" s="16" t="s">
        <v>418</v>
      </c>
      <c r="AU279" s="16" t="s">
        <v>419</v>
      </c>
      <c r="AV279" s="16" t="s">
        <v>18892</v>
      </c>
      <c r="AW279" s="16" t="s">
        <v>18899</v>
      </c>
      <c r="AX279" s="16" t="s">
        <v>18961</v>
      </c>
      <c r="AY279" s="385">
        <v>10914</v>
      </c>
    </row>
    <row r="280" spans="1:51" x14ac:dyDescent="0.25">
      <c r="A280" s="16" t="s">
        <v>19144</v>
      </c>
      <c r="B280" s="16" t="s">
        <v>5625</v>
      </c>
      <c r="D280" s="16">
        <v>4</v>
      </c>
      <c r="E280" s="16" t="s">
        <v>258</v>
      </c>
      <c r="F280" s="16" t="str">
        <f>VLOOKUP(Table28[[#This Row],[Country]],Table10[[COUNTRY NAME]:[CONTINENT CODE]],3,FALSE)</f>
        <v>AS</v>
      </c>
      <c r="G280" s="16" t="s">
        <v>11085</v>
      </c>
      <c r="H280" s="181">
        <v>8343</v>
      </c>
      <c r="I280" s="180">
        <v>20.5</v>
      </c>
      <c r="K280" s="316">
        <f>IFERROR(Table28[[#This Row],[ROUTE COST]]/Table28[[#This Row],[O - DEMAND]],0)</f>
        <v>0</v>
      </c>
      <c r="M280" s="16">
        <f>Table28[[#This Row],[O - DEMAND]]/950</f>
        <v>0</v>
      </c>
      <c r="N280" s="16">
        <f>IFERROR(VLOOKUP(Table28[[#This Row],[ROUTE]],DEMAND!A:F,5,FALSE),0)</f>
        <v>0</v>
      </c>
      <c r="O280" s="16">
        <f>IFERROR(VLOOKUP(Table28[[#This Row],[ROUTE]],DEMAND!A:F,6,FALSE),0)</f>
        <v>0</v>
      </c>
      <c r="P280" s="16">
        <f>ROUNDDOWN(Table28[[#This Row],[R-DEMAND]]/950,0)</f>
        <v>0</v>
      </c>
      <c r="Q280" s="16">
        <f>Table28[[#This Row],[ADD ACC
(475/950)]]*Table28[[#This Row],[Duration
(A359)]]</f>
        <v>0</v>
      </c>
      <c r="R280" s="16">
        <f>IFERROR(VLOOKUP(Table28[[#This Row],[ROUTE]],PRICING!A:B,2,FALSE),0)</f>
        <v>0</v>
      </c>
      <c r="S280" s="16">
        <f>Table28[[#This Row],[C_DEMAND]]-Table28[[#This Row],[R-DEMAND]]</f>
        <v>0</v>
      </c>
      <c r="T280" s="316">
        <f>Table28[[#This Row],[SEATS SOLD]]*Table28[[#This Row],[ECO SEAT]]</f>
        <v>0</v>
      </c>
      <c r="U280" s="316">
        <f>Table28[[#This Row],[SEATS SOLD]]*(IFERROR(VLOOKUP(Table28[[#This Row],[ROUTE]],PRICING!A:C,3,FALSE),0))</f>
        <v>0</v>
      </c>
      <c r="V280" s="316">
        <f>Table28[[#This Row],[SEAT REV]]-Table28[[#This Row],[SEAT REV
(IF IDEAL $)]]</f>
        <v>0</v>
      </c>
      <c r="AA280" s="26"/>
      <c r="AB280" s="26"/>
      <c r="AC280" s="26"/>
      <c r="AD280" s="26"/>
      <c r="AE280" s="26"/>
      <c r="AS280" s="16" t="s">
        <v>926</v>
      </c>
      <c r="AT280" s="16" t="s">
        <v>16854</v>
      </c>
      <c r="AU280" s="16" t="s">
        <v>3759</v>
      </c>
      <c r="AV280" s="16" t="s">
        <v>18878</v>
      </c>
      <c r="AW280" s="16" t="s">
        <v>18879</v>
      </c>
      <c r="AX280" s="16" t="s">
        <v>18961</v>
      </c>
      <c r="AY280" s="385">
        <v>10924</v>
      </c>
    </row>
    <row r="281" spans="1:51" x14ac:dyDescent="0.25">
      <c r="A281" s="16" t="s">
        <v>19230</v>
      </c>
      <c r="B281" s="16" t="s">
        <v>300</v>
      </c>
      <c r="C281" s="16" t="s">
        <v>467</v>
      </c>
      <c r="D281" s="16">
        <v>3</v>
      </c>
      <c r="E281" s="16" t="s">
        <v>1070</v>
      </c>
      <c r="F281" s="16" t="str">
        <f>VLOOKUP(Table28[[#This Row],[Country]],Table10[[COUNTRY NAME]:[CONTINENT CODE]],3,FALSE)</f>
        <v>AS</v>
      </c>
      <c r="G281" s="16" t="s">
        <v>12052</v>
      </c>
      <c r="H281" s="181">
        <v>9837</v>
      </c>
      <c r="I281" s="180">
        <v>23.75</v>
      </c>
      <c r="K281" s="316">
        <f>IFERROR(Table28[[#This Row],[ROUTE COST]]/Table28[[#This Row],[O - DEMAND]],0)</f>
        <v>0</v>
      </c>
      <c r="M281" s="16">
        <f>Table28[[#This Row],[O - DEMAND]]/950</f>
        <v>0</v>
      </c>
      <c r="N281" s="16">
        <f>IFERROR(VLOOKUP(Table28[[#This Row],[ROUTE]],DEMAND!A:F,5,FALSE),0)</f>
        <v>3446</v>
      </c>
      <c r="O281" s="16">
        <f>IFERROR(VLOOKUP(Table28[[#This Row],[ROUTE]],DEMAND!A:F,6,FALSE),0)</f>
        <v>596</v>
      </c>
      <c r="P281" s="16">
        <f>ROUNDDOWN(Table28[[#This Row],[R-DEMAND]]/950,0)</f>
        <v>0</v>
      </c>
      <c r="Q281" s="16">
        <f>Table28[[#This Row],[ADD ACC
(475/950)]]*Table28[[#This Row],[Duration
(A359)]]</f>
        <v>0</v>
      </c>
      <c r="R281" s="16">
        <f>IFERROR(VLOOKUP(Table28[[#This Row],[ROUTE]],PRICING!A:B,2,FALSE),0)</f>
        <v>0</v>
      </c>
      <c r="S281" s="16">
        <f>Table28[[#This Row],[C_DEMAND]]-Table28[[#This Row],[R-DEMAND]]</f>
        <v>2850</v>
      </c>
      <c r="T281" s="316">
        <f>Table28[[#This Row],[SEATS SOLD]]*Table28[[#This Row],[ECO SEAT]]</f>
        <v>0</v>
      </c>
      <c r="U281" s="316">
        <f>Table28[[#This Row],[SEATS SOLD]]*(IFERROR(VLOOKUP(Table28[[#This Row],[ROUTE]],PRICING!A:C,3,FALSE),0))</f>
        <v>0</v>
      </c>
      <c r="V281" s="316">
        <f>Table28[[#This Row],[SEAT REV]]-Table28[[#This Row],[SEAT REV
(IF IDEAL $)]]</f>
        <v>0</v>
      </c>
      <c r="AA281" s="26"/>
      <c r="AB281" s="26"/>
      <c r="AC281" s="26"/>
      <c r="AD281" s="26"/>
      <c r="AE281" s="26"/>
      <c r="AS281" s="16" t="s">
        <v>197</v>
      </c>
      <c r="AT281" s="16" t="s">
        <v>12013</v>
      </c>
      <c r="AU281" s="16" t="s">
        <v>3243</v>
      </c>
      <c r="AV281" s="16" t="s">
        <v>18892</v>
      </c>
      <c r="AW281" s="16" t="s">
        <v>18879</v>
      </c>
      <c r="AX281" s="16" t="s">
        <v>18902</v>
      </c>
      <c r="AY281" s="385">
        <v>10941</v>
      </c>
    </row>
    <row r="282" spans="1:51" x14ac:dyDescent="0.25">
      <c r="A282" s="16" t="s">
        <v>19651</v>
      </c>
      <c r="B282" s="16" t="s">
        <v>3615</v>
      </c>
      <c r="D282" s="16">
        <v>2</v>
      </c>
      <c r="E282" s="16" t="s">
        <v>78</v>
      </c>
      <c r="F282" s="16" t="str">
        <f>VLOOKUP(Table28[[#This Row],[Country]],Table10[[COUNTRY NAME]:[CONTINENT CODE]],3,FALSE)</f>
        <v>EU</v>
      </c>
      <c r="G282" s="16" t="s">
        <v>11861</v>
      </c>
      <c r="H282" s="181">
        <v>14127</v>
      </c>
      <c r="I282" s="180">
        <v>33.25</v>
      </c>
      <c r="K282" s="316">
        <f>IFERROR(Table28[[#This Row],[ROUTE COST]]/Table28[[#This Row],[O - DEMAND]],0)</f>
        <v>0</v>
      </c>
      <c r="M282" s="16">
        <f>Table28[[#This Row],[O - DEMAND]]/950</f>
        <v>0</v>
      </c>
      <c r="N282" s="16">
        <f>IFERROR(VLOOKUP(Table28[[#This Row],[ROUTE]],DEMAND!A:F,5,FALSE),0)</f>
        <v>0</v>
      </c>
      <c r="O282" s="16">
        <f>IFERROR(VLOOKUP(Table28[[#This Row],[ROUTE]],DEMAND!A:F,6,FALSE),0)</f>
        <v>0</v>
      </c>
      <c r="P282" s="16">
        <f>ROUNDDOWN(Table28[[#This Row],[R-DEMAND]]/950,0)</f>
        <v>0</v>
      </c>
      <c r="Q282" s="16">
        <f>Table28[[#This Row],[ADD ACC
(475/950)]]*Table28[[#This Row],[Duration
(A359)]]</f>
        <v>0</v>
      </c>
      <c r="R282" s="16">
        <f>IFERROR(VLOOKUP(Table28[[#This Row],[ROUTE]],PRICING!A:B,2,FALSE),0)</f>
        <v>0</v>
      </c>
      <c r="S282" s="16">
        <f>Table28[[#This Row],[C_DEMAND]]-Table28[[#This Row],[R-DEMAND]]</f>
        <v>0</v>
      </c>
      <c r="T282" s="316">
        <f>Table28[[#This Row],[SEATS SOLD]]*Table28[[#This Row],[ECO SEAT]]</f>
        <v>0</v>
      </c>
      <c r="U282" s="316">
        <f>Table28[[#This Row],[SEATS SOLD]]*(IFERROR(VLOOKUP(Table28[[#This Row],[ROUTE]],PRICING!A:C,3,FALSE),0))</f>
        <v>0</v>
      </c>
      <c r="V282" s="316">
        <f>Table28[[#This Row],[SEAT REV]]-Table28[[#This Row],[SEAT REV
(IF IDEAL $)]]</f>
        <v>0</v>
      </c>
      <c r="AA282" s="26"/>
      <c r="AB282" s="26"/>
      <c r="AC282" s="26"/>
      <c r="AD282" s="26"/>
      <c r="AE282" s="26"/>
      <c r="AS282" s="16" t="s">
        <v>11669</v>
      </c>
      <c r="AT282" s="16" t="s">
        <v>16934</v>
      </c>
      <c r="AU282" s="16" t="s">
        <v>4243</v>
      </c>
      <c r="AV282" s="16" t="s">
        <v>18878</v>
      </c>
      <c r="AW282" s="16" t="s">
        <v>18879</v>
      </c>
      <c r="AX282" s="16" t="s">
        <v>18902</v>
      </c>
      <c r="AY282" s="385">
        <v>10956</v>
      </c>
    </row>
    <row r="283" spans="1:51" x14ac:dyDescent="0.25">
      <c r="A283" s="16" t="s">
        <v>19227</v>
      </c>
      <c r="B283" s="16" t="s">
        <v>1882</v>
      </c>
      <c r="D283" s="16">
        <v>1</v>
      </c>
      <c r="E283" s="16" t="s">
        <v>14</v>
      </c>
      <c r="F283" s="16" t="str">
        <f>VLOOKUP(Table28[[#This Row],[Country]],Table10[[COUNTRY NAME]:[CONTINENT CODE]],3,FALSE)</f>
        <v>AS</v>
      </c>
      <c r="G283" s="16" t="s">
        <v>9663</v>
      </c>
      <c r="H283" s="181">
        <v>9766</v>
      </c>
      <c r="I283" s="180">
        <v>23.5</v>
      </c>
      <c r="K283" s="316">
        <f>IFERROR(Table28[[#This Row],[ROUTE COST]]/Table28[[#This Row],[O - DEMAND]],0)</f>
        <v>0</v>
      </c>
      <c r="M283" s="16">
        <f>Table28[[#This Row],[O - DEMAND]]/950</f>
        <v>0</v>
      </c>
      <c r="N283" s="16">
        <f>IFERROR(VLOOKUP(Table28[[#This Row],[ROUTE]],DEMAND!A:F,5,FALSE),0)</f>
        <v>0</v>
      </c>
      <c r="O283" s="16">
        <f>IFERROR(VLOOKUP(Table28[[#This Row],[ROUTE]],DEMAND!A:F,6,FALSE),0)</f>
        <v>0</v>
      </c>
      <c r="P283" s="16">
        <f>ROUNDDOWN(Table28[[#This Row],[R-DEMAND]]/950,0)</f>
        <v>0</v>
      </c>
      <c r="Q283" s="16">
        <f>Table28[[#This Row],[ADD ACC
(475/950)]]*Table28[[#This Row],[Duration
(A359)]]</f>
        <v>0</v>
      </c>
      <c r="R283" s="16">
        <f>IFERROR(VLOOKUP(Table28[[#This Row],[ROUTE]],PRICING!A:B,2,FALSE),0)</f>
        <v>0</v>
      </c>
      <c r="S283" s="16">
        <f>Table28[[#This Row],[C_DEMAND]]-Table28[[#This Row],[R-DEMAND]]</f>
        <v>0</v>
      </c>
      <c r="T283" s="316">
        <f>Table28[[#This Row],[SEATS SOLD]]*Table28[[#This Row],[ECO SEAT]]</f>
        <v>0</v>
      </c>
      <c r="U283" s="316">
        <f>Table28[[#This Row],[SEATS SOLD]]*(IFERROR(VLOOKUP(Table28[[#This Row],[ROUTE]],PRICING!A:C,3,FALSE),0))</f>
        <v>0</v>
      </c>
      <c r="V283" s="316">
        <f>Table28[[#This Row],[SEAT REV]]-Table28[[#This Row],[SEAT REV
(IF IDEAL $)]]</f>
        <v>0</v>
      </c>
      <c r="AA283" s="26"/>
      <c r="AB283" s="26"/>
      <c r="AC283" s="26"/>
      <c r="AD283" s="26"/>
      <c r="AE283" s="26"/>
      <c r="AS283" s="16" t="s">
        <v>197</v>
      </c>
      <c r="AT283" s="16" t="s">
        <v>12014</v>
      </c>
      <c r="AU283" s="16" t="s">
        <v>1904</v>
      </c>
      <c r="AV283" s="16" t="s">
        <v>18892</v>
      </c>
      <c r="AW283" s="16" t="s">
        <v>18890</v>
      </c>
      <c r="AX283" s="16" t="s">
        <v>18902</v>
      </c>
      <c r="AY283" s="385">
        <v>10969</v>
      </c>
    </row>
    <row r="284" spans="1:51" x14ac:dyDescent="0.25">
      <c r="A284" s="16" t="s">
        <v>19762</v>
      </c>
      <c r="B284" s="16" t="s">
        <v>1769</v>
      </c>
      <c r="D284" s="16">
        <v>1</v>
      </c>
      <c r="E284" s="16" t="s">
        <v>11782</v>
      </c>
      <c r="F284" s="16" t="str">
        <f>VLOOKUP(Table28[[#This Row],[Country]],Table10[[COUNTRY NAME]:[CONTINENT CODE]],3,FALSE)</f>
        <v>AF</v>
      </c>
      <c r="G284" s="16" t="s">
        <v>11803</v>
      </c>
      <c r="H284" s="181">
        <v>14925</v>
      </c>
      <c r="I284" s="180">
        <v>35</v>
      </c>
      <c r="K284" s="316">
        <f>IFERROR(Table28[[#This Row],[ROUTE COST]]/Table28[[#This Row],[O - DEMAND]],0)</f>
        <v>0</v>
      </c>
      <c r="M284" s="16">
        <f>Table28[[#This Row],[O - DEMAND]]/950</f>
        <v>0</v>
      </c>
      <c r="N284" s="16">
        <f>IFERROR(VLOOKUP(Table28[[#This Row],[ROUTE]],DEMAND!A:F,5,FALSE),0)</f>
        <v>0</v>
      </c>
      <c r="O284" s="16">
        <f>IFERROR(VLOOKUP(Table28[[#This Row],[ROUTE]],DEMAND!A:F,6,FALSE),0)</f>
        <v>0</v>
      </c>
      <c r="P284" s="16">
        <f>ROUNDDOWN(Table28[[#This Row],[R-DEMAND]]/950,0)</f>
        <v>0</v>
      </c>
      <c r="Q284" s="16">
        <f>Table28[[#This Row],[ADD ACC
(475/950)]]*Table28[[#This Row],[Duration
(A359)]]</f>
        <v>0</v>
      </c>
      <c r="R284" s="16">
        <f>IFERROR(VLOOKUP(Table28[[#This Row],[ROUTE]],PRICING!A:B,2,FALSE),0)</f>
        <v>0</v>
      </c>
      <c r="S284" s="16">
        <f>Table28[[#This Row],[C_DEMAND]]-Table28[[#This Row],[R-DEMAND]]</f>
        <v>0</v>
      </c>
      <c r="T284" s="316">
        <f>Table28[[#This Row],[SEATS SOLD]]*Table28[[#This Row],[ECO SEAT]]</f>
        <v>0</v>
      </c>
      <c r="U284" s="316">
        <f>Table28[[#This Row],[SEATS SOLD]]*(IFERROR(VLOOKUP(Table28[[#This Row],[ROUTE]],PRICING!A:C,3,FALSE),0))</f>
        <v>0</v>
      </c>
      <c r="V284" s="316">
        <f>Table28[[#This Row],[SEAT REV]]-Table28[[#This Row],[SEAT REV
(IF IDEAL $)]]</f>
        <v>0</v>
      </c>
      <c r="AA284" s="26"/>
      <c r="AB284" s="26"/>
      <c r="AC284" s="26"/>
      <c r="AD284" s="26"/>
      <c r="AE284" s="26"/>
      <c r="AS284" s="16" t="s">
        <v>1070</v>
      </c>
      <c r="AT284" s="16" t="s">
        <v>12009</v>
      </c>
      <c r="AU284" s="16" t="s">
        <v>74</v>
      </c>
      <c r="AV284" s="16" t="s">
        <v>18884</v>
      </c>
      <c r="AW284" s="16" t="s">
        <v>18879</v>
      </c>
      <c r="AX284" s="16" t="s">
        <v>18902</v>
      </c>
      <c r="AY284" s="385">
        <v>10972</v>
      </c>
    </row>
    <row r="285" spans="1:51" x14ac:dyDescent="0.25">
      <c r="A285" s="16" t="s">
        <v>19688</v>
      </c>
      <c r="B285" s="16" t="s">
        <v>4443</v>
      </c>
      <c r="E285" s="16" t="s">
        <v>11732</v>
      </c>
      <c r="F285" s="16" t="str">
        <f>VLOOKUP(Table28[[#This Row],[Country]],Table10[[COUNTRY NAME]:[CONTINENT CODE]],3,FALSE)</f>
        <v>NA - US</v>
      </c>
      <c r="G285" s="16" t="s">
        <v>17015</v>
      </c>
      <c r="H285" s="181">
        <v>14417</v>
      </c>
      <c r="I285" s="180">
        <v>33.75</v>
      </c>
      <c r="K285" s="316">
        <f>IFERROR(Table28[[#This Row],[ROUTE COST]]/Table28[[#This Row],[O - DEMAND]],0)</f>
        <v>0</v>
      </c>
      <c r="M285" s="180">
        <f>Table28[[#This Row],[O - DEMAND]]/950</f>
        <v>0</v>
      </c>
      <c r="N285" s="16">
        <f>IFERROR(VLOOKUP(Table28[[#This Row],[ROUTE]],DEMAND!A:F,5,FALSE),0)</f>
        <v>0</v>
      </c>
      <c r="O285" s="16">
        <f>IFERROR(VLOOKUP(Table28[[#This Row],[ROUTE]],DEMAND!A:F,6,FALSE),0)</f>
        <v>0</v>
      </c>
      <c r="P285" s="16">
        <f>ROUNDDOWN(Table28[[#This Row],[R-DEMAND]]/950,0)</f>
        <v>0</v>
      </c>
      <c r="Q285" s="16">
        <f>Table28[[#This Row],[ADD ACC
(475/950)]]*Table28[[#This Row],[Duration
(A359)]]</f>
        <v>0</v>
      </c>
      <c r="R285" s="16">
        <f>IFERROR(VLOOKUP(Table28[[#This Row],[ROUTE]],PRICING!A:B,2,FALSE),0)</f>
        <v>0</v>
      </c>
      <c r="S285" s="16">
        <f>Table28[[#This Row],[C_DEMAND]]-Table28[[#This Row],[R-DEMAND]]</f>
        <v>0</v>
      </c>
      <c r="T285" s="316">
        <f>Table28[[#This Row],[SEATS SOLD]]*Table28[[#This Row],[ECO SEAT]]</f>
        <v>0</v>
      </c>
      <c r="U285" s="316">
        <f>Table28[[#This Row],[SEATS SOLD]]*(IFERROR(VLOOKUP(Table28[[#This Row],[ROUTE]],PRICING!A:C,3,FALSE),0))</f>
        <v>0</v>
      </c>
      <c r="V285" s="316">
        <f>Table28[[#This Row],[SEAT REV]]-Table28[[#This Row],[SEAT REV
(IF IDEAL $)]]</f>
        <v>0</v>
      </c>
      <c r="AA285" s="26"/>
      <c r="AB285" s="26"/>
      <c r="AC285" s="26"/>
      <c r="AD285" s="26"/>
      <c r="AE285" s="26"/>
      <c r="AS285" s="16" t="s">
        <v>926</v>
      </c>
      <c r="AT285" s="16" t="s">
        <v>11094</v>
      </c>
      <c r="AU285" s="16" t="s">
        <v>353</v>
      </c>
      <c r="AV285" s="16" t="s">
        <v>18881</v>
      </c>
      <c r="AW285" s="16" t="s">
        <v>18899</v>
      </c>
      <c r="AX285" s="16" t="s">
        <v>18902</v>
      </c>
      <c r="AY285" s="385">
        <v>10992</v>
      </c>
    </row>
    <row r="286" spans="1:51" x14ac:dyDescent="0.25">
      <c r="A286" s="16" t="s">
        <v>19751</v>
      </c>
      <c r="B286" s="16" t="s">
        <v>4316</v>
      </c>
      <c r="E286" s="16" t="s">
        <v>11732</v>
      </c>
      <c r="F286" s="16" t="str">
        <f>VLOOKUP(Table28[[#This Row],[Country]],Table10[[COUNTRY NAME]:[CONTINENT CODE]],3,FALSE)</f>
        <v>NA - US</v>
      </c>
      <c r="G286" s="16" t="s">
        <v>16980</v>
      </c>
      <c r="H286" s="181">
        <v>14893</v>
      </c>
      <c r="I286" s="180">
        <v>34.75</v>
      </c>
      <c r="K286" s="316">
        <f>IFERROR(Table28[[#This Row],[ROUTE COST]]/Table28[[#This Row],[O - DEMAND]],0)</f>
        <v>0</v>
      </c>
      <c r="M286" s="180">
        <f>Table28[[#This Row],[O - DEMAND]]/950</f>
        <v>0</v>
      </c>
      <c r="N286" s="16">
        <f>IFERROR(VLOOKUP(Table28[[#This Row],[ROUTE]],DEMAND!A:F,5,FALSE),0)</f>
        <v>0</v>
      </c>
      <c r="O286" s="16">
        <f>IFERROR(VLOOKUP(Table28[[#This Row],[ROUTE]],DEMAND!A:F,6,FALSE),0)</f>
        <v>0</v>
      </c>
      <c r="P286" s="16">
        <f>ROUNDDOWN(Table28[[#This Row],[R-DEMAND]]/950,0)</f>
        <v>0</v>
      </c>
      <c r="Q286" s="16">
        <f>Table28[[#This Row],[ADD ACC
(475/950)]]*Table28[[#This Row],[Duration
(A359)]]</f>
        <v>0</v>
      </c>
      <c r="R286" s="16">
        <f>IFERROR(VLOOKUP(Table28[[#This Row],[ROUTE]],PRICING!A:B,2,FALSE),0)</f>
        <v>0</v>
      </c>
      <c r="S286" s="16">
        <f>Table28[[#This Row],[C_DEMAND]]-Table28[[#This Row],[R-DEMAND]]</f>
        <v>0</v>
      </c>
      <c r="T286" s="316">
        <f>Table28[[#This Row],[SEATS SOLD]]*Table28[[#This Row],[ECO SEAT]]</f>
        <v>0</v>
      </c>
      <c r="U286" s="316">
        <f>Table28[[#This Row],[SEATS SOLD]]*(IFERROR(VLOOKUP(Table28[[#This Row],[ROUTE]],PRICING!A:C,3,FALSE),0))</f>
        <v>0</v>
      </c>
      <c r="V286" s="316">
        <f>Table28[[#This Row],[SEAT REV]]-Table28[[#This Row],[SEAT REV
(IF IDEAL $)]]</f>
        <v>0</v>
      </c>
      <c r="AA286" s="26"/>
      <c r="AB286" s="26"/>
      <c r="AC286" s="26"/>
      <c r="AD286" s="26"/>
      <c r="AE286" s="26"/>
      <c r="AS286" s="16" t="s">
        <v>197</v>
      </c>
      <c r="AT286" s="16" t="s">
        <v>16836</v>
      </c>
      <c r="AU286" s="16" t="s">
        <v>3513</v>
      </c>
      <c r="AV286" s="16" t="s">
        <v>18878</v>
      </c>
      <c r="AW286" s="16" t="s">
        <v>18879</v>
      </c>
      <c r="AX286" s="16" t="s">
        <v>18902</v>
      </c>
      <c r="AY286" s="385">
        <v>10992</v>
      </c>
    </row>
    <row r="287" spans="1:51" x14ac:dyDescent="0.25">
      <c r="A287" s="16" t="s">
        <v>19582</v>
      </c>
      <c r="B287" s="16" t="s">
        <v>4011</v>
      </c>
      <c r="D287" s="16">
        <v>2</v>
      </c>
      <c r="E287" s="16" t="s">
        <v>11732</v>
      </c>
      <c r="F287" s="16" t="str">
        <f>VLOOKUP(Table28[[#This Row],[Country]],Table10[[COUNTRY NAME]:[CONTINENT CODE]],3,FALSE)</f>
        <v>NA - US</v>
      </c>
      <c r="G287" s="16" t="s">
        <v>13321</v>
      </c>
      <c r="H287" s="181">
        <v>13666</v>
      </c>
      <c r="I287" s="180">
        <v>32.25</v>
      </c>
      <c r="K287" s="316">
        <f>IFERROR(Table28[[#This Row],[ROUTE COST]]/Table28[[#This Row],[O - DEMAND]],0)</f>
        <v>0</v>
      </c>
      <c r="M287" s="180">
        <f>Table28[[#This Row],[O - DEMAND]]/950</f>
        <v>0</v>
      </c>
      <c r="N287" s="16">
        <f>IFERROR(VLOOKUP(Table28[[#This Row],[ROUTE]],DEMAND!A:F,5,FALSE),0)</f>
        <v>0</v>
      </c>
      <c r="O287" s="16">
        <f>IFERROR(VLOOKUP(Table28[[#This Row],[ROUTE]],DEMAND!A:F,6,FALSE),0)</f>
        <v>0</v>
      </c>
      <c r="P287" s="16">
        <f>ROUNDDOWN(Table28[[#This Row],[R-DEMAND]]/950,0)</f>
        <v>0</v>
      </c>
      <c r="Q287" s="16">
        <f>Table28[[#This Row],[ADD ACC
(475/950)]]*Table28[[#This Row],[Duration
(A359)]]</f>
        <v>0</v>
      </c>
      <c r="R287" s="16">
        <f>IFERROR(VLOOKUP(Table28[[#This Row],[ROUTE]],PRICING!A:B,2,FALSE),0)</f>
        <v>0</v>
      </c>
      <c r="S287" s="16">
        <f>Table28[[#This Row],[C_DEMAND]]-Table28[[#This Row],[R-DEMAND]]</f>
        <v>0</v>
      </c>
      <c r="T287" s="316">
        <f>Table28[[#This Row],[SEATS SOLD]]*Table28[[#This Row],[ECO SEAT]]</f>
        <v>0</v>
      </c>
      <c r="U287" s="316">
        <f>Table28[[#This Row],[SEATS SOLD]]*(IFERROR(VLOOKUP(Table28[[#This Row],[ROUTE]],PRICING!A:C,3,FALSE),0))</f>
        <v>0</v>
      </c>
      <c r="V287" s="316">
        <f>Table28[[#This Row],[SEAT REV]]-Table28[[#This Row],[SEAT REV
(IF IDEAL $)]]</f>
        <v>0</v>
      </c>
      <c r="AA287" s="26"/>
      <c r="AB287" s="26"/>
      <c r="AC287" s="26"/>
      <c r="AD287" s="26"/>
      <c r="AE287" s="26"/>
      <c r="AS287" s="16" t="s">
        <v>11669</v>
      </c>
      <c r="AT287" s="16" t="s">
        <v>16929</v>
      </c>
      <c r="AU287" s="16" t="s">
        <v>743</v>
      </c>
      <c r="AV287" s="16" t="s">
        <v>18878</v>
      </c>
      <c r="AW287" s="16" t="s">
        <v>18890</v>
      </c>
      <c r="AX287" s="16" t="s">
        <v>18902</v>
      </c>
      <c r="AY287" s="385">
        <v>10993</v>
      </c>
    </row>
    <row r="288" spans="1:51" x14ac:dyDescent="0.25">
      <c r="A288" s="16" t="s">
        <v>19792</v>
      </c>
      <c r="B288" s="16" t="s">
        <v>4917</v>
      </c>
      <c r="D288" s="16">
        <v>3</v>
      </c>
      <c r="E288" s="16" t="s">
        <v>11732</v>
      </c>
      <c r="F288" s="16" t="str">
        <f>VLOOKUP(Table28[[#This Row],[Country]],Table10[[COUNTRY NAME]:[CONTINENT CODE]],3,FALSE)</f>
        <v>NA - US</v>
      </c>
      <c r="G288" s="16" t="s">
        <v>13313</v>
      </c>
      <c r="H288" s="181">
        <v>15075</v>
      </c>
      <c r="I288" s="180">
        <v>35.25</v>
      </c>
      <c r="K288" s="316">
        <f>IFERROR(Table28[[#This Row],[ROUTE COST]]/Table28[[#This Row],[O - DEMAND]],0)</f>
        <v>0</v>
      </c>
      <c r="M288" s="180">
        <f>Table28[[#This Row],[O - DEMAND]]/950</f>
        <v>0</v>
      </c>
      <c r="N288" s="16">
        <f>IFERROR(VLOOKUP(Table28[[#This Row],[ROUTE]],DEMAND!A:F,5,FALSE),0)</f>
        <v>0</v>
      </c>
      <c r="O288" s="16">
        <f>IFERROR(VLOOKUP(Table28[[#This Row],[ROUTE]],DEMAND!A:F,6,FALSE),0)</f>
        <v>0</v>
      </c>
      <c r="P288" s="16">
        <f>ROUNDDOWN(Table28[[#This Row],[R-DEMAND]]/950,0)</f>
        <v>0</v>
      </c>
      <c r="Q288" s="16">
        <f>Table28[[#This Row],[ADD ACC
(475/950)]]*Table28[[#This Row],[Duration
(A359)]]</f>
        <v>0</v>
      </c>
      <c r="R288" s="16">
        <f>IFERROR(VLOOKUP(Table28[[#This Row],[ROUTE]],PRICING!A:B,2,FALSE),0)</f>
        <v>0</v>
      </c>
      <c r="S288" s="16">
        <f>Table28[[#This Row],[C_DEMAND]]-Table28[[#This Row],[R-DEMAND]]</f>
        <v>0</v>
      </c>
      <c r="T288" s="316">
        <f>Table28[[#This Row],[SEATS SOLD]]*Table28[[#This Row],[ECO SEAT]]</f>
        <v>0</v>
      </c>
      <c r="U288" s="316">
        <f>Table28[[#This Row],[SEATS SOLD]]*(IFERROR(VLOOKUP(Table28[[#This Row],[ROUTE]],PRICING!A:C,3,FALSE),0))</f>
        <v>0</v>
      </c>
      <c r="V288" s="316">
        <f>Table28[[#This Row],[SEAT REV]]-Table28[[#This Row],[SEAT REV
(IF IDEAL $)]]</f>
        <v>0</v>
      </c>
      <c r="AA288" s="26"/>
      <c r="AB288" s="26"/>
      <c r="AC288" s="26"/>
      <c r="AD288" s="26"/>
      <c r="AE288" s="26"/>
      <c r="AS288" s="16" t="s">
        <v>78</v>
      </c>
      <c r="AT288" s="16" t="s">
        <v>16851</v>
      </c>
      <c r="AU288" s="16" t="s">
        <v>8956</v>
      </c>
      <c r="AV288" s="16" t="s">
        <v>18878</v>
      </c>
      <c r="AW288" s="16" t="s">
        <v>18890</v>
      </c>
      <c r="AX288" s="16" t="s">
        <v>18902</v>
      </c>
      <c r="AY288" s="385">
        <v>11010</v>
      </c>
    </row>
    <row r="289" spans="1:51" x14ac:dyDescent="0.25">
      <c r="A289" s="16" t="s">
        <v>19544</v>
      </c>
      <c r="B289" s="16" t="s">
        <v>298</v>
      </c>
      <c r="D289" s="16">
        <v>5</v>
      </c>
      <c r="E289" s="16" t="s">
        <v>517</v>
      </c>
      <c r="F289" s="16" t="str">
        <f>VLOOKUP(Table28[[#This Row],[Country]],Table10[[COUNTRY NAME]:[CONTINENT CODE]],3,FALSE)</f>
        <v>SA</v>
      </c>
      <c r="G289" s="16" t="s">
        <v>15110</v>
      </c>
      <c r="H289" s="181">
        <v>13371</v>
      </c>
      <c r="I289" s="180">
        <v>31.5</v>
      </c>
      <c r="K289" s="316">
        <f>IFERROR(Table28[[#This Row],[ROUTE COST]]/Table28[[#This Row],[O - DEMAND]],0)</f>
        <v>0</v>
      </c>
      <c r="M289" s="16">
        <f>Table28[[#This Row],[O - DEMAND]]/950</f>
        <v>0</v>
      </c>
      <c r="N289" s="16">
        <f>IFERROR(VLOOKUP(Table28[[#This Row],[ROUTE]],DEMAND!A:F,5,FALSE),0)</f>
        <v>0</v>
      </c>
      <c r="O289" s="16">
        <f>IFERROR(VLOOKUP(Table28[[#This Row],[ROUTE]],DEMAND!A:F,6,FALSE),0)</f>
        <v>0</v>
      </c>
      <c r="P289" s="16">
        <f>ROUNDDOWN(Table28[[#This Row],[R-DEMAND]]/950,0)</f>
        <v>0</v>
      </c>
      <c r="Q289" s="16">
        <f>Table28[[#This Row],[ADD ACC
(475/950)]]*Table28[[#This Row],[Duration
(A359)]]</f>
        <v>0</v>
      </c>
      <c r="R289" s="16">
        <f>IFERROR(VLOOKUP(Table28[[#This Row],[ROUTE]],PRICING!A:B,2,FALSE),0)</f>
        <v>0</v>
      </c>
      <c r="S289" s="16">
        <f>Table28[[#This Row],[C_DEMAND]]-Table28[[#This Row],[R-DEMAND]]</f>
        <v>0</v>
      </c>
      <c r="T289" s="316">
        <f>Table28[[#This Row],[SEATS SOLD]]*Table28[[#This Row],[ECO SEAT]]</f>
        <v>0</v>
      </c>
      <c r="U289" s="316">
        <f>Table28[[#This Row],[SEATS SOLD]]*(IFERROR(VLOOKUP(Table28[[#This Row],[ROUTE]],PRICING!A:C,3,FALSE),0))</f>
        <v>0</v>
      </c>
      <c r="V289" s="316">
        <f>Table28[[#This Row],[SEAT REV]]-Table28[[#This Row],[SEAT REV
(IF IDEAL $)]]</f>
        <v>0</v>
      </c>
      <c r="AA289" s="26"/>
      <c r="AB289" s="26"/>
      <c r="AC289" s="26"/>
      <c r="AD289" s="26"/>
      <c r="AE289" s="26"/>
      <c r="AS289" s="16" t="s">
        <v>197</v>
      </c>
      <c r="AT289" s="16" t="s">
        <v>12012</v>
      </c>
      <c r="AU289" s="16" t="s">
        <v>224</v>
      </c>
      <c r="AV289" s="16" t="s">
        <v>18884</v>
      </c>
      <c r="AW289" s="16" t="s">
        <v>18885</v>
      </c>
      <c r="AX289" s="16" t="s">
        <v>18902</v>
      </c>
      <c r="AY289" s="385">
        <v>11013</v>
      </c>
    </row>
    <row r="290" spans="1:51" x14ac:dyDescent="0.25">
      <c r="A290" s="16" t="s">
        <v>19586</v>
      </c>
      <c r="B290" s="16" t="s">
        <v>2518</v>
      </c>
      <c r="D290" s="16">
        <v>2</v>
      </c>
      <c r="E290" s="16" t="s">
        <v>78</v>
      </c>
      <c r="F290" s="16" t="str">
        <f>VLOOKUP(Table28[[#This Row],[Country]],Table10[[COUNTRY NAME]:[CONTINENT CODE]],3,FALSE)</f>
        <v>EU</v>
      </c>
      <c r="G290" s="16" t="s">
        <v>16862</v>
      </c>
      <c r="H290" s="181">
        <v>13679</v>
      </c>
      <c r="I290" s="180">
        <v>32.25</v>
      </c>
      <c r="K290" s="316">
        <f>IFERROR(Table28[[#This Row],[ROUTE COST]]/Table28[[#This Row],[O - DEMAND]],0)</f>
        <v>0</v>
      </c>
      <c r="M290" s="16">
        <f>Table28[[#This Row],[O - DEMAND]]/950</f>
        <v>0</v>
      </c>
      <c r="N290" s="16">
        <f>IFERROR(VLOOKUP(Table28[[#This Row],[ROUTE]],DEMAND!A:F,5,FALSE),0)</f>
        <v>0</v>
      </c>
      <c r="O290" s="16">
        <f>IFERROR(VLOOKUP(Table28[[#This Row],[ROUTE]],DEMAND!A:F,6,FALSE),0)</f>
        <v>0</v>
      </c>
      <c r="P290" s="16">
        <f>ROUNDDOWN(Table28[[#This Row],[R-DEMAND]]/950,0)</f>
        <v>0</v>
      </c>
      <c r="Q290" s="16">
        <f>Table28[[#This Row],[ADD ACC
(475/950)]]*Table28[[#This Row],[Duration
(A359)]]</f>
        <v>0</v>
      </c>
      <c r="R290" s="16">
        <f>IFERROR(VLOOKUP(Table28[[#This Row],[ROUTE]],PRICING!A:B,2,FALSE),0)</f>
        <v>0</v>
      </c>
      <c r="S290" s="16">
        <f>Table28[[#This Row],[C_DEMAND]]-Table28[[#This Row],[R-DEMAND]]</f>
        <v>0</v>
      </c>
      <c r="T290" s="316">
        <f>Table28[[#This Row],[SEATS SOLD]]*Table28[[#This Row],[ECO SEAT]]</f>
        <v>0</v>
      </c>
      <c r="U290" s="316">
        <f>Table28[[#This Row],[SEATS SOLD]]*(IFERROR(VLOOKUP(Table28[[#This Row],[ROUTE]],PRICING!A:C,3,FALSE),0))</f>
        <v>0</v>
      </c>
      <c r="V290" s="316">
        <f>Table28[[#This Row],[SEAT REV]]-Table28[[#This Row],[SEAT REV
(IF IDEAL $)]]</f>
        <v>0</v>
      </c>
      <c r="AA290" s="26"/>
      <c r="AB290" s="26"/>
      <c r="AC290" s="26"/>
      <c r="AD290" s="26"/>
      <c r="AE290" s="26"/>
      <c r="AS290" s="16" t="s">
        <v>926</v>
      </c>
      <c r="AT290" s="16" t="s">
        <v>11074</v>
      </c>
      <c r="AU290" s="16" t="s">
        <v>234</v>
      </c>
      <c r="AV290" s="16" t="s">
        <v>18884</v>
      </c>
      <c r="AW290" s="16" t="s">
        <v>18899</v>
      </c>
      <c r="AX290" s="16" t="s">
        <v>18902</v>
      </c>
      <c r="AY290" s="385">
        <v>11026</v>
      </c>
    </row>
    <row r="291" spans="1:51" x14ac:dyDescent="0.25">
      <c r="A291" s="16" t="s">
        <v>19808</v>
      </c>
      <c r="B291" s="16" t="s">
        <v>4718</v>
      </c>
      <c r="D291" s="16">
        <v>3</v>
      </c>
      <c r="E291" s="16" t="s">
        <v>11732</v>
      </c>
      <c r="F291" s="16" t="str">
        <f>VLOOKUP(Table28[[#This Row],[Country]],Table10[[COUNTRY NAME]:[CONTINENT CODE]],3,FALSE)</f>
        <v>NA - US</v>
      </c>
      <c r="G291" s="16" t="s">
        <v>13355</v>
      </c>
      <c r="H291" s="181">
        <v>15180</v>
      </c>
      <c r="I291" s="180">
        <v>35.5</v>
      </c>
      <c r="K291" s="316">
        <f>IFERROR(Table28[[#This Row],[ROUTE COST]]/Table28[[#This Row],[O - DEMAND]],0)</f>
        <v>0</v>
      </c>
      <c r="M291" s="180">
        <f>Table28[[#This Row],[O - DEMAND]]/950</f>
        <v>0</v>
      </c>
      <c r="N291" s="16">
        <f>IFERROR(VLOOKUP(Table28[[#This Row],[ROUTE]],DEMAND!A:F,5,FALSE),0)</f>
        <v>0</v>
      </c>
      <c r="O291" s="16">
        <f>IFERROR(VLOOKUP(Table28[[#This Row],[ROUTE]],DEMAND!A:F,6,FALSE),0)</f>
        <v>0</v>
      </c>
      <c r="P291" s="16">
        <f>ROUNDDOWN(Table28[[#This Row],[R-DEMAND]]/950,0)</f>
        <v>0</v>
      </c>
      <c r="Q291" s="16">
        <f>Table28[[#This Row],[ADD ACC
(475/950)]]*Table28[[#This Row],[Duration
(A359)]]</f>
        <v>0</v>
      </c>
      <c r="R291" s="16">
        <f>IFERROR(VLOOKUP(Table28[[#This Row],[ROUTE]],PRICING!A:B,2,FALSE),0)</f>
        <v>0</v>
      </c>
      <c r="S291" s="16">
        <f>Table28[[#This Row],[C_DEMAND]]-Table28[[#This Row],[R-DEMAND]]</f>
        <v>0</v>
      </c>
      <c r="T291" s="316">
        <f>Table28[[#This Row],[SEATS SOLD]]*Table28[[#This Row],[ECO SEAT]]</f>
        <v>0</v>
      </c>
      <c r="U291" s="316">
        <f>Table28[[#This Row],[SEATS SOLD]]*(IFERROR(VLOOKUP(Table28[[#This Row],[ROUTE]],PRICING!A:C,3,FALSE),0))</f>
        <v>0</v>
      </c>
      <c r="V291" s="316">
        <f>Table28[[#This Row],[SEAT REV]]-Table28[[#This Row],[SEAT REV
(IF IDEAL $)]]</f>
        <v>0</v>
      </c>
      <c r="AA291" s="26"/>
      <c r="AB291" s="26"/>
      <c r="AC291" s="26"/>
      <c r="AD291" s="26"/>
      <c r="AE291" s="26"/>
      <c r="AS291" s="16" t="s">
        <v>926</v>
      </c>
      <c r="AT291" s="16" t="s">
        <v>11866</v>
      </c>
      <c r="AU291" s="16" t="s">
        <v>2374</v>
      </c>
      <c r="AV291" s="16" t="s">
        <v>18892</v>
      </c>
      <c r="AW291" s="16" t="s">
        <v>18890</v>
      </c>
      <c r="AX291" s="16" t="s">
        <v>18941</v>
      </c>
      <c r="AY291" s="385">
        <v>11050</v>
      </c>
    </row>
    <row r="292" spans="1:51" x14ac:dyDescent="0.25">
      <c r="A292" s="16" t="s">
        <v>19524</v>
      </c>
      <c r="B292" s="16" t="s">
        <v>3666</v>
      </c>
      <c r="D292" s="16">
        <v>2</v>
      </c>
      <c r="E292" s="16" t="s">
        <v>11732</v>
      </c>
      <c r="F292" s="16" t="str">
        <f>VLOOKUP(Table28[[#This Row],[Country]],Table10[[COUNTRY NAME]:[CONTINENT CODE]],3,FALSE)</f>
        <v>NA - US</v>
      </c>
      <c r="G292" s="16" t="s">
        <v>13265</v>
      </c>
      <c r="H292" s="181">
        <v>13232</v>
      </c>
      <c r="I292" s="180">
        <v>31.25</v>
      </c>
      <c r="K292" s="316">
        <f>IFERROR(Table28[[#This Row],[ROUTE COST]]/Table28[[#This Row],[O - DEMAND]],0)</f>
        <v>0</v>
      </c>
      <c r="M292" s="180">
        <f>Table28[[#This Row],[O - DEMAND]]/950</f>
        <v>0</v>
      </c>
      <c r="N292" s="16">
        <f>IFERROR(VLOOKUP(Table28[[#This Row],[ROUTE]],DEMAND!A:F,5,FALSE),0)</f>
        <v>0</v>
      </c>
      <c r="O292" s="16">
        <f>IFERROR(VLOOKUP(Table28[[#This Row],[ROUTE]],DEMAND!A:F,6,FALSE),0)</f>
        <v>0</v>
      </c>
      <c r="P292" s="16">
        <f>ROUNDDOWN(Table28[[#This Row],[R-DEMAND]]/950,0)</f>
        <v>0</v>
      </c>
      <c r="Q292" s="16">
        <f>Table28[[#This Row],[ADD ACC
(475/950)]]*Table28[[#This Row],[Duration
(A359)]]</f>
        <v>0</v>
      </c>
      <c r="R292" s="16">
        <f>IFERROR(VLOOKUP(Table28[[#This Row],[ROUTE]],PRICING!A:B,2,FALSE),0)</f>
        <v>0</v>
      </c>
      <c r="S292" s="16">
        <f>Table28[[#This Row],[C_DEMAND]]-Table28[[#This Row],[R-DEMAND]]</f>
        <v>0</v>
      </c>
      <c r="T292" s="316">
        <f>Table28[[#This Row],[SEATS SOLD]]*Table28[[#This Row],[ECO SEAT]]</f>
        <v>0</v>
      </c>
      <c r="U292" s="316">
        <f>Table28[[#This Row],[SEATS SOLD]]*(IFERROR(VLOOKUP(Table28[[#This Row],[ROUTE]],PRICING!A:C,3,FALSE),0))</f>
        <v>0</v>
      </c>
      <c r="V292" s="316">
        <f>Table28[[#This Row],[SEAT REV]]-Table28[[#This Row],[SEAT REV
(IF IDEAL $)]]</f>
        <v>0</v>
      </c>
      <c r="AA292" s="26"/>
      <c r="AB292" s="26"/>
      <c r="AC292" s="26"/>
      <c r="AD292" s="26"/>
      <c r="AE292" s="26"/>
      <c r="AS292" s="16" t="s">
        <v>197</v>
      </c>
      <c r="AT292" s="16" t="s">
        <v>16835</v>
      </c>
      <c r="AU292" s="16" t="s">
        <v>2567</v>
      </c>
      <c r="AV292" s="16" t="s">
        <v>18878</v>
      </c>
      <c r="AW292" s="16" t="s">
        <v>18879</v>
      </c>
      <c r="AX292" s="16" t="s">
        <v>18941</v>
      </c>
      <c r="AY292" s="385">
        <v>11050</v>
      </c>
    </row>
    <row r="293" spans="1:51" x14ac:dyDescent="0.25">
      <c r="A293" s="16" t="s">
        <v>19563</v>
      </c>
      <c r="B293" s="16" t="s">
        <v>5121</v>
      </c>
      <c r="D293" s="16">
        <v>3</v>
      </c>
      <c r="E293" s="16" t="s">
        <v>5119</v>
      </c>
      <c r="F293" s="16" t="str">
        <f>VLOOKUP(Table28[[#This Row],[Country]],Table10[[COUNTRY NAME]:[CONTINENT CODE]],3,FALSE)</f>
        <v>NA</v>
      </c>
      <c r="G293" s="16" t="s">
        <v>13207</v>
      </c>
      <c r="H293" s="181">
        <v>13503</v>
      </c>
      <c r="I293" s="180">
        <v>31.75</v>
      </c>
      <c r="K293" s="316">
        <f>IFERROR(Table28[[#This Row],[ROUTE COST]]/Table28[[#This Row],[O - DEMAND]],0)</f>
        <v>0</v>
      </c>
      <c r="M293" s="16">
        <f>Table28[[#This Row],[O - DEMAND]]/950</f>
        <v>0</v>
      </c>
      <c r="N293" s="16">
        <f>IFERROR(VLOOKUP(Table28[[#This Row],[ROUTE]],DEMAND!A:F,5,FALSE),0)</f>
        <v>0</v>
      </c>
      <c r="O293" s="16">
        <f>IFERROR(VLOOKUP(Table28[[#This Row],[ROUTE]],DEMAND!A:F,6,FALSE),0)</f>
        <v>0</v>
      </c>
      <c r="P293" s="16">
        <f>ROUNDDOWN(Table28[[#This Row],[R-DEMAND]]/950,0)</f>
        <v>0</v>
      </c>
      <c r="Q293" s="16">
        <f>Table28[[#This Row],[ADD ACC
(475/950)]]*Table28[[#This Row],[Duration
(A359)]]</f>
        <v>0</v>
      </c>
      <c r="R293" s="16">
        <f>IFERROR(VLOOKUP(Table28[[#This Row],[ROUTE]],PRICING!A:B,2,FALSE),0)</f>
        <v>0</v>
      </c>
      <c r="S293" s="16">
        <f>Table28[[#This Row],[C_DEMAND]]-Table28[[#This Row],[R-DEMAND]]</f>
        <v>0</v>
      </c>
      <c r="T293" s="316">
        <f>Table28[[#This Row],[SEATS SOLD]]*Table28[[#This Row],[ECO SEAT]]</f>
        <v>0</v>
      </c>
      <c r="U293" s="316">
        <f>Table28[[#This Row],[SEATS SOLD]]*(IFERROR(VLOOKUP(Table28[[#This Row],[ROUTE]],PRICING!A:C,3,FALSE),0))</f>
        <v>0</v>
      </c>
      <c r="V293" s="316">
        <f>Table28[[#This Row],[SEAT REV]]-Table28[[#This Row],[SEAT REV
(IF IDEAL $)]]</f>
        <v>0</v>
      </c>
      <c r="AA293" s="26"/>
      <c r="AB293" s="26"/>
      <c r="AC293" s="26"/>
      <c r="AD293" s="26"/>
      <c r="AE293" s="26"/>
      <c r="AS293" s="16" t="s">
        <v>14</v>
      </c>
      <c r="AT293" s="16" t="s">
        <v>16844</v>
      </c>
      <c r="AU293" s="16" t="s">
        <v>1767</v>
      </c>
      <c r="AV293" s="16" t="s">
        <v>18878</v>
      </c>
      <c r="AW293" s="16" t="s">
        <v>18890</v>
      </c>
      <c r="AX293" s="16" t="s">
        <v>18941</v>
      </c>
      <c r="AY293" s="385">
        <v>11057</v>
      </c>
    </row>
    <row r="294" spans="1:51" x14ac:dyDescent="0.25">
      <c r="A294" s="16" t="s">
        <v>19520</v>
      </c>
      <c r="B294" s="16" t="s">
        <v>2599</v>
      </c>
      <c r="D294" s="16">
        <v>2</v>
      </c>
      <c r="E294" s="16" t="s">
        <v>11732</v>
      </c>
      <c r="F294" s="16" t="str">
        <f>VLOOKUP(Table28[[#This Row],[Country]],Table10[[COUNTRY NAME]:[CONTINENT CODE]],3,FALSE)</f>
        <v>NA - US</v>
      </c>
      <c r="G294" s="16" t="s">
        <v>13286</v>
      </c>
      <c r="H294" s="181">
        <v>13212</v>
      </c>
      <c r="I294" s="180">
        <v>31.25</v>
      </c>
      <c r="K294" s="316">
        <f>IFERROR(Table28[[#This Row],[ROUTE COST]]/Table28[[#This Row],[O - DEMAND]],0)</f>
        <v>0</v>
      </c>
      <c r="M294" s="180">
        <f>Table28[[#This Row],[O - DEMAND]]/950</f>
        <v>0</v>
      </c>
      <c r="N294" s="16">
        <f>IFERROR(VLOOKUP(Table28[[#This Row],[ROUTE]],DEMAND!A:F,5,FALSE),0)</f>
        <v>0</v>
      </c>
      <c r="O294" s="16">
        <f>IFERROR(VLOOKUP(Table28[[#This Row],[ROUTE]],DEMAND!A:F,6,FALSE),0)</f>
        <v>0</v>
      </c>
      <c r="P294" s="16">
        <f>ROUNDDOWN(Table28[[#This Row],[R-DEMAND]]/950,0)</f>
        <v>0</v>
      </c>
      <c r="Q294" s="16">
        <f>Table28[[#This Row],[ADD ACC
(475/950)]]*Table28[[#This Row],[Duration
(A359)]]</f>
        <v>0</v>
      </c>
      <c r="R294" s="16">
        <f>IFERROR(VLOOKUP(Table28[[#This Row],[ROUTE]],PRICING!A:B,2,FALSE),0)</f>
        <v>0</v>
      </c>
      <c r="S294" s="16">
        <f>Table28[[#This Row],[C_DEMAND]]-Table28[[#This Row],[R-DEMAND]]</f>
        <v>0</v>
      </c>
      <c r="T294" s="316">
        <f>Table28[[#This Row],[SEATS SOLD]]*Table28[[#This Row],[ECO SEAT]]</f>
        <v>0</v>
      </c>
      <c r="U294" s="316">
        <f>Table28[[#This Row],[SEATS SOLD]]*(IFERROR(VLOOKUP(Table28[[#This Row],[ROUTE]],PRICING!A:C,3,FALSE),0))</f>
        <v>0</v>
      </c>
      <c r="V294" s="316">
        <f>Table28[[#This Row],[SEAT REV]]-Table28[[#This Row],[SEAT REV
(IF IDEAL $)]]</f>
        <v>0</v>
      </c>
      <c r="AA294" s="26"/>
      <c r="AB294" s="26"/>
      <c r="AC294" s="26"/>
      <c r="AD294" s="26"/>
      <c r="AE294" s="26"/>
      <c r="AS294" s="16" t="s">
        <v>926</v>
      </c>
      <c r="AT294" s="16" t="s">
        <v>11889</v>
      </c>
      <c r="AU294" s="16" t="s">
        <v>273</v>
      </c>
      <c r="AV294" s="16" t="s">
        <v>18892</v>
      </c>
      <c r="AW294" s="16" t="s">
        <v>18879</v>
      </c>
      <c r="AX294" s="16" t="s">
        <v>18941</v>
      </c>
      <c r="AY294" s="385">
        <v>11065</v>
      </c>
    </row>
    <row r="295" spans="1:51" x14ac:dyDescent="0.25">
      <c r="A295" s="16" t="s">
        <v>19028</v>
      </c>
      <c r="B295" s="16" t="s">
        <v>5082</v>
      </c>
      <c r="D295" s="16">
        <v>3</v>
      </c>
      <c r="E295" s="16" t="s">
        <v>5080</v>
      </c>
      <c r="F295" s="16" t="str">
        <f>VLOOKUP(Table28[[#This Row],[Country]],Table10[[COUNTRY NAME]:[CONTINENT CODE]],3,FALSE)</f>
        <v>OC</v>
      </c>
      <c r="G295" s="16" t="s">
        <v>12038</v>
      </c>
      <c r="H295" s="181">
        <v>5318</v>
      </c>
      <c r="I295" s="180">
        <v>13.75</v>
      </c>
      <c r="K295" s="316">
        <f>IFERROR(Table28[[#This Row],[ROUTE COST]]/Table28[[#This Row],[O - DEMAND]],0)</f>
        <v>0</v>
      </c>
      <c r="M295" s="16">
        <f>Table28[[#This Row],[O - DEMAND]]/950</f>
        <v>0</v>
      </c>
      <c r="N295" s="16">
        <f>IFERROR(VLOOKUP(Table28[[#This Row],[ROUTE]],DEMAND!A:F,5,FALSE),0)</f>
        <v>0</v>
      </c>
      <c r="O295" s="16">
        <f>IFERROR(VLOOKUP(Table28[[#This Row],[ROUTE]],DEMAND!A:F,6,FALSE),0)</f>
        <v>0</v>
      </c>
      <c r="P295" s="16">
        <f>ROUNDDOWN(Table28[[#This Row],[R-DEMAND]]/950,0)</f>
        <v>0</v>
      </c>
      <c r="Q295" s="16">
        <f>Table28[[#This Row],[ADD ACC
(475/950)]]*Table28[[#This Row],[Duration
(A359)]]</f>
        <v>0</v>
      </c>
      <c r="R295" s="16">
        <f>IFERROR(VLOOKUP(Table28[[#This Row],[ROUTE]],PRICING!A:B,2,FALSE),0)</f>
        <v>0</v>
      </c>
      <c r="S295" s="16">
        <f>Table28[[#This Row],[C_DEMAND]]-Table28[[#This Row],[R-DEMAND]]</f>
        <v>0</v>
      </c>
      <c r="T295" s="316">
        <f>Table28[[#This Row],[SEATS SOLD]]*Table28[[#This Row],[ECO SEAT]]</f>
        <v>0</v>
      </c>
      <c r="U295" s="316">
        <f>Table28[[#This Row],[SEATS SOLD]]*(IFERROR(VLOOKUP(Table28[[#This Row],[ROUTE]],PRICING!A:C,3,FALSE),0))</f>
        <v>0</v>
      </c>
      <c r="V295" s="316">
        <f>Table28[[#This Row],[SEAT REV]]-Table28[[#This Row],[SEAT REV
(IF IDEAL $)]]</f>
        <v>0</v>
      </c>
      <c r="AA295" s="26"/>
      <c r="AB295" s="26"/>
      <c r="AC295" s="26"/>
      <c r="AD295" s="26"/>
      <c r="AE295" s="26"/>
      <c r="AS295" s="16" t="s">
        <v>197</v>
      </c>
      <c r="AT295" s="16" t="s">
        <v>12008</v>
      </c>
      <c r="AU295" s="16" t="s">
        <v>254</v>
      </c>
      <c r="AV295" s="16" t="s">
        <v>18884</v>
      </c>
      <c r="AW295" s="16" t="s">
        <v>18885</v>
      </c>
      <c r="AX295" s="16" t="s">
        <v>18941</v>
      </c>
      <c r="AY295" s="385">
        <v>11076</v>
      </c>
    </row>
    <row r="296" spans="1:51" x14ac:dyDescent="0.25">
      <c r="A296" s="16" t="s">
        <v>19540</v>
      </c>
      <c r="B296" s="16" t="s">
        <v>590</v>
      </c>
      <c r="C296" s="16" t="s">
        <v>467</v>
      </c>
      <c r="D296" s="16">
        <v>1</v>
      </c>
      <c r="E296" s="16" t="s">
        <v>588</v>
      </c>
      <c r="F296" s="16" t="str">
        <f>VLOOKUP(Table28[[#This Row],[Country]],Table10[[COUNTRY NAME]:[CONTINENT CODE]],3,FALSE)</f>
        <v>EU</v>
      </c>
      <c r="G296" s="16" t="s">
        <v>9615</v>
      </c>
      <c r="H296" s="181">
        <v>13354</v>
      </c>
      <c r="I296" s="180">
        <v>31.5</v>
      </c>
      <c r="K296" s="316">
        <f>IFERROR(Table28[[#This Row],[ROUTE COST]]/Table28[[#This Row],[O - DEMAND]],0)</f>
        <v>0</v>
      </c>
      <c r="M296" s="16">
        <f>Table28[[#This Row],[O - DEMAND]]/950</f>
        <v>0</v>
      </c>
      <c r="N296" s="16">
        <f>IFERROR(VLOOKUP(Table28[[#This Row],[ROUTE]],DEMAND!A:F,5,FALSE),0)</f>
        <v>2211</v>
      </c>
      <c r="O296" s="16">
        <f>IFERROR(VLOOKUP(Table28[[#This Row],[ROUTE]],DEMAND!A:F,6,FALSE),0)</f>
        <v>311</v>
      </c>
      <c r="P296" s="16">
        <f>ROUNDDOWN(Table28[[#This Row],[R-DEMAND]]/950,0)</f>
        <v>0</v>
      </c>
      <c r="Q296" s="16">
        <f>Table28[[#This Row],[ADD ACC
(475/950)]]*Table28[[#This Row],[Duration
(A359)]]</f>
        <v>0</v>
      </c>
      <c r="R296" s="16">
        <f>IFERROR(VLOOKUP(Table28[[#This Row],[ROUTE]],PRICING!A:B,2,FALSE),0)</f>
        <v>0</v>
      </c>
      <c r="S296" s="16">
        <f>Table28[[#This Row],[C_DEMAND]]-Table28[[#This Row],[R-DEMAND]]</f>
        <v>1900</v>
      </c>
      <c r="T296" s="316">
        <f>Table28[[#This Row],[SEATS SOLD]]*Table28[[#This Row],[ECO SEAT]]</f>
        <v>0</v>
      </c>
      <c r="U296" s="316">
        <f>Table28[[#This Row],[SEATS SOLD]]*(IFERROR(VLOOKUP(Table28[[#This Row],[ROUTE]],PRICING!A:C,3,FALSE),0))</f>
        <v>0</v>
      </c>
      <c r="V296" s="316">
        <f>Table28[[#This Row],[SEAT REV]]-Table28[[#This Row],[SEAT REV
(IF IDEAL $)]]</f>
        <v>0</v>
      </c>
      <c r="AA296" s="26"/>
      <c r="AB296" s="26"/>
      <c r="AC296" s="26"/>
      <c r="AD296" s="26"/>
      <c r="AE296" s="26"/>
      <c r="AS296" s="16" t="s">
        <v>926</v>
      </c>
      <c r="AT296" s="16" t="s">
        <v>16853</v>
      </c>
      <c r="AU296" s="16" t="s">
        <v>2663</v>
      </c>
      <c r="AV296" s="16" t="s">
        <v>18878</v>
      </c>
      <c r="AW296" s="16" t="s">
        <v>18879</v>
      </c>
      <c r="AX296" s="16" t="s">
        <v>18941</v>
      </c>
      <c r="AY296" s="385">
        <v>11119</v>
      </c>
    </row>
    <row r="297" spans="1:51" x14ac:dyDescent="0.25">
      <c r="A297" s="16" t="s">
        <v>19364</v>
      </c>
      <c r="B297" s="16" t="s">
        <v>1755</v>
      </c>
      <c r="D297" s="16">
        <v>1</v>
      </c>
      <c r="E297" s="16" t="s">
        <v>1289</v>
      </c>
      <c r="F297" s="16" t="str">
        <f>VLOOKUP(Table28[[#This Row],[Country]],Table10[[COUNTRY NAME]:[CONTINENT CODE]],3,FALSE)</f>
        <v>AS</v>
      </c>
      <c r="G297" s="16" t="s">
        <v>11964</v>
      </c>
      <c r="H297" s="181">
        <v>12117</v>
      </c>
      <c r="I297" s="180">
        <v>28.75</v>
      </c>
      <c r="K297" s="316">
        <f>IFERROR(Table28[[#This Row],[ROUTE COST]]/Table28[[#This Row],[O - DEMAND]],0)</f>
        <v>0</v>
      </c>
      <c r="M297" s="16">
        <f>Table28[[#This Row],[O - DEMAND]]/950</f>
        <v>0</v>
      </c>
      <c r="N297" s="16">
        <f>IFERROR(VLOOKUP(Table28[[#This Row],[ROUTE]],DEMAND!A:F,5,FALSE),0)</f>
        <v>0</v>
      </c>
      <c r="O297" s="16">
        <f>IFERROR(VLOOKUP(Table28[[#This Row],[ROUTE]],DEMAND!A:F,6,FALSE),0)</f>
        <v>0</v>
      </c>
      <c r="P297" s="16">
        <f>ROUNDDOWN(Table28[[#This Row],[R-DEMAND]]/950,0)</f>
        <v>0</v>
      </c>
      <c r="Q297" s="16">
        <f>Table28[[#This Row],[ADD ACC
(475/950)]]*Table28[[#This Row],[Duration
(A359)]]</f>
        <v>0</v>
      </c>
      <c r="R297" s="16">
        <f>IFERROR(VLOOKUP(Table28[[#This Row],[ROUTE]],PRICING!A:B,2,FALSE),0)</f>
        <v>0</v>
      </c>
      <c r="S297" s="16">
        <f>Table28[[#This Row],[C_DEMAND]]-Table28[[#This Row],[R-DEMAND]]</f>
        <v>0</v>
      </c>
      <c r="T297" s="316">
        <f>Table28[[#This Row],[SEATS SOLD]]*Table28[[#This Row],[ECO SEAT]]</f>
        <v>0</v>
      </c>
      <c r="U297" s="316">
        <f>Table28[[#This Row],[SEATS SOLD]]*(IFERROR(VLOOKUP(Table28[[#This Row],[ROUTE]],PRICING!A:C,3,FALSE),0))</f>
        <v>0</v>
      </c>
      <c r="V297" s="316">
        <f>Table28[[#This Row],[SEAT REV]]-Table28[[#This Row],[SEAT REV
(IF IDEAL $)]]</f>
        <v>0</v>
      </c>
      <c r="AA297" s="26"/>
      <c r="AB297" s="26"/>
      <c r="AC297" s="26"/>
      <c r="AD297" s="26"/>
      <c r="AE297" s="26"/>
      <c r="AS297" s="16" t="s">
        <v>926</v>
      </c>
      <c r="AT297" s="16" t="s">
        <v>16856</v>
      </c>
      <c r="AU297" s="16" t="s">
        <v>928</v>
      </c>
      <c r="AV297" s="16" t="s">
        <v>18878</v>
      </c>
      <c r="AW297" s="16" t="s">
        <v>18890</v>
      </c>
      <c r="AX297" s="16" t="s">
        <v>18901</v>
      </c>
      <c r="AY297" s="385">
        <v>11166</v>
      </c>
    </row>
    <row r="298" spans="1:51" x14ac:dyDescent="0.25">
      <c r="A298" s="16" t="s">
        <v>19523</v>
      </c>
      <c r="B298" s="16" t="s">
        <v>4962</v>
      </c>
      <c r="C298" s="16" t="s">
        <v>467</v>
      </c>
      <c r="D298" s="16">
        <v>3</v>
      </c>
      <c r="E298" s="16" t="s">
        <v>1377</v>
      </c>
      <c r="F298" s="16" t="str">
        <f>VLOOKUP(Table28[[#This Row],[Country]],Table10[[COUNTRY NAME]:[CONTINENT CODE]],3,FALSE)</f>
        <v>EU</v>
      </c>
      <c r="G298" s="16" t="s">
        <v>11927</v>
      </c>
      <c r="H298" s="181">
        <v>13231</v>
      </c>
      <c r="I298" s="180">
        <v>31.25</v>
      </c>
      <c r="K298" s="316">
        <f>IFERROR(Table28[[#This Row],[ROUTE COST]]/Table28[[#This Row],[O - DEMAND]],0)</f>
        <v>0</v>
      </c>
      <c r="M298" s="16">
        <f>Table28[[#This Row],[O - DEMAND]]/950</f>
        <v>0</v>
      </c>
      <c r="N298" s="16">
        <f>IFERROR(VLOOKUP(Table28[[#This Row],[ROUTE]],DEMAND!A:F,5,FALSE),0)</f>
        <v>3055</v>
      </c>
      <c r="O298" s="16">
        <f>IFERROR(VLOOKUP(Table28[[#This Row],[ROUTE]],DEMAND!A:F,6,FALSE),0)</f>
        <v>205</v>
      </c>
      <c r="P298" s="16">
        <f>ROUNDDOWN(Table28[[#This Row],[R-DEMAND]]/950,0)</f>
        <v>0</v>
      </c>
      <c r="Q298" s="16">
        <f>Table28[[#This Row],[ADD ACC
(475/950)]]*Table28[[#This Row],[Duration
(A359)]]</f>
        <v>0</v>
      </c>
      <c r="R298" s="16">
        <f>IFERROR(VLOOKUP(Table28[[#This Row],[ROUTE]],PRICING!A:B,2,FALSE),0)</f>
        <v>0</v>
      </c>
      <c r="S298" s="16">
        <f>Table28[[#This Row],[C_DEMAND]]-Table28[[#This Row],[R-DEMAND]]</f>
        <v>2850</v>
      </c>
      <c r="T298" s="316">
        <f>Table28[[#This Row],[SEATS SOLD]]*Table28[[#This Row],[ECO SEAT]]</f>
        <v>0</v>
      </c>
      <c r="U298" s="316">
        <f>Table28[[#This Row],[SEATS SOLD]]*(IFERROR(VLOOKUP(Table28[[#This Row],[ROUTE]],PRICING!A:C,3,FALSE),0))</f>
        <v>0</v>
      </c>
      <c r="V298" s="316">
        <f>Table28[[#This Row],[SEAT REV]]-Table28[[#This Row],[SEAT REV
(IF IDEAL $)]]</f>
        <v>0</v>
      </c>
      <c r="AA298" s="26"/>
      <c r="AB298" s="26"/>
      <c r="AC298" s="26"/>
      <c r="AD298" s="26"/>
      <c r="AE298" s="26"/>
      <c r="AS298" s="16" t="s">
        <v>11669</v>
      </c>
      <c r="AT298" s="16" t="s">
        <v>16936</v>
      </c>
      <c r="AU298" s="16" t="s">
        <v>851</v>
      </c>
      <c r="AV298" s="16" t="s">
        <v>18878</v>
      </c>
      <c r="AW298" s="16" t="s">
        <v>18890</v>
      </c>
      <c r="AX298" s="16" t="s">
        <v>18901</v>
      </c>
      <c r="AY298" s="385">
        <v>11211</v>
      </c>
    </row>
    <row r="299" spans="1:51" x14ac:dyDescent="0.25">
      <c r="A299" s="16" t="s">
        <v>19539</v>
      </c>
      <c r="B299" s="16" t="s">
        <v>5225</v>
      </c>
      <c r="C299" s="16" t="s">
        <v>467</v>
      </c>
      <c r="D299" s="16">
        <v>3</v>
      </c>
      <c r="E299" s="16" t="s">
        <v>2293</v>
      </c>
      <c r="F299" s="16" t="str">
        <f>VLOOKUP(Table28[[#This Row],[Country]],Table10[[COUNTRY NAME]:[CONTINENT CODE]],3,FALSE)</f>
        <v>SA</v>
      </c>
      <c r="G299" s="16" t="s">
        <v>13202</v>
      </c>
      <c r="H299" s="181">
        <v>13347</v>
      </c>
      <c r="I299" s="180">
        <v>31.5</v>
      </c>
      <c r="K299" s="316">
        <f>IFERROR(Table28[[#This Row],[ROUTE COST]]/Table28[[#This Row],[O - DEMAND]],0)</f>
        <v>0</v>
      </c>
      <c r="M299" s="16">
        <f>Table28[[#This Row],[O - DEMAND]]/950</f>
        <v>0</v>
      </c>
      <c r="N299" s="16">
        <f>IFERROR(VLOOKUP(Table28[[#This Row],[ROUTE]],DEMAND!A:F,5,FALSE),0)</f>
        <v>3205</v>
      </c>
      <c r="O299" s="16">
        <f>IFERROR(VLOOKUP(Table28[[#This Row],[ROUTE]],DEMAND!A:F,6,FALSE),0)</f>
        <v>355</v>
      </c>
      <c r="P299" s="16">
        <f>ROUNDDOWN(Table28[[#This Row],[R-DEMAND]]/950,0)</f>
        <v>0</v>
      </c>
      <c r="Q299" s="16">
        <f>Table28[[#This Row],[ADD ACC
(475/950)]]*Table28[[#This Row],[Duration
(A359)]]</f>
        <v>0</v>
      </c>
      <c r="R299" s="16">
        <f>IFERROR(VLOOKUP(Table28[[#This Row],[ROUTE]],PRICING!A:B,2,FALSE),0)</f>
        <v>0</v>
      </c>
      <c r="S299" s="16">
        <f>Table28[[#This Row],[C_DEMAND]]-Table28[[#This Row],[R-DEMAND]]</f>
        <v>2850</v>
      </c>
      <c r="T299" s="316">
        <f>Table28[[#This Row],[SEATS SOLD]]*Table28[[#This Row],[ECO SEAT]]</f>
        <v>0</v>
      </c>
      <c r="U299" s="316">
        <f>Table28[[#This Row],[SEATS SOLD]]*(IFERROR(VLOOKUP(Table28[[#This Row],[ROUTE]],PRICING!A:C,3,FALSE),0))</f>
        <v>0</v>
      </c>
      <c r="V299" s="316">
        <f>Table28[[#This Row],[SEAT REV]]-Table28[[#This Row],[SEAT REV
(IF IDEAL $)]]</f>
        <v>0</v>
      </c>
      <c r="AA299" s="26"/>
      <c r="AB299" s="26"/>
      <c r="AC299" s="26"/>
      <c r="AD299" s="26"/>
      <c r="AE299" s="26"/>
      <c r="AS299" s="16" t="s">
        <v>78</v>
      </c>
      <c r="AT299" s="16" t="s">
        <v>11836</v>
      </c>
      <c r="AU299" s="16" t="s">
        <v>1653</v>
      </c>
      <c r="AV299" s="16" t="s">
        <v>18884</v>
      </c>
      <c r="AW299" s="16" t="s">
        <v>18890</v>
      </c>
      <c r="AX299" s="16" t="s">
        <v>18901</v>
      </c>
      <c r="AY299" s="385">
        <v>11217</v>
      </c>
    </row>
    <row r="300" spans="1:51" x14ac:dyDescent="0.25">
      <c r="A300" s="16" t="s">
        <v>19652</v>
      </c>
      <c r="B300" s="16" t="s">
        <v>4447</v>
      </c>
      <c r="D300" s="16">
        <v>2</v>
      </c>
      <c r="E300" s="16" t="s">
        <v>700</v>
      </c>
      <c r="F300" s="16" t="str">
        <f>VLOOKUP(Table28[[#This Row],[Country]],Table10[[COUNTRY NAME]:[CONTINENT CODE]],3,FALSE)</f>
        <v>AS</v>
      </c>
      <c r="G300" s="16" t="s">
        <v>11884</v>
      </c>
      <c r="H300" s="181">
        <v>14128</v>
      </c>
      <c r="I300" s="180">
        <v>33.25</v>
      </c>
      <c r="K300" s="316">
        <f>IFERROR(Table28[[#This Row],[ROUTE COST]]/Table28[[#This Row],[O - DEMAND]],0)</f>
        <v>0</v>
      </c>
      <c r="M300" s="16">
        <f>Table28[[#This Row],[O - DEMAND]]/950</f>
        <v>0</v>
      </c>
      <c r="N300" s="16">
        <f>IFERROR(VLOOKUP(Table28[[#This Row],[ROUTE]],DEMAND!A:F,5,FALSE),0)</f>
        <v>0</v>
      </c>
      <c r="O300" s="16">
        <f>IFERROR(VLOOKUP(Table28[[#This Row],[ROUTE]],DEMAND!A:F,6,FALSE),0)</f>
        <v>0</v>
      </c>
      <c r="P300" s="16">
        <f>ROUNDDOWN(Table28[[#This Row],[R-DEMAND]]/950,0)</f>
        <v>0</v>
      </c>
      <c r="Q300" s="16">
        <f>Table28[[#This Row],[ADD ACC
(475/950)]]*Table28[[#This Row],[Duration
(A359)]]</f>
        <v>0</v>
      </c>
      <c r="R300" s="16">
        <f>IFERROR(VLOOKUP(Table28[[#This Row],[ROUTE]],PRICING!A:B,2,FALSE),0)</f>
        <v>0</v>
      </c>
      <c r="S300" s="16">
        <f>Table28[[#This Row],[C_DEMAND]]-Table28[[#This Row],[R-DEMAND]]</f>
        <v>0</v>
      </c>
      <c r="T300" s="316">
        <f>Table28[[#This Row],[SEATS SOLD]]*Table28[[#This Row],[ECO SEAT]]</f>
        <v>0</v>
      </c>
      <c r="U300" s="316">
        <f>Table28[[#This Row],[SEATS SOLD]]*(IFERROR(VLOOKUP(Table28[[#This Row],[ROUTE]],PRICING!A:C,3,FALSE),0))</f>
        <v>0</v>
      </c>
      <c r="V300" s="316">
        <f>Table28[[#This Row],[SEAT REV]]-Table28[[#This Row],[SEAT REV
(IF IDEAL $)]]</f>
        <v>0</v>
      </c>
      <c r="AA300" s="26"/>
      <c r="AB300" s="26"/>
      <c r="AC300" s="26"/>
      <c r="AD300" s="26"/>
      <c r="AE300" s="26"/>
      <c r="AS300" s="16" t="s">
        <v>197</v>
      </c>
      <c r="AT300" s="16" t="s">
        <v>16840</v>
      </c>
      <c r="AU300" s="16" t="s">
        <v>4496</v>
      </c>
      <c r="AV300" s="16" t="s">
        <v>18878</v>
      </c>
      <c r="AW300" s="16" t="s">
        <v>18879</v>
      </c>
      <c r="AX300" s="16" t="s">
        <v>18901</v>
      </c>
      <c r="AY300" s="385">
        <v>11220</v>
      </c>
    </row>
    <row r="301" spans="1:51" x14ac:dyDescent="0.25">
      <c r="A301" s="16" t="s">
        <v>19270</v>
      </c>
      <c r="B301" s="16" t="s">
        <v>293</v>
      </c>
      <c r="D301" s="16">
        <v>2</v>
      </c>
      <c r="E301" s="16" t="s">
        <v>1135</v>
      </c>
      <c r="F301" s="16" t="str">
        <f>VLOOKUP(Table28[[#This Row],[Country]],Table10[[COUNTRY NAME]:[CONTINENT CODE]],3,FALSE)</f>
        <v>AF</v>
      </c>
      <c r="G301" s="16" t="s">
        <v>11960</v>
      </c>
      <c r="H301" s="181">
        <v>10894</v>
      </c>
      <c r="I301" s="180">
        <v>26</v>
      </c>
      <c r="K301" s="316">
        <f>IFERROR(Table28[[#This Row],[ROUTE COST]]/Table28[[#This Row],[O - DEMAND]],0)</f>
        <v>0</v>
      </c>
      <c r="M301" s="16">
        <f>Table28[[#This Row],[O - DEMAND]]/950</f>
        <v>0</v>
      </c>
      <c r="N301" s="16">
        <f>IFERROR(VLOOKUP(Table28[[#This Row],[ROUTE]],DEMAND!A:F,5,FALSE),0)</f>
        <v>0</v>
      </c>
      <c r="O301" s="16">
        <f>IFERROR(VLOOKUP(Table28[[#This Row],[ROUTE]],DEMAND!A:F,6,FALSE),0)</f>
        <v>0</v>
      </c>
      <c r="P301" s="16">
        <f>ROUNDDOWN(Table28[[#This Row],[R-DEMAND]]/950,0)</f>
        <v>0</v>
      </c>
      <c r="Q301" s="16">
        <f>Table28[[#This Row],[ADD ACC
(475/950)]]*Table28[[#This Row],[Duration
(A359)]]</f>
        <v>0</v>
      </c>
      <c r="R301" s="16">
        <f>IFERROR(VLOOKUP(Table28[[#This Row],[ROUTE]],PRICING!A:B,2,FALSE),0)</f>
        <v>0</v>
      </c>
      <c r="S301" s="16">
        <f>Table28[[#This Row],[C_DEMAND]]-Table28[[#This Row],[R-DEMAND]]</f>
        <v>0</v>
      </c>
      <c r="T301" s="316">
        <f>Table28[[#This Row],[SEATS SOLD]]*Table28[[#This Row],[ECO SEAT]]</f>
        <v>0</v>
      </c>
      <c r="U301" s="316">
        <f>Table28[[#This Row],[SEATS SOLD]]*(IFERROR(VLOOKUP(Table28[[#This Row],[ROUTE]],PRICING!A:C,3,FALSE),0))</f>
        <v>0</v>
      </c>
      <c r="V301" s="316">
        <f>Table28[[#This Row],[SEAT REV]]-Table28[[#This Row],[SEAT REV
(IF IDEAL $)]]</f>
        <v>0</v>
      </c>
      <c r="AA301" s="26"/>
      <c r="AB301" s="26"/>
      <c r="AC301" s="26"/>
      <c r="AD301" s="26"/>
      <c r="AE301" s="26"/>
      <c r="AS301" s="16" t="s">
        <v>78</v>
      </c>
      <c r="AT301" s="16" t="s">
        <v>11932</v>
      </c>
      <c r="AU301" s="16" t="s">
        <v>3626</v>
      </c>
      <c r="AV301" s="16" t="s">
        <v>18892</v>
      </c>
      <c r="AW301" s="16" t="s">
        <v>18879</v>
      </c>
      <c r="AX301" s="16" t="s">
        <v>18901</v>
      </c>
      <c r="AY301" s="385">
        <v>11231</v>
      </c>
    </row>
    <row r="302" spans="1:51" x14ac:dyDescent="0.25">
      <c r="A302" s="16" t="s">
        <v>19078</v>
      </c>
      <c r="B302" s="16" t="s">
        <v>290</v>
      </c>
      <c r="D302" s="16">
        <v>4</v>
      </c>
      <c r="E302" s="16" t="s">
        <v>14</v>
      </c>
      <c r="F302" s="16" t="str">
        <f>VLOOKUP(Table28[[#This Row],[Country]],Table10[[COUNTRY NAME]:[CONTINENT CODE]],3,FALSE)</f>
        <v>AS</v>
      </c>
      <c r="G302" s="16" t="s">
        <v>12085</v>
      </c>
      <c r="H302" s="181">
        <v>7383</v>
      </c>
      <c r="I302" s="180">
        <v>18.25</v>
      </c>
      <c r="K302" s="316">
        <f>IFERROR(Table28[[#This Row],[ROUTE COST]]/Table28[[#This Row],[O - DEMAND]],0)</f>
        <v>0</v>
      </c>
      <c r="M302" s="16">
        <f>Table28[[#This Row],[O - DEMAND]]/950</f>
        <v>0</v>
      </c>
      <c r="N302" s="16">
        <f>IFERROR(VLOOKUP(Table28[[#This Row],[ROUTE]],DEMAND!A:F,5,FALSE),0)</f>
        <v>0</v>
      </c>
      <c r="O302" s="16">
        <f>IFERROR(VLOOKUP(Table28[[#This Row],[ROUTE]],DEMAND!A:F,6,FALSE),0)</f>
        <v>0</v>
      </c>
      <c r="P302" s="16">
        <f>ROUNDDOWN(Table28[[#This Row],[R-DEMAND]]/950,0)</f>
        <v>0</v>
      </c>
      <c r="Q302" s="16">
        <f>Table28[[#This Row],[ADD ACC
(475/950)]]*Table28[[#This Row],[Duration
(A359)]]</f>
        <v>0</v>
      </c>
      <c r="R302" s="16">
        <f>IFERROR(VLOOKUP(Table28[[#This Row],[ROUTE]],PRICING!A:B,2,FALSE),0)</f>
        <v>0</v>
      </c>
      <c r="S302" s="16">
        <f>Table28[[#This Row],[C_DEMAND]]-Table28[[#This Row],[R-DEMAND]]</f>
        <v>0</v>
      </c>
      <c r="T302" s="316">
        <f>Table28[[#This Row],[SEATS SOLD]]*Table28[[#This Row],[ECO SEAT]]</f>
        <v>0</v>
      </c>
      <c r="U302" s="316">
        <f>Table28[[#This Row],[SEATS SOLD]]*(IFERROR(VLOOKUP(Table28[[#This Row],[ROUTE]],PRICING!A:C,3,FALSE),0))</f>
        <v>0</v>
      </c>
      <c r="V302" s="316">
        <f>Table28[[#This Row],[SEAT REV]]-Table28[[#This Row],[SEAT REV
(IF IDEAL $)]]</f>
        <v>0</v>
      </c>
      <c r="AA302" s="26"/>
      <c r="AB302" s="26"/>
      <c r="AC302" s="26"/>
      <c r="AD302" s="26"/>
      <c r="AE302" s="26"/>
      <c r="AS302" s="16" t="s">
        <v>11669</v>
      </c>
      <c r="AT302" s="16" t="s">
        <v>16933</v>
      </c>
      <c r="AU302" s="16" t="s">
        <v>2565</v>
      </c>
      <c r="AV302" s="16" t="s">
        <v>18878</v>
      </c>
      <c r="AW302" s="16" t="s">
        <v>18879</v>
      </c>
      <c r="AX302" s="16" t="s">
        <v>18901</v>
      </c>
      <c r="AY302" s="385">
        <v>11237</v>
      </c>
    </row>
    <row r="303" spans="1:51" x14ac:dyDescent="0.25">
      <c r="A303" s="16" t="s">
        <v>19100</v>
      </c>
      <c r="B303" s="16" t="s">
        <v>286</v>
      </c>
      <c r="C303" s="16" t="s">
        <v>467</v>
      </c>
      <c r="D303" s="16">
        <v>3</v>
      </c>
      <c r="E303" s="16" t="s">
        <v>1314</v>
      </c>
      <c r="F303" s="16" t="str">
        <f>VLOOKUP(Table28[[#This Row],[Country]],Table10[[COUNTRY NAME]:[CONTINENT CODE]],3,FALSE)</f>
        <v>AS</v>
      </c>
      <c r="G303" s="16" t="s">
        <v>12083</v>
      </c>
      <c r="H303" s="181">
        <v>7791</v>
      </c>
      <c r="I303" s="180">
        <v>19.25</v>
      </c>
      <c r="K303" s="316">
        <f>IFERROR(Table28[[#This Row],[ROUTE COST]]/Table28[[#This Row],[O - DEMAND]],0)</f>
        <v>0</v>
      </c>
      <c r="M303" s="16">
        <f>Table28[[#This Row],[O - DEMAND]]/950</f>
        <v>0</v>
      </c>
      <c r="N303" s="16">
        <f>IFERROR(VLOOKUP(Table28[[#This Row],[ROUTE]],DEMAND!A:F,5,FALSE),0)</f>
        <v>2938</v>
      </c>
      <c r="O303" s="16">
        <f>IFERROR(VLOOKUP(Table28[[#This Row],[ROUTE]],DEMAND!A:F,6,FALSE),0)</f>
        <v>88</v>
      </c>
      <c r="P303" s="16">
        <f>ROUNDDOWN(Table28[[#This Row],[R-DEMAND]]/950,0)</f>
        <v>0</v>
      </c>
      <c r="Q303" s="16">
        <f>Table28[[#This Row],[ADD ACC
(475/950)]]*Table28[[#This Row],[Duration
(A359)]]</f>
        <v>0</v>
      </c>
      <c r="R303" s="16">
        <f>IFERROR(VLOOKUP(Table28[[#This Row],[ROUTE]],PRICING!A:B,2,FALSE),0)</f>
        <v>0</v>
      </c>
      <c r="S303" s="16">
        <f>Table28[[#This Row],[C_DEMAND]]-Table28[[#This Row],[R-DEMAND]]</f>
        <v>2850</v>
      </c>
      <c r="T303" s="316">
        <f>Table28[[#This Row],[SEATS SOLD]]*Table28[[#This Row],[ECO SEAT]]</f>
        <v>0</v>
      </c>
      <c r="U303" s="316">
        <f>Table28[[#This Row],[SEATS SOLD]]*(IFERROR(VLOOKUP(Table28[[#This Row],[ROUTE]],PRICING!A:C,3,FALSE),0))</f>
        <v>0</v>
      </c>
      <c r="V303" s="316">
        <f>Table28[[#This Row],[SEAT REV]]-Table28[[#This Row],[SEAT REV
(IF IDEAL $)]]</f>
        <v>0</v>
      </c>
      <c r="AA303" s="26"/>
      <c r="AB303" s="26"/>
      <c r="AC303" s="26"/>
      <c r="AD303" s="26"/>
      <c r="AE303" s="26"/>
      <c r="AS303" s="16" t="s">
        <v>14</v>
      </c>
      <c r="AT303" s="16" t="s">
        <v>12001</v>
      </c>
      <c r="AU303" s="16" t="s">
        <v>4172</v>
      </c>
      <c r="AV303" s="16" t="s">
        <v>18881</v>
      </c>
      <c r="AW303" s="16" t="s">
        <v>18879</v>
      </c>
      <c r="AX303" s="16" t="s">
        <v>18901</v>
      </c>
      <c r="AY303" s="385">
        <v>11239</v>
      </c>
    </row>
    <row r="304" spans="1:51" x14ac:dyDescent="0.25">
      <c r="A304" s="16" t="s">
        <v>19542</v>
      </c>
      <c r="B304" s="16" t="s">
        <v>3906</v>
      </c>
      <c r="D304" s="16">
        <v>2</v>
      </c>
      <c r="E304" s="16" t="s">
        <v>172</v>
      </c>
      <c r="F304" s="16" t="str">
        <f>VLOOKUP(Table28[[#This Row],[Country]],Table10[[COUNTRY NAME]:[CONTINENT CODE]],3,FALSE)</f>
        <v>AS</v>
      </c>
      <c r="G304" s="16" t="s">
        <v>9572</v>
      </c>
      <c r="H304" s="181">
        <v>13368</v>
      </c>
      <c r="I304" s="180">
        <v>31.5</v>
      </c>
      <c r="K304" s="316">
        <f>IFERROR(Table28[[#This Row],[ROUTE COST]]/Table28[[#This Row],[O - DEMAND]],0)</f>
        <v>0</v>
      </c>
      <c r="M304" s="16">
        <f>Table28[[#This Row],[O - DEMAND]]/950</f>
        <v>0</v>
      </c>
      <c r="N304" s="16">
        <f>IFERROR(VLOOKUP(Table28[[#This Row],[ROUTE]],DEMAND!A:F,5,FALSE),0)</f>
        <v>0</v>
      </c>
      <c r="O304" s="16">
        <f>IFERROR(VLOOKUP(Table28[[#This Row],[ROUTE]],DEMAND!A:F,6,FALSE),0)</f>
        <v>0</v>
      </c>
      <c r="P304" s="16">
        <f>ROUNDDOWN(Table28[[#This Row],[R-DEMAND]]/950,0)</f>
        <v>0</v>
      </c>
      <c r="Q304" s="16">
        <f>Table28[[#This Row],[ADD ACC
(475/950)]]*Table28[[#This Row],[Duration
(A359)]]</f>
        <v>0</v>
      </c>
      <c r="R304" s="16">
        <f>IFERROR(VLOOKUP(Table28[[#This Row],[ROUTE]],PRICING!A:B,2,FALSE),0)</f>
        <v>0</v>
      </c>
      <c r="S304" s="16">
        <f>Table28[[#This Row],[C_DEMAND]]-Table28[[#This Row],[R-DEMAND]]</f>
        <v>0</v>
      </c>
      <c r="T304" s="316">
        <f>Table28[[#This Row],[SEATS SOLD]]*Table28[[#This Row],[ECO SEAT]]</f>
        <v>0</v>
      </c>
      <c r="U304" s="316">
        <f>Table28[[#This Row],[SEATS SOLD]]*(IFERROR(VLOOKUP(Table28[[#This Row],[ROUTE]],PRICING!A:C,3,FALSE),0))</f>
        <v>0</v>
      </c>
      <c r="V304" s="316">
        <f>Table28[[#This Row],[SEAT REV]]-Table28[[#This Row],[SEAT REV
(IF IDEAL $)]]</f>
        <v>0</v>
      </c>
      <c r="AA304" s="26"/>
      <c r="AB304" s="26"/>
      <c r="AC304" s="26"/>
      <c r="AD304" s="26"/>
      <c r="AE304" s="26"/>
      <c r="AS304" s="16" t="s">
        <v>926</v>
      </c>
      <c r="AT304" s="16" t="s">
        <v>6801</v>
      </c>
      <c r="AU304" s="16" t="s">
        <v>1851</v>
      </c>
      <c r="AV304" s="16" t="s">
        <v>18884</v>
      </c>
      <c r="AW304" s="16" t="s">
        <v>18890</v>
      </c>
      <c r="AX304" s="16" t="s">
        <v>18925</v>
      </c>
      <c r="AY304" s="385">
        <v>11310</v>
      </c>
    </row>
    <row r="305" spans="1:51" x14ac:dyDescent="0.25">
      <c r="A305" s="16" t="s">
        <v>19722</v>
      </c>
      <c r="B305" s="16" t="s">
        <v>5465</v>
      </c>
      <c r="C305" s="16" t="s">
        <v>467</v>
      </c>
      <c r="D305" s="16">
        <v>4</v>
      </c>
      <c r="E305" s="16" t="s">
        <v>683</v>
      </c>
      <c r="F305" s="16" t="str">
        <f>VLOOKUP(Table28[[#This Row],[Country]],Table10[[COUNTRY NAME]:[CONTINENT CODE]],3,FALSE)</f>
        <v>NA</v>
      </c>
      <c r="G305" s="16" t="s">
        <v>13186</v>
      </c>
      <c r="H305" s="181">
        <v>14701</v>
      </c>
      <c r="I305" s="180">
        <v>34.5</v>
      </c>
      <c r="K305" s="316">
        <f>IFERROR(Table28[[#This Row],[ROUTE COST]]/Table28[[#This Row],[O - DEMAND]],0)</f>
        <v>0</v>
      </c>
      <c r="M305" s="16">
        <f>Table28[[#This Row],[O - DEMAND]]/950</f>
        <v>0</v>
      </c>
      <c r="N305" s="16">
        <f>IFERROR(VLOOKUP(Table28[[#This Row],[ROUTE]],DEMAND!A:F,5,FALSE),0)</f>
        <v>2277</v>
      </c>
      <c r="O305" s="16">
        <f>IFERROR(VLOOKUP(Table28[[#This Row],[ROUTE]],DEMAND!A:F,6,FALSE),0)</f>
        <v>377</v>
      </c>
      <c r="P305" s="16">
        <f>ROUNDDOWN(Table28[[#This Row],[R-DEMAND]]/950,0)</f>
        <v>0</v>
      </c>
      <c r="Q305" s="16">
        <f>Table28[[#This Row],[ADD ACC
(475/950)]]*Table28[[#This Row],[Duration
(A359)]]</f>
        <v>0</v>
      </c>
      <c r="R305" s="16">
        <f>IFERROR(VLOOKUP(Table28[[#This Row],[ROUTE]],PRICING!A:B,2,FALSE),0)</f>
        <v>0</v>
      </c>
      <c r="S305" s="16">
        <f>Table28[[#This Row],[C_DEMAND]]-Table28[[#This Row],[R-DEMAND]]</f>
        <v>1900</v>
      </c>
      <c r="T305" s="316">
        <f>Table28[[#This Row],[SEATS SOLD]]*Table28[[#This Row],[ECO SEAT]]</f>
        <v>0</v>
      </c>
      <c r="U305" s="316">
        <f>Table28[[#This Row],[SEATS SOLD]]*(IFERROR(VLOOKUP(Table28[[#This Row],[ROUTE]],PRICING!A:C,3,FALSE),0))</f>
        <v>0</v>
      </c>
      <c r="V305" s="316">
        <f>Table28[[#This Row],[SEAT REV]]-Table28[[#This Row],[SEAT REV
(IF IDEAL $)]]</f>
        <v>0</v>
      </c>
      <c r="AA305" s="26"/>
      <c r="AB305" s="26"/>
      <c r="AC305" s="26"/>
      <c r="AD305" s="26"/>
      <c r="AE305" s="26"/>
      <c r="AS305" s="16" t="s">
        <v>78</v>
      </c>
      <c r="AT305" s="16" t="s">
        <v>11013</v>
      </c>
      <c r="AU305" s="16" t="s">
        <v>2268</v>
      </c>
      <c r="AV305" s="16" t="s">
        <v>18884</v>
      </c>
      <c r="AW305" s="16" t="s">
        <v>18890</v>
      </c>
      <c r="AX305" s="16" t="s">
        <v>18925</v>
      </c>
      <c r="AY305" s="385">
        <v>11315</v>
      </c>
    </row>
    <row r="306" spans="1:51" x14ac:dyDescent="0.25">
      <c r="A306" s="16" t="s">
        <v>19709</v>
      </c>
      <c r="B306" s="16" t="s">
        <v>3463</v>
      </c>
      <c r="D306" s="16">
        <v>2</v>
      </c>
      <c r="E306" s="16" t="s">
        <v>1124</v>
      </c>
      <c r="F306" s="16" t="str">
        <f>VLOOKUP(Table28[[#This Row],[Country]],Table10[[COUNTRY NAME]:[CONTINENT CODE]],3,FALSE)</f>
        <v>AF</v>
      </c>
      <c r="G306" s="16" t="s">
        <v>11857</v>
      </c>
      <c r="H306" s="181">
        <v>14591</v>
      </c>
      <c r="I306" s="180">
        <v>34.25</v>
      </c>
      <c r="K306" s="316">
        <f>IFERROR(Table28[[#This Row],[ROUTE COST]]/Table28[[#This Row],[O - DEMAND]],0)</f>
        <v>0</v>
      </c>
      <c r="M306" s="16">
        <f>Table28[[#This Row],[O - DEMAND]]/950</f>
        <v>0</v>
      </c>
      <c r="N306" s="16">
        <f>IFERROR(VLOOKUP(Table28[[#This Row],[ROUTE]],DEMAND!A:F,5,FALSE),0)</f>
        <v>0</v>
      </c>
      <c r="O306" s="16">
        <f>IFERROR(VLOOKUP(Table28[[#This Row],[ROUTE]],DEMAND!A:F,6,FALSE),0)</f>
        <v>0</v>
      </c>
      <c r="P306" s="16">
        <f>ROUNDDOWN(Table28[[#This Row],[R-DEMAND]]/950,0)</f>
        <v>0</v>
      </c>
      <c r="Q306" s="16">
        <f>Table28[[#This Row],[ADD ACC
(475/950)]]*Table28[[#This Row],[Duration
(A359)]]</f>
        <v>0</v>
      </c>
      <c r="R306" s="16">
        <f>IFERROR(VLOOKUP(Table28[[#This Row],[ROUTE]],PRICING!A:B,2,FALSE),0)</f>
        <v>0</v>
      </c>
      <c r="S306" s="16">
        <f>Table28[[#This Row],[C_DEMAND]]-Table28[[#This Row],[R-DEMAND]]</f>
        <v>0</v>
      </c>
      <c r="T306" s="316">
        <f>Table28[[#This Row],[SEATS SOLD]]*Table28[[#This Row],[ECO SEAT]]</f>
        <v>0</v>
      </c>
      <c r="U306" s="316">
        <f>Table28[[#This Row],[SEATS SOLD]]*(IFERROR(VLOOKUP(Table28[[#This Row],[ROUTE]],PRICING!A:C,3,FALSE),0))</f>
        <v>0</v>
      </c>
      <c r="V306" s="316">
        <f>Table28[[#This Row],[SEAT REV]]-Table28[[#This Row],[SEAT REV
(IF IDEAL $)]]</f>
        <v>0</v>
      </c>
      <c r="AA306" s="26"/>
      <c r="AB306" s="26"/>
      <c r="AC306" s="26"/>
      <c r="AD306" s="26"/>
      <c r="AE306" s="26"/>
      <c r="AS306" s="16" t="s">
        <v>1625</v>
      </c>
      <c r="AT306" s="16" t="s">
        <v>11869</v>
      </c>
      <c r="AU306" s="16" t="s">
        <v>3868</v>
      </c>
      <c r="AV306" s="16" t="s">
        <v>18892</v>
      </c>
      <c r="AW306" s="16" t="s">
        <v>18879</v>
      </c>
      <c r="AX306" s="16" t="s">
        <v>18925</v>
      </c>
      <c r="AY306" s="385">
        <v>11316</v>
      </c>
    </row>
    <row r="307" spans="1:51" x14ac:dyDescent="0.25">
      <c r="A307" s="16" t="s">
        <v>19498</v>
      </c>
      <c r="B307" s="16" t="s">
        <v>902</v>
      </c>
      <c r="D307" s="16">
        <v>1</v>
      </c>
      <c r="E307" s="16" t="s">
        <v>172</v>
      </c>
      <c r="F307" s="16" t="str">
        <f>VLOOKUP(Table28[[#This Row],[Country]],Table10[[COUNTRY NAME]:[CONTINENT CODE]],3,FALSE)</f>
        <v>AS</v>
      </c>
      <c r="G307" s="16" t="s">
        <v>11935</v>
      </c>
      <c r="H307" s="181">
        <v>13049</v>
      </c>
      <c r="I307" s="180">
        <v>30.75</v>
      </c>
      <c r="K307" s="316">
        <f>IFERROR(Table28[[#This Row],[ROUTE COST]]/Table28[[#This Row],[O - DEMAND]],0)</f>
        <v>0</v>
      </c>
      <c r="M307" s="16">
        <f>Table28[[#This Row],[O - DEMAND]]/950</f>
        <v>0</v>
      </c>
      <c r="N307" s="16">
        <f>IFERROR(VLOOKUP(Table28[[#This Row],[ROUTE]],DEMAND!A:F,5,FALSE),0)</f>
        <v>0</v>
      </c>
      <c r="O307" s="16">
        <f>IFERROR(VLOOKUP(Table28[[#This Row],[ROUTE]],DEMAND!A:F,6,FALSE),0)</f>
        <v>0</v>
      </c>
      <c r="P307" s="16">
        <f>ROUNDDOWN(Table28[[#This Row],[R-DEMAND]]/950,0)</f>
        <v>0</v>
      </c>
      <c r="Q307" s="16">
        <f>Table28[[#This Row],[ADD ACC
(475/950)]]*Table28[[#This Row],[Duration
(A359)]]</f>
        <v>0</v>
      </c>
      <c r="R307" s="16">
        <f>IFERROR(VLOOKUP(Table28[[#This Row],[ROUTE]],PRICING!A:B,2,FALSE),0)</f>
        <v>0</v>
      </c>
      <c r="S307" s="16">
        <f>Table28[[#This Row],[C_DEMAND]]-Table28[[#This Row],[R-DEMAND]]</f>
        <v>0</v>
      </c>
      <c r="T307" s="316">
        <f>Table28[[#This Row],[SEATS SOLD]]*Table28[[#This Row],[ECO SEAT]]</f>
        <v>0</v>
      </c>
      <c r="U307" s="316">
        <f>Table28[[#This Row],[SEATS SOLD]]*(IFERROR(VLOOKUP(Table28[[#This Row],[ROUTE]],PRICING!A:C,3,FALSE),0))</f>
        <v>0</v>
      </c>
      <c r="V307" s="316">
        <f>Table28[[#This Row],[SEAT REV]]-Table28[[#This Row],[SEAT REV
(IF IDEAL $)]]</f>
        <v>0</v>
      </c>
      <c r="AA307" s="26"/>
      <c r="AB307" s="26"/>
      <c r="AC307" s="26"/>
      <c r="AD307" s="26"/>
      <c r="AE307" s="26"/>
      <c r="AS307" s="16" t="s">
        <v>530</v>
      </c>
      <c r="AT307" s="16" t="s">
        <v>13178</v>
      </c>
      <c r="AU307" s="16" t="s">
        <v>103</v>
      </c>
      <c r="AV307" s="16" t="s">
        <v>18884</v>
      </c>
      <c r="AW307" s="16" t="s">
        <v>18899</v>
      </c>
      <c r="AX307" s="16" t="s">
        <v>18925</v>
      </c>
      <c r="AY307" s="385">
        <v>11343</v>
      </c>
    </row>
    <row r="308" spans="1:51" x14ac:dyDescent="0.25">
      <c r="A308" s="16" t="s">
        <v>19528</v>
      </c>
      <c r="B308" s="16" t="s">
        <v>3532</v>
      </c>
      <c r="D308" s="16">
        <v>2</v>
      </c>
      <c r="E308" s="16" t="s">
        <v>11732</v>
      </c>
      <c r="F308" s="16" t="str">
        <f>VLOOKUP(Table28[[#This Row],[Country]],Table10[[COUNTRY NAME]:[CONTINENT CODE]],3,FALSE)</f>
        <v>NA - US</v>
      </c>
      <c r="G308" s="16" t="s">
        <v>13281</v>
      </c>
      <c r="H308" s="181">
        <v>13269</v>
      </c>
      <c r="I308" s="180">
        <v>31.25</v>
      </c>
      <c r="K308" s="316">
        <f>IFERROR(Table28[[#This Row],[ROUTE COST]]/Table28[[#This Row],[O - DEMAND]],0)</f>
        <v>0</v>
      </c>
      <c r="M308" s="180">
        <f>Table28[[#This Row],[O - DEMAND]]/950</f>
        <v>0</v>
      </c>
      <c r="N308" s="16">
        <f>IFERROR(VLOOKUP(Table28[[#This Row],[ROUTE]],DEMAND!A:F,5,FALSE),0)</f>
        <v>0</v>
      </c>
      <c r="O308" s="16">
        <f>IFERROR(VLOOKUP(Table28[[#This Row],[ROUTE]],DEMAND!A:F,6,FALSE),0)</f>
        <v>0</v>
      </c>
      <c r="P308" s="16">
        <f>ROUNDDOWN(Table28[[#This Row],[R-DEMAND]]/950,0)</f>
        <v>0</v>
      </c>
      <c r="Q308" s="16">
        <f>Table28[[#This Row],[ADD ACC
(475/950)]]*Table28[[#This Row],[Duration
(A359)]]</f>
        <v>0</v>
      </c>
      <c r="R308" s="16">
        <f>IFERROR(VLOOKUP(Table28[[#This Row],[ROUTE]],PRICING!A:B,2,FALSE),0)</f>
        <v>0</v>
      </c>
      <c r="S308" s="16">
        <f>Table28[[#This Row],[C_DEMAND]]-Table28[[#This Row],[R-DEMAND]]</f>
        <v>0</v>
      </c>
      <c r="T308" s="316">
        <f>Table28[[#This Row],[SEATS SOLD]]*Table28[[#This Row],[ECO SEAT]]</f>
        <v>0</v>
      </c>
      <c r="U308" s="316">
        <f>Table28[[#This Row],[SEATS SOLD]]*(IFERROR(VLOOKUP(Table28[[#This Row],[ROUTE]],PRICING!A:C,3,FALSE),0))</f>
        <v>0</v>
      </c>
      <c r="V308" s="316">
        <f>Table28[[#This Row],[SEAT REV]]-Table28[[#This Row],[SEAT REV
(IF IDEAL $)]]</f>
        <v>0</v>
      </c>
      <c r="AA308" s="26"/>
      <c r="AB308" s="26"/>
      <c r="AC308" s="26"/>
      <c r="AD308" s="26"/>
      <c r="AE308" s="26"/>
      <c r="AS308" s="16" t="s">
        <v>197</v>
      </c>
      <c r="AT308" s="16" t="s">
        <v>12003</v>
      </c>
      <c r="AU308" s="16" t="s">
        <v>3628</v>
      </c>
      <c r="AV308" s="16" t="s">
        <v>18884</v>
      </c>
      <c r="AW308" s="16" t="s">
        <v>18879</v>
      </c>
      <c r="AX308" s="16" t="s">
        <v>18925</v>
      </c>
      <c r="AY308" s="385">
        <v>11354</v>
      </c>
    </row>
    <row r="309" spans="1:51" x14ac:dyDescent="0.25">
      <c r="A309" s="16" t="s">
        <v>19063</v>
      </c>
      <c r="B309" s="16" t="s">
        <v>284</v>
      </c>
      <c r="D309" s="16">
        <v>3</v>
      </c>
      <c r="E309" s="16" t="s">
        <v>332</v>
      </c>
      <c r="F309" s="16" t="str">
        <f>VLOOKUP(Table28[[#This Row],[Country]],Table10[[COUNTRY NAME]:[CONTINENT CODE]],3,FALSE)</f>
        <v>AS</v>
      </c>
      <c r="G309" s="16" t="s">
        <v>12106</v>
      </c>
      <c r="H309" s="181">
        <v>7012</v>
      </c>
      <c r="I309" s="180">
        <v>17.5</v>
      </c>
      <c r="K309" s="316">
        <f>IFERROR(Table28[[#This Row],[ROUTE COST]]/Table28[[#This Row],[O - DEMAND]],0)</f>
        <v>0</v>
      </c>
      <c r="M309" s="16">
        <f>Table28[[#This Row],[O - DEMAND]]/950</f>
        <v>0</v>
      </c>
      <c r="N309" s="16">
        <f>IFERROR(VLOOKUP(Table28[[#This Row],[ROUTE]],DEMAND!A:F,5,FALSE),0)</f>
        <v>0</v>
      </c>
      <c r="O309" s="16">
        <f>IFERROR(VLOOKUP(Table28[[#This Row],[ROUTE]],DEMAND!A:F,6,FALSE),0)</f>
        <v>0</v>
      </c>
      <c r="P309" s="16">
        <f>ROUNDDOWN(Table28[[#This Row],[R-DEMAND]]/950,0)</f>
        <v>0</v>
      </c>
      <c r="Q309" s="16">
        <f>Table28[[#This Row],[ADD ACC
(475/950)]]*Table28[[#This Row],[Duration
(A359)]]</f>
        <v>0</v>
      </c>
      <c r="R309" s="16">
        <f>IFERROR(VLOOKUP(Table28[[#This Row],[ROUTE]],PRICING!A:B,2,FALSE),0)</f>
        <v>0</v>
      </c>
      <c r="S309" s="16">
        <f>Table28[[#This Row],[C_DEMAND]]-Table28[[#This Row],[R-DEMAND]]</f>
        <v>0</v>
      </c>
      <c r="T309" s="316">
        <f>Table28[[#This Row],[SEATS SOLD]]*Table28[[#This Row],[ECO SEAT]]</f>
        <v>0</v>
      </c>
      <c r="U309" s="316">
        <f>Table28[[#This Row],[SEATS SOLD]]*(IFERROR(VLOOKUP(Table28[[#This Row],[ROUTE]],PRICING!A:C,3,FALSE),0))</f>
        <v>0</v>
      </c>
      <c r="V309" s="316">
        <f>Table28[[#This Row],[SEAT REV]]-Table28[[#This Row],[SEAT REV
(IF IDEAL $)]]</f>
        <v>0</v>
      </c>
      <c r="AA309" s="26"/>
      <c r="AB309" s="26"/>
      <c r="AC309" s="26"/>
      <c r="AD309" s="26"/>
      <c r="AE309" s="26"/>
      <c r="AS309" s="16" t="s">
        <v>11732</v>
      </c>
      <c r="AT309" s="16" t="s">
        <v>10909</v>
      </c>
      <c r="AU309" s="16" t="s">
        <v>2551</v>
      </c>
      <c r="AV309" s="16" t="s">
        <v>18878</v>
      </c>
      <c r="AW309" s="16" t="s">
        <v>18879</v>
      </c>
      <c r="AX309" s="16" t="s">
        <v>18925</v>
      </c>
      <c r="AY309" s="385">
        <v>11375</v>
      </c>
    </row>
    <row r="310" spans="1:51" x14ac:dyDescent="0.25">
      <c r="A310" s="16" t="s">
        <v>19340</v>
      </c>
      <c r="B310" s="16" t="s">
        <v>3856</v>
      </c>
      <c r="C310" s="16" t="s">
        <v>467</v>
      </c>
      <c r="D310" s="16">
        <v>2</v>
      </c>
      <c r="E310" s="16" t="s">
        <v>567</v>
      </c>
      <c r="F310" s="16" t="str">
        <f>VLOOKUP(Table28[[#This Row],[Country]],Table10[[COUNTRY NAME]:[CONTINENT CODE]],3,FALSE)</f>
        <v>AS</v>
      </c>
      <c r="G310" s="16" t="s">
        <v>16847</v>
      </c>
      <c r="H310" s="181">
        <v>11961</v>
      </c>
      <c r="I310" s="180">
        <v>28.5</v>
      </c>
      <c r="K310" s="316">
        <f>IFERROR(Table28[[#This Row],[ROUTE COST]]/Table28[[#This Row],[O - DEMAND]],0)</f>
        <v>0</v>
      </c>
      <c r="M310" s="16">
        <f>Table28[[#This Row],[O - DEMAND]]/950</f>
        <v>0</v>
      </c>
      <c r="N310" s="16">
        <f>IFERROR(VLOOKUP(Table28[[#This Row],[ROUTE]],DEMAND!A:F,5,FALSE),0)</f>
        <v>2423</v>
      </c>
      <c r="O310" s="16">
        <f>IFERROR(VLOOKUP(Table28[[#This Row],[ROUTE]],DEMAND!A:F,6,FALSE),0)</f>
        <v>523</v>
      </c>
      <c r="P310" s="16">
        <f>ROUNDDOWN(Table28[[#This Row],[R-DEMAND]]/950,0)</f>
        <v>0</v>
      </c>
      <c r="Q310" s="16">
        <f>Table28[[#This Row],[ADD ACC
(475/950)]]*Table28[[#This Row],[Duration
(A359)]]</f>
        <v>0</v>
      </c>
      <c r="R310" s="16">
        <f>IFERROR(VLOOKUP(Table28[[#This Row],[ROUTE]],PRICING!A:B,2,FALSE),0)</f>
        <v>0</v>
      </c>
      <c r="S310" s="16">
        <f>Table28[[#This Row],[C_DEMAND]]-Table28[[#This Row],[R-DEMAND]]</f>
        <v>1900</v>
      </c>
      <c r="T310" s="316">
        <f>Table28[[#This Row],[SEATS SOLD]]*Table28[[#This Row],[ECO SEAT]]</f>
        <v>0</v>
      </c>
      <c r="U310" s="316">
        <f>Table28[[#This Row],[SEATS SOLD]]*(IFERROR(VLOOKUP(Table28[[#This Row],[ROUTE]],PRICING!A:C,3,FALSE),0))</f>
        <v>0</v>
      </c>
      <c r="V310" s="316">
        <f>Table28[[#This Row],[SEAT REV]]-Table28[[#This Row],[SEAT REV
(IF IDEAL $)]]</f>
        <v>0</v>
      </c>
      <c r="AA310" s="26"/>
      <c r="AB310" s="26"/>
      <c r="AC310" s="26"/>
      <c r="AD310" s="26"/>
      <c r="AE310" s="26"/>
      <c r="AS310" s="16" t="s">
        <v>588</v>
      </c>
      <c r="AT310" s="16" t="s">
        <v>11991</v>
      </c>
      <c r="AU310" s="16" t="s">
        <v>5253</v>
      </c>
      <c r="AV310" s="16" t="s">
        <v>18884</v>
      </c>
      <c r="AW310" s="16" t="s">
        <v>18885</v>
      </c>
      <c r="AX310" s="16" t="s">
        <v>18886</v>
      </c>
      <c r="AY310" s="385">
        <v>11413</v>
      </c>
    </row>
    <row r="311" spans="1:51" x14ac:dyDescent="0.25">
      <c r="A311" s="16" t="s">
        <v>19803</v>
      </c>
      <c r="B311" s="16" t="s">
        <v>5384</v>
      </c>
      <c r="D311" s="16">
        <v>3</v>
      </c>
      <c r="E311" s="16" t="s">
        <v>597</v>
      </c>
      <c r="F311" s="16" t="str">
        <f>VLOOKUP(Table28[[#This Row],[Country]],Table10[[COUNTRY NAME]:[CONTINENT CODE]],3,FALSE)</f>
        <v>EU</v>
      </c>
      <c r="G311" s="16" t="s">
        <v>16879</v>
      </c>
      <c r="H311" s="181">
        <v>15140</v>
      </c>
      <c r="I311" s="180">
        <v>35.25</v>
      </c>
      <c r="K311" s="316">
        <f>IFERROR(Table28[[#This Row],[ROUTE COST]]/Table28[[#This Row],[O - DEMAND]],0)</f>
        <v>0</v>
      </c>
      <c r="M311" s="16">
        <f>Table28[[#This Row],[O - DEMAND]]/950</f>
        <v>0</v>
      </c>
      <c r="N311" s="16">
        <f>IFERROR(VLOOKUP(Table28[[#This Row],[ROUTE]],DEMAND!A:F,5,FALSE),0)</f>
        <v>0</v>
      </c>
      <c r="O311" s="16">
        <f>IFERROR(VLOOKUP(Table28[[#This Row],[ROUTE]],DEMAND!A:F,6,FALSE),0)</f>
        <v>0</v>
      </c>
      <c r="P311" s="16">
        <f>ROUNDDOWN(Table28[[#This Row],[R-DEMAND]]/950,0)</f>
        <v>0</v>
      </c>
      <c r="Q311" s="16">
        <f>Table28[[#This Row],[ADD ACC
(475/950)]]*Table28[[#This Row],[Duration
(A359)]]</f>
        <v>0</v>
      </c>
      <c r="R311" s="16">
        <f>IFERROR(VLOOKUP(Table28[[#This Row],[ROUTE]],PRICING!A:B,2,FALSE),0)</f>
        <v>0</v>
      </c>
      <c r="S311" s="16">
        <f>Table28[[#This Row],[C_DEMAND]]-Table28[[#This Row],[R-DEMAND]]</f>
        <v>0</v>
      </c>
      <c r="T311" s="316">
        <f>Table28[[#This Row],[SEATS SOLD]]*Table28[[#This Row],[ECO SEAT]]</f>
        <v>0</v>
      </c>
      <c r="U311" s="316">
        <f>Table28[[#This Row],[SEATS SOLD]]*(IFERROR(VLOOKUP(Table28[[#This Row],[ROUTE]],PRICING!A:C,3,FALSE),0))</f>
        <v>0</v>
      </c>
      <c r="V311" s="316">
        <f>Table28[[#This Row],[SEAT REV]]-Table28[[#This Row],[SEAT REV
(IF IDEAL $)]]</f>
        <v>0</v>
      </c>
      <c r="AA311" s="26"/>
      <c r="AB311" s="26"/>
      <c r="AC311" s="26"/>
      <c r="AD311" s="26"/>
      <c r="AE311" s="26"/>
      <c r="AS311" s="16" t="s">
        <v>567</v>
      </c>
      <c r="AT311" s="16" t="s">
        <v>12000</v>
      </c>
      <c r="AU311" s="16" t="s">
        <v>232</v>
      </c>
      <c r="AV311" s="16" t="s">
        <v>18884</v>
      </c>
      <c r="AW311" s="16" t="s">
        <v>18885</v>
      </c>
      <c r="AX311" s="16" t="s">
        <v>18886</v>
      </c>
      <c r="AY311" s="385">
        <v>11432</v>
      </c>
    </row>
    <row r="312" spans="1:51" x14ac:dyDescent="0.25">
      <c r="A312" s="16" t="s">
        <v>19203</v>
      </c>
      <c r="B312" s="16" t="s">
        <v>5149</v>
      </c>
      <c r="D312" s="16">
        <v>3</v>
      </c>
      <c r="E312" s="16" t="s">
        <v>14</v>
      </c>
      <c r="F312" s="16" t="str">
        <f>VLOOKUP(Table28[[#This Row],[Country]],Table10[[COUNTRY NAME]:[CONTINENT CODE]],3,FALSE)</f>
        <v>AS</v>
      </c>
      <c r="G312" s="16" t="s">
        <v>12019</v>
      </c>
      <c r="H312" s="181">
        <v>9244</v>
      </c>
      <c r="I312" s="180">
        <v>22.5</v>
      </c>
      <c r="K312" s="316">
        <f>IFERROR(Table28[[#This Row],[ROUTE COST]]/Table28[[#This Row],[O - DEMAND]],0)</f>
        <v>0</v>
      </c>
      <c r="M312" s="16">
        <f>Table28[[#This Row],[O - DEMAND]]/950</f>
        <v>0</v>
      </c>
      <c r="N312" s="16">
        <f>IFERROR(VLOOKUP(Table28[[#This Row],[ROUTE]],DEMAND!A:F,5,FALSE),0)</f>
        <v>0</v>
      </c>
      <c r="O312" s="16">
        <f>IFERROR(VLOOKUP(Table28[[#This Row],[ROUTE]],DEMAND!A:F,6,FALSE),0)</f>
        <v>0</v>
      </c>
      <c r="P312" s="16">
        <f>ROUNDDOWN(Table28[[#This Row],[R-DEMAND]]/950,0)</f>
        <v>0</v>
      </c>
      <c r="Q312" s="16">
        <f>Table28[[#This Row],[ADD ACC
(475/950)]]*Table28[[#This Row],[Duration
(A359)]]</f>
        <v>0</v>
      </c>
      <c r="R312" s="16">
        <f>IFERROR(VLOOKUP(Table28[[#This Row],[ROUTE]],PRICING!A:B,2,FALSE),0)</f>
        <v>0</v>
      </c>
      <c r="S312" s="16">
        <f>Table28[[#This Row],[C_DEMAND]]-Table28[[#This Row],[R-DEMAND]]</f>
        <v>0</v>
      </c>
      <c r="T312" s="316">
        <f>Table28[[#This Row],[SEATS SOLD]]*Table28[[#This Row],[ECO SEAT]]</f>
        <v>0</v>
      </c>
      <c r="U312" s="316">
        <f>Table28[[#This Row],[SEATS SOLD]]*(IFERROR(VLOOKUP(Table28[[#This Row],[ROUTE]],PRICING!A:C,3,FALSE),0))</f>
        <v>0</v>
      </c>
      <c r="V312" s="316">
        <f>Table28[[#This Row],[SEAT REV]]-Table28[[#This Row],[SEAT REV
(IF IDEAL $)]]</f>
        <v>0</v>
      </c>
      <c r="AA312" s="26"/>
      <c r="AB312" s="26"/>
      <c r="AC312" s="26"/>
      <c r="AD312" s="26"/>
      <c r="AE312" s="26"/>
      <c r="AS312" s="16" t="s">
        <v>542</v>
      </c>
      <c r="AT312" s="16" t="s">
        <v>11906</v>
      </c>
      <c r="AU312" s="16" t="s">
        <v>266</v>
      </c>
      <c r="AV312" s="16" t="s">
        <v>18884</v>
      </c>
      <c r="AX312" s="16" t="s">
        <v>18886</v>
      </c>
      <c r="AY312" s="385">
        <v>11448</v>
      </c>
    </row>
    <row r="313" spans="1:51" x14ac:dyDescent="0.25">
      <c r="A313" s="16" t="s">
        <v>19129</v>
      </c>
      <c r="B313" s="16" t="s">
        <v>5194</v>
      </c>
      <c r="D313" s="16">
        <v>3</v>
      </c>
      <c r="E313" s="16" t="s">
        <v>14</v>
      </c>
      <c r="F313" s="16" t="str">
        <f>VLOOKUP(Table28[[#This Row],[Country]],Table10[[COUNTRY NAME]:[CONTINENT CODE]],3,FALSE)</f>
        <v>AS</v>
      </c>
      <c r="G313" s="16" t="s">
        <v>12050</v>
      </c>
      <c r="H313" s="181">
        <v>8126</v>
      </c>
      <c r="I313" s="180">
        <v>20</v>
      </c>
      <c r="K313" s="316">
        <f>IFERROR(Table28[[#This Row],[ROUTE COST]]/Table28[[#This Row],[O - DEMAND]],0)</f>
        <v>0</v>
      </c>
      <c r="M313" s="16">
        <f>Table28[[#This Row],[O - DEMAND]]/950</f>
        <v>0</v>
      </c>
      <c r="N313" s="16">
        <f>IFERROR(VLOOKUP(Table28[[#This Row],[ROUTE]],DEMAND!A:F,5,FALSE),0)</f>
        <v>0</v>
      </c>
      <c r="O313" s="16">
        <f>IFERROR(VLOOKUP(Table28[[#This Row],[ROUTE]],DEMAND!A:F,6,FALSE),0)</f>
        <v>0</v>
      </c>
      <c r="P313" s="16">
        <f>ROUNDDOWN(Table28[[#This Row],[R-DEMAND]]/950,0)</f>
        <v>0</v>
      </c>
      <c r="Q313" s="16">
        <f>Table28[[#This Row],[ADD ACC
(475/950)]]*Table28[[#This Row],[Duration
(A359)]]</f>
        <v>0</v>
      </c>
      <c r="R313" s="16">
        <f>IFERROR(VLOOKUP(Table28[[#This Row],[ROUTE]],PRICING!A:B,2,FALSE),0)</f>
        <v>0</v>
      </c>
      <c r="S313" s="16">
        <f>Table28[[#This Row],[C_DEMAND]]-Table28[[#This Row],[R-DEMAND]]</f>
        <v>0</v>
      </c>
      <c r="T313" s="316">
        <f>Table28[[#This Row],[SEATS SOLD]]*Table28[[#This Row],[ECO SEAT]]</f>
        <v>0</v>
      </c>
      <c r="U313" s="316">
        <f>Table28[[#This Row],[SEATS SOLD]]*(IFERROR(VLOOKUP(Table28[[#This Row],[ROUTE]],PRICING!A:C,3,FALSE),0))</f>
        <v>0</v>
      </c>
      <c r="V313" s="316">
        <f>Table28[[#This Row],[SEAT REV]]-Table28[[#This Row],[SEAT REV
(IF IDEAL $)]]</f>
        <v>0</v>
      </c>
      <c r="AA313" s="26"/>
      <c r="AB313" s="26"/>
      <c r="AC313" s="26"/>
      <c r="AD313" s="26"/>
      <c r="AE313" s="26"/>
      <c r="AS313" s="16" t="s">
        <v>78</v>
      </c>
      <c r="AT313" s="16" t="s">
        <v>11954</v>
      </c>
      <c r="AU313" s="16" t="s">
        <v>4663</v>
      </c>
      <c r="AV313" s="16" t="s">
        <v>18884</v>
      </c>
      <c r="AW313" s="16" t="s">
        <v>18879</v>
      </c>
      <c r="AX313" s="16" t="s">
        <v>18886</v>
      </c>
      <c r="AY313" s="385">
        <v>11449</v>
      </c>
    </row>
    <row r="314" spans="1:51" x14ac:dyDescent="0.25">
      <c r="A314" s="16" t="s">
        <v>19106</v>
      </c>
      <c r="B314" s="16" t="s">
        <v>279</v>
      </c>
      <c r="C314" s="16" t="s">
        <v>467</v>
      </c>
      <c r="D314" s="16">
        <v>4</v>
      </c>
      <c r="E314" s="16" t="s">
        <v>14</v>
      </c>
      <c r="F314" s="16" t="str">
        <f>VLOOKUP(Table28[[#This Row],[Country]],Table10[[COUNTRY NAME]:[CONTINENT CODE]],3,FALSE)</f>
        <v>AS</v>
      </c>
      <c r="G314" s="16" t="s">
        <v>278</v>
      </c>
      <c r="H314" s="181">
        <v>7834</v>
      </c>
      <c r="I314" s="180">
        <v>19.25</v>
      </c>
      <c r="K314" s="316">
        <f>IFERROR(Table28[[#This Row],[ROUTE COST]]/Table28[[#This Row],[O - DEMAND]],0)</f>
        <v>0</v>
      </c>
      <c r="M314" s="16">
        <f>Table28[[#This Row],[O - DEMAND]]/950</f>
        <v>0</v>
      </c>
      <c r="N314" s="16">
        <f>IFERROR(VLOOKUP(Table28[[#This Row],[ROUTE]],DEMAND!A:F,5,FALSE),0)</f>
        <v>3099</v>
      </c>
      <c r="O314" s="16">
        <f>IFERROR(VLOOKUP(Table28[[#This Row],[ROUTE]],DEMAND!A:F,6,FALSE),0)</f>
        <v>249</v>
      </c>
      <c r="P314" s="16">
        <f>ROUNDDOWN(Table28[[#This Row],[R-DEMAND]]/950,0)</f>
        <v>0</v>
      </c>
      <c r="Q314" s="16">
        <f>Table28[[#This Row],[ADD ACC
(475/950)]]*Table28[[#This Row],[Duration
(A359)]]</f>
        <v>0</v>
      </c>
      <c r="R314" s="16">
        <f>IFERROR(VLOOKUP(Table28[[#This Row],[ROUTE]],PRICING!A:B,2,FALSE),0)</f>
        <v>0</v>
      </c>
      <c r="S314" s="16">
        <f>Table28[[#This Row],[C_DEMAND]]-Table28[[#This Row],[R-DEMAND]]</f>
        <v>2850</v>
      </c>
      <c r="T314" s="316">
        <f>Table28[[#This Row],[SEATS SOLD]]*Table28[[#This Row],[ECO SEAT]]</f>
        <v>0</v>
      </c>
      <c r="U314" s="316">
        <f>Table28[[#This Row],[SEATS SOLD]]*(IFERROR(VLOOKUP(Table28[[#This Row],[ROUTE]],PRICING!A:C,3,FALSE),0))</f>
        <v>0</v>
      </c>
      <c r="V314" s="316">
        <f>Table28[[#This Row],[SEAT REV]]-Table28[[#This Row],[SEAT REV
(IF IDEAL $)]]</f>
        <v>0</v>
      </c>
      <c r="AA314" s="26"/>
      <c r="AB314" s="26"/>
      <c r="AC314" s="26"/>
      <c r="AD314" s="26"/>
      <c r="AE314" s="26"/>
      <c r="AS314" s="16" t="s">
        <v>1531</v>
      </c>
      <c r="AT314" s="16" t="s">
        <v>6645</v>
      </c>
      <c r="AU314" s="16" t="s">
        <v>1533</v>
      </c>
      <c r="AV314" s="16" t="s">
        <v>18878</v>
      </c>
      <c r="AW314" s="16" t="s">
        <v>18890</v>
      </c>
      <c r="AX314" s="16" t="s">
        <v>18886</v>
      </c>
      <c r="AY314" s="385">
        <v>11453</v>
      </c>
    </row>
    <row r="315" spans="1:51" x14ac:dyDescent="0.25">
      <c r="A315" s="16" t="s">
        <v>19120</v>
      </c>
      <c r="B315" s="16" t="s">
        <v>3233</v>
      </c>
      <c r="D315" s="16">
        <v>2</v>
      </c>
      <c r="E315" s="16" t="s">
        <v>258</v>
      </c>
      <c r="F315" s="16" t="str">
        <f>VLOOKUP(Table28[[#This Row],[Country]],Table10[[COUNTRY NAME]:[CONTINENT CODE]],3,FALSE)</f>
        <v>AS</v>
      </c>
      <c r="G315" s="16" t="s">
        <v>16829</v>
      </c>
      <c r="H315" s="181">
        <v>8046</v>
      </c>
      <c r="I315" s="180">
        <v>19.75</v>
      </c>
      <c r="K315" s="316">
        <f>IFERROR(Table28[[#This Row],[ROUTE COST]]/Table28[[#This Row],[O - DEMAND]],0)</f>
        <v>0</v>
      </c>
      <c r="M315" s="16">
        <f>Table28[[#This Row],[O - DEMAND]]/950</f>
        <v>0</v>
      </c>
      <c r="N315" s="16">
        <f>IFERROR(VLOOKUP(Table28[[#This Row],[ROUTE]],DEMAND!A:F,5,FALSE),0)</f>
        <v>0</v>
      </c>
      <c r="O315" s="16">
        <f>IFERROR(VLOOKUP(Table28[[#This Row],[ROUTE]],DEMAND!A:F,6,FALSE),0)</f>
        <v>0</v>
      </c>
      <c r="P315" s="16">
        <f>ROUNDDOWN(Table28[[#This Row],[R-DEMAND]]/950,0)</f>
        <v>0</v>
      </c>
      <c r="Q315" s="16">
        <f>Table28[[#This Row],[ADD ACC
(475/950)]]*Table28[[#This Row],[Duration
(A359)]]</f>
        <v>0</v>
      </c>
      <c r="R315" s="16">
        <f>IFERROR(VLOOKUP(Table28[[#This Row],[ROUTE]],PRICING!A:B,2,FALSE),0)</f>
        <v>0</v>
      </c>
      <c r="S315" s="16">
        <f>Table28[[#This Row],[C_DEMAND]]-Table28[[#This Row],[R-DEMAND]]</f>
        <v>0</v>
      </c>
      <c r="T315" s="316">
        <f>Table28[[#This Row],[SEATS SOLD]]*Table28[[#This Row],[ECO SEAT]]</f>
        <v>0</v>
      </c>
      <c r="U315" s="316">
        <f>Table28[[#This Row],[SEATS SOLD]]*(IFERROR(VLOOKUP(Table28[[#This Row],[ROUTE]],PRICING!A:C,3,FALSE),0))</f>
        <v>0</v>
      </c>
      <c r="V315" s="316">
        <f>Table28[[#This Row],[SEAT REV]]-Table28[[#This Row],[SEAT REV
(IF IDEAL $)]]</f>
        <v>0</v>
      </c>
      <c r="AA315" s="26"/>
      <c r="AB315" s="26"/>
      <c r="AC315" s="26"/>
      <c r="AD315" s="26"/>
      <c r="AE315" s="26"/>
      <c r="AS315" s="16" t="s">
        <v>1289</v>
      </c>
      <c r="AT315" s="16" t="s">
        <v>11994</v>
      </c>
      <c r="AU315" s="16" t="s">
        <v>1291</v>
      </c>
      <c r="AV315" s="16" t="s">
        <v>18884</v>
      </c>
      <c r="AW315" s="16" t="s">
        <v>18890</v>
      </c>
      <c r="AX315" s="16" t="s">
        <v>18886</v>
      </c>
      <c r="AY315" s="385">
        <v>11453</v>
      </c>
    </row>
    <row r="316" spans="1:51" x14ac:dyDescent="0.25">
      <c r="A316" s="16" t="s">
        <v>19152</v>
      </c>
      <c r="B316" s="16" t="s">
        <v>5008</v>
      </c>
      <c r="C316" s="16" t="s">
        <v>467</v>
      </c>
      <c r="D316" s="16">
        <v>3</v>
      </c>
      <c r="E316" s="16" t="s">
        <v>142</v>
      </c>
      <c r="F316" s="16" t="str">
        <f>VLOOKUP(Table28[[#This Row],[Country]],Table10[[COUNTRY NAME]:[CONTINENT CODE]],3,FALSE)</f>
        <v>AS</v>
      </c>
      <c r="G316" s="16" t="s">
        <v>9502</v>
      </c>
      <c r="H316" s="181">
        <v>8487</v>
      </c>
      <c r="I316" s="180">
        <v>20.75</v>
      </c>
      <c r="K316" s="316">
        <f>IFERROR(Table28[[#This Row],[ROUTE COST]]/Table28[[#This Row],[O - DEMAND]],0)</f>
        <v>0</v>
      </c>
      <c r="M316" s="16">
        <f>Table28[[#This Row],[O - DEMAND]]/950</f>
        <v>0</v>
      </c>
      <c r="N316" s="16">
        <f>IFERROR(VLOOKUP(Table28[[#This Row],[ROUTE]],DEMAND!A:F,5,FALSE),0)</f>
        <v>2158</v>
      </c>
      <c r="O316" s="16">
        <f>IFERROR(VLOOKUP(Table28[[#This Row],[ROUTE]],DEMAND!A:F,6,FALSE),0)</f>
        <v>258</v>
      </c>
      <c r="P316" s="16">
        <f>ROUNDDOWN(Table28[[#This Row],[R-DEMAND]]/950,0)</f>
        <v>0</v>
      </c>
      <c r="Q316" s="16">
        <f>Table28[[#This Row],[ADD ACC
(475/950)]]*Table28[[#This Row],[Duration
(A359)]]</f>
        <v>0</v>
      </c>
      <c r="R316" s="16">
        <f>IFERROR(VLOOKUP(Table28[[#This Row],[ROUTE]],PRICING!A:B,2,FALSE),0)</f>
        <v>0</v>
      </c>
      <c r="S316" s="16">
        <f>Table28[[#This Row],[C_DEMAND]]-Table28[[#This Row],[R-DEMAND]]</f>
        <v>1900</v>
      </c>
      <c r="T316" s="316">
        <f>Table28[[#This Row],[SEATS SOLD]]*Table28[[#This Row],[ECO SEAT]]</f>
        <v>0</v>
      </c>
      <c r="U316" s="316">
        <f>Table28[[#This Row],[SEATS SOLD]]*(IFERROR(VLOOKUP(Table28[[#This Row],[ROUTE]],PRICING!A:C,3,FALSE),0))</f>
        <v>0</v>
      </c>
      <c r="V316" s="316">
        <f>Table28[[#This Row],[SEAT REV]]-Table28[[#This Row],[SEAT REV
(IF IDEAL $)]]</f>
        <v>0</v>
      </c>
      <c r="AA316" s="26"/>
      <c r="AB316" s="26"/>
      <c r="AC316" s="26"/>
      <c r="AD316" s="26"/>
      <c r="AE316" s="26"/>
      <c r="AS316" s="16" t="s">
        <v>542</v>
      </c>
      <c r="AT316" s="16" t="s">
        <v>16855</v>
      </c>
      <c r="AU316" s="16" t="s">
        <v>2533</v>
      </c>
      <c r="AV316" s="16" t="s">
        <v>18878</v>
      </c>
      <c r="AW316" s="16" t="s">
        <v>18879</v>
      </c>
      <c r="AX316" s="16" t="s">
        <v>18886</v>
      </c>
      <c r="AY316" s="385">
        <v>11478</v>
      </c>
    </row>
    <row r="317" spans="1:51" x14ac:dyDescent="0.25">
      <c r="A317" s="16" t="s">
        <v>19081</v>
      </c>
      <c r="B317" s="16" t="s">
        <v>277</v>
      </c>
      <c r="C317" s="16" t="s">
        <v>467</v>
      </c>
      <c r="D317" s="16">
        <v>5</v>
      </c>
      <c r="E317" s="16" t="s">
        <v>14</v>
      </c>
      <c r="F317" s="16" t="str">
        <f>VLOOKUP(Table28[[#This Row],[Country]],Table10[[COUNTRY NAME]:[CONTINENT CODE]],3,FALSE)</f>
        <v>AS</v>
      </c>
      <c r="G317" s="16" t="s">
        <v>11081</v>
      </c>
      <c r="H317" s="181">
        <v>7395</v>
      </c>
      <c r="I317" s="180">
        <v>18.25</v>
      </c>
      <c r="K317" s="316">
        <f>IFERROR(Table28[[#This Row],[ROUTE COST]]/Table28[[#This Row],[O - DEMAND]],0)</f>
        <v>0</v>
      </c>
      <c r="M317" s="16">
        <f>Table28[[#This Row],[O - DEMAND]]/950</f>
        <v>0</v>
      </c>
      <c r="N317" s="16">
        <f>IFERROR(VLOOKUP(Table28[[#This Row],[ROUTE]],DEMAND!A:F,5,FALSE),0)</f>
        <v>3456</v>
      </c>
      <c r="O317" s="16">
        <f>IFERROR(VLOOKUP(Table28[[#This Row],[ROUTE]],DEMAND!A:F,6,FALSE),0)</f>
        <v>606</v>
      </c>
      <c r="P317" s="16">
        <f>ROUNDDOWN(Table28[[#This Row],[R-DEMAND]]/950,0)</f>
        <v>0</v>
      </c>
      <c r="Q317" s="16">
        <f>Table28[[#This Row],[ADD ACC
(475/950)]]*Table28[[#This Row],[Duration
(A359)]]</f>
        <v>0</v>
      </c>
      <c r="R317" s="16">
        <f>IFERROR(VLOOKUP(Table28[[#This Row],[ROUTE]],PRICING!A:B,2,FALSE),0)</f>
        <v>0</v>
      </c>
      <c r="S317" s="16">
        <f>Table28[[#This Row],[C_DEMAND]]-Table28[[#This Row],[R-DEMAND]]</f>
        <v>2850</v>
      </c>
      <c r="T317" s="316">
        <f>Table28[[#This Row],[SEATS SOLD]]*Table28[[#This Row],[ECO SEAT]]</f>
        <v>0</v>
      </c>
      <c r="U317" s="316">
        <f>Table28[[#This Row],[SEATS SOLD]]*(IFERROR(VLOOKUP(Table28[[#This Row],[ROUTE]],PRICING!A:C,3,FALSE),0))</f>
        <v>0</v>
      </c>
      <c r="V317" s="316">
        <f>Table28[[#This Row],[SEAT REV]]-Table28[[#This Row],[SEAT REV
(IF IDEAL $)]]</f>
        <v>0</v>
      </c>
      <c r="AA317" s="26"/>
      <c r="AB317" s="26"/>
      <c r="AC317" s="26"/>
      <c r="AD317" s="26"/>
      <c r="AE317" s="26"/>
      <c r="AS317" s="16" t="s">
        <v>11669</v>
      </c>
      <c r="AT317" s="16" t="s">
        <v>13134</v>
      </c>
      <c r="AU317" s="16" t="s">
        <v>4412</v>
      </c>
      <c r="AV317" s="16" t="s">
        <v>18892</v>
      </c>
      <c r="AW317" s="16" t="s">
        <v>18879</v>
      </c>
      <c r="AX317" s="16" t="s">
        <v>18886</v>
      </c>
      <c r="AY317" s="385">
        <v>11498</v>
      </c>
    </row>
    <row r="318" spans="1:51" x14ac:dyDescent="0.25">
      <c r="A318" s="16" t="s">
        <v>19072</v>
      </c>
      <c r="B318" s="16" t="s">
        <v>275</v>
      </c>
      <c r="C318" s="16" t="s">
        <v>467</v>
      </c>
      <c r="D318" s="16">
        <v>3</v>
      </c>
      <c r="E318" s="16" t="s">
        <v>332</v>
      </c>
      <c r="F318" s="16" t="str">
        <f>VLOOKUP(Table28[[#This Row],[Country]],Table10[[COUNTRY NAME]:[CONTINENT CODE]],3,FALSE)</f>
        <v>AS</v>
      </c>
      <c r="G318" s="16" t="s">
        <v>12104</v>
      </c>
      <c r="H318" s="181">
        <v>7268</v>
      </c>
      <c r="I318" s="180">
        <v>18</v>
      </c>
      <c r="K318" s="316">
        <f>IFERROR(Table28[[#This Row],[ROUTE COST]]/Table28[[#This Row],[O - DEMAND]],0)</f>
        <v>0</v>
      </c>
      <c r="M318" s="16">
        <f>Table28[[#This Row],[O - DEMAND]]/950</f>
        <v>0</v>
      </c>
      <c r="N318" s="16">
        <f>IFERROR(VLOOKUP(Table28[[#This Row],[ROUTE]],DEMAND!A:F,5,FALSE),0)</f>
        <v>2978</v>
      </c>
      <c r="O318" s="16">
        <f>IFERROR(VLOOKUP(Table28[[#This Row],[ROUTE]],DEMAND!A:F,6,FALSE),0)</f>
        <v>128</v>
      </c>
      <c r="P318" s="16">
        <f>ROUNDDOWN(Table28[[#This Row],[R-DEMAND]]/950,0)</f>
        <v>0</v>
      </c>
      <c r="Q318" s="16">
        <f>Table28[[#This Row],[ADD ACC
(475/950)]]*Table28[[#This Row],[Duration
(A359)]]</f>
        <v>0</v>
      </c>
      <c r="R318" s="16">
        <f>IFERROR(VLOOKUP(Table28[[#This Row],[ROUTE]],PRICING!A:B,2,FALSE),0)</f>
        <v>0</v>
      </c>
      <c r="S318" s="16">
        <f>Table28[[#This Row],[C_DEMAND]]-Table28[[#This Row],[R-DEMAND]]</f>
        <v>2850</v>
      </c>
      <c r="T318" s="316">
        <f>Table28[[#This Row],[SEATS SOLD]]*Table28[[#This Row],[ECO SEAT]]</f>
        <v>0</v>
      </c>
      <c r="U318" s="316">
        <f>Table28[[#This Row],[SEATS SOLD]]*(IFERROR(VLOOKUP(Table28[[#This Row],[ROUTE]],PRICING!A:C,3,FALSE),0))</f>
        <v>0</v>
      </c>
      <c r="V318" s="316">
        <f>Table28[[#This Row],[SEAT REV]]-Table28[[#This Row],[SEAT REV
(IF IDEAL $)]]</f>
        <v>0</v>
      </c>
      <c r="AA318" s="26"/>
      <c r="AB318" s="26"/>
      <c r="AC318" s="26"/>
      <c r="AD318" s="26"/>
      <c r="AE318" s="26"/>
      <c r="AS318" s="16" t="s">
        <v>567</v>
      </c>
      <c r="AT318" s="16" t="s">
        <v>11998</v>
      </c>
      <c r="AU318" s="16" t="s">
        <v>3674</v>
      </c>
      <c r="AV318" s="16" t="s">
        <v>18881</v>
      </c>
      <c r="AW318" s="16" t="s">
        <v>18879</v>
      </c>
      <c r="AX318" s="16" t="s">
        <v>18883</v>
      </c>
      <c r="AY318" s="385">
        <v>11516</v>
      </c>
    </row>
    <row r="319" spans="1:51" x14ac:dyDescent="0.25">
      <c r="A319" s="16" t="s">
        <v>19286</v>
      </c>
      <c r="B319" s="16" t="s">
        <v>273</v>
      </c>
      <c r="D319" s="16">
        <v>2</v>
      </c>
      <c r="E319" s="16" t="s">
        <v>926</v>
      </c>
      <c r="F319" s="16" t="str">
        <f>VLOOKUP(Table28[[#This Row],[Country]],Table10[[COUNTRY NAME]:[CONTINENT CODE]],3,FALSE)</f>
        <v>AF</v>
      </c>
      <c r="G319" s="16" t="s">
        <v>11889</v>
      </c>
      <c r="H319" s="181">
        <v>11065</v>
      </c>
      <c r="I319" s="180">
        <v>26.5</v>
      </c>
      <c r="K319" s="316">
        <f>IFERROR(Table28[[#This Row],[ROUTE COST]]/Table28[[#This Row],[O - DEMAND]],0)</f>
        <v>0</v>
      </c>
      <c r="M319" s="16">
        <f>Table28[[#This Row],[O - DEMAND]]/950</f>
        <v>0</v>
      </c>
      <c r="N319" s="16">
        <f>IFERROR(VLOOKUP(Table28[[#This Row],[ROUTE]],DEMAND!A:F,5,FALSE),0)</f>
        <v>0</v>
      </c>
      <c r="O319" s="16">
        <f>IFERROR(VLOOKUP(Table28[[#This Row],[ROUTE]],DEMAND!A:F,6,FALSE),0)</f>
        <v>0</v>
      </c>
      <c r="P319" s="16">
        <f>ROUNDDOWN(Table28[[#This Row],[R-DEMAND]]/950,0)</f>
        <v>0</v>
      </c>
      <c r="Q319" s="16">
        <f>Table28[[#This Row],[ADD ACC
(475/950)]]*Table28[[#This Row],[Duration
(A359)]]</f>
        <v>0</v>
      </c>
      <c r="R319" s="16">
        <f>IFERROR(VLOOKUP(Table28[[#This Row],[ROUTE]],PRICING!A:B,2,FALSE),0)</f>
        <v>0</v>
      </c>
      <c r="S319" s="16">
        <f>Table28[[#This Row],[C_DEMAND]]-Table28[[#This Row],[R-DEMAND]]</f>
        <v>0</v>
      </c>
      <c r="T319" s="316">
        <f>Table28[[#This Row],[SEATS SOLD]]*Table28[[#This Row],[ECO SEAT]]</f>
        <v>0</v>
      </c>
      <c r="U319" s="316">
        <f>Table28[[#This Row],[SEATS SOLD]]*(IFERROR(VLOOKUP(Table28[[#This Row],[ROUTE]],PRICING!A:C,3,FALSE),0))</f>
        <v>0</v>
      </c>
      <c r="V319" s="316">
        <f>Table28[[#This Row],[SEAT REV]]-Table28[[#This Row],[SEAT REV
(IF IDEAL $)]]</f>
        <v>0</v>
      </c>
      <c r="AA319" s="26"/>
      <c r="AB319" s="26"/>
      <c r="AC319" s="26"/>
      <c r="AD319" s="26"/>
      <c r="AE319" s="26"/>
      <c r="AS319" s="16" t="s">
        <v>3265</v>
      </c>
      <c r="AT319" s="16" t="s">
        <v>16846</v>
      </c>
      <c r="AU319" s="16" t="s">
        <v>3267</v>
      </c>
      <c r="AV319" s="16" t="s">
        <v>18878</v>
      </c>
      <c r="AW319" s="16" t="s">
        <v>18879</v>
      </c>
      <c r="AX319" s="16" t="s">
        <v>18883</v>
      </c>
      <c r="AY319" s="385">
        <v>11533</v>
      </c>
    </row>
    <row r="320" spans="1:51" x14ac:dyDescent="0.25">
      <c r="A320" s="16" t="s">
        <v>19226</v>
      </c>
      <c r="B320" s="16" t="s">
        <v>4114</v>
      </c>
      <c r="E320" s="16" t="s">
        <v>14</v>
      </c>
      <c r="F320" s="16" t="str">
        <f>VLOOKUP(Table28[[#This Row],[Country]],Table10[[COUNTRY NAME]:[CONTINENT CODE]],3,FALSE)</f>
        <v>AS</v>
      </c>
      <c r="G320" s="16" t="s">
        <v>16848</v>
      </c>
      <c r="H320" s="181">
        <v>9754</v>
      </c>
      <c r="I320" s="180">
        <v>23.5</v>
      </c>
      <c r="K320" s="316">
        <f>IFERROR(Table28[[#This Row],[ROUTE COST]]/Table28[[#This Row],[O - DEMAND]],0)</f>
        <v>0</v>
      </c>
      <c r="M320" s="16">
        <f>Table28[[#This Row],[O - DEMAND]]/950</f>
        <v>0</v>
      </c>
      <c r="N320" s="16">
        <f>IFERROR(VLOOKUP(Table28[[#This Row],[ROUTE]],DEMAND!A:F,5,FALSE),0)</f>
        <v>0</v>
      </c>
      <c r="O320" s="16">
        <f>IFERROR(VLOOKUP(Table28[[#This Row],[ROUTE]],DEMAND!A:F,6,FALSE),0)</f>
        <v>0</v>
      </c>
      <c r="P320" s="16">
        <f>ROUNDDOWN(Table28[[#This Row],[R-DEMAND]]/950,0)</f>
        <v>0</v>
      </c>
      <c r="Q320" s="16">
        <f>Table28[[#This Row],[ADD ACC
(475/950)]]*Table28[[#This Row],[Duration
(A359)]]</f>
        <v>0</v>
      </c>
      <c r="R320" s="16">
        <f>IFERROR(VLOOKUP(Table28[[#This Row],[ROUTE]],PRICING!A:B,2,FALSE),0)</f>
        <v>0</v>
      </c>
      <c r="S320" s="16">
        <f>Table28[[#This Row],[C_DEMAND]]-Table28[[#This Row],[R-DEMAND]]</f>
        <v>0</v>
      </c>
      <c r="T320" s="316">
        <f>Table28[[#This Row],[SEATS SOLD]]*Table28[[#This Row],[ECO SEAT]]</f>
        <v>0</v>
      </c>
      <c r="U320" s="316">
        <f>Table28[[#This Row],[SEATS SOLD]]*(IFERROR(VLOOKUP(Table28[[#This Row],[ROUTE]],PRICING!A:C,3,FALSE),0))</f>
        <v>0</v>
      </c>
      <c r="V320" s="316">
        <f>Table28[[#This Row],[SEAT REV]]-Table28[[#This Row],[SEAT REV
(IF IDEAL $)]]</f>
        <v>0</v>
      </c>
      <c r="AA320" s="26"/>
      <c r="AB320" s="26"/>
      <c r="AC320" s="26"/>
      <c r="AD320" s="26"/>
      <c r="AE320" s="26"/>
      <c r="AS320" s="16" t="s">
        <v>3293</v>
      </c>
      <c r="AT320" s="16" t="s">
        <v>11917</v>
      </c>
      <c r="AU320" s="16" t="s">
        <v>3295</v>
      </c>
      <c r="AV320" s="16" t="s">
        <v>18884</v>
      </c>
      <c r="AW320" s="16" t="s">
        <v>18879</v>
      </c>
      <c r="AX320" s="16" t="s">
        <v>18883</v>
      </c>
      <c r="AY320" s="385">
        <v>11539</v>
      </c>
    </row>
    <row r="321" spans="1:51" x14ac:dyDescent="0.25">
      <c r="A321" s="16" t="s">
        <v>19509</v>
      </c>
      <c r="B321" s="16" t="s">
        <v>3179</v>
      </c>
      <c r="D321" s="16">
        <v>2</v>
      </c>
      <c r="E321" s="16" t="s">
        <v>11732</v>
      </c>
      <c r="F321" s="16" t="str">
        <f>VLOOKUP(Table28[[#This Row],[Country]],Table10[[COUNTRY NAME]:[CONTINENT CODE]],3,FALSE)</f>
        <v>NA - US</v>
      </c>
      <c r="G321" s="16" t="s">
        <v>16949</v>
      </c>
      <c r="H321" s="181">
        <v>13154</v>
      </c>
      <c r="I321" s="180">
        <v>31</v>
      </c>
      <c r="K321" s="316">
        <f>IFERROR(Table28[[#This Row],[ROUTE COST]]/Table28[[#This Row],[O - DEMAND]],0)</f>
        <v>0</v>
      </c>
      <c r="M321" s="180">
        <f>Table28[[#This Row],[O - DEMAND]]/950</f>
        <v>0</v>
      </c>
      <c r="N321" s="16">
        <f>IFERROR(VLOOKUP(Table28[[#This Row],[ROUTE]],DEMAND!A:F,5,FALSE),0)</f>
        <v>0</v>
      </c>
      <c r="O321" s="16">
        <f>IFERROR(VLOOKUP(Table28[[#This Row],[ROUTE]],DEMAND!A:F,6,FALSE),0)</f>
        <v>0</v>
      </c>
      <c r="P321" s="16">
        <f>ROUNDDOWN(Table28[[#This Row],[R-DEMAND]]/950,0)</f>
        <v>0</v>
      </c>
      <c r="Q321" s="16">
        <f>Table28[[#This Row],[ADD ACC
(475/950)]]*Table28[[#This Row],[Duration
(A359)]]</f>
        <v>0</v>
      </c>
      <c r="R321" s="16">
        <f>IFERROR(VLOOKUP(Table28[[#This Row],[ROUTE]],PRICING!A:B,2,FALSE),0)</f>
        <v>0</v>
      </c>
      <c r="S321" s="16">
        <f>Table28[[#This Row],[C_DEMAND]]-Table28[[#This Row],[R-DEMAND]]</f>
        <v>0</v>
      </c>
      <c r="T321" s="316">
        <f>Table28[[#This Row],[SEATS SOLD]]*Table28[[#This Row],[ECO SEAT]]</f>
        <v>0</v>
      </c>
      <c r="U321" s="316">
        <f>Table28[[#This Row],[SEATS SOLD]]*(IFERROR(VLOOKUP(Table28[[#This Row],[ROUTE]],PRICING!A:C,3,FALSE),0))</f>
        <v>0</v>
      </c>
      <c r="V321" s="316">
        <f>Table28[[#This Row],[SEAT REV]]-Table28[[#This Row],[SEAT REV
(IF IDEAL $)]]</f>
        <v>0</v>
      </c>
      <c r="AA321" s="26"/>
      <c r="AB321" s="26"/>
      <c r="AC321" s="26"/>
      <c r="AD321" s="26"/>
      <c r="AE321" s="26"/>
      <c r="AS321" s="16" t="s">
        <v>1516</v>
      </c>
      <c r="AT321" s="16" t="s">
        <v>11939</v>
      </c>
      <c r="AU321" s="16" t="s">
        <v>4716</v>
      </c>
      <c r="AV321" s="16" t="s">
        <v>18892</v>
      </c>
      <c r="AW321" s="16" t="s">
        <v>18885</v>
      </c>
      <c r="AX321" s="16" t="s">
        <v>18883</v>
      </c>
      <c r="AY321" s="385">
        <v>11563</v>
      </c>
    </row>
    <row r="322" spans="1:51" x14ac:dyDescent="0.25">
      <c r="A322" s="16" t="s">
        <v>19034</v>
      </c>
      <c r="B322" s="16" t="s">
        <v>272</v>
      </c>
      <c r="D322" s="16">
        <v>2</v>
      </c>
      <c r="E322" s="16" t="s">
        <v>1261</v>
      </c>
      <c r="F322" s="16" t="str">
        <f>VLOOKUP(Table28[[#This Row],[Country]],Table10[[COUNTRY NAME]:[CONTINENT CODE]],3,FALSE)</f>
        <v>AS</v>
      </c>
      <c r="G322" s="16" t="s">
        <v>12117</v>
      </c>
      <c r="H322" s="181">
        <v>5490</v>
      </c>
      <c r="I322" s="180">
        <v>14.25</v>
      </c>
      <c r="K322" s="316">
        <f>IFERROR(Table28[[#This Row],[ROUTE COST]]/Table28[[#This Row],[O - DEMAND]],0)</f>
        <v>0</v>
      </c>
      <c r="M322" s="16">
        <f>Table28[[#This Row],[O - DEMAND]]/950</f>
        <v>0</v>
      </c>
      <c r="N322" s="16">
        <f>IFERROR(VLOOKUP(Table28[[#This Row],[ROUTE]],DEMAND!A:F,5,FALSE),0)</f>
        <v>0</v>
      </c>
      <c r="O322" s="16">
        <f>IFERROR(VLOOKUP(Table28[[#This Row],[ROUTE]],DEMAND!A:F,6,FALSE),0)</f>
        <v>0</v>
      </c>
      <c r="P322" s="16">
        <f>ROUNDDOWN(Table28[[#This Row],[R-DEMAND]]/950,0)</f>
        <v>0</v>
      </c>
      <c r="Q322" s="16">
        <f>Table28[[#This Row],[ADD ACC
(475/950)]]*Table28[[#This Row],[Duration
(A359)]]</f>
        <v>0</v>
      </c>
      <c r="R322" s="16">
        <f>IFERROR(VLOOKUP(Table28[[#This Row],[ROUTE]],PRICING!A:B,2,FALSE),0)</f>
        <v>0</v>
      </c>
      <c r="S322" s="16">
        <f>Table28[[#This Row],[C_DEMAND]]-Table28[[#This Row],[R-DEMAND]]</f>
        <v>0</v>
      </c>
      <c r="T322" s="316">
        <f>Table28[[#This Row],[SEATS SOLD]]*Table28[[#This Row],[ECO SEAT]]</f>
        <v>0</v>
      </c>
      <c r="U322" s="316">
        <f>Table28[[#This Row],[SEATS SOLD]]*(IFERROR(VLOOKUP(Table28[[#This Row],[ROUTE]],PRICING!A:C,3,FALSE),0))</f>
        <v>0</v>
      </c>
      <c r="V322" s="316">
        <f>Table28[[#This Row],[SEAT REV]]-Table28[[#This Row],[SEAT REV
(IF IDEAL $)]]</f>
        <v>0</v>
      </c>
      <c r="AA322" s="26"/>
      <c r="AB322" s="26"/>
      <c r="AC322" s="26"/>
      <c r="AD322" s="26"/>
      <c r="AE322" s="26"/>
      <c r="AS322" s="16" t="s">
        <v>3265</v>
      </c>
      <c r="AT322" s="16" t="s">
        <v>11985</v>
      </c>
      <c r="AU322" s="16" t="s">
        <v>4239</v>
      </c>
      <c r="AV322" s="16" t="s">
        <v>18884</v>
      </c>
      <c r="AW322" s="16" t="s">
        <v>18879</v>
      </c>
      <c r="AX322" s="16" t="s">
        <v>18883</v>
      </c>
      <c r="AY322" s="385">
        <v>11566</v>
      </c>
    </row>
    <row r="323" spans="1:51" x14ac:dyDescent="0.25">
      <c r="A323" s="16" t="s">
        <v>19104</v>
      </c>
      <c r="B323" s="16" t="s">
        <v>270</v>
      </c>
      <c r="C323" s="16" t="s">
        <v>467</v>
      </c>
      <c r="D323" s="16">
        <v>5</v>
      </c>
      <c r="E323" s="16" t="s">
        <v>142</v>
      </c>
      <c r="F323" s="16" t="str">
        <f>VLOOKUP(Table28[[#This Row],[Country]],Table10[[COUNTRY NAME]:[CONTINENT CODE]],3,FALSE)</f>
        <v>AS</v>
      </c>
      <c r="G323" s="16" t="s">
        <v>269</v>
      </c>
      <c r="H323" s="181">
        <v>7820</v>
      </c>
      <c r="I323" s="180">
        <v>19.25</v>
      </c>
      <c r="K323" s="316">
        <f>IFERROR(Table28[[#This Row],[ROUTE COST]]/Table28[[#This Row],[O - DEMAND]],0)</f>
        <v>0</v>
      </c>
      <c r="M323" s="16">
        <f>Table28[[#This Row],[O - DEMAND]]/950</f>
        <v>0</v>
      </c>
      <c r="N323" s="16">
        <f>IFERROR(VLOOKUP(Table28[[#This Row],[ROUTE]],DEMAND!A:F,5,FALSE),0)</f>
        <v>2912</v>
      </c>
      <c r="O323" s="16">
        <f>IFERROR(VLOOKUP(Table28[[#This Row],[ROUTE]],DEMAND!A:F,6,FALSE),0)</f>
        <v>62</v>
      </c>
      <c r="P323" s="16">
        <f>ROUNDDOWN(Table28[[#This Row],[R-DEMAND]]/950,0)</f>
        <v>0</v>
      </c>
      <c r="Q323" s="16">
        <f>Table28[[#This Row],[ADD ACC
(475/950)]]*Table28[[#This Row],[Duration
(A359)]]</f>
        <v>0</v>
      </c>
      <c r="R323" s="16">
        <f>IFERROR(VLOOKUP(Table28[[#This Row],[ROUTE]],PRICING!A:B,2,FALSE),0)</f>
        <v>0</v>
      </c>
      <c r="S323" s="16">
        <f>Table28[[#This Row],[C_DEMAND]]-Table28[[#This Row],[R-DEMAND]]</f>
        <v>2850</v>
      </c>
      <c r="T323" s="316">
        <f>Table28[[#This Row],[SEATS SOLD]]*Table28[[#This Row],[ECO SEAT]]</f>
        <v>0</v>
      </c>
      <c r="U323" s="316">
        <f>Table28[[#This Row],[SEATS SOLD]]*(IFERROR(VLOOKUP(Table28[[#This Row],[ROUTE]],PRICING!A:C,3,FALSE),0))</f>
        <v>0</v>
      </c>
      <c r="V323" s="316">
        <f>Table28[[#This Row],[SEAT REV]]-Table28[[#This Row],[SEAT REV
(IF IDEAL $)]]</f>
        <v>0</v>
      </c>
      <c r="AA323" s="26"/>
      <c r="AB323" s="26"/>
      <c r="AC323" s="26"/>
      <c r="AD323" s="26"/>
      <c r="AE323" s="26"/>
      <c r="AS323" s="16" t="s">
        <v>11669</v>
      </c>
      <c r="AT323" s="16" t="s">
        <v>13135</v>
      </c>
      <c r="AU323" s="16" t="s">
        <v>1596</v>
      </c>
      <c r="AV323" s="16" t="s">
        <v>18892</v>
      </c>
      <c r="AW323" s="16" t="s">
        <v>18890</v>
      </c>
      <c r="AX323" s="16" t="s">
        <v>18883</v>
      </c>
      <c r="AY323" s="385">
        <v>11578</v>
      </c>
    </row>
    <row r="324" spans="1:51" x14ac:dyDescent="0.25">
      <c r="A324" s="16" t="s">
        <v>19131</v>
      </c>
      <c r="B324" s="16" t="s">
        <v>485</v>
      </c>
      <c r="C324" s="16" t="s">
        <v>467</v>
      </c>
      <c r="D324" s="16">
        <v>4</v>
      </c>
      <c r="E324" s="16" t="s">
        <v>11732</v>
      </c>
      <c r="F324" s="16" t="str">
        <f>VLOOKUP(Table28[[#This Row],[Country]],Table10[[COUNTRY NAME]:[CONTINENT CODE]],3,FALSE)</f>
        <v>NA - US</v>
      </c>
      <c r="G324" s="16" t="s">
        <v>11080</v>
      </c>
      <c r="H324" s="181">
        <v>8172</v>
      </c>
      <c r="I324" s="180">
        <v>20</v>
      </c>
      <c r="K324" s="316">
        <f>IFERROR(Table28[[#This Row],[ROUTE COST]]/Table28[[#This Row],[O - DEMAND]],0)</f>
        <v>0</v>
      </c>
      <c r="M324" s="180">
        <f>Table28[[#This Row],[O - DEMAND]]/950</f>
        <v>0</v>
      </c>
      <c r="N324" s="16">
        <f>IFERROR(VLOOKUP(Table28[[#This Row],[ROUTE]],DEMAND!A:F,5,FALSE),0)</f>
        <v>2128</v>
      </c>
      <c r="O324" s="16">
        <f>IFERROR(VLOOKUP(Table28[[#This Row],[ROUTE]],DEMAND!A:F,6,FALSE),0)</f>
        <v>228</v>
      </c>
      <c r="P324" s="16">
        <f>ROUNDDOWN(Table28[[#This Row],[R-DEMAND]]/950,0)</f>
        <v>0</v>
      </c>
      <c r="Q324" s="16">
        <f>Table28[[#This Row],[ADD ACC
(475/950)]]*Table28[[#This Row],[Duration
(A359)]]</f>
        <v>0</v>
      </c>
      <c r="R324" s="16">
        <f>IFERROR(VLOOKUP(Table28[[#This Row],[ROUTE]],PRICING!A:B,2,FALSE),0)</f>
        <v>0</v>
      </c>
      <c r="S324" s="16">
        <f>Table28[[#This Row],[C_DEMAND]]-Table28[[#This Row],[R-DEMAND]]</f>
        <v>1900</v>
      </c>
      <c r="T324" s="316">
        <f>Table28[[#This Row],[SEATS SOLD]]*Table28[[#This Row],[ECO SEAT]]</f>
        <v>0</v>
      </c>
      <c r="U324" s="316">
        <f>Table28[[#This Row],[SEATS SOLD]]*(IFERROR(VLOOKUP(Table28[[#This Row],[ROUTE]],PRICING!A:C,3,FALSE),0))</f>
        <v>0</v>
      </c>
      <c r="V324" s="316">
        <f>Table28[[#This Row],[SEAT REV]]-Table28[[#This Row],[SEAT REV
(IF IDEAL $)]]</f>
        <v>0</v>
      </c>
      <c r="AA324" s="26"/>
      <c r="AB324" s="26"/>
      <c r="AC324" s="26"/>
      <c r="AD324" s="26"/>
      <c r="AE324" s="26"/>
      <c r="AS324" s="16" t="s">
        <v>1513</v>
      </c>
      <c r="AT324" s="16" t="s">
        <v>11963</v>
      </c>
      <c r="AU324" s="16" t="s">
        <v>2258</v>
      </c>
      <c r="AV324" s="16" t="s">
        <v>18881</v>
      </c>
      <c r="AW324" s="16" t="s">
        <v>18890</v>
      </c>
      <c r="AX324" s="16" t="s">
        <v>18883</v>
      </c>
      <c r="AY324" s="385">
        <v>11596</v>
      </c>
    </row>
    <row r="325" spans="1:51" x14ac:dyDescent="0.25">
      <c r="A325" s="16" t="s">
        <v>19418</v>
      </c>
      <c r="B325" s="16" t="s">
        <v>1475</v>
      </c>
      <c r="D325" s="16">
        <v>1</v>
      </c>
      <c r="E325" s="16" t="s">
        <v>1289</v>
      </c>
      <c r="F325" s="16" t="str">
        <f>VLOOKUP(Table28[[#This Row],[Country]],Table10[[COUNTRY NAME]:[CONTINENT CODE]],3,FALSE)</f>
        <v>AS</v>
      </c>
      <c r="G325" s="16" t="s">
        <v>11942</v>
      </c>
      <c r="H325" s="181">
        <v>12582</v>
      </c>
      <c r="I325" s="180">
        <v>29.75</v>
      </c>
      <c r="K325" s="316">
        <f>IFERROR(Table28[[#This Row],[ROUTE COST]]/Table28[[#This Row],[O - DEMAND]],0)</f>
        <v>0</v>
      </c>
      <c r="M325" s="16">
        <f>Table28[[#This Row],[O - DEMAND]]/950</f>
        <v>0</v>
      </c>
      <c r="N325" s="16">
        <f>IFERROR(VLOOKUP(Table28[[#This Row],[ROUTE]],DEMAND!A:F,5,FALSE),0)</f>
        <v>0</v>
      </c>
      <c r="O325" s="16">
        <f>IFERROR(VLOOKUP(Table28[[#This Row],[ROUTE]],DEMAND!A:F,6,FALSE),0)</f>
        <v>0</v>
      </c>
      <c r="P325" s="16">
        <f>ROUNDDOWN(Table28[[#This Row],[R-DEMAND]]/950,0)</f>
        <v>0</v>
      </c>
      <c r="Q325" s="16">
        <f>Table28[[#This Row],[ADD ACC
(475/950)]]*Table28[[#This Row],[Duration
(A359)]]</f>
        <v>0</v>
      </c>
      <c r="R325" s="16">
        <f>IFERROR(VLOOKUP(Table28[[#This Row],[ROUTE]],PRICING!A:B,2,FALSE),0)</f>
        <v>0</v>
      </c>
      <c r="S325" s="16">
        <f>Table28[[#This Row],[C_DEMAND]]-Table28[[#This Row],[R-DEMAND]]</f>
        <v>0</v>
      </c>
      <c r="T325" s="316">
        <f>Table28[[#This Row],[SEATS SOLD]]*Table28[[#This Row],[ECO SEAT]]</f>
        <v>0</v>
      </c>
      <c r="U325" s="316">
        <f>Table28[[#This Row],[SEATS SOLD]]*(IFERROR(VLOOKUP(Table28[[#This Row],[ROUTE]],PRICING!A:C,3,FALSE),0))</f>
        <v>0</v>
      </c>
      <c r="V325" s="316">
        <f>Table28[[#This Row],[SEAT REV]]-Table28[[#This Row],[SEAT REV
(IF IDEAL $)]]</f>
        <v>0</v>
      </c>
      <c r="AA325" s="26"/>
      <c r="AB325" s="26"/>
      <c r="AC325" s="26"/>
      <c r="AD325" s="26"/>
      <c r="AE325" s="26"/>
      <c r="AS325" s="16" t="s">
        <v>588</v>
      </c>
      <c r="AT325" s="16" t="s">
        <v>11966</v>
      </c>
      <c r="AU325" s="16" t="s">
        <v>1335</v>
      </c>
      <c r="AV325" s="16" t="s">
        <v>18881</v>
      </c>
      <c r="AW325" s="16" t="s">
        <v>18890</v>
      </c>
      <c r="AX325" s="16" t="s">
        <v>18882</v>
      </c>
      <c r="AY325" s="385">
        <v>11667</v>
      </c>
    </row>
    <row r="326" spans="1:51" x14ac:dyDescent="0.25">
      <c r="A326" s="16" t="s">
        <v>19417</v>
      </c>
      <c r="B326" s="16" t="s">
        <v>1703</v>
      </c>
      <c r="D326" s="16">
        <v>1</v>
      </c>
      <c r="E326" s="16" t="s">
        <v>172</v>
      </c>
      <c r="F326" s="16" t="str">
        <f>VLOOKUP(Table28[[#This Row],[Country]],Table10[[COUNTRY NAME]:[CONTINENT CODE]],3,FALSE)</f>
        <v>AS</v>
      </c>
      <c r="G326" s="16" t="s">
        <v>11952</v>
      </c>
      <c r="H326" s="181">
        <v>12567</v>
      </c>
      <c r="I326" s="180">
        <v>29.75</v>
      </c>
      <c r="K326" s="316">
        <f>IFERROR(Table28[[#This Row],[ROUTE COST]]/Table28[[#This Row],[O - DEMAND]],0)</f>
        <v>0</v>
      </c>
      <c r="M326" s="16">
        <f>Table28[[#This Row],[O - DEMAND]]/950</f>
        <v>0</v>
      </c>
      <c r="N326" s="16">
        <f>IFERROR(VLOOKUP(Table28[[#This Row],[ROUTE]],DEMAND!A:F,5,FALSE),0)</f>
        <v>0</v>
      </c>
      <c r="O326" s="16">
        <f>IFERROR(VLOOKUP(Table28[[#This Row],[ROUTE]],DEMAND!A:F,6,FALSE),0)</f>
        <v>0</v>
      </c>
      <c r="P326" s="16">
        <f>ROUNDDOWN(Table28[[#This Row],[R-DEMAND]]/950,0)</f>
        <v>0</v>
      </c>
      <c r="Q326" s="16">
        <f>Table28[[#This Row],[ADD ACC
(475/950)]]*Table28[[#This Row],[Duration
(A359)]]</f>
        <v>0</v>
      </c>
      <c r="R326" s="16">
        <f>IFERROR(VLOOKUP(Table28[[#This Row],[ROUTE]],PRICING!A:B,2,FALSE),0)</f>
        <v>0</v>
      </c>
      <c r="S326" s="16">
        <f>Table28[[#This Row],[C_DEMAND]]-Table28[[#This Row],[R-DEMAND]]</f>
        <v>0</v>
      </c>
      <c r="T326" s="316">
        <f>Table28[[#This Row],[SEATS SOLD]]*Table28[[#This Row],[ECO SEAT]]</f>
        <v>0</v>
      </c>
      <c r="U326" s="316">
        <f>Table28[[#This Row],[SEATS SOLD]]*(IFERROR(VLOOKUP(Table28[[#This Row],[ROUTE]],PRICING!A:C,3,FALSE),0))</f>
        <v>0</v>
      </c>
      <c r="V326" s="316">
        <f>Table28[[#This Row],[SEAT REV]]-Table28[[#This Row],[SEAT REV
(IF IDEAL $)]]</f>
        <v>0</v>
      </c>
      <c r="AA326" s="26"/>
      <c r="AB326" s="26"/>
      <c r="AC326" s="26"/>
      <c r="AD326" s="26"/>
      <c r="AE326" s="26"/>
      <c r="AS326" s="16" t="s">
        <v>78</v>
      </c>
      <c r="AT326" s="16" t="s">
        <v>10740</v>
      </c>
      <c r="AU326" s="16" t="s">
        <v>5002</v>
      </c>
      <c r="AV326" s="16" t="s">
        <v>18892</v>
      </c>
      <c r="AW326" s="16" t="s">
        <v>18885</v>
      </c>
      <c r="AX326" s="16" t="s">
        <v>18882</v>
      </c>
      <c r="AY326" s="385">
        <v>11684</v>
      </c>
    </row>
    <row r="327" spans="1:51" x14ac:dyDescent="0.25">
      <c r="A327" s="16" t="s">
        <v>19805</v>
      </c>
      <c r="B327" s="16" t="s">
        <v>4391</v>
      </c>
      <c r="D327" s="16">
        <v>2</v>
      </c>
      <c r="E327" s="16" t="s">
        <v>683</v>
      </c>
      <c r="F327" s="16" t="str">
        <f>VLOOKUP(Table28[[#This Row],[Country]],Table10[[COUNTRY NAME]:[CONTINENT CODE]],3,FALSE)</f>
        <v>NA</v>
      </c>
      <c r="G327" s="16" t="s">
        <v>13192</v>
      </c>
      <c r="H327" s="181">
        <v>15153</v>
      </c>
      <c r="I327" s="180">
        <v>35.5</v>
      </c>
      <c r="K327" s="316">
        <f>IFERROR(Table28[[#This Row],[ROUTE COST]]/Table28[[#This Row],[O - DEMAND]],0)</f>
        <v>0</v>
      </c>
      <c r="M327" s="16">
        <f>Table28[[#This Row],[O - DEMAND]]/950</f>
        <v>0</v>
      </c>
      <c r="N327" s="16">
        <f>IFERROR(VLOOKUP(Table28[[#This Row],[ROUTE]],DEMAND!A:F,5,FALSE),0)</f>
        <v>0</v>
      </c>
      <c r="O327" s="16">
        <f>IFERROR(VLOOKUP(Table28[[#This Row],[ROUTE]],DEMAND!A:F,6,FALSE),0)</f>
        <v>0</v>
      </c>
      <c r="P327" s="16">
        <f>ROUNDDOWN(Table28[[#This Row],[R-DEMAND]]/950,0)</f>
        <v>0</v>
      </c>
      <c r="Q327" s="16">
        <f>Table28[[#This Row],[ADD ACC
(475/950)]]*Table28[[#This Row],[Duration
(A359)]]</f>
        <v>0</v>
      </c>
      <c r="R327" s="16">
        <f>IFERROR(VLOOKUP(Table28[[#This Row],[ROUTE]],PRICING!A:B,2,FALSE),0)</f>
        <v>0</v>
      </c>
      <c r="S327" s="16">
        <f>Table28[[#This Row],[C_DEMAND]]-Table28[[#This Row],[R-DEMAND]]</f>
        <v>0</v>
      </c>
      <c r="T327" s="316">
        <f>Table28[[#This Row],[SEATS SOLD]]*Table28[[#This Row],[ECO SEAT]]</f>
        <v>0</v>
      </c>
      <c r="U327" s="316">
        <f>Table28[[#This Row],[SEATS SOLD]]*(IFERROR(VLOOKUP(Table28[[#This Row],[ROUTE]],PRICING!A:C,3,FALSE),0))</f>
        <v>0</v>
      </c>
      <c r="V327" s="316">
        <f>Table28[[#This Row],[SEAT REV]]-Table28[[#This Row],[SEAT REV
(IF IDEAL $)]]</f>
        <v>0</v>
      </c>
      <c r="AA327" s="26"/>
      <c r="AB327" s="26"/>
      <c r="AC327" s="26"/>
      <c r="AD327" s="26"/>
      <c r="AE327" s="26"/>
      <c r="AS327" s="16" t="s">
        <v>78</v>
      </c>
      <c r="AT327" s="16" t="s">
        <v>11953</v>
      </c>
      <c r="AU327" s="16" t="s">
        <v>3588</v>
      </c>
      <c r="AV327" s="16" t="s">
        <v>18881</v>
      </c>
      <c r="AW327" s="16" t="s">
        <v>18879</v>
      </c>
      <c r="AX327" s="16" t="s">
        <v>18882</v>
      </c>
      <c r="AY327" s="385">
        <v>11684</v>
      </c>
    </row>
    <row r="328" spans="1:51" x14ac:dyDescent="0.25">
      <c r="A328" s="16" t="s">
        <v>19199</v>
      </c>
      <c r="B328" s="16" t="s">
        <v>268</v>
      </c>
      <c r="D328" s="16">
        <v>4</v>
      </c>
      <c r="E328" s="16" t="s">
        <v>14</v>
      </c>
      <c r="F328" s="16" t="str">
        <f>VLOOKUP(Table28[[#This Row],[Country]],Table10[[COUNTRY NAME]:[CONTINENT CODE]],3,FALSE)</f>
        <v>AS</v>
      </c>
      <c r="G328" s="16" t="s">
        <v>11995</v>
      </c>
      <c r="H328" s="181">
        <v>9198</v>
      </c>
      <c r="I328" s="180">
        <v>22.25</v>
      </c>
      <c r="K328" s="316">
        <f>IFERROR(Table28[[#This Row],[ROUTE COST]]/Table28[[#This Row],[O - DEMAND]],0)</f>
        <v>0</v>
      </c>
      <c r="M328" s="16">
        <f>Table28[[#This Row],[O - DEMAND]]/950</f>
        <v>0</v>
      </c>
      <c r="N328" s="16">
        <f>IFERROR(VLOOKUP(Table28[[#This Row],[ROUTE]],DEMAND!A:F,5,FALSE),0)</f>
        <v>0</v>
      </c>
      <c r="O328" s="16">
        <f>IFERROR(VLOOKUP(Table28[[#This Row],[ROUTE]],DEMAND!A:F,6,FALSE),0)</f>
        <v>0</v>
      </c>
      <c r="P328" s="16">
        <f>ROUNDDOWN(Table28[[#This Row],[R-DEMAND]]/950,0)</f>
        <v>0</v>
      </c>
      <c r="Q328" s="16">
        <f>Table28[[#This Row],[ADD ACC
(475/950)]]*Table28[[#This Row],[Duration
(A359)]]</f>
        <v>0</v>
      </c>
      <c r="R328" s="16">
        <f>IFERROR(VLOOKUP(Table28[[#This Row],[ROUTE]],PRICING!A:B,2,FALSE),0)</f>
        <v>0</v>
      </c>
      <c r="S328" s="16">
        <f>Table28[[#This Row],[C_DEMAND]]-Table28[[#This Row],[R-DEMAND]]</f>
        <v>0</v>
      </c>
      <c r="T328" s="316">
        <f>Table28[[#This Row],[SEATS SOLD]]*Table28[[#This Row],[ECO SEAT]]</f>
        <v>0</v>
      </c>
      <c r="U328" s="316">
        <f>Table28[[#This Row],[SEATS SOLD]]*(IFERROR(VLOOKUP(Table28[[#This Row],[ROUTE]],PRICING!A:C,3,FALSE),0))</f>
        <v>0</v>
      </c>
      <c r="V328" s="316">
        <f>Table28[[#This Row],[SEAT REV]]-Table28[[#This Row],[SEAT REV
(IF IDEAL $)]]</f>
        <v>0</v>
      </c>
      <c r="AA328" s="26"/>
      <c r="AB328" s="26"/>
      <c r="AC328" s="26"/>
      <c r="AD328" s="26"/>
      <c r="AE328" s="26"/>
      <c r="AS328" s="16" t="s">
        <v>1513</v>
      </c>
      <c r="AT328" s="16" t="s">
        <v>11967</v>
      </c>
      <c r="AU328" s="16" t="s">
        <v>2007</v>
      </c>
      <c r="AV328" s="16" t="s">
        <v>18892</v>
      </c>
      <c r="AW328" s="16" t="s">
        <v>18890</v>
      </c>
      <c r="AX328" s="16" t="s">
        <v>18882</v>
      </c>
      <c r="AY328" s="385">
        <v>11695</v>
      </c>
    </row>
    <row r="329" spans="1:51" x14ac:dyDescent="0.25">
      <c r="A329" s="16" t="s">
        <v>19304</v>
      </c>
      <c r="B329" s="16" t="s">
        <v>266</v>
      </c>
      <c r="C329" s="16" t="s">
        <v>467</v>
      </c>
      <c r="E329" s="16" t="s">
        <v>542</v>
      </c>
      <c r="F329" s="16" t="str">
        <f>VLOOKUP(Table28[[#This Row],[Country]],Table10[[COUNTRY NAME]:[CONTINENT CODE]],3,FALSE)</f>
        <v>AF</v>
      </c>
      <c r="G329" s="16" t="s">
        <v>11906</v>
      </c>
      <c r="H329" s="181">
        <v>11448</v>
      </c>
      <c r="I329" s="180">
        <v>27.25</v>
      </c>
      <c r="K329" s="316">
        <f>IFERROR(Table28[[#This Row],[ROUTE COST]]/Table28[[#This Row],[O - DEMAND]],0)</f>
        <v>0</v>
      </c>
      <c r="M329" s="16">
        <f>Table28[[#This Row],[O - DEMAND]]/950</f>
        <v>0</v>
      </c>
      <c r="N329" s="16">
        <f>IFERROR(VLOOKUP(Table28[[#This Row],[ROUTE]],DEMAND!A:F,5,FALSE),0)</f>
        <v>3694</v>
      </c>
      <c r="O329" s="16">
        <f>IFERROR(VLOOKUP(Table28[[#This Row],[ROUTE]],DEMAND!A:F,6,FALSE),0)</f>
        <v>844</v>
      </c>
      <c r="P329" s="16">
        <f>ROUNDDOWN(Table28[[#This Row],[R-DEMAND]]/950,0)</f>
        <v>0</v>
      </c>
      <c r="Q329" s="16">
        <f>Table28[[#This Row],[ADD ACC
(475/950)]]*Table28[[#This Row],[Duration
(A359)]]</f>
        <v>0</v>
      </c>
      <c r="R329" s="16">
        <f>IFERROR(VLOOKUP(Table28[[#This Row],[ROUTE]],PRICING!A:B,2,FALSE),0)</f>
        <v>0</v>
      </c>
      <c r="S329" s="16">
        <f>Table28[[#This Row],[C_DEMAND]]-Table28[[#This Row],[R-DEMAND]]</f>
        <v>2850</v>
      </c>
      <c r="T329" s="316">
        <f>Table28[[#This Row],[SEATS SOLD]]*Table28[[#This Row],[ECO SEAT]]</f>
        <v>0</v>
      </c>
      <c r="U329" s="316">
        <f>Table28[[#This Row],[SEATS SOLD]]*(IFERROR(VLOOKUP(Table28[[#This Row],[ROUTE]],PRICING!A:C,3,FALSE),0))</f>
        <v>0</v>
      </c>
      <c r="V329" s="316">
        <f>Table28[[#This Row],[SEAT REV]]-Table28[[#This Row],[SEAT REV
(IF IDEAL $)]]</f>
        <v>0</v>
      </c>
      <c r="AA329" s="26"/>
      <c r="AB329" s="26"/>
      <c r="AC329" s="26"/>
      <c r="AD329" s="26"/>
      <c r="AE329" s="26"/>
      <c r="AS329" s="16" t="s">
        <v>1456</v>
      </c>
      <c r="AT329" s="16" t="s">
        <v>11987</v>
      </c>
      <c r="AU329" s="16" t="s">
        <v>90</v>
      </c>
      <c r="AV329" s="16" t="s">
        <v>18884</v>
      </c>
      <c r="AW329" s="16" t="s">
        <v>18879</v>
      </c>
      <c r="AX329" s="16" t="s">
        <v>18882</v>
      </c>
      <c r="AY329" s="385">
        <v>11696</v>
      </c>
    </row>
    <row r="330" spans="1:51" x14ac:dyDescent="0.25">
      <c r="A330" s="16" t="s">
        <v>19636</v>
      </c>
      <c r="B330" s="16" t="s">
        <v>5471</v>
      </c>
      <c r="C330" s="16" t="s">
        <v>467</v>
      </c>
      <c r="D330" s="16">
        <v>4</v>
      </c>
      <c r="E330" s="16" t="s">
        <v>1124</v>
      </c>
      <c r="F330" s="16" t="str">
        <f>VLOOKUP(Table28[[#This Row],[Country]],Table10[[COUNTRY NAME]:[CONTINENT CODE]],3,FALSE)</f>
        <v>AF</v>
      </c>
      <c r="G330" s="16" t="s">
        <v>11079</v>
      </c>
      <c r="H330" s="181">
        <v>14066</v>
      </c>
      <c r="I330" s="180">
        <v>33</v>
      </c>
      <c r="K330" s="316">
        <f>IFERROR(Table28[[#This Row],[ROUTE COST]]/Table28[[#This Row],[O - DEMAND]],0)</f>
        <v>0</v>
      </c>
      <c r="M330" s="16">
        <f>Table28[[#This Row],[O - DEMAND]]/950</f>
        <v>0</v>
      </c>
      <c r="N330" s="16">
        <f>IFERROR(VLOOKUP(Table28[[#This Row],[ROUTE]],DEMAND!A:F,5,FALSE),0)</f>
        <v>2734</v>
      </c>
      <c r="O330" s="16">
        <f>IFERROR(VLOOKUP(Table28[[#This Row],[ROUTE]],DEMAND!A:F,6,FALSE),0)</f>
        <v>834</v>
      </c>
      <c r="P330" s="16">
        <f>ROUNDDOWN(Table28[[#This Row],[R-DEMAND]]/950,0)</f>
        <v>0</v>
      </c>
      <c r="Q330" s="16">
        <f>Table28[[#This Row],[ADD ACC
(475/950)]]*Table28[[#This Row],[Duration
(A359)]]</f>
        <v>0</v>
      </c>
      <c r="R330" s="16">
        <f>IFERROR(VLOOKUP(Table28[[#This Row],[ROUTE]],PRICING!A:B,2,FALSE),0)</f>
        <v>0</v>
      </c>
      <c r="S330" s="16">
        <f>Table28[[#This Row],[C_DEMAND]]-Table28[[#This Row],[R-DEMAND]]</f>
        <v>1900</v>
      </c>
      <c r="T330" s="316">
        <f>Table28[[#This Row],[SEATS SOLD]]*Table28[[#This Row],[ECO SEAT]]</f>
        <v>0</v>
      </c>
      <c r="U330" s="316">
        <f>Table28[[#This Row],[SEATS SOLD]]*(IFERROR(VLOOKUP(Table28[[#This Row],[ROUTE]],PRICING!A:C,3,FALSE),0))</f>
        <v>0</v>
      </c>
      <c r="V330" s="316">
        <f>Table28[[#This Row],[SEAT REV]]-Table28[[#This Row],[SEAT REV
(IF IDEAL $)]]</f>
        <v>0</v>
      </c>
      <c r="AA330" s="26"/>
      <c r="AB330" s="26"/>
      <c r="AC330" s="26"/>
      <c r="AD330" s="26"/>
      <c r="AE330" s="26"/>
      <c r="AS330" s="16" t="s">
        <v>4452</v>
      </c>
      <c r="AT330" s="16" t="s">
        <v>11988</v>
      </c>
      <c r="AU330" s="16" t="s">
        <v>4454</v>
      </c>
      <c r="AV330" s="16" t="s">
        <v>18881</v>
      </c>
      <c r="AW330" s="16" t="s">
        <v>18879</v>
      </c>
      <c r="AX330" s="16" t="s">
        <v>18882</v>
      </c>
      <c r="AY330" s="385">
        <v>11697</v>
      </c>
    </row>
    <row r="331" spans="1:51" x14ac:dyDescent="0.25">
      <c r="A331" s="16" t="s">
        <v>19561</v>
      </c>
      <c r="B331" s="16" t="s">
        <v>4361</v>
      </c>
      <c r="E331" s="16" t="s">
        <v>11732</v>
      </c>
      <c r="F331" s="16" t="str">
        <f>VLOOKUP(Table28[[#This Row],[Country]],Table10[[COUNTRY NAME]:[CONTINENT CODE]],3,FALSE)</f>
        <v>NA - US</v>
      </c>
      <c r="G331" s="16" t="s">
        <v>17001</v>
      </c>
      <c r="H331" s="181">
        <v>13461</v>
      </c>
      <c r="I331" s="180">
        <v>31.75</v>
      </c>
      <c r="K331" s="316">
        <f>IFERROR(Table28[[#This Row],[ROUTE COST]]/Table28[[#This Row],[O - DEMAND]],0)</f>
        <v>0</v>
      </c>
      <c r="M331" s="180">
        <f>Table28[[#This Row],[O - DEMAND]]/950</f>
        <v>0</v>
      </c>
      <c r="N331" s="16">
        <f>IFERROR(VLOOKUP(Table28[[#This Row],[ROUTE]],DEMAND!A:F,5,FALSE),0)</f>
        <v>0</v>
      </c>
      <c r="O331" s="16">
        <f>IFERROR(VLOOKUP(Table28[[#This Row],[ROUTE]],DEMAND!A:F,6,FALSE),0)</f>
        <v>0</v>
      </c>
      <c r="P331" s="16">
        <f>ROUNDDOWN(Table28[[#This Row],[R-DEMAND]]/950,0)</f>
        <v>0</v>
      </c>
      <c r="Q331" s="16">
        <f>Table28[[#This Row],[ADD ACC
(475/950)]]*Table28[[#This Row],[Duration
(A359)]]</f>
        <v>0</v>
      </c>
      <c r="R331" s="16">
        <f>IFERROR(VLOOKUP(Table28[[#This Row],[ROUTE]],PRICING!A:B,2,FALSE),0)</f>
        <v>0</v>
      </c>
      <c r="S331" s="16">
        <f>Table28[[#This Row],[C_DEMAND]]-Table28[[#This Row],[R-DEMAND]]</f>
        <v>0</v>
      </c>
      <c r="T331" s="316">
        <f>Table28[[#This Row],[SEATS SOLD]]*Table28[[#This Row],[ECO SEAT]]</f>
        <v>0</v>
      </c>
      <c r="U331" s="316">
        <f>Table28[[#This Row],[SEATS SOLD]]*(IFERROR(VLOOKUP(Table28[[#This Row],[ROUTE]],PRICING!A:C,3,FALSE),0))</f>
        <v>0</v>
      </c>
      <c r="V331" s="316">
        <f>Table28[[#This Row],[SEAT REV]]-Table28[[#This Row],[SEAT REV
(IF IDEAL $)]]</f>
        <v>0</v>
      </c>
      <c r="AA331" s="26"/>
      <c r="AB331" s="26"/>
      <c r="AC331" s="26"/>
      <c r="AD331" s="26"/>
      <c r="AE331" s="26"/>
      <c r="AS331" s="16" t="s">
        <v>1456</v>
      </c>
      <c r="AT331" s="16" t="s">
        <v>11992</v>
      </c>
      <c r="AU331" s="16" t="s">
        <v>180</v>
      </c>
      <c r="AV331" s="16" t="s">
        <v>18884</v>
      </c>
      <c r="AW331" s="16" t="s">
        <v>18885</v>
      </c>
      <c r="AX331" s="16" t="s">
        <v>18882</v>
      </c>
      <c r="AY331" s="385">
        <v>11698</v>
      </c>
    </row>
    <row r="332" spans="1:51" x14ac:dyDescent="0.25">
      <c r="A332" s="16" t="s">
        <v>19733</v>
      </c>
      <c r="B332" s="16" t="s">
        <v>4653</v>
      </c>
      <c r="D332" s="16">
        <v>3</v>
      </c>
      <c r="E332" s="16" t="s">
        <v>11732</v>
      </c>
      <c r="F332" s="16" t="str">
        <f>VLOOKUP(Table28[[#This Row],[Country]],Table10[[COUNTRY NAME]:[CONTINENT CODE]],3,FALSE)</f>
        <v>NA - US</v>
      </c>
      <c r="G332" s="16" t="s">
        <v>13344</v>
      </c>
      <c r="H332" s="181">
        <v>14771</v>
      </c>
      <c r="I332" s="180">
        <v>34.5</v>
      </c>
      <c r="K332" s="316">
        <f>IFERROR(Table28[[#This Row],[ROUTE COST]]/Table28[[#This Row],[O - DEMAND]],0)</f>
        <v>0</v>
      </c>
      <c r="M332" s="180">
        <f>Table28[[#This Row],[O - DEMAND]]/950</f>
        <v>0</v>
      </c>
      <c r="N332" s="16">
        <f>IFERROR(VLOOKUP(Table28[[#This Row],[ROUTE]],DEMAND!A:F,5,FALSE),0)</f>
        <v>0</v>
      </c>
      <c r="O332" s="16">
        <f>IFERROR(VLOOKUP(Table28[[#This Row],[ROUTE]],DEMAND!A:F,6,FALSE),0)</f>
        <v>0</v>
      </c>
      <c r="P332" s="16">
        <f>ROUNDDOWN(Table28[[#This Row],[R-DEMAND]]/950,0)</f>
        <v>0</v>
      </c>
      <c r="Q332" s="16">
        <f>Table28[[#This Row],[ADD ACC
(475/950)]]*Table28[[#This Row],[Duration
(A359)]]</f>
        <v>0</v>
      </c>
      <c r="R332" s="16">
        <f>IFERROR(VLOOKUP(Table28[[#This Row],[ROUTE]],PRICING!A:B,2,FALSE),0)</f>
        <v>0</v>
      </c>
      <c r="S332" s="16">
        <f>Table28[[#This Row],[C_DEMAND]]-Table28[[#This Row],[R-DEMAND]]</f>
        <v>0</v>
      </c>
      <c r="T332" s="316">
        <f>Table28[[#This Row],[SEATS SOLD]]*Table28[[#This Row],[ECO SEAT]]</f>
        <v>0</v>
      </c>
      <c r="U332" s="316">
        <f>Table28[[#This Row],[SEATS SOLD]]*(IFERROR(VLOOKUP(Table28[[#This Row],[ROUTE]],PRICING!A:C,3,FALSE),0))</f>
        <v>0</v>
      </c>
      <c r="V332" s="316">
        <f>Table28[[#This Row],[SEAT REV]]-Table28[[#This Row],[SEAT REV
(IF IDEAL $)]]</f>
        <v>0</v>
      </c>
      <c r="AA332" s="26"/>
      <c r="AB332" s="26"/>
      <c r="AC332" s="26"/>
      <c r="AD332" s="26"/>
      <c r="AE332" s="26"/>
      <c r="AS332" s="16" t="s">
        <v>567</v>
      </c>
      <c r="AT332" s="16" t="s">
        <v>11989</v>
      </c>
      <c r="AU332" s="16" t="s">
        <v>3072</v>
      </c>
      <c r="AV332" s="16" t="s">
        <v>18881</v>
      </c>
      <c r="AW332" s="16" t="s">
        <v>18879</v>
      </c>
      <c r="AX332" s="16" t="s">
        <v>18882</v>
      </c>
      <c r="AY332" s="385">
        <v>11712</v>
      </c>
    </row>
    <row r="333" spans="1:51" x14ac:dyDescent="0.25">
      <c r="A333" s="16" t="s">
        <v>19242</v>
      </c>
      <c r="B333" s="16" t="s">
        <v>2986</v>
      </c>
      <c r="D333" s="16">
        <v>2</v>
      </c>
      <c r="E333" s="16" t="s">
        <v>78</v>
      </c>
      <c r="F333" s="16" t="str">
        <f>VLOOKUP(Table28[[#This Row],[Country]],Table10[[COUNTRY NAME]:[CONTINENT CODE]],3,FALSE)</f>
        <v>EU</v>
      </c>
      <c r="G333" s="16" t="s">
        <v>11980</v>
      </c>
      <c r="H333" s="181">
        <v>10247</v>
      </c>
      <c r="I333" s="180">
        <v>24.5</v>
      </c>
      <c r="K333" s="316">
        <f>IFERROR(Table28[[#This Row],[ROUTE COST]]/Table28[[#This Row],[O - DEMAND]],0)</f>
        <v>0</v>
      </c>
      <c r="M333" s="16">
        <f>Table28[[#This Row],[O - DEMAND]]/950</f>
        <v>0</v>
      </c>
      <c r="N333" s="16">
        <f>IFERROR(VLOOKUP(Table28[[#This Row],[ROUTE]],DEMAND!A:F,5,FALSE),0)</f>
        <v>0</v>
      </c>
      <c r="O333" s="16">
        <f>IFERROR(VLOOKUP(Table28[[#This Row],[ROUTE]],DEMAND!A:F,6,FALSE),0)</f>
        <v>0</v>
      </c>
      <c r="P333" s="16">
        <f>ROUNDDOWN(Table28[[#This Row],[R-DEMAND]]/950,0)</f>
        <v>0</v>
      </c>
      <c r="Q333" s="16">
        <f>Table28[[#This Row],[ADD ACC
(475/950)]]*Table28[[#This Row],[Duration
(A359)]]</f>
        <v>0</v>
      </c>
      <c r="R333" s="16">
        <f>IFERROR(VLOOKUP(Table28[[#This Row],[ROUTE]],PRICING!A:B,2,FALSE),0)</f>
        <v>0</v>
      </c>
      <c r="S333" s="16">
        <f>Table28[[#This Row],[C_DEMAND]]-Table28[[#This Row],[R-DEMAND]]</f>
        <v>0</v>
      </c>
      <c r="T333" s="316">
        <f>Table28[[#This Row],[SEATS SOLD]]*Table28[[#This Row],[ECO SEAT]]</f>
        <v>0</v>
      </c>
      <c r="U333" s="316">
        <f>Table28[[#This Row],[SEATS SOLD]]*(IFERROR(VLOOKUP(Table28[[#This Row],[ROUTE]],PRICING!A:C,3,FALSE),0))</f>
        <v>0</v>
      </c>
      <c r="V333" s="316">
        <f>Table28[[#This Row],[SEAT REV]]-Table28[[#This Row],[SEAT REV
(IF IDEAL $)]]</f>
        <v>0</v>
      </c>
      <c r="AA333" s="26"/>
      <c r="AB333" s="26"/>
      <c r="AC333" s="26"/>
      <c r="AD333" s="26"/>
      <c r="AE333" s="26"/>
      <c r="AS333" s="16" t="s">
        <v>1189</v>
      </c>
      <c r="AT333" s="16" t="s">
        <v>11940</v>
      </c>
      <c r="AU333" s="16" t="s">
        <v>4644</v>
      </c>
      <c r="AV333" s="16" t="s">
        <v>18884</v>
      </c>
      <c r="AW333" s="16" t="s">
        <v>18879</v>
      </c>
      <c r="AX333" s="16" t="s">
        <v>18882</v>
      </c>
      <c r="AY333" s="385">
        <v>11720</v>
      </c>
    </row>
    <row r="334" spans="1:51" x14ac:dyDescent="0.25">
      <c r="A334" s="16" t="s">
        <v>19262</v>
      </c>
      <c r="B334" s="16" t="s">
        <v>3235</v>
      </c>
      <c r="D334" s="16">
        <v>2</v>
      </c>
      <c r="E334" s="16" t="s">
        <v>14</v>
      </c>
      <c r="F334" s="16" t="str">
        <f>VLOOKUP(Table28[[#This Row],[Country]],Table10[[COUNTRY NAME]:[CONTINENT CODE]],3,FALSE)</f>
        <v>AS</v>
      </c>
      <c r="G334" s="16" t="s">
        <v>9438</v>
      </c>
      <c r="H334" s="181">
        <v>10803</v>
      </c>
      <c r="I334" s="180">
        <v>25.75</v>
      </c>
      <c r="K334" s="316">
        <f>IFERROR(Table28[[#This Row],[ROUTE COST]]/Table28[[#This Row],[O - DEMAND]],0)</f>
        <v>0</v>
      </c>
      <c r="M334" s="16">
        <f>Table28[[#This Row],[O - DEMAND]]/950</f>
        <v>0</v>
      </c>
      <c r="N334" s="16">
        <f>IFERROR(VLOOKUP(Table28[[#This Row],[ROUTE]],DEMAND!A:F,5,FALSE),0)</f>
        <v>0</v>
      </c>
      <c r="O334" s="16">
        <f>IFERROR(VLOOKUP(Table28[[#This Row],[ROUTE]],DEMAND!A:F,6,FALSE),0)</f>
        <v>0</v>
      </c>
      <c r="P334" s="16">
        <f>ROUNDDOWN(Table28[[#This Row],[R-DEMAND]]/950,0)</f>
        <v>0</v>
      </c>
      <c r="Q334" s="16">
        <f>Table28[[#This Row],[ADD ACC
(475/950)]]*Table28[[#This Row],[Duration
(A359)]]</f>
        <v>0</v>
      </c>
      <c r="R334" s="16">
        <f>IFERROR(VLOOKUP(Table28[[#This Row],[ROUTE]],PRICING!A:B,2,FALSE),0)</f>
        <v>0</v>
      </c>
      <c r="S334" s="16">
        <f>Table28[[#This Row],[C_DEMAND]]-Table28[[#This Row],[R-DEMAND]]</f>
        <v>0</v>
      </c>
      <c r="T334" s="316">
        <f>Table28[[#This Row],[SEATS SOLD]]*Table28[[#This Row],[ECO SEAT]]</f>
        <v>0</v>
      </c>
      <c r="U334" s="316">
        <f>Table28[[#This Row],[SEATS SOLD]]*(IFERROR(VLOOKUP(Table28[[#This Row],[ROUTE]],PRICING!A:C,3,FALSE),0))</f>
        <v>0</v>
      </c>
      <c r="V334" s="316">
        <f>Table28[[#This Row],[SEAT REV]]-Table28[[#This Row],[SEAT REV
(IF IDEAL $)]]</f>
        <v>0</v>
      </c>
      <c r="AA334" s="26"/>
      <c r="AB334" s="26"/>
      <c r="AC334" s="26"/>
      <c r="AD334" s="26"/>
      <c r="AE334" s="26"/>
      <c r="AS334" s="16" t="s">
        <v>11669</v>
      </c>
      <c r="AT334" s="16" t="s">
        <v>13142</v>
      </c>
      <c r="AU334" s="16" t="s">
        <v>312</v>
      </c>
      <c r="AV334" s="16" t="s">
        <v>18884</v>
      </c>
      <c r="AW334" s="16" t="s">
        <v>18899</v>
      </c>
      <c r="AX334" s="16" t="s">
        <v>18900</v>
      </c>
      <c r="AY334" s="385">
        <v>11769</v>
      </c>
    </row>
    <row r="335" spans="1:51" x14ac:dyDescent="0.25">
      <c r="A335" s="16" t="s">
        <v>19666</v>
      </c>
      <c r="B335" s="16" t="s">
        <v>3753</v>
      </c>
      <c r="D335" s="16">
        <v>2</v>
      </c>
      <c r="E335" s="16" t="s">
        <v>700</v>
      </c>
      <c r="F335" s="16" t="str">
        <f>VLOOKUP(Table28[[#This Row],[Country]],Table10[[COUNTRY NAME]:[CONTINENT CODE]],3,FALSE)</f>
        <v>AS</v>
      </c>
      <c r="G335" s="16" t="s">
        <v>11874</v>
      </c>
      <c r="H335" s="181">
        <v>14209</v>
      </c>
      <c r="I335" s="180">
        <v>33.25</v>
      </c>
      <c r="K335" s="316">
        <f>IFERROR(Table28[[#This Row],[ROUTE COST]]/Table28[[#This Row],[O - DEMAND]],0)</f>
        <v>0</v>
      </c>
      <c r="M335" s="16">
        <f>Table28[[#This Row],[O - DEMAND]]/950</f>
        <v>0</v>
      </c>
      <c r="N335" s="16">
        <f>IFERROR(VLOOKUP(Table28[[#This Row],[ROUTE]],DEMAND!A:F,5,FALSE),0)</f>
        <v>0</v>
      </c>
      <c r="O335" s="16">
        <f>IFERROR(VLOOKUP(Table28[[#This Row],[ROUTE]],DEMAND!A:F,6,FALSE),0)</f>
        <v>0</v>
      </c>
      <c r="P335" s="16">
        <f>ROUNDDOWN(Table28[[#This Row],[R-DEMAND]]/950,0)</f>
        <v>0</v>
      </c>
      <c r="Q335" s="16">
        <f>Table28[[#This Row],[ADD ACC
(475/950)]]*Table28[[#This Row],[Duration
(A359)]]</f>
        <v>0</v>
      </c>
      <c r="R335" s="16">
        <f>IFERROR(VLOOKUP(Table28[[#This Row],[ROUTE]],PRICING!A:B,2,FALSE),0)</f>
        <v>0</v>
      </c>
      <c r="S335" s="16">
        <f>Table28[[#This Row],[C_DEMAND]]-Table28[[#This Row],[R-DEMAND]]</f>
        <v>0</v>
      </c>
      <c r="T335" s="316">
        <f>Table28[[#This Row],[SEATS SOLD]]*Table28[[#This Row],[ECO SEAT]]</f>
        <v>0</v>
      </c>
      <c r="U335" s="316">
        <f>Table28[[#This Row],[SEATS SOLD]]*(IFERROR(VLOOKUP(Table28[[#This Row],[ROUTE]],PRICING!A:C,3,FALSE),0))</f>
        <v>0</v>
      </c>
      <c r="V335" s="316">
        <f>Table28[[#This Row],[SEAT REV]]-Table28[[#This Row],[SEAT REV
(IF IDEAL $)]]</f>
        <v>0</v>
      </c>
      <c r="AA335" s="26"/>
      <c r="AB335" s="26"/>
      <c r="AC335" s="26"/>
      <c r="AD335" s="26"/>
      <c r="AE335" s="26"/>
      <c r="AS335" s="16" t="s">
        <v>2764</v>
      </c>
      <c r="AT335" s="16" t="s">
        <v>11981</v>
      </c>
      <c r="AU335" s="16" t="s">
        <v>4969</v>
      </c>
      <c r="AV335" s="16" t="s">
        <v>18884</v>
      </c>
      <c r="AW335" s="16" t="s">
        <v>18885</v>
      </c>
      <c r="AX335" s="16" t="s">
        <v>18900</v>
      </c>
      <c r="AY335" s="385">
        <v>11821</v>
      </c>
    </row>
    <row r="336" spans="1:51" x14ac:dyDescent="0.25">
      <c r="A336" s="16" t="s">
        <v>19071</v>
      </c>
      <c r="B336" s="16" t="s">
        <v>4056</v>
      </c>
      <c r="C336" s="16" t="s">
        <v>467</v>
      </c>
      <c r="D336" s="16">
        <v>2</v>
      </c>
      <c r="E336" s="16" t="s">
        <v>1314</v>
      </c>
      <c r="F336" s="16" t="str">
        <f>VLOOKUP(Table28[[#This Row],[Country]],Table10[[COUNTRY NAME]:[CONTINENT CODE]],3,FALSE)</f>
        <v>AS</v>
      </c>
      <c r="G336" s="16" t="s">
        <v>18114</v>
      </c>
      <c r="H336" s="181">
        <v>7249</v>
      </c>
      <c r="I336" s="180">
        <v>18</v>
      </c>
      <c r="K336" s="316">
        <f>IFERROR(Table28[[#This Row],[ROUTE COST]]/Table28[[#This Row],[O - DEMAND]],0)</f>
        <v>0</v>
      </c>
      <c r="M336" s="16">
        <f>Table28[[#This Row],[O - DEMAND]]/950</f>
        <v>0</v>
      </c>
      <c r="N336" s="16">
        <f>IFERROR(VLOOKUP(Table28[[#This Row],[ROUTE]],DEMAND!A:F,5,FALSE),0)</f>
        <v>2555</v>
      </c>
      <c r="O336" s="16">
        <f>IFERROR(VLOOKUP(Table28[[#This Row],[ROUTE]],DEMAND!A:F,6,FALSE),0)</f>
        <v>655</v>
      </c>
      <c r="P336" s="16">
        <f>ROUNDDOWN(Table28[[#This Row],[R-DEMAND]]/950,0)</f>
        <v>0</v>
      </c>
      <c r="Q336" s="16">
        <f>Table28[[#This Row],[ADD ACC
(475/950)]]*Table28[[#This Row],[Duration
(A359)]]</f>
        <v>0</v>
      </c>
      <c r="R336" s="16">
        <f>IFERROR(VLOOKUP(Table28[[#This Row],[ROUTE]],PRICING!A:B,2,FALSE),0)</f>
        <v>0</v>
      </c>
      <c r="S336" s="16">
        <f>Table28[[#This Row],[C_DEMAND]]-Table28[[#This Row],[R-DEMAND]]</f>
        <v>1900</v>
      </c>
      <c r="T336" s="316">
        <f>Table28[[#This Row],[SEATS SOLD]]*Table28[[#This Row],[ECO SEAT]]</f>
        <v>0</v>
      </c>
      <c r="U336" s="316">
        <f>Table28[[#This Row],[SEATS SOLD]]*(IFERROR(VLOOKUP(Table28[[#This Row],[ROUTE]],PRICING!A:C,3,FALSE),0))</f>
        <v>0</v>
      </c>
      <c r="V336" s="316">
        <f>Table28[[#This Row],[SEAT REV]]-Table28[[#This Row],[SEAT REV
(IF IDEAL $)]]</f>
        <v>0</v>
      </c>
      <c r="AA336" s="26"/>
      <c r="AB336" s="26"/>
      <c r="AC336" s="26"/>
      <c r="AD336" s="26"/>
      <c r="AE336" s="26"/>
      <c r="AS336" s="16" t="s">
        <v>11732</v>
      </c>
      <c r="AT336" s="16" t="s">
        <v>11737</v>
      </c>
      <c r="AU336" s="16" t="s">
        <v>5327</v>
      </c>
      <c r="AV336" s="16" t="s">
        <v>18884</v>
      </c>
      <c r="AW336" s="16" t="s">
        <v>18885</v>
      </c>
      <c r="AX336" s="16" t="s">
        <v>18900</v>
      </c>
      <c r="AY336" s="385">
        <v>11833</v>
      </c>
    </row>
    <row r="337" spans="1:51" x14ac:dyDescent="0.25">
      <c r="A337" s="16" t="s">
        <v>19497</v>
      </c>
      <c r="B337" s="16" t="s">
        <v>3852</v>
      </c>
      <c r="D337" s="16">
        <v>2</v>
      </c>
      <c r="E337" s="16" t="s">
        <v>1749</v>
      </c>
      <c r="F337" s="16" t="str">
        <f>VLOOKUP(Table28[[#This Row],[Country]],Table10[[COUNTRY NAME]:[CONTINENT CODE]],3,FALSE)</f>
        <v>NA</v>
      </c>
      <c r="G337" s="16" t="s">
        <v>17009</v>
      </c>
      <c r="H337" s="181">
        <v>13042</v>
      </c>
      <c r="I337" s="180">
        <v>30.75</v>
      </c>
      <c r="K337" s="316">
        <f>IFERROR(Table28[[#This Row],[ROUTE COST]]/Table28[[#This Row],[O - DEMAND]],0)</f>
        <v>0</v>
      </c>
      <c r="M337" s="16">
        <f>Table28[[#This Row],[O - DEMAND]]/950</f>
        <v>0</v>
      </c>
      <c r="N337" s="16">
        <f>IFERROR(VLOOKUP(Table28[[#This Row],[ROUTE]],DEMAND!A:F,5,FALSE),0)</f>
        <v>0</v>
      </c>
      <c r="O337" s="16">
        <f>IFERROR(VLOOKUP(Table28[[#This Row],[ROUTE]],DEMAND!A:F,6,FALSE),0)</f>
        <v>0</v>
      </c>
      <c r="P337" s="16">
        <f>ROUNDDOWN(Table28[[#This Row],[R-DEMAND]]/950,0)</f>
        <v>0</v>
      </c>
      <c r="Q337" s="16">
        <f>Table28[[#This Row],[ADD ACC
(475/950)]]*Table28[[#This Row],[Duration
(A359)]]</f>
        <v>0</v>
      </c>
      <c r="R337" s="16">
        <f>IFERROR(VLOOKUP(Table28[[#This Row],[ROUTE]],PRICING!A:B,2,FALSE),0)</f>
        <v>0</v>
      </c>
      <c r="S337" s="16">
        <f>Table28[[#This Row],[C_DEMAND]]-Table28[[#This Row],[R-DEMAND]]</f>
        <v>0</v>
      </c>
      <c r="T337" s="316">
        <f>Table28[[#This Row],[SEATS SOLD]]*Table28[[#This Row],[ECO SEAT]]</f>
        <v>0</v>
      </c>
      <c r="U337" s="316">
        <f>Table28[[#This Row],[SEATS SOLD]]*(IFERROR(VLOOKUP(Table28[[#This Row],[ROUTE]],PRICING!A:C,3,FALSE),0))</f>
        <v>0</v>
      </c>
      <c r="V337" s="316">
        <f>Table28[[#This Row],[SEAT REV]]-Table28[[#This Row],[SEAT REV
(IF IDEAL $)]]</f>
        <v>0</v>
      </c>
      <c r="AA337" s="26"/>
      <c r="AB337" s="26"/>
      <c r="AC337" s="26"/>
      <c r="AD337" s="26"/>
      <c r="AE337" s="26"/>
      <c r="AS337" s="16" t="s">
        <v>78</v>
      </c>
      <c r="AT337" s="16" t="s">
        <v>11949</v>
      </c>
      <c r="AU337" s="16" t="s">
        <v>4928</v>
      </c>
      <c r="AV337" s="16" t="s">
        <v>18884</v>
      </c>
      <c r="AW337" s="16" t="s">
        <v>18885</v>
      </c>
      <c r="AX337" s="16" t="s">
        <v>18900</v>
      </c>
      <c r="AY337" s="385">
        <v>11841</v>
      </c>
    </row>
    <row r="338" spans="1:51" x14ac:dyDescent="0.25">
      <c r="A338" s="16" t="s">
        <v>19268</v>
      </c>
      <c r="B338" s="16" t="s">
        <v>1267</v>
      </c>
      <c r="C338" s="16" t="s">
        <v>467</v>
      </c>
      <c r="D338" s="16">
        <v>1</v>
      </c>
      <c r="E338" s="16" t="s">
        <v>533</v>
      </c>
      <c r="F338" s="16" t="str">
        <f>VLOOKUP(Table28[[#This Row],[Country]],Table10[[COUNTRY NAME]:[CONTINENT CODE]],3,FALSE)</f>
        <v>AS</v>
      </c>
      <c r="G338" s="16" t="s">
        <v>11993</v>
      </c>
      <c r="H338" s="181">
        <v>10861</v>
      </c>
      <c r="I338" s="180">
        <v>26</v>
      </c>
      <c r="K338" s="316">
        <f>IFERROR(Table28[[#This Row],[ROUTE COST]]/Table28[[#This Row],[O - DEMAND]],0)</f>
        <v>0</v>
      </c>
      <c r="M338" s="16">
        <f>Table28[[#This Row],[O - DEMAND]]/950</f>
        <v>0</v>
      </c>
      <c r="N338" s="16">
        <f>IFERROR(VLOOKUP(Table28[[#This Row],[ROUTE]],DEMAND!A:F,5,FALSE),0)</f>
        <v>2489</v>
      </c>
      <c r="O338" s="16">
        <f>IFERROR(VLOOKUP(Table28[[#This Row],[ROUTE]],DEMAND!A:F,6,FALSE),0)</f>
        <v>589</v>
      </c>
      <c r="P338" s="16">
        <f>ROUNDDOWN(Table28[[#This Row],[R-DEMAND]]/950,0)</f>
        <v>0</v>
      </c>
      <c r="Q338" s="16">
        <f>Table28[[#This Row],[ADD ACC
(475/950)]]*Table28[[#This Row],[Duration
(A359)]]</f>
        <v>0</v>
      </c>
      <c r="R338" s="16">
        <f>IFERROR(VLOOKUP(Table28[[#This Row],[ROUTE]],PRICING!A:B,2,FALSE),0)</f>
        <v>0</v>
      </c>
      <c r="S338" s="16">
        <f>Table28[[#This Row],[C_DEMAND]]-Table28[[#This Row],[R-DEMAND]]</f>
        <v>1900</v>
      </c>
      <c r="T338" s="316">
        <f>Table28[[#This Row],[SEATS SOLD]]*Table28[[#This Row],[ECO SEAT]]</f>
        <v>0</v>
      </c>
      <c r="U338" s="316">
        <f>Table28[[#This Row],[SEATS SOLD]]*(IFERROR(VLOOKUP(Table28[[#This Row],[ROUTE]],PRICING!A:C,3,FALSE),0))</f>
        <v>0</v>
      </c>
      <c r="V338" s="316">
        <f>Table28[[#This Row],[SEAT REV]]-Table28[[#This Row],[SEAT REV
(IF IDEAL $)]]</f>
        <v>0</v>
      </c>
      <c r="AA338" s="26"/>
      <c r="AB338" s="26"/>
      <c r="AC338" s="26"/>
      <c r="AD338" s="26"/>
      <c r="AE338" s="26"/>
      <c r="AS338" s="16" t="s">
        <v>502</v>
      </c>
      <c r="AT338" s="16" t="s">
        <v>11986</v>
      </c>
      <c r="AU338" s="16" t="s">
        <v>504</v>
      </c>
      <c r="AV338" s="16" t="s">
        <v>18881</v>
      </c>
      <c r="AW338" s="16" t="s">
        <v>18890</v>
      </c>
      <c r="AX338" s="16" t="s">
        <v>18898</v>
      </c>
      <c r="AY338" s="385">
        <v>11844</v>
      </c>
    </row>
    <row r="339" spans="1:51" x14ac:dyDescent="0.25">
      <c r="A339" s="16" t="s">
        <v>19219</v>
      </c>
      <c r="B339" s="16" t="s">
        <v>263</v>
      </c>
      <c r="C339" s="16" t="s">
        <v>467</v>
      </c>
      <c r="D339" s="16">
        <v>4</v>
      </c>
      <c r="E339" s="16" t="s">
        <v>1070</v>
      </c>
      <c r="F339" s="16" t="str">
        <f>VLOOKUP(Table28[[#This Row],[Country]],Table10[[COUNTRY NAME]:[CONTINENT CODE]],3,FALSE)</f>
        <v>AS</v>
      </c>
      <c r="G339" s="16" t="s">
        <v>11078</v>
      </c>
      <c r="H339" s="181">
        <v>9567</v>
      </c>
      <c r="I339" s="180">
        <v>23.25</v>
      </c>
      <c r="K339" s="316">
        <f>IFERROR(Table28[[#This Row],[ROUTE COST]]/Table28[[#This Row],[O - DEMAND]],0)</f>
        <v>0</v>
      </c>
      <c r="M339" s="16">
        <f>Table28[[#This Row],[O - DEMAND]]/950</f>
        <v>0</v>
      </c>
      <c r="N339" s="16">
        <f>IFERROR(VLOOKUP(Table28[[#This Row],[ROUTE]],DEMAND!A:F,5,FALSE),0)</f>
        <v>3692</v>
      </c>
      <c r="O339" s="16">
        <f>IFERROR(VLOOKUP(Table28[[#This Row],[ROUTE]],DEMAND!A:F,6,FALSE),0)</f>
        <v>842</v>
      </c>
      <c r="P339" s="16">
        <f>ROUNDDOWN(Table28[[#This Row],[R-DEMAND]]/950,0)</f>
        <v>0</v>
      </c>
      <c r="Q339" s="16">
        <f>Table28[[#This Row],[ADD ACC
(475/950)]]*Table28[[#This Row],[Duration
(A359)]]</f>
        <v>0</v>
      </c>
      <c r="R339" s="16">
        <f>IFERROR(VLOOKUP(Table28[[#This Row],[ROUTE]],PRICING!A:B,2,FALSE),0)</f>
        <v>0</v>
      </c>
      <c r="S339" s="16">
        <f>Table28[[#This Row],[C_DEMAND]]-Table28[[#This Row],[R-DEMAND]]</f>
        <v>2850</v>
      </c>
      <c r="T339" s="316">
        <f>Table28[[#This Row],[SEATS SOLD]]*Table28[[#This Row],[ECO SEAT]]</f>
        <v>0</v>
      </c>
      <c r="U339" s="316">
        <f>Table28[[#This Row],[SEATS SOLD]]*(IFERROR(VLOOKUP(Table28[[#This Row],[ROUTE]],PRICING!A:C,3,FALSE),0))</f>
        <v>0</v>
      </c>
      <c r="V339" s="316">
        <f>Table28[[#This Row],[SEAT REV]]-Table28[[#This Row],[SEAT REV
(IF IDEAL $)]]</f>
        <v>0</v>
      </c>
      <c r="AA339" s="26"/>
      <c r="AB339" s="26"/>
      <c r="AC339" s="26"/>
      <c r="AD339" s="26"/>
      <c r="AE339" s="26"/>
      <c r="AS339" s="16" t="s">
        <v>1323</v>
      </c>
      <c r="AT339" s="16" t="s">
        <v>11893</v>
      </c>
      <c r="AU339" s="16" t="s">
        <v>190</v>
      </c>
      <c r="AV339" s="16" t="s">
        <v>18884</v>
      </c>
      <c r="AW339" s="16" t="s">
        <v>18879</v>
      </c>
      <c r="AX339" s="16" t="s">
        <v>18898</v>
      </c>
      <c r="AY339" s="385">
        <v>11851</v>
      </c>
    </row>
    <row r="340" spans="1:51" x14ac:dyDescent="0.25">
      <c r="A340" s="16" t="s">
        <v>19610</v>
      </c>
      <c r="B340" s="16" t="s">
        <v>5741</v>
      </c>
      <c r="D340" s="16">
        <v>5</v>
      </c>
      <c r="E340" s="16" t="s">
        <v>11732</v>
      </c>
      <c r="F340" s="16" t="str">
        <f>VLOOKUP(Table28[[#This Row],[Country]],Table10[[COUNTRY NAME]:[CONTINENT CODE]],3,FALSE)</f>
        <v>NA - US</v>
      </c>
      <c r="G340" s="16" t="s">
        <v>13335</v>
      </c>
      <c r="H340" s="181">
        <v>13839</v>
      </c>
      <c r="I340" s="180">
        <v>32.5</v>
      </c>
      <c r="K340" s="316">
        <f>IFERROR(Table28[[#This Row],[ROUTE COST]]/Table28[[#This Row],[O - DEMAND]],0)</f>
        <v>0</v>
      </c>
      <c r="M340" s="180">
        <f>Table28[[#This Row],[O - DEMAND]]/950</f>
        <v>0</v>
      </c>
      <c r="N340" s="16">
        <f>IFERROR(VLOOKUP(Table28[[#This Row],[ROUTE]],DEMAND!A:F,5,FALSE),0)</f>
        <v>0</v>
      </c>
      <c r="O340" s="16">
        <f>IFERROR(VLOOKUP(Table28[[#This Row],[ROUTE]],DEMAND!A:F,6,FALSE),0)</f>
        <v>0</v>
      </c>
      <c r="P340" s="16">
        <f>ROUNDDOWN(Table28[[#This Row],[R-DEMAND]]/950,0)</f>
        <v>0</v>
      </c>
      <c r="Q340" s="16">
        <f>Table28[[#This Row],[ADD ACC
(475/950)]]*Table28[[#This Row],[Duration
(A359)]]</f>
        <v>0</v>
      </c>
      <c r="R340" s="16">
        <f>IFERROR(VLOOKUP(Table28[[#This Row],[ROUTE]],PRICING!A:B,2,FALSE),0)</f>
        <v>0</v>
      </c>
      <c r="S340" s="16">
        <f>Table28[[#This Row],[C_DEMAND]]-Table28[[#This Row],[R-DEMAND]]</f>
        <v>0</v>
      </c>
      <c r="T340" s="316">
        <f>Table28[[#This Row],[SEATS SOLD]]*Table28[[#This Row],[ECO SEAT]]</f>
        <v>0</v>
      </c>
      <c r="U340" s="316">
        <f>Table28[[#This Row],[SEATS SOLD]]*(IFERROR(VLOOKUP(Table28[[#This Row],[ROUTE]],PRICING!A:C,3,FALSE),0))</f>
        <v>0</v>
      </c>
      <c r="V340" s="316">
        <f>Table28[[#This Row],[SEAT REV]]-Table28[[#This Row],[SEAT REV
(IF IDEAL $)]]</f>
        <v>0</v>
      </c>
      <c r="AA340" s="26"/>
      <c r="AB340" s="26"/>
      <c r="AC340" s="26"/>
      <c r="AD340" s="26"/>
      <c r="AE340" s="26"/>
      <c r="AS340" s="16" t="s">
        <v>545</v>
      </c>
      <c r="AT340" s="16" t="s">
        <v>13374</v>
      </c>
      <c r="AU340" s="16" t="s">
        <v>4752</v>
      </c>
      <c r="AV340" s="16" t="s">
        <v>18881</v>
      </c>
      <c r="AW340" s="16" t="s">
        <v>18885</v>
      </c>
      <c r="AX340" s="16" t="s">
        <v>18898</v>
      </c>
      <c r="AY340" s="385">
        <v>11862</v>
      </c>
    </row>
    <row r="341" spans="1:51" x14ac:dyDescent="0.25">
      <c r="A341" s="16" t="s">
        <v>19145</v>
      </c>
      <c r="B341" s="16" t="s">
        <v>259</v>
      </c>
      <c r="D341" s="16">
        <v>5</v>
      </c>
      <c r="E341" s="16" t="s">
        <v>258</v>
      </c>
      <c r="F341" s="16" t="str">
        <f>VLOOKUP(Table28[[#This Row],[Country]],Table10[[COUNTRY NAME]:[CONTINENT CODE]],3,FALSE)</f>
        <v>AS</v>
      </c>
      <c r="G341" s="16" t="s">
        <v>257</v>
      </c>
      <c r="H341" s="181">
        <v>8344</v>
      </c>
      <c r="I341" s="180">
        <v>20.5</v>
      </c>
      <c r="K341" s="316">
        <f>IFERROR(Table28[[#This Row],[ROUTE COST]]/Table28[[#This Row],[O - DEMAND]],0)</f>
        <v>0</v>
      </c>
      <c r="M341" s="16">
        <f>Table28[[#This Row],[O - DEMAND]]/950</f>
        <v>0</v>
      </c>
      <c r="N341" s="16">
        <f>IFERROR(VLOOKUP(Table28[[#This Row],[ROUTE]],DEMAND!A:F,5,FALSE),0)</f>
        <v>0</v>
      </c>
      <c r="O341" s="16">
        <f>IFERROR(VLOOKUP(Table28[[#This Row],[ROUTE]],DEMAND!A:F,6,FALSE),0)</f>
        <v>0</v>
      </c>
      <c r="P341" s="16">
        <f>ROUNDDOWN(Table28[[#This Row],[R-DEMAND]]/950,0)</f>
        <v>0</v>
      </c>
      <c r="Q341" s="16">
        <f>Table28[[#This Row],[ADD ACC
(475/950)]]*Table28[[#This Row],[Duration
(A359)]]</f>
        <v>0</v>
      </c>
      <c r="R341" s="16">
        <f>IFERROR(VLOOKUP(Table28[[#This Row],[ROUTE]],PRICING!A:B,2,FALSE),0)</f>
        <v>0</v>
      </c>
      <c r="S341" s="16">
        <f>Table28[[#This Row],[C_DEMAND]]-Table28[[#This Row],[R-DEMAND]]</f>
        <v>0</v>
      </c>
      <c r="T341" s="316">
        <f>Table28[[#This Row],[SEATS SOLD]]*Table28[[#This Row],[ECO SEAT]]</f>
        <v>0</v>
      </c>
      <c r="U341" s="316">
        <f>Table28[[#This Row],[SEATS SOLD]]*(IFERROR(VLOOKUP(Table28[[#This Row],[ROUTE]],PRICING!A:C,3,FALSE),0))</f>
        <v>0</v>
      </c>
      <c r="V341" s="316">
        <f>Table28[[#This Row],[SEAT REV]]-Table28[[#This Row],[SEAT REV
(IF IDEAL $)]]</f>
        <v>0</v>
      </c>
      <c r="AA341" s="26"/>
      <c r="AB341" s="26"/>
      <c r="AC341" s="26"/>
      <c r="AD341" s="26"/>
      <c r="AE341" s="26"/>
      <c r="AS341" s="16" t="s">
        <v>11669</v>
      </c>
      <c r="AT341" s="16" t="s">
        <v>13137</v>
      </c>
      <c r="AU341" s="16" t="s">
        <v>4642</v>
      </c>
      <c r="AV341" s="16" t="s">
        <v>18881</v>
      </c>
      <c r="AW341" s="16" t="s">
        <v>18879</v>
      </c>
      <c r="AX341" s="16" t="s">
        <v>18898</v>
      </c>
      <c r="AY341" s="385">
        <v>11868</v>
      </c>
    </row>
    <row r="342" spans="1:51" x14ac:dyDescent="0.25">
      <c r="A342" s="16" t="s">
        <v>19624</v>
      </c>
      <c r="B342" s="16" t="s">
        <v>4798</v>
      </c>
      <c r="D342" s="16">
        <v>3</v>
      </c>
      <c r="E342" s="16" t="s">
        <v>11732</v>
      </c>
      <c r="F342" s="16" t="str">
        <f>VLOOKUP(Table28[[#This Row],[Country]],Table10[[COUNTRY NAME]:[CONTINENT CODE]],3,FALSE)</f>
        <v>NA - US</v>
      </c>
      <c r="G342" s="16" t="s">
        <v>13302</v>
      </c>
      <c r="H342" s="181">
        <v>13958</v>
      </c>
      <c r="I342" s="180">
        <v>32.75</v>
      </c>
      <c r="K342" s="316">
        <f>IFERROR(Table28[[#This Row],[ROUTE COST]]/Table28[[#This Row],[O - DEMAND]],0)</f>
        <v>0</v>
      </c>
      <c r="M342" s="180">
        <f>Table28[[#This Row],[O - DEMAND]]/950</f>
        <v>0</v>
      </c>
      <c r="N342" s="16">
        <f>IFERROR(VLOOKUP(Table28[[#This Row],[ROUTE]],DEMAND!A:F,5,FALSE),0)</f>
        <v>0</v>
      </c>
      <c r="O342" s="16">
        <f>IFERROR(VLOOKUP(Table28[[#This Row],[ROUTE]],DEMAND!A:F,6,FALSE),0)</f>
        <v>0</v>
      </c>
      <c r="P342" s="16">
        <f>ROUNDDOWN(Table28[[#This Row],[R-DEMAND]]/950,0)</f>
        <v>0</v>
      </c>
      <c r="Q342" s="16">
        <f>Table28[[#This Row],[ADD ACC
(475/950)]]*Table28[[#This Row],[Duration
(A359)]]</f>
        <v>0</v>
      </c>
      <c r="R342" s="16">
        <f>IFERROR(VLOOKUP(Table28[[#This Row],[ROUTE]],PRICING!A:B,2,FALSE),0)</f>
        <v>0</v>
      </c>
      <c r="S342" s="16">
        <f>Table28[[#This Row],[C_DEMAND]]-Table28[[#This Row],[R-DEMAND]]</f>
        <v>0</v>
      </c>
      <c r="T342" s="316">
        <f>Table28[[#This Row],[SEATS SOLD]]*Table28[[#This Row],[ECO SEAT]]</f>
        <v>0</v>
      </c>
      <c r="U342" s="316">
        <f>Table28[[#This Row],[SEATS SOLD]]*(IFERROR(VLOOKUP(Table28[[#This Row],[ROUTE]],PRICING!A:C,3,FALSE),0))</f>
        <v>0</v>
      </c>
      <c r="V342" s="316">
        <f>Table28[[#This Row],[SEAT REV]]-Table28[[#This Row],[SEAT REV
(IF IDEAL $)]]</f>
        <v>0</v>
      </c>
      <c r="AA342" s="26"/>
      <c r="AB342" s="26"/>
      <c r="AC342" s="26"/>
      <c r="AD342" s="26"/>
      <c r="AE342" s="26"/>
      <c r="AS342" s="16" t="s">
        <v>11669</v>
      </c>
      <c r="AT342" s="16" t="s">
        <v>13141</v>
      </c>
      <c r="AU342" s="16" t="s">
        <v>2671</v>
      </c>
      <c r="AV342" s="16" t="s">
        <v>18892</v>
      </c>
      <c r="AW342" s="16" t="s">
        <v>18879</v>
      </c>
      <c r="AX342" s="16" t="s">
        <v>18898</v>
      </c>
      <c r="AY342" s="385">
        <v>11869</v>
      </c>
    </row>
    <row r="343" spans="1:51" x14ac:dyDescent="0.25">
      <c r="A343" s="16" t="s">
        <v>19492</v>
      </c>
      <c r="B343" s="16" t="s">
        <v>3605</v>
      </c>
      <c r="E343" s="16" t="s">
        <v>11732</v>
      </c>
      <c r="F343" s="16" t="str">
        <f>VLOOKUP(Table28[[#This Row],[Country]],Table10[[COUNTRY NAME]:[CONTINENT CODE]],3,FALSE)</f>
        <v>NA - US</v>
      </c>
      <c r="G343" s="16" t="s">
        <v>16954</v>
      </c>
      <c r="H343" s="181">
        <v>13022</v>
      </c>
      <c r="I343" s="180">
        <v>30.75</v>
      </c>
      <c r="K343" s="316">
        <f>IFERROR(Table28[[#This Row],[ROUTE COST]]/Table28[[#This Row],[O - DEMAND]],0)</f>
        <v>0</v>
      </c>
      <c r="M343" s="180">
        <f>Table28[[#This Row],[O - DEMAND]]/950</f>
        <v>0</v>
      </c>
      <c r="N343" s="16">
        <f>IFERROR(VLOOKUP(Table28[[#This Row],[ROUTE]],DEMAND!A:F,5,FALSE),0)</f>
        <v>0</v>
      </c>
      <c r="O343" s="16">
        <f>IFERROR(VLOOKUP(Table28[[#This Row],[ROUTE]],DEMAND!A:F,6,FALSE),0)</f>
        <v>0</v>
      </c>
      <c r="P343" s="16">
        <f>ROUNDDOWN(Table28[[#This Row],[R-DEMAND]]/950,0)</f>
        <v>0</v>
      </c>
      <c r="Q343" s="16">
        <f>Table28[[#This Row],[ADD ACC
(475/950)]]*Table28[[#This Row],[Duration
(A359)]]</f>
        <v>0</v>
      </c>
      <c r="R343" s="16">
        <f>IFERROR(VLOOKUP(Table28[[#This Row],[ROUTE]],PRICING!A:B,2,FALSE),0)</f>
        <v>0</v>
      </c>
      <c r="S343" s="16">
        <f>Table28[[#This Row],[C_DEMAND]]-Table28[[#This Row],[R-DEMAND]]</f>
        <v>0</v>
      </c>
      <c r="T343" s="316">
        <f>Table28[[#This Row],[SEATS SOLD]]*Table28[[#This Row],[ECO SEAT]]</f>
        <v>0</v>
      </c>
      <c r="U343" s="316">
        <f>Table28[[#This Row],[SEATS SOLD]]*(IFERROR(VLOOKUP(Table28[[#This Row],[ROUTE]],PRICING!A:C,3,FALSE),0))</f>
        <v>0</v>
      </c>
      <c r="V343" s="316">
        <f>Table28[[#This Row],[SEAT REV]]-Table28[[#This Row],[SEAT REV
(IF IDEAL $)]]</f>
        <v>0</v>
      </c>
      <c r="AA343" s="26"/>
      <c r="AB343" s="26"/>
      <c r="AC343" s="26"/>
      <c r="AD343" s="26"/>
      <c r="AE343" s="26"/>
      <c r="AS343" s="16" t="s">
        <v>78</v>
      </c>
      <c r="AT343" s="16" t="s">
        <v>9359</v>
      </c>
      <c r="AU343" s="16" t="s">
        <v>1467</v>
      </c>
      <c r="AV343" s="16" t="s">
        <v>18881</v>
      </c>
      <c r="AW343" s="16" t="s">
        <v>18890</v>
      </c>
      <c r="AX343" s="16" t="s">
        <v>18898</v>
      </c>
      <c r="AY343" s="385">
        <v>11879</v>
      </c>
    </row>
    <row r="344" spans="1:51" x14ac:dyDescent="0.25">
      <c r="A344" s="16" t="s">
        <v>19439</v>
      </c>
      <c r="B344" s="16" t="s">
        <v>4935</v>
      </c>
      <c r="D344" s="16">
        <v>3</v>
      </c>
      <c r="E344" s="16" t="s">
        <v>502</v>
      </c>
      <c r="F344" s="16" t="str">
        <f>VLOOKUP(Table28[[#This Row],[Country]],Table10[[COUNTRY NAME]:[CONTINENT CODE]],3,FALSE)</f>
        <v>AS</v>
      </c>
      <c r="G344" s="16" t="s">
        <v>11947</v>
      </c>
      <c r="H344" s="181">
        <v>12737</v>
      </c>
      <c r="I344" s="180">
        <v>30</v>
      </c>
      <c r="K344" s="316">
        <f>IFERROR(Table28[[#This Row],[ROUTE COST]]/Table28[[#This Row],[O - DEMAND]],0)</f>
        <v>0</v>
      </c>
      <c r="M344" s="16">
        <f>Table28[[#This Row],[O - DEMAND]]/950</f>
        <v>0</v>
      </c>
      <c r="N344" s="16">
        <f>IFERROR(VLOOKUP(Table28[[#This Row],[ROUTE]],DEMAND!A:F,5,FALSE),0)</f>
        <v>0</v>
      </c>
      <c r="O344" s="16">
        <f>IFERROR(VLOOKUP(Table28[[#This Row],[ROUTE]],DEMAND!A:F,6,FALSE),0)</f>
        <v>0</v>
      </c>
      <c r="P344" s="16">
        <f>ROUNDDOWN(Table28[[#This Row],[R-DEMAND]]/950,0)</f>
        <v>0</v>
      </c>
      <c r="Q344" s="16">
        <f>Table28[[#This Row],[ADD ACC
(475/950)]]*Table28[[#This Row],[Duration
(A359)]]</f>
        <v>0</v>
      </c>
      <c r="R344" s="16">
        <f>IFERROR(VLOOKUP(Table28[[#This Row],[ROUTE]],PRICING!A:B,2,FALSE),0)</f>
        <v>0</v>
      </c>
      <c r="S344" s="16">
        <f>Table28[[#This Row],[C_DEMAND]]-Table28[[#This Row],[R-DEMAND]]</f>
        <v>0</v>
      </c>
      <c r="T344" s="316">
        <f>Table28[[#This Row],[SEATS SOLD]]*Table28[[#This Row],[ECO SEAT]]</f>
        <v>0</v>
      </c>
      <c r="U344" s="316">
        <f>Table28[[#This Row],[SEATS SOLD]]*(IFERROR(VLOOKUP(Table28[[#This Row],[ROUTE]],PRICING!A:C,3,FALSE),0))</f>
        <v>0</v>
      </c>
      <c r="V344" s="316">
        <f>Table28[[#This Row],[SEAT REV]]-Table28[[#This Row],[SEAT REV
(IF IDEAL $)]]</f>
        <v>0</v>
      </c>
      <c r="AA344" s="26"/>
      <c r="AB344" s="26"/>
      <c r="AC344" s="26"/>
      <c r="AD344" s="26"/>
      <c r="AE344" s="26"/>
      <c r="AS344" s="16" t="s">
        <v>2764</v>
      </c>
      <c r="AT344" s="16" t="s">
        <v>11978</v>
      </c>
      <c r="AU344" s="16" t="s">
        <v>2766</v>
      </c>
      <c r="AV344" s="16" t="s">
        <v>18881</v>
      </c>
      <c r="AW344" s="16" t="s">
        <v>18879</v>
      </c>
      <c r="AX344" s="16" t="s">
        <v>18898</v>
      </c>
      <c r="AY344" s="385">
        <v>11899</v>
      </c>
    </row>
    <row r="345" spans="1:51" x14ac:dyDescent="0.25">
      <c r="A345" s="16" t="s">
        <v>19460</v>
      </c>
      <c r="B345" s="16" t="s">
        <v>4213</v>
      </c>
      <c r="C345" s="16" t="s">
        <v>467</v>
      </c>
      <c r="D345" s="16">
        <v>2</v>
      </c>
      <c r="E345" s="16" t="s">
        <v>11669</v>
      </c>
      <c r="F345" s="16" t="str">
        <f>VLOOKUP(Table28[[#This Row],[Country]],Table10[[COUNTRY NAME]:[CONTINENT CODE]],3,FALSE)</f>
        <v>SA</v>
      </c>
      <c r="G345" s="16" t="s">
        <v>13143</v>
      </c>
      <c r="H345" s="181">
        <v>12851</v>
      </c>
      <c r="I345" s="180">
        <v>30.25</v>
      </c>
      <c r="K345" s="316">
        <f>IFERROR(Table28[[#This Row],[ROUTE COST]]/Table28[[#This Row],[O - DEMAND]],0)</f>
        <v>0</v>
      </c>
      <c r="M345" s="16">
        <f>Table28[[#This Row],[O - DEMAND]]/950</f>
        <v>0</v>
      </c>
      <c r="N345" s="16">
        <f>IFERROR(VLOOKUP(Table28[[#This Row],[ROUTE]],DEMAND!A:F,5,FALSE),0)</f>
        <v>2500</v>
      </c>
      <c r="O345" s="16">
        <f>IFERROR(VLOOKUP(Table28[[#This Row],[ROUTE]],DEMAND!A:F,6,FALSE),0)</f>
        <v>600</v>
      </c>
      <c r="P345" s="16">
        <f>ROUNDDOWN(Table28[[#This Row],[R-DEMAND]]/950,0)</f>
        <v>0</v>
      </c>
      <c r="Q345" s="16">
        <f>Table28[[#This Row],[ADD ACC
(475/950)]]*Table28[[#This Row],[Duration
(A359)]]</f>
        <v>0</v>
      </c>
      <c r="R345" s="16">
        <f>IFERROR(VLOOKUP(Table28[[#This Row],[ROUTE]],PRICING!A:B,2,FALSE),0)</f>
        <v>0</v>
      </c>
      <c r="S345" s="16">
        <f>Table28[[#This Row],[C_DEMAND]]-Table28[[#This Row],[R-DEMAND]]</f>
        <v>1900</v>
      </c>
      <c r="T345" s="316">
        <f>Table28[[#This Row],[SEATS SOLD]]*Table28[[#This Row],[ECO SEAT]]</f>
        <v>0</v>
      </c>
      <c r="U345" s="316">
        <f>Table28[[#This Row],[SEATS SOLD]]*(IFERROR(VLOOKUP(Table28[[#This Row],[ROUTE]],PRICING!A:C,3,FALSE),0))</f>
        <v>0</v>
      </c>
      <c r="V345" s="316">
        <f>Table28[[#This Row],[SEAT REV]]-Table28[[#This Row],[SEAT REV
(IF IDEAL $)]]</f>
        <v>0</v>
      </c>
      <c r="AA345" s="26"/>
      <c r="AB345" s="26"/>
      <c r="AC345" s="26"/>
      <c r="AD345" s="26"/>
      <c r="AE345" s="26"/>
      <c r="AS345" s="16" t="s">
        <v>11669</v>
      </c>
      <c r="AT345" s="16" t="s">
        <v>13136</v>
      </c>
      <c r="AU345" s="16" t="s">
        <v>1795</v>
      </c>
      <c r="AV345" s="16" t="s">
        <v>18892</v>
      </c>
      <c r="AW345" s="16" t="s">
        <v>18890</v>
      </c>
      <c r="AX345" s="16" t="s">
        <v>18898</v>
      </c>
      <c r="AY345" s="385">
        <v>11924</v>
      </c>
    </row>
    <row r="346" spans="1:51" x14ac:dyDescent="0.25">
      <c r="A346" s="16" t="s">
        <v>19470</v>
      </c>
      <c r="B346" s="16" t="s">
        <v>5283</v>
      </c>
      <c r="C346" s="16" t="s">
        <v>467</v>
      </c>
      <c r="D346" s="16">
        <v>3</v>
      </c>
      <c r="E346" s="16" t="s">
        <v>502</v>
      </c>
      <c r="F346" s="16" t="str">
        <f>VLOOKUP(Table28[[#This Row],[Country]],Table10[[COUNTRY NAME]:[CONTINENT CODE]],3,FALSE)</f>
        <v>AS</v>
      </c>
      <c r="G346" s="16" t="s">
        <v>11941</v>
      </c>
      <c r="H346" s="181">
        <v>12922</v>
      </c>
      <c r="I346" s="180">
        <v>30.5</v>
      </c>
      <c r="K346" s="316">
        <f>IFERROR(Table28[[#This Row],[ROUTE COST]]/Table28[[#This Row],[O - DEMAND]],0)</f>
        <v>0</v>
      </c>
      <c r="M346" s="16">
        <f>Table28[[#This Row],[O - DEMAND]]/950</f>
        <v>0</v>
      </c>
      <c r="N346" s="16">
        <f>IFERROR(VLOOKUP(Table28[[#This Row],[ROUTE]],DEMAND!A:F,5,FALSE),0)</f>
        <v>3328</v>
      </c>
      <c r="O346" s="16">
        <f>IFERROR(VLOOKUP(Table28[[#This Row],[ROUTE]],DEMAND!A:F,6,FALSE),0)</f>
        <v>478</v>
      </c>
      <c r="P346" s="16">
        <f>ROUNDDOWN(Table28[[#This Row],[R-DEMAND]]/950,0)</f>
        <v>0</v>
      </c>
      <c r="Q346" s="16">
        <f>Table28[[#This Row],[ADD ACC
(475/950)]]*Table28[[#This Row],[Duration
(A359)]]</f>
        <v>0</v>
      </c>
      <c r="R346" s="16">
        <f>IFERROR(VLOOKUP(Table28[[#This Row],[ROUTE]],PRICING!A:B,2,FALSE),0)</f>
        <v>0</v>
      </c>
      <c r="S346" s="16">
        <f>Table28[[#This Row],[C_DEMAND]]-Table28[[#This Row],[R-DEMAND]]</f>
        <v>2850</v>
      </c>
      <c r="T346" s="316">
        <f>Table28[[#This Row],[SEATS SOLD]]*Table28[[#This Row],[ECO SEAT]]</f>
        <v>0</v>
      </c>
      <c r="U346" s="316">
        <f>Table28[[#This Row],[SEATS SOLD]]*(IFERROR(VLOOKUP(Table28[[#This Row],[ROUTE]],PRICING!A:C,3,FALSE),0))</f>
        <v>0</v>
      </c>
      <c r="V346" s="316">
        <f>Table28[[#This Row],[SEAT REV]]-Table28[[#This Row],[SEAT REV
(IF IDEAL $)]]</f>
        <v>0</v>
      </c>
      <c r="AA346" s="26"/>
      <c r="AB346" s="26"/>
      <c r="AC346" s="26"/>
      <c r="AD346" s="26"/>
      <c r="AE346" s="26"/>
      <c r="AS346" s="16" t="s">
        <v>11732</v>
      </c>
      <c r="AT346" s="16" t="s">
        <v>13258</v>
      </c>
      <c r="AU346" s="16" t="s">
        <v>5737</v>
      </c>
      <c r="AV346" s="16" t="s">
        <v>18884</v>
      </c>
      <c r="AW346" s="16" t="s">
        <v>18918</v>
      </c>
      <c r="AX346" s="16" t="s">
        <v>18898</v>
      </c>
      <c r="AY346" s="385">
        <v>11953</v>
      </c>
    </row>
    <row r="347" spans="1:51" x14ac:dyDescent="0.25">
      <c r="A347" s="16" t="s">
        <v>19335</v>
      </c>
      <c r="B347" s="16" t="s">
        <v>1467</v>
      </c>
      <c r="D347" s="16">
        <v>1</v>
      </c>
      <c r="E347" s="16" t="s">
        <v>78</v>
      </c>
      <c r="F347" s="16" t="str">
        <f>VLOOKUP(Table28[[#This Row],[Country]],Table10[[COUNTRY NAME]:[CONTINENT CODE]],3,FALSE)</f>
        <v>EU</v>
      </c>
      <c r="G347" s="16" t="s">
        <v>9359</v>
      </c>
      <c r="H347" s="181">
        <v>11879</v>
      </c>
      <c r="I347" s="180">
        <v>28.25</v>
      </c>
      <c r="K347" s="316">
        <f>IFERROR(Table28[[#This Row],[ROUTE COST]]/Table28[[#This Row],[O - DEMAND]],0)</f>
        <v>0</v>
      </c>
      <c r="M347" s="16">
        <f>Table28[[#This Row],[O - DEMAND]]/950</f>
        <v>0</v>
      </c>
      <c r="N347" s="16">
        <f>IFERROR(VLOOKUP(Table28[[#This Row],[ROUTE]],DEMAND!A:F,5,FALSE),0)</f>
        <v>0</v>
      </c>
      <c r="O347" s="16">
        <f>IFERROR(VLOOKUP(Table28[[#This Row],[ROUTE]],DEMAND!A:F,6,FALSE),0)</f>
        <v>0</v>
      </c>
      <c r="P347" s="16">
        <f>ROUNDDOWN(Table28[[#This Row],[R-DEMAND]]/950,0)</f>
        <v>0</v>
      </c>
      <c r="Q347" s="16">
        <f>Table28[[#This Row],[ADD ACC
(475/950)]]*Table28[[#This Row],[Duration
(A359)]]</f>
        <v>0</v>
      </c>
      <c r="R347" s="16">
        <f>IFERROR(VLOOKUP(Table28[[#This Row],[ROUTE]],PRICING!A:B,2,FALSE),0)</f>
        <v>0</v>
      </c>
      <c r="S347" s="16">
        <f>Table28[[#This Row],[C_DEMAND]]-Table28[[#This Row],[R-DEMAND]]</f>
        <v>0</v>
      </c>
      <c r="T347" s="316">
        <f>Table28[[#This Row],[SEATS SOLD]]*Table28[[#This Row],[ECO SEAT]]</f>
        <v>0</v>
      </c>
      <c r="U347" s="316">
        <f>Table28[[#This Row],[SEATS SOLD]]*(IFERROR(VLOOKUP(Table28[[#This Row],[ROUTE]],PRICING!A:C,3,FALSE),0))</f>
        <v>0</v>
      </c>
      <c r="V347" s="316">
        <f>Table28[[#This Row],[SEAT REV]]-Table28[[#This Row],[SEAT REV
(IF IDEAL $)]]</f>
        <v>0</v>
      </c>
      <c r="AA347" s="26"/>
      <c r="AB347" s="26"/>
      <c r="AC347" s="26"/>
      <c r="AD347" s="26"/>
      <c r="AE347" s="26"/>
      <c r="AS347" s="16" t="s">
        <v>1847</v>
      </c>
      <c r="AT347" s="16" t="s">
        <v>11983</v>
      </c>
      <c r="AU347" s="16" t="s">
        <v>1849</v>
      </c>
      <c r="AV347" s="16" t="s">
        <v>18884</v>
      </c>
      <c r="AW347" s="16" t="s">
        <v>18890</v>
      </c>
      <c r="AX347" s="16" t="s">
        <v>18898</v>
      </c>
      <c r="AY347" s="385">
        <v>11955</v>
      </c>
    </row>
    <row r="348" spans="1:51" x14ac:dyDescent="0.25">
      <c r="A348" s="16" t="s">
        <v>19253</v>
      </c>
      <c r="B348" s="16" t="s">
        <v>4582</v>
      </c>
      <c r="D348" s="16">
        <v>2</v>
      </c>
      <c r="E348" s="16" t="s">
        <v>78</v>
      </c>
      <c r="F348" s="16" t="str">
        <f>VLOOKUP(Table28[[#This Row],[Country]],Table10[[COUNTRY NAME]:[CONTINENT CODE]],3,FALSE)</f>
        <v>EU</v>
      </c>
      <c r="G348" s="16" t="s">
        <v>9358</v>
      </c>
      <c r="H348" s="181">
        <v>10610</v>
      </c>
      <c r="I348" s="180">
        <v>25.5</v>
      </c>
      <c r="K348" s="316">
        <f>IFERROR(Table28[[#This Row],[ROUTE COST]]/Table28[[#This Row],[O - DEMAND]],0)</f>
        <v>0</v>
      </c>
      <c r="M348" s="16">
        <f>Table28[[#This Row],[O - DEMAND]]/950</f>
        <v>0</v>
      </c>
      <c r="N348" s="16">
        <f>IFERROR(VLOOKUP(Table28[[#This Row],[ROUTE]],DEMAND!A:F,5,FALSE),0)</f>
        <v>0</v>
      </c>
      <c r="O348" s="16">
        <f>IFERROR(VLOOKUP(Table28[[#This Row],[ROUTE]],DEMAND!A:F,6,FALSE),0)</f>
        <v>0</v>
      </c>
      <c r="P348" s="16">
        <f>ROUNDDOWN(Table28[[#This Row],[R-DEMAND]]/950,0)</f>
        <v>0</v>
      </c>
      <c r="Q348" s="16">
        <f>Table28[[#This Row],[ADD ACC
(475/950)]]*Table28[[#This Row],[Duration
(A359)]]</f>
        <v>0</v>
      </c>
      <c r="R348" s="16">
        <f>IFERROR(VLOOKUP(Table28[[#This Row],[ROUTE]],PRICING!A:B,2,FALSE),0)</f>
        <v>0</v>
      </c>
      <c r="S348" s="16">
        <f>Table28[[#This Row],[C_DEMAND]]-Table28[[#This Row],[R-DEMAND]]</f>
        <v>0</v>
      </c>
      <c r="T348" s="316">
        <f>Table28[[#This Row],[SEATS SOLD]]*Table28[[#This Row],[ECO SEAT]]</f>
        <v>0</v>
      </c>
      <c r="U348" s="316">
        <f>Table28[[#This Row],[SEATS SOLD]]*(IFERROR(VLOOKUP(Table28[[#This Row],[ROUTE]],PRICING!A:C,3,FALSE),0))</f>
        <v>0</v>
      </c>
      <c r="V348" s="316">
        <f>Table28[[#This Row],[SEAT REV]]-Table28[[#This Row],[SEAT REV
(IF IDEAL $)]]</f>
        <v>0</v>
      </c>
      <c r="AA348" s="26"/>
      <c r="AB348" s="26"/>
      <c r="AC348" s="26"/>
      <c r="AD348" s="26"/>
      <c r="AE348" s="26"/>
      <c r="AS348" s="16" t="s">
        <v>567</v>
      </c>
      <c r="AT348" s="16" t="s">
        <v>16847</v>
      </c>
      <c r="AU348" s="16" t="s">
        <v>3856</v>
      </c>
      <c r="AV348" s="16" t="s">
        <v>18878</v>
      </c>
      <c r="AW348" s="16" t="s">
        <v>18879</v>
      </c>
      <c r="AX348" s="16" t="s">
        <v>18880</v>
      </c>
      <c r="AY348" s="385">
        <v>11961</v>
      </c>
    </row>
    <row r="349" spans="1:51" x14ac:dyDescent="0.25">
      <c r="A349" s="16" t="s">
        <v>19179</v>
      </c>
      <c r="B349" s="16" t="s">
        <v>4156</v>
      </c>
      <c r="D349" s="16">
        <v>2</v>
      </c>
      <c r="E349" s="16" t="s">
        <v>1070</v>
      </c>
      <c r="F349" s="16" t="str">
        <f>VLOOKUP(Table28[[#This Row],[Country]],Table10[[COUNTRY NAME]:[CONTINENT CODE]],3,FALSE)</f>
        <v>AS</v>
      </c>
      <c r="G349" s="16" t="s">
        <v>9344</v>
      </c>
      <c r="H349" s="181">
        <v>8900</v>
      </c>
      <c r="I349" s="180">
        <v>21.75</v>
      </c>
      <c r="K349" s="316">
        <f>IFERROR(Table28[[#This Row],[ROUTE COST]]/Table28[[#This Row],[O - DEMAND]],0)</f>
        <v>0</v>
      </c>
      <c r="M349" s="16">
        <f>Table28[[#This Row],[O - DEMAND]]/950</f>
        <v>0</v>
      </c>
      <c r="N349" s="16">
        <f>IFERROR(VLOOKUP(Table28[[#This Row],[ROUTE]],DEMAND!A:F,5,FALSE),0)</f>
        <v>0</v>
      </c>
      <c r="O349" s="16">
        <f>IFERROR(VLOOKUP(Table28[[#This Row],[ROUTE]],DEMAND!A:F,6,FALSE),0)</f>
        <v>0</v>
      </c>
      <c r="P349" s="16">
        <f>ROUNDDOWN(Table28[[#This Row],[R-DEMAND]]/950,0)</f>
        <v>0</v>
      </c>
      <c r="Q349" s="16">
        <f>Table28[[#This Row],[ADD ACC
(475/950)]]*Table28[[#This Row],[Duration
(A359)]]</f>
        <v>0</v>
      </c>
      <c r="R349" s="16">
        <f>IFERROR(VLOOKUP(Table28[[#This Row],[ROUTE]],PRICING!A:B,2,FALSE),0)</f>
        <v>0</v>
      </c>
      <c r="S349" s="16">
        <f>Table28[[#This Row],[C_DEMAND]]-Table28[[#This Row],[R-DEMAND]]</f>
        <v>0</v>
      </c>
      <c r="T349" s="316">
        <f>Table28[[#This Row],[SEATS SOLD]]*Table28[[#This Row],[ECO SEAT]]</f>
        <v>0</v>
      </c>
      <c r="U349" s="316">
        <f>Table28[[#This Row],[SEATS SOLD]]*(IFERROR(VLOOKUP(Table28[[#This Row],[ROUTE]],PRICING!A:C,3,FALSE),0))</f>
        <v>0</v>
      </c>
      <c r="V349" s="316">
        <f>Table28[[#This Row],[SEAT REV]]-Table28[[#This Row],[SEAT REV
(IF IDEAL $)]]</f>
        <v>0</v>
      </c>
      <c r="AA349" s="26"/>
      <c r="AB349" s="26"/>
      <c r="AC349" s="26"/>
      <c r="AD349" s="26"/>
      <c r="AE349" s="26"/>
      <c r="AS349" s="16" t="s">
        <v>11732</v>
      </c>
      <c r="AT349" s="16" t="s">
        <v>13259</v>
      </c>
      <c r="AU349" s="16" t="s">
        <v>5563</v>
      </c>
      <c r="AV349" s="16" t="s">
        <v>18881</v>
      </c>
      <c r="AW349" s="16" t="s">
        <v>18899</v>
      </c>
      <c r="AX349" s="16" t="s">
        <v>18880</v>
      </c>
      <c r="AY349" s="385">
        <v>11970</v>
      </c>
    </row>
    <row r="350" spans="1:51" x14ac:dyDescent="0.25">
      <c r="A350" s="16" t="s">
        <v>19208</v>
      </c>
      <c r="B350" s="16" t="s">
        <v>5043</v>
      </c>
      <c r="D350" s="16">
        <v>3</v>
      </c>
      <c r="E350" s="16" t="s">
        <v>14</v>
      </c>
      <c r="F350" s="16" t="str">
        <f>VLOOKUP(Table28[[#This Row],[Country]],Table10[[COUNTRY NAME]:[CONTINENT CODE]],3,FALSE)</f>
        <v>AS</v>
      </c>
      <c r="G350" s="16" t="s">
        <v>12029</v>
      </c>
      <c r="H350" s="181">
        <v>9271</v>
      </c>
      <c r="I350" s="180">
        <v>22.5</v>
      </c>
      <c r="K350" s="316">
        <f>IFERROR(Table28[[#This Row],[ROUTE COST]]/Table28[[#This Row],[O - DEMAND]],0)</f>
        <v>0</v>
      </c>
      <c r="M350" s="16">
        <f>Table28[[#This Row],[O - DEMAND]]/950</f>
        <v>0</v>
      </c>
      <c r="N350" s="16">
        <f>IFERROR(VLOOKUP(Table28[[#This Row],[ROUTE]],DEMAND!A:F,5,FALSE),0)</f>
        <v>0</v>
      </c>
      <c r="O350" s="16">
        <f>IFERROR(VLOOKUP(Table28[[#This Row],[ROUTE]],DEMAND!A:F,6,FALSE),0)</f>
        <v>0</v>
      </c>
      <c r="P350" s="16">
        <f>ROUNDDOWN(Table28[[#This Row],[R-DEMAND]]/950,0)</f>
        <v>0</v>
      </c>
      <c r="Q350" s="16">
        <f>Table28[[#This Row],[ADD ACC
(475/950)]]*Table28[[#This Row],[Duration
(A359)]]</f>
        <v>0</v>
      </c>
      <c r="R350" s="16">
        <f>IFERROR(VLOOKUP(Table28[[#This Row],[ROUTE]],PRICING!A:B,2,FALSE),0)</f>
        <v>0</v>
      </c>
      <c r="S350" s="16">
        <f>Table28[[#This Row],[C_DEMAND]]-Table28[[#This Row],[R-DEMAND]]</f>
        <v>0</v>
      </c>
      <c r="T350" s="316">
        <f>Table28[[#This Row],[SEATS SOLD]]*Table28[[#This Row],[ECO SEAT]]</f>
        <v>0</v>
      </c>
      <c r="U350" s="316">
        <f>Table28[[#This Row],[SEATS SOLD]]*(IFERROR(VLOOKUP(Table28[[#This Row],[ROUTE]],PRICING!A:C,3,FALSE),0))</f>
        <v>0</v>
      </c>
      <c r="V350" s="316">
        <f>Table28[[#This Row],[SEAT REV]]-Table28[[#This Row],[SEAT REV
(IF IDEAL $)]]</f>
        <v>0</v>
      </c>
      <c r="AA350" s="26"/>
      <c r="AB350" s="26"/>
      <c r="AC350" s="26"/>
      <c r="AD350" s="26"/>
      <c r="AE350" s="26"/>
      <c r="AS350" s="16" t="s">
        <v>1847</v>
      </c>
      <c r="AT350" s="16" t="s">
        <v>11982</v>
      </c>
      <c r="AU350" s="16" t="s">
        <v>2872</v>
      </c>
      <c r="AV350" s="16" t="s">
        <v>18884</v>
      </c>
      <c r="AW350" s="16" t="s">
        <v>18879</v>
      </c>
      <c r="AX350" s="16" t="s">
        <v>18880</v>
      </c>
      <c r="AY350" s="385">
        <v>11971</v>
      </c>
    </row>
    <row r="351" spans="1:51" x14ac:dyDescent="0.25">
      <c r="A351" s="16" t="s">
        <v>19765</v>
      </c>
      <c r="B351" s="16" t="s">
        <v>5499</v>
      </c>
      <c r="D351" s="16">
        <v>4</v>
      </c>
      <c r="E351" s="16" t="s">
        <v>11732</v>
      </c>
      <c r="F351" s="16" t="str">
        <f>VLOOKUP(Table28[[#This Row],[Country]],Table10[[COUNTRY NAME]:[CONTINENT CODE]],3,FALSE)</f>
        <v>NA - US</v>
      </c>
      <c r="G351" s="16" t="s">
        <v>13322</v>
      </c>
      <c r="H351" s="181">
        <v>14951</v>
      </c>
      <c r="I351" s="180">
        <v>35</v>
      </c>
      <c r="K351" s="316">
        <f>IFERROR(Table28[[#This Row],[ROUTE COST]]/Table28[[#This Row],[O - DEMAND]],0)</f>
        <v>0</v>
      </c>
      <c r="M351" s="180">
        <f>Table28[[#This Row],[O - DEMAND]]/950</f>
        <v>0</v>
      </c>
      <c r="N351" s="16">
        <f>IFERROR(VLOOKUP(Table28[[#This Row],[ROUTE]],DEMAND!A:F,5,FALSE),0)</f>
        <v>0</v>
      </c>
      <c r="O351" s="16">
        <f>IFERROR(VLOOKUP(Table28[[#This Row],[ROUTE]],DEMAND!A:F,6,FALSE),0)</f>
        <v>0</v>
      </c>
      <c r="P351" s="16">
        <f>ROUNDDOWN(Table28[[#This Row],[R-DEMAND]]/950,0)</f>
        <v>0</v>
      </c>
      <c r="Q351" s="16">
        <f>Table28[[#This Row],[ADD ACC
(475/950)]]*Table28[[#This Row],[Duration
(A359)]]</f>
        <v>0</v>
      </c>
      <c r="R351" s="16">
        <f>IFERROR(VLOOKUP(Table28[[#This Row],[ROUTE]],PRICING!A:B,2,FALSE),0)</f>
        <v>0</v>
      </c>
      <c r="S351" s="16">
        <f>Table28[[#This Row],[C_DEMAND]]-Table28[[#This Row],[R-DEMAND]]</f>
        <v>0</v>
      </c>
      <c r="T351" s="316">
        <f>Table28[[#This Row],[SEATS SOLD]]*Table28[[#This Row],[ECO SEAT]]</f>
        <v>0</v>
      </c>
      <c r="U351" s="316">
        <f>Table28[[#This Row],[SEATS SOLD]]*(IFERROR(VLOOKUP(Table28[[#This Row],[ROUTE]],PRICING!A:C,3,FALSE),0))</f>
        <v>0</v>
      </c>
      <c r="V351" s="316">
        <f>Table28[[#This Row],[SEAT REV]]-Table28[[#This Row],[SEAT REV
(IF IDEAL $)]]</f>
        <v>0</v>
      </c>
      <c r="AA351" s="26"/>
      <c r="AB351" s="26"/>
      <c r="AC351" s="26"/>
      <c r="AD351" s="26"/>
      <c r="AE351" s="26"/>
      <c r="AS351" s="16" t="s">
        <v>11732</v>
      </c>
      <c r="AT351" s="16" t="s">
        <v>13260</v>
      </c>
      <c r="AU351" s="16" t="s">
        <v>5534</v>
      </c>
      <c r="AV351" s="16" t="s">
        <v>18884</v>
      </c>
      <c r="AW351" s="16" t="s">
        <v>18899</v>
      </c>
      <c r="AX351" s="16" t="s">
        <v>18880</v>
      </c>
      <c r="AY351" s="385">
        <v>11973</v>
      </c>
    </row>
    <row r="352" spans="1:51" x14ac:dyDescent="0.25">
      <c r="A352" s="16" t="s">
        <v>19197</v>
      </c>
      <c r="B352" s="16" t="s">
        <v>256</v>
      </c>
      <c r="C352" s="16" t="s">
        <v>467</v>
      </c>
      <c r="D352" s="16">
        <v>1</v>
      </c>
      <c r="E352" s="16" t="s">
        <v>530</v>
      </c>
      <c r="F352" s="16" t="str">
        <f>VLOOKUP(Table28[[#This Row],[Country]],Table10[[COUNTRY NAME]:[CONTINENT CODE]],3,FALSE)</f>
        <v>SA</v>
      </c>
      <c r="G352" s="16" t="s">
        <v>13177</v>
      </c>
      <c r="H352" s="181">
        <v>9151</v>
      </c>
      <c r="I352" s="180">
        <v>22.25</v>
      </c>
      <c r="K352" s="316">
        <f>IFERROR(Table28[[#This Row],[ROUTE COST]]/Table28[[#This Row],[O - DEMAND]],0)</f>
        <v>0</v>
      </c>
      <c r="M352" s="16">
        <f>Table28[[#This Row],[O - DEMAND]]/950</f>
        <v>0</v>
      </c>
      <c r="N352" s="16">
        <f>IFERROR(VLOOKUP(Table28[[#This Row],[ROUTE]],DEMAND!A:F,5,FALSE),0)</f>
        <v>1861</v>
      </c>
      <c r="O352" s="16">
        <f>IFERROR(VLOOKUP(Table28[[#This Row],[ROUTE]],DEMAND!A:F,6,FALSE),0)</f>
        <v>911</v>
      </c>
      <c r="P352" s="16">
        <f>ROUNDDOWN(Table28[[#This Row],[R-DEMAND]]/950,0)</f>
        <v>0</v>
      </c>
      <c r="Q352" s="16">
        <f>Table28[[#This Row],[ADD ACC
(475/950)]]*Table28[[#This Row],[Duration
(A359)]]</f>
        <v>0</v>
      </c>
      <c r="R352" s="16">
        <f>IFERROR(VLOOKUP(Table28[[#This Row],[ROUTE]],PRICING!A:B,2,FALSE),0)</f>
        <v>0</v>
      </c>
      <c r="S352" s="16">
        <f>Table28[[#This Row],[C_DEMAND]]-Table28[[#This Row],[R-DEMAND]]</f>
        <v>950</v>
      </c>
      <c r="T352" s="316">
        <f>Table28[[#This Row],[SEATS SOLD]]*Table28[[#This Row],[ECO SEAT]]</f>
        <v>0</v>
      </c>
      <c r="U352" s="316">
        <f>Table28[[#This Row],[SEATS SOLD]]*(IFERROR(VLOOKUP(Table28[[#This Row],[ROUTE]],PRICING!A:C,3,FALSE),0))</f>
        <v>0</v>
      </c>
      <c r="V352" s="316">
        <f>Table28[[#This Row],[SEAT REV]]-Table28[[#This Row],[SEAT REV
(IF IDEAL $)]]</f>
        <v>0</v>
      </c>
      <c r="AA352" s="26"/>
      <c r="AB352" s="26"/>
      <c r="AC352" s="26"/>
      <c r="AD352" s="26"/>
      <c r="AE352" s="26"/>
      <c r="AS352" s="16" t="s">
        <v>1516</v>
      </c>
      <c r="AT352" s="16" t="s">
        <v>11928</v>
      </c>
      <c r="AU352" s="16" t="s">
        <v>3668</v>
      </c>
      <c r="AV352" s="16" t="s">
        <v>18884</v>
      </c>
      <c r="AW352" s="16" t="s">
        <v>18879</v>
      </c>
      <c r="AX352" s="16" t="s">
        <v>18880</v>
      </c>
      <c r="AY352" s="385">
        <v>11983</v>
      </c>
    </row>
    <row r="353" spans="1:51" x14ac:dyDescent="0.25">
      <c r="A353" s="16" t="s">
        <v>19413</v>
      </c>
      <c r="B353" s="16" t="s">
        <v>3964</v>
      </c>
      <c r="C353" s="16" t="s">
        <v>467</v>
      </c>
      <c r="D353" s="16">
        <v>2</v>
      </c>
      <c r="E353" s="16" t="s">
        <v>530</v>
      </c>
      <c r="F353" s="16" t="str">
        <f>VLOOKUP(Table28[[#This Row],[Country]],Table10[[COUNTRY NAME]:[CONTINENT CODE]],3,FALSE)</f>
        <v>SA</v>
      </c>
      <c r="G353" s="16" t="s">
        <v>13179</v>
      </c>
      <c r="H353" s="181">
        <v>12544</v>
      </c>
      <c r="I353" s="180">
        <v>29.75</v>
      </c>
      <c r="K353" s="316">
        <f>IFERROR(Table28[[#This Row],[ROUTE COST]]/Table28[[#This Row],[O - DEMAND]],0)</f>
        <v>0</v>
      </c>
      <c r="M353" s="16">
        <f>Table28[[#This Row],[O - DEMAND]]/950</f>
        <v>0</v>
      </c>
      <c r="N353" s="16">
        <f>IFERROR(VLOOKUP(Table28[[#This Row],[ROUTE]],DEMAND!A:F,5,FALSE),0)</f>
        <v>2388</v>
      </c>
      <c r="O353" s="16">
        <f>IFERROR(VLOOKUP(Table28[[#This Row],[ROUTE]],DEMAND!A:F,6,FALSE),0)</f>
        <v>488</v>
      </c>
      <c r="P353" s="16">
        <f>ROUNDDOWN(Table28[[#This Row],[R-DEMAND]]/950,0)</f>
        <v>0</v>
      </c>
      <c r="Q353" s="16">
        <f>Table28[[#This Row],[ADD ACC
(475/950)]]*Table28[[#This Row],[Duration
(A359)]]</f>
        <v>0</v>
      </c>
      <c r="R353" s="16">
        <f>IFERROR(VLOOKUP(Table28[[#This Row],[ROUTE]],PRICING!A:B,2,FALSE),0)</f>
        <v>0</v>
      </c>
      <c r="S353" s="16">
        <f>Table28[[#This Row],[C_DEMAND]]-Table28[[#This Row],[R-DEMAND]]</f>
        <v>1900</v>
      </c>
      <c r="T353" s="316">
        <f>Table28[[#This Row],[SEATS SOLD]]*Table28[[#This Row],[ECO SEAT]]</f>
        <v>0</v>
      </c>
      <c r="U353" s="316">
        <f>Table28[[#This Row],[SEATS SOLD]]*(IFERROR(VLOOKUP(Table28[[#This Row],[ROUTE]],PRICING!A:C,3,FALSE),0))</f>
        <v>0</v>
      </c>
      <c r="V353" s="316">
        <f>Table28[[#This Row],[SEAT REV]]-Table28[[#This Row],[SEAT REV
(IF IDEAL $)]]</f>
        <v>0</v>
      </c>
      <c r="AA353" s="26"/>
      <c r="AB353" s="26"/>
      <c r="AC353" s="26"/>
      <c r="AD353" s="26"/>
      <c r="AE353" s="26"/>
      <c r="AS353" s="16" t="s">
        <v>1289</v>
      </c>
      <c r="AT353" s="16" t="s">
        <v>11968</v>
      </c>
      <c r="AU353" s="16" t="s">
        <v>3078</v>
      </c>
      <c r="AV353" s="16" t="s">
        <v>18881</v>
      </c>
      <c r="AW353" s="16" t="s">
        <v>18879</v>
      </c>
      <c r="AX353" s="16" t="s">
        <v>18880</v>
      </c>
      <c r="AY353" s="385">
        <v>11988</v>
      </c>
    </row>
    <row r="354" spans="1:51" x14ac:dyDescent="0.25">
      <c r="A354" s="16" t="s">
        <v>19337</v>
      </c>
      <c r="B354" s="16" t="s">
        <v>1795</v>
      </c>
      <c r="D354" s="16">
        <v>1</v>
      </c>
      <c r="E354" s="16" t="s">
        <v>11669</v>
      </c>
      <c r="F354" s="16" t="str">
        <f>VLOOKUP(Table28[[#This Row],[Country]],Table10[[COUNTRY NAME]:[CONTINENT CODE]],3,FALSE)</f>
        <v>SA</v>
      </c>
      <c r="G354" s="16" t="s">
        <v>13136</v>
      </c>
      <c r="H354" s="181">
        <v>11924</v>
      </c>
      <c r="I354" s="180">
        <v>28.25</v>
      </c>
      <c r="K354" s="316">
        <f>IFERROR(Table28[[#This Row],[ROUTE COST]]/Table28[[#This Row],[O - DEMAND]],0)</f>
        <v>0</v>
      </c>
      <c r="M354" s="16">
        <f>Table28[[#This Row],[O - DEMAND]]/950</f>
        <v>0</v>
      </c>
      <c r="N354" s="16">
        <f>IFERROR(VLOOKUP(Table28[[#This Row],[ROUTE]],DEMAND!A:F,5,FALSE),0)</f>
        <v>0</v>
      </c>
      <c r="O354" s="16">
        <f>IFERROR(VLOOKUP(Table28[[#This Row],[ROUTE]],DEMAND!A:F,6,FALSE),0)</f>
        <v>0</v>
      </c>
      <c r="P354" s="16">
        <f>ROUNDDOWN(Table28[[#This Row],[R-DEMAND]]/950,0)</f>
        <v>0</v>
      </c>
      <c r="Q354" s="16">
        <f>Table28[[#This Row],[ADD ACC
(475/950)]]*Table28[[#This Row],[Duration
(A359)]]</f>
        <v>0</v>
      </c>
      <c r="R354" s="16">
        <f>IFERROR(VLOOKUP(Table28[[#This Row],[ROUTE]],PRICING!A:B,2,FALSE),0)</f>
        <v>0</v>
      </c>
      <c r="S354" s="16">
        <f>Table28[[#This Row],[C_DEMAND]]-Table28[[#This Row],[R-DEMAND]]</f>
        <v>0</v>
      </c>
      <c r="T354" s="316">
        <f>Table28[[#This Row],[SEATS SOLD]]*Table28[[#This Row],[ECO SEAT]]</f>
        <v>0</v>
      </c>
      <c r="U354" s="316">
        <f>Table28[[#This Row],[SEATS SOLD]]*(IFERROR(VLOOKUP(Table28[[#This Row],[ROUTE]],PRICING!A:C,3,FALSE),0))</f>
        <v>0</v>
      </c>
      <c r="V354" s="316">
        <f>Table28[[#This Row],[SEAT REV]]-Table28[[#This Row],[SEAT REV
(IF IDEAL $)]]</f>
        <v>0</v>
      </c>
      <c r="AA354" s="26"/>
      <c r="AB354" s="26"/>
      <c r="AC354" s="26"/>
      <c r="AD354" s="26"/>
      <c r="AE354" s="26"/>
      <c r="AS354" s="16" t="s">
        <v>1847</v>
      </c>
      <c r="AT354" s="16" t="s">
        <v>11979</v>
      </c>
      <c r="AU354" s="16" t="s">
        <v>3141</v>
      </c>
      <c r="AV354" s="16" t="s">
        <v>18884</v>
      </c>
      <c r="AW354" s="16" t="s">
        <v>18879</v>
      </c>
      <c r="AX354" s="16" t="s">
        <v>18880</v>
      </c>
      <c r="AY354" s="385">
        <v>12017</v>
      </c>
    </row>
    <row r="355" spans="1:51" x14ac:dyDescent="0.25">
      <c r="A355" s="16" t="s">
        <v>19002</v>
      </c>
      <c r="B355" s="16" t="s">
        <v>3414</v>
      </c>
      <c r="D355" s="16">
        <v>2</v>
      </c>
      <c r="E355" s="16" t="s">
        <v>774</v>
      </c>
      <c r="F355" s="16" t="str">
        <f>VLOOKUP(Table28[[#This Row],[Country]],Table10[[COUNTRY NAME]:[CONTINENT CODE]],3,FALSE)</f>
        <v>OC</v>
      </c>
      <c r="G355" s="16" t="s">
        <v>9300</v>
      </c>
      <c r="H355" s="181">
        <v>1872</v>
      </c>
      <c r="I355" s="180">
        <v>6.25</v>
      </c>
      <c r="K355" s="316">
        <f>IFERROR(Table28[[#This Row],[ROUTE COST]]/Table28[[#This Row],[O - DEMAND]],0)</f>
        <v>0</v>
      </c>
      <c r="M355" s="16">
        <f>Table28[[#This Row],[O - DEMAND]]/950</f>
        <v>0</v>
      </c>
      <c r="N355" s="16">
        <f>IFERROR(VLOOKUP(Table28[[#This Row],[ROUTE]],DEMAND!A:F,5,FALSE),0)</f>
        <v>0</v>
      </c>
      <c r="O355" s="16">
        <f>IFERROR(VLOOKUP(Table28[[#This Row],[ROUTE]],DEMAND!A:F,6,FALSE),0)</f>
        <v>0</v>
      </c>
      <c r="P355" s="16">
        <f>ROUNDDOWN(Table28[[#This Row],[R-DEMAND]]/950,0)</f>
        <v>0</v>
      </c>
      <c r="Q355" s="16">
        <f>Table28[[#This Row],[ADD ACC
(475/950)]]*Table28[[#This Row],[Duration
(A359)]]</f>
        <v>0</v>
      </c>
      <c r="R355" s="16">
        <f>IFERROR(VLOOKUP(Table28[[#This Row],[ROUTE]],PRICING!A:B,2,FALSE),0)</f>
        <v>0</v>
      </c>
      <c r="S355" s="16">
        <f>Table28[[#This Row],[C_DEMAND]]-Table28[[#This Row],[R-DEMAND]]</f>
        <v>0</v>
      </c>
      <c r="T355" s="316">
        <f>Table28[[#This Row],[SEATS SOLD]]*Table28[[#This Row],[ECO SEAT]]</f>
        <v>0</v>
      </c>
      <c r="U355" s="316">
        <f>Table28[[#This Row],[SEATS SOLD]]*(IFERROR(VLOOKUP(Table28[[#This Row],[ROUTE]],PRICING!A:C,3,FALSE),0))</f>
        <v>0</v>
      </c>
      <c r="V355" s="316">
        <f>Table28[[#This Row],[SEAT REV]]-Table28[[#This Row],[SEAT REV
(IF IDEAL $)]]</f>
        <v>0</v>
      </c>
      <c r="AA355" s="26"/>
      <c r="AB355" s="26"/>
      <c r="AC355" s="26"/>
      <c r="AD355" s="26"/>
      <c r="AE355" s="26"/>
      <c r="AS355" s="16" t="s">
        <v>588</v>
      </c>
      <c r="AT355" s="16" t="s">
        <v>11959</v>
      </c>
      <c r="AU355" s="16" t="s">
        <v>2601</v>
      </c>
      <c r="AV355" s="16" t="s">
        <v>18884</v>
      </c>
      <c r="AW355" s="16" t="s">
        <v>18879</v>
      </c>
      <c r="AX355" s="16" t="s">
        <v>18880</v>
      </c>
      <c r="AY355" s="385">
        <v>12036</v>
      </c>
    </row>
    <row r="356" spans="1:51" x14ac:dyDescent="0.25">
      <c r="A356" s="16" t="s">
        <v>19287</v>
      </c>
      <c r="B356" s="16" t="s">
        <v>254</v>
      </c>
      <c r="C356" s="16" t="s">
        <v>467</v>
      </c>
      <c r="D356" s="16">
        <v>3</v>
      </c>
      <c r="E356" s="16" t="s">
        <v>197</v>
      </c>
      <c r="F356" s="16" t="str">
        <f>VLOOKUP(Table28[[#This Row],[Country]],Table10[[COUNTRY NAME]:[CONTINENT CODE]],3,FALSE)</f>
        <v>AS</v>
      </c>
      <c r="G356" s="16" t="s">
        <v>12008</v>
      </c>
      <c r="H356" s="181">
        <v>11076</v>
      </c>
      <c r="I356" s="180">
        <v>26.5</v>
      </c>
      <c r="K356" s="316">
        <f>IFERROR(Table28[[#This Row],[ROUTE COST]]/Table28[[#This Row],[O - DEMAND]],0)</f>
        <v>0</v>
      </c>
      <c r="M356" s="16">
        <f>Table28[[#This Row],[O - DEMAND]]/950</f>
        <v>0</v>
      </c>
      <c r="N356" s="16">
        <f>IFERROR(VLOOKUP(Table28[[#This Row],[ROUTE]],DEMAND!A:F,5,FALSE),0)</f>
        <v>4128</v>
      </c>
      <c r="O356" s="16">
        <f>IFERROR(VLOOKUP(Table28[[#This Row],[ROUTE]],DEMAND!A:F,6,FALSE),0)</f>
        <v>328</v>
      </c>
      <c r="P356" s="16">
        <f>ROUNDDOWN(Table28[[#This Row],[R-DEMAND]]/950,0)</f>
        <v>0</v>
      </c>
      <c r="Q356" s="16">
        <f>Table28[[#This Row],[ADD ACC
(475/950)]]*Table28[[#This Row],[Duration
(A359)]]</f>
        <v>0</v>
      </c>
      <c r="R356" s="16">
        <f>IFERROR(VLOOKUP(Table28[[#This Row],[ROUTE]],PRICING!A:B,2,FALSE),0)</f>
        <v>0</v>
      </c>
      <c r="S356" s="16">
        <f>Table28[[#This Row],[C_DEMAND]]-Table28[[#This Row],[R-DEMAND]]</f>
        <v>3800</v>
      </c>
      <c r="T356" s="316">
        <f>Table28[[#This Row],[SEATS SOLD]]*Table28[[#This Row],[ECO SEAT]]</f>
        <v>0</v>
      </c>
      <c r="U356" s="316">
        <f>Table28[[#This Row],[SEATS SOLD]]*(IFERROR(VLOOKUP(Table28[[#This Row],[ROUTE]],PRICING!A:C,3,FALSE),0))</f>
        <v>0</v>
      </c>
      <c r="V356" s="316">
        <f>Table28[[#This Row],[SEAT REV]]-Table28[[#This Row],[SEAT REV
(IF IDEAL $)]]</f>
        <v>0</v>
      </c>
      <c r="AA356" s="26"/>
      <c r="AB356" s="26"/>
      <c r="AC356" s="26"/>
      <c r="AD356" s="26"/>
      <c r="AE356" s="26"/>
      <c r="AS356" s="16" t="s">
        <v>1847</v>
      </c>
      <c r="AT356" s="16" t="s">
        <v>11977</v>
      </c>
      <c r="AU356" s="16" t="s">
        <v>5369</v>
      </c>
      <c r="AV356" s="16" t="s">
        <v>18884</v>
      </c>
      <c r="AW356" s="16" t="s">
        <v>18885</v>
      </c>
      <c r="AX356" s="16" t="s">
        <v>18880</v>
      </c>
      <c r="AY356" s="385">
        <v>12038</v>
      </c>
    </row>
    <row r="357" spans="1:51" x14ac:dyDescent="0.25">
      <c r="A357" s="16" t="s">
        <v>19730</v>
      </c>
      <c r="B357" s="16" t="s">
        <v>1211</v>
      </c>
      <c r="D357" s="16">
        <v>1</v>
      </c>
      <c r="E357" s="16" t="s">
        <v>700</v>
      </c>
      <c r="F357" s="16" t="str">
        <f>VLOOKUP(Table28[[#This Row],[Country]],Table10[[COUNTRY NAME]:[CONTINENT CODE]],3,FALSE)</f>
        <v>AS</v>
      </c>
      <c r="G357" s="16" t="s">
        <v>11854</v>
      </c>
      <c r="H357" s="181">
        <v>14759</v>
      </c>
      <c r="I357" s="180">
        <v>34.5</v>
      </c>
      <c r="K357" s="316">
        <f>IFERROR(Table28[[#This Row],[ROUTE COST]]/Table28[[#This Row],[O - DEMAND]],0)</f>
        <v>0</v>
      </c>
      <c r="M357" s="16">
        <f>Table28[[#This Row],[O - DEMAND]]/950</f>
        <v>0</v>
      </c>
      <c r="N357" s="16">
        <f>IFERROR(VLOOKUP(Table28[[#This Row],[ROUTE]],DEMAND!A:F,5,FALSE),0)</f>
        <v>0</v>
      </c>
      <c r="O357" s="16">
        <f>IFERROR(VLOOKUP(Table28[[#This Row],[ROUTE]],DEMAND!A:F,6,FALSE),0)</f>
        <v>0</v>
      </c>
      <c r="P357" s="16">
        <f>ROUNDDOWN(Table28[[#This Row],[R-DEMAND]]/950,0)</f>
        <v>0</v>
      </c>
      <c r="Q357" s="16">
        <f>Table28[[#This Row],[ADD ACC
(475/950)]]*Table28[[#This Row],[Duration
(A359)]]</f>
        <v>0</v>
      </c>
      <c r="R357" s="16">
        <f>IFERROR(VLOOKUP(Table28[[#This Row],[ROUTE]],PRICING!A:B,2,FALSE),0)</f>
        <v>0</v>
      </c>
      <c r="S357" s="16">
        <f>Table28[[#This Row],[C_DEMAND]]-Table28[[#This Row],[R-DEMAND]]</f>
        <v>0</v>
      </c>
      <c r="T357" s="316">
        <f>Table28[[#This Row],[SEATS SOLD]]*Table28[[#This Row],[ECO SEAT]]</f>
        <v>0</v>
      </c>
      <c r="U357" s="316">
        <f>Table28[[#This Row],[SEATS SOLD]]*(IFERROR(VLOOKUP(Table28[[#This Row],[ROUTE]],PRICING!A:C,3,FALSE),0))</f>
        <v>0</v>
      </c>
      <c r="V357" s="316">
        <f>Table28[[#This Row],[SEAT REV]]-Table28[[#This Row],[SEAT REV
(IF IDEAL $)]]</f>
        <v>0</v>
      </c>
      <c r="AA357" s="26"/>
      <c r="AB357" s="26"/>
      <c r="AC357" s="26"/>
      <c r="AD357" s="26"/>
      <c r="AE357" s="26"/>
      <c r="AS357" s="16" t="s">
        <v>1847</v>
      </c>
      <c r="AT357" s="16" t="s">
        <v>11976</v>
      </c>
      <c r="AU357" s="16" t="s">
        <v>320</v>
      </c>
      <c r="AV357" s="16" t="s">
        <v>18884</v>
      </c>
      <c r="AX357" s="16" t="s">
        <v>18880</v>
      </c>
      <c r="AY357" s="385">
        <v>12045</v>
      </c>
    </row>
    <row r="358" spans="1:51" x14ac:dyDescent="0.25">
      <c r="A358" s="16" t="s">
        <v>19771</v>
      </c>
      <c r="B358" s="16" t="s">
        <v>252</v>
      </c>
      <c r="C358" s="16" t="s">
        <v>467</v>
      </c>
      <c r="D358" s="16">
        <v>5</v>
      </c>
      <c r="E358" s="16" t="s">
        <v>700</v>
      </c>
      <c r="F358" s="16" t="str">
        <f>VLOOKUP(Table28[[#This Row],[Country]],Table10[[COUNTRY NAME]:[CONTINENT CODE]],3,FALSE)</f>
        <v>AS</v>
      </c>
      <c r="G358" s="16" t="s">
        <v>11077</v>
      </c>
      <c r="H358" s="181">
        <v>14976</v>
      </c>
      <c r="I358" s="180">
        <v>35</v>
      </c>
      <c r="K358" s="316">
        <f>IFERROR(Table28[[#This Row],[ROUTE COST]]/Table28[[#This Row],[O - DEMAND]],0)</f>
        <v>0</v>
      </c>
      <c r="M358" s="16">
        <f>Table28[[#This Row],[O - DEMAND]]/950</f>
        <v>0</v>
      </c>
      <c r="N358" s="16">
        <f>IFERROR(VLOOKUP(Table28[[#This Row],[ROUTE]],DEMAND!A:F,5,FALSE),0)</f>
        <v>2203</v>
      </c>
      <c r="O358" s="16">
        <f>IFERROR(VLOOKUP(Table28[[#This Row],[ROUTE]],DEMAND!A:F,6,FALSE),0)</f>
        <v>303</v>
      </c>
      <c r="P358" s="16">
        <f>ROUNDDOWN(Table28[[#This Row],[R-DEMAND]]/950,0)</f>
        <v>0</v>
      </c>
      <c r="Q358" s="16">
        <f>Table28[[#This Row],[ADD ACC
(475/950)]]*Table28[[#This Row],[Duration
(A359)]]</f>
        <v>0</v>
      </c>
      <c r="R358" s="16">
        <f>IFERROR(VLOOKUP(Table28[[#This Row],[ROUTE]],PRICING!A:B,2,FALSE),0)</f>
        <v>0</v>
      </c>
      <c r="S358" s="16">
        <f>Table28[[#This Row],[C_DEMAND]]-Table28[[#This Row],[R-DEMAND]]</f>
        <v>1900</v>
      </c>
      <c r="T358" s="316">
        <f>Table28[[#This Row],[SEATS SOLD]]*Table28[[#This Row],[ECO SEAT]]</f>
        <v>0</v>
      </c>
      <c r="U358" s="316">
        <f>Table28[[#This Row],[SEATS SOLD]]*(IFERROR(VLOOKUP(Table28[[#This Row],[ROUTE]],PRICING!A:C,3,FALSE),0))</f>
        <v>0</v>
      </c>
      <c r="V358" s="316">
        <f>Table28[[#This Row],[SEAT REV]]-Table28[[#This Row],[SEAT REV
(IF IDEAL $)]]</f>
        <v>0</v>
      </c>
      <c r="AA358" s="26"/>
      <c r="AB358" s="26"/>
      <c r="AC358" s="26"/>
      <c r="AD358" s="26"/>
      <c r="AE358" s="26"/>
      <c r="AS358" s="16" t="s">
        <v>1847</v>
      </c>
      <c r="AT358" s="16" t="s">
        <v>11087</v>
      </c>
      <c r="AU358" s="16" t="s">
        <v>319</v>
      </c>
      <c r="AV358" s="16" t="s">
        <v>18884</v>
      </c>
      <c r="AW358" s="16" t="s">
        <v>18918</v>
      </c>
      <c r="AX358" s="16" t="s">
        <v>18880</v>
      </c>
      <c r="AY358" s="385">
        <v>12047</v>
      </c>
    </row>
    <row r="359" spans="1:51" x14ac:dyDescent="0.25">
      <c r="A359" s="16" t="s">
        <v>19103</v>
      </c>
      <c r="B359" s="16" t="s">
        <v>249</v>
      </c>
      <c r="C359" s="16" t="s">
        <v>467</v>
      </c>
      <c r="D359" s="16">
        <v>4</v>
      </c>
      <c r="E359" s="16" t="s">
        <v>142</v>
      </c>
      <c r="F359" s="16" t="str">
        <f>VLOOKUP(Table28[[#This Row],[Country]],Table10[[COUNTRY NAME]:[CONTINENT CODE]],3,FALSE)</f>
        <v>AS</v>
      </c>
      <c r="G359" s="16" t="s">
        <v>11076</v>
      </c>
      <c r="H359" s="181">
        <v>7818</v>
      </c>
      <c r="I359" s="180">
        <v>19.25</v>
      </c>
      <c r="K359" s="316">
        <f>IFERROR(Table28[[#This Row],[ROUTE COST]]/Table28[[#This Row],[O - DEMAND]],0)</f>
        <v>0</v>
      </c>
      <c r="M359" s="16">
        <f>Table28[[#This Row],[O - DEMAND]]/950</f>
        <v>0</v>
      </c>
      <c r="N359" s="16">
        <f>IFERROR(VLOOKUP(Table28[[#This Row],[ROUTE]],DEMAND!A:F,5,FALSE),0)</f>
        <v>2561</v>
      </c>
      <c r="O359" s="16">
        <f>IFERROR(VLOOKUP(Table28[[#This Row],[ROUTE]],DEMAND!A:F,6,FALSE),0)</f>
        <v>661</v>
      </c>
      <c r="P359" s="16">
        <f>ROUNDDOWN(Table28[[#This Row],[R-DEMAND]]/950,0)</f>
        <v>0</v>
      </c>
      <c r="Q359" s="16">
        <f>Table28[[#This Row],[ADD ACC
(475/950)]]*Table28[[#This Row],[Duration
(A359)]]</f>
        <v>0</v>
      </c>
      <c r="R359" s="16">
        <f>IFERROR(VLOOKUP(Table28[[#This Row],[ROUTE]],PRICING!A:B,2,FALSE),0)</f>
        <v>0</v>
      </c>
      <c r="S359" s="16">
        <f>Table28[[#This Row],[C_DEMAND]]-Table28[[#This Row],[R-DEMAND]]</f>
        <v>1900</v>
      </c>
      <c r="T359" s="316">
        <f>Table28[[#This Row],[SEATS SOLD]]*Table28[[#This Row],[ECO SEAT]]</f>
        <v>0</v>
      </c>
      <c r="U359" s="316">
        <f>Table28[[#This Row],[SEATS SOLD]]*(IFERROR(VLOOKUP(Table28[[#This Row],[ROUTE]],PRICING!A:C,3,FALSE),0))</f>
        <v>0</v>
      </c>
      <c r="V359" s="316">
        <f>Table28[[#This Row],[SEAT REV]]-Table28[[#This Row],[SEAT REV
(IF IDEAL $)]]</f>
        <v>0</v>
      </c>
      <c r="AA359" s="26"/>
      <c r="AB359" s="26"/>
      <c r="AC359" s="26"/>
      <c r="AD359" s="26"/>
      <c r="AE359" s="26"/>
      <c r="AS359" s="16" t="s">
        <v>11669</v>
      </c>
      <c r="AT359" s="16" t="s">
        <v>10204</v>
      </c>
      <c r="AU359" s="16" t="s">
        <v>1828</v>
      </c>
      <c r="AV359" s="16" t="s">
        <v>18892</v>
      </c>
      <c r="AW359" s="16" t="s">
        <v>18890</v>
      </c>
      <c r="AX359" s="16" t="s">
        <v>18880</v>
      </c>
      <c r="AY359" s="385">
        <v>12052</v>
      </c>
    </row>
    <row r="360" spans="1:51" x14ac:dyDescent="0.25">
      <c r="A360" s="16" t="s">
        <v>19139</v>
      </c>
      <c r="B360" s="16" t="s">
        <v>4744</v>
      </c>
      <c r="D360" s="16">
        <v>3</v>
      </c>
      <c r="E360" s="16" t="s">
        <v>11732</v>
      </c>
      <c r="F360" s="16" t="str">
        <f>VLOOKUP(Table28[[#This Row],[Country]],Table10[[COUNTRY NAME]:[CONTINENT CODE]],3,FALSE)</f>
        <v>NA - US</v>
      </c>
      <c r="G360" s="16" t="s">
        <v>11759</v>
      </c>
      <c r="H360" s="181">
        <v>8247</v>
      </c>
      <c r="I360" s="180">
        <v>20.25</v>
      </c>
      <c r="K360" s="316">
        <f>IFERROR(Table28[[#This Row],[ROUTE COST]]/Table28[[#This Row],[O - DEMAND]],0)</f>
        <v>0</v>
      </c>
      <c r="M360" s="180">
        <f>Table28[[#This Row],[O - DEMAND]]/950</f>
        <v>0</v>
      </c>
      <c r="N360" s="16">
        <f>IFERROR(VLOOKUP(Table28[[#This Row],[ROUTE]],DEMAND!A:F,5,FALSE),0)</f>
        <v>0</v>
      </c>
      <c r="O360" s="16">
        <f>IFERROR(VLOOKUP(Table28[[#This Row],[ROUTE]],DEMAND!A:F,6,FALSE),0)</f>
        <v>0</v>
      </c>
      <c r="P360" s="16">
        <f>ROUNDDOWN(Table28[[#This Row],[R-DEMAND]]/950,0)</f>
        <v>0</v>
      </c>
      <c r="Q360" s="16">
        <f>Table28[[#This Row],[ADD ACC
(475/950)]]*Table28[[#This Row],[Duration
(A359)]]</f>
        <v>0</v>
      </c>
      <c r="R360" s="16">
        <f>IFERROR(VLOOKUP(Table28[[#This Row],[ROUTE]],PRICING!A:B,2,FALSE),0)</f>
        <v>0</v>
      </c>
      <c r="S360" s="16">
        <f>Table28[[#This Row],[C_DEMAND]]-Table28[[#This Row],[R-DEMAND]]</f>
        <v>0</v>
      </c>
      <c r="T360" s="316">
        <f>Table28[[#This Row],[SEATS SOLD]]*Table28[[#This Row],[ECO SEAT]]</f>
        <v>0</v>
      </c>
      <c r="U360" s="316">
        <f>Table28[[#This Row],[SEATS SOLD]]*(IFERROR(VLOOKUP(Table28[[#This Row],[ROUTE]],PRICING!A:C,3,FALSE),0))</f>
        <v>0</v>
      </c>
      <c r="V360" s="316">
        <f>Table28[[#This Row],[SEAT REV]]-Table28[[#This Row],[SEAT REV
(IF IDEAL $)]]</f>
        <v>0</v>
      </c>
      <c r="AA360" s="26"/>
      <c r="AB360" s="26"/>
      <c r="AC360" s="26"/>
      <c r="AD360" s="26"/>
      <c r="AE360" s="26"/>
      <c r="AS360" s="16" t="s">
        <v>11732</v>
      </c>
      <c r="AT360" s="16" t="s">
        <v>13261</v>
      </c>
      <c r="AU360" s="16" t="s">
        <v>2247</v>
      </c>
      <c r="AV360" s="16" t="s">
        <v>18881</v>
      </c>
      <c r="AW360" s="16" t="s">
        <v>18890</v>
      </c>
      <c r="AX360" s="16" t="s">
        <v>18880</v>
      </c>
      <c r="AY360" s="385">
        <v>12055</v>
      </c>
    </row>
    <row r="361" spans="1:51" x14ac:dyDescent="0.25">
      <c r="A361" s="16" t="s">
        <v>19216</v>
      </c>
      <c r="B361" s="16" t="s">
        <v>248</v>
      </c>
      <c r="D361" s="16">
        <v>2</v>
      </c>
      <c r="E361" s="16" t="s">
        <v>1070</v>
      </c>
      <c r="F361" s="16" t="str">
        <f>VLOOKUP(Table28[[#This Row],[Country]],Table10[[COUNTRY NAME]:[CONTINENT CODE]],3,FALSE)</f>
        <v>AS</v>
      </c>
      <c r="G361" s="16" t="s">
        <v>9270</v>
      </c>
      <c r="H361" s="181">
        <v>9451</v>
      </c>
      <c r="I361" s="180">
        <v>22.75</v>
      </c>
      <c r="K361" s="316">
        <f>IFERROR(Table28[[#This Row],[ROUTE COST]]/Table28[[#This Row],[O - DEMAND]],0)</f>
        <v>0</v>
      </c>
      <c r="M361" s="16">
        <f>Table28[[#This Row],[O - DEMAND]]/950</f>
        <v>0</v>
      </c>
      <c r="N361" s="16">
        <f>IFERROR(VLOOKUP(Table28[[#This Row],[ROUTE]],DEMAND!A:F,5,FALSE),0)</f>
        <v>0</v>
      </c>
      <c r="O361" s="16">
        <f>IFERROR(VLOOKUP(Table28[[#This Row],[ROUTE]],DEMAND!A:F,6,FALSE),0)</f>
        <v>0</v>
      </c>
      <c r="P361" s="16">
        <f>ROUNDDOWN(Table28[[#This Row],[R-DEMAND]]/950,0)</f>
        <v>0</v>
      </c>
      <c r="Q361" s="16">
        <f>Table28[[#This Row],[ADD ACC
(475/950)]]*Table28[[#This Row],[Duration
(A359)]]</f>
        <v>0</v>
      </c>
      <c r="R361" s="16">
        <f>IFERROR(VLOOKUP(Table28[[#This Row],[ROUTE]],PRICING!A:B,2,FALSE),0)</f>
        <v>0</v>
      </c>
      <c r="S361" s="16">
        <f>Table28[[#This Row],[C_DEMAND]]-Table28[[#This Row],[R-DEMAND]]</f>
        <v>0</v>
      </c>
      <c r="T361" s="316">
        <f>Table28[[#This Row],[SEATS SOLD]]*Table28[[#This Row],[ECO SEAT]]</f>
        <v>0</v>
      </c>
      <c r="U361" s="316">
        <f>Table28[[#This Row],[SEATS SOLD]]*(IFERROR(VLOOKUP(Table28[[#This Row],[ROUTE]],PRICING!A:C,3,FALSE),0))</f>
        <v>0</v>
      </c>
      <c r="V361" s="316">
        <f>Table28[[#This Row],[SEAT REV]]-Table28[[#This Row],[SEAT REV
(IF IDEAL $)]]</f>
        <v>0</v>
      </c>
      <c r="AA361" s="26"/>
      <c r="AB361" s="26"/>
      <c r="AC361" s="26"/>
      <c r="AD361" s="26"/>
      <c r="AE361" s="26"/>
      <c r="AS361" s="16" t="s">
        <v>580</v>
      </c>
      <c r="AT361" s="16" t="s">
        <v>11841</v>
      </c>
      <c r="AU361" s="16" t="s">
        <v>4327</v>
      </c>
      <c r="AV361" s="16" t="s">
        <v>18884</v>
      </c>
      <c r="AW361" s="16" t="s">
        <v>18879</v>
      </c>
      <c r="AX361" s="16" t="s">
        <v>18880</v>
      </c>
      <c r="AY361" s="385">
        <v>12059</v>
      </c>
    </row>
    <row r="362" spans="1:51" x14ac:dyDescent="0.25">
      <c r="A362" s="16" t="s">
        <v>19251</v>
      </c>
      <c r="B362" s="16" t="s">
        <v>4264</v>
      </c>
      <c r="D362" s="16">
        <v>2</v>
      </c>
      <c r="E362" s="16" t="s">
        <v>1070</v>
      </c>
      <c r="F362" s="16" t="str">
        <f>VLOOKUP(Table28[[#This Row],[Country]],Table10[[COUNTRY NAME]:[CONTINENT CODE]],3,FALSE)</f>
        <v>AS</v>
      </c>
      <c r="G362" s="16" t="s">
        <v>9269</v>
      </c>
      <c r="H362" s="181">
        <v>10603</v>
      </c>
      <c r="I362" s="180">
        <v>25.5</v>
      </c>
      <c r="K362" s="316">
        <f>IFERROR(Table28[[#This Row],[ROUTE COST]]/Table28[[#This Row],[O - DEMAND]],0)</f>
        <v>0</v>
      </c>
      <c r="M362" s="16">
        <f>Table28[[#This Row],[O - DEMAND]]/950</f>
        <v>0</v>
      </c>
      <c r="N362" s="16">
        <f>IFERROR(VLOOKUP(Table28[[#This Row],[ROUTE]],DEMAND!A:F,5,FALSE),0)</f>
        <v>0</v>
      </c>
      <c r="O362" s="16">
        <f>IFERROR(VLOOKUP(Table28[[#This Row],[ROUTE]],DEMAND!A:F,6,FALSE),0)</f>
        <v>0</v>
      </c>
      <c r="P362" s="16">
        <f>ROUNDDOWN(Table28[[#This Row],[R-DEMAND]]/950,0)</f>
        <v>0</v>
      </c>
      <c r="Q362" s="16">
        <f>Table28[[#This Row],[ADD ACC
(475/950)]]*Table28[[#This Row],[Duration
(A359)]]</f>
        <v>0</v>
      </c>
      <c r="R362" s="16">
        <f>IFERROR(VLOOKUP(Table28[[#This Row],[ROUTE]],PRICING!A:B,2,FALSE),0)</f>
        <v>0</v>
      </c>
      <c r="S362" s="16">
        <f>Table28[[#This Row],[C_DEMAND]]-Table28[[#This Row],[R-DEMAND]]</f>
        <v>0</v>
      </c>
      <c r="T362" s="316">
        <f>Table28[[#This Row],[SEATS SOLD]]*Table28[[#This Row],[ECO SEAT]]</f>
        <v>0</v>
      </c>
      <c r="U362" s="316">
        <f>Table28[[#This Row],[SEATS SOLD]]*(IFERROR(VLOOKUP(Table28[[#This Row],[ROUTE]],PRICING!A:C,3,FALSE),0))</f>
        <v>0</v>
      </c>
      <c r="V362" s="316">
        <f>Table28[[#This Row],[SEAT REV]]-Table28[[#This Row],[SEAT REV
(IF IDEAL $)]]</f>
        <v>0</v>
      </c>
      <c r="AA362" s="26"/>
      <c r="AB362" s="26"/>
      <c r="AC362" s="26"/>
      <c r="AD362" s="26"/>
      <c r="AE362" s="26"/>
      <c r="AS362" s="16" t="s">
        <v>1847</v>
      </c>
      <c r="AT362" s="16" t="s">
        <v>11109</v>
      </c>
      <c r="AU362" s="16" t="s">
        <v>435</v>
      </c>
      <c r="AV362" s="16" t="s">
        <v>18884</v>
      </c>
      <c r="AW362" s="16" t="s">
        <v>18899</v>
      </c>
      <c r="AX362" s="16" t="s">
        <v>18880</v>
      </c>
      <c r="AY362" s="385">
        <v>12064</v>
      </c>
    </row>
    <row r="363" spans="1:51" x14ac:dyDescent="0.25">
      <c r="A363" s="16" t="s">
        <v>19220</v>
      </c>
      <c r="B363" s="16" t="s">
        <v>246</v>
      </c>
      <c r="D363" s="16">
        <v>2</v>
      </c>
      <c r="E363" s="16" t="s">
        <v>1070</v>
      </c>
      <c r="F363" s="16" t="str">
        <f>VLOOKUP(Table28[[#This Row],[Country]],Table10[[COUNTRY NAME]:[CONTINENT CODE]],3,FALSE)</f>
        <v>AS</v>
      </c>
      <c r="G363" s="16" t="s">
        <v>9268</v>
      </c>
      <c r="H363" s="181">
        <v>9586</v>
      </c>
      <c r="I363" s="180">
        <v>23.25</v>
      </c>
      <c r="K363" s="316">
        <f>IFERROR(Table28[[#This Row],[ROUTE COST]]/Table28[[#This Row],[O - DEMAND]],0)</f>
        <v>0</v>
      </c>
      <c r="M363" s="16">
        <f>Table28[[#This Row],[O - DEMAND]]/950</f>
        <v>0</v>
      </c>
      <c r="N363" s="16">
        <f>IFERROR(VLOOKUP(Table28[[#This Row],[ROUTE]],DEMAND!A:F,5,FALSE),0)</f>
        <v>0</v>
      </c>
      <c r="O363" s="16">
        <f>IFERROR(VLOOKUP(Table28[[#This Row],[ROUTE]],DEMAND!A:F,6,FALSE),0)</f>
        <v>0</v>
      </c>
      <c r="P363" s="16">
        <f>ROUNDDOWN(Table28[[#This Row],[R-DEMAND]]/950,0)</f>
        <v>0</v>
      </c>
      <c r="Q363" s="16">
        <f>Table28[[#This Row],[ADD ACC
(475/950)]]*Table28[[#This Row],[Duration
(A359)]]</f>
        <v>0</v>
      </c>
      <c r="R363" s="16">
        <f>IFERROR(VLOOKUP(Table28[[#This Row],[ROUTE]],PRICING!A:B,2,FALSE),0)</f>
        <v>0</v>
      </c>
      <c r="S363" s="16">
        <f>Table28[[#This Row],[C_DEMAND]]-Table28[[#This Row],[R-DEMAND]]</f>
        <v>0</v>
      </c>
      <c r="T363" s="316">
        <f>Table28[[#This Row],[SEATS SOLD]]*Table28[[#This Row],[ECO SEAT]]</f>
        <v>0</v>
      </c>
      <c r="U363" s="316">
        <f>Table28[[#This Row],[SEATS SOLD]]*(IFERROR(VLOOKUP(Table28[[#This Row],[ROUTE]],PRICING!A:C,3,FALSE),0))</f>
        <v>0</v>
      </c>
      <c r="V363" s="316">
        <f>Table28[[#This Row],[SEAT REV]]-Table28[[#This Row],[SEAT REV
(IF IDEAL $)]]</f>
        <v>0</v>
      </c>
      <c r="AA363" s="26"/>
      <c r="AB363" s="26"/>
      <c r="AC363" s="26"/>
      <c r="AD363" s="26"/>
      <c r="AE363" s="26"/>
      <c r="AS363" s="16" t="s">
        <v>11732</v>
      </c>
      <c r="AT363" s="16" t="s">
        <v>13269</v>
      </c>
      <c r="AU363" s="16" t="s">
        <v>5754</v>
      </c>
      <c r="AV363" s="16" t="s">
        <v>18884</v>
      </c>
      <c r="AW363" s="16" t="s">
        <v>18918</v>
      </c>
      <c r="AX363" s="16" t="s">
        <v>18880</v>
      </c>
      <c r="AY363" s="385">
        <v>12064</v>
      </c>
    </row>
    <row r="364" spans="1:51" x14ac:dyDescent="0.25">
      <c r="A364" s="16" t="s">
        <v>19259</v>
      </c>
      <c r="B364" s="16" t="s">
        <v>244</v>
      </c>
      <c r="D364" s="16">
        <v>2</v>
      </c>
      <c r="E364" s="16" t="s">
        <v>1070</v>
      </c>
      <c r="F364" s="16" t="str">
        <f>VLOOKUP(Table28[[#This Row],[Country]],Table10[[COUNTRY NAME]:[CONTINENT CODE]],3,FALSE)</f>
        <v>AS</v>
      </c>
      <c r="G364" s="16" t="s">
        <v>12015</v>
      </c>
      <c r="H364" s="181">
        <v>10775</v>
      </c>
      <c r="I364" s="180">
        <v>25.75</v>
      </c>
      <c r="K364" s="316">
        <f>IFERROR(Table28[[#This Row],[ROUTE COST]]/Table28[[#This Row],[O - DEMAND]],0)</f>
        <v>0</v>
      </c>
      <c r="M364" s="16">
        <f>Table28[[#This Row],[O - DEMAND]]/950</f>
        <v>0</v>
      </c>
      <c r="N364" s="16">
        <f>IFERROR(VLOOKUP(Table28[[#This Row],[ROUTE]],DEMAND!A:F,5,FALSE),0)</f>
        <v>0</v>
      </c>
      <c r="O364" s="16">
        <f>IFERROR(VLOOKUP(Table28[[#This Row],[ROUTE]],DEMAND!A:F,6,FALSE),0)</f>
        <v>0</v>
      </c>
      <c r="P364" s="16">
        <f>ROUNDDOWN(Table28[[#This Row],[R-DEMAND]]/950,0)</f>
        <v>0</v>
      </c>
      <c r="Q364" s="16">
        <f>Table28[[#This Row],[ADD ACC
(475/950)]]*Table28[[#This Row],[Duration
(A359)]]</f>
        <v>0</v>
      </c>
      <c r="R364" s="16">
        <f>IFERROR(VLOOKUP(Table28[[#This Row],[ROUTE]],PRICING!A:B,2,FALSE),0)</f>
        <v>0</v>
      </c>
      <c r="S364" s="16">
        <f>Table28[[#This Row],[C_DEMAND]]-Table28[[#This Row],[R-DEMAND]]</f>
        <v>0</v>
      </c>
      <c r="T364" s="316">
        <f>Table28[[#This Row],[SEATS SOLD]]*Table28[[#This Row],[ECO SEAT]]</f>
        <v>0</v>
      </c>
      <c r="U364" s="316">
        <f>Table28[[#This Row],[SEATS SOLD]]*(IFERROR(VLOOKUP(Table28[[#This Row],[ROUTE]],PRICING!A:C,3,FALSE),0))</f>
        <v>0</v>
      </c>
      <c r="V364" s="316">
        <f>Table28[[#This Row],[SEAT REV]]-Table28[[#This Row],[SEAT REV
(IF IDEAL $)]]</f>
        <v>0</v>
      </c>
      <c r="AA364" s="26"/>
      <c r="AB364" s="26"/>
      <c r="AC364" s="26"/>
      <c r="AD364" s="26"/>
      <c r="AE364" s="26"/>
      <c r="AS364" s="16" t="s">
        <v>502</v>
      </c>
      <c r="AT364" s="16" t="s">
        <v>11974</v>
      </c>
      <c r="AU364" s="16" t="s">
        <v>4410</v>
      </c>
      <c r="AV364" s="16" t="s">
        <v>18884</v>
      </c>
      <c r="AW364" s="16" t="s">
        <v>18879</v>
      </c>
      <c r="AX364" s="16" t="s">
        <v>18880</v>
      </c>
      <c r="AY364" s="385">
        <v>12066</v>
      </c>
    </row>
    <row r="365" spans="1:51" x14ac:dyDescent="0.25">
      <c r="A365" s="16" t="s">
        <v>19214</v>
      </c>
      <c r="B365" s="16" t="s">
        <v>3821</v>
      </c>
      <c r="D365" s="16">
        <v>2</v>
      </c>
      <c r="E365" s="16" t="s">
        <v>1070</v>
      </c>
      <c r="F365" s="16" t="str">
        <f>VLOOKUP(Table28[[#This Row],[Country]],Table10[[COUNTRY NAME]:[CONTINENT CODE]],3,FALSE)</f>
        <v>AS</v>
      </c>
      <c r="G365" s="16" t="s">
        <v>16815</v>
      </c>
      <c r="H365" s="181">
        <v>9432</v>
      </c>
      <c r="I365" s="180">
        <v>22.75</v>
      </c>
      <c r="K365" s="316">
        <f>IFERROR(Table28[[#This Row],[ROUTE COST]]/Table28[[#This Row],[O - DEMAND]],0)</f>
        <v>0</v>
      </c>
      <c r="M365" s="16">
        <f>Table28[[#This Row],[O - DEMAND]]/950</f>
        <v>0</v>
      </c>
      <c r="N365" s="16">
        <f>IFERROR(VLOOKUP(Table28[[#This Row],[ROUTE]],DEMAND!A:F,5,FALSE),0)</f>
        <v>0</v>
      </c>
      <c r="O365" s="16">
        <f>IFERROR(VLOOKUP(Table28[[#This Row],[ROUTE]],DEMAND!A:F,6,FALSE),0)</f>
        <v>0</v>
      </c>
      <c r="P365" s="16">
        <f>ROUNDDOWN(Table28[[#This Row],[R-DEMAND]]/950,0)</f>
        <v>0</v>
      </c>
      <c r="Q365" s="16">
        <f>Table28[[#This Row],[ADD ACC
(475/950)]]*Table28[[#This Row],[Duration
(A359)]]</f>
        <v>0</v>
      </c>
      <c r="R365" s="16">
        <f>IFERROR(VLOOKUP(Table28[[#This Row],[ROUTE]],PRICING!A:B,2,FALSE),0)</f>
        <v>0</v>
      </c>
      <c r="S365" s="16">
        <f>Table28[[#This Row],[C_DEMAND]]-Table28[[#This Row],[R-DEMAND]]</f>
        <v>0</v>
      </c>
      <c r="T365" s="316">
        <f>Table28[[#This Row],[SEATS SOLD]]*Table28[[#This Row],[ECO SEAT]]</f>
        <v>0</v>
      </c>
      <c r="U365" s="316">
        <f>Table28[[#This Row],[SEATS SOLD]]*(IFERROR(VLOOKUP(Table28[[#This Row],[ROUTE]],PRICING!A:C,3,FALSE),0))</f>
        <v>0</v>
      </c>
      <c r="V365" s="316">
        <f>Table28[[#This Row],[SEAT REV]]-Table28[[#This Row],[SEAT REV
(IF IDEAL $)]]</f>
        <v>0</v>
      </c>
      <c r="AA365" s="26"/>
      <c r="AB365" s="26"/>
      <c r="AC365" s="26"/>
      <c r="AD365" s="26"/>
      <c r="AE365" s="26"/>
      <c r="AS365" s="16" t="s">
        <v>11732</v>
      </c>
      <c r="AT365" s="16" t="s">
        <v>16941</v>
      </c>
      <c r="AU365" s="16" t="s">
        <v>5555</v>
      </c>
      <c r="AV365" s="16" t="s">
        <v>18878</v>
      </c>
      <c r="AW365" s="16" t="s">
        <v>18899</v>
      </c>
      <c r="AX365" s="16" t="s">
        <v>18983</v>
      </c>
      <c r="AY365" s="385">
        <v>12071</v>
      </c>
    </row>
    <row r="366" spans="1:51" x14ac:dyDescent="0.25">
      <c r="A366" s="16" t="s">
        <v>19116</v>
      </c>
      <c r="B366" s="16" t="s">
        <v>242</v>
      </c>
      <c r="D366" s="16">
        <v>2</v>
      </c>
      <c r="E366" s="16" t="s">
        <v>1070</v>
      </c>
      <c r="F366" s="16" t="str">
        <f>VLOOKUP(Table28[[#This Row],[Country]],Table10[[COUNTRY NAME]:[CONTINENT CODE]],3,FALSE)</f>
        <v>AS</v>
      </c>
      <c r="G366" s="16" t="s">
        <v>12095</v>
      </c>
      <c r="H366" s="181">
        <v>7985</v>
      </c>
      <c r="I366" s="180">
        <v>19.75</v>
      </c>
      <c r="K366" s="316">
        <f>IFERROR(Table28[[#This Row],[ROUTE COST]]/Table28[[#This Row],[O - DEMAND]],0)</f>
        <v>0</v>
      </c>
      <c r="M366" s="16">
        <f>Table28[[#This Row],[O - DEMAND]]/950</f>
        <v>0</v>
      </c>
      <c r="N366" s="16">
        <f>IFERROR(VLOOKUP(Table28[[#This Row],[ROUTE]],DEMAND!A:F,5,FALSE),0)</f>
        <v>0</v>
      </c>
      <c r="O366" s="16">
        <f>IFERROR(VLOOKUP(Table28[[#This Row],[ROUTE]],DEMAND!A:F,6,FALSE),0)</f>
        <v>0</v>
      </c>
      <c r="P366" s="16">
        <f>ROUNDDOWN(Table28[[#This Row],[R-DEMAND]]/950,0)</f>
        <v>0</v>
      </c>
      <c r="Q366" s="16">
        <f>Table28[[#This Row],[ADD ACC
(475/950)]]*Table28[[#This Row],[Duration
(A359)]]</f>
        <v>0</v>
      </c>
      <c r="R366" s="16">
        <f>IFERROR(VLOOKUP(Table28[[#This Row],[ROUTE]],PRICING!A:B,2,FALSE),0)</f>
        <v>0</v>
      </c>
      <c r="S366" s="16">
        <f>Table28[[#This Row],[C_DEMAND]]-Table28[[#This Row],[R-DEMAND]]</f>
        <v>0</v>
      </c>
      <c r="T366" s="316">
        <f>Table28[[#This Row],[SEATS SOLD]]*Table28[[#This Row],[ECO SEAT]]</f>
        <v>0</v>
      </c>
      <c r="U366" s="316">
        <f>Table28[[#This Row],[SEATS SOLD]]*(IFERROR(VLOOKUP(Table28[[#This Row],[ROUTE]],PRICING!A:C,3,FALSE),0))</f>
        <v>0</v>
      </c>
      <c r="V366" s="316">
        <f>Table28[[#This Row],[SEAT REV]]-Table28[[#This Row],[SEAT REV
(IF IDEAL $)]]</f>
        <v>0</v>
      </c>
      <c r="AA366" s="26"/>
      <c r="AB366" s="26"/>
      <c r="AC366" s="26"/>
      <c r="AD366" s="26"/>
      <c r="AE366" s="26"/>
      <c r="AS366" s="16" t="s">
        <v>11732</v>
      </c>
      <c r="AT366" s="16" t="s">
        <v>13271</v>
      </c>
      <c r="AU366" s="16" t="s">
        <v>5135</v>
      </c>
      <c r="AV366" s="16" t="s">
        <v>18881</v>
      </c>
      <c r="AW366" s="16" t="s">
        <v>18885</v>
      </c>
      <c r="AX366" s="16" t="s">
        <v>18983</v>
      </c>
      <c r="AY366" s="385">
        <v>12078</v>
      </c>
    </row>
    <row r="367" spans="1:51" x14ac:dyDescent="0.25">
      <c r="A367" s="16" t="s">
        <v>19244</v>
      </c>
      <c r="B367" s="16" t="s">
        <v>240</v>
      </c>
      <c r="C367" s="16" t="s">
        <v>467</v>
      </c>
      <c r="D367" s="16">
        <v>3</v>
      </c>
      <c r="E367" s="16" t="s">
        <v>1070</v>
      </c>
      <c r="F367" s="16" t="str">
        <f>VLOOKUP(Table28[[#This Row],[Country]],Table10[[COUNTRY NAME]:[CONTINENT CODE]],3,FALSE)</f>
        <v>AS</v>
      </c>
      <c r="G367" s="16" t="s">
        <v>12028</v>
      </c>
      <c r="H367" s="181">
        <v>10424</v>
      </c>
      <c r="I367" s="180">
        <v>25</v>
      </c>
      <c r="K367" s="316">
        <f>IFERROR(Table28[[#This Row],[ROUTE COST]]/Table28[[#This Row],[O - DEMAND]],0)</f>
        <v>0</v>
      </c>
      <c r="M367" s="16">
        <f>Table28[[#This Row],[O - DEMAND]]/950</f>
        <v>0</v>
      </c>
      <c r="N367" s="16">
        <f>IFERROR(VLOOKUP(Table28[[#This Row],[ROUTE]],DEMAND!A:F,5,FALSE),0)</f>
        <v>3653</v>
      </c>
      <c r="O367" s="16">
        <f>IFERROR(VLOOKUP(Table28[[#This Row],[ROUTE]],DEMAND!A:F,6,FALSE),0)</f>
        <v>803</v>
      </c>
      <c r="P367" s="16">
        <f>ROUNDDOWN(Table28[[#This Row],[R-DEMAND]]/950,0)</f>
        <v>0</v>
      </c>
      <c r="Q367" s="16">
        <f>Table28[[#This Row],[ADD ACC
(475/950)]]*Table28[[#This Row],[Duration
(A359)]]</f>
        <v>0</v>
      </c>
      <c r="R367" s="16">
        <f>IFERROR(VLOOKUP(Table28[[#This Row],[ROUTE]],PRICING!A:B,2,FALSE),0)</f>
        <v>0</v>
      </c>
      <c r="S367" s="16">
        <f>Table28[[#This Row],[C_DEMAND]]-Table28[[#This Row],[R-DEMAND]]</f>
        <v>2850</v>
      </c>
      <c r="T367" s="316">
        <f>Table28[[#This Row],[SEATS SOLD]]*Table28[[#This Row],[ECO SEAT]]</f>
        <v>0</v>
      </c>
      <c r="U367" s="316">
        <f>Table28[[#This Row],[SEATS SOLD]]*(IFERROR(VLOOKUP(Table28[[#This Row],[ROUTE]],PRICING!A:C,3,FALSE),0))</f>
        <v>0</v>
      </c>
      <c r="V367" s="316">
        <f>Table28[[#This Row],[SEAT REV]]-Table28[[#This Row],[SEAT REV
(IF IDEAL $)]]</f>
        <v>0</v>
      </c>
      <c r="AA367" s="26"/>
      <c r="AB367" s="26"/>
      <c r="AC367" s="26"/>
      <c r="AD367" s="26"/>
      <c r="AE367" s="26"/>
      <c r="AS367" s="16" t="s">
        <v>2764</v>
      </c>
      <c r="AT367" s="16" t="s">
        <v>11969</v>
      </c>
      <c r="AU367" s="16" t="s">
        <v>3539</v>
      </c>
      <c r="AV367" s="16" t="s">
        <v>18892</v>
      </c>
      <c r="AW367" s="16" t="s">
        <v>18879</v>
      </c>
      <c r="AX367" s="16" t="s">
        <v>18983</v>
      </c>
      <c r="AY367" s="385">
        <v>12089</v>
      </c>
    </row>
    <row r="368" spans="1:51" x14ac:dyDescent="0.25">
      <c r="A368" s="16" t="s">
        <v>19684</v>
      </c>
      <c r="B368" s="16" t="s">
        <v>4723</v>
      </c>
      <c r="E368" s="16" t="s">
        <v>11732</v>
      </c>
      <c r="F368" s="16" t="str">
        <f>VLOOKUP(Table28[[#This Row],[Country]],Table10[[COUNTRY NAME]:[CONTINENT CODE]],3,FALSE)</f>
        <v>NA - US</v>
      </c>
      <c r="G368" s="16" t="s">
        <v>17011</v>
      </c>
      <c r="H368" s="181">
        <v>14400</v>
      </c>
      <c r="I368" s="180">
        <v>33.75</v>
      </c>
      <c r="K368" s="316">
        <f>IFERROR(Table28[[#This Row],[ROUTE COST]]/Table28[[#This Row],[O - DEMAND]],0)</f>
        <v>0</v>
      </c>
      <c r="M368" s="180">
        <f>Table28[[#This Row],[O - DEMAND]]/950</f>
        <v>0</v>
      </c>
      <c r="N368" s="16">
        <f>IFERROR(VLOOKUP(Table28[[#This Row],[ROUTE]],DEMAND!A:F,5,FALSE),0)</f>
        <v>0</v>
      </c>
      <c r="O368" s="16">
        <f>IFERROR(VLOOKUP(Table28[[#This Row],[ROUTE]],DEMAND!A:F,6,FALSE),0)</f>
        <v>0</v>
      </c>
      <c r="P368" s="16">
        <f>ROUNDDOWN(Table28[[#This Row],[R-DEMAND]]/950,0)</f>
        <v>0</v>
      </c>
      <c r="Q368" s="16">
        <f>Table28[[#This Row],[ADD ACC
(475/950)]]*Table28[[#This Row],[Duration
(A359)]]</f>
        <v>0</v>
      </c>
      <c r="R368" s="16">
        <f>IFERROR(VLOOKUP(Table28[[#This Row],[ROUTE]],PRICING!A:B,2,FALSE),0)</f>
        <v>0</v>
      </c>
      <c r="S368" s="16">
        <f>Table28[[#This Row],[C_DEMAND]]-Table28[[#This Row],[R-DEMAND]]</f>
        <v>0</v>
      </c>
      <c r="T368" s="316">
        <f>Table28[[#This Row],[SEATS SOLD]]*Table28[[#This Row],[ECO SEAT]]</f>
        <v>0</v>
      </c>
      <c r="U368" s="316">
        <f>Table28[[#This Row],[SEATS SOLD]]*(IFERROR(VLOOKUP(Table28[[#This Row],[ROUTE]],PRICING!A:C,3,FALSE),0))</f>
        <v>0</v>
      </c>
      <c r="V368" s="316">
        <f>Table28[[#This Row],[SEAT REV]]-Table28[[#This Row],[SEAT REV
(IF IDEAL $)]]</f>
        <v>0</v>
      </c>
      <c r="AA368" s="26"/>
      <c r="AB368" s="26"/>
      <c r="AC368" s="26"/>
      <c r="AD368" s="26"/>
      <c r="AE368" s="26"/>
      <c r="AS368" s="16" t="s">
        <v>11732</v>
      </c>
      <c r="AT368" s="16" t="s">
        <v>13267</v>
      </c>
      <c r="AU368" s="16" t="s">
        <v>3337</v>
      </c>
      <c r="AV368" s="16" t="s">
        <v>18884</v>
      </c>
      <c r="AW368" s="16" t="s">
        <v>18879</v>
      </c>
      <c r="AX368" s="16" t="s">
        <v>18983</v>
      </c>
      <c r="AY368" s="385">
        <v>12092</v>
      </c>
    </row>
    <row r="369" spans="1:51" x14ac:dyDescent="0.25">
      <c r="A369" s="16" t="s">
        <v>19473</v>
      </c>
      <c r="B369" s="16" t="s">
        <v>917</v>
      </c>
      <c r="D369" s="16">
        <v>1</v>
      </c>
      <c r="E369" s="16" t="s">
        <v>714</v>
      </c>
      <c r="F369" s="16" t="str">
        <f>VLOOKUP(Table28[[#This Row],[Country]],Table10[[COUNTRY NAME]:[CONTINENT CODE]],3,FALSE)</f>
        <v>SA</v>
      </c>
      <c r="G369" s="16" t="s">
        <v>13239</v>
      </c>
      <c r="H369" s="181">
        <v>12938</v>
      </c>
      <c r="I369" s="180">
        <v>30.5</v>
      </c>
      <c r="K369" s="316">
        <f>IFERROR(Table28[[#This Row],[ROUTE COST]]/Table28[[#This Row],[O - DEMAND]],0)</f>
        <v>0</v>
      </c>
      <c r="M369" s="16">
        <f>Table28[[#This Row],[O - DEMAND]]/950</f>
        <v>0</v>
      </c>
      <c r="N369" s="16">
        <f>IFERROR(VLOOKUP(Table28[[#This Row],[ROUTE]],DEMAND!A:F,5,FALSE),0)</f>
        <v>0</v>
      </c>
      <c r="O369" s="16">
        <f>IFERROR(VLOOKUP(Table28[[#This Row],[ROUTE]],DEMAND!A:F,6,FALSE),0)</f>
        <v>0</v>
      </c>
      <c r="P369" s="16">
        <f>ROUNDDOWN(Table28[[#This Row],[R-DEMAND]]/950,0)</f>
        <v>0</v>
      </c>
      <c r="Q369" s="16">
        <f>Table28[[#This Row],[ADD ACC
(475/950)]]*Table28[[#This Row],[Duration
(A359)]]</f>
        <v>0</v>
      </c>
      <c r="R369" s="16">
        <f>IFERROR(VLOOKUP(Table28[[#This Row],[ROUTE]],PRICING!A:B,2,FALSE),0)</f>
        <v>0</v>
      </c>
      <c r="S369" s="16">
        <f>Table28[[#This Row],[C_DEMAND]]-Table28[[#This Row],[R-DEMAND]]</f>
        <v>0</v>
      </c>
      <c r="T369" s="316">
        <f>Table28[[#This Row],[SEATS SOLD]]*Table28[[#This Row],[ECO SEAT]]</f>
        <v>0</v>
      </c>
      <c r="U369" s="316">
        <f>Table28[[#This Row],[SEATS SOLD]]*(IFERROR(VLOOKUP(Table28[[#This Row],[ROUTE]],PRICING!A:C,3,FALSE),0))</f>
        <v>0</v>
      </c>
      <c r="V369" s="316">
        <f>Table28[[#This Row],[SEAT REV]]-Table28[[#This Row],[SEAT REV
(IF IDEAL $)]]</f>
        <v>0</v>
      </c>
      <c r="AA369" s="26"/>
      <c r="AB369" s="26"/>
      <c r="AC369" s="26"/>
      <c r="AD369" s="26"/>
      <c r="AE369" s="26"/>
      <c r="AS369" s="16" t="s">
        <v>11732</v>
      </c>
      <c r="AT369" s="16" t="s">
        <v>13276</v>
      </c>
      <c r="AU369" s="16" t="s">
        <v>5651</v>
      </c>
      <c r="AV369" s="16" t="s">
        <v>18892</v>
      </c>
      <c r="AW369" s="16" t="s">
        <v>18899</v>
      </c>
      <c r="AX369" s="16" t="s">
        <v>18983</v>
      </c>
      <c r="AY369" s="385">
        <v>12098</v>
      </c>
    </row>
    <row r="370" spans="1:51" x14ac:dyDescent="0.25">
      <c r="A370" s="16" t="s">
        <v>19794</v>
      </c>
      <c r="B370" s="16" t="s">
        <v>5397</v>
      </c>
      <c r="D370" s="16">
        <v>4</v>
      </c>
      <c r="E370" s="16" t="s">
        <v>11732</v>
      </c>
      <c r="F370" s="16" t="str">
        <f>VLOOKUP(Table28[[#This Row],[Country]],Table10[[COUNTRY NAME]:[CONTINENT CODE]],3,FALSE)</f>
        <v>NA - US</v>
      </c>
      <c r="G370" s="16" t="s">
        <v>13363</v>
      </c>
      <c r="H370" s="181">
        <v>15086</v>
      </c>
      <c r="I370" s="180">
        <v>35.25</v>
      </c>
      <c r="K370" s="316">
        <f>IFERROR(Table28[[#This Row],[ROUTE COST]]/Table28[[#This Row],[O - DEMAND]],0)</f>
        <v>0</v>
      </c>
      <c r="M370" s="180">
        <f>Table28[[#This Row],[O - DEMAND]]/950</f>
        <v>0</v>
      </c>
      <c r="N370" s="16">
        <f>IFERROR(VLOOKUP(Table28[[#This Row],[ROUTE]],DEMAND!A:F,5,FALSE),0)</f>
        <v>0</v>
      </c>
      <c r="O370" s="16">
        <f>IFERROR(VLOOKUP(Table28[[#This Row],[ROUTE]],DEMAND!A:F,6,FALSE),0)</f>
        <v>0</v>
      </c>
      <c r="P370" s="16">
        <f>ROUNDDOWN(Table28[[#This Row],[R-DEMAND]]/950,0)</f>
        <v>0</v>
      </c>
      <c r="Q370" s="16">
        <f>Table28[[#This Row],[ADD ACC
(475/950)]]*Table28[[#This Row],[Duration
(A359)]]</f>
        <v>0</v>
      </c>
      <c r="R370" s="16">
        <f>IFERROR(VLOOKUP(Table28[[#This Row],[ROUTE]],PRICING!A:B,2,FALSE),0)</f>
        <v>0</v>
      </c>
      <c r="S370" s="16">
        <f>Table28[[#This Row],[C_DEMAND]]-Table28[[#This Row],[R-DEMAND]]</f>
        <v>0</v>
      </c>
      <c r="T370" s="316">
        <f>Table28[[#This Row],[SEATS SOLD]]*Table28[[#This Row],[ECO SEAT]]</f>
        <v>0</v>
      </c>
      <c r="U370" s="316">
        <f>Table28[[#This Row],[SEATS SOLD]]*(IFERROR(VLOOKUP(Table28[[#This Row],[ROUTE]],PRICING!A:C,3,FALSE),0))</f>
        <v>0</v>
      </c>
      <c r="V370" s="316">
        <f>Table28[[#This Row],[SEAT REV]]-Table28[[#This Row],[SEAT REV
(IF IDEAL $)]]</f>
        <v>0</v>
      </c>
      <c r="AA370" s="26"/>
      <c r="AB370" s="26"/>
      <c r="AC370" s="26"/>
      <c r="AD370" s="26"/>
      <c r="AE370" s="26"/>
      <c r="AS370" s="16" t="s">
        <v>1749</v>
      </c>
      <c r="AT370" s="16" t="s">
        <v>13213</v>
      </c>
      <c r="AU370" s="16" t="s">
        <v>5269</v>
      </c>
      <c r="AV370" s="16" t="s">
        <v>18892</v>
      </c>
      <c r="AW370" s="16" t="s">
        <v>18885</v>
      </c>
      <c r="AX370" s="16" t="s">
        <v>18983</v>
      </c>
      <c r="AY370" s="385">
        <v>12106</v>
      </c>
    </row>
    <row r="371" spans="1:51" x14ac:dyDescent="0.25">
      <c r="A371" s="16" t="s">
        <v>19252</v>
      </c>
      <c r="B371" s="16" t="s">
        <v>2587</v>
      </c>
      <c r="D371" s="16">
        <v>2</v>
      </c>
      <c r="E371" s="16" t="s">
        <v>1070</v>
      </c>
      <c r="F371" s="16" t="str">
        <f>VLOOKUP(Table28[[#This Row],[Country]],Table10[[COUNTRY NAME]:[CONTINENT CODE]],3,FALSE)</f>
        <v>AS</v>
      </c>
      <c r="G371" s="16" t="s">
        <v>9233</v>
      </c>
      <c r="H371" s="181">
        <v>10609</v>
      </c>
      <c r="I371" s="180">
        <v>25.5</v>
      </c>
      <c r="K371" s="316">
        <f>IFERROR(Table28[[#This Row],[ROUTE COST]]/Table28[[#This Row],[O - DEMAND]],0)</f>
        <v>0</v>
      </c>
      <c r="M371" s="16">
        <f>Table28[[#This Row],[O - DEMAND]]/950</f>
        <v>0</v>
      </c>
      <c r="N371" s="16">
        <f>IFERROR(VLOOKUP(Table28[[#This Row],[ROUTE]],DEMAND!A:F,5,FALSE),0)</f>
        <v>0</v>
      </c>
      <c r="O371" s="16">
        <f>IFERROR(VLOOKUP(Table28[[#This Row],[ROUTE]],DEMAND!A:F,6,FALSE),0)</f>
        <v>0</v>
      </c>
      <c r="P371" s="16">
        <f>ROUNDDOWN(Table28[[#This Row],[R-DEMAND]]/950,0)</f>
        <v>0</v>
      </c>
      <c r="Q371" s="16">
        <f>Table28[[#This Row],[ADD ACC
(475/950)]]*Table28[[#This Row],[Duration
(A359)]]</f>
        <v>0</v>
      </c>
      <c r="R371" s="16">
        <f>IFERROR(VLOOKUP(Table28[[#This Row],[ROUTE]],PRICING!A:B,2,FALSE),0)</f>
        <v>0</v>
      </c>
      <c r="S371" s="16">
        <f>Table28[[#This Row],[C_DEMAND]]-Table28[[#This Row],[R-DEMAND]]</f>
        <v>0</v>
      </c>
      <c r="T371" s="316">
        <f>Table28[[#This Row],[SEATS SOLD]]*Table28[[#This Row],[ECO SEAT]]</f>
        <v>0</v>
      </c>
      <c r="U371" s="316">
        <f>Table28[[#This Row],[SEATS SOLD]]*(IFERROR(VLOOKUP(Table28[[#This Row],[ROUTE]],PRICING!A:C,3,FALSE),0))</f>
        <v>0</v>
      </c>
      <c r="V371" s="316">
        <f>Table28[[#This Row],[SEAT REV]]-Table28[[#This Row],[SEAT REV
(IF IDEAL $)]]</f>
        <v>0</v>
      </c>
      <c r="AA371" s="26"/>
      <c r="AB371" s="26"/>
      <c r="AC371" s="26"/>
      <c r="AD371" s="26"/>
      <c r="AE371" s="26"/>
      <c r="AS371" s="16" t="s">
        <v>11732</v>
      </c>
      <c r="AT371" s="16" t="s">
        <v>13266</v>
      </c>
      <c r="AU371" s="16" t="s">
        <v>4665</v>
      </c>
      <c r="AV371" s="16" t="s">
        <v>18892</v>
      </c>
      <c r="AW371" s="16" t="s">
        <v>18885</v>
      </c>
      <c r="AX371" s="16" t="s">
        <v>18983</v>
      </c>
      <c r="AY371" s="385">
        <v>12112</v>
      </c>
    </row>
    <row r="372" spans="1:51" x14ac:dyDescent="0.25">
      <c r="A372" s="16" t="s">
        <v>19536</v>
      </c>
      <c r="B372" s="16" t="s">
        <v>5639</v>
      </c>
      <c r="C372" s="16" t="s">
        <v>467</v>
      </c>
      <c r="D372" s="16">
        <v>4</v>
      </c>
      <c r="E372" s="16" t="s">
        <v>172</v>
      </c>
      <c r="F372" s="16" t="str">
        <f>VLOOKUP(Table28[[#This Row],[Country]],Table10[[COUNTRY NAME]:[CONTINENT CODE]],3,FALSE)</f>
        <v>AS</v>
      </c>
      <c r="G372" s="16" t="s">
        <v>11075</v>
      </c>
      <c r="H372" s="181">
        <v>13313</v>
      </c>
      <c r="I372" s="180">
        <v>31.25</v>
      </c>
      <c r="K372" s="316">
        <f>IFERROR(Table28[[#This Row],[ROUTE COST]]/Table28[[#This Row],[O - DEMAND]],0)</f>
        <v>0</v>
      </c>
      <c r="M372" s="16">
        <f>Table28[[#This Row],[O - DEMAND]]/950</f>
        <v>0</v>
      </c>
      <c r="N372" s="16">
        <f>IFERROR(VLOOKUP(Table28[[#This Row],[ROUTE]],DEMAND!A:F,5,FALSE),0)</f>
        <v>3354</v>
      </c>
      <c r="O372" s="16">
        <f>IFERROR(VLOOKUP(Table28[[#This Row],[ROUTE]],DEMAND!A:F,6,FALSE),0)</f>
        <v>504</v>
      </c>
      <c r="P372" s="16">
        <f>ROUNDDOWN(Table28[[#This Row],[R-DEMAND]]/950,0)</f>
        <v>0</v>
      </c>
      <c r="Q372" s="16">
        <f>Table28[[#This Row],[ADD ACC
(475/950)]]*Table28[[#This Row],[Duration
(A359)]]</f>
        <v>0</v>
      </c>
      <c r="R372" s="16">
        <f>IFERROR(VLOOKUP(Table28[[#This Row],[ROUTE]],PRICING!A:B,2,FALSE),0)</f>
        <v>0</v>
      </c>
      <c r="S372" s="16">
        <f>Table28[[#This Row],[C_DEMAND]]-Table28[[#This Row],[R-DEMAND]]</f>
        <v>2850</v>
      </c>
      <c r="T372" s="316">
        <f>Table28[[#This Row],[SEATS SOLD]]*Table28[[#This Row],[ECO SEAT]]</f>
        <v>0</v>
      </c>
      <c r="U372" s="316">
        <f>Table28[[#This Row],[SEATS SOLD]]*(IFERROR(VLOOKUP(Table28[[#This Row],[ROUTE]],PRICING!A:C,3,FALSE),0))</f>
        <v>0</v>
      </c>
      <c r="V372" s="316">
        <f>Table28[[#This Row],[SEAT REV]]-Table28[[#This Row],[SEAT REV
(IF IDEAL $)]]</f>
        <v>0</v>
      </c>
      <c r="AA372" s="26"/>
      <c r="AB372" s="26"/>
      <c r="AC372" s="26"/>
      <c r="AD372" s="26"/>
      <c r="AE372" s="26"/>
      <c r="AS372" s="16" t="s">
        <v>1289</v>
      </c>
      <c r="AT372" s="16" t="s">
        <v>11964</v>
      </c>
      <c r="AU372" s="16" t="s">
        <v>1755</v>
      </c>
      <c r="AV372" s="16" t="s">
        <v>18892</v>
      </c>
      <c r="AW372" s="16" t="s">
        <v>18890</v>
      </c>
      <c r="AX372" s="16" t="s">
        <v>18983</v>
      </c>
      <c r="AY372" s="385">
        <v>12117</v>
      </c>
    </row>
    <row r="373" spans="1:51" x14ac:dyDescent="0.25">
      <c r="A373" s="16" t="s">
        <v>19254</v>
      </c>
      <c r="B373" s="16" t="s">
        <v>2482</v>
      </c>
      <c r="D373" s="16">
        <v>1</v>
      </c>
      <c r="E373" s="16" t="s">
        <v>1070</v>
      </c>
      <c r="F373" s="16" t="str">
        <f>VLOOKUP(Table28[[#This Row],[Country]],Table10[[COUNTRY NAME]:[CONTINENT CODE]],3,FALSE)</f>
        <v>AS</v>
      </c>
      <c r="G373" s="16" t="s">
        <v>16826</v>
      </c>
      <c r="H373" s="181">
        <v>10620</v>
      </c>
      <c r="I373" s="180">
        <v>25.5</v>
      </c>
      <c r="K373" s="316">
        <f>IFERROR(Table28[[#This Row],[ROUTE COST]]/Table28[[#This Row],[O - DEMAND]],0)</f>
        <v>0</v>
      </c>
      <c r="M373" s="16">
        <f>Table28[[#This Row],[O - DEMAND]]/950</f>
        <v>0</v>
      </c>
      <c r="N373" s="16">
        <f>IFERROR(VLOOKUP(Table28[[#This Row],[ROUTE]],DEMAND!A:F,5,FALSE),0)</f>
        <v>0</v>
      </c>
      <c r="O373" s="16">
        <f>IFERROR(VLOOKUP(Table28[[#This Row],[ROUTE]],DEMAND!A:F,6,FALSE),0)</f>
        <v>0</v>
      </c>
      <c r="P373" s="16">
        <f>ROUNDDOWN(Table28[[#This Row],[R-DEMAND]]/950,0)</f>
        <v>0</v>
      </c>
      <c r="Q373" s="16">
        <f>Table28[[#This Row],[ADD ACC
(475/950)]]*Table28[[#This Row],[Duration
(A359)]]</f>
        <v>0</v>
      </c>
      <c r="R373" s="16">
        <f>IFERROR(VLOOKUP(Table28[[#This Row],[ROUTE]],PRICING!A:B,2,FALSE),0)</f>
        <v>0</v>
      </c>
      <c r="S373" s="16">
        <f>Table28[[#This Row],[C_DEMAND]]-Table28[[#This Row],[R-DEMAND]]</f>
        <v>0</v>
      </c>
      <c r="T373" s="316">
        <f>Table28[[#This Row],[SEATS SOLD]]*Table28[[#This Row],[ECO SEAT]]</f>
        <v>0</v>
      </c>
      <c r="U373" s="316">
        <f>Table28[[#This Row],[SEATS SOLD]]*(IFERROR(VLOOKUP(Table28[[#This Row],[ROUTE]],PRICING!A:C,3,FALSE),0))</f>
        <v>0</v>
      </c>
      <c r="V373" s="316">
        <f>Table28[[#This Row],[SEAT REV]]-Table28[[#This Row],[SEAT REV
(IF IDEAL $)]]</f>
        <v>0</v>
      </c>
      <c r="AA373" s="26"/>
      <c r="AB373" s="26"/>
      <c r="AC373" s="26"/>
      <c r="AD373" s="26"/>
      <c r="AE373" s="26"/>
      <c r="AS373" s="16" t="s">
        <v>11732</v>
      </c>
      <c r="AT373" s="16" t="s">
        <v>13272</v>
      </c>
      <c r="AU373" s="16" t="s">
        <v>5341</v>
      </c>
      <c r="AV373" s="16" t="s">
        <v>18884</v>
      </c>
      <c r="AW373" s="16" t="s">
        <v>18885</v>
      </c>
      <c r="AX373" s="16" t="s">
        <v>18983</v>
      </c>
      <c r="AY373" s="385">
        <v>12135</v>
      </c>
    </row>
    <row r="374" spans="1:51" x14ac:dyDescent="0.25">
      <c r="A374" s="16" t="s">
        <v>19098</v>
      </c>
      <c r="B374" s="16" t="s">
        <v>2776</v>
      </c>
      <c r="D374" s="16">
        <v>2</v>
      </c>
      <c r="E374" s="16" t="s">
        <v>14</v>
      </c>
      <c r="F374" s="16" t="str">
        <f>VLOOKUP(Table28[[#This Row],[Country]],Table10[[COUNTRY NAME]:[CONTINENT CODE]],3,FALSE)</f>
        <v>AS</v>
      </c>
      <c r="G374" s="16" t="s">
        <v>16813</v>
      </c>
      <c r="H374" s="181">
        <v>7778</v>
      </c>
      <c r="I374" s="180">
        <v>19.25</v>
      </c>
      <c r="K374" s="316">
        <f>IFERROR(Table28[[#This Row],[ROUTE COST]]/Table28[[#This Row],[O - DEMAND]],0)</f>
        <v>0</v>
      </c>
      <c r="M374" s="16">
        <f>Table28[[#This Row],[O - DEMAND]]/950</f>
        <v>0</v>
      </c>
      <c r="N374" s="16">
        <f>IFERROR(VLOOKUP(Table28[[#This Row],[ROUTE]],DEMAND!A:F,5,FALSE),0)</f>
        <v>0</v>
      </c>
      <c r="O374" s="16">
        <f>IFERROR(VLOOKUP(Table28[[#This Row],[ROUTE]],DEMAND!A:F,6,FALSE),0)</f>
        <v>0</v>
      </c>
      <c r="P374" s="16">
        <f>ROUNDDOWN(Table28[[#This Row],[R-DEMAND]]/950,0)</f>
        <v>0</v>
      </c>
      <c r="Q374" s="16">
        <f>Table28[[#This Row],[ADD ACC
(475/950)]]*Table28[[#This Row],[Duration
(A359)]]</f>
        <v>0</v>
      </c>
      <c r="R374" s="16">
        <f>IFERROR(VLOOKUP(Table28[[#This Row],[ROUTE]],PRICING!A:B,2,FALSE),0)</f>
        <v>0</v>
      </c>
      <c r="S374" s="16">
        <f>Table28[[#This Row],[C_DEMAND]]-Table28[[#This Row],[R-DEMAND]]</f>
        <v>0</v>
      </c>
      <c r="T374" s="316">
        <f>Table28[[#This Row],[SEATS SOLD]]*Table28[[#This Row],[ECO SEAT]]</f>
        <v>0</v>
      </c>
      <c r="U374" s="316">
        <f>Table28[[#This Row],[SEATS SOLD]]*(IFERROR(VLOOKUP(Table28[[#This Row],[ROUTE]],PRICING!A:C,3,FALSE),0))</f>
        <v>0</v>
      </c>
      <c r="V374" s="316">
        <f>Table28[[#This Row],[SEAT REV]]-Table28[[#This Row],[SEAT REV
(IF IDEAL $)]]</f>
        <v>0</v>
      </c>
      <c r="AA374" s="26"/>
      <c r="AB374" s="26"/>
      <c r="AC374" s="26"/>
      <c r="AD374" s="26"/>
      <c r="AE374" s="26"/>
      <c r="AS374" s="16" t="s">
        <v>1189</v>
      </c>
      <c r="AT374" s="16" t="s">
        <v>11926</v>
      </c>
      <c r="AU374" s="16" t="s">
        <v>152</v>
      </c>
      <c r="AV374" s="16" t="s">
        <v>18884</v>
      </c>
      <c r="AW374" s="16" t="s">
        <v>18885</v>
      </c>
      <c r="AX374" s="16" t="s">
        <v>18983</v>
      </c>
      <c r="AY374" s="385">
        <v>12138</v>
      </c>
    </row>
    <row r="375" spans="1:51" x14ac:dyDescent="0.25">
      <c r="A375" s="16" t="s">
        <v>19048</v>
      </c>
      <c r="B375" s="16" t="s">
        <v>236</v>
      </c>
      <c r="D375" s="16">
        <v>3</v>
      </c>
      <c r="E375" s="16" t="s">
        <v>709</v>
      </c>
      <c r="F375" s="16" t="str">
        <f>VLOOKUP(Table28[[#This Row],[Country]],Table10[[COUNTRY NAME]:[CONTINENT CODE]],3,FALSE)</f>
        <v>AS</v>
      </c>
      <c r="G375" s="16" t="s">
        <v>12115</v>
      </c>
      <c r="H375" s="181">
        <v>6343</v>
      </c>
      <c r="I375" s="180">
        <v>16</v>
      </c>
      <c r="K375" s="316">
        <f>IFERROR(Table28[[#This Row],[ROUTE COST]]/Table28[[#This Row],[O - DEMAND]],0)</f>
        <v>0</v>
      </c>
      <c r="M375" s="16">
        <f>Table28[[#This Row],[O - DEMAND]]/950</f>
        <v>0</v>
      </c>
      <c r="N375" s="16">
        <f>IFERROR(VLOOKUP(Table28[[#This Row],[ROUTE]],DEMAND!A:F,5,FALSE),0)</f>
        <v>0</v>
      </c>
      <c r="O375" s="16">
        <f>IFERROR(VLOOKUP(Table28[[#This Row],[ROUTE]],DEMAND!A:F,6,FALSE),0)</f>
        <v>0</v>
      </c>
      <c r="P375" s="16">
        <f>ROUNDDOWN(Table28[[#This Row],[R-DEMAND]]/950,0)</f>
        <v>0</v>
      </c>
      <c r="Q375" s="16">
        <f>Table28[[#This Row],[ADD ACC
(475/950)]]*Table28[[#This Row],[Duration
(A359)]]</f>
        <v>0</v>
      </c>
      <c r="R375" s="16">
        <f>IFERROR(VLOOKUP(Table28[[#This Row],[ROUTE]],PRICING!A:B,2,FALSE),0)</f>
        <v>0</v>
      </c>
      <c r="S375" s="16">
        <f>Table28[[#This Row],[C_DEMAND]]-Table28[[#This Row],[R-DEMAND]]</f>
        <v>0</v>
      </c>
      <c r="T375" s="316">
        <f>Table28[[#This Row],[SEATS SOLD]]*Table28[[#This Row],[ECO SEAT]]</f>
        <v>0</v>
      </c>
      <c r="U375" s="316">
        <f>Table28[[#This Row],[SEATS SOLD]]*(IFERROR(VLOOKUP(Table28[[#This Row],[ROUTE]],PRICING!A:C,3,FALSE),0))</f>
        <v>0</v>
      </c>
      <c r="V375" s="316">
        <f>Table28[[#This Row],[SEAT REV]]-Table28[[#This Row],[SEAT REV
(IF IDEAL $)]]</f>
        <v>0</v>
      </c>
      <c r="AA375" s="26"/>
      <c r="AB375" s="26"/>
      <c r="AC375" s="26"/>
      <c r="AD375" s="26"/>
      <c r="AE375" s="26"/>
      <c r="AS375" s="16" t="s">
        <v>1513</v>
      </c>
      <c r="AT375" s="16" t="s">
        <v>10731</v>
      </c>
      <c r="AU375" s="16" t="s">
        <v>433</v>
      </c>
      <c r="AV375" s="16" t="s">
        <v>18884</v>
      </c>
      <c r="AW375" s="16" t="s">
        <v>18879</v>
      </c>
      <c r="AX375" s="16" t="s">
        <v>18983</v>
      </c>
      <c r="AY375" s="385">
        <v>12145</v>
      </c>
    </row>
    <row r="376" spans="1:51" x14ac:dyDescent="0.25">
      <c r="A376" s="16" t="s">
        <v>19388</v>
      </c>
      <c r="B376" s="16" t="s">
        <v>3215</v>
      </c>
      <c r="D376" s="16">
        <v>2</v>
      </c>
      <c r="E376" s="16" t="s">
        <v>3213</v>
      </c>
      <c r="F376" s="16" t="str">
        <f>VLOOKUP(Table28[[#This Row],[Country]],Table10[[COUNTRY NAME]:[CONTINENT CODE]],3,FALSE)</f>
        <v>AF</v>
      </c>
      <c r="G376" s="16" t="s">
        <v>11944</v>
      </c>
      <c r="H376" s="181">
        <v>12379</v>
      </c>
      <c r="I376" s="180">
        <v>29.25</v>
      </c>
      <c r="K376" s="316">
        <f>IFERROR(Table28[[#This Row],[ROUTE COST]]/Table28[[#This Row],[O - DEMAND]],0)</f>
        <v>0</v>
      </c>
      <c r="M376" s="16">
        <f>Table28[[#This Row],[O - DEMAND]]/950</f>
        <v>0</v>
      </c>
      <c r="N376" s="16">
        <f>IFERROR(VLOOKUP(Table28[[#This Row],[ROUTE]],DEMAND!A:F,5,FALSE),0)</f>
        <v>0</v>
      </c>
      <c r="O376" s="16">
        <f>IFERROR(VLOOKUP(Table28[[#This Row],[ROUTE]],DEMAND!A:F,6,FALSE),0)</f>
        <v>0</v>
      </c>
      <c r="P376" s="16">
        <f>ROUNDDOWN(Table28[[#This Row],[R-DEMAND]]/950,0)</f>
        <v>0</v>
      </c>
      <c r="Q376" s="16">
        <f>Table28[[#This Row],[ADD ACC
(475/950)]]*Table28[[#This Row],[Duration
(A359)]]</f>
        <v>0</v>
      </c>
      <c r="R376" s="16">
        <f>IFERROR(VLOOKUP(Table28[[#This Row],[ROUTE]],PRICING!A:B,2,FALSE),0)</f>
        <v>0</v>
      </c>
      <c r="S376" s="16">
        <f>Table28[[#This Row],[C_DEMAND]]-Table28[[#This Row],[R-DEMAND]]</f>
        <v>0</v>
      </c>
      <c r="T376" s="316">
        <f>Table28[[#This Row],[SEATS SOLD]]*Table28[[#This Row],[ECO SEAT]]</f>
        <v>0</v>
      </c>
      <c r="U376" s="316">
        <f>Table28[[#This Row],[SEATS SOLD]]*(IFERROR(VLOOKUP(Table28[[#This Row],[ROUTE]],PRICING!A:C,3,FALSE),0))</f>
        <v>0</v>
      </c>
      <c r="V376" s="316">
        <f>Table28[[#This Row],[SEAT REV]]-Table28[[#This Row],[SEAT REV
(IF IDEAL $)]]</f>
        <v>0</v>
      </c>
      <c r="AA376" s="26"/>
      <c r="AB376" s="26"/>
      <c r="AC376" s="26"/>
      <c r="AD376" s="26"/>
      <c r="AE376" s="26"/>
      <c r="AS376" s="16" t="s">
        <v>11732</v>
      </c>
      <c r="AT376" s="16" t="s">
        <v>16939</v>
      </c>
      <c r="AU376" s="16" t="s">
        <v>4170</v>
      </c>
      <c r="AV376" s="16" t="s">
        <v>18878</v>
      </c>
      <c r="AX376" s="16" t="s">
        <v>18983</v>
      </c>
      <c r="AY376" s="385">
        <v>12174</v>
      </c>
    </row>
    <row r="377" spans="1:51" x14ac:dyDescent="0.25">
      <c r="A377" s="16" t="s">
        <v>19115</v>
      </c>
      <c r="B377" s="16" t="s">
        <v>2313</v>
      </c>
      <c r="D377" s="16">
        <v>1</v>
      </c>
      <c r="E377" s="16" t="s">
        <v>14</v>
      </c>
      <c r="F377" s="16" t="str">
        <f>VLOOKUP(Table28[[#This Row],[Country]],Table10[[COUNTRY NAME]:[CONTINENT CODE]],3,FALSE)</f>
        <v>AS</v>
      </c>
      <c r="G377" s="16" t="s">
        <v>12060</v>
      </c>
      <c r="H377" s="181">
        <v>7974</v>
      </c>
      <c r="I377" s="180">
        <v>19.75</v>
      </c>
      <c r="K377" s="316">
        <f>IFERROR(Table28[[#This Row],[ROUTE COST]]/Table28[[#This Row],[O - DEMAND]],0)</f>
        <v>0</v>
      </c>
      <c r="M377" s="16">
        <f>Table28[[#This Row],[O - DEMAND]]/950</f>
        <v>0</v>
      </c>
      <c r="N377" s="16">
        <f>IFERROR(VLOOKUP(Table28[[#This Row],[ROUTE]],DEMAND!A:F,5,FALSE),0)</f>
        <v>0</v>
      </c>
      <c r="O377" s="16">
        <f>IFERROR(VLOOKUP(Table28[[#This Row],[ROUTE]],DEMAND!A:F,6,FALSE),0)</f>
        <v>0</v>
      </c>
      <c r="P377" s="16">
        <f>ROUNDDOWN(Table28[[#This Row],[R-DEMAND]]/950,0)</f>
        <v>0</v>
      </c>
      <c r="Q377" s="16">
        <f>Table28[[#This Row],[ADD ACC
(475/950)]]*Table28[[#This Row],[Duration
(A359)]]</f>
        <v>0</v>
      </c>
      <c r="R377" s="16">
        <f>IFERROR(VLOOKUP(Table28[[#This Row],[ROUTE]],PRICING!A:B,2,FALSE),0)</f>
        <v>0</v>
      </c>
      <c r="S377" s="16">
        <f>Table28[[#This Row],[C_DEMAND]]-Table28[[#This Row],[R-DEMAND]]</f>
        <v>0</v>
      </c>
      <c r="T377" s="316">
        <f>Table28[[#This Row],[SEATS SOLD]]*Table28[[#This Row],[ECO SEAT]]</f>
        <v>0</v>
      </c>
      <c r="U377" s="316">
        <f>Table28[[#This Row],[SEATS SOLD]]*(IFERROR(VLOOKUP(Table28[[#This Row],[ROUTE]],PRICING!A:C,3,FALSE),0))</f>
        <v>0</v>
      </c>
      <c r="V377" s="316">
        <f>Table28[[#This Row],[SEAT REV]]-Table28[[#This Row],[SEAT REV
(IF IDEAL $)]]</f>
        <v>0</v>
      </c>
      <c r="AA377" s="26"/>
      <c r="AB377" s="26"/>
      <c r="AC377" s="26"/>
      <c r="AD377" s="26"/>
      <c r="AE377" s="26"/>
      <c r="AS377" s="16" t="s">
        <v>11732</v>
      </c>
      <c r="AT377" s="16" t="s">
        <v>11733</v>
      </c>
      <c r="AU377" s="16" t="s">
        <v>4475</v>
      </c>
      <c r="AV377" s="16" t="s">
        <v>18884</v>
      </c>
      <c r="AW377" s="16" t="s">
        <v>18879</v>
      </c>
      <c r="AX377" s="16" t="s">
        <v>18983</v>
      </c>
      <c r="AY377" s="385">
        <v>12180</v>
      </c>
    </row>
    <row r="378" spans="1:51" x14ac:dyDescent="0.25">
      <c r="A378" s="16" t="s">
        <v>19080</v>
      </c>
      <c r="B378" s="16" t="s">
        <v>4875</v>
      </c>
      <c r="E378" s="16" t="s">
        <v>14</v>
      </c>
      <c r="F378" s="16" t="str">
        <f>VLOOKUP(Table28[[#This Row],[Country]],Table10[[COUNTRY NAME]:[CONTINENT CODE]],3,FALSE)</f>
        <v>AS</v>
      </c>
      <c r="G378" s="16" t="s">
        <v>16811</v>
      </c>
      <c r="H378" s="181">
        <v>7385</v>
      </c>
      <c r="I378" s="180">
        <v>18.25</v>
      </c>
      <c r="K378" s="316">
        <f>IFERROR(Table28[[#This Row],[ROUTE COST]]/Table28[[#This Row],[O - DEMAND]],0)</f>
        <v>0</v>
      </c>
      <c r="M378" s="16">
        <f>Table28[[#This Row],[O - DEMAND]]/950</f>
        <v>0</v>
      </c>
      <c r="N378" s="16">
        <f>IFERROR(VLOOKUP(Table28[[#This Row],[ROUTE]],DEMAND!A:F,5,FALSE),0)</f>
        <v>0</v>
      </c>
      <c r="O378" s="16">
        <f>IFERROR(VLOOKUP(Table28[[#This Row],[ROUTE]],DEMAND!A:F,6,FALSE),0)</f>
        <v>0</v>
      </c>
      <c r="P378" s="16">
        <f>ROUNDDOWN(Table28[[#This Row],[R-DEMAND]]/950,0)</f>
        <v>0</v>
      </c>
      <c r="Q378" s="16">
        <f>Table28[[#This Row],[ADD ACC
(475/950)]]*Table28[[#This Row],[Duration
(A359)]]</f>
        <v>0</v>
      </c>
      <c r="R378" s="16">
        <f>IFERROR(VLOOKUP(Table28[[#This Row],[ROUTE]],PRICING!A:B,2,FALSE),0)</f>
        <v>0</v>
      </c>
      <c r="S378" s="16">
        <f>Table28[[#This Row],[C_DEMAND]]-Table28[[#This Row],[R-DEMAND]]</f>
        <v>0</v>
      </c>
      <c r="T378" s="316">
        <f>Table28[[#This Row],[SEATS SOLD]]*Table28[[#This Row],[ECO SEAT]]</f>
        <v>0</v>
      </c>
      <c r="U378" s="316">
        <f>Table28[[#This Row],[SEATS SOLD]]*(IFERROR(VLOOKUP(Table28[[#This Row],[ROUTE]],PRICING!A:C,3,FALSE),0))</f>
        <v>0</v>
      </c>
      <c r="V378" s="316">
        <f>Table28[[#This Row],[SEAT REV]]-Table28[[#This Row],[SEAT REV
(IF IDEAL $)]]</f>
        <v>0</v>
      </c>
      <c r="AA378" s="26"/>
      <c r="AB378" s="26"/>
      <c r="AC378" s="26"/>
      <c r="AD378" s="26"/>
      <c r="AE378" s="26"/>
      <c r="AS378" s="16" t="s">
        <v>502</v>
      </c>
      <c r="AT378" s="16" t="s">
        <v>11971</v>
      </c>
      <c r="AU378" s="16" t="s">
        <v>4256</v>
      </c>
      <c r="AV378" s="16" t="s">
        <v>18884</v>
      </c>
      <c r="AW378" s="16" t="s">
        <v>18879</v>
      </c>
      <c r="AX378" s="16" t="s">
        <v>18983</v>
      </c>
      <c r="AY378" s="385">
        <v>12182</v>
      </c>
    </row>
    <row r="379" spans="1:51" x14ac:dyDescent="0.25">
      <c r="A379" s="16" t="s">
        <v>19282</v>
      </c>
      <c r="B379" s="16" t="s">
        <v>234</v>
      </c>
      <c r="C379" s="16" t="s">
        <v>467</v>
      </c>
      <c r="D379" s="16">
        <v>4</v>
      </c>
      <c r="E379" s="16" t="s">
        <v>926</v>
      </c>
      <c r="F379" s="16" t="str">
        <f>VLOOKUP(Table28[[#This Row],[Country]],Table10[[COUNTRY NAME]:[CONTINENT CODE]],3,FALSE)</f>
        <v>AF</v>
      </c>
      <c r="G379" s="16" t="s">
        <v>11074</v>
      </c>
      <c r="H379" s="181">
        <v>11026</v>
      </c>
      <c r="I379" s="180">
        <v>26.25</v>
      </c>
      <c r="K379" s="316">
        <f>IFERROR(Table28[[#This Row],[ROUTE COST]]/Table28[[#This Row],[O - DEMAND]],0)</f>
        <v>0</v>
      </c>
      <c r="M379" s="16">
        <f>Table28[[#This Row],[O - DEMAND]]/950</f>
        <v>0</v>
      </c>
      <c r="N379" s="16">
        <f>IFERROR(VLOOKUP(Table28[[#This Row],[ROUTE]],DEMAND!A:F,5,FALSE),0)</f>
        <v>4177</v>
      </c>
      <c r="O379" s="16">
        <f>IFERROR(VLOOKUP(Table28[[#This Row],[ROUTE]],DEMAND!A:F,6,FALSE),0)</f>
        <v>377</v>
      </c>
      <c r="P379" s="16">
        <f>ROUNDDOWN(Table28[[#This Row],[R-DEMAND]]/950,0)</f>
        <v>0</v>
      </c>
      <c r="Q379" s="16">
        <f>Table28[[#This Row],[ADD ACC
(475/950)]]*Table28[[#This Row],[Duration
(A359)]]</f>
        <v>0</v>
      </c>
      <c r="R379" s="16">
        <f>IFERROR(VLOOKUP(Table28[[#This Row],[ROUTE]],PRICING!A:B,2,FALSE),0)</f>
        <v>0</v>
      </c>
      <c r="S379" s="16">
        <f>Table28[[#This Row],[C_DEMAND]]-Table28[[#This Row],[R-DEMAND]]</f>
        <v>3800</v>
      </c>
      <c r="T379" s="316">
        <f>Table28[[#This Row],[SEATS SOLD]]*Table28[[#This Row],[ECO SEAT]]</f>
        <v>0</v>
      </c>
      <c r="U379" s="316">
        <f>Table28[[#This Row],[SEATS SOLD]]*(IFERROR(VLOOKUP(Table28[[#This Row],[ROUTE]],PRICING!A:C,3,FALSE),0))</f>
        <v>0</v>
      </c>
      <c r="V379" s="316">
        <f>Table28[[#This Row],[SEAT REV]]-Table28[[#This Row],[SEAT REV
(IF IDEAL $)]]</f>
        <v>0</v>
      </c>
      <c r="AA379" s="26"/>
      <c r="AB379" s="26"/>
      <c r="AC379" s="26"/>
      <c r="AD379" s="26"/>
      <c r="AE379" s="26"/>
      <c r="AS379" s="16" t="s">
        <v>11823</v>
      </c>
      <c r="AT379" s="16" t="s">
        <v>11873</v>
      </c>
      <c r="AU379" s="16" t="s">
        <v>3313</v>
      </c>
      <c r="AV379" s="16" t="s">
        <v>18881</v>
      </c>
      <c r="AW379" s="16" t="s">
        <v>18879</v>
      </c>
      <c r="AX379" s="16" t="s">
        <v>18897</v>
      </c>
      <c r="AY379" s="385">
        <v>12208</v>
      </c>
    </row>
    <row r="380" spans="1:51" x14ac:dyDescent="0.25">
      <c r="A380" s="16" t="s">
        <v>19155</v>
      </c>
      <c r="B380" s="16" t="s">
        <v>2868</v>
      </c>
      <c r="D380" s="16">
        <v>2</v>
      </c>
      <c r="E380" s="16" t="s">
        <v>14</v>
      </c>
      <c r="F380" s="16" t="str">
        <f>VLOOKUP(Table28[[#This Row],[Country]],Table10[[COUNTRY NAME]:[CONTINENT CODE]],3,FALSE)</f>
        <v>AS</v>
      </c>
      <c r="G380" s="16" t="s">
        <v>12039</v>
      </c>
      <c r="H380" s="181">
        <v>8510</v>
      </c>
      <c r="I380" s="180">
        <v>20.75</v>
      </c>
      <c r="K380" s="316">
        <f>IFERROR(Table28[[#This Row],[ROUTE COST]]/Table28[[#This Row],[O - DEMAND]],0)</f>
        <v>0</v>
      </c>
      <c r="M380" s="16">
        <f>Table28[[#This Row],[O - DEMAND]]/950</f>
        <v>0</v>
      </c>
      <c r="N380" s="16">
        <f>IFERROR(VLOOKUP(Table28[[#This Row],[ROUTE]],DEMAND!A:F,5,FALSE),0)</f>
        <v>0</v>
      </c>
      <c r="O380" s="16">
        <f>IFERROR(VLOOKUP(Table28[[#This Row],[ROUTE]],DEMAND!A:F,6,FALSE),0)</f>
        <v>0</v>
      </c>
      <c r="P380" s="16">
        <f>ROUNDDOWN(Table28[[#This Row],[R-DEMAND]]/950,0)</f>
        <v>0</v>
      </c>
      <c r="Q380" s="16">
        <f>Table28[[#This Row],[ADD ACC
(475/950)]]*Table28[[#This Row],[Duration
(A359)]]</f>
        <v>0</v>
      </c>
      <c r="R380" s="16">
        <f>IFERROR(VLOOKUP(Table28[[#This Row],[ROUTE]],PRICING!A:B,2,FALSE),0)</f>
        <v>0</v>
      </c>
      <c r="S380" s="16">
        <f>Table28[[#This Row],[C_DEMAND]]-Table28[[#This Row],[R-DEMAND]]</f>
        <v>0</v>
      </c>
      <c r="T380" s="316">
        <f>Table28[[#This Row],[SEATS SOLD]]*Table28[[#This Row],[ECO SEAT]]</f>
        <v>0</v>
      </c>
      <c r="U380" s="316">
        <f>Table28[[#This Row],[SEATS SOLD]]*(IFERROR(VLOOKUP(Table28[[#This Row],[ROUTE]],PRICING!A:C,3,FALSE),0))</f>
        <v>0</v>
      </c>
      <c r="V380" s="316">
        <f>Table28[[#This Row],[SEAT REV]]-Table28[[#This Row],[SEAT REV
(IF IDEAL $)]]</f>
        <v>0</v>
      </c>
      <c r="AA380" s="26"/>
      <c r="AB380" s="26"/>
      <c r="AC380" s="26"/>
      <c r="AD380" s="26"/>
      <c r="AE380" s="26"/>
      <c r="AS380" s="16" t="s">
        <v>11732</v>
      </c>
      <c r="AT380" s="16" t="s">
        <v>13275</v>
      </c>
      <c r="AU380" s="16" t="s">
        <v>4802</v>
      </c>
      <c r="AV380" s="16" t="s">
        <v>18881</v>
      </c>
      <c r="AW380" s="16" t="s">
        <v>18885</v>
      </c>
      <c r="AX380" s="16" t="s">
        <v>18897</v>
      </c>
      <c r="AY380" s="385">
        <v>12212</v>
      </c>
    </row>
    <row r="381" spans="1:51" x14ac:dyDescent="0.25">
      <c r="A381" s="16" t="s">
        <v>19385</v>
      </c>
      <c r="B381" s="16" t="s">
        <v>4295</v>
      </c>
      <c r="E381" s="16" t="s">
        <v>11732</v>
      </c>
      <c r="F381" s="16" t="str">
        <f>VLOOKUP(Table28[[#This Row],[Country]],Table10[[COUNTRY NAME]:[CONTINENT CODE]],3,FALSE)</f>
        <v>NA - US</v>
      </c>
      <c r="G381" s="16" t="s">
        <v>16931</v>
      </c>
      <c r="H381" s="181">
        <v>12338</v>
      </c>
      <c r="I381" s="180">
        <v>29.25</v>
      </c>
      <c r="K381" s="316">
        <f>IFERROR(Table28[[#This Row],[ROUTE COST]]/Table28[[#This Row],[O - DEMAND]],0)</f>
        <v>0</v>
      </c>
      <c r="M381" s="180">
        <f>Table28[[#This Row],[O - DEMAND]]/950</f>
        <v>0</v>
      </c>
      <c r="N381" s="16">
        <f>IFERROR(VLOOKUP(Table28[[#This Row],[ROUTE]],DEMAND!A:F,5,FALSE),0)</f>
        <v>0</v>
      </c>
      <c r="O381" s="16">
        <f>IFERROR(VLOOKUP(Table28[[#This Row],[ROUTE]],DEMAND!A:F,6,FALSE),0)</f>
        <v>0</v>
      </c>
      <c r="P381" s="16">
        <f>ROUNDDOWN(Table28[[#This Row],[R-DEMAND]]/950,0)</f>
        <v>0</v>
      </c>
      <c r="Q381" s="16">
        <f>Table28[[#This Row],[ADD ACC
(475/950)]]*Table28[[#This Row],[Duration
(A359)]]</f>
        <v>0</v>
      </c>
      <c r="R381" s="16">
        <f>IFERROR(VLOOKUP(Table28[[#This Row],[ROUTE]],PRICING!A:B,2,FALSE),0)</f>
        <v>0</v>
      </c>
      <c r="S381" s="16">
        <f>Table28[[#This Row],[C_DEMAND]]-Table28[[#This Row],[R-DEMAND]]</f>
        <v>0</v>
      </c>
      <c r="T381" s="316">
        <f>Table28[[#This Row],[SEATS SOLD]]*Table28[[#This Row],[ECO SEAT]]</f>
        <v>0</v>
      </c>
      <c r="U381" s="316">
        <f>Table28[[#This Row],[SEATS SOLD]]*(IFERROR(VLOOKUP(Table28[[#This Row],[ROUTE]],PRICING!A:C,3,FALSE),0))</f>
        <v>0</v>
      </c>
      <c r="V381" s="316">
        <f>Table28[[#This Row],[SEAT REV]]-Table28[[#This Row],[SEAT REV
(IF IDEAL $)]]</f>
        <v>0</v>
      </c>
      <c r="AA381" s="26"/>
      <c r="AB381" s="26"/>
      <c r="AC381" s="26"/>
      <c r="AD381" s="26"/>
      <c r="AE381" s="26"/>
      <c r="AS381" s="16" t="s">
        <v>1749</v>
      </c>
      <c r="AT381" s="16" t="s">
        <v>13214</v>
      </c>
      <c r="AU381" s="16" t="s">
        <v>5114</v>
      </c>
      <c r="AV381" s="16" t="s">
        <v>18892</v>
      </c>
      <c r="AW381" s="16" t="s">
        <v>18885</v>
      </c>
      <c r="AX381" s="16" t="s">
        <v>18897</v>
      </c>
      <c r="AY381" s="385">
        <v>12222</v>
      </c>
    </row>
    <row r="382" spans="1:51" x14ac:dyDescent="0.25">
      <c r="A382" s="16" t="s">
        <v>19178</v>
      </c>
      <c r="B382" s="16" t="s">
        <v>2251</v>
      </c>
      <c r="E382" s="16" t="s">
        <v>14</v>
      </c>
      <c r="F382" s="16" t="str">
        <f>VLOOKUP(Table28[[#This Row],[Country]],Table10[[COUNTRY NAME]:[CONTINENT CODE]],3,FALSE)</f>
        <v>AS</v>
      </c>
      <c r="G382" s="16" t="s">
        <v>16838</v>
      </c>
      <c r="H382" s="181">
        <v>8898</v>
      </c>
      <c r="I382" s="180">
        <v>21.75</v>
      </c>
      <c r="K382" s="316">
        <f>IFERROR(Table28[[#This Row],[ROUTE COST]]/Table28[[#This Row],[O - DEMAND]],0)</f>
        <v>0</v>
      </c>
      <c r="M382" s="16">
        <f>Table28[[#This Row],[O - DEMAND]]/950</f>
        <v>0</v>
      </c>
      <c r="N382" s="16">
        <f>IFERROR(VLOOKUP(Table28[[#This Row],[ROUTE]],DEMAND!A:F,5,FALSE),0)</f>
        <v>0</v>
      </c>
      <c r="O382" s="16">
        <f>IFERROR(VLOOKUP(Table28[[#This Row],[ROUTE]],DEMAND!A:F,6,FALSE),0)</f>
        <v>0</v>
      </c>
      <c r="P382" s="16">
        <f>ROUNDDOWN(Table28[[#This Row],[R-DEMAND]]/950,0)</f>
        <v>0</v>
      </c>
      <c r="Q382" s="16">
        <f>Table28[[#This Row],[ADD ACC
(475/950)]]*Table28[[#This Row],[Duration
(A359)]]</f>
        <v>0</v>
      </c>
      <c r="R382" s="16">
        <f>IFERROR(VLOOKUP(Table28[[#This Row],[ROUTE]],PRICING!A:B,2,FALSE),0)</f>
        <v>0</v>
      </c>
      <c r="S382" s="16">
        <f>Table28[[#This Row],[C_DEMAND]]-Table28[[#This Row],[R-DEMAND]]</f>
        <v>0</v>
      </c>
      <c r="T382" s="316">
        <f>Table28[[#This Row],[SEATS SOLD]]*Table28[[#This Row],[ECO SEAT]]</f>
        <v>0</v>
      </c>
      <c r="U382" s="316">
        <f>Table28[[#This Row],[SEATS SOLD]]*(IFERROR(VLOOKUP(Table28[[#This Row],[ROUTE]],PRICING!A:C,3,FALSE),0))</f>
        <v>0</v>
      </c>
      <c r="V382" s="316">
        <f>Table28[[#This Row],[SEAT REV]]-Table28[[#This Row],[SEAT REV
(IF IDEAL $)]]</f>
        <v>0</v>
      </c>
      <c r="AA382" s="26"/>
      <c r="AB382" s="26"/>
      <c r="AC382" s="26"/>
      <c r="AD382" s="26"/>
      <c r="AE382" s="26"/>
      <c r="AS382" s="16" t="s">
        <v>588</v>
      </c>
      <c r="AT382" s="16" t="s">
        <v>11948</v>
      </c>
      <c r="AU382" s="16" t="s">
        <v>4677</v>
      </c>
      <c r="AV382" s="16" t="s">
        <v>18884</v>
      </c>
      <c r="AW382" s="16" t="s">
        <v>18879</v>
      </c>
      <c r="AX382" s="16" t="s">
        <v>18897</v>
      </c>
      <c r="AY382" s="385">
        <v>12227</v>
      </c>
    </row>
    <row r="383" spans="1:51" x14ac:dyDescent="0.25">
      <c r="A383" s="16" t="s">
        <v>19188</v>
      </c>
      <c r="B383" s="16" t="s">
        <v>2229</v>
      </c>
      <c r="D383" s="16">
        <v>1</v>
      </c>
      <c r="E383" s="16" t="s">
        <v>1070</v>
      </c>
      <c r="F383" s="16" t="str">
        <f>VLOOKUP(Table28[[#This Row],[Country]],Table10[[COUNTRY NAME]:[CONTINENT CODE]],3,FALSE)</f>
        <v>AS</v>
      </c>
      <c r="G383" s="16" t="s">
        <v>16814</v>
      </c>
      <c r="H383" s="181">
        <v>9035</v>
      </c>
      <c r="I383" s="180">
        <v>22</v>
      </c>
      <c r="K383" s="316">
        <f>IFERROR(Table28[[#This Row],[ROUTE COST]]/Table28[[#This Row],[O - DEMAND]],0)</f>
        <v>0</v>
      </c>
      <c r="M383" s="16">
        <f>Table28[[#This Row],[O - DEMAND]]/950</f>
        <v>0</v>
      </c>
      <c r="N383" s="16">
        <f>IFERROR(VLOOKUP(Table28[[#This Row],[ROUTE]],DEMAND!A:F,5,FALSE),0)</f>
        <v>0</v>
      </c>
      <c r="O383" s="16">
        <f>IFERROR(VLOOKUP(Table28[[#This Row],[ROUTE]],DEMAND!A:F,6,FALSE),0)</f>
        <v>0</v>
      </c>
      <c r="P383" s="16">
        <f>ROUNDDOWN(Table28[[#This Row],[R-DEMAND]]/950,0)</f>
        <v>0</v>
      </c>
      <c r="Q383" s="16">
        <f>Table28[[#This Row],[ADD ACC
(475/950)]]*Table28[[#This Row],[Duration
(A359)]]</f>
        <v>0</v>
      </c>
      <c r="R383" s="16">
        <f>IFERROR(VLOOKUP(Table28[[#This Row],[ROUTE]],PRICING!A:B,2,FALSE),0)</f>
        <v>0</v>
      </c>
      <c r="S383" s="16">
        <f>Table28[[#This Row],[C_DEMAND]]-Table28[[#This Row],[R-DEMAND]]</f>
        <v>0</v>
      </c>
      <c r="T383" s="316">
        <f>Table28[[#This Row],[SEATS SOLD]]*Table28[[#This Row],[ECO SEAT]]</f>
        <v>0</v>
      </c>
      <c r="U383" s="316">
        <f>Table28[[#This Row],[SEATS SOLD]]*(IFERROR(VLOOKUP(Table28[[#This Row],[ROUTE]],PRICING!A:C,3,FALSE),0))</f>
        <v>0</v>
      </c>
      <c r="V383" s="316">
        <f>Table28[[#This Row],[SEAT REV]]-Table28[[#This Row],[SEAT REV
(IF IDEAL $)]]</f>
        <v>0</v>
      </c>
      <c r="AA383" s="26"/>
      <c r="AB383" s="26"/>
      <c r="AC383" s="26"/>
      <c r="AD383" s="26"/>
      <c r="AE383" s="26"/>
      <c r="AS383" s="16" t="s">
        <v>11732</v>
      </c>
      <c r="AT383" s="16" t="s">
        <v>8825</v>
      </c>
      <c r="AU383" s="16" t="s">
        <v>1924</v>
      </c>
      <c r="AV383" s="16" t="s">
        <v>18881</v>
      </c>
      <c r="AW383" s="16" t="s">
        <v>18890</v>
      </c>
      <c r="AX383" s="16" t="s">
        <v>18897</v>
      </c>
      <c r="AY383" s="385">
        <v>12245</v>
      </c>
    </row>
    <row r="384" spans="1:51" x14ac:dyDescent="0.25">
      <c r="A384" s="16" t="s">
        <v>19344</v>
      </c>
      <c r="B384" s="16" t="s">
        <v>3668</v>
      </c>
      <c r="C384" s="16" t="s">
        <v>467</v>
      </c>
      <c r="D384" s="16">
        <v>2</v>
      </c>
      <c r="E384" s="16" t="s">
        <v>1516</v>
      </c>
      <c r="F384" s="16" t="str">
        <f>VLOOKUP(Table28[[#This Row],[Country]],Table10[[COUNTRY NAME]:[CONTINENT CODE]],3,FALSE)</f>
        <v>AF</v>
      </c>
      <c r="G384" s="16" t="s">
        <v>11928</v>
      </c>
      <c r="H384" s="181">
        <v>11983</v>
      </c>
      <c r="I384" s="180">
        <v>28.5</v>
      </c>
      <c r="K384" s="316">
        <f>IFERROR(Table28[[#This Row],[ROUTE COST]]/Table28[[#This Row],[O - DEMAND]],0)</f>
        <v>0</v>
      </c>
      <c r="M384" s="16">
        <f>Table28[[#This Row],[O - DEMAND]]/950</f>
        <v>0</v>
      </c>
      <c r="N384" s="16">
        <f>IFERROR(VLOOKUP(Table28[[#This Row],[ROUTE]],DEMAND!A:F,5,FALSE),0)</f>
        <v>3611</v>
      </c>
      <c r="O384" s="16">
        <f>IFERROR(VLOOKUP(Table28[[#This Row],[ROUTE]],DEMAND!A:F,6,FALSE),0)</f>
        <v>761</v>
      </c>
      <c r="P384" s="16">
        <f>ROUNDDOWN(Table28[[#This Row],[R-DEMAND]]/950,0)</f>
        <v>0</v>
      </c>
      <c r="Q384" s="16">
        <f>Table28[[#This Row],[ADD ACC
(475/950)]]*Table28[[#This Row],[Duration
(A359)]]</f>
        <v>0</v>
      </c>
      <c r="R384" s="16">
        <f>IFERROR(VLOOKUP(Table28[[#This Row],[ROUTE]],PRICING!A:B,2,FALSE),0)</f>
        <v>0</v>
      </c>
      <c r="S384" s="16">
        <f>Table28[[#This Row],[C_DEMAND]]-Table28[[#This Row],[R-DEMAND]]</f>
        <v>2850</v>
      </c>
      <c r="T384" s="316">
        <f>Table28[[#This Row],[SEATS SOLD]]*Table28[[#This Row],[ECO SEAT]]</f>
        <v>0</v>
      </c>
      <c r="U384" s="316">
        <f>Table28[[#This Row],[SEATS SOLD]]*(IFERROR(VLOOKUP(Table28[[#This Row],[ROUTE]],PRICING!A:C,3,FALSE),0))</f>
        <v>0</v>
      </c>
      <c r="V384" s="316">
        <f>Table28[[#This Row],[SEAT REV]]-Table28[[#This Row],[SEAT REV
(IF IDEAL $)]]</f>
        <v>0</v>
      </c>
      <c r="AA384" s="26"/>
      <c r="AB384" s="26"/>
      <c r="AC384" s="26"/>
      <c r="AD384" s="26"/>
      <c r="AE384" s="26"/>
      <c r="AS384" s="16" t="s">
        <v>11732</v>
      </c>
      <c r="AT384" s="16" t="s">
        <v>13263</v>
      </c>
      <c r="AU384" s="16" t="s">
        <v>5247</v>
      </c>
      <c r="AV384" s="16" t="s">
        <v>18884</v>
      </c>
      <c r="AW384" s="16" t="s">
        <v>18885</v>
      </c>
      <c r="AX384" s="16" t="s">
        <v>18897</v>
      </c>
      <c r="AY384" s="385">
        <v>12252</v>
      </c>
    </row>
    <row r="385" spans="1:51" x14ac:dyDescent="0.25">
      <c r="A385" s="16" t="s">
        <v>19402</v>
      </c>
      <c r="B385" s="16" t="s">
        <v>2085</v>
      </c>
      <c r="D385" s="16">
        <v>1</v>
      </c>
      <c r="E385" s="16" t="s">
        <v>11669</v>
      </c>
      <c r="F385" s="16" t="str">
        <f>VLOOKUP(Table28[[#This Row],[Country]],Table10[[COUNTRY NAME]:[CONTINENT CODE]],3,FALSE)</f>
        <v>SA</v>
      </c>
      <c r="G385" s="16" t="s">
        <v>13140</v>
      </c>
      <c r="H385" s="181">
        <v>12483</v>
      </c>
      <c r="I385" s="180">
        <v>29.5</v>
      </c>
      <c r="K385" s="316">
        <f>IFERROR(Table28[[#This Row],[ROUTE COST]]/Table28[[#This Row],[O - DEMAND]],0)</f>
        <v>0</v>
      </c>
      <c r="M385" s="16">
        <f>Table28[[#This Row],[O - DEMAND]]/950</f>
        <v>0</v>
      </c>
      <c r="N385" s="16">
        <f>IFERROR(VLOOKUP(Table28[[#This Row],[ROUTE]],DEMAND!A:F,5,FALSE),0)</f>
        <v>0</v>
      </c>
      <c r="O385" s="16">
        <f>IFERROR(VLOOKUP(Table28[[#This Row],[ROUTE]],DEMAND!A:F,6,FALSE),0)</f>
        <v>0</v>
      </c>
      <c r="P385" s="16">
        <f>ROUNDDOWN(Table28[[#This Row],[R-DEMAND]]/950,0)</f>
        <v>0</v>
      </c>
      <c r="Q385" s="16">
        <f>Table28[[#This Row],[ADD ACC
(475/950)]]*Table28[[#This Row],[Duration
(A359)]]</f>
        <v>0</v>
      </c>
      <c r="R385" s="16">
        <f>IFERROR(VLOOKUP(Table28[[#This Row],[ROUTE]],PRICING!A:B,2,FALSE),0)</f>
        <v>0</v>
      </c>
      <c r="S385" s="16">
        <f>Table28[[#This Row],[C_DEMAND]]-Table28[[#This Row],[R-DEMAND]]</f>
        <v>0</v>
      </c>
      <c r="T385" s="316">
        <f>Table28[[#This Row],[SEATS SOLD]]*Table28[[#This Row],[ECO SEAT]]</f>
        <v>0</v>
      </c>
      <c r="U385" s="316">
        <f>Table28[[#This Row],[SEATS SOLD]]*(IFERROR(VLOOKUP(Table28[[#This Row],[ROUTE]],PRICING!A:C,3,FALSE),0))</f>
        <v>0</v>
      </c>
      <c r="V385" s="316">
        <f>Table28[[#This Row],[SEAT REV]]-Table28[[#This Row],[SEAT REV
(IF IDEAL $)]]</f>
        <v>0</v>
      </c>
      <c r="AA385" s="26"/>
      <c r="AB385" s="26"/>
      <c r="AC385" s="26"/>
      <c r="AD385" s="26"/>
      <c r="AE385" s="26"/>
      <c r="AS385" s="16" t="s">
        <v>11669</v>
      </c>
      <c r="AT385" s="16" t="s">
        <v>13139</v>
      </c>
      <c r="AU385" s="16" t="s">
        <v>3636</v>
      </c>
      <c r="AV385" s="16" t="s">
        <v>18892</v>
      </c>
      <c r="AW385" s="16" t="s">
        <v>18879</v>
      </c>
      <c r="AX385" s="16" t="s">
        <v>18897</v>
      </c>
      <c r="AY385" s="385">
        <v>12252</v>
      </c>
    </row>
    <row r="386" spans="1:51" x14ac:dyDescent="0.25">
      <c r="A386" s="16" t="s">
        <v>19485</v>
      </c>
      <c r="B386" s="16" t="s">
        <v>3307</v>
      </c>
      <c r="D386" s="16">
        <v>2</v>
      </c>
      <c r="E386" s="16" t="s">
        <v>714</v>
      </c>
      <c r="F386" s="16" t="str">
        <f>VLOOKUP(Table28[[#This Row],[Country]],Table10[[COUNTRY NAME]:[CONTINENT CODE]],3,FALSE)</f>
        <v>SA</v>
      </c>
      <c r="G386" s="16" t="s">
        <v>13244</v>
      </c>
      <c r="H386" s="181">
        <v>12994</v>
      </c>
      <c r="I386" s="180">
        <v>30.75</v>
      </c>
      <c r="K386" s="316">
        <f>IFERROR(Table28[[#This Row],[ROUTE COST]]/Table28[[#This Row],[O - DEMAND]],0)</f>
        <v>0</v>
      </c>
      <c r="M386" s="16">
        <f>Table28[[#This Row],[O - DEMAND]]/950</f>
        <v>0</v>
      </c>
      <c r="N386" s="16">
        <f>IFERROR(VLOOKUP(Table28[[#This Row],[ROUTE]],DEMAND!A:F,5,FALSE),0)</f>
        <v>0</v>
      </c>
      <c r="O386" s="16">
        <f>IFERROR(VLOOKUP(Table28[[#This Row],[ROUTE]],DEMAND!A:F,6,FALSE),0)</f>
        <v>0</v>
      </c>
      <c r="P386" s="16">
        <f>ROUNDDOWN(Table28[[#This Row],[R-DEMAND]]/950,0)</f>
        <v>0</v>
      </c>
      <c r="Q386" s="16">
        <f>Table28[[#This Row],[ADD ACC
(475/950)]]*Table28[[#This Row],[Duration
(A359)]]</f>
        <v>0</v>
      </c>
      <c r="R386" s="16">
        <f>IFERROR(VLOOKUP(Table28[[#This Row],[ROUTE]],PRICING!A:B,2,FALSE),0)</f>
        <v>0</v>
      </c>
      <c r="S386" s="16">
        <f>Table28[[#This Row],[C_DEMAND]]-Table28[[#This Row],[R-DEMAND]]</f>
        <v>0</v>
      </c>
      <c r="T386" s="316">
        <f>Table28[[#This Row],[SEATS SOLD]]*Table28[[#This Row],[ECO SEAT]]</f>
        <v>0</v>
      </c>
      <c r="U386" s="316">
        <f>Table28[[#This Row],[SEATS SOLD]]*(IFERROR(VLOOKUP(Table28[[#This Row],[ROUTE]],PRICING!A:C,3,FALSE),0))</f>
        <v>0</v>
      </c>
      <c r="V386" s="316">
        <f>Table28[[#This Row],[SEAT REV]]-Table28[[#This Row],[SEAT REV
(IF IDEAL $)]]</f>
        <v>0</v>
      </c>
      <c r="AA386" s="26"/>
      <c r="AB386" s="26"/>
      <c r="AC386" s="26"/>
      <c r="AD386" s="26"/>
      <c r="AE386" s="26"/>
      <c r="AS386" s="16" t="s">
        <v>1749</v>
      </c>
      <c r="AT386" s="16" t="s">
        <v>16955</v>
      </c>
      <c r="AU386" s="16" t="s">
        <v>4049</v>
      </c>
      <c r="AV386" s="16" t="s">
        <v>18878</v>
      </c>
      <c r="AW386" s="16" t="s">
        <v>18879</v>
      </c>
      <c r="AX386" s="16" t="s">
        <v>18897</v>
      </c>
      <c r="AY386" s="385">
        <v>12253</v>
      </c>
    </row>
    <row r="387" spans="1:51" x14ac:dyDescent="0.25">
      <c r="A387" s="16" t="s">
        <v>19798</v>
      </c>
      <c r="B387" s="16" t="s">
        <v>2639</v>
      </c>
      <c r="D387" s="16">
        <v>2</v>
      </c>
      <c r="E387" s="16" t="s">
        <v>807</v>
      </c>
      <c r="F387" s="16" t="str">
        <f>VLOOKUP(Table28[[#This Row],[Country]],Table10[[COUNTRY NAME]:[CONTINENT CODE]],3,FALSE)</f>
        <v>EU</v>
      </c>
      <c r="G387" s="16" t="s">
        <v>9141</v>
      </c>
      <c r="H387" s="181">
        <v>15114</v>
      </c>
      <c r="I387" s="180">
        <v>35.25</v>
      </c>
      <c r="K387" s="316">
        <f>IFERROR(Table28[[#This Row],[ROUTE COST]]/Table28[[#This Row],[O - DEMAND]],0)</f>
        <v>0</v>
      </c>
      <c r="M387" s="16">
        <f>Table28[[#This Row],[O - DEMAND]]/950</f>
        <v>0</v>
      </c>
      <c r="N387" s="16">
        <f>IFERROR(VLOOKUP(Table28[[#This Row],[ROUTE]],DEMAND!A:F,5,FALSE),0)</f>
        <v>0</v>
      </c>
      <c r="O387" s="16">
        <f>IFERROR(VLOOKUP(Table28[[#This Row],[ROUTE]],DEMAND!A:F,6,FALSE),0)</f>
        <v>0</v>
      </c>
      <c r="P387" s="16">
        <f>ROUNDDOWN(Table28[[#This Row],[R-DEMAND]]/950,0)</f>
        <v>0</v>
      </c>
      <c r="Q387" s="16">
        <f>Table28[[#This Row],[ADD ACC
(475/950)]]*Table28[[#This Row],[Duration
(A359)]]</f>
        <v>0</v>
      </c>
      <c r="R387" s="16">
        <f>IFERROR(VLOOKUP(Table28[[#This Row],[ROUTE]],PRICING!A:B,2,FALSE),0)</f>
        <v>0</v>
      </c>
      <c r="S387" s="16">
        <f>Table28[[#This Row],[C_DEMAND]]-Table28[[#This Row],[R-DEMAND]]</f>
        <v>0</v>
      </c>
      <c r="T387" s="316">
        <f>Table28[[#This Row],[SEATS SOLD]]*Table28[[#This Row],[ECO SEAT]]</f>
        <v>0</v>
      </c>
      <c r="U387" s="316">
        <f>Table28[[#This Row],[SEATS SOLD]]*(IFERROR(VLOOKUP(Table28[[#This Row],[ROUTE]],PRICING!A:C,3,FALSE),0))</f>
        <v>0</v>
      </c>
      <c r="V387" s="316">
        <f>Table28[[#This Row],[SEAT REV]]-Table28[[#This Row],[SEAT REV
(IF IDEAL $)]]</f>
        <v>0</v>
      </c>
      <c r="AA387" s="26"/>
      <c r="AB387" s="26"/>
      <c r="AC387" s="26"/>
      <c r="AD387" s="26"/>
      <c r="AE387" s="26"/>
      <c r="AS387" s="16" t="s">
        <v>530</v>
      </c>
      <c r="AT387" s="16" t="s">
        <v>16952</v>
      </c>
      <c r="AU387" s="16" t="s">
        <v>3780</v>
      </c>
      <c r="AV387" s="16" t="s">
        <v>18878</v>
      </c>
      <c r="AW387" s="16" t="s">
        <v>18879</v>
      </c>
      <c r="AX387" s="16" t="s">
        <v>18897</v>
      </c>
      <c r="AY387" s="385">
        <v>12267</v>
      </c>
    </row>
    <row r="388" spans="1:51" x14ac:dyDescent="0.25">
      <c r="A388" s="16" t="s">
        <v>19182</v>
      </c>
      <c r="B388" s="16" t="s">
        <v>4915</v>
      </c>
      <c r="D388" s="16">
        <v>3</v>
      </c>
      <c r="E388" s="16" t="s">
        <v>14</v>
      </c>
      <c r="F388" s="16" t="str">
        <f>VLOOKUP(Table28[[#This Row],[Country]],Table10[[COUNTRY NAME]:[CONTINENT CODE]],3,FALSE)</f>
        <v>AS</v>
      </c>
      <c r="G388" s="16" t="s">
        <v>12051</v>
      </c>
      <c r="H388" s="181">
        <v>8935</v>
      </c>
      <c r="I388" s="180">
        <v>21.75</v>
      </c>
      <c r="K388" s="316">
        <f>IFERROR(Table28[[#This Row],[ROUTE COST]]/Table28[[#This Row],[O - DEMAND]],0)</f>
        <v>0</v>
      </c>
      <c r="M388" s="16">
        <f>Table28[[#This Row],[O - DEMAND]]/950</f>
        <v>0</v>
      </c>
      <c r="N388" s="16">
        <f>IFERROR(VLOOKUP(Table28[[#This Row],[ROUTE]],DEMAND!A:F,5,FALSE),0)</f>
        <v>0</v>
      </c>
      <c r="O388" s="16">
        <f>IFERROR(VLOOKUP(Table28[[#This Row],[ROUTE]],DEMAND!A:F,6,FALSE),0)</f>
        <v>0</v>
      </c>
      <c r="P388" s="16">
        <f>ROUNDDOWN(Table28[[#This Row],[R-DEMAND]]/950,0)</f>
        <v>0</v>
      </c>
      <c r="Q388" s="16">
        <f>Table28[[#This Row],[ADD ACC
(475/950)]]*Table28[[#This Row],[Duration
(A359)]]</f>
        <v>0</v>
      </c>
      <c r="R388" s="16">
        <f>IFERROR(VLOOKUP(Table28[[#This Row],[ROUTE]],PRICING!A:B,2,FALSE),0)</f>
        <v>0</v>
      </c>
      <c r="S388" s="16">
        <f>Table28[[#This Row],[C_DEMAND]]-Table28[[#This Row],[R-DEMAND]]</f>
        <v>0</v>
      </c>
      <c r="T388" s="316">
        <f>Table28[[#This Row],[SEATS SOLD]]*Table28[[#This Row],[ECO SEAT]]</f>
        <v>0</v>
      </c>
      <c r="U388" s="316">
        <f>Table28[[#This Row],[SEATS SOLD]]*(IFERROR(VLOOKUP(Table28[[#This Row],[ROUTE]],PRICING!A:C,3,FALSE),0))</f>
        <v>0</v>
      </c>
      <c r="V388" s="316">
        <f>Table28[[#This Row],[SEAT REV]]-Table28[[#This Row],[SEAT REV
(IF IDEAL $)]]</f>
        <v>0</v>
      </c>
      <c r="AA388" s="26"/>
      <c r="AB388" s="26"/>
      <c r="AC388" s="26"/>
      <c r="AD388" s="26"/>
      <c r="AE388" s="26"/>
      <c r="AS388" s="16" t="s">
        <v>502</v>
      </c>
      <c r="AT388" s="16" t="s">
        <v>11965</v>
      </c>
      <c r="AU388" s="16" t="s">
        <v>4824</v>
      </c>
      <c r="AV388" s="16" t="s">
        <v>18884</v>
      </c>
      <c r="AW388" s="16" t="s">
        <v>18885</v>
      </c>
      <c r="AX388" s="16" t="s">
        <v>18897</v>
      </c>
      <c r="AY388" s="385">
        <v>12275</v>
      </c>
    </row>
    <row r="389" spans="1:51" x14ac:dyDescent="0.25">
      <c r="A389" s="16" t="s">
        <v>19605</v>
      </c>
      <c r="B389" s="16" t="s">
        <v>1656</v>
      </c>
      <c r="D389" s="16">
        <v>1</v>
      </c>
      <c r="E389" s="16" t="s">
        <v>1654</v>
      </c>
      <c r="F389" s="16" t="str">
        <f>VLOOKUP(Table28[[#This Row],[Country]],Table10[[COUNTRY NAME]:[CONTINENT CODE]],3,FALSE)</f>
        <v>AS</v>
      </c>
      <c r="G389" s="16" t="s">
        <v>11901</v>
      </c>
      <c r="H389" s="181">
        <v>13818</v>
      </c>
      <c r="I389" s="180">
        <v>32.5</v>
      </c>
      <c r="K389" s="316">
        <f>IFERROR(Table28[[#This Row],[ROUTE COST]]/Table28[[#This Row],[O - DEMAND]],0)</f>
        <v>0</v>
      </c>
      <c r="M389" s="16">
        <f>Table28[[#This Row],[O - DEMAND]]/950</f>
        <v>0</v>
      </c>
      <c r="N389" s="16">
        <f>IFERROR(VLOOKUP(Table28[[#This Row],[ROUTE]],DEMAND!A:F,5,FALSE),0)</f>
        <v>0</v>
      </c>
      <c r="O389" s="16">
        <f>IFERROR(VLOOKUP(Table28[[#This Row],[ROUTE]],DEMAND!A:F,6,FALSE),0)</f>
        <v>0</v>
      </c>
      <c r="P389" s="16">
        <f>ROUNDDOWN(Table28[[#This Row],[R-DEMAND]]/950,0)</f>
        <v>0</v>
      </c>
      <c r="Q389" s="16">
        <f>Table28[[#This Row],[ADD ACC
(475/950)]]*Table28[[#This Row],[Duration
(A359)]]</f>
        <v>0</v>
      </c>
      <c r="R389" s="16">
        <f>IFERROR(VLOOKUP(Table28[[#This Row],[ROUTE]],PRICING!A:B,2,FALSE),0)</f>
        <v>0</v>
      </c>
      <c r="S389" s="16">
        <f>Table28[[#This Row],[C_DEMAND]]-Table28[[#This Row],[R-DEMAND]]</f>
        <v>0</v>
      </c>
      <c r="T389" s="316">
        <f>Table28[[#This Row],[SEATS SOLD]]*Table28[[#This Row],[ECO SEAT]]</f>
        <v>0</v>
      </c>
      <c r="U389" s="316">
        <f>Table28[[#This Row],[SEATS SOLD]]*(IFERROR(VLOOKUP(Table28[[#This Row],[ROUTE]],PRICING!A:C,3,FALSE),0))</f>
        <v>0</v>
      </c>
      <c r="V389" s="316">
        <f>Table28[[#This Row],[SEAT REV]]-Table28[[#This Row],[SEAT REV
(IF IDEAL $)]]</f>
        <v>0</v>
      </c>
      <c r="AA389" s="26"/>
      <c r="AB389" s="26"/>
      <c r="AC389" s="26"/>
      <c r="AD389" s="26"/>
      <c r="AE389" s="26"/>
      <c r="AS389" s="16" t="s">
        <v>1289</v>
      </c>
      <c r="AT389" s="16" t="s">
        <v>11950</v>
      </c>
      <c r="AU389" s="16" t="s">
        <v>3950</v>
      </c>
      <c r="AV389" s="16" t="s">
        <v>18881</v>
      </c>
      <c r="AW389" s="16" t="s">
        <v>18879</v>
      </c>
      <c r="AX389" s="16" t="s">
        <v>18897</v>
      </c>
      <c r="AY389" s="385">
        <v>12282</v>
      </c>
    </row>
    <row r="390" spans="1:51" x14ac:dyDescent="0.25">
      <c r="A390" s="16" t="s">
        <v>19303</v>
      </c>
      <c r="B390" s="16" t="s">
        <v>232</v>
      </c>
      <c r="C390" s="16" t="s">
        <v>467</v>
      </c>
      <c r="D390" s="16">
        <v>3</v>
      </c>
      <c r="E390" s="16" t="s">
        <v>567</v>
      </c>
      <c r="F390" s="16" t="str">
        <f>VLOOKUP(Table28[[#This Row],[Country]],Table10[[COUNTRY NAME]:[CONTINENT CODE]],3,FALSE)</f>
        <v>AS</v>
      </c>
      <c r="G390" s="16" t="s">
        <v>12000</v>
      </c>
      <c r="H390" s="181">
        <v>11432</v>
      </c>
      <c r="I390" s="180">
        <v>27.25</v>
      </c>
      <c r="K390" s="316">
        <f>IFERROR(Table28[[#This Row],[ROUTE COST]]/Table28[[#This Row],[O - DEMAND]],0)</f>
        <v>0</v>
      </c>
      <c r="M390" s="16">
        <f>Table28[[#This Row],[O - DEMAND]]/950</f>
        <v>0</v>
      </c>
      <c r="N390" s="16">
        <f>IFERROR(VLOOKUP(Table28[[#This Row],[ROUTE]],DEMAND!A:F,5,FALSE),0)</f>
        <v>2815</v>
      </c>
      <c r="O390" s="16">
        <f>IFERROR(VLOOKUP(Table28[[#This Row],[ROUTE]],DEMAND!A:F,6,FALSE),0)</f>
        <v>915</v>
      </c>
      <c r="P390" s="16">
        <f>ROUNDDOWN(Table28[[#This Row],[R-DEMAND]]/950,0)</f>
        <v>0</v>
      </c>
      <c r="Q390" s="16">
        <f>Table28[[#This Row],[ADD ACC
(475/950)]]*Table28[[#This Row],[Duration
(A359)]]</f>
        <v>0</v>
      </c>
      <c r="R390" s="16">
        <f>IFERROR(VLOOKUP(Table28[[#This Row],[ROUTE]],PRICING!A:B,2,FALSE),0)</f>
        <v>0</v>
      </c>
      <c r="S390" s="16">
        <f>Table28[[#This Row],[C_DEMAND]]-Table28[[#This Row],[R-DEMAND]]</f>
        <v>1900</v>
      </c>
      <c r="T390" s="316">
        <f>Table28[[#This Row],[SEATS SOLD]]*Table28[[#This Row],[ECO SEAT]]</f>
        <v>0</v>
      </c>
      <c r="U390" s="316">
        <f>Table28[[#This Row],[SEATS SOLD]]*(IFERROR(VLOOKUP(Table28[[#This Row],[ROUTE]],PRICING!A:C,3,FALSE),0))</f>
        <v>0</v>
      </c>
      <c r="V390" s="316">
        <f>Table28[[#This Row],[SEAT REV]]-Table28[[#This Row],[SEAT REV
(IF IDEAL $)]]</f>
        <v>0</v>
      </c>
      <c r="AA390" s="26"/>
      <c r="AB390" s="26"/>
      <c r="AC390" s="26"/>
      <c r="AD390" s="26"/>
      <c r="AE390" s="26"/>
      <c r="AS390" s="16" t="s">
        <v>11669</v>
      </c>
      <c r="AT390" s="16" t="s">
        <v>7613</v>
      </c>
      <c r="AU390" s="16" t="s">
        <v>627</v>
      </c>
      <c r="AV390" s="16" t="s">
        <v>18892</v>
      </c>
      <c r="AW390" s="16" t="s">
        <v>18890</v>
      </c>
      <c r="AX390" s="16" t="s">
        <v>18897</v>
      </c>
      <c r="AY390" s="385">
        <v>12282</v>
      </c>
    </row>
    <row r="391" spans="1:51" x14ac:dyDescent="0.25">
      <c r="A391" s="16" t="s">
        <v>19760</v>
      </c>
      <c r="B391" s="16" t="s">
        <v>5419</v>
      </c>
      <c r="C391" s="16" t="s">
        <v>467</v>
      </c>
      <c r="D391" s="16">
        <v>3</v>
      </c>
      <c r="E391" s="16" t="s">
        <v>722</v>
      </c>
      <c r="F391" s="16" t="str">
        <f>VLOOKUP(Table28[[#This Row],[Country]],Table10[[COUNTRY NAME]:[CONTINENT CODE]],3,FALSE)</f>
        <v>EU</v>
      </c>
      <c r="G391" s="16" t="s">
        <v>11845</v>
      </c>
      <c r="H391" s="181">
        <v>14924</v>
      </c>
      <c r="I391" s="180">
        <v>35</v>
      </c>
      <c r="K391" s="316">
        <f>IFERROR(Table28[[#This Row],[ROUTE COST]]/Table28[[#This Row],[O - DEMAND]],0)</f>
        <v>0</v>
      </c>
      <c r="M391" s="16">
        <f>Table28[[#This Row],[O - DEMAND]]/950</f>
        <v>0</v>
      </c>
      <c r="N391" s="16">
        <f>IFERROR(VLOOKUP(Table28[[#This Row],[ROUTE]],DEMAND!A:F,5,FALSE),0)</f>
        <v>2416</v>
      </c>
      <c r="O391" s="16">
        <f>IFERROR(VLOOKUP(Table28[[#This Row],[ROUTE]],DEMAND!A:F,6,FALSE),0)</f>
        <v>516</v>
      </c>
      <c r="P391" s="16">
        <f>ROUNDDOWN(Table28[[#This Row],[R-DEMAND]]/950,0)</f>
        <v>0</v>
      </c>
      <c r="Q391" s="16">
        <f>Table28[[#This Row],[ADD ACC
(475/950)]]*Table28[[#This Row],[Duration
(A359)]]</f>
        <v>0</v>
      </c>
      <c r="R391" s="16">
        <f>IFERROR(VLOOKUP(Table28[[#This Row],[ROUTE]],PRICING!A:B,2,FALSE),0)</f>
        <v>0</v>
      </c>
      <c r="S391" s="16">
        <f>Table28[[#This Row],[C_DEMAND]]-Table28[[#This Row],[R-DEMAND]]</f>
        <v>1900</v>
      </c>
      <c r="T391" s="316">
        <f>Table28[[#This Row],[SEATS SOLD]]*Table28[[#This Row],[ECO SEAT]]</f>
        <v>0</v>
      </c>
      <c r="U391" s="316">
        <f>Table28[[#This Row],[SEATS SOLD]]*(IFERROR(VLOOKUP(Table28[[#This Row],[ROUTE]],PRICING!A:C,3,FALSE),0))</f>
        <v>0</v>
      </c>
      <c r="V391" s="316">
        <f>Table28[[#This Row],[SEAT REV]]-Table28[[#This Row],[SEAT REV
(IF IDEAL $)]]</f>
        <v>0</v>
      </c>
      <c r="AA391" s="26"/>
      <c r="AB391" s="26"/>
      <c r="AC391" s="26"/>
      <c r="AD391" s="26"/>
      <c r="AE391" s="26"/>
      <c r="AS391" s="16" t="s">
        <v>11732</v>
      </c>
      <c r="AT391" s="16" t="s">
        <v>13279</v>
      </c>
      <c r="AU391" s="16" t="s">
        <v>3091</v>
      </c>
      <c r="AV391" s="16" t="s">
        <v>18884</v>
      </c>
      <c r="AW391" s="16" t="s">
        <v>18879</v>
      </c>
      <c r="AX391" s="16" t="s">
        <v>18964</v>
      </c>
      <c r="AY391" s="385">
        <v>12307</v>
      </c>
    </row>
    <row r="392" spans="1:51" x14ac:dyDescent="0.25">
      <c r="A392" s="16" t="s">
        <v>19069</v>
      </c>
      <c r="B392" s="16" t="s">
        <v>229</v>
      </c>
      <c r="D392" s="16">
        <v>2</v>
      </c>
      <c r="E392" s="16" t="s">
        <v>332</v>
      </c>
      <c r="F392" s="16" t="str">
        <f>VLOOKUP(Table28[[#This Row],[Country]],Table10[[COUNTRY NAME]:[CONTINENT CODE]],3,FALSE)</f>
        <v>AS</v>
      </c>
      <c r="G392" s="16" t="s">
        <v>9107</v>
      </c>
      <c r="H392" s="181">
        <v>7214</v>
      </c>
      <c r="I392" s="180">
        <v>18</v>
      </c>
      <c r="K392" s="316">
        <f>IFERROR(Table28[[#This Row],[ROUTE COST]]/Table28[[#This Row],[O - DEMAND]],0)</f>
        <v>0</v>
      </c>
      <c r="M392" s="16">
        <f>Table28[[#This Row],[O - DEMAND]]/950</f>
        <v>0</v>
      </c>
      <c r="N392" s="16">
        <f>IFERROR(VLOOKUP(Table28[[#This Row],[ROUTE]],DEMAND!A:F,5,FALSE),0)</f>
        <v>0</v>
      </c>
      <c r="O392" s="16">
        <f>IFERROR(VLOOKUP(Table28[[#This Row],[ROUTE]],DEMAND!A:F,6,FALSE),0)</f>
        <v>0</v>
      </c>
      <c r="P392" s="16">
        <f>ROUNDDOWN(Table28[[#This Row],[R-DEMAND]]/950,0)</f>
        <v>0</v>
      </c>
      <c r="Q392" s="16">
        <f>Table28[[#This Row],[ADD ACC
(475/950)]]*Table28[[#This Row],[Duration
(A359)]]</f>
        <v>0</v>
      </c>
      <c r="R392" s="16">
        <f>IFERROR(VLOOKUP(Table28[[#This Row],[ROUTE]],PRICING!A:B,2,FALSE),0)</f>
        <v>0</v>
      </c>
      <c r="S392" s="16">
        <f>Table28[[#This Row],[C_DEMAND]]-Table28[[#This Row],[R-DEMAND]]</f>
        <v>0</v>
      </c>
      <c r="T392" s="316">
        <f>Table28[[#This Row],[SEATS SOLD]]*Table28[[#This Row],[ECO SEAT]]</f>
        <v>0</v>
      </c>
      <c r="U392" s="316">
        <f>Table28[[#This Row],[SEATS SOLD]]*(IFERROR(VLOOKUP(Table28[[#This Row],[ROUTE]],PRICING!A:C,3,FALSE),0))</f>
        <v>0</v>
      </c>
      <c r="V392" s="316">
        <f>Table28[[#This Row],[SEAT REV]]-Table28[[#This Row],[SEAT REV
(IF IDEAL $)]]</f>
        <v>0</v>
      </c>
      <c r="AA392" s="26"/>
      <c r="AB392" s="26"/>
      <c r="AC392" s="26"/>
      <c r="AD392" s="26"/>
      <c r="AE392" s="26"/>
      <c r="AS392" s="16" t="s">
        <v>78</v>
      </c>
      <c r="AT392" s="16" t="s">
        <v>11938</v>
      </c>
      <c r="AU392" s="16" t="s">
        <v>5436</v>
      </c>
      <c r="AV392" s="16" t="s">
        <v>18892</v>
      </c>
      <c r="AW392" s="16" t="s">
        <v>18885</v>
      </c>
      <c r="AX392" s="16" t="s">
        <v>18964</v>
      </c>
      <c r="AY392" s="385">
        <v>12337</v>
      </c>
    </row>
    <row r="393" spans="1:51" x14ac:dyDescent="0.25">
      <c r="A393" s="16" t="s">
        <v>19310</v>
      </c>
      <c r="B393" s="16" t="s">
        <v>3674</v>
      </c>
      <c r="C393" s="16" t="s">
        <v>467</v>
      </c>
      <c r="D393" s="16">
        <v>2</v>
      </c>
      <c r="E393" s="16" t="s">
        <v>567</v>
      </c>
      <c r="F393" s="16" t="str">
        <f>VLOOKUP(Table28[[#This Row],[Country]],Table10[[COUNTRY NAME]:[CONTINENT CODE]],3,FALSE)</f>
        <v>AS</v>
      </c>
      <c r="G393" s="16" t="s">
        <v>11998</v>
      </c>
      <c r="H393" s="181">
        <v>11516</v>
      </c>
      <c r="I393" s="180">
        <v>27.5</v>
      </c>
      <c r="K393" s="316">
        <f>IFERROR(Table28[[#This Row],[ROUTE COST]]/Table28[[#This Row],[O - DEMAND]],0)</f>
        <v>0</v>
      </c>
      <c r="M393" s="16">
        <f>Table28[[#This Row],[O - DEMAND]]/950</f>
        <v>0</v>
      </c>
      <c r="N393" s="16">
        <f>IFERROR(VLOOKUP(Table28[[#This Row],[ROUTE]],DEMAND!A:F,5,FALSE),0)</f>
        <v>2366</v>
      </c>
      <c r="O393" s="16">
        <f>IFERROR(VLOOKUP(Table28[[#This Row],[ROUTE]],DEMAND!A:F,6,FALSE),0)</f>
        <v>466</v>
      </c>
      <c r="P393" s="16">
        <f>ROUNDDOWN(Table28[[#This Row],[R-DEMAND]]/950,0)</f>
        <v>0</v>
      </c>
      <c r="Q393" s="16">
        <f>Table28[[#This Row],[ADD ACC
(475/950)]]*Table28[[#This Row],[Duration
(A359)]]</f>
        <v>0</v>
      </c>
      <c r="R393" s="16">
        <f>IFERROR(VLOOKUP(Table28[[#This Row],[ROUTE]],PRICING!A:B,2,FALSE),0)</f>
        <v>0</v>
      </c>
      <c r="S393" s="16">
        <f>Table28[[#This Row],[C_DEMAND]]-Table28[[#This Row],[R-DEMAND]]</f>
        <v>1900</v>
      </c>
      <c r="T393" s="316">
        <f>Table28[[#This Row],[SEATS SOLD]]*Table28[[#This Row],[ECO SEAT]]</f>
        <v>0</v>
      </c>
      <c r="U393" s="316">
        <f>Table28[[#This Row],[SEATS SOLD]]*(IFERROR(VLOOKUP(Table28[[#This Row],[ROUTE]],PRICING!A:C,3,FALSE),0))</f>
        <v>0</v>
      </c>
      <c r="V393" s="316">
        <f>Table28[[#This Row],[SEAT REV]]-Table28[[#This Row],[SEAT REV
(IF IDEAL $)]]</f>
        <v>0</v>
      </c>
      <c r="AA393" s="26"/>
      <c r="AB393" s="26"/>
      <c r="AC393" s="26"/>
      <c r="AD393" s="26"/>
      <c r="AE393" s="26"/>
      <c r="AS393" s="16" t="s">
        <v>11732</v>
      </c>
      <c r="AT393" s="16" t="s">
        <v>16931</v>
      </c>
      <c r="AU393" s="16" t="s">
        <v>4295</v>
      </c>
      <c r="AV393" s="16" t="s">
        <v>18878</v>
      </c>
      <c r="AX393" s="16" t="s">
        <v>18964</v>
      </c>
      <c r="AY393" s="385">
        <v>12338</v>
      </c>
    </row>
    <row r="394" spans="1:51" x14ac:dyDescent="0.25">
      <c r="A394" s="16" t="s">
        <v>19319</v>
      </c>
      <c r="B394" s="16" t="s">
        <v>3588</v>
      </c>
      <c r="D394" s="16">
        <v>2</v>
      </c>
      <c r="E394" s="16" t="s">
        <v>78</v>
      </c>
      <c r="F394" s="16" t="str">
        <f>VLOOKUP(Table28[[#This Row],[Country]],Table10[[COUNTRY NAME]:[CONTINENT CODE]],3,FALSE)</f>
        <v>EU</v>
      </c>
      <c r="G394" s="16" t="s">
        <v>11953</v>
      </c>
      <c r="H394" s="181">
        <v>11684</v>
      </c>
      <c r="I394" s="180">
        <v>27.75</v>
      </c>
      <c r="K394" s="316">
        <f>IFERROR(Table28[[#This Row],[ROUTE COST]]/Table28[[#This Row],[O - DEMAND]],0)</f>
        <v>0</v>
      </c>
      <c r="M394" s="16">
        <f>Table28[[#This Row],[O - DEMAND]]/950</f>
        <v>0</v>
      </c>
      <c r="N394" s="16">
        <f>IFERROR(VLOOKUP(Table28[[#This Row],[ROUTE]],DEMAND!A:F,5,FALSE),0)</f>
        <v>0</v>
      </c>
      <c r="O394" s="16">
        <f>IFERROR(VLOOKUP(Table28[[#This Row],[ROUTE]],DEMAND!A:F,6,FALSE),0)</f>
        <v>0</v>
      </c>
      <c r="P394" s="16">
        <f>ROUNDDOWN(Table28[[#This Row],[R-DEMAND]]/950,0)</f>
        <v>0</v>
      </c>
      <c r="Q394" s="16">
        <f>Table28[[#This Row],[ADD ACC
(475/950)]]*Table28[[#This Row],[Duration
(A359)]]</f>
        <v>0</v>
      </c>
      <c r="R394" s="16">
        <f>IFERROR(VLOOKUP(Table28[[#This Row],[ROUTE]],PRICING!A:B,2,FALSE),0)</f>
        <v>0</v>
      </c>
      <c r="S394" s="16">
        <f>Table28[[#This Row],[C_DEMAND]]-Table28[[#This Row],[R-DEMAND]]</f>
        <v>0</v>
      </c>
      <c r="T394" s="316">
        <f>Table28[[#This Row],[SEATS SOLD]]*Table28[[#This Row],[ECO SEAT]]</f>
        <v>0</v>
      </c>
      <c r="U394" s="316">
        <f>Table28[[#This Row],[SEATS SOLD]]*(IFERROR(VLOOKUP(Table28[[#This Row],[ROUTE]],PRICING!A:C,3,FALSE),0))</f>
        <v>0</v>
      </c>
      <c r="V394" s="316">
        <f>Table28[[#This Row],[SEAT REV]]-Table28[[#This Row],[SEAT REV
(IF IDEAL $)]]</f>
        <v>0</v>
      </c>
      <c r="AA394" s="26"/>
      <c r="AB394" s="26"/>
      <c r="AC394" s="26"/>
      <c r="AD394" s="26"/>
      <c r="AE394" s="26"/>
      <c r="AS394" s="16" t="s">
        <v>172</v>
      </c>
      <c r="AT394" s="16" t="s">
        <v>11955</v>
      </c>
      <c r="AU394" s="16" t="s">
        <v>2557</v>
      </c>
      <c r="AV394" s="16" t="s">
        <v>18884</v>
      </c>
      <c r="AW394" s="16" t="s">
        <v>18879</v>
      </c>
      <c r="AX394" s="16" t="s">
        <v>18964</v>
      </c>
      <c r="AY394" s="385">
        <v>12355</v>
      </c>
    </row>
    <row r="395" spans="1:51" x14ac:dyDescent="0.25">
      <c r="A395" s="16" t="s">
        <v>19788</v>
      </c>
      <c r="B395" s="16" t="s">
        <v>2700</v>
      </c>
      <c r="D395" s="16">
        <v>2</v>
      </c>
      <c r="E395" s="16" t="s">
        <v>807</v>
      </c>
      <c r="F395" s="16" t="str">
        <f>VLOOKUP(Table28[[#This Row],[Country]],Table10[[COUNTRY NAME]:[CONTINENT CODE]],3,FALSE)</f>
        <v>EU</v>
      </c>
      <c r="G395" s="16" t="s">
        <v>16894</v>
      </c>
      <c r="H395" s="181">
        <v>15060</v>
      </c>
      <c r="I395" s="180">
        <v>35.25</v>
      </c>
      <c r="K395" s="316">
        <f>IFERROR(Table28[[#This Row],[ROUTE COST]]/Table28[[#This Row],[O - DEMAND]],0)</f>
        <v>0</v>
      </c>
      <c r="M395" s="16">
        <f>Table28[[#This Row],[O - DEMAND]]/950</f>
        <v>0</v>
      </c>
      <c r="N395" s="16">
        <f>IFERROR(VLOOKUP(Table28[[#This Row],[ROUTE]],DEMAND!A:F,5,FALSE),0)</f>
        <v>0</v>
      </c>
      <c r="O395" s="16">
        <f>IFERROR(VLOOKUP(Table28[[#This Row],[ROUTE]],DEMAND!A:F,6,FALSE),0)</f>
        <v>0</v>
      </c>
      <c r="P395" s="16">
        <f>ROUNDDOWN(Table28[[#This Row],[R-DEMAND]]/950,0)</f>
        <v>0</v>
      </c>
      <c r="Q395" s="16">
        <f>Table28[[#This Row],[ADD ACC
(475/950)]]*Table28[[#This Row],[Duration
(A359)]]</f>
        <v>0</v>
      </c>
      <c r="R395" s="16">
        <f>IFERROR(VLOOKUP(Table28[[#This Row],[ROUTE]],PRICING!A:B,2,FALSE),0)</f>
        <v>0</v>
      </c>
      <c r="S395" s="16">
        <f>Table28[[#This Row],[C_DEMAND]]-Table28[[#This Row],[R-DEMAND]]</f>
        <v>0</v>
      </c>
      <c r="T395" s="316">
        <f>Table28[[#This Row],[SEATS SOLD]]*Table28[[#This Row],[ECO SEAT]]</f>
        <v>0</v>
      </c>
      <c r="U395" s="316">
        <f>Table28[[#This Row],[SEATS SOLD]]*(IFERROR(VLOOKUP(Table28[[#This Row],[ROUTE]],PRICING!A:C,3,FALSE),0))</f>
        <v>0</v>
      </c>
      <c r="V395" s="316">
        <f>Table28[[#This Row],[SEAT REV]]-Table28[[#This Row],[SEAT REV
(IF IDEAL $)]]</f>
        <v>0</v>
      </c>
      <c r="AA395" s="26"/>
      <c r="AB395" s="26"/>
      <c r="AC395" s="26"/>
      <c r="AD395" s="26"/>
      <c r="AE395" s="26"/>
      <c r="AS395" s="16" t="s">
        <v>11732</v>
      </c>
      <c r="AT395" s="16" t="s">
        <v>13257</v>
      </c>
      <c r="AU395" s="16" t="s">
        <v>5620</v>
      </c>
      <c r="AV395" s="16" t="s">
        <v>18884</v>
      </c>
      <c r="AW395" s="16" t="s">
        <v>18899</v>
      </c>
      <c r="AX395" s="16" t="s">
        <v>18964</v>
      </c>
      <c r="AY395" s="385">
        <v>12361</v>
      </c>
    </row>
    <row r="396" spans="1:51" x14ac:dyDescent="0.25">
      <c r="A396" s="16" t="s">
        <v>19370</v>
      </c>
      <c r="B396" s="16" t="s">
        <v>4256</v>
      </c>
      <c r="D396" s="16">
        <v>2</v>
      </c>
      <c r="E396" s="16" t="s">
        <v>502</v>
      </c>
      <c r="F396" s="16" t="str">
        <f>VLOOKUP(Table28[[#This Row],[Country]],Table10[[COUNTRY NAME]:[CONTINENT CODE]],3,FALSE)</f>
        <v>AS</v>
      </c>
      <c r="G396" s="16" t="s">
        <v>11971</v>
      </c>
      <c r="H396" s="181">
        <v>12182</v>
      </c>
      <c r="I396" s="180">
        <v>28.75</v>
      </c>
      <c r="K396" s="316">
        <f>IFERROR(Table28[[#This Row],[ROUTE COST]]/Table28[[#This Row],[O - DEMAND]],0)</f>
        <v>0</v>
      </c>
      <c r="M396" s="16">
        <f>Table28[[#This Row],[O - DEMAND]]/950</f>
        <v>0</v>
      </c>
      <c r="N396" s="16">
        <f>IFERROR(VLOOKUP(Table28[[#This Row],[ROUTE]],DEMAND!A:F,5,FALSE),0)</f>
        <v>0</v>
      </c>
      <c r="O396" s="16">
        <f>IFERROR(VLOOKUP(Table28[[#This Row],[ROUTE]],DEMAND!A:F,6,FALSE),0)</f>
        <v>0</v>
      </c>
      <c r="P396" s="16">
        <f>ROUNDDOWN(Table28[[#This Row],[R-DEMAND]]/950,0)</f>
        <v>0</v>
      </c>
      <c r="Q396" s="16">
        <f>Table28[[#This Row],[ADD ACC
(475/950)]]*Table28[[#This Row],[Duration
(A359)]]</f>
        <v>0</v>
      </c>
      <c r="R396" s="16">
        <f>IFERROR(VLOOKUP(Table28[[#This Row],[ROUTE]],PRICING!A:B,2,FALSE),0)</f>
        <v>0</v>
      </c>
      <c r="S396" s="16">
        <f>Table28[[#This Row],[C_DEMAND]]-Table28[[#This Row],[R-DEMAND]]</f>
        <v>0</v>
      </c>
      <c r="T396" s="316">
        <f>Table28[[#This Row],[SEATS SOLD]]*Table28[[#This Row],[ECO SEAT]]</f>
        <v>0</v>
      </c>
      <c r="U396" s="316">
        <f>Table28[[#This Row],[SEATS SOLD]]*(IFERROR(VLOOKUP(Table28[[#This Row],[ROUTE]],PRICING!A:C,3,FALSE),0))</f>
        <v>0</v>
      </c>
      <c r="V396" s="316">
        <f>Table28[[#This Row],[SEAT REV]]-Table28[[#This Row],[SEAT REV
(IF IDEAL $)]]</f>
        <v>0</v>
      </c>
      <c r="AA396" s="26"/>
      <c r="AB396" s="26"/>
      <c r="AC396" s="26"/>
      <c r="AD396" s="26"/>
      <c r="AE396" s="26"/>
      <c r="AS396" s="16" t="s">
        <v>3213</v>
      </c>
      <c r="AT396" s="16" t="s">
        <v>11944</v>
      </c>
      <c r="AU396" s="16" t="s">
        <v>3215</v>
      </c>
      <c r="AV396" s="16" t="s">
        <v>18881</v>
      </c>
      <c r="AW396" s="16" t="s">
        <v>18879</v>
      </c>
      <c r="AX396" s="16" t="s">
        <v>18964</v>
      </c>
      <c r="AY396" s="385">
        <v>12379</v>
      </c>
    </row>
    <row r="397" spans="1:51" x14ac:dyDescent="0.25">
      <c r="A397" s="16" t="s">
        <v>19347</v>
      </c>
      <c r="B397" s="16" t="s">
        <v>2601</v>
      </c>
      <c r="D397" s="16">
        <v>2</v>
      </c>
      <c r="E397" s="16" t="s">
        <v>588</v>
      </c>
      <c r="F397" s="16" t="str">
        <f>VLOOKUP(Table28[[#This Row],[Country]],Table10[[COUNTRY NAME]:[CONTINENT CODE]],3,FALSE)</f>
        <v>EU</v>
      </c>
      <c r="G397" s="16" t="s">
        <v>11959</v>
      </c>
      <c r="H397" s="181">
        <v>12036</v>
      </c>
      <c r="I397" s="180">
        <v>28.5</v>
      </c>
      <c r="K397" s="316">
        <f>IFERROR(Table28[[#This Row],[ROUTE COST]]/Table28[[#This Row],[O - DEMAND]],0)</f>
        <v>0</v>
      </c>
      <c r="M397" s="16">
        <f>Table28[[#This Row],[O - DEMAND]]/950</f>
        <v>0</v>
      </c>
      <c r="N397" s="16">
        <f>IFERROR(VLOOKUP(Table28[[#This Row],[ROUTE]],DEMAND!A:F,5,FALSE),0)</f>
        <v>0</v>
      </c>
      <c r="O397" s="16">
        <f>IFERROR(VLOOKUP(Table28[[#This Row],[ROUTE]],DEMAND!A:F,6,FALSE),0)</f>
        <v>0</v>
      </c>
      <c r="P397" s="16">
        <f>ROUNDDOWN(Table28[[#This Row],[R-DEMAND]]/950,0)</f>
        <v>0</v>
      </c>
      <c r="Q397" s="16">
        <f>Table28[[#This Row],[ADD ACC
(475/950)]]*Table28[[#This Row],[Duration
(A359)]]</f>
        <v>0</v>
      </c>
      <c r="R397" s="16">
        <f>IFERROR(VLOOKUP(Table28[[#This Row],[ROUTE]],PRICING!A:B,2,FALSE),0)</f>
        <v>0</v>
      </c>
      <c r="S397" s="16">
        <f>Table28[[#This Row],[C_DEMAND]]-Table28[[#This Row],[R-DEMAND]]</f>
        <v>0</v>
      </c>
      <c r="T397" s="316">
        <f>Table28[[#This Row],[SEATS SOLD]]*Table28[[#This Row],[ECO SEAT]]</f>
        <v>0</v>
      </c>
      <c r="U397" s="316">
        <f>Table28[[#This Row],[SEATS SOLD]]*(IFERROR(VLOOKUP(Table28[[#This Row],[ROUTE]],PRICING!A:C,3,FALSE),0))</f>
        <v>0</v>
      </c>
      <c r="V397" s="316">
        <f>Table28[[#This Row],[SEAT REV]]-Table28[[#This Row],[SEAT REV
(IF IDEAL $)]]</f>
        <v>0</v>
      </c>
      <c r="AA397" s="26"/>
      <c r="AB397" s="26"/>
      <c r="AC397" s="26"/>
      <c r="AD397" s="26"/>
      <c r="AE397" s="26"/>
      <c r="AS397" s="16" t="s">
        <v>5634</v>
      </c>
      <c r="AT397" s="16" t="s">
        <v>11090</v>
      </c>
      <c r="AU397" s="16" t="s">
        <v>5636</v>
      </c>
      <c r="AV397" s="16" t="s">
        <v>18884</v>
      </c>
      <c r="AW397" s="16" t="s">
        <v>18899</v>
      </c>
      <c r="AX397" s="16" t="s">
        <v>18964</v>
      </c>
      <c r="AY397" s="385">
        <v>12381</v>
      </c>
    </row>
    <row r="398" spans="1:51" x14ac:dyDescent="0.25">
      <c r="A398" s="16" t="s">
        <v>19435</v>
      </c>
      <c r="B398" s="16" t="s">
        <v>2962</v>
      </c>
      <c r="D398" s="16">
        <v>2</v>
      </c>
      <c r="E398" s="16" t="s">
        <v>1352</v>
      </c>
      <c r="F398" s="16" t="str">
        <f>VLOOKUP(Table28[[#This Row],[Country]],Table10[[COUNTRY NAME]:[CONTINENT CODE]],3,FALSE)</f>
        <v>AF</v>
      </c>
      <c r="G398" s="16" t="s">
        <v>11897</v>
      </c>
      <c r="H398" s="181">
        <v>12691</v>
      </c>
      <c r="I398" s="180">
        <v>30</v>
      </c>
      <c r="K398" s="316">
        <f>IFERROR(Table28[[#This Row],[ROUTE COST]]/Table28[[#This Row],[O - DEMAND]],0)</f>
        <v>0</v>
      </c>
      <c r="M398" s="16">
        <f>Table28[[#This Row],[O - DEMAND]]/950</f>
        <v>0</v>
      </c>
      <c r="N398" s="16">
        <f>IFERROR(VLOOKUP(Table28[[#This Row],[ROUTE]],DEMAND!A:F,5,FALSE),0)</f>
        <v>0</v>
      </c>
      <c r="O398" s="16">
        <f>IFERROR(VLOOKUP(Table28[[#This Row],[ROUTE]],DEMAND!A:F,6,FALSE),0)</f>
        <v>0</v>
      </c>
      <c r="P398" s="16">
        <f>ROUNDDOWN(Table28[[#This Row],[R-DEMAND]]/950,0)</f>
        <v>0</v>
      </c>
      <c r="Q398" s="16">
        <f>Table28[[#This Row],[ADD ACC
(475/950)]]*Table28[[#This Row],[Duration
(A359)]]</f>
        <v>0</v>
      </c>
      <c r="R398" s="16">
        <f>IFERROR(VLOOKUP(Table28[[#This Row],[ROUTE]],PRICING!A:B,2,FALSE),0)</f>
        <v>0</v>
      </c>
      <c r="S398" s="16">
        <f>Table28[[#This Row],[C_DEMAND]]-Table28[[#This Row],[R-DEMAND]]</f>
        <v>0</v>
      </c>
      <c r="T398" s="316">
        <f>Table28[[#This Row],[SEATS SOLD]]*Table28[[#This Row],[ECO SEAT]]</f>
        <v>0</v>
      </c>
      <c r="U398" s="316">
        <f>Table28[[#This Row],[SEATS SOLD]]*(IFERROR(VLOOKUP(Table28[[#This Row],[ROUTE]],PRICING!A:C,3,FALSE),0))</f>
        <v>0</v>
      </c>
      <c r="V398" s="316">
        <f>Table28[[#This Row],[SEAT REV]]-Table28[[#This Row],[SEAT REV
(IF IDEAL $)]]</f>
        <v>0</v>
      </c>
      <c r="AA398" s="26"/>
      <c r="AB398" s="26"/>
      <c r="AC398" s="26"/>
      <c r="AD398" s="26"/>
      <c r="AE398" s="26"/>
      <c r="AS398" s="16" t="s">
        <v>2527</v>
      </c>
      <c r="AT398" s="16" t="s">
        <v>16850</v>
      </c>
      <c r="AU398" s="16" t="s">
        <v>2529</v>
      </c>
      <c r="AV398" s="16" t="s">
        <v>18878</v>
      </c>
      <c r="AW398" s="16" t="s">
        <v>18879</v>
      </c>
      <c r="AX398" s="16" t="s">
        <v>18964</v>
      </c>
      <c r="AY398" s="385">
        <v>12384</v>
      </c>
    </row>
    <row r="399" spans="1:51" x14ac:dyDescent="0.25">
      <c r="A399" s="16" t="s">
        <v>19429</v>
      </c>
      <c r="B399" s="16" t="s">
        <v>3385</v>
      </c>
      <c r="D399" s="16">
        <v>2</v>
      </c>
      <c r="E399" s="16" t="s">
        <v>78</v>
      </c>
      <c r="F399" s="16" t="str">
        <f>VLOOKUP(Table28[[#This Row],[Country]],Table10[[COUNTRY NAME]:[CONTINENT CODE]],3,FALSE)</f>
        <v>EU</v>
      </c>
      <c r="G399" s="16" t="s">
        <v>16864</v>
      </c>
      <c r="H399" s="181">
        <v>12664</v>
      </c>
      <c r="I399" s="180">
        <v>30</v>
      </c>
      <c r="K399" s="316">
        <f>IFERROR(Table28[[#This Row],[ROUTE COST]]/Table28[[#This Row],[O - DEMAND]],0)</f>
        <v>0</v>
      </c>
      <c r="M399" s="16">
        <f>Table28[[#This Row],[O - DEMAND]]/950</f>
        <v>0</v>
      </c>
      <c r="N399" s="16">
        <f>IFERROR(VLOOKUP(Table28[[#This Row],[ROUTE]],DEMAND!A:F,5,FALSE),0)</f>
        <v>0</v>
      </c>
      <c r="O399" s="16">
        <f>IFERROR(VLOOKUP(Table28[[#This Row],[ROUTE]],DEMAND!A:F,6,FALSE),0)</f>
        <v>0</v>
      </c>
      <c r="P399" s="16">
        <f>ROUNDDOWN(Table28[[#This Row],[R-DEMAND]]/950,0)</f>
        <v>0</v>
      </c>
      <c r="Q399" s="16">
        <f>Table28[[#This Row],[ADD ACC
(475/950)]]*Table28[[#This Row],[Duration
(A359)]]</f>
        <v>0</v>
      </c>
      <c r="R399" s="16">
        <f>IFERROR(VLOOKUP(Table28[[#This Row],[ROUTE]],PRICING!A:B,2,FALSE),0)</f>
        <v>0</v>
      </c>
      <c r="S399" s="16">
        <f>Table28[[#This Row],[C_DEMAND]]-Table28[[#This Row],[R-DEMAND]]</f>
        <v>0</v>
      </c>
      <c r="T399" s="316">
        <f>Table28[[#This Row],[SEATS SOLD]]*Table28[[#This Row],[ECO SEAT]]</f>
        <v>0</v>
      </c>
      <c r="U399" s="316">
        <f>Table28[[#This Row],[SEATS SOLD]]*(IFERROR(VLOOKUP(Table28[[#This Row],[ROUTE]],PRICING!A:C,3,FALSE),0))</f>
        <v>0</v>
      </c>
      <c r="V399" s="316">
        <f>Table28[[#This Row],[SEAT REV]]-Table28[[#This Row],[SEAT REV
(IF IDEAL $)]]</f>
        <v>0</v>
      </c>
      <c r="AA399" s="26"/>
      <c r="AB399" s="26"/>
      <c r="AC399" s="26"/>
      <c r="AD399" s="26"/>
      <c r="AE399" s="26"/>
      <c r="AS399" s="16" t="s">
        <v>1189</v>
      </c>
      <c r="AT399" s="16" t="s">
        <v>11920</v>
      </c>
      <c r="AU399" s="16" t="s">
        <v>1600</v>
      </c>
      <c r="AV399" s="16" t="s">
        <v>18884</v>
      </c>
      <c r="AW399" s="16" t="s">
        <v>18890</v>
      </c>
      <c r="AX399" s="16" t="s">
        <v>18964</v>
      </c>
      <c r="AY399" s="385">
        <v>12403</v>
      </c>
    </row>
    <row r="400" spans="1:51" x14ac:dyDescent="0.25">
      <c r="A400" s="16" t="s">
        <v>19295</v>
      </c>
      <c r="B400" s="16" t="s">
        <v>4172</v>
      </c>
      <c r="C400" s="16" t="s">
        <v>467</v>
      </c>
      <c r="D400" s="16">
        <v>2</v>
      </c>
      <c r="E400" s="16" t="s">
        <v>14</v>
      </c>
      <c r="F400" s="16" t="str">
        <f>VLOOKUP(Table28[[#This Row],[Country]],Table10[[COUNTRY NAME]:[CONTINENT CODE]],3,FALSE)</f>
        <v>AS</v>
      </c>
      <c r="G400" s="16" t="s">
        <v>12001</v>
      </c>
      <c r="H400" s="181">
        <v>11239</v>
      </c>
      <c r="I400" s="180">
        <v>26.75</v>
      </c>
      <c r="K400" s="316">
        <f>IFERROR(Table28[[#This Row],[ROUTE COST]]/Table28[[#This Row],[O - DEMAND]],0)</f>
        <v>0</v>
      </c>
      <c r="M400" s="16">
        <f>Table28[[#This Row],[O - DEMAND]]/950</f>
        <v>0</v>
      </c>
      <c r="N400" s="16">
        <f>IFERROR(VLOOKUP(Table28[[#This Row],[ROUTE]],DEMAND!A:F,5,FALSE),0)</f>
        <v>2711</v>
      </c>
      <c r="O400" s="16">
        <f>IFERROR(VLOOKUP(Table28[[#This Row],[ROUTE]],DEMAND!A:F,6,FALSE),0)</f>
        <v>811</v>
      </c>
      <c r="P400" s="16">
        <f>ROUNDDOWN(Table28[[#This Row],[R-DEMAND]]/950,0)</f>
        <v>0</v>
      </c>
      <c r="Q400" s="16">
        <f>Table28[[#This Row],[ADD ACC
(475/950)]]*Table28[[#This Row],[Duration
(A359)]]</f>
        <v>0</v>
      </c>
      <c r="R400" s="16">
        <f>IFERROR(VLOOKUP(Table28[[#This Row],[ROUTE]],PRICING!A:B,2,FALSE),0)</f>
        <v>0</v>
      </c>
      <c r="S400" s="16">
        <f>Table28[[#This Row],[C_DEMAND]]-Table28[[#This Row],[R-DEMAND]]</f>
        <v>1900</v>
      </c>
      <c r="T400" s="316">
        <f>Table28[[#This Row],[SEATS SOLD]]*Table28[[#This Row],[ECO SEAT]]</f>
        <v>0</v>
      </c>
      <c r="U400" s="316">
        <f>Table28[[#This Row],[SEATS SOLD]]*(IFERROR(VLOOKUP(Table28[[#This Row],[ROUTE]],PRICING!A:C,3,FALSE),0))</f>
        <v>0</v>
      </c>
      <c r="V400" s="316">
        <f>Table28[[#This Row],[SEAT REV]]-Table28[[#This Row],[SEAT REV
(IF IDEAL $)]]</f>
        <v>0</v>
      </c>
      <c r="AA400" s="26"/>
      <c r="AB400" s="26"/>
      <c r="AC400" s="26"/>
      <c r="AD400" s="26"/>
      <c r="AE400" s="26"/>
      <c r="AS400" s="16" t="s">
        <v>1289</v>
      </c>
      <c r="AT400" s="16" t="s">
        <v>11946</v>
      </c>
      <c r="AU400" s="16" t="s">
        <v>1989</v>
      </c>
      <c r="AV400" s="16" t="s">
        <v>18881</v>
      </c>
      <c r="AW400" s="16" t="s">
        <v>18890</v>
      </c>
      <c r="AX400" s="16" t="s">
        <v>18896</v>
      </c>
      <c r="AY400" s="385">
        <v>12413</v>
      </c>
    </row>
    <row r="401" spans="1:51" x14ac:dyDescent="0.25">
      <c r="A401" s="16" t="s">
        <v>19281</v>
      </c>
      <c r="B401" s="16" t="s">
        <v>224</v>
      </c>
      <c r="C401" s="16" t="s">
        <v>467</v>
      </c>
      <c r="D401" s="16">
        <v>3</v>
      </c>
      <c r="E401" s="16" t="s">
        <v>197</v>
      </c>
      <c r="F401" s="16" t="str">
        <f>VLOOKUP(Table28[[#This Row],[Country]],Table10[[COUNTRY NAME]:[CONTINENT CODE]],3,FALSE)</f>
        <v>AS</v>
      </c>
      <c r="G401" s="16" t="s">
        <v>12012</v>
      </c>
      <c r="H401" s="181">
        <v>11013</v>
      </c>
      <c r="I401" s="180">
        <v>26.25</v>
      </c>
      <c r="K401" s="316">
        <f>IFERROR(Table28[[#This Row],[ROUTE COST]]/Table28[[#This Row],[O - DEMAND]],0)</f>
        <v>0</v>
      </c>
      <c r="M401" s="16">
        <f>Table28[[#This Row],[O - DEMAND]]/950</f>
        <v>0</v>
      </c>
      <c r="N401" s="16">
        <f>IFERROR(VLOOKUP(Table28[[#This Row],[ROUTE]],DEMAND!A:F,5,FALSE),0)</f>
        <v>4177</v>
      </c>
      <c r="O401" s="16">
        <f>IFERROR(VLOOKUP(Table28[[#This Row],[ROUTE]],DEMAND!A:F,6,FALSE),0)</f>
        <v>377</v>
      </c>
      <c r="P401" s="16">
        <f>ROUNDDOWN(Table28[[#This Row],[R-DEMAND]]/950,0)</f>
        <v>0</v>
      </c>
      <c r="Q401" s="16">
        <f>Table28[[#This Row],[ADD ACC
(475/950)]]*Table28[[#This Row],[Duration
(A359)]]</f>
        <v>0</v>
      </c>
      <c r="R401" s="16">
        <f>IFERROR(VLOOKUP(Table28[[#This Row],[ROUTE]],PRICING!A:B,2,FALSE),0)</f>
        <v>0</v>
      </c>
      <c r="S401" s="16">
        <f>Table28[[#This Row],[C_DEMAND]]-Table28[[#This Row],[R-DEMAND]]</f>
        <v>3800</v>
      </c>
      <c r="T401" s="316">
        <f>Table28[[#This Row],[SEATS SOLD]]*Table28[[#This Row],[ECO SEAT]]</f>
        <v>0</v>
      </c>
      <c r="U401" s="316">
        <f>Table28[[#This Row],[SEATS SOLD]]*(IFERROR(VLOOKUP(Table28[[#This Row],[ROUTE]],PRICING!A:C,3,FALSE),0))</f>
        <v>0</v>
      </c>
      <c r="V401" s="316">
        <f>Table28[[#This Row],[SEAT REV]]-Table28[[#This Row],[SEAT REV
(IF IDEAL $)]]</f>
        <v>0</v>
      </c>
      <c r="AA401" s="26"/>
      <c r="AB401" s="26"/>
      <c r="AC401" s="26"/>
      <c r="AD401" s="26"/>
      <c r="AE401" s="26"/>
      <c r="AS401" s="16" t="s">
        <v>1516</v>
      </c>
      <c r="AT401" s="16" t="s">
        <v>8355</v>
      </c>
      <c r="AU401" s="16" t="s">
        <v>3329</v>
      </c>
      <c r="AV401" s="16" t="s">
        <v>18881</v>
      </c>
      <c r="AW401" s="16" t="s">
        <v>18879</v>
      </c>
      <c r="AX401" s="16" t="s">
        <v>18896</v>
      </c>
      <c r="AY401" s="385">
        <v>12414</v>
      </c>
    </row>
    <row r="402" spans="1:51" x14ac:dyDescent="0.25">
      <c r="A402" s="16" t="s">
        <v>19111</v>
      </c>
      <c r="B402" s="16" t="s">
        <v>5265</v>
      </c>
      <c r="D402" s="16">
        <v>3</v>
      </c>
      <c r="E402" s="16" t="s">
        <v>14</v>
      </c>
      <c r="F402" s="16" t="str">
        <f>VLOOKUP(Table28[[#This Row],[Country]],Table10[[COUNTRY NAME]:[CONTINENT CODE]],3,FALSE)</f>
        <v>AS</v>
      </c>
      <c r="G402" s="16" t="s">
        <v>12061</v>
      </c>
      <c r="H402" s="181">
        <v>7910</v>
      </c>
      <c r="I402" s="180">
        <v>19.5</v>
      </c>
      <c r="K402" s="316">
        <f>IFERROR(Table28[[#This Row],[ROUTE COST]]/Table28[[#This Row],[O - DEMAND]],0)</f>
        <v>0</v>
      </c>
      <c r="M402" s="16">
        <f>Table28[[#This Row],[O - DEMAND]]/950</f>
        <v>0</v>
      </c>
      <c r="N402" s="16">
        <f>IFERROR(VLOOKUP(Table28[[#This Row],[ROUTE]],DEMAND!A:F,5,FALSE),0)</f>
        <v>0</v>
      </c>
      <c r="O402" s="16">
        <f>IFERROR(VLOOKUP(Table28[[#This Row],[ROUTE]],DEMAND!A:F,6,FALSE),0)</f>
        <v>0</v>
      </c>
      <c r="P402" s="16">
        <f>ROUNDDOWN(Table28[[#This Row],[R-DEMAND]]/950,0)</f>
        <v>0</v>
      </c>
      <c r="Q402" s="16">
        <f>Table28[[#This Row],[ADD ACC
(475/950)]]*Table28[[#This Row],[Duration
(A359)]]</f>
        <v>0</v>
      </c>
      <c r="R402" s="16">
        <f>IFERROR(VLOOKUP(Table28[[#This Row],[ROUTE]],PRICING!A:B,2,FALSE),0)</f>
        <v>0</v>
      </c>
      <c r="S402" s="16">
        <f>Table28[[#This Row],[C_DEMAND]]-Table28[[#This Row],[R-DEMAND]]</f>
        <v>0</v>
      </c>
      <c r="T402" s="316">
        <f>Table28[[#This Row],[SEATS SOLD]]*Table28[[#This Row],[ECO SEAT]]</f>
        <v>0</v>
      </c>
      <c r="U402" s="316">
        <f>Table28[[#This Row],[SEATS SOLD]]*(IFERROR(VLOOKUP(Table28[[#This Row],[ROUTE]],PRICING!A:C,3,FALSE),0))</f>
        <v>0</v>
      </c>
      <c r="V402" s="316">
        <f>Table28[[#This Row],[SEAT REV]]-Table28[[#This Row],[SEAT REV
(IF IDEAL $)]]</f>
        <v>0</v>
      </c>
      <c r="AA402" s="26"/>
      <c r="AB402" s="26"/>
      <c r="AC402" s="26"/>
      <c r="AD402" s="26"/>
      <c r="AE402" s="26"/>
      <c r="AS402" s="16" t="s">
        <v>514</v>
      </c>
      <c r="AT402" s="16" t="s">
        <v>6041</v>
      </c>
      <c r="AU402" s="16" t="s">
        <v>3507</v>
      </c>
      <c r="AV402" s="16" t="s">
        <v>18881</v>
      </c>
      <c r="AW402" s="16" t="s">
        <v>18879</v>
      </c>
      <c r="AX402" s="16" t="s">
        <v>18896</v>
      </c>
      <c r="AY402" s="385">
        <v>12420</v>
      </c>
    </row>
    <row r="403" spans="1:51" x14ac:dyDescent="0.25">
      <c r="A403" s="16" t="s">
        <v>19209</v>
      </c>
      <c r="B403" s="16" t="s">
        <v>221</v>
      </c>
      <c r="D403" s="16">
        <v>2</v>
      </c>
      <c r="E403" s="16" t="s">
        <v>78</v>
      </c>
      <c r="F403" s="16" t="str">
        <f>VLOOKUP(Table28[[#This Row],[Country]],Table10[[COUNTRY NAME]:[CONTINENT CODE]],3,FALSE)</f>
        <v>EU</v>
      </c>
      <c r="G403" s="16" t="s">
        <v>11970</v>
      </c>
      <c r="H403" s="181">
        <v>9309</v>
      </c>
      <c r="I403" s="180">
        <v>22.5</v>
      </c>
      <c r="K403" s="316">
        <f>IFERROR(Table28[[#This Row],[ROUTE COST]]/Table28[[#This Row],[O - DEMAND]],0)</f>
        <v>0</v>
      </c>
      <c r="M403" s="16">
        <f>Table28[[#This Row],[O - DEMAND]]/950</f>
        <v>0</v>
      </c>
      <c r="N403" s="16">
        <f>IFERROR(VLOOKUP(Table28[[#This Row],[ROUTE]],DEMAND!A:F,5,FALSE),0)</f>
        <v>0</v>
      </c>
      <c r="O403" s="16">
        <f>IFERROR(VLOOKUP(Table28[[#This Row],[ROUTE]],DEMAND!A:F,6,FALSE),0)</f>
        <v>0</v>
      </c>
      <c r="P403" s="16">
        <f>ROUNDDOWN(Table28[[#This Row],[R-DEMAND]]/950,0)</f>
        <v>0</v>
      </c>
      <c r="Q403" s="16">
        <f>Table28[[#This Row],[ADD ACC
(475/950)]]*Table28[[#This Row],[Duration
(A359)]]</f>
        <v>0</v>
      </c>
      <c r="R403" s="16">
        <f>IFERROR(VLOOKUP(Table28[[#This Row],[ROUTE]],PRICING!A:B,2,FALSE),0)</f>
        <v>0</v>
      </c>
      <c r="S403" s="16">
        <f>Table28[[#This Row],[C_DEMAND]]-Table28[[#This Row],[R-DEMAND]]</f>
        <v>0</v>
      </c>
      <c r="T403" s="316">
        <f>Table28[[#This Row],[SEATS SOLD]]*Table28[[#This Row],[ECO SEAT]]</f>
        <v>0</v>
      </c>
      <c r="U403" s="316">
        <f>Table28[[#This Row],[SEATS SOLD]]*(IFERROR(VLOOKUP(Table28[[#This Row],[ROUTE]],PRICING!A:C,3,FALSE),0))</f>
        <v>0</v>
      </c>
      <c r="V403" s="316">
        <f>Table28[[#This Row],[SEAT REV]]-Table28[[#This Row],[SEAT REV
(IF IDEAL $)]]</f>
        <v>0</v>
      </c>
      <c r="AA403" s="26"/>
      <c r="AB403" s="26"/>
      <c r="AC403" s="26"/>
      <c r="AD403" s="26"/>
      <c r="AE403" s="26"/>
      <c r="AS403" s="16" t="s">
        <v>11669</v>
      </c>
      <c r="AT403" s="16" t="s">
        <v>13138</v>
      </c>
      <c r="AU403" s="16" t="s">
        <v>4017</v>
      </c>
      <c r="AV403" s="16" t="s">
        <v>18892</v>
      </c>
      <c r="AW403" s="16" t="s">
        <v>18879</v>
      </c>
      <c r="AX403" s="16" t="s">
        <v>18896</v>
      </c>
      <c r="AY403" s="385">
        <v>12420</v>
      </c>
    </row>
    <row r="404" spans="1:51" x14ac:dyDescent="0.25">
      <c r="A404" s="16" t="s">
        <v>19284</v>
      </c>
      <c r="B404" s="16" t="s">
        <v>2374</v>
      </c>
      <c r="D404" s="16">
        <v>1</v>
      </c>
      <c r="E404" s="16" t="s">
        <v>926</v>
      </c>
      <c r="F404" s="16" t="str">
        <f>VLOOKUP(Table28[[#This Row],[Country]],Table10[[COUNTRY NAME]:[CONTINENT CODE]],3,FALSE)</f>
        <v>AF</v>
      </c>
      <c r="G404" s="16" t="s">
        <v>11866</v>
      </c>
      <c r="H404" s="181">
        <v>11050</v>
      </c>
      <c r="I404" s="180">
        <v>26.5</v>
      </c>
      <c r="K404" s="316">
        <f>IFERROR(Table28[[#This Row],[ROUTE COST]]/Table28[[#This Row],[O - DEMAND]],0)</f>
        <v>0</v>
      </c>
      <c r="M404" s="16">
        <f>Table28[[#This Row],[O - DEMAND]]/950</f>
        <v>0</v>
      </c>
      <c r="N404" s="16">
        <f>IFERROR(VLOOKUP(Table28[[#This Row],[ROUTE]],DEMAND!A:F,5,FALSE),0)</f>
        <v>0</v>
      </c>
      <c r="O404" s="16">
        <f>IFERROR(VLOOKUP(Table28[[#This Row],[ROUTE]],DEMAND!A:F,6,FALSE),0)</f>
        <v>0</v>
      </c>
      <c r="P404" s="16">
        <f>ROUNDDOWN(Table28[[#This Row],[R-DEMAND]]/950,0)</f>
        <v>0</v>
      </c>
      <c r="Q404" s="16">
        <f>Table28[[#This Row],[ADD ACC
(475/950)]]*Table28[[#This Row],[Duration
(A359)]]</f>
        <v>0</v>
      </c>
      <c r="R404" s="16">
        <f>IFERROR(VLOOKUP(Table28[[#This Row],[ROUTE]],PRICING!A:B,2,FALSE),0)</f>
        <v>0</v>
      </c>
      <c r="S404" s="16">
        <f>Table28[[#This Row],[C_DEMAND]]-Table28[[#This Row],[R-DEMAND]]</f>
        <v>0</v>
      </c>
      <c r="T404" s="316">
        <f>Table28[[#This Row],[SEATS SOLD]]*Table28[[#This Row],[ECO SEAT]]</f>
        <v>0</v>
      </c>
      <c r="U404" s="316">
        <f>Table28[[#This Row],[SEATS SOLD]]*(IFERROR(VLOOKUP(Table28[[#This Row],[ROUTE]],PRICING!A:C,3,FALSE),0))</f>
        <v>0</v>
      </c>
      <c r="V404" s="316">
        <f>Table28[[#This Row],[SEAT REV]]-Table28[[#This Row],[SEAT REV
(IF IDEAL $)]]</f>
        <v>0</v>
      </c>
      <c r="AA404" s="26"/>
      <c r="AB404" s="26"/>
      <c r="AC404" s="26"/>
      <c r="AD404" s="26"/>
      <c r="AE404" s="26"/>
      <c r="AS404" s="16" t="s">
        <v>11732</v>
      </c>
      <c r="AT404" s="16" t="s">
        <v>13274</v>
      </c>
      <c r="AU404" s="16" t="s">
        <v>5739</v>
      </c>
      <c r="AV404" s="16" t="s">
        <v>18884</v>
      </c>
      <c r="AW404" s="16" t="s">
        <v>18918</v>
      </c>
      <c r="AX404" s="16" t="s">
        <v>18896</v>
      </c>
      <c r="AY404" s="385">
        <v>12437</v>
      </c>
    </row>
    <row r="405" spans="1:51" x14ac:dyDescent="0.25">
      <c r="A405" s="16" t="s">
        <v>19766</v>
      </c>
      <c r="B405" s="16" t="s">
        <v>4896</v>
      </c>
      <c r="C405" s="16" t="s">
        <v>467</v>
      </c>
      <c r="D405" s="16">
        <v>3</v>
      </c>
      <c r="E405" s="16" t="s">
        <v>4894</v>
      </c>
      <c r="F405" s="16" t="str">
        <f>VLOOKUP(Table28[[#This Row],[Country]],Table10[[COUNTRY NAME]:[CONTINENT CODE]],3,FALSE)</f>
        <v>NA</v>
      </c>
      <c r="G405" s="16" t="s">
        <v>17032</v>
      </c>
      <c r="H405" s="181">
        <v>14955</v>
      </c>
      <c r="I405" s="180">
        <v>35</v>
      </c>
      <c r="K405" s="316">
        <f>IFERROR(Table28[[#This Row],[ROUTE COST]]/Table28[[#This Row],[O - DEMAND]],0)</f>
        <v>0</v>
      </c>
      <c r="M405" s="16">
        <f>Table28[[#This Row],[O - DEMAND]]/950</f>
        <v>0</v>
      </c>
      <c r="N405" s="16">
        <f>IFERROR(VLOOKUP(Table28[[#This Row],[ROUTE]],DEMAND!A:F,5,FALSE),0)</f>
        <v>2224</v>
      </c>
      <c r="O405" s="16">
        <f>IFERROR(VLOOKUP(Table28[[#This Row],[ROUTE]],DEMAND!A:F,6,FALSE),0)</f>
        <v>324</v>
      </c>
      <c r="P405" s="16">
        <f>ROUNDDOWN(Table28[[#This Row],[R-DEMAND]]/950,0)</f>
        <v>0</v>
      </c>
      <c r="Q405" s="16">
        <f>Table28[[#This Row],[ADD ACC
(475/950)]]*Table28[[#This Row],[Duration
(A359)]]</f>
        <v>0</v>
      </c>
      <c r="R405" s="16">
        <f>IFERROR(VLOOKUP(Table28[[#This Row],[ROUTE]],PRICING!A:B,2,FALSE),0)</f>
        <v>0</v>
      </c>
      <c r="S405" s="16">
        <f>Table28[[#This Row],[C_DEMAND]]-Table28[[#This Row],[R-DEMAND]]</f>
        <v>1900</v>
      </c>
      <c r="T405" s="316">
        <f>Table28[[#This Row],[SEATS SOLD]]*Table28[[#This Row],[ECO SEAT]]</f>
        <v>0</v>
      </c>
      <c r="U405" s="316">
        <f>Table28[[#This Row],[SEATS SOLD]]*(IFERROR(VLOOKUP(Table28[[#This Row],[ROUTE]],PRICING!A:C,3,FALSE),0))</f>
        <v>0</v>
      </c>
      <c r="V405" s="316">
        <f>Table28[[#This Row],[SEAT REV]]-Table28[[#This Row],[SEAT REV
(IF IDEAL $)]]</f>
        <v>0</v>
      </c>
      <c r="AA405" s="26"/>
      <c r="AB405" s="26"/>
      <c r="AC405" s="26"/>
      <c r="AD405" s="26"/>
      <c r="AE405" s="26"/>
      <c r="AS405" s="16" t="s">
        <v>530</v>
      </c>
      <c r="AT405" s="16" t="s">
        <v>13180</v>
      </c>
      <c r="AU405" s="16" t="s">
        <v>3739</v>
      </c>
      <c r="AV405" s="16" t="s">
        <v>18892</v>
      </c>
      <c r="AW405" s="16" t="s">
        <v>18879</v>
      </c>
      <c r="AX405" s="16" t="s">
        <v>18896</v>
      </c>
      <c r="AY405" s="385">
        <v>12444</v>
      </c>
    </row>
    <row r="406" spans="1:51" x14ac:dyDescent="0.25">
      <c r="A406" s="16" t="s">
        <v>19780</v>
      </c>
      <c r="B406" s="16" t="s">
        <v>4436</v>
      </c>
      <c r="C406" s="16" t="s">
        <v>467</v>
      </c>
      <c r="D406" s="16">
        <v>2</v>
      </c>
      <c r="E406" s="16" t="s">
        <v>4434</v>
      </c>
      <c r="F406" s="16" t="str">
        <f>VLOOKUP(Table28[[#This Row],[Country]],Table10[[COUNTRY NAME]:[CONTINENT CODE]],3,FALSE)</f>
        <v>EU</v>
      </c>
      <c r="G406" s="16" t="s">
        <v>11843</v>
      </c>
      <c r="H406" s="181">
        <v>15043</v>
      </c>
      <c r="I406" s="180">
        <v>35.25</v>
      </c>
      <c r="K406" s="316">
        <f>IFERROR(Table28[[#This Row],[ROUTE COST]]/Table28[[#This Row],[O - DEMAND]],0)</f>
        <v>0</v>
      </c>
      <c r="M406" s="16">
        <f>Table28[[#This Row],[O - DEMAND]]/950</f>
        <v>0</v>
      </c>
      <c r="N406" s="16">
        <f>IFERROR(VLOOKUP(Table28[[#This Row],[ROUTE]],DEMAND!A:F,5,FALSE),0)</f>
        <v>2313</v>
      </c>
      <c r="O406" s="16">
        <f>IFERROR(VLOOKUP(Table28[[#This Row],[ROUTE]],DEMAND!A:F,6,FALSE),0)</f>
        <v>413</v>
      </c>
      <c r="P406" s="16">
        <f>ROUNDDOWN(Table28[[#This Row],[R-DEMAND]]/950,0)</f>
        <v>0</v>
      </c>
      <c r="Q406" s="16">
        <f>Table28[[#This Row],[ADD ACC
(475/950)]]*Table28[[#This Row],[Duration
(A359)]]</f>
        <v>0</v>
      </c>
      <c r="R406" s="16">
        <f>IFERROR(VLOOKUP(Table28[[#This Row],[ROUTE]],PRICING!A:B,2,FALSE),0)</f>
        <v>0</v>
      </c>
      <c r="S406" s="16">
        <f>Table28[[#This Row],[C_DEMAND]]-Table28[[#This Row],[R-DEMAND]]</f>
        <v>1900</v>
      </c>
      <c r="T406" s="316">
        <f>Table28[[#This Row],[SEATS SOLD]]*Table28[[#This Row],[ECO SEAT]]</f>
        <v>0</v>
      </c>
      <c r="U406" s="316">
        <f>Table28[[#This Row],[SEATS SOLD]]*(IFERROR(VLOOKUP(Table28[[#This Row],[ROUTE]],PRICING!A:C,3,FALSE),0))</f>
        <v>0</v>
      </c>
      <c r="V406" s="316">
        <f>Table28[[#This Row],[SEAT REV]]-Table28[[#This Row],[SEAT REV
(IF IDEAL $)]]</f>
        <v>0</v>
      </c>
      <c r="AA406" s="26"/>
      <c r="AB406" s="26"/>
      <c r="AC406" s="26"/>
      <c r="AD406" s="26"/>
      <c r="AE406" s="26"/>
      <c r="AS406" s="16" t="s">
        <v>514</v>
      </c>
      <c r="AT406" s="16" t="s">
        <v>11695</v>
      </c>
      <c r="AU406" s="16" t="s">
        <v>3269</v>
      </c>
      <c r="AV406" s="16" t="s">
        <v>18892</v>
      </c>
      <c r="AW406" s="16" t="s">
        <v>18879</v>
      </c>
      <c r="AX406" s="16" t="s">
        <v>18896</v>
      </c>
      <c r="AY406" s="385">
        <v>12449</v>
      </c>
    </row>
    <row r="407" spans="1:51" x14ac:dyDescent="0.25">
      <c r="A407" s="16" t="s">
        <v>19099</v>
      </c>
      <c r="B407" s="16" t="s">
        <v>219</v>
      </c>
      <c r="C407" s="16" t="s">
        <v>467</v>
      </c>
      <c r="D407" s="16">
        <v>4</v>
      </c>
      <c r="E407" s="16" t="s">
        <v>142</v>
      </c>
      <c r="F407" s="16" t="str">
        <f>VLOOKUP(Table28[[#This Row],[Country]],Table10[[COUNTRY NAME]:[CONTINENT CODE]],3,FALSE)</f>
        <v>AS</v>
      </c>
      <c r="G407" s="16" t="s">
        <v>11072</v>
      </c>
      <c r="H407" s="181">
        <v>7784</v>
      </c>
      <c r="I407" s="180">
        <v>19.25</v>
      </c>
      <c r="K407" s="316">
        <f>IFERROR(Table28[[#This Row],[ROUTE COST]]/Table28[[#This Row],[O - DEMAND]],0)</f>
        <v>0</v>
      </c>
      <c r="M407" s="16">
        <f>Table28[[#This Row],[O - DEMAND]]/950</f>
        <v>0</v>
      </c>
      <c r="N407" s="16">
        <f>IFERROR(VLOOKUP(Table28[[#This Row],[ROUTE]],DEMAND!A:F,5,FALSE),0)</f>
        <v>2498</v>
      </c>
      <c r="O407" s="16">
        <f>IFERROR(VLOOKUP(Table28[[#This Row],[ROUTE]],DEMAND!A:F,6,FALSE),0)</f>
        <v>598</v>
      </c>
      <c r="P407" s="16">
        <f>ROUNDDOWN(Table28[[#This Row],[R-DEMAND]]/950,0)</f>
        <v>0</v>
      </c>
      <c r="Q407" s="16">
        <f>Table28[[#This Row],[ADD ACC
(475/950)]]*Table28[[#This Row],[Duration
(A359)]]</f>
        <v>0</v>
      </c>
      <c r="R407" s="16">
        <f>IFERROR(VLOOKUP(Table28[[#This Row],[ROUTE]],PRICING!A:B,2,FALSE),0)</f>
        <v>0</v>
      </c>
      <c r="S407" s="16">
        <f>Table28[[#This Row],[C_DEMAND]]-Table28[[#This Row],[R-DEMAND]]</f>
        <v>1900</v>
      </c>
      <c r="T407" s="316">
        <f>Table28[[#This Row],[SEATS SOLD]]*Table28[[#This Row],[ECO SEAT]]</f>
        <v>0</v>
      </c>
      <c r="U407" s="316">
        <f>Table28[[#This Row],[SEATS SOLD]]*(IFERROR(VLOOKUP(Table28[[#This Row],[ROUTE]],PRICING!A:C,3,FALSE),0))</f>
        <v>0</v>
      </c>
      <c r="V407" s="316">
        <f>Table28[[#This Row],[SEAT REV]]-Table28[[#This Row],[SEAT REV
(IF IDEAL $)]]</f>
        <v>0</v>
      </c>
      <c r="AA407" s="26"/>
      <c r="AB407" s="26"/>
      <c r="AC407" s="26"/>
      <c r="AD407" s="26"/>
      <c r="AE407" s="26"/>
      <c r="AS407" s="16" t="s">
        <v>4497</v>
      </c>
      <c r="AT407" s="16" t="s">
        <v>11958</v>
      </c>
      <c r="AU407" s="16" t="s">
        <v>4499</v>
      </c>
      <c r="AV407" s="16" t="s">
        <v>18884</v>
      </c>
      <c r="AW407" s="16" t="s">
        <v>18879</v>
      </c>
      <c r="AX407" s="16" t="s">
        <v>18896</v>
      </c>
      <c r="AY407" s="385">
        <v>12465</v>
      </c>
    </row>
    <row r="408" spans="1:51" x14ac:dyDescent="0.25">
      <c r="A408" s="16" t="s">
        <v>19305</v>
      </c>
      <c r="B408" s="16" t="s">
        <v>4663</v>
      </c>
      <c r="D408" s="16">
        <v>2</v>
      </c>
      <c r="E408" s="16" t="s">
        <v>78</v>
      </c>
      <c r="F408" s="16" t="str">
        <f>VLOOKUP(Table28[[#This Row],[Country]],Table10[[COUNTRY NAME]:[CONTINENT CODE]],3,FALSE)</f>
        <v>EU</v>
      </c>
      <c r="G408" s="16" t="s">
        <v>11954</v>
      </c>
      <c r="H408" s="181">
        <v>11449</v>
      </c>
      <c r="I408" s="180">
        <v>27.25</v>
      </c>
      <c r="K408" s="316">
        <f>IFERROR(Table28[[#This Row],[ROUTE COST]]/Table28[[#This Row],[O - DEMAND]],0)</f>
        <v>0</v>
      </c>
      <c r="M408" s="16">
        <f>Table28[[#This Row],[O - DEMAND]]/950</f>
        <v>0</v>
      </c>
      <c r="N408" s="16">
        <f>IFERROR(VLOOKUP(Table28[[#This Row],[ROUTE]],DEMAND!A:F,5,FALSE),0)</f>
        <v>0</v>
      </c>
      <c r="O408" s="16">
        <f>IFERROR(VLOOKUP(Table28[[#This Row],[ROUTE]],DEMAND!A:F,6,FALSE),0)</f>
        <v>0</v>
      </c>
      <c r="P408" s="16">
        <f>ROUNDDOWN(Table28[[#This Row],[R-DEMAND]]/950,0)</f>
        <v>0</v>
      </c>
      <c r="Q408" s="16">
        <f>Table28[[#This Row],[ADD ACC
(475/950)]]*Table28[[#This Row],[Duration
(A359)]]</f>
        <v>0</v>
      </c>
      <c r="R408" s="16">
        <f>IFERROR(VLOOKUP(Table28[[#This Row],[ROUTE]],PRICING!A:B,2,FALSE),0)</f>
        <v>0</v>
      </c>
      <c r="S408" s="16">
        <f>Table28[[#This Row],[C_DEMAND]]-Table28[[#This Row],[R-DEMAND]]</f>
        <v>0</v>
      </c>
      <c r="T408" s="316">
        <f>Table28[[#This Row],[SEATS SOLD]]*Table28[[#This Row],[ECO SEAT]]</f>
        <v>0</v>
      </c>
      <c r="U408" s="316">
        <f>Table28[[#This Row],[SEATS SOLD]]*(IFERROR(VLOOKUP(Table28[[#This Row],[ROUTE]],PRICING!A:C,3,FALSE),0))</f>
        <v>0</v>
      </c>
      <c r="V408" s="316">
        <f>Table28[[#This Row],[SEAT REV]]-Table28[[#This Row],[SEAT REV
(IF IDEAL $)]]</f>
        <v>0</v>
      </c>
      <c r="AA408" s="26"/>
      <c r="AB408" s="26"/>
      <c r="AC408" s="26"/>
      <c r="AD408" s="26"/>
      <c r="AE408" s="26"/>
      <c r="AS408" s="16" t="s">
        <v>11732</v>
      </c>
      <c r="AT408" s="16" t="s">
        <v>13256</v>
      </c>
      <c r="AU408" s="16" t="s">
        <v>5717</v>
      </c>
      <c r="AV408" s="16" t="s">
        <v>18884</v>
      </c>
      <c r="AW408" s="16" t="s">
        <v>18918</v>
      </c>
      <c r="AX408" s="16" t="s">
        <v>18896</v>
      </c>
      <c r="AY408" s="385">
        <v>12475</v>
      </c>
    </row>
    <row r="409" spans="1:51" x14ac:dyDescent="0.25">
      <c r="A409" s="16" t="s">
        <v>19029</v>
      </c>
      <c r="B409" s="16" t="s">
        <v>11164</v>
      </c>
      <c r="C409" s="16" t="s">
        <v>467</v>
      </c>
      <c r="D409" s="16">
        <v>4</v>
      </c>
      <c r="E409" s="16" t="s">
        <v>1261</v>
      </c>
      <c r="F409" s="16" t="str">
        <f>VLOOKUP(Table28[[#This Row],[Country]],Table10[[COUNTRY NAME]:[CONTINENT CODE]],3,FALSE)</f>
        <v>AS</v>
      </c>
      <c r="G409" s="16" t="s">
        <v>15967</v>
      </c>
      <c r="H409" s="181">
        <v>5355</v>
      </c>
      <c r="I409" s="180">
        <v>14</v>
      </c>
      <c r="K409" s="316">
        <f>IFERROR(Table28[[#This Row],[ROUTE COST]]/Table28[[#This Row],[O - DEMAND]],0)</f>
        <v>0</v>
      </c>
      <c r="M409" s="16">
        <f>Table28[[#This Row],[O - DEMAND]]/950</f>
        <v>0</v>
      </c>
      <c r="N409" s="16">
        <f>IFERROR(VLOOKUP(Table28[[#This Row],[ROUTE]],DEMAND!A:F,5,FALSE),0)</f>
        <v>3301</v>
      </c>
      <c r="O409" s="16">
        <f>IFERROR(VLOOKUP(Table28[[#This Row],[ROUTE]],DEMAND!A:F,6,FALSE),0)</f>
        <v>451</v>
      </c>
      <c r="P409" s="16">
        <f>ROUNDDOWN(Table28[[#This Row],[R-DEMAND]]/950,0)</f>
        <v>0</v>
      </c>
      <c r="Q409" s="16">
        <f>Table28[[#This Row],[ADD ACC
(475/950)]]*Table28[[#This Row],[Duration
(A359)]]</f>
        <v>0</v>
      </c>
      <c r="R409" s="16">
        <f>IFERROR(VLOOKUP(Table28[[#This Row],[ROUTE]],PRICING!A:B,2,FALSE),0)</f>
        <v>0</v>
      </c>
      <c r="S409" s="16">
        <f>Table28[[#This Row],[C_DEMAND]]-Table28[[#This Row],[R-DEMAND]]</f>
        <v>2850</v>
      </c>
      <c r="T409" s="316">
        <f>Table28[[#This Row],[SEATS SOLD]]*Table28[[#This Row],[ECO SEAT]]</f>
        <v>0</v>
      </c>
      <c r="U409" s="316">
        <f>Table28[[#This Row],[SEATS SOLD]]*(IFERROR(VLOOKUP(Table28[[#This Row],[ROUTE]],PRICING!A:C,3,FALSE),0))</f>
        <v>0</v>
      </c>
      <c r="V409" s="316">
        <f>Table28[[#This Row],[SEAT REV]]-Table28[[#This Row],[SEAT REV
(IF IDEAL $)]]</f>
        <v>0</v>
      </c>
      <c r="AA409" s="26"/>
      <c r="AB409" s="26"/>
      <c r="AC409" s="26"/>
      <c r="AD409" s="26"/>
      <c r="AE409" s="26"/>
      <c r="AS409" s="16" t="s">
        <v>11732</v>
      </c>
      <c r="AT409" s="16" t="s">
        <v>13255</v>
      </c>
      <c r="AU409" s="16" t="s">
        <v>2451</v>
      </c>
      <c r="AV409" s="16" t="s">
        <v>18881</v>
      </c>
      <c r="AW409" s="16" t="s">
        <v>18890</v>
      </c>
      <c r="AX409" s="16" t="s">
        <v>18896</v>
      </c>
      <c r="AY409" s="385">
        <v>12480</v>
      </c>
    </row>
    <row r="410" spans="1:51" x14ac:dyDescent="0.25">
      <c r="A410" s="16" t="s">
        <v>19142</v>
      </c>
      <c r="B410" s="16" t="s">
        <v>217</v>
      </c>
      <c r="C410" s="16" t="s">
        <v>467</v>
      </c>
      <c r="D410" s="16">
        <v>4</v>
      </c>
      <c r="E410" s="16" t="s">
        <v>14</v>
      </c>
      <c r="F410" s="16" t="str">
        <f>VLOOKUP(Table28[[#This Row],[Country]],Table10[[COUNTRY NAME]:[CONTINENT CODE]],3,FALSE)</f>
        <v>AS</v>
      </c>
      <c r="G410" s="16" t="s">
        <v>11071</v>
      </c>
      <c r="H410" s="181">
        <v>8315</v>
      </c>
      <c r="I410" s="180">
        <v>20.5</v>
      </c>
      <c r="K410" s="316">
        <f>IFERROR(Table28[[#This Row],[ROUTE COST]]/Table28[[#This Row],[O - DEMAND]],0)</f>
        <v>0</v>
      </c>
      <c r="M410" s="16">
        <f>Table28[[#This Row],[O - DEMAND]]/950</f>
        <v>0</v>
      </c>
      <c r="N410" s="16">
        <f>IFERROR(VLOOKUP(Table28[[#This Row],[ROUTE]],DEMAND!A:F,5,FALSE),0)</f>
        <v>3249</v>
      </c>
      <c r="O410" s="16">
        <f>IFERROR(VLOOKUP(Table28[[#This Row],[ROUTE]],DEMAND!A:F,6,FALSE),0)</f>
        <v>399</v>
      </c>
      <c r="P410" s="16">
        <f>ROUNDDOWN(Table28[[#This Row],[R-DEMAND]]/950,0)</f>
        <v>0</v>
      </c>
      <c r="Q410" s="16">
        <f>Table28[[#This Row],[ADD ACC
(475/950)]]*Table28[[#This Row],[Duration
(A359)]]</f>
        <v>0</v>
      </c>
      <c r="R410" s="16">
        <f>IFERROR(VLOOKUP(Table28[[#This Row],[ROUTE]],PRICING!A:B,2,FALSE),0)</f>
        <v>0</v>
      </c>
      <c r="S410" s="16">
        <f>Table28[[#This Row],[C_DEMAND]]-Table28[[#This Row],[R-DEMAND]]</f>
        <v>2850</v>
      </c>
      <c r="T410" s="316">
        <f>Table28[[#This Row],[SEATS SOLD]]*Table28[[#This Row],[ECO SEAT]]</f>
        <v>0</v>
      </c>
      <c r="U410" s="316">
        <f>Table28[[#This Row],[SEATS SOLD]]*(IFERROR(VLOOKUP(Table28[[#This Row],[ROUTE]],PRICING!A:C,3,FALSE),0))</f>
        <v>0</v>
      </c>
      <c r="V410" s="316">
        <f>Table28[[#This Row],[SEAT REV]]-Table28[[#This Row],[SEAT REV
(IF IDEAL $)]]</f>
        <v>0</v>
      </c>
      <c r="AA410" s="26"/>
      <c r="AB410" s="26"/>
      <c r="AC410" s="26"/>
      <c r="AD410" s="26"/>
      <c r="AE410" s="26"/>
      <c r="AS410" s="16" t="s">
        <v>11669</v>
      </c>
      <c r="AT410" s="16" t="s">
        <v>13140</v>
      </c>
      <c r="AU410" s="16" t="s">
        <v>2085</v>
      </c>
      <c r="AV410" s="16" t="s">
        <v>18892</v>
      </c>
      <c r="AW410" s="16" t="s">
        <v>18890</v>
      </c>
      <c r="AX410" s="16" t="s">
        <v>18896</v>
      </c>
      <c r="AY410" s="385">
        <v>12483</v>
      </c>
    </row>
    <row r="411" spans="1:51" x14ac:dyDescent="0.25">
      <c r="A411" s="16" t="s">
        <v>19092</v>
      </c>
      <c r="B411" s="16" t="s">
        <v>5187</v>
      </c>
      <c r="C411" s="16" t="s">
        <v>467</v>
      </c>
      <c r="D411" s="16">
        <v>3</v>
      </c>
      <c r="E411" s="16" t="s">
        <v>142</v>
      </c>
      <c r="F411" s="16" t="str">
        <f>VLOOKUP(Table28[[#This Row],[Country]],Table10[[COUNTRY NAME]:[CONTINENT CODE]],3,FALSE)</f>
        <v>AS</v>
      </c>
      <c r="G411" s="16" t="s">
        <v>12024</v>
      </c>
      <c r="H411" s="181">
        <v>7726</v>
      </c>
      <c r="I411" s="180">
        <v>19</v>
      </c>
      <c r="K411" s="316">
        <f>IFERROR(Table28[[#This Row],[ROUTE COST]]/Table28[[#This Row],[O - DEMAND]],0)</f>
        <v>0</v>
      </c>
      <c r="M411" s="16">
        <f>Table28[[#This Row],[O - DEMAND]]/950</f>
        <v>0</v>
      </c>
      <c r="N411" s="16">
        <f>IFERROR(VLOOKUP(Table28[[#This Row],[ROUTE]],DEMAND!A:F,5,FALSE),0)</f>
        <v>2112</v>
      </c>
      <c r="O411" s="16">
        <f>IFERROR(VLOOKUP(Table28[[#This Row],[ROUTE]],DEMAND!A:F,6,FALSE),0)</f>
        <v>212</v>
      </c>
      <c r="P411" s="16">
        <f>ROUNDDOWN(Table28[[#This Row],[R-DEMAND]]/950,0)</f>
        <v>0</v>
      </c>
      <c r="Q411" s="16">
        <f>Table28[[#This Row],[ADD ACC
(475/950)]]*Table28[[#This Row],[Duration
(A359)]]</f>
        <v>0</v>
      </c>
      <c r="R411" s="16">
        <f>IFERROR(VLOOKUP(Table28[[#This Row],[ROUTE]],PRICING!A:B,2,FALSE),0)</f>
        <v>0</v>
      </c>
      <c r="S411" s="16">
        <f>Table28[[#This Row],[C_DEMAND]]-Table28[[#This Row],[R-DEMAND]]</f>
        <v>1900</v>
      </c>
      <c r="T411" s="316">
        <f>Table28[[#This Row],[SEATS SOLD]]*Table28[[#This Row],[ECO SEAT]]</f>
        <v>0</v>
      </c>
      <c r="U411" s="316">
        <f>Table28[[#This Row],[SEATS SOLD]]*(IFERROR(VLOOKUP(Table28[[#This Row],[ROUTE]],PRICING!A:C,3,FALSE),0))</f>
        <v>0</v>
      </c>
      <c r="V411" s="316">
        <f>Table28[[#This Row],[SEAT REV]]-Table28[[#This Row],[SEAT REV
(IF IDEAL $)]]</f>
        <v>0</v>
      </c>
      <c r="AA411" s="26"/>
      <c r="AB411" s="26"/>
      <c r="AC411" s="26"/>
      <c r="AD411" s="26"/>
      <c r="AE411" s="26"/>
      <c r="AS411" s="16" t="s">
        <v>11669</v>
      </c>
      <c r="AT411" s="16" t="s">
        <v>7593</v>
      </c>
      <c r="AU411" s="16" t="s">
        <v>2611</v>
      </c>
      <c r="AV411" s="16" t="s">
        <v>18892</v>
      </c>
      <c r="AW411" s="16" t="s">
        <v>18879</v>
      </c>
      <c r="AX411" s="16" t="s">
        <v>18896</v>
      </c>
      <c r="AY411" s="385">
        <v>12484</v>
      </c>
    </row>
    <row r="412" spans="1:51" x14ac:dyDescent="0.25">
      <c r="A412" s="16" t="s">
        <v>19424</v>
      </c>
      <c r="B412" s="16" t="s">
        <v>1197</v>
      </c>
      <c r="D412" s="16">
        <v>1</v>
      </c>
      <c r="E412" s="16" t="s">
        <v>11823</v>
      </c>
      <c r="F412" s="16" t="str">
        <f>VLOOKUP(Table28[[#This Row],[Country]],Table10[[COUNTRY NAME]:[CONTINENT CODE]],3,FALSE)</f>
        <v>AF</v>
      </c>
      <c r="G412" s="16" t="s">
        <v>16858</v>
      </c>
      <c r="H412" s="181">
        <v>12614</v>
      </c>
      <c r="I412" s="180">
        <v>29.75</v>
      </c>
      <c r="K412" s="316">
        <f>IFERROR(Table28[[#This Row],[ROUTE COST]]/Table28[[#This Row],[O - DEMAND]],0)</f>
        <v>0</v>
      </c>
      <c r="M412" s="16">
        <f>Table28[[#This Row],[O - DEMAND]]/950</f>
        <v>0</v>
      </c>
      <c r="N412" s="16">
        <f>IFERROR(VLOOKUP(Table28[[#This Row],[ROUTE]],DEMAND!A:F,5,FALSE),0)</f>
        <v>0</v>
      </c>
      <c r="O412" s="16">
        <f>IFERROR(VLOOKUP(Table28[[#This Row],[ROUTE]],DEMAND!A:F,6,FALSE),0)</f>
        <v>0</v>
      </c>
      <c r="P412" s="16">
        <f>ROUNDDOWN(Table28[[#This Row],[R-DEMAND]]/950,0)</f>
        <v>0</v>
      </c>
      <c r="Q412" s="16">
        <f>Table28[[#This Row],[ADD ACC
(475/950)]]*Table28[[#This Row],[Duration
(A359)]]</f>
        <v>0</v>
      </c>
      <c r="R412" s="16">
        <f>IFERROR(VLOOKUP(Table28[[#This Row],[ROUTE]],PRICING!A:B,2,FALSE),0)</f>
        <v>0</v>
      </c>
      <c r="S412" s="16">
        <f>Table28[[#This Row],[C_DEMAND]]-Table28[[#This Row],[R-DEMAND]]</f>
        <v>0</v>
      </c>
      <c r="T412" s="316">
        <f>Table28[[#This Row],[SEATS SOLD]]*Table28[[#This Row],[ECO SEAT]]</f>
        <v>0</v>
      </c>
      <c r="U412" s="316">
        <f>Table28[[#This Row],[SEATS SOLD]]*(IFERROR(VLOOKUP(Table28[[#This Row],[ROUTE]],PRICING!A:C,3,FALSE),0))</f>
        <v>0</v>
      </c>
      <c r="V412" s="316">
        <f>Table28[[#This Row],[SEAT REV]]-Table28[[#This Row],[SEAT REV
(IF IDEAL $)]]</f>
        <v>0</v>
      </c>
      <c r="AA412" s="26"/>
      <c r="AB412" s="26"/>
      <c r="AC412" s="26"/>
      <c r="AD412" s="26"/>
      <c r="AE412" s="26"/>
      <c r="AS412" s="16" t="s">
        <v>1749</v>
      </c>
      <c r="AT412" s="16" t="s">
        <v>13216</v>
      </c>
      <c r="AU412" s="16" t="s">
        <v>5210</v>
      </c>
      <c r="AV412" s="16" t="s">
        <v>18881</v>
      </c>
      <c r="AW412" s="16" t="s">
        <v>18885</v>
      </c>
      <c r="AX412" s="16" t="s">
        <v>18896</v>
      </c>
      <c r="AY412" s="385">
        <v>12489</v>
      </c>
    </row>
    <row r="413" spans="1:51" x14ac:dyDescent="0.25">
      <c r="A413" s="16" t="s">
        <v>19114</v>
      </c>
      <c r="B413" s="16" t="s">
        <v>5076</v>
      </c>
      <c r="C413" s="16" t="s">
        <v>467</v>
      </c>
      <c r="D413" s="16">
        <v>3</v>
      </c>
      <c r="E413" s="16" t="s">
        <v>142</v>
      </c>
      <c r="F413" s="16" t="str">
        <f>VLOOKUP(Table28[[#This Row],[Country]],Table10[[COUNTRY NAME]:[CONTINENT CODE]],3,FALSE)</f>
        <v>AS</v>
      </c>
      <c r="G413" s="16" t="s">
        <v>16839</v>
      </c>
      <c r="H413" s="181">
        <v>7972</v>
      </c>
      <c r="I413" s="180">
        <v>19.75</v>
      </c>
      <c r="K413" s="316">
        <f>IFERROR(Table28[[#This Row],[ROUTE COST]]/Table28[[#This Row],[O - DEMAND]],0)</f>
        <v>0</v>
      </c>
      <c r="M413" s="16">
        <f>Table28[[#This Row],[O - DEMAND]]/950</f>
        <v>0</v>
      </c>
      <c r="N413" s="16">
        <f>IFERROR(VLOOKUP(Table28[[#This Row],[ROUTE]],DEMAND!A:F,5,FALSE),0)</f>
        <v>2108</v>
      </c>
      <c r="O413" s="16">
        <f>IFERROR(VLOOKUP(Table28[[#This Row],[ROUTE]],DEMAND!A:F,6,FALSE),0)</f>
        <v>208</v>
      </c>
      <c r="P413" s="16">
        <f>ROUNDDOWN(Table28[[#This Row],[R-DEMAND]]/950,0)</f>
        <v>0</v>
      </c>
      <c r="Q413" s="16">
        <f>Table28[[#This Row],[ADD ACC
(475/950)]]*Table28[[#This Row],[Duration
(A359)]]</f>
        <v>0</v>
      </c>
      <c r="R413" s="16">
        <f>IFERROR(VLOOKUP(Table28[[#This Row],[ROUTE]],PRICING!A:B,2,FALSE),0)</f>
        <v>0</v>
      </c>
      <c r="S413" s="16">
        <f>Table28[[#This Row],[C_DEMAND]]-Table28[[#This Row],[R-DEMAND]]</f>
        <v>1900</v>
      </c>
      <c r="T413" s="316">
        <f>Table28[[#This Row],[SEATS SOLD]]*Table28[[#This Row],[ECO SEAT]]</f>
        <v>0</v>
      </c>
      <c r="U413" s="316">
        <f>Table28[[#This Row],[SEATS SOLD]]*(IFERROR(VLOOKUP(Table28[[#This Row],[ROUTE]],PRICING!A:C,3,FALSE),0))</f>
        <v>0</v>
      </c>
      <c r="V413" s="316">
        <f>Table28[[#This Row],[SEAT REV]]-Table28[[#This Row],[SEAT REV
(IF IDEAL $)]]</f>
        <v>0</v>
      </c>
      <c r="AA413" s="26"/>
      <c r="AB413" s="26"/>
      <c r="AC413" s="26"/>
      <c r="AD413" s="26"/>
      <c r="AE413" s="26"/>
      <c r="AS413" s="16" t="s">
        <v>502</v>
      </c>
      <c r="AT413" s="16" t="s">
        <v>11961</v>
      </c>
      <c r="AU413" s="16" t="s">
        <v>3790</v>
      </c>
      <c r="AV413" s="16" t="s">
        <v>18884</v>
      </c>
      <c r="AW413" s="16" t="s">
        <v>18879</v>
      </c>
      <c r="AX413" s="16" t="s">
        <v>18896</v>
      </c>
      <c r="AY413" s="385">
        <v>12492</v>
      </c>
    </row>
    <row r="414" spans="1:51" x14ac:dyDescent="0.25">
      <c r="A414" s="16" t="s">
        <v>19058</v>
      </c>
      <c r="B414" s="16" t="s">
        <v>215</v>
      </c>
      <c r="C414" s="16" t="s">
        <v>467</v>
      </c>
      <c r="D414" s="16">
        <v>4</v>
      </c>
      <c r="E414" s="16" t="s">
        <v>1261</v>
      </c>
      <c r="F414" s="16" t="str">
        <f>VLOOKUP(Table28[[#This Row],[Country]],Table10[[COUNTRY NAME]:[CONTINENT CODE]],3,FALSE)</f>
        <v>AS</v>
      </c>
      <c r="G414" s="16" t="s">
        <v>11070</v>
      </c>
      <c r="H414" s="181">
        <v>6885</v>
      </c>
      <c r="I414" s="180">
        <v>17.25</v>
      </c>
      <c r="K414" s="316">
        <f>IFERROR(Table28[[#This Row],[ROUTE COST]]/Table28[[#This Row],[O - DEMAND]],0)</f>
        <v>0</v>
      </c>
      <c r="M414" s="16">
        <f>Table28[[#This Row],[O - DEMAND]]/950</f>
        <v>0</v>
      </c>
      <c r="N414" s="16">
        <f>IFERROR(VLOOKUP(Table28[[#This Row],[ROUTE]],DEMAND!A:F,5,FALSE),0)</f>
        <v>3237</v>
      </c>
      <c r="O414" s="16">
        <f>IFERROR(VLOOKUP(Table28[[#This Row],[ROUTE]],DEMAND!A:F,6,FALSE),0)</f>
        <v>2287</v>
      </c>
      <c r="P414" s="16">
        <f>ROUNDDOWN(Table28[[#This Row],[R-DEMAND]]/950,0)</f>
        <v>2</v>
      </c>
      <c r="Q414" s="16">
        <f>Table28[[#This Row],[ADD ACC
(475/950)]]*Table28[[#This Row],[Duration
(A359)]]</f>
        <v>34.5</v>
      </c>
      <c r="R414" s="16">
        <f>IFERROR(VLOOKUP(Table28[[#This Row],[ROUTE]],PRICING!A:B,2,FALSE),0)</f>
        <v>0</v>
      </c>
      <c r="S414" s="16">
        <f>Table28[[#This Row],[C_DEMAND]]-Table28[[#This Row],[R-DEMAND]]</f>
        <v>950</v>
      </c>
      <c r="T414" s="316">
        <f>Table28[[#This Row],[SEATS SOLD]]*Table28[[#This Row],[ECO SEAT]]</f>
        <v>0</v>
      </c>
      <c r="U414" s="316">
        <f>Table28[[#This Row],[SEATS SOLD]]*(IFERROR(VLOOKUP(Table28[[#This Row],[ROUTE]],PRICING!A:C,3,FALSE),0))</f>
        <v>0</v>
      </c>
      <c r="V414" s="316">
        <f>Table28[[#This Row],[SEAT REV]]-Table28[[#This Row],[SEAT REV
(IF IDEAL $)]]</f>
        <v>0</v>
      </c>
      <c r="AA414" s="26"/>
      <c r="AB414" s="26"/>
      <c r="AC414" s="26"/>
      <c r="AD414" s="26"/>
      <c r="AE414" s="26"/>
      <c r="AS414" s="16" t="s">
        <v>514</v>
      </c>
      <c r="AT414" s="16" t="s">
        <v>11026</v>
      </c>
      <c r="AU414" s="16" t="s">
        <v>483</v>
      </c>
      <c r="AV414" s="16" t="s">
        <v>18884</v>
      </c>
      <c r="AW414" s="16" t="s">
        <v>18899</v>
      </c>
      <c r="AX414" s="16" t="s">
        <v>18896</v>
      </c>
      <c r="AY414" s="385">
        <v>12504</v>
      </c>
    </row>
    <row r="415" spans="1:51" x14ac:dyDescent="0.25">
      <c r="A415" s="16" t="s">
        <v>19133</v>
      </c>
      <c r="B415" s="16" t="s">
        <v>5095</v>
      </c>
      <c r="D415" s="16">
        <v>3</v>
      </c>
      <c r="E415" s="16" t="s">
        <v>11732</v>
      </c>
      <c r="F415" s="16" t="str">
        <f>VLOOKUP(Table28[[#This Row],[Country]],Table10[[COUNTRY NAME]:[CONTINENT CODE]],3,FALSE)</f>
        <v>NA - US</v>
      </c>
      <c r="G415" s="16" t="s">
        <v>11765</v>
      </c>
      <c r="H415" s="181">
        <v>8177</v>
      </c>
      <c r="I415" s="180">
        <v>20</v>
      </c>
      <c r="K415" s="316">
        <f>IFERROR(Table28[[#This Row],[ROUTE COST]]/Table28[[#This Row],[O - DEMAND]],0)</f>
        <v>0</v>
      </c>
      <c r="M415" s="180">
        <f>Table28[[#This Row],[O - DEMAND]]/950</f>
        <v>0</v>
      </c>
      <c r="N415" s="16">
        <f>IFERROR(VLOOKUP(Table28[[#This Row],[ROUTE]],DEMAND!A:F,5,FALSE),0)</f>
        <v>0</v>
      </c>
      <c r="O415" s="16">
        <f>IFERROR(VLOOKUP(Table28[[#This Row],[ROUTE]],DEMAND!A:F,6,FALSE),0)</f>
        <v>0</v>
      </c>
      <c r="P415" s="16">
        <f>ROUNDDOWN(Table28[[#This Row],[R-DEMAND]]/950,0)</f>
        <v>0</v>
      </c>
      <c r="Q415" s="16">
        <f>Table28[[#This Row],[ADD ACC
(475/950)]]*Table28[[#This Row],[Duration
(A359)]]</f>
        <v>0</v>
      </c>
      <c r="R415" s="16">
        <f>IFERROR(VLOOKUP(Table28[[#This Row],[ROUTE]],PRICING!A:B,2,FALSE),0)</f>
        <v>0</v>
      </c>
      <c r="S415" s="16">
        <f>Table28[[#This Row],[C_DEMAND]]-Table28[[#This Row],[R-DEMAND]]</f>
        <v>0</v>
      </c>
      <c r="T415" s="316">
        <f>Table28[[#This Row],[SEATS SOLD]]*Table28[[#This Row],[ECO SEAT]]</f>
        <v>0</v>
      </c>
      <c r="U415" s="316">
        <f>Table28[[#This Row],[SEATS SOLD]]*(IFERROR(VLOOKUP(Table28[[#This Row],[ROUTE]],PRICING!A:C,3,FALSE),0))</f>
        <v>0</v>
      </c>
      <c r="V415" s="316">
        <f>Table28[[#This Row],[SEAT REV]]-Table28[[#This Row],[SEAT REV
(IF IDEAL $)]]</f>
        <v>0</v>
      </c>
      <c r="AA415" s="26"/>
      <c r="AB415" s="26"/>
      <c r="AC415" s="26"/>
      <c r="AD415" s="26"/>
      <c r="AE415" s="26"/>
      <c r="AS415" s="16" t="s">
        <v>78</v>
      </c>
      <c r="AT415" s="16" t="s">
        <v>8243</v>
      </c>
      <c r="AU415" s="16" t="s">
        <v>3755</v>
      </c>
      <c r="AV415" s="16" t="s">
        <v>18881</v>
      </c>
      <c r="AW415" s="16" t="s">
        <v>18879</v>
      </c>
      <c r="AX415" s="16" t="s">
        <v>18896</v>
      </c>
      <c r="AY415" s="385">
        <v>12507</v>
      </c>
    </row>
    <row r="416" spans="1:51" x14ac:dyDescent="0.25">
      <c r="A416" s="16" t="s">
        <v>19091</v>
      </c>
      <c r="B416" s="16" t="s">
        <v>5408</v>
      </c>
      <c r="C416" s="16" t="s">
        <v>467</v>
      </c>
      <c r="D416" s="16">
        <v>3</v>
      </c>
      <c r="E416" s="16" t="s">
        <v>142</v>
      </c>
      <c r="F416" s="16" t="str">
        <f>VLOOKUP(Table28[[#This Row],[Country]],Table10[[COUNTRY NAME]:[CONTINENT CODE]],3,FALSE)</f>
        <v>AS</v>
      </c>
      <c r="G416" s="16" t="s">
        <v>12030</v>
      </c>
      <c r="H416" s="181">
        <v>7620</v>
      </c>
      <c r="I416" s="180">
        <v>18.75</v>
      </c>
      <c r="K416" s="316">
        <f>IFERROR(Table28[[#This Row],[ROUTE COST]]/Table28[[#This Row],[O - DEMAND]],0)</f>
        <v>0</v>
      </c>
      <c r="M416" s="16">
        <f>Table28[[#This Row],[O - DEMAND]]/950</f>
        <v>0</v>
      </c>
      <c r="N416" s="16">
        <f>IFERROR(VLOOKUP(Table28[[#This Row],[ROUTE]],DEMAND!A:F,5,FALSE),0)</f>
        <v>2217</v>
      </c>
      <c r="O416" s="16">
        <f>IFERROR(VLOOKUP(Table28[[#This Row],[ROUTE]],DEMAND!A:F,6,FALSE),0)</f>
        <v>317</v>
      </c>
      <c r="P416" s="16">
        <f>ROUNDDOWN(Table28[[#This Row],[R-DEMAND]]/950,0)</f>
        <v>0</v>
      </c>
      <c r="Q416" s="16">
        <f>Table28[[#This Row],[ADD ACC
(475/950)]]*Table28[[#This Row],[Duration
(A359)]]</f>
        <v>0</v>
      </c>
      <c r="R416" s="16">
        <f>IFERROR(VLOOKUP(Table28[[#This Row],[ROUTE]],PRICING!A:B,2,FALSE),0)</f>
        <v>0</v>
      </c>
      <c r="S416" s="16">
        <f>Table28[[#This Row],[C_DEMAND]]-Table28[[#This Row],[R-DEMAND]]</f>
        <v>1900</v>
      </c>
      <c r="T416" s="316">
        <f>Table28[[#This Row],[SEATS SOLD]]*Table28[[#This Row],[ECO SEAT]]</f>
        <v>0</v>
      </c>
      <c r="U416" s="316">
        <f>Table28[[#This Row],[SEATS SOLD]]*(IFERROR(VLOOKUP(Table28[[#This Row],[ROUTE]],PRICING!A:C,3,FALSE),0))</f>
        <v>0</v>
      </c>
      <c r="V416" s="316">
        <f>Table28[[#This Row],[SEAT REV]]-Table28[[#This Row],[SEAT REV
(IF IDEAL $)]]</f>
        <v>0</v>
      </c>
      <c r="AA416" s="26"/>
      <c r="AB416" s="26"/>
      <c r="AC416" s="26"/>
      <c r="AD416" s="26"/>
      <c r="AE416" s="26"/>
      <c r="AS416" s="16" t="s">
        <v>1289</v>
      </c>
      <c r="AT416" s="16" t="s">
        <v>11945</v>
      </c>
      <c r="AU416" s="16" t="s">
        <v>4756</v>
      </c>
      <c r="AV416" s="16" t="s">
        <v>18884</v>
      </c>
      <c r="AW416" s="16" t="s">
        <v>18885</v>
      </c>
      <c r="AX416" s="16" t="s">
        <v>18896</v>
      </c>
      <c r="AY416" s="385">
        <v>12509</v>
      </c>
    </row>
    <row r="417" spans="1:51" x14ac:dyDescent="0.25">
      <c r="A417" s="16" t="s">
        <v>19257</v>
      </c>
      <c r="B417" s="16" t="s">
        <v>3586</v>
      </c>
      <c r="D417" s="16">
        <v>2</v>
      </c>
      <c r="E417" s="16" t="s">
        <v>14</v>
      </c>
      <c r="F417" s="16" t="str">
        <f>VLOOKUP(Table28[[#This Row],[Country]],Table10[[COUNTRY NAME]:[CONTINENT CODE]],3,FALSE)</f>
        <v>AS</v>
      </c>
      <c r="G417" s="16" t="s">
        <v>12006</v>
      </c>
      <c r="H417" s="181">
        <v>10713</v>
      </c>
      <c r="I417" s="180">
        <v>25.75</v>
      </c>
      <c r="K417" s="316">
        <f>IFERROR(Table28[[#This Row],[ROUTE COST]]/Table28[[#This Row],[O - DEMAND]],0)</f>
        <v>0</v>
      </c>
      <c r="M417" s="16">
        <f>Table28[[#This Row],[O - DEMAND]]/950</f>
        <v>0</v>
      </c>
      <c r="N417" s="16">
        <f>IFERROR(VLOOKUP(Table28[[#This Row],[ROUTE]],DEMAND!A:F,5,FALSE),0)</f>
        <v>0</v>
      </c>
      <c r="O417" s="16">
        <f>IFERROR(VLOOKUP(Table28[[#This Row],[ROUTE]],DEMAND!A:F,6,FALSE),0)</f>
        <v>0</v>
      </c>
      <c r="P417" s="16">
        <f>ROUNDDOWN(Table28[[#This Row],[R-DEMAND]]/950,0)</f>
        <v>0</v>
      </c>
      <c r="Q417" s="16">
        <f>Table28[[#This Row],[ADD ACC
(475/950)]]*Table28[[#This Row],[Duration
(A359)]]</f>
        <v>0</v>
      </c>
      <c r="R417" s="16">
        <f>IFERROR(VLOOKUP(Table28[[#This Row],[ROUTE]],PRICING!A:B,2,FALSE),0)</f>
        <v>0</v>
      </c>
      <c r="S417" s="16">
        <f>Table28[[#This Row],[C_DEMAND]]-Table28[[#This Row],[R-DEMAND]]</f>
        <v>0</v>
      </c>
      <c r="T417" s="316">
        <f>Table28[[#This Row],[SEATS SOLD]]*Table28[[#This Row],[ECO SEAT]]</f>
        <v>0</v>
      </c>
      <c r="U417" s="316">
        <f>Table28[[#This Row],[SEATS SOLD]]*(IFERROR(VLOOKUP(Table28[[#This Row],[ROUTE]],PRICING!A:C,3,FALSE),0))</f>
        <v>0</v>
      </c>
      <c r="V417" s="316">
        <f>Table28[[#This Row],[SEAT REV]]-Table28[[#This Row],[SEAT REV
(IF IDEAL $)]]</f>
        <v>0</v>
      </c>
      <c r="AA417" s="26"/>
      <c r="AB417" s="26"/>
      <c r="AC417" s="26"/>
      <c r="AD417" s="26"/>
      <c r="AE417" s="26"/>
      <c r="AS417" s="16" t="s">
        <v>502</v>
      </c>
      <c r="AT417" s="16" t="s">
        <v>11957</v>
      </c>
      <c r="AU417" s="16" t="s">
        <v>5035</v>
      </c>
      <c r="AV417" s="16" t="s">
        <v>18884</v>
      </c>
      <c r="AW417" s="16" t="s">
        <v>18885</v>
      </c>
      <c r="AX417" s="16" t="s">
        <v>18896</v>
      </c>
      <c r="AY417" s="385">
        <v>12515</v>
      </c>
    </row>
    <row r="418" spans="1:51" x14ac:dyDescent="0.25">
      <c r="A418" s="16" t="s">
        <v>19668</v>
      </c>
      <c r="B418" s="16" t="s">
        <v>4860</v>
      </c>
      <c r="C418" s="16" t="s">
        <v>467</v>
      </c>
      <c r="D418" s="16">
        <v>3</v>
      </c>
      <c r="E418" s="16" t="s">
        <v>78</v>
      </c>
      <c r="F418" s="16" t="str">
        <f>VLOOKUP(Table28[[#This Row],[Country]],Table10[[COUNTRY NAME]:[CONTINENT CODE]],3,FALSE)</f>
        <v>EU</v>
      </c>
      <c r="G418" s="16" t="s">
        <v>11870</v>
      </c>
      <c r="H418" s="181">
        <v>14229</v>
      </c>
      <c r="I418" s="180">
        <v>33.25</v>
      </c>
      <c r="K418" s="316">
        <f>IFERROR(Table28[[#This Row],[ROUTE COST]]/Table28[[#This Row],[O - DEMAND]],0)</f>
        <v>0</v>
      </c>
      <c r="M418" s="16">
        <f>Table28[[#This Row],[O - DEMAND]]/950</f>
        <v>0</v>
      </c>
      <c r="N418" s="16">
        <f>IFERROR(VLOOKUP(Table28[[#This Row],[ROUTE]],DEMAND!A:F,5,FALSE),0)</f>
        <v>2091</v>
      </c>
      <c r="O418" s="16">
        <f>IFERROR(VLOOKUP(Table28[[#This Row],[ROUTE]],DEMAND!A:F,6,FALSE),0)</f>
        <v>191</v>
      </c>
      <c r="P418" s="16">
        <f>ROUNDDOWN(Table28[[#This Row],[R-DEMAND]]/950,0)</f>
        <v>0</v>
      </c>
      <c r="Q418" s="16">
        <f>Table28[[#This Row],[ADD ACC
(475/950)]]*Table28[[#This Row],[Duration
(A359)]]</f>
        <v>0</v>
      </c>
      <c r="R418" s="16">
        <f>IFERROR(VLOOKUP(Table28[[#This Row],[ROUTE]],PRICING!A:B,2,FALSE),0)</f>
        <v>0</v>
      </c>
      <c r="S418" s="16">
        <f>Table28[[#This Row],[C_DEMAND]]-Table28[[#This Row],[R-DEMAND]]</f>
        <v>1900</v>
      </c>
      <c r="T418" s="316">
        <f>Table28[[#This Row],[SEATS SOLD]]*Table28[[#This Row],[ECO SEAT]]</f>
        <v>0</v>
      </c>
      <c r="U418" s="316">
        <f>Table28[[#This Row],[SEATS SOLD]]*(IFERROR(VLOOKUP(Table28[[#This Row],[ROUTE]],PRICING!A:C,3,FALSE),0))</f>
        <v>0</v>
      </c>
      <c r="V418" s="316">
        <f>Table28[[#This Row],[SEAT REV]]-Table28[[#This Row],[SEAT REV
(IF IDEAL $)]]</f>
        <v>0</v>
      </c>
      <c r="AA418" s="26"/>
      <c r="AB418" s="26"/>
      <c r="AC418" s="26"/>
      <c r="AD418" s="26"/>
      <c r="AE418" s="26"/>
      <c r="AS418" s="16" t="s">
        <v>5428</v>
      </c>
      <c r="AT418" s="16" t="s">
        <v>11956</v>
      </c>
      <c r="AU418" s="16" t="s">
        <v>5430</v>
      </c>
      <c r="AV418" s="16" t="s">
        <v>18884</v>
      </c>
      <c r="AW418" s="16" t="s">
        <v>18885</v>
      </c>
      <c r="AX418" s="16" t="s">
        <v>18896</v>
      </c>
      <c r="AY418" s="385">
        <v>12517</v>
      </c>
    </row>
    <row r="419" spans="1:51" x14ac:dyDescent="0.25">
      <c r="A419" s="16" t="s">
        <v>19574</v>
      </c>
      <c r="B419" s="16" t="s">
        <v>3650</v>
      </c>
      <c r="C419" s="16" t="s">
        <v>467</v>
      </c>
      <c r="D419" s="16">
        <v>2</v>
      </c>
      <c r="E419" s="16" t="s">
        <v>881</v>
      </c>
      <c r="F419" s="16" t="str">
        <f>VLOOKUP(Table28[[#This Row],[Country]],Table10[[COUNTRY NAME]:[CONTINENT CODE]],3,FALSE)</f>
        <v>AF</v>
      </c>
      <c r="G419" s="16" t="s">
        <v>11896</v>
      </c>
      <c r="H419" s="181">
        <v>13591</v>
      </c>
      <c r="I419" s="180">
        <v>32</v>
      </c>
      <c r="K419" s="316">
        <f>IFERROR(Table28[[#This Row],[ROUTE COST]]/Table28[[#This Row],[O - DEMAND]],0)</f>
        <v>0</v>
      </c>
      <c r="M419" s="16">
        <f>Table28[[#This Row],[O - DEMAND]]/950</f>
        <v>0</v>
      </c>
      <c r="N419" s="16">
        <f>IFERROR(VLOOKUP(Table28[[#This Row],[ROUTE]],DEMAND!A:F,5,FALSE),0)</f>
        <v>3627</v>
      </c>
      <c r="O419" s="16">
        <f>IFERROR(VLOOKUP(Table28[[#This Row],[ROUTE]],DEMAND!A:F,6,FALSE),0)</f>
        <v>777</v>
      </c>
      <c r="P419" s="16">
        <f>ROUNDDOWN(Table28[[#This Row],[R-DEMAND]]/950,0)</f>
        <v>0</v>
      </c>
      <c r="Q419" s="16">
        <f>Table28[[#This Row],[ADD ACC
(475/950)]]*Table28[[#This Row],[Duration
(A359)]]</f>
        <v>0</v>
      </c>
      <c r="R419" s="16">
        <f>IFERROR(VLOOKUP(Table28[[#This Row],[ROUTE]],PRICING!A:B,2,FALSE),0)</f>
        <v>0</v>
      </c>
      <c r="S419" s="16">
        <f>Table28[[#This Row],[C_DEMAND]]-Table28[[#This Row],[R-DEMAND]]</f>
        <v>2850</v>
      </c>
      <c r="T419" s="316">
        <f>Table28[[#This Row],[SEATS SOLD]]*Table28[[#This Row],[ECO SEAT]]</f>
        <v>0</v>
      </c>
      <c r="U419" s="316">
        <f>Table28[[#This Row],[SEATS SOLD]]*(IFERROR(VLOOKUP(Table28[[#This Row],[ROUTE]],PRICING!A:C,3,FALSE),0))</f>
        <v>0</v>
      </c>
      <c r="V419" s="316">
        <f>Table28[[#This Row],[SEAT REV]]-Table28[[#This Row],[SEAT REV
(IF IDEAL $)]]</f>
        <v>0</v>
      </c>
      <c r="AA419" s="26"/>
      <c r="AB419" s="26"/>
      <c r="AC419" s="26"/>
      <c r="AD419" s="26"/>
      <c r="AE419" s="26"/>
      <c r="AS419" s="16" t="s">
        <v>1749</v>
      </c>
      <c r="AT419" s="16" t="s">
        <v>16974</v>
      </c>
      <c r="AU419" s="16" t="s">
        <v>4508</v>
      </c>
      <c r="AV419" s="16" t="s">
        <v>18878</v>
      </c>
      <c r="AW419" s="16" t="s">
        <v>18879</v>
      </c>
      <c r="AX419" s="16" t="s">
        <v>18936</v>
      </c>
      <c r="AY419" s="385">
        <v>12532</v>
      </c>
    </row>
    <row r="420" spans="1:51" x14ac:dyDescent="0.25">
      <c r="A420" s="16" t="s">
        <v>19285</v>
      </c>
      <c r="B420" s="16" t="s">
        <v>1767</v>
      </c>
      <c r="D420" s="16">
        <v>1</v>
      </c>
      <c r="E420" s="16" t="s">
        <v>14</v>
      </c>
      <c r="F420" s="16" t="str">
        <f>VLOOKUP(Table28[[#This Row],[Country]],Table10[[COUNTRY NAME]:[CONTINENT CODE]],3,FALSE)</f>
        <v>AS</v>
      </c>
      <c r="G420" s="16" t="s">
        <v>16844</v>
      </c>
      <c r="H420" s="181">
        <v>11057</v>
      </c>
      <c r="I420" s="180">
        <v>26.5</v>
      </c>
      <c r="K420" s="316">
        <f>IFERROR(Table28[[#This Row],[ROUTE COST]]/Table28[[#This Row],[O - DEMAND]],0)</f>
        <v>0</v>
      </c>
      <c r="M420" s="16">
        <f>Table28[[#This Row],[O - DEMAND]]/950</f>
        <v>0</v>
      </c>
      <c r="N420" s="16">
        <f>IFERROR(VLOOKUP(Table28[[#This Row],[ROUTE]],DEMAND!A:F,5,FALSE),0)</f>
        <v>0</v>
      </c>
      <c r="O420" s="16">
        <f>IFERROR(VLOOKUP(Table28[[#This Row],[ROUTE]],DEMAND!A:F,6,FALSE),0)</f>
        <v>0</v>
      </c>
      <c r="P420" s="16">
        <f>ROUNDDOWN(Table28[[#This Row],[R-DEMAND]]/950,0)</f>
        <v>0</v>
      </c>
      <c r="Q420" s="16">
        <f>Table28[[#This Row],[ADD ACC
(475/950)]]*Table28[[#This Row],[Duration
(A359)]]</f>
        <v>0</v>
      </c>
      <c r="R420" s="16">
        <f>IFERROR(VLOOKUP(Table28[[#This Row],[ROUTE]],PRICING!A:B,2,FALSE),0)</f>
        <v>0</v>
      </c>
      <c r="S420" s="16">
        <f>Table28[[#This Row],[C_DEMAND]]-Table28[[#This Row],[R-DEMAND]]</f>
        <v>0</v>
      </c>
      <c r="T420" s="316">
        <f>Table28[[#This Row],[SEATS SOLD]]*Table28[[#This Row],[ECO SEAT]]</f>
        <v>0</v>
      </c>
      <c r="U420" s="316">
        <f>Table28[[#This Row],[SEATS SOLD]]*(IFERROR(VLOOKUP(Table28[[#This Row],[ROUTE]],PRICING!A:C,3,FALSE),0))</f>
        <v>0</v>
      </c>
      <c r="V420" s="316">
        <f>Table28[[#This Row],[SEAT REV]]-Table28[[#This Row],[SEAT REV
(IF IDEAL $)]]</f>
        <v>0</v>
      </c>
      <c r="AA420" s="26"/>
      <c r="AB420" s="26"/>
      <c r="AC420" s="26"/>
      <c r="AD420" s="26"/>
      <c r="AE420" s="26"/>
      <c r="AS420" s="16" t="s">
        <v>2527</v>
      </c>
      <c r="AT420" s="16" t="s">
        <v>11929</v>
      </c>
      <c r="AU420" s="16" t="s">
        <v>3941</v>
      </c>
      <c r="AV420" s="16" t="s">
        <v>18884</v>
      </c>
      <c r="AW420" s="16" t="s">
        <v>18879</v>
      </c>
      <c r="AX420" s="16" t="s">
        <v>18936</v>
      </c>
      <c r="AY420" s="385">
        <v>12537</v>
      </c>
    </row>
    <row r="421" spans="1:51" x14ac:dyDescent="0.25">
      <c r="A421" s="16" t="s">
        <v>19517</v>
      </c>
      <c r="B421" s="16" t="s">
        <v>4160</v>
      </c>
      <c r="D421" s="16">
        <v>2</v>
      </c>
      <c r="E421" s="16" t="s">
        <v>502</v>
      </c>
      <c r="F421" s="16" t="str">
        <f>VLOOKUP(Table28[[#This Row],[Country]],Table10[[COUNTRY NAME]:[CONTINENT CODE]],3,FALSE)</f>
        <v>AS</v>
      </c>
      <c r="G421" s="16" t="s">
        <v>11930</v>
      </c>
      <c r="H421" s="181">
        <v>13207</v>
      </c>
      <c r="I421" s="180">
        <v>31</v>
      </c>
      <c r="K421" s="316">
        <f>IFERROR(Table28[[#This Row],[ROUTE COST]]/Table28[[#This Row],[O - DEMAND]],0)</f>
        <v>0</v>
      </c>
      <c r="M421" s="16">
        <f>Table28[[#This Row],[O - DEMAND]]/950</f>
        <v>0</v>
      </c>
      <c r="N421" s="16">
        <f>IFERROR(VLOOKUP(Table28[[#This Row],[ROUTE]],DEMAND!A:F,5,FALSE),0)</f>
        <v>0</v>
      </c>
      <c r="O421" s="16">
        <f>IFERROR(VLOOKUP(Table28[[#This Row],[ROUTE]],DEMAND!A:F,6,FALSE),0)</f>
        <v>0</v>
      </c>
      <c r="P421" s="16">
        <f>ROUNDDOWN(Table28[[#This Row],[R-DEMAND]]/950,0)</f>
        <v>0</v>
      </c>
      <c r="Q421" s="16">
        <f>Table28[[#This Row],[ADD ACC
(475/950)]]*Table28[[#This Row],[Duration
(A359)]]</f>
        <v>0</v>
      </c>
      <c r="R421" s="16">
        <f>IFERROR(VLOOKUP(Table28[[#This Row],[ROUTE]],PRICING!A:B,2,FALSE),0)</f>
        <v>0</v>
      </c>
      <c r="S421" s="16">
        <f>Table28[[#This Row],[C_DEMAND]]-Table28[[#This Row],[R-DEMAND]]</f>
        <v>0</v>
      </c>
      <c r="T421" s="316">
        <f>Table28[[#This Row],[SEATS SOLD]]*Table28[[#This Row],[ECO SEAT]]</f>
        <v>0</v>
      </c>
      <c r="U421" s="316">
        <f>Table28[[#This Row],[SEATS SOLD]]*(IFERROR(VLOOKUP(Table28[[#This Row],[ROUTE]],PRICING!A:C,3,FALSE),0))</f>
        <v>0</v>
      </c>
      <c r="V421" s="316">
        <f>Table28[[#This Row],[SEAT REV]]-Table28[[#This Row],[SEAT REV
(IF IDEAL $)]]</f>
        <v>0</v>
      </c>
      <c r="AA421" s="26"/>
      <c r="AB421" s="26"/>
      <c r="AC421" s="26"/>
      <c r="AD421" s="26"/>
      <c r="AE421" s="26"/>
      <c r="AS421" s="16" t="s">
        <v>530</v>
      </c>
      <c r="AT421" s="16" t="s">
        <v>13179</v>
      </c>
      <c r="AU421" s="16" t="s">
        <v>3964</v>
      </c>
      <c r="AV421" s="16" t="s">
        <v>18884</v>
      </c>
      <c r="AW421" s="16" t="s">
        <v>18879</v>
      </c>
      <c r="AX421" s="16" t="s">
        <v>18936</v>
      </c>
      <c r="AY421" s="385">
        <v>12544</v>
      </c>
    </row>
    <row r="422" spans="1:51" x14ac:dyDescent="0.25">
      <c r="A422" s="16" t="s">
        <v>19600</v>
      </c>
      <c r="B422" s="16" t="s">
        <v>3640</v>
      </c>
      <c r="D422" s="16">
        <v>2</v>
      </c>
      <c r="E422" s="16" t="s">
        <v>700</v>
      </c>
      <c r="F422" s="16" t="str">
        <f>VLOOKUP(Table28[[#This Row],[Country]],Table10[[COUNTRY NAME]:[CONTINENT CODE]],3,FALSE)</f>
        <v>AS</v>
      </c>
      <c r="G422" s="16" t="s">
        <v>11904</v>
      </c>
      <c r="H422" s="181">
        <v>13786</v>
      </c>
      <c r="I422" s="180">
        <v>32.5</v>
      </c>
      <c r="K422" s="316">
        <f>IFERROR(Table28[[#This Row],[ROUTE COST]]/Table28[[#This Row],[O - DEMAND]],0)</f>
        <v>0</v>
      </c>
      <c r="M422" s="16">
        <f>Table28[[#This Row],[O - DEMAND]]/950</f>
        <v>0</v>
      </c>
      <c r="N422" s="16">
        <f>IFERROR(VLOOKUP(Table28[[#This Row],[ROUTE]],DEMAND!A:F,5,FALSE),0)</f>
        <v>0</v>
      </c>
      <c r="O422" s="16">
        <f>IFERROR(VLOOKUP(Table28[[#This Row],[ROUTE]],DEMAND!A:F,6,FALSE),0)</f>
        <v>0</v>
      </c>
      <c r="P422" s="16">
        <f>ROUNDDOWN(Table28[[#This Row],[R-DEMAND]]/950,0)</f>
        <v>0</v>
      </c>
      <c r="Q422" s="16">
        <f>Table28[[#This Row],[ADD ACC
(475/950)]]*Table28[[#This Row],[Duration
(A359)]]</f>
        <v>0</v>
      </c>
      <c r="R422" s="16">
        <f>IFERROR(VLOOKUP(Table28[[#This Row],[ROUTE]],PRICING!A:B,2,FALSE),0)</f>
        <v>0</v>
      </c>
      <c r="S422" s="16">
        <f>Table28[[#This Row],[C_DEMAND]]-Table28[[#This Row],[R-DEMAND]]</f>
        <v>0</v>
      </c>
      <c r="T422" s="316">
        <f>Table28[[#This Row],[SEATS SOLD]]*Table28[[#This Row],[ECO SEAT]]</f>
        <v>0</v>
      </c>
      <c r="U422" s="316">
        <f>Table28[[#This Row],[SEATS SOLD]]*(IFERROR(VLOOKUP(Table28[[#This Row],[ROUTE]],PRICING!A:C,3,FALSE),0))</f>
        <v>0</v>
      </c>
      <c r="V422" s="316">
        <f>Table28[[#This Row],[SEAT REV]]-Table28[[#This Row],[SEAT REV
(IF IDEAL $)]]</f>
        <v>0</v>
      </c>
      <c r="AA422" s="26"/>
      <c r="AB422" s="26"/>
      <c r="AC422" s="26"/>
      <c r="AD422" s="26"/>
      <c r="AE422" s="26"/>
      <c r="AS422" s="16" t="s">
        <v>514</v>
      </c>
      <c r="AT422" s="16" t="s">
        <v>11667</v>
      </c>
      <c r="AU422" s="16" t="s">
        <v>4062</v>
      </c>
      <c r="AV422" s="16" t="s">
        <v>18892</v>
      </c>
      <c r="AW422" s="16" t="s">
        <v>18879</v>
      </c>
      <c r="AX422" s="16" t="s">
        <v>18936</v>
      </c>
      <c r="AY422" s="385">
        <v>12549</v>
      </c>
    </row>
    <row r="423" spans="1:51" x14ac:dyDescent="0.25">
      <c r="A423" s="16" t="s">
        <v>19225</v>
      </c>
      <c r="B423" s="16" t="s">
        <v>5037</v>
      </c>
      <c r="D423" s="16">
        <v>3</v>
      </c>
      <c r="E423" s="16" t="s">
        <v>867</v>
      </c>
      <c r="F423" s="16" t="str">
        <f>VLOOKUP(Table28[[#This Row],[Country]],Table10[[COUNTRY NAME]:[CONTINENT CODE]],3,FALSE)</f>
        <v>AS</v>
      </c>
      <c r="G423" s="16" t="s">
        <v>12049</v>
      </c>
      <c r="H423" s="181">
        <v>9746</v>
      </c>
      <c r="I423" s="180">
        <v>23.5</v>
      </c>
      <c r="K423" s="316">
        <f>IFERROR(Table28[[#This Row],[ROUTE COST]]/Table28[[#This Row],[O - DEMAND]],0)</f>
        <v>0</v>
      </c>
      <c r="M423" s="16">
        <f>Table28[[#This Row],[O - DEMAND]]/950</f>
        <v>0</v>
      </c>
      <c r="N423" s="16">
        <f>IFERROR(VLOOKUP(Table28[[#This Row],[ROUTE]],DEMAND!A:F,5,FALSE),0)</f>
        <v>0</v>
      </c>
      <c r="O423" s="16">
        <f>IFERROR(VLOOKUP(Table28[[#This Row],[ROUTE]],DEMAND!A:F,6,FALSE),0)</f>
        <v>0</v>
      </c>
      <c r="P423" s="16">
        <f>ROUNDDOWN(Table28[[#This Row],[R-DEMAND]]/950,0)</f>
        <v>0</v>
      </c>
      <c r="Q423" s="16">
        <f>Table28[[#This Row],[ADD ACC
(475/950)]]*Table28[[#This Row],[Duration
(A359)]]</f>
        <v>0</v>
      </c>
      <c r="R423" s="16">
        <f>IFERROR(VLOOKUP(Table28[[#This Row],[ROUTE]],PRICING!A:B,2,FALSE),0)</f>
        <v>0</v>
      </c>
      <c r="S423" s="16">
        <f>Table28[[#This Row],[C_DEMAND]]-Table28[[#This Row],[R-DEMAND]]</f>
        <v>0</v>
      </c>
      <c r="T423" s="316">
        <f>Table28[[#This Row],[SEATS SOLD]]*Table28[[#This Row],[ECO SEAT]]</f>
        <v>0</v>
      </c>
      <c r="U423" s="316">
        <f>Table28[[#This Row],[SEATS SOLD]]*(IFERROR(VLOOKUP(Table28[[#This Row],[ROUTE]],PRICING!A:C,3,FALSE),0))</f>
        <v>0</v>
      </c>
      <c r="V423" s="316">
        <f>Table28[[#This Row],[SEAT REV]]-Table28[[#This Row],[SEAT REV
(IF IDEAL $)]]</f>
        <v>0</v>
      </c>
      <c r="AA423" s="26"/>
      <c r="AB423" s="26"/>
      <c r="AC423" s="26"/>
      <c r="AD423" s="26"/>
      <c r="AE423" s="26"/>
      <c r="AS423" s="16" t="s">
        <v>580</v>
      </c>
      <c r="AT423" s="16" t="s">
        <v>8079</v>
      </c>
      <c r="AU423" s="16" t="s">
        <v>1465</v>
      </c>
      <c r="AV423" s="16" t="s">
        <v>18892</v>
      </c>
      <c r="AW423" s="16" t="s">
        <v>18890</v>
      </c>
      <c r="AX423" s="16" t="s">
        <v>18936</v>
      </c>
      <c r="AY423" s="385">
        <v>12556</v>
      </c>
    </row>
    <row r="424" spans="1:51" x14ac:dyDescent="0.25">
      <c r="A424" s="16" t="s">
        <v>19051</v>
      </c>
      <c r="B424" s="16" t="s">
        <v>213</v>
      </c>
      <c r="D424" s="16">
        <v>2</v>
      </c>
      <c r="E424" s="16" t="s">
        <v>709</v>
      </c>
      <c r="F424" s="16" t="str">
        <f>VLOOKUP(Table28[[#This Row],[Country]],Table10[[COUNTRY NAME]:[CONTINENT CODE]],3,FALSE)</f>
        <v>AS</v>
      </c>
      <c r="G424" s="16" t="s">
        <v>12113</v>
      </c>
      <c r="H424" s="181">
        <v>6544</v>
      </c>
      <c r="I424" s="180">
        <v>16.5</v>
      </c>
      <c r="K424" s="316">
        <f>IFERROR(Table28[[#This Row],[ROUTE COST]]/Table28[[#This Row],[O - DEMAND]],0)</f>
        <v>0</v>
      </c>
      <c r="M424" s="16">
        <f>Table28[[#This Row],[O - DEMAND]]/950</f>
        <v>0</v>
      </c>
      <c r="N424" s="16">
        <f>IFERROR(VLOOKUP(Table28[[#This Row],[ROUTE]],DEMAND!A:F,5,FALSE),0)</f>
        <v>0</v>
      </c>
      <c r="O424" s="16">
        <f>IFERROR(VLOOKUP(Table28[[#This Row],[ROUTE]],DEMAND!A:F,6,FALSE),0)</f>
        <v>0</v>
      </c>
      <c r="P424" s="16">
        <f>ROUNDDOWN(Table28[[#This Row],[R-DEMAND]]/950,0)</f>
        <v>0</v>
      </c>
      <c r="Q424" s="16">
        <f>Table28[[#This Row],[ADD ACC
(475/950)]]*Table28[[#This Row],[Duration
(A359)]]</f>
        <v>0</v>
      </c>
      <c r="R424" s="16">
        <f>IFERROR(VLOOKUP(Table28[[#This Row],[ROUTE]],PRICING!A:B,2,FALSE),0)</f>
        <v>0</v>
      </c>
      <c r="S424" s="16">
        <f>Table28[[#This Row],[C_DEMAND]]-Table28[[#This Row],[R-DEMAND]]</f>
        <v>0</v>
      </c>
      <c r="T424" s="316">
        <f>Table28[[#This Row],[SEATS SOLD]]*Table28[[#This Row],[ECO SEAT]]</f>
        <v>0</v>
      </c>
      <c r="U424" s="316">
        <f>Table28[[#This Row],[SEATS SOLD]]*(IFERROR(VLOOKUP(Table28[[#This Row],[ROUTE]],PRICING!A:C,3,FALSE),0))</f>
        <v>0</v>
      </c>
      <c r="V424" s="316">
        <f>Table28[[#This Row],[SEAT REV]]-Table28[[#This Row],[SEAT REV
(IF IDEAL $)]]</f>
        <v>0</v>
      </c>
      <c r="AA424" s="26"/>
      <c r="AB424" s="26"/>
      <c r="AC424" s="26"/>
      <c r="AD424" s="26"/>
      <c r="AE424" s="26"/>
      <c r="AS424" s="16" t="s">
        <v>11732</v>
      </c>
      <c r="AT424" s="16" t="s">
        <v>13283</v>
      </c>
      <c r="AU424" s="16" t="s">
        <v>5734</v>
      </c>
      <c r="AV424" s="16" t="s">
        <v>18884</v>
      </c>
      <c r="AW424" s="16" t="s">
        <v>18918</v>
      </c>
      <c r="AX424" s="16" t="s">
        <v>18936</v>
      </c>
      <c r="AY424" s="385">
        <v>12561</v>
      </c>
    </row>
    <row r="425" spans="1:51" x14ac:dyDescent="0.25">
      <c r="A425" s="16" t="s">
        <v>19584</v>
      </c>
      <c r="B425" s="16" t="s">
        <v>4703</v>
      </c>
      <c r="C425" s="16" t="s">
        <v>467</v>
      </c>
      <c r="D425" s="16">
        <v>2</v>
      </c>
      <c r="E425" s="16" t="s">
        <v>78</v>
      </c>
      <c r="F425" s="16" t="str">
        <f>VLOOKUP(Table28[[#This Row],[Country]],Table10[[COUNTRY NAME]:[CONTINENT CODE]],3,FALSE)</f>
        <v>EU</v>
      </c>
      <c r="G425" s="16" t="s">
        <v>11898</v>
      </c>
      <c r="H425" s="181">
        <v>13670</v>
      </c>
      <c r="I425" s="180">
        <v>32.25</v>
      </c>
      <c r="K425" s="316">
        <f>IFERROR(Table28[[#This Row],[ROUTE COST]]/Table28[[#This Row],[O - DEMAND]],0)</f>
        <v>0</v>
      </c>
      <c r="M425" s="16">
        <f>Table28[[#This Row],[O - DEMAND]]/950</f>
        <v>0</v>
      </c>
      <c r="N425" s="16">
        <f>IFERROR(VLOOKUP(Table28[[#This Row],[ROUTE]],DEMAND!A:F,5,FALSE),0)</f>
        <v>2818</v>
      </c>
      <c r="O425" s="16">
        <f>IFERROR(VLOOKUP(Table28[[#This Row],[ROUTE]],DEMAND!A:F,6,FALSE),0)</f>
        <v>918</v>
      </c>
      <c r="P425" s="16">
        <f>ROUNDDOWN(Table28[[#This Row],[R-DEMAND]]/950,0)</f>
        <v>0</v>
      </c>
      <c r="Q425" s="16">
        <f>Table28[[#This Row],[ADD ACC
(475/950)]]*Table28[[#This Row],[Duration
(A359)]]</f>
        <v>0</v>
      </c>
      <c r="R425" s="16">
        <f>IFERROR(VLOOKUP(Table28[[#This Row],[ROUTE]],PRICING!A:B,2,FALSE),0)</f>
        <v>0</v>
      </c>
      <c r="S425" s="16">
        <f>Table28[[#This Row],[C_DEMAND]]-Table28[[#This Row],[R-DEMAND]]</f>
        <v>1900</v>
      </c>
      <c r="T425" s="316">
        <f>Table28[[#This Row],[SEATS SOLD]]*Table28[[#This Row],[ECO SEAT]]</f>
        <v>0</v>
      </c>
      <c r="U425" s="316">
        <f>Table28[[#This Row],[SEATS SOLD]]*(IFERROR(VLOOKUP(Table28[[#This Row],[ROUTE]],PRICING!A:C,3,FALSE),0))</f>
        <v>0</v>
      </c>
      <c r="V425" s="316">
        <f>Table28[[#This Row],[SEAT REV]]-Table28[[#This Row],[SEAT REV
(IF IDEAL $)]]</f>
        <v>0</v>
      </c>
      <c r="AA425" s="26"/>
      <c r="AB425" s="26"/>
      <c r="AC425" s="26"/>
      <c r="AD425" s="26"/>
      <c r="AE425" s="26"/>
      <c r="AS425" s="16" t="s">
        <v>172</v>
      </c>
      <c r="AT425" s="16" t="s">
        <v>11952</v>
      </c>
      <c r="AU425" s="16" t="s">
        <v>1703</v>
      </c>
      <c r="AV425" s="16" t="s">
        <v>18881</v>
      </c>
      <c r="AW425" s="16" t="s">
        <v>18890</v>
      </c>
      <c r="AX425" s="16" t="s">
        <v>18936</v>
      </c>
      <c r="AY425" s="385">
        <v>12567</v>
      </c>
    </row>
    <row r="426" spans="1:51" x14ac:dyDescent="0.25">
      <c r="A426" s="16" t="s">
        <v>19052</v>
      </c>
      <c r="B426" s="16" t="s">
        <v>211</v>
      </c>
      <c r="C426" s="16" t="s">
        <v>467</v>
      </c>
      <c r="D426" s="16">
        <v>5</v>
      </c>
      <c r="E426" s="16" t="s">
        <v>709</v>
      </c>
      <c r="F426" s="16" t="str">
        <f>VLOOKUP(Table28[[#This Row],[Country]],Table10[[COUNTRY NAME]:[CONTINENT CODE]],3,FALSE)</f>
        <v>AS</v>
      </c>
      <c r="G426" s="16" t="s">
        <v>11069</v>
      </c>
      <c r="H426" s="181">
        <v>6586</v>
      </c>
      <c r="I426" s="180">
        <v>16.5</v>
      </c>
      <c r="K426" s="316">
        <f>IFERROR(Table28[[#This Row],[ROUTE COST]]/Table28[[#This Row],[O - DEMAND]],0)</f>
        <v>0</v>
      </c>
      <c r="M426" s="16">
        <f>Table28[[#This Row],[O - DEMAND]]/950</f>
        <v>0</v>
      </c>
      <c r="N426" s="16">
        <f>IFERROR(VLOOKUP(Table28[[#This Row],[ROUTE]],DEMAND!A:F,5,FALSE),0)</f>
        <v>3224</v>
      </c>
      <c r="O426" s="16">
        <f>IFERROR(VLOOKUP(Table28[[#This Row],[ROUTE]],DEMAND!A:F,6,FALSE),0)</f>
        <v>374</v>
      </c>
      <c r="P426" s="16">
        <f>ROUNDDOWN(Table28[[#This Row],[R-DEMAND]]/950,0)</f>
        <v>0</v>
      </c>
      <c r="Q426" s="16">
        <f>Table28[[#This Row],[ADD ACC
(475/950)]]*Table28[[#This Row],[Duration
(A359)]]</f>
        <v>0</v>
      </c>
      <c r="R426" s="16">
        <f>IFERROR(VLOOKUP(Table28[[#This Row],[ROUTE]],PRICING!A:B,2,FALSE),0)</f>
        <v>0</v>
      </c>
      <c r="S426" s="16">
        <f>Table28[[#This Row],[C_DEMAND]]-Table28[[#This Row],[R-DEMAND]]</f>
        <v>2850</v>
      </c>
      <c r="T426" s="316">
        <f>Table28[[#This Row],[SEATS SOLD]]*Table28[[#This Row],[ECO SEAT]]</f>
        <v>0</v>
      </c>
      <c r="U426" s="316">
        <f>Table28[[#This Row],[SEATS SOLD]]*(IFERROR(VLOOKUP(Table28[[#This Row],[ROUTE]],PRICING!A:C,3,FALSE),0))</f>
        <v>0</v>
      </c>
      <c r="V426" s="316">
        <f>Table28[[#This Row],[SEAT REV]]-Table28[[#This Row],[SEAT REV
(IF IDEAL $)]]</f>
        <v>0</v>
      </c>
      <c r="AA426" s="26"/>
      <c r="AB426" s="26"/>
      <c r="AC426" s="26"/>
      <c r="AD426" s="26"/>
      <c r="AE426" s="26"/>
      <c r="AS426" s="16" t="s">
        <v>1289</v>
      </c>
      <c r="AT426" s="16" t="s">
        <v>11942</v>
      </c>
      <c r="AU426" s="16" t="s">
        <v>1475</v>
      </c>
      <c r="AV426" s="16" t="s">
        <v>18892</v>
      </c>
      <c r="AW426" s="16" t="s">
        <v>18890</v>
      </c>
      <c r="AX426" s="16" t="s">
        <v>18936</v>
      </c>
      <c r="AY426" s="385">
        <v>12582</v>
      </c>
    </row>
    <row r="427" spans="1:51" x14ac:dyDescent="0.25">
      <c r="A427" s="16" t="s">
        <v>19774</v>
      </c>
      <c r="B427" s="16" t="s">
        <v>3551</v>
      </c>
      <c r="D427" s="16">
        <v>2</v>
      </c>
      <c r="E427" s="16" t="s">
        <v>807</v>
      </c>
      <c r="F427" s="16" t="str">
        <f>VLOOKUP(Table28[[#This Row],[Country]],Table10[[COUNTRY NAME]:[CONTINENT CODE]],3,FALSE)</f>
        <v>EU</v>
      </c>
      <c r="G427" s="16" t="s">
        <v>9001</v>
      </c>
      <c r="H427" s="181">
        <v>14994</v>
      </c>
      <c r="I427" s="180">
        <v>35</v>
      </c>
      <c r="K427" s="316">
        <f>IFERROR(Table28[[#This Row],[ROUTE COST]]/Table28[[#This Row],[O - DEMAND]],0)</f>
        <v>0</v>
      </c>
      <c r="M427" s="16">
        <f>Table28[[#This Row],[O - DEMAND]]/950</f>
        <v>0</v>
      </c>
      <c r="N427" s="16">
        <f>IFERROR(VLOOKUP(Table28[[#This Row],[ROUTE]],DEMAND!A:F,5,FALSE),0)</f>
        <v>0</v>
      </c>
      <c r="O427" s="16">
        <f>IFERROR(VLOOKUP(Table28[[#This Row],[ROUTE]],DEMAND!A:F,6,FALSE),0)</f>
        <v>0</v>
      </c>
      <c r="P427" s="16">
        <f>ROUNDDOWN(Table28[[#This Row],[R-DEMAND]]/950,0)</f>
        <v>0</v>
      </c>
      <c r="Q427" s="16">
        <f>Table28[[#This Row],[ADD ACC
(475/950)]]*Table28[[#This Row],[Duration
(A359)]]</f>
        <v>0</v>
      </c>
      <c r="R427" s="16">
        <f>IFERROR(VLOOKUP(Table28[[#This Row],[ROUTE]],PRICING!A:B,2,FALSE),0)</f>
        <v>0</v>
      </c>
      <c r="S427" s="16">
        <f>Table28[[#This Row],[C_DEMAND]]-Table28[[#This Row],[R-DEMAND]]</f>
        <v>0</v>
      </c>
      <c r="T427" s="316">
        <f>Table28[[#This Row],[SEATS SOLD]]*Table28[[#This Row],[ECO SEAT]]</f>
        <v>0</v>
      </c>
      <c r="U427" s="316">
        <f>Table28[[#This Row],[SEATS SOLD]]*(IFERROR(VLOOKUP(Table28[[#This Row],[ROUTE]],PRICING!A:C,3,FALSE),0))</f>
        <v>0</v>
      </c>
      <c r="V427" s="316">
        <f>Table28[[#This Row],[SEAT REV]]-Table28[[#This Row],[SEAT REV
(IF IDEAL $)]]</f>
        <v>0</v>
      </c>
      <c r="AA427" s="26"/>
      <c r="AB427" s="26"/>
      <c r="AC427" s="26"/>
      <c r="AD427" s="26"/>
      <c r="AE427" s="26"/>
      <c r="AS427" s="16" t="s">
        <v>78</v>
      </c>
      <c r="AT427" s="16" t="s">
        <v>11895</v>
      </c>
      <c r="AU427" s="16" t="s">
        <v>3876</v>
      </c>
      <c r="AV427" s="16" t="s">
        <v>18884</v>
      </c>
      <c r="AW427" s="16" t="s">
        <v>18879</v>
      </c>
      <c r="AX427" s="16" t="s">
        <v>18936</v>
      </c>
      <c r="AY427" s="385">
        <v>12585</v>
      </c>
    </row>
    <row r="428" spans="1:51" x14ac:dyDescent="0.25">
      <c r="A428" s="16" t="s">
        <v>19134</v>
      </c>
      <c r="B428" s="16" t="s">
        <v>3085</v>
      </c>
      <c r="D428" s="16">
        <v>2</v>
      </c>
      <c r="E428" s="16" t="s">
        <v>258</v>
      </c>
      <c r="F428" s="16" t="str">
        <f>VLOOKUP(Table28[[#This Row],[Country]],Table10[[COUNTRY NAME]:[CONTINENT CODE]],3,FALSE)</f>
        <v>AS</v>
      </c>
      <c r="G428" s="16" t="s">
        <v>8996</v>
      </c>
      <c r="H428" s="181">
        <v>8177</v>
      </c>
      <c r="I428" s="180">
        <v>20</v>
      </c>
      <c r="K428" s="316">
        <f>IFERROR(Table28[[#This Row],[ROUTE COST]]/Table28[[#This Row],[O - DEMAND]],0)</f>
        <v>0</v>
      </c>
      <c r="M428" s="16">
        <f>Table28[[#This Row],[O - DEMAND]]/950</f>
        <v>0</v>
      </c>
      <c r="N428" s="16">
        <f>IFERROR(VLOOKUP(Table28[[#This Row],[ROUTE]],DEMAND!A:F,5,FALSE),0)</f>
        <v>0</v>
      </c>
      <c r="O428" s="16">
        <f>IFERROR(VLOOKUP(Table28[[#This Row],[ROUTE]],DEMAND!A:F,6,FALSE),0)</f>
        <v>0</v>
      </c>
      <c r="P428" s="16">
        <f>ROUNDDOWN(Table28[[#This Row],[R-DEMAND]]/950,0)</f>
        <v>0</v>
      </c>
      <c r="Q428" s="16">
        <f>Table28[[#This Row],[ADD ACC
(475/950)]]*Table28[[#This Row],[Duration
(A359)]]</f>
        <v>0</v>
      </c>
      <c r="R428" s="16">
        <f>IFERROR(VLOOKUP(Table28[[#This Row],[ROUTE]],PRICING!A:B,2,FALSE),0)</f>
        <v>0</v>
      </c>
      <c r="S428" s="16">
        <f>Table28[[#This Row],[C_DEMAND]]-Table28[[#This Row],[R-DEMAND]]</f>
        <v>0</v>
      </c>
      <c r="T428" s="316">
        <f>Table28[[#This Row],[SEATS SOLD]]*Table28[[#This Row],[ECO SEAT]]</f>
        <v>0</v>
      </c>
      <c r="U428" s="316">
        <f>Table28[[#This Row],[SEATS SOLD]]*(IFERROR(VLOOKUP(Table28[[#This Row],[ROUTE]],PRICING!A:C,3,FALSE),0))</f>
        <v>0</v>
      </c>
      <c r="V428" s="316">
        <f>Table28[[#This Row],[SEAT REV]]-Table28[[#This Row],[SEAT REV
(IF IDEAL $)]]</f>
        <v>0</v>
      </c>
      <c r="AA428" s="26"/>
      <c r="AB428" s="26"/>
      <c r="AC428" s="26"/>
      <c r="AD428" s="26"/>
      <c r="AE428" s="26"/>
      <c r="AS428" s="16" t="s">
        <v>11732</v>
      </c>
      <c r="AT428" s="16" t="s">
        <v>13285</v>
      </c>
      <c r="AU428" s="16" t="s">
        <v>4178</v>
      </c>
      <c r="AV428" s="16" t="s">
        <v>18881</v>
      </c>
      <c r="AW428" s="16" t="s">
        <v>18879</v>
      </c>
      <c r="AX428" s="16" t="s">
        <v>18936</v>
      </c>
      <c r="AY428" s="385">
        <v>12585</v>
      </c>
    </row>
    <row r="429" spans="1:51" x14ac:dyDescent="0.25">
      <c r="A429" s="16" t="s">
        <v>19568</v>
      </c>
      <c r="B429" s="16" t="s">
        <v>3000</v>
      </c>
      <c r="C429" s="16" t="s">
        <v>467</v>
      </c>
      <c r="D429" s="16">
        <v>2</v>
      </c>
      <c r="E429" s="16" t="s">
        <v>1377</v>
      </c>
      <c r="F429" s="16" t="str">
        <f>VLOOKUP(Table28[[#This Row],[Country]],Table10[[COUNTRY NAME]:[CONTINENT CODE]],3,FALSE)</f>
        <v>EU</v>
      </c>
      <c r="G429" s="16" t="s">
        <v>16859</v>
      </c>
      <c r="H429" s="181">
        <v>13537</v>
      </c>
      <c r="I429" s="180">
        <v>31.75</v>
      </c>
      <c r="K429" s="316">
        <f>IFERROR(Table28[[#This Row],[ROUTE COST]]/Table28[[#This Row],[O - DEMAND]],0)</f>
        <v>0</v>
      </c>
      <c r="M429" s="16">
        <f>Table28[[#This Row],[O - DEMAND]]/950</f>
        <v>0</v>
      </c>
      <c r="N429" s="16">
        <f>IFERROR(VLOOKUP(Table28[[#This Row],[ROUTE]],DEMAND!A:F,5,FALSE),0)</f>
        <v>2571</v>
      </c>
      <c r="O429" s="16">
        <f>IFERROR(VLOOKUP(Table28[[#This Row],[ROUTE]],DEMAND!A:F,6,FALSE),0)</f>
        <v>671</v>
      </c>
      <c r="P429" s="16">
        <f>ROUNDDOWN(Table28[[#This Row],[R-DEMAND]]/950,0)</f>
        <v>0</v>
      </c>
      <c r="Q429" s="16">
        <f>Table28[[#This Row],[ADD ACC
(475/950)]]*Table28[[#This Row],[Duration
(A359)]]</f>
        <v>0</v>
      </c>
      <c r="R429" s="16">
        <f>IFERROR(VLOOKUP(Table28[[#This Row],[ROUTE]],PRICING!A:B,2,FALSE),0)</f>
        <v>0</v>
      </c>
      <c r="S429" s="16">
        <f>Table28[[#This Row],[C_DEMAND]]-Table28[[#This Row],[R-DEMAND]]</f>
        <v>1900</v>
      </c>
      <c r="T429" s="316">
        <f>Table28[[#This Row],[SEATS SOLD]]*Table28[[#This Row],[ECO SEAT]]</f>
        <v>0</v>
      </c>
      <c r="U429" s="316">
        <f>Table28[[#This Row],[SEATS SOLD]]*(IFERROR(VLOOKUP(Table28[[#This Row],[ROUTE]],PRICING!A:C,3,FALSE),0))</f>
        <v>0</v>
      </c>
      <c r="V429" s="316">
        <f>Table28[[#This Row],[SEAT REV]]-Table28[[#This Row],[SEAT REV
(IF IDEAL $)]]</f>
        <v>0</v>
      </c>
      <c r="AA429" s="26"/>
      <c r="AB429" s="26"/>
      <c r="AC429" s="26"/>
      <c r="AD429" s="26"/>
      <c r="AE429" s="26"/>
      <c r="AS429" s="16" t="s">
        <v>11732</v>
      </c>
      <c r="AT429" s="16" t="s">
        <v>13289</v>
      </c>
      <c r="AU429" s="16" t="s">
        <v>5244</v>
      </c>
      <c r="AV429" s="16" t="s">
        <v>18884</v>
      </c>
      <c r="AW429" s="16" t="s">
        <v>18885</v>
      </c>
      <c r="AX429" s="16" t="s">
        <v>18936</v>
      </c>
      <c r="AY429" s="385">
        <v>12585</v>
      </c>
    </row>
    <row r="430" spans="1:51" x14ac:dyDescent="0.25">
      <c r="A430" s="16" t="s">
        <v>19135</v>
      </c>
      <c r="B430" s="16" t="s">
        <v>5406</v>
      </c>
      <c r="D430" s="16">
        <v>3</v>
      </c>
      <c r="E430" s="16" t="s">
        <v>14</v>
      </c>
      <c r="F430" s="16" t="str">
        <f>VLOOKUP(Table28[[#This Row],[Country]],Table10[[COUNTRY NAME]:[CONTINENT CODE]],3,FALSE)</f>
        <v>AS</v>
      </c>
      <c r="G430" s="16" t="s">
        <v>12074</v>
      </c>
      <c r="H430" s="181">
        <v>8200</v>
      </c>
      <c r="I430" s="180">
        <v>20.25</v>
      </c>
      <c r="K430" s="316">
        <f>IFERROR(Table28[[#This Row],[ROUTE COST]]/Table28[[#This Row],[O - DEMAND]],0)</f>
        <v>0</v>
      </c>
      <c r="M430" s="16">
        <f>Table28[[#This Row],[O - DEMAND]]/950</f>
        <v>0</v>
      </c>
      <c r="N430" s="16">
        <f>IFERROR(VLOOKUP(Table28[[#This Row],[ROUTE]],DEMAND!A:F,5,FALSE),0)</f>
        <v>0</v>
      </c>
      <c r="O430" s="16">
        <f>IFERROR(VLOOKUP(Table28[[#This Row],[ROUTE]],DEMAND!A:F,6,FALSE),0)</f>
        <v>0</v>
      </c>
      <c r="P430" s="16">
        <f>ROUNDDOWN(Table28[[#This Row],[R-DEMAND]]/950,0)</f>
        <v>0</v>
      </c>
      <c r="Q430" s="16">
        <f>Table28[[#This Row],[ADD ACC
(475/950)]]*Table28[[#This Row],[Duration
(A359)]]</f>
        <v>0</v>
      </c>
      <c r="R430" s="16">
        <f>IFERROR(VLOOKUP(Table28[[#This Row],[ROUTE]],PRICING!A:B,2,FALSE),0)</f>
        <v>0</v>
      </c>
      <c r="S430" s="16">
        <f>Table28[[#This Row],[C_DEMAND]]-Table28[[#This Row],[R-DEMAND]]</f>
        <v>0</v>
      </c>
      <c r="T430" s="316">
        <f>Table28[[#This Row],[SEATS SOLD]]*Table28[[#This Row],[ECO SEAT]]</f>
        <v>0</v>
      </c>
      <c r="U430" s="316">
        <f>Table28[[#This Row],[SEATS SOLD]]*(IFERROR(VLOOKUP(Table28[[#This Row],[ROUTE]],PRICING!A:C,3,FALSE),0))</f>
        <v>0</v>
      </c>
      <c r="V430" s="316">
        <f>Table28[[#This Row],[SEAT REV]]-Table28[[#This Row],[SEAT REV
(IF IDEAL $)]]</f>
        <v>0</v>
      </c>
      <c r="AA430" s="26"/>
      <c r="AB430" s="26"/>
      <c r="AC430" s="26"/>
      <c r="AD430" s="26"/>
      <c r="AE430" s="26"/>
      <c r="AS430" s="16" t="s">
        <v>172</v>
      </c>
      <c r="AT430" s="16" t="s">
        <v>11951</v>
      </c>
      <c r="AU430" s="16" t="s">
        <v>5260</v>
      </c>
      <c r="AV430" s="16" t="s">
        <v>18884</v>
      </c>
      <c r="AW430" s="16" t="s">
        <v>18885</v>
      </c>
      <c r="AX430" s="16" t="s">
        <v>18936</v>
      </c>
      <c r="AY430" s="385">
        <v>12601</v>
      </c>
    </row>
    <row r="431" spans="1:51" x14ac:dyDescent="0.25">
      <c r="A431" s="16" t="s">
        <v>19463</v>
      </c>
      <c r="B431" s="16" t="s">
        <v>5483</v>
      </c>
      <c r="D431" s="16">
        <v>4</v>
      </c>
      <c r="E431" s="16" t="s">
        <v>5481</v>
      </c>
      <c r="F431" s="16" t="str">
        <f>VLOOKUP(Table28[[#This Row],[Country]],Table10[[COUNTRY NAME]:[CONTINENT CODE]],3,FALSE)</f>
        <v>AS</v>
      </c>
      <c r="G431" s="16" t="s">
        <v>11068</v>
      </c>
      <c r="H431" s="181">
        <v>12900</v>
      </c>
      <c r="I431" s="180">
        <v>30.5</v>
      </c>
      <c r="K431" s="316">
        <f>IFERROR(Table28[[#This Row],[ROUTE COST]]/Table28[[#This Row],[O - DEMAND]],0)</f>
        <v>0</v>
      </c>
      <c r="M431" s="16">
        <f>Table28[[#This Row],[O - DEMAND]]/950</f>
        <v>0</v>
      </c>
      <c r="N431" s="16">
        <f>IFERROR(VLOOKUP(Table28[[#This Row],[ROUTE]],DEMAND!A:F,5,FALSE),0)</f>
        <v>0</v>
      </c>
      <c r="O431" s="16">
        <f>IFERROR(VLOOKUP(Table28[[#This Row],[ROUTE]],DEMAND!A:F,6,FALSE),0)</f>
        <v>0</v>
      </c>
      <c r="P431" s="16">
        <f>ROUNDDOWN(Table28[[#This Row],[R-DEMAND]]/950,0)</f>
        <v>0</v>
      </c>
      <c r="Q431" s="16">
        <f>Table28[[#This Row],[ADD ACC
(475/950)]]*Table28[[#This Row],[Duration
(A359)]]</f>
        <v>0</v>
      </c>
      <c r="R431" s="16">
        <f>IFERROR(VLOOKUP(Table28[[#This Row],[ROUTE]],PRICING!A:B,2,FALSE),0)</f>
        <v>0</v>
      </c>
      <c r="S431" s="16">
        <f>Table28[[#This Row],[C_DEMAND]]-Table28[[#This Row],[R-DEMAND]]</f>
        <v>0</v>
      </c>
      <c r="T431" s="316">
        <f>Table28[[#This Row],[SEATS SOLD]]*Table28[[#This Row],[ECO SEAT]]</f>
        <v>0</v>
      </c>
      <c r="U431" s="316">
        <f>Table28[[#This Row],[SEATS SOLD]]*(IFERROR(VLOOKUP(Table28[[#This Row],[ROUTE]],PRICING!A:C,3,FALSE),0))</f>
        <v>0</v>
      </c>
      <c r="V431" s="316">
        <f>Table28[[#This Row],[SEAT REV]]-Table28[[#This Row],[SEAT REV
(IF IDEAL $)]]</f>
        <v>0</v>
      </c>
      <c r="AA431" s="26"/>
      <c r="AB431" s="26"/>
      <c r="AC431" s="26"/>
      <c r="AD431" s="26"/>
      <c r="AE431" s="26"/>
      <c r="AS431" s="16" t="s">
        <v>172</v>
      </c>
      <c r="AT431" s="16" t="s">
        <v>9989</v>
      </c>
      <c r="AU431" s="16" t="s">
        <v>3939</v>
      </c>
      <c r="AV431" s="16" t="s">
        <v>18881</v>
      </c>
      <c r="AW431" s="16" t="s">
        <v>18879</v>
      </c>
      <c r="AX431" s="16" t="s">
        <v>18936</v>
      </c>
      <c r="AY431" s="385">
        <v>12611</v>
      </c>
    </row>
    <row r="432" spans="1:51" x14ac:dyDescent="0.25">
      <c r="A432" s="16" t="s">
        <v>19125</v>
      </c>
      <c r="B432" s="16" t="s">
        <v>4764</v>
      </c>
      <c r="D432" s="16">
        <v>3</v>
      </c>
      <c r="E432" s="16" t="s">
        <v>258</v>
      </c>
      <c r="F432" s="16" t="str">
        <f>VLOOKUP(Table28[[#This Row],[Country]],Table10[[COUNTRY NAME]:[CONTINENT CODE]],3,FALSE)</f>
        <v>AS</v>
      </c>
      <c r="G432" s="16" t="s">
        <v>8977</v>
      </c>
      <c r="H432" s="181">
        <v>8090</v>
      </c>
      <c r="I432" s="180">
        <v>20</v>
      </c>
      <c r="K432" s="316">
        <f>IFERROR(Table28[[#This Row],[ROUTE COST]]/Table28[[#This Row],[O - DEMAND]],0)</f>
        <v>0</v>
      </c>
      <c r="M432" s="16">
        <f>Table28[[#This Row],[O - DEMAND]]/950</f>
        <v>0</v>
      </c>
      <c r="N432" s="16">
        <f>IFERROR(VLOOKUP(Table28[[#This Row],[ROUTE]],DEMAND!A:F,5,FALSE),0)</f>
        <v>0</v>
      </c>
      <c r="O432" s="16">
        <f>IFERROR(VLOOKUP(Table28[[#This Row],[ROUTE]],DEMAND!A:F,6,FALSE),0)</f>
        <v>0</v>
      </c>
      <c r="P432" s="16">
        <f>ROUNDDOWN(Table28[[#This Row],[R-DEMAND]]/950,0)</f>
        <v>0</v>
      </c>
      <c r="Q432" s="16">
        <f>Table28[[#This Row],[ADD ACC
(475/950)]]*Table28[[#This Row],[Duration
(A359)]]</f>
        <v>0</v>
      </c>
      <c r="R432" s="16">
        <f>IFERROR(VLOOKUP(Table28[[#This Row],[ROUTE]],PRICING!A:B,2,FALSE),0)</f>
        <v>0</v>
      </c>
      <c r="S432" s="16">
        <f>Table28[[#This Row],[C_DEMAND]]-Table28[[#This Row],[R-DEMAND]]</f>
        <v>0</v>
      </c>
      <c r="T432" s="316">
        <f>Table28[[#This Row],[SEATS SOLD]]*Table28[[#This Row],[ECO SEAT]]</f>
        <v>0</v>
      </c>
      <c r="U432" s="316">
        <f>Table28[[#This Row],[SEATS SOLD]]*(IFERROR(VLOOKUP(Table28[[#This Row],[ROUTE]],PRICING!A:C,3,FALSE),0))</f>
        <v>0</v>
      </c>
      <c r="V432" s="316">
        <f>Table28[[#This Row],[SEAT REV]]-Table28[[#This Row],[SEAT REV
(IF IDEAL $)]]</f>
        <v>0</v>
      </c>
      <c r="AA432" s="26"/>
      <c r="AB432" s="26"/>
      <c r="AC432" s="26"/>
      <c r="AD432" s="26"/>
      <c r="AE432" s="26"/>
      <c r="AS432" s="16" t="s">
        <v>11823</v>
      </c>
      <c r="AT432" s="16" t="s">
        <v>16858</v>
      </c>
      <c r="AU432" s="16" t="s">
        <v>1197</v>
      </c>
      <c r="AV432" s="16" t="s">
        <v>18878</v>
      </c>
      <c r="AW432" s="16" t="s">
        <v>18890</v>
      </c>
      <c r="AX432" s="16" t="s">
        <v>18936</v>
      </c>
      <c r="AY432" s="385">
        <v>12614</v>
      </c>
    </row>
    <row r="433" spans="1:51" x14ac:dyDescent="0.25">
      <c r="A433" s="16" t="s">
        <v>19109</v>
      </c>
      <c r="B433" s="16" t="s">
        <v>5373</v>
      </c>
      <c r="D433" s="16">
        <v>3</v>
      </c>
      <c r="E433" s="16" t="s">
        <v>14</v>
      </c>
      <c r="F433" s="16" t="str">
        <f>VLOOKUP(Table28[[#This Row],[Country]],Table10[[COUNTRY NAME]:[CONTINENT CODE]],3,FALSE)</f>
        <v>AS</v>
      </c>
      <c r="G433" s="16" t="s">
        <v>12077</v>
      </c>
      <c r="H433" s="181">
        <v>7885</v>
      </c>
      <c r="I433" s="180">
        <v>19.5</v>
      </c>
      <c r="K433" s="316">
        <f>IFERROR(Table28[[#This Row],[ROUTE COST]]/Table28[[#This Row],[O - DEMAND]],0)</f>
        <v>0</v>
      </c>
      <c r="M433" s="16">
        <f>Table28[[#This Row],[O - DEMAND]]/950</f>
        <v>0</v>
      </c>
      <c r="N433" s="16">
        <f>IFERROR(VLOOKUP(Table28[[#This Row],[ROUTE]],DEMAND!A:F,5,FALSE),0)</f>
        <v>0</v>
      </c>
      <c r="O433" s="16">
        <f>IFERROR(VLOOKUP(Table28[[#This Row],[ROUTE]],DEMAND!A:F,6,FALSE),0)</f>
        <v>0</v>
      </c>
      <c r="P433" s="16">
        <f>ROUNDDOWN(Table28[[#This Row],[R-DEMAND]]/950,0)</f>
        <v>0</v>
      </c>
      <c r="Q433" s="16">
        <f>Table28[[#This Row],[ADD ACC
(475/950)]]*Table28[[#This Row],[Duration
(A359)]]</f>
        <v>0</v>
      </c>
      <c r="R433" s="16">
        <f>IFERROR(VLOOKUP(Table28[[#This Row],[ROUTE]],PRICING!A:B,2,FALSE),0)</f>
        <v>0</v>
      </c>
      <c r="S433" s="16">
        <f>Table28[[#This Row],[C_DEMAND]]-Table28[[#This Row],[R-DEMAND]]</f>
        <v>0</v>
      </c>
      <c r="T433" s="316">
        <f>Table28[[#This Row],[SEATS SOLD]]*Table28[[#This Row],[ECO SEAT]]</f>
        <v>0</v>
      </c>
      <c r="U433" s="316">
        <f>Table28[[#This Row],[SEATS SOLD]]*(IFERROR(VLOOKUP(Table28[[#This Row],[ROUTE]],PRICING!A:C,3,FALSE),0))</f>
        <v>0</v>
      </c>
      <c r="V433" s="316">
        <f>Table28[[#This Row],[SEAT REV]]-Table28[[#This Row],[SEAT REV
(IF IDEAL $)]]</f>
        <v>0</v>
      </c>
      <c r="AA433" s="26"/>
      <c r="AB433" s="26"/>
      <c r="AC433" s="26"/>
      <c r="AD433" s="26"/>
      <c r="AE433" s="26"/>
      <c r="AS433" s="16" t="s">
        <v>2527</v>
      </c>
      <c r="AT433" s="16" t="s">
        <v>11119</v>
      </c>
      <c r="AU433" s="16" t="s">
        <v>457</v>
      </c>
      <c r="AV433" s="16" t="s">
        <v>18884</v>
      </c>
      <c r="AW433" s="16" t="s">
        <v>18899</v>
      </c>
      <c r="AX433" s="16" t="s">
        <v>18936</v>
      </c>
      <c r="AY433" s="385">
        <v>12626</v>
      </c>
    </row>
    <row r="434" spans="1:51" x14ac:dyDescent="0.25">
      <c r="A434" s="16" t="s">
        <v>19705</v>
      </c>
      <c r="B434" s="16" t="s">
        <v>3699</v>
      </c>
      <c r="D434" s="16">
        <v>2</v>
      </c>
      <c r="E434" s="16" t="s">
        <v>700</v>
      </c>
      <c r="F434" s="16" t="str">
        <f>VLOOKUP(Table28[[#This Row],[Country]],Table10[[COUNTRY NAME]:[CONTINENT CODE]],3,FALSE)</f>
        <v>AS</v>
      </c>
      <c r="G434" s="16" t="s">
        <v>8961</v>
      </c>
      <c r="H434" s="181">
        <v>14576</v>
      </c>
      <c r="I434" s="180">
        <v>34</v>
      </c>
      <c r="K434" s="316">
        <f>IFERROR(Table28[[#This Row],[ROUTE COST]]/Table28[[#This Row],[O - DEMAND]],0)</f>
        <v>0</v>
      </c>
      <c r="M434" s="16">
        <f>Table28[[#This Row],[O - DEMAND]]/950</f>
        <v>0</v>
      </c>
      <c r="N434" s="16">
        <f>IFERROR(VLOOKUP(Table28[[#This Row],[ROUTE]],DEMAND!A:F,5,FALSE),0)</f>
        <v>0</v>
      </c>
      <c r="O434" s="16">
        <f>IFERROR(VLOOKUP(Table28[[#This Row],[ROUTE]],DEMAND!A:F,6,FALSE),0)</f>
        <v>0</v>
      </c>
      <c r="P434" s="16">
        <f>ROUNDDOWN(Table28[[#This Row],[R-DEMAND]]/950,0)</f>
        <v>0</v>
      </c>
      <c r="Q434" s="16">
        <f>Table28[[#This Row],[ADD ACC
(475/950)]]*Table28[[#This Row],[Duration
(A359)]]</f>
        <v>0</v>
      </c>
      <c r="R434" s="16">
        <f>IFERROR(VLOOKUP(Table28[[#This Row],[ROUTE]],PRICING!A:B,2,FALSE),0)</f>
        <v>0</v>
      </c>
      <c r="S434" s="16">
        <f>Table28[[#This Row],[C_DEMAND]]-Table28[[#This Row],[R-DEMAND]]</f>
        <v>0</v>
      </c>
      <c r="T434" s="316">
        <f>Table28[[#This Row],[SEATS SOLD]]*Table28[[#This Row],[ECO SEAT]]</f>
        <v>0</v>
      </c>
      <c r="U434" s="316">
        <f>Table28[[#This Row],[SEATS SOLD]]*(IFERROR(VLOOKUP(Table28[[#This Row],[ROUTE]],PRICING!A:C,3,FALSE),0))</f>
        <v>0</v>
      </c>
      <c r="V434" s="316">
        <f>Table28[[#This Row],[SEAT REV]]-Table28[[#This Row],[SEAT REV
(IF IDEAL $)]]</f>
        <v>0</v>
      </c>
      <c r="AA434" s="26"/>
      <c r="AB434" s="26"/>
      <c r="AC434" s="26"/>
      <c r="AD434" s="26"/>
      <c r="AE434" s="26"/>
      <c r="AS434" s="16" t="s">
        <v>637</v>
      </c>
      <c r="AT434" s="16" t="s">
        <v>11908</v>
      </c>
      <c r="AU434" s="16" t="s">
        <v>4562</v>
      </c>
      <c r="AV434" s="16" t="s">
        <v>18884</v>
      </c>
      <c r="AW434" s="16" t="s">
        <v>18879</v>
      </c>
      <c r="AX434" s="16" t="s">
        <v>18936</v>
      </c>
      <c r="AY434" s="385">
        <v>12627</v>
      </c>
    </row>
    <row r="435" spans="1:51" x14ac:dyDescent="0.25">
      <c r="A435" s="16" t="s">
        <v>19280</v>
      </c>
      <c r="B435" s="16" t="s">
        <v>8956</v>
      </c>
      <c r="D435" s="16">
        <v>1</v>
      </c>
      <c r="E435" s="16" t="s">
        <v>78</v>
      </c>
      <c r="F435" s="16" t="str">
        <f>VLOOKUP(Table28[[#This Row],[Country]],Table10[[COUNTRY NAME]:[CONTINENT CODE]],3,FALSE)</f>
        <v>EU</v>
      </c>
      <c r="G435" s="16" t="s">
        <v>16851</v>
      </c>
      <c r="H435" s="181">
        <v>11010</v>
      </c>
      <c r="I435" s="180">
        <v>26.25</v>
      </c>
      <c r="K435" s="316">
        <f>IFERROR(Table28[[#This Row],[ROUTE COST]]/Table28[[#This Row],[O - DEMAND]],0)</f>
        <v>0</v>
      </c>
      <c r="M435" s="16">
        <f>Table28[[#This Row],[O - DEMAND]]/950</f>
        <v>0</v>
      </c>
      <c r="N435" s="16">
        <f>IFERROR(VLOOKUP(Table28[[#This Row],[ROUTE]],DEMAND!A:F,5,FALSE),0)</f>
        <v>0</v>
      </c>
      <c r="O435" s="16">
        <f>IFERROR(VLOOKUP(Table28[[#This Row],[ROUTE]],DEMAND!A:F,6,FALSE),0)</f>
        <v>0</v>
      </c>
      <c r="P435" s="16">
        <f>ROUNDDOWN(Table28[[#This Row],[R-DEMAND]]/950,0)</f>
        <v>0</v>
      </c>
      <c r="Q435" s="16">
        <f>Table28[[#This Row],[ADD ACC
(475/950)]]*Table28[[#This Row],[Duration
(A359)]]</f>
        <v>0</v>
      </c>
      <c r="R435" s="16">
        <f>IFERROR(VLOOKUP(Table28[[#This Row],[ROUTE]],PRICING!A:B,2,FALSE),0)</f>
        <v>0</v>
      </c>
      <c r="S435" s="16">
        <f>Table28[[#This Row],[C_DEMAND]]-Table28[[#This Row],[R-DEMAND]]</f>
        <v>0</v>
      </c>
      <c r="T435" s="316">
        <f>Table28[[#This Row],[SEATS SOLD]]*Table28[[#This Row],[ECO SEAT]]</f>
        <v>0</v>
      </c>
      <c r="U435" s="316">
        <f>Table28[[#This Row],[SEATS SOLD]]*(IFERROR(VLOOKUP(Table28[[#This Row],[ROUTE]],PRICING!A:C,3,FALSE),0))</f>
        <v>0</v>
      </c>
      <c r="V435" s="316">
        <f>Table28[[#This Row],[SEAT REV]]-Table28[[#This Row],[SEAT REV
(IF IDEAL $)]]</f>
        <v>0</v>
      </c>
      <c r="AA435" s="26"/>
      <c r="AB435" s="26"/>
      <c r="AC435" s="26"/>
      <c r="AD435" s="26"/>
      <c r="AE435" s="26"/>
      <c r="AS435" s="16" t="s">
        <v>644</v>
      </c>
      <c r="AT435" s="16" t="s">
        <v>11831</v>
      </c>
      <c r="AU435" s="16" t="s">
        <v>3371</v>
      </c>
      <c r="AV435" s="16" t="s">
        <v>18881</v>
      </c>
      <c r="AW435" s="16" t="s">
        <v>18879</v>
      </c>
      <c r="AX435" s="16" t="s">
        <v>18894</v>
      </c>
      <c r="AY435" s="385">
        <v>12646</v>
      </c>
    </row>
    <row r="436" spans="1:51" x14ac:dyDescent="0.25">
      <c r="A436" s="16" t="s">
        <v>19597</v>
      </c>
      <c r="B436" s="16" t="s">
        <v>4705</v>
      </c>
      <c r="C436" s="16" t="s">
        <v>467</v>
      </c>
      <c r="D436" s="16">
        <v>2</v>
      </c>
      <c r="E436" s="16" t="s">
        <v>78</v>
      </c>
      <c r="F436" s="16" t="str">
        <f>VLOOKUP(Table28[[#This Row],[Country]],Table10[[COUNTRY NAME]:[CONTINENT CODE]],3,FALSE)</f>
        <v>EU</v>
      </c>
      <c r="G436" s="16" t="s">
        <v>11880</v>
      </c>
      <c r="H436" s="181">
        <v>13778</v>
      </c>
      <c r="I436" s="180">
        <v>32.25</v>
      </c>
      <c r="K436" s="316">
        <f>IFERROR(Table28[[#This Row],[ROUTE COST]]/Table28[[#This Row],[O - DEMAND]],0)</f>
        <v>0</v>
      </c>
      <c r="M436" s="16">
        <f>Table28[[#This Row],[O - DEMAND]]/950</f>
        <v>0</v>
      </c>
      <c r="N436" s="16">
        <f>IFERROR(VLOOKUP(Table28[[#This Row],[ROUTE]],DEMAND!A:F,5,FALSE),0)</f>
        <v>2837</v>
      </c>
      <c r="O436" s="16">
        <f>IFERROR(VLOOKUP(Table28[[#This Row],[ROUTE]],DEMAND!A:F,6,FALSE),0)</f>
        <v>937</v>
      </c>
      <c r="P436" s="16">
        <f>ROUNDDOWN(Table28[[#This Row],[R-DEMAND]]/950,0)</f>
        <v>0</v>
      </c>
      <c r="Q436" s="16">
        <f>Table28[[#This Row],[ADD ACC
(475/950)]]*Table28[[#This Row],[Duration
(A359)]]</f>
        <v>0</v>
      </c>
      <c r="R436" s="16">
        <f>IFERROR(VLOOKUP(Table28[[#This Row],[ROUTE]],PRICING!A:B,2,FALSE),0)</f>
        <v>0</v>
      </c>
      <c r="S436" s="16">
        <f>Table28[[#This Row],[C_DEMAND]]-Table28[[#This Row],[R-DEMAND]]</f>
        <v>1900</v>
      </c>
      <c r="T436" s="316">
        <f>Table28[[#This Row],[SEATS SOLD]]*Table28[[#This Row],[ECO SEAT]]</f>
        <v>0</v>
      </c>
      <c r="U436" s="316">
        <f>Table28[[#This Row],[SEATS SOLD]]*(IFERROR(VLOOKUP(Table28[[#This Row],[ROUTE]],PRICING!A:C,3,FALSE),0))</f>
        <v>0</v>
      </c>
      <c r="V436" s="316">
        <f>Table28[[#This Row],[SEAT REV]]-Table28[[#This Row],[SEAT REV
(IF IDEAL $)]]</f>
        <v>0</v>
      </c>
      <c r="AA436" s="26"/>
      <c r="AB436" s="26"/>
      <c r="AC436" s="26"/>
      <c r="AD436" s="26"/>
      <c r="AE436" s="26"/>
      <c r="AS436" s="16" t="s">
        <v>1749</v>
      </c>
      <c r="AT436" s="16" t="s">
        <v>13219</v>
      </c>
      <c r="AU436" s="16" t="s">
        <v>5480</v>
      </c>
      <c r="AV436" s="16" t="s">
        <v>18884</v>
      </c>
      <c r="AW436" s="16" t="s">
        <v>18899</v>
      </c>
      <c r="AX436" s="16" t="s">
        <v>18894</v>
      </c>
      <c r="AY436" s="385">
        <v>12658</v>
      </c>
    </row>
    <row r="437" spans="1:51" x14ac:dyDescent="0.25">
      <c r="A437" s="16" t="s">
        <v>19566</v>
      </c>
      <c r="B437" s="16" t="s">
        <v>209</v>
      </c>
      <c r="D437" s="16">
        <v>3</v>
      </c>
      <c r="E437" s="16" t="s">
        <v>644</v>
      </c>
      <c r="F437" s="16" t="str">
        <f>VLOOKUP(Table28[[#This Row],[Country]],Table10[[COUNTRY NAME]:[CONTINENT CODE]],3,FALSE)</f>
        <v>AF</v>
      </c>
      <c r="G437" s="16" t="s">
        <v>11811</v>
      </c>
      <c r="H437" s="181">
        <v>13514</v>
      </c>
      <c r="I437" s="180">
        <v>31.75</v>
      </c>
      <c r="K437" s="316">
        <f>IFERROR(Table28[[#This Row],[ROUTE COST]]/Table28[[#This Row],[O - DEMAND]],0)</f>
        <v>0</v>
      </c>
      <c r="M437" s="16">
        <f>Table28[[#This Row],[O - DEMAND]]/950</f>
        <v>0</v>
      </c>
      <c r="N437" s="16">
        <f>IFERROR(VLOOKUP(Table28[[#This Row],[ROUTE]],DEMAND!A:F,5,FALSE),0)</f>
        <v>0</v>
      </c>
      <c r="O437" s="16">
        <f>IFERROR(VLOOKUP(Table28[[#This Row],[ROUTE]],DEMAND!A:F,6,FALSE),0)</f>
        <v>0</v>
      </c>
      <c r="P437" s="16">
        <f>ROUNDDOWN(Table28[[#This Row],[R-DEMAND]]/950,0)</f>
        <v>0</v>
      </c>
      <c r="Q437" s="16">
        <f>Table28[[#This Row],[ADD ACC
(475/950)]]*Table28[[#This Row],[Duration
(A359)]]</f>
        <v>0</v>
      </c>
      <c r="R437" s="16">
        <f>IFERROR(VLOOKUP(Table28[[#This Row],[ROUTE]],PRICING!A:B,2,FALSE),0)</f>
        <v>0</v>
      </c>
      <c r="S437" s="16">
        <f>Table28[[#This Row],[C_DEMAND]]-Table28[[#This Row],[R-DEMAND]]</f>
        <v>0</v>
      </c>
      <c r="T437" s="316">
        <f>Table28[[#This Row],[SEATS SOLD]]*Table28[[#This Row],[ECO SEAT]]</f>
        <v>0</v>
      </c>
      <c r="U437" s="316">
        <f>Table28[[#This Row],[SEATS SOLD]]*(IFERROR(VLOOKUP(Table28[[#This Row],[ROUTE]],PRICING!A:C,3,FALSE),0))</f>
        <v>0</v>
      </c>
      <c r="V437" s="316">
        <f>Table28[[#This Row],[SEAT REV]]-Table28[[#This Row],[SEAT REV
(IF IDEAL $)]]</f>
        <v>0</v>
      </c>
      <c r="AA437" s="26"/>
      <c r="AB437" s="26"/>
      <c r="AC437" s="26"/>
      <c r="AD437" s="26"/>
      <c r="AE437" s="26"/>
      <c r="AS437" s="16" t="s">
        <v>78</v>
      </c>
      <c r="AT437" s="16" t="s">
        <v>16864</v>
      </c>
      <c r="AU437" s="16" t="s">
        <v>3385</v>
      </c>
      <c r="AV437" s="16" t="s">
        <v>18878</v>
      </c>
      <c r="AW437" s="16" t="s">
        <v>18879</v>
      </c>
      <c r="AX437" s="16" t="s">
        <v>18894</v>
      </c>
      <c r="AY437" s="385">
        <v>12664</v>
      </c>
    </row>
    <row r="438" spans="1:51" x14ac:dyDescent="0.25">
      <c r="A438" s="16" t="s">
        <v>19054</v>
      </c>
      <c r="B438" s="16" t="s">
        <v>206</v>
      </c>
      <c r="C438" s="16" t="s">
        <v>467</v>
      </c>
      <c r="D438" s="16">
        <v>2</v>
      </c>
      <c r="E438" s="16" t="s">
        <v>717</v>
      </c>
      <c r="F438" s="16" t="str">
        <f>VLOOKUP(Table28[[#This Row],[Country]],Table10[[COUNTRY NAME]:[CONTINENT CODE]],3,FALSE)</f>
        <v>AS</v>
      </c>
      <c r="G438" s="16" t="s">
        <v>12081</v>
      </c>
      <c r="H438" s="181">
        <v>6645</v>
      </c>
      <c r="I438" s="180">
        <v>16.75</v>
      </c>
      <c r="K438" s="316">
        <f>IFERROR(Table28[[#This Row],[ROUTE COST]]/Table28[[#This Row],[O - DEMAND]],0)</f>
        <v>0</v>
      </c>
      <c r="M438" s="16">
        <f>Table28[[#This Row],[O - DEMAND]]/950</f>
        <v>0</v>
      </c>
      <c r="N438" s="16">
        <f>IFERROR(VLOOKUP(Table28[[#This Row],[ROUTE]],DEMAND!A:F,5,FALSE),0)</f>
        <v>2345</v>
      </c>
      <c r="O438" s="16">
        <f>IFERROR(VLOOKUP(Table28[[#This Row],[ROUTE]],DEMAND!A:F,6,FALSE),0)</f>
        <v>445</v>
      </c>
      <c r="P438" s="16">
        <f>ROUNDDOWN(Table28[[#This Row],[R-DEMAND]]/950,0)</f>
        <v>0</v>
      </c>
      <c r="Q438" s="16">
        <f>Table28[[#This Row],[ADD ACC
(475/950)]]*Table28[[#This Row],[Duration
(A359)]]</f>
        <v>0</v>
      </c>
      <c r="R438" s="16">
        <f>IFERROR(VLOOKUP(Table28[[#This Row],[ROUTE]],PRICING!A:B,2,FALSE),0)</f>
        <v>0</v>
      </c>
      <c r="S438" s="16">
        <f>Table28[[#This Row],[C_DEMAND]]-Table28[[#This Row],[R-DEMAND]]</f>
        <v>1900</v>
      </c>
      <c r="T438" s="316">
        <f>Table28[[#This Row],[SEATS SOLD]]*Table28[[#This Row],[ECO SEAT]]</f>
        <v>0</v>
      </c>
      <c r="U438" s="316">
        <f>Table28[[#This Row],[SEATS SOLD]]*(IFERROR(VLOOKUP(Table28[[#This Row],[ROUTE]],PRICING!A:C,3,FALSE),0))</f>
        <v>0</v>
      </c>
      <c r="V438" s="316">
        <f>Table28[[#This Row],[SEAT REV]]-Table28[[#This Row],[SEAT REV
(IF IDEAL $)]]</f>
        <v>0</v>
      </c>
      <c r="AA438" s="26"/>
      <c r="AB438" s="26"/>
      <c r="AC438" s="26"/>
      <c r="AD438" s="26"/>
      <c r="AE438" s="26"/>
      <c r="AS438" s="16" t="s">
        <v>2612</v>
      </c>
      <c r="AT438" s="16" t="s">
        <v>11891</v>
      </c>
      <c r="AU438" s="16" t="s">
        <v>2614</v>
      </c>
      <c r="AV438" s="16" t="s">
        <v>18884</v>
      </c>
      <c r="AW438" s="16" t="s">
        <v>18879</v>
      </c>
      <c r="AX438" s="16" t="s">
        <v>18894</v>
      </c>
      <c r="AY438" s="385">
        <v>12665</v>
      </c>
    </row>
    <row r="439" spans="1:51" x14ac:dyDescent="0.25">
      <c r="A439" s="16" t="s">
        <v>19554</v>
      </c>
      <c r="B439" s="16" t="s">
        <v>1376</v>
      </c>
      <c r="D439" s="16">
        <v>1</v>
      </c>
      <c r="E439" s="16" t="s">
        <v>11732</v>
      </c>
      <c r="F439" s="16" t="str">
        <f>VLOOKUP(Table28[[#This Row],[Country]],Table10[[COUNTRY NAME]:[CONTINENT CODE]],3,FALSE)</f>
        <v>NA - US</v>
      </c>
      <c r="G439" s="16" t="s">
        <v>16963</v>
      </c>
      <c r="H439" s="181">
        <v>13423</v>
      </c>
      <c r="I439" s="180">
        <v>31.5</v>
      </c>
      <c r="K439" s="316">
        <f>IFERROR(Table28[[#This Row],[ROUTE COST]]/Table28[[#This Row],[O - DEMAND]],0)</f>
        <v>0</v>
      </c>
      <c r="M439" s="180">
        <f>Table28[[#This Row],[O - DEMAND]]/950</f>
        <v>0</v>
      </c>
      <c r="N439" s="16">
        <f>IFERROR(VLOOKUP(Table28[[#This Row],[ROUTE]],DEMAND!A:F,5,FALSE),0)</f>
        <v>0</v>
      </c>
      <c r="O439" s="16">
        <f>IFERROR(VLOOKUP(Table28[[#This Row],[ROUTE]],DEMAND!A:F,6,FALSE),0)</f>
        <v>0</v>
      </c>
      <c r="P439" s="16">
        <f>ROUNDDOWN(Table28[[#This Row],[R-DEMAND]]/950,0)</f>
        <v>0</v>
      </c>
      <c r="Q439" s="16">
        <f>Table28[[#This Row],[ADD ACC
(475/950)]]*Table28[[#This Row],[Duration
(A359)]]</f>
        <v>0</v>
      </c>
      <c r="R439" s="16">
        <f>IFERROR(VLOOKUP(Table28[[#This Row],[ROUTE]],PRICING!A:B,2,FALSE),0)</f>
        <v>0</v>
      </c>
      <c r="S439" s="16">
        <f>Table28[[#This Row],[C_DEMAND]]-Table28[[#This Row],[R-DEMAND]]</f>
        <v>0</v>
      </c>
      <c r="T439" s="316">
        <f>Table28[[#This Row],[SEATS SOLD]]*Table28[[#This Row],[ECO SEAT]]</f>
        <v>0</v>
      </c>
      <c r="U439" s="316">
        <f>Table28[[#This Row],[SEATS SOLD]]*(IFERROR(VLOOKUP(Table28[[#This Row],[ROUTE]],PRICING!A:C,3,FALSE),0))</f>
        <v>0</v>
      </c>
      <c r="V439" s="316">
        <f>Table28[[#This Row],[SEAT REV]]-Table28[[#This Row],[SEAT REV
(IF IDEAL $)]]</f>
        <v>0</v>
      </c>
      <c r="AA439" s="26"/>
      <c r="AB439" s="26"/>
      <c r="AC439" s="26"/>
      <c r="AD439" s="26"/>
      <c r="AE439" s="26"/>
      <c r="AS439" s="16" t="s">
        <v>78</v>
      </c>
      <c r="AT439" s="16" t="s">
        <v>11916</v>
      </c>
      <c r="AU439" s="16" t="s">
        <v>4580</v>
      </c>
      <c r="AV439" s="16" t="s">
        <v>18892</v>
      </c>
      <c r="AW439" s="16" t="s">
        <v>18879</v>
      </c>
      <c r="AX439" s="16" t="s">
        <v>18894</v>
      </c>
      <c r="AY439" s="385">
        <v>12673</v>
      </c>
    </row>
    <row r="440" spans="1:51" x14ac:dyDescent="0.25">
      <c r="A440" s="16" t="s">
        <v>19396</v>
      </c>
      <c r="B440" s="16" t="s">
        <v>5739</v>
      </c>
      <c r="C440" s="16" t="s">
        <v>467</v>
      </c>
      <c r="D440" s="16">
        <v>5</v>
      </c>
      <c r="E440" s="16" t="s">
        <v>11732</v>
      </c>
      <c r="F440" s="16" t="str">
        <f>VLOOKUP(Table28[[#This Row],[Country]],Table10[[COUNTRY NAME]:[CONTINENT CODE]],3,FALSE)</f>
        <v>NA - US</v>
      </c>
      <c r="G440" s="16" t="s">
        <v>13274</v>
      </c>
      <c r="H440" s="181">
        <v>12437</v>
      </c>
      <c r="I440" s="180">
        <v>29.5</v>
      </c>
      <c r="K440" s="316">
        <f>IFERROR(Table28[[#This Row],[ROUTE COST]]/Table28[[#This Row],[O - DEMAND]],0)</f>
        <v>0</v>
      </c>
      <c r="M440" s="180">
        <f>Table28[[#This Row],[O - DEMAND]]/950</f>
        <v>0</v>
      </c>
      <c r="N440" s="16">
        <f>IFERROR(VLOOKUP(Table28[[#This Row],[ROUTE]],DEMAND!A:F,5,FALSE),0)</f>
        <v>2577</v>
      </c>
      <c r="O440" s="16">
        <f>IFERROR(VLOOKUP(Table28[[#This Row],[ROUTE]],DEMAND!A:F,6,FALSE),0)</f>
        <v>677</v>
      </c>
      <c r="P440" s="16">
        <f>ROUNDDOWN(Table28[[#This Row],[R-DEMAND]]/950,0)</f>
        <v>0</v>
      </c>
      <c r="Q440" s="16">
        <f>Table28[[#This Row],[ADD ACC
(475/950)]]*Table28[[#This Row],[Duration
(A359)]]</f>
        <v>0</v>
      </c>
      <c r="R440" s="16">
        <f>IFERROR(VLOOKUP(Table28[[#This Row],[ROUTE]],PRICING!A:B,2,FALSE),0)</f>
        <v>0</v>
      </c>
      <c r="S440" s="16">
        <f>Table28[[#This Row],[C_DEMAND]]-Table28[[#This Row],[R-DEMAND]]</f>
        <v>1900</v>
      </c>
      <c r="T440" s="316">
        <f>Table28[[#This Row],[SEATS SOLD]]*Table28[[#This Row],[ECO SEAT]]</f>
        <v>0</v>
      </c>
      <c r="U440" s="316">
        <f>Table28[[#This Row],[SEATS SOLD]]*(IFERROR(VLOOKUP(Table28[[#This Row],[ROUTE]],PRICING!A:C,3,FALSE),0))</f>
        <v>0</v>
      </c>
      <c r="V440" s="316">
        <f>Table28[[#This Row],[SEAT REV]]-Table28[[#This Row],[SEAT REV
(IF IDEAL $)]]</f>
        <v>0</v>
      </c>
      <c r="AA440" s="26"/>
      <c r="AB440" s="26"/>
      <c r="AC440" s="26"/>
      <c r="AD440" s="26"/>
      <c r="AE440" s="26"/>
      <c r="AS440" s="16" t="s">
        <v>11732</v>
      </c>
      <c r="AT440" s="16" t="s">
        <v>16959</v>
      </c>
      <c r="AU440" s="16" t="s">
        <v>4192</v>
      </c>
      <c r="AV440" s="16" t="s">
        <v>18878</v>
      </c>
      <c r="AX440" s="16" t="s">
        <v>18894</v>
      </c>
      <c r="AY440" s="385">
        <v>12674</v>
      </c>
    </row>
    <row r="441" spans="1:51" x14ac:dyDescent="0.25">
      <c r="A441" s="16" t="s">
        <v>19596</v>
      </c>
      <c r="B441" s="16" t="s">
        <v>3010</v>
      </c>
      <c r="D441" s="16">
        <v>2</v>
      </c>
      <c r="E441" s="16" t="s">
        <v>11732</v>
      </c>
      <c r="F441" s="16" t="str">
        <f>VLOOKUP(Table28[[#This Row],[Country]],Table10[[COUNTRY NAME]:[CONTINENT CODE]],3,FALSE)</f>
        <v>NA - US</v>
      </c>
      <c r="G441" s="16" t="s">
        <v>16984</v>
      </c>
      <c r="H441" s="181">
        <v>13760</v>
      </c>
      <c r="I441" s="180">
        <v>32.25</v>
      </c>
      <c r="K441" s="316">
        <f>IFERROR(Table28[[#This Row],[ROUTE COST]]/Table28[[#This Row],[O - DEMAND]],0)</f>
        <v>0</v>
      </c>
      <c r="M441" s="180">
        <f>Table28[[#This Row],[O - DEMAND]]/950</f>
        <v>0</v>
      </c>
      <c r="N441" s="16">
        <f>IFERROR(VLOOKUP(Table28[[#This Row],[ROUTE]],DEMAND!A:F,5,FALSE),0)</f>
        <v>0</v>
      </c>
      <c r="O441" s="16">
        <f>IFERROR(VLOOKUP(Table28[[#This Row],[ROUTE]],DEMAND!A:F,6,FALSE),0)</f>
        <v>0</v>
      </c>
      <c r="P441" s="16">
        <f>ROUNDDOWN(Table28[[#This Row],[R-DEMAND]]/950,0)</f>
        <v>0</v>
      </c>
      <c r="Q441" s="16">
        <f>Table28[[#This Row],[ADD ACC
(475/950)]]*Table28[[#This Row],[Duration
(A359)]]</f>
        <v>0</v>
      </c>
      <c r="R441" s="16">
        <f>IFERROR(VLOOKUP(Table28[[#This Row],[ROUTE]],PRICING!A:B,2,FALSE),0)</f>
        <v>0</v>
      </c>
      <c r="S441" s="16">
        <f>Table28[[#This Row],[C_DEMAND]]-Table28[[#This Row],[R-DEMAND]]</f>
        <v>0</v>
      </c>
      <c r="T441" s="316">
        <f>Table28[[#This Row],[SEATS SOLD]]*Table28[[#This Row],[ECO SEAT]]</f>
        <v>0</v>
      </c>
      <c r="U441" s="316">
        <f>Table28[[#This Row],[SEATS SOLD]]*(IFERROR(VLOOKUP(Table28[[#This Row],[ROUTE]],PRICING!A:C,3,FALSE),0))</f>
        <v>0</v>
      </c>
      <c r="V441" s="316">
        <f>Table28[[#This Row],[SEAT REV]]-Table28[[#This Row],[SEAT REV
(IF IDEAL $)]]</f>
        <v>0</v>
      </c>
      <c r="AA441" s="26"/>
      <c r="AB441" s="26"/>
      <c r="AC441" s="26"/>
      <c r="AD441" s="26"/>
      <c r="AE441" s="26"/>
      <c r="AS441" s="16" t="s">
        <v>11732</v>
      </c>
      <c r="AT441" s="16" t="s">
        <v>16956</v>
      </c>
      <c r="AU441" s="16" t="s">
        <v>915</v>
      </c>
      <c r="AV441" s="16" t="s">
        <v>18878</v>
      </c>
      <c r="AW441" s="16" t="s">
        <v>18890</v>
      </c>
      <c r="AX441" s="16" t="s">
        <v>18894</v>
      </c>
      <c r="AY441" s="385">
        <v>12681</v>
      </c>
    </row>
    <row r="442" spans="1:51" x14ac:dyDescent="0.25">
      <c r="A442" s="16" t="s">
        <v>19354</v>
      </c>
      <c r="B442" s="16" t="s">
        <v>5754</v>
      </c>
      <c r="C442" s="16" t="s">
        <v>467</v>
      </c>
      <c r="D442" s="16">
        <v>5</v>
      </c>
      <c r="E442" s="16" t="s">
        <v>11732</v>
      </c>
      <c r="F442" s="16" t="str">
        <f>VLOOKUP(Table28[[#This Row],[Country]],Table10[[COUNTRY NAME]:[CONTINENT CODE]],3,FALSE)</f>
        <v>NA - US</v>
      </c>
      <c r="G442" s="16" t="s">
        <v>13269</v>
      </c>
      <c r="H442" s="181">
        <v>12064</v>
      </c>
      <c r="I442" s="180">
        <v>28.5</v>
      </c>
      <c r="J442" s="316">
        <v>305480388</v>
      </c>
      <c r="K442" s="316">
        <f>IFERROR(Table28[[#This Row],[ROUTE COST]]/Table28[[#This Row],[O - DEMAND]],0)</f>
        <v>122880.28479485116</v>
      </c>
      <c r="L442" s="16">
        <v>2486</v>
      </c>
      <c r="M442" s="180">
        <f>Table28[[#This Row],[O - DEMAND]]/950</f>
        <v>2.6168421052631579</v>
      </c>
      <c r="N442" s="16">
        <f>IFERROR(VLOOKUP(Table28[[#This Row],[ROUTE]],DEMAND!A:F,5,FALSE),0)</f>
        <v>2585</v>
      </c>
      <c r="O442" s="16">
        <f>IFERROR(VLOOKUP(Table28[[#This Row],[ROUTE]],DEMAND!A:F,6,FALSE),0)</f>
        <v>685</v>
      </c>
      <c r="P442" s="16">
        <f>ROUNDDOWN(Table28[[#This Row],[R-DEMAND]]/950,0)</f>
        <v>0</v>
      </c>
      <c r="Q442" s="16">
        <f>Table28[[#This Row],[ADD ACC
(475/950)]]*Table28[[#This Row],[Duration
(A359)]]</f>
        <v>0</v>
      </c>
      <c r="R442" s="16">
        <f>IFERROR(VLOOKUP(Table28[[#This Row],[ROUTE]],PRICING!A:B,2,FALSE),0)</f>
        <v>0</v>
      </c>
      <c r="S442" s="16">
        <f>Table28[[#This Row],[C_DEMAND]]-Table28[[#This Row],[R-DEMAND]]</f>
        <v>1900</v>
      </c>
      <c r="T442" s="316">
        <f>Table28[[#This Row],[SEATS SOLD]]*Table28[[#This Row],[ECO SEAT]]</f>
        <v>0</v>
      </c>
      <c r="U442" s="316">
        <f>Table28[[#This Row],[SEATS SOLD]]*(IFERROR(VLOOKUP(Table28[[#This Row],[ROUTE]],PRICING!A:C,3,FALSE),0))</f>
        <v>0</v>
      </c>
      <c r="V442" s="316">
        <f>Table28[[#This Row],[SEAT REV]]-Table28[[#This Row],[SEAT REV
(IF IDEAL $)]]</f>
        <v>0</v>
      </c>
      <c r="AA442" s="26"/>
      <c r="AB442" s="26"/>
      <c r="AC442" s="26"/>
      <c r="AD442" s="26"/>
      <c r="AE442" s="26"/>
      <c r="AS442" s="16" t="s">
        <v>78</v>
      </c>
      <c r="AT442" s="16" t="s">
        <v>16865</v>
      </c>
      <c r="AU442" s="16" t="s">
        <v>2704</v>
      </c>
      <c r="AV442" s="16" t="s">
        <v>18878</v>
      </c>
      <c r="AW442" s="16" t="s">
        <v>18879</v>
      </c>
      <c r="AX442" s="16" t="s">
        <v>18894</v>
      </c>
      <c r="AY442" s="385">
        <v>12683</v>
      </c>
    </row>
    <row r="443" spans="1:51" x14ac:dyDescent="0.25">
      <c r="A443" s="16" t="s">
        <v>19555</v>
      </c>
      <c r="B443" s="16" t="s">
        <v>4613</v>
      </c>
      <c r="D443" s="16">
        <v>2</v>
      </c>
      <c r="E443" s="16" t="s">
        <v>11732</v>
      </c>
      <c r="F443" s="16" t="str">
        <f>VLOOKUP(Table28[[#This Row],[Country]],Table10[[COUNTRY NAME]:[CONTINENT CODE]],3,FALSE)</f>
        <v>NA - US</v>
      </c>
      <c r="G443" s="16" t="s">
        <v>13301</v>
      </c>
      <c r="H443" s="181">
        <v>13431</v>
      </c>
      <c r="I443" s="180">
        <v>31.5</v>
      </c>
      <c r="K443" s="316">
        <f>IFERROR(Table28[[#This Row],[ROUTE COST]]/Table28[[#This Row],[O - DEMAND]],0)</f>
        <v>0</v>
      </c>
      <c r="M443" s="180">
        <f>Table28[[#This Row],[O - DEMAND]]/950</f>
        <v>0</v>
      </c>
      <c r="N443" s="16">
        <f>IFERROR(VLOOKUP(Table28[[#This Row],[ROUTE]],DEMAND!A:F,5,FALSE),0)</f>
        <v>0</v>
      </c>
      <c r="O443" s="16">
        <f>IFERROR(VLOOKUP(Table28[[#This Row],[ROUTE]],DEMAND!A:F,6,FALSE),0)</f>
        <v>0</v>
      </c>
      <c r="P443" s="16">
        <f>ROUNDDOWN(Table28[[#This Row],[R-DEMAND]]/950,0)</f>
        <v>0</v>
      </c>
      <c r="Q443" s="16">
        <f>Table28[[#This Row],[ADD ACC
(475/950)]]*Table28[[#This Row],[Duration
(A359)]]</f>
        <v>0</v>
      </c>
      <c r="R443" s="16">
        <f>IFERROR(VLOOKUP(Table28[[#This Row],[ROUTE]],PRICING!A:B,2,FALSE),0)</f>
        <v>0</v>
      </c>
      <c r="S443" s="16">
        <f>Table28[[#This Row],[C_DEMAND]]-Table28[[#This Row],[R-DEMAND]]</f>
        <v>0</v>
      </c>
      <c r="T443" s="316">
        <f>Table28[[#This Row],[SEATS SOLD]]*Table28[[#This Row],[ECO SEAT]]</f>
        <v>0</v>
      </c>
      <c r="U443" s="316">
        <f>Table28[[#This Row],[SEATS SOLD]]*(IFERROR(VLOOKUP(Table28[[#This Row],[ROUTE]],PRICING!A:C,3,FALSE),0))</f>
        <v>0</v>
      </c>
      <c r="V443" s="316">
        <f>Table28[[#This Row],[SEAT REV]]-Table28[[#This Row],[SEAT REV
(IF IDEAL $)]]</f>
        <v>0</v>
      </c>
      <c r="AA443" s="26"/>
      <c r="AB443" s="26"/>
      <c r="AC443" s="26"/>
      <c r="AD443" s="26"/>
      <c r="AE443" s="26"/>
      <c r="AS443" s="16" t="s">
        <v>1352</v>
      </c>
      <c r="AT443" s="16" t="s">
        <v>11897</v>
      </c>
      <c r="AU443" s="16" t="s">
        <v>2962</v>
      </c>
      <c r="AV443" s="16" t="s">
        <v>18884</v>
      </c>
      <c r="AW443" s="16" t="s">
        <v>18879</v>
      </c>
      <c r="AX443" s="16" t="s">
        <v>18894</v>
      </c>
      <c r="AY443" s="385">
        <v>12691</v>
      </c>
    </row>
    <row r="444" spans="1:51" x14ac:dyDescent="0.25">
      <c r="A444" s="16" t="s">
        <v>19704</v>
      </c>
      <c r="B444" s="16" t="s">
        <v>4349</v>
      </c>
      <c r="C444" s="16" t="s">
        <v>467</v>
      </c>
      <c r="D444" s="16">
        <v>2</v>
      </c>
      <c r="E444" s="16" t="s">
        <v>4347</v>
      </c>
      <c r="F444" s="16" t="str">
        <f>VLOOKUP(Table28[[#This Row],[Country]],Table10[[COUNTRY NAME]:[CONTINENT CODE]],3,FALSE)</f>
        <v>AF</v>
      </c>
      <c r="G444" s="16" t="s">
        <v>11784</v>
      </c>
      <c r="H444" s="181">
        <v>14570</v>
      </c>
      <c r="I444" s="180">
        <v>34</v>
      </c>
      <c r="K444" s="316">
        <f>IFERROR(Table28[[#This Row],[ROUTE COST]]/Table28[[#This Row],[O - DEMAND]],0)</f>
        <v>0</v>
      </c>
      <c r="M444" s="16">
        <f>Table28[[#This Row],[O - DEMAND]]/950</f>
        <v>0</v>
      </c>
      <c r="N444" s="16">
        <f>IFERROR(VLOOKUP(Table28[[#This Row],[ROUTE]],DEMAND!A:F,5,FALSE),0)</f>
        <v>2229</v>
      </c>
      <c r="O444" s="16">
        <f>IFERROR(VLOOKUP(Table28[[#This Row],[ROUTE]],DEMAND!A:F,6,FALSE),0)</f>
        <v>329</v>
      </c>
      <c r="P444" s="16">
        <f>ROUNDDOWN(Table28[[#This Row],[R-DEMAND]]/950,0)</f>
        <v>0</v>
      </c>
      <c r="Q444" s="16">
        <f>Table28[[#This Row],[ADD ACC
(475/950)]]*Table28[[#This Row],[Duration
(A359)]]</f>
        <v>0</v>
      </c>
      <c r="R444" s="16">
        <f>IFERROR(VLOOKUP(Table28[[#This Row],[ROUTE]],PRICING!A:B,2,FALSE),0)</f>
        <v>0</v>
      </c>
      <c r="S444" s="16">
        <f>Table28[[#This Row],[C_DEMAND]]-Table28[[#This Row],[R-DEMAND]]</f>
        <v>1900</v>
      </c>
      <c r="T444" s="316">
        <f>Table28[[#This Row],[SEATS SOLD]]*Table28[[#This Row],[ECO SEAT]]</f>
        <v>0</v>
      </c>
      <c r="U444" s="316">
        <f>Table28[[#This Row],[SEATS SOLD]]*(IFERROR(VLOOKUP(Table28[[#This Row],[ROUTE]],PRICING!A:C,3,FALSE),0))</f>
        <v>0</v>
      </c>
      <c r="V444" s="316">
        <f>Table28[[#This Row],[SEAT REV]]-Table28[[#This Row],[SEAT REV
(IF IDEAL $)]]</f>
        <v>0</v>
      </c>
      <c r="AA444" s="26"/>
      <c r="AB444" s="26"/>
      <c r="AC444" s="26"/>
      <c r="AD444" s="26"/>
      <c r="AE444" s="26"/>
      <c r="AS444" s="16" t="s">
        <v>172</v>
      </c>
      <c r="AT444" s="16" t="s">
        <v>11943</v>
      </c>
      <c r="AU444" s="16" t="s">
        <v>2653</v>
      </c>
      <c r="AV444" s="16" t="s">
        <v>18881</v>
      </c>
      <c r="AW444" s="16" t="s">
        <v>18879</v>
      </c>
      <c r="AX444" s="16" t="s">
        <v>18894</v>
      </c>
      <c r="AY444" s="385">
        <v>12698</v>
      </c>
    </row>
    <row r="445" spans="1:51" x14ac:dyDescent="0.25">
      <c r="A445" s="16" t="s">
        <v>19682</v>
      </c>
      <c r="B445" s="16" t="s">
        <v>5365</v>
      </c>
      <c r="D445" s="16">
        <v>3</v>
      </c>
      <c r="E445" s="16" t="s">
        <v>4909</v>
      </c>
      <c r="F445" s="16" t="str">
        <f>VLOOKUP(Table28[[#This Row],[Country]],Table10[[COUNTRY NAME]:[CONTINENT CODE]],3,FALSE)</f>
        <v>EU</v>
      </c>
      <c r="G445" s="16" t="s">
        <v>8912</v>
      </c>
      <c r="H445" s="181">
        <v>14387</v>
      </c>
      <c r="I445" s="180">
        <v>33.75</v>
      </c>
      <c r="K445" s="316">
        <f>IFERROR(Table28[[#This Row],[ROUTE COST]]/Table28[[#This Row],[O - DEMAND]],0)</f>
        <v>0</v>
      </c>
      <c r="M445" s="16">
        <f>Table28[[#This Row],[O - DEMAND]]/950</f>
        <v>0</v>
      </c>
      <c r="N445" s="16">
        <f>IFERROR(VLOOKUP(Table28[[#This Row],[ROUTE]],DEMAND!A:F,5,FALSE),0)</f>
        <v>0</v>
      </c>
      <c r="O445" s="16">
        <f>IFERROR(VLOOKUP(Table28[[#This Row],[ROUTE]],DEMAND!A:F,6,FALSE),0)</f>
        <v>0</v>
      </c>
      <c r="P445" s="16">
        <f>ROUNDDOWN(Table28[[#This Row],[R-DEMAND]]/950,0)</f>
        <v>0</v>
      </c>
      <c r="Q445" s="16">
        <f>Table28[[#This Row],[ADD ACC
(475/950)]]*Table28[[#This Row],[Duration
(A359)]]</f>
        <v>0</v>
      </c>
      <c r="R445" s="16">
        <f>IFERROR(VLOOKUP(Table28[[#This Row],[ROUTE]],PRICING!A:B,2,FALSE),0)</f>
        <v>0</v>
      </c>
      <c r="S445" s="16">
        <f>Table28[[#This Row],[C_DEMAND]]-Table28[[#This Row],[R-DEMAND]]</f>
        <v>0</v>
      </c>
      <c r="T445" s="316">
        <f>Table28[[#This Row],[SEATS SOLD]]*Table28[[#This Row],[ECO SEAT]]</f>
        <v>0</v>
      </c>
      <c r="U445" s="316">
        <f>Table28[[#This Row],[SEATS SOLD]]*(IFERROR(VLOOKUP(Table28[[#This Row],[ROUTE]],PRICING!A:C,3,FALSE),0))</f>
        <v>0</v>
      </c>
      <c r="V445" s="316">
        <f>Table28[[#This Row],[SEAT REV]]-Table28[[#This Row],[SEAT REV
(IF IDEAL $)]]</f>
        <v>0</v>
      </c>
      <c r="AA445" s="26"/>
      <c r="AB445" s="26"/>
      <c r="AC445" s="26"/>
      <c r="AD445" s="26"/>
      <c r="AE445" s="26"/>
      <c r="AS445" s="16" t="s">
        <v>644</v>
      </c>
      <c r="AT445" s="16" t="s">
        <v>11839</v>
      </c>
      <c r="AU445" s="16" t="s">
        <v>1965</v>
      </c>
      <c r="AV445" s="16" t="s">
        <v>18884</v>
      </c>
      <c r="AW445" s="16" t="s">
        <v>18890</v>
      </c>
      <c r="AX445" s="16" t="s">
        <v>18894</v>
      </c>
      <c r="AY445" s="385">
        <v>12707</v>
      </c>
    </row>
    <row r="446" spans="1:51" x14ac:dyDescent="0.25">
      <c r="A446" s="16" t="s">
        <v>19618</v>
      </c>
      <c r="B446" s="16" t="s">
        <v>3461</v>
      </c>
      <c r="D446" s="16">
        <v>2</v>
      </c>
      <c r="E446" s="16" t="s">
        <v>3350</v>
      </c>
      <c r="F446" s="16" t="str">
        <f>VLOOKUP(Table28[[#This Row],[Country]],Table10[[COUNTRY NAME]:[CONTINENT CODE]],3,FALSE)</f>
        <v>NA</v>
      </c>
      <c r="G446" s="16" t="s">
        <v>13211</v>
      </c>
      <c r="H446" s="181">
        <v>13908</v>
      </c>
      <c r="I446" s="180">
        <v>32.75</v>
      </c>
      <c r="K446" s="316">
        <f>IFERROR(Table28[[#This Row],[ROUTE COST]]/Table28[[#This Row],[O - DEMAND]],0)</f>
        <v>0</v>
      </c>
      <c r="M446" s="16">
        <f>Table28[[#This Row],[O - DEMAND]]/950</f>
        <v>0</v>
      </c>
      <c r="N446" s="16">
        <f>IFERROR(VLOOKUP(Table28[[#This Row],[ROUTE]],DEMAND!A:F,5,FALSE),0)</f>
        <v>0</v>
      </c>
      <c r="O446" s="16">
        <f>IFERROR(VLOOKUP(Table28[[#This Row],[ROUTE]],DEMAND!A:F,6,FALSE),0)</f>
        <v>0</v>
      </c>
      <c r="P446" s="16">
        <f>ROUNDDOWN(Table28[[#This Row],[R-DEMAND]]/950,0)</f>
        <v>0</v>
      </c>
      <c r="Q446" s="16">
        <f>Table28[[#This Row],[ADD ACC
(475/950)]]*Table28[[#This Row],[Duration
(A359)]]</f>
        <v>0</v>
      </c>
      <c r="R446" s="16">
        <f>IFERROR(VLOOKUP(Table28[[#This Row],[ROUTE]],PRICING!A:B,2,FALSE),0)</f>
        <v>0</v>
      </c>
      <c r="S446" s="16">
        <f>Table28[[#This Row],[C_DEMAND]]-Table28[[#This Row],[R-DEMAND]]</f>
        <v>0</v>
      </c>
      <c r="T446" s="316">
        <f>Table28[[#This Row],[SEATS SOLD]]*Table28[[#This Row],[ECO SEAT]]</f>
        <v>0</v>
      </c>
      <c r="U446" s="316">
        <f>Table28[[#This Row],[SEATS SOLD]]*(IFERROR(VLOOKUP(Table28[[#This Row],[ROUTE]],PRICING!A:C,3,FALSE),0))</f>
        <v>0</v>
      </c>
      <c r="V446" s="316">
        <f>Table28[[#This Row],[SEAT REV]]-Table28[[#This Row],[SEAT REV
(IF IDEAL $)]]</f>
        <v>0</v>
      </c>
      <c r="AA446" s="26"/>
      <c r="AB446" s="26"/>
      <c r="AC446" s="26"/>
      <c r="AD446" s="26"/>
      <c r="AE446" s="26"/>
      <c r="AS446" s="16" t="s">
        <v>11732</v>
      </c>
      <c r="AT446" s="16" t="s">
        <v>13264</v>
      </c>
      <c r="AU446" s="16" t="s">
        <v>5132</v>
      </c>
      <c r="AV446" s="16" t="s">
        <v>18881</v>
      </c>
      <c r="AW446" s="16" t="s">
        <v>18885</v>
      </c>
      <c r="AX446" s="16" t="s">
        <v>18894</v>
      </c>
      <c r="AY446" s="385">
        <v>12717</v>
      </c>
    </row>
    <row r="447" spans="1:51" x14ac:dyDescent="0.25">
      <c r="A447" s="16" t="s">
        <v>19015</v>
      </c>
      <c r="B447" s="16" t="s">
        <v>2231</v>
      </c>
      <c r="D447" s="16">
        <v>1</v>
      </c>
      <c r="E447" s="16" t="s">
        <v>774</v>
      </c>
      <c r="F447" s="16" t="str">
        <f>VLOOKUP(Table28[[#This Row],[Country]],Table10[[COUNTRY NAME]:[CONTINENT CODE]],3,FALSE)</f>
        <v>OC</v>
      </c>
      <c r="G447" s="16" t="s">
        <v>8897</v>
      </c>
      <c r="H447" s="181">
        <v>3840</v>
      </c>
      <c r="I447" s="180">
        <v>10.5</v>
      </c>
      <c r="K447" s="316">
        <f>IFERROR(Table28[[#This Row],[ROUTE COST]]/Table28[[#This Row],[O - DEMAND]],0)</f>
        <v>0</v>
      </c>
      <c r="M447" s="16">
        <f>Table28[[#This Row],[O - DEMAND]]/950</f>
        <v>0</v>
      </c>
      <c r="N447" s="16">
        <f>IFERROR(VLOOKUP(Table28[[#This Row],[ROUTE]],DEMAND!A:F,5,FALSE),0)</f>
        <v>0</v>
      </c>
      <c r="O447" s="16">
        <f>IFERROR(VLOOKUP(Table28[[#This Row],[ROUTE]],DEMAND!A:F,6,FALSE),0)</f>
        <v>0</v>
      </c>
      <c r="P447" s="16">
        <f>ROUNDDOWN(Table28[[#This Row],[R-DEMAND]]/950,0)</f>
        <v>0</v>
      </c>
      <c r="Q447" s="16">
        <f>Table28[[#This Row],[ADD ACC
(475/950)]]*Table28[[#This Row],[Duration
(A359)]]</f>
        <v>0</v>
      </c>
      <c r="R447" s="16">
        <f>IFERROR(VLOOKUP(Table28[[#This Row],[ROUTE]],PRICING!A:B,2,FALSE),0)</f>
        <v>0</v>
      </c>
      <c r="S447" s="16">
        <f>Table28[[#This Row],[C_DEMAND]]-Table28[[#This Row],[R-DEMAND]]</f>
        <v>0</v>
      </c>
      <c r="T447" s="316">
        <f>Table28[[#This Row],[SEATS SOLD]]*Table28[[#This Row],[ECO SEAT]]</f>
        <v>0</v>
      </c>
      <c r="U447" s="316">
        <f>Table28[[#This Row],[SEATS SOLD]]*(IFERROR(VLOOKUP(Table28[[#This Row],[ROUTE]],PRICING!A:C,3,FALSE),0))</f>
        <v>0</v>
      </c>
      <c r="V447" s="316">
        <f>Table28[[#This Row],[SEAT REV]]-Table28[[#This Row],[SEAT REV
(IF IDEAL $)]]</f>
        <v>0</v>
      </c>
      <c r="AA447" s="26"/>
      <c r="AB447" s="26"/>
      <c r="AC447" s="26"/>
      <c r="AD447" s="26"/>
      <c r="AE447" s="26"/>
      <c r="AS447" s="16" t="s">
        <v>502</v>
      </c>
      <c r="AT447" s="16" t="s">
        <v>11947</v>
      </c>
      <c r="AU447" s="16" t="s">
        <v>4935</v>
      </c>
      <c r="AV447" s="16" t="s">
        <v>18884</v>
      </c>
      <c r="AW447" s="16" t="s">
        <v>18885</v>
      </c>
      <c r="AX447" s="16" t="s">
        <v>18894</v>
      </c>
      <c r="AY447" s="385">
        <v>12737</v>
      </c>
    </row>
    <row r="448" spans="1:51" x14ac:dyDescent="0.25">
      <c r="A448" s="16" t="s">
        <v>19761</v>
      </c>
      <c r="B448" s="16" t="s">
        <v>204</v>
      </c>
      <c r="C448" s="16" t="s">
        <v>467</v>
      </c>
      <c r="D448" s="16">
        <v>3</v>
      </c>
      <c r="E448" s="16" t="s">
        <v>78</v>
      </c>
      <c r="F448" s="16" t="str">
        <f>VLOOKUP(Table28[[#This Row],[Country]],Table10[[COUNTRY NAME]:[CONTINENT CODE]],3,FALSE)</f>
        <v>EU</v>
      </c>
      <c r="G448" s="16" t="s">
        <v>11832</v>
      </c>
      <c r="H448" s="181">
        <v>14925</v>
      </c>
      <c r="I448" s="180">
        <v>35</v>
      </c>
      <c r="K448" s="316">
        <f>IFERROR(Table28[[#This Row],[ROUTE COST]]/Table28[[#This Row],[O - DEMAND]],0)</f>
        <v>0</v>
      </c>
      <c r="M448" s="16">
        <f>Table28[[#This Row],[O - DEMAND]]/950</f>
        <v>0</v>
      </c>
      <c r="N448" s="16">
        <f>IFERROR(VLOOKUP(Table28[[#This Row],[ROUTE]],DEMAND!A:F,5,FALSE),0)</f>
        <v>2366</v>
      </c>
      <c r="O448" s="16">
        <f>IFERROR(VLOOKUP(Table28[[#This Row],[ROUTE]],DEMAND!A:F,6,FALSE),0)</f>
        <v>466</v>
      </c>
      <c r="P448" s="16">
        <f>ROUNDDOWN(Table28[[#This Row],[R-DEMAND]]/950,0)</f>
        <v>0</v>
      </c>
      <c r="Q448" s="16">
        <f>Table28[[#This Row],[ADD ACC
(475/950)]]*Table28[[#This Row],[Duration
(A359)]]</f>
        <v>0</v>
      </c>
      <c r="R448" s="16">
        <f>IFERROR(VLOOKUP(Table28[[#This Row],[ROUTE]],PRICING!A:B,2,FALSE),0)</f>
        <v>0</v>
      </c>
      <c r="S448" s="16">
        <f>Table28[[#This Row],[C_DEMAND]]-Table28[[#This Row],[R-DEMAND]]</f>
        <v>1900</v>
      </c>
      <c r="T448" s="316">
        <f>Table28[[#This Row],[SEATS SOLD]]*Table28[[#This Row],[ECO SEAT]]</f>
        <v>0</v>
      </c>
      <c r="U448" s="316">
        <f>Table28[[#This Row],[SEATS SOLD]]*(IFERROR(VLOOKUP(Table28[[#This Row],[ROUTE]],PRICING!A:C,3,FALSE),0))</f>
        <v>0</v>
      </c>
      <c r="V448" s="316">
        <f>Table28[[#This Row],[SEAT REV]]-Table28[[#This Row],[SEAT REV
(IF IDEAL $)]]</f>
        <v>0</v>
      </c>
      <c r="AA448" s="26"/>
      <c r="AB448" s="26"/>
      <c r="AC448" s="26"/>
      <c r="AD448" s="26"/>
      <c r="AE448" s="26"/>
      <c r="AS448" s="16" t="s">
        <v>1749</v>
      </c>
      <c r="AT448" s="16" t="s">
        <v>13215</v>
      </c>
      <c r="AU448" s="16" t="s">
        <v>3483</v>
      </c>
      <c r="AV448" s="16" t="s">
        <v>18892</v>
      </c>
      <c r="AW448" s="16" t="s">
        <v>18879</v>
      </c>
      <c r="AX448" s="16" t="s">
        <v>18894</v>
      </c>
      <c r="AY448" s="385">
        <v>12738</v>
      </c>
    </row>
    <row r="449" spans="1:51" x14ac:dyDescent="0.25">
      <c r="A449" s="16" t="s">
        <v>19358</v>
      </c>
      <c r="B449" s="16" t="s">
        <v>5135</v>
      </c>
      <c r="D449" s="16">
        <v>3</v>
      </c>
      <c r="E449" s="16" t="s">
        <v>11732</v>
      </c>
      <c r="F449" s="16" t="str">
        <f>VLOOKUP(Table28[[#This Row],[Country]],Table10[[COUNTRY NAME]:[CONTINENT CODE]],3,FALSE)</f>
        <v>NA - US</v>
      </c>
      <c r="G449" s="16" t="s">
        <v>13271</v>
      </c>
      <c r="H449" s="181">
        <v>12078</v>
      </c>
      <c r="I449" s="180">
        <v>28.75</v>
      </c>
      <c r="K449" s="316">
        <f>IFERROR(Table28[[#This Row],[ROUTE COST]]/Table28[[#This Row],[O - DEMAND]],0)</f>
        <v>0</v>
      </c>
      <c r="M449" s="180">
        <f>Table28[[#This Row],[O - DEMAND]]/950</f>
        <v>0</v>
      </c>
      <c r="N449" s="16">
        <f>IFERROR(VLOOKUP(Table28[[#This Row],[ROUTE]],DEMAND!A:F,5,FALSE),0)</f>
        <v>0</v>
      </c>
      <c r="O449" s="16">
        <f>IFERROR(VLOOKUP(Table28[[#This Row],[ROUTE]],DEMAND!A:F,6,FALSE),0)</f>
        <v>0</v>
      </c>
      <c r="P449" s="16">
        <f>ROUNDDOWN(Table28[[#This Row],[R-DEMAND]]/950,0)</f>
        <v>0</v>
      </c>
      <c r="Q449" s="16">
        <f>Table28[[#This Row],[ADD ACC
(475/950)]]*Table28[[#This Row],[Duration
(A359)]]</f>
        <v>0</v>
      </c>
      <c r="R449" s="16">
        <f>IFERROR(VLOOKUP(Table28[[#This Row],[ROUTE]],PRICING!A:B,2,FALSE),0)</f>
        <v>0</v>
      </c>
      <c r="S449" s="16">
        <f>Table28[[#This Row],[C_DEMAND]]-Table28[[#This Row],[R-DEMAND]]</f>
        <v>0</v>
      </c>
      <c r="T449" s="316">
        <f>Table28[[#This Row],[SEATS SOLD]]*Table28[[#This Row],[ECO SEAT]]</f>
        <v>0</v>
      </c>
      <c r="U449" s="316">
        <f>Table28[[#This Row],[SEATS SOLD]]*(IFERROR(VLOOKUP(Table28[[#This Row],[ROUTE]],PRICING!A:C,3,FALSE),0))</f>
        <v>0</v>
      </c>
      <c r="V449" s="316">
        <f>Table28[[#This Row],[SEAT REV]]-Table28[[#This Row],[SEAT REV
(IF IDEAL $)]]</f>
        <v>0</v>
      </c>
      <c r="AA449" s="26"/>
      <c r="AB449" s="26"/>
      <c r="AC449" s="26"/>
      <c r="AD449" s="26"/>
      <c r="AE449" s="26"/>
      <c r="AS449" s="16" t="s">
        <v>172</v>
      </c>
      <c r="AT449" s="16" t="s">
        <v>9697</v>
      </c>
      <c r="AU449" s="16" t="s">
        <v>4414</v>
      </c>
      <c r="AV449" s="16" t="s">
        <v>18881</v>
      </c>
      <c r="AW449" s="16" t="s">
        <v>18879</v>
      </c>
      <c r="AX449" s="16" t="s">
        <v>18894</v>
      </c>
      <c r="AY449" s="385">
        <v>12740</v>
      </c>
    </row>
    <row r="450" spans="1:51" x14ac:dyDescent="0.25">
      <c r="A450" s="16" t="s">
        <v>19064</v>
      </c>
      <c r="B450" s="16" t="s">
        <v>202</v>
      </c>
      <c r="D450" s="16">
        <v>2</v>
      </c>
      <c r="E450" s="16" t="s">
        <v>709</v>
      </c>
      <c r="F450" s="16" t="str">
        <f>VLOOKUP(Table28[[#This Row],[Country]],Table10[[COUNTRY NAME]:[CONTINENT CODE]],3,FALSE)</f>
        <v>AS</v>
      </c>
      <c r="G450" s="16" t="s">
        <v>12107</v>
      </c>
      <c r="H450" s="181">
        <v>7019</v>
      </c>
      <c r="I450" s="180">
        <v>17.5</v>
      </c>
      <c r="K450" s="316">
        <f>IFERROR(Table28[[#This Row],[ROUTE COST]]/Table28[[#This Row],[O - DEMAND]],0)</f>
        <v>0</v>
      </c>
      <c r="M450" s="16">
        <f>Table28[[#This Row],[O - DEMAND]]/950</f>
        <v>0</v>
      </c>
      <c r="N450" s="16">
        <f>IFERROR(VLOOKUP(Table28[[#This Row],[ROUTE]],DEMAND!A:F,5,FALSE),0)</f>
        <v>0</v>
      </c>
      <c r="O450" s="16">
        <f>IFERROR(VLOOKUP(Table28[[#This Row],[ROUTE]],DEMAND!A:F,6,FALSE),0)</f>
        <v>0</v>
      </c>
      <c r="P450" s="16">
        <f>ROUNDDOWN(Table28[[#This Row],[R-DEMAND]]/950,0)</f>
        <v>0</v>
      </c>
      <c r="Q450" s="16">
        <f>Table28[[#This Row],[ADD ACC
(475/950)]]*Table28[[#This Row],[Duration
(A359)]]</f>
        <v>0</v>
      </c>
      <c r="R450" s="16">
        <f>IFERROR(VLOOKUP(Table28[[#This Row],[ROUTE]],PRICING!A:B,2,FALSE),0)</f>
        <v>0</v>
      </c>
      <c r="S450" s="16">
        <f>Table28[[#This Row],[C_DEMAND]]-Table28[[#This Row],[R-DEMAND]]</f>
        <v>0</v>
      </c>
      <c r="T450" s="316">
        <f>Table28[[#This Row],[SEATS SOLD]]*Table28[[#This Row],[ECO SEAT]]</f>
        <v>0</v>
      </c>
      <c r="U450" s="316">
        <f>Table28[[#This Row],[SEATS SOLD]]*(IFERROR(VLOOKUP(Table28[[#This Row],[ROUTE]],PRICING!A:C,3,FALSE),0))</f>
        <v>0</v>
      </c>
      <c r="V450" s="316">
        <f>Table28[[#This Row],[SEAT REV]]-Table28[[#This Row],[SEAT REV
(IF IDEAL $)]]</f>
        <v>0</v>
      </c>
      <c r="AA450" s="26"/>
      <c r="AB450" s="26"/>
      <c r="AC450" s="26"/>
      <c r="AD450" s="26"/>
      <c r="AE450" s="26"/>
      <c r="AS450" s="16" t="s">
        <v>514</v>
      </c>
      <c r="AT450" s="16" t="s">
        <v>11671</v>
      </c>
      <c r="AU450" s="16" t="s">
        <v>3904</v>
      </c>
      <c r="AV450" s="16" t="s">
        <v>18884</v>
      </c>
      <c r="AW450" s="16" t="s">
        <v>18879</v>
      </c>
      <c r="AX450" s="16" t="s">
        <v>18895</v>
      </c>
      <c r="AY450" s="385">
        <v>12760</v>
      </c>
    </row>
    <row r="451" spans="1:51" x14ac:dyDescent="0.25">
      <c r="A451" s="16" t="s">
        <v>19290</v>
      </c>
      <c r="B451" s="16" t="s">
        <v>851</v>
      </c>
      <c r="D451" s="16">
        <v>1</v>
      </c>
      <c r="E451" s="16" t="s">
        <v>11669</v>
      </c>
      <c r="F451" s="16" t="str">
        <f>VLOOKUP(Table28[[#This Row],[Country]],Table10[[COUNTRY NAME]:[CONTINENT CODE]],3,FALSE)</f>
        <v>SA</v>
      </c>
      <c r="G451" s="16" t="s">
        <v>16936</v>
      </c>
      <c r="H451" s="181">
        <v>11211</v>
      </c>
      <c r="I451" s="180">
        <v>26.75</v>
      </c>
      <c r="K451" s="316">
        <f>IFERROR(Table28[[#This Row],[ROUTE COST]]/Table28[[#This Row],[O - DEMAND]],0)</f>
        <v>0</v>
      </c>
      <c r="M451" s="16">
        <f>Table28[[#This Row],[O - DEMAND]]/950</f>
        <v>0</v>
      </c>
      <c r="N451" s="16">
        <f>IFERROR(VLOOKUP(Table28[[#This Row],[ROUTE]],DEMAND!A:F,5,FALSE),0)</f>
        <v>0</v>
      </c>
      <c r="O451" s="16">
        <f>IFERROR(VLOOKUP(Table28[[#This Row],[ROUTE]],DEMAND!A:F,6,FALSE),0)</f>
        <v>0</v>
      </c>
      <c r="P451" s="16">
        <f>ROUNDDOWN(Table28[[#This Row],[R-DEMAND]]/950,0)</f>
        <v>0</v>
      </c>
      <c r="Q451" s="16">
        <f>Table28[[#This Row],[ADD ACC
(475/950)]]*Table28[[#This Row],[Duration
(A359)]]</f>
        <v>0</v>
      </c>
      <c r="R451" s="16">
        <f>IFERROR(VLOOKUP(Table28[[#This Row],[ROUTE]],PRICING!A:B,2,FALSE),0)</f>
        <v>0</v>
      </c>
      <c r="S451" s="16">
        <f>Table28[[#This Row],[C_DEMAND]]-Table28[[#This Row],[R-DEMAND]]</f>
        <v>0</v>
      </c>
      <c r="T451" s="316">
        <f>Table28[[#This Row],[SEATS SOLD]]*Table28[[#This Row],[ECO SEAT]]</f>
        <v>0</v>
      </c>
      <c r="U451" s="316">
        <f>Table28[[#This Row],[SEATS SOLD]]*(IFERROR(VLOOKUP(Table28[[#This Row],[ROUTE]],PRICING!A:C,3,FALSE),0))</f>
        <v>0</v>
      </c>
      <c r="V451" s="316">
        <f>Table28[[#This Row],[SEAT REV]]-Table28[[#This Row],[SEAT REV
(IF IDEAL $)]]</f>
        <v>0</v>
      </c>
      <c r="AA451" s="26"/>
      <c r="AB451" s="26"/>
      <c r="AC451" s="26"/>
      <c r="AD451" s="26"/>
      <c r="AE451" s="26"/>
      <c r="AS451" s="16" t="s">
        <v>1144</v>
      </c>
      <c r="AT451" s="16" t="s">
        <v>13152</v>
      </c>
      <c r="AU451" s="16" t="s">
        <v>3251</v>
      </c>
      <c r="AV451" s="16" t="s">
        <v>18881</v>
      </c>
      <c r="AW451" s="16" t="s">
        <v>18879</v>
      </c>
      <c r="AX451" s="16" t="s">
        <v>18895</v>
      </c>
      <c r="AY451" s="385">
        <v>12772</v>
      </c>
    </row>
    <row r="452" spans="1:51" x14ac:dyDescent="0.25">
      <c r="A452" s="16" t="s">
        <v>19265</v>
      </c>
      <c r="B452" s="16" t="s">
        <v>198</v>
      </c>
      <c r="C452" s="16" t="s">
        <v>467</v>
      </c>
      <c r="D452" s="16">
        <v>3</v>
      </c>
      <c r="E452" s="16" t="s">
        <v>197</v>
      </c>
      <c r="F452" s="16" t="str">
        <f>VLOOKUP(Table28[[#This Row],[Country]],Table10[[COUNTRY NAME]:[CONTINENT CODE]],3,FALSE)</f>
        <v>AS</v>
      </c>
      <c r="G452" s="16" t="s">
        <v>12017</v>
      </c>
      <c r="H452" s="181">
        <v>10842</v>
      </c>
      <c r="I452" s="180">
        <v>26</v>
      </c>
      <c r="K452" s="316">
        <f>IFERROR(Table28[[#This Row],[ROUTE COST]]/Table28[[#This Row],[O - DEMAND]],0)</f>
        <v>0</v>
      </c>
      <c r="M452" s="16">
        <f>Table28[[#This Row],[O - DEMAND]]/950</f>
        <v>0</v>
      </c>
      <c r="N452" s="16">
        <f>IFERROR(VLOOKUP(Table28[[#This Row],[ROUTE]],DEMAND!A:F,5,FALSE),0)</f>
        <v>3970</v>
      </c>
      <c r="O452" s="16">
        <f>IFERROR(VLOOKUP(Table28[[#This Row],[ROUTE]],DEMAND!A:F,6,FALSE),0)</f>
        <v>170</v>
      </c>
      <c r="P452" s="16">
        <f>ROUNDDOWN(Table28[[#This Row],[R-DEMAND]]/950,0)</f>
        <v>0</v>
      </c>
      <c r="Q452" s="16">
        <f>Table28[[#This Row],[ADD ACC
(475/950)]]*Table28[[#This Row],[Duration
(A359)]]</f>
        <v>0</v>
      </c>
      <c r="R452" s="16">
        <f>IFERROR(VLOOKUP(Table28[[#This Row],[ROUTE]],PRICING!A:B,2,FALSE),0)</f>
        <v>0</v>
      </c>
      <c r="S452" s="16">
        <f>Table28[[#This Row],[C_DEMAND]]-Table28[[#This Row],[R-DEMAND]]</f>
        <v>3800</v>
      </c>
      <c r="T452" s="316">
        <f>Table28[[#This Row],[SEATS SOLD]]*Table28[[#This Row],[ECO SEAT]]</f>
        <v>0</v>
      </c>
      <c r="U452" s="316">
        <f>Table28[[#This Row],[SEATS SOLD]]*(IFERROR(VLOOKUP(Table28[[#This Row],[ROUTE]],PRICING!A:C,3,FALSE),0))</f>
        <v>0</v>
      </c>
      <c r="V452" s="316">
        <f>Table28[[#This Row],[SEAT REV]]-Table28[[#This Row],[SEAT REV
(IF IDEAL $)]]</f>
        <v>0</v>
      </c>
      <c r="AA452" s="26"/>
      <c r="AB452" s="26"/>
      <c r="AC452" s="26"/>
      <c r="AD452" s="26"/>
      <c r="AE452" s="26"/>
      <c r="AS452" s="16" t="s">
        <v>2395</v>
      </c>
      <c r="AT452" s="16" t="s">
        <v>13233</v>
      </c>
      <c r="AU452" s="16" t="s">
        <v>443</v>
      </c>
      <c r="AV452" s="16" t="s">
        <v>18884</v>
      </c>
      <c r="AW452" s="16" t="s">
        <v>18879</v>
      </c>
      <c r="AX452" s="16" t="s">
        <v>18895</v>
      </c>
      <c r="AY452" s="385">
        <v>12773</v>
      </c>
    </row>
    <row r="453" spans="1:51" x14ac:dyDescent="0.25">
      <c r="A453" s="16" t="s">
        <v>19204</v>
      </c>
      <c r="B453" s="16" t="s">
        <v>5141</v>
      </c>
      <c r="D453" s="16">
        <v>3</v>
      </c>
      <c r="E453" s="16" t="s">
        <v>14</v>
      </c>
      <c r="F453" s="16" t="str">
        <f>VLOOKUP(Table28[[#This Row],[Country]],Table10[[COUNTRY NAME]:[CONTINENT CODE]],3,FALSE)</f>
        <v>AS</v>
      </c>
      <c r="G453" s="16" t="s">
        <v>12037</v>
      </c>
      <c r="H453" s="181">
        <v>9258</v>
      </c>
      <c r="I453" s="180">
        <v>22.5</v>
      </c>
      <c r="K453" s="316">
        <f>IFERROR(Table28[[#This Row],[ROUTE COST]]/Table28[[#This Row],[O - DEMAND]],0)</f>
        <v>0</v>
      </c>
      <c r="M453" s="16">
        <f>Table28[[#This Row],[O - DEMAND]]/950</f>
        <v>0</v>
      </c>
      <c r="N453" s="16">
        <f>IFERROR(VLOOKUP(Table28[[#This Row],[ROUTE]],DEMAND!A:F,5,FALSE),0)</f>
        <v>0</v>
      </c>
      <c r="O453" s="16">
        <f>IFERROR(VLOOKUP(Table28[[#This Row],[ROUTE]],DEMAND!A:F,6,FALSE),0)</f>
        <v>0</v>
      </c>
      <c r="P453" s="16">
        <f>ROUNDDOWN(Table28[[#This Row],[R-DEMAND]]/950,0)</f>
        <v>0</v>
      </c>
      <c r="Q453" s="16">
        <f>Table28[[#This Row],[ADD ACC
(475/950)]]*Table28[[#This Row],[Duration
(A359)]]</f>
        <v>0</v>
      </c>
      <c r="R453" s="16">
        <f>IFERROR(VLOOKUP(Table28[[#This Row],[ROUTE]],PRICING!A:B,2,FALSE),0)</f>
        <v>0</v>
      </c>
      <c r="S453" s="16">
        <f>Table28[[#This Row],[C_DEMAND]]-Table28[[#This Row],[R-DEMAND]]</f>
        <v>0</v>
      </c>
      <c r="T453" s="316">
        <f>Table28[[#This Row],[SEATS SOLD]]*Table28[[#This Row],[ECO SEAT]]</f>
        <v>0</v>
      </c>
      <c r="U453" s="316">
        <f>Table28[[#This Row],[SEATS SOLD]]*(IFERROR(VLOOKUP(Table28[[#This Row],[ROUTE]],PRICING!A:C,3,FALSE),0))</f>
        <v>0</v>
      </c>
      <c r="V453" s="316">
        <f>Table28[[#This Row],[SEAT REV]]-Table28[[#This Row],[SEAT REV
(IF IDEAL $)]]</f>
        <v>0</v>
      </c>
      <c r="AA453" s="26"/>
      <c r="AB453" s="26"/>
      <c r="AC453" s="26"/>
      <c r="AD453" s="26"/>
      <c r="AE453" s="26"/>
      <c r="AS453" s="16" t="s">
        <v>1749</v>
      </c>
      <c r="AT453" s="16" t="s">
        <v>13227</v>
      </c>
      <c r="AU453" s="16" t="s">
        <v>4469</v>
      </c>
      <c r="AV453" s="16" t="s">
        <v>18884</v>
      </c>
      <c r="AW453" s="16" t="s">
        <v>18879</v>
      </c>
      <c r="AX453" s="16" t="s">
        <v>18895</v>
      </c>
      <c r="AY453" s="385">
        <v>12776</v>
      </c>
    </row>
    <row r="454" spans="1:51" x14ac:dyDescent="0.25">
      <c r="A454" s="16" t="s">
        <v>19449</v>
      </c>
      <c r="B454" s="16" t="s">
        <v>5549</v>
      </c>
      <c r="C454" s="16" t="s">
        <v>467</v>
      </c>
      <c r="D454" s="16">
        <v>4</v>
      </c>
      <c r="E454" s="16" t="s">
        <v>714</v>
      </c>
      <c r="F454" s="16" t="str">
        <f>VLOOKUP(Table28[[#This Row],[Country]],Table10[[COUNTRY NAME]:[CONTINENT CODE]],3,FALSE)</f>
        <v>SA</v>
      </c>
      <c r="G454" s="16" t="s">
        <v>13237</v>
      </c>
      <c r="H454" s="181">
        <v>12797</v>
      </c>
      <c r="I454" s="180">
        <v>30.25</v>
      </c>
      <c r="K454" s="316">
        <f>IFERROR(Table28[[#This Row],[ROUTE COST]]/Table28[[#This Row],[O - DEMAND]],0)</f>
        <v>0</v>
      </c>
      <c r="M454" s="16">
        <f>Table28[[#This Row],[O - DEMAND]]/950</f>
        <v>0</v>
      </c>
      <c r="N454" s="16">
        <f>IFERROR(VLOOKUP(Table28[[#This Row],[ROUTE]],DEMAND!A:F,5,FALSE),0)</f>
        <v>3595</v>
      </c>
      <c r="O454" s="16">
        <f>IFERROR(VLOOKUP(Table28[[#This Row],[ROUTE]],DEMAND!A:F,6,FALSE),0)</f>
        <v>745</v>
      </c>
      <c r="P454" s="16">
        <f>ROUNDDOWN(Table28[[#This Row],[R-DEMAND]]/950,0)</f>
        <v>0</v>
      </c>
      <c r="Q454" s="16">
        <f>Table28[[#This Row],[ADD ACC
(475/950)]]*Table28[[#This Row],[Duration
(A359)]]</f>
        <v>0</v>
      </c>
      <c r="R454" s="16">
        <f>IFERROR(VLOOKUP(Table28[[#This Row],[ROUTE]],PRICING!A:B,2,FALSE),0)</f>
        <v>0</v>
      </c>
      <c r="S454" s="16">
        <f>Table28[[#This Row],[C_DEMAND]]-Table28[[#This Row],[R-DEMAND]]</f>
        <v>2850</v>
      </c>
      <c r="T454" s="316">
        <f>Table28[[#This Row],[SEATS SOLD]]*Table28[[#This Row],[ECO SEAT]]</f>
        <v>0</v>
      </c>
      <c r="U454" s="316">
        <f>Table28[[#This Row],[SEATS SOLD]]*(IFERROR(VLOOKUP(Table28[[#This Row],[ROUTE]],PRICING!A:C,3,FALSE),0))</f>
        <v>0</v>
      </c>
      <c r="V454" s="316">
        <f>Table28[[#This Row],[SEAT REV]]-Table28[[#This Row],[SEAT REV
(IF IDEAL $)]]</f>
        <v>0</v>
      </c>
      <c r="AA454" s="26"/>
      <c r="AB454" s="26"/>
      <c r="AC454" s="26"/>
      <c r="AD454" s="26"/>
      <c r="AE454" s="26"/>
      <c r="AS454" s="16" t="s">
        <v>78</v>
      </c>
      <c r="AT454" s="16" t="s">
        <v>16870</v>
      </c>
      <c r="AU454" s="16" t="s">
        <v>3813</v>
      </c>
      <c r="AV454" s="16" t="s">
        <v>18878</v>
      </c>
      <c r="AW454" s="16" t="s">
        <v>18879</v>
      </c>
      <c r="AX454" s="16" t="s">
        <v>18895</v>
      </c>
      <c r="AY454" s="385">
        <v>12782</v>
      </c>
    </row>
    <row r="455" spans="1:51" x14ac:dyDescent="0.25">
      <c r="A455" s="16" t="s">
        <v>19590</v>
      </c>
      <c r="B455" s="16" t="s">
        <v>3921</v>
      </c>
      <c r="C455" s="16" t="s">
        <v>467</v>
      </c>
      <c r="D455" s="16">
        <v>2</v>
      </c>
      <c r="E455" s="16" t="s">
        <v>812</v>
      </c>
      <c r="F455" s="16" t="str">
        <f>VLOOKUP(Table28[[#This Row],[Country]],Table10[[COUNTRY NAME]:[CONTINENT CODE]],3,FALSE)</f>
        <v>NA</v>
      </c>
      <c r="G455" s="16" t="s">
        <v>17022</v>
      </c>
      <c r="H455" s="181">
        <v>13722</v>
      </c>
      <c r="I455" s="180">
        <v>32.25</v>
      </c>
      <c r="K455" s="316">
        <f>IFERROR(Table28[[#This Row],[ROUTE COST]]/Table28[[#This Row],[O - DEMAND]],0)</f>
        <v>0</v>
      </c>
      <c r="M455" s="16">
        <f>Table28[[#This Row],[O - DEMAND]]/950</f>
        <v>0</v>
      </c>
      <c r="N455" s="16">
        <f>IFERROR(VLOOKUP(Table28[[#This Row],[ROUTE]],DEMAND!A:F,5,FALSE),0)</f>
        <v>2370</v>
      </c>
      <c r="O455" s="16">
        <f>IFERROR(VLOOKUP(Table28[[#This Row],[ROUTE]],DEMAND!A:F,6,FALSE),0)</f>
        <v>470</v>
      </c>
      <c r="P455" s="16">
        <f>ROUNDDOWN(Table28[[#This Row],[R-DEMAND]]/950,0)</f>
        <v>0</v>
      </c>
      <c r="Q455" s="16">
        <f>Table28[[#This Row],[ADD ACC
(475/950)]]*Table28[[#This Row],[Duration
(A359)]]</f>
        <v>0</v>
      </c>
      <c r="R455" s="16">
        <f>IFERROR(VLOOKUP(Table28[[#This Row],[ROUTE]],PRICING!A:B,2,FALSE),0)</f>
        <v>0</v>
      </c>
      <c r="S455" s="16">
        <f>Table28[[#This Row],[C_DEMAND]]-Table28[[#This Row],[R-DEMAND]]</f>
        <v>1900</v>
      </c>
      <c r="T455" s="316">
        <f>Table28[[#This Row],[SEATS SOLD]]*Table28[[#This Row],[ECO SEAT]]</f>
        <v>0</v>
      </c>
      <c r="U455" s="316">
        <f>Table28[[#This Row],[SEATS SOLD]]*(IFERROR(VLOOKUP(Table28[[#This Row],[ROUTE]],PRICING!A:C,3,FALSE),0))</f>
        <v>0</v>
      </c>
      <c r="V455" s="316">
        <f>Table28[[#This Row],[SEAT REV]]-Table28[[#This Row],[SEAT REV
(IF IDEAL $)]]</f>
        <v>0</v>
      </c>
      <c r="AA455" s="26"/>
      <c r="AB455" s="26"/>
      <c r="AC455" s="26"/>
      <c r="AD455" s="26"/>
      <c r="AE455" s="26"/>
      <c r="AS455" s="16" t="s">
        <v>514</v>
      </c>
      <c r="AT455" s="16" t="s">
        <v>16938</v>
      </c>
      <c r="AU455" s="16" t="s">
        <v>4766</v>
      </c>
      <c r="AV455" s="16" t="s">
        <v>18878</v>
      </c>
      <c r="AW455" s="16" t="s">
        <v>18885</v>
      </c>
      <c r="AX455" s="16" t="s">
        <v>18895</v>
      </c>
      <c r="AY455" s="385">
        <v>12789</v>
      </c>
    </row>
    <row r="456" spans="1:51" x14ac:dyDescent="0.25">
      <c r="A456" s="16" t="s">
        <v>19673</v>
      </c>
      <c r="B456" s="16" t="s">
        <v>5027</v>
      </c>
      <c r="E456" s="16" t="s">
        <v>11732</v>
      </c>
      <c r="F456" s="16" t="str">
        <f>VLOOKUP(Table28[[#This Row],[Country]],Table10[[COUNTRY NAME]:[CONTINENT CODE]],3,FALSE)</f>
        <v>NA - US</v>
      </c>
      <c r="G456" s="16" t="s">
        <v>17005</v>
      </c>
      <c r="H456" s="181">
        <v>14299</v>
      </c>
      <c r="I456" s="180">
        <v>33.5</v>
      </c>
      <c r="K456" s="316">
        <f>IFERROR(Table28[[#This Row],[ROUTE COST]]/Table28[[#This Row],[O - DEMAND]],0)</f>
        <v>0</v>
      </c>
      <c r="M456" s="180">
        <f>Table28[[#This Row],[O - DEMAND]]/950</f>
        <v>0</v>
      </c>
      <c r="N456" s="16">
        <f>IFERROR(VLOOKUP(Table28[[#This Row],[ROUTE]],DEMAND!A:F,5,FALSE),0)</f>
        <v>0</v>
      </c>
      <c r="O456" s="16">
        <f>IFERROR(VLOOKUP(Table28[[#This Row],[ROUTE]],DEMAND!A:F,6,FALSE),0)</f>
        <v>0</v>
      </c>
      <c r="P456" s="16">
        <f>ROUNDDOWN(Table28[[#This Row],[R-DEMAND]]/950,0)</f>
        <v>0</v>
      </c>
      <c r="Q456" s="16">
        <f>Table28[[#This Row],[ADD ACC
(475/950)]]*Table28[[#This Row],[Duration
(A359)]]</f>
        <v>0</v>
      </c>
      <c r="R456" s="16">
        <f>IFERROR(VLOOKUP(Table28[[#This Row],[ROUTE]],PRICING!A:B,2,FALSE),0)</f>
        <v>0</v>
      </c>
      <c r="S456" s="16">
        <f>Table28[[#This Row],[C_DEMAND]]-Table28[[#This Row],[R-DEMAND]]</f>
        <v>0</v>
      </c>
      <c r="T456" s="316">
        <f>Table28[[#This Row],[SEATS SOLD]]*Table28[[#This Row],[ECO SEAT]]</f>
        <v>0</v>
      </c>
      <c r="U456" s="316">
        <f>Table28[[#This Row],[SEATS SOLD]]*(IFERROR(VLOOKUP(Table28[[#This Row],[ROUTE]],PRICING!A:C,3,FALSE),0))</f>
        <v>0</v>
      </c>
      <c r="V456" s="316">
        <f>Table28[[#This Row],[SEAT REV]]-Table28[[#This Row],[SEAT REV
(IF IDEAL $)]]</f>
        <v>0</v>
      </c>
      <c r="AA456" s="26"/>
      <c r="AB456" s="26"/>
      <c r="AC456" s="26"/>
      <c r="AD456" s="26"/>
      <c r="AE456" s="26"/>
      <c r="AS456" s="16" t="s">
        <v>11732</v>
      </c>
      <c r="AT456" s="16" t="s">
        <v>16950</v>
      </c>
      <c r="AU456" s="16" t="s">
        <v>2205</v>
      </c>
      <c r="AV456" s="16" t="s">
        <v>18878</v>
      </c>
      <c r="AW456" s="16" t="s">
        <v>18890</v>
      </c>
      <c r="AX456" s="16" t="s">
        <v>18895</v>
      </c>
      <c r="AY456" s="385">
        <v>12796</v>
      </c>
    </row>
    <row r="457" spans="1:51" x14ac:dyDescent="0.25">
      <c r="A457" s="16" t="s">
        <v>19745</v>
      </c>
      <c r="B457" s="16" t="s">
        <v>2266</v>
      </c>
      <c r="D457" s="16">
        <v>1</v>
      </c>
      <c r="E457" s="16" t="s">
        <v>605</v>
      </c>
      <c r="F457" s="16" t="str">
        <f>VLOOKUP(Table28[[#This Row],[Country]],Table10[[COUNTRY NAME]:[CONTINENT CODE]],3,FALSE)</f>
        <v>EU</v>
      </c>
      <c r="G457" s="16" t="s">
        <v>11809</v>
      </c>
      <c r="H457" s="181">
        <v>14880</v>
      </c>
      <c r="I457" s="180">
        <v>34.75</v>
      </c>
      <c r="K457" s="316">
        <f>IFERROR(Table28[[#This Row],[ROUTE COST]]/Table28[[#This Row],[O - DEMAND]],0)</f>
        <v>0</v>
      </c>
      <c r="M457" s="16">
        <f>Table28[[#This Row],[O - DEMAND]]/950</f>
        <v>0</v>
      </c>
      <c r="N457" s="16">
        <f>IFERROR(VLOOKUP(Table28[[#This Row],[ROUTE]],DEMAND!A:F,5,FALSE),0)</f>
        <v>0</v>
      </c>
      <c r="O457" s="16">
        <f>IFERROR(VLOOKUP(Table28[[#This Row],[ROUTE]],DEMAND!A:F,6,FALSE),0)</f>
        <v>0</v>
      </c>
      <c r="P457" s="16">
        <f>ROUNDDOWN(Table28[[#This Row],[R-DEMAND]]/950,0)</f>
        <v>0</v>
      </c>
      <c r="Q457" s="16">
        <f>Table28[[#This Row],[ADD ACC
(475/950)]]*Table28[[#This Row],[Duration
(A359)]]</f>
        <v>0</v>
      </c>
      <c r="R457" s="16">
        <f>IFERROR(VLOOKUP(Table28[[#This Row],[ROUTE]],PRICING!A:B,2,FALSE),0)</f>
        <v>0</v>
      </c>
      <c r="S457" s="16">
        <f>Table28[[#This Row],[C_DEMAND]]-Table28[[#This Row],[R-DEMAND]]</f>
        <v>0</v>
      </c>
      <c r="T457" s="316">
        <f>Table28[[#This Row],[SEATS SOLD]]*Table28[[#This Row],[ECO SEAT]]</f>
        <v>0</v>
      </c>
      <c r="U457" s="316">
        <f>Table28[[#This Row],[SEATS SOLD]]*(IFERROR(VLOOKUP(Table28[[#This Row],[ROUTE]],PRICING!A:C,3,FALSE),0))</f>
        <v>0</v>
      </c>
      <c r="V457" s="316">
        <f>Table28[[#This Row],[SEAT REV]]-Table28[[#This Row],[SEAT REV
(IF IDEAL $)]]</f>
        <v>0</v>
      </c>
      <c r="AA457" s="26"/>
      <c r="AB457" s="26"/>
      <c r="AC457" s="26"/>
      <c r="AD457" s="26"/>
      <c r="AE457" s="26"/>
      <c r="AS457" s="16" t="s">
        <v>714</v>
      </c>
      <c r="AT457" s="16" t="s">
        <v>13237</v>
      </c>
      <c r="AU457" s="16" t="s">
        <v>5549</v>
      </c>
      <c r="AV457" s="16" t="s">
        <v>18884</v>
      </c>
      <c r="AW457" s="16" t="s">
        <v>18899</v>
      </c>
      <c r="AX457" s="16" t="s">
        <v>18895</v>
      </c>
      <c r="AY457" s="385">
        <v>12797</v>
      </c>
    </row>
    <row r="458" spans="1:51" x14ac:dyDescent="0.25">
      <c r="A458" s="16" t="s">
        <v>19233</v>
      </c>
      <c r="B458" s="16" t="s">
        <v>4841</v>
      </c>
      <c r="D458" s="16">
        <v>3</v>
      </c>
      <c r="E458" s="16" t="s">
        <v>1070</v>
      </c>
      <c r="F458" s="16" t="str">
        <f>VLOOKUP(Table28[[#This Row],[Country]],Table10[[COUNTRY NAME]:[CONTINENT CODE]],3,FALSE)</f>
        <v>AS</v>
      </c>
      <c r="G458" s="16" t="s">
        <v>16824</v>
      </c>
      <c r="H458" s="181">
        <v>10020</v>
      </c>
      <c r="I458" s="180">
        <v>24</v>
      </c>
      <c r="K458" s="316">
        <f>IFERROR(Table28[[#This Row],[ROUTE COST]]/Table28[[#This Row],[O - DEMAND]],0)</f>
        <v>0</v>
      </c>
      <c r="M458" s="16">
        <f>Table28[[#This Row],[O - DEMAND]]/950</f>
        <v>0</v>
      </c>
      <c r="N458" s="16">
        <f>IFERROR(VLOOKUP(Table28[[#This Row],[ROUTE]],DEMAND!A:F,5,FALSE),0)</f>
        <v>0</v>
      </c>
      <c r="O458" s="16">
        <f>IFERROR(VLOOKUP(Table28[[#This Row],[ROUTE]],DEMAND!A:F,6,FALSE),0)</f>
        <v>0</v>
      </c>
      <c r="P458" s="16">
        <f>ROUNDDOWN(Table28[[#This Row],[R-DEMAND]]/950,0)</f>
        <v>0</v>
      </c>
      <c r="Q458" s="16">
        <f>Table28[[#This Row],[ADD ACC
(475/950)]]*Table28[[#This Row],[Duration
(A359)]]</f>
        <v>0</v>
      </c>
      <c r="R458" s="16">
        <f>IFERROR(VLOOKUP(Table28[[#This Row],[ROUTE]],PRICING!A:B,2,FALSE),0)</f>
        <v>0</v>
      </c>
      <c r="S458" s="16">
        <f>Table28[[#This Row],[C_DEMAND]]-Table28[[#This Row],[R-DEMAND]]</f>
        <v>0</v>
      </c>
      <c r="T458" s="316">
        <f>Table28[[#This Row],[SEATS SOLD]]*Table28[[#This Row],[ECO SEAT]]</f>
        <v>0</v>
      </c>
      <c r="U458" s="316">
        <f>Table28[[#This Row],[SEATS SOLD]]*(IFERROR(VLOOKUP(Table28[[#This Row],[ROUTE]],PRICING!A:C,3,FALSE),0))</f>
        <v>0</v>
      </c>
      <c r="V458" s="316">
        <f>Table28[[#This Row],[SEAT REV]]-Table28[[#This Row],[SEAT REV
(IF IDEAL $)]]</f>
        <v>0</v>
      </c>
      <c r="AA458" s="26"/>
      <c r="AB458" s="26"/>
      <c r="AC458" s="26"/>
      <c r="AD458" s="26"/>
      <c r="AE458" s="26"/>
      <c r="AS458" s="16" t="s">
        <v>172</v>
      </c>
      <c r="AT458" s="16" t="s">
        <v>11045</v>
      </c>
      <c r="AU458" s="16" t="s">
        <v>110</v>
      </c>
      <c r="AV458" s="16" t="s">
        <v>18884</v>
      </c>
      <c r="AW458" s="16" t="s">
        <v>18918</v>
      </c>
      <c r="AX458" s="16" t="s">
        <v>18895</v>
      </c>
      <c r="AY458" s="385">
        <v>12798</v>
      </c>
    </row>
    <row r="459" spans="1:51" x14ac:dyDescent="0.25">
      <c r="A459" s="16" t="s">
        <v>19807</v>
      </c>
      <c r="B459" s="16" t="s">
        <v>4545</v>
      </c>
      <c r="D459" s="16">
        <v>2</v>
      </c>
      <c r="E459" s="16" t="s">
        <v>585</v>
      </c>
      <c r="F459" s="16" t="str">
        <f>VLOOKUP(Table28[[#This Row],[Country]],Table10[[COUNTRY NAME]:[CONTINENT CODE]],3,FALSE)</f>
        <v>EU</v>
      </c>
      <c r="G459" s="16" t="s">
        <v>11807</v>
      </c>
      <c r="H459" s="181">
        <v>15176</v>
      </c>
      <c r="I459" s="180">
        <v>35.5</v>
      </c>
      <c r="K459" s="316">
        <f>IFERROR(Table28[[#This Row],[ROUTE COST]]/Table28[[#This Row],[O - DEMAND]],0)</f>
        <v>0</v>
      </c>
      <c r="M459" s="16">
        <f>Table28[[#This Row],[O - DEMAND]]/950</f>
        <v>0</v>
      </c>
      <c r="N459" s="16">
        <f>IFERROR(VLOOKUP(Table28[[#This Row],[ROUTE]],DEMAND!A:F,5,FALSE),0)</f>
        <v>0</v>
      </c>
      <c r="O459" s="16">
        <f>IFERROR(VLOOKUP(Table28[[#This Row],[ROUTE]],DEMAND!A:F,6,FALSE),0)</f>
        <v>0</v>
      </c>
      <c r="P459" s="16">
        <f>ROUNDDOWN(Table28[[#This Row],[R-DEMAND]]/950,0)</f>
        <v>0</v>
      </c>
      <c r="Q459" s="16">
        <f>Table28[[#This Row],[ADD ACC
(475/950)]]*Table28[[#This Row],[Duration
(A359)]]</f>
        <v>0</v>
      </c>
      <c r="R459" s="16">
        <f>IFERROR(VLOOKUP(Table28[[#This Row],[ROUTE]],PRICING!A:B,2,FALSE),0)</f>
        <v>0</v>
      </c>
      <c r="S459" s="16">
        <f>Table28[[#This Row],[C_DEMAND]]-Table28[[#This Row],[R-DEMAND]]</f>
        <v>0</v>
      </c>
      <c r="T459" s="316">
        <f>Table28[[#This Row],[SEATS SOLD]]*Table28[[#This Row],[ECO SEAT]]</f>
        <v>0</v>
      </c>
      <c r="U459" s="316">
        <f>Table28[[#This Row],[SEATS SOLD]]*(IFERROR(VLOOKUP(Table28[[#This Row],[ROUTE]],PRICING!A:C,3,FALSE),0))</f>
        <v>0</v>
      </c>
      <c r="V459" s="316">
        <f>Table28[[#This Row],[SEAT REV]]-Table28[[#This Row],[SEAT REV
(IF IDEAL $)]]</f>
        <v>0</v>
      </c>
      <c r="AA459" s="26"/>
      <c r="AB459" s="26"/>
      <c r="AC459" s="26"/>
      <c r="AD459" s="26"/>
      <c r="AE459" s="26"/>
      <c r="AS459" s="16" t="s">
        <v>172</v>
      </c>
      <c r="AT459" s="16" t="s">
        <v>10941</v>
      </c>
      <c r="AU459" s="16" t="s">
        <v>454</v>
      </c>
      <c r="AV459" s="16" t="s">
        <v>18884</v>
      </c>
      <c r="AW459" s="16" t="s">
        <v>18899</v>
      </c>
      <c r="AX459" s="16" t="s">
        <v>18895</v>
      </c>
      <c r="AY459" s="385">
        <v>12808</v>
      </c>
    </row>
    <row r="460" spans="1:51" x14ac:dyDescent="0.25">
      <c r="A460" s="16" t="s">
        <v>19312</v>
      </c>
      <c r="B460" s="16" t="s">
        <v>3295</v>
      </c>
      <c r="C460" s="16" t="s">
        <v>467</v>
      </c>
      <c r="D460" s="16">
        <v>2</v>
      </c>
      <c r="E460" s="16" t="s">
        <v>3293</v>
      </c>
      <c r="F460" s="16" t="str">
        <f>VLOOKUP(Table28[[#This Row],[Country]],Table10[[COUNTRY NAME]:[CONTINENT CODE]],3,FALSE)</f>
        <v>AF</v>
      </c>
      <c r="G460" s="16" t="s">
        <v>11917</v>
      </c>
      <c r="H460" s="181">
        <v>11539</v>
      </c>
      <c r="I460" s="180">
        <v>27.5</v>
      </c>
      <c r="K460" s="316">
        <f>IFERROR(Table28[[#This Row],[ROUTE COST]]/Table28[[#This Row],[O - DEMAND]],0)</f>
        <v>0</v>
      </c>
      <c r="M460" s="16">
        <f>Table28[[#This Row],[O - DEMAND]]/950</f>
        <v>0</v>
      </c>
      <c r="N460" s="16">
        <f>IFERROR(VLOOKUP(Table28[[#This Row],[ROUTE]],DEMAND!A:F,5,FALSE),0)</f>
        <v>3673</v>
      </c>
      <c r="O460" s="16">
        <f>IFERROR(VLOOKUP(Table28[[#This Row],[ROUTE]],DEMAND!A:F,6,FALSE),0)</f>
        <v>823</v>
      </c>
      <c r="P460" s="16">
        <f>ROUNDDOWN(Table28[[#This Row],[R-DEMAND]]/950,0)</f>
        <v>0</v>
      </c>
      <c r="Q460" s="16">
        <f>Table28[[#This Row],[ADD ACC
(475/950)]]*Table28[[#This Row],[Duration
(A359)]]</f>
        <v>0</v>
      </c>
      <c r="R460" s="16">
        <f>IFERROR(VLOOKUP(Table28[[#This Row],[ROUTE]],PRICING!A:B,2,FALSE),0)</f>
        <v>0</v>
      </c>
      <c r="S460" s="16">
        <f>Table28[[#This Row],[C_DEMAND]]-Table28[[#This Row],[R-DEMAND]]</f>
        <v>2850</v>
      </c>
      <c r="T460" s="316">
        <f>Table28[[#This Row],[SEATS SOLD]]*Table28[[#This Row],[ECO SEAT]]</f>
        <v>0</v>
      </c>
      <c r="U460" s="316">
        <f>Table28[[#This Row],[SEATS SOLD]]*(IFERROR(VLOOKUP(Table28[[#This Row],[ROUTE]],PRICING!A:C,3,FALSE),0))</f>
        <v>0</v>
      </c>
      <c r="V460" s="316">
        <f>Table28[[#This Row],[SEAT REV]]-Table28[[#This Row],[SEAT REV
(IF IDEAL $)]]</f>
        <v>0</v>
      </c>
      <c r="AA460" s="26"/>
      <c r="AB460" s="26"/>
      <c r="AC460" s="26"/>
      <c r="AD460" s="26"/>
      <c r="AE460" s="26"/>
      <c r="AS460" s="16" t="s">
        <v>11732</v>
      </c>
      <c r="AT460" s="16" t="s">
        <v>16942</v>
      </c>
      <c r="AU460" s="16" t="s">
        <v>5153</v>
      </c>
      <c r="AV460" s="16" t="s">
        <v>18878</v>
      </c>
      <c r="AX460" s="16" t="s">
        <v>18895</v>
      </c>
      <c r="AY460" s="385">
        <v>12808</v>
      </c>
    </row>
    <row r="461" spans="1:51" x14ac:dyDescent="0.25">
      <c r="A461" s="16" t="s">
        <v>19375</v>
      </c>
      <c r="B461" s="16" t="s">
        <v>1924</v>
      </c>
      <c r="D461" s="16">
        <v>1</v>
      </c>
      <c r="E461" s="16" t="s">
        <v>11732</v>
      </c>
      <c r="F461" s="16" t="str">
        <f>VLOOKUP(Table28[[#This Row],[Country]],Table10[[COUNTRY NAME]:[CONTINENT CODE]],3,FALSE)</f>
        <v>NA - US</v>
      </c>
      <c r="G461" s="16" t="s">
        <v>8825</v>
      </c>
      <c r="H461" s="181">
        <v>12245</v>
      </c>
      <c r="I461" s="180">
        <v>29</v>
      </c>
      <c r="K461" s="316">
        <f>IFERROR(Table28[[#This Row],[ROUTE COST]]/Table28[[#This Row],[O - DEMAND]],0)</f>
        <v>0</v>
      </c>
      <c r="M461" s="180">
        <f>Table28[[#This Row],[O - DEMAND]]/950</f>
        <v>0</v>
      </c>
      <c r="N461" s="16">
        <f>IFERROR(VLOOKUP(Table28[[#This Row],[ROUTE]],DEMAND!A:F,5,FALSE),0)</f>
        <v>0</v>
      </c>
      <c r="O461" s="16">
        <f>IFERROR(VLOOKUP(Table28[[#This Row],[ROUTE]],DEMAND!A:F,6,FALSE),0)</f>
        <v>0</v>
      </c>
      <c r="P461" s="16">
        <f>ROUNDDOWN(Table28[[#This Row],[R-DEMAND]]/950,0)</f>
        <v>0</v>
      </c>
      <c r="Q461" s="16">
        <f>Table28[[#This Row],[ADD ACC
(475/950)]]*Table28[[#This Row],[Duration
(A359)]]</f>
        <v>0</v>
      </c>
      <c r="R461" s="16">
        <f>IFERROR(VLOOKUP(Table28[[#This Row],[ROUTE]],PRICING!A:B,2,FALSE),0)</f>
        <v>0</v>
      </c>
      <c r="S461" s="16">
        <f>Table28[[#This Row],[C_DEMAND]]-Table28[[#This Row],[R-DEMAND]]</f>
        <v>0</v>
      </c>
      <c r="T461" s="316">
        <f>Table28[[#This Row],[SEATS SOLD]]*Table28[[#This Row],[ECO SEAT]]</f>
        <v>0</v>
      </c>
      <c r="U461" s="316">
        <f>Table28[[#This Row],[SEATS SOLD]]*(IFERROR(VLOOKUP(Table28[[#This Row],[ROUTE]],PRICING!A:C,3,FALSE),0))</f>
        <v>0</v>
      </c>
      <c r="V461" s="316">
        <f>Table28[[#This Row],[SEAT REV]]-Table28[[#This Row],[SEAT REV
(IF IDEAL $)]]</f>
        <v>0</v>
      </c>
      <c r="AA461" s="26"/>
      <c r="AB461" s="26"/>
      <c r="AC461" s="26"/>
      <c r="AD461" s="26"/>
      <c r="AE461" s="26"/>
      <c r="AS461" s="16" t="s">
        <v>1749</v>
      </c>
      <c r="AT461" s="16" t="s">
        <v>13220</v>
      </c>
      <c r="AU461" s="16" t="s">
        <v>3925</v>
      </c>
      <c r="AV461" s="16" t="s">
        <v>18892</v>
      </c>
      <c r="AW461" s="16" t="s">
        <v>18879</v>
      </c>
      <c r="AX461" s="16" t="s">
        <v>18895</v>
      </c>
      <c r="AY461" s="385">
        <v>12811</v>
      </c>
    </row>
    <row r="462" spans="1:51" x14ac:dyDescent="0.25">
      <c r="A462" s="16" t="s">
        <v>19646</v>
      </c>
      <c r="B462" s="16" t="s">
        <v>3630</v>
      </c>
      <c r="D462" s="16">
        <v>2</v>
      </c>
      <c r="E462" s="16" t="s">
        <v>11732</v>
      </c>
      <c r="F462" s="16" t="str">
        <f>VLOOKUP(Table28[[#This Row],[Country]],Table10[[COUNTRY NAME]:[CONTINENT CODE]],3,FALSE)</f>
        <v>NA - US</v>
      </c>
      <c r="G462" s="16" t="s">
        <v>8820</v>
      </c>
      <c r="H462" s="181">
        <v>14118</v>
      </c>
      <c r="I462" s="180">
        <v>33</v>
      </c>
      <c r="K462" s="316">
        <f>IFERROR(Table28[[#This Row],[ROUTE COST]]/Table28[[#This Row],[O - DEMAND]],0)</f>
        <v>0</v>
      </c>
      <c r="M462" s="180">
        <f>Table28[[#This Row],[O - DEMAND]]/950</f>
        <v>0</v>
      </c>
      <c r="N462" s="16">
        <f>IFERROR(VLOOKUP(Table28[[#This Row],[ROUTE]],DEMAND!A:F,5,FALSE),0)</f>
        <v>0</v>
      </c>
      <c r="O462" s="16">
        <f>IFERROR(VLOOKUP(Table28[[#This Row],[ROUTE]],DEMAND!A:F,6,FALSE),0)</f>
        <v>0</v>
      </c>
      <c r="P462" s="16">
        <f>ROUNDDOWN(Table28[[#This Row],[R-DEMAND]]/950,0)</f>
        <v>0</v>
      </c>
      <c r="Q462" s="16">
        <f>Table28[[#This Row],[ADD ACC
(475/950)]]*Table28[[#This Row],[Duration
(A359)]]</f>
        <v>0</v>
      </c>
      <c r="R462" s="16">
        <f>IFERROR(VLOOKUP(Table28[[#This Row],[ROUTE]],PRICING!A:B,2,FALSE),0)</f>
        <v>0</v>
      </c>
      <c r="S462" s="16">
        <f>Table28[[#This Row],[C_DEMAND]]-Table28[[#This Row],[R-DEMAND]]</f>
        <v>0</v>
      </c>
      <c r="T462" s="316">
        <f>Table28[[#This Row],[SEATS SOLD]]*Table28[[#This Row],[ECO SEAT]]</f>
        <v>0</v>
      </c>
      <c r="U462" s="316">
        <f>Table28[[#This Row],[SEATS SOLD]]*(IFERROR(VLOOKUP(Table28[[#This Row],[ROUTE]],PRICING!A:C,3,FALSE),0))</f>
        <v>0</v>
      </c>
      <c r="V462" s="316">
        <f>Table28[[#This Row],[SEAT REV]]-Table28[[#This Row],[SEAT REV
(IF IDEAL $)]]</f>
        <v>0</v>
      </c>
      <c r="AA462" s="26"/>
      <c r="AB462" s="26"/>
      <c r="AC462" s="26"/>
      <c r="AD462" s="26"/>
      <c r="AE462" s="26"/>
      <c r="AS462" s="16" t="s">
        <v>714</v>
      </c>
      <c r="AT462" s="16" t="s">
        <v>13242</v>
      </c>
      <c r="AU462" s="16" t="s">
        <v>4941</v>
      </c>
      <c r="AV462" s="16" t="s">
        <v>18892</v>
      </c>
      <c r="AW462" s="16" t="s">
        <v>18885</v>
      </c>
      <c r="AX462" s="16" t="s">
        <v>18895</v>
      </c>
      <c r="AY462" s="385">
        <v>12824</v>
      </c>
    </row>
    <row r="463" spans="1:51" x14ac:dyDescent="0.25">
      <c r="A463" s="16" t="s">
        <v>19018</v>
      </c>
      <c r="B463" s="16" t="s">
        <v>5287</v>
      </c>
      <c r="D463" s="16">
        <v>4</v>
      </c>
      <c r="E463" s="16" t="s">
        <v>1261</v>
      </c>
      <c r="F463" s="16" t="str">
        <f>VLOOKUP(Table28[[#This Row],[Country]],Table10[[COUNTRY NAME]:[CONTINENT CODE]],3,FALSE)</f>
        <v>AS</v>
      </c>
      <c r="G463" s="16" t="s">
        <v>18107</v>
      </c>
      <c r="H463" s="181">
        <v>4533</v>
      </c>
      <c r="I463" s="180">
        <v>12</v>
      </c>
      <c r="K463" s="316">
        <f>IFERROR(Table28[[#This Row],[ROUTE COST]]/Table28[[#This Row],[O - DEMAND]],0)</f>
        <v>0</v>
      </c>
      <c r="M463" s="16">
        <f>Table28[[#This Row],[O - DEMAND]]/950</f>
        <v>0</v>
      </c>
      <c r="N463" s="16">
        <f>IFERROR(VLOOKUP(Table28[[#This Row],[ROUTE]],DEMAND!A:F,5,FALSE),0)</f>
        <v>0</v>
      </c>
      <c r="O463" s="16">
        <f>IFERROR(VLOOKUP(Table28[[#This Row],[ROUTE]],DEMAND!A:F,6,FALSE),0)</f>
        <v>0</v>
      </c>
      <c r="P463" s="16">
        <f>ROUNDDOWN(Table28[[#This Row],[R-DEMAND]]/950,0)</f>
        <v>0</v>
      </c>
      <c r="Q463" s="16">
        <f>Table28[[#This Row],[ADD ACC
(475/950)]]*Table28[[#This Row],[Duration
(A359)]]</f>
        <v>0</v>
      </c>
      <c r="R463" s="16">
        <f>IFERROR(VLOOKUP(Table28[[#This Row],[ROUTE]],PRICING!A:B,2,FALSE),0)</f>
        <v>0</v>
      </c>
      <c r="S463" s="16">
        <f>Table28[[#This Row],[C_DEMAND]]-Table28[[#This Row],[R-DEMAND]]</f>
        <v>0</v>
      </c>
      <c r="T463" s="316">
        <f>Table28[[#This Row],[SEATS SOLD]]*Table28[[#This Row],[ECO SEAT]]</f>
        <v>0</v>
      </c>
      <c r="U463" s="316">
        <f>Table28[[#This Row],[SEATS SOLD]]*(IFERROR(VLOOKUP(Table28[[#This Row],[ROUTE]],PRICING!A:C,3,FALSE),0))</f>
        <v>0</v>
      </c>
      <c r="V463" s="316">
        <f>Table28[[#This Row],[SEAT REV]]-Table28[[#This Row],[SEAT REV
(IF IDEAL $)]]</f>
        <v>0</v>
      </c>
      <c r="AA463" s="26"/>
      <c r="AB463" s="26"/>
      <c r="AC463" s="26"/>
      <c r="AD463" s="26"/>
      <c r="AE463" s="26"/>
      <c r="AS463" s="16" t="s">
        <v>637</v>
      </c>
      <c r="AT463" s="16" t="s">
        <v>6840</v>
      </c>
      <c r="AU463" s="16" t="s">
        <v>651</v>
      </c>
      <c r="AV463" s="16" t="s">
        <v>18881</v>
      </c>
      <c r="AW463" s="16" t="s">
        <v>18890</v>
      </c>
      <c r="AX463" s="16" t="s">
        <v>18895</v>
      </c>
      <c r="AY463" s="385">
        <v>12827</v>
      </c>
    </row>
    <row r="464" spans="1:51" x14ac:dyDescent="0.25">
      <c r="A464" s="16" t="s">
        <v>19493</v>
      </c>
      <c r="B464" s="16" t="s">
        <v>4456</v>
      </c>
      <c r="C464" s="16" t="s">
        <v>467</v>
      </c>
      <c r="D464" s="16">
        <v>2</v>
      </c>
      <c r="E464" s="16" t="s">
        <v>1144</v>
      </c>
      <c r="F464" s="16" t="str">
        <f>VLOOKUP(Table28[[#This Row],[Country]],Table10[[COUNTRY NAME]:[CONTINENT CODE]],3,FALSE)</f>
        <v>SA</v>
      </c>
      <c r="G464" s="16" t="s">
        <v>13149</v>
      </c>
      <c r="H464" s="181">
        <v>13028</v>
      </c>
      <c r="I464" s="180">
        <v>30.75</v>
      </c>
      <c r="K464" s="316">
        <f>IFERROR(Table28[[#This Row],[ROUTE COST]]/Table28[[#This Row],[O - DEMAND]],0)</f>
        <v>0</v>
      </c>
      <c r="M464" s="16">
        <f>Table28[[#This Row],[O - DEMAND]]/950</f>
        <v>0</v>
      </c>
      <c r="N464" s="16">
        <f>IFERROR(VLOOKUP(Table28[[#This Row],[ROUTE]],DEMAND!A:F,5,FALSE),0)</f>
        <v>3043</v>
      </c>
      <c r="O464" s="16">
        <f>IFERROR(VLOOKUP(Table28[[#This Row],[ROUTE]],DEMAND!A:F,6,FALSE),0)</f>
        <v>193</v>
      </c>
      <c r="P464" s="16">
        <f>ROUNDDOWN(Table28[[#This Row],[R-DEMAND]]/950,0)</f>
        <v>0</v>
      </c>
      <c r="Q464" s="16">
        <f>Table28[[#This Row],[ADD ACC
(475/950)]]*Table28[[#This Row],[Duration
(A359)]]</f>
        <v>0</v>
      </c>
      <c r="R464" s="16">
        <f>IFERROR(VLOOKUP(Table28[[#This Row],[ROUTE]],PRICING!A:B,2,FALSE),0)</f>
        <v>0</v>
      </c>
      <c r="S464" s="16">
        <f>Table28[[#This Row],[C_DEMAND]]-Table28[[#This Row],[R-DEMAND]]</f>
        <v>2850</v>
      </c>
      <c r="T464" s="316">
        <f>Table28[[#This Row],[SEATS SOLD]]*Table28[[#This Row],[ECO SEAT]]</f>
        <v>0</v>
      </c>
      <c r="U464" s="316">
        <f>Table28[[#This Row],[SEATS SOLD]]*(IFERROR(VLOOKUP(Table28[[#This Row],[ROUTE]],PRICING!A:C,3,FALSE),0))</f>
        <v>0</v>
      </c>
      <c r="V464" s="316">
        <f>Table28[[#This Row],[SEAT REV]]-Table28[[#This Row],[SEAT REV
(IF IDEAL $)]]</f>
        <v>0</v>
      </c>
      <c r="AA464" s="26"/>
      <c r="AB464" s="26"/>
      <c r="AC464" s="26"/>
      <c r="AD464" s="26"/>
      <c r="AE464" s="26"/>
      <c r="AS464" s="16" t="s">
        <v>1749</v>
      </c>
      <c r="AT464" s="16" t="s">
        <v>13223</v>
      </c>
      <c r="AU464" s="16" t="s">
        <v>4266</v>
      </c>
      <c r="AV464" s="16" t="s">
        <v>18884</v>
      </c>
      <c r="AW464" s="16" t="s">
        <v>18879</v>
      </c>
      <c r="AX464" s="16" t="s">
        <v>18895</v>
      </c>
      <c r="AY464" s="385">
        <v>12829</v>
      </c>
    </row>
    <row r="465" spans="1:51" x14ac:dyDescent="0.25">
      <c r="A465" s="16" t="s">
        <v>19541</v>
      </c>
      <c r="B465" s="16" t="s">
        <v>3321</v>
      </c>
      <c r="E465" s="16" t="s">
        <v>11732</v>
      </c>
      <c r="F465" s="16" t="str">
        <f>VLOOKUP(Table28[[#This Row],[Country]],Table10[[COUNTRY NAME]:[CONTINENT CODE]],3,FALSE)</f>
        <v>NA - US</v>
      </c>
      <c r="G465" s="16" t="s">
        <v>16988</v>
      </c>
      <c r="H465" s="181">
        <v>13362</v>
      </c>
      <c r="I465" s="180">
        <v>31.5</v>
      </c>
      <c r="K465" s="316">
        <f>IFERROR(Table28[[#This Row],[ROUTE COST]]/Table28[[#This Row],[O - DEMAND]],0)</f>
        <v>0</v>
      </c>
      <c r="M465" s="180">
        <f>Table28[[#This Row],[O - DEMAND]]/950</f>
        <v>0</v>
      </c>
      <c r="N465" s="16">
        <f>IFERROR(VLOOKUP(Table28[[#This Row],[ROUTE]],DEMAND!A:F,5,FALSE),0)</f>
        <v>0</v>
      </c>
      <c r="O465" s="16">
        <f>IFERROR(VLOOKUP(Table28[[#This Row],[ROUTE]],DEMAND!A:F,6,FALSE),0)</f>
        <v>0</v>
      </c>
      <c r="P465" s="16">
        <f>ROUNDDOWN(Table28[[#This Row],[R-DEMAND]]/950,0)</f>
        <v>0</v>
      </c>
      <c r="Q465" s="16">
        <f>Table28[[#This Row],[ADD ACC
(475/950)]]*Table28[[#This Row],[Duration
(A359)]]</f>
        <v>0</v>
      </c>
      <c r="R465" s="16">
        <f>IFERROR(VLOOKUP(Table28[[#This Row],[ROUTE]],PRICING!A:B,2,FALSE),0)</f>
        <v>0</v>
      </c>
      <c r="S465" s="16">
        <f>Table28[[#This Row],[C_DEMAND]]-Table28[[#This Row],[R-DEMAND]]</f>
        <v>0</v>
      </c>
      <c r="T465" s="316">
        <f>Table28[[#This Row],[SEATS SOLD]]*Table28[[#This Row],[ECO SEAT]]</f>
        <v>0</v>
      </c>
      <c r="U465" s="316">
        <f>Table28[[#This Row],[SEATS SOLD]]*(IFERROR(VLOOKUP(Table28[[#This Row],[ROUTE]],PRICING!A:C,3,FALSE),0))</f>
        <v>0</v>
      </c>
      <c r="V465" s="316">
        <f>Table28[[#This Row],[SEAT REV]]-Table28[[#This Row],[SEAT REV
(IF IDEAL $)]]</f>
        <v>0</v>
      </c>
      <c r="AA465" s="26"/>
      <c r="AB465" s="26"/>
      <c r="AC465" s="26"/>
      <c r="AD465" s="26"/>
      <c r="AE465" s="26"/>
      <c r="AS465" s="16" t="s">
        <v>1749</v>
      </c>
      <c r="AT465" s="16" t="s">
        <v>13217</v>
      </c>
      <c r="AU465" s="16" t="s">
        <v>3972</v>
      </c>
      <c r="AV465" s="16" t="s">
        <v>18892</v>
      </c>
      <c r="AW465" s="16" t="s">
        <v>18879</v>
      </c>
      <c r="AX465" s="16" t="s">
        <v>18895</v>
      </c>
      <c r="AY465" s="385">
        <v>12840</v>
      </c>
    </row>
    <row r="466" spans="1:51" x14ac:dyDescent="0.25">
      <c r="A466" s="16" t="s">
        <v>19716</v>
      </c>
      <c r="B466" s="16" t="s">
        <v>3356</v>
      </c>
      <c r="E466" s="16" t="s">
        <v>11732</v>
      </c>
      <c r="F466" s="16" t="str">
        <f>VLOOKUP(Table28[[#This Row],[Country]],Table10[[COUNTRY NAME]:[CONTINENT CODE]],3,FALSE)</f>
        <v>NA - US</v>
      </c>
      <c r="G466" s="16" t="s">
        <v>16976</v>
      </c>
      <c r="H466" s="181">
        <v>14636</v>
      </c>
      <c r="I466" s="180">
        <v>34.25</v>
      </c>
      <c r="K466" s="316">
        <f>IFERROR(Table28[[#This Row],[ROUTE COST]]/Table28[[#This Row],[O - DEMAND]],0)</f>
        <v>0</v>
      </c>
      <c r="M466" s="180">
        <f>Table28[[#This Row],[O - DEMAND]]/950</f>
        <v>0</v>
      </c>
      <c r="N466" s="16">
        <f>IFERROR(VLOOKUP(Table28[[#This Row],[ROUTE]],DEMAND!A:F,5,FALSE),0)</f>
        <v>0</v>
      </c>
      <c r="O466" s="16">
        <f>IFERROR(VLOOKUP(Table28[[#This Row],[ROUTE]],DEMAND!A:F,6,FALSE),0)</f>
        <v>0</v>
      </c>
      <c r="P466" s="16">
        <f>ROUNDDOWN(Table28[[#This Row],[R-DEMAND]]/950,0)</f>
        <v>0</v>
      </c>
      <c r="Q466" s="16">
        <f>Table28[[#This Row],[ADD ACC
(475/950)]]*Table28[[#This Row],[Duration
(A359)]]</f>
        <v>0</v>
      </c>
      <c r="R466" s="16">
        <f>IFERROR(VLOOKUP(Table28[[#This Row],[ROUTE]],PRICING!A:B,2,FALSE),0)</f>
        <v>0</v>
      </c>
      <c r="S466" s="16">
        <f>Table28[[#This Row],[C_DEMAND]]-Table28[[#This Row],[R-DEMAND]]</f>
        <v>0</v>
      </c>
      <c r="T466" s="316">
        <f>Table28[[#This Row],[SEATS SOLD]]*Table28[[#This Row],[ECO SEAT]]</f>
        <v>0</v>
      </c>
      <c r="U466" s="316">
        <f>Table28[[#This Row],[SEATS SOLD]]*(IFERROR(VLOOKUP(Table28[[#This Row],[ROUTE]],PRICING!A:C,3,FALSE),0))</f>
        <v>0</v>
      </c>
      <c r="V466" s="316">
        <f>Table28[[#This Row],[SEAT REV]]-Table28[[#This Row],[SEAT REV
(IF IDEAL $)]]</f>
        <v>0</v>
      </c>
      <c r="AA466" s="26"/>
      <c r="AB466" s="26"/>
      <c r="AC466" s="26"/>
      <c r="AD466" s="26"/>
      <c r="AE466" s="26"/>
      <c r="AS466" s="16" t="s">
        <v>1749</v>
      </c>
      <c r="AT466" s="16" t="s">
        <v>16973</v>
      </c>
      <c r="AU466" s="16" t="s">
        <v>4451</v>
      </c>
      <c r="AV466" s="16" t="s">
        <v>18878</v>
      </c>
      <c r="AW466" s="16" t="s">
        <v>18879</v>
      </c>
      <c r="AX466" s="16" t="s">
        <v>18895</v>
      </c>
      <c r="AY466" s="385">
        <v>12844</v>
      </c>
    </row>
    <row r="467" spans="1:51" x14ac:dyDescent="0.25">
      <c r="A467" s="16" t="s">
        <v>19665</v>
      </c>
      <c r="B467" s="16" t="s">
        <v>2972</v>
      </c>
      <c r="D467" s="16">
        <v>2</v>
      </c>
      <c r="E467" s="16" t="s">
        <v>1654</v>
      </c>
      <c r="F467" s="16" t="str">
        <f>VLOOKUP(Table28[[#This Row],[Country]],Table10[[COUNTRY NAME]:[CONTINENT CODE]],3,FALSE)</f>
        <v>AS</v>
      </c>
      <c r="G467" s="16" t="s">
        <v>11875</v>
      </c>
      <c r="H467" s="181">
        <v>14204</v>
      </c>
      <c r="I467" s="180">
        <v>33.25</v>
      </c>
      <c r="K467" s="316">
        <f>IFERROR(Table28[[#This Row],[ROUTE COST]]/Table28[[#This Row],[O - DEMAND]],0)</f>
        <v>0</v>
      </c>
      <c r="M467" s="16">
        <f>Table28[[#This Row],[O - DEMAND]]/950</f>
        <v>0</v>
      </c>
      <c r="N467" s="16">
        <f>IFERROR(VLOOKUP(Table28[[#This Row],[ROUTE]],DEMAND!A:F,5,FALSE),0)</f>
        <v>0</v>
      </c>
      <c r="O467" s="16">
        <f>IFERROR(VLOOKUP(Table28[[#This Row],[ROUTE]],DEMAND!A:F,6,FALSE),0)</f>
        <v>0</v>
      </c>
      <c r="P467" s="16">
        <f>ROUNDDOWN(Table28[[#This Row],[R-DEMAND]]/950,0)</f>
        <v>0</v>
      </c>
      <c r="Q467" s="16">
        <f>Table28[[#This Row],[ADD ACC
(475/950)]]*Table28[[#This Row],[Duration
(A359)]]</f>
        <v>0</v>
      </c>
      <c r="R467" s="16">
        <f>IFERROR(VLOOKUP(Table28[[#This Row],[ROUTE]],PRICING!A:B,2,FALSE),0)</f>
        <v>0</v>
      </c>
      <c r="S467" s="16">
        <f>Table28[[#This Row],[C_DEMAND]]-Table28[[#This Row],[R-DEMAND]]</f>
        <v>0</v>
      </c>
      <c r="T467" s="316">
        <f>Table28[[#This Row],[SEATS SOLD]]*Table28[[#This Row],[ECO SEAT]]</f>
        <v>0</v>
      </c>
      <c r="U467" s="316">
        <f>Table28[[#This Row],[SEATS SOLD]]*(IFERROR(VLOOKUP(Table28[[#This Row],[ROUTE]],PRICING!A:C,3,FALSE),0))</f>
        <v>0</v>
      </c>
      <c r="V467" s="316">
        <f>Table28[[#This Row],[SEAT REV]]-Table28[[#This Row],[SEAT REV
(IF IDEAL $)]]</f>
        <v>0</v>
      </c>
      <c r="AA467" s="26"/>
      <c r="AB467" s="26"/>
      <c r="AC467" s="26"/>
      <c r="AD467" s="26"/>
      <c r="AE467" s="26"/>
      <c r="AS467" s="16" t="s">
        <v>1749</v>
      </c>
      <c r="AT467" s="16" t="s">
        <v>13222</v>
      </c>
      <c r="AU467" s="16" t="s">
        <v>4638</v>
      </c>
      <c r="AV467" s="16" t="s">
        <v>18884</v>
      </c>
      <c r="AW467" s="16" t="s">
        <v>18879</v>
      </c>
      <c r="AX467" s="16" t="s">
        <v>18895</v>
      </c>
      <c r="AY467" s="385">
        <v>12849</v>
      </c>
    </row>
    <row r="468" spans="1:51" x14ac:dyDescent="0.25">
      <c r="A468" s="16" t="s">
        <v>19331</v>
      </c>
      <c r="B468" s="16" t="s">
        <v>190</v>
      </c>
      <c r="C468" s="16" t="s">
        <v>467</v>
      </c>
      <c r="D468" s="16">
        <v>2</v>
      </c>
      <c r="E468" s="16" t="s">
        <v>1323</v>
      </c>
      <c r="F468" s="16" t="str">
        <f>VLOOKUP(Table28[[#This Row],[Country]],Table10[[COUNTRY NAME]:[CONTINENT CODE]],3,FALSE)</f>
        <v>AF</v>
      </c>
      <c r="G468" s="16" t="s">
        <v>11893</v>
      </c>
      <c r="H468" s="181">
        <v>11851</v>
      </c>
      <c r="I468" s="180">
        <v>28.25</v>
      </c>
      <c r="K468" s="316">
        <f>IFERROR(Table28[[#This Row],[ROUTE COST]]/Table28[[#This Row],[O - DEMAND]],0)</f>
        <v>0</v>
      </c>
      <c r="M468" s="16">
        <f>Table28[[#This Row],[O - DEMAND]]/950</f>
        <v>0</v>
      </c>
      <c r="N468" s="16">
        <f>IFERROR(VLOOKUP(Table28[[#This Row],[ROUTE]],DEMAND!A:F,5,FALSE),0)</f>
        <v>3838</v>
      </c>
      <c r="O468" s="16">
        <f>IFERROR(VLOOKUP(Table28[[#This Row],[ROUTE]],DEMAND!A:F,6,FALSE),0)</f>
        <v>38</v>
      </c>
      <c r="P468" s="16">
        <f>ROUNDDOWN(Table28[[#This Row],[R-DEMAND]]/950,0)</f>
        <v>0</v>
      </c>
      <c r="Q468" s="16">
        <f>Table28[[#This Row],[ADD ACC
(475/950)]]*Table28[[#This Row],[Duration
(A359)]]</f>
        <v>0</v>
      </c>
      <c r="R468" s="16">
        <f>IFERROR(VLOOKUP(Table28[[#This Row],[ROUTE]],PRICING!A:B,2,FALSE),0)</f>
        <v>0</v>
      </c>
      <c r="S468" s="16">
        <f>Table28[[#This Row],[C_DEMAND]]-Table28[[#This Row],[R-DEMAND]]</f>
        <v>3800</v>
      </c>
      <c r="T468" s="316">
        <f>Table28[[#This Row],[SEATS SOLD]]*Table28[[#This Row],[ECO SEAT]]</f>
        <v>0</v>
      </c>
      <c r="U468" s="316">
        <f>Table28[[#This Row],[SEATS SOLD]]*(IFERROR(VLOOKUP(Table28[[#This Row],[ROUTE]],PRICING!A:C,3,FALSE),0))</f>
        <v>0</v>
      </c>
      <c r="V468" s="316">
        <f>Table28[[#This Row],[SEAT REV]]-Table28[[#This Row],[SEAT REV
(IF IDEAL $)]]</f>
        <v>0</v>
      </c>
      <c r="AA468" s="26"/>
      <c r="AB468" s="26"/>
      <c r="AC468" s="26"/>
      <c r="AD468" s="26"/>
      <c r="AE468" s="26"/>
      <c r="AS468" s="16" t="s">
        <v>11669</v>
      </c>
      <c r="AT468" s="16" t="s">
        <v>13143</v>
      </c>
      <c r="AU468" s="16" t="s">
        <v>4213</v>
      </c>
      <c r="AV468" s="16" t="s">
        <v>18884</v>
      </c>
      <c r="AW468" s="16" t="s">
        <v>18879</v>
      </c>
      <c r="AX468" s="16" t="s">
        <v>18895</v>
      </c>
      <c r="AY468" s="385">
        <v>12851</v>
      </c>
    </row>
    <row r="469" spans="1:51" x14ac:dyDescent="0.25">
      <c r="A469" s="16" t="s">
        <v>19315</v>
      </c>
      <c r="B469" s="16" t="s">
        <v>1596</v>
      </c>
      <c r="D469" s="16">
        <v>1</v>
      </c>
      <c r="E469" s="16" t="s">
        <v>11669</v>
      </c>
      <c r="F469" s="16" t="str">
        <f>VLOOKUP(Table28[[#This Row],[Country]],Table10[[COUNTRY NAME]:[CONTINENT CODE]],3,FALSE)</f>
        <v>SA</v>
      </c>
      <c r="G469" s="16" t="s">
        <v>13135</v>
      </c>
      <c r="H469" s="181">
        <v>11578</v>
      </c>
      <c r="I469" s="180">
        <v>27.5</v>
      </c>
      <c r="K469" s="316">
        <f>IFERROR(Table28[[#This Row],[ROUTE COST]]/Table28[[#This Row],[O - DEMAND]],0)</f>
        <v>0</v>
      </c>
      <c r="M469" s="16">
        <f>Table28[[#This Row],[O - DEMAND]]/950</f>
        <v>0</v>
      </c>
      <c r="N469" s="16">
        <f>IFERROR(VLOOKUP(Table28[[#This Row],[ROUTE]],DEMAND!A:F,5,FALSE),0)</f>
        <v>0</v>
      </c>
      <c r="O469" s="16">
        <f>IFERROR(VLOOKUP(Table28[[#This Row],[ROUTE]],DEMAND!A:F,6,FALSE),0)</f>
        <v>0</v>
      </c>
      <c r="P469" s="16">
        <f>ROUNDDOWN(Table28[[#This Row],[R-DEMAND]]/950,0)</f>
        <v>0</v>
      </c>
      <c r="Q469" s="16">
        <f>Table28[[#This Row],[ADD ACC
(475/950)]]*Table28[[#This Row],[Duration
(A359)]]</f>
        <v>0</v>
      </c>
      <c r="R469" s="16">
        <f>IFERROR(VLOOKUP(Table28[[#This Row],[ROUTE]],PRICING!A:B,2,FALSE),0)</f>
        <v>0</v>
      </c>
      <c r="S469" s="16">
        <f>Table28[[#This Row],[C_DEMAND]]-Table28[[#This Row],[R-DEMAND]]</f>
        <v>0</v>
      </c>
      <c r="T469" s="316">
        <f>Table28[[#This Row],[SEATS SOLD]]*Table28[[#This Row],[ECO SEAT]]</f>
        <v>0</v>
      </c>
      <c r="U469" s="316">
        <f>Table28[[#This Row],[SEATS SOLD]]*(IFERROR(VLOOKUP(Table28[[#This Row],[ROUTE]],PRICING!A:C,3,FALSE),0))</f>
        <v>0</v>
      </c>
      <c r="V469" s="316">
        <f>Table28[[#This Row],[SEAT REV]]-Table28[[#This Row],[SEAT REV
(IF IDEAL $)]]</f>
        <v>0</v>
      </c>
      <c r="AA469" s="26"/>
      <c r="AB469" s="26"/>
      <c r="AC469" s="26"/>
      <c r="AD469" s="26"/>
      <c r="AE469" s="26"/>
      <c r="AS469" s="16" t="s">
        <v>2395</v>
      </c>
      <c r="AT469" s="16" t="s">
        <v>13234</v>
      </c>
      <c r="AU469" s="16" t="s">
        <v>2397</v>
      </c>
      <c r="AV469" s="16" t="s">
        <v>18884</v>
      </c>
      <c r="AW469" s="16" t="s">
        <v>18890</v>
      </c>
      <c r="AX469" s="16" t="s">
        <v>18895</v>
      </c>
      <c r="AY469" s="385">
        <v>12864</v>
      </c>
    </row>
    <row r="470" spans="1:51" x14ac:dyDescent="0.25">
      <c r="A470" s="16" t="s">
        <v>19593</v>
      </c>
      <c r="B470" s="16" t="s">
        <v>1272</v>
      </c>
      <c r="D470" s="16">
        <v>1</v>
      </c>
      <c r="E470" s="16" t="s">
        <v>1270</v>
      </c>
      <c r="F470" s="16" t="str">
        <f>VLOOKUP(Table28[[#This Row],[Country]],Table10[[COUNTRY NAME]:[CONTINENT CODE]],3,FALSE)</f>
        <v>AS</v>
      </c>
      <c r="G470" s="16" t="s">
        <v>11909</v>
      </c>
      <c r="H470" s="181">
        <v>13733</v>
      </c>
      <c r="I470" s="180">
        <v>32.25</v>
      </c>
      <c r="K470" s="316">
        <f>IFERROR(Table28[[#This Row],[ROUTE COST]]/Table28[[#This Row],[O - DEMAND]],0)</f>
        <v>0</v>
      </c>
      <c r="M470" s="16">
        <f>Table28[[#This Row],[O - DEMAND]]/950</f>
        <v>0</v>
      </c>
      <c r="N470" s="16">
        <f>IFERROR(VLOOKUP(Table28[[#This Row],[ROUTE]],DEMAND!A:F,5,FALSE),0)</f>
        <v>0</v>
      </c>
      <c r="O470" s="16">
        <f>IFERROR(VLOOKUP(Table28[[#This Row],[ROUTE]],DEMAND!A:F,6,FALSE),0)</f>
        <v>0</v>
      </c>
      <c r="P470" s="16">
        <f>ROUNDDOWN(Table28[[#This Row],[R-DEMAND]]/950,0)</f>
        <v>0</v>
      </c>
      <c r="Q470" s="16">
        <f>Table28[[#This Row],[ADD ACC
(475/950)]]*Table28[[#This Row],[Duration
(A359)]]</f>
        <v>0</v>
      </c>
      <c r="R470" s="16">
        <f>IFERROR(VLOOKUP(Table28[[#This Row],[ROUTE]],PRICING!A:B,2,FALSE),0)</f>
        <v>0</v>
      </c>
      <c r="S470" s="16">
        <f>Table28[[#This Row],[C_DEMAND]]-Table28[[#This Row],[R-DEMAND]]</f>
        <v>0</v>
      </c>
      <c r="T470" s="316">
        <f>Table28[[#This Row],[SEATS SOLD]]*Table28[[#This Row],[ECO SEAT]]</f>
        <v>0</v>
      </c>
      <c r="U470" s="316">
        <f>Table28[[#This Row],[SEATS SOLD]]*(IFERROR(VLOOKUP(Table28[[#This Row],[ROUTE]],PRICING!A:C,3,FALSE),0))</f>
        <v>0</v>
      </c>
      <c r="V470" s="316">
        <f>Table28[[#This Row],[SEAT REV]]-Table28[[#This Row],[SEAT REV
(IF IDEAL $)]]</f>
        <v>0</v>
      </c>
      <c r="AA470" s="26"/>
      <c r="AB470" s="26"/>
      <c r="AC470" s="26"/>
      <c r="AD470" s="26"/>
      <c r="AE470" s="26"/>
      <c r="AS470" s="16" t="s">
        <v>78</v>
      </c>
      <c r="AT470" s="16" t="s">
        <v>11919</v>
      </c>
      <c r="AU470" s="16" t="s">
        <v>4510</v>
      </c>
      <c r="AV470" s="16" t="s">
        <v>18881</v>
      </c>
      <c r="AW470" s="16" t="s">
        <v>18879</v>
      </c>
      <c r="AX470" s="16" t="s">
        <v>18893</v>
      </c>
      <c r="AY470" s="385">
        <v>12890</v>
      </c>
    </row>
    <row r="471" spans="1:51" x14ac:dyDescent="0.25">
      <c r="A471" s="16" t="s">
        <v>19217</v>
      </c>
      <c r="B471" s="16" t="s">
        <v>8728</v>
      </c>
      <c r="C471" s="16" t="s">
        <v>467</v>
      </c>
      <c r="D471" s="16">
        <v>3</v>
      </c>
      <c r="E471" s="16" t="s">
        <v>14</v>
      </c>
      <c r="F471" s="16" t="str">
        <f>VLOOKUP(Table28[[#This Row],[Country]],Table10[[COUNTRY NAME]:[CONTINENT CODE]],3,FALSE)</f>
        <v>AS</v>
      </c>
      <c r="G471" s="16" t="s">
        <v>12054</v>
      </c>
      <c r="H471" s="181">
        <v>9465</v>
      </c>
      <c r="I471" s="180">
        <v>23</v>
      </c>
      <c r="K471" s="316">
        <f>IFERROR(Table28[[#This Row],[ROUTE COST]]/Table28[[#This Row],[O - DEMAND]],0)</f>
        <v>0</v>
      </c>
      <c r="M471" s="16">
        <f>Table28[[#This Row],[O - DEMAND]]/950</f>
        <v>0</v>
      </c>
      <c r="N471" s="16">
        <f>IFERROR(VLOOKUP(Table28[[#This Row],[ROUTE]],DEMAND!A:F,5,FALSE),0)</f>
        <v>2973</v>
      </c>
      <c r="O471" s="16">
        <f>IFERROR(VLOOKUP(Table28[[#This Row],[ROUTE]],DEMAND!A:F,6,FALSE),0)</f>
        <v>123</v>
      </c>
      <c r="P471" s="16">
        <f>ROUNDDOWN(Table28[[#This Row],[R-DEMAND]]/950,0)</f>
        <v>0</v>
      </c>
      <c r="Q471" s="16">
        <f>Table28[[#This Row],[ADD ACC
(475/950)]]*Table28[[#This Row],[Duration
(A359)]]</f>
        <v>0</v>
      </c>
      <c r="R471" s="16">
        <f>IFERROR(VLOOKUP(Table28[[#This Row],[ROUTE]],PRICING!A:B,2,FALSE),0)</f>
        <v>0</v>
      </c>
      <c r="S471" s="16">
        <f>Table28[[#This Row],[C_DEMAND]]-Table28[[#This Row],[R-DEMAND]]</f>
        <v>2850</v>
      </c>
      <c r="T471" s="316">
        <f>Table28[[#This Row],[SEATS SOLD]]*Table28[[#This Row],[ECO SEAT]]</f>
        <v>0</v>
      </c>
      <c r="U471" s="316">
        <f>Table28[[#This Row],[SEATS SOLD]]*(IFERROR(VLOOKUP(Table28[[#This Row],[ROUTE]],PRICING!A:C,3,FALSE),0))</f>
        <v>0</v>
      </c>
      <c r="V471" s="316">
        <f>Table28[[#This Row],[SEAT REV]]-Table28[[#This Row],[SEAT REV
(IF IDEAL $)]]</f>
        <v>0</v>
      </c>
      <c r="AA471" s="26"/>
      <c r="AB471" s="26"/>
      <c r="AC471" s="26"/>
      <c r="AD471" s="26"/>
      <c r="AE471" s="26"/>
      <c r="AS471" s="16" t="s">
        <v>5481</v>
      </c>
      <c r="AT471" s="16" t="s">
        <v>11068</v>
      </c>
      <c r="AU471" s="16" t="s">
        <v>5483</v>
      </c>
      <c r="AV471" s="16" t="s">
        <v>18884</v>
      </c>
      <c r="AW471" s="16" t="s">
        <v>18899</v>
      </c>
      <c r="AX471" s="16" t="s">
        <v>18893</v>
      </c>
      <c r="AY471" s="385">
        <v>12900</v>
      </c>
    </row>
    <row r="472" spans="1:51" x14ac:dyDescent="0.25">
      <c r="A472" s="16" t="s">
        <v>19645</v>
      </c>
      <c r="B472" s="16" t="s">
        <v>5019</v>
      </c>
      <c r="C472" s="16" t="s">
        <v>467</v>
      </c>
      <c r="D472" s="16">
        <v>3</v>
      </c>
      <c r="E472" s="16" t="s">
        <v>1124</v>
      </c>
      <c r="F472" s="16" t="str">
        <f>VLOOKUP(Table28[[#This Row],[Country]],Table10[[COUNTRY NAME]:[CONTINENT CODE]],3,FALSE)</f>
        <v>AF</v>
      </c>
      <c r="G472" s="16" t="s">
        <v>11872</v>
      </c>
      <c r="H472" s="181">
        <v>14098</v>
      </c>
      <c r="I472" s="180">
        <v>33</v>
      </c>
      <c r="K472" s="316">
        <f>IFERROR(Table28[[#This Row],[ROUTE COST]]/Table28[[#This Row],[O - DEMAND]],0)</f>
        <v>0</v>
      </c>
      <c r="M472" s="16">
        <f>Table28[[#This Row],[O - DEMAND]]/950</f>
        <v>0</v>
      </c>
      <c r="N472" s="16">
        <f>IFERROR(VLOOKUP(Table28[[#This Row],[ROUTE]],DEMAND!A:F,5,FALSE),0)</f>
        <v>2457</v>
      </c>
      <c r="O472" s="16">
        <f>IFERROR(VLOOKUP(Table28[[#This Row],[ROUTE]],DEMAND!A:F,6,FALSE),0)</f>
        <v>557</v>
      </c>
      <c r="P472" s="16">
        <f>ROUNDDOWN(Table28[[#This Row],[R-DEMAND]]/950,0)</f>
        <v>0</v>
      </c>
      <c r="Q472" s="16">
        <f>Table28[[#This Row],[ADD ACC
(475/950)]]*Table28[[#This Row],[Duration
(A359)]]</f>
        <v>0</v>
      </c>
      <c r="R472" s="16">
        <f>IFERROR(VLOOKUP(Table28[[#This Row],[ROUTE]],PRICING!A:B,2,FALSE),0)</f>
        <v>0</v>
      </c>
      <c r="S472" s="16">
        <f>Table28[[#This Row],[C_DEMAND]]-Table28[[#This Row],[R-DEMAND]]</f>
        <v>1900</v>
      </c>
      <c r="T472" s="316">
        <f>Table28[[#This Row],[SEATS SOLD]]*Table28[[#This Row],[ECO SEAT]]</f>
        <v>0</v>
      </c>
      <c r="U472" s="316">
        <f>Table28[[#This Row],[SEATS SOLD]]*(IFERROR(VLOOKUP(Table28[[#This Row],[ROUTE]],PRICING!A:C,3,FALSE),0))</f>
        <v>0</v>
      </c>
      <c r="V472" s="316">
        <f>Table28[[#This Row],[SEAT REV]]-Table28[[#This Row],[SEAT REV
(IF IDEAL $)]]</f>
        <v>0</v>
      </c>
      <c r="AA472" s="26"/>
      <c r="AB472" s="26"/>
      <c r="AC472" s="26"/>
      <c r="AD472" s="26"/>
      <c r="AE472" s="26"/>
      <c r="AS472" s="16" t="s">
        <v>172</v>
      </c>
      <c r="AT472" s="16" t="s">
        <v>10659</v>
      </c>
      <c r="AU472" s="16" t="s">
        <v>3469</v>
      </c>
      <c r="AV472" s="16" t="s">
        <v>18881</v>
      </c>
      <c r="AW472" s="16" t="s">
        <v>18879</v>
      </c>
      <c r="AX472" s="16" t="s">
        <v>18893</v>
      </c>
      <c r="AY472" s="385">
        <v>12906</v>
      </c>
    </row>
    <row r="473" spans="1:51" x14ac:dyDescent="0.25">
      <c r="A473" s="16" t="s">
        <v>19273</v>
      </c>
      <c r="B473" s="16" t="s">
        <v>3243</v>
      </c>
      <c r="D473" s="16">
        <v>2</v>
      </c>
      <c r="E473" s="16" t="s">
        <v>197</v>
      </c>
      <c r="F473" s="16" t="str">
        <f>VLOOKUP(Table28[[#This Row],[Country]],Table10[[COUNTRY NAME]:[CONTINENT CODE]],3,FALSE)</f>
        <v>AS</v>
      </c>
      <c r="G473" s="16" t="s">
        <v>12013</v>
      </c>
      <c r="H473" s="181">
        <v>10941</v>
      </c>
      <c r="I473" s="180">
        <v>26.25</v>
      </c>
      <c r="K473" s="316">
        <f>IFERROR(Table28[[#This Row],[ROUTE COST]]/Table28[[#This Row],[O - DEMAND]],0)</f>
        <v>0</v>
      </c>
      <c r="M473" s="16">
        <f>Table28[[#This Row],[O - DEMAND]]/950</f>
        <v>0</v>
      </c>
      <c r="N473" s="16">
        <f>IFERROR(VLOOKUP(Table28[[#This Row],[ROUTE]],DEMAND!A:F,5,FALSE),0)</f>
        <v>0</v>
      </c>
      <c r="O473" s="16">
        <f>IFERROR(VLOOKUP(Table28[[#This Row],[ROUTE]],DEMAND!A:F,6,FALSE),0)</f>
        <v>0</v>
      </c>
      <c r="P473" s="16">
        <f>ROUNDDOWN(Table28[[#This Row],[R-DEMAND]]/950,0)</f>
        <v>0</v>
      </c>
      <c r="Q473" s="16">
        <f>Table28[[#This Row],[ADD ACC
(475/950)]]*Table28[[#This Row],[Duration
(A359)]]</f>
        <v>0</v>
      </c>
      <c r="R473" s="16">
        <f>IFERROR(VLOOKUP(Table28[[#This Row],[ROUTE]],PRICING!A:B,2,FALSE),0)</f>
        <v>0</v>
      </c>
      <c r="S473" s="16">
        <f>Table28[[#This Row],[C_DEMAND]]-Table28[[#This Row],[R-DEMAND]]</f>
        <v>0</v>
      </c>
      <c r="T473" s="316">
        <f>Table28[[#This Row],[SEATS SOLD]]*Table28[[#This Row],[ECO SEAT]]</f>
        <v>0</v>
      </c>
      <c r="U473" s="316">
        <f>Table28[[#This Row],[SEATS SOLD]]*(IFERROR(VLOOKUP(Table28[[#This Row],[ROUTE]],PRICING!A:C,3,FALSE),0))</f>
        <v>0</v>
      </c>
      <c r="V473" s="316">
        <f>Table28[[#This Row],[SEAT REV]]-Table28[[#This Row],[SEAT REV
(IF IDEAL $)]]</f>
        <v>0</v>
      </c>
      <c r="AA473" s="26"/>
      <c r="AB473" s="26"/>
      <c r="AC473" s="26"/>
      <c r="AD473" s="26"/>
      <c r="AE473" s="26"/>
      <c r="AS473" s="16" t="s">
        <v>11732</v>
      </c>
      <c r="AT473" s="16" t="s">
        <v>13273</v>
      </c>
      <c r="AU473" s="16" t="s">
        <v>5676</v>
      </c>
      <c r="AV473" s="16" t="s">
        <v>18884</v>
      </c>
      <c r="AW473" s="16" t="s">
        <v>18918</v>
      </c>
      <c r="AX473" s="16" t="s">
        <v>18893</v>
      </c>
      <c r="AY473" s="385">
        <v>12911</v>
      </c>
    </row>
    <row r="474" spans="1:51" x14ac:dyDescent="0.25">
      <c r="A474" s="16" t="s">
        <v>19202</v>
      </c>
      <c r="B474" s="16" t="s">
        <v>2884</v>
      </c>
      <c r="D474" s="16">
        <v>2</v>
      </c>
      <c r="E474" s="16" t="s">
        <v>14</v>
      </c>
      <c r="F474" s="16" t="str">
        <f>VLOOKUP(Table28[[#This Row],[Country]],Table10[[COUNTRY NAME]:[CONTINENT CODE]],3,FALSE)</f>
        <v>AS</v>
      </c>
      <c r="G474" s="16" t="s">
        <v>12058</v>
      </c>
      <c r="H474" s="181">
        <v>9228</v>
      </c>
      <c r="I474" s="180">
        <v>22.5</v>
      </c>
      <c r="K474" s="316">
        <f>IFERROR(Table28[[#This Row],[ROUTE COST]]/Table28[[#This Row],[O - DEMAND]],0)</f>
        <v>0</v>
      </c>
      <c r="M474" s="16">
        <f>Table28[[#This Row],[O - DEMAND]]/950</f>
        <v>0</v>
      </c>
      <c r="N474" s="16">
        <f>IFERROR(VLOOKUP(Table28[[#This Row],[ROUTE]],DEMAND!A:F,5,FALSE),0)</f>
        <v>0</v>
      </c>
      <c r="O474" s="16">
        <f>IFERROR(VLOOKUP(Table28[[#This Row],[ROUTE]],DEMAND!A:F,6,FALSE),0)</f>
        <v>0</v>
      </c>
      <c r="P474" s="16">
        <f>ROUNDDOWN(Table28[[#This Row],[R-DEMAND]]/950,0)</f>
        <v>0</v>
      </c>
      <c r="Q474" s="16">
        <f>Table28[[#This Row],[ADD ACC
(475/950)]]*Table28[[#This Row],[Duration
(A359)]]</f>
        <v>0</v>
      </c>
      <c r="R474" s="16">
        <f>IFERROR(VLOOKUP(Table28[[#This Row],[ROUTE]],PRICING!A:B,2,FALSE),0)</f>
        <v>0</v>
      </c>
      <c r="S474" s="16">
        <f>Table28[[#This Row],[C_DEMAND]]-Table28[[#This Row],[R-DEMAND]]</f>
        <v>0</v>
      </c>
      <c r="T474" s="316">
        <f>Table28[[#This Row],[SEATS SOLD]]*Table28[[#This Row],[ECO SEAT]]</f>
        <v>0</v>
      </c>
      <c r="U474" s="316">
        <f>Table28[[#This Row],[SEATS SOLD]]*(IFERROR(VLOOKUP(Table28[[#This Row],[ROUTE]],PRICING!A:C,3,FALSE),0))</f>
        <v>0</v>
      </c>
      <c r="V474" s="316">
        <f>Table28[[#This Row],[SEAT REV]]-Table28[[#This Row],[SEAT REV
(IF IDEAL $)]]</f>
        <v>0</v>
      </c>
      <c r="AA474" s="26"/>
      <c r="AB474" s="26"/>
      <c r="AC474" s="26"/>
      <c r="AD474" s="26"/>
      <c r="AE474" s="26"/>
      <c r="AS474" s="16" t="s">
        <v>644</v>
      </c>
      <c r="AT474" s="16" t="s">
        <v>11848</v>
      </c>
      <c r="AU474" s="16" t="s">
        <v>1598</v>
      </c>
      <c r="AV474" s="16" t="s">
        <v>18884</v>
      </c>
      <c r="AW474" s="16" t="s">
        <v>18890</v>
      </c>
      <c r="AX474" s="16" t="s">
        <v>18893</v>
      </c>
      <c r="AY474" s="385">
        <v>12912</v>
      </c>
    </row>
    <row r="475" spans="1:51" x14ac:dyDescent="0.25">
      <c r="A475" s="16" t="s">
        <v>19537</v>
      </c>
      <c r="B475" s="16" t="s">
        <v>4473</v>
      </c>
      <c r="D475" s="16">
        <v>2</v>
      </c>
      <c r="E475" s="16" t="s">
        <v>11732</v>
      </c>
      <c r="F475" s="16" t="str">
        <f>VLOOKUP(Table28[[#This Row],[Country]],Table10[[COUNTRY NAME]:[CONTINENT CODE]],3,FALSE)</f>
        <v>NA - US</v>
      </c>
      <c r="G475" s="16" t="s">
        <v>13304</v>
      </c>
      <c r="H475" s="181">
        <v>13323</v>
      </c>
      <c r="I475" s="180">
        <v>31.25</v>
      </c>
      <c r="K475" s="316">
        <f>IFERROR(Table28[[#This Row],[ROUTE COST]]/Table28[[#This Row],[O - DEMAND]],0)</f>
        <v>0</v>
      </c>
      <c r="M475" s="180">
        <f>Table28[[#This Row],[O - DEMAND]]/950</f>
        <v>0</v>
      </c>
      <c r="N475" s="16">
        <f>IFERROR(VLOOKUP(Table28[[#This Row],[ROUTE]],DEMAND!A:F,5,FALSE),0)</f>
        <v>0</v>
      </c>
      <c r="O475" s="16">
        <f>IFERROR(VLOOKUP(Table28[[#This Row],[ROUTE]],DEMAND!A:F,6,FALSE),0)</f>
        <v>0</v>
      </c>
      <c r="P475" s="16">
        <f>ROUNDDOWN(Table28[[#This Row],[R-DEMAND]]/950,0)</f>
        <v>0</v>
      </c>
      <c r="Q475" s="16">
        <f>Table28[[#This Row],[ADD ACC
(475/950)]]*Table28[[#This Row],[Duration
(A359)]]</f>
        <v>0</v>
      </c>
      <c r="R475" s="16">
        <f>IFERROR(VLOOKUP(Table28[[#This Row],[ROUTE]],PRICING!A:B,2,FALSE),0)</f>
        <v>0</v>
      </c>
      <c r="S475" s="16">
        <f>Table28[[#This Row],[C_DEMAND]]-Table28[[#This Row],[R-DEMAND]]</f>
        <v>0</v>
      </c>
      <c r="T475" s="316">
        <f>Table28[[#This Row],[SEATS SOLD]]*Table28[[#This Row],[ECO SEAT]]</f>
        <v>0</v>
      </c>
      <c r="U475" s="316">
        <f>Table28[[#This Row],[SEATS SOLD]]*(IFERROR(VLOOKUP(Table28[[#This Row],[ROUTE]],PRICING!A:C,3,FALSE),0))</f>
        <v>0</v>
      </c>
      <c r="V475" s="316">
        <f>Table28[[#This Row],[SEAT REV]]-Table28[[#This Row],[SEAT REV
(IF IDEAL $)]]</f>
        <v>0</v>
      </c>
      <c r="AA475" s="26"/>
      <c r="AB475" s="26"/>
      <c r="AC475" s="26"/>
      <c r="AD475" s="26"/>
      <c r="AE475" s="26"/>
      <c r="AS475" s="16" t="s">
        <v>1749</v>
      </c>
      <c r="AT475" s="16" t="s">
        <v>16977</v>
      </c>
      <c r="AU475" s="16" t="s">
        <v>4034</v>
      </c>
      <c r="AV475" s="16" t="s">
        <v>18878</v>
      </c>
      <c r="AW475" s="16" t="s">
        <v>18879</v>
      </c>
      <c r="AX475" s="16" t="s">
        <v>18893</v>
      </c>
      <c r="AY475" s="385">
        <v>12912</v>
      </c>
    </row>
    <row r="476" spans="1:51" x14ac:dyDescent="0.25">
      <c r="A476" s="16" t="s">
        <v>19731</v>
      </c>
      <c r="B476" s="16" t="s">
        <v>4337</v>
      </c>
      <c r="D476" s="16">
        <v>2</v>
      </c>
      <c r="E476" s="16" t="s">
        <v>517</v>
      </c>
      <c r="F476" s="16" t="str">
        <f>VLOOKUP(Table28[[#This Row],[Country]],Table10[[COUNTRY NAME]:[CONTINENT CODE]],3,FALSE)</f>
        <v>SA</v>
      </c>
      <c r="G476" s="16" t="s">
        <v>16999</v>
      </c>
      <c r="H476" s="181">
        <v>14765</v>
      </c>
      <c r="I476" s="180">
        <v>34.5</v>
      </c>
      <c r="K476" s="316">
        <f>IFERROR(Table28[[#This Row],[ROUTE COST]]/Table28[[#This Row],[O - DEMAND]],0)</f>
        <v>0</v>
      </c>
      <c r="M476" s="16">
        <f>Table28[[#This Row],[O - DEMAND]]/950</f>
        <v>0</v>
      </c>
      <c r="N476" s="16">
        <f>IFERROR(VLOOKUP(Table28[[#This Row],[ROUTE]],DEMAND!A:F,5,FALSE),0)</f>
        <v>0</v>
      </c>
      <c r="O476" s="16">
        <f>IFERROR(VLOOKUP(Table28[[#This Row],[ROUTE]],DEMAND!A:F,6,FALSE),0)</f>
        <v>0</v>
      </c>
      <c r="P476" s="16">
        <f>ROUNDDOWN(Table28[[#This Row],[R-DEMAND]]/950,0)</f>
        <v>0</v>
      </c>
      <c r="Q476" s="16">
        <f>Table28[[#This Row],[ADD ACC
(475/950)]]*Table28[[#This Row],[Duration
(A359)]]</f>
        <v>0</v>
      </c>
      <c r="R476" s="16">
        <f>IFERROR(VLOOKUP(Table28[[#This Row],[ROUTE]],PRICING!A:B,2,FALSE),0)</f>
        <v>0</v>
      </c>
      <c r="S476" s="16">
        <f>Table28[[#This Row],[C_DEMAND]]-Table28[[#This Row],[R-DEMAND]]</f>
        <v>0</v>
      </c>
      <c r="T476" s="316">
        <f>Table28[[#This Row],[SEATS SOLD]]*Table28[[#This Row],[ECO SEAT]]</f>
        <v>0</v>
      </c>
      <c r="U476" s="316">
        <f>Table28[[#This Row],[SEATS SOLD]]*(IFERROR(VLOOKUP(Table28[[#This Row],[ROUTE]],PRICING!A:C,3,FALSE),0))</f>
        <v>0</v>
      </c>
      <c r="V476" s="316">
        <f>Table28[[#This Row],[SEAT REV]]-Table28[[#This Row],[SEAT REV
(IF IDEAL $)]]</f>
        <v>0</v>
      </c>
      <c r="AA476" s="26"/>
      <c r="AB476" s="26"/>
      <c r="AC476" s="26"/>
      <c r="AD476" s="26"/>
      <c r="AE476" s="26"/>
      <c r="AS476" s="16" t="s">
        <v>714</v>
      </c>
      <c r="AT476" s="16" t="s">
        <v>13240</v>
      </c>
      <c r="AU476" s="16" t="s">
        <v>1842</v>
      </c>
      <c r="AV476" s="16" t="s">
        <v>18892</v>
      </c>
      <c r="AW476" s="16" t="s">
        <v>18890</v>
      </c>
      <c r="AX476" s="16" t="s">
        <v>18893</v>
      </c>
      <c r="AY476" s="385">
        <v>12915</v>
      </c>
    </row>
    <row r="477" spans="1:51" x14ac:dyDescent="0.25">
      <c r="A477" s="16" t="s">
        <v>19764</v>
      </c>
      <c r="B477" s="16" t="s">
        <v>5130</v>
      </c>
      <c r="C477" s="16" t="s">
        <v>467</v>
      </c>
      <c r="D477" s="16">
        <v>3</v>
      </c>
      <c r="E477" s="16" t="s">
        <v>4045</v>
      </c>
      <c r="F477" s="16" t="str">
        <f>VLOOKUP(Table28[[#This Row],[Country]],Table10[[COUNTRY NAME]:[CONTINENT CODE]],3,FALSE)</f>
        <v>SA</v>
      </c>
      <c r="G477" s="16" t="s">
        <v>13375</v>
      </c>
      <c r="H477" s="181">
        <v>14948</v>
      </c>
      <c r="I477" s="180">
        <v>35</v>
      </c>
      <c r="K477" s="316">
        <f>IFERROR(Table28[[#This Row],[ROUTE COST]]/Table28[[#This Row],[O - DEMAND]],0)</f>
        <v>0</v>
      </c>
      <c r="M477" s="16">
        <f>Table28[[#This Row],[O - DEMAND]]/950</f>
        <v>0</v>
      </c>
      <c r="N477" s="16">
        <f>IFERROR(VLOOKUP(Table28[[#This Row],[ROUTE]],DEMAND!A:F,5,FALSE),0)</f>
        <v>2217</v>
      </c>
      <c r="O477" s="16">
        <f>IFERROR(VLOOKUP(Table28[[#This Row],[ROUTE]],DEMAND!A:F,6,FALSE),0)</f>
        <v>317</v>
      </c>
      <c r="P477" s="16">
        <f>ROUNDDOWN(Table28[[#This Row],[R-DEMAND]]/950,0)</f>
        <v>0</v>
      </c>
      <c r="Q477" s="16">
        <f>Table28[[#This Row],[ADD ACC
(475/950)]]*Table28[[#This Row],[Duration
(A359)]]</f>
        <v>0</v>
      </c>
      <c r="R477" s="16">
        <f>IFERROR(VLOOKUP(Table28[[#This Row],[ROUTE]],PRICING!A:B,2,FALSE),0)</f>
        <v>0</v>
      </c>
      <c r="S477" s="16">
        <f>Table28[[#This Row],[C_DEMAND]]-Table28[[#This Row],[R-DEMAND]]</f>
        <v>1900</v>
      </c>
      <c r="T477" s="316">
        <f>Table28[[#This Row],[SEATS SOLD]]*Table28[[#This Row],[ECO SEAT]]</f>
        <v>0</v>
      </c>
      <c r="U477" s="316">
        <f>Table28[[#This Row],[SEATS SOLD]]*(IFERROR(VLOOKUP(Table28[[#This Row],[ROUTE]],PRICING!A:C,3,FALSE),0))</f>
        <v>0</v>
      </c>
      <c r="V477" s="316">
        <f>Table28[[#This Row],[SEAT REV]]-Table28[[#This Row],[SEAT REV
(IF IDEAL $)]]</f>
        <v>0</v>
      </c>
      <c r="AA477" s="26"/>
      <c r="AB477" s="26"/>
      <c r="AC477" s="26"/>
      <c r="AD477" s="26"/>
      <c r="AE477" s="26"/>
      <c r="AS477" s="16" t="s">
        <v>502</v>
      </c>
      <c r="AT477" s="16" t="s">
        <v>11941</v>
      </c>
      <c r="AU477" s="16" t="s">
        <v>5283</v>
      </c>
      <c r="AV477" s="16" t="s">
        <v>18884</v>
      </c>
      <c r="AW477" s="16" t="s">
        <v>18885</v>
      </c>
      <c r="AX477" s="16" t="s">
        <v>18893</v>
      </c>
      <c r="AY477" s="385">
        <v>12922</v>
      </c>
    </row>
    <row r="478" spans="1:51" x14ac:dyDescent="0.25">
      <c r="A478" s="16" t="s">
        <v>19325</v>
      </c>
      <c r="B478" s="16" t="s">
        <v>4644</v>
      </c>
      <c r="C478" s="16" t="s">
        <v>467</v>
      </c>
      <c r="D478" s="16">
        <v>2</v>
      </c>
      <c r="E478" s="16" t="s">
        <v>1189</v>
      </c>
      <c r="F478" s="16" t="str">
        <f>VLOOKUP(Table28[[#This Row],[Country]],Table10[[COUNTRY NAME]:[CONTINENT CODE]],3,FALSE)</f>
        <v>AF</v>
      </c>
      <c r="G478" s="16" t="s">
        <v>11940</v>
      </c>
      <c r="H478" s="181">
        <v>11720</v>
      </c>
      <c r="I478" s="180">
        <v>27.75</v>
      </c>
      <c r="K478" s="316">
        <f>IFERROR(Table28[[#This Row],[ROUTE COST]]/Table28[[#This Row],[O - DEMAND]],0)</f>
        <v>0</v>
      </c>
      <c r="M478" s="16">
        <f>Table28[[#This Row],[O - DEMAND]]/950</f>
        <v>0</v>
      </c>
      <c r="N478" s="16">
        <f>IFERROR(VLOOKUP(Table28[[#This Row],[ROUTE]],DEMAND!A:F,5,FALSE),0)</f>
        <v>3759</v>
      </c>
      <c r="O478" s="16">
        <f>IFERROR(VLOOKUP(Table28[[#This Row],[ROUTE]],DEMAND!A:F,6,FALSE),0)</f>
        <v>909</v>
      </c>
      <c r="P478" s="16">
        <f>ROUNDDOWN(Table28[[#This Row],[R-DEMAND]]/950,0)</f>
        <v>0</v>
      </c>
      <c r="Q478" s="16">
        <f>Table28[[#This Row],[ADD ACC
(475/950)]]*Table28[[#This Row],[Duration
(A359)]]</f>
        <v>0</v>
      </c>
      <c r="R478" s="16">
        <f>IFERROR(VLOOKUP(Table28[[#This Row],[ROUTE]],PRICING!A:B,2,FALSE),0)</f>
        <v>0</v>
      </c>
      <c r="S478" s="16">
        <f>Table28[[#This Row],[C_DEMAND]]-Table28[[#This Row],[R-DEMAND]]</f>
        <v>2850</v>
      </c>
      <c r="T478" s="316">
        <f>Table28[[#This Row],[SEATS SOLD]]*Table28[[#This Row],[ECO SEAT]]</f>
        <v>0</v>
      </c>
      <c r="U478" s="316">
        <f>Table28[[#This Row],[SEATS SOLD]]*(IFERROR(VLOOKUP(Table28[[#This Row],[ROUTE]],PRICING!A:C,3,FALSE),0))</f>
        <v>0</v>
      </c>
      <c r="V478" s="316">
        <f>Table28[[#This Row],[SEAT REV]]-Table28[[#This Row],[SEAT REV
(IF IDEAL $)]]</f>
        <v>0</v>
      </c>
      <c r="AA478" s="26"/>
      <c r="AB478" s="26"/>
      <c r="AC478" s="26"/>
      <c r="AD478" s="26"/>
      <c r="AE478" s="26"/>
      <c r="AS478" s="16" t="s">
        <v>502</v>
      </c>
      <c r="AT478" s="16" t="s">
        <v>11038</v>
      </c>
      <c r="AU478" s="16" t="s">
        <v>58</v>
      </c>
      <c r="AV478" s="16" t="s">
        <v>18884</v>
      </c>
      <c r="AW478" s="16" t="s">
        <v>18899</v>
      </c>
      <c r="AX478" s="16" t="s">
        <v>18893</v>
      </c>
      <c r="AY478" s="385">
        <v>12922</v>
      </c>
    </row>
    <row r="479" spans="1:51" x14ac:dyDescent="0.25">
      <c r="A479" s="16" t="s">
        <v>19746</v>
      </c>
      <c r="B479" s="16" t="s">
        <v>5223</v>
      </c>
      <c r="D479" s="16">
        <v>3</v>
      </c>
      <c r="E479" s="16" t="s">
        <v>4894</v>
      </c>
      <c r="F479" s="16" t="str">
        <f>VLOOKUP(Table28[[#This Row],[Country]],Table10[[COUNTRY NAME]:[CONTINENT CODE]],3,FALSE)</f>
        <v>NA</v>
      </c>
      <c r="G479" s="16" t="s">
        <v>17031</v>
      </c>
      <c r="H479" s="181">
        <v>14884</v>
      </c>
      <c r="I479" s="180">
        <v>34.75</v>
      </c>
      <c r="K479" s="316">
        <f>IFERROR(Table28[[#This Row],[ROUTE COST]]/Table28[[#This Row],[O - DEMAND]],0)</f>
        <v>0</v>
      </c>
      <c r="M479" s="16">
        <f>Table28[[#This Row],[O - DEMAND]]/950</f>
        <v>0</v>
      </c>
      <c r="N479" s="16">
        <f>IFERROR(VLOOKUP(Table28[[#This Row],[ROUTE]],DEMAND!A:F,5,FALSE),0)</f>
        <v>0</v>
      </c>
      <c r="O479" s="16">
        <f>IFERROR(VLOOKUP(Table28[[#This Row],[ROUTE]],DEMAND!A:F,6,FALSE),0)</f>
        <v>0</v>
      </c>
      <c r="P479" s="16">
        <f>ROUNDDOWN(Table28[[#This Row],[R-DEMAND]]/950,0)</f>
        <v>0</v>
      </c>
      <c r="Q479" s="16">
        <f>Table28[[#This Row],[ADD ACC
(475/950)]]*Table28[[#This Row],[Duration
(A359)]]</f>
        <v>0</v>
      </c>
      <c r="R479" s="16">
        <f>IFERROR(VLOOKUP(Table28[[#This Row],[ROUTE]],PRICING!A:B,2,FALSE),0)</f>
        <v>0</v>
      </c>
      <c r="S479" s="16">
        <f>Table28[[#This Row],[C_DEMAND]]-Table28[[#This Row],[R-DEMAND]]</f>
        <v>0</v>
      </c>
      <c r="T479" s="316">
        <f>Table28[[#This Row],[SEATS SOLD]]*Table28[[#This Row],[ECO SEAT]]</f>
        <v>0</v>
      </c>
      <c r="U479" s="316">
        <f>Table28[[#This Row],[SEATS SOLD]]*(IFERROR(VLOOKUP(Table28[[#This Row],[ROUTE]],PRICING!A:C,3,FALSE),0))</f>
        <v>0</v>
      </c>
      <c r="V479" s="316">
        <f>Table28[[#This Row],[SEAT REV]]-Table28[[#This Row],[SEAT REV
(IF IDEAL $)]]</f>
        <v>0</v>
      </c>
      <c r="AA479" s="26"/>
      <c r="AB479" s="26"/>
      <c r="AC479" s="26"/>
      <c r="AD479" s="26"/>
      <c r="AE479" s="26"/>
      <c r="AS479" s="16" t="s">
        <v>502</v>
      </c>
      <c r="AT479" s="16" t="s">
        <v>10765</v>
      </c>
      <c r="AU479" s="16" t="s">
        <v>4964</v>
      </c>
      <c r="AV479" s="16" t="s">
        <v>18884</v>
      </c>
      <c r="AW479" s="16" t="s">
        <v>18885</v>
      </c>
      <c r="AX479" s="16" t="s">
        <v>18893</v>
      </c>
      <c r="AY479" s="385">
        <v>12933</v>
      </c>
    </row>
    <row r="480" spans="1:51" x14ac:dyDescent="0.25">
      <c r="A480" s="16" t="s">
        <v>19669</v>
      </c>
      <c r="B480" s="16" t="s">
        <v>5574</v>
      </c>
      <c r="D480" s="16">
        <v>4</v>
      </c>
      <c r="E480" s="16" t="s">
        <v>11732</v>
      </c>
      <c r="F480" s="16" t="str">
        <f>VLOOKUP(Table28[[#This Row],[Country]],Table10[[COUNTRY NAME]:[CONTINENT CODE]],3,FALSE)</f>
        <v>NA - US</v>
      </c>
      <c r="G480" s="16" t="s">
        <v>13303</v>
      </c>
      <c r="H480" s="181">
        <v>14238</v>
      </c>
      <c r="I480" s="180">
        <v>33.5</v>
      </c>
      <c r="K480" s="316">
        <f>IFERROR(Table28[[#This Row],[ROUTE COST]]/Table28[[#This Row],[O - DEMAND]],0)</f>
        <v>0</v>
      </c>
      <c r="M480" s="180">
        <f>Table28[[#This Row],[O - DEMAND]]/950</f>
        <v>0</v>
      </c>
      <c r="N480" s="16">
        <f>IFERROR(VLOOKUP(Table28[[#This Row],[ROUTE]],DEMAND!A:F,5,FALSE),0)</f>
        <v>0</v>
      </c>
      <c r="O480" s="16">
        <f>IFERROR(VLOOKUP(Table28[[#This Row],[ROUTE]],DEMAND!A:F,6,FALSE),0)</f>
        <v>0</v>
      </c>
      <c r="P480" s="16">
        <f>ROUNDDOWN(Table28[[#This Row],[R-DEMAND]]/950,0)</f>
        <v>0</v>
      </c>
      <c r="Q480" s="16">
        <f>Table28[[#This Row],[ADD ACC
(475/950)]]*Table28[[#This Row],[Duration
(A359)]]</f>
        <v>0</v>
      </c>
      <c r="R480" s="16">
        <f>IFERROR(VLOOKUP(Table28[[#This Row],[ROUTE]],PRICING!A:B,2,FALSE),0)</f>
        <v>0</v>
      </c>
      <c r="S480" s="16">
        <f>Table28[[#This Row],[C_DEMAND]]-Table28[[#This Row],[R-DEMAND]]</f>
        <v>0</v>
      </c>
      <c r="T480" s="316">
        <f>Table28[[#This Row],[SEATS SOLD]]*Table28[[#This Row],[ECO SEAT]]</f>
        <v>0</v>
      </c>
      <c r="U480" s="316">
        <f>Table28[[#This Row],[SEATS SOLD]]*(IFERROR(VLOOKUP(Table28[[#This Row],[ROUTE]],PRICING!A:C,3,FALSE),0))</f>
        <v>0</v>
      </c>
      <c r="V480" s="316">
        <f>Table28[[#This Row],[SEAT REV]]-Table28[[#This Row],[SEAT REV
(IF IDEAL $)]]</f>
        <v>0</v>
      </c>
      <c r="AA480" s="26"/>
      <c r="AB480" s="26"/>
      <c r="AC480" s="26"/>
      <c r="AD480" s="26"/>
      <c r="AE480" s="26"/>
      <c r="AS480" s="16" t="s">
        <v>1749</v>
      </c>
      <c r="AT480" s="16" t="s">
        <v>13224</v>
      </c>
      <c r="AU480" s="16" t="s">
        <v>5070</v>
      </c>
      <c r="AV480" s="16" t="s">
        <v>18884</v>
      </c>
      <c r="AW480" s="16" t="s">
        <v>18885</v>
      </c>
      <c r="AX480" s="16" t="s">
        <v>18893</v>
      </c>
      <c r="AY480" s="385">
        <v>12935</v>
      </c>
    </row>
    <row r="481" spans="1:51" x14ac:dyDescent="0.25">
      <c r="A481" s="16" t="s">
        <v>19779</v>
      </c>
      <c r="B481" s="16" t="s">
        <v>5727</v>
      </c>
      <c r="C481" s="16" t="s">
        <v>467</v>
      </c>
      <c r="D481" s="16">
        <v>5</v>
      </c>
      <c r="E481" s="16" t="s">
        <v>11732</v>
      </c>
      <c r="F481" s="16" t="str">
        <f>VLOOKUP(Table28[[#This Row],[Country]],Table10[[COUNTRY NAME]:[CONTINENT CODE]],3,FALSE)</f>
        <v>NA - US</v>
      </c>
      <c r="G481" s="16" t="s">
        <v>13368</v>
      </c>
      <c r="H481" s="181">
        <v>15042</v>
      </c>
      <c r="I481" s="180">
        <v>35.25</v>
      </c>
      <c r="K481" s="316">
        <f>IFERROR(Table28[[#This Row],[ROUTE COST]]/Table28[[#This Row],[O - DEMAND]],0)</f>
        <v>0</v>
      </c>
      <c r="M481" s="180">
        <f>Table28[[#This Row],[O - DEMAND]]/950</f>
        <v>0</v>
      </c>
      <c r="N481" s="16">
        <f>IFERROR(VLOOKUP(Table28[[#This Row],[ROUTE]],DEMAND!A:F,5,FALSE),0)</f>
        <v>1871</v>
      </c>
      <c r="O481" s="16">
        <f>IFERROR(VLOOKUP(Table28[[#This Row],[ROUTE]],DEMAND!A:F,6,FALSE),0)</f>
        <v>921</v>
      </c>
      <c r="P481" s="16">
        <f>ROUNDDOWN(Table28[[#This Row],[R-DEMAND]]/950,0)</f>
        <v>0</v>
      </c>
      <c r="Q481" s="16">
        <f>Table28[[#This Row],[ADD ACC
(475/950)]]*Table28[[#This Row],[Duration
(A359)]]</f>
        <v>0</v>
      </c>
      <c r="R481" s="16">
        <f>IFERROR(VLOOKUP(Table28[[#This Row],[ROUTE]],PRICING!A:B,2,FALSE),0)</f>
        <v>0</v>
      </c>
      <c r="S481" s="16">
        <f>Table28[[#This Row],[C_DEMAND]]-Table28[[#This Row],[R-DEMAND]]</f>
        <v>950</v>
      </c>
      <c r="T481" s="316">
        <f>Table28[[#This Row],[SEATS SOLD]]*Table28[[#This Row],[ECO SEAT]]</f>
        <v>0</v>
      </c>
      <c r="U481" s="316">
        <f>Table28[[#This Row],[SEATS SOLD]]*(IFERROR(VLOOKUP(Table28[[#This Row],[ROUTE]],PRICING!A:C,3,FALSE),0))</f>
        <v>0</v>
      </c>
      <c r="V481" s="316">
        <f>Table28[[#This Row],[SEAT REV]]-Table28[[#This Row],[SEAT REV
(IF IDEAL $)]]</f>
        <v>0</v>
      </c>
      <c r="AA481" s="26"/>
      <c r="AB481" s="26"/>
      <c r="AC481" s="26"/>
      <c r="AD481" s="26"/>
      <c r="AE481" s="26"/>
      <c r="AS481" s="16" t="s">
        <v>714</v>
      </c>
      <c r="AT481" s="16" t="s">
        <v>13239</v>
      </c>
      <c r="AU481" s="16" t="s">
        <v>917</v>
      </c>
      <c r="AV481" s="16" t="s">
        <v>18892</v>
      </c>
      <c r="AW481" s="16" t="s">
        <v>18890</v>
      </c>
      <c r="AX481" s="16" t="s">
        <v>18893</v>
      </c>
      <c r="AY481" s="385">
        <v>12938</v>
      </c>
    </row>
    <row r="482" spans="1:51" x14ac:dyDescent="0.25">
      <c r="A482" s="16" t="s">
        <v>19323</v>
      </c>
      <c r="B482" s="16" t="s">
        <v>180</v>
      </c>
      <c r="C482" s="16" t="s">
        <v>467</v>
      </c>
      <c r="D482" s="16">
        <v>3</v>
      </c>
      <c r="E482" s="16" t="s">
        <v>1456</v>
      </c>
      <c r="F482" s="16" t="str">
        <f>VLOOKUP(Table28[[#This Row],[Country]],Table10[[COUNTRY NAME]:[CONTINENT CODE]],3,FALSE)</f>
        <v>AS</v>
      </c>
      <c r="G482" s="16" t="s">
        <v>11992</v>
      </c>
      <c r="H482" s="181">
        <v>11698</v>
      </c>
      <c r="I482" s="180">
        <v>27.75</v>
      </c>
      <c r="K482" s="316">
        <f>IFERROR(Table28[[#This Row],[ROUTE COST]]/Table28[[#This Row],[O - DEMAND]],0)</f>
        <v>0</v>
      </c>
      <c r="M482" s="16">
        <f>Table28[[#This Row],[O - DEMAND]]/950</f>
        <v>0</v>
      </c>
      <c r="N482" s="16">
        <f>IFERROR(VLOOKUP(Table28[[#This Row],[ROUTE]],DEMAND!A:F,5,FALSE),0)</f>
        <v>2979</v>
      </c>
      <c r="O482" s="16">
        <f>IFERROR(VLOOKUP(Table28[[#This Row],[ROUTE]],DEMAND!A:F,6,FALSE),0)</f>
        <v>129</v>
      </c>
      <c r="P482" s="16">
        <f>ROUNDDOWN(Table28[[#This Row],[R-DEMAND]]/950,0)</f>
        <v>0</v>
      </c>
      <c r="Q482" s="16">
        <f>Table28[[#This Row],[ADD ACC
(475/950)]]*Table28[[#This Row],[Duration
(A359)]]</f>
        <v>0</v>
      </c>
      <c r="R482" s="16">
        <f>IFERROR(VLOOKUP(Table28[[#This Row],[ROUTE]],PRICING!A:B,2,FALSE),0)</f>
        <v>0</v>
      </c>
      <c r="S482" s="16">
        <f>Table28[[#This Row],[C_DEMAND]]-Table28[[#This Row],[R-DEMAND]]</f>
        <v>2850</v>
      </c>
      <c r="T482" s="316">
        <f>Table28[[#This Row],[SEATS SOLD]]*Table28[[#This Row],[ECO SEAT]]</f>
        <v>0</v>
      </c>
      <c r="U482" s="316">
        <f>Table28[[#This Row],[SEATS SOLD]]*(IFERROR(VLOOKUP(Table28[[#This Row],[ROUTE]],PRICING!A:C,3,FALSE),0))</f>
        <v>0</v>
      </c>
      <c r="V482" s="316">
        <f>Table28[[#This Row],[SEAT REV]]-Table28[[#This Row],[SEAT REV
(IF IDEAL $)]]</f>
        <v>0</v>
      </c>
      <c r="AA482" s="26"/>
      <c r="AB482" s="26"/>
      <c r="AC482" s="26"/>
      <c r="AD482" s="26"/>
      <c r="AE482" s="26"/>
      <c r="AS482" s="16" t="s">
        <v>1749</v>
      </c>
      <c r="AT482" s="16" t="s">
        <v>16970</v>
      </c>
      <c r="AU482" s="16" t="s">
        <v>4363</v>
      </c>
      <c r="AV482" s="16" t="s">
        <v>18878</v>
      </c>
      <c r="AW482" s="16" t="s">
        <v>18879</v>
      </c>
      <c r="AX482" s="16" t="s">
        <v>18893</v>
      </c>
      <c r="AY482" s="385">
        <v>12945</v>
      </c>
    </row>
    <row r="483" spans="1:51" x14ac:dyDescent="0.25">
      <c r="A483" s="16" t="s">
        <v>19565</v>
      </c>
      <c r="B483" s="16" t="s">
        <v>2345</v>
      </c>
      <c r="D483" s="16">
        <v>1</v>
      </c>
      <c r="E483" s="16" t="s">
        <v>78</v>
      </c>
      <c r="F483" s="16" t="str">
        <f>VLOOKUP(Table28[[#This Row],[Country]],Table10[[COUNTRY NAME]:[CONTINENT CODE]],3,FALSE)</f>
        <v>EU</v>
      </c>
      <c r="G483" s="16" t="s">
        <v>16860</v>
      </c>
      <c r="H483" s="181">
        <v>13509</v>
      </c>
      <c r="I483" s="180">
        <v>31.75</v>
      </c>
      <c r="K483" s="316">
        <f>IFERROR(Table28[[#This Row],[ROUTE COST]]/Table28[[#This Row],[O - DEMAND]],0)</f>
        <v>0</v>
      </c>
      <c r="M483" s="16">
        <f>Table28[[#This Row],[O - DEMAND]]/950</f>
        <v>0</v>
      </c>
      <c r="N483" s="16">
        <f>IFERROR(VLOOKUP(Table28[[#This Row],[ROUTE]],DEMAND!A:F,5,FALSE),0)</f>
        <v>0</v>
      </c>
      <c r="O483" s="16">
        <f>IFERROR(VLOOKUP(Table28[[#This Row],[ROUTE]],DEMAND!A:F,6,FALSE),0)</f>
        <v>0</v>
      </c>
      <c r="P483" s="16">
        <f>ROUNDDOWN(Table28[[#This Row],[R-DEMAND]]/950,0)</f>
        <v>0</v>
      </c>
      <c r="Q483" s="16">
        <f>Table28[[#This Row],[ADD ACC
(475/950)]]*Table28[[#This Row],[Duration
(A359)]]</f>
        <v>0</v>
      </c>
      <c r="R483" s="16">
        <f>IFERROR(VLOOKUP(Table28[[#This Row],[ROUTE]],PRICING!A:B,2,FALSE),0)</f>
        <v>0</v>
      </c>
      <c r="S483" s="16">
        <f>Table28[[#This Row],[C_DEMAND]]-Table28[[#This Row],[R-DEMAND]]</f>
        <v>0</v>
      </c>
      <c r="T483" s="316">
        <f>Table28[[#This Row],[SEATS SOLD]]*Table28[[#This Row],[ECO SEAT]]</f>
        <v>0</v>
      </c>
      <c r="U483" s="316">
        <f>Table28[[#This Row],[SEATS SOLD]]*(IFERROR(VLOOKUP(Table28[[#This Row],[ROUTE]],PRICING!A:C,3,FALSE),0))</f>
        <v>0</v>
      </c>
      <c r="V483" s="316">
        <f>Table28[[#This Row],[SEAT REV]]-Table28[[#This Row],[SEAT REV
(IF IDEAL $)]]</f>
        <v>0</v>
      </c>
      <c r="AA483" s="26"/>
      <c r="AB483" s="26"/>
      <c r="AC483" s="26"/>
      <c r="AD483" s="26"/>
      <c r="AE483" s="26"/>
      <c r="AS483" s="16" t="s">
        <v>11732</v>
      </c>
      <c r="AT483" s="16" t="s">
        <v>13268</v>
      </c>
      <c r="AU483" s="16" t="s">
        <v>1971</v>
      </c>
      <c r="AV483" s="16" t="s">
        <v>18892</v>
      </c>
      <c r="AW483" s="16" t="s">
        <v>18890</v>
      </c>
      <c r="AX483" s="16" t="s">
        <v>18893</v>
      </c>
      <c r="AY483" s="385">
        <v>12957</v>
      </c>
    </row>
    <row r="484" spans="1:51" x14ac:dyDescent="0.25">
      <c r="A484" s="16" t="s">
        <v>19802</v>
      </c>
      <c r="B484" s="16" t="s">
        <v>4793</v>
      </c>
      <c r="C484" s="16" t="s">
        <v>467</v>
      </c>
      <c r="D484" s="16">
        <v>3</v>
      </c>
      <c r="E484" s="16" t="s">
        <v>517</v>
      </c>
      <c r="F484" s="16" t="str">
        <f>VLOOKUP(Table28[[#This Row],[Country]],Table10[[COUNTRY NAME]:[CONTINENT CODE]],3,FALSE)</f>
        <v>SA</v>
      </c>
      <c r="G484" s="16" t="s">
        <v>16943</v>
      </c>
      <c r="H484" s="181">
        <v>15131</v>
      </c>
      <c r="I484" s="180">
        <v>35.25</v>
      </c>
      <c r="K484" s="316">
        <f>IFERROR(Table28[[#This Row],[ROUTE COST]]/Table28[[#This Row],[O - DEMAND]],0)</f>
        <v>0</v>
      </c>
      <c r="M484" s="16">
        <f>Table28[[#This Row],[O - DEMAND]]/950</f>
        <v>0</v>
      </c>
      <c r="N484" s="16">
        <f>IFERROR(VLOOKUP(Table28[[#This Row],[ROUTE]],DEMAND!A:F,5,FALSE),0)</f>
        <v>2059</v>
      </c>
      <c r="O484" s="16">
        <f>IFERROR(VLOOKUP(Table28[[#This Row],[ROUTE]],DEMAND!A:F,6,FALSE),0)</f>
        <v>159</v>
      </c>
      <c r="P484" s="16">
        <f>ROUNDDOWN(Table28[[#This Row],[R-DEMAND]]/950,0)</f>
        <v>0</v>
      </c>
      <c r="Q484" s="16">
        <f>Table28[[#This Row],[ADD ACC
(475/950)]]*Table28[[#This Row],[Duration
(A359)]]</f>
        <v>0</v>
      </c>
      <c r="R484" s="16">
        <f>IFERROR(VLOOKUP(Table28[[#This Row],[ROUTE]],PRICING!A:B,2,FALSE),0)</f>
        <v>0</v>
      </c>
      <c r="S484" s="16">
        <f>Table28[[#This Row],[C_DEMAND]]-Table28[[#This Row],[R-DEMAND]]</f>
        <v>1900</v>
      </c>
      <c r="T484" s="316">
        <f>Table28[[#This Row],[SEATS SOLD]]*Table28[[#This Row],[ECO SEAT]]</f>
        <v>0</v>
      </c>
      <c r="U484" s="316">
        <f>Table28[[#This Row],[SEATS SOLD]]*(IFERROR(VLOOKUP(Table28[[#This Row],[ROUTE]],PRICING!A:C,3,FALSE),0))</f>
        <v>0</v>
      </c>
      <c r="V484" s="316">
        <f>Table28[[#This Row],[SEAT REV]]-Table28[[#This Row],[SEAT REV
(IF IDEAL $)]]</f>
        <v>0</v>
      </c>
      <c r="AA484" s="26"/>
      <c r="AB484" s="26"/>
      <c r="AC484" s="26"/>
      <c r="AD484" s="26"/>
      <c r="AE484" s="26"/>
      <c r="AS484" s="16" t="s">
        <v>11732</v>
      </c>
      <c r="AT484" s="16" t="s">
        <v>13295</v>
      </c>
      <c r="AU484" s="16" t="s">
        <v>5157</v>
      </c>
      <c r="AV484" s="16" t="s">
        <v>18884</v>
      </c>
      <c r="AW484" s="16" t="s">
        <v>18885</v>
      </c>
      <c r="AX484" s="16" t="s">
        <v>18893</v>
      </c>
      <c r="AY484" s="385">
        <v>12958</v>
      </c>
    </row>
    <row r="485" spans="1:51" x14ac:dyDescent="0.25">
      <c r="A485" s="16" t="s">
        <v>19021</v>
      </c>
      <c r="B485" s="16" t="s">
        <v>3829</v>
      </c>
      <c r="D485" s="16">
        <v>2</v>
      </c>
      <c r="E485" s="16" t="s">
        <v>1261</v>
      </c>
      <c r="F485" s="16" t="str">
        <f>VLOOKUP(Table28[[#This Row],[Country]],Table10[[COUNTRY NAME]:[CONTINENT CODE]],3,FALSE)</f>
        <v>AS</v>
      </c>
      <c r="G485" s="16" t="s">
        <v>18106</v>
      </c>
      <c r="H485" s="181">
        <v>4808</v>
      </c>
      <c r="I485" s="180">
        <v>12.75</v>
      </c>
      <c r="K485" s="316">
        <f>IFERROR(Table28[[#This Row],[ROUTE COST]]/Table28[[#This Row],[O - DEMAND]],0)</f>
        <v>0</v>
      </c>
      <c r="M485" s="16">
        <f>Table28[[#This Row],[O - DEMAND]]/950</f>
        <v>0</v>
      </c>
      <c r="N485" s="16">
        <f>IFERROR(VLOOKUP(Table28[[#This Row],[ROUTE]],DEMAND!A:F,5,FALSE),0)</f>
        <v>0</v>
      </c>
      <c r="O485" s="16">
        <f>IFERROR(VLOOKUP(Table28[[#This Row],[ROUTE]],DEMAND!A:F,6,FALSE),0)</f>
        <v>0</v>
      </c>
      <c r="P485" s="16">
        <f>ROUNDDOWN(Table28[[#This Row],[R-DEMAND]]/950,0)</f>
        <v>0</v>
      </c>
      <c r="Q485" s="16">
        <f>Table28[[#This Row],[ADD ACC
(475/950)]]*Table28[[#This Row],[Duration
(A359)]]</f>
        <v>0</v>
      </c>
      <c r="R485" s="16">
        <f>IFERROR(VLOOKUP(Table28[[#This Row],[ROUTE]],PRICING!A:B,2,FALSE),0)</f>
        <v>0</v>
      </c>
      <c r="S485" s="16">
        <f>Table28[[#This Row],[C_DEMAND]]-Table28[[#This Row],[R-DEMAND]]</f>
        <v>0</v>
      </c>
      <c r="T485" s="316">
        <f>Table28[[#This Row],[SEATS SOLD]]*Table28[[#This Row],[ECO SEAT]]</f>
        <v>0</v>
      </c>
      <c r="U485" s="316">
        <f>Table28[[#This Row],[SEATS SOLD]]*(IFERROR(VLOOKUP(Table28[[#This Row],[ROUTE]],PRICING!A:C,3,FALSE),0))</f>
        <v>0</v>
      </c>
      <c r="V485" s="316">
        <f>Table28[[#This Row],[SEAT REV]]-Table28[[#This Row],[SEAT REV
(IF IDEAL $)]]</f>
        <v>0</v>
      </c>
      <c r="AA485" s="26"/>
      <c r="AB485" s="26"/>
      <c r="AC485" s="26"/>
      <c r="AD485" s="26"/>
      <c r="AE485" s="26"/>
      <c r="AS485" s="16" t="s">
        <v>714</v>
      </c>
      <c r="AT485" s="16" t="s">
        <v>13235</v>
      </c>
      <c r="AU485" s="16" t="s">
        <v>3442</v>
      </c>
      <c r="AV485" s="16" t="s">
        <v>18881</v>
      </c>
      <c r="AW485" s="16" t="s">
        <v>18879</v>
      </c>
      <c r="AX485" s="16" t="s">
        <v>18893</v>
      </c>
      <c r="AY485" s="385">
        <v>12958</v>
      </c>
    </row>
    <row r="486" spans="1:51" x14ac:dyDescent="0.25">
      <c r="A486" s="16" t="s">
        <v>19678</v>
      </c>
      <c r="B486" s="16" t="s">
        <v>178</v>
      </c>
      <c r="D486" s="16">
        <v>2</v>
      </c>
      <c r="E486" s="16" t="s">
        <v>860</v>
      </c>
      <c r="F486" s="16" t="str">
        <f>VLOOKUP(Table28[[#This Row],[Country]],Table10[[COUNTRY NAME]:[CONTINENT CODE]],3,FALSE)</f>
        <v>SA</v>
      </c>
      <c r="G486" s="16" t="s">
        <v>13182</v>
      </c>
      <c r="H486" s="181">
        <v>14326</v>
      </c>
      <c r="I486" s="180">
        <v>33.5</v>
      </c>
      <c r="K486" s="316">
        <f>IFERROR(Table28[[#This Row],[ROUTE COST]]/Table28[[#This Row],[O - DEMAND]],0)</f>
        <v>0</v>
      </c>
      <c r="M486" s="16">
        <f>Table28[[#This Row],[O - DEMAND]]/950</f>
        <v>0</v>
      </c>
      <c r="N486" s="16">
        <f>IFERROR(VLOOKUP(Table28[[#This Row],[ROUTE]],DEMAND!A:F,5,FALSE),0)</f>
        <v>0</v>
      </c>
      <c r="O486" s="16">
        <f>IFERROR(VLOOKUP(Table28[[#This Row],[ROUTE]],DEMAND!A:F,6,FALSE),0)</f>
        <v>0</v>
      </c>
      <c r="P486" s="16">
        <f>ROUNDDOWN(Table28[[#This Row],[R-DEMAND]]/950,0)</f>
        <v>0</v>
      </c>
      <c r="Q486" s="16">
        <f>Table28[[#This Row],[ADD ACC
(475/950)]]*Table28[[#This Row],[Duration
(A359)]]</f>
        <v>0</v>
      </c>
      <c r="R486" s="16">
        <f>IFERROR(VLOOKUP(Table28[[#This Row],[ROUTE]],PRICING!A:B,2,FALSE),0)</f>
        <v>0</v>
      </c>
      <c r="S486" s="16">
        <f>Table28[[#This Row],[C_DEMAND]]-Table28[[#This Row],[R-DEMAND]]</f>
        <v>0</v>
      </c>
      <c r="T486" s="316">
        <f>Table28[[#This Row],[SEATS SOLD]]*Table28[[#This Row],[ECO SEAT]]</f>
        <v>0</v>
      </c>
      <c r="U486" s="316">
        <f>Table28[[#This Row],[SEATS SOLD]]*(IFERROR(VLOOKUP(Table28[[#This Row],[ROUTE]],PRICING!A:C,3,FALSE),0))</f>
        <v>0</v>
      </c>
      <c r="V486" s="316">
        <f>Table28[[#This Row],[SEAT REV]]-Table28[[#This Row],[SEAT REV
(IF IDEAL $)]]</f>
        <v>0</v>
      </c>
      <c r="AA486" s="26"/>
      <c r="AB486" s="26"/>
      <c r="AC486" s="26"/>
      <c r="AD486" s="26"/>
      <c r="AE486" s="26"/>
      <c r="AS486" s="16" t="s">
        <v>1749</v>
      </c>
      <c r="AT486" s="16" t="s">
        <v>13221</v>
      </c>
      <c r="AU486" s="16" t="s">
        <v>3574</v>
      </c>
      <c r="AV486" s="16" t="s">
        <v>18881</v>
      </c>
      <c r="AW486" s="16" t="s">
        <v>18879</v>
      </c>
      <c r="AX486" s="16" t="s">
        <v>18893</v>
      </c>
      <c r="AY486" s="385">
        <v>12966</v>
      </c>
    </row>
    <row r="487" spans="1:51" x14ac:dyDescent="0.25">
      <c r="A487" s="16" t="s">
        <v>19186</v>
      </c>
      <c r="B487" s="16" t="s">
        <v>3563</v>
      </c>
      <c r="E487" s="16" t="s">
        <v>14</v>
      </c>
      <c r="F487" s="16" t="str">
        <f>VLOOKUP(Table28[[#This Row],[Country]],Table10[[COUNTRY NAME]:[CONTINENT CODE]],3,FALSE)</f>
        <v>AS</v>
      </c>
      <c r="G487" s="16" t="s">
        <v>16842</v>
      </c>
      <c r="H487" s="181">
        <v>8997</v>
      </c>
      <c r="I487" s="180">
        <v>22</v>
      </c>
      <c r="K487" s="316">
        <f>IFERROR(Table28[[#This Row],[ROUTE COST]]/Table28[[#This Row],[O - DEMAND]],0)</f>
        <v>0</v>
      </c>
      <c r="M487" s="16">
        <f>Table28[[#This Row],[O - DEMAND]]/950</f>
        <v>0</v>
      </c>
      <c r="N487" s="16">
        <f>IFERROR(VLOOKUP(Table28[[#This Row],[ROUTE]],DEMAND!A:F,5,FALSE),0)</f>
        <v>0</v>
      </c>
      <c r="O487" s="16">
        <f>IFERROR(VLOOKUP(Table28[[#This Row],[ROUTE]],DEMAND!A:F,6,FALSE),0)</f>
        <v>0</v>
      </c>
      <c r="P487" s="16">
        <f>ROUNDDOWN(Table28[[#This Row],[R-DEMAND]]/950,0)</f>
        <v>0</v>
      </c>
      <c r="Q487" s="16">
        <f>Table28[[#This Row],[ADD ACC
(475/950)]]*Table28[[#This Row],[Duration
(A359)]]</f>
        <v>0</v>
      </c>
      <c r="R487" s="16">
        <f>IFERROR(VLOOKUP(Table28[[#This Row],[ROUTE]],PRICING!A:B,2,FALSE),0)</f>
        <v>0</v>
      </c>
      <c r="S487" s="16">
        <f>Table28[[#This Row],[C_DEMAND]]-Table28[[#This Row],[R-DEMAND]]</f>
        <v>0</v>
      </c>
      <c r="T487" s="316">
        <f>Table28[[#This Row],[SEATS SOLD]]*Table28[[#This Row],[ECO SEAT]]</f>
        <v>0</v>
      </c>
      <c r="U487" s="316">
        <f>Table28[[#This Row],[SEATS SOLD]]*(IFERROR(VLOOKUP(Table28[[#This Row],[ROUTE]],PRICING!A:C,3,FALSE),0))</f>
        <v>0</v>
      </c>
      <c r="V487" s="316">
        <f>Table28[[#This Row],[SEAT REV]]-Table28[[#This Row],[SEAT REV
(IF IDEAL $)]]</f>
        <v>0</v>
      </c>
      <c r="AA487" s="26"/>
      <c r="AB487" s="26"/>
      <c r="AC487" s="26"/>
      <c r="AD487" s="26"/>
      <c r="AE487" s="26"/>
      <c r="AS487" s="16" t="s">
        <v>644</v>
      </c>
      <c r="AT487" s="16" t="s">
        <v>11815</v>
      </c>
      <c r="AU487" s="16" t="s">
        <v>3292</v>
      </c>
      <c r="AV487" s="16" t="s">
        <v>18892</v>
      </c>
      <c r="AW487" s="16" t="s">
        <v>18879</v>
      </c>
      <c r="AX487" s="16" t="s">
        <v>18893</v>
      </c>
      <c r="AY487" s="385">
        <v>12971</v>
      </c>
    </row>
    <row r="488" spans="1:51" x14ac:dyDescent="0.25">
      <c r="A488" s="16" t="s">
        <v>19154</v>
      </c>
      <c r="B488" s="16" t="s">
        <v>175</v>
      </c>
      <c r="C488" s="16" t="s">
        <v>467</v>
      </c>
      <c r="D488" s="16">
        <v>3</v>
      </c>
      <c r="E488" s="16" t="s">
        <v>11046</v>
      </c>
      <c r="F488" s="16" t="str">
        <f>VLOOKUP(Table28[[#This Row],[Country]],Table10[[COUNTRY NAME]:[CONTINENT CODE]],3,FALSE)</f>
        <v>AS</v>
      </c>
      <c r="G488" s="16" t="s">
        <v>4748</v>
      </c>
      <c r="H488" s="181">
        <v>8509</v>
      </c>
      <c r="I488" s="180">
        <v>20.75</v>
      </c>
      <c r="K488" s="316">
        <f>IFERROR(Table28[[#This Row],[ROUTE COST]]/Table28[[#This Row],[O - DEMAND]],0)</f>
        <v>0</v>
      </c>
      <c r="M488" s="16">
        <f>Table28[[#This Row],[O - DEMAND]]/950</f>
        <v>0</v>
      </c>
      <c r="N488" s="16">
        <f>IFERROR(VLOOKUP(Table28[[#This Row],[ROUTE]],DEMAND!A:F,5,FALSE),0)</f>
        <v>3317</v>
      </c>
      <c r="O488" s="16">
        <f>IFERROR(VLOOKUP(Table28[[#This Row],[ROUTE]],DEMAND!A:F,6,FALSE),0)</f>
        <v>467</v>
      </c>
      <c r="P488" s="16">
        <f>ROUNDDOWN(Table28[[#This Row],[R-DEMAND]]/950,0)</f>
        <v>0</v>
      </c>
      <c r="Q488" s="16">
        <f>Table28[[#This Row],[ADD ACC
(475/950)]]*Table28[[#This Row],[Duration
(A359)]]</f>
        <v>0</v>
      </c>
      <c r="R488" s="16">
        <f>IFERROR(VLOOKUP(Table28[[#This Row],[ROUTE]],PRICING!A:B,2,FALSE),0)</f>
        <v>0</v>
      </c>
      <c r="S488" s="16">
        <f>Table28[[#This Row],[C_DEMAND]]-Table28[[#This Row],[R-DEMAND]]</f>
        <v>2850</v>
      </c>
      <c r="T488" s="316">
        <f>Table28[[#This Row],[SEATS SOLD]]*Table28[[#This Row],[ECO SEAT]]</f>
        <v>0</v>
      </c>
      <c r="U488" s="316">
        <f>Table28[[#This Row],[SEATS SOLD]]*(IFERROR(VLOOKUP(Table28[[#This Row],[ROUTE]],PRICING!A:C,3,FALSE),0))</f>
        <v>0</v>
      </c>
      <c r="V488" s="316">
        <f>Table28[[#This Row],[SEAT REV]]-Table28[[#This Row],[SEAT REV
(IF IDEAL $)]]</f>
        <v>0</v>
      </c>
      <c r="AA488" s="26"/>
      <c r="AB488" s="26"/>
      <c r="AC488" s="26"/>
      <c r="AD488" s="26"/>
      <c r="AE488" s="26"/>
      <c r="AS488" s="16" t="s">
        <v>714</v>
      </c>
      <c r="AT488" s="16" t="s">
        <v>13236</v>
      </c>
      <c r="AU488" s="16" t="s">
        <v>4945</v>
      </c>
      <c r="AV488" s="16" t="s">
        <v>18881</v>
      </c>
      <c r="AW488" s="16" t="s">
        <v>18885</v>
      </c>
      <c r="AX488" s="16" t="s">
        <v>18893</v>
      </c>
      <c r="AY488" s="385">
        <v>12975</v>
      </c>
    </row>
    <row r="489" spans="1:51" x14ac:dyDescent="0.25">
      <c r="A489" s="16" t="s">
        <v>19309</v>
      </c>
      <c r="B489" s="16" t="s">
        <v>4412</v>
      </c>
      <c r="C489" s="16" t="s">
        <v>467</v>
      </c>
      <c r="D489" s="16">
        <v>2</v>
      </c>
      <c r="E489" s="16" t="s">
        <v>11669</v>
      </c>
      <c r="F489" s="16" t="str">
        <f>VLOOKUP(Table28[[#This Row],[Country]],Table10[[COUNTRY NAME]:[CONTINENT CODE]],3,FALSE)</f>
        <v>SA</v>
      </c>
      <c r="G489" s="16" t="s">
        <v>13134</v>
      </c>
      <c r="H489" s="181">
        <v>11498</v>
      </c>
      <c r="I489" s="180">
        <v>27.25</v>
      </c>
      <c r="K489" s="316">
        <f>IFERROR(Table28[[#This Row],[ROUTE COST]]/Table28[[#This Row],[O - DEMAND]],0)</f>
        <v>0</v>
      </c>
      <c r="M489" s="16">
        <f>Table28[[#This Row],[O - DEMAND]]/950</f>
        <v>0</v>
      </c>
      <c r="N489" s="16">
        <f>IFERROR(VLOOKUP(Table28[[#This Row],[ROUTE]],DEMAND!A:F,5,FALSE),0)</f>
        <v>2554</v>
      </c>
      <c r="O489" s="16">
        <f>IFERROR(VLOOKUP(Table28[[#This Row],[ROUTE]],DEMAND!A:F,6,FALSE),0)</f>
        <v>654</v>
      </c>
      <c r="P489" s="16">
        <f>ROUNDDOWN(Table28[[#This Row],[R-DEMAND]]/950,0)</f>
        <v>0</v>
      </c>
      <c r="Q489" s="16">
        <f>Table28[[#This Row],[ADD ACC
(475/950)]]*Table28[[#This Row],[Duration
(A359)]]</f>
        <v>0</v>
      </c>
      <c r="R489" s="16">
        <f>IFERROR(VLOOKUP(Table28[[#This Row],[ROUTE]],PRICING!A:B,2,FALSE),0)</f>
        <v>0</v>
      </c>
      <c r="S489" s="16">
        <f>Table28[[#This Row],[C_DEMAND]]-Table28[[#This Row],[R-DEMAND]]</f>
        <v>1900</v>
      </c>
      <c r="T489" s="316">
        <f>Table28[[#This Row],[SEATS SOLD]]*Table28[[#This Row],[ECO SEAT]]</f>
        <v>0</v>
      </c>
      <c r="U489" s="316">
        <f>Table28[[#This Row],[SEATS SOLD]]*(IFERROR(VLOOKUP(Table28[[#This Row],[ROUTE]],PRICING!A:C,3,FALSE),0))</f>
        <v>0</v>
      </c>
      <c r="V489" s="316">
        <f>Table28[[#This Row],[SEAT REV]]-Table28[[#This Row],[SEAT REV
(IF IDEAL $)]]</f>
        <v>0</v>
      </c>
      <c r="AA489" s="26"/>
      <c r="AB489" s="26"/>
      <c r="AC489" s="26"/>
      <c r="AD489" s="26"/>
      <c r="AE489" s="26"/>
      <c r="AS489" s="16" t="s">
        <v>1144</v>
      </c>
      <c r="AT489" s="16" t="s">
        <v>13151</v>
      </c>
      <c r="AU489" s="16" t="s">
        <v>3107</v>
      </c>
      <c r="AV489" s="16" t="s">
        <v>18892</v>
      </c>
      <c r="AW489" s="16" t="s">
        <v>18879</v>
      </c>
      <c r="AX489" s="16" t="s">
        <v>18893</v>
      </c>
      <c r="AY489" s="385">
        <v>12977</v>
      </c>
    </row>
    <row r="490" spans="1:51" x14ac:dyDescent="0.25">
      <c r="A490" s="16" t="s">
        <v>19543</v>
      </c>
      <c r="B490" s="16" t="s">
        <v>3595</v>
      </c>
      <c r="C490" s="16" t="s">
        <v>467</v>
      </c>
      <c r="D490" s="16">
        <v>2</v>
      </c>
      <c r="E490" s="16" t="s">
        <v>2293</v>
      </c>
      <c r="F490" s="16" t="str">
        <f>VLOOKUP(Table28[[#This Row],[Country]],Table10[[COUNTRY NAME]:[CONTINENT CODE]],3,FALSE)</f>
        <v>SA</v>
      </c>
      <c r="G490" s="16" t="s">
        <v>13200</v>
      </c>
      <c r="H490" s="181">
        <v>13369</v>
      </c>
      <c r="I490" s="180">
        <v>31.5</v>
      </c>
      <c r="K490" s="316">
        <f>IFERROR(Table28[[#This Row],[ROUTE COST]]/Table28[[#This Row],[O - DEMAND]],0)</f>
        <v>0</v>
      </c>
      <c r="M490" s="16">
        <f>Table28[[#This Row],[O - DEMAND]]/950</f>
        <v>0</v>
      </c>
      <c r="N490" s="16">
        <f>IFERROR(VLOOKUP(Table28[[#This Row],[ROUTE]],DEMAND!A:F,5,FALSE),0)</f>
        <v>2657</v>
      </c>
      <c r="O490" s="16">
        <f>IFERROR(VLOOKUP(Table28[[#This Row],[ROUTE]],DEMAND!A:F,6,FALSE),0)</f>
        <v>757</v>
      </c>
      <c r="P490" s="16">
        <f>ROUNDDOWN(Table28[[#This Row],[R-DEMAND]]/950,0)</f>
        <v>0</v>
      </c>
      <c r="Q490" s="16">
        <f>Table28[[#This Row],[ADD ACC
(475/950)]]*Table28[[#This Row],[Duration
(A359)]]</f>
        <v>0</v>
      </c>
      <c r="R490" s="16">
        <f>IFERROR(VLOOKUP(Table28[[#This Row],[ROUTE]],PRICING!A:B,2,FALSE),0)</f>
        <v>0</v>
      </c>
      <c r="S490" s="16">
        <f>Table28[[#This Row],[C_DEMAND]]-Table28[[#This Row],[R-DEMAND]]</f>
        <v>1900</v>
      </c>
      <c r="T490" s="316">
        <f>Table28[[#This Row],[SEATS SOLD]]*Table28[[#This Row],[ECO SEAT]]</f>
        <v>0</v>
      </c>
      <c r="U490" s="316">
        <f>Table28[[#This Row],[SEATS SOLD]]*(IFERROR(VLOOKUP(Table28[[#This Row],[ROUTE]],PRICING!A:C,3,FALSE),0))</f>
        <v>0</v>
      </c>
      <c r="V490" s="316">
        <f>Table28[[#This Row],[SEAT REV]]-Table28[[#This Row],[SEAT REV
(IF IDEAL $)]]</f>
        <v>0</v>
      </c>
      <c r="AA490" s="26"/>
      <c r="AB490" s="26"/>
      <c r="AC490" s="26"/>
      <c r="AD490" s="26"/>
      <c r="AE490" s="26"/>
      <c r="AS490" s="16" t="s">
        <v>1749</v>
      </c>
      <c r="AT490" s="16" t="s">
        <v>13225</v>
      </c>
      <c r="AU490" s="16" t="s">
        <v>5703</v>
      </c>
      <c r="AV490" s="16" t="s">
        <v>18884</v>
      </c>
      <c r="AW490" s="16" t="s">
        <v>18918</v>
      </c>
      <c r="AX490" s="16" t="s">
        <v>18891</v>
      </c>
      <c r="AY490" s="385">
        <v>12986</v>
      </c>
    </row>
    <row r="491" spans="1:51" x14ac:dyDescent="0.25">
      <c r="A491" s="16" t="s">
        <v>19550</v>
      </c>
      <c r="B491" s="16" t="s">
        <v>173</v>
      </c>
      <c r="C491" s="16" t="s">
        <v>467</v>
      </c>
      <c r="D491" s="16">
        <v>5</v>
      </c>
      <c r="E491" s="16" t="s">
        <v>172</v>
      </c>
      <c r="F491" s="16" t="str">
        <f>VLOOKUP(Table28[[#This Row],[Country]],Table10[[COUNTRY NAME]:[CONTINENT CODE]],3,FALSE)</f>
        <v>AS</v>
      </c>
      <c r="G491" s="16" t="s">
        <v>171</v>
      </c>
      <c r="H491" s="181">
        <v>13408</v>
      </c>
      <c r="I491" s="180">
        <v>31.5</v>
      </c>
      <c r="K491" s="316">
        <f>IFERROR(Table28[[#This Row],[ROUTE COST]]/Table28[[#This Row],[O - DEMAND]],0)</f>
        <v>0</v>
      </c>
      <c r="M491" s="16">
        <f>Table28[[#This Row],[O - DEMAND]]/950</f>
        <v>0</v>
      </c>
      <c r="N491" s="16">
        <f>IFERROR(VLOOKUP(Table28[[#This Row],[ROUTE]],DEMAND!A:F,5,FALSE),0)</f>
        <v>3462</v>
      </c>
      <c r="O491" s="16">
        <f>IFERROR(VLOOKUP(Table28[[#This Row],[ROUTE]],DEMAND!A:F,6,FALSE),0)</f>
        <v>612</v>
      </c>
      <c r="P491" s="16">
        <f>ROUNDDOWN(Table28[[#This Row],[R-DEMAND]]/950,0)</f>
        <v>0</v>
      </c>
      <c r="Q491" s="16">
        <f>Table28[[#This Row],[ADD ACC
(475/950)]]*Table28[[#This Row],[Duration
(A359)]]</f>
        <v>0</v>
      </c>
      <c r="R491" s="16">
        <f>IFERROR(VLOOKUP(Table28[[#This Row],[ROUTE]],PRICING!A:B,2,FALSE),0)</f>
        <v>0</v>
      </c>
      <c r="S491" s="16">
        <f>Table28[[#This Row],[C_DEMAND]]-Table28[[#This Row],[R-DEMAND]]</f>
        <v>2850</v>
      </c>
      <c r="T491" s="316">
        <f>Table28[[#This Row],[SEATS SOLD]]*Table28[[#This Row],[ECO SEAT]]</f>
        <v>0</v>
      </c>
      <c r="U491" s="316">
        <f>Table28[[#This Row],[SEATS SOLD]]*(IFERROR(VLOOKUP(Table28[[#This Row],[ROUTE]],PRICING!A:C,3,FALSE),0))</f>
        <v>0</v>
      </c>
      <c r="V491" s="316">
        <f>Table28[[#This Row],[SEAT REV]]-Table28[[#This Row],[SEAT REV
(IF IDEAL $)]]</f>
        <v>0</v>
      </c>
      <c r="AA491" s="26"/>
      <c r="AB491" s="26"/>
      <c r="AC491" s="26"/>
      <c r="AD491" s="26"/>
      <c r="AE491" s="26"/>
      <c r="AS491" s="16" t="s">
        <v>13117</v>
      </c>
      <c r="AT491" s="16" t="s">
        <v>16857</v>
      </c>
      <c r="AU491" s="16" t="s">
        <v>10817</v>
      </c>
      <c r="AV491" s="16" t="s">
        <v>18892</v>
      </c>
      <c r="AW491" s="16" t="s">
        <v>18879</v>
      </c>
      <c r="AX491" s="16" t="s">
        <v>18891</v>
      </c>
      <c r="AY491" s="385">
        <v>12988</v>
      </c>
    </row>
    <row r="492" spans="1:51" x14ac:dyDescent="0.25">
      <c r="A492" s="16" t="s">
        <v>19699</v>
      </c>
      <c r="B492" s="16" t="s">
        <v>1846</v>
      </c>
      <c r="D492" s="16">
        <v>1</v>
      </c>
      <c r="E492" s="16" t="s">
        <v>11732</v>
      </c>
      <c r="F492" s="16" t="str">
        <f>VLOOKUP(Table28[[#This Row],[Country]],Table10[[COUNTRY NAME]:[CONTINENT CODE]],3,FALSE)</f>
        <v>NA - US</v>
      </c>
      <c r="G492" s="16" t="s">
        <v>13347</v>
      </c>
      <c r="H492" s="181">
        <v>14518</v>
      </c>
      <c r="I492" s="180">
        <v>34</v>
      </c>
      <c r="K492" s="316">
        <f>IFERROR(Table28[[#This Row],[ROUTE COST]]/Table28[[#This Row],[O - DEMAND]],0)</f>
        <v>0</v>
      </c>
      <c r="M492" s="180">
        <f>Table28[[#This Row],[O - DEMAND]]/950</f>
        <v>0</v>
      </c>
      <c r="N492" s="16">
        <f>IFERROR(VLOOKUP(Table28[[#This Row],[ROUTE]],DEMAND!A:F,5,FALSE),0)</f>
        <v>0</v>
      </c>
      <c r="O492" s="16">
        <f>IFERROR(VLOOKUP(Table28[[#This Row],[ROUTE]],DEMAND!A:F,6,FALSE),0)</f>
        <v>0</v>
      </c>
      <c r="P492" s="16">
        <f>ROUNDDOWN(Table28[[#This Row],[R-DEMAND]]/950,0)</f>
        <v>0</v>
      </c>
      <c r="Q492" s="16">
        <f>Table28[[#This Row],[ADD ACC
(475/950)]]*Table28[[#This Row],[Duration
(A359)]]</f>
        <v>0</v>
      </c>
      <c r="R492" s="16">
        <f>IFERROR(VLOOKUP(Table28[[#This Row],[ROUTE]],PRICING!A:B,2,FALSE),0)</f>
        <v>0</v>
      </c>
      <c r="S492" s="16">
        <f>Table28[[#This Row],[C_DEMAND]]-Table28[[#This Row],[R-DEMAND]]</f>
        <v>0</v>
      </c>
      <c r="T492" s="316">
        <f>Table28[[#This Row],[SEATS SOLD]]*Table28[[#This Row],[ECO SEAT]]</f>
        <v>0</v>
      </c>
      <c r="U492" s="316">
        <f>Table28[[#This Row],[SEATS SOLD]]*(IFERROR(VLOOKUP(Table28[[#This Row],[ROUTE]],PRICING!A:C,3,FALSE),0))</f>
        <v>0</v>
      </c>
      <c r="V492" s="316">
        <f>Table28[[#This Row],[SEAT REV]]-Table28[[#This Row],[SEAT REV
(IF IDEAL $)]]</f>
        <v>0</v>
      </c>
      <c r="AA492" s="26"/>
      <c r="AB492" s="26"/>
      <c r="AC492" s="26"/>
      <c r="AD492" s="26"/>
      <c r="AE492" s="26"/>
      <c r="AS492" s="16" t="s">
        <v>3163</v>
      </c>
      <c r="AT492" s="16" t="s">
        <v>11937</v>
      </c>
      <c r="AU492" s="16" t="s">
        <v>3165</v>
      </c>
      <c r="AV492" s="16" t="s">
        <v>18884</v>
      </c>
      <c r="AW492" s="16" t="s">
        <v>18879</v>
      </c>
      <c r="AX492" s="16" t="s">
        <v>18891</v>
      </c>
      <c r="AY492" s="385">
        <v>12990</v>
      </c>
    </row>
    <row r="493" spans="1:51" x14ac:dyDescent="0.25">
      <c r="A493" s="16" t="s">
        <v>19695</v>
      </c>
      <c r="B493" s="16" t="s">
        <v>5579</v>
      </c>
      <c r="D493" s="16">
        <v>4</v>
      </c>
      <c r="E493" s="16" t="s">
        <v>11732</v>
      </c>
      <c r="F493" s="16" t="str">
        <f>VLOOKUP(Table28[[#This Row],[Country]],Table10[[COUNTRY NAME]:[CONTINENT CODE]],3,FALSE)</f>
        <v>NA - US</v>
      </c>
      <c r="G493" s="16" t="s">
        <v>13331</v>
      </c>
      <c r="H493" s="181">
        <v>14505</v>
      </c>
      <c r="I493" s="180">
        <v>34</v>
      </c>
      <c r="K493" s="316">
        <f>IFERROR(Table28[[#This Row],[ROUTE COST]]/Table28[[#This Row],[O - DEMAND]],0)</f>
        <v>0</v>
      </c>
      <c r="M493" s="180">
        <f>Table28[[#This Row],[O - DEMAND]]/950</f>
        <v>0</v>
      </c>
      <c r="N493" s="16">
        <f>IFERROR(VLOOKUP(Table28[[#This Row],[ROUTE]],DEMAND!A:F,5,FALSE),0)</f>
        <v>0</v>
      </c>
      <c r="O493" s="16">
        <f>IFERROR(VLOOKUP(Table28[[#This Row],[ROUTE]],DEMAND!A:F,6,FALSE),0)</f>
        <v>0</v>
      </c>
      <c r="P493" s="16">
        <f>ROUNDDOWN(Table28[[#This Row],[R-DEMAND]]/950,0)</f>
        <v>0</v>
      </c>
      <c r="Q493" s="16">
        <f>Table28[[#This Row],[ADD ACC
(475/950)]]*Table28[[#This Row],[Duration
(A359)]]</f>
        <v>0</v>
      </c>
      <c r="R493" s="16">
        <f>IFERROR(VLOOKUP(Table28[[#This Row],[ROUTE]],PRICING!A:B,2,FALSE),0)</f>
        <v>0</v>
      </c>
      <c r="S493" s="16">
        <f>Table28[[#This Row],[C_DEMAND]]-Table28[[#This Row],[R-DEMAND]]</f>
        <v>0</v>
      </c>
      <c r="T493" s="316">
        <f>Table28[[#This Row],[SEATS SOLD]]*Table28[[#This Row],[ECO SEAT]]</f>
        <v>0</v>
      </c>
      <c r="U493" s="316">
        <f>Table28[[#This Row],[SEATS SOLD]]*(IFERROR(VLOOKUP(Table28[[#This Row],[ROUTE]],PRICING!A:C,3,FALSE),0))</f>
        <v>0</v>
      </c>
      <c r="V493" s="316">
        <f>Table28[[#This Row],[SEAT REV]]-Table28[[#This Row],[SEAT REV
(IF IDEAL $)]]</f>
        <v>0</v>
      </c>
      <c r="AA493" s="26"/>
      <c r="AB493" s="26"/>
      <c r="AC493" s="26"/>
      <c r="AD493" s="26"/>
      <c r="AE493" s="26"/>
      <c r="AS493" s="16" t="s">
        <v>714</v>
      </c>
      <c r="AT493" s="16" t="s">
        <v>13244</v>
      </c>
      <c r="AU493" s="16" t="s">
        <v>3307</v>
      </c>
      <c r="AV493" s="16" t="s">
        <v>18884</v>
      </c>
      <c r="AW493" s="16" t="s">
        <v>18879</v>
      </c>
      <c r="AX493" s="16" t="s">
        <v>18891</v>
      </c>
      <c r="AY493" s="385">
        <v>12994</v>
      </c>
    </row>
    <row r="494" spans="1:51" x14ac:dyDescent="0.25">
      <c r="A494" s="16" t="s">
        <v>19482</v>
      </c>
      <c r="B494" s="16" t="s">
        <v>5703</v>
      </c>
      <c r="C494" s="16" t="s">
        <v>467</v>
      </c>
      <c r="D494" s="16">
        <v>5</v>
      </c>
      <c r="E494" s="16" t="s">
        <v>1749</v>
      </c>
      <c r="F494" s="16" t="str">
        <f>VLOOKUP(Table28[[#This Row],[Country]],Table10[[COUNTRY NAME]:[CONTINENT CODE]],3,FALSE)</f>
        <v>NA</v>
      </c>
      <c r="G494" s="16" t="s">
        <v>13225</v>
      </c>
      <c r="H494" s="181">
        <v>12986</v>
      </c>
      <c r="I494" s="180">
        <v>30.75</v>
      </c>
      <c r="K494" s="316">
        <f>IFERROR(Table28[[#This Row],[ROUTE COST]]/Table28[[#This Row],[O - DEMAND]],0)</f>
        <v>0</v>
      </c>
      <c r="M494" s="16">
        <f>Table28[[#This Row],[O - DEMAND]]/950</f>
        <v>0</v>
      </c>
      <c r="N494" s="16">
        <f>IFERROR(VLOOKUP(Table28[[#This Row],[ROUTE]],DEMAND!A:F,5,FALSE),0)</f>
        <v>3412</v>
      </c>
      <c r="O494" s="16">
        <f>IFERROR(VLOOKUP(Table28[[#This Row],[ROUTE]],DEMAND!A:F,6,FALSE),0)</f>
        <v>562</v>
      </c>
      <c r="P494" s="16">
        <f>ROUNDDOWN(Table28[[#This Row],[R-DEMAND]]/950,0)</f>
        <v>0</v>
      </c>
      <c r="Q494" s="16">
        <f>Table28[[#This Row],[ADD ACC
(475/950)]]*Table28[[#This Row],[Duration
(A359)]]</f>
        <v>0</v>
      </c>
      <c r="R494" s="16">
        <f>IFERROR(VLOOKUP(Table28[[#This Row],[ROUTE]],PRICING!A:B,2,FALSE),0)</f>
        <v>0</v>
      </c>
      <c r="S494" s="16">
        <f>Table28[[#This Row],[C_DEMAND]]-Table28[[#This Row],[R-DEMAND]]</f>
        <v>2850</v>
      </c>
      <c r="T494" s="316">
        <f>Table28[[#This Row],[SEATS SOLD]]*Table28[[#This Row],[ECO SEAT]]</f>
        <v>0</v>
      </c>
      <c r="U494" s="316">
        <f>Table28[[#This Row],[SEATS SOLD]]*(IFERROR(VLOOKUP(Table28[[#This Row],[ROUTE]],PRICING!A:C,3,FALSE),0))</f>
        <v>0</v>
      </c>
      <c r="V494" s="316">
        <f>Table28[[#This Row],[SEAT REV]]-Table28[[#This Row],[SEAT REV
(IF IDEAL $)]]</f>
        <v>0</v>
      </c>
      <c r="AA494" s="26"/>
      <c r="AB494" s="26"/>
      <c r="AC494" s="26"/>
      <c r="AD494" s="26"/>
      <c r="AE494" s="26"/>
      <c r="AS494" s="16" t="s">
        <v>714</v>
      </c>
      <c r="AT494" s="16" t="s">
        <v>16989</v>
      </c>
      <c r="AU494" s="16" t="s">
        <v>2806</v>
      </c>
      <c r="AV494" s="16" t="s">
        <v>18878</v>
      </c>
      <c r="AW494" s="16" t="s">
        <v>18879</v>
      </c>
      <c r="AX494" s="16" t="s">
        <v>18891</v>
      </c>
      <c r="AY494" s="385">
        <v>13001</v>
      </c>
    </row>
    <row r="495" spans="1:51" x14ac:dyDescent="0.25">
      <c r="A495" s="16" t="s">
        <v>19083</v>
      </c>
      <c r="B495" s="16" t="s">
        <v>5300</v>
      </c>
      <c r="D495" s="16">
        <v>3</v>
      </c>
      <c r="E495" s="16" t="s">
        <v>14</v>
      </c>
      <c r="F495" s="16" t="str">
        <f>VLOOKUP(Table28[[#This Row],[Country]],Table10[[COUNTRY NAME]:[CONTINENT CODE]],3,FALSE)</f>
        <v>AS</v>
      </c>
      <c r="G495" s="16" t="s">
        <v>12079</v>
      </c>
      <c r="H495" s="181">
        <v>7399</v>
      </c>
      <c r="I495" s="180">
        <v>18.25</v>
      </c>
      <c r="K495" s="316">
        <f>IFERROR(Table28[[#This Row],[ROUTE COST]]/Table28[[#This Row],[O - DEMAND]],0)</f>
        <v>0</v>
      </c>
      <c r="M495" s="16">
        <f>Table28[[#This Row],[O - DEMAND]]/950</f>
        <v>0</v>
      </c>
      <c r="N495" s="16">
        <f>IFERROR(VLOOKUP(Table28[[#This Row],[ROUTE]],DEMAND!A:F,5,FALSE),0)</f>
        <v>0</v>
      </c>
      <c r="O495" s="16">
        <f>IFERROR(VLOOKUP(Table28[[#This Row],[ROUTE]],DEMAND!A:F,6,FALSE),0)</f>
        <v>0</v>
      </c>
      <c r="P495" s="16">
        <f>ROUNDDOWN(Table28[[#This Row],[R-DEMAND]]/950,0)</f>
        <v>0</v>
      </c>
      <c r="Q495" s="16">
        <f>Table28[[#This Row],[ADD ACC
(475/950)]]*Table28[[#This Row],[Duration
(A359)]]</f>
        <v>0</v>
      </c>
      <c r="R495" s="16">
        <f>IFERROR(VLOOKUP(Table28[[#This Row],[ROUTE]],PRICING!A:B,2,FALSE),0)</f>
        <v>0</v>
      </c>
      <c r="S495" s="16">
        <f>Table28[[#This Row],[C_DEMAND]]-Table28[[#This Row],[R-DEMAND]]</f>
        <v>0</v>
      </c>
      <c r="T495" s="316">
        <f>Table28[[#This Row],[SEATS SOLD]]*Table28[[#This Row],[ECO SEAT]]</f>
        <v>0</v>
      </c>
      <c r="U495" s="316">
        <f>Table28[[#This Row],[SEATS SOLD]]*(IFERROR(VLOOKUP(Table28[[#This Row],[ROUTE]],PRICING!A:C,3,FALSE),0))</f>
        <v>0</v>
      </c>
      <c r="V495" s="316">
        <f>Table28[[#This Row],[SEAT REV]]-Table28[[#This Row],[SEAT REV
(IF IDEAL $)]]</f>
        <v>0</v>
      </c>
      <c r="AA495" s="26"/>
      <c r="AB495" s="26"/>
      <c r="AC495" s="26"/>
      <c r="AD495" s="26"/>
      <c r="AE495" s="26"/>
      <c r="AS495" s="16" t="s">
        <v>644</v>
      </c>
      <c r="AT495" s="16" t="s">
        <v>16869</v>
      </c>
      <c r="AU495" s="16" t="s">
        <v>2425</v>
      </c>
      <c r="AV495" s="16" t="s">
        <v>18878</v>
      </c>
      <c r="AW495" s="16" t="s">
        <v>18890</v>
      </c>
      <c r="AX495" s="16" t="s">
        <v>18891</v>
      </c>
      <c r="AY495" s="385">
        <v>13001</v>
      </c>
    </row>
    <row r="496" spans="1:51" x14ac:dyDescent="0.25">
      <c r="A496" s="16" t="s">
        <v>19368</v>
      </c>
      <c r="B496" s="16" t="s">
        <v>4170</v>
      </c>
      <c r="E496" s="16" t="s">
        <v>11732</v>
      </c>
      <c r="F496" s="16" t="str">
        <f>VLOOKUP(Table28[[#This Row],[Country]],Table10[[COUNTRY NAME]:[CONTINENT CODE]],3,FALSE)</f>
        <v>NA - US</v>
      </c>
      <c r="G496" s="16" t="s">
        <v>16939</v>
      </c>
      <c r="H496" s="181">
        <v>12174</v>
      </c>
      <c r="I496" s="180">
        <v>28.75</v>
      </c>
      <c r="K496" s="316">
        <f>IFERROR(Table28[[#This Row],[ROUTE COST]]/Table28[[#This Row],[O - DEMAND]],0)</f>
        <v>0</v>
      </c>
      <c r="M496" s="180">
        <f>Table28[[#This Row],[O - DEMAND]]/950</f>
        <v>0</v>
      </c>
      <c r="N496" s="16">
        <f>IFERROR(VLOOKUP(Table28[[#This Row],[ROUTE]],DEMAND!A:F,5,FALSE),0)</f>
        <v>0</v>
      </c>
      <c r="O496" s="16">
        <f>IFERROR(VLOOKUP(Table28[[#This Row],[ROUTE]],DEMAND!A:F,6,FALSE),0)</f>
        <v>0</v>
      </c>
      <c r="P496" s="16">
        <f>ROUNDDOWN(Table28[[#This Row],[R-DEMAND]]/950,0)</f>
        <v>0</v>
      </c>
      <c r="Q496" s="16">
        <f>Table28[[#This Row],[ADD ACC
(475/950)]]*Table28[[#This Row],[Duration
(A359)]]</f>
        <v>0</v>
      </c>
      <c r="R496" s="16">
        <f>IFERROR(VLOOKUP(Table28[[#This Row],[ROUTE]],PRICING!A:B,2,FALSE),0)</f>
        <v>0</v>
      </c>
      <c r="S496" s="16">
        <f>Table28[[#This Row],[C_DEMAND]]-Table28[[#This Row],[R-DEMAND]]</f>
        <v>0</v>
      </c>
      <c r="T496" s="316">
        <f>Table28[[#This Row],[SEATS SOLD]]*Table28[[#This Row],[ECO SEAT]]</f>
        <v>0</v>
      </c>
      <c r="U496" s="316">
        <f>Table28[[#This Row],[SEATS SOLD]]*(IFERROR(VLOOKUP(Table28[[#This Row],[ROUTE]],PRICING!A:C,3,FALSE),0))</f>
        <v>0</v>
      </c>
      <c r="V496" s="316">
        <f>Table28[[#This Row],[SEAT REV]]-Table28[[#This Row],[SEAT REV
(IF IDEAL $)]]</f>
        <v>0</v>
      </c>
      <c r="AA496" s="26"/>
      <c r="AB496" s="26"/>
      <c r="AC496" s="26"/>
      <c r="AD496" s="26"/>
      <c r="AE496" s="26"/>
      <c r="AS496" s="16" t="s">
        <v>172</v>
      </c>
      <c r="AT496" s="16" t="s">
        <v>11934</v>
      </c>
      <c r="AU496" s="16" t="s">
        <v>1269</v>
      </c>
      <c r="AV496" s="16" t="s">
        <v>18892</v>
      </c>
      <c r="AW496" s="16" t="s">
        <v>18890</v>
      </c>
      <c r="AX496" s="16" t="s">
        <v>18891</v>
      </c>
      <c r="AY496" s="385">
        <v>13003</v>
      </c>
    </row>
    <row r="497" spans="1:51" x14ac:dyDescent="0.25">
      <c r="A497" s="16" t="s">
        <v>19727</v>
      </c>
      <c r="B497" s="16" t="s">
        <v>3765</v>
      </c>
      <c r="E497" s="16" t="s">
        <v>11732</v>
      </c>
      <c r="F497" s="16" t="str">
        <f>VLOOKUP(Table28[[#This Row],[Country]],Table10[[COUNTRY NAME]:[CONTINENT CODE]],3,FALSE)</f>
        <v>NA - US</v>
      </c>
      <c r="G497" s="16" t="s">
        <v>17017</v>
      </c>
      <c r="H497" s="181">
        <v>14727</v>
      </c>
      <c r="I497" s="180">
        <v>34.5</v>
      </c>
      <c r="K497" s="316">
        <f>IFERROR(Table28[[#This Row],[ROUTE COST]]/Table28[[#This Row],[O - DEMAND]],0)</f>
        <v>0</v>
      </c>
      <c r="M497" s="180">
        <f>Table28[[#This Row],[O - DEMAND]]/950</f>
        <v>0</v>
      </c>
      <c r="N497" s="16">
        <f>IFERROR(VLOOKUP(Table28[[#This Row],[ROUTE]],DEMAND!A:F,5,FALSE),0)</f>
        <v>0</v>
      </c>
      <c r="O497" s="16">
        <f>IFERROR(VLOOKUP(Table28[[#This Row],[ROUTE]],DEMAND!A:F,6,FALSE),0)</f>
        <v>0</v>
      </c>
      <c r="P497" s="16">
        <f>ROUNDDOWN(Table28[[#This Row],[R-DEMAND]]/950,0)</f>
        <v>0</v>
      </c>
      <c r="Q497" s="16">
        <f>Table28[[#This Row],[ADD ACC
(475/950)]]*Table28[[#This Row],[Duration
(A359)]]</f>
        <v>0</v>
      </c>
      <c r="R497" s="16">
        <f>IFERROR(VLOOKUP(Table28[[#This Row],[ROUTE]],PRICING!A:B,2,FALSE),0)</f>
        <v>0</v>
      </c>
      <c r="S497" s="16">
        <f>Table28[[#This Row],[C_DEMAND]]-Table28[[#This Row],[R-DEMAND]]</f>
        <v>0</v>
      </c>
      <c r="T497" s="316">
        <f>Table28[[#This Row],[SEATS SOLD]]*Table28[[#This Row],[ECO SEAT]]</f>
        <v>0</v>
      </c>
      <c r="U497" s="316">
        <f>Table28[[#This Row],[SEATS SOLD]]*(IFERROR(VLOOKUP(Table28[[#This Row],[ROUTE]],PRICING!A:C,3,FALSE),0))</f>
        <v>0</v>
      </c>
      <c r="V497" s="316">
        <f>Table28[[#This Row],[SEAT REV]]-Table28[[#This Row],[SEAT REV
(IF IDEAL $)]]</f>
        <v>0</v>
      </c>
      <c r="AA497" s="26"/>
      <c r="AB497" s="26"/>
      <c r="AC497" s="26"/>
      <c r="AD497" s="26"/>
      <c r="AE497" s="26"/>
      <c r="AS497" s="16" t="s">
        <v>172</v>
      </c>
      <c r="AT497" s="16" t="s">
        <v>11931</v>
      </c>
      <c r="AU497" s="16" t="s">
        <v>3497</v>
      </c>
      <c r="AV497" s="16" t="s">
        <v>18884</v>
      </c>
      <c r="AW497" s="16" t="s">
        <v>18879</v>
      </c>
      <c r="AX497" s="16" t="s">
        <v>18891</v>
      </c>
      <c r="AY497" s="385">
        <v>13013</v>
      </c>
    </row>
    <row r="498" spans="1:51" x14ac:dyDescent="0.25">
      <c r="A498" s="16" t="s">
        <v>19316</v>
      </c>
      <c r="B498" s="16" t="s">
        <v>2258</v>
      </c>
      <c r="D498" s="16">
        <v>1</v>
      </c>
      <c r="E498" s="16" t="s">
        <v>1513</v>
      </c>
      <c r="F498" s="16" t="str">
        <f>VLOOKUP(Table28[[#This Row],[Country]],Table10[[COUNTRY NAME]:[CONTINENT CODE]],3,FALSE)</f>
        <v>AF</v>
      </c>
      <c r="G498" s="16" t="s">
        <v>11963</v>
      </c>
      <c r="H498" s="181">
        <v>11596</v>
      </c>
      <c r="I498" s="180">
        <v>27.5</v>
      </c>
      <c r="K498" s="316">
        <f>IFERROR(Table28[[#This Row],[ROUTE COST]]/Table28[[#This Row],[O - DEMAND]],0)</f>
        <v>0</v>
      </c>
      <c r="M498" s="16">
        <f>Table28[[#This Row],[O - DEMAND]]/950</f>
        <v>0</v>
      </c>
      <c r="N498" s="16">
        <f>IFERROR(VLOOKUP(Table28[[#This Row],[ROUTE]],DEMAND!A:F,5,FALSE),0)</f>
        <v>0</v>
      </c>
      <c r="O498" s="16">
        <f>IFERROR(VLOOKUP(Table28[[#This Row],[ROUTE]],DEMAND!A:F,6,FALSE),0)</f>
        <v>0</v>
      </c>
      <c r="P498" s="16">
        <f>ROUNDDOWN(Table28[[#This Row],[R-DEMAND]]/950,0)</f>
        <v>0</v>
      </c>
      <c r="Q498" s="16">
        <f>Table28[[#This Row],[ADD ACC
(475/950)]]*Table28[[#This Row],[Duration
(A359)]]</f>
        <v>0</v>
      </c>
      <c r="R498" s="16">
        <f>IFERROR(VLOOKUP(Table28[[#This Row],[ROUTE]],PRICING!A:B,2,FALSE),0)</f>
        <v>0</v>
      </c>
      <c r="S498" s="16">
        <f>Table28[[#This Row],[C_DEMAND]]-Table28[[#This Row],[R-DEMAND]]</f>
        <v>0</v>
      </c>
      <c r="T498" s="316">
        <f>Table28[[#This Row],[SEATS SOLD]]*Table28[[#This Row],[ECO SEAT]]</f>
        <v>0</v>
      </c>
      <c r="U498" s="316">
        <f>Table28[[#This Row],[SEATS SOLD]]*(IFERROR(VLOOKUP(Table28[[#This Row],[ROUTE]],PRICING!A:C,3,FALSE),0))</f>
        <v>0</v>
      </c>
      <c r="V498" s="316">
        <f>Table28[[#This Row],[SEAT REV]]-Table28[[#This Row],[SEAT REV
(IF IDEAL $)]]</f>
        <v>0</v>
      </c>
      <c r="AA498" s="26"/>
      <c r="AB498" s="26"/>
      <c r="AC498" s="26"/>
      <c r="AD498" s="26"/>
      <c r="AE498" s="26"/>
      <c r="AS498" s="16" t="s">
        <v>11732</v>
      </c>
      <c r="AT498" s="16" t="s">
        <v>13262</v>
      </c>
      <c r="AU498" s="16" t="s">
        <v>4158</v>
      </c>
      <c r="AV498" s="16" t="s">
        <v>18892</v>
      </c>
      <c r="AW498" s="16" t="s">
        <v>18879</v>
      </c>
      <c r="AX498" s="16" t="s">
        <v>18891</v>
      </c>
      <c r="AY498" s="385">
        <v>13017</v>
      </c>
    </row>
    <row r="499" spans="1:51" x14ac:dyDescent="0.25">
      <c r="A499" s="16" t="s">
        <v>19380</v>
      </c>
      <c r="B499" s="16" t="s">
        <v>4824</v>
      </c>
      <c r="D499" s="16">
        <v>3</v>
      </c>
      <c r="E499" s="16" t="s">
        <v>502</v>
      </c>
      <c r="F499" s="16" t="str">
        <f>VLOOKUP(Table28[[#This Row],[Country]],Table10[[COUNTRY NAME]:[CONTINENT CODE]],3,FALSE)</f>
        <v>AS</v>
      </c>
      <c r="G499" s="16" t="s">
        <v>11965</v>
      </c>
      <c r="H499" s="181">
        <v>12275</v>
      </c>
      <c r="I499" s="180">
        <v>29</v>
      </c>
      <c r="K499" s="316">
        <f>IFERROR(Table28[[#This Row],[ROUTE COST]]/Table28[[#This Row],[O - DEMAND]],0)</f>
        <v>0</v>
      </c>
      <c r="M499" s="16">
        <f>Table28[[#This Row],[O - DEMAND]]/950</f>
        <v>0</v>
      </c>
      <c r="N499" s="16">
        <f>IFERROR(VLOOKUP(Table28[[#This Row],[ROUTE]],DEMAND!A:F,5,FALSE),0)</f>
        <v>0</v>
      </c>
      <c r="O499" s="16">
        <f>IFERROR(VLOOKUP(Table28[[#This Row],[ROUTE]],DEMAND!A:F,6,FALSE),0)</f>
        <v>0</v>
      </c>
      <c r="P499" s="16">
        <f>ROUNDDOWN(Table28[[#This Row],[R-DEMAND]]/950,0)</f>
        <v>0</v>
      </c>
      <c r="Q499" s="16">
        <f>Table28[[#This Row],[ADD ACC
(475/950)]]*Table28[[#This Row],[Duration
(A359)]]</f>
        <v>0</v>
      </c>
      <c r="R499" s="16">
        <f>IFERROR(VLOOKUP(Table28[[#This Row],[ROUTE]],PRICING!A:B,2,FALSE),0)</f>
        <v>0</v>
      </c>
      <c r="S499" s="16">
        <f>Table28[[#This Row],[C_DEMAND]]-Table28[[#This Row],[R-DEMAND]]</f>
        <v>0</v>
      </c>
      <c r="T499" s="316">
        <f>Table28[[#This Row],[SEATS SOLD]]*Table28[[#This Row],[ECO SEAT]]</f>
        <v>0</v>
      </c>
      <c r="U499" s="316">
        <f>Table28[[#This Row],[SEATS SOLD]]*(IFERROR(VLOOKUP(Table28[[#This Row],[ROUTE]],PRICING!A:C,3,FALSE),0))</f>
        <v>0</v>
      </c>
      <c r="V499" s="316">
        <f>Table28[[#This Row],[SEAT REV]]-Table28[[#This Row],[SEAT REV
(IF IDEAL $)]]</f>
        <v>0</v>
      </c>
      <c r="AA499" s="26"/>
      <c r="AB499" s="26"/>
      <c r="AC499" s="26"/>
      <c r="AD499" s="26"/>
      <c r="AE499" s="26"/>
      <c r="AS499" s="16" t="s">
        <v>172</v>
      </c>
      <c r="AT499" s="16" t="s">
        <v>11936</v>
      </c>
      <c r="AU499" s="16" t="s">
        <v>4543</v>
      </c>
      <c r="AV499" s="16" t="s">
        <v>18892</v>
      </c>
      <c r="AW499" s="16" t="s">
        <v>18879</v>
      </c>
      <c r="AX499" s="16" t="s">
        <v>18891</v>
      </c>
      <c r="AY499" s="385">
        <v>13018</v>
      </c>
    </row>
    <row r="500" spans="1:51" x14ac:dyDescent="0.25">
      <c r="A500" s="16" t="s">
        <v>19621</v>
      </c>
      <c r="B500" s="16" t="s">
        <v>4735</v>
      </c>
      <c r="C500" s="16" t="s">
        <v>467</v>
      </c>
      <c r="D500" s="16">
        <v>3</v>
      </c>
      <c r="E500" s="16" t="s">
        <v>1749</v>
      </c>
      <c r="F500" s="16" t="str">
        <f>VLOOKUP(Table28[[#This Row],[Country]],Table10[[COUNTRY NAME]:[CONTINENT CODE]],3,FALSE)</f>
        <v>NA</v>
      </c>
      <c r="G500" s="16" t="s">
        <v>13228</v>
      </c>
      <c r="H500" s="181">
        <v>13930</v>
      </c>
      <c r="I500" s="180">
        <v>32.75</v>
      </c>
      <c r="K500" s="316">
        <f>IFERROR(Table28[[#This Row],[ROUTE COST]]/Table28[[#This Row],[O - DEMAND]],0)</f>
        <v>0</v>
      </c>
      <c r="M500" s="16">
        <f>Table28[[#This Row],[O - DEMAND]]/950</f>
        <v>0</v>
      </c>
      <c r="N500" s="16">
        <f>IFERROR(VLOOKUP(Table28[[#This Row],[ROUTE]],DEMAND!A:F,5,FALSE),0)</f>
        <v>2601</v>
      </c>
      <c r="O500" s="16">
        <f>IFERROR(VLOOKUP(Table28[[#This Row],[ROUTE]],DEMAND!A:F,6,FALSE),0)</f>
        <v>701</v>
      </c>
      <c r="P500" s="16">
        <f>ROUNDDOWN(Table28[[#This Row],[R-DEMAND]]/950,0)</f>
        <v>0</v>
      </c>
      <c r="Q500" s="16">
        <f>Table28[[#This Row],[ADD ACC
(475/950)]]*Table28[[#This Row],[Duration
(A359)]]</f>
        <v>0</v>
      </c>
      <c r="R500" s="16">
        <f>IFERROR(VLOOKUP(Table28[[#This Row],[ROUTE]],PRICING!A:B,2,FALSE),0)</f>
        <v>0</v>
      </c>
      <c r="S500" s="16">
        <f>Table28[[#This Row],[C_DEMAND]]-Table28[[#This Row],[R-DEMAND]]</f>
        <v>1900</v>
      </c>
      <c r="T500" s="316">
        <f>Table28[[#This Row],[SEATS SOLD]]*Table28[[#This Row],[ECO SEAT]]</f>
        <v>0</v>
      </c>
      <c r="U500" s="316">
        <f>Table28[[#This Row],[SEATS SOLD]]*(IFERROR(VLOOKUP(Table28[[#This Row],[ROUTE]],PRICING!A:C,3,FALSE),0))</f>
        <v>0</v>
      </c>
      <c r="V500" s="316">
        <f>Table28[[#This Row],[SEAT REV]]-Table28[[#This Row],[SEAT REV
(IF IDEAL $)]]</f>
        <v>0</v>
      </c>
      <c r="AA500" s="26"/>
      <c r="AB500" s="26"/>
      <c r="AC500" s="26"/>
      <c r="AD500" s="26"/>
      <c r="AE500" s="26"/>
      <c r="AS500" s="16" t="s">
        <v>11732</v>
      </c>
      <c r="AT500" s="16" t="s">
        <v>16954</v>
      </c>
      <c r="AU500" s="16" t="s">
        <v>3605</v>
      </c>
      <c r="AV500" s="16" t="s">
        <v>18878</v>
      </c>
      <c r="AX500" s="16" t="s">
        <v>18891</v>
      </c>
      <c r="AY500" s="385">
        <v>13022</v>
      </c>
    </row>
    <row r="501" spans="1:51" x14ac:dyDescent="0.25">
      <c r="A501" s="16" t="s">
        <v>19293</v>
      </c>
      <c r="B501" s="16" t="s">
        <v>3626</v>
      </c>
      <c r="D501" s="16">
        <v>2</v>
      </c>
      <c r="E501" s="16" t="s">
        <v>78</v>
      </c>
      <c r="F501" s="16" t="str">
        <f>VLOOKUP(Table28[[#This Row],[Country]],Table10[[COUNTRY NAME]:[CONTINENT CODE]],3,FALSE)</f>
        <v>EU</v>
      </c>
      <c r="G501" s="16" t="s">
        <v>11932</v>
      </c>
      <c r="H501" s="181">
        <v>11231</v>
      </c>
      <c r="I501" s="180">
        <v>26.75</v>
      </c>
      <c r="K501" s="316">
        <f>IFERROR(Table28[[#This Row],[ROUTE COST]]/Table28[[#This Row],[O - DEMAND]],0)</f>
        <v>0</v>
      </c>
      <c r="M501" s="16">
        <f>Table28[[#This Row],[O - DEMAND]]/950</f>
        <v>0</v>
      </c>
      <c r="N501" s="16">
        <f>IFERROR(VLOOKUP(Table28[[#This Row],[ROUTE]],DEMAND!A:F,5,FALSE),0)</f>
        <v>0</v>
      </c>
      <c r="O501" s="16">
        <f>IFERROR(VLOOKUP(Table28[[#This Row],[ROUTE]],DEMAND!A:F,6,FALSE),0)</f>
        <v>0</v>
      </c>
      <c r="P501" s="16">
        <f>ROUNDDOWN(Table28[[#This Row],[R-DEMAND]]/950,0)</f>
        <v>0</v>
      </c>
      <c r="Q501" s="16">
        <f>Table28[[#This Row],[ADD ACC
(475/950)]]*Table28[[#This Row],[Duration
(A359)]]</f>
        <v>0</v>
      </c>
      <c r="R501" s="16">
        <f>IFERROR(VLOOKUP(Table28[[#This Row],[ROUTE]],PRICING!A:B,2,FALSE),0)</f>
        <v>0</v>
      </c>
      <c r="S501" s="16">
        <f>Table28[[#This Row],[C_DEMAND]]-Table28[[#This Row],[R-DEMAND]]</f>
        <v>0</v>
      </c>
      <c r="T501" s="316">
        <f>Table28[[#This Row],[SEATS SOLD]]*Table28[[#This Row],[ECO SEAT]]</f>
        <v>0</v>
      </c>
      <c r="U501" s="316">
        <f>Table28[[#This Row],[SEATS SOLD]]*(IFERROR(VLOOKUP(Table28[[#This Row],[ROUTE]],PRICING!A:C,3,FALSE),0))</f>
        <v>0</v>
      </c>
      <c r="V501" s="316">
        <f>Table28[[#This Row],[SEAT REV]]-Table28[[#This Row],[SEAT REV
(IF IDEAL $)]]</f>
        <v>0</v>
      </c>
      <c r="AA501" s="26"/>
      <c r="AB501" s="26"/>
      <c r="AC501" s="26"/>
      <c r="AD501" s="26"/>
      <c r="AE501" s="26"/>
      <c r="AS501" s="16" t="s">
        <v>1144</v>
      </c>
      <c r="AT501" s="16" t="s">
        <v>13149</v>
      </c>
      <c r="AU501" s="16" t="s">
        <v>4456</v>
      </c>
      <c r="AV501" s="16" t="s">
        <v>18884</v>
      </c>
      <c r="AW501" s="16" t="s">
        <v>18879</v>
      </c>
      <c r="AX501" s="16" t="s">
        <v>18891</v>
      </c>
      <c r="AY501" s="385">
        <v>13028</v>
      </c>
    </row>
    <row r="502" spans="1:51" x14ac:dyDescent="0.25">
      <c r="A502" s="16" t="s">
        <v>19747</v>
      </c>
      <c r="B502" s="16" t="s">
        <v>5505</v>
      </c>
      <c r="D502" s="16">
        <v>4</v>
      </c>
      <c r="E502" s="16" t="s">
        <v>11732</v>
      </c>
      <c r="F502" s="16" t="str">
        <f>VLOOKUP(Table28[[#This Row],[Country]],Table10[[COUNTRY NAME]:[CONTINENT CODE]],3,FALSE)</f>
        <v>NA - US</v>
      </c>
      <c r="G502" s="16" t="s">
        <v>13306</v>
      </c>
      <c r="H502" s="181">
        <v>14885</v>
      </c>
      <c r="I502" s="180">
        <v>34.75</v>
      </c>
      <c r="K502" s="316">
        <f>IFERROR(Table28[[#This Row],[ROUTE COST]]/Table28[[#This Row],[O - DEMAND]],0)</f>
        <v>0</v>
      </c>
      <c r="M502" s="180">
        <f>Table28[[#This Row],[O - DEMAND]]/950</f>
        <v>0</v>
      </c>
      <c r="N502" s="16">
        <f>IFERROR(VLOOKUP(Table28[[#This Row],[ROUTE]],DEMAND!A:F,5,FALSE),0)</f>
        <v>0</v>
      </c>
      <c r="O502" s="16">
        <f>IFERROR(VLOOKUP(Table28[[#This Row],[ROUTE]],DEMAND!A:F,6,FALSE),0)</f>
        <v>0</v>
      </c>
      <c r="P502" s="16">
        <f>ROUNDDOWN(Table28[[#This Row],[R-DEMAND]]/950,0)</f>
        <v>0</v>
      </c>
      <c r="Q502" s="16">
        <f>Table28[[#This Row],[ADD ACC
(475/950)]]*Table28[[#This Row],[Duration
(A359)]]</f>
        <v>0</v>
      </c>
      <c r="R502" s="16">
        <f>IFERROR(VLOOKUP(Table28[[#This Row],[ROUTE]],PRICING!A:B,2,FALSE),0)</f>
        <v>0</v>
      </c>
      <c r="S502" s="16">
        <f>Table28[[#This Row],[C_DEMAND]]-Table28[[#This Row],[R-DEMAND]]</f>
        <v>0</v>
      </c>
      <c r="T502" s="316">
        <f>Table28[[#This Row],[SEATS SOLD]]*Table28[[#This Row],[ECO SEAT]]</f>
        <v>0</v>
      </c>
      <c r="U502" s="316">
        <f>Table28[[#This Row],[SEATS SOLD]]*(IFERROR(VLOOKUP(Table28[[#This Row],[ROUTE]],PRICING!A:C,3,FALSE),0))</f>
        <v>0</v>
      </c>
      <c r="V502" s="316">
        <f>Table28[[#This Row],[SEAT REV]]-Table28[[#This Row],[SEAT REV
(IF IDEAL $)]]</f>
        <v>0</v>
      </c>
      <c r="AA502" s="26"/>
      <c r="AB502" s="26"/>
      <c r="AC502" s="26"/>
      <c r="AD502" s="26"/>
      <c r="AE502" s="26"/>
      <c r="AS502" s="16" t="s">
        <v>78</v>
      </c>
      <c r="AT502" s="16" t="s">
        <v>11918</v>
      </c>
      <c r="AU502" s="16" t="s">
        <v>5438</v>
      </c>
      <c r="AV502" s="16" t="s">
        <v>18881</v>
      </c>
      <c r="AW502" s="16" t="s">
        <v>18885</v>
      </c>
      <c r="AX502" s="16" t="s">
        <v>18891</v>
      </c>
      <c r="AY502" s="385">
        <v>13030</v>
      </c>
    </row>
    <row r="503" spans="1:51" x14ac:dyDescent="0.25">
      <c r="A503" s="16" t="s">
        <v>19795</v>
      </c>
      <c r="B503" s="16" t="s">
        <v>3433</v>
      </c>
      <c r="D503" s="16">
        <v>2</v>
      </c>
      <c r="E503" s="16" t="s">
        <v>11732</v>
      </c>
      <c r="F503" s="16" t="str">
        <f>VLOOKUP(Table28[[#This Row],[Country]],Table10[[COUNTRY NAME]:[CONTINENT CODE]],3,FALSE)</f>
        <v>NA - US</v>
      </c>
      <c r="G503" s="16" t="s">
        <v>13370</v>
      </c>
      <c r="H503" s="181">
        <v>15090</v>
      </c>
      <c r="I503" s="180">
        <v>35.25</v>
      </c>
      <c r="K503" s="316">
        <f>IFERROR(Table28[[#This Row],[ROUTE COST]]/Table28[[#This Row],[O - DEMAND]],0)</f>
        <v>0</v>
      </c>
      <c r="M503" s="180">
        <f>Table28[[#This Row],[O - DEMAND]]/950</f>
        <v>0</v>
      </c>
      <c r="N503" s="16">
        <f>IFERROR(VLOOKUP(Table28[[#This Row],[ROUTE]],DEMAND!A:F,5,FALSE),0)</f>
        <v>0</v>
      </c>
      <c r="O503" s="16">
        <f>IFERROR(VLOOKUP(Table28[[#This Row],[ROUTE]],DEMAND!A:F,6,FALSE),0)</f>
        <v>0</v>
      </c>
      <c r="P503" s="16">
        <f>ROUNDDOWN(Table28[[#This Row],[R-DEMAND]]/950,0)</f>
        <v>0</v>
      </c>
      <c r="Q503" s="16">
        <f>Table28[[#This Row],[ADD ACC
(475/950)]]*Table28[[#This Row],[Duration
(A359)]]</f>
        <v>0</v>
      </c>
      <c r="R503" s="16">
        <f>IFERROR(VLOOKUP(Table28[[#This Row],[ROUTE]],PRICING!A:B,2,FALSE),0)</f>
        <v>0</v>
      </c>
      <c r="S503" s="16">
        <f>Table28[[#This Row],[C_DEMAND]]-Table28[[#This Row],[R-DEMAND]]</f>
        <v>0</v>
      </c>
      <c r="T503" s="316">
        <f>Table28[[#This Row],[SEATS SOLD]]*Table28[[#This Row],[ECO SEAT]]</f>
        <v>0</v>
      </c>
      <c r="U503" s="316">
        <f>Table28[[#This Row],[SEATS SOLD]]*(IFERROR(VLOOKUP(Table28[[#This Row],[ROUTE]],PRICING!A:C,3,FALSE),0))</f>
        <v>0</v>
      </c>
      <c r="V503" s="316">
        <f>Table28[[#This Row],[SEAT REV]]-Table28[[#This Row],[SEAT REV
(IF IDEAL $)]]</f>
        <v>0</v>
      </c>
      <c r="AA503" s="26"/>
      <c r="AB503" s="26"/>
      <c r="AC503" s="26"/>
      <c r="AD503" s="26"/>
      <c r="AE503" s="26"/>
      <c r="AS503" s="16" t="s">
        <v>1749</v>
      </c>
      <c r="AT503" s="16" t="s">
        <v>13226</v>
      </c>
      <c r="AU503" s="16" t="s">
        <v>3792</v>
      </c>
      <c r="AV503" s="16" t="s">
        <v>18884</v>
      </c>
      <c r="AW503" s="16" t="s">
        <v>18879</v>
      </c>
      <c r="AX503" s="16" t="s">
        <v>18891</v>
      </c>
      <c r="AY503" s="385">
        <v>13035</v>
      </c>
    </row>
    <row r="504" spans="1:51" x14ac:dyDescent="0.25">
      <c r="A504" s="16" t="s">
        <v>19717</v>
      </c>
      <c r="B504" s="16" t="s">
        <v>4518</v>
      </c>
      <c r="D504" s="16">
        <v>2</v>
      </c>
      <c r="E504" s="16" t="s">
        <v>11732</v>
      </c>
      <c r="F504" s="16" t="str">
        <f>VLOOKUP(Table28[[#This Row],[Country]],Table10[[COUNTRY NAME]:[CONTINENT CODE]],3,FALSE)</f>
        <v>NA - US</v>
      </c>
      <c r="G504" s="16" t="s">
        <v>13305</v>
      </c>
      <c r="H504" s="181">
        <v>14642</v>
      </c>
      <c r="I504" s="180">
        <v>34.25</v>
      </c>
      <c r="K504" s="316">
        <f>IFERROR(Table28[[#This Row],[ROUTE COST]]/Table28[[#This Row],[O - DEMAND]],0)</f>
        <v>0</v>
      </c>
      <c r="M504" s="180">
        <f>Table28[[#This Row],[O - DEMAND]]/950</f>
        <v>0</v>
      </c>
      <c r="N504" s="16">
        <f>IFERROR(VLOOKUP(Table28[[#This Row],[ROUTE]],DEMAND!A:F,5,FALSE),0)</f>
        <v>0</v>
      </c>
      <c r="O504" s="16">
        <f>IFERROR(VLOOKUP(Table28[[#This Row],[ROUTE]],DEMAND!A:F,6,FALSE),0)</f>
        <v>0</v>
      </c>
      <c r="P504" s="16">
        <f>ROUNDDOWN(Table28[[#This Row],[R-DEMAND]]/950,0)</f>
        <v>0</v>
      </c>
      <c r="Q504" s="16">
        <f>Table28[[#This Row],[ADD ACC
(475/950)]]*Table28[[#This Row],[Duration
(A359)]]</f>
        <v>0</v>
      </c>
      <c r="R504" s="16">
        <f>IFERROR(VLOOKUP(Table28[[#This Row],[ROUTE]],PRICING!A:B,2,FALSE),0)</f>
        <v>0</v>
      </c>
      <c r="S504" s="16">
        <f>Table28[[#This Row],[C_DEMAND]]-Table28[[#This Row],[R-DEMAND]]</f>
        <v>0</v>
      </c>
      <c r="T504" s="316">
        <f>Table28[[#This Row],[SEATS SOLD]]*Table28[[#This Row],[ECO SEAT]]</f>
        <v>0</v>
      </c>
      <c r="U504" s="316">
        <f>Table28[[#This Row],[SEATS SOLD]]*(IFERROR(VLOOKUP(Table28[[#This Row],[ROUTE]],PRICING!A:C,3,FALSE),0))</f>
        <v>0</v>
      </c>
      <c r="V504" s="316">
        <f>Table28[[#This Row],[SEAT REV]]-Table28[[#This Row],[SEAT REV
(IF IDEAL $)]]</f>
        <v>0</v>
      </c>
      <c r="AA504" s="26"/>
      <c r="AB504" s="26"/>
      <c r="AC504" s="26"/>
      <c r="AD504" s="26"/>
      <c r="AE504" s="26"/>
      <c r="AS504" s="16" t="s">
        <v>714</v>
      </c>
      <c r="AT504" s="16" t="s">
        <v>13241</v>
      </c>
      <c r="AU504" s="16" t="s">
        <v>4738</v>
      </c>
      <c r="AV504" s="16" t="s">
        <v>18884</v>
      </c>
      <c r="AW504" s="16" t="s">
        <v>18885</v>
      </c>
      <c r="AX504" s="16" t="s">
        <v>18891</v>
      </c>
      <c r="AY504" s="385">
        <v>13042</v>
      </c>
    </row>
    <row r="505" spans="1:51" x14ac:dyDescent="0.25">
      <c r="A505" s="16" t="s">
        <v>19456</v>
      </c>
      <c r="B505" s="16" t="s">
        <v>4266</v>
      </c>
      <c r="D505" s="16">
        <v>2</v>
      </c>
      <c r="E505" s="16" t="s">
        <v>1749</v>
      </c>
      <c r="F505" s="16" t="str">
        <f>VLOOKUP(Table28[[#This Row],[Country]],Table10[[COUNTRY NAME]:[CONTINENT CODE]],3,FALSE)</f>
        <v>NA</v>
      </c>
      <c r="G505" s="16" t="s">
        <v>13223</v>
      </c>
      <c r="H505" s="181">
        <v>12829</v>
      </c>
      <c r="I505" s="180">
        <v>30.25</v>
      </c>
      <c r="K505" s="316">
        <f>IFERROR(Table28[[#This Row],[ROUTE COST]]/Table28[[#This Row],[O - DEMAND]],0)</f>
        <v>0</v>
      </c>
      <c r="M505" s="16">
        <f>Table28[[#This Row],[O - DEMAND]]/950</f>
        <v>0</v>
      </c>
      <c r="N505" s="16">
        <f>IFERROR(VLOOKUP(Table28[[#This Row],[ROUTE]],DEMAND!A:F,5,FALSE),0)</f>
        <v>0</v>
      </c>
      <c r="O505" s="16">
        <f>IFERROR(VLOOKUP(Table28[[#This Row],[ROUTE]],DEMAND!A:F,6,FALSE),0)</f>
        <v>0</v>
      </c>
      <c r="P505" s="16">
        <f>ROUNDDOWN(Table28[[#This Row],[R-DEMAND]]/950,0)</f>
        <v>0</v>
      </c>
      <c r="Q505" s="16">
        <f>Table28[[#This Row],[ADD ACC
(475/950)]]*Table28[[#This Row],[Duration
(A359)]]</f>
        <v>0</v>
      </c>
      <c r="R505" s="16">
        <f>IFERROR(VLOOKUP(Table28[[#This Row],[ROUTE]],PRICING!A:B,2,FALSE),0)</f>
        <v>0</v>
      </c>
      <c r="S505" s="16">
        <f>Table28[[#This Row],[C_DEMAND]]-Table28[[#This Row],[R-DEMAND]]</f>
        <v>0</v>
      </c>
      <c r="T505" s="316">
        <f>Table28[[#This Row],[SEATS SOLD]]*Table28[[#This Row],[ECO SEAT]]</f>
        <v>0</v>
      </c>
      <c r="U505" s="316">
        <f>Table28[[#This Row],[SEATS SOLD]]*(IFERROR(VLOOKUP(Table28[[#This Row],[ROUTE]],PRICING!A:C,3,FALSE),0))</f>
        <v>0</v>
      </c>
      <c r="V505" s="316">
        <f>Table28[[#This Row],[SEAT REV]]-Table28[[#This Row],[SEAT REV
(IF IDEAL $)]]</f>
        <v>0</v>
      </c>
      <c r="AA505" s="26"/>
      <c r="AB505" s="26"/>
      <c r="AC505" s="26"/>
      <c r="AD505" s="26"/>
      <c r="AE505" s="26"/>
      <c r="AS505" s="16" t="s">
        <v>1749</v>
      </c>
      <c r="AT505" s="16" t="s">
        <v>17009</v>
      </c>
      <c r="AU505" s="16" t="s">
        <v>3852</v>
      </c>
      <c r="AV505" s="16" t="s">
        <v>18878</v>
      </c>
      <c r="AW505" s="16" t="s">
        <v>18879</v>
      </c>
      <c r="AX505" s="16" t="s">
        <v>18891</v>
      </c>
      <c r="AY505" s="385">
        <v>13042</v>
      </c>
    </row>
    <row r="506" spans="1:51" x14ac:dyDescent="0.25">
      <c r="A506" s="16" t="s">
        <v>19649</v>
      </c>
      <c r="B506" s="16" t="s">
        <v>4013</v>
      </c>
      <c r="D506" s="16">
        <v>2</v>
      </c>
      <c r="E506" s="16" t="s">
        <v>700</v>
      </c>
      <c r="F506" s="16" t="str">
        <f>VLOOKUP(Table28[[#This Row],[Country]],Table10[[COUNTRY NAME]:[CONTINENT CODE]],3,FALSE)</f>
        <v>AS</v>
      </c>
      <c r="G506" s="16" t="s">
        <v>11885</v>
      </c>
      <c r="H506" s="181">
        <v>14126</v>
      </c>
      <c r="I506" s="180">
        <v>33.25</v>
      </c>
      <c r="K506" s="316">
        <f>IFERROR(Table28[[#This Row],[ROUTE COST]]/Table28[[#This Row],[O - DEMAND]],0)</f>
        <v>0</v>
      </c>
      <c r="M506" s="16">
        <f>Table28[[#This Row],[O - DEMAND]]/950</f>
        <v>0</v>
      </c>
      <c r="N506" s="16">
        <f>IFERROR(VLOOKUP(Table28[[#This Row],[ROUTE]],DEMAND!A:F,5,FALSE),0)</f>
        <v>0</v>
      </c>
      <c r="O506" s="16">
        <f>IFERROR(VLOOKUP(Table28[[#This Row],[ROUTE]],DEMAND!A:F,6,FALSE),0)</f>
        <v>0</v>
      </c>
      <c r="P506" s="16">
        <f>ROUNDDOWN(Table28[[#This Row],[R-DEMAND]]/950,0)</f>
        <v>0</v>
      </c>
      <c r="Q506" s="16">
        <f>Table28[[#This Row],[ADD ACC
(475/950)]]*Table28[[#This Row],[Duration
(A359)]]</f>
        <v>0</v>
      </c>
      <c r="R506" s="16">
        <f>IFERROR(VLOOKUP(Table28[[#This Row],[ROUTE]],PRICING!A:B,2,FALSE),0)</f>
        <v>0</v>
      </c>
      <c r="S506" s="16">
        <f>Table28[[#This Row],[C_DEMAND]]-Table28[[#This Row],[R-DEMAND]]</f>
        <v>0</v>
      </c>
      <c r="T506" s="316">
        <f>Table28[[#This Row],[SEATS SOLD]]*Table28[[#This Row],[ECO SEAT]]</f>
        <v>0</v>
      </c>
      <c r="U506" s="316">
        <f>Table28[[#This Row],[SEATS SOLD]]*(IFERROR(VLOOKUP(Table28[[#This Row],[ROUTE]],PRICING!A:C,3,FALSE),0))</f>
        <v>0</v>
      </c>
      <c r="V506" s="316">
        <f>Table28[[#This Row],[SEAT REV]]-Table28[[#This Row],[SEAT REV
(IF IDEAL $)]]</f>
        <v>0</v>
      </c>
      <c r="AA506" s="26"/>
      <c r="AB506" s="26"/>
      <c r="AC506" s="26"/>
      <c r="AD506" s="26"/>
      <c r="AE506" s="26"/>
      <c r="AS506" s="16" t="s">
        <v>172</v>
      </c>
      <c r="AT506" s="16" t="s">
        <v>11935</v>
      </c>
      <c r="AU506" s="16" t="s">
        <v>902</v>
      </c>
      <c r="AV506" s="16" t="s">
        <v>18884</v>
      </c>
      <c r="AW506" s="16" t="s">
        <v>18890</v>
      </c>
      <c r="AX506" s="16" t="s">
        <v>18891</v>
      </c>
      <c r="AY506" s="385">
        <v>13049</v>
      </c>
    </row>
    <row r="507" spans="1:51" x14ac:dyDescent="0.25">
      <c r="A507" s="16" t="s">
        <v>19044</v>
      </c>
      <c r="B507" s="16" t="s">
        <v>166</v>
      </c>
      <c r="C507" s="16" t="s">
        <v>467</v>
      </c>
      <c r="D507" s="16">
        <v>5</v>
      </c>
      <c r="E507" s="16" t="s">
        <v>717</v>
      </c>
      <c r="F507" s="16" t="str">
        <f>VLOOKUP(Table28[[#This Row],[Country]],Table10[[COUNTRY NAME]:[CONTINENT CODE]],3,FALSE)</f>
        <v>AS</v>
      </c>
      <c r="G507" s="16" t="s">
        <v>12089</v>
      </c>
      <c r="H507" s="181">
        <v>6264</v>
      </c>
      <c r="I507" s="180">
        <v>16</v>
      </c>
      <c r="K507" s="316">
        <f>IFERROR(Table28[[#This Row],[ROUTE COST]]/Table28[[#This Row],[O - DEMAND]],0)</f>
        <v>0</v>
      </c>
      <c r="M507" s="16">
        <f>Table28[[#This Row],[O - DEMAND]]/950</f>
        <v>0</v>
      </c>
      <c r="N507" s="16">
        <f>IFERROR(VLOOKUP(Table28[[#This Row],[ROUTE]],DEMAND!A:F,5,FALSE),0)</f>
        <v>3256</v>
      </c>
      <c r="O507" s="16">
        <f>IFERROR(VLOOKUP(Table28[[#This Row],[ROUTE]],DEMAND!A:F,6,FALSE),0)</f>
        <v>406</v>
      </c>
      <c r="P507" s="16">
        <f>ROUNDDOWN(Table28[[#This Row],[R-DEMAND]]/950,0)</f>
        <v>0</v>
      </c>
      <c r="Q507" s="16">
        <f>Table28[[#This Row],[ADD ACC
(475/950)]]*Table28[[#This Row],[Duration
(A359)]]</f>
        <v>0</v>
      </c>
      <c r="R507" s="16">
        <f>IFERROR(VLOOKUP(Table28[[#This Row],[ROUTE]],PRICING!A:B,2,FALSE),0)</f>
        <v>0</v>
      </c>
      <c r="S507" s="16">
        <f>Table28[[#This Row],[C_DEMAND]]-Table28[[#This Row],[R-DEMAND]]</f>
        <v>2850</v>
      </c>
      <c r="T507" s="316">
        <f>Table28[[#This Row],[SEATS SOLD]]*Table28[[#This Row],[ECO SEAT]]</f>
        <v>0</v>
      </c>
      <c r="U507" s="316">
        <f>Table28[[#This Row],[SEATS SOLD]]*(IFERROR(VLOOKUP(Table28[[#This Row],[ROUTE]],PRICING!A:C,3,FALSE),0))</f>
        <v>0</v>
      </c>
      <c r="V507" s="316">
        <f>Table28[[#This Row],[SEAT REV]]-Table28[[#This Row],[SEAT REV
(IF IDEAL $)]]</f>
        <v>0</v>
      </c>
      <c r="AA507" s="26"/>
      <c r="AB507" s="26"/>
      <c r="AC507" s="26"/>
      <c r="AD507" s="26"/>
      <c r="AE507" s="26"/>
      <c r="AS507" s="16" t="s">
        <v>11732</v>
      </c>
      <c r="AT507" s="16" t="s">
        <v>16944</v>
      </c>
      <c r="AU507" s="16" t="s">
        <v>3747</v>
      </c>
      <c r="AV507" s="16" t="s">
        <v>18878</v>
      </c>
      <c r="AX507" s="16" t="s">
        <v>18891</v>
      </c>
      <c r="AY507" s="385">
        <v>13063</v>
      </c>
    </row>
    <row r="508" spans="1:51" x14ac:dyDescent="0.25">
      <c r="A508" s="16" t="s">
        <v>19693</v>
      </c>
      <c r="B508" s="16" t="s">
        <v>4154</v>
      </c>
      <c r="E508" s="16" t="s">
        <v>11732</v>
      </c>
      <c r="F508" s="16" t="str">
        <f>VLOOKUP(Table28[[#This Row],[Country]],Table10[[COUNTRY NAME]:[CONTINENT CODE]],3,FALSE)</f>
        <v>NA - US</v>
      </c>
      <c r="G508" s="16" t="s">
        <v>17016</v>
      </c>
      <c r="H508" s="181">
        <v>14502</v>
      </c>
      <c r="I508" s="180">
        <v>34</v>
      </c>
      <c r="K508" s="316">
        <f>IFERROR(Table28[[#This Row],[ROUTE COST]]/Table28[[#This Row],[O - DEMAND]],0)</f>
        <v>0</v>
      </c>
      <c r="M508" s="180">
        <f>Table28[[#This Row],[O - DEMAND]]/950</f>
        <v>0</v>
      </c>
      <c r="N508" s="16">
        <f>IFERROR(VLOOKUP(Table28[[#This Row],[ROUTE]],DEMAND!A:F,5,FALSE),0)</f>
        <v>0</v>
      </c>
      <c r="O508" s="16">
        <f>IFERROR(VLOOKUP(Table28[[#This Row],[ROUTE]],DEMAND!A:F,6,FALSE),0)</f>
        <v>0</v>
      </c>
      <c r="P508" s="16">
        <f>ROUNDDOWN(Table28[[#This Row],[R-DEMAND]]/950,0)</f>
        <v>0</v>
      </c>
      <c r="Q508" s="16">
        <f>Table28[[#This Row],[ADD ACC
(475/950)]]*Table28[[#This Row],[Duration
(A359)]]</f>
        <v>0</v>
      </c>
      <c r="R508" s="16">
        <f>IFERROR(VLOOKUP(Table28[[#This Row],[ROUTE]],PRICING!A:B,2,FALSE),0)</f>
        <v>0</v>
      </c>
      <c r="S508" s="16">
        <f>Table28[[#This Row],[C_DEMAND]]-Table28[[#This Row],[R-DEMAND]]</f>
        <v>0</v>
      </c>
      <c r="T508" s="316">
        <f>Table28[[#This Row],[SEATS SOLD]]*Table28[[#This Row],[ECO SEAT]]</f>
        <v>0</v>
      </c>
      <c r="U508" s="316">
        <f>Table28[[#This Row],[SEATS SOLD]]*(IFERROR(VLOOKUP(Table28[[#This Row],[ROUTE]],PRICING!A:C,3,FALSE),0))</f>
        <v>0</v>
      </c>
      <c r="V508" s="316">
        <f>Table28[[#This Row],[SEAT REV]]-Table28[[#This Row],[SEAT REV
(IF IDEAL $)]]</f>
        <v>0</v>
      </c>
      <c r="AA508" s="26"/>
      <c r="AB508" s="26"/>
      <c r="AC508" s="26"/>
      <c r="AD508" s="26"/>
      <c r="AE508" s="26"/>
      <c r="AS508" s="16" t="s">
        <v>1144</v>
      </c>
      <c r="AT508" s="16" t="s">
        <v>13150</v>
      </c>
      <c r="AU508" s="16" t="s">
        <v>4291</v>
      </c>
      <c r="AV508" s="16" t="s">
        <v>18884</v>
      </c>
      <c r="AW508" s="16" t="s">
        <v>18879</v>
      </c>
      <c r="AX508" s="16" t="s">
        <v>18891</v>
      </c>
      <c r="AY508" s="385">
        <v>13070</v>
      </c>
    </row>
    <row r="509" spans="1:51" x14ac:dyDescent="0.25">
      <c r="A509" s="16" t="s">
        <v>19258</v>
      </c>
      <c r="B509" s="16" t="s">
        <v>5599</v>
      </c>
      <c r="D509" s="16">
        <v>4</v>
      </c>
      <c r="E509" s="16" t="s">
        <v>1531</v>
      </c>
      <c r="F509" s="16" t="str">
        <f>VLOOKUP(Table28[[#This Row],[Country]],Table10[[COUNTRY NAME]:[CONTINENT CODE]],3,FALSE)</f>
        <v>AF</v>
      </c>
      <c r="G509" s="16" t="s">
        <v>11059</v>
      </c>
      <c r="H509" s="181">
        <v>10732</v>
      </c>
      <c r="I509" s="180">
        <v>25.75</v>
      </c>
      <c r="K509" s="316">
        <f>IFERROR(Table28[[#This Row],[ROUTE COST]]/Table28[[#This Row],[O - DEMAND]],0)</f>
        <v>0</v>
      </c>
      <c r="M509" s="16">
        <f>Table28[[#This Row],[O - DEMAND]]/950</f>
        <v>0</v>
      </c>
      <c r="N509" s="16">
        <f>IFERROR(VLOOKUP(Table28[[#This Row],[ROUTE]],DEMAND!A:F,5,FALSE),0)</f>
        <v>0</v>
      </c>
      <c r="O509" s="16">
        <f>IFERROR(VLOOKUP(Table28[[#This Row],[ROUTE]],DEMAND!A:F,6,FALSE),0)</f>
        <v>0</v>
      </c>
      <c r="P509" s="16">
        <f>ROUNDDOWN(Table28[[#This Row],[R-DEMAND]]/950,0)</f>
        <v>0</v>
      </c>
      <c r="Q509" s="16">
        <f>Table28[[#This Row],[ADD ACC
(475/950)]]*Table28[[#This Row],[Duration
(A359)]]</f>
        <v>0</v>
      </c>
      <c r="R509" s="16">
        <f>IFERROR(VLOOKUP(Table28[[#This Row],[ROUTE]],PRICING!A:B,2,FALSE),0)</f>
        <v>0</v>
      </c>
      <c r="S509" s="16">
        <f>Table28[[#This Row],[C_DEMAND]]-Table28[[#This Row],[R-DEMAND]]</f>
        <v>0</v>
      </c>
      <c r="T509" s="316">
        <f>Table28[[#This Row],[SEATS SOLD]]*Table28[[#This Row],[ECO SEAT]]</f>
        <v>0</v>
      </c>
      <c r="U509" s="316">
        <f>Table28[[#This Row],[SEATS SOLD]]*(IFERROR(VLOOKUP(Table28[[#This Row],[ROUTE]],PRICING!A:C,3,FALSE),0))</f>
        <v>0</v>
      </c>
      <c r="V509" s="316">
        <f>Table28[[#This Row],[SEAT REV]]-Table28[[#This Row],[SEAT REV
(IF IDEAL $)]]</f>
        <v>0</v>
      </c>
      <c r="AA509" s="26"/>
      <c r="AB509" s="26"/>
      <c r="AC509" s="26"/>
      <c r="AD509" s="26"/>
      <c r="AE509" s="26"/>
      <c r="AS509" s="16" t="s">
        <v>11732</v>
      </c>
      <c r="AT509" s="16" t="s">
        <v>13287</v>
      </c>
      <c r="AU509" s="16" t="s">
        <v>3672</v>
      </c>
      <c r="AV509" s="16" t="s">
        <v>18892</v>
      </c>
      <c r="AW509" s="16" t="s">
        <v>18879</v>
      </c>
      <c r="AX509" s="16" t="s">
        <v>18891</v>
      </c>
      <c r="AY509" s="385">
        <v>13086</v>
      </c>
    </row>
    <row r="510" spans="1:51" x14ac:dyDescent="0.25">
      <c r="A510" s="16" t="s">
        <v>19685</v>
      </c>
      <c r="B510" s="16" t="s">
        <v>1329</v>
      </c>
      <c r="D510" s="16">
        <v>1</v>
      </c>
      <c r="E510" s="16" t="s">
        <v>722</v>
      </c>
      <c r="F510" s="16" t="str">
        <f>VLOOKUP(Table28[[#This Row],[Country]],Table10[[COUNTRY NAME]:[CONTINENT CODE]],3,FALSE)</f>
        <v>EU</v>
      </c>
      <c r="G510" s="16" t="s">
        <v>16875</v>
      </c>
      <c r="H510" s="181">
        <v>14405</v>
      </c>
      <c r="I510" s="180">
        <v>33.75</v>
      </c>
      <c r="K510" s="316">
        <f>IFERROR(Table28[[#This Row],[ROUTE COST]]/Table28[[#This Row],[O - DEMAND]],0)</f>
        <v>0</v>
      </c>
      <c r="M510" s="16">
        <f>Table28[[#This Row],[O - DEMAND]]/950</f>
        <v>0</v>
      </c>
      <c r="N510" s="16">
        <f>IFERROR(VLOOKUP(Table28[[#This Row],[ROUTE]],DEMAND!A:F,5,FALSE),0)</f>
        <v>0</v>
      </c>
      <c r="O510" s="16">
        <f>IFERROR(VLOOKUP(Table28[[#This Row],[ROUTE]],DEMAND!A:F,6,FALSE),0)</f>
        <v>0</v>
      </c>
      <c r="P510" s="16">
        <f>ROUNDDOWN(Table28[[#This Row],[R-DEMAND]]/950,0)</f>
        <v>0</v>
      </c>
      <c r="Q510" s="16">
        <f>Table28[[#This Row],[ADD ACC
(475/950)]]*Table28[[#This Row],[Duration
(A359)]]</f>
        <v>0</v>
      </c>
      <c r="R510" s="16">
        <f>IFERROR(VLOOKUP(Table28[[#This Row],[ROUTE]],PRICING!A:B,2,FALSE),0)</f>
        <v>0</v>
      </c>
      <c r="S510" s="16">
        <f>Table28[[#This Row],[C_DEMAND]]-Table28[[#This Row],[R-DEMAND]]</f>
        <v>0</v>
      </c>
      <c r="T510" s="316">
        <f>Table28[[#This Row],[SEATS SOLD]]*Table28[[#This Row],[ECO SEAT]]</f>
        <v>0</v>
      </c>
      <c r="U510" s="316">
        <f>Table28[[#This Row],[SEATS SOLD]]*(IFERROR(VLOOKUP(Table28[[#This Row],[ROUTE]],PRICING!A:C,3,FALSE),0))</f>
        <v>0</v>
      </c>
      <c r="V510" s="316">
        <f>Table28[[#This Row],[SEAT REV]]-Table28[[#This Row],[SEAT REV
(IF IDEAL $)]]</f>
        <v>0</v>
      </c>
      <c r="AA510" s="26"/>
      <c r="AB510" s="26"/>
      <c r="AC510" s="26"/>
      <c r="AD510" s="26"/>
      <c r="AE510" s="26"/>
      <c r="AS510" s="16" t="s">
        <v>11732</v>
      </c>
      <c r="AT510" s="16" t="s">
        <v>13292</v>
      </c>
      <c r="AU510" s="16" t="s">
        <v>5411</v>
      </c>
      <c r="AV510" s="16" t="s">
        <v>18884</v>
      </c>
      <c r="AW510" s="16" t="s">
        <v>18899</v>
      </c>
      <c r="AX510" s="16" t="s">
        <v>18891</v>
      </c>
      <c r="AY510" s="385">
        <v>13087</v>
      </c>
    </row>
    <row r="511" spans="1:51" x14ac:dyDescent="0.25">
      <c r="A511" s="16" t="s">
        <v>19616</v>
      </c>
      <c r="B511" s="16" t="s">
        <v>3479</v>
      </c>
      <c r="D511" s="16">
        <v>2</v>
      </c>
      <c r="E511" s="16" t="s">
        <v>700</v>
      </c>
      <c r="F511" s="16" t="str">
        <f>VLOOKUP(Table28[[#This Row],[Country]],Table10[[COUNTRY NAME]:[CONTINENT CODE]],3,FALSE)</f>
        <v>AS</v>
      </c>
      <c r="G511" s="16" t="s">
        <v>16863</v>
      </c>
      <c r="H511" s="181">
        <v>13872</v>
      </c>
      <c r="I511" s="180">
        <v>32.5</v>
      </c>
      <c r="K511" s="316">
        <f>IFERROR(Table28[[#This Row],[ROUTE COST]]/Table28[[#This Row],[O - DEMAND]],0)</f>
        <v>0</v>
      </c>
      <c r="M511" s="16">
        <f>Table28[[#This Row],[O - DEMAND]]/950</f>
        <v>0</v>
      </c>
      <c r="N511" s="16">
        <f>IFERROR(VLOOKUP(Table28[[#This Row],[ROUTE]],DEMAND!A:F,5,FALSE),0)</f>
        <v>0</v>
      </c>
      <c r="O511" s="16">
        <f>IFERROR(VLOOKUP(Table28[[#This Row],[ROUTE]],DEMAND!A:F,6,FALSE),0)</f>
        <v>0</v>
      </c>
      <c r="P511" s="16">
        <f>ROUNDDOWN(Table28[[#This Row],[R-DEMAND]]/950,0)</f>
        <v>0</v>
      </c>
      <c r="Q511" s="16">
        <f>Table28[[#This Row],[ADD ACC
(475/950)]]*Table28[[#This Row],[Duration
(A359)]]</f>
        <v>0</v>
      </c>
      <c r="R511" s="16">
        <f>IFERROR(VLOOKUP(Table28[[#This Row],[ROUTE]],PRICING!A:B,2,FALSE),0)</f>
        <v>0</v>
      </c>
      <c r="S511" s="16">
        <f>Table28[[#This Row],[C_DEMAND]]-Table28[[#This Row],[R-DEMAND]]</f>
        <v>0</v>
      </c>
      <c r="T511" s="316">
        <f>Table28[[#This Row],[SEATS SOLD]]*Table28[[#This Row],[ECO SEAT]]</f>
        <v>0</v>
      </c>
      <c r="U511" s="316">
        <f>Table28[[#This Row],[SEATS SOLD]]*(IFERROR(VLOOKUP(Table28[[#This Row],[ROUTE]],PRICING!A:C,3,FALSE),0))</f>
        <v>0</v>
      </c>
      <c r="V511" s="316">
        <f>Table28[[#This Row],[SEAT REV]]-Table28[[#This Row],[SEAT REV
(IF IDEAL $)]]</f>
        <v>0</v>
      </c>
      <c r="AA511" s="26"/>
      <c r="AB511" s="26"/>
      <c r="AC511" s="26"/>
      <c r="AD511" s="26"/>
      <c r="AE511" s="26"/>
      <c r="AS511" s="16" t="s">
        <v>11732</v>
      </c>
      <c r="AT511" s="16" t="s">
        <v>16948</v>
      </c>
      <c r="AU511" s="16" t="s">
        <v>2130</v>
      </c>
      <c r="AV511" s="16" t="s">
        <v>18878</v>
      </c>
      <c r="AW511" s="16" t="s">
        <v>18890</v>
      </c>
      <c r="AX511" s="16" t="s">
        <v>18891</v>
      </c>
      <c r="AY511" s="385">
        <v>13091</v>
      </c>
    </row>
    <row r="512" spans="1:51" x14ac:dyDescent="0.25">
      <c r="A512" s="16" t="s">
        <v>19269</v>
      </c>
      <c r="B512" s="16" t="s">
        <v>163</v>
      </c>
      <c r="D512" s="16">
        <v>2</v>
      </c>
      <c r="E512" s="16" t="s">
        <v>926</v>
      </c>
      <c r="F512" s="16" t="str">
        <f>VLOOKUP(Table28[[#This Row],[Country]],Table10[[COUNTRY NAME]:[CONTINENT CODE]],3,FALSE)</f>
        <v>AF</v>
      </c>
      <c r="G512" s="16" t="s">
        <v>11907</v>
      </c>
      <c r="H512" s="181">
        <v>10880</v>
      </c>
      <c r="I512" s="180">
        <v>26</v>
      </c>
      <c r="K512" s="316">
        <f>IFERROR(Table28[[#This Row],[ROUTE COST]]/Table28[[#This Row],[O - DEMAND]],0)</f>
        <v>0</v>
      </c>
      <c r="M512" s="16">
        <f>Table28[[#This Row],[O - DEMAND]]/950</f>
        <v>0</v>
      </c>
      <c r="N512" s="16">
        <f>IFERROR(VLOOKUP(Table28[[#This Row],[ROUTE]],DEMAND!A:F,5,FALSE),0)</f>
        <v>0</v>
      </c>
      <c r="O512" s="16">
        <f>IFERROR(VLOOKUP(Table28[[#This Row],[ROUTE]],DEMAND!A:F,6,FALSE),0)</f>
        <v>0</v>
      </c>
      <c r="P512" s="16">
        <f>ROUNDDOWN(Table28[[#This Row],[R-DEMAND]]/950,0)</f>
        <v>0</v>
      </c>
      <c r="Q512" s="16">
        <f>Table28[[#This Row],[ADD ACC
(475/950)]]*Table28[[#This Row],[Duration
(A359)]]</f>
        <v>0</v>
      </c>
      <c r="R512" s="16">
        <f>IFERROR(VLOOKUP(Table28[[#This Row],[ROUTE]],PRICING!A:B,2,FALSE),0)</f>
        <v>0</v>
      </c>
      <c r="S512" s="16">
        <f>Table28[[#This Row],[C_DEMAND]]-Table28[[#This Row],[R-DEMAND]]</f>
        <v>0</v>
      </c>
      <c r="T512" s="316">
        <f>Table28[[#This Row],[SEATS SOLD]]*Table28[[#This Row],[ECO SEAT]]</f>
        <v>0</v>
      </c>
      <c r="U512" s="316">
        <f>Table28[[#This Row],[SEATS SOLD]]*(IFERROR(VLOOKUP(Table28[[#This Row],[ROUTE]],PRICING!A:C,3,FALSE),0))</f>
        <v>0</v>
      </c>
      <c r="V512" s="316">
        <f>Table28[[#This Row],[SEAT REV]]-Table28[[#This Row],[SEAT REV
(IF IDEAL $)]]</f>
        <v>0</v>
      </c>
      <c r="AA512" s="26"/>
      <c r="AB512" s="26"/>
      <c r="AC512" s="26"/>
      <c r="AD512" s="26"/>
      <c r="AE512" s="26"/>
      <c r="AS512" s="16" t="s">
        <v>588</v>
      </c>
      <c r="AT512" s="16" t="s">
        <v>11924</v>
      </c>
      <c r="AU512" s="16" t="s">
        <v>3365</v>
      </c>
      <c r="AV512" s="16" t="s">
        <v>18881</v>
      </c>
      <c r="AW512" s="16" t="s">
        <v>18879</v>
      </c>
      <c r="AX512" s="16" t="s">
        <v>18889</v>
      </c>
      <c r="AY512" s="385">
        <v>13100</v>
      </c>
    </row>
    <row r="513" spans="1:51" x14ac:dyDescent="0.25">
      <c r="A513" s="16" t="s">
        <v>19770</v>
      </c>
      <c r="B513" s="16" t="s">
        <v>2790</v>
      </c>
      <c r="D513" s="16">
        <v>2</v>
      </c>
      <c r="E513" s="16" t="s">
        <v>11732</v>
      </c>
      <c r="F513" s="16" t="str">
        <f>VLOOKUP(Table28[[#This Row],[Country]],Table10[[COUNTRY NAME]:[CONTINENT CODE]],3,FALSE)</f>
        <v>NA - US</v>
      </c>
      <c r="G513" s="16" t="s">
        <v>13299</v>
      </c>
      <c r="H513" s="181">
        <v>14975</v>
      </c>
      <c r="I513" s="180">
        <v>35</v>
      </c>
      <c r="K513" s="316">
        <f>IFERROR(Table28[[#This Row],[ROUTE COST]]/Table28[[#This Row],[O - DEMAND]],0)</f>
        <v>0</v>
      </c>
      <c r="M513" s="180">
        <f>Table28[[#This Row],[O - DEMAND]]/950</f>
        <v>0</v>
      </c>
      <c r="N513" s="16">
        <f>IFERROR(VLOOKUP(Table28[[#This Row],[ROUTE]],DEMAND!A:F,5,FALSE),0)</f>
        <v>0</v>
      </c>
      <c r="O513" s="16">
        <f>IFERROR(VLOOKUP(Table28[[#This Row],[ROUTE]],DEMAND!A:F,6,FALSE),0)</f>
        <v>0</v>
      </c>
      <c r="P513" s="16">
        <f>ROUNDDOWN(Table28[[#This Row],[R-DEMAND]]/950,0)</f>
        <v>0</v>
      </c>
      <c r="Q513" s="16">
        <f>Table28[[#This Row],[ADD ACC
(475/950)]]*Table28[[#This Row],[Duration
(A359)]]</f>
        <v>0</v>
      </c>
      <c r="R513" s="16">
        <f>IFERROR(VLOOKUP(Table28[[#This Row],[ROUTE]],PRICING!A:B,2,FALSE),0)</f>
        <v>0</v>
      </c>
      <c r="S513" s="16">
        <f>Table28[[#This Row],[C_DEMAND]]-Table28[[#This Row],[R-DEMAND]]</f>
        <v>0</v>
      </c>
      <c r="T513" s="316">
        <f>Table28[[#This Row],[SEATS SOLD]]*Table28[[#This Row],[ECO SEAT]]</f>
        <v>0</v>
      </c>
      <c r="U513" s="316">
        <f>Table28[[#This Row],[SEATS SOLD]]*(IFERROR(VLOOKUP(Table28[[#This Row],[ROUTE]],PRICING!A:C,3,FALSE),0))</f>
        <v>0</v>
      </c>
      <c r="V513" s="316">
        <f>Table28[[#This Row],[SEAT REV]]-Table28[[#This Row],[SEAT REV
(IF IDEAL $)]]</f>
        <v>0</v>
      </c>
      <c r="AA513" s="26"/>
      <c r="AB513" s="26"/>
      <c r="AC513" s="26"/>
      <c r="AD513" s="26"/>
      <c r="AE513" s="26"/>
      <c r="AS513" s="16" t="s">
        <v>11732</v>
      </c>
      <c r="AT513" s="16" t="s">
        <v>13280</v>
      </c>
      <c r="AU513" s="16" t="s">
        <v>4005</v>
      </c>
      <c r="AV513" s="16" t="s">
        <v>18881</v>
      </c>
      <c r="AW513" s="16" t="s">
        <v>18879</v>
      </c>
      <c r="AX513" s="16" t="s">
        <v>18889</v>
      </c>
      <c r="AY513" s="385">
        <v>13109</v>
      </c>
    </row>
    <row r="514" spans="1:51" x14ac:dyDescent="0.25">
      <c r="A514" s="16" t="s">
        <v>19617</v>
      </c>
      <c r="B514" s="16" t="s">
        <v>4080</v>
      </c>
      <c r="C514" s="16" t="s">
        <v>467</v>
      </c>
      <c r="D514" s="16">
        <v>2</v>
      </c>
      <c r="E514" s="16" t="s">
        <v>78</v>
      </c>
      <c r="F514" s="16" t="str">
        <f>VLOOKUP(Table28[[#This Row],[Country]],Table10[[COUNTRY NAME]:[CONTINENT CODE]],3,FALSE)</f>
        <v>EU</v>
      </c>
      <c r="G514" s="16" t="s">
        <v>8419</v>
      </c>
      <c r="H514" s="181">
        <v>13907</v>
      </c>
      <c r="I514" s="180">
        <v>32.75</v>
      </c>
      <c r="K514" s="316">
        <f>IFERROR(Table28[[#This Row],[ROUTE COST]]/Table28[[#This Row],[O - DEMAND]],0)</f>
        <v>0</v>
      </c>
      <c r="M514" s="16">
        <f>Table28[[#This Row],[O - DEMAND]]/950</f>
        <v>0</v>
      </c>
      <c r="N514" s="16">
        <f>IFERROR(VLOOKUP(Table28[[#This Row],[ROUTE]],DEMAND!A:F,5,FALSE),0)</f>
        <v>2602</v>
      </c>
      <c r="O514" s="16">
        <f>IFERROR(VLOOKUP(Table28[[#This Row],[ROUTE]],DEMAND!A:F,6,FALSE),0)</f>
        <v>702</v>
      </c>
      <c r="P514" s="16">
        <f>ROUNDDOWN(Table28[[#This Row],[R-DEMAND]]/950,0)</f>
        <v>0</v>
      </c>
      <c r="Q514" s="16">
        <f>Table28[[#This Row],[ADD ACC
(475/950)]]*Table28[[#This Row],[Duration
(A359)]]</f>
        <v>0</v>
      </c>
      <c r="R514" s="16">
        <f>IFERROR(VLOOKUP(Table28[[#This Row],[ROUTE]],PRICING!A:B,2,FALSE),0)</f>
        <v>0</v>
      </c>
      <c r="S514" s="16">
        <f>Table28[[#This Row],[C_DEMAND]]-Table28[[#This Row],[R-DEMAND]]</f>
        <v>1900</v>
      </c>
      <c r="T514" s="316">
        <f>Table28[[#This Row],[SEATS SOLD]]*Table28[[#This Row],[ECO SEAT]]</f>
        <v>0</v>
      </c>
      <c r="U514" s="316">
        <f>Table28[[#This Row],[SEATS SOLD]]*(IFERROR(VLOOKUP(Table28[[#This Row],[ROUTE]],PRICING!A:C,3,FALSE),0))</f>
        <v>0</v>
      </c>
      <c r="V514" s="316">
        <f>Table28[[#This Row],[SEAT REV]]-Table28[[#This Row],[SEAT REV
(IF IDEAL $)]]</f>
        <v>0</v>
      </c>
      <c r="AA514" s="26"/>
      <c r="AB514" s="26"/>
      <c r="AC514" s="26"/>
      <c r="AD514" s="26"/>
      <c r="AE514" s="26"/>
      <c r="AS514" s="16" t="s">
        <v>172</v>
      </c>
      <c r="AT514" s="16" t="s">
        <v>9929</v>
      </c>
      <c r="AU514" s="16" t="s">
        <v>3883</v>
      </c>
      <c r="AV514" s="16" t="s">
        <v>18892</v>
      </c>
      <c r="AW514" s="16" t="s">
        <v>18879</v>
      </c>
      <c r="AX514" s="16" t="s">
        <v>18889</v>
      </c>
      <c r="AY514" s="385">
        <v>13127</v>
      </c>
    </row>
    <row r="515" spans="1:51" x14ac:dyDescent="0.25">
      <c r="A515" s="16" t="s">
        <v>19734</v>
      </c>
      <c r="B515" s="16" t="s">
        <v>4810</v>
      </c>
      <c r="E515" s="16" t="s">
        <v>11732</v>
      </c>
      <c r="F515" s="16" t="str">
        <f>VLOOKUP(Table28[[#This Row],[Country]],Table10[[COUNTRY NAME]:[CONTINENT CODE]],3,FALSE)</f>
        <v>NA - US</v>
      </c>
      <c r="G515" s="16" t="s">
        <v>16982</v>
      </c>
      <c r="H515" s="181">
        <v>14773</v>
      </c>
      <c r="I515" s="180">
        <v>34.5</v>
      </c>
      <c r="K515" s="316">
        <f>IFERROR(Table28[[#This Row],[ROUTE COST]]/Table28[[#This Row],[O - DEMAND]],0)</f>
        <v>0</v>
      </c>
      <c r="M515" s="180">
        <f>Table28[[#This Row],[O - DEMAND]]/950</f>
        <v>0</v>
      </c>
      <c r="N515" s="16">
        <f>IFERROR(VLOOKUP(Table28[[#This Row],[ROUTE]],DEMAND!A:F,5,FALSE),0)</f>
        <v>0</v>
      </c>
      <c r="O515" s="16">
        <f>IFERROR(VLOOKUP(Table28[[#This Row],[ROUTE]],DEMAND!A:F,6,FALSE),0)</f>
        <v>0</v>
      </c>
      <c r="P515" s="16">
        <f>ROUNDDOWN(Table28[[#This Row],[R-DEMAND]]/950,0)</f>
        <v>0</v>
      </c>
      <c r="Q515" s="16">
        <f>Table28[[#This Row],[ADD ACC
(475/950)]]*Table28[[#This Row],[Duration
(A359)]]</f>
        <v>0</v>
      </c>
      <c r="R515" s="16">
        <f>IFERROR(VLOOKUP(Table28[[#This Row],[ROUTE]],PRICING!A:B,2,FALSE),0)</f>
        <v>0</v>
      </c>
      <c r="S515" s="16">
        <f>Table28[[#This Row],[C_DEMAND]]-Table28[[#This Row],[R-DEMAND]]</f>
        <v>0</v>
      </c>
      <c r="T515" s="316">
        <f>Table28[[#This Row],[SEATS SOLD]]*Table28[[#This Row],[ECO SEAT]]</f>
        <v>0</v>
      </c>
      <c r="U515" s="316">
        <f>Table28[[#This Row],[SEATS SOLD]]*(IFERROR(VLOOKUP(Table28[[#This Row],[ROUTE]],PRICING!A:C,3,FALSE),0))</f>
        <v>0</v>
      </c>
      <c r="V515" s="316">
        <f>Table28[[#This Row],[SEAT REV]]-Table28[[#This Row],[SEAT REV
(IF IDEAL $)]]</f>
        <v>0</v>
      </c>
      <c r="AA515" s="26"/>
      <c r="AB515" s="26"/>
      <c r="AC515" s="26"/>
      <c r="AD515" s="26"/>
      <c r="AE515" s="26"/>
      <c r="AS515" s="16" t="s">
        <v>78</v>
      </c>
      <c r="AT515" s="16" t="s">
        <v>11914</v>
      </c>
      <c r="AU515" s="16" t="s">
        <v>5047</v>
      </c>
      <c r="AV515" s="16" t="s">
        <v>18881</v>
      </c>
      <c r="AW515" s="16" t="s">
        <v>18885</v>
      </c>
      <c r="AX515" s="16" t="s">
        <v>18889</v>
      </c>
      <c r="AY515" s="385">
        <v>13127</v>
      </c>
    </row>
    <row r="516" spans="1:51" x14ac:dyDescent="0.25">
      <c r="A516" s="16" t="s">
        <v>19490</v>
      </c>
      <c r="B516" s="16" t="s">
        <v>4158</v>
      </c>
      <c r="D516" s="16">
        <v>2</v>
      </c>
      <c r="E516" s="16" t="s">
        <v>11732</v>
      </c>
      <c r="F516" s="16" t="str">
        <f>VLOOKUP(Table28[[#This Row],[Country]],Table10[[COUNTRY NAME]:[CONTINENT CODE]],3,FALSE)</f>
        <v>NA - US</v>
      </c>
      <c r="G516" s="16" t="s">
        <v>13262</v>
      </c>
      <c r="H516" s="181">
        <v>13017</v>
      </c>
      <c r="I516" s="180">
        <v>30.75</v>
      </c>
      <c r="K516" s="316">
        <f>IFERROR(Table28[[#This Row],[ROUTE COST]]/Table28[[#This Row],[O - DEMAND]],0)</f>
        <v>0</v>
      </c>
      <c r="M516" s="180">
        <f>Table28[[#This Row],[O - DEMAND]]/950</f>
        <v>0</v>
      </c>
      <c r="N516" s="16">
        <f>IFERROR(VLOOKUP(Table28[[#This Row],[ROUTE]],DEMAND!A:F,5,FALSE),0)</f>
        <v>0</v>
      </c>
      <c r="O516" s="16">
        <f>IFERROR(VLOOKUP(Table28[[#This Row],[ROUTE]],DEMAND!A:F,6,FALSE),0)</f>
        <v>0</v>
      </c>
      <c r="P516" s="16">
        <f>ROUNDDOWN(Table28[[#This Row],[R-DEMAND]]/950,0)</f>
        <v>0</v>
      </c>
      <c r="Q516" s="16">
        <f>Table28[[#This Row],[ADD ACC
(475/950)]]*Table28[[#This Row],[Duration
(A359)]]</f>
        <v>0</v>
      </c>
      <c r="R516" s="16">
        <f>IFERROR(VLOOKUP(Table28[[#This Row],[ROUTE]],PRICING!A:B,2,FALSE),0)</f>
        <v>0</v>
      </c>
      <c r="S516" s="16">
        <f>Table28[[#This Row],[C_DEMAND]]-Table28[[#This Row],[R-DEMAND]]</f>
        <v>0</v>
      </c>
      <c r="T516" s="316">
        <f>Table28[[#This Row],[SEATS SOLD]]*Table28[[#This Row],[ECO SEAT]]</f>
        <v>0</v>
      </c>
      <c r="U516" s="316">
        <f>Table28[[#This Row],[SEATS SOLD]]*(IFERROR(VLOOKUP(Table28[[#This Row],[ROUTE]],PRICING!A:C,3,FALSE),0))</f>
        <v>0</v>
      </c>
      <c r="V516" s="316">
        <f>Table28[[#This Row],[SEAT REV]]-Table28[[#This Row],[SEAT REV
(IF IDEAL $)]]</f>
        <v>0</v>
      </c>
      <c r="AA516" s="26"/>
      <c r="AB516" s="26"/>
      <c r="AC516" s="26"/>
      <c r="AD516" s="26"/>
      <c r="AE516" s="26"/>
      <c r="AS516" s="16" t="s">
        <v>11732</v>
      </c>
      <c r="AT516" s="16" t="s">
        <v>13282</v>
      </c>
      <c r="AU516" s="16" t="s">
        <v>3217</v>
      </c>
      <c r="AV516" s="16" t="s">
        <v>18881</v>
      </c>
      <c r="AW516" s="16" t="s">
        <v>18879</v>
      </c>
      <c r="AX516" s="16" t="s">
        <v>18889</v>
      </c>
      <c r="AY516" s="385">
        <v>13134</v>
      </c>
    </row>
    <row r="517" spans="1:51" x14ac:dyDescent="0.25">
      <c r="A517" s="16" t="s">
        <v>19799</v>
      </c>
      <c r="B517" s="16" t="s">
        <v>4572</v>
      </c>
      <c r="C517" s="16" t="s">
        <v>467</v>
      </c>
      <c r="D517" s="16">
        <v>2</v>
      </c>
      <c r="E517" s="16" t="s">
        <v>1959</v>
      </c>
      <c r="F517" s="16" t="str">
        <f>VLOOKUP(Table28[[#This Row],[Country]],Table10[[COUNTRY NAME]:[CONTINENT CODE]],3,FALSE)</f>
        <v>EU</v>
      </c>
      <c r="G517" s="16" t="s">
        <v>11833</v>
      </c>
      <c r="H517" s="181">
        <v>15118</v>
      </c>
      <c r="I517" s="180">
        <v>35.25</v>
      </c>
      <c r="K517" s="316">
        <f>IFERROR(Table28[[#This Row],[ROUTE COST]]/Table28[[#This Row],[O - DEMAND]],0)</f>
        <v>0</v>
      </c>
      <c r="M517" s="16">
        <f>Table28[[#This Row],[O - DEMAND]]/950</f>
        <v>0</v>
      </c>
      <c r="N517" s="16">
        <f>IFERROR(VLOOKUP(Table28[[#This Row],[ROUTE]],DEMAND!A:F,5,FALSE),0)</f>
        <v>2040</v>
      </c>
      <c r="O517" s="16">
        <f>IFERROR(VLOOKUP(Table28[[#This Row],[ROUTE]],DEMAND!A:F,6,FALSE),0)</f>
        <v>140</v>
      </c>
      <c r="P517" s="16">
        <f>ROUNDDOWN(Table28[[#This Row],[R-DEMAND]]/950,0)</f>
        <v>0</v>
      </c>
      <c r="Q517" s="16">
        <f>Table28[[#This Row],[ADD ACC
(475/950)]]*Table28[[#This Row],[Duration
(A359)]]</f>
        <v>0</v>
      </c>
      <c r="R517" s="16">
        <f>IFERROR(VLOOKUP(Table28[[#This Row],[ROUTE]],PRICING!A:B,2,FALSE),0)</f>
        <v>0</v>
      </c>
      <c r="S517" s="16">
        <f>Table28[[#This Row],[C_DEMAND]]-Table28[[#This Row],[R-DEMAND]]</f>
        <v>1900</v>
      </c>
      <c r="T517" s="316">
        <f>Table28[[#This Row],[SEATS SOLD]]*Table28[[#This Row],[ECO SEAT]]</f>
        <v>0</v>
      </c>
      <c r="U517" s="316">
        <f>Table28[[#This Row],[SEATS SOLD]]*(IFERROR(VLOOKUP(Table28[[#This Row],[ROUTE]],PRICING!A:C,3,FALSE),0))</f>
        <v>0</v>
      </c>
      <c r="V517" s="316">
        <f>Table28[[#This Row],[SEAT REV]]-Table28[[#This Row],[SEAT REV
(IF IDEAL $)]]</f>
        <v>0</v>
      </c>
      <c r="AA517" s="26"/>
      <c r="AB517" s="26"/>
      <c r="AC517" s="26"/>
      <c r="AD517" s="26"/>
      <c r="AE517" s="26"/>
      <c r="AS517" s="16" t="s">
        <v>11732</v>
      </c>
      <c r="AT517" s="16" t="s">
        <v>16949</v>
      </c>
      <c r="AU517" s="16" t="s">
        <v>3179</v>
      </c>
      <c r="AV517" s="16" t="s">
        <v>18878</v>
      </c>
      <c r="AW517" s="16" t="s">
        <v>18879</v>
      </c>
      <c r="AX517" s="16" t="s">
        <v>18889</v>
      </c>
      <c r="AY517" s="385">
        <v>13154</v>
      </c>
    </row>
    <row r="518" spans="1:51" x14ac:dyDescent="0.25">
      <c r="A518" s="16" t="s">
        <v>19611</v>
      </c>
      <c r="B518" s="16" t="s">
        <v>2846</v>
      </c>
      <c r="D518" s="16">
        <v>2</v>
      </c>
      <c r="E518" s="16" t="s">
        <v>700</v>
      </c>
      <c r="F518" s="16" t="str">
        <f>VLOOKUP(Table28[[#This Row],[Country]],Table10[[COUNTRY NAME]:[CONTINENT CODE]],3,FALSE)</f>
        <v>AS</v>
      </c>
      <c r="G518" s="16" t="s">
        <v>8406</v>
      </c>
      <c r="H518" s="181">
        <v>13841</v>
      </c>
      <c r="I518" s="180">
        <v>32.5</v>
      </c>
      <c r="K518" s="316">
        <f>IFERROR(Table28[[#This Row],[ROUTE COST]]/Table28[[#This Row],[O - DEMAND]],0)</f>
        <v>0</v>
      </c>
      <c r="M518" s="16">
        <f>Table28[[#This Row],[O - DEMAND]]/950</f>
        <v>0</v>
      </c>
      <c r="N518" s="16">
        <f>IFERROR(VLOOKUP(Table28[[#This Row],[ROUTE]],DEMAND!A:F,5,FALSE),0)</f>
        <v>0</v>
      </c>
      <c r="O518" s="16">
        <f>IFERROR(VLOOKUP(Table28[[#This Row],[ROUTE]],DEMAND!A:F,6,FALSE),0)</f>
        <v>0</v>
      </c>
      <c r="P518" s="16">
        <f>ROUNDDOWN(Table28[[#This Row],[R-DEMAND]]/950,0)</f>
        <v>0</v>
      </c>
      <c r="Q518" s="16">
        <f>Table28[[#This Row],[ADD ACC
(475/950)]]*Table28[[#This Row],[Duration
(A359)]]</f>
        <v>0</v>
      </c>
      <c r="R518" s="16">
        <f>IFERROR(VLOOKUP(Table28[[#This Row],[ROUTE]],PRICING!A:B,2,FALSE),0)</f>
        <v>0</v>
      </c>
      <c r="S518" s="16">
        <f>Table28[[#This Row],[C_DEMAND]]-Table28[[#This Row],[R-DEMAND]]</f>
        <v>0</v>
      </c>
      <c r="T518" s="316">
        <f>Table28[[#This Row],[SEATS SOLD]]*Table28[[#This Row],[ECO SEAT]]</f>
        <v>0</v>
      </c>
      <c r="U518" s="316">
        <f>Table28[[#This Row],[SEATS SOLD]]*(IFERROR(VLOOKUP(Table28[[#This Row],[ROUTE]],PRICING!A:C,3,FALSE),0))</f>
        <v>0</v>
      </c>
      <c r="V518" s="316">
        <f>Table28[[#This Row],[SEAT REV]]-Table28[[#This Row],[SEAT REV
(IF IDEAL $)]]</f>
        <v>0</v>
      </c>
      <c r="AA518" s="26"/>
      <c r="AB518" s="26"/>
      <c r="AC518" s="26"/>
      <c r="AD518" s="26"/>
      <c r="AE518" s="26"/>
      <c r="AS518" s="16" t="s">
        <v>11732</v>
      </c>
      <c r="AT518" s="16" t="s">
        <v>16969</v>
      </c>
      <c r="AU518" s="16" t="s">
        <v>1311</v>
      </c>
      <c r="AV518" s="16" t="s">
        <v>18878</v>
      </c>
      <c r="AW518" s="16" t="s">
        <v>18890</v>
      </c>
      <c r="AX518" s="16" t="s">
        <v>18889</v>
      </c>
      <c r="AY518" s="385">
        <v>13156</v>
      </c>
    </row>
    <row r="519" spans="1:51" x14ac:dyDescent="0.25">
      <c r="A519" s="16" t="s">
        <v>19263</v>
      </c>
      <c r="B519" s="16" t="s">
        <v>2106</v>
      </c>
      <c r="D519" s="16">
        <v>1</v>
      </c>
      <c r="E519" s="16" t="s">
        <v>2104</v>
      </c>
      <c r="F519" s="16" t="str">
        <f>VLOOKUP(Table28[[#This Row],[Country]],Table10[[COUNTRY NAME]:[CONTINENT CODE]],3,FALSE)</f>
        <v>AF</v>
      </c>
      <c r="G519" s="16" t="s">
        <v>11881</v>
      </c>
      <c r="H519" s="181">
        <v>10811</v>
      </c>
      <c r="I519" s="180">
        <v>25.75</v>
      </c>
      <c r="K519" s="316">
        <f>IFERROR(Table28[[#This Row],[ROUTE COST]]/Table28[[#This Row],[O - DEMAND]],0)</f>
        <v>0</v>
      </c>
      <c r="M519" s="16">
        <f>Table28[[#This Row],[O - DEMAND]]/950</f>
        <v>0</v>
      </c>
      <c r="N519" s="16">
        <f>IFERROR(VLOOKUP(Table28[[#This Row],[ROUTE]],DEMAND!A:F,5,FALSE),0)</f>
        <v>0</v>
      </c>
      <c r="O519" s="16">
        <f>IFERROR(VLOOKUP(Table28[[#This Row],[ROUTE]],DEMAND!A:F,6,FALSE),0)</f>
        <v>0</v>
      </c>
      <c r="P519" s="16">
        <f>ROUNDDOWN(Table28[[#This Row],[R-DEMAND]]/950,0)</f>
        <v>0</v>
      </c>
      <c r="Q519" s="16">
        <f>Table28[[#This Row],[ADD ACC
(475/950)]]*Table28[[#This Row],[Duration
(A359)]]</f>
        <v>0</v>
      </c>
      <c r="R519" s="16">
        <f>IFERROR(VLOOKUP(Table28[[#This Row],[ROUTE]],PRICING!A:B,2,FALSE),0)</f>
        <v>0</v>
      </c>
      <c r="S519" s="16">
        <f>Table28[[#This Row],[C_DEMAND]]-Table28[[#This Row],[R-DEMAND]]</f>
        <v>0</v>
      </c>
      <c r="T519" s="316">
        <f>Table28[[#This Row],[SEATS SOLD]]*Table28[[#This Row],[ECO SEAT]]</f>
        <v>0</v>
      </c>
      <c r="U519" s="316">
        <f>Table28[[#This Row],[SEATS SOLD]]*(IFERROR(VLOOKUP(Table28[[#This Row],[ROUTE]],PRICING!A:C,3,FALSE),0))</f>
        <v>0</v>
      </c>
      <c r="V519" s="316">
        <f>Table28[[#This Row],[SEAT REV]]-Table28[[#This Row],[SEAT REV
(IF IDEAL $)]]</f>
        <v>0</v>
      </c>
      <c r="AA519" s="26"/>
      <c r="AB519" s="26"/>
      <c r="AC519" s="26"/>
      <c r="AD519" s="26"/>
      <c r="AE519" s="26"/>
      <c r="AS519" s="16" t="s">
        <v>11732</v>
      </c>
      <c r="AT519" s="16" t="s">
        <v>13277</v>
      </c>
      <c r="AU519" s="16" t="s">
        <v>1898</v>
      </c>
      <c r="AV519" s="16" t="s">
        <v>18881</v>
      </c>
      <c r="AW519" s="16" t="s">
        <v>18890</v>
      </c>
      <c r="AX519" s="16" t="s">
        <v>18889</v>
      </c>
      <c r="AY519" s="385">
        <v>13170</v>
      </c>
    </row>
    <row r="520" spans="1:51" x14ac:dyDescent="0.25">
      <c r="A520" s="16" t="s">
        <v>19672</v>
      </c>
      <c r="B520" s="16" t="s">
        <v>5516</v>
      </c>
      <c r="D520" s="16">
        <v>4</v>
      </c>
      <c r="E520" s="16" t="s">
        <v>11732</v>
      </c>
      <c r="F520" s="16" t="str">
        <f>VLOOKUP(Table28[[#This Row],[Country]],Table10[[COUNTRY NAME]:[CONTINENT CODE]],3,FALSE)</f>
        <v>NA - US</v>
      </c>
      <c r="G520" s="16" t="s">
        <v>13353</v>
      </c>
      <c r="H520" s="181">
        <v>14293</v>
      </c>
      <c r="I520" s="180">
        <v>33.5</v>
      </c>
      <c r="K520" s="316">
        <f>IFERROR(Table28[[#This Row],[ROUTE COST]]/Table28[[#This Row],[O - DEMAND]],0)</f>
        <v>0</v>
      </c>
      <c r="M520" s="180">
        <f>Table28[[#This Row],[O - DEMAND]]/950</f>
        <v>0</v>
      </c>
      <c r="N520" s="16">
        <f>IFERROR(VLOOKUP(Table28[[#This Row],[ROUTE]],DEMAND!A:F,5,FALSE),0)</f>
        <v>0</v>
      </c>
      <c r="O520" s="16">
        <f>IFERROR(VLOOKUP(Table28[[#This Row],[ROUTE]],DEMAND!A:F,6,FALSE),0)</f>
        <v>0</v>
      </c>
      <c r="P520" s="16">
        <f>ROUNDDOWN(Table28[[#This Row],[R-DEMAND]]/950,0)</f>
        <v>0</v>
      </c>
      <c r="Q520" s="16">
        <f>Table28[[#This Row],[ADD ACC
(475/950)]]*Table28[[#This Row],[Duration
(A359)]]</f>
        <v>0</v>
      </c>
      <c r="R520" s="16">
        <f>IFERROR(VLOOKUP(Table28[[#This Row],[ROUTE]],PRICING!A:B,2,FALSE),0)</f>
        <v>0</v>
      </c>
      <c r="S520" s="16">
        <f>Table28[[#This Row],[C_DEMAND]]-Table28[[#This Row],[R-DEMAND]]</f>
        <v>0</v>
      </c>
      <c r="T520" s="316">
        <f>Table28[[#This Row],[SEATS SOLD]]*Table28[[#This Row],[ECO SEAT]]</f>
        <v>0</v>
      </c>
      <c r="U520" s="316">
        <f>Table28[[#This Row],[SEATS SOLD]]*(IFERROR(VLOOKUP(Table28[[#This Row],[ROUTE]],PRICING!A:C,3,FALSE),0))</f>
        <v>0</v>
      </c>
      <c r="V520" s="316">
        <f>Table28[[#This Row],[SEAT REV]]-Table28[[#This Row],[SEAT REV
(IF IDEAL $)]]</f>
        <v>0</v>
      </c>
      <c r="AA520" s="26"/>
      <c r="AB520" s="26"/>
      <c r="AC520" s="26"/>
      <c r="AD520" s="26"/>
      <c r="AE520" s="26"/>
      <c r="AS520" s="16" t="s">
        <v>172</v>
      </c>
      <c r="AT520" s="16" t="s">
        <v>7147</v>
      </c>
      <c r="AU520" s="16" t="s">
        <v>3931</v>
      </c>
      <c r="AV520" s="16" t="s">
        <v>18884</v>
      </c>
      <c r="AW520" s="16" t="s">
        <v>18879</v>
      </c>
      <c r="AX520" s="16" t="s">
        <v>18889</v>
      </c>
      <c r="AY520" s="385">
        <v>13175</v>
      </c>
    </row>
    <row r="521" spans="1:51" x14ac:dyDescent="0.25">
      <c r="A521" s="16" t="s">
        <v>19508</v>
      </c>
      <c r="B521" s="16" t="s">
        <v>3217</v>
      </c>
      <c r="D521" s="16">
        <v>2</v>
      </c>
      <c r="E521" s="16" t="s">
        <v>11732</v>
      </c>
      <c r="F521" s="16" t="str">
        <f>VLOOKUP(Table28[[#This Row],[Country]],Table10[[COUNTRY NAME]:[CONTINENT CODE]],3,FALSE)</f>
        <v>NA - US</v>
      </c>
      <c r="G521" s="16" t="s">
        <v>13282</v>
      </c>
      <c r="H521" s="181">
        <v>13134</v>
      </c>
      <c r="I521" s="180">
        <v>31</v>
      </c>
      <c r="K521" s="316">
        <f>IFERROR(Table28[[#This Row],[ROUTE COST]]/Table28[[#This Row],[O - DEMAND]],0)</f>
        <v>0</v>
      </c>
      <c r="M521" s="180">
        <f>Table28[[#This Row],[O - DEMAND]]/950</f>
        <v>0</v>
      </c>
      <c r="N521" s="16">
        <f>IFERROR(VLOOKUP(Table28[[#This Row],[ROUTE]],DEMAND!A:F,5,FALSE),0)</f>
        <v>0</v>
      </c>
      <c r="O521" s="16">
        <f>IFERROR(VLOOKUP(Table28[[#This Row],[ROUTE]],DEMAND!A:F,6,FALSE),0)</f>
        <v>0</v>
      </c>
      <c r="P521" s="16">
        <f>ROUNDDOWN(Table28[[#This Row],[R-DEMAND]]/950,0)</f>
        <v>0</v>
      </c>
      <c r="Q521" s="16">
        <f>Table28[[#This Row],[ADD ACC
(475/950)]]*Table28[[#This Row],[Duration
(A359)]]</f>
        <v>0</v>
      </c>
      <c r="R521" s="16">
        <f>IFERROR(VLOOKUP(Table28[[#This Row],[ROUTE]],PRICING!A:B,2,FALSE),0)</f>
        <v>0</v>
      </c>
      <c r="S521" s="16">
        <f>Table28[[#This Row],[C_DEMAND]]-Table28[[#This Row],[R-DEMAND]]</f>
        <v>0</v>
      </c>
      <c r="T521" s="316">
        <f>Table28[[#This Row],[SEATS SOLD]]*Table28[[#This Row],[ECO SEAT]]</f>
        <v>0</v>
      </c>
      <c r="U521" s="316">
        <f>Table28[[#This Row],[SEATS SOLD]]*(IFERROR(VLOOKUP(Table28[[#This Row],[ROUTE]],PRICING!A:C,3,FALSE),0))</f>
        <v>0</v>
      </c>
      <c r="V521" s="316">
        <f>Table28[[#This Row],[SEAT REV]]-Table28[[#This Row],[SEAT REV
(IF IDEAL $)]]</f>
        <v>0</v>
      </c>
      <c r="AA521" s="26"/>
      <c r="AB521" s="26"/>
      <c r="AC521" s="26"/>
      <c r="AD521" s="26"/>
      <c r="AE521" s="26"/>
      <c r="AS521" s="16" t="s">
        <v>11732</v>
      </c>
      <c r="AT521" s="16" t="s">
        <v>16953</v>
      </c>
      <c r="AU521" s="16" t="s">
        <v>4306</v>
      </c>
      <c r="AV521" s="16" t="s">
        <v>18878</v>
      </c>
      <c r="AX521" s="16" t="s">
        <v>18889</v>
      </c>
      <c r="AY521" s="385">
        <v>13182</v>
      </c>
    </row>
    <row r="522" spans="1:51" x14ac:dyDescent="0.25">
      <c r="A522" s="16" t="s">
        <v>19260</v>
      </c>
      <c r="B522" s="16" t="s">
        <v>2365</v>
      </c>
      <c r="D522" s="16">
        <v>1</v>
      </c>
      <c r="E522" s="16" t="s">
        <v>2363</v>
      </c>
      <c r="F522" s="16" t="str">
        <f>VLOOKUP(Table28[[#This Row],[Country]],Table10[[COUNTRY NAME]:[CONTINENT CODE]],3,FALSE)</f>
        <v>AF</v>
      </c>
      <c r="G522" s="16" t="s">
        <v>16849</v>
      </c>
      <c r="H522" s="181">
        <v>10778</v>
      </c>
      <c r="I522" s="180">
        <v>25.75</v>
      </c>
      <c r="K522" s="316">
        <f>IFERROR(Table28[[#This Row],[ROUTE COST]]/Table28[[#This Row],[O - DEMAND]],0)</f>
        <v>0</v>
      </c>
      <c r="M522" s="16">
        <f>Table28[[#This Row],[O - DEMAND]]/950</f>
        <v>0</v>
      </c>
      <c r="N522" s="16">
        <f>IFERROR(VLOOKUP(Table28[[#This Row],[ROUTE]],DEMAND!A:F,5,FALSE),0)</f>
        <v>0</v>
      </c>
      <c r="O522" s="16">
        <f>IFERROR(VLOOKUP(Table28[[#This Row],[ROUTE]],DEMAND!A:F,6,FALSE),0)</f>
        <v>0</v>
      </c>
      <c r="P522" s="16">
        <f>ROUNDDOWN(Table28[[#This Row],[R-DEMAND]]/950,0)</f>
        <v>0</v>
      </c>
      <c r="Q522" s="16">
        <f>Table28[[#This Row],[ADD ACC
(475/950)]]*Table28[[#This Row],[Duration
(A359)]]</f>
        <v>0</v>
      </c>
      <c r="R522" s="16">
        <f>IFERROR(VLOOKUP(Table28[[#This Row],[ROUTE]],PRICING!A:B,2,FALSE),0)</f>
        <v>0</v>
      </c>
      <c r="S522" s="16">
        <f>Table28[[#This Row],[C_DEMAND]]-Table28[[#This Row],[R-DEMAND]]</f>
        <v>0</v>
      </c>
      <c r="T522" s="316">
        <f>Table28[[#This Row],[SEATS SOLD]]*Table28[[#This Row],[ECO SEAT]]</f>
        <v>0</v>
      </c>
      <c r="U522" s="316">
        <f>Table28[[#This Row],[SEATS SOLD]]*(IFERROR(VLOOKUP(Table28[[#This Row],[ROUTE]],PRICING!A:C,3,FALSE),0))</f>
        <v>0</v>
      </c>
      <c r="V522" s="316">
        <f>Table28[[#This Row],[SEAT REV]]-Table28[[#This Row],[SEAT REV
(IF IDEAL $)]]</f>
        <v>0</v>
      </c>
      <c r="AA522" s="26"/>
      <c r="AB522" s="26"/>
      <c r="AC522" s="26"/>
      <c r="AD522" s="26"/>
      <c r="AE522" s="26"/>
      <c r="AS522" s="16" t="s">
        <v>11732</v>
      </c>
      <c r="AT522" s="16" t="s">
        <v>13298</v>
      </c>
      <c r="AU522" s="16" t="s">
        <v>2494</v>
      </c>
      <c r="AV522" s="16" t="s">
        <v>18884</v>
      </c>
      <c r="AW522" s="16" t="s">
        <v>18879</v>
      </c>
      <c r="AX522" s="16" t="s">
        <v>18889</v>
      </c>
      <c r="AY522" s="385">
        <v>13184</v>
      </c>
    </row>
    <row r="523" spans="1:51" x14ac:dyDescent="0.25">
      <c r="A523" s="16" t="s">
        <v>19521</v>
      </c>
      <c r="B523" s="16" t="s">
        <v>5463</v>
      </c>
      <c r="C523" s="16" t="s">
        <v>467</v>
      </c>
      <c r="D523" s="16">
        <v>4</v>
      </c>
      <c r="E523" s="16" t="s">
        <v>1749</v>
      </c>
      <c r="F523" s="16" t="str">
        <f>VLOOKUP(Table28[[#This Row],[Country]],Table10[[COUNTRY NAME]:[CONTINENT CODE]],3,FALSE)</f>
        <v>NA</v>
      </c>
      <c r="G523" s="16" t="s">
        <v>13218</v>
      </c>
      <c r="H523" s="181">
        <v>13219</v>
      </c>
      <c r="I523" s="180">
        <v>31.25</v>
      </c>
      <c r="K523" s="316">
        <f>IFERROR(Table28[[#This Row],[ROUTE COST]]/Table28[[#This Row],[O - DEMAND]],0)</f>
        <v>0</v>
      </c>
      <c r="M523" s="16">
        <f>Table28[[#This Row],[O - DEMAND]]/950</f>
        <v>0</v>
      </c>
      <c r="N523" s="16">
        <f>IFERROR(VLOOKUP(Table28[[#This Row],[ROUTE]],DEMAND!A:F,5,FALSE),0)</f>
        <v>2949</v>
      </c>
      <c r="O523" s="16">
        <f>IFERROR(VLOOKUP(Table28[[#This Row],[ROUTE]],DEMAND!A:F,6,FALSE),0)</f>
        <v>99</v>
      </c>
      <c r="P523" s="16">
        <f>ROUNDDOWN(Table28[[#This Row],[R-DEMAND]]/950,0)</f>
        <v>0</v>
      </c>
      <c r="Q523" s="16">
        <f>Table28[[#This Row],[ADD ACC
(475/950)]]*Table28[[#This Row],[Duration
(A359)]]</f>
        <v>0</v>
      </c>
      <c r="R523" s="16">
        <f>IFERROR(VLOOKUP(Table28[[#This Row],[ROUTE]],PRICING!A:B,2,FALSE),0)</f>
        <v>0</v>
      </c>
      <c r="S523" s="16">
        <f>Table28[[#This Row],[C_DEMAND]]-Table28[[#This Row],[R-DEMAND]]</f>
        <v>2850</v>
      </c>
      <c r="T523" s="316">
        <f>Table28[[#This Row],[SEATS SOLD]]*Table28[[#This Row],[ECO SEAT]]</f>
        <v>0</v>
      </c>
      <c r="U523" s="316">
        <f>Table28[[#This Row],[SEATS SOLD]]*(IFERROR(VLOOKUP(Table28[[#This Row],[ROUTE]],PRICING!A:C,3,FALSE),0))</f>
        <v>0</v>
      </c>
      <c r="V523" s="316">
        <f>Table28[[#This Row],[SEAT REV]]-Table28[[#This Row],[SEAT REV
(IF IDEAL $)]]</f>
        <v>0</v>
      </c>
      <c r="AA523" s="26"/>
      <c r="AB523" s="26"/>
      <c r="AC523" s="26"/>
      <c r="AD523" s="26"/>
      <c r="AE523" s="26"/>
      <c r="AS523" s="16" t="s">
        <v>514</v>
      </c>
      <c r="AT523" s="16" t="s">
        <v>13164</v>
      </c>
      <c r="AU523" s="16" t="s">
        <v>5613</v>
      </c>
      <c r="AV523" s="16" t="s">
        <v>18884</v>
      </c>
      <c r="AW523" s="16" t="s">
        <v>18899</v>
      </c>
      <c r="AX523" s="16" t="s">
        <v>18889</v>
      </c>
      <c r="AY523" s="385">
        <v>13188</v>
      </c>
    </row>
    <row r="524" spans="1:51" x14ac:dyDescent="0.25">
      <c r="A524" s="16" t="s">
        <v>19278</v>
      </c>
      <c r="B524" s="16" t="s">
        <v>3513</v>
      </c>
      <c r="D524" s="16">
        <v>2</v>
      </c>
      <c r="E524" s="16" t="s">
        <v>197</v>
      </c>
      <c r="F524" s="16" t="str">
        <f>VLOOKUP(Table28[[#This Row],[Country]],Table10[[COUNTRY NAME]:[CONTINENT CODE]],3,FALSE)</f>
        <v>AS</v>
      </c>
      <c r="G524" s="16" t="s">
        <v>16836</v>
      </c>
      <c r="H524" s="181">
        <v>10992</v>
      </c>
      <c r="I524" s="180">
        <v>26.25</v>
      </c>
      <c r="K524" s="316">
        <f>IFERROR(Table28[[#This Row],[ROUTE COST]]/Table28[[#This Row],[O - DEMAND]],0)</f>
        <v>0</v>
      </c>
      <c r="M524" s="16">
        <f>Table28[[#This Row],[O - DEMAND]]/950</f>
        <v>0</v>
      </c>
      <c r="N524" s="16">
        <f>IFERROR(VLOOKUP(Table28[[#This Row],[ROUTE]],DEMAND!A:F,5,FALSE),0)</f>
        <v>0</v>
      </c>
      <c r="O524" s="16">
        <f>IFERROR(VLOOKUP(Table28[[#This Row],[ROUTE]],DEMAND!A:F,6,FALSE),0)</f>
        <v>0</v>
      </c>
      <c r="P524" s="16">
        <f>ROUNDDOWN(Table28[[#This Row],[R-DEMAND]]/950,0)</f>
        <v>0</v>
      </c>
      <c r="Q524" s="16">
        <f>Table28[[#This Row],[ADD ACC
(475/950)]]*Table28[[#This Row],[Duration
(A359)]]</f>
        <v>0</v>
      </c>
      <c r="R524" s="16">
        <f>IFERROR(VLOOKUP(Table28[[#This Row],[ROUTE]],PRICING!A:B,2,FALSE),0)</f>
        <v>0</v>
      </c>
      <c r="S524" s="16">
        <f>Table28[[#This Row],[C_DEMAND]]-Table28[[#This Row],[R-DEMAND]]</f>
        <v>0</v>
      </c>
      <c r="T524" s="316">
        <f>Table28[[#This Row],[SEATS SOLD]]*Table28[[#This Row],[ECO SEAT]]</f>
        <v>0</v>
      </c>
      <c r="U524" s="316">
        <f>Table28[[#This Row],[SEATS SOLD]]*(IFERROR(VLOOKUP(Table28[[#This Row],[ROUTE]],PRICING!A:C,3,FALSE),0))</f>
        <v>0</v>
      </c>
      <c r="V524" s="316">
        <f>Table28[[#This Row],[SEAT REV]]-Table28[[#This Row],[SEAT REV
(IF IDEAL $)]]</f>
        <v>0</v>
      </c>
      <c r="AA524" s="26"/>
      <c r="AB524" s="26"/>
      <c r="AC524" s="26"/>
      <c r="AD524" s="26"/>
      <c r="AE524" s="26"/>
      <c r="AS524" s="16" t="s">
        <v>644</v>
      </c>
      <c r="AT524" s="16" t="s">
        <v>11812</v>
      </c>
      <c r="AU524" s="16" t="s">
        <v>2531</v>
      </c>
      <c r="AV524" s="16" t="s">
        <v>18884</v>
      </c>
      <c r="AW524" s="16" t="s">
        <v>18879</v>
      </c>
      <c r="AX524" s="16" t="s">
        <v>18889</v>
      </c>
      <c r="AY524" s="385">
        <v>13188</v>
      </c>
    </row>
    <row r="525" spans="1:51" x14ac:dyDescent="0.25">
      <c r="A525" s="16" t="s">
        <v>19332</v>
      </c>
      <c r="B525" s="16" t="s">
        <v>4752</v>
      </c>
      <c r="C525" s="16" t="s">
        <v>467</v>
      </c>
      <c r="D525" s="16">
        <v>3</v>
      </c>
      <c r="E525" s="16" t="s">
        <v>545</v>
      </c>
      <c r="F525" s="16" t="str">
        <f>VLOOKUP(Table28[[#This Row],[Country]],Table10[[COUNTRY NAME]:[CONTINENT CODE]],3,FALSE)</f>
        <v>SA</v>
      </c>
      <c r="G525" s="16" t="s">
        <v>13374</v>
      </c>
      <c r="H525" s="181">
        <v>11862</v>
      </c>
      <c r="I525" s="180">
        <v>28.25</v>
      </c>
      <c r="K525" s="316">
        <f>IFERROR(Table28[[#This Row],[ROUTE COST]]/Table28[[#This Row],[O - DEMAND]],0)</f>
        <v>0</v>
      </c>
      <c r="M525" s="16">
        <f>Table28[[#This Row],[O - DEMAND]]/950</f>
        <v>0</v>
      </c>
      <c r="N525" s="16">
        <f>IFERROR(VLOOKUP(Table28[[#This Row],[ROUTE]],DEMAND!A:F,5,FALSE),0)</f>
        <v>2611</v>
      </c>
      <c r="O525" s="16">
        <f>IFERROR(VLOOKUP(Table28[[#This Row],[ROUTE]],DEMAND!A:F,6,FALSE),0)</f>
        <v>711</v>
      </c>
      <c r="P525" s="16">
        <f>ROUNDDOWN(Table28[[#This Row],[R-DEMAND]]/950,0)</f>
        <v>0</v>
      </c>
      <c r="Q525" s="16">
        <f>Table28[[#This Row],[ADD ACC
(475/950)]]*Table28[[#This Row],[Duration
(A359)]]</f>
        <v>0</v>
      </c>
      <c r="R525" s="16">
        <f>IFERROR(VLOOKUP(Table28[[#This Row],[ROUTE]],PRICING!A:B,2,FALSE),0)</f>
        <v>0</v>
      </c>
      <c r="S525" s="16">
        <f>Table28[[#This Row],[C_DEMAND]]-Table28[[#This Row],[R-DEMAND]]</f>
        <v>1900</v>
      </c>
      <c r="T525" s="316">
        <f>Table28[[#This Row],[SEATS SOLD]]*Table28[[#This Row],[ECO SEAT]]</f>
        <v>0</v>
      </c>
      <c r="U525" s="316">
        <f>Table28[[#This Row],[SEATS SOLD]]*(IFERROR(VLOOKUP(Table28[[#This Row],[ROUTE]],PRICING!A:C,3,FALSE),0))</f>
        <v>0</v>
      </c>
      <c r="V525" s="316">
        <f>Table28[[#This Row],[SEAT REV]]-Table28[[#This Row],[SEAT REV
(IF IDEAL $)]]</f>
        <v>0</v>
      </c>
      <c r="AA525" s="26"/>
      <c r="AB525" s="26"/>
      <c r="AC525" s="26"/>
      <c r="AD525" s="26"/>
      <c r="AE525" s="26"/>
      <c r="AS525" s="16" t="s">
        <v>502</v>
      </c>
      <c r="AT525" s="16" t="s">
        <v>11930</v>
      </c>
      <c r="AU525" s="16" t="s">
        <v>4160</v>
      </c>
      <c r="AV525" s="16" t="s">
        <v>18884</v>
      </c>
      <c r="AW525" s="16" t="s">
        <v>18879</v>
      </c>
      <c r="AX525" s="16" t="s">
        <v>18889</v>
      </c>
      <c r="AY525" s="385">
        <v>13207</v>
      </c>
    </row>
    <row r="526" spans="1:51" x14ac:dyDescent="0.25">
      <c r="A526" s="16" t="s">
        <v>19126</v>
      </c>
      <c r="B526" s="16" t="s">
        <v>2253</v>
      </c>
      <c r="D526" s="16">
        <v>1</v>
      </c>
      <c r="E526" s="16" t="s">
        <v>258</v>
      </c>
      <c r="F526" s="16" t="str">
        <f>VLOOKUP(Table28[[#This Row],[Country]],Table10[[COUNTRY NAME]:[CONTINENT CODE]],3,FALSE)</f>
        <v>AS</v>
      </c>
      <c r="G526" s="16" t="s">
        <v>12025</v>
      </c>
      <c r="H526" s="181">
        <v>8090</v>
      </c>
      <c r="I526" s="180">
        <v>20</v>
      </c>
      <c r="K526" s="316">
        <f>IFERROR(Table28[[#This Row],[ROUTE COST]]/Table28[[#This Row],[O - DEMAND]],0)</f>
        <v>0</v>
      </c>
      <c r="M526" s="16">
        <f>Table28[[#This Row],[O - DEMAND]]/950</f>
        <v>0</v>
      </c>
      <c r="N526" s="16">
        <f>IFERROR(VLOOKUP(Table28[[#This Row],[ROUTE]],DEMAND!A:F,5,FALSE),0)</f>
        <v>0</v>
      </c>
      <c r="O526" s="16">
        <f>IFERROR(VLOOKUP(Table28[[#This Row],[ROUTE]],DEMAND!A:F,6,FALSE),0)</f>
        <v>0</v>
      </c>
      <c r="P526" s="16">
        <f>ROUNDDOWN(Table28[[#This Row],[R-DEMAND]]/950,0)</f>
        <v>0</v>
      </c>
      <c r="Q526" s="16">
        <f>Table28[[#This Row],[ADD ACC
(475/950)]]*Table28[[#This Row],[Duration
(A359)]]</f>
        <v>0</v>
      </c>
      <c r="R526" s="16">
        <f>IFERROR(VLOOKUP(Table28[[#This Row],[ROUTE]],PRICING!A:B,2,FALSE),0)</f>
        <v>0</v>
      </c>
      <c r="S526" s="16">
        <f>Table28[[#This Row],[C_DEMAND]]-Table28[[#This Row],[R-DEMAND]]</f>
        <v>0</v>
      </c>
      <c r="T526" s="316">
        <f>Table28[[#This Row],[SEATS SOLD]]*Table28[[#This Row],[ECO SEAT]]</f>
        <v>0</v>
      </c>
      <c r="U526" s="316">
        <f>Table28[[#This Row],[SEATS SOLD]]*(IFERROR(VLOOKUP(Table28[[#This Row],[ROUTE]],PRICING!A:C,3,FALSE),0))</f>
        <v>0</v>
      </c>
      <c r="V526" s="316">
        <f>Table28[[#This Row],[SEAT REV]]-Table28[[#This Row],[SEAT REV
(IF IDEAL $)]]</f>
        <v>0</v>
      </c>
      <c r="AA526" s="26"/>
      <c r="AB526" s="26"/>
      <c r="AC526" s="26"/>
      <c r="AD526" s="26"/>
      <c r="AE526" s="26"/>
      <c r="AS526" s="16" t="s">
        <v>78</v>
      </c>
      <c r="AT526" s="16" t="s">
        <v>16873</v>
      </c>
      <c r="AU526" s="16" t="s">
        <v>3396</v>
      </c>
      <c r="AV526" s="16" t="s">
        <v>18878</v>
      </c>
      <c r="AW526" s="16" t="s">
        <v>18879</v>
      </c>
      <c r="AX526" s="16" t="s">
        <v>18920</v>
      </c>
      <c r="AY526" s="385">
        <v>13210</v>
      </c>
    </row>
    <row r="527" spans="1:51" x14ac:dyDescent="0.25">
      <c r="A527" s="16" t="s">
        <v>19393</v>
      </c>
      <c r="B527" s="16" t="s">
        <v>3329</v>
      </c>
      <c r="C527" s="16" t="s">
        <v>467</v>
      </c>
      <c r="D527" s="16">
        <v>2</v>
      </c>
      <c r="E527" s="16" t="s">
        <v>1516</v>
      </c>
      <c r="F527" s="16" t="str">
        <f>VLOOKUP(Table28[[#This Row],[Country]],Table10[[COUNTRY NAME]:[CONTINENT CODE]],3,FALSE)</f>
        <v>AF</v>
      </c>
      <c r="G527" s="16" t="s">
        <v>8355</v>
      </c>
      <c r="H527" s="181">
        <v>12414</v>
      </c>
      <c r="I527" s="180">
        <v>29.5</v>
      </c>
      <c r="K527" s="316">
        <f>IFERROR(Table28[[#This Row],[ROUTE COST]]/Table28[[#This Row],[O - DEMAND]],0)</f>
        <v>0</v>
      </c>
      <c r="M527" s="16">
        <f>Table28[[#This Row],[O - DEMAND]]/950</f>
        <v>0</v>
      </c>
      <c r="N527" s="16">
        <f>IFERROR(VLOOKUP(Table28[[#This Row],[ROUTE]],DEMAND!A:F,5,FALSE),0)</f>
        <v>3558</v>
      </c>
      <c r="O527" s="16">
        <f>IFERROR(VLOOKUP(Table28[[#This Row],[ROUTE]],DEMAND!A:F,6,FALSE),0)</f>
        <v>708</v>
      </c>
      <c r="P527" s="16">
        <f>ROUNDDOWN(Table28[[#This Row],[R-DEMAND]]/950,0)</f>
        <v>0</v>
      </c>
      <c r="Q527" s="16">
        <f>Table28[[#This Row],[ADD ACC
(475/950)]]*Table28[[#This Row],[Duration
(A359)]]</f>
        <v>0</v>
      </c>
      <c r="R527" s="16">
        <f>IFERROR(VLOOKUP(Table28[[#This Row],[ROUTE]],PRICING!A:B,2,FALSE),0)</f>
        <v>0</v>
      </c>
      <c r="S527" s="16">
        <f>Table28[[#This Row],[C_DEMAND]]-Table28[[#This Row],[R-DEMAND]]</f>
        <v>2850</v>
      </c>
      <c r="T527" s="316">
        <f>Table28[[#This Row],[SEATS SOLD]]*Table28[[#This Row],[ECO SEAT]]</f>
        <v>0</v>
      </c>
      <c r="U527" s="316">
        <f>Table28[[#This Row],[SEATS SOLD]]*(IFERROR(VLOOKUP(Table28[[#This Row],[ROUTE]],PRICING!A:C,3,FALSE),0))</f>
        <v>0</v>
      </c>
      <c r="V527" s="316">
        <f>Table28[[#This Row],[SEAT REV]]-Table28[[#This Row],[SEAT REV
(IF IDEAL $)]]</f>
        <v>0</v>
      </c>
      <c r="AA527" s="26"/>
      <c r="AB527" s="26"/>
      <c r="AC527" s="26"/>
      <c r="AD527" s="26"/>
      <c r="AE527" s="26"/>
      <c r="AS527" s="16" t="s">
        <v>1144</v>
      </c>
      <c r="AT527" s="16" t="s">
        <v>13154</v>
      </c>
      <c r="AU527" s="16" t="s">
        <v>4100</v>
      </c>
      <c r="AV527" s="16" t="s">
        <v>18892</v>
      </c>
      <c r="AW527" s="16" t="s">
        <v>18879</v>
      </c>
      <c r="AX527" s="16" t="s">
        <v>18920</v>
      </c>
      <c r="AY527" s="385">
        <v>13210</v>
      </c>
    </row>
    <row r="528" spans="1:51" x14ac:dyDescent="0.25">
      <c r="A528" s="16" t="s">
        <v>19378</v>
      </c>
      <c r="B528" s="16" t="s">
        <v>4049</v>
      </c>
      <c r="D528" s="16">
        <v>2</v>
      </c>
      <c r="E528" s="16" t="s">
        <v>1749</v>
      </c>
      <c r="F528" s="16" t="str">
        <f>VLOOKUP(Table28[[#This Row],[Country]],Table10[[COUNTRY NAME]:[CONTINENT CODE]],3,FALSE)</f>
        <v>NA</v>
      </c>
      <c r="G528" s="16" t="s">
        <v>16955</v>
      </c>
      <c r="H528" s="181">
        <v>12253</v>
      </c>
      <c r="I528" s="180">
        <v>29</v>
      </c>
      <c r="K528" s="316">
        <f>IFERROR(Table28[[#This Row],[ROUTE COST]]/Table28[[#This Row],[O - DEMAND]],0)</f>
        <v>0</v>
      </c>
      <c r="M528" s="16">
        <f>Table28[[#This Row],[O - DEMAND]]/950</f>
        <v>0</v>
      </c>
      <c r="N528" s="16">
        <f>IFERROR(VLOOKUP(Table28[[#This Row],[ROUTE]],DEMAND!A:F,5,FALSE),0)</f>
        <v>0</v>
      </c>
      <c r="O528" s="16">
        <f>IFERROR(VLOOKUP(Table28[[#This Row],[ROUTE]],DEMAND!A:F,6,FALSE),0)</f>
        <v>0</v>
      </c>
      <c r="P528" s="16">
        <f>ROUNDDOWN(Table28[[#This Row],[R-DEMAND]]/950,0)</f>
        <v>0</v>
      </c>
      <c r="Q528" s="16">
        <f>Table28[[#This Row],[ADD ACC
(475/950)]]*Table28[[#This Row],[Duration
(A359)]]</f>
        <v>0</v>
      </c>
      <c r="R528" s="16">
        <f>IFERROR(VLOOKUP(Table28[[#This Row],[ROUTE]],PRICING!A:B,2,FALSE),0)</f>
        <v>0</v>
      </c>
      <c r="S528" s="16">
        <f>Table28[[#This Row],[C_DEMAND]]-Table28[[#This Row],[R-DEMAND]]</f>
        <v>0</v>
      </c>
      <c r="T528" s="316">
        <f>Table28[[#This Row],[SEATS SOLD]]*Table28[[#This Row],[ECO SEAT]]</f>
        <v>0</v>
      </c>
      <c r="U528" s="316">
        <f>Table28[[#This Row],[SEATS SOLD]]*(IFERROR(VLOOKUP(Table28[[#This Row],[ROUTE]],PRICING!A:C,3,FALSE),0))</f>
        <v>0</v>
      </c>
      <c r="V528" s="316">
        <f>Table28[[#This Row],[SEAT REV]]-Table28[[#This Row],[SEAT REV
(IF IDEAL $)]]</f>
        <v>0</v>
      </c>
      <c r="AA528" s="26"/>
      <c r="AB528" s="26"/>
      <c r="AC528" s="26"/>
      <c r="AD528" s="26"/>
      <c r="AE528" s="26"/>
      <c r="AS528" s="16" t="s">
        <v>11732</v>
      </c>
      <c r="AT528" s="16" t="s">
        <v>13286</v>
      </c>
      <c r="AU528" s="16" t="s">
        <v>2599</v>
      </c>
      <c r="AV528" s="16" t="s">
        <v>18892</v>
      </c>
      <c r="AW528" s="16" t="s">
        <v>18879</v>
      </c>
      <c r="AX528" s="16" t="s">
        <v>18920</v>
      </c>
      <c r="AY528" s="385">
        <v>13212</v>
      </c>
    </row>
    <row r="529" spans="1:51" x14ac:dyDescent="0.25">
      <c r="A529" s="16" t="s">
        <v>19041</v>
      </c>
      <c r="B529" s="16" t="s">
        <v>4795</v>
      </c>
      <c r="D529" s="16">
        <v>3</v>
      </c>
      <c r="E529" s="16" t="s">
        <v>709</v>
      </c>
      <c r="F529" s="16" t="str">
        <f>VLOOKUP(Table28[[#This Row],[Country]],Table10[[COUNTRY NAME]:[CONTINENT CODE]],3,FALSE)</f>
        <v>AS</v>
      </c>
      <c r="G529" s="16" t="s">
        <v>8321</v>
      </c>
      <c r="H529" s="181">
        <v>5773</v>
      </c>
      <c r="I529" s="180">
        <v>14.75</v>
      </c>
      <c r="K529" s="316">
        <f>IFERROR(Table28[[#This Row],[ROUTE COST]]/Table28[[#This Row],[O - DEMAND]],0)</f>
        <v>0</v>
      </c>
      <c r="M529" s="16">
        <f>Table28[[#This Row],[O - DEMAND]]/950</f>
        <v>0</v>
      </c>
      <c r="N529" s="16">
        <f>IFERROR(VLOOKUP(Table28[[#This Row],[ROUTE]],DEMAND!A:F,5,FALSE),0)</f>
        <v>0</v>
      </c>
      <c r="O529" s="16">
        <f>IFERROR(VLOOKUP(Table28[[#This Row],[ROUTE]],DEMAND!A:F,6,FALSE),0)</f>
        <v>0</v>
      </c>
      <c r="P529" s="16">
        <f>ROUNDDOWN(Table28[[#This Row],[R-DEMAND]]/950,0)</f>
        <v>0</v>
      </c>
      <c r="Q529" s="16">
        <f>Table28[[#This Row],[ADD ACC
(475/950)]]*Table28[[#This Row],[Duration
(A359)]]</f>
        <v>0</v>
      </c>
      <c r="R529" s="16">
        <f>IFERROR(VLOOKUP(Table28[[#This Row],[ROUTE]],PRICING!A:B,2,FALSE),0)</f>
        <v>0</v>
      </c>
      <c r="S529" s="16">
        <f>Table28[[#This Row],[C_DEMAND]]-Table28[[#This Row],[R-DEMAND]]</f>
        <v>0</v>
      </c>
      <c r="T529" s="316">
        <f>Table28[[#This Row],[SEATS SOLD]]*Table28[[#This Row],[ECO SEAT]]</f>
        <v>0</v>
      </c>
      <c r="U529" s="316">
        <f>Table28[[#This Row],[SEATS SOLD]]*(IFERROR(VLOOKUP(Table28[[#This Row],[ROUTE]],PRICING!A:C,3,FALSE),0))</f>
        <v>0</v>
      </c>
      <c r="V529" s="316">
        <f>Table28[[#This Row],[SEAT REV]]-Table28[[#This Row],[SEAT REV
(IF IDEAL $)]]</f>
        <v>0</v>
      </c>
      <c r="AA529" s="26"/>
      <c r="AB529" s="26"/>
      <c r="AC529" s="26"/>
      <c r="AD529" s="26"/>
      <c r="AE529" s="26"/>
      <c r="AS529" s="16" t="s">
        <v>1749</v>
      </c>
      <c r="AT529" s="16" t="s">
        <v>13218</v>
      </c>
      <c r="AU529" s="16" t="s">
        <v>5463</v>
      </c>
      <c r="AV529" s="16" t="s">
        <v>18892</v>
      </c>
      <c r="AW529" s="16" t="s">
        <v>18899</v>
      </c>
      <c r="AX529" s="16" t="s">
        <v>18920</v>
      </c>
      <c r="AY529" s="385">
        <v>13219</v>
      </c>
    </row>
    <row r="530" spans="1:51" x14ac:dyDescent="0.25">
      <c r="A530" s="16" t="s">
        <v>19687</v>
      </c>
      <c r="B530" s="16" t="s">
        <v>1916</v>
      </c>
      <c r="D530" s="16">
        <v>1</v>
      </c>
      <c r="E530" s="16" t="s">
        <v>700</v>
      </c>
      <c r="F530" s="16" t="str">
        <f>VLOOKUP(Table28[[#This Row],[Country]],Table10[[COUNTRY NAME]:[CONTINENT CODE]],3,FALSE)</f>
        <v>AS</v>
      </c>
      <c r="G530" s="16" t="s">
        <v>11865</v>
      </c>
      <c r="H530" s="181">
        <v>14410</v>
      </c>
      <c r="I530" s="180">
        <v>33.75</v>
      </c>
      <c r="K530" s="316">
        <f>IFERROR(Table28[[#This Row],[ROUTE COST]]/Table28[[#This Row],[O - DEMAND]],0)</f>
        <v>0</v>
      </c>
      <c r="M530" s="16">
        <f>Table28[[#This Row],[O - DEMAND]]/950</f>
        <v>0</v>
      </c>
      <c r="N530" s="16">
        <f>IFERROR(VLOOKUP(Table28[[#This Row],[ROUTE]],DEMAND!A:F,5,FALSE),0)</f>
        <v>0</v>
      </c>
      <c r="O530" s="16">
        <f>IFERROR(VLOOKUP(Table28[[#This Row],[ROUTE]],DEMAND!A:F,6,FALSE),0)</f>
        <v>0</v>
      </c>
      <c r="P530" s="16">
        <f>ROUNDDOWN(Table28[[#This Row],[R-DEMAND]]/950,0)</f>
        <v>0</v>
      </c>
      <c r="Q530" s="16">
        <f>Table28[[#This Row],[ADD ACC
(475/950)]]*Table28[[#This Row],[Duration
(A359)]]</f>
        <v>0</v>
      </c>
      <c r="R530" s="16">
        <f>IFERROR(VLOOKUP(Table28[[#This Row],[ROUTE]],PRICING!A:B,2,FALSE),0)</f>
        <v>0</v>
      </c>
      <c r="S530" s="16">
        <f>Table28[[#This Row],[C_DEMAND]]-Table28[[#This Row],[R-DEMAND]]</f>
        <v>0</v>
      </c>
      <c r="T530" s="316">
        <f>Table28[[#This Row],[SEATS SOLD]]*Table28[[#This Row],[ECO SEAT]]</f>
        <v>0</v>
      </c>
      <c r="U530" s="316">
        <f>Table28[[#This Row],[SEATS SOLD]]*(IFERROR(VLOOKUP(Table28[[#This Row],[ROUTE]],PRICING!A:C,3,FALSE),0))</f>
        <v>0</v>
      </c>
      <c r="V530" s="316">
        <f>Table28[[#This Row],[SEAT REV]]-Table28[[#This Row],[SEAT REV
(IF IDEAL $)]]</f>
        <v>0</v>
      </c>
      <c r="AA530" s="26"/>
      <c r="AB530" s="26"/>
      <c r="AC530" s="26"/>
      <c r="AD530" s="26"/>
      <c r="AE530" s="26"/>
      <c r="AS530" s="16" t="s">
        <v>1144</v>
      </c>
      <c r="AT530" s="16" t="s">
        <v>13153</v>
      </c>
      <c r="AU530" s="16" t="s">
        <v>4464</v>
      </c>
      <c r="AV530" s="16" t="s">
        <v>18884</v>
      </c>
      <c r="AW530" s="16" t="s">
        <v>18879</v>
      </c>
      <c r="AX530" s="16" t="s">
        <v>18920</v>
      </c>
      <c r="AY530" s="385">
        <v>13227</v>
      </c>
    </row>
    <row r="531" spans="1:51" x14ac:dyDescent="0.25">
      <c r="A531" s="16" t="s">
        <v>19324</v>
      </c>
      <c r="B531" s="16" t="s">
        <v>3072</v>
      </c>
      <c r="C531" s="16" t="s">
        <v>467</v>
      </c>
      <c r="D531" s="16">
        <v>2</v>
      </c>
      <c r="E531" s="16" t="s">
        <v>567</v>
      </c>
      <c r="F531" s="16" t="str">
        <f>VLOOKUP(Table28[[#This Row],[Country]],Table10[[COUNTRY NAME]:[CONTINENT CODE]],3,FALSE)</f>
        <v>AS</v>
      </c>
      <c r="G531" s="16" t="s">
        <v>11989</v>
      </c>
      <c r="H531" s="181">
        <v>11712</v>
      </c>
      <c r="I531" s="180">
        <v>27.75</v>
      </c>
      <c r="K531" s="316">
        <f>IFERROR(Table28[[#This Row],[ROUTE COST]]/Table28[[#This Row],[O - DEMAND]],0)</f>
        <v>0</v>
      </c>
      <c r="M531" s="16">
        <f>Table28[[#This Row],[O - DEMAND]]/950</f>
        <v>0</v>
      </c>
      <c r="N531" s="16">
        <f>IFERROR(VLOOKUP(Table28[[#This Row],[ROUTE]],DEMAND!A:F,5,FALSE),0)</f>
        <v>2239</v>
      </c>
      <c r="O531" s="16">
        <f>IFERROR(VLOOKUP(Table28[[#This Row],[ROUTE]],DEMAND!A:F,6,FALSE),0)</f>
        <v>339</v>
      </c>
      <c r="P531" s="16">
        <f>ROUNDDOWN(Table28[[#This Row],[R-DEMAND]]/950,0)</f>
        <v>0</v>
      </c>
      <c r="Q531" s="16">
        <f>Table28[[#This Row],[ADD ACC
(475/950)]]*Table28[[#This Row],[Duration
(A359)]]</f>
        <v>0</v>
      </c>
      <c r="R531" s="16">
        <f>IFERROR(VLOOKUP(Table28[[#This Row],[ROUTE]],PRICING!A:B,2,FALSE),0)</f>
        <v>0</v>
      </c>
      <c r="S531" s="16">
        <f>Table28[[#This Row],[C_DEMAND]]-Table28[[#This Row],[R-DEMAND]]</f>
        <v>1900</v>
      </c>
      <c r="T531" s="316">
        <f>Table28[[#This Row],[SEATS SOLD]]*Table28[[#This Row],[ECO SEAT]]</f>
        <v>0</v>
      </c>
      <c r="U531" s="316">
        <f>Table28[[#This Row],[SEATS SOLD]]*(IFERROR(VLOOKUP(Table28[[#This Row],[ROUTE]],PRICING!A:C,3,FALSE),0))</f>
        <v>0</v>
      </c>
      <c r="V531" s="316">
        <f>Table28[[#This Row],[SEAT REV]]-Table28[[#This Row],[SEAT REV
(IF IDEAL $)]]</f>
        <v>0</v>
      </c>
      <c r="AA531" s="26"/>
      <c r="AB531" s="26"/>
      <c r="AC531" s="26"/>
      <c r="AD531" s="26"/>
      <c r="AE531" s="26"/>
      <c r="AS531" s="16" t="s">
        <v>1377</v>
      </c>
      <c r="AT531" s="16" t="s">
        <v>11927</v>
      </c>
      <c r="AU531" s="16" t="s">
        <v>4962</v>
      </c>
      <c r="AV531" s="16" t="s">
        <v>18881</v>
      </c>
      <c r="AW531" s="16" t="s">
        <v>18885</v>
      </c>
      <c r="AX531" s="16" t="s">
        <v>18920</v>
      </c>
      <c r="AY531" s="385">
        <v>13231</v>
      </c>
    </row>
    <row r="532" spans="1:51" x14ac:dyDescent="0.25">
      <c r="A532" s="16" t="s">
        <v>19411</v>
      </c>
      <c r="B532" s="16" t="s">
        <v>4508</v>
      </c>
      <c r="D532" s="16">
        <v>2</v>
      </c>
      <c r="E532" s="16" t="s">
        <v>1749</v>
      </c>
      <c r="F532" s="16" t="str">
        <f>VLOOKUP(Table28[[#This Row],[Country]],Table10[[COUNTRY NAME]:[CONTINENT CODE]],3,FALSE)</f>
        <v>NA</v>
      </c>
      <c r="G532" s="16" t="s">
        <v>16974</v>
      </c>
      <c r="H532" s="181">
        <v>12532</v>
      </c>
      <c r="I532" s="180">
        <v>29.75</v>
      </c>
      <c r="K532" s="316">
        <f>IFERROR(Table28[[#This Row],[ROUTE COST]]/Table28[[#This Row],[O - DEMAND]],0)</f>
        <v>0</v>
      </c>
      <c r="M532" s="16">
        <f>Table28[[#This Row],[O - DEMAND]]/950</f>
        <v>0</v>
      </c>
      <c r="N532" s="16">
        <f>IFERROR(VLOOKUP(Table28[[#This Row],[ROUTE]],DEMAND!A:F,5,FALSE),0)</f>
        <v>0</v>
      </c>
      <c r="O532" s="16">
        <f>IFERROR(VLOOKUP(Table28[[#This Row],[ROUTE]],DEMAND!A:F,6,FALSE),0)</f>
        <v>0</v>
      </c>
      <c r="P532" s="16">
        <f>ROUNDDOWN(Table28[[#This Row],[R-DEMAND]]/950,0)</f>
        <v>0</v>
      </c>
      <c r="Q532" s="16">
        <f>Table28[[#This Row],[ADD ACC
(475/950)]]*Table28[[#This Row],[Duration
(A359)]]</f>
        <v>0</v>
      </c>
      <c r="R532" s="16">
        <f>IFERROR(VLOOKUP(Table28[[#This Row],[ROUTE]],PRICING!A:B,2,FALSE),0)</f>
        <v>0</v>
      </c>
      <c r="S532" s="16">
        <f>Table28[[#This Row],[C_DEMAND]]-Table28[[#This Row],[R-DEMAND]]</f>
        <v>0</v>
      </c>
      <c r="T532" s="316">
        <f>Table28[[#This Row],[SEATS SOLD]]*Table28[[#This Row],[ECO SEAT]]</f>
        <v>0</v>
      </c>
      <c r="U532" s="316">
        <f>Table28[[#This Row],[SEATS SOLD]]*(IFERROR(VLOOKUP(Table28[[#This Row],[ROUTE]],PRICING!A:C,3,FALSE),0))</f>
        <v>0</v>
      </c>
      <c r="V532" s="316">
        <f>Table28[[#This Row],[SEAT REV]]-Table28[[#This Row],[SEAT REV
(IF IDEAL $)]]</f>
        <v>0</v>
      </c>
      <c r="AA532" s="26"/>
      <c r="AB532" s="26"/>
      <c r="AC532" s="26"/>
      <c r="AD532" s="26"/>
      <c r="AE532" s="26"/>
      <c r="AS532" s="16" t="s">
        <v>11732</v>
      </c>
      <c r="AT532" s="16" t="s">
        <v>13265</v>
      </c>
      <c r="AU532" s="16" t="s">
        <v>3666</v>
      </c>
      <c r="AV532" s="16" t="s">
        <v>18881</v>
      </c>
      <c r="AW532" s="16" t="s">
        <v>18879</v>
      </c>
      <c r="AX532" s="16" t="s">
        <v>18920</v>
      </c>
      <c r="AY532" s="385">
        <v>13232</v>
      </c>
    </row>
    <row r="533" spans="1:51" x14ac:dyDescent="0.25">
      <c r="A533" s="16" t="s">
        <v>19228</v>
      </c>
      <c r="B533" s="16" t="s">
        <v>154</v>
      </c>
      <c r="D533" s="16">
        <v>3</v>
      </c>
      <c r="E533" s="16" t="s">
        <v>1070</v>
      </c>
      <c r="F533" s="16" t="str">
        <f>VLOOKUP(Table28[[#This Row],[Country]],Table10[[COUNTRY NAME]:[CONTINENT CODE]],3,FALSE)</f>
        <v>AS</v>
      </c>
      <c r="G533" s="16" t="s">
        <v>12055</v>
      </c>
      <c r="H533" s="181">
        <v>9777</v>
      </c>
      <c r="I533" s="180">
        <v>23.5</v>
      </c>
      <c r="K533" s="316">
        <f>IFERROR(Table28[[#This Row],[ROUTE COST]]/Table28[[#This Row],[O - DEMAND]],0)</f>
        <v>0</v>
      </c>
      <c r="M533" s="16">
        <f>Table28[[#This Row],[O - DEMAND]]/950</f>
        <v>0</v>
      </c>
      <c r="N533" s="16">
        <f>IFERROR(VLOOKUP(Table28[[#This Row],[ROUTE]],DEMAND!A:F,5,FALSE),0)</f>
        <v>0</v>
      </c>
      <c r="O533" s="16">
        <f>IFERROR(VLOOKUP(Table28[[#This Row],[ROUTE]],DEMAND!A:F,6,FALSE),0)</f>
        <v>0</v>
      </c>
      <c r="P533" s="16">
        <f>ROUNDDOWN(Table28[[#This Row],[R-DEMAND]]/950,0)</f>
        <v>0</v>
      </c>
      <c r="Q533" s="16">
        <f>Table28[[#This Row],[ADD ACC
(475/950)]]*Table28[[#This Row],[Duration
(A359)]]</f>
        <v>0</v>
      </c>
      <c r="R533" s="16">
        <f>IFERROR(VLOOKUP(Table28[[#This Row],[ROUTE]],PRICING!A:B,2,FALSE),0)</f>
        <v>0</v>
      </c>
      <c r="S533" s="16">
        <f>Table28[[#This Row],[C_DEMAND]]-Table28[[#This Row],[R-DEMAND]]</f>
        <v>0</v>
      </c>
      <c r="T533" s="316">
        <f>Table28[[#This Row],[SEATS SOLD]]*Table28[[#This Row],[ECO SEAT]]</f>
        <v>0</v>
      </c>
      <c r="U533" s="316">
        <f>Table28[[#This Row],[SEATS SOLD]]*(IFERROR(VLOOKUP(Table28[[#This Row],[ROUTE]],PRICING!A:C,3,FALSE),0))</f>
        <v>0</v>
      </c>
      <c r="V533" s="316">
        <f>Table28[[#This Row],[SEAT REV]]-Table28[[#This Row],[SEAT REV
(IF IDEAL $)]]</f>
        <v>0</v>
      </c>
      <c r="AS533" s="16" t="s">
        <v>1749</v>
      </c>
      <c r="AT533" s="16" t="s">
        <v>17003</v>
      </c>
      <c r="AU533" s="16" t="s">
        <v>4025</v>
      </c>
      <c r="AV533" s="16" t="s">
        <v>18878</v>
      </c>
      <c r="AW533" s="16" t="s">
        <v>18879</v>
      </c>
      <c r="AX533" s="16" t="s">
        <v>18920</v>
      </c>
      <c r="AY533" s="385">
        <v>13247</v>
      </c>
    </row>
    <row r="534" spans="1:51" x14ac:dyDescent="0.25">
      <c r="A534" s="16" t="s">
        <v>19571</v>
      </c>
      <c r="B534" s="16" t="s">
        <v>1379</v>
      </c>
      <c r="D534" s="16">
        <v>1</v>
      </c>
      <c r="E534" s="16" t="s">
        <v>1377</v>
      </c>
      <c r="F534" s="16" t="str">
        <f>VLOOKUP(Table28[[#This Row],[Country]],Table10[[COUNTRY NAME]:[CONTINENT CODE]],3,FALSE)</f>
        <v>EU</v>
      </c>
      <c r="G534" s="16" t="s">
        <v>11915</v>
      </c>
      <c r="H534" s="181">
        <v>13547</v>
      </c>
      <c r="I534" s="180">
        <v>31.75</v>
      </c>
      <c r="K534" s="316">
        <f>IFERROR(Table28[[#This Row],[ROUTE COST]]/Table28[[#This Row],[O - DEMAND]],0)</f>
        <v>0</v>
      </c>
      <c r="M534" s="16">
        <f>Table28[[#This Row],[O - DEMAND]]/950</f>
        <v>0</v>
      </c>
      <c r="N534" s="16">
        <f>IFERROR(VLOOKUP(Table28[[#This Row],[ROUTE]],DEMAND!A:F,5,FALSE),0)</f>
        <v>0</v>
      </c>
      <c r="O534" s="16">
        <f>IFERROR(VLOOKUP(Table28[[#This Row],[ROUTE]],DEMAND!A:F,6,FALSE),0)</f>
        <v>0</v>
      </c>
      <c r="P534" s="16">
        <f>ROUNDDOWN(Table28[[#This Row],[R-DEMAND]]/950,0)</f>
        <v>0</v>
      </c>
      <c r="Q534" s="16">
        <f>Table28[[#This Row],[ADD ACC
(475/950)]]*Table28[[#This Row],[Duration
(A359)]]</f>
        <v>0</v>
      </c>
      <c r="R534" s="16">
        <f>IFERROR(VLOOKUP(Table28[[#This Row],[ROUTE]],PRICING!A:B,2,FALSE),0)</f>
        <v>0</v>
      </c>
      <c r="S534" s="16">
        <f>Table28[[#This Row],[C_DEMAND]]-Table28[[#This Row],[R-DEMAND]]</f>
        <v>0</v>
      </c>
      <c r="T534" s="316">
        <f>Table28[[#This Row],[SEATS SOLD]]*Table28[[#This Row],[ECO SEAT]]</f>
        <v>0</v>
      </c>
      <c r="U534" s="316">
        <f>Table28[[#This Row],[SEATS SOLD]]*(IFERROR(VLOOKUP(Table28[[#This Row],[ROUTE]],PRICING!A:C,3,FALSE),0))</f>
        <v>0</v>
      </c>
      <c r="V534" s="316">
        <f>Table28[[#This Row],[SEAT REV]]-Table28[[#This Row],[SEAT REV
(IF IDEAL $)]]</f>
        <v>0</v>
      </c>
      <c r="AS534" s="16" t="s">
        <v>11732</v>
      </c>
      <c r="AT534" s="16" t="s">
        <v>16967</v>
      </c>
      <c r="AU534" s="16" t="s">
        <v>1002</v>
      </c>
      <c r="AV534" s="16" t="s">
        <v>18878</v>
      </c>
      <c r="AW534" s="16" t="s">
        <v>18890</v>
      </c>
      <c r="AX534" s="16" t="s">
        <v>18920</v>
      </c>
      <c r="AY534" s="385">
        <v>13252</v>
      </c>
    </row>
    <row r="535" spans="1:51" x14ac:dyDescent="0.25">
      <c r="A535" s="16" t="s">
        <v>19011</v>
      </c>
      <c r="B535" s="16" t="s">
        <v>4804</v>
      </c>
      <c r="C535" s="16" t="s">
        <v>467</v>
      </c>
      <c r="D535" s="16">
        <v>3</v>
      </c>
      <c r="E535" s="16" t="s">
        <v>2356</v>
      </c>
      <c r="F535" s="16" t="str">
        <f>VLOOKUP(Table28[[#This Row],[Country]],Table10[[COUNTRY NAME]:[CONTINENT CODE]],3,FALSE)</f>
        <v>OC</v>
      </c>
      <c r="G535" s="16" t="s">
        <v>11925</v>
      </c>
      <c r="H535" s="181">
        <v>3170</v>
      </c>
      <c r="I535" s="180">
        <v>9</v>
      </c>
      <c r="K535" s="316">
        <f>IFERROR(Table28[[#This Row],[ROUTE COST]]/Table28[[#This Row],[O - DEMAND]],0)</f>
        <v>0</v>
      </c>
      <c r="M535" s="16">
        <f>Table28[[#This Row],[O - DEMAND]]/950</f>
        <v>0</v>
      </c>
      <c r="N535" s="16">
        <f>IFERROR(VLOOKUP(Table28[[#This Row],[ROUTE]],DEMAND!A:F,5,FALSE),0)</f>
        <v>3127</v>
      </c>
      <c r="O535" s="16">
        <f>IFERROR(VLOOKUP(Table28[[#This Row],[ROUTE]],DEMAND!A:F,6,FALSE),0)</f>
        <v>277</v>
      </c>
      <c r="P535" s="16">
        <f>ROUNDDOWN(Table28[[#This Row],[R-DEMAND]]/950,0)</f>
        <v>0</v>
      </c>
      <c r="Q535" s="16">
        <f>Table28[[#This Row],[ADD ACC
(475/950)]]*Table28[[#This Row],[Duration
(A359)]]</f>
        <v>0</v>
      </c>
      <c r="R535" s="16">
        <f>IFERROR(VLOOKUP(Table28[[#This Row],[ROUTE]],PRICING!A:B,2,FALSE),0)</f>
        <v>0</v>
      </c>
      <c r="S535" s="16">
        <f>Table28[[#This Row],[C_DEMAND]]-Table28[[#This Row],[R-DEMAND]]</f>
        <v>2850</v>
      </c>
      <c r="T535" s="316">
        <f>Table28[[#This Row],[SEATS SOLD]]*Table28[[#This Row],[ECO SEAT]]</f>
        <v>0</v>
      </c>
      <c r="U535" s="316">
        <f>Table28[[#This Row],[SEATS SOLD]]*(IFERROR(VLOOKUP(Table28[[#This Row],[ROUTE]],PRICING!A:C,3,FALSE),0))</f>
        <v>0</v>
      </c>
      <c r="V535" s="316">
        <f>Table28[[#This Row],[SEAT REV]]-Table28[[#This Row],[SEAT REV
(IF IDEAL $)]]</f>
        <v>0</v>
      </c>
      <c r="AS535" s="16" t="s">
        <v>11732</v>
      </c>
      <c r="AT535" s="16" t="s">
        <v>16962</v>
      </c>
      <c r="AU535" s="16" t="s">
        <v>3823</v>
      </c>
      <c r="AV535" s="16" t="s">
        <v>18878</v>
      </c>
      <c r="AX535" s="16" t="s">
        <v>18920</v>
      </c>
      <c r="AY535" s="385">
        <v>13259</v>
      </c>
    </row>
    <row r="536" spans="1:51" x14ac:dyDescent="0.25">
      <c r="A536" s="16" t="s">
        <v>19689</v>
      </c>
      <c r="B536" s="16" t="s">
        <v>2890</v>
      </c>
      <c r="D536" s="16">
        <v>2</v>
      </c>
      <c r="E536" s="16" t="s">
        <v>700</v>
      </c>
      <c r="F536" s="16" t="str">
        <f>VLOOKUP(Table28[[#This Row],[Country]],Table10[[COUNTRY NAME]:[CONTINENT CODE]],3,FALSE)</f>
        <v>AS</v>
      </c>
      <c r="G536" s="16" t="s">
        <v>11863</v>
      </c>
      <c r="H536" s="181">
        <v>14434</v>
      </c>
      <c r="I536" s="180">
        <v>33.75</v>
      </c>
      <c r="K536" s="316">
        <f>IFERROR(Table28[[#This Row],[ROUTE COST]]/Table28[[#This Row],[O - DEMAND]],0)</f>
        <v>0</v>
      </c>
      <c r="M536" s="16">
        <f>Table28[[#This Row],[O - DEMAND]]/950</f>
        <v>0</v>
      </c>
      <c r="N536" s="16">
        <f>IFERROR(VLOOKUP(Table28[[#This Row],[ROUTE]],DEMAND!A:F,5,FALSE),0)</f>
        <v>0</v>
      </c>
      <c r="O536" s="16">
        <f>IFERROR(VLOOKUP(Table28[[#This Row],[ROUTE]],DEMAND!A:F,6,FALSE),0)</f>
        <v>0</v>
      </c>
      <c r="P536" s="16">
        <f>ROUNDDOWN(Table28[[#This Row],[R-DEMAND]]/950,0)</f>
        <v>0</v>
      </c>
      <c r="Q536" s="16">
        <f>Table28[[#This Row],[ADD ACC
(475/950)]]*Table28[[#This Row],[Duration
(A359)]]</f>
        <v>0</v>
      </c>
      <c r="R536" s="16">
        <f>IFERROR(VLOOKUP(Table28[[#This Row],[ROUTE]],PRICING!A:B,2,FALSE),0)</f>
        <v>0</v>
      </c>
      <c r="S536" s="16">
        <f>Table28[[#This Row],[C_DEMAND]]-Table28[[#This Row],[R-DEMAND]]</f>
        <v>0</v>
      </c>
      <c r="T536" s="316">
        <f>Table28[[#This Row],[SEATS SOLD]]*Table28[[#This Row],[ECO SEAT]]</f>
        <v>0</v>
      </c>
      <c r="U536" s="316">
        <f>Table28[[#This Row],[SEATS SOLD]]*(IFERROR(VLOOKUP(Table28[[#This Row],[ROUTE]],PRICING!A:C,3,FALSE),0))</f>
        <v>0</v>
      </c>
      <c r="V536" s="316">
        <f>Table28[[#This Row],[SEAT REV]]-Table28[[#This Row],[SEAT REV
(IF IDEAL $)]]</f>
        <v>0</v>
      </c>
      <c r="AS536" s="16" t="s">
        <v>11732</v>
      </c>
      <c r="AT536" s="16" t="s">
        <v>13281</v>
      </c>
      <c r="AU536" s="16" t="s">
        <v>3532</v>
      </c>
      <c r="AV536" s="16" t="s">
        <v>18881</v>
      </c>
      <c r="AW536" s="16" t="s">
        <v>18879</v>
      </c>
      <c r="AX536" s="16" t="s">
        <v>18920</v>
      </c>
      <c r="AY536" s="385">
        <v>13269</v>
      </c>
    </row>
    <row r="537" spans="1:51" x14ac:dyDescent="0.25">
      <c r="A537" s="16" t="s">
        <v>19575</v>
      </c>
      <c r="B537" s="16" t="s">
        <v>3171</v>
      </c>
      <c r="D537" s="16">
        <v>2</v>
      </c>
      <c r="E537" s="16" t="s">
        <v>78</v>
      </c>
      <c r="F537" s="16" t="str">
        <f>VLOOKUP(Table28[[#This Row],[Country]],Table10[[COUNTRY NAME]:[CONTINENT CODE]],3,FALSE)</f>
        <v>EU</v>
      </c>
      <c r="G537" s="16" t="s">
        <v>16868</v>
      </c>
      <c r="H537" s="181">
        <v>13605</v>
      </c>
      <c r="I537" s="180">
        <v>32</v>
      </c>
      <c r="K537" s="316">
        <f>IFERROR(Table28[[#This Row],[ROUTE COST]]/Table28[[#This Row],[O - DEMAND]],0)</f>
        <v>0</v>
      </c>
      <c r="M537" s="16">
        <f>Table28[[#This Row],[O - DEMAND]]/950</f>
        <v>0</v>
      </c>
      <c r="N537" s="16">
        <f>IFERROR(VLOOKUP(Table28[[#This Row],[ROUTE]],DEMAND!A:F,5,FALSE),0)</f>
        <v>0</v>
      </c>
      <c r="O537" s="16">
        <f>IFERROR(VLOOKUP(Table28[[#This Row],[ROUTE]],DEMAND!A:F,6,FALSE),0)</f>
        <v>0</v>
      </c>
      <c r="P537" s="16">
        <f>ROUNDDOWN(Table28[[#This Row],[R-DEMAND]]/950,0)</f>
        <v>0</v>
      </c>
      <c r="Q537" s="16">
        <f>Table28[[#This Row],[ADD ACC
(475/950)]]*Table28[[#This Row],[Duration
(A359)]]</f>
        <v>0</v>
      </c>
      <c r="R537" s="16">
        <f>IFERROR(VLOOKUP(Table28[[#This Row],[ROUTE]],PRICING!A:B,2,FALSE),0)</f>
        <v>0</v>
      </c>
      <c r="S537" s="16">
        <f>Table28[[#This Row],[C_DEMAND]]-Table28[[#This Row],[R-DEMAND]]</f>
        <v>0</v>
      </c>
      <c r="T537" s="316">
        <f>Table28[[#This Row],[SEATS SOLD]]*Table28[[#This Row],[ECO SEAT]]</f>
        <v>0</v>
      </c>
      <c r="U537" s="316">
        <f>Table28[[#This Row],[SEATS SOLD]]*(IFERROR(VLOOKUP(Table28[[#This Row],[ROUTE]],PRICING!A:C,3,FALSE),0))</f>
        <v>0</v>
      </c>
      <c r="V537" s="316">
        <f>Table28[[#This Row],[SEAT REV]]-Table28[[#This Row],[SEAT REV
(IF IDEAL $)]]</f>
        <v>0</v>
      </c>
      <c r="AS537" s="16" t="s">
        <v>11823</v>
      </c>
      <c r="AT537" s="16" t="s">
        <v>11859</v>
      </c>
      <c r="AU537" s="16" t="s">
        <v>3339</v>
      </c>
      <c r="AV537" s="16" t="s">
        <v>18884</v>
      </c>
      <c r="AW537" s="16" t="s">
        <v>18879</v>
      </c>
      <c r="AX537" s="16" t="s">
        <v>18920</v>
      </c>
      <c r="AY537" s="385">
        <v>13276</v>
      </c>
    </row>
    <row r="538" spans="1:51" x14ac:dyDescent="0.25">
      <c r="A538" s="16" t="s">
        <v>19366</v>
      </c>
      <c r="B538" s="16" t="s">
        <v>152</v>
      </c>
      <c r="C538" s="16" t="s">
        <v>467</v>
      </c>
      <c r="D538" s="16">
        <v>3</v>
      </c>
      <c r="E538" s="16" t="s">
        <v>1189</v>
      </c>
      <c r="F538" s="16" t="str">
        <f>VLOOKUP(Table28[[#This Row],[Country]],Table10[[COUNTRY NAME]:[CONTINENT CODE]],3,FALSE)</f>
        <v>AF</v>
      </c>
      <c r="G538" s="16" t="s">
        <v>11926</v>
      </c>
      <c r="H538" s="181">
        <v>12138</v>
      </c>
      <c r="I538" s="180">
        <v>28.75</v>
      </c>
      <c r="K538" s="316">
        <f>IFERROR(Table28[[#This Row],[ROUTE COST]]/Table28[[#This Row],[O - DEMAND]],0)</f>
        <v>0</v>
      </c>
      <c r="M538" s="16">
        <f>Table28[[#This Row],[O - DEMAND]]/950</f>
        <v>0</v>
      </c>
      <c r="N538" s="16">
        <f>IFERROR(VLOOKUP(Table28[[#This Row],[ROUTE]],DEMAND!A:F,5,FALSE),0)</f>
        <v>4233</v>
      </c>
      <c r="O538" s="16">
        <f>IFERROR(VLOOKUP(Table28[[#This Row],[ROUTE]],DEMAND!A:F,6,FALSE),0)</f>
        <v>433</v>
      </c>
      <c r="P538" s="16">
        <f>ROUNDDOWN(Table28[[#This Row],[R-DEMAND]]/950,0)</f>
        <v>0</v>
      </c>
      <c r="Q538" s="16">
        <f>Table28[[#This Row],[ADD ACC
(475/950)]]*Table28[[#This Row],[Duration
(A359)]]</f>
        <v>0</v>
      </c>
      <c r="R538" s="16">
        <f>IFERROR(VLOOKUP(Table28[[#This Row],[ROUTE]],PRICING!A:B,2,FALSE),0)</f>
        <v>0</v>
      </c>
      <c r="S538" s="16">
        <f>Table28[[#This Row],[C_DEMAND]]-Table28[[#This Row],[R-DEMAND]]</f>
        <v>3800</v>
      </c>
      <c r="T538" s="316">
        <f>Table28[[#This Row],[SEATS SOLD]]*Table28[[#This Row],[ECO SEAT]]</f>
        <v>0</v>
      </c>
      <c r="U538" s="316">
        <f>Table28[[#This Row],[SEATS SOLD]]*(IFERROR(VLOOKUP(Table28[[#This Row],[ROUTE]],PRICING!A:C,3,FALSE),0))</f>
        <v>0</v>
      </c>
      <c r="V538" s="316">
        <f>Table28[[#This Row],[SEAT REV]]-Table28[[#This Row],[SEAT REV
(IF IDEAL $)]]</f>
        <v>0</v>
      </c>
      <c r="AS538" s="16" t="s">
        <v>714</v>
      </c>
      <c r="AT538" s="16" t="s">
        <v>13238</v>
      </c>
      <c r="AU538" s="16" t="s">
        <v>3481</v>
      </c>
      <c r="AV538" s="16" t="s">
        <v>18892</v>
      </c>
      <c r="AW538" s="16" t="s">
        <v>18879</v>
      </c>
      <c r="AX538" s="16" t="s">
        <v>18920</v>
      </c>
      <c r="AY538" s="385">
        <v>13283</v>
      </c>
    </row>
    <row r="539" spans="1:51" x14ac:dyDescent="0.25">
      <c r="A539" s="16" t="s">
        <v>19213</v>
      </c>
      <c r="B539" s="16" t="s">
        <v>2882</v>
      </c>
      <c r="E539" s="16" t="s">
        <v>14</v>
      </c>
      <c r="F539" s="16" t="str">
        <f>VLOOKUP(Table28[[#This Row],[Country]],Table10[[COUNTRY NAME]:[CONTINENT CODE]],3,FALSE)</f>
        <v>AS</v>
      </c>
      <c r="G539" s="16" t="s">
        <v>16845</v>
      </c>
      <c r="H539" s="181">
        <v>9431</v>
      </c>
      <c r="I539" s="180">
        <v>22.75</v>
      </c>
      <c r="K539" s="316">
        <f>IFERROR(Table28[[#This Row],[ROUTE COST]]/Table28[[#This Row],[O - DEMAND]],0)</f>
        <v>0</v>
      </c>
      <c r="M539" s="16">
        <f>Table28[[#This Row],[O - DEMAND]]/950</f>
        <v>0</v>
      </c>
      <c r="N539" s="16">
        <f>IFERROR(VLOOKUP(Table28[[#This Row],[ROUTE]],DEMAND!A:F,5,FALSE),0)</f>
        <v>0</v>
      </c>
      <c r="O539" s="16">
        <f>IFERROR(VLOOKUP(Table28[[#This Row],[ROUTE]],DEMAND!A:F,6,FALSE),0)</f>
        <v>0</v>
      </c>
      <c r="P539" s="16">
        <f>ROUNDDOWN(Table28[[#This Row],[R-DEMAND]]/950,0)</f>
        <v>0</v>
      </c>
      <c r="Q539" s="16">
        <f>Table28[[#This Row],[ADD ACC
(475/950)]]*Table28[[#This Row],[Duration
(A359)]]</f>
        <v>0</v>
      </c>
      <c r="R539" s="16">
        <f>IFERROR(VLOOKUP(Table28[[#This Row],[ROUTE]],PRICING!A:B,2,FALSE),0)</f>
        <v>0</v>
      </c>
      <c r="S539" s="16">
        <f>Table28[[#This Row],[C_DEMAND]]-Table28[[#This Row],[R-DEMAND]]</f>
        <v>0</v>
      </c>
      <c r="T539" s="316">
        <f>Table28[[#This Row],[SEATS SOLD]]*Table28[[#This Row],[ECO SEAT]]</f>
        <v>0</v>
      </c>
      <c r="U539" s="316">
        <f>Table28[[#This Row],[SEATS SOLD]]*(IFERROR(VLOOKUP(Table28[[#This Row],[ROUTE]],PRICING!A:C,3,FALSE),0))</f>
        <v>0</v>
      </c>
      <c r="V539" s="316">
        <f>Table28[[#This Row],[SEAT REV]]-Table28[[#This Row],[SEAT REV
(IF IDEAL $)]]</f>
        <v>0</v>
      </c>
      <c r="AS539" s="16" t="s">
        <v>11732</v>
      </c>
      <c r="AT539" s="16" t="s">
        <v>16957</v>
      </c>
      <c r="AU539" s="16" t="s">
        <v>2197</v>
      </c>
      <c r="AV539" s="16" t="s">
        <v>18878</v>
      </c>
      <c r="AW539" s="16" t="s">
        <v>18890</v>
      </c>
      <c r="AX539" s="16" t="s">
        <v>18920</v>
      </c>
      <c r="AY539" s="385">
        <v>13289</v>
      </c>
    </row>
    <row r="540" spans="1:51" x14ac:dyDescent="0.25">
      <c r="A540" s="16" t="s">
        <v>19768</v>
      </c>
      <c r="B540" s="16" t="s">
        <v>3274</v>
      </c>
      <c r="C540" s="16" t="s">
        <v>467</v>
      </c>
      <c r="D540" s="16">
        <v>2</v>
      </c>
      <c r="E540" s="16" t="s">
        <v>3272</v>
      </c>
      <c r="F540" s="16" t="str">
        <f>VLOOKUP(Table28[[#This Row],[Country]],Table10[[COUNTRY NAME]:[CONTINENT CODE]],3,FALSE)</f>
        <v>AF</v>
      </c>
      <c r="G540" s="16" t="s">
        <v>11810</v>
      </c>
      <c r="H540" s="181">
        <v>14971</v>
      </c>
      <c r="I540" s="180">
        <v>35</v>
      </c>
      <c r="K540" s="316">
        <f>IFERROR(Table28[[#This Row],[ROUTE COST]]/Table28[[#This Row],[O - DEMAND]],0)</f>
        <v>0</v>
      </c>
      <c r="M540" s="16">
        <f>Table28[[#This Row],[O - DEMAND]]/950</f>
        <v>0</v>
      </c>
      <c r="N540" s="16">
        <f>IFERROR(VLOOKUP(Table28[[#This Row],[ROUTE]],DEMAND!A:F,5,FALSE),0)</f>
        <v>2979</v>
      </c>
      <c r="O540" s="16">
        <f>IFERROR(VLOOKUP(Table28[[#This Row],[ROUTE]],DEMAND!A:F,6,FALSE),0)</f>
        <v>129</v>
      </c>
      <c r="P540" s="16">
        <f>ROUNDDOWN(Table28[[#This Row],[R-DEMAND]]/950,0)</f>
        <v>0</v>
      </c>
      <c r="Q540" s="16">
        <f>Table28[[#This Row],[ADD ACC
(475/950)]]*Table28[[#This Row],[Duration
(A359)]]</f>
        <v>0</v>
      </c>
      <c r="R540" s="16">
        <f>IFERROR(VLOOKUP(Table28[[#This Row],[ROUTE]],PRICING!A:B,2,FALSE),0)</f>
        <v>0</v>
      </c>
      <c r="S540" s="16">
        <f>Table28[[#This Row],[C_DEMAND]]-Table28[[#This Row],[R-DEMAND]]</f>
        <v>2850</v>
      </c>
      <c r="T540" s="316">
        <f>Table28[[#This Row],[SEATS SOLD]]*Table28[[#This Row],[ECO SEAT]]</f>
        <v>0</v>
      </c>
      <c r="U540" s="316">
        <f>Table28[[#This Row],[SEATS SOLD]]*(IFERROR(VLOOKUP(Table28[[#This Row],[ROUTE]],PRICING!A:C,3,FALSE),0))</f>
        <v>0</v>
      </c>
      <c r="V540" s="316">
        <f>Table28[[#This Row],[SEAT REV]]-Table28[[#This Row],[SEAT REV
(IF IDEAL $)]]</f>
        <v>0</v>
      </c>
      <c r="AS540" s="16" t="s">
        <v>714</v>
      </c>
      <c r="AT540" s="16" t="s">
        <v>16996</v>
      </c>
      <c r="AU540" s="16" t="s">
        <v>3416</v>
      </c>
      <c r="AV540" s="16" t="s">
        <v>18878</v>
      </c>
      <c r="AW540" s="16" t="s">
        <v>18879</v>
      </c>
      <c r="AX540" s="16" t="s">
        <v>18920</v>
      </c>
      <c r="AY540" s="385">
        <v>13295</v>
      </c>
    </row>
    <row r="541" spans="1:51" x14ac:dyDescent="0.25">
      <c r="A541" s="16" t="s">
        <v>19094</v>
      </c>
      <c r="B541" s="16" t="s">
        <v>5272</v>
      </c>
      <c r="D541" s="16">
        <v>3</v>
      </c>
      <c r="E541" s="16" t="s">
        <v>14</v>
      </c>
      <c r="F541" s="16" t="str">
        <f>VLOOKUP(Table28[[#This Row],[Country]],Table10[[COUNTRY NAME]:[CONTINENT CODE]],3,FALSE)</f>
        <v>AS</v>
      </c>
      <c r="G541" s="16" t="s">
        <v>12053</v>
      </c>
      <c r="H541" s="181">
        <v>7750</v>
      </c>
      <c r="I541" s="180">
        <v>19.25</v>
      </c>
      <c r="K541" s="316">
        <f>IFERROR(Table28[[#This Row],[ROUTE COST]]/Table28[[#This Row],[O - DEMAND]],0)</f>
        <v>0</v>
      </c>
      <c r="M541" s="16">
        <f>Table28[[#This Row],[O - DEMAND]]/950</f>
        <v>0</v>
      </c>
      <c r="N541" s="16">
        <f>IFERROR(VLOOKUP(Table28[[#This Row],[ROUTE]],DEMAND!A:F,5,FALSE),0)</f>
        <v>0</v>
      </c>
      <c r="O541" s="16">
        <f>IFERROR(VLOOKUP(Table28[[#This Row],[ROUTE]],DEMAND!A:F,6,FALSE),0)</f>
        <v>0</v>
      </c>
      <c r="P541" s="16">
        <f>ROUNDDOWN(Table28[[#This Row],[R-DEMAND]]/950,0)</f>
        <v>0</v>
      </c>
      <c r="Q541" s="16">
        <f>Table28[[#This Row],[ADD ACC
(475/950)]]*Table28[[#This Row],[Duration
(A359)]]</f>
        <v>0</v>
      </c>
      <c r="R541" s="16">
        <f>IFERROR(VLOOKUP(Table28[[#This Row],[ROUTE]],PRICING!A:B,2,FALSE),0)</f>
        <v>0</v>
      </c>
      <c r="S541" s="16">
        <f>Table28[[#This Row],[C_DEMAND]]-Table28[[#This Row],[R-DEMAND]]</f>
        <v>0</v>
      </c>
      <c r="T541" s="316">
        <f>Table28[[#This Row],[SEATS SOLD]]*Table28[[#This Row],[ECO SEAT]]</f>
        <v>0</v>
      </c>
      <c r="U541" s="316">
        <f>Table28[[#This Row],[SEATS SOLD]]*(IFERROR(VLOOKUP(Table28[[#This Row],[ROUTE]],PRICING!A:C,3,FALSE),0))</f>
        <v>0</v>
      </c>
      <c r="V541" s="316">
        <f>Table28[[#This Row],[SEAT REV]]-Table28[[#This Row],[SEAT REV
(IF IDEAL $)]]</f>
        <v>0</v>
      </c>
      <c r="AS541" s="16" t="s">
        <v>514</v>
      </c>
      <c r="AT541" s="16" t="s">
        <v>13163</v>
      </c>
      <c r="AU541" s="16" t="s">
        <v>5454</v>
      </c>
      <c r="AV541" s="16" t="s">
        <v>18884</v>
      </c>
      <c r="AW541" s="16" t="s">
        <v>18899</v>
      </c>
      <c r="AX541" s="16" t="s">
        <v>18920</v>
      </c>
      <c r="AY541" s="385">
        <v>13296</v>
      </c>
    </row>
    <row r="542" spans="1:51" x14ac:dyDescent="0.25">
      <c r="A542" s="16" t="s">
        <v>19732</v>
      </c>
      <c r="B542" s="16" t="s">
        <v>880</v>
      </c>
      <c r="D542" s="16">
        <v>1</v>
      </c>
      <c r="E542" s="16" t="s">
        <v>11782</v>
      </c>
      <c r="F542" s="16" t="str">
        <f>VLOOKUP(Table28[[#This Row],[Country]],Table10[[COUNTRY NAME]:[CONTINENT CODE]],3,FALSE)</f>
        <v>AF</v>
      </c>
      <c r="G542" s="16" t="s">
        <v>8261</v>
      </c>
      <c r="H542" s="181">
        <v>14769</v>
      </c>
      <c r="I542" s="180">
        <v>34.5</v>
      </c>
      <c r="K542" s="316">
        <f>IFERROR(Table28[[#This Row],[ROUTE COST]]/Table28[[#This Row],[O - DEMAND]],0)</f>
        <v>0</v>
      </c>
      <c r="M542" s="16">
        <f>Table28[[#This Row],[O - DEMAND]]/950</f>
        <v>0</v>
      </c>
      <c r="N542" s="16">
        <f>IFERROR(VLOOKUP(Table28[[#This Row],[ROUTE]],DEMAND!A:F,5,FALSE),0)</f>
        <v>0</v>
      </c>
      <c r="O542" s="16">
        <f>IFERROR(VLOOKUP(Table28[[#This Row],[ROUTE]],DEMAND!A:F,6,FALSE),0)</f>
        <v>0</v>
      </c>
      <c r="P542" s="16">
        <f>ROUNDDOWN(Table28[[#This Row],[R-DEMAND]]/950,0)</f>
        <v>0</v>
      </c>
      <c r="Q542" s="16">
        <f>Table28[[#This Row],[ADD ACC
(475/950)]]*Table28[[#This Row],[Duration
(A359)]]</f>
        <v>0</v>
      </c>
      <c r="R542" s="16">
        <f>IFERROR(VLOOKUP(Table28[[#This Row],[ROUTE]],PRICING!A:B,2,FALSE),0)</f>
        <v>0</v>
      </c>
      <c r="S542" s="16">
        <f>Table28[[#This Row],[C_DEMAND]]-Table28[[#This Row],[R-DEMAND]]</f>
        <v>0</v>
      </c>
      <c r="T542" s="316">
        <f>Table28[[#This Row],[SEATS SOLD]]*Table28[[#This Row],[ECO SEAT]]</f>
        <v>0</v>
      </c>
      <c r="U542" s="316">
        <f>Table28[[#This Row],[SEATS SOLD]]*(IFERROR(VLOOKUP(Table28[[#This Row],[ROUTE]],PRICING!A:C,3,FALSE),0))</f>
        <v>0</v>
      </c>
      <c r="V542" s="316">
        <f>Table28[[#This Row],[SEAT REV]]-Table28[[#This Row],[SEAT REV
(IF IDEAL $)]]</f>
        <v>0</v>
      </c>
      <c r="AS542" s="16" t="s">
        <v>714</v>
      </c>
      <c r="AT542" s="16" t="s">
        <v>13243</v>
      </c>
      <c r="AU542" s="16" t="s">
        <v>3225</v>
      </c>
      <c r="AV542" s="16" t="s">
        <v>18884</v>
      </c>
      <c r="AW542" s="16" t="s">
        <v>18879</v>
      </c>
      <c r="AX542" s="16" t="s">
        <v>18920</v>
      </c>
      <c r="AY542" s="385">
        <v>13306</v>
      </c>
    </row>
    <row r="543" spans="1:51" x14ac:dyDescent="0.25">
      <c r="A543" s="16" t="s">
        <v>19101</v>
      </c>
      <c r="B543" s="16" t="s">
        <v>149</v>
      </c>
      <c r="C543" s="16" t="s">
        <v>467</v>
      </c>
      <c r="D543" s="16">
        <v>4</v>
      </c>
      <c r="E543" s="16" t="s">
        <v>142</v>
      </c>
      <c r="F543" s="16" t="str">
        <f>VLOOKUP(Table28[[#This Row],[Country]],Table10[[COUNTRY NAME]:[CONTINENT CODE]],3,FALSE)</f>
        <v>AS</v>
      </c>
      <c r="G543" s="16" t="s">
        <v>11054</v>
      </c>
      <c r="H543" s="181">
        <v>7797</v>
      </c>
      <c r="I543" s="180">
        <v>19.25</v>
      </c>
      <c r="K543" s="316">
        <f>IFERROR(Table28[[#This Row],[ROUTE COST]]/Table28[[#This Row],[O - DEMAND]],0)</f>
        <v>0</v>
      </c>
      <c r="M543" s="16">
        <f>Table28[[#This Row],[O - DEMAND]]/950</f>
        <v>0</v>
      </c>
      <c r="N543" s="16">
        <f>IFERROR(VLOOKUP(Table28[[#This Row],[ROUTE]],DEMAND!A:F,5,FALSE),0)</f>
        <v>2453</v>
      </c>
      <c r="O543" s="16">
        <f>IFERROR(VLOOKUP(Table28[[#This Row],[ROUTE]],DEMAND!A:F,6,FALSE),0)</f>
        <v>553</v>
      </c>
      <c r="P543" s="16">
        <f>ROUNDDOWN(Table28[[#This Row],[R-DEMAND]]/950,0)</f>
        <v>0</v>
      </c>
      <c r="Q543" s="16">
        <f>Table28[[#This Row],[ADD ACC
(475/950)]]*Table28[[#This Row],[Duration
(A359)]]</f>
        <v>0</v>
      </c>
      <c r="R543" s="16">
        <f>IFERROR(VLOOKUP(Table28[[#This Row],[ROUTE]],PRICING!A:B,2,FALSE),0)</f>
        <v>0</v>
      </c>
      <c r="S543" s="16">
        <f>Table28[[#This Row],[C_DEMAND]]-Table28[[#This Row],[R-DEMAND]]</f>
        <v>1900</v>
      </c>
      <c r="T543" s="316">
        <f>Table28[[#This Row],[SEATS SOLD]]*Table28[[#This Row],[ECO SEAT]]</f>
        <v>0</v>
      </c>
      <c r="U543" s="316">
        <f>Table28[[#This Row],[SEATS SOLD]]*(IFERROR(VLOOKUP(Table28[[#This Row],[ROUTE]],PRICING!A:C,3,FALSE),0))</f>
        <v>0</v>
      </c>
      <c r="V543" s="316">
        <f>Table28[[#This Row],[SEAT REV]]-Table28[[#This Row],[SEAT REV
(IF IDEAL $)]]</f>
        <v>0</v>
      </c>
      <c r="AS543" s="16" t="s">
        <v>172</v>
      </c>
      <c r="AT543" s="16" t="s">
        <v>7650</v>
      </c>
      <c r="AU543" s="16" t="s">
        <v>1844</v>
      </c>
      <c r="AV543" s="16" t="s">
        <v>18892</v>
      </c>
      <c r="AW543" s="16" t="s">
        <v>18890</v>
      </c>
      <c r="AX543" s="16" t="s">
        <v>18920</v>
      </c>
      <c r="AY543" s="385">
        <v>13311</v>
      </c>
    </row>
    <row r="544" spans="1:51" x14ac:dyDescent="0.25">
      <c r="A544" s="16" t="s">
        <v>19095</v>
      </c>
      <c r="B544" s="16" t="s">
        <v>5108</v>
      </c>
      <c r="C544" s="16" t="s">
        <v>467</v>
      </c>
      <c r="D544" s="16">
        <v>3</v>
      </c>
      <c r="E544" s="16" t="s">
        <v>142</v>
      </c>
      <c r="F544" s="16" t="str">
        <f>VLOOKUP(Table28[[#This Row],[Country]],Table10[[COUNTRY NAME]:[CONTINENT CODE]],3,FALSE)</f>
        <v>AS</v>
      </c>
      <c r="G544" s="16" t="s">
        <v>5107</v>
      </c>
      <c r="H544" s="181">
        <v>7761</v>
      </c>
      <c r="I544" s="180">
        <v>19.25</v>
      </c>
      <c r="K544" s="316">
        <f>IFERROR(Table28[[#This Row],[ROUTE COST]]/Table28[[#This Row],[O - DEMAND]],0)</f>
        <v>0</v>
      </c>
      <c r="M544" s="16">
        <f>Table28[[#This Row],[O - DEMAND]]/950</f>
        <v>0</v>
      </c>
      <c r="N544" s="16">
        <f>IFERROR(VLOOKUP(Table28[[#This Row],[ROUTE]],DEMAND!A:F,5,FALSE),0)</f>
        <v>2098</v>
      </c>
      <c r="O544" s="16">
        <f>IFERROR(VLOOKUP(Table28[[#This Row],[ROUTE]],DEMAND!A:F,6,FALSE),0)</f>
        <v>198</v>
      </c>
      <c r="P544" s="16">
        <f>ROUNDDOWN(Table28[[#This Row],[R-DEMAND]]/950,0)</f>
        <v>0</v>
      </c>
      <c r="Q544" s="16">
        <f>Table28[[#This Row],[ADD ACC
(475/950)]]*Table28[[#This Row],[Duration
(A359)]]</f>
        <v>0</v>
      </c>
      <c r="R544" s="16">
        <f>IFERROR(VLOOKUP(Table28[[#This Row],[ROUTE]],PRICING!A:B,2,FALSE),0)</f>
        <v>0</v>
      </c>
      <c r="S544" s="16">
        <f>Table28[[#This Row],[C_DEMAND]]-Table28[[#This Row],[R-DEMAND]]</f>
        <v>1900</v>
      </c>
      <c r="T544" s="316">
        <f>Table28[[#This Row],[SEATS SOLD]]*Table28[[#This Row],[ECO SEAT]]</f>
        <v>0</v>
      </c>
      <c r="U544" s="316">
        <f>Table28[[#This Row],[SEATS SOLD]]*(IFERROR(VLOOKUP(Table28[[#This Row],[ROUTE]],PRICING!A:C,3,FALSE),0))</f>
        <v>0</v>
      </c>
      <c r="V544" s="316">
        <f>Table28[[#This Row],[SEAT REV]]-Table28[[#This Row],[SEAT REV
(IF IDEAL $)]]</f>
        <v>0</v>
      </c>
      <c r="AS544" s="16" t="s">
        <v>172</v>
      </c>
      <c r="AT544" s="16" t="s">
        <v>11075</v>
      </c>
      <c r="AU544" s="16" t="s">
        <v>5639</v>
      </c>
      <c r="AV544" s="16" t="s">
        <v>18884</v>
      </c>
      <c r="AW544" s="16" t="s">
        <v>18899</v>
      </c>
      <c r="AX544" s="16" t="s">
        <v>18920</v>
      </c>
      <c r="AY544" s="385">
        <v>13313</v>
      </c>
    </row>
    <row r="545" spans="1:51" x14ac:dyDescent="0.25">
      <c r="A545" s="16" t="s">
        <v>19407</v>
      </c>
      <c r="B545" s="16" t="s">
        <v>3755</v>
      </c>
      <c r="D545" s="16">
        <v>2</v>
      </c>
      <c r="E545" s="16" t="s">
        <v>78</v>
      </c>
      <c r="F545" s="16" t="str">
        <f>VLOOKUP(Table28[[#This Row],[Country]],Table10[[COUNTRY NAME]:[CONTINENT CODE]],3,FALSE)</f>
        <v>EU</v>
      </c>
      <c r="G545" s="16" t="s">
        <v>8243</v>
      </c>
      <c r="H545" s="181">
        <v>12507</v>
      </c>
      <c r="I545" s="180">
        <v>29.5</v>
      </c>
      <c r="K545" s="316">
        <f>IFERROR(Table28[[#This Row],[ROUTE COST]]/Table28[[#This Row],[O - DEMAND]],0)</f>
        <v>0</v>
      </c>
      <c r="M545" s="16">
        <f>Table28[[#This Row],[O - DEMAND]]/950</f>
        <v>0</v>
      </c>
      <c r="N545" s="16">
        <f>IFERROR(VLOOKUP(Table28[[#This Row],[ROUTE]],DEMAND!A:F,5,FALSE),0)</f>
        <v>0</v>
      </c>
      <c r="O545" s="16">
        <f>IFERROR(VLOOKUP(Table28[[#This Row],[ROUTE]],DEMAND!A:F,6,FALSE),0)</f>
        <v>0</v>
      </c>
      <c r="P545" s="16">
        <f>ROUNDDOWN(Table28[[#This Row],[R-DEMAND]]/950,0)</f>
        <v>0</v>
      </c>
      <c r="Q545" s="16">
        <f>Table28[[#This Row],[ADD ACC
(475/950)]]*Table28[[#This Row],[Duration
(A359)]]</f>
        <v>0</v>
      </c>
      <c r="R545" s="16">
        <f>IFERROR(VLOOKUP(Table28[[#This Row],[ROUTE]],PRICING!A:B,2,FALSE),0)</f>
        <v>0</v>
      </c>
      <c r="S545" s="16">
        <f>Table28[[#This Row],[C_DEMAND]]-Table28[[#This Row],[R-DEMAND]]</f>
        <v>0</v>
      </c>
      <c r="T545" s="316">
        <f>Table28[[#This Row],[SEATS SOLD]]*Table28[[#This Row],[ECO SEAT]]</f>
        <v>0</v>
      </c>
      <c r="U545" s="316">
        <f>Table28[[#This Row],[SEATS SOLD]]*(IFERROR(VLOOKUP(Table28[[#This Row],[ROUTE]],PRICING!A:C,3,FALSE),0))</f>
        <v>0</v>
      </c>
      <c r="V545" s="316">
        <f>Table28[[#This Row],[SEAT REV]]-Table28[[#This Row],[SEAT REV
(IF IDEAL $)]]</f>
        <v>0</v>
      </c>
      <c r="AS545" s="16" t="s">
        <v>11732</v>
      </c>
      <c r="AT545" s="16" t="s">
        <v>13304</v>
      </c>
      <c r="AU545" s="16" t="s">
        <v>4473</v>
      </c>
      <c r="AV545" s="16" t="s">
        <v>18892</v>
      </c>
      <c r="AW545" s="16" t="s">
        <v>18879</v>
      </c>
      <c r="AX545" s="16" t="s">
        <v>18920</v>
      </c>
      <c r="AY545" s="385">
        <v>13323</v>
      </c>
    </row>
    <row r="546" spans="1:51" x14ac:dyDescent="0.25">
      <c r="A546" s="16" t="s">
        <v>19122</v>
      </c>
      <c r="B546" s="16" t="s">
        <v>147</v>
      </c>
      <c r="C546" s="16" t="s">
        <v>467</v>
      </c>
      <c r="D546" s="16">
        <v>4</v>
      </c>
      <c r="E546" s="16" t="s">
        <v>14</v>
      </c>
      <c r="F546" s="16" t="str">
        <f>VLOOKUP(Table28[[#This Row],[Country]],Table10[[COUNTRY NAME]:[CONTINENT CODE]],3,FALSE)</f>
        <v>AS</v>
      </c>
      <c r="G546" s="16" t="s">
        <v>146</v>
      </c>
      <c r="H546" s="181">
        <v>8079</v>
      </c>
      <c r="I546" s="180">
        <v>19.75</v>
      </c>
      <c r="K546" s="316">
        <f>IFERROR(Table28[[#This Row],[ROUTE COST]]/Table28[[#This Row],[O - DEMAND]],0)</f>
        <v>0</v>
      </c>
      <c r="M546" s="16">
        <f>Table28[[#This Row],[O - DEMAND]]/950</f>
        <v>0</v>
      </c>
      <c r="N546" s="16">
        <f>IFERROR(VLOOKUP(Table28[[#This Row],[ROUTE]],DEMAND!A:F,5,FALSE),0)</f>
        <v>2996</v>
      </c>
      <c r="O546" s="16">
        <f>IFERROR(VLOOKUP(Table28[[#This Row],[ROUTE]],DEMAND!A:F,6,FALSE),0)</f>
        <v>146</v>
      </c>
      <c r="P546" s="16">
        <f>ROUNDDOWN(Table28[[#This Row],[R-DEMAND]]/950,0)</f>
        <v>0</v>
      </c>
      <c r="Q546" s="16">
        <f>Table28[[#This Row],[ADD ACC
(475/950)]]*Table28[[#This Row],[Duration
(A359)]]</f>
        <v>0</v>
      </c>
      <c r="R546" s="16">
        <f>IFERROR(VLOOKUP(Table28[[#This Row],[ROUTE]],PRICING!A:B,2,FALSE),0)</f>
        <v>0</v>
      </c>
      <c r="S546" s="16">
        <f>Table28[[#This Row],[C_DEMAND]]-Table28[[#This Row],[R-DEMAND]]</f>
        <v>2850</v>
      </c>
      <c r="T546" s="316">
        <f>Table28[[#This Row],[SEATS SOLD]]*Table28[[#This Row],[ECO SEAT]]</f>
        <v>0</v>
      </c>
      <c r="U546" s="316">
        <f>Table28[[#This Row],[SEATS SOLD]]*(IFERROR(VLOOKUP(Table28[[#This Row],[ROUTE]],PRICING!A:C,3,FALSE),0))</f>
        <v>0</v>
      </c>
      <c r="V546" s="316">
        <f>Table28[[#This Row],[SEAT REV]]-Table28[[#This Row],[SEAT REV
(IF IDEAL $)]]</f>
        <v>0</v>
      </c>
      <c r="AS546" s="16" t="s">
        <v>78</v>
      </c>
      <c r="AT546" s="16" t="s">
        <v>6880</v>
      </c>
      <c r="AU546" s="16" t="s">
        <v>4685</v>
      </c>
      <c r="AV546" s="16" t="s">
        <v>18884</v>
      </c>
      <c r="AW546" s="16" t="s">
        <v>18879</v>
      </c>
      <c r="AX546" s="16" t="s">
        <v>18929</v>
      </c>
      <c r="AY546" s="385">
        <v>13342</v>
      </c>
    </row>
    <row r="547" spans="1:51" x14ac:dyDescent="0.25">
      <c r="A547" s="16" t="s">
        <v>19096</v>
      </c>
      <c r="B547" s="16" t="s">
        <v>5319</v>
      </c>
      <c r="E547" s="16" t="s">
        <v>14</v>
      </c>
      <c r="F547" s="16" t="str">
        <f>VLOOKUP(Table28[[#This Row],[Country]],Table10[[COUNTRY NAME]:[CONTINENT CODE]],3,FALSE)</f>
        <v>AS</v>
      </c>
      <c r="G547" s="16" t="s">
        <v>18115</v>
      </c>
      <c r="H547" s="181">
        <v>7763</v>
      </c>
      <c r="I547" s="180">
        <v>19.25</v>
      </c>
      <c r="K547" s="316">
        <f>IFERROR(Table28[[#This Row],[ROUTE COST]]/Table28[[#This Row],[O - DEMAND]],0)</f>
        <v>0</v>
      </c>
      <c r="M547" s="16">
        <f>Table28[[#This Row],[O - DEMAND]]/950</f>
        <v>0</v>
      </c>
      <c r="N547" s="16">
        <f>IFERROR(VLOOKUP(Table28[[#This Row],[ROUTE]],DEMAND!A:F,5,FALSE),0)</f>
        <v>0</v>
      </c>
      <c r="O547" s="16">
        <f>IFERROR(VLOOKUP(Table28[[#This Row],[ROUTE]],DEMAND!A:F,6,FALSE),0)</f>
        <v>0</v>
      </c>
      <c r="P547" s="16">
        <f>ROUNDDOWN(Table28[[#This Row],[R-DEMAND]]/950,0)</f>
        <v>0</v>
      </c>
      <c r="Q547" s="16">
        <f>Table28[[#This Row],[ADD ACC
(475/950)]]*Table28[[#This Row],[Duration
(A359)]]</f>
        <v>0</v>
      </c>
      <c r="R547" s="16">
        <f>IFERROR(VLOOKUP(Table28[[#This Row],[ROUTE]],PRICING!A:B,2,FALSE),0)</f>
        <v>0</v>
      </c>
      <c r="S547" s="16">
        <f>Table28[[#This Row],[C_DEMAND]]-Table28[[#This Row],[R-DEMAND]]</f>
        <v>0</v>
      </c>
      <c r="T547" s="316">
        <f>Table28[[#This Row],[SEATS SOLD]]*Table28[[#This Row],[ECO SEAT]]</f>
        <v>0</v>
      </c>
      <c r="U547" s="316">
        <f>Table28[[#This Row],[SEATS SOLD]]*(IFERROR(VLOOKUP(Table28[[#This Row],[ROUTE]],PRICING!A:C,3,FALSE),0))</f>
        <v>0</v>
      </c>
      <c r="V547" s="316">
        <f>Table28[[#This Row],[SEAT REV]]-Table28[[#This Row],[SEAT REV
(IF IDEAL $)]]</f>
        <v>0</v>
      </c>
      <c r="AS547" s="16" t="s">
        <v>2293</v>
      </c>
      <c r="AT547" s="16" t="s">
        <v>13202</v>
      </c>
      <c r="AU547" s="16" t="s">
        <v>5225</v>
      </c>
      <c r="AV547" s="16" t="s">
        <v>18892</v>
      </c>
      <c r="AW547" s="16" t="s">
        <v>18885</v>
      </c>
      <c r="AX547" s="16" t="s">
        <v>18929</v>
      </c>
      <c r="AY547" s="385">
        <v>13347</v>
      </c>
    </row>
    <row r="548" spans="1:51" x14ac:dyDescent="0.25">
      <c r="A548" s="16" t="s">
        <v>19434</v>
      </c>
      <c r="B548" s="16" t="s">
        <v>2704</v>
      </c>
      <c r="D548" s="16">
        <v>2</v>
      </c>
      <c r="E548" s="16" t="s">
        <v>78</v>
      </c>
      <c r="F548" s="16" t="str">
        <f>VLOOKUP(Table28[[#This Row],[Country]],Table10[[COUNTRY NAME]:[CONTINENT CODE]],3,FALSE)</f>
        <v>EU</v>
      </c>
      <c r="G548" s="16" t="s">
        <v>16865</v>
      </c>
      <c r="H548" s="181">
        <v>12683</v>
      </c>
      <c r="I548" s="180">
        <v>30</v>
      </c>
      <c r="K548" s="316">
        <f>IFERROR(Table28[[#This Row],[ROUTE COST]]/Table28[[#This Row],[O - DEMAND]],0)</f>
        <v>0</v>
      </c>
      <c r="M548" s="16">
        <f>Table28[[#This Row],[O - DEMAND]]/950</f>
        <v>0</v>
      </c>
      <c r="N548" s="16">
        <f>IFERROR(VLOOKUP(Table28[[#This Row],[ROUTE]],DEMAND!A:F,5,FALSE),0)</f>
        <v>0</v>
      </c>
      <c r="O548" s="16">
        <f>IFERROR(VLOOKUP(Table28[[#This Row],[ROUTE]],DEMAND!A:F,6,FALSE),0)</f>
        <v>0</v>
      </c>
      <c r="P548" s="16">
        <f>ROUNDDOWN(Table28[[#This Row],[R-DEMAND]]/950,0)</f>
        <v>0</v>
      </c>
      <c r="Q548" s="16">
        <f>Table28[[#This Row],[ADD ACC
(475/950)]]*Table28[[#This Row],[Duration
(A359)]]</f>
        <v>0</v>
      </c>
      <c r="R548" s="16">
        <f>IFERROR(VLOOKUP(Table28[[#This Row],[ROUTE]],PRICING!A:B,2,FALSE),0)</f>
        <v>0</v>
      </c>
      <c r="S548" s="16">
        <f>Table28[[#This Row],[C_DEMAND]]-Table28[[#This Row],[R-DEMAND]]</f>
        <v>0</v>
      </c>
      <c r="T548" s="316">
        <f>Table28[[#This Row],[SEATS SOLD]]*Table28[[#This Row],[ECO SEAT]]</f>
        <v>0</v>
      </c>
      <c r="U548" s="316">
        <f>Table28[[#This Row],[SEATS SOLD]]*(IFERROR(VLOOKUP(Table28[[#This Row],[ROUTE]],PRICING!A:C,3,FALSE),0))</f>
        <v>0</v>
      </c>
      <c r="V548" s="316">
        <f>Table28[[#This Row],[SEAT REV]]-Table28[[#This Row],[SEAT REV
(IF IDEAL $)]]</f>
        <v>0</v>
      </c>
      <c r="AS548" s="16" t="s">
        <v>588</v>
      </c>
      <c r="AT548" s="16" t="s">
        <v>9615</v>
      </c>
      <c r="AU548" s="16" t="s">
        <v>590</v>
      </c>
      <c r="AV548" s="16" t="s">
        <v>18892</v>
      </c>
      <c r="AW548" s="16" t="s">
        <v>18890</v>
      </c>
      <c r="AX548" s="16" t="s">
        <v>18929</v>
      </c>
      <c r="AY548" s="385">
        <v>13354</v>
      </c>
    </row>
    <row r="549" spans="1:51" x14ac:dyDescent="0.25">
      <c r="A549" s="16" t="s">
        <v>19004</v>
      </c>
      <c r="B549" s="16" t="s">
        <v>4032</v>
      </c>
      <c r="C549" s="16" t="s">
        <v>467</v>
      </c>
      <c r="D549" s="16">
        <v>2</v>
      </c>
      <c r="E549" s="16" t="s">
        <v>523</v>
      </c>
      <c r="F549" s="16" t="str">
        <f>VLOOKUP(Table28[[#This Row],[Country]],Table10[[COUNTRY NAME]:[CONTINENT CODE]],3,FALSE)</f>
        <v>OC</v>
      </c>
      <c r="G549" s="16" t="s">
        <v>11972</v>
      </c>
      <c r="H549" s="181">
        <v>1981</v>
      </c>
      <c r="I549" s="180">
        <v>6.5</v>
      </c>
      <c r="K549" s="316">
        <f>IFERROR(Table28[[#This Row],[ROUTE COST]]/Table28[[#This Row],[O - DEMAND]],0)</f>
        <v>0</v>
      </c>
      <c r="M549" s="16">
        <f>Table28[[#This Row],[O - DEMAND]]/950</f>
        <v>0</v>
      </c>
      <c r="N549" s="16">
        <f>IFERROR(VLOOKUP(Table28[[#This Row],[ROUTE]],DEMAND!A:F,5,FALSE),0)</f>
        <v>2316</v>
      </c>
      <c r="O549" s="16">
        <f>IFERROR(VLOOKUP(Table28[[#This Row],[ROUTE]],DEMAND!A:F,6,FALSE),0)</f>
        <v>416</v>
      </c>
      <c r="P549" s="16">
        <f>ROUNDDOWN(Table28[[#This Row],[R-DEMAND]]/950,0)</f>
        <v>0</v>
      </c>
      <c r="Q549" s="16">
        <f>Table28[[#This Row],[ADD ACC
(475/950)]]*Table28[[#This Row],[Duration
(A359)]]</f>
        <v>0</v>
      </c>
      <c r="R549" s="16">
        <f>IFERROR(VLOOKUP(Table28[[#This Row],[ROUTE]],PRICING!A:B,2,FALSE),0)</f>
        <v>0</v>
      </c>
      <c r="S549" s="16">
        <f>Table28[[#This Row],[C_DEMAND]]-Table28[[#This Row],[R-DEMAND]]</f>
        <v>1900</v>
      </c>
      <c r="T549" s="316">
        <f>Table28[[#This Row],[SEATS SOLD]]*Table28[[#This Row],[ECO SEAT]]</f>
        <v>0</v>
      </c>
      <c r="U549" s="316">
        <f>Table28[[#This Row],[SEATS SOLD]]*(IFERROR(VLOOKUP(Table28[[#This Row],[ROUTE]],PRICING!A:C,3,FALSE),0))</f>
        <v>0</v>
      </c>
      <c r="V549" s="316">
        <f>Table28[[#This Row],[SEAT REV]]-Table28[[#This Row],[SEAT REV
(IF IDEAL $)]]</f>
        <v>0</v>
      </c>
      <c r="AS549" s="16" t="s">
        <v>11732</v>
      </c>
      <c r="AT549" s="16" t="s">
        <v>16988</v>
      </c>
      <c r="AU549" s="16" t="s">
        <v>3321</v>
      </c>
      <c r="AV549" s="16" t="s">
        <v>18878</v>
      </c>
      <c r="AX549" s="16" t="s">
        <v>18929</v>
      </c>
      <c r="AY549" s="385">
        <v>13362</v>
      </c>
    </row>
    <row r="550" spans="1:51" x14ac:dyDescent="0.25">
      <c r="A550" s="16" t="s">
        <v>19487</v>
      </c>
      <c r="B550" s="16" t="s">
        <v>2425</v>
      </c>
      <c r="D550" s="16">
        <v>1</v>
      </c>
      <c r="E550" s="16" t="s">
        <v>644</v>
      </c>
      <c r="F550" s="16" t="str">
        <f>VLOOKUP(Table28[[#This Row],[Country]],Table10[[COUNTRY NAME]:[CONTINENT CODE]],3,FALSE)</f>
        <v>AF</v>
      </c>
      <c r="G550" s="16" t="s">
        <v>16869</v>
      </c>
      <c r="H550" s="181">
        <v>13001</v>
      </c>
      <c r="I550" s="180">
        <v>30.75</v>
      </c>
      <c r="K550" s="316">
        <f>IFERROR(Table28[[#This Row],[ROUTE COST]]/Table28[[#This Row],[O - DEMAND]],0)</f>
        <v>0</v>
      </c>
      <c r="M550" s="16">
        <f>Table28[[#This Row],[O - DEMAND]]/950</f>
        <v>0</v>
      </c>
      <c r="N550" s="16">
        <f>IFERROR(VLOOKUP(Table28[[#This Row],[ROUTE]],DEMAND!A:F,5,FALSE),0)</f>
        <v>0</v>
      </c>
      <c r="O550" s="16">
        <f>IFERROR(VLOOKUP(Table28[[#This Row],[ROUTE]],DEMAND!A:F,6,FALSE),0)</f>
        <v>0</v>
      </c>
      <c r="P550" s="16">
        <f>ROUNDDOWN(Table28[[#This Row],[R-DEMAND]]/950,0)</f>
        <v>0</v>
      </c>
      <c r="Q550" s="16">
        <f>Table28[[#This Row],[ADD ACC
(475/950)]]*Table28[[#This Row],[Duration
(A359)]]</f>
        <v>0</v>
      </c>
      <c r="R550" s="16">
        <f>IFERROR(VLOOKUP(Table28[[#This Row],[ROUTE]],PRICING!A:B,2,FALSE),0)</f>
        <v>0</v>
      </c>
      <c r="S550" s="16">
        <f>Table28[[#This Row],[C_DEMAND]]-Table28[[#This Row],[R-DEMAND]]</f>
        <v>0</v>
      </c>
      <c r="T550" s="316">
        <f>Table28[[#This Row],[SEATS SOLD]]*Table28[[#This Row],[ECO SEAT]]</f>
        <v>0</v>
      </c>
      <c r="U550" s="316">
        <f>Table28[[#This Row],[SEATS SOLD]]*(IFERROR(VLOOKUP(Table28[[#This Row],[ROUTE]],PRICING!A:C,3,FALSE),0))</f>
        <v>0</v>
      </c>
      <c r="V550" s="316">
        <f>Table28[[#This Row],[SEAT REV]]-Table28[[#This Row],[SEAT REV
(IF IDEAL $)]]</f>
        <v>0</v>
      </c>
      <c r="AS550" s="16" t="s">
        <v>172</v>
      </c>
      <c r="AT550" s="16" t="s">
        <v>9572</v>
      </c>
      <c r="AU550" s="16" t="s">
        <v>3906</v>
      </c>
      <c r="AV550" s="16" t="s">
        <v>18884</v>
      </c>
      <c r="AW550" s="16" t="s">
        <v>18879</v>
      </c>
      <c r="AX550" s="16" t="s">
        <v>18929</v>
      </c>
      <c r="AY550" s="385">
        <v>13368</v>
      </c>
    </row>
    <row r="551" spans="1:51" x14ac:dyDescent="0.25">
      <c r="A551" s="16" t="s">
        <v>19274</v>
      </c>
      <c r="B551" s="16" t="s">
        <v>4243</v>
      </c>
      <c r="D551" s="16">
        <v>2</v>
      </c>
      <c r="E551" s="16" t="s">
        <v>11669</v>
      </c>
      <c r="F551" s="16" t="str">
        <f>VLOOKUP(Table28[[#This Row],[Country]],Table10[[COUNTRY NAME]:[CONTINENT CODE]],3,FALSE)</f>
        <v>SA</v>
      </c>
      <c r="G551" s="16" t="s">
        <v>16934</v>
      </c>
      <c r="H551" s="181">
        <v>10956</v>
      </c>
      <c r="I551" s="180">
        <v>26.25</v>
      </c>
      <c r="K551" s="316">
        <f>IFERROR(Table28[[#This Row],[ROUTE COST]]/Table28[[#This Row],[O - DEMAND]],0)</f>
        <v>0</v>
      </c>
      <c r="M551" s="16">
        <f>Table28[[#This Row],[O - DEMAND]]/950</f>
        <v>0</v>
      </c>
      <c r="N551" s="16">
        <f>IFERROR(VLOOKUP(Table28[[#This Row],[ROUTE]],DEMAND!A:F,5,FALSE),0)</f>
        <v>0</v>
      </c>
      <c r="O551" s="16">
        <f>IFERROR(VLOOKUP(Table28[[#This Row],[ROUTE]],DEMAND!A:F,6,FALSE),0)</f>
        <v>0</v>
      </c>
      <c r="P551" s="16">
        <f>ROUNDDOWN(Table28[[#This Row],[R-DEMAND]]/950,0)</f>
        <v>0</v>
      </c>
      <c r="Q551" s="16">
        <f>Table28[[#This Row],[ADD ACC
(475/950)]]*Table28[[#This Row],[Duration
(A359)]]</f>
        <v>0</v>
      </c>
      <c r="R551" s="16">
        <f>IFERROR(VLOOKUP(Table28[[#This Row],[ROUTE]],PRICING!A:B,2,FALSE),0)</f>
        <v>0</v>
      </c>
      <c r="S551" s="16">
        <f>Table28[[#This Row],[C_DEMAND]]-Table28[[#This Row],[R-DEMAND]]</f>
        <v>0</v>
      </c>
      <c r="T551" s="316">
        <f>Table28[[#This Row],[SEATS SOLD]]*Table28[[#This Row],[ECO SEAT]]</f>
        <v>0</v>
      </c>
      <c r="U551" s="316">
        <f>Table28[[#This Row],[SEATS SOLD]]*(IFERROR(VLOOKUP(Table28[[#This Row],[ROUTE]],PRICING!A:C,3,FALSE),0))</f>
        <v>0</v>
      </c>
      <c r="V551" s="316">
        <f>Table28[[#This Row],[SEAT REV]]-Table28[[#This Row],[SEAT REV
(IF IDEAL $)]]</f>
        <v>0</v>
      </c>
      <c r="AS551" s="16" t="s">
        <v>2293</v>
      </c>
      <c r="AT551" s="16" t="s">
        <v>13200</v>
      </c>
      <c r="AU551" s="16" t="s">
        <v>3595</v>
      </c>
      <c r="AV551" s="16" t="s">
        <v>18892</v>
      </c>
      <c r="AW551" s="16" t="s">
        <v>18879</v>
      </c>
      <c r="AX551" s="16" t="s">
        <v>18929</v>
      </c>
      <c r="AY551" s="385">
        <v>13369</v>
      </c>
    </row>
    <row r="552" spans="1:51" x14ac:dyDescent="0.25">
      <c r="A552" s="16" t="s">
        <v>19105</v>
      </c>
      <c r="B552" s="16" t="s">
        <v>145</v>
      </c>
      <c r="C552" s="16" t="s">
        <v>467</v>
      </c>
      <c r="D552" s="16">
        <v>5</v>
      </c>
      <c r="E552" s="16" t="s">
        <v>142</v>
      </c>
      <c r="F552" s="16" t="str">
        <f>VLOOKUP(Table28[[#This Row],[Country]],Table10[[COUNTRY NAME]:[CONTINENT CODE]],3,FALSE)</f>
        <v>AS</v>
      </c>
      <c r="G552" s="16" t="s">
        <v>144</v>
      </c>
      <c r="H552" s="181">
        <v>7834</v>
      </c>
      <c r="I552" s="180">
        <v>19.25</v>
      </c>
      <c r="K552" s="316">
        <f>IFERROR(Table28[[#This Row],[ROUTE COST]]/Table28[[#This Row],[O - DEMAND]],0)</f>
        <v>0</v>
      </c>
      <c r="M552" s="16">
        <f>Table28[[#This Row],[O - DEMAND]]/950</f>
        <v>0</v>
      </c>
      <c r="N552" s="16">
        <f>IFERROR(VLOOKUP(Table28[[#This Row],[ROUTE]],DEMAND!A:F,5,FALSE),0)</f>
        <v>2762</v>
      </c>
      <c r="O552" s="16">
        <f>IFERROR(VLOOKUP(Table28[[#This Row],[ROUTE]],DEMAND!A:F,6,FALSE),0)</f>
        <v>862</v>
      </c>
      <c r="P552" s="16">
        <f>ROUNDDOWN(Table28[[#This Row],[R-DEMAND]]/950,0)</f>
        <v>0</v>
      </c>
      <c r="Q552" s="16">
        <f>Table28[[#This Row],[ADD ACC
(475/950)]]*Table28[[#This Row],[Duration
(A359)]]</f>
        <v>0</v>
      </c>
      <c r="R552" s="16">
        <f>IFERROR(VLOOKUP(Table28[[#This Row],[ROUTE]],PRICING!A:B,2,FALSE),0)</f>
        <v>0</v>
      </c>
      <c r="S552" s="16">
        <f>Table28[[#This Row],[C_DEMAND]]-Table28[[#This Row],[R-DEMAND]]</f>
        <v>1900</v>
      </c>
      <c r="T552" s="316">
        <f>Table28[[#This Row],[SEATS SOLD]]*Table28[[#This Row],[ECO SEAT]]</f>
        <v>0</v>
      </c>
      <c r="U552" s="316">
        <f>Table28[[#This Row],[SEATS SOLD]]*(IFERROR(VLOOKUP(Table28[[#This Row],[ROUTE]],PRICING!A:C,3,FALSE),0))</f>
        <v>0</v>
      </c>
      <c r="V552" s="316">
        <f>Table28[[#This Row],[SEAT REV]]-Table28[[#This Row],[SEAT REV
(IF IDEAL $)]]</f>
        <v>0</v>
      </c>
      <c r="AS552" s="16" t="s">
        <v>517</v>
      </c>
      <c r="AT552" s="16" t="s">
        <v>15110</v>
      </c>
      <c r="AU552" s="16" t="s">
        <v>298</v>
      </c>
      <c r="AV552" s="16" t="s">
        <v>18884</v>
      </c>
      <c r="AW552" s="16" t="s">
        <v>18918</v>
      </c>
      <c r="AX552" s="16" t="s">
        <v>18929</v>
      </c>
      <c r="AY552" s="385">
        <v>13371</v>
      </c>
    </row>
    <row r="553" spans="1:51" x14ac:dyDescent="0.25">
      <c r="A553" s="16" t="s">
        <v>19719</v>
      </c>
      <c r="B553" s="16" t="s">
        <v>3361</v>
      </c>
      <c r="C553" s="16" t="s">
        <v>467</v>
      </c>
      <c r="D553" s="16">
        <v>2</v>
      </c>
      <c r="E553" s="16" t="s">
        <v>11782</v>
      </c>
      <c r="F553" s="16" t="str">
        <f>VLOOKUP(Table28[[#This Row],[Country]],Table10[[COUNTRY NAME]:[CONTINENT CODE]],3,FALSE)</f>
        <v>AF</v>
      </c>
      <c r="G553" s="16" t="s">
        <v>11796</v>
      </c>
      <c r="H553" s="181">
        <v>14662</v>
      </c>
      <c r="I553" s="180">
        <v>34.25</v>
      </c>
      <c r="K553" s="316">
        <f>IFERROR(Table28[[#This Row],[ROUTE COST]]/Table28[[#This Row],[O - DEMAND]],0)</f>
        <v>0</v>
      </c>
      <c r="M553" s="16">
        <f>Table28[[#This Row],[O - DEMAND]]/950</f>
        <v>0</v>
      </c>
      <c r="N553" s="16">
        <f>IFERROR(VLOOKUP(Table28[[#This Row],[ROUTE]],DEMAND!A:F,5,FALSE),0)</f>
        <v>2645</v>
      </c>
      <c r="O553" s="16">
        <f>IFERROR(VLOOKUP(Table28[[#This Row],[ROUTE]],DEMAND!A:F,6,FALSE),0)</f>
        <v>745</v>
      </c>
      <c r="P553" s="16">
        <f>ROUNDDOWN(Table28[[#This Row],[R-DEMAND]]/950,0)</f>
        <v>0</v>
      </c>
      <c r="Q553" s="16">
        <f>Table28[[#This Row],[ADD ACC
(475/950)]]*Table28[[#This Row],[Duration
(A359)]]</f>
        <v>0</v>
      </c>
      <c r="R553" s="16">
        <f>IFERROR(VLOOKUP(Table28[[#This Row],[ROUTE]],PRICING!A:B,2,FALSE),0)</f>
        <v>0</v>
      </c>
      <c r="S553" s="16">
        <f>Table28[[#This Row],[C_DEMAND]]-Table28[[#This Row],[R-DEMAND]]</f>
        <v>1900</v>
      </c>
      <c r="T553" s="316">
        <f>Table28[[#This Row],[SEATS SOLD]]*Table28[[#This Row],[ECO SEAT]]</f>
        <v>0</v>
      </c>
      <c r="U553" s="316">
        <f>Table28[[#This Row],[SEATS SOLD]]*(IFERROR(VLOOKUP(Table28[[#This Row],[ROUTE]],PRICING!A:C,3,FALSE),0))</f>
        <v>0</v>
      </c>
      <c r="V553" s="316">
        <f>Table28[[#This Row],[SEAT REV]]-Table28[[#This Row],[SEAT REV
(IF IDEAL $)]]</f>
        <v>0</v>
      </c>
      <c r="AS553" s="16" t="s">
        <v>11732</v>
      </c>
      <c r="AT553" s="16" t="s">
        <v>13270</v>
      </c>
      <c r="AU553" s="16" t="s">
        <v>4424</v>
      </c>
      <c r="AV553" s="16" t="s">
        <v>18881</v>
      </c>
      <c r="AW553" s="16" t="s">
        <v>18879</v>
      </c>
      <c r="AX553" s="16" t="s">
        <v>18929</v>
      </c>
      <c r="AY553" s="385">
        <v>13373</v>
      </c>
    </row>
    <row r="554" spans="1:51" x14ac:dyDescent="0.25">
      <c r="A554" s="16" t="s">
        <v>19420</v>
      </c>
      <c r="B554" s="16" t="s">
        <v>3876</v>
      </c>
      <c r="D554" s="16">
        <v>2</v>
      </c>
      <c r="E554" s="16" t="s">
        <v>78</v>
      </c>
      <c r="F554" s="16" t="str">
        <f>VLOOKUP(Table28[[#This Row],[Country]],Table10[[COUNTRY NAME]:[CONTINENT CODE]],3,FALSE)</f>
        <v>EU</v>
      </c>
      <c r="G554" s="16" t="s">
        <v>11895</v>
      </c>
      <c r="H554" s="181">
        <v>12585</v>
      </c>
      <c r="I554" s="180">
        <v>29.75</v>
      </c>
      <c r="K554" s="316">
        <f>IFERROR(Table28[[#This Row],[ROUTE COST]]/Table28[[#This Row],[O - DEMAND]],0)</f>
        <v>0</v>
      </c>
      <c r="M554" s="16">
        <f>Table28[[#This Row],[O - DEMAND]]/950</f>
        <v>0</v>
      </c>
      <c r="N554" s="16">
        <f>IFERROR(VLOOKUP(Table28[[#This Row],[ROUTE]],DEMAND!A:F,5,FALSE),0)</f>
        <v>0</v>
      </c>
      <c r="O554" s="16">
        <f>IFERROR(VLOOKUP(Table28[[#This Row],[ROUTE]],DEMAND!A:F,6,FALSE),0)</f>
        <v>0</v>
      </c>
      <c r="P554" s="16">
        <f>ROUNDDOWN(Table28[[#This Row],[R-DEMAND]]/950,0)</f>
        <v>0</v>
      </c>
      <c r="Q554" s="16">
        <f>Table28[[#This Row],[ADD ACC
(475/950)]]*Table28[[#This Row],[Duration
(A359)]]</f>
        <v>0</v>
      </c>
      <c r="R554" s="16">
        <f>IFERROR(VLOOKUP(Table28[[#This Row],[ROUTE]],PRICING!A:B,2,FALSE),0)</f>
        <v>0</v>
      </c>
      <c r="S554" s="16">
        <f>Table28[[#This Row],[C_DEMAND]]-Table28[[#This Row],[R-DEMAND]]</f>
        <v>0</v>
      </c>
      <c r="T554" s="316">
        <f>Table28[[#This Row],[SEATS SOLD]]*Table28[[#This Row],[ECO SEAT]]</f>
        <v>0</v>
      </c>
      <c r="U554" s="316">
        <f>Table28[[#This Row],[SEATS SOLD]]*(IFERROR(VLOOKUP(Table28[[#This Row],[ROUTE]],PRICING!A:C,3,FALSE),0))</f>
        <v>0</v>
      </c>
      <c r="V554" s="316">
        <f>Table28[[#This Row],[SEAT REV]]-Table28[[#This Row],[SEAT REV
(IF IDEAL $)]]</f>
        <v>0</v>
      </c>
      <c r="AS554" s="16" t="s">
        <v>517</v>
      </c>
      <c r="AT554" s="16" t="s">
        <v>16951</v>
      </c>
      <c r="AU554" s="16" t="s">
        <v>4697</v>
      </c>
      <c r="AV554" s="16" t="s">
        <v>18878</v>
      </c>
      <c r="AW554" s="16" t="s">
        <v>18879</v>
      </c>
      <c r="AX554" s="16" t="s">
        <v>18929</v>
      </c>
      <c r="AY554" s="385">
        <v>13377</v>
      </c>
    </row>
    <row r="555" spans="1:51" x14ac:dyDescent="0.25">
      <c r="A555" s="16" t="s">
        <v>19289</v>
      </c>
      <c r="B555" s="16" t="s">
        <v>928</v>
      </c>
      <c r="D555" s="16">
        <v>1</v>
      </c>
      <c r="E555" s="16" t="s">
        <v>926</v>
      </c>
      <c r="F555" s="16" t="str">
        <f>VLOOKUP(Table28[[#This Row],[Country]],Table10[[COUNTRY NAME]:[CONTINENT CODE]],3,FALSE)</f>
        <v>AF</v>
      </c>
      <c r="G555" s="16" t="s">
        <v>16856</v>
      </c>
      <c r="H555" s="181">
        <v>11166</v>
      </c>
      <c r="I555" s="180">
        <v>26.75</v>
      </c>
      <c r="K555" s="316">
        <f>IFERROR(Table28[[#This Row],[ROUTE COST]]/Table28[[#This Row],[O - DEMAND]],0)</f>
        <v>0</v>
      </c>
      <c r="M555" s="16">
        <f>Table28[[#This Row],[O - DEMAND]]/950</f>
        <v>0</v>
      </c>
      <c r="N555" s="16">
        <f>IFERROR(VLOOKUP(Table28[[#This Row],[ROUTE]],DEMAND!A:F,5,FALSE),0)</f>
        <v>0</v>
      </c>
      <c r="O555" s="16">
        <f>IFERROR(VLOOKUP(Table28[[#This Row],[ROUTE]],DEMAND!A:F,6,FALSE),0)</f>
        <v>0</v>
      </c>
      <c r="P555" s="16">
        <f>ROUNDDOWN(Table28[[#This Row],[R-DEMAND]]/950,0)</f>
        <v>0</v>
      </c>
      <c r="Q555" s="16">
        <f>Table28[[#This Row],[ADD ACC
(475/950)]]*Table28[[#This Row],[Duration
(A359)]]</f>
        <v>0</v>
      </c>
      <c r="R555" s="16">
        <f>IFERROR(VLOOKUP(Table28[[#This Row],[ROUTE]],PRICING!A:B,2,FALSE),0)</f>
        <v>0</v>
      </c>
      <c r="S555" s="16">
        <f>Table28[[#This Row],[C_DEMAND]]-Table28[[#This Row],[R-DEMAND]]</f>
        <v>0</v>
      </c>
      <c r="T555" s="316">
        <f>Table28[[#This Row],[SEATS SOLD]]*Table28[[#This Row],[ECO SEAT]]</f>
        <v>0</v>
      </c>
      <c r="U555" s="316">
        <f>Table28[[#This Row],[SEATS SOLD]]*(IFERROR(VLOOKUP(Table28[[#This Row],[ROUTE]],PRICING!A:C,3,FALSE),0))</f>
        <v>0</v>
      </c>
      <c r="V555" s="316">
        <f>Table28[[#This Row],[SEAT REV]]-Table28[[#This Row],[SEAT REV
(IF IDEAL $)]]</f>
        <v>0</v>
      </c>
      <c r="AS555" s="16" t="s">
        <v>517</v>
      </c>
      <c r="AT555" s="16" t="s">
        <v>13162</v>
      </c>
      <c r="AU555" s="16" t="s">
        <v>5380</v>
      </c>
      <c r="AV555" s="16" t="s">
        <v>18881</v>
      </c>
      <c r="AW555" s="16" t="s">
        <v>18885</v>
      </c>
      <c r="AX555" s="16" t="s">
        <v>18929</v>
      </c>
      <c r="AY555" s="385">
        <v>13396</v>
      </c>
    </row>
    <row r="556" spans="1:51" x14ac:dyDescent="0.25">
      <c r="A556" s="16" t="s">
        <v>19446</v>
      </c>
      <c r="B556" s="16" t="s">
        <v>3813</v>
      </c>
      <c r="D556" s="16">
        <v>2</v>
      </c>
      <c r="E556" s="16" t="s">
        <v>78</v>
      </c>
      <c r="F556" s="16" t="str">
        <f>VLOOKUP(Table28[[#This Row],[Country]],Table10[[COUNTRY NAME]:[CONTINENT CODE]],3,FALSE)</f>
        <v>EU</v>
      </c>
      <c r="G556" s="16" t="s">
        <v>16870</v>
      </c>
      <c r="H556" s="181">
        <v>12782</v>
      </c>
      <c r="I556" s="180">
        <v>30.25</v>
      </c>
      <c r="K556" s="316">
        <f>IFERROR(Table28[[#This Row],[ROUTE COST]]/Table28[[#This Row],[O - DEMAND]],0)</f>
        <v>0</v>
      </c>
      <c r="M556" s="16">
        <f>Table28[[#This Row],[O - DEMAND]]/950</f>
        <v>0</v>
      </c>
      <c r="N556" s="16">
        <f>IFERROR(VLOOKUP(Table28[[#This Row],[ROUTE]],DEMAND!A:F,5,FALSE),0)</f>
        <v>0</v>
      </c>
      <c r="O556" s="16">
        <f>IFERROR(VLOOKUP(Table28[[#This Row],[ROUTE]],DEMAND!A:F,6,FALSE),0)</f>
        <v>0</v>
      </c>
      <c r="P556" s="16">
        <f>ROUNDDOWN(Table28[[#This Row],[R-DEMAND]]/950,0)</f>
        <v>0</v>
      </c>
      <c r="Q556" s="16">
        <f>Table28[[#This Row],[ADD ACC
(475/950)]]*Table28[[#This Row],[Duration
(A359)]]</f>
        <v>0</v>
      </c>
      <c r="R556" s="16">
        <f>IFERROR(VLOOKUP(Table28[[#This Row],[ROUTE]],PRICING!A:B,2,FALSE),0)</f>
        <v>0</v>
      </c>
      <c r="S556" s="16">
        <f>Table28[[#This Row],[C_DEMAND]]-Table28[[#This Row],[R-DEMAND]]</f>
        <v>0</v>
      </c>
      <c r="T556" s="316">
        <f>Table28[[#This Row],[SEATS SOLD]]*Table28[[#This Row],[ECO SEAT]]</f>
        <v>0</v>
      </c>
      <c r="U556" s="316">
        <f>Table28[[#This Row],[SEATS SOLD]]*(IFERROR(VLOOKUP(Table28[[#This Row],[ROUTE]],PRICING!A:C,3,FALSE),0))</f>
        <v>0</v>
      </c>
      <c r="V556" s="316">
        <f>Table28[[#This Row],[SEAT REV]]-Table28[[#This Row],[SEAT REV
(IF IDEAL $)]]</f>
        <v>0</v>
      </c>
      <c r="AS556" s="16" t="s">
        <v>11732</v>
      </c>
      <c r="AT556" s="16" t="s">
        <v>13291</v>
      </c>
      <c r="AU556" s="16" t="s">
        <v>900</v>
      </c>
      <c r="AV556" s="16" t="s">
        <v>18881</v>
      </c>
      <c r="AW556" s="16" t="s">
        <v>18890</v>
      </c>
      <c r="AX556" s="16" t="s">
        <v>18929</v>
      </c>
      <c r="AY556" s="385">
        <v>13399</v>
      </c>
    </row>
    <row r="557" spans="1:51" x14ac:dyDescent="0.25">
      <c r="A557" s="16" t="s">
        <v>19231</v>
      </c>
      <c r="B557" s="16" t="s">
        <v>3025</v>
      </c>
      <c r="D557" s="16">
        <v>2</v>
      </c>
      <c r="E557" s="16" t="s">
        <v>14</v>
      </c>
      <c r="F557" s="16" t="str">
        <f>VLOOKUP(Table28[[#This Row],[Country]],Table10[[COUNTRY NAME]:[CONTINENT CODE]],3,FALSE)</f>
        <v>AS</v>
      </c>
      <c r="G557" s="16" t="s">
        <v>11990</v>
      </c>
      <c r="H557" s="181">
        <v>9871</v>
      </c>
      <c r="I557" s="180">
        <v>23.75</v>
      </c>
      <c r="K557" s="316">
        <f>IFERROR(Table28[[#This Row],[ROUTE COST]]/Table28[[#This Row],[O - DEMAND]],0)</f>
        <v>0</v>
      </c>
      <c r="M557" s="16">
        <f>Table28[[#This Row],[O - DEMAND]]/950</f>
        <v>0</v>
      </c>
      <c r="N557" s="16">
        <f>IFERROR(VLOOKUP(Table28[[#This Row],[ROUTE]],DEMAND!A:F,5,FALSE),0)</f>
        <v>0</v>
      </c>
      <c r="O557" s="16">
        <f>IFERROR(VLOOKUP(Table28[[#This Row],[ROUTE]],DEMAND!A:F,6,FALSE),0)</f>
        <v>0</v>
      </c>
      <c r="P557" s="16">
        <f>ROUNDDOWN(Table28[[#This Row],[R-DEMAND]]/950,0)</f>
        <v>0</v>
      </c>
      <c r="Q557" s="16">
        <f>Table28[[#This Row],[ADD ACC
(475/950)]]*Table28[[#This Row],[Duration
(A359)]]</f>
        <v>0</v>
      </c>
      <c r="R557" s="16">
        <f>IFERROR(VLOOKUP(Table28[[#This Row],[ROUTE]],PRICING!A:B,2,FALSE),0)</f>
        <v>0</v>
      </c>
      <c r="S557" s="16">
        <f>Table28[[#This Row],[C_DEMAND]]-Table28[[#This Row],[R-DEMAND]]</f>
        <v>0</v>
      </c>
      <c r="T557" s="316">
        <f>Table28[[#This Row],[SEATS SOLD]]*Table28[[#This Row],[ECO SEAT]]</f>
        <v>0</v>
      </c>
      <c r="U557" s="316">
        <f>Table28[[#This Row],[SEATS SOLD]]*(IFERROR(VLOOKUP(Table28[[#This Row],[ROUTE]],PRICING!A:C,3,FALSE),0))</f>
        <v>0</v>
      </c>
      <c r="V557" s="316">
        <f>Table28[[#This Row],[SEAT REV]]-Table28[[#This Row],[SEAT REV
(IF IDEAL $)]]</f>
        <v>0</v>
      </c>
      <c r="AS557" s="16" t="s">
        <v>11732</v>
      </c>
      <c r="AT557" s="16" t="s">
        <v>13290</v>
      </c>
      <c r="AU557" s="16" t="s">
        <v>4947</v>
      </c>
      <c r="AV557" s="16" t="s">
        <v>18884</v>
      </c>
      <c r="AW557" s="16" t="s">
        <v>18885</v>
      </c>
      <c r="AX557" s="16" t="s">
        <v>18929</v>
      </c>
      <c r="AY557" s="385">
        <v>13403</v>
      </c>
    </row>
    <row r="558" spans="1:51" x14ac:dyDescent="0.25">
      <c r="A558" s="16" t="s">
        <v>19341</v>
      </c>
      <c r="B558" s="16" t="s">
        <v>5563</v>
      </c>
      <c r="C558" s="16" t="s">
        <v>467</v>
      </c>
      <c r="D558" s="16">
        <v>4</v>
      </c>
      <c r="E558" s="16" t="s">
        <v>11732</v>
      </c>
      <c r="F558" s="16" t="str">
        <f>VLOOKUP(Table28[[#This Row],[Country]],Table10[[COUNTRY NAME]:[CONTINENT CODE]],3,FALSE)</f>
        <v>NA - US</v>
      </c>
      <c r="G558" s="16" t="s">
        <v>13259</v>
      </c>
      <c r="H558" s="181">
        <v>11970</v>
      </c>
      <c r="I558" s="180">
        <v>28.5</v>
      </c>
      <c r="K558" s="316">
        <f>IFERROR(Table28[[#This Row],[ROUTE COST]]/Table28[[#This Row],[O - DEMAND]],0)</f>
        <v>0</v>
      </c>
      <c r="M558" s="180">
        <f>Table28[[#This Row],[O - DEMAND]]/950</f>
        <v>0</v>
      </c>
      <c r="N558" s="16">
        <f>IFERROR(VLOOKUP(Table28[[#This Row],[ROUTE]],DEMAND!A:F,5,FALSE),0)</f>
        <v>2216</v>
      </c>
      <c r="O558" s="16">
        <f>IFERROR(VLOOKUP(Table28[[#This Row],[ROUTE]],DEMAND!A:F,6,FALSE),0)</f>
        <v>316</v>
      </c>
      <c r="P558" s="16">
        <f>ROUNDDOWN(Table28[[#This Row],[R-DEMAND]]/950,0)</f>
        <v>0</v>
      </c>
      <c r="Q558" s="16">
        <f>Table28[[#This Row],[ADD ACC
(475/950)]]*Table28[[#This Row],[Duration
(A359)]]</f>
        <v>0</v>
      </c>
      <c r="R558" s="16">
        <f>IFERROR(VLOOKUP(Table28[[#This Row],[ROUTE]],PRICING!A:B,2,FALSE),0)</f>
        <v>0</v>
      </c>
      <c r="S558" s="16">
        <f>Table28[[#This Row],[C_DEMAND]]-Table28[[#This Row],[R-DEMAND]]</f>
        <v>1900</v>
      </c>
      <c r="T558" s="316">
        <f>Table28[[#This Row],[SEATS SOLD]]*Table28[[#This Row],[ECO SEAT]]</f>
        <v>0</v>
      </c>
      <c r="U558" s="316">
        <f>Table28[[#This Row],[SEATS SOLD]]*(IFERROR(VLOOKUP(Table28[[#This Row],[ROUTE]],PRICING!A:C,3,FALSE),0))</f>
        <v>0</v>
      </c>
      <c r="V558" s="316">
        <f>Table28[[#This Row],[SEAT REV]]-Table28[[#This Row],[SEAT REV
(IF IDEAL $)]]</f>
        <v>0</v>
      </c>
      <c r="AS558" s="16" t="s">
        <v>172</v>
      </c>
      <c r="AT558" s="16" t="s">
        <v>171</v>
      </c>
      <c r="AU558" s="16" t="s">
        <v>173</v>
      </c>
      <c r="AV558" s="16" t="s">
        <v>18884</v>
      </c>
      <c r="AW558" s="16" t="s">
        <v>18918</v>
      </c>
      <c r="AX558" s="16" t="s">
        <v>18929</v>
      </c>
      <c r="AY558" s="385">
        <v>13408</v>
      </c>
    </row>
    <row r="559" spans="1:51" x14ac:dyDescent="0.25">
      <c r="A559" s="16" t="s">
        <v>19754</v>
      </c>
      <c r="B559" s="16" t="s">
        <v>4985</v>
      </c>
      <c r="C559" s="16" t="s">
        <v>467</v>
      </c>
      <c r="D559" s="16">
        <v>3</v>
      </c>
      <c r="E559" s="16" t="s">
        <v>722</v>
      </c>
      <c r="F559" s="16" t="str">
        <f>VLOOKUP(Table28[[#This Row],[Country]],Table10[[COUNTRY NAME]:[CONTINENT CODE]],3,FALSE)</f>
        <v>EU</v>
      </c>
      <c r="G559" s="16" t="s">
        <v>11850</v>
      </c>
      <c r="H559" s="181">
        <v>14905</v>
      </c>
      <c r="I559" s="180">
        <v>34.75</v>
      </c>
      <c r="K559" s="316">
        <f>IFERROR(Table28[[#This Row],[ROUTE COST]]/Table28[[#This Row],[O - DEMAND]],0)</f>
        <v>0</v>
      </c>
      <c r="M559" s="16">
        <f>Table28[[#This Row],[O - DEMAND]]/950</f>
        <v>0</v>
      </c>
      <c r="N559" s="16">
        <f>IFERROR(VLOOKUP(Table28[[#This Row],[ROUTE]],DEMAND!A:F,5,FALSE),0)</f>
        <v>2215</v>
      </c>
      <c r="O559" s="16">
        <f>IFERROR(VLOOKUP(Table28[[#This Row],[ROUTE]],DEMAND!A:F,6,FALSE),0)</f>
        <v>315</v>
      </c>
      <c r="P559" s="16">
        <f>ROUNDDOWN(Table28[[#This Row],[R-DEMAND]]/950,0)</f>
        <v>0</v>
      </c>
      <c r="Q559" s="16">
        <f>Table28[[#This Row],[ADD ACC
(475/950)]]*Table28[[#This Row],[Duration
(A359)]]</f>
        <v>0</v>
      </c>
      <c r="R559" s="16">
        <f>IFERROR(VLOOKUP(Table28[[#This Row],[ROUTE]],PRICING!A:B,2,FALSE),0)</f>
        <v>0</v>
      </c>
      <c r="S559" s="16">
        <f>Table28[[#This Row],[C_DEMAND]]-Table28[[#This Row],[R-DEMAND]]</f>
        <v>1900</v>
      </c>
      <c r="T559" s="316">
        <f>Table28[[#This Row],[SEATS SOLD]]*Table28[[#This Row],[ECO SEAT]]</f>
        <v>0</v>
      </c>
      <c r="U559" s="316">
        <f>Table28[[#This Row],[SEATS SOLD]]*(IFERROR(VLOOKUP(Table28[[#This Row],[ROUTE]],PRICING!A:C,3,FALSE),0))</f>
        <v>0</v>
      </c>
      <c r="V559" s="316">
        <f>Table28[[#This Row],[SEAT REV]]-Table28[[#This Row],[SEAT REV
(IF IDEAL $)]]</f>
        <v>0</v>
      </c>
      <c r="AS559" s="16" t="s">
        <v>3163</v>
      </c>
      <c r="AT559" s="16" t="s">
        <v>11923</v>
      </c>
      <c r="AU559" s="16" t="s">
        <v>422</v>
      </c>
      <c r="AV559" s="16" t="s">
        <v>18884</v>
      </c>
      <c r="AW559" s="16" t="s">
        <v>18879</v>
      </c>
      <c r="AX559" s="16" t="s">
        <v>18929</v>
      </c>
      <c r="AY559" s="385">
        <v>13409</v>
      </c>
    </row>
    <row r="560" spans="1:51" x14ac:dyDescent="0.25">
      <c r="A560" s="16" t="s">
        <v>19595</v>
      </c>
      <c r="B560" s="16" t="s">
        <v>3271</v>
      </c>
      <c r="C560" s="16" t="s">
        <v>467</v>
      </c>
      <c r="D560" s="16">
        <v>2</v>
      </c>
      <c r="E560" s="16" t="s">
        <v>78</v>
      </c>
      <c r="F560" s="16" t="str">
        <f>VLOOKUP(Table28[[#This Row],[Country]],Table10[[COUNTRY NAME]:[CONTINENT CODE]],3,FALSE)</f>
        <v>EU</v>
      </c>
      <c r="G560" s="16" t="s">
        <v>11903</v>
      </c>
      <c r="H560" s="181">
        <v>13757</v>
      </c>
      <c r="I560" s="180">
        <v>32.25</v>
      </c>
      <c r="K560" s="316">
        <f>IFERROR(Table28[[#This Row],[ROUTE COST]]/Table28[[#This Row],[O - DEMAND]],0)</f>
        <v>0</v>
      </c>
      <c r="M560" s="16">
        <f>Table28[[#This Row],[O - DEMAND]]/950</f>
        <v>0</v>
      </c>
      <c r="N560" s="16">
        <f>IFERROR(VLOOKUP(Table28[[#This Row],[ROUTE]],DEMAND!A:F,5,FALSE),0)</f>
        <v>2441</v>
      </c>
      <c r="O560" s="16">
        <f>IFERROR(VLOOKUP(Table28[[#This Row],[ROUTE]],DEMAND!A:F,6,FALSE),0)</f>
        <v>541</v>
      </c>
      <c r="P560" s="16">
        <f>ROUNDDOWN(Table28[[#This Row],[R-DEMAND]]/950,0)</f>
        <v>0</v>
      </c>
      <c r="Q560" s="16">
        <f>Table28[[#This Row],[ADD ACC
(475/950)]]*Table28[[#This Row],[Duration
(A359)]]</f>
        <v>0</v>
      </c>
      <c r="R560" s="16">
        <f>IFERROR(VLOOKUP(Table28[[#This Row],[ROUTE]],PRICING!A:B,2,FALSE),0)</f>
        <v>0</v>
      </c>
      <c r="S560" s="16">
        <f>Table28[[#This Row],[C_DEMAND]]-Table28[[#This Row],[R-DEMAND]]</f>
        <v>1900</v>
      </c>
      <c r="T560" s="316">
        <f>Table28[[#This Row],[SEATS SOLD]]*Table28[[#This Row],[ECO SEAT]]</f>
        <v>0</v>
      </c>
      <c r="U560" s="316">
        <f>Table28[[#This Row],[SEATS SOLD]]*(IFERROR(VLOOKUP(Table28[[#This Row],[ROUTE]],PRICING!A:C,3,FALSE),0))</f>
        <v>0</v>
      </c>
      <c r="V560" s="316">
        <f>Table28[[#This Row],[SEAT REV]]-Table28[[#This Row],[SEAT REV
(IF IDEAL $)]]</f>
        <v>0</v>
      </c>
      <c r="AS560" s="16" t="s">
        <v>517</v>
      </c>
      <c r="AT560" s="16" t="s">
        <v>16937</v>
      </c>
      <c r="AU560" s="16" t="s">
        <v>2597</v>
      </c>
      <c r="AV560" s="16" t="s">
        <v>18878</v>
      </c>
      <c r="AW560" s="16" t="s">
        <v>18879</v>
      </c>
      <c r="AX560" s="16" t="s">
        <v>18929</v>
      </c>
      <c r="AY560" s="385">
        <v>13410</v>
      </c>
    </row>
    <row r="561" spans="1:51" x14ac:dyDescent="0.25">
      <c r="A561" s="16" t="s">
        <v>19097</v>
      </c>
      <c r="B561" s="16" t="s">
        <v>4943</v>
      </c>
      <c r="D561" s="16">
        <v>3</v>
      </c>
      <c r="E561" s="16" t="s">
        <v>142</v>
      </c>
      <c r="F561" s="16" t="str">
        <f>VLOOKUP(Table28[[#This Row],[Country]],Table10[[COUNTRY NAME]:[CONTINENT CODE]],3,FALSE)</f>
        <v>AS</v>
      </c>
      <c r="G561" s="16" t="s">
        <v>8110</v>
      </c>
      <c r="H561" s="181">
        <v>7769</v>
      </c>
      <c r="I561" s="180">
        <v>19.25</v>
      </c>
      <c r="K561" s="316">
        <f>IFERROR(Table28[[#This Row],[ROUTE COST]]/Table28[[#This Row],[O - DEMAND]],0)</f>
        <v>0</v>
      </c>
      <c r="M561" s="16">
        <f>Table28[[#This Row],[O - DEMAND]]/950</f>
        <v>0</v>
      </c>
      <c r="N561" s="16">
        <f>IFERROR(VLOOKUP(Table28[[#This Row],[ROUTE]],DEMAND!A:F,5,FALSE),0)</f>
        <v>0</v>
      </c>
      <c r="O561" s="16">
        <f>IFERROR(VLOOKUP(Table28[[#This Row],[ROUTE]],DEMAND!A:F,6,FALSE),0)</f>
        <v>0</v>
      </c>
      <c r="P561" s="16">
        <f>ROUNDDOWN(Table28[[#This Row],[R-DEMAND]]/950,0)</f>
        <v>0</v>
      </c>
      <c r="Q561" s="16">
        <f>Table28[[#This Row],[ADD ACC
(475/950)]]*Table28[[#This Row],[Duration
(A359)]]</f>
        <v>0</v>
      </c>
      <c r="R561" s="16">
        <f>IFERROR(VLOOKUP(Table28[[#This Row],[ROUTE]],PRICING!A:B,2,FALSE),0)</f>
        <v>0</v>
      </c>
      <c r="S561" s="16">
        <f>Table28[[#This Row],[C_DEMAND]]-Table28[[#This Row],[R-DEMAND]]</f>
        <v>0</v>
      </c>
      <c r="T561" s="316">
        <f>Table28[[#This Row],[SEATS SOLD]]*Table28[[#This Row],[ECO SEAT]]</f>
        <v>0</v>
      </c>
      <c r="U561" s="316">
        <f>Table28[[#This Row],[SEATS SOLD]]*(IFERROR(VLOOKUP(Table28[[#This Row],[ROUTE]],PRICING!A:C,3,FALSE),0))</f>
        <v>0</v>
      </c>
      <c r="V561" s="316">
        <f>Table28[[#This Row],[SEAT REV]]-Table28[[#This Row],[SEAT REV
(IF IDEAL $)]]</f>
        <v>0</v>
      </c>
      <c r="AS561" s="16" t="s">
        <v>11732</v>
      </c>
      <c r="AT561" s="16" t="s">
        <v>13278</v>
      </c>
      <c r="AU561" s="16" t="s">
        <v>3035</v>
      </c>
      <c r="AV561" s="16" t="s">
        <v>18881</v>
      </c>
      <c r="AW561" s="16" t="s">
        <v>18879</v>
      </c>
      <c r="AX561" s="16" t="s">
        <v>18929</v>
      </c>
      <c r="AY561" s="385">
        <v>13422</v>
      </c>
    </row>
    <row r="562" spans="1:51" x14ac:dyDescent="0.25">
      <c r="A562" s="16" t="s">
        <v>19614</v>
      </c>
      <c r="B562" s="16" t="s">
        <v>5217</v>
      </c>
      <c r="D562" s="16">
        <v>3</v>
      </c>
      <c r="E562" s="16" t="s">
        <v>11732</v>
      </c>
      <c r="F562" s="16" t="str">
        <f>VLOOKUP(Table28[[#This Row],[Country]],Table10[[COUNTRY NAME]:[CONTINENT CODE]],3,FALSE)</f>
        <v>NA - US</v>
      </c>
      <c r="G562" s="16" t="s">
        <v>13308</v>
      </c>
      <c r="H562" s="181">
        <v>13861</v>
      </c>
      <c r="I562" s="180">
        <v>32.5</v>
      </c>
      <c r="K562" s="316">
        <f>IFERROR(Table28[[#This Row],[ROUTE COST]]/Table28[[#This Row],[O - DEMAND]],0)</f>
        <v>0</v>
      </c>
      <c r="M562" s="180">
        <f>Table28[[#This Row],[O - DEMAND]]/950</f>
        <v>0</v>
      </c>
      <c r="N562" s="16">
        <f>IFERROR(VLOOKUP(Table28[[#This Row],[ROUTE]],DEMAND!A:F,5,FALSE),0)</f>
        <v>0</v>
      </c>
      <c r="O562" s="16">
        <f>IFERROR(VLOOKUP(Table28[[#This Row],[ROUTE]],DEMAND!A:F,6,FALSE),0)</f>
        <v>0</v>
      </c>
      <c r="P562" s="16">
        <f>ROUNDDOWN(Table28[[#This Row],[R-DEMAND]]/950,0)</f>
        <v>0</v>
      </c>
      <c r="Q562" s="16">
        <f>Table28[[#This Row],[ADD ACC
(475/950)]]*Table28[[#This Row],[Duration
(A359)]]</f>
        <v>0</v>
      </c>
      <c r="R562" s="16">
        <f>IFERROR(VLOOKUP(Table28[[#This Row],[ROUTE]],PRICING!A:B,2,FALSE),0)</f>
        <v>0</v>
      </c>
      <c r="S562" s="16">
        <f>Table28[[#This Row],[C_DEMAND]]-Table28[[#This Row],[R-DEMAND]]</f>
        <v>0</v>
      </c>
      <c r="T562" s="316">
        <f>Table28[[#This Row],[SEATS SOLD]]*Table28[[#This Row],[ECO SEAT]]</f>
        <v>0</v>
      </c>
      <c r="U562" s="316">
        <f>Table28[[#This Row],[SEATS SOLD]]*(IFERROR(VLOOKUP(Table28[[#This Row],[ROUTE]],PRICING!A:C,3,FALSE),0))</f>
        <v>0</v>
      </c>
      <c r="V562" s="316">
        <f>Table28[[#This Row],[SEAT REV]]-Table28[[#This Row],[SEAT REV
(IF IDEAL $)]]</f>
        <v>0</v>
      </c>
      <c r="AS562" s="16" t="s">
        <v>11732</v>
      </c>
      <c r="AT562" s="16" t="s">
        <v>16963</v>
      </c>
      <c r="AU562" s="16" t="s">
        <v>1376</v>
      </c>
      <c r="AV562" s="16" t="s">
        <v>18878</v>
      </c>
      <c r="AW562" s="16" t="s">
        <v>18890</v>
      </c>
      <c r="AX562" s="16" t="s">
        <v>18929</v>
      </c>
      <c r="AY562" s="385">
        <v>13423</v>
      </c>
    </row>
    <row r="563" spans="1:51" x14ac:dyDescent="0.25">
      <c r="A563" s="16" t="s">
        <v>19664</v>
      </c>
      <c r="B563" s="16" t="s">
        <v>5293</v>
      </c>
      <c r="D563" s="16">
        <v>3</v>
      </c>
      <c r="E563" s="16" t="s">
        <v>11732</v>
      </c>
      <c r="F563" s="16" t="str">
        <f>VLOOKUP(Table28[[#This Row],[Country]],Table10[[COUNTRY NAME]:[CONTINENT CODE]],3,FALSE)</f>
        <v>NA - US</v>
      </c>
      <c r="G563" s="16" t="s">
        <v>13297</v>
      </c>
      <c r="H563" s="181">
        <v>14202</v>
      </c>
      <c r="I563" s="180">
        <v>33.25</v>
      </c>
      <c r="K563" s="316">
        <f>IFERROR(Table28[[#This Row],[ROUTE COST]]/Table28[[#This Row],[O - DEMAND]],0)</f>
        <v>0</v>
      </c>
      <c r="M563" s="180">
        <f>Table28[[#This Row],[O - DEMAND]]/950</f>
        <v>0</v>
      </c>
      <c r="N563" s="16">
        <f>IFERROR(VLOOKUP(Table28[[#This Row],[ROUTE]],DEMAND!A:F,5,FALSE),0)</f>
        <v>0</v>
      </c>
      <c r="O563" s="16">
        <f>IFERROR(VLOOKUP(Table28[[#This Row],[ROUTE]],DEMAND!A:F,6,FALSE),0)</f>
        <v>0</v>
      </c>
      <c r="P563" s="16">
        <f>ROUNDDOWN(Table28[[#This Row],[R-DEMAND]]/950,0)</f>
        <v>0</v>
      </c>
      <c r="Q563" s="16">
        <f>Table28[[#This Row],[ADD ACC
(475/950)]]*Table28[[#This Row],[Duration
(A359)]]</f>
        <v>0</v>
      </c>
      <c r="R563" s="16">
        <f>IFERROR(VLOOKUP(Table28[[#This Row],[ROUTE]],PRICING!A:B,2,FALSE),0)</f>
        <v>0</v>
      </c>
      <c r="S563" s="16">
        <f>Table28[[#This Row],[C_DEMAND]]-Table28[[#This Row],[R-DEMAND]]</f>
        <v>0</v>
      </c>
      <c r="T563" s="316">
        <f>Table28[[#This Row],[SEATS SOLD]]*Table28[[#This Row],[ECO SEAT]]</f>
        <v>0</v>
      </c>
      <c r="U563" s="316">
        <f>Table28[[#This Row],[SEATS SOLD]]*(IFERROR(VLOOKUP(Table28[[#This Row],[ROUTE]],PRICING!A:C,3,FALSE),0))</f>
        <v>0</v>
      </c>
      <c r="V563" s="316">
        <f>Table28[[#This Row],[SEAT REV]]-Table28[[#This Row],[SEAT REV
(IF IDEAL $)]]</f>
        <v>0</v>
      </c>
      <c r="AS563" s="16" t="s">
        <v>11732</v>
      </c>
      <c r="AT563" s="16" t="s">
        <v>13301</v>
      </c>
      <c r="AU563" s="16" t="s">
        <v>4613</v>
      </c>
      <c r="AV563" s="16" t="s">
        <v>18884</v>
      </c>
      <c r="AW563" s="16" t="s">
        <v>18879</v>
      </c>
      <c r="AX563" s="16" t="s">
        <v>18929</v>
      </c>
      <c r="AY563" s="385">
        <v>13431</v>
      </c>
    </row>
    <row r="564" spans="1:51" x14ac:dyDescent="0.25">
      <c r="A564" s="16" t="s">
        <v>19384</v>
      </c>
      <c r="B564" s="16" t="s">
        <v>5436</v>
      </c>
      <c r="C564" s="16" t="s">
        <v>467</v>
      </c>
      <c r="D564" s="16">
        <v>3</v>
      </c>
      <c r="E564" s="16" t="s">
        <v>78</v>
      </c>
      <c r="F564" s="16" t="str">
        <f>VLOOKUP(Table28[[#This Row],[Country]],Table10[[COUNTRY NAME]:[CONTINENT CODE]],3,FALSE)</f>
        <v>EU</v>
      </c>
      <c r="G564" s="16" t="s">
        <v>11938</v>
      </c>
      <c r="H564" s="181">
        <v>12337</v>
      </c>
      <c r="I564" s="180">
        <v>29.25</v>
      </c>
      <c r="K564" s="316">
        <f>IFERROR(Table28[[#This Row],[ROUTE COST]]/Table28[[#This Row],[O - DEMAND]],0)</f>
        <v>0</v>
      </c>
      <c r="M564" s="16">
        <f>Table28[[#This Row],[O - DEMAND]]/950</f>
        <v>0</v>
      </c>
      <c r="N564" s="16">
        <f>IFERROR(VLOOKUP(Table28[[#This Row],[ROUTE]],DEMAND!A:F,5,FALSE),0)</f>
        <v>3237</v>
      </c>
      <c r="O564" s="16">
        <f>IFERROR(VLOOKUP(Table28[[#This Row],[ROUTE]],DEMAND!A:F,6,FALSE),0)</f>
        <v>387</v>
      </c>
      <c r="P564" s="16">
        <f>ROUNDDOWN(Table28[[#This Row],[R-DEMAND]]/950,0)</f>
        <v>0</v>
      </c>
      <c r="Q564" s="16">
        <f>Table28[[#This Row],[ADD ACC
(475/950)]]*Table28[[#This Row],[Duration
(A359)]]</f>
        <v>0</v>
      </c>
      <c r="R564" s="16">
        <f>IFERROR(VLOOKUP(Table28[[#This Row],[ROUTE]],PRICING!A:B,2,FALSE),0)</f>
        <v>0</v>
      </c>
      <c r="S564" s="16">
        <f>Table28[[#This Row],[C_DEMAND]]-Table28[[#This Row],[R-DEMAND]]</f>
        <v>2850</v>
      </c>
      <c r="T564" s="316">
        <f>Table28[[#This Row],[SEATS SOLD]]*Table28[[#This Row],[ECO SEAT]]</f>
        <v>0</v>
      </c>
      <c r="U564" s="316">
        <f>Table28[[#This Row],[SEATS SOLD]]*(IFERROR(VLOOKUP(Table28[[#This Row],[ROUTE]],PRICING!A:C,3,FALSE),0))</f>
        <v>0</v>
      </c>
      <c r="V564" s="316">
        <f>Table28[[#This Row],[SEAT REV]]-Table28[[#This Row],[SEAT REV
(IF IDEAL $)]]</f>
        <v>0</v>
      </c>
      <c r="AS564" s="16" t="s">
        <v>78</v>
      </c>
      <c r="AT564" s="16" t="s">
        <v>11899</v>
      </c>
      <c r="AU564" s="16" t="s">
        <v>4308</v>
      </c>
      <c r="AV564" s="16" t="s">
        <v>18881</v>
      </c>
      <c r="AW564" s="16" t="s">
        <v>18879</v>
      </c>
      <c r="AX564" s="16" t="s">
        <v>18888</v>
      </c>
      <c r="AY564" s="385">
        <v>13440</v>
      </c>
    </row>
    <row r="565" spans="1:51" x14ac:dyDescent="0.25">
      <c r="A565" s="16" t="s">
        <v>19415</v>
      </c>
      <c r="B565" s="16" t="s">
        <v>1465</v>
      </c>
      <c r="D565" s="16">
        <v>1</v>
      </c>
      <c r="E565" s="16" t="s">
        <v>580</v>
      </c>
      <c r="F565" s="16" t="str">
        <f>VLOOKUP(Table28[[#This Row],[Country]],Table10[[COUNTRY NAME]:[CONTINENT CODE]],3,FALSE)</f>
        <v>AF</v>
      </c>
      <c r="G565" s="16" t="s">
        <v>8079</v>
      </c>
      <c r="H565" s="181">
        <v>12556</v>
      </c>
      <c r="I565" s="180">
        <v>29.75</v>
      </c>
      <c r="K565" s="316">
        <f>IFERROR(Table28[[#This Row],[ROUTE COST]]/Table28[[#This Row],[O - DEMAND]],0)</f>
        <v>0</v>
      </c>
      <c r="M565" s="16">
        <f>Table28[[#This Row],[O - DEMAND]]/950</f>
        <v>0</v>
      </c>
      <c r="N565" s="16">
        <f>IFERROR(VLOOKUP(Table28[[#This Row],[ROUTE]],DEMAND!A:F,5,FALSE),0)</f>
        <v>0</v>
      </c>
      <c r="O565" s="16">
        <f>IFERROR(VLOOKUP(Table28[[#This Row],[ROUTE]],DEMAND!A:F,6,FALSE),0)</f>
        <v>0</v>
      </c>
      <c r="P565" s="16">
        <f>ROUNDDOWN(Table28[[#This Row],[R-DEMAND]]/950,0)</f>
        <v>0</v>
      </c>
      <c r="Q565" s="16">
        <f>Table28[[#This Row],[ADD ACC
(475/950)]]*Table28[[#This Row],[Duration
(A359)]]</f>
        <v>0</v>
      </c>
      <c r="R565" s="16">
        <f>IFERROR(VLOOKUP(Table28[[#This Row],[ROUTE]],PRICING!A:B,2,FALSE),0)</f>
        <v>0</v>
      </c>
      <c r="S565" s="16">
        <f>Table28[[#This Row],[C_DEMAND]]-Table28[[#This Row],[R-DEMAND]]</f>
        <v>0</v>
      </c>
      <c r="T565" s="316">
        <f>Table28[[#This Row],[SEATS SOLD]]*Table28[[#This Row],[ECO SEAT]]</f>
        <v>0</v>
      </c>
      <c r="U565" s="316">
        <f>Table28[[#This Row],[SEATS SOLD]]*(IFERROR(VLOOKUP(Table28[[#This Row],[ROUTE]],PRICING!A:C,3,FALSE),0))</f>
        <v>0</v>
      </c>
      <c r="V565" s="316">
        <f>Table28[[#This Row],[SEAT REV]]-Table28[[#This Row],[SEAT REV
(IF IDEAL $)]]</f>
        <v>0</v>
      </c>
      <c r="AS565" s="16" t="s">
        <v>11732</v>
      </c>
      <c r="AT565" s="16" t="s">
        <v>16965</v>
      </c>
      <c r="AU565" s="16" t="s">
        <v>2311</v>
      </c>
      <c r="AV565" s="16" t="s">
        <v>18878</v>
      </c>
      <c r="AW565" s="16" t="s">
        <v>18890</v>
      </c>
      <c r="AX565" s="16" t="s">
        <v>18888</v>
      </c>
      <c r="AY565" s="385">
        <v>13443</v>
      </c>
    </row>
    <row r="566" spans="1:51" x14ac:dyDescent="0.25">
      <c r="A566" s="16" t="s">
        <v>19365</v>
      </c>
      <c r="B566" s="16" t="s">
        <v>5341</v>
      </c>
      <c r="D566" s="16">
        <v>3</v>
      </c>
      <c r="E566" s="16" t="s">
        <v>11732</v>
      </c>
      <c r="F566" s="16" t="str">
        <f>VLOOKUP(Table28[[#This Row],[Country]],Table10[[COUNTRY NAME]:[CONTINENT CODE]],3,FALSE)</f>
        <v>NA - US</v>
      </c>
      <c r="G566" s="16" t="s">
        <v>13272</v>
      </c>
      <c r="H566" s="181">
        <v>12135</v>
      </c>
      <c r="I566" s="180">
        <v>28.75</v>
      </c>
      <c r="K566" s="316">
        <f>IFERROR(Table28[[#This Row],[ROUTE COST]]/Table28[[#This Row],[O - DEMAND]],0)</f>
        <v>0</v>
      </c>
      <c r="M566" s="180">
        <f>Table28[[#This Row],[O - DEMAND]]/950</f>
        <v>0</v>
      </c>
      <c r="N566" s="16">
        <f>IFERROR(VLOOKUP(Table28[[#This Row],[ROUTE]],DEMAND!A:F,5,FALSE),0)</f>
        <v>0</v>
      </c>
      <c r="O566" s="16">
        <f>IFERROR(VLOOKUP(Table28[[#This Row],[ROUTE]],DEMAND!A:F,6,FALSE),0)</f>
        <v>0</v>
      </c>
      <c r="P566" s="16">
        <f>ROUNDDOWN(Table28[[#This Row],[R-DEMAND]]/950,0)</f>
        <v>0</v>
      </c>
      <c r="Q566" s="16">
        <f>Table28[[#This Row],[ADD ACC
(475/950)]]*Table28[[#This Row],[Duration
(A359)]]</f>
        <v>0</v>
      </c>
      <c r="R566" s="16">
        <f>IFERROR(VLOOKUP(Table28[[#This Row],[ROUTE]],PRICING!A:B,2,FALSE),0)</f>
        <v>0</v>
      </c>
      <c r="S566" s="16">
        <f>Table28[[#This Row],[C_DEMAND]]-Table28[[#This Row],[R-DEMAND]]</f>
        <v>0</v>
      </c>
      <c r="T566" s="316">
        <f>Table28[[#This Row],[SEATS SOLD]]*Table28[[#This Row],[ECO SEAT]]</f>
        <v>0</v>
      </c>
      <c r="U566" s="316">
        <f>Table28[[#This Row],[SEATS SOLD]]*(IFERROR(VLOOKUP(Table28[[#This Row],[ROUTE]],PRICING!A:C,3,FALSE),0))</f>
        <v>0</v>
      </c>
      <c r="V566" s="316">
        <f>Table28[[#This Row],[SEAT REV]]-Table28[[#This Row],[SEAT REV
(IF IDEAL $)]]</f>
        <v>0</v>
      </c>
      <c r="AS566" s="16" t="s">
        <v>502</v>
      </c>
      <c r="AT566" s="16" t="s">
        <v>11921</v>
      </c>
      <c r="AU566" s="16" t="s">
        <v>4611</v>
      </c>
      <c r="AV566" s="16" t="s">
        <v>18884</v>
      </c>
      <c r="AW566" s="16" t="s">
        <v>18879</v>
      </c>
      <c r="AX566" s="16" t="s">
        <v>18888</v>
      </c>
      <c r="AY566" s="385">
        <v>13443</v>
      </c>
    </row>
    <row r="567" spans="1:51" x14ac:dyDescent="0.25">
      <c r="A567" s="16" t="s">
        <v>19744</v>
      </c>
      <c r="B567" s="16" t="s">
        <v>5762</v>
      </c>
      <c r="C567" s="16" t="s">
        <v>467</v>
      </c>
      <c r="D567" s="16">
        <v>5</v>
      </c>
      <c r="E567" s="16" t="s">
        <v>11732</v>
      </c>
      <c r="F567" s="16" t="str">
        <f>VLOOKUP(Table28[[#This Row],[Country]],Table10[[COUNTRY NAME]:[CONTINENT CODE]],3,FALSE)</f>
        <v>NA - US</v>
      </c>
      <c r="G567" s="16" t="s">
        <v>13309</v>
      </c>
      <c r="H567" s="181">
        <v>14866</v>
      </c>
      <c r="I567" s="180">
        <v>34.75</v>
      </c>
      <c r="K567" s="316">
        <f>IFERROR(Table28[[#This Row],[ROUTE COST]]/Table28[[#This Row],[O - DEMAND]],0)</f>
        <v>0</v>
      </c>
      <c r="M567" s="180">
        <f>Table28[[#This Row],[O - DEMAND]]/950</f>
        <v>0</v>
      </c>
      <c r="N567" s="16">
        <f>IFERROR(VLOOKUP(Table28[[#This Row],[ROUTE]],DEMAND!A:F,5,FALSE),0)</f>
        <v>1951</v>
      </c>
      <c r="O567" s="16">
        <f>IFERROR(VLOOKUP(Table28[[#This Row],[ROUTE]],DEMAND!A:F,6,FALSE),0)</f>
        <v>51</v>
      </c>
      <c r="P567" s="16">
        <f>ROUNDDOWN(Table28[[#This Row],[R-DEMAND]]/950,0)</f>
        <v>0</v>
      </c>
      <c r="Q567" s="16">
        <f>Table28[[#This Row],[ADD ACC
(475/950)]]*Table28[[#This Row],[Duration
(A359)]]</f>
        <v>0</v>
      </c>
      <c r="R567" s="16">
        <f>IFERROR(VLOOKUP(Table28[[#This Row],[ROUTE]],PRICING!A:B,2,FALSE),0)</f>
        <v>0</v>
      </c>
      <c r="S567" s="16">
        <f>Table28[[#This Row],[C_DEMAND]]-Table28[[#This Row],[R-DEMAND]]</f>
        <v>1900</v>
      </c>
      <c r="T567" s="316">
        <f>Table28[[#This Row],[SEATS SOLD]]*Table28[[#This Row],[ECO SEAT]]</f>
        <v>0</v>
      </c>
      <c r="U567" s="316">
        <f>Table28[[#This Row],[SEATS SOLD]]*(IFERROR(VLOOKUP(Table28[[#This Row],[ROUTE]],PRICING!A:C,3,FALSE),0))</f>
        <v>0</v>
      </c>
      <c r="V567" s="316">
        <f>Table28[[#This Row],[SEAT REV]]-Table28[[#This Row],[SEAT REV
(IF IDEAL $)]]</f>
        <v>0</v>
      </c>
      <c r="AS567" s="16" t="s">
        <v>11732</v>
      </c>
      <c r="AT567" s="16" t="s">
        <v>13288</v>
      </c>
      <c r="AU567" s="16" t="s">
        <v>5765</v>
      </c>
      <c r="AV567" s="16" t="s">
        <v>18884</v>
      </c>
      <c r="AW567" s="16" t="s">
        <v>18918</v>
      </c>
      <c r="AX567" s="16" t="s">
        <v>18888</v>
      </c>
      <c r="AY567" s="385">
        <v>13447</v>
      </c>
    </row>
    <row r="568" spans="1:51" x14ac:dyDescent="0.25">
      <c r="A568" s="16" t="s">
        <v>19311</v>
      </c>
      <c r="B568" s="16" t="s">
        <v>3267</v>
      </c>
      <c r="D568" s="16">
        <v>2</v>
      </c>
      <c r="E568" s="16" t="s">
        <v>3265</v>
      </c>
      <c r="F568" s="16" t="str">
        <f>VLOOKUP(Table28[[#This Row],[Country]],Table10[[COUNTRY NAME]:[CONTINENT CODE]],3,FALSE)</f>
        <v>AS</v>
      </c>
      <c r="G568" s="16" t="s">
        <v>16846</v>
      </c>
      <c r="H568" s="181">
        <v>11533</v>
      </c>
      <c r="I568" s="180">
        <v>27.5</v>
      </c>
      <c r="K568" s="316">
        <f>IFERROR(Table28[[#This Row],[ROUTE COST]]/Table28[[#This Row],[O - DEMAND]],0)</f>
        <v>0</v>
      </c>
      <c r="M568" s="16">
        <f>Table28[[#This Row],[O - DEMAND]]/950</f>
        <v>0</v>
      </c>
      <c r="N568" s="16">
        <f>IFERROR(VLOOKUP(Table28[[#This Row],[ROUTE]],DEMAND!A:F,5,FALSE),0)</f>
        <v>0</v>
      </c>
      <c r="O568" s="16">
        <f>IFERROR(VLOOKUP(Table28[[#This Row],[ROUTE]],DEMAND!A:F,6,FALSE),0)</f>
        <v>0</v>
      </c>
      <c r="P568" s="16">
        <f>ROUNDDOWN(Table28[[#This Row],[R-DEMAND]]/950,0)</f>
        <v>0</v>
      </c>
      <c r="Q568" s="16">
        <f>Table28[[#This Row],[ADD ACC
(475/950)]]*Table28[[#This Row],[Duration
(A359)]]</f>
        <v>0</v>
      </c>
      <c r="R568" s="16">
        <f>IFERROR(VLOOKUP(Table28[[#This Row],[ROUTE]],PRICING!A:B,2,FALSE),0)</f>
        <v>0</v>
      </c>
      <c r="S568" s="16">
        <f>Table28[[#This Row],[C_DEMAND]]-Table28[[#This Row],[R-DEMAND]]</f>
        <v>0</v>
      </c>
      <c r="T568" s="316">
        <f>Table28[[#This Row],[SEATS SOLD]]*Table28[[#This Row],[ECO SEAT]]</f>
        <v>0</v>
      </c>
      <c r="U568" s="316">
        <f>Table28[[#This Row],[SEATS SOLD]]*(IFERROR(VLOOKUP(Table28[[#This Row],[ROUTE]],PRICING!A:C,3,FALSE),0))</f>
        <v>0</v>
      </c>
      <c r="V568" s="316">
        <f>Table28[[#This Row],[SEAT REV]]-Table28[[#This Row],[SEAT REV
(IF IDEAL $)]]</f>
        <v>0</v>
      </c>
      <c r="AS568" s="16" t="s">
        <v>11732</v>
      </c>
      <c r="AT568" s="16" t="s">
        <v>16960</v>
      </c>
      <c r="AU568" s="16" t="s">
        <v>1612</v>
      </c>
      <c r="AV568" s="16" t="s">
        <v>18878</v>
      </c>
      <c r="AW568" s="16" t="s">
        <v>18890</v>
      </c>
      <c r="AX568" s="16" t="s">
        <v>18888</v>
      </c>
      <c r="AY568" s="385">
        <v>13451</v>
      </c>
    </row>
    <row r="569" spans="1:51" x14ac:dyDescent="0.25">
      <c r="A569" s="16" t="s">
        <v>19787</v>
      </c>
      <c r="B569" s="16" t="s">
        <v>4320</v>
      </c>
      <c r="C569" s="16" t="s">
        <v>467</v>
      </c>
      <c r="D569" s="16">
        <v>2</v>
      </c>
      <c r="E569" s="16" t="s">
        <v>807</v>
      </c>
      <c r="F569" s="16" t="str">
        <f>VLOOKUP(Table28[[#This Row],[Country]],Table10[[COUNTRY NAME]:[CONTINENT CODE]],3,FALSE)</f>
        <v>EU</v>
      </c>
      <c r="G569" s="16" t="s">
        <v>8013</v>
      </c>
      <c r="H569" s="181">
        <v>15055</v>
      </c>
      <c r="I569" s="180">
        <v>35.25</v>
      </c>
      <c r="K569" s="316">
        <f>IFERROR(Table28[[#This Row],[ROUTE COST]]/Table28[[#This Row],[O - DEMAND]],0)</f>
        <v>0</v>
      </c>
      <c r="M569" s="16">
        <f>Table28[[#This Row],[O - DEMAND]]/950</f>
        <v>0</v>
      </c>
      <c r="N569" s="16">
        <f>IFERROR(VLOOKUP(Table28[[#This Row],[ROUTE]],DEMAND!A:F,5,FALSE),0)</f>
        <v>1543</v>
      </c>
      <c r="O569" s="16">
        <f>IFERROR(VLOOKUP(Table28[[#This Row],[ROUTE]],DEMAND!A:F,6,FALSE),0)</f>
        <v>593</v>
      </c>
      <c r="P569" s="16">
        <f>ROUNDDOWN(Table28[[#This Row],[R-DEMAND]]/950,0)</f>
        <v>0</v>
      </c>
      <c r="Q569" s="16">
        <f>Table28[[#This Row],[ADD ACC
(475/950)]]*Table28[[#This Row],[Duration
(A359)]]</f>
        <v>0</v>
      </c>
      <c r="R569" s="16">
        <f>IFERROR(VLOOKUP(Table28[[#This Row],[ROUTE]],PRICING!A:B,2,FALSE),0)</f>
        <v>0</v>
      </c>
      <c r="S569" s="16">
        <f>Table28[[#This Row],[C_DEMAND]]-Table28[[#This Row],[R-DEMAND]]</f>
        <v>950</v>
      </c>
      <c r="T569" s="316">
        <f>Table28[[#This Row],[SEATS SOLD]]*Table28[[#This Row],[ECO SEAT]]</f>
        <v>0</v>
      </c>
      <c r="U569" s="316">
        <f>Table28[[#This Row],[SEATS SOLD]]*(IFERROR(VLOOKUP(Table28[[#This Row],[ROUTE]],PRICING!A:C,3,FALSE),0))</f>
        <v>0</v>
      </c>
      <c r="V569" s="316">
        <f>Table28[[#This Row],[SEAT REV]]-Table28[[#This Row],[SEAT REV
(IF IDEAL $)]]</f>
        <v>0</v>
      </c>
      <c r="AS569" s="16" t="s">
        <v>11732</v>
      </c>
      <c r="AT569" s="16" t="s">
        <v>17001</v>
      </c>
      <c r="AU569" s="16" t="s">
        <v>4361</v>
      </c>
      <c r="AV569" s="16" t="s">
        <v>18878</v>
      </c>
      <c r="AX569" s="16" t="s">
        <v>18888</v>
      </c>
      <c r="AY569" s="385">
        <v>13461</v>
      </c>
    </row>
    <row r="570" spans="1:51" x14ac:dyDescent="0.25">
      <c r="A570" s="16" t="s">
        <v>19329</v>
      </c>
      <c r="B570" s="16" t="s">
        <v>4928</v>
      </c>
      <c r="D570" s="16">
        <v>3</v>
      </c>
      <c r="E570" s="16" t="s">
        <v>78</v>
      </c>
      <c r="F570" s="16" t="str">
        <f>VLOOKUP(Table28[[#This Row],[Country]],Table10[[COUNTRY NAME]:[CONTINENT CODE]],3,FALSE)</f>
        <v>EU</v>
      </c>
      <c r="G570" s="16" t="s">
        <v>11949</v>
      </c>
      <c r="H570" s="181">
        <v>11841</v>
      </c>
      <c r="I570" s="180">
        <v>28</v>
      </c>
      <c r="K570" s="316">
        <f>IFERROR(Table28[[#This Row],[ROUTE COST]]/Table28[[#This Row],[O - DEMAND]],0)</f>
        <v>0</v>
      </c>
      <c r="M570" s="16">
        <f>Table28[[#This Row],[O - DEMAND]]/950</f>
        <v>0</v>
      </c>
      <c r="N570" s="16">
        <f>IFERROR(VLOOKUP(Table28[[#This Row],[ROUTE]],DEMAND!A:F,5,FALSE),0)</f>
        <v>0</v>
      </c>
      <c r="O570" s="16">
        <f>IFERROR(VLOOKUP(Table28[[#This Row],[ROUTE]],DEMAND!A:F,6,FALSE),0)</f>
        <v>0</v>
      </c>
      <c r="P570" s="16">
        <f>ROUNDDOWN(Table28[[#This Row],[R-DEMAND]]/950,0)</f>
        <v>0</v>
      </c>
      <c r="Q570" s="16">
        <f>Table28[[#This Row],[ADD ACC
(475/950)]]*Table28[[#This Row],[Duration
(A359)]]</f>
        <v>0</v>
      </c>
      <c r="R570" s="16">
        <f>IFERROR(VLOOKUP(Table28[[#This Row],[ROUTE]],PRICING!A:B,2,FALSE),0)</f>
        <v>0</v>
      </c>
      <c r="S570" s="16">
        <f>Table28[[#This Row],[C_DEMAND]]-Table28[[#This Row],[R-DEMAND]]</f>
        <v>0</v>
      </c>
      <c r="T570" s="316">
        <f>Table28[[#This Row],[SEATS SOLD]]*Table28[[#This Row],[ECO SEAT]]</f>
        <v>0</v>
      </c>
      <c r="U570" s="316">
        <f>Table28[[#This Row],[SEATS SOLD]]*(IFERROR(VLOOKUP(Table28[[#This Row],[ROUTE]],PRICING!A:C,3,FALSE),0))</f>
        <v>0</v>
      </c>
      <c r="V570" s="316">
        <f>Table28[[#This Row],[SEAT REV]]-Table28[[#This Row],[SEAT REV
(IF IDEAL $)]]</f>
        <v>0</v>
      </c>
      <c r="AS570" s="16" t="s">
        <v>11732</v>
      </c>
      <c r="AT570" s="16" t="s">
        <v>13284</v>
      </c>
      <c r="AU570" s="16" t="s">
        <v>1505</v>
      </c>
      <c r="AV570" s="16" t="s">
        <v>18892</v>
      </c>
      <c r="AW570" s="16" t="s">
        <v>18890</v>
      </c>
      <c r="AX570" s="16" t="s">
        <v>18888</v>
      </c>
      <c r="AY570" s="385">
        <v>13486</v>
      </c>
    </row>
    <row r="571" spans="1:51" x14ac:dyDescent="0.25">
      <c r="A571" s="16" t="s">
        <v>19706</v>
      </c>
      <c r="B571" s="16" t="s">
        <v>1775</v>
      </c>
      <c r="D571" s="16">
        <v>1</v>
      </c>
      <c r="E571" s="16" t="s">
        <v>722</v>
      </c>
      <c r="F571" s="16" t="str">
        <f>VLOOKUP(Table28[[#This Row],[Country]],Table10[[COUNTRY NAME]:[CONTINENT CODE]],3,FALSE)</f>
        <v>EU</v>
      </c>
      <c r="G571" s="16" t="s">
        <v>16877</v>
      </c>
      <c r="H571" s="181">
        <v>14577</v>
      </c>
      <c r="I571" s="180">
        <v>34.25</v>
      </c>
      <c r="K571" s="316">
        <f>IFERROR(Table28[[#This Row],[ROUTE COST]]/Table28[[#This Row],[O - DEMAND]],0)</f>
        <v>0</v>
      </c>
      <c r="M571" s="16">
        <f>Table28[[#This Row],[O - DEMAND]]/950</f>
        <v>0</v>
      </c>
      <c r="N571" s="16">
        <f>IFERROR(VLOOKUP(Table28[[#This Row],[ROUTE]],DEMAND!A:F,5,FALSE),0)</f>
        <v>0</v>
      </c>
      <c r="O571" s="16">
        <f>IFERROR(VLOOKUP(Table28[[#This Row],[ROUTE]],DEMAND!A:F,6,FALSE),0)</f>
        <v>0</v>
      </c>
      <c r="P571" s="16">
        <f>ROUNDDOWN(Table28[[#This Row],[R-DEMAND]]/950,0)</f>
        <v>0</v>
      </c>
      <c r="Q571" s="16">
        <f>Table28[[#This Row],[ADD ACC
(475/950)]]*Table28[[#This Row],[Duration
(A359)]]</f>
        <v>0</v>
      </c>
      <c r="R571" s="16">
        <f>IFERROR(VLOOKUP(Table28[[#This Row],[ROUTE]],PRICING!A:B,2,FALSE),0)</f>
        <v>0</v>
      </c>
      <c r="S571" s="16">
        <f>Table28[[#This Row],[C_DEMAND]]-Table28[[#This Row],[R-DEMAND]]</f>
        <v>0</v>
      </c>
      <c r="T571" s="316">
        <f>Table28[[#This Row],[SEATS SOLD]]*Table28[[#This Row],[ECO SEAT]]</f>
        <v>0</v>
      </c>
      <c r="U571" s="316">
        <f>Table28[[#This Row],[SEATS SOLD]]*(IFERROR(VLOOKUP(Table28[[#This Row],[ROUTE]],PRICING!A:C,3,FALSE),0))</f>
        <v>0</v>
      </c>
      <c r="V571" s="316">
        <f>Table28[[#This Row],[SEAT REV]]-Table28[[#This Row],[SEAT REV
(IF IDEAL $)]]</f>
        <v>0</v>
      </c>
      <c r="AS571" s="16" t="s">
        <v>5119</v>
      </c>
      <c r="AT571" s="16" t="s">
        <v>13207</v>
      </c>
      <c r="AU571" s="16" t="s">
        <v>5121</v>
      </c>
      <c r="AV571" s="16" t="s">
        <v>18892</v>
      </c>
      <c r="AW571" s="16" t="s">
        <v>18885</v>
      </c>
      <c r="AX571" s="16" t="s">
        <v>18888</v>
      </c>
      <c r="AY571" s="385">
        <v>13503</v>
      </c>
    </row>
    <row r="572" spans="1:51" x14ac:dyDescent="0.25">
      <c r="A572" s="16" t="s">
        <v>19495</v>
      </c>
      <c r="B572" s="16" t="s">
        <v>3792</v>
      </c>
      <c r="D572" s="16">
        <v>2</v>
      </c>
      <c r="E572" s="16" t="s">
        <v>1749</v>
      </c>
      <c r="F572" s="16" t="str">
        <f>VLOOKUP(Table28[[#This Row],[Country]],Table10[[COUNTRY NAME]:[CONTINENT CODE]],3,FALSE)</f>
        <v>NA</v>
      </c>
      <c r="G572" s="16" t="s">
        <v>13226</v>
      </c>
      <c r="H572" s="181">
        <v>13035</v>
      </c>
      <c r="I572" s="180">
        <v>30.75</v>
      </c>
      <c r="K572" s="316">
        <f>IFERROR(Table28[[#This Row],[ROUTE COST]]/Table28[[#This Row],[O - DEMAND]],0)</f>
        <v>0</v>
      </c>
      <c r="M572" s="16">
        <f>Table28[[#This Row],[O - DEMAND]]/950</f>
        <v>0</v>
      </c>
      <c r="N572" s="16">
        <f>IFERROR(VLOOKUP(Table28[[#This Row],[ROUTE]],DEMAND!A:F,5,FALSE),0)</f>
        <v>0</v>
      </c>
      <c r="O572" s="16">
        <f>IFERROR(VLOOKUP(Table28[[#This Row],[ROUTE]],DEMAND!A:F,6,FALSE),0)</f>
        <v>0</v>
      </c>
      <c r="P572" s="16">
        <f>ROUNDDOWN(Table28[[#This Row],[R-DEMAND]]/950,0)</f>
        <v>0</v>
      </c>
      <c r="Q572" s="16">
        <f>Table28[[#This Row],[ADD ACC
(475/950)]]*Table28[[#This Row],[Duration
(A359)]]</f>
        <v>0</v>
      </c>
      <c r="R572" s="16">
        <f>IFERROR(VLOOKUP(Table28[[#This Row],[ROUTE]],PRICING!A:B,2,FALSE),0)</f>
        <v>0</v>
      </c>
      <c r="S572" s="16">
        <f>Table28[[#This Row],[C_DEMAND]]-Table28[[#This Row],[R-DEMAND]]</f>
        <v>0</v>
      </c>
      <c r="T572" s="316">
        <f>Table28[[#This Row],[SEATS SOLD]]*Table28[[#This Row],[ECO SEAT]]</f>
        <v>0</v>
      </c>
      <c r="U572" s="316">
        <f>Table28[[#This Row],[SEATS SOLD]]*(IFERROR(VLOOKUP(Table28[[#This Row],[ROUTE]],PRICING!A:C,3,FALSE),0))</f>
        <v>0</v>
      </c>
      <c r="V572" s="316">
        <f>Table28[[#This Row],[SEAT REV]]-Table28[[#This Row],[SEAT REV
(IF IDEAL $)]]</f>
        <v>0</v>
      </c>
      <c r="AS572" s="16" t="s">
        <v>11732</v>
      </c>
      <c r="AT572" s="16" t="s">
        <v>13300</v>
      </c>
      <c r="AU572" s="16" t="s">
        <v>4416</v>
      </c>
      <c r="AV572" s="16" t="s">
        <v>18884</v>
      </c>
      <c r="AW572" s="16" t="s">
        <v>18879</v>
      </c>
      <c r="AX572" s="16" t="s">
        <v>18888</v>
      </c>
      <c r="AY572" s="385">
        <v>13506</v>
      </c>
    </row>
    <row r="573" spans="1:51" x14ac:dyDescent="0.25">
      <c r="A573" s="16" t="s">
        <v>19793</v>
      </c>
      <c r="B573" s="16" t="s">
        <v>132</v>
      </c>
      <c r="D573" s="16">
        <v>4</v>
      </c>
      <c r="E573" s="16" t="s">
        <v>11732</v>
      </c>
      <c r="F573" s="16" t="str">
        <f>VLOOKUP(Table28[[#This Row],[Country]],Table10[[COUNTRY NAME]:[CONTINENT CODE]],3,FALSE)</f>
        <v>NA - US</v>
      </c>
      <c r="G573" s="16" t="s">
        <v>13372</v>
      </c>
      <c r="H573" s="181">
        <v>15082</v>
      </c>
      <c r="I573" s="180">
        <v>35.25</v>
      </c>
      <c r="K573" s="316">
        <f>IFERROR(Table28[[#This Row],[ROUTE COST]]/Table28[[#This Row],[O - DEMAND]],0)</f>
        <v>0</v>
      </c>
      <c r="M573" s="180">
        <f>Table28[[#This Row],[O - DEMAND]]/950</f>
        <v>0</v>
      </c>
      <c r="N573" s="16">
        <f>IFERROR(VLOOKUP(Table28[[#This Row],[ROUTE]],DEMAND!A:F,5,FALSE),0)</f>
        <v>0</v>
      </c>
      <c r="O573" s="16">
        <f>IFERROR(VLOOKUP(Table28[[#This Row],[ROUTE]],DEMAND!A:F,6,FALSE),0)</f>
        <v>0</v>
      </c>
      <c r="P573" s="16">
        <f>ROUNDDOWN(Table28[[#This Row],[R-DEMAND]]/950,0)</f>
        <v>0</v>
      </c>
      <c r="Q573" s="16">
        <f>Table28[[#This Row],[ADD ACC
(475/950)]]*Table28[[#This Row],[Duration
(A359)]]</f>
        <v>0</v>
      </c>
      <c r="R573" s="16">
        <f>IFERROR(VLOOKUP(Table28[[#This Row],[ROUTE]],PRICING!A:B,2,FALSE),0)</f>
        <v>0</v>
      </c>
      <c r="S573" s="16">
        <f>Table28[[#This Row],[C_DEMAND]]-Table28[[#This Row],[R-DEMAND]]</f>
        <v>0</v>
      </c>
      <c r="T573" s="316">
        <f>Table28[[#This Row],[SEATS SOLD]]*Table28[[#This Row],[ECO SEAT]]</f>
        <v>0</v>
      </c>
      <c r="U573" s="316">
        <f>Table28[[#This Row],[SEATS SOLD]]*(IFERROR(VLOOKUP(Table28[[#This Row],[ROUTE]],PRICING!A:C,3,FALSE),0))</f>
        <v>0</v>
      </c>
      <c r="V573" s="316">
        <f>Table28[[#This Row],[SEAT REV]]-Table28[[#This Row],[SEAT REV
(IF IDEAL $)]]</f>
        <v>0</v>
      </c>
      <c r="AS573" s="16" t="s">
        <v>78</v>
      </c>
      <c r="AT573" s="16" t="s">
        <v>16860</v>
      </c>
      <c r="AU573" s="16" t="s">
        <v>2345</v>
      </c>
      <c r="AV573" s="16" t="s">
        <v>18878</v>
      </c>
      <c r="AW573" s="16" t="s">
        <v>18890</v>
      </c>
      <c r="AX573" s="16" t="s">
        <v>18888</v>
      </c>
      <c r="AY573" s="385">
        <v>13509</v>
      </c>
    </row>
    <row r="574" spans="1:51" x14ac:dyDescent="0.25">
      <c r="A574" s="16" t="s">
        <v>19530</v>
      </c>
      <c r="B574" s="16" t="s">
        <v>3481</v>
      </c>
      <c r="D574" s="16">
        <v>2</v>
      </c>
      <c r="E574" s="16" t="s">
        <v>714</v>
      </c>
      <c r="F574" s="16" t="str">
        <f>VLOOKUP(Table28[[#This Row],[Country]],Table10[[COUNTRY NAME]:[CONTINENT CODE]],3,FALSE)</f>
        <v>SA</v>
      </c>
      <c r="G574" s="16" t="s">
        <v>13238</v>
      </c>
      <c r="H574" s="181">
        <v>13283</v>
      </c>
      <c r="I574" s="180">
        <v>31.25</v>
      </c>
      <c r="K574" s="316">
        <f>IFERROR(Table28[[#This Row],[ROUTE COST]]/Table28[[#This Row],[O - DEMAND]],0)</f>
        <v>0</v>
      </c>
      <c r="M574" s="16">
        <f>Table28[[#This Row],[O - DEMAND]]/950</f>
        <v>0</v>
      </c>
      <c r="N574" s="16">
        <f>IFERROR(VLOOKUP(Table28[[#This Row],[ROUTE]],DEMAND!A:F,5,FALSE),0)</f>
        <v>0</v>
      </c>
      <c r="O574" s="16">
        <f>IFERROR(VLOOKUP(Table28[[#This Row],[ROUTE]],DEMAND!A:F,6,FALSE),0)</f>
        <v>0</v>
      </c>
      <c r="P574" s="16">
        <f>ROUNDDOWN(Table28[[#This Row],[R-DEMAND]]/950,0)</f>
        <v>0</v>
      </c>
      <c r="Q574" s="16">
        <f>Table28[[#This Row],[ADD ACC
(475/950)]]*Table28[[#This Row],[Duration
(A359)]]</f>
        <v>0</v>
      </c>
      <c r="R574" s="16">
        <f>IFERROR(VLOOKUP(Table28[[#This Row],[ROUTE]],PRICING!A:B,2,FALSE),0)</f>
        <v>0</v>
      </c>
      <c r="S574" s="16">
        <f>Table28[[#This Row],[C_DEMAND]]-Table28[[#This Row],[R-DEMAND]]</f>
        <v>0</v>
      </c>
      <c r="T574" s="316">
        <f>Table28[[#This Row],[SEATS SOLD]]*Table28[[#This Row],[ECO SEAT]]</f>
        <v>0</v>
      </c>
      <c r="U574" s="316">
        <f>Table28[[#This Row],[SEATS SOLD]]*(IFERROR(VLOOKUP(Table28[[#This Row],[ROUTE]],PRICING!A:C,3,FALSE),0))</f>
        <v>0</v>
      </c>
      <c r="V574" s="316">
        <f>Table28[[#This Row],[SEAT REV]]-Table28[[#This Row],[SEAT REV
(IF IDEAL $)]]</f>
        <v>0</v>
      </c>
      <c r="AS574" s="16" t="s">
        <v>644</v>
      </c>
      <c r="AT574" s="16" t="s">
        <v>11811</v>
      </c>
      <c r="AU574" s="16" t="s">
        <v>209</v>
      </c>
      <c r="AV574" s="16" t="s">
        <v>18884</v>
      </c>
      <c r="AW574" s="16" t="s">
        <v>18885</v>
      </c>
      <c r="AX574" s="16" t="s">
        <v>18888</v>
      </c>
      <c r="AY574" s="385">
        <v>13514</v>
      </c>
    </row>
    <row r="575" spans="1:51" x14ac:dyDescent="0.25">
      <c r="A575" s="16" t="s">
        <v>19050</v>
      </c>
      <c r="B575" s="16" t="s">
        <v>4762</v>
      </c>
      <c r="D575" s="16">
        <v>3</v>
      </c>
      <c r="E575" s="16" t="s">
        <v>1261</v>
      </c>
      <c r="F575" s="16" t="str">
        <f>VLOOKUP(Table28[[#This Row],[Country]],Table10[[COUNTRY NAME]:[CONTINENT CODE]],3,FALSE)</f>
        <v>AS</v>
      </c>
      <c r="G575" s="16" t="s">
        <v>18113</v>
      </c>
      <c r="H575" s="181">
        <v>6444</v>
      </c>
      <c r="I575" s="180">
        <v>16.25</v>
      </c>
      <c r="K575" s="316">
        <f>IFERROR(Table28[[#This Row],[ROUTE COST]]/Table28[[#This Row],[O - DEMAND]],0)</f>
        <v>0</v>
      </c>
      <c r="M575" s="16">
        <f>Table28[[#This Row],[O - DEMAND]]/950</f>
        <v>0</v>
      </c>
      <c r="N575" s="16">
        <f>IFERROR(VLOOKUP(Table28[[#This Row],[ROUTE]],DEMAND!A:F,5,FALSE),0)</f>
        <v>0</v>
      </c>
      <c r="O575" s="16">
        <f>IFERROR(VLOOKUP(Table28[[#This Row],[ROUTE]],DEMAND!A:F,6,FALSE),0)</f>
        <v>0</v>
      </c>
      <c r="P575" s="16">
        <f>ROUNDDOWN(Table28[[#This Row],[R-DEMAND]]/950,0)</f>
        <v>0</v>
      </c>
      <c r="Q575" s="16">
        <f>Table28[[#This Row],[ADD ACC
(475/950)]]*Table28[[#This Row],[Duration
(A359)]]</f>
        <v>0</v>
      </c>
      <c r="R575" s="16">
        <f>IFERROR(VLOOKUP(Table28[[#This Row],[ROUTE]],PRICING!A:B,2,FALSE),0)</f>
        <v>0</v>
      </c>
      <c r="S575" s="16">
        <f>Table28[[#This Row],[C_DEMAND]]-Table28[[#This Row],[R-DEMAND]]</f>
        <v>0</v>
      </c>
      <c r="T575" s="316">
        <f>Table28[[#This Row],[SEATS SOLD]]*Table28[[#This Row],[ECO SEAT]]</f>
        <v>0</v>
      </c>
      <c r="U575" s="316">
        <f>Table28[[#This Row],[SEATS SOLD]]*(IFERROR(VLOOKUP(Table28[[#This Row],[ROUTE]],PRICING!A:C,3,FALSE),0))</f>
        <v>0</v>
      </c>
      <c r="V575" s="316">
        <f>Table28[[#This Row],[SEAT REV]]-Table28[[#This Row],[SEAT REV
(IF IDEAL $)]]</f>
        <v>0</v>
      </c>
      <c r="AS575" s="16" t="s">
        <v>517</v>
      </c>
      <c r="AT575" s="16" t="s">
        <v>13161</v>
      </c>
      <c r="AU575" s="16" t="s">
        <v>5611</v>
      </c>
      <c r="AV575" s="16" t="s">
        <v>18884</v>
      </c>
      <c r="AW575" s="16" t="s">
        <v>18899</v>
      </c>
      <c r="AX575" s="16" t="s">
        <v>18888</v>
      </c>
      <c r="AY575" s="385">
        <v>13526</v>
      </c>
    </row>
    <row r="576" spans="1:51" x14ac:dyDescent="0.25">
      <c r="A576" s="16" t="s">
        <v>19387</v>
      </c>
      <c r="B576" s="16" t="s">
        <v>5620</v>
      </c>
      <c r="C576" s="16" t="s">
        <v>467</v>
      </c>
      <c r="D576" s="16">
        <v>4</v>
      </c>
      <c r="E576" s="16" t="s">
        <v>11732</v>
      </c>
      <c r="F576" s="16" t="str">
        <f>VLOOKUP(Table28[[#This Row],[Country]],Table10[[COUNTRY NAME]:[CONTINENT CODE]],3,FALSE)</f>
        <v>NA - US</v>
      </c>
      <c r="G576" s="16" t="s">
        <v>13257</v>
      </c>
      <c r="H576" s="181">
        <v>12361</v>
      </c>
      <c r="I576" s="180">
        <v>29.25</v>
      </c>
      <c r="K576" s="316">
        <f>IFERROR(Table28[[#This Row],[ROUTE COST]]/Table28[[#This Row],[O - DEMAND]],0)</f>
        <v>0</v>
      </c>
      <c r="M576" s="180">
        <f>Table28[[#This Row],[O - DEMAND]]/950</f>
        <v>0</v>
      </c>
      <c r="N576" s="16">
        <f>IFERROR(VLOOKUP(Table28[[#This Row],[ROUTE]],DEMAND!A:F,5,FALSE),0)</f>
        <v>2278</v>
      </c>
      <c r="O576" s="16">
        <f>IFERROR(VLOOKUP(Table28[[#This Row],[ROUTE]],DEMAND!A:F,6,FALSE),0)</f>
        <v>378</v>
      </c>
      <c r="P576" s="16">
        <f>ROUNDDOWN(Table28[[#This Row],[R-DEMAND]]/950,0)</f>
        <v>0</v>
      </c>
      <c r="Q576" s="16">
        <f>Table28[[#This Row],[ADD ACC
(475/950)]]*Table28[[#This Row],[Duration
(A359)]]</f>
        <v>0</v>
      </c>
      <c r="R576" s="16">
        <f>IFERROR(VLOOKUP(Table28[[#This Row],[ROUTE]],PRICING!A:B,2,FALSE),0)</f>
        <v>0</v>
      </c>
      <c r="S576" s="16">
        <f>Table28[[#This Row],[C_DEMAND]]-Table28[[#This Row],[R-DEMAND]]</f>
        <v>1900</v>
      </c>
      <c r="T576" s="316">
        <f>Table28[[#This Row],[SEATS SOLD]]*Table28[[#This Row],[ECO SEAT]]</f>
        <v>0</v>
      </c>
      <c r="U576" s="316">
        <f>Table28[[#This Row],[SEATS SOLD]]*(IFERROR(VLOOKUP(Table28[[#This Row],[ROUTE]],PRICING!A:C,3,FALSE),0))</f>
        <v>0</v>
      </c>
      <c r="V576" s="316">
        <f>Table28[[#This Row],[SEAT REV]]-Table28[[#This Row],[SEAT REV
(IF IDEAL $)]]</f>
        <v>0</v>
      </c>
      <c r="AS576" s="16" t="s">
        <v>1377</v>
      </c>
      <c r="AT576" s="16" t="s">
        <v>16859</v>
      </c>
      <c r="AU576" s="16" t="s">
        <v>3000</v>
      </c>
      <c r="AV576" s="16" t="s">
        <v>18878</v>
      </c>
      <c r="AW576" s="16" t="s">
        <v>18879</v>
      </c>
      <c r="AX576" s="16" t="s">
        <v>18888</v>
      </c>
      <c r="AY576" s="385">
        <v>13537</v>
      </c>
    </row>
    <row r="577" spans="1:51" x14ac:dyDescent="0.25">
      <c r="A577" s="16" t="s">
        <v>19556</v>
      </c>
      <c r="B577" s="16" t="s">
        <v>4308</v>
      </c>
      <c r="D577" s="16">
        <v>2</v>
      </c>
      <c r="E577" s="16" t="s">
        <v>78</v>
      </c>
      <c r="F577" s="16" t="str">
        <f>VLOOKUP(Table28[[#This Row],[Country]],Table10[[COUNTRY NAME]:[CONTINENT CODE]],3,FALSE)</f>
        <v>EU</v>
      </c>
      <c r="G577" s="16" t="s">
        <v>11899</v>
      </c>
      <c r="H577" s="181">
        <v>13440</v>
      </c>
      <c r="I577" s="180">
        <v>31.75</v>
      </c>
      <c r="K577" s="316">
        <f>IFERROR(Table28[[#This Row],[ROUTE COST]]/Table28[[#This Row],[O - DEMAND]],0)</f>
        <v>0</v>
      </c>
      <c r="M577" s="16">
        <f>Table28[[#This Row],[O - DEMAND]]/950</f>
        <v>0</v>
      </c>
      <c r="N577" s="16">
        <f>IFERROR(VLOOKUP(Table28[[#This Row],[ROUTE]],DEMAND!A:F,5,FALSE),0)</f>
        <v>0</v>
      </c>
      <c r="O577" s="16">
        <f>IFERROR(VLOOKUP(Table28[[#This Row],[ROUTE]],DEMAND!A:F,6,FALSE),0)</f>
        <v>0</v>
      </c>
      <c r="P577" s="16">
        <f>ROUNDDOWN(Table28[[#This Row],[R-DEMAND]]/950,0)</f>
        <v>0</v>
      </c>
      <c r="Q577" s="16">
        <f>Table28[[#This Row],[ADD ACC
(475/950)]]*Table28[[#This Row],[Duration
(A359)]]</f>
        <v>0</v>
      </c>
      <c r="R577" s="16">
        <f>IFERROR(VLOOKUP(Table28[[#This Row],[ROUTE]],PRICING!A:B,2,FALSE),0)</f>
        <v>0</v>
      </c>
      <c r="S577" s="16">
        <f>Table28[[#This Row],[C_DEMAND]]-Table28[[#This Row],[R-DEMAND]]</f>
        <v>0</v>
      </c>
      <c r="T577" s="316">
        <f>Table28[[#This Row],[SEATS SOLD]]*Table28[[#This Row],[ECO SEAT]]</f>
        <v>0</v>
      </c>
      <c r="U577" s="316">
        <f>Table28[[#This Row],[SEATS SOLD]]*(IFERROR(VLOOKUP(Table28[[#This Row],[ROUTE]],PRICING!A:C,3,FALSE),0))</f>
        <v>0</v>
      </c>
      <c r="V577" s="316">
        <f>Table28[[#This Row],[SEAT REV]]-Table28[[#This Row],[SEAT REV
(IF IDEAL $)]]</f>
        <v>0</v>
      </c>
      <c r="AS577" s="16" t="s">
        <v>172</v>
      </c>
      <c r="AT577" s="16" t="s">
        <v>11913</v>
      </c>
      <c r="AU577" s="16" t="s">
        <v>3219</v>
      </c>
      <c r="AV577" s="16" t="s">
        <v>18881</v>
      </c>
      <c r="AW577" s="16" t="s">
        <v>18879</v>
      </c>
      <c r="AX577" s="16" t="s">
        <v>18888</v>
      </c>
      <c r="AY577" s="385">
        <v>13537</v>
      </c>
    </row>
    <row r="578" spans="1:51" x14ac:dyDescent="0.25">
      <c r="A578" s="16" t="s">
        <v>19185</v>
      </c>
      <c r="B578" s="16" t="s">
        <v>130</v>
      </c>
      <c r="D578" s="16">
        <v>5</v>
      </c>
      <c r="E578" s="16" t="s">
        <v>14</v>
      </c>
      <c r="F578" s="16" t="str">
        <f>VLOOKUP(Table28[[#This Row],[Country]],Table10[[COUNTRY NAME]:[CONTINENT CODE]],3,FALSE)</f>
        <v>AS</v>
      </c>
      <c r="G578" s="16" t="s">
        <v>12020</v>
      </c>
      <c r="H578" s="181">
        <v>8967</v>
      </c>
      <c r="I578" s="180">
        <v>21.75</v>
      </c>
      <c r="K578" s="316">
        <f>IFERROR(Table28[[#This Row],[ROUTE COST]]/Table28[[#This Row],[O - DEMAND]],0)</f>
        <v>0</v>
      </c>
      <c r="M578" s="16">
        <f>Table28[[#This Row],[O - DEMAND]]/950</f>
        <v>0</v>
      </c>
      <c r="N578" s="16">
        <f>IFERROR(VLOOKUP(Table28[[#This Row],[ROUTE]],DEMAND!A:F,5,FALSE),0)</f>
        <v>0</v>
      </c>
      <c r="O578" s="16">
        <f>IFERROR(VLOOKUP(Table28[[#This Row],[ROUTE]],DEMAND!A:F,6,FALSE),0)</f>
        <v>0</v>
      </c>
      <c r="P578" s="16">
        <f>ROUNDDOWN(Table28[[#This Row],[R-DEMAND]]/950,0)</f>
        <v>0</v>
      </c>
      <c r="Q578" s="16">
        <f>Table28[[#This Row],[ADD ACC
(475/950)]]*Table28[[#This Row],[Duration
(A359)]]</f>
        <v>0</v>
      </c>
      <c r="R578" s="16">
        <f>IFERROR(VLOOKUP(Table28[[#This Row],[ROUTE]],PRICING!A:B,2,FALSE),0)</f>
        <v>0</v>
      </c>
      <c r="S578" s="16">
        <f>Table28[[#This Row],[C_DEMAND]]-Table28[[#This Row],[R-DEMAND]]</f>
        <v>0</v>
      </c>
      <c r="T578" s="316">
        <f>Table28[[#This Row],[SEATS SOLD]]*Table28[[#This Row],[ECO SEAT]]</f>
        <v>0</v>
      </c>
      <c r="U578" s="316">
        <f>Table28[[#This Row],[SEATS SOLD]]*(IFERROR(VLOOKUP(Table28[[#This Row],[ROUTE]],PRICING!A:C,3,FALSE),0))</f>
        <v>0</v>
      </c>
      <c r="V578" s="316">
        <f>Table28[[#This Row],[SEAT REV]]-Table28[[#This Row],[SEAT REV
(IF IDEAL $)]]</f>
        <v>0</v>
      </c>
      <c r="AS578" s="16" t="s">
        <v>11732</v>
      </c>
      <c r="AT578" s="16" t="s">
        <v>16992</v>
      </c>
      <c r="AU578" s="16" t="s">
        <v>5502</v>
      </c>
      <c r="AV578" s="16" t="s">
        <v>18878</v>
      </c>
      <c r="AW578" s="16" t="s">
        <v>18899</v>
      </c>
      <c r="AX578" s="16" t="s">
        <v>18888</v>
      </c>
      <c r="AY578" s="385">
        <v>13542</v>
      </c>
    </row>
    <row r="579" spans="1:51" x14ac:dyDescent="0.25">
      <c r="A579" s="16" t="s">
        <v>19534</v>
      </c>
      <c r="B579" s="16" t="s">
        <v>3225</v>
      </c>
      <c r="D579" s="16">
        <v>2</v>
      </c>
      <c r="E579" s="16" t="s">
        <v>714</v>
      </c>
      <c r="F579" s="16" t="str">
        <f>VLOOKUP(Table28[[#This Row],[Country]],Table10[[COUNTRY NAME]:[CONTINENT CODE]],3,FALSE)</f>
        <v>SA</v>
      </c>
      <c r="G579" s="16" t="s">
        <v>13243</v>
      </c>
      <c r="H579" s="181">
        <v>13306</v>
      </c>
      <c r="I579" s="180">
        <v>31.25</v>
      </c>
      <c r="K579" s="316">
        <f>IFERROR(Table28[[#This Row],[ROUTE COST]]/Table28[[#This Row],[O - DEMAND]],0)</f>
        <v>0</v>
      </c>
      <c r="M579" s="16">
        <f>Table28[[#This Row],[O - DEMAND]]/950</f>
        <v>0</v>
      </c>
      <c r="N579" s="16">
        <f>IFERROR(VLOOKUP(Table28[[#This Row],[ROUTE]],DEMAND!A:F,5,FALSE),0)</f>
        <v>0</v>
      </c>
      <c r="O579" s="16">
        <f>IFERROR(VLOOKUP(Table28[[#This Row],[ROUTE]],DEMAND!A:F,6,FALSE),0)</f>
        <v>0</v>
      </c>
      <c r="P579" s="16">
        <f>ROUNDDOWN(Table28[[#This Row],[R-DEMAND]]/950,0)</f>
        <v>0</v>
      </c>
      <c r="Q579" s="16">
        <f>Table28[[#This Row],[ADD ACC
(475/950)]]*Table28[[#This Row],[Duration
(A359)]]</f>
        <v>0</v>
      </c>
      <c r="R579" s="16">
        <f>IFERROR(VLOOKUP(Table28[[#This Row],[ROUTE]],PRICING!A:B,2,FALSE),0)</f>
        <v>0</v>
      </c>
      <c r="S579" s="16">
        <f>Table28[[#This Row],[C_DEMAND]]-Table28[[#This Row],[R-DEMAND]]</f>
        <v>0</v>
      </c>
      <c r="T579" s="316">
        <f>Table28[[#This Row],[SEATS SOLD]]*Table28[[#This Row],[ECO SEAT]]</f>
        <v>0</v>
      </c>
      <c r="U579" s="316">
        <f>Table28[[#This Row],[SEATS SOLD]]*(IFERROR(VLOOKUP(Table28[[#This Row],[ROUTE]],PRICING!A:C,3,FALSE),0))</f>
        <v>0</v>
      </c>
      <c r="V579" s="316">
        <f>Table28[[#This Row],[SEAT REV]]-Table28[[#This Row],[SEAT REV
(IF IDEAL $)]]</f>
        <v>0</v>
      </c>
      <c r="AS579" s="16" t="s">
        <v>1377</v>
      </c>
      <c r="AT579" s="16" t="s">
        <v>11915</v>
      </c>
      <c r="AU579" s="16" t="s">
        <v>1379</v>
      </c>
      <c r="AV579" s="16" t="s">
        <v>18884</v>
      </c>
      <c r="AW579" s="16" t="s">
        <v>18890</v>
      </c>
      <c r="AX579" s="16" t="s">
        <v>18888</v>
      </c>
      <c r="AY579" s="385">
        <v>13547</v>
      </c>
    </row>
    <row r="580" spans="1:51" x14ac:dyDescent="0.25">
      <c r="A580" s="16" t="s">
        <v>19060</v>
      </c>
      <c r="B580" s="16" t="s">
        <v>128</v>
      </c>
      <c r="C580" s="16" t="s">
        <v>467</v>
      </c>
      <c r="D580" s="16">
        <v>3</v>
      </c>
      <c r="E580" s="16" t="s">
        <v>709</v>
      </c>
      <c r="F580" s="16" t="str">
        <f>VLOOKUP(Table28[[#This Row],[Country]],Table10[[COUNTRY NAME]:[CONTINENT CODE]],3,FALSE)</f>
        <v>AS</v>
      </c>
      <c r="G580" s="16" t="s">
        <v>12109</v>
      </c>
      <c r="H580" s="181">
        <v>6896</v>
      </c>
      <c r="I580" s="180">
        <v>17.25</v>
      </c>
      <c r="K580" s="316">
        <f>IFERROR(Table28[[#This Row],[ROUTE COST]]/Table28[[#This Row],[O - DEMAND]],0)</f>
        <v>0</v>
      </c>
      <c r="M580" s="16">
        <f>Table28[[#This Row],[O - DEMAND]]/950</f>
        <v>0</v>
      </c>
      <c r="N580" s="16">
        <f>IFERROR(VLOOKUP(Table28[[#This Row],[ROUTE]],DEMAND!A:F,5,FALSE),0)</f>
        <v>2608</v>
      </c>
      <c r="O580" s="16">
        <f>IFERROR(VLOOKUP(Table28[[#This Row],[ROUTE]],DEMAND!A:F,6,FALSE),0)</f>
        <v>708</v>
      </c>
      <c r="P580" s="16">
        <f>ROUNDDOWN(Table28[[#This Row],[R-DEMAND]]/950,0)</f>
        <v>0</v>
      </c>
      <c r="Q580" s="16">
        <f>Table28[[#This Row],[ADD ACC
(475/950)]]*Table28[[#This Row],[Duration
(A359)]]</f>
        <v>0</v>
      </c>
      <c r="R580" s="16">
        <f>IFERROR(VLOOKUP(Table28[[#This Row],[ROUTE]],PRICING!A:B,2,FALSE),0)</f>
        <v>0</v>
      </c>
      <c r="S580" s="16">
        <f>Table28[[#This Row],[C_DEMAND]]-Table28[[#This Row],[R-DEMAND]]</f>
        <v>1900</v>
      </c>
      <c r="T580" s="316">
        <f>Table28[[#This Row],[SEATS SOLD]]*Table28[[#This Row],[ECO SEAT]]</f>
        <v>0</v>
      </c>
      <c r="U580" s="316">
        <f>Table28[[#This Row],[SEATS SOLD]]*(IFERROR(VLOOKUP(Table28[[#This Row],[ROUTE]],PRICING!A:C,3,FALSE),0))</f>
        <v>0</v>
      </c>
      <c r="V580" s="316">
        <f>Table28[[#This Row],[SEAT REV]]-Table28[[#This Row],[SEAT REV
(IF IDEAL $)]]</f>
        <v>0</v>
      </c>
      <c r="AS580" s="16" t="s">
        <v>4920</v>
      </c>
      <c r="AT580" s="16" t="s">
        <v>13203</v>
      </c>
      <c r="AU580" s="16" t="s">
        <v>4922</v>
      </c>
      <c r="AV580" s="16" t="s">
        <v>18881</v>
      </c>
      <c r="AW580" s="16" t="s">
        <v>18885</v>
      </c>
      <c r="AX580" s="16" t="s">
        <v>18965</v>
      </c>
      <c r="AY580" s="385">
        <v>13573</v>
      </c>
    </row>
    <row r="581" spans="1:51" x14ac:dyDescent="0.25">
      <c r="A581" s="16" t="s">
        <v>19013</v>
      </c>
      <c r="B581" s="16" t="s">
        <v>126</v>
      </c>
      <c r="C581" s="16" t="s">
        <v>467</v>
      </c>
      <c r="D581" s="16">
        <v>4</v>
      </c>
      <c r="E581" s="16" t="s">
        <v>774</v>
      </c>
      <c r="F581" s="16" t="str">
        <f>VLOOKUP(Table28[[#This Row],[Country]],Table10[[COUNTRY NAME]:[CONTINENT CODE]],3,FALSE)</f>
        <v>OC</v>
      </c>
      <c r="G581" s="16" t="s">
        <v>11050</v>
      </c>
      <c r="H581" s="181">
        <v>3279</v>
      </c>
      <c r="I581" s="180">
        <v>9.25</v>
      </c>
      <c r="K581" s="316">
        <f>IFERROR(Table28[[#This Row],[ROUTE COST]]/Table28[[#This Row],[O - DEMAND]],0)</f>
        <v>0</v>
      </c>
      <c r="M581" s="16">
        <f>Table28[[#This Row],[O - DEMAND]]/950</f>
        <v>0</v>
      </c>
      <c r="N581" s="16">
        <f>IFERROR(VLOOKUP(Table28[[#This Row],[ROUTE]],DEMAND!A:F,5,FALSE),0)</f>
        <v>2699</v>
      </c>
      <c r="O581" s="16">
        <f>IFERROR(VLOOKUP(Table28[[#This Row],[ROUTE]],DEMAND!A:F,6,FALSE),0)</f>
        <v>799</v>
      </c>
      <c r="P581" s="16">
        <f>ROUNDDOWN(Table28[[#This Row],[R-DEMAND]]/950,0)</f>
        <v>0</v>
      </c>
      <c r="Q581" s="16">
        <f>Table28[[#This Row],[ADD ACC
(475/950)]]*Table28[[#This Row],[Duration
(A359)]]</f>
        <v>0</v>
      </c>
      <c r="R581" s="16">
        <f>IFERROR(VLOOKUP(Table28[[#This Row],[ROUTE]],PRICING!A:B,2,FALSE),0)</f>
        <v>0</v>
      </c>
      <c r="S581" s="16">
        <f>Table28[[#This Row],[C_DEMAND]]-Table28[[#This Row],[R-DEMAND]]</f>
        <v>1900</v>
      </c>
      <c r="T581" s="316">
        <f>Table28[[#This Row],[SEATS SOLD]]*Table28[[#This Row],[ECO SEAT]]</f>
        <v>0</v>
      </c>
      <c r="U581" s="316">
        <f>Table28[[#This Row],[SEATS SOLD]]*(IFERROR(VLOOKUP(Table28[[#This Row],[ROUTE]],PRICING!A:C,3,FALSE),0))</f>
        <v>0</v>
      </c>
      <c r="V581" s="316">
        <f>Table28[[#This Row],[SEAT REV]]-Table28[[#This Row],[SEAT REV
(IF IDEAL $)]]</f>
        <v>0</v>
      </c>
      <c r="AS581" s="16" t="s">
        <v>172</v>
      </c>
      <c r="AT581" s="16" t="s">
        <v>7651</v>
      </c>
      <c r="AU581" s="16" t="s">
        <v>3074</v>
      </c>
      <c r="AV581" s="16" t="s">
        <v>18881</v>
      </c>
      <c r="AW581" s="16" t="s">
        <v>18879</v>
      </c>
      <c r="AX581" s="16" t="s">
        <v>18965</v>
      </c>
      <c r="AY581" s="385">
        <v>13575</v>
      </c>
    </row>
    <row r="582" spans="1:51" x14ac:dyDescent="0.25">
      <c r="A582" s="16" t="s">
        <v>19292</v>
      </c>
      <c r="B582" s="16" t="s">
        <v>4496</v>
      </c>
      <c r="C582" s="16" t="s">
        <v>467</v>
      </c>
      <c r="D582" s="16">
        <v>2</v>
      </c>
      <c r="E582" s="16" t="s">
        <v>197</v>
      </c>
      <c r="F582" s="16" t="str">
        <f>VLOOKUP(Table28[[#This Row],[Country]],Table10[[COUNTRY NAME]:[CONTINENT CODE]],3,FALSE)</f>
        <v>AS</v>
      </c>
      <c r="G582" s="16" t="s">
        <v>16840</v>
      </c>
      <c r="H582" s="181">
        <v>11220</v>
      </c>
      <c r="I582" s="180">
        <v>26.75</v>
      </c>
      <c r="K582" s="316">
        <f>IFERROR(Table28[[#This Row],[ROUTE COST]]/Table28[[#This Row],[O - DEMAND]],0)</f>
        <v>0</v>
      </c>
      <c r="M582" s="16">
        <f>Table28[[#This Row],[O - DEMAND]]/950</f>
        <v>0</v>
      </c>
      <c r="N582" s="16">
        <f>IFERROR(VLOOKUP(Table28[[#This Row],[ROUTE]],DEMAND!A:F,5,FALSE),0)</f>
        <v>3625</v>
      </c>
      <c r="O582" s="16">
        <f>IFERROR(VLOOKUP(Table28[[#This Row],[ROUTE]],DEMAND!A:F,6,FALSE),0)</f>
        <v>775</v>
      </c>
      <c r="P582" s="16">
        <f>ROUNDDOWN(Table28[[#This Row],[R-DEMAND]]/950,0)</f>
        <v>0</v>
      </c>
      <c r="Q582" s="16">
        <f>Table28[[#This Row],[ADD ACC
(475/950)]]*Table28[[#This Row],[Duration
(A359)]]</f>
        <v>0</v>
      </c>
      <c r="R582" s="16">
        <f>IFERROR(VLOOKUP(Table28[[#This Row],[ROUTE]],PRICING!A:B,2,FALSE),0)</f>
        <v>0</v>
      </c>
      <c r="S582" s="16">
        <f>Table28[[#This Row],[C_DEMAND]]-Table28[[#This Row],[R-DEMAND]]</f>
        <v>2850</v>
      </c>
      <c r="T582" s="316">
        <f>Table28[[#This Row],[SEATS SOLD]]*Table28[[#This Row],[ECO SEAT]]</f>
        <v>0</v>
      </c>
      <c r="U582" s="316">
        <f>Table28[[#This Row],[SEATS SOLD]]*(IFERROR(VLOOKUP(Table28[[#This Row],[ROUTE]],PRICING!A:C,3,FALSE),0))</f>
        <v>0</v>
      </c>
      <c r="V582" s="316">
        <f>Table28[[#This Row],[SEAT REV]]-Table28[[#This Row],[SEAT REV
(IF IDEAL $)]]</f>
        <v>0</v>
      </c>
      <c r="AS582" s="16" t="s">
        <v>881</v>
      </c>
      <c r="AT582" s="16" t="s">
        <v>11896</v>
      </c>
      <c r="AU582" s="16" t="s">
        <v>3650</v>
      </c>
      <c r="AV582" s="16" t="s">
        <v>18892</v>
      </c>
      <c r="AW582" s="16" t="s">
        <v>18879</v>
      </c>
      <c r="AX582" s="16" t="s">
        <v>18965</v>
      </c>
      <c r="AY582" s="385">
        <v>13591</v>
      </c>
    </row>
    <row r="583" spans="1:51" x14ac:dyDescent="0.25">
      <c r="A583" s="16" t="s">
        <v>19691</v>
      </c>
      <c r="B583" s="16" t="s">
        <v>4911</v>
      </c>
      <c r="D583" s="16">
        <v>3</v>
      </c>
      <c r="E583" s="16" t="s">
        <v>4909</v>
      </c>
      <c r="F583" s="16" t="str">
        <f>VLOOKUP(Table28[[#This Row],[Country]],Table10[[COUNTRY NAME]:[CONTINENT CODE]],3,FALSE)</f>
        <v>EU</v>
      </c>
      <c r="G583" s="16" t="s">
        <v>16872</v>
      </c>
      <c r="H583" s="181">
        <v>14481</v>
      </c>
      <c r="I583" s="180">
        <v>34</v>
      </c>
      <c r="K583" s="316">
        <f>IFERROR(Table28[[#This Row],[ROUTE COST]]/Table28[[#This Row],[O - DEMAND]],0)</f>
        <v>0</v>
      </c>
      <c r="M583" s="16">
        <f>Table28[[#This Row],[O - DEMAND]]/950</f>
        <v>0</v>
      </c>
      <c r="N583" s="16">
        <f>IFERROR(VLOOKUP(Table28[[#This Row],[ROUTE]],DEMAND!A:F,5,FALSE),0)</f>
        <v>0</v>
      </c>
      <c r="O583" s="16">
        <f>IFERROR(VLOOKUP(Table28[[#This Row],[ROUTE]],DEMAND!A:F,6,FALSE),0)</f>
        <v>0</v>
      </c>
      <c r="P583" s="16">
        <f>ROUNDDOWN(Table28[[#This Row],[R-DEMAND]]/950,0)</f>
        <v>0</v>
      </c>
      <c r="Q583" s="16">
        <f>Table28[[#This Row],[ADD ACC
(475/950)]]*Table28[[#This Row],[Duration
(A359)]]</f>
        <v>0</v>
      </c>
      <c r="R583" s="16">
        <f>IFERROR(VLOOKUP(Table28[[#This Row],[ROUTE]],PRICING!A:B,2,FALSE),0)</f>
        <v>0</v>
      </c>
      <c r="S583" s="16">
        <f>Table28[[#This Row],[C_DEMAND]]-Table28[[#This Row],[R-DEMAND]]</f>
        <v>0</v>
      </c>
      <c r="T583" s="316">
        <f>Table28[[#This Row],[SEATS SOLD]]*Table28[[#This Row],[ECO SEAT]]</f>
        <v>0</v>
      </c>
      <c r="U583" s="316">
        <f>Table28[[#This Row],[SEATS SOLD]]*(IFERROR(VLOOKUP(Table28[[#This Row],[ROUTE]],PRICING!A:C,3,FALSE),0))</f>
        <v>0</v>
      </c>
      <c r="V583" s="316">
        <f>Table28[[#This Row],[SEAT REV]]-Table28[[#This Row],[SEAT REV
(IF IDEAL $)]]</f>
        <v>0</v>
      </c>
      <c r="AS583" s="16" t="s">
        <v>78</v>
      </c>
      <c r="AT583" s="16" t="s">
        <v>16868</v>
      </c>
      <c r="AU583" s="16" t="s">
        <v>3171</v>
      </c>
      <c r="AV583" s="16" t="s">
        <v>18878</v>
      </c>
      <c r="AW583" s="16" t="s">
        <v>18879</v>
      </c>
      <c r="AX583" s="16" t="s">
        <v>18965</v>
      </c>
      <c r="AY583" s="385">
        <v>13605</v>
      </c>
    </row>
    <row r="584" spans="1:51" x14ac:dyDescent="0.25">
      <c r="A584" s="16" t="s">
        <v>19800</v>
      </c>
      <c r="B584" s="16" t="s">
        <v>4629</v>
      </c>
      <c r="D584" s="16">
        <v>2</v>
      </c>
      <c r="E584" s="16" t="s">
        <v>2059</v>
      </c>
      <c r="F584" s="16" t="str">
        <f>VLOOKUP(Table28[[#This Row],[Country]],Table10[[COUNTRY NAME]:[CONTINENT CODE]],3,FALSE)</f>
        <v>AF</v>
      </c>
      <c r="G584" s="16" t="s">
        <v>11754</v>
      </c>
      <c r="H584" s="181">
        <v>15126</v>
      </c>
      <c r="I584" s="180">
        <v>35.25</v>
      </c>
      <c r="K584" s="316">
        <f>IFERROR(Table28[[#This Row],[ROUTE COST]]/Table28[[#This Row],[O - DEMAND]],0)</f>
        <v>0</v>
      </c>
      <c r="M584" s="16">
        <f>Table28[[#This Row],[O - DEMAND]]/950</f>
        <v>0</v>
      </c>
      <c r="N584" s="16">
        <f>IFERROR(VLOOKUP(Table28[[#This Row],[ROUTE]],DEMAND!A:F,5,FALSE),0)</f>
        <v>0</v>
      </c>
      <c r="O584" s="16">
        <f>IFERROR(VLOOKUP(Table28[[#This Row],[ROUTE]],DEMAND!A:F,6,FALSE),0)</f>
        <v>0</v>
      </c>
      <c r="P584" s="16">
        <f>ROUNDDOWN(Table28[[#This Row],[R-DEMAND]]/950,0)</f>
        <v>0</v>
      </c>
      <c r="Q584" s="16">
        <f>Table28[[#This Row],[ADD ACC
(475/950)]]*Table28[[#This Row],[Duration
(A359)]]</f>
        <v>0</v>
      </c>
      <c r="R584" s="16">
        <f>IFERROR(VLOOKUP(Table28[[#This Row],[ROUTE]],PRICING!A:B,2,FALSE),0)</f>
        <v>0</v>
      </c>
      <c r="S584" s="16">
        <f>Table28[[#This Row],[C_DEMAND]]-Table28[[#This Row],[R-DEMAND]]</f>
        <v>0</v>
      </c>
      <c r="T584" s="316">
        <f>Table28[[#This Row],[SEATS SOLD]]*Table28[[#This Row],[ECO SEAT]]</f>
        <v>0</v>
      </c>
      <c r="U584" s="316">
        <f>Table28[[#This Row],[SEATS SOLD]]*(IFERROR(VLOOKUP(Table28[[#This Row],[ROUTE]],PRICING!A:C,3,FALSE),0))</f>
        <v>0</v>
      </c>
      <c r="V584" s="316">
        <f>Table28[[#This Row],[SEAT REV]]-Table28[[#This Row],[SEAT REV
(IF IDEAL $)]]</f>
        <v>0</v>
      </c>
      <c r="AS584" s="16" t="s">
        <v>11732</v>
      </c>
      <c r="AT584" s="16" t="s">
        <v>16966</v>
      </c>
      <c r="AU584" s="16" t="s">
        <v>5469</v>
      </c>
      <c r="AV584" s="16" t="s">
        <v>18878</v>
      </c>
      <c r="AW584" s="16" t="s">
        <v>18899</v>
      </c>
      <c r="AX584" s="16" t="s">
        <v>18965</v>
      </c>
      <c r="AY584" s="385">
        <v>13607</v>
      </c>
    </row>
    <row r="585" spans="1:51" x14ac:dyDescent="0.25">
      <c r="A585" s="16" t="s">
        <v>19416</v>
      </c>
      <c r="B585" s="16" t="s">
        <v>5734</v>
      </c>
      <c r="D585" s="16">
        <v>5</v>
      </c>
      <c r="E585" s="16" t="s">
        <v>11732</v>
      </c>
      <c r="F585" s="16" t="str">
        <f>VLOOKUP(Table28[[#This Row],[Country]],Table10[[COUNTRY NAME]:[CONTINENT CODE]],3,FALSE)</f>
        <v>NA - US</v>
      </c>
      <c r="G585" s="16" t="s">
        <v>13283</v>
      </c>
      <c r="H585" s="181">
        <v>12561</v>
      </c>
      <c r="I585" s="180">
        <v>29.75</v>
      </c>
      <c r="K585" s="316">
        <f>IFERROR(Table28[[#This Row],[ROUTE COST]]/Table28[[#This Row],[O - DEMAND]],0)</f>
        <v>0</v>
      </c>
      <c r="M585" s="180">
        <f>Table28[[#This Row],[O - DEMAND]]/950</f>
        <v>0</v>
      </c>
      <c r="N585" s="16">
        <f>IFERROR(VLOOKUP(Table28[[#This Row],[ROUTE]],DEMAND!A:F,5,FALSE),0)</f>
        <v>0</v>
      </c>
      <c r="O585" s="16">
        <f>IFERROR(VLOOKUP(Table28[[#This Row],[ROUTE]],DEMAND!A:F,6,FALSE),0)</f>
        <v>0</v>
      </c>
      <c r="P585" s="16">
        <f>ROUNDDOWN(Table28[[#This Row],[R-DEMAND]]/950,0)</f>
        <v>0</v>
      </c>
      <c r="Q585" s="16">
        <f>Table28[[#This Row],[ADD ACC
(475/950)]]*Table28[[#This Row],[Duration
(A359)]]</f>
        <v>0</v>
      </c>
      <c r="R585" s="16">
        <f>IFERROR(VLOOKUP(Table28[[#This Row],[ROUTE]],PRICING!A:B,2,FALSE),0)</f>
        <v>0</v>
      </c>
      <c r="S585" s="16">
        <f>Table28[[#This Row],[C_DEMAND]]-Table28[[#This Row],[R-DEMAND]]</f>
        <v>0</v>
      </c>
      <c r="T585" s="316">
        <f>Table28[[#This Row],[SEATS SOLD]]*Table28[[#This Row],[ECO SEAT]]</f>
        <v>0</v>
      </c>
      <c r="U585" s="316">
        <f>Table28[[#This Row],[SEATS SOLD]]*(IFERROR(VLOOKUP(Table28[[#This Row],[ROUTE]],PRICING!A:C,3,FALSE),0))</f>
        <v>0</v>
      </c>
      <c r="V585" s="316">
        <f>Table28[[#This Row],[SEAT REV]]-Table28[[#This Row],[SEAT REV
(IF IDEAL $)]]</f>
        <v>0</v>
      </c>
      <c r="AS585" s="16" t="s">
        <v>2293</v>
      </c>
      <c r="AT585" s="16" t="s">
        <v>13201</v>
      </c>
      <c r="AU585" s="16" t="s">
        <v>5336</v>
      </c>
      <c r="AV585" s="16" t="s">
        <v>18881</v>
      </c>
      <c r="AW585" s="16" t="s">
        <v>18885</v>
      </c>
      <c r="AX585" s="16" t="s">
        <v>18965</v>
      </c>
      <c r="AY585" s="385">
        <v>13612</v>
      </c>
    </row>
    <row r="586" spans="1:51" x14ac:dyDescent="0.25">
      <c r="A586" s="16" t="s">
        <v>19720</v>
      </c>
      <c r="B586" s="16" t="s">
        <v>4036</v>
      </c>
      <c r="D586" s="16">
        <v>2</v>
      </c>
      <c r="E586" s="16" t="s">
        <v>11732</v>
      </c>
      <c r="F586" s="16" t="str">
        <f>VLOOKUP(Table28[[#This Row],[Country]],Table10[[COUNTRY NAME]:[CONTINENT CODE]],3,FALSE)</f>
        <v>NA - US</v>
      </c>
      <c r="G586" s="16" t="s">
        <v>13312</v>
      </c>
      <c r="H586" s="181">
        <v>14690</v>
      </c>
      <c r="I586" s="180">
        <v>34.5</v>
      </c>
      <c r="K586" s="316">
        <f>IFERROR(Table28[[#This Row],[ROUTE COST]]/Table28[[#This Row],[O - DEMAND]],0)</f>
        <v>0</v>
      </c>
      <c r="M586" s="180">
        <f>Table28[[#This Row],[O - DEMAND]]/950</f>
        <v>0</v>
      </c>
      <c r="N586" s="16">
        <f>IFERROR(VLOOKUP(Table28[[#This Row],[ROUTE]],DEMAND!A:F,5,FALSE),0)</f>
        <v>0</v>
      </c>
      <c r="O586" s="16">
        <f>IFERROR(VLOOKUP(Table28[[#This Row],[ROUTE]],DEMAND!A:F,6,FALSE),0)</f>
        <v>0</v>
      </c>
      <c r="P586" s="16">
        <f>ROUNDDOWN(Table28[[#This Row],[R-DEMAND]]/950,0)</f>
        <v>0</v>
      </c>
      <c r="Q586" s="16">
        <f>Table28[[#This Row],[ADD ACC
(475/950)]]*Table28[[#This Row],[Duration
(A359)]]</f>
        <v>0</v>
      </c>
      <c r="R586" s="16">
        <f>IFERROR(VLOOKUP(Table28[[#This Row],[ROUTE]],PRICING!A:B,2,FALSE),0)</f>
        <v>0</v>
      </c>
      <c r="S586" s="16">
        <f>Table28[[#This Row],[C_DEMAND]]-Table28[[#This Row],[R-DEMAND]]</f>
        <v>0</v>
      </c>
      <c r="T586" s="316">
        <f>Table28[[#This Row],[SEATS SOLD]]*Table28[[#This Row],[ECO SEAT]]</f>
        <v>0</v>
      </c>
      <c r="U586" s="316">
        <f>Table28[[#This Row],[SEATS SOLD]]*(IFERROR(VLOOKUP(Table28[[#This Row],[ROUTE]],PRICING!A:C,3,FALSE),0))</f>
        <v>0</v>
      </c>
      <c r="V586" s="316">
        <f>Table28[[#This Row],[SEAT REV]]-Table28[[#This Row],[SEAT REV
(IF IDEAL $)]]</f>
        <v>0</v>
      </c>
      <c r="AS586" s="16" t="s">
        <v>172</v>
      </c>
      <c r="AT586" s="16" t="s">
        <v>10925</v>
      </c>
      <c r="AU586" s="16" t="s">
        <v>4494</v>
      </c>
      <c r="AV586" s="16" t="s">
        <v>18884</v>
      </c>
      <c r="AW586" s="16" t="s">
        <v>18879</v>
      </c>
      <c r="AX586" s="16" t="s">
        <v>18965</v>
      </c>
      <c r="AY586" s="385">
        <v>13617</v>
      </c>
    </row>
    <row r="587" spans="1:51" x14ac:dyDescent="0.25">
      <c r="A587" s="16" t="s">
        <v>19752</v>
      </c>
      <c r="B587" s="16" t="s">
        <v>4389</v>
      </c>
      <c r="D587" s="16">
        <v>2</v>
      </c>
      <c r="E587" s="16" t="s">
        <v>11732</v>
      </c>
      <c r="F587" s="16" t="str">
        <f>VLOOKUP(Table28[[#This Row],[Country]],Table10[[COUNTRY NAME]:[CONTINENT CODE]],3,FALSE)</f>
        <v>NA - US</v>
      </c>
      <c r="G587" s="16" t="s">
        <v>13365</v>
      </c>
      <c r="H587" s="181">
        <v>14895</v>
      </c>
      <c r="I587" s="180">
        <v>34.75</v>
      </c>
      <c r="K587" s="316">
        <f>IFERROR(Table28[[#This Row],[ROUTE COST]]/Table28[[#This Row],[O - DEMAND]],0)</f>
        <v>0</v>
      </c>
      <c r="M587" s="180">
        <f>Table28[[#This Row],[O - DEMAND]]/950</f>
        <v>0</v>
      </c>
      <c r="N587" s="16">
        <f>IFERROR(VLOOKUP(Table28[[#This Row],[ROUTE]],DEMAND!A:F,5,FALSE),0)</f>
        <v>0</v>
      </c>
      <c r="O587" s="16">
        <f>IFERROR(VLOOKUP(Table28[[#This Row],[ROUTE]],DEMAND!A:F,6,FALSE),0)</f>
        <v>0</v>
      </c>
      <c r="P587" s="16">
        <f>ROUNDDOWN(Table28[[#This Row],[R-DEMAND]]/950,0)</f>
        <v>0</v>
      </c>
      <c r="Q587" s="16">
        <f>Table28[[#This Row],[ADD ACC
(475/950)]]*Table28[[#This Row],[Duration
(A359)]]</f>
        <v>0</v>
      </c>
      <c r="R587" s="16">
        <f>IFERROR(VLOOKUP(Table28[[#This Row],[ROUTE]],PRICING!A:B,2,FALSE),0)</f>
        <v>0</v>
      </c>
      <c r="S587" s="16">
        <f>Table28[[#This Row],[C_DEMAND]]-Table28[[#This Row],[R-DEMAND]]</f>
        <v>0</v>
      </c>
      <c r="T587" s="316">
        <f>Table28[[#This Row],[SEATS SOLD]]*Table28[[#This Row],[ECO SEAT]]</f>
        <v>0</v>
      </c>
      <c r="U587" s="316">
        <f>Table28[[#This Row],[SEATS SOLD]]*(IFERROR(VLOOKUP(Table28[[#This Row],[ROUTE]],PRICING!A:C,3,FALSE),0))</f>
        <v>0</v>
      </c>
      <c r="V587" s="316">
        <f>Table28[[#This Row],[SEAT REV]]-Table28[[#This Row],[SEAT REV
(IF IDEAL $)]]</f>
        <v>0</v>
      </c>
      <c r="AS587" s="16" t="s">
        <v>11732</v>
      </c>
      <c r="AT587" s="16" t="s">
        <v>13324</v>
      </c>
      <c r="AU587" s="16" t="s">
        <v>5524</v>
      </c>
      <c r="AV587" s="16" t="s">
        <v>18884</v>
      </c>
      <c r="AW587" s="16" t="s">
        <v>18899</v>
      </c>
      <c r="AX587" s="16" t="s">
        <v>18965</v>
      </c>
      <c r="AY587" s="385">
        <v>13642</v>
      </c>
    </row>
    <row r="588" spans="1:51" x14ac:dyDescent="0.25">
      <c r="A588" s="16" t="s">
        <v>19475</v>
      </c>
      <c r="B588" s="16" t="s">
        <v>1971</v>
      </c>
      <c r="D588" s="16">
        <v>1</v>
      </c>
      <c r="E588" s="16" t="s">
        <v>11732</v>
      </c>
      <c r="F588" s="16" t="str">
        <f>VLOOKUP(Table28[[#This Row],[Country]],Table10[[COUNTRY NAME]:[CONTINENT CODE]],3,FALSE)</f>
        <v>NA - US</v>
      </c>
      <c r="G588" s="16" t="s">
        <v>13268</v>
      </c>
      <c r="H588" s="181">
        <v>12957</v>
      </c>
      <c r="I588" s="180">
        <v>30.5</v>
      </c>
      <c r="K588" s="316">
        <f>IFERROR(Table28[[#This Row],[ROUTE COST]]/Table28[[#This Row],[O - DEMAND]],0)</f>
        <v>0</v>
      </c>
      <c r="M588" s="180">
        <f>Table28[[#This Row],[O - DEMAND]]/950</f>
        <v>0</v>
      </c>
      <c r="N588" s="16">
        <f>IFERROR(VLOOKUP(Table28[[#This Row],[ROUTE]],DEMAND!A:F,5,FALSE),0)</f>
        <v>0</v>
      </c>
      <c r="O588" s="16">
        <f>IFERROR(VLOOKUP(Table28[[#This Row],[ROUTE]],DEMAND!A:F,6,FALSE),0)</f>
        <v>0</v>
      </c>
      <c r="P588" s="16">
        <f>ROUNDDOWN(Table28[[#This Row],[R-DEMAND]]/950,0)</f>
        <v>0</v>
      </c>
      <c r="Q588" s="16">
        <f>Table28[[#This Row],[ADD ACC
(475/950)]]*Table28[[#This Row],[Duration
(A359)]]</f>
        <v>0</v>
      </c>
      <c r="R588" s="16">
        <f>IFERROR(VLOOKUP(Table28[[#This Row],[ROUTE]],PRICING!A:B,2,FALSE),0)</f>
        <v>0</v>
      </c>
      <c r="S588" s="16">
        <f>Table28[[#This Row],[C_DEMAND]]-Table28[[#This Row],[R-DEMAND]]</f>
        <v>0</v>
      </c>
      <c r="T588" s="316">
        <f>Table28[[#This Row],[SEATS SOLD]]*Table28[[#This Row],[ECO SEAT]]</f>
        <v>0</v>
      </c>
      <c r="U588" s="316">
        <f>Table28[[#This Row],[SEATS SOLD]]*(IFERROR(VLOOKUP(Table28[[#This Row],[ROUTE]],PRICING!A:C,3,FALSE),0))</f>
        <v>0</v>
      </c>
      <c r="V588" s="316">
        <f>Table28[[#This Row],[SEAT REV]]-Table28[[#This Row],[SEAT REV
(IF IDEAL $)]]</f>
        <v>0</v>
      </c>
      <c r="AS588" s="16" t="s">
        <v>11732</v>
      </c>
      <c r="AT588" s="16" t="s">
        <v>13332</v>
      </c>
      <c r="AU588" s="16" t="s">
        <v>937</v>
      </c>
      <c r="AV588" s="16" t="s">
        <v>18892</v>
      </c>
      <c r="AW588" s="16" t="s">
        <v>18890</v>
      </c>
      <c r="AX588" s="16" t="s">
        <v>18965</v>
      </c>
      <c r="AY588" s="385">
        <v>13649</v>
      </c>
    </row>
    <row r="589" spans="1:51" x14ac:dyDescent="0.25">
      <c r="A589" s="16" t="s">
        <v>19181</v>
      </c>
      <c r="B589" s="16" t="s">
        <v>122</v>
      </c>
      <c r="C589" s="16" t="s">
        <v>467</v>
      </c>
      <c r="D589" s="16">
        <v>5</v>
      </c>
      <c r="E589" s="16" t="s">
        <v>14</v>
      </c>
      <c r="F589" s="16" t="str">
        <f>VLOOKUP(Table28[[#This Row],[Country]],Table10[[COUNTRY NAME]:[CONTINENT CODE]],3,FALSE)</f>
        <v>AS</v>
      </c>
      <c r="G589" s="16" t="s">
        <v>121</v>
      </c>
      <c r="H589" s="181">
        <v>8918</v>
      </c>
      <c r="I589" s="180">
        <v>21.75</v>
      </c>
      <c r="K589" s="316">
        <f>IFERROR(Table28[[#This Row],[ROUTE COST]]/Table28[[#This Row],[O - DEMAND]],0)</f>
        <v>0</v>
      </c>
      <c r="M589" s="16">
        <f>Table28[[#This Row],[O - DEMAND]]/950</f>
        <v>0</v>
      </c>
      <c r="N589" s="16">
        <f>IFERROR(VLOOKUP(Table28[[#This Row],[ROUTE]],DEMAND!A:F,5,FALSE),0)</f>
        <v>3476</v>
      </c>
      <c r="O589" s="16">
        <f>IFERROR(VLOOKUP(Table28[[#This Row],[ROUTE]],DEMAND!A:F,6,FALSE),0)</f>
        <v>626</v>
      </c>
      <c r="P589" s="16">
        <f>ROUNDDOWN(Table28[[#This Row],[R-DEMAND]]/950,0)</f>
        <v>0</v>
      </c>
      <c r="Q589" s="16">
        <f>Table28[[#This Row],[ADD ACC
(475/950)]]*Table28[[#This Row],[Duration
(A359)]]</f>
        <v>0</v>
      </c>
      <c r="R589" s="16">
        <f>IFERROR(VLOOKUP(Table28[[#This Row],[ROUTE]],PRICING!A:B,2,FALSE),0)</f>
        <v>0</v>
      </c>
      <c r="S589" s="16">
        <f>Table28[[#This Row],[C_DEMAND]]-Table28[[#This Row],[R-DEMAND]]</f>
        <v>2850</v>
      </c>
      <c r="T589" s="316">
        <f>Table28[[#This Row],[SEATS SOLD]]*Table28[[#This Row],[ECO SEAT]]</f>
        <v>0</v>
      </c>
      <c r="U589" s="316">
        <f>Table28[[#This Row],[SEATS SOLD]]*(IFERROR(VLOOKUP(Table28[[#This Row],[ROUTE]],PRICING!A:C,3,FALSE),0))</f>
        <v>0</v>
      </c>
      <c r="V589" s="316">
        <f>Table28[[#This Row],[SEAT REV]]-Table28[[#This Row],[SEAT REV
(IF IDEAL $)]]</f>
        <v>0</v>
      </c>
      <c r="AS589" s="16" t="s">
        <v>881</v>
      </c>
      <c r="AT589" s="16" t="s">
        <v>9981</v>
      </c>
      <c r="AU589" s="16" t="s">
        <v>883</v>
      </c>
      <c r="AV589" s="16" t="s">
        <v>18892</v>
      </c>
      <c r="AW589" s="16" t="s">
        <v>18890</v>
      </c>
      <c r="AX589" s="16" t="s">
        <v>18965</v>
      </c>
      <c r="AY589" s="385">
        <v>13664</v>
      </c>
    </row>
    <row r="590" spans="1:51" x14ac:dyDescent="0.25">
      <c r="A590" s="16" t="s">
        <v>19608</v>
      </c>
      <c r="B590" s="16" t="s">
        <v>4387</v>
      </c>
      <c r="D590" s="16">
        <v>2</v>
      </c>
      <c r="E590" s="16" t="s">
        <v>517</v>
      </c>
      <c r="F590" s="16" t="str">
        <f>VLOOKUP(Table28[[#This Row],[Country]],Table10[[COUNTRY NAME]:[CONTINENT CODE]],3,FALSE)</f>
        <v>SA</v>
      </c>
      <c r="G590" s="16" t="s">
        <v>16940</v>
      </c>
      <c r="H590" s="181">
        <v>13826</v>
      </c>
      <c r="I590" s="180">
        <v>32.5</v>
      </c>
      <c r="K590" s="316">
        <f>IFERROR(Table28[[#This Row],[ROUTE COST]]/Table28[[#This Row],[O - DEMAND]],0)</f>
        <v>0</v>
      </c>
      <c r="M590" s="16">
        <f>Table28[[#This Row],[O - DEMAND]]/950</f>
        <v>0</v>
      </c>
      <c r="N590" s="16">
        <f>IFERROR(VLOOKUP(Table28[[#This Row],[ROUTE]],DEMAND!A:F,5,FALSE),0)</f>
        <v>0</v>
      </c>
      <c r="O590" s="16">
        <f>IFERROR(VLOOKUP(Table28[[#This Row],[ROUTE]],DEMAND!A:F,6,FALSE),0)</f>
        <v>0</v>
      </c>
      <c r="P590" s="16">
        <f>ROUNDDOWN(Table28[[#This Row],[R-DEMAND]]/950,0)</f>
        <v>0</v>
      </c>
      <c r="Q590" s="16">
        <f>Table28[[#This Row],[ADD ACC
(475/950)]]*Table28[[#This Row],[Duration
(A359)]]</f>
        <v>0</v>
      </c>
      <c r="R590" s="16">
        <f>IFERROR(VLOOKUP(Table28[[#This Row],[ROUTE]],PRICING!A:B,2,FALSE),0)</f>
        <v>0</v>
      </c>
      <c r="S590" s="16">
        <f>Table28[[#This Row],[C_DEMAND]]-Table28[[#This Row],[R-DEMAND]]</f>
        <v>0</v>
      </c>
      <c r="T590" s="316">
        <f>Table28[[#This Row],[SEATS SOLD]]*Table28[[#This Row],[ECO SEAT]]</f>
        <v>0</v>
      </c>
      <c r="U590" s="316">
        <f>Table28[[#This Row],[SEATS SOLD]]*(IFERROR(VLOOKUP(Table28[[#This Row],[ROUTE]],PRICING!A:C,3,FALSE),0))</f>
        <v>0</v>
      </c>
      <c r="V590" s="316">
        <f>Table28[[#This Row],[SEAT REV]]-Table28[[#This Row],[SEAT REV
(IF IDEAL $)]]</f>
        <v>0</v>
      </c>
      <c r="AS590" s="16" t="s">
        <v>11732</v>
      </c>
      <c r="AT590" s="16" t="s">
        <v>13321</v>
      </c>
      <c r="AU590" s="16" t="s">
        <v>4011</v>
      </c>
      <c r="AV590" s="16" t="s">
        <v>18881</v>
      </c>
      <c r="AW590" s="16" t="s">
        <v>18879</v>
      </c>
      <c r="AX590" s="16" t="s">
        <v>18908</v>
      </c>
      <c r="AY590" s="385">
        <v>13666</v>
      </c>
    </row>
    <row r="591" spans="1:51" x14ac:dyDescent="0.25">
      <c r="A591" s="16" t="s">
        <v>19317</v>
      </c>
      <c r="B591" s="16" t="s">
        <v>1335</v>
      </c>
      <c r="D591" s="16">
        <v>1</v>
      </c>
      <c r="E591" s="16" t="s">
        <v>588</v>
      </c>
      <c r="F591" s="16" t="str">
        <f>VLOOKUP(Table28[[#This Row],[Country]],Table10[[COUNTRY NAME]:[CONTINENT CODE]],3,FALSE)</f>
        <v>EU</v>
      </c>
      <c r="G591" s="16" t="s">
        <v>11966</v>
      </c>
      <c r="H591" s="181">
        <v>11667</v>
      </c>
      <c r="I591" s="180">
        <v>27.75</v>
      </c>
      <c r="K591" s="316">
        <f>IFERROR(Table28[[#This Row],[ROUTE COST]]/Table28[[#This Row],[O - DEMAND]],0)</f>
        <v>0</v>
      </c>
      <c r="M591" s="16">
        <f>Table28[[#This Row],[O - DEMAND]]/950</f>
        <v>0</v>
      </c>
      <c r="N591" s="16">
        <f>IFERROR(VLOOKUP(Table28[[#This Row],[ROUTE]],DEMAND!A:F,5,FALSE),0)</f>
        <v>0</v>
      </c>
      <c r="O591" s="16">
        <f>IFERROR(VLOOKUP(Table28[[#This Row],[ROUTE]],DEMAND!A:F,6,FALSE),0)</f>
        <v>0</v>
      </c>
      <c r="P591" s="16">
        <f>ROUNDDOWN(Table28[[#This Row],[R-DEMAND]]/950,0)</f>
        <v>0</v>
      </c>
      <c r="Q591" s="16">
        <f>Table28[[#This Row],[ADD ACC
(475/950)]]*Table28[[#This Row],[Duration
(A359)]]</f>
        <v>0</v>
      </c>
      <c r="R591" s="16">
        <f>IFERROR(VLOOKUP(Table28[[#This Row],[ROUTE]],PRICING!A:B,2,FALSE),0)</f>
        <v>0</v>
      </c>
      <c r="S591" s="16">
        <f>Table28[[#This Row],[C_DEMAND]]-Table28[[#This Row],[R-DEMAND]]</f>
        <v>0</v>
      </c>
      <c r="T591" s="316">
        <f>Table28[[#This Row],[SEATS SOLD]]*Table28[[#This Row],[ECO SEAT]]</f>
        <v>0</v>
      </c>
      <c r="U591" s="316">
        <f>Table28[[#This Row],[SEATS SOLD]]*(IFERROR(VLOOKUP(Table28[[#This Row],[ROUTE]],PRICING!A:C,3,FALSE),0))</f>
        <v>0</v>
      </c>
      <c r="V591" s="316">
        <f>Table28[[#This Row],[SEAT REV]]-Table28[[#This Row],[SEAT REV
(IF IDEAL $)]]</f>
        <v>0</v>
      </c>
      <c r="AS591" s="16" t="s">
        <v>1270</v>
      </c>
      <c r="AT591" s="16" t="s">
        <v>11912</v>
      </c>
      <c r="AU591" s="16" t="s">
        <v>4779</v>
      </c>
      <c r="AV591" s="16" t="s">
        <v>18884</v>
      </c>
      <c r="AW591" s="16" t="s">
        <v>18885</v>
      </c>
      <c r="AX591" s="16" t="s">
        <v>18908</v>
      </c>
      <c r="AY591" s="385">
        <v>13669</v>
      </c>
    </row>
    <row r="592" spans="1:51" x14ac:dyDescent="0.25">
      <c r="A592" s="16" t="s">
        <v>19249</v>
      </c>
      <c r="B592" s="16" t="s">
        <v>4433</v>
      </c>
      <c r="D592" s="16">
        <v>2</v>
      </c>
      <c r="E592" s="16" t="s">
        <v>530</v>
      </c>
      <c r="F592" s="16" t="str">
        <f>VLOOKUP(Table28[[#This Row],[Country]],Table10[[COUNTRY NAME]:[CONTINENT CODE]],3,FALSE)</f>
        <v>SA</v>
      </c>
      <c r="G592" s="16" t="s">
        <v>16930</v>
      </c>
      <c r="H592" s="181">
        <v>10493</v>
      </c>
      <c r="I592" s="180">
        <v>25.25</v>
      </c>
      <c r="K592" s="316">
        <f>IFERROR(Table28[[#This Row],[ROUTE COST]]/Table28[[#This Row],[O - DEMAND]],0)</f>
        <v>0</v>
      </c>
      <c r="M592" s="16">
        <f>Table28[[#This Row],[O - DEMAND]]/950</f>
        <v>0</v>
      </c>
      <c r="N592" s="16">
        <f>IFERROR(VLOOKUP(Table28[[#This Row],[ROUTE]],DEMAND!A:F,5,FALSE),0)</f>
        <v>0</v>
      </c>
      <c r="O592" s="16">
        <f>IFERROR(VLOOKUP(Table28[[#This Row],[ROUTE]],DEMAND!A:F,6,FALSE),0)</f>
        <v>0</v>
      </c>
      <c r="P592" s="16">
        <f>ROUNDDOWN(Table28[[#This Row],[R-DEMAND]]/950,0)</f>
        <v>0</v>
      </c>
      <c r="Q592" s="16">
        <f>Table28[[#This Row],[ADD ACC
(475/950)]]*Table28[[#This Row],[Duration
(A359)]]</f>
        <v>0</v>
      </c>
      <c r="R592" s="16">
        <f>IFERROR(VLOOKUP(Table28[[#This Row],[ROUTE]],PRICING!A:B,2,FALSE),0)</f>
        <v>0</v>
      </c>
      <c r="S592" s="16">
        <f>Table28[[#This Row],[C_DEMAND]]-Table28[[#This Row],[R-DEMAND]]</f>
        <v>0</v>
      </c>
      <c r="T592" s="316">
        <f>Table28[[#This Row],[SEATS SOLD]]*Table28[[#This Row],[ECO SEAT]]</f>
        <v>0</v>
      </c>
      <c r="U592" s="316">
        <f>Table28[[#This Row],[SEATS SOLD]]*(IFERROR(VLOOKUP(Table28[[#This Row],[ROUTE]],PRICING!A:C,3,FALSE),0))</f>
        <v>0</v>
      </c>
      <c r="V592" s="316">
        <f>Table28[[#This Row],[SEAT REV]]-Table28[[#This Row],[SEAT REV
(IF IDEAL $)]]</f>
        <v>0</v>
      </c>
      <c r="AS592" s="16" t="s">
        <v>78</v>
      </c>
      <c r="AT592" s="16" t="s">
        <v>11898</v>
      </c>
      <c r="AU592" s="16" t="s">
        <v>4703</v>
      </c>
      <c r="AV592" s="16" t="s">
        <v>18881</v>
      </c>
      <c r="AW592" s="16" t="s">
        <v>18879</v>
      </c>
      <c r="AX592" s="16" t="s">
        <v>18908</v>
      </c>
      <c r="AY592" s="385">
        <v>13670</v>
      </c>
    </row>
    <row r="593" spans="1:51" x14ac:dyDescent="0.25">
      <c r="A593" s="16" t="s">
        <v>19065</v>
      </c>
      <c r="B593" s="16" t="s">
        <v>117</v>
      </c>
      <c r="C593" s="16" t="s">
        <v>467</v>
      </c>
      <c r="D593" s="16">
        <v>3</v>
      </c>
      <c r="E593" s="16" t="s">
        <v>4853</v>
      </c>
      <c r="F593" s="16" t="str">
        <f>VLOOKUP(Table28[[#This Row],[Country]],Table10[[COUNTRY NAME]:[CONTINENT CODE]],3,FALSE)</f>
        <v>AS</v>
      </c>
      <c r="G593" s="16" t="s">
        <v>12103</v>
      </c>
      <c r="H593" s="181">
        <v>7039</v>
      </c>
      <c r="I593" s="180">
        <v>17.5</v>
      </c>
      <c r="K593" s="316">
        <f>IFERROR(Table28[[#This Row],[ROUTE COST]]/Table28[[#This Row],[O - DEMAND]],0)</f>
        <v>0</v>
      </c>
      <c r="M593" s="16">
        <f>Table28[[#This Row],[O - DEMAND]]/950</f>
        <v>0</v>
      </c>
      <c r="N593" s="16">
        <f>IFERROR(VLOOKUP(Table28[[#This Row],[ROUTE]],DEMAND!A:F,5,FALSE),0)</f>
        <v>3370</v>
      </c>
      <c r="O593" s="16">
        <f>IFERROR(VLOOKUP(Table28[[#This Row],[ROUTE]],DEMAND!A:F,6,FALSE),0)</f>
        <v>520</v>
      </c>
      <c r="P593" s="16">
        <f>ROUNDDOWN(Table28[[#This Row],[R-DEMAND]]/950,0)</f>
        <v>0</v>
      </c>
      <c r="Q593" s="16">
        <f>Table28[[#This Row],[ADD ACC
(475/950)]]*Table28[[#This Row],[Duration
(A359)]]</f>
        <v>0</v>
      </c>
      <c r="R593" s="16">
        <f>IFERROR(VLOOKUP(Table28[[#This Row],[ROUTE]],PRICING!A:B,2,FALSE),0)</f>
        <v>0</v>
      </c>
      <c r="S593" s="16">
        <f>Table28[[#This Row],[C_DEMAND]]-Table28[[#This Row],[R-DEMAND]]</f>
        <v>2850</v>
      </c>
      <c r="T593" s="316">
        <f>Table28[[#This Row],[SEATS SOLD]]*Table28[[#This Row],[ECO SEAT]]</f>
        <v>0</v>
      </c>
      <c r="U593" s="316">
        <f>Table28[[#This Row],[SEATS SOLD]]*(IFERROR(VLOOKUP(Table28[[#This Row],[ROUTE]],PRICING!A:C,3,FALSE),0))</f>
        <v>0</v>
      </c>
      <c r="V593" s="316">
        <f>Table28[[#This Row],[SEAT REV]]-Table28[[#This Row],[SEAT REV
(IF IDEAL $)]]</f>
        <v>0</v>
      </c>
      <c r="AS593" s="16" t="s">
        <v>1578</v>
      </c>
      <c r="AT593" s="16" t="s">
        <v>11910</v>
      </c>
      <c r="AU593" s="16" t="s">
        <v>4223</v>
      </c>
      <c r="AV593" s="16" t="s">
        <v>18892</v>
      </c>
      <c r="AW593" s="16" t="s">
        <v>18879</v>
      </c>
      <c r="AX593" s="16" t="s">
        <v>18908</v>
      </c>
      <c r="AY593" s="385">
        <v>13678</v>
      </c>
    </row>
    <row r="594" spans="1:51" x14ac:dyDescent="0.25">
      <c r="A594" s="16" t="s">
        <v>19234</v>
      </c>
      <c r="B594" s="16" t="s">
        <v>5137</v>
      </c>
      <c r="C594" s="16" t="s">
        <v>467</v>
      </c>
      <c r="D594" s="16">
        <v>3</v>
      </c>
      <c r="E594" s="16" t="s">
        <v>1070</v>
      </c>
      <c r="F594" s="16" t="str">
        <f>VLOOKUP(Table28[[#This Row],[Country]],Table10[[COUNTRY NAME]:[CONTINENT CODE]],3,FALSE)</f>
        <v>AS</v>
      </c>
      <c r="G594" s="16" t="s">
        <v>16820</v>
      </c>
      <c r="H594" s="181">
        <v>10039</v>
      </c>
      <c r="I594" s="180">
        <v>24.25</v>
      </c>
      <c r="K594" s="316">
        <f>IFERROR(Table28[[#This Row],[ROUTE COST]]/Table28[[#This Row],[O - DEMAND]],0)</f>
        <v>0</v>
      </c>
      <c r="M594" s="16">
        <f>Table28[[#This Row],[O - DEMAND]]/950</f>
        <v>0</v>
      </c>
      <c r="N594" s="16">
        <f>IFERROR(VLOOKUP(Table28[[#This Row],[ROUTE]],DEMAND!A:F,5,FALSE),0)</f>
        <v>3454</v>
      </c>
      <c r="O594" s="16">
        <f>IFERROR(VLOOKUP(Table28[[#This Row],[ROUTE]],DEMAND!A:F,6,FALSE),0)</f>
        <v>604</v>
      </c>
      <c r="P594" s="16">
        <f>ROUNDDOWN(Table28[[#This Row],[R-DEMAND]]/950,0)</f>
        <v>0</v>
      </c>
      <c r="Q594" s="16">
        <f>Table28[[#This Row],[ADD ACC
(475/950)]]*Table28[[#This Row],[Duration
(A359)]]</f>
        <v>0</v>
      </c>
      <c r="R594" s="16">
        <f>IFERROR(VLOOKUP(Table28[[#This Row],[ROUTE]],PRICING!A:B,2,FALSE),0)</f>
        <v>0</v>
      </c>
      <c r="S594" s="16">
        <f>Table28[[#This Row],[C_DEMAND]]-Table28[[#This Row],[R-DEMAND]]</f>
        <v>2850</v>
      </c>
      <c r="T594" s="316">
        <f>Table28[[#This Row],[SEATS SOLD]]*Table28[[#This Row],[ECO SEAT]]</f>
        <v>0</v>
      </c>
      <c r="U594" s="316">
        <f>Table28[[#This Row],[SEATS SOLD]]*(IFERROR(VLOOKUP(Table28[[#This Row],[ROUTE]],PRICING!A:C,3,FALSE),0))</f>
        <v>0</v>
      </c>
      <c r="V594" s="316">
        <f>Table28[[#This Row],[SEAT REV]]-Table28[[#This Row],[SEAT REV
(IF IDEAL $)]]</f>
        <v>0</v>
      </c>
      <c r="AS594" s="16" t="s">
        <v>78</v>
      </c>
      <c r="AT594" s="16" t="s">
        <v>16862</v>
      </c>
      <c r="AU594" s="16" t="s">
        <v>2518</v>
      </c>
      <c r="AV594" s="16" t="s">
        <v>18878</v>
      </c>
      <c r="AW594" s="16" t="s">
        <v>18879</v>
      </c>
      <c r="AX594" s="16" t="s">
        <v>18908</v>
      </c>
      <c r="AY594" s="385">
        <v>13679</v>
      </c>
    </row>
    <row r="595" spans="1:51" x14ac:dyDescent="0.25">
      <c r="A595" s="16" t="s">
        <v>19783</v>
      </c>
      <c r="B595" s="16" t="s">
        <v>3553</v>
      </c>
      <c r="D595" s="16">
        <v>2</v>
      </c>
      <c r="E595" s="16" t="s">
        <v>517</v>
      </c>
      <c r="F595" s="16" t="str">
        <f>VLOOKUP(Table28[[#This Row],[Country]],Table10[[COUNTRY NAME]:[CONTINENT CODE]],3,FALSE)</f>
        <v>SA</v>
      </c>
      <c r="G595" s="16" t="s">
        <v>13157</v>
      </c>
      <c r="H595" s="181">
        <v>15046</v>
      </c>
      <c r="I595" s="180">
        <v>35.25</v>
      </c>
      <c r="K595" s="316">
        <f>IFERROR(Table28[[#This Row],[ROUTE COST]]/Table28[[#This Row],[O - DEMAND]],0)</f>
        <v>0</v>
      </c>
      <c r="M595" s="16">
        <f>Table28[[#This Row],[O - DEMAND]]/950</f>
        <v>0</v>
      </c>
      <c r="N595" s="16">
        <f>IFERROR(VLOOKUP(Table28[[#This Row],[ROUTE]],DEMAND!A:F,5,FALSE),0)</f>
        <v>0</v>
      </c>
      <c r="O595" s="16">
        <f>IFERROR(VLOOKUP(Table28[[#This Row],[ROUTE]],DEMAND!A:F,6,FALSE),0)</f>
        <v>0</v>
      </c>
      <c r="P595" s="16">
        <f>ROUNDDOWN(Table28[[#This Row],[R-DEMAND]]/950,0)</f>
        <v>0</v>
      </c>
      <c r="Q595" s="16">
        <f>Table28[[#This Row],[ADD ACC
(475/950)]]*Table28[[#This Row],[Duration
(A359)]]</f>
        <v>0</v>
      </c>
      <c r="R595" s="16">
        <f>IFERROR(VLOOKUP(Table28[[#This Row],[ROUTE]],PRICING!A:B,2,FALSE),0)</f>
        <v>0</v>
      </c>
      <c r="S595" s="16">
        <f>Table28[[#This Row],[C_DEMAND]]-Table28[[#This Row],[R-DEMAND]]</f>
        <v>0</v>
      </c>
      <c r="T595" s="316">
        <f>Table28[[#This Row],[SEATS SOLD]]*Table28[[#This Row],[ECO SEAT]]</f>
        <v>0</v>
      </c>
      <c r="U595" s="316">
        <f>Table28[[#This Row],[SEATS SOLD]]*(IFERROR(VLOOKUP(Table28[[#This Row],[ROUTE]],PRICING!A:C,3,FALSE),0))</f>
        <v>0</v>
      </c>
      <c r="V595" s="316">
        <f>Table28[[#This Row],[SEAT REV]]-Table28[[#This Row],[SEAT REV
(IF IDEAL $)]]</f>
        <v>0</v>
      </c>
      <c r="AS595" s="16" t="s">
        <v>700</v>
      </c>
      <c r="AT595" s="16" t="s">
        <v>16861</v>
      </c>
      <c r="AU595" s="16" t="s">
        <v>4369</v>
      </c>
      <c r="AV595" s="16" t="s">
        <v>18878</v>
      </c>
      <c r="AW595" s="16" t="s">
        <v>18879</v>
      </c>
      <c r="AX595" s="16" t="s">
        <v>18908</v>
      </c>
      <c r="AY595" s="385">
        <v>13694</v>
      </c>
    </row>
    <row r="596" spans="1:51" x14ac:dyDescent="0.25">
      <c r="A596" s="16" t="s">
        <v>19009</v>
      </c>
      <c r="B596" s="16" t="s">
        <v>4818</v>
      </c>
      <c r="C596" s="16" t="s">
        <v>467</v>
      </c>
      <c r="D596" s="16">
        <v>3</v>
      </c>
      <c r="E596" s="16" t="s">
        <v>1865</v>
      </c>
      <c r="F596" s="16" t="str">
        <f>VLOOKUP(Table28[[#This Row],[Country]],Table10[[COUNTRY NAME]:[CONTINENT CODE]],3,FALSE)</f>
        <v>OC</v>
      </c>
      <c r="G596" s="16" t="s">
        <v>18104</v>
      </c>
      <c r="H596" s="181">
        <v>2755</v>
      </c>
      <c r="I596" s="180">
        <v>8.25</v>
      </c>
      <c r="K596" s="316">
        <f>IFERROR(Table28[[#This Row],[ROUTE COST]]/Table28[[#This Row],[O - DEMAND]],0)</f>
        <v>0</v>
      </c>
      <c r="M596" s="16">
        <f>Table28[[#This Row],[O - DEMAND]]/950</f>
        <v>0</v>
      </c>
      <c r="N596" s="16">
        <f>IFERROR(VLOOKUP(Table28[[#This Row],[ROUTE]],DEMAND!A:F,5,FALSE),0)</f>
        <v>3898</v>
      </c>
      <c r="O596" s="16">
        <f>IFERROR(VLOOKUP(Table28[[#This Row],[ROUTE]],DEMAND!A:F,6,FALSE),0)</f>
        <v>98</v>
      </c>
      <c r="P596" s="16">
        <f>ROUNDDOWN(Table28[[#This Row],[R-DEMAND]]/950,0)</f>
        <v>0</v>
      </c>
      <c r="Q596" s="16">
        <f>Table28[[#This Row],[ADD ACC
(475/950)]]*Table28[[#This Row],[Duration
(A359)]]</f>
        <v>0</v>
      </c>
      <c r="R596" s="16">
        <f>IFERROR(VLOOKUP(Table28[[#This Row],[ROUTE]],PRICING!A:B,2,FALSE),0)</f>
        <v>0</v>
      </c>
      <c r="S596" s="16">
        <f>Table28[[#This Row],[C_DEMAND]]-Table28[[#This Row],[R-DEMAND]]</f>
        <v>3800</v>
      </c>
      <c r="T596" s="316">
        <f>Table28[[#This Row],[SEATS SOLD]]*Table28[[#This Row],[ECO SEAT]]</f>
        <v>0</v>
      </c>
      <c r="U596" s="316">
        <f>Table28[[#This Row],[SEATS SOLD]]*(IFERROR(VLOOKUP(Table28[[#This Row],[ROUTE]],PRICING!A:C,3,FALSE),0))</f>
        <v>0</v>
      </c>
      <c r="V596" s="316">
        <f>Table28[[#This Row],[SEAT REV]]-Table28[[#This Row],[SEAT REV
(IF IDEAL $)]]</f>
        <v>0</v>
      </c>
      <c r="AS596" s="16" t="s">
        <v>514</v>
      </c>
      <c r="AT596" s="16" t="s">
        <v>16947</v>
      </c>
      <c r="AU596" s="16" t="s">
        <v>4594</v>
      </c>
      <c r="AV596" s="16" t="s">
        <v>18878</v>
      </c>
      <c r="AW596" s="16" t="s">
        <v>18879</v>
      </c>
      <c r="AX596" s="16" t="s">
        <v>18908</v>
      </c>
      <c r="AY596" s="385">
        <v>13705</v>
      </c>
    </row>
    <row r="597" spans="1:51" x14ac:dyDescent="0.25">
      <c r="A597" s="16" t="s">
        <v>19042</v>
      </c>
      <c r="B597" s="16" t="s">
        <v>4346</v>
      </c>
      <c r="D597" s="16">
        <v>2</v>
      </c>
      <c r="E597" s="16" t="s">
        <v>717</v>
      </c>
      <c r="F597" s="16" t="str">
        <f>VLOOKUP(Table28[[#This Row],[Country]],Table10[[COUNTRY NAME]:[CONTINENT CODE]],3,FALSE)</f>
        <v>AS</v>
      </c>
      <c r="G597" s="16" t="s">
        <v>18111</v>
      </c>
      <c r="H597" s="181">
        <v>5943</v>
      </c>
      <c r="I597" s="180">
        <v>15.25</v>
      </c>
      <c r="K597" s="316">
        <f>IFERROR(Table28[[#This Row],[ROUTE COST]]/Table28[[#This Row],[O - DEMAND]],0)</f>
        <v>0</v>
      </c>
      <c r="M597" s="16">
        <f>Table28[[#This Row],[O - DEMAND]]/950</f>
        <v>0</v>
      </c>
      <c r="N597" s="16">
        <f>IFERROR(VLOOKUP(Table28[[#This Row],[ROUTE]],DEMAND!A:F,5,FALSE),0)</f>
        <v>0</v>
      </c>
      <c r="O597" s="16">
        <f>IFERROR(VLOOKUP(Table28[[#This Row],[ROUTE]],DEMAND!A:F,6,FALSE),0)</f>
        <v>0</v>
      </c>
      <c r="P597" s="16">
        <f>ROUNDDOWN(Table28[[#This Row],[R-DEMAND]]/950,0)</f>
        <v>0</v>
      </c>
      <c r="Q597" s="16">
        <f>Table28[[#This Row],[ADD ACC
(475/950)]]*Table28[[#This Row],[Duration
(A359)]]</f>
        <v>0</v>
      </c>
      <c r="R597" s="16">
        <f>IFERROR(VLOOKUP(Table28[[#This Row],[ROUTE]],PRICING!A:B,2,FALSE),0)</f>
        <v>0</v>
      </c>
      <c r="S597" s="16">
        <f>Table28[[#This Row],[C_DEMAND]]-Table28[[#This Row],[R-DEMAND]]</f>
        <v>0</v>
      </c>
      <c r="T597" s="316">
        <f>Table28[[#This Row],[SEATS SOLD]]*Table28[[#This Row],[ECO SEAT]]</f>
        <v>0</v>
      </c>
      <c r="U597" s="316">
        <f>Table28[[#This Row],[SEATS SOLD]]*(IFERROR(VLOOKUP(Table28[[#This Row],[ROUTE]],PRICING!A:C,3,FALSE),0))</f>
        <v>0</v>
      </c>
      <c r="V597" s="316">
        <f>Table28[[#This Row],[SEAT REV]]-Table28[[#This Row],[SEAT REV
(IF IDEAL $)]]</f>
        <v>0</v>
      </c>
      <c r="AS597" s="16" t="s">
        <v>11823</v>
      </c>
      <c r="AT597" s="16" t="s">
        <v>11824</v>
      </c>
      <c r="AU597" s="16" t="s">
        <v>4088</v>
      </c>
      <c r="AV597" s="16" t="s">
        <v>18884</v>
      </c>
      <c r="AW597" s="16" t="s">
        <v>18879</v>
      </c>
      <c r="AX597" s="16" t="s">
        <v>18908</v>
      </c>
      <c r="AY597" s="385">
        <v>13718</v>
      </c>
    </row>
    <row r="598" spans="1:51" x14ac:dyDescent="0.25">
      <c r="A598" s="16" t="s">
        <v>19043</v>
      </c>
      <c r="B598" s="16" t="s">
        <v>4835</v>
      </c>
      <c r="C598" s="16" t="s">
        <v>467</v>
      </c>
      <c r="D598" s="16">
        <v>3</v>
      </c>
      <c r="E598" s="16" t="s">
        <v>662</v>
      </c>
      <c r="F598" s="16" t="str">
        <f>VLOOKUP(Table28[[#This Row],[Country]],Table10[[COUNTRY NAME]:[CONTINENT CODE]],3,FALSE)</f>
        <v>OC</v>
      </c>
      <c r="G598" s="16" t="s">
        <v>11741</v>
      </c>
      <c r="H598" s="181">
        <v>6119</v>
      </c>
      <c r="I598" s="180">
        <v>15.5</v>
      </c>
      <c r="K598" s="316">
        <f>IFERROR(Table28[[#This Row],[ROUTE COST]]/Table28[[#This Row],[O - DEMAND]],0)</f>
        <v>0</v>
      </c>
      <c r="M598" s="16">
        <f>Table28[[#This Row],[O - DEMAND]]/950</f>
        <v>0</v>
      </c>
      <c r="N598" s="16">
        <f>IFERROR(VLOOKUP(Table28[[#This Row],[ROUTE]],DEMAND!A:F,5,FALSE),0)</f>
        <v>2206</v>
      </c>
      <c r="O598" s="16">
        <f>IFERROR(VLOOKUP(Table28[[#This Row],[ROUTE]],DEMAND!A:F,6,FALSE),0)</f>
        <v>306</v>
      </c>
      <c r="P598" s="16">
        <f>ROUNDDOWN(Table28[[#This Row],[R-DEMAND]]/950,0)</f>
        <v>0</v>
      </c>
      <c r="Q598" s="16">
        <f>Table28[[#This Row],[ADD ACC
(475/950)]]*Table28[[#This Row],[Duration
(A359)]]</f>
        <v>0</v>
      </c>
      <c r="R598" s="16">
        <f>IFERROR(VLOOKUP(Table28[[#This Row],[ROUTE]],PRICING!A:B,2,FALSE),0)</f>
        <v>0</v>
      </c>
      <c r="S598" s="16">
        <f>Table28[[#This Row],[C_DEMAND]]-Table28[[#This Row],[R-DEMAND]]</f>
        <v>1900</v>
      </c>
      <c r="T598" s="316">
        <f>Table28[[#This Row],[SEATS SOLD]]*Table28[[#This Row],[ECO SEAT]]</f>
        <v>0</v>
      </c>
      <c r="U598" s="316">
        <f>Table28[[#This Row],[SEATS SOLD]]*(IFERROR(VLOOKUP(Table28[[#This Row],[ROUTE]],PRICING!A:C,3,FALSE),0))</f>
        <v>0</v>
      </c>
      <c r="V598" s="316">
        <f>Table28[[#This Row],[SEAT REV]]-Table28[[#This Row],[SEAT REV
(IF IDEAL $)]]</f>
        <v>0</v>
      </c>
      <c r="AS598" s="16" t="s">
        <v>812</v>
      </c>
      <c r="AT598" s="16" t="s">
        <v>17022</v>
      </c>
      <c r="AU598" s="16" t="s">
        <v>3921</v>
      </c>
      <c r="AV598" s="16" t="s">
        <v>18878</v>
      </c>
      <c r="AW598" s="16" t="s">
        <v>18879</v>
      </c>
      <c r="AX598" s="16" t="s">
        <v>18908</v>
      </c>
      <c r="AY598" s="385">
        <v>13722</v>
      </c>
    </row>
    <row r="599" spans="1:51" x14ac:dyDescent="0.25">
      <c r="A599" s="16" t="s">
        <v>19372</v>
      </c>
      <c r="B599" s="16" t="s">
        <v>4802</v>
      </c>
      <c r="D599" s="16">
        <v>3</v>
      </c>
      <c r="E599" s="16" t="s">
        <v>11732</v>
      </c>
      <c r="F599" s="16" t="str">
        <f>VLOOKUP(Table28[[#This Row],[Country]],Table10[[COUNTRY NAME]:[CONTINENT CODE]],3,FALSE)</f>
        <v>NA - US</v>
      </c>
      <c r="G599" s="16" t="s">
        <v>13275</v>
      </c>
      <c r="H599" s="181">
        <v>12212</v>
      </c>
      <c r="I599" s="180">
        <v>29</v>
      </c>
      <c r="K599" s="316">
        <f>IFERROR(Table28[[#This Row],[ROUTE COST]]/Table28[[#This Row],[O - DEMAND]],0)</f>
        <v>0</v>
      </c>
      <c r="M599" s="180">
        <f>Table28[[#This Row],[O - DEMAND]]/950</f>
        <v>0</v>
      </c>
      <c r="N599" s="16">
        <f>IFERROR(VLOOKUP(Table28[[#This Row],[ROUTE]],DEMAND!A:F,5,FALSE),0)</f>
        <v>0</v>
      </c>
      <c r="O599" s="16">
        <f>IFERROR(VLOOKUP(Table28[[#This Row],[ROUTE]],DEMAND!A:F,6,FALSE),0)</f>
        <v>0</v>
      </c>
      <c r="P599" s="16">
        <f>ROUNDDOWN(Table28[[#This Row],[R-DEMAND]]/950,0)</f>
        <v>0</v>
      </c>
      <c r="Q599" s="16">
        <f>Table28[[#This Row],[ADD ACC
(475/950)]]*Table28[[#This Row],[Duration
(A359)]]</f>
        <v>0</v>
      </c>
      <c r="R599" s="16">
        <f>IFERROR(VLOOKUP(Table28[[#This Row],[ROUTE]],PRICING!A:B,2,FALSE),0)</f>
        <v>0</v>
      </c>
      <c r="S599" s="16">
        <f>Table28[[#This Row],[C_DEMAND]]-Table28[[#This Row],[R-DEMAND]]</f>
        <v>0</v>
      </c>
      <c r="T599" s="316">
        <f>Table28[[#This Row],[SEATS SOLD]]*Table28[[#This Row],[ECO SEAT]]</f>
        <v>0</v>
      </c>
      <c r="U599" s="316">
        <f>Table28[[#This Row],[SEATS SOLD]]*(IFERROR(VLOOKUP(Table28[[#This Row],[ROUTE]],PRICING!A:C,3,FALSE),0))</f>
        <v>0</v>
      </c>
      <c r="V599" s="316">
        <f>Table28[[#This Row],[SEAT REV]]-Table28[[#This Row],[SEAT REV
(IF IDEAL $)]]</f>
        <v>0</v>
      </c>
      <c r="AS599" s="16" t="s">
        <v>11732</v>
      </c>
      <c r="AT599" s="16" t="s">
        <v>16964</v>
      </c>
      <c r="AU599" s="16" t="s">
        <v>4116</v>
      </c>
      <c r="AV599" s="16" t="s">
        <v>18878</v>
      </c>
      <c r="AX599" s="16" t="s">
        <v>18908</v>
      </c>
      <c r="AY599" s="385">
        <v>13723</v>
      </c>
    </row>
    <row r="600" spans="1:51" x14ac:dyDescent="0.25">
      <c r="A600" s="16" t="s">
        <v>19288</v>
      </c>
      <c r="B600" s="16" t="s">
        <v>2663</v>
      </c>
      <c r="D600" s="16">
        <v>2</v>
      </c>
      <c r="E600" s="16" t="s">
        <v>926</v>
      </c>
      <c r="F600" s="16" t="str">
        <f>VLOOKUP(Table28[[#This Row],[Country]],Table10[[COUNTRY NAME]:[CONTINENT CODE]],3,FALSE)</f>
        <v>AF</v>
      </c>
      <c r="G600" s="16" t="s">
        <v>16853</v>
      </c>
      <c r="H600" s="181">
        <v>11119</v>
      </c>
      <c r="I600" s="180">
        <v>26.5</v>
      </c>
      <c r="K600" s="316">
        <f>IFERROR(Table28[[#This Row],[ROUTE COST]]/Table28[[#This Row],[O - DEMAND]],0)</f>
        <v>0</v>
      </c>
      <c r="M600" s="16">
        <f>Table28[[#This Row],[O - DEMAND]]/950</f>
        <v>0</v>
      </c>
      <c r="N600" s="16">
        <f>IFERROR(VLOOKUP(Table28[[#This Row],[ROUTE]],DEMAND!A:F,5,FALSE),0)</f>
        <v>0</v>
      </c>
      <c r="O600" s="16">
        <f>IFERROR(VLOOKUP(Table28[[#This Row],[ROUTE]],DEMAND!A:F,6,FALSE),0)</f>
        <v>0</v>
      </c>
      <c r="P600" s="16">
        <f>ROUNDDOWN(Table28[[#This Row],[R-DEMAND]]/950,0)</f>
        <v>0</v>
      </c>
      <c r="Q600" s="16">
        <f>Table28[[#This Row],[ADD ACC
(475/950)]]*Table28[[#This Row],[Duration
(A359)]]</f>
        <v>0</v>
      </c>
      <c r="R600" s="16">
        <f>IFERROR(VLOOKUP(Table28[[#This Row],[ROUTE]],PRICING!A:B,2,FALSE),0)</f>
        <v>0</v>
      </c>
      <c r="S600" s="16">
        <f>Table28[[#This Row],[C_DEMAND]]-Table28[[#This Row],[R-DEMAND]]</f>
        <v>0</v>
      </c>
      <c r="T600" s="316">
        <f>Table28[[#This Row],[SEATS SOLD]]*Table28[[#This Row],[ECO SEAT]]</f>
        <v>0</v>
      </c>
      <c r="U600" s="316">
        <f>Table28[[#This Row],[SEATS SOLD]]*(IFERROR(VLOOKUP(Table28[[#This Row],[ROUTE]],PRICING!A:C,3,FALSE),0))</f>
        <v>0</v>
      </c>
      <c r="V600" s="316">
        <f>Table28[[#This Row],[SEAT REV]]-Table28[[#This Row],[SEAT REV
(IF IDEAL $)]]</f>
        <v>0</v>
      </c>
      <c r="AS600" s="16" t="s">
        <v>11732</v>
      </c>
      <c r="AT600" s="16" t="s">
        <v>13310</v>
      </c>
      <c r="AU600" s="16" t="s">
        <v>2635</v>
      </c>
      <c r="AV600" s="16" t="s">
        <v>18884</v>
      </c>
      <c r="AW600" s="16" t="s">
        <v>18879</v>
      </c>
      <c r="AX600" s="16" t="s">
        <v>18908</v>
      </c>
      <c r="AY600" s="385">
        <v>13730</v>
      </c>
    </row>
    <row r="601" spans="1:51" x14ac:dyDescent="0.25">
      <c r="A601" s="16" t="s">
        <v>19659</v>
      </c>
      <c r="B601" s="16" t="s">
        <v>5323</v>
      </c>
      <c r="D601" s="16">
        <v>3</v>
      </c>
      <c r="E601" s="16" t="s">
        <v>2329</v>
      </c>
      <c r="F601" s="16" t="str">
        <f>VLOOKUP(Table28[[#This Row],[Country]],Table10[[COUNTRY NAME]:[CONTINENT CODE]],3,FALSE)</f>
        <v>NA</v>
      </c>
      <c r="G601" s="16" t="s">
        <v>13232</v>
      </c>
      <c r="H601" s="181">
        <v>14178</v>
      </c>
      <c r="I601" s="180">
        <v>33.25</v>
      </c>
      <c r="K601" s="316">
        <f>IFERROR(Table28[[#This Row],[ROUTE COST]]/Table28[[#This Row],[O - DEMAND]],0)</f>
        <v>0</v>
      </c>
      <c r="M601" s="16">
        <f>Table28[[#This Row],[O - DEMAND]]/950</f>
        <v>0</v>
      </c>
      <c r="N601" s="16">
        <f>IFERROR(VLOOKUP(Table28[[#This Row],[ROUTE]],DEMAND!A:F,5,FALSE),0)</f>
        <v>0</v>
      </c>
      <c r="O601" s="16">
        <f>IFERROR(VLOOKUP(Table28[[#This Row],[ROUTE]],DEMAND!A:F,6,FALSE),0)</f>
        <v>0</v>
      </c>
      <c r="P601" s="16">
        <f>ROUNDDOWN(Table28[[#This Row],[R-DEMAND]]/950,0)</f>
        <v>0</v>
      </c>
      <c r="Q601" s="16">
        <f>Table28[[#This Row],[ADD ACC
(475/950)]]*Table28[[#This Row],[Duration
(A359)]]</f>
        <v>0</v>
      </c>
      <c r="R601" s="16">
        <f>IFERROR(VLOOKUP(Table28[[#This Row],[ROUTE]],PRICING!A:B,2,FALSE),0)</f>
        <v>0</v>
      </c>
      <c r="S601" s="16">
        <f>Table28[[#This Row],[C_DEMAND]]-Table28[[#This Row],[R-DEMAND]]</f>
        <v>0</v>
      </c>
      <c r="T601" s="316">
        <f>Table28[[#This Row],[SEATS SOLD]]*Table28[[#This Row],[ECO SEAT]]</f>
        <v>0</v>
      </c>
      <c r="U601" s="316">
        <f>Table28[[#This Row],[SEATS SOLD]]*(IFERROR(VLOOKUP(Table28[[#This Row],[ROUTE]],PRICING!A:C,3,FALSE),0))</f>
        <v>0</v>
      </c>
      <c r="V601" s="316">
        <f>Table28[[#This Row],[SEAT REV]]-Table28[[#This Row],[SEAT REV
(IF IDEAL $)]]</f>
        <v>0</v>
      </c>
      <c r="AS601" s="16" t="s">
        <v>1270</v>
      </c>
      <c r="AT601" s="16" t="s">
        <v>11909</v>
      </c>
      <c r="AU601" s="16" t="s">
        <v>1272</v>
      </c>
      <c r="AV601" s="16" t="s">
        <v>18881</v>
      </c>
      <c r="AW601" s="16" t="s">
        <v>18890</v>
      </c>
      <c r="AX601" s="16" t="s">
        <v>18908</v>
      </c>
      <c r="AY601" s="385">
        <v>13733</v>
      </c>
    </row>
    <row r="602" spans="1:51" x14ac:dyDescent="0.25">
      <c r="A602" s="16" t="s">
        <v>19548</v>
      </c>
      <c r="B602" s="16" t="s">
        <v>900</v>
      </c>
      <c r="D602" s="16">
        <v>1</v>
      </c>
      <c r="E602" s="16" t="s">
        <v>11732</v>
      </c>
      <c r="F602" s="16" t="str">
        <f>VLOOKUP(Table28[[#This Row],[Country]],Table10[[COUNTRY NAME]:[CONTINENT CODE]],3,FALSE)</f>
        <v>NA - US</v>
      </c>
      <c r="G602" s="16" t="s">
        <v>13291</v>
      </c>
      <c r="H602" s="181">
        <v>13399</v>
      </c>
      <c r="I602" s="180">
        <v>31.5</v>
      </c>
      <c r="K602" s="316">
        <f>IFERROR(Table28[[#This Row],[ROUTE COST]]/Table28[[#This Row],[O - DEMAND]],0)</f>
        <v>0</v>
      </c>
      <c r="M602" s="180">
        <f>Table28[[#This Row],[O - DEMAND]]/950</f>
        <v>0</v>
      </c>
      <c r="N602" s="16">
        <f>IFERROR(VLOOKUP(Table28[[#This Row],[ROUTE]],DEMAND!A:F,5,FALSE),0)</f>
        <v>0</v>
      </c>
      <c r="O602" s="16">
        <f>IFERROR(VLOOKUP(Table28[[#This Row],[ROUTE]],DEMAND!A:F,6,FALSE),0)</f>
        <v>0</v>
      </c>
      <c r="P602" s="16">
        <f>ROUNDDOWN(Table28[[#This Row],[R-DEMAND]]/950,0)</f>
        <v>0</v>
      </c>
      <c r="Q602" s="16">
        <f>Table28[[#This Row],[ADD ACC
(475/950)]]*Table28[[#This Row],[Duration
(A359)]]</f>
        <v>0</v>
      </c>
      <c r="R602" s="16">
        <f>IFERROR(VLOOKUP(Table28[[#This Row],[ROUTE]],PRICING!A:B,2,FALSE),0)</f>
        <v>0</v>
      </c>
      <c r="S602" s="16">
        <f>Table28[[#This Row],[C_DEMAND]]-Table28[[#This Row],[R-DEMAND]]</f>
        <v>0</v>
      </c>
      <c r="T602" s="316">
        <f>Table28[[#This Row],[SEATS SOLD]]*Table28[[#This Row],[ECO SEAT]]</f>
        <v>0</v>
      </c>
      <c r="U602" s="316">
        <f>Table28[[#This Row],[SEATS SOLD]]*(IFERROR(VLOOKUP(Table28[[#This Row],[ROUTE]],PRICING!A:C,3,FALSE),0))</f>
        <v>0</v>
      </c>
      <c r="V602" s="316">
        <f>Table28[[#This Row],[SEAT REV]]-Table28[[#This Row],[SEAT REV
(IF IDEAL $)]]</f>
        <v>0</v>
      </c>
      <c r="AS602" s="16" t="s">
        <v>4546</v>
      </c>
      <c r="AT602" s="16" t="s">
        <v>11821</v>
      </c>
      <c r="AU602" s="16" t="s">
        <v>4548</v>
      </c>
      <c r="AV602" s="16" t="s">
        <v>18884</v>
      </c>
      <c r="AW602" s="16" t="s">
        <v>18879</v>
      </c>
      <c r="AX602" s="16" t="s">
        <v>18908</v>
      </c>
      <c r="AY602" s="385">
        <v>13743</v>
      </c>
    </row>
    <row r="603" spans="1:51" x14ac:dyDescent="0.25">
      <c r="A603" s="16" t="s">
        <v>19218</v>
      </c>
      <c r="B603" s="16" t="s">
        <v>3761</v>
      </c>
      <c r="C603" s="16" t="s">
        <v>467</v>
      </c>
      <c r="D603" s="16">
        <v>2</v>
      </c>
      <c r="E603" s="16" t="s">
        <v>530</v>
      </c>
      <c r="F603" s="16" t="str">
        <f>VLOOKUP(Table28[[#This Row],[Country]],Table10[[COUNTRY NAME]:[CONTINENT CODE]],3,FALSE)</f>
        <v>SA</v>
      </c>
      <c r="G603" s="16" t="s">
        <v>11664</v>
      </c>
      <c r="H603" s="181">
        <v>9530</v>
      </c>
      <c r="I603" s="180">
        <v>23</v>
      </c>
      <c r="K603" s="316">
        <f>IFERROR(Table28[[#This Row],[ROUTE COST]]/Table28[[#This Row],[O - DEMAND]],0)</f>
        <v>0</v>
      </c>
      <c r="M603" s="16">
        <f>Table28[[#This Row],[O - DEMAND]]/950</f>
        <v>0</v>
      </c>
      <c r="N603" s="16">
        <f>IFERROR(VLOOKUP(Table28[[#This Row],[ROUTE]],DEMAND!A:F,5,FALSE),0)</f>
        <v>2125</v>
      </c>
      <c r="O603" s="16">
        <f>IFERROR(VLOOKUP(Table28[[#This Row],[ROUTE]],DEMAND!A:F,6,FALSE),0)</f>
        <v>225</v>
      </c>
      <c r="P603" s="16">
        <f>ROUNDDOWN(Table28[[#This Row],[R-DEMAND]]/950,0)</f>
        <v>0</v>
      </c>
      <c r="Q603" s="16">
        <f>Table28[[#This Row],[ADD ACC
(475/950)]]*Table28[[#This Row],[Duration
(A359)]]</f>
        <v>0</v>
      </c>
      <c r="R603" s="16">
        <f>IFERROR(VLOOKUP(Table28[[#This Row],[ROUTE]],PRICING!A:B,2,FALSE),0)</f>
        <v>0</v>
      </c>
      <c r="S603" s="16">
        <f>Table28[[#This Row],[C_DEMAND]]-Table28[[#This Row],[R-DEMAND]]</f>
        <v>1900</v>
      </c>
      <c r="T603" s="316">
        <f>Table28[[#This Row],[SEATS SOLD]]*Table28[[#This Row],[ECO SEAT]]</f>
        <v>0</v>
      </c>
      <c r="U603" s="316">
        <f>Table28[[#This Row],[SEATS SOLD]]*(IFERROR(VLOOKUP(Table28[[#This Row],[ROUTE]],PRICING!A:C,3,FALSE),0))</f>
        <v>0</v>
      </c>
      <c r="V603" s="316">
        <f>Table28[[#This Row],[SEAT REV]]-Table28[[#This Row],[SEAT REV
(IF IDEAL $)]]</f>
        <v>0</v>
      </c>
      <c r="AS603" s="16" t="s">
        <v>78</v>
      </c>
      <c r="AT603" s="16" t="s">
        <v>11903</v>
      </c>
      <c r="AU603" s="16" t="s">
        <v>3271</v>
      </c>
      <c r="AV603" s="16" t="s">
        <v>18892</v>
      </c>
      <c r="AW603" s="16" t="s">
        <v>18879</v>
      </c>
      <c r="AX603" s="16" t="s">
        <v>18908</v>
      </c>
      <c r="AY603" s="385">
        <v>13757</v>
      </c>
    </row>
    <row r="604" spans="1:51" x14ac:dyDescent="0.25">
      <c r="A604" s="16" t="s">
        <v>19118</v>
      </c>
      <c r="B604" s="16" t="s">
        <v>5497</v>
      </c>
      <c r="D604" s="16">
        <v>4</v>
      </c>
      <c r="E604" s="16" t="s">
        <v>258</v>
      </c>
      <c r="F604" s="16" t="str">
        <f>VLOOKUP(Table28[[#This Row],[Country]],Table10[[COUNTRY NAME]:[CONTINENT CODE]],3,FALSE)</f>
        <v>AS</v>
      </c>
      <c r="G604" s="16" t="s">
        <v>11047</v>
      </c>
      <c r="H604" s="181">
        <v>8029</v>
      </c>
      <c r="I604" s="180">
        <v>19.75</v>
      </c>
      <c r="K604" s="316">
        <f>IFERROR(Table28[[#This Row],[ROUTE COST]]/Table28[[#This Row],[O - DEMAND]],0)</f>
        <v>0</v>
      </c>
      <c r="M604" s="16">
        <f>Table28[[#This Row],[O - DEMAND]]/950</f>
        <v>0</v>
      </c>
      <c r="N604" s="16">
        <f>IFERROR(VLOOKUP(Table28[[#This Row],[ROUTE]],DEMAND!A:F,5,FALSE),0)</f>
        <v>0</v>
      </c>
      <c r="O604" s="16">
        <f>IFERROR(VLOOKUP(Table28[[#This Row],[ROUTE]],DEMAND!A:F,6,FALSE),0)</f>
        <v>0</v>
      </c>
      <c r="P604" s="16">
        <f>ROUNDDOWN(Table28[[#This Row],[R-DEMAND]]/950,0)</f>
        <v>0</v>
      </c>
      <c r="Q604" s="16">
        <f>Table28[[#This Row],[ADD ACC
(475/950)]]*Table28[[#This Row],[Duration
(A359)]]</f>
        <v>0</v>
      </c>
      <c r="R604" s="16">
        <f>IFERROR(VLOOKUP(Table28[[#This Row],[ROUTE]],PRICING!A:B,2,FALSE),0)</f>
        <v>0</v>
      </c>
      <c r="S604" s="16">
        <f>Table28[[#This Row],[C_DEMAND]]-Table28[[#This Row],[R-DEMAND]]</f>
        <v>0</v>
      </c>
      <c r="T604" s="316">
        <f>Table28[[#This Row],[SEATS SOLD]]*Table28[[#This Row],[ECO SEAT]]</f>
        <v>0</v>
      </c>
      <c r="U604" s="316">
        <f>Table28[[#This Row],[SEATS SOLD]]*(IFERROR(VLOOKUP(Table28[[#This Row],[ROUTE]],PRICING!A:C,3,FALSE),0))</f>
        <v>0</v>
      </c>
      <c r="V604" s="316">
        <f>Table28[[#This Row],[SEAT REV]]-Table28[[#This Row],[SEAT REV
(IF IDEAL $)]]</f>
        <v>0</v>
      </c>
      <c r="AS604" s="16" t="s">
        <v>11732</v>
      </c>
      <c r="AT604" s="16" t="s">
        <v>16984</v>
      </c>
      <c r="AU604" s="16" t="s">
        <v>3010</v>
      </c>
      <c r="AV604" s="16" t="s">
        <v>18878</v>
      </c>
      <c r="AW604" s="16" t="s">
        <v>18879</v>
      </c>
      <c r="AX604" s="16" t="s">
        <v>18908</v>
      </c>
      <c r="AY604" s="385">
        <v>13760</v>
      </c>
    </row>
    <row r="605" spans="1:51" x14ac:dyDescent="0.25">
      <c r="A605" s="16" t="s">
        <v>19404</v>
      </c>
      <c r="B605" s="16" t="s">
        <v>5210</v>
      </c>
      <c r="D605" s="16">
        <v>3</v>
      </c>
      <c r="E605" s="16" t="s">
        <v>1749</v>
      </c>
      <c r="F605" s="16" t="str">
        <f>VLOOKUP(Table28[[#This Row],[Country]],Table10[[COUNTRY NAME]:[CONTINENT CODE]],3,FALSE)</f>
        <v>NA</v>
      </c>
      <c r="G605" s="16" t="s">
        <v>13216</v>
      </c>
      <c r="H605" s="181">
        <v>12489</v>
      </c>
      <c r="I605" s="180">
        <v>29.5</v>
      </c>
      <c r="K605" s="316">
        <f>IFERROR(Table28[[#This Row],[ROUTE COST]]/Table28[[#This Row],[O - DEMAND]],0)</f>
        <v>0</v>
      </c>
      <c r="M605" s="16">
        <f>Table28[[#This Row],[O - DEMAND]]/950</f>
        <v>0</v>
      </c>
      <c r="N605" s="16">
        <f>IFERROR(VLOOKUP(Table28[[#This Row],[ROUTE]],DEMAND!A:F,5,FALSE),0)</f>
        <v>0</v>
      </c>
      <c r="O605" s="16">
        <f>IFERROR(VLOOKUP(Table28[[#This Row],[ROUTE]],DEMAND!A:F,6,FALSE),0)</f>
        <v>0</v>
      </c>
      <c r="P605" s="16">
        <f>ROUNDDOWN(Table28[[#This Row],[R-DEMAND]]/950,0)</f>
        <v>0</v>
      </c>
      <c r="Q605" s="16">
        <f>Table28[[#This Row],[ADD ACC
(475/950)]]*Table28[[#This Row],[Duration
(A359)]]</f>
        <v>0</v>
      </c>
      <c r="R605" s="16">
        <f>IFERROR(VLOOKUP(Table28[[#This Row],[ROUTE]],PRICING!A:B,2,FALSE),0)</f>
        <v>0</v>
      </c>
      <c r="S605" s="16">
        <f>Table28[[#This Row],[C_DEMAND]]-Table28[[#This Row],[R-DEMAND]]</f>
        <v>0</v>
      </c>
      <c r="T605" s="316">
        <f>Table28[[#This Row],[SEATS SOLD]]*Table28[[#This Row],[ECO SEAT]]</f>
        <v>0</v>
      </c>
      <c r="U605" s="316">
        <f>Table28[[#This Row],[SEATS SOLD]]*(IFERROR(VLOOKUP(Table28[[#This Row],[ROUTE]],PRICING!A:C,3,FALSE),0))</f>
        <v>0</v>
      </c>
      <c r="V605" s="316">
        <f>Table28[[#This Row],[SEAT REV]]-Table28[[#This Row],[SEAT REV
(IF IDEAL $)]]</f>
        <v>0</v>
      </c>
      <c r="AS605" s="16" t="s">
        <v>78</v>
      </c>
      <c r="AT605" s="16" t="s">
        <v>11880</v>
      </c>
      <c r="AU605" s="16" t="s">
        <v>4705</v>
      </c>
      <c r="AV605" s="16" t="s">
        <v>18884</v>
      </c>
      <c r="AW605" s="16" t="s">
        <v>18879</v>
      </c>
      <c r="AX605" s="16" t="s">
        <v>18908</v>
      </c>
      <c r="AY605" s="385">
        <v>13778</v>
      </c>
    </row>
    <row r="606" spans="1:51" x14ac:dyDescent="0.25">
      <c r="A606" s="16" t="s">
        <v>19153</v>
      </c>
      <c r="B606" s="16" t="s">
        <v>3189</v>
      </c>
      <c r="D606" s="16">
        <v>2</v>
      </c>
      <c r="E606" s="16" t="s">
        <v>14</v>
      </c>
      <c r="F606" s="16" t="str">
        <f>VLOOKUP(Table28[[#This Row],[Country]],Table10[[COUNTRY NAME]:[CONTINENT CODE]],3,FALSE)</f>
        <v>AS</v>
      </c>
      <c r="G606" s="16" t="s">
        <v>12073</v>
      </c>
      <c r="H606" s="181">
        <v>8507</v>
      </c>
      <c r="I606" s="180">
        <v>20.75</v>
      </c>
      <c r="K606" s="316">
        <f>IFERROR(Table28[[#This Row],[ROUTE COST]]/Table28[[#This Row],[O - DEMAND]],0)</f>
        <v>0</v>
      </c>
      <c r="M606" s="16">
        <f>Table28[[#This Row],[O - DEMAND]]/950</f>
        <v>0</v>
      </c>
      <c r="N606" s="16">
        <f>IFERROR(VLOOKUP(Table28[[#This Row],[ROUTE]],DEMAND!A:F,5,FALSE),0)</f>
        <v>0</v>
      </c>
      <c r="O606" s="16">
        <f>IFERROR(VLOOKUP(Table28[[#This Row],[ROUTE]],DEMAND!A:F,6,FALSE),0)</f>
        <v>0</v>
      </c>
      <c r="P606" s="16">
        <f>ROUNDDOWN(Table28[[#This Row],[R-DEMAND]]/950,0)</f>
        <v>0</v>
      </c>
      <c r="Q606" s="16">
        <f>Table28[[#This Row],[ADD ACC
(475/950)]]*Table28[[#This Row],[Duration
(A359)]]</f>
        <v>0</v>
      </c>
      <c r="R606" s="16">
        <f>IFERROR(VLOOKUP(Table28[[#This Row],[ROUTE]],PRICING!A:B,2,FALSE),0)</f>
        <v>0</v>
      </c>
      <c r="S606" s="16">
        <f>Table28[[#This Row],[C_DEMAND]]-Table28[[#This Row],[R-DEMAND]]</f>
        <v>0</v>
      </c>
      <c r="T606" s="316">
        <f>Table28[[#This Row],[SEATS SOLD]]*Table28[[#This Row],[ECO SEAT]]</f>
        <v>0</v>
      </c>
      <c r="U606" s="316">
        <f>Table28[[#This Row],[SEATS SOLD]]*(IFERROR(VLOOKUP(Table28[[#This Row],[ROUTE]],PRICING!A:C,3,FALSE),0))</f>
        <v>0</v>
      </c>
      <c r="V606" s="316">
        <f>Table28[[#This Row],[SEAT REV]]-Table28[[#This Row],[SEAT REV
(IF IDEAL $)]]</f>
        <v>0</v>
      </c>
      <c r="AS606" s="16" t="s">
        <v>78</v>
      </c>
      <c r="AT606" s="16" t="s">
        <v>11888</v>
      </c>
      <c r="AU606" s="16" t="s">
        <v>2737</v>
      </c>
      <c r="AV606" s="16" t="s">
        <v>18884</v>
      </c>
      <c r="AW606" s="16" t="s">
        <v>18879</v>
      </c>
      <c r="AX606" s="16" t="s">
        <v>18928</v>
      </c>
      <c r="AY606" s="385">
        <v>13779</v>
      </c>
    </row>
    <row r="607" spans="1:51" x14ac:dyDescent="0.25">
      <c r="A607" s="16" t="s">
        <v>19573</v>
      </c>
      <c r="B607" s="16" t="s">
        <v>3074</v>
      </c>
      <c r="D607" s="16">
        <v>2</v>
      </c>
      <c r="E607" s="16" t="s">
        <v>172</v>
      </c>
      <c r="F607" s="16" t="str">
        <f>VLOOKUP(Table28[[#This Row],[Country]],Table10[[COUNTRY NAME]:[CONTINENT CODE]],3,FALSE)</f>
        <v>AS</v>
      </c>
      <c r="G607" s="16" t="s">
        <v>7651</v>
      </c>
      <c r="H607" s="181">
        <v>13575</v>
      </c>
      <c r="I607" s="180">
        <v>32</v>
      </c>
      <c r="K607" s="316">
        <f>IFERROR(Table28[[#This Row],[ROUTE COST]]/Table28[[#This Row],[O - DEMAND]],0)</f>
        <v>0</v>
      </c>
      <c r="M607" s="16">
        <f>Table28[[#This Row],[O - DEMAND]]/950</f>
        <v>0</v>
      </c>
      <c r="N607" s="16">
        <f>IFERROR(VLOOKUP(Table28[[#This Row],[ROUTE]],DEMAND!A:F,5,FALSE),0)</f>
        <v>0</v>
      </c>
      <c r="O607" s="16">
        <f>IFERROR(VLOOKUP(Table28[[#This Row],[ROUTE]],DEMAND!A:F,6,FALSE),0)</f>
        <v>0</v>
      </c>
      <c r="P607" s="16">
        <f>ROUNDDOWN(Table28[[#This Row],[R-DEMAND]]/950,0)</f>
        <v>0</v>
      </c>
      <c r="Q607" s="16">
        <f>Table28[[#This Row],[ADD ACC
(475/950)]]*Table28[[#This Row],[Duration
(A359)]]</f>
        <v>0</v>
      </c>
      <c r="R607" s="16">
        <f>IFERROR(VLOOKUP(Table28[[#This Row],[ROUTE]],PRICING!A:B,2,FALSE),0)</f>
        <v>0</v>
      </c>
      <c r="S607" s="16">
        <f>Table28[[#This Row],[C_DEMAND]]-Table28[[#This Row],[R-DEMAND]]</f>
        <v>0</v>
      </c>
      <c r="T607" s="316">
        <f>Table28[[#This Row],[SEATS SOLD]]*Table28[[#This Row],[ECO SEAT]]</f>
        <v>0</v>
      </c>
      <c r="U607" s="316">
        <f>Table28[[#This Row],[SEATS SOLD]]*(IFERROR(VLOOKUP(Table28[[#This Row],[ROUTE]],PRICING!A:C,3,FALSE),0))</f>
        <v>0</v>
      </c>
      <c r="V607" s="316">
        <f>Table28[[#This Row],[SEAT REV]]-Table28[[#This Row],[SEAT REV
(IF IDEAL $)]]</f>
        <v>0</v>
      </c>
      <c r="AS607" s="16" t="s">
        <v>172</v>
      </c>
      <c r="AT607" s="16" t="s">
        <v>9941</v>
      </c>
      <c r="AU607" s="16" t="s">
        <v>1939</v>
      </c>
      <c r="AV607" s="16" t="s">
        <v>18881</v>
      </c>
      <c r="AW607" s="16" t="s">
        <v>18890</v>
      </c>
      <c r="AX607" s="16" t="s">
        <v>18928</v>
      </c>
      <c r="AY607" s="385">
        <v>13779</v>
      </c>
    </row>
    <row r="608" spans="1:51" x14ac:dyDescent="0.25">
      <c r="A608" s="16" t="s">
        <v>19535</v>
      </c>
      <c r="B608" s="16" t="s">
        <v>1844</v>
      </c>
      <c r="D608" s="16">
        <v>1</v>
      </c>
      <c r="E608" s="16" t="s">
        <v>172</v>
      </c>
      <c r="F608" s="16" t="str">
        <f>VLOOKUP(Table28[[#This Row],[Country]],Table10[[COUNTRY NAME]:[CONTINENT CODE]],3,FALSE)</f>
        <v>AS</v>
      </c>
      <c r="G608" s="16" t="s">
        <v>7650</v>
      </c>
      <c r="H608" s="181">
        <v>13311</v>
      </c>
      <c r="I608" s="180">
        <v>31.25</v>
      </c>
      <c r="K608" s="316">
        <f>IFERROR(Table28[[#This Row],[ROUTE COST]]/Table28[[#This Row],[O - DEMAND]],0)</f>
        <v>0</v>
      </c>
      <c r="M608" s="16">
        <f>Table28[[#This Row],[O - DEMAND]]/950</f>
        <v>0</v>
      </c>
      <c r="N608" s="16">
        <f>IFERROR(VLOOKUP(Table28[[#This Row],[ROUTE]],DEMAND!A:F,5,FALSE),0)</f>
        <v>0</v>
      </c>
      <c r="O608" s="16">
        <f>IFERROR(VLOOKUP(Table28[[#This Row],[ROUTE]],DEMAND!A:F,6,FALSE),0)</f>
        <v>0</v>
      </c>
      <c r="P608" s="16">
        <f>ROUNDDOWN(Table28[[#This Row],[R-DEMAND]]/950,0)</f>
        <v>0</v>
      </c>
      <c r="Q608" s="16">
        <f>Table28[[#This Row],[ADD ACC
(475/950)]]*Table28[[#This Row],[Duration
(A359)]]</f>
        <v>0</v>
      </c>
      <c r="R608" s="16">
        <f>IFERROR(VLOOKUP(Table28[[#This Row],[ROUTE]],PRICING!A:B,2,FALSE),0)</f>
        <v>0</v>
      </c>
      <c r="S608" s="16">
        <f>Table28[[#This Row],[C_DEMAND]]-Table28[[#This Row],[R-DEMAND]]</f>
        <v>0</v>
      </c>
      <c r="T608" s="316">
        <f>Table28[[#This Row],[SEATS SOLD]]*Table28[[#This Row],[ECO SEAT]]</f>
        <v>0</v>
      </c>
      <c r="U608" s="316">
        <f>Table28[[#This Row],[SEATS SOLD]]*(IFERROR(VLOOKUP(Table28[[#This Row],[ROUTE]],PRICING!A:C,3,FALSE),0))</f>
        <v>0</v>
      </c>
      <c r="V608" s="316">
        <f>Table28[[#This Row],[SEAT REV]]-Table28[[#This Row],[SEAT REV
(IF IDEAL $)]]</f>
        <v>0</v>
      </c>
      <c r="AS608" s="16" t="s">
        <v>700</v>
      </c>
      <c r="AT608" s="16" t="s">
        <v>11904</v>
      </c>
      <c r="AU608" s="16" t="s">
        <v>3640</v>
      </c>
      <c r="AV608" s="16" t="s">
        <v>18884</v>
      </c>
      <c r="AW608" s="16" t="s">
        <v>18879</v>
      </c>
      <c r="AX608" s="16" t="s">
        <v>18928</v>
      </c>
      <c r="AY608" s="385">
        <v>13786</v>
      </c>
    </row>
    <row r="609" spans="1:51" x14ac:dyDescent="0.25">
      <c r="A609" s="16" t="s">
        <v>19591</v>
      </c>
      <c r="B609" s="16" t="s">
        <v>4116</v>
      </c>
      <c r="E609" s="16" t="s">
        <v>11732</v>
      </c>
      <c r="F609" s="16" t="str">
        <f>VLOOKUP(Table28[[#This Row],[Country]],Table10[[COUNTRY NAME]:[CONTINENT CODE]],3,FALSE)</f>
        <v>NA - US</v>
      </c>
      <c r="G609" s="16" t="s">
        <v>16964</v>
      </c>
      <c r="H609" s="181">
        <v>13723</v>
      </c>
      <c r="I609" s="180">
        <v>32.25</v>
      </c>
      <c r="K609" s="316">
        <f>IFERROR(Table28[[#This Row],[ROUTE COST]]/Table28[[#This Row],[O - DEMAND]],0)</f>
        <v>0</v>
      </c>
      <c r="M609" s="180">
        <f>Table28[[#This Row],[O - DEMAND]]/950</f>
        <v>0</v>
      </c>
      <c r="N609" s="16">
        <f>IFERROR(VLOOKUP(Table28[[#This Row],[ROUTE]],DEMAND!A:F,5,FALSE),0)</f>
        <v>0</v>
      </c>
      <c r="O609" s="16">
        <f>IFERROR(VLOOKUP(Table28[[#This Row],[ROUTE]],DEMAND!A:F,6,FALSE),0)</f>
        <v>0</v>
      </c>
      <c r="P609" s="16">
        <f>ROUNDDOWN(Table28[[#This Row],[R-DEMAND]]/950,0)</f>
        <v>0</v>
      </c>
      <c r="Q609" s="16">
        <f>Table28[[#This Row],[ADD ACC
(475/950)]]*Table28[[#This Row],[Duration
(A359)]]</f>
        <v>0</v>
      </c>
      <c r="R609" s="16">
        <f>IFERROR(VLOOKUP(Table28[[#This Row],[ROUTE]],PRICING!A:B,2,FALSE),0)</f>
        <v>0</v>
      </c>
      <c r="S609" s="16">
        <f>Table28[[#This Row],[C_DEMAND]]-Table28[[#This Row],[R-DEMAND]]</f>
        <v>0</v>
      </c>
      <c r="T609" s="316">
        <f>Table28[[#This Row],[SEATS SOLD]]*Table28[[#This Row],[ECO SEAT]]</f>
        <v>0</v>
      </c>
      <c r="U609" s="316">
        <f>Table28[[#This Row],[SEATS SOLD]]*(IFERROR(VLOOKUP(Table28[[#This Row],[ROUTE]],PRICING!A:C,3,FALSE),0))</f>
        <v>0</v>
      </c>
      <c r="V609" s="316">
        <f>Table28[[#This Row],[SEAT REV]]-Table28[[#This Row],[SEAT REV
(IF IDEAL $)]]</f>
        <v>0</v>
      </c>
      <c r="AS609" s="16" t="s">
        <v>11732</v>
      </c>
      <c r="AT609" s="16" t="s">
        <v>13315</v>
      </c>
      <c r="AU609" s="16" t="s">
        <v>4183</v>
      </c>
      <c r="AV609" s="16" t="s">
        <v>18892</v>
      </c>
      <c r="AW609" s="16" t="s">
        <v>18879</v>
      </c>
      <c r="AX609" s="16" t="s">
        <v>18928</v>
      </c>
      <c r="AY609" s="385">
        <v>13791</v>
      </c>
    </row>
    <row r="610" spans="1:51" x14ac:dyDescent="0.25">
      <c r="A610" s="16" t="s">
        <v>19382</v>
      </c>
      <c r="B610" s="16" t="s">
        <v>627</v>
      </c>
      <c r="D610" s="16">
        <v>1</v>
      </c>
      <c r="E610" s="16" t="s">
        <v>11669</v>
      </c>
      <c r="F610" s="16" t="str">
        <f>VLOOKUP(Table28[[#This Row],[Country]],Table10[[COUNTRY NAME]:[CONTINENT CODE]],3,FALSE)</f>
        <v>SA</v>
      </c>
      <c r="G610" s="16" t="s">
        <v>7613</v>
      </c>
      <c r="H610" s="181">
        <v>12282</v>
      </c>
      <c r="I610" s="180">
        <v>29</v>
      </c>
      <c r="K610" s="316">
        <f>IFERROR(Table28[[#This Row],[ROUTE COST]]/Table28[[#This Row],[O - DEMAND]],0)</f>
        <v>0</v>
      </c>
      <c r="M610" s="16">
        <f>Table28[[#This Row],[O - DEMAND]]/950</f>
        <v>0</v>
      </c>
      <c r="N610" s="16">
        <f>IFERROR(VLOOKUP(Table28[[#This Row],[ROUTE]],DEMAND!A:F,5,FALSE),0)</f>
        <v>0</v>
      </c>
      <c r="O610" s="16">
        <f>IFERROR(VLOOKUP(Table28[[#This Row],[ROUTE]],DEMAND!A:F,6,FALSE),0)</f>
        <v>0</v>
      </c>
      <c r="P610" s="16">
        <f>ROUNDDOWN(Table28[[#This Row],[R-DEMAND]]/950,0)</f>
        <v>0</v>
      </c>
      <c r="Q610" s="16">
        <f>Table28[[#This Row],[ADD ACC
(475/950)]]*Table28[[#This Row],[Duration
(A359)]]</f>
        <v>0</v>
      </c>
      <c r="R610" s="16">
        <f>IFERROR(VLOOKUP(Table28[[#This Row],[ROUTE]],PRICING!A:B,2,FALSE),0)</f>
        <v>0</v>
      </c>
      <c r="S610" s="16">
        <f>Table28[[#This Row],[C_DEMAND]]-Table28[[#This Row],[R-DEMAND]]</f>
        <v>0</v>
      </c>
      <c r="T610" s="316">
        <f>Table28[[#This Row],[SEATS SOLD]]*Table28[[#This Row],[ECO SEAT]]</f>
        <v>0</v>
      </c>
      <c r="U610" s="316">
        <f>Table28[[#This Row],[SEATS SOLD]]*(IFERROR(VLOOKUP(Table28[[#This Row],[ROUTE]],PRICING!A:C,3,FALSE),0))</f>
        <v>0</v>
      </c>
      <c r="V610" s="316">
        <f>Table28[[#This Row],[SEAT REV]]-Table28[[#This Row],[SEAT REV
(IF IDEAL $)]]</f>
        <v>0</v>
      </c>
      <c r="AS610" s="16" t="s">
        <v>3350</v>
      </c>
      <c r="AT610" s="16" t="s">
        <v>13210</v>
      </c>
      <c r="AU610" s="16" t="s">
        <v>4335</v>
      </c>
      <c r="AV610" s="16" t="s">
        <v>18892</v>
      </c>
      <c r="AW610" s="16" t="s">
        <v>18879</v>
      </c>
      <c r="AX610" s="16" t="s">
        <v>18928</v>
      </c>
      <c r="AY610" s="385">
        <v>13793</v>
      </c>
    </row>
    <row r="611" spans="1:51" x14ac:dyDescent="0.25">
      <c r="A611" s="16" t="s">
        <v>19255</v>
      </c>
      <c r="B611" s="16" t="s">
        <v>3850</v>
      </c>
      <c r="D611" s="16">
        <v>2</v>
      </c>
      <c r="E611" s="16" t="s">
        <v>11669</v>
      </c>
      <c r="F611" s="16" t="str">
        <f>VLOOKUP(Table28[[#This Row],[Country]],Table10[[COUNTRY NAME]:[CONTINENT CODE]],3,FALSE)</f>
        <v>SA</v>
      </c>
      <c r="G611" s="16" t="s">
        <v>16925</v>
      </c>
      <c r="H611" s="181">
        <v>10674</v>
      </c>
      <c r="I611" s="180">
        <v>25.5</v>
      </c>
      <c r="K611" s="316">
        <f>IFERROR(Table28[[#This Row],[ROUTE COST]]/Table28[[#This Row],[O - DEMAND]],0)</f>
        <v>0</v>
      </c>
      <c r="M611" s="16">
        <f>Table28[[#This Row],[O - DEMAND]]/950</f>
        <v>0</v>
      </c>
      <c r="N611" s="16">
        <f>IFERROR(VLOOKUP(Table28[[#This Row],[ROUTE]],DEMAND!A:F,5,FALSE),0)</f>
        <v>0</v>
      </c>
      <c r="O611" s="16">
        <f>IFERROR(VLOOKUP(Table28[[#This Row],[ROUTE]],DEMAND!A:F,6,FALSE),0)</f>
        <v>0</v>
      </c>
      <c r="P611" s="16">
        <f>ROUNDDOWN(Table28[[#This Row],[R-DEMAND]]/950,0)</f>
        <v>0</v>
      </c>
      <c r="Q611" s="16">
        <f>Table28[[#This Row],[ADD ACC
(475/950)]]*Table28[[#This Row],[Duration
(A359)]]</f>
        <v>0</v>
      </c>
      <c r="R611" s="16">
        <f>IFERROR(VLOOKUP(Table28[[#This Row],[ROUTE]],PRICING!A:B,2,FALSE),0)</f>
        <v>0</v>
      </c>
      <c r="S611" s="16">
        <f>Table28[[#This Row],[C_DEMAND]]-Table28[[#This Row],[R-DEMAND]]</f>
        <v>0</v>
      </c>
      <c r="T611" s="316">
        <f>Table28[[#This Row],[SEATS SOLD]]*Table28[[#This Row],[ECO SEAT]]</f>
        <v>0</v>
      </c>
      <c r="U611" s="316">
        <f>Table28[[#This Row],[SEATS SOLD]]*(IFERROR(VLOOKUP(Table28[[#This Row],[ROUTE]],PRICING!A:C,3,FALSE),0))</f>
        <v>0</v>
      </c>
      <c r="V611" s="316">
        <f>Table28[[#This Row],[SEAT REV]]-Table28[[#This Row],[SEAT REV
(IF IDEAL $)]]</f>
        <v>0</v>
      </c>
      <c r="AS611" s="16" t="s">
        <v>812</v>
      </c>
      <c r="AT611" s="16" t="s">
        <v>13185</v>
      </c>
      <c r="AU611" s="16" t="s">
        <v>5298</v>
      </c>
      <c r="AV611" s="16" t="s">
        <v>18881</v>
      </c>
      <c r="AW611" s="16" t="s">
        <v>18885</v>
      </c>
      <c r="AX611" s="16" t="s">
        <v>18928</v>
      </c>
      <c r="AY611" s="385">
        <v>13805</v>
      </c>
    </row>
    <row r="612" spans="1:51" x14ac:dyDescent="0.25">
      <c r="A612" s="16" t="s">
        <v>19073</v>
      </c>
      <c r="B612" s="16" t="s">
        <v>4906</v>
      </c>
      <c r="C612" s="16" t="s">
        <v>467</v>
      </c>
      <c r="D612" s="16">
        <v>3</v>
      </c>
      <c r="E612" s="16" t="s">
        <v>4853</v>
      </c>
      <c r="F612" s="16" t="str">
        <f>VLOOKUP(Table28[[#This Row],[Country]],Table10[[COUNTRY NAME]:[CONTINENT CODE]],3,FALSE)</f>
        <v>AS</v>
      </c>
      <c r="G612" s="16" t="s">
        <v>18116</v>
      </c>
      <c r="H612" s="181">
        <v>7268</v>
      </c>
      <c r="I612" s="180">
        <v>18</v>
      </c>
      <c r="K612" s="316">
        <f>IFERROR(Table28[[#This Row],[ROUTE COST]]/Table28[[#This Row],[O - DEMAND]],0)</f>
        <v>0</v>
      </c>
      <c r="M612" s="16">
        <f>Table28[[#This Row],[O - DEMAND]]/950</f>
        <v>0</v>
      </c>
      <c r="N612" s="16">
        <f>IFERROR(VLOOKUP(Table28[[#This Row],[ROUTE]],DEMAND!A:F,5,FALSE),0)</f>
        <v>3381</v>
      </c>
      <c r="O612" s="16">
        <f>IFERROR(VLOOKUP(Table28[[#This Row],[ROUTE]],DEMAND!A:F,6,FALSE),0)</f>
        <v>531</v>
      </c>
      <c r="P612" s="16">
        <f>ROUNDDOWN(Table28[[#This Row],[R-DEMAND]]/950,0)</f>
        <v>0</v>
      </c>
      <c r="Q612" s="16">
        <f>Table28[[#This Row],[ADD ACC
(475/950)]]*Table28[[#This Row],[Duration
(A359)]]</f>
        <v>0</v>
      </c>
      <c r="R612" s="16">
        <f>IFERROR(VLOOKUP(Table28[[#This Row],[ROUTE]],PRICING!A:B,2,FALSE),0)</f>
        <v>0</v>
      </c>
      <c r="S612" s="16">
        <f>Table28[[#This Row],[C_DEMAND]]-Table28[[#This Row],[R-DEMAND]]</f>
        <v>2850</v>
      </c>
      <c r="T612" s="316">
        <f>Table28[[#This Row],[SEATS SOLD]]*Table28[[#This Row],[ECO SEAT]]</f>
        <v>0</v>
      </c>
      <c r="U612" s="316">
        <f>Table28[[#This Row],[SEATS SOLD]]*(IFERROR(VLOOKUP(Table28[[#This Row],[ROUTE]],PRICING!A:C,3,FALSE),0))</f>
        <v>0</v>
      </c>
      <c r="V612" s="316">
        <f>Table28[[#This Row],[SEAT REV]]-Table28[[#This Row],[SEAT REV
(IF IDEAL $)]]</f>
        <v>0</v>
      </c>
      <c r="AS612" s="16" t="s">
        <v>11732</v>
      </c>
      <c r="AT612" s="16" t="s">
        <v>13316</v>
      </c>
      <c r="AU612" s="16" t="s">
        <v>5758</v>
      </c>
      <c r="AV612" s="16" t="s">
        <v>18884</v>
      </c>
      <c r="AW612" s="16" t="s">
        <v>18918</v>
      </c>
      <c r="AX612" s="16" t="s">
        <v>18928</v>
      </c>
      <c r="AY612" s="385">
        <v>13812</v>
      </c>
    </row>
    <row r="613" spans="1:51" x14ac:dyDescent="0.25">
      <c r="A613" s="16" t="s">
        <v>19403</v>
      </c>
      <c r="B613" s="16" t="s">
        <v>2611</v>
      </c>
      <c r="D613" s="16">
        <v>2</v>
      </c>
      <c r="E613" s="16" t="s">
        <v>11669</v>
      </c>
      <c r="F613" s="16" t="str">
        <f>VLOOKUP(Table28[[#This Row],[Country]],Table10[[COUNTRY NAME]:[CONTINENT CODE]],3,FALSE)</f>
        <v>SA</v>
      </c>
      <c r="G613" s="16" t="s">
        <v>7593</v>
      </c>
      <c r="H613" s="181">
        <v>12484</v>
      </c>
      <c r="I613" s="180">
        <v>29.5</v>
      </c>
      <c r="K613" s="316">
        <f>IFERROR(Table28[[#This Row],[ROUTE COST]]/Table28[[#This Row],[O - DEMAND]],0)</f>
        <v>0</v>
      </c>
      <c r="M613" s="16">
        <f>Table28[[#This Row],[O - DEMAND]]/950</f>
        <v>0</v>
      </c>
      <c r="N613" s="16">
        <f>IFERROR(VLOOKUP(Table28[[#This Row],[ROUTE]],DEMAND!A:F,5,FALSE),0)</f>
        <v>0</v>
      </c>
      <c r="O613" s="16">
        <f>IFERROR(VLOOKUP(Table28[[#This Row],[ROUTE]],DEMAND!A:F,6,FALSE),0)</f>
        <v>0</v>
      </c>
      <c r="P613" s="16">
        <f>ROUNDDOWN(Table28[[#This Row],[R-DEMAND]]/950,0)</f>
        <v>0</v>
      </c>
      <c r="Q613" s="16">
        <f>Table28[[#This Row],[ADD ACC
(475/950)]]*Table28[[#This Row],[Duration
(A359)]]</f>
        <v>0</v>
      </c>
      <c r="R613" s="16">
        <f>IFERROR(VLOOKUP(Table28[[#This Row],[ROUTE]],PRICING!A:B,2,FALSE),0)</f>
        <v>0</v>
      </c>
      <c r="S613" s="16">
        <f>Table28[[#This Row],[C_DEMAND]]-Table28[[#This Row],[R-DEMAND]]</f>
        <v>0</v>
      </c>
      <c r="T613" s="316">
        <f>Table28[[#This Row],[SEATS SOLD]]*Table28[[#This Row],[ECO SEAT]]</f>
        <v>0</v>
      </c>
      <c r="U613" s="316">
        <f>Table28[[#This Row],[SEATS SOLD]]*(IFERROR(VLOOKUP(Table28[[#This Row],[ROUTE]],PRICING!A:C,3,FALSE),0))</f>
        <v>0</v>
      </c>
      <c r="V613" s="316">
        <f>Table28[[#This Row],[SEAT REV]]-Table28[[#This Row],[SEAT REV
(IF IDEAL $)]]</f>
        <v>0</v>
      </c>
      <c r="AS613" s="16" t="s">
        <v>1654</v>
      </c>
      <c r="AT613" s="16" t="s">
        <v>11901</v>
      </c>
      <c r="AU613" s="16" t="s">
        <v>1656</v>
      </c>
      <c r="AV613" s="16" t="s">
        <v>18884</v>
      </c>
      <c r="AW613" s="16" t="s">
        <v>18890</v>
      </c>
      <c r="AX613" s="16" t="s">
        <v>18928</v>
      </c>
      <c r="AY613" s="385">
        <v>13818</v>
      </c>
    </row>
    <row r="614" spans="1:51" x14ac:dyDescent="0.25">
      <c r="A614" s="16" t="s">
        <v>19735</v>
      </c>
      <c r="B614" s="16" t="s">
        <v>3284</v>
      </c>
      <c r="D614" s="16">
        <v>2</v>
      </c>
      <c r="E614" s="16" t="s">
        <v>11732</v>
      </c>
      <c r="F614" s="16" t="str">
        <f>VLOOKUP(Table28[[#This Row],[Country]],Table10[[COUNTRY NAME]:[CONTINENT CODE]],3,FALSE)</f>
        <v>NA - US</v>
      </c>
      <c r="G614" s="16" t="s">
        <v>13307</v>
      </c>
      <c r="H614" s="181">
        <v>14774</v>
      </c>
      <c r="I614" s="180">
        <v>34.5</v>
      </c>
      <c r="K614" s="316">
        <f>IFERROR(Table28[[#This Row],[ROUTE COST]]/Table28[[#This Row],[O - DEMAND]],0)</f>
        <v>0</v>
      </c>
      <c r="M614" s="180">
        <f>Table28[[#This Row],[O - DEMAND]]/950</f>
        <v>0</v>
      </c>
      <c r="N614" s="16">
        <f>IFERROR(VLOOKUP(Table28[[#This Row],[ROUTE]],DEMAND!A:F,5,FALSE),0)</f>
        <v>0</v>
      </c>
      <c r="O614" s="16">
        <f>IFERROR(VLOOKUP(Table28[[#This Row],[ROUTE]],DEMAND!A:F,6,FALSE),0)</f>
        <v>0</v>
      </c>
      <c r="P614" s="16">
        <f>ROUNDDOWN(Table28[[#This Row],[R-DEMAND]]/950,0)</f>
        <v>0</v>
      </c>
      <c r="Q614" s="16">
        <f>Table28[[#This Row],[ADD ACC
(475/950)]]*Table28[[#This Row],[Duration
(A359)]]</f>
        <v>0</v>
      </c>
      <c r="R614" s="16">
        <f>IFERROR(VLOOKUP(Table28[[#This Row],[ROUTE]],PRICING!A:B,2,FALSE),0)</f>
        <v>0</v>
      </c>
      <c r="S614" s="16">
        <f>Table28[[#This Row],[C_DEMAND]]-Table28[[#This Row],[R-DEMAND]]</f>
        <v>0</v>
      </c>
      <c r="T614" s="316">
        <f>Table28[[#This Row],[SEATS SOLD]]*Table28[[#This Row],[ECO SEAT]]</f>
        <v>0</v>
      </c>
      <c r="U614" s="316">
        <f>Table28[[#This Row],[SEATS SOLD]]*(IFERROR(VLOOKUP(Table28[[#This Row],[ROUTE]],PRICING!A:C,3,FALSE),0))</f>
        <v>0</v>
      </c>
      <c r="V614" s="316">
        <f>Table28[[#This Row],[SEAT REV]]-Table28[[#This Row],[SEAT REV
(IF IDEAL $)]]</f>
        <v>0</v>
      </c>
      <c r="AS614" s="16" t="s">
        <v>172</v>
      </c>
      <c r="AT614" s="16" t="s">
        <v>6966</v>
      </c>
      <c r="AU614" s="16" t="s">
        <v>1820</v>
      </c>
      <c r="AV614" s="16" t="s">
        <v>18892</v>
      </c>
      <c r="AW614" s="16" t="s">
        <v>18890</v>
      </c>
      <c r="AX614" s="16" t="s">
        <v>18928</v>
      </c>
      <c r="AY614" s="385">
        <v>13820</v>
      </c>
    </row>
    <row r="615" spans="1:51" x14ac:dyDescent="0.25">
      <c r="A615" s="16" t="s">
        <v>19223</v>
      </c>
      <c r="B615" s="16" t="s">
        <v>3323</v>
      </c>
      <c r="D615" s="16">
        <v>2</v>
      </c>
      <c r="E615" s="16" t="s">
        <v>11669</v>
      </c>
      <c r="F615" s="16" t="str">
        <f>VLOOKUP(Table28[[#This Row],[Country]],Table10[[COUNTRY NAME]:[CONTINENT CODE]],3,FALSE)</f>
        <v>SA</v>
      </c>
      <c r="G615" s="16" t="s">
        <v>13133</v>
      </c>
      <c r="H615" s="181">
        <v>9717</v>
      </c>
      <c r="I615" s="180">
        <v>23.5</v>
      </c>
      <c r="K615" s="316">
        <f>IFERROR(Table28[[#This Row],[ROUTE COST]]/Table28[[#This Row],[O - DEMAND]],0)</f>
        <v>0</v>
      </c>
      <c r="M615" s="16">
        <f>Table28[[#This Row],[O - DEMAND]]/950</f>
        <v>0</v>
      </c>
      <c r="N615" s="16">
        <f>IFERROR(VLOOKUP(Table28[[#This Row],[ROUTE]],DEMAND!A:F,5,FALSE),0)</f>
        <v>0</v>
      </c>
      <c r="O615" s="16">
        <f>IFERROR(VLOOKUP(Table28[[#This Row],[ROUTE]],DEMAND!A:F,6,FALSE),0)</f>
        <v>0</v>
      </c>
      <c r="P615" s="16">
        <f>ROUNDDOWN(Table28[[#This Row],[R-DEMAND]]/950,0)</f>
        <v>0</v>
      </c>
      <c r="Q615" s="16">
        <f>Table28[[#This Row],[ADD ACC
(475/950)]]*Table28[[#This Row],[Duration
(A359)]]</f>
        <v>0</v>
      </c>
      <c r="R615" s="16">
        <f>IFERROR(VLOOKUP(Table28[[#This Row],[ROUTE]],PRICING!A:B,2,FALSE),0)</f>
        <v>0</v>
      </c>
      <c r="S615" s="16">
        <f>Table28[[#This Row],[C_DEMAND]]-Table28[[#This Row],[R-DEMAND]]</f>
        <v>0</v>
      </c>
      <c r="T615" s="316">
        <f>Table28[[#This Row],[SEATS SOLD]]*Table28[[#This Row],[ECO SEAT]]</f>
        <v>0</v>
      </c>
      <c r="U615" s="316">
        <f>Table28[[#This Row],[SEATS SOLD]]*(IFERROR(VLOOKUP(Table28[[#This Row],[ROUTE]],PRICING!A:C,3,FALSE),0))</f>
        <v>0</v>
      </c>
      <c r="V615" s="316">
        <f>Table28[[#This Row],[SEAT REV]]-Table28[[#This Row],[SEAT REV
(IF IDEAL $)]]</f>
        <v>0</v>
      </c>
      <c r="AS615" s="16" t="s">
        <v>517</v>
      </c>
      <c r="AT615" s="16" t="s">
        <v>16940</v>
      </c>
      <c r="AU615" s="16" t="s">
        <v>4387</v>
      </c>
      <c r="AV615" s="16" t="s">
        <v>18878</v>
      </c>
      <c r="AW615" s="16" t="s">
        <v>18879</v>
      </c>
      <c r="AX615" s="16" t="s">
        <v>18928</v>
      </c>
      <c r="AY615" s="385">
        <v>13826</v>
      </c>
    </row>
    <row r="616" spans="1:51" x14ac:dyDescent="0.25">
      <c r="A616" s="16" t="s">
        <v>19756</v>
      </c>
      <c r="B616" s="16" t="s">
        <v>5219</v>
      </c>
      <c r="D616" s="16">
        <v>3</v>
      </c>
      <c r="E616" s="16" t="s">
        <v>597</v>
      </c>
      <c r="F616" s="16" t="str">
        <f>VLOOKUP(Table28[[#This Row],[Country]],Table10[[COUNTRY NAME]:[CONTINENT CODE]],3,FALSE)</f>
        <v>EU</v>
      </c>
      <c r="G616" s="16" t="s">
        <v>11851</v>
      </c>
      <c r="H616" s="181">
        <v>14915</v>
      </c>
      <c r="I616" s="180">
        <v>34.75</v>
      </c>
      <c r="K616" s="316">
        <f>IFERROR(Table28[[#This Row],[ROUTE COST]]/Table28[[#This Row],[O - DEMAND]],0)</f>
        <v>0</v>
      </c>
      <c r="M616" s="16">
        <f>Table28[[#This Row],[O - DEMAND]]/950</f>
        <v>0</v>
      </c>
      <c r="N616" s="16">
        <f>IFERROR(VLOOKUP(Table28[[#This Row],[ROUTE]],DEMAND!A:F,5,FALSE),0)</f>
        <v>0</v>
      </c>
      <c r="O616" s="16">
        <f>IFERROR(VLOOKUP(Table28[[#This Row],[ROUTE]],DEMAND!A:F,6,FALSE),0)</f>
        <v>0</v>
      </c>
      <c r="P616" s="16">
        <f>ROUNDDOWN(Table28[[#This Row],[R-DEMAND]]/950,0)</f>
        <v>0</v>
      </c>
      <c r="Q616" s="16">
        <f>Table28[[#This Row],[ADD ACC
(475/950)]]*Table28[[#This Row],[Duration
(A359)]]</f>
        <v>0</v>
      </c>
      <c r="R616" s="16">
        <f>IFERROR(VLOOKUP(Table28[[#This Row],[ROUTE]],PRICING!A:B,2,FALSE),0)</f>
        <v>0</v>
      </c>
      <c r="S616" s="16">
        <f>Table28[[#This Row],[C_DEMAND]]-Table28[[#This Row],[R-DEMAND]]</f>
        <v>0</v>
      </c>
      <c r="T616" s="316">
        <f>Table28[[#This Row],[SEATS SOLD]]*Table28[[#This Row],[ECO SEAT]]</f>
        <v>0</v>
      </c>
      <c r="U616" s="316">
        <f>Table28[[#This Row],[SEATS SOLD]]*(IFERROR(VLOOKUP(Table28[[#This Row],[ROUTE]],PRICING!A:C,3,FALSE),0))</f>
        <v>0</v>
      </c>
      <c r="V616" s="316">
        <f>Table28[[#This Row],[SEAT REV]]-Table28[[#This Row],[SEAT REV
(IF IDEAL $)]]</f>
        <v>0</v>
      </c>
      <c r="AS616" s="16" t="s">
        <v>11732</v>
      </c>
      <c r="AT616" s="16" t="s">
        <v>16991</v>
      </c>
      <c r="AU616" s="16" t="s">
        <v>5493</v>
      </c>
      <c r="AV616" s="16" t="s">
        <v>18878</v>
      </c>
      <c r="AW616" s="16" t="s">
        <v>18899</v>
      </c>
      <c r="AX616" s="16" t="s">
        <v>18928</v>
      </c>
      <c r="AY616" s="385">
        <v>13826</v>
      </c>
    </row>
    <row r="617" spans="1:51" x14ac:dyDescent="0.25">
      <c r="A617" s="16" t="s">
        <v>19345</v>
      </c>
      <c r="B617" s="16" t="s">
        <v>3078</v>
      </c>
      <c r="C617" s="16" t="s">
        <v>467</v>
      </c>
      <c r="D617" s="16">
        <v>2</v>
      </c>
      <c r="E617" s="16" t="s">
        <v>1289</v>
      </c>
      <c r="F617" s="16" t="str">
        <f>VLOOKUP(Table28[[#This Row],[Country]],Table10[[COUNTRY NAME]:[CONTINENT CODE]],3,FALSE)</f>
        <v>AS</v>
      </c>
      <c r="G617" s="16" t="s">
        <v>11968</v>
      </c>
      <c r="H617" s="181">
        <v>11988</v>
      </c>
      <c r="I617" s="180">
        <v>28.5</v>
      </c>
      <c r="K617" s="316">
        <f>IFERROR(Table28[[#This Row],[ROUTE COST]]/Table28[[#This Row],[O - DEMAND]],0)</f>
        <v>0</v>
      </c>
      <c r="M617" s="16">
        <f>Table28[[#This Row],[O - DEMAND]]/950</f>
        <v>0</v>
      </c>
      <c r="N617" s="16">
        <f>IFERROR(VLOOKUP(Table28[[#This Row],[ROUTE]],DEMAND!A:F,5,FALSE),0)</f>
        <v>3323</v>
      </c>
      <c r="O617" s="16">
        <f>IFERROR(VLOOKUP(Table28[[#This Row],[ROUTE]],DEMAND!A:F,6,FALSE),0)</f>
        <v>473</v>
      </c>
      <c r="P617" s="16">
        <f>ROUNDDOWN(Table28[[#This Row],[R-DEMAND]]/950,0)</f>
        <v>0</v>
      </c>
      <c r="Q617" s="16">
        <f>Table28[[#This Row],[ADD ACC
(475/950)]]*Table28[[#This Row],[Duration
(A359)]]</f>
        <v>0</v>
      </c>
      <c r="R617" s="16">
        <f>IFERROR(VLOOKUP(Table28[[#This Row],[ROUTE]],PRICING!A:B,2,FALSE),0)</f>
        <v>0</v>
      </c>
      <c r="S617" s="16">
        <f>Table28[[#This Row],[C_DEMAND]]-Table28[[#This Row],[R-DEMAND]]</f>
        <v>2850</v>
      </c>
      <c r="T617" s="316">
        <f>Table28[[#This Row],[SEATS SOLD]]*Table28[[#This Row],[ECO SEAT]]</f>
        <v>0</v>
      </c>
      <c r="U617" s="316">
        <f>Table28[[#This Row],[SEATS SOLD]]*(IFERROR(VLOOKUP(Table28[[#This Row],[ROUTE]],PRICING!A:C,3,FALSE),0))</f>
        <v>0</v>
      </c>
      <c r="V617" s="316">
        <f>Table28[[#This Row],[SEAT REV]]-Table28[[#This Row],[SEAT REV
(IF IDEAL $)]]</f>
        <v>0</v>
      </c>
      <c r="AS617" s="16" t="s">
        <v>1654</v>
      </c>
      <c r="AT617" s="16" t="s">
        <v>11900</v>
      </c>
      <c r="AU617" s="16" t="s">
        <v>2067</v>
      </c>
      <c r="AV617" s="16" t="s">
        <v>18884</v>
      </c>
      <c r="AW617" s="16" t="s">
        <v>18890</v>
      </c>
      <c r="AX617" s="16" t="s">
        <v>18928</v>
      </c>
      <c r="AY617" s="385">
        <v>13838</v>
      </c>
    </row>
    <row r="618" spans="1:51" x14ac:dyDescent="0.25">
      <c r="A618" s="16" t="s">
        <v>19511</v>
      </c>
      <c r="B618" s="16" t="s">
        <v>1898</v>
      </c>
      <c r="D618" s="16">
        <v>1</v>
      </c>
      <c r="E618" s="16" t="s">
        <v>11732</v>
      </c>
      <c r="F618" s="16" t="str">
        <f>VLOOKUP(Table28[[#This Row],[Country]],Table10[[COUNTRY NAME]:[CONTINENT CODE]],3,FALSE)</f>
        <v>NA - US</v>
      </c>
      <c r="G618" s="16" t="s">
        <v>13277</v>
      </c>
      <c r="H618" s="181">
        <v>13170</v>
      </c>
      <c r="I618" s="180">
        <v>31</v>
      </c>
      <c r="K618" s="316">
        <f>IFERROR(Table28[[#This Row],[ROUTE COST]]/Table28[[#This Row],[O - DEMAND]],0)</f>
        <v>0</v>
      </c>
      <c r="M618" s="180">
        <f>Table28[[#This Row],[O - DEMAND]]/950</f>
        <v>0</v>
      </c>
      <c r="N618" s="16">
        <f>IFERROR(VLOOKUP(Table28[[#This Row],[ROUTE]],DEMAND!A:F,5,FALSE),0)</f>
        <v>0</v>
      </c>
      <c r="O618" s="16">
        <f>IFERROR(VLOOKUP(Table28[[#This Row],[ROUTE]],DEMAND!A:F,6,FALSE),0)</f>
        <v>0</v>
      </c>
      <c r="P618" s="16">
        <f>ROUNDDOWN(Table28[[#This Row],[R-DEMAND]]/950,0)</f>
        <v>0</v>
      </c>
      <c r="Q618" s="16">
        <f>Table28[[#This Row],[ADD ACC
(475/950)]]*Table28[[#This Row],[Duration
(A359)]]</f>
        <v>0</v>
      </c>
      <c r="R618" s="16">
        <f>IFERROR(VLOOKUP(Table28[[#This Row],[ROUTE]],PRICING!A:B,2,FALSE),0)</f>
        <v>0</v>
      </c>
      <c r="S618" s="16">
        <f>Table28[[#This Row],[C_DEMAND]]-Table28[[#This Row],[R-DEMAND]]</f>
        <v>0</v>
      </c>
      <c r="T618" s="316">
        <f>Table28[[#This Row],[SEATS SOLD]]*Table28[[#This Row],[ECO SEAT]]</f>
        <v>0</v>
      </c>
      <c r="U618" s="316">
        <f>Table28[[#This Row],[SEATS SOLD]]*(IFERROR(VLOOKUP(Table28[[#This Row],[ROUTE]],PRICING!A:C,3,FALSE),0))</f>
        <v>0</v>
      </c>
      <c r="V618" s="316">
        <f>Table28[[#This Row],[SEAT REV]]-Table28[[#This Row],[SEAT REV
(IF IDEAL $)]]</f>
        <v>0</v>
      </c>
      <c r="AS618" s="16" t="s">
        <v>11732</v>
      </c>
      <c r="AT618" s="16" t="s">
        <v>13335</v>
      </c>
      <c r="AU618" s="16" t="s">
        <v>5741</v>
      </c>
      <c r="AV618" s="16" t="s">
        <v>18884</v>
      </c>
      <c r="AW618" s="16" t="s">
        <v>18918</v>
      </c>
      <c r="AX618" s="16" t="s">
        <v>18928</v>
      </c>
      <c r="AY618" s="385">
        <v>13839</v>
      </c>
    </row>
    <row r="619" spans="1:51" x14ac:dyDescent="0.25">
      <c r="A619" s="16" t="s">
        <v>19346</v>
      </c>
      <c r="B619" s="16" t="s">
        <v>3141</v>
      </c>
      <c r="D619" s="16">
        <v>2</v>
      </c>
      <c r="E619" s="16" t="s">
        <v>1847</v>
      </c>
      <c r="F619" s="16" t="str">
        <f>VLOOKUP(Table28[[#This Row],[Country]],Table10[[COUNTRY NAME]:[CONTINENT CODE]],3,FALSE)</f>
        <v>AS</v>
      </c>
      <c r="G619" s="16" t="s">
        <v>11979</v>
      </c>
      <c r="H619" s="181">
        <v>12017</v>
      </c>
      <c r="I619" s="180">
        <v>28.5</v>
      </c>
      <c r="K619" s="316">
        <f>IFERROR(Table28[[#This Row],[ROUTE COST]]/Table28[[#This Row],[O - DEMAND]],0)</f>
        <v>0</v>
      </c>
      <c r="M619" s="16">
        <f>Table28[[#This Row],[O - DEMAND]]/950</f>
        <v>0</v>
      </c>
      <c r="N619" s="16">
        <f>IFERROR(VLOOKUP(Table28[[#This Row],[ROUTE]],DEMAND!A:F,5,FALSE),0)</f>
        <v>0</v>
      </c>
      <c r="O619" s="16">
        <f>IFERROR(VLOOKUP(Table28[[#This Row],[ROUTE]],DEMAND!A:F,6,FALSE),0)</f>
        <v>0</v>
      </c>
      <c r="P619" s="16">
        <f>ROUNDDOWN(Table28[[#This Row],[R-DEMAND]]/950,0)</f>
        <v>0</v>
      </c>
      <c r="Q619" s="16">
        <f>Table28[[#This Row],[ADD ACC
(475/950)]]*Table28[[#This Row],[Duration
(A359)]]</f>
        <v>0</v>
      </c>
      <c r="R619" s="16">
        <f>IFERROR(VLOOKUP(Table28[[#This Row],[ROUTE]],PRICING!A:B,2,FALSE),0)</f>
        <v>0</v>
      </c>
      <c r="S619" s="16">
        <f>Table28[[#This Row],[C_DEMAND]]-Table28[[#This Row],[R-DEMAND]]</f>
        <v>0</v>
      </c>
      <c r="T619" s="316">
        <f>Table28[[#This Row],[SEATS SOLD]]*Table28[[#This Row],[ECO SEAT]]</f>
        <v>0</v>
      </c>
      <c r="U619" s="316">
        <f>Table28[[#This Row],[SEATS SOLD]]*(IFERROR(VLOOKUP(Table28[[#This Row],[ROUTE]],PRICING!A:C,3,FALSE),0))</f>
        <v>0</v>
      </c>
      <c r="V619" s="316">
        <f>Table28[[#This Row],[SEAT REV]]-Table28[[#This Row],[SEAT REV
(IF IDEAL $)]]</f>
        <v>0</v>
      </c>
      <c r="AS619" s="16" t="s">
        <v>700</v>
      </c>
      <c r="AT619" s="16" t="s">
        <v>8406</v>
      </c>
      <c r="AU619" s="16" t="s">
        <v>2846</v>
      </c>
      <c r="AV619" s="16" t="s">
        <v>18884</v>
      </c>
      <c r="AW619" s="16" t="s">
        <v>18879</v>
      </c>
      <c r="AX619" s="16" t="s">
        <v>18928</v>
      </c>
      <c r="AY619" s="385">
        <v>13841</v>
      </c>
    </row>
    <row r="620" spans="1:51" x14ac:dyDescent="0.25">
      <c r="A620" s="16" t="s">
        <v>19619</v>
      </c>
      <c r="B620" s="16" t="s">
        <v>4445</v>
      </c>
      <c r="D620" s="16">
        <v>2</v>
      </c>
      <c r="E620" s="16" t="s">
        <v>1124</v>
      </c>
      <c r="F620" s="16" t="str">
        <f>VLOOKUP(Table28[[#This Row],[Country]],Table10[[COUNTRY NAME]:[CONTINENT CODE]],3,FALSE)</f>
        <v>AF</v>
      </c>
      <c r="G620" s="16" t="s">
        <v>11894</v>
      </c>
      <c r="H620" s="181">
        <v>13921</v>
      </c>
      <c r="I620" s="180">
        <v>32.75</v>
      </c>
      <c r="K620" s="316">
        <f>IFERROR(Table28[[#This Row],[ROUTE COST]]/Table28[[#This Row],[O - DEMAND]],0)</f>
        <v>0</v>
      </c>
      <c r="M620" s="16">
        <f>Table28[[#This Row],[O - DEMAND]]/950</f>
        <v>0</v>
      </c>
      <c r="N620" s="16">
        <f>IFERROR(VLOOKUP(Table28[[#This Row],[ROUTE]],DEMAND!A:F,5,FALSE),0)</f>
        <v>0</v>
      </c>
      <c r="O620" s="16">
        <f>IFERROR(VLOOKUP(Table28[[#This Row],[ROUTE]],DEMAND!A:F,6,FALSE),0)</f>
        <v>0</v>
      </c>
      <c r="P620" s="16">
        <f>ROUNDDOWN(Table28[[#This Row],[R-DEMAND]]/950,0)</f>
        <v>0</v>
      </c>
      <c r="Q620" s="16">
        <f>Table28[[#This Row],[ADD ACC
(475/950)]]*Table28[[#This Row],[Duration
(A359)]]</f>
        <v>0</v>
      </c>
      <c r="R620" s="16">
        <f>IFERROR(VLOOKUP(Table28[[#This Row],[ROUTE]],PRICING!A:B,2,FALSE),0)</f>
        <v>0</v>
      </c>
      <c r="S620" s="16">
        <f>Table28[[#This Row],[C_DEMAND]]-Table28[[#This Row],[R-DEMAND]]</f>
        <v>0</v>
      </c>
      <c r="T620" s="316">
        <f>Table28[[#This Row],[SEATS SOLD]]*Table28[[#This Row],[ECO SEAT]]</f>
        <v>0</v>
      </c>
      <c r="U620" s="316">
        <f>Table28[[#This Row],[SEATS SOLD]]*(IFERROR(VLOOKUP(Table28[[#This Row],[ROUTE]],PRICING!A:C,3,FALSE),0))</f>
        <v>0</v>
      </c>
      <c r="V620" s="316">
        <f>Table28[[#This Row],[SEAT REV]]-Table28[[#This Row],[SEAT REV
(IF IDEAL $)]]</f>
        <v>0</v>
      </c>
      <c r="AS620" s="16" t="s">
        <v>517</v>
      </c>
      <c r="AT620" s="16" t="s">
        <v>13160</v>
      </c>
      <c r="AU620" s="16" t="s">
        <v>5485</v>
      </c>
      <c r="AV620" s="16" t="s">
        <v>18892</v>
      </c>
      <c r="AW620" s="16" t="s">
        <v>18899</v>
      </c>
      <c r="AX620" s="16" t="s">
        <v>18928</v>
      </c>
      <c r="AY620" s="385">
        <v>13848</v>
      </c>
    </row>
    <row r="621" spans="1:51" x14ac:dyDescent="0.25">
      <c r="A621" s="16" t="s">
        <v>19070</v>
      </c>
      <c r="B621" s="16" t="s">
        <v>14212</v>
      </c>
      <c r="E621" s="16" t="s">
        <v>46</v>
      </c>
      <c r="F621" s="16" t="str">
        <f>VLOOKUP(Table28[[#This Row],[Country]],Table10[[COUNTRY NAME]:[CONTINENT CODE]],3,FALSE)</f>
        <v>AS</v>
      </c>
      <c r="G621" s="16" t="s">
        <v>14213</v>
      </c>
      <c r="H621" s="181">
        <v>7235</v>
      </c>
      <c r="I621" s="180">
        <v>18</v>
      </c>
      <c r="K621" s="316">
        <f>IFERROR(Table28[[#This Row],[ROUTE COST]]/Table28[[#This Row],[O - DEMAND]],0)</f>
        <v>0</v>
      </c>
      <c r="M621" s="16">
        <f>Table28[[#This Row],[O - DEMAND]]/950</f>
        <v>0</v>
      </c>
      <c r="N621" s="16">
        <f>IFERROR(VLOOKUP(Table28[[#This Row],[ROUTE]],DEMAND!A:F,5,FALSE),0)</f>
        <v>0</v>
      </c>
      <c r="O621" s="16">
        <f>IFERROR(VLOOKUP(Table28[[#This Row],[ROUTE]],DEMAND!A:F,6,FALSE),0)</f>
        <v>0</v>
      </c>
      <c r="P621" s="16">
        <f>ROUNDDOWN(Table28[[#This Row],[R-DEMAND]]/950,0)</f>
        <v>0</v>
      </c>
      <c r="Q621" s="16">
        <f>Table28[[#This Row],[ADD ACC
(475/950)]]*Table28[[#This Row],[Duration
(A359)]]</f>
        <v>0</v>
      </c>
      <c r="R621" s="16">
        <f>IFERROR(VLOOKUP(Table28[[#This Row],[ROUTE]],PRICING!A:B,2,FALSE),0)</f>
        <v>0</v>
      </c>
      <c r="S621" s="16">
        <f>Table28[[#This Row],[C_DEMAND]]-Table28[[#This Row],[R-DEMAND]]</f>
        <v>0</v>
      </c>
      <c r="T621" s="316">
        <f>Table28[[#This Row],[SEATS SOLD]]*Table28[[#This Row],[ECO SEAT]]</f>
        <v>0</v>
      </c>
      <c r="U621" s="316">
        <f>Table28[[#This Row],[SEATS SOLD]]*(IFERROR(VLOOKUP(Table28[[#This Row],[ROUTE]],PRICING!A:C,3,FALSE),0))</f>
        <v>0</v>
      </c>
      <c r="V621" s="316">
        <f>Table28[[#This Row],[SEAT REV]]-Table28[[#This Row],[SEAT REV
(IF IDEAL $)]]</f>
        <v>0</v>
      </c>
      <c r="AS621" s="16" t="s">
        <v>700</v>
      </c>
      <c r="AT621" s="16" t="s">
        <v>10746</v>
      </c>
      <c r="AU621" s="16" t="s">
        <v>3129</v>
      </c>
      <c r="AV621" s="16" t="s">
        <v>18881</v>
      </c>
      <c r="AW621" s="16" t="s">
        <v>18879</v>
      </c>
      <c r="AX621" s="16" t="s">
        <v>18928</v>
      </c>
      <c r="AY621" s="385">
        <v>13857</v>
      </c>
    </row>
    <row r="622" spans="1:51" x14ac:dyDescent="0.25">
      <c r="A622" s="16" t="s">
        <v>19376</v>
      </c>
      <c r="B622" s="16" t="s">
        <v>5247</v>
      </c>
      <c r="D622" s="16">
        <v>3</v>
      </c>
      <c r="E622" s="16" t="s">
        <v>11732</v>
      </c>
      <c r="F622" s="16" t="str">
        <f>VLOOKUP(Table28[[#This Row],[Country]],Table10[[COUNTRY NAME]:[CONTINENT CODE]],3,FALSE)</f>
        <v>NA - US</v>
      </c>
      <c r="G622" s="16" t="s">
        <v>13263</v>
      </c>
      <c r="H622" s="181">
        <v>12252</v>
      </c>
      <c r="I622" s="180">
        <v>29</v>
      </c>
      <c r="K622" s="316">
        <f>IFERROR(Table28[[#This Row],[ROUTE COST]]/Table28[[#This Row],[O - DEMAND]],0)</f>
        <v>0</v>
      </c>
      <c r="M622" s="180">
        <f>Table28[[#This Row],[O - DEMAND]]/950</f>
        <v>0</v>
      </c>
      <c r="N622" s="16">
        <f>IFERROR(VLOOKUP(Table28[[#This Row],[ROUTE]],DEMAND!A:F,5,FALSE),0)</f>
        <v>0</v>
      </c>
      <c r="O622" s="16">
        <f>IFERROR(VLOOKUP(Table28[[#This Row],[ROUTE]],DEMAND!A:F,6,FALSE),0)</f>
        <v>0</v>
      </c>
      <c r="P622" s="16">
        <f>ROUNDDOWN(Table28[[#This Row],[R-DEMAND]]/950,0)</f>
        <v>0</v>
      </c>
      <c r="Q622" s="16">
        <f>Table28[[#This Row],[ADD ACC
(475/950)]]*Table28[[#This Row],[Duration
(A359)]]</f>
        <v>0</v>
      </c>
      <c r="R622" s="16">
        <f>IFERROR(VLOOKUP(Table28[[#This Row],[ROUTE]],PRICING!A:B,2,FALSE),0)</f>
        <v>0</v>
      </c>
      <c r="S622" s="16">
        <f>Table28[[#This Row],[C_DEMAND]]-Table28[[#This Row],[R-DEMAND]]</f>
        <v>0</v>
      </c>
      <c r="T622" s="316">
        <f>Table28[[#This Row],[SEATS SOLD]]*Table28[[#This Row],[ECO SEAT]]</f>
        <v>0</v>
      </c>
      <c r="U622" s="316">
        <f>Table28[[#This Row],[SEATS SOLD]]*(IFERROR(VLOOKUP(Table28[[#This Row],[ROUTE]],PRICING!A:C,3,FALSE),0))</f>
        <v>0</v>
      </c>
      <c r="V622" s="316">
        <f>Table28[[#This Row],[SEAT REV]]-Table28[[#This Row],[SEAT REV
(IF IDEAL $)]]</f>
        <v>0</v>
      </c>
      <c r="AS622" s="16" t="s">
        <v>11732</v>
      </c>
      <c r="AT622" s="16" t="s">
        <v>13308</v>
      </c>
      <c r="AU622" s="16" t="s">
        <v>5217</v>
      </c>
      <c r="AV622" s="16" t="s">
        <v>18892</v>
      </c>
      <c r="AW622" s="16" t="s">
        <v>18885</v>
      </c>
      <c r="AX622" s="16" t="s">
        <v>18928</v>
      </c>
      <c r="AY622" s="385">
        <v>13861</v>
      </c>
    </row>
    <row r="623" spans="1:51" x14ac:dyDescent="0.25">
      <c r="A623" s="16" t="s">
        <v>19001</v>
      </c>
      <c r="B623" s="16" t="s">
        <v>4333</v>
      </c>
      <c r="D623" s="16">
        <v>2</v>
      </c>
      <c r="E623" s="16" t="s">
        <v>774</v>
      </c>
      <c r="F623" s="16" t="str">
        <f>VLOOKUP(Table28[[#This Row],[Country]],Table10[[COUNTRY NAME]:[CONTINENT CODE]],3,FALSE)</f>
        <v>OC</v>
      </c>
      <c r="G623" s="16" t="s">
        <v>7536</v>
      </c>
      <c r="H623" s="181">
        <v>1176</v>
      </c>
      <c r="I623" s="180">
        <v>4.75</v>
      </c>
      <c r="K623" s="316">
        <f>IFERROR(Table28[[#This Row],[ROUTE COST]]/Table28[[#This Row],[O - DEMAND]],0)</f>
        <v>0</v>
      </c>
      <c r="M623" s="16">
        <f>Table28[[#This Row],[O - DEMAND]]/950</f>
        <v>0</v>
      </c>
      <c r="N623" s="16">
        <f>IFERROR(VLOOKUP(Table28[[#This Row],[ROUTE]],DEMAND!A:F,5,FALSE),0)</f>
        <v>0</v>
      </c>
      <c r="O623" s="16">
        <f>IFERROR(VLOOKUP(Table28[[#This Row],[ROUTE]],DEMAND!A:F,6,FALSE),0)</f>
        <v>0</v>
      </c>
      <c r="P623" s="16">
        <f>ROUNDDOWN(Table28[[#This Row],[R-DEMAND]]/950,0)</f>
        <v>0</v>
      </c>
      <c r="Q623" s="16">
        <f>Table28[[#This Row],[ADD ACC
(475/950)]]*Table28[[#This Row],[Duration
(A359)]]</f>
        <v>0</v>
      </c>
      <c r="R623" s="16">
        <f>IFERROR(VLOOKUP(Table28[[#This Row],[ROUTE]],PRICING!A:B,2,FALSE),0)</f>
        <v>0</v>
      </c>
      <c r="S623" s="16">
        <f>Table28[[#This Row],[C_DEMAND]]-Table28[[#This Row],[R-DEMAND]]</f>
        <v>0</v>
      </c>
      <c r="T623" s="316">
        <f>Table28[[#This Row],[SEATS SOLD]]*Table28[[#This Row],[ECO SEAT]]</f>
        <v>0</v>
      </c>
      <c r="U623" s="316">
        <f>Table28[[#This Row],[SEATS SOLD]]*(IFERROR(VLOOKUP(Table28[[#This Row],[ROUTE]],PRICING!A:C,3,FALSE),0))</f>
        <v>0</v>
      </c>
      <c r="V623" s="316">
        <f>Table28[[#This Row],[SEAT REV]]-Table28[[#This Row],[SEAT REV
(IF IDEAL $)]]</f>
        <v>0</v>
      </c>
      <c r="AS623" s="16" t="s">
        <v>172</v>
      </c>
      <c r="AT623" s="16" t="s">
        <v>6951</v>
      </c>
      <c r="AU623" s="16" t="s">
        <v>4245</v>
      </c>
      <c r="AV623" s="16" t="s">
        <v>18881</v>
      </c>
      <c r="AW623" s="16" t="s">
        <v>18879</v>
      </c>
      <c r="AX623" s="16" t="s">
        <v>18928</v>
      </c>
      <c r="AY623" s="385">
        <v>13865</v>
      </c>
    </row>
    <row r="624" spans="1:51" x14ac:dyDescent="0.25">
      <c r="A624" s="16" t="s">
        <v>19334</v>
      </c>
      <c r="B624" s="16" t="s">
        <v>2671</v>
      </c>
      <c r="D624" s="16">
        <v>2</v>
      </c>
      <c r="E624" s="16" t="s">
        <v>11669</v>
      </c>
      <c r="F624" s="16" t="str">
        <f>VLOOKUP(Table28[[#This Row],[Country]],Table10[[COUNTRY NAME]:[CONTINENT CODE]],3,FALSE)</f>
        <v>SA</v>
      </c>
      <c r="G624" s="16" t="s">
        <v>13141</v>
      </c>
      <c r="H624" s="181">
        <v>11869</v>
      </c>
      <c r="I624" s="180">
        <v>28.25</v>
      </c>
      <c r="K624" s="316">
        <f>IFERROR(Table28[[#This Row],[ROUTE COST]]/Table28[[#This Row],[O - DEMAND]],0)</f>
        <v>0</v>
      </c>
      <c r="M624" s="16">
        <f>Table28[[#This Row],[O - DEMAND]]/950</f>
        <v>0</v>
      </c>
      <c r="N624" s="16">
        <f>IFERROR(VLOOKUP(Table28[[#This Row],[ROUTE]],DEMAND!A:F,5,FALSE),0)</f>
        <v>0</v>
      </c>
      <c r="O624" s="16">
        <f>IFERROR(VLOOKUP(Table28[[#This Row],[ROUTE]],DEMAND!A:F,6,FALSE),0)</f>
        <v>0</v>
      </c>
      <c r="P624" s="16">
        <f>ROUNDDOWN(Table28[[#This Row],[R-DEMAND]]/950,0)</f>
        <v>0</v>
      </c>
      <c r="Q624" s="16">
        <f>Table28[[#This Row],[ADD ACC
(475/950)]]*Table28[[#This Row],[Duration
(A359)]]</f>
        <v>0</v>
      </c>
      <c r="R624" s="16">
        <f>IFERROR(VLOOKUP(Table28[[#This Row],[ROUTE]],PRICING!A:B,2,FALSE),0)</f>
        <v>0</v>
      </c>
      <c r="S624" s="16">
        <f>Table28[[#This Row],[C_DEMAND]]-Table28[[#This Row],[R-DEMAND]]</f>
        <v>0</v>
      </c>
      <c r="T624" s="316">
        <f>Table28[[#This Row],[SEATS SOLD]]*Table28[[#This Row],[ECO SEAT]]</f>
        <v>0</v>
      </c>
      <c r="U624" s="316">
        <f>Table28[[#This Row],[SEATS SOLD]]*(IFERROR(VLOOKUP(Table28[[#This Row],[ROUTE]],PRICING!A:C,3,FALSE),0))</f>
        <v>0</v>
      </c>
      <c r="V624" s="316">
        <f>Table28[[#This Row],[SEAT REV]]-Table28[[#This Row],[SEAT REV
(IF IDEAL $)]]</f>
        <v>0</v>
      </c>
      <c r="AS624" s="16" t="s">
        <v>700</v>
      </c>
      <c r="AT624" s="16" t="s">
        <v>16863</v>
      </c>
      <c r="AU624" s="16" t="s">
        <v>3479</v>
      </c>
      <c r="AV624" s="16" t="s">
        <v>18878</v>
      </c>
      <c r="AW624" s="16" t="s">
        <v>18879</v>
      </c>
      <c r="AX624" s="16" t="s">
        <v>18928</v>
      </c>
      <c r="AY624" s="385">
        <v>13872</v>
      </c>
    </row>
    <row r="625" spans="1:51" x14ac:dyDescent="0.25">
      <c r="A625" s="16" t="s">
        <v>19514</v>
      </c>
      <c r="B625" s="16" t="s">
        <v>2494</v>
      </c>
      <c r="D625" s="16">
        <v>2</v>
      </c>
      <c r="E625" s="16" t="s">
        <v>11732</v>
      </c>
      <c r="F625" s="16" t="str">
        <f>VLOOKUP(Table28[[#This Row],[Country]],Table10[[COUNTRY NAME]:[CONTINENT CODE]],3,FALSE)</f>
        <v>NA - US</v>
      </c>
      <c r="G625" s="16" t="s">
        <v>13298</v>
      </c>
      <c r="H625" s="181">
        <v>13184</v>
      </c>
      <c r="I625" s="180">
        <v>31</v>
      </c>
      <c r="K625" s="316">
        <f>IFERROR(Table28[[#This Row],[ROUTE COST]]/Table28[[#This Row],[O - DEMAND]],0)</f>
        <v>0</v>
      </c>
      <c r="M625" s="180">
        <f>Table28[[#This Row],[O - DEMAND]]/950</f>
        <v>0</v>
      </c>
      <c r="N625" s="16">
        <f>IFERROR(VLOOKUP(Table28[[#This Row],[ROUTE]],DEMAND!A:F,5,FALSE),0)</f>
        <v>0</v>
      </c>
      <c r="O625" s="16">
        <f>IFERROR(VLOOKUP(Table28[[#This Row],[ROUTE]],DEMAND!A:F,6,FALSE),0)</f>
        <v>0</v>
      </c>
      <c r="P625" s="16">
        <f>ROUNDDOWN(Table28[[#This Row],[R-DEMAND]]/950,0)</f>
        <v>0</v>
      </c>
      <c r="Q625" s="16">
        <f>Table28[[#This Row],[ADD ACC
(475/950)]]*Table28[[#This Row],[Duration
(A359)]]</f>
        <v>0</v>
      </c>
      <c r="R625" s="16">
        <f>IFERROR(VLOOKUP(Table28[[#This Row],[ROUTE]],PRICING!A:B,2,FALSE),0)</f>
        <v>0</v>
      </c>
      <c r="S625" s="16">
        <f>Table28[[#This Row],[C_DEMAND]]-Table28[[#This Row],[R-DEMAND]]</f>
        <v>0</v>
      </c>
      <c r="T625" s="316">
        <f>Table28[[#This Row],[SEATS SOLD]]*Table28[[#This Row],[ECO SEAT]]</f>
        <v>0</v>
      </c>
      <c r="U625" s="316">
        <f>Table28[[#This Row],[SEATS SOLD]]*(IFERROR(VLOOKUP(Table28[[#This Row],[ROUTE]],PRICING!A:C,3,FALSE),0))</f>
        <v>0</v>
      </c>
      <c r="V625" s="316">
        <f>Table28[[#This Row],[SEAT REV]]-Table28[[#This Row],[SEAT REV
(IF IDEAL $)]]</f>
        <v>0</v>
      </c>
      <c r="AS625" s="16" t="s">
        <v>78</v>
      </c>
      <c r="AT625" s="16" t="s">
        <v>8419</v>
      </c>
      <c r="AU625" s="16" t="s">
        <v>4080</v>
      </c>
      <c r="AV625" s="16" t="s">
        <v>18884</v>
      </c>
      <c r="AW625" s="16" t="s">
        <v>18879</v>
      </c>
      <c r="AX625" s="16" t="s">
        <v>18966</v>
      </c>
      <c r="AY625" s="385">
        <v>13907</v>
      </c>
    </row>
    <row r="626" spans="1:51" x14ac:dyDescent="0.25">
      <c r="A626" s="16" t="s">
        <v>19702</v>
      </c>
      <c r="B626" s="16" t="s">
        <v>3559</v>
      </c>
      <c r="D626" s="16">
        <v>2</v>
      </c>
      <c r="E626" s="16" t="s">
        <v>11732</v>
      </c>
      <c r="F626" s="16" t="str">
        <f>VLOOKUP(Table28[[#This Row],[Country]],Table10[[COUNTRY NAME]:[CONTINENT CODE]],3,FALSE)</f>
        <v>NA - US</v>
      </c>
      <c r="G626" s="16" t="s">
        <v>13296</v>
      </c>
      <c r="H626" s="181">
        <v>14538</v>
      </c>
      <c r="I626" s="180">
        <v>34</v>
      </c>
      <c r="K626" s="316">
        <f>IFERROR(Table28[[#This Row],[ROUTE COST]]/Table28[[#This Row],[O - DEMAND]],0)</f>
        <v>0</v>
      </c>
      <c r="M626" s="180">
        <f>Table28[[#This Row],[O - DEMAND]]/950</f>
        <v>0</v>
      </c>
      <c r="N626" s="16">
        <f>IFERROR(VLOOKUP(Table28[[#This Row],[ROUTE]],DEMAND!A:F,5,FALSE),0)</f>
        <v>0</v>
      </c>
      <c r="O626" s="16">
        <f>IFERROR(VLOOKUP(Table28[[#This Row],[ROUTE]],DEMAND!A:F,6,FALSE),0)</f>
        <v>0</v>
      </c>
      <c r="P626" s="16">
        <f>ROUNDDOWN(Table28[[#This Row],[R-DEMAND]]/950,0)</f>
        <v>0</v>
      </c>
      <c r="Q626" s="16">
        <f>Table28[[#This Row],[ADD ACC
(475/950)]]*Table28[[#This Row],[Duration
(A359)]]</f>
        <v>0</v>
      </c>
      <c r="R626" s="16">
        <f>IFERROR(VLOOKUP(Table28[[#This Row],[ROUTE]],PRICING!A:B,2,FALSE),0)</f>
        <v>0</v>
      </c>
      <c r="S626" s="16">
        <f>Table28[[#This Row],[C_DEMAND]]-Table28[[#This Row],[R-DEMAND]]</f>
        <v>0</v>
      </c>
      <c r="T626" s="316">
        <f>Table28[[#This Row],[SEATS SOLD]]*Table28[[#This Row],[ECO SEAT]]</f>
        <v>0</v>
      </c>
      <c r="U626" s="316">
        <f>Table28[[#This Row],[SEATS SOLD]]*(IFERROR(VLOOKUP(Table28[[#This Row],[ROUTE]],PRICING!A:C,3,FALSE),0))</f>
        <v>0</v>
      </c>
      <c r="V626" s="316">
        <f>Table28[[#This Row],[SEAT REV]]-Table28[[#This Row],[SEAT REV
(IF IDEAL $)]]</f>
        <v>0</v>
      </c>
      <c r="AS626" s="16" t="s">
        <v>3350</v>
      </c>
      <c r="AT626" s="16" t="s">
        <v>13211</v>
      </c>
      <c r="AU626" s="16" t="s">
        <v>3461</v>
      </c>
      <c r="AV626" s="16" t="s">
        <v>18881</v>
      </c>
      <c r="AW626" s="16" t="s">
        <v>18879</v>
      </c>
      <c r="AX626" s="16" t="s">
        <v>18966</v>
      </c>
      <c r="AY626" s="385">
        <v>13908</v>
      </c>
    </row>
    <row r="627" spans="1:51" x14ac:dyDescent="0.25">
      <c r="A627" s="16" t="s">
        <v>19759</v>
      </c>
      <c r="B627" s="16" t="s">
        <v>5491</v>
      </c>
      <c r="D627" s="16">
        <v>4</v>
      </c>
      <c r="E627" s="16" t="s">
        <v>11732</v>
      </c>
      <c r="F627" s="16" t="str">
        <f>VLOOKUP(Table28[[#This Row],[Country]],Table10[[COUNTRY NAME]:[CONTINENT CODE]],3,FALSE)</f>
        <v>NA - US</v>
      </c>
      <c r="G627" s="16" t="s">
        <v>13371</v>
      </c>
      <c r="H627" s="181">
        <v>14923</v>
      </c>
      <c r="I627" s="180">
        <v>35</v>
      </c>
      <c r="K627" s="316">
        <f>IFERROR(Table28[[#This Row],[ROUTE COST]]/Table28[[#This Row],[O - DEMAND]],0)</f>
        <v>0</v>
      </c>
      <c r="M627" s="180">
        <f>Table28[[#This Row],[O - DEMAND]]/950</f>
        <v>0</v>
      </c>
      <c r="N627" s="16">
        <f>IFERROR(VLOOKUP(Table28[[#This Row],[ROUTE]],DEMAND!A:F,5,FALSE),0)</f>
        <v>0</v>
      </c>
      <c r="O627" s="16">
        <f>IFERROR(VLOOKUP(Table28[[#This Row],[ROUTE]],DEMAND!A:F,6,FALSE),0)</f>
        <v>0</v>
      </c>
      <c r="P627" s="16">
        <f>ROUNDDOWN(Table28[[#This Row],[R-DEMAND]]/950,0)</f>
        <v>0</v>
      </c>
      <c r="Q627" s="16">
        <f>Table28[[#This Row],[ADD ACC
(475/950)]]*Table28[[#This Row],[Duration
(A359)]]</f>
        <v>0</v>
      </c>
      <c r="R627" s="16">
        <f>IFERROR(VLOOKUP(Table28[[#This Row],[ROUTE]],PRICING!A:B,2,FALSE),0)</f>
        <v>0</v>
      </c>
      <c r="S627" s="16">
        <f>Table28[[#This Row],[C_DEMAND]]-Table28[[#This Row],[R-DEMAND]]</f>
        <v>0</v>
      </c>
      <c r="T627" s="316">
        <f>Table28[[#This Row],[SEATS SOLD]]*Table28[[#This Row],[ECO SEAT]]</f>
        <v>0</v>
      </c>
      <c r="U627" s="316">
        <f>Table28[[#This Row],[SEATS SOLD]]*(IFERROR(VLOOKUP(Table28[[#This Row],[ROUTE]],PRICING!A:C,3,FALSE),0))</f>
        <v>0</v>
      </c>
      <c r="V627" s="316">
        <f>Table28[[#This Row],[SEAT REV]]-Table28[[#This Row],[SEAT REV
(IF IDEAL $)]]</f>
        <v>0</v>
      </c>
      <c r="AS627" s="16" t="s">
        <v>1124</v>
      </c>
      <c r="AT627" s="16" t="s">
        <v>11894</v>
      </c>
      <c r="AU627" s="16" t="s">
        <v>4445</v>
      </c>
      <c r="AV627" s="16" t="s">
        <v>18892</v>
      </c>
      <c r="AW627" s="16" t="s">
        <v>18879</v>
      </c>
      <c r="AX627" s="16" t="s">
        <v>18966</v>
      </c>
      <c r="AY627" s="385">
        <v>13921</v>
      </c>
    </row>
    <row r="628" spans="1:51" x14ac:dyDescent="0.25">
      <c r="A628" s="16" t="s">
        <v>19450</v>
      </c>
      <c r="B628" s="16" t="s">
        <v>110</v>
      </c>
      <c r="C628" s="16" t="s">
        <v>467</v>
      </c>
      <c r="D628" s="16">
        <v>5</v>
      </c>
      <c r="E628" s="16" t="s">
        <v>172</v>
      </c>
      <c r="F628" s="16" t="str">
        <f>VLOOKUP(Table28[[#This Row],[Country]],Table10[[COUNTRY NAME]:[CONTINENT CODE]],3,FALSE)</f>
        <v>AS</v>
      </c>
      <c r="G628" s="16" t="s">
        <v>11045</v>
      </c>
      <c r="H628" s="181">
        <v>12798</v>
      </c>
      <c r="I628" s="180">
        <v>30.25</v>
      </c>
      <c r="K628" s="316">
        <f>IFERROR(Table28[[#This Row],[ROUTE COST]]/Table28[[#This Row],[O - DEMAND]],0)</f>
        <v>0</v>
      </c>
      <c r="M628" s="16">
        <f>Table28[[#This Row],[O - DEMAND]]/950</f>
        <v>0</v>
      </c>
      <c r="N628" s="16">
        <f>IFERROR(VLOOKUP(Table28[[#This Row],[ROUTE]],DEMAND!A:F,5,FALSE),0)</f>
        <v>3429</v>
      </c>
      <c r="O628" s="16">
        <f>IFERROR(VLOOKUP(Table28[[#This Row],[ROUTE]],DEMAND!A:F,6,FALSE),0)</f>
        <v>579</v>
      </c>
      <c r="P628" s="16">
        <f>ROUNDDOWN(Table28[[#This Row],[R-DEMAND]]/950,0)</f>
        <v>0</v>
      </c>
      <c r="Q628" s="16">
        <f>Table28[[#This Row],[ADD ACC
(475/950)]]*Table28[[#This Row],[Duration
(A359)]]</f>
        <v>0</v>
      </c>
      <c r="R628" s="16">
        <f>IFERROR(VLOOKUP(Table28[[#This Row],[ROUTE]],PRICING!A:B,2,FALSE),0)</f>
        <v>0</v>
      </c>
      <c r="S628" s="16">
        <f>Table28[[#This Row],[C_DEMAND]]-Table28[[#This Row],[R-DEMAND]]</f>
        <v>2850</v>
      </c>
      <c r="T628" s="316">
        <f>Table28[[#This Row],[SEATS SOLD]]*Table28[[#This Row],[ECO SEAT]]</f>
        <v>0</v>
      </c>
      <c r="U628" s="316">
        <f>Table28[[#This Row],[SEATS SOLD]]*(IFERROR(VLOOKUP(Table28[[#This Row],[ROUTE]],PRICING!A:C,3,FALSE),0))</f>
        <v>0</v>
      </c>
      <c r="V628" s="316">
        <f>Table28[[#This Row],[SEAT REV]]-Table28[[#This Row],[SEAT REV
(IF IDEAL $)]]</f>
        <v>0</v>
      </c>
      <c r="AS628" s="16" t="s">
        <v>700</v>
      </c>
      <c r="AT628" s="16" t="s">
        <v>9890</v>
      </c>
      <c r="AU628" s="16" t="s">
        <v>4198</v>
      </c>
      <c r="AV628" s="16" t="s">
        <v>18884</v>
      </c>
      <c r="AW628" s="16" t="s">
        <v>18879</v>
      </c>
      <c r="AX628" s="16" t="s">
        <v>18966</v>
      </c>
      <c r="AY628" s="385">
        <v>13923</v>
      </c>
    </row>
    <row r="629" spans="1:51" x14ac:dyDescent="0.25">
      <c r="A629" s="16" t="s">
        <v>19772</v>
      </c>
      <c r="B629" s="16" t="s">
        <v>3723</v>
      </c>
      <c r="D629" s="16">
        <v>2</v>
      </c>
      <c r="E629" s="16" t="s">
        <v>807</v>
      </c>
      <c r="F629" s="16" t="str">
        <f>VLOOKUP(Table28[[#This Row],[Country]],Table10[[COUNTRY NAME]:[CONTINENT CODE]],3,FALSE)</f>
        <v>EU</v>
      </c>
      <c r="G629" s="16" t="s">
        <v>7487</v>
      </c>
      <c r="H629" s="181">
        <v>14980</v>
      </c>
      <c r="I629" s="180">
        <v>35</v>
      </c>
      <c r="K629" s="316">
        <f>IFERROR(Table28[[#This Row],[ROUTE COST]]/Table28[[#This Row],[O - DEMAND]],0)</f>
        <v>0</v>
      </c>
      <c r="M629" s="16">
        <f>Table28[[#This Row],[O - DEMAND]]/950</f>
        <v>0</v>
      </c>
      <c r="N629" s="16">
        <f>IFERROR(VLOOKUP(Table28[[#This Row],[ROUTE]],DEMAND!A:F,5,FALSE),0)</f>
        <v>0</v>
      </c>
      <c r="O629" s="16">
        <f>IFERROR(VLOOKUP(Table28[[#This Row],[ROUTE]],DEMAND!A:F,6,FALSE),0)</f>
        <v>0</v>
      </c>
      <c r="P629" s="16">
        <f>ROUNDDOWN(Table28[[#This Row],[R-DEMAND]]/950,0)</f>
        <v>0</v>
      </c>
      <c r="Q629" s="16">
        <f>Table28[[#This Row],[ADD ACC
(475/950)]]*Table28[[#This Row],[Duration
(A359)]]</f>
        <v>0</v>
      </c>
      <c r="R629" s="16">
        <f>IFERROR(VLOOKUP(Table28[[#This Row],[ROUTE]],PRICING!A:B,2,FALSE),0)</f>
        <v>0</v>
      </c>
      <c r="S629" s="16">
        <f>Table28[[#This Row],[C_DEMAND]]-Table28[[#This Row],[R-DEMAND]]</f>
        <v>0</v>
      </c>
      <c r="T629" s="316">
        <f>Table28[[#This Row],[SEATS SOLD]]*Table28[[#This Row],[ECO SEAT]]</f>
        <v>0</v>
      </c>
      <c r="U629" s="316">
        <f>Table28[[#This Row],[SEATS SOLD]]*(IFERROR(VLOOKUP(Table28[[#This Row],[ROUTE]],PRICING!A:C,3,FALSE),0))</f>
        <v>0</v>
      </c>
      <c r="V629" s="316">
        <f>Table28[[#This Row],[SEAT REV]]-Table28[[#This Row],[SEAT REV
(IF IDEAL $)]]</f>
        <v>0</v>
      </c>
      <c r="AS629" s="16" t="s">
        <v>1749</v>
      </c>
      <c r="AT629" s="16" t="s">
        <v>13228</v>
      </c>
      <c r="AU629" s="16" t="s">
        <v>4735</v>
      </c>
      <c r="AV629" s="16" t="s">
        <v>18881</v>
      </c>
      <c r="AW629" s="16" t="s">
        <v>18885</v>
      </c>
      <c r="AX629" s="16" t="s">
        <v>18966</v>
      </c>
      <c r="AY629" s="385">
        <v>13930</v>
      </c>
    </row>
    <row r="630" spans="1:51" x14ac:dyDescent="0.25">
      <c r="A630" s="16" t="s">
        <v>19275</v>
      </c>
      <c r="B630" s="16" t="s">
        <v>1904</v>
      </c>
      <c r="D630" s="16">
        <v>1</v>
      </c>
      <c r="E630" s="16" t="s">
        <v>197</v>
      </c>
      <c r="F630" s="16" t="str">
        <f>VLOOKUP(Table28[[#This Row],[Country]],Table10[[COUNTRY NAME]:[CONTINENT CODE]],3,FALSE)</f>
        <v>AS</v>
      </c>
      <c r="G630" s="16" t="s">
        <v>12014</v>
      </c>
      <c r="H630" s="181">
        <v>10969</v>
      </c>
      <c r="I630" s="180">
        <v>26.25</v>
      </c>
      <c r="K630" s="316">
        <f>IFERROR(Table28[[#This Row],[ROUTE COST]]/Table28[[#This Row],[O - DEMAND]],0)</f>
        <v>0</v>
      </c>
      <c r="M630" s="16">
        <f>Table28[[#This Row],[O - DEMAND]]/950</f>
        <v>0</v>
      </c>
      <c r="N630" s="16">
        <f>IFERROR(VLOOKUP(Table28[[#This Row],[ROUTE]],DEMAND!A:F,5,FALSE),0)</f>
        <v>0</v>
      </c>
      <c r="O630" s="16">
        <f>IFERROR(VLOOKUP(Table28[[#This Row],[ROUTE]],DEMAND!A:F,6,FALSE),0)</f>
        <v>0</v>
      </c>
      <c r="P630" s="16">
        <f>ROUNDDOWN(Table28[[#This Row],[R-DEMAND]]/950,0)</f>
        <v>0</v>
      </c>
      <c r="Q630" s="16">
        <f>Table28[[#This Row],[ADD ACC
(475/950)]]*Table28[[#This Row],[Duration
(A359)]]</f>
        <v>0</v>
      </c>
      <c r="R630" s="16">
        <f>IFERROR(VLOOKUP(Table28[[#This Row],[ROUTE]],PRICING!A:B,2,FALSE),0)</f>
        <v>0</v>
      </c>
      <c r="S630" s="16">
        <f>Table28[[#This Row],[C_DEMAND]]-Table28[[#This Row],[R-DEMAND]]</f>
        <v>0</v>
      </c>
      <c r="T630" s="316">
        <f>Table28[[#This Row],[SEATS SOLD]]*Table28[[#This Row],[ECO SEAT]]</f>
        <v>0</v>
      </c>
      <c r="U630" s="316">
        <f>Table28[[#This Row],[SEATS SOLD]]*(IFERROR(VLOOKUP(Table28[[#This Row],[ROUTE]],PRICING!A:C,3,FALSE),0))</f>
        <v>0</v>
      </c>
      <c r="V630" s="316">
        <f>Table28[[#This Row],[SEAT REV]]-Table28[[#This Row],[SEAT REV
(IF IDEAL $)]]</f>
        <v>0</v>
      </c>
      <c r="AS630" s="16" t="s">
        <v>700</v>
      </c>
      <c r="AT630" s="16" t="s">
        <v>10085</v>
      </c>
      <c r="AU630" s="16" t="s">
        <v>4609</v>
      </c>
      <c r="AV630" s="16" t="s">
        <v>18884</v>
      </c>
      <c r="AW630" s="16" t="s">
        <v>18879</v>
      </c>
      <c r="AX630" s="16" t="s">
        <v>18966</v>
      </c>
      <c r="AY630" s="385">
        <v>13932</v>
      </c>
    </row>
    <row r="631" spans="1:51" x14ac:dyDescent="0.25">
      <c r="A631" s="16" t="s">
        <v>19510</v>
      </c>
      <c r="B631" s="16" t="s">
        <v>1311</v>
      </c>
      <c r="D631" s="16">
        <v>1</v>
      </c>
      <c r="E631" s="16" t="s">
        <v>11732</v>
      </c>
      <c r="F631" s="16" t="str">
        <f>VLOOKUP(Table28[[#This Row],[Country]],Table10[[COUNTRY NAME]:[CONTINENT CODE]],3,FALSE)</f>
        <v>NA - US</v>
      </c>
      <c r="G631" s="16" t="s">
        <v>16969</v>
      </c>
      <c r="H631" s="181">
        <v>13156</v>
      </c>
      <c r="I631" s="180">
        <v>31</v>
      </c>
      <c r="K631" s="316">
        <f>IFERROR(Table28[[#This Row],[ROUTE COST]]/Table28[[#This Row],[O - DEMAND]],0)</f>
        <v>0</v>
      </c>
      <c r="M631" s="180">
        <f>Table28[[#This Row],[O - DEMAND]]/950</f>
        <v>0</v>
      </c>
      <c r="N631" s="16">
        <f>IFERROR(VLOOKUP(Table28[[#This Row],[ROUTE]],DEMAND!A:F,5,FALSE),0)</f>
        <v>0</v>
      </c>
      <c r="O631" s="16">
        <f>IFERROR(VLOOKUP(Table28[[#This Row],[ROUTE]],DEMAND!A:F,6,FALSE),0)</f>
        <v>0</v>
      </c>
      <c r="P631" s="16">
        <f>ROUNDDOWN(Table28[[#This Row],[R-DEMAND]]/950,0)</f>
        <v>0</v>
      </c>
      <c r="Q631" s="16">
        <f>Table28[[#This Row],[ADD ACC
(475/950)]]*Table28[[#This Row],[Duration
(A359)]]</f>
        <v>0</v>
      </c>
      <c r="R631" s="16">
        <f>IFERROR(VLOOKUP(Table28[[#This Row],[ROUTE]],PRICING!A:B,2,FALSE),0)</f>
        <v>0</v>
      </c>
      <c r="S631" s="16">
        <f>Table28[[#This Row],[C_DEMAND]]-Table28[[#This Row],[R-DEMAND]]</f>
        <v>0</v>
      </c>
      <c r="T631" s="316">
        <f>Table28[[#This Row],[SEATS SOLD]]*Table28[[#This Row],[ECO SEAT]]</f>
        <v>0</v>
      </c>
      <c r="U631" s="316">
        <f>Table28[[#This Row],[SEATS SOLD]]*(IFERROR(VLOOKUP(Table28[[#This Row],[ROUTE]],PRICING!A:C,3,FALSE),0))</f>
        <v>0</v>
      </c>
      <c r="V631" s="316">
        <f>Table28[[#This Row],[SEAT REV]]-Table28[[#This Row],[SEAT REV
(IF IDEAL $)]]</f>
        <v>0</v>
      </c>
      <c r="AS631" s="16" t="s">
        <v>172</v>
      </c>
      <c r="AT631" s="16" t="s">
        <v>6814</v>
      </c>
      <c r="AU631" s="16" t="s">
        <v>3048</v>
      </c>
      <c r="AV631" s="16" t="s">
        <v>18881</v>
      </c>
      <c r="AW631" s="16" t="s">
        <v>18879</v>
      </c>
      <c r="AX631" s="16" t="s">
        <v>18966</v>
      </c>
      <c r="AY631" s="385">
        <v>13936</v>
      </c>
    </row>
    <row r="632" spans="1:51" x14ac:dyDescent="0.25">
      <c r="A632" s="16" t="s">
        <v>19408</v>
      </c>
      <c r="B632" s="16" t="s">
        <v>4756</v>
      </c>
      <c r="C632" s="16" t="s">
        <v>467</v>
      </c>
      <c r="D632" s="16">
        <v>3</v>
      </c>
      <c r="E632" s="16" t="s">
        <v>1289</v>
      </c>
      <c r="F632" s="16" t="str">
        <f>VLOOKUP(Table28[[#This Row],[Country]],Table10[[COUNTRY NAME]:[CONTINENT CODE]],3,FALSE)</f>
        <v>AS</v>
      </c>
      <c r="G632" s="16" t="s">
        <v>11945</v>
      </c>
      <c r="H632" s="181">
        <v>12509</v>
      </c>
      <c r="I632" s="180">
        <v>29.5</v>
      </c>
      <c r="K632" s="316">
        <f>IFERROR(Table28[[#This Row],[ROUTE COST]]/Table28[[#This Row],[O - DEMAND]],0)</f>
        <v>0</v>
      </c>
      <c r="M632" s="16">
        <f>Table28[[#This Row],[O - DEMAND]]/950</f>
        <v>0</v>
      </c>
      <c r="N632" s="16">
        <f>IFERROR(VLOOKUP(Table28[[#This Row],[ROUTE]],DEMAND!A:F,5,FALSE),0)</f>
        <v>3773</v>
      </c>
      <c r="O632" s="16">
        <f>IFERROR(VLOOKUP(Table28[[#This Row],[ROUTE]],DEMAND!A:F,6,FALSE),0)</f>
        <v>923</v>
      </c>
      <c r="P632" s="16">
        <f>ROUNDDOWN(Table28[[#This Row],[R-DEMAND]]/950,0)</f>
        <v>0</v>
      </c>
      <c r="Q632" s="16">
        <f>Table28[[#This Row],[ADD ACC
(475/950)]]*Table28[[#This Row],[Duration
(A359)]]</f>
        <v>0</v>
      </c>
      <c r="R632" s="16">
        <f>IFERROR(VLOOKUP(Table28[[#This Row],[ROUTE]],PRICING!A:B,2,FALSE),0)</f>
        <v>0</v>
      </c>
      <c r="S632" s="16">
        <f>Table28[[#This Row],[C_DEMAND]]-Table28[[#This Row],[R-DEMAND]]</f>
        <v>2850</v>
      </c>
      <c r="T632" s="316">
        <f>Table28[[#This Row],[SEATS SOLD]]*Table28[[#This Row],[ECO SEAT]]</f>
        <v>0</v>
      </c>
      <c r="U632" s="316">
        <f>Table28[[#This Row],[SEATS SOLD]]*(IFERROR(VLOOKUP(Table28[[#This Row],[ROUTE]],PRICING!A:C,3,FALSE),0))</f>
        <v>0</v>
      </c>
      <c r="V632" s="316">
        <f>Table28[[#This Row],[SEAT REV]]-Table28[[#This Row],[SEAT REV
(IF IDEAL $)]]</f>
        <v>0</v>
      </c>
      <c r="AS632" s="16" t="s">
        <v>11732</v>
      </c>
      <c r="AT632" s="16" t="s">
        <v>13302</v>
      </c>
      <c r="AU632" s="16" t="s">
        <v>4798</v>
      </c>
      <c r="AV632" s="16" t="s">
        <v>18881</v>
      </c>
      <c r="AW632" s="16" t="s">
        <v>18885</v>
      </c>
      <c r="AX632" s="16" t="s">
        <v>18966</v>
      </c>
      <c r="AY632" s="385">
        <v>13958</v>
      </c>
    </row>
    <row r="633" spans="1:51" x14ac:dyDescent="0.25">
      <c r="A633" s="16" t="s">
        <v>19572</v>
      </c>
      <c r="B633" s="16" t="s">
        <v>4922</v>
      </c>
      <c r="D633" s="16">
        <v>3</v>
      </c>
      <c r="E633" s="16" t="s">
        <v>4920</v>
      </c>
      <c r="F633" s="16" t="str">
        <f>VLOOKUP(Table28[[#This Row],[Country]],Table10[[COUNTRY NAME]:[CONTINENT CODE]],3,FALSE)</f>
        <v>NA</v>
      </c>
      <c r="G633" s="16" t="s">
        <v>13203</v>
      </c>
      <c r="H633" s="181">
        <v>13573</v>
      </c>
      <c r="I633" s="180">
        <v>32</v>
      </c>
      <c r="K633" s="316">
        <f>IFERROR(Table28[[#This Row],[ROUTE COST]]/Table28[[#This Row],[O - DEMAND]],0)</f>
        <v>0</v>
      </c>
      <c r="M633" s="16">
        <f>Table28[[#This Row],[O - DEMAND]]/950</f>
        <v>0</v>
      </c>
      <c r="N633" s="16">
        <f>IFERROR(VLOOKUP(Table28[[#This Row],[ROUTE]],DEMAND!A:F,5,FALSE),0)</f>
        <v>0</v>
      </c>
      <c r="O633" s="16">
        <f>IFERROR(VLOOKUP(Table28[[#This Row],[ROUTE]],DEMAND!A:F,6,FALSE),0)</f>
        <v>0</v>
      </c>
      <c r="P633" s="16">
        <f>ROUNDDOWN(Table28[[#This Row],[R-DEMAND]]/950,0)</f>
        <v>0</v>
      </c>
      <c r="Q633" s="16">
        <f>Table28[[#This Row],[ADD ACC
(475/950)]]*Table28[[#This Row],[Duration
(A359)]]</f>
        <v>0</v>
      </c>
      <c r="R633" s="16">
        <f>IFERROR(VLOOKUP(Table28[[#This Row],[ROUTE]],PRICING!A:B,2,FALSE),0)</f>
        <v>0</v>
      </c>
      <c r="S633" s="16">
        <f>Table28[[#This Row],[C_DEMAND]]-Table28[[#This Row],[R-DEMAND]]</f>
        <v>0</v>
      </c>
      <c r="T633" s="316">
        <f>Table28[[#This Row],[SEATS SOLD]]*Table28[[#This Row],[ECO SEAT]]</f>
        <v>0</v>
      </c>
      <c r="U633" s="316">
        <f>Table28[[#This Row],[SEATS SOLD]]*(IFERROR(VLOOKUP(Table28[[#This Row],[ROUTE]],PRICING!A:C,3,FALSE),0))</f>
        <v>0</v>
      </c>
      <c r="V633" s="316">
        <f>Table28[[#This Row],[SEAT REV]]-Table28[[#This Row],[SEAT REV
(IF IDEAL $)]]</f>
        <v>0</v>
      </c>
      <c r="AS633" s="16" t="s">
        <v>11732</v>
      </c>
      <c r="AT633" s="16" t="s">
        <v>16961</v>
      </c>
      <c r="AU633" s="16" t="s">
        <v>3831</v>
      </c>
      <c r="AV633" s="16" t="s">
        <v>18878</v>
      </c>
      <c r="AX633" s="16" t="s">
        <v>18966</v>
      </c>
      <c r="AY633" s="385">
        <v>13978</v>
      </c>
    </row>
    <row r="634" spans="1:51" x14ac:dyDescent="0.25">
      <c r="A634" s="16" t="s">
        <v>19361</v>
      </c>
      <c r="B634" s="16" t="s">
        <v>5651</v>
      </c>
      <c r="D634" s="16">
        <v>4</v>
      </c>
      <c r="E634" s="16" t="s">
        <v>11732</v>
      </c>
      <c r="F634" s="16" t="str">
        <f>VLOOKUP(Table28[[#This Row],[Country]],Table10[[COUNTRY NAME]:[CONTINENT CODE]],3,FALSE)</f>
        <v>NA - US</v>
      </c>
      <c r="G634" s="16" t="s">
        <v>13276</v>
      </c>
      <c r="H634" s="181">
        <v>12098</v>
      </c>
      <c r="I634" s="180">
        <v>28.75</v>
      </c>
      <c r="K634" s="316">
        <f>IFERROR(Table28[[#This Row],[ROUTE COST]]/Table28[[#This Row],[O - DEMAND]],0)</f>
        <v>0</v>
      </c>
      <c r="M634" s="180">
        <f>Table28[[#This Row],[O - DEMAND]]/950</f>
        <v>0</v>
      </c>
      <c r="N634" s="16">
        <f>IFERROR(VLOOKUP(Table28[[#This Row],[ROUTE]],DEMAND!A:F,5,FALSE),0)</f>
        <v>0</v>
      </c>
      <c r="O634" s="16">
        <f>IFERROR(VLOOKUP(Table28[[#This Row],[ROUTE]],DEMAND!A:F,6,FALSE),0)</f>
        <v>0</v>
      </c>
      <c r="P634" s="16">
        <f>ROUNDDOWN(Table28[[#This Row],[R-DEMAND]]/950,0)</f>
        <v>0</v>
      </c>
      <c r="Q634" s="16">
        <f>Table28[[#This Row],[ADD ACC
(475/950)]]*Table28[[#This Row],[Duration
(A359)]]</f>
        <v>0</v>
      </c>
      <c r="R634" s="16">
        <f>IFERROR(VLOOKUP(Table28[[#This Row],[ROUTE]],PRICING!A:B,2,FALSE),0)</f>
        <v>0</v>
      </c>
      <c r="S634" s="16">
        <f>Table28[[#This Row],[C_DEMAND]]-Table28[[#This Row],[R-DEMAND]]</f>
        <v>0</v>
      </c>
      <c r="T634" s="316">
        <f>Table28[[#This Row],[SEATS SOLD]]*Table28[[#This Row],[ECO SEAT]]</f>
        <v>0</v>
      </c>
      <c r="U634" s="316">
        <f>Table28[[#This Row],[SEATS SOLD]]*(IFERROR(VLOOKUP(Table28[[#This Row],[ROUTE]],PRICING!A:C,3,FALSE),0))</f>
        <v>0</v>
      </c>
      <c r="V634" s="316">
        <f>Table28[[#This Row],[SEAT REV]]-Table28[[#This Row],[SEAT REV
(IF IDEAL $)]]</f>
        <v>0</v>
      </c>
      <c r="AS634" s="16" t="s">
        <v>11732</v>
      </c>
      <c r="AT634" s="16" t="s">
        <v>13327</v>
      </c>
      <c r="AU634" s="16" t="s">
        <v>2132</v>
      </c>
      <c r="AV634" s="16" t="s">
        <v>18881</v>
      </c>
      <c r="AW634" s="16" t="s">
        <v>18890</v>
      </c>
      <c r="AX634" s="16" t="s">
        <v>18966</v>
      </c>
      <c r="AY634" s="385">
        <v>13994</v>
      </c>
    </row>
    <row r="635" spans="1:51" x14ac:dyDescent="0.25">
      <c r="A635" s="16" t="s">
        <v>19602</v>
      </c>
      <c r="B635" s="16" t="s">
        <v>4335</v>
      </c>
      <c r="C635" s="16" t="s">
        <v>467</v>
      </c>
      <c r="D635" s="16">
        <v>2</v>
      </c>
      <c r="E635" s="16" t="s">
        <v>3350</v>
      </c>
      <c r="F635" s="16" t="str">
        <f>VLOOKUP(Table28[[#This Row],[Country]],Table10[[COUNTRY NAME]:[CONTINENT CODE]],3,FALSE)</f>
        <v>NA</v>
      </c>
      <c r="G635" s="16" t="s">
        <v>13210</v>
      </c>
      <c r="H635" s="181">
        <v>13793</v>
      </c>
      <c r="I635" s="180">
        <v>32.5</v>
      </c>
      <c r="K635" s="316">
        <f>IFERROR(Table28[[#This Row],[ROUTE COST]]/Table28[[#This Row],[O - DEMAND]],0)</f>
        <v>0</v>
      </c>
      <c r="M635" s="16">
        <f>Table28[[#This Row],[O - DEMAND]]/950</f>
        <v>0</v>
      </c>
      <c r="N635" s="16">
        <f>IFERROR(VLOOKUP(Table28[[#This Row],[ROUTE]],DEMAND!A:F,5,FALSE),0)</f>
        <v>2976</v>
      </c>
      <c r="O635" s="16">
        <f>IFERROR(VLOOKUP(Table28[[#This Row],[ROUTE]],DEMAND!A:F,6,FALSE),0)</f>
        <v>126</v>
      </c>
      <c r="P635" s="16">
        <f>ROUNDDOWN(Table28[[#This Row],[R-DEMAND]]/950,0)</f>
        <v>0</v>
      </c>
      <c r="Q635" s="16">
        <f>Table28[[#This Row],[ADD ACC
(475/950)]]*Table28[[#This Row],[Duration
(A359)]]</f>
        <v>0</v>
      </c>
      <c r="R635" s="16">
        <f>IFERROR(VLOOKUP(Table28[[#This Row],[ROUTE]],PRICING!A:B,2,FALSE),0)</f>
        <v>0</v>
      </c>
      <c r="S635" s="16">
        <f>Table28[[#This Row],[C_DEMAND]]-Table28[[#This Row],[R-DEMAND]]</f>
        <v>2850</v>
      </c>
      <c r="T635" s="316">
        <f>Table28[[#This Row],[SEATS SOLD]]*Table28[[#This Row],[ECO SEAT]]</f>
        <v>0</v>
      </c>
      <c r="U635" s="316">
        <f>Table28[[#This Row],[SEATS SOLD]]*(IFERROR(VLOOKUP(Table28[[#This Row],[ROUTE]],PRICING!A:C,3,FALSE),0))</f>
        <v>0</v>
      </c>
      <c r="V635" s="316">
        <f>Table28[[#This Row],[SEAT REV]]-Table28[[#This Row],[SEAT REV
(IF IDEAL $)]]</f>
        <v>0</v>
      </c>
      <c r="AS635" s="16" t="s">
        <v>1124</v>
      </c>
      <c r="AT635" s="16" t="s">
        <v>11878</v>
      </c>
      <c r="AU635" s="16" t="s">
        <v>4640</v>
      </c>
      <c r="AV635" s="16" t="s">
        <v>18884</v>
      </c>
      <c r="AW635" s="16" t="s">
        <v>18879</v>
      </c>
      <c r="AX635" s="16" t="s">
        <v>18960</v>
      </c>
      <c r="AY635" s="385">
        <v>14007</v>
      </c>
    </row>
    <row r="636" spans="1:51" x14ac:dyDescent="0.25">
      <c r="A636" s="16" t="s">
        <v>19570</v>
      </c>
      <c r="B636" s="16" t="s">
        <v>5502</v>
      </c>
      <c r="D636" s="16">
        <v>4</v>
      </c>
      <c r="E636" s="16" t="s">
        <v>11732</v>
      </c>
      <c r="F636" s="16" t="str">
        <f>VLOOKUP(Table28[[#This Row],[Country]],Table10[[COUNTRY NAME]:[CONTINENT CODE]],3,FALSE)</f>
        <v>NA - US</v>
      </c>
      <c r="G636" s="16" t="s">
        <v>16992</v>
      </c>
      <c r="H636" s="181">
        <v>13542</v>
      </c>
      <c r="I636" s="180">
        <v>31.75</v>
      </c>
      <c r="K636" s="316">
        <f>IFERROR(Table28[[#This Row],[ROUTE COST]]/Table28[[#This Row],[O - DEMAND]],0)</f>
        <v>0</v>
      </c>
      <c r="M636" s="180">
        <f>Table28[[#This Row],[O - DEMAND]]/950</f>
        <v>0</v>
      </c>
      <c r="N636" s="16">
        <f>IFERROR(VLOOKUP(Table28[[#This Row],[ROUTE]],DEMAND!A:F,5,FALSE),0)</f>
        <v>0</v>
      </c>
      <c r="O636" s="16">
        <f>IFERROR(VLOOKUP(Table28[[#This Row],[ROUTE]],DEMAND!A:F,6,FALSE),0)</f>
        <v>0</v>
      </c>
      <c r="P636" s="16">
        <f>ROUNDDOWN(Table28[[#This Row],[R-DEMAND]]/950,0)</f>
        <v>0</v>
      </c>
      <c r="Q636" s="16">
        <f>Table28[[#This Row],[ADD ACC
(475/950)]]*Table28[[#This Row],[Duration
(A359)]]</f>
        <v>0</v>
      </c>
      <c r="R636" s="16">
        <f>IFERROR(VLOOKUP(Table28[[#This Row],[ROUTE]],PRICING!A:B,2,FALSE),0)</f>
        <v>0</v>
      </c>
      <c r="S636" s="16">
        <f>Table28[[#This Row],[C_DEMAND]]-Table28[[#This Row],[R-DEMAND]]</f>
        <v>0</v>
      </c>
      <c r="T636" s="316">
        <f>Table28[[#This Row],[SEATS SOLD]]*Table28[[#This Row],[ECO SEAT]]</f>
        <v>0</v>
      </c>
      <c r="U636" s="316">
        <f>Table28[[#This Row],[SEATS SOLD]]*(IFERROR(VLOOKUP(Table28[[#This Row],[ROUTE]],PRICING!A:C,3,FALSE),0))</f>
        <v>0</v>
      </c>
      <c r="V636" s="316">
        <f>Table28[[#This Row],[SEAT REV]]-Table28[[#This Row],[SEAT REV
(IF IDEAL $)]]</f>
        <v>0</v>
      </c>
      <c r="AS636" s="16" t="s">
        <v>78</v>
      </c>
      <c r="AT636" s="16" t="s">
        <v>16867</v>
      </c>
      <c r="AU636" s="16" t="s">
        <v>3042</v>
      </c>
      <c r="AV636" s="16" t="s">
        <v>18878</v>
      </c>
      <c r="AW636" s="16" t="s">
        <v>18879</v>
      </c>
      <c r="AX636" s="16" t="s">
        <v>18960</v>
      </c>
      <c r="AY636" s="385">
        <v>14007</v>
      </c>
    </row>
    <row r="637" spans="1:51" x14ac:dyDescent="0.25">
      <c r="A637" s="16" t="s">
        <v>19809</v>
      </c>
      <c r="B637" s="16" t="s">
        <v>4852</v>
      </c>
      <c r="D637" s="16">
        <v>3</v>
      </c>
      <c r="E637" s="16" t="s">
        <v>11732</v>
      </c>
      <c r="F637" s="16" t="str">
        <f>VLOOKUP(Table28[[#This Row],[Country]],Table10[[COUNTRY NAME]:[CONTINENT CODE]],3,FALSE)</f>
        <v>NA - US</v>
      </c>
      <c r="G637" s="16" t="s">
        <v>13362</v>
      </c>
      <c r="H637" s="181">
        <v>15186</v>
      </c>
      <c r="I637" s="180">
        <v>35.5</v>
      </c>
      <c r="K637" s="316">
        <f>IFERROR(Table28[[#This Row],[ROUTE COST]]/Table28[[#This Row],[O - DEMAND]],0)</f>
        <v>0</v>
      </c>
      <c r="M637" s="180">
        <f>Table28[[#This Row],[O - DEMAND]]/950</f>
        <v>0</v>
      </c>
      <c r="N637" s="16">
        <f>IFERROR(VLOOKUP(Table28[[#This Row],[ROUTE]],DEMAND!A:F,5,FALSE),0)</f>
        <v>0</v>
      </c>
      <c r="O637" s="16">
        <f>IFERROR(VLOOKUP(Table28[[#This Row],[ROUTE]],DEMAND!A:F,6,FALSE),0)</f>
        <v>0</v>
      </c>
      <c r="P637" s="16">
        <f>ROUNDDOWN(Table28[[#This Row],[R-DEMAND]]/950,0)</f>
        <v>0</v>
      </c>
      <c r="Q637" s="16">
        <f>Table28[[#This Row],[ADD ACC
(475/950)]]*Table28[[#This Row],[Duration
(A359)]]</f>
        <v>0</v>
      </c>
      <c r="R637" s="16">
        <f>IFERROR(VLOOKUP(Table28[[#This Row],[ROUTE]],PRICING!A:B,2,FALSE),0)</f>
        <v>0</v>
      </c>
      <c r="S637" s="16">
        <f>Table28[[#This Row],[C_DEMAND]]-Table28[[#This Row],[R-DEMAND]]</f>
        <v>0</v>
      </c>
      <c r="T637" s="316">
        <f>Table28[[#This Row],[SEATS SOLD]]*Table28[[#This Row],[ECO SEAT]]</f>
        <v>0</v>
      </c>
      <c r="U637" s="316">
        <f>Table28[[#This Row],[SEATS SOLD]]*(IFERROR(VLOOKUP(Table28[[#This Row],[ROUTE]],PRICING!A:C,3,FALSE),0))</f>
        <v>0</v>
      </c>
      <c r="V637" s="316">
        <f>Table28[[#This Row],[SEAT REV]]-Table28[[#This Row],[SEAT REV
(IF IDEAL $)]]</f>
        <v>0</v>
      </c>
      <c r="AS637" s="16" t="s">
        <v>11732</v>
      </c>
      <c r="AT637" s="16" t="s">
        <v>13311</v>
      </c>
      <c r="AU637" s="16" t="s">
        <v>5139</v>
      </c>
      <c r="AV637" s="16" t="s">
        <v>18881</v>
      </c>
      <c r="AW637" s="16" t="s">
        <v>18885</v>
      </c>
      <c r="AX637" s="16" t="s">
        <v>18960</v>
      </c>
      <c r="AY637" s="385">
        <v>14037</v>
      </c>
    </row>
    <row r="638" spans="1:51" x14ac:dyDescent="0.25">
      <c r="A638" s="16" t="s">
        <v>19757</v>
      </c>
      <c r="B638" s="16" t="s">
        <v>5457</v>
      </c>
      <c r="C638" s="16" t="s">
        <v>467</v>
      </c>
      <c r="D638" s="16">
        <v>4</v>
      </c>
      <c r="E638" s="16" t="s">
        <v>700</v>
      </c>
      <c r="F638" s="16" t="str">
        <f>VLOOKUP(Table28[[#This Row],[Country]],Table10[[COUNTRY NAME]:[CONTINENT CODE]],3,FALSE)</f>
        <v>AS</v>
      </c>
      <c r="G638" s="16" t="s">
        <v>11044</v>
      </c>
      <c r="H638" s="181">
        <v>14922</v>
      </c>
      <c r="I638" s="180">
        <v>35</v>
      </c>
      <c r="K638" s="316">
        <f>IFERROR(Table28[[#This Row],[ROUTE COST]]/Table28[[#This Row],[O - DEMAND]],0)</f>
        <v>0</v>
      </c>
      <c r="M638" s="16">
        <f>Table28[[#This Row],[O - DEMAND]]/950</f>
        <v>0</v>
      </c>
      <c r="N638" s="16">
        <f>IFERROR(VLOOKUP(Table28[[#This Row],[ROUTE]],DEMAND!A:F,5,FALSE),0)</f>
        <v>2587</v>
      </c>
      <c r="O638" s="16">
        <f>IFERROR(VLOOKUP(Table28[[#This Row],[ROUTE]],DEMAND!A:F,6,FALSE),0)</f>
        <v>687</v>
      </c>
      <c r="P638" s="16">
        <f>ROUNDDOWN(Table28[[#This Row],[R-DEMAND]]/950,0)</f>
        <v>0</v>
      </c>
      <c r="Q638" s="16">
        <f>Table28[[#This Row],[ADD ACC
(475/950)]]*Table28[[#This Row],[Duration
(A359)]]</f>
        <v>0</v>
      </c>
      <c r="R638" s="16">
        <f>IFERROR(VLOOKUP(Table28[[#This Row],[ROUTE]],PRICING!A:B,2,FALSE),0)</f>
        <v>0</v>
      </c>
      <c r="S638" s="16">
        <f>Table28[[#This Row],[C_DEMAND]]-Table28[[#This Row],[R-DEMAND]]</f>
        <v>1900</v>
      </c>
      <c r="T638" s="316">
        <f>Table28[[#This Row],[SEATS SOLD]]*Table28[[#This Row],[ECO SEAT]]</f>
        <v>0</v>
      </c>
      <c r="U638" s="316">
        <f>Table28[[#This Row],[SEATS SOLD]]*(IFERROR(VLOOKUP(Table28[[#This Row],[ROUTE]],PRICING!A:C,3,FALSE),0))</f>
        <v>0</v>
      </c>
      <c r="V638" s="316">
        <f>Table28[[#This Row],[SEAT REV]]-Table28[[#This Row],[SEAT REV
(IF IDEAL $)]]</f>
        <v>0</v>
      </c>
      <c r="AS638" s="16" t="s">
        <v>1124</v>
      </c>
      <c r="AT638" s="16" t="s">
        <v>11001</v>
      </c>
      <c r="AU638" s="16" t="s">
        <v>4229</v>
      </c>
      <c r="AV638" s="16" t="s">
        <v>18892</v>
      </c>
      <c r="AW638" s="16" t="s">
        <v>18879</v>
      </c>
      <c r="AX638" s="16" t="s">
        <v>18960</v>
      </c>
      <c r="AY638" s="385">
        <v>14040</v>
      </c>
    </row>
    <row r="639" spans="1:51" x14ac:dyDescent="0.25">
      <c r="A639" s="16" t="s">
        <v>19773</v>
      </c>
      <c r="B639" s="16" t="s">
        <v>4253</v>
      </c>
      <c r="E639" s="16" t="s">
        <v>11732</v>
      </c>
      <c r="F639" s="16" t="str">
        <f>VLOOKUP(Table28[[#This Row],[Country]],Table10[[COUNTRY NAME]:[CONTINENT CODE]],3,FALSE)</f>
        <v>NA - US</v>
      </c>
      <c r="G639" s="16" t="s">
        <v>16993</v>
      </c>
      <c r="H639" s="181">
        <v>14990</v>
      </c>
      <c r="I639" s="180">
        <v>35</v>
      </c>
      <c r="K639" s="316">
        <f>IFERROR(Table28[[#This Row],[ROUTE COST]]/Table28[[#This Row],[O - DEMAND]],0)</f>
        <v>0</v>
      </c>
      <c r="M639" s="180">
        <f>Table28[[#This Row],[O - DEMAND]]/950</f>
        <v>0</v>
      </c>
      <c r="N639" s="16">
        <f>IFERROR(VLOOKUP(Table28[[#This Row],[ROUTE]],DEMAND!A:F,5,FALSE),0)</f>
        <v>0</v>
      </c>
      <c r="O639" s="16">
        <f>IFERROR(VLOOKUP(Table28[[#This Row],[ROUTE]],DEMAND!A:F,6,FALSE),0)</f>
        <v>0</v>
      </c>
      <c r="P639" s="16">
        <f>ROUNDDOWN(Table28[[#This Row],[R-DEMAND]]/950,0)</f>
        <v>0</v>
      </c>
      <c r="Q639" s="16">
        <f>Table28[[#This Row],[ADD ACC
(475/950)]]*Table28[[#This Row],[Duration
(A359)]]</f>
        <v>0</v>
      </c>
      <c r="R639" s="16">
        <f>IFERROR(VLOOKUP(Table28[[#This Row],[ROUTE]],PRICING!A:B,2,FALSE),0)</f>
        <v>0</v>
      </c>
      <c r="S639" s="16">
        <f>Table28[[#This Row],[C_DEMAND]]-Table28[[#This Row],[R-DEMAND]]</f>
        <v>0</v>
      </c>
      <c r="T639" s="316">
        <f>Table28[[#This Row],[SEATS SOLD]]*Table28[[#This Row],[ECO SEAT]]</f>
        <v>0</v>
      </c>
      <c r="U639" s="316">
        <f>Table28[[#This Row],[SEATS SOLD]]*(IFERROR(VLOOKUP(Table28[[#This Row],[ROUTE]],PRICING!A:C,3,FALSE),0))</f>
        <v>0</v>
      </c>
      <c r="V639" s="316">
        <f>Table28[[#This Row],[SEAT REV]]-Table28[[#This Row],[SEAT REV
(IF IDEAL $)]]</f>
        <v>0</v>
      </c>
      <c r="AS639" s="16" t="s">
        <v>1124</v>
      </c>
      <c r="AT639" s="16" t="s">
        <v>11042</v>
      </c>
      <c r="AU639" s="16" t="s">
        <v>5513</v>
      </c>
      <c r="AV639" s="16" t="s">
        <v>18881</v>
      </c>
      <c r="AW639" s="16" t="s">
        <v>18899</v>
      </c>
      <c r="AX639" s="16" t="s">
        <v>18960</v>
      </c>
      <c r="AY639" s="385">
        <v>14048</v>
      </c>
    </row>
    <row r="640" spans="1:51" x14ac:dyDescent="0.25">
      <c r="A640" s="16" t="s">
        <v>19038</v>
      </c>
      <c r="B640" s="16" t="s">
        <v>107</v>
      </c>
      <c r="D640" s="16">
        <v>2</v>
      </c>
      <c r="E640" s="16" t="s">
        <v>709</v>
      </c>
      <c r="F640" s="16" t="str">
        <f>VLOOKUP(Table28[[#This Row],[Country]],Table10[[COUNTRY NAME]:[CONTINENT CODE]],3,FALSE)</f>
        <v>AS</v>
      </c>
      <c r="G640" s="16" t="s">
        <v>12114</v>
      </c>
      <c r="H640" s="181">
        <v>5745</v>
      </c>
      <c r="I640" s="180">
        <v>14.75</v>
      </c>
      <c r="K640" s="316">
        <f>IFERROR(Table28[[#This Row],[ROUTE COST]]/Table28[[#This Row],[O - DEMAND]],0)</f>
        <v>0</v>
      </c>
      <c r="M640" s="16">
        <f>Table28[[#This Row],[O - DEMAND]]/950</f>
        <v>0</v>
      </c>
      <c r="N640" s="16">
        <f>IFERROR(VLOOKUP(Table28[[#This Row],[ROUTE]],DEMAND!A:F,5,FALSE),0)</f>
        <v>0</v>
      </c>
      <c r="O640" s="16">
        <f>IFERROR(VLOOKUP(Table28[[#This Row],[ROUTE]],DEMAND!A:F,6,FALSE),0)</f>
        <v>0</v>
      </c>
      <c r="P640" s="16">
        <f>ROUNDDOWN(Table28[[#This Row],[R-DEMAND]]/950,0)</f>
        <v>0</v>
      </c>
      <c r="Q640" s="16">
        <f>Table28[[#This Row],[ADD ACC
(475/950)]]*Table28[[#This Row],[Duration
(A359)]]</f>
        <v>0</v>
      </c>
      <c r="R640" s="16">
        <f>IFERROR(VLOOKUP(Table28[[#This Row],[ROUTE]],PRICING!A:B,2,FALSE),0)</f>
        <v>0</v>
      </c>
      <c r="S640" s="16">
        <f>Table28[[#This Row],[C_DEMAND]]-Table28[[#This Row],[R-DEMAND]]</f>
        <v>0</v>
      </c>
      <c r="T640" s="316">
        <f>Table28[[#This Row],[SEATS SOLD]]*Table28[[#This Row],[ECO SEAT]]</f>
        <v>0</v>
      </c>
      <c r="U640" s="316">
        <f>Table28[[#This Row],[SEATS SOLD]]*(IFERROR(VLOOKUP(Table28[[#This Row],[ROUTE]],PRICING!A:C,3,FALSE),0))</f>
        <v>0</v>
      </c>
      <c r="V640" s="316">
        <f>Table28[[#This Row],[SEAT REV]]-Table28[[#This Row],[SEAT REV
(IF IDEAL $)]]</f>
        <v>0</v>
      </c>
      <c r="AS640" s="16" t="s">
        <v>700</v>
      </c>
      <c r="AT640" s="16" t="s">
        <v>9893</v>
      </c>
      <c r="AU640" s="16" t="s">
        <v>2914</v>
      </c>
      <c r="AV640" s="16" t="s">
        <v>18892</v>
      </c>
      <c r="AW640" s="16" t="s">
        <v>18879</v>
      </c>
      <c r="AX640" s="16" t="s">
        <v>18960</v>
      </c>
      <c r="AY640" s="385">
        <v>14049</v>
      </c>
    </row>
    <row r="641" spans="1:51" x14ac:dyDescent="0.25">
      <c r="A641" s="16" t="s">
        <v>19352</v>
      </c>
      <c r="B641" s="16" t="s">
        <v>2247</v>
      </c>
      <c r="D641" s="16">
        <v>1</v>
      </c>
      <c r="E641" s="16" t="s">
        <v>11732</v>
      </c>
      <c r="F641" s="16" t="str">
        <f>VLOOKUP(Table28[[#This Row],[Country]],Table10[[COUNTRY NAME]:[CONTINENT CODE]],3,FALSE)</f>
        <v>NA - US</v>
      </c>
      <c r="G641" s="16" t="s">
        <v>13261</v>
      </c>
      <c r="H641" s="181">
        <v>12055</v>
      </c>
      <c r="I641" s="180">
        <v>28.5</v>
      </c>
      <c r="K641" s="316">
        <f>IFERROR(Table28[[#This Row],[ROUTE COST]]/Table28[[#This Row],[O - DEMAND]],0)</f>
        <v>0</v>
      </c>
      <c r="M641" s="180">
        <f>Table28[[#This Row],[O - DEMAND]]/950</f>
        <v>0</v>
      </c>
      <c r="N641" s="16">
        <f>IFERROR(VLOOKUP(Table28[[#This Row],[ROUTE]],DEMAND!A:F,5,FALSE),0)</f>
        <v>0</v>
      </c>
      <c r="O641" s="16">
        <f>IFERROR(VLOOKUP(Table28[[#This Row],[ROUTE]],DEMAND!A:F,6,FALSE),0)</f>
        <v>0</v>
      </c>
      <c r="P641" s="16">
        <f>ROUNDDOWN(Table28[[#This Row],[R-DEMAND]]/950,0)</f>
        <v>0</v>
      </c>
      <c r="Q641" s="16">
        <f>Table28[[#This Row],[ADD ACC
(475/950)]]*Table28[[#This Row],[Duration
(A359)]]</f>
        <v>0</v>
      </c>
      <c r="R641" s="16">
        <f>IFERROR(VLOOKUP(Table28[[#This Row],[ROUTE]],PRICING!A:B,2,FALSE),0)</f>
        <v>0</v>
      </c>
      <c r="S641" s="16">
        <f>Table28[[#This Row],[C_DEMAND]]-Table28[[#This Row],[R-DEMAND]]</f>
        <v>0</v>
      </c>
      <c r="T641" s="316">
        <f>Table28[[#This Row],[SEATS SOLD]]*Table28[[#This Row],[ECO SEAT]]</f>
        <v>0</v>
      </c>
      <c r="U641" s="316">
        <f>Table28[[#This Row],[SEATS SOLD]]*(IFERROR(VLOOKUP(Table28[[#This Row],[ROUTE]],PRICING!A:C,3,FALSE),0))</f>
        <v>0</v>
      </c>
      <c r="V641" s="316">
        <f>Table28[[#This Row],[SEAT REV]]-Table28[[#This Row],[SEAT REV
(IF IDEAL $)]]</f>
        <v>0</v>
      </c>
      <c r="AS641" s="16" t="s">
        <v>860</v>
      </c>
      <c r="AT641" s="16" t="s">
        <v>13183</v>
      </c>
      <c r="AU641" s="16" t="s">
        <v>5021</v>
      </c>
      <c r="AV641" s="16" t="s">
        <v>18892</v>
      </c>
      <c r="AW641" s="16" t="s">
        <v>18885</v>
      </c>
      <c r="AX641" s="16" t="s">
        <v>18960</v>
      </c>
      <c r="AY641" s="385">
        <v>14057</v>
      </c>
    </row>
    <row r="642" spans="1:51" x14ac:dyDescent="0.25">
      <c r="A642" s="16" t="s">
        <v>19299</v>
      </c>
      <c r="B642" s="16" t="s">
        <v>103</v>
      </c>
      <c r="C642" s="16" t="s">
        <v>467</v>
      </c>
      <c r="D642" s="16">
        <v>4</v>
      </c>
      <c r="E642" s="16" t="s">
        <v>530</v>
      </c>
      <c r="F642" s="16" t="str">
        <f>VLOOKUP(Table28[[#This Row],[Country]],Table10[[COUNTRY NAME]:[CONTINENT CODE]],3,FALSE)</f>
        <v>SA</v>
      </c>
      <c r="G642" s="16" t="s">
        <v>13178</v>
      </c>
      <c r="H642" s="181">
        <v>11343</v>
      </c>
      <c r="I642" s="180">
        <v>27</v>
      </c>
      <c r="K642" s="316">
        <f>IFERROR(Table28[[#This Row],[ROUTE COST]]/Table28[[#This Row],[O - DEMAND]],0)</f>
        <v>0</v>
      </c>
      <c r="M642" s="16">
        <f>Table28[[#This Row],[O - DEMAND]]/950</f>
        <v>0</v>
      </c>
      <c r="N642" s="16">
        <f>IFERROR(VLOOKUP(Table28[[#This Row],[ROUTE]],DEMAND!A:F,5,FALSE),0)</f>
        <v>3018</v>
      </c>
      <c r="O642" s="16">
        <f>IFERROR(VLOOKUP(Table28[[#This Row],[ROUTE]],DEMAND!A:F,6,FALSE),0)</f>
        <v>168</v>
      </c>
      <c r="P642" s="16">
        <f>ROUNDDOWN(Table28[[#This Row],[R-DEMAND]]/950,0)</f>
        <v>0</v>
      </c>
      <c r="Q642" s="16">
        <f>Table28[[#This Row],[ADD ACC
(475/950)]]*Table28[[#This Row],[Duration
(A359)]]</f>
        <v>0</v>
      </c>
      <c r="R642" s="16">
        <f>IFERROR(VLOOKUP(Table28[[#This Row],[ROUTE]],PRICING!A:B,2,FALSE),0)</f>
        <v>0</v>
      </c>
      <c r="S642" s="16">
        <f>Table28[[#This Row],[C_DEMAND]]-Table28[[#This Row],[R-DEMAND]]</f>
        <v>2850</v>
      </c>
      <c r="T642" s="316">
        <f>Table28[[#This Row],[SEATS SOLD]]*Table28[[#This Row],[ECO SEAT]]</f>
        <v>0</v>
      </c>
      <c r="U642" s="316">
        <f>Table28[[#This Row],[SEATS SOLD]]*(IFERROR(VLOOKUP(Table28[[#This Row],[ROUTE]],PRICING!A:C,3,FALSE),0))</f>
        <v>0</v>
      </c>
      <c r="V642" s="316">
        <f>Table28[[#This Row],[SEAT REV]]-Table28[[#This Row],[SEAT REV
(IF IDEAL $)]]</f>
        <v>0</v>
      </c>
      <c r="AS642" s="16" t="s">
        <v>2711</v>
      </c>
      <c r="AT642" s="16" t="s">
        <v>11892</v>
      </c>
      <c r="AU642" s="16" t="s">
        <v>5317</v>
      </c>
      <c r="AV642" s="16" t="s">
        <v>18884</v>
      </c>
      <c r="AW642" s="16" t="s">
        <v>18885</v>
      </c>
      <c r="AX642" s="16" t="s">
        <v>18960</v>
      </c>
      <c r="AY642" s="385">
        <v>14062</v>
      </c>
    </row>
    <row r="643" spans="1:51" x14ac:dyDescent="0.25">
      <c r="A643" s="16" t="s">
        <v>19307</v>
      </c>
      <c r="B643" s="16" t="s">
        <v>1291</v>
      </c>
      <c r="D643" s="16">
        <v>1</v>
      </c>
      <c r="E643" s="16" t="s">
        <v>1289</v>
      </c>
      <c r="F643" s="16" t="str">
        <f>VLOOKUP(Table28[[#This Row],[Country]],Table10[[COUNTRY NAME]:[CONTINENT CODE]],3,FALSE)</f>
        <v>AS</v>
      </c>
      <c r="G643" s="16" t="s">
        <v>11994</v>
      </c>
      <c r="H643" s="181">
        <v>11453</v>
      </c>
      <c r="I643" s="180">
        <v>27.25</v>
      </c>
      <c r="K643" s="316">
        <f>IFERROR(Table28[[#This Row],[ROUTE COST]]/Table28[[#This Row],[O - DEMAND]],0)</f>
        <v>0</v>
      </c>
      <c r="M643" s="16">
        <f>Table28[[#This Row],[O - DEMAND]]/950</f>
        <v>0</v>
      </c>
      <c r="N643" s="16">
        <f>IFERROR(VLOOKUP(Table28[[#This Row],[ROUTE]],DEMAND!A:F,5,FALSE),0)</f>
        <v>0</v>
      </c>
      <c r="O643" s="16">
        <f>IFERROR(VLOOKUP(Table28[[#This Row],[ROUTE]],DEMAND!A:F,6,FALSE),0)</f>
        <v>0</v>
      </c>
      <c r="P643" s="16">
        <f>ROUNDDOWN(Table28[[#This Row],[R-DEMAND]]/950,0)</f>
        <v>0</v>
      </c>
      <c r="Q643" s="16">
        <f>Table28[[#This Row],[ADD ACC
(475/950)]]*Table28[[#This Row],[Duration
(A359)]]</f>
        <v>0</v>
      </c>
      <c r="R643" s="16">
        <f>IFERROR(VLOOKUP(Table28[[#This Row],[ROUTE]],PRICING!A:B,2,FALSE),0)</f>
        <v>0</v>
      </c>
      <c r="S643" s="16">
        <f>Table28[[#This Row],[C_DEMAND]]-Table28[[#This Row],[R-DEMAND]]</f>
        <v>0</v>
      </c>
      <c r="T643" s="316">
        <f>Table28[[#This Row],[SEATS SOLD]]*Table28[[#This Row],[ECO SEAT]]</f>
        <v>0</v>
      </c>
      <c r="U643" s="316">
        <f>Table28[[#This Row],[SEATS SOLD]]*(IFERROR(VLOOKUP(Table28[[#This Row],[ROUTE]],PRICING!A:C,3,FALSE),0))</f>
        <v>0</v>
      </c>
      <c r="V643" s="316">
        <f>Table28[[#This Row],[SEAT REV]]-Table28[[#This Row],[SEAT REV
(IF IDEAL $)]]</f>
        <v>0</v>
      </c>
      <c r="AS643" s="16" t="s">
        <v>2711</v>
      </c>
      <c r="AT643" s="16" t="s">
        <v>11887</v>
      </c>
      <c r="AU643" s="16" t="s">
        <v>2713</v>
      </c>
      <c r="AV643" s="16" t="s">
        <v>18892</v>
      </c>
      <c r="AW643" s="16" t="s">
        <v>18879</v>
      </c>
      <c r="AX643" s="16" t="s">
        <v>18960</v>
      </c>
      <c r="AY643" s="385">
        <v>14062</v>
      </c>
    </row>
    <row r="644" spans="1:51" x14ac:dyDescent="0.25">
      <c r="A644" s="16" t="s">
        <v>19806</v>
      </c>
      <c r="B644" s="16" t="s">
        <v>3452</v>
      </c>
      <c r="D644" s="16">
        <v>2</v>
      </c>
      <c r="E644" s="16" t="s">
        <v>683</v>
      </c>
      <c r="F644" s="16" t="str">
        <f>VLOOKUP(Table28[[#This Row],[Country]],Table10[[COUNTRY NAME]:[CONTINENT CODE]],3,FALSE)</f>
        <v>NA</v>
      </c>
      <c r="G644" s="16" t="s">
        <v>13193</v>
      </c>
      <c r="H644" s="181">
        <v>15154</v>
      </c>
      <c r="I644" s="180">
        <v>35.5</v>
      </c>
      <c r="K644" s="316">
        <f>IFERROR(Table28[[#This Row],[ROUTE COST]]/Table28[[#This Row],[O - DEMAND]],0)</f>
        <v>0</v>
      </c>
      <c r="M644" s="16">
        <f>Table28[[#This Row],[O - DEMAND]]/950</f>
        <v>0</v>
      </c>
      <c r="N644" s="16">
        <f>IFERROR(VLOOKUP(Table28[[#This Row],[ROUTE]],DEMAND!A:F,5,FALSE),0)</f>
        <v>0</v>
      </c>
      <c r="O644" s="16">
        <f>IFERROR(VLOOKUP(Table28[[#This Row],[ROUTE]],DEMAND!A:F,6,FALSE),0)</f>
        <v>0</v>
      </c>
      <c r="P644" s="16">
        <f>ROUNDDOWN(Table28[[#This Row],[R-DEMAND]]/950,0)</f>
        <v>0</v>
      </c>
      <c r="Q644" s="16">
        <f>Table28[[#This Row],[ADD ACC
(475/950)]]*Table28[[#This Row],[Duration
(A359)]]</f>
        <v>0</v>
      </c>
      <c r="R644" s="16">
        <f>IFERROR(VLOOKUP(Table28[[#This Row],[ROUTE]],PRICING!A:B,2,FALSE),0)</f>
        <v>0</v>
      </c>
      <c r="S644" s="16">
        <f>Table28[[#This Row],[C_DEMAND]]-Table28[[#This Row],[R-DEMAND]]</f>
        <v>0</v>
      </c>
      <c r="T644" s="316">
        <f>Table28[[#This Row],[SEATS SOLD]]*Table28[[#This Row],[ECO SEAT]]</f>
        <v>0</v>
      </c>
      <c r="U644" s="316">
        <f>Table28[[#This Row],[SEATS SOLD]]*(IFERROR(VLOOKUP(Table28[[#This Row],[ROUTE]],PRICING!A:C,3,FALSE),0))</f>
        <v>0</v>
      </c>
      <c r="V644" s="316">
        <f>Table28[[#This Row],[SEAT REV]]-Table28[[#This Row],[SEAT REV
(IF IDEAL $)]]</f>
        <v>0</v>
      </c>
      <c r="AS644" s="16" t="s">
        <v>1124</v>
      </c>
      <c r="AT644" s="16" t="s">
        <v>11079</v>
      </c>
      <c r="AU644" s="16" t="s">
        <v>5471</v>
      </c>
      <c r="AV644" s="16" t="s">
        <v>18884</v>
      </c>
      <c r="AW644" s="16" t="s">
        <v>18899</v>
      </c>
      <c r="AX644" s="16" t="s">
        <v>18960</v>
      </c>
      <c r="AY644" s="385">
        <v>14066</v>
      </c>
    </row>
    <row r="645" spans="1:51" x14ac:dyDescent="0.25">
      <c r="A645" s="16" t="s">
        <v>19479</v>
      </c>
      <c r="B645" s="16" t="s">
        <v>3292</v>
      </c>
      <c r="D645" s="16">
        <v>2</v>
      </c>
      <c r="E645" s="16" t="s">
        <v>644</v>
      </c>
      <c r="F645" s="16" t="str">
        <f>VLOOKUP(Table28[[#This Row],[Country]],Table10[[COUNTRY NAME]:[CONTINENT CODE]],3,FALSE)</f>
        <v>AF</v>
      </c>
      <c r="G645" s="16" t="s">
        <v>11815</v>
      </c>
      <c r="H645" s="181">
        <v>12971</v>
      </c>
      <c r="I645" s="180">
        <v>30.5</v>
      </c>
      <c r="K645" s="316">
        <f>IFERROR(Table28[[#This Row],[ROUTE COST]]/Table28[[#This Row],[O - DEMAND]],0)</f>
        <v>0</v>
      </c>
      <c r="M645" s="16">
        <f>Table28[[#This Row],[O - DEMAND]]/950</f>
        <v>0</v>
      </c>
      <c r="N645" s="16">
        <f>IFERROR(VLOOKUP(Table28[[#This Row],[ROUTE]],DEMAND!A:F,5,FALSE),0)</f>
        <v>0</v>
      </c>
      <c r="O645" s="16">
        <f>IFERROR(VLOOKUP(Table28[[#This Row],[ROUTE]],DEMAND!A:F,6,FALSE),0)</f>
        <v>0</v>
      </c>
      <c r="P645" s="16">
        <f>ROUNDDOWN(Table28[[#This Row],[R-DEMAND]]/950,0)</f>
        <v>0</v>
      </c>
      <c r="Q645" s="16">
        <f>Table28[[#This Row],[ADD ACC
(475/950)]]*Table28[[#This Row],[Duration
(A359)]]</f>
        <v>0</v>
      </c>
      <c r="R645" s="16">
        <f>IFERROR(VLOOKUP(Table28[[#This Row],[ROUTE]],PRICING!A:B,2,FALSE),0)</f>
        <v>0</v>
      </c>
      <c r="S645" s="16">
        <f>Table28[[#This Row],[C_DEMAND]]-Table28[[#This Row],[R-DEMAND]]</f>
        <v>0</v>
      </c>
      <c r="T645" s="316">
        <f>Table28[[#This Row],[SEATS SOLD]]*Table28[[#This Row],[ECO SEAT]]</f>
        <v>0</v>
      </c>
      <c r="U645" s="316">
        <f>Table28[[#This Row],[SEATS SOLD]]*(IFERROR(VLOOKUP(Table28[[#This Row],[ROUTE]],PRICING!A:C,3,FALSE),0))</f>
        <v>0</v>
      </c>
      <c r="V645" s="316">
        <f>Table28[[#This Row],[SEAT REV]]-Table28[[#This Row],[SEAT REV
(IF IDEAL $)]]</f>
        <v>0</v>
      </c>
      <c r="AS645" s="16" t="s">
        <v>1216</v>
      </c>
      <c r="AT645" s="16" t="s">
        <v>11876</v>
      </c>
      <c r="AU645" s="16" t="s">
        <v>3363</v>
      </c>
      <c r="AV645" s="16" t="s">
        <v>18884</v>
      </c>
      <c r="AX645" s="16" t="s">
        <v>18960</v>
      </c>
      <c r="AY645" s="385">
        <v>14067</v>
      </c>
    </row>
    <row r="646" spans="1:51" x14ac:dyDescent="0.25">
      <c r="A646" s="16" t="s">
        <v>19767</v>
      </c>
      <c r="B646" s="16" t="s">
        <v>5206</v>
      </c>
      <c r="D646" s="16">
        <v>3</v>
      </c>
      <c r="E646" s="16" t="s">
        <v>11732</v>
      </c>
      <c r="F646" s="16" t="str">
        <f>VLOOKUP(Table28[[#This Row],[Country]],Table10[[COUNTRY NAME]:[CONTINENT CODE]],3,FALSE)</f>
        <v>NA - US</v>
      </c>
      <c r="G646" s="16" t="s">
        <v>13330</v>
      </c>
      <c r="H646" s="181">
        <v>14962</v>
      </c>
      <c r="I646" s="180">
        <v>35</v>
      </c>
      <c r="K646" s="316">
        <f>IFERROR(Table28[[#This Row],[ROUTE COST]]/Table28[[#This Row],[O - DEMAND]],0)</f>
        <v>0</v>
      </c>
      <c r="M646" s="180">
        <f>Table28[[#This Row],[O - DEMAND]]/950</f>
        <v>0</v>
      </c>
      <c r="N646" s="16">
        <f>IFERROR(VLOOKUP(Table28[[#This Row],[ROUTE]],DEMAND!A:F,5,FALSE),0)</f>
        <v>0</v>
      </c>
      <c r="O646" s="16">
        <f>IFERROR(VLOOKUP(Table28[[#This Row],[ROUTE]],DEMAND!A:F,6,FALSE),0)</f>
        <v>0</v>
      </c>
      <c r="P646" s="16">
        <f>ROUNDDOWN(Table28[[#This Row],[R-DEMAND]]/950,0)</f>
        <v>0</v>
      </c>
      <c r="Q646" s="16">
        <f>Table28[[#This Row],[ADD ACC
(475/950)]]*Table28[[#This Row],[Duration
(A359)]]</f>
        <v>0</v>
      </c>
      <c r="R646" s="16">
        <f>IFERROR(VLOOKUP(Table28[[#This Row],[ROUTE]],PRICING!A:B,2,FALSE),0)</f>
        <v>0</v>
      </c>
      <c r="S646" s="16">
        <f>Table28[[#This Row],[C_DEMAND]]-Table28[[#This Row],[R-DEMAND]]</f>
        <v>0</v>
      </c>
      <c r="T646" s="316">
        <f>Table28[[#This Row],[SEATS SOLD]]*Table28[[#This Row],[ECO SEAT]]</f>
        <v>0</v>
      </c>
      <c r="U646" s="316">
        <f>Table28[[#This Row],[SEATS SOLD]]*(IFERROR(VLOOKUP(Table28[[#This Row],[ROUTE]],PRICING!A:C,3,FALSE),0))</f>
        <v>0</v>
      </c>
      <c r="V646" s="316">
        <f>Table28[[#This Row],[SEAT REV]]-Table28[[#This Row],[SEAT REV
(IF IDEAL $)]]</f>
        <v>0</v>
      </c>
      <c r="AS646" s="16" t="s">
        <v>700</v>
      </c>
      <c r="AT646" s="16" t="s">
        <v>6907</v>
      </c>
      <c r="AU646" s="16" t="s">
        <v>4849</v>
      </c>
      <c r="AV646" s="16" t="s">
        <v>18878</v>
      </c>
      <c r="AW646" s="16" t="s">
        <v>18885</v>
      </c>
      <c r="AX646" s="16" t="s">
        <v>18960</v>
      </c>
      <c r="AY646" s="385">
        <v>14068</v>
      </c>
    </row>
    <row r="647" spans="1:51" x14ac:dyDescent="0.25">
      <c r="A647" s="16" t="s">
        <v>19123</v>
      </c>
      <c r="B647" s="16" t="s">
        <v>5204</v>
      </c>
      <c r="C647" s="16" t="s">
        <v>467</v>
      </c>
      <c r="D647" s="16">
        <v>3</v>
      </c>
      <c r="E647" s="16" t="s">
        <v>142</v>
      </c>
      <c r="F647" s="16" t="str">
        <f>VLOOKUP(Table28[[#This Row],[Country]],Table10[[COUNTRY NAME]:[CONTINENT CODE]],3,FALSE)</f>
        <v>AS</v>
      </c>
      <c r="G647" s="16" t="s">
        <v>11997</v>
      </c>
      <c r="H647" s="181">
        <v>8087</v>
      </c>
      <c r="I647" s="180">
        <v>20</v>
      </c>
      <c r="K647" s="316">
        <f>IFERROR(Table28[[#This Row],[ROUTE COST]]/Table28[[#This Row],[O - DEMAND]],0)</f>
        <v>0</v>
      </c>
      <c r="M647" s="16">
        <f>Table28[[#This Row],[O - DEMAND]]/950</f>
        <v>0</v>
      </c>
      <c r="N647" s="16">
        <f>IFERROR(VLOOKUP(Table28[[#This Row],[ROUTE]],DEMAND!A:F,5,FALSE),0)</f>
        <v>2139</v>
      </c>
      <c r="O647" s="16">
        <f>IFERROR(VLOOKUP(Table28[[#This Row],[ROUTE]],DEMAND!A:F,6,FALSE),0)</f>
        <v>239</v>
      </c>
      <c r="P647" s="16">
        <f>ROUNDDOWN(Table28[[#This Row],[R-DEMAND]]/950,0)</f>
        <v>0</v>
      </c>
      <c r="Q647" s="16">
        <f>Table28[[#This Row],[ADD ACC
(475/950)]]*Table28[[#This Row],[Duration
(A359)]]</f>
        <v>0</v>
      </c>
      <c r="R647" s="16">
        <f>IFERROR(VLOOKUP(Table28[[#This Row],[ROUTE]],PRICING!A:B,2,FALSE),0)</f>
        <v>0</v>
      </c>
      <c r="S647" s="16">
        <f>Table28[[#This Row],[C_DEMAND]]-Table28[[#This Row],[R-DEMAND]]</f>
        <v>1900</v>
      </c>
      <c r="T647" s="316">
        <f>Table28[[#This Row],[SEATS SOLD]]*Table28[[#This Row],[ECO SEAT]]</f>
        <v>0</v>
      </c>
      <c r="U647" s="316">
        <f>Table28[[#This Row],[SEATS SOLD]]*(IFERROR(VLOOKUP(Table28[[#This Row],[ROUTE]],PRICING!A:C,3,FALSE),0))</f>
        <v>0</v>
      </c>
      <c r="V647" s="316">
        <f>Table28[[#This Row],[SEAT REV]]-Table28[[#This Row],[SEAT REV
(IF IDEAL $)]]</f>
        <v>0</v>
      </c>
      <c r="AS647" s="16" t="s">
        <v>700</v>
      </c>
      <c r="AT647" s="16" t="s">
        <v>16866</v>
      </c>
      <c r="AU647" s="16" t="s">
        <v>2609</v>
      </c>
      <c r="AV647" s="16" t="s">
        <v>18878</v>
      </c>
      <c r="AW647" s="16" t="s">
        <v>18879</v>
      </c>
      <c r="AX647" s="16" t="s">
        <v>18960</v>
      </c>
      <c r="AY647" s="385">
        <v>14071</v>
      </c>
    </row>
    <row r="648" spans="1:51" x14ac:dyDescent="0.25">
      <c r="A648" s="16" t="s">
        <v>19400</v>
      </c>
      <c r="B648" s="16" t="s">
        <v>5717</v>
      </c>
      <c r="C648" s="16" t="s">
        <v>467</v>
      </c>
      <c r="D648" s="16">
        <v>5</v>
      </c>
      <c r="E648" s="16" t="s">
        <v>11732</v>
      </c>
      <c r="F648" s="16" t="str">
        <f>VLOOKUP(Table28[[#This Row],[Country]],Table10[[COUNTRY NAME]:[CONTINENT CODE]],3,FALSE)</f>
        <v>NA - US</v>
      </c>
      <c r="G648" s="16" t="s">
        <v>13256</v>
      </c>
      <c r="H648" s="181">
        <v>12475</v>
      </c>
      <c r="I648" s="180">
        <v>29.5</v>
      </c>
      <c r="K648" s="316">
        <f>IFERROR(Table28[[#This Row],[ROUTE COST]]/Table28[[#This Row],[O - DEMAND]],0)</f>
        <v>0</v>
      </c>
      <c r="M648" s="180">
        <f>Table28[[#This Row],[O - DEMAND]]/950</f>
        <v>0</v>
      </c>
      <c r="N648" s="16">
        <f>IFERROR(VLOOKUP(Table28[[#This Row],[ROUTE]],DEMAND!A:F,5,FALSE),0)</f>
        <v>2495</v>
      </c>
      <c r="O648" s="16">
        <f>IFERROR(VLOOKUP(Table28[[#This Row],[ROUTE]],DEMAND!A:F,6,FALSE),0)</f>
        <v>595</v>
      </c>
      <c r="P648" s="16">
        <f>ROUNDDOWN(Table28[[#This Row],[R-DEMAND]]/950,0)</f>
        <v>0</v>
      </c>
      <c r="Q648" s="16">
        <f>Table28[[#This Row],[ADD ACC
(475/950)]]*Table28[[#This Row],[Duration
(A359)]]</f>
        <v>0</v>
      </c>
      <c r="R648" s="16">
        <f>IFERROR(VLOOKUP(Table28[[#This Row],[ROUTE]],PRICING!A:B,2,FALSE),0)</f>
        <v>0</v>
      </c>
      <c r="S648" s="16">
        <f>Table28[[#This Row],[C_DEMAND]]-Table28[[#This Row],[R-DEMAND]]</f>
        <v>1900</v>
      </c>
      <c r="T648" s="316">
        <f>Table28[[#This Row],[SEATS SOLD]]*Table28[[#This Row],[ECO SEAT]]</f>
        <v>0</v>
      </c>
      <c r="U648" s="316">
        <f>Table28[[#This Row],[SEATS SOLD]]*(IFERROR(VLOOKUP(Table28[[#This Row],[ROUTE]],PRICING!A:C,3,FALSE),0))</f>
        <v>0</v>
      </c>
      <c r="V648" s="316">
        <f>Table28[[#This Row],[SEAT REV]]-Table28[[#This Row],[SEAT REV
(IF IDEAL $)]]</f>
        <v>0</v>
      </c>
      <c r="AS648" s="16" t="s">
        <v>11732</v>
      </c>
      <c r="AT648" s="16" t="s">
        <v>17006</v>
      </c>
      <c r="AU648" s="16" t="s">
        <v>4041</v>
      </c>
      <c r="AV648" s="16" t="s">
        <v>18878</v>
      </c>
      <c r="AX648" s="16" t="s">
        <v>18960</v>
      </c>
      <c r="AY648" s="385">
        <v>14074</v>
      </c>
    </row>
    <row r="649" spans="1:51" x14ac:dyDescent="0.25">
      <c r="A649" s="16" t="s">
        <v>19240</v>
      </c>
      <c r="B649" s="16" t="s">
        <v>3772</v>
      </c>
      <c r="D649" s="16">
        <v>2</v>
      </c>
      <c r="E649" s="16" t="s">
        <v>2851</v>
      </c>
      <c r="F649" s="16" t="str">
        <f>VLOOKUP(Table28[[#This Row],[Country]],Table10[[COUNTRY NAME]:[CONTINENT CODE]],3,FALSE)</f>
        <v>AF</v>
      </c>
      <c r="G649" s="16" t="s">
        <v>12007</v>
      </c>
      <c r="H649" s="181">
        <v>10239</v>
      </c>
      <c r="I649" s="180">
        <v>24.5</v>
      </c>
      <c r="K649" s="316">
        <f>IFERROR(Table28[[#This Row],[ROUTE COST]]/Table28[[#This Row],[O - DEMAND]],0)</f>
        <v>0</v>
      </c>
      <c r="M649" s="16">
        <f>Table28[[#This Row],[O - DEMAND]]/950</f>
        <v>0</v>
      </c>
      <c r="N649" s="16">
        <f>IFERROR(VLOOKUP(Table28[[#This Row],[ROUTE]],DEMAND!A:F,5,FALSE),0)</f>
        <v>0</v>
      </c>
      <c r="O649" s="16">
        <f>IFERROR(VLOOKUP(Table28[[#This Row],[ROUTE]],DEMAND!A:F,6,FALSE),0)</f>
        <v>0</v>
      </c>
      <c r="P649" s="16">
        <f>ROUNDDOWN(Table28[[#This Row],[R-DEMAND]]/950,0)</f>
        <v>0</v>
      </c>
      <c r="Q649" s="16">
        <f>Table28[[#This Row],[ADD ACC
(475/950)]]*Table28[[#This Row],[Duration
(A359)]]</f>
        <v>0</v>
      </c>
      <c r="R649" s="16">
        <f>IFERROR(VLOOKUP(Table28[[#This Row],[ROUTE]],PRICING!A:B,2,FALSE),0)</f>
        <v>0</v>
      </c>
      <c r="S649" s="16">
        <f>Table28[[#This Row],[C_DEMAND]]-Table28[[#This Row],[R-DEMAND]]</f>
        <v>0</v>
      </c>
      <c r="T649" s="316">
        <f>Table28[[#This Row],[SEATS SOLD]]*Table28[[#This Row],[ECO SEAT]]</f>
        <v>0</v>
      </c>
      <c r="U649" s="316">
        <f>Table28[[#This Row],[SEATS SOLD]]*(IFERROR(VLOOKUP(Table28[[#This Row],[ROUTE]],PRICING!A:C,3,FALSE),0))</f>
        <v>0</v>
      </c>
      <c r="V649" s="316">
        <f>Table28[[#This Row],[SEAT REV]]-Table28[[#This Row],[SEAT REV
(IF IDEAL $)]]</f>
        <v>0</v>
      </c>
      <c r="AS649" s="16" t="s">
        <v>881</v>
      </c>
      <c r="AT649" s="16" t="s">
        <v>6783</v>
      </c>
      <c r="AU649" s="16" t="s">
        <v>2490</v>
      </c>
      <c r="AV649" s="16" t="s">
        <v>18881</v>
      </c>
      <c r="AW649" s="16" t="s">
        <v>18890</v>
      </c>
      <c r="AX649" s="16" t="s">
        <v>18960</v>
      </c>
      <c r="AY649" s="385">
        <v>14079</v>
      </c>
    </row>
    <row r="650" spans="1:51" x14ac:dyDescent="0.25">
      <c r="A650" s="16" t="s">
        <v>19789</v>
      </c>
      <c r="B650" s="16" t="s">
        <v>4880</v>
      </c>
      <c r="D650" s="16">
        <v>3</v>
      </c>
      <c r="E650" s="16" t="s">
        <v>11732</v>
      </c>
      <c r="F650" s="16" t="str">
        <f>VLOOKUP(Table28[[#This Row],[Country]],Table10[[COUNTRY NAME]:[CONTINENT CODE]],3,FALSE)</f>
        <v>NA - US</v>
      </c>
      <c r="G650" s="16" t="s">
        <v>13367</v>
      </c>
      <c r="H650" s="181">
        <v>15062</v>
      </c>
      <c r="I650" s="180">
        <v>35.25</v>
      </c>
      <c r="K650" s="316">
        <f>IFERROR(Table28[[#This Row],[ROUTE COST]]/Table28[[#This Row],[O - DEMAND]],0)</f>
        <v>0</v>
      </c>
      <c r="M650" s="180">
        <f>Table28[[#This Row],[O - DEMAND]]/950</f>
        <v>0</v>
      </c>
      <c r="N650" s="16">
        <f>IFERROR(VLOOKUP(Table28[[#This Row],[ROUTE]],DEMAND!A:F,5,FALSE),0)</f>
        <v>0</v>
      </c>
      <c r="O650" s="16">
        <f>IFERROR(VLOOKUP(Table28[[#This Row],[ROUTE]],DEMAND!A:F,6,FALSE),0)</f>
        <v>0</v>
      </c>
      <c r="P650" s="16">
        <f>ROUNDDOWN(Table28[[#This Row],[R-DEMAND]]/950,0)</f>
        <v>0</v>
      </c>
      <c r="Q650" s="16">
        <f>Table28[[#This Row],[ADD ACC
(475/950)]]*Table28[[#This Row],[Duration
(A359)]]</f>
        <v>0</v>
      </c>
      <c r="R650" s="16">
        <f>IFERROR(VLOOKUP(Table28[[#This Row],[ROUTE]],PRICING!A:B,2,FALSE),0)</f>
        <v>0</v>
      </c>
      <c r="S650" s="16">
        <f>Table28[[#This Row],[C_DEMAND]]-Table28[[#This Row],[R-DEMAND]]</f>
        <v>0</v>
      </c>
      <c r="T650" s="316">
        <f>Table28[[#This Row],[SEATS SOLD]]*Table28[[#This Row],[ECO SEAT]]</f>
        <v>0</v>
      </c>
      <c r="U650" s="316">
        <f>Table28[[#This Row],[SEATS SOLD]]*(IFERROR(VLOOKUP(Table28[[#This Row],[ROUTE]],PRICING!A:C,3,FALSE),0))</f>
        <v>0</v>
      </c>
      <c r="V650" s="316">
        <f>Table28[[#This Row],[SEAT REV]]-Table28[[#This Row],[SEAT REV
(IF IDEAL $)]]</f>
        <v>0</v>
      </c>
      <c r="AS650" s="16" t="s">
        <v>1654</v>
      </c>
      <c r="AT650" s="16" t="s">
        <v>11890</v>
      </c>
      <c r="AU650" s="16" t="s">
        <v>5196</v>
      </c>
      <c r="AV650" s="16" t="s">
        <v>18884</v>
      </c>
      <c r="AW650" s="16" t="s">
        <v>18885</v>
      </c>
      <c r="AX650" s="16" t="s">
        <v>18960</v>
      </c>
      <c r="AY650" s="385">
        <v>14082</v>
      </c>
    </row>
    <row r="651" spans="1:51" x14ac:dyDescent="0.25">
      <c r="A651" s="16" t="s">
        <v>19338</v>
      </c>
      <c r="B651" s="16" t="s">
        <v>5737</v>
      </c>
      <c r="C651" s="16" t="s">
        <v>467</v>
      </c>
      <c r="D651" s="16">
        <v>5</v>
      </c>
      <c r="E651" s="16" t="s">
        <v>11732</v>
      </c>
      <c r="F651" s="16" t="str">
        <f>VLOOKUP(Table28[[#This Row],[Country]],Table10[[COUNTRY NAME]:[CONTINENT CODE]],3,FALSE)</f>
        <v>NA - US</v>
      </c>
      <c r="G651" s="16" t="s">
        <v>13258</v>
      </c>
      <c r="H651" s="181">
        <v>11953</v>
      </c>
      <c r="I651" s="180">
        <v>28.25</v>
      </c>
      <c r="J651" s="316">
        <v>300626071</v>
      </c>
      <c r="K651" s="316">
        <f>IFERROR(Table28[[#This Row],[ROUTE COST]]/Table28[[#This Row],[O - DEMAND]],0)</f>
        <v>123460.39876796714</v>
      </c>
      <c r="L651" s="16">
        <v>2435</v>
      </c>
      <c r="M651" s="180">
        <f>Table28[[#This Row],[O - DEMAND]]/950</f>
        <v>2.5631578947368423</v>
      </c>
      <c r="N651" s="16">
        <f>IFERROR(VLOOKUP(Table28[[#This Row],[ROUTE]],DEMAND!A:F,5,FALSE),0)</f>
        <v>2598</v>
      </c>
      <c r="O651" s="16">
        <f>IFERROR(VLOOKUP(Table28[[#This Row],[ROUTE]],DEMAND!A:F,6,FALSE),0)</f>
        <v>698</v>
      </c>
      <c r="P651" s="16">
        <f>ROUNDDOWN(Table28[[#This Row],[R-DEMAND]]/950,0)</f>
        <v>0</v>
      </c>
      <c r="Q651" s="16">
        <f>Table28[[#This Row],[ADD ACC
(475/950)]]*Table28[[#This Row],[Duration
(A359)]]</f>
        <v>0</v>
      </c>
      <c r="R651" s="16">
        <f>IFERROR(VLOOKUP(Table28[[#This Row],[ROUTE]],PRICING!A:B,2,FALSE),0)</f>
        <v>0</v>
      </c>
      <c r="S651" s="16">
        <f>Table28[[#This Row],[C_DEMAND]]-Table28[[#This Row],[R-DEMAND]]</f>
        <v>1900</v>
      </c>
      <c r="T651" s="316">
        <f>Table28[[#This Row],[SEATS SOLD]]*Table28[[#This Row],[ECO SEAT]]</f>
        <v>0</v>
      </c>
      <c r="U651" s="316">
        <f>Table28[[#This Row],[SEATS SOLD]]*(IFERROR(VLOOKUP(Table28[[#This Row],[ROUTE]],PRICING!A:C,3,FALSE),0))</f>
        <v>0</v>
      </c>
      <c r="V651" s="316">
        <f>Table28[[#This Row],[SEAT REV]]-Table28[[#This Row],[SEAT REV
(IF IDEAL $)]]</f>
        <v>0</v>
      </c>
      <c r="AS651" s="16" t="s">
        <v>1216</v>
      </c>
      <c r="AT651" s="16" t="s">
        <v>11883</v>
      </c>
      <c r="AU651" s="16" t="s">
        <v>2555</v>
      </c>
      <c r="AV651" s="16" t="s">
        <v>18892</v>
      </c>
      <c r="AW651" s="16" t="s">
        <v>18879</v>
      </c>
      <c r="AX651" s="16" t="s">
        <v>18960</v>
      </c>
      <c r="AY651" s="385">
        <v>14083</v>
      </c>
    </row>
    <row r="652" spans="1:51" x14ac:dyDescent="0.25">
      <c r="A652" s="16" t="s">
        <v>19047</v>
      </c>
      <c r="B652" s="16" t="s">
        <v>2083</v>
      </c>
      <c r="D652" s="16">
        <v>1</v>
      </c>
      <c r="E652" s="16" t="s">
        <v>717</v>
      </c>
      <c r="F652" s="16" t="str">
        <f>VLOOKUP(Table28[[#This Row],[Country]],Table10[[COUNTRY NAME]:[CONTINENT CODE]],3,FALSE)</f>
        <v>AS</v>
      </c>
      <c r="G652" s="16" t="s">
        <v>18110</v>
      </c>
      <c r="H652" s="181">
        <v>6332</v>
      </c>
      <c r="I652" s="180">
        <v>16</v>
      </c>
      <c r="K652" s="316">
        <f>IFERROR(Table28[[#This Row],[ROUTE COST]]/Table28[[#This Row],[O - DEMAND]],0)</f>
        <v>0</v>
      </c>
      <c r="M652" s="16">
        <f>Table28[[#This Row],[O - DEMAND]]/950</f>
        <v>0</v>
      </c>
      <c r="N652" s="16">
        <f>IFERROR(VLOOKUP(Table28[[#This Row],[ROUTE]],DEMAND!A:F,5,FALSE),0)</f>
        <v>0</v>
      </c>
      <c r="O652" s="16">
        <f>IFERROR(VLOOKUP(Table28[[#This Row],[ROUTE]],DEMAND!A:F,6,FALSE),0)</f>
        <v>0</v>
      </c>
      <c r="P652" s="16">
        <f>ROUNDDOWN(Table28[[#This Row],[R-DEMAND]]/950,0)</f>
        <v>0</v>
      </c>
      <c r="Q652" s="16">
        <f>Table28[[#This Row],[ADD ACC
(475/950)]]*Table28[[#This Row],[Duration
(A359)]]</f>
        <v>0</v>
      </c>
      <c r="R652" s="16">
        <f>IFERROR(VLOOKUP(Table28[[#This Row],[ROUTE]],PRICING!A:B,2,FALSE),0)</f>
        <v>0</v>
      </c>
      <c r="S652" s="16">
        <f>Table28[[#This Row],[C_DEMAND]]-Table28[[#This Row],[R-DEMAND]]</f>
        <v>0</v>
      </c>
      <c r="T652" s="316">
        <f>Table28[[#This Row],[SEATS SOLD]]*Table28[[#This Row],[ECO SEAT]]</f>
        <v>0</v>
      </c>
      <c r="U652" s="316">
        <f>Table28[[#This Row],[SEATS SOLD]]*(IFERROR(VLOOKUP(Table28[[#This Row],[ROUTE]],PRICING!A:C,3,FALSE),0))</f>
        <v>0</v>
      </c>
      <c r="V652" s="316">
        <f>Table28[[#This Row],[SEAT REV]]-Table28[[#This Row],[SEAT REV
(IF IDEAL $)]]</f>
        <v>0</v>
      </c>
      <c r="AS652" s="16" t="s">
        <v>1124</v>
      </c>
      <c r="AT652" s="16" t="s">
        <v>11882</v>
      </c>
      <c r="AU652" s="16" t="s">
        <v>3373</v>
      </c>
      <c r="AV652" s="16" t="s">
        <v>18884</v>
      </c>
      <c r="AW652" s="16" t="s">
        <v>18879</v>
      </c>
      <c r="AX652" s="16" t="s">
        <v>18960</v>
      </c>
      <c r="AY652" s="385">
        <v>14083</v>
      </c>
    </row>
    <row r="653" spans="1:51" x14ac:dyDescent="0.25">
      <c r="A653" s="16" t="s">
        <v>19431</v>
      </c>
      <c r="B653" s="16" t="s">
        <v>4580</v>
      </c>
      <c r="D653" s="16">
        <v>2</v>
      </c>
      <c r="E653" s="16" t="s">
        <v>78</v>
      </c>
      <c r="F653" s="16" t="str">
        <f>VLOOKUP(Table28[[#This Row],[Country]],Table10[[COUNTRY NAME]:[CONTINENT CODE]],3,FALSE)</f>
        <v>EU</v>
      </c>
      <c r="G653" s="16" t="s">
        <v>11916</v>
      </c>
      <c r="H653" s="181">
        <v>12673</v>
      </c>
      <c r="I653" s="180">
        <v>30</v>
      </c>
      <c r="K653" s="316">
        <f>IFERROR(Table28[[#This Row],[ROUTE COST]]/Table28[[#This Row],[O - DEMAND]],0)</f>
        <v>0</v>
      </c>
      <c r="M653" s="16">
        <f>Table28[[#This Row],[O - DEMAND]]/950</f>
        <v>0</v>
      </c>
      <c r="N653" s="16">
        <f>IFERROR(VLOOKUP(Table28[[#This Row],[ROUTE]],DEMAND!A:F,5,FALSE),0)</f>
        <v>0</v>
      </c>
      <c r="O653" s="16">
        <f>IFERROR(VLOOKUP(Table28[[#This Row],[ROUTE]],DEMAND!A:F,6,FALSE),0)</f>
        <v>0</v>
      </c>
      <c r="P653" s="16">
        <f>ROUNDDOWN(Table28[[#This Row],[R-DEMAND]]/950,0)</f>
        <v>0</v>
      </c>
      <c r="Q653" s="16">
        <f>Table28[[#This Row],[ADD ACC
(475/950)]]*Table28[[#This Row],[Duration
(A359)]]</f>
        <v>0</v>
      </c>
      <c r="R653" s="16">
        <f>IFERROR(VLOOKUP(Table28[[#This Row],[ROUTE]],PRICING!A:B,2,FALSE),0)</f>
        <v>0</v>
      </c>
      <c r="S653" s="16">
        <f>Table28[[#This Row],[C_DEMAND]]-Table28[[#This Row],[R-DEMAND]]</f>
        <v>0</v>
      </c>
      <c r="T653" s="316">
        <f>Table28[[#This Row],[SEATS SOLD]]*Table28[[#This Row],[ECO SEAT]]</f>
        <v>0</v>
      </c>
      <c r="U653" s="316">
        <f>Table28[[#This Row],[SEATS SOLD]]*(IFERROR(VLOOKUP(Table28[[#This Row],[ROUTE]],PRICING!A:C,3,FALSE),0))</f>
        <v>0</v>
      </c>
      <c r="V653" s="316">
        <f>Table28[[#This Row],[SEAT REV]]-Table28[[#This Row],[SEAT REV
(IF IDEAL $)]]</f>
        <v>0</v>
      </c>
      <c r="AS653" s="16" t="s">
        <v>1124</v>
      </c>
      <c r="AT653" s="16" t="s">
        <v>11872</v>
      </c>
      <c r="AU653" s="16" t="s">
        <v>5019</v>
      </c>
      <c r="AV653" s="16" t="s">
        <v>18892</v>
      </c>
      <c r="AW653" s="16" t="s">
        <v>18885</v>
      </c>
      <c r="AX653" s="16" t="s">
        <v>18960</v>
      </c>
      <c r="AY653" s="385">
        <v>14098</v>
      </c>
    </row>
    <row r="654" spans="1:51" x14ac:dyDescent="0.25">
      <c r="A654" s="16" t="s">
        <v>19057</v>
      </c>
      <c r="B654" s="16" t="s">
        <v>100</v>
      </c>
      <c r="C654" s="16" t="s">
        <v>467</v>
      </c>
      <c r="D654" s="16">
        <v>4</v>
      </c>
      <c r="E654" s="16" t="s">
        <v>1314</v>
      </c>
      <c r="F654" s="16" t="str">
        <f>VLOOKUP(Table28[[#This Row],[Country]],Table10[[COUNTRY NAME]:[CONTINENT CODE]],3,FALSE)</f>
        <v>AS</v>
      </c>
      <c r="G654" s="16" t="s">
        <v>11043</v>
      </c>
      <c r="H654" s="181">
        <v>6848</v>
      </c>
      <c r="I654" s="180">
        <v>17.25</v>
      </c>
      <c r="K654" s="316">
        <f>IFERROR(Table28[[#This Row],[ROUTE COST]]/Table28[[#This Row],[O - DEMAND]],0)</f>
        <v>0</v>
      </c>
      <c r="M654" s="16">
        <f>Table28[[#This Row],[O - DEMAND]]/950</f>
        <v>0</v>
      </c>
      <c r="N654" s="16">
        <f>IFERROR(VLOOKUP(Table28[[#This Row],[ROUTE]],DEMAND!A:F,5,FALSE),0)</f>
        <v>3429</v>
      </c>
      <c r="O654" s="16">
        <f>IFERROR(VLOOKUP(Table28[[#This Row],[ROUTE]],DEMAND!A:F,6,FALSE),0)</f>
        <v>579</v>
      </c>
      <c r="P654" s="16">
        <f>ROUNDDOWN(Table28[[#This Row],[R-DEMAND]]/950,0)</f>
        <v>0</v>
      </c>
      <c r="Q654" s="16">
        <f>Table28[[#This Row],[ADD ACC
(475/950)]]*Table28[[#This Row],[Duration
(A359)]]</f>
        <v>0</v>
      </c>
      <c r="R654" s="16">
        <f>IFERROR(VLOOKUP(Table28[[#This Row],[ROUTE]],PRICING!A:B,2,FALSE),0)</f>
        <v>0</v>
      </c>
      <c r="S654" s="16">
        <f>Table28[[#This Row],[C_DEMAND]]-Table28[[#This Row],[R-DEMAND]]</f>
        <v>2850</v>
      </c>
      <c r="T654" s="316">
        <f>Table28[[#This Row],[SEATS SOLD]]*Table28[[#This Row],[ECO SEAT]]</f>
        <v>0</v>
      </c>
      <c r="U654" s="316">
        <f>Table28[[#This Row],[SEATS SOLD]]*(IFERROR(VLOOKUP(Table28[[#This Row],[ROUTE]],PRICING!A:C,3,FALSE),0))</f>
        <v>0</v>
      </c>
      <c r="V654" s="316">
        <f>Table28[[#This Row],[SEAT REV]]-Table28[[#This Row],[SEAT REV
(IF IDEAL $)]]</f>
        <v>0</v>
      </c>
      <c r="AS654" s="16" t="s">
        <v>11732</v>
      </c>
      <c r="AT654" s="16" t="s">
        <v>8820</v>
      </c>
      <c r="AU654" s="16" t="s">
        <v>3630</v>
      </c>
      <c r="AV654" s="16" t="s">
        <v>18884</v>
      </c>
      <c r="AW654" s="16" t="s">
        <v>18879</v>
      </c>
      <c r="AX654" s="16" t="s">
        <v>18960</v>
      </c>
      <c r="AY654" s="385">
        <v>14118</v>
      </c>
    </row>
    <row r="655" spans="1:51" x14ac:dyDescent="0.25">
      <c r="A655" s="16" t="s">
        <v>19110</v>
      </c>
      <c r="B655" s="16" t="s">
        <v>97</v>
      </c>
      <c r="C655" s="16" t="s">
        <v>467</v>
      </c>
      <c r="D655" s="16">
        <v>5</v>
      </c>
      <c r="E655" s="16" t="s">
        <v>14</v>
      </c>
      <c r="F655" s="16" t="str">
        <f>VLOOKUP(Table28[[#This Row],[Country]],Table10[[COUNTRY NAME]:[CONTINENT CODE]],3,FALSE)</f>
        <v>AS</v>
      </c>
      <c r="G655" s="16" t="s">
        <v>12046</v>
      </c>
      <c r="H655" s="181">
        <v>7892</v>
      </c>
      <c r="I655" s="180">
        <v>19.5</v>
      </c>
      <c r="K655" s="316">
        <f>IFERROR(Table28[[#This Row],[ROUTE COST]]/Table28[[#This Row],[O - DEMAND]],0)</f>
        <v>0</v>
      </c>
      <c r="M655" s="16">
        <f>Table28[[#This Row],[O - DEMAND]]/950</f>
        <v>0</v>
      </c>
      <c r="N655" s="16">
        <f>IFERROR(VLOOKUP(Table28[[#This Row],[ROUTE]],DEMAND!A:F,5,FALSE),0)</f>
        <v>3258</v>
      </c>
      <c r="O655" s="16">
        <f>IFERROR(VLOOKUP(Table28[[#This Row],[ROUTE]],DEMAND!A:F,6,FALSE),0)</f>
        <v>408</v>
      </c>
      <c r="P655" s="16">
        <f>ROUNDDOWN(Table28[[#This Row],[R-DEMAND]]/950,0)</f>
        <v>0</v>
      </c>
      <c r="Q655" s="16">
        <f>Table28[[#This Row],[ADD ACC
(475/950)]]*Table28[[#This Row],[Duration
(A359)]]</f>
        <v>0</v>
      </c>
      <c r="R655" s="16">
        <f>IFERROR(VLOOKUP(Table28[[#This Row],[ROUTE]],PRICING!A:B,2,FALSE),0)</f>
        <v>0</v>
      </c>
      <c r="S655" s="16">
        <f>Table28[[#This Row],[C_DEMAND]]-Table28[[#This Row],[R-DEMAND]]</f>
        <v>2850</v>
      </c>
      <c r="T655" s="316">
        <f>Table28[[#This Row],[SEATS SOLD]]*Table28[[#This Row],[ECO SEAT]]</f>
        <v>0</v>
      </c>
      <c r="U655" s="316">
        <f>Table28[[#This Row],[SEATS SOLD]]*(IFERROR(VLOOKUP(Table28[[#This Row],[ROUTE]],PRICING!A:C,3,FALSE),0))</f>
        <v>0</v>
      </c>
      <c r="V655" s="316">
        <f>Table28[[#This Row],[SEAT REV]]-Table28[[#This Row],[SEAT REV
(IF IDEAL $)]]</f>
        <v>0</v>
      </c>
      <c r="AS655" s="16" t="s">
        <v>517</v>
      </c>
      <c r="AT655" s="16" t="s">
        <v>13159</v>
      </c>
      <c r="AU655" s="16" t="s">
        <v>399</v>
      </c>
      <c r="AV655" s="16" t="s">
        <v>18884</v>
      </c>
      <c r="AW655" s="16" t="s">
        <v>18899</v>
      </c>
      <c r="AX655" s="16" t="s">
        <v>18927</v>
      </c>
      <c r="AY655" s="385">
        <v>14121</v>
      </c>
    </row>
    <row r="656" spans="1:51" x14ac:dyDescent="0.25">
      <c r="A656" s="16" t="s">
        <v>19176</v>
      </c>
      <c r="B656" s="16" t="s">
        <v>95</v>
      </c>
      <c r="C656" s="16" t="s">
        <v>467</v>
      </c>
      <c r="D656" s="16">
        <v>4</v>
      </c>
      <c r="E656" s="16" t="s">
        <v>14</v>
      </c>
      <c r="F656" s="16" t="str">
        <f>VLOOKUP(Table28[[#This Row],[Country]],Table10[[COUNTRY NAME]:[CONTINENT CODE]],3,FALSE)</f>
        <v>AS</v>
      </c>
      <c r="G656" s="16" t="s">
        <v>94</v>
      </c>
      <c r="H656" s="181">
        <v>8870</v>
      </c>
      <c r="I656" s="180">
        <v>21.5</v>
      </c>
      <c r="K656" s="316">
        <f>IFERROR(Table28[[#This Row],[ROUTE COST]]/Table28[[#This Row],[O - DEMAND]],0)</f>
        <v>0</v>
      </c>
      <c r="M656" s="16">
        <f>Table28[[#This Row],[O - DEMAND]]/950</f>
        <v>0</v>
      </c>
      <c r="N656" s="16">
        <f>IFERROR(VLOOKUP(Table28[[#This Row],[ROUTE]],DEMAND!A:F,5,FALSE),0)</f>
        <v>3032</v>
      </c>
      <c r="O656" s="16">
        <f>IFERROR(VLOOKUP(Table28[[#This Row],[ROUTE]],DEMAND!A:F,6,FALSE),0)</f>
        <v>182</v>
      </c>
      <c r="P656" s="16">
        <f>ROUNDDOWN(Table28[[#This Row],[R-DEMAND]]/950,0)</f>
        <v>0</v>
      </c>
      <c r="Q656" s="16">
        <f>Table28[[#This Row],[ADD ACC
(475/950)]]*Table28[[#This Row],[Duration
(A359)]]</f>
        <v>0</v>
      </c>
      <c r="R656" s="16">
        <f>IFERROR(VLOOKUP(Table28[[#This Row],[ROUTE]],PRICING!A:B,2,FALSE),0)</f>
        <v>0</v>
      </c>
      <c r="S656" s="16">
        <f>Table28[[#This Row],[C_DEMAND]]-Table28[[#This Row],[R-DEMAND]]</f>
        <v>2850</v>
      </c>
      <c r="T656" s="316">
        <f>Table28[[#This Row],[SEATS SOLD]]*Table28[[#This Row],[ECO SEAT]]</f>
        <v>0</v>
      </c>
      <c r="U656" s="316">
        <f>Table28[[#This Row],[SEATS SOLD]]*(IFERROR(VLOOKUP(Table28[[#This Row],[ROUTE]],PRICING!A:C,3,FALSE),0))</f>
        <v>0</v>
      </c>
      <c r="V656" s="316">
        <f>Table28[[#This Row],[SEAT REV]]-Table28[[#This Row],[SEAT REV
(IF IDEAL $)]]</f>
        <v>0</v>
      </c>
      <c r="AS656" s="16" t="s">
        <v>1654</v>
      </c>
      <c r="AT656" s="16" t="s">
        <v>11886</v>
      </c>
      <c r="AU656" s="16" t="s">
        <v>4814</v>
      </c>
      <c r="AV656" s="16" t="s">
        <v>18892</v>
      </c>
      <c r="AW656" s="16" t="s">
        <v>18885</v>
      </c>
      <c r="AX656" s="16" t="s">
        <v>18927</v>
      </c>
      <c r="AY656" s="385">
        <v>14123</v>
      </c>
    </row>
    <row r="657" spans="1:51" x14ac:dyDescent="0.25">
      <c r="A657" s="16" t="s">
        <v>19348</v>
      </c>
      <c r="B657" s="16" t="s">
        <v>5369</v>
      </c>
      <c r="D657" s="16">
        <v>3</v>
      </c>
      <c r="E657" s="16" t="s">
        <v>1847</v>
      </c>
      <c r="F657" s="16" t="str">
        <f>VLOOKUP(Table28[[#This Row],[Country]],Table10[[COUNTRY NAME]:[CONTINENT CODE]],3,FALSE)</f>
        <v>AS</v>
      </c>
      <c r="G657" s="16" t="s">
        <v>11977</v>
      </c>
      <c r="H657" s="181">
        <v>12038</v>
      </c>
      <c r="I657" s="180">
        <v>28.5</v>
      </c>
      <c r="K657" s="316">
        <f>IFERROR(Table28[[#This Row],[ROUTE COST]]/Table28[[#This Row],[O - DEMAND]],0)</f>
        <v>0</v>
      </c>
      <c r="M657" s="16">
        <f>Table28[[#This Row],[O - DEMAND]]/950</f>
        <v>0</v>
      </c>
      <c r="N657" s="16">
        <f>IFERROR(VLOOKUP(Table28[[#This Row],[ROUTE]],DEMAND!A:F,5,FALSE),0)</f>
        <v>0</v>
      </c>
      <c r="O657" s="16">
        <f>IFERROR(VLOOKUP(Table28[[#This Row],[ROUTE]],DEMAND!A:F,6,FALSE),0)</f>
        <v>0</v>
      </c>
      <c r="P657" s="16">
        <f>ROUNDDOWN(Table28[[#This Row],[R-DEMAND]]/950,0)</f>
        <v>0</v>
      </c>
      <c r="Q657" s="16">
        <f>Table28[[#This Row],[ADD ACC
(475/950)]]*Table28[[#This Row],[Duration
(A359)]]</f>
        <v>0</v>
      </c>
      <c r="R657" s="16">
        <f>IFERROR(VLOOKUP(Table28[[#This Row],[ROUTE]],PRICING!A:B,2,FALSE),0)</f>
        <v>0</v>
      </c>
      <c r="S657" s="16">
        <f>Table28[[#This Row],[C_DEMAND]]-Table28[[#This Row],[R-DEMAND]]</f>
        <v>0</v>
      </c>
      <c r="T657" s="316">
        <f>Table28[[#This Row],[SEATS SOLD]]*Table28[[#This Row],[ECO SEAT]]</f>
        <v>0</v>
      </c>
      <c r="U657" s="316">
        <f>Table28[[#This Row],[SEATS SOLD]]*(IFERROR(VLOOKUP(Table28[[#This Row],[ROUTE]],PRICING!A:C,3,FALSE),0))</f>
        <v>0</v>
      </c>
      <c r="V657" s="316">
        <f>Table28[[#This Row],[SEAT REV]]-Table28[[#This Row],[SEAT REV
(IF IDEAL $)]]</f>
        <v>0</v>
      </c>
      <c r="AS657" s="16" t="s">
        <v>700</v>
      </c>
      <c r="AT657" s="16" t="s">
        <v>11885</v>
      </c>
      <c r="AU657" s="16" t="s">
        <v>4013</v>
      </c>
      <c r="AV657" s="16" t="s">
        <v>18884</v>
      </c>
      <c r="AW657" s="16" t="s">
        <v>18879</v>
      </c>
      <c r="AX657" s="16" t="s">
        <v>18927</v>
      </c>
      <c r="AY657" s="385">
        <v>14126</v>
      </c>
    </row>
    <row r="658" spans="1:51" x14ac:dyDescent="0.25">
      <c r="A658" s="16" t="s">
        <v>19560</v>
      </c>
      <c r="B658" s="16" t="s">
        <v>1612</v>
      </c>
      <c r="D658" s="16">
        <v>1</v>
      </c>
      <c r="E658" s="16" t="s">
        <v>11732</v>
      </c>
      <c r="F658" s="16" t="str">
        <f>VLOOKUP(Table28[[#This Row],[Country]],Table10[[COUNTRY NAME]:[CONTINENT CODE]],3,FALSE)</f>
        <v>NA - US</v>
      </c>
      <c r="G658" s="16" t="s">
        <v>16960</v>
      </c>
      <c r="H658" s="181">
        <v>13451</v>
      </c>
      <c r="I658" s="180">
        <v>31.75</v>
      </c>
      <c r="K658" s="316">
        <f>IFERROR(Table28[[#This Row],[ROUTE COST]]/Table28[[#This Row],[O - DEMAND]],0)</f>
        <v>0</v>
      </c>
      <c r="M658" s="180">
        <f>Table28[[#This Row],[O - DEMAND]]/950</f>
        <v>0</v>
      </c>
      <c r="N658" s="16">
        <f>IFERROR(VLOOKUP(Table28[[#This Row],[ROUTE]],DEMAND!A:F,5,FALSE),0)</f>
        <v>0</v>
      </c>
      <c r="O658" s="16">
        <f>IFERROR(VLOOKUP(Table28[[#This Row],[ROUTE]],DEMAND!A:F,6,FALSE),0)</f>
        <v>0</v>
      </c>
      <c r="P658" s="16">
        <f>ROUNDDOWN(Table28[[#This Row],[R-DEMAND]]/950,0)</f>
        <v>0</v>
      </c>
      <c r="Q658" s="16">
        <f>Table28[[#This Row],[ADD ACC
(475/950)]]*Table28[[#This Row],[Duration
(A359)]]</f>
        <v>0</v>
      </c>
      <c r="R658" s="16">
        <f>IFERROR(VLOOKUP(Table28[[#This Row],[ROUTE]],PRICING!A:B,2,FALSE),0)</f>
        <v>0</v>
      </c>
      <c r="S658" s="16">
        <f>Table28[[#This Row],[C_DEMAND]]-Table28[[#This Row],[R-DEMAND]]</f>
        <v>0</v>
      </c>
      <c r="T658" s="316">
        <f>Table28[[#This Row],[SEATS SOLD]]*Table28[[#This Row],[ECO SEAT]]</f>
        <v>0</v>
      </c>
      <c r="U658" s="316">
        <f>Table28[[#This Row],[SEATS SOLD]]*(IFERROR(VLOOKUP(Table28[[#This Row],[ROUTE]],PRICING!A:C,3,FALSE),0))</f>
        <v>0</v>
      </c>
      <c r="V658" s="316">
        <f>Table28[[#This Row],[SEAT REV]]-Table28[[#This Row],[SEAT REV
(IF IDEAL $)]]</f>
        <v>0</v>
      </c>
      <c r="AS658" s="16" t="s">
        <v>78</v>
      </c>
      <c r="AT658" s="16" t="s">
        <v>11861</v>
      </c>
      <c r="AU658" s="16" t="s">
        <v>3615</v>
      </c>
      <c r="AV658" s="16" t="s">
        <v>18892</v>
      </c>
      <c r="AW658" s="16" t="s">
        <v>18879</v>
      </c>
      <c r="AX658" s="16" t="s">
        <v>18927</v>
      </c>
      <c r="AY658" s="385">
        <v>14127</v>
      </c>
    </row>
    <row r="659" spans="1:51" x14ac:dyDescent="0.25">
      <c r="A659" s="16" t="s">
        <v>19640</v>
      </c>
      <c r="B659" s="16" t="s">
        <v>4041</v>
      </c>
      <c r="E659" s="16" t="s">
        <v>11732</v>
      </c>
      <c r="F659" s="16" t="str">
        <f>VLOOKUP(Table28[[#This Row],[Country]],Table10[[COUNTRY NAME]:[CONTINENT CODE]],3,FALSE)</f>
        <v>NA - US</v>
      </c>
      <c r="G659" s="16" t="s">
        <v>17006</v>
      </c>
      <c r="H659" s="181">
        <v>14074</v>
      </c>
      <c r="I659" s="180">
        <v>33</v>
      </c>
      <c r="K659" s="316">
        <f>IFERROR(Table28[[#This Row],[ROUTE COST]]/Table28[[#This Row],[O - DEMAND]],0)</f>
        <v>0</v>
      </c>
      <c r="M659" s="180">
        <f>Table28[[#This Row],[O - DEMAND]]/950</f>
        <v>0</v>
      </c>
      <c r="N659" s="16">
        <f>IFERROR(VLOOKUP(Table28[[#This Row],[ROUTE]],DEMAND!A:F,5,FALSE),0)</f>
        <v>0</v>
      </c>
      <c r="O659" s="16">
        <f>IFERROR(VLOOKUP(Table28[[#This Row],[ROUTE]],DEMAND!A:F,6,FALSE),0)</f>
        <v>0</v>
      </c>
      <c r="P659" s="16">
        <f>ROUNDDOWN(Table28[[#This Row],[R-DEMAND]]/950,0)</f>
        <v>0</v>
      </c>
      <c r="Q659" s="16">
        <f>Table28[[#This Row],[ADD ACC
(475/950)]]*Table28[[#This Row],[Duration
(A359)]]</f>
        <v>0</v>
      </c>
      <c r="R659" s="16">
        <f>IFERROR(VLOOKUP(Table28[[#This Row],[ROUTE]],PRICING!A:B,2,FALSE),0)</f>
        <v>0</v>
      </c>
      <c r="S659" s="16">
        <f>Table28[[#This Row],[C_DEMAND]]-Table28[[#This Row],[R-DEMAND]]</f>
        <v>0</v>
      </c>
      <c r="T659" s="316">
        <f>Table28[[#This Row],[SEATS SOLD]]*Table28[[#This Row],[ECO SEAT]]</f>
        <v>0</v>
      </c>
      <c r="U659" s="316">
        <f>Table28[[#This Row],[SEATS SOLD]]*(IFERROR(VLOOKUP(Table28[[#This Row],[ROUTE]],PRICING!A:C,3,FALSE),0))</f>
        <v>0</v>
      </c>
      <c r="V659" s="316">
        <f>Table28[[#This Row],[SEAT REV]]-Table28[[#This Row],[SEAT REV
(IF IDEAL $)]]</f>
        <v>0</v>
      </c>
      <c r="AS659" s="16" t="s">
        <v>78</v>
      </c>
      <c r="AT659" s="16" t="s">
        <v>11879</v>
      </c>
      <c r="AU659" s="16" t="s">
        <v>4828</v>
      </c>
      <c r="AV659" s="16" t="s">
        <v>18892</v>
      </c>
      <c r="AW659" s="16" t="s">
        <v>18885</v>
      </c>
      <c r="AX659" s="16" t="s">
        <v>18927</v>
      </c>
      <c r="AY659" s="385">
        <v>14127</v>
      </c>
    </row>
    <row r="660" spans="1:51" x14ac:dyDescent="0.25">
      <c r="A660" s="16" t="s">
        <v>19386</v>
      </c>
      <c r="B660" s="16" t="s">
        <v>2557</v>
      </c>
      <c r="D660" s="16">
        <v>2</v>
      </c>
      <c r="E660" s="16" t="s">
        <v>172</v>
      </c>
      <c r="F660" s="16" t="str">
        <f>VLOOKUP(Table28[[#This Row],[Country]],Table10[[COUNTRY NAME]:[CONTINENT CODE]],3,FALSE)</f>
        <v>AS</v>
      </c>
      <c r="G660" s="16" t="s">
        <v>11955</v>
      </c>
      <c r="H660" s="181">
        <v>12355</v>
      </c>
      <c r="I660" s="180">
        <v>29.25</v>
      </c>
      <c r="K660" s="316">
        <f>IFERROR(Table28[[#This Row],[ROUTE COST]]/Table28[[#This Row],[O - DEMAND]],0)</f>
        <v>0</v>
      </c>
      <c r="M660" s="16">
        <f>Table28[[#This Row],[O - DEMAND]]/950</f>
        <v>0</v>
      </c>
      <c r="N660" s="16">
        <f>IFERROR(VLOOKUP(Table28[[#This Row],[ROUTE]],DEMAND!A:F,5,FALSE),0)</f>
        <v>0</v>
      </c>
      <c r="O660" s="16">
        <f>IFERROR(VLOOKUP(Table28[[#This Row],[ROUTE]],DEMAND!A:F,6,FALSE),0)</f>
        <v>0</v>
      </c>
      <c r="P660" s="16">
        <f>ROUNDDOWN(Table28[[#This Row],[R-DEMAND]]/950,0)</f>
        <v>0</v>
      </c>
      <c r="Q660" s="16">
        <f>Table28[[#This Row],[ADD ACC
(475/950)]]*Table28[[#This Row],[Duration
(A359)]]</f>
        <v>0</v>
      </c>
      <c r="R660" s="16">
        <f>IFERROR(VLOOKUP(Table28[[#This Row],[ROUTE]],PRICING!A:B,2,FALSE),0)</f>
        <v>0</v>
      </c>
      <c r="S660" s="16">
        <f>Table28[[#This Row],[C_DEMAND]]-Table28[[#This Row],[R-DEMAND]]</f>
        <v>0</v>
      </c>
      <c r="T660" s="316">
        <f>Table28[[#This Row],[SEATS SOLD]]*Table28[[#This Row],[ECO SEAT]]</f>
        <v>0</v>
      </c>
      <c r="U660" s="316">
        <f>Table28[[#This Row],[SEATS SOLD]]*(IFERROR(VLOOKUP(Table28[[#This Row],[ROUTE]],PRICING!A:C,3,FALSE),0))</f>
        <v>0</v>
      </c>
      <c r="V660" s="316">
        <f>Table28[[#This Row],[SEAT REV]]-Table28[[#This Row],[SEAT REV
(IF IDEAL $)]]</f>
        <v>0</v>
      </c>
      <c r="AS660" s="16" t="s">
        <v>700</v>
      </c>
      <c r="AT660" s="16" t="s">
        <v>11884</v>
      </c>
      <c r="AU660" s="16" t="s">
        <v>4447</v>
      </c>
      <c r="AV660" s="16" t="s">
        <v>18892</v>
      </c>
      <c r="AW660" s="16" t="s">
        <v>18879</v>
      </c>
      <c r="AX660" s="16" t="s">
        <v>18927</v>
      </c>
      <c r="AY660" s="385">
        <v>14128</v>
      </c>
    </row>
    <row r="661" spans="1:51" x14ac:dyDescent="0.25">
      <c r="A661" s="16" t="s">
        <v>19046</v>
      </c>
      <c r="B661" s="16" t="s">
        <v>93</v>
      </c>
      <c r="D661" s="16">
        <v>5</v>
      </c>
      <c r="E661" s="16" t="s">
        <v>92</v>
      </c>
      <c r="F661" s="16" t="str">
        <f>VLOOKUP(Table28[[#This Row],[Country]],Table10[[COUNTRY NAME]:[CONTINENT CODE]],3,FALSE)</f>
        <v>AS</v>
      </c>
      <c r="G661" s="16" t="s">
        <v>91</v>
      </c>
      <c r="H661" s="181">
        <v>6296</v>
      </c>
      <c r="I661" s="180">
        <v>16</v>
      </c>
      <c r="K661" s="316">
        <f>IFERROR(Table28[[#This Row],[ROUTE COST]]/Table28[[#This Row],[O - DEMAND]],0)</f>
        <v>0</v>
      </c>
      <c r="M661" s="16">
        <f>Table28[[#This Row],[O - DEMAND]]/950</f>
        <v>0</v>
      </c>
      <c r="N661" s="16">
        <f>IFERROR(VLOOKUP(Table28[[#This Row],[ROUTE]],DEMAND!A:F,5,FALSE),0)</f>
        <v>0</v>
      </c>
      <c r="O661" s="16">
        <f>IFERROR(VLOOKUP(Table28[[#This Row],[ROUTE]],DEMAND!A:F,6,FALSE),0)</f>
        <v>0</v>
      </c>
      <c r="P661" s="16">
        <f>ROUNDDOWN(Table28[[#This Row],[R-DEMAND]]/950,0)</f>
        <v>0</v>
      </c>
      <c r="Q661" s="16">
        <f>Table28[[#This Row],[ADD ACC
(475/950)]]*Table28[[#This Row],[Duration
(A359)]]</f>
        <v>0</v>
      </c>
      <c r="R661" s="16">
        <f>IFERROR(VLOOKUP(Table28[[#This Row],[ROUTE]],PRICING!A:B,2,FALSE),0)</f>
        <v>0</v>
      </c>
      <c r="S661" s="16">
        <f>Table28[[#This Row],[C_DEMAND]]-Table28[[#This Row],[R-DEMAND]]</f>
        <v>0</v>
      </c>
      <c r="T661" s="316">
        <f>Table28[[#This Row],[SEATS SOLD]]*Table28[[#This Row],[ECO SEAT]]</f>
        <v>0</v>
      </c>
      <c r="U661" s="316">
        <f>Table28[[#This Row],[SEATS SOLD]]*(IFERROR(VLOOKUP(Table28[[#This Row],[ROUTE]],PRICING!A:C,3,FALSE),0))</f>
        <v>0</v>
      </c>
      <c r="V661" s="316">
        <f>Table28[[#This Row],[SEAT REV]]-Table28[[#This Row],[SEAT REV
(IF IDEAL $)]]</f>
        <v>0</v>
      </c>
      <c r="AS661" s="16" t="s">
        <v>2738</v>
      </c>
      <c r="AT661" s="16" t="s">
        <v>16874</v>
      </c>
      <c r="AU661" s="16" t="s">
        <v>2740</v>
      </c>
      <c r="AV661" s="16" t="s">
        <v>18878</v>
      </c>
      <c r="AW661" s="16" t="s">
        <v>18879</v>
      </c>
      <c r="AX661" s="16" t="s">
        <v>18927</v>
      </c>
      <c r="AY661" s="385">
        <v>14137</v>
      </c>
    </row>
    <row r="662" spans="1:51" x14ac:dyDescent="0.25">
      <c r="A662" s="16" t="s">
        <v>19715</v>
      </c>
      <c r="B662" s="16" t="s">
        <v>4477</v>
      </c>
      <c r="D662" s="16">
        <v>2</v>
      </c>
      <c r="E662" s="16" t="s">
        <v>722</v>
      </c>
      <c r="F662" s="16" t="str">
        <f>VLOOKUP(Table28[[#This Row],[Country]],Table10[[COUNTRY NAME]:[CONTINENT CODE]],3,FALSE)</f>
        <v>EU</v>
      </c>
      <c r="G662" s="16" t="s">
        <v>11856</v>
      </c>
      <c r="H662" s="181">
        <v>14630</v>
      </c>
      <c r="I662" s="180">
        <v>34.25</v>
      </c>
      <c r="K662" s="316">
        <f>IFERROR(Table28[[#This Row],[ROUTE COST]]/Table28[[#This Row],[O - DEMAND]],0)</f>
        <v>0</v>
      </c>
      <c r="M662" s="16">
        <f>Table28[[#This Row],[O - DEMAND]]/950</f>
        <v>0</v>
      </c>
      <c r="N662" s="16">
        <f>IFERROR(VLOOKUP(Table28[[#This Row],[ROUTE]],DEMAND!A:F,5,FALSE),0)</f>
        <v>0</v>
      </c>
      <c r="O662" s="16">
        <f>IFERROR(VLOOKUP(Table28[[#This Row],[ROUTE]],DEMAND!A:F,6,FALSE),0)</f>
        <v>0</v>
      </c>
      <c r="P662" s="16">
        <f>ROUNDDOWN(Table28[[#This Row],[R-DEMAND]]/950,0)</f>
        <v>0</v>
      </c>
      <c r="Q662" s="16">
        <f>Table28[[#This Row],[ADD ACC
(475/950)]]*Table28[[#This Row],[Duration
(A359)]]</f>
        <v>0</v>
      </c>
      <c r="R662" s="16">
        <f>IFERROR(VLOOKUP(Table28[[#This Row],[ROUTE]],PRICING!A:B,2,FALSE),0)</f>
        <v>0</v>
      </c>
      <c r="S662" s="16">
        <f>Table28[[#This Row],[C_DEMAND]]-Table28[[#This Row],[R-DEMAND]]</f>
        <v>0</v>
      </c>
      <c r="T662" s="316">
        <f>Table28[[#This Row],[SEATS SOLD]]*Table28[[#This Row],[ECO SEAT]]</f>
        <v>0</v>
      </c>
      <c r="U662" s="316">
        <f>Table28[[#This Row],[SEATS SOLD]]*(IFERROR(VLOOKUP(Table28[[#This Row],[ROUTE]],PRICING!A:C,3,FALSE),0))</f>
        <v>0</v>
      </c>
      <c r="V662" s="316">
        <f>Table28[[#This Row],[SEAT REV]]-Table28[[#This Row],[SEAT REV
(IF IDEAL $)]]</f>
        <v>0</v>
      </c>
      <c r="AS662" s="16" t="s">
        <v>881</v>
      </c>
      <c r="AT662" s="16" t="s">
        <v>9934</v>
      </c>
      <c r="AU662" s="16" t="s">
        <v>2394</v>
      </c>
      <c r="AV662" s="16" t="s">
        <v>18892</v>
      </c>
      <c r="AW662" s="16" t="s">
        <v>18890</v>
      </c>
      <c r="AX662" s="16" t="s">
        <v>18927</v>
      </c>
      <c r="AY662" s="385">
        <v>14140</v>
      </c>
    </row>
    <row r="663" spans="1:51" x14ac:dyDescent="0.25">
      <c r="A663" s="16" t="s">
        <v>19343</v>
      </c>
      <c r="B663" s="16" t="s">
        <v>5534</v>
      </c>
      <c r="D663" s="16">
        <v>4</v>
      </c>
      <c r="E663" s="16" t="s">
        <v>11732</v>
      </c>
      <c r="F663" s="16" t="str">
        <f>VLOOKUP(Table28[[#This Row],[Country]],Table10[[COUNTRY NAME]:[CONTINENT CODE]],3,FALSE)</f>
        <v>NA - US</v>
      </c>
      <c r="G663" s="16" t="s">
        <v>13260</v>
      </c>
      <c r="H663" s="181">
        <v>11973</v>
      </c>
      <c r="I663" s="180">
        <v>28.5</v>
      </c>
      <c r="K663" s="316">
        <f>IFERROR(Table28[[#This Row],[ROUTE COST]]/Table28[[#This Row],[O - DEMAND]],0)</f>
        <v>0</v>
      </c>
      <c r="M663" s="180">
        <f>Table28[[#This Row],[O - DEMAND]]/950</f>
        <v>0</v>
      </c>
      <c r="N663" s="16">
        <f>IFERROR(VLOOKUP(Table28[[#This Row],[ROUTE]],DEMAND!A:F,5,FALSE),0)</f>
        <v>0</v>
      </c>
      <c r="O663" s="16">
        <f>IFERROR(VLOOKUP(Table28[[#This Row],[ROUTE]],DEMAND!A:F,6,FALSE),0)</f>
        <v>0</v>
      </c>
      <c r="P663" s="16">
        <f>ROUNDDOWN(Table28[[#This Row],[R-DEMAND]]/950,0)</f>
        <v>0</v>
      </c>
      <c r="Q663" s="16">
        <f>Table28[[#This Row],[ADD ACC
(475/950)]]*Table28[[#This Row],[Duration
(A359)]]</f>
        <v>0</v>
      </c>
      <c r="R663" s="16">
        <f>IFERROR(VLOOKUP(Table28[[#This Row],[ROUTE]],PRICING!A:B,2,FALSE),0)</f>
        <v>0</v>
      </c>
      <c r="S663" s="16">
        <f>Table28[[#This Row],[C_DEMAND]]-Table28[[#This Row],[R-DEMAND]]</f>
        <v>0</v>
      </c>
      <c r="T663" s="316">
        <f>Table28[[#This Row],[SEATS SOLD]]*Table28[[#This Row],[ECO SEAT]]</f>
        <v>0</v>
      </c>
      <c r="U663" s="316">
        <f>Table28[[#This Row],[SEATS SOLD]]*(IFERROR(VLOOKUP(Table28[[#This Row],[ROUTE]],PRICING!A:C,3,FALSE),0))</f>
        <v>0</v>
      </c>
      <c r="V663" s="316">
        <f>Table28[[#This Row],[SEAT REV]]-Table28[[#This Row],[SEAT REV
(IF IDEAL $)]]</f>
        <v>0</v>
      </c>
      <c r="AS663" s="16" t="s">
        <v>11732</v>
      </c>
      <c r="AT663" s="16" t="s">
        <v>13337</v>
      </c>
      <c r="AU663" s="16" t="s">
        <v>3721</v>
      </c>
      <c r="AV663" s="16" t="s">
        <v>18892</v>
      </c>
      <c r="AW663" s="16" t="s">
        <v>18879</v>
      </c>
      <c r="AX663" s="16" t="s">
        <v>18927</v>
      </c>
      <c r="AY663" s="385">
        <v>14143</v>
      </c>
    </row>
    <row r="664" spans="1:51" x14ac:dyDescent="0.25">
      <c r="A664" s="16" t="s">
        <v>19373</v>
      </c>
      <c r="B664" s="16" t="s">
        <v>5114</v>
      </c>
      <c r="D664" s="16">
        <v>3</v>
      </c>
      <c r="E664" s="16" t="s">
        <v>1749</v>
      </c>
      <c r="F664" s="16" t="str">
        <f>VLOOKUP(Table28[[#This Row],[Country]],Table10[[COUNTRY NAME]:[CONTINENT CODE]],3,FALSE)</f>
        <v>NA</v>
      </c>
      <c r="G664" s="16" t="s">
        <v>13214</v>
      </c>
      <c r="H664" s="181">
        <v>12222</v>
      </c>
      <c r="I664" s="180">
        <v>29</v>
      </c>
      <c r="K664" s="316">
        <f>IFERROR(Table28[[#This Row],[ROUTE COST]]/Table28[[#This Row],[O - DEMAND]],0)</f>
        <v>0</v>
      </c>
      <c r="M664" s="16">
        <f>Table28[[#This Row],[O - DEMAND]]/950</f>
        <v>0</v>
      </c>
      <c r="N664" s="16">
        <f>IFERROR(VLOOKUP(Table28[[#This Row],[ROUTE]],DEMAND!A:F,5,FALSE),0)</f>
        <v>0</v>
      </c>
      <c r="O664" s="16">
        <f>IFERROR(VLOOKUP(Table28[[#This Row],[ROUTE]],DEMAND!A:F,6,FALSE),0)</f>
        <v>0</v>
      </c>
      <c r="P664" s="16">
        <f>ROUNDDOWN(Table28[[#This Row],[R-DEMAND]]/950,0)</f>
        <v>0</v>
      </c>
      <c r="Q664" s="16">
        <f>Table28[[#This Row],[ADD ACC
(475/950)]]*Table28[[#This Row],[Duration
(A359)]]</f>
        <v>0</v>
      </c>
      <c r="R664" s="16">
        <f>IFERROR(VLOOKUP(Table28[[#This Row],[ROUTE]],PRICING!A:B,2,FALSE),0)</f>
        <v>0</v>
      </c>
      <c r="S664" s="16">
        <f>Table28[[#This Row],[C_DEMAND]]-Table28[[#This Row],[R-DEMAND]]</f>
        <v>0</v>
      </c>
      <c r="T664" s="316">
        <f>Table28[[#This Row],[SEATS SOLD]]*Table28[[#This Row],[ECO SEAT]]</f>
        <v>0</v>
      </c>
      <c r="U664" s="316">
        <f>Table28[[#This Row],[SEATS SOLD]]*(IFERROR(VLOOKUP(Table28[[#This Row],[ROUTE]],PRICING!A:C,3,FALSE),0))</f>
        <v>0</v>
      </c>
      <c r="V664" s="316">
        <f>Table28[[#This Row],[SEAT REV]]-Table28[[#This Row],[SEAT REV
(IF IDEAL $)]]</f>
        <v>0</v>
      </c>
      <c r="AS664" s="16" t="s">
        <v>1749</v>
      </c>
      <c r="AT664" s="16" t="s">
        <v>17023</v>
      </c>
      <c r="AU664" s="16" t="s">
        <v>3970</v>
      </c>
      <c r="AV664" s="16" t="s">
        <v>18878</v>
      </c>
      <c r="AW664" s="16" t="s">
        <v>18879</v>
      </c>
      <c r="AX664" s="16" t="s">
        <v>18927</v>
      </c>
      <c r="AY664" s="385">
        <v>14161</v>
      </c>
    </row>
    <row r="665" spans="1:51" x14ac:dyDescent="0.25">
      <c r="A665" s="16" t="s">
        <v>19552</v>
      </c>
      <c r="B665" s="16" t="s">
        <v>2597</v>
      </c>
      <c r="D665" s="16">
        <v>2</v>
      </c>
      <c r="E665" s="16" t="s">
        <v>517</v>
      </c>
      <c r="F665" s="16" t="str">
        <f>VLOOKUP(Table28[[#This Row],[Country]],Table10[[COUNTRY NAME]:[CONTINENT CODE]],3,FALSE)</f>
        <v>SA</v>
      </c>
      <c r="G665" s="16" t="s">
        <v>16937</v>
      </c>
      <c r="H665" s="181">
        <v>13410</v>
      </c>
      <c r="I665" s="180">
        <v>31.5</v>
      </c>
      <c r="K665" s="316">
        <f>IFERROR(Table28[[#This Row],[ROUTE COST]]/Table28[[#This Row],[O - DEMAND]],0)</f>
        <v>0</v>
      </c>
      <c r="M665" s="16">
        <f>Table28[[#This Row],[O - DEMAND]]/950</f>
        <v>0</v>
      </c>
      <c r="N665" s="16">
        <f>IFERROR(VLOOKUP(Table28[[#This Row],[ROUTE]],DEMAND!A:F,5,FALSE),0)</f>
        <v>0</v>
      </c>
      <c r="O665" s="16">
        <f>IFERROR(VLOOKUP(Table28[[#This Row],[ROUTE]],DEMAND!A:F,6,FALSE),0)</f>
        <v>0</v>
      </c>
      <c r="P665" s="16">
        <f>ROUNDDOWN(Table28[[#This Row],[R-DEMAND]]/950,0)</f>
        <v>0</v>
      </c>
      <c r="Q665" s="16">
        <f>Table28[[#This Row],[ADD ACC
(475/950)]]*Table28[[#This Row],[Duration
(A359)]]</f>
        <v>0</v>
      </c>
      <c r="R665" s="16">
        <f>IFERROR(VLOOKUP(Table28[[#This Row],[ROUTE]],PRICING!A:B,2,FALSE),0)</f>
        <v>0</v>
      </c>
      <c r="S665" s="16">
        <f>Table28[[#This Row],[C_DEMAND]]-Table28[[#This Row],[R-DEMAND]]</f>
        <v>0</v>
      </c>
      <c r="T665" s="316">
        <f>Table28[[#This Row],[SEATS SOLD]]*Table28[[#This Row],[ECO SEAT]]</f>
        <v>0</v>
      </c>
      <c r="U665" s="316">
        <f>Table28[[#This Row],[SEATS SOLD]]*(IFERROR(VLOOKUP(Table28[[#This Row],[ROUTE]],PRICING!A:C,3,FALSE),0))</f>
        <v>0</v>
      </c>
      <c r="V665" s="316">
        <f>Table28[[#This Row],[SEAT REV]]-Table28[[#This Row],[SEAT REV
(IF IDEAL $)]]</f>
        <v>0</v>
      </c>
      <c r="AS665" s="16" t="s">
        <v>1216</v>
      </c>
      <c r="AT665" s="16" t="s">
        <v>11036</v>
      </c>
      <c r="AU665" s="16" t="s">
        <v>55</v>
      </c>
      <c r="AV665" s="16" t="s">
        <v>18884</v>
      </c>
      <c r="AW665" s="16" t="s">
        <v>18899</v>
      </c>
      <c r="AX665" s="16" t="s">
        <v>18927</v>
      </c>
      <c r="AY665" s="385">
        <v>14171</v>
      </c>
    </row>
    <row r="666" spans="1:51" x14ac:dyDescent="0.25">
      <c r="A666" s="16" t="s">
        <v>19603</v>
      </c>
      <c r="B666" s="16" t="s">
        <v>5298</v>
      </c>
      <c r="C666" s="16" t="s">
        <v>467</v>
      </c>
      <c r="D666" s="16">
        <v>3</v>
      </c>
      <c r="E666" s="16" t="s">
        <v>812</v>
      </c>
      <c r="F666" s="16" t="str">
        <f>VLOOKUP(Table28[[#This Row],[Country]],Table10[[COUNTRY NAME]:[CONTINENT CODE]],3,FALSE)</f>
        <v>NA</v>
      </c>
      <c r="G666" s="16" t="s">
        <v>13185</v>
      </c>
      <c r="H666" s="181">
        <v>13805</v>
      </c>
      <c r="I666" s="180">
        <v>32.5</v>
      </c>
      <c r="K666" s="316">
        <f>IFERROR(Table28[[#This Row],[ROUTE COST]]/Table28[[#This Row],[O - DEMAND]],0)</f>
        <v>0</v>
      </c>
      <c r="M666" s="16">
        <f>Table28[[#This Row],[O - DEMAND]]/950</f>
        <v>0</v>
      </c>
      <c r="N666" s="16">
        <f>IFERROR(VLOOKUP(Table28[[#This Row],[ROUTE]],DEMAND!A:F,5,FALSE),0)</f>
        <v>2807</v>
      </c>
      <c r="O666" s="16">
        <f>IFERROR(VLOOKUP(Table28[[#This Row],[ROUTE]],DEMAND!A:F,6,FALSE),0)</f>
        <v>907</v>
      </c>
      <c r="P666" s="16">
        <f>ROUNDDOWN(Table28[[#This Row],[R-DEMAND]]/950,0)</f>
        <v>0</v>
      </c>
      <c r="Q666" s="16">
        <f>Table28[[#This Row],[ADD ACC
(475/950)]]*Table28[[#This Row],[Duration
(A359)]]</f>
        <v>0</v>
      </c>
      <c r="R666" s="16">
        <f>IFERROR(VLOOKUP(Table28[[#This Row],[ROUTE]],PRICING!A:B,2,FALSE),0)</f>
        <v>0</v>
      </c>
      <c r="S666" s="16">
        <f>Table28[[#This Row],[C_DEMAND]]-Table28[[#This Row],[R-DEMAND]]</f>
        <v>1900</v>
      </c>
      <c r="T666" s="316">
        <f>Table28[[#This Row],[SEATS SOLD]]*Table28[[#This Row],[ECO SEAT]]</f>
        <v>0</v>
      </c>
      <c r="U666" s="316">
        <f>Table28[[#This Row],[SEATS SOLD]]*(IFERROR(VLOOKUP(Table28[[#This Row],[ROUTE]],PRICING!A:C,3,FALSE),0))</f>
        <v>0</v>
      </c>
      <c r="V666" s="316">
        <f>Table28[[#This Row],[SEAT REV]]-Table28[[#This Row],[SEAT REV
(IF IDEAL $)]]</f>
        <v>0</v>
      </c>
      <c r="AS666" s="16" t="s">
        <v>11732</v>
      </c>
      <c r="AT666" s="16" t="s">
        <v>16990</v>
      </c>
      <c r="AU666" s="16" t="s">
        <v>4607</v>
      </c>
      <c r="AV666" s="16" t="s">
        <v>18878</v>
      </c>
      <c r="AX666" s="16" t="s">
        <v>18927</v>
      </c>
      <c r="AY666" s="385">
        <v>14174</v>
      </c>
    </row>
    <row r="667" spans="1:51" x14ac:dyDescent="0.25">
      <c r="A667" s="16" t="s">
        <v>19177</v>
      </c>
      <c r="B667" s="16" t="s">
        <v>4750</v>
      </c>
      <c r="D667" s="16">
        <v>3</v>
      </c>
      <c r="E667" s="16" t="s">
        <v>14</v>
      </c>
      <c r="F667" s="16" t="str">
        <f>VLOOKUP(Table28[[#This Row],[Country]],Table10[[COUNTRY NAME]:[CONTINENT CODE]],3,FALSE)</f>
        <v>AS</v>
      </c>
      <c r="G667" s="16" t="s">
        <v>12026</v>
      </c>
      <c r="H667" s="181">
        <v>8872</v>
      </c>
      <c r="I667" s="180">
        <v>21.5</v>
      </c>
      <c r="K667" s="316">
        <f>IFERROR(Table28[[#This Row],[ROUTE COST]]/Table28[[#This Row],[O - DEMAND]],0)</f>
        <v>0</v>
      </c>
      <c r="M667" s="16">
        <f>Table28[[#This Row],[O - DEMAND]]/950</f>
        <v>0</v>
      </c>
      <c r="N667" s="16">
        <f>IFERROR(VLOOKUP(Table28[[#This Row],[ROUTE]],DEMAND!A:F,5,FALSE),0)</f>
        <v>0</v>
      </c>
      <c r="O667" s="16">
        <f>IFERROR(VLOOKUP(Table28[[#This Row],[ROUTE]],DEMAND!A:F,6,FALSE),0)</f>
        <v>0</v>
      </c>
      <c r="P667" s="16">
        <f>ROUNDDOWN(Table28[[#This Row],[R-DEMAND]]/950,0)</f>
        <v>0</v>
      </c>
      <c r="Q667" s="16">
        <f>Table28[[#This Row],[ADD ACC
(475/950)]]*Table28[[#This Row],[Duration
(A359)]]</f>
        <v>0</v>
      </c>
      <c r="R667" s="16">
        <f>IFERROR(VLOOKUP(Table28[[#This Row],[ROUTE]],PRICING!A:B,2,FALSE),0)</f>
        <v>0</v>
      </c>
      <c r="S667" s="16">
        <f>Table28[[#This Row],[C_DEMAND]]-Table28[[#This Row],[R-DEMAND]]</f>
        <v>0</v>
      </c>
      <c r="T667" s="316">
        <f>Table28[[#This Row],[SEATS SOLD]]*Table28[[#This Row],[ECO SEAT]]</f>
        <v>0</v>
      </c>
      <c r="U667" s="316">
        <f>Table28[[#This Row],[SEATS SOLD]]*(IFERROR(VLOOKUP(Table28[[#This Row],[ROUTE]],PRICING!A:C,3,FALSE),0))</f>
        <v>0</v>
      </c>
      <c r="V667" s="316">
        <f>Table28[[#This Row],[SEAT REV]]-Table28[[#This Row],[SEAT REV
(IF IDEAL $)]]</f>
        <v>0</v>
      </c>
      <c r="AS667" s="16" t="s">
        <v>2329</v>
      </c>
      <c r="AT667" s="16" t="s">
        <v>13232</v>
      </c>
      <c r="AU667" s="16" t="s">
        <v>5323</v>
      </c>
      <c r="AV667" s="16" t="s">
        <v>18881</v>
      </c>
      <c r="AW667" s="16" t="s">
        <v>18885</v>
      </c>
      <c r="AX667" s="16" t="s">
        <v>18927</v>
      </c>
      <c r="AY667" s="385">
        <v>14178</v>
      </c>
    </row>
    <row r="668" spans="1:51" x14ac:dyDescent="0.25">
      <c r="A668" s="16" t="s">
        <v>19336</v>
      </c>
      <c r="B668" s="16" t="s">
        <v>2766</v>
      </c>
      <c r="D668" s="16">
        <v>2</v>
      </c>
      <c r="E668" s="16" t="s">
        <v>2764</v>
      </c>
      <c r="F668" s="16" t="str">
        <f>VLOOKUP(Table28[[#This Row],[Country]],Table10[[COUNTRY NAME]:[CONTINENT CODE]],3,FALSE)</f>
        <v>AS</v>
      </c>
      <c r="G668" s="16" t="s">
        <v>11978</v>
      </c>
      <c r="H668" s="181">
        <v>11899</v>
      </c>
      <c r="I668" s="180">
        <v>28.25</v>
      </c>
      <c r="K668" s="316">
        <f>IFERROR(Table28[[#This Row],[ROUTE COST]]/Table28[[#This Row],[O - DEMAND]],0)</f>
        <v>0</v>
      </c>
      <c r="M668" s="16">
        <f>Table28[[#This Row],[O - DEMAND]]/950</f>
        <v>0</v>
      </c>
      <c r="N668" s="16">
        <f>IFERROR(VLOOKUP(Table28[[#This Row],[ROUTE]],DEMAND!A:F,5,FALSE),0)</f>
        <v>0</v>
      </c>
      <c r="O668" s="16">
        <f>IFERROR(VLOOKUP(Table28[[#This Row],[ROUTE]],DEMAND!A:F,6,FALSE),0)</f>
        <v>0</v>
      </c>
      <c r="P668" s="16">
        <f>ROUNDDOWN(Table28[[#This Row],[R-DEMAND]]/950,0)</f>
        <v>0</v>
      </c>
      <c r="Q668" s="16">
        <f>Table28[[#This Row],[ADD ACC
(475/950)]]*Table28[[#This Row],[Duration
(A359)]]</f>
        <v>0</v>
      </c>
      <c r="R668" s="16">
        <f>IFERROR(VLOOKUP(Table28[[#This Row],[ROUTE]],PRICING!A:B,2,FALSE),0)</f>
        <v>0</v>
      </c>
      <c r="S668" s="16">
        <f>Table28[[#This Row],[C_DEMAND]]-Table28[[#This Row],[R-DEMAND]]</f>
        <v>0</v>
      </c>
      <c r="T668" s="316">
        <f>Table28[[#This Row],[SEATS SOLD]]*Table28[[#This Row],[ECO SEAT]]</f>
        <v>0</v>
      </c>
      <c r="U668" s="316">
        <f>Table28[[#This Row],[SEATS SOLD]]*(IFERROR(VLOOKUP(Table28[[#This Row],[ROUTE]],PRICING!A:C,3,FALSE),0))</f>
        <v>0</v>
      </c>
      <c r="V668" s="316">
        <f>Table28[[#This Row],[SEAT REV]]-Table28[[#This Row],[SEAT REV
(IF IDEAL $)]]</f>
        <v>0</v>
      </c>
      <c r="AS668" s="16" t="s">
        <v>5393</v>
      </c>
      <c r="AT668" s="16" t="s">
        <v>11877</v>
      </c>
      <c r="AU668" s="16" t="s">
        <v>5395</v>
      </c>
      <c r="AV668" s="16" t="s">
        <v>18884</v>
      </c>
      <c r="AW668" s="16" t="s">
        <v>18885</v>
      </c>
      <c r="AX668" s="16" t="s">
        <v>18927</v>
      </c>
      <c r="AY668" s="385">
        <v>14187</v>
      </c>
    </row>
    <row r="669" spans="1:51" x14ac:dyDescent="0.25">
      <c r="A669" s="16" t="s">
        <v>19283</v>
      </c>
      <c r="B669" s="16" t="s">
        <v>2567</v>
      </c>
      <c r="D669" s="16">
        <v>2</v>
      </c>
      <c r="E669" s="16" t="s">
        <v>197</v>
      </c>
      <c r="F669" s="16" t="str">
        <f>VLOOKUP(Table28[[#This Row],[Country]],Table10[[COUNTRY NAME]:[CONTINENT CODE]],3,FALSE)</f>
        <v>AS</v>
      </c>
      <c r="G669" s="16" t="s">
        <v>16835</v>
      </c>
      <c r="H669" s="181">
        <v>11050</v>
      </c>
      <c r="I669" s="180">
        <v>26.5</v>
      </c>
      <c r="K669" s="316">
        <f>IFERROR(Table28[[#This Row],[ROUTE COST]]/Table28[[#This Row],[O - DEMAND]],0)</f>
        <v>0</v>
      </c>
      <c r="M669" s="16">
        <f>Table28[[#This Row],[O - DEMAND]]/950</f>
        <v>0</v>
      </c>
      <c r="N669" s="16">
        <f>IFERROR(VLOOKUP(Table28[[#This Row],[ROUTE]],DEMAND!A:F,5,FALSE),0)</f>
        <v>0</v>
      </c>
      <c r="O669" s="16">
        <f>IFERROR(VLOOKUP(Table28[[#This Row],[ROUTE]],DEMAND!A:F,6,FALSE),0)</f>
        <v>0</v>
      </c>
      <c r="P669" s="16">
        <f>ROUNDDOWN(Table28[[#This Row],[R-DEMAND]]/950,0)</f>
        <v>0</v>
      </c>
      <c r="Q669" s="16">
        <f>Table28[[#This Row],[ADD ACC
(475/950)]]*Table28[[#This Row],[Duration
(A359)]]</f>
        <v>0</v>
      </c>
      <c r="R669" s="16">
        <f>IFERROR(VLOOKUP(Table28[[#This Row],[ROUTE]],PRICING!A:B,2,FALSE),0)</f>
        <v>0</v>
      </c>
      <c r="S669" s="16">
        <f>Table28[[#This Row],[C_DEMAND]]-Table28[[#This Row],[R-DEMAND]]</f>
        <v>0</v>
      </c>
      <c r="T669" s="316">
        <f>Table28[[#This Row],[SEATS SOLD]]*Table28[[#This Row],[ECO SEAT]]</f>
        <v>0</v>
      </c>
      <c r="U669" s="316">
        <f>Table28[[#This Row],[SEATS SOLD]]*(IFERROR(VLOOKUP(Table28[[#This Row],[ROUTE]],PRICING!A:C,3,FALSE),0))</f>
        <v>0</v>
      </c>
      <c r="V669" s="316">
        <f>Table28[[#This Row],[SEAT REV]]-Table28[[#This Row],[SEAT REV
(IF IDEAL $)]]</f>
        <v>0</v>
      </c>
      <c r="AS669" s="16" t="s">
        <v>1749</v>
      </c>
      <c r="AT669" s="16" t="s">
        <v>13229</v>
      </c>
      <c r="AU669" s="16" t="s">
        <v>5616</v>
      </c>
      <c r="AV669" s="16" t="s">
        <v>18884</v>
      </c>
      <c r="AW669" s="16" t="s">
        <v>18899</v>
      </c>
      <c r="AX669" s="16" t="s">
        <v>18927</v>
      </c>
      <c r="AY669" s="385">
        <v>14192</v>
      </c>
    </row>
    <row r="670" spans="1:51" x14ac:dyDescent="0.25">
      <c r="A670" s="16" t="s">
        <v>19395</v>
      </c>
      <c r="B670" s="16" t="s">
        <v>4017</v>
      </c>
      <c r="D670" s="16">
        <v>2</v>
      </c>
      <c r="E670" s="16" t="s">
        <v>11669</v>
      </c>
      <c r="F670" s="16" t="str">
        <f>VLOOKUP(Table28[[#This Row],[Country]],Table10[[COUNTRY NAME]:[CONTINENT CODE]],3,FALSE)</f>
        <v>SA</v>
      </c>
      <c r="G670" s="16" t="s">
        <v>13138</v>
      </c>
      <c r="H670" s="181">
        <v>12420</v>
      </c>
      <c r="I670" s="180">
        <v>29.5</v>
      </c>
      <c r="K670" s="316">
        <f>IFERROR(Table28[[#This Row],[ROUTE COST]]/Table28[[#This Row],[O - DEMAND]],0)</f>
        <v>0</v>
      </c>
      <c r="M670" s="16">
        <f>Table28[[#This Row],[O - DEMAND]]/950</f>
        <v>0</v>
      </c>
      <c r="N670" s="16">
        <f>IFERROR(VLOOKUP(Table28[[#This Row],[ROUTE]],DEMAND!A:F,5,FALSE),0)</f>
        <v>0</v>
      </c>
      <c r="O670" s="16">
        <f>IFERROR(VLOOKUP(Table28[[#This Row],[ROUTE]],DEMAND!A:F,6,FALSE),0)</f>
        <v>0</v>
      </c>
      <c r="P670" s="16">
        <f>ROUNDDOWN(Table28[[#This Row],[R-DEMAND]]/950,0)</f>
        <v>0</v>
      </c>
      <c r="Q670" s="16">
        <f>Table28[[#This Row],[ADD ACC
(475/950)]]*Table28[[#This Row],[Duration
(A359)]]</f>
        <v>0</v>
      </c>
      <c r="R670" s="16">
        <f>IFERROR(VLOOKUP(Table28[[#This Row],[ROUTE]],PRICING!A:B,2,FALSE),0)</f>
        <v>0</v>
      </c>
      <c r="S670" s="16">
        <f>Table28[[#This Row],[C_DEMAND]]-Table28[[#This Row],[R-DEMAND]]</f>
        <v>0</v>
      </c>
      <c r="T670" s="316">
        <f>Table28[[#This Row],[SEATS SOLD]]*Table28[[#This Row],[ECO SEAT]]</f>
        <v>0</v>
      </c>
      <c r="U670" s="316">
        <f>Table28[[#This Row],[SEATS SOLD]]*(IFERROR(VLOOKUP(Table28[[#This Row],[ROUTE]],PRICING!A:C,3,FALSE),0))</f>
        <v>0</v>
      </c>
      <c r="V670" s="316">
        <f>Table28[[#This Row],[SEAT REV]]-Table28[[#This Row],[SEAT REV
(IF IDEAL $)]]</f>
        <v>0</v>
      </c>
      <c r="AS670" s="16" t="s">
        <v>11732</v>
      </c>
      <c r="AT670" s="16" t="s">
        <v>16975</v>
      </c>
      <c r="AU670" s="16" t="s">
        <v>2392</v>
      </c>
      <c r="AV670" s="16" t="s">
        <v>18878</v>
      </c>
      <c r="AW670" s="16" t="s">
        <v>18890</v>
      </c>
      <c r="AX670" s="16" t="s">
        <v>18927</v>
      </c>
      <c r="AY670" s="385">
        <v>14194</v>
      </c>
    </row>
    <row r="671" spans="1:51" x14ac:dyDescent="0.25">
      <c r="A671" s="16" t="s">
        <v>19465</v>
      </c>
      <c r="B671" s="16" t="s">
        <v>5676</v>
      </c>
      <c r="D671" s="16">
        <v>5</v>
      </c>
      <c r="E671" s="16" t="s">
        <v>11732</v>
      </c>
      <c r="F671" s="16" t="str">
        <f>VLOOKUP(Table28[[#This Row],[Country]],Table10[[COUNTRY NAME]:[CONTINENT CODE]],3,FALSE)</f>
        <v>NA - US</v>
      </c>
      <c r="G671" s="16" t="s">
        <v>13273</v>
      </c>
      <c r="H671" s="181">
        <v>12911</v>
      </c>
      <c r="I671" s="180">
        <v>30.5</v>
      </c>
      <c r="K671" s="316">
        <f>IFERROR(Table28[[#This Row],[ROUTE COST]]/Table28[[#This Row],[O - DEMAND]],0)</f>
        <v>0</v>
      </c>
      <c r="M671" s="180">
        <f>Table28[[#This Row],[O - DEMAND]]/950</f>
        <v>0</v>
      </c>
      <c r="N671" s="16">
        <f>IFERROR(VLOOKUP(Table28[[#This Row],[ROUTE]],DEMAND!A:F,5,FALSE),0)</f>
        <v>0</v>
      </c>
      <c r="O671" s="16">
        <f>IFERROR(VLOOKUP(Table28[[#This Row],[ROUTE]],DEMAND!A:F,6,FALSE),0)</f>
        <v>0</v>
      </c>
      <c r="P671" s="16">
        <f>ROUNDDOWN(Table28[[#This Row],[R-DEMAND]]/950,0)</f>
        <v>0</v>
      </c>
      <c r="Q671" s="16">
        <f>Table28[[#This Row],[ADD ACC
(475/950)]]*Table28[[#This Row],[Duration
(A359)]]</f>
        <v>0</v>
      </c>
      <c r="R671" s="16">
        <f>IFERROR(VLOOKUP(Table28[[#This Row],[ROUTE]],PRICING!A:B,2,FALSE),0)</f>
        <v>0</v>
      </c>
      <c r="S671" s="16">
        <f>Table28[[#This Row],[C_DEMAND]]-Table28[[#This Row],[R-DEMAND]]</f>
        <v>0</v>
      </c>
      <c r="T671" s="316">
        <f>Table28[[#This Row],[SEATS SOLD]]*Table28[[#This Row],[ECO SEAT]]</f>
        <v>0</v>
      </c>
      <c r="U671" s="316">
        <f>Table28[[#This Row],[SEATS SOLD]]*(IFERROR(VLOOKUP(Table28[[#This Row],[ROUTE]],PRICING!A:C,3,FALSE),0))</f>
        <v>0</v>
      </c>
      <c r="V671" s="316">
        <f>Table28[[#This Row],[SEAT REV]]-Table28[[#This Row],[SEAT REV
(IF IDEAL $)]]</f>
        <v>0</v>
      </c>
      <c r="AS671" s="16" t="s">
        <v>11732</v>
      </c>
      <c r="AT671" s="16" t="s">
        <v>16972</v>
      </c>
      <c r="AU671" s="16" t="s">
        <v>4287</v>
      </c>
      <c r="AV671" s="16" t="s">
        <v>18878</v>
      </c>
      <c r="AX671" s="16" t="s">
        <v>18927</v>
      </c>
      <c r="AY671" s="385">
        <v>14198</v>
      </c>
    </row>
    <row r="672" spans="1:51" x14ac:dyDescent="0.25">
      <c r="A672" s="16" t="s">
        <v>19321</v>
      </c>
      <c r="B672" s="16" t="s">
        <v>90</v>
      </c>
      <c r="D672" s="16">
        <v>2</v>
      </c>
      <c r="E672" s="16" t="s">
        <v>1456</v>
      </c>
      <c r="F672" s="16" t="str">
        <f>VLOOKUP(Table28[[#This Row],[Country]],Table10[[COUNTRY NAME]:[CONTINENT CODE]],3,FALSE)</f>
        <v>AS</v>
      </c>
      <c r="G672" s="16" t="s">
        <v>11987</v>
      </c>
      <c r="H672" s="181">
        <v>11696</v>
      </c>
      <c r="I672" s="180">
        <v>27.75</v>
      </c>
      <c r="K672" s="316">
        <f>IFERROR(Table28[[#This Row],[ROUTE COST]]/Table28[[#This Row],[O - DEMAND]],0)</f>
        <v>0</v>
      </c>
      <c r="M672" s="16">
        <f>Table28[[#This Row],[O - DEMAND]]/950</f>
        <v>0</v>
      </c>
      <c r="N672" s="16">
        <f>IFERROR(VLOOKUP(Table28[[#This Row],[ROUTE]],DEMAND!A:F,5,FALSE),0)</f>
        <v>0</v>
      </c>
      <c r="O672" s="16">
        <f>IFERROR(VLOOKUP(Table28[[#This Row],[ROUTE]],DEMAND!A:F,6,FALSE),0)</f>
        <v>0</v>
      </c>
      <c r="P672" s="16">
        <f>ROUNDDOWN(Table28[[#This Row],[R-DEMAND]]/950,0)</f>
        <v>0</v>
      </c>
      <c r="Q672" s="16">
        <f>Table28[[#This Row],[ADD ACC
(475/950)]]*Table28[[#This Row],[Duration
(A359)]]</f>
        <v>0</v>
      </c>
      <c r="R672" s="16">
        <f>IFERROR(VLOOKUP(Table28[[#This Row],[ROUTE]],PRICING!A:B,2,FALSE),0)</f>
        <v>0</v>
      </c>
      <c r="S672" s="16">
        <f>Table28[[#This Row],[C_DEMAND]]-Table28[[#This Row],[R-DEMAND]]</f>
        <v>0</v>
      </c>
      <c r="T672" s="316">
        <f>Table28[[#This Row],[SEATS SOLD]]*Table28[[#This Row],[ECO SEAT]]</f>
        <v>0</v>
      </c>
      <c r="U672" s="316">
        <f>Table28[[#This Row],[SEATS SOLD]]*(IFERROR(VLOOKUP(Table28[[#This Row],[ROUTE]],PRICING!A:C,3,FALSE),0))</f>
        <v>0</v>
      </c>
      <c r="V672" s="316">
        <f>Table28[[#This Row],[SEAT REV]]-Table28[[#This Row],[SEAT REV
(IF IDEAL $)]]</f>
        <v>0</v>
      </c>
      <c r="AS672" s="16" t="s">
        <v>11732</v>
      </c>
      <c r="AT672" s="16" t="s">
        <v>13297</v>
      </c>
      <c r="AU672" s="16" t="s">
        <v>5293</v>
      </c>
      <c r="AV672" s="16" t="s">
        <v>18892</v>
      </c>
      <c r="AW672" s="16" t="s">
        <v>18885</v>
      </c>
      <c r="AX672" s="16" t="s">
        <v>18927</v>
      </c>
      <c r="AY672" s="385">
        <v>14202</v>
      </c>
    </row>
    <row r="673" spans="1:51" x14ac:dyDescent="0.25">
      <c r="A673" s="16" t="s">
        <v>19478</v>
      </c>
      <c r="B673" s="16" t="s">
        <v>3574</v>
      </c>
      <c r="D673" s="16">
        <v>2</v>
      </c>
      <c r="E673" s="16" t="s">
        <v>1749</v>
      </c>
      <c r="F673" s="16" t="str">
        <f>VLOOKUP(Table28[[#This Row],[Country]],Table10[[COUNTRY NAME]:[CONTINENT CODE]],3,FALSE)</f>
        <v>NA</v>
      </c>
      <c r="G673" s="16" t="s">
        <v>13221</v>
      </c>
      <c r="H673" s="181">
        <v>12966</v>
      </c>
      <c r="I673" s="180">
        <v>30.5</v>
      </c>
      <c r="K673" s="316">
        <f>IFERROR(Table28[[#This Row],[ROUTE COST]]/Table28[[#This Row],[O - DEMAND]],0)</f>
        <v>0</v>
      </c>
      <c r="M673" s="16">
        <f>Table28[[#This Row],[O - DEMAND]]/950</f>
        <v>0</v>
      </c>
      <c r="N673" s="16">
        <f>IFERROR(VLOOKUP(Table28[[#This Row],[ROUTE]],DEMAND!A:F,5,FALSE),0)</f>
        <v>0</v>
      </c>
      <c r="O673" s="16">
        <f>IFERROR(VLOOKUP(Table28[[#This Row],[ROUTE]],DEMAND!A:F,6,FALSE),0)</f>
        <v>0</v>
      </c>
      <c r="P673" s="16">
        <f>ROUNDDOWN(Table28[[#This Row],[R-DEMAND]]/950,0)</f>
        <v>0</v>
      </c>
      <c r="Q673" s="16">
        <f>Table28[[#This Row],[ADD ACC
(475/950)]]*Table28[[#This Row],[Duration
(A359)]]</f>
        <v>0</v>
      </c>
      <c r="R673" s="16">
        <f>IFERROR(VLOOKUP(Table28[[#This Row],[ROUTE]],PRICING!A:B,2,FALSE),0)</f>
        <v>0</v>
      </c>
      <c r="S673" s="16">
        <f>Table28[[#This Row],[C_DEMAND]]-Table28[[#This Row],[R-DEMAND]]</f>
        <v>0</v>
      </c>
      <c r="T673" s="316">
        <f>Table28[[#This Row],[SEATS SOLD]]*Table28[[#This Row],[ECO SEAT]]</f>
        <v>0</v>
      </c>
      <c r="U673" s="316">
        <f>Table28[[#This Row],[SEATS SOLD]]*(IFERROR(VLOOKUP(Table28[[#This Row],[ROUTE]],PRICING!A:C,3,FALSE),0))</f>
        <v>0</v>
      </c>
      <c r="V673" s="316">
        <f>Table28[[#This Row],[SEAT REV]]-Table28[[#This Row],[SEAT REV
(IF IDEAL $)]]</f>
        <v>0</v>
      </c>
      <c r="AS673" s="16" t="s">
        <v>1654</v>
      </c>
      <c r="AT673" s="16" t="s">
        <v>11875</v>
      </c>
      <c r="AU673" s="16" t="s">
        <v>2972</v>
      </c>
      <c r="AV673" s="16" t="s">
        <v>18892</v>
      </c>
      <c r="AW673" s="16" t="s">
        <v>18879</v>
      </c>
      <c r="AX673" s="16" t="s">
        <v>18927</v>
      </c>
      <c r="AY673" s="385">
        <v>14204</v>
      </c>
    </row>
    <row r="674" spans="1:51" x14ac:dyDescent="0.25">
      <c r="A674" s="16" t="s">
        <v>19518</v>
      </c>
      <c r="B674" s="16" t="s">
        <v>3396</v>
      </c>
      <c r="D674" s="16">
        <v>2</v>
      </c>
      <c r="E674" s="16" t="s">
        <v>78</v>
      </c>
      <c r="F674" s="16" t="str">
        <f>VLOOKUP(Table28[[#This Row],[Country]],Table10[[COUNTRY NAME]:[CONTINENT CODE]],3,FALSE)</f>
        <v>EU</v>
      </c>
      <c r="G674" s="16" t="s">
        <v>16873</v>
      </c>
      <c r="H674" s="181">
        <v>13210</v>
      </c>
      <c r="I674" s="180">
        <v>31.25</v>
      </c>
      <c r="K674" s="316">
        <f>IFERROR(Table28[[#This Row],[ROUTE COST]]/Table28[[#This Row],[O - DEMAND]],0)</f>
        <v>0</v>
      </c>
      <c r="M674" s="16">
        <f>Table28[[#This Row],[O - DEMAND]]/950</f>
        <v>0</v>
      </c>
      <c r="N674" s="16">
        <f>IFERROR(VLOOKUP(Table28[[#This Row],[ROUTE]],DEMAND!A:F,5,FALSE),0)</f>
        <v>0</v>
      </c>
      <c r="O674" s="16">
        <f>IFERROR(VLOOKUP(Table28[[#This Row],[ROUTE]],DEMAND!A:F,6,FALSE),0)</f>
        <v>0</v>
      </c>
      <c r="P674" s="16">
        <f>ROUNDDOWN(Table28[[#This Row],[R-DEMAND]]/950,0)</f>
        <v>0</v>
      </c>
      <c r="Q674" s="16">
        <f>Table28[[#This Row],[ADD ACC
(475/950)]]*Table28[[#This Row],[Duration
(A359)]]</f>
        <v>0</v>
      </c>
      <c r="R674" s="16">
        <f>IFERROR(VLOOKUP(Table28[[#This Row],[ROUTE]],PRICING!A:B,2,FALSE),0)</f>
        <v>0</v>
      </c>
      <c r="S674" s="16">
        <f>Table28[[#This Row],[C_DEMAND]]-Table28[[#This Row],[R-DEMAND]]</f>
        <v>0</v>
      </c>
      <c r="T674" s="316">
        <f>Table28[[#This Row],[SEATS SOLD]]*Table28[[#This Row],[ECO SEAT]]</f>
        <v>0</v>
      </c>
      <c r="U674" s="316">
        <f>Table28[[#This Row],[SEATS SOLD]]*(IFERROR(VLOOKUP(Table28[[#This Row],[ROUTE]],PRICING!A:C,3,FALSE),0))</f>
        <v>0</v>
      </c>
      <c r="V674" s="316">
        <f>Table28[[#This Row],[SEAT REV]]-Table28[[#This Row],[SEAT REV
(IF IDEAL $)]]</f>
        <v>0</v>
      </c>
      <c r="AS674" s="16" t="s">
        <v>700</v>
      </c>
      <c r="AT674" s="16" t="s">
        <v>11874</v>
      </c>
      <c r="AU674" s="16" t="s">
        <v>3753</v>
      </c>
      <c r="AV674" s="16" t="s">
        <v>18881</v>
      </c>
      <c r="AW674" s="16" t="s">
        <v>18879</v>
      </c>
      <c r="AX674" s="16" t="s">
        <v>18927</v>
      </c>
      <c r="AY674" s="385">
        <v>14209</v>
      </c>
    </row>
    <row r="675" spans="1:51" x14ac:dyDescent="0.25">
      <c r="A675" s="16" t="s">
        <v>19357</v>
      </c>
      <c r="B675" s="16" t="s">
        <v>5555</v>
      </c>
      <c r="D675" s="16">
        <v>4</v>
      </c>
      <c r="E675" s="16" t="s">
        <v>11732</v>
      </c>
      <c r="F675" s="16" t="str">
        <f>VLOOKUP(Table28[[#This Row],[Country]],Table10[[COUNTRY NAME]:[CONTINENT CODE]],3,FALSE)</f>
        <v>NA - US</v>
      </c>
      <c r="G675" s="16" t="s">
        <v>16941</v>
      </c>
      <c r="H675" s="181">
        <v>12071</v>
      </c>
      <c r="I675" s="180">
        <v>28.75</v>
      </c>
      <c r="K675" s="316">
        <f>IFERROR(Table28[[#This Row],[ROUTE COST]]/Table28[[#This Row],[O - DEMAND]],0)</f>
        <v>0</v>
      </c>
      <c r="M675" s="180">
        <f>Table28[[#This Row],[O - DEMAND]]/950</f>
        <v>0</v>
      </c>
      <c r="N675" s="16">
        <f>IFERROR(VLOOKUP(Table28[[#This Row],[ROUTE]],DEMAND!A:F,5,FALSE),0)</f>
        <v>0</v>
      </c>
      <c r="O675" s="16">
        <f>IFERROR(VLOOKUP(Table28[[#This Row],[ROUTE]],DEMAND!A:F,6,FALSE),0)</f>
        <v>0</v>
      </c>
      <c r="P675" s="16">
        <f>ROUNDDOWN(Table28[[#This Row],[R-DEMAND]]/950,0)</f>
        <v>0</v>
      </c>
      <c r="Q675" s="16">
        <f>Table28[[#This Row],[ADD ACC
(475/950)]]*Table28[[#This Row],[Duration
(A359)]]</f>
        <v>0</v>
      </c>
      <c r="R675" s="16">
        <f>IFERROR(VLOOKUP(Table28[[#This Row],[ROUTE]],PRICING!A:B,2,FALSE),0)</f>
        <v>0</v>
      </c>
      <c r="S675" s="16">
        <f>Table28[[#This Row],[C_DEMAND]]-Table28[[#This Row],[R-DEMAND]]</f>
        <v>0</v>
      </c>
      <c r="T675" s="316">
        <f>Table28[[#This Row],[SEATS SOLD]]*Table28[[#This Row],[ECO SEAT]]</f>
        <v>0</v>
      </c>
      <c r="U675" s="316">
        <f>Table28[[#This Row],[SEATS SOLD]]*(IFERROR(VLOOKUP(Table28[[#This Row],[ROUTE]],PRICING!A:C,3,FALSE),0))</f>
        <v>0</v>
      </c>
      <c r="V675" s="316">
        <f>Table28[[#This Row],[SEAT REV]]-Table28[[#This Row],[SEAT REV
(IF IDEAL $)]]</f>
        <v>0</v>
      </c>
      <c r="AS675" s="16" t="s">
        <v>1124</v>
      </c>
      <c r="AT675" s="16" t="s">
        <v>11871</v>
      </c>
      <c r="AU675" s="16" t="s">
        <v>1126</v>
      </c>
      <c r="AV675" s="16" t="s">
        <v>18881</v>
      </c>
      <c r="AW675" s="16" t="s">
        <v>18890</v>
      </c>
      <c r="AX675" s="16" t="s">
        <v>18927</v>
      </c>
      <c r="AY675" s="385">
        <v>14228</v>
      </c>
    </row>
    <row r="676" spans="1:51" x14ac:dyDescent="0.25">
      <c r="A676" s="16" t="s">
        <v>19753</v>
      </c>
      <c r="B676" s="16" t="s">
        <v>2484</v>
      </c>
      <c r="D676" s="16">
        <v>1</v>
      </c>
      <c r="E676" s="16" t="s">
        <v>683</v>
      </c>
      <c r="F676" s="16" t="str">
        <f>VLOOKUP(Table28[[#This Row],[Country]],Table10[[COUNTRY NAME]:[CONTINENT CODE]],3,FALSE)</f>
        <v>NA</v>
      </c>
      <c r="G676" s="16" t="s">
        <v>13189</v>
      </c>
      <c r="H676" s="181">
        <v>14904</v>
      </c>
      <c r="I676" s="180">
        <v>34.75</v>
      </c>
      <c r="K676" s="316">
        <f>IFERROR(Table28[[#This Row],[ROUTE COST]]/Table28[[#This Row],[O - DEMAND]],0)</f>
        <v>0</v>
      </c>
      <c r="M676" s="16">
        <f>Table28[[#This Row],[O - DEMAND]]/950</f>
        <v>0</v>
      </c>
      <c r="N676" s="16">
        <f>IFERROR(VLOOKUP(Table28[[#This Row],[ROUTE]],DEMAND!A:F,5,FALSE),0)</f>
        <v>0</v>
      </c>
      <c r="O676" s="16">
        <f>IFERROR(VLOOKUP(Table28[[#This Row],[ROUTE]],DEMAND!A:F,6,FALSE),0)</f>
        <v>0</v>
      </c>
      <c r="P676" s="16">
        <f>ROUNDDOWN(Table28[[#This Row],[R-DEMAND]]/950,0)</f>
        <v>0</v>
      </c>
      <c r="Q676" s="16">
        <f>Table28[[#This Row],[ADD ACC
(475/950)]]*Table28[[#This Row],[Duration
(A359)]]</f>
        <v>0</v>
      </c>
      <c r="R676" s="16">
        <f>IFERROR(VLOOKUP(Table28[[#This Row],[ROUTE]],PRICING!A:B,2,FALSE),0)</f>
        <v>0</v>
      </c>
      <c r="S676" s="16">
        <f>Table28[[#This Row],[C_DEMAND]]-Table28[[#This Row],[R-DEMAND]]</f>
        <v>0</v>
      </c>
      <c r="T676" s="316">
        <f>Table28[[#This Row],[SEATS SOLD]]*Table28[[#This Row],[ECO SEAT]]</f>
        <v>0</v>
      </c>
      <c r="U676" s="316">
        <f>Table28[[#This Row],[SEATS SOLD]]*(IFERROR(VLOOKUP(Table28[[#This Row],[ROUTE]],PRICING!A:C,3,FALSE),0))</f>
        <v>0</v>
      </c>
      <c r="V676" s="316">
        <f>Table28[[#This Row],[SEAT REV]]-Table28[[#This Row],[SEAT REV
(IF IDEAL $)]]</f>
        <v>0</v>
      </c>
      <c r="AS676" s="16" t="s">
        <v>78</v>
      </c>
      <c r="AT676" s="16" t="s">
        <v>11870</v>
      </c>
      <c r="AU676" s="16" t="s">
        <v>4860</v>
      </c>
      <c r="AV676" s="16" t="s">
        <v>18892</v>
      </c>
      <c r="AW676" s="16" t="s">
        <v>18885</v>
      </c>
      <c r="AX676" s="16" t="s">
        <v>18927</v>
      </c>
      <c r="AY676" s="385">
        <v>14229</v>
      </c>
    </row>
    <row r="677" spans="1:51" x14ac:dyDescent="0.25">
      <c r="A677" s="16" t="s">
        <v>19023</v>
      </c>
      <c r="B677" s="16" t="s">
        <v>3697</v>
      </c>
      <c r="D677" s="16">
        <v>2</v>
      </c>
      <c r="E677" s="16" t="s">
        <v>1261</v>
      </c>
      <c r="F677" s="16" t="str">
        <f>VLOOKUP(Table28[[#This Row],[Country]],Table10[[COUNTRY NAME]:[CONTINENT CODE]],3,FALSE)</f>
        <v>AS</v>
      </c>
      <c r="G677" s="16" t="s">
        <v>18109</v>
      </c>
      <c r="H677" s="181">
        <v>5076</v>
      </c>
      <c r="I677" s="180">
        <v>13.25</v>
      </c>
      <c r="K677" s="316">
        <f>IFERROR(Table28[[#This Row],[ROUTE COST]]/Table28[[#This Row],[O - DEMAND]],0)</f>
        <v>0</v>
      </c>
      <c r="M677" s="16">
        <f>Table28[[#This Row],[O - DEMAND]]/950</f>
        <v>0</v>
      </c>
      <c r="N677" s="16">
        <f>IFERROR(VLOOKUP(Table28[[#This Row],[ROUTE]],DEMAND!A:F,5,FALSE),0)</f>
        <v>0</v>
      </c>
      <c r="O677" s="16">
        <f>IFERROR(VLOOKUP(Table28[[#This Row],[ROUTE]],DEMAND!A:F,6,FALSE),0)</f>
        <v>0</v>
      </c>
      <c r="P677" s="16">
        <f>ROUNDDOWN(Table28[[#This Row],[R-DEMAND]]/950,0)</f>
        <v>0</v>
      </c>
      <c r="Q677" s="16">
        <f>Table28[[#This Row],[ADD ACC
(475/950)]]*Table28[[#This Row],[Duration
(A359)]]</f>
        <v>0</v>
      </c>
      <c r="R677" s="16">
        <f>IFERROR(VLOOKUP(Table28[[#This Row],[ROUTE]],PRICING!A:B,2,FALSE),0)</f>
        <v>0</v>
      </c>
      <c r="S677" s="16">
        <f>Table28[[#This Row],[C_DEMAND]]-Table28[[#This Row],[R-DEMAND]]</f>
        <v>0</v>
      </c>
      <c r="T677" s="316">
        <f>Table28[[#This Row],[SEATS SOLD]]*Table28[[#This Row],[ECO SEAT]]</f>
        <v>0</v>
      </c>
      <c r="U677" s="316">
        <f>Table28[[#This Row],[SEATS SOLD]]*(IFERROR(VLOOKUP(Table28[[#This Row],[ROUTE]],PRICING!A:C,3,FALSE),0))</f>
        <v>0</v>
      </c>
      <c r="V677" s="316">
        <f>Table28[[#This Row],[SEAT REV]]-Table28[[#This Row],[SEAT REV
(IF IDEAL $)]]</f>
        <v>0</v>
      </c>
      <c r="AS677" s="16" t="s">
        <v>11732</v>
      </c>
      <c r="AT677" s="16" t="s">
        <v>13303</v>
      </c>
      <c r="AU677" s="16" t="s">
        <v>5574</v>
      </c>
      <c r="AV677" s="16" t="s">
        <v>18884</v>
      </c>
      <c r="AW677" s="16" t="s">
        <v>18899</v>
      </c>
      <c r="AX677" s="16" t="s">
        <v>18935</v>
      </c>
      <c r="AY677" s="385">
        <v>14238</v>
      </c>
    </row>
    <row r="678" spans="1:51" x14ac:dyDescent="0.25">
      <c r="A678" s="16" t="s">
        <v>19032</v>
      </c>
      <c r="B678" s="16" t="s">
        <v>4398</v>
      </c>
      <c r="D678" s="16">
        <v>2</v>
      </c>
      <c r="E678" s="16" t="s">
        <v>1931</v>
      </c>
      <c r="F678" s="16" t="str">
        <f>VLOOKUP(Table28[[#This Row],[Country]],Table10[[COUNTRY NAME]:[CONTINENT CODE]],3,FALSE)</f>
        <v>OC</v>
      </c>
      <c r="G678" s="16" t="s">
        <v>16822</v>
      </c>
      <c r="H678" s="181">
        <v>5487</v>
      </c>
      <c r="I678" s="180">
        <v>14.25</v>
      </c>
      <c r="K678" s="316">
        <f>IFERROR(Table28[[#This Row],[ROUTE COST]]/Table28[[#This Row],[O - DEMAND]],0)</f>
        <v>0</v>
      </c>
      <c r="M678" s="16">
        <f>Table28[[#This Row],[O - DEMAND]]/950</f>
        <v>0</v>
      </c>
      <c r="N678" s="16">
        <f>IFERROR(VLOOKUP(Table28[[#This Row],[ROUTE]],DEMAND!A:F,5,FALSE),0)</f>
        <v>0</v>
      </c>
      <c r="O678" s="16">
        <f>IFERROR(VLOOKUP(Table28[[#This Row],[ROUTE]],DEMAND!A:F,6,FALSE),0)</f>
        <v>0</v>
      </c>
      <c r="P678" s="16">
        <f>ROUNDDOWN(Table28[[#This Row],[R-DEMAND]]/950,0)</f>
        <v>0</v>
      </c>
      <c r="Q678" s="16">
        <f>Table28[[#This Row],[ADD ACC
(475/950)]]*Table28[[#This Row],[Duration
(A359)]]</f>
        <v>0</v>
      </c>
      <c r="R678" s="16">
        <f>IFERROR(VLOOKUP(Table28[[#This Row],[ROUTE]],PRICING!A:B,2,FALSE),0)</f>
        <v>0</v>
      </c>
      <c r="S678" s="16">
        <f>Table28[[#This Row],[C_DEMAND]]-Table28[[#This Row],[R-DEMAND]]</f>
        <v>0</v>
      </c>
      <c r="T678" s="316">
        <f>Table28[[#This Row],[SEATS SOLD]]*Table28[[#This Row],[ECO SEAT]]</f>
        <v>0</v>
      </c>
      <c r="U678" s="316">
        <f>Table28[[#This Row],[SEATS SOLD]]*(IFERROR(VLOOKUP(Table28[[#This Row],[ROUTE]],PRICING!A:C,3,FALSE),0))</f>
        <v>0</v>
      </c>
      <c r="V678" s="316">
        <f>Table28[[#This Row],[SEAT REV]]-Table28[[#This Row],[SEAT REV
(IF IDEAL $)]]</f>
        <v>0</v>
      </c>
      <c r="AS678" s="16" t="s">
        <v>700</v>
      </c>
      <c r="AT678" s="16" t="s">
        <v>6768</v>
      </c>
      <c r="AU678" s="16" t="s">
        <v>2903</v>
      </c>
      <c r="AV678" s="16" t="s">
        <v>18884</v>
      </c>
      <c r="AW678" s="16" t="s">
        <v>18879</v>
      </c>
      <c r="AX678" s="16" t="s">
        <v>18935</v>
      </c>
      <c r="AY678" s="385">
        <v>14268</v>
      </c>
    </row>
    <row r="679" spans="1:51" x14ac:dyDescent="0.25">
      <c r="A679" s="16" t="s">
        <v>19437</v>
      </c>
      <c r="B679" s="16" t="s">
        <v>1965</v>
      </c>
      <c r="D679" s="16">
        <v>1</v>
      </c>
      <c r="E679" s="16" t="s">
        <v>644</v>
      </c>
      <c r="F679" s="16" t="str">
        <f>VLOOKUP(Table28[[#This Row],[Country]],Table10[[COUNTRY NAME]:[CONTINENT CODE]],3,FALSE)</f>
        <v>AF</v>
      </c>
      <c r="G679" s="16" t="s">
        <v>11839</v>
      </c>
      <c r="H679" s="181">
        <v>12707</v>
      </c>
      <c r="I679" s="180">
        <v>30</v>
      </c>
      <c r="K679" s="316">
        <f>IFERROR(Table28[[#This Row],[ROUTE COST]]/Table28[[#This Row],[O - DEMAND]],0)</f>
        <v>0</v>
      </c>
      <c r="M679" s="16">
        <f>Table28[[#This Row],[O - DEMAND]]/950</f>
        <v>0</v>
      </c>
      <c r="N679" s="16">
        <f>IFERROR(VLOOKUP(Table28[[#This Row],[ROUTE]],DEMAND!A:F,5,FALSE),0)</f>
        <v>0</v>
      </c>
      <c r="O679" s="16">
        <f>IFERROR(VLOOKUP(Table28[[#This Row],[ROUTE]],DEMAND!A:F,6,FALSE),0)</f>
        <v>0</v>
      </c>
      <c r="P679" s="16">
        <f>ROUNDDOWN(Table28[[#This Row],[R-DEMAND]]/950,0)</f>
        <v>0</v>
      </c>
      <c r="Q679" s="16">
        <f>Table28[[#This Row],[ADD ACC
(475/950)]]*Table28[[#This Row],[Duration
(A359)]]</f>
        <v>0</v>
      </c>
      <c r="R679" s="16">
        <f>IFERROR(VLOOKUP(Table28[[#This Row],[ROUTE]],PRICING!A:B,2,FALSE),0)</f>
        <v>0</v>
      </c>
      <c r="S679" s="16">
        <f>Table28[[#This Row],[C_DEMAND]]-Table28[[#This Row],[R-DEMAND]]</f>
        <v>0</v>
      </c>
      <c r="T679" s="316">
        <f>Table28[[#This Row],[SEATS SOLD]]*Table28[[#This Row],[ECO SEAT]]</f>
        <v>0</v>
      </c>
      <c r="U679" s="316">
        <f>Table28[[#This Row],[SEATS SOLD]]*(IFERROR(VLOOKUP(Table28[[#This Row],[ROUTE]],PRICING!A:C,3,FALSE),0))</f>
        <v>0</v>
      </c>
      <c r="V679" s="316">
        <f>Table28[[#This Row],[SEAT REV]]-Table28[[#This Row],[SEAT REV
(IF IDEAL $)]]</f>
        <v>0</v>
      </c>
      <c r="AS679" s="16" t="s">
        <v>11732</v>
      </c>
      <c r="AT679" s="16" t="s">
        <v>16968</v>
      </c>
      <c r="AU679" s="16" t="s">
        <v>4322</v>
      </c>
      <c r="AV679" s="16" t="s">
        <v>18878</v>
      </c>
      <c r="AX679" s="16" t="s">
        <v>18935</v>
      </c>
      <c r="AY679" s="385">
        <v>14273</v>
      </c>
    </row>
    <row r="680" spans="1:51" x14ac:dyDescent="0.25">
      <c r="A680" s="16" t="s">
        <v>19592</v>
      </c>
      <c r="B680" s="16" t="s">
        <v>2635</v>
      </c>
      <c r="D680" s="16">
        <v>2</v>
      </c>
      <c r="E680" s="16" t="s">
        <v>11732</v>
      </c>
      <c r="F680" s="16" t="str">
        <f>VLOOKUP(Table28[[#This Row],[Country]],Table10[[COUNTRY NAME]:[CONTINENT CODE]],3,FALSE)</f>
        <v>NA - US</v>
      </c>
      <c r="G680" s="16" t="s">
        <v>13310</v>
      </c>
      <c r="H680" s="181">
        <v>13730</v>
      </c>
      <c r="I680" s="180">
        <v>32.25</v>
      </c>
      <c r="K680" s="316">
        <f>IFERROR(Table28[[#This Row],[ROUTE COST]]/Table28[[#This Row],[O - DEMAND]],0)</f>
        <v>0</v>
      </c>
      <c r="M680" s="180">
        <f>Table28[[#This Row],[O - DEMAND]]/950</f>
        <v>0</v>
      </c>
      <c r="N680" s="16">
        <f>IFERROR(VLOOKUP(Table28[[#This Row],[ROUTE]],DEMAND!A:F,5,FALSE),0)</f>
        <v>0</v>
      </c>
      <c r="O680" s="16">
        <f>IFERROR(VLOOKUP(Table28[[#This Row],[ROUTE]],DEMAND!A:F,6,FALSE),0)</f>
        <v>0</v>
      </c>
      <c r="P680" s="16">
        <f>ROUNDDOWN(Table28[[#This Row],[R-DEMAND]]/950,0)</f>
        <v>0</v>
      </c>
      <c r="Q680" s="16">
        <f>Table28[[#This Row],[ADD ACC
(475/950)]]*Table28[[#This Row],[Duration
(A359)]]</f>
        <v>0</v>
      </c>
      <c r="R680" s="16">
        <f>IFERROR(VLOOKUP(Table28[[#This Row],[ROUTE]],PRICING!A:B,2,FALSE),0)</f>
        <v>0</v>
      </c>
      <c r="S680" s="16">
        <f>Table28[[#This Row],[C_DEMAND]]-Table28[[#This Row],[R-DEMAND]]</f>
        <v>0</v>
      </c>
      <c r="T680" s="316">
        <f>Table28[[#This Row],[SEATS SOLD]]*Table28[[#This Row],[ECO SEAT]]</f>
        <v>0</v>
      </c>
      <c r="U680" s="316">
        <f>Table28[[#This Row],[SEATS SOLD]]*(IFERROR(VLOOKUP(Table28[[#This Row],[ROUTE]],PRICING!A:C,3,FALSE),0))</f>
        <v>0</v>
      </c>
      <c r="V680" s="316">
        <f>Table28[[#This Row],[SEAT REV]]-Table28[[#This Row],[SEAT REV
(IF IDEAL $)]]</f>
        <v>0</v>
      </c>
      <c r="AS680" s="16" t="s">
        <v>11732</v>
      </c>
      <c r="AT680" s="16" t="s">
        <v>13353</v>
      </c>
      <c r="AU680" s="16" t="s">
        <v>5516</v>
      </c>
      <c r="AV680" s="16" t="s">
        <v>18881</v>
      </c>
      <c r="AW680" s="16" t="s">
        <v>18899</v>
      </c>
      <c r="AX680" s="16" t="s">
        <v>18935</v>
      </c>
      <c r="AY680" s="385">
        <v>14293</v>
      </c>
    </row>
    <row r="681" spans="1:51" x14ac:dyDescent="0.25">
      <c r="A681" s="16" t="s">
        <v>19481</v>
      </c>
      <c r="B681" s="16" t="s">
        <v>3107</v>
      </c>
      <c r="D681" s="16">
        <v>2</v>
      </c>
      <c r="E681" s="16" t="s">
        <v>1144</v>
      </c>
      <c r="F681" s="16" t="str">
        <f>VLOOKUP(Table28[[#This Row],[Country]],Table10[[COUNTRY NAME]:[CONTINENT CODE]],3,FALSE)</f>
        <v>SA</v>
      </c>
      <c r="G681" s="16" t="s">
        <v>13151</v>
      </c>
      <c r="H681" s="181">
        <v>12977</v>
      </c>
      <c r="I681" s="180">
        <v>30.5</v>
      </c>
      <c r="K681" s="316">
        <f>IFERROR(Table28[[#This Row],[ROUTE COST]]/Table28[[#This Row],[O - DEMAND]],0)</f>
        <v>0</v>
      </c>
      <c r="M681" s="16">
        <f>Table28[[#This Row],[O - DEMAND]]/950</f>
        <v>0</v>
      </c>
      <c r="N681" s="16">
        <f>IFERROR(VLOOKUP(Table28[[#This Row],[ROUTE]],DEMAND!A:F,5,FALSE),0)</f>
        <v>0</v>
      </c>
      <c r="O681" s="16">
        <f>IFERROR(VLOOKUP(Table28[[#This Row],[ROUTE]],DEMAND!A:F,6,FALSE),0)</f>
        <v>0</v>
      </c>
      <c r="P681" s="16">
        <f>ROUNDDOWN(Table28[[#This Row],[R-DEMAND]]/950,0)</f>
        <v>0</v>
      </c>
      <c r="Q681" s="16">
        <f>Table28[[#This Row],[ADD ACC
(475/950)]]*Table28[[#This Row],[Duration
(A359)]]</f>
        <v>0</v>
      </c>
      <c r="R681" s="16">
        <f>IFERROR(VLOOKUP(Table28[[#This Row],[ROUTE]],PRICING!A:B,2,FALSE),0)</f>
        <v>0</v>
      </c>
      <c r="S681" s="16">
        <f>Table28[[#This Row],[C_DEMAND]]-Table28[[#This Row],[R-DEMAND]]</f>
        <v>0</v>
      </c>
      <c r="T681" s="316">
        <f>Table28[[#This Row],[SEATS SOLD]]*Table28[[#This Row],[ECO SEAT]]</f>
        <v>0</v>
      </c>
      <c r="U681" s="316">
        <f>Table28[[#This Row],[SEATS SOLD]]*(IFERROR(VLOOKUP(Table28[[#This Row],[ROUTE]],PRICING!A:C,3,FALSE),0))</f>
        <v>0</v>
      </c>
      <c r="V681" s="316">
        <f>Table28[[#This Row],[SEAT REV]]-Table28[[#This Row],[SEAT REV
(IF IDEAL $)]]</f>
        <v>0</v>
      </c>
      <c r="AS681" s="16" t="s">
        <v>11732</v>
      </c>
      <c r="AT681" s="16" t="s">
        <v>17005</v>
      </c>
      <c r="AU681" s="16" t="s">
        <v>5027</v>
      </c>
      <c r="AV681" s="16" t="s">
        <v>18878</v>
      </c>
      <c r="AX681" s="16" t="s">
        <v>18935</v>
      </c>
      <c r="AY681" s="385">
        <v>14299</v>
      </c>
    </row>
    <row r="682" spans="1:51" x14ac:dyDescent="0.25">
      <c r="A682" s="16" t="s">
        <v>19025</v>
      </c>
      <c r="B682" s="16" t="s">
        <v>4268</v>
      </c>
      <c r="D682" s="16">
        <v>2</v>
      </c>
      <c r="E682" s="16" t="s">
        <v>1261</v>
      </c>
      <c r="F682" s="16" t="str">
        <f>VLOOKUP(Table28[[#This Row],[Country]],Table10[[COUNTRY NAME]:[CONTINENT CODE]],3,FALSE)</f>
        <v>AS</v>
      </c>
      <c r="G682" s="16" t="s">
        <v>18112</v>
      </c>
      <c r="H682" s="181">
        <v>5148</v>
      </c>
      <c r="I682" s="180">
        <v>13.5</v>
      </c>
      <c r="K682" s="316">
        <f>IFERROR(Table28[[#This Row],[ROUTE COST]]/Table28[[#This Row],[O - DEMAND]],0)</f>
        <v>0</v>
      </c>
      <c r="M682" s="16">
        <f>Table28[[#This Row],[O - DEMAND]]/950</f>
        <v>0</v>
      </c>
      <c r="N682" s="16">
        <f>IFERROR(VLOOKUP(Table28[[#This Row],[ROUTE]],DEMAND!A:F,5,FALSE),0)</f>
        <v>0</v>
      </c>
      <c r="O682" s="16">
        <f>IFERROR(VLOOKUP(Table28[[#This Row],[ROUTE]],DEMAND!A:F,6,FALSE),0)</f>
        <v>0</v>
      </c>
      <c r="P682" s="16">
        <f>ROUNDDOWN(Table28[[#This Row],[R-DEMAND]]/950,0)</f>
        <v>0</v>
      </c>
      <c r="Q682" s="16">
        <f>Table28[[#This Row],[ADD ACC
(475/950)]]*Table28[[#This Row],[Duration
(A359)]]</f>
        <v>0</v>
      </c>
      <c r="R682" s="16">
        <f>IFERROR(VLOOKUP(Table28[[#This Row],[ROUTE]],PRICING!A:B,2,FALSE),0)</f>
        <v>0</v>
      </c>
      <c r="S682" s="16">
        <f>Table28[[#This Row],[C_DEMAND]]-Table28[[#This Row],[R-DEMAND]]</f>
        <v>0</v>
      </c>
      <c r="T682" s="316">
        <f>Table28[[#This Row],[SEATS SOLD]]*Table28[[#This Row],[ECO SEAT]]</f>
        <v>0</v>
      </c>
      <c r="U682" s="316">
        <f>Table28[[#This Row],[SEATS SOLD]]*(IFERROR(VLOOKUP(Table28[[#This Row],[ROUTE]],PRICING!A:C,3,FALSE),0))</f>
        <v>0</v>
      </c>
      <c r="V682" s="316">
        <f>Table28[[#This Row],[SEAT REV]]-Table28[[#This Row],[SEAT REV
(IF IDEAL $)]]</f>
        <v>0</v>
      </c>
      <c r="AS682" s="16" t="s">
        <v>514</v>
      </c>
      <c r="AT682" s="16" t="s">
        <v>13166</v>
      </c>
      <c r="AU682" s="16" t="s">
        <v>5240</v>
      </c>
      <c r="AV682" s="16" t="s">
        <v>18884</v>
      </c>
      <c r="AW682" s="16" t="s">
        <v>18885</v>
      </c>
      <c r="AX682" s="16" t="s">
        <v>18935</v>
      </c>
      <c r="AY682" s="385">
        <v>14302</v>
      </c>
    </row>
    <row r="683" spans="1:51" x14ac:dyDescent="0.25">
      <c r="A683" s="16" t="s">
        <v>19748</v>
      </c>
      <c r="B683" s="16" t="s">
        <v>4758</v>
      </c>
      <c r="D683" s="16">
        <v>3</v>
      </c>
      <c r="E683" s="16" t="s">
        <v>11732</v>
      </c>
      <c r="F683" s="16" t="str">
        <f>VLOOKUP(Table28[[#This Row],[Country]],Table10[[COUNTRY NAME]:[CONTINENT CODE]],3,FALSE)</f>
        <v>NA - US</v>
      </c>
      <c r="G683" s="16" t="s">
        <v>13369</v>
      </c>
      <c r="H683" s="181">
        <v>14886</v>
      </c>
      <c r="I683" s="180">
        <v>34.75</v>
      </c>
      <c r="K683" s="316">
        <f>IFERROR(Table28[[#This Row],[ROUTE COST]]/Table28[[#This Row],[O - DEMAND]],0)</f>
        <v>0</v>
      </c>
      <c r="M683" s="180">
        <f>Table28[[#This Row],[O - DEMAND]]/950</f>
        <v>0</v>
      </c>
      <c r="N683" s="16">
        <f>IFERROR(VLOOKUP(Table28[[#This Row],[ROUTE]],DEMAND!A:F,5,FALSE),0)</f>
        <v>0</v>
      </c>
      <c r="O683" s="16">
        <f>IFERROR(VLOOKUP(Table28[[#This Row],[ROUTE]],DEMAND!A:F,6,FALSE),0)</f>
        <v>0</v>
      </c>
      <c r="P683" s="16">
        <f>ROUNDDOWN(Table28[[#This Row],[R-DEMAND]]/950,0)</f>
        <v>0</v>
      </c>
      <c r="Q683" s="16">
        <f>Table28[[#This Row],[ADD ACC
(475/950)]]*Table28[[#This Row],[Duration
(A359)]]</f>
        <v>0</v>
      </c>
      <c r="R683" s="16">
        <f>IFERROR(VLOOKUP(Table28[[#This Row],[ROUTE]],PRICING!A:B,2,FALSE),0)</f>
        <v>0</v>
      </c>
      <c r="S683" s="16">
        <f>Table28[[#This Row],[C_DEMAND]]-Table28[[#This Row],[R-DEMAND]]</f>
        <v>0</v>
      </c>
      <c r="T683" s="316">
        <f>Table28[[#This Row],[SEATS SOLD]]*Table28[[#This Row],[ECO SEAT]]</f>
        <v>0</v>
      </c>
      <c r="U683" s="316">
        <f>Table28[[#This Row],[SEATS SOLD]]*(IFERROR(VLOOKUP(Table28[[#This Row],[ROUTE]],PRICING!A:C,3,FALSE),0))</f>
        <v>0</v>
      </c>
      <c r="V683" s="316">
        <f>Table28[[#This Row],[SEAT REV]]-Table28[[#This Row],[SEAT REV
(IF IDEAL $)]]</f>
        <v>0</v>
      </c>
      <c r="AS683" s="16" t="s">
        <v>1124</v>
      </c>
      <c r="AT683" s="16" t="s">
        <v>11864</v>
      </c>
      <c r="AU683" s="16" t="s">
        <v>3751</v>
      </c>
      <c r="AV683" s="16" t="s">
        <v>18881</v>
      </c>
      <c r="AW683" s="16" t="s">
        <v>18879</v>
      </c>
      <c r="AX683" s="16" t="s">
        <v>18935</v>
      </c>
      <c r="AY683" s="385">
        <v>14314</v>
      </c>
    </row>
    <row r="684" spans="1:51" x14ac:dyDescent="0.25">
      <c r="A684" s="16" t="s">
        <v>19519</v>
      </c>
      <c r="B684" s="16" t="s">
        <v>4100</v>
      </c>
      <c r="D684" s="16">
        <v>2</v>
      </c>
      <c r="E684" s="16" t="s">
        <v>1144</v>
      </c>
      <c r="F684" s="16" t="str">
        <f>VLOOKUP(Table28[[#This Row],[Country]],Table10[[COUNTRY NAME]:[CONTINENT CODE]],3,FALSE)</f>
        <v>SA</v>
      </c>
      <c r="G684" s="16" t="s">
        <v>13154</v>
      </c>
      <c r="H684" s="181">
        <v>13210</v>
      </c>
      <c r="I684" s="180">
        <v>31.25</v>
      </c>
      <c r="K684" s="316">
        <f>IFERROR(Table28[[#This Row],[ROUTE COST]]/Table28[[#This Row],[O - DEMAND]],0)</f>
        <v>0</v>
      </c>
      <c r="M684" s="16">
        <f>Table28[[#This Row],[O - DEMAND]]/950</f>
        <v>0</v>
      </c>
      <c r="N684" s="16">
        <f>IFERROR(VLOOKUP(Table28[[#This Row],[ROUTE]],DEMAND!A:F,5,FALSE),0)</f>
        <v>0</v>
      </c>
      <c r="O684" s="16">
        <f>IFERROR(VLOOKUP(Table28[[#This Row],[ROUTE]],DEMAND!A:F,6,FALSE),0)</f>
        <v>0</v>
      </c>
      <c r="P684" s="16">
        <f>ROUNDDOWN(Table28[[#This Row],[R-DEMAND]]/950,0)</f>
        <v>0</v>
      </c>
      <c r="Q684" s="16">
        <f>Table28[[#This Row],[ADD ACC
(475/950)]]*Table28[[#This Row],[Duration
(A359)]]</f>
        <v>0</v>
      </c>
      <c r="R684" s="16">
        <f>IFERROR(VLOOKUP(Table28[[#This Row],[ROUTE]],PRICING!A:B,2,FALSE),0)</f>
        <v>0</v>
      </c>
      <c r="S684" s="16">
        <f>Table28[[#This Row],[C_DEMAND]]-Table28[[#This Row],[R-DEMAND]]</f>
        <v>0</v>
      </c>
      <c r="T684" s="316">
        <f>Table28[[#This Row],[SEATS SOLD]]*Table28[[#This Row],[ECO SEAT]]</f>
        <v>0</v>
      </c>
      <c r="U684" s="316">
        <f>Table28[[#This Row],[SEATS SOLD]]*(IFERROR(VLOOKUP(Table28[[#This Row],[ROUTE]],PRICING!A:C,3,FALSE),0))</f>
        <v>0</v>
      </c>
      <c r="V684" s="316">
        <f>Table28[[#This Row],[SEAT REV]]-Table28[[#This Row],[SEAT REV
(IF IDEAL $)]]</f>
        <v>0</v>
      </c>
      <c r="AS684" s="16" t="s">
        <v>700</v>
      </c>
      <c r="AT684" s="16" t="s">
        <v>16871</v>
      </c>
      <c r="AU684" s="16" t="s">
        <v>5072</v>
      </c>
      <c r="AV684" s="16" t="s">
        <v>18878</v>
      </c>
      <c r="AW684" s="16" t="s">
        <v>18885</v>
      </c>
      <c r="AX684" s="16" t="s">
        <v>18935</v>
      </c>
      <c r="AY684" s="385">
        <v>14315</v>
      </c>
    </row>
    <row r="685" spans="1:51" x14ac:dyDescent="0.25">
      <c r="A685" s="16" t="s">
        <v>19725</v>
      </c>
      <c r="B685" s="16" t="s">
        <v>5509</v>
      </c>
      <c r="C685" s="16" t="s">
        <v>467</v>
      </c>
      <c r="D685" s="16">
        <v>4</v>
      </c>
      <c r="E685" s="16" t="s">
        <v>517</v>
      </c>
      <c r="F685" s="16" t="str">
        <f>VLOOKUP(Table28[[#This Row],[Country]],Table10[[COUNTRY NAME]:[CONTINENT CODE]],3,FALSE)</f>
        <v>SA</v>
      </c>
      <c r="G685" s="16" t="s">
        <v>13158</v>
      </c>
      <c r="H685" s="181">
        <v>14712</v>
      </c>
      <c r="I685" s="180">
        <v>34.5</v>
      </c>
      <c r="K685" s="316">
        <f>IFERROR(Table28[[#This Row],[ROUTE COST]]/Table28[[#This Row],[O - DEMAND]],0)</f>
        <v>0</v>
      </c>
      <c r="M685" s="16">
        <f>Table28[[#This Row],[O - DEMAND]]/950</f>
        <v>0</v>
      </c>
      <c r="N685" s="16">
        <f>IFERROR(VLOOKUP(Table28[[#This Row],[ROUTE]],DEMAND!A:F,5,FALSE),0)</f>
        <v>2432</v>
      </c>
      <c r="O685" s="16">
        <f>IFERROR(VLOOKUP(Table28[[#This Row],[ROUTE]],DEMAND!A:F,6,FALSE),0)</f>
        <v>532</v>
      </c>
      <c r="P685" s="16">
        <f>ROUNDDOWN(Table28[[#This Row],[R-DEMAND]]/950,0)</f>
        <v>0</v>
      </c>
      <c r="Q685" s="16">
        <f>Table28[[#This Row],[ADD ACC
(475/950)]]*Table28[[#This Row],[Duration
(A359)]]</f>
        <v>0</v>
      </c>
      <c r="R685" s="16">
        <f>IFERROR(VLOOKUP(Table28[[#This Row],[ROUTE]],PRICING!A:B,2,FALSE),0)</f>
        <v>0</v>
      </c>
      <c r="S685" s="16">
        <f>Table28[[#This Row],[C_DEMAND]]-Table28[[#This Row],[R-DEMAND]]</f>
        <v>1900</v>
      </c>
      <c r="T685" s="316">
        <f>Table28[[#This Row],[SEATS SOLD]]*Table28[[#This Row],[ECO SEAT]]</f>
        <v>0</v>
      </c>
      <c r="U685" s="316">
        <f>Table28[[#This Row],[SEATS SOLD]]*(IFERROR(VLOOKUP(Table28[[#This Row],[ROUTE]],PRICING!A:C,3,FALSE),0))</f>
        <v>0</v>
      </c>
      <c r="V685" s="316">
        <f>Table28[[#This Row],[SEAT REV]]-Table28[[#This Row],[SEAT REV
(IF IDEAL $)]]</f>
        <v>0</v>
      </c>
      <c r="AS685" s="16" t="s">
        <v>860</v>
      </c>
      <c r="AT685" s="16" t="s">
        <v>17025</v>
      </c>
      <c r="AU685" s="16" t="s">
        <v>4578</v>
      </c>
      <c r="AV685" s="16" t="s">
        <v>18878</v>
      </c>
      <c r="AW685" s="16" t="s">
        <v>18879</v>
      </c>
      <c r="AX685" s="16" t="s">
        <v>18935</v>
      </c>
      <c r="AY685" s="385">
        <v>14315</v>
      </c>
    </row>
    <row r="686" spans="1:51" x14ac:dyDescent="0.25">
      <c r="A686" s="16" t="s">
        <v>19750</v>
      </c>
      <c r="B686" s="16" t="s">
        <v>3618</v>
      </c>
      <c r="D686" s="16">
        <v>2</v>
      </c>
      <c r="E686" s="16" t="s">
        <v>3616</v>
      </c>
      <c r="F686" s="16" t="str">
        <f>VLOOKUP(Table28[[#This Row],[Country]],Table10[[COUNTRY NAME]:[CONTINENT CODE]],3,FALSE)</f>
        <v>AF</v>
      </c>
      <c r="G686" s="16" t="s">
        <v>11776</v>
      </c>
      <c r="H686" s="181">
        <v>14889</v>
      </c>
      <c r="I686" s="180">
        <v>34.75</v>
      </c>
      <c r="K686" s="316">
        <f>IFERROR(Table28[[#This Row],[ROUTE COST]]/Table28[[#This Row],[O - DEMAND]],0)</f>
        <v>0</v>
      </c>
      <c r="M686" s="16">
        <f>Table28[[#This Row],[O - DEMAND]]/950</f>
        <v>0</v>
      </c>
      <c r="N686" s="16">
        <f>IFERROR(VLOOKUP(Table28[[#This Row],[ROUTE]],DEMAND!A:F,5,FALSE),0)</f>
        <v>0</v>
      </c>
      <c r="O686" s="16">
        <f>IFERROR(VLOOKUP(Table28[[#This Row],[ROUTE]],DEMAND!A:F,6,FALSE),0)</f>
        <v>0</v>
      </c>
      <c r="P686" s="16">
        <f>ROUNDDOWN(Table28[[#This Row],[R-DEMAND]]/950,0)</f>
        <v>0</v>
      </c>
      <c r="Q686" s="16">
        <f>Table28[[#This Row],[ADD ACC
(475/950)]]*Table28[[#This Row],[Duration
(A359)]]</f>
        <v>0</v>
      </c>
      <c r="R686" s="16">
        <f>IFERROR(VLOOKUP(Table28[[#This Row],[ROUTE]],PRICING!A:B,2,FALSE),0)</f>
        <v>0</v>
      </c>
      <c r="S686" s="16">
        <f>Table28[[#This Row],[C_DEMAND]]-Table28[[#This Row],[R-DEMAND]]</f>
        <v>0</v>
      </c>
      <c r="T686" s="316">
        <f>Table28[[#This Row],[SEATS SOLD]]*Table28[[#This Row],[ECO SEAT]]</f>
        <v>0</v>
      </c>
      <c r="U686" s="316">
        <f>Table28[[#This Row],[SEATS SOLD]]*(IFERROR(VLOOKUP(Table28[[#This Row],[ROUTE]],PRICING!A:C,3,FALSE),0))</f>
        <v>0</v>
      </c>
      <c r="V686" s="316">
        <f>Table28[[#This Row],[SEAT REV]]-Table28[[#This Row],[SEAT REV
(IF IDEAL $)]]</f>
        <v>0</v>
      </c>
      <c r="AS686" s="16" t="s">
        <v>860</v>
      </c>
      <c r="AT686" s="16" t="s">
        <v>13182</v>
      </c>
      <c r="AU686" s="16" t="s">
        <v>178</v>
      </c>
      <c r="AV686" s="16" t="s">
        <v>18884</v>
      </c>
      <c r="AW686" s="16" t="s">
        <v>18879</v>
      </c>
      <c r="AX686" s="16" t="s">
        <v>18935</v>
      </c>
      <c r="AY686" s="385">
        <v>14326</v>
      </c>
    </row>
    <row r="687" spans="1:51" x14ac:dyDescent="0.25">
      <c r="A687" s="16" t="s">
        <v>19631</v>
      </c>
      <c r="B687" s="16" t="s">
        <v>5513</v>
      </c>
      <c r="C687" s="16" t="s">
        <v>467</v>
      </c>
      <c r="D687" s="16">
        <v>4</v>
      </c>
      <c r="E687" s="16" t="s">
        <v>1124</v>
      </c>
      <c r="F687" s="16" t="str">
        <f>VLOOKUP(Table28[[#This Row],[Country]],Table10[[COUNTRY NAME]:[CONTINENT CODE]],3,FALSE)</f>
        <v>AF</v>
      </c>
      <c r="G687" s="16" t="s">
        <v>11042</v>
      </c>
      <c r="H687" s="181">
        <v>14048</v>
      </c>
      <c r="I687" s="180">
        <v>33</v>
      </c>
      <c r="K687" s="316">
        <f>IFERROR(Table28[[#This Row],[ROUTE COST]]/Table28[[#This Row],[O - DEMAND]],0)</f>
        <v>0</v>
      </c>
      <c r="M687" s="16">
        <f>Table28[[#This Row],[O - DEMAND]]/950</f>
        <v>0</v>
      </c>
      <c r="N687" s="16">
        <f>IFERROR(VLOOKUP(Table28[[#This Row],[ROUTE]],DEMAND!A:F,5,FALSE),0)</f>
        <v>2717</v>
      </c>
      <c r="O687" s="16">
        <f>IFERROR(VLOOKUP(Table28[[#This Row],[ROUTE]],DEMAND!A:F,6,FALSE),0)</f>
        <v>817</v>
      </c>
      <c r="P687" s="16">
        <f>ROUNDDOWN(Table28[[#This Row],[R-DEMAND]]/950,0)</f>
        <v>0</v>
      </c>
      <c r="Q687" s="16">
        <f>Table28[[#This Row],[ADD ACC
(475/950)]]*Table28[[#This Row],[Duration
(A359)]]</f>
        <v>0</v>
      </c>
      <c r="R687" s="16">
        <f>IFERROR(VLOOKUP(Table28[[#This Row],[ROUTE]],PRICING!A:B,2,FALSE),0)</f>
        <v>0</v>
      </c>
      <c r="S687" s="16">
        <f>Table28[[#This Row],[C_DEMAND]]-Table28[[#This Row],[R-DEMAND]]</f>
        <v>1900</v>
      </c>
      <c r="T687" s="316">
        <f>Table28[[#This Row],[SEATS SOLD]]*Table28[[#This Row],[ECO SEAT]]</f>
        <v>0</v>
      </c>
      <c r="U687" s="316">
        <f>Table28[[#This Row],[SEATS SOLD]]*(IFERROR(VLOOKUP(Table28[[#This Row],[ROUTE]],PRICING!A:C,3,FALSE),0))</f>
        <v>0</v>
      </c>
      <c r="V687" s="316">
        <f>Table28[[#This Row],[SEAT REV]]-Table28[[#This Row],[SEAT REV
(IF IDEAL $)]]</f>
        <v>0</v>
      </c>
      <c r="AS687" s="16" t="s">
        <v>860</v>
      </c>
      <c r="AT687" s="16" t="s">
        <v>13184</v>
      </c>
      <c r="AU687" s="16" t="s">
        <v>408</v>
      </c>
      <c r="AV687" s="16" t="s">
        <v>18884</v>
      </c>
      <c r="AW687" s="16" t="s">
        <v>18899</v>
      </c>
      <c r="AX687" s="16" t="s">
        <v>18935</v>
      </c>
      <c r="AY687" s="385">
        <v>14329</v>
      </c>
    </row>
    <row r="688" spans="1:51" x14ac:dyDescent="0.25">
      <c r="A688" s="16" t="s">
        <v>19708</v>
      </c>
      <c r="B688" s="16" t="s">
        <v>5606</v>
      </c>
      <c r="D688" s="16">
        <v>4</v>
      </c>
      <c r="E688" s="16" t="s">
        <v>11732</v>
      </c>
      <c r="F688" s="16" t="str">
        <f>VLOOKUP(Table28[[#This Row],[Country]],Table10[[COUNTRY NAME]:[CONTINENT CODE]],3,FALSE)</f>
        <v>NA - US</v>
      </c>
      <c r="G688" s="16" t="s">
        <v>13314</v>
      </c>
      <c r="H688" s="181">
        <v>14585</v>
      </c>
      <c r="I688" s="180">
        <v>34.25</v>
      </c>
      <c r="K688" s="316">
        <f>IFERROR(Table28[[#This Row],[ROUTE COST]]/Table28[[#This Row],[O - DEMAND]],0)</f>
        <v>0</v>
      </c>
      <c r="M688" s="180">
        <f>Table28[[#This Row],[O - DEMAND]]/950</f>
        <v>0</v>
      </c>
      <c r="N688" s="16">
        <f>IFERROR(VLOOKUP(Table28[[#This Row],[ROUTE]],DEMAND!A:F,5,FALSE),0)</f>
        <v>0</v>
      </c>
      <c r="O688" s="16">
        <f>IFERROR(VLOOKUP(Table28[[#This Row],[ROUTE]],DEMAND!A:F,6,FALSE),0)</f>
        <v>0</v>
      </c>
      <c r="P688" s="16">
        <f>ROUNDDOWN(Table28[[#This Row],[R-DEMAND]]/950,0)</f>
        <v>0</v>
      </c>
      <c r="Q688" s="16">
        <f>Table28[[#This Row],[ADD ACC
(475/950)]]*Table28[[#This Row],[Duration
(A359)]]</f>
        <v>0</v>
      </c>
      <c r="R688" s="16">
        <f>IFERROR(VLOOKUP(Table28[[#This Row],[ROUTE]],PRICING!A:B,2,FALSE),0)</f>
        <v>0</v>
      </c>
      <c r="S688" s="16">
        <f>Table28[[#This Row],[C_DEMAND]]-Table28[[#This Row],[R-DEMAND]]</f>
        <v>0</v>
      </c>
      <c r="T688" s="316">
        <f>Table28[[#This Row],[SEATS SOLD]]*Table28[[#This Row],[ECO SEAT]]</f>
        <v>0</v>
      </c>
      <c r="U688" s="316">
        <f>Table28[[#This Row],[SEATS SOLD]]*(IFERROR(VLOOKUP(Table28[[#This Row],[ROUTE]],PRICING!A:C,3,FALSE),0))</f>
        <v>0</v>
      </c>
      <c r="V688" s="316">
        <f>Table28[[#This Row],[SEAT REV]]-Table28[[#This Row],[SEAT REV
(IF IDEAL $)]]</f>
        <v>0</v>
      </c>
      <c r="AS688" s="16" t="s">
        <v>700</v>
      </c>
      <c r="AT688" s="16" t="s">
        <v>11868</v>
      </c>
      <c r="AU688" s="16" t="s">
        <v>4488</v>
      </c>
      <c r="AV688" s="16" t="s">
        <v>18892</v>
      </c>
      <c r="AW688" s="16" t="s">
        <v>18879</v>
      </c>
      <c r="AX688" s="16" t="s">
        <v>18935</v>
      </c>
      <c r="AY688" s="385">
        <v>14338</v>
      </c>
    </row>
    <row r="689" spans="1:51" x14ac:dyDescent="0.25">
      <c r="A689" s="16" t="s">
        <v>19628</v>
      </c>
      <c r="B689" s="16" t="s">
        <v>3042</v>
      </c>
      <c r="D689" s="16">
        <v>2</v>
      </c>
      <c r="E689" s="16" t="s">
        <v>78</v>
      </c>
      <c r="F689" s="16" t="str">
        <f>VLOOKUP(Table28[[#This Row],[Country]],Table10[[COUNTRY NAME]:[CONTINENT CODE]],3,FALSE)</f>
        <v>EU</v>
      </c>
      <c r="G689" s="16" t="s">
        <v>16867</v>
      </c>
      <c r="H689" s="181">
        <v>14007</v>
      </c>
      <c r="I689" s="180">
        <v>33</v>
      </c>
      <c r="K689" s="316">
        <f>IFERROR(Table28[[#This Row],[ROUTE COST]]/Table28[[#This Row],[O - DEMAND]],0)</f>
        <v>0</v>
      </c>
      <c r="M689" s="16">
        <f>Table28[[#This Row],[O - DEMAND]]/950</f>
        <v>0</v>
      </c>
      <c r="N689" s="16">
        <f>IFERROR(VLOOKUP(Table28[[#This Row],[ROUTE]],DEMAND!A:F,5,FALSE),0)</f>
        <v>0</v>
      </c>
      <c r="O689" s="16">
        <f>IFERROR(VLOOKUP(Table28[[#This Row],[ROUTE]],DEMAND!A:F,6,FALSE),0)</f>
        <v>0</v>
      </c>
      <c r="P689" s="16">
        <f>ROUNDDOWN(Table28[[#This Row],[R-DEMAND]]/950,0)</f>
        <v>0</v>
      </c>
      <c r="Q689" s="16">
        <f>Table28[[#This Row],[ADD ACC
(475/950)]]*Table28[[#This Row],[Duration
(A359)]]</f>
        <v>0</v>
      </c>
      <c r="R689" s="16">
        <f>IFERROR(VLOOKUP(Table28[[#This Row],[ROUTE]],PRICING!A:B,2,FALSE),0)</f>
        <v>0</v>
      </c>
      <c r="S689" s="16">
        <f>Table28[[#This Row],[C_DEMAND]]-Table28[[#This Row],[R-DEMAND]]</f>
        <v>0</v>
      </c>
      <c r="T689" s="316">
        <f>Table28[[#This Row],[SEATS SOLD]]*Table28[[#This Row],[ECO SEAT]]</f>
        <v>0</v>
      </c>
      <c r="U689" s="316">
        <f>Table28[[#This Row],[SEATS SOLD]]*(IFERROR(VLOOKUP(Table28[[#This Row],[ROUTE]],PRICING!A:C,3,FALSE),0))</f>
        <v>0</v>
      </c>
      <c r="V689" s="316">
        <f>Table28[[#This Row],[SEAT REV]]-Table28[[#This Row],[SEAT REV
(IF IDEAL $)]]</f>
        <v>0</v>
      </c>
      <c r="AS689" s="16" t="s">
        <v>700</v>
      </c>
      <c r="AT689" s="16" t="s">
        <v>11867</v>
      </c>
      <c r="AU689" s="16" t="s">
        <v>4404</v>
      </c>
      <c r="AV689" s="16" t="s">
        <v>18892</v>
      </c>
      <c r="AW689" s="16" t="s">
        <v>18879</v>
      </c>
      <c r="AX689" s="16" t="s">
        <v>18963</v>
      </c>
      <c r="AY689" s="385">
        <v>14353</v>
      </c>
    </row>
    <row r="690" spans="1:51" x14ac:dyDescent="0.25">
      <c r="A690" s="16" t="s">
        <v>19022</v>
      </c>
      <c r="B690" s="16" t="s">
        <v>81</v>
      </c>
      <c r="D690" s="16">
        <v>4</v>
      </c>
      <c r="E690" s="16" t="s">
        <v>1261</v>
      </c>
      <c r="F690" s="16" t="str">
        <f>VLOOKUP(Table28[[#This Row],[Country]],Table10[[COUNTRY NAME]:[CONTINENT CODE]],3,FALSE)</f>
        <v>AS</v>
      </c>
      <c r="G690" s="16" t="s">
        <v>11040</v>
      </c>
      <c r="H690" s="181">
        <v>4919</v>
      </c>
      <c r="I690" s="180">
        <v>13</v>
      </c>
      <c r="K690" s="316">
        <f>IFERROR(Table28[[#This Row],[ROUTE COST]]/Table28[[#This Row],[O - DEMAND]],0)</f>
        <v>0</v>
      </c>
      <c r="M690" s="16">
        <f>Table28[[#This Row],[O - DEMAND]]/950</f>
        <v>0</v>
      </c>
      <c r="N690" s="16">
        <f>IFERROR(VLOOKUP(Table28[[#This Row],[ROUTE]],DEMAND!A:F,5,FALSE),0)</f>
        <v>0</v>
      </c>
      <c r="O690" s="16">
        <f>IFERROR(VLOOKUP(Table28[[#This Row],[ROUTE]],DEMAND!A:F,6,FALSE),0)</f>
        <v>0</v>
      </c>
      <c r="P690" s="16">
        <f>ROUNDDOWN(Table28[[#This Row],[R-DEMAND]]/950,0)</f>
        <v>0</v>
      </c>
      <c r="Q690" s="16">
        <f>Table28[[#This Row],[ADD ACC
(475/950)]]*Table28[[#This Row],[Duration
(A359)]]</f>
        <v>0</v>
      </c>
      <c r="R690" s="16">
        <f>IFERROR(VLOOKUP(Table28[[#This Row],[ROUTE]],PRICING!A:B,2,FALSE),0)</f>
        <v>0</v>
      </c>
      <c r="S690" s="16">
        <f>Table28[[#This Row],[C_DEMAND]]-Table28[[#This Row],[R-DEMAND]]</f>
        <v>0</v>
      </c>
      <c r="T690" s="316">
        <f>Table28[[#This Row],[SEATS SOLD]]*Table28[[#This Row],[ECO SEAT]]</f>
        <v>0</v>
      </c>
      <c r="U690" s="316">
        <f>Table28[[#This Row],[SEATS SOLD]]*(IFERROR(VLOOKUP(Table28[[#This Row],[ROUTE]],PRICING!A:C,3,FALSE),0))</f>
        <v>0</v>
      </c>
      <c r="V690" s="316">
        <f>Table28[[#This Row],[SEAT REV]]-Table28[[#This Row],[SEAT REV
(IF IDEAL $)]]</f>
        <v>0</v>
      </c>
      <c r="AS690" s="16" t="s">
        <v>4909</v>
      </c>
      <c r="AT690" s="16" t="s">
        <v>8912</v>
      </c>
      <c r="AU690" s="16" t="s">
        <v>5365</v>
      </c>
      <c r="AV690" s="16" t="s">
        <v>18892</v>
      </c>
      <c r="AW690" s="16" t="s">
        <v>18885</v>
      </c>
      <c r="AX690" s="16" t="s">
        <v>18963</v>
      </c>
      <c r="AY690" s="385">
        <v>14387</v>
      </c>
    </row>
    <row r="691" spans="1:51" x14ac:dyDescent="0.25">
      <c r="A691" s="16" t="s">
        <v>19662</v>
      </c>
      <c r="B691" s="16" t="s">
        <v>2392</v>
      </c>
      <c r="D691" s="16">
        <v>1</v>
      </c>
      <c r="E691" s="16" t="s">
        <v>11732</v>
      </c>
      <c r="F691" s="16" t="str">
        <f>VLOOKUP(Table28[[#This Row],[Country]],Table10[[COUNTRY NAME]:[CONTINENT CODE]],3,FALSE)</f>
        <v>NA - US</v>
      </c>
      <c r="G691" s="16" t="s">
        <v>16975</v>
      </c>
      <c r="H691" s="181">
        <v>14194</v>
      </c>
      <c r="I691" s="180">
        <v>33.25</v>
      </c>
      <c r="K691" s="316">
        <f>IFERROR(Table28[[#This Row],[ROUTE COST]]/Table28[[#This Row],[O - DEMAND]],0)</f>
        <v>0</v>
      </c>
      <c r="M691" s="180">
        <f>Table28[[#This Row],[O - DEMAND]]/950</f>
        <v>0</v>
      </c>
      <c r="N691" s="16">
        <f>IFERROR(VLOOKUP(Table28[[#This Row],[ROUTE]],DEMAND!A:F,5,FALSE),0)</f>
        <v>0</v>
      </c>
      <c r="O691" s="16">
        <f>IFERROR(VLOOKUP(Table28[[#This Row],[ROUTE]],DEMAND!A:F,6,FALSE),0)</f>
        <v>0</v>
      </c>
      <c r="P691" s="16">
        <f>ROUNDDOWN(Table28[[#This Row],[R-DEMAND]]/950,0)</f>
        <v>0</v>
      </c>
      <c r="Q691" s="16">
        <f>Table28[[#This Row],[ADD ACC
(475/950)]]*Table28[[#This Row],[Duration
(A359)]]</f>
        <v>0</v>
      </c>
      <c r="R691" s="16">
        <f>IFERROR(VLOOKUP(Table28[[#This Row],[ROUTE]],PRICING!A:B,2,FALSE),0)</f>
        <v>0</v>
      </c>
      <c r="S691" s="16">
        <f>Table28[[#This Row],[C_DEMAND]]-Table28[[#This Row],[R-DEMAND]]</f>
        <v>0</v>
      </c>
      <c r="T691" s="316">
        <f>Table28[[#This Row],[SEATS SOLD]]*Table28[[#This Row],[ECO SEAT]]</f>
        <v>0</v>
      </c>
      <c r="U691" s="316">
        <f>Table28[[#This Row],[SEATS SOLD]]*(IFERROR(VLOOKUP(Table28[[#This Row],[ROUTE]],PRICING!A:C,3,FALSE),0))</f>
        <v>0</v>
      </c>
      <c r="V691" s="316">
        <f>Table28[[#This Row],[SEAT REV]]-Table28[[#This Row],[SEAT REV
(IF IDEAL $)]]</f>
        <v>0</v>
      </c>
      <c r="AS691" s="16" t="s">
        <v>11732</v>
      </c>
      <c r="AT691" s="16" t="s">
        <v>16979</v>
      </c>
      <c r="AU691" s="16" t="s">
        <v>4893</v>
      </c>
      <c r="AV691" s="16" t="s">
        <v>18878</v>
      </c>
      <c r="AX691" s="16" t="s">
        <v>18963</v>
      </c>
      <c r="AY691" s="385">
        <v>14388</v>
      </c>
    </row>
    <row r="692" spans="1:51" x14ac:dyDescent="0.25">
      <c r="A692" s="16" t="s">
        <v>19698</v>
      </c>
      <c r="B692" s="16" t="s">
        <v>79</v>
      </c>
      <c r="C692" s="16" t="s">
        <v>467</v>
      </c>
      <c r="D692" s="16">
        <v>4</v>
      </c>
      <c r="E692" s="16" t="s">
        <v>78</v>
      </c>
      <c r="F692" s="16" t="str">
        <f>VLOOKUP(Table28[[#This Row],[Country]],Table10[[COUNTRY NAME]:[CONTINENT CODE]],3,FALSE)</f>
        <v>EU</v>
      </c>
      <c r="G692" s="16" t="s">
        <v>77</v>
      </c>
      <c r="H692" s="181">
        <v>14518</v>
      </c>
      <c r="I692" s="180">
        <v>34</v>
      </c>
      <c r="K692" s="316">
        <f>IFERROR(Table28[[#This Row],[ROUTE COST]]/Table28[[#This Row],[O - DEMAND]],0)</f>
        <v>0</v>
      </c>
      <c r="M692" s="16">
        <f>Table28[[#This Row],[O - DEMAND]]/950</f>
        <v>0</v>
      </c>
      <c r="N692" s="16">
        <f>IFERROR(VLOOKUP(Table28[[#This Row],[ROUTE]],DEMAND!A:F,5,FALSE),0)</f>
        <v>2582</v>
      </c>
      <c r="O692" s="16">
        <f>IFERROR(VLOOKUP(Table28[[#This Row],[ROUTE]],DEMAND!A:F,6,FALSE),0)</f>
        <v>682</v>
      </c>
      <c r="P692" s="16">
        <f>ROUNDDOWN(Table28[[#This Row],[R-DEMAND]]/950,0)</f>
        <v>0</v>
      </c>
      <c r="Q692" s="16">
        <f>Table28[[#This Row],[ADD ACC
(475/950)]]*Table28[[#This Row],[Duration
(A359)]]</f>
        <v>0</v>
      </c>
      <c r="R692" s="16">
        <f>IFERROR(VLOOKUP(Table28[[#This Row],[ROUTE]],PRICING!A:B,2,FALSE),0)</f>
        <v>0</v>
      </c>
      <c r="S692" s="16">
        <f>Table28[[#This Row],[C_DEMAND]]-Table28[[#This Row],[R-DEMAND]]</f>
        <v>1900</v>
      </c>
      <c r="T692" s="316">
        <f>Table28[[#This Row],[SEATS SOLD]]*Table28[[#This Row],[ECO SEAT]]</f>
        <v>0</v>
      </c>
      <c r="U692" s="316">
        <f>Table28[[#This Row],[SEATS SOLD]]*(IFERROR(VLOOKUP(Table28[[#This Row],[ROUTE]],PRICING!A:C,3,FALSE),0))</f>
        <v>0</v>
      </c>
      <c r="V692" s="316">
        <f>Table28[[#This Row],[SEAT REV]]-Table28[[#This Row],[SEAT REV
(IF IDEAL $)]]</f>
        <v>0</v>
      </c>
      <c r="AS692" s="16" t="s">
        <v>11732</v>
      </c>
      <c r="AT692" s="16" t="s">
        <v>17011</v>
      </c>
      <c r="AU692" s="16" t="s">
        <v>4723</v>
      </c>
      <c r="AV692" s="16" t="s">
        <v>18878</v>
      </c>
      <c r="AX692" s="16" t="s">
        <v>18963</v>
      </c>
      <c r="AY692" s="385">
        <v>14400</v>
      </c>
    </row>
    <row r="693" spans="1:51" x14ac:dyDescent="0.25">
      <c r="A693" s="16" t="s">
        <v>19506</v>
      </c>
      <c r="B693" s="16" t="s">
        <v>5047</v>
      </c>
      <c r="C693" s="16" t="s">
        <v>467</v>
      </c>
      <c r="D693" s="16">
        <v>3</v>
      </c>
      <c r="E693" s="16" t="s">
        <v>78</v>
      </c>
      <c r="F693" s="16" t="str">
        <f>VLOOKUP(Table28[[#This Row],[Country]],Table10[[COUNTRY NAME]:[CONTINENT CODE]],3,FALSE)</f>
        <v>EU</v>
      </c>
      <c r="G693" s="16" t="s">
        <v>11914</v>
      </c>
      <c r="H693" s="181">
        <v>13127</v>
      </c>
      <c r="I693" s="180">
        <v>31</v>
      </c>
      <c r="K693" s="316">
        <f>IFERROR(Table28[[#This Row],[ROUTE COST]]/Table28[[#This Row],[O - DEMAND]],0)</f>
        <v>0</v>
      </c>
      <c r="M693" s="16">
        <f>Table28[[#This Row],[O - DEMAND]]/950</f>
        <v>0</v>
      </c>
      <c r="N693" s="16">
        <f>IFERROR(VLOOKUP(Table28[[#This Row],[ROUTE]],DEMAND!A:F,5,FALSE),0)</f>
        <v>2949</v>
      </c>
      <c r="O693" s="16">
        <f>IFERROR(VLOOKUP(Table28[[#This Row],[ROUTE]],DEMAND!A:F,6,FALSE),0)</f>
        <v>99</v>
      </c>
      <c r="P693" s="16">
        <f>ROUNDDOWN(Table28[[#This Row],[R-DEMAND]]/950,0)</f>
        <v>0</v>
      </c>
      <c r="Q693" s="16">
        <f>Table28[[#This Row],[ADD ACC
(475/950)]]*Table28[[#This Row],[Duration
(A359)]]</f>
        <v>0</v>
      </c>
      <c r="R693" s="16">
        <f>IFERROR(VLOOKUP(Table28[[#This Row],[ROUTE]],PRICING!A:B,2,FALSE),0)</f>
        <v>0</v>
      </c>
      <c r="S693" s="16">
        <f>Table28[[#This Row],[C_DEMAND]]-Table28[[#This Row],[R-DEMAND]]</f>
        <v>2850</v>
      </c>
      <c r="T693" s="316">
        <f>Table28[[#This Row],[SEATS SOLD]]*Table28[[#This Row],[ECO SEAT]]</f>
        <v>0</v>
      </c>
      <c r="U693" s="316">
        <f>Table28[[#This Row],[SEATS SOLD]]*(IFERROR(VLOOKUP(Table28[[#This Row],[ROUTE]],PRICING!A:C,3,FALSE),0))</f>
        <v>0</v>
      </c>
      <c r="V693" s="316">
        <f>Table28[[#This Row],[SEAT REV]]-Table28[[#This Row],[SEAT REV
(IF IDEAL $)]]</f>
        <v>0</v>
      </c>
      <c r="AS693" s="16" t="s">
        <v>722</v>
      </c>
      <c r="AT693" s="16" t="s">
        <v>16875</v>
      </c>
      <c r="AU693" s="16" t="s">
        <v>1329</v>
      </c>
      <c r="AV693" s="16" t="s">
        <v>18878</v>
      </c>
      <c r="AW693" s="16" t="s">
        <v>18890</v>
      </c>
      <c r="AX693" s="16" t="s">
        <v>18963</v>
      </c>
      <c r="AY693" s="385">
        <v>14405</v>
      </c>
    </row>
    <row r="694" spans="1:51" x14ac:dyDescent="0.25">
      <c r="A694" s="16" t="s">
        <v>19276</v>
      </c>
      <c r="B694" s="16" t="s">
        <v>74</v>
      </c>
      <c r="C694" s="16" t="s">
        <v>467</v>
      </c>
      <c r="D694" s="16">
        <v>2</v>
      </c>
      <c r="E694" s="16" t="s">
        <v>1070</v>
      </c>
      <c r="F694" s="16" t="str">
        <f>VLOOKUP(Table28[[#This Row],[Country]],Table10[[COUNTRY NAME]:[CONTINENT CODE]],3,FALSE)</f>
        <v>AS</v>
      </c>
      <c r="G694" s="16" t="s">
        <v>12009</v>
      </c>
      <c r="H694" s="181">
        <v>10972</v>
      </c>
      <c r="I694" s="180">
        <v>26.25</v>
      </c>
      <c r="K694" s="316">
        <f>IFERROR(Table28[[#This Row],[ROUTE COST]]/Table28[[#This Row],[O - DEMAND]],0)</f>
        <v>0</v>
      </c>
      <c r="M694" s="16">
        <f>Table28[[#This Row],[O - DEMAND]]/950</f>
        <v>0</v>
      </c>
      <c r="N694" s="16">
        <f>IFERROR(VLOOKUP(Table28[[#This Row],[ROUTE]],DEMAND!A:F,5,FALSE),0)</f>
        <v>3540</v>
      </c>
      <c r="O694" s="16">
        <f>IFERROR(VLOOKUP(Table28[[#This Row],[ROUTE]],DEMAND!A:F,6,FALSE),0)</f>
        <v>690</v>
      </c>
      <c r="P694" s="16">
        <f>ROUNDDOWN(Table28[[#This Row],[R-DEMAND]]/950,0)</f>
        <v>0</v>
      </c>
      <c r="Q694" s="16">
        <f>Table28[[#This Row],[ADD ACC
(475/950)]]*Table28[[#This Row],[Duration
(A359)]]</f>
        <v>0</v>
      </c>
      <c r="R694" s="16">
        <f>IFERROR(VLOOKUP(Table28[[#This Row],[ROUTE]],PRICING!A:B,2,FALSE),0)</f>
        <v>0</v>
      </c>
      <c r="S694" s="16">
        <f>Table28[[#This Row],[C_DEMAND]]-Table28[[#This Row],[R-DEMAND]]</f>
        <v>2850</v>
      </c>
      <c r="T694" s="316">
        <f>Table28[[#This Row],[SEATS SOLD]]*Table28[[#This Row],[ECO SEAT]]</f>
        <v>0</v>
      </c>
      <c r="U694" s="316">
        <f>Table28[[#This Row],[SEATS SOLD]]*(IFERROR(VLOOKUP(Table28[[#This Row],[ROUTE]],PRICING!A:C,3,FALSE),0))</f>
        <v>0</v>
      </c>
      <c r="V694" s="316">
        <f>Table28[[#This Row],[SEAT REV]]-Table28[[#This Row],[SEAT REV
(IF IDEAL $)]]</f>
        <v>0</v>
      </c>
      <c r="AS694" s="16" t="s">
        <v>1124</v>
      </c>
      <c r="AT694" s="16" t="s">
        <v>11101</v>
      </c>
      <c r="AU694" s="16" t="s">
        <v>388</v>
      </c>
      <c r="AV694" s="16" t="s">
        <v>18884</v>
      </c>
      <c r="AW694" s="16" t="s">
        <v>18899</v>
      </c>
      <c r="AX694" s="16" t="s">
        <v>18963</v>
      </c>
      <c r="AY694" s="385">
        <v>14407</v>
      </c>
    </row>
    <row r="695" spans="1:51" x14ac:dyDescent="0.25">
      <c r="A695" s="16" t="s">
        <v>19077</v>
      </c>
      <c r="B695" s="16" t="s">
        <v>68</v>
      </c>
      <c r="D695" s="16">
        <v>4</v>
      </c>
      <c r="E695" s="16" t="s">
        <v>14</v>
      </c>
      <c r="F695" s="16" t="str">
        <f>VLOOKUP(Table28[[#This Row],[Country]],Table10[[COUNTRY NAME]:[CONTINENT CODE]],3,FALSE)</f>
        <v>AS</v>
      </c>
      <c r="G695" s="16" t="s">
        <v>12091</v>
      </c>
      <c r="H695" s="181">
        <v>7303</v>
      </c>
      <c r="I695" s="180">
        <v>18.25</v>
      </c>
      <c r="K695" s="316">
        <f>IFERROR(Table28[[#This Row],[ROUTE COST]]/Table28[[#This Row],[O - DEMAND]],0)</f>
        <v>0</v>
      </c>
      <c r="M695" s="16">
        <f>Table28[[#This Row],[O - DEMAND]]/950</f>
        <v>0</v>
      </c>
      <c r="N695" s="16">
        <f>IFERROR(VLOOKUP(Table28[[#This Row],[ROUTE]],DEMAND!A:F,5,FALSE),0)</f>
        <v>0</v>
      </c>
      <c r="O695" s="16">
        <f>IFERROR(VLOOKUP(Table28[[#This Row],[ROUTE]],DEMAND!A:F,6,FALSE),0)</f>
        <v>0</v>
      </c>
      <c r="P695" s="16">
        <f>ROUNDDOWN(Table28[[#This Row],[R-DEMAND]]/950,0)</f>
        <v>0</v>
      </c>
      <c r="Q695" s="16">
        <f>Table28[[#This Row],[ADD ACC
(475/950)]]*Table28[[#This Row],[Duration
(A359)]]</f>
        <v>0</v>
      </c>
      <c r="R695" s="16">
        <f>IFERROR(VLOOKUP(Table28[[#This Row],[ROUTE]],PRICING!A:B,2,FALSE),0)</f>
        <v>0</v>
      </c>
      <c r="S695" s="16">
        <f>Table28[[#This Row],[C_DEMAND]]-Table28[[#This Row],[R-DEMAND]]</f>
        <v>0</v>
      </c>
      <c r="T695" s="316">
        <f>Table28[[#This Row],[SEATS SOLD]]*Table28[[#This Row],[ECO SEAT]]</f>
        <v>0</v>
      </c>
      <c r="U695" s="316">
        <f>Table28[[#This Row],[SEATS SOLD]]*(IFERROR(VLOOKUP(Table28[[#This Row],[ROUTE]],PRICING!A:C,3,FALSE),0))</f>
        <v>0</v>
      </c>
      <c r="V695" s="316">
        <f>Table28[[#This Row],[SEAT REV]]-Table28[[#This Row],[SEAT REV
(IF IDEAL $)]]</f>
        <v>0</v>
      </c>
      <c r="AS695" s="16" t="s">
        <v>700</v>
      </c>
      <c r="AT695" s="16" t="s">
        <v>11865</v>
      </c>
      <c r="AU695" s="16" t="s">
        <v>1916</v>
      </c>
      <c r="AV695" s="16" t="s">
        <v>18892</v>
      </c>
      <c r="AW695" s="16" t="s">
        <v>18890</v>
      </c>
      <c r="AX695" s="16" t="s">
        <v>18963</v>
      </c>
      <c r="AY695" s="385">
        <v>14410</v>
      </c>
    </row>
    <row r="696" spans="1:51" x14ac:dyDescent="0.25">
      <c r="A696" s="16" t="s">
        <v>19409</v>
      </c>
      <c r="B696" s="16" t="s">
        <v>5035</v>
      </c>
      <c r="D696" s="16">
        <v>3</v>
      </c>
      <c r="E696" s="16" t="s">
        <v>502</v>
      </c>
      <c r="F696" s="16" t="str">
        <f>VLOOKUP(Table28[[#This Row],[Country]],Table10[[COUNTRY NAME]:[CONTINENT CODE]],3,FALSE)</f>
        <v>AS</v>
      </c>
      <c r="G696" s="16" t="s">
        <v>11957</v>
      </c>
      <c r="H696" s="181">
        <v>12515</v>
      </c>
      <c r="I696" s="180">
        <v>29.5</v>
      </c>
      <c r="K696" s="316">
        <f>IFERROR(Table28[[#This Row],[ROUTE COST]]/Table28[[#This Row],[O - DEMAND]],0)</f>
        <v>0</v>
      </c>
      <c r="M696" s="16">
        <f>Table28[[#This Row],[O - DEMAND]]/950</f>
        <v>0</v>
      </c>
      <c r="N696" s="16">
        <f>IFERROR(VLOOKUP(Table28[[#This Row],[ROUTE]],DEMAND!A:F,5,FALSE),0)</f>
        <v>0</v>
      </c>
      <c r="O696" s="16">
        <f>IFERROR(VLOOKUP(Table28[[#This Row],[ROUTE]],DEMAND!A:F,6,FALSE),0)</f>
        <v>0</v>
      </c>
      <c r="P696" s="16">
        <f>ROUNDDOWN(Table28[[#This Row],[R-DEMAND]]/950,0)</f>
        <v>0</v>
      </c>
      <c r="Q696" s="16">
        <f>Table28[[#This Row],[ADD ACC
(475/950)]]*Table28[[#This Row],[Duration
(A359)]]</f>
        <v>0</v>
      </c>
      <c r="R696" s="16">
        <f>IFERROR(VLOOKUP(Table28[[#This Row],[ROUTE]],PRICING!A:B,2,FALSE),0)</f>
        <v>0</v>
      </c>
      <c r="S696" s="16">
        <f>Table28[[#This Row],[C_DEMAND]]-Table28[[#This Row],[R-DEMAND]]</f>
        <v>0</v>
      </c>
      <c r="T696" s="316">
        <f>Table28[[#This Row],[SEATS SOLD]]*Table28[[#This Row],[ECO SEAT]]</f>
        <v>0</v>
      </c>
      <c r="U696" s="316">
        <f>Table28[[#This Row],[SEATS SOLD]]*(IFERROR(VLOOKUP(Table28[[#This Row],[ROUTE]],PRICING!A:C,3,FALSE),0))</f>
        <v>0</v>
      </c>
      <c r="V696" s="316">
        <f>Table28[[#This Row],[SEAT REV]]-Table28[[#This Row],[SEAT REV
(IF IDEAL $)]]</f>
        <v>0</v>
      </c>
      <c r="AS696" s="16" t="s">
        <v>11732</v>
      </c>
      <c r="AT696" s="16" t="s">
        <v>17015</v>
      </c>
      <c r="AU696" s="16" t="s">
        <v>4443</v>
      </c>
      <c r="AV696" s="16" t="s">
        <v>18878</v>
      </c>
      <c r="AX696" s="16" t="s">
        <v>18963</v>
      </c>
      <c r="AY696" s="385">
        <v>14417</v>
      </c>
    </row>
    <row r="697" spans="1:51" x14ac:dyDescent="0.25">
      <c r="A697" s="16" t="s">
        <v>19053</v>
      </c>
      <c r="B697" s="16" t="s">
        <v>4439</v>
      </c>
      <c r="D697" s="16">
        <v>2</v>
      </c>
      <c r="E697" s="16" t="s">
        <v>709</v>
      </c>
      <c r="F697" s="16" t="str">
        <f>VLOOKUP(Table28[[#This Row],[Country]],Table10[[COUNTRY NAME]:[CONTINENT CODE]],3,FALSE)</f>
        <v>AS</v>
      </c>
      <c r="G697" s="16" t="s">
        <v>12112</v>
      </c>
      <c r="H697" s="181">
        <v>6628</v>
      </c>
      <c r="I697" s="180">
        <v>16.75</v>
      </c>
      <c r="K697" s="316">
        <f>IFERROR(Table28[[#This Row],[ROUTE COST]]/Table28[[#This Row],[O - DEMAND]],0)</f>
        <v>0</v>
      </c>
      <c r="M697" s="16">
        <f>Table28[[#This Row],[O - DEMAND]]/950</f>
        <v>0</v>
      </c>
      <c r="N697" s="16">
        <f>IFERROR(VLOOKUP(Table28[[#This Row],[ROUTE]],DEMAND!A:F,5,FALSE),0)</f>
        <v>0</v>
      </c>
      <c r="O697" s="16">
        <f>IFERROR(VLOOKUP(Table28[[#This Row],[ROUTE]],DEMAND!A:F,6,FALSE),0)</f>
        <v>0</v>
      </c>
      <c r="P697" s="16">
        <f>ROUNDDOWN(Table28[[#This Row],[R-DEMAND]]/950,0)</f>
        <v>0</v>
      </c>
      <c r="Q697" s="16">
        <f>Table28[[#This Row],[ADD ACC
(475/950)]]*Table28[[#This Row],[Duration
(A359)]]</f>
        <v>0</v>
      </c>
      <c r="R697" s="16">
        <f>IFERROR(VLOOKUP(Table28[[#This Row],[ROUTE]],PRICING!A:B,2,FALSE),0)</f>
        <v>0</v>
      </c>
      <c r="S697" s="16">
        <f>Table28[[#This Row],[C_DEMAND]]-Table28[[#This Row],[R-DEMAND]]</f>
        <v>0</v>
      </c>
      <c r="T697" s="316">
        <f>Table28[[#This Row],[SEATS SOLD]]*Table28[[#This Row],[ECO SEAT]]</f>
        <v>0</v>
      </c>
      <c r="U697" s="316">
        <f>Table28[[#This Row],[SEATS SOLD]]*(IFERROR(VLOOKUP(Table28[[#This Row],[ROUTE]],PRICING!A:C,3,FALSE),0))</f>
        <v>0</v>
      </c>
      <c r="V697" s="316">
        <f>Table28[[#This Row],[SEAT REV]]-Table28[[#This Row],[SEAT REV
(IF IDEAL $)]]</f>
        <v>0</v>
      </c>
      <c r="AS697" s="16" t="s">
        <v>700</v>
      </c>
      <c r="AT697" s="16" t="s">
        <v>11863</v>
      </c>
      <c r="AU697" s="16" t="s">
        <v>2890</v>
      </c>
      <c r="AV697" s="16" t="s">
        <v>18892</v>
      </c>
      <c r="AW697" s="16" t="s">
        <v>18879</v>
      </c>
      <c r="AX697" s="16" t="s">
        <v>18963</v>
      </c>
      <c r="AY697" s="385">
        <v>14434</v>
      </c>
    </row>
    <row r="698" spans="1:51" x14ac:dyDescent="0.25">
      <c r="A698" s="16" t="s">
        <v>19680</v>
      </c>
      <c r="B698" s="16" t="s">
        <v>4488</v>
      </c>
      <c r="D698" s="16">
        <v>2</v>
      </c>
      <c r="E698" s="16" t="s">
        <v>700</v>
      </c>
      <c r="F698" s="16" t="str">
        <f>VLOOKUP(Table28[[#This Row],[Country]],Table10[[COUNTRY NAME]:[CONTINENT CODE]],3,FALSE)</f>
        <v>AS</v>
      </c>
      <c r="G698" s="16" t="s">
        <v>11868</v>
      </c>
      <c r="H698" s="181">
        <v>14338</v>
      </c>
      <c r="I698" s="180">
        <v>33.5</v>
      </c>
      <c r="K698" s="316">
        <f>IFERROR(Table28[[#This Row],[ROUTE COST]]/Table28[[#This Row],[O - DEMAND]],0)</f>
        <v>0</v>
      </c>
      <c r="M698" s="16">
        <f>Table28[[#This Row],[O - DEMAND]]/950</f>
        <v>0</v>
      </c>
      <c r="N698" s="16">
        <f>IFERROR(VLOOKUP(Table28[[#This Row],[ROUTE]],DEMAND!A:F,5,FALSE),0)</f>
        <v>0</v>
      </c>
      <c r="O698" s="16">
        <f>IFERROR(VLOOKUP(Table28[[#This Row],[ROUTE]],DEMAND!A:F,6,FALSE),0)</f>
        <v>0</v>
      </c>
      <c r="P698" s="16">
        <f>ROUNDDOWN(Table28[[#This Row],[R-DEMAND]]/950,0)</f>
        <v>0</v>
      </c>
      <c r="Q698" s="16">
        <f>Table28[[#This Row],[ADD ACC
(475/950)]]*Table28[[#This Row],[Duration
(A359)]]</f>
        <v>0</v>
      </c>
      <c r="R698" s="16">
        <f>IFERROR(VLOOKUP(Table28[[#This Row],[ROUTE]],PRICING!A:B,2,FALSE),0)</f>
        <v>0</v>
      </c>
      <c r="S698" s="16">
        <f>Table28[[#This Row],[C_DEMAND]]-Table28[[#This Row],[R-DEMAND]]</f>
        <v>0</v>
      </c>
      <c r="T698" s="316">
        <f>Table28[[#This Row],[SEATS SOLD]]*Table28[[#This Row],[ECO SEAT]]</f>
        <v>0</v>
      </c>
      <c r="U698" s="316">
        <f>Table28[[#This Row],[SEATS SOLD]]*(IFERROR(VLOOKUP(Table28[[#This Row],[ROUTE]],PRICING!A:C,3,FALSE),0))</f>
        <v>0</v>
      </c>
      <c r="V698" s="316">
        <f>Table28[[#This Row],[SEAT REV]]-Table28[[#This Row],[SEAT REV
(IF IDEAL $)]]</f>
        <v>0</v>
      </c>
      <c r="AS698" s="16" t="s">
        <v>78</v>
      </c>
      <c r="AT698" s="16" t="s">
        <v>14215</v>
      </c>
      <c r="AU698" s="16" t="s">
        <v>14216</v>
      </c>
      <c r="AV698" s="16" t="s">
        <v>18884</v>
      </c>
      <c r="AW698" s="16" t="s">
        <v>18885</v>
      </c>
      <c r="AX698" s="16" t="s">
        <v>18959</v>
      </c>
      <c r="AY698" s="385">
        <v>14472</v>
      </c>
    </row>
    <row r="699" spans="1:51" x14ac:dyDescent="0.25">
      <c r="A699" s="16" t="s">
        <v>19085</v>
      </c>
      <c r="B699" s="16" t="s">
        <v>65</v>
      </c>
      <c r="C699" s="16" t="s">
        <v>467</v>
      </c>
      <c r="D699" s="16">
        <v>5</v>
      </c>
      <c r="E699" s="16" t="s">
        <v>14</v>
      </c>
      <c r="F699" s="16" t="str">
        <f>VLOOKUP(Table28[[#This Row],[Country]],Table10[[COUNTRY NAME]:[CONTINENT CODE]],3,FALSE)</f>
        <v>AS</v>
      </c>
      <c r="G699" s="16" t="s">
        <v>11039</v>
      </c>
      <c r="H699" s="181">
        <v>7432</v>
      </c>
      <c r="I699" s="180">
        <v>18.5</v>
      </c>
      <c r="K699" s="316">
        <f>IFERROR(Table28[[#This Row],[ROUTE COST]]/Table28[[#This Row],[O - DEMAND]],0)</f>
        <v>0</v>
      </c>
      <c r="M699" s="16">
        <f>Table28[[#This Row],[O - DEMAND]]/950</f>
        <v>0</v>
      </c>
      <c r="N699" s="16">
        <f>IFERROR(VLOOKUP(Table28[[#This Row],[ROUTE]],DEMAND!A:F,5,FALSE),0)</f>
        <v>3280</v>
      </c>
      <c r="O699" s="16">
        <f>IFERROR(VLOOKUP(Table28[[#This Row],[ROUTE]],DEMAND!A:F,6,FALSE),0)</f>
        <v>430</v>
      </c>
      <c r="P699" s="16">
        <f>ROUNDDOWN(Table28[[#This Row],[R-DEMAND]]/950,0)</f>
        <v>0</v>
      </c>
      <c r="Q699" s="16">
        <f>Table28[[#This Row],[ADD ACC
(475/950)]]*Table28[[#This Row],[Duration
(A359)]]</f>
        <v>0</v>
      </c>
      <c r="R699" s="16">
        <f>IFERROR(VLOOKUP(Table28[[#This Row],[ROUTE]],PRICING!A:B,2,FALSE),0)</f>
        <v>0</v>
      </c>
      <c r="S699" s="16">
        <f>Table28[[#This Row],[C_DEMAND]]-Table28[[#This Row],[R-DEMAND]]</f>
        <v>2850</v>
      </c>
      <c r="T699" s="316">
        <f>Table28[[#This Row],[SEATS SOLD]]*Table28[[#This Row],[ECO SEAT]]</f>
        <v>0</v>
      </c>
      <c r="U699" s="316">
        <f>Table28[[#This Row],[SEATS SOLD]]*(IFERROR(VLOOKUP(Table28[[#This Row],[ROUTE]],PRICING!A:C,3,FALSE),0))</f>
        <v>0</v>
      </c>
      <c r="V699" s="316">
        <f>Table28[[#This Row],[SEAT REV]]-Table28[[#This Row],[SEAT REV
(IF IDEAL $)]]</f>
        <v>0</v>
      </c>
      <c r="AS699" s="16" t="s">
        <v>4909</v>
      </c>
      <c r="AT699" s="16" t="s">
        <v>16872</v>
      </c>
      <c r="AU699" s="16" t="s">
        <v>4911</v>
      </c>
      <c r="AV699" s="16" t="s">
        <v>18878</v>
      </c>
      <c r="AW699" s="16" t="s">
        <v>18885</v>
      </c>
      <c r="AX699" s="16" t="s">
        <v>18959</v>
      </c>
      <c r="AY699" s="385">
        <v>14481</v>
      </c>
    </row>
    <row r="700" spans="1:51" x14ac:dyDescent="0.25">
      <c r="A700" s="16" t="s">
        <v>19127</v>
      </c>
      <c r="B700" s="16" t="s">
        <v>4683</v>
      </c>
      <c r="D700" s="16">
        <v>2</v>
      </c>
      <c r="E700" s="16" t="s">
        <v>258</v>
      </c>
      <c r="F700" s="16" t="str">
        <f>VLOOKUP(Table28[[#This Row],[Country]],Table10[[COUNTRY NAME]:[CONTINENT CODE]],3,FALSE)</f>
        <v>AS</v>
      </c>
      <c r="G700" s="16" t="s">
        <v>12021</v>
      </c>
      <c r="H700" s="181">
        <v>8112</v>
      </c>
      <c r="I700" s="180">
        <v>20</v>
      </c>
      <c r="K700" s="316">
        <f>IFERROR(Table28[[#This Row],[ROUTE COST]]/Table28[[#This Row],[O - DEMAND]],0)</f>
        <v>0</v>
      </c>
      <c r="M700" s="16">
        <f>Table28[[#This Row],[O - DEMAND]]/950</f>
        <v>0</v>
      </c>
      <c r="N700" s="16">
        <f>IFERROR(VLOOKUP(Table28[[#This Row],[ROUTE]],DEMAND!A:F,5,FALSE),0)</f>
        <v>0</v>
      </c>
      <c r="O700" s="16">
        <f>IFERROR(VLOOKUP(Table28[[#This Row],[ROUTE]],DEMAND!A:F,6,FALSE),0)</f>
        <v>0</v>
      </c>
      <c r="P700" s="16">
        <f>ROUNDDOWN(Table28[[#This Row],[R-DEMAND]]/950,0)</f>
        <v>0</v>
      </c>
      <c r="Q700" s="16">
        <f>Table28[[#This Row],[ADD ACC
(475/950)]]*Table28[[#This Row],[Duration
(A359)]]</f>
        <v>0</v>
      </c>
      <c r="R700" s="16">
        <f>IFERROR(VLOOKUP(Table28[[#This Row],[ROUTE]],PRICING!A:B,2,FALSE),0)</f>
        <v>0</v>
      </c>
      <c r="S700" s="16">
        <f>Table28[[#This Row],[C_DEMAND]]-Table28[[#This Row],[R-DEMAND]]</f>
        <v>0</v>
      </c>
      <c r="T700" s="316">
        <f>Table28[[#This Row],[SEATS SOLD]]*Table28[[#This Row],[ECO SEAT]]</f>
        <v>0</v>
      </c>
      <c r="U700" s="316">
        <f>Table28[[#This Row],[SEATS SOLD]]*(IFERROR(VLOOKUP(Table28[[#This Row],[ROUTE]],PRICING!A:C,3,FALSE),0))</f>
        <v>0</v>
      </c>
      <c r="V700" s="316">
        <f>Table28[[#This Row],[SEAT REV]]-Table28[[#This Row],[SEAT REV
(IF IDEAL $)]]</f>
        <v>0</v>
      </c>
      <c r="AS700" s="16" t="s">
        <v>78</v>
      </c>
      <c r="AT700" s="16" t="s">
        <v>11091</v>
      </c>
      <c r="AU700" s="16" t="s">
        <v>335</v>
      </c>
      <c r="AV700" s="16" t="s">
        <v>18884</v>
      </c>
      <c r="AW700" s="16" t="s">
        <v>18918</v>
      </c>
      <c r="AX700" s="16" t="s">
        <v>18959</v>
      </c>
      <c r="AY700" s="385">
        <v>14484</v>
      </c>
    </row>
    <row r="701" spans="1:51" x14ac:dyDescent="0.25">
      <c r="A701" s="16" t="s">
        <v>19392</v>
      </c>
      <c r="B701" s="16" t="s">
        <v>1989</v>
      </c>
      <c r="D701" s="16">
        <v>1</v>
      </c>
      <c r="E701" s="16" t="s">
        <v>1289</v>
      </c>
      <c r="F701" s="16" t="str">
        <f>VLOOKUP(Table28[[#This Row],[Country]],Table10[[COUNTRY NAME]:[CONTINENT CODE]],3,FALSE)</f>
        <v>AS</v>
      </c>
      <c r="G701" s="16" t="s">
        <v>11946</v>
      </c>
      <c r="H701" s="181">
        <v>12413</v>
      </c>
      <c r="I701" s="180">
        <v>29.5</v>
      </c>
      <c r="K701" s="316">
        <f>IFERROR(Table28[[#This Row],[ROUTE COST]]/Table28[[#This Row],[O - DEMAND]],0)</f>
        <v>0</v>
      </c>
      <c r="M701" s="16">
        <f>Table28[[#This Row],[O - DEMAND]]/950</f>
        <v>0</v>
      </c>
      <c r="N701" s="16">
        <f>IFERROR(VLOOKUP(Table28[[#This Row],[ROUTE]],DEMAND!A:F,5,FALSE),0)</f>
        <v>0</v>
      </c>
      <c r="O701" s="16">
        <f>IFERROR(VLOOKUP(Table28[[#This Row],[ROUTE]],DEMAND!A:F,6,FALSE),0)</f>
        <v>0</v>
      </c>
      <c r="P701" s="16">
        <f>ROUNDDOWN(Table28[[#This Row],[R-DEMAND]]/950,0)</f>
        <v>0</v>
      </c>
      <c r="Q701" s="16">
        <f>Table28[[#This Row],[ADD ACC
(475/950)]]*Table28[[#This Row],[Duration
(A359)]]</f>
        <v>0</v>
      </c>
      <c r="R701" s="16">
        <f>IFERROR(VLOOKUP(Table28[[#This Row],[ROUTE]],PRICING!A:B,2,FALSE),0)</f>
        <v>0</v>
      </c>
      <c r="S701" s="16">
        <f>Table28[[#This Row],[C_DEMAND]]-Table28[[#This Row],[R-DEMAND]]</f>
        <v>0</v>
      </c>
      <c r="T701" s="316">
        <f>Table28[[#This Row],[SEATS SOLD]]*Table28[[#This Row],[ECO SEAT]]</f>
        <v>0</v>
      </c>
      <c r="U701" s="316">
        <f>Table28[[#This Row],[SEATS SOLD]]*(IFERROR(VLOOKUP(Table28[[#This Row],[ROUTE]],PRICING!A:C,3,FALSE),0))</f>
        <v>0</v>
      </c>
      <c r="V701" s="316">
        <f>Table28[[#This Row],[SEAT REV]]-Table28[[#This Row],[SEAT REV
(IF IDEAL $)]]</f>
        <v>0</v>
      </c>
      <c r="AS701" s="16" t="s">
        <v>11732</v>
      </c>
      <c r="AT701" s="16" t="s">
        <v>17016</v>
      </c>
      <c r="AU701" s="16" t="s">
        <v>4154</v>
      </c>
      <c r="AV701" s="16" t="s">
        <v>18878</v>
      </c>
      <c r="AX701" s="16" t="s">
        <v>18959</v>
      </c>
      <c r="AY701" s="385">
        <v>14502</v>
      </c>
    </row>
    <row r="702" spans="1:51" x14ac:dyDescent="0.25">
      <c r="A702" s="16" t="s">
        <v>19525</v>
      </c>
      <c r="B702" s="16" t="s">
        <v>4025</v>
      </c>
      <c r="D702" s="16">
        <v>2</v>
      </c>
      <c r="E702" s="16" t="s">
        <v>1749</v>
      </c>
      <c r="F702" s="16" t="str">
        <f>VLOOKUP(Table28[[#This Row],[Country]],Table10[[COUNTRY NAME]:[CONTINENT CODE]],3,FALSE)</f>
        <v>NA</v>
      </c>
      <c r="G702" s="16" t="s">
        <v>17003</v>
      </c>
      <c r="H702" s="181">
        <v>13247</v>
      </c>
      <c r="I702" s="180">
        <v>31.25</v>
      </c>
      <c r="K702" s="316">
        <f>IFERROR(Table28[[#This Row],[ROUTE COST]]/Table28[[#This Row],[O - DEMAND]],0)</f>
        <v>0</v>
      </c>
      <c r="M702" s="16">
        <f>Table28[[#This Row],[O - DEMAND]]/950</f>
        <v>0</v>
      </c>
      <c r="N702" s="16">
        <f>IFERROR(VLOOKUP(Table28[[#This Row],[ROUTE]],DEMAND!A:F,5,FALSE),0)</f>
        <v>0</v>
      </c>
      <c r="O702" s="16">
        <f>IFERROR(VLOOKUP(Table28[[#This Row],[ROUTE]],DEMAND!A:F,6,FALSE),0)</f>
        <v>0</v>
      </c>
      <c r="P702" s="16">
        <f>ROUNDDOWN(Table28[[#This Row],[R-DEMAND]]/950,0)</f>
        <v>0</v>
      </c>
      <c r="Q702" s="16">
        <f>Table28[[#This Row],[ADD ACC
(475/950)]]*Table28[[#This Row],[Duration
(A359)]]</f>
        <v>0</v>
      </c>
      <c r="R702" s="16">
        <f>IFERROR(VLOOKUP(Table28[[#This Row],[ROUTE]],PRICING!A:B,2,FALSE),0)</f>
        <v>0</v>
      </c>
      <c r="S702" s="16">
        <f>Table28[[#This Row],[C_DEMAND]]-Table28[[#This Row],[R-DEMAND]]</f>
        <v>0</v>
      </c>
      <c r="T702" s="316">
        <f>Table28[[#This Row],[SEATS SOLD]]*Table28[[#This Row],[ECO SEAT]]</f>
        <v>0</v>
      </c>
      <c r="U702" s="316">
        <f>Table28[[#This Row],[SEATS SOLD]]*(IFERROR(VLOOKUP(Table28[[#This Row],[ROUTE]],PRICING!A:C,3,FALSE),0))</f>
        <v>0</v>
      </c>
      <c r="V702" s="316">
        <f>Table28[[#This Row],[SEAT REV]]-Table28[[#This Row],[SEAT REV
(IF IDEAL $)]]</f>
        <v>0</v>
      </c>
      <c r="AS702" s="16" t="s">
        <v>11732</v>
      </c>
      <c r="AT702" s="16" t="s">
        <v>13294</v>
      </c>
      <c r="AU702" s="16" t="s">
        <v>5719</v>
      </c>
      <c r="AV702" s="16" t="s">
        <v>18884</v>
      </c>
      <c r="AW702" s="16" t="s">
        <v>18918</v>
      </c>
      <c r="AX702" s="16" t="s">
        <v>18959</v>
      </c>
      <c r="AY702" s="385">
        <v>14503</v>
      </c>
    </row>
    <row r="703" spans="1:51" x14ac:dyDescent="0.25">
      <c r="A703" s="16" t="s">
        <v>19147</v>
      </c>
      <c r="B703" s="16" t="s">
        <v>63</v>
      </c>
      <c r="C703" s="16" t="s">
        <v>467</v>
      </c>
      <c r="D703" s="16">
        <v>4</v>
      </c>
      <c r="E703" s="16" t="s">
        <v>14</v>
      </c>
      <c r="F703" s="16" t="str">
        <f>VLOOKUP(Table28[[#This Row],[Country]],Table10[[COUNTRY NAME]:[CONTINENT CODE]],3,FALSE)</f>
        <v>AS</v>
      </c>
      <c r="G703" s="16" t="s">
        <v>62</v>
      </c>
      <c r="H703" s="181">
        <v>8438</v>
      </c>
      <c r="I703" s="180">
        <v>20.75</v>
      </c>
      <c r="K703" s="316">
        <f>IFERROR(Table28[[#This Row],[ROUTE COST]]/Table28[[#This Row],[O - DEMAND]],0)</f>
        <v>0</v>
      </c>
      <c r="M703" s="16">
        <f>Table28[[#This Row],[O - DEMAND]]/950</f>
        <v>0</v>
      </c>
      <c r="N703" s="16">
        <f>IFERROR(VLOOKUP(Table28[[#This Row],[ROUTE]],DEMAND!A:F,5,FALSE),0)</f>
        <v>3052</v>
      </c>
      <c r="O703" s="16">
        <f>IFERROR(VLOOKUP(Table28[[#This Row],[ROUTE]],DEMAND!A:F,6,FALSE),0)</f>
        <v>202</v>
      </c>
      <c r="P703" s="16">
        <f>ROUNDDOWN(Table28[[#This Row],[R-DEMAND]]/950,0)</f>
        <v>0</v>
      </c>
      <c r="Q703" s="16">
        <f>Table28[[#This Row],[ADD ACC
(475/950)]]*Table28[[#This Row],[Duration
(A359)]]</f>
        <v>0</v>
      </c>
      <c r="R703" s="16">
        <f>IFERROR(VLOOKUP(Table28[[#This Row],[ROUTE]],PRICING!A:B,2,FALSE),0)</f>
        <v>0</v>
      </c>
      <c r="S703" s="16">
        <f>Table28[[#This Row],[C_DEMAND]]-Table28[[#This Row],[R-DEMAND]]</f>
        <v>2850</v>
      </c>
      <c r="T703" s="316">
        <f>Table28[[#This Row],[SEATS SOLD]]*Table28[[#This Row],[ECO SEAT]]</f>
        <v>0</v>
      </c>
      <c r="U703" s="316">
        <f>Table28[[#This Row],[SEATS SOLD]]*(IFERROR(VLOOKUP(Table28[[#This Row],[ROUTE]],PRICING!A:C,3,FALSE),0))</f>
        <v>0</v>
      </c>
      <c r="V703" s="316">
        <f>Table28[[#This Row],[SEAT REV]]-Table28[[#This Row],[SEAT REV
(IF IDEAL $)]]</f>
        <v>0</v>
      </c>
      <c r="AS703" s="16" t="s">
        <v>11732</v>
      </c>
      <c r="AT703" s="16" t="s">
        <v>13331</v>
      </c>
      <c r="AU703" s="16" t="s">
        <v>5579</v>
      </c>
      <c r="AV703" s="16" t="s">
        <v>18884</v>
      </c>
      <c r="AW703" s="16" t="s">
        <v>18899</v>
      </c>
      <c r="AX703" s="16" t="s">
        <v>18959</v>
      </c>
      <c r="AY703" s="385">
        <v>14505</v>
      </c>
    </row>
    <row r="704" spans="1:51" x14ac:dyDescent="0.25">
      <c r="A704" s="16" t="s">
        <v>19327</v>
      </c>
      <c r="B704" s="16" t="s">
        <v>4969</v>
      </c>
      <c r="C704" s="16" t="s">
        <v>467</v>
      </c>
      <c r="D704" s="16">
        <v>3</v>
      </c>
      <c r="E704" s="16" t="s">
        <v>2764</v>
      </c>
      <c r="F704" s="16" t="str">
        <f>VLOOKUP(Table28[[#This Row],[Country]],Table10[[COUNTRY NAME]:[CONTINENT CODE]],3,FALSE)</f>
        <v>AS</v>
      </c>
      <c r="G704" s="16" t="s">
        <v>11981</v>
      </c>
      <c r="H704" s="181">
        <v>11821</v>
      </c>
      <c r="I704" s="180">
        <v>28</v>
      </c>
      <c r="K704" s="316">
        <f>IFERROR(Table28[[#This Row],[ROUTE COST]]/Table28[[#This Row],[O - DEMAND]],0)</f>
        <v>0</v>
      </c>
      <c r="M704" s="16">
        <f>Table28[[#This Row],[O - DEMAND]]/950</f>
        <v>0</v>
      </c>
      <c r="N704" s="16">
        <f>IFERROR(VLOOKUP(Table28[[#This Row],[ROUTE]],DEMAND!A:F,5,FALSE),0)</f>
        <v>3446</v>
      </c>
      <c r="O704" s="16">
        <f>IFERROR(VLOOKUP(Table28[[#This Row],[ROUTE]],DEMAND!A:F,6,FALSE),0)</f>
        <v>596</v>
      </c>
      <c r="P704" s="16">
        <f>ROUNDDOWN(Table28[[#This Row],[R-DEMAND]]/950,0)</f>
        <v>0</v>
      </c>
      <c r="Q704" s="16">
        <f>Table28[[#This Row],[ADD ACC
(475/950)]]*Table28[[#This Row],[Duration
(A359)]]</f>
        <v>0</v>
      </c>
      <c r="R704" s="16">
        <f>IFERROR(VLOOKUP(Table28[[#This Row],[ROUTE]],PRICING!A:B,2,FALSE),0)</f>
        <v>0</v>
      </c>
      <c r="S704" s="16">
        <f>Table28[[#This Row],[C_DEMAND]]-Table28[[#This Row],[R-DEMAND]]</f>
        <v>2850</v>
      </c>
      <c r="T704" s="316">
        <f>Table28[[#This Row],[SEATS SOLD]]*Table28[[#This Row],[ECO SEAT]]</f>
        <v>0</v>
      </c>
      <c r="U704" s="316">
        <f>Table28[[#This Row],[SEATS SOLD]]*(IFERROR(VLOOKUP(Table28[[#This Row],[ROUTE]],PRICING!A:C,3,FALSE),0))</f>
        <v>0</v>
      </c>
      <c r="V704" s="316">
        <f>Table28[[#This Row],[SEAT REV]]-Table28[[#This Row],[SEAT REV
(IF IDEAL $)]]</f>
        <v>0</v>
      </c>
      <c r="AS704" s="16" t="s">
        <v>11732</v>
      </c>
      <c r="AT704" s="16" t="s">
        <v>13357</v>
      </c>
      <c r="AU704" s="16" t="s">
        <v>4837</v>
      </c>
      <c r="AV704" s="16" t="s">
        <v>18892</v>
      </c>
      <c r="AW704" s="16" t="s">
        <v>18885</v>
      </c>
      <c r="AX704" s="16" t="s">
        <v>18959</v>
      </c>
      <c r="AY704" s="385">
        <v>14515</v>
      </c>
    </row>
    <row r="705" spans="1:51" x14ac:dyDescent="0.25">
      <c r="A705" s="16" t="s">
        <v>19585</v>
      </c>
      <c r="B705" s="16" t="s">
        <v>4223</v>
      </c>
      <c r="C705" s="16" t="s">
        <v>467</v>
      </c>
      <c r="D705" s="16">
        <v>2</v>
      </c>
      <c r="E705" s="16" t="s">
        <v>1578</v>
      </c>
      <c r="F705" s="16" t="str">
        <f>VLOOKUP(Table28[[#This Row],[Country]],Table10[[COUNTRY NAME]:[CONTINENT CODE]],3,FALSE)</f>
        <v>EU</v>
      </c>
      <c r="G705" s="16" t="s">
        <v>11910</v>
      </c>
      <c r="H705" s="181">
        <v>13678</v>
      </c>
      <c r="I705" s="180">
        <v>32.25</v>
      </c>
      <c r="K705" s="316">
        <f>IFERROR(Table28[[#This Row],[ROUTE COST]]/Table28[[#This Row],[O - DEMAND]],0)</f>
        <v>0</v>
      </c>
      <c r="M705" s="16">
        <f>Table28[[#This Row],[O - DEMAND]]/950</f>
        <v>0</v>
      </c>
      <c r="N705" s="16">
        <f>IFERROR(VLOOKUP(Table28[[#This Row],[ROUTE]],DEMAND!A:F,5,FALSE),0)</f>
        <v>2877</v>
      </c>
      <c r="O705" s="16">
        <f>IFERROR(VLOOKUP(Table28[[#This Row],[ROUTE]],DEMAND!A:F,6,FALSE),0)</f>
        <v>27</v>
      </c>
      <c r="P705" s="16">
        <f>ROUNDDOWN(Table28[[#This Row],[R-DEMAND]]/950,0)</f>
        <v>0</v>
      </c>
      <c r="Q705" s="16">
        <f>Table28[[#This Row],[ADD ACC
(475/950)]]*Table28[[#This Row],[Duration
(A359)]]</f>
        <v>0</v>
      </c>
      <c r="R705" s="16">
        <f>IFERROR(VLOOKUP(Table28[[#This Row],[ROUTE]],PRICING!A:B,2,FALSE),0)</f>
        <v>0</v>
      </c>
      <c r="S705" s="16">
        <f>Table28[[#This Row],[C_DEMAND]]-Table28[[#This Row],[R-DEMAND]]</f>
        <v>2850</v>
      </c>
      <c r="T705" s="316">
        <f>Table28[[#This Row],[SEATS SOLD]]*Table28[[#This Row],[ECO SEAT]]</f>
        <v>0</v>
      </c>
      <c r="U705" s="316">
        <f>Table28[[#This Row],[SEATS SOLD]]*(IFERROR(VLOOKUP(Table28[[#This Row],[ROUTE]],PRICING!A:C,3,FALSE),0))</f>
        <v>0</v>
      </c>
      <c r="V705" s="316">
        <f>Table28[[#This Row],[SEAT REV]]-Table28[[#This Row],[SEAT REV
(IF IDEAL $)]]</f>
        <v>0</v>
      </c>
      <c r="AS705" s="16" t="s">
        <v>11732</v>
      </c>
      <c r="AT705" s="16" t="s">
        <v>16978</v>
      </c>
      <c r="AU705" s="16" t="s">
        <v>2011</v>
      </c>
      <c r="AV705" s="16" t="s">
        <v>18878</v>
      </c>
      <c r="AW705" s="16" t="s">
        <v>18890</v>
      </c>
      <c r="AX705" s="16" t="s">
        <v>18959</v>
      </c>
      <c r="AY705" s="385">
        <v>14516</v>
      </c>
    </row>
    <row r="706" spans="1:51" x14ac:dyDescent="0.25">
      <c r="A706" s="16" t="s">
        <v>19014</v>
      </c>
      <c r="B706" s="16" t="s">
        <v>3012</v>
      </c>
      <c r="D706" s="16">
        <v>2</v>
      </c>
      <c r="E706" s="16" t="s">
        <v>1646</v>
      </c>
      <c r="F706" s="16" t="str">
        <f>VLOOKUP(Table28[[#This Row],[Country]],Table10[[COUNTRY NAME]:[CONTINENT CODE]],3,FALSE)</f>
        <v>OC</v>
      </c>
      <c r="G706" s="16" t="s">
        <v>16852</v>
      </c>
      <c r="H706" s="181">
        <v>3587</v>
      </c>
      <c r="I706" s="180">
        <v>10</v>
      </c>
      <c r="K706" s="316">
        <f>IFERROR(Table28[[#This Row],[ROUTE COST]]/Table28[[#This Row],[O - DEMAND]],0)</f>
        <v>0</v>
      </c>
      <c r="M706" s="16">
        <f>Table28[[#This Row],[O - DEMAND]]/950</f>
        <v>0</v>
      </c>
      <c r="N706" s="16">
        <f>IFERROR(VLOOKUP(Table28[[#This Row],[ROUTE]],DEMAND!A:F,5,FALSE),0)</f>
        <v>0</v>
      </c>
      <c r="O706" s="16">
        <f>IFERROR(VLOOKUP(Table28[[#This Row],[ROUTE]],DEMAND!A:F,6,FALSE),0)</f>
        <v>0</v>
      </c>
      <c r="P706" s="16">
        <f>ROUNDDOWN(Table28[[#This Row],[R-DEMAND]]/950,0)</f>
        <v>0</v>
      </c>
      <c r="Q706" s="16">
        <f>Table28[[#This Row],[ADD ACC
(475/950)]]*Table28[[#This Row],[Duration
(A359)]]</f>
        <v>0</v>
      </c>
      <c r="R706" s="16">
        <f>IFERROR(VLOOKUP(Table28[[#This Row],[ROUTE]],PRICING!A:B,2,FALSE),0)</f>
        <v>0</v>
      </c>
      <c r="S706" s="16">
        <f>Table28[[#This Row],[C_DEMAND]]-Table28[[#This Row],[R-DEMAND]]</f>
        <v>0</v>
      </c>
      <c r="T706" s="316">
        <f>Table28[[#This Row],[SEATS SOLD]]*Table28[[#This Row],[ECO SEAT]]</f>
        <v>0</v>
      </c>
      <c r="U706" s="316">
        <f>Table28[[#This Row],[SEATS SOLD]]*(IFERROR(VLOOKUP(Table28[[#This Row],[ROUTE]],PRICING!A:C,3,FALSE),0))</f>
        <v>0</v>
      </c>
      <c r="V706" s="316">
        <f>Table28[[#This Row],[SEAT REV]]-Table28[[#This Row],[SEAT REV
(IF IDEAL $)]]</f>
        <v>0</v>
      </c>
      <c r="AS706" s="16" t="s">
        <v>11732</v>
      </c>
      <c r="AT706" s="16" t="s">
        <v>13347</v>
      </c>
      <c r="AU706" s="16" t="s">
        <v>1846</v>
      </c>
      <c r="AV706" s="16" t="s">
        <v>18881</v>
      </c>
      <c r="AW706" s="16" t="s">
        <v>18890</v>
      </c>
      <c r="AX706" s="16" t="s">
        <v>18959</v>
      </c>
      <c r="AY706" s="385">
        <v>14518</v>
      </c>
    </row>
    <row r="707" spans="1:51" x14ac:dyDescent="0.25">
      <c r="A707" s="16" t="s">
        <v>19557</v>
      </c>
      <c r="B707" s="16" t="s">
        <v>4611</v>
      </c>
      <c r="C707" s="16" t="s">
        <v>467</v>
      </c>
      <c r="D707" s="16">
        <v>2</v>
      </c>
      <c r="E707" s="16" t="s">
        <v>502</v>
      </c>
      <c r="F707" s="16" t="str">
        <f>VLOOKUP(Table28[[#This Row],[Country]],Table10[[COUNTRY NAME]:[CONTINENT CODE]],3,FALSE)</f>
        <v>AS</v>
      </c>
      <c r="G707" s="16" t="s">
        <v>11921</v>
      </c>
      <c r="H707" s="181">
        <v>13443</v>
      </c>
      <c r="I707" s="180">
        <v>31.75</v>
      </c>
      <c r="K707" s="316">
        <f>IFERROR(Table28[[#This Row],[ROUTE COST]]/Table28[[#This Row],[O - DEMAND]],0)</f>
        <v>0</v>
      </c>
      <c r="M707" s="16">
        <f>Table28[[#This Row],[O - DEMAND]]/950</f>
        <v>0</v>
      </c>
      <c r="N707" s="16">
        <f>IFERROR(VLOOKUP(Table28[[#This Row],[ROUTE]],DEMAND!A:F,5,FALSE),0)</f>
        <v>2969</v>
      </c>
      <c r="O707" s="16">
        <f>IFERROR(VLOOKUP(Table28[[#This Row],[ROUTE]],DEMAND!A:F,6,FALSE),0)</f>
        <v>119</v>
      </c>
      <c r="P707" s="16">
        <f>ROUNDDOWN(Table28[[#This Row],[R-DEMAND]]/950,0)</f>
        <v>0</v>
      </c>
      <c r="Q707" s="16">
        <f>Table28[[#This Row],[ADD ACC
(475/950)]]*Table28[[#This Row],[Duration
(A359)]]</f>
        <v>0</v>
      </c>
      <c r="R707" s="16">
        <f>IFERROR(VLOOKUP(Table28[[#This Row],[ROUTE]],PRICING!A:B,2,FALSE),0)</f>
        <v>0</v>
      </c>
      <c r="S707" s="16">
        <f>Table28[[#This Row],[C_DEMAND]]-Table28[[#This Row],[R-DEMAND]]</f>
        <v>2850</v>
      </c>
      <c r="T707" s="316">
        <f>Table28[[#This Row],[SEATS SOLD]]*Table28[[#This Row],[ECO SEAT]]</f>
        <v>0</v>
      </c>
      <c r="U707" s="316">
        <f>Table28[[#This Row],[SEATS SOLD]]*(IFERROR(VLOOKUP(Table28[[#This Row],[ROUTE]],PRICING!A:C,3,FALSE),0))</f>
        <v>0</v>
      </c>
      <c r="V707" s="316">
        <f>Table28[[#This Row],[SEAT REV]]-Table28[[#This Row],[SEAT REV
(IF IDEAL $)]]</f>
        <v>0</v>
      </c>
      <c r="AS707" s="16" t="s">
        <v>78</v>
      </c>
      <c r="AT707" s="16" t="s">
        <v>77</v>
      </c>
      <c r="AU707" s="16" t="s">
        <v>79</v>
      </c>
      <c r="AV707" s="16" t="s">
        <v>18884</v>
      </c>
      <c r="AW707" s="16" t="s">
        <v>18899</v>
      </c>
      <c r="AX707" s="16" t="s">
        <v>18959</v>
      </c>
      <c r="AY707" s="385">
        <v>14518</v>
      </c>
    </row>
    <row r="708" spans="1:51" x14ac:dyDescent="0.25">
      <c r="A708" s="16" t="s">
        <v>19644</v>
      </c>
      <c r="B708" s="16" t="s">
        <v>3373</v>
      </c>
      <c r="D708" s="16">
        <v>2</v>
      </c>
      <c r="E708" s="16" t="s">
        <v>1124</v>
      </c>
      <c r="F708" s="16" t="str">
        <f>VLOOKUP(Table28[[#This Row],[Country]],Table10[[COUNTRY NAME]:[CONTINENT CODE]],3,FALSE)</f>
        <v>AF</v>
      </c>
      <c r="G708" s="16" t="s">
        <v>11882</v>
      </c>
      <c r="H708" s="181">
        <v>14083</v>
      </c>
      <c r="I708" s="180">
        <v>33</v>
      </c>
      <c r="K708" s="316">
        <f>IFERROR(Table28[[#This Row],[ROUTE COST]]/Table28[[#This Row],[O - DEMAND]],0)</f>
        <v>0</v>
      </c>
      <c r="M708" s="16">
        <f>Table28[[#This Row],[O - DEMAND]]/950</f>
        <v>0</v>
      </c>
      <c r="N708" s="16">
        <f>IFERROR(VLOOKUP(Table28[[#This Row],[ROUTE]],DEMAND!A:F,5,FALSE),0)</f>
        <v>0</v>
      </c>
      <c r="O708" s="16">
        <f>IFERROR(VLOOKUP(Table28[[#This Row],[ROUTE]],DEMAND!A:F,6,FALSE),0)</f>
        <v>0</v>
      </c>
      <c r="P708" s="16">
        <f>ROUNDDOWN(Table28[[#This Row],[R-DEMAND]]/950,0)</f>
        <v>0</v>
      </c>
      <c r="Q708" s="16">
        <f>Table28[[#This Row],[ADD ACC
(475/950)]]*Table28[[#This Row],[Duration
(A359)]]</f>
        <v>0</v>
      </c>
      <c r="R708" s="16">
        <f>IFERROR(VLOOKUP(Table28[[#This Row],[ROUTE]],PRICING!A:B,2,FALSE),0)</f>
        <v>0</v>
      </c>
      <c r="S708" s="16">
        <f>Table28[[#This Row],[C_DEMAND]]-Table28[[#This Row],[R-DEMAND]]</f>
        <v>0</v>
      </c>
      <c r="T708" s="316">
        <f>Table28[[#This Row],[SEATS SOLD]]*Table28[[#This Row],[ECO SEAT]]</f>
        <v>0</v>
      </c>
      <c r="U708" s="316">
        <f>Table28[[#This Row],[SEATS SOLD]]*(IFERROR(VLOOKUP(Table28[[#This Row],[ROUTE]],PRICING!A:C,3,FALSE),0))</f>
        <v>0</v>
      </c>
      <c r="V708" s="316">
        <f>Table28[[#This Row],[SEAT REV]]-Table28[[#This Row],[SEAT REV
(IF IDEAL $)]]</f>
        <v>0</v>
      </c>
      <c r="AS708" s="16" t="s">
        <v>860</v>
      </c>
      <c r="AT708" s="16" t="s">
        <v>17024</v>
      </c>
      <c r="AU708" s="16" t="s">
        <v>3066</v>
      </c>
      <c r="AV708" s="16" t="s">
        <v>18878</v>
      </c>
      <c r="AW708" s="16" t="s">
        <v>18879</v>
      </c>
      <c r="AX708" s="16" t="s">
        <v>18959</v>
      </c>
      <c r="AY708" s="385">
        <v>14522</v>
      </c>
    </row>
    <row r="709" spans="1:51" x14ac:dyDescent="0.25">
      <c r="A709" s="16" t="s">
        <v>19778</v>
      </c>
      <c r="B709" s="16" t="s">
        <v>1935</v>
      </c>
      <c r="D709" s="16">
        <v>1</v>
      </c>
      <c r="E709" s="16" t="s">
        <v>700</v>
      </c>
      <c r="F709" s="16" t="str">
        <f>VLOOKUP(Table28[[#This Row],[Country]],Table10[[COUNTRY NAME]:[CONTINENT CODE]],3,FALSE)</f>
        <v>AS</v>
      </c>
      <c r="G709" s="16" t="s">
        <v>11846</v>
      </c>
      <c r="H709" s="181">
        <v>15041</v>
      </c>
      <c r="I709" s="180">
        <v>35.25</v>
      </c>
      <c r="K709" s="316">
        <f>IFERROR(Table28[[#This Row],[ROUTE COST]]/Table28[[#This Row],[O - DEMAND]],0)</f>
        <v>0</v>
      </c>
      <c r="M709" s="16">
        <f>Table28[[#This Row],[O - DEMAND]]/950</f>
        <v>0</v>
      </c>
      <c r="N709" s="16">
        <f>IFERROR(VLOOKUP(Table28[[#This Row],[ROUTE]],DEMAND!A:F,5,FALSE),0)</f>
        <v>0</v>
      </c>
      <c r="O709" s="16">
        <f>IFERROR(VLOOKUP(Table28[[#This Row],[ROUTE]],DEMAND!A:F,6,FALSE),0)</f>
        <v>0</v>
      </c>
      <c r="P709" s="16">
        <f>ROUNDDOWN(Table28[[#This Row],[R-DEMAND]]/950,0)</f>
        <v>0</v>
      </c>
      <c r="Q709" s="16">
        <f>Table28[[#This Row],[ADD ACC
(475/950)]]*Table28[[#This Row],[Duration
(A359)]]</f>
        <v>0</v>
      </c>
      <c r="R709" s="16">
        <f>IFERROR(VLOOKUP(Table28[[#This Row],[ROUTE]],PRICING!A:B,2,FALSE),0)</f>
        <v>0</v>
      </c>
      <c r="S709" s="16">
        <f>Table28[[#This Row],[C_DEMAND]]-Table28[[#This Row],[R-DEMAND]]</f>
        <v>0</v>
      </c>
      <c r="T709" s="316">
        <f>Table28[[#This Row],[SEATS SOLD]]*Table28[[#This Row],[ECO SEAT]]</f>
        <v>0</v>
      </c>
      <c r="U709" s="316">
        <f>Table28[[#This Row],[SEATS SOLD]]*(IFERROR(VLOOKUP(Table28[[#This Row],[ROUTE]],PRICING!A:C,3,FALSE),0))</f>
        <v>0</v>
      </c>
      <c r="V709" s="316">
        <f>Table28[[#This Row],[SEAT REV]]-Table28[[#This Row],[SEAT REV
(IF IDEAL $)]]</f>
        <v>0</v>
      </c>
      <c r="AS709" s="16" t="s">
        <v>78</v>
      </c>
      <c r="AT709" s="16" t="s">
        <v>11030</v>
      </c>
      <c r="AU709" s="16" t="s">
        <v>5511</v>
      </c>
      <c r="AV709" s="16" t="s">
        <v>18881</v>
      </c>
      <c r="AW709" s="16" t="s">
        <v>18899</v>
      </c>
      <c r="AX709" s="16" t="s">
        <v>18959</v>
      </c>
      <c r="AY709" s="385">
        <v>14525</v>
      </c>
    </row>
    <row r="710" spans="1:51" x14ac:dyDescent="0.25">
      <c r="A710" s="16" t="s">
        <v>19055</v>
      </c>
      <c r="B710" s="16" t="s">
        <v>61</v>
      </c>
      <c r="D710" s="16">
        <v>2</v>
      </c>
      <c r="E710" s="16" t="s">
        <v>709</v>
      </c>
      <c r="F710" s="16" t="str">
        <f>VLOOKUP(Table28[[#This Row],[Country]],Table10[[COUNTRY NAME]:[CONTINENT CODE]],3,FALSE)</f>
        <v>AS</v>
      </c>
      <c r="G710" s="16" t="s">
        <v>12111</v>
      </c>
      <c r="H710" s="181">
        <v>6677</v>
      </c>
      <c r="I710" s="180">
        <v>16.75</v>
      </c>
      <c r="K710" s="316">
        <f>IFERROR(Table28[[#This Row],[ROUTE COST]]/Table28[[#This Row],[O - DEMAND]],0)</f>
        <v>0</v>
      </c>
      <c r="M710" s="16">
        <f>Table28[[#This Row],[O - DEMAND]]/950</f>
        <v>0</v>
      </c>
      <c r="N710" s="16">
        <f>IFERROR(VLOOKUP(Table28[[#This Row],[ROUTE]],DEMAND!A:F,5,FALSE),0)</f>
        <v>0</v>
      </c>
      <c r="O710" s="16">
        <f>IFERROR(VLOOKUP(Table28[[#This Row],[ROUTE]],DEMAND!A:F,6,FALSE),0)</f>
        <v>0</v>
      </c>
      <c r="P710" s="16">
        <f>ROUNDDOWN(Table28[[#This Row],[R-DEMAND]]/950,0)</f>
        <v>0</v>
      </c>
      <c r="Q710" s="16">
        <f>Table28[[#This Row],[ADD ACC
(475/950)]]*Table28[[#This Row],[Duration
(A359)]]</f>
        <v>0</v>
      </c>
      <c r="R710" s="16">
        <f>IFERROR(VLOOKUP(Table28[[#This Row],[ROUTE]],PRICING!A:B,2,FALSE),0)</f>
        <v>0</v>
      </c>
      <c r="S710" s="16">
        <f>Table28[[#This Row],[C_DEMAND]]-Table28[[#This Row],[R-DEMAND]]</f>
        <v>0</v>
      </c>
      <c r="T710" s="316">
        <f>Table28[[#This Row],[SEATS SOLD]]*Table28[[#This Row],[ECO SEAT]]</f>
        <v>0</v>
      </c>
      <c r="U710" s="316">
        <f>Table28[[#This Row],[SEATS SOLD]]*(IFERROR(VLOOKUP(Table28[[#This Row],[ROUTE]],PRICING!A:C,3,FALSE),0))</f>
        <v>0</v>
      </c>
      <c r="V710" s="316">
        <f>Table28[[#This Row],[SEAT REV]]-Table28[[#This Row],[SEAT REV
(IF IDEAL $)]]</f>
        <v>0</v>
      </c>
      <c r="AS710" s="16" t="s">
        <v>11732</v>
      </c>
      <c r="AT710" s="16" t="s">
        <v>13296</v>
      </c>
      <c r="AU710" s="16" t="s">
        <v>3559</v>
      </c>
      <c r="AV710" s="16" t="s">
        <v>18892</v>
      </c>
      <c r="AW710" s="16" t="s">
        <v>18879</v>
      </c>
      <c r="AX710" s="16" t="s">
        <v>18959</v>
      </c>
      <c r="AY710" s="385">
        <v>14538</v>
      </c>
    </row>
    <row r="711" spans="1:51" x14ac:dyDescent="0.25">
      <c r="A711" s="16" t="s">
        <v>19184</v>
      </c>
      <c r="B711" s="16" t="s">
        <v>1463</v>
      </c>
      <c r="D711" s="16">
        <v>1</v>
      </c>
      <c r="E711" s="16" t="s">
        <v>14</v>
      </c>
      <c r="F711" s="16" t="str">
        <f>VLOOKUP(Table28[[#This Row],[Country]],Table10[[COUNTRY NAME]:[CONTINENT CODE]],3,FALSE)</f>
        <v>AS</v>
      </c>
      <c r="G711" s="16" t="s">
        <v>12043</v>
      </c>
      <c r="H711" s="181">
        <v>8962</v>
      </c>
      <c r="I711" s="180">
        <v>21.75</v>
      </c>
      <c r="K711" s="316">
        <f>IFERROR(Table28[[#This Row],[ROUTE COST]]/Table28[[#This Row],[O - DEMAND]],0)</f>
        <v>0</v>
      </c>
      <c r="M711" s="16">
        <f>Table28[[#This Row],[O - DEMAND]]/950</f>
        <v>0</v>
      </c>
      <c r="N711" s="16">
        <f>IFERROR(VLOOKUP(Table28[[#This Row],[ROUTE]],DEMAND!A:F,5,FALSE),0)</f>
        <v>0</v>
      </c>
      <c r="O711" s="16">
        <f>IFERROR(VLOOKUP(Table28[[#This Row],[ROUTE]],DEMAND!A:F,6,FALSE),0)</f>
        <v>0</v>
      </c>
      <c r="P711" s="16">
        <f>ROUNDDOWN(Table28[[#This Row],[R-DEMAND]]/950,0)</f>
        <v>0</v>
      </c>
      <c r="Q711" s="16">
        <f>Table28[[#This Row],[ADD ACC
(475/950)]]*Table28[[#This Row],[Duration
(A359)]]</f>
        <v>0</v>
      </c>
      <c r="R711" s="16">
        <f>IFERROR(VLOOKUP(Table28[[#This Row],[ROUTE]],PRICING!A:B,2,FALSE),0)</f>
        <v>0</v>
      </c>
      <c r="S711" s="16">
        <f>Table28[[#This Row],[C_DEMAND]]-Table28[[#This Row],[R-DEMAND]]</f>
        <v>0</v>
      </c>
      <c r="T711" s="316">
        <f>Table28[[#This Row],[SEATS SOLD]]*Table28[[#This Row],[ECO SEAT]]</f>
        <v>0</v>
      </c>
      <c r="U711" s="316">
        <f>Table28[[#This Row],[SEATS SOLD]]*(IFERROR(VLOOKUP(Table28[[#This Row],[ROUTE]],PRICING!A:C,3,FALSE),0))</f>
        <v>0</v>
      </c>
      <c r="V711" s="316">
        <f>Table28[[#This Row],[SEAT REV]]-Table28[[#This Row],[SEAT REV
(IF IDEAL $)]]</f>
        <v>0</v>
      </c>
      <c r="AS711" s="16" t="s">
        <v>11732</v>
      </c>
      <c r="AT711" s="16" t="s">
        <v>16981</v>
      </c>
      <c r="AU711" s="16" t="s">
        <v>4522</v>
      </c>
      <c r="AV711" s="16" t="s">
        <v>18878</v>
      </c>
      <c r="AX711" s="16" t="s">
        <v>18959</v>
      </c>
      <c r="AY711" s="385">
        <v>14556</v>
      </c>
    </row>
    <row r="712" spans="1:51" x14ac:dyDescent="0.25">
      <c r="A712" s="16" t="s">
        <v>19469</v>
      </c>
      <c r="B712" s="16" t="s">
        <v>58</v>
      </c>
      <c r="C712" s="16" t="s">
        <v>467</v>
      </c>
      <c r="D712" s="16">
        <v>4</v>
      </c>
      <c r="E712" s="16" t="s">
        <v>502</v>
      </c>
      <c r="F712" s="16" t="str">
        <f>VLOOKUP(Table28[[#This Row],[Country]],Table10[[COUNTRY NAME]:[CONTINENT CODE]],3,FALSE)</f>
        <v>AS</v>
      </c>
      <c r="G712" s="16" t="s">
        <v>11038</v>
      </c>
      <c r="H712" s="181">
        <v>12922</v>
      </c>
      <c r="I712" s="180">
        <v>30.5</v>
      </c>
      <c r="K712" s="316">
        <f>IFERROR(Table28[[#This Row],[ROUTE COST]]/Table28[[#This Row],[O - DEMAND]],0)</f>
        <v>0</v>
      </c>
      <c r="M712" s="16">
        <f>Table28[[#This Row],[O - DEMAND]]/950</f>
        <v>0</v>
      </c>
      <c r="N712" s="16">
        <f>IFERROR(VLOOKUP(Table28[[#This Row],[ROUTE]],DEMAND!A:F,5,FALSE),0)</f>
        <v>3608</v>
      </c>
      <c r="O712" s="16">
        <f>IFERROR(VLOOKUP(Table28[[#This Row],[ROUTE]],DEMAND!A:F,6,FALSE),0)</f>
        <v>-1142</v>
      </c>
      <c r="P712" s="16">
        <f>ROUNDDOWN(Table28[[#This Row],[R-DEMAND]]/950,0)</f>
        <v>-1</v>
      </c>
      <c r="Q712" s="16">
        <f>Table28[[#This Row],[ADD ACC
(475/950)]]*Table28[[#This Row],[Duration
(A359)]]</f>
        <v>-30.5</v>
      </c>
      <c r="R712" s="16">
        <f>IFERROR(VLOOKUP(Table28[[#This Row],[ROUTE]],PRICING!A:B,2,FALSE),0)</f>
        <v>0</v>
      </c>
      <c r="S712" s="16">
        <f>Table28[[#This Row],[C_DEMAND]]-Table28[[#This Row],[R-DEMAND]]</f>
        <v>4750</v>
      </c>
      <c r="T712" s="316">
        <f>Table28[[#This Row],[SEATS SOLD]]*Table28[[#This Row],[ECO SEAT]]</f>
        <v>0</v>
      </c>
      <c r="U712" s="316">
        <f>Table28[[#This Row],[SEATS SOLD]]*(IFERROR(VLOOKUP(Table28[[#This Row],[ROUTE]],PRICING!A:C,3,FALSE),0))</f>
        <v>0</v>
      </c>
      <c r="V712" s="316">
        <f>Table28[[#This Row],[SEAT REV]]-Table28[[#This Row],[SEAT REV
(IF IDEAL $)]]</f>
        <v>0</v>
      </c>
      <c r="AS712" s="16" t="s">
        <v>4347</v>
      </c>
      <c r="AT712" s="16" t="s">
        <v>11784</v>
      </c>
      <c r="AU712" s="16" t="s">
        <v>4349</v>
      </c>
      <c r="AV712" s="16" t="s">
        <v>18892</v>
      </c>
      <c r="AW712" s="16" t="s">
        <v>18879</v>
      </c>
      <c r="AX712" s="16" t="s">
        <v>18959</v>
      </c>
      <c r="AY712" s="385">
        <v>14570</v>
      </c>
    </row>
    <row r="713" spans="1:51" x14ac:dyDescent="0.25">
      <c r="A713" s="16" t="s">
        <v>19512</v>
      </c>
      <c r="B713" s="16" t="s">
        <v>3931</v>
      </c>
      <c r="D713" s="16">
        <v>2</v>
      </c>
      <c r="E713" s="16" t="s">
        <v>172</v>
      </c>
      <c r="F713" s="16" t="str">
        <f>VLOOKUP(Table28[[#This Row],[Country]],Table10[[COUNTRY NAME]:[CONTINENT CODE]],3,FALSE)</f>
        <v>AS</v>
      </c>
      <c r="G713" s="16" t="s">
        <v>7147</v>
      </c>
      <c r="H713" s="181">
        <v>13175</v>
      </c>
      <c r="I713" s="180">
        <v>31</v>
      </c>
      <c r="K713" s="316">
        <f>IFERROR(Table28[[#This Row],[ROUTE COST]]/Table28[[#This Row],[O - DEMAND]],0)</f>
        <v>0</v>
      </c>
      <c r="M713" s="16">
        <f>Table28[[#This Row],[O - DEMAND]]/950</f>
        <v>0</v>
      </c>
      <c r="N713" s="16">
        <f>IFERROR(VLOOKUP(Table28[[#This Row],[ROUTE]],DEMAND!A:F,5,FALSE),0)</f>
        <v>0</v>
      </c>
      <c r="O713" s="16">
        <f>IFERROR(VLOOKUP(Table28[[#This Row],[ROUTE]],DEMAND!A:F,6,FALSE),0)</f>
        <v>0</v>
      </c>
      <c r="P713" s="16">
        <f>ROUNDDOWN(Table28[[#This Row],[R-DEMAND]]/950,0)</f>
        <v>0</v>
      </c>
      <c r="Q713" s="16">
        <f>Table28[[#This Row],[ADD ACC
(475/950)]]*Table28[[#This Row],[Duration
(A359)]]</f>
        <v>0</v>
      </c>
      <c r="R713" s="16">
        <f>IFERROR(VLOOKUP(Table28[[#This Row],[ROUTE]],PRICING!A:B,2,FALSE),0)</f>
        <v>0</v>
      </c>
      <c r="S713" s="16">
        <f>Table28[[#This Row],[C_DEMAND]]-Table28[[#This Row],[R-DEMAND]]</f>
        <v>0</v>
      </c>
      <c r="T713" s="316">
        <f>Table28[[#This Row],[SEATS SOLD]]*Table28[[#This Row],[ECO SEAT]]</f>
        <v>0</v>
      </c>
      <c r="U713" s="316">
        <f>Table28[[#This Row],[SEATS SOLD]]*(IFERROR(VLOOKUP(Table28[[#This Row],[ROUTE]],PRICING!A:C,3,FALSE),0))</f>
        <v>0</v>
      </c>
      <c r="V713" s="316">
        <f>Table28[[#This Row],[SEAT REV]]-Table28[[#This Row],[SEAT REV
(IF IDEAL $)]]</f>
        <v>0</v>
      </c>
      <c r="AS713" s="16" t="s">
        <v>700</v>
      </c>
      <c r="AT713" s="16" t="s">
        <v>8961</v>
      </c>
      <c r="AU713" s="16" t="s">
        <v>3699</v>
      </c>
      <c r="AV713" s="16" t="s">
        <v>18884</v>
      </c>
      <c r="AW713" s="16" t="s">
        <v>18879</v>
      </c>
      <c r="AX713" s="16" t="s">
        <v>18959</v>
      </c>
      <c r="AY713" s="385">
        <v>14576</v>
      </c>
    </row>
    <row r="714" spans="1:51" x14ac:dyDescent="0.25">
      <c r="A714" s="16" t="s">
        <v>19362</v>
      </c>
      <c r="B714" s="16" t="s">
        <v>5269</v>
      </c>
      <c r="D714" s="16">
        <v>3</v>
      </c>
      <c r="E714" s="16" t="s">
        <v>1749</v>
      </c>
      <c r="F714" s="16" t="str">
        <f>VLOOKUP(Table28[[#This Row],[Country]],Table10[[COUNTRY NAME]:[CONTINENT CODE]],3,FALSE)</f>
        <v>NA</v>
      </c>
      <c r="G714" s="16" t="s">
        <v>13213</v>
      </c>
      <c r="H714" s="181">
        <v>12106</v>
      </c>
      <c r="I714" s="180">
        <v>28.75</v>
      </c>
      <c r="K714" s="316">
        <f>IFERROR(Table28[[#This Row],[ROUTE COST]]/Table28[[#This Row],[O - DEMAND]],0)</f>
        <v>0</v>
      </c>
      <c r="M714" s="16">
        <f>Table28[[#This Row],[O - DEMAND]]/950</f>
        <v>0</v>
      </c>
      <c r="N714" s="16">
        <f>IFERROR(VLOOKUP(Table28[[#This Row],[ROUTE]],DEMAND!A:F,5,FALSE),0)</f>
        <v>0</v>
      </c>
      <c r="O714" s="16">
        <f>IFERROR(VLOOKUP(Table28[[#This Row],[ROUTE]],DEMAND!A:F,6,FALSE),0)</f>
        <v>0</v>
      </c>
      <c r="P714" s="16">
        <f>ROUNDDOWN(Table28[[#This Row],[R-DEMAND]]/950,0)</f>
        <v>0</v>
      </c>
      <c r="Q714" s="16">
        <f>Table28[[#This Row],[ADD ACC
(475/950)]]*Table28[[#This Row],[Duration
(A359)]]</f>
        <v>0</v>
      </c>
      <c r="R714" s="16">
        <f>IFERROR(VLOOKUP(Table28[[#This Row],[ROUTE]],PRICING!A:B,2,FALSE),0)</f>
        <v>0</v>
      </c>
      <c r="S714" s="16">
        <f>Table28[[#This Row],[C_DEMAND]]-Table28[[#This Row],[R-DEMAND]]</f>
        <v>0</v>
      </c>
      <c r="T714" s="316">
        <f>Table28[[#This Row],[SEATS SOLD]]*Table28[[#This Row],[ECO SEAT]]</f>
        <v>0</v>
      </c>
      <c r="U714" s="316">
        <f>Table28[[#This Row],[SEATS SOLD]]*(IFERROR(VLOOKUP(Table28[[#This Row],[ROUTE]],PRICING!A:C,3,FALSE),0))</f>
        <v>0</v>
      </c>
      <c r="V714" s="316">
        <f>Table28[[#This Row],[SEAT REV]]-Table28[[#This Row],[SEAT REV
(IF IDEAL $)]]</f>
        <v>0</v>
      </c>
      <c r="AS714" s="16" t="s">
        <v>722</v>
      </c>
      <c r="AT714" s="16" t="s">
        <v>16877</v>
      </c>
      <c r="AU714" s="16" t="s">
        <v>1775</v>
      </c>
      <c r="AV714" s="16" t="s">
        <v>18878</v>
      </c>
      <c r="AW714" s="16" t="s">
        <v>18890</v>
      </c>
      <c r="AX714" s="16" t="s">
        <v>18934</v>
      </c>
      <c r="AY714" s="385">
        <v>14577</v>
      </c>
    </row>
    <row r="715" spans="1:51" x14ac:dyDescent="0.25">
      <c r="A715" s="16" t="s">
        <v>19030</v>
      </c>
      <c r="B715" s="16" t="s">
        <v>1933</v>
      </c>
      <c r="D715" s="16">
        <v>1</v>
      </c>
      <c r="E715" s="16" t="s">
        <v>1931</v>
      </c>
      <c r="F715" s="16" t="str">
        <f>VLOOKUP(Table28[[#This Row],[Country]],Table10[[COUNTRY NAME]:[CONTINENT CODE]],3,FALSE)</f>
        <v>OC</v>
      </c>
      <c r="G715" s="16" t="s">
        <v>16821</v>
      </c>
      <c r="H715" s="181">
        <v>5475</v>
      </c>
      <c r="I715" s="180">
        <v>14.25</v>
      </c>
      <c r="K715" s="316">
        <f>IFERROR(Table28[[#This Row],[ROUTE COST]]/Table28[[#This Row],[O - DEMAND]],0)</f>
        <v>0</v>
      </c>
      <c r="M715" s="16">
        <f>Table28[[#This Row],[O - DEMAND]]/950</f>
        <v>0</v>
      </c>
      <c r="N715" s="16">
        <f>IFERROR(VLOOKUP(Table28[[#This Row],[ROUTE]],DEMAND!A:F,5,FALSE),0)</f>
        <v>0</v>
      </c>
      <c r="O715" s="16">
        <f>IFERROR(VLOOKUP(Table28[[#This Row],[ROUTE]],DEMAND!A:F,6,FALSE),0)</f>
        <v>0</v>
      </c>
      <c r="P715" s="16">
        <f>ROUNDDOWN(Table28[[#This Row],[R-DEMAND]]/950,0)</f>
        <v>0</v>
      </c>
      <c r="Q715" s="16">
        <f>Table28[[#This Row],[ADD ACC
(475/950)]]*Table28[[#This Row],[Duration
(A359)]]</f>
        <v>0</v>
      </c>
      <c r="R715" s="16">
        <f>IFERROR(VLOOKUP(Table28[[#This Row],[ROUTE]],PRICING!A:B,2,FALSE),0)</f>
        <v>0</v>
      </c>
      <c r="S715" s="16">
        <f>Table28[[#This Row],[C_DEMAND]]-Table28[[#This Row],[R-DEMAND]]</f>
        <v>0</v>
      </c>
      <c r="T715" s="316">
        <f>Table28[[#This Row],[SEATS SOLD]]*Table28[[#This Row],[ECO SEAT]]</f>
        <v>0</v>
      </c>
      <c r="U715" s="316">
        <f>Table28[[#This Row],[SEATS SOLD]]*(IFERROR(VLOOKUP(Table28[[#This Row],[ROUTE]],PRICING!A:C,3,FALSE),0))</f>
        <v>0</v>
      </c>
      <c r="V715" s="316">
        <f>Table28[[#This Row],[SEAT REV]]-Table28[[#This Row],[SEAT REV
(IF IDEAL $)]]</f>
        <v>0</v>
      </c>
      <c r="AS715" s="16" t="s">
        <v>514</v>
      </c>
      <c r="AT715" s="16" t="s">
        <v>13165</v>
      </c>
      <c r="AU715" s="16" t="s">
        <v>2759</v>
      </c>
      <c r="AV715" s="16" t="s">
        <v>18892</v>
      </c>
      <c r="AW715" s="16" t="s">
        <v>18879</v>
      </c>
      <c r="AX715" s="16" t="s">
        <v>18934</v>
      </c>
      <c r="AY715" s="385">
        <v>14583</v>
      </c>
    </row>
    <row r="716" spans="1:51" x14ac:dyDescent="0.25">
      <c r="A716" s="16" t="s">
        <v>19443</v>
      </c>
      <c r="B716" s="16" t="s">
        <v>3251</v>
      </c>
      <c r="D716" s="16">
        <v>2</v>
      </c>
      <c r="E716" s="16" t="s">
        <v>1144</v>
      </c>
      <c r="F716" s="16" t="str">
        <f>VLOOKUP(Table28[[#This Row],[Country]],Table10[[COUNTRY NAME]:[CONTINENT CODE]],3,FALSE)</f>
        <v>SA</v>
      </c>
      <c r="G716" s="16" t="s">
        <v>13152</v>
      </c>
      <c r="H716" s="181">
        <v>12772</v>
      </c>
      <c r="I716" s="180">
        <v>30.25</v>
      </c>
      <c r="K716" s="316">
        <f>IFERROR(Table28[[#This Row],[ROUTE COST]]/Table28[[#This Row],[O - DEMAND]],0)</f>
        <v>0</v>
      </c>
      <c r="M716" s="16">
        <f>Table28[[#This Row],[O - DEMAND]]/950</f>
        <v>0</v>
      </c>
      <c r="N716" s="16">
        <f>IFERROR(VLOOKUP(Table28[[#This Row],[ROUTE]],DEMAND!A:F,5,FALSE),0)</f>
        <v>0</v>
      </c>
      <c r="O716" s="16">
        <f>IFERROR(VLOOKUP(Table28[[#This Row],[ROUTE]],DEMAND!A:F,6,FALSE),0)</f>
        <v>0</v>
      </c>
      <c r="P716" s="16">
        <f>ROUNDDOWN(Table28[[#This Row],[R-DEMAND]]/950,0)</f>
        <v>0</v>
      </c>
      <c r="Q716" s="16">
        <f>Table28[[#This Row],[ADD ACC
(475/950)]]*Table28[[#This Row],[Duration
(A359)]]</f>
        <v>0</v>
      </c>
      <c r="R716" s="16">
        <f>IFERROR(VLOOKUP(Table28[[#This Row],[ROUTE]],PRICING!A:B,2,FALSE),0)</f>
        <v>0</v>
      </c>
      <c r="S716" s="16">
        <f>Table28[[#This Row],[C_DEMAND]]-Table28[[#This Row],[R-DEMAND]]</f>
        <v>0</v>
      </c>
      <c r="T716" s="316">
        <f>Table28[[#This Row],[SEATS SOLD]]*Table28[[#This Row],[ECO SEAT]]</f>
        <v>0</v>
      </c>
      <c r="U716" s="316">
        <f>Table28[[#This Row],[SEATS SOLD]]*(IFERROR(VLOOKUP(Table28[[#This Row],[ROUTE]],PRICING!A:C,3,FALSE),0))</f>
        <v>0</v>
      </c>
      <c r="V716" s="316">
        <f>Table28[[#This Row],[SEAT REV]]-Table28[[#This Row],[SEAT REV
(IF IDEAL $)]]</f>
        <v>0</v>
      </c>
      <c r="AS716" s="16" t="s">
        <v>11732</v>
      </c>
      <c r="AT716" s="16" t="s">
        <v>13314</v>
      </c>
      <c r="AU716" s="16" t="s">
        <v>5606</v>
      </c>
      <c r="AV716" s="16" t="s">
        <v>18884</v>
      </c>
      <c r="AW716" s="16" t="s">
        <v>18899</v>
      </c>
      <c r="AX716" s="16" t="s">
        <v>18934</v>
      </c>
      <c r="AY716" s="385">
        <v>14585</v>
      </c>
    </row>
    <row r="717" spans="1:51" x14ac:dyDescent="0.25">
      <c r="A717" s="16" t="s">
        <v>19462</v>
      </c>
      <c r="B717" s="16" t="s">
        <v>4510</v>
      </c>
      <c r="D717" s="16">
        <v>2</v>
      </c>
      <c r="E717" s="16" t="s">
        <v>78</v>
      </c>
      <c r="F717" s="16" t="str">
        <f>VLOOKUP(Table28[[#This Row],[Country]],Table10[[COUNTRY NAME]:[CONTINENT CODE]],3,FALSE)</f>
        <v>EU</v>
      </c>
      <c r="G717" s="16" t="s">
        <v>11919</v>
      </c>
      <c r="H717" s="181">
        <v>12890</v>
      </c>
      <c r="I717" s="180">
        <v>30.5</v>
      </c>
      <c r="K717" s="316">
        <f>IFERROR(Table28[[#This Row],[ROUTE COST]]/Table28[[#This Row],[O - DEMAND]],0)</f>
        <v>0</v>
      </c>
      <c r="M717" s="16">
        <f>Table28[[#This Row],[O - DEMAND]]/950</f>
        <v>0</v>
      </c>
      <c r="N717" s="16">
        <f>IFERROR(VLOOKUP(Table28[[#This Row],[ROUTE]],DEMAND!A:F,5,FALSE),0)</f>
        <v>0</v>
      </c>
      <c r="O717" s="16">
        <f>IFERROR(VLOOKUP(Table28[[#This Row],[ROUTE]],DEMAND!A:F,6,FALSE),0)</f>
        <v>0</v>
      </c>
      <c r="P717" s="16">
        <f>ROUNDDOWN(Table28[[#This Row],[R-DEMAND]]/950,0)</f>
        <v>0</v>
      </c>
      <c r="Q717" s="16">
        <f>Table28[[#This Row],[ADD ACC
(475/950)]]*Table28[[#This Row],[Duration
(A359)]]</f>
        <v>0</v>
      </c>
      <c r="R717" s="16">
        <f>IFERROR(VLOOKUP(Table28[[#This Row],[ROUTE]],PRICING!A:B,2,FALSE),0)</f>
        <v>0</v>
      </c>
      <c r="S717" s="16">
        <f>Table28[[#This Row],[C_DEMAND]]-Table28[[#This Row],[R-DEMAND]]</f>
        <v>0</v>
      </c>
      <c r="T717" s="316">
        <f>Table28[[#This Row],[SEATS SOLD]]*Table28[[#This Row],[ECO SEAT]]</f>
        <v>0</v>
      </c>
      <c r="U717" s="316">
        <f>Table28[[#This Row],[SEATS SOLD]]*(IFERROR(VLOOKUP(Table28[[#This Row],[ROUTE]],PRICING!A:C,3,FALSE),0))</f>
        <v>0</v>
      </c>
      <c r="V717" s="316">
        <f>Table28[[#This Row],[SEAT REV]]-Table28[[#This Row],[SEAT REV
(IF IDEAL $)]]</f>
        <v>0</v>
      </c>
      <c r="AS717" s="16" t="s">
        <v>1124</v>
      </c>
      <c r="AT717" s="16" t="s">
        <v>11857</v>
      </c>
      <c r="AU717" s="16" t="s">
        <v>3463</v>
      </c>
      <c r="AV717" s="16" t="s">
        <v>18884</v>
      </c>
      <c r="AW717" s="16" t="s">
        <v>18879</v>
      </c>
      <c r="AX717" s="16" t="s">
        <v>18934</v>
      </c>
      <c r="AY717" s="385">
        <v>14591</v>
      </c>
    </row>
    <row r="718" spans="1:51" x14ac:dyDescent="0.25">
      <c r="A718" s="16" t="s">
        <v>19472</v>
      </c>
      <c r="B718" s="16" t="s">
        <v>5070</v>
      </c>
      <c r="C718" s="16" t="s">
        <v>467</v>
      </c>
      <c r="D718" s="16">
        <v>3</v>
      </c>
      <c r="E718" s="16" t="s">
        <v>1749</v>
      </c>
      <c r="F718" s="16" t="str">
        <f>VLOOKUP(Table28[[#This Row],[Country]],Table10[[COUNTRY NAME]:[CONTINENT CODE]],3,FALSE)</f>
        <v>NA</v>
      </c>
      <c r="G718" s="16" t="s">
        <v>13224</v>
      </c>
      <c r="H718" s="181">
        <v>12935</v>
      </c>
      <c r="I718" s="180">
        <v>30.5</v>
      </c>
      <c r="K718" s="316">
        <f>IFERROR(Table28[[#This Row],[ROUTE COST]]/Table28[[#This Row],[O - DEMAND]],0)</f>
        <v>0</v>
      </c>
      <c r="M718" s="16">
        <f>Table28[[#This Row],[O - DEMAND]]/950</f>
        <v>0</v>
      </c>
      <c r="N718" s="16">
        <f>IFERROR(VLOOKUP(Table28[[#This Row],[ROUTE]],DEMAND!A:F,5,FALSE),0)</f>
        <v>2716</v>
      </c>
      <c r="O718" s="16">
        <f>IFERROR(VLOOKUP(Table28[[#This Row],[ROUTE]],DEMAND!A:F,6,FALSE),0)</f>
        <v>816</v>
      </c>
      <c r="P718" s="16">
        <f>ROUNDDOWN(Table28[[#This Row],[R-DEMAND]]/950,0)</f>
        <v>0</v>
      </c>
      <c r="Q718" s="16">
        <f>Table28[[#This Row],[ADD ACC
(475/950)]]*Table28[[#This Row],[Duration
(A359)]]</f>
        <v>0</v>
      </c>
      <c r="R718" s="16">
        <f>IFERROR(VLOOKUP(Table28[[#This Row],[ROUTE]],PRICING!A:B,2,FALSE),0)</f>
        <v>0</v>
      </c>
      <c r="S718" s="16">
        <f>Table28[[#This Row],[C_DEMAND]]-Table28[[#This Row],[R-DEMAND]]</f>
        <v>1900</v>
      </c>
      <c r="T718" s="316">
        <f>Table28[[#This Row],[SEATS SOLD]]*Table28[[#This Row],[ECO SEAT]]</f>
        <v>0</v>
      </c>
      <c r="U718" s="316">
        <f>Table28[[#This Row],[SEATS SOLD]]*(IFERROR(VLOOKUP(Table28[[#This Row],[ROUTE]],PRICING!A:C,3,FALSE),0))</f>
        <v>0</v>
      </c>
      <c r="V718" s="316">
        <f>Table28[[#This Row],[SEAT REV]]-Table28[[#This Row],[SEAT REV
(IF IDEAL $)]]</f>
        <v>0</v>
      </c>
      <c r="AS718" s="16" t="s">
        <v>700</v>
      </c>
      <c r="AT718" s="16" t="s">
        <v>11858</v>
      </c>
      <c r="AU718" s="16" t="s">
        <v>316</v>
      </c>
      <c r="AV718" s="16" t="s">
        <v>18884</v>
      </c>
      <c r="AW718" s="16" t="s">
        <v>18885</v>
      </c>
      <c r="AX718" s="16" t="s">
        <v>18934</v>
      </c>
      <c r="AY718" s="385">
        <v>14599</v>
      </c>
    </row>
    <row r="719" spans="1:51" x14ac:dyDescent="0.25">
      <c r="A719" s="16" t="s">
        <v>19657</v>
      </c>
      <c r="B719" s="16" t="s">
        <v>55</v>
      </c>
      <c r="C719" s="16" t="s">
        <v>467</v>
      </c>
      <c r="D719" s="16">
        <v>4</v>
      </c>
      <c r="E719" s="16" t="s">
        <v>1216</v>
      </c>
      <c r="F719" s="16" t="str">
        <f>VLOOKUP(Table28[[#This Row],[Country]],Table10[[COUNTRY NAME]:[CONTINENT CODE]],3,FALSE)</f>
        <v>AS</v>
      </c>
      <c r="G719" s="16" t="s">
        <v>11036</v>
      </c>
      <c r="H719" s="181">
        <v>14171</v>
      </c>
      <c r="I719" s="180">
        <v>33.25</v>
      </c>
      <c r="K719" s="316">
        <f>IFERROR(Table28[[#This Row],[ROUTE COST]]/Table28[[#This Row],[O - DEMAND]],0)</f>
        <v>0</v>
      </c>
      <c r="M719" s="16">
        <f>Table28[[#This Row],[O - DEMAND]]/950</f>
        <v>0</v>
      </c>
      <c r="N719" s="16">
        <f>IFERROR(VLOOKUP(Table28[[#This Row],[ROUTE]],DEMAND!A:F,5,FALSE),0)</f>
        <v>2122</v>
      </c>
      <c r="O719" s="16">
        <f>IFERROR(VLOOKUP(Table28[[#This Row],[ROUTE]],DEMAND!A:F,6,FALSE),0)</f>
        <v>222</v>
      </c>
      <c r="P719" s="16">
        <f>ROUNDDOWN(Table28[[#This Row],[R-DEMAND]]/950,0)</f>
        <v>0</v>
      </c>
      <c r="Q719" s="16">
        <f>Table28[[#This Row],[ADD ACC
(475/950)]]*Table28[[#This Row],[Duration
(A359)]]</f>
        <v>0</v>
      </c>
      <c r="R719" s="16">
        <f>IFERROR(VLOOKUP(Table28[[#This Row],[ROUTE]],PRICING!A:B,2,FALSE),0)</f>
        <v>0</v>
      </c>
      <c r="S719" s="16">
        <f>Table28[[#This Row],[C_DEMAND]]-Table28[[#This Row],[R-DEMAND]]</f>
        <v>1900</v>
      </c>
      <c r="T719" s="316">
        <f>Table28[[#This Row],[SEATS SOLD]]*Table28[[#This Row],[ECO SEAT]]</f>
        <v>0</v>
      </c>
      <c r="U719" s="316">
        <f>Table28[[#This Row],[SEATS SOLD]]*(IFERROR(VLOOKUP(Table28[[#This Row],[ROUTE]],PRICING!A:C,3,FALSE),0))</f>
        <v>0</v>
      </c>
      <c r="V719" s="316">
        <f>Table28[[#This Row],[SEAT REV]]-Table28[[#This Row],[SEAT REV
(IF IDEAL $)]]</f>
        <v>0</v>
      </c>
      <c r="AS719" s="16" t="s">
        <v>722</v>
      </c>
      <c r="AT719" s="16" t="s">
        <v>11855</v>
      </c>
      <c r="AU719" s="16" t="s">
        <v>4987</v>
      </c>
      <c r="AV719" s="16" t="s">
        <v>18892</v>
      </c>
      <c r="AW719" s="16" t="s">
        <v>18885</v>
      </c>
      <c r="AX719" s="16" t="s">
        <v>18934</v>
      </c>
      <c r="AY719" s="385">
        <v>14600</v>
      </c>
    </row>
    <row r="720" spans="1:51" x14ac:dyDescent="0.25">
      <c r="A720" s="16" t="s">
        <v>19162</v>
      </c>
      <c r="B720" s="16" t="s">
        <v>52</v>
      </c>
      <c r="C720" s="16" t="s">
        <v>467</v>
      </c>
      <c r="D720" s="16">
        <v>3</v>
      </c>
      <c r="E720" s="16" t="s">
        <v>14</v>
      </c>
      <c r="F720" s="16" t="str">
        <f>VLOOKUP(Table28[[#This Row],[Country]],Table10[[COUNTRY NAME]:[CONTINENT CODE]],3,FALSE)</f>
        <v>AS</v>
      </c>
      <c r="G720" s="16" t="s">
        <v>12033</v>
      </c>
      <c r="H720" s="181">
        <v>8625</v>
      </c>
      <c r="I720" s="180">
        <v>21</v>
      </c>
      <c r="K720" s="316">
        <f>IFERROR(Table28[[#This Row],[ROUTE COST]]/Table28[[#This Row],[O - DEMAND]],0)</f>
        <v>0</v>
      </c>
      <c r="M720" s="16">
        <f>Table28[[#This Row],[O - DEMAND]]/950</f>
        <v>0</v>
      </c>
      <c r="N720" s="16">
        <f>IFERROR(VLOOKUP(Table28[[#This Row],[ROUTE]],DEMAND!A:F,5,FALSE),0)</f>
        <v>2957</v>
      </c>
      <c r="O720" s="16">
        <f>IFERROR(VLOOKUP(Table28[[#This Row],[ROUTE]],DEMAND!A:F,6,FALSE),0)</f>
        <v>107</v>
      </c>
      <c r="P720" s="16">
        <f>ROUNDDOWN(Table28[[#This Row],[R-DEMAND]]/950,0)</f>
        <v>0</v>
      </c>
      <c r="Q720" s="16">
        <f>Table28[[#This Row],[ADD ACC
(475/950)]]*Table28[[#This Row],[Duration
(A359)]]</f>
        <v>0</v>
      </c>
      <c r="R720" s="16">
        <f>IFERROR(VLOOKUP(Table28[[#This Row],[ROUTE]],PRICING!A:B,2,FALSE),0)</f>
        <v>0</v>
      </c>
      <c r="S720" s="16">
        <f>Table28[[#This Row],[C_DEMAND]]-Table28[[#This Row],[R-DEMAND]]</f>
        <v>2850</v>
      </c>
      <c r="T720" s="316">
        <f>Table28[[#This Row],[SEATS SOLD]]*Table28[[#This Row],[ECO SEAT]]</f>
        <v>0</v>
      </c>
      <c r="U720" s="316">
        <f>Table28[[#This Row],[SEATS SOLD]]*(IFERROR(VLOOKUP(Table28[[#This Row],[ROUTE]],PRICING!A:C,3,FALSE),0))</f>
        <v>0</v>
      </c>
      <c r="V720" s="316">
        <f>Table28[[#This Row],[SEAT REV]]-Table28[[#This Row],[SEAT REV
(IF IDEAL $)]]</f>
        <v>0</v>
      </c>
      <c r="AS720" s="16" t="s">
        <v>860</v>
      </c>
      <c r="AT720" s="16" t="s">
        <v>17030</v>
      </c>
      <c r="AU720" s="16" t="s">
        <v>4770</v>
      </c>
      <c r="AV720" s="16" t="s">
        <v>18878</v>
      </c>
      <c r="AW720" s="16" t="s">
        <v>18885</v>
      </c>
      <c r="AX720" s="16" t="s">
        <v>18934</v>
      </c>
      <c r="AY720" s="385">
        <v>14610</v>
      </c>
    </row>
    <row r="721" spans="1:51" x14ac:dyDescent="0.25">
      <c r="A721" s="16" t="s">
        <v>19235</v>
      </c>
      <c r="B721" s="16" t="s">
        <v>4211</v>
      </c>
      <c r="C721" s="16" t="s">
        <v>467</v>
      </c>
      <c r="D721" s="16">
        <v>2</v>
      </c>
      <c r="E721" s="16" t="s">
        <v>938</v>
      </c>
      <c r="F721" s="16" t="str">
        <f>VLOOKUP(Table28[[#This Row],[Country]],Table10[[COUNTRY NAME]:[CONTINENT CODE]],3,FALSE)</f>
        <v>AF</v>
      </c>
      <c r="G721" s="16" t="s">
        <v>11975</v>
      </c>
      <c r="H721" s="181">
        <v>10048</v>
      </c>
      <c r="I721" s="180">
        <v>24.25</v>
      </c>
      <c r="K721" s="316">
        <f>IFERROR(Table28[[#This Row],[ROUTE COST]]/Table28[[#This Row],[O - DEMAND]],0)</f>
        <v>0</v>
      </c>
      <c r="M721" s="16">
        <f>Table28[[#This Row],[O - DEMAND]]/950</f>
        <v>0</v>
      </c>
      <c r="N721" s="16">
        <f>IFERROR(VLOOKUP(Table28[[#This Row],[ROUTE]],DEMAND!A:F,5,FALSE),0)</f>
        <v>3399</v>
      </c>
      <c r="O721" s="16">
        <f>IFERROR(VLOOKUP(Table28[[#This Row],[ROUTE]],DEMAND!A:F,6,FALSE),0)</f>
        <v>549</v>
      </c>
      <c r="P721" s="16">
        <f>ROUNDDOWN(Table28[[#This Row],[R-DEMAND]]/950,0)</f>
        <v>0</v>
      </c>
      <c r="Q721" s="16">
        <f>Table28[[#This Row],[ADD ACC
(475/950)]]*Table28[[#This Row],[Duration
(A359)]]</f>
        <v>0</v>
      </c>
      <c r="R721" s="16">
        <f>IFERROR(VLOOKUP(Table28[[#This Row],[ROUTE]],PRICING!A:B,2,FALSE),0)</f>
        <v>0</v>
      </c>
      <c r="S721" s="16">
        <f>Table28[[#This Row],[C_DEMAND]]-Table28[[#This Row],[R-DEMAND]]</f>
        <v>2850</v>
      </c>
      <c r="T721" s="316">
        <f>Table28[[#This Row],[SEATS SOLD]]*Table28[[#This Row],[ECO SEAT]]</f>
        <v>0</v>
      </c>
      <c r="U721" s="316">
        <f>Table28[[#This Row],[SEATS SOLD]]*(IFERROR(VLOOKUP(Table28[[#This Row],[ROUTE]],PRICING!A:C,3,FALSE),0))</f>
        <v>0</v>
      </c>
      <c r="V721" s="316">
        <f>Table28[[#This Row],[SEAT REV]]-Table28[[#This Row],[SEAT REV
(IF IDEAL $)]]</f>
        <v>0</v>
      </c>
      <c r="AS721" s="16" t="s">
        <v>11732</v>
      </c>
      <c r="AT721" s="16" t="s">
        <v>13293</v>
      </c>
      <c r="AU721" s="16" t="s">
        <v>3545</v>
      </c>
      <c r="AV721" s="16" t="s">
        <v>18881</v>
      </c>
      <c r="AW721" s="16" t="s">
        <v>18879</v>
      </c>
      <c r="AX721" s="16" t="s">
        <v>18934</v>
      </c>
      <c r="AY721" s="385">
        <v>14618</v>
      </c>
    </row>
    <row r="722" spans="1:51" x14ac:dyDescent="0.25">
      <c r="A722" s="16" t="s">
        <v>19755</v>
      </c>
      <c r="B722" s="16" t="s">
        <v>5647</v>
      </c>
      <c r="D722" s="16">
        <v>4</v>
      </c>
      <c r="E722" s="16" t="s">
        <v>11732</v>
      </c>
      <c r="F722" s="16" t="str">
        <f>VLOOKUP(Table28[[#This Row],[Country]],Table10[[COUNTRY NAME]:[CONTINENT CODE]],3,FALSE)</f>
        <v>NA - US</v>
      </c>
      <c r="G722" s="16" t="s">
        <v>13366</v>
      </c>
      <c r="H722" s="181">
        <v>14912</v>
      </c>
      <c r="I722" s="180">
        <v>34.75</v>
      </c>
      <c r="K722" s="316">
        <f>IFERROR(Table28[[#This Row],[ROUTE COST]]/Table28[[#This Row],[O - DEMAND]],0)</f>
        <v>0</v>
      </c>
      <c r="M722" s="180">
        <f>Table28[[#This Row],[O - DEMAND]]/950</f>
        <v>0</v>
      </c>
      <c r="N722" s="16">
        <f>IFERROR(VLOOKUP(Table28[[#This Row],[ROUTE]],DEMAND!A:F,5,FALSE),0)</f>
        <v>0</v>
      </c>
      <c r="O722" s="16">
        <f>IFERROR(VLOOKUP(Table28[[#This Row],[ROUTE]],DEMAND!A:F,6,FALSE),0)</f>
        <v>0</v>
      </c>
      <c r="P722" s="16">
        <f>ROUNDDOWN(Table28[[#This Row],[R-DEMAND]]/950,0)</f>
        <v>0</v>
      </c>
      <c r="Q722" s="16">
        <f>Table28[[#This Row],[ADD ACC
(475/950)]]*Table28[[#This Row],[Duration
(A359)]]</f>
        <v>0</v>
      </c>
      <c r="R722" s="16">
        <f>IFERROR(VLOOKUP(Table28[[#This Row],[ROUTE]],PRICING!A:B,2,FALSE),0)</f>
        <v>0</v>
      </c>
      <c r="S722" s="16">
        <f>Table28[[#This Row],[C_DEMAND]]-Table28[[#This Row],[R-DEMAND]]</f>
        <v>0</v>
      </c>
      <c r="T722" s="316">
        <f>Table28[[#This Row],[SEATS SOLD]]*Table28[[#This Row],[ECO SEAT]]</f>
        <v>0</v>
      </c>
      <c r="U722" s="316">
        <f>Table28[[#This Row],[SEATS SOLD]]*(IFERROR(VLOOKUP(Table28[[#This Row],[ROUTE]],PRICING!A:C,3,FALSE),0))</f>
        <v>0</v>
      </c>
      <c r="V722" s="316">
        <f>Table28[[#This Row],[SEAT REV]]-Table28[[#This Row],[SEAT REV
(IF IDEAL $)]]</f>
        <v>0</v>
      </c>
      <c r="AS722" s="16" t="s">
        <v>11732</v>
      </c>
      <c r="AT722" s="16" t="s">
        <v>13317</v>
      </c>
      <c r="AU722" s="16" t="s">
        <v>2207</v>
      </c>
      <c r="AV722" s="16" t="s">
        <v>18881</v>
      </c>
      <c r="AW722" s="16" t="s">
        <v>18890</v>
      </c>
      <c r="AX722" s="16" t="s">
        <v>18934</v>
      </c>
      <c r="AY722" s="385">
        <v>14624</v>
      </c>
    </row>
    <row r="723" spans="1:51" x14ac:dyDescent="0.25">
      <c r="A723" s="16" t="s">
        <v>19076</v>
      </c>
      <c r="B723" s="16" t="s">
        <v>47</v>
      </c>
      <c r="C723" s="16" t="s">
        <v>467</v>
      </c>
      <c r="D723" s="16">
        <v>5</v>
      </c>
      <c r="E723" s="16" t="s">
        <v>46</v>
      </c>
      <c r="F723" s="16" t="str">
        <f>VLOOKUP(Table28[[#This Row],[Country]],Table10[[COUNTRY NAME]:[CONTINENT CODE]],3,FALSE)</f>
        <v>AS</v>
      </c>
      <c r="G723" s="16" t="s">
        <v>45</v>
      </c>
      <c r="H723" s="181">
        <v>7287</v>
      </c>
      <c r="I723" s="180">
        <v>18</v>
      </c>
      <c r="K723" s="316">
        <f>IFERROR(Table28[[#This Row],[ROUTE COST]]/Table28[[#This Row],[O - DEMAND]],0)</f>
        <v>0</v>
      </c>
      <c r="M723" s="16">
        <f>Table28[[#This Row],[O - DEMAND]]/950</f>
        <v>0</v>
      </c>
      <c r="N723" s="16">
        <f>IFERROR(VLOOKUP(Table28[[#This Row],[ROUTE]],DEMAND!A:F,5,FALSE),0)</f>
        <v>2649</v>
      </c>
      <c r="O723" s="16">
        <f>IFERROR(VLOOKUP(Table28[[#This Row],[ROUTE]],DEMAND!A:F,6,FALSE),0)</f>
        <v>749</v>
      </c>
      <c r="P723" s="16">
        <f>ROUNDDOWN(Table28[[#This Row],[R-DEMAND]]/950,0)</f>
        <v>0</v>
      </c>
      <c r="Q723" s="16">
        <f>Table28[[#This Row],[ADD ACC
(475/950)]]*Table28[[#This Row],[Duration
(A359)]]</f>
        <v>0</v>
      </c>
      <c r="R723" s="16">
        <f>IFERROR(VLOOKUP(Table28[[#This Row],[ROUTE]],PRICING!A:B,2,FALSE),0)</f>
        <v>0</v>
      </c>
      <c r="S723" s="16">
        <f>Table28[[#This Row],[C_DEMAND]]-Table28[[#This Row],[R-DEMAND]]</f>
        <v>1900</v>
      </c>
      <c r="T723" s="316">
        <f>Table28[[#This Row],[SEATS SOLD]]*Table28[[#This Row],[ECO SEAT]]</f>
        <v>0</v>
      </c>
      <c r="U723" s="316">
        <f>Table28[[#This Row],[SEATS SOLD]]*(IFERROR(VLOOKUP(Table28[[#This Row],[ROUTE]],PRICING!A:C,3,FALSE),0))</f>
        <v>0</v>
      </c>
      <c r="V723" s="316">
        <f>Table28[[#This Row],[SEAT REV]]-Table28[[#This Row],[SEAT REV
(IF IDEAL $)]]</f>
        <v>0</v>
      </c>
      <c r="AS723" s="16" t="s">
        <v>722</v>
      </c>
      <c r="AT723" s="16" t="s">
        <v>11856</v>
      </c>
      <c r="AU723" s="16" t="s">
        <v>4477</v>
      </c>
      <c r="AV723" s="16" t="s">
        <v>18884</v>
      </c>
      <c r="AW723" s="16" t="s">
        <v>18879</v>
      </c>
      <c r="AX723" s="16" t="s">
        <v>18934</v>
      </c>
      <c r="AY723" s="385">
        <v>14630</v>
      </c>
    </row>
    <row r="724" spans="1:51" x14ac:dyDescent="0.25">
      <c r="A724" s="16" t="s">
        <v>19532</v>
      </c>
      <c r="B724" s="16" t="s">
        <v>3416</v>
      </c>
      <c r="D724" s="16">
        <v>2</v>
      </c>
      <c r="E724" s="16" t="s">
        <v>714</v>
      </c>
      <c r="F724" s="16" t="str">
        <f>VLOOKUP(Table28[[#This Row],[Country]],Table10[[COUNTRY NAME]:[CONTINENT CODE]],3,FALSE)</f>
        <v>SA</v>
      </c>
      <c r="G724" s="16" t="s">
        <v>16996</v>
      </c>
      <c r="H724" s="181">
        <v>13295</v>
      </c>
      <c r="I724" s="180">
        <v>31.25</v>
      </c>
      <c r="K724" s="316">
        <f>IFERROR(Table28[[#This Row],[ROUTE COST]]/Table28[[#This Row],[O - DEMAND]],0)</f>
        <v>0</v>
      </c>
      <c r="M724" s="16">
        <f>Table28[[#This Row],[O - DEMAND]]/950</f>
        <v>0</v>
      </c>
      <c r="N724" s="16">
        <f>IFERROR(VLOOKUP(Table28[[#This Row],[ROUTE]],DEMAND!A:F,5,FALSE),0)</f>
        <v>0</v>
      </c>
      <c r="O724" s="16">
        <f>IFERROR(VLOOKUP(Table28[[#This Row],[ROUTE]],DEMAND!A:F,6,FALSE),0)</f>
        <v>0</v>
      </c>
      <c r="P724" s="16">
        <f>ROUNDDOWN(Table28[[#This Row],[R-DEMAND]]/950,0)</f>
        <v>0</v>
      </c>
      <c r="Q724" s="16">
        <f>Table28[[#This Row],[ADD ACC
(475/950)]]*Table28[[#This Row],[Duration
(A359)]]</f>
        <v>0</v>
      </c>
      <c r="R724" s="16">
        <f>IFERROR(VLOOKUP(Table28[[#This Row],[ROUTE]],PRICING!A:B,2,FALSE),0)</f>
        <v>0</v>
      </c>
      <c r="S724" s="16">
        <f>Table28[[#This Row],[C_DEMAND]]-Table28[[#This Row],[R-DEMAND]]</f>
        <v>0</v>
      </c>
      <c r="T724" s="316">
        <f>Table28[[#This Row],[SEATS SOLD]]*Table28[[#This Row],[ECO SEAT]]</f>
        <v>0</v>
      </c>
      <c r="U724" s="316">
        <f>Table28[[#This Row],[SEATS SOLD]]*(IFERROR(VLOOKUP(Table28[[#This Row],[ROUTE]],PRICING!A:C,3,FALSE),0))</f>
        <v>0</v>
      </c>
      <c r="V724" s="316">
        <f>Table28[[#This Row],[SEAT REV]]-Table28[[#This Row],[SEAT REV
(IF IDEAL $)]]</f>
        <v>0</v>
      </c>
      <c r="AS724" s="16" t="s">
        <v>11732</v>
      </c>
      <c r="AT724" s="16" t="s">
        <v>16976</v>
      </c>
      <c r="AU724" s="16" t="s">
        <v>3356</v>
      </c>
      <c r="AV724" s="16" t="s">
        <v>18878</v>
      </c>
      <c r="AX724" s="16" t="s">
        <v>18934</v>
      </c>
      <c r="AY724" s="385">
        <v>14636</v>
      </c>
    </row>
    <row r="725" spans="1:51" x14ac:dyDescent="0.25">
      <c r="A725" s="16" t="s">
        <v>19466</v>
      </c>
      <c r="B725" s="16" t="s">
        <v>4034</v>
      </c>
      <c r="D725" s="16">
        <v>2</v>
      </c>
      <c r="E725" s="16" t="s">
        <v>1749</v>
      </c>
      <c r="F725" s="16" t="str">
        <f>VLOOKUP(Table28[[#This Row],[Country]],Table10[[COUNTRY NAME]:[CONTINENT CODE]],3,FALSE)</f>
        <v>NA</v>
      </c>
      <c r="G725" s="16" t="s">
        <v>16977</v>
      </c>
      <c r="H725" s="181">
        <v>12912</v>
      </c>
      <c r="I725" s="180">
        <v>30.5</v>
      </c>
      <c r="K725" s="316">
        <f>IFERROR(Table28[[#This Row],[ROUTE COST]]/Table28[[#This Row],[O - DEMAND]],0)</f>
        <v>0</v>
      </c>
      <c r="M725" s="16">
        <f>Table28[[#This Row],[O - DEMAND]]/950</f>
        <v>0</v>
      </c>
      <c r="N725" s="16">
        <f>IFERROR(VLOOKUP(Table28[[#This Row],[ROUTE]],DEMAND!A:F,5,FALSE),0)</f>
        <v>0</v>
      </c>
      <c r="O725" s="16">
        <f>IFERROR(VLOOKUP(Table28[[#This Row],[ROUTE]],DEMAND!A:F,6,FALSE),0)</f>
        <v>0</v>
      </c>
      <c r="P725" s="16">
        <f>ROUNDDOWN(Table28[[#This Row],[R-DEMAND]]/950,0)</f>
        <v>0</v>
      </c>
      <c r="Q725" s="16">
        <f>Table28[[#This Row],[ADD ACC
(475/950)]]*Table28[[#This Row],[Duration
(A359)]]</f>
        <v>0</v>
      </c>
      <c r="R725" s="16">
        <f>IFERROR(VLOOKUP(Table28[[#This Row],[ROUTE]],PRICING!A:B,2,FALSE),0)</f>
        <v>0</v>
      </c>
      <c r="S725" s="16">
        <f>Table28[[#This Row],[C_DEMAND]]-Table28[[#This Row],[R-DEMAND]]</f>
        <v>0</v>
      </c>
      <c r="T725" s="316">
        <f>Table28[[#This Row],[SEATS SOLD]]*Table28[[#This Row],[ECO SEAT]]</f>
        <v>0</v>
      </c>
      <c r="U725" s="316">
        <f>Table28[[#This Row],[SEATS SOLD]]*(IFERROR(VLOOKUP(Table28[[#This Row],[ROUTE]],PRICING!A:C,3,FALSE),0))</f>
        <v>0</v>
      </c>
      <c r="V725" s="316">
        <f>Table28[[#This Row],[SEAT REV]]-Table28[[#This Row],[SEAT REV
(IF IDEAL $)]]</f>
        <v>0</v>
      </c>
      <c r="AS725" s="16" t="s">
        <v>11732</v>
      </c>
      <c r="AT725" s="16" t="s">
        <v>13305</v>
      </c>
      <c r="AU725" s="16" t="s">
        <v>4518</v>
      </c>
      <c r="AV725" s="16" t="s">
        <v>18881</v>
      </c>
      <c r="AW725" s="16" t="s">
        <v>18879</v>
      </c>
      <c r="AX725" s="16" t="s">
        <v>18934</v>
      </c>
      <c r="AY725" s="385">
        <v>14642</v>
      </c>
    </row>
    <row r="726" spans="1:51" x14ac:dyDescent="0.25">
      <c r="A726" s="16" t="s">
        <v>19477</v>
      </c>
      <c r="B726" s="16" t="s">
        <v>3442</v>
      </c>
      <c r="D726" s="16">
        <v>2</v>
      </c>
      <c r="E726" s="16" t="s">
        <v>714</v>
      </c>
      <c r="F726" s="16" t="str">
        <f>VLOOKUP(Table28[[#This Row],[Country]],Table10[[COUNTRY NAME]:[CONTINENT CODE]],3,FALSE)</f>
        <v>SA</v>
      </c>
      <c r="G726" s="16" t="s">
        <v>13235</v>
      </c>
      <c r="H726" s="181">
        <v>12958</v>
      </c>
      <c r="I726" s="180">
        <v>30.5</v>
      </c>
      <c r="K726" s="316">
        <f>IFERROR(Table28[[#This Row],[ROUTE COST]]/Table28[[#This Row],[O - DEMAND]],0)</f>
        <v>0</v>
      </c>
      <c r="M726" s="16">
        <f>Table28[[#This Row],[O - DEMAND]]/950</f>
        <v>0</v>
      </c>
      <c r="N726" s="16">
        <f>IFERROR(VLOOKUP(Table28[[#This Row],[ROUTE]],DEMAND!A:F,5,FALSE),0)</f>
        <v>0</v>
      </c>
      <c r="O726" s="16">
        <f>IFERROR(VLOOKUP(Table28[[#This Row],[ROUTE]],DEMAND!A:F,6,FALSE),0)</f>
        <v>0</v>
      </c>
      <c r="P726" s="16">
        <f>ROUNDDOWN(Table28[[#This Row],[R-DEMAND]]/950,0)</f>
        <v>0</v>
      </c>
      <c r="Q726" s="16">
        <f>Table28[[#This Row],[ADD ACC
(475/950)]]*Table28[[#This Row],[Duration
(A359)]]</f>
        <v>0</v>
      </c>
      <c r="R726" s="16">
        <f>IFERROR(VLOOKUP(Table28[[#This Row],[ROUTE]],PRICING!A:B,2,FALSE),0)</f>
        <v>0</v>
      </c>
      <c r="S726" s="16">
        <f>Table28[[#This Row],[C_DEMAND]]-Table28[[#This Row],[R-DEMAND]]</f>
        <v>0</v>
      </c>
      <c r="T726" s="316">
        <f>Table28[[#This Row],[SEATS SOLD]]*Table28[[#This Row],[ECO SEAT]]</f>
        <v>0</v>
      </c>
      <c r="U726" s="316">
        <f>Table28[[#This Row],[SEATS SOLD]]*(IFERROR(VLOOKUP(Table28[[#This Row],[ROUTE]],PRICING!A:C,3,FALSE),0))</f>
        <v>0</v>
      </c>
      <c r="V726" s="316">
        <f>Table28[[#This Row],[SEAT REV]]-Table28[[#This Row],[SEAT REV
(IF IDEAL $)]]</f>
        <v>0</v>
      </c>
      <c r="AS726" s="16" t="s">
        <v>11732</v>
      </c>
      <c r="AT726" s="16" t="s">
        <v>13360</v>
      </c>
      <c r="AU726" s="16" t="s">
        <v>4371</v>
      </c>
      <c r="AV726" s="16" t="s">
        <v>18884</v>
      </c>
      <c r="AW726" s="16" t="s">
        <v>18879</v>
      </c>
      <c r="AX726" s="16" t="s">
        <v>18934</v>
      </c>
      <c r="AY726" s="385">
        <v>14648</v>
      </c>
    </row>
    <row r="727" spans="1:51" x14ac:dyDescent="0.25">
      <c r="A727" s="16" t="s">
        <v>19193</v>
      </c>
      <c r="B727" s="16" t="s">
        <v>44</v>
      </c>
      <c r="D727" s="16">
        <v>3</v>
      </c>
      <c r="E727" s="16" t="s">
        <v>1070</v>
      </c>
      <c r="F727" s="16" t="str">
        <f>VLOOKUP(Table28[[#This Row],[Country]],Table10[[COUNTRY NAME]:[CONTINENT CODE]],3,FALSE)</f>
        <v>AS</v>
      </c>
      <c r="G727" s="16" t="s">
        <v>12072</v>
      </c>
      <c r="H727" s="181">
        <v>9113</v>
      </c>
      <c r="I727" s="180">
        <v>22.25</v>
      </c>
      <c r="K727" s="316">
        <f>IFERROR(Table28[[#This Row],[ROUTE COST]]/Table28[[#This Row],[O - DEMAND]],0)</f>
        <v>0</v>
      </c>
      <c r="M727" s="16">
        <f>Table28[[#This Row],[O - DEMAND]]/950</f>
        <v>0</v>
      </c>
      <c r="N727" s="16">
        <f>IFERROR(VLOOKUP(Table28[[#This Row],[ROUTE]],DEMAND!A:F,5,FALSE),0)</f>
        <v>0</v>
      </c>
      <c r="O727" s="16">
        <f>IFERROR(VLOOKUP(Table28[[#This Row],[ROUTE]],DEMAND!A:F,6,FALSE),0)</f>
        <v>0</v>
      </c>
      <c r="P727" s="16">
        <f>ROUNDDOWN(Table28[[#This Row],[R-DEMAND]]/950,0)</f>
        <v>0</v>
      </c>
      <c r="Q727" s="16">
        <f>Table28[[#This Row],[ADD ACC
(475/950)]]*Table28[[#This Row],[Duration
(A359)]]</f>
        <v>0</v>
      </c>
      <c r="R727" s="16">
        <f>IFERROR(VLOOKUP(Table28[[#This Row],[ROUTE]],PRICING!A:B,2,FALSE),0)</f>
        <v>0</v>
      </c>
      <c r="S727" s="16">
        <f>Table28[[#This Row],[C_DEMAND]]-Table28[[#This Row],[R-DEMAND]]</f>
        <v>0</v>
      </c>
      <c r="T727" s="316">
        <f>Table28[[#This Row],[SEATS SOLD]]*Table28[[#This Row],[ECO SEAT]]</f>
        <v>0</v>
      </c>
      <c r="U727" s="316">
        <f>Table28[[#This Row],[SEATS SOLD]]*(IFERROR(VLOOKUP(Table28[[#This Row],[ROUTE]],PRICING!A:C,3,FALSE),0))</f>
        <v>0</v>
      </c>
      <c r="V727" s="316">
        <f>Table28[[#This Row],[SEAT REV]]-Table28[[#This Row],[SEAT REV
(IF IDEAL $)]]</f>
        <v>0</v>
      </c>
      <c r="AS727" s="16" t="s">
        <v>11782</v>
      </c>
      <c r="AT727" s="16" t="s">
        <v>11796</v>
      </c>
      <c r="AU727" s="16" t="s">
        <v>3361</v>
      </c>
      <c r="AV727" s="16" t="s">
        <v>18884</v>
      </c>
      <c r="AW727" s="16" t="s">
        <v>18879</v>
      </c>
      <c r="AX727" s="16" t="s">
        <v>18934</v>
      </c>
      <c r="AY727" s="385">
        <v>14662</v>
      </c>
    </row>
    <row r="728" spans="1:51" x14ac:dyDescent="0.25">
      <c r="A728" s="16" t="s">
        <v>19074</v>
      </c>
      <c r="B728" s="16" t="s">
        <v>5257</v>
      </c>
      <c r="C728" s="16" t="s">
        <v>467</v>
      </c>
      <c r="D728" s="16">
        <v>3</v>
      </c>
      <c r="E728" s="16" t="s">
        <v>46</v>
      </c>
      <c r="F728" s="16" t="str">
        <f>VLOOKUP(Table28[[#This Row],[Country]],Table10[[COUNTRY NAME]:[CONTINENT CODE]],3,FALSE)</f>
        <v>AS</v>
      </c>
      <c r="G728" s="16" t="s">
        <v>16812</v>
      </c>
      <c r="H728" s="181">
        <v>7272</v>
      </c>
      <c r="I728" s="180">
        <v>18</v>
      </c>
      <c r="K728" s="316">
        <f>IFERROR(Table28[[#This Row],[ROUTE COST]]/Table28[[#This Row],[O - DEMAND]],0)</f>
        <v>0</v>
      </c>
      <c r="M728" s="16">
        <f>Table28[[#This Row],[O - DEMAND]]/950</f>
        <v>0</v>
      </c>
      <c r="N728" s="16">
        <f>IFERROR(VLOOKUP(Table28[[#This Row],[ROUTE]],DEMAND!A:F,5,FALSE),0)</f>
        <v>2194</v>
      </c>
      <c r="O728" s="16">
        <f>IFERROR(VLOOKUP(Table28[[#This Row],[ROUTE]],DEMAND!A:F,6,FALSE),0)</f>
        <v>294</v>
      </c>
      <c r="P728" s="16">
        <f>ROUNDDOWN(Table28[[#This Row],[R-DEMAND]]/950,0)</f>
        <v>0</v>
      </c>
      <c r="Q728" s="16">
        <f>Table28[[#This Row],[ADD ACC
(475/950)]]*Table28[[#This Row],[Duration
(A359)]]</f>
        <v>0</v>
      </c>
      <c r="R728" s="16">
        <f>IFERROR(VLOOKUP(Table28[[#This Row],[ROUTE]],PRICING!A:B,2,FALSE),0)</f>
        <v>0</v>
      </c>
      <c r="S728" s="16">
        <f>Table28[[#This Row],[C_DEMAND]]-Table28[[#This Row],[R-DEMAND]]</f>
        <v>1900</v>
      </c>
      <c r="T728" s="316">
        <f>Table28[[#This Row],[SEATS SOLD]]*Table28[[#This Row],[ECO SEAT]]</f>
        <v>0</v>
      </c>
      <c r="U728" s="316">
        <f>Table28[[#This Row],[SEATS SOLD]]*(IFERROR(VLOOKUP(Table28[[#This Row],[ROUTE]],PRICING!A:C,3,FALSE),0))</f>
        <v>0</v>
      </c>
      <c r="V728" s="316">
        <f>Table28[[#This Row],[SEAT REV]]-Table28[[#This Row],[SEAT REV
(IF IDEAL $)]]</f>
        <v>0</v>
      </c>
      <c r="AS728" s="16" t="s">
        <v>11732</v>
      </c>
      <c r="AT728" s="16" t="s">
        <v>13312</v>
      </c>
      <c r="AU728" s="16" t="s">
        <v>4036</v>
      </c>
      <c r="AV728" s="16" t="s">
        <v>18881</v>
      </c>
      <c r="AW728" s="16" t="s">
        <v>18879</v>
      </c>
      <c r="AX728" s="16" t="s">
        <v>18926</v>
      </c>
      <c r="AY728" s="385">
        <v>14690</v>
      </c>
    </row>
    <row r="729" spans="1:51" x14ac:dyDescent="0.25">
      <c r="A729" s="16" t="s">
        <v>19173</v>
      </c>
      <c r="B729" s="16" t="s">
        <v>42</v>
      </c>
      <c r="C729" s="16" t="s">
        <v>467</v>
      </c>
      <c r="D729" s="16">
        <v>3</v>
      </c>
      <c r="E729" s="16" t="s">
        <v>14</v>
      </c>
      <c r="F729" s="16" t="str">
        <f>VLOOKUP(Table28[[#This Row],[Country]],Table10[[COUNTRY NAME]:[CONTINENT CODE]],3,FALSE)</f>
        <v>AS</v>
      </c>
      <c r="G729" s="16" t="s">
        <v>12023</v>
      </c>
      <c r="H729" s="181">
        <v>8842</v>
      </c>
      <c r="I729" s="180">
        <v>21.5</v>
      </c>
      <c r="K729" s="316">
        <f>IFERROR(Table28[[#This Row],[ROUTE COST]]/Table28[[#This Row],[O - DEMAND]],0)</f>
        <v>0</v>
      </c>
      <c r="M729" s="16">
        <f>Table28[[#This Row],[O - DEMAND]]/950</f>
        <v>0</v>
      </c>
      <c r="N729" s="16">
        <f>IFERROR(VLOOKUP(Table28[[#This Row],[ROUTE]],DEMAND!A:F,5,FALSE),0)</f>
        <v>2907</v>
      </c>
      <c r="O729" s="16">
        <f>IFERROR(VLOOKUP(Table28[[#This Row],[ROUTE]],DEMAND!A:F,6,FALSE),0)</f>
        <v>57</v>
      </c>
      <c r="P729" s="16">
        <f>ROUNDDOWN(Table28[[#This Row],[R-DEMAND]]/950,0)</f>
        <v>0</v>
      </c>
      <c r="Q729" s="16">
        <f>Table28[[#This Row],[ADD ACC
(475/950)]]*Table28[[#This Row],[Duration
(A359)]]</f>
        <v>0</v>
      </c>
      <c r="R729" s="16">
        <f>IFERROR(VLOOKUP(Table28[[#This Row],[ROUTE]],PRICING!A:B,2,FALSE),0)</f>
        <v>0</v>
      </c>
      <c r="S729" s="16">
        <f>Table28[[#This Row],[C_DEMAND]]-Table28[[#This Row],[R-DEMAND]]</f>
        <v>2850</v>
      </c>
      <c r="T729" s="316">
        <f>Table28[[#This Row],[SEATS SOLD]]*Table28[[#This Row],[ECO SEAT]]</f>
        <v>0</v>
      </c>
      <c r="U729" s="316">
        <f>Table28[[#This Row],[SEATS SOLD]]*(IFERROR(VLOOKUP(Table28[[#This Row],[ROUTE]],PRICING!A:C,3,FALSE),0))</f>
        <v>0</v>
      </c>
      <c r="V729" s="316">
        <f>Table28[[#This Row],[SEAT REV]]-Table28[[#This Row],[SEAT REV
(IF IDEAL $)]]</f>
        <v>0</v>
      </c>
      <c r="AS729" s="16" t="s">
        <v>700</v>
      </c>
      <c r="AT729" s="16" t="s">
        <v>10756</v>
      </c>
      <c r="AU729" s="16" t="s">
        <v>5663</v>
      </c>
      <c r="AV729" s="16" t="s">
        <v>18884</v>
      </c>
      <c r="AW729" s="16" t="s">
        <v>18899</v>
      </c>
      <c r="AX729" s="16" t="s">
        <v>18926</v>
      </c>
      <c r="AY729" s="385">
        <v>14696</v>
      </c>
    </row>
    <row r="730" spans="1:51" x14ac:dyDescent="0.25">
      <c r="A730" s="16" t="s">
        <v>19377</v>
      </c>
      <c r="B730" s="16" t="s">
        <v>3636</v>
      </c>
      <c r="C730" s="16" t="s">
        <v>467</v>
      </c>
      <c r="D730" s="16">
        <v>2</v>
      </c>
      <c r="E730" s="16" t="s">
        <v>11669</v>
      </c>
      <c r="F730" s="16" t="str">
        <f>VLOOKUP(Table28[[#This Row],[Country]],Table10[[COUNTRY NAME]:[CONTINENT CODE]],3,FALSE)</f>
        <v>SA</v>
      </c>
      <c r="G730" s="16" t="s">
        <v>13139</v>
      </c>
      <c r="H730" s="181">
        <v>12252</v>
      </c>
      <c r="I730" s="180">
        <v>29</v>
      </c>
      <c r="K730" s="316">
        <f>IFERROR(Table28[[#This Row],[ROUTE COST]]/Table28[[#This Row],[O - DEMAND]],0)</f>
        <v>0</v>
      </c>
      <c r="M730" s="16">
        <f>Table28[[#This Row],[O - DEMAND]]/950</f>
        <v>0</v>
      </c>
      <c r="N730" s="16">
        <f>IFERROR(VLOOKUP(Table28[[#This Row],[ROUTE]],DEMAND!A:F,5,FALSE),0)</f>
        <v>2346</v>
      </c>
      <c r="O730" s="16">
        <f>IFERROR(VLOOKUP(Table28[[#This Row],[ROUTE]],DEMAND!A:F,6,FALSE),0)</f>
        <v>446</v>
      </c>
      <c r="P730" s="16">
        <f>ROUNDDOWN(Table28[[#This Row],[R-DEMAND]]/950,0)</f>
        <v>0</v>
      </c>
      <c r="Q730" s="16">
        <f>Table28[[#This Row],[ADD ACC
(475/950)]]*Table28[[#This Row],[Duration
(A359)]]</f>
        <v>0</v>
      </c>
      <c r="R730" s="16">
        <f>IFERROR(VLOOKUP(Table28[[#This Row],[ROUTE]],PRICING!A:B,2,FALSE),0)</f>
        <v>0</v>
      </c>
      <c r="S730" s="16">
        <f>Table28[[#This Row],[C_DEMAND]]-Table28[[#This Row],[R-DEMAND]]</f>
        <v>1900</v>
      </c>
      <c r="T730" s="316">
        <f>Table28[[#This Row],[SEATS SOLD]]*Table28[[#This Row],[ECO SEAT]]</f>
        <v>0</v>
      </c>
      <c r="U730" s="316">
        <f>Table28[[#This Row],[SEATS SOLD]]*(IFERROR(VLOOKUP(Table28[[#This Row],[ROUTE]],PRICING!A:C,3,FALSE),0))</f>
        <v>0</v>
      </c>
      <c r="V730" s="316">
        <f>Table28[[#This Row],[SEAT REV]]-Table28[[#This Row],[SEAT REV
(IF IDEAL $)]]</f>
        <v>0</v>
      </c>
      <c r="AS730" s="16" t="s">
        <v>683</v>
      </c>
      <c r="AT730" s="16" t="s">
        <v>13186</v>
      </c>
      <c r="AU730" s="16" t="s">
        <v>5465</v>
      </c>
      <c r="AV730" s="16" t="s">
        <v>18884</v>
      </c>
      <c r="AW730" s="16" t="s">
        <v>18899</v>
      </c>
      <c r="AX730" s="16" t="s">
        <v>18926</v>
      </c>
      <c r="AY730" s="385">
        <v>14701</v>
      </c>
    </row>
    <row r="731" spans="1:51" x14ac:dyDescent="0.25">
      <c r="A731" s="16" t="s">
        <v>19606</v>
      </c>
      <c r="B731" s="16" t="s">
        <v>1820</v>
      </c>
      <c r="D731" s="16">
        <v>1</v>
      </c>
      <c r="E731" s="16" t="s">
        <v>172</v>
      </c>
      <c r="F731" s="16" t="str">
        <f>VLOOKUP(Table28[[#This Row],[Country]],Table10[[COUNTRY NAME]:[CONTINENT CODE]],3,FALSE)</f>
        <v>AS</v>
      </c>
      <c r="G731" s="16" t="s">
        <v>6966</v>
      </c>
      <c r="H731" s="181">
        <v>13820</v>
      </c>
      <c r="I731" s="180">
        <v>32.5</v>
      </c>
      <c r="K731" s="316">
        <f>IFERROR(Table28[[#This Row],[ROUTE COST]]/Table28[[#This Row],[O - DEMAND]],0)</f>
        <v>0</v>
      </c>
      <c r="M731" s="16">
        <f>Table28[[#This Row],[O - DEMAND]]/950</f>
        <v>0</v>
      </c>
      <c r="N731" s="16">
        <f>IFERROR(VLOOKUP(Table28[[#This Row],[ROUTE]],DEMAND!A:F,5,FALSE),0)</f>
        <v>0</v>
      </c>
      <c r="O731" s="16">
        <f>IFERROR(VLOOKUP(Table28[[#This Row],[ROUTE]],DEMAND!A:F,6,FALSE),0)</f>
        <v>0</v>
      </c>
      <c r="P731" s="16">
        <f>ROUNDDOWN(Table28[[#This Row],[R-DEMAND]]/950,0)</f>
        <v>0</v>
      </c>
      <c r="Q731" s="16">
        <f>Table28[[#This Row],[ADD ACC
(475/950)]]*Table28[[#This Row],[Duration
(A359)]]</f>
        <v>0</v>
      </c>
      <c r="R731" s="16">
        <f>IFERROR(VLOOKUP(Table28[[#This Row],[ROUTE]],PRICING!A:B,2,FALSE),0)</f>
        <v>0</v>
      </c>
      <c r="S731" s="16">
        <f>Table28[[#This Row],[C_DEMAND]]-Table28[[#This Row],[R-DEMAND]]</f>
        <v>0</v>
      </c>
      <c r="T731" s="316">
        <f>Table28[[#This Row],[SEATS SOLD]]*Table28[[#This Row],[ECO SEAT]]</f>
        <v>0</v>
      </c>
      <c r="U731" s="316">
        <f>Table28[[#This Row],[SEATS SOLD]]*(IFERROR(VLOOKUP(Table28[[#This Row],[ROUTE]],PRICING!A:C,3,FALSE),0))</f>
        <v>0</v>
      </c>
      <c r="V731" s="316">
        <f>Table28[[#This Row],[SEAT REV]]-Table28[[#This Row],[SEAT REV
(IF IDEAL $)]]</f>
        <v>0</v>
      </c>
      <c r="AS731" s="16" t="s">
        <v>860</v>
      </c>
      <c r="AT731" s="16" t="s">
        <v>13181</v>
      </c>
      <c r="AU731" s="16" t="s">
        <v>4649</v>
      </c>
      <c r="AV731" s="16" t="s">
        <v>18892</v>
      </c>
      <c r="AW731" s="16" t="s">
        <v>18879</v>
      </c>
      <c r="AX731" s="16" t="s">
        <v>18926</v>
      </c>
      <c r="AY731" s="385">
        <v>14704</v>
      </c>
    </row>
    <row r="732" spans="1:51" x14ac:dyDescent="0.25">
      <c r="A732" s="16" t="s">
        <v>19629</v>
      </c>
      <c r="B732" s="16" t="s">
        <v>5139</v>
      </c>
      <c r="D732" s="16">
        <v>3</v>
      </c>
      <c r="E732" s="16" t="s">
        <v>11732</v>
      </c>
      <c r="F732" s="16" t="str">
        <f>VLOOKUP(Table28[[#This Row],[Country]],Table10[[COUNTRY NAME]:[CONTINENT CODE]],3,FALSE)</f>
        <v>NA - US</v>
      </c>
      <c r="G732" s="16" t="s">
        <v>13311</v>
      </c>
      <c r="H732" s="181">
        <v>14037</v>
      </c>
      <c r="I732" s="180">
        <v>33</v>
      </c>
      <c r="K732" s="316">
        <f>IFERROR(Table28[[#This Row],[ROUTE COST]]/Table28[[#This Row],[O - DEMAND]],0)</f>
        <v>0</v>
      </c>
      <c r="M732" s="180">
        <f>Table28[[#This Row],[O - DEMAND]]/950</f>
        <v>0</v>
      </c>
      <c r="N732" s="16">
        <f>IFERROR(VLOOKUP(Table28[[#This Row],[ROUTE]],DEMAND!A:F,5,FALSE),0)</f>
        <v>0</v>
      </c>
      <c r="O732" s="16">
        <f>IFERROR(VLOOKUP(Table28[[#This Row],[ROUTE]],DEMAND!A:F,6,FALSE),0)</f>
        <v>0</v>
      </c>
      <c r="P732" s="16">
        <f>ROUNDDOWN(Table28[[#This Row],[R-DEMAND]]/950,0)</f>
        <v>0</v>
      </c>
      <c r="Q732" s="16">
        <f>Table28[[#This Row],[ADD ACC
(475/950)]]*Table28[[#This Row],[Duration
(A359)]]</f>
        <v>0</v>
      </c>
      <c r="R732" s="16">
        <f>IFERROR(VLOOKUP(Table28[[#This Row],[ROUTE]],PRICING!A:B,2,FALSE),0)</f>
        <v>0</v>
      </c>
      <c r="S732" s="16">
        <f>Table28[[#This Row],[C_DEMAND]]-Table28[[#This Row],[R-DEMAND]]</f>
        <v>0</v>
      </c>
      <c r="T732" s="316">
        <f>Table28[[#This Row],[SEATS SOLD]]*Table28[[#This Row],[ECO SEAT]]</f>
        <v>0</v>
      </c>
      <c r="U732" s="316">
        <f>Table28[[#This Row],[SEATS SOLD]]*(IFERROR(VLOOKUP(Table28[[#This Row],[ROUTE]],PRICING!A:C,3,FALSE),0))</f>
        <v>0</v>
      </c>
      <c r="V732" s="316">
        <f>Table28[[#This Row],[SEAT REV]]-Table28[[#This Row],[SEAT REV
(IF IDEAL $)]]</f>
        <v>0</v>
      </c>
      <c r="AS732" s="16" t="s">
        <v>11732</v>
      </c>
      <c r="AT732" s="16" t="s">
        <v>13232</v>
      </c>
      <c r="AU732" s="16" t="s">
        <v>5161</v>
      </c>
      <c r="AV732" s="16" t="s">
        <v>18881</v>
      </c>
      <c r="AW732" s="16" t="s">
        <v>18885</v>
      </c>
      <c r="AX732" s="16" t="s">
        <v>18926</v>
      </c>
      <c r="AY732" s="385">
        <v>14709</v>
      </c>
    </row>
    <row r="733" spans="1:51" x14ac:dyDescent="0.25">
      <c r="A733" s="16" t="s">
        <v>19419</v>
      </c>
      <c r="B733" s="16" t="s">
        <v>5244</v>
      </c>
      <c r="D733" s="16">
        <v>3</v>
      </c>
      <c r="E733" s="16" t="s">
        <v>11732</v>
      </c>
      <c r="F733" s="16" t="str">
        <f>VLOOKUP(Table28[[#This Row],[Country]],Table10[[COUNTRY NAME]:[CONTINENT CODE]],3,FALSE)</f>
        <v>NA - US</v>
      </c>
      <c r="G733" s="16" t="s">
        <v>13289</v>
      </c>
      <c r="H733" s="181">
        <v>12585</v>
      </c>
      <c r="I733" s="180">
        <v>29.75</v>
      </c>
      <c r="K733" s="316">
        <f>IFERROR(Table28[[#This Row],[ROUTE COST]]/Table28[[#This Row],[O - DEMAND]],0)</f>
        <v>0</v>
      </c>
      <c r="M733" s="180">
        <f>Table28[[#This Row],[O - DEMAND]]/950</f>
        <v>0</v>
      </c>
      <c r="N733" s="16">
        <f>IFERROR(VLOOKUP(Table28[[#This Row],[ROUTE]],DEMAND!A:F,5,FALSE),0)</f>
        <v>0</v>
      </c>
      <c r="O733" s="16">
        <f>IFERROR(VLOOKUP(Table28[[#This Row],[ROUTE]],DEMAND!A:F,6,FALSE),0)</f>
        <v>0</v>
      </c>
      <c r="P733" s="16">
        <f>ROUNDDOWN(Table28[[#This Row],[R-DEMAND]]/950,0)</f>
        <v>0</v>
      </c>
      <c r="Q733" s="16">
        <f>Table28[[#This Row],[ADD ACC
(475/950)]]*Table28[[#This Row],[Duration
(A359)]]</f>
        <v>0</v>
      </c>
      <c r="R733" s="16">
        <f>IFERROR(VLOOKUP(Table28[[#This Row],[ROUTE]],PRICING!A:B,2,FALSE),0)</f>
        <v>0</v>
      </c>
      <c r="S733" s="16">
        <f>Table28[[#This Row],[C_DEMAND]]-Table28[[#This Row],[R-DEMAND]]</f>
        <v>0</v>
      </c>
      <c r="T733" s="316">
        <f>Table28[[#This Row],[SEATS SOLD]]*Table28[[#This Row],[ECO SEAT]]</f>
        <v>0</v>
      </c>
      <c r="U733" s="316">
        <f>Table28[[#This Row],[SEATS SOLD]]*(IFERROR(VLOOKUP(Table28[[#This Row],[ROUTE]],PRICING!A:C,3,FALSE),0))</f>
        <v>0</v>
      </c>
      <c r="V733" s="316">
        <f>Table28[[#This Row],[SEAT REV]]-Table28[[#This Row],[SEAT REV
(IF IDEAL $)]]</f>
        <v>0</v>
      </c>
      <c r="AS733" s="16" t="s">
        <v>517</v>
      </c>
      <c r="AT733" s="16" t="s">
        <v>13158</v>
      </c>
      <c r="AU733" s="16" t="s">
        <v>5509</v>
      </c>
      <c r="AV733" s="16" t="s">
        <v>18881</v>
      </c>
      <c r="AW733" s="16" t="s">
        <v>18899</v>
      </c>
      <c r="AX733" s="16" t="s">
        <v>18926</v>
      </c>
      <c r="AY733" s="385">
        <v>14712</v>
      </c>
    </row>
    <row r="734" spans="1:51" x14ac:dyDescent="0.25">
      <c r="A734" s="16" t="s">
        <v>19615</v>
      </c>
      <c r="B734" s="16" t="s">
        <v>4245</v>
      </c>
      <c r="D734" s="16">
        <v>2</v>
      </c>
      <c r="E734" s="16" t="s">
        <v>172</v>
      </c>
      <c r="F734" s="16" t="str">
        <f>VLOOKUP(Table28[[#This Row],[Country]],Table10[[COUNTRY NAME]:[CONTINENT CODE]],3,FALSE)</f>
        <v>AS</v>
      </c>
      <c r="G734" s="16" t="s">
        <v>6951</v>
      </c>
      <c r="H734" s="181">
        <v>13865</v>
      </c>
      <c r="I734" s="180">
        <v>32.5</v>
      </c>
      <c r="K734" s="316">
        <f>IFERROR(Table28[[#This Row],[ROUTE COST]]/Table28[[#This Row],[O - DEMAND]],0)</f>
        <v>0</v>
      </c>
      <c r="M734" s="16">
        <f>Table28[[#This Row],[O - DEMAND]]/950</f>
        <v>0</v>
      </c>
      <c r="N734" s="16">
        <f>IFERROR(VLOOKUP(Table28[[#This Row],[ROUTE]],DEMAND!A:F,5,FALSE),0)</f>
        <v>0</v>
      </c>
      <c r="O734" s="16">
        <f>IFERROR(VLOOKUP(Table28[[#This Row],[ROUTE]],DEMAND!A:F,6,FALSE),0)</f>
        <v>0</v>
      </c>
      <c r="P734" s="16">
        <f>ROUNDDOWN(Table28[[#This Row],[R-DEMAND]]/950,0)</f>
        <v>0</v>
      </c>
      <c r="Q734" s="16">
        <f>Table28[[#This Row],[ADD ACC
(475/950)]]*Table28[[#This Row],[Duration
(A359)]]</f>
        <v>0</v>
      </c>
      <c r="R734" s="16">
        <f>IFERROR(VLOOKUP(Table28[[#This Row],[ROUTE]],PRICING!A:B,2,FALSE),0)</f>
        <v>0</v>
      </c>
      <c r="S734" s="16">
        <f>Table28[[#This Row],[C_DEMAND]]-Table28[[#This Row],[R-DEMAND]]</f>
        <v>0</v>
      </c>
      <c r="T734" s="316">
        <f>Table28[[#This Row],[SEATS SOLD]]*Table28[[#This Row],[ECO SEAT]]</f>
        <v>0</v>
      </c>
      <c r="U734" s="316">
        <f>Table28[[#This Row],[SEATS SOLD]]*(IFERROR(VLOOKUP(Table28[[#This Row],[ROUTE]],PRICING!A:C,3,FALSE),0))</f>
        <v>0</v>
      </c>
      <c r="V734" s="316">
        <f>Table28[[#This Row],[SEAT REV]]-Table28[[#This Row],[SEAT REV
(IF IDEAL $)]]</f>
        <v>0</v>
      </c>
      <c r="AS734" s="16" t="s">
        <v>683</v>
      </c>
      <c r="AT734" s="16" t="s">
        <v>13188</v>
      </c>
      <c r="AU734" s="16" t="s">
        <v>2844</v>
      </c>
      <c r="AV734" s="16" t="s">
        <v>18881</v>
      </c>
      <c r="AW734" s="16" t="s">
        <v>18879</v>
      </c>
      <c r="AX734" s="16" t="s">
        <v>18926</v>
      </c>
      <c r="AY734" s="385">
        <v>14713</v>
      </c>
    </row>
    <row r="735" spans="1:51" x14ac:dyDescent="0.25">
      <c r="A735" s="16" t="s">
        <v>19448</v>
      </c>
      <c r="B735" s="16" t="s">
        <v>2205</v>
      </c>
      <c r="D735" s="16">
        <v>1</v>
      </c>
      <c r="E735" s="16" t="s">
        <v>11732</v>
      </c>
      <c r="F735" s="16" t="str">
        <f>VLOOKUP(Table28[[#This Row],[Country]],Table10[[COUNTRY NAME]:[CONTINENT CODE]],3,FALSE)</f>
        <v>NA - US</v>
      </c>
      <c r="G735" s="16" t="s">
        <v>16950</v>
      </c>
      <c r="H735" s="181">
        <v>12796</v>
      </c>
      <c r="I735" s="180">
        <v>30.25</v>
      </c>
      <c r="K735" s="316">
        <f>IFERROR(Table28[[#This Row],[ROUTE COST]]/Table28[[#This Row],[O - DEMAND]],0)</f>
        <v>0</v>
      </c>
      <c r="M735" s="180">
        <f>Table28[[#This Row],[O - DEMAND]]/950</f>
        <v>0</v>
      </c>
      <c r="N735" s="16">
        <f>IFERROR(VLOOKUP(Table28[[#This Row],[ROUTE]],DEMAND!A:F,5,FALSE),0)</f>
        <v>0</v>
      </c>
      <c r="O735" s="16">
        <f>IFERROR(VLOOKUP(Table28[[#This Row],[ROUTE]],DEMAND!A:F,6,FALSE),0)</f>
        <v>0</v>
      </c>
      <c r="P735" s="16">
        <f>ROUNDDOWN(Table28[[#This Row],[R-DEMAND]]/950,0)</f>
        <v>0</v>
      </c>
      <c r="Q735" s="16">
        <f>Table28[[#This Row],[ADD ACC
(475/950)]]*Table28[[#This Row],[Duration
(A359)]]</f>
        <v>0</v>
      </c>
      <c r="R735" s="16">
        <f>IFERROR(VLOOKUP(Table28[[#This Row],[ROUTE]],PRICING!A:B,2,FALSE),0)</f>
        <v>0</v>
      </c>
      <c r="S735" s="16">
        <f>Table28[[#This Row],[C_DEMAND]]-Table28[[#This Row],[R-DEMAND]]</f>
        <v>0</v>
      </c>
      <c r="T735" s="316">
        <f>Table28[[#This Row],[SEATS SOLD]]*Table28[[#This Row],[ECO SEAT]]</f>
        <v>0</v>
      </c>
      <c r="U735" s="316">
        <f>Table28[[#This Row],[SEATS SOLD]]*(IFERROR(VLOOKUP(Table28[[#This Row],[ROUTE]],PRICING!A:C,3,FALSE),0))</f>
        <v>0</v>
      </c>
      <c r="V735" s="316">
        <f>Table28[[#This Row],[SEAT REV]]-Table28[[#This Row],[SEAT REV
(IF IDEAL $)]]</f>
        <v>0</v>
      </c>
      <c r="AS735" s="16" t="s">
        <v>11732</v>
      </c>
      <c r="AT735" s="16" t="s">
        <v>17017</v>
      </c>
      <c r="AU735" s="16" t="s">
        <v>3765</v>
      </c>
      <c r="AV735" s="16" t="s">
        <v>18878</v>
      </c>
      <c r="AX735" s="16" t="s">
        <v>18926</v>
      </c>
      <c r="AY735" s="385">
        <v>14727</v>
      </c>
    </row>
    <row r="736" spans="1:51" x14ac:dyDescent="0.25">
      <c r="A736" s="16" t="s">
        <v>19033</v>
      </c>
      <c r="B736" s="16" t="s">
        <v>4304</v>
      </c>
      <c r="D736" s="16">
        <v>2</v>
      </c>
      <c r="E736" s="16" t="s">
        <v>709</v>
      </c>
      <c r="F736" s="16" t="str">
        <f>VLOOKUP(Table28[[#This Row],[Country]],Table10[[COUNTRY NAME]:[CONTINENT CODE]],3,FALSE)</f>
        <v>AS</v>
      </c>
      <c r="G736" s="16" t="s">
        <v>6930</v>
      </c>
      <c r="H736" s="181">
        <v>5489</v>
      </c>
      <c r="I736" s="180">
        <v>14.25</v>
      </c>
      <c r="K736" s="316">
        <f>IFERROR(Table28[[#This Row],[ROUTE COST]]/Table28[[#This Row],[O - DEMAND]],0)</f>
        <v>0</v>
      </c>
      <c r="M736" s="16">
        <f>Table28[[#This Row],[O - DEMAND]]/950</f>
        <v>0</v>
      </c>
      <c r="N736" s="16">
        <f>IFERROR(VLOOKUP(Table28[[#This Row],[ROUTE]],DEMAND!A:F,5,FALSE),0)</f>
        <v>0</v>
      </c>
      <c r="O736" s="16">
        <f>IFERROR(VLOOKUP(Table28[[#This Row],[ROUTE]],DEMAND!A:F,6,FALSE),0)</f>
        <v>0</v>
      </c>
      <c r="P736" s="16">
        <f>ROUNDDOWN(Table28[[#This Row],[R-DEMAND]]/950,0)</f>
        <v>0</v>
      </c>
      <c r="Q736" s="16">
        <f>Table28[[#This Row],[ADD ACC
(475/950)]]*Table28[[#This Row],[Duration
(A359)]]</f>
        <v>0</v>
      </c>
      <c r="R736" s="16">
        <f>IFERROR(VLOOKUP(Table28[[#This Row],[ROUTE]],PRICING!A:B,2,FALSE),0)</f>
        <v>0</v>
      </c>
      <c r="S736" s="16">
        <f>Table28[[#This Row],[C_DEMAND]]-Table28[[#This Row],[R-DEMAND]]</f>
        <v>0</v>
      </c>
      <c r="T736" s="316">
        <f>Table28[[#This Row],[SEATS SOLD]]*Table28[[#This Row],[ECO SEAT]]</f>
        <v>0</v>
      </c>
      <c r="U736" s="316">
        <f>Table28[[#This Row],[SEATS SOLD]]*(IFERROR(VLOOKUP(Table28[[#This Row],[ROUTE]],PRICING!A:C,3,FALSE),0))</f>
        <v>0</v>
      </c>
      <c r="V736" s="316">
        <f>Table28[[#This Row],[SEAT REV]]-Table28[[#This Row],[SEAT REV
(IF IDEAL $)]]</f>
        <v>0</v>
      </c>
      <c r="AS736" s="16" t="s">
        <v>11732</v>
      </c>
      <c r="AT736" s="16" t="s">
        <v>13350</v>
      </c>
      <c r="AU736" s="16" t="s">
        <v>5145</v>
      </c>
      <c r="AV736" s="16" t="s">
        <v>18881</v>
      </c>
      <c r="AW736" s="16" t="s">
        <v>18885</v>
      </c>
      <c r="AX736" s="16" t="s">
        <v>18926</v>
      </c>
      <c r="AY736" s="385">
        <v>14738</v>
      </c>
    </row>
    <row r="737" spans="1:51" x14ac:dyDescent="0.25">
      <c r="A737" s="16" t="s">
        <v>19108</v>
      </c>
      <c r="B737" s="16" t="s">
        <v>3624</v>
      </c>
      <c r="D737" s="16">
        <v>2</v>
      </c>
      <c r="E737" s="16" t="s">
        <v>14</v>
      </c>
      <c r="F737" s="16" t="str">
        <f>VLOOKUP(Table28[[#This Row],[Country]],Table10[[COUNTRY NAME]:[CONTINENT CODE]],3,FALSE)</f>
        <v>AS</v>
      </c>
      <c r="G737" s="16" t="s">
        <v>16819</v>
      </c>
      <c r="H737" s="181">
        <v>7882</v>
      </c>
      <c r="I737" s="180">
        <v>19.5</v>
      </c>
      <c r="K737" s="316">
        <f>IFERROR(Table28[[#This Row],[ROUTE COST]]/Table28[[#This Row],[O - DEMAND]],0)</f>
        <v>0</v>
      </c>
      <c r="M737" s="16">
        <f>Table28[[#This Row],[O - DEMAND]]/950</f>
        <v>0</v>
      </c>
      <c r="N737" s="16">
        <f>IFERROR(VLOOKUP(Table28[[#This Row],[ROUTE]],DEMAND!A:F,5,FALSE),0)</f>
        <v>0</v>
      </c>
      <c r="O737" s="16">
        <f>IFERROR(VLOOKUP(Table28[[#This Row],[ROUTE]],DEMAND!A:F,6,FALSE),0)</f>
        <v>0</v>
      </c>
      <c r="P737" s="16">
        <f>ROUNDDOWN(Table28[[#This Row],[R-DEMAND]]/950,0)</f>
        <v>0</v>
      </c>
      <c r="Q737" s="16">
        <f>Table28[[#This Row],[ADD ACC
(475/950)]]*Table28[[#This Row],[Duration
(A359)]]</f>
        <v>0</v>
      </c>
      <c r="R737" s="16">
        <f>IFERROR(VLOOKUP(Table28[[#This Row],[ROUTE]],PRICING!A:B,2,FALSE),0)</f>
        <v>0</v>
      </c>
      <c r="S737" s="16">
        <f>Table28[[#This Row],[C_DEMAND]]-Table28[[#This Row],[R-DEMAND]]</f>
        <v>0</v>
      </c>
      <c r="T737" s="316">
        <f>Table28[[#This Row],[SEATS SOLD]]*Table28[[#This Row],[ECO SEAT]]</f>
        <v>0</v>
      </c>
      <c r="U737" s="316">
        <f>Table28[[#This Row],[SEATS SOLD]]*(IFERROR(VLOOKUP(Table28[[#This Row],[ROUTE]],PRICING!A:C,3,FALSE),0))</f>
        <v>0</v>
      </c>
      <c r="V737" s="316">
        <f>Table28[[#This Row],[SEAT REV]]-Table28[[#This Row],[SEAT REV
(IF IDEAL $)]]</f>
        <v>0</v>
      </c>
      <c r="AS737" s="16" t="s">
        <v>11732</v>
      </c>
      <c r="AT737" s="16" t="s">
        <v>10110</v>
      </c>
      <c r="AU737" s="16" t="s">
        <v>1331</v>
      </c>
      <c r="AV737" s="16" t="s">
        <v>18878</v>
      </c>
      <c r="AW737" s="16" t="s">
        <v>18890</v>
      </c>
      <c r="AX737" s="16" t="s">
        <v>18926</v>
      </c>
      <c r="AY737" s="385">
        <v>14739</v>
      </c>
    </row>
    <row r="738" spans="1:51" x14ac:dyDescent="0.25">
      <c r="A738" s="16" t="s">
        <v>19180</v>
      </c>
      <c r="B738" s="16" t="s">
        <v>5331</v>
      </c>
      <c r="C738" s="16" t="s">
        <v>467</v>
      </c>
      <c r="D738" s="16">
        <v>3</v>
      </c>
      <c r="E738" s="16" t="s">
        <v>14</v>
      </c>
      <c r="F738" s="16" t="str">
        <f>VLOOKUP(Table28[[#This Row],[Country]],Table10[[COUNTRY NAME]:[CONTINENT CODE]],3,FALSE)</f>
        <v>AS</v>
      </c>
      <c r="G738" s="16" t="s">
        <v>12032</v>
      </c>
      <c r="H738" s="181">
        <v>8914</v>
      </c>
      <c r="I738" s="180">
        <v>21.75</v>
      </c>
      <c r="K738" s="316">
        <f>IFERROR(Table28[[#This Row],[ROUTE COST]]/Table28[[#This Row],[O - DEMAND]],0)</f>
        <v>0</v>
      </c>
      <c r="M738" s="16">
        <f>Table28[[#This Row],[O - DEMAND]]/950</f>
        <v>0</v>
      </c>
      <c r="N738" s="16">
        <f>IFERROR(VLOOKUP(Table28[[#This Row],[ROUTE]],DEMAND!A:F,5,FALSE),0)</f>
        <v>2899</v>
      </c>
      <c r="O738" s="16">
        <f>IFERROR(VLOOKUP(Table28[[#This Row],[ROUTE]],DEMAND!A:F,6,FALSE),0)</f>
        <v>49</v>
      </c>
      <c r="P738" s="16">
        <f>ROUNDDOWN(Table28[[#This Row],[R-DEMAND]]/950,0)</f>
        <v>0</v>
      </c>
      <c r="Q738" s="16">
        <f>Table28[[#This Row],[ADD ACC
(475/950)]]*Table28[[#This Row],[Duration
(A359)]]</f>
        <v>0</v>
      </c>
      <c r="R738" s="16">
        <f>IFERROR(VLOOKUP(Table28[[#This Row],[ROUTE]],PRICING!A:B,2,FALSE),0)</f>
        <v>0</v>
      </c>
      <c r="S738" s="16">
        <f>Table28[[#This Row],[C_DEMAND]]-Table28[[#This Row],[R-DEMAND]]</f>
        <v>2850</v>
      </c>
      <c r="T738" s="316">
        <f>Table28[[#This Row],[SEATS SOLD]]*Table28[[#This Row],[ECO SEAT]]</f>
        <v>0</v>
      </c>
      <c r="U738" s="316">
        <f>Table28[[#This Row],[SEATS SOLD]]*(IFERROR(VLOOKUP(Table28[[#This Row],[ROUTE]],PRICING!A:C,3,FALSE),0))</f>
        <v>0</v>
      </c>
      <c r="V738" s="316">
        <f>Table28[[#This Row],[SEAT REV]]-Table28[[#This Row],[SEAT REV
(IF IDEAL $)]]</f>
        <v>0</v>
      </c>
      <c r="AS738" s="16" t="s">
        <v>700</v>
      </c>
      <c r="AT738" s="16" t="s">
        <v>11854</v>
      </c>
      <c r="AU738" s="16" t="s">
        <v>1211</v>
      </c>
      <c r="AV738" s="16" t="s">
        <v>18892</v>
      </c>
      <c r="AW738" s="16" t="s">
        <v>18890</v>
      </c>
      <c r="AX738" s="16" t="s">
        <v>18926</v>
      </c>
      <c r="AY738" s="385">
        <v>14759</v>
      </c>
    </row>
    <row r="739" spans="1:51" x14ac:dyDescent="0.25">
      <c r="A739" s="16" t="s">
        <v>19785</v>
      </c>
      <c r="B739" s="16" t="s">
        <v>4867</v>
      </c>
      <c r="E739" s="16" t="s">
        <v>11732</v>
      </c>
      <c r="F739" s="16" t="str">
        <f>VLOOKUP(Table28[[#This Row],[Country]],Table10[[COUNTRY NAME]:[CONTINENT CODE]],3,FALSE)</f>
        <v>NA - US</v>
      </c>
      <c r="G739" s="16" t="s">
        <v>17012</v>
      </c>
      <c r="H739" s="181">
        <v>15050</v>
      </c>
      <c r="I739" s="180">
        <v>35.25</v>
      </c>
      <c r="K739" s="316">
        <f>IFERROR(Table28[[#This Row],[ROUTE COST]]/Table28[[#This Row],[O - DEMAND]],0)</f>
        <v>0</v>
      </c>
      <c r="M739" s="180">
        <f>Table28[[#This Row],[O - DEMAND]]/950</f>
        <v>0</v>
      </c>
      <c r="N739" s="16">
        <f>IFERROR(VLOOKUP(Table28[[#This Row],[ROUTE]],DEMAND!A:F,5,FALSE),0)</f>
        <v>0</v>
      </c>
      <c r="O739" s="16">
        <f>IFERROR(VLOOKUP(Table28[[#This Row],[ROUTE]],DEMAND!A:F,6,FALSE),0)</f>
        <v>0</v>
      </c>
      <c r="P739" s="16">
        <f>ROUNDDOWN(Table28[[#This Row],[R-DEMAND]]/950,0)</f>
        <v>0</v>
      </c>
      <c r="Q739" s="16">
        <f>Table28[[#This Row],[ADD ACC
(475/950)]]*Table28[[#This Row],[Duration
(A359)]]</f>
        <v>0</v>
      </c>
      <c r="R739" s="16">
        <f>IFERROR(VLOOKUP(Table28[[#This Row],[ROUTE]],PRICING!A:B,2,FALSE),0)</f>
        <v>0</v>
      </c>
      <c r="S739" s="16">
        <f>Table28[[#This Row],[C_DEMAND]]-Table28[[#This Row],[R-DEMAND]]</f>
        <v>0</v>
      </c>
      <c r="T739" s="316">
        <f>Table28[[#This Row],[SEATS SOLD]]*Table28[[#This Row],[ECO SEAT]]</f>
        <v>0</v>
      </c>
      <c r="U739" s="316">
        <f>Table28[[#This Row],[SEATS SOLD]]*(IFERROR(VLOOKUP(Table28[[#This Row],[ROUTE]],PRICING!A:C,3,FALSE),0))</f>
        <v>0</v>
      </c>
      <c r="V739" s="316">
        <f>Table28[[#This Row],[SEAT REV]]-Table28[[#This Row],[SEAT REV
(IF IDEAL $)]]</f>
        <v>0</v>
      </c>
      <c r="AS739" s="16" t="s">
        <v>517</v>
      </c>
      <c r="AT739" s="16" t="s">
        <v>16999</v>
      </c>
      <c r="AU739" s="16" t="s">
        <v>4337</v>
      </c>
      <c r="AV739" s="16" t="s">
        <v>18878</v>
      </c>
      <c r="AW739" s="16" t="s">
        <v>18879</v>
      </c>
      <c r="AX739" s="16" t="s">
        <v>18926</v>
      </c>
      <c r="AY739" s="385">
        <v>14765</v>
      </c>
    </row>
    <row r="740" spans="1:51" x14ac:dyDescent="0.25">
      <c r="A740" s="16" t="s">
        <v>19638</v>
      </c>
      <c r="B740" s="16" t="s">
        <v>4849</v>
      </c>
      <c r="D740" s="16">
        <v>3</v>
      </c>
      <c r="E740" s="16" t="s">
        <v>700</v>
      </c>
      <c r="F740" s="16" t="str">
        <f>VLOOKUP(Table28[[#This Row],[Country]],Table10[[COUNTRY NAME]:[CONTINENT CODE]],3,FALSE)</f>
        <v>AS</v>
      </c>
      <c r="G740" s="16" t="s">
        <v>6907</v>
      </c>
      <c r="H740" s="181">
        <v>14068</v>
      </c>
      <c r="I740" s="180">
        <v>33</v>
      </c>
      <c r="K740" s="316">
        <f>IFERROR(Table28[[#This Row],[ROUTE COST]]/Table28[[#This Row],[O - DEMAND]],0)</f>
        <v>0</v>
      </c>
      <c r="M740" s="16">
        <f>Table28[[#This Row],[O - DEMAND]]/950</f>
        <v>0</v>
      </c>
      <c r="N740" s="16">
        <f>IFERROR(VLOOKUP(Table28[[#This Row],[ROUTE]],DEMAND!A:F,5,FALSE),0)</f>
        <v>0</v>
      </c>
      <c r="O740" s="16">
        <f>IFERROR(VLOOKUP(Table28[[#This Row],[ROUTE]],DEMAND!A:F,6,FALSE),0)</f>
        <v>0</v>
      </c>
      <c r="P740" s="16">
        <f>ROUNDDOWN(Table28[[#This Row],[R-DEMAND]]/950,0)</f>
        <v>0</v>
      </c>
      <c r="Q740" s="16">
        <f>Table28[[#This Row],[ADD ACC
(475/950)]]*Table28[[#This Row],[Duration
(A359)]]</f>
        <v>0</v>
      </c>
      <c r="R740" s="16">
        <f>IFERROR(VLOOKUP(Table28[[#This Row],[ROUTE]],PRICING!A:B,2,FALSE),0)</f>
        <v>0</v>
      </c>
      <c r="S740" s="16">
        <f>Table28[[#This Row],[C_DEMAND]]-Table28[[#This Row],[R-DEMAND]]</f>
        <v>0</v>
      </c>
      <c r="T740" s="316">
        <f>Table28[[#This Row],[SEATS SOLD]]*Table28[[#This Row],[ECO SEAT]]</f>
        <v>0</v>
      </c>
      <c r="U740" s="316">
        <f>Table28[[#This Row],[SEATS SOLD]]*(IFERROR(VLOOKUP(Table28[[#This Row],[ROUTE]],PRICING!A:C,3,FALSE),0))</f>
        <v>0</v>
      </c>
      <c r="V740" s="316">
        <f>Table28[[#This Row],[SEAT REV]]-Table28[[#This Row],[SEAT REV
(IF IDEAL $)]]</f>
        <v>0</v>
      </c>
      <c r="AS740" s="16" t="s">
        <v>11782</v>
      </c>
      <c r="AT740" s="16" t="s">
        <v>8261</v>
      </c>
      <c r="AU740" s="16" t="s">
        <v>880</v>
      </c>
      <c r="AV740" s="16" t="s">
        <v>18878</v>
      </c>
      <c r="AW740" s="16" t="s">
        <v>18890</v>
      </c>
      <c r="AX740" s="16" t="s">
        <v>18926</v>
      </c>
      <c r="AY740" s="385">
        <v>14769</v>
      </c>
    </row>
    <row r="741" spans="1:51" x14ac:dyDescent="0.25">
      <c r="A741" s="16" t="s">
        <v>19300</v>
      </c>
      <c r="B741" s="16" t="s">
        <v>3628</v>
      </c>
      <c r="C741" s="16" t="s">
        <v>467</v>
      </c>
      <c r="D741" s="16">
        <v>2</v>
      </c>
      <c r="E741" s="16" t="s">
        <v>197</v>
      </c>
      <c r="F741" s="16" t="str">
        <f>VLOOKUP(Table28[[#This Row],[Country]],Table10[[COUNTRY NAME]:[CONTINENT CODE]],3,FALSE)</f>
        <v>AS</v>
      </c>
      <c r="G741" s="16" t="s">
        <v>12003</v>
      </c>
      <c r="H741" s="181">
        <v>11354</v>
      </c>
      <c r="I741" s="180">
        <v>27</v>
      </c>
      <c r="K741" s="316">
        <f>IFERROR(Table28[[#This Row],[ROUTE COST]]/Table28[[#This Row],[O - DEMAND]],0)</f>
        <v>0</v>
      </c>
      <c r="M741" s="16">
        <f>Table28[[#This Row],[O - DEMAND]]/950</f>
        <v>0</v>
      </c>
      <c r="N741" s="16">
        <f>IFERROR(VLOOKUP(Table28[[#This Row],[ROUTE]],DEMAND!A:F,5,FALSE),0)</f>
        <v>3439</v>
      </c>
      <c r="O741" s="16">
        <f>IFERROR(VLOOKUP(Table28[[#This Row],[ROUTE]],DEMAND!A:F,6,FALSE),0)</f>
        <v>589</v>
      </c>
      <c r="P741" s="16">
        <f>ROUNDDOWN(Table28[[#This Row],[R-DEMAND]]/950,0)</f>
        <v>0</v>
      </c>
      <c r="Q741" s="16">
        <f>Table28[[#This Row],[ADD ACC
(475/950)]]*Table28[[#This Row],[Duration
(A359)]]</f>
        <v>0</v>
      </c>
      <c r="R741" s="16">
        <f>IFERROR(VLOOKUP(Table28[[#This Row],[ROUTE]],PRICING!A:B,2,FALSE),0)</f>
        <v>0</v>
      </c>
      <c r="S741" s="16">
        <f>Table28[[#This Row],[C_DEMAND]]-Table28[[#This Row],[R-DEMAND]]</f>
        <v>2850</v>
      </c>
      <c r="T741" s="316">
        <f>Table28[[#This Row],[SEATS SOLD]]*Table28[[#This Row],[ECO SEAT]]</f>
        <v>0</v>
      </c>
      <c r="U741" s="316">
        <f>Table28[[#This Row],[SEATS SOLD]]*(IFERROR(VLOOKUP(Table28[[#This Row],[ROUTE]],PRICING!A:C,3,FALSE),0))</f>
        <v>0</v>
      </c>
      <c r="V741" s="316">
        <f>Table28[[#This Row],[SEAT REV]]-Table28[[#This Row],[SEAT REV
(IF IDEAL $)]]</f>
        <v>0</v>
      </c>
      <c r="AS741" s="16" t="s">
        <v>11732</v>
      </c>
      <c r="AT741" s="16" t="s">
        <v>13344</v>
      </c>
      <c r="AU741" s="16" t="s">
        <v>4653</v>
      </c>
      <c r="AV741" s="16" t="s">
        <v>18884</v>
      </c>
      <c r="AW741" s="16" t="s">
        <v>18885</v>
      </c>
      <c r="AX741" s="16" t="s">
        <v>18926</v>
      </c>
      <c r="AY741" s="385">
        <v>14771</v>
      </c>
    </row>
    <row r="742" spans="1:51" x14ac:dyDescent="0.25">
      <c r="A742" s="16" t="s">
        <v>19538</v>
      </c>
      <c r="B742" s="16" t="s">
        <v>4685</v>
      </c>
      <c r="C742" s="16" t="s">
        <v>467</v>
      </c>
      <c r="D742" s="16">
        <v>2</v>
      </c>
      <c r="E742" s="16" t="s">
        <v>78</v>
      </c>
      <c r="F742" s="16" t="str">
        <f>VLOOKUP(Table28[[#This Row],[Country]],Table10[[COUNTRY NAME]:[CONTINENT CODE]],3,FALSE)</f>
        <v>EU</v>
      </c>
      <c r="G742" s="16" t="s">
        <v>6880</v>
      </c>
      <c r="H742" s="181">
        <v>13342</v>
      </c>
      <c r="I742" s="180">
        <v>31.5</v>
      </c>
      <c r="K742" s="316">
        <f>IFERROR(Table28[[#This Row],[ROUTE COST]]/Table28[[#This Row],[O - DEMAND]],0)</f>
        <v>0</v>
      </c>
      <c r="M742" s="16">
        <f>Table28[[#This Row],[O - DEMAND]]/950</f>
        <v>0</v>
      </c>
      <c r="N742" s="16">
        <f>IFERROR(VLOOKUP(Table28[[#This Row],[ROUTE]],DEMAND!A:F,5,FALSE),0)</f>
        <v>2749</v>
      </c>
      <c r="O742" s="16">
        <f>IFERROR(VLOOKUP(Table28[[#This Row],[ROUTE]],DEMAND!A:F,6,FALSE),0)</f>
        <v>849</v>
      </c>
      <c r="P742" s="16">
        <f>ROUNDDOWN(Table28[[#This Row],[R-DEMAND]]/950,0)</f>
        <v>0</v>
      </c>
      <c r="Q742" s="16">
        <f>Table28[[#This Row],[ADD ACC
(475/950)]]*Table28[[#This Row],[Duration
(A359)]]</f>
        <v>0</v>
      </c>
      <c r="R742" s="16">
        <f>IFERROR(VLOOKUP(Table28[[#This Row],[ROUTE]],PRICING!A:B,2,FALSE),0)</f>
        <v>0</v>
      </c>
      <c r="S742" s="16">
        <f>Table28[[#This Row],[C_DEMAND]]-Table28[[#This Row],[R-DEMAND]]</f>
        <v>1900</v>
      </c>
      <c r="T742" s="316">
        <f>Table28[[#This Row],[SEATS SOLD]]*Table28[[#This Row],[ECO SEAT]]</f>
        <v>0</v>
      </c>
      <c r="U742" s="316">
        <f>Table28[[#This Row],[SEATS SOLD]]*(IFERROR(VLOOKUP(Table28[[#This Row],[ROUTE]],PRICING!A:C,3,FALSE),0))</f>
        <v>0</v>
      </c>
      <c r="V742" s="316">
        <f>Table28[[#This Row],[SEAT REV]]-Table28[[#This Row],[SEAT REV
(IF IDEAL $)]]</f>
        <v>0</v>
      </c>
      <c r="AS742" s="16" t="s">
        <v>11732</v>
      </c>
      <c r="AT742" s="16" t="s">
        <v>16982</v>
      </c>
      <c r="AU742" s="16" t="s">
        <v>4810</v>
      </c>
      <c r="AV742" s="16" t="s">
        <v>18878</v>
      </c>
      <c r="AX742" s="16" t="s">
        <v>18926</v>
      </c>
      <c r="AY742" s="385">
        <v>14773</v>
      </c>
    </row>
    <row r="743" spans="1:51" x14ac:dyDescent="0.25">
      <c r="A743" s="16" t="s">
        <v>19577</v>
      </c>
      <c r="B743" s="16" t="s">
        <v>5336</v>
      </c>
      <c r="C743" s="16" t="s">
        <v>467</v>
      </c>
      <c r="D743" s="16">
        <v>3</v>
      </c>
      <c r="E743" s="16" t="s">
        <v>2293</v>
      </c>
      <c r="F743" s="16" t="str">
        <f>VLOOKUP(Table28[[#This Row],[Country]],Table10[[COUNTRY NAME]:[CONTINENT CODE]],3,FALSE)</f>
        <v>SA</v>
      </c>
      <c r="G743" s="16" t="s">
        <v>13201</v>
      </c>
      <c r="H743" s="181">
        <v>13612</v>
      </c>
      <c r="I743" s="180">
        <v>32</v>
      </c>
      <c r="K743" s="316">
        <f>IFERROR(Table28[[#This Row],[ROUTE COST]]/Table28[[#This Row],[O - DEMAND]],0)</f>
        <v>0</v>
      </c>
      <c r="M743" s="16">
        <f>Table28[[#This Row],[O - DEMAND]]/950</f>
        <v>0</v>
      </c>
      <c r="N743" s="16">
        <f>IFERROR(VLOOKUP(Table28[[#This Row],[ROUTE]],DEMAND!A:F,5,FALSE),0)</f>
        <v>3322</v>
      </c>
      <c r="O743" s="16">
        <f>IFERROR(VLOOKUP(Table28[[#This Row],[ROUTE]],DEMAND!A:F,6,FALSE),0)</f>
        <v>472</v>
      </c>
      <c r="P743" s="16">
        <f>ROUNDDOWN(Table28[[#This Row],[R-DEMAND]]/950,0)</f>
        <v>0</v>
      </c>
      <c r="Q743" s="16">
        <f>Table28[[#This Row],[ADD ACC
(475/950)]]*Table28[[#This Row],[Duration
(A359)]]</f>
        <v>0</v>
      </c>
      <c r="R743" s="16">
        <f>IFERROR(VLOOKUP(Table28[[#This Row],[ROUTE]],PRICING!A:B,2,FALSE),0)</f>
        <v>0</v>
      </c>
      <c r="S743" s="16">
        <f>Table28[[#This Row],[C_DEMAND]]-Table28[[#This Row],[R-DEMAND]]</f>
        <v>2850</v>
      </c>
      <c r="T743" s="316">
        <f>Table28[[#This Row],[SEATS SOLD]]*Table28[[#This Row],[ECO SEAT]]</f>
        <v>0</v>
      </c>
      <c r="U743" s="316">
        <f>Table28[[#This Row],[SEATS SOLD]]*(IFERROR(VLOOKUP(Table28[[#This Row],[ROUTE]],PRICING!A:C,3,FALSE),0))</f>
        <v>0</v>
      </c>
      <c r="V743" s="316">
        <f>Table28[[#This Row],[SEAT REV]]-Table28[[#This Row],[SEAT REV
(IF IDEAL $)]]</f>
        <v>0</v>
      </c>
      <c r="AS743" s="16" t="s">
        <v>11732</v>
      </c>
      <c r="AT743" s="16" t="s">
        <v>13307</v>
      </c>
      <c r="AU743" s="16" t="s">
        <v>3284</v>
      </c>
      <c r="AV743" s="16" t="s">
        <v>18881</v>
      </c>
      <c r="AW743" s="16" t="s">
        <v>18879</v>
      </c>
      <c r="AX743" s="16" t="s">
        <v>18926</v>
      </c>
      <c r="AY743" s="385">
        <v>14774</v>
      </c>
    </row>
    <row r="744" spans="1:51" x14ac:dyDescent="0.25">
      <c r="A744" s="16" t="s">
        <v>19237</v>
      </c>
      <c r="B744" s="16" t="s">
        <v>40</v>
      </c>
      <c r="C744" s="16" t="s">
        <v>467</v>
      </c>
      <c r="D744" s="16">
        <v>2</v>
      </c>
      <c r="E744" s="16" t="s">
        <v>533</v>
      </c>
      <c r="F744" s="16" t="str">
        <f>VLOOKUP(Table28[[#This Row],[Country]],Table10[[COUNTRY NAME]:[CONTINENT CODE]],3,FALSE)</f>
        <v>AS</v>
      </c>
      <c r="G744" s="16" t="s">
        <v>11999</v>
      </c>
      <c r="H744" s="181">
        <v>10113</v>
      </c>
      <c r="I744" s="180">
        <v>24.25</v>
      </c>
      <c r="K744" s="316">
        <f>IFERROR(Table28[[#This Row],[ROUTE COST]]/Table28[[#This Row],[O - DEMAND]],0)</f>
        <v>0</v>
      </c>
      <c r="M744" s="16">
        <f>Table28[[#This Row],[O - DEMAND]]/950</f>
        <v>0</v>
      </c>
      <c r="N744" s="16">
        <f>IFERROR(VLOOKUP(Table28[[#This Row],[ROUTE]],DEMAND!A:F,5,FALSE),0)</f>
        <v>2911</v>
      </c>
      <c r="O744" s="16">
        <f>IFERROR(VLOOKUP(Table28[[#This Row],[ROUTE]],DEMAND!A:F,6,FALSE),0)</f>
        <v>61</v>
      </c>
      <c r="P744" s="16">
        <f>ROUNDDOWN(Table28[[#This Row],[R-DEMAND]]/950,0)</f>
        <v>0</v>
      </c>
      <c r="Q744" s="16">
        <f>Table28[[#This Row],[ADD ACC
(475/950)]]*Table28[[#This Row],[Duration
(A359)]]</f>
        <v>0</v>
      </c>
      <c r="R744" s="16">
        <f>IFERROR(VLOOKUP(Table28[[#This Row],[ROUTE]],PRICING!A:B,2,FALSE),0)</f>
        <v>0</v>
      </c>
      <c r="S744" s="16">
        <f>Table28[[#This Row],[C_DEMAND]]-Table28[[#This Row],[R-DEMAND]]</f>
        <v>2850</v>
      </c>
      <c r="T744" s="316">
        <f>Table28[[#This Row],[SEATS SOLD]]*Table28[[#This Row],[ECO SEAT]]</f>
        <v>0</v>
      </c>
      <c r="U744" s="316">
        <f>Table28[[#This Row],[SEATS SOLD]]*(IFERROR(VLOOKUP(Table28[[#This Row],[ROUTE]],PRICING!A:C,3,FALSE),0))</f>
        <v>0</v>
      </c>
      <c r="V744" s="316">
        <f>Table28[[#This Row],[SEAT REV]]-Table28[[#This Row],[SEAT REV
(IF IDEAL $)]]</f>
        <v>0</v>
      </c>
      <c r="AS744" s="16" t="s">
        <v>11732</v>
      </c>
      <c r="AT744" s="16" t="s">
        <v>17019</v>
      </c>
      <c r="AU744" s="16" t="s">
        <v>2595</v>
      </c>
      <c r="AV744" s="16" t="s">
        <v>18878</v>
      </c>
      <c r="AW744" s="16" t="s">
        <v>18879</v>
      </c>
      <c r="AX744" s="16" t="s">
        <v>18926</v>
      </c>
      <c r="AY744" s="385">
        <v>14776</v>
      </c>
    </row>
    <row r="745" spans="1:51" x14ac:dyDescent="0.25">
      <c r="A745" s="16" t="s">
        <v>19455</v>
      </c>
      <c r="B745" s="16" t="s">
        <v>651</v>
      </c>
      <c r="D745" s="16">
        <v>1</v>
      </c>
      <c r="E745" s="16" t="s">
        <v>637</v>
      </c>
      <c r="F745" s="16" t="str">
        <f>VLOOKUP(Table28[[#This Row],[Country]],Table10[[COUNTRY NAME]:[CONTINENT CODE]],3,FALSE)</f>
        <v>AF</v>
      </c>
      <c r="G745" s="16" t="s">
        <v>6840</v>
      </c>
      <c r="H745" s="181">
        <v>12827</v>
      </c>
      <c r="I745" s="180">
        <v>30.25</v>
      </c>
      <c r="K745" s="316">
        <f>IFERROR(Table28[[#This Row],[ROUTE COST]]/Table28[[#This Row],[O - DEMAND]],0)</f>
        <v>0</v>
      </c>
      <c r="M745" s="16">
        <f>Table28[[#This Row],[O - DEMAND]]/950</f>
        <v>0</v>
      </c>
      <c r="N745" s="16">
        <f>IFERROR(VLOOKUP(Table28[[#This Row],[ROUTE]],DEMAND!A:F,5,FALSE),0)</f>
        <v>0</v>
      </c>
      <c r="O745" s="16">
        <f>IFERROR(VLOOKUP(Table28[[#This Row],[ROUTE]],DEMAND!A:F,6,FALSE),0)</f>
        <v>0</v>
      </c>
      <c r="P745" s="16">
        <f>ROUNDDOWN(Table28[[#This Row],[R-DEMAND]]/950,0)</f>
        <v>0</v>
      </c>
      <c r="Q745" s="16">
        <f>Table28[[#This Row],[ADD ACC
(475/950)]]*Table28[[#This Row],[Duration
(A359)]]</f>
        <v>0</v>
      </c>
      <c r="R745" s="16">
        <f>IFERROR(VLOOKUP(Table28[[#This Row],[ROUTE]],PRICING!A:B,2,FALSE),0)</f>
        <v>0</v>
      </c>
      <c r="S745" s="16">
        <f>Table28[[#This Row],[C_DEMAND]]-Table28[[#This Row],[R-DEMAND]]</f>
        <v>0</v>
      </c>
      <c r="T745" s="316">
        <f>Table28[[#This Row],[SEATS SOLD]]*Table28[[#This Row],[ECO SEAT]]</f>
        <v>0</v>
      </c>
      <c r="U745" s="316">
        <f>Table28[[#This Row],[SEATS SOLD]]*(IFERROR(VLOOKUP(Table28[[#This Row],[ROUTE]],PRICING!A:C,3,FALSE),0))</f>
        <v>0</v>
      </c>
      <c r="V745" s="316">
        <f>Table28[[#This Row],[SEAT REV]]-Table28[[#This Row],[SEAT REV
(IF IDEAL $)]]</f>
        <v>0</v>
      </c>
      <c r="AS745" s="16" t="s">
        <v>683</v>
      </c>
      <c r="AT745" s="16" t="s">
        <v>13187</v>
      </c>
      <c r="AU745" s="16" t="s">
        <v>4729</v>
      </c>
      <c r="AV745" s="16" t="s">
        <v>18884</v>
      </c>
      <c r="AW745" s="16" t="s">
        <v>18879</v>
      </c>
      <c r="AX745" s="16" t="s">
        <v>18926</v>
      </c>
      <c r="AY745" s="385">
        <v>14793</v>
      </c>
    </row>
    <row r="746" spans="1:51" x14ac:dyDescent="0.25">
      <c r="A746" s="16" t="s">
        <v>19598</v>
      </c>
      <c r="B746" s="16" t="s">
        <v>2737</v>
      </c>
      <c r="D746" s="16">
        <v>2</v>
      </c>
      <c r="E746" s="16" t="s">
        <v>78</v>
      </c>
      <c r="F746" s="16" t="str">
        <f>VLOOKUP(Table28[[#This Row],[Country]],Table10[[COUNTRY NAME]:[CONTINENT CODE]],3,FALSE)</f>
        <v>EU</v>
      </c>
      <c r="G746" s="16" t="s">
        <v>11888</v>
      </c>
      <c r="H746" s="181">
        <v>13779</v>
      </c>
      <c r="I746" s="180">
        <v>32.5</v>
      </c>
      <c r="K746" s="316">
        <f>IFERROR(Table28[[#This Row],[ROUTE COST]]/Table28[[#This Row],[O - DEMAND]],0)</f>
        <v>0</v>
      </c>
      <c r="M746" s="16">
        <f>Table28[[#This Row],[O - DEMAND]]/950</f>
        <v>0</v>
      </c>
      <c r="N746" s="16">
        <f>IFERROR(VLOOKUP(Table28[[#This Row],[ROUTE]],DEMAND!A:F,5,FALSE),0)</f>
        <v>0</v>
      </c>
      <c r="O746" s="16">
        <f>IFERROR(VLOOKUP(Table28[[#This Row],[ROUTE]],DEMAND!A:F,6,FALSE),0)</f>
        <v>0</v>
      </c>
      <c r="P746" s="16">
        <f>ROUNDDOWN(Table28[[#This Row],[R-DEMAND]]/950,0)</f>
        <v>0</v>
      </c>
      <c r="Q746" s="16">
        <f>Table28[[#This Row],[ADD ACC
(475/950)]]*Table28[[#This Row],[Duration
(A359)]]</f>
        <v>0</v>
      </c>
      <c r="R746" s="16">
        <f>IFERROR(VLOOKUP(Table28[[#This Row],[ROUTE]],PRICING!A:B,2,FALSE),0)</f>
        <v>0</v>
      </c>
      <c r="S746" s="16">
        <f>Table28[[#This Row],[C_DEMAND]]-Table28[[#This Row],[R-DEMAND]]</f>
        <v>0</v>
      </c>
      <c r="T746" s="316">
        <f>Table28[[#This Row],[SEATS SOLD]]*Table28[[#This Row],[ECO SEAT]]</f>
        <v>0</v>
      </c>
      <c r="U746" s="316">
        <f>Table28[[#This Row],[SEATS SOLD]]*(IFERROR(VLOOKUP(Table28[[#This Row],[ROUTE]],PRICING!A:C,3,FALSE),0))</f>
        <v>0</v>
      </c>
      <c r="V746" s="316">
        <f>Table28[[#This Row],[SEAT REV]]-Table28[[#This Row],[SEAT REV
(IF IDEAL $)]]</f>
        <v>0</v>
      </c>
      <c r="AS746" s="16" t="s">
        <v>700</v>
      </c>
      <c r="AT746" s="16" t="s">
        <v>16876</v>
      </c>
      <c r="AU746" s="16" t="s">
        <v>2508</v>
      </c>
      <c r="AV746" s="16" t="s">
        <v>18878</v>
      </c>
      <c r="AW746" s="16" t="s">
        <v>18879</v>
      </c>
      <c r="AX746" s="16" t="s">
        <v>18926</v>
      </c>
      <c r="AY746" s="385">
        <v>14797</v>
      </c>
    </row>
    <row r="747" spans="1:51" x14ac:dyDescent="0.25">
      <c r="A747" s="16" t="s">
        <v>19019</v>
      </c>
      <c r="B747" s="16" t="s">
        <v>37</v>
      </c>
      <c r="D747" s="16">
        <v>3</v>
      </c>
      <c r="E747" s="16" t="s">
        <v>1261</v>
      </c>
      <c r="F747" s="16" t="str">
        <f>VLOOKUP(Table28[[#This Row],[Country]],Table10[[COUNTRY NAME]:[CONTINENT CODE]],3,FALSE)</f>
        <v>AS</v>
      </c>
      <c r="G747" s="16" t="s">
        <v>12110</v>
      </c>
      <c r="H747" s="181">
        <v>4577</v>
      </c>
      <c r="I747" s="180">
        <v>12.25</v>
      </c>
      <c r="K747" s="316">
        <f>IFERROR(Table28[[#This Row],[ROUTE COST]]/Table28[[#This Row],[O - DEMAND]],0)</f>
        <v>0</v>
      </c>
      <c r="M747" s="16">
        <f>Table28[[#This Row],[O - DEMAND]]/950</f>
        <v>0</v>
      </c>
      <c r="N747" s="16">
        <f>IFERROR(VLOOKUP(Table28[[#This Row],[ROUTE]],DEMAND!A:F,5,FALSE),0)</f>
        <v>0</v>
      </c>
      <c r="O747" s="16">
        <f>IFERROR(VLOOKUP(Table28[[#This Row],[ROUTE]],DEMAND!A:F,6,FALSE),0)</f>
        <v>0</v>
      </c>
      <c r="P747" s="16">
        <f>ROUNDDOWN(Table28[[#This Row],[R-DEMAND]]/950,0)</f>
        <v>0</v>
      </c>
      <c r="Q747" s="16">
        <f>Table28[[#This Row],[ADD ACC
(475/950)]]*Table28[[#This Row],[Duration
(A359)]]</f>
        <v>0</v>
      </c>
      <c r="R747" s="16">
        <f>IFERROR(VLOOKUP(Table28[[#This Row],[ROUTE]],PRICING!A:B,2,FALSE),0)</f>
        <v>0</v>
      </c>
      <c r="S747" s="16">
        <f>Table28[[#This Row],[C_DEMAND]]-Table28[[#This Row],[R-DEMAND]]</f>
        <v>0</v>
      </c>
      <c r="T747" s="316">
        <f>Table28[[#This Row],[SEATS SOLD]]*Table28[[#This Row],[ECO SEAT]]</f>
        <v>0</v>
      </c>
      <c r="U747" s="316">
        <f>Table28[[#This Row],[SEATS SOLD]]*(IFERROR(VLOOKUP(Table28[[#This Row],[ROUTE]],PRICING!A:C,3,FALSE),0))</f>
        <v>0</v>
      </c>
      <c r="V747" s="316">
        <f>Table28[[#This Row],[SEAT REV]]-Table28[[#This Row],[SEAT REV
(IF IDEAL $)]]</f>
        <v>0</v>
      </c>
      <c r="AS747" s="16" t="s">
        <v>700</v>
      </c>
      <c r="AT747" s="16" t="s">
        <v>11853</v>
      </c>
      <c r="AU747" s="16" t="s">
        <v>3046</v>
      </c>
      <c r="AV747" s="16" t="s">
        <v>18892</v>
      </c>
      <c r="AW747" s="16" t="s">
        <v>18879</v>
      </c>
      <c r="AX747" s="16" t="s">
        <v>18933</v>
      </c>
      <c r="AY747" s="385">
        <v>14814</v>
      </c>
    </row>
    <row r="748" spans="1:51" x14ac:dyDescent="0.25">
      <c r="A748" s="16" t="s">
        <v>19261</v>
      </c>
      <c r="B748" s="16" t="s">
        <v>34</v>
      </c>
      <c r="C748" s="16" t="s">
        <v>467</v>
      </c>
      <c r="D748" s="16">
        <v>4</v>
      </c>
      <c r="E748" s="16" t="s">
        <v>14</v>
      </c>
      <c r="F748" s="16" t="str">
        <f>VLOOKUP(Table28[[#This Row],[Country]],Table10[[COUNTRY NAME]:[CONTINENT CODE]],3,FALSE)</f>
        <v>AS</v>
      </c>
      <c r="G748" s="16" t="s">
        <v>33</v>
      </c>
      <c r="H748" s="181">
        <v>10792</v>
      </c>
      <c r="I748" s="180">
        <v>25.75</v>
      </c>
      <c r="K748" s="316">
        <f>IFERROR(Table28[[#This Row],[ROUTE COST]]/Table28[[#This Row],[O - DEMAND]],0)</f>
        <v>0</v>
      </c>
      <c r="M748" s="16">
        <f>Table28[[#This Row],[O - DEMAND]]/950</f>
        <v>0</v>
      </c>
      <c r="N748" s="16">
        <f>IFERROR(VLOOKUP(Table28[[#This Row],[ROUTE]],DEMAND!A:F,5,FALSE),0)</f>
        <v>3313</v>
      </c>
      <c r="O748" s="16">
        <f>IFERROR(VLOOKUP(Table28[[#This Row],[ROUTE]],DEMAND!A:F,6,FALSE),0)</f>
        <v>463</v>
      </c>
      <c r="P748" s="16">
        <f>ROUNDDOWN(Table28[[#This Row],[R-DEMAND]]/950,0)</f>
        <v>0</v>
      </c>
      <c r="Q748" s="16">
        <f>Table28[[#This Row],[ADD ACC
(475/950)]]*Table28[[#This Row],[Duration
(A359)]]</f>
        <v>0</v>
      </c>
      <c r="R748" s="16">
        <f>IFERROR(VLOOKUP(Table28[[#This Row],[ROUTE]],PRICING!A:B,2,FALSE),0)</f>
        <v>0</v>
      </c>
      <c r="S748" s="16">
        <f>Table28[[#This Row],[C_DEMAND]]-Table28[[#This Row],[R-DEMAND]]</f>
        <v>2850</v>
      </c>
      <c r="T748" s="316">
        <f>Table28[[#This Row],[SEATS SOLD]]*Table28[[#This Row],[ECO SEAT]]</f>
        <v>0</v>
      </c>
      <c r="U748" s="316">
        <f>Table28[[#This Row],[SEATS SOLD]]*(IFERROR(VLOOKUP(Table28[[#This Row],[ROUTE]],PRICING!A:C,3,FALSE),0))</f>
        <v>0</v>
      </c>
      <c r="V748" s="316">
        <f>Table28[[#This Row],[SEAT REV]]-Table28[[#This Row],[SEAT REV
(IF IDEAL $)]]</f>
        <v>0</v>
      </c>
      <c r="AS748" s="16" t="s">
        <v>11732</v>
      </c>
      <c r="AT748" s="16" t="s">
        <v>13336</v>
      </c>
      <c r="AU748" s="16" t="s">
        <v>5551</v>
      </c>
      <c r="AV748" s="16" t="s">
        <v>18884</v>
      </c>
      <c r="AW748" s="16" t="s">
        <v>18899</v>
      </c>
      <c r="AX748" s="16" t="s">
        <v>18933</v>
      </c>
      <c r="AY748" s="385">
        <v>14825</v>
      </c>
    </row>
    <row r="749" spans="1:51" x14ac:dyDescent="0.25">
      <c r="A749" s="16" t="s">
        <v>19075</v>
      </c>
      <c r="B749" s="16" t="s">
        <v>32</v>
      </c>
      <c r="D749" s="16">
        <v>2</v>
      </c>
      <c r="E749" s="16" t="s">
        <v>332</v>
      </c>
      <c r="F749" s="16" t="str">
        <f>VLOOKUP(Table28[[#This Row],[Country]],Table10[[COUNTRY NAME]:[CONTINENT CODE]],3,FALSE)</f>
        <v>AS</v>
      </c>
      <c r="G749" s="16" t="s">
        <v>6817</v>
      </c>
      <c r="H749" s="181">
        <v>7282</v>
      </c>
      <c r="I749" s="180">
        <v>18</v>
      </c>
      <c r="K749" s="316">
        <f>IFERROR(Table28[[#This Row],[ROUTE COST]]/Table28[[#This Row],[O - DEMAND]],0)</f>
        <v>0</v>
      </c>
      <c r="M749" s="16">
        <f>Table28[[#This Row],[O - DEMAND]]/950</f>
        <v>0</v>
      </c>
      <c r="N749" s="16">
        <f>IFERROR(VLOOKUP(Table28[[#This Row],[ROUTE]],DEMAND!A:F,5,FALSE),0)</f>
        <v>0</v>
      </c>
      <c r="O749" s="16">
        <f>IFERROR(VLOOKUP(Table28[[#This Row],[ROUTE]],DEMAND!A:F,6,FALSE),0)</f>
        <v>0</v>
      </c>
      <c r="P749" s="16">
        <f>ROUNDDOWN(Table28[[#This Row],[R-DEMAND]]/950,0)</f>
        <v>0</v>
      </c>
      <c r="Q749" s="16">
        <f>Table28[[#This Row],[ADD ACC
(475/950)]]*Table28[[#This Row],[Duration
(A359)]]</f>
        <v>0</v>
      </c>
      <c r="R749" s="16">
        <f>IFERROR(VLOOKUP(Table28[[#This Row],[ROUTE]],PRICING!A:B,2,FALSE),0)</f>
        <v>0</v>
      </c>
      <c r="S749" s="16">
        <f>Table28[[#This Row],[C_DEMAND]]-Table28[[#This Row],[R-DEMAND]]</f>
        <v>0</v>
      </c>
      <c r="T749" s="316">
        <f>Table28[[#This Row],[SEATS SOLD]]*Table28[[#This Row],[ECO SEAT]]</f>
        <v>0</v>
      </c>
      <c r="U749" s="316">
        <f>Table28[[#This Row],[SEATS SOLD]]*(IFERROR(VLOOKUP(Table28[[#This Row],[ROUTE]],PRICING!A:C,3,FALSE),0))</f>
        <v>0</v>
      </c>
      <c r="V749" s="316">
        <f>Table28[[#This Row],[SEAT REV]]-Table28[[#This Row],[SEAT REV
(IF IDEAL $)]]</f>
        <v>0</v>
      </c>
      <c r="AS749" s="16" t="s">
        <v>11782</v>
      </c>
      <c r="AT749" s="16" t="s">
        <v>11783</v>
      </c>
      <c r="AU749" s="16" t="s">
        <v>4324</v>
      </c>
      <c r="AV749" s="16" t="s">
        <v>18892</v>
      </c>
      <c r="AW749" s="16" t="s">
        <v>18879</v>
      </c>
      <c r="AX749" s="16" t="s">
        <v>18933</v>
      </c>
      <c r="AY749" s="385">
        <v>14830</v>
      </c>
    </row>
    <row r="750" spans="1:51" x14ac:dyDescent="0.25">
      <c r="A750" s="16" t="s">
        <v>19623</v>
      </c>
      <c r="B750" s="16" t="s">
        <v>3048</v>
      </c>
      <c r="D750" s="16">
        <v>2</v>
      </c>
      <c r="E750" s="16" t="s">
        <v>172</v>
      </c>
      <c r="F750" s="16" t="str">
        <f>VLOOKUP(Table28[[#This Row],[Country]],Table10[[COUNTRY NAME]:[CONTINENT CODE]],3,FALSE)</f>
        <v>AS</v>
      </c>
      <c r="G750" s="16" t="s">
        <v>6814</v>
      </c>
      <c r="H750" s="181">
        <v>13936</v>
      </c>
      <c r="I750" s="180">
        <v>32.75</v>
      </c>
      <c r="K750" s="316">
        <f>IFERROR(Table28[[#This Row],[ROUTE COST]]/Table28[[#This Row],[O - DEMAND]],0)</f>
        <v>0</v>
      </c>
      <c r="M750" s="16">
        <f>Table28[[#This Row],[O - DEMAND]]/950</f>
        <v>0</v>
      </c>
      <c r="N750" s="16">
        <f>IFERROR(VLOOKUP(Table28[[#This Row],[ROUTE]],DEMAND!A:F,5,FALSE),0)</f>
        <v>0</v>
      </c>
      <c r="O750" s="16">
        <f>IFERROR(VLOOKUP(Table28[[#This Row],[ROUTE]],DEMAND!A:F,6,FALSE),0)</f>
        <v>0</v>
      </c>
      <c r="P750" s="16">
        <f>ROUNDDOWN(Table28[[#This Row],[R-DEMAND]]/950,0)</f>
        <v>0</v>
      </c>
      <c r="Q750" s="16">
        <f>Table28[[#This Row],[ADD ACC
(475/950)]]*Table28[[#This Row],[Duration
(A359)]]</f>
        <v>0</v>
      </c>
      <c r="R750" s="16">
        <f>IFERROR(VLOOKUP(Table28[[#This Row],[ROUTE]],PRICING!A:B,2,FALSE),0)</f>
        <v>0</v>
      </c>
      <c r="S750" s="16">
        <f>Table28[[#This Row],[C_DEMAND]]-Table28[[#This Row],[R-DEMAND]]</f>
        <v>0</v>
      </c>
      <c r="T750" s="316">
        <f>Table28[[#This Row],[SEATS SOLD]]*Table28[[#This Row],[ECO SEAT]]</f>
        <v>0</v>
      </c>
      <c r="U750" s="316">
        <f>Table28[[#This Row],[SEATS SOLD]]*(IFERROR(VLOOKUP(Table28[[#This Row],[ROUTE]],PRICING!A:C,3,FALSE),0))</f>
        <v>0</v>
      </c>
      <c r="V750" s="316">
        <f>Table28[[#This Row],[SEAT REV]]-Table28[[#This Row],[SEAT REV
(IF IDEAL $)]]</f>
        <v>0</v>
      </c>
      <c r="AS750" s="16" t="s">
        <v>700</v>
      </c>
      <c r="AT750" s="16" t="s">
        <v>16878</v>
      </c>
      <c r="AU750" s="16" t="s">
        <v>898</v>
      </c>
      <c r="AV750" s="16" t="s">
        <v>18878</v>
      </c>
      <c r="AW750" s="16" t="s">
        <v>18890</v>
      </c>
      <c r="AX750" s="16" t="s">
        <v>18933</v>
      </c>
      <c r="AY750" s="385">
        <v>14857</v>
      </c>
    </row>
    <row r="751" spans="1:51" x14ac:dyDescent="0.25">
      <c r="A751" s="16" t="s">
        <v>19215</v>
      </c>
      <c r="B751" s="16" t="s">
        <v>4078</v>
      </c>
      <c r="C751" s="16" t="s">
        <v>467</v>
      </c>
      <c r="D751" s="16">
        <v>2</v>
      </c>
      <c r="E751" s="16" t="s">
        <v>11669</v>
      </c>
      <c r="F751" s="16" t="str">
        <f>VLOOKUP(Table28[[#This Row],[Country]],Table10[[COUNTRY NAME]:[CONTINENT CODE]],3,FALSE)</f>
        <v>SA</v>
      </c>
      <c r="G751" s="16" t="s">
        <v>11670</v>
      </c>
      <c r="H751" s="181">
        <v>9449</v>
      </c>
      <c r="I751" s="180">
        <v>22.75</v>
      </c>
      <c r="K751" s="316">
        <f>IFERROR(Table28[[#This Row],[ROUTE COST]]/Table28[[#This Row],[O - DEMAND]],0)</f>
        <v>0</v>
      </c>
      <c r="M751" s="16">
        <f>Table28[[#This Row],[O - DEMAND]]/950</f>
        <v>0</v>
      </c>
      <c r="N751" s="16">
        <f>IFERROR(VLOOKUP(Table28[[#This Row],[ROUTE]],DEMAND!A:F,5,FALSE),0)</f>
        <v>2264</v>
      </c>
      <c r="O751" s="16">
        <f>IFERROR(VLOOKUP(Table28[[#This Row],[ROUTE]],DEMAND!A:F,6,FALSE),0)</f>
        <v>364</v>
      </c>
      <c r="P751" s="16">
        <f>ROUNDDOWN(Table28[[#This Row],[R-DEMAND]]/950,0)</f>
        <v>0</v>
      </c>
      <c r="Q751" s="16">
        <f>Table28[[#This Row],[ADD ACC
(475/950)]]*Table28[[#This Row],[Duration
(A359)]]</f>
        <v>0</v>
      </c>
      <c r="R751" s="16">
        <f>IFERROR(VLOOKUP(Table28[[#This Row],[ROUTE]],PRICING!A:B,2,FALSE),0)</f>
        <v>0</v>
      </c>
      <c r="S751" s="16">
        <f>Table28[[#This Row],[C_DEMAND]]-Table28[[#This Row],[R-DEMAND]]</f>
        <v>1900</v>
      </c>
      <c r="T751" s="316">
        <f>Table28[[#This Row],[SEATS SOLD]]*Table28[[#This Row],[ECO SEAT]]</f>
        <v>0</v>
      </c>
      <c r="U751" s="316">
        <f>Table28[[#This Row],[SEATS SOLD]]*(IFERROR(VLOOKUP(Table28[[#This Row],[ROUTE]],PRICING!A:C,3,FALSE),0))</f>
        <v>0</v>
      </c>
      <c r="V751" s="316">
        <f>Table28[[#This Row],[SEAT REV]]-Table28[[#This Row],[SEAT REV
(IF IDEAL $)]]</f>
        <v>0</v>
      </c>
      <c r="AS751" s="16" t="s">
        <v>700</v>
      </c>
      <c r="AT751" s="16" t="s">
        <v>10068</v>
      </c>
      <c r="AU751" s="16" t="s">
        <v>5221</v>
      </c>
      <c r="AV751" s="16" t="s">
        <v>18892</v>
      </c>
      <c r="AW751" s="16" t="s">
        <v>18885</v>
      </c>
      <c r="AX751" s="16" t="s">
        <v>18933</v>
      </c>
      <c r="AY751" s="385">
        <v>14863</v>
      </c>
    </row>
    <row r="752" spans="1:51" x14ac:dyDescent="0.25">
      <c r="A752" s="16" t="s">
        <v>19742</v>
      </c>
      <c r="B752" s="16" t="s">
        <v>898</v>
      </c>
      <c r="D752" s="16">
        <v>1</v>
      </c>
      <c r="E752" s="16" t="s">
        <v>700</v>
      </c>
      <c r="F752" s="16" t="str">
        <f>VLOOKUP(Table28[[#This Row],[Country]],Table10[[COUNTRY NAME]:[CONTINENT CODE]],3,FALSE)</f>
        <v>AS</v>
      </c>
      <c r="G752" s="16" t="s">
        <v>16878</v>
      </c>
      <c r="H752" s="181">
        <v>14857</v>
      </c>
      <c r="I752" s="180">
        <v>34.75</v>
      </c>
      <c r="K752" s="316">
        <f>IFERROR(Table28[[#This Row],[ROUTE COST]]/Table28[[#This Row],[O - DEMAND]],0)</f>
        <v>0</v>
      </c>
      <c r="M752" s="16">
        <f>Table28[[#This Row],[O - DEMAND]]/950</f>
        <v>0</v>
      </c>
      <c r="N752" s="16">
        <f>IFERROR(VLOOKUP(Table28[[#This Row],[ROUTE]],DEMAND!A:F,5,FALSE),0)</f>
        <v>0</v>
      </c>
      <c r="O752" s="16">
        <f>IFERROR(VLOOKUP(Table28[[#This Row],[ROUTE]],DEMAND!A:F,6,FALSE),0)</f>
        <v>0</v>
      </c>
      <c r="P752" s="16">
        <f>ROUNDDOWN(Table28[[#This Row],[R-DEMAND]]/950,0)</f>
        <v>0</v>
      </c>
      <c r="Q752" s="16">
        <f>Table28[[#This Row],[ADD ACC
(475/950)]]*Table28[[#This Row],[Duration
(A359)]]</f>
        <v>0</v>
      </c>
      <c r="R752" s="16">
        <f>IFERROR(VLOOKUP(Table28[[#This Row],[ROUTE]],PRICING!A:B,2,FALSE),0)</f>
        <v>0</v>
      </c>
      <c r="S752" s="16">
        <f>Table28[[#This Row],[C_DEMAND]]-Table28[[#This Row],[R-DEMAND]]</f>
        <v>0</v>
      </c>
      <c r="T752" s="316">
        <f>Table28[[#This Row],[SEATS SOLD]]*Table28[[#This Row],[ECO SEAT]]</f>
        <v>0</v>
      </c>
      <c r="U752" s="316">
        <f>Table28[[#This Row],[SEATS SOLD]]*(IFERROR(VLOOKUP(Table28[[#This Row],[ROUTE]],PRICING!A:C,3,FALSE),0))</f>
        <v>0</v>
      </c>
      <c r="V752" s="316">
        <f>Table28[[#This Row],[SEAT REV]]-Table28[[#This Row],[SEAT REV
(IF IDEAL $)]]</f>
        <v>0</v>
      </c>
      <c r="AS752" s="16" t="s">
        <v>11732</v>
      </c>
      <c r="AT752" s="16" t="s">
        <v>13309</v>
      </c>
      <c r="AU752" s="16" t="s">
        <v>5762</v>
      </c>
      <c r="AV752" s="16" t="s">
        <v>18884</v>
      </c>
      <c r="AW752" s="16" t="s">
        <v>18918</v>
      </c>
      <c r="AX752" s="16" t="s">
        <v>18933</v>
      </c>
      <c r="AY752" s="385">
        <v>14866</v>
      </c>
    </row>
    <row r="753" spans="1:51" x14ac:dyDescent="0.25">
      <c r="A753" s="16" t="s">
        <v>19296</v>
      </c>
      <c r="B753" s="16" t="s">
        <v>1851</v>
      </c>
      <c r="D753" s="16">
        <v>1</v>
      </c>
      <c r="E753" s="16" t="s">
        <v>926</v>
      </c>
      <c r="F753" s="16" t="str">
        <f>VLOOKUP(Table28[[#This Row],[Country]],Table10[[COUNTRY NAME]:[CONTINENT CODE]],3,FALSE)</f>
        <v>AF</v>
      </c>
      <c r="G753" s="16" t="s">
        <v>6801</v>
      </c>
      <c r="H753" s="181">
        <v>11310</v>
      </c>
      <c r="I753" s="180">
        <v>27</v>
      </c>
      <c r="K753" s="316">
        <f>IFERROR(Table28[[#This Row],[ROUTE COST]]/Table28[[#This Row],[O - DEMAND]],0)</f>
        <v>0</v>
      </c>
      <c r="M753" s="16">
        <f>Table28[[#This Row],[O - DEMAND]]/950</f>
        <v>0</v>
      </c>
      <c r="N753" s="16">
        <f>IFERROR(VLOOKUP(Table28[[#This Row],[ROUTE]],DEMAND!A:F,5,FALSE),0)</f>
        <v>0</v>
      </c>
      <c r="O753" s="16">
        <f>IFERROR(VLOOKUP(Table28[[#This Row],[ROUTE]],DEMAND!A:F,6,FALSE),0)</f>
        <v>0</v>
      </c>
      <c r="P753" s="16">
        <f>ROUNDDOWN(Table28[[#This Row],[R-DEMAND]]/950,0)</f>
        <v>0</v>
      </c>
      <c r="Q753" s="16">
        <f>Table28[[#This Row],[ADD ACC
(475/950)]]*Table28[[#This Row],[Duration
(A359)]]</f>
        <v>0</v>
      </c>
      <c r="R753" s="16">
        <f>IFERROR(VLOOKUP(Table28[[#This Row],[ROUTE]],PRICING!A:B,2,FALSE),0)</f>
        <v>0</v>
      </c>
      <c r="S753" s="16">
        <f>Table28[[#This Row],[C_DEMAND]]-Table28[[#This Row],[R-DEMAND]]</f>
        <v>0</v>
      </c>
      <c r="T753" s="316">
        <f>Table28[[#This Row],[SEATS SOLD]]*Table28[[#This Row],[ECO SEAT]]</f>
        <v>0</v>
      </c>
      <c r="U753" s="316">
        <f>Table28[[#This Row],[SEATS SOLD]]*(IFERROR(VLOOKUP(Table28[[#This Row],[ROUTE]],PRICING!A:C,3,FALSE),0))</f>
        <v>0</v>
      </c>
      <c r="V753" s="316">
        <f>Table28[[#This Row],[SEAT REV]]-Table28[[#This Row],[SEAT REV
(IF IDEAL $)]]</f>
        <v>0</v>
      </c>
      <c r="AS753" s="16" t="s">
        <v>605</v>
      </c>
      <c r="AT753" s="16" t="s">
        <v>11809</v>
      </c>
      <c r="AU753" s="16" t="s">
        <v>2266</v>
      </c>
      <c r="AV753" s="16" t="s">
        <v>18892</v>
      </c>
      <c r="AW753" s="16" t="s">
        <v>18890</v>
      </c>
      <c r="AX753" s="16" t="s">
        <v>18933</v>
      </c>
      <c r="AY753" s="385">
        <v>14880</v>
      </c>
    </row>
    <row r="754" spans="1:51" x14ac:dyDescent="0.25">
      <c r="A754" s="16" t="s">
        <v>19084</v>
      </c>
      <c r="B754" s="16" t="s">
        <v>30</v>
      </c>
      <c r="D754" s="16">
        <v>1</v>
      </c>
      <c r="E754" s="16" t="s">
        <v>332</v>
      </c>
      <c r="F754" s="16" t="str">
        <f>VLOOKUP(Table28[[#This Row],[Country]],Table10[[COUNTRY NAME]:[CONTINENT CODE]],3,FALSE)</f>
        <v>AS</v>
      </c>
      <c r="G754" s="16" t="s">
        <v>12100</v>
      </c>
      <c r="H754" s="181">
        <v>7417</v>
      </c>
      <c r="I754" s="180">
        <v>18.5</v>
      </c>
      <c r="K754" s="316">
        <f>IFERROR(Table28[[#This Row],[ROUTE COST]]/Table28[[#This Row],[O - DEMAND]],0)</f>
        <v>0</v>
      </c>
      <c r="M754" s="16">
        <f>Table28[[#This Row],[O - DEMAND]]/950</f>
        <v>0</v>
      </c>
      <c r="N754" s="16">
        <f>IFERROR(VLOOKUP(Table28[[#This Row],[ROUTE]],DEMAND!A:F,5,FALSE),0)</f>
        <v>0</v>
      </c>
      <c r="O754" s="16">
        <f>IFERROR(VLOOKUP(Table28[[#This Row],[ROUTE]],DEMAND!A:F,6,FALSE),0)</f>
        <v>0</v>
      </c>
      <c r="P754" s="16">
        <f>ROUNDDOWN(Table28[[#This Row],[R-DEMAND]]/950,0)</f>
        <v>0</v>
      </c>
      <c r="Q754" s="16">
        <f>Table28[[#This Row],[ADD ACC
(475/950)]]*Table28[[#This Row],[Duration
(A359)]]</f>
        <v>0</v>
      </c>
      <c r="R754" s="16">
        <f>IFERROR(VLOOKUP(Table28[[#This Row],[ROUTE]],PRICING!A:B,2,FALSE),0)</f>
        <v>0</v>
      </c>
      <c r="S754" s="16">
        <f>Table28[[#This Row],[C_DEMAND]]-Table28[[#This Row],[R-DEMAND]]</f>
        <v>0</v>
      </c>
      <c r="T754" s="316">
        <f>Table28[[#This Row],[SEATS SOLD]]*Table28[[#This Row],[ECO SEAT]]</f>
        <v>0</v>
      </c>
      <c r="U754" s="316">
        <f>Table28[[#This Row],[SEATS SOLD]]*(IFERROR(VLOOKUP(Table28[[#This Row],[ROUTE]],PRICING!A:C,3,FALSE),0))</f>
        <v>0</v>
      </c>
      <c r="V754" s="316">
        <f>Table28[[#This Row],[SEAT REV]]-Table28[[#This Row],[SEAT REV
(IF IDEAL $)]]</f>
        <v>0</v>
      </c>
      <c r="AS754" s="16" t="s">
        <v>4894</v>
      </c>
      <c r="AT754" s="16" t="s">
        <v>17031</v>
      </c>
      <c r="AU754" s="16" t="s">
        <v>5223</v>
      </c>
      <c r="AV754" s="16" t="s">
        <v>18878</v>
      </c>
      <c r="AW754" s="16" t="s">
        <v>18885</v>
      </c>
      <c r="AX754" s="16" t="s">
        <v>18933</v>
      </c>
      <c r="AY754" s="385">
        <v>14884</v>
      </c>
    </row>
    <row r="755" spans="1:51" x14ac:dyDescent="0.25">
      <c r="A755" s="16" t="s">
        <v>19248</v>
      </c>
      <c r="B755" s="16" t="s">
        <v>3044</v>
      </c>
      <c r="D755" s="16">
        <v>2</v>
      </c>
      <c r="E755" s="16" t="s">
        <v>78</v>
      </c>
      <c r="F755" s="16" t="str">
        <f>VLOOKUP(Table28[[#This Row],[Country]],Table10[[COUNTRY NAME]:[CONTINENT CODE]],3,FALSE)</f>
        <v>EU</v>
      </c>
      <c r="G755" s="16" t="s">
        <v>11984</v>
      </c>
      <c r="H755" s="181">
        <v>10445</v>
      </c>
      <c r="I755" s="180">
        <v>25</v>
      </c>
      <c r="K755" s="316">
        <f>IFERROR(Table28[[#This Row],[ROUTE COST]]/Table28[[#This Row],[O - DEMAND]],0)</f>
        <v>0</v>
      </c>
      <c r="M755" s="16">
        <f>Table28[[#This Row],[O - DEMAND]]/950</f>
        <v>0</v>
      </c>
      <c r="N755" s="16">
        <f>IFERROR(VLOOKUP(Table28[[#This Row],[ROUTE]],DEMAND!A:F,5,FALSE),0)</f>
        <v>0</v>
      </c>
      <c r="O755" s="16">
        <f>IFERROR(VLOOKUP(Table28[[#This Row],[ROUTE]],DEMAND!A:F,6,FALSE),0)</f>
        <v>0</v>
      </c>
      <c r="P755" s="16">
        <f>ROUNDDOWN(Table28[[#This Row],[R-DEMAND]]/950,0)</f>
        <v>0</v>
      </c>
      <c r="Q755" s="16">
        <f>Table28[[#This Row],[ADD ACC
(475/950)]]*Table28[[#This Row],[Duration
(A359)]]</f>
        <v>0</v>
      </c>
      <c r="R755" s="16">
        <f>IFERROR(VLOOKUP(Table28[[#This Row],[ROUTE]],PRICING!A:B,2,FALSE),0)</f>
        <v>0</v>
      </c>
      <c r="S755" s="16">
        <f>Table28[[#This Row],[C_DEMAND]]-Table28[[#This Row],[R-DEMAND]]</f>
        <v>0</v>
      </c>
      <c r="T755" s="316">
        <f>Table28[[#This Row],[SEATS SOLD]]*Table28[[#This Row],[ECO SEAT]]</f>
        <v>0</v>
      </c>
      <c r="U755" s="316">
        <f>Table28[[#This Row],[SEATS SOLD]]*(IFERROR(VLOOKUP(Table28[[#This Row],[ROUTE]],PRICING!A:C,3,FALSE),0))</f>
        <v>0</v>
      </c>
      <c r="V755" s="316">
        <f>Table28[[#This Row],[SEAT REV]]-Table28[[#This Row],[SEAT REV
(IF IDEAL $)]]</f>
        <v>0</v>
      </c>
      <c r="AS755" s="16" t="s">
        <v>11732</v>
      </c>
      <c r="AT755" s="16" t="s">
        <v>13306</v>
      </c>
      <c r="AU755" s="16" t="s">
        <v>5505</v>
      </c>
      <c r="AV755" s="16" t="s">
        <v>18892</v>
      </c>
      <c r="AW755" s="16" t="s">
        <v>18899</v>
      </c>
      <c r="AX755" s="16" t="s">
        <v>18933</v>
      </c>
      <c r="AY755" s="385">
        <v>14885</v>
      </c>
    </row>
    <row r="756" spans="1:51" x14ac:dyDescent="0.25">
      <c r="A756" s="16" t="s">
        <v>19187</v>
      </c>
      <c r="B756" s="16" t="s">
        <v>4181</v>
      </c>
      <c r="D756" s="16">
        <v>2</v>
      </c>
      <c r="E756" s="16" t="s">
        <v>78</v>
      </c>
      <c r="F756" s="16" t="str">
        <f>VLOOKUP(Table28[[#This Row],[Country]],Table10[[COUNTRY NAME]:[CONTINENT CODE]],3,FALSE)</f>
        <v>EU</v>
      </c>
      <c r="G756" s="16" t="s">
        <v>11962</v>
      </c>
      <c r="H756" s="181">
        <v>9030</v>
      </c>
      <c r="I756" s="180">
        <v>22</v>
      </c>
      <c r="K756" s="316">
        <f>IFERROR(Table28[[#This Row],[ROUTE COST]]/Table28[[#This Row],[O - DEMAND]],0)</f>
        <v>0</v>
      </c>
      <c r="M756" s="16">
        <f>Table28[[#This Row],[O - DEMAND]]/950</f>
        <v>0</v>
      </c>
      <c r="N756" s="16">
        <f>IFERROR(VLOOKUP(Table28[[#This Row],[ROUTE]],DEMAND!A:F,5,FALSE),0)</f>
        <v>0</v>
      </c>
      <c r="O756" s="16">
        <f>IFERROR(VLOOKUP(Table28[[#This Row],[ROUTE]],DEMAND!A:F,6,FALSE),0)</f>
        <v>0</v>
      </c>
      <c r="P756" s="16">
        <f>ROUNDDOWN(Table28[[#This Row],[R-DEMAND]]/950,0)</f>
        <v>0</v>
      </c>
      <c r="Q756" s="16">
        <f>Table28[[#This Row],[ADD ACC
(475/950)]]*Table28[[#This Row],[Duration
(A359)]]</f>
        <v>0</v>
      </c>
      <c r="R756" s="16">
        <f>IFERROR(VLOOKUP(Table28[[#This Row],[ROUTE]],PRICING!A:B,2,FALSE),0)</f>
        <v>0</v>
      </c>
      <c r="S756" s="16">
        <f>Table28[[#This Row],[C_DEMAND]]-Table28[[#This Row],[R-DEMAND]]</f>
        <v>0</v>
      </c>
      <c r="T756" s="316">
        <f>Table28[[#This Row],[SEATS SOLD]]*Table28[[#This Row],[ECO SEAT]]</f>
        <v>0</v>
      </c>
      <c r="U756" s="316">
        <f>Table28[[#This Row],[SEATS SOLD]]*(IFERROR(VLOOKUP(Table28[[#This Row],[ROUTE]],PRICING!A:C,3,FALSE),0))</f>
        <v>0</v>
      </c>
      <c r="V756" s="316">
        <f>Table28[[#This Row],[SEAT REV]]-Table28[[#This Row],[SEAT REV
(IF IDEAL $)]]</f>
        <v>0</v>
      </c>
      <c r="AS756" s="16" t="s">
        <v>11732</v>
      </c>
      <c r="AT756" s="16" t="s">
        <v>13369</v>
      </c>
      <c r="AU756" s="16" t="s">
        <v>4758</v>
      </c>
      <c r="AV756" s="16" t="s">
        <v>18892</v>
      </c>
      <c r="AW756" s="16" t="s">
        <v>18885</v>
      </c>
      <c r="AX756" s="16" t="s">
        <v>18933</v>
      </c>
      <c r="AY756" s="385">
        <v>14886</v>
      </c>
    </row>
    <row r="757" spans="1:51" x14ac:dyDescent="0.25">
      <c r="A757" s="16" t="s">
        <v>19641</v>
      </c>
      <c r="B757" s="16" t="s">
        <v>2490</v>
      </c>
      <c r="D757" s="16">
        <v>1</v>
      </c>
      <c r="E757" s="16" t="s">
        <v>881</v>
      </c>
      <c r="F757" s="16" t="str">
        <f>VLOOKUP(Table28[[#This Row],[Country]],Table10[[COUNTRY NAME]:[CONTINENT CODE]],3,FALSE)</f>
        <v>AF</v>
      </c>
      <c r="G757" s="16" t="s">
        <v>6783</v>
      </c>
      <c r="H757" s="181">
        <v>14079</v>
      </c>
      <c r="I757" s="180">
        <v>33</v>
      </c>
      <c r="K757" s="316">
        <f>IFERROR(Table28[[#This Row],[ROUTE COST]]/Table28[[#This Row],[O - DEMAND]],0)</f>
        <v>0</v>
      </c>
      <c r="M757" s="16">
        <f>Table28[[#This Row],[O - DEMAND]]/950</f>
        <v>0</v>
      </c>
      <c r="N757" s="16">
        <f>IFERROR(VLOOKUP(Table28[[#This Row],[ROUTE]],DEMAND!A:F,5,FALSE),0)</f>
        <v>0</v>
      </c>
      <c r="O757" s="16">
        <f>IFERROR(VLOOKUP(Table28[[#This Row],[ROUTE]],DEMAND!A:F,6,FALSE),0)</f>
        <v>0</v>
      </c>
      <c r="P757" s="16">
        <f>ROUNDDOWN(Table28[[#This Row],[R-DEMAND]]/950,0)</f>
        <v>0</v>
      </c>
      <c r="Q757" s="16">
        <f>Table28[[#This Row],[ADD ACC
(475/950)]]*Table28[[#This Row],[Duration
(A359)]]</f>
        <v>0</v>
      </c>
      <c r="R757" s="16">
        <f>IFERROR(VLOOKUP(Table28[[#This Row],[ROUTE]],PRICING!A:B,2,FALSE),0)</f>
        <v>0</v>
      </c>
      <c r="S757" s="16">
        <f>Table28[[#This Row],[C_DEMAND]]-Table28[[#This Row],[R-DEMAND]]</f>
        <v>0</v>
      </c>
      <c r="T757" s="316">
        <f>Table28[[#This Row],[SEATS SOLD]]*Table28[[#This Row],[ECO SEAT]]</f>
        <v>0</v>
      </c>
      <c r="U757" s="316">
        <f>Table28[[#This Row],[SEATS SOLD]]*(IFERROR(VLOOKUP(Table28[[#This Row],[ROUTE]],PRICING!A:C,3,FALSE),0))</f>
        <v>0</v>
      </c>
      <c r="V757" s="316">
        <f>Table28[[#This Row],[SEAT REV]]-Table28[[#This Row],[SEAT REV
(IF IDEAL $)]]</f>
        <v>0</v>
      </c>
      <c r="AS757" s="16" t="s">
        <v>700</v>
      </c>
      <c r="AT757" s="16" t="s">
        <v>11852</v>
      </c>
      <c r="AU757" s="16" t="s">
        <v>2466</v>
      </c>
      <c r="AV757" s="16" t="s">
        <v>18892</v>
      </c>
      <c r="AW757" s="16" t="s">
        <v>18890</v>
      </c>
      <c r="AX757" s="16" t="s">
        <v>18933</v>
      </c>
      <c r="AY757" s="385">
        <v>14887</v>
      </c>
    </row>
    <row r="758" spans="1:51" x14ac:dyDescent="0.25">
      <c r="A758" s="16" t="s">
        <v>19587</v>
      </c>
      <c r="B758" s="16" t="s">
        <v>4369</v>
      </c>
      <c r="D758" s="16">
        <v>2</v>
      </c>
      <c r="E758" s="16" t="s">
        <v>700</v>
      </c>
      <c r="F758" s="16" t="str">
        <f>VLOOKUP(Table28[[#This Row],[Country]],Table10[[COUNTRY NAME]:[CONTINENT CODE]],3,FALSE)</f>
        <v>AS</v>
      </c>
      <c r="G758" s="16" t="s">
        <v>16861</v>
      </c>
      <c r="H758" s="181">
        <v>13694</v>
      </c>
      <c r="I758" s="180">
        <v>32.25</v>
      </c>
      <c r="K758" s="316">
        <f>IFERROR(Table28[[#This Row],[ROUTE COST]]/Table28[[#This Row],[O - DEMAND]],0)</f>
        <v>0</v>
      </c>
      <c r="M758" s="16">
        <f>Table28[[#This Row],[O - DEMAND]]/950</f>
        <v>0</v>
      </c>
      <c r="N758" s="16">
        <f>IFERROR(VLOOKUP(Table28[[#This Row],[ROUTE]],DEMAND!A:F,5,FALSE),0)</f>
        <v>0</v>
      </c>
      <c r="O758" s="16">
        <f>IFERROR(VLOOKUP(Table28[[#This Row],[ROUTE]],DEMAND!A:F,6,FALSE),0)</f>
        <v>0</v>
      </c>
      <c r="P758" s="16">
        <f>ROUNDDOWN(Table28[[#This Row],[R-DEMAND]]/950,0)</f>
        <v>0</v>
      </c>
      <c r="Q758" s="16">
        <f>Table28[[#This Row],[ADD ACC
(475/950)]]*Table28[[#This Row],[Duration
(A359)]]</f>
        <v>0</v>
      </c>
      <c r="R758" s="16">
        <f>IFERROR(VLOOKUP(Table28[[#This Row],[ROUTE]],PRICING!A:B,2,FALSE),0)</f>
        <v>0</v>
      </c>
      <c r="S758" s="16">
        <f>Table28[[#This Row],[C_DEMAND]]-Table28[[#This Row],[R-DEMAND]]</f>
        <v>0</v>
      </c>
      <c r="T758" s="316">
        <f>Table28[[#This Row],[SEATS SOLD]]*Table28[[#This Row],[ECO SEAT]]</f>
        <v>0</v>
      </c>
      <c r="U758" s="316">
        <f>Table28[[#This Row],[SEATS SOLD]]*(IFERROR(VLOOKUP(Table28[[#This Row],[ROUTE]],PRICING!A:C,3,FALSE),0))</f>
        <v>0</v>
      </c>
      <c r="V758" s="316">
        <f>Table28[[#This Row],[SEAT REV]]-Table28[[#This Row],[SEAT REV
(IF IDEAL $)]]</f>
        <v>0</v>
      </c>
      <c r="AS758" s="16" t="s">
        <v>3616</v>
      </c>
      <c r="AT758" s="16" t="s">
        <v>11776</v>
      </c>
      <c r="AU758" s="16" t="s">
        <v>3618</v>
      </c>
      <c r="AV758" s="16" t="s">
        <v>18892</v>
      </c>
      <c r="AW758" s="16" t="s">
        <v>18879</v>
      </c>
      <c r="AX758" s="16" t="s">
        <v>18933</v>
      </c>
      <c r="AY758" s="385">
        <v>14889</v>
      </c>
    </row>
    <row r="759" spans="1:51" x14ac:dyDescent="0.25">
      <c r="A759" s="16" t="s">
        <v>19670</v>
      </c>
      <c r="B759" s="16" t="s">
        <v>2903</v>
      </c>
      <c r="D759" s="16">
        <v>2</v>
      </c>
      <c r="E759" s="16" t="s">
        <v>700</v>
      </c>
      <c r="F759" s="16" t="str">
        <f>VLOOKUP(Table28[[#This Row],[Country]],Table10[[COUNTRY NAME]:[CONTINENT CODE]],3,FALSE)</f>
        <v>AS</v>
      </c>
      <c r="G759" s="16" t="s">
        <v>6768</v>
      </c>
      <c r="H759" s="181">
        <v>14268</v>
      </c>
      <c r="I759" s="180">
        <v>33.5</v>
      </c>
      <c r="K759" s="316">
        <f>IFERROR(Table28[[#This Row],[ROUTE COST]]/Table28[[#This Row],[O - DEMAND]],0)</f>
        <v>0</v>
      </c>
      <c r="M759" s="16">
        <f>Table28[[#This Row],[O - DEMAND]]/950</f>
        <v>0</v>
      </c>
      <c r="N759" s="16">
        <f>IFERROR(VLOOKUP(Table28[[#This Row],[ROUTE]],DEMAND!A:F,5,FALSE),0)</f>
        <v>0</v>
      </c>
      <c r="O759" s="16">
        <f>IFERROR(VLOOKUP(Table28[[#This Row],[ROUTE]],DEMAND!A:F,6,FALSE),0)</f>
        <v>0</v>
      </c>
      <c r="P759" s="16">
        <f>ROUNDDOWN(Table28[[#This Row],[R-DEMAND]]/950,0)</f>
        <v>0</v>
      </c>
      <c r="Q759" s="16">
        <f>Table28[[#This Row],[ADD ACC
(475/950)]]*Table28[[#This Row],[Duration
(A359)]]</f>
        <v>0</v>
      </c>
      <c r="R759" s="16">
        <f>IFERROR(VLOOKUP(Table28[[#This Row],[ROUTE]],PRICING!A:B,2,FALSE),0)</f>
        <v>0</v>
      </c>
      <c r="S759" s="16">
        <f>Table28[[#This Row],[C_DEMAND]]-Table28[[#This Row],[R-DEMAND]]</f>
        <v>0</v>
      </c>
      <c r="T759" s="316">
        <f>Table28[[#This Row],[SEATS SOLD]]*Table28[[#This Row],[ECO SEAT]]</f>
        <v>0</v>
      </c>
      <c r="U759" s="316">
        <f>Table28[[#This Row],[SEATS SOLD]]*(IFERROR(VLOOKUP(Table28[[#This Row],[ROUTE]],PRICING!A:C,3,FALSE),0))</f>
        <v>0</v>
      </c>
      <c r="V759" s="316">
        <f>Table28[[#This Row],[SEAT REV]]-Table28[[#This Row],[SEAT REV
(IF IDEAL $)]]</f>
        <v>0</v>
      </c>
      <c r="AS759" s="16" t="s">
        <v>11732</v>
      </c>
      <c r="AT759" s="16" t="s">
        <v>16980</v>
      </c>
      <c r="AU759" s="16" t="s">
        <v>4316</v>
      </c>
      <c r="AV759" s="16" t="s">
        <v>18878</v>
      </c>
      <c r="AX759" s="16" t="s">
        <v>18933</v>
      </c>
      <c r="AY759" s="385">
        <v>14893</v>
      </c>
    </row>
    <row r="760" spans="1:51" x14ac:dyDescent="0.25">
      <c r="A760" s="16" t="s">
        <v>19547</v>
      </c>
      <c r="B760" s="16" t="s">
        <v>5380</v>
      </c>
      <c r="C760" s="16" t="s">
        <v>467</v>
      </c>
      <c r="D760" s="16">
        <v>3</v>
      </c>
      <c r="E760" s="16" t="s">
        <v>517</v>
      </c>
      <c r="F760" s="16" t="str">
        <f>VLOOKUP(Table28[[#This Row],[Country]],Table10[[COUNTRY NAME]:[CONTINENT CODE]],3,FALSE)</f>
        <v>SA</v>
      </c>
      <c r="G760" s="16" t="s">
        <v>13162</v>
      </c>
      <c r="H760" s="181">
        <v>13396</v>
      </c>
      <c r="I760" s="180">
        <v>31.5</v>
      </c>
      <c r="K760" s="316">
        <f>IFERROR(Table28[[#This Row],[ROUTE COST]]/Table28[[#This Row],[O - DEMAND]],0)</f>
        <v>0</v>
      </c>
      <c r="M760" s="16">
        <f>Table28[[#This Row],[O - DEMAND]]/950</f>
        <v>0</v>
      </c>
      <c r="N760" s="16">
        <f>IFERROR(VLOOKUP(Table28[[#This Row],[ROUTE]],DEMAND!A:F,5,FALSE),0)</f>
        <v>3131</v>
      </c>
      <c r="O760" s="16">
        <f>IFERROR(VLOOKUP(Table28[[#This Row],[ROUTE]],DEMAND!A:F,6,FALSE),0)</f>
        <v>281</v>
      </c>
      <c r="P760" s="16">
        <f>ROUNDDOWN(Table28[[#This Row],[R-DEMAND]]/950,0)</f>
        <v>0</v>
      </c>
      <c r="Q760" s="16">
        <f>Table28[[#This Row],[ADD ACC
(475/950)]]*Table28[[#This Row],[Duration
(A359)]]</f>
        <v>0</v>
      </c>
      <c r="R760" s="16">
        <f>IFERROR(VLOOKUP(Table28[[#This Row],[ROUTE]],PRICING!A:B,2,FALSE),0)</f>
        <v>0</v>
      </c>
      <c r="S760" s="16">
        <f>Table28[[#This Row],[C_DEMAND]]-Table28[[#This Row],[R-DEMAND]]</f>
        <v>2850</v>
      </c>
      <c r="T760" s="316">
        <f>Table28[[#This Row],[SEATS SOLD]]*Table28[[#This Row],[ECO SEAT]]</f>
        <v>0</v>
      </c>
      <c r="U760" s="316">
        <f>Table28[[#This Row],[SEATS SOLD]]*(IFERROR(VLOOKUP(Table28[[#This Row],[ROUTE]],PRICING!A:C,3,FALSE),0))</f>
        <v>0</v>
      </c>
      <c r="V760" s="316">
        <f>Table28[[#This Row],[SEAT REV]]-Table28[[#This Row],[SEAT REV
(IF IDEAL $)]]</f>
        <v>0</v>
      </c>
      <c r="AS760" s="16" t="s">
        <v>11732</v>
      </c>
      <c r="AT760" s="16" t="s">
        <v>13365</v>
      </c>
      <c r="AU760" s="16" t="s">
        <v>4389</v>
      </c>
      <c r="AV760" s="16" t="s">
        <v>18892</v>
      </c>
      <c r="AW760" s="16" t="s">
        <v>18879</v>
      </c>
      <c r="AX760" s="16" t="s">
        <v>18933</v>
      </c>
      <c r="AY760" s="385">
        <v>14895</v>
      </c>
    </row>
    <row r="761" spans="1:51" x14ac:dyDescent="0.25">
      <c r="A761" s="16" t="s">
        <v>19580</v>
      </c>
      <c r="B761" s="16" t="s">
        <v>937</v>
      </c>
      <c r="D761" s="16">
        <v>1</v>
      </c>
      <c r="E761" s="16" t="s">
        <v>11732</v>
      </c>
      <c r="F761" s="16" t="str">
        <f>VLOOKUP(Table28[[#This Row],[Country]],Table10[[COUNTRY NAME]:[CONTINENT CODE]],3,FALSE)</f>
        <v>NA - US</v>
      </c>
      <c r="G761" s="16" t="s">
        <v>13332</v>
      </c>
      <c r="H761" s="181">
        <v>13649</v>
      </c>
      <c r="I761" s="180">
        <v>32</v>
      </c>
      <c r="K761" s="316">
        <f>IFERROR(Table28[[#This Row],[ROUTE COST]]/Table28[[#This Row],[O - DEMAND]],0)</f>
        <v>0</v>
      </c>
      <c r="M761" s="180">
        <f>Table28[[#This Row],[O - DEMAND]]/950</f>
        <v>0</v>
      </c>
      <c r="N761" s="16">
        <f>IFERROR(VLOOKUP(Table28[[#This Row],[ROUTE]],DEMAND!A:F,5,FALSE),0)</f>
        <v>0</v>
      </c>
      <c r="O761" s="16">
        <f>IFERROR(VLOOKUP(Table28[[#This Row],[ROUTE]],DEMAND!A:F,6,FALSE),0)</f>
        <v>0</v>
      </c>
      <c r="P761" s="16">
        <f>ROUNDDOWN(Table28[[#This Row],[R-DEMAND]]/950,0)</f>
        <v>0</v>
      </c>
      <c r="Q761" s="16">
        <f>Table28[[#This Row],[ADD ACC
(475/950)]]*Table28[[#This Row],[Duration
(A359)]]</f>
        <v>0</v>
      </c>
      <c r="R761" s="16">
        <f>IFERROR(VLOOKUP(Table28[[#This Row],[ROUTE]],PRICING!A:B,2,FALSE),0)</f>
        <v>0</v>
      </c>
      <c r="S761" s="16">
        <f>Table28[[#This Row],[C_DEMAND]]-Table28[[#This Row],[R-DEMAND]]</f>
        <v>0</v>
      </c>
      <c r="T761" s="316">
        <f>Table28[[#This Row],[SEATS SOLD]]*Table28[[#This Row],[ECO SEAT]]</f>
        <v>0</v>
      </c>
      <c r="U761" s="316">
        <f>Table28[[#This Row],[SEATS SOLD]]*(IFERROR(VLOOKUP(Table28[[#This Row],[ROUTE]],PRICING!A:C,3,FALSE),0))</f>
        <v>0</v>
      </c>
      <c r="V761" s="316">
        <f>Table28[[#This Row],[SEAT REV]]-Table28[[#This Row],[SEAT REV
(IF IDEAL $)]]</f>
        <v>0</v>
      </c>
      <c r="AS761" s="16" t="s">
        <v>683</v>
      </c>
      <c r="AT761" s="16" t="s">
        <v>13189</v>
      </c>
      <c r="AU761" s="16" t="s">
        <v>2484</v>
      </c>
      <c r="AV761" s="16" t="s">
        <v>18881</v>
      </c>
      <c r="AW761" s="16" t="s">
        <v>18890</v>
      </c>
      <c r="AX761" s="16" t="s">
        <v>18933</v>
      </c>
      <c r="AY761" s="385">
        <v>14904</v>
      </c>
    </row>
    <row r="762" spans="1:51" x14ac:dyDescent="0.25">
      <c r="A762" s="16" t="s">
        <v>19643</v>
      </c>
      <c r="B762" s="16" t="s">
        <v>2555</v>
      </c>
      <c r="D762" s="16">
        <v>2</v>
      </c>
      <c r="E762" s="16" t="s">
        <v>1216</v>
      </c>
      <c r="F762" s="16" t="str">
        <f>VLOOKUP(Table28[[#This Row],[Country]],Table10[[COUNTRY NAME]:[CONTINENT CODE]],3,FALSE)</f>
        <v>AS</v>
      </c>
      <c r="G762" s="16" t="s">
        <v>11883</v>
      </c>
      <c r="H762" s="181">
        <v>14083</v>
      </c>
      <c r="I762" s="180">
        <v>33</v>
      </c>
      <c r="K762" s="316">
        <f>IFERROR(Table28[[#This Row],[ROUTE COST]]/Table28[[#This Row],[O - DEMAND]],0)</f>
        <v>0</v>
      </c>
      <c r="M762" s="16">
        <f>Table28[[#This Row],[O - DEMAND]]/950</f>
        <v>0</v>
      </c>
      <c r="N762" s="16">
        <f>IFERROR(VLOOKUP(Table28[[#This Row],[ROUTE]],DEMAND!A:F,5,FALSE),0)</f>
        <v>0</v>
      </c>
      <c r="O762" s="16">
        <f>IFERROR(VLOOKUP(Table28[[#This Row],[ROUTE]],DEMAND!A:F,6,FALSE),0)</f>
        <v>0</v>
      </c>
      <c r="P762" s="16">
        <f>ROUNDDOWN(Table28[[#This Row],[R-DEMAND]]/950,0)</f>
        <v>0</v>
      </c>
      <c r="Q762" s="16">
        <f>Table28[[#This Row],[ADD ACC
(475/950)]]*Table28[[#This Row],[Duration
(A359)]]</f>
        <v>0</v>
      </c>
      <c r="R762" s="16">
        <f>IFERROR(VLOOKUP(Table28[[#This Row],[ROUTE]],PRICING!A:B,2,FALSE),0)</f>
        <v>0</v>
      </c>
      <c r="S762" s="16">
        <f>Table28[[#This Row],[C_DEMAND]]-Table28[[#This Row],[R-DEMAND]]</f>
        <v>0</v>
      </c>
      <c r="T762" s="316">
        <f>Table28[[#This Row],[SEATS SOLD]]*Table28[[#This Row],[ECO SEAT]]</f>
        <v>0</v>
      </c>
      <c r="U762" s="316">
        <f>Table28[[#This Row],[SEATS SOLD]]*(IFERROR(VLOOKUP(Table28[[#This Row],[ROUTE]],PRICING!A:C,3,FALSE),0))</f>
        <v>0</v>
      </c>
      <c r="V762" s="316">
        <f>Table28[[#This Row],[SEAT REV]]-Table28[[#This Row],[SEAT REV
(IF IDEAL $)]]</f>
        <v>0</v>
      </c>
      <c r="AS762" s="16" t="s">
        <v>722</v>
      </c>
      <c r="AT762" s="16" t="s">
        <v>11850</v>
      </c>
      <c r="AU762" s="16" t="s">
        <v>4985</v>
      </c>
      <c r="AV762" s="16" t="s">
        <v>18892</v>
      </c>
      <c r="AW762" s="16" t="s">
        <v>18885</v>
      </c>
      <c r="AX762" s="16" t="s">
        <v>18933</v>
      </c>
      <c r="AY762" s="385">
        <v>14905</v>
      </c>
    </row>
    <row r="763" spans="1:51" x14ac:dyDescent="0.25">
      <c r="A763" s="16" t="s">
        <v>19279</v>
      </c>
      <c r="B763" s="16" t="s">
        <v>743</v>
      </c>
      <c r="D763" s="16">
        <v>1</v>
      </c>
      <c r="E763" s="16" t="s">
        <v>11669</v>
      </c>
      <c r="F763" s="16" t="str">
        <f>VLOOKUP(Table28[[#This Row],[Country]],Table10[[COUNTRY NAME]:[CONTINENT CODE]],3,FALSE)</f>
        <v>SA</v>
      </c>
      <c r="G763" s="16" t="s">
        <v>16929</v>
      </c>
      <c r="H763" s="181">
        <v>10993</v>
      </c>
      <c r="I763" s="180">
        <v>26.25</v>
      </c>
      <c r="K763" s="316">
        <f>IFERROR(Table28[[#This Row],[ROUTE COST]]/Table28[[#This Row],[O - DEMAND]],0)</f>
        <v>0</v>
      </c>
      <c r="M763" s="16">
        <f>Table28[[#This Row],[O - DEMAND]]/950</f>
        <v>0</v>
      </c>
      <c r="N763" s="16">
        <f>IFERROR(VLOOKUP(Table28[[#This Row],[ROUTE]],DEMAND!A:F,5,FALSE),0)</f>
        <v>0</v>
      </c>
      <c r="O763" s="16">
        <f>IFERROR(VLOOKUP(Table28[[#This Row],[ROUTE]],DEMAND!A:F,6,FALSE),0)</f>
        <v>0</v>
      </c>
      <c r="P763" s="16">
        <f>ROUNDDOWN(Table28[[#This Row],[R-DEMAND]]/950,0)</f>
        <v>0</v>
      </c>
      <c r="Q763" s="16">
        <f>Table28[[#This Row],[ADD ACC
(475/950)]]*Table28[[#This Row],[Duration
(A359)]]</f>
        <v>0</v>
      </c>
      <c r="R763" s="16">
        <f>IFERROR(VLOOKUP(Table28[[#This Row],[ROUTE]],PRICING!A:B,2,FALSE),0)</f>
        <v>0</v>
      </c>
      <c r="S763" s="16">
        <f>Table28[[#This Row],[C_DEMAND]]-Table28[[#This Row],[R-DEMAND]]</f>
        <v>0</v>
      </c>
      <c r="T763" s="316">
        <f>Table28[[#This Row],[SEATS SOLD]]*Table28[[#This Row],[ECO SEAT]]</f>
        <v>0</v>
      </c>
      <c r="U763" s="316">
        <f>Table28[[#This Row],[SEATS SOLD]]*(IFERROR(VLOOKUP(Table28[[#This Row],[ROUTE]],PRICING!A:C,3,FALSE),0))</f>
        <v>0</v>
      </c>
      <c r="V763" s="316">
        <f>Table28[[#This Row],[SEAT REV]]-Table28[[#This Row],[SEAT REV
(IF IDEAL $)]]</f>
        <v>0</v>
      </c>
      <c r="AS763" s="16" t="s">
        <v>11732</v>
      </c>
      <c r="AT763" s="16" t="s">
        <v>13366</v>
      </c>
      <c r="AU763" s="16" t="s">
        <v>5647</v>
      </c>
      <c r="AV763" s="16" t="s">
        <v>18884</v>
      </c>
      <c r="AW763" s="16" t="s">
        <v>18899</v>
      </c>
      <c r="AX763" s="16" t="s">
        <v>18933</v>
      </c>
      <c r="AY763" s="385">
        <v>14912</v>
      </c>
    </row>
    <row r="764" spans="1:51" x14ac:dyDescent="0.25">
      <c r="A764" s="16" t="s">
        <v>19467</v>
      </c>
      <c r="B764" s="16" t="s">
        <v>1598</v>
      </c>
      <c r="D764" s="16">
        <v>1</v>
      </c>
      <c r="E764" s="16" t="s">
        <v>644</v>
      </c>
      <c r="F764" s="16" t="str">
        <f>VLOOKUP(Table28[[#This Row],[Country]],Table10[[COUNTRY NAME]:[CONTINENT CODE]],3,FALSE)</f>
        <v>AF</v>
      </c>
      <c r="G764" s="16" t="s">
        <v>11848</v>
      </c>
      <c r="H764" s="181">
        <v>12912</v>
      </c>
      <c r="I764" s="180">
        <v>30.5</v>
      </c>
      <c r="K764" s="316">
        <f>IFERROR(Table28[[#This Row],[ROUTE COST]]/Table28[[#This Row],[O - DEMAND]],0)</f>
        <v>0</v>
      </c>
      <c r="M764" s="16">
        <f>Table28[[#This Row],[O - DEMAND]]/950</f>
        <v>0</v>
      </c>
      <c r="N764" s="16">
        <f>IFERROR(VLOOKUP(Table28[[#This Row],[ROUTE]],DEMAND!A:F,5,FALSE),0)</f>
        <v>0</v>
      </c>
      <c r="O764" s="16">
        <f>IFERROR(VLOOKUP(Table28[[#This Row],[ROUTE]],DEMAND!A:F,6,FALSE),0)</f>
        <v>0</v>
      </c>
      <c r="P764" s="16">
        <f>ROUNDDOWN(Table28[[#This Row],[R-DEMAND]]/950,0)</f>
        <v>0</v>
      </c>
      <c r="Q764" s="16">
        <f>Table28[[#This Row],[ADD ACC
(475/950)]]*Table28[[#This Row],[Duration
(A359)]]</f>
        <v>0</v>
      </c>
      <c r="R764" s="16">
        <f>IFERROR(VLOOKUP(Table28[[#This Row],[ROUTE]],PRICING!A:B,2,FALSE),0)</f>
        <v>0</v>
      </c>
      <c r="S764" s="16">
        <f>Table28[[#This Row],[C_DEMAND]]-Table28[[#This Row],[R-DEMAND]]</f>
        <v>0</v>
      </c>
      <c r="T764" s="316">
        <f>Table28[[#This Row],[SEATS SOLD]]*Table28[[#This Row],[ECO SEAT]]</f>
        <v>0</v>
      </c>
      <c r="U764" s="316">
        <f>Table28[[#This Row],[SEATS SOLD]]*(IFERROR(VLOOKUP(Table28[[#This Row],[ROUTE]],PRICING!A:C,3,FALSE),0))</f>
        <v>0</v>
      </c>
      <c r="V764" s="316">
        <f>Table28[[#This Row],[SEAT REV]]-Table28[[#This Row],[SEAT REV
(IF IDEAL $)]]</f>
        <v>0</v>
      </c>
      <c r="AS764" s="16" t="s">
        <v>597</v>
      </c>
      <c r="AT764" s="16" t="s">
        <v>11851</v>
      </c>
      <c r="AU764" s="16" t="s">
        <v>5219</v>
      </c>
      <c r="AV764" s="16" t="s">
        <v>18884</v>
      </c>
      <c r="AW764" s="16" t="s">
        <v>18885</v>
      </c>
      <c r="AX764" s="16" t="s">
        <v>18933</v>
      </c>
      <c r="AY764" s="385">
        <v>14915</v>
      </c>
    </row>
    <row r="765" spans="1:51" x14ac:dyDescent="0.25">
      <c r="A765" s="16" t="s">
        <v>19701</v>
      </c>
      <c r="B765" s="16" t="s">
        <v>5511</v>
      </c>
      <c r="C765" s="16" t="s">
        <v>467</v>
      </c>
      <c r="D765" s="16">
        <v>4</v>
      </c>
      <c r="E765" s="16" t="s">
        <v>78</v>
      </c>
      <c r="F765" s="16" t="str">
        <f>VLOOKUP(Table28[[#This Row],[Country]],Table10[[COUNTRY NAME]:[CONTINENT CODE]],3,FALSE)</f>
        <v>EU</v>
      </c>
      <c r="G765" s="16" t="s">
        <v>11030</v>
      </c>
      <c r="H765" s="181">
        <v>14525</v>
      </c>
      <c r="I765" s="180">
        <v>34</v>
      </c>
      <c r="K765" s="316">
        <f>IFERROR(Table28[[#This Row],[ROUTE COST]]/Table28[[#This Row],[O - DEMAND]],0)</f>
        <v>0</v>
      </c>
      <c r="M765" s="16">
        <f>Table28[[#This Row],[O - DEMAND]]/950</f>
        <v>0</v>
      </c>
      <c r="N765" s="16">
        <f>IFERROR(VLOOKUP(Table28[[#This Row],[ROUTE]],DEMAND!A:F,5,FALSE),0)</f>
        <v>2420</v>
      </c>
      <c r="O765" s="16">
        <f>IFERROR(VLOOKUP(Table28[[#This Row],[ROUTE]],DEMAND!A:F,6,FALSE),0)</f>
        <v>520</v>
      </c>
      <c r="P765" s="16">
        <f>ROUNDDOWN(Table28[[#This Row],[R-DEMAND]]/950,0)</f>
        <v>0</v>
      </c>
      <c r="Q765" s="16">
        <f>Table28[[#This Row],[ADD ACC
(475/950)]]*Table28[[#This Row],[Duration
(A359)]]</f>
        <v>0</v>
      </c>
      <c r="R765" s="16">
        <f>IFERROR(VLOOKUP(Table28[[#This Row],[ROUTE]],PRICING!A:B,2,FALSE),0)</f>
        <v>0</v>
      </c>
      <c r="S765" s="16">
        <f>Table28[[#This Row],[C_DEMAND]]-Table28[[#This Row],[R-DEMAND]]</f>
        <v>1900</v>
      </c>
      <c r="T765" s="316">
        <f>Table28[[#This Row],[SEATS SOLD]]*Table28[[#This Row],[ECO SEAT]]</f>
        <v>0</v>
      </c>
      <c r="U765" s="316">
        <f>Table28[[#This Row],[SEATS SOLD]]*(IFERROR(VLOOKUP(Table28[[#This Row],[ROUTE]],PRICING!A:C,3,FALSE),0))</f>
        <v>0</v>
      </c>
      <c r="V765" s="316">
        <f>Table28[[#This Row],[SEAT REV]]-Table28[[#This Row],[SEAT REV
(IF IDEAL $)]]</f>
        <v>0</v>
      </c>
      <c r="AS765" s="16" t="s">
        <v>1959</v>
      </c>
      <c r="AT765" s="16" t="s">
        <v>16881</v>
      </c>
      <c r="AU765" s="16" t="s">
        <v>1961</v>
      </c>
      <c r="AV765" s="16" t="s">
        <v>18878</v>
      </c>
      <c r="AW765" s="16" t="s">
        <v>18890</v>
      </c>
      <c r="AX765" s="16" t="s">
        <v>18924</v>
      </c>
      <c r="AY765" s="385">
        <v>14922</v>
      </c>
    </row>
    <row r="766" spans="1:51" x14ac:dyDescent="0.25">
      <c r="A766" s="16" t="s">
        <v>19008</v>
      </c>
      <c r="B766" s="16" t="s">
        <v>3023</v>
      </c>
      <c r="D766" s="16">
        <v>2</v>
      </c>
      <c r="E766" s="16" t="s">
        <v>2680</v>
      </c>
      <c r="F766" s="16" t="str">
        <f>VLOOKUP(Table28[[#This Row],[Country]],Table10[[COUNTRY NAME]:[CONTINENT CODE]],3,FALSE)</f>
        <v>OC</v>
      </c>
      <c r="G766" s="16" t="s">
        <v>16830</v>
      </c>
      <c r="H766" s="181">
        <v>2484</v>
      </c>
      <c r="I766" s="180">
        <v>7.5</v>
      </c>
      <c r="K766" s="316">
        <f>IFERROR(Table28[[#This Row],[ROUTE COST]]/Table28[[#This Row],[O - DEMAND]],0)</f>
        <v>0</v>
      </c>
      <c r="M766" s="16">
        <f>Table28[[#This Row],[O - DEMAND]]/950</f>
        <v>0</v>
      </c>
      <c r="N766" s="16">
        <f>IFERROR(VLOOKUP(Table28[[#This Row],[ROUTE]],DEMAND!A:F,5,FALSE),0)</f>
        <v>0</v>
      </c>
      <c r="O766" s="16">
        <f>IFERROR(VLOOKUP(Table28[[#This Row],[ROUTE]],DEMAND!A:F,6,FALSE),0)</f>
        <v>0</v>
      </c>
      <c r="P766" s="16">
        <f>ROUNDDOWN(Table28[[#This Row],[R-DEMAND]]/950,0)</f>
        <v>0</v>
      </c>
      <c r="Q766" s="16">
        <f>Table28[[#This Row],[ADD ACC
(475/950)]]*Table28[[#This Row],[Duration
(A359)]]</f>
        <v>0</v>
      </c>
      <c r="R766" s="16">
        <f>IFERROR(VLOOKUP(Table28[[#This Row],[ROUTE]],PRICING!A:B,2,FALSE),0)</f>
        <v>0</v>
      </c>
      <c r="S766" s="16">
        <f>Table28[[#This Row],[C_DEMAND]]-Table28[[#This Row],[R-DEMAND]]</f>
        <v>0</v>
      </c>
      <c r="T766" s="316">
        <f>Table28[[#This Row],[SEATS SOLD]]*Table28[[#This Row],[ECO SEAT]]</f>
        <v>0</v>
      </c>
      <c r="U766" s="316">
        <f>Table28[[#This Row],[SEATS SOLD]]*(IFERROR(VLOOKUP(Table28[[#This Row],[ROUTE]],PRICING!A:C,3,FALSE),0))</f>
        <v>0</v>
      </c>
      <c r="V766" s="316">
        <f>Table28[[#This Row],[SEAT REV]]-Table28[[#This Row],[SEAT REV
(IF IDEAL $)]]</f>
        <v>0</v>
      </c>
      <c r="AS766" s="16" t="s">
        <v>700</v>
      </c>
      <c r="AT766" s="16" t="s">
        <v>11044</v>
      </c>
      <c r="AU766" s="16" t="s">
        <v>5457</v>
      </c>
      <c r="AV766" s="16" t="s">
        <v>18892</v>
      </c>
      <c r="AW766" s="16" t="s">
        <v>18899</v>
      </c>
      <c r="AX766" s="16" t="s">
        <v>18924</v>
      </c>
      <c r="AY766" s="385">
        <v>14922</v>
      </c>
    </row>
    <row r="767" spans="1:51" x14ac:dyDescent="0.25">
      <c r="A767" s="16" t="s">
        <v>19427</v>
      </c>
      <c r="B767" s="16" t="s">
        <v>3371</v>
      </c>
      <c r="D767" s="16">
        <v>2</v>
      </c>
      <c r="E767" s="16" t="s">
        <v>644</v>
      </c>
      <c r="F767" s="16" t="str">
        <f>VLOOKUP(Table28[[#This Row],[Country]],Table10[[COUNTRY NAME]:[CONTINENT CODE]],3,FALSE)</f>
        <v>AF</v>
      </c>
      <c r="G767" s="16" t="s">
        <v>11831</v>
      </c>
      <c r="H767" s="181">
        <v>12646</v>
      </c>
      <c r="I767" s="180">
        <v>30</v>
      </c>
      <c r="K767" s="316">
        <f>IFERROR(Table28[[#This Row],[ROUTE COST]]/Table28[[#This Row],[O - DEMAND]],0)</f>
        <v>0</v>
      </c>
      <c r="M767" s="16">
        <f>Table28[[#This Row],[O - DEMAND]]/950</f>
        <v>0</v>
      </c>
      <c r="N767" s="16">
        <f>IFERROR(VLOOKUP(Table28[[#This Row],[ROUTE]],DEMAND!A:F,5,FALSE),0)</f>
        <v>0</v>
      </c>
      <c r="O767" s="16">
        <f>IFERROR(VLOOKUP(Table28[[#This Row],[ROUTE]],DEMAND!A:F,6,FALSE),0)</f>
        <v>0</v>
      </c>
      <c r="P767" s="16">
        <f>ROUNDDOWN(Table28[[#This Row],[R-DEMAND]]/950,0)</f>
        <v>0</v>
      </c>
      <c r="Q767" s="16">
        <f>Table28[[#This Row],[ADD ACC
(475/950)]]*Table28[[#This Row],[Duration
(A359)]]</f>
        <v>0</v>
      </c>
      <c r="R767" s="16">
        <f>IFERROR(VLOOKUP(Table28[[#This Row],[ROUTE]],PRICING!A:B,2,FALSE),0)</f>
        <v>0</v>
      </c>
      <c r="S767" s="16">
        <f>Table28[[#This Row],[C_DEMAND]]-Table28[[#This Row],[R-DEMAND]]</f>
        <v>0</v>
      </c>
      <c r="T767" s="316">
        <f>Table28[[#This Row],[SEATS SOLD]]*Table28[[#This Row],[ECO SEAT]]</f>
        <v>0</v>
      </c>
      <c r="U767" s="316">
        <f>Table28[[#This Row],[SEATS SOLD]]*(IFERROR(VLOOKUP(Table28[[#This Row],[ROUTE]],PRICING!A:C,3,FALSE),0))</f>
        <v>0</v>
      </c>
      <c r="V767" s="316">
        <f>Table28[[#This Row],[SEAT REV]]-Table28[[#This Row],[SEAT REV
(IF IDEAL $)]]</f>
        <v>0</v>
      </c>
      <c r="AS767" s="16" t="s">
        <v>11732</v>
      </c>
      <c r="AT767" s="16" t="s">
        <v>13371</v>
      </c>
      <c r="AU767" s="16" t="s">
        <v>5491</v>
      </c>
      <c r="AV767" s="16" t="s">
        <v>18884</v>
      </c>
      <c r="AW767" s="16" t="s">
        <v>18899</v>
      </c>
      <c r="AX767" s="16" t="s">
        <v>18924</v>
      </c>
      <c r="AY767" s="385">
        <v>14923</v>
      </c>
    </row>
    <row r="768" spans="1:51" x14ac:dyDescent="0.25">
      <c r="A768" s="16" t="s">
        <v>19718</v>
      </c>
      <c r="B768" s="16" t="s">
        <v>4371</v>
      </c>
      <c r="D768" s="16">
        <v>2</v>
      </c>
      <c r="E768" s="16" t="s">
        <v>11732</v>
      </c>
      <c r="F768" s="16" t="str">
        <f>VLOOKUP(Table28[[#This Row],[Country]],Table10[[COUNTRY NAME]:[CONTINENT CODE]],3,FALSE)</f>
        <v>NA - US</v>
      </c>
      <c r="G768" s="16" t="s">
        <v>13360</v>
      </c>
      <c r="H768" s="181">
        <v>14648</v>
      </c>
      <c r="I768" s="180">
        <v>34.25</v>
      </c>
      <c r="K768" s="316">
        <f>IFERROR(Table28[[#This Row],[ROUTE COST]]/Table28[[#This Row],[O - DEMAND]],0)</f>
        <v>0</v>
      </c>
      <c r="M768" s="180">
        <f>Table28[[#This Row],[O - DEMAND]]/950</f>
        <v>0</v>
      </c>
      <c r="N768" s="16">
        <f>IFERROR(VLOOKUP(Table28[[#This Row],[ROUTE]],DEMAND!A:F,5,FALSE),0)</f>
        <v>0</v>
      </c>
      <c r="O768" s="16">
        <f>IFERROR(VLOOKUP(Table28[[#This Row],[ROUTE]],DEMAND!A:F,6,FALSE),0)</f>
        <v>0</v>
      </c>
      <c r="P768" s="16">
        <f>ROUNDDOWN(Table28[[#This Row],[R-DEMAND]]/950,0)</f>
        <v>0</v>
      </c>
      <c r="Q768" s="16">
        <f>Table28[[#This Row],[ADD ACC
(475/950)]]*Table28[[#This Row],[Duration
(A359)]]</f>
        <v>0</v>
      </c>
      <c r="R768" s="16">
        <f>IFERROR(VLOOKUP(Table28[[#This Row],[ROUTE]],PRICING!A:B,2,FALSE),0)</f>
        <v>0</v>
      </c>
      <c r="S768" s="16">
        <f>Table28[[#This Row],[C_DEMAND]]-Table28[[#This Row],[R-DEMAND]]</f>
        <v>0</v>
      </c>
      <c r="T768" s="316">
        <f>Table28[[#This Row],[SEATS SOLD]]*Table28[[#This Row],[ECO SEAT]]</f>
        <v>0</v>
      </c>
      <c r="U768" s="316">
        <f>Table28[[#This Row],[SEATS SOLD]]*(IFERROR(VLOOKUP(Table28[[#This Row],[ROUTE]],PRICING!A:C,3,FALSE),0))</f>
        <v>0</v>
      </c>
      <c r="V768" s="316">
        <f>Table28[[#This Row],[SEAT REV]]-Table28[[#This Row],[SEAT REV
(IF IDEAL $)]]</f>
        <v>0</v>
      </c>
      <c r="AS768" s="16" t="s">
        <v>722</v>
      </c>
      <c r="AT768" s="16" t="s">
        <v>11845</v>
      </c>
      <c r="AU768" s="16" t="s">
        <v>5419</v>
      </c>
      <c r="AV768" s="16" t="s">
        <v>18884</v>
      </c>
      <c r="AW768" s="16" t="s">
        <v>18885</v>
      </c>
      <c r="AX768" s="16" t="s">
        <v>18924</v>
      </c>
      <c r="AY768" s="385">
        <v>14924</v>
      </c>
    </row>
    <row r="769" spans="1:51" x14ac:dyDescent="0.25">
      <c r="A769" s="16" t="s">
        <v>19737</v>
      </c>
      <c r="B769" s="16" t="s">
        <v>4729</v>
      </c>
      <c r="D769" s="16">
        <v>2</v>
      </c>
      <c r="E769" s="16" t="s">
        <v>683</v>
      </c>
      <c r="F769" s="16" t="str">
        <f>VLOOKUP(Table28[[#This Row],[Country]],Table10[[COUNTRY NAME]:[CONTINENT CODE]],3,FALSE)</f>
        <v>NA</v>
      </c>
      <c r="G769" s="16" t="s">
        <v>13187</v>
      </c>
      <c r="H769" s="181">
        <v>14793</v>
      </c>
      <c r="I769" s="180">
        <v>34.5</v>
      </c>
      <c r="K769" s="316">
        <f>IFERROR(Table28[[#This Row],[ROUTE COST]]/Table28[[#This Row],[O - DEMAND]],0)</f>
        <v>0</v>
      </c>
      <c r="M769" s="16">
        <f>Table28[[#This Row],[O - DEMAND]]/950</f>
        <v>0</v>
      </c>
      <c r="N769" s="16">
        <f>IFERROR(VLOOKUP(Table28[[#This Row],[ROUTE]],DEMAND!A:F,5,FALSE),0)</f>
        <v>0</v>
      </c>
      <c r="O769" s="16">
        <f>IFERROR(VLOOKUP(Table28[[#This Row],[ROUTE]],DEMAND!A:F,6,FALSE),0)</f>
        <v>0</v>
      </c>
      <c r="P769" s="16">
        <f>ROUNDDOWN(Table28[[#This Row],[R-DEMAND]]/950,0)</f>
        <v>0</v>
      </c>
      <c r="Q769" s="16">
        <f>Table28[[#This Row],[ADD ACC
(475/950)]]*Table28[[#This Row],[Duration
(A359)]]</f>
        <v>0</v>
      </c>
      <c r="R769" s="16">
        <f>IFERROR(VLOOKUP(Table28[[#This Row],[ROUTE]],PRICING!A:B,2,FALSE),0)</f>
        <v>0</v>
      </c>
      <c r="S769" s="16">
        <f>Table28[[#This Row],[C_DEMAND]]-Table28[[#This Row],[R-DEMAND]]</f>
        <v>0</v>
      </c>
      <c r="T769" s="316">
        <f>Table28[[#This Row],[SEATS SOLD]]*Table28[[#This Row],[ECO SEAT]]</f>
        <v>0</v>
      </c>
      <c r="U769" s="316">
        <f>Table28[[#This Row],[SEATS SOLD]]*(IFERROR(VLOOKUP(Table28[[#This Row],[ROUTE]],PRICING!A:C,3,FALSE),0))</f>
        <v>0</v>
      </c>
      <c r="V769" s="316">
        <f>Table28[[#This Row],[SEAT REV]]-Table28[[#This Row],[SEAT REV
(IF IDEAL $)]]</f>
        <v>0</v>
      </c>
      <c r="AS769" s="16" t="s">
        <v>11782</v>
      </c>
      <c r="AT769" s="16" t="s">
        <v>11803</v>
      </c>
      <c r="AU769" s="16" t="s">
        <v>1769</v>
      </c>
      <c r="AV769" s="16" t="s">
        <v>18884</v>
      </c>
      <c r="AW769" s="16" t="s">
        <v>18890</v>
      </c>
      <c r="AX769" s="16" t="s">
        <v>18924</v>
      </c>
      <c r="AY769" s="385">
        <v>14925</v>
      </c>
    </row>
    <row r="770" spans="1:51" x14ac:dyDescent="0.25">
      <c r="A770" s="16" t="s">
        <v>19093</v>
      </c>
      <c r="B770" s="16" t="s">
        <v>3996</v>
      </c>
      <c r="D770" s="16">
        <v>2</v>
      </c>
      <c r="E770" s="16" t="s">
        <v>974</v>
      </c>
      <c r="F770" s="16" t="str">
        <f>VLOOKUP(Table28[[#This Row],[Country]],Table10[[COUNTRY NAME]:[CONTINENT CODE]],3,FALSE)</f>
        <v>AS</v>
      </c>
      <c r="G770" s="16" t="s">
        <v>12092</v>
      </c>
      <c r="H770" s="181">
        <v>7737</v>
      </c>
      <c r="I770" s="180">
        <v>19</v>
      </c>
      <c r="K770" s="316">
        <f>IFERROR(Table28[[#This Row],[ROUTE COST]]/Table28[[#This Row],[O - DEMAND]],0)</f>
        <v>0</v>
      </c>
      <c r="M770" s="16">
        <f>Table28[[#This Row],[O - DEMAND]]/950</f>
        <v>0</v>
      </c>
      <c r="N770" s="16">
        <f>IFERROR(VLOOKUP(Table28[[#This Row],[ROUTE]],DEMAND!A:F,5,FALSE),0)</f>
        <v>0</v>
      </c>
      <c r="O770" s="16">
        <f>IFERROR(VLOOKUP(Table28[[#This Row],[ROUTE]],DEMAND!A:F,6,FALSE),0)</f>
        <v>0</v>
      </c>
      <c r="P770" s="16">
        <f>ROUNDDOWN(Table28[[#This Row],[R-DEMAND]]/950,0)</f>
        <v>0</v>
      </c>
      <c r="Q770" s="16">
        <f>Table28[[#This Row],[ADD ACC
(475/950)]]*Table28[[#This Row],[Duration
(A359)]]</f>
        <v>0</v>
      </c>
      <c r="R770" s="16">
        <f>IFERROR(VLOOKUP(Table28[[#This Row],[ROUTE]],PRICING!A:B,2,FALSE),0)</f>
        <v>0</v>
      </c>
      <c r="S770" s="16">
        <f>Table28[[#This Row],[C_DEMAND]]-Table28[[#This Row],[R-DEMAND]]</f>
        <v>0</v>
      </c>
      <c r="T770" s="316">
        <f>Table28[[#This Row],[SEATS SOLD]]*Table28[[#This Row],[ECO SEAT]]</f>
        <v>0</v>
      </c>
      <c r="U770" s="316">
        <f>Table28[[#This Row],[SEATS SOLD]]*(IFERROR(VLOOKUP(Table28[[#This Row],[ROUTE]],PRICING!A:C,3,FALSE),0))</f>
        <v>0</v>
      </c>
      <c r="V770" s="316">
        <f>Table28[[#This Row],[SEAT REV]]-Table28[[#This Row],[SEAT REV
(IF IDEAL $)]]</f>
        <v>0</v>
      </c>
      <c r="AS770" s="16" t="s">
        <v>78</v>
      </c>
      <c r="AT770" s="16" t="s">
        <v>11832</v>
      </c>
      <c r="AU770" s="16" t="s">
        <v>204</v>
      </c>
      <c r="AV770" s="16" t="s">
        <v>18884</v>
      </c>
      <c r="AW770" s="16" t="s">
        <v>18885</v>
      </c>
      <c r="AX770" s="16" t="s">
        <v>18924</v>
      </c>
      <c r="AY770" s="385">
        <v>14925</v>
      </c>
    </row>
    <row r="771" spans="1:51" x14ac:dyDescent="0.25">
      <c r="A771" s="16" t="s">
        <v>19200</v>
      </c>
      <c r="B771" s="16" t="s">
        <v>24</v>
      </c>
      <c r="D771" s="16">
        <v>2</v>
      </c>
      <c r="E771" s="16" t="s">
        <v>1070</v>
      </c>
      <c r="F771" s="16" t="str">
        <f>VLOOKUP(Table28[[#This Row],[Country]],Table10[[COUNTRY NAME]:[CONTINENT CODE]],3,FALSE)</f>
        <v>AS</v>
      </c>
      <c r="G771" s="16" t="s">
        <v>6654</v>
      </c>
      <c r="H771" s="181">
        <v>9201</v>
      </c>
      <c r="I771" s="180">
        <v>22.25</v>
      </c>
      <c r="K771" s="316">
        <f>IFERROR(Table28[[#This Row],[ROUTE COST]]/Table28[[#This Row],[O - DEMAND]],0)</f>
        <v>0</v>
      </c>
      <c r="M771" s="16">
        <f>Table28[[#This Row],[O - DEMAND]]/950</f>
        <v>0</v>
      </c>
      <c r="N771" s="16">
        <f>IFERROR(VLOOKUP(Table28[[#This Row],[ROUTE]],DEMAND!A:F,5,FALSE),0)</f>
        <v>0</v>
      </c>
      <c r="O771" s="16">
        <f>IFERROR(VLOOKUP(Table28[[#This Row],[ROUTE]],DEMAND!A:F,6,FALSE),0)</f>
        <v>0</v>
      </c>
      <c r="P771" s="16">
        <f>ROUNDDOWN(Table28[[#This Row],[R-DEMAND]]/950,0)</f>
        <v>0</v>
      </c>
      <c r="Q771" s="16">
        <f>Table28[[#This Row],[ADD ACC
(475/950)]]*Table28[[#This Row],[Duration
(A359)]]</f>
        <v>0</v>
      </c>
      <c r="R771" s="16">
        <f>IFERROR(VLOOKUP(Table28[[#This Row],[ROUTE]],PRICING!A:B,2,FALSE),0)</f>
        <v>0</v>
      </c>
      <c r="S771" s="16">
        <f>Table28[[#This Row],[C_DEMAND]]-Table28[[#This Row],[R-DEMAND]]</f>
        <v>0</v>
      </c>
      <c r="T771" s="316">
        <f>Table28[[#This Row],[SEATS SOLD]]*Table28[[#This Row],[ECO SEAT]]</f>
        <v>0</v>
      </c>
      <c r="U771" s="316">
        <f>Table28[[#This Row],[SEATS SOLD]]*(IFERROR(VLOOKUP(Table28[[#This Row],[ROUTE]],PRICING!A:C,3,FALSE),0))</f>
        <v>0</v>
      </c>
      <c r="V771" s="316">
        <f>Table28[[#This Row],[SEAT REV]]-Table28[[#This Row],[SEAT REV
(IF IDEAL $)]]</f>
        <v>0</v>
      </c>
      <c r="AS771" s="16" t="s">
        <v>11732</v>
      </c>
      <c r="AT771" s="16" t="s">
        <v>13354</v>
      </c>
      <c r="AU771" s="16" t="s">
        <v>5768</v>
      </c>
      <c r="AV771" s="16" t="s">
        <v>18884</v>
      </c>
      <c r="AW771" s="16" t="s">
        <v>18918</v>
      </c>
      <c r="AX771" s="16" t="s">
        <v>18924</v>
      </c>
      <c r="AY771" s="385">
        <v>14947</v>
      </c>
    </row>
    <row r="772" spans="1:51" x14ac:dyDescent="0.25">
      <c r="A772" s="16" t="s">
        <v>19522</v>
      </c>
      <c r="B772" s="16" t="s">
        <v>4464</v>
      </c>
      <c r="C772" s="16" t="s">
        <v>467</v>
      </c>
      <c r="D772" s="16">
        <v>2</v>
      </c>
      <c r="E772" s="16" t="s">
        <v>1144</v>
      </c>
      <c r="F772" s="16" t="str">
        <f>VLOOKUP(Table28[[#This Row],[Country]],Table10[[COUNTRY NAME]:[CONTINENT CODE]],3,FALSE)</f>
        <v>SA</v>
      </c>
      <c r="G772" s="16" t="s">
        <v>13153</v>
      </c>
      <c r="H772" s="181">
        <v>13227</v>
      </c>
      <c r="I772" s="180">
        <v>31.25</v>
      </c>
      <c r="K772" s="316">
        <f>IFERROR(Table28[[#This Row],[ROUTE COST]]/Table28[[#This Row],[O - DEMAND]],0)</f>
        <v>0</v>
      </c>
      <c r="M772" s="16">
        <f>Table28[[#This Row],[O - DEMAND]]/950</f>
        <v>0</v>
      </c>
      <c r="N772" s="16">
        <f>IFERROR(VLOOKUP(Table28[[#This Row],[ROUTE]],DEMAND!A:F,5,FALSE),0)</f>
        <v>3043</v>
      </c>
      <c r="O772" s="16">
        <f>IFERROR(VLOOKUP(Table28[[#This Row],[ROUTE]],DEMAND!A:F,6,FALSE),0)</f>
        <v>193</v>
      </c>
      <c r="P772" s="16">
        <f>ROUNDDOWN(Table28[[#This Row],[R-DEMAND]]/950,0)</f>
        <v>0</v>
      </c>
      <c r="Q772" s="16">
        <f>Table28[[#This Row],[ADD ACC
(475/950)]]*Table28[[#This Row],[Duration
(A359)]]</f>
        <v>0</v>
      </c>
      <c r="R772" s="16">
        <f>IFERROR(VLOOKUP(Table28[[#This Row],[ROUTE]],PRICING!A:B,2,FALSE),0)</f>
        <v>0</v>
      </c>
      <c r="S772" s="16">
        <f>Table28[[#This Row],[C_DEMAND]]-Table28[[#This Row],[R-DEMAND]]</f>
        <v>2850</v>
      </c>
      <c r="T772" s="316">
        <f>Table28[[#This Row],[SEATS SOLD]]*Table28[[#This Row],[ECO SEAT]]</f>
        <v>0</v>
      </c>
      <c r="U772" s="316">
        <f>Table28[[#This Row],[SEATS SOLD]]*(IFERROR(VLOOKUP(Table28[[#This Row],[ROUTE]],PRICING!A:C,3,FALSE),0))</f>
        <v>0</v>
      </c>
      <c r="V772" s="316">
        <f>Table28[[#This Row],[SEAT REV]]-Table28[[#This Row],[SEAT REV
(IF IDEAL $)]]</f>
        <v>0</v>
      </c>
      <c r="AS772" s="16" t="s">
        <v>4045</v>
      </c>
      <c r="AT772" s="16" t="s">
        <v>13375</v>
      </c>
      <c r="AU772" s="16" t="s">
        <v>5130</v>
      </c>
      <c r="AV772" s="16" t="s">
        <v>18892</v>
      </c>
      <c r="AW772" s="16" t="s">
        <v>18885</v>
      </c>
      <c r="AX772" s="16" t="s">
        <v>18924</v>
      </c>
      <c r="AY772" s="385">
        <v>14948</v>
      </c>
    </row>
    <row r="773" spans="1:51" x14ac:dyDescent="0.25">
      <c r="A773" s="16" t="s">
        <v>19171</v>
      </c>
      <c r="B773" s="16" t="s">
        <v>21</v>
      </c>
      <c r="D773" s="16">
        <v>3</v>
      </c>
      <c r="E773" s="16" t="s">
        <v>78</v>
      </c>
      <c r="F773" s="16" t="str">
        <f>VLOOKUP(Table28[[#This Row],[Country]],Table10[[COUNTRY NAME]:[CONTINENT CODE]],3,FALSE)</f>
        <v>EU</v>
      </c>
      <c r="G773" s="16" t="s">
        <v>11996</v>
      </c>
      <c r="H773" s="181">
        <v>8817</v>
      </c>
      <c r="I773" s="180">
        <v>21.5</v>
      </c>
      <c r="K773" s="316">
        <f>IFERROR(Table28[[#This Row],[ROUTE COST]]/Table28[[#This Row],[O - DEMAND]],0)</f>
        <v>0</v>
      </c>
      <c r="M773" s="16">
        <f>Table28[[#This Row],[O - DEMAND]]/950</f>
        <v>0</v>
      </c>
      <c r="N773" s="16">
        <f>IFERROR(VLOOKUP(Table28[[#This Row],[ROUTE]],DEMAND!A:F,5,FALSE),0)</f>
        <v>0</v>
      </c>
      <c r="O773" s="16">
        <f>IFERROR(VLOOKUP(Table28[[#This Row],[ROUTE]],DEMAND!A:F,6,FALSE),0)</f>
        <v>0</v>
      </c>
      <c r="P773" s="16">
        <f>ROUNDDOWN(Table28[[#This Row],[R-DEMAND]]/950,0)</f>
        <v>0</v>
      </c>
      <c r="Q773" s="16">
        <f>Table28[[#This Row],[ADD ACC
(475/950)]]*Table28[[#This Row],[Duration
(A359)]]</f>
        <v>0</v>
      </c>
      <c r="R773" s="16">
        <f>IFERROR(VLOOKUP(Table28[[#This Row],[ROUTE]],PRICING!A:B,2,FALSE),0)</f>
        <v>0</v>
      </c>
      <c r="S773" s="16">
        <f>Table28[[#This Row],[C_DEMAND]]-Table28[[#This Row],[R-DEMAND]]</f>
        <v>0</v>
      </c>
      <c r="T773" s="316">
        <f>Table28[[#This Row],[SEATS SOLD]]*Table28[[#This Row],[ECO SEAT]]</f>
        <v>0</v>
      </c>
      <c r="U773" s="316">
        <f>Table28[[#This Row],[SEATS SOLD]]*(IFERROR(VLOOKUP(Table28[[#This Row],[ROUTE]],PRICING!A:C,3,FALSE),0))</f>
        <v>0</v>
      </c>
      <c r="V773" s="316">
        <f>Table28[[#This Row],[SEAT REV]]-Table28[[#This Row],[SEAT REV
(IF IDEAL $)]]</f>
        <v>0</v>
      </c>
      <c r="AS773" s="16" t="s">
        <v>11732</v>
      </c>
      <c r="AT773" s="16" t="s">
        <v>13322</v>
      </c>
      <c r="AU773" s="16" t="s">
        <v>5499</v>
      </c>
      <c r="AV773" s="16" t="s">
        <v>18884</v>
      </c>
      <c r="AW773" s="16" t="s">
        <v>18899</v>
      </c>
      <c r="AX773" s="16" t="s">
        <v>18924</v>
      </c>
      <c r="AY773" s="385">
        <v>14951</v>
      </c>
    </row>
    <row r="774" spans="1:51" x14ac:dyDescent="0.25">
      <c r="A774" s="16" t="s">
        <v>19306</v>
      </c>
      <c r="B774" s="16" t="s">
        <v>1533</v>
      </c>
      <c r="C774" s="16" t="s">
        <v>467</v>
      </c>
      <c r="D774" s="16">
        <v>1</v>
      </c>
      <c r="E774" s="16" t="s">
        <v>1531</v>
      </c>
      <c r="F774" s="16" t="str">
        <f>VLOOKUP(Table28[[#This Row],[Country]],Table10[[COUNTRY NAME]:[CONTINENT CODE]],3,FALSE)</f>
        <v>AF</v>
      </c>
      <c r="G774" s="16" t="s">
        <v>6645</v>
      </c>
      <c r="H774" s="181">
        <v>11453</v>
      </c>
      <c r="I774" s="180">
        <v>27.25</v>
      </c>
      <c r="K774" s="316">
        <f>IFERROR(Table28[[#This Row],[ROUTE COST]]/Table28[[#This Row],[O - DEMAND]],0)</f>
        <v>0</v>
      </c>
      <c r="M774" s="16">
        <f>Table28[[#This Row],[O - DEMAND]]/950</f>
        <v>0</v>
      </c>
      <c r="N774" s="16">
        <f>IFERROR(VLOOKUP(Table28[[#This Row],[ROUTE]],DEMAND!A:F,5,FALSE),0)</f>
        <v>3661</v>
      </c>
      <c r="O774" s="16">
        <f>IFERROR(VLOOKUP(Table28[[#This Row],[ROUTE]],DEMAND!A:F,6,FALSE),0)</f>
        <v>811</v>
      </c>
      <c r="P774" s="16">
        <f>ROUNDDOWN(Table28[[#This Row],[R-DEMAND]]/950,0)</f>
        <v>0</v>
      </c>
      <c r="Q774" s="16">
        <f>Table28[[#This Row],[ADD ACC
(475/950)]]*Table28[[#This Row],[Duration
(A359)]]</f>
        <v>0</v>
      </c>
      <c r="R774" s="16">
        <f>IFERROR(VLOOKUP(Table28[[#This Row],[ROUTE]],PRICING!A:B,2,FALSE),0)</f>
        <v>0</v>
      </c>
      <c r="S774" s="16">
        <f>Table28[[#This Row],[C_DEMAND]]-Table28[[#This Row],[R-DEMAND]]</f>
        <v>2850</v>
      </c>
      <c r="T774" s="316">
        <f>Table28[[#This Row],[SEATS SOLD]]*Table28[[#This Row],[ECO SEAT]]</f>
        <v>0</v>
      </c>
      <c r="U774" s="316">
        <f>Table28[[#This Row],[SEATS SOLD]]*(IFERROR(VLOOKUP(Table28[[#This Row],[ROUTE]],PRICING!A:C,3,FALSE),0))</f>
        <v>0</v>
      </c>
      <c r="V774" s="316">
        <f>Table28[[#This Row],[SEAT REV]]-Table28[[#This Row],[SEAT REV
(IF IDEAL $)]]</f>
        <v>0</v>
      </c>
      <c r="AS774" s="16" t="s">
        <v>4894</v>
      </c>
      <c r="AT774" s="16" t="s">
        <v>17032</v>
      </c>
      <c r="AU774" s="16" t="s">
        <v>4896</v>
      </c>
      <c r="AV774" s="16" t="s">
        <v>18878</v>
      </c>
      <c r="AW774" s="16" t="s">
        <v>18885</v>
      </c>
      <c r="AX774" s="16" t="s">
        <v>18924</v>
      </c>
      <c r="AY774" s="385">
        <v>14955</v>
      </c>
    </row>
    <row r="775" spans="1:51" x14ac:dyDescent="0.25">
      <c r="A775" s="16" t="s">
        <v>19436</v>
      </c>
      <c r="B775" s="16" t="s">
        <v>2653</v>
      </c>
      <c r="D775" s="16">
        <v>2</v>
      </c>
      <c r="E775" s="16" t="s">
        <v>172</v>
      </c>
      <c r="F775" s="16" t="str">
        <f>VLOOKUP(Table28[[#This Row],[Country]],Table10[[COUNTRY NAME]:[CONTINENT CODE]],3,FALSE)</f>
        <v>AS</v>
      </c>
      <c r="G775" s="16" t="s">
        <v>11943</v>
      </c>
      <c r="H775" s="181">
        <v>12698</v>
      </c>
      <c r="I775" s="180">
        <v>30</v>
      </c>
      <c r="K775" s="316">
        <f>IFERROR(Table28[[#This Row],[ROUTE COST]]/Table28[[#This Row],[O - DEMAND]],0)</f>
        <v>0</v>
      </c>
      <c r="M775" s="16">
        <f>Table28[[#This Row],[O - DEMAND]]/950</f>
        <v>0</v>
      </c>
      <c r="N775" s="16">
        <f>IFERROR(VLOOKUP(Table28[[#This Row],[ROUTE]],DEMAND!A:F,5,FALSE),0)</f>
        <v>0</v>
      </c>
      <c r="O775" s="16">
        <f>IFERROR(VLOOKUP(Table28[[#This Row],[ROUTE]],DEMAND!A:F,6,FALSE),0)</f>
        <v>0</v>
      </c>
      <c r="P775" s="16">
        <f>ROUNDDOWN(Table28[[#This Row],[R-DEMAND]]/950,0)</f>
        <v>0</v>
      </c>
      <c r="Q775" s="16">
        <f>Table28[[#This Row],[ADD ACC
(475/950)]]*Table28[[#This Row],[Duration
(A359)]]</f>
        <v>0</v>
      </c>
      <c r="R775" s="16">
        <f>IFERROR(VLOOKUP(Table28[[#This Row],[ROUTE]],PRICING!A:B,2,FALSE),0)</f>
        <v>0</v>
      </c>
      <c r="S775" s="16">
        <f>Table28[[#This Row],[C_DEMAND]]-Table28[[#This Row],[R-DEMAND]]</f>
        <v>0</v>
      </c>
      <c r="T775" s="316">
        <f>Table28[[#This Row],[SEATS SOLD]]*Table28[[#This Row],[ECO SEAT]]</f>
        <v>0</v>
      </c>
      <c r="U775" s="316">
        <f>Table28[[#This Row],[SEATS SOLD]]*(IFERROR(VLOOKUP(Table28[[#This Row],[ROUTE]],PRICING!A:C,3,FALSE),0))</f>
        <v>0</v>
      </c>
      <c r="V775" s="316">
        <f>Table28[[#This Row],[SEAT REV]]-Table28[[#This Row],[SEAT REV
(IF IDEAL $)]]</f>
        <v>0</v>
      </c>
      <c r="AS775" s="16" t="s">
        <v>11732</v>
      </c>
      <c r="AT775" s="16" t="s">
        <v>13330</v>
      </c>
      <c r="AU775" s="16" t="s">
        <v>5206</v>
      </c>
      <c r="AV775" s="16" t="s">
        <v>18884</v>
      </c>
      <c r="AW775" s="16" t="s">
        <v>18885</v>
      </c>
      <c r="AX775" s="16" t="s">
        <v>18924</v>
      </c>
      <c r="AY775" s="385">
        <v>14962</v>
      </c>
    </row>
    <row r="776" spans="1:51" x14ac:dyDescent="0.25">
      <c r="A776" s="16" t="s">
        <v>19353</v>
      </c>
      <c r="B776" s="16" t="s">
        <v>4327</v>
      </c>
      <c r="C776" s="16" t="s">
        <v>467</v>
      </c>
      <c r="D776" s="16">
        <v>2</v>
      </c>
      <c r="E776" s="16" t="s">
        <v>580</v>
      </c>
      <c r="F776" s="16" t="str">
        <f>VLOOKUP(Table28[[#This Row],[Country]],Table10[[COUNTRY NAME]:[CONTINENT CODE]],3,FALSE)</f>
        <v>AF</v>
      </c>
      <c r="G776" s="16" t="s">
        <v>11841</v>
      </c>
      <c r="H776" s="181">
        <v>12059</v>
      </c>
      <c r="I776" s="180">
        <v>28.5</v>
      </c>
      <c r="K776" s="316">
        <f>IFERROR(Table28[[#This Row],[ROUTE COST]]/Table28[[#This Row],[O - DEMAND]],0)</f>
        <v>0</v>
      </c>
      <c r="M776" s="16">
        <f>Table28[[#This Row],[O - DEMAND]]/950</f>
        <v>0</v>
      </c>
      <c r="N776" s="16">
        <f>IFERROR(VLOOKUP(Table28[[#This Row],[ROUTE]],DEMAND!A:F,5,FALSE),0)</f>
        <v>3225</v>
      </c>
      <c r="O776" s="16">
        <f>IFERROR(VLOOKUP(Table28[[#This Row],[ROUTE]],DEMAND!A:F,6,FALSE),0)</f>
        <v>375</v>
      </c>
      <c r="P776" s="16">
        <f>ROUNDDOWN(Table28[[#This Row],[R-DEMAND]]/950,0)</f>
        <v>0</v>
      </c>
      <c r="Q776" s="16">
        <f>Table28[[#This Row],[ADD ACC
(475/950)]]*Table28[[#This Row],[Duration
(A359)]]</f>
        <v>0</v>
      </c>
      <c r="R776" s="16">
        <f>IFERROR(VLOOKUP(Table28[[#This Row],[ROUTE]],PRICING!A:B,2,FALSE),0)</f>
        <v>0</v>
      </c>
      <c r="S776" s="16">
        <f>Table28[[#This Row],[C_DEMAND]]-Table28[[#This Row],[R-DEMAND]]</f>
        <v>2850</v>
      </c>
      <c r="T776" s="316">
        <f>Table28[[#This Row],[SEATS SOLD]]*Table28[[#This Row],[ECO SEAT]]</f>
        <v>0</v>
      </c>
      <c r="U776" s="316">
        <f>Table28[[#This Row],[SEATS SOLD]]*(IFERROR(VLOOKUP(Table28[[#This Row],[ROUTE]],PRICING!A:C,3,FALSE),0))</f>
        <v>0</v>
      </c>
      <c r="V776" s="316">
        <f>Table28[[#This Row],[SEAT REV]]-Table28[[#This Row],[SEAT REV
(IF IDEAL $)]]</f>
        <v>0</v>
      </c>
      <c r="AS776" s="16" t="s">
        <v>3272</v>
      </c>
      <c r="AT776" s="16" t="s">
        <v>11810</v>
      </c>
      <c r="AU776" s="16" t="s">
        <v>3274</v>
      </c>
      <c r="AV776" s="16" t="s">
        <v>18892</v>
      </c>
      <c r="AW776" s="16" t="s">
        <v>18879</v>
      </c>
      <c r="AX776" s="16" t="s">
        <v>18924</v>
      </c>
      <c r="AY776" s="385">
        <v>14971</v>
      </c>
    </row>
    <row r="777" spans="1:51" x14ac:dyDescent="0.25">
      <c r="A777" s="16" t="s">
        <v>19157</v>
      </c>
      <c r="B777" s="16" t="s">
        <v>2780</v>
      </c>
      <c r="E777" s="16" t="s">
        <v>14</v>
      </c>
      <c r="F777" s="16" t="str">
        <f>VLOOKUP(Table28[[#This Row],[Country]],Table10[[COUNTRY NAME]:[CONTINENT CODE]],3,FALSE)</f>
        <v>AS</v>
      </c>
      <c r="G777" s="16" t="s">
        <v>16828</v>
      </c>
      <c r="H777" s="181">
        <v>8526</v>
      </c>
      <c r="I777" s="180">
        <v>20.75</v>
      </c>
      <c r="K777" s="316">
        <f>IFERROR(Table28[[#This Row],[ROUTE COST]]/Table28[[#This Row],[O - DEMAND]],0)</f>
        <v>0</v>
      </c>
      <c r="M777" s="16">
        <f>Table28[[#This Row],[O - DEMAND]]/950</f>
        <v>0</v>
      </c>
      <c r="N777" s="16">
        <f>IFERROR(VLOOKUP(Table28[[#This Row],[ROUTE]],DEMAND!A:F,5,FALSE),0)</f>
        <v>0</v>
      </c>
      <c r="O777" s="16">
        <f>IFERROR(VLOOKUP(Table28[[#This Row],[ROUTE]],DEMAND!A:F,6,FALSE),0)</f>
        <v>0</v>
      </c>
      <c r="P777" s="16">
        <f>ROUNDDOWN(Table28[[#This Row],[R-DEMAND]]/950,0)</f>
        <v>0</v>
      </c>
      <c r="Q777" s="16">
        <f>Table28[[#This Row],[ADD ACC
(475/950)]]*Table28[[#This Row],[Duration
(A359)]]</f>
        <v>0</v>
      </c>
      <c r="R777" s="16">
        <f>IFERROR(VLOOKUP(Table28[[#This Row],[ROUTE]],PRICING!A:B,2,FALSE),0)</f>
        <v>0</v>
      </c>
      <c r="S777" s="16">
        <f>Table28[[#This Row],[C_DEMAND]]-Table28[[#This Row],[R-DEMAND]]</f>
        <v>0</v>
      </c>
      <c r="T777" s="316">
        <f>Table28[[#This Row],[SEATS SOLD]]*Table28[[#This Row],[ECO SEAT]]</f>
        <v>0</v>
      </c>
      <c r="U777" s="316">
        <f>Table28[[#This Row],[SEATS SOLD]]*(IFERROR(VLOOKUP(Table28[[#This Row],[ROUTE]],PRICING!A:C,3,FALSE),0))</f>
        <v>0</v>
      </c>
      <c r="V777" s="316">
        <f>Table28[[#This Row],[SEAT REV]]-Table28[[#This Row],[SEAT REV
(IF IDEAL $)]]</f>
        <v>0</v>
      </c>
      <c r="AS777" s="16" t="s">
        <v>700</v>
      </c>
      <c r="AT777" s="16" t="s">
        <v>11849</v>
      </c>
      <c r="AU777" s="16" t="s">
        <v>5128</v>
      </c>
      <c r="AV777" s="16" t="s">
        <v>18892</v>
      </c>
      <c r="AW777" s="16" t="s">
        <v>18885</v>
      </c>
      <c r="AX777" s="16" t="s">
        <v>18924</v>
      </c>
      <c r="AY777" s="385">
        <v>14975</v>
      </c>
    </row>
    <row r="778" spans="1:51" x14ac:dyDescent="0.25">
      <c r="A778" s="16" t="s">
        <v>19149</v>
      </c>
      <c r="B778" s="16" t="s">
        <v>4300</v>
      </c>
      <c r="E778" s="16" t="s">
        <v>14</v>
      </c>
      <c r="F778" s="16" t="str">
        <f>VLOOKUP(Table28[[#This Row],[Country]],Table10[[COUNTRY NAME]:[CONTINENT CODE]],3,FALSE)</f>
        <v>AS</v>
      </c>
      <c r="G778" s="16" t="s">
        <v>16831</v>
      </c>
      <c r="H778" s="181">
        <v>8460</v>
      </c>
      <c r="I778" s="180">
        <v>20.75</v>
      </c>
      <c r="K778" s="316">
        <f>IFERROR(Table28[[#This Row],[ROUTE COST]]/Table28[[#This Row],[O - DEMAND]],0)</f>
        <v>0</v>
      </c>
      <c r="M778" s="16">
        <f>Table28[[#This Row],[O - DEMAND]]/950</f>
        <v>0</v>
      </c>
      <c r="N778" s="16">
        <f>IFERROR(VLOOKUP(Table28[[#This Row],[ROUTE]],DEMAND!A:F,5,FALSE),0)</f>
        <v>0</v>
      </c>
      <c r="O778" s="16">
        <f>IFERROR(VLOOKUP(Table28[[#This Row],[ROUTE]],DEMAND!A:F,6,FALSE),0)</f>
        <v>0</v>
      </c>
      <c r="P778" s="16">
        <f>ROUNDDOWN(Table28[[#This Row],[R-DEMAND]]/950,0)</f>
        <v>0</v>
      </c>
      <c r="Q778" s="16">
        <f>Table28[[#This Row],[ADD ACC
(475/950)]]*Table28[[#This Row],[Duration
(A359)]]</f>
        <v>0</v>
      </c>
      <c r="R778" s="16">
        <f>IFERROR(VLOOKUP(Table28[[#This Row],[ROUTE]],PRICING!A:B,2,FALSE),0)</f>
        <v>0</v>
      </c>
      <c r="S778" s="16">
        <f>Table28[[#This Row],[C_DEMAND]]-Table28[[#This Row],[R-DEMAND]]</f>
        <v>0</v>
      </c>
      <c r="T778" s="316">
        <f>Table28[[#This Row],[SEATS SOLD]]*Table28[[#This Row],[ECO SEAT]]</f>
        <v>0</v>
      </c>
      <c r="U778" s="316">
        <f>Table28[[#This Row],[SEATS SOLD]]*(IFERROR(VLOOKUP(Table28[[#This Row],[ROUTE]],PRICING!A:C,3,FALSE),0))</f>
        <v>0</v>
      </c>
      <c r="V778" s="316">
        <f>Table28[[#This Row],[SEAT REV]]-Table28[[#This Row],[SEAT REV
(IF IDEAL $)]]</f>
        <v>0</v>
      </c>
      <c r="AS778" s="16" t="s">
        <v>11732</v>
      </c>
      <c r="AT778" s="16" t="s">
        <v>13299</v>
      </c>
      <c r="AU778" s="16" t="s">
        <v>2790</v>
      </c>
      <c r="AV778" s="16" t="s">
        <v>18884</v>
      </c>
      <c r="AW778" s="16" t="s">
        <v>18879</v>
      </c>
      <c r="AX778" s="16" t="s">
        <v>18924</v>
      </c>
      <c r="AY778" s="385">
        <v>14975</v>
      </c>
    </row>
    <row r="779" spans="1:51" x14ac:dyDescent="0.25">
      <c r="A779" s="16" t="s">
        <v>19141</v>
      </c>
      <c r="B779" s="16" t="s">
        <v>2474</v>
      </c>
      <c r="D779" s="16">
        <v>1</v>
      </c>
      <c r="E779" s="16" t="s">
        <v>258</v>
      </c>
      <c r="F779" s="16" t="str">
        <f>VLOOKUP(Table28[[#This Row],[Country]],Table10[[COUNTRY NAME]:[CONTINENT CODE]],3,FALSE)</f>
        <v>AS</v>
      </c>
      <c r="G779" s="16" t="s">
        <v>16834</v>
      </c>
      <c r="H779" s="181">
        <v>8295</v>
      </c>
      <c r="I779" s="180">
        <v>20.25</v>
      </c>
      <c r="K779" s="316">
        <f>IFERROR(Table28[[#This Row],[ROUTE COST]]/Table28[[#This Row],[O - DEMAND]],0)</f>
        <v>0</v>
      </c>
      <c r="M779" s="16">
        <f>Table28[[#This Row],[O - DEMAND]]/950</f>
        <v>0</v>
      </c>
      <c r="N779" s="16">
        <f>IFERROR(VLOOKUP(Table28[[#This Row],[ROUTE]],DEMAND!A:F,5,FALSE),0)</f>
        <v>0</v>
      </c>
      <c r="O779" s="16">
        <f>IFERROR(VLOOKUP(Table28[[#This Row],[ROUTE]],DEMAND!A:F,6,FALSE),0)</f>
        <v>0</v>
      </c>
      <c r="P779" s="16">
        <f>ROUNDDOWN(Table28[[#This Row],[R-DEMAND]]/950,0)</f>
        <v>0</v>
      </c>
      <c r="Q779" s="16">
        <f>Table28[[#This Row],[ADD ACC
(475/950)]]*Table28[[#This Row],[Duration
(A359)]]</f>
        <v>0</v>
      </c>
      <c r="R779" s="16">
        <f>IFERROR(VLOOKUP(Table28[[#This Row],[ROUTE]],PRICING!A:B,2,FALSE),0)</f>
        <v>0</v>
      </c>
      <c r="S779" s="16">
        <f>Table28[[#This Row],[C_DEMAND]]-Table28[[#This Row],[R-DEMAND]]</f>
        <v>0</v>
      </c>
      <c r="T779" s="316">
        <f>Table28[[#This Row],[SEATS SOLD]]*Table28[[#This Row],[ECO SEAT]]</f>
        <v>0</v>
      </c>
      <c r="U779" s="316">
        <f>Table28[[#This Row],[SEATS SOLD]]*(IFERROR(VLOOKUP(Table28[[#This Row],[ROUTE]],PRICING!A:C,3,FALSE),0))</f>
        <v>0</v>
      </c>
      <c r="V779" s="316">
        <f>Table28[[#This Row],[SEAT REV]]-Table28[[#This Row],[SEAT REV
(IF IDEAL $)]]</f>
        <v>0</v>
      </c>
      <c r="AS779" s="16" t="s">
        <v>700</v>
      </c>
      <c r="AT779" s="16" t="s">
        <v>11077</v>
      </c>
      <c r="AU779" s="16" t="s">
        <v>252</v>
      </c>
      <c r="AV779" s="16" t="s">
        <v>18884</v>
      </c>
      <c r="AW779" s="16" t="s">
        <v>18918</v>
      </c>
      <c r="AX779" s="16" t="s">
        <v>18924</v>
      </c>
      <c r="AY779" s="385">
        <v>14976</v>
      </c>
    </row>
    <row r="780" spans="1:51" x14ac:dyDescent="0.25">
      <c r="A780" s="16" t="s">
        <v>19132</v>
      </c>
      <c r="B780" s="16" t="s">
        <v>18</v>
      </c>
      <c r="C780" s="16" t="s">
        <v>467</v>
      </c>
      <c r="D780" s="16">
        <v>4</v>
      </c>
      <c r="E780" s="16" t="s">
        <v>14</v>
      </c>
      <c r="F780" s="16" t="str">
        <f>VLOOKUP(Table28[[#This Row],[Country]],Table10[[COUNTRY NAME]:[CONTINENT CODE]],3,FALSE)</f>
        <v>AS</v>
      </c>
      <c r="G780" s="16" t="s">
        <v>11028</v>
      </c>
      <c r="H780" s="181">
        <v>8177</v>
      </c>
      <c r="I780" s="180">
        <v>20</v>
      </c>
      <c r="K780" s="316">
        <f>IFERROR(Table28[[#This Row],[ROUTE COST]]/Table28[[#This Row],[O - DEMAND]],0)</f>
        <v>0</v>
      </c>
      <c r="M780" s="16">
        <f>Table28[[#This Row],[O - DEMAND]]/950</f>
        <v>0</v>
      </c>
      <c r="N780" s="16">
        <f>IFERROR(VLOOKUP(Table28[[#This Row],[ROUTE]],DEMAND!A:F,5,FALSE),0)</f>
        <v>3148</v>
      </c>
      <c r="O780" s="16">
        <f>IFERROR(VLOOKUP(Table28[[#This Row],[ROUTE]],DEMAND!A:F,6,FALSE),0)</f>
        <v>298</v>
      </c>
      <c r="P780" s="16">
        <f>ROUNDDOWN(Table28[[#This Row],[R-DEMAND]]/950,0)</f>
        <v>0</v>
      </c>
      <c r="Q780" s="16">
        <f>Table28[[#This Row],[ADD ACC
(475/950)]]*Table28[[#This Row],[Duration
(A359)]]</f>
        <v>0</v>
      </c>
      <c r="R780" s="16">
        <f>IFERROR(VLOOKUP(Table28[[#This Row],[ROUTE]],PRICING!A:B,2,FALSE),0)</f>
        <v>0</v>
      </c>
      <c r="S780" s="16">
        <f>Table28[[#This Row],[C_DEMAND]]-Table28[[#This Row],[R-DEMAND]]</f>
        <v>2850</v>
      </c>
      <c r="T780" s="316">
        <f>Table28[[#This Row],[SEATS SOLD]]*Table28[[#This Row],[ECO SEAT]]</f>
        <v>0</v>
      </c>
      <c r="U780" s="316">
        <f>Table28[[#This Row],[SEATS SOLD]]*(IFERROR(VLOOKUP(Table28[[#This Row],[ROUTE]],PRICING!A:C,3,FALSE),0))</f>
        <v>0</v>
      </c>
      <c r="V780" s="316">
        <f>Table28[[#This Row],[SEAT REV]]-Table28[[#This Row],[SEAT REV
(IF IDEAL $)]]</f>
        <v>0</v>
      </c>
      <c r="AS780" s="16" t="s">
        <v>807</v>
      </c>
      <c r="AT780" s="16" t="s">
        <v>7487</v>
      </c>
      <c r="AU780" s="16" t="s">
        <v>3723</v>
      </c>
      <c r="AV780" s="16" t="s">
        <v>18881</v>
      </c>
      <c r="AW780" s="16" t="s">
        <v>18879</v>
      </c>
      <c r="AX780" s="16" t="s">
        <v>18924</v>
      </c>
      <c r="AY780" s="385">
        <v>14980</v>
      </c>
    </row>
    <row r="781" spans="1:51" x14ac:dyDescent="0.25">
      <c r="A781" s="16" t="s">
        <v>19113</v>
      </c>
      <c r="B781" s="16" t="s">
        <v>5029</v>
      </c>
      <c r="D781" s="16">
        <v>3</v>
      </c>
      <c r="E781" s="16" t="s">
        <v>14</v>
      </c>
      <c r="F781" s="16" t="str">
        <f>VLOOKUP(Table28[[#This Row],[Country]],Table10[[COUNTRY NAME]:[CONTINENT CODE]],3,FALSE)</f>
        <v>AS</v>
      </c>
      <c r="G781" s="16" t="s">
        <v>12047</v>
      </c>
      <c r="H781" s="181">
        <v>7960</v>
      </c>
      <c r="I781" s="180">
        <v>19.5</v>
      </c>
      <c r="K781" s="316">
        <f>IFERROR(Table28[[#This Row],[ROUTE COST]]/Table28[[#This Row],[O - DEMAND]],0)</f>
        <v>0</v>
      </c>
      <c r="M781" s="16">
        <f>Table28[[#This Row],[O - DEMAND]]/950</f>
        <v>0</v>
      </c>
      <c r="N781" s="16">
        <f>IFERROR(VLOOKUP(Table28[[#This Row],[ROUTE]],DEMAND!A:F,5,FALSE),0)</f>
        <v>0</v>
      </c>
      <c r="O781" s="16">
        <f>IFERROR(VLOOKUP(Table28[[#This Row],[ROUTE]],DEMAND!A:F,6,FALSE),0)</f>
        <v>0</v>
      </c>
      <c r="P781" s="16">
        <f>ROUNDDOWN(Table28[[#This Row],[R-DEMAND]]/950,0)</f>
        <v>0</v>
      </c>
      <c r="Q781" s="16">
        <f>Table28[[#This Row],[ADD ACC
(475/950)]]*Table28[[#This Row],[Duration
(A359)]]</f>
        <v>0</v>
      </c>
      <c r="R781" s="16">
        <f>IFERROR(VLOOKUP(Table28[[#This Row],[ROUTE]],PRICING!A:B,2,FALSE),0)</f>
        <v>0</v>
      </c>
      <c r="S781" s="16">
        <f>Table28[[#This Row],[C_DEMAND]]-Table28[[#This Row],[R-DEMAND]]</f>
        <v>0</v>
      </c>
      <c r="T781" s="316">
        <f>Table28[[#This Row],[SEATS SOLD]]*Table28[[#This Row],[ECO SEAT]]</f>
        <v>0</v>
      </c>
      <c r="U781" s="316">
        <f>Table28[[#This Row],[SEATS SOLD]]*(IFERROR(VLOOKUP(Table28[[#This Row],[ROUTE]],PRICING!A:C,3,FALSE),0))</f>
        <v>0</v>
      </c>
      <c r="V781" s="316">
        <f>Table28[[#This Row],[SEAT REV]]-Table28[[#This Row],[SEAT REV
(IF IDEAL $)]]</f>
        <v>0</v>
      </c>
      <c r="AS781" s="16" t="s">
        <v>11732</v>
      </c>
      <c r="AT781" s="16" t="s">
        <v>16993</v>
      </c>
      <c r="AU781" s="16" t="s">
        <v>4253</v>
      </c>
      <c r="AV781" s="16" t="s">
        <v>18878</v>
      </c>
      <c r="AX781" s="16" t="s">
        <v>18924</v>
      </c>
      <c r="AY781" s="385">
        <v>14990</v>
      </c>
    </row>
    <row r="782" spans="1:51" x14ac:dyDescent="0.25">
      <c r="A782" s="16" t="s">
        <v>19150</v>
      </c>
      <c r="B782" s="16" t="s">
        <v>3358</v>
      </c>
      <c r="D782" s="16">
        <v>2</v>
      </c>
      <c r="E782" s="16" t="s">
        <v>14</v>
      </c>
      <c r="F782" s="16" t="str">
        <f>VLOOKUP(Table28[[#This Row],[Country]],Table10[[COUNTRY NAME]:[CONTINENT CODE]],3,FALSE)</f>
        <v>AS</v>
      </c>
      <c r="G782" s="16" t="s">
        <v>12059</v>
      </c>
      <c r="H782" s="181">
        <v>8482</v>
      </c>
      <c r="I782" s="180">
        <v>20.75</v>
      </c>
      <c r="K782" s="316">
        <f>IFERROR(Table28[[#This Row],[ROUTE COST]]/Table28[[#This Row],[O - DEMAND]],0)</f>
        <v>0</v>
      </c>
      <c r="M782" s="16">
        <f>Table28[[#This Row],[O - DEMAND]]/950</f>
        <v>0</v>
      </c>
      <c r="N782" s="16">
        <f>IFERROR(VLOOKUP(Table28[[#This Row],[ROUTE]],DEMAND!A:F,5,FALSE),0)</f>
        <v>0</v>
      </c>
      <c r="O782" s="16">
        <f>IFERROR(VLOOKUP(Table28[[#This Row],[ROUTE]],DEMAND!A:F,6,FALSE),0)</f>
        <v>0</v>
      </c>
      <c r="P782" s="16">
        <f>ROUNDDOWN(Table28[[#This Row],[R-DEMAND]]/950,0)</f>
        <v>0</v>
      </c>
      <c r="Q782" s="16">
        <f>Table28[[#This Row],[ADD ACC
(475/950)]]*Table28[[#This Row],[Duration
(A359)]]</f>
        <v>0</v>
      </c>
      <c r="R782" s="16">
        <f>IFERROR(VLOOKUP(Table28[[#This Row],[ROUTE]],PRICING!A:B,2,FALSE),0)</f>
        <v>0</v>
      </c>
      <c r="S782" s="16">
        <f>Table28[[#This Row],[C_DEMAND]]-Table28[[#This Row],[R-DEMAND]]</f>
        <v>0</v>
      </c>
      <c r="T782" s="316">
        <f>Table28[[#This Row],[SEATS SOLD]]*Table28[[#This Row],[ECO SEAT]]</f>
        <v>0</v>
      </c>
      <c r="U782" s="316">
        <f>Table28[[#This Row],[SEATS SOLD]]*(IFERROR(VLOOKUP(Table28[[#This Row],[ROUTE]],PRICING!A:C,3,FALSE),0))</f>
        <v>0</v>
      </c>
      <c r="V782" s="316">
        <f>Table28[[#This Row],[SEAT REV]]-Table28[[#This Row],[SEAT REV
(IF IDEAL $)]]</f>
        <v>0</v>
      </c>
      <c r="AS782" s="16" t="s">
        <v>807</v>
      </c>
      <c r="AT782" s="16" t="s">
        <v>9001</v>
      </c>
      <c r="AU782" s="16" t="s">
        <v>3551</v>
      </c>
      <c r="AV782" s="16" t="s">
        <v>18892</v>
      </c>
      <c r="AW782" s="16" t="s">
        <v>18879</v>
      </c>
      <c r="AX782" s="16" t="s">
        <v>18924</v>
      </c>
      <c r="AY782" s="385">
        <v>14994</v>
      </c>
    </row>
    <row r="783" spans="1:51" x14ac:dyDescent="0.25">
      <c r="A783" s="16" t="s">
        <v>19161</v>
      </c>
      <c r="B783" s="16" t="s">
        <v>3842</v>
      </c>
      <c r="D783" s="16">
        <v>2</v>
      </c>
      <c r="E783" s="16" t="s">
        <v>14</v>
      </c>
      <c r="F783" s="16" t="str">
        <f>VLOOKUP(Table28[[#This Row],[Country]],Table10[[COUNTRY NAME]:[CONTINENT CODE]],3,FALSE)</f>
        <v>AS</v>
      </c>
      <c r="G783" s="16" t="s">
        <v>12067</v>
      </c>
      <c r="H783" s="181">
        <v>8606</v>
      </c>
      <c r="I783" s="180">
        <v>21</v>
      </c>
      <c r="K783" s="316">
        <f>IFERROR(Table28[[#This Row],[ROUTE COST]]/Table28[[#This Row],[O - DEMAND]],0)</f>
        <v>0</v>
      </c>
      <c r="M783" s="16">
        <f>Table28[[#This Row],[O - DEMAND]]/950</f>
        <v>0</v>
      </c>
      <c r="N783" s="16">
        <f>IFERROR(VLOOKUP(Table28[[#This Row],[ROUTE]],DEMAND!A:F,5,FALSE),0)</f>
        <v>0</v>
      </c>
      <c r="O783" s="16">
        <f>IFERROR(VLOOKUP(Table28[[#This Row],[ROUTE]],DEMAND!A:F,6,FALSE),0)</f>
        <v>0</v>
      </c>
      <c r="P783" s="16">
        <f>ROUNDDOWN(Table28[[#This Row],[R-DEMAND]]/950,0)</f>
        <v>0</v>
      </c>
      <c r="Q783" s="16">
        <f>Table28[[#This Row],[ADD ACC
(475/950)]]*Table28[[#This Row],[Duration
(A359)]]</f>
        <v>0</v>
      </c>
      <c r="R783" s="16">
        <f>IFERROR(VLOOKUP(Table28[[#This Row],[ROUTE]],PRICING!A:B,2,FALSE),0)</f>
        <v>0</v>
      </c>
      <c r="S783" s="16">
        <f>Table28[[#This Row],[C_DEMAND]]-Table28[[#This Row],[R-DEMAND]]</f>
        <v>0</v>
      </c>
      <c r="T783" s="316">
        <f>Table28[[#This Row],[SEATS SOLD]]*Table28[[#This Row],[ECO SEAT]]</f>
        <v>0</v>
      </c>
      <c r="U783" s="316">
        <f>Table28[[#This Row],[SEATS SOLD]]*(IFERROR(VLOOKUP(Table28[[#This Row],[ROUTE]],PRICING!A:C,3,FALSE),0))</f>
        <v>0</v>
      </c>
      <c r="V783" s="316">
        <f>Table28[[#This Row],[SEAT REV]]-Table28[[#This Row],[SEAT REV
(IF IDEAL $)]]</f>
        <v>0</v>
      </c>
      <c r="AS783" s="16" t="s">
        <v>2059</v>
      </c>
      <c r="AT783" s="16" t="s">
        <v>11799</v>
      </c>
      <c r="AU783" s="16" t="s">
        <v>2061</v>
      </c>
      <c r="AV783" s="16" t="s">
        <v>18892</v>
      </c>
      <c r="AW783" s="16" t="s">
        <v>18890</v>
      </c>
      <c r="AX783" s="16" t="s">
        <v>18924</v>
      </c>
      <c r="AY783" s="385">
        <v>14999</v>
      </c>
    </row>
    <row r="784" spans="1:51" x14ac:dyDescent="0.25">
      <c r="A784" s="16" t="s">
        <v>19170</v>
      </c>
      <c r="B784" s="16" t="s">
        <v>15</v>
      </c>
      <c r="C784" s="16" t="s">
        <v>467</v>
      </c>
      <c r="D784" s="16">
        <v>4</v>
      </c>
      <c r="E784" s="16" t="s">
        <v>14</v>
      </c>
      <c r="F784" s="16" t="str">
        <f>VLOOKUP(Table28[[#This Row],[Country]],Table10[[COUNTRY NAME]:[CONTINENT CODE]],3,FALSE)</f>
        <v>AS</v>
      </c>
      <c r="G784" s="16" t="s">
        <v>13</v>
      </c>
      <c r="H784" s="181">
        <v>8797</v>
      </c>
      <c r="I784" s="180">
        <v>21.5</v>
      </c>
      <c r="K784" s="316">
        <f>IFERROR(Table28[[#This Row],[ROUTE COST]]/Table28[[#This Row],[O - DEMAND]],0)</f>
        <v>0</v>
      </c>
      <c r="M784" s="16">
        <f>Table28[[#This Row],[O - DEMAND]]/950</f>
        <v>0</v>
      </c>
      <c r="N784" s="16">
        <f>IFERROR(VLOOKUP(Table28[[#This Row],[ROUTE]],DEMAND!A:F,5,FALSE),0)</f>
        <v>3262</v>
      </c>
      <c r="O784" s="16">
        <f>IFERROR(VLOOKUP(Table28[[#This Row],[ROUTE]],DEMAND!A:F,6,FALSE),0)</f>
        <v>412</v>
      </c>
      <c r="P784" s="16">
        <f>ROUNDDOWN(Table28[[#This Row],[R-DEMAND]]/950,0)</f>
        <v>0</v>
      </c>
      <c r="Q784" s="16">
        <f>Table28[[#This Row],[ADD ACC
(475/950)]]*Table28[[#This Row],[Duration
(A359)]]</f>
        <v>0</v>
      </c>
      <c r="R784" s="16">
        <f>IFERROR(VLOOKUP(Table28[[#This Row],[ROUTE]],PRICING!A:B,2,FALSE),0)</f>
        <v>0</v>
      </c>
      <c r="S784" s="16">
        <f>Table28[[#This Row],[C_DEMAND]]-Table28[[#This Row],[R-DEMAND]]</f>
        <v>2850</v>
      </c>
      <c r="T784" s="316">
        <f>Table28[[#This Row],[SEATS SOLD]]*Table28[[#This Row],[ECO SEAT]]</f>
        <v>0</v>
      </c>
      <c r="U784" s="316">
        <f>Table28[[#This Row],[SEATS SOLD]]*(IFERROR(VLOOKUP(Table28[[#This Row],[ROUTE]],PRICING!A:C,3,FALSE),0))</f>
        <v>0</v>
      </c>
      <c r="V784" s="316">
        <f>Table28[[#This Row],[SEAT REV]]-Table28[[#This Row],[SEAT REV
(IF IDEAL $)]]</f>
        <v>0</v>
      </c>
      <c r="AS784" s="16" t="s">
        <v>11732</v>
      </c>
      <c r="AT784" s="16" t="s">
        <v>13373</v>
      </c>
      <c r="AU784" s="16" t="s">
        <v>168</v>
      </c>
      <c r="AV784" s="16" t="s">
        <v>18884</v>
      </c>
      <c r="AW784" s="16" t="s">
        <v>18918</v>
      </c>
      <c r="AX784" s="16" t="s">
        <v>18924</v>
      </c>
      <c r="AY784" s="385">
        <v>15026</v>
      </c>
    </row>
    <row r="785" spans="1:51" x14ac:dyDescent="0.25">
      <c r="A785" s="16" t="s">
        <v>19079</v>
      </c>
      <c r="B785" s="16" t="s">
        <v>5597</v>
      </c>
      <c r="D785" s="16">
        <v>4</v>
      </c>
      <c r="E785" s="16" t="s">
        <v>14</v>
      </c>
      <c r="F785" s="16" t="str">
        <f>VLOOKUP(Table28[[#This Row],[Country]],Table10[[COUNTRY NAME]:[CONTINENT CODE]],3,FALSE)</f>
        <v>AS</v>
      </c>
      <c r="G785" s="16" t="s">
        <v>11027</v>
      </c>
      <c r="H785" s="181">
        <v>7384</v>
      </c>
      <c r="I785" s="180">
        <v>18.25</v>
      </c>
      <c r="K785" s="316">
        <f>IFERROR(Table28[[#This Row],[ROUTE COST]]/Table28[[#This Row],[O - DEMAND]],0)</f>
        <v>0</v>
      </c>
      <c r="M785" s="16">
        <f>Table28[[#This Row],[O - DEMAND]]/950</f>
        <v>0</v>
      </c>
      <c r="N785" s="16">
        <f>IFERROR(VLOOKUP(Table28[[#This Row],[ROUTE]],DEMAND!A:F,5,FALSE),0)</f>
        <v>0</v>
      </c>
      <c r="O785" s="16">
        <f>IFERROR(VLOOKUP(Table28[[#This Row],[ROUTE]],DEMAND!A:F,6,FALSE),0)</f>
        <v>0</v>
      </c>
      <c r="P785" s="16">
        <f>ROUNDDOWN(Table28[[#This Row],[R-DEMAND]]/950,0)</f>
        <v>0</v>
      </c>
      <c r="Q785" s="16">
        <f>Table28[[#This Row],[ADD ACC
(475/950)]]*Table28[[#This Row],[Duration
(A359)]]</f>
        <v>0</v>
      </c>
      <c r="R785" s="16">
        <f>IFERROR(VLOOKUP(Table28[[#This Row],[ROUTE]],PRICING!A:B,2,FALSE),0)</f>
        <v>0</v>
      </c>
      <c r="S785" s="16">
        <f>Table28[[#This Row],[C_DEMAND]]-Table28[[#This Row],[R-DEMAND]]</f>
        <v>0</v>
      </c>
      <c r="T785" s="316">
        <f>Table28[[#This Row],[SEATS SOLD]]*Table28[[#This Row],[ECO SEAT]]</f>
        <v>0</v>
      </c>
      <c r="U785" s="316">
        <f>Table28[[#This Row],[SEATS SOLD]]*(IFERROR(VLOOKUP(Table28[[#This Row],[ROUTE]],PRICING!A:C,3,FALSE),0))</f>
        <v>0</v>
      </c>
      <c r="V785" s="316">
        <f>Table28[[#This Row],[SEAT REV]]-Table28[[#This Row],[SEAT REV
(IF IDEAL $)]]</f>
        <v>0</v>
      </c>
      <c r="AS785" s="16" t="s">
        <v>683</v>
      </c>
      <c r="AT785" s="16" t="s">
        <v>13190</v>
      </c>
      <c r="AU785" s="16" t="s">
        <v>2710</v>
      </c>
      <c r="AV785" s="16" t="s">
        <v>18892</v>
      </c>
      <c r="AW785" s="16" t="s">
        <v>18879</v>
      </c>
      <c r="AX785" s="16" t="s">
        <v>18923</v>
      </c>
      <c r="AY785" s="385">
        <v>15038</v>
      </c>
    </row>
    <row r="786" spans="1:51" x14ac:dyDescent="0.25">
      <c r="A786" s="16" t="s">
        <v>19658</v>
      </c>
      <c r="B786" s="16" t="s">
        <v>4607</v>
      </c>
      <c r="E786" s="16" t="s">
        <v>11732</v>
      </c>
      <c r="F786" s="16" t="str">
        <f>VLOOKUP(Table28[[#This Row],[Country]],Table10[[COUNTRY NAME]:[CONTINENT CODE]],3,FALSE)</f>
        <v>NA - US</v>
      </c>
      <c r="G786" s="16" t="s">
        <v>16990</v>
      </c>
      <c r="H786" s="181">
        <v>14174</v>
      </c>
      <c r="I786" s="180">
        <v>33.25</v>
      </c>
      <c r="K786" s="316">
        <f>IFERROR(Table28[[#This Row],[ROUTE COST]]/Table28[[#This Row],[O - DEMAND]],0)</f>
        <v>0</v>
      </c>
      <c r="M786" s="180">
        <f>Table28[[#This Row],[O - DEMAND]]/950</f>
        <v>0</v>
      </c>
      <c r="N786" s="16">
        <f>IFERROR(VLOOKUP(Table28[[#This Row],[ROUTE]],DEMAND!A:F,5,FALSE),0)</f>
        <v>0</v>
      </c>
      <c r="O786" s="16">
        <f>IFERROR(VLOOKUP(Table28[[#This Row],[ROUTE]],DEMAND!A:F,6,FALSE),0)</f>
        <v>0</v>
      </c>
      <c r="P786" s="16">
        <f>ROUNDDOWN(Table28[[#This Row],[R-DEMAND]]/950,0)</f>
        <v>0</v>
      </c>
      <c r="Q786" s="16">
        <f>Table28[[#This Row],[ADD ACC
(475/950)]]*Table28[[#This Row],[Duration
(A359)]]</f>
        <v>0</v>
      </c>
      <c r="R786" s="16">
        <f>IFERROR(VLOOKUP(Table28[[#This Row],[ROUTE]],PRICING!A:B,2,FALSE),0)</f>
        <v>0</v>
      </c>
      <c r="S786" s="16">
        <f>Table28[[#This Row],[C_DEMAND]]-Table28[[#This Row],[R-DEMAND]]</f>
        <v>0</v>
      </c>
      <c r="T786" s="316">
        <f>Table28[[#This Row],[SEATS SOLD]]*Table28[[#This Row],[ECO SEAT]]</f>
        <v>0</v>
      </c>
      <c r="U786" s="316">
        <f>Table28[[#This Row],[SEATS SOLD]]*(IFERROR(VLOOKUP(Table28[[#This Row],[ROUTE]],PRICING!A:C,3,FALSE),0))</f>
        <v>0</v>
      </c>
      <c r="V786" s="316">
        <f>Table28[[#This Row],[SEAT REV]]-Table28[[#This Row],[SEAT REV
(IF IDEAL $)]]</f>
        <v>0</v>
      </c>
      <c r="AS786" s="16" t="s">
        <v>700</v>
      </c>
      <c r="AT786" s="16" t="s">
        <v>11846</v>
      </c>
      <c r="AU786" s="16" t="s">
        <v>1935</v>
      </c>
      <c r="AV786" s="16" t="s">
        <v>18892</v>
      </c>
      <c r="AW786" s="16" t="s">
        <v>18890</v>
      </c>
      <c r="AX786" s="16" t="s">
        <v>18923</v>
      </c>
      <c r="AY786" s="385">
        <v>15041</v>
      </c>
    </row>
    <row r="787" spans="1:51" x14ac:dyDescent="0.25">
      <c r="A787" s="16" t="s">
        <v>19210</v>
      </c>
      <c r="B787" s="16" t="s">
        <v>4760</v>
      </c>
      <c r="D787" s="16">
        <v>3</v>
      </c>
      <c r="E787" s="16" t="s">
        <v>14</v>
      </c>
      <c r="F787" s="16" t="str">
        <f>VLOOKUP(Table28[[#This Row],[Country]],Table10[[COUNTRY NAME]:[CONTINENT CODE]],3,FALSE)</f>
        <v>AS</v>
      </c>
      <c r="G787" s="16" t="s">
        <v>12035</v>
      </c>
      <c r="H787" s="181">
        <v>9347</v>
      </c>
      <c r="I787" s="180">
        <v>22.75</v>
      </c>
      <c r="K787" s="316">
        <f>IFERROR(Table28[[#This Row],[ROUTE COST]]/Table28[[#This Row],[O - DEMAND]],0)</f>
        <v>0</v>
      </c>
      <c r="M787" s="16">
        <f>Table28[[#This Row],[O - DEMAND]]/950</f>
        <v>0</v>
      </c>
      <c r="N787" s="16">
        <f>IFERROR(VLOOKUP(Table28[[#This Row],[ROUTE]],DEMAND!A:F,5,FALSE),0)</f>
        <v>0</v>
      </c>
      <c r="O787" s="16">
        <f>IFERROR(VLOOKUP(Table28[[#This Row],[ROUTE]],DEMAND!A:F,6,FALSE),0)</f>
        <v>0</v>
      </c>
      <c r="P787" s="16">
        <f>ROUNDDOWN(Table28[[#This Row],[R-DEMAND]]/950,0)</f>
        <v>0</v>
      </c>
      <c r="Q787" s="16">
        <f>Table28[[#This Row],[ADD ACC
(475/950)]]*Table28[[#This Row],[Duration
(A359)]]</f>
        <v>0</v>
      </c>
      <c r="R787" s="16">
        <f>IFERROR(VLOOKUP(Table28[[#This Row],[ROUTE]],PRICING!A:B,2,FALSE),0)</f>
        <v>0</v>
      </c>
      <c r="S787" s="16">
        <f>Table28[[#This Row],[C_DEMAND]]-Table28[[#This Row],[R-DEMAND]]</f>
        <v>0</v>
      </c>
      <c r="T787" s="316">
        <f>Table28[[#This Row],[SEATS SOLD]]*Table28[[#This Row],[ECO SEAT]]</f>
        <v>0</v>
      </c>
      <c r="U787" s="316">
        <f>Table28[[#This Row],[SEATS SOLD]]*(IFERROR(VLOOKUP(Table28[[#This Row],[ROUTE]],PRICING!A:C,3,FALSE),0))</f>
        <v>0</v>
      </c>
      <c r="V787" s="316">
        <f>Table28[[#This Row],[SEAT REV]]-Table28[[#This Row],[SEAT REV
(IF IDEAL $)]]</f>
        <v>0</v>
      </c>
      <c r="AS787" s="16" t="s">
        <v>11732</v>
      </c>
      <c r="AT787" s="16" t="s">
        <v>13368</v>
      </c>
      <c r="AU787" s="16" t="s">
        <v>5727</v>
      </c>
      <c r="AV787" s="16" t="s">
        <v>18884</v>
      </c>
      <c r="AW787" s="16" t="s">
        <v>18918</v>
      </c>
      <c r="AX787" s="16" t="s">
        <v>18923</v>
      </c>
      <c r="AY787" s="385">
        <v>15042</v>
      </c>
    </row>
    <row r="788" spans="1:51" x14ac:dyDescent="0.25">
      <c r="A788" s="16" t="s">
        <v>19143</v>
      </c>
      <c r="B788" s="16" t="s">
        <v>4072</v>
      </c>
      <c r="D788" s="16">
        <v>2</v>
      </c>
      <c r="E788" s="16" t="s">
        <v>14</v>
      </c>
      <c r="F788" s="16" t="str">
        <f>VLOOKUP(Table28[[#This Row],[Country]],Table10[[COUNTRY NAME]:[CONTINENT CODE]],3,FALSE)</f>
        <v>AS</v>
      </c>
      <c r="G788" s="16" t="s">
        <v>12041</v>
      </c>
      <c r="H788" s="181">
        <v>8336</v>
      </c>
      <c r="I788" s="180">
        <v>20.5</v>
      </c>
      <c r="K788" s="316">
        <f>IFERROR(Table28[[#This Row],[ROUTE COST]]/Table28[[#This Row],[O - DEMAND]],0)</f>
        <v>0</v>
      </c>
      <c r="M788" s="16">
        <f>Table28[[#This Row],[O - DEMAND]]/950</f>
        <v>0</v>
      </c>
      <c r="N788" s="16">
        <f>IFERROR(VLOOKUP(Table28[[#This Row],[ROUTE]],DEMAND!A:F,5,FALSE),0)</f>
        <v>0</v>
      </c>
      <c r="O788" s="16">
        <f>IFERROR(VLOOKUP(Table28[[#This Row],[ROUTE]],DEMAND!A:F,6,FALSE),0)</f>
        <v>0</v>
      </c>
      <c r="P788" s="16">
        <f>ROUNDDOWN(Table28[[#This Row],[R-DEMAND]]/950,0)</f>
        <v>0</v>
      </c>
      <c r="Q788" s="16">
        <f>Table28[[#This Row],[ADD ACC
(475/950)]]*Table28[[#This Row],[Duration
(A359)]]</f>
        <v>0</v>
      </c>
      <c r="R788" s="16">
        <f>IFERROR(VLOOKUP(Table28[[#This Row],[ROUTE]],PRICING!A:B,2,FALSE),0)</f>
        <v>0</v>
      </c>
      <c r="S788" s="16">
        <f>Table28[[#This Row],[C_DEMAND]]-Table28[[#This Row],[R-DEMAND]]</f>
        <v>0</v>
      </c>
      <c r="T788" s="316">
        <f>Table28[[#This Row],[SEATS SOLD]]*Table28[[#This Row],[ECO SEAT]]</f>
        <v>0</v>
      </c>
      <c r="U788" s="316">
        <f>Table28[[#This Row],[SEATS SOLD]]*(IFERROR(VLOOKUP(Table28[[#This Row],[ROUTE]],PRICING!A:C,3,FALSE),0))</f>
        <v>0</v>
      </c>
      <c r="V788" s="316">
        <f>Table28[[#This Row],[SEAT REV]]-Table28[[#This Row],[SEAT REV
(IF IDEAL $)]]</f>
        <v>0</v>
      </c>
      <c r="AS788" s="16" t="s">
        <v>4434</v>
      </c>
      <c r="AT788" s="16" t="s">
        <v>11843</v>
      </c>
      <c r="AU788" s="16" t="s">
        <v>4436</v>
      </c>
      <c r="AV788" s="16" t="s">
        <v>18884</v>
      </c>
      <c r="AW788" s="16" t="s">
        <v>18879</v>
      </c>
      <c r="AX788" s="16" t="s">
        <v>18923</v>
      </c>
      <c r="AY788" s="385">
        <v>15043</v>
      </c>
    </row>
    <row r="789" spans="1:51" x14ac:dyDescent="0.25">
      <c r="A789" s="16" t="s">
        <v>19166</v>
      </c>
      <c r="B789" s="16" t="s">
        <v>4070</v>
      </c>
      <c r="D789" s="16">
        <v>2</v>
      </c>
      <c r="E789" s="16" t="s">
        <v>14</v>
      </c>
      <c r="F789" s="16" t="str">
        <f>VLOOKUP(Table28[[#This Row],[Country]],Table10[[COUNTRY NAME]:[CONTINENT CODE]],3,FALSE)</f>
        <v>AS</v>
      </c>
      <c r="G789" s="16" t="s">
        <v>12042</v>
      </c>
      <c r="H789" s="181">
        <v>8743</v>
      </c>
      <c r="I789" s="180">
        <v>21.25</v>
      </c>
      <c r="K789" s="316">
        <f>IFERROR(Table28[[#This Row],[ROUTE COST]]/Table28[[#This Row],[O - DEMAND]],0)</f>
        <v>0</v>
      </c>
      <c r="M789" s="16">
        <f>Table28[[#This Row],[O - DEMAND]]/950</f>
        <v>0</v>
      </c>
      <c r="N789" s="16">
        <f>IFERROR(VLOOKUP(Table28[[#This Row],[ROUTE]],DEMAND!A:F,5,FALSE),0)</f>
        <v>0</v>
      </c>
      <c r="O789" s="16">
        <f>IFERROR(VLOOKUP(Table28[[#This Row],[ROUTE]],DEMAND!A:F,6,FALSE),0)</f>
        <v>0</v>
      </c>
      <c r="P789" s="16">
        <f>ROUNDDOWN(Table28[[#This Row],[R-DEMAND]]/950,0)</f>
        <v>0</v>
      </c>
      <c r="Q789" s="16">
        <f>Table28[[#This Row],[ADD ACC
(475/950)]]*Table28[[#This Row],[Duration
(A359)]]</f>
        <v>0</v>
      </c>
      <c r="R789" s="16">
        <f>IFERROR(VLOOKUP(Table28[[#This Row],[ROUTE]],PRICING!A:B,2,FALSE),0)</f>
        <v>0</v>
      </c>
      <c r="S789" s="16">
        <f>Table28[[#This Row],[C_DEMAND]]-Table28[[#This Row],[R-DEMAND]]</f>
        <v>0</v>
      </c>
      <c r="T789" s="316">
        <f>Table28[[#This Row],[SEATS SOLD]]*Table28[[#This Row],[ECO SEAT]]</f>
        <v>0</v>
      </c>
      <c r="U789" s="316">
        <f>Table28[[#This Row],[SEATS SOLD]]*(IFERROR(VLOOKUP(Table28[[#This Row],[ROUTE]],PRICING!A:C,3,FALSE),0))</f>
        <v>0</v>
      </c>
      <c r="V789" s="316">
        <f>Table28[[#This Row],[SEAT REV]]-Table28[[#This Row],[SEAT REV
(IF IDEAL $)]]</f>
        <v>0</v>
      </c>
      <c r="AS789" s="16" t="s">
        <v>683</v>
      </c>
      <c r="AT789" s="16" t="s">
        <v>13191</v>
      </c>
      <c r="AU789" s="16" t="s">
        <v>2520</v>
      </c>
      <c r="AV789" s="16" t="s">
        <v>18892</v>
      </c>
      <c r="AW789" s="16" t="s">
        <v>18879</v>
      </c>
      <c r="AX789" s="16" t="s">
        <v>18923</v>
      </c>
      <c r="AY789" s="385">
        <v>15044</v>
      </c>
    </row>
    <row r="790" spans="1:51" x14ac:dyDescent="0.25">
      <c r="A790" s="16" t="s">
        <v>19533</v>
      </c>
      <c r="B790" s="16" t="s">
        <v>5454</v>
      </c>
      <c r="C790" s="16" t="s">
        <v>467</v>
      </c>
      <c r="D790" s="16">
        <v>4</v>
      </c>
      <c r="E790" s="16" t="s">
        <v>514</v>
      </c>
      <c r="F790" s="16" t="str">
        <f>VLOOKUP(Table28[[#This Row],[Country]],Table10[[COUNTRY NAME]:[CONTINENT CODE]],3,FALSE)</f>
        <v>NA</v>
      </c>
      <c r="G790" s="16" t="s">
        <v>13163</v>
      </c>
      <c r="H790" s="181">
        <v>13296</v>
      </c>
      <c r="I790" s="180">
        <v>31.25</v>
      </c>
      <c r="K790" s="316">
        <f>IFERROR(Table28[[#This Row],[ROUTE COST]]/Table28[[#This Row],[O - DEMAND]],0)</f>
        <v>0</v>
      </c>
      <c r="M790" s="16">
        <f>Table28[[#This Row],[O - DEMAND]]/950</f>
        <v>0</v>
      </c>
      <c r="N790" s="16">
        <f>IFERROR(VLOOKUP(Table28[[#This Row],[ROUTE]],DEMAND!A:F,5,FALSE),0)</f>
        <v>2362</v>
      </c>
      <c r="O790" s="16">
        <f>IFERROR(VLOOKUP(Table28[[#This Row],[ROUTE]],DEMAND!A:F,6,FALSE),0)</f>
        <v>462</v>
      </c>
      <c r="P790" s="16">
        <f>ROUNDDOWN(Table28[[#This Row],[R-DEMAND]]/950,0)</f>
        <v>0</v>
      </c>
      <c r="Q790" s="16">
        <f>Table28[[#This Row],[ADD ACC
(475/950)]]*Table28[[#This Row],[Duration
(A359)]]</f>
        <v>0</v>
      </c>
      <c r="R790" s="16">
        <f>IFERROR(VLOOKUP(Table28[[#This Row],[ROUTE]],PRICING!A:B,2,FALSE),0)</f>
        <v>0</v>
      </c>
      <c r="S790" s="16">
        <f>Table28[[#This Row],[C_DEMAND]]-Table28[[#This Row],[R-DEMAND]]</f>
        <v>1900</v>
      </c>
      <c r="T790" s="316">
        <f>Table28[[#This Row],[SEATS SOLD]]*Table28[[#This Row],[ECO SEAT]]</f>
        <v>0</v>
      </c>
      <c r="U790" s="316">
        <f>Table28[[#This Row],[SEATS SOLD]]*(IFERROR(VLOOKUP(Table28[[#This Row],[ROUTE]],PRICING!A:C,3,FALSE),0))</f>
        <v>0</v>
      </c>
      <c r="V790" s="316">
        <f>Table28[[#This Row],[SEAT REV]]-Table28[[#This Row],[SEAT REV
(IF IDEAL $)]]</f>
        <v>0</v>
      </c>
      <c r="AS790" s="16" t="s">
        <v>700</v>
      </c>
      <c r="AT790" s="16" t="s">
        <v>11847</v>
      </c>
      <c r="AU790" s="16" t="s">
        <v>5443</v>
      </c>
      <c r="AV790" s="16" t="s">
        <v>18881</v>
      </c>
      <c r="AW790" s="16" t="s">
        <v>18885</v>
      </c>
      <c r="AX790" s="16" t="s">
        <v>18923</v>
      </c>
      <c r="AY790" s="385">
        <v>15044</v>
      </c>
    </row>
    <row r="791" spans="1:51" x14ac:dyDescent="0.25">
      <c r="A791" s="16" t="s">
        <v>19749</v>
      </c>
      <c r="B791" s="16" t="s">
        <v>2466</v>
      </c>
      <c r="D791" s="16">
        <v>1</v>
      </c>
      <c r="E791" s="16" t="s">
        <v>700</v>
      </c>
      <c r="F791" s="16" t="str">
        <f>VLOOKUP(Table28[[#This Row],[Country]],Table10[[COUNTRY NAME]:[CONTINENT CODE]],3,FALSE)</f>
        <v>AS</v>
      </c>
      <c r="G791" s="16" t="s">
        <v>11852</v>
      </c>
      <c r="H791" s="181">
        <v>14887</v>
      </c>
      <c r="I791" s="180">
        <v>34.75</v>
      </c>
      <c r="K791" s="316">
        <f>IFERROR(Table28[[#This Row],[ROUTE COST]]/Table28[[#This Row],[O - DEMAND]],0)</f>
        <v>0</v>
      </c>
      <c r="M791" s="16">
        <f>Table28[[#This Row],[O - DEMAND]]/950</f>
        <v>0</v>
      </c>
      <c r="N791" s="16">
        <f>IFERROR(VLOOKUP(Table28[[#This Row],[ROUTE]],DEMAND!A:F,5,FALSE),0)</f>
        <v>0</v>
      </c>
      <c r="O791" s="16">
        <f>IFERROR(VLOOKUP(Table28[[#This Row],[ROUTE]],DEMAND!A:F,6,FALSE),0)</f>
        <v>0</v>
      </c>
      <c r="P791" s="16">
        <f>ROUNDDOWN(Table28[[#This Row],[R-DEMAND]]/950,0)</f>
        <v>0</v>
      </c>
      <c r="Q791" s="16">
        <f>Table28[[#This Row],[ADD ACC
(475/950)]]*Table28[[#This Row],[Duration
(A359)]]</f>
        <v>0</v>
      </c>
      <c r="R791" s="16">
        <f>IFERROR(VLOOKUP(Table28[[#This Row],[ROUTE]],PRICING!A:B,2,FALSE),0)</f>
        <v>0</v>
      </c>
      <c r="S791" s="16">
        <f>Table28[[#This Row],[C_DEMAND]]-Table28[[#This Row],[R-DEMAND]]</f>
        <v>0</v>
      </c>
      <c r="T791" s="316">
        <f>Table28[[#This Row],[SEATS SOLD]]*Table28[[#This Row],[ECO SEAT]]</f>
        <v>0</v>
      </c>
      <c r="U791" s="316">
        <f>Table28[[#This Row],[SEATS SOLD]]*(IFERROR(VLOOKUP(Table28[[#This Row],[ROUTE]],PRICING!A:C,3,FALSE),0))</f>
        <v>0</v>
      </c>
      <c r="V791" s="316">
        <f>Table28[[#This Row],[SEAT REV]]-Table28[[#This Row],[SEAT REV
(IF IDEAL $)]]</f>
        <v>0</v>
      </c>
      <c r="AS791" s="16" t="s">
        <v>517</v>
      </c>
      <c r="AT791" s="16" t="s">
        <v>13157</v>
      </c>
      <c r="AU791" s="16" t="s">
        <v>3553</v>
      </c>
      <c r="AV791" s="16" t="s">
        <v>18881</v>
      </c>
      <c r="AW791" s="16" t="s">
        <v>18879</v>
      </c>
      <c r="AX791" s="16" t="s">
        <v>18923</v>
      </c>
      <c r="AY791" s="385">
        <v>15046</v>
      </c>
    </row>
    <row r="792" spans="1:51" x14ac:dyDescent="0.25">
      <c r="A792" s="16" t="s">
        <v>19024</v>
      </c>
      <c r="B792" s="16" t="s">
        <v>14211</v>
      </c>
      <c r="E792" s="16" t="s">
        <v>1261</v>
      </c>
      <c r="F792" s="16" t="str">
        <f>VLOOKUP(Table28[[#This Row],[Country]],Table10[[COUNTRY NAME]:[CONTINENT CODE]],3,FALSE)</f>
        <v>AS</v>
      </c>
      <c r="G792" s="16" t="s">
        <v>14210</v>
      </c>
      <c r="H792" s="181">
        <v>5083</v>
      </c>
      <c r="I792" s="180">
        <v>13.25</v>
      </c>
      <c r="K792" s="316">
        <f>IFERROR(Table28[[#This Row],[ROUTE COST]]/Table28[[#This Row],[O - DEMAND]],0)</f>
        <v>0</v>
      </c>
      <c r="M792" s="16">
        <f>Table28[[#This Row],[O - DEMAND]]/950</f>
        <v>0</v>
      </c>
      <c r="N792" s="16">
        <f>IFERROR(VLOOKUP(Table28[[#This Row],[ROUTE]],DEMAND!A:F,5,FALSE),0)</f>
        <v>0</v>
      </c>
      <c r="O792" s="16">
        <f>IFERROR(VLOOKUP(Table28[[#This Row],[ROUTE]],DEMAND!A:F,6,FALSE),0)</f>
        <v>0</v>
      </c>
      <c r="P792" s="16">
        <f>ROUNDDOWN(Table28[[#This Row],[R-DEMAND]]/950,0)</f>
        <v>0</v>
      </c>
      <c r="Q792" s="16">
        <f>Table28[[#This Row],[ADD ACC
(475/950)]]*Table28[[#This Row],[Duration
(A359)]]</f>
        <v>0</v>
      </c>
      <c r="R792" s="16">
        <f>IFERROR(VLOOKUP(Table28[[#This Row],[ROUTE]],PRICING!A:B,2,FALSE),0)</f>
        <v>0</v>
      </c>
      <c r="S792" s="16">
        <f>Table28[[#This Row],[C_DEMAND]]-Table28[[#This Row],[R-DEMAND]]</f>
        <v>0</v>
      </c>
      <c r="T792" s="316">
        <f>Table28[[#This Row],[SEATS SOLD]]*Table28[[#This Row],[ECO SEAT]]</f>
        <v>0</v>
      </c>
      <c r="U792" s="316">
        <f>Table28[[#This Row],[SEATS SOLD]]*(IFERROR(VLOOKUP(Table28[[#This Row],[ROUTE]],PRICING!A:C,3,FALSE),0))</f>
        <v>0</v>
      </c>
      <c r="V792" s="316">
        <f>Table28[[#This Row],[SEAT REV]]-Table28[[#This Row],[SEAT REV
(IF IDEAL $)]]</f>
        <v>0</v>
      </c>
      <c r="AS792" s="16" t="s">
        <v>1420</v>
      </c>
      <c r="AT792" s="16" t="s">
        <v>11844</v>
      </c>
      <c r="AU792" s="16" t="s">
        <v>4408</v>
      </c>
      <c r="AV792" s="16" t="s">
        <v>18884</v>
      </c>
      <c r="AW792" s="16" t="s">
        <v>18879</v>
      </c>
      <c r="AX792" s="16" t="s">
        <v>18923</v>
      </c>
      <c r="AY792" s="385">
        <v>15048</v>
      </c>
    </row>
    <row r="793" spans="1:51" x14ac:dyDescent="0.25">
      <c r="A793" s="16" t="s">
        <v>19140</v>
      </c>
      <c r="B793" s="16" t="s">
        <v>4276</v>
      </c>
      <c r="E793" s="16" t="s">
        <v>14</v>
      </c>
      <c r="F793" s="16" t="str">
        <f>VLOOKUP(Table28[[#This Row],[Country]],Table10[[COUNTRY NAME]:[CONTINENT CODE]],3,FALSE)</f>
        <v>AS</v>
      </c>
      <c r="G793" s="16" t="s">
        <v>16818</v>
      </c>
      <c r="H793" s="181">
        <v>8294</v>
      </c>
      <c r="I793" s="180">
        <v>20.25</v>
      </c>
      <c r="K793" s="316">
        <f>IFERROR(Table28[[#This Row],[ROUTE COST]]/Table28[[#This Row],[O - DEMAND]],0)</f>
        <v>0</v>
      </c>
      <c r="M793" s="16">
        <f>Table28[[#This Row],[O - DEMAND]]/950</f>
        <v>0</v>
      </c>
      <c r="N793" s="16">
        <f>IFERROR(VLOOKUP(Table28[[#This Row],[ROUTE]],DEMAND!A:F,5,FALSE),0)</f>
        <v>0</v>
      </c>
      <c r="O793" s="16">
        <f>IFERROR(VLOOKUP(Table28[[#This Row],[ROUTE]],DEMAND!A:F,6,FALSE),0)</f>
        <v>0</v>
      </c>
      <c r="P793" s="16">
        <f>ROUNDDOWN(Table28[[#This Row],[R-DEMAND]]/950,0)</f>
        <v>0</v>
      </c>
      <c r="Q793" s="16">
        <f>Table28[[#This Row],[ADD ACC
(475/950)]]*Table28[[#This Row],[Duration
(A359)]]</f>
        <v>0</v>
      </c>
      <c r="R793" s="16">
        <f>IFERROR(VLOOKUP(Table28[[#This Row],[ROUTE]],PRICING!A:B,2,FALSE),0)</f>
        <v>0</v>
      </c>
      <c r="S793" s="16">
        <f>Table28[[#This Row],[C_DEMAND]]-Table28[[#This Row],[R-DEMAND]]</f>
        <v>0</v>
      </c>
      <c r="T793" s="316">
        <f>Table28[[#This Row],[SEATS SOLD]]*Table28[[#This Row],[ECO SEAT]]</f>
        <v>0</v>
      </c>
      <c r="U793" s="316">
        <f>Table28[[#This Row],[SEATS SOLD]]*(IFERROR(VLOOKUP(Table28[[#This Row],[ROUTE]],PRICING!A:C,3,FALSE),0))</f>
        <v>0</v>
      </c>
      <c r="V793" s="316">
        <f>Table28[[#This Row],[SEAT REV]]-Table28[[#This Row],[SEAT REV
(IF IDEAL $)]]</f>
        <v>0</v>
      </c>
      <c r="AS793" s="16" t="s">
        <v>11732</v>
      </c>
      <c r="AT793" s="16" t="s">
        <v>17012</v>
      </c>
      <c r="AU793" s="16" t="s">
        <v>4867</v>
      </c>
      <c r="AV793" s="16" t="s">
        <v>18878</v>
      </c>
      <c r="AX793" s="16" t="s">
        <v>18923</v>
      </c>
      <c r="AY793" s="385">
        <v>15050</v>
      </c>
    </row>
    <row r="794" spans="1:51" x14ac:dyDescent="0.25">
      <c r="A794" s="16" t="s">
        <v>19267</v>
      </c>
      <c r="B794" s="16" t="s">
        <v>4106</v>
      </c>
      <c r="D794" s="16">
        <v>2</v>
      </c>
      <c r="E794" s="16" t="s">
        <v>78</v>
      </c>
      <c r="F794" s="16" t="str">
        <f>VLOOKUP(Table28[[#This Row],[Country]],Table10[[COUNTRY NAME]:[CONTINENT CODE]],3,FALSE)</f>
        <v>EU</v>
      </c>
      <c r="G794" s="16" t="s">
        <v>6123</v>
      </c>
      <c r="H794" s="181">
        <v>10854</v>
      </c>
      <c r="I794" s="180">
        <v>26</v>
      </c>
      <c r="K794" s="316">
        <f>IFERROR(Table28[[#This Row],[ROUTE COST]]/Table28[[#This Row],[O - DEMAND]],0)</f>
        <v>0</v>
      </c>
      <c r="M794" s="16">
        <f>Table28[[#This Row],[O - DEMAND]]/950</f>
        <v>0</v>
      </c>
      <c r="N794" s="16">
        <f>IFERROR(VLOOKUP(Table28[[#This Row],[ROUTE]],DEMAND!A:F,5,FALSE),0)</f>
        <v>0</v>
      </c>
      <c r="O794" s="16">
        <f>IFERROR(VLOOKUP(Table28[[#This Row],[ROUTE]],DEMAND!A:F,6,FALSE),0)</f>
        <v>0</v>
      </c>
      <c r="P794" s="16">
        <f>ROUNDDOWN(Table28[[#This Row],[R-DEMAND]]/950,0)</f>
        <v>0</v>
      </c>
      <c r="Q794" s="16">
        <f>Table28[[#This Row],[ADD ACC
(475/950)]]*Table28[[#This Row],[Duration
(A359)]]</f>
        <v>0</v>
      </c>
      <c r="R794" s="16">
        <f>IFERROR(VLOOKUP(Table28[[#This Row],[ROUTE]],PRICING!A:B,2,FALSE),0)</f>
        <v>0</v>
      </c>
      <c r="S794" s="16">
        <f>Table28[[#This Row],[C_DEMAND]]-Table28[[#This Row],[R-DEMAND]]</f>
        <v>0</v>
      </c>
      <c r="T794" s="316">
        <f>Table28[[#This Row],[SEATS SOLD]]*Table28[[#This Row],[ECO SEAT]]</f>
        <v>0</v>
      </c>
      <c r="U794" s="316">
        <f>Table28[[#This Row],[SEATS SOLD]]*(IFERROR(VLOOKUP(Table28[[#This Row],[ROUTE]],PRICING!A:C,3,FALSE),0))</f>
        <v>0</v>
      </c>
      <c r="V794" s="316">
        <f>Table28[[#This Row],[SEAT REV]]-Table28[[#This Row],[SEAT REV
(IF IDEAL $)]]</f>
        <v>0</v>
      </c>
      <c r="AS794" s="16" t="s">
        <v>11732</v>
      </c>
      <c r="AT794" s="16" t="s">
        <v>17028</v>
      </c>
      <c r="AU794" s="16" t="s">
        <v>5680</v>
      </c>
      <c r="AV794" s="16" t="s">
        <v>18878</v>
      </c>
      <c r="AW794" s="16" t="s">
        <v>18918</v>
      </c>
      <c r="AX794" s="16" t="s">
        <v>18923</v>
      </c>
      <c r="AY794" s="385">
        <v>15051</v>
      </c>
    </row>
    <row r="795" spans="1:51" x14ac:dyDescent="0.25">
      <c r="A795" s="16" t="s">
        <v>19447</v>
      </c>
      <c r="B795" s="16" t="s">
        <v>4766</v>
      </c>
      <c r="D795" s="16">
        <v>3</v>
      </c>
      <c r="E795" s="16" t="s">
        <v>514</v>
      </c>
      <c r="F795" s="16" t="str">
        <f>VLOOKUP(Table28[[#This Row],[Country]],Table10[[COUNTRY NAME]:[CONTINENT CODE]],3,FALSE)</f>
        <v>NA</v>
      </c>
      <c r="G795" s="16" t="s">
        <v>16938</v>
      </c>
      <c r="H795" s="181">
        <v>12789</v>
      </c>
      <c r="I795" s="180">
        <v>30.25</v>
      </c>
      <c r="K795" s="316">
        <f>IFERROR(Table28[[#This Row],[ROUTE COST]]/Table28[[#This Row],[O - DEMAND]],0)</f>
        <v>0</v>
      </c>
      <c r="M795" s="16">
        <f>Table28[[#This Row],[O - DEMAND]]/950</f>
        <v>0</v>
      </c>
      <c r="N795" s="16">
        <f>IFERROR(VLOOKUP(Table28[[#This Row],[ROUTE]],DEMAND!A:F,5,FALSE),0)</f>
        <v>0</v>
      </c>
      <c r="O795" s="16">
        <f>IFERROR(VLOOKUP(Table28[[#This Row],[ROUTE]],DEMAND!A:F,6,FALSE),0)</f>
        <v>0</v>
      </c>
      <c r="P795" s="16">
        <f>ROUNDDOWN(Table28[[#This Row],[R-DEMAND]]/950,0)</f>
        <v>0</v>
      </c>
      <c r="Q795" s="16">
        <f>Table28[[#This Row],[ADD ACC
(475/950)]]*Table28[[#This Row],[Duration
(A359)]]</f>
        <v>0</v>
      </c>
      <c r="R795" s="16">
        <f>IFERROR(VLOOKUP(Table28[[#This Row],[ROUTE]],PRICING!A:B,2,FALSE),0)</f>
        <v>0</v>
      </c>
      <c r="S795" s="16">
        <f>Table28[[#This Row],[C_DEMAND]]-Table28[[#This Row],[R-DEMAND]]</f>
        <v>0</v>
      </c>
      <c r="T795" s="316">
        <f>Table28[[#This Row],[SEATS SOLD]]*Table28[[#This Row],[ECO SEAT]]</f>
        <v>0</v>
      </c>
      <c r="U795" s="316">
        <f>Table28[[#This Row],[SEATS SOLD]]*(IFERROR(VLOOKUP(Table28[[#This Row],[ROUTE]],PRICING!A:C,3,FALSE),0))</f>
        <v>0</v>
      </c>
      <c r="V795" s="316">
        <f>Table28[[#This Row],[SEAT REV]]-Table28[[#This Row],[SEAT REV
(IF IDEAL $)]]</f>
        <v>0</v>
      </c>
      <c r="AS795" s="16" t="s">
        <v>807</v>
      </c>
      <c r="AT795" s="16" t="s">
        <v>8013</v>
      </c>
      <c r="AU795" s="16" t="s">
        <v>4320</v>
      </c>
      <c r="AV795" s="16" t="s">
        <v>18878</v>
      </c>
      <c r="AW795" s="16" t="s">
        <v>18879</v>
      </c>
      <c r="AX795" s="16" t="s">
        <v>18923</v>
      </c>
      <c r="AY795" s="385">
        <v>15055</v>
      </c>
    </row>
    <row r="796" spans="1:51" x14ac:dyDescent="0.25">
      <c r="A796" s="16" t="s">
        <v>19569</v>
      </c>
      <c r="B796" s="16" t="s">
        <v>3219</v>
      </c>
      <c r="D796" s="16">
        <v>2</v>
      </c>
      <c r="E796" s="16" t="s">
        <v>172</v>
      </c>
      <c r="F796" s="16" t="str">
        <f>VLOOKUP(Table28[[#This Row],[Country]],Table10[[COUNTRY NAME]:[CONTINENT CODE]],3,FALSE)</f>
        <v>AS</v>
      </c>
      <c r="G796" s="16" t="s">
        <v>11913</v>
      </c>
      <c r="H796" s="181">
        <v>13537</v>
      </c>
      <c r="I796" s="180">
        <v>31.75</v>
      </c>
      <c r="K796" s="316">
        <f>IFERROR(Table28[[#This Row],[ROUTE COST]]/Table28[[#This Row],[O - DEMAND]],0)</f>
        <v>0</v>
      </c>
      <c r="M796" s="16">
        <f>Table28[[#This Row],[O - DEMAND]]/950</f>
        <v>0</v>
      </c>
      <c r="N796" s="16">
        <f>IFERROR(VLOOKUP(Table28[[#This Row],[ROUTE]],DEMAND!A:F,5,FALSE),0)</f>
        <v>0</v>
      </c>
      <c r="O796" s="16">
        <f>IFERROR(VLOOKUP(Table28[[#This Row],[ROUTE]],DEMAND!A:F,6,FALSE),0)</f>
        <v>0</v>
      </c>
      <c r="P796" s="16">
        <f>ROUNDDOWN(Table28[[#This Row],[R-DEMAND]]/950,0)</f>
        <v>0</v>
      </c>
      <c r="Q796" s="16">
        <f>Table28[[#This Row],[ADD ACC
(475/950)]]*Table28[[#This Row],[Duration
(A359)]]</f>
        <v>0</v>
      </c>
      <c r="R796" s="16">
        <f>IFERROR(VLOOKUP(Table28[[#This Row],[ROUTE]],PRICING!A:B,2,FALSE),0)</f>
        <v>0</v>
      </c>
      <c r="S796" s="16">
        <f>Table28[[#This Row],[C_DEMAND]]-Table28[[#This Row],[R-DEMAND]]</f>
        <v>0</v>
      </c>
      <c r="T796" s="316">
        <f>Table28[[#This Row],[SEATS SOLD]]*Table28[[#This Row],[ECO SEAT]]</f>
        <v>0</v>
      </c>
      <c r="U796" s="316">
        <f>Table28[[#This Row],[SEATS SOLD]]*(IFERROR(VLOOKUP(Table28[[#This Row],[ROUTE]],PRICING!A:C,3,FALSE),0))</f>
        <v>0</v>
      </c>
      <c r="V796" s="316">
        <f>Table28[[#This Row],[SEAT REV]]-Table28[[#This Row],[SEAT REV
(IF IDEAL $)]]</f>
        <v>0</v>
      </c>
      <c r="AS796" s="16" t="s">
        <v>807</v>
      </c>
      <c r="AT796" s="16" t="s">
        <v>16894</v>
      </c>
      <c r="AU796" s="16" t="s">
        <v>2700</v>
      </c>
      <c r="AV796" s="16" t="s">
        <v>18878</v>
      </c>
      <c r="AW796" s="16" t="s">
        <v>18879</v>
      </c>
      <c r="AX796" s="16" t="s">
        <v>18923</v>
      </c>
      <c r="AY796" s="385">
        <v>15060</v>
      </c>
    </row>
    <row r="797" spans="1:51" x14ac:dyDescent="0.25">
      <c r="A797" s="16" t="s">
        <v>19172</v>
      </c>
      <c r="B797" s="16" t="s">
        <v>4431</v>
      </c>
      <c r="E797" s="16" t="s">
        <v>14</v>
      </c>
      <c r="F797" s="16" t="str">
        <f>VLOOKUP(Table28[[#This Row],[Country]],Table10[[COUNTRY NAME]:[CONTINENT CODE]],3,FALSE)</f>
        <v>AS</v>
      </c>
      <c r="G797" s="16" t="s">
        <v>16841</v>
      </c>
      <c r="H797" s="181">
        <v>8826</v>
      </c>
      <c r="I797" s="180">
        <v>21.5</v>
      </c>
      <c r="K797" s="316">
        <f>IFERROR(Table28[[#This Row],[ROUTE COST]]/Table28[[#This Row],[O - DEMAND]],0)</f>
        <v>0</v>
      </c>
      <c r="M797" s="16">
        <f>Table28[[#This Row],[O - DEMAND]]/950</f>
        <v>0</v>
      </c>
      <c r="N797" s="16">
        <f>IFERROR(VLOOKUP(Table28[[#This Row],[ROUTE]],DEMAND!A:F,5,FALSE),0)</f>
        <v>0</v>
      </c>
      <c r="O797" s="16">
        <f>IFERROR(VLOOKUP(Table28[[#This Row],[ROUTE]],DEMAND!A:F,6,FALSE),0)</f>
        <v>0</v>
      </c>
      <c r="P797" s="16">
        <f>ROUNDDOWN(Table28[[#This Row],[R-DEMAND]]/950,0)</f>
        <v>0</v>
      </c>
      <c r="Q797" s="16">
        <f>Table28[[#This Row],[ADD ACC
(475/950)]]*Table28[[#This Row],[Duration
(A359)]]</f>
        <v>0</v>
      </c>
      <c r="R797" s="16">
        <f>IFERROR(VLOOKUP(Table28[[#This Row],[ROUTE]],PRICING!A:B,2,FALSE),0)</f>
        <v>0</v>
      </c>
      <c r="S797" s="16">
        <f>Table28[[#This Row],[C_DEMAND]]-Table28[[#This Row],[R-DEMAND]]</f>
        <v>0</v>
      </c>
      <c r="T797" s="316">
        <f>Table28[[#This Row],[SEATS SOLD]]*Table28[[#This Row],[ECO SEAT]]</f>
        <v>0</v>
      </c>
      <c r="U797" s="316">
        <f>Table28[[#This Row],[SEATS SOLD]]*(IFERROR(VLOOKUP(Table28[[#This Row],[ROUTE]],PRICING!A:C,3,FALSE),0))</f>
        <v>0</v>
      </c>
      <c r="V797" s="316">
        <f>Table28[[#This Row],[SEAT REV]]-Table28[[#This Row],[SEAT REV
(IF IDEAL $)]]</f>
        <v>0</v>
      </c>
      <c r="AS797" s="16" t="s">
        <v>11732</v>
      </c>
      <c r="AT797" s="16" t="s">
        <v>13367</v>
      </c>
      <c r="AU797" s="16" t="s">
        <v>4880</v>
      </c>
      <c r="AV797" s="16" t="s">
        <v>18892</v>
      </c>
      <c r="AW797" s="16" t="s">
        <v>18885</v>
      </c>
      <c r="AX797" s="16" t="s">
        <v>18923</v>
      </c>
      <c r="AY797" s="385">
        <v>15062</v>
      </c>
    </row>
    <row r="798" spans="1:51" x14ac:dyDescent="0.25">
      <c r="A798" s="16" t="s">
        <v>19156</v>
      </c>
      <c r="B798" s="16" t="s">
        <v>5006</v>
      </c>
      <c r="E798" s="16" t="s">
        <v>14</v>
      </c>
      <c r="F798" s="16" t="str">
        <f>VLOOKUP(Table28[[#This Row],[Country]],Table10[[COUNTRY NAME]:[CONTINENT CODE]],3,FALSE)</f>
        <v>AS</v>
      </c>
      <c r="G798" s="16" t="s">
        <v>16832</v>
      </c>
      <c r="H798" s="181">
        <v>8514</v>
      </c>
      <c r="I798" s="180">
        <v>20.75</v>
      </c>
      <c r="K798" s="316">
        <f>IFERROR(Table28[[#This Row],[ROUTE COST]]/Table28[[#This Row],[O - DEMAND]],0)</f>
        <v>0</v>
      </c>
      <c r="M798" s="16">
        <f>Table28[[#This Row],[O - DEMAND]]/950</f>
        <v>0</v>
      </c>
      <c r="N798" s="16">
        <f>IFERROR(VLOOKUP(Table28[[#This Row],[ROUTE]],DEMAND!A:F,5,FALSE),0)</f>
        <v>0</v>
      </c>
      <c r="O798" s="16">
        <f>IFERROR(VLOOKUP(Table28[[#This Row],[ROUTE]],DEMAND!A:F,6,FALSE),0)</f>
        <v>0</v>
      </c>
      <c r="P798" s="16">
        <f>ROUNDDOWN(Table28[[#This Row],[R-DEMAND]]/950,0)</f>
        <v>0</v>
      </c>
      <c r="Q798" s="16">
        <f>Table28[[#This Row],[ADD ACC
(475/950)]]*Table28[[#This Row],[Duration
(A359)]]</f>
        <v>0</v>
      </c>
      <c r="R798" s="16">
        <f>IFERROR(VLOOKUP(Table28[[#This Row],[ROUTE]],PRICING!A:B,2,FALSE),0)</f>
        <v>0</v>
      </c>
      <c r="S798" s="16">
        <f>Table28[[#This Row],[C_DEMAND]]-Table28[[#This Row],[R-DEMAND]]</f>
        <v>0</v>
      </c>
      <c r="T798" s="316">
        <f>Table28[[#This Row],[SEATS SOLD]]*Table28[[#This Row],[ECO SEAT]]</f>
        <v>0</v>
      </c>
      <c r="U798" s="316">
        <f>Table28[[#This Row],[SEATS SOLD]]*(IFERROR(VLOOKUP(Table28[[#This Row],[ROUTE]],PRICING!A:C,3,FALSE),0))</f>
        <v>0</v>
      </c>
      <c r="V798" s="316">
        <f>Table28[[#This Row],[SEAT REV]]-Table28[[#This Row],[SEAT REV
(IF IDEAL $)]]</f>
        <v>0</v>
      </c>
      <c r="AS798" s="16" t="s">
        <v>11732</v>
      </c>
      <c r="AT798" s="16" t="s">
        <v>13319</v>
      </c>
      <c r="AU798" s="16" t="s">
        <v>4094</v>
      </c>
      <c r="AV798" s="16" t="s">
        <v>18884</v>
      </c>
      <c r="AW798" s="16" t="s">
        <v>18879</v>
      </c>
      <c r="AX798" s="16" t="s">
        <v>18923</v>
      </c>
      <c r="AY798" s="385">
        <v>15069</v>
      </c>
    </row>
    <row r="799" spans="1:51" x14ac:dyDescent="0.25">
      <c r="A799" s="16" t="s">
        <v>19775</v>
      </c>
      <c r="B799" s="16" t="s">
        <v>2061</v>
      </c>
      <c r="D799" s="16">
        <v>1</v>
      </c>
      <c r="E799" s="16" t="s">
        <v>2059</v>
      </c>
      <c r="F799" s="16" t="str">
        <f>VLOOKUP(Table28[[#This Row],[Country]],Table10[[COUNTRY NAME]:[CONTINENT CODE]],3,FALSE)</f>
        <v>AF</v>
      </c>
      <c r="G799" s="16" t="s">
        <v>11799</v>
      </c>
      <c r="H799" s="181">
        <v>14999</v>
      </c>
      <c r="I799" s="180">
        <v>35</v>
      </c>
      <c r="K799" s="316">
        <f>IFERROR(Table28[[#This Row],[ROUTE COST]]/Table28[[#This Row],[O - DEMAND]],0)</f>
        <v>0</v>
      </c>
      <c r="M799" s="16">
        <f>Table28[[#This Row],[O - DEMAND]]/950</f>
        <v>0</v>
      </c>
      <c r="N799" s="16">
        <f>IFERROR(VLOOKUP(Table28[[#This Row],[ROUTE]],DEMAND!A:F,5,FALSE),0)</f>
        <v>0</v>
      </c>
      <c r="O799" s="16">
        <f>IFERROR(VLOOKUP(Table28[[#This Row],[ROUTE]],DEMAND!A:F,6,FALSE),0)</f>
        <v>0</v>
      </c>
      <c r="P799" s="16">
        <f>ROUNDDOWN(Table28[[#This Row],[R-DEMAND]]/950,0)</f>
        <v>0</v>
      </c>
      <c r="Q799" s="16">
        <f>Table28[[#This Row],[ADD ACC
(475/950)]]*Table28[[#This Row],[Duration
(A359)]]</f>
        <v>0</v>
      </c>
      <c r="R799" s="16">
        <f>IFERROR(VLOOKUP(Table28[[#This Row],[ROUTE]],PRICING!A:B,2,FALSE),0)</f>
        <v>0</v>
      </c>
      <c r="S799" s="16">
        <f>Table28[[#This Row],[C_DEMAND]]-Table28[[#This Row],[R-DEMAND]]</f>
        <v>0</v>
      </c>
      <c r="T799" s="316">
        <f>Table28[[#This Row],[SEATS SOLD]]*Table28[[#This Row],[ECO SEAT]]</f>
        <v>0</v>
      </c>
      <c r="U799" s="316">
        <f>Table28[[#This Row],[SEATS SOLD]]*(IFERROR(VLOOKUP(Table28[[#This Row],[ROUTE]],PRICING!A:C,3,FALSE),0))</f>
        <v>0</v>
      </c>
      <c r="V799" s="316">
        <f>Table28[[#This Row],[SEAT REV]]-Table28[[#This Row],[SEAT REV
(IF IDEAL $)]]</f>
        <v>0</v>
      </c>
      <c r="AS799" s="16" t="s">
        <v>11732</v>
      </c>
      <c r="AT799" s="16" t="s">
        <v>13328</v>
      </c>
      <c r="AU799" s="16" t="s">
        <v>5589</v>
      </c>
      <c r="AV799" s="16" t="s">
        <v>18884</v>
      </c>
      <c r="AW799" s="16" t="s">
        <v>18899</v>
      </c>
      <c r="AX799" s="16" t="s">
        <v>18923</v>
      </c>
      <c r="AY799" s="385">
        <v>15073</v>
      </c>
    </row>
    <row r="800" spans="1:51" x14ac:dyDescent="0.25">
      <c r="A800" s="16" t="s">
        <v>19394</v>
      </c>
      <c r="B800" s="16" t="s">
        <v>3507</v>
      </c>
      <c r="D800" s="16">
        <v>2</v>
      </c>
      <c r="E800" s="16" t="s">
        <v>514</v>
      </c>
      <c r="F800" s="16" t="str">
        <f>VLOOKUP(Table28[[#This Row],[Country]],Table10[[COUNTRY NAME]:[CONTINENT CODE]],3,FALSE)</f>
        <v>NA</v>
      </c>
      <c r="G800" s="16" t="s">
        <v>6041</v>
      </c>
      <c r="H800" s="181">
        <v>12420</v>
      </c>
      <c r="I800" s="180">
        <v>29.5</v>
      </c>
      <c r="K800" s="316">
        <f>IFERROR(Table28[[#This Row],[ROUTE COST]]/Table28[[#This Row],[O - DEMAND]],0)</f>
        <v>0</v>
      </c>
      <c r="M800" s="16">
        <f>Table28[[#This Row],[O - DEMAND]]/950</f>
        <v>0</v>
      </c>
      <c r="N800" s="16">
        <f>IFERROR(VLOOKUP(Table28[[#This Row],[ROUTE]],DEMAND!A:F,5,FALSE),0)</f>
        <v>0</v>
      </c>
      <c r="O800" s="16">
        <f>IFERROR(VLOOKUP(Table28[[#This Row],[ROUTE]],DEMAND!A:F,6,FALSE),0)</f>
        <v>0</v>
      </c>
      <c r="P800" s="16">
        <f>ROUNDDOWN(Table28[[#This Row],[R-DEMAND]]/950,0)</f>
        <v>0</v>
      </c>
      <c r="Q800" s="16">
        <f>Table28[[#This Row],[ADD ACC
(475/950)]]*Table28[[#This Row],[Duration
(A359)]]</f>
        <v>0</v>
      </c>
      <c r="R800" s="16">
        <f>IFERROR(VLOOKUP(Table28[[#This Row],[ROUTE]],PRICING!A:B,2,FALSE),0)</f>
        <v>0</v>
      </c>
      <c r="S800" s="16">
        <f>Table28[[#This Row],[C_DEMAND]]-Table28[[#This Row],[R-DEMAND]]</f>
        <v>0</v>
      </c>
      <c r="T800" s="316">
        <f>Table28[[#This Row],[SEATS SOLD]]*Table28[[#This Row],[ECO SEAT]]</f>
        <v>0</v>
      </c>
      <c r="U800" s="316">
        <f>Table28[[#This Row],[SEATS SOLD]]*(IFERROR(VLOOKUP(Table28[[#This Row],[ROUTE]],PRICING!A:C,3,FALSE),0))</f>
        <v>0</v>
      </c>
      <c r="V800" s="316">
        <f>Table28[[#This Row],[SEAT REV]]-Table28[[#This Row],[SEAT REV
(IF IDEAL $)]]</f>
        <v>0</v>
      </c>
      <c r="AS800" s="16" t="s">
        <v>11732</v>
      </c>
      <c r="AT800" s="16" t="s">
        <v>13313</v>
      </c>
      <c r="AU800" s="16" t="s">
        <v>4917</v>
      </c>
      <c r="AV800" s="16" t="s">
        <v>18881</v>
      </c>
      <c r="AW800" s="16" t="s">
        <v>18885</v>
      </c>
      <c r="AX800" s="16" t="s">
        <v>18923</v>
      </c>
      <c r="AY800" s="385">
        <v>15075</v>
      </c>
    </row>
    <row r="801" spans="1:51" x14ac:dyDescent="0.25">
      <c r="A801" s="16" t="s">
        <v>19383</v>
      </c>
      <c r="B801" s="16" t="s">
        <v>3091</v>
      </c>
      <c r="D801" s="16">
        <v>2</v>
      </c>
      <c r="E801" s="16" t="s">
        <v>11732</v>
      </c>
      <c r="F801" s="16" t="str">
        <f>VLOOKUP(Table28[[#This Row],[Country]],Table10[[COUNTRY NAME]:[CONTINENT CODE]],3,FALSE)</f>
        <v>NA - US</v>
      </c>
      <c r="G801" s="16" t="s">
        <v>13279</v>
      </c>
      <c r="H801" s="181">
        <v>12307</v>
      </c>
      <c r="I801" s="180">
        <v>29.25</v>
      </c>
      <c r="K801" s="316">
        <f>IFERROR(Table28[[#This Row],[ROUTE COST]]/Table28[[#This Row],[O - DEMAND]],0)</f>
        <v>0</v>
      </c>
      <c r="M801" s="180">
        <f>Table28[[#This Row],[O - DEMAND]]/950</f>
        <v>0</v>
      </c>
      <c r="N801" s="16">
        <f>IFERROR(VLOOKUP(Table28[[#This Row],[ROUTE]],DEMAND!A:F,5,FALSE),0)</f>
        <v>0</v>
      </c>
      <c r="O801" s="16">
        <f>IFERROR(VLOOKUP(Table28[[#This Row],[ROUTE]],DEMAND!A:F,6,FALSE),0)</f>
        <v>0</v>
      </c>
      <c r="P801" s="16">
        <f>ROUNDDOWN(Table28[[#This Row],[R-DEMAND]]/950,0)</f>
        <v>0</v>
      </c>
      <c r="Q801" s="16">
        <f>Table28[[#This Row],[ADD ACC
(475/950)]]*Table28[[#This Row],[Duration
(A359)]]</f>
        <v>0</v>
      </c>
      <c r="R801" s="16">
        <f>IFERROR(VLOOKUP(Table28[[#This Row],[ROUTE]],PRICING!A:B,2,FALSE),0)</f>
        <v>0</v>
      </c>
      <c r="S801" s="16">
        <f>Table28[[#This Row],[C_DEMAND]]-Table28[[#This Row],[R-DEMAND]]</f>
        <v>0</v>
      </c>
      <c r="T801" s="316">
        <f>Table28[[#This Row],[SEATS SOLD]]*Table28[[#This Row],[ECO SEAT]]</f>
        <v>0</v>
      </c>
      <c r="U801" s="316">
        <f>Table28[[#This Row],[SEATS SOLD]]*(IFERROR(VLOOKUP(Table28[[#This Row],[ROUTE]],PRICING!A:C,3,FALSE),0))</f>
        <v>0</v>
      </c>
      <c r="V801" s="316">
        <f>Table28[[#This Row],[SEAT REV]]-Table28[[#This Row],[SEAT REV
(IF IDEAL $)]]</f>
        <v>0</v>
      </c>
      <c r="AS801" s="16" t="s">
        <v>11732</v>
      </c>
      <c r="AT801" s="16" t="s">
        <v>13372</v>
      </c>
      <c r="AU801" s="16" t="s">
        <v>132</v>
      </c>
      <c r="AV801" s="16" t="s">
        <v>18881</v>
      </c>
      <c r="AW801" s="16" t="s">
        <v>18899</v>
      </c>
      <c r="AX801" s="16" t="s">
        <v>18923</v>
      </c>
      <c r="AY801" s="385">
        <v>15082</v>
      </c>
    </row>
    <row r="802" spans="1:51" x14ac:dyDescent="0.25">
      <c r="A802" s="16" t="s">
        <v>19406</v>
      </c>
      <c r="B802" s="16" t="s">
        <v>483</v>
      </c>
      <c r="C802" s="16" t="s">
        <v>467</v>
      </c>
      <c r="D802" s="16">
        <v>4</v>
      </c>
      <c r="E802" s="16" t="s">
        <v>514</v>
      </c>
      <c r="F802" s="16" t="str">
        <f>VLOOKUP(Table28[[#This Row],[Country]],Table10[[COUNTRY NAME]:[CONTINENT CODE]],3,FALSE)</f>
        <v>NA</v>
      </c>
      <c r="G802" s="16" t="s">
        <v>11026</v>
      </c>
      <c r="H802" s="181">
        <v>12504</v>
      </c>
      <c r="I802" s="180">
        <v>29.5</v>
      </c>
      <c r="K802" s="316">
        <f>IFERROR(Table28[[#This Row],[ROUTE COST]]/Table28[[#This Row],[O - DEMAND]],0)</f>
        <v>0</v>
      </c>
      <c r="M802" s="16">
        <f>Table28[[#This Row],[O - DEMAND]]/950</f>
        <v>0</v>
      </c>
      <c r="N802" s="16">
        <f>IFERROR(VLOOKUP(Table28[[#This Row],[ROUTE]],DEMAND!A:F,5,FALSE),0)</f>
        <v>2616</v>
      </c>
      <c r="O802" s="16">
        <f>IFERROR(VLOOKUP(Table28[[#This Row],[ROUTE]],DEMAND!A:F,6,FALSE),0)</f>
        <v>716</v>
      </c>
      <c r="P802" s="16">
        <f>ROUNDDOWN(Table28[[#This Row],[R-DEMAND]]/950,0)</f>
        <v>0</v>
      </c>
      <c r="Q802" s="16">
        <f>Table28[[#This Row],[ADD ACC
(475/950)]]*Table28[[#This Row],[Duration
(A359)]]</f>
        <v>0</v>
      </c>
      <c r="R802" s="16">
        <f>IFERROR(VLOOKUP(Table28[[#This Row],[ROUTE]],PRICING!A:B,2,FALSE),0)</f>
        <v>0</v>
      </c>
      <c r="S802" s="16">
        <f>Table28[[#This Row],[C_DEMAND]]-Table28[[#This Row],[R-DEMAND]]</f>
        <v>1900</v>
      </c>
      <c r="T802" s="316">
        <f>Table28[[#This Row],[SEATS SOLD]]*Table28[[#This Row],[ECO SEAT]]</f>
        <v>0</v>
      </c>
      <c r="U802" s="316">
        <f>Table28[[#This Row],[SEATS SOLD]]*(IFERROR(VLOOKUP(Table28[[#This Row],[ROUTE]],PRICING!A:C,3,FALSE),0))</f>
        <v>0</v>
      </c>
      <c r="V802" s="316">
        <f>Table28[[#This Row],[SEAT REV]]-Table28[[#This Row],[SEAT REV
(IF IDEAL $)]]</f>
        <v>0</v>
      </c>
      <c r="AS802" s="16" t="s">
        <v>11732</v>
      </c>
      <c r="AT802" s="16" t="s">
        <v>13363</v>
      </c>
      <c r="AU802" s="16" t="s">
        <v>5397</v>
      </c>
      <c r="AV802" s="16" t="s">
        <v>18881</v>
      </c>
      <c r="AW802" s="16" t="s">
        <v>18899</v>
      </c>
      <c r="AX802" s="16" t="s">
        <v>18923</v>
      </c>
      <c r="AY802" s="385">
        <v>15086</v>
      </c>
    </row>
    <row r="803" spans="1:51" x14ac:dyDescent="0.25">
      <c r="A803" s="16" t="s">
        <v>19588</v>
      </c>
      <c r="B803" s="16" t="s">
        <v>4594</v>
      </c>
      <c r="D803" s="16">
        <v>2</v>
      </c>
      <c r="E803" s="16" t="s">
        <v>514</v>
      </c>
      <c r="F803" s="16" t="str">
        <f>VLOOKUP(Table28[[#This Row],[Country]],Table10[[COUNTRY NAME]:[CONTINENT CODE]],3,FALSE)</f>
        <v>NA</v>
      </c>
      <c r="G803" s="16" t="s">
        <v>16947</v>
      </c>
      <c r="H803" s="181">
        <v>13705</v>
      </c>
      <c r="I803" s="180">
        <v>32.25</v>
      </c>
      <c r="K803" s="316">
        <f>IFERROR(Table28[[#This Row],[ROUTE COST]]/Table28[[#This Row],[O - DEMAND]],0)</f>
        <v>0</v>
      </c>
      <c r="M803" s="16">
        <f>Table28[[#This Row],[O - DEMAND]]/950</f>
        <v>0</v>
      </c>
      <c r="N803" s="16">
        <f>IFERROR(VLOOKUP(Table28[[#This Row],[ROUTE]],DEMAND!A:F,5,FALSE),0)</f>
        <v>0</v>
      </c>
      <c r="O803" s="16">
        <f>IFERROR(VLOOKUP(Table28[[#This Row],[ROUTE]],DEMAND!A:F,6,FALSE),0)</f>
        <v>0</v>
      </c>
      <c r="P803" s="16">
        <f>ROUNDDOWN(Table28[[#This Row],[R-DEMAND]]/950,0)</f>
        <v>0</v>
      </c>
      <c r="Q803" s="16">
        <f>Table28[[#This Row],[ADD ACC
(475/950)]]*Table28[[#This Row],[Duration
(A359)]]</f>
        <v>0</v>
      </c>
      <c r="R803" s="16">
        <f>IFERROR(VLOOKUP(Table28[[#This Row],[ROUTE]],PRICING!A:B,2,FALSE),0)</f>
        <v>0</v>
      </c>
      <c r="S803" s="16">
        <f>Table28[[#This Row],[C_DEMAND]]-Table28[[#This Row],[R-DEMAND]]</f>
        <v>0</v>
      </c>
      <c r="T803" s="316">
        <f>Table28[[#This Row],[SEATS SOLD]]*Table28[[#This Row],[ECO SEAT]]</f>
        <v>0</v>
      </c>
      <c r="U803" s="316">
        <f>Table28[[#This Row],[SEATS SOLD]]*(IFERROR(VLOOKUP(Table28[[#This Row],[ROUTE]],PRICING!A:C,3,FALSE),0))</f>
        <v>0</v>
      </c>
      <c r="V803" s="316">
        <f>Table28[[#This Row],[SEAT REV]]-Table28[[#This Row],[SEAT REV
(IF IDEAL $)]]</f>
        <v>0</v>
      </c>
      <c r="AS803" s="16" t="s">
        <v>11732</v>
      </c>
      <c r="AT803" s="16" t="s">
        <v>13370</v>
      </c>
      <c r="AU803" s="16" t="s">
        <v>3433</v>
      </c>
      <c r="AV803" s="16" t="s">
        <v>18881</v>
      </c>
      <c r="AW803" s="16" t="s">
        <v>18879</v>
      </c>
      <c r="AX803" s="16" t="s">
        <v>18923</v>
      </c>
      <c r="AY803" s="385">
        <v>15090</v>
      </c>
    </row>
    <row r="804" spans="1:51" x14ac:dyDescent="0.25">
      <c r="A804" s="16" t="s">
        <v>19442</v>
      </c>
      <c r="B804" s="16" t="s">
        <v>3904</v>
      </c>
      <c r="D804" s="16">
        <v>2</v>
      </c>
      <c r="E804" s="16" t="s">
        <v>514</v>
      </c>
      <c r="F804" s="16" t="str">
        <f>VLOOKUP(Table28[[#This Row],[Country]],Table10[[COUNTRY NAME]:[CONTINENT CODE]],3,FALSE)</f>
        <v>NA</v>
      </c>
      <c r="G804" s="16" t="s">
        <v>11671</v>
      </c>
      <c r="H804" s="181">
        <v>12760</v>
      </c>
      <c r="I804" s="180">
        <v>30.25</v>
      </c>
      <c r="K804" s="316">
        <f>IFERROR(Table28[[#This Row],[ROUTE COST]]/Table28[[#This Row],[O - DEMAND]],0)</f>
        <v>0</v>
      </c>
      <c r="M804" s="16">
        <f>Table28[[#This Row],[O - DEMAND]]/950</f>
        <v>0</v>
      </c>
      <c r="N804" s="16">
        <f>IFERROR(VLOOKUP(Table28[[#This Row],[ROUTE]],DEMAND!A:F,5,FALSE),0)</f>
        <v>0</v>
      </c>
      <c r="O804" s="16">
        <f>IFERROR(VLOOKUP(Table28[[#This Row],[ROUTE]],DEMAND!A:F,6,FALSE),0)</f>
        <v>0</v>
      </c>
      <c r="P804" s="16">
        <f>ROUNDDOWN(Table28[[#This Row],[R-DEMAND]]/950,0)</f>
        <v>0</v>
      </c>
      <c r="Q804" s="16">
        <f>Table28[[#This Row],[ADD ACC
(475/950)]]*Table28[[#This Row],[Duration
(A359)]]</f>
        <v>0</v>
      </c>
      <c r="R804" s="16">
        <f>IFERROR(VLOOKUP(Table28[[#This Row],[ROUTE]],PRICING!A:B,2,FALSE),0)</f>
        <v>0</v>
      </c>
      <c r="S804" s="16">
        <f>Table28[[#This Row],[C_DEMAND]]-Table28[[#This Row],[R-DEMAND]]</f>
        <v>0</v>
      </c>
      <c r="T804" s="316">
        <f>Table28[[#This Row],[SEATS SOLD]]*Table28[[#This Row],[ECO SEAT]]</f>
        <v>0</v>
      </c>
      <c r="U804" s="316">
        <f>Table28[[#This Row],[SEATS SOLD]]*(IFERROR(VLOOKUP(Table28[[#This Row],[ROUTE]],PRICING!A:C,3,FALSE),0))</f>
        <v>0</v>
      </c>
      <c r="V804" s="316">
        <f>Table28[[#This Row],[SEAT REV]]-Table28[[#This Row],[SEAT REV
(IF IDEAL $)]]</f>
        <v>0</v>
      </c>
      <c r="AS804" s="16" t="s">
        <v>11732</v>
      </c>
      <c r="AT804" s="16" t="s">
        <v>13364</v>
      </c>
      <c r="AU804" s="16" t="s">
        <v>3897</v>
      </c>
      <c r="AV804" s="16" t="s">
        <v>18881</v>
      </c>
      <c r="AW804" s="16" t="s">
        <v>18879</v>
      </c>
      <c r="AX804" s="16" t="s">
        <v>18923</v>
      </c>
      <c r="AY804" s="385">
        <v>15094</v>
      </c>
    </row>
    <row r="805" spans="1:51" x14ac:dyDescent="0.25">
      <c r="A805" s="16" t="s">
        <v>19414</v>
      </c>
      <c r="B805" s="16" t="s">
        <v>4062</v>
      </c>
      <c r="D805" s="16">
        <v>2</v>
      </c>
      <c r="E805" s="16" t="s">
        <v>514</v>
      </c>
      <c r="F805" s="16" t="str">
        <f>VLOOKUP(Table28[[#This Row],[Country]],Table10[[COUNTRY NAME]:[CONTINENT CODE]],3,FALSE)</f>
        <v>NA</v>
      </c>
      <c r="G805" s="16" t="s">
        <v>11667</v>
      </c>
      <c r="H805" s="181">
        <v>12549</v>
      </c>
      <c r="I805" s="180">
        <v>29.75</v>
      </c>
      <c r="K805" s="316">
        <f>IFERROR(Table28[[#This Row],[ROUTE COST]]/Table28[[#This Row],[O - DEMAND]],0)</f>
        <v>0</v>
      </c>
      <c r="M805" s="16">
        <f>Table28[[#This Row],[O - DEMAND]]/950</f>
        <v>0</v>
      </c>
      <c r="N805" s="16">
        <f>IFERROR(VLOOKUP(Table28[[#This Row],[ROUTE]],DEMAND!A:F,5,FALSE),0)</f>
        <v>0</v>
      </c>
      <c r="O805" s="16">
        <f>IFERROR(VLOOKUP(Table28[[#This Row],[ROUTE]],DEMAND!A:F,6,FALSE),0)</f>
        <v>0</v>
      </c>
      <c r="P805" s="16">
        <f>ROUNDDOWN(Table28[[#This Row],[R-DEMAND]]/950,0)</f>
        <v>0</v>
      </c>
      <c r="Q805" s="16">
        <f>Table28[[#This Row],[ADD ACC
(475/950)]]*Table28[[#This Row],[Duration
(A359)]]</f>
        <v>0</v>
      </c>
      <c r="R805" s="16">
        <f>IFERROR(VLOOKUP(Table28[[#This Row],[ROUTE]],PRICING!A:B,2,FALSE),0)</f>
        <v>0</v>
      </c>
      <c r="S805" s="16">
        <f>Table28[[#This Row],[C_DEMAND]]-Table28[[#This Row],[R-DEMAND]]</f>
        <v>0</v>
      </c>
      <c r="T805" s="316">
        <f>Table28[[#This Row],[SEATS SOLD]]*Table28[[#This Row],[ECO SEAT]]</f>
        <v>0</v>
      </c>
      <c r="U805" s="316">
        <f>Table28[[#This Row],[SEATS SOLD]]*(IFERROR(VLOOKUP(Table28[[#This Row],[ROUTE]],PRICING!A:C,3,FALSE),0))</f>
        <v>0</v>
      </c>
      <c r="V805" s="316">
        <f>Table28[[#This Row],[SEAT REV]]-Table28[[#This Row],[SEAT REV
(IF IDEAL $)]]</f>
        <v>0</v>
      </c>
      <c r="AS805" s="16" t="s">
        <v>1459</v>
      </c>
      <c r="AT805" s="16" t="s">
        <v>11842</v>
      </c>
      <c r="AU805" s="16" t="s">
        <v>4975</v>
      </c>
      <c r="AV805" s="16" t="s">
        <v>18881</v>
      </c>
      <c r="AW805" s="16" t="s">
        <v>18885</v>
      </c>
      <c r="AX805" s="16" t="s">
        <v>18923</v>
      </c>
      <c r="AY805" s="385">
        <v>15099</v>
      </c>
    </row>
    <row r="806" spans="1:51" x14ac:dyDescent="0.25">
      <c r="A806" s="16" t="s">
        <v>19398</v>
      </c>
      <c r="B806" s="16" t="s">
        <v>3269</v>
      </c>
      <c r="D806" s="16">
        <v>2</v>
      </c>
      <c r="E806" s="16" t="s">
        <v>514</v>
      </c>
      <c r="F806" s="16" t="str">
        <f>VLOOKUP(Table28[[#This Row],[Country]],Table10[[COUNTRY NAME]:[CONTINENT CODE]],3,FALSE)</f>
        <v>NA</v>
      </c>
      <c r="G806" s="16" t="s">
        <v>11695</v>
      </c>
      <c r="H806" s="181">
        <v>12449</v>
      </c>
      <c r="I806" s="180">
        <v>29.5</v>
      </c>
      <c r="K806" s="316">
        <f>IFERROR(Table28[[#This Row],[ROUTE COST]]/Table28[[#This Row],[O - DEMAND]],0)</f>
        <v>0</v>
      </c>
      <c r="M806" s="16">
        <f>Table28[[#This Row],[O - DEMAND]]/950</f>
        <v>0</v>
      </c>
      <c r="N806" s="16">
        <f>IFERROR(VLOOKUP(Table28[[#This Row],[ROUTE]],DEMAND!A:F,5,FALSE),0)</f>
        <v>0</v>
      </c>
      <c r="O806" s="16">
        <f>IFERROR(VLOOKUP(Table28[[#This Row],[ROUTE]],DEMAND!A:F,6,FALSE),0)</f>
        <v>0</v>
      </c>
      <c r="P806" s="16">
        <f>ROUNDDOWN(Table28[[#This Row],[R-DEMAND]]/950,0)</f>
        <v>0</v>
      </c>
      <c r="Q806" s="16">
        <f>Table28[[#This Row],[ADD ACC
(475/950)]]*Table28[[#This Row],[Duration
(A359)]]</f>
        <v>0</v>
      </c>
      <c r="R806" s="16">
        <f>IFERROR(VLOOKUP(Table28[[#This Row],[ROUTE]],PRICING!A:B,2,FALSE),0)</f>
        <v>0</v>
      </c>
      <c r="S806" s="16">
        <f>Table28[[#This Row],[C_DEMAND]]-Table28[[#This Row],[R-DEMAND]]</f>
        <v>0</v>
      </c>
      <c r="T806" s="316">
        <f>Table28[[#This Row],[SEATS SOLD]]*Table28[[#This Row],[ECO SEAT]]</f>
        <v>0</v>
      </c>
      <c r="U806" s="316">
        <f>Table28[[#This Row],[SEATS SOLD]]*(IFERROR(VLOOKUP(Table28[[#This Row],[ROUTE]],PRICING!A:C,3,FALSE),0))</f>
        <v>0</v>
      </c>
      <c r="V806" s="316">
        <f>Table28[[#This Row],[SEAT REV]]-Table28[[#This Row],[SEAT REV
(IF IDEAL $)]]</f>
        <v>0</v>
      </c>
      <c r="AS806" s="16" t="s">
        <v>807</v>
      </c>
      <c r="AT806" s="16" t="s">
        <v>9141</v>
      </c>
      <c r="AU806" s="16" t="s">
        <v>2639</v>
      </c>
      <c r="AV806" s="16" t="s">
        <v>18878</v>
      </c>
      <c r="AW806" s="16" t="s">
        <v>18879</v>
      </c>
      <c r="AX806" s="16" t="s">
        <v>18923</v>
      </c>
      <c r="AY806" s="385">
        <v>15114</v>
      </c>
    </row>
    <row r="807" spans="1:51" x14ac:dyDescent="0.25">
      <c r="A807" s="16" t="s">
        <v>19515</v>
      </c>
      <c r="B807" s="16" t="s">
        <v>5613</v>
      </c>
      <c r="C807" s="16" t="s">
        <v>467</v>
      </c>
      <c r="D807" s="16">
        <v>4</v>
      </c>
      <c r="E807" s="16" t="s">
        <v>514</v>
      </c>
      <c r="F807" s="16" t="str">
        <f>VLOOKUP(Table28[[#This Row],[Country]],Table10[[COUNTRY NAME]:[CONTINENT CODE]],3,FALSE)</f>
        <v>NA</v>
      </c>
      <c r="G807" s="16" t="s">
        <v>13164</v>
      </c>
      <c r="H807" s="181">
        <v>13188</v>
      </c>
      <c r="I807" s="180">
        <v>31</v>
      </c>
      <c r="K807" s="316">
        <f>IFERROR(Table28[[#This Row],[ROUTE COST]]/Table28[[#This Row],[O - DEMAND]],0)</f>
        <v>0</v>
      </c>
      <c r="M807" s="16">
        <f>Table28[[#This Row],[O - DEMAND]]/950</f>
        <v>0</v>
      </c>
      <c r="N807" s="16">
        <f>IFERROR(VLOOKUP(Table28[[#This Row],[ROUTE]],DEMAND!A:F,5,FALSE),0)</f>
        <v>2555</v>
      </c>
      <c r="O807" s="16">
        <f>IFERROR(VLOOKUP(Table28[[#This Row],[ROUTE]],DEMAND!A:F,6,FALSE),0)</f>
        <v>655</v>
      </c>
      <c r="P807" s="16">
        <f>ROUNDDOWN(Table28[[#This Row],[R-DEMAND]]/950,0)</f>
        <v>0</v>
      </c>
      <c r="Q807" s="16">
        <f>Table28[[#This Row],[ADD ACC
(475/950)]]*Table28[[#This Row],[Duration
(A359)]]</f>
        <v>0</v>
      </c>
      <c r="R807" s="16">
        <f>IFERROR(VLOOKUP(Table28[[#This Row],[ROUTE]],PRICING!A:B,2,FALSE),0)</f>
        <v>0</v>
      </c>
      <c r="S807" s="16">
        <f>Table28[[#This Row],[C_DEMAND]]-Table28[[#This Row],[R-DEMAND]]</f>
        <v>1900</v>
      </c>
      <c r="T807" s="316">
        <f>Table28[[#This Row],[SEATS SOLD]]*Table28[[#This Row],[ECO SEAT]]</f>
        <v>0</v>
      </c>
      <c r="U807" s="316">
        <f>Table28[[#This Row],[SEATS SOLD]]*(IFERROR(VLOOKUP(Table28[[#This Row],[ROUTE]],PRICING!A:C,3,FALSE),0))</f>
        <v>0</v>
      </c>
      <c r="V807" s="316">
        <f>Table28[[#This Row],[SEAT REV]]-Table28[[#This Row],[SEAT REV
(IF IDEAL $)]]</f>
        <v>0</v>
      </c>
      <c r="AS807" s="16" t="s">
        <v>1959</v>
      </c>
      <c r="AT807" s="16" t="s">
        <v>11833</v>
      </c>
      <c r="AU807" s="16" t="s">
        <v>4572</v>
      </c>
      <c r="AV807" s="16" t="s">
        <v>18884</v>
      </c>
      <c r="AW807" s="16" t="s">
        <v>18879</v>
      </c>
      <c r="AX807" s="16" t="s">
        <v>18923</v>
      </c>
      <c r="AY807" s="385">
        <v>15118</v>
      </c>
    </row>
    <row r="808" spans="1:51" x14ac:dyDescent="0.25">
      <c r="A808" s="16" t="s">
        <v>19707</v>
      </c>
      <c r="B808" s="16" t="s">
        <v>2759</v>
      </c>
      <c r="D808" s="16">
        <v>2</v>
      </c>
      <c r="E808" s="16" t="s">
        <v>514</v>
      </c>
      <c r="F808" s="16" t="str">
        <f>VLOOKUP(Table28[[#This Row],[Country]],Table10[[COUNTRY NAME]:[CONTINENT CODE]],3,FALSE)</f>
        <v>NA</v>
      </c>
      <c r="G808" s="16" t="s">
        <v>13165</v>
      </c>
      <c r="H808" s="181">
        <v>14583</v>
      </c>
      <c r="I808" s="180">
        <v>34.25</v>
      </c>
      <c r="K808" s="316">
        <f>IFERROR(Table28[[#This Row],[ROUTE COST]]/Table28[[#This Row],[O - DEMAND]],0)</f>
        <v>0</v>
      </c>
      <c r="M808" s="16">
        <f>Table28[[#This Row],[O - DEMAND]]/950</f>
        <v>0</v>
      </c>
      <c r="N808" s="16">
        <f>IFERROR(VLOOKUP(Table28[[#This Row],[ROUTE]],DEMAND!A:F,5,FALSE),0)</f>
        <v>0</v>
      </c>
      <c r="O808" s="16">
        <f>IFERROR(VLOOKUP(Table28[[#This Row],[ROUTE]],DEMAND!A:F,6,FALSE),0)</f>
        <v>0</v>
      </c>
      <c r="P808" s="16">
        <f>ROUNDDOWN(Table28[[#This Row],[R-DEMAND]]/950,0)</f>
        <v>0</v>
      </c>
      <c r="Q808" s="16">
        <f>Table28[[#This Row],[ADD ACC
(475/950)]]*Table28[[#This Row],[Duration
(A359)]]</f>
        <v>0</v>
      </c>
      <c r="R808" s="16">
        <f>IFERROR(VLOOKUP(Table28[[#This Row],[ROUTE]],PRICING!A:B,2,FALSE),0)</f>
        <v>0</v>
      </c>
      <c r="S808" s="16">
        <f>Table28[[#This Row],[C_DEMAND]]-Table28[[#This Row],[R-DEMAND]]</f>
        <v>0</v>
      </c>
      <c r="T808" s="316">
        <f>Table28[[#This Row],[SEATS SOLD]]*Table28[[#This Row],[ECO SEAT]]</f>
        <v>0</v>
      </c>
      <c r="U808" s="316">
        <f>Table28[[#This Row],[SEATS SOLD]]*(IFERROR(VLOOKUP(Table28[[#This Row],[ROUTE]],PRICING!A:C,3,FALSE),0))</f>
        <v>0</v>
      </c>
      <c r="V808" s="316">
        <f>Table28[[#This Row],[SEAT REV]]-Table28[[#This Row],[SEAT REV
(IF IDEAL $)]]</f>
        <v>0</v>
      </c>
      <c r="AS808" s="16" t="s">
        <v>2059</v>
      </c>
      <c r="AT808" s="16" t="s">
        <v>11754</v>
      </c>
      <c r="AU808" s="16" t="s">
        <v>4629</v>
      </c>
      <c r="AV808" s="16" t="s">
        <v>18881</v>
      </c>
      <c r="AW808" s="16" t="s">
        <v>18879</v>
      </c>
      <c r="AX808" s="16" t="s">
        <v>18923</v>
      </c>
      <c r="AY808" s="385">
        <v>15126</v>
      </c>
    </row>
    <row r="809" spans="1:51" x14ac:dyDescent="0.25">
      <c r="A809" s="16" t="s">
        <v>19031</v>
      </c>
      <c r="B809" s="16" t="s">
        <v>4237</v>
      </c>
      <c r="D809" s="16">
        <v>2</v>
      </c>
      <c r="E809" s="16" t="s">
        <v>717</v>
      </c>
      <c r="F809" s="16" t="str">
        <f>VLOOKUP(Table28[[#This Row],[Country]],Table10[[COUNTRY NAME]:[CONTINENT CODE]],3,FALSE)</f>
        <v>AS</v>
      </c>
      <c r="G809" s="16" t="s">
        <v>18108</v>
      </c>
      <c r="H809" s="181">
        <v>5483</v>
      </c>
      <c r="I809" s="180">
        <v>14.25</v>
      </c>
      <c r="K809" s="316">
        <f>IFERROR(Table28[[#This Row],[ROUTE COST]]/Table28[[#This Row],[O - DEMAND]],0)</f>
        <v>0</v>
      </c>
      <c r="M809" s="16">
        <f>Table28[[#This Row],[O - DEMAND]]/950</f>
        <v>0</v>
      </c>
      <c r="N809" s="16">
        <f>IFERROR(VLOOKUP(Table28[[#This Row],[ROUTE]],DEMAND!A:F,5,FALSE),0)</f>
        <v>0</v>
      </c>
      <c r="O809" s="16">
        <f>IFERROR(VLOOKUP(Table28[[#This Row],[ROUTE]],DEMAND!A:F,6,FALSE),0)</f>
        <v>0</v>
      </c>
      <c r="P809" s="16">
        <f>ROUNDDOWN(Table28[[#This Row],[R-DEMAND]]/950,0)</f>
        <v>0</v>
      </c>
      <c r="Q809" s="16">
        <f>Table28[[#This Row],[ADD ACC
(475/950)]]*Table28[[#This Row],[Duration
(A359)]]</f>
        <v>0</v>
      </c>
      <c r="R809" s="16">
        <f>IFERROR(VLOOKUP(Table28[[#This Row],[ROUTE]],PRICING!A:B,2,FALSE),0)</f>
        <v>0</v>
      </c>
      <c r="S809" s="16">
        <f>Table28[[#This Row],[C_DEMAND]]-Table28[[#This Row],[R-DEMAND]]</f>
        <v>0</v>
      </c>
      <c r="T809" s="316">
        <f>Table28[[#This Row],[SEATS SOLD]]*Table28[[#This Row],[ECO SEAT]]</f>
        <v>0</v>
      </c>
      <c r="U809" s="316">
        <f>Table28[[#This Row],[SEATS SOLD]]*(IFERROR(VLOOKUP(Table28[[#This Row],[ROUTE]],PRICING!A:C,3,FALSE),0))</f>
        <v>0</v>
      </c>
      <c r="V809" s="316">
        <f>Table28[[#This Row],[SEAT REV]]-Table28[[#This Row],[SEAT REV
(IF IDEAL $)]]</f>
        <v>0</v>
      </c>
      <c r="AS809" s="16" t="s">
        <v>11732</v>
      </c>
      <c r="AT809" s="16" t="s">
        <v>13325</v>
      </c>
      <c r="AU809" s="16" t="s">
        <v>5074</v>
      </c>
      <c r="AV809" s="16" t="s">
        <v>18884</v>
      </c>
      <c r="AW809" s="16" t="s">
        <v>18885</v>
      </c>
      <c r="AX809" s="16" t="s">
        <v>18923</v>
      </c>
      <c r="AY809" s="385">
        <v>15129</v>
      </c>
    </row>
    <row r="810" spans="1:51" x14ac:dyDescent="0.25">
      <c r="A810" s="16" t="s">
        <v>19148</v>
      </c>
      <c r="B810" s="16" t="s">
        <v>1801</v>
      </c>
      <c r="D810" s="16">
        <v>1</v>
      </c>
      <c r="E810" s="16" t="s">
        <v>14</v>
      </c>
      <c r="F810" s="16" t="str">
        <f>VLOOKUP(Table28[[#This Row],[Country]],Table10[[COUNTRY NAME]:[CONTINENT CODE]],3,FALSE)</f>
        <v>AS</v>
      </c>
      <c r="G810" s="16" t="s">
        <v>5911</v>
      </c>
      <c r="H810" s="181">
        <v>8450</v>
      </c>
      <c r="I810" s="180">
        <v>20.75</v>
      </c>
      <c r="K810" s="316">
        <f>IFERROR(Table28[[#This Row],[ROUTE COST]]/Table28[[#This Row],[O - DEMAND]],0)</f>
        <v>0</v>
      </c>
      <c r="M810" s="16">
        <f>Table28[[#This Row],[O - DEMAND]]/950</f>
        <v>0</v>
      </c>
      <c r="N810" s="16">
        <f>IFERROR(VLOOKUP(Table28[[#This Row],[ROUTE]],DEMAND!A:F,5,FALSE),0)</f>
        <v>0</v>
      </c>
      <c r="O810" s="16">
        <f>IFERROR(VLOOKUP(Table28[[#This Row],[ROUTE]],DEMAND!A:F,6,FALSE),0)</f>
        <v>0</v>
      </c>
      <c r="P810" s="16">
        <f>ROUNDDOWN(Table28[[#This Row],[R-DEMAND]]/950,0)</f>
        <v>0</v>
      </c>
      <c r="Q810" s="16">
        <f>Table28[[#This Row],[ADD ACC
(475/950)]]*Table28[[#This Row],[Duration
(A359)]]</f>
        <v>0</v>
      </c>
      <c r="R810" s="16">
        <f>IFERROR(VLOOKUP(Table28[[#This Row],[ROUTE]],PRICING!A:B,2,FALSE),0)</f>
        <v>0</v>
      </c>
      <c r="S810" s="16">
        <f>Table28[[#This Row],[C_DEMAND]]-Table28[[#This Row],[R-DEMAND]]</f>
        <v>0</v>
      </c>
      <c r="T810" s="316">
        <f>Table28[[#This Row],[SEATS SOLD]]*Table28[[#This Row],[ECO SEAT]]</f>
        <v>0</v>
      </c>
      <c r="U810" s="316">
        <f>Table28[[#This Row],[SEATS SOLD]]*(IFERROR(VLOOKUP(Table28[[#This Row],[ROUTE]],PRICING!A:C,3,FALSE),0))</f>
        <v>0</v>
      </c>
      <c r="V810" s="316">
        <f>Table28[[#This Row],[SEAT REV]]-Table28[[#This Row],[SEAT REV
(IF IDEAL $)]]</f>
        <v>0</v>
      </c>
      <c r="AS810" s="16" t="s">
        <v>517</v>
      </c>
      <c r="AT810" s="16" t="s">
        <v>16943</v>
      </c>
      <c r="AU810" s="16" t="s">
        <v>4793</v>
      </c>
      <c r="AV810" s="16" t="s">
        <v>18878</v>
      </c>
      <c r="AW810" s="16" t="s">
        <v>18885</v>
      </c>
      <c r="AX810" s="16" t="s">
        <v>18923</v>
      </c>
      <c r="AY810" s="385">
        <v>15131</v>
      </c>
    </row>
    <row r="811" spans="1:51" x14ac:dyDescent="0.25">
      <c r="A811" s="16" t="s">
        <v>19457</v>
      </c>
      <c r="B811" s="16" t="s">
        <v>3972</v>
      </c>
      <c r="D811" s="16">
        <v>2</v>
      </c>
      <c r="E811" s="16" t="s">
        <v>1749</v>
      </c>
      <c r="F811" s="16" t="str">
        <f>VLOOKUP(Table28[[#This Row],[Country]],Table10[[COUNTRY NAME]:[CONTINENT CODE]],3,FALSE)</f>
        <v>NA</v>
      </c>
      <c r="G811" s="16" t="s">
        <v>13217</v>
      </c>
      <c r="H811" s="181">
        <v>12840</v>
      </c>
      <c r="I811" s="180">
        <v>30.25</v>
      </c>
      <c r="K811" s="316">
        <f>IFERROR(Table28[[#This Row],[ROUTE COST]]/Table28[[#This Row],[O - DEMAND]],0)</f>
        <v>0</v>
      </c>
      <c r="M811" s="16">
        <f>Table28[[#This Row],[O - DEMAND]]/950</f>
        <v>0</v>
      </c>
      <c r="N811" s="16">
        <f>IFERROR(VLOOKUP(Table28[[#This Row],[ROUTE]],DEMAND!A:F,5,FALSE),0)</f>
        <v>0</v>
      </c>
      <c r="O811" s="16">
        <f>IFERROR(VLOOKUP(Table28[[#This Row],[ROUTE]],DEMAND!A:F,6,FALSE),0)</f>
        <v>0</v>
      </c>
      <c r="P811" s="16">
        <f>ROUNDDOWN(Table28[[#This Row],[R-DEMAND]]/950,0)</f>
        <v>0</v>
      </c>
      <c r="Q811" s="16">
        <f>Table28[[#This Row],[ADD ACC
(475/950)]]*Table28[[#This Row],[Duration
(A359)]]</f>
        <v>0</v>
      </c>
      <c r="R811" s="16">
        <f>IFERROR(VLOOKUP(Table28[[#This Row],[ROUTE]],PRICING!A:B,2,FALSE),0)</f>
        <v>0</v>
      </c>
      <c r="S811" s="16">
        <f>Table28[[#This Row],[C_DEMAND]]-Table28[[#This Row],[R-DEMAND]]</f>
        <v>0</v>
      </c>
      <c r="T811" s="316">
        <f>Table28[[#This Row],[SEATS SOLD]]*Table28[[#This Row],[ECO SEAT]]</f>
        <v>0</v>
      </c>
      <c r="U811" s="316">
        <f>Table28[[#This Row],[SEATS SOLD]]*(IFERROR(VLOOKUP(Table28[[#This Row],[ROUTE]],PRICING!A:C,3,FALSE),0))</f>
        <v>0</v>
      </c>
      <c r="V811" s="316">
        <f>Table28[[#This Row],[SEAT REV]]-Table28[[#This Row],[SEAT REV
(IF IDEAL $)]]</f>
        <v>0</v>
      </c>
      <c r="AS811" s="16" t="s">
        <v>597</v>
      </c>
      <c r="AT811" s="16" t="s">
        <v>16879</v>
      </c>
      <c r="AU811" s="16" t="s">
        <v>5384</v>
      </c>
      <c r="AV811" s="16" t="s">
        <v>18878</v>
      </c>
      <c r="AW811" s="16" t="s">
        <v>18885</v>
      </c>
      <c r="AX811" s="16" t="s">
        <v>18923</v>
      </c>
      <c r="AY811" s="385">
        <v>15140</v>
      </c>
    </row>
    <row r="812" spans="1:51" x14ac:dyDescent="0.25">
      <c r="A812" s="16" t="s">
        <v>19206</v>
      </c>
      <c r="B812" s="16" t="s">
        <v>1963</v>
      </c>
      <c r="D812" s="16">
        <v>1</v>
      </c>
      <c r="E812" s="16" t="s">
        <v>14</v>
      </c>
      <c r="F812" s="16" t="str">
        <f>VLOOKUP(Table28[[#This Row],[Country]],Table10[[COUNTRY NAME]:[CONTINENT CODE]],3,FALSE)</f>
        <v>AS</v>
      </c>
      <c r="G812" s="16" t="s">
        <v>12034</v>
      </c>
      <c r="H812" s="181">
        <v>9269</v>
      </c>
      <c r="I812" s="180">
        <v>22.5</v>
      </c>
      <c r="K812" s="316">
        <f>IFERROR(Table28[[#This Row],[ROUTE COST]]/Table28[[#This Row],[O - DEMAND]],0)</f>
        <v>0</v>
      </c>
      <c r="M812" s="16">
        <f>Table28[[#This Row],[O - DEMAND]]/950</f>
        <v>0</v>
      </c>
      <c r="N812" s="16">
        <f>IFERROR(VLOOKUP(Table28[[#This Row],[ROUTE]],DEMAND!A:F,5,FALSE),0)</f>
        <v>0</v>
      </c>
      <c r="O812" s="16">
        <f>IFERROR(VLOOKUP(Table28[[#This Row],[ROUTE]],DEMAND!A:F,6,FALSE),0)</f>
        <v>0</v>
      </c>
      <c r="P812" s="16">
        <f>ROUNDDOWN(Table28[[#This Row],[R-DEMAND]]/950,0)</f>
        <v>0</v>
      </c>
      <c r="Q812" s="16">
        <f>Table28[[#This Row],[ADD ACC
(475/950)]]*Table28[[#This Row],[Duration
(A359)]]</f>
        <v>0</v>
      </c>
      <c r="R812" s="16">
        <f>IFERROR(VLOOKUP(Table28[[#This Row],[ROUTE]],PRICING!A:B,2,FALSE),0)</f>
        <v>0</v>
      </c>
      <c r="S812" s="16">
        <f>Table28[[#This Row],[C_DEMAND]]-Table28[[#This Row],[R-DEMAND]]</f>
        <v>0</v>
      </c>
      <c r="T812" s="316">
        <f>Table28[[#This Row],[SEATS SOLD]]*Table28[[#This Row],[ECO SEAT]]</f>
        <v>0</v>
      </c>
      <c r="U812" s="316">
        <f>Table28[[#This Row],[SEATS SOLD]]*(IFERROR(VLOOKUP(Table28[[#This Row],[ROUTE]],PRICING!A:C,3,FALSE),0))</f>
        <v>0</v>
      </c>
      <c r="V812" s="316">
        <f>Table28[[#This Row],[SEAT REV]]-Table28[[#This Row],[SEAT REV
(IF IDEAL $)]]</f>
        <v>0</v>
      </c>
      <c r="AS812" s="16" t="s">
        <v>585</v>
      </c>
      <c r="AT812" s="16" t="s">
        <v>16900</v>
      </c>
      <c r="AU812" s="16" t="s">
        <v>3305</v>
      </c>
      <c r="AV812" s="16" t="s">
        <v>18878</v>
      </c>
      <c r="AW812" s="16" t="s">
        <v>18879</v>
      </c>
      <c r="AX812" s="16" t="s">
        <v>18962</v>
      </c>
      <c r="AY812" s="385">
        <v>15150</v>
      </c>
    </row>
    <row r="813" spans="1:51" x14ac:dyDescent="0.25">
      <c r="A813" s="16" t="s">
        <v>19690</v>
      </c>
      <c r="B813" s="16" t="s">
        <v>14216</v>
      </c>
      <c r="C813" s="16" t="s">
        <v>467</v>
      </c>
      <c r="D813" s="16">
        <v>3</v>
      </c>
      <c r="E813" s="16" t="s">
        <v>78</v>
      </c>
      <c r="F813" s="16" t="str">
        <f>VLOOKUP(Table28[[#This Row],[Country]],Table10[[COUNTRY NAME]:[CONTINENT CODE]],3,FALSE)</f>
        <v>EU</v>
      </c>
      <c r="G813" s="16" t="s">
        <v>14215</v>
      </c>
      <c r="H813" s="181">
        <v>14472</v>
      </c>
      <c r="I813" s="180">
        <v>34</v>
      </c>
      <c r="K813" s="316">
        <f>IFERROR(Table28[[#This Row],[ROUTE COST]]/Table28[[#This Row],[O - DEMAND]],0)</f>
        <v>0</v>
      </c>
      <c r="M813" s="16">
        <f>Table28[[#This Row],[O - DEMAND]]/950</f>
        <v>0</v>
      </c>
      <c r="N813" s="16">
        <f>IFERROR(VLOOKUP(Table28[[#This Row],[ROUTE]],DEMAND!A:F,5,FALSE),0)</f>
        <v>2072</v>
      </c>
      <c r="O813" s="16">
        <f>IFERROR(VLOOKUP(Table28[[#This Row],[ROUTE]],DEMAND!A:F,6,FALSE),0)</f>
        <v>172</v>
      </c>
      <c r="P813" s="16">
        <f>ROUNDDOWN(Table28[[#This Row],[R-DEMAND]]/950,0)</f>
        <v>0</v>
      </c>
      <c r="Q813" s="16">
        <f>Table28[[#This Row],[ADD ACC
(475/950)]]*Table28[[#This Row],[Duration
(A359)]]</f>
        <v>0</v>
      </c>
      <c r="R813" s="16">
        <f>IFERROR(VLOOKUP(Table28[[#This Row],[ROUTE]],PRICING!A:B,2,FALSE),0)</f>
        <v>0</v>
      </c>
      <c r="S813" s="16">
        <f>Table28[[#This Row],[C_DEMAND]]-Table28[[#This Row],[R-DEMAND]]</f>
        <v>1900</v>
      </c>
      <c r="T813" s="316">
        <f>Table28[[#This Row],[SEATS SOLD]]*Table28[[#This Row],[ECO SEAT]]</f>
        <v>0</v>
      </c>
      <c r="U813" s="316">
        <f>Table28[[#This Row],[SEATS SOLD]]*(IFERROR(VLOOKUP(Table28[[#This Row],[ROUTE]],PRICING!A:C,3,FALSE),0))</f>
        <v>0</v>
      </c>
      <c r="V813" s="316">
        <f>Table28[[#This Row],[SEAT REV]]-Table28[[#This Row],[SEAT REV
(IF IDEAL $)]]</f>
        <v>0</v>
      </c>
      <c r="AS813" s="16" t="s">
        <v>683</v>
      </c>
      <c r="AT813" s="16" t="s">
        <v>13192</v>
      </c>
      <c r="AU813" s="16" t="s">
        <v>4391</v>
      </c>
      <c r="AV813" s="16" t="s">
        <v>18881</v>
      </c>
      <c r="AW813" s="16" t="s">
        <v>18879</v>
      </c>
      <c r="AX813" s="16" t="s">
        <v>18962</v>
      </c>
      <c r="AY813" s="385">
        <v>15153</v>
      </c>
    </row>
    <row r="814" spans="1:51" x14ac:dyDescent="0.25">
      <c r="A814" s="16" t="s">
        <v>19082</v>
      </c>
      <c r="B814" s="16" t="s">
        <v>4781</v>
      </c>
      <c r="D814" s="16">
        <v>3</v>
      </c>
      <c r="E814" s="16" t="s">
        <v>14</v>
      </c>
      <c r="F814" s="16" t="str">
        <f>VLOOKUP(Table28[[#This Row],[Country]],Table10[[COUNTRY NAME]:[CONTINENT CODE]],3,FALSE)</f>
        <v>AS</v>
      </c>
      <c r="G814" s="16" t="s">
        <v>12080</v>
      </c>
      <c r="H814" s="181">
        <v>7398</v>
      </c>
      <c r="I814" s="180">
        <v>18.25</v>
      </c>
      <c r="K814" s="316">
        <f>IFERROR(Table28[[#This Row],[ROUTE COST]]/Table28[[#This Row],[O - DEMAND]],0)</f>
        <v>0</v>
      </c>
      <c r="M814" s="16">
        <f>Table28[[#This Row],[O - DEMAND]]/950</f>
        <v>0</v>
      </c>
      <c r="N814" s="16">
        <f>IFERROR(VLOOKUP(Table28[[#This Row],[ROUTE]],DEMAND!A:F,5,FALSE),0)</f>
        <v>0</v>
      </c>
      <c r="O814" s="16">
        <f>IFERROR(VLOOKUP(Table28[[#This Row],[ROUTE]],DEMAND!A:F,6,FALSE),0)</f>
        <v>0</v>
      </c>
      <c r="P814" s="16">
        <f>ROUNDDOWN(Table28[[#This Row],[R-DEMAND]]/950,0)</f>
        <v>0</v>
      </c>
      <c r="Q814" s="16">
        <f>Table28[[#This Row],[ADD ACC
(475/950)]]*Table28[[#This Row],[Duration
(A359)]]</f>
        <v>0</v>
      </c>
      <c r="R814" s="16">
        <f>IFERROR(VLOOKUP(Table28[[#This Row],[ROUTE]],PRICING!A:B,2,FALSE),0)</f>
        <v>0</v>
      </c>
      <c r="S814" s="16">
        <f>Table28[[#This Row],[C_DEMAND]]-Table28[[#This Row],[R-DEMAND]]</f>
        <v>0</v>
      </c>
      <c r="T814" s="316">
        <f>Table28[[#This Row],[SEATS SOLD]]*Table28[[#This Row],[ECO SEAT]]</f>
        <v>0</v>
      </c>
      <c r="U814" s="316">
        <f>Table28[[#This Row],[SEATS SOLD]]*(IFERROR(VLOOKUP(Table28[[#This Row],[ROUTE]],PRICING!A:C,3,FALSE),0))</f>
        <v>0</v>
      </c>
      <c r="V814" s="316">
        <f>Table28[[#This Row],[SEAT REV]]-Table28[[#This Row],[SEAT REV
(IF IDEAL $)]]</f>
        <v>0</v>
      </c>
      <c r="AS814" s="16" t="s">
        <v>683</v>
      </c>
      <c r="AT814" s="16" t="s">
        <v>13193</v>
      </c>
      <c r="AU814" s="16" t="s">
        <v>3452</v>
      </c>
      <c r="AV814" s="16" t="s">
        <v>18884</v>
      </c>
      <c r="AW814" s="16" t="s">
        <v>18879</v>
      </c>
      <c r="AX814" s="16" t="s">
        <v>18962</v>
      </c>
      <c r="AY814" s="385">
        <v>15154</v>
      </c>
    </row>
    <row r="815" spans="1:51" x14ac:dyDescent="0.25">
      <c r="A815" s="16" t="s">
        <v>19190</v>
      </c>
      <c r="B815" s="16" t="s">
        <v>3</v>
      </c>
      <c r="D815" s="16">
        <v>2</v>
      </c>
      <c r="E815" s="16" t="s">
        <v>1710</v>
      </c>
      <c r="F815" s="16" t="str">
        <f>VLOOKUP(Table28[[#This Row],[Country]],Table10[[COUNTRY NAME]:[CONTINENT CODE]],3,FALSE)</f>
        <v>AS</v>
      </c>
      <c r="G815" s="16" t="s">
        <v>12068</v>
      </c>
      <c r="H815" s="181">
        <v>9062</v>
      </c>
      <c r="I815" s="180">
        <v>22</v>
      </c>
      <c r="K815" s="316">
        <f>IFERROR(Table28[[#This Row],[ROUTE COST]]/Table28[[#This Row],[O - DEMAND]],0)</f>
        <v>0</v>
      </c>
      <c r="M815" s="16">
        <f>Table28[[#This Row],[O - DEMAND]]/950</f>
        <v>0</v>
      </c>
      <c r="N815" s="16">
        <f>IFERROR(VLOOKUP(Table28[[#This Row],[ROUTE]],DEMAND!A:F,5,FALSE),0)</f>
        <v>0</v>
      </c>
      <c r="O815" s="16">
        <f>IFERROR(VLOOKUP(Table28[[#This Row],[ROUTE]],DEMAND!A:F,6,FALSE),0)</f>
        <v>0</v>
      </c>
      <c r="P815" s="16">
        <f>ROUNDDOWN(Table28[[#This Row],[R-DEMAND]]/950,0)</f>
        <v>0</v>
      </c>
      <c r="Q815" s="16">
        <f>Table28[[#This Row],[ADD ACC
(475/950)]]*Table28[[#This Row],[Duration
(A359)]]</f>
        <v>0</v>
      </c>
      <c r="R815" s="16">
        <f>IFERROR(VLOOKUP(Table28[[#This Row],[ROUTE]],PRICING!A:B,2,FALSE),0)</f>
        <v>0</v>
      </c>
      <c r="S815" s="16">
        <f>Table28[[#This Row],[C_DEMAND]]-Table28[[#This Row],[R-DEMAND]]</f>
        <v>0</v>
      </c>
      <c r="T815" s="316">
        <f>Table28[[#This Row],[SEATS SOLD]]*Table28[[#This Row],[ECO SEAT]]</f>
        <v>0</v>
      </c>
      <c r="U815" s="316">
        <f>Table28[[#This Row],[SEATS SOLD]]*(IFERROR(VLOOKUP(Table28[[#This Row],[ROUTE]],PRICING!A:C,3,FALSE),0))</f>
        <v>0</v>
      </c>
      <c r="V815" s="316">
        <f>Table28[[#This Row],[SEAT REV]]-Table28[[#This Row],[SEAT REV
(IF IDEAL $)]]</f>
        <v>0</v>
      </c>
      <c r="AS815" s="16" t="s">
        <v>585</v>
      </c>
      <c r="AT815" s="16" t="s">
        <v>11807</v>
      </c>
      <c r="AU815" s="16" t="s">
        <v>4545</v>
      </c>
      <c r="AV815" s="16" t="s">
        <v>18884</v>
      </c>
      <c r="AW815" s="16" t="s">
        <v>18879</v>
      </c>
      <c r="AX815" s="16" t="s">
        <v>18962</v>
      </c>
      <c r="AY815" s="385">
        <v>15176</v>
      </c>
    </row>
    <row r="816" spans="1:51" x14ac:dyDescent="0.25">
      <c r="A816" s="16" t="s">
        <v>18997</v>
      </c>
      <c r="B816" s="16" t="s">
        <v>410</v>
      </c>
      <c r="C816" s="16" t="s">
        <v>467</v>
      </c>
      <c r="D816" s="16">
        <v>5</v>
      </c>
      <c r="E816" s="16" t="s">
        <v>774</v>
      </c>
      <c r="F816" s="16" t="str">
        <f>VLOOKUP(Table28[[#This Row],[Country]],Table10[[COUNTRY NAME]:[CONTINENT CODE]],3,FALSE)</f>
        <v>OC</v>
      </c>
      <c r="G816" s="16" t="s">
        <v>11104</v>
      </c>
      <c r="H816" s="181">
        <v>753</v>
      </c>
      <c r="I816" s="180">
        <v>3.75</v>
      </c>
      <c r="K816" s="316">
        <f>IFERROR(Table28[[#This Row],[ROUTE COST]]/Table28[[#This Row],[O - DEMAND]],0)</f>
        <v>0</v>
      </c>
      <c r="M816" s="16">
        <f>Table28[[#This Row],[O - DEMAND]]/950</f>
        <v>0</v>
      </c>
      <c r="N816" s="16">
        <f>IFERROR(VLOOKUP(Table28[[#This Row],[ROUTE]],DEMAND!A:F,5,FALSE),0)</f>
        <v>2390</v>
      </c>
      <c r="O816" s="16">
        <f>IFERROR(VLOOKUP(Table28[[#This Row],[ROUTE]],DEMAND!A:F,6,FALSE),0)</f>
        <v>-1410</v>
      </c>
      <c r="P816" s="16">
        <f>ROUNDDOWN(Table28[[#This Row],[R-DEMAND]]/950,0)</f>
        <v>-1</v>
      </c>
      <c r="Q816" s="16">
        <f>Table28[[#This Row],[ADD ACC
(475/950)]]*Table28[[#This Row],[Duration
(A359)]]</f>
        <v>-3.75</v>
      </c>
      <c r="R816" s="16">
        <f>IFERROR(VLOOKUP(Table28[[#This Row],[ROUTE]],PRICING!A:B,2,FALSE),0)</f>
        <v>0</v>
      </c>
      <c r="S816" s="16">
        <f>Table28[[#This Row],[C_DEMAND]]-Table28[[#This Row],[R-DEMAND]]</f>
        <v>3800</v>
      </c>
      <c r="T816" s="316">
        <f>Table28[[#This Row],[SEATS SOLD]]*Table28[[#This Row],[ECO SEAT]]</f>
        <v>0</v>
      </c>
      <c r="U816" s="316">
        <f>Table28[[#This Row],[SEATS SOLD]]*(IFERROR(VLOOKUP(Table28[[#This Row],[ROUTE]],PRICING!A:C,3,FALSE),0))</f>
        <v>0</v>
      </c>
      <c r="V816" s="316">
        <f>Table28[[#This Row],[SEAT REV]]-Table28[[#This Row],[SEAT REV
(IF IDEAL $)]]</f>
        <v>0</v>
      </c>
      <c r="AS816" s="16" t="s">
        <v>11732</v>
      </c>
      <c r="AT816" s="16" t="s">
        <v>13355</v>
      </c>
      <c r="AU816" s="16" t="s">
        <v>4718</v>
      </c>
      <c r="AV816" s="16" t="s">
        <v>18884</v>
      </c>
      <c r="AW816" s="16" t="s">
        <v>18885</v>
      </c>
      <c r="AX816" s="16" t="s">
        <v>18962</v>
      </c>
      <c r="AY816" s="385">
        <v>15180</v>
      </c>
    </row>
    <row r="817" spans="1:51" x14ac:dyDescent="0.25">
      <c r="A817" s="16" t="s">
        <v>19359</v>
      </c>
      <c r="B817" s="16" t="s">
        <v>3539</v>
      </c>
      <c r="C817" s="16" t="s">
        <v>467</v>
      </c>
      <c r="D817" s="16">
        <v>2</v>
      </c>
      <c r="E817" s="16" t="s">
        <v>2764</v>
      </c>
      <c r="F817" s="16" t="str">
        <f>VLOOKUP(Table28[[#This Row],[Country]],Table10[[COUNTRY NAME]:[CONTINENT CODE]],3,FALSE)</f>
        <v>AS</v>
      </c>
      <c r="G817" s="16" t="s">
        <v>11969</v>
      </c>
      <c r="H817" s="181">
        <v>12089</v>
      </c>
      <c r="I817" s="180">
        <v>28.75</v>
      </c>
      <c r="K817" s="316">
        <f>IFERROR(Table28[[#This Row],[ROUTE COST]]/Table28[[#This Row],[O - DEMAND]],0)</f>
        <v>0</v>
      </c>
      <c r="M817" s="16">
        <f>Table28[[#This Row],[O - DEMAND]]/950</f>
        <v>0</v>
      </c>
      <c r="N817" s="16">
        <f>IFERROR(VLOOKUP(Table28[[#This Row],[ROUTE]],DEMAND!A:F,5,FALSE),0)</f>
        <v>2965</v>
      </c>
      <c r="O817" s="16">
        <f>IFERROR(VLOOKUP(Table28[[#This Row],[ROUTE]],DEMAND!A:F,6,FALSE),0)</f>
        <v>115</v>
      </c>
      <c r="P817" s="16">
        <f>ROUNDDOWN(Table28[[#This Row],[R-DEMAND]]/950,0)</f>
        <v>0</v>
      </c>
      <c r="Q817" s="16">
        <f>Table28[[#This Row],[ADD ACC
(475/950)]]*Table28[[#This Row],[Duration
(A359)]]</f>
        <v>0</v>
      </c>
      <c r="R817" s="16">
        <f>IFERROR(VLOOKUP(Table28[[#This Row],[ROUTE]],PRICING!A:B,2,FALSE),0)</f>
        <v>0</v>
      </c>
      <c r="S817" s="16">
        <f>Table28[[#This Row],[C_DEMAND]]-Table28[[#This Row],[R-DEMAND]]</f>
        <v>2850</v>
      </c>
      <c r="T817" s="316">
        <f>Table28[[#This Row],[SEATS SOLD]]*Table28[[#This Row],[ECO SEAT]]</f>
        <v>0</v>
      </c>
      <c r="U817" s="316">
        <f>Table28[[#This Row],[SEATS SOLD]]*(IFERROR(VLOOKUP(Table28[[#This Row],[ROUTE]],PRICING!A:C,3,FALSE),0))</f>
        <v>0</v>
      </c>
      <c r="V817" s="316">
        <f>Table28[[#This Row],[SEAT REV]]-Table28[[#This Row],[SEAT REV
(IF IDEAL $)]]</f>
        <v>0</v>
      </c>
      <c r="AS817" s="16" t="s">
        <v>11732</v>
      </c>
      <c r="AT817" s="16" t="s">
        <v>13362</v>
      </c>
      <c r="AU817" s="16" t="s">
        <v>4852</v>
      </c>
      <c r="AV817" s="16" t="s">
        <v>18892</v>
      </c>
      <c r="AW817" s="16" t="s">
        <v>18885</v>
      </c>
      <c r="AX817" s="16" t="s">
        <v>18962</v>
      </c>
      <c r="AY817" s="385">
        <v>15186</v>
      </c>
    </row>
  </sheetData>
  <phoneticPr fontId="13" type="noConversion"/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D211F-D84E-45C6-BCC8-EE47034F8171}">
  <sheetPr>
    <tabColor theme="4"/>
  </sheetPr>
  <dimension ref="A3:H177"/>
  <sheetViews>
    <sheetView topLeftCell="A64" workbookViewId="0">
      <selection activeCell="E11" sqref="E11"/>
    </sheetView>
  </sheetViews>
  <sheetFormatPr defaultRowHeight="15" x14ac:dyDescent="0.25"/>
  <cols>
    <col min="1" max="1" width="51.42578125" bestFit="1" customWidth="1"/>
    <col min="2" max="2" width="16.28515625" bestFit="1" customWidth="1"/>
    <col min="3" max="4" width="4" bestFit="1" customWidth="1"/>
    <col min="5" max="6" width="3" bestFit="1" customWidth="1"/>
    <col min="7" max="7" width="7.28515625" bestFit="1" customWidth="1"/>
    <col min="8" max="8" width="11.28515625" bestFit="1" customWidth="1"/>
  </cols>
  <sheetData>
    <row r="3" spans="1:8" x14ac:dyDescent="0.25">
      <c r="A3" s="152" t="s">
        <v>15099</v>
      </c>
      <c r="B3" s="152" t="s">
        <v>15101</v>
      </c>
    </row>
    <row r="4" spans="1:8" x14ac:dyDescent="0.25">
      <c r="A4" s="152" t="s">
        <v>14058</v>
      </c>
      <c r="B4">
        <v>1</v>
      </c>
      <c r="C4">
        <v>2</v>
      </c>
      <c r="D4">
        <v>3</v>
      </c>
      <c r="E4">
        <v>4</v>
      </c>
      <c r="F4">
        <v>5</v>
      </c>
      <c r="G4" t="s">
        <v>14078</v>
      </c>
      <c r="H4" t="s">
        <v>14059</v>
      </c>
    </row>
    <row r="5" spans="1:8" x14ac:dyDescent="0.25">
      <c r="A5" s="17" t="s">
        <v>14078</v>
      </c>
      <c r="B5" s="153">
        <v>108</v>
      </c>
      <c r="C5" s="153">
        <v>262</v>
      </c>
      <c r="D5" s="153">
        <v>94</v>
      </c>
      <c r="E5" s="153">
        <v>35</v>
      </c>
      <c r="F5" s="153">
        <v>12</v>
      </c>
      <c r="G5" s="153">
        <v>45</v>
      </c>
      <c r="H5" s="153">
        <v>556</v>
      </c>
    </row>
    <row r="6" spans="1:8" x14ac:dyDescent="0.25">
      <c r="A6" s="191" t="s">
        <v>12671</v>
      </c>
      <c r="B6" s="153">
        <v>19</v>
      </c>
      <c r="C6" s="153">
        <v>22</v>
      </c>
      <c r="D6" s="153">
        <v>2</v>
      </c>
      <c r="E6" s="153">
        <v>1</v>
      </c>
      <c r="F6" s="153"/>
      <c r="G6" s="153"/>
      <c r="H6" s="153">
        <v>44</v>
      </c>
    </row>
    <row r="7" spans="1:8" x14ac:dyDescent="0.25">
      <c r="A7" s="191" t="s">
        <v>12670</v>
      </c>
      <c r="B7" s="153">
        <v>37</v>
      </c>
      <c r="C7" s="153">
        <v>105</v>
      </c>
      <c r="D7" s="153">
        <v>44</v>
      </c>
      <c r="E7" s="153">
        <v>12</v>
      </c>
      <c r="F7" s="153">
        <v>6</v>
      </c>
      <c r="G7" s="153">
        <v>17</v>
      </c>
      <c r="H7" s="153">
        <v>221</v>
      </c>
    </row>
    <row r="8" spans="1:8" x14ac:dyDescent="0.25">
      <c r="A8" s="191" t="s">
        <v>12674</v>
      </c>
      <c r="B8" s="153">
        <v>12</v>
      </c>
      <c r="C8" s="153">
        <v>32</v>
      </c>
      <c r="D8" s="153">
        <v>7</v>
      </c>
      <c r="E8" s="153"/>
      <c r="F8" s="153">
        <v>1</v>
      </c>
      <c r="G8" s="153"/>
      <c r="H8" s="153">
        <v>52</v>
      </c>
    </row>
    <row r="9" spans="1:8" x14ac:dyDescent="0.25">
      <c r="A9" s="191" t="s">
        <v>12688</v>
      </c>
      <c r="B9" s="153">
        <v>1</v>
      </c>
      <c r="C9" s="153">
        <v>28</v>
      </c>
      <c r="D9" s="153">
        <v>8</v>
      </c>
      <c r="E9" s="153"/>
      <c r="F9" s="153"/>
      <c r="G9" s="153"/>
      <c r="H9" s="153">
        <v>37</v>
      </c>
    </row>
    <row r="10" spans="1:8" x14ac:dyDescent="0.25">
      <c r="A10" s="191" t="s">
        <v>15969</v>
      </c>
      <c r="B10" s="153">
        <v>23</v>
      </c>
      <c r="C10" s="153">
        <v>37</v>
      </c>
      <c r="D10" s="153">
        <v>28</v>
      </c>
      <c r="E10" s="153">
        <v>20</v>
      </c>
      <c r="F10" s="153">
        <v>4</v>
      </c>
      <c r="G10" s="153">
        <v>28</v>
      </c>
      <c r="H10" s="153">
        <v>140</v>
      </c>
    </row>
    <row r="11" spans="1:8" x14ac:dyDescent="0.25">
      <c r="A11" s="400" t="s">
        <v>11732</v>
      </c>
      <c r="B11" s="153">
        <v>23</v>
      </c>
      <c r="C11" s="153">
        <v>37</v>
      </c>
      <c r="D11" s="153">
        <v>28</v>
      </c>
      <c r="E11" s="153">
        <v>20</v>
      </c>
      <c r="F11" s="153">
        <v>4</v>
      </c>
      <c r="G11" s="153">
        <v>28</v>
      </c>
      <c r="H11" s="153">
        <v>140</v>
      </c>
    </row>
    <row r="12" spans="1:8" x14ac:dyDescent="0.25">
      <c r="A12" s="401" t="s">
        <v>13283</v>
      </c>
      <c r="B12" s="153"/>
      <c r="C12" s="153"/>
      <c r="D12" s="153"/>
      <c r="E12" s="153"/>
      <c r="F12" s="153">
        <v>1</v>
      </c>
      <c r="G12" s="153"/>
      <c r="H12" s="153">
        <v>1</v>
      </c>
    </row>
    <row r="13" spans="1:8" x14ac:dyDescent="0.25">
      <c r="A13" s="401" t="s">
        <v>13335</v>
      </c>
      <c r="B13" s="153"/>
      <c r="C13" s="153"/>
      <c r="D13" s="153"/>
      <c r="E13" s="153"/>
      <c r="F13" s="153">
        <v>1</v>
      </c>
      <c r="G13" s="153"/>
      <c r="H13" s="153">
        <v>1</v>
      </c>
    </row>
    <row r="14" spans="1:8" x14ac:dyDescent="0.25">
      <c r="A14" s="401" t="s">
        <v>17028</v>
      </c>
      <c r="B14" s="153"/>
      <c r="C14" s="153"/>
      <c r="D14" s="153"/>
      <c r="E14" s="153"/>
      <c r="F14" s="153">
        <v>1</v>
      </c>
      <c r="G14" s="153"/>
      <c r="H14" s="153">
        <v>1</v>
      </c>
    </row>
    <row r="15" spans="1:8" x14ac:dyDescent="0.25">
      <c r="A15" s="401" t="s">
        <v>13273</v>
      </c>
      <c r="B15" s="153"/>
      <c r="C15" s="153"/>
      <c r="D15" s="153"/>
      <c r="E15" s="153"/>
      <c r="F15" s="153">
        <v>1</v>
      </c>
      <c r="G15" s="153"/>
      <c r="H15" s="153">
        <v>1</v>
      </c>
    </row>
    <row r="16" spans="1:8" x14ac:dyDescent="0.25">
      <c r="A16" s="401" t="s">
        <v>16978</v>
      </c>
      <c r="B16" s="153">
        <v>1</v>
      </c>
      <c r="C16" s="153"/>
      <c r="D16" s="153"/>
      <c r="E16" s="153"/>
      <c r="F16" s="153"/>
      <c r="G16" s="153"/>
      <c r="H16" s="153">
        <v>1</v>
      </c>
    </row>
    <row r="17" spans="1:8" x14ac:dyDescent="0.25">
      <c r="A17" s="401" t="s">
        <v>13232</v>
      </c>
      <c r="B17" s="153"/>
      <c r="C17" s="153"/>
      <c r="D17" s="153">
        <v>1</v>
      </c>
      <c r="E17" s="153"/>
      <c r="F17" s="153"/>
      <c r="G17" s="153"/>
      <c r="H17" s="153">
        <v>1</v>
      </c>
    </row>
    <row r="18" spans="1:8" x14ac:dyDescent="0.25">
      <c r="A18" s="401" t="s">
        <v>13331</v>
      </c>
      <c r="B18" s="153"/>
      <c r="C18" s="153"/>
      <c r="D18" s="153"/>
      <c r="E18" s="153">
        <v>1</v>
      </c>
      <c r="F18" s="153"/>
      <c r="G18" s="153"/>
      <c r="H18" s="153">
        <v>1</v>
      </c>
    </row>
    <row r="19" spans="1:8" x14ac:dyDescent="0.25">
      <c r="A19" s="401" t="s">
        <v>13324</v>
      </c>
      <c r="B19" s="153"/>
      <c r="C19" s="153"/>
      <c r="D19" s="153"/>
      <c r="E19" s="153">
        <v>1</v>
      </c>
      <c r="F19" s="153"/>
      <c r="G19" s="153"/>
      <c r="H19" s="153">
        <v>1</v>
      </c>
    </row>
    <row r="20" spans="1:8" x14ac:dyDescent="0.25">
      <c r="A20" s="401" t="s">
        <v>16966</v>
      </c>
      <c r="B20" s="153"/>
      <c r="C20" s="153"/>
      <c r="D20" s="153"/>
      <c r="E20" s="153">
        <v>1</v>
      </c>
      <c r="F20" s="153"/>
      <c r="G20" s="153"/>
      <c r="H20" s="153">
        <v>1</v>
      </c>
    </row>
    <row r="21" spans="1:8" x14ac:dyDescent="0.25">
      <c r="A21" s="401" t="s">
        <v>13267</v>
      </c>
      <c r="B21" s="153"/>
      <c r="C21" s="153">
        <v>1</v>
      </c>
      <c r="D21" s="153"/>
      <c r="E21" s="153"/>
      <c r="F21" s="153"/>
      <c r="G21" s="153"/>
      <c r="H21" s="153">
        <v>1</v>
      </c>
    </row>
    <row r="22" spans="1:8" x14ac:dyDescent="0.25">
      <c r="A22" s="401" t="s">
        <v>13327</v>
      </c>
      <c r="B22" s="153">
        <v>1</v>
      </c>
      <c r="C22" s="153"/>
      <c r="D22" s="153"/>
      <c r="E22" s="153"/>
      <c r="F22" s="153"/>
      <c r="G22" s="153"/>
      <c r="H22" s="153">
        <v>1</v>
      </c>
    </row>
    <row r="23" spans="1:8" x14ac:dyDescent="0.25">
      <c r="A23" s="401" t="s">
        <v>13317</v>
      </c>
      <c r="B23" s="153">
        <v>1</v>
      </c>
      <c r="C23" s="153"/>
      <c r="D23" s="153"/>
      <c r="E23" s="153"/>
      <c r="F23" s="153"/>
      <c r="G23" s="153"/>
      <c r="H23" s="153">
        <v>1</v>
      </c>
    </row>
    <row r="24" spans="1:8" x14ac:dyDescent="0.25">
      <c r="A24" s="401" t="s">
        <v>17017</v>
      </c>
      <c r="B24" s="153"/>
      <c r="C24" s="153"/>
      <c r="D24" s="153"/>
      <c r="E24" s="153"/>
      <c r="F24" s="153"/>
      <c r="G24" s="153">
        <v>1</v>
      </c>
      <c r="H24" s="153">
        <v>1</v>
      </c>
    </row>
    <row r="25" spans="1:8" x14ac:dyDescent="0.25">
      <c r="A25" s="401" t="s">
        <v>13270</v>
      </c>
      <c r="B25" s="153"/>
      <c r="C25" s="153">
        <v>1</v>
      </c>
      <c r="D25" s="153"/>
      <c r="E25" s="153"/>
      <c r="F25" s="153"/>
      <c r="G25" s="153"/>
      <c r="H25" s="153">
        <v>1</v>
      </c>
    </row>
    <row r="26" spans="1:8" x14ac:dyDescent="0.25">
      <c r="A26" s="401" t="s">
        <v>13296</v>
      </c>
      <c r="B26" s="153"/>
      <c r="C26" s="153">
        <v>1</v>
      </c>
      <c r="D26" s="153"/>
      <c r="E26" s="153"/>
      <c r="F26" s="153"/>
      <c r="G26" s="153"/>
      <c r="H26" s="153">
        <v>1</v>
      </c>
    </row>
    <row r="27" spans="1:8" x14ac:dyDescent="0.25">
      <c r="A27" s="401" t="s">
        <v>13350</v>
      </c>
      <c r="B27" s="153"/>
      <c r="C27" s="153"/>
      <c r="D27" s="153">
        <v>1</v>
      </c>
      <c r="E27" s="153"/>
      <c r="F27" s="153"/>
      <c r="G27" s="153"/>
      <c r="H27" s="153">
        <v>1</v>
      </c>
    </row>
    <row r="28" spans="1:8" x14ac:dyDescent="0.25">
      <c r="A28" s="401" t="s">
        <v>13314</v>
      </c>
      <c r="B28" s="153"/>
      <c r="C28" s="153"/>
      <c r="D28" s="153"/>
      <c r="E28" s="153">
        <v>1</v>
      </c>
      <c r="F28" s="153"/>
      <c r="G28" s="153"/>
      <c r="H28" s="153">
        <v>1</v>
      </c>
    </row>
    <row r="29" spans="1:8" x14ac:dyDescent="0.25">
      <c r="A29" s="401" t="s">
        <v>16961</v>
      </c>
      <c r="B29" s="153"/>
      <c r="C29" s="153"/>
      <c r="D29" s="153"/>
      <c r="E29" s="153"/>
      <c r="F29" s="153"/>
      <c r="G29" s="153">
        <v>1</v>
      </c>
      <c r="H29" s="153">
        <v>1</v>
      </c>
    </row>
    <row r="30" spans="1:8" x14ac:dyDescent="0.25">
      <c r="A30" s="401" t="s">
        <v>16984</v>
      </c>
      <c r="B30" s="153"/>
      <c r="C30" s="153">
        <v>1</v>
      </c>
      <c r="D30" s="153"/>
      <c r="E30" s="153"/>
      <c r="F30" s="153"/>
      <c r="G30" s="153"/>
      <c r="H30" s="153">
        <v>1</v>
      </c>
    </row>
    <row r="31" spans="1:8" x14ac:dyDescent="0.25">
      <c r="A31" s="401" t="s">
        <v>13264</v>
      </c>
      <c r="B31" s="153"/>
      <c r="C31" s="153"/>
      <c r="D31" s="153">
        <v>1</v>
      </c>
      <c r="E31" s="153"/>
      <c r="F31" s="153"/>
      <c r="G31" s="153"/>
      <c r="H31" s="153">
        <v>1</v>
      </c>
    </row>
    <row r="32" spans="1:8" x14ac:dyDescent="0.25">
      <c r="A32" s="401" t="s">
        <v>16982</v>
      </c>
      <c r="B32" s="153"/>
      <c r="C32" s="153"/>
      <c r="D32" s="153"/>
      <c r="E32" s="153"/>
      <c r="F32" s="153"/>
      <c r="G32" s="153">
        <v>1</v>
      </c>
      <c r="H32" s="153">
        <v>1</v>
      </c>
    </row>
    <row r="33" spans="1:8" x14ac:dyDescent="0.25">
      <c r="A33" s="401" t="s">
        <v>16953</v>
      </c>
      <c r="B33" s="153"/>
      <c r="C33" s="153"/>
      <c r="D33" s="153"/>
      <c r="E33" s="153"/>
      <c r="F33" s="153"/>
      <c r="G33" s="153">
        <v>1</v>
      </c>
      <c r="H33" s="153">
        <v>1</v>
      </c>
    </row>
    <row r="34" spans="1:8" x14ac:dyDescent="0.25">
      <c r="A34" s="401" t="s">
        <v>13262</v>
      </c>
      <c r="B34" s="153"/>
      <c r="C34" s="153">
        <v>1</v>
      </c>
      <c r="D34" s="153"/>
      <c r="E34" s="153"/>
      <c r="F34" s="153"/>
      <c r="G34" s="153"/>
      <c r="H34" s="153">
        <v>1</v>
      </c>
    </row>
    <row r="35" spans="1:8" x14ac:dyDescent="0.25">
      <c r="A35" s="401" t="s">
        <v>16948</v>
      </c>
      <c r="B35" s="153">
        <v>1</v>
      </c>
      <c r="C35" s="153"/>
      <c r="D35" s="153"/>
      <c r="E35" s="153"/>
      <c r="F35" s="153"/>
      <c r="G35" s="153"/>
      <c r="H35" s="153">
        <v>1</v>
      </c>
    </row>
    <row r="36" spans="1:8" x14ac:dyDescent="0.25">
      <c r="A36" s="401" t="s">
        <v>13308</v>
      </c>
      <c r="B36" s="153"/>
      <c r="C36" s="153"/>
      <c r="D36" s="153">
        <v>1</v>
      </c>
      <c r="E36" s="153"/>
      <c r="F36" s="153"/>
      <c r="G36" s="153"/>
      <c r="H36" s="153">
        <v>1</v>
      </c>
    </row>
    <row r="37" spans="1:8" x14ac:dyDescent="0.25">
      <c r="A37" s="401" t="s">
        <v>13278</v>
      </c>
      <c r="B37" s="153"/>
      <c r="C37" s="153">
        <v>1</v>
      </c>
      <c r="D37" s="153"/>
      <c r="E37" s="153"/>
      <c r="F37" s="153"/>
      <c r="G37" s="153"/>
      <c r="H37" s="153">
        <v>1</v>
      </c>
    </row>
    <row r="38" spans="1:8" x14ac:dyDescent="0.25">
      <c r="A38" s="401" t="s">
        <v>13268</v>
      </c>
      <c r="B38" s="153">
        <v>1</v>
      </c>
      <c r="C38" s="153"/>
      <c r="D38" s="153"/>
      <c r="E38" s="153"/>
      <c r="F38" s="153"/>
      <c r="G38" s="153"/>
      <c r="H38" s="153">
        <v>1</v>
      </c>
    </row>
    <row r="39" spans="1:8" x14ac:dyDescent="0.25">
      <c r="A39" s="401" t="s">
        <v>16956</v>
      </c>
      <c r="B39" s="153">
        <v>1</v>
      </c>
      <c r="C39" s="153"/>
      <c r="D39" s="153"/>
      <c r="E39" s="153"/>
      <c r="F39" s="153"/>
      <c r="G39" s="153"/>
      <c r="H39" s="153">
        <v>1</v>
      </c>
    </row>
    <row r="40" spans="1:8" x14ac:dyDescent="0.25">
      <c r="A40" s="401" t="s">
        <v>11737</v>
      </c>
      <c r="B40" s="153"/>
      <c r="C40" s="153"/>
      <c r="D40" s="153">
        <v>1</v>
      </c>
      <c r="E40" s="153"/>
      <c r="F40" s="153"/>
      <c r="G40" s="153"/>
      <c r="H40" s="153">
        <v>1</v>
      </c>
    </row>
    <row r="41" spans="1:8" x14ac:dyDescent="0.25">
      <c r="A41" s="401" t="s">
        <v>16981</v>
      </c>
      <c r="B41" s="153"/>
      <c r="C41" s="153"/>
      <c r="D41" s="153"/>
      <c r="E41" s="153"/>
      <c r="F41" s="153"/>
      <c r="G41" s="153">
        <v>1</v>
      </c>
      <c r="H41" s="153">
        <v>1</v>
      </c>
    </row>
    <row r="42" spans="1:8" x14ac:dyDescent="0.25">
      <c r="A42" s="401" t="s">
        <v>16975</v>
      </c>
      <c r="B42" s="153">
        <v>1</v>
      </c>
      <c r="C42" s="153"/>
      <c r="D42" s="153"/>
      <c r="E42" s="153"/>
      <c r="F42" s="153"/>
      <c r="G42" s="153"/>
      <c r="H42" s="153">
        <v>1</v>
      </c>
    </row>
    <row r="43" spans="1:8" x14ac:dyDescent="0.25">
      <c r="A43" s="401" t="s">
        <v>13284</v>
      </c>
      <c r="B43" s="153">
        <v>1</v>
      </c>
      <c r="C43" s="153"/>
      <c r="D43" s="153"/>
      <c r="E43" s="153"/>
      <c r="F43" s="153"/>
      <c r="G43" s="153"/>
      <c r="H43" s="153">
        <v>1</v>
      </c>
    </row>
    <row r="44" spans="1:8" x14ac:dyDescent="0.25">
      <c r="A44" s="401" t="s">
        <v>13311</v>
      </c>
      <c r="B44" s="153"/>
      <c r="C44" s="153"/>
      <c r="D44" s="153">
        <v>1</v>
      </c>
      <c r="E44" s="153"/>
      <c r="F44" s="153"/>
      <c r="G44" s="153"/>
      <c r="H44" s="153">
        <v>1</v>
      </c>
    </row>
    <row r="45" spans="1:8" x14ac:dyDescent="0.25">
      <c r="A45" s="401" t="s">
        <v>13307</v>
      </c>
      <c r="B45" s="153"/>
      <c r="C45" s="153">
        <v>1</v>
      </c>
      <c r="D45" s="153"/>
      <c r="E45" s="153"/>
      <c r="F45" s="153"/>
      <c r="G45" s="153"/>
      <c r="H45" s="153">
        <v>1</v>
      </c>
    </row>
    <row r="46" spans="1:8" x14ac:dyDescent="0.25">
      <c r="A46" s="401" t="s">
        <v>13279</v>
      </c>
      <c r="B46" s="153"/>
      <c r="C46" s="153">
        <v>1</v>
      </c>
      <c r="D46" s="153"/>
      <c r="E46" s="153"/>
      <c r="F46" s="153"/>
      <c r="G46" s="153"/>
      <c r="H46" s="153">
        <v>1</v>
      </c>
    </row>
    <row r="47" spans="1:8" x14ac:dyDescent="0.25">
      <c r="A47" s="401" t="s">
        <v>13328</v>
      </c>
      <c r="B47" s="153"/>
      <c r="C47" s="153"/>
      <c r="D47" s="153"/>
      <c r="E47" s="153">
        <v>1</v>
      </c>
      <c r="F47" s="153"/>
      <c r="G47" s="153"/>
      <c r="H47" s="153">
        <v>1</v>
      </c>
    </row>
    <row r="48" spans="1:8" x14ac:dyDescent="0.25">
      <c r="A48" s="401" t="s">
        <v>17005</v>
      </c>
      <c r="B48" s="153"/>
      <c r="C48" s="153"/>
      <c r="D48" s="153"/>
      <c r="E48" s="153"/>
      <c r="F48" s="153"/>
      <c r="G48" s="153">
        <v>1</v>
      </c>
      <c r="H48" s="153">
        <v>1</v>
      </c>
    </row>
    <row r="49" spans="1:8" x14ac:dyDescent="0.25">
      <c r="A49" s="401" t="s">
        <v>16957</v>
      </c>
      <c r="B49" s="153">
        <v>1</v>
      </c>
      <c r="C49" s="153"/>
      <c r="D49" s="153"/>
      <c r="E49" s="153"/>
      <c r="F49" s="153"/>
      <c r="G49" s="153"/>
      <c r="H49" s="153">
        <v>1</v>
      </c>
    </row>
    <row r="50" spans="1:8" x14ac:dyDescent="0.25">
      <c r="A50" s="401" t="s">
        <v>13330</v>
      </c>
      <c r="B50" s="153"/>
      <c r="C50" s="153"/>
      <c r="D50" s="153">
        <v>1</v>
      </c>
      <c r="E50" s="153"/>
      <c r="F50" s="153"/>
      <c r="G50" s="153"/>
      <c r="H50" s="153">
        <v>1</v>
      </c>
    </row>
    <row r="51" spans="1:8" x14ac:dyDescent="0.25">
      <c r="A51" s="401" t="s">
        <v>10380</v>
      </c>
      <c r="B51" s="153"/>
      <c r="C51" s="153"/>
      <c r="D51" s="153">
        <v>1</v>
      </c>
      <c r="E51" s="153"/>
      <c r="F51" s="153"/>
      <c r="G51" s="153"/>
      <c r="H51" s="153">
        <v>1</v>
      </c>
    </row>
    <row r="52" spans="1:8" x14ac:dyDescent="0.25">
      <c r="A52" s="401" t="s">
        <v>16939</v>
      </c>
      <c r="B52" s="153"/>
      <c r="C52" s="153"/>
      <c r="D52" s="153"/>
      <c r="E52" s="153"/>
      <c r="F52" s="153"/>
      <c r="G52" s="153">
        <v>1</v>
      </c>
      <c r="H52" s="153">
        <v>1</v>
      </c>
    </row>
    <row r="53" spans="1:8" x14ac:dyDescent="0.25">
      <c r="A53" s="401" t="s">
        <v>13290</v>
      </c>
      <c r="B53" s="153"/>
      <c r="C53" s="153"/>
      <c r="D53" s="153">
        <v>1</v>
      </c>
      <c r="E53" s="153"/>
      <c r="F53" s="153"/>
      <c r="G53" s="153"/>
      <c r="H53" s="153">
        <v>1</v>
      </c>
    </row>
    <row r="54" spans="1:8" x14ac:dyDescent="0.25">
      <c r="A54" s="401" t="s">
        <v>13304</v>
      </c>
      <c r="B54" s="153"/>
      <c r="C54" s="153">
        <v>1</v>
      </c>
      <c r="D54" s="153"/>
      <c r="E54" s="153"/>
      <c r="F54" s="153"/>
      <c r="G54" s="153"/>
      <c r="H54" s="153">
        <v>1</v>
      </c>
    </row>
    <row r="55" spans="1:8" x14ac:dyDescent="0.25">
      <c r="A55" s="401" t="s">
        <v>16991</v>
      </c>
      <c r="B55" s="153"/>
      <c r="C55" s="153"/>
      <c r="D55" s="153"/>
      <c r="E55" s="153">
        <v>1</v>
      </c>
      <c r="F55" s="153"/>
      <c r="G55" s="153"/>
      <c r="H55" s="153">
        <v>1</v>
      </c>
    </row>
    <row r="56" spans="1:8" x14ac:dyDescent="0.25">
      <c r="A56" s="401" t="s">
        <v>17016</v>
      </c>
      <c r="B56" s="153"/>
      <c r="C56" s="153"/>
      <c r="D56" s="153"/>
      <c r="E56" s="153"/>
      <c r="F56" s="153"/>
      <c r="G56" s="153">
        <v>1</v>
      </c>
      <c r="H56" s="153">
        <v>1</v>
      </c>
    </row>
    <row r="57" spans="1:8" x14ac:dyDescent="0.25">
      <c r="A57" s="401" t="s">
        <v>13325</v>
      </c>
      <c r="B57" s="153"/>
      <c r="C57" s="153"/>
      <c r="D57" s="153">
        <v>1</v>
      </c>
      <c r="E57" s="153"/>
      <c r="F57" s="153"/>
      <c r="G57" s="153"/>
      <c r="H57" s="153">
        <v>1</v>
      </c>
    </row>
    <row r="58" spans="1:8" x14ac:dyDescent="0.25">
      <c r="A58" s="401" t="s">
        <v>13336</v>
      </c>
      <c r="B58" s="153"/>
      <c r="C58" s="153"/>
      <c r="D58" s="153"/>
      <c r="E58" s="153">
        <v>1</v>
      </c>
      <c r="F58" s="153"/>
      <c r="G58" s="153"/>
      <c r="H58" s="153">
        <v>1</v>
      </c>
    </row>
    <row r="59" spans="1:8" x14ac:dyDescent="0.25">
      <c r="A59" s="401" t="s">
        <v>13364</v>
      </c>
      <c r="B59" s="153"/>
      <c r="C59" s="153">
        <v>1</v>
      </c>
      <c r="D59" s="153"/>
      <c r="E59" s="153"/>
      <c r="F59" s="153"/>
      <c r="G59" s="153"/>
      <c r="H59" s="153">
        <v>1</v>
      </c>
    </row>
    <row r="60" spans="1:8" x14ac:dyDescent="0.25">
      <c r="A60" s="401" t="s">
        <v>13367</v>
      </c>
      <c r="B60" s="153"/>
      <c r="C60" s="153"/>
      <c r="D60" s="153">
        <v>1</v>
      </c>
      <c r="E60" s="153"/>
      <c r="F60" s="153"/>
      <c r="G60" s="153"/>
      <c r="H60" s="153">
        <v>1</v>
      </c>
    </row>
    <row r="61" spans="1:8" x14ac:dyDescent="0.25">
      <c r="A61" s="401" t="s">
        <v>10110</v>
      </c>
      <c r="B61" s="153">
        <v>1</v>
      </c>
      <c r="C61" s="153"/>
      <c r="D61" s="153"/>
      <c r="E61" s="153"/>
      <c r="F61" s="153"/>
      <c r="G61" s="153"/>
      <c r="H61" s="153">
        <v>1</v>
      </c>
    </row>
    <row r="62" spans="1:8" x14ac:dyDescent="0.25">
      <c r="A62" s="401" t="s">
        <v>13285</v>
      </c>
      <c r="B62" s="153"/>
      <c r="C62" s="153">
        <v>1</v>
      </c>
      <c r="D62" s="153"/>
      <c r="E62" s="153"/>
      <c r="F62" s="153"/>
      <c r="G62" s="153"/>
      <c r="H62" s="153">
        <v>1</v>
      </c>
    </row>
    <row r="63" spans="1:8" x14ac:dyDescent="0.25">
      <c r="A63" s="401" t="s">
        <v>16979</v>
      </c>
      <c r="B63" s="153"/>
      <c r="C63" s="153"/>
      <c r="D63" s="153"/>
      <c r="E63" s="153"/>
      <c r="F63" s="153"/>
      <c r="G63" s="153">
        <v>1</v>
      </c>
      <c r="H63" s="153">
        <v>1</v>
      </c>
    </row>
    <row r="64" spans="1:8" x14ac:dyDescent="0.25">
      <c r="A64" s="401" t="s">
        <v>16964</v>
      </c>
      <c r="B64" s="153"/>
      <c r="C64" s="153"/>
      <c r="D64" s="153"/>
      <c r="E64" s="153"/>
      <c r="F64" s="153"/>
      <c r="G64" s="153">
        <v>1</v>
      </c>
      <c r="H64" s="153">
        <v>1</v>
      </c>
    </row>
    <row r="65" spans="1:8" x14ac:dyDescent="0.25">
      <c r="A65" s="401" t="s">
        <v>13360</v>
      </c>
      <c r="B65" s="153"/>
      <c r="C65" s="153">
        <v>1</v>
      </c>
      <c r="D65" s="153"/>
      <c r="E65" s="153"/>
      <c r="F65" s="153"/>
      <c r="G65" s="153"/>
      <c r="H65" s="153">
        <v>1</v>
      </c>
    </row>
    <row r="66" spans="1:8" x14ac:dyDescent="0.25">
      <c r="A66" s="401" t="s">
        <v>13298</v>
      </c>
      <c r="B66" s="153"/>
      <c r="C66" s="153">
        <v>1</v>
      </c>
      <c r="D66" s="153"/>
      <c r="E66" s="153"/>
      <c r="F66" s="153"/>
      <c r="G66" s="153"/>
      <c r="H66" s="153">
        <v>1</v>
      </c>
    </row>
    <row r="67" spans="1:8" x14ac:dyDescent="0.25">
      <c r="A67" s="401" t="s">
        <v>17019</v>
      </c>
      <c r="B67" s="153"/>
      <c r="C67" s="153">
        <v>1</v>
      </c>
      <c r="D67" s="153"/>
      <c r="E67" s="153"/>
      <c r="F67" s="153"/>
      <c r="G67" s="153"/>
      <c r="H67" s="153">
        <v>1</v>
      </c>
    </row>
    <row r="68" spans="1:8" x14ac:dyDescent="0.25">
      <c r="A68" s="401" t="s">
        <v>13369</v>
      </c>
      <c r="B68" s="153"/>
      <c r="C68" s="153"/>
      <c r="D68" s="153">
        <v>1</v>
      </c>
      <c r="E68" s="153"/>
      <c r="F68" s="153"/>
      <c r="G68" s="153"/>
      <c r="H68" s="153">
        <v>1</v>
      </c>
    </row>
    <row r="69" spans="1:8" x14ac:dyDescent="0.25">
      <c r="A69" s="401" t="s">
        <v>13293</v>
      </c>
      <c r="B69" s="153"/>
      <c r="C69" s="153">
        <v>1</v>
      </c>
      <c r="D69" s="153"/>
      <c r="E69" s="153"/>
      <c r="F69" s="153"/>
      <c r="G69" s="153"/>
      <c r="H69" s="153">
        <v>1</v>
      </c>
    </row>
    <row r="70" spans="1:8" x14ac:dyDescent="0.25">
      <c r="A70" s="401" t="s">
        <v>16960</v>
      </c>
      <c r="B70" s="153">
        <v>1</v>
      </c>
      <c r="C70" s="153"/>
      <c r="D70" s="153"/>
      <c r="E70" s="153"/>
      <c r="F70" s="153"/>
      <c r="G70" s="153"/>
      <c r="H70" s="153">
        <v>1</v>
      </c>
    </row>
    <row r="71" spans="1:8" x14ac:dyDescent="0.25">
      <c r="A71" s="401" t="s">
        <v>13287</v>
      </c>
      <c r="B71" s="153"/>
      <c r="C71" s="153">
        <v>1</v>
      </c>
      <c r="D71" s="153"/>
      <c r="E71" s="153"/>
      <c r="F71" s="153"/>
      <c r="G71" s="153"/>
      <c r="H71" s="153">
        <v>1</v>
      </c>
    </row>
    <row r="72" spans="1:8" x14ac:dyDescent="0.25">
      <c r="A72" s="401" t="s">
        <v>16993</v>
      </c>
      <c r="B72" s="153"/>
      <c r="C72" s="153"/>
      <c r="D72" s="153"/>
      <c r="E72" s="153"/>
      <c r="F72" s="153"/>
      <c r="G72" s="153">
        <v>1</v>
      </c>
      <c r="H72" s="153">
        <v>1</v>
      </c>
    </row>
    <row r="73" spans="1:8" x14ac:dyDescent="0.25">
      <c r="A73" s="401" t="s">
        <v>13295</v>
      </c>
      <c r="B73" s="153"/>
      <c r="C73" s="153"/>
      <c r="D73" s="153">
        <v>1</v>
      </c>
      <c r="E73" s="153"/>
      <c r="F73" s="153"/>
      <c r="G73" s="153"/>
      <c r="H73" s="153">
        <v>1</v>
      </c>
    </row>
    <row r="74" spans="1:8" x14ac:dyDescent="0.25">
      <c r="A74" s="401" t="s">
        <v>13365</v>
      </c>
      <c r="B74" s="153"/>
      <c r="C74" s="153">
        <v>1</v>
      </c>
      <c r="D74" s="153"/>
      <c r="E74" s="153"/>
      <c r="F74" s="153"/>
      <c r="G74" s="153"/>
      <c r="H74" s="153">
        <v>1</v>
      </c>
    </row>
    <row r="75" spans="1:8" x14ac:dyDescent="0.25">
      <c r="A75" s="401" t="s">
        <v>11733</v>
      </c>
      <c r="B75" s="153"/>
      <c r="C75" s="153">
        <v>1</v>
      </c>
      <c r="D75" s="153"/>
      <c r="E75" s="153"/>
      <c r="F75" s="153"/>
      <c r="G75" s="153"/>
      <c r="H75" s="153">
        <v>1</v>
      </c>
    </row>
    <row r="76" spans="1:8" x14ac:dyDescent="0.25">
      <c r="A76" s="401" t="s">
        <v>16962</v>
      </c>
      <c r="B76" s="153"/>
      <c r="C76" s="153"/>
      <c r="D76" s="153"/>
      <c r="E76" s="153"/>
      <c r="F76" s="153"/>
      <c r="G76" s="153">
        <v>1</v>
      </c>
      <c r="H76" s="153">
        <v>1</v>
      </c>
    </row>
    <row r="77" spans="1:8" x14ac:dyDescent="0.25">
      <c r="A77" s="401" t="s">
        <v>16968</v>
      </c>
      <c r="B77" s="153"/>
      <c r="C77" s="153"/>
      <c r="D77" s="153"/>
      <c r="E77" s="153"/>
      <c r="F77" s="153"/>
      <c r="G77" s="153">
        <v>1</v>
      </c>
      <c r="H77" s="153">
        <v>1</v>
      </c>
    </row>
    <row r="78" spans="1:8" x14ac:dyDescent="0.25">
      <c r="A78" s="401" t="s">
        <v>13302</v>
      </c>
      <c r="B78" s="153"/>
      <c r="C78" s="153"/>
      <c r="D78" s="153">
        <v>1</v>
      </c>
      <c r="E78" s="153"/>
      <c r="F78" s="153"/>
      <c r="G78" s="153"/>
      <c r="H78" s="153">
        <v>1</v>
      </c>
    </row>
    <row r="79" spans="1:8" x14ac:dyDescent="0.25">
      <c r="A79" s="401" t="s">
        <v>16990</v>
      </c>
      <c r="B79" s="153"/>
      <c r="C79" s="153"/>
      <c r="D79" s="153"/>
      <c r="E79" s="153"/>
      <c r="F79" s="153"/>
      <c r="G79" s="153">
        <v>1</v>
      </c>
      <c r="H79" s="153">
        <v>1</v>
      </c>
    </row>
    <row r="80" spans="1:8" x14ac:dyDescent="0.25">
      <c r="A80" s="401" t="s">
        <v>16988</v>
      </c>
      <c r="B80" s="153"/>
      <c r="C80" s="153"/>
      <c r="D80" s="153"/>
      <c r="E80" s="153"/>
      <c r="F80" s="153"/>
      <c r="G80" s="153">
        <v>1</v>
      </c>
      <c r="H80" s="153">
        <v>1</v>
      </c>
    </row>
    <row r="81" spans="1:8" x14ac:dyDescent="0.25">
      <c r="A81" s="401" t="s">
        <v>16965</v>
      </c>
      <c r="B81" s="153">
        <v>1</v>
      </c>
      <c r="C81" s="153"/>
      <c r="D81" s="153"/>
      <c r="E81" s="153"/>
      <c r="F81" s="153"/>
      <c r="G81" s="153"/>
      <c r="H81" s="153">
        <v>1</v>
      </c>
    </row>
    <row r="82" spans="1:8" x14ac:dyDescent="0.25">
      <c r="A82" s="401" t="s">
        <v>8820</v>
      </c>
      <c r="B82" s="153"/>
      <c r="C82" s="153">
        <v>1</v>
      </c>
      <c r="D82" s="153"/>
      <c r="E82" s="153"/>
      <c r="F82" s="153"/>
      <c r="G82" s="153"/>
      <c r="H82" s="153">
        <v>1</v>
      </c>
    </row>
    <row r="83" spans="1:8" x14ac:dyDescent="0.25">
      <c r="A83" s="401" t="s">
        <v>13292</v>
      </c>
      <c r="B83" s="153"/>
      <c r="C83" s="153"/>
      <c r="D83" s="153"/>
      <c r="E83" s="153">
        <v>1</v>
      </c>
      <c r="F83" s="153"/>
      <c r="G83" s="153"/>
      <c r="H83" s="153">
        <v>1</v>
      </c>
    </row>
    <row r="84" spans="1:8" x14ac:dyDescent="0.25">
      <c r="A84" s="401" t="s">
        <v>13271</v>
      </c>
      <c r="B84" s="153"/>
      <c r="C84" s="153"/>
      <c r="D84" s="153">
        <v>1</v>
      </c>
      <c r="E84" s="153"/>
      <c r="F84" s="153"/>
      <c r="G84" s="153"/>
      <c r="H84" s="153">
        <v>1</v>
      </c>
    </row>
    <row r="85" spans="1:8" x14ac:dyDescent="0.25">
      <c r="A85" s="401" t="s">
        <v>13371</v>
      </c>
      <c r="B85" s="153"/>
      <c r="C85" s="153"/>
      <c r="D85" s="153"/>
      <c r="E85" s="153">
        <v>1</v>
      </c>
      <c r="F85" s="153"/>
      <c r="G85" s="153"/>
      <c r="H85" s="153">
        <v>1</v>
      </c>
    </row>
    <row r="86" spans="1:8" x14ac:dyDescent="0.25">
      <c r="A86" s="401" t="s">
        <v>13272</v>
      </c>
      <c r="B86" s="153"/>
      <c r="C86" s="153"/>
      <c r="D86" s="153">
        <v>1</v>
      </c>
      <c r="E86" s="153"/>
      <c r="F86" s="153"/>
      <c r="G86" s="153"/>
      <c r="H86" s="153">
        <v>1</v>
      </c>
    </row>
    <row r="87" spans="1:8" x14ac:dyDescent="0.25">
      <c r="A87" s="401" t="s">
        <v>13319</v>
      </c>
      <c r="B87" s="153"/>
      <c r="C87" s="153">
        <v>1</v>
      </c>
      <c r="D87" s="153"/>
      <c r="E87" s="153"/>
      <c r="F87" s="153"/>
      <c r="G87" s="153"/>
      <c r="H87" s="153">
        <v>1</v>
      </c>
    </row>
    <row r="88" spans="1:8" x14ac:dyDescent="0.25">
      <c r="A88" s="401" t="s">
        <v>13301</v>
      </c>
      <c r="B88" s="153"/>
      <c r="C88" s="153">
        <v>1</v>
      </c>
      <c r="D88" s="153"/>
      <c r="E88" s="153"/>
      <c r="F88" s="153"/>
      <c r="G88" s="153"/>
      <c r="H88" s="153">
        <v>1</v>
      </c>
    </row>
    <row r="89" spans="1:8" x14ac:dyDescent="0.25">
      <c r="A89" s="401" t="s">
        <v>13315</v>
      </c>
      <c r="B89" s="153"/>
      <c r="C89" s="153">
        <v>1</v>
      </c>
      <c r="D89" s="153"/>
      <c r="E89" s="153"/>
      <c r="F89" s="153"/>
      <c r="G89" s="153"/>
      <c r="H89" s="153">
        <v>1</v>
      </c>
    </row>
    <row r="90" spans="1:8" x14ac:dyDescent="0.25">
      <c r="A90" s="401" t="s">
        <v>13299</v>
      </c>
      <c r="B90" s="153"/>
      <c r="C90" s="153">
        <v>1</v>
      </c>
      <c r="D90" s="153"/>
      <c r="E90" s="153"/>
      <c r="F90" s="153"/>
      <c r="G90" s="153"/>
      <c r="H90" s="153">
        <v>1</v>
      </c>
    </row>
    <row r="91" spans="1:8" x14ac:dyDescent="0.25">
      <c r="A91" s="401" t="s">
        <v>13266</v>
      </c>
      <c r="B91" s="153"/>
      <c r="C91" s="153"/>
      <c r="D91" s="153">
        <v>1</v>
      </c>
      <c r="E91" s="153"/>
      <c r="F91" s="153"/>
      <c r="G91" s="153"/>
      <c r="H91" s="153">
        <v>1</v>
      </c>
    </row>
    <row r="92" spans="1:8" x14ac:dyDescent="0.25">
      <c r="A92" s="401" t="s">
        <v>13370</v>
      </c>
      <c r="B92" s="153"/>
      <c r="C92" s="153">
        <v>1</v>
      </c>
      <c r="D92" s="153"/>
      <c r="E92" s="153"/>
      <c r="F92" s="153"/>
      <c r="G92" s="153"/>
      <c r="H92" s="153">
        <v>1</v>
      </c>
    </row>
    <row r="93" spans="1:8" x14ac:dyDescent="0.25">
      <c r="A93" s="401" t="s">
        <v>16959</v>
      </c>
      <c r="B93" s="153"/>
      <c r="C93" s="153"/>
      <c r="D93" s="153"/>
      <c r="E93" s="153"/>
      <c r="F93" s="153"/>
      <c r="G93" s="153">
        <v>1</v>
      </c>
      <c r="H93" s="153">
        <v>1</v>
      </c>
    </row>
    <row r="94" spans="1:8" x14ac:dyDescent="0.25">
      <c r="A94" s="401" t="s">
        <v>13347</v>
      </c>
      <c r="B94" s="153">
        <v>1</v>
      </c>
      <c r="C94" s="153"/>
      <c r="D94" s="153"/>
      <c r="E94" s="153"/>
      <c r="F94" s="153"/>
      <c r="G94" s="153"/>
      <c r="H94" s="153">
        <v>1</v>
      </c>
    </row>
    <row r="95" spans="1:8" x14ac:dyDescent="0.25">
      <c r="A95" s="401" t="s">
        <v>13280</v>
      </c>
      <c r="B95" s="153"/>
      <c r="C95" s="153">
        <v>1</v>
      </c>
      <c r="D95" s="153"/>
      <c r="E95" s="153"/>
      <c r="F95" s="153"/>
      <c r="G95" s="153"/>
      <c r="H95" s="153">
        <v>1</v>
      </c>
    </row>
    <row r="96" spans="1:8" x14ac:dyDescent="0.25">
      <c r="A96" s="401" t="s">
        <v>13306</v>
      </c>
      <c r="B96" s="153"/>
      <c r="C96" s="153"/>
      <c r="D96" s="153"/>
      <c r="E96" s="153">
        <v>1</v>
      </c>
      <c r="F96" s="153"/>
      <c r="G96" s="153"/>
      <c r="H96" s="153">
        <v>1</v>
      </c>
    </row>
    <row r="97" spans="1:8" x14ac:dyDescent="0.25">
      <c r="A97" s="401" t="s">
        <v>13313</v>
      </c>
      <c r="B97" s="153"/>
      <c r="C97" s="153"/>
      <c r="D97" s="153">
        <v>1</v>
      </c>
      <c r="E97" s="153"/>
      <c r="F97" s="153"/>
      <c r="G97" s="153"/>
      <c r="H97" s="153">
        <v>1</v>
      </c>
    </row>
    <row r="98" spans="1:8" x14ac:dyDescent="0.25">
      <c r="A98" s="401" t="s">
        <v>13357</v>
      </c>
      <c r="B98" s="153"/>
      <c r="C98" s="153"/>
      <c r="D98" s="153">
        <v>1</v>
      </c>
      <c r="E98" s="153"/>
      <c r="F98" s="153"/>
      <c r="G98" s="153"/>
      <c r="H98" s="153">
        <v>1</v>
      </c>
    </row>
    <row r="99" spans="1:8" x14ac:dyDescent="0.25">
      <c r="A99" s="401" t="s">
        <v>13265</v>
      </c>
      <c r="B99" s="153"/>
      <c r="C99" s="153">
        <v>1</v>
      </c>
      <c r="D99" s="153"/>
      <c r="E99" s="153"/>
      <c r="F99" s="153"/>
      <c r="G99" s="153"/>
      <c r="H99" s="153">
        <v>1</v>
      </c>
    </row>
    <row r="100" spans="1:8" x14ac:dyDescent="0.25">
      <c r="A100" s="401" t="s">
        <v>13305</v>
      </c>
      <c r="B100" s="153"/>
      <c r="C100" s="153">
        <v>1</v>
      </c>
      <c r="D100" s="153"/>
      <c r="E100" s="153"/>
      <c r="F100" s="153"/>
      <c r="G100" s="153"/>
      <c r="H100" s="153">
        <v>1</v>
      </c>
    </row>
    <row r="101" spans="1:8" x14ac:dyDescent="0.25">
      <c r="A101" s="401" t="s">
        <v>16980</v>
      </c>
      <c r="B101" s="153"/>
      <c r="C101" s="153"/>
      <c r="D101" s="153"/>
      <c r="E101" s="153"/>
      <c r="F101" s="153"/>
      <c r="G101" s="153">
        <v>1</v>
      </c>
      <c r="H101" s="153">
        <v>1</v>
      </c>
    </row>
    <row r="102" spans="1:8" x14ac:dyDescent="0.25">
      <c r="A102" s="401" t="s">
        <v>13282</v>
      </c>
      <c r="B102" s="153"/>
      <c r="C102" s="153">
        <v>1</v>
      </c>
      <c r="D102" s="153"/>
      <c r="E102" s="153"/>
      <c r="F102" s="153"/>
      <c r="G102" s="153"/>
      <c r="H102" s="153">
        <v>1</v>
      </c>
    </row>
    <row r="103" spans="1:8" x14ac:dyDescent="0.25">
      <c r="A103" s="401" t="s">
        <v>13355</v>
      </c>
      <c r="B103" s="153"/>
      <c r="C103" s="153"/>
      <c r="D103" s="153">
        <v>1</v>
      </c>
      <c r="E103" s="153"/>
      <c r="F103" s="153"/>
      <c r="G103" s="153"/>
      <c r="H103" s="153">
        <v>1</v>
      </c>
    </row>
    <row r="104" spans="1:8" x14ac:dyDescent="0.25">
      <c r="A104" s="401" t="s">
        <v>13353</v>
      </c>
      <c r="B104" s="153"/>
      <c r="C104" s="153"/>
      <c r="D104" s="153"/>
      <c r="E104" s="153">
        <v>1</v>
      </c>
      <c r="F104" s="153"/>
      <c r="G104" s="153"/>
      <c r="H104" s="153">
        <v>1</v>
      </c>
    </row>
    <row r="105" spans="1:8" x14ac:dyDescent="0.25">
      <c r="A105" s="401" t="s">
        <v>17015</v>
      </c>
      <c r="B105" s="153"/>
      <c r="C105" s="153"/>
      <c r="D105" s="153"/>
      <c r="E105" s="153"/>
      <c r="F105" s="153"/>
      <c r="G105" s="153">
        <v>1</v>
      </c>
      <c r="H105" s="153">
        <v>1</v>
      </c>
    </row>
    <row r="106" spans="1:8" x14ac:dyDescent="0.25">
      <c r="A106" s="401" t="s">
        <v>13297</v>
      </c>
      <c r="B106" s="153"/>
      <c r="C106" s="153"/>
      <c r="D106" s="153">
        <v>1</v>
      </c>
      <c r="E106" s="153"/>
      <c r="F106" s="153"/>
      <c r="G106" s="153"/>
      <c r="H106" s="153">
        <v>1</v>
      </c>
    </row>
    <row r="107" spans="1:8" x14ac:dyDescent="0.25">
      <c r="A107" s="401" t="s">
        <v>13286</v>
      </c>
      <c r="B107" s="153"/>
      <c r="C107" s="153">
        <v>1</v>
      </c>
      <c r="D107" s="153"/>
      <c r="E107" s="153"/>
      <c r="F107" s="153"/>
      <c r="G107" s="153"/>
      <c r="H107" s="153">
        <v>1</v>
      </c>
    </row>
    <row r="108" spans="1:8" x14ac:dyDescent="0.25">
      <c r="A108" s="401" t="s">
        <v>13275</v>
      </c>
      <c r="B108" s="153"/>
      <c r="C108" s="153"/>
      <c r="D108" s="153">
        <v>1</v>
      </c>
      <c r="E108" s="153"/>
      <c r="F108" s="153"/>
      <c r="G108" s="153"/>
      <c r="H108" s="153">
        <v>1</v>
      </c>
    </row>
    <row r="109" spans="1:8" x14ac:dyDescent="0.25">
      <c r="A109" s="401" t="s">
        <v>17001</v>
      </c>
      <c r="B109" s="153"/>
      <c r="C109" s="153"/>
      <c r="D109" s="153"/>
      <c r="E109" s="153"/>
      <c r="F109" s="153"/>
      <c r="G109" s="153">
        <v>1</v>
      </c>
      <c r="H109" s="153">
        <v>1</v>
      </c>
    </row>
    <row r="110" spans="1:8" x14ac:dyDescent="0.25">
      <c r="A110" s="401" t="s">
        <v>13312</v>
      </c>
      <c r="B110" s="153"/>
      <c r="C110" s="153">
        <v>1</v>
      </c>
      <c r="D110" s="153"/>
      <c r="E110" s="153"/>
      <c r="F110" s="153"/>
      <c r="G110" s="153"/>
      <c r="H110" s="153">
        <v>1</v>
      </c>
    </row>
    <row r="111" spans="1:8" x14ac:dyDescent="0.25">
      <c r="A111" s="401" t="s">
        <v>13281</v>
      </c>
      <c r="B111" s="153"/>
      <c r="C111" s="153">
        <v>1</v>
      </c>
      <c r="D111" s="153"/>
      <c r="E111" s="153"/>
      <c r="F111" s="153"/>
      <c r="G111" s="153"/>
      <c r="H111" s="153">
        <v>1</v>
      </c>
    </row>
    <row r="112" spans="1:8" x14ac:dyDescent="0.25">
      <c r="A112" s="401" t="s">
        <v>13300</v>
      </c>
      <c r="B112" s="153"/>
      <c r="C112" s="153">
        <v>1</v>
      </c>
      <c r="D112" s="153"/>
      <c r="E112" s="153"/>
      <c r="F112" s="153"/>
      <c r="G112" s="153"/>
      <c r="H112" s="153">
        <v>1</v>
      </c>
    </row>
    <row r="113" spans="1:8" x14ac:dyDescent="0.25">
      <c r="A113" s="401" t="s">
        <v>16949</v>
      </c>
      <c r="B113" s="153"/>
      <c r="C113" s="153">
        <v>1</v>
      </c>
      <c r="D113" s="153"/>
      <c r="E113" s="153"/>
      <c r="F113" s="153"/>
      <c r="G113" s="153"/>
      <c r="H113" s="153">
        <v>1</v>
      </c>
    </row>
    <row r="114" spans="1:8" x14ac:dyDescent="0.25">
      <c r="A114" s="401" t="s">
        <v>13291</v>
      </c>
      <c r="B114" s="153">
        <v>1</v>
      </c>
      <c r="C114" s="153"/>
      <c r="D114" s="153"/>
      <c r="E114" s="153"/>
      <c r="F114" s="153"/>
      <c r="G114" s="153"/>
      <c r="H114" s="153">
        <v>1</v>
      </c>
    </row>
    <row r="115" spans="1:8" x14ac:dyDescent="0.25">
      <c r="A115" s="401" t="s">
        <v>11759</v>
      </c>
      <c r="B115" s="153"/>
      <c r="C115" s="153"/>
      <c r="D115" s="153">
        <v>1</v>
      </c>
      <c r="E115" s="153"/>
      <c r="F115" s="153"/>
      <c r="G115" s="153"/>
      <c r="H115" s="153">
        <v>1</v>
      </c>
    </row>
    <row r="116" spans="1:8" x14ac:dyDescent="0.25">
      <c r="A116" s="401" t="s">
        <v>13263</v>
      </c>
      <c r="B116" s="153"/>
      <c r="C116" s="153"/>
      <c r="D116" s="153">
        <v>1</v>
      </c>
      <c r="E116" s="153"/>
      <c r="F116" s="153"/>
      <c r="G116" s="153"/>
      <c r="H116" s="153">
        <v>1</v>
      </c>
    </row>
    <row r="117" spans="1:8" x14ac:dyDescent="0.25">
      <c r="A117" s="401" t="s">
        <v>13337</v>
      </c>
      <c r="B117" s="153"/>
      <c r="C117" s="153">
        <v>1</v>
      </c>
      <c r="D117" s="153"/>
      <c r="E117" s="153"/>
      <c r="F117" s="153"/>
      <c r="G117" s="153"/>
      <c r="H117" s="153">
        <v>1</v>
      </c>
    </row>
    <row r="118" spans="1:8" x14ac:dyDescent="0.25">
      <c r="A118" s="401" t="s">
        <v>13277</v>
      </c>
      <c r="B118" s="153">
        <v>1</v>
      </c>
      <c r="C118" s="153"/>
      <c r="D118" s="153"/>
      <c r="E118" s="153"/>
      <c r="F118" s="153"/>
      <c r="G118" s="153"/>
      <c r="H118" s="153">
        <v>1</v>
      </c>
    </row>
    <row r="119" spans="1:8" x14ac:dyDescent="0.25">
      <c r="A119" s="401" t="s">
        <v>13261</v>
      </c>
      <c r="B119" s="153">
        <v>1</v>
      </c>
      <c r="C119" s="153"/>
      <c r="D119" s="153"/>
      <c r="E119" s="153"/>
      <c r="F119" s="153"/>
      <c r="G119" s="153"/>
      <c r="H119" s="153">
        <v>1</v>
      </c>
    </row>
    <row r="120" spans="1:8" x14ac:dyDescent="0.25">
      <c r="A120" s="401" t="s">
        <v>16941</v>
      </c>
      <c r="B120" s="153"/>
      <c r="C120" s="153"/>
      <c r="D120" s="153"/>
      <c r="E120" s="153">
        <v>1</v>
      </c>
      <c r="F120" s="153"/>
      <c r="G120" s="153"/>
      <c r="H120" s="153">
        <v>1</v>
      </c>
    </row>
    <row r="121" spans="1:8" x14ac:dyDescent="0.25">
      <c r="A121" s="401" t="s">
        <v>16992</v>
      </c>
      <c r="B121" s="153"/>
      <c r="C121" s="153"/>
      <c r="D121" s="153"/>
      <c r="E121" s="153">
        <v>1</v>
      </c>
      <c r="F121" s="153"/>
      <c r="G121" s="153"/>
      <c r="H121" s="153">
        <v>1</v>
      </c>
    </row>
    <row r="122" spans="1:8" x14ac:dyDescent="0.25">
      <c r="A122" s="401" t="s">
        <v>13260</v>
      </c>
      <c r="B122" s="153"/>
      <c r="C122" s="153"/>
      <c r="D122" s="153"/>
      <c r="E122" s="153">
        <v>1</v>
      </c>
      <c r="F122" s="153"/>
      <c r="G122" s="153"/>
      <c r="H122" s="153">
        <v>1</v>
      </c>
    </row>
    <row r="123" spans="1:8" x14ac:dyDescent="0.25">
      <c r="A123" s="401" t="s">
        <v>13344</v>
      </c>
      <c r="B123" s="153"/>
      <c r="C123" s="153"/>
      <c r="D123" s="153">
        <v>1</v>
      </c>
      <c r="E123" s="153"/>
      <c r="F123" s="153"/>
      <c r="G123" s="153"/>
      <c r="H123" s="153">
        <v>1</v>
      </c>
    </row>
    <row r="124" spans="1:8" x14ac:dyDescent="0.25">
      <c r="A124" s="401" t="s">
        <v>13276</v>
      </c>
      <c r="B124" s="153"/>
      <c r="C124" s="153"/>
      <c r="D124" s="153"/>
      <c r="E124" s="153">
        <v>1</v>
      </c>
      <c r="F124" s="153"/>
      <c r="G124" s="153"/>
      <c r="H124" s="153">
        <v>1</v>
      </c>
    </row>
    <row r="125" spans="1:8" x14ac:dyDescent="0.25">
      <c r="A125" s="401" t="s">
        <v>16954</v>
      </c>
      <c r="B125" s="153"/>
      <c r="C125" s="153"/>
      <c r="D125" s="153"/>
      <c r="E125" s="153"/>
      <c r="F125" s="153"/>
      <c r="G125" s="153">
        <v>1</v>
      </c>
      <c r="H125" s="153">
        <v>1</v>
      </c>
    </row>
    <row r="126" spans="1:8" x14ac:dyDescent="0.25">
      <c r="A126" s="401" t="s">
        <v>16969</v>
      </c>
      <c r="B126" s="153">
        <v>1</v>
      </c>
      <c r="C126" s="153"/>
      <c r="D126" s="153"/>
      <c r="E126" s="153"/>
      <c r="F126" s="153"/>
      <c r="G126" s="153"/>
      <c r="H126" s="153">
        <v>1</v>
      </c>
    </row>
    <row r="127" spans="1:8" x14ac:dyDescent="0.25">
      <c r="A127" s="401" t="s">
        <v>13322</v>
      </c>
      <c r="B127" s="153"/>
      <c r="C127" s="153"/>
      <c r="D127" s="153"/>
      <c r="E127" s="153">
        <v>1</v>
      </c>
      <c r="F127" s="153"/>
      <c r="G127" s="153"/>
      <c r="H127" s="153">
        <v>1</v>
      </c>
    </row>
    <row r="128" spans="1:8" x14ac:dyDescent="0.25">
      <c r="A128" s="401" t="s">
        <v>13362</v>
      </c>
      <c r="B128" s="153"/>
      <c r="C128" s="153"/>
      <c r="D128" s="153">
        <v>1</v>
      </c>
      <c r="E128" s="153"/>
      <c r="F128" s="153"/>
      <c r="G128" s="153"/>
      <c r="H128" s="153">
        <v>1</v>
      </c>
    </row>
    <row r="129" spans="1:8" x14ac:dyDescent="0.25">
      <c r="A129" s="401" t="s">
        <v>17011</v>
      </c>
      <c r="B129" s="153"/>
      <c r="C129" s="153"/>
      <c r="D129" s="153"/>
      <c r="E129" s="153"/>
      <c r="F129" s="153"/>
      <c r="G129" s="153">
        <v>1</v>
      </c>
      <c r="H129" s="153">
        <v>1</v>
      </c>
    </row>
    <row r="130" spans="1:8" x14ac:dyDescent="0.25">
      <c r="A130" s="401" t="s">
        <v>13255</v>
      </c>
      <c r="B130" s="153">
        <v>1</v>
      </c>
      <c r="C130" s="153"/>
      <c r="D130" s="153"/>
      <c r="E130" s="153"/>
      <c r="F130" s="153"/>
      <c r="G130" s="153"/>
      <c r="H130" s="153">
        <v>1</v>
      </c>
    </row>
    <row r="131" spans="1:8" x14ac:dyDescent="0.25">
      <c r="A131" s="401" t="s">
        <v>13363</v>
      </c>
      <c r="B131" s="153"/>
      <c r="C131" s="153"/>
      <c r="D131" s="153"/>
      <c r="E131" s="153">
        <v>1</v>
      </c>
      <c r="F131" s="153"/>
      <c r="G131" s="153"/>
      <c r="H131" s="153">
        <v>1</v>
      </c>
    </row>
    <row r="132" spans="1:8" x14ac:dyDescent="0.25">
      <c r="A132" s="401" t="s">
        <v>17006</v>
      </c>
      <c r="B132" s="153"/>
      <c r="C132" s="153"/>
      <c r="D132" s="153"/>
      <c r="E132" s="153"/>
      <c r="F132" s="153"/>
      <c r="G132" s="153">
        <v>1</v>
      </c>
      <c r="H132" s="153">
        <v>1</v>
      </c>
    </row>
    <row r="133" spans="1:8" x14ac:dyDescent="0.25">
      <c r="A133" s="401" t="s">
        <v>16931</v>
      </c>
      <c r="B133" s="153"/>
      <c r="C133" s="153"/>
      <c r="D133" s="153"/>
      <c r="E133" s="153"/>
      <c r="F133" s="153"/>
      <c r="G133" s="153">
        <v>1</v>
      </c>
      <c r="H133" s="153">
        <v>1</v>
      </c>
    </row>
    <row r="134" spans="1:8" x14ac:dyDescent="0.25">
      <c r="A134" s="401" t="s">
        <v>16972</v>
      </c>
      <c r="B134" s="153"/>
      <c r="C134" s="153"/>
      <c r="D134" s="153"/>
      <c r="E134" s="153"/>
      <c r="F134" s="153"/>
      <c r="G134" s="153">
        <v>1</v>
      </c>
      <c r="H134" s="153">
        <v>1</v>
      </c>
    </row>
    <row r="135" spans="1:8" x14ac:dyDescent="0.25">
      <c r="A135" s="401" t="s">
        <v>16944</v>
      </c>
      <c r="B135" s="153"/>
      <c r="C135" s="153"/>
      <c r="D135" s="153"/>
      <c r="E135" s="153"/>
      <c r="F135" s="153"/>
      <c r="G135" s="153">
        <v>1</v>
      </c>
      <c r="H135" s="153">
        <v>1</v>
      </c>
    </row>
    <row r="136" spans="1:8" x14ac:dyDescent="0.25">
      <c r="A136" s="401" t="s">
        <v>16942</v>
      </c>
      <c r="B136" s="153"/>
      <c r="C136" s="153"/>
      <c r="D136" s="153"/>
      <c r="E136" s="153"/>
      <c r="F136" s="153"/>
      <c r="G136" s="153">
        <v>1</v>
      </c>
      <c r="H136" s="153">
        <v>1</v>
      </c>
    </row>
    <row r="137" spans="1:8" x14ac:dyDescent="0.25">
      <c r="A137" s="401" t="s">
        <v>13303</v>
      </c>
      <c r="B137" s="153"/>
      <c r="C137" s="153"/>
      <c r="D137" s="153"/>
      <c r="E137" s="153">
        <v>1</v>
      </c>
      <c r="F137" s="153"/>
      <c r="G137" s="153"/>
      <c r="H137" s="153">
        <v>1</v>
      </c>
    </row>
    <row r="138" spans="1:8" x14ac:dyDescent="0.25">
      <c r="A138" s="401" t="s">
        <v>13366</v>
      </c>
      <c r="B138" s="153"/>
      <c r="C138" s="153"/>
      <c r="D138" s="153"/>
      <c r="E138" s="153">
        <v>1</v>
      </c>
      <c r="F138" s="153"/>
      <c r="G138" s="153"/>
      <c r="H138" s="153">
        <v>1</v>
      </c>
    </row>
    <row r="139" spans="1:8" x14ac:dyDescent="0.25">
      <c r="A139" s="401" t="s">
        <v>13321</v>
      </c>
      <c r="B139" s="153"/>
      <c r="C139" s="153">
        <v>1</v>
      </c>
      <c r="D139" s="153"/>
      <c r="E139" s="153"/>
      <c r="F139" s="153"/>
      <c r="G139" s="153"/>
      <c r="H139" s="153">
        <v>1</v>
      </c>
    </row>
    <row r="140" spans="1:8" x14ac:dyDescent="0.25">
      <c r="A140" s="401" t="s">
        <v>13289</v>
      </c>
      <c r="B140" s="153"/>
      <c r="C140" s="153"/>
      <c r="D140" s="153">
        <v>1</v>
      </c>
      <c r="E140" s="153"/>
      <c r="F140" s="153"/>
      <c r="G140" s="153"/>
      <c r="H140" s="153">
        <v>1</v>
      </c>
    </row>
    <row r="141" spans="1:8" x14ac:dyDescent="0.25">
      <c r="A141" s="401" t="s">
        <v>10909</v>
      </c>
      <c r="B141" s="153"/>
      <c r="C141" s="153">
        <v>1</v>
      </c>
      <c r="D141" s="153"/>
      <c r="E141" s="153"/>
      <c r="F141" s="153"/>
      <c r="G141" s="153"/>
      <c r="H141" s="153">
        <v>1</v>
      </c>
    </row>
    <row r="142" spans="1:8" x14ac:dyDescent="0.25">
      <c r="A142" s="401" t="s">
        <v>16950</v>
      </c>
      <c r="B142" s="153">
        <v>1</v>
      </c>
      <c r="C142" s="153"/>
      <c r="D142" s="153"/>
      <c r="E142" s="153"/>
      <c r="F142" s="153"/>
      <c r="G142" s="153"/>
      <c r="H142" s="153">
        <v>1</v>
      </c>
    </row>
    <row r="143" spans="1:8" x14ac:dyDescent="0.25">
      <c r="A143" s="401" t="s">
        <v>8825</v>
      </c>
      <c r="B143" s="153">
        <v>1</v>
      </c>
      <c r="C143" s="153"/>
      <c r="D143" s="153"/>
      <c r="E143" s="153"/>
      <c r="F143" s="153"/>
      <c r="G143" s="153"/>
      <c r="H143" s="153">
        <v>1</v>
      </c>
    </row>
    <row r="144" spans="1:8" x14ac:dyDescent="0.25">
      <c r="A144" s="401" t="s">
        <v>13332</v>
      </c>
      <c r="B144" s="153">
        <v>1</v>
      </c>
      <c r="C144" s="153"/>
      <c r="D144" s="153"/>
      <c r="E144" s="153"/>
      <c r="F144" s="153"/>
      <c r="G144" s="153"/>
      <c r="H144" s="153">
        <v>1</v>
      </c>
    </row>
    <row r="145" spans="1:8" x14ac:dyDescent="0.25">
      <c r="A145" s="401" t="s">
        <v>17012</v>
      </c>
      <c r="B145" s="153"/>
      <c r="C145" s="153"/>
      <c r="D145" s="153"/>
      <c r="E145" s="153"/>
      <c r="F145" s="153"/>
      <c r="G145" s="153">
        <v>1</v>
      </c>
      <c r="H145" s="153">
        <v>1</v>
      </c>
    </row>
    <row r="146" spans="1:8" x14ac:dyDescent="0.25">
      <c r="A146" s="401" t="s">
        <v>13372</v>
      </c>
      <c r="B146" s="153"/>
      <c r="C146" s="153"/>
      <c r="D146" s="153"/>
      <c r="E146" s="153">
        <v>1</v>
      </c>
      <c r="F146" s="153"/>
      <c r="G146" s="153"/>
      <c r="H146" s="153">
        <v>1</v>
      </c>
    </row>
    <row r="147" spans="1:8" x14ac:dyDescent="0.25">
      <c r="A147" s="401" t="s">
        <v>11765</v>
      </c>
      <c r="B147" s="153"/>
      <c r="C147" s="153"/>
      <c r="D147" s="153">
        <v>1</v>
      </c>
      <c r="E147" s="153"/>
      <c r="F147" s="153"/>
      <c r="G147" s="153"/>
      <c r="H147" s="153">
        <v>1</v>
      </c>
    </row>
    <row r="148" spans="1:8" x14ac:dyDescent="0.25">
      <c r="A148" s="401" t="s">
        <v>13310</v>
      </c>
      <c r="B148" s="153"/>
      <c r="C148" s="153">
        <v>1</v>
      </c>
      <c r="D148" s="153"/>
      <c r="E148" s="153"/>
      <c r="F148" s="153"/>
      <c r="G148" s="153"/>
      <c r="H148" s="153">
        <v>1</v>
      </c>
    </row>
    <row r="149" spans="1:8" x14ac:dyDescent="0.25">
      <c r="A149" s="401" t="s">
        <v>16976</v>
      </c>
      <c r="B149" s="153"/>
      <c r="C149" s="153"/>
      <c r="D149" s="153"/>
      <c r="E149" s="153"/>
      <c r="F149" s="153"/>
      <c r="G149" s="153">
        <v>1</v>
      </c>
      <c r="H149" s="153">
        <v>1</v>
      </c>
    </row>
    <row r="150" spans="1:8" x14ac:dyDescent="0.25">
      <c r="A150" s="401" t="s">
        <v>16967</v>
      </c>
      <c r="B150" s="153">
        <v>1</v>
      </c>
      <c r="C150" s="153"/>
      <c r="D150" s="153"/>
      <c r="E150" s="153"/>
      <c r="F150" s="153"/>
      <c r="G150" s="153"/>
      <c r="H150" s="153">
        <v>1</v>
      </c>
    </row>
    <row r="151" spans="1:8" x14ac:dyDescent="0.25">
      <c r="A151" s="401" t="s">
        <v>16963</v>
      </c>
      <c r="B151" s="153">
        <v>1</v>
      </c>
      <c r="C151" s="153"/>
      <c r="D151" s="153"/>
      <c r="E151" s="153"/>
      <c r="F151" s="153"/>
      <c r="G151" s="153"/>
      <c r="H151" s="153">
        <v>1</v>
      </c>
    </row>
    <row r="152" spans="1:8" x14ac:dyDescent="0.25">
      <c r="A152" s="191" t="s">
        <v>12682</v>
      </c>
      <c r="B152" s="153">
        <v>5</v>
      </c>
      <c r="C152" s="153">
        <v>9</v>
      </c>
      <c r="D152" s="153">
        <v>3</v>
      </c>
      <c r="E152" s="153">
        <v>1</v>
      </c>
      <c r="F152" s="153"/>
      <c r="G152" s="153"/>
      <c r="H152" s="153">
        <v>18</v>
      </c>
    </row>
    <row r="153" spans="1:8" x14ac:dyDescent="0.25">
      <c r="A153" s="191" t="s">
        <v>12694</v>
      </c>
      <c r="B153" s="153">
        <v>11</v>
      </c>
      <c r="C153" s="153">
        <v>29</v>
      </c>
      <c r="D153" s="153">
        <v>2</v>
      </c>
      <c r="E153" s="153">
        <v>1</v>
      </c>
      <c r="F153" s="153">
        <v>1</v>
      </c>
      <c r="G153" s="153"/>
      <c r="H153" s="153">
        <v>44</v>
      </c>
    </row>
    <row r="154" spans="1:8" x14ac:dyDescent="0.25">
      <c r="A154" s="17" t="s">
        <v>467</v>
      </c>
      <c r="B154" s="153">
        <v>6</v>
      </c>
      <c r="C154" s="153">
        <v>75</v>
      </c>
      <c r="D154" s="153">
        <v>86</v>
      </c>
      <c r="E154" s="153">
        <v>59</v>
      </c>
      <c r="F154" s="153">
        <v>32</v>
      </c>
      <c r="G154" s="153">
        <v>1</v>
      </c>
      <c r="H154" s="153">
        <v>259</v>
      </c>
    </row>
    <row r="155" spans="1:8" x14ac:dyDescent="0.25">
      <c r="A155" s="191" t="s">
        <v>12671</v>
      </c>
      <c r="B155" s="153">
        <v>3</v>
      </c>
      <c r="C155" s="153">
        <v>22</v>
      </c>
      <c r="D155" s="153">
        <v>5</v>
      </c>
      <c r="E155" s="153">
        <v>6</v>
      </c>
      <c r="F155" s="153"/>
      <c r="G155" s="153">
        <v>1</v>
      </c>
      <c r="H155" s="153">
        <v>37</v>
      </c>
    </row>
    <row r="156" spans="1:8" x14ac:dyDescent="0.25">
      <c r="A156" s="191" t="s">
        <v>12670</v>
      </c>
      <c r="B156" s="153">
        <v>1</v>
      </c>
      <c r="C156" s="153">
        <v>21</v>
      </c>
      <c r="D156" s="153">
        <v>49</v>
      </c>
      <c r="E156" s="153">
        <v>32</v>
      </c>
      <c r="F156" s="153">
        <v>18</v>
      </c>
      <c r="G156" s="153"/>
      <c r="H156" s="153">
        <v>121</v>
      </c>
    </row>
    <row r="157" spans="1:8" x14ac:dyDescent="0.25">
      <c r="A157" s="191" t="s">
        <v>12674</v>
      </c>
      <c r="B157" s="153">
        <v>1</v>
      </c>
      <c r="C157" s="153">
        <v>14</v>
      </c>
      <c r="D157" s="153">
        <v>13</v>
      </c>
      <c r="E157" s="153">
        <v>2</v>
      </c>
      <c r="F157" s="153"/>
      <c r="G157" s="153"/>
      <c r="H157" s="153">
        <v>30</v>
      </c>
    </row>
    <row r="158" spans="1:8" x14ac:dyDescent="0.25">
      <c r="A158" s="191" t="s">
        <v>12688</v>
      </c>
      <c r="B158" s="153"/>
      <c r="C158" s="153">
        <v>3</v>
      </c>
      <c r="D158" s="153">
        <v>5</v>
      </c>
      <c r="E158" s="153">
        <v>7</v>
      </c>
      <c r="F158" s="153">
        <v>1</v>
      </c>
      <c r="G158" s="153"/>
      <c r="H158" s="153">
        <v>16</v>
      </c>
    </row>
    <row r="159" spans="1:8" x14ac:dyDescent="0.25">
      <c r="A159" s="191" t="s">
        <v>15969</v>
      </c>
      <c r="B159" s="153"/>
      <c r="C159" s="153"/>
      <c r="D159" s="153"/>
      <c r="E159" s="153">
        <v>3</v>
      </c>
      <c r="F159" s="153">
        <v>11</v>
      </c>
      <c r="G159" s="153"/>
      <c r="H159" s="153">
        <v>14</v>
      </c>
    </row>
    <row r="160" spans="1:8" x14ac:dyDescent="0.25">
      <c r="A160" s="400" t="s">
        <v>11732</v>
      </c>
      <c r="B160" s="153"/>
      <c r="C160" s="153"/>
      <c r="D160" s="153"/>
      <c r="E160" s="153">
        <v>3</v>
      </c>
      <c r="F160" s="153">
        <v>11</v>
      </c>
      <c r="G160" s="153"/>
      <c r="H160" s="153">
        <v>14</v>
      </c>
    </row>
    <row r="161" spans="1:8" x14ac:dyDescent="0.25">
      <c r="A161" s="401" t="s">
        <v>13294</v>
      </c>
      <c r="B161" s="153"/>
      <c r="C161" s="153"/>
      <c r="D161" s="153"/>
      <c r="E161" s="153"/>
      <c r="F161" s="153">
        <v>1</v>
      </c>
      <c r="G161" s="153"/>
      <c r="H161" s="153">
        <v>1</v>
      </c>
    </row>
    <row r="162" spans="1:8" x14ac:dyDescent="0.25">
      <c r="A162" s="401" t="s">
        <v>13354</v>
      </c>
      <c r="B162" s="153"/>
      <c r="C162" s="153"/>
      <c r="D162" s="153"/>
      <c r="E162" s="153"/>
      <c r="F162" s="153">
        <v>1</v>
      </c>
      <c r="G162" s="153"/>
      <c r="H162" s="153">
        <v>1</v>
      </c>
    </row>
    <row r="163" spans="1:8" x14ac:dyDescent="0.25">
      <c r="A163" s="401" t="s">
        <v>13258</v>
      </c>
      <c r="B163" s="153"/>
      <c r="C163" s="153"/>
      <c r="D163" s="153"/>
      <c r="E163" s="153"/>
      <c r="F163" s="153">
        <v>1</v>
      </c>
      <c r="G163" s="153"/>
      <c r="H163" s="153">
        <v>1</v>
      </c>
    </row>
    <row r="164" spans="1:8" x14ac:dyDescent="0.25">
      <c r="A164" s="401" t="s">
        <v>13309</v>
      </c>
      <c r="B164" s="153"/>
      <c r="C164" s="153"/>
      <c r="D164" s="153"/>
      <c r="E164" s="153"/>
      <c r="F164" s="153">
        <v>1</v>
      </c>
      <c r="G164" s="153"/>
      <c r="H164" s="153">
        <v>1</v>
      </c>
    </row>
    <row r="165" spans="1:8" x14ac:dyDescent="0.25">
      <c r="A165" s="401" t="s">
        <v>13373</v>
      </c>
      <c r="B165" s="153"/>
      <c r="C165" s="153"/>
      <c r="D165" s="153"/>
      <c r="E165" s="153"/>
      <c r="F165" s="153">
        <v>1</v>
      </c>
      <c r="G165" s="153"/>
      <c r="H165" s="153">
        <v>1</v>
      </c>
    </row>
    <row r="166" spans="1:8" x14ac:dyDescent="0.25">
      <c r="A166" s="401" t="s">
        <v>13316</v>
      </c>
      <c r="B166" s="153"/>
      <c r="C166" s="153"/>
      <c r="D166" s="153"/>
      <c r="E166" s="153"/>
      <c r="F166" s="153">
        <v>1</v>
      </c>
      <c r="G166" s="153"/>
      <c r="H166" s="153">
        <v>1</v>
      </c>
    </row>
    <row r="167" spans="1:8" x14ac:dyDescent="0.25">
      <c r="A167" s="401" t="s">
        <v>13368</v>
      </c>
      <c r="B167" s="153"/>
      <c r="C167" s="153"/>
      <c r="D167" s="153"/>
      <c r="E167" s="153"/>
      <c r="F167" s="153">
        <v>1</v>
      </c>
      <c r="G167" s="153"/>
      <c r="H167" s="153">
        <v>1</v>
      </c>
    </row>
    <row r="168" spans="1:8" x14ac:dyDescent="0.25">
      <c r="A168" s="401" t="s">
        <v>13288</v>
      </c>
      <c r="B168" s="153"/>
      <c r="C168" s="153"/>
      <c r="D168" s="153"/>
      <c r="E168" s="153"/>
      <c r="F168" s="153">
        <v>1</v>
      </c>
      <c r="G168" s="153"/>
      <c r="H168" s="153">
        <v>1</v>
      </c>
    </row>
    <row r="169" spans="1:8" x14ac:dyDescent="0.25">
      <c r="A169" s="401" t="s">
        <v>13256</v>
      </c>
      <c r="B169" s="153"/>
      <c r="C169" s="153"/>
      <c r="D169" s="153"/>
      <c r="E169" s="153"/>
      <c r="F169" s="153">
        <v>1</v>
      </c>
      <c r="G169" s="153"/>
      <c r="H169" s="153">
        <v>1</v>
      </c>
    </row>
    <row r="170" spans="1:8" x14ac:dyDescent="0.25">
      <c r="A170" s="401" t="s">
        <v>13274</v>
      </c>
      <c r="B170" s="153"/>
      <c r="C170" s="153"/>
      <c r="D170" s="153"/>
      <c r="E170" s="153"/>
      <c r="F170" s="153">
        <v>1</v>
      </c>
      <c r="G170" s="153"/>
      <c r="H170" s="153">
        <v>1</v>
      </c>
    </row>
    <row r="171" spans="1:8" x14ac:dyDescent="0.25">
      <c r="A171" s="401" t="s">
        <v>13269</v>
      </c>
      <c r="B171" s="153"/>
      <c r="C171" s="153"/>
      <c r="D171" s="153"/>
      <c r="E171" s="153"/>
      <c r="F171" s="153">
        <v>1</v>
      </c>
      <c r="G171" s="153"/>
      <c r="H171" s="153">
        <v>1</v>
      </c>
    </row>
    <row r="172" spans="1:8" x14ac:dyDescent="0.25">
      <c r="A172" s="401" t="s">
        <v>13257</v>
      </c>
      <c r="B172" s="153"/>
      <c r="C172" s="153"/>
      <c r="D172" s="153"/>
      <c r="E172" s="153">
        <v>1</v>
      </c>
      <c r="F172" s="153"/>
      <c r="G172" s="153"/>
      <c r="H172" s="153">
        <v>1</v>
      </c>
    </row>
    <row r="173" spans="1:8" x14ac:dyDescent="0.25">
      <c r="A173" s="401" t="s">
        <v>11080</v>
      </c>
      <c r="B173" s="153"/>
      <c r="C173" s="153"/>
      <c r="D173" s="153"/>
      <c r="E173" s="153">
        <v>1</v>
      </c>
      <c r="F173" s="153"/>
      <c r="G173" s="153"/>
      <c r="H173" s="153">
        <v>1</v>
      </c>
    </row>
    <row r="174" spans="1:8" x14ac:dyDescent="0.25">
      <c r="A174" s="401" t="s">
        <v>13259</v>
      </c>
      <c r="B174" s="153"/>
      <c r="C174" s="153"/>
      <c r="D174" s="153"/>
      <c r="E174" s="153">
        <v>1</v>
      </c>
      <c r="F174" s="153"/>
      <c r="G174" s="153"/>
      <c r="H174" s="153">
        <v>1</v>
      </c>
    </row>
    <row r="175" spans="1:8" x14ac:dyDescent="0.25">
      <c r="A175" s="191" t="s">
        <v>12682</v>
      </c>
      <c r="B175" s="153"/>
      <c r="C175" s="153">
        <v>1</v>
      </c>
      <c r="D175" s="153">
        <v>5</v>
      </c>
      <c r="E175" s="153">
        <v>2</v>
      </c>
      <c r="F175" s="153">
        <v>2</v>
      </c>
      <c r="G175" s="153"/>
      <c r="H175" s="153">
        <v>10</v>
      </c>
    </row>
    <row r="176" spans="1:8" x14ac:dyDescent="0.25">
      <c r="A176" s="191" t="s">
        <v>12694</v>
      </c>
      <c r="B176" s="153">
        <v>1</v>
      </c>
      <c r="C176" s="153">
        <v>14</v>
      </c>
      <c r="D176" s="153">
        <v>9</v>
      </c>
      <c r="E176" s="153">
        <v>7</v>
      </c>
      <c r="F176" s="153"/>
      <c r="G176" s="153"/>
      <c r="H176" s="153">
        <v>31</v>
      </c>
    </row>
    <row r="177" spans="1:8" x14ac:dyDescent="0.25">
      <c r="A177" s="17" t="s">
        <v>14059</v>
      </c>
      <c r="B177" s="153">
        <v>114</v>
      </c>
      <c r="C177" s="153">
        <v>337</v>
      </c>
      <c r="D177" s="153">
        <v>180</v>
      </c>
      <c r="E177" s="153">
        <v>94</v>
      </c>
      <c r="F177" s="153">
        <v>44</v>
      </c>
      <c r="G177" s="153">
        <v>46</v>
      </c>
      <c r="H177" s="153">
        <v>815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AC98D-3892-4C42-9F8F-CFA88658C24B}">
  <sheetPr>
    <tabColor theme="4"/>
  </sheetPr>
  <dimension ref="A1:AP496"/>
  <sheetViews>
    <sheetView tabSelected="1" zoomScale="85" zoomScaleNormal="85" workbookViewId="0">
      <selection activeCell="I17" sqref="I17"/>
    </sheetView>
  </sheetViews>
  <sheetFormatPr defaultColWidth="9.140625" defaultRowHeight="15" x14ac:dyDescent="0.25"/>
  <cols>
    <col min="1" max="1" width="12.28515625" style="249" bestFit="1" customWidth="1"/>
    <col min="2" max="2" width="19" style="249" bestFit="1" customWidth="1"/>
    <col min="3" max="3" width="14.28515625" style="249" bestFit="1" customWidth="1"/>
    <col min="4" max="4" width="10.7109375" style="249" bestFit="1" customWidth="1"/>
    <col min="5" max="5" width="44.85546875" style="249" bestFit="1" customWidth="1"/>
    <col min="6" max="6" width="60.42578125" style="249" bestFit="1" customWidth="1"/>
    <col min="7" max="16384" width="9.140625" style="58"/>
  </cols>
  <sheetData>
    <row r="1" spans="1:42" s="53" customFormat="1" ht="18.75" x14ac:dyDescent="0.25">
      <c r="A1" s="704" t="s">
        <v>488</v>
      </c>
      <c r="B1" s="704" t="s">
        <v>19837</v>
      </c>
      <c r="C1" s="704" t="s">
        <v>467</v>
      </c>
      <c r="D1" s="704" t="s">
        <v>19839</v>
      </c>
      <c r="E1" s="704" t="s">
        <v>473</v>
      </c>
      <c r="F1" s="704" t="s">
        <v>19838</v>
      </c>
      <c r="AH1" s="169"/>
      <c r="AI1" s="169"/>
      <c r="AJ1" s="169"/>
      <c r="AK1" s="169"/>
      <c r="AL1" s="169"/>
      <c r="AM1" s="169"/>
      <c r="AN1" s="169"/>
      <c r="AO1" s="169"/>
      <c r="AP1" s="169"/>
    </row>
    <row r="2" spans="1:42" ht="15.75" x14ac:dyDescent="0.25">
      <c r="A2" s="703" t="s">
        <v>417</v>
      </c>
      <c r="B2" s="703">
        <v>14.75</v>
      </c>
      <c r="C2" s="703">
        <v>1</v>
      </c>
      <c r="D2" s="703">
        <v>1</v>
      </c>
      <c r="E2" s="703" t="s">
        <v>19843</v>
      </c>
      <c r="F2" s="703" t="s">
        <v>19917</v>
      </c>
      <c r="I2" s="699"/>
    </row>
    <row r="3" spans="1:42" x14ac:dyDescent="0.25">
      <c r="A3" s="249" t="s">
        <v>256</v>
      </c>
      <c r="B3" s="249">
        <v>22.25</v>
      </c>
      <c r="C3" s="249">
        <v>1</v>
      </c>
      <c r="D3" s="249">
        <v>2</v>
      </c>
      <c r="F3" s="249" t="s">
        <v>19918</v>
      </c>
    </row>
    <row r="4" spans="1:42" x14ac:dyDescent="0.25">
      <c r="A4" s="249" t="s">
        <v>5275</v>
      </c>
      <c r="B4" s="249">
        <v>17.75</v>
      </c>
      <c r="C4" s="249">
        <v>1</v>
      </c>
      <c r="D4" s="249">
        <v>3</v>
      </c>
      <c r="F4" s="249" t="s">
        <v>19919</v>
      </c>
    </row>
    <row r="5" spans="1:42" x14ac:dyDescent="0.25">
      <c r="A5" s="249" t="s">
        <v>217</v>
      </c>
      <c r="B5" s="249">
        <v>20.5</v>
      </c>
      <c r="C5" s="249">
        <v>1</v>
      </c>
      <c r="D5" s="249">
        <v>4</v>
      </c>
      <c r="F5" s="249" t="s">
        <v>19920</v>
      </c>
    </row>
    <row r="6" spans="1:42" x14ac:dyDescent="0.25">
      <c r="A6" s="249" t="s">
        <v>5187</v>
      </c>
      <c r="B6" s="249">
        <v>19</v>
      </c>
      <c r="C6" s="249">
        <v>1</v>
      </c>
      <c r="D6" s="249">
        <v>5</v>
      </c>
      <c r="F6" s="249" t="s">
        <v>19921</v>
      </c>
    </row>
    <row r="7" spans="1:42" x14ac:dyDescent="0.25">
      <c r="A7" s="249" t="s">
        <v>5727</v>
      </c>
      <c r="B7" s="249">
        <v>35.25</v>
      </c>
      <c r="C7" s="249">
        <v>1</v>
      </c>
      <c r="D7" s="249">
        <v>6</v>
      </c>
      <c r="F7" s="249" t="s">
        <v>19922</v>
      </c>
    </row>
    <row r="8" spans="1:42" x14ac:dyDescent="0.25">
      <c r="A8" s="249" t="s">
        <v>175</v>
      </c>
      <c r="B8" s="249">
        <v>20.75</v>
      </c>
      <c r="C8" s="249">
        <v>1</v>
      </c>
      <c r="D8" s="249">
        <v>7</v>
      </c>
      <c r="F8" s="249" t="s">
        <v>19923</v>
      </c>
    </row>
    <row r="9" spans="1:42" x14ac:dyDescent="0.25">
      <c r="A9" s="249" t="s">
        <v>143</v>
      </c>
      <c r="B9" s="249">
        <v>17.75</v>
      </c>
      <c r="C9" s="249">
        <v>1</v>
      </c>
      <c r="D9" s="249">
        <v>8</v>
      </c>
      <c r="F9" s="249" t="s">
        <v>19924</v>
      </c>
    </row>
    <row r="10" spans="1:42" ht="15.75" x14ac:dyDescent="0.25">
      <c r="A10" s="700" t="s">
        <v>457</v>
      </c>
      <c r="B10" s="700">
        <v>29.75</v>
      </c>
      <c r="C10" s="703">
        <v>2</v>
      </c>
      <c r="D10" s="703">
        <v>1</v>
      </c>
      <c r="E10" s="703" t="s">
        <v>19844</v>
      </c>
      <c r="F10" s="703" t="s">
        <v>19925</v>
      </c>
    </row>
    <row r="11" spans="1:42" x14ac:dyDescent="0.25">
      <c r="A11" s="249" t="s">
        <v>457</v>
      </c>
      <c r="B11" s="249">
        <v>29.75</v>
      </c>
      <c r="C11" s="249">
        <v>2</v>
      </c>
      <c r="D11" s="249">
        <v>2</v>
      </c>
      <c r="F11" s="249" t="s">
        <v>19926</v>
      </c>
    </row>
    <row r="12" spans="1:42" x14ac:dyDescent="0.25">
      <c r="A12" s="249" t="s">
        <v>457</v>
      </c>
      <c r="B12" s="249">
        <v>29.75</v>
      </c>
      <c r="C12" s="249">
        <v>2</v>
      </c>
      <c r="D12" s="249">
        <v>3</v>
      </c>
      <c r="F12" s="249" t="s">
        <v>19927</v>
      </c>
    </row>
    <row r="13" spans="1:42" x14ac:dyDescent="0.25">
      <c r="A13" s="249" t="s">
        <v>457</v>
      </c>
      <c r="B13" s="249">
        <v>29.75</v>
      </c>
      <c r="C13" s="249">
        <v>2</v>
      </c>
      <c r="D13" s="249">
        <v>4</v>
      </c>
      <c r="F13" s="249" t="s">
        <v>19928</v>
      </c>
    </row>
    <row r="14" spans="1:42" x14ac:dyDescent="0.25">
      <c r="A14" s="249" t="s">
        <v>457</v>
      </c>
      <c r="B14" s="249">
        <v>29.75</v>
      </c>
      <c r="C14" s="249">
        <v>2</v>
      </c>
      <c r="D14" s="249">
        <v>5</v>
      </c>
      <c r="F14" s="249" t="s">
        <v>19929</v>
      </c>
    </row>
    <row r="15" spans="1:42" x14ac:dyDescent="0.25">
      <c r="A15" s="249" t="s">
        <v>286</v>
      </c>
      <c r="B15" s="249">
        <v>19.25</v>
      </c>
      <c r="C15" s="249">
        <v>2</v>
      </c>
      <c r="D15" s="249">
        <v>6</v>
      </c>
      <c r="F15" s="249" t="s">
        <v>19930</v>
      </c>
    </row>
    <row r="16" spans="1:42" ht="15.75" x14ac:dyDescent="0.25">
      <c r="A16" s="703" t="s">
        <v>3970</v>
      </c>
      <c r="B16" s="703">
        <v>33.25</v>
      </c>
      <c r="C16" s="703">
        <v>3</v>
      </c>
      <c r="D16" s="703">
        <v>1</v>
      </c>
      <c r="E16" s="703" t="s">
        <v>19845</v>
      </c>
      <c r="F16" s="703" t="s">
        <v>19931</v>
      </c>
    </row>
    <row r="17" spans="1:6" x14ac:dyDescent="0.25">
      <c r="A17" s="249" t="s">
        <v>270</v>
      </c>
      <c r="B17" s="249">
        <v>19.25</v>
      </c>
      <c r="C17" s="249">
        <v>3</v>
      </c>
      <c r="D17" s="249">
        <v>2</v>
      </c>
      <c r="F17" s="249" t="s">
        <v>19932</v>
      </c>
    </row>
    <row r="18" spans="1:6" x14ac:dyDescent="0.25">
      <c r="A18" s="249" t="s">
        <v>5187</v>
      </c>
      <c r="B18" s="249">
        <v>19</v>
      </c>
      <c r="C18" s="249">
        <v>3</v>
      </c>
      <c r="D18" s="249">
        <v>3</v>
      </c>
      <c r="F18" s="249" t="s">
        <v>19933</v>
      </c>
    </row>
    <row r="19" spans="1:6" x14ac:dyDescent="0.25">
      <c r="A19" s="249" t="s">
        <v>4320</v>
      </c>
      <c r="B19" s="249">
        <v>35.25</v>
      </c>
      <c r="C19" s="249">
        <v>3</v>
      </c>
      <c r="D19" s="249">
        <v>4</v>
      </c>
      <c r="F19" s="249" t="s">
        <v>19934</v>
      </c>
    </row>
    <row r="20" spans="1:6" x14ac:dyDescent="0.25">
      <c r="A20" s="249" t="s">
        <v>114</v>
      </c>
      <c r="B20" s="249">
        <v>19.5</v>
      </c>
      <c r="C20" s="249">
        <v>3</v>
      </c>
      <c r="D20" s="249">
        <v>5</v>
      </c>
      <c r="F20" s="249" t="s">
        <v>19935</v>
      </c>
    </row>
    <row r="21" spans="1:6" x14ac:dyDescent="0.25">
      <c r="A21" s="249" t="s">
        <v>63</v>
      </c>
      <c r="B21" s="249">
        <v>20.75</v>
      </c>
      <c r="C21" s="249">
        <v>3</v>
      </c>
      <c r="D21" s="249">
        <v>6</v>
      </c>
      <c r="F21" s="249" t="s">
        <v>19936</v>
      </c>
    </row>
    <row r="22" spans="1:6" x14ac:dyDescent="0.25">
      <c r="A22" s="249" t="s">
        <v>52</v>
      </c>
      <c r="B22" s="249">
        <v>21</v>
      </c>
      <c r="C22" s="249">
        <v>3</v>
      </c>
      <c r="D22" s="249">
        <v>7</v>
      </c>
      <c r="F22" s="249" t="s">
        <v>19937</v>
      </c>
    </row>
    <row r="23" spans="1:6" ht="15.75" x14ac:dyDescent="0.25">
      <c r="A23" s="703" t="s">
        <v>343</v>
      </c>
      <c r="B23" s="703">
        <v>22</v>
      </c>
      <c r="C23" s="703">
        <v>4</v>
      </c>
      <c r="D23" s="703">
        <v>1</v>
      </c>
      <c r="E23" s="703" t="s">
        <v>19846</v>
      </c>
      <c r="F23" s="703" t="s">
        <v>19938</v>
      </c>
    </row>
    <row r="24" spans="1:6" x14ac:dyDescent="0.25">
      <c r="A24" s="249" t="s">
        <v>187</v>
      </c>
      <c r="B24" s="249">
        <v>22.25</v>
      </c>
      <c r="C24" s="249">
        <v>4</v>
      </c>
      <c r="D24" s="249">
        <v>2</v>
      </c>
      <c r="F24" s="249" t="s">
        <v>19939</v>
      </c>
    </row>
    <row r="25" spans="1:6" x14ac:dyDescent="0.25">
      <c r="A25" s="249" t="s">
        <v>414</v>
      </c>
      <c r="B25" s="249">
        <v>22.75</v>
      </c>
      <c r="C25" s="249">
        <v>4</v>
      </c>
      <c r="D25" s="249">
        <v>3</v>
      </c>
      <c r="F25" s="249" t="s">
        <v>19940</v>
      </c>
    </row>
    <row r="26" spans="1:6" x14ac:dyDescent="0.25">
      <c r="A26" s="249" t="s">
        <v>113</v>
      </c>
      <c r="B26" s="249">
        <v>20</v>
      </c>
      <c r="C26" s="249">
        <v>4</v>
      </c>
      <c r="D26" s="249">
        <v>4</v>
      </c>
      <c r="F26" s="249" t="s">
        <v>19941</v>
      </c>
    </row>
    <row r="27" spans="1:6" x14ac:dyDescent="0.25">
      <c r="A27" s="249" t="s">
        <v>343</v>
      </c>
      <c r="B27" s="249">
        <v>22</v>
      </c>
      <c r="C27" s="249">
        <v>4</v>
      </c>
      <c r="D27" s="249">
        <v>5</v>
      </c>
      <c r="F27" s="249" t="s">
        <v>19942</v>
      </c>
    </row>
    <row r="28" spans="1:6" x14ac:dyDescent="0.25">
      <c r="A28" s="249" t="s">
        <v>187</v>
      </c>
      <c r="B28" s="249">
        <v>22.25</v>
      </c>
      <c r="C28" s="249">
        <v>4</v>
      </c>
      <c r="D28" s="249">
        <v>6</v>
      </c>
      <c r="F28" s="249" t="s">
        <v>19943</v>
      </c>
    </row>
    <row r="29" spans="1:6" x14ac:dyDescent="0.25">
      <c r="A29" s="249" t="s">
        <v>414</v>
      </c>
      <c r="B29" s="249">
        <v>22.75</v>
      </c>
      <c r="C29" s="249">
        <v>4</v>
      </c>
      <c r="D29" s="249">
        <v>7</v>
      </c>
      <c r="F29" s="249" t="s">
        <v>19944</v>
      </c>
    </row>
    <row r="30" spans="1:6" x14ac:dyDescent="0.25">
      <c r="A30" s="249" t="s">
        <v>11164</v>
      </c>
      <c r="B30" s="249">
        <v>14</v>
      </c>
      <c r="C30" s="249">
        <v>4</v>
      </c>
      <c r="D30" s="249">
        <v>8</v>
      </c>
      <c r="F30" s="249" t="s">
        <v>19945</v>
      </c>
    </row>
    <row r="31" spans="1:6" ht="15.75" x14ac:dyDescent="0.25">
      <c r="A31" s="703" t="s">
        <v>113</v>
      </c>
      <c r="B31" s="703">
        <v>20</v>
      </c>
      <c r="C31" s="703">
        <v>5</v>
      </c>
      <c r="D31" s="703">
        <v>1</v>
      </c>
      <c r="E31" s="703" t="s">
        <v>19847</v>
      </c>
      <c r="F31" s="703" t="s">
        <v>19946</v>
      </c>
    </row>
    <row r="32" spans="1:6" x14ac:dyDescent="0.25">
      <c r="A32" s="249" t="s">
        <v>343</v>
      </c>
      <c r="B32" s="249">
        <v>22</v>
      </c>
      <c r="C32" s="249">
        <v>5</v>
      </c>
      <c r="D32" s="249">
        <v>2</v>
      </c>
      <c r="F32" s="249" t="s">
        <v>19947</v>
      </c>
    </row>
    <row r="33" spans="1:6" x14ac:dyDescent="0.25">
      <c r="A33" s="249" t="s">
        <v>114</v>
      </c>
      <c r="B33" s="249">
        <v>19.5</v>
      </c>
      <c r="C33" s="249">
        <v>5</v>
      </c>
      <c r="D33" s="249">
        <v>3</v>
      </c>
      <c r="F33" s="249" t="s">
        <v>19948</v>
      </c>
    </row>
    <row r="34" spans="1:6" x14ac:dyDescent="0.25">
      <c r="A34" s="249" t="s">
        <v>113</v>
      </c>
      <c r="B34" s="249">
        <v>20</v>
      </c>
      <c r="C34" s="249">
        <v>5</v>
      </c>
      <c r="D34" s="249">
        <v>4</v>
      </c>
      <c r="F34" s="249" t="s">
        <v>19949</v>
      </c>
    </row>
    <row r="35" spans="1:6" x14ac:dyDescent="0.25">
      <c r="A35" s="249" t="s">
        <v>343</v>
      </c>
      <c r="B35" s="249">
        <v>22</v>
      </c>
      <c r="C35" s="249">
        <v>5</v>
      </c>
      <c r="D35" s="249">
        <v>5</v>
      </c>
      <c r="F35" s="249" t="s">
        <v>19950</v>
      </c>
    </row>
    <row r="36" spans="1:6" x14ac:dyDescent="0.25">
      <c r="A36" s="249" t="s">
        <v>187</v>
      </c>
      <c r="B36" s="249">
        <v>22.25</v>
      </c>
      <c r="C36" s="249">
        <v>5</v>
      </c>
      <c r="D36" s="249">
        <v>6</v>
      </c>
      <c r="F36" s="249" t="s">
        <v>19951</v>
      </c>
    </row>
    <row r="37" spans="1:6" x14ac:dyDescent="0.25">
      <c r="A37" s="249" t="s">
        <v>113</v>
      </c>
      <c r="B37" s="249">
        <v>20</v>
      </c>
      <c r="C37" s="249">
        <v>5</v>
      </c>
      <c r="D37" s="249">
        <v>7</v>
      </c>
      <c r="F37" s="249" t="s">
        <v>19952</v>
      </c>
    </row>
    <row r="38" spans="1:6" x14ac:dyDescent="0.25">
      <c r="A38" s="249" t="s">
        <v>187</v>
      </c>
      <c r="B38" s="249">
        <v>22.25</v>
      </c>
      <c r="C38" s="249">
        <v>5</v>
      </c>
      <c r="D38" s="249">
        <v>8</v>
      </c>
      <c r="F38" s="249" t="s">
        <v>19953</v>
      </c>
    </row>
    <row r="39" spans="1:6" ht="15.75" x14ac:dyDescent="0.25">
      <c r="A39" s="701" t="s">
        <v>3941</v>
      </c>
      <c r="B39" s="702">
        <v>29.75</v>
      </c>
      <c r="C39" s="703">
        <v>6</v>
      </c>
      <c r="D39" s="703">
        <v>1</v>
      </c>
      <c r="E39" s="703" t="s">
        <v>19848</v>
      </c>
      <c r="F39" s="703" t="s">
        <v>19954</v>
      </c>
    </row>
    <row r="40" spans="1:6" x14ac:dyDescent="0.25">
      <c r="A40" s="387" t="s">
        <v>353</v>
      </c>
      <c r="B40" s="87">
        <v>26.25</v>
      </c>
      <c r="C40" s="249">
        <v>6</v>
      </c>
      <c r="D40" s="249">
        <v>2</v>
      </c>
      <c r="F40" s="249" t="s">
        <v>19955</v>
      </c>
    </row>
    <row r="41" spans="1:6" x14ac:dyDescent="0.25">
      <c r="A41" s="387" t="s">
        <v>3313</v>
      </c>
      <c r="B41" s="87">
        <v>29</v>
      </c>
      <c r="C41" s="249">
        <v>6</v>
      </c>
      <c r="D41" s="249">
        <v>3</v>
      </c>
      <c r="F41" s="249" t="s">
        <v>19956</v>
      </c>
    </row>
    <row r="42" spans="1:6" x14ac:dyDescent="0.25">
      <c r="A42" s="387" t="s">
        <v>4088</v>
      </c>
      <c r="B42" s="87">
        <v>32.25</v>
      </c>
      <c r="C42" s="249">
        <v>6</v>
      </c>
      <c r="D42" s="249">
        <v>4</v>
      </c>
      <c r="F42" s="249" t="s">
        <v>19957</v>
      </c>
    </row>
    <row r="43" spans="1:6" x14ac:dyDescent="0.25">
      <c r="A43" s="387" t="s">
        <v>3339</v>
      </c>
      <c r="B43" s="87">
        <v>31.25</v>
      </c>
      <c r="C43" s="249">
        <v>6</v>
      </c>
      <c r="D43" s="249">
        <v>5</v>
      </c>
      <c r="F43" s="249" t="s">
        <v>19958</v>
      </c>
    </row>
    <row r="44" spans="1:6" x14ac:dyDescent="0.25">
      <c r="A44" s="387" t="s">
        <v>97</v>
      </c>
      <c r="B44" s="87">
        <v>19.5</v>
      </c>
      <c r="C44" s="249">
        <v>6</v>
      </c>
      <c r="D44" s="249">
        <v>6</v>
      </c>
      <c r="F44" s="249" t="s">
        <v>19959</v>
      </c>
    </row>
    <row r="45" spans="1:6" ht="15.75" x14ac:dyDescent="0.25">
      <c r="A45" s="701" t="s">
        <v>3339</v>
      </c>
      <c r="B45" s="702">
        <v>31.25</v>
      </c>
      <c r="C45" s="703">
        <v>8</v>
      </c>
      <c r="D45" s="703">
        <v>1</v>
      </c>
      <c r="E45" s="703" t="s">
        <v>19849</v>
      </c>
      <c r="F45" s="703" t="s">
        <v>19960</v>
      </c>
    </row>
    <row r="46" spans="1:6" x14ac:dyDescent="0.25">
      <c r="A46" s="387" t="s">
        <v>4088</v>
      </c>
      <c r="B46" s="87">
        <v>32.25</v>
      </c>
      <c r="C46" s="249">
        <v>8</v>
      </c>
      <c r="D46" s="249">
        <v>2</v>
      </c>
      <c r="F46" s="249" t="s">
        <v>19961</v>
      </c>
    </row>
    <row r="47" spans="1:6" x14ac:dyDescent="0.25">
      <c r="A47" s="387" t="s">
        <v>3941</v>
      </c>
      <c r="B47" s="87">
        <v>29.75</v>
      </c>
      <c r="C47" s="249">
        <v>8</v>
      </c>
      <c r="D47" s="249">
        <v>3</v>
      </c>
      <c r="F47" s="249" t="s">
        <v>19962</v>
      </c>
    </row>
    <row r="48" spans="1:6" x14ac:dyDescent="0.25">
      <c r="A48" s="387" t="s">
        <v>3313</v>
      </c>
      <c r="B48" s="87">
        <v>29</v>
      </c>
      <c r="C48" s="249">
        <v>8</v>
      </c>
      <c r="D48" s="249">
        <v>4</v>
      </c>
      <c r="F48" s="249" t="s">
        <v>19963</v>
      </c>
    </row>
    <row r="49" spans="1:6" x14ac:dyDescent="0.25">
      <c r="A49" s="387" t="s">
        <v>353</v>
      </c>
      <c r="B49" s="87">
        <v>26.25</v>
      </c>
      <c r="C49" s="249">
        <v>8</v>
      </c>
      <c r="D49" s="249">
        <v>5</v>
      </c>
      <c r="F49" s="249" t="s">
        <v>19964</v>
      </c>
    </row>
    <row r="50" spans="1:6" x14ac:dyDescent="0.25">
      <c r="A50" s="387" t="s">
        <v>97</v>
      </c>
      <c r="B50" s="87">
        <v>19.5</v>
      </c>
      <c r="C50" s="249">
        <v>8</v>
      </c>
      <c r="D50" s="249">
        <v>6</v>
      </c>
      <c r="F50" s="249" t="s">
        <v>19965</v>
      </c>
    </row>
    <row r="51" spans="1:6" ht="15.75" x14ac:dyDescent="0.25">
      <c r="A51" s="701" t="s">
        <v>3941</v>
      </c>
      <c r="B51" s="702">
        <v>29.75</v>
      </c>
      <c r="C51" s="703">
        <v>9</v>
      </c>
      <c r="D51" s="703">
        <v>1</v>
      </c>
      <c r="E51" s="703" t="s">
        <v>19850</v>
      </c>
      <c r="F51" s="703" t="s">
        <v>19966</v>
      </c>
    </row>
    <row r="52" spans="1:6" x14ac:dyDescent="0.25">
      <c r="A52" s="387" t="s">
        <v>353</v>
      </c>
      <c r="B52" s="87">
        <v>26.25</v>
      </c>
      <c r="C52" s="249">
        <v>9</v>
      </c>
      <c r="D52" s="249">
        <v>2</v>
      </c>
      <c r="F52" s="249" t="s">
        <v>19967</v>
      </c>
    </row>
    <row r="53" spans="1:6" x14ac:dyDescent="0.25">
      <c r="A53" s="387" t="s">
        <v>3313</v>
      </c>
      <c r="B53" s="87">
        <v>29</v>
      </c>
      <c r="C53" s="249">
        <v>9</v>
      </c>
      <c r="D53" s="249">
        <v>3</v>
      </c>
      <c r="F53" s="249" t="s">
        <v>19968</v>
      </c>
    </row>
    <row r="54" spans="1:6" x14ac:dyDescent="0.25">
      <c r="A54" s="387" t="s">
        <v>4088</v>
      </c>
      <c r="B54" s="87">
        <v>32.25</v>
      </c>
      <c r="C54" s="249">
        <v>9</v>
      </c>
      <c r="D54" s="249">
        <v>4</v>
      </c>
      <c r="F54" s="249" t="s">
        <v>19969</v>
      </c>
    </row>
    <row r="55" spans="1:6" x14ac:dyDescent="0.25">
      <c r="A55" s="387" t="s">
        <v>3339</v>
      </c>
      <c r="B55" s="87">
        <v>31.25</v>
      </c>
      <c r="C55" s="249">
        <v>9</v>
      </c>
      <c r="D55" s="249">
        <v>5</v>
      </c>
      <c r="F55" s="249" t="s">
        <v>19970</v>
      </c>
    </row>
    <row r="56" spans="1:6" x14ac:dyDescent="0.25">
      <c r="A56" s="387" t="s">
        <v>114</v>
      </c>
      <c r="B56" s="87">
        <v>19.5</v>
      </c>
      <c r="C56" s="249">
        <v>9</v>
      </c>
      <c r="D56" s="249">
        <v>6</v>
      </c>
      <c r="F56" s="249" t="s">
        <v>19971</v>
      </c>
    </row>
    <row r="57" spans="1:6" ht="15.75" x14ac:dyDescent="0.25">
      <c r="A57" s="702" t="s">
        <v>433</v>
      </c>
      <c r="B57" s="703">
        <v>28.75</v>
      </c>
      <c r="C57" s="703">
        <v>10</v>
      </c>
      <c r="D57" s="703">
        <v>1</v>
      </c>
      <c r="E57" s="703" t="s">
        <v>19851</v>
      </c>
      <c r="F57" s="703" t="s">
        <v>19972</v>
      </c>
    </row>
    <row r="58" spans="1:6" x14ac:dyDescent="0.25">
      <c r="A58" s="249" t="s">
        <v>4716</v>
      </c>
      <c r="B58" s="249">
        <v>27.5</v>
      </c>
      <c r="C58" s="249">
        <v>10</v>
      </c>
      <c r="D58" s="249">
        <v>2</v>
      </c>
      <c r="F58" s="249" t="s">
        <v>19973</v>
      </c>
    </row>
    <row r="59" spans="1:6" x14ac:dyDescent="0.25">
      <c r="A59" s="249" t="s">
        <v>2007</v>
      </c>
      <c r="B59" s="249">
        <v>27.75</v>
      </c>
      <c r="C59" s="249">
        <v>10</v>
      </c>
      <c r="D59" s="249">
        <v>3</v>
      </c>
      <c r="F59" s="249" t="s">
        <v>19974</v>
      </c>
    </row>
    <row r="60" spans="1:6" x14ac:dyDescent="0.25">
      <c r="A60" s="249" t="s">
        <v>254</v>
      </c>
      <c r="B60" s="249">
        <v>26.5</v>
      </c>
      <c r="C60" s="249">
        <v>10</v>
      </c>
      <c r="D60" s="249">
        <v>4</v>
      </c>
      <c r="F60" s="249" t="s">
        <v>19975</v>
      </c>
    </row>
    <row r="61" spans="1:6" x14ac:dyDescent="0.25">
      <c r="A61" s="87" t="s">
        <v>190</v>
      </c>
      <c r="B61" s="249">
        <v>28.25</v>
      </c>
      <c r="C61" s="249">
        <v>10</v>
      </c>
      <c r="D61" s="249">
        <v>5</v>
      </c>
      <c r="F61" s="249" t="s">
        <v>19976</v>
      </c>
    </row>
    <row r="62" spans="1:6" x14ac:dyDescent="0.25">
      <c r="A62" s="87" t="s">
        <v>152</v>
      </c>
      <c r="B62" s="249">
        <v>28.75</v>
      </c>
      <c r="C62" s="249">
        <v>10</v>
      </c>
      <c r="D62" s="249">
        <v>6</v>
      </c>
      <c r="F62" s="249" t="s">
        <v>19977</v>
      </c>
    </row>
    <row r="63" spans="1:6" ht="15.75" x14ac:dyDescent="0.25">
      <c r="A63" s="702" t="s">
        <v>433</v>
      </c>
      <c r="B63" s="703">
        <v>28.75</v>
      </c>
      <c r="C63" s="703">
        <v>13</v>
      </c>
      <c r="D63" s="703">
        <v>1</v>
      </c>
      <c r="E63" s="703" t="s">
        <v>19852</v>
      </c>
      <c r="F63" s="703" t="s">
        <v>19978</v>
      </c>
    </row>
    <row r="64" spans="1:6" x14ac:dyDescent="0.25">
      <c r="A64" s="87" t="s">
        <v>152</v>
      </c>
      <c r="B64" s="249">
        <v>28.75</v>
      </c>
      <c r="C64" s="249">
        <v>13</v>
      </c>
      <c r="D64" s="249">
        <v>2</v>
      </c>
      <c r="F64" s="249" t="s">
        <v>19979</v>
      </c>
    </row>
    <row r="65" spans="1:6" x14ac:dyDescent="0.25">
      <c r="A65" s="87" t="s">
        <v>190</v>
      </c>
      <c r="B65" s="249">
        <v>28.25</v>
      </c>
      <c r="C65" s="249">
        <v>13</v>
      </c>
      <c r="D65" s="249">
        <v>3</v>
      </c>
      <c r="F65" s="249" t="s">
        <v>19980</v>
      </c>
    </row>
    <row r="66" spans="1:6" x14ac:dyDescent="0.25">
      <c r="A66" s="249" t="s">
        <v>2007</v>
      </c>
      <c r="B66" s="249">
        <v>27.75</v>
      </c>
      <c r="C66" s="249">
        <v>13</v>
      </c>
      <c r="D66" s="249">
        <v>4</v>
      </c>
      <c r="F66" s="249" t="s">
        <v>19981</v>
      </c>
    </row>
    <row r="67" spans="1:6" x14ac:dyDescent="0.25">
      <c r="A67" s="249" t="s">
        <v>4716</v>
      </c>
      <c r="B67" s="249">
        <v>27.5</v>
      </c>
      <c r="C67" s="249">
        <v>13</v>
      </c>
      <c r="D67" s="249">
        <v>5</v>
      </c>
      <c r="F67" s="249" t="s">
        <v>19982</v>
      </c>
    </row>
    <row r="68" spans="1:6" x14ac:dyDescent="0.25">
      <c r="A68" s="249" t="s">
        <v>254</v>
      </c>
      <c r="B68" s="249">
        <v>26.5</v>
      </c>
      <c r="C68" s="249">
        <v>13</v>
      </c>
      <c r="D68" s="249">
        <v>6</v>
      </c>
      <c r="F68" s="249" t="s">
        <v>19983</v>
      </c>
    </row>
    <row r="69" spans="1:6" ht="15.75" x14ac:dyDescent="0.25">
      <c r="A69" s="703" t="s">
        <v>448</v>
      </c>
      <c r="B69" s="703">
        <v>25</v>
      </c>
      <c r="C69" s="703">
        <v>14</v>
      </c>
      <c r="D69" s="703">
        <v>1</v>
      </c>
      <c r="E69" s="703" t="s">
        <v>19853</v>
      </c>
      <c r="F69" s="703" t="s">
        <v>19984</v>
      </c>
    </row>
    <row r="70" spans="1:6" x14ac:dyDescent="0.25">
      <c r="A70" s="249" t="s">
        <v>419</v>
      </c>
      <c r="B70" s="249">
        <v>26</v>
      </c>
      <c r="C70" s="249">
        <v>14</v>
      </c>
      <c r="D70" s="249">
        <v>2</v>
      </c>
      <c r="F70" s="249" t="s">
        <v>19985</v>
      </c>
    </row>
    <row r="71" spans="1:6" x14ac:dyDescent="0.25">
      <c r="A71" s="249" t="s">
        <v>339</v>
      </c>
      <c r="B71" s="249">
        <v>25</v>
      </c>
      <c r="C71" s="249">
        <v>14</v>
      </c>
      <c r="D71" s="249">
        <v>3</v>
      </c>
      <c r="F71" s="249" t="s">
        <v>19986</v>
      </c>
    </row>
    <row r="72" spans="1:6" x14ac:dyDescent="0.25">
      <c r="A72" s="249" t="s">
        <v>234</v>
      </c>
      <c r="B72" s="249">
        <v>26.25</v>
      </c>
      <c r="C72" s="249">
        <v>14</v>
      </c>
      <c r="D72" s="249">
        <v>4</v>
      </c>
      <c r="F72" s="249" t="s">
        <v>19987</v>
      </c>
    </row>
    <row r="73" spans="1:6" x14ac:dyDescent="0.25">
      <c r="A73" s="249" t="s">
        <v>224</v>
      </c>
      <c r="B73" s="249">
        <v>26.25</v>
      </c>
      <c r="C73" s="249">
        <v>14</v>
      </c>
      <c r="D73" s="249">
        <v>5</v>
      </c>
      <c r="F73" s="249" t="s">
        <v>19988</v>
      </c>
    </row>
    <row r="74" spans="1:6" x14ac:dyDescent="0.25">
      <c r="A74" s="249" t="s">
        <v>198</v>
      </c>
      <c r="B74" s="249">
        <v>26</v>
      </c>
      <c r="C74" s="249">
        <v>14</v>
      </c>
      <c r="D74" s="249">
        <v>6</v>
      </c>
      <c r="F74" s="249" t="s">
        <v>19989</v>
      </c>
    </row>
    <row r="75" spans="1:6" x14ac:dyDescent="0.25">
      <c r="A75" s="249" t="s">
        <v>4818</v>
      </c>
      <c r="B75" s="249">
        <v>8.25</v>
      </c>
      <c r="C75" s="249">
        <v>14</v>
      </c>
      <c r="D75" s="249">
        <v>7</v>
      </c>
      <c r="F75" s="249" t="s">
        <v>19990</v>
      </c>
    </row>
    <row r="76" spans="1:6" x14ac:dyDescent="0.25">
      <c r="A76" s="249" t="s">
        <v>410</v>
      </c>
      <c r="B76" s="249">
        <v>3.75</v>
      </c>
      <c r="C76" s="249">
        <v>14</v>
      </c>
      <c r="D76" s="249">
        <v>8</v>
      </c>
      <c r="F76" s="249" t="s">
        <v>19991</v>
      </c>
    </row>
    <row r="77" spans="1:6" ht="15.75" x14ac:dyDescent="0.25">
      <c r="A77" s="703" t="s">
        <v>234</v>
      </c>
      <c r="B77" s="703">
        <v>26.25</v>
      </c>
      <c r="C77" s="703">
        <v>15</v>
      </c>
      <c r="D77" s="703">
        <v>1</v>
      </c>
      <c r="E77" s="703" t="s">
        <v>20412</v>
      </c>
      <c r="F77" s="703" t="s">
        <v>19992</v>
      </c>
    </row>
    <row r="78" spans="1:6" x14ac:dyDescent="0.25">
      <c r="A78" s="249" t="s">
        <v>224</v>
      </c>
      <c r="B78" s="249">
        <v>26.25</v>
      </c>
      <c r="C78" s="249">
        <v>15</v>
      </c>
      <c r="D78" s="249">
        <v>2</v>
      </c>
      <c r="F78" s="249" t="s">
        <v>19993</v>
      </c>
    </row>
    <row r="79" spans="1:6" x14ac:dyDescent="0.25">
      <c r="A79" s="249" t="s">
        <v>419</v>
      </c>
      <c r="B79" s="249">
        <v>26</v>
      </c>
      <c r="C79" s="249">
        <v>15</v>
      </c>
      <c r="D79" s="249">
        <v>3</v>
      </c>
      <c r="F79" s="249" t="s">
        <v>19994</v>
      </c>
    </row>
    <row r="80" spans="1:6" x14ac:dyDescent="0.25">
      <c r="A80" s="249" t="s">
        <v>198</v>
      </c>
      <c r="B80" s="249">
        <v>26</v>
      </c>
      <c r="C80" s="249">
        <v>15</v>
      </c>
      <c r="D80" s="249">
        <v>4</v>
      </c>
      <c r="F80" s="249" t="s">
        <v>19995</v>
      </c>
    </row>
    <row r="81" spans="1:6" x14ac:dyDescent="0.25">
      <c r="A81" s="249" t="s">
        <v>448</v>
      </c>
      <c r="B81" s="249">
        <v>25</v>
      </c>
      <c r="C81" s="249">
        <v>15</v>
      </c>
      <c r="D81" s="249">
        <v>5</v>
      </c>
      <c r="F81" s="249" t="s">
        <v>19996</v>
      </c>
    </row>
    <row r="82" spans="1:6" x14ac:dyDescent="0.25">
      <c r="A82" s="249" t="s">
        <v>339</v>
      </c>
      <c r="B82" s="249">
        <v>25</v>
      </c>
      <c r="C82" s="249">
        <v>15</v>
      </c>
      <c r="D82" s="249">
        <v>6</v>
      </c>
      <c r="F82" s="249" t="s">
        <v>19997</v>
      </c>
    </row>
    <row r="83" spans="1:6" x14ac:dyDescent="0.25">
      <c r="A83" s="249" t="s">
        <v>4818</v>
      </c>
      <c r="B83" s="249">
        <v>8.25</v>
      </c>
      <c r="C83" s="249">
        <v>15</v>
      </c>
      <c r="D83" s="249">
        <v>7</v>
      </c>
      <c r="F83" s="249" t="s">
        <v>19998</v>
      </c>
    </row>
    <row r="84" spans="1:6" ht="15.75" x14ac:dyDescent="0.25">
      <c r="A84" s="703" t="s">
        <v>234</v>
      </c>
      <c r="B84" s="703">
        <v>26.25</v>
      </c>
      <c r="C84" s="703">
        <v>17</v>
      </c>
      <c r="D84" s="703">
        <v>1</v>
      </c>
      <c r="E84" s="703" t="s">
        <v>19854</v>
      </c>
      <c r="F84" s="703" t="s">
        <v>19999</v>
      </c>
    </row>
    <row r="85" spans="1:6" x14ac:dyDescent="0.25">
      <c r="A85" s="249" t="s">
        <v>224</v>
      </c>
      <c r="B85" s="249">
        <v>26.25</v>
      </c>
      <c r="C85" s="249">
        <v>17</v>
      </c>
      <c r="D85" s="249">
        <v>2</v>
      </c>
      <c r="F85" s="249" t="s">
        <v>20000</v>
      </c>
    </row>
    <row r="86" spans="1:6" x14ac:dyDescent="0.25">
      <c r="A86" s="249" t="s">
        <v>419</v>
      </c>
      <c r="B86" s="249">
        <v>26</v>
      </c>
      <c r="C86" s="249">
        <v>17</v>
      </c>
      <c r="D86" s="249">
        <v>3</v>
      </c>
      <c r="F86" s="249" t="s">
        <v>20001</v>
      </c>
    </row>
    <row r="87" spans="1:6" x14ac:dyDescent="0.25">
      <c r="A87" s="249" t="s">
        <v>198</v>
      </c>
      <c r="B87" s="249">
        <v>26</v>
      </c>
      <c r="C87" s="249">
        <v>17</v>
      </c>
      <c r="D87" s="249">
        <v>4</v>
      </c>
      <c r="F87" s="249" t="s">
        <v>20002</v>
      </c>
    </row>
    <row r="88" spans="1:6" x14ac:dyDescent="0.25">
      <c r="A88" s="249" t="s">
        <v>448</v>
      </c>
      <c r="B88" s="249">
        <v>25</v>
      </c>
      <c r="C88" s="249">
        <v>17</v>
      </c>
      <c r="D88" s="249">
        <v>5</v>
      </c>
      <c r="F88" s="249" t="s">
        <v>20003</v>
      </c>
    </row>
    <row r="89" spans="1:6" x14ac:dyDescent="0.25">
      <c r="A89" s="249" t="s">
        <v>339</v>
      </c>
      <c r="B89" s="249">
        <v>25</v>
      </c>
      <c r="C89" s="249">
        <v>17</v>
      </c>
      <c r="D89" s="249">
        <v>6</v>
      </c>
      <c r="F89" s="249" t="s">
        <v>20004</v>
      </c>
    </row>
    <row r="90" spans="1:6" x14ac:dyDescent="0.25">
      <c r="A90" s="249" t="s">
        <v>4818</v>
      </c>
      <c r="B90" s="249">
        <v>8.25</v>
      </c>
      <c r="C90" s="249">
        <v>17</v>
      </c>
      <c r="D90" s="249">
        <v>7</v>
      </c>
      <c r="F90" s="249" t="s">
        <v>20005</v>
      </c>
    </row>
    <row r="91" spans="1:6" x14ac:dyDescent="0.25">
      <c r="A91" s="249" t="s">
        <v>170</v>
      </c>
      <c r="B91" s="249">
        <v>3.75</v>
      </c>
      <c r="C91" s="249">
        <v>17</v>
      </c>
      <c r="D91" s="249">
        <v>8</v>
      </c>
      <c r="F91" s="249" t="s">
        <v>20006</v>
      </c>
    </row>
    <row r="92" spans="1:6" ht="15.75" x14ac:dyDescent="0.25">
      <c r="A92" s="703" t="s">
        <v>5253</v>
      </c>
      <c r="B92" s="703">
        <v>27.25</v>
      </c>
      <c r="C92" s="703">
        <v>18</v>
      </c>
      <c r="D92" s="703">
        <v>1</v>
      </c>
      <c r="E92" s="703" t="s">
        <v>19855</v>
      </c>
      <c r="F92" s="703" t="s">
        <v>20007</v>
      </c>
    </row>
    <row r="93" spans="1:6" x14ac:dyDescent="0.25">
      <c r="A93" s="249" t="s">
        <v>395</v>
      </c>
      <c r="B93" s="249">
        <v>16</v>
      </c>
      <c r="C93" s="249">
        <v>18</v>
      </c>
      <c r="D93" s="249">
        <v>2</v>
      </c>
      <c r="F93" s="249" t="s">
        <v>20008</v>
      </c>
    </row>
    <row r="94" spans="1:6" x14ac:dyDescent="0.25">
      <c r="A94" s="249" t="s">
        <v>4962</v>
      </c>
      <c r="B94" s="249">
        <v>31.25</v>
      </c>
      <c r="C94" s="249">
        <v>18</v>
      </c>
      <c r="D94" s="249">
        <v>3</v>
      </c>
      <c r="F94" s="249" t="s">
        <v>20009</v>
      </c>
    </row>
    <row r="95" spans="1:6" x14ac:dyDescent="0.25">
      <c r="A95" s="249" t="s">
        <v>5639</v>
      </c>
      <c r="B95" s="249">
        <v>31.25</v>
      </c>
      <c r="C95" s="249">
        <v>18</v>
      </c>
      <c r="D95" s="249">
        <v>4</v>
      </c>
      <c r="F95" s="249" t="s">
        <v>20010</v>
      </c>
    </row>
    <row r="96" spans="1:6" x14ac:dyDescent="0.25">
      <c r="A96" s="249" t="s">
        <v>5463</v>
      </c>
      <c r="B96" s="249">
        <v>31.25</v>
      </c>
      <c r="C96" s="249">
        <v>18</v>
      </c>
      <c r="D96" s="249">
        <v>5</v>
      </c>
      <c r="F96" s="249" t="s">
        <v>20011</v>
      </c>
    </row>
    <row r="97" spans="1:6" x14ac:dyDescent="0.25">
      <c r="A97" s="249" t="s">
        <v>5047</v>
      </c>
      <c r="B97" s="249">
        <v>31</v>
      </c>
      <c r="C97" s="249">
        <v>18</v>
      </c>
      <c r="D97" s="249">
        <v>6</v>
      </c>
      <c r="F97" s="249" t="s">
        <v>20012</v>
      </c>
    </row>
    <row r="98" spans="1:6" ht="15.75" x14ac:dyDescent="0.25">
      <c r="A98" s="703" t="s">
        <v>4962</v>
      </c>
      <c r="B98" s="703">
        <v>31.25</v>
      </c>
      <c r="C98" s="703">
        <v>20</v>
      </c>
      <c r="D98" s="703">
        <v>1</v>
      </c>
      <c r="E98" s="703" t="s">
        <v>19856</v>
      </c>
      <c r="F98" s="703" t="s">
        <v>20013</v>
      </c>
    </row>
    <row r="99" spans="1:6" x14ac:dyDescent="0.25">
      <c r="A99" s="249" t="s">
        <v>5639</v>
      </c>
      <c r="B99" s="249">
        <v>31.25</v>
      </c>
      <c r="C99" s="249">
        <v>20</v>
      </c>
      <c r="D99" s="249">
        <v>2</v>
      </c>
      <c r="F99" s="249" t="s">
        <v>20014</v>
      </c>
    </row>
    <row r="100" spans="1:6" x14ac:dyDescent="0.25">
      <c r="A100" s="249" t="s">
        <v>5463</v>
      </c>
      <c r="B100" s="249">
        <v>31.25</v>
      </c>
      <c r="C100" s="249">
        <v>20</v>
      </c>
      <c r="D100" s="249">
        <v>3</v>
      </c>
      <c r="F100" s="249" t="s">
        <v>20015</v>
      </c>
    </row>
    <row r="101" spans="1:6" x14ac:dyDescent="0.25">
      <c r="A101" s="249" t="s">
        <v>5047</v>
      </c>
      <c r="B101" s="249">
        <v>31</v>
      </c>
      <c r="C101" s="249">
        <v>20</v>
      </c>
      <c r="D101" s="249">
        <v>4</v>
      </c>
      <c r="F101" s="249" t="s">
        <v>20016</v>
      </c>
    </row>
    <row r="102" spans="1:6" x14ac:dyDescent="0.25">
      <c r="A102" s="249" t="s">
        <v>5253</v>
      </c>
      <c r="B102" s="249">
        <v>27.25</v>
      </c>
      <c r="C102" s="249">
        <v>20</v>
      </c>
      <c r="D102" s="249">
        <v>5</v>
      </c>
      <c r="F102" s="249" t="s">
        <v>20017</v>
      </c>
    </row>
    <row r="103" spans="1:6" x14ac:dyDescent="0.25">
      <c r="A103" s="249" t="s">
        <v>395</v>
      </c>
      <c r="B103" s="249">
        <v>16</v>
      </c>
      <c r="C103" s="249">
        <v>20</v>
      </c>
      <c r="D103" s="249">
        <v>6</v>
      </c>
      <c r="F103" s="249" t="s">
        <v>20018</v>
      </c>
    </row>
    <row r="104" spans="1:6" ht="15.75" x14ac:dyDescent="0.25">
      <c r="A104" s="703" t="s">
        <v>3950</v>
      </c>
      <c r="B104" s="703">
        <v>29</v>
      </c>
      <c r="C104" s="703">
        <v>21</v>
      </c>
      <c r="D104" s="703">
        <v>1</v>
      </c>
      <c r="E104" s="703" t="s">
        <v>19857</v>
      </c>
      <c r="F104" s="703" t="s">
        <v>20019</v>
      </c>
    </row>
    <row r="105" spans="1:6" x14ac:dyDescent="0.25">
      <c r="A105" s="249" t="s">
        <v>10817</v>
      </c>
      <c r="B105" s="249">
        <v>30.75</v>
      </c>
      <c r="C105" s="249">
        <v>21</v>
      </c>
      <c r="D105" s="249">
        <v>2</v>
      </c>
      <c r="F105" s="249" t="s">
        <v>20020</v>
      </c>
    </row>
    <row r="106" spans="1:6" x14ac:dyDescent="0.25">
      <c r="A106" s="249" t="s">
        <v>3165</v>
      </c>
      <c r="B106" s="249">
        <v>30.75</v>
      </c>
      <c r="C106" s="249">
        <v>21</v>
      </c>
      <c r="D106" s="249">
        <v>3</v>
      </c>
      <c r="F106" s="249" t="s">
        <v>20021</v>
      </c>
    </row>
    <row r="107" spans="1:6" x14ac:dyDescent="0.25">
      <c r="A107" s="249" t="s">
        <v>4291</v>
      </c>
      <c r="B107" s="249">
        <v>30.75</v>
      </c>
      <c r="C107" s="249">
        <v>21</v>
      </c>
      <c r="D107" s="249">
        <v>4</v>
      </c>
      <c r="F107" s="249" t="s">
        <v>20022</v>
      </c>
    </row>
    <row r="108" spans="1:6" x14ac:dyDescent="0.25">
      <c r="A108" s="249" t="s">
        <v>5438</v>
      </c>
      <c r="B108" s="249">
        <v>30.75</v>
      </c>
      <c r="C108" s="249">
        <v>21</v>
      </c>
      <c r="D108" s="249">
        <v>5</v>
      </c>
      <c r="F108" s="249" t="s">
        <v>20023</v>
      </c>
    </row>
    <row r="109" spans="1:6" x14ac:dyDescent="0.25">
      <c r="A109" s="249" t="s">
        <v>166</v>
      </c>
      <c r="B109" s="249">
        <v>16</v>
      </c>
      <c r="C109" s="249">
        <v>21</v>
      </c>
      <c r="D109" s="249">
        <v>6</v>
      </c>
      <c r="F109" s="249" t="s">
        <v>20024</v>
      </c>
    </row>
    <row r="110" spans="1:6" ht="15.75" x14ac:dyDescent="0.25">
      <c r="A110" s="703" t="s">
        <v>10817</v>
      </c>
      <c r="B110" s="703">
        <v>30.75</v>
      </c>
      <c r="C110" s="703">
        <v>23</v>
      </c>
      <c r="D110" s="703">
        <v>1</v>
      </c>
      <c r="E110" s="703" t="s">
        <v>19858</v>
      </c>
      <c r="F110" s="703" t="s">
        <v>20025</v>
      </c>
    </row>
    <row r="111" spans="1:6" x14ac:dyDescent="0.25">
      <c r="A111" s="249" t="s">
        <v>3165</v>
      </c>
      <c r="B111" s="249">
        <v>30.75</v>
      </c>
      <c r="C111" s="249">
        <v>23</v>
      </c>
      <c r="D111" s="249">
        <v>2</v>
      </c>
      <c r="F111" s="249" t="s">
        <v>20026</v>
      </c>
    </row>
    <row r="112" spans="1:6" x14ac:dyDescent="0.25">
      <c r="A112" s="249" t="s">
        <v>4291</v>
      </c>
      <c r="B112" s="249">
        <v>30.75</v>
      </c>
      <c r="C112" s="249">
        <v>23</v>
      </c>
      <c r="D112" s="249">
        <v>3</v>
      </c>
      <c r="F112" s="249" t="s">
        <v>20027</v>
      </c>
    </row>
    <row r="113" spans="1:6" x14ac:dyDescent="0.25">
      <c r="A113" s="249" t="s">
        <v>5438</v>
      </c>
      <c r="B113" s="249">
        <v>30.75</v>
      </c>
      <c r="C113" s="249">
        <v>23</v>
      </c>
      <c r="D113" s="249">
        <v>4</v>
      </c>
      <c r="F113" s="249" t="s">
        <v>20028</v>
      </c>
    </row>
    <row r="114" spans="1:6" x14ac:dyDescent="0.25">
      <c r="A114" s="249" t="s">
        <v>3950</v>
      </c>
      <c r="B114" s="249">
        <v>29</v>
      </c>
      <c r="C114" s="249">
        <v>23</v>
      </c>
      <c r="D114" s="249">
        <v>5</v>
      </c>
      <c r="F114" s="249" t="s">
        <v>20029</v>
      </c>
    </row>
    <row r="115" spans="1:6" x14ac:dyDescent="0.25">
      <c r="A115" s="249" t="s">
        <v>166</v>
      </c>
      <c r="B115" s="249">
        <v>16</v>
      </c>
      <c r="C115" s="249">
        <v>23</v>
      </c>
      <c r="D115" s="249">
        <v>6</v>
      </c>
      <c r="F115" s="249" t="s">
        <v>20030</v>
      </c>
    </row>
    <row r="116" spans="1:6" ht="15.75" x14ac:dyDescent="0.25">
      <c r="A116" s="703" t="s">
        <v>4945</v>
      </c>
      <c r="B116" s="703">
        <v>30.5</v>
      </c>
      <c r="C116" s="703">
        <v>24</v>
      </c>
      <c r="D116" s="703">
        <v>1</v>
      </c>
      <c r="E116" s="703" t="s">
        <v>19859</v>
      </c>
      <c r="F116" s="703" t="s">
        <v>20031</v>
      </c>
    </row>
    <row r="117" spans="1:6" x14ac:dyDescent="0.25">
      <c r="A117" s="249" t="s">
        <v>4738</v>
      </c>
      <c r="B117" s="249">
        <v>30.75</v>
      </c>
      <c r="C117" s="249">
        <v>24</v>
      </c>
      <c r="D117" s="249">
        <v>2</v>
      </c>
      <c r="F117" s="249" t="s">
        <v>20032</v>
      </c>
    </row>
    <row r="118" spans="1:6" x14ac:dyDescent="0.25">
      <c r="A118" s="249" t="s">
        <v>312</v>
      </c>
      <c r="B118" s="249">
        <v>28</v>
      </c>
      <c r="C118" s="249">
        <v>24</v>
      </c>
      <c r="D118" s="249">
        <v>3</v>
      </c>
      <c r="F118" s="249" t="s">
        <v>20033</v>
      </c>
    </row>
    <row r="119" spans="1:6" x14ac:dyDescent="0.25">
      <c r="A119" s="249" t="s">
        <v>4456</v>
      </c>
      <c r="B119" s="249">
        <v>30.75</v>
      </c>
      <c r="C119" s="249">
        <v>24</v>
      </c>
      <c r="D119" s="249">
        <v>4</v>
      </c>
      <c r="F119" s="249" t="s">
        <v>20034</v>
      </c>
    </row>
    <row r="120" spans="1:6" x14ac:dyDescent="0.25">
      <c r="A120" s="249" t="s">
        <v>5703</v>
      </c>
      <c r="B120" s="249">
        <v>30.75</v>
      </c>
      <c r="C120" s="249">
        <v>24</v>
      </c>
      <c r="D120" s="249">
        <v>5</v>
      </c>
      <c r="F120" s="249" t="s">
        <v>20035</v>
      </c>
    </row>
    <row r="121" spans="1:6" x14ac:dyDescent="0.25">
      <c r="A121" s="249" t="s">
        <v>100</v>
      </c>
      <c r="B121" s="249">
        <v>17.25</v>
      </c>
      <c r="C121" s="249">
        <v>24</v>
      </c>
      <c r="D121" s="249">
        <v>6</v>
      </c>
      <c r="F121" s="249" t="s">
        <v>20036</v>
      </c>
    </row>
    <row r="122" spans="1:6" ht="15.75" x14ac:dyDescent="0.25">
      <c r="A122" s="703" t="s">
        <v>4738</v>
      </c>
      <c r="B122" s="703">
        <v>30.75</v>
      </c>
      <c r="C122" s="703">
        <v>26</v>
      </c>
      <c r="D122" s="703">
        <v>1</v>
      </c>
      <c r="E122" s="703" t="s">
        <v>19860</v>
      </c>
      <c r="F122" s="703" t="s">
        <v>20037</v>
      </c>
    </row>
    <row r="123" spans="1:6" x14ac:dyDescent="0.25">
      <c r="A123" s="249" t="s">
        <v>4456</v>
      </c>
      <c r="B123" s="249">
        <v>30.75</v>
      </c>
      <c r="C123" s="249">
        <v>26</v>
      </c>
      <c r="D123" s="249">
        <v>2</v>
      </c>
      <c r="F123" s="249" t="s">
        <v>20038</v>
      </c>
    </row>
    <row r="124" spans="1:6" x14ac:dyDescent="0.25">
      <c r="A124" s="249" t="s">
        <v>5703</v>
      </c>
      <c r="B124" s="249">
        <v>30.75</v>
      </c>
      <c r="C124" s="249">
        <v>26</v>
      </c>
      <c r="D124" s="249">
        <v>3</v>
      </c>
      <c r="F124" s="249" t="s">
        <v>20039</v>
      </c>
    </row>
    <row r="125" spans="1:6" x14ac:dyDescent="0.25">
      <c r="A125" s="249" t="s">
        <v>4945</v>
      </c>
      <c r="B125" s="249">
        <v>30.5</v>
      </c>
      <c r="C125" s="249">
        <v>26</v>
      </c>
      <c r="D125" s="249">
        <v>4</v>
      </c>
      <c r="F125" s="249" t="s">
        <v>20040</v>
      </c>
    </row>
    <row r="126" spans="1:6" x14ac:dyDescent="0.25">
      <c r="A126" s="249" t="s">
        <v>312</v>
      </c>
      <c r="B126" s="249">
        <v>28</v>
      </c>
      <c r="C126" s="249">
        <v>26</v>
      </c>
      <c r="D126" s="249">
        <v>5</v>
      </c>
      <c r="F126" s="249" t="s">
        <v>20041</v>
      </c>
    </row>
    <row r="127" spans="1:6" x14ac:dyDescent="0.25">
      <c r="A127" s="249" t="s">
        <v>100</v>
      </c>
      <c r="B127" s="249">
        <v>17.25</v>
      </c>
      <c r="C127" s="249">
        <v>26</v>
      </c>
      <c r="D127" s="249">
        <v>6</v>
      </c>
      <c r="F127" s="249" t="s">
        <v>20042</v>
      </c>
    </row>
    <row r="128" spans="1:6" ht="15.75" x14ac:dyDescent="0.25">
      <c r="A128" s="703" t="s">
        <v>454</v>
      </c>
      <c r="B128" s="703">
        <v>30.25</v>
      </c>
      <c r="C128" s="703">
        <v>27</v>
      </c>
      <c r="D128" s="703">
        <v>1</v>
      </c>
      <c r="E128" s="703" t="s">
        <v>19861</v>
      </c>
      <c r="F128" s="703" t="s">
        <v>20043</v>
      </c>
    </row>
    <row r="129" spans="1:6" x14ac:dyDescent="0.25">
      <c r="A129" s="249" t="s">
        <v>4964</v>
      </c>
      <c r="B129" s="249">
        <v>30.5</v>
      </c>
      <c r="C129" s="249">
        <v>27</v>
      </c>
      <c r="D129" s="249">
        <v>2</v>
      </c>
      <c r="F129" s="249" t="s">
        <v>20044</v>
      </c>
    </row>
    <row r="130" spans="1:6" x14ac:dyDescent="0.25">
      <c r="A130" s="249" t="s">
        <v>5283</v>
      </c>
      <c r="B130" s="249">
        <v>30.5</v>
      </c>
      <c r="C130" s="249">
        <v>27</v>
      </c>
      <c r="D130" s="249">
        <v>3</v>
      </c>
      <c r="F130" s="249" t="s">
        <v>20045</v>
      </c>
    </row>
    <row r="131" spans="1:6" x14ac:dyDescent="0.25">
      <c r="A131" s="249" t="s">
        <v>215</v>
      </c>
      <c r="B131" s="249">
        <v>17.25</v>
      </c>
      <c r="C131" s="249">
        <v>27</v>
      </c>
      <c r="D131" s="249">
        <v>4</v>
      </c>
      <c r="F131" s="249" t="s">
        <v>20046</v>
      </c>
    </row>
    <row r="132" spans="1:6" x14ac:dyDescent="0.25">
      <c r="A132" s="249" t="s">
        <v>58</v>
      </c>
      <c r="B132" s="249">
        <v>30.5</v>
      </c>
      <c r="C132" s="249">
        <v>27</v>
      </c>
      <c r="D132" s="249">
        <v>5</v>
      </c>
      <c r="F132" s="249" t="s">
        <v>20047</v>
      </c>
    </row>
    <row r="133" spans="1:6" x14ac:dyDescent="0.25">
      <c r="A133" s="249" t="s">
        <v>4677</v>
      </c>
      <c r="B133" s="249">
        <v>29</v>
      </c>
      <c r="C133" s="249">
        <v>27</v>
      </c>
      <c r="D133" s="249">
        <v>6</v>
      </c>
      <c r="F133" s="249" t="s">
        <v>20048</v>
      </c>
    </row>
    <row r="134" spans="1:6" ht="15.75" x14ac:dyDescent="0.25">
      <c r="A134" s="703" t="s">
        <v>4964</v>
      </c>
      <c r="B134" s="703">
        <v>30.5</v>
      </c>
      <c r="C134" s="703">
        <v>29</v>
      </c>
      <c r="D134" s="703">
        <v>1</v>
      </c>
      <c r="E134" s="703" t="s">
        <v>19862</v>
      </c>
      <c r="F134" s="703" t="s">
        <v>20049</v>
      </c>
    </row>
    <row r="135" spans="1:6" x14ac:dyDescent="0.25">
      <c r="A135" s="249" t="s">
        <v>5283</v>
      </c>
      <c r="B135" s="249">
        <v>30.5</v>
      </c>
      <c r="C135" s="249">
        <v>29</v>
      </c>
      <c r="D135" s="249">
        <v>2</v>
      </c>
      <c r="F135" s="249" t="s">
        <v>20050</v>
      </c>
    </row>
    <row r="136" spans="1:6" x14ac:dyDescent="0.25">
      <c r="A136" s="249" t="s">
        <v>58</v>
      </c>
      <c r="B136" s="249">
        <v>30.5</v>
      </c>
      <c r="C136" s="249">
        <v>29</v>
      </c>
      <c r="D136" s="249">
        <v>3</v>
      </c>
      <c r="F136" s="249" t="s">
        <v>20051</v>
      </c>
    </row>
    <row r="137" spans="1:6" x14ac:dyDescent="0.25">
      <c r="A137" s="249" t="s">
        <v>454</v>
      </c>
      <c r="B137" s="249">
        <v>30.25</v>
      </c>
      <c r="C137" s="249">
        <v>29</v>
      </c>
      <c r="D137" s="249">
        <v>4</v>
      </c>
      <c r="F137" s="249" t="s">
        <v>20052</v>
      </c>
    </row>
    <row r="138" spans="1:6" x14ac:dyDescent="0.25">
      <c r="A138" s="249" t="s">
        <v>4677</v>
      </c>
      <c r="B138" s="249">
        <v>29</v>
      </c>
      <c r="C138" s="249">
        <v>29</v>
      </c>
      <c r="D138" s="249">
        <v>5</v>
      </c>
      <c r="F138" s="249" t="s">
        <v>20053</v>
      </c>
    </row>
    <row r="139" spans="1:6" x14ac:dyDescent="0.25">
      <c r="A139" s="249" t="s">
        <v>215</v>
      </c>
      <c r="B139" s="249">
        <v>17.25</v>
      </c>
      <c r="C139" s="249">
        <v>29</v>
      </c>
      <c r="D139" s="249">
        <v>6</v>
      </c>
      <c r="F139" s="249" t="s">
        <v>20054</v>
      </c>
    </row>
    <row r="140" spans="1:6" ht="15.75" x14ac:dyDescent="0.25">
      <c r="A140" s="703" t="s">
        <v>4941</v>
      </c>
      <c r="B140" s="703">
        <v>30.25</v>
      </c>
      <c r="C140" s="703">
        <v>30</v>
      </c>
      <c r="D140" s="703">
        <v>1</v>
      </c>
      <c r="E140" s="703" t="s">
        <v>19863</v>
      </c>
      <c r="F140" s="703" t="s">
        <v>20055</v>
      </c>
    </row>
    <row r="141" spans="1:6" x14ac:dyDescent="0.25">
      <c r="A141" s="249" t="s">
        <v>5480</v>
      </c>
      <c r="B141" s="249">
        <v>30</v>
      </c>
      <c r="C141" s="249">
        <v>30</v>
      </c>
      <c r="D141" s="249">
        <v>2</v>
      </c>
      <c r="F141" s="249" t="s">
        <v>20056</v>
      </c>
    </row>
    <row r="142" spans="1:6" x14ac:dyDescent="0.25">
      <c r="A142" s="249" t="s">
        <v>5549</v>
      </c>
      <c r="B142" s="249">
        <v>30.25</v>
      </c>
      <c r="C142" s="249">
        <v>30</v>
      </c>
      <c r="D142" s="249">
        <v>3</v>
      </c>
      <c r="F142" s="249" t="s">
        <v>20057</v>
      </c>
    </row>
    <row r="143" spans="1:6" x14ac:dyDescent="0.25">
      <c r="A143" s="249" t="s">
        <v>5436</v>
      </c>
      <c r="B143" s="249">
        <v>29.25</v>
      </c>
      <c r="C143" s="249">
        <v>30</v>
      </c>
      <c r="D143" s="249">
        <v>4</v>
      </c>
      <c r="F143" s="249" t="s">
        <v>20058</v>
      </c>
    </row>
    <row r="144" spans="1:6" x14ac:dyDescent="0.25">
      <c r="A144" s="249" t="s">
        <v>4906</v>
      </c>
      <c r="B144" s="249">
        <v>18</v>
      </c>
      <c r="C144" s="249">
        <v>30</v>
      </c>
      <c r="D144" s="249">
        <v>5</v>
      </c>
      <c r="F144" s="249" t="s">
        <v>20059</v>
      </c>
    </row>
    <row r="145" spans="1:6" x14ac:dyDescent="0.25">
      <c r="A145" s="249" t="s">
        <v>110</v>
      </c>
      <c r="B145" s="249">
        <v>30.25</v>
      </c>
      <c r="C145" s="249">
        <v>30</v>
      </c>
      <c r="D145" s="249">
        <v>6</v>
      </c>
      <c r="F145" s="249" t="s">
        <v>20060</v>
      </c>
    </row>
    <row r="146" spans="1:6" ht="15.75" x14ac:dyDescent="0.25">
      <c r="A146" s="703" t="s">
        <v>4941</v>
      </c>
      <c r="B146" s="703">
        <v>30.25</v>
      </c>
      <c r="C146" s="703">
        <v>32</v>
      </c>
      <c r="D146" s="703">
        <v>1</v>
      </c>
      <c r="E146" s="703" t="s">
        <v>19864</v>
      </c>
      <c r="F146" s="703" t="s">
        <v>20061</v>
      </c>
    </row>
    <row r="147" spans="1:6" x14ac:dyDescent="0.25">
      <c r="A147" s="249" t="s">
        <v>5549</v>
      </c>
      <c r="B147" s="249">
        <v>30.25</v>
      </c>
      <c r="C147" s="249">
        <v>32</v>
      </c>
      <c r="D147" s="249">
        <v>2</v>
      </c>
      <c r="F147" s="249" t="s">
        <v>20062</v>
      </c>
    </row>
    <row r="148" spans="1:6" x14ac:dyDescent="0.25">
      <c r="A148" s="249" t="s">
        <v>110</v>
      </c>
      <c r="B148" s="249">
        <v>30.25</v>
      </c>
      <c r="C148" s="249">
        <v>32</v>
      </c>
      <c r="D148" s="249">
        <v>3</v>
      </c>
      <c r="F148" s="249" t="s">
        <v>20063</v>
      </c>
    </row>
    <row r="149" spans="1:6" x14ac:dyDescent="0.25">
      <c r="A149" s="249" t="s">
        <v>5480</v>
      </c>
      <c r="B149" s="249">
        <v>30</v>
      </c>
      <c r="C149" s="249">
        <v>32</v>
      </c>
      <c r="D149" s="249">
        <v>4</v>
      </c>
      <c r="F149" s="249" t="s">
        <v>20064</v>
      </c>
    </row>
    <row r="150" spans="1:6" x14ac:dyDescent="0.25">
      <c r="A150" s="249" t="s">
        <v>5436</v>
      </c>
      <c r="B150" s="249">
        <v>29.25</v>
      </c>
      <c r="C150" s="249">
        <v>32</v>
      </c>
      <c r="D150" s="249">
        <v>5</v>
      </c>
      <c r="F150" s="249" t="s">
        <v>20065</v>
      </c>
    </row>
    <row r="151" spans="1:6" x14ac:dyDescent="0.25">
      <c r="A151" s="249" t="s">
        <v>4906</v>
      </c>
      <c r="B151" s="249">
        <v>18</v>
      </c>
      <c r="C151" s="249">
        <v>32</v>
      </c>
      <c r="D151" s="249">
        <v>6</v>
      </c>
      <c r="F151" s="249" t="s">
        <v>20066</v>
      </c>
    </row>
    <row r="152" spans="1:6" ht="15.75" x14ac:dyDescent="0.25">
      <c r="A152" s="703" t="s">
        <v>4640</v>
      </c>
      <c r="B152" s="703">
        <v>33</v>
      </c>
      <c r="C152" s="703">
        <v>33</v>
      </c>
      <c r="D152" s="703">
        <v>1</v>
      </c>
      <c r="E152" s="703" t="s">
        <v>19865</v>
      </c>
      <c r="F152" s="703" t="s">
        <v>20067</v>
      </c>
    </row>
    <row r="153" spans="1:6" x14ac:dyDescent="0.25">
      <c r="A153" s="249" t="s">
        <v>5196</v>
      </c>
      <c r="B153" s="249">
        <v>33</v>
      </c>
      <c r="C153" s="249">
        <v>33</v>
      </c>
      <c r="D153" s="249">
        <v>2</v>
      </c>
      <c r="F153" s="249" t="s">
        <v>20068</v>
      </c>
    </row>
    <row r="154" spans="1:6" x14ac:dyDescent="0.25">
      <c r="A154" s="249" t="s">
        <v>4860</v>
      </c>
      <c r="B154" s="249">
        <v>33.25</v>
      </c>
      <c r="C154" s="249">
        <v>33</v>
      </c>
      <c r="D154" s="249">
        <v>3</v>
      </c>
      <c r="F154" s="249" t="s">
        <v>20069</v>
      </c>
    </row>
    <row r="155" spans="1:6" x14ac:dyDescent="0.25">
      <c r="A155" s="249" t="s">
        <v>4032</v>
      </c>
      <c r="B155" s="249">
        <v>6.5</v>
      </c>
      <c r="C155" s="249">
        <v>33</v>
      </c>
      <c r="D155" s="249">
        <v>4</v>
      </c>
      <c r="F155" s="249" t="s">
        <v>20070</v>
      </c>
    </row>
    <row r="156" spans="1:6" x14ac:dyDescent="0.25">
      <c r="A156" s="249" t="s">
        <v>55</v>
      </c>
      <c r="B156" s="249">
        <v>33.25</v>
      </c>
      <c r="C156" s="249">
        <v>33</v>
      </c>
      <c r="D156" s="249">
        <v>5</v>
      </c>
      <c r="F156" s="249" t="s">
        <v>20071</v>
      </c>
    </row>
    <row r="157" spans="1:6" x14ac:dyDescent="0.25">
      <c r="A157" s="249" t="s">
        <v>3636</v>
      </c>
      <c r="B157" s="249">
        <v>29</v>
      </c>
      <c r="C157" s="249">
        <v>33</v>
      </c>
      <c r="D157" s="249">
        <v>6</v>
      </c>
      <c r="F157" s="249" t="s">
        <v>20072</v>
      </c>
    </row>
    <row r="158" spans="1:6" ht="15.75" x14ac:dyDescent="0.25">
      <c r="A158" s="703" t="s">
        <v>4860</v>
      </c>
      <c r="B158" s="703">
        <v>33.25</v>
      </c>
      <c r="C158" s="703">
        <v>34</v>
      </c>
      <c r="D158" s="703">
        <v>1</v>
      </c>
      <c r="E158" s="703" t="s">
        <v>19866</v>
      </c>
      <c r="F158" s="703" t="s">
        <v>20073</v>
      </c>
    </row>
    <row r="159" spans="1:6" x14ac:dyDescent="0.25">
      <c r="A159" s="249" t="s">
        <v>55</v>
      </c>
      <c r="B159" s="249">
        <v>33.25</v>
      </c>
      <c r="C159" s="249">
        <v>34</v>
      </c>
      <c r="D159" s="249">
        <v>2</v>
      </c>
      <c r="F159" s="249" t="s">
        <v>20074</v>
      </c>
    </row>
    <row r="160" spans="1:6" x14ac:dyDescent="0.25">
      <c r="A160" s="249" t="s">
        <v>4640</v>
      </c>
      <c r="B160" s="249">
        <v>33</v>
      </c>
      <c r="C160" s="249">
        <v>34</v>
      </c>
      <c r="D160" s="249">
        <v>3</v>
      </c>
      <c r="F160" s="249" t="s">
        <v>20075</v>
      </c>
    </row>
    <row r="161" spans="1:6" x14ac:dyDescent="0.25">
      <c r="A161" s="249" t="s">
        <v>5196</v>
      </c>
      <c r="B161" s="249">
        <v>33</v>
      </c>
      <c r="C161" s="249">
        <v>34</v>
      </c>
      <c r="D161" s="249">
        <v>4</v>
      </c>
      <c r="F161" s="249" t="s">
        <v>20076</v>
      </c>
    </row>
    <row r="162" spans="1:6" x14ac:dyDescent="0.25">
      <c r="A162" s="249" t="s">
        <v>3636</v>
      </c>
      <c r="B162" s="249">
        <v>29</v>
      </c>
      <c r="C162" s="249">
        <v>34</v>
      </c>
      <c r="D162" s="249">
        <v>5</v>
      </c>
      <c r="F162" s="249" t="s">
        <v>20077</v>
      </c>
    </row>
    <row r="163" spans="1:6" x14ac:dyDescent="0.25">
      <c r="A163" s="249" t="s">
        <v>4032</v>
      </c>
      <c r="B163" s="249">
        <v>6.5</v>
      </c>
      <c r="C163" s="249">
        <v>34</v>
      </c>
      <c r="D163" s="249">
        <v>6</v>
      </c>
      <c r="F163" s="249" t="s">
        <v>20078</v>
      </c>
    </row>
    <row r="164" spans="1:6" ht="15.75" x14ac:dyDescent="0.25">
      <c r="A164" s="703" t="s">
        <v>364</v>
      </c>
      <c r="B164" s="703">
        <v>6.75</v>
      </c>
      <c r="C164" s="703">
        <v>35</v>
      </c>
      <c r="D164" s="703">
        <v>1</v>
      </c>
      <c r="E164" s="703" t="s">
        <v>19867</v>
      </c>
      <c r="F164" s="703" t="s">
        <v>20079</v>
      </c>
    </row>
    <row r="165" spans="1:6" x14ac:dyDescent="0.25">
      <c r="A165" s="249" t="s">
        <v>3739</v>
      </c>
      <c r="B165" s="249">
        <v>29.5</v>
      </c>
      <c r="C165" s="249">
        <v>35</v>
      </c>
      <c r="D165" s="249">
        <v>2</v>
      </c>
      <c r="F165" s="249" t="s">
        <v>20080</v>
      </c>
    </row>
    <row r="166" spans="1:6" x14ac:dyDescent="0.25">
      <c r="A166" s="249" t="s">
        <v>5471</v>
      </c>
      <c r="B166" s="249">
        <v>33</v>
      </c>
      <c r="C166" s="249">
        <v>35</v>
      </c>
      <c r="D166" s="249">
        <v>3</v>
      </c>
      <c r="F166" s="249" t="s">
        <v>20081</v>
      </c>
    </row>
    <row r="167" spans="1:6" x14ac:dyDescent="0.25">
      <c r="A167" s="249" t="s">
        <v>5019</v>
      </c>
      <c r="B167" s="249">
        <v>33</v>
      </c>
      <c r="C167" s="249">
        <v>35</v>
      </c>
      <c r="D167" s="249">
        <v>4</v>
      </c>
      <c r="F167" s="249" t="s">
        <v>20082</v>
      </c>
    </row>
    <row r="168" spans="1:6" x14ac:dyDescent="0.25">
      <c r="A168" s="249" t="s">
        <v>4080</v>
      </c>
      <c r="B168" s="249">
        <v>32.75</v>
      </c>
      <c r="C168" s="249">
        <v>35</v>
      </c>
      <c r="D168" s="249">
        <v>5</v>
      </c>
      <c r="F168" s="249" t="s">
        <v>20083</v>
      </c>
    </row>
    <row r="169" spans="1:6" x14ac:dyDescent="0.25">
      <c r="A169" s="249" t="s">
        <v>5513</v>
      </c>
      <c r="B169" s="249">
        <v>33</v>
      </c>
      <c r="C169" s="249">
        <v>35</v>
      </c>
      <c r="D169" s="249">
        <v>6</v>
      </c>
      <c r="F169" s="249" t="s">
        <v>20084</v>
      </c>
    </row>
    <row r="170" spans="1:6" ht="15.75" x14ac:dyDescent="0.25">
      <c r="A170" s="703" t="s">
        <v>5471</v>
      </c>
      <c r="B170" s="703">
        <v>33</v>
      </c>
      <c r="C170" s="703">
        <v>36</v>
      </c>
      <c r="D170" s="703">
        <v>1</v>
      </c>
      <c r="E170" s="703" t="s">
        <v>19868</v>
      </c>
      <c r="F170" s="703" t="s">
        <v>20085</v>
      </c>
    </row>
    <row r="171" spans="1:6" x14ac:dyDescent="0.25">
      <c r="A171" s="249" t="s">
        <v>5019</v>
      </c>
      <c r="B171" s="249">
        <v>33</v>
      </c>
      <c r="C171" s="249">
        <v>36</v>
      </c>
      <c r="D171" s="249">
        <v>2</v>
      </c>
      <c r="F171" s="249" t="s">
        <v>20086</v>
      </c>
    </row>
    <row r="172" spans="1:6" x14ac:dyDescent="0.25">
      <c r="A172" s="249" t="s">
        <v>5513</v>
      </c>
      <c r="B172" s="249">
        <v>33</v>
      </c>
      <c r="C172" s="249">
        <v>36</v>
      </c>
      <c r="D172" s="249">
        <v>3</v>
      </c>
      <c r="F172" s="249" t="s">
        <v>20087</v>
      </c>
    </row>
    <row r="173" spans="1:6" x14ac:dyDescent="0.25">
      <c r="A173" s="249" t="s">
        <v>4080</v>
      </c>
      <c r="B173" s="249">
        <v>32.75</v>
      </c>
      <c r="C173" s="249">
        <v>36</v>
      </c>
      <c r="D173" s="249">
        <v>4</v>
      </c>
      <c r="F173" s="249" t="s">
        <v>20088</v>
      </c>
    </row>
    <row r="174" spans="1:6" x14ac:dyDescent="0.25">
      <c r="A174" s="249" t="s">
        <v>3739</v>
      </c>
      <c r="B174" s="249">
        <v>29.5</v>
      </c>
      <c r="C174" s="249">
        <v>36</v>
      </c>
      <c r="D174" s="249">
        <v>5</v>
      </c>
      <c r="F174" s="249" t="s">
        <v>20089</v>
      </c>
    </row>
    <row r="175" spans="1:6" x14ac:dyDescent="0.25">
      <c r="A175" s="249" t="s">
        <v>364</v>
      </c>
      <c r="B175" s="249">
        <v>6.75</v>
      </c>
      <c r="C175" s="249">
        <v>36</v>
      </c>
      <c r="D175" s="249">
        <v>6</v>
      </c>
      <c r="F175" s="249" t="s">
        <v>20090</v>
      </c>
    </row>
    <row r="176" spans="1:6" ht="15.75" x14ac:dyDescent="0.25">
      <c r="A176" s="703" t="s">
        <v>452</v>
      </c>
      <c r="B176" s="703">
        <v>6.75</v>
      </c>
      <c r="C176" s="703">
        <v>37</v>
      </c>
      <c r="D176" s="703">
        <v>1</v>
      </c>
      <c r="E176" s="703" t="s">
        <v>19869</v>
      </c>
      <c r="F176" s="703" t="s">
        <v>20091</v>
      </c>
    </row>
    <row r="177" spans="1:6" x14ac:dyDescent="0.25">
      <c r="A177" s="249" t="s">
        <v>5765</v>
      </c>
      <c r="B177" s="249">
        <v>31.75</v>
      </c>
      <c r="C177" s="249">
        <v>37</v>
      </c>
      <c r="D177" s="249">
        <v>2</v>
      </c>
      <c r="F177" s="249" t="s">
        <v>20092</v>
      </c>
    </row>
    <row r="178" spans="1:6" x14ac:dyDescent="0.25">
      <c r="A178" s="249" t="s">
        <v>5758</v>
      </c>
      <c r="B178" s="249">
        <v>32.5</v>
      </c>
      <c r="C178" s="249">
        <v>37</v>
      </c>
      <c r="D178" s="249">
        <v>3</v>
      </c>
      <c r="F178" s="249" t="s">
        <v>20093</v>
      </c>
    </row>
    <row r="179" spans="1:6" x14ac:dyDescent="0.25">
      <c r="A179" s="249" t="s">
        <v>4703</v>
      </c>
      <c r="B179" s="249">
        <v>32.25</v>
      </c>
      <c r="C179" s="249">
        <v>37</v>
      </c>
      <c r="D179" s="249">
        <v>4</v>
      </c>
      <c r="F179" s="249" t="s">
        <v>20094</v>
      </c>
    </row>
    <row r="180" spans="1:6" x14ac:dyDescent="0.25">
      <c r="A180" s="249" t="s">
        <v>4705</v>
      </c>
      <c r="B180" s="249">
        <v>32.25</v>
      </c>
      <c r="C180" s="249">
        <v>37</v>
      </c>
      <c r="D180" s="249">
        <v>5</v>
      </c>
      <c r="F180" s="249" t="s">
        <v>20095</v>
      </c>
    </row>
    <row r="181" spans="1:6" x14ac:dyDescent="0.25">
      <c r="A181" s="249" t="s">
        <v>5298</v>
      </c>
      <c r="B181" s="249">
        <v>32.5</v>
      </c>
      <c r="C181" s="249">
        <v>37</v>
      </c>
      <c r="D181" s="249">
        <v>6</v>
      </c>
      <c r="F181" s="249" t="s">
        <v>20096</v>
      </c>
    </row>
    <row r="182" spans="1:6" ht="15.75" x14ac:dyDescent="0.25">
      <c r="A182" s="703" t="s">
        <v>5758</v>
      </c>
      <c r="B182" s="703">
        <v>32.5</v>
      </c>
      <c r="C182" s="703">
        <v>38</v>
      </c>
      <c r="D182" s="703">
        <v>1</v>
      </c>
      <c r="E182" s="703" t="s">
        <v>19870</v>
      </c>
      <c r="F182" s="703" t="s">
        <v>20097</v>
      </c>
    </row>
    <row r="183" spans="1:6" x14ac:dyDescent="0.25">
      <c r="A183" s="249" t="s">
        <v>5298</v>
      </c>
      <c r="B183" s="249">
        <v>32.5</v>
      </c>
      <c r="C183" s="249">
        <v>38</v>
      </c>
      <c r="D183" s="249">
        <v>2</v>
      </c>
      <c r="F183" s="249" t="s">
        <v>20098</v>
      </c>
    </row>
    <row r="184" spans="1:6" x14ac:dyDescent="0.25">
      <c r="A184" s="249" t="s">
        <v>4703</v>
      </c>
      <c r="B184" s="249">
        <v>32.25</v>
      </c>
      <c r="C184" s="249">
        <v>38</v>
      </c>
      <c r="D184" s="249">
        <v>3</v>
      </c>
      <c r="F184" s="249" t="s">
        <v>20099</v>
      </c>
    </row>
    <row r="185" spans="1:6" x14ac:dyDescent="0.25">
      <c r="A185" s="249" t="s">
        <v>4705</v>
      </c>
      <c r="B185" s="249">
        <v>32.25</v>
      </c>
      <c r="C185" s="249">
        <v>38</v>
      </c>
      <c r="D185" s="249">
        <v>4</v>
      </c>
      <c r="F185" s="249" t="s">
        <v>20100</v>
      </c>
    </row>
    <row r="186" spans="1:6" x14ac:dyDescent="0.25">
      <c r="A186" s="249" t="s">
        <v>5765</v>
      </c>
      <c r="B186" s="249">
        <v>31.75</v>
      </c>
      <c r="C186" s="249">
        <v>38</v>
      </c>
      <c r="D186" s="249">
        <v>5</v>
      </c>
      <c r="F186" s="249" t="s">
        <v>20101</v>
      </c>
    </row>
    <row r="187" spans="1:6" x14ac:dyDescent="0.25">
      <c r="A187" s="249" t="s">
        <v>452</v>
      </c>
      <c r="B187" s="249">
        <v>6.75</v>
      </c>
      <c r="C187" s="249">
        <v>38</v>
      </c>
      <c r="D187" s="249">
        <v>6</v>
      </c>
      <c r="F187" s="249" t="s">
        <v>20102</v>
      </c>
    </row>
    <row r="188" spans="1:6" ht="15.75" x14ac:dyDescent="0.25">
      <c r="A188" s="703" t="s">
        <v>3365</v>
      </c>
      <c r="B188" s="703">
        <v>31</v>
      </c>
      <c r="C188" s="703">
        <v>39</v>
      </c>
      <c r="D188" s="703">
        <v>1</v>
      </c>
      <c r="E188" s="703" t="s">
        <v>19871</v>
      </c>
      <c r="F188" s="703" t="s">
        <v>20103</v>
      </c>
    </row>
    <row r="189" spans="1:6" x14ac:dyDescent="0.25">
      <c r="A189" s="249" t="s">
        <v>590</v>
      </c>
      <c r="B189" s="249">
        <v>31.5</v>
      </c>
      <c r="C189" s="249">
        <v>39</v>
      </c>
      <c r="D189" s="249">
        <v>2</v>
      </c>
      <c r="F189" s="249" t="s">
        <v>20104</v>
      </c>
    </row>
    <row r="190" spans="1:6" x14ac:dyDescent="0.25">
      <c r="A190" s="249" t="s">
        <v>3674</v>
      </c>
      <c r="B190" s="249">
        <v>27.5</v>
      </c>
      <c r="C190" s="249">
        <v>39</v>
      </c>
      <c r="D190" s="249">
        <v>3</v>
      </c>
      <c r="F190" s="249" t="s">
        <v>20105</v>
      </c>
    </row>
    <row r="191" spans="1:6" x14ac:dyDescent="0.25">
      <c r="A191" s="249" t="s">
        <v>11164</v>
      </c>
      <c r="B191" s="249">
        <v>14</v>
      </c>
      <c r="C191" s="249">
        <v>39</v>
      </c>
      <c r="D191" s="249">
        <v>4</v>
      </c>
      <c r="F191" s="249" t="s">
        <v>20106</v>
      </c>
    </row>
    <row r="192" spans="1:6" x14ac:dyDescent="0.25">
      <c r="A192" s="249" t="s">
        <v>3000</v>
      </c>
      <c r="B192" s="249">
        <v>31.75</v>
      </c>
      <c r="C192" s="249">
        <v>39</v>
      </c>
      <c r="D192" s="249">
        <v>5</v>
      </c>
      <c r="F192" s="249" t="s">
        <v>20107</v>
      </c>
    </row>
    <row r="193" spans="1:6" x14ac:dyDescent="0.25">
      <c r="A193" s="249" t="s">
        <v>3921</v>
      </c>
      <c r="B193" s="249">
        <v>32.25</v>
      </c>
      <c r="C193" s="249">
        <v>39</v>
      </c>
      <c r="D193" s="249">
        <v>6</v>
      </c>
      <c r="F193" s="249" t="s">
        <v>20108</v>
      </c>
    </row>
    <row r="194" spans="1:6" ht="15.75" x14ac:dyDescent="0.25">
      <c r="A194" s="703" t="s">
        <v>3595</v>
      </c>
      <c r="B194" s="703">
        <v>31.5</v>
      </c>
      <c r="C194" s="703">
        <v>40</v>
      </c>
      <c r="D194" s="703">
        <v>1</v>
      </c>
      <c r="E194" s="703" t="s">
        <v>19872</v>
      </c>
      <c r="F194" s="703" t="s">
        <v>20109</v>
      </c>
    </row>
    <row r="195" spans="1:6" x14ac:dyDescent="0.25">
      <c r="A195" s="249" t="s">
        <v>4685</v>
      </c>
      <c r="B195" s="249">
        <v>31.5</v>
      </c>
      <c r="C195" s="249">
        <v>40</v>
      </c>
      <c r="D195" s="249">
        <v>2</v>
      </c>
      <c r="F195" s="249" t="s">
        <v>20110</v>
      </c>
    </row>
    <row r="196" spans="1:6" x14ac:dyDescent="0.25">
      <c r="A196" s="249" t="s">
        <v>5613</v>
      </c>
      <c r="B196" s="249">
        <v>31</v>
      </c>
      <c r="C196" s="249">
        <v>40</v>
      </c>
      <c r="D196" s="249">
        <v>3</v>
      </c>
      <c r="F196" s="249" t="s">
        <v>20111</v>
      </c>
    </row>
    <row r="197" spans="1:6" x14ac:dyDescent="0.25">
      <c r="A197" s="249" t="s">
        <v>5070</v>
      </c>
      <c r="B197" s="249">
        <v>30.5</v>
      </c>
      <c r="C197" s="249">
        <v>40</v>
      </c>
      <c r="D197" s="249">
        <v>4</v>
      </c>
      <c r="F197" s="249" t="s">
        <v>20112</v>
      </c>
    </row>
    <row r="198" spans="1:6" x14ac:dyDescent="0.25">
      <c r="A198" s="249" t="s">
        <v>4172</v>
      </c>
      <c r="B198" s="249">
        <v>26.75</v>
      </c>
      <c r="C198" s="249">
        <v>40</v>
      </c>
      <c r="D198" s="249">
        <v>5</v>
      </c>
      <c r="F198" s="249" t="s">
        <v>20113</v>
      </c>
    </row>
    <row r="199" spans="1:6" x14ac:dyDescent="0.25">
      <c r="A199" s="249" t="s">
        <v>206</v>
      </c>
      <c r="B199" s="249">
        <v>16.75</v>
      </c>
      <c r="C199" s="249">
        <v>40</v>
      </c>
      <c r="D199" s="249">
        <v>6</v>
      </c>
      <c r="F199" s="249" t="s">
        <v>20114</v>
      </c>
    </row>
    <row r="200" spans="1:6" ht="15.75" x14ac:dyDescent="0.25">
      <c r="A200" s="703" t="s">
        <v>4172</v>
      </c>
      <c r="B200" s="703">
        <v>26.75</v>
      </c>
      <c r="C200" s="703">
        <v>41</v>
      </c>
      <c r="D200" s="703">
        <v>1</v>
      </c>
      <c r="E200" s="703" t="s">
        <v>19873</v>
      </c>
      <c r="F200" s="703" t="s">
        <v>20115</v>
      </c>
    </row>
    <row r="201" spans="1:6" x14ac:dyDescent="0.25">
      <c r="A201" s="249" t="s">
        <v>206</v>
      </c>
      <c r="B201" s="249">
        <v>16.75</v>
      </c>
      <c r="C201" s="249">
        <v>41</v>
      </c>
      <c r="D201" s="249">
        <v>2</v>
      </c>
      <c r="F201" s="249" t="s">
        <v>20116</v>
      </c>
    </row>
    <row r="202" spans="1:6" x14ac:dyDescent="0.25">
      <c r="A202" s="249" t="s">
        <v>3595</v>
      </c>
      <c r="B202" s="249">
        <v>31.5</v>
      </c>
      <c r="C202" s="249">
        <v>41</v>
      </c>
      <c r="D202" s="249">
        <v>3</v>
      </c>
      <c r="F202" s="249" t="s">
        <v>20117</v>
      </c>
    </row>
    <row r="203" spans="1:6" x14ac:dyDescent="0.25">
      <c r="A203" s="249" t="s">
        <v>5070</v>
      </c>
      <c r="B203" s="249">
        <v>30.5</v>
      </c>
      <c r="C203" s="249">
        <v>41</v>
      </c>
      <c r="D203" s="249">
        <v>4</v>
      </c>
      <c r="F203" s="249" t="s">
        <v>20118</v>
      </c>
    </row>
    <row r="204" spans="1:6" x14ac:dyDescent="0.25">
      <c r="A204" s="249" t="s">
        <v>4685</v>
      </c>
      <c r="B204" s="249">
        <v>31.5</v>
      </c>
      <c r="C204" s="249">
        <v>41</v>
      </c>
      <c r="D204" s="249">
        <v>5</v>
      </c>
      <c r="F204" s="249" t="s">
        <v>20119</v>
      </c>
    </row>
    <row r="205" spans="1:6" x14ac:dyDescent="0.25">
      <c r="A205" s="249" t="s">
        <v>5613</v>
      </c>
      <c r="B205" s="249">
        <v>31</v>
      </c>
      <c r="C205" s="249">
        <v>41</v>
      </c>
      <c r="D205" s="249">
        <v>6</v>
      </c>
      <c r="F205" s="249" t="s">
        <v>20120</v>
      </c>
    </row>
    <row r="206" spans="1:6" ht="15.75" x14ac:dyDescent="0.25">
      <c r="A206" s="703" t="s">
        <v>443</v>
      </c>
      <c r="B206" s="703">
        <v>30.25</v>
      </c>
      <c r="C206" s="703">
        <v>43</v>
      </c>
      <c r="D206" s="703">
        <v>1</v>
      </c>
      <c r="E206" s="703" t="s">
        <v>19874</v>
      </c>
      <c r="F206" s="703" t="s">
        <v>20121</v>
      </c>
    </row>
    <row r="207" spans="1:6" x14ac:dyDescent="0.25">
      <c r="A207" s="249" t="s">
        <v>4213</v>
      </c>
      <c r="B207" s="249">
        <v>30.25</v>
      </c>
      <c r="C207" s="249">
        <v>43</v>
      </c>
      <c r="D207" s="249">
        <v>2</v>
      </c>
      <c r="F207" s="249" t="s">
        <v>20122</v>
      </c>
    </row>
    <row r="208" spans="1:6" x14ac:dyDescent="0.25">
      <c r="A208" s="249" t="s">
        <v>3964</v>
      </c>
      <c r="B208" s="249">
        <v>29.75</v>
      </c>
      <c r="C208" s="249">
        <v>43</v>
      </c>
      <c r="D208" s="249">
        <v>3</v>
      </c>
      <c r="F208" s="249" t="s">
        <v>20123</v>
      </c>
    </row>
    <row r="209" spans="1:6" x14ac:dyDescent="0.25">
      <c r="A209" s="249" t="s">
        <v>5076</v>
      </c>
      <c r="B209" s="249">
        <v>19.75</v>
      </c>
      <c r="C209" s="249">
        <v>43</v>
      </c>
      <c r="D209" s="249">
        <v>4</v>
      </c>
      <c r="F209" s="249" t="s">
        <v>20124</v>
      </c>
    </row>
    <row r="210" spans="1:6" x14ac:dyDescent="0.25">
      <c r="A210" s="249" t="s">
        <v>5739</v>
      </c>
      <c r="B210" s="249">
        <v>29.5</v>
      </c>
      <c r="C210" s="249">
        <v>43</v>
      </c>
      <c r="D210" s="249">
        <v>5</v>
      </c>
      <c r="F210" s="249" t="s">
        <v>20125</v>
      </c>
    </row>
    <row r="211" spans="1:6" x14ac:dyDescent="0.25">
      <c r="A211" s="249" t="s">
        <v>5754</v>
      </c>
      <c r="B211" s="249">
        <v>28.5</v>
      </c>
      <c r="C211" s="249">
        <v>43</v>
      </c>
      <c r="D211" s="249">
        <v>6</v>
      </c>
      <c r="F211" s="249" t="s">
        <v>20126</v>
      </c>
    </row>
    <row r="212" spans="1:6" ht="15.75" x14ac:dyDescent="0.25">
      <c r="A212" s="703" t="s">
        <v>443</v>
      </c>
      <c r="B212" s="703">
        <v>30.25</v>
      </c>
      <c r="C212" s="703">
        <v>44</v>
      </c>
      <c r="D212" s="703">
        <v>1</v>
      </c>
      <c r="E212" s="703" t="s">
        <v>19875</v>
      </c>
      <c r="F212" s="703" t="s">
        <v>20127</v>
      </c>
    </row>
    <row r="213" spans="1:6" x14ac:dyDescent="0.25">
      <c r="A213" s="249" t="s">
        <v>4213</v>
      </c>
      <c r="B213" s="249">
        <v>30.25</v>
      </c>
      <c r="C213" s="249">
        <v>44</v>
      </c>
      <c r="D213" s="249">
        <v>2</v>
      </c>
      <c r="F213" s="249" t="s">
        <v>20128</v>
      </c>
    </row>
    <row r="214" spans="1:6" x14ac:dyDescent="0.25">
      <c r="A214" s="249" t="s">
        <v>3964</v>
      </c>
      <c r="B214" s="249">
        <v>29.75</v>
      </c>
      <c r="C214" s="249">
        <v>44</v>
      </c>
      <c r="D214" s="249">
        <v>3</v>
      </c>
      <c r="F214" s="249" t="s">
        <v>20129</v>
      </c>
    </row>
    <row r="215" spans="1:6" x14ac:dyDescent="0.25">
      <c r="A215" s="249" t="s">
        <v>5739</v>
      </c>
      <c r="B215" s="249">
        <v>29.5</v>
      </c>
      <c r="C215" s="249">
        <v>44</v>
      </c>
      <c r="D215" s="249">
        <v>4</v>
      </c>
      <c r="F215" s="249" t="s">
        <v>20130</v>
      </c>
    </row>
    <row r="216" spans="1:6" x14ac:dyDescent="0.25">
      <c r="A216" s="249" t="s">
        <v>5754</v>
      </c>
      <c r="B216" s="249">
        <v>28.5</v>
      </c>
      <c r="C216" s="249">
        <v>44</v>
      </c>
      <c r="D216" s="249">
        <v>5</v>
      </c>
      <c r="F216" s="249" t="s">
        <v>20131</v>
      </c>
    </row>
    <row r="217" spans="1:6" x14ac:dyDescent="0.25">
      <c r="A217" s="249" t="s">
        <v>5076</v>
      </c>
      <c r="B217" s="249">
        <v>19.75</v>
      </c>
      <c r="C217" s="249">
        <v>44</v>
      </c>
      <c r="D217" s="249">
        <v>6</v>
      </c>
      <c r="F217" s="249" t="s">
        <v>20132</v>
      </c>
    </row>
    <row r="218" spans="1:6" ht="15.75" x14ac:dyDescent="0.25">
      <c r="A218" s="703" t="s">
        <v>4642</v>
      </c>
      <c r="B218" s="703">
        <v>28.25</v>
      </c>
      <c r="C218" s="703">
        <v>45</v>
      </c>
      <c r="D218" s="703">
        <v>1</v>
      </c>
      <c r="E218" s="703" t="s">
        <v>19876</v>
      </c>
      <c r="F218" s="703" t="s">
        <v>20133</v>
      </c>
    </row>
    <row r="219" spans="1:6" x14ac:dyDescent="0.25">
      <c r="A219" s="249" t="s">
        <v>5563</v>
      </c>
      <c r="B219" s="249">
        <v>28.5</v>
      </c>
      <c r="C219" s="249">
        <v>45</v>
      </c>
      <c r="D219" s="249">
        <v>2</v>
      </c>
      <c r="F219" s="249" t="s">
        <v>20134</v>
      </c>
    </row>
    <row r="220" spans="1:6" x14ac:dyDescent="0.25">
      <c r="A220" s="249" t="s">
        <v>5620</v>
      </c>
      <c r="B220" s="249">
        <v>29.25</v>
      </c>
      <c r="C220" s="249">
        <v>45</v>
      </c>
      <c r="D220" s="249">
        <v>3</v>
      </c>
      <c r="F220" s="249" t="s">
        <v>20135</v>
      </c>
    </row>
    <row r="221" spans="1:6" x14ac:dyDescent="0.25">
      <c r="A221" s="249" t="s">
        <v>3761</v>
      </c>
      <c r="B221" s="249">
        <v>23</v>
      </c>
      <c r="C221" s="249">
        <v>45</v>
      </c>
      <c r="D221" s="249">
        <v>4</v>
      </c>
      <c r="F221" s="249" t="s">
        <v>20136</v>
      </c>
    </row>
    <row r="222" spans="1:6" x14ac:dyDescent="0.25">
      <c r="A222" s="249" t="s">
        <v>5717</v>
      </c>
      <c r="B222" s="249">
        <v>29.5</v>
      </c>
      <c r="C222" s="249">
        <v>45</v>
      </c>
      <c r="D222" s="249">
        <v>5</v>
      </c>
      <c r="F222" s="249" t="s">
        <v>20137</v>
      </c>
    </row>
    <row r="223" spans="1:6" x14ac:dyDescent="0.25">
      <c r="A223" s="249" t="s">
        <v>483</v>
      </c>
      <c r="B223" s="249">
        <v>29.5</v>
      </c>
      <c r="C223" s="249">
        <v>45</v>
      </c>
      <c r="D223" s="249">
        <v>6</v>
      </c>
      <c r="F223" s="249" t="s">
        <v>20138</v>
      </c>
    </row>
    <row r="224" spans="1:6" ht="15.75" x14ac:dyDescent="0.25">
      <c r="A224" s="703" t="s">
        <v>5717</v>
      </c>
      <c r="B224" s="703">
        <v>29.5</v>
      </c>
      <c r="C224" s="703">
        <v>46</v>
      </c>
      <c r="D224" s="703">
        <v>1</v>
      </c>
      <c r="E224" s="703" t="s">
        <v>19877</v>
      </c>
      <c r="F224" s="703" t="s">
        <v>20139</v>
      </c>
    </row>
    <row r="225" spans="1:6" x14ac:dyDescent="0.25">
      <c r="A225" s="249" t="s">
        <v>483</v>
      </c>
      <c r="B225" s="249">
        <v>29.5</v>
      </c>
      <c r="C225" s="249">
        <v>46</v>
      </c>
      <c r="D225" s="249">
        <v>2</v>
      </c>
      <c r="F225" s="249" t="s">
        <v>20140</v>
      </c>
    </row>
    <row r="226" spans="1:6" x14ac:dyDescent="0.25">
      <c r="A226" s="249" t="s">
        <v>5620</v>
      </c>
      <c r="B226" s="249">
        <v>29.25</v>
      </c>
      <c r="C226" s="249">
        <v>46</v>
      </c>
      <c r="D226" s="249">
        <v>3</v>
      </c>
      <c r="F226" s="249" t="s">
        <v>20141</v>
      </c>
    </row>
    <row r="227" spans="1:6" x14ac:dyDescent="0.25">
      <c r="A227" s="249" t="s">
        <v>5563</v>
      </c>
      <c r="B227" s="249">
        <v>28.5</v>
      </c>
      <c r="C227" s="249">
        <v>46</v>
      </c>
      <c r="D227" s="249">
        <v>4</v>
      </c>
      <c r="F227" s="249" t="s">
        <v>20142</v>
      </c>
    </row>
    <row r="228" spans="1:6" x14ac:dyDescent="0.25">
      <c r="A228" s="249" t="s">
        <v>4642</v>
      </c>
      <c r="B228" s="249">
        <v>28.25</v>
      </c>
      <c r="C228" s="249">
        <v>46</v>
      </c>
      <c r="D228" s="249">
        <v>5</v>
      </c>
      <c r="F228" s="249" t="s">
        <v>20143</v>
      </c>
    </row>
    <row r="229" spans="1:6" x14ac:dyDescent="0.25">
      <c r="A229" s="249" t="s">
        <v>3761</v>
      </c>
      <c r="B229" s="249">
        <v>23</v>
      </c>
      <c r="C229" s="249">
        <v>46</v>
      </c>
      <c r="D229" s="249">
        <v>6</v>
      </c>
      <c r="F229" s="249" t="s">
        <v>20144</v>
      </c>
    </row>
    <row r="230" spans="1:6" ht="15.75" x14ac:dyDescent="0.25">
      <c r="A230" s="700" t="s">
        <v>3628</v>
      </c>
      <c r="B230" s="700">
        <v>27</v>
      </c>
      <c r="C230" s="703">
        <v>47</v>
      </c>
      <c r="D230" s="703">
        <v>1</v>
      </c>
      <c r="E230" s="703" t="s">
        <v>19878</v>
      </c>
      <c r="F230" s="703" t="s">
        <v>20145</v>
      </c>
    </row>
    <row r="231" spans="1:6" x14ac:dyDescent="0.25">
      <c r="A231" s="249" t="s">
        <v>5159</v>
      </c>
      <c r="B231" s="249">
        <v>25.5</v>
      </c>
      <c r="C231" s="249">
        <v>47</v>
      </c>
      <c r="D231" s="249">
        <v>2</v>
      </c>
      <c r="F231" s="249" t="s">
        <v>20146</v>
      </c>
    </row>
    <row r="232" spans="1:6" x14ac:dyDescent="0.25">
      <c r="A232" s="249" t="s">
        <v>300</v>
      </c>
      <c r="B232" s="249">
        <v>23.75</v>
      </c>
      <c r="C232" s="249">
        <v>47</v>
      </c>
      <c r="D232" s="249">
        <v>3</v>
      </c>
      <c r="F232" s="249" t="s">
        <v>20147</v>
      </c>
    </row>
    <row r="233" spans="1:6" x14ac:dyDescent="0.25">
      <c r="A233" s="249" t="s">
        <v>277</v>
      </c>
      <c r="B233" s="249">
        <v>18.25</v>
      </c>
      <c r="C233" s="249">
        <v>47</v>
      </c>
      <c r="D233" s="249">
        <v>4</v>
      </c>
      <c r="F233" s="249" t="s">
        <v>20148</v>
      </c>
    </row>
    <row r="234" spans="1:6" x14ac:dyDescent="0.25">
      <c r="A234" s="249" t="s">
        <v>240</v>
      </c>
      <c r="B234" s="249">
        <v>25</v>
      </c>
      <c r="C234" s="249">
        <v>47</v>
      </c>
      <c r="D234" s="249">
        <v>5</v>
      </c>
      <c r="F234" s="249" t="s">
        <v>20149</v>
      </c>
    </row>
    <row r="235" spans="1:6" x14ac:dyDescent="0.25">
      <c r="A235" s="249" t="s">
        <v>5137</v>
      </c>
      <c r="B235" s="249">
        <v>24.25</v>
      </c>
      <c r="C235" s="249">
        <v>47</v>
      </c>
      <c r="D235" s="249">
        <v>6</v>
      </c>
      <c r="F235" s="249" t="s">
        <v>20150</v>
      </c>
    </row>
    <row r="236" spans="1:6" x14ac:dyDescent="0.25">
      <c r="A236" s="249" t="s">
        <v>4211</v>
      </c>
      <c r="B236" s="249">
        <v>24.25</v>
      </c>
      <c r="C236" s="249">
        <v>47</v>
      </c>
      <c r="D236" s="249">
        <v>7</v>
      </c>
      <c r="F236" s="249" t="s">
        <v>20151</v>
      </c>
    </row>
    <row r="237" spans="1:6" ht="15.75" x14ac:dyDescent="0.25">
      <c r="A237" s="700" t="s">
        <v>3628</v>
      </c>
      <c r="B237" s="700">
        <v>27</v>
      </c>
      <c r="C237" s="703">
        <v>49</v>
      </c>
      <c r="D237" s="703">
        <v>1</v>
      </c>
      <c r="E237" s="703" t="s">
        <v>19879</v>
      </c>
      <c r="F237" s="703" t="s">
        <v>20152</v>
      </c>
    </row>
    <row r="238" spans="1:6" x14ac:dyDescent="0.25">
      <c r="A238" s="249" t="s">
        <v>5159</v>
      </c>
      <c r="B238" s="249">
        <v>25.5</v>
      </c>
      <c r="C238" s="249">
        <v>49</v>
      </c>
      <c r="D238" s="249">
        <v>2</v>
      </c>
      <c r="F238" s="249" t="s">
        <v>20153</v>
      </c>
    </row>
    <row r="239" spans="1:6" x14ac:dyDescent="0.25">
      <c r="A239" s="249" t="s">
        <v>240</v>
      </c>
      <c r="B239" s="249">
        <v>25</v>
      </c>
      <c r="C239" s="249">
        <v>49</v>
      </c>
      <c r="D239" s="249">
        <v>3</v>
      </c>
      <c r="F239" s="249" t="s">
        <v>20154</v>
      </c>
    </row>
    <row r="240" spans="1:6" x14ac:dyDescent="0.25">
      <c r="A240" s="249" t="s">
        <v>5137</v>
      </c>
      <c r="B240" s="249">
        <v>24.25</v>
      </c>
      <c r="C240" s="249">
        <v>49</v>
      </c>
      <c r="D240" s="249">
        <v>4</v>
      </c>
      <c r="F240" s="249" t="s">
        <v>20155</v>
      </c>
    </row>
    <row r="241" spans="1:6" x14ac:dyDescent="0.25">
      <c r="A241" s="249" t="s">
        <v>4211</v>
      </c>
      <c r="B241" s="249">
        <v>24.25</v>
      </c>
      <c r="C241" s="249">
        <v>49</v>
      </c>
      <c r="D241" s="249">
        <v>5</v>
      </c>
      <c r="F241" s="249" t="s">
        <v>20156</v>
      </c>
    </row>
    <row r="242" spans="1:6" x14ac:dyDescent="0.25">
      <c r="A242" s="249" t="s">
        <v>300</v>
      </c>
      <c r="B242" s="249">
        <v>23.75</v>
      </c>
      <c r="C242" s="249">
        <v>49</v>
      </c>
      <c r="D242" s="249">
        <v>6</v>
      </c>
      <c r="F242" s="249" t="s">
        <v>20157</v>
      </c>
    </row>
    <row r="243" spans="1:6" x14ac:dyDescent="0.25">
      <c r="A243" s="249" t="s">
        <v>277</v>
      </c>
      <c r="B243" s="249">
        <v>18.25</v>
      </c>
      <c r="C243" s="249">
        <v>49</v>
      </c>
      <c r="D243" s="249">
        <v>7</v>
      </c>
      <c r="F243" s="249" t="s">
        <v>20158</v>
      </c>
    </row>
    <row r="244" spans="1:6" ht="15.75" x14ac:dyDescent="0.25">
      <c r="A244" s="703" t="s">
        <v>415</v>
      </c>
      <c r="B244" s="703">
        <v>18.75</v>
      </c>
      <c r="C244" s="703">
        <v>50</v>
      </c>
      <c r="D244" s="703">
        <v>1</v>
      </c>
      <c r="E244" s="703" t="s">
        <v>19880</v>
      </c>
      <c r="F244" s="703" t="s">
        <v>20159</v>
      </c>
    </row>
    <row r="245" spans="1:6" x14ac:dyDescent="0.25">
      <c r="A245" s="249" t="s">
        <v>368</v>
      </c>
      <c r="B245" s="249">
        <v>21.5</v>
      </c>
      <c r="C245" s="249">
        <v>50</v>
      </c>
      <c r="D245" s="249">
        <v>2</v>
      </c>
      <c r="F245" s="249" t="s">
        <v>20160</v>
      </c>
    </row>
    <row r="246" spans="1:6" x14ac:dyDescent="0.25">
      <c r="A246" s="249" t="s">
        <v>333</v>
      </c>
      <c r="B246" s="249">
        <v>18.75</v>
      </c>
      <c r="C246" s="249">
        <v>50</v>
      </c>
      <c r="D246" s="249">
        <v>3</v>
      </c>
      <c r="F246" s="249" t="s">
        <v>20161</v>
      </c>
    </row>
    <row r="247" spans="1:6" x14ac:dyDescent="0.25">
      <c r="A247" s="249" t="s">
        <v>263</v>
      </c>
      <c r="B247" s="249">
        <v>23.25</v>
      </c>
      <c r="C247" s="249">
        <v>50</v>
      </c>
      <c r="D247" s="249">
        <v>4</v>
      </c>
      <c r="F247" s="249" t="s">
        <v>20162</v>
      </c>
    </row>
    <row r="248" spans="1:6" x14ac:dyDescent="0.25">
      <c r="A248" s="249" t="s">
        <v>8728</v>
      </c>
      <c r="B248" s="249">
        <v>23</v>
      </c>
      <c r="C248" s="249">
        <v>50</v>
      </c>
      <c r="D248" s="249">
        <v>5</v>
      </c>
      <c r="F248" s="249" t="s">
        <v>20163</v>
      </c>
    </row>
    <row r="249" spans="1:6" x14ac:dyDescent="0.25">
      <c r="A249" s="249" t="s">
        <v>65</v>
      </c>
      <c r="B249" s="249">
        <v>18.5</v>
      </c>
      <c r="C249" s="249">
        <v>50</v>
      </c>
      <c r="D249" s="249">
        <v>6</v>
      </c>
      <c r="F249" s="249" t="s">
        <v>20164</v>
      </c>
    </row>
    <row r="250" spans="1:6" x14ac:dyDescent="0.25">
      <c r="A250" s="249" t="s">
        <v>40</v>
      </c>
      <c r="B250" s="249">
        <v>24.25</v>
      </c>
      <c r="C250" s="249">
        <v>50</v>
      </c>
      <c r="D250" s="249">
        <v>7</v>
      </c>
      <c r="F250" s="249" t="s">
        <v>20165</v>
      </c>
    </row>
    <row r="251" spans="1:6" x14ac:dyDescent="0.25">
      <c r="A251" s="249" t="s">
        <v>18</v>
      </c>
      <c r="B251" s="249">
        <v>20</v>
      </c>
      <c r="C251" s="249">
        <v>50</v>
      </c>
      <c r="D251" s="249">
        <v>8</v>
      </c>
      <c r="F251" s="249" t="s">
        <v>20166</v>
      </c>
    </row>
    <row r="252" spans="1:6" ht="15.75" x14ac:dyDescent="0.25">
      <c r="A252" s="703" t="s">
        <v>40</v>
      </c>
      <c r="B252" s="703">
        <v>24.25</v>
      </c>
      <c r="C252" s="703">
        <v>52</v>
      </c>
      <c r="D252" s="703">
        <v>1</v>
      </c>
      <c r="E252" s="703" t="s">
        <v>19881</v>
      </c>
      <c r="F252" s="703" t="s">
        <v>20167</v>
      </c>
    </row>
    <row r="253" spans="1:6" x14ac:dyDescent="0.25">
      <c r="A253" s="249" t="s">
        <v>263</v>
      </c>
      <c r="B253" s="249">
        <v>23.25</v>
      </c>
      <c r="C253" s="249">
        <v>52</v>
      </c>
      <c r="D253" s="249">
        <v>2</v>
      </c>
      <c r="F253" s="249" t="s">
        <v>20168</v>
      </c>
    </row>
    <row r="254" spans="1:6" x14ac:dyDescent="0.25">
      <c r="A254" s="249" t="s">
        <v>8728</v>
      </c>
      <c r="B254" s="249">
        <v>23</v>
      </c>
      <c r="C254" s="249">
        <v>52</v>
      </c>
      <c r="D254" s="249">
        <v>3</v>
      </c>
      <c r="F254" s="249" t="s">
        <v>20169</v>
      </c>
    </row>
    <row r="255" spans="1:6" x14ac:dyDescent="0.25">
      <c r="A255" s="249" t="s">
        <v>368</v>
      </c>
      <c r="B255" s="249">
        <v>21.5</v>
      </c>
      <c r="C255" s="249">
        <v>52</v>
      </c>
      <c r="D255" s="249">
        <v>4</v>
      </c>
      <c r="F255" s="249" t="s">
        <v>20170</v>
      </c>
    </row>
    <row r="256" spans="1:6" x14ac:dyDescent="0.25">
      <c r="A256" s="249" t="s">
        <v>18</v>
      </c>
      <c r="B256" s="249">
        <v>20</v>
      </c>
      <c r="C256" s="249">
        <v>52</v>
      </c>
      <c r="D256" s="249">
        <v>5</v>
      </c>
      <c r="F256" s="249" t="s">
        <v>20171</v>
      </c>
    </row>
    <row r="257" spans="1:6" x14ac:dyDescent="0.25">
      <c r="A257" s="249" t="s">
        <v>415</v>
      </c>
      <c r="B257" s="249">
        <v>18.75</v>
      </c>
      <c r="C257" s="249">
        <v>52</v>
      </c>
      <c r="D257" s="249">
        <v>6</v>
      </c>
      <c r="F257" s="249" t="s">
        <v>20172</v>
      </c>
    </row>
    <row r="258" spans="1:6" x14ac:dyDescent="0.25">
      <c r="A258" s="249" t="s">
        <v>333</v>
      </c>
      <c r="B258" s="249">
        <v>18.75</v>
      </c>
      <c r="C258" s="249">
        <v>52</v>
      </c>
      <c r="D258" s="249">
        <v>7</v>
      </c>
      <c r="F258" s="249" t="s">
        <v>20173</v>
      </c>
    </row>
    <row r="259" spans="1:6" x14ac:dyDescent="0.25">
      <c r="A259" s="249" t="s">
        <v>65</v>
      </c>
      <c r="B259" s="249">
        <v>18.5</v>
      </c>
      <c r="C259" s="249">
        <v>52</v>
      </c>
      <c r="D259" s="249">
        <v>8</v>
      </c>
      <c r="F259" s="249" t="s">
        <v>20174</v>
      </c>
    </row>
    <row r="260" spans="1:6" ht="15.75" x14ac:dyDescent="0.25">
      <c r="A260" s="703" t="s">
        <v>5489</v>
      </c>
      <c r="B260" s="703">
        <v>21</v>
      </c>
      <c r="C260" s="703">
        <v>53</v>
      </c>
      <c r="D260" s="703">
        <v>1</v>
      </c>
      <c r="E260" s="703" t="s">
        <v>19882</v>
      </c>
      <c r="F260" s="703" t="s">
        <v>20175</v>
      </c>
    </row>
    <row r="261" spans="1:6" x14ac:dyDescent="0.25">
      <c r="A261" s="249" t="s">
        <v>361</v>
      </c>
      <c r="B261" s="249">
        <v>20.75</v>
      </c>
      <c r="C261" s="249">
        <v>53</v>
      </c>
      <c r="D261" s="249">
        <v>2</v>
      </c>
      <c r="F261" s="249" t="s">
        <v>20176</v>
      </c>
    </row>
    <row r="262" spans="1:6" x14ac:dyDescent="0.25">
      <c r="A262" s="249" t="s">
        <v>347</v>
      </c>
      <c r="B262" s="249">
        <v>21.25</v>
      </c>
      <c r="C262" s="249">
        <v>53</v>
      </c>
      <c r="D262" s="249">
        <v>3</v>
      </c>
      <c r="F262" s="249" t="s">
        <v>20177</v>
      </c>
    </row>
    <row r="263" spans="1:6" x14ac:dyDescent="0.25">
      <c r="A263" s="249" t="s">
        <v>337</v>
      </c>
      <c r="B263" s="249">
        <v>21.25</v>
      </c>
      <c r="C263" s="249">
        <v>53</v>
      </c>
      <c r="D263" s="249">
        <v>4</v>
      </c>
      <c r="F263" s="249" t="s">
        <v>20178</v>
      </c>
    </row>
    <row r="264" spans="1:6" x14ac:dyDescent="0.25">
      <c r="A264" s="249" t="s">
        <v>279</v>
      </c>
      <c r="B264" s="249">
        <v>19.25</v>
      </c>
      <c r="C264" s="249">
        <v>53</v>
      </c>
      <c r="D264" s="249">
        <v>5</v>
      </c>
      <c r="F264" s="249" t="s">
        <v>20179</v>
      </c>
    </row>
    <row r="265" spans="1:6" x14ac:dyDescent="0.25">
      <c r="A265" s="249" t="s">
        <v>95</v>
      </c>
      <c r="B265" s="249">
        <v>21.5</v>
      </c>
      <c r="C265" s="249">
        <v>53</v>
      </c>
      <c r="D265" s="249">
        <v>6</v>
      </c>
      <c r="F265" s="249" t="s">
        <v>20180</v>
      </c>
    </row>
    <row r="266" spans="1:6" x14ac:dyDescent="0.25">
      <c r="A266" s="249" t="s">
        <v>42</v>
      </c>
      <c r="B266" s="249">
        <v>21.5</v>
      </c>
      <c r="C266" s="249">
        <v>53</v>
      </c>
      <c r="D266" s="249">
        <v>7</v>
      </c>
      <c r="F266" s="249" t="s">
        <v>20181</v>
      </c>
    </row>
    <row r="267" spans="1:6" x14ac:dyDescent="0.25">
      <c r="A267" s="249" t="s">
        <v>15</v>
      </c>
      <c r="B267" s="249">
        <v>21.5</v>
      </c>
      <c r="C267" s="249">
        <v>53</v>
      </c>
      <c r="D267" s="249">
        <v>8</v>
      </c>
      <c r="F267" s="249" t="s">
        <v>20182</v>
      </c>
    </row>
    <row r="268" spans="1:6" ht="15.75" x14ac:dyDescent="0.25">
      <c r="A268" s="703" t="s">
        <v>95</v>
      </c>
      <c r="B268" s="703">
        <v>21.5</v>
      </c>
      <c r="C268" s="703">
        <v>55</v>
      </c>
      <c r="D268" s="703">
        <v>1</v>
      </c>
      <c r="E268" s="703" t="s">
        <v>19883</v>
      </c>
      <c r="F268" s="703" t="s">
        <v>20183</v>
      </c>
    </row>
    <row r="269" spans="1:6" x14ac:dyDescent="0.25">
      <c r="A269" s="249" t="s">
        <v>42</v>
      </c>
      <c r="B269" s="249">
        <v>21.5</v>
      </c>
      <c r="C269" s="249">
        <v>55</v>
      </c>
      <c r="D269" s="249">
        <v>2</v>
      </c>
      <c r="F269" s="249" t="s">
        <v>20184</v>
      </c>
    </row>
    <row r="270" spans="1:6" x14ac:dyDescent="0.25">
      <c r="A270" s="249" t="s">
        <v>15</v>
      </c>
      <c r="B270" s="249">
        <v>21.5</v>
      </c>
      <c r="C270" s="249">
        <v>55</v>
      </c>
      <c r="D270" s="249">
        <v>3</v>
      </c>
      <c r="F270" s="249" t="s">
        <v>20185</v>
      </c>
    </row>
    <row r="271" spans="1:6" x14ac:dyDescent="0.25">
      <c r="A271" s="249" t="s">
        <v>347</v>
      </c>
      <c r="B271" s="249">
        <v>21.25</v>
      </c>
      <c r="C271" s="249">
        <v>55</v>
      </c>
      <c r="D271" s="249">
        <v>4</v>
      </c>
      <c r="F271" s="249" t="s">
        <v>20186</v>
      </c>
    </row>
    <row r="272" spans="1:6" x14ac:dyDescent="0.25">
      <c r="A272" s="249" t="s">
        <v>337</v>
      </c>
      <c r="B272" s="249">
        <v>21.25</v>
      </c>
      <c r="C272" s="249">
        <v>55</v>
      </c>
      <c r="D272" s="249">
        <v>5</v>
      </c>
      <c r="F272" s="249" t="s">
        <v>20187</v>
      </c>
    </row>
    <row r="273" spans="1:6" x14ac:dyDescent="0.25">
      <c r="A273" s="249" t="s">
        <v>5489</v>
      </c>
      <c r="B273" s="249">
        <v>21</v>
      </c>
      <c r="C273" s="249">
        <v>55</v>
      </c>
      <c r="D273" s="249">
        <v>6</v>
      </c>
      <c r="F273" s="249" t="s">
        <v>20188</v>
      </c>
    </row>
    <row r="274" spans="1:6" x14ac:dyDescent="0.25">
      <c r="A274" s="249" t="s">
        <v>361</v>
      </c>
      <c r="B274" s="249">
        <v>20.75</v>
      </c>
      <c r="C274" s="249">
        <v>55</v>
      </c>
      <c r="D274" s="249">
        <v>7</v>
      </c>
      <c r="F274" s="249" t="s">
        <v>20189</v>
      </c>
    </row>
    <row r="275" spans="1:6" x14ac:dyDescent="0.25">
      <c r="A275" s="249" t="s">
        <v>279</v>
      </c>
      <c r="B275" s="249">
        <v>19.25</v>
      </c>
      <c r="C275" s="249">
        <v>55</v>
      </c>
      <c r="D275" s="249">
        <v>8</v>
      </c>
      <c r="F275" s="249" t="s">
        <v>20190</v>
      </c>
    </row>
    <row r="276" spans="1:6" ht="15.75" x14ac:dyDescent="0.25">
      <c r="A276" s="703" t="s">
        <v>5443</v>
      </c>
      <c r="B276" s="703">
        <v>35.25</v>
      </c>
      <c r="C276" s="703">
        <v>56</v>
      </c>
      <c r="D276" s="703">
        <v>1</v>
      </c>
      <c r="E276" s="703" t="s">
        <v>19884</v>
      </c>
      <c r="F276" s="703" t="s">
        <v>20191</v>
      </c>
    </row>
    <row r="277" spans="1:6" x14ac:dyDescent="0.25">
      <c r="A277" s="249" t="s">
        <v>5768</v>
      </c>
      <c r="B277" s="249">
        <v>35</v>
      </c>
      <c r="C277" s="249">
        <v>56</v>
      </c>
      <c r="D277" s="249">
        <v>2</v>
      </c>
      <c r="F277" s="249" t="s">
        <v>20192</v>
      </c>
    </row>
    <row r="278" spans="1:6" x14ac:dyDescent="0.25">
      <c r="A278" s="249" t="s">
        <v>4975</v>
      </c>
      <c r="B278" s="249">
        <v>35.25</v>
      </c>
      <c r="C278" s="249">
        <v>56</v>
      </c>
      <c r="D278" s="249">
        <v>3</v>
      </c>
      <c r="F278" s="249" t="s">
        <v>20193</v>
      </c>
    </row>
    <row r="279" spans="1:6" x14ac:dyDescent="0.25">
      <c r="A279" s="249" t="s">
        <v>4408</v>
      </c>
      <c r="B279" s="249">
        <v>35.25</v>
      </c>
      <c r="C279" s="249">
        <v>56</v>
      </c>
      <c r="D279" s="249">
        <v>4</v>
      </c>
      <c r="F279" s="249" t="s">
        <v>20194</v>
      </c>
    </row>
    <row r="280" spans="1:6" x14ac:dyDescent="0.25">
      <c r="A280" s="249" t="s">
        <v>4412</v>
      </c>
      <c r="B280" s="249">
        <v>27.25</v>
      </c>
      <c r="C280" s="249">
        <v>56</v>
      </c>
      <c r="D280" s="249">
        <v>5</v>
      </c>
      <c r="F280" s="249" t="s">
        <v>20195</v>
      </c>
    </row>
    <row r="281" spans="1:6" ht="15.75" x14ac:dyDescent="0.25">
      <c r="A281" s="703" t="s">
        <v>5443</v>
      </c>
      <c r="B281" s="703">
        <v>35.25</v>
      </c>
      <c r="C281" s="703">
        <v>57</v>
      </c>
      <c r="D281" s="703">
        <v>1</v>
      </c>
      <c r="E281" s="703" t="s">
        <v>19885</v>
      </c>
      <c r="F281" s="703" t="s">
        <v>20196</v>
      </c>
    </row>
    <row r="282" spans="1:6" x14ac:dyDescent="0.25">
      <c r="A282" s="249" t="s">
        <v>4975</v>
      </c>
      <c r="B282" s="249">
        <v>35.25</v>
      </c>
      <c r="C282" s="249">
        <v>57</v>
      </c>
      <c r="D282" s="249">
        <v>2</v>
      </c>
      <c r="F282" s="249" t="s">
        <v>20197</v>
      </c>
    </row>
    <row r="283" spans="1:6" x14ac:dyDescent="0.25">
      <c r="A283" s="249" t="s">
        <v>4408</v>
      </c>
      <c r="B283" s="249">
        <v>35.25</v>
      </c>
      <c r="C283" s="249">
        <v>57</v>
      </c>
      <c r="D283" s="249">
        <v>3</v>
      </c>
      <c r="F283" s="249" t="s">
        <v>20198</v>
      </c>
    </row>
    <row r="284" spans="1:6" x14ac:dyDescent="0.25">
      <c r="A284" s="249" t="s">
        <v>5768</v>
      </c>
      <c r="B284" s="249">
        <v>35</v>
      </c>
      <c r="C284" s="249">
        <v>57</v>
      </c>
      <c r="D284" s="249">
        <v>4</v>
      </c>
      <c r="F284" s="249" t="s">
        <v>20199</v>
      </c>
    </row>
    <row r="285" spans="1:6" x14ac:dyDescent="0.25">
      <c r="A285" s="249" t="s">
        <v>4412</v>
      </c>
      <c r="B285" s="249">
        <v>27.25</v>
      </c>
      <c r="C285" s="249">
        <v>57</v>
      </c>
      <c r="D285" s="249">
        <v>5</v>
      </c>
      <c r="F285" s="249" t="s">
        <v>20200</v>
      </c>
    </row>
    <row r="286" spans="1:6" ht="15.75" x14ac:dyDescent="0.25">
      <c r="A286" s="703" t="s">
        <v>252</v>
      </c>
      <c r="B286" s="703">
        <v>35</v>
      </c>
      <c r="C286" s="703">
        <v>58</v>
      </c>
      <c r="D286" s="703">
        <v>1</v>
      </c>
      <c r="E286" s="703" t="s">
        <v>19886</v>
      </c>
      <c r="F286" s="703" t="s">
        <v>20201</v>
      </c>
    </row>
    <row r="287" spans="1:6" x14ac:dyDescent="0.25">
      <c r="A287" s="249" t="s">
        <v>232</v>
      </c>
      <c r="B287" s="249">
        <v>27.25</v>
      </c>
      <c r="C287" s="249">
        <v>58</v>
      </c>
      <c r="D287" s="249">
        <v>2</v>
      </c>
      <c r="F287" s="249" t="s">
        <v>20202</v>
      </c>
    </row>
    <row r="288" spans="1:6" x14ac:dyDescent="0.25">
      <c r="A288" s="249" t="s">
        <v>4436</v>
      </c>
      <c r="B288" s="249">
        <v>35.25</v>
      </c>
      <c r="C288" s="249">
        <v>58</v>
      </c>
      <c r="D288" s="249">
        <v>3</v>
      </c>
      <c r="F288" s="249" t="s">
        <v>20203</v>
      </c>
    </row>
    <row r="289" spans="1:6" x14ac:dyDescent="0.25">
      <c r="A289" s="249" t="s">
        <v>4793</v>
      </c>
      <c r="B289" s="249">
        <v>35.25</v>
      </c>
      <c r="C289" s="249">
        <v>58</v>
      </c>
      <c r="D289" s="249">
        <v>4</v>
      </c>
      <c r="F289" s="249" t="s">
        <v>20204</v>
      </c>
    </row>
    <row r="290" spans="1:6" x14ac:dyDescent="0.25">
      <c r="A290" s="249" t="s">
        <v>4572</v>
      </c>
      <c r="B290" s="249">
        <v>35.25</v>
      </c>
      <c r="C290" s="249">
        <v>58</v>
      </c>
      <c r="D290" s="249">
        <v>5</v>
      </c>
      <c r="F290" s="249" t="s">
        <v>20205</v>
      </c>
    </row>
    <row r="291" spans="1:6" ht="15.75" x14ac:dyDescent="0.25">
      <c r="A291" s="703" t="s">
        <v>4436</v>
      </c>
      <c r="B291" s="703">
        <v>35.25</v>
      </c>
      <c r="C291" s="703">
        <v>59</v>
      </c>
      <c r="D291" s="703">
        <v>1</v>
      </c>
      <c r="E291" s="703" t="s">
        <v>19887</v>
      </c>
      <c r="F291" s="703" t="s">
        <v>20206</v>
      </c>
    </row>
    <row r="292" spans="1:6" x14ac:dyDescent="0.25">
      <c r="A292" s="249" t="s">
        <v>4793</v>
      </c>
      <c r="B292" s="249">
        <v>35.25</v>
      </c>
      <c r="C292" s="249">
        <v>59</v>
      </c>
      <c r="D292" s="249">
        <v>2</v>
      </c>
      <c r="F292" s="249" t="s">
        <v>20207</v>
      </c>
    </row>
    <row r="293" spans="1:6" x14ac:dyDescent="0.25">
      <c r="A293" s="249" t="s">
        <v>4572</v>
      </c>
      <c r="B293" s="249">
        <v>35.25</v>
      </c>
      <c r="C293" s="249">
        <v>59</v>
      </c>
      <c r="D293" s="249">
        <v>3</v>
      </c>
      <c r="F293" s="249" t="s">
        <v>20208</v>
      </c>
    </row>
    <row r="294" spans="1:6" x14ac:dyDescent="0.25">
      <c r="A294" s="249" t="s">
        <v>252</v>
      </c>
      <c r="B294" s="249">
        <v>35</v>
      </c>
      <c r="C294" s="249">
        <v>59</v>
      </c>
      <c r="D294" s="249">
        <v>4</v>
      </c>
      <c r="F294" s="249" t="s">
        <v>20209</v>
      </c>
    </row>
    <row r="295" spans="1:6" x14ac:dyDescent="0.25">
      <c r="A295" s="249" t="s">
        <v>232</v>
      </c>
      <c r="B295" s="249">
        <v>27.25</v>
      </c>
      <c r="C295" s="249">
        <v>59</v>
      </c>
      <c r="D295" s="249">
        <v>5</v>
      </c>
      <c r="F295" s="249" t="s">
        <v>20210</v>
      </c>
    </row>
    <row r="296" spans="1:6" ht="15.75" x14ac:dyDescent="0.25">
      <c r="A296" s="703" t="s">
        <v>5221</v>
      </c>
      <c r="B296" s="703">
        <v>34.75</v>
      </c>
      <c r="C296" s="703">
        <v>60</v>
      </c>
      <c r="D296" s="703">
        <v>1</v>
      </c>
      <c r="E296" s="703" t="s">
        <v>19888</v>
      </c>
      <c r="F296" s="703" t="s">
        <v>20211</v>
      </c>
    </row>
    <row r="297" spans="1:6" x14ac:dyDescent="0.25">
      <c r="A297" s="249" t="s">
        <v>5419</v>
      </c>
      <c r="B297" s="249">
        <v>35</v>
      </c>
      <c r="C297" s="249">
        <v>60</v>
      </c>
      <c r="D297" s="249">
        <v>2</v>
      </c>
      <c r="F297" s="249" t="s">
        <v>20212</v>
      </c>
    </row>
    <row r="298" spans="1:6" x14ac:dyDescent="0.25">
      <c r="A298" s="249" t="s">
        <v>4896</v>
      </c>
      <c r="B298" s="249">
        <v>35</v>
      </c>
      <c r="C298" s="249">
        <v>60</v>
      </c>
      <c r="D298" s="249">
        <v>3</v>
      </c>
      <c r="F298" s="249" t="s">
        <v>20213</v>
      </c>
    </row>
    <row r="299" spans="1:6" x14ac:dyDescent="0.25">
      <c r="A299" s="249" t="s">
        <v>204</v>
      </c>
      <c r="B299" s="249">
        <v>35</v>
      </c>
      <c r="C299" s="249">
        <v>60</v>
      </c>
      <c r="D299" s="249">
        <v>4</v>
      </c>
      <c r="F299" s="249" t="s">
        <v>20214</v>
      </c>
    </row>
    <row r="300" spans="1:6" x14ac:dyDescent="0.25">
      <c r="A300" s="249" t="s">
        <v>5737</v>
      </c>
      <c r="B300" s="249">
        <v>28.25</v>
      </c>
      <c r="C300" s="249">
        <v>60</v>
      </c>
      <c r="D300" s="249">
        <v>5</v>
      </c>
      <c r="F300" s="249" t="s">
        <v>20215</v>
      </c>
    </row>
    <row r="301" spans="1:6" ht="15.75" x14ac:dyDescent="0.25">
      <c r="A301" s="703" t="s">
        <v>5419</v>
      </c>
      <c r="B301" s="703">
        <v>35</v>
      </c>
      <c r="C301" s="703">
        <v>61</v>
      </c>
      <c r="D301" s="703">
        <v>1</v>
      </c>
      <c r="E301" s="703" t="s">
        <v>19889</v>
      </c>
      <c r="F301" s="703" t="s">
        <v>20216</v>
      </c>
    </row>
    <row r="302" spans="1:6" x14ac:dyDescent="0.25">
      <c r="A302" s="249" t="s">
        <v>4896</v>
      </c>
      <c r="B302" s="249">
        <v>35</v>
      </c>
      <c r="C302" s="249">
        <v>61</v>
      </c>
      <c r="D302" s="249">
        <v>2</v>
      </c>
      <c r="F302" s="249" t="s">
        <v>20217</v>
      </c>
    </row>
    <row r="303" spans="1:6" x14ac:dyDescent="0.25">
      <c r="A303" s="249" t="s">
        <v>204</v>
      </c>
      <c r="B303" s="249">
        <v>35</v>
      </c>
      <c r="C303" s="249">
        <v>61</v>
      </c>
      <c r="D303" s="249">
        <v>3</v>
      </c>
      <c r="F303" s="249" t="s">
        <v>20218</v>
      </c>
    </row>
    <row r="304" spans="1:6" x14ac:dyDescent="0.25">
      <c r="A304" s="249" t="s">
        <v>5221</v>
      </c>
      <c r="B304" s="249">
        <v>34.75</v>
      </c>
      <c r="C304" s="249">
        <v>61</v>
      </c>
      <c r="D304" s="249">
        <v>4</v>
      </c>
      <c r="F304" s="249" t="s">
        <v>20219</v>
      </c>
    </row>
    <row r="305" spans="1:6" x14ac:dyDescent="0.25">
      <c r="A305" s="249" t="s">
        <v>5737</v>
      </c>
      <c r="B305" s="249">
        <v>28.25</v>
      </c>
      <c r="C305" s="249">
        <v>61</v>
      </c>
      <c r="D305" s="249">
        <v>5</v>
      </c>
      <c r="F305" s="249" t="s">
        <v>20220</v>
      </c>
    </row>
    <row r="306" spans="1:6" ht="15.75" x14ac:dyDescent="0.25">
      <c r="A306" s="703" t="s">
        <v>3856</v>
      </c>
      <c r="B306" s="703">
        <v>28.5</v>
      </c>
      <c r="C306" s="703">
        <v>62</v>
      </c>
      <c r="D306" s="703">
        <v>1</v>
      </c>
      <c r="E306" s="703" t="s">
        <v>19890</v>
      </c>
      <c r="F306" s="703" t="s">
        <v>20221</v>
      </c>
    </row>
    <row r="307" spans="1:6" x14ac:dyDescent="0.25">
      <c r="A307" s="249" t="s">
        <v>5130</v>
      </c>
      <c r="B307" s="249">
        <v>35</v>
      </c>
      <c r="C307" s="249">
        <v>62</v>
      </c>
      <c r="D307" s="249">
        <v>2</v>
      </c>
      <c r="F307" s="249" t="s">
        <v>20222</v>
      </c>
    </row>
    <row r="308" spans="1:6" x14ac:dyDescent="0.25">
      <c r="A308" s="249" t="s">
        <v>4985</v>
      </c>
      <c r="B308" s="249">
        <v>34.75</v>
      </c>
      <c r="C308" s="249">
        <v>62</v>
      </c>
      <c r="D308" s="249">
        <v>3</v>
      </c>
      <c r="F308" s="249" t="s">
        <v>20223</v>
      </c>
    </row>
    <row r="309" spans="1:6" x14ac:dyDescent="0.25">
      <c r="A309" s="249" t="s">
        <v>5762</v>
      </c>
      <c r="B309" s="249">
        <v>34.75</v>
      </c>
      <c r="C309" s="249">
        <v>62</v>
      </c>
      <c r="D309" s="249">
        <v>4</v>
      </c>
      <c r="F309" s="249" t="s">
        <v>20224</v>
      </c>
    </row>
    <row r="310" spans="1:6" x14ac:dyDescent="0.25">
      <c r="A310" s="249" t="s">
        <v>5457</v>
      </c>
      <c r="B310" s="249">
        <v>35</v>
      </c>
      <c r="C310" s="249">
        <v>62</v>
      </c>
      <c r="D310" s="249">
        <v>5</v>
      </c>
      <c r="F310" s="249" t="s">
        <v>20225</v>
      </c>
    </row>
    <row r="311" spans="1:6" ht="15.75" x14ac:dyDescent="0.25">
      <c r="A311" s="703" t="s">
        <v>5130</v>
      </c>
      <c r="B311" s="703">
        <v>35</v>
      </c>
      <c r="C311" s="703">
        <v>63</v>
      </c>
      <c r="D311" s="703">
        <v>1</v>
      </c>
      <c r="E311" s="703" t="s">
        <v>19891</v>
      </c>
      <c r="F311" s="703" t="s">
        <v>20226</v>
      </c>
    </row>
    <row r="312" spans="1:6" x14ac:dyDescent="0.25">
      <c r="A312" s="249" t="s">
        <v>5457</v>
      </c>
      <c r="B312" s="249">
        <v>35</v>
      </c>
      <c r="C312" s="249">
        <v>63</v>
      </c>
      <c r="D312" s="249">
        <v>2</v>
      </c>
      <c r="F312" s="249" t="s">
        <v>20227</v>
      </c>
    </row>
    <row r="313" spans="1:6" x14ac:dyDescent="0.25">
      <c r="A313" s="249" t="s">
        <v>4985</v>
      </c>
      <c r="B313" s="249">
        <v>34.75</v>
      </c>
      <c r="C313" s="249">
        <v>63</v>
      </c>
      <c r="D313" s="249">
        <v>3</v>
      </c>
      <c r="F313" s="249" t="s">
        <v>20228</v>
      </c>
    </row>
    <row r="314" spans="1:6" x14ac:dyDescent="0.25">
      <c r="A314" s="249" t="s">
        <v>5762</v>
      </c>
      <c r="B314" s="249">
        <v>34.75</v>
      </c>
      <c r="C314" s="249">
        <v>63</v>
      </c>
      <c r="D314" s="249">
        <v>4</v>
      </c>
      <c r="F314" s="249" t="s">
        <v>20229</v>
      </c>
    </row>
    <row r="315" spans="1:6" x14ac:dyDescent="0.25">
      <c r="A315" s="249" t="s">
        <v>3856</v>
      </c>
      <c r="B315" s="249">
        <v>28.5</v>
      </c>
      <c r="C315" s="249">
        <v>63</v>
      </c>
      <c r="D315" s="249">
        <v>5</v>
      </c>
      <c r="F315" s="249" t="s">
        <v>20230</v>
      </c>
    </row>
    <row r="316" spans="1:6" ht="15.75" x14ac:dyDescent="0.25">
      <c r="A316" s="703" t="s">
        <v>4828</v>
      </c>
      <c r="B316" s="703">
        <v>33.25</v>
      </c>
      <c r="C316" s="703">
        <v>64</v>
      </c>
      <c r="D316" s="703">
        <v>1</v>
      </c>
      <c r="E316" s="703" t="s">
        <v>19892</v>
      </c>
      <c r="F316" s="703" t="s">
        <v>20231</v>
      </c>
    </row>
    <row r="317" spans="1:6" x14ac:dyDescent="0.25">
      <c r="A317" s="249" t="s">
        <v>5663</v>
      </c>
      <c r="B317" s="249">
        <v>34.5</v>
      </c>
      <c r="C317" s="249">
        <v>64</v>
      </c>
      <c r="D317" s="249">
        <v>2</v>
      </c>
      <c r="F317" s="249" t="s">
        <v>20232</v>
      </c>
    </row>
    <row r="318" spans="1:6" x14ac:dyDescent="0.25">
      <c r="A318" s="249" t="s">
        <v>5465</v>
      </c>
      <c r="B318" s="249">
        <v>34.5</v>
      </c>
      <c r="C318" s="249">
        <v>64</v>
      </c>
      <c r="D318" s="249">
        <v>3</v>
      </c>
      <c r="F318" s="249" t="s">
        <v>20233</v>
      </c>
    </row>
    <row r="319" spans="1:6" x14ac:dyDescent="0.25">
      <c r="A319" s="249" t="s">
        <v>5509</v>
      </c>
      <c r="B319" s="249">
        <v>34.5</v>
      </c>
      <c r="C319" s="249">
        <v>64</v>
      </c>
      <c r="D319" s="249">
        <v>4</v>
      </c>
      <c r="F319" s="249" t="s">
        <v>20234</v>
      </c>
    </row>
    <row r="320" spans="1:6" x14ac:dyDescent="0.25">
      <c r="A320" s="249" t="s">
        <v>5454</v>
      </c>
      <c r="B320" s="249">
        <v>31.25</v>
      </c>
      <c r="C320" s="249">
        <v>64</v>
      </c>
      <c r="D320" s="249">
        <v>5</v>
      </c>
      <c r="F320" s="249" t="s">
        <v>20235</v>
      </c>
    </row>
    <row r="321" spans="1:6" ht="15.75" x14ac:dyDescent="0.25">
      <c r="A321" s="703" t="s">
        <v>5663</v>
      </c>
      <c r="B321" s="703">
        <v>34.5</v>
      </c>
      <c r="C321" s="703">
        <v>65</v>
      </c>
      <c r="D321" s="703">
        <v>1</v>
      </c>
      <c r="E321" s="703" t="s">
        <v>19893</v>
      </c>
      <c r="F321" s="703" t="s">
        <v>20236</v>
      </c>
    </row>
    <row r="322" spans="1:6" x14ac:dyDescent="0.25">
      <c r="A322" s="249" t="s">
        <v>5465</v>
      </c>
      <c r="B322" s="249">
        <v>34.5</v>
      </c>
      <c r="C322" s="249">
        <v>65</v>
      </c>
      <c r="D322" s="249">
        <v>2</v>
      </c>
      <c r="F322" s="249" t="s">
        <v>20237</v>
      </c>
    </row>
    <row r="323" spans="1:6" x14ac:dyDescent="0.25">
      <c r="A323" s="249" t="s">
        <v>5509</v>
      </c>
      <c r="B323" s="249">
        <v>34.5</v>
      </c>
      <c r="C323" s="249">
        <v>65</v>
      </c>
      <c r="D323" s="249">
        <v>3</v>
      </c>
      <c r="F323" s="249" t="s">
        <v>20238</v>
      </c>
    </row>
    <row r="324" spans="1:6" x14ac:dyDescent="0.25">
      <c r="A324" s="249" t="s">
        <v>4828</v>
      </c>
      <c r="B324" s="249">
        <v>33.25</v>
      </c>
      <c r="C324" s="249">
        <v>65</v>
      </c>
      <c r="D324" s="249">
        <v>4</v>
      </c>
      <c r="F324" s="249" t="s">
        <v>20239</v>
      </c>
    </row>
    <row r="325" spans="1:6" x14ac:dyDescent="0.25">
      <c r="A325" s="249" t="s">
        <v>5454</v>
      </c>
      <c r="B325" s="249">
        <v>31.25</v>
      </c>
      <c r="C325" s="249">
        <v>65</v>
      </c>
      <c r="D325" s="249">
        <v>5</v>
      </c>
      <c r="F325" s="249" t="s">
        <v>20240</v>
      </c>
    </row>
    <row r="326" spans="1:6" ht="15.75" x14ac:dyDescent="0.25">
      <c r="A326" s="703" t="s">
        <v>5317</v>
      </c>
      <c r="B326" s="703">
        <v>33</v>
      </c>
      <c r="C326" s="703">
        <v>66</v>
      </c>
      <c r="D326" s="703">
        <v>1</v>
      </c>
      <c r="E326" s="703" t="s">
        <v>19894</v>
      </c>
      <c r="F326" s="703" t="s">
        <v>20241</v>
      </c>
    </row>
    <row r="327" spans="1:6" x14ac:dyDescent="0.25">
      <c r="A327" s="249" t="s">
        <v>4987</v>
      </c>
      <c r="B327" s="249">
        <v>34.25</v>
      </c>
      <c r="C327" s="249">
        <v>66</v>
      </c>
      <c r="D327" s="249">
        <v>2</v>
      </c>
      <c r="F327" s="249" t="s">
        <v>20242</v>
      </c>
    </row>
    <row r="328" spans="1:6" x14ac:dyDescent="0.25">
      <c r="A328" s="249" t="s">
        <v>316</v>
      </c>
      <c r="B328" s="249">
        <v>34.25</v>
      </c>
      <c r="C328" s="249">
        <v>66</v>
      </c>
      <c r="D328" s="249">
        <v>3</v>
      </c>
      <c r="F328" s="249" t="s">
        <v>20243</v>
      </c>
    </row>
    <row r="329" spans="1:6" x14ac:dyDescent="0.25">
      <c r="A329" s="249" t="s">
        <v>3361</v>
      </c>
      <c r="B329" s="249">
        <v>34.25</v>
      </c>
      <c r="C329" s="249">
        <v>66</v>
      </c>
      <c r="D329" s="249">
        <v>4</v>
      </c>
      <c r="F329" s="249" t="s">
        <v>20244</v>
      </c>
    </row>
    <row r="330" spans="1:6" x14ac:dyDescent="0.25">
      <c r="A330" s="249" t="s">
        <v>3271</v>
      </c>
      <c r="B330" s="249">
        <v>32.25</v>
      </c>
      <c r="C330" s="249">
        <v>66</v>
      </c>
      <c r="D330" s="249">
        <v>5</v>
      </c>
      <c r="F330" s="249" t="s">
        <v>20245</v>
      </c>
    </row>
    <row r="331" spans="1:6" ht="15.75" x14ac:dyDescent="0.25">
      <c r="A331" s="703" t="s">
        <v>4987</v>
      </c>
      <c r="B331" s="703">
        <v>34.25</v>
      </c>
      <c r="C331" s="703">
        <v>67</v>
      </c>
      <c r="D331" s="703">
        <v>1</v>
      </c>
      <c r="E331" s="703" t="s">
        <v>19895</v>
      </c>
      <c r="F331" s="703" t="s">
        <v>20246</v>
      </c>
    </row>
    <row r="332" spans="1:6" x14ac:dyDescent="0.25">
      <c r="A332" s="249" t="s">
        <v>316</v>
      </c>
      <c r="B332" s="249">
        <v>34.25</v>
      </c>
      <c r="C332" s="249">
        <v>67</v>
      </c>
      <c r="D332" s="249">
        <v>2</v>
      </c>
      <c r="F332" s="249" t="s">
        <v>20247</v>
      </c>
    </row>
    <row r="333" spans="1:6" x14ac:dyDescent="0.25">
      <c r="A333" s="249" t="s">
        <v>3361</v>
      </c>
      <c r="B333" s="249">
        <v>34.25</v>
      </c>
      <c r="C333" s="249">
        <v>67</v>
      </c>
      <c r="D333" s="249">
        <v>3</v>
      </c>
      <c r="F333" s="249" t="s">
        <v>20248</v>
      </c>
    </row>
    <row r="334" spans="1:6" x14ac:dyDescent="0.25">
      <c r="A334" s="249" t="s">
        <v>5317</v>
      </c>
      <c r="B334" s="249">
        <v>33</v>
      </c>
      <c r="C334" s="249">
        <v>67</v>
      </c>
      <c r="D334" s="249">
        <v>4</v>
      </c>
      <c r="F334" s="249" t="s">
        <v>20249</v>
      </c>
    </row>
    <row r="335" spans="1:6" x14ac:dyDescent="0.25">
      <c r="A335" s="249" t="s">
        <v>3271</v>
      </c>
      <c r="B335" s="249">
        <v>32.25</v>
      </c>
      <c r="C335" s="249">
        <v>67</v>
      </c>
      <c r="D335" s="249">
        <v>5</v>
      </c>
      <c r="F335" s="249" t="s">
        <v>20250</v>
      </c>
    </row>
    <row r="336" spans="1:6" ht="15.75" x14ac:dyDescent="0.25">
      <c r="A336" s="703" t="s">
        <v>4814</v>
      </c>
      <c r="B336" s="703">
        <v>33.25</v>
      </c>
      <c r="C336" s="703">
        <v>68</v>
      </c>
      <c r="D336" s="703">
        <v>1</v>
      </c>
      <c r="E336" s="703" t="s">
        <v>19896</v>
      </c>
      <c r="F336" s="703" t="s">
        <v>20251</v>
      </c>
    </row>
    <row r="337" spans="1:6" x14ac:dyDescent="0.25">
      <c r="A337" s="249" t="s">
        <v>4349</v>
      </c>
      <c r="B337" s="249">
        <v>34</v>
      </c>
      <c r="C337" s="249">
        <v>68</v>
      </c>
      <c r="D337" s="249">
        <v>2</v>
      </c>
      <c r="F337" s="249" t="s">
        <v>20252</v>
      </c>
    </row>
    <row r="338" spans="1:6" x14ac:dyDescent="0.25">
      <c r="A338" s="249" t="s">
        <v>4735</v>
      </c>
      <c r="B338" s="249">
        <v>32.75</v>
      </c>
      <c r="C338" s="249">
        <v>68</v>
      </c>
      <c r="D338" s="249">
        <v>3</v>
      </c>
      <c r="F338" s="249" t="s">
        <v>20253</v>
      </c>
    </row>
    <row r="339" spans="1:6" x14ac:dyDescent="0.25">
      <c r="A339" s="249" t="s">
        <v>79</v>
      </c>
      <c r="B339" s="249">
        <v>34</v>
      </c>
      <c r="C339" s="249">
        <v>68</v>
      </c>
      <c r="D339" s="249">
        <v>4</v>
      </c>
      <c r="F339" s="249" t="s">
        <v>20254</v>
      </c>
    </row>
    <row r="340" spans="1:6" x14ac:dyDescent="0.25">
      <c r="A340" s="249" t="s">
        <v>5511</v>
      </c>
      <c r="B340" s="249">
        <v>34</v>
      </c>
      <c r="C340" s="249">
        <v>68</v>
      </c>
      <c r="D340" s="249">
        <v>5</v>
      </c>
      <c r="F340" s="249" t="s">
        <v>20255</v>
      </c>
    </row>
    <row r="341" spans="1:6" ht="15.75" x14ac:dyDescent="0.25">
      <c r="A341" s="703" t="s">
        <v>4349</v>
      </c>
      <c r="B341" s="703">
        <v>34</v>
      </c>
      <c r="C341" s="703">
        <v>69</v>
      </c>
      <c r="D341" s="703">
        <v>1</v>
      </c>
      <c r="E341" s="703" t="s">
        <v>19897</v>
      </c>
      <c r="F341" s="703" t="s">
        <v>20256</v>
      </c>
    </row>
    <row r="342" spans="1:6" x14ac:dyDescent="0.25">
      <c r="A342" s="249" t="s">
        <v>79</v>
      </c>
      <c r="B342" s="249">
        <v>34</v>
      </c>
      <c r="C342" s="249">
        <v>69</v>
      </c>
      <c r="D342" s="249">
        <v>2</v>
      </c>
      <c r="F342" s="249" t="s">
        <v>20257</v>
      </c>
    </row>
    <row r="343" spans="1:6" x14ac:dyDescent="0.25">
      <c r="A343" s="249" t="s">
        <v>5511</v>
      </c>
      <c r="B343" s="249">
        <v>34</v>
      </c>
      <c r="C343" s="249">
        <v>69</v>
      </c>
      <c r="D343" s="249">
        <v>3</v>
      </c>
      <c r="F343" s="249" t="s">
        <v>20258</v>
      </c>
    </row>
    <row r="344" spans="1:6" x14ac:dyDescent="0.25">
      <c r="A344" s="249" t="s">
        <v>4814</v>
      </c>
      <c r="B344" s="249">
        <v>33.25</v>
      </c>
      <c r="C344" s="249">
        <v>69</v>
      </c>
      <c r="D344" s="249">
        <v>4</v>
      </c>
      <c r="F344" s="249" t="s">
        <v>20259</v>
      </c>
    </row>
    <row r="345" spans="1:6" x14ac:dyDescent="0.25">
      <c r="A345" s="249" t="s">
        <v>4735</v>
      </c>
      <c r="B345" s="249">
        <v>32.75</v>
      </c>
      <c r="C345" s="249">
        <v>69</v>
      </c>
      <c r="D345" s="249">
        <v>5</v>
      </c>
      <c r="F345" s="249" t="s">
        <v>20260</v>
      </c>
    </row>
    <row r="346" spans="1:6" ht="15.75" x14ac:dyDescent="0.25">
      <c r="A346" s="703" t="s">
        <v>399</v>
      </c>
      <c r="B346" s="703">
        <v>33.25</v>
      </c>
      <c r="C346" s="703">
        <v>70</v>
      </c>
      <c r="D346" s="703">
        <v>1</v>
      </c>
      <c r="E346" s="703" t="s">
        <v>19898</v>
      </c>
      <c r="F346" s="703" t="s">
        <v>20261</v>
      </c>
    </row>
    <row r="347" spans="1:6" x14ac:dyDescent="0.25">
      <c r="A347" s="249" t="s">
        <v>5616</v>
      </c>
      <c r="B347" s="249">
        <v>33.25</v>
      </c>
      <c r="C347" s="249">
        <v>70</v>
      </c>
      <c r="D347" s="249">
        <v>2</v>
      </c>
      <c r="F347" s="249" t="s">
        <v>20262</v>
      </c>
    </row>
    <row r="348" spans="1:6" x14ac:dyDescent="0.25">
      <c r="A348" s="249" t="s">
        <v>2394</v>
      </c>
      <c r="B348" s="249">
        <v>33.25</v>
      </c>
      <c r="C348" s="249">
        <v>70</v>
      </c>
      <c r="D348" s="249">
        <v>3</v>
      </c>
      <c r="F348" s="249" t="s">
        <v>20263</v>
      </c>
    </row>
    <row r="349" spans="1:6" x14ac:dyDescent="0.25">
      <c r="A349" s="249" t="s">
        <v>5408</v>
      </c>
      <c r="B349" s="249">
        <v>18.75</v>
      </c>
      <c r="C349" s="249">
        <v>70</v>
      </c>
      <c r="D349" s="249">
        <v>4</v>
      </c>
      <c r="F349" s="249" t="s">
        <v>20264</v>
      </c>
    </row>
    <row r="350" spans="1:6" x14ac:dyDescent="0.25">
      <c r="A350" s="249" t="s">
        <v>4835</v>
      </c>
      <c r="B350" s="249">
        <v>15.5</v>
      </c>
      <c r="C350" s="249">
        <v>70</v>
      </c>
      <c r="D350" s="249">
        <v>5</v>
      </c>
      <c r="F350" s="249" t="s">
        <v>20265</v>
      </c>
    </row>
    <row r="351" spans="1:6" x14ac:dyDescent="0.25">
      <c r="A351" s="249" t="s">
        <v>14216</v>
      </c>
      <c r="B351" s="249">
        <v>34</v>
      </c>
      <c r="C351" s="249">
        <v>70</v>
      </c>
      <c r="D351" s="249">
        <v>6</v>
      </c>
      <c r="F351" s="249" t="s">
        <v>20266</v>
      </c>
    </row>
    <row r="352" spans="1:6" ht="15.75" x14ac:dyDescent="0.25">
      <c r="A352" s="703" t="s">
        <v>14216</v>
      </c>
      <c r="B352" s="703">
        <v>34</v>
      </c>
      <c r="C352" s="703">
        <v>71</v>
      </c>
      <c r="D352" s="703">
        <v>1</v>
      </c>
      <c r="E352" s="703" t="s">
        <v>19899</v>
      </c>
      <c r="F352" s="703" t="s">
        <v>20267</v>
      </c>
    </row>
    <row r="353" spans="1:6" x14ac:dyDescent="0.25">
      <c r="A353" s="249" t="s">
        <v>399</v>
      </c>
      <c r="B353" s="249">
        <v>33.25</v>
      </c>
      <c r="C353" s="249">
        <v>71</v>
      </c>
      <c r="D353" s="249">
        <v>2</v>
      </c>
      <c r="F353" s="249" t="s">
        <v>20268</v>
      </c>
    </row>
    <row r="354" spans="1:6" x14ac:dyDescent="0.25">
      <c r="A354" s="249" t="s">
        <v>5616</v>
      </c>
      <c r="B354" s="249">
        <v>33.25</v>
      </c>
      <c r="C354" s="249">
        <v>71</v>
      </c>
      <c r="D354" s="249">
        <v>3</v>
      </c>
      <c r="F354" s="249" t="s">
        <v>20269</v>
      </c>
    </row>
    <row r="355" spans="1:6" x14ac:dyDescent="0.25">
      <c r="A355" s="249" t="s">
        <v>2394</v>
      </c>
      <c r="B355" s="249">
        <v>33.25</v>
      </c>
      <c r="C355" s="249">
        <v>71</v>
      </c>
      <c r="D355" s="249">
        <v>4</v>
      </c>
      <c r="F355" s="249" t="s">
        <v>20270</v>
      </c>
    </row>
    <row r="356" spans="1:6" x14ac:dyDescent="0.25">
      <c r="A356" s="249" t="s">
        <v>5408</v>
      </c>
      <c r="B356" s="249">
        <v>18.75</v>
      </c>
      <c r="C356" s="249">
        <v>71</v>
      </c>
      <c r="D356" s="249">
        <v>5</v>
      </c>
      <c r="F356" s="249" t="s">
        <v>20271</v>
      </c>
    </row>
    <row r="357" spans="1:6" x14ac:dyDescent="0.25">
      <c r="A357" s="249" t="s">
        <v>4835</v>
      </c>
      <c r="B357" s="249">
        <v>15.5</v>
      </c>
      <c r="C357" s="249">
        <v>71</v>
      </c>
      <c r="D357" s="249">
        <v>6</v>
      </c>
      <c r="F357" s="249" t="s">
        <v>20272</v>
      </c>
    </row>
    <row r="358" spans="1:6" ht="15.75" x14ac:dyDescent="0.25">
      <c r="A358" s="703" t="s">
        <v>414</v>
      </c>
      <c r="B358" s="703">
        <v>22.75</v>
      </c>
      <c r="C358" s="703">
        <v>72</v>
      </c>
      <c r="D358" s="703">
        <v>1</v>
      </c>
      <c r="E358" s="703" t="s">
        <v>19900</v>
      </c>
      <c r="F358" s="703" t="s">
        <v>20273</v>
      </c>
    </row>
    <row r="359" spans="1:6" x14ac:dyDescent="0.25">
      <c r="A359" s="249" t="s">
        <v>345</v>
      </c>
      <c r="B359" s="249">
        <v>17</v>
      </c>
      <c r="C359" s="249">
        <v>72</v>
      </c>
      <c r="D359" s="249">
        <v>2</v>
      </c>
      <c r="F359" s="249" t="s">
        <v>20274</v>
      </c>
    </row>
    <row r="360" spans="1:6" x14ac:dyDescent="0.25">
      <c r="A360" s="249" t="s">
        <v>3901</v>
      </c>
      <c r="B360" s="249">
        <v>23.5</v>
      </c>
      <c r="C360" s="249">
        <v>72</v>
      </c>
      <c r="D360" s="249">
        <v>3</v>
      </c>
      <c r="F360" s="249" t="s">
        <v>20275</v>
      </c>
    </row>
    <row r="361" spans="1:6" x14ac:dyDescent="0.25">
      <c r="A361" s="249" t="s">
        <v>1267</v>
      </c>
      <c r="B361" s="249">
        <v>26</v>
      </c>
      <c r="C361" s="249">
        <v>72</v>
      </c>
      <c r="D361" s="249">
        <v>4</v>
      </c>
      <c r="F361" s="249" t="s">
        <v>20276</v>
      </c>
    </row>
    <row r="362" spans="1:6" x14ac:dyDescent="0.25">
      <c r="A362" s="249" t="s">
        <v>4752</v>
      </c>
      <c r="B362" s="249">
        <v>28.25</v>
      </c>
      <c r="C362" s="249">
        <v>72</v>
      </c>
      <c r="D362" s="249">
        <v>5</v>
      </c>
      <c r="F362" s="249" t="s">
        <v>20277</v>
      </c>
    </row>
    <row r="363" spans="1:6" x14ac:dyDescent="0.25">
      <c r="A363" s="249" t="s">
        <v>3072</v>
      </c>
      <c r="B363" s="249">
        <v>27.75</v>
      </c>
      <c r="C363" s="249">
        <v>72</v>
      </c>
      <c r="D363" s="249">
        <v>6</v>
      </c>
      <c r="F363" s="249" t="s">
        <v>20278</v>
      </c>
    </row>
    <row r="364" spans="1:6" x14ac:dyDescent="0.25">
      <c r="A364" s="249" t="s">
        <v>4078</v>
      </c>
      <c r="B364" s="249">
        <v>22.75</v>
      </c>
      <c r="C364" s="249">
        <v>72</v>
      </c>
      <c r="D364" s="249">
        <v>7</v>
      </c>
      <c r="F364" s="249" t="s">
        <v>20279</v>
      </c>
    </row>
    <row r="365" spans="1:6" ht="15.75" x14ac:dyDescent="0.25">
      <c r="A365" s="703" t="s">
        <v>4752</v>
      </c>
      <c r="B365" s="703">
        <v>28.25</v>
      </c>
      <c r="C365" s="703">
        <v>73</v>
      </c>
      <c r="D365" s="703">
        <v>1</v>
      </c>
      <c r="E365" s="703" t="s">
        <v>19901</v>
      </c>
      <c r="F365" s="703" t="s">
        <v>20280</v>
      </c>
    </row>
    <row r="366" spans="1:6" x14ac:dyDescent="0.25">
      <c r="A366" s="249" t="s">
        <v>3072</v>
      </c>
      <c r="B366" s="249">
        <v>27.75</v>
      </c>
      <c r="C366" s="249">
        <v>73</v>
      </c>
      <c r="D366" s="249">
        <v>2</v>
      </c>
      <c r="F366" s="249" t="s">
        <v>20281</v>
      </c>
    </row>
    <row r="367" spans="1:6" x14ac:dyDescent="0.25">
      <c r="A367" s="249" t="s">
        <v>1267</v>
      </c>
      <c r="B367" s="249">
        <v>26</v>
      </c>
      <c r="C367" s="249">
        <v>73</v>
      </c>
      <c r="D367" s="249">
        <v>3</v>
      </c>
      <c r="F367" s="249" t="s">
        <v>20282</v>
      </c>
    </row>
    <row r="368" spans="1:6" x14ac:dyDescent="0.25">
      <c r="A368" s="249" t="s">
        <v>3901</v>
      </c>
      <c r="B368" s="249">
        <v>23.5</v>
      </c>
      <c r="C368" s="249">
        <v>73</v>
      </c>
      <c r="D368" s="249">
        <v>4</v>
      </c>
      <c r="F368" s="249" t="s">
        <v>20283</v>
      </c>
    </row>
    <row r="369" spans="1:6" x14ac:dyDescent="0.25">
      <c r="A369" s="249" t="s">
        <v>414</v>
      </c>
      <c r="B369" s="249">
        <v>22.75</v>
      </c>
      <c r="C369" s="249">
        <v>73</v>
      </c>
      <c r="D369" s="249">
        <v>5</v>
      </c>
      <c r="F369" s="249" t="s">
        <v>20284</v>
      </c>
    </row>
    <row r="370" spans="1:6" x14ac:dyDescent="0.25">
      <c r="A370" s="249" t="s">
        <v>4078</v>
      </c>
      <c r="B370" s="249">
        <v>22.75</v>
      </c>
      <c r="C370" s="249">
        <v>73</v>
      </c>
      <c r="D370" s="249">
        <v>6</v>
      </c>
      <c r="F370" s="249" t="s">
        <v>20285</v>
      </c>
    </row>
    <row r="371" spans="1:6" x14ac:dyDescent="0.25">
      <c r="A371" s="249" t="s">
        <v>345</v>
      </c>
      <c r="B371" s="249">
        <v>17</v>
      </c>
      <c r="C371" s="249">
        <v>73</v>
      </c>
      <c r="D371" s="249">
        <v>7</v>
      </c>
      <c r="F371" s="249" t="s">
        <v>20286</v>
      </c>
    </row>
    <row r="372" spans="1:6" ht="15.75" x14ac:dyDescent="0.25">
      <c r="A372" s="703" t="s">
        <v>366</v>
      </c>
      <c r="B372" s="703">
        <v>22</v>
      </c>
      <c r="C372" s="703">
        <v>75</v>
      </c>
      <c r="D372" s="703">
        <v>1</v>
      </c>
      <c r="E372" s="703" t="s">
        <v>19840</v>
      </c>
      <c r="F372" s="703" t="s">
        <v>20287</v>
      </c>
    </row>
    <row r="373" spans="1:6" x14ac:dyDescent="0.25">
      <c r="A373" s="249" t="s">
        <v>349</v>
      </c>
      <c r="B373" s="249">
        <v>21</v>
      </c>
      <c r="C373" s="249">
        <v>75</v>
      </c>
      <c r="D373" s="249">
        <v>2</v>
      </c>
      <c r="F373" s="249" t="s">
        <v>20288</v>
      </c>
    </row>
    <row r="374" spans="1:6" x14ac:dyDescent="0.25">
      <c r="A374" s="249" t="s">
        <v>341</v>
      </c>
      <c r="B374" s="249">
        <v>18</v>
      </c>
      <c r="C374" s="249">
        <v>75</v>
      </c>
      <c r="D374" s="249">
        <v>3</v>
      </c>
      <c r="F374" s="249" t="s">
        <v>20289</v>
      </c>
    </row>
    <row r="375" spans="1:6" x14ac:dyDescent="0.25">
      <c r="A375" s="249" t="s">
        <v>4884</v>
      </c>
      <c r="B375" s="249">
        <v>9</v>
      </c>
      <c r="C375" s="249">
        <v>75</v>
      </c>
      <c r="D375" s="249">
        <v>4</v>
      </c>
      <c r="F375" s="249" t="s">
        <v>20290</v>
      </c>
    </row>
    <row r="376" spans="1:6" x14ac:dyDescent="0.25">
      <c r="A376" s="249" t="s">
        <v>5008</v>
      </c>
      <c r="B376" s="249">
        <v>20.75</v>
      </c>
      <c r="C376" s="249">
        <v>75</v>
      </c>
      <c r="D376" s="249">
        <v>5</v>
      </c>
      <c r="F376" s="249" t="s">
        <v>20291</v>
      </c>
    </row>
    <row r="377" spans="1:6" x14ac:dyDescent="0.25">
      <c r="A377" s="249" t="s">
        <v>4056</v>
      </c>
      <c r="B377" s="249">
        <v>18</v>
      </c>
      <c r="C377" s="249">
        <v>75</v>
      </c>
      <c r="D377" s="249">
        <v>6</v>
      </c>
      <c r="F377" s="249" t="s">
        <v>20292</v>
      </c>
    </row>
    <row r="378" spans="1:6" x14ac:dyDescent="0.25">
      <c r="A378" s="249" t="s">
        <v>217</v>
      </c>
      <c r="B378" s="249">
        <v>20.5</v>
      </c>
      <c r="C378" s="249">
        <v>75</v>
      </c>
      <c r="D378" s="249">
        <v>7</v>
      </c>
      <c r="F378" s="249" t="s">
        <v>20293</v>
      </c>
    </row>
    <row r="379" spans="1:6" x14ac:dyDescent="0.25">
      <c r="A379" s="249" t="s">
        <v>175</v>
      </c>
      <c r="B379" s="249">
        <v>20.75</v>
      </c>
      <c r="C379" s="249">
        <v>75</v>
      </c>
      <c r="D379" s="249">
        <v>8</v>
      </c>
      <c r="F379" s="249" t="s">
        <v>20294</v>
      </c>
    </row>
    <row r="380" spans="1:6" x14ac:dyDescent="0.25">
      <c r="A380" s="249" t="s">
        <v>47</v>
      </c>
      <c r="B380" s="249">
        <v>18</v>
      </c>
      <c r="C380" s="249">
        <v>75</v>
      </c>
      <c r="D380" s="249">
        <v>9</v>
      </c>
      <c r="F380" s="249" t="s">
        <v>20295</v>
      </c>
    </row>
    <row r="381" spans="1:6" ht="15.75" x14ac:dyDescent="0.25">
      <c r="A381" s="703" t="s">
        <v>371</v>
      </c>
      <c r="B381" s="703">
        <v>20</v>
      </c>
      <c r="C381" s="703">
        <v>77</v>
      </c>
      <c r="D381" s="703">
        <v>1</v>
      </c>
      <c r="E381" s="703" t="s">
        <v>19841</v>
      </c>
      <c r="F381" s="703" t="s">
        <v>20296</v>
      </c>
    </row>
    <row r="382" spans="1:6" x14ac:dyDescent="0.25">
      <c r="A382" s="249" t="s">
        <v>357</v>
      </c>
      <c r="B382" s="249">
        <v>19.75</v>
      </c>
      <c r="C382" s="249">
        <v>77</v>
      </c>
      <c r="D382" s="249">
        <v>2</v>
      </c>
      <c r="F382" s="249" t="s">
        <v>20297</v>
      </c>
    </row>
    <row r="383" spans="1:6" x14ac:dyDescent="0.25">
      <c r="A383" s="249" t="s">
        <v>5661</v>
      </c>
      <c r="B383" s="249">
        <v>19.25</v>
      </c>
      <c r="C383" s="249">
        <v>77</v>
      </c>
      <c r="D383" s="249">
        <v>3</v>
      </c>
      <c r="F383" s="249" t="s">
        <v>20298</v>
      </c>
    </row>
    <row r="384" spans="1:6" x14ac:dyDescent="0.25">
      <c r="A384" s="249" t="s">
        <v>485</v>
      </c>
      <c r="B384" s="249">
        <v>20</v>
      </c>
      <c r="C384" s="249">
        <v>77</v>
      </c>
      <c r="D384" s="249">
        <v>4</v>
      </c>
      <c r="F384" s="249" t="s">
        <v>20299</v>
      </c>
    </row>
    <row r="385" spans="1:6" x14ac:dyDescent="0.25">
      <c r="A385" s="249" t="s">
        <v>126</v>
      </c>
      <c r="B385" s="249">
        <v>9.25</v>
      </c>
      <c r="C385" s="249">
        <v>77</v>
      </c>
      <c r="D385" s="249">
        <v>5</v>
      </c>
      <c r="F385" s="249" t="s">
        <v>20300</v>
      </c>
    </row>
    <row r="386" spans="1:6" x14ac:dyDescent="0.25">
      <c r="A386" s="249" t="s">
        <v>5204</v>
      </c>
      <c r="B386" s="249">
        <v>20</v>
      </c>
      <c r="C386" s="249">
        <v>77</v>
      </c>
      <c r="D386" s="249">
        <v>6</v>
      </c>
      <c r="F386" s="249" t="s">
        <v>20301</v>
      </c>
    </row>
    <row r="387" spans="1:6" x14ac:dyDescent="0.25">
      <c r="A387" s="249" t="s">
        <v>63</v>
      </c>
      <c r="B387" s="249">
        <v>20.75</v>
      </c>
      <c r="C387" s="249">
        <v>77</v>
      </c>
      <c r="D387" s="249">
        <v>7</v>
      </c>
      <c r="F387" s="249" t="s">
        <v>20302</v>
      </c>
    </row>
    <row r="388" spans="1:6" x14ac:dyDescent="0.25">
      <c r="A388" s="249" t="s">
        <v>52</v>
      </c>
      <c r="B388" s="249">
        <v>21</v>
      </c>
      <c r="C388" s="249">
        <v>77</v>
      </c>
      <c r="D388" s="249">
        <v>8</v>
      </c>
      <c r="F388" s="249" t="s">
        <v>20303</v>
      </c>
    </row>
    <row r="389" spans="1:6" x14ac:dyDescent="0.25">
      <c r="A389" s="249" t="s">
        <v>5257</v>
      </c>
      <c r="B389" s="249">
        <v>18</v>
      </c>
      <c r="C389" s="249">
        <v>77</v>
      </c>
      <c r="D389" s="249">
        <v>9</v>
      </c>
      <c r="F389" s="249" t="s">
        <v>20304</v>
      </c>
    </row>
    <row r="390" spans="1:6" ht="15.75" x14ac:dyDescent="0.25">
      <c r="A390" s="703" t="s">
        <v>351</v>
      </c>
      <c r="B390" s="703">
        <v>16</v>
      </c>
      <c r="C390" s="703">
        <v>79</v>
      </c>
      <c r="D390" s="703">
        <v>1</v>
      </c>
      <c r="E390" s="703" t="s">
        <v>19842</v>
      </c>
      <c r="F390" s="703" t="s">
        <v>20305</v>
      </c>
    </row>
    <row r="391" spans="1:6" x14ac:dyDescent="0.25">
      <c r="A391" s="249" t="s">
        <v>286</v>
      </c>
      <c r="B391" s="249">
        <v>19.25</v>
      </c>
      <c r="C391" s="249">
        <v>79</v>
      </c>
      <c r="D391" s="249">
        <v>2</v>
      </c>
      <c r="F391" s="249" t="s">
        <v>20306</v>
      </c>
    </row>
    <row r="392" spans="1:6" x14ac:dyDescent="0.25">
      <c r="A392" s="249" t="s">
        <v>270</v>
      </c>
      <c r="B392" s="249">
        <v>19.25</v>
      </c>
      <c r="C392" s="249">
        <v>79</v>
      </c>
      <c r="D392" s="249">
        <v>3</v>
      </c>
      <c r="F392" s="249" t="s">
        <v>20307</v>
      </c>
    </row>
    <row r="393" spans="1:6" x14ac:dyDescent="0.25">
      <c r="A393" s="249" t="s">
        <v>249</v>
      </c>
      <c r="B393" s="249">
        <v>19.25</v>
      </c>
      <c r="C393" s="249">
        <v>79</v>
      </c>
      <c r="D393" s="249">
        <v>4</v>
      </c>
      <c r="F393" s="249" t="s">
        <v>20308</v>
      </c>
    </row>
    <row r="394" spans="1:6" x14ac:dyDescent="0.25">
      <c r="A394" s="249" t="s">
        <v>219</v>
      </c>
      <c r="B394" s="249">
        <v>19.25</v>
      </c>
      <c r="C394" s="249">
        <v>79</v>
      </c>
      <c r="D394" s="249">
        <v>5</v>
      </c>
      <c r="F394" s="249" t="s">
        <v>20309</v>
      </c>
    </row>
    <row r="395" spans="1:6" x14ac:dyDescent="0.25">
      <c r="A395" s="249" t="s">
        <v>149</v>
      </c>
      <c r="B395" s="249">
        <v>19.25</v>
      </c>
      <c r="C395" s="249">
        <v>79</v>
      </c>
      <c r="D395" s="249">
        <v>6</v>
      </c>
      <c r="F395" s="249" t="s">
        <v>20310</v>
      </c>
    </row>
    <row r="396" spans="1:6" x14ac:dyDescent="0.25">
      <c r="A396" s="249" t="s">
        <v>5108</v>
      </c>
      <c r="B396" s="249">
        <v>19.25</v>
      </c>
      <c r="C396" s="249">
        <v>79</v>
      </c>
      <c r="D396" s="249">
        <v>7</v>
      </c>
      <c r="F396" s="249" t="s">
        <v>20311</v>
      </c>
    </row>
    <row r="397" spans="1:6" x14ac:dyDescent="0.25">
      <c r="A397" s="249" t="s">
        <v>145</v>
      </c>
      <c r="B397" s="249">
        <v>19.25</v>
      </c>
      <c r="C397" s="249">
        <v>79</v>
      </c>
      <c r="D397" s="249">
        <v>8</v>
      </c>
      <c r="F397" s="249" t="s">
        <v>20312</v>
      </c>
    </row>
    <row r="398" spans="1:6" x14ac:dyDescent="0.25">
      <c r="A398" s="249" t="s">
        <v>128</v>
      </c>
      <c r="B398" s="249">
        <v>17.25</v>
      </c>
      <c r="C398" s="249">
        <v>79</v>
      </c>
      <c r="D398" s="249">
        <v>9</v>
      </c>
      <c r="F398" s="249" t="s">
        <v>20313</v>
      </c>
    </row>
    <row r="399" spans="1:6" ht="15.75" x14ac:dyDescent="0.25">
      <c r="A399" s="703" t="s">
        <v>388</v>
      </c>
      <c r="B399" s="703">
        <v>33.75</v>
      </c>
      <c r="C399" s="703">
        <v>80</v>
      </c>
      <c r="D399" s="703">
        <v>1</v>
      </c>
      <c r="E399" s="703" t="s">
        <v>19902</v>
      </c>
      <c r="F399" s="703" t="s">
        <v>20314</v>
      </c>
    </row>
    <row r="400" spans="1:6" x14ac:dyDescent="0.25">
      <c r="A400" s="249" t="s">
        <v>5485</v>
      </c>
      <c r="B400" s="249">
        <v>32.5</v>
      </c>
      <c r="C400" s="249">
        <v>80</v>
      </c>
      <c r="D400" s="249">
        <v>2</v>
      </c>
      <c r="F400" s="249" t="s">
        <v>20315</v>
      </c>
    </row>
    <row r="401" spans="1:6" x14ac:dyDescent="0.25">
      <c r="A401" s="249" t="s">
        <v>4324</v>
      </c>
      <c r="B401" s="249">
        <v>34.75</v>
      </c>
      <c r="C401" s="249">
        <v>80</v>
      </c>
      <c r="D401" s="249">
        <v>3</v>
      </c>
      <c r="F401" s="249" t="s">
        <v>20316</v>
      </c>
    </row>
    <row r="402" spans="1:6" x14ac:dyDescent="0.25">
      <c r="A402" s="249" t="s">
        <v>3650</v>
      </c>
      <c r="B402" s="249">
        <v>32</v>
      </c>
      <c r="C402" s="249">
        <v>80</v>
      </c>
      <c r="D402" s="249">
        <v>4</v>
      </c>
      <c r="F402" s="249" t="s">
        <v>20317</v>
      </c>
    </row>
    <row r="403" spans="1:6" x14ac:dyDescent="0.25">
      <c r="A403" s="249" t="s">
        <v>3274</v>
      </c>
      <c r="B403" s="249">
        <v>35</v>
      </c>
      <c r="C403" s="249">
        <v>80</v>
      </c>
      <c r="D403" s="249">
        <v>5</v>
      </c>
      <c r="F403" s="249" t="s">
        <v>20318</v>
      </c>
    </row>
    <row r="404" spans="1:6" ht="15.75" x14ac:dyDescent="0.25">
      <c r="A404" s="703" t="s">
        <v>3274</v>
      </c>
      <c r="B404" s="703">
        <v>35</v>
      </c>
      <c r="C404" s="703">
        <v>82</v>
      </c>
      <c r="D404" s="703">
        <v>1</v>
      </c>
      <c r="E404" s="703" t="s">
        <v>19903</v>
      </c>
      <c r="F404" s="703" t="s">
        <v>20319</v>
      </c>
    </row>
    <row r="405" spans="1:6" x14ac:dyDescent="0.25">
      <c r="A405" s="249" t="s">
        <v>4324</v>
      </c>
      <c r="B405" s="249">
        <v>34.75</v>
      </c>
      <c r="C405" s="249">
        <v>82</v>
      </c>
      <c r="D405" s="249">
        <v>2</v>
      </c>
      <c r="F405" s="249" t="s">
        <v>20320</v>
      </c>
    </row>
    <row r="406" spans="1:6" x14ac:dyDescent="0.25">
      <c r="A406" s="249" t="s">
        <v>388</v>
      </c>
      <c r="B406" s="249">
        <v>33.75</v>
      </c>
      <c r="C406" s="249">
        <v>82</v>
      </c>
      <c r="D406" s="249">
        <v>3</v>
      </c>
      <c r="F406" s="249" t="s">
        <v>20321</v>
      </c>
    </row>
    <row r="407" spans="1:6" x14ac:dyDescent="0.25">
      <c r="A407" s="249" t="s">
        <v>5485</v>
      </c>
      <c r="B407" s="249">
        <v>32.5</v>
      </c>
      <c r="C407" s="249">
        <v>82</v>
      </c>
      <c r="D407" s="249">
        <v>4</v>
      </c>
      <c r="F407" s="249" t="s">
        <v>20322</v>
      </c>
    </row>
    <row r="408" spans="1:6" x14ac:dyDescent="0.25">
      <c r="A408" s="249" t="s">
        <v>3650</v>
      </c>
      <c r="B408" s="249">
        <v>32</v>
      </c>
      <c r="C408" s="249">
        <v>82</v>
      </c>
      <c r="D408" s="249">
        <v>5</v>
      </c>
      <c r="F408" s="249" t="s">
        <v>20323</v>
      </c>
    </row>
    <row r="409" spans="1:6" ht="15.75" x14ac:dyDescent="0.25">
      <c r="A409" s="703" t="s">
        <v>4548</v>
      </c>
      <c r="B409" s="703">
        <v>32.25</v>
      </c>
      <c r="C409" s="703">
        <v>83</v>
      </c>
      <c r="D409" s="703">
        <v>1</v>
      </c>
      <c r="E409" s="703" t="s">
        <v>19904</v>
      </c>
      <c r="F409" s="703" t="s">
        <v>20324</v>
      </c>
    </row>
    <row r="410" spans="1:6" x14ac:dyDescent="0.25">
      <c r="A410" s="249" t="s">
        <v>5260</v>
      </c>
      <c r="B410" s="249">
        <v>29.75</v>
      </c>
      <c r="C410" s="249">
        <v>83</v>
      </c>
      <c r="D410" s="249">
        <v>2</v>
      </c>
      <c r="F410" s="249" t="s">
        <v>20325</v>
      </c>
    </row>
    <row r="411" spans="1:6" x14ac:dyDescent="0.25">
      <c r="A411" s="249" t="s">
        <v>4779</v>
      </c>
      <c r="B411" s="249">
        <v>32.25</v>
      </c>
      <c r="C411" s="249">
        <v>83</v>
      </c>
      <c r="D411" s="249">
        <v>3</v>
      </c>
      <c r="F411" s="249" t="s">
        <v>20326</v>
      </c>
    </row>
    <row r="412" spans="1:6" x14ac:dyDescent="0.25">
      <c r="A412" s="249" t="s">
        <v>4804</v>
      </c>
      <c r="B412" s="249">
        <v>9</v>
      </c>
      <c r="C412" s="249">
        <v>83</v>
      </c>
      <c r="D412" s="249">
        <v>4</v>
      </c>
      <c r="F412" s="249" t="s">
        <v>20327</v>
      </c>
    </row>
    <row r="413" spans="1:6" x14ac:dyDescent="0.25">
      <c r="A413" s="249" t="s">
        <v>4335</v>
      </c>
      <c r="B413" s="249">
        <v>32.5</v>
      </c>
      <c r="C413" s="249">
        <v>83</v>
      </c>
      <c r="D413" s="249">
        <v>5</v>
      </c>
      <c r="F413" s="249" t="s">
        <v>20328</v>
      </c>
    </row>
    <row r="414" spans="1:6" x14ac:dyDescent="0.25">
      <c r="A414" s="249" t="s">
        <v>4223</v>
      </c>
      <c r="B414" s="249">
        <v>32.25</v>
      </c>
      <c r="C414" s="249">
        <v>83</v>
      </c>
      <c r="D414" s="249">
        <v>6</v>
      </c>
      <c r="F414" s="249" t="s">
        <v>20329</v>
      </c>
    </row>
    <row r="415" spans="1:6" ht="15.75" x14ac:dyDescent="0.25">
      <c r="A415" s="703" t="s">
        <v>4335</v>
      </c>
      <c r="B415" s="703">
        <v>32.5</v>
      </c>
      <c r="C415" s="703">
        <v>85</v>
      </c>
      <c r="D415" s="703">
        <v>1</v>
      </c>
      <c r="E415" s="703" t="s">
        <v>19905</v>
      </c>
      <c r="F415" s="703" t="s">
        <v>20330</v>
      </c>
    </row>
    <row r="416" spans="1:6" x14ac:dyDescent="0.25">
      <c r="A416" s="249" t="s">
        <v>4548</v>
      </c>
      <c r="B416" s="249">
        <v>32.25</v>
      </c>
      <c r="C416" s="249">
        <v>85</v>
      </c>
      <c r="D416" s="249">
        <v>2</v>
      </c>
      <c r="F416" s="249" t="s">
        <v>20331</v>
      </c>
    </row>
    <row r="417" spans="1:6" x14ac:dyDescent="0.25">
      <c r="A417" s="249" t="s">
        <v>4779</v>
      </c>
      <c r="B417" s="249">
        <v>32.25</v>
      </c>
      <c r="C417" s="249">
        <v>85</v>
      </c>
      <c r="D417" s="249">
        <v>3</v>
      </c>
      <c r="F417" s="249" t="s">
        <v>20332</v>
      </c>
    </row>
    <row r="418" spans="1:6" x14ac:dyDescent="0.25">
      <c r="A418" s="249" t="s">
        <v>4223</v>
      </c>
      <c r="B418" s="249">
        <v>32.25</v>
      </c>
      <c r="C418" s="249">
        <v>85</v>
      </c>
      <c r="D418" s="249">
        <v>4</v>
      </c>
      <c r="F418" s="249" t="s">
        <v>20333</v>
      </c>
    </row>
    <row r="419" spans="1:6" x14ac:dyDescent="0.25">
      <c r="A419" s="249" t="s">
        <v>5260</v>
      </c>
      <c r="B419" s="249">
        <v>29.75</v>
      </c>
      <c r="C419" s="249">
        <v>85</v>
      </c>
      <c r="D419" s="249">
        <v>5</v>
      </c>
      <c r="F419" s="249" t="s">
        <v>20334</v>
      </c>
    </row>
    <row r="420" spans="1:6" x14ac:dyDescent="0.25">
      <c r="A420" s="249" t="s">
        <v>4804</v>
      </c>
      <c r="B420" s="249">
        <v>9</v>
      </c>
      <c r="C420" s="249">
        <v>85</v>
      </c>
      <c r="D420" s="249">
        <v>6</v>
      </c>
      <c r="F420" s="249" t="s">
        <v>20335</v>
      </c>
    </row>
    <row r="421" spans="1:6" ht="15.75" x14ac:dyDescent="0.25">
      <c r="A421" s="703" t="s">
        <v>422</v>
      </c>
      <c r="B421" s="703">
        <v>31.5</v>
      </c>
      <c r="C421" s="703">
        <v>86</v>
      </c>
      <c r="D421" s="703">
        <v>1</v>
      </c>
      <c r="E421" s="703" t="s">
        <v>19906</v>
      </c>
      <c r="F421" s="703" t="s">
        <v>20336</v>
      </c>
    </row>
    <row r="422" spans="1:6" x14ac:dyDescent="0.25">
      <c r="A422" s="249" t="s">
        <v>373</v>
      </c>
      <c r="B422" s="249">
        <v>14.75</v>
      </c>
      <c r="C422" s="249">
        <v>86</v>
      </c>
      <c r="D422" s="249">
        <v>2</v>
      </c>
      <c r="F422" s="249" t="s">
        <v>20337</v>
      </c>
    </row>
    <row r="423" spans="1:6" x14ac:dyDescent="0.25">
      <c r="A423" s="249" t="s">
        <v>5611</v>
      </c>
      <c r="B423" s="249">
        <v>31.75</v>
      </c>
      <c r="C423" s="249">
        <v>86</v>
      </c>
      <c r="D423" s="249">
        <v>3</v>
      </c>
      <c r="F423" s="249" t="s">
        <v>20338</v>
      </c>
    </row>
    <row r="424" spans="1:6" x14ac:dyDescent="0.25">
      <c r="A424" s="249" t="s">
        <v>74</v>
      </c>
      <c r="B424" s="249">
        <v>26.25</v>
      </c>
      <c r="C424" s="249">
        <v>86</v>
      </c>
      <c r="D424" s="249">
        <v>4</v>
      </c>
      <c r="F424" s="249" t="s">
        <v>20339</v>
      </c>
    </row>
    <row r="425" spans="1:6" x14ac:dyDescent="0.25">
      <c r="A425" s="249" t="s">
        <v>4611</v>
      </c>
      <c r="B425" s="249">
        <v>31.75</v>
      </c>
      <c r="C425" s="249">
        <v>86</v>
      </c>
      <c r="D425" s="249">
        <v>5</v>
      </c>
      <c r="F425" s="249" t="s">
        <v>20340</v>
      </c>
    </row>
    <row r="426" spans="1:6" x14ac:dyDescent="0.25">
      <c r="A426" s="249" t="s">
        <v>5336</v>
      </c>
      <c r="B426" s="249">
        <v>32</v>
      </c>
      <c r="C426" s="249">
        <v>86</v>
      </c>
      <c r="D426" s="249">
        <v>6</v>
      </c>
      <c r="F426" s="249" t="s">
        <v>20341</v>
      </c>
    </row>
    <row r="427" spans="1:6" ht="15.75" x14ac:dyDescent="0.25">
      <c r="A427" s="703" t="s">
        <v>5336</v>
      </c>
      <c r="B427" s="703">
        <v>32</v>
      </c>
      <c r="C427" s="703">
        <v>88</v>
      </c>
      <c r="D427" s="703">
        <v>1</v>
      </c>
      <c r="E427" s="703" t="s">
        <v>19907</v>
      </c>
      <c r="F427" s="703" t="s">
        <v>20342</v>
      </c>
    </row>
    <row r="428" spans="1:6" x14ac:dyDescent="0.25">
      <c r="A428" s="249" t="s">
        <v>5611</v>
      </c>
      <c r="B428" s="249">
        <v>31.75</v>
      </c>
      <c r="C428" s="249">
        <v>88</v>
      </c>
      <c r="D428" s="249">
        <v>2</v>
      </c>
      <c r="F428" s="249" t="s">
        <v>20343</v>
      </c>
    </row>
    <row r="429" spans="1:6" x14ac:dyDescent="0.25">
      <c r="A429" s="249" t="s">
        <v>4611</v>
      </c>
      <c r="B429" s="249">
        <v>31.75</v>
      </c>
      <c r="C429" s="249">
        <v>88</v>
      </c>
      <c r="D429" s="249">
        <v>3</v>
      </c>
      <c r="F429" s="249" t="s">
        <v>20344</v>
      </c>
    </row>
    <row r="430" spans="1:6" x14ac:dyDescent="0.25">
      <c r="A430" s="249" t="s">
        <v>422</v>
      </c>
      <c r="B430" s="249">
        <v>31.5</v>
      </c>
      <c r="C430" s="249">
        <v>88</v>
      </c>
      <c r="D430" s="249">
        <v>4</v>
      </c>
      <c r="F430" s="249" t="s">
        <v>20345</v>
      </c>
    </row>
    <row r="431" spans="1:6" x14ac:dyDescent="0.25">
      <c r="A431" s="249" t="s">
        <v>74</v>
      </c>
      <c r="B431" s="249">
        <v>26.25</v>
      </c>
      <c r="C431" s="249">
        <v>88</v>
      </c>
      <c r="D431" s="249">
        <v>5</v>
      </c>
      <c r="F431" s="249" t="s">
        <v>20346</v>
      </c>
    </row>
    <row r="432" spans="1:6" x14ac:dyDescent="0.25">
      <c r="A432" s="249" t="s">
        <v>373</v>
      </c>
      <c r="B432" s="249">
        <v>14.75</v>
      </c>
      <c r="C432" s="249">
        <v>88</v>
      </c>
      <c r="D432" s="249">
        <v>6</v>
      </c>
      <c r="F432" s="249" t="s">
        <v>20347</v>
      </c>
    </row>
    <row r="433" spans="1:6" ht="15.75" x14ac:dyDescent="0.25">
      <c r="A433" s="703" t="s">
        <v>5225</v>
      </c>
      <c r="B433" s="703">
        <v>31.5</v>
      </c>
      <c r="C433" s="703">
        <v>89</v>
      </c>
      <c r="D433" s="703">
        <v>1</v>
      </c>
      <c r="E433" s="703" t="s">
        <v>19908</v>
      </c>
      <c r="F433" s="703" t="s">
        <v>20348</v>
      </c>
    </row>
    <row r="434" spans="1:6" x14ac:dyDescent="0.25">
      <c r="A434" s="249" t="s">
        <v>211</v>
      </c>
      <c r="B434" s="249">
        <v>16.5</v>
      </c>
      <c r="C434" s="249">
        <v>89</v>
      </c>
      <c r="D434" s="249">
        <v>2</v>
      </c>
      <c r="F434" s="249" t="s">
        <v>20349</v>
      </c>
    </row>
    <row r="435" spans="1:6" x14ac:dyDescent="0.25">
      <c r="A435" s="249" t="s">
        <v>173</v>
      </c>
      <c r="B435" s="249">
        <v>31.5</v>
      </c>
      <c r="C435" s="249">
        <v>89</v>
      </c>
      <c r="D435" s="249">
        <v>3</v>
      </c>
      <c r="F435" s="249" t="s">
        <v>20350</v>
      </c>
    </row>
    <row r="436" spans="1:6" x14ac:dyDescent="0.25">
      <c r="A436" s="249" t="s">
        <v>34</v>
      </c>
      <c r="B436" s="249">
        <v>25.75</v>
      </c>
      <c r="C436" s="249">
        <v>89</v>
      </c>
      <c r="D436" s="249">
        <v>4</v>
      </c>
      <c r="F436" s="249" t="s">
        <v>20351</v>
      </c>
    </row>
    <row r="437" spans="1:6" x14ac:dyDescent="0.25">
      <c r="A437" s="249" t="s">
        <v>5380</v>
      </c>
      <c r="B437" s="249">
        <v>31.5</v>
      </c>
      <c r="C437" s="249">
        <v>89</v>
      </c>
      <c r="D437" s="249">
        <v>5</v>
      </c>
      <c r="F437" s="249" t="s">
        <v>20352</v>
      </c>
    </row>
    <row r="438" spans="1:6" x14ac:dyDescent="0.25">
      <c r="A438" s="249" t="s">
        <v>4464</v>
      </c>
      <c r="B438" s="249">
        <v>31.25</v>
      </c>
      <c r="C438" s="249">
        <v>89</v>
      </c>
      <c r="D438" s="249">
        <v>6</v>
      </c>
      <c r="F438" s="249" t="s">
        <v>20353</v>
      </c>
    </row>
    <row r="439" spans="1:6" ht="15.75" x14ac:dyDescent="0.25">
      <c r="A439" s="703" t="s">
        <v>5380</v>
      </c>
      <c r="B439" s="703">
        <v>31.5</v>
      </c>
      <c r="C439" s="703">
        <v>91</v>
      </c>
      <c r="D439" s="703">
        <v>1</v>
      </c>
      <c r="E439" s="703" t="s">
        <v>19909</v>
      </c>
      <c r="F439" s="703" t="s">
        <v>20354</v>
      </c>
    </row>
    <row r="440" spans="1:6" x14ac:dyDescent="0.25">
      <c r="A440" s="249" t="s">
        <v>173</v>
      </c>
      <c r="B440" s="249">
        <v>31.5</v>
      </c>
      <c r="C440" s="249">
        <v>91</v>
      </c>
      <c r="D440" s="249">
        <v>2</v>
      </c>
      <c r="F440" s="249" t="s">
        <v>20355</v>
      </c>
    </row>
    <row r="441" spans="1:6" x14ac:dyDescent="0.25">
      <c r="A441" s="249" t="s">
        <v>5225</v>
      </c>
      <c r="B441" s="249">
        <v>31.5</v>
      </c>
      <c r="C441" s="249">
        <v>91</v>
      </c>
      <c r="D441" s="249">
        <v>3</v>
      </c>
      <c r="F441" s="249" t="s">
        <v>20356</v>
      </c>
    </row>
    <row r="442" spans="1:6" x14ac:dyDescent="0.25">
      <c r="A442" s="249" t="s">
        <v>4464</v>
      </c>
      <c r="B442" s="249">
        <v>31.25</v>
      </c>
      <c r="C442" s="249">
        <v>91</v>
      </c>
      <c r="D442" s="249">
        <v>4</v>
      </c>
      <c r="F442" s="249" t="s">
        <v>20357</v>
      </c>
    </row>
    <row r="443" spans="1:6" x14ac:dyDescent="0.25">
      <c r="A443" s="249" t="s">
        <v>34</v>
      </c>
      <c r="B443" s="249">
        <v>25.75</v>
      </c>
      <c r="C443" s="249">
        <v>91</v>
      </c>
      <c r="D443" s="249">
        <v>5</v>
      </c>
      <c r="F443" s="249" t="s">
        <v>20358</v>
      </c>
    </row>
    <row r="444" spans="1:6" x14ac:dyDescent="0.25">
      <c r="A444" s="249" t="s">
        <v>211</v>
      </c>
      <c r="B444" s="249">
        <v>16.5</v>
      </c>
      <c r="C444" s="249">
        <v>91</v>
      </c>
      <c r="D444" s="249">
        <v>6</v>
      </c>
      <c r="F444" s="249" t="s">
        <v>20359</v>
      </c>
    </row>
    <row r="445" spans="1:6" ht="15.75" x14ac:dyDescent="0.25">
      <c r="A445" s="703" t="s">
        <v>4499</v>
      </c>
      <c r="B445" s="703">
        <v>29.5</v>
      </c>
      <c r="C445" s="703">
        <v>92</v>
      </c>
      <c r="D445" s="703">
        <v>1</v>
      </c>
      <c r="E445" s="703" t="s">
        <v>19910</v>
      </c>
      <c r="F445" s="703" t="s">
        <v>20360</v>
      </c>
    </row>
    <row r="446" spans="1:6" x14ac:dyDescent="0.25">
      <c r="A446" s="249" t="s">
        <v>435</v>
      </c>
      <c r="B446" s="249">
        <v>28.5</v>
      </c>
      <c r="C446" s="249">
        <v>92</v>
      </c>
      <c r="D446" s="249">
        <v>2</v>
      </c>
      <c r="F446" s="249" t="s">
        <v>20361</v>
      </c>
    </row>
    <row r="447" spans="1:6" x14ac:dyDescent="0.25">
      <c r="A447" s="249" t="s">
        <v>3539</v>
      </c>
      <c r="B447" s="249">
        <v>28.75</v>
      </c>
      <c r="C447" s="249">
        <v>92</v>
      </c>
      <c r="D447" s="249">
        <v>3</v>
      </c>
      <c r="F447" s="249" t="s">
        <v>20362</v>
      </c>
    </row>
    <row r="448" spans="1:6" x14ac:dyDescent="0.25">
      <c r="A448" s="249" t="s">
        <v>378</v>
      </c>
      <c r="B448" s="249">
        <v>22.25</v>
      </c>
      <c r="C448" s="249">
        <v>92</v>
      </c>
      <c r="D448" s="249">
        <v>4</v>
      </c>
      <c r="F448" s="249" t="s">
        <v>20363</v>
      </c>
    </row>
    <row r="449" spans="1:6" x14ac:dyDescent="0.25">
      <c r="A449" s="249" t="s">
        <v>3329</v>
      </c>
      <c r="B449" s="249">
        <v>29.5</v>
      </c>
      <c r="C449" s="249">
        <v>92</v>
      </c>
      <c r="D449" s="249">
        <v>5</v>
      </c>
      <c r="F449" s="249" t="s">
        <v>20364</v>
      </c>
    </row>
    <row r="450" spans="1:6" x14ac:dyDescent="0.25">
      <c r="A450" s="249" t="s">
        <v>4756</v>
      </c>
      <c r="B450" s="249">
        <v>29.5</v>
      </c>
      <c r="C450" s="249">
        <v>92</v>
      </c>
      <c r="D450" s="249">
        <v>6</v>
      </c>
      <c r="F450" s="249" t="s">
        <v>20365</v>
      </c>
    </row>
    <row r="451" spans="1:6" ht="15.75" x14ac:dyDescent="0.25">
      <c r="A451" s="703" t="s">
        <v>4499</v>
      </c>
      <c r="B451" s="703">
        <v>29.5</v>
      </c>
      <c r="C451" s="703">
        <v>94</v>
      </c>
      <c r="D451" s="703">
        <v>1</v>
      </c>
      <c r="E451" s="703" t="s">
        <v>19911</v>
      </c>
      <c r="F451" s="703" t="s">
        <v>20366</v>
      </c>
    </row>
    <row r="452" spans="1:6" x14ac:dyDescent="0.25">
      <c r="A452" s="249" t="s">
        <v>3329</v>
      </c>
      <c r="B452" s="249">
        <v>29.5</v>
      </c>
      <c r="C452" s="249">
        <v>94</v>
      </c>
      <c r="D452" s="249">
        <v>2</v>
      </c>
      <c r="F452" s="249" t="s">
        <v>20367</v>
      </c>
    </row>
    <row r="453" spans="1:6" x14ac:dyDescent="0.25">
      <c r="A453" s="249" t="s">
        <v>4756</v>
      </c>
      <c r="B453" s="249">
        <v>29.5</v>
      </c>
      <c r="C453" s="249">
        <v>94</v>
      </c>
      <c r="D453" s="249">
        <v>3</v>
      </c>
      <c r="F453" s="249" t="s">
        <v>20368</v>
      </c>
    </row>
    <row r="454" spans="1:6" x14ac:dyDescent="0.25">
      <c r="A454" s="249" t="s">
        <v>3539</v>
      </c>
      <c r="B454" s="249">
        <v>28.75</v>
      </c>
      <c r="C454" s="249">
        <v>94</v>
      </c>
      <c r="D454" s="249">
        <v>4</v>
      </c>
      <c r="F454" s="249" t="s">
        <v>20369</v>
      </c>
    </row>
    <row r="455" spans="1:6" x14ac:dyDescent="0.25">
      <c r="A455" s="249" t="s">
        <v>435</v>
      </c>
      <c r="B455" s="249">
        <v>28.5</v>
      </c>
      <c r="C455" s="249">
        <v>94</v>
      </c>
      <c r="D455" s="249">
        <v>5</v>
      </c>
      <c r="F455" s="249" t="s">
        <v>20370</v>
      </c>
    </row>
    <row r="456" spans="1:6" x14ac:dyDescent="0.25">
      <c r="A456" s="249" t="s">
        <v>378</v>
      </c>
      <c r="B456" s="249">
        <v>22.25</v>
      </c>
      <c r="C456" s="249">
        <v>94</v>
      </c>
      <c r="D456" s="249">
        <v>6</v>
      </c>
      <c r="F456" s="249" t="s">
        <v>20371</v>
      </c>
    </row>
    <row r="457" spans="1:6" ht="15.75" x14ac:dyDescent="0.25">
      <c r="A457" s="703" t="s">
        <v>3668</v>
      </c>
      <c r="B457" s="703">
        <v>28.5</v>
      </c>
      <c r="C457" s="703">
        <v>96</v>
      </c>
      <c r="D457" s="703">
        <v>1</v>
      </c>
      <c r="E457" s="703" t="s">
        <v>19912</v>
      </c>
      <c r="F457" s="703" t="s">
        <v>20372</v>
      </c>
    </row>
    <row r="458" spans="1:6" x14ac:dyDescent="0.25">
      <c r="A458" s="249" t="s">
        <v>3078</v>
      </c>
      <c r="B458" s="249">
        <v>28.5</v>
      </c>
      <c r="C458" s="249">
        <v>96</v>
      </c>
      <c r="D458" s="249">
        <v>2</v>
      </c>
      <c r="F458" s="249" t="s">
        <v>20373</v>
      </c>
    </row>
    <row r="459" spans="1:6" x14ac:dyDescent="0.25">
      <c r="A459" s="249" t="s">
        <v>4327</v>
      </c>
      <c r="B459" s="249">
        <v>28.5</v>
      </c>
      <c r="C459" s="249">
        <v>96</v>
      </c>
      <c r="D459" s="249">
        <v>3</v>
      </c>
      <c r="F459" s="249" t="s">
        <v>20374</v>
      </c>
    </row>
    <row r="460" spans="1:6" x14ac:dyDescent="0.25">
      <c r="A460" s="249" t="s">
        <v>4969</v>
      </c>
      <c r="B460" s="249">
        <v>28</v>
      </c>
      <c r="C460" s="249">
        <v>96</v>
      </c>
      <c r="D460" s="249">
        <v>4</v>
      </c>
      <c r="F460" s="249" t="s">
        <v>20375</v>
      </c>
    </row>
    <row r="461" spans="1:6" x14ac:dyDescent="0.25">
      <c r="A461" s="249" t="s">
        <v>4644</v>
      </c>
      <c r="B461" s="249">
        <v>27.75</v>
      </c>
      <c r="C461" s="249">
        <v>96</v>
      </c>
      <c r="D461" s="249">
        <v>5</v>
      </c>
      <c r="F461" s="249" t="s">
        <v>20376</v>
      </c>
    </row>
    <row r="462" spans="1:6" x14ac:dyDescent="0.25">
      <c r="A462" s="249" t="s">
        <v>4496</v>
      </c>
      <c r="B462" s="249">
        <v>26.75</v>
      </c>
      <c r="C462" s="249">
        <v>96</v>
      </c>
      <c r="D462" s="249">
        <v>6</v>
      </c>
      <c r="F462" s="249" t="s">
        <v>20377</v>
      </c>
    </row>
    <row r="463" spans="1:6" ht="15.75" x14ac:dyDescent="0.25">
      <c r="A463" s="703" t="s">
        <v>2533</v>
      </c>
      <c r="B463" s="703">
        <v>27.25</v>
      </c>
      <c r="C463" s="703">
        <v>98</v>
      </c>
      <c r="D463" s="703">
        <v>1</v>
      </c>
      <c r="E463" s="703" t="s">
        <v>19913</v>
      </c>
      <c r="F463" s="703" t="s">
        <v>20378</v>
      </c>
    </row>
    <row r="464" spans="1:6" x14ac:dyDescent="0.25">
      <c r="A464" s="249" t="s">
        <v>3668</v>
      </c>
      <c r="B464" s="249">
        <v>28.5</v>
      </c>
      <c r="C464" s="249">
        <v>98</v>
      </c>
      <c r="D464" s="249">
        <v>2</v>
      </c>
      <c r="F464" s="249" t="s">
        <v>20379</v>
      </c>
    </row>
    <row r="465" spans="1:6" x14ac:dyDescent="0.25">
      <c r="A465" s="249" t="s">
        <v>4644</v>
      </c>
      <c r="B465" s="249">
        <v>27.75</v>
      </c>
      <c r="C465" s="249">
        <v>98</v>
      </c>
      <c r="D465" s="249">
        <v>3</v>
      </c>
      <c r="F465" s="249" t="s">
        <v>20380</v>
      </c>
    </row>
    <row r="466" spans="1:6" x14ac:dyDescent="0.25">
      <c r="A466" s="249" t="s">
        <v>4496</v>
      </c>
      <c r="B466" s="249">
        <v>26.75</v>
      </c>
      <c r="C466" s="249">
        <v>98</v>
      </c>
      <c r="D466" s="249">
        <v>4</v>
      </c>
      <c r="F466" s="249" t="s">
        <v>20381</v>
      </c>
    </row>
    <row r="467" spans="1:6" x14ac:dyDescent="0.25">
      <c r="A467" s="249" t="s">
        <v>3078</v>
      </c>
      <c r="B467" s="249">
        <v>28.5</v>
      </c>
      <c r="C467" s="249">
        <v>98</v>
      </c>
      <c r="D467" s="249">
        <v>5</v>
      </c>
      <c r="F467" s="249" t="s">
        <v>20382</v>
      </c>
    </row>
    <row r="468" spans="1:6" x14ac:dyDescent="0.25">
      <c r="A468" s="249" t="s">
        <v>4969</v>
      </c>
      <c r="B468" s="249">
        <v>28</v>
      </c>
      <c r="C468" s="249">
        <v>98</v>
      </c>
      <c r="D468" s="249">
        <v>6</v>
      </c>
      <c r="F468" s="249" t="s">
        <v>20383</v>
      </c>
    </row>
    <row r="469" spans="1:6" x14ac:dyDescent="0.25">
      <c r="A469" s="249" t="s">
        <v>4327</v>
      </c>
      <c r="B469" s="249">
        <v>28.5</v>
      </c>
      <c r="C469" s="249">
        <v>98</v>
      </c>
      <c r="D469" s="249">
        <v>6</v>
      </c>
      <c r="F469" s="249" t="s">
        <v>20384</v>
      </c>
    </row>
    <row r="470" spans="1:6" x14ac:dyDescent="0.25">
      <c r="A470" s="249" t="s">
        <v>385</v>
      </c>
      <c r="B470" s="249">
        <v>18.75</v>
      </c>
      <c r="C470" s="249">
        <v>98</v>
      </c>
      <c r="D470" s="249">
        <v>7</v>
      </c>
      <c r="F470" s="249" t="s">
        <v>20385</v>
      </c>
    </row>
    <row r="471" spans="1:6" x14ac:dyDescent="0.25">
      <c r="A471" s="249" t="s">
        <v>4239</v>
      </c>
      <c r="B471" s="249">
        <v>27.5</v>
      </c>
      <c r="C471" s="249">
        <v>98</v>
      </c>
      <c r="D471" s="249">
        <v>8</v>
      </c>
      <c r="F471" s="249" t="s">
        <v>20386</v>
      </c>
    </row>
    <row r="472" spans="1:6" x14ac:dyDescent="0.25">
      <c r="A472" s="249" t="s">
        <v>3295</v>
      </c>
      <c r="B472" s="249">
        <v>27.5</v>
      </c>
      <c r="C472" s="249">
        <v>98</v>
      </c>
      <c r="D472" s="249">
        <v>9</v>
      </c>
      <c r="F472" s="249" t="s">
        <v>20387</v>
      </c>
    </row>
    <row r="473" spans="1:6" x14ac:dyDescent="0.25">
      <c r="A473" s="249" t="s">
        <v>180</v>
      </c>
      <c r="B473" s="249">
        <v>27.75</v>
      </c>
      <c r="C473" s="249">
        <v>98</v>
      </c>
      <c r="D473" s="249">
        <v>10</v>
      </c>
      <c r="F473" s="249" t="s">
        <v>20388</v>
      </c>
    </row>
    <row r="474" spans="1:6" x14ac:dyDescent="0.25">
      <c r="A474" s="249" t="s">
        <v>122</v>
      </c>
      <c r="B474" s="249">
        <v>21.75</v>
      </c>
      <c r="C474" s="249">
        <v>98</v>
      </c>
      <c r="D474" s="249">
        <v>11</v>
      </c>
      <c r="F474" s="249" t="s">
        <v>20389</v>
      </c>
    </row>
    <row r="475" spans="1:6" x14ac:dyDescent="0.25">
      <c r="A475" s="249" t="s">
        <v>117</v>
      </c>
      <c r="B475" s="249">
        <v>17.5</v>
      </c>
      <c r="C475" s="249">
        <v>98</v>
      </c>
      <c r="D475" s="249">
        <v>12</v>
      </c>
      <c r="F475" s="249" t="s">
        <v>20390</v>
      </c>
    </row>
    <row r="476" spans="1:6" ht="15.75" x14ac:dyDescent="0.25">
      <c r="A476" s="703" t="s">
        <v>180</v>
      </c>
      <c r="B476" s="703">
        <v>27.75</v>
      </c>
      <c r="C476" s="703">
        <v>100</v>
      </c>
      <c r="D476" s="703">
        <v>1</v>
      </c>
      <c r="E476" s="703" t="s">
        <v>19914</v>
      </c>
      <c r="F476" s="703" t="s">
        <v>20391</v>
      </c>
    </row>
    <row r="477" spans="1:6" x14ac:dyDescent="0.25">
      <c r="A477" s="249" t="s">
        <v>4239</v>
      </c>
      <c r="B477" s="249">
        <v>27.5</v>
      </c>
      <c r="C477" s="249">
        <v>100</v>
      </c>
      <c r="D477" s="249">
        <v>2</v>
      </c>
      <c r="F477" s="249" t="s">
        <v>20392</v>
      </c>
    </row>
    <row r="478" spans="1:6" x14ac:dyDescent="0.25">
      <c r="A478" s="249" t="s">
        <v>3295</v>
      </c>
      <c r="B478" s="249">
        <v>27.5</v>
      </c>
      <c r="C478" s="249">
        <v>100</v>
      </c>
      <c r="D478" s="249">
        <v>3</v>
      </c>
      <c r="F478" s="249" t="s">
        <v>20393</v>
      </c>
    </row>
    <row r="479" spans="1:6" x14ac:dyDescent="0.25">
      <c r="A479" s="249" t="s">
        <v>2533</v>
      </c>
      <c r="B479" s="249">
        <v>27.25</v>
      </c>
      <c r="C479" s="249">
        <v>100</v>
      </c>
      <c r="D479" s="249">
        <v>4</v>
      </c>
      <c r="F479" s="249" t="s">
        <v>20394</v>
      </c>
    </row>
    <row r="480" spans="1:6" x14ac:dyDescent="0.25">
      <c r="A480" s="249" t="s">
        <v>122</v>
      </c>
      <c r="B480" s="249">
        <v>21.75</v>
      </c>
      <c r="C480" s="249">
        <v>100</v>
      </c>
      <c r="D480" s="249">
        <v>5</v>
      </c>
      <c r="F480" s="249" t="s">
        <v>20395</v>
      </c>
    </row>
    <row r="481" spans="1:6" x14ac:dyDescent="0.25">
      <c r="A481" s="249" t="s">
        <v>385</v>
      </c>
      <c r="B481" s="249">
        <v>18.75</v>
      </c>
      <c r="C481" s="249">
        <v>100</v>
      </c>
      <c r="D481" s="249">
        <v>6</v>
      </c>
      <c r="F481" s="249" t="s">
        <v>20396</v>
      </c>
    </row>
    <row r="482" spans="1:6" x14ac:dyDescent="0.25">
      <c r="A482" s="249" t="s">
        <v>117</v>
      </c>
      <c r="B482" s="249">
        <v>17.5</v>
      </c>
      <c r="C482" s="249">
        <v>100</v>
      </c>
      <c r="D482" s="249">
        <v>7</v>
      </c>
      <c r="F482" s="249" t="s">
        <v>20397</v>
      </c>
    </row>
    <row r="483" spans="1:6" ht="15.75" x14ac:dyDescent="0.25">
      <c r="A483" s="703" t="s">
        <v>3868</v>
      </c>
      <c r="B483" s="703">
        <v>27</v>
      </c>
      <c r="C483" s="703">
        <v>101</v>
      </c>
      <c r="D483" s="703">
        <v>1</v>
      </c>
      <c r="E483" s="703" t="s">
        <v>19915</v>
      </c>
      <c r="F483" s="703" t="s">
        <v>20398</v>
      </c>
    </row>
    <row r="484" spans="1:6" x14ac:dyDescent="0.25">
      <c r="A484" s="249" t="s">
        <v>275</v>
      </c>
      <c r="B484" s="249">
        <v>18</v>
      </c>
      <c r="C484" s="249">
        <v>101</v>
      </c>
      <c r="D484" s="249">
        <v>2</v>
      </c>
      <c r="F484" s="249" t="s">
        <v>20399</v>
      </c>
    </row>
    <row r="485" spans="1:6" x14ac:dyDescent="0.25">
      <c r="A485" s="249" t="s">
        <v>266</v>
      </c>
      <c r="B485" s="249">
        <v>27.25</v>
      </c>
      <c r="C485" s="249">
        <v>101</v>
      </c>
      <c r="D485" s="249">
        <v>3</v>
      </c>
      <c r="F485" s="249" t="s">
        <v>20400</v>
      </c>
    </row>
    <row r="486" spans="1:6" x14ac:dyDescent="0.25">
      <c r="A486" s="249" t="s">
        <v>147</v>
      </c>
      <c r="B486" s="249">
        <v>19.75</v>
      </c>
      <c r="C486" s="249">
        <v>101</v>
      </c>
      <c r="D486" s="249">
        <v>4</v>
      </c>
      <c r="F486" s="249" t="s">
        <v>20401</v>
      </c>
    </row>
    <row r="487" spans="1:6" x14ac:dyDescent="0.25">
      <c r="A487" s="249" t="s">
        <v>103</v>
      </c>
      <c r="B487" s="249">
        <v>27</v>
      </c>
      <c r="C487" s="249">
        <v>101</v>
      </c>
      <c r="D487" s="249">
        <v>5</v>
      </c>
      <c r="F487" s="249" t="s">
        <v>20402</v>
      </c>
    </row>
    <row r="488" spans="1:6" x14ac:dyDescent="0.25">
      <c r="A488" s="249" t="s">
        <v>5331</v>
      </c>
      <c r="B488" s="249">
        <v>21.75</v>
      </c>
      <c r="C488" s="249">
        <v>101</v>
      </c>
      <c r="D488" s="249">
        <v>6</v>
      </c>
      <c r="F488" s="249" t="s">
        <v>20403</v>
      </c>
    </row>
    <row r="489" spans="1:6" x14ac:dyDescent="0.25">
      <c r="A489" s="249" t="s">
        <v>1533</v>
      </c>
      <c r="B489" s="249">
        <v>27.25</v>
      </c>
      <c r="C489" s="249">
        <v>101</v>
      </c>
      <c r="D489" s="249">
        <v>7</v>
      </c>
      <c r="F489" s="249" t="s">
        <v>20404</v>
      </c>
    </row>
    <row r="490" spans="1:6" ht="15.75" x14ac:dyDescent="0.25">
      <c r="A490" s="703" t="s">
        <v>266</v>
      </c>
      <c r="B490" s="703">
        <v>27.25</v>
      </c>
      <c r="C490" s="703">
        <v>103</v>
      </c>
      <c r="D490" s="703">
        <v>1</v>
      </c>
      <c r="E490" s="703" t="s">
        <v>19916</v>
      </c>
      <c r="F490" s="703" t="s">
        <v>20405</v>
      </c>
    </row>
    <row r="491" spans="1:6" x14ac:dyDescent="0.25">
      <c r="A491" s="249" t="s">
        <v>1533</v>
      </c>
      <c r="B491" s="249">
        <v>27.25</v>
      </c>
      <c r="C491" s="249">
        <v>103</v>
      </c>
      <c r="D491" s="249">
        <v>2</v>
      </c>
      <c r="F491" s="249" t="s">
        <v>20406</v>
      </c>
    </row>
    <row r="492" spans="1:6" x14ac:dyDescent="0.25">
      <c r="A492" s="249" t="s">
        <v>3868</v>
      </c>
      <c r="B492" s="249">
        <v>27</v>
      </c>
      <c r="C492" s="249">
        <v>103</v>
      </c>
      <c r="D492" s="249">
        <v>3</v>
      </c>
      <c r="F492" s="249" t="s">
        <v>20407</v>
      </c>
    </row>
    <row r="493" spans="1:6" x14ac:dyDescent="0.25">
      <c r="A493" s="249" t="s">
        <v>103</v>
      </c>
      <c r="B493" s="249">
        <v>27</v>
      </c>
      <c r="C493" s="249">
        <v>103</v>
      </c>
      <c r="D493" s="249">
        <v>4</v>
      </c>
      <c r="F493" s="249" t="s">
        <v>20408</v>
      </c>
    </row>
    <row r="494" spans="1:6" x14ac:dyDescent="0.25">
      <c r="A494" s="249" t="s">
        <v>5331</v>
      </c>
      <c r="B494" s="249">
        <v>21.75</v>
      </c>
      <c r="C494" s="249">
        <v>103</v>
      </c>
      <c r="D494" s="249">
        <v>5</v>
      </c>
      <c r="F494" s="249" t="s">
        <v>20409</v>
      </c>
    </row>
    <row r="495" spans="1:6" x14ac:dyDescent="0.25">
      <c r="A495" s="249" t="s">
        <v>147</v>
      </c>
      <c r="B495" s="249">
        <v>19.75</v>
      </c>
      <c r="C495" s="249">
        <v>103</v>
      </c>
      <c r="D495" s="249">
        <v>6</v>
      </c>
      <c r="F495" s="249" t="s">
        <v>20410</v>
      </c>
    </row>
    <row r="496" spans="1:6" x14ac:dyDescent="0.25">
      <c r="A496" s="249" t="s">
        <v>275</v>
      </c>
      <c r="B496" s="249">
        <v>18</v>
      </c>
      <c r="C496" s="249">
        <v>103</v>
      </c>
      <c r="D496" s="249">
        <v>7</v>
      </c>
      <c r="F496" s="249" t="s">
        <v>20411</v>
      </c>
    </row>
  </sheetData>
  <sortState xmlns:xlrd2="http://schemas.microsoft.com/office/spreadsheetml/2017/richdata2" ref="A2:B9">
    <sortCondition ref="A2"/>
  </sortState>
  <conditionalFormatting sqref="E1:E496 F497:F1048576">
    <cfRule type="duplicateValues" dxfId="123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1C941-398E-464F-BA32-7FB605ACECBD}">
  <sheetPr>
    <tabColor rgb="FFFFFF00"/>
  </sheetPr>
  <dimension ref="A1:AA1101"/>
  <sheetViews>
    <sheetView topLeftCell="C1" zoomScale="85" zoomScaleNormal="85" workbookViewId="0">
      <pane ySplit="2" topLeftCell="A3" activePane="bottomLeft" state="frozen"/>
      <selection pane="bottomLeft" activeCell="L4" sqref="L4"/>
    </sheetView>
  </sheetViews>
  <sheetFormatPr defaultColWidth="9.140625" defaultRowHeight="15" x14ac:dyDescent="0.25"/>
  <cols>
    <col min="1" max="1" width="14.85546875" style="16" bestFit="1" customWidth="1"/>
    <col min="2" max="2" width="7.140625" style="16" customWidth="1"/>
    <col min="3" max="3" width="10.85546875" style="16" customWidth="1"/>
    <col min="4" max="4" width="7" style="16" customWidth="1"/>
    <col min="5" max="5" width="12.140625" style="16" customWidth="1"/>
    <col min="6" max="6" width="8.7109375" style="16" customWidth="1"/>
    <col min="7" max="7" width="18.28515625" style="16" customWidth="1"/>
    <col min="8" max="8" width="11.140625" style="16" customWidth="1"/>
    <col min="9" max="9" width="12.42578125" style="16" customWidth="1"/>
    <col min="10" max="10" width="26.42578125" style="316" bestFit="1" customWidth="1"/>
    <col min="11" max="11" width="21.140625" style="316" bestFit="1" customWidth="1"/>
    <col min="12" max="12" width="9.5703125" style="16" customWidth="1"/>
    <col min="13" max="13" width="16.7109375" style="16" bestFit="1" customWidth="1"/>
    <col min="14" max="14" width="16.42578125" style="16" bestFit="1" customWidth="1"/>
    <col min="15" max="15" width="16.28515625" style="16" bestFit="1" customWidth="1"/>
    <col min="16" max="16" width="14.7109375" style="16" bestFit="1" customWidth="1"/>
    <col min="17" max="17" width="15.140625" style="16" bestFit="1" customWidth="1"/>
    <col min="18" max="18" width="15.140625" style="316" bestFit="1" customWidth="1"/>
    <col min="19" max="19" width="16.7109375" style="16" bestFit="1" customWidth="1"/>
    <col min="20" max="20" width="20.7109375" style="316" bestFit="1" customWidth="1"/>
    <col min="21" max="22" width="20.7109375" style="316" customWidth="1"/>
    <col min="23" max="23" width="9.140625" style="16"/>
    <col min="24" max="24" width="11.140625" style="16" bestFit="1" customWidth="1"/>
    <col min="25" max="16384" width="9.140625" style="16"/>
  </cols>
  <sheetData>
    <row r="1" spans="1:22" ht="21" x14ac:dyDescent="0.35">
      <c r="D1" s="301"/>
      <c r="H1" s="255"/>
      <c r="J1" s="313">
        <f>SUM(J3:J1048576)</f>
        <v>99781404488</v>
      </c>
      <c r="K1" s="314">
        <f>AVERAGE(K3:K1048576)</f>
        <v>30077.430585874761</v>
      </c>
      <c r="L1" s="26"/>
      <c r="M1" s="315">
        <f>SUM(Table24[INIT PLANES])</f>
        <v>1636.9231578947361</v>
      </c>
      <c r="N1" s="26"/>
      <c r="O1" s="26"/>
      <c r="P1" s="26"/>
      <c r="Q1" s="281">
        <f>SUM(Q3:Q1048576)</f>
        <v>-72.5</v>
      </c>
      <c r="T1" s="316">
        <f>SUM(T3:T1048576)</f>
        <v>3457938250</v>
      </c>
      <c r="U1" s="316">
        <f>SUM(U3:U1048576)</f>
        <v>4044502450</v>
      </c>
      <c r="V1" s="364">
        <f>T1-U1</f>
        <v>-586564200</v>
      </c>
    </row>
    <row r="2" spans="1:22" ht="30" x14ac:dyDescent="0.25">
      <c r="A2" s="240" t="s">
        <v>467</v>
      </c>
      <c r="B2" s="240" t="s">
        <v>466</v>
      </c>
      <c r="C2" s="240" t="s">
        <v>465</v>
      </c>
      <c r="D2" s="301" t="s">
        <v>14057</v>
      </c>
      <c r="E2" s="240" t="s">
        <v>11659</v>
      </c>
      <c r="F2" s="240" t="s">
        <v>13114</v>
      </c>
      <c r="G2" s="240" t="s">
        <v>11660</v>
      </c>
      <c r="H2" s="240" t="s">
        <v>11663</v>
      </c>
      <c r="I2" s="240" t="s">
        <v>16810</v>
      </c>
      <c r="J2" s="244" t="s">
        <v>11120</v>
      </c>
      <c r="K2" s="245" t="s">
        <v>459</v>
      </c>
      <c r="L2" s="241" t="s">
        <v>16794</v>
      </c>
      <c r="M2" s="241" t="s">
        <v>17035</v>
      </c>
      <c r="N2" s="286" t="s">
        <v>16795</v>
      </c>
      <c r="O2" s="286" t="s">
        <v>16796</v>
      </c>
      <c r="P2" s="286" t="s">
        <v>17034</v>
      </c>
      <c r="Q2" s="286" t="s">
        <v>16798</v>
      </c>
      <c r="R2" s="317" t="s">
        <v>16804</v>
      </c>
      <c r="S2" s="318" t="s">
        <v>16805</v>
      </c>
      <c r="T2" s="317" t="s">
        <v>16806</v>
      </c>
      <c r="U2" s="317" t="s">
        <v>18863</v>
      </c>
      <c r="V2" s="317" t="s">
        <v>18864</v>
      </c>
    </row>
    <row r="3" spans="1:22" customFormat="1" x14ac:dyDescent="0.25">
      <c r="A3" s="306" t="s">
        <v>17474</v>
      </c>
      <c r="B3" s="306" t="s">
        <v>195</v>
      </c>
      <c r="C3" s="306" t="s">
        <v>2</v>
      </c>
      <c r="D3" s="26">
        <v>5</v>
      </c>
      <c r="E3" s="312" t="s">
        <v>83</v>
      </c>
      <c r="F3" s="306" t="str">
        <f>VLOOKUP(Table24[[#This Row],[Country]],Table10[[COUNTRY NAME]:[CONTINENT CODE]],3,FALSE)</f>
        <v>EU</v>
      </c>
      <c r="G3" s="312" t="s">
        <v>11066</v>
      </c>
      <c r="H3" s="309">
        <v>7153</v>
      </c>
      <c r="I3" s="310">
        <v>17.75</v>
      </c>
      <c r="J3" s="307">
        <v>230922491</v>
      </c>
      <c r="K3" s="307">
        <f>IFERROR(Table24[[#This Row],[ROUTE COST]]/Table24[[#This Row],[O - DEMAND]],0)</f>
        <v>62870.267084127416</v>
      </c>
      <c r="L3" s="306">
        <v>3673</v>
      </c>
      <c r="M3" s="310">
        <f>Table24[[#This Row],[O - DEMAND]]/950</f>
        <v>3.8663157894736844</v>
      </c>
      <c r="N3" s="306">
        <f>IFERROR(VLOOKUP(Table24[[#This Row],[ROUTE]],DEMAND!A:F,5,FALSE),0)</f>
        <v>3882</v>
      </c>
      <c r="O3" s="306">
        <f>IFERROR(VLOOKUP(Table24[[#This Row],[ROUTE]],DEMAND!A:F,6,FALSE),0)</f>
        <v>2932</v>
      </c>
      <c r="P3" s="306">
        <f>ROUNDDOWN(Table24[[#This Row],[R-DEMAND]]/950,0)</f>
        <v>3</v>
      </c>
      <c r="Q3" s="306">
        <f>Table24[[#This Row],[ADD ACC
(475/950)]]*Table24[[#This Row],[Duration
(A359)]]</f>
        <v>53.25</v>
      </c>
      <c r="R3" s="307">
        <f>IFERROR(VLOOKUP(Table24[[#This Row],[ROUTE]],PRICING!A:B,2,FALSE),0)</f>
        <v>1939</v>
      </c>
      <c r="S3" s="308">
        <f>Table24[[#This Row],[C_DEMAND]]-Table24[[#This Row],[R-DEMAND]]</f>
        <v>950</v>
      </c>
      <c r="T3" s="307">
        <f>Table24[[#This Row],[SEATS SOLD]]*Table24[[#This Row],[ECO SEAT]]</f>
        <v>1842050</v>
      </c>
      <c r="U3" s="307">
        <f>Table24[[#This Row],[SEATS SOLD]]*(IFERROR(VLOOKUP(Table24[[#This Row],[ROUTE]],PRICING!A:C,3,FALSE),0))</f>
        <v>2220150</v>
      </c>
      <c r="V3" s="307">
        <f>Table24[[#This Row],[SEAT REV]]-Table24[[#This Row],[SEAT REV
(IF IDEAL $)]]</f>
        <v>-378100</v>
      </c>
    </row>
    <row r="4" spans="1:22" customFormat="1" x14ac:dyDescent="0.25">
      <c r="A4" s="306" t="s">
        <v>17230</v>
      </c>
      <c r="B4" s="306" t="s">
        <v>419</v>
      </c>
      <c r="C4" s="306" t="s">
        <v>2</v>
      </c>
      <c r="D4" s="26">
        <v>4</v>
      </c>
      <c r="E4" s="312" t="s">
        <v>197</v>
      </c>
      <c r="F4" s="306" t="str">
        <f>VLOOKUP(Table24[[#This Row],[Country]],Table10[[COUNTRY NAME]:[CONTINENT CODE]],3,FALSE)</f>
        <v>AS</v>
      </c>
      <c r="G4" s="312" t="s">
        <v>418</v>
      </c>
      <c r="H4" s="309">
        <v>13438</v>
      </c>
      <c r="I4" s="310">
        <v>31.75</v>
      </c>
      <c r="J4" s="307">
        <v>269109635</v>
      </c>
      <c r="K4" s="307">
        <f>IFERROR(Table24[[#This Row],[ROUTE COST]]/Table24[[#This Row],[O - DEMAND]],0)</f>
        <v>49044.948970293422</v>
      </c>
      <c r="L4" s="306">
        <v>5487</v>
      </c>
      <c r="M4" s="310">
        <f>Table24[[#This Row],[O - DEMAND]]/950</f>
        <v>5.7757894736842106</v>
      </c>
      <c r="N4" s="306">
        <f>IFERROR(VLOOKUP(Table24[[#This Row],[ROUTE]],DEMAND!A:F,5,FALSE),0)</f>
        <v>5487</v>
      </c>
      <c r="O4" s="306">
        <f>IFERROR(VLOOKUP(Table24[[#This Row],[ROUTE]],DEMAND!A:F,6,FALSE),0)</f>
        <v>-1163</v>
      </c>
      <c r="P4" s="306">
        <f>ROUNDDOWN(Table24[[#This Row],[R-DEMAND]]/950,0)</f>
        <v>-1</v>
      </c>
      <c r="Q4" s="306">
        <f>Table24[[#This Row],[ADD ACC
(475/950)]]*Table24[[#This Row],[Duration
(A359)]]</f>
        <v>-31.75</v>
      </c>
      <c r="R4" s="307">
        <f>IFERROR(VLOOKUP(Table24[[#This Row],[ROUTE]],PRICING!A:B,2,FALSE),0)</f>
        <v>3685</v>
      </c>
      <c r="S4" s="308">
        <f>Table24[[#This Row],[C_DEMAND]]-Table24[[#This Row],[R-DEMAND]]</f>
        <v>6650</v>
      </c>
      <c r="T4" s="307">
        <f>Table24[[#This Row],[SEATS SOLD]]*Table24[[#This Row],[ECO SEAT]]</f>
        <v>24505250</v>
      </c>
      <c r="U4" s="307">
        <f>Table24[[#This Row],[SEATS SOLD]]*(IFERROR(VLOOKUP(Table24[[#This Row],[ROUTE]],PRICING!A:C,3,FALSE),0))</f>
        <v>28495250</v>
      </c>
      <c r="V4" s="307">
        <f>Table24[[#This Row],[SEAT REV]]-Table24[[#This Row],[SEAT REV
(IF IDEAL $)]]</f>
        <v>-3990000</v>
      </c>
    </row>
    <row r="5" spans="1:22" customFormat="1" x14ac:dyDescent="0.25">
      <c r="A5" s="306" t="s">
        <v>17647</v>
      </c>
      <c r="B5" s="306" t="s">
        <v>4187</v>
      </c>
      <c r="C5" s="306" t="s">
        <v>2</v>
      </c>
      <c r="D5" s="26">
        <v>2</v>
      </c>
      <c r="E5" s="312" t="s">
        <v>659</v>
      </c>
      <c r="F5" s="306" t="str">
        <f>VLOOKUP(Table24[[#This Row],[Country]],Table10[[COUNTRY NAME]:[CONTINENT CODE]],3,FALSE)</f>
        <v>EU</v>
      </c>
      <c r="G5" s="312" t="s">
        <v>11814</v>
      </c>
      <c r="H5" s="309">
        <v>8722</v>
      </c>
      <c r="I5" s="310">
        <v>21.25</v>
      </c>
      <c r="J5" s="307">
        <v>194523854</v>
      </c>
      <c r="K5" s="307">
        <f>IFERROR(Table24[[#This Row],[ROUTE COST]]/Table24[[#This Row],[O - DEMAND]],0)</f>
        <v>76164.390759592789</v>
      </c>
      <c r="L5" s="306">
        <v>2554</v>
      </c>
      <c r="M5" s="310">
        <f>Table24[[#This Row],[O - DEMAND]]/950</f>
        <v>2.688421052631579</v>
      </c>
      <c r="N5" s="306">
        <f>IFERROR(VLOOKUP(Table24[[#This Row],[ROUTE]],DEMAND!A:F,5,FALSE),0)</f>
        <v>2725</v>
      </c>
      <c r="O5" s="306">
        <f>IFERROR(VLOOKUP(Table24[[#This Row],[ROUTE]],DEMAND!A:F,6,FALSE),0)</f>
        <v>-1075</v>
      </c>
      <c r="P5" s="306">
        <f>ROUNDDOWN(Table24[[#This Row],[R-DEMAND]]/950,0)</f>
        <v>-1</v>
      </c>
      <c r="Q5" s="306">
        <f>Table24[[#This Row],[ADD ACC
(475/950)]]*Table24[[#This Row],[Duration
(A359)]]</f>
        <v>-21.25</v>
      </c>
      <c r="R5" s="307">
        <f>IFERROR(VLOOKUP(Table24[[#This Row],[ROUTE]],PRICING!A:B,2,FALSE),0)</f>
        <v>2258</v>
      </c>
      <c r="S5" s="308">
        <f>Table24[[#This Row],[C_DEMAND]]-Table24[[#This Row],[R-DEMAND]]</f>
        <v>3800</v>
      </c>
      <c r="T5" s="307">
        <f>Table24[[#This Row],[SEATS SOLD]]*Table24[[#This Row],[ECO SEAT]]</f>
        <v>8580400</v>
      </c>
      <c r="U5" s="307">
        <f>Table24[[#This Row],[SEATS SOLD]]*(IFERROR(VLOOKUP(Table24[[#This Row],[ROUTE]],PRICING!A:C,3,FALSE),0))</f>
        <v>10727400</v>
      </c>
      <c r="V5" s="307">
        <f>Table24[[#This Row],[SEAT REV]]-Table24[[#This Row],[SEAT REV
(IF IDEAL $)]]</f>
        <v>-2147000</v>
      </c>
    </row>
    <row r="6" spans="1:22" customFormat="1" x14ac:dyDescent="0.25">
      <c r="A6" s="306" t="s">
        <v>17753</v>
      </c>
      <c r="B6" s="306" t="s">
        <v>4735</v>
      </c>
      <c r="C6" s="306" t="s">
        <v>2</v>
      </c>
      <c r="D6" s="26">
        <v>3</v>
      </c>
      <c r="E6" s="312" t="s">
        <v>1749</v>
      </c>
      <c r="F6" s="306" t="str">
        <f>VLOOKUP(Table24[[#This Row],[Country]],Table10[[COUNTRY NAME]:[CONTINENT CODE]],3,FALSE)</f>
        <v>NA</v>
      </c>
      <c r="G6" s="312" t="s">
        <v>13228</v>
      </c>
      <c r="H6" s="309">
        <v>1835</v>
      </c>
      <c r="I6" s="310">
        <v>6.25</v>
      </c>
      <c r="J6" s="307">
        <v>131064432</v>
      </c>
      <c r="K6" s="307">
        <f>IFERROR(Table24[[#This Row],[ROUTE COST]]/Table24[[#This Row],[O - DEMAND]],0)</f>
        <v>50312.641842610363</v>
      </c>
      <c r="L6" s="306">
        <v>2605</v>
      </c>
      <c r="M6" s="310">
        <f>Table24[[#This Row],[O - DEMAND]]/950</f>
        <v>2.7421052631578946</v>
      </c>
      <c r="N6" s="306">
        <f>IFERROR(VLOOKUP(Table24[[#This Row],[ROUTE]],DEMAND!A:F,5,FALSE),0)</f>
        <v>2779</v>
      </c>
      <c r="O6" s="306">
        <f>IFERROR(VLOOKUP(Table24[[#This Row],[ROUTE]],DEMAND!A:F,6,FALSE),0)</f>
        <v>-1021</v>
      </c>
      <c r="P6" s="306">
        <f>ROUNDDOWN(Table24[[#This Row],[R-DEMAND]]/950,0)</f>
        <v>-1</v>
      </c>
      <c r="Q6" s="306">
        <f>Table24[[#This Row],[ADD ACC
(475/950)]]*Table24[[#This Row],[Duration
(A359)]]</f>
        <v>-6.25</v>
      </c>
      <c r="R6" s="307">
        <f>IFERROR(VLOOKUP(Table24[[#This Row],[ROUTE]],PRICING!A:B,2,FALSE),0)</f>
        <v>550</v>
      </c>
      <c r="S6" s="308">
        <f>Table24[[#This Row],[C_DEMAND]]-Table24[[#This Row],[R-DEMAND]]</f>
        <v>3800</v>
      </c>
      <c r="T6" s="307">
        <f>Table24[[#This Row],[SEATS SOLD]]*Table24[[#This Row],[ECO SEAT]]</f>
        <v>2090000</v>
      </c>
      <c r="U6" s="307">
        <f>Table24[[#This Row],[SEATS SOLD]]*(IFERROR(VLOOKUP(Table24[[#This Row],[ROUTE]],PRICING!A:C,3,FALSE),0))</f>
        <v>2614400</v>
      </c>
      <c r="V6" s="307">
        <f>Table24[[#This Row],[SEAT REV]]-Table24[[#This Row],[SEAT REV
(IF IDEAL $)]]</f>
        <v>-524400</v>
      </c>
    </row>
    <row r="7" spans="1:22" customFormat="1" x14ac:dyDescent="0.25">
      <c r="A7" s="306" t="s">
        <v>17074</v>
      </c>
      <c r="B7" s="306" t="s">
        <v>5155</v>
      </c>
      <c r="C7" s="306" t="s">
        <v>2</v>
      </c>
      <c r="D7" s="26">
        <v>3</v>
      </c>
      <c r="E7" s="312" t="s">
        <v>608</v>
      </c>
      <c r="F7" s="306" t="str">
        <f>VLOOKUP(Table24[[#This Row],[Country]],Table10[[COUNTRY NAME]:[CONTINENT CODE]],3,FALSE)</f>
        <v>AF</v>
      </c>
      <c r="G7" s="312" t="s">
        <v>11675</v>
      </c>
      <c r="H7" s="309">
        <v>6542</v>
      </c>
      <c r="I7" s="310">
        <v>16.5</v>
      </c>
      <c r="J7" s="307">
        <v>185924115</v>
      </c>
      <c r="K7" s="307">
        <f>IFERROR(Table24[[#This Row],[ROUTE COST]]/Table24[[#This Row],[O - DEMAND]],0)</f>
        <v>49121.298546895639</v>
      </c>
      <c r="L7" s="306">
        <v>3785</v>
      </c>
      <c r="M7" s="310">
        <f>Table24[[#This Row],[O - DEMAND]]/950</f>
        <v>3.9842105263157896</v>
      </c>
      <c r="N7" s="306">
        <f>IFERROR(VLOOKUP(Table24[[#This Row],[ROUTE]],DEMAND!A:F,5,FALSE),0)</f>
        <v>3911</v>
      </c>
      <c r="O7" s="306">
        <f>IFERROR(VLOOKUP(Table24[[#This Row],[ROUTE]],DEMAND!A:F,6,FALSE),0)</f>
        <v>111</v>
      </c>
      <c r="P7" s="306">
        <f>ROUNDDOWN(Table24[[#This Row],[R-DEMAND]]/950,0)</f>
        <v>0</v>
      </c>
      <c r="Q7" s="306">
        <f>Table24[[#This Row],[ADD ACC
(475/950)]]*Table24[[#This Row],[Duration
(A359)]]</f>
        <v>0</v>
      </c>
      <c r="R7" s="307">
        <f>IFERROR(VLOOKUP(Table24[[#This Row],[ROUTE]],PRICING!A:B,2,FALSE),0)</f>
        <v>1933</v>
      </c>
      <c r="S7" s="308">
        <f>Table24[[#This Row],[C_DEMAND]]-Table24[[#This Row],[R-DEMAND]]</f>
        <v>3800</v>
      </c>
      <c r="T7" s="307">
        <f>Table24[[#This Row],[SEATS SOLD]]*Table24[[#This Row],[ECO SEAT]]</f>
        <v>7345400</v>
      </c>
      <c r="U7" s="307">
        <f>Table24[[#This Row],[SEATS SOLD]]*(IFERROR(VLOOKUP(Table24[[#This Row],[ROUTE]],PRICING!A:C,3,FALSE),0))</f>
        <v>8162400</v>
      </c>
      <c r="V7" s="307">
        <f>Table24[[#This Row],[SEAT REV]]-Table24[[#This Row],[SEAT REV
(IF IDEAL $)]]</f>
        <v>-817000</v>
      </c>
    </row>
    <row r="8" spans="1:22" customFormat="1" x14ac:dyDescent="0.25">
      <c r="A8" s="306" t="s">
        <v>17739</v>
      </c>
      <c r="B8" s="306" t="s">
        <v>5463</v>
      </c>
      <c r="C8" s="306" t="s">
        <v>2</v>
      </c>
      <c r="D8" s="26">
        <v>4</v>
      </c>
      <c r="E8" s="312" t="s">
        <v>1749</v>
      </c>
      <c r="F8" s="306" t="str">
        <f>VLOOKUP(Table24[[#This Row],[Country]],Table10[[COUNTRY NAME]:[CONTINENT CODE]],3,FALSE)</f>
        <v>NA</v>
      </c>
      <c r="G8" s="312" t="s">
        <v>13218</v>
      </c>
      <c r="H8" s="309">
        <v>2967</v>
      </c>
      <c r="I8" s="310">
        <v>8.75</v>
      </c>
      <c r="J8" s="307">
        <v>158027800</v>
      </c>
      <c r="K8" s="307">
        <f>IFERROR(Table24[[#This Row],[ROUTE COST]]/Table24[[#This Row],[O - DEMAND]],0)</f>
        <v>42084.633821571239</v>
      </c>
      <c r="L8" s="306">
        <v>3755</v>
      </c>
      <c r="M8" s="310">
        <f>Table24[[#This Row],[O - DEMAND]]/950</f>
        <v>3.9526315789473685</v>
      </c>
      <c r="N8" s="306">
        <f>IFERROR(VLOOKUP(Table24[[#This Row],[ROUTE]],DEMAND!A:F,5,FALSE),0)</f>
        <v>3994</v>
      </c>
      <c r="O8" s="306">
        <f>IFERROR(VLOOKUP(Table24[[#This Row],[ROUTE]],DEMAND!A:F,6,FALSE),0)</f>
        <v>194</v>
      </c>
      <c r="P8" s="306">
        <f>ROUNDDOWN(Table24[[#This Row],[R-DEMAND]]/950,0)</f>
        <v>0</v>
      </c>
      <c r="Q8" s="306">
        <f>Table24[[#This Row],[ADD ACC
(475/950)]]*Table24[[#This Row],[Duration
(A359)]]</f>
        <v>0</v>
      </c>
      <c r="R8" s="307">
        <f>IFERROR(VLOOKUP(Table24[[#This Row],[ROUTE]],PRICING!A:B,2,FALSE),0)</f>
        <v>841</v>
      </c>
      <c r="S8" s="308">
        <f>Table24[[#This Row],[C_DEMAND]]-Table24[[#This Row],[R-DEMAND]]</f>
        <v>3800</v>
      </c>
      <c r="T8" s="307">
        <f>Table24[[#This Row],[SEATS SOLD]]*Table24[[#This Row],[ECO SEAT]]</f>
        <v>3195800</v>
      </c>
      <c r="U8" s="307">
        <f>Table24[[#This Row],[SEATS SOLD]]*(IFERROR(VLOOKUP(Table24[[#This Row],[ROUTE]],PRICING!A:C,3,FALSE),0))</f>
        <v>3948200</v>
      </c>
      <c r="V8" s="307">
        <f>Table24[[#This Row],[SEAT REV]]-Table24[[#This Row],[SEAT REV
(IF IDEAL $)]]</f>
        <v>-752400</v>
      </c>
    </row>
    <row r="9" spans="1:22" customFormat="1" x14ac:dyDescent="0.25">
      <c r="A9" s="306" t="s">
        <v>17541</v>
      </c>
      <c r="B9" s="306" t="s">
        <v>5061</v>
      </c>
      <c r="C9" s="306" t="s">
        <v>2</v>
      </c>
      <c r="D9" s="26">
        <v>3</v>
      </c>
      <c r="E9" s="312" t="s">
        <v>758</v>
      </c>
      <c r="F9" s="306" t="str">
        <f>VLOOKUP(Table24[[#This Row],[Country]],Table10[[COUNTRY NAME]:[CONTINENT CODE]],3,FALSE)</f>
        <v>EU</v>
      </c>
      <c r="G9" s="312" t="s">
        <v>11808</v>
      </c>
      <c r="H9" s="309">
        <v>8522</v>
      </c>
      <c r="I9" s="310">
        <v>20.75</v>
      </c>
      <c r="J9" s="307">
        <v>203536860</v>
      </c>
      <c r="K9" s="307">
        <f>IFERROR(Table24[[#This Row],[ROUTE COST]]/Table24[[#This Row],[O - DEMAND]],0)</f>
        <v>69089.226069246433</v>
      </c>
      <c r="L9" s="306">
        <v>2946</v>
      </c>
      <c r="M9" s="310">
        <f>Table24[[#This Row],[O - DEMAND]]/950</f>
        <v>3.1010526315789475</v>
      </c>
      <c r="N9" s="306">
        <f>IFERROR(VLOOKUP(Table24[[#This Row],[ROUTE]],DEMAND!A:F,5,FALSE),0)</f>
        <v>3045</v>
      </c>
      <c r="O9" s="306">
        <f>IFERROR(VLOOKUP(Table24[[#This Row],[ROUTE]],DEMAND!A:F,6,FALSE),0)</f>
        <v>195</v>
      </c>
      <c r="P9" s="306">
        <f>ROUNDDOWN(Table24[[#This Row],[R-DEMAND]]/950,0)</f>
        <v>0</v>
      </c>
      <c r="Q9" s="306">
        <f>Table24[[#This Row],[ADD ACC
(475/950)]]*Table24[[#This Row],[Duration
(A359)]]</f>
        <v>0</v>
      </c>
      <c r="R9" s="307">
        <f>IFERROR(VLOOKUP(Table24[[#This Row],[ROUTE]],PRICING!A:B,2,FALSE),0)</f>
        <v>2484</v>
      </c>
      <c r="S9" s="308">
        <f>Table24[[#This Row],[C_DEMAND]]-Table24[[#This Row],[R-DEMAND]]</f>
        <v>2850</v>
      </c>
      <c r="T9" s="307">
        <f>Table24[[#This Row],[SEATS SOLD]]*Table24[[#This Row],[ECO SEAT]]</f>
        <v>7079400</v>
      </c>
      <c r="U9" s="307">
        <f>Table24[[#This Row],[SEATS SOLD]]*(IFERROR(VLOOKUP(Table24[[#This Row],[ROUTE]],PRICING!A:C,3,FALSE),0))</f>
        <v>7868850</v>
      </c>
      <c r="V9" s="307">
        <f>Table24[[#This Row],[SEAT REV]]-Table24[[#This Row],[SEAT REV
(IF IDEAL $)]]</f>
        <v>-789450</v>
      </c>
    </row>
    <row r="10" spans="1:22" customFormat="1" x14ac:dyDescent="0.25">
      <c r="A10" s="306" t="s">
        <v>17203</v>
      </c>
      <c r="B10" s="306" t="s">
        <v>339</v>
      </c>
      <c r="C10" s="306" t="s">
        <v>2</v>
      </c>
      <c r="D10" s="26">
        <v>5</v>
      </c>
      <c r="E10" s="312" t="s">
        <v>1070</v>
      </c>
      <c r="F10" s="306" t="str">
        <f>VLOOKUP(Table24[[#This Row],[Country]],Table10[[COUNTRY NAME]:[CONTINENT CODE]],3,FALSE)</f>
        <v>AS</v>
      </c>
      <c r="G10" s="312" t="s">
        <v>12027</v>
      </c>
      <c r="H10" s="309">
        <v>13830</v>
      </c>
      <c r="I10" s="310">
        <v>32.5</v>
      </c>
      <c r="J10" s="307">
        <v>289637201</v>
      </c>
      <c r="K10" s="307">
        <f>IFERROR(Table24[[#This Row],[ROUTE COST]]/Table24[[#This Row],[O - DEMAND]],0)</f>
        <v>47598.553985209532</v>
      </c>
      <c r="L10" s="306">
        <v>6085</v>
      </c>
      <c r="M10" s="310">
        <f>Table24[[#This Row],[O - DEMAND]]/950</f>
        <v>6.405263157894737</v>
      </c>
      <c r="N10" s="306">
        <f>IFERROR(VLOOKUP(Table24[[#This Row],[ROUTE]],DEMAND!A:F,5,FALSE),0)</f>
        <v>6085</v>
      </c>
      <c r="O10" s="306">
        <f>IFERROR(VLOOKUP(Table24[[#This Row],[ROUTE]],DEMAND!A:F,6,FALSE),0)</f>
        <v>-565</v>
      </c>
      <c r="P10" s="306">
        <f>ROUNDDOWN(Table24[[#This Row],[R-DEMAND]]/950,0)</f>
        <v>0</v>
      </c>
      <c r="Q10" s="306">
        <f>Table24[[#This Row],[ADD ACC
(475/950)]]*Table24[[#This Row],[Duration
(A359)]]</f>
        <v>0</v>
      </c>
      <c r="R10" s="307">
        <f>IFERROR(VLOOKUP(Table24[[#This Row],[ROUTE]],PRICING!A:B,2,FALSE),0)</f>
        <v>3657</v>
      </c>
      <c r="S10" s="308">
        <f>Table24[[#This Row],[C_DEMAND]]-Table24[[#This Row],[R-DEMAND]]</f>
        <v>6650</v>
      </c>
      <c r="T10" s="307">
        <f>Table24[[#This Row],[SEATS SOLD]]*Table24[[#This Row],[ECO SEAT]]</f>
        <v>24319050</v>
      </c>
      <c r="U10" s="307">
        <f>Table24[[#This Row],[SEATS SOLD]]*(IFERROR(VLOOKUP(Table24[[#This Row],[ROUTE]],PRICING!A:C,3,FALSE),0))</f>
        <v>29306550</v>
      </c>
      <c r="V10" s="307">
        <f>Table24[[#This Row],[SEAT REV]]-Table24[[#This Row],[SEAT REV
(IF IDEAL $)]]</f>
        <v>-4987500</v>
      </c>
    </row>
    <row r="11" spans="1:22" customFormat="1" x14ac:dyDescent="0.25">
      <c r="A11" s="306" t="s">
        <v>17141</v>
      </c>
      <c r="B11" s="306" t="s">
        <v>457</v>
      </c>
      <c r="C11" s="306" t="s">
        <v>2</v>
      </c>
      <c r="D11" s="26">
        <v>4</v>
      </c>
      <c r="E11" s="312" t="s">
        <v>2527</v>
      </c>
      <c r="F11" s="306" t="str">
        <f>VLOOKUP(Table24[[#This Row],[Country]],Table10[[COUNTRY NAME]:[CONTINENT CODE]],3,FALSE)</f>
        <v>AF</v>
      </c>
      <c r="G11" s="312" t="s">
        <v>11119</v>
      </c>
      <c r="H11" s="309">
        <v>11866</v>
      </c>
      <c r="I11" s="310">
        <v>28.25</v>
      </c>
      <c r="J11" s="307">
        <v>250468232</v>
      </c>
      <c r="K11" s="307">
        <f>IFERROR(Table24[[#This Row],[ROUTE COST]]/Table24[[#This Row],[O - DEMAND]],0)</f>
        <v>42265.985825177188</v>
      </c>
      <c r="L11" s="306">
        <v>5926</v>
      </c>
      <c r="M11" s="310">
        <f>Table24[[#This Row],[O - DEMAND]]/950</f>
        <v>6.2378947368421054</v>
      </c>
      <c r="N11" s="306">
        <f>IFERROR(VLOOKUP(Table24[[#This Row],[ROUTE]],DEMAND!A:F,5,FALSE),0)</f>
        <v>6203</v>
      </c>
      <c r="O11" s="306">
        <f>IFERROR(VLOOKUP(Table24[[#This Row],[ROUTE]],DEMAND!A:F,6,FALSE),0)</f>
        <v>-447</v>
      </c>
      <c r="P11" s="306">
        <f>ROUNDDOWN(Table24[[#This Row],[R-DEMAND]]/950,0)</f>
        <v>0</v>
      </c>
      <c r="Q11" s="306">
        <f>Table24[[#This Row],[ADD ACC
(475/950)]]*Table24[[#This Row],[Duration
(A359)]]</f>
        <v>0</v>
      </c>
      <c r="R11" s="307">
        <f>IFERROR(VLOOKUP(Table24[[#This Row],[ROUTE]],PRICING!A:B,2,FALSE),0)</f>
        <v>3266</v>
      </c>
      <c r="S11" s="308">
        <f>Table24[[#This Row],[C_DEMAND]]-Table24[[#This Row],[R-DEMAND]]</f>
        <v>6650</v>
      </c>
      <c r="T11" s="307">
        <f>Table24[[#This Row],[SEATS SOLD]]*Table24[[#This Row],[ECO SEAT]]</f>
        <v>21718900</v>
      </c>
      <c r="U11" s="307">
        <f>Table24[[#This Row],[SEATS SOLD]]*(IFERROR(VLOOKUP(Table24[[#This Row],[ROUTE]],PRICING!A:C,3,FALSE),0))</f>
        <v>25256700</v>
      </c>
      <c r="V11" s="307">
        <f>Table24[[#This Row],[SEAT REV]]-Table24[[#This Row],[SEAT REV
(IF IDEAL $)]]</f>
        <v>-3537800</v>
      </c>
    </row>
    <row r="12" spans="1:22" customFormat="1" x14ac:dyDescent="0.25">
      <c r="A12" s="306" t="s">
        <v>17083</v>
      </c>
      <c r="B12" s="306" t="s">
        <v>1933</v>
      </c>
      <c r="C12" s="306" t="s">
        <v>2</v>
      </c>
      <c r="D12" s="26">
        <v>1</v>
      </c>
      <c r="E12" s="312" t="s">
        <v>1931</v>
      </c>
      <c r="F12" s="306" t="str">
        <f>VLOOKUP(Table24[[#This Row],[Country]],Table10[[COUNTRY NAME]:[CONTINENT CODE]],3,FALSE)</f>
        <v>OC</v>
      </c>
      <c r="G12" s="312" t="s">
        <v>16821</v>
      </c>
      <c r="H12" s="309">
        <v>14435</v>
      </c>
      <c r="I12" s="310">
        <v>33.75</v>
      </c>
      <c r="J12" s="307">
        <v>239075850</v>
      </c>
      <c r="K12" s="307">
        <f>IFERROR(Table24[[#This Row],[ROUTE COST]]/Table24[[#This Row],[O - DEMAND]],0)</f>
        <v>158748.90438247012</v>
      </c>
      <c r="L12" s="306">
        <v>1506</v>
      </c>
      <c r="M12" s="310">
        <f>Table24[[#This Row],[O - DEMAND]]/950</f>
        <v>1.5852631578947369</v>
      </c>
      <c r="N12" s="306">
        <f>IFERROR(VLOOKUP(Table24[[#This Row],[ROUTE]],DEMAND!A:F,5,FALSE),0)</f>
        <v>1581</v>
      </c>
      <c r="O12" s="306">
        <f>IFERROR(VLOOKUP(Table24[[#This Row],[ROUTE]],DEMAND!A:F,6,FALSE),0)</f>
        <v>-319</v>
      </c>
      <c r="P12" s="306">
        <f>ROUNDDOWN(Table24[[#This Row],[R-DEMAND]]/950,0)</f>
        <v>0</v>
      </c>
      <c r="Q12" s="306">
        <f>Table24[[#This Row],[ADD ACC
(475/950)]]*Table24[[#This Row],[Duration
(A359)]]</f>
        <v>0</v>
      </c>
      <c r="R12" s="307">
        <f>IFERROR(VLOOKUP(Table24[[#This Row],[ROUTE]],PRICING!A:B,2,FALSE),0)</f>
        <v>3904</v>
      </c>
      <c r="S12" s="308">
        <f>Table24[[#This Row],[C_DEMAND]]-Table24[[#This Row],[R-DEMAND]]</f>
        <v>1900</v>
      </c>
      <c r="T12" s="307">
        <f>Table24[[#This Row],[SEATS SOLD]]*Table24[[#This Row],[ECO SEAT]]</f>
        <v>7417600</v>
      </c>
      <c r="U12" s="307">
        <f>Table24[[#This Row],[SEATS SOLD]]*(IFERROR(VLOOKUP(Table24[[#This Row],[ROUTE]],PRICING!A:C,3,FALSE),0))</f>
        <v>8728600</v>
      </c>
      <c r="V12" s="307">
        <f>Table24[[#This Row],[SEAT REV]]-Table24[[#This Row],[SEAT REV
(IF IDEAL $)]]</f>
        <v>-1311000</v>
      </c>
    </row>
    <row r="13" spans="1:22" customFormat="1" x14ac:dyDescent="0.25">
      <c r="A13" s="306" t="s">
        <v>17446</v>
      </c>
      <c r="B13" s="306" t="s">
        <v>4875</v>
      </c>
      <c r="C13" s="306"/>
      <c r="D13" s="26"/>
      <c r="E13" s="312" t="s">
        <v>14</v>
      </c>
      <c r="F13" s="306" t="str">
        <f>VLOOKUP(Table24[[#This Row],[Country]],Table10[[COUNTRY NAME]:[CONTINENT CODE]],3,FALSE)</f>
        <v>AS</v>
      </c>
      <c r="G13" s="312" t="s">
        <v>16811</v>
      </c>
      <c r="H13" s="309">
        <v>15054</v>
      </c>
      <c r="I13" s="310">
        <v>35.25</v>
      </c>
      <c r="J13" s="307"/>
      <c r="K13" s="307">
        <f>IFERROR(Table24[[#This Row],[ROUTE COST]]/Table24[[#This Row],[O - DEMAND]],0)</f>
        <v>0</v>
      </c>
      <c r="L13" s="306"/>
      <c r="M13" s="310">
        <f>Table24[[#This Row],[O - DEMAND]]/950</f>
        <v>0</v>
      </c>
      <c r="N13" s="306">
        <f>IFERROR(VLOOKUP(Table24[[#This Row],[ROUTE]],DEMAND!A:F,5,FALSE),0)</f>
        <v>0</v>
      </c>
      <c r="O13" s="306">
        <f>IFERROR(VLOOKUP(Table24[[#This Row],[ROUTE]],DEMAND!A:F,6,FALSE),0)</f>
        <v>0</v>
      </c>
      <c r="P13" s="306">
        <f>ROUNDDOWN(Table24[[#This Row],[R-DEMAND]]/950,0)</f>
        <v>0</v>
      </c>
      <c r="Q13" s="306">
        <f>Table24[[#This Row],[ADD ACC
(475/950)]]*Table24[[#This Row],[Duration
(A359)]]</f>
        <v>0</v>
      </c>
      <c r="R13" s="307">
        <f>IFERROR(VLOOKUP(Table24[[#This Row],[ROUTE]],PRICING!A:B,2,FALSE),0)</f>
        <v>0</v>
      </c>
      <c r="S13" s="308">
        <f>Table24[[#This Row],[C_DEMAND]]-Table24[[#This Row],[R-DEMAND]]</f>
        <v>0</v>
      </c>
      <c r="T13" s="307">
        <f>Table24[[#This Row],[SEATS SOLD]]*Table24[[#This Row],[ECO SEAT]]</f>
        <v>0</v>
      </c>
      <c r="U13" s="307">
        <f>Table24[[#This Row],[SEATS SOLD]]*(IFERROR(VLOOKUP(Table24[[#This Row],[ROUTE]],PRICING!A:C,3,FALSE),0))</f>
        <v>0</v>
      </c>
      <c r="V13" s="307">
        <f>Table24[[#This Row],[SEAT REV]]-Table24[[#This Row],[SEAT REV
(IF IDEAL $)]]</f>
        <v>0</v>
      </c>
    </row>
    <row r="14" spans="1:22" customFormat="1" x14ac:dyDescent="0.25">
      <c r="A14" s="306" t="s">
        <v>17314</v>
      </c>
      <c r="B14" s="306" t="s">
        <v>3189</v>
      </c>
      <c r="C14" s="306"/>
      <c r="D14" s="26">
        <v>2</v>
      </c>
      <c r="E14" s="312" t="s">
        <v>14</v>
      </c>
      <c r="F14" s="306" t="str">
        <f>VLOOKUP(Table24[[#This Row],[Country]],Table10[[COUNTRY NAME]:[CONTINENT CODE]],3,FALSE)</f>
        <v>AS</v>
      </c>
      <c r="G14" s="312" t="s">
        <v>12073</v>
      </c>
      <c r="H14" s="309">
        <v>14961</v>
      </c>
      <c r="I14" s="310">
        <v>35</v>
      </c>
      <c r="J14" s="307"/>
      <c r="K14" s="307">
        <f>IFERROR(Table24[[#This Row],[ROUTE COST]]/Table24[[#This Row],[O - DEMAND]],0)</f>
        <v>0</v>
      </c>
      <c r="L14" s="306"/>
      <c r="M14" s="310">
        <f>Table24[[#This Row],[O - DEMAND]]/950</f>
        <v>0</v>
      </c>
      <c r="N14" s="306">
        <f>IFERROR(VLOOKUP(Table24[[#This Row],[ROUTE]],DEMAND!A:F,5,FALSE),0)</f>
        <v>0</v>
      </c>
      <c r="O14" s="306">
        <f>IFERROR(VLOOKUP(Table24[[#This Row],[ROUTE]],DEMAND!A:F,6,FALSE),0)</f>
        <v>0</v>
      </c>
      <c r="P14" s="306">
        <f>ROUNDDOWN(Table24[[#This Row],[R-DEMAND]]/950,0)</f>
        <v>0</v>
      </c>
      <c r="Q14" s="306">
        <f>Table24[[#This Row],[ADD ACC
(475/950)]]*Table24[[#This Row],[Duration
(A359)]]</f>
        <v>0</v>
      </c>
      <c r="R14" s="307">
        <f>IFERROR(VLOOKUP(Table24[[#This Row],[ROUTE]],PRICING!A:B,2,FALSE),0)</f>
        <v>0</v>
      </c>
      <c r="S14" s="308">
        <f>Table24[[#This Row],[C_DEMAND]]-Table24[[#This Row],[R-DEMAND]]</f>
        <v>0</v>
      </c>
      <c r="T14" s="307">
        <f>Table24[[#This Row],[SEATS SOLD]]*Table24[[#This Row],[ECO SEAT]]</f>
        <v>0</v>
      </c>
      <c r="U14" s="307">
        <f>Table24[[#This Row],[SEATS SOLD]]*(IFERROR(VLOOKUP(Table24[[#This Row],[ROUTE]],PRICING!A:C,3,FALSE),0))</f>
        <v>0</v>
      </c>
      <c r="V14" s="307">
        <f>Table24[[#This Row],[SEAT REV]]-Table24[[#This Row],[SEAT REV
(IF IDEAL $)]]</f>
        <v>0</v>
      </c>
    </row>
    <row r="15" spans="1:22" customFormat="1" x14ac:dyDescent="0.25">
      <c r="A15" s="306" t="s">
        <v>17313</v>
      </c>
      <c r="B15" s="306" t="s">
        <v>4156</v>
      </c>
      <c r="C15" s="306"/>
      <c r="D15" s="26">
        <v>2</v>
      </c>
      <c r="E15" s="312" t="s">
        <v>1070</v>
      </c>
      <c r="F15" s="306" t="str">
        <f>VLOOKUP(Table24[[#This Row],[Country]],Table10[[COUNTRY NAME]:[CONTINENT CODE]],3,FALSE)</f>
        <v>AS</v>
      </c>
      <c r="G15" s="312" t="s">
        <v>9344</v>
      </c>
      <c r="H15" s="309">
        <v>14973</v>
      </c>
      <c r="I15" s="310">
        <v>35</v>
      </c>
      <c r="J15" s="307"/>
      <c r="K15" s="307">
        <f>IFERROR(Table24[[#This Row],[ROUTE COST]]/Table24[[#This Row],[O - DEMAND]],0)</f>
        <v>0</v>
      </c>
      <c r="L15" s="306"/>
      <c r="M15" s="310">
        <f>Table24[[#This Row],[O - DEMAND]]/950</f>
        <v>0</v>
      </c>
      <c r="N15" s="306">
        <f>IFERROR(VLOOKUP(Table24[[#This Row],[ROUTE]],DEMAND!A:F,5,FALSE),0)</f>
        <v>0</v>
      </c>
      <c r="O15" s="306">
        <f>IFERROR(VLOOKUP(Table24[[#This Row],[ROUTE]],DEMAND!A:F,6,FALSE),0)</f>
        <v>0</v>
      </c>
      <c r="P15" s="306">
        <f>ROUNDDOWN(Table24[[#This Row],[R-DEMAND]]/950,0)</f>
        <v>0</v>
      </c>
      <c r="Q15" s="306">
        <f>Table24[[#This Row],[ADD ACC
(475/950)]]*Table24[[#This Row],[Duration
(A359)]]</f>
        <v>0</v>
      </c>
      <c r="R15" s="307">
        <f>IFERROR(VLOOKUP(Table24[[#This Row],[ROUTE]],PRICING!A:B,2,FALSE),0)</f>
        <v>0</v>
      </c>
      <c r="S15" s="308">
        <f>Table24[[#This Row],[C_DEMAND]]-Table24[[#This Row],[R-DEMAND]]</f>
        <v>0</v>
      </c>
      <c r="T15" s="307">
        <f>Table24[[#This Row],[SEATS SOLD]]*Table24[[#This Row],[ECO SEAT]]</f>
        <v>0</v>
      </c>
      <c r="U15" s="307">
        <f>Table24[[#This Row],[SEATS SOLD]]*(IFERROR(VLOOKUP(Table24[[#This Row],[ROUTE]],PRICING!A:C,3,FALSE),0))</f>
        <v>0</v>
      </c>
      <c r="V15" s="307">
        <f>Table24[[#This Row],[SEAT REV]]-Table24[[#This Row],[SEAT REV
(IF IDEAL $)]]</f>
        <v>0</v>
      </c>
    </row>
    <row r="16" spans="1:22" customFormat="1" x14ac:dyDescent="0.25">
      <c r="A16" s="306" t="s">
        <v>17312</v>
      </c>
      <c r="B16" s="306" t="s">
        <v>246</v>
      </c>
      <c r="C16" s="306"/>
      <c r="D16" s="26">
        <v>2</v>
      </c>
      <c r="E16" s="312" t="s">
        <v>1070</v>
      </c>
      <c r="F16" s="306" t="str">
        <f>VLOOKUP(Table24[[#This Row],[Country]],Table10[[COUNTRY NAME]:[CONTINENT CODE]],3,FALSE)</f>
        <v>AS</v>
      </c>
      <c r="G16" s="312" t="s">
        <v>9268</v>
      </c>
      <c r="H16" s="309">
        <v>14995</v>
      </c>
      <c r="I16" s="310">
        <v>35</v>
      </c>
      <c r="J16" s="307"/>
      <c r="K16" s="307">
        <f>IFERROR(Table24[[#This Row],[ROUTE COST]]/Table24[[#This Row],[O - DEMAND]],0)</f>
        <v>0</v>
      </c>
      <c r="L16" s="306"/>
      <c r="M16" s="310">
        <f>Table24[[#This Row],[O - DEMAND]]/950</f>
        <v>0</v>
      </c>
      <c r="N16" s="306">
        <f>IFERROR(VLOOKUP(Table24[[#This Row],[ROUTE]],DEMAND!A:F,5,FALSE),0)</f>
        <v>0</v>
      </c>
      <c r="O16" s="306">
        <f>IFERROR(VLOOKUP(Table24[[#This Row],[ROUTE]],DEMAND!A:F,6,FALSE),0)</f>
        <v>0</v>
      </c>
      <c r="P16" s="306">
        <f>ROUNDDOWN(Table24[[#This Row],[R-DEMAND]]/950,0)</f>
        <v>0</v>
      </c>
      <c r="Q16" s="306">
        <f>Table24[[#This Row],[ADD ACC
(475/950)]]*Table24[[#This Row],[Duration
(A359)]]</f>
        <v>0</v>
      </c>
      <c r="R16" s="307">
        <f>IFERROR(VLOOKUP(Table24[[#This Row],[ROUTE]],PRICING!A:B,2,FALSE),0)</f>
        <v>0</v>
      </c>
      <c r="S16" s="308">
        <f>Table24[[#This Row],[C_DEMAND]]-Table24[[#This Row],[R-DEMAND]]</f>
        <v>0</v>
      </c>
      <c r="T16" s="307">
        <f>Table24[[#This Row],[SEATS SOLD]]*Table24[[#This Row],[ECO SEAT]]</f>
        <v>0</v>
      </c>
      <c r="U16" s="307">
        <f>Table24[[#This Row],[SEATS SOLD]]*(IFERROR(VLOOKUP(Table24[[#This Row],[ROUTE]],PRICING!A:C,3,FALSE),0))</f>
        <v>0</v>
      </c>
      <c r="V16" s="307">
        <f>Table24[[#This Row],[SEAT REV]]-Table24[[#This Row],[SEAT REV
(IF IDEAL $)]]</f>
        <v>0</v>
      </c>
    </row>
    <row r="17" spans="1:22" customFormat="1" x14ac:dyDescent="0.25">
      <c r="A17" s="306" t="s">
        <v>17315</v>
      </c>
      <c r="B17" s="306" t="s">
        <v>2776</v>
      </c>
      <c r="C17" s="306"/>
      <c r="D17" s="26">
        <v>2</v>
      </c>
      <c r="E17" s="312" t="s">
        <v>14</v>
      </c>
      <c r="F17" s="306" t="str">
        <f>VLOOKUP(Table24[[#This Row],[Country]],Table10[[COUNTRY NAME]:[CONTINENT CODE]],3,FALSE)</f>
        <v>AS</v>
      </c>
      <c r="G17" s="312" t="s">
        <v>16813</v>
      </c>
      <c r="H17" s="309">
        <v>14910</v>
      </c>
      <c r="I17" s="310">
        <v>34.75</v>
      </c>
      <c r="J17" s="307"/>
      <c r="K17" s="307">
        <f>IFERROR(Table24[[#This Row],[ROUTE COST]]/Table24[[#This Row],[O - DEMAND]],0)</f>
        <v>0</v>
      </c>
      <c r="L17" s="306"/>
      <c r="M17" s="310">
        <f>Table24[[#This Row],[O - DEMAND]]/950</f>
        <v>0</v>
      </c>
      <c r="N17" s="306">
        <f>IFERROR(VLOOKUP(Table24[[#This Row],[ROUTE]],DEMAND!A:F,5,FALSE),0)</f>
        <v>0</v>
      </c>
      <c r="O17" s="306">
        <f>IFERROR(VLOOKUP(Table24[[#This Row],[ROUTE]],DEMAND!A:F,6,FALSE),0)</f>
        <v>0</v>
      </c>
      <c r="P17" s="306">
        <f>ROUNDDOWN(Table24[[#This Row],[R-DEMAND]]/950,0)</f>
        <v>0</v>
      </c>
      <c r="Q17" s="306">
        <f>Table24[[#This Row],[ADD ACC
(475/950)]]*Table24[[#This Row],[Duration
(A359)]]</f>
        <v>0</v>
      </c>
      <c r="R17" s="307">
        <f>IFERROR(VLOOKUP(Table24[[#This Row],[ROUTE]],PRICING!A:B,2,FALSE),0)</f>
        <v>0</v>
      </c>
      <c r="S17" s="308">
        <f>Table24[[#This Row],[C_DEMAND]]-Table24[[#This Row],[R-DEMAND]]</f>
        <v>0</v>
      </c>
      <c r="T17" s="307">
        <f>Table24[[#This Row],[SEATS SOLD]]*Table24[[#This Row],[ECO SEAT]]</f>
        <v>0</v>
      </c>
      <c r="U17" s="307">
        <f>Table24[[#This Row],[SEATS SOLD]]*(IFERROR(VLOOKUP(Table24[[#This Row],[ROUTE]],PRICING!A:C,3,FALSE),0))</f>
        <v>0</v>
      </c>
      <c r="V17" s="307">
        <f>Table24[[#This Row],[SEAT REV]]-Table24[[#This Row],[SEAT REV
(IF IDEAL $)]]</f>
        <v>0</v>
      </c>
    </row>
    <row r="18" spans="1:22" customFormat="1" x14ac:dyDescent="0.25">
      <c r="A18" s="306" t="s">
        <v>17317</v>
      </c>
      <c r="B18" s="306" t="s">
        <v>3842</v>
      </c>
      <c r="C18" s="306"/>
      <c r="D18" s="26">
        <v>2</v>
      </c>
      <c r="E18" s="312" t="s">
        <v>14</v>
      </c>
      <c r="F18" s="306" t="str">
        <f>VLOOKUP(Table24[[#This Row],[Country]],Table10[[COUNTRY NAME]:[CONTINENT CODE]],3,FALSE)</f>
        <v>AS</v>
      </c>
      <c r="G18" s="312" t="s">
        <v>12067</v>
      </c>
      <c r="H18" s="309">
        <v>14807</v>
      </c>
      <c r="I18" s="310">
        <v>34.75</v>
      </c>
      <c r="J18" s="307"/>
      <c r="K18" s="307">
        <f>IFERROR(Table24[[#This Row],[ROUTE COST]]/Table24[[#This Row],[O - DEMAND]],0)</f>
        <v>0</v>
      </c>
      <c r="L18" s="306"/>
      <c r="M18" s="310">
        <f>Table24[[#This Row],[O - DEMAND]]/950</f>
        <v>0</v>
      </c>
      <c r="N18" s="306">
        <f>IFERROR(VLOOKUP(Table24[[#This Row],[ROUTE]],DEMAND!A:F,5,FALSE),0)</f>
        <v>0</v>
      </c>
      <c r="O18" s="306">
        <f>IFERROR(VLOOKUP(Table24[[#This Row],[ROUTE]],DEMAND!A:F,6,FALSE),0)</f>
        <v>0</v>
      </c>
      <c r="P18" s="306">
        <f>ROUNDDOWN(Table24[[#This Row],[R-DEMAND]]/950,0)</f>
        <v>0</v>
      </c>
      <c r="Q18" s="306">
        <f>Table24[[#This Row],[ADD ACC
(475/950)]]*Table24[[#This Row],[Duration
(A359)]]</f>
        <v>0</v>
      </c>
      <c r="R18" s="307">
        <f>IFERROR(VLOOKUP(Table24[[#This Row],[ROUTE]],PRICING!A:B,2,FALSE),0)</f>
        <v>0</v>
      </c>
      <c r="S18" s="308">
        <f>Table24[[#This Row],[C_DEMAND]]-Table24[[#This Row],[R-DEMAND]]</f>
        <v>0</v>
      </c>
      <c r="T18" s="307">
        <f>Table24[[#This Row],[SEATS SOLD]]*Table24[[#This Row],[ECO SEAT]]</f>
        <v>0</v>
      </c>
      <c r="U18" s="307">
        <f>Table24[[#This Row],[SEATS SOLD]]*(IFERROR(VLOOKUP(Table24[[#This Row],[ROUTE]],PRICING!A:C,3,FALSE),0))</f>
        <v>0</v>
      </c>
      <c r="V18" s="307">
        <f>Table24[[#This Row],[SEAT REV]]-Table24[[#This Row],[SEAT REV
(IF IDEAL $)]]</f>
        <v>0</v>
      </c>
    </row>
    <row r="19" spans="1:22" customFormat="1" x14ac:dyDescent="0.25">
      <c r="A19" s="306" t="s">
        <v>17410</v>
      </c>
      <c r="B19" s="306" t="s">
        <v>1801</v>
      </c>
      <c r="C19" s="306"/>
      <c r="D19" s="26">
        <v>1</v>
      </c>
      <c r="E19" s="312" t="s">
        <v>14</v>
      </c>
      <c r="F19" s="306" t="str">
        <f>VLOOKUP(Table24[[#This Row],[Country]],Table10[[COUNTRY NAME]:[CONTINENT CODE]],3,FALSE)</f>
        <v>AS</v>
      </c>
      <c r="G19" s="312" t="s">
        <v>5911</v>
      </c>
      <c r="H19" s="309">
        <v>14897</v>
      </c>
      <c r="I19" s="310">
        <v>34.75</v>
      </c>
      <c r="J19" s="307"/>
      <c r="K19" s="307">
        <f>IFERROR(Table24[[#This Row],[ROUTE COST]]/Table24[[#This Row],[O - DEMAND]],0)</f>
        <v>0</v>
      </c>
      <c r="L19" s="306"/>
      <c r="M19" s="310">
        <f>Table24[[#This Row],[O - DEMAND]]/950</f>
        <v>0</v>
      </c>
      <c r="N19" s="306">
        <f>IFERROR(VLOOKUP(Table24[[#This Row],[ROUTE]],DEMAND!A:F,5,FALSE),0)</f>
        <v>0</v>
      </c>
      <c r="O19" s="306">
        <f>IFERROR(VLOOKUP(Table24[[#This Row],[ROUTE]],DEMAND!A:F,6,FALSE),0)</f>
        <v>0</v>
      </c>
      <c r="P19" s="306">
        <f>ROUNDDOWN(Table24[[#This Row],[R-DEMAND]]/950,0)</f>
        <v>0</v>
      </c>
      <c r="Q19" s="306">
        <f>Table24[[#This Row],[ADD ACC
(475/950)]]*Table24[[#This Row],[Duration
(A359)]]</f>
        <v>0</v>
      </c>
      <c r="R19" s="307">
        <f>IFERROR(VLOOKUP(Table24[[#This Row],[ROUTE]],PRICING!A:B,2,FALSE),0)</f>
        <v>0</v>
      </c>
      <c r="S19" s="308">
        <f>Table24[[#This Row],[C_DEMAND]]-Table24[[#This Row],[R-DEMAND]]</f>
        <v>0</v>
      </c>
      <c r="T19" s="307">
        <f>Table24[[#This Row],[SEATS SOLD]]*Table24[[#This Row],[ECO SEAT]]</f>
        <v>0</v>
      </c>
      <c r="U19" s="307">
        <f>Table24[[#This Row],[SEATS SOLD]]*(IFERROR(VLOOKUP(Table24[[#This Row],[ROUTE]],PRICING!A:C,3,FALSE),0))</f>
        <v>0</v>
      </c>
      <c r="V19" s="307">
        <f>Table24[[#This Row],[SEAT REV]]-Table24[[#This Row],[SEAT REV
(IF IDEAL $)]]</f>
        <v>0</v>
      </c>
    </row>
    <row r="20" spans="1:22" customFormat="1" x14ac:dyDescent="0.25">
      <c r="A20" s="306" t="s">
        <v>17320</v>
      </c>
      <c r="B20" s="306" t="s">
        <v>3493</v>
      </c>
      <c r="C20" s="306"/>
      <c r="D20" s="26">
        <v>2</v>
      </c>
      <c r="E20" s="312" t="s">
        <v>14</v>
      </c>
      <c r="F20" s="306" t="str">
        <f>VLOOKUP(Table24[[#This Row],[Country]],Table10[[COUNTRY NAME]:[CONTINENT CODE]],3,FALSE)</f>
        <v>AS</v>
      </c>
      <c r="G20" s="312" t="s">
        <v>16816</v>
      </c>
      <c r="H20" s="309">
        <v>14720</v>
      </c>
      <c r="I20" s="310">
        <v>34.5</v>
      </c>
      <c r="J20" s="307"/>
      <c r="K20" s="307">
        <f>IFERROR(Table24[[#This Row],[ROUTE COST]]/Table24[[#This Row],[O - DEMAND]],0)</f>
        <v>0</v>
      </c>
      <c r="L20" s="306"/>
      <c r="M20" s="310">
        <f>Table24[[#This Row],[O - DEMAND]]/950</f>
        <v>0</v>
      </c>
      <c r="N20" s="306">
        <f>IFERROR(VLOOKUP(Table24[[#This Row],[ROUTE]],DEMAND!A:F,5,FALSE),0)</f>
        <v>0</v>
      </c>
      <c r="O20" s="306">
        <f>IFERROR(VLOOKUP(Table24[[#This Row],[ROUTE]],DEMAND!A:F,6,FALSE),0)</f>
        <v>0</v>
      </c>
      <c r="P20" s="306">
        <f>ROUNDDOWN(Table24[[#This Row],[R-DEMAND]]/950,0)</f>
        <v>0</v>
      </c>
      <c r="Q20" s="306">
        <f>Table24[[#This Row],[ADD ACC
(475/950)]]*Table24[[#This Row],[Duration
(A359)]]</f>
        <v>0</v>
      </c>
      <c r="R20" s="307">
        <f>IFERROR(VLOOKUP(Table24[[#This Row],[ROUTE]],PRICING!A:B,2,FALSE),0)</f>
        <v>0</v>
      </c>
      <c r="S20" s="308">
        <f>Table24[[#This Row],[C_DEMAND]]-Table24[[#This Row],[R-DEMAND]]</f>
        <v>0</v>
      </c>
      <c r="T20" s="307">
        <f>Table24[[#This Row],[SEATS SOLD]]*Table24[[#This Row],[ECO SEAT]]</f>
        <v>0</v>
      </c>
      <c r="U20" s="307">
        <f>Table24[[#This Row],[SEATS SOLD]]*(IFERROR(VLOOKUP(Table24[[#This Row],[ROUTE]],PRICING!A:C,3,FALSE),0))</f>
        <v>0</v>
      </c>
      <c r="V20" s="307">
        <f>Table24[[#This Row],[SEAT REV]]-Table24[[#This Row],[SEAT REV
(IF IDEAL $)]]</f>
        <v>0</v>
      </c>
    </row>
    <row r="21" spans="1:22" customFormat="1" x14ac:dyDescent="0.25">
      <c r="A21" s="306" t="s">
        <v>17318</v>
      </c>
      <c r="B21" s="306" t="s">
        <v>3435</v>
      </c>
      <c r="C21" s="306"/>
      <c r="D21" s="26">
        <v>2</v>
      </c>
      <c r="E21" s="312" t="s">
        <v>14</v>
      </c>
      <c r="F21" s="306" t="str">
        <f>VLOOKUP(Table24[[#This Row],[Country]],Table10[[COUNTRY NAME]:[CONTINENT CODE]],3,FALSE)</f>
        <v>AS</v>
      </c>
      <c r="G21" s="312" t="s">
        <v>12065</v>
      </c>
      <c r="H21" s="309">
        <v>14790</v>
      </c>
      <c r="I21" s="310">
        <v>34.5</v>
      </c>
      <c r="J21" s="307"/>
      <c r="K21" s="307">
        <f>IFERROR(Table24[[#This Row],[ROUTE COST]]/Table24[[#This Row],[O - DEMAND]],0)</f>
        <v>0</v>
      </c>
      <c r="L21" s="306"/>
      <c r="M21" s="310">
        <f>Table24[[#This Row],[O - DEMAND]]/950</f>
        <v>0</v>
      </c>
      <c r="N21" s="306">
        <f>IFERROR(VLOOKUP(Table24[[#This Row],[ROUTE]],DEMAND!A:F,5,FALSE),0)</f>
        <v>0</v>
      </c>
      <c r="O21" s="306">
        <f>IFERROR(VLOOKUP(Table24[[#This Row],[ROUTE]],DEMAND!A:F,6,FALSE),0)</f>
        <v>0</v>
      </c>
      <c r="P21" s="306">
        <f>ROUNDDOWN(Table24[[#This Row],[R-DEMAND]]/950,0)</f>
        <v>0</v>
      </c>
      <c r="Q21" s="306">
        <f>Table24[[#This Row],[ADD ACC
(475/950)]]*Table24[[#This Row],[Duration
(A359)]]</f>
        <v>0</v>
      </c>
      <c r="R21" s="307">
        <f>IFERROR(VLOOKUP(Table24[[#This Row],[ROUTE]],PRICING!A:B,2,FALSE),0)</f>
        <v>0</v>
      </c>
      <c r="S21" s="308">
        <f>Table24[[#This Row],[C_DEMAND]]-Table24[[#This Row],[R-DEMAND]]</f>
        <v>0</v>
      </c>
      <c r="T21" s="307">
        <f>Table24[[#This Row],[SEATS SOLD]]*Table24[[#This Row],[ECO SEAT]]</f>
        <v>0</v>
      </c>
      <c r="U21" s="307">
        <f>Table24[[#This Row],[SEATS SOLD]]*(IFERROR(VLOOKUP(Table24[[#This Row],[ROUTE]],PRICING!A:C,3,FALSE),0))</f>
        <v>0</v>
      </c>
      <c r="V21" s="307">
        <f>Table24[[#This Row],[SEAT REV]]-Table24[[#This Row],[SEAT REV
(IF IDEAL $)]]</f>
        <v>0</v>
      </c>
    </row>
    <row r="22" spans="1:22" customFormat="1" x14ac:dyDescent="0.25">
      <c r="A22" s="306" t="s">
        <v>17319</v>
      </c>
      <c r="B22" s="306" t="s">
        <v>3821</v>
      </c>
      <c r="C22" s="306"/>
      <c r="D22" s="26">
        <v>2</v>
      </c>
      <c r="E22" s="312" t="s">
        <v>1070</v>
      </c>
      <c r="F22" s="306" t="str">
        <f>VLOOKUP(Table24[[#This Row],[Country]],Table10[[COUNTRY NAME]:[CONTINENT CODE]],3,FALSE)</f>
        <v>AS</v>
      </c>
      <c r="G22" s="312" t="s">
        <v>16815</v>
      </c>
      <c r="H22" s="309">
        <v>14765</v>
      </c>
      <c r="I22" s="310">
        <v>34.5</v>
      </c>
      <c r="J22" s="307"/>
      <c r="K22" s="307">
        <f>IFERROR(Table24[[#This Row],[ROUTE COST]]/Table24[[#This Row],[O - DEMAND]],0)</f>
        <v>0</v>
      </c>
      <c r="L22" s="306"/>
      <c r="M22" s="310">
        <f>Table24[[#This Row],[O - DEMAND]]/950</f>
        <v>0</v>
      </c>
      <c r="N22" s="306">
        <f>IFERROR(VLOOKUP(Table24[[#This Row],[ROUTE]],DEMAND!A:F,5,FALSE),0)</f>
        <v>0</v>
      </c>
      <c r="O22" s="306">
        <f>IFERROR(VLOOKUP(Table24[[#This Row],[ROUTE]],DEMAND!A:F,6,FALSE),0)</f>
        <v>0</v>
      </c>
      <c r="P22" s="306">
        <f>ROUNDDOWN(Table24[[#This Row],[R-DEMAND]]/950,0)</f>
        <v>0</v>
      </c>
      <c r="Q22" s="306">
        <f>Table24[[#This Row],[ADD ACC
(475/950)]]*Table24[[#This Row],[Duration
(A359)]]</f>
        <v>0</v>
      </c>
      <c r="R22" s="307">
        <f>IFERROR(VLOOKUP(Table24[[#This Row],[ROUTE]],PRICING!A:B,2,FALSE),0)</f>
        <v>0</v>
      </c>
      <c r="S22" s="308">
        <f>Table24[[#This Row],[C_DEMAND]]-Table24[[#This Row],[R-DEMAND]]</f>
        <v>0</v>
      </c>
      <c r="T22" s="307">
        <f>Table24[[#This Row],[SEATS SOLD]]*Table24[[#This Row],[ECO SEAT]]</f>
        <v>0</v>
      </c>
      <c r="U22" s="307">
        <f>Table24[[#This Row],[SEATS SOLD]]*(IFERROR(VLOOKUP(Table24[[#This Row],[ROUTE]],PRICING!A:C,3,FALSE),0))</f>
        <v>0</v>
      </c>
      <c r="V22" s="307">
        <f>Table24[[#This Row],[SEAT REV]]-Table24[[#This Row],[SEAT REV
(IF IDEAL $)]]</f>
        <v>0</v>
      </c>
    </row>
    <row r="23" spans="1:22" customFormat="1" x14ac:dyDescent="0.25">
      <c r="A23" s="306" t="s">
        <v>17411</v>
      </c>
      <c r="B23" s="306" t="s">
        <v>2229</v>
      </c>
      <c r="C23" s="306"/>
      <c r="D23" s="26">
        <v>1</v>
      </c>
      <c r="E23" s="312" t="s">
        <v>1070</v>
      </c>
      <c r="F23" s="306" t="str">
        <f>VLOOKUP(Table24[[#This Row],[Country]],Table10[[COUNTRY NAME]:[CONTINENT CODE]],3,FALSE)</f>
        <v>AS</v>
      </c>
      <c r="G23" s="312" t="s">
        <v>16814</v>
      </c>
      <c r="H23" s="309">
        <v>14773</v>
      </c>
      <c r="I23" s="310">
        <v>34.5</v>
      </c>
      <c r="J23" s="307"/>
      <c r="K23" s="307">
        <f>IFERROR(Table24[[#This Row],[ROUTE COST]]/Table24[[#This Row],[O - DEMAND]],0)</f>
        <v>0</v>
      </c>
      <c r="L23" s="306"/>
      <c r="M23" s="310">
        <f>Table24[[#This Row],[O - DEMAND]]/950</f>
        <v>0</v>
      </c>
      <c r="N23" s="306">
        <f>IFERROR(VLOOKUP(Table24[[#This Row],[ROUTE]],DEMAND!A:F,5,FALSE),0)</f>
        <v>0</v>
      </c>
      <c r="O23" s="306">
        <f>IFERROR(VLOOKUP(Table24[[#This Row],[ROUTE]],DEMAND!A:F,6,FALSE),0)</f>
        <v>0</v>
      </c>
      <c r="P23" s="306">
        <f>ROUNDDOWN(Table24[[#This Row],[R-DEMAND]]/950,0)</f>
        <v>0</v>
      </c>
      <c r="Q23" s="306">
        <f>Table24[[#This Row],[ADD ACC
(475/950)]]*Table24[[#This Row],[Duration
(A359)]]</f>
        <v>0</v>
      </c>
      <c r="R23" s="307">
        <f>IFERROR(VLOOKUP(Table24[[#This Row],[ROUTE]],PRICING!A:B,2,FALSE),0)</f>
        <v>0</v>
      </c>
      <c r="S23" s="308">
        <f>Table24[[#This Row],[C_DEMAND]]-Table24[[#This Row],[R-DEMAND]]</f>
        <v>0</v>
      </c>
      <c r="T23" s="307">
        <f>Table24[[#This Row],[SEATS SOLD]]*Table24[[#This Row],[ECO SEAT]]</f>
        <v>0</v>
      </c>
      <c r="U23" s="307">
        <f>Table24[[#This Row],[SEATS SOLD]]*(IFERROR(VLOOKUP(Table24[[#This Row],[ROUTE]],PRICING!A:C,3,FALSE),0))</f>
        <v>0</v>
      </c>
      <c r="V23" s="307">
        <f>Table24[[#This Row],[SEAT REV]]-Table24[[#This Row],[SEAT REV
(IF IDEAL $)]]</f>
        <v>0</v>
      </c>
    </row>
    <row r="24" spans="1:22" customFormat="1" x14ac:dyDescent="0.25">
      <c r="A24" s="306" t="s">
        <v>17448</v>
      </c>
      <c r="B24" s="306" t="s">
        <v>4693</v>
      </c>
      <c r="C24" s="306"/>
      <c r="D24" s="26"/>
      <c r="E24" s="312" t="s">
        <v>14</v>
      </c>
      <c r="F24" s="306" t="str">
        <f>VLOOKUP(Table24[[#This Row],[Country]],Table10[[COUNTRY NAME]:[CONTINENT CODE]],3,FALSE)</f>
        <v>AS</v>
      </c>
      <c r="G24" s="312" t="s">
        <v>16817</v>
      </c>
      <c r="H24" s="309">
        <v>14709</v>
      </c>
      <c r="I24" s="310">
        <v>34.5</v>
      </c>
      <c r="J24" s="307"/>
      <c r="K24" s="307">
        <f>IFERROR(Table24[[#This Row],[ROUTE COST]]/Table24[[#This Row],[O - DEMAND]],0)</f>
        <v>0</v>
      </c>
      <c r="L24" s="306"/>
      <c r="M24" s="310">
        <f>Table24[[#This Row],[O - DEMAND]]/950</f>
        <v>0</v>
      </c>
      <c r="N24" s="306">
        <f>IFERROR(VLOOKUP(Table24[[#This Row],[ROUTE]],DEMAND!A:F,5,FALSE),0)</f>
        <v>0</v>
      </c>
      <c r="O24" s="306">
        <f>IFERROR(VLOOKUP(Table24[[#This Row],[ROUTE]],DEMAND!A:F,6,FALSE),0)</f>
        <v>0</v>
      </c>
      <c r="P24" s="306">
        <f>ROUNDDOWN(Table24[[#This Row],[R-DEMAND]]/950,0)</f>
        <v>0</v>
      </c>
      <c r="Q24" s="306">
        <f>Table24[[#This Row],[ADD ACC
(475/950)]]*Table24[[#This Row],[Duration
(A359)]]</f>
        <v>0</v>
      </c>
      <c r="R24" s="307">
        <f>IFERROR(VLOOKUP(Table24[[#This Row],[ROUTE]],PRICING!A:B,2,FALSE),0)</f>
        <v>0</v>
      </c>
      <c r="S24" s="308">
        <f>Table24[[#This Row],[C_DEMAND]]-Table24[[#This Row],[R-DEMAND]]</f>
        <v>0</v>
      </c>
      <c r="T24" s="307">
        <f>Table24[[#This Row],[SEATS SOLD]]*Table24[[#This Row],[ECO SEAT]]</f>
        <v>0</v>
      </c>
      <c r="U24" s="307">
        <f>Table24[[#This Row],[SEATS SOLD]]*(IFERROR(VLOOKUP(Table24[[#This Row],[ROUTE]],PRICING!A:C,3,FALSE),0))</f>
        <v>0</v>
      </c>
      <c r="V24" s="307">
        <f>Table24[[#This Row],[SEAT REV]]-Table24[[#This Row],[SEAT REV
(IF IDEAL $)]]</f>
        <v>0</v>
      </c>
    </row>
    <row r="25" spans="1:22" customFormat="1" x14ac:dyDescent="0.25">
      <c r="A25" s="306" t="s">
        <v>17412</v>
      </c>
      <c r="B25" s="306" t="s">
        <v>2313</v>
      </c>
      <c r="C25" s="306"/>
      <c r="D25" s="26">
        <v>1</v>
      </c>
      <c r="E25" s="312" t="s">
        <v>14</v>
      </c>
      <c r="F25" s="306" t="str">
        <f>VLOOKUP(Table24[[#This Row],[Country]],Table10[[COUNTRY NAME]:[CONTINENT CODE]],3,FALSE)</f>
        <v>AS</v>
      </c>
      <c r="G25" s="312" t="s">
        <v>12060</v>
      </c>
      <c r="H25" s="309">
        <v>14605</v>
      </c>
      <c r="I25" s="310">
        <v>34.25</v>
      </c>
      <c r="J25" s="307"/>
      <c r="K25" s="307">
        <f>IFERROR(Table24[[#This Row],[ROUTE COST]]/Table24[[#This Row],[O - DEMAND]],0)</f>
        <v>0</v>
      </c>
      <c r="L25" s="306"/>
      <c r="M25" s="310">
        <f>Table24[[#This Row],[O - DEMAND]]/950</f>
        <v>0</v>
      </c>
      <c r="N25" s="306">
        <f>IFERROR(VLOOKUP(Table24[[#This Row],[ROUTE]],DEMAND!A:F,5,FALSE),0)</f>
        <v>0</v>
      </c>
      <c r="O25" s="306">
        <f>IFERROR(VLOOKUP(Table24[[#This Row],[ROUTE]],DEMAND!A:F,6,FALSE),0)</f>
        <v>0</v>
      </c>
      <c r="P25" s="306">
        <f>ROUNDDOWN(Table24[[#This Row],[R-DEMAND]]/950,0)</f>
        <v>0</v>
      </c>
      <c r="Q25" s="306">
        <f>Table24[[#This Row],[ADD ACC
(475/950)]]*Table24[[#This Row],[Duration
(A359)]]</f>
        <v>0</v>
      </c>
      <c r="R25" s="307">
        <f>IFERROR(VLOOKUP(Table24[[#This Row],[ROUTE]],PRICING!A:B,2,FALSE),0)</f>
        <v>0</v>
      </c>
      <c r="S25" s="308">
        <f>Table24[[#This Row],[C_DEMAND]]-Table24[[#This Row],[R-DEMAND]]</f>
        <v>0</v>
      </c>
      <c r="T25" s="307">
        <f>Table24[[#This Row],[SEATS SOLD]]*Table24[[#This Row],[ECO SEAT]]</f>
        <v>0</v>
      </c>
      <c r="U25" s="307">
        <f>Table24[[#This Row],[SEATS SOLD]]*(IFERROR(VLOOKUP(Table24[[#This Row],[ROUTE]],PRICING!A:C,3,FALSE),0))</f>
        <v>0</v>
      </c>
      <c r="V25" s="307">
        <f>Table24[[#This Row],[SEAT REV]]-Table24[[#This Row],[SEAT REV
(IF IDEAL $)]]</f>
        <v>0</v>
      </c>
    </row>
    <row r="26" spans="1:22" customFormat="1" x14ac:dyDescent="0.25">
      <c r="A26" s="306" t="s">
        <v>17324</v>
      </c>
      <c r="B26" s="306" t="s">
        <v>2884</v>
      </c>
      <c r="C26" s="306"/>
      <c r="D26" s="26">
        <v>2</v>
      </c>
      <c r="E26" s="312" t="s">
        <v>14</v>
      </c>
      <c r="F26" s="306" t="str">
        <f>VLOOKUP(Table24[[#This Row],[Country]],Table10[[COUNTRY NAME]:[CONTINENT CODE]],3,FALSE)</f>
        <v>AS</v>
      </c>
      <c r="G26" s="312" t="s">
        <v>12058</v>
      </c>
      <c r="H26" s="309">
        <v>14504</v>
      </c>
      <c r="I26" s="310">
        <v>34</v>
      </c>
      <c r="J26" s="307"/>
      <c r="K26" s="307">
        <f>IFERROR(Table24[[#This Row],[ROUTE COST]]/Table24[[#This Row],[O - DEMAND]],0)</f>
        <v>0</v>
      </c>
      <c r="L26" s="306"/>
      <c r="M26" s="310">
        <f>Table24[[#This Row],[O - DEMAND]]/950</f>
        <v>0</v>
      </c>
      <c r="N26" s="306">
        <f>IFERROR(VLOOKUP(Table24[[#This Row],[ROUTE]],DEMAND!A:F,5,FALSE),0)</f>
        <v>0</v>
      </c>
      <c r="O26" s="306">
        <f>IFERROR(VLOOKUP(Table24[[#This Row],[ROUTE]],DEMAND!A:F,6,FALSE),0)</f>
        <v>0</v>
      </c>
      <c r="P26" s="306">
        <f>ROUNDDOWN(Table24[[#This Row],[R-DEMAND]]/950,0)</f>
        <v>0</v>
      </c>
      <c r="Q26" s="306">
        <f>Table24[[#This Row],[ADD ACC
(475/950)]]*Table24[[#This Row],[Duration
(A359)]]</f>
        <v>0</v>
      </c>
      <c r="R26" s="307">
        <f>IFERROR(VLOOKUP(Table24[[#This Row],[ROUTE]],PRICING!A:B,2,FALSE),0)</f>
        <v>0</v>
      </c>
      <c r="S26" s="308">
        <f>Table24[[#This Row],[C_DEMAND]]-Table24[[#This Row],[R-DEMAND]]</f>
        <v>0</v>
      </c>
      <c r="T26" s="307">
        <f>Table24[[#This Row],[SEATS SOLD]]*Table24[[#This Row],[ECO SEAT]]</f>
        <v>0</v>
      </c>
      <c r="U26" s="307">
        <f>Table24[[#This Row],[SEATS SOLD]]*(IFERROR(VLOOKUP(Table24[[#This Row],[ROUTE]],PRICING!A:C,3,FALSE),0))</f>
        <v>0</v>
      </c>
      <c r="V26" s="307">
        <f>Table24[[#This Row],[SEAT REV]]-Table24[[#This Row],[SEAT REV
(IF IDEAL $)]]</f>
        <v>0</v>
      </c>
    </row>
    <row r="27" spans="1:22" customFormat="1" x14ac:dyDescent="0.25">
      <c r="A27" s="306" t="s">
        <v>17322</v>
      </c>
      <c r="B27" s="306" t="s">
        <v>3624</v>
      </c>
      <c r="C27" s="306"/>
      <c r="D27" s="26">
        <v>2</v>
      </c>
      <c r="E27" s="312" t="s">
        <v>14</v>
      </c>
      <c r="F27" s="306" t="str">
        <f>VLOOKUP(Table24[[#This Row],[Country]],Table10[[COUNTRY NAME]:[CONTINENT CODE]],3,FALSE)</f>
        <v>AS</v>
      </c>
      <c r="G27" s="312" t="s">
        <v>16819</v>
      </c>
      <c r="H27" s="309">
        <v>14529</v>
      </c>
      <c r="I27" s="310">
        <v>34</v>
      </c>
      <c r="J27" s="307"/>
      <c r="K27" s="307">
        <f>IFERROR(Table24[[#This Row],[ROUTE COST]]/Table24[[#This Row],[O - DEMAND]],0)</f>
        <v>0</v>
      </c>
      <c r="L27" s="306"/>
      <c r="M27" s="310">
        <f>Table24[[#This Row],[O - DEMAND]]/950</f>
        <v>0</v>
      </c>
      <c r="N27" s="306">
        <f>IFERROR(VLOOKUP(Table24[[#This Row],[ROUTE]],DEMAND!A:F,5,FALSE),0)</f>
        <v>0</v>
      </c>
      <c r="O27" s="306">
        <f>IFERROR(VLOOKUP(Table24[[#This Row],[ROUTE]],DEMAND!A:F,6,FALSE),0)</f>
        <v>0</v>
      </c>
      <c r="P27" s="306">
        <f>ROUNDDOWN(Table24[[#This Row],[R-DEMAND]]/950,0)</f>
        <v>0</v>
      </c>
      <c r="Q27" s="306">
        <f>Table24[[#This Row],[ADD ACC
(475/950)]]*Table24[[#This Row],[Duration
(A359)]]</f>
        <v>0</v>
      </c>
      <c r="R27" s="307">
        <f>IFERROR(VLOOKUP(Table24[[#This Row],[ROUTE]],PRICING!A:B,2,FALSE),0)</f>
        <v>0</v>
      </c>
      <c r="S27" s="308">
        <f>Table24[[#This Row],[C_DEMAND]]-Table24[[#This Row],[R-DEMAND]]</f>
        <v>0</v>
      </c>
      <c r="T27" s="307">
        <f>Table24[[#This Row],[SEATS SOLD]]*Table24[[#This Row],[ECO SEAT]]</f>
        <v>0</v>
      </c>
      <c r="U27" s="307">
        <f>Table24[[#This Row],[SEATS SOLD]]*(IFERROR(VLOOKUP(Table24[[#This Row],[ROUTE]],PRICING!A:C,3,FALSE),0))</f>
        <v>0</v>
      </c>
      <c r="V27" s="307">
        <f>Table24[[#This Row],[SEAT REV]]-Table24[[#This Row],[SEAT REV
(IF IDEAL $)]]</f>
        <v>0</v>
      </c>
    </row>
    <row r="28" spans="1:22" customFormat="1" x14ac:dyDescent="0.25">
      <c r="A28" s="306" t="s">
        <v>17323</v>
      </c>
      <c r="B28" s="306" t="s">
        <v>3358</v>
      </c>
      <c r="C28" s="306"/>
      <c r="D28" s="26">
        <v>2</v>
      </c>
      <c r="E28" s="312" t="s">
        <v>14</v>
      </c>
      <c r="F28" s="306" t="str">
        <f>VLOOKUP(Table24[[#This Row],[Country]],Table10[[COUNTRY NAME]:[CONTINENT CODE]],3,FALSE)</f>
        <v>AS</v>
      </c>
      <c r="G28" s="312" t="s">
        <v>12059</v>
      </c>
      <c r="H28" s="309">
        <v>14528</v>
      </c>
      <c r="I28" s="310">
        <v>34</v>
      </c>
      <c r="J28" s="307"/>
      <c r="K28" s="307">
        <f>IFERROR(Table24[[#This Row],[ROUTE COST]]/Table24[[#This Row],[O - DEMAND]],0)</f>
        <v>0</v>
      </c>
      <c r="L28" s="306"/>
      <c r="M28" s="310">
        <f>Table24[[#This Row],[O - DEMAND]]/950</f>
        <v>0</v>
      </c>
      <c r="N28" s="306">
        <f>IFERROR(VLOOKUP(Table24[[#This Row],[ROUTE]],DEMAND!A:F,5,FALSE),0)</f>
        <v>0</v>
      </c>
      <c r="O28" s="306">
        <f>IFERROR(VLOOKUP(Table24[[#This Row],[ROUTE]],DEMAND!A:F,6,FALSE),0)</f>
        <v>0</v>
      </c>
      <c r="P28" s="306">
        <f>ROUNDDOWN(Table24[[#This Row],[R-DEMAND]]/950,0)</f>
        <v>0</v>
      </c>
      <c r="Q28" s="306">
        <f>Table24[[#This Row],[ADD ACC
(475/950)]]*Table24[[#This Row],[Duration
(A359)]]</f>
        <v>0</v>
      </c>
      <c r="R28" s="307">
        <f>IFERROR(VLOOKUP(Table24[[#This Row],[ROUTE]],PRICING!A:B,2,FALSE),0)</f>
        <v>0</v>
      </c>
      <c r="S28" s="308">
        <f>Table24[[#This Row],[C_DEMAND]]-Table24[[#This Row],[R-DEMAND]]</f>
        <v>0</v>
      </c>
      <c r="T28" s="307">
        <f>Table24[[#This Row],[SEATS SOLD]]*Table24[[#This Row],[ECO SEAT]]</f>
        <v>0</v>
      </c>
      <c r="U28" s="307">
        <f>Table24[[#This Row],[SEATS SOLD]]*(IFERROR(VLOOKUP(Table24[[#This Row],[ROUTE]],PRICING!A:C,3,FALSE),0))</f>
        <v>0</v>
      </c>
      <c r="V28" s="307">
        <f>Table24[[#This Row],[SEAT REV]]-Table24[[#This Row],[SEAT REV
(IF IDEAL $)]]</f>
        <v>0</v>
      </c>
    </row>
    <row r="29" spans="1:22" customFormat="1" x14ac:dyDescent="0.25">
      <c r="A29" s="306" t="s">
        <v>17321</v>
      </c>
      <c r="B29" s="306" t="s">
        <v>248</v>
      </c>
      <c r="C29" s="306"/>
      <c r="D29" s="26">
        <v>2</v>
      </c>
      <c r="E29" s="312" t="s">
        <v>1070</v>
      </c>
      <c r="F29" s="306" t="str">
        <f>VLOOKUP(Table24[[#This Row],[Country]],Table10[[COUNTRY NAME]:[CONTINENT CODE]],3,FALSE)</f>
        <v>AS</v>
      </c>
      <c r="G29" s="312" t="s">
        <v>9270</v>
      </c>
      <c r="H29" s="309">
        <v>14569</v>
      </c>
      <c r="I29" s="310">
        <v>34</v>
      </c>
      <c r="J29" s="307"/>
      <c r="K29" s="307">
        <f>IFERROR(Table24[[#This Row],[ROUTE COST]]/Table24[[#This Row],[O - DEMAND]],0)</f>
        <v>0</v>
      </c>
      <c r="L29" s="306"/>
      <c r="M29" s="310">
        <f>Table24[[#This Row],[O - DEMAND]]/950</f>
        <v>0</v>
      </c>
      <c r="N29" s="306">
        <f>IFERROR(VLOOKUP(Table24[[#This Row],[ROUTE]],DEMAND!A:F,5,FALSE),0)</f>
        <v>0</v>
      </c>
      <c r="O29" s="306">
        <f>IFERROR(VLOOKUP(Table24[[#This Row],[ROUTE]],DEMAND!A:F,6,FALSE),0)</f>
        <v>0</v>
      </c>
      <c r="P29" s="306">
        <f>ROUNDDOWN(Table24[[#This Row],[R-DEMAND]]/950,0)</f>
        <v>0</v>
      </c>
      <c r="Q29" s="306">
        <f>Table24[[#This Row],[ADD ACC
(475/950)]]*Table24[[#This Row],[Duration
(A359)]]</f>
        <v>0</v>
      </c>
      <c r="R29" s="307">
        <f>IFERROR(VLOOKUP(Table24[[#This Row],[ROUTE]],PRICING!A:B,2,FALSE),0)</f>
        <v>0</v>
      </c>
      <c r="S29" s="308">
        <f>Table24[[#This Row],[C_DEMAND]]-Table24[[#This Row],[R-DEMAND]]</f>
        <v>0</v>
      </c>
      <c r="T29" s="307">
        <f>Table24[[#This Row],[SEATS SOLD]]*Table24[[#This Row],[ECO SEAT]]</f>
        <v>0</v>
      </c>
      <c r="U29" s="307">
        <f>Table24[[#This Row],[SEATS SOLD]]*(IFERROR(VLOOKUP(Table24[[#This Row],[ROUTE]],PRICING!A:C,3,FALSE),0))</f>
        <v>0</v>
      </c>
      <c r="V29" s="307">
        <f>Table24[[#This Row],[SEAT REV]]-Table24[[#This Row],[SEAT REV
(IF IDEAL $)]]</f>
        <v>0</v>
      </c>
    </row>
    <row r="30" spans="1:22" customFormat="1" x14ac:dyDescent="0.25">
      <c r="A30" s="306" t="s">
        <v>17449</v>
      </c>
      <c r="B30" s="306" t="s">
        <v>4276</v>
      </c>
      <c r="C30" s="306"/>
      <c r="D30" s="26"/>
      <c r="E30" s="312" t="s">
        <v>14</v>
      </c>
      <c r="F30" s="306" t="str">
        <f>VLOOKUP(Table24[[#This Row],[Country]],Table10[[COUNTRY NAME]:[CONTINENT CODE]],3,FALSE)</f>
        <v>AS</v>
      </c>
      <c r="G30" s="312" t="s">
        <v>16818</v>
      </c>
      <c r="H30" s="309">
        <v>14541</v>
      </c>
      <c r="I30" s="310">
        <v>34</v>
      </c>
      <c r="J30" s="307"/>
      <c r="K30" s="307">
        <f>IFERROR(Table24[[#This Row],[ROUTE COST]]/Table24[[#This Row],[O - DEMAND]],0)</f>
        <v>0</v>
      </c>
      <c r="L30" s="306"/>
      <c r="M30" s="310">
        <f>Table24[[#This Row],[O - DEMAND]]/950</f>
        <v>0</v>
      </c>
      <c r="N30" s="306">
        <f>IFERROR(VLOOKUP(Table24[[#This Row],[ROUTE]],DEMAND!A:F,5,FALSE),0)</f>
        <v>0</v>
      </c>
      <c r="O30" s="306">
        <f>IFERROR(VLOOKUP(Table24[[#This Row],[ROUTE]],DEMAND!A:F,6,FALSE),0)</f>
        <v>0</v>
      </c>
      <c r="P30" s="306">
        <f>ROUNDDOWN(Table24[[#This Row],[R-DEMAND]]/950,0)</f>
        <v>0</v>
      </c>
      <c r="Q30" s="306">
        <f>Table24[[#This Row],[ADD ACC
(475/950)]]*Table24[[#This Row],[Duration
(A359)]]</f>
        <v>0</v>
      </c>
      <c r="R30" s="307">
        <f>IFERROR(VLOOKUP(Table24[[#This Row],[ROUTE]],PRICING!A:B,2,FALSE),0)</f>
        <v>0</v>
      </c>
      <c r="S30" s="308">
        <f>Table24[[#This Row],[C_DEMAND]]-Table24[[#This Row],[R-DEMAND]]</f>
        <v>0</v>
      </c>
      <c r="T30" s="307">
        <f>Table24[[#This Row],[SEATS SOLD]]*Table24[[#This Row],[ECO SEAT]]</f>
        <v>0</v>
      </c>
      <c r="U30" s="307">
        <f>Table24[[#This Row],[SEATS SOLD]]*(IFERROR(VLOOKUP(Table24[[#This Row],[ROUTE]],PRICING!A:C,3,FALSE),0))</f>
        <v>0</v>
      </c>
      <c r="V30" s="307">
        <f>Table24[[#This Row],[SEAT REV]]-Table24[[#This Row],[SEAT REV
(IF IDEAL $)]]</f>
        <v>0</v>
      </c>
    </row>
    <row r="31" spans="1:22" customFormat="1" x14ac:dyDescent="0.25">
      <c r="A31" s="306" t="s">
        <v>17413</v>
      </c>
      <c r="B31" s="306" t="s">
        <v>1678</v>
      </c>
      <c r="C31" s="306"/>
      <c r="D31" s="26">
        <v>1</v>
      </c>
      <c r="E31" s="312" t="s">
        <v>14</v>
      </c>
      <c r="F31" s="306" t="str">
        <f>VLOOKUP(Table24[[#This Row],[Country]],Table10[[COUNTRY NAME]:[CONTINENT CODE]],3,FALSE)</f>
        <v>AS</v>
      </c>
      <c r="G31" s="312" t="s">
        <v>12056</v>
      </c>
      <c r="H31" s="309">
        <v>14461</v>
      </c>
      <c r="I31" s="310">
        <v>33.75</v>
      </c>
      <c r="J31" s="307"/>
      <c r="K31" s="307">
        <f>IFERROR(Table24[[#This Row],[ROUTE COST]]/Table24[[#This Row],[O - DEMAND]],0)</f>
        <v>0</v>
      </c>
      <c r="L31" s="306"/>
      <c r="M31" s="310">
        <f>Table24[[#This Row],[O - DEMAND]]/950</f>
        <v>0</v>
      </c>
      <c r="N31" s="306">
        <f>IFERROR(VLOOKUP(Table24[[#This Row],[ROUTE]],DEMAND!A:F,5,FALSE),0)</f>
        <v>0</v>
      </c>
      <c r="O31" s="306">
        <f>IFERROR(VLOOKUP(Table24[[#This Row],[ROUTE]],DEMAND!A:F,6,FALSE),0)</f>
        <v>0</v>
      </c>
      <c r="P31" s="306">
        <f>ROUNDDOWN(Table24[[#This Row],[R-DEMAND]]/950,0)</f>
        <v>0</v>
      </c>
      <c r="Q31" s="306">
        <f>Table24[[#This Row],[ADD ACC
(475/950)]]*Table24[[#This Row],[Duration
(A359)]]</f>
        <v>0</v>
      </c>
      <c r="R31" s="307">
        <f>IFERROR(VLOOKUP(Table24[[#This Row],[ROUTE]],PRICING!A:B,2,FALSE),0)</f>
        <v>0</v>
      </c>
      <c r="S31" s="308">
        <f>Table24[[#This Row],[C_DEMAND]]-Table24[[#This Row],[R-DEMAND]]</f>
        <v>0</v>
      </c>
      <c r="T31" s="307">
        <f>Table24[[#This Row],[SEATS SOLD]]*Table24[[#This Row],[ECO SEAT]]</f>
        <v>0</v>
      </c>
      <c r="U31" s="307">
        <f>Table24[[#This Row],[SEATS SOLD]]*(IFERROR(VLOOKUP(Table24[[#This Row],[ROUTE]],PRICING!A:C,3,FALSE),0))</f>
        <v>0</v>
      </c>
      <c r="V31" s="307">
        <f>Table24[[#This Row],[SEAT REV]]-Table24[[#This Row],[SEAT REV
(IF IDEAL $)]]</f>
        <v>0</v>
      </c>
    </row>
    <row r="32" spans="1:22" customFormat="1" x14ac:dyDescent="0.25">
      <c r="A32" s="306" t="s">
        <v>17414</v>
      </c>
      <c r="B32" s="306" t="s">
        <v>2496</v>
      </c>
      <c r="C32" s="306"/>
      <c r="D32" s="26">
        <v>1</v>
      </c>
      <c r="E32" s="312" t="s">
        <v>14</v>
      </c>
      <c r="F32" s="306" t="str">
        <f>VLOOKUP(Table24[[#This Row],[Country]],Table10[[COUNTRY NAME]:[CONTINENT CODE]],3,FALSE)</f>
        <v>AS</v>
      </c>
      <c r="G32" s="312" t="s">
        <v>12057</v>
      </c>
      <c r="H32" s="309">
        <v>14439</v>
      </c>
      <c r="I32" s="310">
        <v>33.75</v>
      </c>
      <c r="J32" s="307"/>
      <c r="K32" s="307">
        <f>IFERROR(Table24[[#This Row],[ROUTE COST]]/Table24[[#This Row],[O - DEMAND]],0)</f>
        <v>0</v>
      </c>
      <c r="L32" s="306"/>
      <c r="M32" s="310">
        <f>Table24[[#This Row],[O - DEMAND]]/950</f>
        <v>0</v>
      </c>
      <c r="N32" s="306">
        <f>IFERROR(VLOOKUP(Table24[[#This Row],[ROUTE]],DEMAND!A:F,5,FALSE),0)</f>
        <v>0</v>
      </c>
      <c r="O32" s="306">
        <f>IFERROR(VLOOKUP(Table24[[#This Row],[ROUTE]],DEMAND!A:F,6,FALSE),0)</f>
        <v>0</v>
      </c>
      <c r="P32" s="306">
        <f>ROUNDDOWN(Table24[[#This Row],[R-DEMAND]]/950,0)</f>
        <v>0</v>
      </c>
      <c r="Q32" s="306">
        <f>Table24[[#This Row],[ADD ACC
(475/950)]]*Table24[[#This Row],[Duration
(A359)]]</f>
        <v>0</v>
      </c>
      <c r="R32" s="307">
        <f>IFERROR(VLOOKUP(Table24[[#This Row],[ROUTE]],PRICING!A:B,2,FALSE),0)</f>
        <v>0</v>
      </c>
      <c r="S32" s="308">
        <f>Table24[[#This Row],[C_DEMAND]]-Table24[[#This Row],[R-DEMAND]]</f>
        <v>0</v>
      </c>
      <c r="T32" s="307">
        <f>Table24[[#This Row],[SEATS SOLD]]*Table24[[#This Row],[ECO SEAT]]</f>
        <v>0</v>
      </c>
      <c r="U32" s="307">
        <f>Table24[[#This Row],[SEATS SOLD]]*(IFERROR(VLOOKUP(Table24[[#This Row],[ROUTE]],PRICING!A:C,3,FALSE),0))</f>
        <v>0</v>
      </c>
      <c r="V32" s="307">
        <f>Table24[[#This Row],[SEAT REV]]-Table24[[#This Row],[SEAT REV
(IF IDEAL $)]]</f>
        <v>0</v>
      </c>
    </row>
    <row r="33" spans="1:22" customFormat="1" x14ac:dyDescent="0.25">
      <c r="A33" s="306" t="s">
        <v>17325</v>
      </c>
      <c r="B33" s="306" t="s">
        <v>4118</v>
      </c>
      <c r="C33" s="306"/>
      <c r="D33" s="26">
        <v>2</v>
      </c>
      <c r="E33" s="312" t="s">
        <v>14</v>
      </c>
      <c r="F33" s="306" t="str">
        <f>VLOOKUP(Table24[[#This Row],[Country]],Table10[[COUNTRY NAME]:[CONTINENT CODE]],3,FALSE)</f>
        <v>AS</v>
      </c>
      <c r="G33" s="312" t="s">
        <v>12044</v>
      </c>
      <c r="H33" s="309">
        <v>14258</v>
      </c>
      <c r="I33" s="310">
        <v>33.5</v>
      </c>
      <c r="J33" s="307"/>
      <c r="K33" s="307">
        <f>IFERROR(Table24[[#This Row],[ROUTE COST]]/Table24[[#This Row],[O - DEMAND]],0)</f>
        <v>0</v>
      </c>
      <c r="L33" s="306"/>
      <c r="M33" s="310">
        <f>Table24[[#This Row],[O - DEMAND]]/950</f>
        <v>0</v>
      </c>
      <c r="N33" s="306">
        <f>IFERROR(VLOOKUP(Table24[[#This Row],[ROUTE]],DEMAND!A:F,5,FALSE),0)</f>
        <v>0</v>
      </c>
      <c r="O33" s="306">
        <f>IFERROR(VLOOKUP(Table24[[#This Row],[ROUTE]],DEMAND!A:F,6,FALSE),0)</f>
        <v>0</v>
      </c>
      <c r="P33" s="306">
        <f>ROUNDDOWN(Table24[[#This Row],[R-DEMAND]]/950,0)</f>
        <v>0</v>
      </c>
      <c r="Q33" s="306">
        <f>Table24[[#This Row],[ADD ACC
(475/950)]]*Table24[[#This Row],[Duration
(A359)]]</f>
        <v>0</v>
      </c>
      <c r="R33" s="307">
        <f>IFERROR(VLOOKUP(Table24[[#This Row],[ROUTE]],PRICING!A:B,2,FALSE),0)</f>
        <v>0</v>
      </c>
      <c r="S33" s="308">
        <f>Table24[[#This Row],[C_DEMAND]]-Table24[[#This Row],[R-DEMAND]]</f>
        <v>0</v>
      </c>
      <c r="T33" s="307">
        <f>Table24[[#This Row],[SEATS SOLD]]*Table24[[#This Row],[ECO SEAT]]</f>
        <v>0</v>
      </c>
      <c r="U33" s="307">
        <f>Table24[[#This Row],[SEATS SOLD]]*(IFERROR(VLOOKUP(Table24[[#This Row],[ROUTE]],PRICING!A:C,3,FALSE),0))</f>
        <v>0</v>
      </c>
      <c r="V33" s="307">
        <f>Table24[[#This Row],[SEAT REV]]-Table24[[#This Row],[SEAT REV
(IF IDEAL $)]]</f>
        <v>0</v>
      </c>
    </row>
    <row r="34" spans="1:22" customFormat="1" x14ac:dyDescent="0.25">
      <c r="A34" s="306" t="s">
        <v>17450</v>
      </c>
      <c r="B34" s="306" t="s">
        <v>5348</v>
      </c>
      <c r="C34" s="306"/>
      <c r="D34" s="26"/>
      <c r="E34" s="312" t="s">
        <v>14</v>
      </c>
      <c r="F34" s="306" t="str">
        <f>VLOOKUP(Table24[[#This Row],[Country]],Table10[[COUNTRY NAME]:[CONTINENT CODE]],3,FALSE)</f>
        <v>AS</v>
      </c>
      <c r="G34" s="312" t="s">
        <v>16823</v>
      </c>
      <c r="H34" s="309">
        <v>14210</v>
      </c>
      <c r="I34" s="310">
        <v>33.25</v>
      </c>
      <c r="J34" s="307"/>
      <c r="K34" s="307">
        <f>IFERROR(Table24[[#This Row],[ROUTE COST]]/Table24[[#This Row],[O - DEMAND]],0)</f>
        <v>0</v>
      </c>
      <c r="L34" s="306"/>
      <c r="M34" s="310">
        <f>Table24[[#This Row],[O - DEMAND]]/950</f>
        <v>0</v>
      </c>
      <c r="N34" s="306">
        <f>IFERROR(VLOOKUP(Table24[[#This Row],[ROUTE]],DEMAND!A:F,5,FALSE),0)</f>
        <v>0</v>
      </c>
      <c r="O34" s="306">
        <f>IFERROR(VLOOKUP(Table24[[#This Row],[ROUTE]],DEMAND!A:F,6,FALSE),0)</f>
        <v>0</v>
      </c>
      <c r="P34" s="306">
        <f>ROUNDDOWN(Table24[[#This Row],[R-DEMAND]]/950,0)</f>
        <v>0</v>
      </c>
      <c r="Q34" s="306">
        <f>Table24[[#This Row],[ADD ACC
(475/950)]]*Table24[[#This Row],[Duration
(A359)]]</f>
        <v>0</v>
      </c>
      <c r="R34" s="307">
        <f>IFERROR(VLOOKUP(Table24[[#This Row],[ROUTE]],PRICING!A:B,2,FALSE),0)</f>
        <v>0</v>
      </c>
      <c r="S34" s="308">
        <f>Table24[[#This Row],[C_DEMAND]]-Table24[[#This Row],[R-DEMAND]]</f>
        <v>0</v>
      </c>
      <c r="T34" s="307">
        <f>Table24[[#This Row],[SEATS SOLD]]*Table24[[#This Row],[ECO SEAT]]</f>
        <v>0</v>
      </c>
      <c r="U34" s="307">
        <f>Table24[[#This Row],[SEATS SOLD]]*(IFERROR(VLOOKUP(Table24[[#This Row],[ROUTE]],PRICING!A:C,3,FALSE),0))</f>
        <v>0</v>
      </c>
      <c r="V34" s="307">
        <f>Table24[[#This Row],[SEAT REV]]-Table24[[#This Row],[SEAT REV
(IF IDEAL $)]]</f>
        <v>0</v>
      </c>
    </row>
    <row r="35" spans="1:22" customFormat="1" x14ac:dyDescent="0.25">
      <c r="A35" s="306" t="s">
        <v>17326</v>
      </c>
      <c r="B35" s="306" t="s">
        <v>4072</v>
      </c>
      <c r="C35" s="306"/>
      <c r="D35" s="26">
        <v>2</v>
      </c>
      <c r="E35" s="312" t="s">
        <v>14</v>
      </c>
      <c r="F35" s="306" t="str">
        <f>VLOOKUP(Table24[[#This Row],[Country]],Table10[[COUNTRY NAME]:[CONTINENT CODE]],3,FALSE)</f>
        <v>AS</v>
      </c>
      <c r="G35" s="312" t="s">
        <v>12041</v>
      </c>
      <c r="H35" s="309">
        <v>14074</v>
      </c>
      <c r="I35" s="310">
        <v>33</v>
      </c>
      <c r="J35" s="307"/>
      <c r="K35" s="307">
        <f>IFERROR(Table24[[#This Row],[ROUTE COST]]/Table24[[#This Row],[O - DEMAND]],0)</f>
        <v>0</v>
      </c>
      <c r="L35" s="306"/>
      <c r="M35" s="310">
        <f>Table24[[#This Row],[O - DEMAND]]/950</f>
        <v>0</v>
      </c>
      <c r="N35" s="306">
        <f>IFERROR(VLOOKUP(Table24[[#This Row],[ROUTE]],DEMAND!A:F,5,FALSE),0)</f>
        <v>0</v>
      </c>
      <c r="O35" s="306">
        <f>IFERROR(VLOOKUP(Table24[[#This Row],[ROUTE]],DEMAND!A:F,6,FALSE),0)</f>
        <v>0</v>
      </c>
      <c r="P35" s="306">
        <f>ROUNDDOWN(Table24[[#This Row],[R-DEMAND]]/950,0)</f>
        <v>0</v>
      </c>
      <c r="Q35" s="306">
        <f>Table24[[#This Row],[ADD ACC
(475/950)]]*Table24[[#This Row],[Duration
(A359)]]</f>
        <v>0</v>
      </c>
      <c r="R35" s="307">
        <f>IFERROR(VLOOKUP(Table24[[#This Row],[ROUTE]],PRICING!A:B,2,FALSE),0)</f>
        <v>0</v>
      </c>
      <c r="S35" s="308">
        <f>Table24[[#This Row],[C_DEMAND]]-Table24[[#This Row],[R-DEMAND]]</f>
        <v>0</v>
      </c>
      <c r="T35" s="307">
        <f>Table24[[#This Row],[SEATS SOLD]]*Table24[[#This Row],[ECO SEAT]]</f>
        <v>0</v>
      </c>
      <c r="U35" s="307">
        <f>Table24[[#This Row],[SEATS SOLD]]*(IFERROR(VLOOKUP(Table24[[#This Row],[ROUTE]],PRICING!A:C,3,FALSE),0))</f>
        <v>0</v>
      </c>
      <c r="V35" s="307">
        <f>Table24[[#This Row],[SEAT REV]]-Table24[[#This Row],[SEAT REV
(IF IDEAL $)]]</f>
        <v>0</v>
      </c>
    </row>
    <row r="36" spans="1:22" customFormat="1" x14ac:dyDescent="0.25">
      <c r="A36" s="306" t="s">
        <v>17327</v>
      </c>
      <c r="B36" s="306" t="s">
        <v>4070</v>
      </c>
      <c r="C36" s="306"/>
      <c r="D36" s="26">
        <v>2</v>
      </c>
      <c r="E36" s="312" t="s">
        <v>14</v>
      </c>
      <c r="F36" s="306" t="str">
        <f>VLOOKUP(Table24[[#This Row],[Country]],Table10[[COUNTRY NAME]:[CONTINENT CODE]],3,FALSE)</f>
        <v>AS</v>
      </c>
      <c r="G36" s="312" t="s">
        <v>12042</v>
      </c>
      <c r="H36" s="309">
        <v>14037</v>
      </c>
      <c r="I36" s="310">
        <v>33</v>
      </c>
      <c r="J36" s="307"/>
      <c r="K36" s="307">
        <f>IFERROR(Table24[[#This Row],[ROUTE COST]]/Table24[[#This Row],[O - DEMAND]],0)</f>
        <v>0</v>
      </c>
      <c r="L36" s="306"/>
      <c r="M36" s="310">
        <f>Table24[[#This Row],[O - DEMAND]]/950</f>
        <v>0</v>
      </c>
      <c r="N36" s="306">
        <f>IFERROR(VLOOKUP(Table24[[#This Row],[ROUTE]],DEMAND!A:F,5,FALSE),0)</f>
        <v>0</v>
      </c>
      <c r="O36" s="306">
        <f>IFERROR(VLOOKUP(Table24[[#This Row],[ROUTE]],DEMAND!A:F,6,FALSE),0)</f>
        <v>0</v>
      </c>
      <c r="P36" s="306">
        <f>ROUNDDOWN(Table24[[#This Row],[R-DEMAND]]/950,0)</f>
        <v>0</v>
      </c>
      <c r="Q36" s="306">
        <f>Table24[[#This Row],[ADD ACC
(475/950)]]*Table24[[#This Row],[Duration
(A359)]]</f>
        <v>0</v>
      </c>
      <c r="R36" s="307">
        <f>IFERROR(VLOOKUP(Table24[[#This Row],[ROUTE]],PRICING!A:B,2,FALSE),0)</f>
        <v>0</v>
      </c>
      <c r="S36" s="308">
        <f>Table24[[#This Row],[C_DEMAND]]-Table24[[#This Row],[R-DEMAND]]</f>
        <v>0</v>
      </c>
      <c r="T36" s="307">
        <f>Table24[[#This Row],[SEATS SOLD]]*Table24[[#This Row],[ECO SEAT]]</f>
        <v>0</v>
      </c>
      <c r="U36" s="307">
        <f>Table24[[#This Row],[SEATS SOLD]]*(IFERROR(VLOOKUP(Table24[[#This Row],[ROUTE]],PRICING!A:C,3,FALSE),0))</f>
        <v>0</v>
      </c>
      <c r="V36" s="307">
        <f>Table24[[#This Row],[SEAT REV]]-Table24[[#This Row],[SEAT REV
(IF IDEAL $)]]</f>
        <v>0</v>
      </c>
    </row>
    <row r="37" spans="1:22" customFormat="1" x14ac:dyDescent="0.25">
      <c r="A37" s="306" t="s">
        <v>17415</v>
      </c>
      <c r="B37" s="306" t="s">
        <v>1463</v>
      </c>
      <c r="C37" s="306"/>
      <c r="D37" s="26">
        <v>1</v>
      </c>
      <c r="E37" s="312" t="s">
        <v>14</v>
      </c>
      <c r="F37" s="306" t="str">
        <f>VLOOKUP(Table24[[#This Row],[Country]],Table10[[COUNTRY NAME]:[CONTINENT CODE]],3,FALSE)</f>
        <v>AS</v>
      </c>
      <c r="G37" s="312" t="s">
        <v>12043</v>
      </c>
      <c r="H37" s="309">
        <v>14107</v>
      </c>
      <c r="I37" s="310">
        <v>33</v>
      </c>
      <c r="J37" s="307"/>
      <c r="K37" s="307">
        <f>IFERROR(Table24[[#This Row],[ROUTE COST]]/Table24[[#This Row],[O - DEMAND]],0)</f>
        <v>0</v>
      </c>
      <c r="L37" s="306"/>
      <c r="M37" s="310">
        <f>Table24[[#This Row],[O - DEMAND]]/950</f>
        <v>0</v>
      </c>
      <c r="N37" s="306">
        <f>IFERROR(VLOOKUP(Table24[[#This Row],[ROUTE]],DEMAND!A:F,5,FALSE),0)</f>
        <v>0</v>
      </c>
      <c r="O37" s="306">
        <f>IFERROR(VLOOKUP(Table24[[#This Row],[ROUTE]],DEMAND!A:F,6,FALSE),0)</f>
        <v>0</v>
      </c>
      <c r="P37" s="306">
        <f>ROUNDDOWN(Table24[[#This Row],[R-DEMAND]]/950,0)</f>
        <v>0</v>
      </c>
      <c r="Q37" s="306">
        <f>Table24[[#This Row],[ADD ACC
(475/950)]]*Table24[[#This Row],[Duration
(A359)]]</f>
        <v>0</v>
      </c>
      <c r="R37" s="307">
        <f>IFERROR(VLOOKUP(Table24[[#This Row],[ROUTE]],PRICING!A:B,2,FALSE),0)</f>
        <v>0</v>
      </c>
      <c r="S37" s="308">
        <f>Table24[[#This Row],[C_DEMAND]]-Table24[[#This Row],[R-DEMAND]]</f>
        <v>0</v>
      </c>
      <c r="T37" s="307">
        <f>Table24[[#This Row],[SEATS SOLD]]*Table24[[#This Row],[ECO SEAT]]</f>
        <v>0</v>
      </c>
      <c r="U37" s="307">
        <f>Table24[[#This Row],[SEATS SOLD]]*(IFERROR(VLOOKUP(Table24[[#This Row],[ROUTE]],PRICING!A:C,3,FALSE),0))</f>
        <v>0</v>
      </c>
      <c r="V37" s="307">
        <f>Table24[[#This Row],[SEAT REV]]-Table24[[#This Row],[SEAT REV
(IF IDEAL $)]]</f>
        <v>0</v>
      </c>
    </row>
    <row r="38" spans="1:22" customFormat="1" x14ac:dyDescent="0.25">
      <c r="A38" s="306" t="s">
        <v>17329</v>
      </c>
      <c r="B38" s="306" t="s">
        <v>3782</v>
      </c>
      <c r="C38" s="306"/>
      <c r="D38" s="26">
        <v>2</v>
      </c>
      <c r="E38" s="312" t="s">
        <v>14</v>
      </c>
      <c r="F38" s="306" t="str">
        <f>VLOOKUP(Table24[[#This Row],[Country]],Table10[[COUNTRY NAME]:[CONTINENT CODE]],3,FALSE)</f>
        <v>AS</v>
      </c>
      <c r="G38" s="312" t="s">
        <v>16825</v>
      </c>
      <c r="H38" s="309">
        <v>13895</v>
      </c>
      <c r="I38" s="310">
        <v>32.75</v>
      </c>
      <c r="J38" s="307"/>
      <c r="K38" s="307">
        <f>IFERROR(Table24[[#This Row],[ROUTE COST]]/Table24[[#This Row],[O - DEMAND]],0)</f>
        <v>0</v>
      </c>
      <c r="L38" s="306"/>
      <c r="M38" s="310">
        <f>Table24[[#This Row],[O - DEMAND]]/950</f>
        <v>0</v>
      </c>
      <c r="N38" s="306">
        <f>IFERROR(VLOOKUP(Table24[[#This Row],[ROUTE]],DEMAND!A:F,5,FALSE),0)</f>
        <v>0</v>
      </c>
      <c r="O38" s="306">
        <f>IFERROR(VLOOKUP(Table24[[#This Row],[ROUTE]],DEMAND!A:F,6,FALSE),0)</f>
        <v>0</v>
      </c>
      <c r="P38" s="306">
        <f>ROUNDDOWN(Table24[[#This Row],[R-DEMAND]]/950,0)</f>
        <v>0</v>
      </c>
      <c r="Q38" s="306">
        <f>Table24[[#This Row],[ADD ACC
(475/950)]]*Table24[[#This Row],[Duration
(A359)]]</f>
        <v>0</v>
      </c>
      <c r="R38" s="307">
        <f>IFERROR(VLOOKUP(Table24[[#This Row],[ROUTE]],PRICING!A:B,2,FALSE),0)</f>
        <v>0</v>
      </c>
      <c r="S38" s="308">
        <f>Table24[[#This Row],[C_DEMAND]]-Table24[[#This Row],[R-DEMAND]]</f>
        <v>0</v>
      </c>
      <c r="T38" s="307">
        <f>Table24[[#This Row],[SEATS SOLD]]*Table24[[#This Row],[ECO SEAT]]</f>
        <v>0</v>
      </c>
      <c r="U38" s="307">
        <f>Table24[[#This Row],[SEATS SOLD]]*(IFERROR(VLOOKUP(Table24[[#This Row],[ROUTE]],PRICING!A:C,3,FALSE),0))</f>
        <v>0</v>
      </c>
      <c r="V38" s="307">
        <f>Table24[[#This Row],[SEAT REV]]-Table24[[#This Row],[SEAT REV
(IF IDEAL $)]]</f>
        <v>0</v>
      </c>
    </row>
    <row r="39" spans="1:22" customFormat="1" x14ac:dyDescent="0.25">
      <c r="A39" s="306" t="s">
        <v>17328</v>
      </c>
      <c r="B39" s="306" t="s">
        <v>2868</v>
      </c>
      <c r="C39" s="306"/>
      <c r="D39" s="26">
        <v>2</v>
      </c>
      <c r="E39" s="312" t="s">
        <v>14</v>
      </c>
      <c r="F39" s="306" t="str">
        <f>VLOOKUP(Table24[[#This Row],[Country]],Table10[[COUNTRY NAME]:[CONTINENT CODE]],3,FALSE)</f>
        <v>AS</v>
      </c>
      <c r="G39" s="312" t="s">
        <v>12039</v>
      </c>
      <c r="H39" s="309">
        <v>13959</v>
      </c>
      <c r="I39" s="310">
        <v>32.75</v>
      </c>
      <c r="J39" s="307"/>
      <c r="K39" s="307">
        <f>IFERROR(Table24[[#This Row],[ROUTE COST]]/Table24[[#This Row],[O - DEMAND]],0)</f>
        <v>0</v>
      </c>
      <c r="L39" s="306"/>
      <c r="M39" s="310">
        <f>Table24[[#This Row],[O - DEMAND]]/950</f>
        <v>0</v>
      </c>
      <c r="N39" s="306">
        <f>IFERROR(VLOOKUP(Table24[[#This Row],[ROUTE]],DEMAND!A:F,5,FALSE),0)</f>
        <v>0</v>
      </c>
      <c r="O39" s="306">
        <f>IFERROR(VLOOKUP(Table24[[#This Row],[ROUTE]],DEMAND!A:F,6,FALSE),0)</f>
        <v>0</v>
      </c>
      <c r="P39" s="306">
        <f>ROUNDDOWN(Table24[[#This Row],[R-DEMAND]]/950,0)</f>
        <v>0</v>
      </c>
      <c r="Q39" s="306">
        <f>Table24[[#This Row],[ADD ACC
(475/950)]]*Table24[[#This Row],[Duration
(A359)]]</f>
        <v>0</v>
      </c>
      <c r="R39" s="307">
        <f>IFERROR(VLOOKUP(Table24[[#This Row],[ROUTE]],PRICING!A:B,2,FALSE),0)</f>
        <v>0</v>
      </c>
      <c r="S39" s="308">
        <f>Table24[[#This Row],[C_DEMAND]]-Table24[[#This Row],[R-DEMAND]]</f>
        <v>0</v>
      </c>
      <c r="T39" s="307">
        <f>Table24[[#This Row],[SEATS SOLD]]*Table24[[#This Row],[ECO SEAT]]</f>
        <v>0</v>
      </c>
      <c r="U39" s="307">
        <f>Table24[[#This Row],[SEATS SOLD]]*(IFERROR(VLOOKUP(Table24[[#This Row],[ROUTE]],PRICING!A:C,3,FALSE),0))</f>
        <v>0</v>
      </c>
      <c r="V39" s="307">
        <f>Table24[[#This Row],[SEAT REV]]-Table24[[#This Row],[SEAT REV
(IF IDEAL $)]]</f>
        <v>0</v>
      </c>
    </row>
    <row r="40" spans="1:22" customFormat="1" x14ac:dyDescent="0.25">
      <c r="A40" s="306" t="s">
        <v>17330</v>
      </c>
      <c r="B40" s="306" t="s">
        <v>2618</v>
      </c>
      <c r="C40" s="306"/>
      <c r="D40" s="26">
        <v>2</v>
      </c>
      <c r="E40" s="312" t="s">
        <v>14</v>
      </c>
      <c r="F40" s="306" t="str">
        <f>VLOOKUP(Table24[[#This Row],[Country]],Table10[[COUNTRY NAME]:[CONTINENT CODE]],3,FALSE)</f>
        <v>AS</v>
      </c>
      <c r="G40" s="312" t="s">
        <v>12036</v>
      </c>
      <c r="H40" s="309">
        <v>13876</v>
      </c>
      <c r="I40" s="310">
        <v>32.5</v>
      </c>
      <c r="J40" s="307"/>
      <c r="K40" s="307">
        <f>IFERROR(Table24[[#This Row],[ROUTE COST]]/Table24[[#This Row],[O - DEMAND]],0)</f>
        <v>0</v>
      </c>
      <c r="L40" s="306"/>
      <c r="M40" s="310">
        <f>Table24[[#This Row],[O - DEMAND]]/950</f>
        <v>0</v>
      </c>
      <c r="N40" s="306">
        <f>IFERROR(VLOOKUP(Table24[[#This Row],[ROUTE]],DEMAND!A:F,5,FALSE),0)</f>
        <v>0</v>
      </c>
      <c r="O40" s="306">
        <f>IFERROR(VLOOKUP(Table24[[#This Row],[ROUTE]],DEMAND!A:F,6,FALSE),0)</f>
        <v>0</v>
      </c>
      <c r="P40" s="306">
        <f>ROUNDDOWN(Table24[[#This Row],[R-DEMAND]]/950,0)</f>
        <v>0</v>
      </c>
      <c r="Q40" s="306">
        <f>Table24[[#This Row],[ADD ACC
(475/950)]]*Table24[[#This Row],[Duration
(A359)]]</f>
        <v>0</v>
      </c>
      <c r="R40" s="307">
        <f>IFERROR(VLOOKUP(Table24[[#This Row],[ROUTE]],PRICING!A:B,2,FALSE),0)</f>
        <v>0</v>
      </c>
      <c r="S40" s="308">
        <f>Table24[[#This Row],[C_DEMAND]]-Table24[[#This Row],[R-DEMAND]]</f>
        <v>0</v>
      </c>
      <c r="T40" s="307">
        <f>Table24[[#This Row],[SEATS SOLD]]*Table24[[#This Row],[ECO SEAT]]</f>
        <v>0</v>
      </c>
      <c r="U40" s="307">
        <f>Table24[[#This Row],[SEATS SOLD]]*(IFERROR(VLOOKUP(Table24[[#This Row],[ROUTE]],PRICING!A:C,3,FALSE),0))</f>
        <v>0</v>
      </c>
      <c r="V40" s="307">
        <f>Table24[[#This Row],[SEAT REV]]-Table24[[#This Row],[SEAT REV
(IF IDEAL $)]]</f>
        <v>0</v>
      </c>
    </row>
    <row r="41" spans="1:22" customFormat="1" x14ac:dyDescent="0.25">
      <c r="A41" s="306" t="s">
        <v>17331</v>
      </c>
      <c r="B41" s="306" t="s">
        <v>2587</v>
      </c>
      <c r="C41" s="306"/>
      <c r="D41" s="26">
        <v>2</v>
      </c>
      <c r="E41" s="312" t="s">
        <v>1070</v>
      </c>
      <c r="F41" s="306" t="str">
        <f>VLOOKUP(Table24[[#This Row],[Country]],Table10[[COUNTRY NAME]:[CONTINENT CODE]],3,FALSE)</f>
        <v>AS</v>
      </c>
      <c r="G41" s="312" t="s">
        <v>9233</v>
      </c>
      <c r="H41" s="309">
        <v>13785</v>
      </c>
      <c r="I41" s="310">
        <v>32.5</v>
      </c>
      <c r="J41" s="307"/>
      <c r="K41" s="307">
        <f>IFERROR(Table24[[#This Row],[ROUTE COST]]/Table24[[#This Row],[O - DEMAND]],0)</f>
        <v>0</v>
      </c>
      <c r="L41" s="306"/>
      <c r="M41" s="310">
        <f>Table24[[#This Row],[O - DEMAND]]/950</f>
        <v>0</v>
      </c>
      <c r="N41" s="306">
        <f>IFERROR(VLOOKUP(Table24[[#This Row],[ROUTE]],DEMAND!A:F,5,FALSE),0)</f>
        <v>0</v>
      </c>
      <c r="O41" s="306">
        <f>IFERROR(VLOOKUP(Table24[[#This Row],[ROUTE]],DEMAND!A:F,6,FALSE),0)</f>
        <v>0</v>
      </c>
      <c r="P41" s="306">
        <f>ROUNDDOWN(Table24[[#This Row],[R-DEMAND]]/950,0)</f>
        <v>0</v>
      </c>
      <c r="Q41" s="306">
        <f>Table24[[#This Row],[ADD ACC
(475/950)]]*Table24[[#This Row],[Duration
(A359)]]</f>
        <v>0</v>
      </c>
      <c r="R41" s="307">
        <f>IFERROR(VLOOKUP(Table24[[#This Row],[ROUTE]],PRICING!A:B,2,FALSE),0)</f>
        <v>0</v>
      </c>
      <c r="S41" s="308">
        <f>Table24[[#This Row],[C_DEMAND]]-Table24[[#This Row],[R-DEMAND]]</f>
        <v>0</v>
      </c>
      <c r="T41" s="307">
        <f>Table24[[#This Row],[SEATS SOLD]]*Table24[[#This Row],[ECO SEAT]]</f>
        <v>0</v>
      </c>
      <c r="U41" s="307">
        <f>Table24[[#This Row],[SEATS SOLD]]*(IFERROR(VLOOKUP(Table24[[#This Row],[ROUTE]],PRICING!A:C,3,FALSE),0))</f>
        <v>0</v>
      </c>
      <c r="V41" s="307">
        <f>Table24[[#This Row],[SEAT REV]]-Table24[[#This Row],[SEAT REV
(IF IDEAL $)]]</f>
        <v>0</v>
      </c>
    </row>
    <row r="42" spans="1:22" customFormat="1" x14ac:dyDescent="0.25">
      <c r="A42" s="306" t="s">
        <v>17416</v>
      </c>
      <c r="B42" s="306" t="s">
        <v>2482</v>
      </c>
      <c r="C42" s="306"/>
      <c r="D42" s="26">
        <v>1</v>
      </c>
      <c r="E42" s="312" t="s">
        <v>1070</v>
      </c>
      <c r="F42" s="306" t="str">
        <f>VLOOKUP(Table24[[#This Row],[Country]],Table10[[COUNTRY NAME]:[CONTINENT CODE]],3,FALSE)</f>
        <v>AS</v>
      </c>
      <c r="G42" s="312" t="s">
        <v>16826</v>
      </c>
      <c r="H42" s="309">
        <v>13886</v>
      </c>
      <c r="I42" s="310">
        <v>32.5</v>
      </c>
      <c r="J42" s="307"/>
      <c r="K42" s="307">
        <f>IFERROR(Table24[[#This Row],[ROUTE COST]]/Table24[[#This Row],[O - DEMAND]],0)</f>
        <v>0</v>
      </c>
      <c r="L42" s="306"/>
      <c r="M42" s="310">
        <f>Table24[[#This Row],[O - DEMAND]]/950</f>
        <v>0</v>
      </c>
      <c r="N42" s="306">
        <f>IFERROR(VLOOKUP(Table24[[#This Row],[ROUTE]],DEMAND!A:F,5,FALSE),0)</f>
        <v>0</v>
      </c>
      <c r="O42" s="306">
        <f>IFERROR(VLOOKUP(Table24[[#This Row],[ROUTE]],DEMAND!A:F,6,FALSE),0)</f>
        <v>0</v>
      </c>
      <c r="P42" s="306">
        <f>ROUNDDOWN(Table24[[#This Row],[R-DEMAND]]/950,0)</f>
        <v>0</v>
      </c>
      <c r="Q42" s="306">
        <f>Table24[[#This Row],[ADD ACC
(475/950)]]*Table24[[#This Row],[Duration
(A359)]]</f>
        <v>0</v>
      </c>
      <c r="R42" s="307">
        <f>IFERROR(VLOOKUP(Table24[[#This Row],[ROUTE]],PRICING!A:B,2,FALSE),0)</f>
        <v>0</v>
      </c>
      <c r="S42" s="308">
        <f>Table24[[#This Row],[C_DEMAND]]-Table24[[#This Row],[R-DEMAND]]</f>
        <v>0</v>
      </c>
      <c r="T42" s="307">
        <f>Table24[[#This Row],[SEATS SOLD]]*Table24[[#This Row],[ECO SEAT]]</f>
        <v>0</v>
      </c>
      <c r="U42" s="307">
        <f>Table24[[#This Row],[SEATS SOLD]]*(IFERROR(VLOOKUP(Table24[[#This Row],[ROUTE]],PRICING!A:C,3,FALSE),0))</f>
        <v>0</v>
      </c>
      <c r="V42" s="307">
        <f>Table24[[#This Row],[SEAT REV]]-Table24[[#This Row],[SEAT REV
(IF IDEAL $)]]</f>
        <v>0</v>
      </c>
    </row>
    <row r="43" spans="1:22" customFormat="1" x14ac:dyDescent="0.25">
      <c r="A43" s="306" t="s">
        <v>17332</v>
      </c>
      <c r="B43" s="306" t="s">
        <v>3233</v>
      </c>
      <c r="C43" s="306"/>
      <c r="D43" s="26">
        <v>2</v>
      </c>
      <c r="E43" s="312" t="s">
        <v>258</v>
      </c>
      <c r="F43" s="306" t="str">
        <f>VLOOKUP(Table24[[#This Row],[Country]],Table10[[COUNTRY NAME]:[CONTINENT CODE]],3,FALSE)</f>
        <v>AS</v>
      </c>
      <c r="G43" s="312" t="s">
        <v>16829</v>
      </c>
      <c r="H43" s="309">
        <v>13675</v>
      </c>
      <c r="I43" s="310">
        <v>32.25</v>
      </c>
      <c r="J43" s="307"/>
      <c r="K43" s="307">
        <f>IFERROR(Table24[[#This Row],[ROUTE COST]]/Table24[[#This Row],[O - DEMAND]],0)</f>
        <v>0</v>
      </c>
      <c r="L43" s="306"/>
      <c r="M43" s="310">
        <f>Table24[[#This Row],[O - DEMAND]]/950</f>
        <v>0</v>
      </c>
      <c r="N43" s="306">
        <f>IFERROR(VLOOKUP(Table24[[#This Row],[ROUTE]],DEMAND!A:F,5,FALSE),0)</f>
        <v>0</v>
      </c>
      <c r="O43" s="306">
        <f>IFERROR(VLOOKUP(Table24[[#This Row],[ROUTE]],DEMAND!A:F,6,FALSE),0)</f>
        <v>0</v>
      </c>
      <c r="P43" s="306">
        <f>ROUNDDOWN(Table24[[#This Row],[R-DEMAND]]/950,0)</f>
        <v>0</v>
      </c>
      <c r="Q43" s="306">
        <f>Table24[[#This Row],[ADD ACC
(475/950)]]*Table24[[#This Row],[Duration
(A359)]]</f>
        <v>0</v>
      </c>
      <c r="R43" s="307">
        <f>IFERROR(VLOOKUP(Table24[[#This Row],[ROUTE]],PRICING!A:B,2,FALSE),0)</f>
        <v>0</v>
      </c>
      <c r="S43" s="308">
        <f>Table24[[#This Row],[C_DEMAND]]-Table24[[#This Row],[R-DEMAND]]</f>
        <v>0</v>
      </c>
      <c r="T43" s="307">
        <f>Table24[[#This Row],[SEATS SOLD]]*Table24[[#This Row],[ECO SEAT]]</f>
        <v>0</v>
      </c>
      <c r="U43" s="307">
        <f>Table24[[#This Row],[SEATS SOLD]]*(IFERROR(VLOOKUP(Table24[[#This Row],[ROUTE]],PRICING!A:C,3,FALSE),0))</f>
        <v>0</v>
      </c>
      <c r="V43" s="307">
        <f>Table24[[#This Row],[SEAT REV]]-Table24[[#This Row],[SEAT REV
(IF IDEAL $)]]</f>
        <v>0</v>
      </c>
    </row>
    <row r="44" spans="1:22" customFormat="1" x14ac:dyDescent="0.25">
      <c r="A44" s="306" t="s">
        <v>17418</v>
      </c>
      <c r="B44" s="306" t="s">
        <v>1882</v>
      </c>
      <c r="C44" s="306"/>
      <c r="D44" s="26">
        <v>1</v>
      </c>
      <c r="E44" s="312" t="s">
        <v>14</v>
      </c>
      <c r="F44" s="306" t="str">
        <f>VLOOKUP(Table24[[#This Row],[Country]],Table10[[COUNTRY NAME]:[CONTINENT CODE]],3,FALSE)</f>
        <v>AS</v>
      </c>
      <c r="G44" s="312" t="s">
        <v>9663</v>
      </c>
      <c r="H44" s="309">
        <v>13756</v>
      </c>
      <c r="I44" s="310">
        <v>32.25</v>
      </c>
      <c r="J44" s="307"/>
      <c r="K44" s="307">
        <f>IFERROR(Table24[[#This Row],[ROUTE COST]]/Table24[[#This Row],[O - DEMAND]],0)</f>
        <v>0</v>
      </c>
      <c r="L44" s="306"/>
      <c r="M44" s="310">
        <f>Table24[[#This Row],[O - DEMAND]]/950</f>
        <v>0</v>
      </c>
      <c r="N44" s="306">
        <f>IFERROR(VLOOKUP(Table24[[#This Row],[ROUTE]],DEMAND!A:F,5,FALSE),0)</f>
        <v>0</v>
      </c>
      <c r="O44" s="306">
        <f>IFERROR(VLOOKUP(Table24[[#This Row],[ROUTE]],DEMAND!A:F,6,FALSE),0)</f>
        <v>0</v>
      </c>
      <c r="P44" s="306">
        <f>ROUNDDOWN(Table24[[#This Row],[R-DEMAND]]/950,0)</f>
        <v>0</v>
      </c>
      <c r="Q44" s="306">
        <f>Table24[[#This Row],[ADD ACC
(475/950)]]*Table24[[#This Row],[Duration
(A359)]]</f>
        <v>0</v>
      </c>
      <c r="R44" s="307">
        <f>IFERROR(VLOOKUP(Table24[[#This Row],[ROUTE]],PRICING!A:B,2,FALSE),0)</f>
        <v>0</v>
      </c>
      <c r="S44" s="308">
        <f>Table24[[#This Row],[C_DEMAND]]-Table24[[#This Row],[R-DEMAND]]</f>
        <v>0</v>
      </c>
      <c r="T44" s="307">
        <f>Table24[[#This Row],[SEATS SOLD]]*Table24[[#This Row],[ECO SEAT]]</f>
        <v>0</v>
      </c>
      <c r="U44" s="307">
        <f>Table24[[#This Row],[SEATS SOLD]]*(IFERROR(VLOOKUP(Table24[[#This Row],[ROUTE]],PRICING!A:C,3,FALSE),0))</f>
        <v>0</v>
      </c>
      <c r="V44" s="307">
        <f>Table24[[#This Row],[SEAT REV]]-Table24[[#This Row],[SEAT REV
(IF IDEAL $)]]</f>
        <v>0</v>
      </c>
    </row>
    <row r="45" spans="1:22" customFormat="1" x14ac:dyDescent="0.25">
      <c r="A45" s="306" t="s">
        <v>17417</v>
      </c>
      <c r="B45" s="306" t="s">
        <v>1963</v>
      </c>
      <c r="C45" s="306"/>
      <c r="D45" s="26">
        <v>1</v>
      </c>
      <c r="E45" s="312" t="s">
        <v>14</v>
      </c>
      <c r="F45" s="306" t="str">
        <f>VLOOKUP(Table24[[#This Row],[Country]],Table10[[COUNTRY NAME]:[CONTINENT CODE]],3,FALSE)</f>
        <v>AS</v>
      </c>
      <c r="G45" s="312" t="s">
        <v>12034</v>
      </c>
      <c r="H45" s="309">
        <v>13769</v>
      </c>
      <c r="I45" s="310">
        <v>32.25</v>
      </c>
      <c r="J45" s="307"/>
      <c r="K45" s="307">
        <f>IFERROR(Table24[[#This Row],[ROUTE COST]]/Table24[[#This Row],[O - DEMAND]],0)</f>
        <v>0</v>
      </c>
      <c r="L45" s="306"/>
      <c r="M45" s="310">
        <f>Table24[[#This Row],[O - DEMAND]]/950</f>
        <v>0</v>
      </c>
      <c r="N45" s="306">
        <f>IFERROR(VLOOKUP(Table24[[#This Row],[ROUTE]],DEMAND!A:F,5,FALSE),0)</f>
        <v>0</v>
      </c>
      <c r="O45" s="306">
        <f>IFERROR(VLOOKUP(Table24[[#This Row],[ROUTE]],DEMAND!A:F,6,FALSE),0)</f>
        <v>0</v>
      </c>
      <c r="P45" s="306">
        <f>ROUNDDOWN(Table24[[#This Row],[R-DEMAND]]/950,0)</f>
        <v>0</v>
      </c>
      <c r="Q45" s="306">
        <f>Table24[[#This Row],[ADD ACC
(475/950)]]*Table24[[#This Row],[Duration
(A359)]]</f>
        <v>0</v>
      </c>
      <c r="R45" s="307">
        <f>IFERROR(VLOOKUP(Table24[[#This Row],[ROUTE]],PRICING!A:B,2,FALSE),0)</f>
        <v>0</v>
      </c>
      <c r="S45" s="308">
        <f>Table24[[#This Row],[C_DEMAND]]-Table24[[#This Row],[R-DEMAND]]</f>
        <v>0</v>
      </c>
      <c r="T45" s="307">
        <f>Table24[[#This Row],[SEATS SOLD]]*Table24[[#This Row],[ECO SEAT]]</f>
        <v>0</v>
      </c>
      <c r="U45" s="307">
        <f>Table24[[#This Row],[SEATS SOLD]]*(IFERROR(VLOOKUP(Table24[[#This Row],[ROUTE]],PRICING!A:C,3,FALSE),0))</f>
        <v>0</v>
      </c>
      <c r="V45" s="307">
        <f>Table24[[#This Row],[SEAT REV]]-Table24[[#This Row],[SEAT REV
(IF IDEAL $)]]</f>
        <v>0</v>
      </c>
    </row>
    <row r="46" spans="1:22" customFormat="1" x14ac:dyDescent="0.25">
      <c r="A46" s="306" t="s">
        <v>17419</v>
      </c>
      <c r="B46" s="306" t="s">
        <v>2253</v>
      </c>
      <c r="C46" s="306"/>
      <c r="D46" s="26">
        <v>1</v>
      </c>
      <c r="E46" s="312" t="s">
        <v>258</v>
      </c>
      <c r="F46" s="306" t="str">
        <f>VLOOKUP(Table24[[#This Row],[Country]],Table10[[COUNTRY NAME]:[CONTINENT CODE]],3,FALSE)</f>
        <v>AS</v>
      </c>
      <c r="G46" s="312" t="s">
        <v>12025</v>
      </c>
      <c r="H46" s="309">
        <v>13744</v>
      </c>
      <c r="I46" s="310">
        <v>32.25</v>
      </c>
      <c r="J46" s="307"/>
      <c r="K46" s="307">
        <f>IFERROR(Table24[[#This Row],[ROUTE COST]]/Table24[[#This Row],[O - DEMAND]],0)</f>
        <v>0</v>
      </c>
      <c r="L46" s="306"/>
      <c r="M46" s="310">
        <f>Table24[[#This Row],[O - DEMAND]]/950</f>
        <v>0</v>
      </c>
      <c r="N46" s="306">
        <f>IFERROR(VLOOKUP(Table24[[#This Row],[ROUTE]],DEMAND!A:F,5,FALSE),0)</f>
        <v>0</v>
      </c>
      <c r="O46" s="306">
        <f>IFERROR(VLOOKUP(Table24[[#This Row],[ROUTE]],DEMAND!A:F,6,FALSE),0)</f>
        <v>0</v>
      </c>
      <c r="P46" s="306">
        <f>ROUNDDOWN(Table24[[#This Row],[R-DEMAND]]/950,0)</f>
        <v>0</v>
      </c>
      <c r="Q46" s="306">
        <f>Table24[[#This Row],[ADD ACC
(475/950)]]*Table24[[#This Row],[Duration
(A359)]]</f>
        <v>0</v>
      </c>
      <c r="R46" s="307">
        <f>IFERROR(VLOOKUP(Table24[[#This Row],[ROUTE]],PRICING!A:B,2,FALSE),0)</f>
        <v>0</v>
      </c>
      <c r="S46" s="308">
        <f>Table24[[#This Row],[C_DEMAND]]-Table24[[#This Row],[R-DEMAND]]</f>
        <v>0</v>
      </c>
      <c r="T46" s="307">
        <f>Table24[[#This Row],[SEATS SOLD]]*Table24[[#This Row],[ECO SEAT]]</f>
        <v>0</v>
      </c>
      <c r="U46" s="307">
        <f>Table24[[#This Row],[SEATS SOLD]]*(IFERROR(VLOOKUP(Table24[[#This Row],[ROUTE]],PRICING!A:C,3,FALSE),0))</f>
        <v>0</v>
      </c>
      <c r="V46" s="307">
        <f>Table24[[#This Row],[SEAT REV]]-Table24[[#This Row],[SEAT REV
(IF IDEAL $)]]</f>
        <v>0</v>
      </c>
    </row>
    <row r="47" spans="1:22" customFormat="1" x14ac:dyDescent="0.25">
      <c r="A47" s="306" t="s">
        <v>17451</v>
      </c>
      <c r="B47" s="306" t="s">
        <v>2780</v>
      </c>
      <c r="C47" s="306"/>
      <c r="D47" s="26"/>
      <c r="E47" s="312" t="s">
        <v>14</v>
      </c>
      <c r="F47" s="306" t="str">
        <f>VLOOKUP(Table24[[#This Row],[Country]],Table10[[COUNTRY NAME]:[CONTINENT CODE]],3,FALSE)</f>
        <v>AS</v>
      </c>
      <c r="G47" s="312" t="s">
        <v>16828</v>
      </c>
      <c r="H47" s="309">
        <v>13762</v>
      </c>
      <c r="I47" s="310">
        <v>32.25</v>
      </c>
      <c r="J47" s="307"/>
      <c r="K47" s="307">
        <f>IFERROR(Table24[[#This Row],[ROUTE COST]]/Table24[[#This Row],[O - DEMAND]],0)</f>
        <v>0</v>
      </c>
      <c r="L47" s="306"/>
      <c r="M47" s="310">
        <f>Table24[[#This Row],[O - DEMAND]]/950</f>
        <v>0</v>
      </c>
      <c r="N47" s="306">
        <f>IFERROR(VLOOKUP(Table24[[#This Row],[ROUTE]],DEMAND!A:F,5,FALSE),0)</f>
        <v>0</v>
      </c>
      <c r="O47" s="306">
        <f>IFERROR(VLOOKUP(Table24[[#This Row],[ROUTE]],DEMAND!A:F,6,FALSE),0)</f>
        <v>0</v>
      </c>
      <c r="P47" s="306">
        <f>ROUNDDOWN(Table24[[#This Row],[R-DEMAND]]/950,0)</f>
        <v>0</v>
      </c>
      <c r="Q47" s="306">
        <f>Table24[[#This Row],[ADD ACC
(475/950)]]*Table24[[#This Row],[Duration
(A359)]]</f>
        <v>0</v>
      </c>
      <c r="R47" s="307">
        <f>IFERROR(VLOOKUP(Table24[[#This Row],[ROUTE]],PRICING!A:B,2,FALSE),0)</f>
        <v>0</v>
      </c>
      <c r="S47" s="308">
        <f>Table24[[#This Row],[C_DEMAND]]-Table24[[#This Row],[R-DEMAND]]</f>
        <v>0</v>
      </c>
      <c r="T47" s="307">
        <f>Table24[[#This Row],[SEATS SOLD]]*Table24[[#This Row],[ECO SEAT]]</f>
        <v>0</v>
      </c>
      <c r="U47" s="307">
        <f>Table24[[#This Row],[SEATS SOLD]]*(IFERROR(VLOOKUP(Table24[[#This Row],[ROUTE]],PRICING!A:C,3,FALSE),0))</f>
        <v>0</v>
      </c>
      <c r="V47" s="307">
        <f>Table24[[#This Row],[SEAT REV]]-Table24[[#This Row],[SEAT REV
(IF IDEAL $)]]</f>
        <v>0</v>
      </c>
    </row>
    <row r="48" spans="1:22" customFormat="1" x14ac:dyDescent="0.25">
      <c r="A48" s="306" t="s">
        <v>17334</v>
      </c>
      <c r="B48" s="306" t="s">
        <v>4264</v>
      </c>
      <c r="C48" s="306"/>
      <c r="D48" s="26">
        <v>2</v>
      </c>
      <c r="E48" s="312" t="s">
        <v>1070</v>
      </c>
      <c r="F48" s="306" t="str">
        <f>VLOOKUP(Table24[[#This Row],[Country]],Table10[[COUNTRY NAME]:[CONTINENT CODE]],3,FALSE)</f>
        <v>AS</v>
      </c>
      <c r="G48" s="312" t="s">
        <v>9269</v>
      </c>
      <c r="H48" s="309">
        <v>13621</v>
      </c>
      <c r="I48" s="310">
        <v>32</v>
      </c>
      <c r="J48" s="307"/>
      <c r="K48" s="307">
        <f>IFERROR(Table24[[#This Row],[ROUTE COST]]/Table24[[#This Row],[O - DEMAND]],0)</f>
        <v>0</v>
      </c>
      <c r="L48" s="306"/>
      <c r="M48" s="310">
        <f>Table24[[#This Row],[O - DEMAND]]/950</f>
        <v>0</v>
      </c>
      <c r="N48" s="306">
        <f>IFERROR(VLOOKUP(Table24[[#This Row],[ROUTE]],DEMAND!A:F,5,FALSE),0)</f>
        <v>0</v>
      </c>
      <c r="O48" s="306">
        <f>IFERROR(VLOOKUP(Table24[[#This Row],[ROUTE]],DEMAND!A:F,6,FALSE),0)</f>
        <v>0</v>
      </c>
      <c r="P48" s="306">
        <f>ROUNDDOWN(Table24[[#This Row],[R-DEMAND]]/950,0)</f>
        <v>0</v>
      </c>
      <c r="Q48" s="306">
        <f>Table24[[#This Row],[ADD ACC
(475/950)]]*Table24[[#This Row],[Duration
(A359)]]</f>
        <v>0</v>
      </c>
      <c r="R48" s="307">
        <f>IFERROR(VLOOKUP(Table24[[#This Row],[ROUTE]],PRICING!A:B,2,FALSE),0)</f>
        <v>0</v>
      </c>
      <c r="S48" s="308">
        <f>Table24[[#This Row],[C_DEMAND]]-Table24[[#This Row],[R-DEMAND]]</f>
        <v>0</v>
      </c>
      <c r="T48" s="307">
        <f>Table24[[#This Row],[SEATS SOLD]]*Table24[[#This Row],[ECO SEAT]]</f>
        <v>0</v>
      </c>
      <c r="U48" s="307">
        <f>Table24[[#This Row],[SEATS SOLD]]*(IFERROR(VLOOKUP(Table24[[#This Row],[ROUTE]],PRICING!A:C,3,FALSE),0))</f>
        <v>0</v>
      </c>
      <c r="V48" s="307">
        <f>Table24[[#This Row],[SEAT REV]]-Table24[[#This Row],[SEAT REV
(IF IDEAL $)]]</f>
        <v>0</v>
      </c>
    </row>
    <row r="49" spans="1:22" customFormat="1" x14ac:dyDescent="0.25">
      <c r="A49" s="306" t="s">
        <v>17333</v>
      </c>
      <c r="B49" s="306" t="s">
        <v>3085</v>
      </c>
      <c r="C49" s="306"/>
      <c r="D49" s="26">
        <v>2</v>
      </c>
      <c r="E49" s="312" t="s">
        <v>258</v>
      </c>
      <c r="F49" s="306" t="str">
        <f>VLOOKUP(Table24[[#This Row],[Country]],Table10[[COUNTRY NAME]:[CONTINENT CODE]],3,FALSE)</f>
        <v>AS</v>
      </c>
      <c r="G49" s="312" t="s">
        <v>8996</v>
      </c>
      <c r="H49" s="309">
        <v>13641</v>
      </c>
      <c r="I49" s="310">
        <v>32</v>
      </c>
      <c r="J49" s="307"/>
      <c r="K49" s="307">
        <f>IFERROR(Table24[[#This Row],[ROUTE COST]]/Table24[[#This Row],[O - DEMAND]],0)</f>
        <v>0</v>
      </c>
      <c r="L49" s="306"/>
      <c r="M49" s="310">
        <f>Table24[[#This Row],[O - DEMAND]]/950</f>
        <v>0</v>
      </c>
      <c r="N49" s="306">
        <f>IFERROR(VLOOKUP(Table24[[#This Row],[ROUTE]],DEMAND!A:F,5,FALSE),0)</f>
        <v>0</v>
      </c>
      <c r="O49" s="306">
        <f>IFERROR(VLOOKUP(Table24[[#This Row],[ROUTE]],DEMAND!A:F,6,FALSE),0)</f>
        <v>0</v>
      </c>
      <c r="P49" s="306">
        <f>ROUNDDOWN(Table24[[#This Row],[R-DEMAND]]/950,0)</f>
        <v>0</v>
      </c>
      <c r="Q49" s="306">
        <f>Table24[[#This Row],[ADD ACC
(475/950)]]*Table24[[#This Row],[Duration
(A359)]]</f>
        <v>0</v>
      </c>
      <c r="R49" s="307">
        <f>IFERROR(VLOOKUP(Table24[[#This Row],[ROUTE]],PRICING!A:B,2,FALSE),0)</f>
        <v>0</v>
      </c>
      <c r="S49" s="308">
        <f>Table24[[#This Row],[C_DEMAND]]-Table24[[#This Row],[R-DEMAND]]</f>
        <v>0</v>
      </c>
      <c r="T49" s="307">
        <f>Table24[[#This Row],[SEATS SOLD]]*Table24[[#This Row],[ECO SEAT]]</f>
        <v>0</v>
      </c>
      <c r="U49" s="307">
        <f>Table24[[#This Row],[SEATS SOLD]]*(IFERROR(VLOOKUP(Table24[[#This Row],[ROUTE]],PRICING!A:C,3,FALSE),0))</f>
        <v>0</v>
      </c>
      <c r="V49" s="307">
        <f>Table24[[#This Row],[SEAT REV]]-Table24[[#This Row],[SEAT REV
(IF IDEAL $)]]</f>
        <v>0</v>
      </c>
    </row>
    <row r="50" spans="1:22" customFormat="1" x14ac:dyDescent="0.25">
      <c r="A50" s="306" t="s">
        <v>17335</v>
      </c>
      <c r="B50" s="306" t="s">
        <v>4683</v>
      </c>
      <c r="C50" s="306"/>
      <c r="D50" s="26">
        <v>2</v>
      </c>
      <c r="E50" s="312" t="s">
        <v>258</v>
      </c>
      <c r="F50" s="306" t="str">
        <f>VLOOKUP(Table24[[#This Row],[Country]],Table10[[COUNTRY NAME]:[CONTINENT CODE]],3,FALSE)</f>
        <v>AS</v>
      </c>
      <c r="G50" s="312" t="s">
        <v>12021</v>
      </c>
      <c r="H50" s="309">
        <v>13572</v>
      </c>
      <c r="I50" s="310">
        <v>32</v>
      </c>
      <c r="J50" s="307"/>
      <c r="K50" s="307">
        <f>IFERROR(Table24[[#This Row],[ROUTE COST]]/Table24[[#This Row],[O - DEMAND]],0)</f>
        <v>0</v>
      </c>
      <c r="L50" s="306"/>
      <c r="M50" s="310">
        <f>Table24[[#This Row],[O - DEMAND]]/950</f>
        <v>0</v>
      </c>
      <c r="N50" s="306">
        <f>IFERROR(VLOOKUP(Table24[[#This Row],[ROUTE]],DEMAND!A:F,5,FALSE),0)</f>
        <v>0</v>
      </c>
      <c r="O50" s="306">
        <f>IFERROR(VLOOKUP(Table24[[#This Row],[ROUTE]],DEMAND!A:F,6,FALSE),0)</f>
        <v>0</v>
      </c>
      <c r="P50" s="306">
        <f>ROUNDDOWN(Table24[[#This Row],[R-DEMAND]]/950,0)</f>
        <v>0</v>
      </c>
      <c r="Q50" s="306">
        <f>Table24[[#This Row],[ADD ACC
(475/950)]]*Table24[[#This Row],[Duration
(A359)]]</f>
        <v>0</v>
      </c>
      <c r="R50" s="307">
        <f>IFERROR(VLOOKUP(Table24[[#This Row],[ROUTE]],PRICING!A:B,2,FALSE),0)</f>
        <v>0</v>
      </c>
      <c r="S50" s="308">
        <f>Table24[[#This Row],[C_DEMAND]]-Table24[[#This Row],[R-DEMAND]]</f>
        <v>0</v>
      </c>
      <c r="T50" s="307">
        <f>Table24[[#This Row],[SEATS SOLD]]*Table24[[#This Row],[ECO SEAT]]</f>
        <v>0</v>
      </c>
      <c r="U50" s="307">
        <f>Table24[[#This Row],[SEATS SOLD]]*(IFERROR(VLOOKUP(Table24[[#This Row],[ROUTE]],PRICING!A:C,3,FALSE),0))</f>
        <v>0</v>
      </c>
      <c r="V50" s="307">
        <f>Table24[[#This Row],[SEAT REV]]-Table24[[#This Row],[SEAT REV
(IF IDEAL $)]]</f>
        <v>0</v>
      </c>
    </row>
    <row r="51" spans="1:22" customFormat="1" x14ac:dyDescent="0.25">
      <c r="A51" s="306" t="s">
        <v>17452</v>
      </c>
      <c r="B51" s="306" t="s">
        <v>4300</v>
      </c>
      <c r="C51" s="306"/>
      <c r="D51" s="26"/>
      <c r="E51" s="312" t="s">
        <v>14</v>
      </c>
      <c r="F51" s="306" t="str">
        <f>VLOOKUP(Table24[[#This Row],[Country]],Table10[[COUNTRY NAME]:[CONTINENT CODE]],3,FALSE)</f>
        <v>AS</v>
      </c>
      <c r="G51" s="312" t="s">
        <v>16831</v>
      </c>
      <c r="H51" s="309">
        <v>13633</v>
      </c>
      <c r="I51" s="310">
        <v>32</v>
      </c>
      <c r="J51" s="307"/>
      <c r="K51" s="307">
        <f>IFERROR(Table24[[#This Row],[ROUTE COST]]/Table24[[#This Row],[O - DEMAND]],0)</f>
        <v>0</v>
      </c>
      <c r="L51" s="306"/>
      <c r="M51" s="310">
        <f>Table24[[#This Row],[O - DEMAND]]/950</f>
        <v>0</v>
      </c>
      <c r="N51" s="306">
        <f>IFERROR(VLOOKUP(Table24[[#This Row],[ROUTE]],DEMAND!A:F,5,FALSE),0)</f>
        <v>0</v>
      </c>
      <c r="O51" s="306">
        <f>IFERROR(VLOOKUP(Table24[[#This Row],[ROUTE]],DEMAND!A:F,6,FALSE),0)</f>
        <v>0</v>
      </c>
      <c r="P51" s="306">
        <f>ROUNDDOWN(Table24[[#This Row],[R-DEMAND]]/950,0)</f>
        <v>0</v>
      </c>
      <c r="Q51" s="306">
        <f>Table24[[#This Row],[ADD ACC
(475/950)]]*Table24[[#This Row],[Duration
(A359)]]</f>
        <v>0</v>
      </c>
      <c r="R51" s="307">
        <f>IFERROR(VLOOKUP(Table24[[#This Row],[ROUTE]],PRICING!A:B,2,FALSE),0)</f>
        <v>0</v>
      </c>
      <c r="S51" s="308">
        <f>Table24[[#This Row],[C_DEMAND]]-Table24[[#This Row],[R-DEMAND]]</f>
        <v>0</v>
      </c>
      <c r="T51" s="307">
        <f>Table24[[#This Row],[SEATS SOLD]]*Table24[[#This Row],[ECO SEAT]]</f>
        <v>0</v>
      </c>
      <c r="U51" s="307">
        <f>Table24[[#This Row],[SEATS SOLD]]*(IFERROR(VLOOKUP(Table24[[#This Row],[ROUTE]],PRICING!A:C,3,FALSE),0))</f>
        <v>0</v>
      </c>
      <c r="V51" s="307">
        <f>Table24[[#This Row],[SEAT REV]]-Table24[[#This Row],[SEAT REV
(IF IDEAL $)]]</f>
        <v>0</v>
      </c>
    </row>
    <row r="52" spans="1:22" customFormat="1" x14ac:dyDescent="0.25">
      <c r="A52" s="306" t="s">
        <v>17453</v>
      </c>
      <c r="B52" s="306" t="s">
        <v>5006</v>
      </c>
      <c r="C52" s="306"/>
      <c r="D52" s="26"/>
      <c r="E52" s="312" t="s">
        <v>14</v>
      </c>
      <c r="F52" s="306" t="str">
        <f>VLOOKUP(Table24[[#This Row],[Country]],Table10[[COUNTRY NAME]:[CONTINENT CODE]],3,FALSE)</f>
        <v>AS</v>
      </c>
      <c r="G52" s="312" t="s">
        <v>16832</v>
      </c>
      <c r="H52" s="309">
        <v>13631</v>
      </c>
      <c r="I52" s="310">
        <v>32</v>
      </c>
      <c r="J52" s="307"/>
      <c r="K52" s="307">
        <f>IFERROR(Table24[[#This Row],[ROUTE COST]]/Table24[[#This Row],[O - DEMAND]],0)</f>
        <v>0</v>
      </c>
      <c r="L52" s="306"/>
      <c r="M52" s="310">
        <f>Table24[[#This Row],[O - DEMAND]]/950</f>
        <v>0</v>
      </c>
      <c r="N52" s="306">
        <f>IFERROR(VLOOKUP(Table24[[#This Row],[ROUTE]],DEMAND!A:F,5,FALSE),0)</f>
        <v>0</v>
      </c>
      <c r="O52" s="306">
        <f>IFERROR(VLOOKUP(Table24[[#This Row],[ROUTE]],DEMAND!A:F,6,FALSE),0)</f>
        <v>0</v>
      </c>
      <c r="P52" s="306">
        <f>ROUNDDOWN(Table24[[#This Row],[R-DEMAND]]/950,0)</f>
        <v>0</v>
      </c>
      <c r="Q52" s="306">
        <f>Table24[[#This Row],[ADD ACC
(475/950)]]*Table24[[#This Row],[Duration
(A359)]]</f>
        <v>0</v>
      </c>
      <c r="R52" s="307">
        <f>IFERROR(VLOOKUP(Table24[[#This Row],[ROUTE]],PRICING!A:B,2,FALSE),0)</f>
        <v>0</v>
      </c>
      <c r="S52" s="308">
        <f>Table24[[#This Row],[C_DEMAND]]-Table24[[#This Row],[R-DEMAND]]</f>
        <v>0</v>
      </c>
      <c r="T52" s="307">
        <f>Table24[[#This Row],[SEATS SOLD]]*Table24[[#This Row],[ECO SEAT]]</f>
        <v>0</v>
      </c>
      <c r="U52" s="307">
        <f>Table24[[#This Row],[SEATS SOLD]]*(IFERROR(VLOOKUP(Table24[[#This Row],[ROUTE]],PRICING!A:C,3,FALSE),0))</f>
        <v>0</v>
      </c>
      <c r="V52" s="307">
        <f>Table24[[#This Row],[SEAT REV]]-Table24[[#This Row],[SEAT REV
(IF IDEAL $)]]</f>
        <v>0</v>
      </c>
    </row>
    <row r="53" spans="1:22" customFormat="1" x14ac:dyDescent="0.25">
      <c r="A53" s="306" t="s">
        <v>17336</v>
      </c>
      <c r="B53" s="306" t="s">
        <v>4586</v>
      </c>
      <c r="C53" s="306"/>
      <c r="D53" s="26">
        <v>2</v>
      </c>
      <c r="E53" s="312" t="s">
        <v>258</v>
      </c>
      <c r="F53" s="306" t="str">
        <f>VLOOKUP(Table24[[#This Row],[Country]],Table10[[COUNTRY NAME]:[CONTINENT CODE]],3,FALSE)</f>
        <v>AS</v>
      </c>
      <c r="G53" s="312" t="s">
        <v>16833</v>
      </c>
      <c r="H53" s="309">
        <v>13528</v>
      </c>
      <c r="I53" s="310">
        <v>31.75</v>
      </c>
      <c r="J53" s="307"/>
      <c r="K53" s="307">
        <f>IFERROR(Table24[[#This Row],[ROUTE COST]]/Table24[[#This Row],[O - DEMAND]],0)</f>
        <v>0</v>
      </c>
      <c r="L53" s="306"/>
      <c r="M53" s="310">
        <f>Table24[[#This Row],[O - DEMAND]]/950</f>
        <v>0</v>
      </c>
      <c r="N53" s="306">
        <f>IFERROR(VLOOKUP(Table24[[#This Row],[ROUTE]],DEMAND!A:F,5,FALSE),0)</f>
        <v>0</v>
      </c>
      <c r="O53" s="306">
        <f>IFERROR(VLOOKUP(Table24[[#This Row],[ROUTE]],DEMAND!A:F,6,FALSE),0)</f>
        <v>0</v>
      </c>
      <c r="P53" s="306">
        <f>ROUNDDOWN(Table24[[#This Row],[R-DEMAND]]/950,0)</f>
        <v>0</v>
      </c>
      <c r="Q53" s="306">
        <f>Table24[[#This Row],[ADD ACC
(475/950)]]*Table24[[#This Row],[Duration
(A359)]]</f>
        <v>0</v>
      </c>
      <c r="R53" s="307">
        <f>IFERROR(VLOOKUP(Table24[[#This Row],[ROUTE]],PRICING!A:B,2,FALSE),0)</f>
        <v>0</v>
      </c>
      <c r="S53" s="308">
        <f>Table24[[#This Row],[C_DEMAND]]-Table24[[#This Row],[R-DEMAND]]</f>
        <v>0</v>
      </c>
      <c r="T53" s="307">
        <f>Table24[[#This Row],[SEATS SOLD]]*Table24[[#This Row],[ECO SEAT]]</f>
        <v>0</v>
      </c>
      <c r="U53" s="307">
        <f>Table24[[#This Row],[SEATS SOLD]]*(IFERROR(VLOOKUP(Table24[[#This Row],[ROUTE]],PRICING!A:C,3,FALSE),0))</f>
        <v>0</v>
      </c>
      <c r="V53" s="307">
        <f>Table24[[#This Row],[SEAT REV]]-Table24[[#This Row],[SEAT REV
(IF IDEAL $)]]</f>
        <v>0</v>
      </c>
    </row>
    <row r="54" spans="1:22" customFormat="1" x14ac:dyDescent="0.25">
      <c r="A54" s="306" t="s">
        <v>17420</v>
      </c>
      <c r="B54" s="306" t="s">
        <v>2474</v>
      </c>
      <c r="C54" s="306"/>
      <c r="D54" s="26">
        <v>1</v>
      </c>
      <c r="E54" s="312" t="s">
        <v>258</v>
      </c>
      <c r="F54" s="306" t="str">
        <f>VLOOKUP(Table24[[#This Row],[Country]],Table10[[COUNTRY NAME]:[CONTINENT CODE]],3,FALSE)</f>
        <v>AS</v>
      </c>
      <c r="G54" s="312" t="s">
        <v>16834</v>
      </c>
      <c r="H54" s="309">
        <v>13438</v>
      </c>
      <c r="I54" s="310">
        <v>31.75</v>
      </c>
      <c r="J54" s="307"/>
      <c r="K54" s="307">
        <f>IFERROR(Table24[[#This Row],[ROUTE COST]]/Table24[[#This Row],[O - DEMAND]],0)</f>
        <v>0</v>
      </c>
      <c r="L54" s="306"/>
      <c r="M54" s="310">
        <f>Table24[[#This Row],[O - DEMAND]]/950</f>
        <v>0</v>
      </c>
      <c r="N54" s="306">
        <f>IFERROR(VLOOKUP(Table24[[#This Row],[ROUTE]],DEMAND!A:F,5,FALSE),0)</f>
        <v>0</v>
      </c>
      <c r="O54" s="306">
        <f>IFERROR(VLOOKUP(Table24[[#This Row],[ROUTE]],DEMAND!A:F,6,FALSE),0)</f>
        <v>0</v>
      </c>
      <c r="P54" s="306">
        <f>ROUNDDOWN(Table24[[#This Row],[R-DEMAND]]/950,0)</f>
        <v>0</v>
      </c>
      <c r="Q54" s="306">
        <f>Table24[[#This Row],[ADD ACC
(475/950)]]*Table24[[#This Row],[Duration
(A359)]]</f>
        <v>0</v>
      </c>
      <c r="R54" s="307">
        <f>IFERROR(VLOOKUP(Table24[[#This Row],[ROUTE]],PRICING!A:B,2,FALSE),0)</f>
        <v>0</v>
      </c>
      <c r="S54" s="308">
        <f>Table24[[#This Row],[C_DEMAND]]-Table24[[#This Row],[R-DEMAND]]</f>
        <v>0</v>
      </c>
      <c r="T54" s="307">
        <f>Table24[[#This Row],[SEATS SOLD]]*Table24[[#This Row],[ECO SEAT]]</f>
        <v>0</v>
      </c>
      <c r="U54" s="307">
        <f>Table24[[#This Row],[SEATS SOLD]]*(IFERROR(VLOOKUP(Table24[[#This Row],[ROUTE]],PRICING!A:C,3,FALSE),0))</f>
        <v>0</v>
      </c>
      <c r="V54" s="307">
        <f>Table24[[#This Row],[SEAT REV]]-Table24[[#This Row],[SEAT REV
(IF IDEAL $)]]</f>
        <v>0</v>
      </c>
    </row>
    <row r="55" spans="1:22" customFormat="1" x14ac:dyDescent="0.25">
      <c r="A55" s="306" t="s">
        <v>17339</v>
      </c>
      <c r="B55" s="306" t="s">
        <v>3070</v>
      </c>
      <c r="C55" s="306"/>
      <c r="D55" s="26">
        <v>2</v>
      </c>
      <c r="E55" s="312" t="s">
        <v>14</v>
      </c>
      <c r="F55" s="306" t="str">
        <f>VLOOKUP(Table24[[#This Row],[Country]],Table10[[COUNTRY NAME]:[CONTINENT CODE]],3,FALSE)</f>
        <v>AS</v>
      </c>
      <c r="G55" s="312" t="s">
        <v>10058</v>
      </c>
      <c r="H55" s="309">
        <v>13351</v>
      </c>
      <c r="I55" s="310">
        <v>31.5</v>
      </c>
      <c r="J55" s="307"/>
      <c r="K55" s="307">
        <f>IFERROR(Table24[[#This Row],[ROUTE COST]]/Table24[[#This Row],[O - DEMAND]],0)</f>
        <v>0</v>
      </c>
      <c r="L55" s="306"/>
      <c r="M55" s="310">
        <f>Table24[[#This Row],[O - DEMAND]]/950</f>
        <v>0</v>
      </c>
      <c r="N55" s="306">
        <f>IFERROR(VLOOKUP(Table24[[#This Row],[ROUTE]],DEMAND!A:F,5,FALSE),0)</f>
        <v>0</v>
      </c>
      <c r="O55" s="306">
        <f>IFERROR(VLOOKUP(Table24[[#This Row],[ROUTE]],DEMAND!A:F,6,FALSE),0)</f>
        <v>0</v>
      </c>
      <c r="P55" s="306">
        <f>ROUNDDOWN(Table24[[#This Row],[R-DEMAND]]/950,0)</f>
        <v>0</v>
      </c>
      <c r="Q55" s="306">
        <f>Table24[[#This Row],[ADD ACC
(475/950)]]*Table24[[#This Row],[Duration
(A359)]]</f>
        <v>0</v>
      </c>
      <c r="R55" s="307">
        <f>IFERROR(VLOOKUP(Table24[[#This Row],[ROUTE]],PRICING!A:B,2,FALSE),0)</f>
        <v>0</v>
      </c>
      <c r="S55" s="308">
        <f>Table24[[#This Row],[C_DEMAND]]-Table24[[#This Row],[R-DEMAND]]</f>
        <v>0</v>
      </c>
      <c r="T55" s="307">
        <f>Table24[[#This Row],[SEATS SOLD]]*Table24[[#This Row],[ECO SEAT]]</f>
        <v>0</v>
      </c>
      <c r="U55" s="307">
        <f>Table24[[#This Row],[SEATS SOLD]]*(IFERROR(VLOOKUP(Table24[[#This Row],[ROUTE]],PRICING!A:C,3,FALSE),0))</f>
        <v>0</v>
      </c>
      <c r="V55" s="307">
        <f>Table24[[#This Row],[SEAT REV]]-Table24[[#This Row],[SEAT REV
(IF IDEAL $)]]</f>
        <v>0</v>
      </c>
    </row>
    <row r="56" spans="1:22" customFormat="1" x14ac:dyDescent="0.25">
      <c r="A56" s="306" t="s">
        <v>17337</v>
      </c>
      <c r="B56" s="306" t="s">
        <v>437</v>
      </c>
      <c r="C56" s="306"/>
      <c r="D56" s="26">
        <v>2</v>
      </c>
      <c r="E56" s="312" t="s">
        <v>1070</v>
      </c>
      <c r="F56" s="306" t="str">
        <f>VLOOKUP(Table24[[#This Row],[Country]],Table10[[COUNTRY NAME]:[CONTINENT CODE]],3,FALSE)</f>
        <v>AS</v>
      </c>
      <c r="G56" s="312" t="s">
        <v>12018</v>
      </c>
      <c r="H56" s="309">
        <v>13417</v>
      </c>
      <c r="I56" s="310">
        <v>31.5</v>
      </c>
      <c r="J56" s="307"/>
      <c r="K56" s="307">
        <f>IFERROR(Table24[[#This Row],[ROUTE COST]]/Table24[[#This Row],[O - DEMAND]],0)</f>
        <v>0</v>
      </c>
      <c r="L56" s="306"/>
      <c r="M56" s="310">
        <f>Table24[[#This Row],[O - DEMAND]]/950</f>
        <v>0</v>
      </c>
      <c r="N56" s="306">
        <f>IFERROR(VLOOKUP(Table24[[#This Row],[ROUTE]],DEMAND!A:F,5,FALSE),0)</f>
        <v>0</v>
      </c>
      <c r="O56" s="306">
        <f>IFERROR(VLOOKUP(Table24[[#This Row],[ROUTE]],DEMAND!A:F,6,FALSE),0)</f>
        <v>0</v>
      </c>
      <c r="P56" s="306">
        <f>ROUNDDOWN(Table24[[#This Row],[R-DEMAND]]/950,0)</f>
        <v>0</v>
      </c>
      <c r="Q56" s="306">
        <f>Table24[[#This Row],[ADD ACC
(475/950)]]*Table24[[#This Row],[Duration
(A359)]]</f>
        <v>0</v>
      </c>
      <c r="R56" s="307">
        <f>IFERROR(VLOOKUP(Table24[[#This Row],[ROUTE]],PRICING!A:B,2,FALSE),0)</f>
        <v>0</v>
      </c>
      <c r="S56" s="308">
        <f>Table24[[#This Row],[C_DEMAND]]-Table24[[#This Row],[R-DEMAND]]</f>
        <v>0</v>
      </c>
      <c r="T56" s="307">
        <f>Table24[[#This Row],[SEATS SOLD]]*Table24[[#This Row],[ECO SEAT]]</f>
        <v>0</v>
      </c>
      <c r="U56" s="307">
        <f>Table24[[#This Row],[SEATS SOLD]]*(IFERROR(VLOOKUP(Table24[[#This Row],[ROUTE]],PRICING!A:C,3,FALSE),0))</f>
        <v>0</v>
      </c>
      <c r="V56" s="307">
        <f>Table24[[#This Row],[SEAT REV]]-Table24[[#This Row],[SEAT REV
(IF IDEAL $)]]</f>
        <v>0</v>
      </c>
    </row>
    <row r="57" spans="1:22" customFormat="1" x14ac:dyDescent="0.25">
      <c r="A57" s="306" t="s">
        <v>17341</v>
      </c>
      <c r="B57" s="306" t="s">
        <v>244</v>
      </c>
      <c r="C57" s="306"/>
      <c r="D57" s="26">
        <v>2</v>
      </c>
      <c r="E57" s="312" t="s">
        <v>1070</v>
      </c>
      <c r="F57" s="306" t="str">
        <f>VLOOKUP(Table24[[#This Row],[Country]],Table10[[COUNTRY NAME]:[CONTINENT CODE]],3,FALSE)</f>
        <v>AS</v>
      </c>
      <c r="G57" s="312" t="s">
        <v>12015</v>
      </c>
      <c r="H57" s="309">
        <v>13343</v>
      </c>
      <c r="I57" s="310">
        <v>31.5</v>
      </c>
      <c r="J57" s="307"/>
      <c r="K57" s="307">
        <f>IFERROR(Table24[[#This Row],[ROUTE COST]]/Table24[[#This Row],[O - DEMAND]],0)</f>
        <v>0</v>
      </c>
      <c r="L57" s="306"/>
      <c r="M57" s="310">
        <f>Table24[[#This Row],[O - DEMAND]]/950</f>
        <v>0</v>
      </c>
      <c r="N57" s="306">
        <f>IFERROR(VLOOKUP(Table24[[#This Row],[ROUTE]],DEMAND!A:F,5,FALSE),0)</f>
        <v>0</v>
      </c>
      <c r="O57" s="306">
        <f>IFERROR(VLOOKUP(Table24[[#This Row],[ROUTE]],DEMAND!A:F,6,FALSE),0)</f>
        <v>0</v>
      </c>
      <c r="P57" s="306">
        <f>ROUNDDOWN(Table24[[#This Row],[R-DEMAND]]/950,0)</f>
        <v>0</v>
      </c>
      <c r="Q57" s="306">
        <f>Table24[[#This Row],[ADD ACC
(475/950)]]*Table24[[#This Row],[Duration
(A359)]]</f>
        <v>0</v>
      </c>
      <c r="R57" s="307">
        <f>IFERROR(VLOOKUP(Table24[[#This Row],[ROUTE]],PRICING!A:B,2,FALSE),0)</f>
        <v>0</v>
      </c>
      <c r="S57" s="308">
        <f>Table24[[#This Row],[C_DEMAND]]-Table24[[#This Row],[R-DEMAND]]</f>
        <v>0</v>
      </c>
      <c r="T57" s="307">
        <f>Table24[[#This Row],[SEATS SOLD]]*Table24[[#This Row],[ECO SEAT]]</f>
        <v>0</v>
      </c>
      <c r="U57" s="307">
        <f>Table24[[#This Row],[SEATS SOLD]]*(IFERROR(VLOOKUP(Table24[[#This Row],[ROUTE]],PRICING!A:C,3,FALSE),0))</f>
        <v>0</v>
      </c>
      <c r="V57" s="307">
        <f>Table24[[#This Row],[SEAT REV]]-Table24[[#This Row],[SEAT REV
(IF IDEAL $)]]</f>
        <v>0</v>
      </c>
    </row>
    <row r="58" spans="1:22" customFormat="1" x14ac:dyDescent="0.25">
      <c r="A58" s="306" t="s">
        <v>17343</v>
      </c>
      <c r="B58" s="306" t="s">
        <v>2893</v>
      </c>
      <c r="C58" s="306"/>
      <c r="D58" s="26">
        <v>2</v>
      </c>
      <c r="E58" s="312" t="s">
        <v>2891</v>
      </c>
      <c r="F58" s="306" t="str">
        <f>VLOOKUP(Table24[[#This Row],[Country]],Table10[[COUNTRY NAME]:[CONTINENT CODE]],3,FALSE)</f>
        <v>AS</v>
      </c>
      <c r="G58" s="312" t="s">
        <v>12016</v>
      </c>
      <c r="H58" s="309">
        <v>13325</v>
      </c>
      <c r="I58" s="310">
        <v>31.5</v>
      </c>
      <c r="J58" s="307"/>
      <c r="K58" s="307">
        <f>IFERROR(Table24[[#This Row],[ROUTE COST]]/Table24[[#This Row],[O - DEMAND]],0)</f>
        <v>0</v>
      </c>
      <c r="L58" s="306"/>
      <c r="M58" s="310">
        <f>Table24[[#This Row],[O - DEMAND]]/950</f>
        <v>0</v>
      </c>
      <c r="N58" s="306">
        <f>IFERROR(VLOOKUP(Table24[[#This Row],[ROUTE]],DEMAND!A:F,5,FALSE),0)</f>
        <v>0</v>
      </c>
      <c r="O58" s="306">
        <f>IFERROR(VLOOKUP(Table24[[#This Row],[ROUTE]],DEMAND!A:F,6,FALSE),0)</f>
        <v>0</v>
      </c>
      <c r="P58" s="306">
        <f>ROUNDDOWN(Table24[[#This Row],[R-DEMAND]]/950,0)</f>
        <v>0</v>
      </c>
      <c r="Q58" s="306">
        <f>Table24[[#This Row],[ADD ACC
(475/950)]]*Table24[[#This Row],[Duration
(A359)]]</f>
        <v>0</v>
      </c>
      <c r="R58" s="307">
        <f>IFERROR(VLOOKUP(Table24[[#This Row],[ROUTE]],PRICING!A:B,2,FALSE),0)</f>
        <v>0</v>
      </c>
      <c r="S58" s="308">
        <f>Table24[[#This Row],[C_DEMAND]]-Table24[[#This Row],[R-DEMAND]]</f>
        <v>0</v>
      </c>
      <c r="T58" s="307">
        <f>Table24[[#This Row],[SEATS SOLD]]*Table24[[#This Row],[ECO SEAT]]</f>
        <v>0</v>
      </c>
      <c r="U58" s="307">
        <f>Table24[[#This Row],[SEATS SOLD]]*(IFERROR(VLOOKUP(Table24[[#This Row],[ROUTE]],PRICING!A:C,3,FALSE),0))</f>
        <v>0</v>
      </c>
      <c r="V58" s="307">
        <f>Table24[[#This Row],[SEAT REV]]-Table24[[#This Row],[SEAT REV
(IF IDEAL $)]]</f>
        <v>0</v>
      </c>
    </row>
    <row r="59" spans="1:22" customFormat="1" ht="15" customHeight="1" x14ac:dyDescent="0.25">
      <c r="A59" s="306" t="s">
        <v>17342</v>
      </c>
      <c r="B59" s="306" t="s">
        <v>3243</v>
      </c>
      <c r="C59" s="306"/>
      <c r="D59" s="26">
        <v>2</v>
      </c>
      <c r="E59" s="312" t="s">
        <v>197</v>
      </c>
      <c r="F59" s="306" t="str">
        <f>VLOOKUP(Table24[[#This Row],[Country]],Table10[[COUNTRY NAME]:[CONTINENT CODE]],3,FALSE)</f>
        <v>AS</v>
      </c>
      <c r="G59" s="312" t="s">
        <v>12013</v>
      </c>
      <c r="H59" s="309">
        <v>13343</v>
      </c>
      <c r="I59" s="310">
        <v>31.5</v>
      </c>
      <c r="J59" s="307"/>
      <c r="K59" s="307">
        <f>IFERROR(Table24[[#This Row],[ROUTE COST]]/Table24[[#This Row],[O - DEMAND]],0)</f>
        <v>0</v>
      </c>
      <c r="L59" s="306"/>
      <c r="M59" s="310">
        <f>Table24[[#This Row],[O - DEMAND]]/950</f>
        <v>0</v>
      </c>
      <c r="N59" s="306">
        <f>IFERROR(VLOOKUP(Table24[[#This Row],[ROUTE]],DEMAND!A:F,5,FALSE),0)</f>
        <v>0</v>
      </c>
      <c r="O59" s="306">
        <f>IFERROR(VLOOKUP(Table24[[#This Row],[ROUTE]],DEMAND!A:F,6,FALSE),0)</f>
        <v>0</v>
      </c>
      <c r="P59" s="306">
        <f>ROUNDDOWN(Table24[[#This Row],[R-DEMAND]]/950,0)</f>
        <v>0</v>
      </c>
      <c r="Q59" s="306">
        <f>Table24[[#This Row],[ADD ACC
(475/950)]]*Table24[[#This Row],[Duration
(A359)]]</f>
        <v>0</v>
      </c>
      <c r="R59" s="307">
        <f>IFERROR(VLOOKUP(Table24[[#This Row],[ROUTE]],PRICING!A:B,2,FALSE),0)</f>
        <v>0</v>
      </c>
      <c r="S59" s="308">
        <f>Table24[[#This Row],[C_DEMAND]]-Table24[[#This Row],[R-DEMAND]]</f>
        <v>0</v>
      </c>
      <c r="T59" s="307">
        <f>Table24[[#This Row],[SEATS SOLD]]*Table24[[#This Row],[ECO SEAT]]</f>
        <v>0</v>
      </c>
      <c r="U59" s="307">
        <f>Table24[[#This Row],[SEATS SOLD]]*(IFERROR(VLOOKUP(Table24[[#This Row],[ROUTE]],PRICING!A:C,3,FALSE),0))</f>
        <v>0</v>
      </c>
      <c r="V59" s="307">
        <f>Table24[[#This Row],[SEAT REV]]-Table24[[#This Row],[SEAT REV
(IF IDEAL $)]]</f>
        <v>0</v>
      </c>
    </row>
    <row r="60" spans="1:22" customFormat="1" x14ac:dyDescent="0.25">
      <c r="A60" s="306" t="s">
        <v>17340</v>
      </c>
      <c r="B60" s="306" t="s">
        <v>3513</v>
      </c>
      <c r="C60" s="306"/>
      <c r="D60" s="26">
        <v>2</v>
      </c>
      <c r="E60" s="312" t="s">
        <v>197</v>
      </c>
      <c r="F60" s="306" t="str">
        <f>VLOOKUP(Table24[[#This Row],[Country]],Table10[[COUNTRY NAME]:[CONTINENT CODE]],3,FALSE)</f>
        <v>AS</v>
      </c>
      <c r="G60" s="312" t="s">
        <v>16836</v>
      </c>
      <c r="H60" s="309">
        <v>13347</v>
      </c>
      <c r="I60" s="310">
        <v>31.5</v>
      </c>
      <c r="J60" s="307"/>
      <c r="K60" s="307">
        <f>IFERROR(Table24[[#This Row],[ROUTE COST]]/Table24[[#This Row],[O - DEMAND]],0)</f>
        <v>0</v>
      </c>
      <c r="L60" s="306"/>
      <c r="M60" s="310">
        <f>Table24[[#This Row],[O - DEMAND]]/950</f>
        <v>0</v>
      </c>
      <c r="N60" s="306">
        <f>IFERROR(VLOOKUP(Table24[[#This Row],[ROUTE]],DEMAND!A:F,5,FALSE),0)</f>
        <v>0</v>
      </c>
      <c r="O60" s="306">
        <f>IFERROR(VLOOKUP(Table24[[#This Row],[ROUTE]],DEMAND!A:F,6,FALSE),0)</f>
        <v>0</v>
      </c>
      <c r="P60" s="306">
        <f>ROUNDDOWN(Table24[[#This Row],[R-DEMAND]]/950,0)</f>
        <v>0</v>
      </c>
      <c r="Q60" s="306">
        <f>Table24[[#This Row],[ADD ACC
(475/950)]]*Table24[[#This Row],[Duration
(A359)]]</f>
        <v>0</v>
      </c>
      <c r="R60" s="307">
        <f>IFERROR(VLOOKUP(Table24[[#This Row],[ROUTE]],PRICING!A:B,2,FALSE),0)</f>
        <v>0</v>
      </c>
      <c r="S60" s="308">
        <f>Table24[[#This Row],[C_DEMAND]]-Table24[[#This Row],[R-DEMAND]]</f>
        <v>0</v>
      </c>
      <c r="T60" s="307">
        <f>Table24[[#This Row],[SEATS SOLD]]*Table24[[#This Row],[ECO SEAT]]</f>
        <v>0</v>
      </c>
      <c r="U60" s="307">
        <f>Table24[[#This Row],[SEATS SOLD]]*(IFERROR(VLOOKUP(Table24[[#This Row],[ROUTE]],PRICING!A:C,3,FALSE),0))</f>
        <v>0</v>
      </c>
      <c r="V60" s="307">
        <f>Table24[[#This Row],[SEAT REV]]-Table24[[#This Row],[SEAT REV
(IF IDEAL $)]]</f>
        <v>0</v>
      </c>
    </row>
    <row r="61" spans="1:22" customFormat="1" x14ac:dyDescent="0.25">
      <c r="A61" s="306" t="s">
        <v>17338</v>
      </c>
      <c r="B61" s="306" t="s">
        <v>2567</v>
      </c>
      <c r="C61" s="306"/>
      <c r="D61" s="26">
        <v>2</v>
      </c>
      <c r="E61" s="312" t="s">
        <v>197</v>
      </c>
      <c r="F61" s="306" t="str">
        <f>VLOOKUP(Table24[[#This Row],[Country]],Table10[[COUNTRY NAME]:[CONTINENT CODE]],3,FALSE)</f>
        <v>AS</v>
      </c>
      <c r="G61" s="312" t="s">
        <v>16835</v>
      </c>
      <c r="H61" s="309">
        <v>13381</v>
      </c>
      <c r="I61" s="310">
        <v>31.5</v>
      </c>
      <c r="J61" s="307"/>
      <c r="K61" s="307">
        <f>IFERROR(Table24[[#This Row],[ROUTE COST]]/Table24[[#This Row],[O - DEMAND]],0)</f>
        <v>0</v>
      </c>
      <c r="L61" s="306"/>
      <c r="M61" s="310">
        <f>Table24[[#This Row],[O - DEMAND]]/950</f>
        <v>0</v>
      </c>
      <c r="N61" s="306">
        <f>IFERROR(VLOOKUP(Table24[[#This Row],[ROUTE]],DEMAND!A:F,5,FALSE),0)</f>
        <v>0</v>
      </c>
      <c r="O61" s="306">
        <f>IFERROR(VLOOKUP(Table24[[#This Row],[ROUTE]],DEMAND!A:F,6,FALSE),0)</f>
        <v>0</v>
      </c>
      <c r="P61" s="306">
        <f>ROUNDDOWN(Table24[[#This Row],[R-DEMAND]]/950,0)</f>
        <v>0</v>
      </c>
      <c r="Q61" s="306">
        <f>Table24[[#This Row],[ADD ACC
(475/950)]]*Table24[[#This Row],[Duration
(A359)]]</f>
        <v>0</v>
      </c>
      <c r="R61" s="307">
        <f>IFERROR(VLOOKUP(Table24[[#This Row],[ROUTE]],PRICING!A:B,2,FALSE),0)</f>
        <v>0</v>
      </c>
      <c r="S61" s="308">
        <f>Table24[[#This Row],[C_DEMAND]]-Table24[[#This Row],[R-DEMAND]]</f>
        <v>0</v>
      </c>
      <c r="T61" s="307">
        <f>Table24[[#This Row],[SEATS SOLD]]*Table24[[#This Row],[ECO SEAT]]</f>
        <v>0</v>
      </c>
      <c r="U61" s="307">
        <f>Table24[[#This Row],[SEATS SOLD]]*(IFERROR(VLOOKUP(Table24[[#This Row],[ROUTE]],PRICING!A:C,3,FALSE),0))</f>
        <v>0</v>
      </c>
      <c r="V61" s="307">
        <f>Table24[[#This Row],[SEAT REV]]-Table24[[#This Row],[SEAT REV
(IF IDEAL $)]]</f>
        <v>0</v>
      </c>
    </row>
    <row r="62" spans="1:22" customFormat="1" x14ac:dyDescent="0.25">
      <c r="A62" s="306" t="s">
        <v>17421</v>
      </c>
      <c r="B62" s="306" t="s">
        <v>1904</v>
      </c>
      <c r="C62" s="306"/>
      <c r="D62" s="26">
        <v>1</v>
      </c>
      <c r="E62" s="312" t="s">
        <v>197</v>
      </c>
      <c r="F62" s="306" t="str">
        <f>VLOOKUP(Table24[[#This Row],[Country]],Table10[[COUNTRY NAME]:[CONTINENT CODE]],3,FALSE)</f>
        <v>AS</v>
      </c>
      <c r="G62" s="312" t="s">
        <v>12014</v>
      </c>
      <c r="H62" s="309">
        <v>13426</v>
      </c>
      <c r="I62" s="310">
        <v>31.5</v>
      </c>
      <c r="J62" s="307"/>
      <c r="K62" s="307">
        <f>IFERROR(Table24[[#This Row],[ROUTE COST]]/Table24[[#This Row],[O - DEMAND]],0)</f>
        <v>0</v>
      </c>
      <c r="L62" s="306"/>
      <c r="M62" s="310">
        <f>Table24[[#This Row],[O - DEMAND]]/950</f>
        <v>0</v>
      </c>
      <c r="N62" s="306">
        <f>IFERROR(VLOOKUP(Table24[[#This Row],[ROUTE]],DEMAND!A:F,5,FALSE),0)</f>
        <v>0</v>
      </c>
      <c r="O62" s="306">
        <f>IFERROR(VLOOKUP(Table24[[#This Row],[ROUTE]],DEMAND!A:F,6,FALSE),0)</f>
        <v>0</v>
      </c>
      <c r="P62" s="306">
        <f>ROUNDDOWN(Table24[[#This Row],[R-DEMAND]]/950,0)</f>
        <v>0</v>
      </c>
      <c r="Q62" s="306">
        <f>Table24[[#This Row],[ADD ACC
(475/950)]]*Table24[[#This Row],[Duration
(A359)]]</f>
        <v>0</v>
      </c>
      <c r="R62" s="307">
        <f>IFERROR(VLOOKUP(Table24[[#This Row],[ROUTE]],PRICING!A:B,2,FALSE),0)</f>
        <v>0</v>
      </c>
      <c r="S62" s="308">
        <f>Table24[[#This Row],[C_DEMAND]]-Table24[[#This Row],[R-DEMAND]]</f>
        <v>0</v>
      </c>
      <c r="T62" s="307">
        <f>Table24[[#This Row],[SEATS SOLD]]*Table24[[#This Row],[ECO SEAT]]</f>
        <v>0</v>
      </c>
      <c r="U62" s="307">
        <f>Table24[[#This Row],[SEATS SOLD]]*(IFERROR(VLOOKUP(Table24[[#This Row],[ROUTE]],PRICING!A:C,3,FALSE),0))</f>
        <v>0</v>
      </c>
      <c r="V62" s="307">
        <f>Table24[[#This Row],[SEAT REV]]-Table24[[#This Row],[SEAT REV
(IF IDEAL $)]]</f>
        <v>0</v>
      </c>
    </row>
    <row r="63" spans="1:22" customFormat="1" x14ac:dyDescent="0.25">
      <c r="A63" s="306" t="s">
        <v>17344</v>
      </c>
      <c r="B63" s="306" t="s">
        <v>74</v>
      </c>
      <c r="C63" s="306"/>
      <c r="D63" s="26">
        <v>2</v>
      </c>
      <c r="E63" s="312" t="s">
        <v>1070</v>
      </c>
      <c r="F63" s="306" t="str">
        <f>VLOOKUP(Table24[[#This Row],[Country]],Table10[[COUNTRY NAME]:[CONTINENT CODE]],3,FALSE)</f>
        <v>AS</v>
      </c>
      <c r="G63" s="312" t="s">
        <v>12009</v>
      </c>
      <c r="H63" s="309">
        <v>13212</v>
      </c>
      <c r="I63" s="310">
        <v>31.25</v>
      </c>
      <c r="J63" s="307"/>
      <c r="K63" s="307">
        <f>IFERROR(Table24[[#This Row],[ROUTE COST]]/Table24[[#This Row],[O - DEMAND]],0)</f>
        <v>0</v>
      </c>
      <c r="L63" s="306"/>
      <c r="M63" s="310">
        <f>Table24[[#This Row],[O - DEMAND]]/950</f>
        <v>0</v>
      </c>
      <c r="N63" s="306">
        <f>IFERROR(VLOOKUP(Table24[[#This Row],[ROUTE]],DEMAND!A:F,5,FALSE),0)</f>
        <v>0</v>
      </c>
      <c r="O63" s="306">
        <f>IFERROR(VLOOKUP(Table24[[#This Row],[ROUTE]],DEMAND!A:F,6,FALSE),0)</f>
        <v>0</v>
      </c>
      <c r="P63" s="306">
        <f>ROUNDDOWN(Table24[[#This Row],[R-DEMAND]]/950,0)</f>
        <v>0</v>
      </c>
      <c r="Q63" s="306">
        <f>Table24[[#This Row],[ADD ACC
(475/950)]]*Table24[[#This Row],[Duration
(A359)]]</f>
        <v>0</v>
      </c>
      <c r="R63" s="307">
        <f>IFERROR(VLOOKUP(Table24[[#This Row],[ROUTE]],PRICING!A:B,2,FALSE),0)</f>
        <v>0</v>
      </c>
      <c r="S63" s="308">
        <f>Table24[[#This Row],[C_DEMAND]]-Table24[[#This Row],[R-DEMAND]]</f>
        <v>0</v>
      </c>
      <c r="T63" s="307">
        <f>Table24[[#This Row],[SEATS SOLD]]*Table24[[#This Row],[ECO SEAT]]</f>
        <v>0</v>
      </c>
      <c r="U63" s="307">
        <f>Table24[[#This Row],[SEATS SOLD]]*(IFERROR(VLOOKUP(Table24[[#This Row],[ROUTE]],PRICING!A:C,3,FALSE),0))</f>
        <v>0</v>
      </c>
      <c r="V63" s="307">
        <f>Table24[[#This Row],[SEAT REV]]-Table24[[#This Row],[SEAT REV
(IF IDEAL $)]]</f>
        <v>0</v>
      </c>
    </row>
    <row r="64" spans="1:22" customFormat="1" x14ac:dyDescent="0.25">
      <c r="A64" s="306" t="s">
        <v>17454</v>
      </c>
      <c r="B64" s="306" t="s">
        <v>2637</v>
      </c>
      <c r="C64" s="306"/>
      <c r="D64" s="26"/>
      <c r="E64" s="312" t="s">
        <v>14</v>
      </c>
      <c r="F64" s="306" t="str">
        <f>VLOOKUP(Table24[[#This Row],[Country]],Table10[[COUNTRY NAME]:[CONTINENT CODE]],3,FALSE)</f>
        <v>AS</v>
      </c>
      <c r="G64" s="312" t="s">
        <v>16837</v>
      </c>
      <c r="H64" s="309">
        <v>13279</v>
      </c>
      <c r="I64" s="310">
        <v>31.25</v>
      </c>
      <c r="J64" s="307"/>
      <c r="K64" s="307">
        <f>IFERROR(Table24[[#This Row],[ROUTE COST]]/Table24[[#This Row],[O - DEMAND]],0)</f>
        <v>0</v>
      </c>
      <c r="L64" s="306"/>
      <c r="M64" s="310">
        <f>Table24[[#This Row],[O - DEMAND]]/950</f>
        <v>0</v>
      </c>
      <c r="N64" s="306">
        <f>IFERROR(VLOOKUP(Table24[[#This Row],[ROUTE]],DEMAND!A:F,5,FALSE),0)</f>
        <v>0</v>
      </c>
      <c r="O64" s="306">
        <f>IFERROR(VLOOKUP(Table24[[#This Row],[ROUTE]],DEMAND!A:F,6,FALSE),0)</f>
        <v>0</v>
      </c>
      <c r="P64" s="306">
        <f>ROUNDDOWN(Table24[[#This Row],[R-DEMAND]]/950,0)</f>
        <v>0</v>
      </c>
      <c r="Q64" s="306">
        <f>Table24[[#This Row],[ADD ACC
(475/950)]]*Table24[[#This Row],[Duration
(A359)]]</f>
        <v>0</v>
      </c>
      <c r="R64" s="307">
        <f>IFERROR(VLOOKUP(Table24[[#This Row],[ROUTE]],PRICING!A:B,2,FALSE),0)</f>
        <v>0</v>
      </c>
      <c r="S64" s="308">
        <f>Table24[[#This Row],[C_DEMAND]]-Table24[[#This Row],[R-DEMAND]]</f>
        <v>0</v>
      </c>
      <c r="T64" s="307">
        <f>Table24[[#This Row],[SEATS SOLD]]*Table24[[#This Row],[ECO SEAT]]</f>
        <v>0</v>
      </c>
      <c r="U64" s="307">
        <f>Table24[[#This Row],[SEATS SOLD]]*(IFERROR(VLOOKUP(Table24[[#This Row],[ROUTE]],PRICING!A:C,3,FALSE),0))</f>
        <v>0</v>
      </c>
      <c r="V64" s="307">
        <f>Table24[[#This Row],[SEAT REV]]-Table24[[#This Row],[SEAT REV
(IF IDEAL $)]]</f>
        <v>0</v>
      </c>
    </row>
    <row r="65" spans="1:22" customFormat="1" x14ac:dyDescent="0.25">
      <c r="A65" s="306" t="s">
        <v>17455</v>
      </c>
      <c r="B65" s="306" t="s">
        <v>2251</v>
      </c>
      <c r="C65" s="306"/>
      <c r="D65" s="26"/>
      <c r="E65" s="312" t="s">
        <v>14</v>
      </c>
      <c r="F65" s="306" t="str">
        <f>VLOOKUP(Table24[[#This Row],[Country]],Table10[[COUNTRY NAME]:[CONTINENT CODE]],3,FALSE)</f>
        <v>AS</v>
      </c>
      <c r="G65" s="312" t="s">
        <v>16838</v>
      </c>
      <c r="H65" s="309">
        <v>13240</v>
      </c>
      <c r="I65" s="310">
        <v>31.25</v>
      </c>
      <c r="J65" s="307"/>
      <c r="K65" s="307">
        <f>IFERROR(Table24[[#This Row],[ROUTE COST]]/Table24[[#This Row],[O - DEMAND]],0)</f>
        <v>0</v>
      </c>
      <c r="L65" s="306"/>
      <c r="M65" s="310">
        <f>Table24[[#This Row],[O - DEMAND]]/950</f>
        <v>0</v>
      </c>
      <c r="N65" s="306">
        <f>IFERROR(VLOOKUP(Table24[[#This Row],[ROUTE]],DEMAND!A:F,5,FALSE),0)</f>
        <v>0</v>
      </c>
      <c r="O65" s="306">
        <f>IFERROR(VLOOKUP(Table24[[#This Row],[ROUTE]],DEMAND!A:F,6,FALSE),0)</f>
        <v>0</v>
      </c>
      <c r="P65" s="306">
        <f>ROUNDDOWN(Table24[[#This Row],[R-DEMAND]]/950,0)</f>
        <v>0</v>
      </c>
      <c r="Q65" s="306">
        <f>Table24[[#This Row],[ADD ACC
(475/950)]]*Table24[[#This Row],[Duration
(A359)]]</f>
        <v>0</v>
      </c>
      <c r="R65" s="307">
        <f>IFERROR(VLOOKUP(Table24[[#This Row],[ROUTE]],PRICING!A:B,2,FALSE),0)</f>
        <v>0</v>
      </c>
      <c r="S65" s="308">
        <f>Table24[[#This Row],[C_DEMAND]]-Table24[[#This Row],[R-DEMAND]]</f>
        <v>0</v>
      </c>
      <c r="T65" s="307">
        <f>Table24[[#This Row],[SEATS SOLD]]*Table24[[#This Row],[ECO SEAT]]</f>
        <v>0</v>
      </c>
      <c r="U65" s="307">
        <f>Table24[[#This Row],[SEATS SOLD]]*(IFERROR(VLOOKUP(Table24[[#This Row],[ROUTE]],PRICING!A:C,3,FALSE),0))</f>
        <v>0</v>
      </c>
      <c r="V65" s="307">
        <f>Table24[[#This Row],[SEAT REV]]-Table24[[#This Row],[SEAT REV
(IF IDEAL $)]]</f>
        <v>0</v>
      </c>
    </row>
    <row r="66" spans="1:22" customFormat="1" x14ac:dyDescent="0.25">
      <c r="A66" s="306" t="s">
        <v>17345</v>
      </c>
      <c r="B66" s="306" t="s">
        <v>3235</v>
      </c>
      <c r="C66" s="306"/>
      <c r="D66" s="26">
        <v>2</v>
      </c>
      <c r="E66" s="312" t="s">
        <v>14</v>
      </c>
      <c r="F66" s="306" t="str">
        <f>VLOOKUP(Table24[[#This Row],[Country]],Table10[[COUNTRY NAME]:[CONTINENT CODE]],3,FALSE)</f>
        <v>AS</v>
      </c>
      <c r="G66" s="312" t="s">
        <v>9438</v>
      </c>
      <c r="H66" s="309">
        <v>13179</v>
      </c>
      <c r="I66" s="310">
        <v>31</v>
      </c>
      <c r="J66" s="307"/>
      <c r="K66" s="307">
        <f>IFERROR(Table24[[#This Row],[ROUTE COST]]/Table24[[#This Row],[O - DEMAND]],0)</f>
        <v>0</v>
      </c>
      <c r="L66" s="306"/>
      <c r="M66" s="310">
        <f>Table24[[#This Row],[O - DEMAND]]/950</f>
        <v>0</v>
      </c>
      <c r="N66" s="306">
        <f>IFERROR(VLOOKUP(Table24[[#This Row],[ROUTE]],DEMAND!A:F,5,FALSE),0)</f>
        <v>0</v>
      </c>
      <c r="O66" s="306">
        <f>IFERROR(VLOOKUP(Table24[[#This Row],[ROUTE]],DEMAND!A:F,6,FALSE),0)</f>
        <v>0</v>
      </c>
      <c r="P66" s="306">
        <f>ROUNDDOWN(Table24[[#This Row],[R-DEMAND]]/950,0)</f>
        <v>0</v>
      </c>
      <c r="Q66" s="306">
        <f>Table24[[#This Row],[ADD ACC
(475/950)]]*Table24[[#This Row],[Duration
(A359)]]</f>
        <v>0</v>
      </c>
      <c r="R66" s="307">
        <f>IFERROR(VLOOKUP(Table24[[#This Row],[ROUTE]],PRICING!A:B,2,FALSE),0)</f>
        <v>0</v>
      </c>
      <c r="S66" s="308">
        <f>Table24[[#This Row],[C_DEMAND]]-Table24[[#This Row],[R-DEMAND]]</f>
        <v>0</v>
      </c>
      <c r="T66" s="307">
        <f>Table24[[#This Row],[SEATS SOLD]]*Table24[[#This Row],[ECO SEAT]]</f>
        <v>0</v>
      </c>
      <c r="U66" s="307">
        <f>Table24[[#This Row],[SEATS SOLD]]*(IFERROR(VLOOKUP(Table24[[#This Row],[ROUTE]],PRICING!A:C,3,FALSE),0))</f>
        <v>0</v>
      </c>
      <c r="V66" s="307">
        <f>Table24[[#This Row],[SEAT REV]]-Table24[[#This Row],[SEAT REV
(IF IDEAL $)]]</f>
        <v>0</v>
      </c>
    </row>
    <row r="67" spans="1:22" customFormat="1" x14ac:dyDescent="0.25">
      <c r="A67" s="306" t="s">
        <v>17422</v>
      </c>
      <c r="B67" s="306" t="s">
        <v>1291</v>
      </c>
      <c r="C67" s="306"/>
      <c r="D67" s="26">
        <v>1</v>
      </c>
      <c r="E67" s="312" t="s">
        <v>1289</v>
      </c>
      <c r="F67" s="306" t="str">
        <f>VLOOKUP(Table24[[#This Row],[Country]],Table10[[COUNTRY NAME]:[CONTINENT CODE]],3,FALSE)</f>
        <v>AS</v>
      </c>
      <c r="G67" s="312" t="s">
        <v>11994</v>
      </c>
      <c r="H67" s="309">
        <v>13176</v>
      </c>
      <c r="I67" s="310">
        <v>31</v>
      </c>
      <c r="J67" s="307"/>
      <c r="K67" s="307">
        <f>IFERROR(Table24[[#This Row],[ROUTE COST]]/Table24[[#This Row],[O - DEMAND]],0)</f>
        <v>0</v>
      </c>
      <c r="L67" s="306"/>
      <c r="M67" s="310">
        <f>Table24[[#This Row],[O - DEMAND]]/950</f>
        <v>0</v>
      </c>
      <c r="N67" s="306">
        <f>IFERROR(VLOOKUP(Table24[[#This Row],[ROUTE]],DEMAND!A:F,5,FALSE),0)</f>
        <v>0</v>
      </c>
      <c r="O67" s="306">
        <f>IFERROR(VLOOKUP(Table24[[#This Row],[ROUTE]],DEMAND!A:F,6,FALSE),0)</f>
        <v>0</v>
      </c>
      <c r="P67" s="306">
        <f>ROUNDDOWN(Table24[[#This Row],[R-DEMAND]]/950,0)</f>
        <v>0</v>
      </c>
      <c r="Q67" s="306">
        <f>Table24[[#This Row],[ADD ACC
(475/950)]]*Table24[[#This Row],[Duration
(A359)]]</f>
        <v>0</v>
      </c>
      <c r="R67" s="307">
        <f>IFERROR(VLOOKUP(Table24[[#This Row],[ROUTE]],PRICING!A:B,2,FALSE),0)</f>
        <v>0</v>
      </c>
      <c r="S67" s="308">
        <f>Table24[[#This Row],[C_DEMAND]]-Table24[[#This Row],[R-DEMAND]]</f>
        <v>0</v>
      </c>
      <c r="T67" s="307">
        <f>Table24[[#This Row],[SEATS SOLD]]*Table24[[#This Row],[ECO SEAT]]</f>
        <v>0</v>
      </c>
      <c r="U67" s="307">
        <f>Table24[[#This Row],[SEATS SOLD]]*(IFERROR(VLOOKUP(Table24[[#This Row],[ROUTE]],PRICING!A:C,3,FALSE),0))</f>
        <v>0</v>
      </c>
      <c r="V67" s="307">
        <f>Table24[[#This Row],[SEAT REV]]-Table24[[#This Row],[SEAT REV
(IF IDEAL $)]]</f>
        <v>0</v>
      </c>
    </row>
    <row r="68" spans="1:22" customFormat="1" x14ac:dyDescent="0.25">
      <c r="A68" s="306" t="s">
        <v>17124</v>
      </c>
      <c r="B68" s="306" t="s">
        <v>293</v>
      </c>
      <c r="C68" s="306"/>
      <c r="D68" s="26">
        <v>2</v>
      </c>
      <c r="E68" s="312" t="s">
        <v>1135</v>
      </c>
      <c r="F68" s="306" t="str">
        <f>VLOOKUP(Table24[[#This Row],[Country]],Table10[[COUNTRY NAME]:[CONTINENT CODE]],3,FALSE)</f>
        <v>AF</v>
      </c>
      <c r="G68" s="312" t="s">
        <v>11960</v>
      </c>
      <c r="H68" s="309">
        <v>13088</v>
      </c>
      <c r="I68" s="310">
        <v>30.75</v>
      </c>
      <c r="J68" s="307"/>
      <c r="K68" s="307">
        <f>IFERROR(Table24[[#This Row],[ROUTE COST]]/Table24[[#This Row],[O - DEMAND]],0)</f>
        <v>0</v>
      </c>
      <c r="L68" s="306"/>
      <c r="M68" s="310">
        <f>Table24[[#This Row],[O - DEMAND]]/950</f>
        <v>0</v>
      </c>
      <c r="N68" s="306">
        <f>IFERROR(VLOOKUP(Table24[[#This Row],[ROUTE]],DEMAND!A:F,5,FALSE),0)</f>
        <v>0</v>
      </c>
      <c r="O68" s="306">
        <f>IFERROR(VLOOKUP(Table24[[#This Row],[ROUTE]],DEMAND!A:F,6,FALSE),0)</f>
        <v>0</v>
      </c>
      <c r="P68" s="306">
        <f>ROUNDDOWN(Table24[[#This Row],[R-DEMAND]]/950,0)</f>
        <v>0</v>
      </c>
      <c r="Q68" s="306">
        <f>Table24[[#This Row],[ADD ACC
(475/950)]]*Table24[[#This Row],[Duration
(A359)]]</f>
        <v>0</v>
      </c>
      <c r="R68" s="307">
        <f>IFERROR(VLOOKUP(Table24[[#This Row],[ROUTE]],PRICING!A:B,2,FALSE),0)</f>
        <v>0</v>
      </c>
      <c r="S68" s="308">
        <f>Table24[[#This Row],[C_DEMAND]]-Table24[[#This Row],[R-DEMAND]]</f>
        <v>0</v>
      </c>
      <c r="T68" s="307">
        <f>Table24[[#This Row],[SEATS SOLD]]*Table24[[#This Row],[ECO SEAT]]</f>
        <v>0</v>
      </c>
      <c r="U68" s="307">
        <f>Table24[[#This Row],[SEATS SOLD]]*(IFERROR(VLOOKUP(Table24[[#This Row],[ROUTE]],PRICING!A:C,3,FALSE),0))</f>
        <v>0</v>
      </c>
      <c r="V68" s="307">
        <f>Table24[[#This Row],[SEAT REV]]-Table24[[#This Row],[SEAT REV
(IF IDEAL $)]]</f>
        <v>0</v>
      </c>
    </row>
    <row r="69" spans="1:22" customFormat="1" x14ac:dyDescent="0.25">
      <c r="A69" s="306" t="s">
        <v>17347</v>
      </c>
      <c r="B69" s="306" t="s">
        <v>4496</v>
      </c>
      <c r="C69" s="306"/>
      <c r="D69" s="26">
        <v>2</v>
      </c>
      <c r="E69" s="312" t="s">
        <v>197</v>
      </c>
      <c r="F69" s="306" t="str">
        <f>VLOOKUP(Table24[[#This Row],[Country]],Table10[[COUNTRY NAME]:[CONTINENT CODE]],3,FALSE)</f>
        <v>AS</v>
      </c>
      <c r="G69" s="312" t="s">
        <v>16840</v>
      </c>
      <c r="H69" s="309">
        <v>13028</v>
      </c>
      <c r="I69" s="310">
        <v>30.75</v>
      </c>
      <c r="J69" s="307"/>
      <c r="K69" s="307">
        <f>IFERROR(Table24[[#This Row],[ROUTE COST]]/Table24[[#This Row],[O - DEMAND]],0)</f>
        <v>0</v>
      </c>
      <c r="L69" s="306"/>
      <c r="M69" s="310">
        <f>Table24[[#This Row],[O - DEMAND]]/950</f>
        <v>0</v>
      </c>
      <c r="N69" s="306">
        <f>IFERROR(VLOOKUP(Table24[[#This Row],[ROUTE]],DEMAND!A:F,5,FALSE),0)</f>
        <v>0</v>
      </c>
      <c r="O69" s="306">
        <f>IFERROR(VLOOKUP(Table24[[#This Row],[ROUTE]],DEMAND!A:F,6,FALSE),0)</f>
        <v>0</v>
      </c>
      <c r="P69" s="306">
        <f>ROUNDDOWN(Table24[[#This Row],[R-DEMAND]]/950,0)</f>
        <v>0</v>
      </c>
      <c r="Q69" s="306">
        <f>Table24[[#This Row],[ADD ACC
(475/950)]]*Table24[[#This Row],[Duration
(A359)]]</f>
        <v>0</v>
      </c>
      <c r="R69" s="307">
        <f>IFERROR(VLOOKUP(Table24[[#This Row],[ROUTE]],PRICING!A:B,2,FALSE),0)</f>
        <v>0</v>
      </c>
      <c r="S69" s="308">
        <f>Table24[[#This Row],[C_DEMAND]]-Table24[[#This Row],[R-DEMAND]]</f>
        <v>0</v>
      </c>
      <c r="T69" s="307">
        <f>Table24[[#This Row],[SEATS SOLD]]*Table24[[#This Row],[ECO SEAT]]</f>
        <v>0</v>
      </c>
      <c r="U69" s="307">
        <f>Table24[[#This Row],[SEATS SOLD]]*(IFERROR(VLOOKUP(Table24[[#This Row],[ROUTE]],PRICING!A:C,3,FALSE),0))</f>
        <v>0</v>
      </c>
      <c r="V69" s="307">
        <f>Table24[[#This Row],[SEAT REV]]-Table24[[#This Row],[SEAT REV
(IF IDEAL $)]]</f>
        <v>0</v>
      </c>
    </row>
    <row r="70" spans="1:22" customFormat="1" x14ac:dyDescent="0.25">
      <c r="A70" s="306" t="s">
        <v>17346</v>
      </c>
      <c r="B70" s="306" t="s">
        <v>3628</v>
      </c>
      <c r="C70" s="306"/>
      <c r="D70" s="26">
        <v>2</v>
      </c>
      <c r="E70" s="312" t="s">
        <v>197</v>
      </c>
      <c r="F70" s="306" t="str">
        <f>VLOOKUP(Table24[[#This Row],[Country]],Table10[[COUNTRY NAME]:[CONTINENT CODE]],3,FALSE)</f>
        <v>AS</v>
      </c>
      <c r="G70" s="312" t="s">
        <v>12003</v>
      </c>
      <c r="H70" s="309">
        <v>13053</v>
      </c>
      <c r="I70" s="310">
        <v>30.75</v>
      </c>
      <c r="J70" s="307"/>
      <c r="K70" s="307">
        <f>IFERROR(Table24[[#This Row],[ROUTE COST]]/Table24[[#This Row],[O - DEMAND]],0)</f>
        <v>0</v>
      </c>
      <c r="L70" s="306"/>
      <c r="M70" s="310">
        <f>Table24[[#This Row],[O - DEMAND]]/950</f>
        <v>0</v>
      </c>
      <c r="N70" s="306">
        <f>IFERROR(VLOOKUP(Table24[[#This Row],[ROUTE]],DEMAND!A:F,5,FALSE),0)</f>
        <v>0</v>
      </c>
      <c r="O70" s="306">
        <f>IFERROR(VLOOKUP(Table24[[#This Row],[ROUTE]],DEMAND!A:F,6,FALSE),0)</f>
        <v>0</v>
      </c>
      <c r="P70" s="306">
        <f>ROUNDDOWN(Table24[[#This Row],[R-DEMAND]]/950,0)</f>
        <v>0</v>
      </c>
      <c r="Q70" s="306">
        <f>Table24[[#This Row],[ADD ACC
(475/950)]]*Table24[[#This Row],[Duration
(A359)]]</f>
        <v>0</v>
      </c>
      <c r="R70" s="307">
        <f>IFERROR(VLOOKUP(Table24[[#This Row],[ROUTE]],PRICING!A:B,2,FALSE),0)</f>
        <v>0</v>
      </c>
      <c r="S70" s="308">
        <f>Table24[[#This Row],[C_DEMAND]]-Table24[[#This Row],[R-DEMAND]]</f>
        <v>0</v>
      </c>
      <c r="T70" s="307">
        <f>Table24[[#This Row],[SEATS SOLD]]*Table24[[#This Row],[ECO SEAT]]</f>
        <v>0</v>
      </c>
      <c r="U70" s="307">
        <f>Table24[[#This Row],[SEATS SOLD]]*(IFERROR(VLOOKUP(Table24[[#This Row],[ROUTE]],PRICING!A:C,3,FALSE),0))</f>
        <v>0</v>
      </c>
      <c r="V70" s="307">
        <f>Table24[[#This Row],[SEAT REV]]-Table24[[#This Row],[SEAT REV
(IF IDEAL $)]]</f>
        <v>0</v>
      </c>
    </row>
    <row r="71" spans="1:22" customFormat="1" x14ac:dyDescent="0.25">
      <c r="A71" s="306" t="s">
        <v>17348</v>
      </c>
      <c r="B71" s="306" t="s">
        <v>3586</v>
      </c>
      <c r="C71" s="306"/>
      <c r="D71" s="26">
        <v>2</v>
      </c>
      <c r="E71" s="312" t="s">
        <v>14</v>
      </c>
      <c r="F71" s="306" t="str">
        <f>VLOOKUP(Table24[[#This Row],[Country]],Table10[[COUNTRY NAME]:[CONTINENT CODE]],3,FALSE)</f>
        <v>AS</v>
      </c>
      <c r="G71" s="312" t="s">
        <v>12006</v>
      </c>
      <c r="H71" s="309">
        <v>12957</v>
      </c>
      <c r="I71" s="310">
        <v>30.5</v>
      </c>
      <c r="J71" s="307"/>
      <c r="K71" s="307">
        <f>IFERROR(Table24[[#This Row],[ROUTE COST]]/Table24[[#This Row],[O - DEMAND]],0)</f>
        <v>0</v>
      </c>
      <c r="L71" s="306"/>
      <c r="M71" s="310">
        <f>Table24[[#This Row],[O - DEMAND]]/950</f>
        <v>0</v>
      </c>
      <c r="N71" s="306">
        <f>IFERROR(VLOOKUP(Table24[[#This Row],[ROUTE]],DEMAND!A:F,5,FALSE),0)</f>
        <v>0</v>
      </c>
      <c r="O71" s="306">
        <f>IFERROR(VLOOKUP(Table24[[#This Row],[ROUTE]],DEMAND!A:F,6,FALSE),0)</f>
        <v>0</v>
      </c>
      <c r="P71" s="306">
        <f>ROUNDDOWN(Table24[[#This Row],[R-DEMAND]]/950,0)</f>
        <v>0</v>
      </c>
      <c r="Q71" s="306">
        <f>Table24[[#This Row],[ADD ACC
(475/950)]]*Table24[[#This Row],[Duration
(A359)]]</f>
        <v>0</v>
      </c>
      <c r="R71" s="307">
        <f>IFERROR(VLOOKUP(Table24[[#This Row],[ROUTE]],PRICING!A:B,2,FALSE),0)</f>
        <v>0</v>
      </c>
      <c r="S71" s="308">
        <f>Table24[[#This Row],[C_DEMAND]]-Table24[[#This Row],[R-DEMAND]]</f>
        <v>0</v>
      </c>
      <c r="T71" s="307">
        <f>Table24[[#This Row],[SEATS SOLD]]*Table24[[#This Row],[ECO SEAT]]</f>
        <v>0</v>
      </c>
      <c r="U71" s="307">
        <f>Table24[[#This Row],[SEATS SOLD]]*(IFERROR(VLOOKUP(Table24[[#This Row],[ROUTE]],PRICING!A:C,3,FALSE),0))</f>
        <v>0</v>
      </c>
      <c r="V71" s="307">
        <f>Table24[[#This Row],[SEAT REV]]-Table24[[#This Row],[SEAT REV
(IF IDEAL $)]]</f>
        <v>0</v>
      </c>
    </row>
    <row r="72" spans="1:22" customFormat="1" x14ac:dyDescent="0.25">
      <c r="A72" s="306" t="s">
        <v>17349</v>
      </c>
      <c r="B72" s="306" t="s">
        <v>90</v>
      </c>
      <c r="C72" s="306"/>
      <c r="D72" s="26">
        <v>2</v>
      </c>
      <c r="E72" s="312" t="s">
        <v>1456</v>
      </c>
      <c r="F72" s="306" t="str">
        <f>VLOOKUP(Table24[[#This Row],[Country]],Table10[[COUNTRY NAME]:[CONTINENT CODE]],3,FALSE)</f>
        <v>AS</v>
      </c>
      <c r="G72" s="312" t="s">
        <v>11987</v>
      </c>
      <c r="H72" s="309">
        <v>12943</v>
      </c>
      <c r="I72" s="310">
        <v>30.5</v>
      </c>
      <c r="J72" s="307"/>
      <c r="K72" s="307">
        <f>IFERROR(Table24[[#This Row],[ROUTE COST]]/Table24[[#This Row],[O - DEMAND]],0)</f>
        <v>0</v>
      </c>
      <c r="L72" s="306"/>
      <c r="M72" s="310">
        <f>Table24[[#This Row],[O - DEMAND]]/950</f>
        <v>0</v>
      </c>
      <c r="N72" s="306">
        <f>IFERROR(VLOOKUP(Table24[[#This Row],[ROUTE]],DEMAND!A:F,5,FALSE),0)</f>
        <v>0</v>
      </c>
      <c r="O72" s="306">
        <f>IFERROR(VLOOKUP(Table24[[#This Row],[ROUTE]],DEMAND!A:F,6,FALSE),0)</f>
        <v>0</v>
      </c>
      <c r="P72" s="306">
        <f>ROUNDDOWN(Table24[[#This Row],[R-DEMAND]]/950,0)</f>
        <v>0</v>
      </c>
      <c r="Q72" s="306">
        <f>Table24[[#This Row],[ADD ACC
(475/950)]]*Table24[[#This Row],[Duration
(A359)]]</f>
        <v>0</v>
      </c>
      <c r="R72" s="307">
        <f>IFERROR(VLOOKUP(Table24[[#This Row],[ROUTE]],PRICING!A:B,2,FALSE),0)</f>
        <v>0</v>
      </c>
      <c r="S72" s="308">
        <f>Table24[[#This Row],[C_DEMAND]]-Table24[[#This Row],[R-DEMAND]]</f>
        <v>0</v>
      </c>
      <c r="T72" s="307">
        <f>Table24[[#This Row],[SEATS SOLD]]*Table24[[#This Row],[ECO SEAT]]</f>
        <v>0</v>
      </c>
      <c r="U72" s="307">
        <f>Table24[[#This Row],[SEATS SOLD]]*(IFERROR(VLOOKUP(Table24[[#This Row],[ROUTE]],PRICING!A:C,3,FALSE),0))</f>
        <v>0</v>
      </c>
      <c r="V72" s="307">
        <f>Table24[[#This Row],[SEAT REV]]-Table24[[#This Row],[SEAT REV
(IF IDEAL $)]]</f>
        <v>0</v>
      </c>
    </row>
    <row r="73" spans="1:22" customFormat="1" x14ac:dyDescent="0.25">
      <c r="A73" s="306" t="s">
        <v>17351</v>
      </c>
      <c r="B73" s="306" t="s">
        <v>4172</v>
      </c>
      <c r="C73" s="306"/>
      <c r="D73" s="26">
        <v>2</v>
      </c>
      <c r="E73" s="312" t="s">
        <v>14</v>
      </c>
      <c r="F73" s="306" t="str">
        <f>VLOOKUP(Table24[[#This Row],[Country]],Table10[[COUNTRY NAME]:[CONTINENT CODE]],3,FALSE)</f>
        <v>AS</v>
      </c>
      <c r="G73" s="312" t="s">
        <v>12001</v>
      </c>
      <c r="H73" s="309">
        <v>12766</v>
      </c>
      <c r="I73" s="310">
        <v>30.25</v>
      </c>
      <c r="J73" s="307"/>
      <c r="K73" s="307">
        <f>IFERROR(Table24[[#This Row],[ROUTE COST]]/Table24[[#This Row],[O - DEMAND]],0)</f>
        <v>0</v>
      </c>
      <c r="L73" s="306"/>
      <c r="M73" s="310">
        <f>Table24[[#This Row],[O - DEMAND]]/950</f>
        <v>0</v>
      </c>
      <c r="N73" s="306">
        <f>IFERROR(VLOOKUP(Table24[[#This Row],[ROUTE]],DEMAND!A:F,5,FALSE),0)</f>
        <v>0</v>
      </c>
      <c r="O73" s="306">
        <f>IFERROR(VLOOKUP(Table24[[#This Row],[ROUTE]],DEMAND!A:F,6,FALSE),0)</f>
        <v>0</v>
      </c>
      <c r="P73" s="306">
        <f>ROUNDDOWN(Table24[[#This Row],[R-DEMAND]]/950,0)</f>
        <v>0</v>
      </c>
      <c r="Q73" s="306">
        <f>Table24[[#This Row],[ADD ACC
(475/950)]]*Table24[[#This Row],[Duration
(A359)]]</f>
        <v>0</v>
      </c>
      <c r="R73" s="307">
        <f>IFERROR(VLOOKUP(Table24[[#This Row],[ROUTE]],PRICING!A:B,2,FALSE),0)</f>
        <v>0</v>
      </c>
      <c r="S73" s="308">
        <f>Table24[[#This Row],[C_DEMAND]]-Table24[[#This Row],[R-DEMAND]]</f>
        <v>0</v>
      </c>
      <c r="T73" s="307">
        <f>Table24[[#This Row],[SEATS SOLD]]*Table24[[#This Row],[ECO SEAT]]</f>
        <v>0</v>
      </c>
      <c r="U73" s="307">
        <f>Table24[[#This Row],[SEATS SOLD]]*(IFERROR(VLOOKUP(Table24[[#This Row],[ROUTE]],PRICING!A:C,3,FALSE),0))</f>
        <v>0</v>
      </c>
      <c r="V73" s="307">
        <f>Table24[[#This Row],[SEAT REV]]-Table24[[#This Row],[SEAT REV
(IF IDEAL $)]]</f>
        <v>0</v>
      </c>
    </row>
    <row r="74" spans="1:22" customFormat="1" x14ac:dyDescent="0.25">
      <c r="A74" s="306" t="s">
        <v>17170</v>
      </c>
      <c r="B74" s="306" t="s">
        <v>2007</v>
      </c>
      <c r="C74" s="306"/>
      <c r="D74" s="26">
        <v>1</v>
      </c>
      <c r="E74" s="312" t="s">
        <v>1513</v>
      </c>
      <c r="F74" s="306" t="str">
        <f>VLOOKUP(Table24[[#This Row],[Country]],Table10[[COUNTRY NAME]:[CONTINENT CODE]],3,FALSE)</f>
        <v>AF</v>
      </c>
      <c r="G74" s="312" t="s">
        <v>11967</v>
      </c>
      <c r="H74" s="309">
        <v>12838</v>
      </c>
      <c r="I74" s="310">
        <v>30.25</v>
      </c>
      <c r="J74" s="307"/>
      <c r="K74" s="307">
        <f>IFERROR(Table24[[#This Row],[ROUTE COST]]/Table24[[#This Row],[O - DEMAND]],0)</f>
        <v>0</v>
      </c>
      <c r="L74" s="306"/>
      <c r="M74" s="310">
        <f>Table24[[#This Row],[O - DEMAND]]/950</f>
        <v>0</v>
      </c>
      <c r="N74" s="306">
        <f>IFERROR(VLOOKUP(Table24[[#This Row],[ROUTE]],DEMAND!A:F,5,FALSE),0)</f>
        <v>0</v>
      </c>
      <c r="O74" s="306">
        <f>IFERROR(VLOOKUP(Table24[[#This Row],[ROUTE]],DEMAND!A:F,6,FALSE),0)</f>
        <v>0</v>
      </c>
      <c r="P74" s="306">
        <f>ROUNDDOWN(Table24[[#This Row],[R-DEMAND]]/950,0)</f>
        <v>0</v>
      </c>
      <c r="Q74" s="306">
        <f>Table24[[#This Row],[ADD ACC
(475/950)]]*Table24[[#This Row],[Duration
(A359)]]</f>
        <v>0</v>
      </c>
      <c r="R74" s="307">
        <f>IFERROR(VLOOKUP(Table24[[#This Row],[ROUTE]],PRICING!A:B,2,FALSE),0)</f>
        <v>0</v>
      </c>
      <c r="S74" s="308">
        <f>Table24[[#This Row],[C_DEMAND]]-Table24[[#This Row],[R-DEMAND]]</f>
        <v>0</v>
      </c>
      <c r="T74" s="307">
        <f>Table24[[#This Row],[SEATS SOLD]]*Table24[[#This Row],[ECO SEAT]]</f>
        <v>0</v>
      </c>
      <c r="U74" s="307">
        <f>Table24[[#This Row],[SEATS SOLD]]*(IFERROR(VLOOKUP(Table24[[#This Row],[ROUTE]],PRICING!A:C,3,FALSE),0))</f>
        <v>0</v>
      </c>
      <c r="V74" s="307">
        <f>Table24[[#This Row],[SEAT REV]]-Table24[[#This Row],[SEAT REV
(IF IDEAL $)]]</f>
        <v>0</v>
      </c>
    </row>
    <row r="75" spans="1:22" customFormat="1" x14ac:dyDescent="0.25">
      <c r="A75" s="306" t="s">
        <v>17171</v>
      </c>
      <c r="B75" s="306" t="s">
        <v>2258</v>
      </c>
      <c r="C75" s="306"/>
      <c r="D75" s="26">
        <v>1</v>
      </c>
      <c r="E75" s="312" t="s">
        <v>1513</v>
      </c>
      <c r="F75" s="306" t="str">
        <f>VLOOKUP(Table24[[#This Row],[Country]],Table10[[COUNTRY NAME]:[CONTINENT CODE]],3,FALSE)</f>
        <v>AF</v>
      </c>
      <c r="G75" s="312" t="s">
        <v>11963</v>
      </c>
      <c r="H75" s="309">
        <v>12826</v>
      </c>
      <c r="I75" s="310">
        <v>30.25</v>
      </c>
      <c r="J75" s="307"/>
      <c r="K75" s="307">
        <f>IFERROR(Table24[[#This Row],[ROUTE COST]]/Table24[[#This Row],[O - DEMAND]],0)</f>
        <v>0</v>
      </c>
      <c r="L75" s="306"/>
      <c r="M75" s="310">
        <f>Table24[[#This Row],[O - DEMAND]]/950</f>
        <v>0</v>
      </c>
      <c r="N75" s="306">
        <f>IFERROR(VLOOKUP(Table24[[#This Row],[ROUTE]],DEMAND!A:F,5,FALSE),0)</f>
        <v>0</v>
      </c>
      <c r="O75" s="306">
        <f>IFERROR(VLOOKUP(Table24[[#This Row],[ROUTE]],DEMAND!A:F,6,FALSE),0)</f>
        <v>0</v>
      </c>
      <c r="P75" s="306">
        <f>ROUNDDOWN(Table24[[#This Row],[R-DEMAND]]/950,0)</f>
        <v>0</v>
      </c>
      <c r="Q75" s="306">
        <f>Table24[[#This Row],[ADD ACC
(475/950)]]*Table24[[#This Row],[Duration
(A359)]]</f>
        <v>0</v>
      </c>
      <c r="R75" s="307">
        <f>IFERROR(VLOOKUP(Table24[[#This Row],[ROUTE]],PRICING!A:B,2,FALSE),0)</f>
        <v>0</v>
      </c>
      <c r="S75" s="308">
        <f>Table24[[#This Row],[C_DEMAND]]-Table24[[#This Row],[R-DEMAND]]</f>
        <v>0</v>
      </c>
      <c r="T75" s="307">
        <f>Table24[[#This Row],[SEATS SOLD]]*Table24[[#This Row],[ECO SEAT]]</f>
        <v>0</v>
      </c>
      <c r="U75" s="307">
        <f>Table24[[#This Row],[SEATS SOLD]]*(IFERROR(VLOOKUP(Table24[[#This Row],[ROUTE]],PRICING!A:C,3,FALSE),0))</f>
        <v>0</v>
      </c>
      <c r="V75" s="307">
        <f>Table24[[#This Row],[SEAT REV]]-Table24[[#This Row],[SEAT REV
(IF IDEAL $)]]</f>
        <v>0</v>
      </c>
    </row>
    <row r="76" spans="1:22" customFormat="1" x14ac:dyDescent="0.25">
      <c r="A76" s="306" t="s">
        <v>17423</v>
      </c>
      <c r="B76" s="306" t="s">
        <v>390</v>
      </c>
      <c r="C76" s="306"/>
      <c r="D76" s="26">
        <v>1</v>
      </c>
      <c r="E76" s="312" t="s">
        <v>533</v>
      </c>
      <c r="F76" s="306" t="str">
        <f>VLOOKUP(Table24[[#This Row],[Country]],Table10[[COUNTRY NAME]:[CONTINENT CODE]],3,FALSE)</f>
        <v>AS</v>
      </c>
      <c r="G76" s="312" t="s">
        <v>12004</v>
      </c>
      <c r="H76" s="309">
        <v>12785</v>
      </c>
      <c r="I76" s="310">
        <v>30.25</v>
      </c>
      <c r="J76" s="307"/>
      <c r="K76" s="307">
        <f>IFERROR(Table24[[#This Row],[ROUTE COST]]/Table24[[#This Row],[O - DEMAND]],0)</f>
        <v>0</v>
      </c>
      <c r="L76" s="306"/>
      <c r="M76" s="310">
        <f>Table24[[#This Row],[O - DEMAND]]/950</f>
        <v>0</v>
      </c>
      <c r="N76" s="306">
        <f>IFERROR(VLOOKUP(Table24[[#This Row],[ROUTE]],DEMAND!A:F,5,FALSE),0)</f>
        <v>0</v>
      </c>
      <c r="O76" s="306">
        <f>IFERROR(VLOOKUP(Table24[[#This Row],[ROUTE]],DEMAND!A:F,6,FALSE),0)</f>
        <v>0</v>
      </c>
      <c r="P76" s="306">
        <f>ROUNDDOWN(Table24[[#This Row],[R-DEMAND]]/950,0)</f>
        <v>0</v>
      </c>
      <c r="Q76" s="306">
        <f>Table24[[#This Row],[ADD ACC
(475/950)]]*Table24[[#This Row],[Duration
(A359)]]</f>
        <v>0</v>
      </c>
      <c r="R76" s="307">
        <f>IFERROR(VLOOKUP(Table24[[#This Row],[ROUTE]],PRICING!A:B,2,FALSE),0)</f>
        <v>0</v>
      </c>
      <c r="S76" s="308">
        <f>Table24[[#This Row],[C_DEMAND]]-Table24[[#This Row],[R-DEMAND]]</f>
        <v>0</v>
      </c>
      <c r="T76" s="307">
        <f>Table24[[#This Row],[SEATS SOLD]]*Table24[[#This Row],[ECO SEAT]]</f>
        <v>0</v>
      </c>
      <c r="U76" s="307">
        <f>Table24[[#This Row],[SEATS SOLD]]*(IFERROR(VLOOKUP(Table24[[#This Row],[ROUTE]],PRICING!A:C,3,FALSE),0))</f>
        <v>0</v>
      </c>
      <c r="V76" s="307">
        <f>Table24[[#This Row],[SEAT REV]]-Table24[[#This Row],[SEAT REV
(IF IDEAL $)]]</f>
        <v>0</v>
      </c>
    </row>
    <row r="77" spans="1:22" customFormat="1" x14ac:dyDescent="0.25">
      <c r="A77" s="306" t="s">
        <v>17456</v>
      </c>
      <c r="B77" s="306" t="s">
        <v>4431</v>
      </c>
      <c r="C77" s="306"/>
      <c r="D77" s="26"/>
      <c r="E77" s="312" t="s">
        <v>14</v>
      </c>
      <c r="F77" s="306" t="str">
        <f>VLOOKUP(Table24[[#This Row],[Country]],Table10[[COUNTRY NAME]:[CONTINENT CODE]],3,FALSE)</f>
        <v>AS</v>
      </c>
      <c r="G77" s="312" t="s">
        <v>16841</v>
      </c>
      <c r="H77" s="309">
        <v>12831</v>
      </c>
      <c r="I77" s="310">
        <v>30.25</v>
      </c>
      <c r="J77" s="307"/>
      <c r="K77" s="307">
        <f>IFERROR(Table24[[#This Row],[ROUTE COST]]/Table24[[#This Row],[O - DEMAND]],0)</f>
        <v>0</v>
      </c>
      <c r="L77" s="306"/>
      <c r="M77" s="310">
        <f>Table24[[#This Row],[O - DEMAND]]/950</f>
        <v>0</v>
      </c>
      <c r="N77" s="306">
        <f>IFERROR(VLOOKUP(Table24[[#This Row],[ROUTE]],DEMAND!A:F,5,FALSE),0)</f>
        <v>0</v>
      </c>
      <c r="O77" s="306">
        <f>IFERROR(VLOOKUP(Table24[[#This Row],[ROUTE]],DEMAND!A:F,6,FALSE),0)</f>
        <v>0</v>
      </c>
      <c r="P77" s="306">
        <f>ROUNDDOWN(Table24[[#This Row],[R-DEMAND]]/950,0)</f>
        <v>0</v>
      </c>
      <c r="Q77" s="306">
        <f>Table24[[#This Row],[ADD ACC
(475/950)]]*Table24[[#This Row],[Duration
(A359)]]</f>
        <v>0</v>
      </c>
      <c r="R77" s="307">
        <f>IFERROR(VLOOKUP(Table24[[#This Row],[ROUTE]],PRICING!A:B,2,FALSE),0)</f>
        <v>0</v>
      </c>
      <c r="S77" s="308">
        <f>Table24[[#This Row],[C_DEMAND]]-Table24[[#This Row],[R-DEMAND]]</f>
        <v>0</v>
      </c>
      <c r="T77" s="307">
        <f>Table24[[#This Row],[SEATS SOLD]]*Table24[[#This Row],[ECO SEAT]]</f>
        <v>0</v>
      </c>
      <c r="U77" s="307">
        <f>Table24[[#This Row],[SEATS SOLD]]*(IFERROR(VLOOKUP(Table24[[#This Row],[ROUTE]],PRICING!A:C,3,FALSE),0))</f>
        <v>0</v>
      </c>
      <c r="V77" s="307">
        <f>Table24[[#This Row],[SEAT REV]]-Table24[[#This Row],[SEAT REV
(IF IDEAL $)]]</f>
        <v>0</v>
      </c>
    </row>
    <row r="78" spans="1:22" customFormat="1" ht="15" customHeight="1" x14ac:dyDescent="0.25">
      <c r="A78" s="306" t="s">
        <v>17457</v>
      </c>
      <c r="B78" s="306" t="s">
        <v>3563</v>
      </c>
      <c r="C78" s="306"/>
      <c r="D78" s="26"/>
      <c r="E78" s="312" t="s">
        <v>14</v>
      </c>
      <c r="F78" s="306" t="str">
        <f>VLOOKUP(Table24[[#This Row],[Country]],Table10[[COUNTRY NAME]:[CONTINENT CODE]],3,FALSE)</f>
        <v>AS</v>
      </c>
      <c r="G78" s="312" t="s">
        <v>16842</v>
      </c>
      <c r="H78" s="309">
        <v>12659</v>
      </c>
      <c r="I78" s="310">
        <v>30</v>
      </c>
      <c r="J78" s="307"/>
      <c r="K78" s="307">
        <f>IFERROR(Table24[[#This Row],[ROUTE COST]]/Table24[[#This Row],[O - DEMAND]],0)</f>
        <v>0</v>
      </c>
      <c r="L78" s="306"/>
      <c r="M78" s="310">
        <f>Table24[[#This Row],[O - DEMAND]]/950</f>
        <v>0</v>
      </c>
      <c r="N78" s="306">
        <f>IFERROR(VLOOKUP(Table24[[#This Row],[ROUTE]],DEMAND!A:F,5,FALSE),0)</f>
        <v>0</v>
      </c>
      <c r="O78" s="306">
        <f>IFERROR(VLOOKUP(Table24[[#This Row],[ROUTE]],DEMAND!A:F,6,FALSE),0)</f>
        <v>0</v>
      </c>
      <c r="P78" s="306">
        <f>ROUNDDOWN(Table24[[#This Row],[R-DEMAND]]/950,0)</f>
        <v>0</v>
      </c>
      <c r="Q78" s="306">
        <f>Table24[[#This Row],[ADD ACC
(475/950)]]*Table24[[#This Row],[Duration
(A359)]]</f>
        <v>0</v>
      </c>
      <c r="R78" s="307">
        <f>IFERROR(VLOOKUP(Table24[[#This Row],[ROUTE]],PRICING!A:B,2,FALSE),0)</f>
        <v>0</v>
      </c>
      <c r="S78" s="308">
        <f>Table24[[#This Row],[C_DEMAND]]-Table24[[#This Row],[R-DEMAND]]</f>
        <v>0</v>
      </c>
      <c r="T78" s="307">
        <f>Table24[[#This Row],[SEATS SOLD]]*Table24[[#This Row],[ECO SEAT]]</f>
        <v>0</v>
      </c>
      <c r="U78" s="307">
        <f>Table24[[#This Row],[SEATS SOLD]]*(IFERROR(VLOOKUP(Table24[[#This Row],[ROUTE]],PRICING!A:C,3,FALSE),0))</f>
        <v>0</v>
      </c>
      <c r="V78" s="307">
        <f>Table24[[#This Row],[SEAT REV]]-Table24[[#This Row],[SEAT REV
(IF IDEAL $)]]</f>
        <v>0</v>
      </c>
    </row>
    <row r="79" spans="1:22" customFormat="1" x14ac:dyDescent="0.25">
      <c r="A79" s="306" t="s">
        <v>17353</v>
      </c>
      <c r="B79" s="306" t="s">
        <v>40</v>
      </c>
      <c r="C79" s="306"/>
      <c r="D79" s="26">
        <v>2</v>
      </c>
      <c r="E79" s="312" t="s">
        <v>533</v>
      </c>
      <c r="F79" s="306" t="str">
        <f>VLOOKUP(Table24[[#This Row],[Country]],Table10[[COUNTRY NAME]:[CONTINENT CODE]],3,FALSE)</f>
        <v>AS</v>
      </c>
      <c r="G79" s="312" t="s">
        <v>11999</v>
      </c>
      <c r="H79" s="309">
        <v>12632</v>
      </c>
      <c r="I79" s="310">
        <v>29.75</v>
      </c>
      <c r="J79" s="307"/>
      <c r="K79" s="307">
        <f>IFERROR(Table24[[#This Row],[ROUTE COST]]/Table24[[#This Row],[O - DEMAND]],0)</f>
        <v>0</v>
      </c>
      <c r="L79" s="306"/>
      <c r="M79" s="310">
        <f>Table24[[#This Row],[O - DEMAND]]/950</f>
        <v>0</v>
      </c>
      <c r="N79" s="306">
        <f>IFERROR(VLOOKUP(Table24[[#This Row],[ROUTE]],DEMAND!A:F,5,FALSE),0)</f>
        <v>0</v>
      </c>
      <c r="O79" s="306">
        <f>IFERROR(VLOOKUP(Table24[[#This Row],[ROUTE]],DEMAND!A:F,6,FALSE),0)</f>
        <v>0</v>
      </c>
      <c r="P79" s="306">
        <f>ROUNDDOWN(Table24[[#This Row],[R-DEMAND]]/950,0)</f>
        <v>0</v>
      </c>
      <c r="Q79" s="306">
        <f>Table24[[#This Row],[ADD ACC
(475/950)]]*Table24[[#This Row],[Duration
(A359)]]</f>
        <v>0</v>
      </c>
      <c r="R79" s="307">
        <f>IFERROR(VLOOKUP(Table24[[#This Row],[ROUTE]],PRICING!A:B,2,FALSE),0)</f>
        <v>0</v>
      </c>
      <c r="S79" s="308">
        <f>Table24[[#This Row],[C_DEMAND]]-Table24[[#This Row],[R-DEMAND]]</f>
        <v>0</v>
      </c>
      <c r="T79" s="307">
        <f>Table24[[#This Row],[SEATS SOLD]]*Table24[[#This Row],[ECO SEAT]]</f>
        <v>0</v>
      </c>
      <c r="U79" s="307">
        <f>Table24[[#This Row],[SEATS SOLD]]*(IFERROR(VLOOKUP(Table24[[#This Row],[ROUTE]],PRICING!A:C,3,FALSE),0))</f>
        <v>0</v>
      </c>
      <c r="V79" s="307">
        <f>Table24[[#This Row],[SEAT REV]]-Table24[[#This Row],[SEAT REV
(IF IDEAL $)]]</f>
        <v>0</v>
      </c>
    </row>
    <row r="80" spans="1:22" customFormat="1" x14ac:dyDescent="0.25">
      <c r="A80" s="306" t="s">
        <v>17354</v>
      </c>
      <c r="B80" s="306" t="s">
        <v>2872</v>
      </c>
      <c r="C80" s="306"/>
      <c r="D80" s="26">
        <v>2</v>
      </c>
      <c r="E80" s="312" t="s">
        <v>1847</v>
      </c>
      <c r="F80" s="306" t="str">
        <f>VLOOKUP(Table24[[#This Row],[Country]],Table10[[COUNTRY NAME]:[CONTINENT CODE]],3,FALSE)</f>
        <v>AS</v>
      </c>
      <c r="G80" s="312" t="s">
        <v>11982</v>
      </c>
      <c r="H80" s="309">
        <v>12632</v>
      </c>
      <c r="I80" s="310">
        <v>29.75</v>
      </c>
      <c r="J80" s="307"/>
      <c r="K80" s="307">
        <f>IFERROR(Table24[[#This Row],[ROUTE COST]]/Table24[[#This Row],[O - DEMAND]],0)</f>
        <v>0</v>
      </c>
      <c r="L80" s="306"/>
      <c r="M80" s="310">
        <f>Table24[[#This Row],[O - DEMAND]]/950</f>
        <v>0</v>
      </c>
      <c r="N80" s="306">
        <f>IFERROR(VLOOKUP(Table24[[#This Row],[ROUTE]],DEMAND!A:F,5,FALSE),0)</f>
        <v>0</v>
      </c>
      <c r="O80" s="306">
        <f>IFERROR(VLOOKUP(Table24[[#This Row],[ROUTE]],DEMAND!A:F,6,FALSE),0)</f>
        <v>0</v>
      </c>
      <c r="P80" s="306">
        <f>ROUNDDOWN(Table24[[#This Row],[R-DEMAND]]/950,0)</f>
        <v>0</v>
      </c>
      <c r="Q80" s="306">
        <f>Table24[[#This Row],[ADD ACC
(475/950)]]*Table24[[#This Row],[Duration
(A359)]]</f>
        <v>0</v>
      </c>
      <c r="R80" s="307">
        <f>IFERROR(VLOOKUP(Table24[[#This Row],[ROUTE]],PRICING!A:B,2,FALSE),0)</f>
        <v>0</v>
      </c>
      <c r="S80" s="308">
        <f>Table24[[#This Row],[C_DEMAND]]-Table24[[#This Row],[R-DEMAND]]</f>
        <v>0</v>
      </c>
      <c r="T80" s="307">
        <f>Table24[[#This Row],[SEATS SOLD]]*Table24[[#This Row],[ECO SEAT]]</f>
        <v>0</v>
      </c>
      <c r="U80" s="307">
        <f>Table24[[#This Row],[SEATS SOLD]]*(IFERROR(VLOOKUP(Table24[[#This Row],[ROUTE]],PRICING!A:C,3,FALSE),0))</f>
        <v>0</v>
      </c>
      <c r="V80" s="307">
        <f>Table24[[#This Row],[SEAT REV]]-Table24[[#This Row],[SEAT REV
(IF IDEAL $)]]</f>
        <v>0</v>
      </c>
    </row>
    <row r="81" spans="1:22" customFormat="1" x14ac:dyDescent="0.25">
      <c r="A81" s="306" t="s">
        <v>17355</v>
      </c>
      <c r="B81" s="306" t="s">
        <v>3141</v>
      </c>
      <c r="C81" s="306"/>
      <c r="D81" s="26">
        <v>2</v>
      </c>
      <c r="E81" s="312" t="s">
        <v>1847</v>
      </c>
      <c r="F81" s="306" t="str">
        <f>VLOOKUP(Table24[[#This Row],[Country]],Table10[[COUNTRY NAME]:[CONTINENT CODE]],3,FALSE)</f>
        <v>AS</v>
      </c>
      <c r="G81" s="312" t="s">
        <v>11979</v>
      </c>
      <c r="H81" s="309">
        <v>12571</v>
      </c>
      <c r="I81" s="310">
        <v>29.75</v>
      </c>
      <c r="J81" s="307"/>
      <c r="K81" s="307">
        <f>IFERROR(Table24[[#This Row],[ROUTE COST]]/Table24[[#This Row],[O - DEMAND]],0)</f>
        <v>0</v>
      </c>
      <c r="L81" s="306"/>
      <c r="M81" s="310">
        <f>Table24[[#This Row],[O - DEMAND]]/950</f>
        <v>0</v>
      </c>
      <c r="N81" s="306">
        <f>IFERROR(VLOOKUP(Table24[[#This Row],[ROUTE]],DEMAND!A:F,5,FALSE),0)</f>
        <v>0</v>
      </c>
      <c r="O81" s="306">
        <f>IFERROR(VLOOKUP(Table24[[#This Row],[ROUTE]],DEMAND!A:F,6,FALSE),0)</f>
        <v>0</v>
      </c>
      <c r="P81" s="306">
        <f>ROUNDDOWN(Table24[[#This Row],[R-DEMAND]]/950,0)</f>
        <v>0</v>
      </c>
      <c r="Q81" s="306">
        <f>Table24[[#This Row],[ADD ACC
(475/950)]]*Table24[[#This Row],[Duration
(A359)]]</f>
        <v>0</v>
      </c>
      <c r="R81" s="307">
        <f>IFERROR(VLOOKUP(Table24[[#This Row],[ROUTE]],PRICING!A:B,2,FALSE),0)</f>
        <v>0</v>
      </c>
      <c r="S81" s="308">
        <f>Table24[[#This Row],[C_DEMAND]]-Table24[[#This Row],[R-DEMAND]]</f>
        <v>0</v>
      </c>
      <c r="T81" s="307">
        <f>Table24[[#This Row],[SEATS SOLD]]*Table24[[#This Row],[ECO SEAT]]</f>
        <v>0</v>
      </c>
      <c r="U81" s="307">
        <f>Table24[[#This Row],[SEATS SOLD]]*(IFERROR(VLOOKUP(Table24[[#This Row],[ROUTE]],PRICING!A:C,3,FALSE),0))</f>
        <v>0</v>
      </c>
      <c r="V81" s="307">
        <f>Table24[[#This Row],[SEAT REV]]-Table24[[#This Row],[SEAT REV
(IF IDEAL $)]]</f>
        <v>0</v>
      </c>
    </row>
    <row r="82" spans="1:22" customFormat="1" x14ac:dyDescent="0.25">
      <c r="A82" s="306" t="s">
        <v>17352</v>
      </c>
      <c r="B82" s="306" t="s">
        <v>3078</v>
      </c>
      <c r="C82" s="306"/>
      <c r="D82" s="26">
        <v>2</v>
      </c>
      <c r="E82" s="312" t="s">
        <v>1289</v>
      </c>
      <c r="F82" s="306" t="str">
        <f>VLOOKUP(Table24[[#This Row],[Country]],Table10[[COUNTRY NAME]:[CONTINENT CODE]],3,FALSE)</f>
        <v>AS</v>
      </c>
      <c r="G82" s="312" t="s">
        <v>11968</v>
      </c>
      <c r="H82" s="309">
        <v>12638</v>
      </c>
      <c r="I82" s="310">
        <v>29.75</v>
      </c>
      <c r="J82" s="307"/>
      <c r="K82" s="307">
        <f>IFERROR(Table24[[#This Row],[ROUTE COST]]/Table24[[#This Row],[O - DEMAND]],0)</f>
        <v>0</v>
      </c>
      <c r="L82" s="306"/>
      <c r="M82" s="310">
        <f>Table24[[#This Row],[O - DEMAND]]/950</f>
        <v>0</v>
      </c>
      <c r="N82" s="306">
        <f>IFERROR(VLOOKUP(Table24[[#This Row],[ROUTE]],DEMAND!A:F,5,FALSE),0)</f>
        <v>0</v>
      </c>
      <c r="O82" s="306">
        <f>IFERROR(VLOOKUP(Table24[[#This Row],[ROUTE]],DEMAND!A:F,6,FALSE),0)</f>
        <v>0</v>
      </c>
      <c r="P82" s="306">
        <f>ROUNDDOWN(Table24[[#This Row],[R-DEMAND]]/950,0)</f>
        <v>0</v>
      </c>
      <c r="Q82" s="306">
        <f>Table24[[#This Row],[ADD ACC
(475/950)]]*Table24[[#This Row],[Duration
(A359)]]</f>
        <v>0</v>
      </c>
      <c r="R82" s="307">
        <f>IFERROR(VLOOKUP(Table24[[#This Row],[ROUTE]],PRICING!A:B,2,FALSE),0)</f>
        <v>0</v>
      </c>
      <c r="S82" s="308">
        <f>Table24[[#This Row],[C_DEMAND]]-Table24[[#This Row],[R-DEMAND]]</f>
        <v>0</v>
      </c>
      <c r="T82" s="307">
        <f>Table24[[#This Row],[SEATS SOLD]]*Table24[[#This Row],[ECO SEAT]]</f>
        <v>0</v>
      </c>
      <c r="U82" s="307">
        <f>Table24[[#This Row],[SEATS SOLD]]*(IFERROR(VLOOKUP(Table24[[#This Row],[ROUTE]],PRICING!A:C,3,FALSE),0))</f>
        <v>0</v>
      </c>
      <c r="V82" s="307">
        <f>Table24[[#This Row],[SEAT REV]]-Table24[[#This Row],[SEAT REV
(IF IDEAL $)]]</f>
        <v>0</v>
      </c>
    </row>
    <row r="83" spans="1:22" customFormat="1" x14ac:dyDescent="0.25">
      <c r="A83" s="306" t="s">
        <v>17427</v>
      </c>
      <c r="B83" s="306" t="s">
        <v>1767</v>
      </c>
      <c r="C83" s="306"/>
      <c r="D83" s="26">
        <v>1</v>
      </c>
      <c r="E83" s="312" t="s">
        <v>14</v>
      </c>
      <c r="F83" s="306" t="str">
        <f>VLOOKUP(Table24[[#This Row],[Country]],Table10[[COUNTRY NAME]:[CONTINENT CODE]],3,FALSE)</f>
        <v>AS</v>
      </c>
      <c r="G83" s="312" t="s">
        <v>16844</v>
      </c>
      <c r="H83" s="309">
        <v>12535</v>
      </c>
      <c r="I83" s="310">
        <v>29.75</v>
      </c>
      <c r="J83" s="307"/>
      <c r="K83" s="307">
        <f>IFERROR(Table24[[#This Row],[ROUTE COST]]/Table24[[#This Row],[O - DEMAND]],0)</f>
        <v>0</v>
      </c>
      <c r="L83" s="306"/>
      <c r="M83" s="310">
        <f>Table24[[#This Row],[O - DEMAND]]/950</f>
        <v>0</v>
      </c>
      <c r="N83" s="306">
        <f>IFERROR(VLOOKUP(Table24[[#This Row],[ROUTE]],DEMAND!A:F,5,FALSE),0)</f>
        <v>0</v>
      </c>
      <c r="O83" s="306">
        <f>IFERROR(VLOOKUP(Table24[[#This Row],[ROUTE]],DEMAND!A:F,6,FALSE),0)</f>
        <v>0</v>
      </c>
      <c r="P83" s="306">
        <f>ROUNDDOWN(Table24[[#This Row],[R-DEMAND]]/950,0)</f>
        <v>0</v>
      </c>
      <c r="Q83" s="306">
        <f>Table24[[#This Row],[ADD ACC
(475/950)]]*Table24[[#This Row],[Duration
(A359)]]</f>
        <v>0</v>
      </c>
      <c r="R83" s="307">
        <f>IFERROR(VLOOKUP(Table24[[#This Row],[ROUTE]],PRICING!A:B,2,FALSE),0)</f>
        <v>0</v>
      </c>
      <c r="S83" s="308">
        <f>Table24[[#This Row],[C_DEMAND]]-Table24[[#This Row],[R-DEMAND]]</f>
        <v>0</v>
      </c>
      <c r="T83" s="307">
        <f>Table24[[#This Row],[SEATS SOLD]]*Table24[[#This Row],[ECO SEAT]]</f>
        <v>0</v>
      </c>
      <c r="U83" s="307">
        <f>Table24[[#This Row],[SEATS SOLD]]*(IFERROR(VLOOKUP(Table24[[#This Row],[ROUTE]],PRICING!A:C,3,FALSE),0))</f>
        <v>0</v>
      </c>
      <c r="V83" s="307">
        <f>Table24[[#This Row],[SEAT REV]]-Table24[[#This Row],[SEAT REV
(IF IDEAL $)]]</f>
        <v>0</v>
      </c>
    </row>
    <row r="84" spans="1:22" customFormat="1" x14ac:dyDescent="0.25">
      <c r="A84" s="306" t="s">
        <v>17425</v>
      </c>
      <c r="B84" s="306" t="s">
        <v>504</v>
      </c>
      <c r="C84" s="306"/>
      <c r="D84" s="26">
        <v>1</v>
      </c>
      <c r="E84" s="312" t="s">
        <v>502</v>
      </c>
      <c r="F84" s="306" t="str">
        <f>VLOOKUP(Table24[[#This Row],[Country]],Table10[[COUNTRY NAME]:[CONTINENT CODE]],3,FALSE)</f>
        <v>AS</v>
      </c>
      <c r="G84" s="312" t="s">
        <v>11986</v>
      </c>
      <c r="H84" s="309">
        <v>12616</v>
      </c>
      <c r="I84" s="310">
        <v>29.75</v>
      </c>
      <c r="J84" s="307"/>
      <c r="K84" s="307">
        <f>IFERROR(Table24[[#This Row],[ROUTE COST]]/Table24[[#This Row],[O - DEMAND]],0)</f>
        <v>0</v>
      </c>
      <c r="L84" s="306"/>
      <c r="M84" s="310">
        <f>Table24[[#This Row],[O - DEMAND]]/950</f>
        <v>0</v>
      </c>
      <c r="N84" s="306">
        <f>IFERROR(VLOOKUP(Table24[[#This Row],[ROUTE]],DEMAND!A:F,5,FALSE),0)</f>
        <v>0</v>
      </c>
      <c r="O84" s="306">
        <f>IFERROR(VLOOKUP(Table24[[#This Row],[ROUTE]],DEMAND!A:F,6,FALSE),0)</f>
        <v>0</v>
      </c>
      <c r="P84" s="306">
        <f>ROUNDDOWN(Table24[[#This Row],[R-DEMAND]]/950,0)</f>
        <v>0</v>
      </c>
      <c r="Q84" s="306">
        <f>Table24[[#This Row],[ADD ACC
(475/950)]]*Table24[[#This Row],[Duration
(A359)]]</f>
        <v>0</v>
      </c>
      <c r="R84" s="307">
        <f>IFERROR(VLOOKUP(Table24[[#This Row],[ROUTE]],PRICING!A:B,2,FALSE),0)</f>
        <v>0</v>
      </c>
      <c r="S84" s="308">
        <f>Table24[[#This Row],[C_DEMAND]]-Table24[[#This Row],[R-DEMAND]]</f>
        <v>0</v>
      </c>
      <c r="T84" s="307">
        <f>Table24[[#This Row],[SEATS SOLD]]*Table24[[#This Row],[ECO SEAT]]</f>
        <v>0</v>
      </c>
      <c r="U84" s="307">
        <f>Table24[[#This Row],[SEATS SOLD]]*(IFERROR(VLOOKUP(Table24[[#This Row],[ROUTE]],PRICING!A:C,3,FALSE),0))</f>
        <v>0</v>
      </c>
      <c r="V84" s="307">
        <f>Table24[[#This Row],[SEAT REV]]-Table24[[#This Row],[SEAT REV
(IF IDEAL $)]]</f>
        <v>0</v>
      </c>
    </row>
    <row r="85" spans="1:22" customFormat="1" x14ac:dyDescent="0.25">
      <c r="A85" s="306" t="s">
        <v>17426</v>
      </c>
      <c r="B85" s="306" t="s">
        <v>958</v>
      </c>
      <c r="C85" s="306"/>
      <c r="D85" s="26">
        <v>1</v>
      </c>
      <c r="E85" s="312" t="s">
        <v>533</v>
      </c>
      <c r="F85" s="306" t="str">
        <f>VLOOKUP(Table24[[#This Row],[Country]],Table10[[COUNTRY NAME]:[CONTINENT CODE]],3,FALSE)</f>
        <v>AS</v>
      </c>
      <c r="G85" s="312" t="s">
        <v>16843</v>
      </c>
      <c r="H85" s="309">
        <v>12568</v>
      </c>
      <c r="I85" s="310">
        <v>29.75</v>
      </c>
      <c r="J85" s="307"/>
      <c r="K85" s="307">
        <f>IFERROR(Table24[[#This Row],[ROUTE COST]]/Table24[[#This Row],[O - DEMAND]],0)</f>
        <v>0</v>
      </c>
      <c r="L85" s="306"/>
      <c r="M85" s="310">
        <f>Table24[[#This Row],[O - DEMAND]]/950</f>
        <v>0</v>
      </c>
      <c r="N85" s="306">
        <f>IFERROR(VLOOKUP(Table24[[#This Row],[ROUTE]],DEMAND!A:F,5,FALSE),0)</f>
        <v>0</v>
      </c>
      <c r="O85" s="306">
        <f>IFERROR(VLOOKUP(Table24[[#This Row],[ROUTE]],DEMAND!A:F,6,FALSE),0)</f>
        <v>0</v>
      </c>
      <c r="P85" s="306">
        <f>ROUNDDOWN(Table24[[#This Row],[R-DEMAND]]/950,0)</f>
        <v>0</v>
      </c>
      <c r="Q85" s="306">
        <f>Table24[[#This Row],[ADD ACC
(475/950)]]*Table24[[#This Row],[Duration
(A359)]]</f>
        <v>0</v>
      </c>
      <c r="R85" s="307">
        <f>IFERROR(VLOOKUP(Table24[[#This Row],[ROUTE]],PRICING!A:B,2,FALSE),0)</f>
        <v>0</v>
      </c>
      <c r="S85" s="308">
        <f>Table24[[#This Row],[C_DEMAND]]-Table24[[#This Row],[R-DEMAND]]</f>
        <v>0</v>
      </c>
      <c r="T85" s="307">
        <f>Table24[[#This Row],[SEATS SOLD]]*Table24[[#This Row],[ECO SEAT]]</f>
        <v>0</v>
      </c>
      <c r="U85" s="307">
        <f>Table24[[#This Row],[SEATS SOLD]]*(IFERROR(VLOOKUP(Table24[[#This Row],[ROUTE]],PRICING!A:C,3,FALSE),0))</f>
        <v>0</v>
      </c>
      <c r="V85" s="307">
        <f>Table24[[#This Row],[SEAT REV]]-Table24[[#This Row],[SEAT REV
(IF IDEAL $)]]</f>
        <v>0</v>
      </c>
    </row>
    <row r="86" spans="1:22" customFormat="1" x14ac:dyDescent="0.25">
      <c r="A86" s="306" t="s">
        <v>17424</v>
      </c>
      <c r="B86" s="306" t="s">
        <v>1849</v>
      </c>
      <c r="C86" s="306"/>
      <c r="D86" s="26">
        <v>1</v>
      </c>
      <c r="E86" s="312" t="s">
        <v>1847</v>
      </c>
      <c r="F86" s="306" t="str">
        <f>VLOOKUP(Table24[[#This Row],[Country]],Table10[[COUNTRY NAME]:[CONTINENT CODE]],3,FALSE)</f>
        <v>AS</v>
      </c>
      <c r="G86" s="312" t="s">
        <v>11983</v>
      </c>
      <c r="H86" s="309">
        <v>12635</v>
      </c>
      <c r="I86" s="310">
        <v>29.75</v>
      </c>
      <c r="J86" s="307"/>
      <c r="K86" s="307">
        <f>IFERROR(Table24[[#This Row],[ROUTE COST]]/Table24[[#This Row],[O - DEMAND]],0)</f>
        <v>0</v>
      </c>
      <c r="L86" s="306"/>
      <c r="M86" s="310">
        <f>Table24[[#This Row],[O - DEMAND]]/950</f>
        <v>0</v>
      </c>
      <c r="N86" s="306">
        <f>IFERROR(VLOOKUP(Table24[[#This Row],[ROUTE]],DEMAND!A:F,5,FALSE),0)</f>
        <v>0</v>
      </c>
      <c r="O86" s="306">
        <f>IFERROR(VLOOKUP(Table24[[#This Row],[ROUTE]],DEMAND!A:F,6,FALSE),0)</f>
        <v>0</v>
      </c>
      <c r="P86" s="306">
        <f>ROUNDDOWN(Table24[[#This Row],[R-DEMAND]]/950,0)</f>
        <v>0</v>
      </c>
      <c r="Q86" s="306">
        <f>Table24[[#This Row],[ADD ACC
(475/950)]]*Table24[[#This Row],[Duration
(A359)]]</f>
        <v>0</v>
      </c>
      <c r="R86" s="307">
        <f>IFERROR(VLOOKUP(Table24[[#This Row],[ROUTE]],PRICING!A:B,2,FALSE),0)</f>
        <v>0</v>
      </c>
      <c r="S86" s="308">
        <f>Table24[[#This Row],[C_DEMAND]]-Table24[[#This Row],[R-DEMAND]]</f>
        <v>0</v>
      </c>
      <c r="T86" s="307">
        <f>Table24[[#This Row],[SEATS SOLD]]*Table24[[#This Row],[ECO SEAT]]</f>
        <v>0</v>
      </c>
      <c r="U86" s="307">
        <f>Table24[[#This Row],[SEATS SOLD]]*(IFERROR(VLOOKUP(Table24[[#This Row],[ROUTE]],PRICING!A:C,3,FALSE),0))</f>
        <v>0</v>
      </c>
      <c r="V86" s="307">
        <f>Table24[[#This Row],[SEAT REV]]-Table24[[#This Row],[SEAT REV
(IF IDEAL $)]]</f>
        <v>0</v>
      </c>
    </row>
    <row r="87" spans="1:22" customFormat="1" x14ac:dyDescent="0.25">
      <c r="A87" s="306" t="s">
        <v>17458</v>
      </c>
      <c r="B87" s="306" t="s">
        <v>320</v>
      </c>
      <c r="C87" s="306"/>
      <c r="D87" s="26"/>
      <c r="E87" s="312" t="s">
        <v>1847</v>
      </c>
      <c r="F87" s="306" t="str">
        <f>VLOOKUP(Table24[[#This Row],[Country]],Table10[[COUNTRY NAME]:[CONTINENT CODE]],3,FALSE)</f>
        <v>AS</v>
      </c>
      <c r="G87" s="312" t="s">
        <v>11976</v>
      </c>
      <c r="H87" s="309">
        <v>12555</v>
      </c>
      <c r="I87" s="310">
        <v>29.75</v>
      </c>
      <c r="J87" s="307"/>
      <c r="K87" s="307">
        <f>IFERROR(Table24[[#This Row],[ROUTE COST]]/Table24[[#This Row],[O - DEMAND]],0)</f>
        <v>0</v>
      </c>
      <c r="L87" s="306"/>
      <c r="M87" s="310">
        <f>Table24[[#This Row],[O - DEMAND]]/950</f>
        <v>0</v>
      </c>
      <c r="N87" s="306">
        <f>IFERROR(VLOOKUP(Table24[[#This Row],[ROUTE]],DEMAND!A:F,5,FALSE),0)</f>
        <v>0</v>
      </c>
      <c r="O87" s="306">
        <f>IFERROR(VLOOKUP(Table24[[#This Row],[ROUTE]],DEMAND!A:F,6,FALSE),0)</f>
        <v>0</v>
      </c>
      <c r="P87" s="306">
        <f>ROUNDDOWN(Table24[[#This Row],[R-DEMAND]]/950,0)</f>
        <v>0</v>
      </c>
      <c r="Q87" s="306">
        <f>Table24[[#This Row],[ADD ACC
(475/950)]]*Table24[[#This Row],[Duration
(A359)]]</f>
        <v>0</v>
      </c>
      <c r="R87" s="307">
        <f>IFERROR(VLOOKUP(Table24[[#This Row],[ROUTE]],PRICING!A:B,2,FALSE),0)</f>
        <v>0</v>
      </c>
      <c r="S87" s="308">
        <f>Table24[[#This Row],[C_DEMAND]]-Table24[[#This Row],[R-DEMAND]]</f>
        <v>0</v>
      </c>
      <c r="T87" s="307">
        <f>Table24[[#This Row],[SEATS SOLD]]*Table24[[#This Row],[ECO SEAT]]</f>
        <v>0</v>
      </c>
      <c r="U87" s="307">
        <f>Table24[[#This Row],[SEATS SOLD]]*(IFERROR(VLOOKUP(Table24[[#This Row],[ROUTE]],PRICING!A:C,3,FALSE),0))</f>
        <v>0</v>
      </c>
      <c r="V87" s="307">
        <f>Table24[[#This Row],[SEAT REV]]-Table24[[#This Row],[SEAT REV
(IF IDEAL $)]]</f>
        <v>0</v>
      </c>
    </row>
    <row r="88" spans="1:22" customFormat="1" x14ac:dyDescent="0.25">
      <c r="A88" s="306" t="s">
        <v>17169</v>
      </c>
      <c r="B88" s="306" t="s">
        <v>433</v>
      </c>
      <c r="C88" s="306"/>
      <c r="D88" s="26">
        <v>2</v>
      </c>
      <c r="E88" s="312" t="s">
        <v>1513</v>
      </c>
      <c r="F88" s="306" t="str">
        <f>VLOOKUP(Table24[[#This Row],[Country]],Table10[[COUNTRY NAME]:[CONTINENT CODE]],3,FALSE)</f>
        <v>AF</v>
      </c>
      <c r="G88" s="312" t="s">
        <v>10731</v>
      </c>
      <c r="H88" s="309">
        <v>12420</v>
      </c>
      <c r="I88" s="310">
        <v>29.5</v>
      </c>
      <c r="J88" s="307"/>
      <c r="K88" s="307">
        <f>IFERROR(Table24[[#This Row],[ROUTE COST]]/Table24[[#This Row],[O - DEMAND]],0)</f>
        <v>0</v>
      </c>
      <c r="L88" s="306"/>
      <c r="M88" s="310">
        <f>Table24[[#This Row],[O - DEMAND]]/950</f>
        <v>0</v>
      </c>
      <c r="N88" s="306">
        <f>IFERROR(VLOOKUP(Table24[[#This Row],[ROUTE]],DEMAND!A:F,5,FALSE),0)</f>
        <v>0</v>
      </c>
      <c r="O88" s="306">
        <f>IFERROR(VLOOKUP(Table24[[#This Row],[ROUTE]],DEMAND!A:F,6,FALSE),0)</f>
        <v>0</v>
      </c>
      <c r="P88" s="306">
        <f>ROUNDDOWN(Table24[[#This Row],[R-DEMAND]]/950,0)</f>
        <v>0</v>
      </c>
      <c r="Q88" s="306">
        <f>Table24[[#This Row],[ADD ACC
(475/950)]]*Table24[[#This Row],[Duration
(A359)]]</f>
        <v>0</v>
      </c>
      <c r="R88" s="307">
        <f>IFERROR(VLOOKUP(Table24[[#This Row],[ROUTE]],PRICING!A:B,2,FALSE),0)</f>
        <v>0</v>
      </c>
      <c r="S88" s="308">
        <f>Table24[[#This Row],[C_DEMAND]]-Table24[[#This Row],[R-DEMAND]]</f>
        <v>0</v>
      </c>
      <c r="T88" s="307">
        <f>Table24[[#This Row],[SEATS SOLD]]*Table24[[#This Row],[ECO SEAT]]</f>
        <v>0</v>
      </c>
      <c r="U88" s="307">
        <f>Table24[[#This Row],[SEATS SOLD]]*(IFERROR(VLOOKUP(Table24[[#This Row],[ROUTE]],PRICING!A:C,3,FALSE),0))</f>
        <v>0</v>
      </c>
      <c r="V88" s="307">
        <f>Table24[[#This Row],[SEAT REV]]-Table24[[#This Row],[SEAT REV
(IF IDEAL $)]]</f>
        <v>0</v>
      </c>
    </row>
    <row r="89" spans="1:22" customFormat="1" x14ac:dyDescent="0.25">
      <c r="A89" s="306" t="s">
        <v>17357</v>
      </c>
      <c r="B89" s="306" t="s">
        <v>3267</v>
      </c>
      <c r="C89" s="306"/>
      <c r="D89" s="26">
        <v>2</v>
      </c>
      <c r="E89" s="312" t="s">
        <v>3265</v>
      </c>
      <c r="F89" s="306" t="str">
        <f>VLOOKUP(Table24[[#This Row],[Country]],Table10[[COUNTRY NAME]:[CONTINENT CODE]],3,FALSE)</f>
        <v>AS</v>
      </c>
      <c r="G89" s="312" t="s">
        <v>16846</v>
      </c>
      <c r="H89" s="309">
        <v>12512</v>
      </c>
      <c r="I89" s="310">
        <v>29.5</v>
      </c>
      <c r="J89" s="307"/>
      <c r="K89" s="307">
        <f>IFERROR(Table24[[#This Row],[ROUTE COST]]/Table24[[#This Row],[O - DEMAND]],0)</f>
        <v>0</v>
      </c>
      <c r="L89" s="306"/>
      <c r="M89" s="310">
        <f>Table24[[#This Row],[O - DEMAND]]/950</f>
        <v>0</v>
      </c>
      <c r="N89" s="306">
        <f>IFERROR(VLOOKUP(Table24[[#This Row],[ROUTE]],DEMAND!A:F,5,FALSE),0)</f>
        <v>0</v>
      </c>
      <c r="O89" s="306">
        <f>IFERROR(VLOOKUP(Table24[[#This Row],[ROUTE]],DEMAND!A:F,6,FALSE),0)</f>
        <v>0</v>
      </c>
      <c r="P89" s="306">
        <f>ROUNDDOWN(Table24[[#This Row],[R-DEMAND]]/950,0)</f>
        <v>0</v>
      </c>
      <c r="Q89" s="306">
        <f>Table24[[#This Row],[ADD ACC
(475/950)]]*Table24[[#This Row],[Duration
(A359)]]</f>
        <v>0</v>
      </c>
      <c r="R89" s="307">
        <f>IFERROR(VLOOKUP(Table24[[#This Row],[ROUTE]],PRICING!A:B,2,FALSE),0)</f>
        <v>0</v>
      </c>
      <c r="S89" s="308">
        <f>Table24[[#This Row],[C_DEMAND]]-Table24[[#This Row],[R-DEMAND]]</f>
        <v>0</v>
      </c>
      <c r="T89" s="307">
        <f>Table24[[#This Row],[SEATS SOLD]]*Table24[[#This Row],[ECO SEAT]]</f>
        <v>0</v>
      </c>
      <c r="U89" s="307">
        <f>Table24[[#This Row],[SEATS SOLD]]*(IFERROR(VLOOKUP(Table24[[#This Row],[ROUTE]],PRICING!A:C,3,FALSE),0))</f>
        <v>0</v>
      </c>
      <c r="V89" s="307">
        <f>Table24[[#This Row],[SEAT REV]]-Table24[[#This Row],[SEAT REV
(IF IDEAL $)]]</f>
        <v>0</v>
      </c>
    </row>
    <row r="90" spans="1:22" customFormat="1" ht="15" customHeight="1" x14ac:dyDescent="0.25">
      <c r="A90" s="306" t="s">
        <v>17359</v>
      </c>
      <c r="B90" s="306" t="s">
        <v>4454</v>
      </c>
      <c r="C90" s="306"/>
      <c r="D90" s="26">
        <v>2</v>
      </c>
      <c r="E90" s="312" t="s">
        <v>4452</v>
      </c>
      <c r="F90" s="306" t="str">
        <f>VLOOKUP(Table24[[#This Row],[Country]],Table10[[COUNTRY NAME]:[CONTINENT CODE]],3,FALSE)</f>
        <v>AS</v>
      </c>
      <c r="G90" s="312" t="s">
        <v>11988</v>
      </c>
      <c r="H90" s="309">
        <v>12484</v>
      </c>
      <c r="I90" s="310">
        <v>29.5</v>
      </c>
      <c r="J90" s="307"/>
      <c r="K90" s="307">
        <f>IFERROR(Table24[[#This Row],[ROUTE COST]]/Table24[[#This Row],[O - DEMAND]],0)</f>
        <v>0</v>
      </c>
      <c r="L90" s="306"/>
      <c r="M90" s="310">
        <f>Table24[[#This Row],[O - DEMAND]]/950</f>
        <v>0</v>
      </c>
      <c r="N90" s="306">
        <f>IFERROR(VLOOKUP(Table24[[#This Row],[ROUTE]],DEMAND!A:F,5,FALSE),0)</f>
        <v>0</v>
      </c>
      <c r="O90" s="306">
        <f>IFERROR(VLOOKUP(Table24[[#This Row],[ROUTE]],DEMAND!A:F,6,FALSE),0)</f>
        <v>0</v>
      </c>
      <c r="P90" s="306">
        <f>ROUNDDOWN(Table24[[#This Row],[R-DEMAND]]/950,0)</f>
        <v>0</v>
      </c>
      <c r="Q90" s="306">
        <f>Table24[[#This Row],[ADD ACC
(475/950)]]*Table24[[#This Row],[Duration
(A359)]]</f>
        <v>0</v>
      </c>
      <c r="R90" s="307">
        <f>IFERROR(VLOOKUP(Table24[[#This Row],[ROUTE]],PRICING!A:B,2,FALSE),0)</f>
        <v>0</v>
      </c>
      <c r="S90" s="308">
        <f>Table24[[#This Row],[C_DEMAND]]-Table24[[#This Row],[R-DEMAND]]</f>
        <v>0</v>
      </c>
      <c r="T90" s="307">
        <f>Table24[[#This Row],[SEATS SOLD]]*Table24[[#This Row],[ECO SEAT]]</f>
        <v>0</v>
      </c>
      <c r="U90" s="307">
        <f>Table24[[#This Row],[SEATS SOLD]]*(IFERROR(VLOOKUP(Table24[[#This Row],[ROUTE]],PRICING!A:C,3,FALSE),0))</f>
        <v>0</v>
      </c>
      <c r="V90" s="307">
        <f>Table24[[#This Row],[SEAT REV]]-Table24[[#This Row],[SEAT REV
(IF IDEAL $)]]</f>
        <v>0</v>
      </c>
    </row>
    <row r="91" spans="1:22" customFormat="1" ht="15" customHeight="1" x14ac:dyDescent="0.25">
      <c r="A91" s="306" t="s">
        <v>17429</v>
      </c>
      <c r="B91" s="306" t="s">
        <v>1267</v>
      </c>
      <c r="C91" s="306"/>
      <c r="D91" s="26">
        <v>1</v>
      </c>
      <c r="E91" s="312" t="s">
        <v>533</v>
      </c>
      <c r="F91" s="306" t="str">
        <f>VLOOKUP(Table24[[#This Row],[Country]],Table10[[COUNTRY NAME]:[CONTINENT CODE]],3,FALSE)</f>
        <v>AS</v>
      </c>
      <c r="G91" s="312" t="s">
        <v>11993</v>
      </c>
      <c r="H91" s="309">
        <v>12448</v>
      </c>
      <c r="I91" s="310">
        <v>29.5</v>
      </c>
      <c r="J91" s="307"/>
      <c r="K91" s="307">
        <f>IFERROR(Table24[[#This Row],[ROUTE COST]]/Table24[[#This Row],[O - DEMAND]],0)</f>
        <v>0</v>
      </c>
      <c r="L91" s="306"/>
      <c r="M91" s="310">
        <f>Table24[[#This Row],[O - DEMAND]]/950</f>
        <v>0</v>
      </c>
      <c r="N91" s="306">
        <f>IFERROR(VLOOKUP(Table24[[#This Row],[ROUTE]],DEMAND!A:F,5,FALSE),0)</f>
        <v>0</v>
      </c>
      <c r="O91" s="306">
        <f>IFERROR(VLOOKUP(Table24[[#This Row],[ROUTE]],DEMAND!A:F,6,FALSE),0)</f>
        <v>0</v>
      </c>
      <c r="P91" s="306">
        <f>ROUNDDOWN(Table24[[#This Row],[R-DEMAND]]/950,0)</f>
        <v>0</v>
      </c>
      <c r="Q91" s="306">
        <f>Table24[[#This Row],[ADD ACC
(475/950)]]*Table24[[#This Row],[Duration
(A359)]]</f>
        <v>0</v>
      </c>
      <c r="R91" s="307">
        <f>IFERROR(VLOOKUP(Table24[[#This Row],[ROUTE]],PRICING!A:B,2,FALSE),0)</f>
        <v>0</v>
      </c>
      <c r="S91" s="308">
        <f>Table24[[#This Row],[C_DEMAND]]-Table24[[#This Row],[R-DEMAND]]</f>
        <v>0</v>
      </c>
      <c r="T91" s="307">
        <f>Table24[[#This Row],[SEATS SOLD]]*Table24[[#This Row],[ECO SEAT]]</f>
        <v>0</v>
      </c>
      <c r="U91" s="307">
        <f>Table24[[#This Row],[SEATS SOLD]]*(IFERROR(VLOOKUP(Table24[[#This Row],[ROUTE]],PRICING!A:C,3,FALSE),0))</f>
        <v>0</v>
      </c>
      <c r="V91" s="307">
        <f>Table24[[#This Row],[SEAT REV]]-Table24[[#This Row],[SEAT REV
(IF IDEAL $)]]</f>
        <v>0</v>
      </c>
    </row>
    <row r="92" spans="1:22" customFormat="1" ht="15" customHeight="1" x14ac:dyDescent="0.25">
      <c r="A92" s="306" t="s">
        <v>17428</v>
      </c>
      <c r="B92" s="306" t="s">
        <v>1755</v>
      </c>
      <c r="C92" s="306"/>
      <c r="D92" s="26">
        <v>1</v>
      </c>
      <c r="E92" s="312" t="s">
        <v>1289</v>
      </c>
      <c r="F92" s="306" t="str">
        <f>VLOOKUP(Table24[[#This Row],[Country]],Table10[[COUNTRY NAME]:[CONTINENT CODE]],3,FALSE)</f>
        <v>AS</v>
      </c>
      <c r="G92" s="312" t="s">
        <v>11964</v>
      </c>
      <c r="H92" s="309">
        <v>12513</v>
      </c>
      <c r="I92" s="310">
        <v>29.5</v>
      </c>
      <c r="J92" s="307"/>
      <c r="K92" s="307">
        <f>IFERROR(Table24[[#This Row],[ROUTE COST]]/Table24[[#This Row],[O - DEMAND]],0)</f>
        <v>0</v>
      </c>
      <c r="L92" s="306"/>
      <c r="M92" s="310">
        <f>Table24[[#This Row],[O - DEMAND]]/950</f>
        <v>0</v>
      </c>
      <c r="N92" s="306">
        <f>IFERROR(VLOOKUP(Table24[[#This Row],[ROUTE]],DEMAND!A:F,5,FALSE),0)</f>
        <v>0</v>
      </c>
      <c r="O92" s="306">
        <f>IFERROR(VLOOKUP(Table24[[#This Row],[ROUTE]],DEMAND!A:F,6,FALSE),0)</f>
        <v>0</v>
      </c>
      <c r="P92" s="306">
        <f>ROUNDDOWN(Table24[[#This Row],[R-DEMAND]]/950,0)</f>
        <v>0</v>
      </c>
      <c r="Q92" s="306">
        <f>Table24[[#This Row],[ADD ACC
(475/950)]]*Table24[[#This Row],[Duration
(A359)]]</f>
        <v>0</v>
      </c>
      <c r="R92" s="307">
        <f>IFERROR(VLOOKUP(Table24[[#This Row],[ROUTE]],PRICING!A:B,2,FALSE),0)</f>
        <v>0</v>
      </c>
      <c r="S92" s="308">
        <f>Table24[[#This Row],[C_DEMAND]]-Table24[[#This Row],[R-DEMAND]]</f>
        <v>0</v>
      </c>
      <c r="T92" s="307">
        <f>Table24[[#This Row],[SEATS SOLD]]*Table24[[#This Row],[ECO SEAT]]</f>
        <v>0</v>
      </c>
      <c r="U92" s="307">
        <f>Table24[[#This Row],[SEATS SOLD]]*(IFERROR(VLOOKUP(Table24[[#This Row],[ROUTE]],PRICING!A:C,3,FALSE),0))</f>
        <v>0</v>
      </c>
      <c r="V92" s="307">
        <f>Table24[[#This Row],[SEAT REV]]-Table24[[#This Row],[SEAT REV
(IF IDEAL $)]]</f>
        <v>0</v>
      </c>
    </row>
    <row r="93" spans="1:22" customFormat="1" x14ac:dyDescent="0.25">
      <c r="A93" s="306" t="s">
        <v>17459</v>
      </c>
      <c r="B93" s="306" t="s">
        <v>2882</v>
      </c>
      <c r="C93" s="306"/>
      <c r="D93" s="26"/>
      <c r="E93" s="312" t="s">
        <v>14</v>
      </c>
      <c r="F93" s="306" t="str">
        <f>VLOOKUP(Table24[[#This Row],[Country]],Table10[[COUNTRY NAME]:[CONTINENT CODE]],3,FALSE)</f>
        <v>AS</v>
      </c>
      <c r="G93" s="312" t="s">
        <v>16845</v>
      </c>
      <c r="H93" s="309">
        <v>12522</v>
      </c>
      <c r="I93" s="310">
        <v>29.5</v>
      </c>
      <c r="J93" s="307"/>
      <c r="K93" s="307">
        <f>IFERROR(Table24[[#This Row],[ROUTE COST]]/Table24[[#This Row],[O - DEMAND]],0)</f>
        <v>0</v>
      </c>
      <c r="L93" s="306"/>
      <c r="M93" s="310">
        <f>Table24[[#This Row],[O - DEMAND]]/950</f>
        <v>0</v>
      </c>
      <c r="N93" s="306">
        <f>IFERROR(VLOOKUP(Table24[[#This Row],[ROUTE]],DEMAND!A:F,5,FALSE),0)</f>
        <v>0</v>
      </c>
      <c r="O93" s="306">
        <f>IFERROR(VLOOKUP(Table24[[#This Row],[ROUTE]],DEMAND!A:F,6,FALSE),0)</f>
        <v>0</v>
      </c>
      <c r="P93" s="306">
        <f>ROUNDDOWN(Table24[[#This Row],[R-DEMAND]]/950,0)</f>
        <v>0</v>
      </c>
      <c r="Q93" s="306">
        <f>Table24[[#This Row],[ADD ACC
(475/950)]]*Table24[[#This Row],[Duration
(A359)]]</f>
        <v>0</v>
      </c>
      <c r="R93" s="307">
        <f>IFERROR(VLOOKUP(Table24[[#This Row],[ROUTE]],PRICING!A:B,2,FALSE),0)</f>
        <v>0</v>
      </c>
      <c r="S93" s="308">
        <f>Table24[[#This Row],[C_DEMAND]]-Table24[[#This Row],[R-DEMAND]]</f>
        <v>0</v>
      </c>
      <c r="T93" s="307">
        <f>Table24[[#This Row],[SEATS SOLD]]*Table24[[#This Row],[ECO SEAT]]</f>
        <v>0</v>
      </c>
      <c r="U93" s="307">
        <f>Table24[[#This Row],[SEATS SOLD]]*(IFERROR(VLOOKUP(Table24[[#This Row],[ROUTE]],PRICING!A:C,3,FALSE),0))</f>
        <v>0</v>
      </c>
      <c r="V93" s="307">
        <f>Table24[[#This Row],[SEAT REV]]-Table24[[#This Row],[SEAT REV
(IF IDEAL $)]]</f>
        <v>0</v>
      </c>
    </row>
    <row r="94" spans="1:22" customFormat="1" ht="15" customHeight="1" x14ac:dyDescent="0.25">
      <c r="A94" s="306" t="s">
        <v>17361</v>
      </c>
      <c r="B94" s="306" t="s">
        <v>3025</v>
      </c>
      <c r="C94" s="306"/>
      <c r="D94" s="26">
        <v>2</v>
      </c>
      <c r="E94" s="312" t="s">
        <v>14</v>
      </c>
      <c r="F94" s="306" t="str">
        <f>VLOOKUP(Table24[[#This Row],[Country]],Table10[[COUNTRY NAME]:[CONTINENT CODE]],3,FALSE)</f>
        <v>AS</v>
      </c>
      <c r="G94" s="312" t="s">
        <v>11990</v>
      </c>
      <c r="H94" s="309">
        <v>12381</v>
      </c>
      <c r="I94" s="310">
        <v>29.25</v>
      </c>
      <c r="J94" s="307"/>
      <c r="K94" s="307">
        <f>IFERROR(Table24[[#This Row],[ROUTE COST]]/Table24[[#This Row],[O - DEMAND]],0)</f>
        <v>0</v>
      </c>
      <c r="L94" s="306"/>
      <c r="M94" s="310">
        <f>Table24[[#This Row],[O - DEMAND]]/950</f>
        <v>0</v>
      </c>
      <c r="N94" s="306">
        <f>IFERROR(VLOOKUP(Table24[[#This Row],[ROUTE]],DEMAND!A:F,5,FALSE),0)</f>
        <v>0</v>
      </c>
      <c r="O94" s="306">
        <f>IFERROR(VLOOKUP(Table24[[#This Row],[ROUTE]],DEMAND!A:F,6,FALSE),0)</f>
        <v>0</v>
      </c>
      <c r="P94" s="306">
        <f>ROUNDDOWN(Table24[[#This Row],[R-DEMAND]]/950,0)</f>
        <v>0</v>
      </c>
      <c r="Q94" s="306">
        <f>Table24[[#This Row],[ADD ACC
(475/950)]]*Table24[[#This Row],[Duration
(A359)]]</f>
        <v>0</v>
      </c>
      <c r="R94" s="307">
        <f>IFERROR(VLOOKUP(Table24[[#This Row],[ROUTE]],PRICING!A:B,2,FALSE),0)</f>
        <v>0</v>
      </c>
      <c r="S94" s="308">
        <f>Table24[[#This Row],[C_DEMAND]]-Table24[[#This Row],[R-DEMAND]]</f>
        <v>0</v>
      </c>
      <c r="T94" s="307">
        <f>Table24[[#This Row],[SEATS SOLD]]*Table24[[#This Row],[ECO SEAT]]</f>
        <v>0</v>
      </c>
      <c r="U94" s="307">
        <f>Table24[[#This Row],[SEATS SOLD]]*(IFERROR(VLOOKUP(Table24[[#This Row],[ROUTE]],PRICING!A:C,3,FALSE),0))</f>
        <v>0</v>
      </c>
      <c r="V94" s="307">
        <f>Table24[[#This Row],[SEAT REV]]-Table24[[#This Row],[SEAT REV
(IF IDEAL $)]]</f>
        <v>0</v>
      </c>
    </row>
    <row r="95" spans="1:22" customFormat="1" ht="15.75" customHeight="1" x14ac:dyDescent="0.25">
      <c r="A95" s="306" t="s">
        <v>17363</v>
      </c>
      <c r="B95" s="306" t="s">
        <v>4256</v>
      </c>
      <c r="C95" s="306"/>
      <c r="D95" s="26">
        <v>2</v>
      </c>
      <c r="E95" s="312" t="s">
        <v>502</v>
      </c>
      <c r="F95" s="306" t="str">
        <f>VLOOKUP(Table24[[#This Row],[Country]],Table10[[COUNTRY NAME]:[CONTINENT CODE]],3,FALSE)</f>
        <v>AS</v>
      </c>
      <c r="G95" s="312" t="s">
        <v>11971</v>
      </c>
      <c r="H95" s="309">
        <v>12338</v>
      </c>
      <c r="I95" s="310">
        <v>29.25</v>
      </c>
      <c r="J95" s="307"/>
      <c r="K95" s="307">
        <f>IFERROR(Table24[[#This Row],[ROUTE COST]]/Table24[[#This Row],[O - DEMAND]],0)</f>
        <v>0</v>
      </c>
      <c r="L95" s="306"/>
      <c r="M95" s="310">
        <f>Table24[[#This Row],[O - DEMAND]]/950</f>
        <v>0</v>
      </c>
      <c r="N95" s="306">
        <f>IFERROR(VLOOKUP(Table24[[#This Row],[ROUTE]],DEMAND!A:F,5,FALSE),0)</f>
        <v>0</v>
      </c>
      <c r="O95" s="306">
        <f>IFERROR(VLOOKUP(Table24[[#This Row],[ROUTE]],DEMAND!A:F,6,FALSE),0)</f>
        <v>0</v>
      </c>
      <c r="P95" s="306">
        <f>ROUNDDOWN(Table24[[#This Row],[R-DEMAND]]/950,0)</f>
        <v>0</v>
      </c>
      <c r="Q95" s="306">
        <f>Table24[[#This Row],[ADD ACC
(475/950)]]*Table24[[#This Row],[Duration
(A359)]]</f>
        <v>0</v>
      </c>
      <c r="R95" s="307">
        <f>IFERROR(VLOOKUP(Table24[[#This Row],[ROUTE]],PRICING!A:B,2,FALSE),0)</f>
        <v>0</v>
      </c>
      <c r="S95" s="308">
        <f>Table24[[#This Row],[C_DEMAND]]-Table24[[#This Row],[R-DEMAND]]</f>
        <v>0</v>
      </c>
      <c r="T95" s="307">
        <f>Table24[[#This Row],[SEATS SOLD]]*Table24[[#This Row],[ECO SEAT]]</f>
        <v>0</v>
      </c>
      <c r="U95" s="307">
        <f>Table24[[#This Row],[SEATS SOLD]]*(IFERROR(VLOOKUP(Table24[[#This Row],[ROUTE]],PRICING!A:C,3,FALSE),0))</f>
        <v>0</v>
      </c>
      <c r="V95" s="307">
        <f>Table24[[#This Row],[SEAT REV]]-Table24[[#This Row],[SEAT REV
(IF IDEAL $)]]</f>
        <v>0</v>
      </c>
    </row>
    <row r="96" spans="1:22" customFormat="1" ht="15.75" customHeight="1" x14ac:dyDescent="0.25">
      <c r="A96" s="306" t="s">
        <v>17362</v>
      </c>
      <c r="B96" s="306" t="s">
        <v>4239</v>
      </c>
      <c r="C96" s="306"/>
      <c r="D96" s="26">
        <v>2</v>
      </c>
      <c r="E96" s="312" t="s">
        <v>3265</v>
      </c>
      <c r="F96" s="306" t="str">
        <f>VLOOKUP(Table24[[#This Row],[Country]],Table10[[COUNTRY NAME]:[CONTINENT CODE]],3,FALSE)</f>
        <v>AS</v>
      </c>
      <c r="G96" s="312" t="s">
        <v>11985</v>
      </c>
      <c r="H96" s="309">
        <v>12369</v>
      </c>
      <c r="I96" s="310">
        <v>29.25</v>
      </c>
      <c r="J96" s="307"/>
      <c r="K96" s="307">
        <f>IFERROR(Table24[[#This Row],[ROUTE COST]]/Table24[[#This Row],[O - DEMAND]],0)</f>
        <v>0</v>
      </c>
      <c r="L96" s="306"/>
      <c r="M96" s="310">
        <f>Table24[[#This Row],[O - DEMAND]]/950</f>
        <v>0</v>
      </c>
      <c r="N96" s="306">
        <f>IFERROR(VLOOKUP(Table24[[#This Row],[ROUTE]],DEMAND!A:F,5,FALSE),0)</f>
        <v>0</v>
      </c>
      <c r="O96" s="306">
        <f>IFERROR(VLOOKUP(Table24[[#This Row],[ROUTE]],DEMAND!A:F,6,FALSE),0)</f>
        <v>0</v>
      </c>
      <c r="P96" s="306">
        <f>ROUNDDOWN(Table24[[#This Row],[R-DEMAND]]/950,0)</f>
        <v>0</v>
      </c>
      <c r="Q96" s="306">
        <f>Table24[[#This Row],[ADD ACC
(475/950)]]*Table24[[#This Row],[Duration
(A359)]]</f>
        <v>0</v>
      </c>
      <c r="R96" s="307">
        <f>IFERROR(VLOOKUP(Table24[[#This Row],[ROUTE]],PRICING!A:B,2,FALSE),0)</f>
        <v>0</v>
      </c>
      <c r="S96" s="308">
        <f>Table24[[#This Row],[C_DEMAND]]-Table24[[#This Row],[R-DEMAND]]</f>
        <v>0</v>
      </c>
      <c r="T96" s="307">
        <f>Table24[[#This Row],[SEATS SOLD]]*Table24[[#This Row],[ECO SEAT]]</f>
        <v>0</v>
      </c>
      <c r="U96" s="307">
        <f>Table24[[#This Row],[SEATS SOLD]]*(IFERROR(VLOOKUP(Table24[[#This Row],[ROUTE]],PRICING!A:C,3,FALSE),0))</f>
        <v>0</v>
      </c>
      <c r="V96" s="307">
        <f>Table24[[#This Row],[SEAT REV]]-Table24[[#This Row],[SEAT REV
(IF IDEAL $)]]</f>
        <v>0</v>
      </c>
    </row>
    <row r="97" spans="1:22" customFormat="1" ht="15" customHeight="1" x14ac:dyDescent="0.25">
      <c r="A97" s="306" t="s">
        <v>17364</v>
      </c>
      <c r="B97" s="306" t="s">
        <v>3950</v>
      </c>
      <c r="C97" s="306"/>
      <c r="D97" s="26">
        <v>2</v>
      </c>
      <c r="E97" s="312" t="s">
        <v>1289</v>
      </c>
      <c r="F97" s="306" t="str">
        <f>VLOOKUP(Table24[[#This Row],[Country]],Table10[[COUNTRY NAME]:[CONTINENT CODE]],3,FALSE)</f>
        <v>AS</v>
      </c>
      <c r="G97" s="312" t="s">
        <v>11950</v>
      </c>
      <c r="H97" s="309">
        <v>12312</v>
      </c>
      <c r="I97" s="310">
        <v>29.25</v>
      </c>
      <c r="J97" s="307"/>
      <c r="K97" s="307">
        <f>IFERROR(Table24[[#This Row],[ROUTE COST]]/Table24[[#This Row],[O - DEMAND]],0)</f>
        <v>0</v>
      </c>
      <c r="L97" s="306"/>
      <c r="M97" s="310">
        <f>Table24[[#This Row],[O - DEMAND]]/950</f>
        <v>0</v>
      </c>
      <c r="N97" s="306">
        <f>IFERROR(VLOOKUP(Table24[[#This Row],[ROUTE]],DEMAND!A:F,5,FALSE),0)</f>
        <v>0</v>
      </c>
      <c r="O97" s="306">
        <f>IFERROR(VLOOKUP(Table24[[#This Row],[ROUTE]],DEMAND!A:F,6,FALSE),0)</f>
        <v>0</v>
      </c>
      <c r="P97" s="306">
        <f>ROUNDDOWN(Table24[[#This Row],[R-DEMAND]]/950,0)</f>
        <v>0</v>
      </c>
      <c r="Q97" s="306">
        <f>Table24[[#This Row],[ADD ACC
(475/950)]]*Table24[[#This Row],[Duration
(A359)]]</f>
        <v>0</v>
      </c>
      <c r="R97" s="307">
        <f>IFERROR(VLOOKUP(Table24[[#This Row],[ROUTE]],PRICING!A:B,2,FALSE),0)</f>
        <v>0</v>
      </c>
      <c r="S97" s="308">
        <f>Table24[[#This Row],[C_DEMAND]]-Table24[[#This Row],[R-DEMAND]]</f>
        <v>0</v>
      </c>
      <c r="T97" s="307">
        <f>Table24[[#This Row],[SEATS SOLD]]*Table24[[#This Row],[ECO SEAT]]</f>
        <v>0</v>
      </c>
      <c r="U97" s="307">
        <f>Table24[[#This Row],[SEATS SOLD]]*(IFERROR(VLOOKUP(Table24[[#This Row],[ROUTE]],PRICING!A:C,3,FALSE),0))</f>
        <v>0</v>
      </c>
      <c r="V97" s="307">
        <f>Table24[[#This Row],[SEAT REV]]-Table24[[#This Row],[SEAT REV
(IF IDEAL $)]]</f>
        <v>0</v>
      </c>
    </row>
    <row r="98" spans="1:22" customFormat="1" x14ac:dyDescent="0.25">
      <c r="A98" s="306" t="s">
        <v>17460</v>
      </c>
      <c r="B98" s="306" t="s">
        <v>4114</v>
      </c>
      <c r="C98" s="306"/>
      <c r="D98" s="26"/>
      <c r="E98" s="312" t="s">
        <v>14</v>
      </c>
      <c r="F98" s="306" t="str">
        <f>VLOOKUP(Table24[[#This Row],[Country]],Table10[[COUNTRY NAME]:[CONTINENT CODE]],3,FALSE)</f>
        <v>AS</v>
      </c>
      <c r="G98" s="312" t="s">
        <v>16848</v>
      </c>
      <c r="H98" s="309">
        <v>12386</v>
      </c>
      <c r="I98" s="310">
        <v>29.25</v>
      </c>
      <c r="J98" s="307"/>
      <c r="K98" s="307">
        <f>IFERROR(Table24[[#This Row],[ROUTE COST]]/Table24[[#This Row],[O - DEMAND]],0)</f>
        <v>0</v>
      </c>
      <c r="L98" s="306"/>
      <c r="M98" s="310">
        <f>Table24[[#This Row],[O - DEMAND]]/950</f>
        <v>0</v>
      </c>
      <c r="N98" s="306">
        <f>IFERROR(VLOOKUP(Table24[[#This Row],[ROUTE]],DEMAND!A:F,5,FALSE),0)</f>
        <v>0</v>
      </c>
      <c r="O98" s="306">
        <f>IFERROR(VLOOKUP(Table24[[#This Row],[ROUTE]],DEMAND!A:F,6,FALSE),0)</f>
        <v>0</v>
      </c>
      <c r="P98" s="306">
        <f>ROUNDDOWN(Table24[[#This Row],[R-DEMAND]]/950,0)</f>
        <v>0</v>
      </c>
      <c r="Q98" s="306">
        <f>Table24[[#This Row],[ADD ACC
(475/950)]]*Table24[[#This Row],[Duration
(A359)]]</f>
        <v>0</v>
      </c>
      <c r="R98" s="307">
        <f>IFERROR(VLOOKUP(Table24[[#This Row],[ROUTE]],PRICING!A:B,2,FALSE),0)</f>
        <v>0</v>
      </c>
      <c r="S98" s="308">
        <f>Table24[[#This Row],[C_DEMAND]]-Table24[[#This Row],[R-DEMAND]]</f>
        <v>0</v>
      </c>
      <c r="T98" s="307">
        <f>Table24[[#This Row],[SEATS SOLD]]*Table24[[#This Row],[ECO SEAT]]</f>
        <v>0</v>
      </c>
      <c r="U98" s="307">
        <f>Table24[[#This Row],[SEATS SOLD]]*(IFERROR(VLOOKUP(Table24[[#This Row],[ROUTE]],PRICING!A:C,3,FALSE),0))</f>
        <v>0</v>
      </c>
      <c r="V98" s="307">
        <f>Table24[[#This Row],[SEAT REV]]-Table24[[#This Row],[SEAT REV
(IF IDEAL $)]]</f>
        <v>0</v>
      </c>
    </row>
    <row r="99" spans="1:22" customFormat="1" x14ac:dyDescent="0.25">
      <c r="A99" s="306" t="s">
        <v>17597</v>
      </c>
      <c r="B99" s="306" t="s">
        <v>3044</v>
      </c>
      <c r="C99" s="306"/>
      <c r="D99" s="26">
        <v>2</v>
      </c>
      <c r="E99" s="312" t="s">
        <v>78</v>
      </c>
      <c r="F99" s="306" t="str">
        <f>VLOOKUP(Table24[[#This Row],[Country]],Table10[[COUNTRY NAME]:[CONTINENT CODE]],3,FALSE)</f>
        <v>EU</v>
      </c>
      <c r="G99" s="312" t="s">
        <v>11984</v>
      </c>
      <c r="H99" s="309">
        <v>12191</v>
      </c>
      <c r="I99" s="310">
        <v>29</v>
      </c>
      <c r="J99" s="307"/>
      <c r="K99" s="307">
        <f>IFERROR(Table24[[#This Row],[ROUTE COST]]/Table24[[#This Row],[O - DEMAND]],0)</f>
        <v>0</v>
      </c>
      <c r="L99" s="306"/>
      <c r="M99" s="310">
        <f>Table24[[#This Row],[O - DEMAND]]/950</f>
        <v>0</v>
      </c>
      <c r="N99" s="306">
        <f>IFERROR(VLOOKUP(Table24[[#This Row],[ROUTE]],DEMAND!A:F,5,FALSE),0)</f>
        <v>0</v>
      </c>
      <c r="O99" s="306">
        <f>IFERROR(VLOOKUP(Table24[[#This Row],[ROUTE]],DEMAND!A:F,6,FALSE),0)</f>
        <v>0</v>
      </c>
      <c r="P99" s="306">
        <f>ROUNDDOWN(Table24[[#This Row],[R-DEMAND]]/950,0)</f>
        <v>0</v>
      </c>
      <c r="Q99" s="306">
        <f>Table24[[#This Row],[ADD ACC
(475/950)]]*Table24[[#This Row],[Duration
(A359)]]</f>
        <v>0</v>
      </c>
      <c r="R99" s="307">
        <f>IFERROR(VLOOKUP(Table24[[#This Row],[ROUTE]],PRICING!A:B,2,FALSE),0)</f>
        <v>0</v>
      </c>
      <c r="S99" s="308">
        <f>Table24[[#This Row],[C_DEMAND]]-Table24[[#This Row],[R-DEMAND]]</f>
        <v>0</v>
      </c>
      <c r="T99" s="307">
        <f>Table24[[#This Row],[SEATS SOLD]]*Table24[[#This Row],[ECO SEAT]]</f>
        <v>0</v>
      </c>
      <c r="U99" s="307">
        <f>Table24[[#This Row],[SEATS SOLD]]*(IFERROR(VLOOKUP(Table24[[#This Row],[ROUTE]],PRICING!A:C,3,FALSE),0))</f>
        <v>0</v>
      </c>
      <c r="V99" s="307">
        <f>Table24[[#This Row],[SEAT REV]]-Table24[[#This Row],[SEAT REV
(IF IDEAL $)]]</f>
        <v>0</v>
      </c>
    </row>
    <row r="100" spans="1:22" customFormat="1" x14ac:dyDescent="0.25">
      <c r="A100" s="306" t="s">
        <v>17366</v>
      </c>
      <c r="B100" s="306" t="s">
        <v>2557</v>
      </c>
      <c r="C100" s="306"/>
      <c r="D100" s="26">
        <v>2</v>
      </c>
      <c r="E100" s="312" t="s">
        <v>172</v>
      </c>
      <c r="F100" s="306" t="str">
        <f>VLOOKUP(Table24[[#This Row],[Country]],Table10[[COUNTRY NAME]:[CONTINENT CODE]],3,FALSE)</f>
        <v>AS</v>
      </c>
      <c r="G100" s="312" t="s">
        <v>11955</v>
      </c>
      <c r="H100" s="309">
        <v>12278</v>
      </c>
      <c r="I100" s="310">
        <v>29</v>
      </c>
      <c r="J100" s="307"/>
      <c r="K100" s="307">
        <f>IFERROR(Table24[[#This Row],[ROUTE COST]]/Table24[[#This Row],[O - DEMAND]],0)</f>
        <v>0</v>
      </c>
      <c r="L100" s="306"/>
      <c r="M100" s="310">
        <f>Table24[[#This Row],[O - DEMAND]]/950</f>
        <v>0</v>
      </c>
      <c r="N100" s="306">
        <f>IFERROR(VLOOKUP(Table24[[#This Row],[ROUTE]],DEMAND!A:F,5,FALSE),0)</f>
        <v>0</v>
      </c>
      <c r="O100" s="306">
        <f>IFERROR(VLOOKUP(Table24[[#This Row],[ROUTE]],DEMAND!A:F,6,FALSE),0)</f>
        <v>0</v>
      </c>
      <c r="P100" s="306">
        <f>ROUNDDOWN(Table24[[#This Row],[R-DEMAND]]/950,0)</f>
        <v>0</v>
      </c>
      <c r="Q100" s="306">
        <f>Table24[[#This Row],[ADD ACC
(475/950)]]*Table24[[#This Row],[Duration
(A359)]]</f>
        <v>0</v>
      </c>
      <c r="R100" s="307">
        <f>IFERROR(VLOOKUP(Table24[[#This Row],[ROUTE]],PRICING!A:B,2,FALSE),0)</f>
        <v>0</v>
      </c>
      <c r="S100" s="308">
        <f>Table24[[#This Row],[C_DEMAND]]-Table24[[#This Row],[R-DEMAND]]</f>
        <v>0</v>
      </c>
      <c r="T100" s="307">
        <f>Table24[[#This Row],[SEATS SOLD]]*Table24[[#This Row],[ECO SEAT]]</f>
        <v>0</v>
      </c>
      <c r="U100" s="307">
        <f>Table24[[#This Row],[SEATS SOLD]]*(IFERROR(VLOOKUP(Table24[[#This Row],[ROUTE]],PRICING!A:C,3,FALSE),0))</f>
        <v>0</v>
      </c>
      <c r="V100" s="307">
        <f>Table24[[#This Row],[SEAT REV]]-Table24[[#This Row],[SEAT REV
(IF IDEAL $)]]</f>
        <v>0</v>
      </c>
    </row>
    <row r="101" spans="1:22" customFormat="1" ht="15.75" customHeight="1" x14ac:dyDescent="0.25">
      <c r="A101" s="306" t="s">
        <v>17139</v>
      </c>
      <c r="B101" s="306" t="s">
        <v>2365</v>
      </c>
      <c r="C101" s="306"/>
      <c r="D101" s="26">
        <v>1</v>
      </c>
      <c r="E101" s="312" t="s">
        <v>2363</v>
      </c>
      <c r="F101" s="306" t="str">
        <f>VLOOKUP(Table24[[#This Row],[Country]],Table10[[COUNTRY NAME]:[CONTINENT CODE]],3,FALSE)</f>
        <v>AF</v>
      </c>
      <c r="G101" s="312" t="s">
        <v>16849</v>
      </c>
      <c r="H101" s="309">
        <v>12232</v>
      </c>
      <c r="I101" s="310">
        <v>29</v>
      </c>
      <c r="J101" s="307"/>
      <c r="K101" s="307">
        <f>IFERROR(Table24[[#This Row],[ROUTE COST]]/Table24[[#This Row],[O - DEMAND]],0)</f>
        <v>0</v>
      </c>
      <c r="L101" s="306"/>
      <c r="M101" s="310">
        <f>Table24[[#This Row],[O - DEMAND]]/950</f>
        <v>0</v>
      </c>
      <c r="N101" s="306">
        <f>IFERROR(VLOOKUP(Table24[[#This Row],[ROUTE]],DEMAND!A:F,5,FALSE),0)</f>
        <v>0</v>
      </c>
      <c r="O101" s="306">
        <f>IFERROR(VLOOKUP(Table24[[#This Row],[ROUTE]],DEMAND!A:F,6,FALSE),0)</f>
        <v>0</v>
      </c>
      <c r="P101" s="306">
        <f>ROUNDDOWN(Table24[[#This Row],[R-DEMAND]]/950,0)</f>
        <v>0</v>
      </c>
      <c r="Q101" s="306">
        <f>Table24[[#This Row],[ADD ACC
(475/950)]]*Table24[[#This Row],[Duration
(A359)]]</f>
        <v>0</v>
      </c>
      <c r="R101" s="307">
        <f>IFERROR(VLOOKUP(Table24[[#This Row],[ROUTE]],PRICING!A:B,2,FALSE),0)</f>
        <v>0</v>
      </c>
      <c r="S101" s="308">
        <f>Table24[[#This Row],[C_DEMAND]]-Table24[[#This Row],[R-DEMAND]]</f>
        <v>0</v>
      </c>
      <c r="T101" s="307">
        <f>Table24[[#This Row],[SEATS SOLD]]*Table24[[#This Row],[ECO SEAT]]</f>
        <v>0</v>
      </c>
      <c r="U101" s="307">
        <f>Table24[[#This Row],[SEATS SOLD]]*(IFERROR(VLOOKUP(Table24[[#This Row],[ROUTE]],PRICING!A:C,3,FALSE),0))</f>
        <v>0</v>
      </c>
      <c r="V101" s="307">
        <f>Table24[[#This Row],[SEAT REV]]-Table24[[#This Row],[SEAT REV
(IF IDEAL $)]]</f>
        <v>0</v>
      </c>
    </row>
    <row r="102" spans="1:22" customFormat="1" ht="15.75" customHeight="1" x14ac:dyDescent="0.25">
      <c r="A102" s="306" t="s">
        <v>17182</v>
      </c>
      <c r="B102" s="306" t="s">
        <v>3668</v>
      </c>
      <c r="C102" s="306"/>
      <c r="D102" s="26">
        <v>2</v>
      </c>
      <c r="E102" s="312" t="s">
        <v>1516</v>
      </c>
      <c r="F102" s="306" t="str">
        <f>VLOOKUP(Table24[[#This Row],[Country]],Table10[[COUNTRY NAME]:[CONTINENT CODE]],3,FALSE)</f>
        <v>AF</v>
      </c>
      <c r="G102" s="312" t="s">
        <v>11928</v>
      </c>
      <c r="H102" s="309">
        <v>12172</v>
      </c>
      <c r="I102" s="310">
        <v>28.75</v>
      </c>
      <c r="J102" s="307"/>
      <c r="K102" s="307">
        <f>IFERROR(Table24[[#This Row],[ROUTE COST]]/Table24[[#This Row],[O - DEMAND]],0)</f>
        <v>0</v>
      </c>
      <c r="L102" s="306"/>
      <c r="M102" s="310">
        <f>Table24[[#This Row],[O - DEMAND]]/950</f>
        <v>0</v>
      </c>
      <c r="N102" s="306">
        <f>IFERROR(VLOOKUP(Table24[[#This Row],[ROUTE]],DEMAND!A:F,5,FALSE),0)</f>
        <v>0</v>
      </c>
      <c r="O102" s="306">
        <f>IFERROR(VLOOKUP(Table24[[#This Row],[ROUTE]],DEMAND!A:F,6,FALSE),0)</f>
        <v>0</v>
      </c>
      <c r="P102" s="306">
        <f>ROUNDDOWN(Table24[[#This Row],[R-DEMAND]]/950,0)</f>
        <v>0</v>
      </c>
      <c r="Q102" s="306">
        <f>Table24[[#This Row],[ADD ACC
(475/950)]]*Table24[[#This Row],[Duration
(A359)]]</f>
        <v>0</v>
      </c>
      <c r="R102" s="307">
        <f>IFERROR(VLOOKUP(Table24[[#This Row],[ROUTE]],PRICING!A:B,2,FALSE),0)</f>
        <v>0</v>
      </c>
      <c r="S102" s="308">
        <f>Table24[[#This Row],[C_DEMAND]]-Table24[[#This Row],[R-DEMAND]]</f>
        <v>0</v>
      </c>
      <c r="T102" s="307">
        <f>Table24[[#This Row],[SEATS SOLD]]*Table24[[#This Row],[ECO SEAT]]</f>
        <v>0</v>
      </c>
      <c r="U102" s="307">
        <f>Table24[[#This Row],[SEATS SOLD]]*(IFERROR(VLOOKUP(Table24[[#This Row],[ROUTE]],PRICING!A:C,3,FALSE),0))</f>
        <v>0</v>
      </c>
      <c r="V102" s="307">
        <f>Table24[[#This Row],[SEAT REV]]-Table24[[#This Row],[SEAT REV
(IF IDEAL $)]]</f>
        <v>0</v>
      </c>
    </row>
    <row r="103" spans="1:22" customFormat="1" ht="15.75" customHeight="1" x14ac:dyDescent="0.25">
      <c r="A103" s="306" t="s">
        <v>17156</v>
      </c>
      <c r="B103" s="306" t="s">
        <v>3295</v>
      </c>
      <c r="C103" s="306"/>
      <c r="D103" s="26">
        <v>2</v>
      </c>
      <c r="E103" s="312" t="s">
        <v>3293</v>
      </c>
      <c r="F103" s="306" t="str">
        <f>VLOOKUP(Table24[[#This Row],[Country]],Table10[[COUNTRY NAME]:[CONTINENT CODE]],3,FALSE)</f>
        <v>AF</v>
      </c>
      <c r="G103" s="312" t="s">
        <v>11917</v>
      </c>
      <c r="H103" s="309">
        <v>12159</v>
      </c>
      <c r="I103" s="310">
        <v>28.75</v>
      </c>
      <c r="J103" s="307"/>
      <c r="K103" s="307">
        <f>IFERROR(Table24[[#This Row],[ROUTE COST]]/Table24[[#This Row],[O - DEMAND]],0)</f>
        <v>0</v>
      </c>
      <c r="L103" s="306"/>
      <c r="M103" s="310">
        <f>Table24[[#This Row],[O - DEMAND]]/950</f>
        <v>0</v>
      </c>
      <c r="N103" s="306">
        <f>IFERROR(VLOOKUP(Table24[[#This Row],[ROUTE]],DEMAND!A:F,5,FALSE),0)</f>
        <v>0</v>
      </c>
      <c r="O103" s="306">
        <f>IFERROR(VLOOKUP(Table24[[#This Row],[ROUTE]],DEMAND!A:F,6,FALSE),0)</f>
        <v>0</v>
      </c>
      <c r="P103" s="306">
        <f>ROUNDDOWN(Table24[[#This Row],[R-DEMAND]]/950,0)</f>
        <v>0</v>
      </c>
      <c r="Q103" s="306">
        <f>Table24[[#This Row],[ADD ACC
(475/950)]]*Table24[[#This Row],[Duration
(A359)]]</f>
        <v>0</v>
      </c>
      <c r="R103" s="307">
        <f>IFERROR(VLOOKUP(Table24[[#This Row],[ROUTE]],PRICING!A:B,2,FALSE),0)</f>
        <v>0</v>
      </c>
      <c r="S103" s="308">
        <f>Table24[[#This Row],[C_DEMAND]]-Table24[[#This Row],[R-DEMAND]]</f>
        <v>0</v>
      </c>
      <c r="T103" s="307">
        <f>Table24[[#This Row],[SEATS SOLD]]*Table24[[#This Row],[ECO SEAT]]</f>
        <v>0</v>
      </c>
      <c r="U103" s="307">
        <f>Table24[[#This Row],[SEATS SOLD]]*(IFERROR(VLOOKUP(Table24[[#This Row],[ROUTE]],PRICING!A:C,3,FALSE),0))</f>
        <v>0</v>
      </c>
      <c r="V103" s="307">
        <f>Table24[[#This Row],[SEAT REV]]-Table24[[#This Row],[SEAT REV
(IF IDEAL $)]]</f>
        <v>0</v>
      </c>
    </row>
    <row r="104" spans="1:22" customFormat="1" ht="15.75" customHeight="1" x14ac:dyDescent="0.25">
      <c r="A104" s="306" t="s">
        <v>17600</v>
      </c>
      <c r="B104" s="306" t="s">
        <v>2870</v>
      </c>
      <c r="C104" s="306"/>
      <c r="D104" s="26">
        <v>2</v>
      </c>
      <c r="E104" s="312" t="s">
        <v>78</v>
      </c>
      <c r="F104" s="306" t="str">
        <f>VLOOKUP(Table24[[#This Row],[Country]],Table10[[COUNTRY NAME]:[CONTINENT CODE]],3,FALSE)</f>
        <v>EU</v>
      </c>
      <c r="G104" s="312" t="s">
        <v>11973</v>
      </c>
      <c r="H104" s="309">
        <v>12105</v>
      </c>
      <c r="I104" s="310">
        <v>28.75</v>
      </c>
      <c r="J104" s="307"/>
      <c r="K104" s="307">
        <f>IFERROR(Table24[[#This Row],[ROUTE COST]]/Table24[[#This Row],[O - DEMAND]],0)</f>
        <v>0</v>
      </c>
      <c r="L104" s="306"/>
      <c r="M104" s="310">
        <f>Table24[[#This Row],[O - DEMAND]]/950</f>
        <v>0</v>
      </c>
      <c r="N104" s="306">
        <f>IFERROR(VLOOKUP(Table24[[#This Row],[ROUTE]],DEMAND!A:F,5,FALSE),0)</f>
        <v>0</v>
      </c>
      <c r="O104" s="306">
        <f>IFERROR(VLOOKUP(Table24[[#This Row],[ROUTE]],DEMAND!A:F,6,FALSE),0)</f>
        <v>0</v>
      </c>
      <c r="P104" s="306">
        <f>ROUNDDOWN(Table24[[#This Row],[R-DEMAND]]/950,0)</f>
        <v>0</v>
      </c>
      <c r="Q104" s="306">
        <f>Table24[[#This Row],[ADD ACC
(475/950)]]*Table24[[#This Row],[Duration
(A359)]]</f>
        <v>0</v>
      </c>
      <c r="R104" s="307">
        <f>IFERROR(VLOOKUP(Table24[[#This Row],[ROUTE]],PRICING!A:B,2,FALSE),0)</f>
        <v>0</v>
      </c>
      <c r="S104" s="308">
        <f>Table24[[#This Row],[C_DEMAND]]-Table24[[#This Row],[R-DEMAND]]</f>
        <v>0</v>
      </c>
      <c r="T104" s="307">
        <f>Table24[[#This Row],[SEATS SOLD]]*Table24[[#This Row],[ECO SEAT]]</f>
        <v>0</v>
      </c>
      <c r="U104" s="307">
        <f>Table24[[#This Row],[SEATS SOLD]]*(IFERROR(VLOOKUP(Table24[[#This Row],[ROUTE]],PRICING!A:C,3,FALSE),0))</f>
        <v>0</v>
      </c>
      <c r="V104" s="307">
        <f>Table24[[#This Row],[SEAT REV]]-Table24[[#This Row],[SEAT REV
(IF IDEAL $)]]</f>
        <v>0</v>
      </c>
    </row>
    <row r="105" spans="1:22" customFormat="1" x14ac:dyDescent="0.25">
      <c r="A105" s="306" t="s">
        <v>17598</v>
      </c>
      <c r="B105" s="306" t="s">
        <v>2986</v>
      </c>
      <c r="C105" s="306"/>
      <c r="D105" s="26">
        <v>2</v>
      </c>
      <c r="E105" s="312" t="s">
        <v>78</v>
      </c>
      <c r="F105" s="306" t="str">
        <f>VLOOKUP(Table24[[#This Row],[Country]],Table10[[COUNTRY NAME]:[CONTINENT CODE]],3,FALSE)</f>
        <v>EU</v>
      </c>
      <c r="G105" s="312" t="s">
        <v>11980</v>
      </c>
      <c r="H105" s="309">
        <v>12148</v>
      </c>
      <c r="I105" s="310">
        <v>28.75</v>
      </c>
      <c r="J105" s="307"/>
      <c r="K105" s="307">
        <f>IFERROR(Table24[[#This Row],[ROUTE COST]]/Table24[[#This Row],[O - DEMAND]],0)</f>
        <v>0</v>
      </c>
      <c r="L105" s="306"/>
      <c r="M105" s="310">
        <f>Table24[[#This Row],[O - DEMAND]]/950</f>
        <v>0</v>
      </c>
      <c r="N105" s="306">
        <f>IFERROR(VLOOKUP(Table24[[#This Row],[ROUTE]],DEMAND!A:F,5,FALSE),0)</f>
        <v>0</v>
      </c>
      <c r="O105" s="306">
        <f>IFERROR(VLOOKUP(Table24[[#This Row],[ROUTE]],DEMAND!A:F,6,FALSE),0)</f>
        <v>0</v>
      </c>
      <c r="P105" s="306">
        <f>ROUNDDOWN(Table24[[#This Row],[R-DEMAND]]/950,0)</f>
        <v>0</v>
      </c>
      <c r="Q105" s="306">
        <f>Table24[[#This Row],[ADD ACC
(475/950)]]*Table24[[#This Row],[Duration
(A359)]]</f>
        <v>0</v>
      </c>
      <c r="R105" s="307">
        <f>IFERROR(VLOOKUP(Table24[[#This Row],[ROUTE]],PRICING!A:B,2,FALSE),0)</f>
        <v>0</v>
      </c>
      <c r="S105" s="308">
        <f>Table24[[#This Row],[C_DEMAND]]-Table24[[#This Row],[R-DEMAND]]</f>
        <v>0</v>
      </c>
      <c r="T105" s="307">
        <f>Table24[[#This Row],[SEATS SOLD]]*Table24[[#This Row],[ECO SEAT]]</f>
        <v>0</v>
      </c>
      <c r="U105" s="307">
        <f>Table24[[#This Row],[SEATS SOLD]]*(IFERROR(VLOOKUP(Table24[[#This Row],[ROUTE]],PRICING!A:C,3,FALSE),0))</f>
        <v>0</v>
      </c>
      <c r="V105" s="307">
        <f>Table24[[#This Row],[SEAT REV]]-Table24[[#This Row],[SEAT REV
(IF IDEAL $)]]</f>
        <v>0</v>
      </c>
    </row>
    <row r="106" spans="1:22" customFormat="1" ht="15" customHeight="1" x14ac:dyDescent="0.25">
      <c r="A106" s="306" t="s">
        <v>17599</v>
      </c>
      <c r="B106" s="306" t="s">
        <v>4582</v>
      </c>
      <c r="C106" s="306"/>
      <c r="D106" s="26">
        <v>2</v>
      </c>
      <c r="E106" s="312" t="s">
        <v>78</v>
      </c>
      <c r="F106" s="306" t="str">
        <f>VLOOKUP(Table24[[#This Row],[Country]],Table10[[COUNTRY NAME]:[CONTINENT CODE]],3,FALSE)</f>
        <v>EU</v>
      </c>
      <c r="G106" s="312" t="s">
        <v>9358</v>
      </c>
      <c r="H106" s="309">
        <v>12134</v>
      </c>
      <c r="I106" s="310">
        <v>28.75</v>
      </c>
      <c r="J106" s="307"/>
      <c r="K106" s="307">
        <f>IFERROR(Table24[[#This Row],[ROUTE COST]]/Table24[[#This Row],[O - DEMAND]],0)</f>
        <v>0</v>
      </c>
      <c r="L106" s="306"/>
      <c r="M106" s="310">
        <f>Table24[[#This Row],[O - DEMAND]]/950</f>
        <v>0</v>
      </c>
      <c r="N106" s="306">
        <f>IFERROR(VLOOKUP(Table24[[#This Row],[ROUTE]],DEMAND!A:F,5,FALSE),0)</f>
        <v>0</v>
      </c>
      <c r="O106" s="306">
        <f>IFERROR(VLOOKUP(Table24[[#This Row],[ROUTE]],DEMAND!A:F,6,FALSE),0)</f>
        <v>0</v>
      </c>
      <c r="P106" s="306">
        <f>ROUNDDOWN(Table24[[#This Row],[R-DEMAND]]/950,0)</f>
        <v>0</v>
      </c>
      <c r="Q106" s="306">
        <f>Table24[[#This Row],[ADD ACC
(475/950)]]*Table24[[#This Row],[Duration
(A359)]]</f>
        <v>0</v>
      </c>
      <c r="R106" s="307">
        <f>IFERROR(VLOOKUP(Table24[[#This Row],[ROUTE]],PRICING!A:B,2,FALSE),0)</f>
        <v>0</v>
      </c>
      <c r="S106" s="308">
        <f>Table24[[#This Row],[C_DEMAND]]-Table24[[#This Row],[R-DEMAND]]</f>
        <v>0</v>
      </c>
      <c r="T106" s="307">
        <f>Table24[[#This Row],[SEATS SOLD]]*Table24[[#This Row],[ECO SEAT]]</f>
        <v>0</v>
      </c>
      <c r="U106" s="307">
        <f>Table24[[#This Row],[SEATS SOLD]]*(IFERROR(VLOOKUP(Table24[[#This Row],[ROUTE]],PRICING!A:C,3,FALSE),0))</f>
        <v>0</v>
      </c>
      <c r="V106" s="307">
        <f>Table24[[#This Row],[SEAT REV]]-Table24[[#This Row],[SEAT REV
(IF IDEAL $)]]</f>
        <v>0</v>
      </c>
    </row>
    <row r="107" spans="1:22" customFormat="1" ht="15" customHeight="1" x14ac:dyDescent="0.25">
      <c r="A107" s="306" t="s">
        <v>17601</v>
      </c>
      <c r="B107" s="306" t="s">
        <v>221</v>
      </c>
      <c r="C107" s="306"/>
      <c r="D107" s="26">
        <v>2</v>
      </c>
      <c r="E107" s="312" t="s">
        <v>78</v>
      </c>
      <c r="F107" s="306" t="str">
        <f>VLOOKUP(Table24[[#This Row],[Country]],Table10[[COUNTRY NAME]:[CONTINENT CODE]],3,FALSE)</f>
        <v>EU</v>
      </c>
      <c r="G107" s="312" t="s">
        <v>11970</v>
      </c>
      <c r="H107" s="309">
        <v>12073</v>
      </c>
      <c r="I107" s="310">
        <v>28.75</v>
      </c>
      <c r="J107" s="307"/>
      <c r="K107" s="307">
        <f>IFERROR(Table24[[#This Row],[ROUTE COST]]/Table24[[#This Row],[O - DEMAND]],0)</f>
        <v>0</v>
      </c>
      <c r="L107" s="306"/>
      <c r="M107" s="310">
        <f>Table24[[#This Row],[O - DEMAND]]/950</f>
        <v>0</v>
      </c>
      <c r="N107" s="306">
        <f>IFERROR(VLOOKUP(Table24[[#This Row],[ROUTE]],DEMAND!A:F,5,FALSE),0)</f>
        <v>0</v>
      </c>
      <c r="O107" s="306">
        <f>IFERROR(VLOOKUP(Table24[[#This Row],[ROUTE]],DEMAND!A:F,6,FALSE),0)</f>
        <v>0</v>
      </c>
      <c r="P107" s="306">
        <f>ROUNDDOWN(Table24[[#This Row],[R-DEMAND]]/950,0)</f>
        <v>0</v>
      </c>
      <c r="Q107" s="306">
        <f>Table24[[#This Row],[ADD ACC
(475/950)]]*Table24[[#This Row],[Duration
(A359)]]</f>
        <v>0</v>
      </c>
      <c r="R107" s="307">
        <f>IFERROR(VLOOKUP(Table24[[#This Row],[ROUTE]],PRICING!A:B,2,FALSE),0)</f>
        <v>0</v>
      </c>
      <c r="S107" s="308">
        <f>Table24[[#This Row],[C_DEMAND]]-Table24[[#This Row],[R-DEMAND]]</f>
        <v>0</v>
      </c>
      <c r="T107" s="307">
        <f>Table24[[#This Row],[SEATS SOLD]]*Table24[[#This Row],[ECO SEAT]]</f>
        <v>0</v>
      </c>
      <c r="U107" s="307">
        <f>Table24[[#This Row],[SEATS SOLD]]*(IFERROR(VLOOKUP(Table24[[#This Row],[ROUTE]],PRICING!A:C,3,FALSE),0))</f>
        <v>0</v>
      </c>
      <c r="V107" s="307">
        <f>Table24[[#This Row],[SEAT REV]]-Table24[[#This Row],[SEAT REV
(IF IDEAL $)]]</f>
        <v>0</v>
      </c>
    </row>
    <row r="108" spans="1:22" customFormat="1" ht="15" customHeight="1" x14ac:dyDescent="0.25">
      <c r="A108" s="306" t="s">
        <v>17700</v>
      </c>
      <c r="B108" s="306" t="s">
        <v>8956</v>
      </c>
      <c r="C108" s="306"/>
      <c r="D108" s="26">
        <v>1</v>
      </c>
      <c r="E108" s="312" t="s">
        <v>78</v>
      </c>
      <c r="F108" s="306" t="str">
        <f>VLOOKUP(Table24[[#This Row],[Country]],Table10[[COUNTRY NAME]:[CONTINENT CODE]],3,FALSE)</f>
        <v>EU</v>
      </c>
      <c r="G108" s="312" t="s">
        <v>16851</v>
      </c>
      <c r="H108" s="309">
        <v>12099</v>
      </c>
      <c r="I108" s="310">
        <v>28.75</v>
      </c>
      <c r="J108" s="307"/>
      <c r="K108" s="307">
        <f>IFERROR(Table24[[#This Row],[ROUTE COST]]/Table24[[#This Row],[O - DEMAND]],0)</f>
        <v>0</v>
      </c>
      <c r="L108" s="306"/>
      <c r="M108" s="310">
        <f>Table24[[#This Row],[O - DEMAND]]/950</f>
        <v>0</v>
      </c>
      <c r="N108" s="306">
        <f>IFERROR(VLOOKUP(Table24[[#This Row],[ROUTE]],DEMAND!A:F,5,FALSE),0)</f>
        <v>0</v>
      </c>
      <c r="O108" s="306">
        <f>IFERROR(VLOOKUP(Table24[[#This Row],[ROUTE]],DEMAND!A:F,6,FALSE),0)</f>
        <v>0</v>
      </c>
      <c r="P108" s="306">
        <f>ROUNDDOWN(Table24[[#This Row],[R-DEMAND]]/950,0)</f>
        <v>0</v>
      </c>
      <c r="Q108" s="306">
        <f>Table24[[#This Row],[ADD ACC
(475/950)]]*Table24[[#This Row],[Duration
(A359)]]</f>
        <v>0</v>
      </c>
      <c r="R108" s="307">
        <f>IFERROR(VLOOKUP(Table24[[#This Row],[ROUTE]],PRICING!A:B,2,FALSE),0)</f>
        <v>0</v>
      </c>
      <c r="S108" s="308">
        <f>Table24[[#This Row],[C_DEMAND]]-Table24[[#This Row],[R-DEMAND]]</f>
        <v>0</v>
      </c>
      <c r="T108" s="307">
        <f>Table24[[#This Row],[SEATS SOLD]]*Table24[[#This Row],[ECO SEAT]]</f>
        <v>0</v>
      </c>
      <c r="U108" s="307">
        <f>Table24[[#This Row],[SEATS SOLD]]*(IFERROR(VLOOKUP(Table24[[#This Row],[ROUTE]],PRICING!A:C,3,FALSE),0))</f>
        <v>0</v>
      </c>
      <c r="V108" s="307">
        <f>Table24[[#This Row],[SEAT REV]]-Table24[[#This Row],[SEAT REV
(IF IDEAL $)]]</f>
        <v>0</v>
      </c>
    </row>
    <row r="109" spans="1:22" customFormat="1" ht="15" customHeight="1" x14ac:dyDescent="0.25">
      <c r="A109" s="306" t="s">
        <v>17430</v>
      </c>
      <c r="B109" s="306" t="s">
        <v>1989</v>
      </c>
      <c r="C109" s="306"/>
      <c r="D109" s="26">
        <v>1</v>
      </c>
      <c r="E109" s="312" t="s">
        <v>1289</v>
      </c>
      <c r="F109" s="306" t="str">
        <f>VLOOKUP(Table24[[#This Row],[Country]],Table10[[COUNTRY NAME]:[CONTINENT CODE]],3,FALSE)</f>
        <v>AS</v>
      </c>
      <c r="G109" s="312" t="s">
        <v>11946</v>
      </c>
      <c r="H109" s="309">
        <v>12184</v>
      </c>
      <c r="I109" s="310">
        <v>28.75</v>
      </c>
      <c r="J109" s="307"/>
      <c r="K109" s="307">
        <f>IFERROR(Table24[[#This Row],[ROUTE COST]]/Table24[[#This Row],[O - DEMAND]],0)</f>
        <v>0</v>
      </c>
      <c r="L109" s="306"/>
      <c r="M109" s="310">
        <f>Table24[[#This Row],[O - DEMAND]]/950</f>
        <v>0</v>
      </c>
      <c r="N109" s="306">
        <f>IFERROR(VLOOKUP(Table24[[#This Row],[ROUTE]],DEMAND!A:F,5,FALSE),0)</f>
        <v>0</v>
      </c>
      <c r="O109" s="306">
        <f>IFERROR(VLOOKUP(Table24[[#This Row],[ROUTE]],DEMAND!A:F,6,FALSE),0)</f>
        <v>0</v>
      </c>
      <c r="P109" s="306">
        <f>ROUNDDOWN(Table24[[#This Row],[R-DEMAND]]/950,0)</f>
        <v>0</v>
      </c>
      <c r="Q109" s="306">
        <f>Table24[[#This Row],[ADD ACC
(475/950)]]*Table24[[#This Row],[Duration
(A359)]]</f>
        <v>0</v>
      </c>
      <c r="R109" s="307">
        <f>IFERROR(VLOOKUP(Table24[[#This Row],[ROUTE]],PRICING!A:B,2,FALSE),0)</f>
        <v>0</v>
      </c>
      <c r="S109" s="308">
        <f>Table24[[#This Row],[C_DEMAND]]-Table24[[#This Row],[R-DEMAND]]</f>
        <v>0</v>
      </c>
      <c r="T109" s="307">
        <f>Table24[[#This Row],[SEATS SOLD]]*Table24[[#This Row],[ECO SEAT]]</f>
        <v>0</v>
      </c>
      <c r="U109" s="307">
        <f>Table24[[#This Row],[SEATS SOLD]]*(IFERROR(VLOOKUP(Table24[[#This Row],[ROUTE]],PRICING!A:C,3,FALSE),0))</f>
        <v>0</v>
      </c>
      <c r="V109" s="307">
        <f>Table24[[#This Row],[SEAT REV]]-Table24[[#This Row],[SEAT REV
(IF IDEAL $)]]</f>
        <v>0</v>
      </c>
    </row>
    <row r="110" spans="1:22" customFormat="1" ht="15.75" customHeight="1" x14ac:dyDescent="0.25">
      <c r="A110" s="306" t="s">
        <v>17431</v>
      </c>
      <c r="B110" s="306" t="s">
        <v>1703</v>
      </c>
      <c r="C110" s="306"/>
      <c r="D110" s="26">
        <v>1</v>
      </c>
      <c r="E110" s="312" t="s">
        <v>172</v>
      </c>
      <c r="F110" s="306" t="str">
        <f>VLOOKUP(Table24[[#This Row],[Country]],Table10[[COUNTRY NAME]:[CONTINENT CODE]],3,FALSE)</f>
        <v>AS</v>
      </c>
      <c r="G110" s="312" t="s">
        <v>11952</v>
      </c>
      <c r="H110" s="309">
        <v>12054</v>
      </c>
      <c r="I110" s="310">
        <v>28.5</v>
      </c>
      <c r="J110" s="307"/>
      <c r="K110" s="307">
        <f>IFERROR(Table24[[#This Row],[ROUTE COST]]/Table24[[#This Row],[O - DEMAND]],0)</f>
        <v>0</v>
      </c>
      <c r="L110" s="306"/>
      <c r="M110" s="310">
        <f>Table24[[#This Row],[O - DEMAND]]/950</f>
        <v>0</v>
      </c>
      <c r="N110" s="306">
        <f>IFERROR(VLOOKUP(Table24[[#This Row],[ROUTE]],DEMAND!A:F,5,FALSE),0)</f>
        <v>0</v>
      </c>
      <c r="O110" s="306">
        <f>IFERROR(VLOOKUP(Table24[[#This Row],[ROUTE]],DEMAND!A:F,6,FALSE),0)</f>
        <v>0</v>
      </c>
      <c r="P110" s="306">
        <f>ROUNDDOWN(Table24[[#This Row],[R-DEMAND]]/950,0)</f>
        <v>0</v>
      </c>
      <c r="Q110" s="306">
        <f>Table24[[#This Row],[ADD ACC
(475/950)]]*Table24[[#This Row],[Duration
(A359)]]</f>
        <v>0</v>
      </c>
      <c r="R110" s="307">
        <f>IFERROR(VLOOKUP(Table24[[#This Row],[ROUTE]],PRICING!A:B,2,FALSE),0)</f>
        <v>0</v>
      </c>
      <c r="S110" s="308">
        <f>Table24[[#This Row],[C_DEMAND]]-Table24[[#This Row],[R-DEMAND]]</f>
        <v>0</v>
      </c>
      <c r="T110" s="307">
        <f>Table24[[#This Row],[SEATS SOLD]]*Table24[[#This Row],[ECO SEAT]]</f>
        <v>0</v>
      </c>
      <c r="U110" s="307">
        <f>Table24[[#This Row],[SEATS SOLD]]*(IFERROR(VLOOKUP(Table24[[#This Row],[ROUTE]],PRICING!A:C,3,FALSE),0))</f>
        <v>0</v>
      </c>
      <c r="V110" s="307">
        <f>Table24[[#This Row],[SEAT REV]]-Table24[[#This Row],[SEAT REV
(IF IDEAL $)]]</f>
        <v>0</v>
      </c>
    </row>
    <row r="111" spans="1:22" customFormat="1" ht="15" customHeight="1" x14ac:dyDescent="0.25">
      <c r="A111" s="306" t="s">
        <v>17432</v>
      </c>
      <c r="B111" s="306" t="s">
        <v>1475</v>
      </c>
      <c r="C111" s="306"/>
      <c r="D111" s="26">
        <v>1</v>
      </c>
      <c r="E111" s="312" t="s">
        <v>1289</v>
      </c>
      <c r="F111" s="306" t="str">
        <f>VLOOKUP(Table24[[#This Row],[Country]],Table10[[COUNTRY NAME]:[CONTINENT CODE]],3,FALSE)</f>
        <v>AS</v>
      </c>
      <c r="G111" s="312" t="s">
        <v>11942</v>
      </c>
      <c r="H111" s="309">
        <v>12019</v>
      </c>
      <c r="I111" s="310">
        <v>28.5</v>
      </c>
      <c r="J111" s="307"/>
      <c r="K111" s="307">
        <f>IFERROR(Table24[[#This Row],[ROUTE COST]]/Table24[[#This Row],[O - DEMAND]],0)</f>
        <v>0</v>
      </c>
      <c r="L111" s="306"/>
      <c r="M111" s="310">
        <f>Table24[[#This Row],[O - DEMAND]]/950</f>
        <v>0</v>
      </c>
      <c r="N111" s="306">
        <f>IFERROR(VLOOKUP(Table24[[#This Row],[ROUTE]],DEMAND!A:F,5,FALSE),0)</f>
        <v>0</v>
      </c>
      <c r="O111" s="306">
        <f>IFERROR(VLOOKUP(Table24[[#This Row],[ROUTE]],DEMAND!A:F,6,FALSE),0)</f>
        <v>0</v>
      </c>
      <c r="P111" s="306">
        <f>ROUNDDOWN(Table24[[#This Row],[R-DEMAND]]/950,0)</f>
        <v>0</v>
      </c>
      <c r="Q111" s="306">
        <f>Table24[[#This Row],[ADD ACC
(475/950)]]*Table24[[#This Row],[Duration
(A359)]]</f>
        <v>0</v>
      </c>
      <c r="R111" s="307">
        <f>IFERROR(VLOOKUP(Table24[[#This Row],[ROUTE]],PRICING!A:B,2,FALSE),0)</f>
        <v>0</v>
      </c>
      <c r="S111" s="308">
        <f>Table24[[#This Row],[C_DEMAND]]-Table24[[#This Row],[R-DEMAND]]</f>
        <v>0</v>
      </c>
      <c r="T111" s="307">
        <f>Table24[[#This Row],[SEATS SOLD]]*Table24[[#This Row],[ECO SEAT]]</f>
        <v>0</v>
      </c>
      <c r="U111" s="307">
        <f>Table24[[#This Row],[SEATS SOLD]]*(IFERROR(VLOOKUP(Table24[[#This Row],[ROUTE]],PRICING!A:C,3,FALSE),0))</f>
        <v>0</v>
      </c>
      <c r="V111" s="307">
        <f>Table24[[#This Row],[SEAT REV]]-Table24[[#This Row],[SEAT REV
(IF IDEAL $)]]</f>
        <v>0</v>
      </c>
    </row>
    <row r="112" spans="1:22" customFormat="1" ht="15" customHeight="1" x14ac:dyDescent="0.25">
      <c r="A112" s="306" t="s">
        <v>17602</v>
      </c>
      <c r="B112" s="306" t="s">
        <v>4181</v>
      </c>
      <c r="C112" s="306"/>
      <c r="D112" s="26">
        <v>2</v>
      </c>
      <c r="E112" s="312" t="s">
        <v>78</v>
      </c>
      <c r="F112" s="306" t="str">
        <f>VLOOKUP(Table24[[#This Row],[Country]],Table10[[COUNTRY NAME]:[CONTINENT CODE]],3,FALSE)</f>
        <v>EU</v>
      </c>
      <c r="G112" s="312" t="s">
        <v>11962</v>
      </c>
      <c r="H112" s="309">
        <v>11938</v>
      </c>
      <c r="I112" s="310">
        <v>28.25</v>
      </c>
      <c r="J112" s="307"/>
      <c r="K112" s="307">
        <f>IFERROR(Table24[[#This Row],[ROUTE COST]]/Table24[[#This Row],[O - DEMAND]],0)</f>
        <v>0</v>
      </c>
      <c r="L112" s="306"/>
      <c r="M112" s="310">
        <f>Table24[[#This Row],[O - DEMAND]]/950</f>
        <v>0</v>
      </c>
      <c r="N112" s="306">
        <f>IFERROR(VLOOKUP(Table24[[#This Row],[ROUTE]],DEMAND!A:F,5,FALSE),0)</f>
        <v>0</v>
      </c>
      <c r="O112" s="306">
        <f>IFERROR(VLOOKUP(Table24[[#This Row],[ROUTE]],DEMAND!A:F,6,FALSE),0)</f>
        <v>0</v>
      </c>
      <c r="P112" s="306">
        <f>ROUNDDOWN(Table24[[#This Row],[R-DEMAND]]/950,0)</f>
        <v>0</v>
      </c>
      <c r="Q112" s="306">
        <f>Table24[[#This Row],[ADD ACC
(475/950)]]*Table24[[#This Row],[Duration
(A359)]]</f>
        <v>0</v>
      </c>
      <c r="R112" s="307">
        <f>IFERROR(VLOOKUP(Table24[[#This Row],[ROUTE]],PRICING!A:B,2,FALSE),0)</f>
        <v>0</v>
      </c>
      <c r="S112" s="308">
        <f>Table24[[#This Row],[C_DEMAND]]-Table24[[#This Row],[R-DEMAND]]</f>
        <v>0</v>
      </c>
      <c r="T112" s="307">
        <f>Table24[[#This Row],[SEATS SOLD]]*Table24[[#This Row],[ECO SEAT]]</f>
        <v>0</v>
      </c>
      <c r="U112" s="307">
        <f>Table24[[#This Row],[SEATS SOLD]]*(IFERROR(VLOOKUP(Table24[[#This Row],[ROUTE]],PRICING!A:C,3,FALSE),0))</f>
        <v>0</v>
      </c>
      <c r="V112" s="307">
        <f>Table24[[#This Row],[SEAT REV]]-Table24[[#This Row],[SEAT REV
(IF IDEAL $)]]</f>
        <v>0</v>
      </c>
    </row>
    <row r="113" spans="1:22" customFormat="1" ht="15" customHeight="1" x14ac:dyDescent="0.25">
      <c r="A113" s="306" t="s">
        <v>17370</v>
      </c>
      <c r="B113" s="306" t="s">
        <v>2653</v>
      </c>
      <c r="C113" s="306"/>
      <c r="D113" s="26">
        <v>2</v>
      </c>
      <c r="E113" s="312" t="s">
        <v>172</v>
      </c>
      <c r="F113" s="306" t="str">
        <f>VLOOKUP(Table24[[#This Row],[Country]],Table10[[COUNTRY NAME]:[CONTINENT CODE]],3,FALSE)</f>
        <v>AS</v>
      </c>
      <c r="G113" s="312" t="s">
        <v>11943</v>
      </c>
      <c r="H113" s="309">
        <v>11940</v>
      </c>
      <c r="I113" s="310">
        <v>28.25</v>
      </c>
      <c r="J113" s="307"/>
      <c r="K113" s="307">
        <f>IFERROR(Table24[[#This Row],[ROUTE COST]]/Table24[[#This Row],[O - DEMAND]],0)</f>
        <v>0</v>
      </c>
      <c r="L113" s="306"/>
      <c r="M113" s="310">
        <f>Table24[[#This Row],[O - DEMAND]]/950</f>
        <v>0</v>
      </c>
      <c r="N113" s="306">
        <f>IFERROR(VLOOKUP(Table24[[#This Row],[ROUTE]],DEMAND!A:F,5,FALSE),0)</f>
        <v>0</v>
      </c>
      <c r="O113" s="306">
        <f>IFERROR(VLOOKUP(Table24[[#This Row],[ROUTE]],DEMAND!A:F,6,FALSE),0)</f>
        <v>0</v>
      </c>
      <c r="P113" s="306">
        <f>ROUNDDOWN(Table24[[#This Row],[R-DEMAND]]/950,0)</f>
        <v>0</v>
      </c>
      <c r="Q113" s="306">
        <f>Table24[[#This Row],[ADD ACC
(475/950)]]*Table24[[#This Row],[Duration
(A359)]]</f>
        <v>0</v>
      </c>
      <c r="R113" s="307">
        <f>IFERROR(VLOOKUP(Table24[[#This Row],[ROUTE]],PRICING!A:B,2,FALSE),0)</f>
        <v>0</v>
      </c>
      <c r="S113" s="308">
        <f>Table24[[#This Row],[C_DEMAND]]-Table24[[#This Row],[R-DEMAND]]</f>
        <v>0</v>
      </c>
      <c r="T113" s="307">
        <f>Table24[[#This Row],[SEATS SOLD]]*Table24[[#This Row],[ECO SEAT]]</f>
        <v>0</v>
      </c>
      <c r="U113" s="307">
        <f>Table24[[#This Row],[SEATS SOLD]]*(IFERROR(VLOOKUP(Table24[[#This Row],[ROUTE]],PRICING!A:C,3,FALSE),0))</f>
        <v>0</v>
      </c>
      <c r="V113" s="307">
        <f>Table24[[#This Row],[SEAT REV]]-Table24[[#This Row],[SEAT REV
(IF IDEAL $)]]</f>
        <v>0</v>
      </c>
    </row>
    <row r="114" spans="1:22" customFormat="1" ht="15.75" customHeight="1" x14ac:dyDescent="0.25">
      <c r="A114" s="306" t="s">
        <v>17371</v>
      </c>
      <c r="B114" s="306" t="s">
        <v>4499</v>
      </c>
      <c r="C114" s="306"/>
      <c r="D114" s="26">
        <v>2</v>
      </c>
      <c r="E114" s="312" t="s">
        <v>4497</v>
      </c>
      <c r="F114" s="306" t="str">
        <f>VLOOKUP(Table24[[#This Row],[Country]],Table10[[COUNTRY NAME]:[CONTINENT CODE]],3,FALSE)</f>
        <v>AS</v>
      </c>
      <c r="G114" s="312" t="s">
        <v>11958</v>
      </c>
      <c r="H114" s="309">
        <v>11889</v>
      </c>
      <c r="I114" s="310">
        <v>28.25</v>
      </c>
      <c r="J114" s="307"/>
      <c r="K114" s="307">
        <f>IFERROR(Table24[[#This Row],[ROUTE COST]]/Table24[[#This Row],[O - DEMAND]],0)</f>
        <v>0</v>
      </c>
      <c r="L114" s="306"/>
      <c r="M114" s="310">
        <f>Table24[[#This Row],[O - DEMAND]]/950</f>
        <v>0</v>
      </c>
      <c r="N114" s="306">
        <f>IFERROR(VLOOKUP(Table24[[#This Row],[ROUTE]],DEMAND!A:F,5,FALSE),0)</f>
        <v>0</v>
      </c>
      <c r="O114" s="306">
        <f>IFERROR(VLOOKUP(Table24[[#This Row],[ROUTE]],DEMAND!A:F,6,FALSE),0)</f>
        <v>0</v>
      </c>
      <c r="P114" s="306">
        <f>ROUNDDOWN(Table24[[#This Row],[R-DEMAND]]/950,0)</f>
        <v>0</v>
      </c>
      <c r="Q114" s="306">
        <f>Table24[[#This Row],[ADD ACC
(475/950)]]*Table24[[#This Row],[Duration
(A359)]]</f>
        <v>0</v>
      </c>
      <c r="R114" s="307">
        <f>IFERROR(VLOOKUP(Table24[[#This Row],[ROUTE]],PRICING!A:B,2,FALSE),0)</f>
        <v>0</v>
      </c>
      <c r="S114" s="308">
        <f>Table24[[#This Row],[C_DEMAND]]-Table24[[#This Row],[R-DEMAND]]</f>
        <v>0</v>
      </c>
      <c r="T114" s="307">
        <f>Table24[[#This Row],[SEATS SOLD]]*Table24[[#This Row],[ECO SEAT]]</f>
        <v>0</v>
      </c>
      <c r="U114" s="307">
        <f>Table24[[#This Row],[SEATS SOLD]]*(IFERROR(VLOOKUP(Table24[[#This Row],[ROUTE]],PRICING!A:C,3,FALSE),0))</f>
        <v>0</v>
      </c>
      <c r="V114" s="307">
        <f>Table24[[#This Row],[SEAT REV]]-Table24[[#This Row],[SEAT REV
(IF IDEAL $)]]</f>
        <v>0</v>
      </c>
    </row>
    <row r="115" spans="1:22" customFormat="1" ht="15" customHeight="1" x14ac:dyDescent="0.25">
      <c r="A115" s="306" t="s">
        <v>17152</v>
      </c>
      <c r="B115" s="306" t="s">
        <v>2106</v>
      </c>
      <c r="C115" s="306"/>
      <c r="D115" s="26">
        <v>1</v>
      </c>
      <c r="E115" s="312" t="s">
        <v>2104</v>
      </c>
      <c r="F115" s="306" t="str">
        <f>VLOOKUP(Table24[[#This Row],[Country]],Table10[[COUNTRY NAME]:[CONTINENT CODE]],3,FALSE)</f>
        <v>AF</v>
      </c>
      <c r="G115" s="312" t="s">
        <v>11881</v>
      </c>
      <c r="H115" s="309">
        <v>11937</v>
      </c>
      <c r="I115" s="310">
        <v>28.25</v>
      </c>
      <c r="J115" s="307"/>
      <c r="K115" s="307">
        <f>IFERROR(Table24[[#This Row],[ROUTE COST]]/Table24[[#This Row],[O - DEMAND]],0)</f>
        <v>0</v>
      </c>
      <c r="L115" s="306"/>
      <c r="M115" s="310">
        <f>Table24[[#This Row],[O - DEMAND]]/950</f>
        <v>0</v>
      </c>
      <c r="N115" s="306">
        <f>IFERROR(VLOOKUP(Table24[[#This Row],[ROUTE]],DEMAND!A:F,5,FALSE),0)</f>
        <v>0</v>
      </c>
      <c r="O115" s="306">
        <f>IFERROR(VLOOKUP(Table24[[#This Row],[ROUTE]],DEMAND!A:F,6,FALSE),0)</f>
        <v>0</v>
      </c>
      <c r="P115" s="306">
        <f>ROUNDDOWN(Table24[[#This Row],[R-DEMAND]]/950,0)</f>
        <v>0</v>
      </c>
      <c r="Q115" s="306">
        <f>Table24[[#This Row],[ADD ACC
(475/950)]]*Table24[[#This Row],[Duration
(A359)]]</f>
        <v>0</v>
      </c>
      <c r="R115" s="307">
        <f>IFERROR(VLOOKUP(Table24[[#This Row],[ROUTE]],PRICING!A:B,2,FALSE),0)</f>
        <v>0</v>
      </c>
      <c r="S115" s="308">
        <f>Table24[[#This Row],[C_DEMAND]]-Table24[[#This Row],[R-DEMAND]]</f>
        <v>0</v>
      </c>
      <c r="T115" s="307">
        <f>Table24[[#This Row],[SEATS SOLD]]*Table24[[#This Row],[ECO SEAT]]</f>
        <v>0</v>
      </c>
      <c r="U115" s="307">
        <f>Table24[[#This Row],[SEATS SOLD]]*(IFERROR(VLOOKUP(Table24[[#This Row],[ROUTE]],PRICING!A:C,3,FALSE),0))</f>
        <v>0</v>
      </c>
      <c r="V115" s="307">
        <f>Table24[[#This Row],[SEAT REV]]-Table24[[#This Row],[SEAT REV
(IF IDEAL $)]]</f>
        <v>0</v>
      </c>
    </row>
    <row r="116" spans="1:22" customFormat="1" ht="15" customHeight="1" x14ac:dyDescent="0.25">
      <c r="A116" s="306" t="s">
        <v>17701</v>
      </c>
      <c r="B116" s="306" t="s">
        <v>1335</v>
      </c>
      <c r="C116" s="306"/>
      <c r="D116" s="26">
        <v>1</v>
      </c>
      <c r="E116" s="312" t="s">
        <v>588</v>
      </c>
      <c r="F116" s="306" t="str">
        <f>VLOOKUP(Table24[[#This Row],[Country]],Table10[[COUNTRY NAME]:[CONTINENT CODE]],3,FALSE)</f>
        <v>EU</v>
      </c>
      <c r="G116" s="312" t="s">
        <v>11966</v>
      </c>
      <c r="H116" s="309">
        <v>11893</v>
      </c>
      <c r="I116" s="310">
        <v>28.25</v>
      </c>
      <c r="J116" s="307"/>
      <c r="K116" s="307">
        <f>IFERROR(Table24[[#This Row],[ROUTE COST]]/Table24[[#This Row],[O - DEMAND]],0)</f>
        <v>0</v>
      </c>
      <c r="L116" s="306"/>
      <c r="M116" s="310">
        <f>Table24[[#This Row],[O - DEMAND]]/950</f>
        <v>0</v>
      </c>
      <c r="N116" s="306">
        <f>IFERROR(VLOOKUP(Table24[[#This Row],[ROUTE]],DEMAND!A:F,5,FALSE),0)</f>
        <v>0</v>
      </c>
      <c r="O116" s="306">
        <f>IFERROR(VLOOKUP(Table24[[#This Row],[ROUTE]],DEMAND!A:F,6,FALSE),0)</f>
        <v>0</v>
      </c>
      <c r="P116" s="306">
        <f>ROUNDDOWN(Table24[[#This Row],[R-DEMAND]]/950,0)</f>
        <v>0</v>
      </c>
      <c r="Q116" s="306">
        <f>Table24[[#This Row],[ADD ACC
(475/950)]]*Table24[[#This Row],[Duration
(A359)]]</f>
        <v>0</v>
      </c>
      <c r="R116" s="307">
        <f>IFERROR(VLOOKUP(Table24[[#This Row],[ROUTE]],PRICING!A:B,2,FALSE),0)</f>
        <v>0</v>
      </c>
      <c r="S116" s="308">
        <f>Table24[[#This Row],[C_DEMAND]]-Table24[[#This Row],[R-DEMAND]]</f>
        <v>0</v>
      </c>
      <c r="T116" s="307">
        <f>Table24[[#This Row],[SEATS SOLD]]*Table24[[#This Row],[ECO SEAT]]</f>
        <v>0</v>
      </c>
      <c r="U116" s="307">
        <f>Table24[[#This Row],[SEATS SOLD]]*(IFERROR(VLOOKUP(Table24[[#This Row],[ROUTE]],PRICING!A:C,3,FALSE),0))</f>
        <v>0</v>
      </c>
      <c r="V116" s="307">
        <f>Table24[[#This Row],[SEAT REV]]-Table24[[#This Row],[SEAT REV
(IF IDEAL $)]]</f>
        <v>0</v>
      </c>
    </row>
    <row r="117" spans="1:22" customFormat="1" ht="15" customHeight="1" x14ac:dyDescent="0.25">
      <c r="A117" s="306" t="s">
        <v>17196</v>
      </c>
      <c r="B117" s="306" t="s">
        <v>2533</v>
      </c>
      <c r="C117" s="306"/>
      <c r="D117" s="26">
        <v>2</v>
      </c>
      <c r="E117" s="312" t="s">
        <v>542</v>
      </c>
      <c r="F117" s="306" t="str">
        <f>VLOOKUP(Table24[[#This Row],[Country]],Table10[[COUNTRY NAME]:[CONTINENT CODE]],3,FALSE)</f>
        <v>AF</v>
      </c>
      <c r="G117" s="312" t="s">
        <v>16855</v>
      </c>
      <c r="H117" s="309">
        <v>11803</v>
      </c>
      <c r="I117" s="310">
        <v>28</v>
      </c>
      <c r="J117" s="307"/>
      <c r="K117" s="307">
        <f>IFERROR(Table24[[#This Row],[ROUTE COST]]/Table24[[#This Row],[O - DEMAND]],0)</f>
        <v>0</v>
      </c>
      <c r="L117" s="306"/>
      <c r="M117" s="310">
        <f>Table24[[#This Row],[O - DEMAND]]/950</f>
        <v>0</v>
      </c>
      <c r="N117" s="306">
        <f>IFERROR(VLOOKUP(Table24[[#This Row],[ROUTE]],DEMAND!A:F,5,FALSE),0)</f>
        <v>0</v>
      </c>
      <c r="O117" s="306">
        <f>IFERROR(VLOOKUP(Table24[[#This Row],[ROUTE]],DEMAND!A:F,6,FALSE),0)</f>
        <v>0</v>
      </c>
      <c r="P117" s="306">
        <f>ROUNDDOWN(Table24[[#This Row],[R-DEMAND]]/950,0)</f>
        <v>0</v>
      </c>
      <c r="Q117" s="306">
        <f>Table24[[#This Row],[ADD ACC
(475/950)]]*Table24[[#This Row],[Duration
(A359)]]</f>
        <v>0</v>
      </c>
      <c r="R117" s="307">
        <f>IFERROR(VLOOKUP(Table24[[#This Row],[ROUTE]],PRICING!A:B,2,FALSE),0)</f>
        <v>0</v>
      </c>
      <c r="S117" s="308">
        <f>Table24[[#This Row],[C_DEMAND]]-Table24[[#This Row],[R-DEMAND]]</f>
        <v>0</v>
      </c>
      <c r="T117" s="307">
        <f>Table24[[#This Row],[SEATS SOLD]]*Table24[[#This Row],[ECO SEAT]]</f>
        <v>0</v>
      </c>
      <c r="U117" s="307">
        <f>Table24[[#This Row],[SEATS SOLD]]*(IFERROR(VLOOKUP(Table24[[#This Row],[ROUTE]],PRICING!A:C,3,FALSE),0))</f>
        <v>0</v>
      </c>
      <c r="V117" s="307">
        <f>Table24[[#This Row],[SEAT REV]]-Table24[[#This Row],[SEAT REV
(IF IDEAL $)]]</f>
        <v>0</v>
      </c>
    </row>
    <row r="118" spans="1:22" customFormat="1" ht="15" customHeight="1" x14ac:dyDescent="0.25">
      <c r="A118" s="306" t="s">
        <v>17702</v>
      </c>
      <c r="B118" s="306" t="s">
        <v>2268</v>
      </c>
      <c r="C118" s="306"/>
      <c r="D118" s="26">
        <v>1</v>
      </c>
      <c r="E118" s="312" t="s">
        <v>78</v>
      </c>
      <c r="F118" s="306" t="str">
        <f>VLOOKUP(Table24[[#This Row],[Country]],Table10[[COUNTRY NAME]:[CONTINENT CODE]],3,FALSE)</f>
        <v>EU</v>
      </c>
      <c r="G118" s="312" t="s">
        <v>11013</v>
      </c>
      <c r="H118" s="309">
        <v>11826</v>
      </c>
      <c r="I118" s="310">
        <v>28</v>
      </c>
      <c r="J118" s="307"/>
      <c r="K118" s="307">
        <f>IFERROR(Table24[[#This Row],[ROUTE COST]]/Table24[[#This Row],[O - DEMAND]],0)</f>
        <v>0</v>
      </c>
      <c r="L118" s="306"/>
      <c r="M118" s="310">
        <f>Table24[[#This Row],[O - DEMAND]]/950</f>
        <v>0</v>
      </c>
      <c r="N118" s="306">
        <f>IFERROR(VLOOKUP(Table24[[#This Row],[ROUTE]],DEMAND!A:F,5,FALSE),0)</f>
        <v>0</v>
      </c>
      <c r="O118" s="306">
        <f>IFERROR(VLOOKUP(Table24[[#This Row],[ROUTE]],DEMAND!A:F,6,FALSE),0)</f>
        <v>0</v>
      </c>
      <c r="P118" s="306">
        <f>ROUNDDOWN(Table24[[#This Row],[R-DEMAND]]/950,0)</f>
        <v>0</v>
      </c>
      <c r="Q118" s="306">
        <f>Table24[[#This Row],[ADD ACC
(475/950)]]*Table24[[#This Row],[Duration
(A359)]]</f>
        <v>0</v>
      </c>
      <c r="R118" s="307">
        <f>IFERROR(VLOOKUP(Table24[[#This Row],[ROUTE]],PRICING!A:B,2,FALSE),0)</f>
        <v>0</v>
      </c>
      <c r="S118" s="308">
        <f>Table24[[#This Row],[C_DEMAND]]-Table24[[#This Row],[R-DEMAND]]</f>
        <v>0</v>
      </c>
      <c r="T118" s="307">
        <f>Table24[[#This Row],[SEATS SOLD]]*Table24[[#This Row],[ECO SEAT]]</f>
        <v>0</v>
      </c>
      <c r="U118" s="307">
        <f>Table24[[#This Row],[SEATS SOLD]]*(IFERROR(VLOOKUP(Table24[[#This Row],[ROUTE]],PRICING!A:C,3,FALSE),0))</f>
        <v>0</v>
      </c>
      <c r="V118" s="307">
        <f>Table24[[#This Row],[SEAT REV]]-Table24[[#This Row],[SEAT REV
(IF IDEAL $)]]</f>
        <v>0</v>
      </c>
    </row>
    <row r="119" spans="1:22" customFormat="1" ht="15.75" customHeight="1" x14ac:dyDescent="0.25">
      <c r="A119" s="306" t="s">
        <v>17195</v>
      </c>
      <c r="B119" s="306" t="s">
        <v>190</v>
      </c>
      <c r="C119" s="306"/>
      <c r="D119" s="26">
        <v>2</v>
      </c>
      <c r="E119" s="312" t="s">
        <v>1323</v>
      </c>
      <c r="F119" s="306" t="str">
        <f>VLOOKUP(Table24[[#This Row],[Country]],Table10[[COUNTRY NAME]:[CONTINENT CODE]],3,FALSE)</f>
        <v>AF</v>
      </c>
      <c r="G119" s="312" t="s">
        <v>11893</v>
      </c>
      <c r="H119" s="309">
        <v>11651</v>
      </c>
      <c r="I119" s="310">
        <v>27.75</v>
      </c>
      <c r="J119" s="307"/>
      <c r="K119" s="307">
        <f>IFERROR(Table24[[#This Row],[ROUTE COST]]/Table24[[#This Row],[O - DEMAND]],0)</f>
        <v>0</v>
      </c>
      <c r="L119" s="306"/>
      <c r="M119" s="310">
        <f>Table24[[#This Row],[O - DEMAND]]/950</f>
        <v>0</v>
      </c>
      <c r="N119" s="306">
        <f>IFERROR(VLOOKUP(Table24[[#This Row],[ROUTE]],DEMAND!A:F,5,FALSE),0)</f>
        <v>0</v>
      </c>
      <c r="O119" s="306">
        <f>IFERROR(VLOOKUP(Table24[[#This Row],[ROUTE]],DEMAND!A:F,6,FALSE),0)</f>
        <v>0</v>
      </c>
      <c r="P119" s="306">
        <f>ROUNDDOWN(Table24[[#This Row],[R-DEMAND]]/950,0)</f>
        <v>0</v>
      </c>
      <c r="Q119" s="306">
        <f>Table24[[#This Row],[ADD ACC
(475/950)]]*Table24[[#This Row],[Duration
(A359)]]</f>
        <v>0</v>
      </c>
      <c r="R119" s="307">
        <f>IFERROR(VLOOKUP(Table24[[#This Row],[ROUTE]],PRICING!A:B,2,FALSE),0)</f>
        <v>0</v>
      </c>
      <c r="S119" s="308">
        <f>Table24[[#This Row],[C_DEMAND]]-Table24[[#This Row],[R-DEMAND]]</f>
        <v>0</v>
      </c>
      <c r="T119" s="307">
        <f>Table24[[#This Row],[SEATS SOLD]]*Table24[[#This Row],[ECO SEAT]]</f>
        <v>0</v>
      </c>
      <c r="U119" s="307">
        <f>Table24[[#This Row],[SEATS SOLD]]*(IFERROR(VLOOKUP(Table24[[#This Row],[ROUTE]],PRICING!A:C,3,FALSE),0))</f>
        <v>0</v>
      </c>
      <c r="V119" s="307">
        <f>Table24[[#This Row],[SEAT REV]]-Table24[[#This Row],[SEAT REV
(IF IDEAL $)]]</f>
        <v>0</v>
      </c>
    </row>
    <row r="120" spans="1:22" customFormat="1" ht="15" customHeight="1" x14ac:dyDescent="0.25">
      <c r="A120" s="306" t="s">
        <v>17184</v>
      </c>
      <c r="B120" s="306" t="s">
        <v>3329</v>
      </c>
      <c r="C120" s="306"/>
      <c r="D120" s="26">
        <v>2</v>
      </c>
      <c r="E120" s="312" t="s">
        <v>1516</v>
      </c>
      <c r="F120" s="306" t="str">
        <f>VLOOKUP(Table24[[#This Row],[Country]],Table10[[COUNTRY NAME]:[CONTINENT CODE]],3,FALSE)</f>
        <v>AF</v>
      </c>
      <c r="G120" s="312" t="s">
        <v>8355</v>
      </c>
      <c r="H120" s="309">
        <v>11701</v>
      </c>
      <c r="I120" s="310">
        <v>27.75</v>
      </c>
      <c r="J120" s="307"/>
      <c r="K120" s="307">
        <f>IFERROR(Table24[[#This Row],[ROUTE COST]]/Table24[[#This Row],[O - DEMAND]],0)</f>
        <v>0</v>
      </c>
      <c r="L120" s="306"/>
      <c r="M120" s="310">
        <f>Table24[[#This Row],[O - DEMAND]]/950</f>
        <v>0</v>
      </c>
      <c r="N120" s="306">
        <f>IFERROR(VLOOKUP(Table24[[#This Row],[ROUTE]],DEMAND!A:F,5,FALSE),0)</f>
        <v>0</v>
      </c>
      <c r="O120" s="306">
        <f>IFERROR(VLOOKUP(Table24[[#This Row],[ROUTE]],DEMAND!A:F,6,FALSE),0)</f>
        <v>0</v>
      </c>
      <c r="P120" s="306">
        <f>ROUNDDOWN(Table24[[#This Row],[R-DEMAND]]/950,0)</f>
        <v>0</v>
      </c>
      <c r="Q120" s="306">
        <f>Table24[[#This Row],[ADD ACC
(475/950)]]*Table24[[#This Row],[Duration
(A359)]]</f>
        <v>0</v>
      </c>
      <c r="R120" s="307">
        <f>IFERROR(VLOOKUP(Table24[[#This Row],[ROUTE]],PRICING!A:B,2,FALSE),0)</f>
        <v>0</v>
      </c>
      <c r="S120" s="308">
        <f>Table24[[#This Row],[C_DEMAND]]-Table24[[#This Row],[R-DEMAND]]</f>
        <v>0</v>
      </c>
      <c r="T120" s="307">
        <f>Table24[[#This Row],[SEATS SOLD]]*Table24[[#This Row],[ECO SEAT]]</f>
        <v>0</v>
      </c>
      <c r="U120" s="307">
        <f>Table24[[#This Row],[SEATS SOLD]]*(IFERROR(VLOOKUP(Table24[[#This Row],[ROUTE]],PRICING!A:C,3,FALSE),0))</f>
        <v>0</v>
      </c>
      <c r="V120" s="307">
        <f>Table24[[#This Row],[SEAT REV]]-Table24[[#This Row],[SEAT REV
(IF IDEAL $)]]</f>
        <v>0</v>
      </c>
    </row>
    <row r="121" spans="1:22" customFormat="1" ht="15" customHeight="1" x14ac:dyDescent="0.25">
      <c r="A121" s="306" t="s">
        <v>17374</v>
      </c>
      <c r="B121" s="306" t="s">
        <v>3497</v>
      </c>
      <c r="C121" s="306"/>
      <c r="D121" s="26">
        <v>2</v>
      </c>
      <c r="E121" s="312" t="s">
        <v>172</v>
      </c>
      <c r="F121" s="306" t="str">
        <f>VLOOKUP(Table24[[#This Row],[Country]],Table10[[COUNTRY NAME]:[CONTINENT CODE]],3,FALSE)</f>
        <v>AS</v>
      </c>
      <c r="G121" s="312" t="s">
        <v>11931</v>
      </c>
      <c r="H121" s="309">
        <v>11620</v>
      </c>
      <c r="I121" s="310">
        <v>27.75</v>
      </c>
      <c r="J121" s="307"/>
      <c r="K121" s="307">
        <f>IFERROR(Table24[[#This Row],[ROUTE COST]]/Table24[[#This Row],[O - DEMAND]],0)</f>
        <v>0</v>
      </c>
      <c r="L121" s="306"/>
      <c r="M121" s="310">
        <f>Table24[[#This Row],[O - DEMAND]]/950</f>
        <v>0</v>
      </c>
      <c r="N121" s="306">
        <f>IFERROR(VLOOKUP(Table24[[#This Row],[ROUTE]],DEMAND!A:F,5,FALSE),0)</f>
        <v>0</v>
      </c>
      <c r="O121" s="306">
        <f>IFERROR(VLOOKUP(Table24[[#This Row],[ROUTE]],DEMAND!A:F,6,FALSE),0)</f>
        <v>0</v>
      </c>
      <c r="P121" s="306">
        <f>ROUNDDOWN(Table24[[#This Row],[R-DEMAND]]/950,0)</f>
        <v>0</v>
      </c>
      <c r="Q121" s="306">
        <f>Table24[[#This Row],[ADD ACC
(475/950)]]*Table24[[#This Row],[Duration
(A359)]]</f>
        <v>0</v>
      </c>
      <c r="R121" s="307">
        <f>IFERROR(VLOOKUP(Table24[[#This Row],[ROUTE]],PRICING!A:B,2,FALSE),0)</f>
        <v>0</v>
      </c>
      <c r="S121" s="308">
        <f>Table24[[#This Row],[C_DEMAND]]-Table24[[#This Row],[R-DEMAND]]</f>
        <v>0</v>
      </c>
      <c r="T121" s="307">
        <f>Table24[[#This Row],[SEATS SOLD]]*Table24[[#This Row],[ECO SEAT]]</f>
        <v>0</v>
      </c>
      <c r="U121" s="307">
        <f>Table24[[#This Row],[SEATS SOLD]]*(IFERROR(VLOOKUP(Table24[[#This Row],[ROUTE]],PRICING!A:C,3,FALSE),0))</f>
        <v>0</v>
      </c>
      <c r="V121" s="307">
        <f>Table24[[#This Row],[SEAT REV]]-Table24[[#This Row],[SEAT REV
(IF IDEAL $)]]</f>
        <v>0</v>
      </c>
    </row>
    <row r="122" spans="1:22" customFormat="1" ht="15.75" customHeight="1" x14ac:dyDescent="0.25">
      <c r="A122" s="306" t="s">
        <v>17373</v>
      </c>
      <c r="B122" s="306" t="s">
        <v>3469</v>
      </c>
      <c r="C122" s="306"/>
      <c r="D122" s="26">
        <v>2</v>
      </c>
      <c r="E122" s="312" t="s">
        <v>172</v>
      </c>
      <c r="F122" s="306" t="str">
        <f>VLOOKUP(Table24[[#This Row],[Country]],Table10[[COUNTRY NAME]:[CONTINENT CODE]],3,FALSE)</f>
        <v>AS</v>
      </c>
      <c r="G122" s="312" t="s">
        <v>10659</v>
      </c>
      <c r="H122" s="309">
        <v>11728</v>
      </c>
      <c r="I122" s="310">
        <v>27.75</v>
      </c>
      <c r="J122" s="307"/>
      <c r="K122" s="307">
        <f>IFERROR(Table24[[#This Row],[ROUTE COST]]/Table24[[#This Row],[O - DEMAND]],0)</f>
        <v>0</v>
      </c>
      <c r="L122" s="306"/>
      <c r="M122" s="310">
        <f>Table24[[#This Row],[O - DEMAND]]/950</f>
        <v>0</v>
      </c>
      <c r="N122" s="306">
        <f>IFERROR(VLOOKUP(Table24[[#This Row],[ROUTE]],DEMAND!A:F,5,FALSE),0)</f>
        <v>0</v>
      </c>
      <c r="O122" s="306">
        <f>IFERROR(VLOOKUP(Table24[[#This Row],[ROUTE]],DEMAND!A:F,6,FALSE),0)</f>
        <v>0</v>
      </c>
      <c r="P122" s="306">
        <f>ROUNDDOWN(Table24[[#This Row],[R-DEMAND]]/950,0)</f>
        <v>0</v>
      </c>
      <c r="Q122" s="306">
        <f>Table24[[#This Row],[ADD ACC
(475/950)]]*Table24[[#This Row],[Duration
(A359)]]</f>
        <v>0</v>
      </c>
      <c r="R122" s="307">
        <f>IFERROR(VLOOKUP(Table24[[#This Row],[ROUTE]],PRICING!A:B,2,FALSE),0)</f>
        <v>0</v>
      </c>
      <c r="S122" s="308">
        <f>Table24[[#This Row],[C_DEMAND]]-Table24[[#This Row],[R-DEMAND]]</f>
        <v>0</v>
      </c>
      <c r="T122" s="307">
        <f>Table24[[#This Row],[SEATS SOLD]]*Table24[[#This Row],[ECO SEAT]]</f>
        <v>0</v>
      </c>
      <c r="U122" s="307">
        <f>Table24[[#This Row],[SEATS SOLD]]*(IFERROR(VLOOKUP(Table24[[#This Row],[ROUTE]],PRICING!A:C,3,FALSE),0))</f>
        <v>0</v>
      </c>
      <c r="V122" s="307">
        <f>Table24[[#This Row],[SEAT REV]]-Table24[[#This Row],[SEAT REV
(IF IDEAL $)]]</f>
        <v>0</v>
      </c>
    </row>
    <row r="123" spans="1:22" customFormat="1" ht="15" customHeight="1" x14ac:dyDescent="0.25">
      <c r="A123" s="306" t="s">
        <v>17433</v>
      </c>
      <c r="B123" s="306" t="s">
        <v>1269</v>
      </c>
      <c r="C123" s="306"/>
      <c r="D123" s="26">
        <v>1</v>
      </c>
      <c r="E123" s="312" t="s">
        <v>172</v>
      </c>
      <c r="F123" s="306" t="str">
        <f>VLOOKUP(Table24[[#This Row],[Country]],Table10[[COUNTRY NAME]:[CONTINENT CODE]],3,FALSE)</f>
        <v>AS</v>
      </c>
      <c r="G123" s="312" t="s">
        <v>11934</v>
      </c>
      <c r="H123" s="309">
        <v>11633</v>
      </c>
      <c r="I123" s="310">
        <v>27.75</v>
      </c>
      <c r="J123" s="307"/>
      <c r="K123" s="307">
        <f>IFERROR(Table24[[#This Row],[ROUTE COST]]/Table24[[#This Row],[O - DEMAND]],0)</f>
        <v>0</v>
      </c>
      <c r="L123" s="306"/>
      <c r="M123" s="310">
        <f>Table24[[#This Row],[O - DEMAND]]/950</f>
        <v>0</v>
      </c>
      <c r="N123" s="306">
        <f>IFERROR(VLOOKUP(Table24[[#This Row],[ROUTE]],DEMAND!A:F,5,FALSE),0)</f>
        <v>0</v>
      </c>
      <c r="O123" s="306">
        <f>IFERROR(VLOOKUP(Table24[[#This Row],[ROUTE]],DEMAND!A:F,6,FALSE),0)</f>
        <v>0</v>
      </c>
      <c r="P123" s="306">
        <f>ROUNDDOWN(Table24[[#This Row],[R-DEMAND]]/950,0)</f>
        <v>0</v>
      </c>
      <c r="Q123" s="306">
        <f>Table24[[#This Row],[ADD ACC
(475/950)]]*Table24[[#This Row],[Duration
(A359)]]</f>
        <v>0</v>
      </c>
      <c r="R123" s="307">
        <f>IFERROR(VLOOKUP(Table24[[#This Row],[ROUTE]],PRICING!A:B,2,FALSE),0)</f>
        <v>0</v>
      </c>
      <c r="S123" s="308">
        <f>Table24[[#This Row],[C_DEMAND]]-Table24[[#This Row],[R-DEMAND]]</f>
        <v>0</v>
      </c>
      <c r="T123" s="307">
        <f>Table24[[#This Row],[SEATS SOLD]]*Table24[[#This Row],[ECO SEAT]]</f>
        <v>0</v>
      </c>
      <c r="U123" s="307">
        <f>Table24[[#This Row],[SEATS SOLD]]*(IFERROR(VLOOKUP(Table24[[#This Row],[ROUTE]],PRICING!A:C,3,FALSE),0))</f>
        <v>0</v>
      </c>
      <c r="V123" s="307">
        <f>Table24[[#This Row],[SEAT REV]]-Table24[[#This Row],[SEAT REV
(IF IDEAL $)]]</f>
        <v>0</v>
      </c>
    </row>
    <row r="124" spans="1:22" customFormat="1" ht="15.75" customHeight="1" x14ac:dyDescent="0.25">
      <c r="A124" s="306" t="s">
        <v>17193</v>
      </c>
      <c r="B124" s="306" t="s">
        <v>4562</v>
      </c>
      <c r="C124" s="306"/>
      <c r="D124" s="26">
        <v>2</v>
      </c>
      <c r="E124" s="312" t="s">
        <v>637</v>
      </c>
      <c r="F124" s="306" t="str">
        <f>VLOOKUP(Table24[[#This Row],[Country]],Table10[[COUNTRY NAME]:[CONTINENT CODE]],3,FALSE)</f>
        <v>AF</v>
      </c>
      <c r="G124" s="312" t="s">
        <v>11908</v>
      </c>
      <c r="H124" s="309">
        <v>11560</v>
      </c>
      <c r="I124" s="310">
        <v>27.5</v>
      </c>
      <c r="J124" s="307"/>
      <c r="K124" s="307">
        <f>IFERROR(Table24[[#This Row],[ROUTE COST]]/Table24[[#This Row],[O - DEMAND]],0)</f>
        <v>0</v>
      </c>
      <c r="L124" s="306"/>
      <c r="M124" s="310">
        <f>Table24[[#This Row],[O - DEMAND]]/950</f>
        <v>0</v>
      </c>
      <c r="N124" s="306">
        <f>IFERROR(VLOOKUP(Table24[[#This Row],[ROUTE]],DEMAND!A:F,5,FALSE),0)</f>
        <v>0</v>
      </c>
      <c r="O124" s="306">
        <f>IFERROR(VLOOKUP(Table24[[#This Row],[ROUTE]],DEMAND!A:F,6,FALSE),0)</f>
        <v>0</v>
      </c>
      <c r="P124" s="306">
        <f>ROUNDDOWN(Table24[[#This Row],[R-DEMAND]]/950,0)</f>
        <v>0</v>
      </c>
      <c r="Q124" s="306">
        <f>Table24[[#This Row],[ADD ACC
(475/950)]]*Table24[[#This Row],[Duration
(A359)]]</f>
        <v>0</v>
      </c>
      <c r="R124" s="307">
        <f>IFERROR(VLOOKUP(Table24[[#This Row],[ROUTE]],PRICING!A:B,2,FALSE),0)</f>
        <v>0</v>
      </c>
      <c r="S124" s="308">
        <f>Table24[[#This Row],[C_DEMAND]]-Table24[[#This Row],[R-DEMAND]]</f>
        <v>0</v>
      </c>
      <c r="T124" s="307">
        <f>Table24[[#This Row],[SEATS SOLD]]*Table24[[#This Row],[ECO SEAT]]</f>
        <v>0</v>
      </c>
      <c r="U124" s="307">
        <f>Table24[[#This Row],[SEATS SOLD]]*(IFERROR(VLOOKUP(Table24[[#This Row],[ROUTE]],PRICING!A:C,3,FALSE),0))</f>
        <v>0</v>
      </c>
      <c r="V124" s="307">
        <f>Table24[[#This Row],[SEAT REV]]-Table24[[#This Row],[SEAT REV
(IF IDEAL $)]]</f>
        <v>0</v>
      </c>
    </row>
    <row r="125" spans="1:22" customFormat="1" ht="15" customHeight="1" x14ac:dyDescent="0.25">
      <c r="A125" s="306" t="s">
        <v>17605</v>
      </c>
      <c r="B125" s="306" t="s">
        <v>3588</v>
      </c>
      <c r="C125" s="306"/>
      <c r="D125" s="26">
        <v>2</v>
      </c>
      <c r="E125" s="312" t="s">
        <v>78</v>
      </c>
      <c r="F125" s="306" t="str">
        <f>VLOOKUP(Table24[[#This Row],[Country]],Table10[[COUNTRY NAME]:[CONTINENT CODE]],3,FALSE)</f>
        <v>EU</v>
      </c>
      <c r="G125" s="312" t="s">
        <v>11953</v>
      </c>
      <c r="H125" s="309">
        <v>11556</v>
      </c>
      <c r="I125" s="310">
        <v>27.5</v>
      </c>
      <c r="J125" s="307"/>
      <c r="K125" s="307">
        <f>IFERROR(Table24[[#This Row],[ROUTE COST]]/Table24[[#This Row],[O - DEMAND]],0)</f>
        <v>0</v>
      </c>
      <c r="L125" s="306"/>
      <c r="M125" s="310">
        <f>Table24[[#This Row],[O - DEMAND]]/950</f>
        <v>0</v>
      </c>
      <c r="N125" s="306">
        <f>IFERROR(VLOOKUP(Table24[[#This Row],[ROUTE]],DEMAND!A:F,5,FALSE),0)</f>
        <v>0</v>
      </c>
      <c r="O125" s="306">
        <f>IFERROR(VLOOKUP(Table24[[#This Row],[ROUTE]],DEMAND!A:F,6,FALSE),0)</f>
        <v>0</v>
      </c>
      <c r="P125" s="306">
        <f>ROUNDDOWN(Table24[[#This Row],[R-DEMAND]]/950,0)</f>
        <v>0</v>
      </c>
      <c r="Q125" s="306">
        <f>Table24[[#This Row],[ADD ACC
(475/950)]]*Table24[[#This Row],[Duration
(A359)]]</f>
        <v>0</v>
      </c>
      <c r="R125" s="307">
        <f>IFERROR(VLOOKUP(Table24[[#This Row],[ROUTE]],PRICING!A:B,2,FALSE),0)</f>
        <v>0</v>
      </c>
      <c r="S125" s="308">
        <f>Table24[[#This Row],[C_DEMAND]]-Table24[[#This Row],[R-DEMAND]]</f>
        <v>0</v>
      </c>
      <c r="T125" s="307">
        <f>Table24[[#This Row],[SEATS SOLD]]*Table24[[#This Row],[ECO SEAT]]</f>
        <v>0</v>
      </c>
      <c r="U125" s="307">
        <f>Table24[[#This Row],[SEATS SOLD]]*(IFERROR(VLOOKUP(Table24[[#This Row],[ROUTE]],PRICING!A:C,3,FALSE),0))</f>
        <v>0</v>
      </c>
      <c r="V125" s="307">
        <f>Table24[[#This Row],[SEAT REV]]-Table24[[#This Row],[SEAT REV
(IF IDEAL $)]]</f>
        <v>0</v>
      </c>
    </row>
    <row r="126" spans="1:22" customFormat="1" x14ac:dyDescent="0.25">
      <c r="A126" s="306" t="s">
        <v>17604</v>
      </c>
      <c r="B126" s="306" t="s">
        <v>4663</v>
      </c>
      <c r="C126" s="306"/>
      <c r="D126" s="26">
        <v>2</v>
      </c>
      <c r="E126" s="312" t="s">
        <v>78</v>
      </c>
      <c r="F126" s="306" t="str">
        <f>VLOOKUP(Table24[[#This Row],[Country]],Table10[[COUNTRY NAME]:[CONTINENT CODE]],3,FALSE)</f>
        <v>EU</v>
      </c>
      <c r="G126" s="312" t="s">
        <v>11954</v>
      </c>
      <c r="H126" s="309">
        <v>11584</v>
      </c>
      <c r="I126" s="310">
        <v>27.5</v>
      </c>
      <c r="J126" s="307"/>
      <c r="K126" s="307">
        <f>IFERROR(Table24[[#This Row],[ROUTE COST]]/Table24[[#This Row],[O - DEMAND]],0)</f>
        <v>0</v>
      </c>
      <c r="L126" s="306"/>
      <c r="M126" s="310">
        <f>Table24[[#This Row],[O - DEMAND]]/950</f>
        <v>0</v>
      </c>
      <c r="N126" s="306">
        <f>IFERROR(VLOOKUP(Table24[[#This Row],[ROUTE]],DEMAND!A:F,5,FALSE),0)</f>
        <v>0</v>
      </c>
      <c r="O126" s="306">
        <f>IFERROR(VLOOKUP(Table24[[#This Row],[ROUTE]],DEMAND!A:F,6,FALSE),0)</f>
        <v>0</v>
      </c>
      <c r="P126" s="306">
        <f>ROUNDDOWN(Table24[[#This Row],[R-DEMAND]]/950,0)</f>
        <v>0</v>
      </c>
      <c r="Q126" s="306">
        <f>Table24[[#This Row],[ADD ACC
(475/950)]]*Table24[[#This Row],[Duration
(A359)]]</f>
        <v>0</v>
      </c>
      <c r="R126" s="307">
        <f>IFERROR(VLOOKUP(Table24[[#This Row],[ROUTE]],PRICING!A:B,2,FALSE),0)</f>
        <v>0</v>
      </c>
      <c r="S126" s="308">
        <f>Table24[[#This Row],[C_DEMAND]]-Table24[[#This Row],[R-DEMAND]]</f>
        <v>0</v>
      </c>
      <c r="T126" s="307">
        <f>Table24[[#This Row],[SEATS SOLD]]*Table24[[#This Row],[ECO SEAT]]</f>
        <v>0</v>
      </c>
      <c r="U126" s="307">
        <f>Table24[[#This Row],[SEATS SOLD]]*(IFERROR(VLOOKUP(Table24[[#This Row],[ROUTE]],PRICING!A:C,3,FALSE),0))</f>
        <v>0</v>
      </c>
      <c r="V126" s="307">
        <f>Table24[[#This Row],[SEAT REV]]-Table24[[#This Row],[SEAT REV
(IF IDEAL $)]]</f>
        <v>0</v>
      </c>
    </row>
    <row r="127" spans="1:22" customFormat="1" ht="15" customHeight="1" x14ac:dyDescent="0.25">
      <c r="A127" s="306" t="s">
        <v>17376</v>
      </c>
      <c r="B127" s="306" t="s">
        <v>3165</v>
      </c>
      <c r="C127" s="306"/>
      <c r="D127" s="26">
        <v>2</v>
      </c>
      <c r="E127" s="312" t="s">
        <v>3163</v>
      </c>
      <c r="F127" s="306" t="str">
        <f>VLOOKUP(Table24[[#This Row],[Country]],Table10[[COUNTRY NAME]:[CONTINENT CODE]],3,FALSE)</f>
        <v>AS</v>
      </c>
      <c r="G127" s="312" t="s">
        <v>11937</v>
      </c>
      <c r="H127" s="309">
        <v>11591</v>
      </c>
      <c r="I127" s="310">
        <v>27.5</v>
      </c>
      <c r="J127" s="307"/>
      <c r="K127" s="307">
        <f>IFERROR(Table24[[#This Row],[ROUTE COST]]/Table24[[#This Row],[O - DEMAND]],0)</f>
        <v>0</v>
      </c>
      <c r="L127" s="306"/>
      <c r="M127" s="310">
        <f>Table24[[#This Row],[O - DEMAND]]/950</f>
        <v>0</v>
      </c>
      <c r="N127" s="306">
        <f>IFERROR(VLOOKUP(Table24[[#This Row],[ROUTE]],DEMAND!A:F,5,FALSE),0)</f>
        <v>0</v>
      </c>
      <c r="O127" s="306">
        <f>IFERROR(VLOOKUP(Table24[[#This Row],[ROUTE]],DEMAND!A:F,6,FALSE),0)</f>
        <v>0</v>
      </c>
      <c r="P127" s="306">
        <f>ROUNDDOWN(Table24[[#This Row],[R-DEMAND]]/950,0)</f>
        <v>0</v>
      </c>
      <c r="Q127" s="306">
        <f>Table24[[#This Row],[ADD ACC
(475/950)]]*Table24[[#This Row],[Duration
(A359)]]</f>
        <v>0</v>
      </c>
      <c r="R127" s="307">
        <f>IFERROR(VLOOKUP(Table24[[#This Row],[ROUTE]],PRICING!A:B,2,FALSE),0)</f>
        <v>0</v>
      </c>
      <c r="S127" s="308">
        <f>Table24[[#This Row],[C_DEMAND]]-Table24[[#This Row],[R-DEMAND]]</f>
        <v>0</v>
      </c>
      <c r="T127" s="307">
        <f>Table24[[#This Row],[SEATS SOLD]]*Table24[[#This Row],[ECO SEAT]]</f>
        <v>0</v>
      </c>
      <c r="U127" s="307">
        <f>Table24[[#This Row],[SEATS SOLD]]*(IFERROR(VLOOKUP(Table24[[#This Row],[ROUTE]],PRICING!A:C,3,FALSE),0))</f>
        <v>0</v>
      </c>
      <c r="V127" s="307">
        <f>Table24[[#This Row],[SEAT REV]]-Table24[[#This Row],[SEAT REV
(IF IDEAL $)]]</f>
        <v>0</v>
      </c>
    </row>
    <row r="128" spans="1:22" customFormat="1" x14ac:dyDescent="0.25">
      <c r="A128" s="306" t="s">
        <v>17434</v>
      </c>
      <c r="B128" s="306" t="s">
        <v>902</v>
      </c>
      <c r="C128" s="306"/>
      <c r="D128" s="26">
        <v>1</v>
      </c>
      <c r="E128" s="312" t="s">
        <v>172</v>
      </c>
      <c r="F128" s="306" t="str">
        <f>VLOOKUP(Table24[[#This Row],[Country]],Table10[[COUNTRY NAME]:[CONTINENT CODE]],3,FALSE)</f>
        <v>AS</v>
      </c>
      <c r="G128" s="312" t="s">
        <v>11935</v>
      </c>
      <c r="H128" s="309">
        <v>11567</v>
      </c>
      <c r="I128" s="310">
        <v>27.5</v>
      </c>
      <c r="J128" s="307"/>
      <c r="K128" s="307">
        <f>IFERROR(Table24[[#This Row],[ROUTE COST]]/Table24[[#This Row],[O - DEMAND]],0)</f>
        <v>0</v>
      </c>
      <c r="L128" s="306"/>
      <c r="M128" s="310">
        <f>Table24[[#This Row],[O - DEMAND]]/950</f>
        <v>0</v>
      </c>
      <c r="N128" s="306">
        <f>IFERROR(VLOOKUP(Table24[[#This Row],[ROUTE]],DEMAND!A:F,5,FALSE),0)</f>
        <v>0</v>
      </c>
      <c r="O128" s="306">
        <f>IFERROR(VLOOKUP(Table24[[#This Row],[ROUTE]],DEMAND!A:F,6,FALSE),0)</f>
        <v>0</v>
      </c>
      <c r="P128" s="306">
        <f>ROUNDDOWN(Table24[[#This Row],[R-DEMAND]]/950,0)</f>
        <v>0</v>
      </c>
      <c r="Q128" s="306">
        <f>Table24[[#This Row],[ADD ACC
(475/950)]]*Table24[[#This Row],[Duration
(A359)]]</f>
        <v>0</v>
      </c>
      <c r="R128" s="307">
        <f>IFERROR(VLOOKUP(Table24[[#This Row],[ROUTE]],PRICING!A:B,2,FALSE),0)</f>
        <v>0</v>
      </c>
      <c r="S128" s="308">
        <f>Table24[[#This Row],[C_DEMAND]]-Table24[[#This Row],[R-DEMAND]]</f>
        <v>0</v>
      </c>
      <c r="T128" s="307">
        <f>Table24[[#This Row],[SEATS SOLD]]*Table24[[#This Row],[ECO SEAT]]</f>
        <v>0</v>
      </c>
      <c r="U128" s="307">
        <f>Table24[[#This Row],[SEATS SOLD]]*(IFERROR(VLOOKUP(Table24[[#This Row],[ROUTE]],PRICING!A:C,3,FALSE),0))</f>
        <v>0</v>
      </c>
      <c r="V128" s="307">
        <f>Table24[[#This Row],[SEAT REV]]-Table24[[#This Row],[SEAT REV
(IF IDEAL $)]]</f>
        <v>0</v>
      </c>
    </row>
    <row r="129" spans="1:22" customFormat="1" ht="15" customHeight="1" x14ac:dyDescent="0.25">
      <c r="A129" s="306" t="s">
        <v>17513</v>
      </c>
      <c r="B129" s="306" t="s">
        <v>4928</v>
      </c>
      <c r="C129" s="306"/>
      <c r="D129" s="26">
        <v>3</v>
      </c>
      <c r="E129" s="312" t="s">
        <v>78</v>
      </c>
      <c r="F129" s="306" t="str">
        <f>VLOOKUP(Table24[[#This Row],[Country]],Table10[[COUNTRY NAME]:[CONTINENT CODE]],3,FALSE)</f>
        <v>EU</v>
      </c>
      <c r="G129" s="312" t="s">
        <v>11949</v>
      </c>
      <c r="H129" s="309">
        <v>11497</v>
      </c>
      <c r="I129" s="310">
        <v>27.25</v>
      </c>
      <c r="J129" s="307"/>
      <c r="K129" s="307">
        <f>IFERROR(Table24[[#This Row],[ROUTE COST]]/Table24[[#This Row],[O - DEMAND]],0)</f>
        <v>0</v>
      </c>
      <c r="L129" s="306"/>
      <c r="M129" s="310">
        <f>Table24[[#This Row],[O - DEMAND]]/950</f>
        <v>0</v>
      </c>
      <c r="N129" s="306">
        <f>IFERROR(VLOOKUP(Table24[[#This Row],[ROUTE]],DEMAND!A:F,5,FALSE),0)</f>
        <v>0</v>
      </c>
      <c r="O129" s="306">
        <f>IFERROR(VLOOKUP(Table24[[#This Row],[ROUTE]],DEMAND!A:F,6,FALSE),0)</f>
        <v>0</v>
      </c>
      <c r="P129" s="306">
        <f>ROUNDDOWN(Table24[[#This Row],[R-DEMAND]]/950,0)</f>
        <v>0</v>
      </c>
      <c r="Q129" s="306">
        <f>Table24[[#This Row],[ADD ACC
(475/950)]]*Table24[[#This Row],[Duration
(A359)]]</f>
        <v>0</v>
      </c>
      <c r="R129" s="307">
        <f>IFERROR(VLOOKUP(Table24[[#This Row],[ROUTE]],PRICING!A:B,2,FALSE),0)</f>
        <v>0</v>
      </c>
      <c r="S129" s="308">
        <f>Table24[[#This Row],[C_DEMAND]]-Table24[[#This Row],[R-DEMAND]]</f>
        <v>0</v>
      </c>
      <c r="T129" s="307">
        <f>Table24[[#This Row],[SEATS SOLD]]*Table24[[#This Row],[ECO SEAT]]</f>
        <v>0</v>
      </c>
      <c r="U129" s="307">
        <f>Table24[[#This Row],[SEATS SOLD]]*(IFERROR(VLOOKUP(Table24[[#This Row],[ROUTE]],PRICING!A:C,3,FALSE),0))</f>
        <v>0</v>
      </c>
      <c r="V129" s="307">
        <f>Table24[[#This Row],[SEAT REV]]-Table24[[#This Row],[SEAT REV
(IF IDEAL $)]]</f>
        <v>0</v>
      </c>
    </row>
    <row r="130" spans="1:22" customFormat="1" x14ac:dyDescent="0.25">
      <c r="A130" s="306" t="s">
        <v>17126</v>
      </c>
      <c r="B130" s="306" t="s">
        <v>3313</v>
      </c>
      <c r="C130" s="306"/>
      <c r="D130" s="26">
        <v>2</v>
      </c>
      <c r="E130" s="312" t="s">
        <v>11823</v>
      </c>
      <c r="F130" s="306" t="str">
        <f>VLOOKUP(Table24[[#This Row],[Country]],Table10[[COUNTRY NAME]:[CONTINENT CODE]],3,FALSE)</f>
        <v>AF</v>
      </c>
      <c r="G130" s="312" t="s">
        <v>11873</v>
      </c>
      <c r="H130" s="309">
        <v>11439</v>
      </c>
      <c r="I130" s="310">
        <v>27.25</v>
      </c>
      <c r="J130" s="307"/>
      <c r="K130" s="307">
        <f>IFERROR(Table24[[#This Row],[ROUTE COST]]/Table24[[#This Row],[O - DEMAND]],0)</f>
        <v>0</v>
      </c>
      <c r="L130" s="306"/>
      <c r="M130" s="310">
        <f>Table24[[#This Row],[O - DEMAND]]/950</f>
        <v>0</v>
      </c>
      <c r="N130" s="306">
        <f>IFERROR(VLOOKUP(Table24[[#This Row],[ROUTE]],DEMAND!A:F,5,FALSE),0)</f>
        <v>0</v>
      </c>
      <c r="O130" s="306">
        <f>IFERROR(VLOOKUP(Table24[[#This Row],[ROUTE]],DEMAND!A:F,6,FALSE),0)</f>
        <v>0</v>
      </c>
      <c r="P130" s="306">
        <f>ROUNDDOWN(Table24[[#This Row],[R-DEMAND]]/950,0)</f>
        <v>0</v>
      </c>
      <c r="Q130" s="306">
        <f>Table24[[#This Row],[ADD ACC
(475/950)]]*Table24[[#This Row],[Duration
(A359)]]</f>
        <v>0</v>
      </c>
      <c r="R130" s="307">
        <f>IFERROR(VLOOKUP(Table24[[#This Row],[ROUTE]],PRICING!A:B,2,FALSE),0)</f>
        <v>0</v>
      </c>
      <c r="S130" s="308">
        <f>Table24[[#This Row],[C_DEMAND]]-Table24[[#This Row],[R-DEMAND]]</f>
        <v>0</v>
      </c>
      <c r="T130" s="307">
        <f>Table24[[#This Row],[SEATS SOLD]]*Table24[[#This Row],[ECO SEAT]]</f>
        <v>0</v>
      </c>
      <c r="U130" s="307">
        <f>Table24[[#This Row],[SEATS SOLD]]*(IFERROR(VLOOKUP(Table24[[#This Row],[ROUTE]],PRICING!A:C,3,FALSE),0))</f>
        <v>0</v>
      </c>
      <c r="V130" s="307">
        <f>Table24[[#This Row],[SEAT REV]]-Table24[[#This Row],[SEAT REV
(IF IDEAL $)]]</f>
        <v>0</v>
      </c>
    </row>
    <row r="131" spans="1:22" customFormat="1" ht="15" customHeight="1" x14ac:dyDescent="0.25">
      <c r="A131" s="306" t="s">
        <v>17166</v>
      </c>
      <c r="B131" s="306" t="s">
        <v>2962</v>
      </c>
      <c r="C131" s="306"/>
      <c r="D131" s="26">
        <v>2</v>
      </c>
      <c r="E131" s="312" t="s">
        <v>1352</v>
      </c>
      <c r="F131" s="306" t="str">
        <f>VLOOKUP(Table24[[#This Row],[Country]],Table10[[COUNTRY NAME]:[CONTINENT CODE]],3,FALSE)</f>
        <v>AF</v>
      </c>
      <c r="G131" s="312" t="s">
        <v>11897</v>
      </c>
      <c r="H131" s="309">
        <v>11389</v>
      </c>
      <c r="I131" s="310">
        <v>27.25</v>
      </c>
      <c r="J131" s="307"/>
      <c r="K131" s="307">
        <f>IFERROR(Table24[[#This Row],[ROUTE COST]]/Table24[[#This Row],[O - DEMAND]],0)</f>
        <v>0</v>
      </c>
      <c r="L131" s="306"/>
      <c r="M131" s="310">
        <f>Table24[[#This Row],[O - DEMAND]]/950</f>
        <v>0</v>
      </c>
      <c r="N131" s="306">
        <f>IFERROR(VLOOKUP(Table24[[#This Row],[ROUTE]],DEMAND!A:F,5,FALSE),0)</f>
        <v>0</v>
      </c>
      <c r="O131" s="306">
        <f>IFERROR(VLOOKUP(Table24[[#This Row],[ROUTE]],DEMAND!A:F,6,FALSE),0)</f>
        <v>0</v>
      </c>
      <c r="P131" s="306">
        <f>ROUNDDOWN(Table24[[#This Row],[R-DEMAND]]/950,0)</f>
        <v>0</v>
      </c>
      <c r="Q131" s="306">
        <f>Table24[[#This Row],[ADD ACC
(475/950)]]*Table24[[#This Row],[Duration
(A359)]]</f>
        <v>0</v>
      </c>
      <c r="R131" s="307">
        <f>IFERROR(VLOOKUP(Table24[[#This Row],[ROUTE]],PRICING!A:B,2,FALSE),0)</f>
        <v>0</v>
      </c>
      <c r="S131" s="308">
        <f>Table24[[#This Row],[C_DEMAND]]-Table24[[#This Row],[R-DEMAND]]</f>
        <v>0</v>
      </c>
      <c r="T131" s="307">
        <f>Table24[[#This Row],[SEATS SOLD]]*Table24[[#This Row],[ECO SEAT]]</f>
        <v>0</v>
      </c>
      <c r="U131" s="307">
        <f>Table24[[#This Row],[SEATS SOLD]]*(IFERROR(VLOOKUP(Table24[[#This Row],[ROUTE]],PRICING!A:C,3,FALSE),0))</f>
        <v>0</v>
      </c>
      <c r="V131" s="307">
        <f>Table24[[#This Row],[SEAT REV]]-Table24[[#This Row],[SEAT REV
(IF IDEAL $)]]</f>
        <v>0</v>
      </c>
    </row>
    <row r="132" spans="1:22" customFormat="1" x14ac:dyDescent="0.25">
      <c r="A132" s="306" t="s">
        <v>17378</v>
      </c>
      <c r="B132" s="306" t="s">
        <v>3931</v>
      </c>
      <c r="C132" s="306"/>
      <c r="D132" s="26">
        <v>2</v>
      </c>
      <c r="E132" s="312" t="s">
        <v>172</v>
      </c>
      <c r="F132" s="306" t="str">
        <f>VLOOKUP(Table24[[#This Row],[Country]],Table10[[COUNTRY NAME]:[CONTINENT CODE]],3,FALSE)</f>
        <v>AS</v>
      </c>
      <c r="G132" s="312" t="s">
        <v>7147</v>
      </c>
      <c r="H132" s="309">
        <v>11460</v>
      </c>
      <c r="I132" s="310">
        <v>27.25</v>
      </c>
      <c r="J132" s="307"/>
      <c r="K132" s="307">
        <f>IFERROR(Table24[[#This Row],[ROUTE COST]]/Table24[[#This Row],[O - DEMAND]],0)</f>
        <v>0</v>
      </c>
      <c r="L132" s="306"/>
      <c r="M132" s="310">
        <f>Table24[[#This Row],[O - DEMAND]]/950</f>
        <v>0</v>
      </c>
      <c r="N132" s="306">
        <f>IFERROR(VLOOKUP(Table24[[#This Row],[ROUTE]],DEMAND!A:F,5,FALSE),0)</f>
        <v>0</v>
      </c>
      <c r="O132" s="306">
        <f>IFERROR(VLOOKUP(Table24[[#This Row],[ROUTE]],DEMAND!A:F,6,FALSE),0)</f>
        <v>0</v>
      </c>
      <c r="P132" s="306">
        <f>ROUNDDOWN(Table24[[#This Row],[R-DEMAND]]/950,0)</f>
        <v>0</v>
      </c>
      <c r="Q132" s="306">
        <f>Table24[[#This Row],[ADD ACC
(475/950)]]*Table24[[#This Row],[Duration
(A359)]]</f>
        <v>0</v>
      </c>
      <c r="R132" s="307">
        <f>IFERROR(VLOOKUP(Table24[[#This Row],[ROUTE]],PRICING!A:B,2,FALSE),0)</f>
        <v>0</v>
      </c>
      <c r="S132" s="308">
        <f>Table24[[#This Row],[C_DEMAND]]-Table24[[#This Row],[R-DEMAND]]</f>
        <v>0</v>
      </c>
      <c r="T132" s="307">
        <f>Table24[[#This Row],[SEATS SOLD]]*Table24[[#This Row],[ECO SEAT]]</f>
        <v>0</v>
      </c>
      <c r="U132" s="307">
        <f>Table24[[#This Row],[SEATS SOLD]]*(IFERROR(VLOOKUP(Table24[[#This Row],[ROUTE]],PRICING!A:C,3,FALSE),0))</f>
        <v>0</v>
      </c>
      <c r="V132" s="307">
        <f>Table24[[#This Row],[SEAT REV]]-Table24[[#This Row],[SEAT REV
(IF IDEAL $)]]</f>
        <v>0</v>
      </c>
    </row>
    <row r="133" spans="1:22" customFormat="1" ht="15" customHeight="1" x14ac:dyDescent="0.25">
      <c r="A133" s="306" t="s">
        <v>17194</v>
      </c>
      <c r="B133" s="306" t="s">
        <v>651</v>
      </c>
      <c r="C133" s="306"/>
      <c r="D133" s="26">
        <v>1</v>
      </c>
      <c r="E133" s="312" t="s">
        <v>637</v>
      </c>
      <c r="F133" s="306" t="str">
        <f>VLOOKUP(Table24[[#This Row],[Country]],Table10[[COUNTRY NAME]:[CONTINENT CODE]],3,FALSE)</f>
        <v>AF</v>
      </c>
      <c r="G133" s="312" t="s">
        <v>6840</v>
      </c>
      <c r="H133" s="309">
        <v>11440</v>
      </c>
      <c r="I133" s="310">
        <v>27.25</v>
      </c>
      <c r="J133" s="307"/>
      <c r="K133" s="307">
        <f>IFERROR(Table24[[#This Row],[ROUTE COST]]/Table24[[#This Row],[O - DEMAND]],0)</f>
        <v>0</v>
      </c>
      <c r="L133" s="306"/>
      <c r="M133" s="310">
        <f>Table24[[#This Row],[O - DEMAND]]/950</f>
        <v>0</v>
      </c>
      <c r="N133" s="306">
        <f>IFERROR(VLOOKUP(Table24[[#This Row],[ROUTE]],DEMAND!A:F,5,FALSE),0)</f>
        <v>0</v>
      </c>
      <c r="O133" s="306">
        <f>IFERROR(VLOOKUP(Table24[[#This Row],[ROUTE]],DEMAND!A:F,6,FALSE),0)</f>
        <v>0</v>
      </c>
      <c r="P133" s="306">
        <f>ROUNDDOWN(Table24[[#This Row],[R-DEMAND]]/950,0)</f>
        <v>0</v>
      </c>
      <c r="Q133" s="306">
        <f>Table24[[#This Row],[ADD ACC
(475/950)]]*Table24[[#This Row],[Duration
(A359)]]</f>
        <v>0</v>
      </c>
      <c r="R133" s="307">
        <f>IFERROR(VLOOKUP(Table24[[#This Row],[ROUTE]],PRICING!A:B,2,FALSE),0)</f>
        <v>0</v>
      </c>
      <c r="S133" s="308">
        <f>Table24[[#This Row],[C_DEMAND]]-Table24[[#This Row],[R-DEMAND]]</f>
        <v>0</v>
      </c>
      <c r="T133" s="307">
        <f>Table24[[#This Row],[SEATS SOLD]]*Table24[[#This Row],[ECO SEAT]]</f>
        <v>0</v>
      </c>
      <c r="U133" s="307">
        <f>Table24[[#This Row],[SEATS SOLD]]*(IFERROR(VLOOKUP(Table24[[#This Row],[ROUTE]],PRICING!A:C,3,FALSE),0))</f>
        <v>0</v>
      </c>
      <c r="V133" s="307">
        <f>Table24[[#This Row],[SEAT REV]]-Table24[[#This Row],[SEAT REV
(IF IDEAL $)]]</f>
        <v>0</v>
      </c>
    </row>
    <row r="134" spans="1:22" customFormat="1" x14ac:dyDescent="0.25">
      <c r="A134" s="306" t="s">
        <v>17379</v>
      </c>
      <c r="B134" s="306" t="s">
        <v>4160</v>
      </c>
      <c r="C134" s="306"/>
      <c r="D134" s="26">
        <v>2</v>
      </c>
      <c r="E134" s="312" t="s">
        <v>502</v>
      </c>
      <c r="F134" s="306" t="str">
        <f>VLOOKUP(Table24[[#This Row],[Country]],Table10[[COUNTRY NAME]:[CONTINENT CODE]],3,FALSE)</f>
        <v>AS</v>
      </c>
      <c r="G134" s="312" t="s">
        <v>11930</v>
      </c>
      <c r="H134" s="309">
        <v>11326</v>
      </c>
      <c r="I134" s="310">
        <v>27</v>
      </c>
      <c r="J134" s="307"/>
      <c r="K134" s="307">
        <f>IFERROR(Table24[[#This Row],[ROUTE COST]]/Table24[[#This Row],[O - DEMAND]],0)</f>
        <v>0</v>
      </c>
      <c r="L134" s="306"/>
      <c r="M134" s="310">
        <f>Table24[[#This Row],[O - DEMAND]]/950</f>
        <v>0</v>
      </c>
      <c r="N134" s="306">
        <f>IFERROR(VLOOKUP(Table24[[#This Row],[ROUTE]],DEMAND!A:F,5,FALSE),0)</f>
        <v>0</v>
      </c>
      <c r="O134" s="306">
        <f>IFERROR(VLOOKUP(Table24[[#This Row],[ROUTE]],DEMAND!A:F,6,FALSE),0)</f>
        <v>0</v>
      </c>
      <c r="P134" s="306">
        <f>ROUNDDOWN(Table24[[#This Row],[R-DEMAND]]/950,0)</f>
        <v>0</v>
      </c>
      <c r="Q134" s="306">
        <f>Table24[[#This Row],[ADD ACC
(475/950)]]*Table24[[#This Row],[Duration
(A359)]]</f>
        <v>0</v>
      </c>
      <c r="R134" s="307">
        <f>IFERROR(VLOOKUP(Table24[[#This Row],[ROUTE]],PRICING!A:B,2,FALSE),0)</f>
        <v>0</v>
      </c>
      <c r="S134" s="308">
        <f>Table24[[#This Row],[C_DEMAND]]-Table24[[#This Row],[R-DEMAND]]</f>
        <v>0</v>
      </c>
      <c r="T134" s="307">
        <f>Table24[[#This Row],[SEATS SOLD]]*Table24[[#This Row],[ECO SEAT]]</f>
        <v>0</v>
      </c>
      <c r="U134" s="307">
        <f>Table24[[#This Row],[SEATS SOLD]]*(IFERROR(VLOOKUP(Table24[[#This Row],[ROUTE]],PRICING!A:C,3,FALSE),0))</f>
        <v>0</v>
      </c>
      <c r="V134" s="307">
        <f>Table24[[#This Row],[SEAT REV]]-Table24[[#This Row],[SEAT REV
(IF IDEAL $)]]</f>
        <v>0</v>
      </c>
    </row>
    <row r="135" spans="1:22" customFormat="1" x14ac:dyDescent="0.25">
      <c r="A135" s="306" t="s">
        <v>17435</v>
      </c>
      <c r="B135" s="306" t="s">
        <v>1844</v>
      </c>
      <c r="C135" s="306"/>
      <c r="D135" s="26">
        <v>1</v>
      </c>
      <c r="E135" s="312" t="s">
        <v>172</v>
      </c>
      <c r="F135" s="306" t="str">
        <f>VLOOKUP(Table24[[#This Row],[Country]],Table10[[COUNTRY NAME]:[CONTINENT CODE]],3,FALSE)</f>
        <v>AS</v>
      </c>
      <c r="G135" s="312" t="s">
        <v>7650</v>
      </c>
      <c r="H135" s="309">
        <v>11299</v>
      </c>
      <c r="I135" s="310">
        <v>27</v>
      </c>
      <c r="J135" s="307"/>
      <c r="K135" s="307">
        <f>IFERROR(Table24[[#This Row],[ROUTE COST]]/Table24[[#This Row],[O - DEMAND]],0)</f>
        <v>0</v>
      </c>
      <c r="L135" s="306"/>
      <c r="M135" s="310">
        <f>Table24[[#This Row],[O - DEMAND]]/950</f>
        <v>0</v>
      </c>
      <c r="N135" s="306">
        <f>IFERROR(VLOOKUP(Table24[[#This Row],[ROUTE]],DEMAND!A:F,5,FALSE),0)</f>
        <v>0</v>
      </c>
      <c r="O135" s="306">
        <f>IFERROR(VLOOKUP(Table24[[#This Row],[ROUTE]],DEMAND!A:F,6,FALSE),0)</f>
        <v>0</v>
      </c>
      <c r="P135" s="306">
        <f>ROUNDDOWN(Table24[[#This Row],[R-DEMAND]]/950,0)</f>
        <v>0</v>
      </c>
      <c r="Q135" s="306">
        <f>Table24[[#This Row],[ADD ACC
(475/950)]]*Table24[[#This Row],[Duration
(A359)]]</f>
        <v>0</v>
      </c>
      <c r="R135" s="307">
        <f>IFERROR(VLOOKUP(Table24[[#This Row],[ROUTE]],PRICING!A:B,2,FALSE),0)</f>
        <v>0</v>
      </c>
      <c r="S135" s="308">
        <f>Table24[[#This Row],[C_DEMAND]]-Table24[[#This Row],[R-DEMAND]]</f>
        <v>0</v>
      </c>
      <c r="T135" s="307">
        <f>Table24[[#This Row],[SEATS SOLD]]*Table24[[#This Row],[ECO SEAT]]</f>
        <v>0</v>
      </c>
      <c r="U135" s="307">
        <f>Table24[[#This Row],[SEATS SOLD]]*(IFERROR(VLOOKUP(Table24[[#This Row],[ROUTE]],PRICING!A:C,3,FALSE),0))</f>
        <v>0</v>
      </c>
      <c r="V135" s="307">
        <f>Table24[[#This Row],[SEAT REV]]-Table24[[#This Row],[SEAT REV
(IF IDEAL $)]]</f>
        <v>0</v>
      </c>
    </row>
    <row r="136" spans="1:22" customFormat="1" x14ac:dyDescent="0.25">
      <c r="A136" s="306" t="s">
        <v>17514</v>
      </c>
      <c r="B136" s="306" t="s">
        <v>5436</v>
      </c>
      <c r="C136" s="306"/>
      <c r="D136" s="26">
        <v>3</v>
      </c>
      <c r="E136" s="312" t="s">
        <v>78</v>
      </c>
      <c r="F136" s="306" t="str">
        <f>VLOOKUP(Table24[[#This Row],[Country]],Table10[[COUNTRY NAME]:[CONTINENT CODE]],3,FALSE)</f>
        <v>EU</v>
      </c>
      <c r="G136" s="312" t="s">
        <v>11938</v>
      </c>
      <c r="H136" s="309">
        <v>11216</v>
      </c>
      <c r="I136" s="310">
        <v>26.75</v>
      </c>
      <c r="J136" s="307"/>
      <c r="K136" s="307">
        <f>IFERROR(Table24[[#This Row],[ROUTE COST]]/Table24[[#This Row],[O - DEMAND]],0)</f>
        <v>0</v>
      </c>
      <c r="L136" s="306"/>
      <c r="M136" s="310">
        <f>Table24[[#This Row],[O - DEMAND]]/950</f>
        <v>0</v>
      </c>
      <c r="N136" s="306">
        <f>IFERROR(VLOOKUP(Table24[[#This Row],[ROUTE]],DEMAND!A:F,5,FALSE),0)</f>
        <v>0</v>
      </c>
      <c r="O136" s="306">
        <f>IFERROR(VLOOKUP(Table24[[#This Row],[ROUTE]],DEMAND!A:F,6,FALSE),0)</f>
        <v>0</v>
      </c>
      <c r="P136" s="306">
        <f>ROUNDDOWN(Table24[[#This Row],[R-DEMAND]]/950,0)</f>
        <v>0</v>
      </c>
      <c r="Q136" s="306">
        <f>Table24[[#This Row],[ADD ACC
(475/950)]]*Table24[[#This Row],[Duration
(A359)]]</f>
        <v>0</v>
      </c>
      <c r="R136" s="307">
        <f>IFERROR(VLOOKUP(Table24[[#This Row],[ROUTE]],PRICING!A:B,2,FALSE),0)</f>
        <v>0</v>
      </c>
      <c r="S136" s="308">
        <f>Table24[[#This Row],[C_DEMAND]]-Table24[[#This Row],[R-DEMAND]]</f>
        <v>0</v>
      </c>
      <c r="T136" s="307">
        <f>Table24[[#This Row],[SEATS SOLD]]*Table24[[#This Row],[ECO SEAT]]</f>
        <v>0</v>
      </c>
      <c r="U136" s="307">
        <f>Table24[[#This Row],[SEATS SOLD]]*(IFERROR(VLOOKUP(Table24[[#This Row],[ROUTE]],PRICING!A:C,3,FALSE),0))</f>
        <v>0</v>
      </c>
      <c r="V136" s="307">
        <f>Table24[[#This Row],[SEAT REV]]-Table24[[#This Row],[SEAT REV
(IF IDEAL $)]]</f>
        <v>0</v>
      </c>
    </row>
    <row r="137" spans="1:22" customFormat="1" x14ac:dyDescent="0.25">
      <c r="A137" s="306" t="s">
        <v>17380</v>
      </c>
      <c r="B137" s="306" t="s">
        <v>3906</v>
      </c>
      <c r="C137" s="306"/>
      <c r="D137" s="26">
        <v>2</v>
      </c>
      <c r="E137" s="312" t="s">
        <v>172</v>
      </c>
      <c r="F137" s="306" t="str">
        <f>VLOOKUP(Table24[[#This Row],[Country]],Table10[[COUNTRY NAME]:[CONTINENT CODE]],3,FALSE)</f>
        <v>AS</v>
      </c>
      <c r="G137" s="312" t="s">
        <v>9572</v>
      </c>
      <c r="H137" s="309">
        <v>11261</v>
      </c>
      <c r="I137" s="310">
        <v>26.75</v>
      </c>
      <c r="J137" s="307"/>
      <c r="K137" s="307">
        <f>IFERROR(Table24[[#This Row],[ROUTE COST]]/Table24[[#This Row],[O - DEMAND]],0)</f>
        <v>0</v>
      </c>
      <c r="L137" s="306"/>
      <c r="M137" s="310">
        <f>Table24[[#This Row],[O - DEMAND]]/950</f>
        <v>0</v>
      </c>
      <c r="N137" s="306">
        <f>IFERROR(VLOOKUP(Table24[[#This Row],[ROUTE]],DEMAND!A:F,5,FALSE),0)</f>
        <v>0</v>
      </c>
      <c r="O137" s="306">
        <f>IFERROR(VLOOKUP(Table24[[#This Row],[ROUTE]],DEMAND!A:F,6,FALSE),0)</f>
        <v>0</v>
      </c>
      <c r="P137" s="306">
        <f>ROUNDDOWN(Table24[[#This Row],[R-DEMAND]]/950,0)</f>
        <v>0</v>
      </c>
      <c r="Q137" s="306">
        <f>Table24[[#This Row],[ADD ACC
(475/950)]]*Table24[[#This Row],[Duration
(A359)]]</f>
        <v>0</v>
      </c>
      <c r="R137" s="307">
        <f>IFERROR(VLOOKUP(Table24[[#This Row],[ROUTE]],PRICING!A:B,2,FALSE),0)</f>
        <v>0</v>
      </c>
      <c r="S137" s="308">
        <f>Table24[[#This Row],[C_DEMAND]]-Table24[[#This Row],[R-DEMAND]]</f>
        <v>0</v>
      </c>
      <c r="T137" s="307">
        <f>Table24[[#This Row],[SEATS SOLD]]*Table24[[#This Row],[ECO SEAT]]</f>
        <v>0</v>
      </c>
      <c r="U137" s="307">
        <f>Table24[[#This Row],[SEATS SOLD]]*(IFERROR(VLOOKUP(Table24[[#This Row],[ROUTE]],PRICING!A:C,3,FALSE),0))</f>
        <v>0</v>
      </c>
      <c r="V137" s="307">
        <f>Table24[[#This Row],[SEAT REV]]-Table24[[#This Row],[SEAT REV
(IF IDEAL $)]]</f>
        <v>0</v>
      </c>
    </row>
    <row r="138" spans="1:22" customFormat="1" x14ac:dyDescent="0.25">
      <c r="A138" s="306" t="s">
        <v>17381</v>
      </c>
      <c r="B138" s="306" t="s">
        <v>422</v>
      </c>
      <c r="C138" s="306"/>
      <c r="D138" s="26">
        <v>2</v>
      </c>
      <c r="E138" s="312" t="s">
        <v>3163</v>
      </c>
      <c r="F138" s="306" t="str">
        <f>VLOOKUP(Table24[[#This Row],[Country]],Table10[[COUNTRY NAME]:[CONTINENT CODE]],3,FALSE)</f>
        <v>AS</v>
      </c>
      <c r="G138" s="312" t="s">
        <v>11923</v>
      </c>
      <c r="H138" s="309">
        <v>11158</v>
      </c>
      <c r="I138" s="310">
        <v>26.5</v>
      </c>
      <c r="J138" s="307"/>
      <c r="K138" s="307">
        <f>IFERROR(Table24[[#This Row],[ROUTE COST]]/Table24[[#This Row],[O - DEMAND]],0)</f>
        <v>0</v>
      </c>
      <c r="L138" s="306"/>
      <c r="M138" s="310">
        <f>Table24[[#This Row],[O - DEMAND]]/950</f>
        <v>0</v>
      </c>
      <c r="N138" s="306">
        <f>IFERROR(VLOOKUP(Table24[[#This Row],[ROUTE]],DEMAND!A:F,5,FALSE),0)</f>
        <v>0</v>
      </c>
      <c r="O138" s="306">
        <f>IFERROR(VLOOKUP(Table24[[#This Row],[ROUTE]],DEMAND!A:F,6,FALSE),0)</f>
        <v>0</v>
      </c>
      <c r="P138" s="306">
        <f>ROUNDDOWN(Table24[[#This Row],[R-DEMAND]]/950,0)</f>
        <v>0</v>
      </c>
      <c r="Q138" s="306">
        <f>Table24[[#This Row],[ADD ACC
(475/950)]]*Table24[[#This Row],[Duration
(A359)]]</f>
        <v>0</v>
      </c>
      <c r="R138" s="307">
        <f>IFERROR(VLOOKUP(Table24[[#This Row],[ROUTE]],PRICING!A:B,2,FALSE),0)</f>
        <v>0</v>
      </c>
      <c r="S138" s="308">
        <f>Table24[[#This Row],[C_DEMAND]]-Table24[[#This Row],[R-DEMAND]]</f>
        <v>0</v>
      </c>
      <c r="T138" s="307">
        <f>Table24[[#This Row],[SEATS SOLD]]*Table24[[#This Row],[ECO SEAT]]</f>
        <v>0</v>
      </c>
      <c r="U138" s="307">
        <f>Table24[[#This Row],[SEATS SOLD]]*(IFERROR(VLOOKUP(Table24[[#This Row],[ROUTE]],PRICING!A:C,3,FALSE),0))</f>
        <v>0</v>
      </c>
      <c r="V138" s="307">
        <f>Table24[[#This Row],[SEAT REV]]-Table24[[#This Row],[SEAT REV
(IF IDEAL $)]]</f>
        <v>0</v>
      </c>
    </row>
    <row r="139" spans="1:22" customFormat="1" x14ac:dyDescent="0.25">
      <c r="A139" s="306" t="s">
        <v>17382</v>
      </c>
      <c r="B139" s="306" t="s">
        <v>3219</v>
      </c>
      <c r="C139" s="306"/>
      <c r="D139" s="26">
        <v>2</v>
      </c>
      <c r="E139" s="312" t="s">
        <v>172</v>
      </c>
      <c r="F139" s="306" t="str">
        <f>VLOOKUP(Table24[[#This Row],[Country]],Table10[[COUNTRY NAME]:[CONTINENT CODE]],3,FALSE)</f>
        <v>AS</v>
      </c>
      <c r="G139" s="312" t="s">
        <v>11913</v>
      </c>
      <c r="H139" s="309">
        <v>11102</v>
      </c>
      <c r="I139" s="310">
        <v>26.5</v>
      </c>
      <c r="J139" s="307"/>
      <c r="K139" s="307">
        <f>IFERROR(Table24[[#This Row],[ROUTE COST]]/Table24[[#This Row],[O - DEMAND]],0)</f>
        <v>0</v>
      </c>
      <c r="L139" s="306"/>
      <c r="M139" s="310">
        <f>Table24[[#This Row],[O - DEMAND]]/950</f>
        <v>0</v>
      </c>
      <c r="N139" s="306">
        <f>IFERROR(VLOOKUP(Table24[[#This Row],[ROUTE]],DEMAND!A:F,5,FALSE),0)</f>
        <v>0</v>
      </c>
      <c r="O139" s="306">
        <f>IFERROR(VLOOKUP(Table24[[#This Row],[ROUTE]],DEMAND!A:F,6,FALSE),0)</f>
        <v>0</v>
      </c>
      <c r="P139" s="306">
        <f>ROUNDDOWN(Table24[[#This Row],[R-DEMAND]]/950,0)</f>
        <v>0</v>
      </c>
      <c r="Q139" s="306">
        <f>Table24[[#This Row],[ADD ACC
(475/950)]]*Table24[[#This Row],[Duration
(A359)]]</f>
        <v>0</v>
      </c>
      <c r="R139" s="307">
        <f>IFERROR(VLOOKUP(Table24[[#This Row],[ROUTE]],PRICING!A:B,2,FALSE),0)</f>
        <v>0</v>
      </c>
      <c r="S139" s="308">
        <f>Table24[[#This Row],[C_DEMAND]]-Table24[[#This Row],[R-DEMAND]]</f>
        <v>0</v>
      </c>
      <c r="T139" s="307">
        <f>Table24[[#This Row],[SEATS SOLD]]*Table24[[#This Row],[ECO SEAT]]</f>
        <v>0</v>
      </c>
      <c r="U139" s="307">
        <f>Table24[[#This Row],[SEATS SOLD]]*(IFERROR(VLOOKUP(Table24[[#This Row],[ROUTE]],PRICING!A:C,3,FALSE),0))</f>
        <v>0</v>
      </c>
      <c r="V139" s="307">
        <f>Table24[[#This Row],[SEAT REV]]-Table24[[#This Row],[SEAT REV
(IF IDEAL $)]]</f>
        <v>0</v>
      </c>
    </row>
    <row r="140" spans="1:22" customFormat="1" x14ac:dyDescent="0.25">
      <c r="A140" s="306" t="s">
        <v>17129</v>
      </c>
      <c r="B140" s="306" t="s">
        <v>1197</v>
      </c>
      <c r="C140" s="306"/>
      <c r="D140" s="26">
        <v>1</v>
      </c>
      <c r="E140" s="312" t="s">
        <v>11823</v>
      </c>
      <c r="F140" s="306" t="str">
        <f>VLOOKUP(Table24[[#This Row],[Country]],Table10[[COUNTRY NAME]:[CONTINENT CODE]],3,FALSE)</f>
        <v>AF</v>
      </c>
      <c r="G140" s="312" t="s">
        <v>16858</v>
      </c>
      <c r="H140" s="309">
        <v>11105</v>
      </c>
      <c r="I140" s="310">
        <v>26.5</v>
      </c>
      <c r="J140" s="307"/>
      <c r="K140" s="307">
        <f>IFERROR(Table24[[#This Row],[ROUTE COST]]/Table24[[#This Row],[O - DEMAND]],0)</f>
        <v>0</v>
      </c>
      <c r="L140" s="306"/>
      <c r="M140" s="310">
        <f>Table24[[#This Row],[O - DEMAND]]/950</f>
        <v>0</v>
      </c>
      <c r="N140" s="306">
        <f>IFERROR(VLOOKUP(Table24[[#This Row],[ROUTE]],DEMAND!A:F,5,FALSE),0)</f>
        <v>0</v>
      </c>
      <c r="O140" s="306">
        <f>IFERROR(VLOOKUP(Table24[[#This Row],[ROUTE]],DEMAND!A:F,6,FALSE),0)</f>
        <v>0</v>
      </c>
      <c r="P140" s="306">
        <f>ROUNDDOWN(Table24[[#This Row],[R-DEMAND]]/950,0)</f>
        <v>0</v>
      </c>
      <c r="Q140" s="306">
        <f>Table24[[#This Row],[ADD ACC
(475/950)]]*Table24[[#This Row],[Duration
(A359)]]</f>
        <v>0</v>
      </c>
      <c r="R140" s="307">
        <f>IFERROR(VLOOKUP(Table24[[#This Row],[ROUTE]],PRICING!A:B,2,FALSE),0)</f>
        <v>0</v>
      </c>
      <c r="S140" s="308">
        <f>Table24[[#This Row],[C_DEMAND]]-Table24[[#This Row],[R-DEMAND]]</f>
        <v>0</v>
      </c>
      <c r="T140" s="307">
        <f>Table24[[#This Row],[SEATS SOLD]]*Table24[[#This Row],[ECO SEAT]]</f>
        <v>0</v>
      </c>
      <c r="U140" s="307">
        <f>Table24[[#This Row],[SEATS SOLD]]*(IFERROR(VLOOKUP(Table24[[#This Row],[ROUTE]],PRICING!A:C,3,FALSE),0))</f>
        <v>0</v>
      </c>
      <c r="V140" s="307">
        <f>Table24[[#This Row],[SEAT REV]]-Table24[[#This Row],[SEAT REV
(IF IDEAL $)]]</f>
        <v>0</v>
      </c>
    </row>
    <row r="141" spans="1:22" customFormat="1" x14ac:dyDescent="0.25">
      <c r="A141" s="306" t="s">
        <v>17181</v>
      </c>
      <c r="B141" s="306" t="s">
        <v>3650</v>
      </c>
      <c r="C141" s="306"/>
      <c r="D141" s="26">
        <v>2</v>
      </c>
      <c r="E141" s="312" t="s">
        <v>881</v>
      </c>
      <c r="F141" s="306" t="str">
        <f>VLOOKUP(Table24[[#This Row],[Country]],Table10[[COUNTRY NAME]:[CONTINENT CODE]],3,FALSE)</f>
        <v>AF</v>
      </c>
      <c r="G141" s="312" t="s">
        <v>11896</v>
      </c>
      <c r="H141" s="309">
        <v>10958</v>
      </c>
      <c r="I141" s="310">
        <v>26.25</v>
      </c>
      <c r="J141" s="307"/>
      <c r="K141" s="307">
        <f>IFERROR(Table24[[#This Row],[ROUTE COST]]/Table24[[#This Row],[O - DEMAND]],0)</f>
        <v>0</v>
      </c>
      <c r="L141" s="306"/>
      <c r="M141" s="310">
        <f>Table24[[#This Row],[O - DEMAND]]/950</f>
        <v>0</v>
      </c>
      <c r="N141" s="306">
        <f>IFERROR(VLOOKUP(Table24[[#This Row],[ROUTE]],DEMAND!A:F,5,FALSE),0)</f>
        <v>0</v>
      </c>
      <c r="O141" s="306">
        <f>IFERROR(VLOOKUP(Table24[[#This Row],[ROUTE]],DEMAND!A:F,6,FALSE),0)</f>
        <v>0</v>
      </c>
      <c r="P141" s="306">
        <f>ROUNDDOWN(Table24[[#This Row],[R-DEMAND]]/950,0)</f>
        <v>0</v>
      </c>
      <c r="Q141" s="306">
        <f>Table24[[#This Row],[ADD ACC
(475/950)]]*Table24[[#This Row],[Duration
(A359)]]</f>
        <v>0</v>
      </c>
      <c r="R141" s="307">
        <f>IFERROR(VLOOKUP(Table24[[#This Row],[ROUTE]],PRICING!A:B,2,FALSE),0)</f>
        <v>0</v>
      </c>
      <c r="S141" s="308">
        <f>Table24[[#This Row],[C_DEMAND]]-Table24[[#This Row],[R-DEMAND]]</f>
        <v>0</v>
      </c>
      <c r="T141" s="307">
        <f>Table24[[#This Row],[SEATS SOLD]]*Table24[[#This Row],[ECO SEAT]]</f>
        <v>0</v>
      </c>
      <c r="U141" s="307">
        <f>Table24[[#This Row],[SEATS SOLD]]*(IFERROR(VLOOKUP(Table24[[#This Row],[ROUTE]],PRICING!A:C,3,FALSE),0))</f>
        <v>0</v>
      </c>
      <c r="V141" s="307">
        <f>Table24[[#This Row],[SEAT REV]]-Table24[[#This Row],[SEAT REV
(IF IDEAL $)]]</f>
        <v>0</v>
      </c>
    </row>
    <row r="142" spans="1:22" customFormat="1" x14ac:dyDescent="0.25">
      <c r="A142" s="306" t="s">
        <v>17607</v>
      </c>
      <c r="B142" s="306" t="s">
        <v>3626</v>
      </c>
      <c r="C142" s="306"/>
      <c r="D142" s="26">
        <v>2</v>
      </c>
      <c r="E142" s="312" t="s">
        <v>78</v>
      </c>
      <c r="F142" s="306" t="str">
        <f>VLOOKUP(Table24[[#This Row],[Country]],Table10[[COUNTRY NAME]:[CONTINENT CODE]],3,FALSE)</f>
        <v>EU</v>
      </c>
      <c r="G142" s="312" t="s">
        <v>11932</v>
      </c>
      <c r="H142" s="309">
        <v>10981</v>
      </c>
      <c r="I142" s="310">
        <v>26.25</v>
      </c>
      <c r="J142" s="307"/>
      <c r="K142" s="307">
        <f>IFERROR(Table24[[#This Row],[ROUTE COST]]/Table24[[#This Row],[O - DEMAND]],0)</f>
        <v>0</v>
      </c>
      <c r="L142" s="306"/>
      <c r="M142" s="310">
        <f>Table24[[#This Row],[O - DEMAND]]/950</f>
        <v>0</v>
      </c>
      <c r="N142" s="306">
        <f>IFERROR(VLOOKUP(Table24[[#This Row],[ROUTE]],DEMAND!A:F,5,FALSE),0)</f>
        <v>0</v>
      </c>
      <c r="O142" s="306">
        <f>IFERROR(VLOOKUP(Table24[[#This Row],[ROUTE]],DEMAND!A:F,6,FALSE),0)</f>
        <v>0</v>
      </c>
      <c r="P142" s="306">
        <f>ROUNDDOWN(Table24[[#This Row],[R-DEMAND]]/950,0)</f>
        <v>0</v>
      </c>
      <c r="Q142" s="306">
        <f>Table24[[#This Row],[ADD ACC
(475/950)]]*Table24[[#This Row],[Duration
(A359)]]</f>
        <v>0</v>
      </c>
      <c r="R142" s="307">
        <f>IFERROR(VLOOKUP(Table24[[#This Row],[ROUTE]],PRICING!A:B,2,FALSE),0)</f>
        <v>0</v>
      </c>
      <c r="S142" s="308">
        <f>Table24[[#This Row],[C_DEMAND]]-Table24[[#This Row],[R-DEMAND]]</f>
        <v>0</v>
      </c>
      <c r="T142" s="307">
        <f>Table24[[#This Row],[SEATS SOLD]]*Table24[[#This Row],[ECO SEAT]]</f>
        <v>0</v>
      </c>
      <c r="U142" s="307">
        <f>Table24[[#This Row],[SEATS SOLD]]*(IFERROR(VLOOKUP(Table24[[#This Row],[ROUTE]],PRICING!A:C,3,FALSE),0))</f>
        <v>0</v>
      </c>
      <c r="V142" s="307">
        <f>Table24[[#This Row],[SEAT REV]]-Table24[[#This Row],[SEAT REV
(IF IDEAL $)]]</f>
        <v>0</v>
      </c>
    </row>
    <row r="143" spans="1:22" customFormat="1" x14ac:dyDescent="0.25">
      <c r="A143" s="306" t="s">
        <v>17384</v>
      </c>
      <c r="B143" s="306" t="s">
        <v>4611</v>
      </c>
      <c r="C143" s="306"/>
      <c r="D143" s="26">
        <v>2</v>
      </c>
      <c r="E143" s="312" t="s">
        <v>502</v>
      </c>
      <c r="F143" s="306" t="str">
        <f>VLOOKUP(Table24[[#This Row],[Country]],Table10[[COUNTRY NAME]:[CONTINENT CODE]],3,FALSE)</f>
        <v>AS</v>
      </c>
      <c r="G143" s="312" t="s">
        <v>11921</v>
      </c>
      <c r="H143" s="309">
        <v>11030</v>
      </c>
      <c r="I143" s="310">
        <v>26.25</v>
      </c>
      <c r="J143" s="307"/>
      <c r="K143" s="307">
        <f>IFERROR(Table24[[#This Row],[ROUTE COST]]/Table24[[#This Row],[O - DEMAND]],0)</f>
        <v>0</v>
      </c>
      <c r="L143" s="306"/>
      <c r="M143" s="310">
        <f>Table24[[#This Row],[O - DEMAND]]/950</f>
        <v>0</v>
      </c>
      <c r="N143" s="306">
        <f>IFERROR(VLOOKUP(Table24[[#This Row],[ROUTE]],DEMAND!A:F,5,FALSE),0)</f>
        <v>0</v>
      </c>
      <c r="O143" s="306">
        <f>IFERROR(VLOOKUP(Table24[[#This Row],[ROUTE]],DEMAND!A:F,6,FALSE),0)</f>
        <v>0</v>
      </c>
      <c r="P143" s="306">
        <f>ROUNDDOWN(Table24[[#This Row],[R-DEMAND]]/950,0)</f>
        <v>0</v>
      </c>
      <c r="Q143" s="306">
        <f>Table24[[#This Row],[ADD ACC
(475/950)]]*Table24[[#This Row],[Duration
(A359)]]</f>
        <v>0</v>
      </c>
      <c r="R143" s="307">
        <f>IFERROR(VLOOKUP(Table24[[#This Row],[ROUTE]],PRICING!A:B,2,FALSE),0)</f>
        <v>0</v>
      </c>
      <c r="S143" s="308">
        <f>Table24[[#This Row],[C_DEMAND]]-Table24[[#This Row],[R-DEMAND]]</f>
        <v>0</v>
      </c>
      <c r="T143" s="307">
        <f>Table24[[#This Row],[SEATS SOLD]]*Table24[[#This Row],[ECO SEAT]]</f>
        <v>0</v>
      </c>
      <c r="U143" s="307">
        <f>Table24[[#This Row],[SEATS SOLD]]*(IFERROR(VLOOKUP(Table24[[#This Row],[ROUTE]],PRICING!A:C,3,FALSE),0))</f>
        <v>0</v>
      </c>
      <c r="V143" s="307">
        <f>Table24[[#This Row],[SEAT REV]]-Table24[[#This Row],[SEAT REV
(IF IDEAL $)]]</f>
        <v>0</v>
      </c>
    </row>
    <row r="144" spans="1:22" customFormat="1" x14ac:dyDescent="0.25">
      <c r="A144" s="306" t="s">
        <v>17383</v>
      </c>
      <c r="B144" s="306" t="s">
        <v>3074</v>
      </c>
      <c r="C144" s="306"/>
      <c r="D144" s="26">
        <v>2</v>
      </c>
      <c r="E144" s="312" t="s">
        <v>172</v>
      </c>
      <c r="F144" s="306" t="str">
        <f>VLOOKUP(Table24[[#This Row],[Country]],Table10[[COUNTRY NAME]:[CONTINENT CODE]],3,FALSE)</f>
        <v>AS</v>
      </c>
      <c r="G144" s="312" t="s">
        <v>7651</v>
      </c>
      <c r="H144" s="309">
        <v>11032</v>
      </c>
      <c r="I144" s="310">
        <v>26.25</v>
      </c>
      <c r="J144" s="307"/>
      <c r="K144" s="307">
        <f>IFERROR(Table24[[#This Row],[ROUTE COST]]/Table24[[#This Row],[O - DEMAND]],0)</f>
        <v>0</v>
      </c>
      <c r="L144" s="306"/>
      <c r="M144" s="310">
        <f>Table24[[#This Row],[O - DEMAND]]/950</f>
        <v>0</v>
      </c>
      <c r="N144" s="306">
        <f>IFERROR(VLOOKUP(Table24[[#This Row],[ROUTE]],DEMAND!A:F,5,FALSE),0)</f>
        <v>0</v>
      </c>
      <c r="O144" s="306">
        <f>IFERROR(VLOOKUP(Table24[[#This Row],[ROUTE]],DEMAND!A:F,6,FALSE),0)</f>
        <v>0</v>
      </c>
      <c r="P144" s="306">
        <f>ROUNDDOWN(Table24[[#This Row],[R-DEMAND]]/950,0)</f>
        <v>0</v>
      </c>
      <c r="Q144" s="306">
        <f>Table24[[#This Row],[ADD ACC
(475/950)]]*Table24[[#This Row],[Duration
(A359)]]</f>
        <v>0</v>
      </c>
      <c r="R144" s="307">
        <f>IFERROR(VLOOKUP(Table24[[#This Row],[ROUTE]],PRICING!A:B,2,FALSE),0)</f>
        <v>0</v>
      </c>
      <c r="S144" s="308">
        <f>Table24[[#This Row],[C_DEMAND]]-Table24[[#This Row],[R-DEMAND]]</f>
        <v>0</v>
      </c>
      <c r="T144" s="307">
        <f>Table24[[#This Row],[SEATS SOLD]]*Table24[[#This Row],[ECO SEAT]]</f>
        <v>0</v>
      </c>
      <c r="U144" s="307">
        <f>Table24[[#This Row],[SEATS SOLD]]*(IFERROR(VLOOKUP(Table24[[#This Row],[ROUTE]],PRICING!A:C,3,FALSE),0))</f>
        <v>0</v>
      </c>
      <c r="V144" s="307">
        <f>Table24[[#This Row],[SEAT REV]]-Table24[[#This Row],[SEAT REV
(IF IDEAL $)]]</f>
        <v>0</v>
      </c>
    </row>
    <row r="145" spans="1:22" customFormat="1" x14ac:dyDescent="0.25">
      <c r="A145" s="306" t="s">
        <v>17608</v>
      </c>
      <c r="B145" s="306" t="s">
        <v>3365</v>
      </c>
      <c r="C145" s="306"/>
      <c r="D145" s="26">
        <v>2</v>
      </c>
      <c r="E145" s="312" t="s">
        <v>588</v>
      </c>
      <c r="F145" s="306" t="str">
        <f>VLOOKUP(Table24[[#This Row],[Country]],Table10[[COUNTRY NAME]:[CONTINENT CODE]],3,FALSE)</f>
        <v>EU</v>
      </c>
      <c r="G145" s="312" t="s">
        <v>11924</v>
      </c>
      <c r="H145" s="309">
        <v>10909</v>
      </c>
      <c r="I145" s="310">
        <v>26</v>
      </c>
      <c r="J145" s="307"/>
      <c r="K145" s="307">
        <f>IFERROR(Table24[[#This Row],[ROUTE COST]]/Table24[[#This Row],[O - DEMAND]],0)</f>
        <v>0</v>
      </c>
      <c r="L145" s="306"/>
      <c r="M145" s="310">
        <f>Table24[[#This Row],[O - DEMAND]]/950</f>
        <v>0</v>
      </c>
      <c r="N145" s="306">
        <f>IFERROR(VLOOKUP(Table24[[#This Row],[ROUTE]],DEMAND!A:F,5,FALSE),0)</f>
        <v>0</v>
      </c>
      <c r="O145" s="306">
        <f>IFERROR(VLOOKUP(Table24[[#This Row],[ROUTE]],DEMAND!A:F,6,FALSE),0)</f>
        <v>0</v>
      </c>
      <c r="P145" s="306">
        <f>ROUNDDOWN(Table24[[#This Row],[R-DEMAND]]/950,0)</f>
        <v>0</v>
      </c>
      <c r="Q145" s="306">
        <f>Table24[[#This Row],[ADD ACC
(475/950)]]*Table24[[#This Row],[Duration
(A359)]]</f>
        <v>0</v>
      </c>
      <c r="R145" s="307">
        <f>IFERROR(VLOOKUP(Table24[[#This Row],[ROUTE]],PRICING!A:B,2,FALSE),0)</f>
        <v>0</v>
      </c>
      <c r="S145" s="308">
        <f>Table24[[#This Row],[C_DEMAND]]-Table24[[#This Row],[R-DEMAND]]</f>
        <v>0</v>
      </c>
      <c r="T145" s="307">
        <f>Table24[[#This Row],[SEATS SOLD]]*Table24[[#This Row],[ECO SEAT]]</f>
        <v>0</v>
      </c>
      <c r="U145" s="307">
        <f>Table24[[#This Row],[SEATS SOLD]]*(IFERROR(VLOOKUP(Table24[[#This Row],[ROUTE]],PRICING!A:C,3,FALSE),0))</f>
        <v>0</v>
      </c>
      <c r="V145" s="307">
        <f>Table24[[#This Row],[SEAT REV]]-Table24[[#This Row],[SEAT REV
(IF IDEAL $)]]</f>
        <v>0</v>
      </c>
    </row>
    <row r="146" spans="1:22" customFormat="1" x14ac:dyDescent="0.25">
      <c r="A146" s="306" t="s">
        <v>17609</v>
      </c>
      <c r="B146" s="306" t="s">
        <v>3000</v>
      </c>
      <c r="C146" s="306"/>
      <c r="D146" s="26">
        <v>2</v>
      </c>
      <c r="E146" s="312" t="s">
        <v>1377</v>
      </c>
      <c r="F146" s="306" t="str">
        <f>VLOOKUP(Table24[[#This Row],[Country]],Table10[[COUNTRY NAME]:[CONTINENT CODE]],3,FALSE)</f>
        <v>EU</v>
      </c>
      <c r="G146" s="312" t="s">
        <v>16859</v>
      </c>
      <c r="H146" s="309">
        <v>10879</v>
      </c>
      <c r="I146" s="310">
        <v>26</v>
      </c>
      <c r="J146" s="307"/>
      <c r="K146" s="307">
        <f>IFERROR(Table24[[#This Row],[ROUTE COST]]/Table24[[#This Row],[O - DEMAND]],0)</f>
        <v>0</v>
      </c>
      <c r="L146" s="306"/>
      <c r="M146" s="310">
        <f>Table24[[#This Row],[O - DEMAND]]/950</f>
        <v>0</v>
      </c>
      <c r="N146" s="306">
        <f>IFERROR(VLOOKUP(Table24[[#This Row],[ROUTE]],DEMAND!A:F,5,FALSE),0)</f>
        <v>0</v>
      </c>
      <c r="O146" s="306">
        <f>IFERROR(VLOOKUP(Table24[[#This Row],[ROUTE]],DEMAND!A:F,6,FALSE),0)</f>
        <v>0</v>
      </c>
      <c r="P146" s="306">
        <f>ROUNDDOWN(Table24[[#This Row],[R-DEMAND]]/950,0)</f>
        <v>0</v>
      </c>
      <c r="Q146" s="306">
        <f>Table24[[#This Row],[ADD ACC
(475/950)]]*Table24[[#This Row],[Duration
(A359)]]</f>
        <v>0</v>
      </c>
      <c r="R146" s="307">
        <f>IFERROR(VLOOKUP(Table24[[#This Row],[ROUTE]],PRICING!A:B,2,FALSE),0)</f>
        <v>0</v>
      </c>
      <c r="S146" s="308">
        <f>Table24[[#This Row],[C_DEMAND]]-Table24[[#This Row],[R-DEMAND]]</f>
        <v>0</v>
      </c>
      <c r="T146" s="307">
        <f>Table24[[#This Row],[SEATS SOLD]]*Table24[[#This Row],[ECO SEAT]]</f>
        <v>0</v>
      </c>
      <c r="U146" s="307">
        <f>Table24[[#This Row],[SEATS SOLD]]*(IFERROR(VLOOKUP(Table24[[#This Row],[ROUTE]],PRICING!A:C,3,FALSE),0))</f>
        <v>0</v>
      </c>
      <c r="V146" s="307">
        <f>Table24[[#This Row],[SEAT REV]]-Table24[[#This Row],[SEAT REV
(IF IDEAL $)]]</f>
        <v>0</v>
      </c>
    </row>
    <row r="147" spans="1:22" customFormat="1" x14ac:dyDescent="0.25">
      <c r="A147" s="306" t="s">
        <v>17610</v>
      </c>
      <c r="B147" s="306" t="s">
        <v>4106</v>
      </c>
      <c r="C147" s="306"/>
      <c r="D147" s="26">
        <v>2</v>
      </c>
      <c r="E147" s="312" t="s">
        <v>78</v>
      </c>
      <c r="F147" s="306" t="str">
        <f>VLOOKUP(Table24[[#This Row],[Country]],Table10[[COUNTRY NAME]:[CONTINENT CODE]],3,FALSE)</f>
        <v>EU</v>
      </c>
      <c r="G147" s="312" t="s">
        <v>6123</v>
      </c>
      <c r="H147" s="309">
        <v>10838</v>
      </c>
      <c r="I147" s="310">
        <v>26</v>
      </c>
      <c r="J147" s="307"/>
      <c r="K147" s="307">
        <f>IFERROR(Table24[[#This Row],[ROUTE COST]]/Table24[[#This Row],[O - DEMAND]],0)</f>
        <v>0</v>
      </c>
      <c r="L147" s="306"/>
      <c r="M147" s="310">
        <f>Table24[[#This Row],[O - DEMAND]]/950</f>
        <v>0</v>
      </c>
      <c r="N147" s="306">
        <f>IFERROR(VLOOKUP(Table24[[#This Row],[ROUTE]],DEMAND!A:F,5,FALSE),0)</f>
        <v>0</v>
      </c>
      <c r="O147" s="306">
        <f>IFERROR(VLOOKUP(Table24[[#This Row],[ROUTE]],DEMAND!A:F,6,FALSE),0)</f>
        <v>0</v>
      </c>
      <c r="P147" s="306">
        <f>ROUNDDOWN(Table24[[#This Row],[R-DEMAND]]/950,0)</f>
        <v>0</v>
      </c>
      <c r="Q147" s="306">
        <f>Table24[[#This Row],[ADD ACC
(475/950)]]*Table24[[#This Row],[Duration
(A359)]]</f>
        <v>0</v>
      </c>
      <c r="R147" s="307">
        <f>IFERROR(VLOOKUP(Table24[[#This Row],[ROUTE]],PRICING!A:B,2,FALSE),0)</f>
        <v>0</v>
      </c>
      <c r="S147" s="308">
        <f>Table24[[#This Row],[C_DEMAND]]-Table24[[#This Row],[R-DEMAND]]</f>
        <v>0</v>
      </c>
      <c r="T147" s="307">
        <f>Table24[[#This Row],[SEATS SOLD]]*Table24[[#This Row],[ECO SEAT]]</f>
        <v>0</v>
      </c>
      <c r="U147" s="307">
        <f>Table24[[#This Row],[SEATS SOLD]]*(IFERROR(VLOOKUP(Table24[[#This Row],[ROUTE]],PRICING!A:C,3,FALSE),0))</f>
        <v>0</v>
      </c>
      <c r="V147" s="307">
        <f>Table24[[#This Row],[SEAT REV]]-Table24[[#This Row],[SEAT REV
(IF IDEAL $)]]</f>
        <v>0</v>
      </c>
    </row>
    <row r="148" spans="1:22" customFormat="1" x14ac:dyDescent="0.25">
      <c r="A148" s="306" t="s">
        <v>17179</v>
      </c>
      <c r="B148" s="306" t="s">
        <v>883</v>
      </c>
      <c r="C148" s="306"/>
      <c r="D148" s="26">
        <v>1</v>
      </c>
      <c r="E148" s="312" t="s">
        <v>881</v>
      </c>
      <c r="F148" s="306" t="str">
        <f>VLOOKUP(Table24[[#This Row],[Country]],Table10[[COUNTRY NAME]:[CONTINENT CODE]],3,FALSE)</f>
        <v>AF</v>
      </c>
      <c r="G148" s="312" t="s">
        <v>9981</v>
      </c>
      <c r="H148" s="309">
        <v>10826</v>
      </c>
      <c r="I148" s="310">
        <v>26</v>
      </c>
      <c r="J148" s="307"/>
      <c r="K148" s="307">
        <f>IFERROR(Table24[[#This Row],[ROUTE COST]]/Table24[[#This Row],[O - DEMAND]],0)</f>
        <v>0</v>
      </c>
      <c r="L148" s="306"/>
      <c r="M148" s="310">
        <f>Table24[[#This Row],[O - DEMAND]]/950</f>
        <v>0</v>
      </c>
      <c r="N148" s="306">
        <f>IFERROR(VLOOKUP(Table24[[#This Row],[ROUTE]],DEMAND!A:F,5,FALSE),0)</f>
        <v>0</v>
      </c>
      <c r="O148" s="306">
        <f>IFERROR(VLOOKUP(Table24[[#This Row],[ROUTE]],DEMAND!A:F,6,FALSE),0)</f>
        <v>0</v>
      </c>
      <c r="P148" s="306">
        <f>ROUNDDOWN(Table24[[#This Row],[R-DEMAND]]/950,0)</f>
        <v>0</v>
      </c>
      <c r="Q148" s="306">
        <f>Table24[[#This Row],[ADD ACC
(475/950)]]*Table24[[#This Row],[Duration
(A359)]]</f>
        <v>0</v>
      </c>
      <c r="R148" s="307">
        <f>IFERROR(VLOOKUP(Table24[[#This Row],[ROUTE]],PRICING!A:B,2,FALSE),0)</f>
        <v>0</v>
      </c>
      <c r="S148" s="308">
        <f>Table24[[#This Row],[C_DEMAND]]-Table24[[#This Row],[R-DEMAND]]</f>
        <v>0</v>
      </c>
      <c r="T148" s="307">
        <f>Table24[[#This Row],[SEATS SOLD]]*Table24[[#This Row],[ECO SEAT]]</f>
        <v>0</v>
      </c>
      <c r="U148" s="307">
        <f>Table24[[#This Row],[SEATS SOLD]]*(IFERROR(VLOOKUP(Table24[[#This Row],[ROUTE]],PRICING!A:C,3,FALSE),0))</f>
        <v>0</v>
      </c>
      <c r="V148" s="307">
        <f>Table24[[#This Row],[SEAT REV]]-Table24[[#This Row],[SEAT REV
(IF IDEAL $)]]</f>
        <v>0</v>
      </c>
    </row>
    <row r="149" spans="1:22" customFormat="1" x14ac:dyDescent="0.25">
      <c r="A149" s="306" t="s">
        <v>17705</v>
      </c>
      <c r="B149" s="306" t="s">
        <v>590</v>
      </c>
      <c r="C149" s="306"/>
      <c r="D149" s="26">
        <v>1</v>
      </c>
      <c r="E149" s="312" t="s">
        <v>588</v>
      </c>
      <c r="F149" s="306" t="str">
        <f>VLOOKUP(Table24[[#This Row],[Country]],Table10[[COUNTRY NAME]:[CONTINENT CODE]],3,FALSE)</f>
        <v>EU</v>
      </c>
      <c r="G149" s="312" t="s">
        <v>9615</v>
      </c>
      <c r="H149" s="309">
        <v>10829</v>
      </c>
      <c r="I149" s="310">
        <v>26</v>
      </c>
      <c r="J149" s="307"/>
      <c r="K149" s="307">
        <f>IFERROR(Table24[[#This Row],[ROUTE COST]]/Table24[[#This Row],[O - DEMAND]],0)</f>
        <v>0</v>
      </c>
      <c r="L149" s="306"/>
      <c r="M149" s="310">
        <f>Table24[[#This Row],[O - DEMAND]]/950</f>
        <v>0</v>
      </c>
      <c r="N149" s="306">
        <f>IFERROR(VLOOKUP(Table24[[#This Row],[ROUTE]],DEMAND!A:F,5,FALSE),0)</f>
        <v>0</v>
      </c>
      <c r="O149" s="306">
        <f>IFERROR(VLOOKUP(Table24[[#This Row],[ROUTE]],DEMAND!A:F,6,FALSE),0)</f>
        <v>0</v>
      </c>
      <c r="P149" s="306">
        <f>ROUNDDOWN(Table24[[#This Row],[R-DEMAND]]/950,0)</f>
        <v>0</v>
      </c>
      <c r="Q149" s="306">
        <f>Table24[[#This Row],[ADD ACC
(475/950)]]*Table24[[#This Row],[Duration
(A359)]]</f>
        <v>0</v>
      </c>
      <c r="R149" s="307">
        <f>IFERROR(VLOOKUP(Table24[[#This Row],[ROUTE]],PRICING!A:B,2,FALSE),0)</f>
        <v>0</v>
      </c>
      <c r="S149" s="308">
        <f>Table24[[#This Row],[C_DEMAND]]-Table24[[#This Row],[R-DEMAND]]</f>
        <v>0</v>
      </c>
      <c r="T149" s="307">
        <f>Table24[[#This Row],[SEATS SOLD]]*Table24[[#This Row],[ECO SEAT]]</f>
        <v>0</v>
      </c>
      <c r="U149" s="307">
        <f>Table24[[#This Row],[SEATS SOLD]]*(IFERROR(VLOOKUP(Table24[[#This Row],[ROUTE]],PRICING!A:C,3,FALSE),0))</f>
        <v>0</v>
      </c>
      <c r="V149" s="307">
        <f>Table24[[#This Row],[SEAT REV]]-Table24[[#This Row],[SEAT REV
(IF IDEAL $)]]</f>
        <v>0</v>
      </c>
    </row>
    <row r="150" spans="1:22" customFormat="1" x14ac:dyDescent="0.25">
      <c r="A150" s="306" t="s">
        <v>17704</v>
      </c>
      <c r="B150" s="306" t="s">
        <v>2345</v>
      </c>
      <c r="C150" s="306"/>
      <c r="D150" s="26">
        <v>1</v>
      </c>
      <c r="E150" s="312" t="s">
        <v>78</v>
      </c>
      <c r="F150" s="306" t="str">
        <f>VLOOKUP(Table24[[#This Row],[Country]],Table10[[COUNTRY NAME]:[CONTINENT CODE]],3,FALSE)</f>
        <v>EU</v>
      </c>
      <c r="G150" s="312" t="s">
        <v>16860</v>
      </c>
      <c r="H150" s="309">
        <v>10844</v>
      </c>
      <c r="I150" s="310">
        <v>26</v>
      </c>
      <c r="J150" s="307"/>
      <c r="K150" s="307">
        <f>IFERROR(Table24[[#This Row],[ROUTE COST]]/Table24[[#This Row],[O - DEMAND]],0)</f>
        <v>0</v>
      </c>
      <c r="L150" s="306"/>
      <c r="M150" s="310">
        <f>Table24[[#This Row],[O - DEMAND]]/950</f>
        <v>0</v>
      </c>
      <c r="N150" s="306">
        <f>IFERROR(VLOOKUP(Table24[[#This Row],[ROUTE]],DEMAND!A:F,5,FALSE),0)</f>
        <v>0</v>
      </c>
      <c r="O150" s="306">
        <f>IFERROR(VLOOKUP(Table24[[#This Row],[ROUTE]],DEMAND!A:F,6,FALSE),0)</f>
        <v>0</v>
      </c>
      <c r="P150" s="306">
        <f>ROUNDDOWN(Table24[[#This Row],[R-DEMAND]]/950,0)</f>
        <v>0</v>
      </c>
      <c r="Q150" s="306">
        <f>Table24[[#This Row],[ADD ACC
(475/950)]]*Table24[[#This Row],[Duration
(A359)]]</f>
        <v>0</v>
      </c>
      <c r="R150" s="307">
        <f>IFERROR(VLOOKUP(Table24[[#This Row],[ROUTE]],PRICING!A:B,2,FALSE),0)</f>
        <v>0</v>
      </c>
      <c r="S150" s="308">
        <f>Table24[[#This Row],[C_DEMAND]]-Table24[[#This Row],[R-DEMAND]]</f>
        <v>0</v>
      </c>
      <c r="T150" s="307">
        <f>Table24[[#This Row],[SEATS SOLD]]*Table24[[#This Row],[ECO SEAT]]</f>
        <v>0</v>
      </c>
      <c r="U150" s="307">
        <f>Table24[[#This Row],[SEATS SOLD]]*(IFERROR(VLOOKUP(Table24[[#This Row],[ROUTE]],PRICING!A:C,3,FALSE),0))</f>
        <v>0</v>
      </c>
      <c r="V150" s="307">
        <f>Table24[[#This Row],[SEAT REV]]-Table24[[#This Row],[SEAT REV
(IF IDEAL $)]]</f>
        <v>0</v>
      </c>
    </row>
    <row r="151" spans="1:22" customFormat="1" x14ac:dyDescent="0.25">
      <c r="A151" s="306" t="s">
        <v>17703</v>
      </c>
      <c r="B151" s="306" t="s">
        <v>1379</v>
      </c>
      <c r="C151" s="306"/>
      <c r="D151" s="26">
        <v>1</v>
      </c>
      <c r="E151" s="312" t="s">
        <v>1377</v>
      </c>
      <c r="F151" s="306" t="str">
        <f>VLOOKUP(Table24[[#This Row],[Country]],Table10[[COUNTRY NAME]:[CONTINENT CODE]],3,FALSE)</f>
        <v>EU</v>
      </c>
      <c r="G151" s="312" t="s">
        <v>11915</v>
      </c>
      <c r="H151" s="309">
        <v>10910</v>
      </c>
      <c r="I151" s="310">
        <v>26</v>
      </c>
      <c r="J151" s="307"/>
      <c r="K151" s="307">
        <f>IFERROR(Table24[[#This Row],[ROUTE COST]]/Table24[[#This Row],[O - DEMAND]],0)</f>
        <v>0</v>
      </c>
      <c r="L151" s="306"/>
      <c r="M151" s="310">
        <f>Table24[[#This Row],[O - DEMAND]]/950</f>
        <v>0</v>
      </c>
      <c r="N151" s="306">
        <f>IFERROR(VLOOKUP(Table24[[#This Row],[ROUTE]],DEMAND!A:F,5,FALSE),0)</f>
        <v>0</v>
      </c>
      <c r="O151" s="306">
        <f>IFERROR(VLOOKUP(Table24[[#This Row],[ROUTE]],DEMAND!A:F,6,FALSE),0)</f>
        <v>0</v>
      </c>
      <c r="P151" s="306">
        <f>ROUNDDOWN(Table24[[#This Row],[R-DEMAND]]/950,0)</f>
        <v>0</v>
      </c>
      <c r="Q151" s="306">
        <f>Table24[[#This Row],[ADD ACC
(475/950)]]*Table24[[#This Row],[Duration
(A359)]]</f>
        <v>0</v>
      </c>
      <c r="R151" s="307">
        <f>IFERROR(VLOOKUP(Table24[[#This Row],[ROUTE]],PRICING!A:B,2,FALSE),0)</f>
        <v>0</v>
      </c>
      <c r="S151" s="308">
        <f>Table24[[#This Row],[C_DEMAND]]-Table24[[#This Row],[R-DEMAND]]</f>
        <v>0</v>
      </c>
      <c r="T151" s="307">
        <f>Table24[[#This Row],[SEATS SOLD]]*Table24[[#This Row],[ECO SEAT]]</f>
        <v>0</v>
      </c>
      <c r="U151" s="307">
        <f>Table24[[#This Row],[SEATS SOLD]]*(IFERROR(VLOOKUP(Table24[[#This Row],[ROUTE]],PRICING!A:C,3,FALSE),0))</f>
        <v>0</v>
      </c>
      <c r="V151" s="307">
        <f>Table24[[#This Row],[SEAT REV]]-Table24[[#This Row],[SEAT REV
(IF IDEAL $)]]</f>
        <v>0</v>
      </c>
    </row>
    <row r="152" spans="1:22" customFormat="1" x14ac:dyDescent="0.25">
      <c r="A152" s="306" t="s">
        <v>17436</v>
      </c>
      <c r="B152" s="306" t="s">
        <v>1939</v>
      </c>
      <c r="C152" s="306"/>
      <c r="D152" s="26">
        <v>1</v>
      </c>
      <c r="E152" s="312" t="s">
        <v>172</v>
      </c>
      <c r="F152" s="306" t="str">
        <f>VLOOKUP(Table24[[#This Row],[Country]],Table10[[COUNTRY NAME]:[CONTINENT CODE]],3,FALSE)</f>
        <v>AS</v>
      </c>
      <c r="G152" s="312" t="s">
        <v>9941</v>
      </c>
      <c r="H152" s="309">
        <v>10860</v>
      </c>
      <c r="I152" s="310">
        <v>26</v>
      </c>
      <c r="J152" s="307"/>
      <c r="K152" s="307">
        <f>IFERROR(Table24[[#This Row],[ROUTE COST]]/Table24[[#This Row],[O - DEMAND]],0)</f>
        <v>0</v>
      </c>
      <c r="L152" s="306"/>
      <c r="M152" s="310">
        <f>Table24[[#This Row],[O - DEMAND]]/950</f>
        <v>0</v>
      </c>
      <c r="N152" s="306">
        <f>IFERROR(VLOOKUP(Table24[[#This Row],[ROUTE]],DEMAND!A:F,5,FALSE),0)</f>
        <v>0</v>
      </c>
      <c r="O152" s="306">
        <f>IFERROR(VLOOKUP(Table24[[#This Row],[ROUTE]],DEMAND!A:F,6,FALSE),0)</f>
        <v>0</v>
      </c>
      <c r="P152" s="306">
        <f>ROUNDDOWN(Table24[[#This Row],[R-DEMAND]]/950,0)</f>
        <v>0</v>
      </c>
      <c r="Q152" s="306">
        <f>Table24[[#This Row],[ADD ACC
(475/950)]]*Table24[[#This Row],[Duration
(A359)]]</f>
        <v>0</v>
      </c>
      <c r="R152" s="307">
        <f>IFERROR(VLOOKUP(Table24[[#This Row],[ROUTE]],PRICING!A:B,2,FALSE),0)</f>
        <v>0</v>
      </c>
      <c r="S152" s="308">
        <f>Table24[[#This Row],[C_DEMAND]]-Table24[[#This Row],[R-DEMAND]]</f>
        <v>0</v>
      </c>
      <c r="T152" s="307">
        <f>Table24[[#This Row],[SEATS SOLD]]*Table24[[#This Row],[ECO SEAT]]</f>
        <v>0</v>
      </c>
      <c r="U152" s="307">
        <f>Table24[[#This Row],[SEATS SOLD]]*(IFERROR(VLOOKUP(Table24[[#This Row],[ROUTE]],PRICING!A:C,3,FALSE),0))</f>
        <v>0</v>
      </c>
      <c r="V152" s="307">
        <f>Table24[[#This Row],[SEAT REV]]-Table24[[#This Row],[SEAT REV
(IF IDEAL $)]]</f>
        <v>0</v>
      </c>
    </row>
    <row r="153" spans="1:22" customFormat="1" x14ac:dyDescent="0.25">
      <c r="A153" s="306" t="s">
        <v>17516</v>
      </c>
      <c r="B153" s="306" t="s">
        <v>5438</v>
      </c>
      <c r="C153" s="306"/>
      <c r="D153" s="26">
        <v>3</v>
      </c>
      <c r="E153" s="312" t="s">
        <v>78</v>
      </c>
      <c r="F153" s="306" t="str">
        <f>VLOOKUP(Table24[[#This Row],[Country]],Table10[[COUNTRY NAME]:[CONTINENT CODE]],3,FALSE)</f>
        <v>EU</v>
      </c>
      <c r="G153" s="312" t="s">
        <v>11918</v>
      </c>
      <c r="H153" s="309">
        <v>10722</v>
      </c>
      <c r="I153" s="310">
        <v>25.75</v>
      </c>
      <c r="J153" s="307"/>
      <c r="K153" s="307">
        <f>IFERROR(Table24[[#This Row],[ROUTE COST]]/Table24[[#This Row],[O - DEMAND]],0)</f>
        <v>0</v>
      </c>
      <c r="L153" s="306"/>
      <c r="M153" s="310">
        <f>Table24[[#This Row],[O - DEMAND]]/950</f>
        <v>0</v>
      </c>
      <c r="N153" s="306">
        <f>IFERROR(VLOOKUP(Table24[[#This Row],[ROUTE]],DEMAND!A:F,5,FALSE),0)</f>
        <v>0</v>
      </c>
      <c r="O153" s="306">
        <f>IFERROR(VLOOKUP(Table24[[#This Row],[ROUTE]],DEMAND!A:F,6,FALSE),0)</f>
        <v>0</v>
      </c>
      <c r="P153" s="306">
        <f>ROUNDDOWN(Table24[[#This Row],[R-DEMAND]]/950,0)</f>
        <v>0</v>
      </c>
      <c r="Q153" s="306">
        <f>Table24[[#This Row],[ADD ACC
(475/950)]]*Table24[[#This Row],[Duration
(A359)]]</f>
        <v>0</v>
      </c>
      <c r="R153" s="307">
        <f>IFERROR(VLOOKUP(Table24[[#This Row],[ROUTE]],PRICING!A:B,2,FALSE),0)</f>
        <v>0</v>
      </c>
      <c r="S153" s="308">
        <f>Table24[[#This Row],[C_DEMAND]]-Table24[[#This Row],[R-DEMAND]]</f>
        <v>0</v>
      </c>
      <c r="T153" s="307">
        <f>Table24[[#This Row],[SEATS SOLD]]*Table24[[#This Row],[ECO SEAT]]</f>
        <v>0</v>
      </c>
      <c r="U153" s="307">
        <f>Table24[[#This Row],[SEATS SOLD]]*(IFERROR(VLOOKUP(Table24[[#This Row],[ROUTE]],PRICING!A:C,3,FALSE),0))</f>
        <v>0</v>
      </c>
      <c r="V153" s="307">
        <f>Table24[[#This Row],[SEAT REV]]-Table24[[#This Row],[SEAT REV
(IF IDEAL $)]]</f>
        <v>0</v>
      </c>
    </row>
    <row r="154" spans="1:22" customFormat="1" x14ac:dyDescent="0.25">
      <c r="A154" s="306" t="s">
        <v>17127</v>
      </c>
      <c r="B154" s="306" t="s">
        <v>3339</v>
      </c>
      <c r="C154" s="306"/>
      <c r="D154" s="26">
        <v>2</v>
      </c>
      <c r="E154" s="312" t="s">
        <v>11823</v>
      </c>
      <c r="F154" s="306" t="str">
        <f>VLOOKUP(Table24[[#This Row],[Country]],Table10[[COUNTRY NAME]:[CONTINENT CODE]],3,FALSE)</f>
        <v>AF</v>
      </c>
      <c r="G154" s="312" t="s">
        <v>11859</v>
      </c>
      <c r="H154" s="309">
        <v>10797</v>
      </c>
      <c r="I154" s="310">
        <v>25.75</v>
      </c>
      <c r="J154" s="307"/>
      <c r="K154" s="307">
        <f>IFERROR(Table24[[#This Row],[ROUTE COST]]/Table24[[#This Row],[O - DEMAND]],0)</f>
        <v>0</v>
      </c>
      <c r="L154" s="306"/>
      <c r="M154" s="310">
        <f>Table24[[#This Row],[O - DEMAND]]/950</f>
        <v>0</v>
      </c>
      <c r="N154" s="306">
        <f>IFERROR(VLOOKUP(Table24[[#This Row],[ROUTE]],DEMAND!A:F,5,FALSE),0)</f>
        <v>0</v>
      </c>
      <c r="O154" s="306">
        <f>IFERROR(VLOOKUP(Table24[[#This Row],[ROUTE]],DEMAND!A:F,6,FALSE),0)</f>
        <v>0</v>
      </c>
      <c r="P154" s="306">
        <f>ROUNDDOWN(Table24[[#This Row],[R-DEMAND]]/950,0)</f>
        <v>0</v>
      </c>
      <c r="Q154" s="306">
        <f>Table24[[#This Row],[ADD ACC
(475/950)]]*Table24[[#This Row],[Duration
(A359)]]</f>
        <v>0</v>
      </c>
      <c r="R154" s="307">
        <f>IFERROR(VLOOKUP(Table24[[#This Row],[ROUTE]],PRICING!A:B,2,FALSE),0)</f>
        <v>0</v>
      </c>
      <c r="S154" s="308">
        <f>Table24[[#This Row],[C_DEMAND]]-Table24[[#This Row],[R-DEMAND]]</f>
        <v>0</v>
      </c>
      <c r="T154" s="307">
        <f>Table24[[#This Row],[SEATS SOLD]]*Table24[[#This Row],[ECO SEAT]]</f>
        <v>0</v>
      </c>
      <c r="U154" s="307">
        <f>Table24[[#This Row],[SEATS SOLD]]*(IFERROR(VLOOKUP(Table24[[#This Row],[ROUTE]],PRICING!A:C,3,FALSE),0))</f>
        <v>0</v>
      </c>
      <c r="V154" s="307">
        <f>Table24[[#This Row],[SEAT REV]]-Table24[[#This Row],[SEAT REV
(IF IDEAL $)]]</f>
        <v>0</v>
      </c>
    </row>
    <row r="155" spans="1:22" customFormat="1" x14ac:dyDescent="0.25">
      <c r="A155" s="306" t="s">
        <v>17134</v>
      </c>
      <c r="B155" s="306" t="s">
        <v>4445</v>
      </c>
      <c r="C155" s="306"/>
      <c r="D155" s="26">
        <v>2</v>
      </c>
      <c r="E155" s="312" t="s">
        <v>1124</v>
      </c>
      <c r="F155" s="306" t="str">
        <f>VLOOKUP(Table24[[#This Row],[Country]],Table10[[COUNTRY NAME]:[CONTINENT CODE]],3,FALSE)</f>
        <v>AF</v>
      </c>
      <c r="G155" s="312" t="s">
        <v>11894</v>
      </c>
      <c r="H155" s="309">
        <v>10717</v>
      </c>
      <c r="I155" s="310">
        <v>25.75</v>
      </c>
      <c r="J155" s="307"/>
      <c r="K155" s="307">
        <f>IFERROR(Table24[[#This Row],[ROUTE COST]]/Table24[[#This Row],[O - DEMAND]],0)</f>
        <v>0</v>
      </c>
      <c r="L155" s="306"/>
      <c r="M155" s="310">
        <f>Table24[[#This Row],[O - DEMAND]]/950</f>
        <v>0</v>
      </c>
      <c r="N155" s="306">
        <f>IFERROR(VLOOKUP(Table24[[#This Row],[ROUTE]],DEMAND!A:F,5,FALSE),0)</f>
        <v>0</v>
      </c>
      <c r="O155" s="306">
        <f>IFERROR(VLOOKUP(Table24[[#This Row],[ROUTE]],DEMAND!A:F,6,FALSE),0)</f>
        <v>0</v>
      </c>
      <c r="P155" s="306">
        <f>ROUNDDOWN(Table24[[#This Row],[R-DEMAND]]/950,0)</f>
        <v>0</v>
      </c>
      <c r="Q155" s="306">
        <f>Table24[[#This Row],[ADD ACC
(475/950)]]*Table24[[#This Row],[Duration
(A359)]]</f>
        <v>0</v>
      </c>
      <c r="R155" s="307">
        <f>IFERROR(VLOOKUP(Table24[[#This Row],[ROUTE]],PRICING!A:B,2,FALSE),0)</f>
        <v>0</v>
      </c>
      <c r="S155" s="308">
        <f>Table24[[#This Row],[C_DEMAND]]-Table24[[#This Row],[R-DEMAND]]</f>
        <v>0</v>
      </c>
      <c r="T155" s="307">
        <f>Table24[[#This Row],[SEATS SOLD]]*Table24[[#This Row],[ECO SEAT]]</f>
        <v>0</v>
      </c>
      <c r="U155" s="307">
        <f>Table24[[#This Row],[SEATS SOLD]]*(IFERROR(VLOOKUP(Table24[[#This Row],[ROUTE]],PRICING!A:C,3,FALSE),0))</f>
        <v>0</v>
      </c>
      <c r="V155" s="307">
        <f>Table24[[#This Row],[SEAT REV]]-Table24[[#This Row],[SEAT REV
(IF IDEAL $)]]</f>
        <v>0</v>
      </c>
    </row>
    <row r="156" spans="1:22" customFormat="1" x14ac:dyDescent="0.25">
      <c r="A156" s="306" t="s">
        <v>17158</v>
      </c>
      <c r="B156" s="306" t="s">
        <v>4327</v>
      </c>
      <c r="C156" s="306"/>
      <c r="D156" s="26">
        <v>2</v>
      </c>
      <c r="E156" s="312" t="s">
        <v>580</v>
      </c>
      <c r="F156" s="306" t="str">
        <f>VLOOKUP(Table24[[#This Row],[Country]],Table10[[COUNTRY NAME]:[CONTINENT CODE]],3,FALSE)</f>
        <v>AF</v>
      </c>
      <c r="G156" s="312" t="s">
        <v>11841</v>
      </c>
      <c r="H156" s="309">
        <v>10765</v>
      </c>
      <c r="I156" s="310">
        <v>25.75</v>
      </c>
      <c r="J156" s="307"/>
      <c r="K156" s="307">
        <f>IFERROR(Table24[[#This Row],[ROUTE COST]]/Table24[[#This Row],[O - DEMAND]],0)</f>
        <v>0</v>
      </c>
      <c r="L156" s="306"/>
      <c r="M156" s="310">
        <f>Table24[[#This Row],[O - DEMAND]]/950</f>
        <v>0</v>
      </c>
      <c r="N156" s="306">
        <f>IFERROR(VLOOKUP(Table24[[#This Row],[ROUTE]],DEMAND!A:F,5,FALSE),0)</f>
        <v>0</v>
      </c>
      <c r="O156" s="306">
        <f>IFERROR(VLOOKUP(Table24[[#This Row],[ROUTE]],DEMAND!A:F,6,FALSE),0)</f>
        <v>0</v>
      </c>
      <c r="P156" s="306">
        <f>ROUNDDOWN(Table24[[#This Row],[R-DEMAND]]/950,0)</f>
        <v>0</v>
      </c>
      <c r="Q156" s="306">
        <f>Table24[[#This Row],[ADD ACC
(475/950)]]*Table24[[#This Row],[Duration
(A359)]]</f>
        <v>0</v>
      </c>
      <c r="R156" s="307">
        <f>IFERROR(VLOOKUP(Table24[[#This Row],[ROUTE]],PRICING!A:B,2,FALSE),0)</f>
        <v>0</v>
      </c>
      <c r="S156" s="308">
        <f>Table24[[#This Row],[C_DEMAND]]-Table24[[#This Row],[R-DEMAND]]</f>
        <v>0</v>
      </c>
      <c r="T156" s="307">
        <f>Table24[[#This Row],[SEATS SOLD]]*Table24[[#This Row],[ECO SEAT]]</f>
        <v>0</v>
      </c>
      <c r="U156" s="307">
        <f>Table24[[#This Row],[SEATS SOLD]]*(IFERROR(VLOOKUP(Table24[[#This Row],[ROUTE]],PRICING!A:C,3,FALSE),0))</f>
        <v>0</v>
      </c>
      <c r="V156" s="307">
        <f>Table24[[#This Row],[SEAT REV]]-Table24[[#This Row],[SEAT REV
(IF IDEAL $)]]</f>
        <v>0</v>
      </c>
    </row>
    <row r="157" spans="1:22" customFormat="1" x14ac:dyDescent="0.25">
      <c r="A157" s="306" t="s">
        <v>17611</v>
      </c>
      <c r="B157" s="306" t="s">
        <v>3755</v>
      </c>
      <c r="C157" s="306"/>
      <c r="D157" s="26">
        <v>2</v>
      </c>
      <c r="E157" s="312" t="s">
        <v>78</v>
      </c>
      <c r="F157" s="306" t="str">
        <f>VLOOKUP(Table24[[#This Row],[Country]],Table10[[COUNTRY NAME]:[CONTINENT CODE]],3,FALSE)</f>
        <v>EU</v>
      </c>
      <c r="G157" s="312" t="s">
        <v>8243</v>
      </c>
      <c r="H157" s="309">
        <v>10745</v>
      </c>
      <c r="I157" s="310">
        <v>25.75</v>
      </c>
      <c r="J157" s="307"/>
      <c r="K157" s="307">
        <f>IFERROR(Table24[[#This Row],[ROUTE COST]]/Table24[[#This Row],[O - DEMAND]],0)</f>
        <v>0</v>
      </c>
      <c r="L157" s="306"/>
      <c r="M157" s="310">
        <f>Table24[[#This Row],[O - DEMAND]]/950</f>
        <v>0</v>
      </c>
      <c r="N157" s="306">
        <f>IFERROR(VLOOKUP(Table24[[#This Row],[ROUTE]],DEMAND!A:F,5,FALSE),0)</f>
        <v>0</v>
      </c>
      <c r="O157" s="306">
        <f>IFERROR(VLOOKUP(Table24[[#This Row],[ROUTE]],DEMAND!A:F,6,FALSE),0)</f>
        <v>0</v>
      </c>
      <c r="P157" s="306">
        <f>ROUNDDOWN(Table24[[#This Row],[R-DEMAND]]/950,0)</f>
        <v>0</v>
      </c>
      <c r="Q157" s="306">
        <f>Table24[[#This Row],[ADD ACC
(475/950)]]*Table24[[#This Row],[Duration
(A359)]]</f>
        <v>0</v>
      </c>
      <c r="R157" s="307">
        <f>IFERROR(VLOOKUP(Table24[[#This Row],[ROUTE]],PRICING!A:B,2,FALSE),0)</f>
        <v>0</v>
      </c>
      <c r="S157" s="308">
        <f>Table24[[#This Row],[C_DEMAND]]-Table24[[#This Row],[R-DEMAND]]</f>
        <v>0</v>
      </c>
      <c r="T157" s="307">
        <f>Table24[[#This Row],[SEATS SOLD]]*Table24[[#This Row],[ECO SEAT]]</f>
        <v>0</v>
      </c>
      <c r="U157" s="307">
        <f>Table24[[#This Row],[SEATS SOLD]]*(IFERROR(VLOOKUP(Table24[[#This Row],[ROUTE]],PRICING!A:C,3,FALSE),0))</f>
        <v>0</v>
      </c>
      <c r="V157" s="307">
        <f>Table24[[#This Row],[SEAT REV]]-Table24[[#This Row],[SEAT REV
(IF IDEAL $)]]</f>
        <v>0</v>
      </c>
    </row>
    <row r="158" spans="1:22" customFormat="1" x14ac:dyDescent="0.25">
      <c r="A158" s="306" t="s">
        <v>17613</v>
      </c>
      <c r="B158" s="306" t="s">
        <v>4510</v>
      </c>
      <c r="C158" s="306"/>
      <c r="D158" s="26">
        <v>2</v>
      </c>
      <c r="E158" s="312" t="s">
        <v>78</v>
      </c>
      <c r="F158" s="306" t="str">
        <f>VLOOKUP(Table24[[#This Row],[Country]],Table10[[COUNTRY NAME]:[CONTINENT CODE]],3,FALSE)</f>
        <v>EU</v>
      </c>
      <c r="G158" s="312" t="s">
        <v>11919</v>
      </c>
      <c r="H158" s="309">
        <v>10724</v>
      </c>
      <c r="I158" s="310">
        <v>25.75</v>
      </c>
      <c r="J158" s="307"/>
      <c r="K158" s="307">
        <f>IFERROR(Table24[[#This Row],[ROUTE COST]]/Table24[[#This Row],[O - DEMAND]],0)</f>
        <v>0</v>
      </c>
      <c r="L158" s="306"/>
      <c r="M158" s="310">
        <f>Table24[[#This Row],[O - DEMAND]]/950</f>
        <v>0</v>
      </c>
      <c r="N158" s="306">
        <f>IFERROR(VLOOKUP(Table24[[#This Row],[ROUTE]],DEMAND!A:F,5,FALSE),0)</f>
        <v>0</v>
      </c>
      <c r="O158" s="306">
        <f>IFERROR(VLOOKUP(Table24[[#This Row],[ROUTE]],DEMAND!A:F,6,FALSE),0)</f>
        <v>0</v>
      </c>
      <c r="P158" s="306">
        <f>ROUNDDOWN(Table24[[#This Row],[R-DEMAND]]/950,0)</f>
        <v>0</v>
      </c>
      <c r="Q158" s="306">
        <f>Table24[[#This Row],[ADD ACC
(475/950)]]*Table24[[#This Row],[Duration
(A359)]]</f>
        <v>0</v>
      </c>
      <c r="R158" s="307">
        <f>IFERROR(VLOOKUP(Table24[[#This Row],[ROUTE]],PRICING!A:B,2,FALSE),0)</f>
        <v>0</v>
      </c>
      <c r="S158" s="308">
        <f>Table24[[#This Row],[C_DEMAND]]-Table24[[#This Row],[R-DEMAND]]</f>
        <v>0</v>
      </c>
      <c r="T158" s="307">
        <f>Table24[[#This Row],[SEATS SOLD]]*Table24[[#This Row],[ECO SEAT]]</f>
        <v>0</v>
      </c>
      <c r="U158" s="307">
        <f>Table24[[#This Row],[SEATS SOLD]]*(IFERROR(VLOOKUP(Table24[[#This Row],[ROUTE]],PRICING!A:C,3,FALSE),0))</f>
        <v>0</v>
      </c>
      <c r="V158" s="307">
        <f>Table24[[#This Row],[SEAT REV]]-Table24[[#This Row],[SEAT REV
(IF IDEAL $)]]</f>
        <v>0</v>
      </c>
    </row>
    <row r="159" spans="1:22" customFormat="1" x14ac:dyDescent="0.25">
      <c r="A159" s="306" t="s">
        <v>17387</v>
      </c>
      <c r="B159" s="306" t="s">
        <v>4245</v>
      </c>
      <c r="C159" s="306"/>
      <c r="D159" s="26">
        <v>2</v>
      </c>
      <c r="E159" s="312" t="s">
        <v>172</v>
      </c>
      <c r="F159" s="306" t="str">
        <f>VLOOKUP(Table24[[#This Row],[Country]],Table10[[COUNTRY NAME]:[CONTINENT CODE]],3,FALSE)</f>
        <v>AS</v>
      </c>
      <c r="G159" s="312" t="s">
        <v>6951</v>
      </c>
      <c r="H159" s="309">
        <v>10770</v>
      </c>
      <c r="I159" s="310">
        <v>25.75</v>
      </c>
      <c r="J159" s="307"/>
      <c r="K159" s="307">
        <f>IFERROR(Table24[[#This Row],[ROUTE COST]]/Table24[[#This Row],[O - DEMAND]],0)</f>
        <v>0</v>
      </c>
      <c r="L159" s="306"/>
      <c r="M159" s="310">
        <f>Table24[[#This Row],[O - DEMAND]]/950</f>
        <v>0</v>
      </c>
      <c r="N159" s="306">
        <f>IFERROR(VLOOKUP(Table24[[#This Row],[ROUTE]],DEMAND!A:F,5,FALSE),0)</f>
        <v>0</v>
      </c>
      <c r="O159" s="306">
        <f>IFERROR(VLOOKUP(Table24[[#This Row],[ROUTE]],DEMAND!A:F,6,FALSE),0)</f>
        <v>0</v>
      </c>
      <c r="P159" s="306">
        <f>ROUNDDOWN(Table24[[#This Row],[R-DEMAND]]/950,0)</f>
        <v>0</v>
      </c>
      <c r="Q159" s="306">
        <f>Table24[[#This Row],[ADD ACC
(475/950)]]*Table24[[#This Row],[Duration
(A359)]]</f>
        <v>0</v>
      </c>
      <c r="R159" s="307">
        <f>IFERROR(VLOOKUP(Table24[[#This Row],[ROUTE]],PRICING!A:B,2,FALSE),0)</f>
        <v>0</v>
      </c>
      <c r="S159" s="308">
        <f>Table24[[#This Row],[C_DEMAND]]-Table24[[#This Row],[R-DEMAND]]</f>
        <v>0</v>
      </c>
      <c r="T159" s="307">
        <f>Table24[[#This Row],[SEATS SOLD]]*Table24[[#This Row],[ECO SEAT]]</f>
        <v>0</v>
      </c>
      <c r="U159" s="307">
        <f>Table24[[#This Row],[SEATS SOLD]]*(IFERROR(VLOOKUP(Table24[[#This Row],[ROUTE]],PRICING!A:C,3,FALSE),0))</f>
        <v>0</v>
      </c>
      <c r="V159" s="307">
        <f>Table24[[#This Row],[SEAT REV]]-Table24[[#This Row],[SEAT REV
(IF IDEAL $)]]</f>
        <v>0</v>
      </c>
    </row>
    <row r="160" spans="1:22" customFormat="1" x14ac:dyDescent="0.25">
      <c r="A160" s="306" t="s">
        <v>17386</v>
      </c>
      <c r="B160" s="306" t="s">
        <v>4369</v>
      </c>
      <c r="C160" s="306"/>
      <c r="D160" s="26">
        <v>2</v>
      </c>
      <c r="E160" s="312" t="s">
        <v>700</v>
      </c>
      <c r="F160" s="306" t="str">
        <f>VLOOKUP(Table24[[#This Row],[Country]],Table10[[COUNTRY NAME]:[CONTINENT CODE]],3,FALSE)</f>
        <v>AS</v>
      </c>
      <c r="G160" s="312" t="s">
        <v>16861</v>
      </c>
      <c r="H160" s="309">
        <v>10794</v>
      </c>
      <c r="I160" s="310">
        <v>25.75</v>
      </c>
      <c r="J160" s="307"/>
      <c r="K160" s="307">
        <f>IFERROR(Table24[[#This Row],[ROUTE COST]]/Table24[[#This Row],[O - DEMAND]],0)</f>
        <v>0</v>
      </c>
      <c r="L160" s="306"/>
      <c r="M160" s="310">
        <f>Table24[[#This Row],[O - DEMAND]]/950</f>
        <v>0</v>
      </c>
      <c r="N160" s="306">
        <f>IFERROR(VLOOKUP(Table24[[#This Row],[ROUTE]],DEMAND!A:F,5,FALSE),0)</f>
        <v>0</v>
      </c>
      <c r="O160" s="306">
        <f>IFERROR(VLOOKUP(Table24[[#This Row],[ROUTE]],DEMAND!A:F,6,FALSE),0)</f>
        <v>0</v>
      </c>
      <c r="P160" s="306">
        <f>ROUNDDOWN(Table24[[#This Row],[R-DEMAND]]/950,0)</f>
        <v>0</v>
      </c>
      <c r="Q160" s="306">
        <f>Table24[[#This Row],[ADD ACC
(475/950)]]*Table24[[#This Row],[Duration
(A359)]]</f>
        <v>0</v>
      </c>
      <c r="R160" s="307">
        <f>IFERROR(VLOOKUP(Table24[[#This Row],[ROUTE]],PRICING!A:B,2,FALSE),0)</f>
        <v>0</v>
      </c>
      <c r="S160" s="308">
        <f>Table24[[#This Row],[C_DEMAND]]-Table24[[#This Row],[R-DEMAND]]</f>
        <v>0</v>
      </c>
      <c r="T160" s="307">
        <f>Table24[[#This Row],[SEATS SOLD]]*Table24[[#This Row],[ECO SEAT]]</f>
        <v>0</v>
      </c>
      <c r="U160" s="307">
        <f>Table24[[#This Row],[SEATS SOLD]]*(IFERROR(VLOOKUP(Table24[[#This Row],[ROUTE]],PRICING!A:C,3,FALSE),0))</f>
        <v>0</v>
      </c>
      <c r="V160" s="307">
        <f>Table24[[#This Row],[SEAT REV]]-Table24[[#This Row],[SEAT REV
(IF IDEAL $)]]</f>
        <v>0</v>
      </c>
    </row>
    <row r="161" spans="1:22" customFormat="1" x14ac:dyDescent="0.25">
      <c r="A161" s="306" t="s">
        <v>17437</v>
      </c>
      <c r="B161" s="306" t="s">
        <v>1820</v>
      </c>
      <c r="C161" s="306"/>
      <c r="D161" s="26">
        <v>1</v>
      </c>
      <c r="E161" s="312" t="s">
        <v>172</v>
      </c>
      <c r="F161" s="306" t="str">
        <f>VLOOKUP(Table24[[#This Row],[Country]],Table10[[COUNTRY NAME]:[CONTINENT CODE]],3,FALSE)</f>
        <v>AS</v>
      </c>
      <c r="G161" s="312" t="s">
        <v>6966</v>
      </c>
      <c r="H161" s="309">
        <v>10789</v>
      </c>
      <c r="I161" s="310">
        <v>25.75</v>
      </c>
      <c r="J161" s="307"/>
      <c r="K161" s="307">
        <f>IFERROR(Table24[[#This Row],[ROUTE COST]]/Table24[[#This Row],[O - DEMAND]],0)</f>
        <v>0</v>
      </c>
      <c r="L161" s="306"/>
      <c r="M161" s="310">
        <f>Table24[[#This Row],[O - DEMAND]]/950</f>
        <v>0</v>
      </c>
      <c r="N161" s="306">
        <f>IFERROR(VLOOKUP(Table24[[#This Row],[ROUTE]],DEMAND!A:F,5,FALSE),0)</f>
        <v>0</v>
      </c>
      <c r="O161" s="306">
        <f>IFERROR(VLOOKUP(Table24[[#This Row],[ROUTE]],DEMAND!A:F,6,FALSE),0)</f>
        <v>0</v>
      </c>
      <c r="P161" s="306">
        <f>ROUNDDOWN(Table24[[#This Row],[R-DEMAND]]/950,0)</f>
        <v>0</v>
      </c>
      <c r="Q161" s="306">
        <f>Table24[[#This Row],[ADD ACC
(475/950)]]*Table24[[#This Row],[Duration
(A359)]]</f>
        <v>0</v>
      </c>
      <c r="R161" s="307">
        <f>IFERROR(VLOOKUP(Table24[[#This Row],[ROUTE]],PRICING!A:B,2,FALSE),0)</f>
        <v>0</v>
      </c>
      <c r="S161" s="308">
        <f>Table24[[#This Row],[C_DEMAND]]-Table24[[#This Row],[R-DEMAND]]</f>
        <v>0</v>
      </c>
      <c r="T161" s="307">
        <f>Table24[[#This Row],[SEATS SOLD]]*Table24[[#This Row],[ECO SEAT]]</f>
        <v>0</v>
      </c>
      <c r="U161" s="307">
        <f>Table24[[#This Row],[SEATS SOLD]]*(IFERROR(VLOOKUP(Table24[[#This Row],[ROUTE]],PRICING!A:C,3,FALSE),0))</f>
        <v>0</v>
      </c>
      <c r="V161" s="307">
        <f>Table24[[#This Row],[SEAT REV]]-Table24[[#This Row],[SEAT REV
(IF IDEAL $)]]</f>
        <v>0</v>
      </c>
    </row>
    <row r="162" spans="1:22" customFormat="1" x14ac:dyDescent="0.25">
      <c r="A162" s="306" t="s">
        <v>17438</v>
      </c>
      <c r="B162" s="306" t="s">
        <v>2067</v>
      </c>
      <c r="C162" s="306"/>
      <c r="D162" s="26">
        <v>1</v>
      </c>
      <c r="E162" s="312" t="s">
        <v>1654</v>
      </c>
      <c r="F162" s="306" t="str">
        <f>VLOOKUP(Table24[[#This Row],[Country]],Table10[[COUNTRY NAME]:[CONTINENT CODE]],3,FALSE)</f>
        <v>AS</v>
      </c>
      <c r="G162" s="312" t="s">
        <v>11900</v>
      </c>
      <c r="H162" s="309">
        <v>10723</v>
      </c>
      <c r="I162" s="310">
        <v>25.75</v>
      </c>
      <c r="J162" s="307"/>
      <c r="K162" s="307">
        <f>IFERROR(Table24[[#This Row],[ROUTE COST]]/Table24[[#This Row],[O - DEMAND]],0)</f>
        <v>0</v>
      </c>
      <c r="L162" s="306"/>
      <c r="M162" s="310">
        <f>Table24[[#This Row],[O - DEMAND]]/950</f>
        <v>0</v>
      </c>
      <c r="N162" s="306">
        <f>IFERROR(VLOOKUP(Table24[[#This Row],[ROUTE]],DEMAND!A:F,5,FALSE),0)</f>
        <v>0</v>
      </c>
      <c r="O162" s="306">
        <f>IFERROR(VLOOKUP(Table24[[#This Row],[ROUTE]],DEMAND!A:F,6,FALSE),0)</f>
        <v>0</v>
      </c>
      <c r="P162" s="306">
        <f>ROUNDDOWN(Table24[[#This Row],[R-DEMAND]]/950,0)</f>
        <v>0</v>
      </c>
      <c r="Q162" s="306">
        <f>Table24[[#This Row],[ADD ACC
(475/950)]]*Table24[[#This Row],[Duration
(A359)]]</f>
        <v>0</v>
      </c>
      <c r="R162" s="307">
        <f>IFERROR(VLOOKUP(Table24[[#This Row],[ROUTE]],PRICING!A:B,2,FALSE),0)</f>
        <v>0</v>
      </c>
      <c r="S162" s="308">
        <f>Table24[[#This Row],[C_DEMAND]]-Table24[[#This Row],[R-DEMAND]]</f>
        <v>0</v>
      </c>
      <c r="T162" s="307">
        <f>Table24[[#This Row],[SEATS SOLD]]*Table24[[#This Row],[ECO SEAT]]</f>
        <v>0</v>
      </c>
      <c r="U162" s="307">
        <f>Table24[[#This Row],[SEATS SOLD]]*(IFERROR(VLOOKUP(Table24[[#This Row],[ROUTE]],PRICING!A:C,3,FALSE),0))</f>
        <v>0</v>
      </c>
      <c r="V162" s="307">
        <f>Table24[[#This Row],[SEAT REV]]-Table24[[#This Row],[SEAT REV
(IF IDEAL $)]]</f>
        <v>0</v>
      </c>
    </row>
    <row r="163" spans="1:22" customFormat="1" x14ac:dyDescent="0.25">
      <c r="A163" s="306" t="s">
        <v>17439</v>
      </c>
      <c r="B163" s="306" t="s">
        <v>1656</v>
      </c>
      <c r="C163" s="306"/>
      <c r="D163" s="26">
        <v>1</v>
      </c>
      <c r="E163" s="312" t="s">
        <v>1654</v>
      </c>
      <c r="F163" s="306" t="str">
        <f>VLOOKUP(Table24[[#This Row],[Country]],Table10[[COUNTRY NAME]:[CONTINENT CODE]],3,FALSE)</f>
        <v>AS</v>
      </c>
      <c r="G163" s="312" t="s">
        <v>11901</v>
      </c>
      <c r="H163" s="309">
        <v>10711</v>
      </c>
      <c r="I163" s="310">
        <v>25.75</v>
      </c>
      <c r="J163" s="307"/>
      <c r="K163" s="307">
        <f>IFERROR(Table24[[#This Row],[ROUTE COST]]/Table24[[#This Row],[O - DEMAND]],0)</f>
        <v>0</v>
      </c>
      <c r="L163" s="306"/>
      <c r="M163" s="310">
        <f>Table24[[#This Row],[O - DEMAND]]/950</f>
        <v>0</v>
      </c>
      <c r="N163" s="306">
        <f>IFERROR(VLOOKUP(Table24[[#This Row],[ROUTE]],DEMAND!A:F,5,FALSE),0)</f>
        <v>0</v>
      </c>
      <c r="O163" s="306">
        <f>IFERROR(VLOOKUP(Table24[[#This Row],[ROUTE]],DEMAND!A:F,6,FALSE),0)</f>
        <v>0</v>
      </c>
      <c r="P163" s="306">
        <f>ROUNDDOWN(Table24[[#This Row],[R-DEMAND]]/950,0)</f>
        <v>0</v>
      </c>
      <c r="Q163" s="306">
        <f>Table24[[#This Row],[ADD ACC
(475/950)]]*Table24[[#This Row],[Duration
(A359)]]</f>
        <v>0</v>
      </c>
      <c r="R163" s="307">
        <f>IFERROR(VLOOKUP(Table24[[#This Row],[ROUTE]],PRICING!A:B,2,FALSE),0)</f>
        <v>0</v>
      </c>
      <c r="S163" s="308">
        <f>Table24[[#This Row],[C_DEMAND]]-Table24[[#This Row],[R-DEMAND]]</f>
        <v>0</v>
      </c>
      <c r="T163" s="307">
        <f>Table24[[#This Row],[SEATS SOLD]]*Table24[[#This Row],[ECO SEAT]]</f>
        <v>0</v>
      </c>
      <c r="U163" s="307">
        <f>Table24[[#This Row],[SEATS SOLD]]*(IFERROR(VLOOKUP(Table24[[#This Row],[ROUTE]],PRICING!A:C,3,FALSE),0))</f>
        <v>0</v>
      </c>
      <c r="V163" s="307">
        <f>Table24[[#This Row],[SEAT REV]]-Table24[[#This Row],[SEAT REV
(IF IDEAL $)]]</f>
        <v>0</v>
      </c>
    </row>
    <row r="164" spans="1:22" customFormat="1" x14ac:dyDescent="0.25">
      <c r="A164" s="306" t="s">
        <v>17135</v>
      </c>
      <c r="B164" s="306" t="s">
        <v>4640</v>
      </c>
      <c r="C164" s="306"/>
      <c r="D164" s="26">
        <v>2</v>
      </c>
      <c r="E164" s="312" t="s">
        <v>1124</v>
      </c>
      <c r="F164" s="306" t="str">
        <f>VLOOKUP(Table24[[#This Row],[Country]],Table10[[COUNTRY NAME]:[CONTINENT CODE]],3,FALSE)</f>
        <v>AF</v>
      </c>
      <c r="G164" s="312" t="s">
        <v>11878</v>
      </c>
      <c r="H164" s="309">
        <v>10625</v>
      </c>
      <c r="I164" s="310">
        <v>25.5</v>
      </c>
      <c r="J164" s="307"/>
      <c r="K164" s="307">
        <f>IFERROR(Table24[[#This Row],[ROUTE COST]]/Table24[[#This Row],[O - DEMAND]],0)</f>
        <v>0</v>
      </c>
      <c r="L164" s="306"/>
      <c r="M164" s="310">
        <f>Table24[[#This Row],[O - DEMAND]]/950</f>
        <v>0</v>
      </c>
      <c r="N164" s="306">
        <f>IFERROR(VLOOKUP(Table24[[#This Row],[ROUTE]],DEMAND!A:F,5,FALSE),0)</f>
        <v>0</v>
      </c>
      <c r="O164" s="306">
        <f>IFERROR(VLOOKUP(Table24[[#This Row],[ROUTE]],DEMAND!A:F,6,FALSE),0)</f>
        <v>0</v>
      </c>
      <c r="P164" s="306">
        <f>ROUNDDOWN(Table24[[#This Row],[R-DEMAND]]/950,0)</f>
        <v>0</v>
      </c>
      <c r="Q164" s="306">
        <f>Table24[[#This Row],[ADD ACC
(475/950)]]*Table24[[#This Row],[Duration
(A359)]]</f>
        <v>0</v>
      </c>
      <c r="R164" s="307">
        <f>IFERROR(VLOOKUP(Table24[[#This Row],[ROUTE]],PRICING!A:B,2,FALSE),0)</f>
        <v>0</v>
      </c>
      <c r="S164" s="308">
        <f>Table24[[#This Row],[C_DEMAND]]-Table24[[#This Row],[R-DEMAND]]</f>
        <v>0</v>
      </c>
      <c r="T164" s="307">
        <f>Table24[[#This Row],[SEATS SOLD]]*Table24[[#This Row],[ECO SEAT]]</f>
        <v>0</v>
      </c>
      <c r="U164" s="307">
        <f>Table24[[#This Row],[SEATS SOLD]]*(IFERROR(VLOOKUP(Table24[[#This Row],[ROUTE]],PRICING!A:C,3,FALSE),0))</f>
        <v>0</v>
      </c>
      <c r="V164" s="307">
        <f>Table24[[#This Row],[SEAT REV]]-Table24[[#This Row],[SEAT REV
(IF IDEAL $)]]</f>
        <v>0</v>
      </c>
    </row>
    <row r="165" spans="1:22" customFormat="1" x14ac:dyDescent="0.25">
      <c r="A165" s="306" t="s">
        <v>17614</v>
      </c>
      <c r="B165" s="306" t="s">
        <v>2518</v>
      </c>
      <c r="C165" s="306"/>
      <c r="D165" s="26">
        <v>2</v>
      </c>
      <c r="E165" s="312" t="s">
        <v>78</v>
      </c>
      <c r="F165" s="306" t="str">
        <f>VLOOKUP(Table24[[#This Row],[Country]],Table10[[COUNTRY NAME]:[CONTINENT CODE]],3,FALSE)</f>
        <v>EU</v>
      </c>
      <c r="G165" s="312" t="s">
        <v>16862</v>
      </c>
      <c r="H165" s="309">
        <v>10677</v>
      </c>
      <c r="I165" s="310">
        <v>25.5</v>
      </c>
      <c r="J165" s="307"/>
      <c r="K165" s="307">
        <f>IFERROR(Table24[[#This Row],[ROUTE COST]]/Table24[[#This Row],[O - DEMAND]],0)</f>
        <v>0</v>
      </c>
      <c r="L165" s="306"/>
      <c r="M165" s="310">
        <f>Table24[[#This Row],[O - DEMAND]]/950</f>
        <v>0</v>
      </c>
      <c r="N165" s="306">
        <f>IFERROR(VLOOKUP(Table24[[#This Row],[ROUTE]],DEMAND!A:F,5,FALSE),0)</f>
        <v>0</v>
      </c>
      <c r="O165" s="306">
        <f>IFERROR(VLOOKUP(Table24[[#This Row],[ROUTE]],DEMAND!A:F,6,FALSE),0)</f>
        <v>0</v>
      </c>
      <c r="P165" s="306">
        <f>ROUNDDOWN(Table24[[#This Row],[R-DEMAND]]/950,0)</f>
        <v>0</v>
      </c>
      <c r="Q165" s="306">
        <f>Table24[[#This Row],[ADD ACC
(475/950)]]*Table24[[#This Row],[Duration
(A359)]]</f>
        <v>0</v>
      </c>
      <c r="R165" s="307">
        <f>IFERROR(VLOOKUP(Table24[[#This Row],[ROUTE]],PRICING!A:B,2,FALSE),0)</f>
        <v>0</v>
      </c>
      <c r="S165" s="308">
        <f>Table24[[#This Row],[C_DEMAND]]-Table24[[#This Row],[R-DEMAND]]</f>
        <v>0</v>
      </c>
      <c r="T165" s="307">
        <f>Table24[[#This Row],[SEATS SOLD]]*Table24[[#This Row],[ECO SEAT]]</f>
        <v>0</v>
      </c>
      <c r="U165" s="307">
        <f>Table24[[#This Row],[SEATS SOLD]]*(IFERROR(VLOOKUP(Table24[[#This Row],[ROUTE]],PRICING!A:C,3,FALSE),0))</f>
        <v>0</v>
      </c>
      <c r="V165" s="307">
        <f>Table24[[#This Row],[SEAT REV]]-Table24[[#This Row],[SEAT REV
(IF IDEAL $)]]</f>
        <v>0</v>
      </c>
    </row>
    <row r="166" spans="1:22" customFormat="1" x14ac:dyDescent="0.25">
      <c r="A166" s="306" t="s">
        <v>17617</v>
      </c>
      <c r="B166" s="306" t="s">
        <v>3271</v>
      </c>
      <c r="C166" s="306"/>
      <c r="D166" s="26">
        <v>2</v>
      </c>
      <c r="E166" s="312" t="s">
        <v>78</v>
      </c>
      <c r="F166" s="306" t="str">
        <f>VLOOKUP(Table24[[#This Row],[Country]],Table10[[COUNTRY NAME]:[CONTINENT CODE]],3,FALSE)</f>
        <v>EU</v>
      </c>
      <c r="G166" s="312" t="s">
        <v>11903</v>
      </c>
      <c r="H166" s="309">
        <v>10613</v>
      </c>
      <c r="I166" s="310">
        <v>25.5</v>
      </c>
      <c r="J166" s="307"/>
      <c r="K166" s="307">
        <f>IFERROR(Table24[[#This Row],[ROUTE COST]]/Table24[[#This Row],[O - DEMAND]],0)</f>
        <v>0</v>
      </c>
      <c r="L166" s="306"/>
      <c r="M166" s="310">
        <f>Table24[[#This Row],[O - DEMAND]]/950</f>
        <v>0</v>
      </c>
      <c r="N166" s="306">
        <f>IFERROR(VLOOKUP(Table24[[#This Row],[ROUTE]],DEMAND!A:F,5,FALSE),0)</f>
        <v>0</v>
      </c>
      <c r="O166" s="306">
        <f>IFERROR(VLOOKUP(Table24[[#This Row],[ROUTE]],DEMAND!A:F,6,FALSE),0)</f>
        <v>0</v>
      </c>
      <c r="P166" s="306">
        <f>ROUNDDOWN(Table24[[#This Row],[R-DEMAND]]/950,0)</f>
        <v>0</v>
      </c>
      <c r="Q166" s="306">
        <f>Table24[[#This Row],[ADD ACC
(475/950)]]*Table24[[#This Row],[Duration
(A359)]]</f>
        <v>0</v>
      </c>
      <c r="R166" s="307">
        <f>IFERROR(VLOOKUP(Table24[[#This Row],[ROUTE]],PRICING!A:B,2,FALSE),0)</f>
        <v>0</v>
      </c>
      <c r="S166" s="308">
        <f>Table24[[#This Row],[C_DEMAND]]-Table24[[#This Row],[R-DEMAND]]</f>
        <v>0</v>
      </c>
      <c r="T166" s="307">
        <f>Table24[[#This Row],[SEATS SOLD]]*Table24[[#This Row],[ECO SEAT]]</f>
        <v>0</v>
      </c>
      <c r="U166" s="307">
        <f>Table24[[#This Row],[SEATS SOLD]]*(IFERROR(VLOOKUP(Table24[[#This Row],[ROUTE]],PRICING!A:C,3,FALSE),0))</f>
        <v>0</v>
      </c>
      <c r="V166" s="307">
        <f>Table24[[#This Row],[SEAT REV]]-Table24[[#This Row],[SEAT REV
(IF IDEAL $)]]</f>
        <v>0</v>
      </c>
    </row>
    <row r="167" spans="1:22" customFormat="1" x14ac:dyDescent="0.25">
      <c r="A167" s="306" t="s">
        <v>17615</v>
      </c>
      <c r="B167" s="306" t="s">
        <v>2984</v>
      </c>
      <c r="C167" s="306"/>
      <c r="D167" s="26">
        <v>2</v>
      </c>
      <c r="E167" s="312" t="s">
        <v>78</v>
      </c>
      <c r="F167" s="306" t="str">
        <f>VLOOKUP(Table24[[#This Row],[Country]],Table10[[COUNTRY NAME]:[CONTINENT CODE]],3,FALSE)</f>
        <v>EU</v>
      </c>
      <c r="G167" s="312" t="s">
        <v>11911</v>
      </c>
      <c r="H167" s="309">
        <v>10677</v>
      </c>
      <c r="I167" s="310">
        <v>25.5</v>
      </c>
      <c r="J167" s="307"/>
      <c r="K167" s="307">
        <f>IFERROR(Table24[[#This Row],[ROUTE COST]]/Table24[[#This Row],[O - DEMAND]],0)</f>
        <v>0</v>
      </c>
      <c r="L167" s="306"/>
      <c r="M167" s="310">
        <f>Table24[[#This Row],[O - DEMAND]]/950</f>
        <v>0</v>
      </c>
      <c r="N167" s="306">
        <f>IFERROR(VLOOKUP(Table24[[#This Row],[ROUTE]],DEMAND!A:F,5,FALSE),0)</f>
        <v>0</v>
      </c>
      <c r="O167" s="306">
        <f>IFERROR(VLOOKUP(Table24[[#This Row],[ROUTE]],DEMAND!A:F,6,FALSE),0)</f>
        <v>0</v>
      </c>
      <c r="P167" s="306">
        <f>ROUNDDOWN(Table24[[#This Row],[R-DEMAND]]/950,0)</f>
        <v>0</v>
      </c>
      <c r="Q167" s="306">
        <f>Table24[[#This Row],[ADD ACC
(475/950)]]*Table24[[#This Row],[Duration
(A359)]]</f>
        <v>0</v>
      </c>
      <c r="R167" s="307">
        <f>IFERROR(VLOOKUP(Table24[[#This Row],[ROUTE]],PRICING!A:B,2,FALSE),0)</f>
        <v>0</v>
      </c>
      <c r="S167" s="308">
        <f>Table24[[#This Row],[C_DEMAND]]-Table24[[#This Row],[R-DEMAND]]</f>
        <v>0</v>
      </c>
      <c r="T167" s="307">
        <f>Table24[[#This Row],[SEATS SOLD]]*Table24[[#This Row],[ECO SEAT]]</f>
        <v>0</v>
      </c>
      <c r="U167" s="307">
        <f>Table24[[#This Row],[SEATS SOLD]]*(IFERROR(VLOOKUP(Table24[[#This Row],[ROUTE]],PRICING!A:C,3,FALSE),0))</f>
        <v>0</v>
      </c>
      <c r="V167" s="307">
        <f>Table24[[#This Row],[SEAT REV]]-Table24[[#This Row],[SEAT REV
(IF IDEAL $)]]</f>
        <v>0</v>
      </c>
    </row>
    <row r="168" spans="1:22" customFormat="1" x14ac:dyDescent="0.25">
      <c r="A168" s="306" t="s">
        <v>17616</v>
      </c>
      <c r="B168" s="306" t="s">
        <v>4580</v>
      </c>
      <c r="C168" s="306"/>
      <c r="D168" s="26">
        <v>2</v>
      </c>
      <c r="E168" s="312" t="s">
        <v>78</v>
      </c>
      <c r="F168" s="306" t="str">
        <f>VLOOKUP(Table24[[#This Row],[Country]],Table10[[COUNTRY NAME]:[CONTINENT CODE]],3,FALSE)</f>
        <v>EU</v>
      </c>
      <c r="G168" s="312" t="s">
        <v>11916</v>
      </c>
      <c r="H168" s="309">
        <v>10622</v>
      </c>
      <c r="I168" s="310">
        <v>25.5</v>
      </c>
      <c r="J168" s="307"/>
      <c r="K168" s="307">
        <f>IFERROR(Table24[[#This Row],[ROUTE COST]]/Table24[[#This Row],[O - DEMAND]],0)</f>
        <v>0</v>
      </c>
      <c r="L168" s="306"/>
      <c r="M168" s="310">
        <f>Table24[[#This Row],[O - DEMAND]]/950</f>
        <v>0</v>
      </c>
      <c r="N168" s="306">
        <f>IFERROR(VLOOKUP(Table24[[#This Row],[ROUTE]],DEMAND!A:F,5,FALSE),0)</f>
        <v>0</v>
      </c>
      <c r="O168" s="306">
        <f>IFERROR(VLOOKUP(Table24[[#This Row],[ROUTE]],DEMAND!A:F,6,FALSE),0)</f>
        <v>0</v>
      </c>
      <c r="P168" s="306">
        <f>ROUNDDOWN(Table24[[#This Row],[R-DEMAND]]/950,0)</f>
        <v>0</v>
      </c>
      <c r="Q168" s="306">
        <f>Table24[[#This Row],[ADD ACC
(475/950)]]*Table24[[#This Row],[Duration
(A359)]]</f>
        <v>0</v>
      </c>
      <c r="R168" s="307">
        <f>IFERROR(VLOOKUP(Table24[[#This Row],[ROUTE]],PRICING!A:B,2,FALSE),0)</f>
        <v>0</v>
      </c>
      <c r="S168" s="308">
        <f>Table24[[#This Row],[C_DEMAND]]-Table24[[#This Row],[R-DEMAND]]</f>
        <v>0</v>
      </c>
      <c r="T168" s="307">
        <f>Table24[[#This Row],[SEATS SOLD]]*Table24[[#This Row],[ECO SEAT]]</f>
        <v>0</v>
      </c>
      <c r="U168" s="307">
        <f>Table24[[#This Row],[SEATS SOLD]]*(IFERROR(VLOOKUP(Table24[[#This Row],[ROUTE]],PRICING!A:C,3,FALSE),0))</f>
        <v>0</v>
      </c>
      <c r="V168" s="307">
        <f>Table24[[#This Row],[SEAT REV]]-Table24[[#This Row],[SEAT REV
(IF IDEAL $)]]</f>
        <v>0</v>
      </c>
    </row>
    <row r="169" spans="1:22" customFormat="1" x14ac:dyDescent="0.25">
      <c r="A169" s="306" t="s">
        <v>17388</v>
      </c>
      <c r="B169" s="306" t="s">
        <v>3048</v>
      </c>
      <c r="C169" s="306"/>
      <c r="D169" s="26">
        <v>2</v>
      </c>
      <c r="E169" s="312" t="s">
        <v>172</v>
      </c>
      <c r="F169" s="306" t="str">
        <f>VLOOKUP(Table24[[#This Row],[Country]],Table10[[COUNTRY NAME]:[CONTINENT CODE]],3,FALSE)</f>
        <v>AS</v>
      </c>
      <c r="G169" s="312" t="s">
        <v>6814</v>
      </c>
      <c r="H169" s="309">
        <v>10680</v>
      </c>
      <c r="I169" s="310">
        <v>25.5</v>
      </c>
      <c r="J169" s="307"/>
      <c r="K169" s="307">
        <f>IFERROR(Table24[[#This Row],[ROUTE COST]]/Table24[[#This Row],[O - DEMAND]],0)</f>
        <v>0</v>
      </c>
      <c r="L169" s="306"/>
      <c r="M169" s="310">
        <f>Table24[[#This Row],[O - DEMAND]]/950</f>
        <v>0</v>
      </c>
      <c r="N169" s="306">
        <f>IFERROR(VLOOKUP(Table24[[#This Row],[ROUTE]],DEMAND!A:F,5,FALSE),0)</f>
        <v>0</v>
      </c>
      <c r="O169" s="306">
        <f>IFERROR(VLOOKUP(Table24[[#This Row],[ROUTE]],DEMAND!A:F,6,FALSE),0)</f>
        <v>0</v>
      </c>
      <c r="P169" s="306">
        <f>ROUNDDOWN(Table24[[#This Row],[R-DEMAND]]/950,0)</f>
        <v>0</v>
      </c>
      <c r="Q169" s="306">
        <f>Table24[[#This Row],[ADD ACC
(475/950)]]*Table24[[#This Row],[Duration
(A359)]]</f>
        <v>0</v>
      </c>
      <c r="R169" s="307">
        <f>IFERROR(VLOOKUP(Table24[[#This Row],[ROUTE]],PRICING!A:B,2,FALSE),0)</f>
        <v>0</v>
      </c>
      <c r="S169" s="308">
        <f>Table24[[#This Row],[C_DEMAND]]-Table24[[#This Row],[R-DEMAND]]</f>
        <v>0</v>
      </c>
      <c r="T169" s="307">
        <f>Table24[[#This Row],[SEATS SOLD]]*Table24[[#This Row],[ECO SEAT]]</f>
        <v>0</v>
      </c>
      <c r="U169" s="307">
        <f>Table24[[#This Row],[SEATS SOLD]]*(IFERROR(VLOOKUP(Table24[[#This Row],[ROUTE]],PRICING!A:C,3,FALSE),0))</f>
        <v>0</v>
      </c>
      <c r="V169" s="307">
        <f>Table24[[#This Row],[SEAT REV]]-Table24[[#This Row],[SEAT REV
(IF IDEAL $)]]</f>
        <v>0</v>
      </c>
    </row>
    <row r="170" spans="1:22" customFormat="1" x14ac:dyDescent="0.25">
      <c r="A170" s="306" t="s">
        <v>17391</v>
      </c>
      <c r="B170" s="306" t="s">
        <v>3129</v>
      </c>
      <c r="C170" s="306"/>
      <c r="D170" s="26">
        <v>2</v>
      </c>
      <c r="E170" s="312" t="s">
        <v>700</v>
      </c>
      <c r="F170" s="306" t="str">
        <f>VLOOKUP(Table24[[#This Row],[Country]],Table10[[COUNTRY NAME]:[CONTINENT CODE]],3,FALSE)</f>
        <v>AS</v>
      </c>
      <c r="G170" s="312" t="s">
        <v>10746</v>
      </c>
      <c r="H170" s="309">
        <v>10656</v>
      </c>
      <c r="I170" s="310">
        <v>25.5</v>
      </c>
      <c r="J170" s="307"/>
      <c r="K170" s="307">
        <f>IFERROR(Table24[[#This Row],[ROUTE COST]]/Table24[[#This Row],[O - DEMAND]],0)</f>
        <v>0</v>
      </c>
      <c r="L170" s="306"/>
      <c r="M170" s="310">
        <f>Table24[[#This Row],[O - DEMAND]]/950</f>
        <v>0</v>
      </c>
      <c r="N170" s="306">
        <f>IFERROR(VLOOKUP(Table24[[#This Row],[ROUTE]],DEMAND!A:F,5,FALSE),0)</f>
        <v>0</v>
      </c>
      <c r="O170" s="306">
        <f>IFERROR(VLOOKUP(Table24[[#This Row],[ROUTE]],DEMAND!A:F,6,FALSE),0)</f>
        <v>0</v>
      </c>
      <c r="P170" s="306">
        <f>ROUNDDOWN(Table24[[#This Row],[R-DEMAND]]/950,0)</f>
        <v>0</v>
      </c>
      <c r="Q170" s="306">
        <f>Table24[[#This Row],[ADD ACC
(475/950)]]*Table24[[#This Row],[Duration
(A359)]]</f>
        <v>0</v>
      </c>
      <c r="R170" s="307">
        <f>IFERROR(VLOOKUP(Table24[[#This Row],[ROUTE]],PRICING!A:B,2,FALSE),0)</f>
        <v>0</v>
      </c>
      <c r="S170" s="308">
        <f>Table24[[#This Row],[C_DEMAND]]-Table24[[#This Row],[R-DEMAND]]</f>
        <v>0</v>
      </c>
      <c r="T170" s="307">
        <f>Table24[[#This Row],[SEATS SOLD]]*Table24[[#This Row],[ECO SEAT]]</f>
        <v>0</v>
      </c>
      <c r="U170" s="307">
        <f>Table24[[#This Row],[SEATS SOLD]]*(IFERROR(VLOOKUP(Table24[[#This Row],[ROUTE]],PRICING!A:C,3,FALSE),0))</f>
        <v>0</v>
      </c>
      <c r="V170" s="307">
        <f>Table24[[#This Row],[SEAT REV]]-Table24[[#This Row],[SEAT REV
(IF IDEAL $)]]</f>
        <v>0</v>
      </c>
    </row>
    <row r="171" spans="1:22" customFormat="1" x14ac:dyDescent="0.25">
      <c r="A171" s="306" t="s">
        <v>17389</v>
      </c>
      <c r="B171" s="306" t="s">
        <v>3640</v>
      </c>
      <c r="C171" s="306"/>
      <c r="D171" s="26">
        <v>2</v>
      </c>
      <c r="E171" s="312" t="s">
        <v>700</v>
      </c>
      <c r="F171" s="306" t="str">
        <f>VLOOKUP(Table24[[#This Row],[Country]],Table10[[COUNTRY NAME]:[CONTINENT CODE]],3,FALSE)</f>
        <v>AS</v>
      </c>
      <c r="G171" s="312" t="s">
        <v>11904</v>
      </c>
      <c r="H171" s="309">
        <v>10660</v>
      </c>
      <c r="I171" s="310">
        <v>25.5</v>
      </c>
      <c r="J171" s="307"/>
      <c r="K171" s="307">
        <f>IFERROR(Table24[[#This Row],[ROUTE COST]]/Table24[[#This Row],[O - DEMAND]],0)</f>
        <v>0</v>
      </c>
      <c r="L171" s="306"/>
      <c r="M171" s="310">
        <f>Table24[[#This Row],[O - DEMAND]]/950</f>
        <v>0</v>
      </c>
      <c r="N171" s="306">
        <f>IFERROR(VLOOKUP(Table24[[#This Row],[ROUTE]],DEMAND!A:F,5,FALSE),0)</f>
        <v>0</v>
      </c>
      <c r="O171" s="306">
        <f>IFERROR(VLOOKUP(Table24[[#This Row],[ROUTE]],DEMAND!A:F,6,FALSE),0)</f>
        <v>0</v>
      </c>
      <c r="P171" s="306">
        <f>ROUNDDOWN(Table24[[#This Row],[R-DEMAND]]/950,0)</f>
        <v>0</v>
      </c>
      <c r="Q171" s="306">
        <f>Table24[[#This Row],[ADD ACC
(475/950)]]*Table24[[#This Row],[Duration
(A359)]]</f>
        <v>0</v>
      </c>
      <c r="R171" s="307">
        <f>IFERROR(VLOOKUP(Table24[[#This Row],[ROUTE]],PRICING!A:B,2,FALSE),0)</f>
        <v>0</v>
      </c>
      <c r="S171" s="308">
        <f>Table24[[#This Row],[C_DEMAND]]-Table24[[#This Row],[R-DEMAND]]</f>
        <v>0</v>
      </c>
      <c r="T171" s="307">
        <f>Table24[[#This Row],[SEATS SOLD]]*Table24[[#This Row],[ECO SEAT]]</f>
        <v>0</v>
      </c>
      <c r="U171" s="307">
        <f>Table24[[#This Row],[SEATS SOLD]]*(IFERROR(VLOOKUP(Table24[[#This Row],[ROUTE]],PRICING!A:C,3,FALSE),0))</f>
        <v>0</v>
      </c>
      <c r="V171" s="307">
        <f>Table24[[#This Row],[SEAT REV]]-Table24[[#This Row],[SEAT REV
(IF IDEAL $)]]</f>
        <v>0</v>
      </c>
    </row>
    <row r="172" spans="1:22" customFormat="1" x14ac:dyDescent="0.25">
      <c r="A172" s="306" t="s">
        <v>17390</v>
      </c>
      <c r="B172" s="306" t="s">
        <v>3479</v>
      </c>
      <c r="C172" s="306"/>
      <c r="D172" s="26">
        <v>2</v>
      </c>
      <c r="E172" s="312" t="s">
        <v>700</v>
      </c>
      <c r="F172" s="306" t="str">
        <f>VLOOKUP(Table24[[#This Row],[Country]],Table10[[COUNTRY NAME]:[CONTINENT CODE]],3,FALSE)</f>
        <v>AS</v>
      </c>
      <c r="G172" s="312" t="s">
        <v>16863</v>
      </c>
      <c r="H172" s="309">
        <v>10656</v>
      </c>
      <c r="I172" s="310">
        <v>25.5</v>
      </c>
      <c r="J172" s="307"/>
      <c r="K172" s="307">
        <f>IFERROR(Table24[[#This Row],[ROUTE COST]]/Table24[[#This Row],[O - DEMAND]],0)</f>
        <v>0</v>
      </c>
      <c r="L172" s="306"/>
      <c r="M172" s="310">
        <f>Table24[[#This Row],[O - DEMAND]]/950</f>
        <v>0</v>
      </c>
      <c r="N172" s="306">
        <f>IFERROR(VLOOKUP(Table24[[#This Row],[ROUTE]],DEMAND!A:F,5,FALSE),0)</f>
        <v>0</v>
      </c>
      <c r="O172" s="306">
        <f>IFERROR(VLOOKUP(Table24[[#This Row],[ROUTE]],DEMAND!A:F,6,FALSE),0)</f>
        <v>0</v>
      </c>
      <c r="P172" s="306">
        <f>ROUNDDOWN(Table24[[#This Row],[R-DEMAND]]/950,0)</f>
        <v>0</v>
      </c>
      <c r="Q172" s="306">
        <f>Table24[[#This Row],[ADD ACC
(475/950)]]*Table24[[#This Row],[Duration
(A359)]]</f>
        <v>0</v>
      </c>
      <c r="R172" s="307">
        <f>IFERROR(VLOOKUP(Table24[[#This Row],[ROUTE]],PRICING!A:B,2,FALSE),0)</f>
        <v>0</v>
      </c>
      <c r="S172" s="308">
        <f>Table24[[#This Row],[C_DEMAND]]-Table24[[#This Row],[R-DEMAND]]</f>
        <v>0</v>
      </c>
      <c r="T172" s="307">
        <f>Table24[[#This Row],[SEATS SOLD]]*Table24[[#This Row],[ECO SEAT]]</f>
        <v>0</v>
      </c>
      <c r="U172" s="307">
        <f>Table24[[#This Row],[SEATS SOLD]]*(IFERROR(VLOOKUP(Table24[[#This Row],[ROUTE]],PRICING!A:C,3,FALSE),0))</f>
        <v>0</v>
      </c>
      <c r="V172" s="307">
        <f>Table24[[#This Row],[SEAT REV]]-Table24[[#This Row],[SEAT REV
(IF IDEAL $)]]</f>
        <v>0</v>
      </c>
    </row>
    <row r="173" spans="1:22" customFormat="1" x14ac:dyDescent="0.25">
      <c r="A173" s="306" t="s">
        <v>17392</v>
      </c>
      <c r="B173" s="306" t="s">
        <v>2846</v>
      </c>
      <c r="C173" s="306"/>
      <c r="D173" s="26">
        <v>2</v>
      </c>
      <c r="E173" s="312" t="s">
        <v>700</v>
      </c>
      <c r="F173" s="306" t="str">
        <f>VLOOKUP(Table24[[#This Row],[Country]],Table10[[COUNTRY NAME]:[CONTINENT CODE]],3,FALSE)</f>
        <v>AS</v>
      </c>
      <c r="G173" s="312" t="s">
        <v>8406</v>
      </c>
      <c r="H173" s="309">
        <v>10653</v>
      </c>
      <c r="I173" s="310">
        <v>25.5</v>
      </c>
      <c r="J173" s="307"/>
      <c r="K173" s="307">
        <f>IFERROR(Table24[[#This Row],[ROUTE COST]]/Table24[[#This Row],[O - DEMAND]],0)</f>
        <v>0</v>
      </c>
      <c r="L173" s="306"/>
      <c r="M173" s="310">
        <f>Table24[[#This Row],[O - DEMAND]]/950</f>
        <v>0</v>
      </c>
      <c r="N173" s="306">
        <f>IFERROR(VLOOKUP(Table24[[#This Row],[ROUTE]],DEMAND!A:F,5,FALSE),0)</f>
        <v>0</v>
      </c>
      <c r="O173" s="306">
        <f>IFERROR(VLOOKUP(Table24[[#This Row],[ROUTE]],DEMAND!A:F,6,FALSE),0)</f>
        <v>0</v>
      </c>
      <c r="P173" s="306">
        <f>ROUNDDOWN(Table24[[#This Row],[R-DEMAND]]/950,0)</f>
        <v>0</v>
      </c>
      <c r="Q173" s="306">
        <f>Table24[[#This Row],[ADD ACC
(475/950)]]*Table24[[#This Row],[Duration
(A359)]]</f>
        <v>0</v>
      </c>
      <c r="R173" s="307">
        <f>IFERROR(VLOOKUP(Table24[[#This Row],[ROUTE]],PRICING!A:B,2,FALSE),0)</f>
        <v>0</v>
      </c>
      <c r="S173" s="308">
        <f>Table24[[#This Row],[C_DEMAND]]-Table24[[#This Row],[R-DEMAND]]</f>
        <v>0</v>
      </c>
      <c r="T173" s="307">
        <f>Table24[[#This Row],[SEATS SOLD]]*Table24[[#This Row],[ECO SEAT]]</f>
        <v>0</v>
      </c>
      <c r="U173" s="307">
        <f>Table24[[#This Row],[SEATS SOLD]]*(IFERROR(VLOOKUP(Table24[[#This Row],[ROUTE]],PRICING!A:C,3,FALSE),0))</f>
        <v>0</v>
      </c>
      <c r="V173" s="307">
        <f>Table24[[#This Row],[SEAT REV]]-Table24[[#This Row],[SEAT REV
(IF IDEAL $)]]</f>
        <v>0</v>
      </c>
    </row>
    <row r="174" spans="1:22" customFormat="1" x14ac:dyDescent="0.25">
      <c r="A174" s="306" t="s">
        <v>17440</v>
      </c>
      <c r="B174" s="306" t="s">
        <v>1272</v>
      </c>
      <c r="C174" s="306"/>
      <c r="D174" s="26">
        <v>1</v>
      </c>
      <c r="E174" s="312" t="s">
        <v>1270</v>
      </c>
      <c r="F174" s="306" t="str">
        <f>VLOOKUP(Table24[[#This Row],[Country]],Table10[[COUNTRY NAME]:[CONTINENT CODE]],3,FALSE)</f>
        <v>AS</v>
      </c>
      <c r="G174" s="312" t="s">
        <v>11909</v>
      </c>
      <c r="H174" s="309">
        <v>10703</v>
      </c>
      <c r="I174" s="310">
        <v>25.5</v>
      </c>
      <c r="J174" s="307"/>
      <c r="K174" s="307">
        <f>IFERROR(Table24[[#This Row],[ROUTE COST]]/Table24[[#This Row],[O - DEMAND]],0)</f>
        <v>0</v>
      </c>
      <c r="L174" s="306"/>
      <c r="M174" s="310">
        <f>Table24[[#This Row],[O - DEMAND]]/950</f>
        <v>0</v>
      </c>
      <c r="N174" s="306">
        <f>IFERROR(VLOOKUP(Table24[[#This Row],[ROUTE]],DEMAND!A:F,5,FALSE),0)</f>
        <v>0</v>
      </c>
      <c r="O174" s="306">
        <f>IFERROR(VLOOKUP(Table24[[#This Row],[ROUTE]],DEMAND!A:F,6,FALSE),0)</f>
        <v>0</v>
      </c>
      <c r="P174" s="306">
        <f>ROUNDDOWN(Table24[[#This Row],[R-DEMAND]]/950,0)</f>
        <v>0</v>
      </c>
      <c r="Q174" s="306">
        <f>Table24[[#This Row],[ADD ACC
(475/950)]]*Table24[[#This Row],[Duration
(A359)]]</f>
        <v>0</v>
      </c>
      <c r="R174" s="307">
        <f>IFERROR(VLOOKUP(Table24[[#This Row],[ROUTE]],PRICING!A:B,2,FALSE),0)</f>
        <v>0</v>
      </c>
      <c r="S174" s="308">
        <f>Table24[[#This Row],[C_DEMAND]]-Table24[[#This Row],[R-DEMAND]]</f>
        <v>0</v>
      </c>
      <c r="T174" s="307">
        <f>Table24[[#This Row],[SEATS SOLD]]*Table24[[#This Row],[ECO SEAT]]</f>
        <v>0</v>
      </c>
      <c r="U174" s="307">
        <f>Table24[[#This Row],[SEATS SOLD]]*(IFERROR(VLOOKUP(Table24[[#This Row],[ROUTE]],PRICING!A:C,3,FALSE),0))</f>
        <v>0</v>
      </c>
      <c r="V174" s="307">
        <f>Table24[[#This Row],[SEAT REV]]-Table24[[#This Row],[SEAT REV
(IF IDEAL $)]]</f>
        <v>0</v>
      </c>
    </row>
    <row r="175" spans="1:22" customFormat="1" x14ac:dyDescent="0.25">
      <c r="A175" s="306" t="s">
        <v>17517</v>
      </c>
      <c r="B175" s="306" t="s">
        <v>5047</v>
      </c>
      <c r="C175" s="306"/>
      <c r="D175" s="26">
        <v>3</v>
      </c>
      <c r="E175" s="312" t="s">
        <v>78</v>
      </c>
      <c r="F175" s="306" t="str">
        <f>VLOOKUP(Table24[[#This Row],[Country]],Table10[[COUNTRY NAME]:[CONTINENT CODE]],3,FALSE)</f>
        <v>EU</v>
      </c>
      <c r="G175" s="312" t="s">
        <v>11914</v>
      </c>
      <c r="H175" s="309">
        <v>10576</v>
      </c>
      <c r="I175" s="310">
        <v>25.25</v>
      </c>
      <c r="J175" s="307"/>
      <c r="K175" s="307">
        <f>IFERROR(Table24[[#This Row],[ROUTE COST]]/Table24[[#This Row],[O - DEMAND]],0)</f>
        <v>0</v>
      </c>
      <c r="L175" s="306"/>
      <c r="M175" s="310">
        <f>Table24[[#This Row],[O - DEMAND]]/950</f>
        <v>0</v>
      </c>
      <c r="N175" s="306">
        <f>IFERROR(VLOOKUP(Table24[[#This Row],[ROUTE]],DEMAND!A:F,5,FALSE),0)</f>
        <v>0</v>
      </c>
      <c r="O175" s="306">
        <f>IFERROR(VLOOKUP(Table24[[#This Row],[ROUTE]],DEMAND!A:F,6,FALSE),0)</f>
        <v>0</v>
      </c>
      <c r="P175" s="306">
        <f>ROUNDDOWN(Table24[[#This Row],[R-DEMAND]]/950,0)</f>
        <v>0</v>
      </c>
      <c r="Q175" s="306">
        <f>Table24[[#This Row],[ADD ACC
(475/950)]]*Table24[[#This Row],[Duration
(A359)]]</f>
        <v>0</v>
      </c>
      <c r="R175" s="307">
        <f>IFERROR(VLOOKUP(Table24[[#This Row],[ROUTE]],PRICING!A:B,2,FALSE),0)</f>
        <v>0</v>
      </c>
      <c r="S175" s="308">
        <f>Table24[[#This Row],[C_DEMAND]]-Table24[[#This Row],[R-DEMAND]]</f>
        <v>0</v>
      </c>
      <c r="T175" s="307">
        <f>Table24[[#This Row],[SEATS SOLD]]*Table24[[#This Row],[ECO SEAT]]</f>
        <v>0</v>
      </c>
      <c r="U175" s="307">
        <f>Table24[[#This Row],[SEATS SOLD]]*(IFERROR(VLOOKUP(Table24[[#This Row],[ROUTE]],PRICING!A:C,3,FALSE),0))</f>
        <v>0</v>
      </c>
      <c r="V175" s="307">
        <f>Table24[[#This Row],[SEAT REV]]-Table24[[#This Row],[SEAT REV
(IF IDEAL $)]]</f>
        <v>0</v>
      </c>
    </row>
    <row r="176" spans="1:22" customFormat="1" x14ac:dyDescent="0.25">
      <c r="A176" s="306" t="s">
        <v>17133</v>
      </c>
      <c r="B176" s="306" t="s">
        <v>4229</v>
      </c>
      <c r="C176" s="306"/>
      <c r="D176" s="26">
        <v>2</v>
      </c>
      <c r="E176" s="312" t="s">
        <v>1124</v>
      </c>
      <c r="F176" s="306" t="str">
        <f>VLOOKUP(Table24[[#This Row],[Country]],Table10[[COUNTRY NAME]:[CONTINENT CODE]],3,FALSE)</f>
        <v>AF</v>
      </c>
      <c r="G176" s="312" t="s">
        <v>11001</v>
      </c>
      <c r="H176" s="309">
        <v>10580</v>
      </c>
      <c r="I176" s="310">
        <v>25.25</v>
      </c>
      <c r="J176" s="307"/>
      <c r="K176" s="307">
        <f>IFERROR(Table24[[#This Row],[ROUTE COST]]/Table24[[#This Row],[O - DEMAND]],0)</f>
        <v>0</v>
      </c>
      <c r="L176" s="306"/>
      <c r="M176" s="310">
        <f>Table24[[#This Row],[O - DEMAND]]/950</f>
        <v>0</v>
      </c>
      <c r="N176" s="306">
        <f>IFERROR(VLOOKUP(Table24[[#This Row],[ROUTE]],DEMAND!A:F,5,FALSE),0)</f>
        <v>0</v>
      </c>
      <c r="O176" s="306">
        <f>IFERROR(VLOOKUP(Table24[[#This Row],[ROUTE]],DEMAND!A:F,6,FALSE),0)</f>
        <v>0</v>
      </c>
      <c r="P176" s="306">
        <f>ROUNDDOWN(Table24[[#This Row],[R-DEMAND]]/950,0)</f>
        <v>0</v>
      </c>
      <c r="Q176" s="306">
        <f>Table24[[#This Row],[ADD ACC
(475/950)]]*Table24[[#This Row],[Duration
(A359)]]</f>
        <v>0</v>
      </c>
      <c r="R176" s="307">
        <f>IFERROR(VLOOKUP(Table24[[#This Row],[ROUTE]],PRICING!A:B,2,FALSE),0)</f>
        <v>0</v>
      </c>
      <c r="S176" s="308">
        <f>Table24[[#This Row],[C_DEMAND]]-Table24[[#This Row],[R-DEMAND]]</f>
        <v>0</v>
      </c>
      <c r="T176" s="307">
        <f>Table24[[#This Row],[SEATS SOLD]]*Table24[[#This Row],[ECO SEAT]]</f>
        <v>0</v>
      </c>
      <c r="U176" s="307">
        <f>Table24[[#This Row],[SEATS SOLD]]*(IFERROR(VLOOKUP(Table24[[#This Row],[ROUTE]],PRICING!A:C,3,FALSE),0))</f>
        <v>0</v>
      </c>
      <c r="V176" s="307">
        <f>Table24[[#This Row],[SEAT REV]]-Table24[[#This Row],[SEAT REV
(IF IDEAL $)]]</f>
        <v>0</v>
      </c>
    </row>
    <row r="177" spans="1:22" customFormat="1" x14ac:dyDescent="0.25">
      <c r="A177" s="306" t="s">
        <v>17618</v>
      </c>
      <c r="B177" s="306" t="s">
        <v>3385</v>
      </c>
      <c r="C177" s="306"/>
      <c r="D177" s="26">
        <v>2</v>
      </c>
      <c r="E177" s="312" t="s">
        <v>78</v>
      </c>
      <c r="F177" s="306" t="str">
        <f>VLOOKUP(Table24[[#This Row],[Country]],Table10[[COUNTRY NAME]:[CONTINENT CODE]],3,FALSE)</f>
        <v>EU</v>
      </c>
      <c r="G177" s="312" t="s">
        <v>16864</v>
      </c>
      <c r="H177" s="309">
        <v>10573</v>
      </c>
      <c r="I177" s="310">
        <v>25.25</v>
      </c>
      <c r="J177" s="307"/>
      <c r="K177" s="307">
        <f>IFERROR(Table24[[#This Row],[ROUTE COST]]/Table24[[#This Row],[O - DEMAND]],0)</f>
        <v>0</v>
      </c>
      <c r="L177" s="306"/>
      <c r="M177" s="310">
        <f>Table24[[#This Row],[O - DEMAND]]/950</f>
        <v>0</v>
      </c>
      <c r="N177" s="306">
        <f>IFERROR(VLOOKUP(Table24[[#This Row],[ROUTE]],DEMAND!A:F,5,FALSE),0)</f>
        <v>0</v>
      </c>
      <c r="O177" s="306">
        <f>IFERROR(VLOOKUP(Table24[[#This Row],[ROUTE]],DEMAND!A:F,6,FALSE),0)</f>
        <v>0</v>
      </c>
      <c r="P177" s="306">
        <f>ROUNDDOWN(Table24[[#This Row],[R-DEMAND]]/950,0)</f>
        <v>0</v>
      </c>
      <c r="Q177" s="306">
        <f>Table24[[#This Row],[ADD ACC
(475/950)]]*Table24[[#This Row],[Duration
(A359)]]</f>
        <v>0</v>
      </c>
      <c r="R177" s="307">
        <f>IFERROR(VLOOKUP(Table24[[#This Row],[ROUTE]],PRICING!A:B,2,FALSE),0)</f>
        <v>0</v>
      </c>
      <c r="S177" s="308">
        <f>Table24[[#This Row],[C_DEMAND]]-Table24[[#This Row],[R-DEMAND]]</f>
        <v>0</v>
      </c>
      <c r="T177" s="307">
        <f>Table24[[#This Row],[SEATS SOLD]]*Table24[[#This Row],[ECO SEAT]]</f>
        <v>0</v>
      </c>
      <c r="U177" s="307">
        <f>Table24[[#This Row],[SEATS SOLD]]*(IFERROR(VLOOKUP(Table24[[#This Row],[ROUTE]],PRICING!A:C,3,FALSE),0))</f>
        <v>0</v>
      </c>
      <c r="V177" s="307">
        <f>Table24[[#This Row],[SEAT REV]]-Table24[[#This Row],[SEAT REV
(IF IDEAL $)]]</f>
        <v>0</v>
      </c>
    </row>
    <row r="178" spans="1:22" customFormat="1" x14ac:dyDescent="0.25">
      <c r="A178" s="306" t="s">
        <v>17620</v>
      </c>
      <c r="B178" s="306" t="s">
        <v>2704</v>
      </c>
      <c r="C178" s="306"/>
      <c r="D178" s="26">
        <v>2</v>
      </c>
      <c r="E178" s="312" t="s">
        <v>78</v>
      </c>
      <c r="F178" s="306" t="str">
        <f>VLOOKUP(Table24[[#This Row],[Country]],Table10[[COUNTRY NAME]:[CONTINENT CODE]],3,FALSE)</f>
        <v>EU</v>
      </c>
      <c r="G178" s="312" t="s">
        <v>16865</v>
      </c>
      <c r="H178" s="309">
        <v>10498</v>
      </c>
      <c r="I178" s="310">
        <v>25.25</v>
      </c>
      <c r="J178" s="307"/>
      <c r="K178" s="307">
        <f>IFERROR(Table24[[#This Row],[ROUTE COST]]/Table24[[#This Row],[O - DEMAND]],0)</f>
        <v>0</v>
      </c>
      <c r="L178" s="306"/>
      <c r="M178" s="310">
        <f>Table24[[#This Row],[O - DEMAND]]/950</f>
        <v>0</v>
      </c>
      <c r="N178" s="306">
        <f>IFERROR(VLOOKUP(Table24[[#This Row],[ROUTE]],DEMAND!A:F,5,FALSE),0)</f>
        <v>0</v>
      </c>
      <c r="O178" s="306">
        <f>IFERROR(VLOOKUP(Table24[[#This Row],[ROUTE]],DEMAND!A:F,6,FALSE),0)</f>
        <v>0</v>
      </c>
      <c r="P178" s="306">
        <f>ROUNDDOWN(Table24[[#This Row],[R-DEMAND]]/950,0)</f>
        <v>0</v>
      </c>
      <c r="Q178" s="306">
        <f>Table24[[#This Row],[ADD ACC
(475/950)]]*Table24[[#This Row],[Duration
(A359)]]</f>
        <v>0</v>
      </c>
      <c r="R178" s="307">
        <f>IFERROR(VLOOKUP(Table24[[#This Row],[ROUTE]],PRICING!A:B,2,FALSE),0)</f>
        <v>0</v>
      </c>
      <c r="S178" s="308">
        <f>Table24[[#This Row],[C_DEMAND]]-Table24[[#This Row],[R-DEMAND]]</f>
        <v>0</v>
      </c>
      <c r="T178" s="307">
        <f>Table24[[#This Row],[SEATS SOLD]]*Table24[[#This Row],[ECO SEAT]]</f>
        <v>0</v>
      </c>
      <c r="U178" s="307">
        <f>Table24[[#This Row],[SEATS SOLD]]*(IFERROR(VLOOKUP(Table24[[#This Row],[ROUTE]],PRICING!A:C,3,FALSE),0))</f>
        <v>0</v>
      </c>
      <c r="V178" s="307">
        <f>Table24[[#This Row],[SEAT REV]]-Table24[[#This Row],[SEAT REV
(IF IDEAL $)]]</f>
        <v>0</v>
      </c>
    </row>
    <row r="179" spans="1:22" customFormat="1" x14ac:dyDescent="0.25">
      <c r="A179" s="306" t="s">
        <v>17619</v>
      </c>
      <c r="B179" s="306" t="s">
        <v>4685</v>
      </c>
      <c r="C179" s="306"/>
      <c r="D179" s="26">
        <v>2</v>
      </c>
      <c r="E179" s="312" t="s">
        <v>78</v>
      </c>
      <c r="F179" s="306" t="str">
        <f>VLOOKUP(Table24[[#This Row],[Country]],Table10[[COUNTRY NAME]:[CONTINENT CODE]],3,FALSE)</f>
        <v>EU</v>
      </c>
      <c r="G179" s="312" t="s">
        <v>6880</v>
      </c>
      <c r="H179" s="309">
        <v>10521</v>
      </c>
      <c r="I179" s="310">
        <v>25.25</v>
      </c>
      <c r="J179" s="307"/>
      <c r="K179" s="307">
        <f>IFERROR(Table24[[#This Row],[ROUTE COST]]/Table24[[#This Row],[O - DEMAND]],0)</f>
        <v>0</v>
      </c>
      <c r="L179" s="306"/>
      <c r="M179" s="310">
        <f>Table24[[#This Row],[O - DEMAND]]/950</f>
        <v>0</v>
      </c>
      <c r="N179" s="306">
        <f>IFERROR(VLOOKUP(Table24[[#This Row],[ROUTE]],DEMAND!A:F,5,FALSE),0)</f>
        <v>0</v>
      </c>
      <c r="O179" s="306">
        <f>IFERROR(VLOOKUP(Table24[[#This Row],[ROUTE]],DEMAND!A:F,6,FALSE),0)</f>
        <v>0</v>
      </c>
      <c r="P179" s="306">
        <f>ROUNDDOWN(Table24[[#This Row],[R-DEMAND]]/950,0)</f>
        <v>0</v>
      </c>
      <c r="Q179" s="306">
        <f>Table24[[#This Row],[ADD ACC
(475/950)]]*Table24[[#This Row],[Duration
(A359)]]</f>
        <v>0</v>
      </c>
      <c r="R179" s="307">
        <f>IFERROR(VLOOKUP(Table24[[#This Row],[ROUTE]],PRICING!A:B,2,FALSE),0)</f>
        <v>0</v>
      </c>
      <c r="S179" s="308">
        <f>Table24[[#This Row],[C_DEMAND]]-Table24[[#This Row],[R-DEMAND]]</f>
        <v>0</v>
      </c>
      <c r="T179" s="307">
        <f>Table24[[#This Row],[SEATS SOLD]]*Table24[[#This Row],[ECO SEAT]]</f>
        <v>0</v>
      </c>
      <c r="U179" s="307">
        <f>Table24[[#This Row],[SEATS SOLD]]*(IFERROR(VLOOKUP(Table24[[#This Row],[ROUTE]],PRICING!A:C,3,FALSE),0))</f>
        <v>0</v>
      </c>
      <c r="V179" s="307">
        <f>Table24[[#This Row],[SEAT REV]]-Table24[[#This Row],[SEAT REV
(IF IDEAL $)]]</f>
        <v>0</v>
      </c>
    </row>
    <row r="180" spans="1:22" customFormat="1" x14ac:dyDescent="0.25">
      <c r="A180" s="306" t="s">
        <v>17396</v>
      </c>
      <c r="B180" s="306" t="s">
        <v>2555</v>
      </c>
      <c r="C180" s="306"/>
      <c r="D180" s="26">
        <v>2</v>
      </c>
      <c r="E180" s="312" t="s">
        <v>1216</v>
      </c>
      <c r="F180" s="306" t="str">
        <f>VLOOKUP(Table24[[#This Row],[Country]],Table10[[COUNTRY NAME]:[CONTINENT CODE]],3,FALSE)</f>
        <v>AS</v>
      </c>
      <c r="G180" s="312" t="s">
        <v>11883</v>
      </c>
      <c r="H180" s="309">
        <v>10547</v>
      </c>
      <c r="I180" s="310">
        <v>25.25</v>
      </c>
      <c r="J180" s="307"/>
      <c r="K180" s="307">
        <f>IFERROR(Table24[[#This Row],[ROUTE COST]]/Table24[[#This Row],[O - DEMAND]],0)</f>
        <v>0</v>
      </c>
      <c r="L180" s="306"/>
      <c r="M180" s="310">
        <f>Table24[[#This Row],[O - DEMAND]]/950</f>
        <v>0</v>
      </c>
      <c r="N180" s="306">
        <f>IFERROR(VLOOKUP(Table24[[#This Row],[ROUTE]],DEMAND!A:F,5,FALSE),0)</f>
        <v>0</v>
      </c>
      <c r="O180" s="306">
        <f>IFERROR(VLOOKUP(Table24[[#This Row],[ROUTE]],DEMAND!A:F,6,FALSE),0)</f>
        <v>0</v>
      </c>
      <c r="P180" s="306">
        <f>ROUNDDOWN(Table24[[#This Row],[R-DEMAND]]/950,0)</f>
        <v>0</v>
      </c>
      <c r="Q180" s="306">
        <f>Table24[[#This Row],[ADD ACC
(475/950)]]*Table24[[#This Row],[Duration
(A359)]]</f>
        <v>0</v>
      </c>
      <c r="R180" s="307">
        <f>IFERROR(VLOOKUP(Table24[[#This Row],[ROUTE]],PRICING!A:B,2,FALSE),0)</f>
        <v>0</v>
      </c>
      <c r="S180" s="308">
        <f>Table24[[#This Row],[C_DEMAND]]-Table24[[#This Row],[R-DEMAND]]</f>
        <v>0</v>
      </c>
      <c r="T180" s="307">
        <f>Table24[[#This Row],[SEATS SOLD]]*Table24[[#This Row],[ECO SEAT]]</f>
        <v>0</v>
      </c>
      <c r="U180" s="307">
        <f>Table24[[#This Row],[SEATS SOLD]]*(IFERROR(VLOOKUP(Table24[[#This Row],[ROUTE]],PRICING!A:C,3,FALSE),0))</f>
        <v>0</v>
      </c>
      <c r="V180" s="307">
        <f>Table24[[#This Row],[SEAT REV]]-Table24[[#This Row],[SEAT REV
(IF IDEAL $)]]</f>
        <v>0</v>
      </c>
    </row>
    <row r="181" spans="1:22" customFormat="1" x14ac:dyDescent="0.25">
      <c r="A181" s="306" t="s">
        <v>17394</v>
      </c>
      <c r="B181" s="306" t="s">
        <v>2713</v>
      </c>
      <c r="C181" s="306"/>
      <c r="D181" s="26">
        <v>2</v>
      </c>
      <c r="E181" s="312" t="s">
        <v>2711</v>
      </c>
      <c r="F181" s="306" t="str">
        <f>VLOOKUP(Table24[[#This Row],[Country]],Table10[[COUNTRY NAME]:[CONTINENT CODE]],3,FALSE)</f>
        <v>AS</v>
      </c>
      <c r="G181" s="312" t="s">
        <v>11887</v>
      </c>
      <c r="H181" s="309">
        <v>10570</v>
      </c>
      <c r="I181" s="310">
        <v>25.25</v>
      </c>
      <c r="J181" s="307"/>
      <c r="K181" s="307">
        <f>IFERROR(Table24[[#This Row],[ROUTE COST]]/Table24[[#This Row],[O - DEMAND]],0)</f>
        <v>0</v>
      </c>
      <c r="L181" s="306"/>
      <c r="M181" s="310">
        <f>Table24[[#This Row],[O - DEMAND]]/950</f>
        <v>0</v>
      </c>
      <c r="N181" s="306">
        <f>IFERROR(VLOOKUP(Table24[[#This Row],[ROUTE]],DEMAND!A:F,5,FALSE),0)</f>
        <v>0</v>
      </c>
      <c r="O181" s="306">
        <f>IFERROR(VLOOKUP(Table24[[#This Row],[ROUTE]],DEMAND!A:F,6,FALSE),0)</f>
        <v>0</v>
      </c>
      <c r="P181" s="306">
        <f>ROUNDDOWN(Table24[[#This Row],[R-DEMAND]]/950,0)</f>
        <v>0</v>
      </c>
      <c r="Q181" s="306">
        <f>Table24[[#This Row],[ADD ACC
(475/950)]]*Table24[[#This Row],[Duration
(A359)]]</f>
        <v>0</v>
      </c>
      <c r="R181" s="307">
        <f>IFERROR(VLOOKUP(Table24[[#This Row],[ROUTE]],PRICING!A:B,2,FALSE),0)</f>
        <v>0</v>
      </c>
      <c r="S181" s="308">
        <f>Table24[[#This Row],[C_DEMAND]]-Table24[[#This Row],[R-DEMAND]]</f>
        <v>0</v>
      </c>
      <c r="T181" s="307">
        <f>Table24[[#This Row],[SEATS SOLD]]*Table24[[#This Row],[ECO SEAT]]</f>
        <v>0</v>
      </c>
      <c r="U181" s="307">
        <f>Table24[[#This Row],[SEATS SOLD]]*(IFERROR(VLOOKUP(Table24[[#This Row],[ROUTE]],PRICING!A:C,3,FALSE),0))</f>
        <v>0</v>
      </c>
      <c r="V181" s="307">
        <f>Table24[[#This Row],[SEAT REV]]-Table24[[#This Row],[SEAT REV
(IF IDEAL $)]]</f>
        <v>0</v>
      </c>
    </row>
    <row r="182" spans="1:22" customFormat="1" x14ac:dyDescent="0.25">
      <c r="A182" s="306" t="s">
        <v>17393</v>
      </c>
      <c r="B182" s="306" t="s">
        <v>4609</v>
      </c>
      <c r="C182" s="306"/>
      <c r="D182" s="26">
        <v>2</v>
      </c>
      <c r="E182" s="312" t="s">
        <v>700</v>
      </c>
      <c r="F182" s="306" t="str">
        <f>VLOOKUP(Table24[[#This Row],[Country]],Table10[[COUNTRY NAME]:[CONTINENT CODE]],3,FALSE)</f>
        <v>AS</v>
      </c>
      <c r="G182" s="312" t="s">
        <v>10085</v>
      </c>
      <c r="H182" s="309">
        <v>10587</v>
      </c>
      <c r="I182" s="310">
        <v>25.25</v>
      </c>
      <c r="J182" s="307"/>
      <c r="K182" s="307">
        <f>IFERROR(Table24[[#This Row],[ROUTE COST]]/Table24[[#This Row],[O - DEMAND]],0)</f>
        <v>0</v>
      </c>
      <c r="L182" s="306"/>
      <c r="M182" s="310">
        <f>Table24[[#This Row],[O - DEMAND]]/950</f>
        <v>0</v>
      </c>
      <c r="N182" s="306">
        <f>IFERROR(VLOOKUP(Table24[[#This Row],[ROUTE]],DEMAND!A:F,5,FALSE),0)</f>
        <v>0</v>
      </c>
      <c r="O182" s="306">
        <f>IFERROR(VLOOKUP(Table24[[#This Row],[ROUTE]],DEMAND!A:F,6,FALSE),0)</f>
        <v>0</v>
      </c>
      <c r="P182" s="306">
        <f>ROUNDDOWN(Table24[[#This Row],[R-DEMAND]]/950,0)</f>
        <v>0</v>
      </c>
      <c r="Q182" s="306">
        <f>Table24[[#This Row],[ADD ACC
(475/950)]]*Table24[[#This Row],[Duration
(A359)]]</f>
        <v>0</v>
      </c>
      <c r="R182" s="307">
        <f>IFERROR(VLOOKUP(Table24[[#This Row],[ROUTE]],PRICING!A:B,2,FALSE),0)</f>
        <v>0</v>
      </c>
      <c r="S182" s="308">
        <f>Table24[[#This Row],[C_DEMAND]]-Table24[[#This Row],[R-DEMAND]]</f>
        <v>0</v>
      </c>
      <c r="T182" s="307">
        <f>Table24[[#This Row],[SEATS SOLD]]*Table24[[#This Row],[ECO SEAT]]</f>
        <v>0</v>
      </c>
      <c r="U182" s="307">
        <f>Table24[[#This Row],[SEATS SOLD]]*(IFERROR(VLOOKUP(Table24[[#This Row],[ROUTE]],PRICING!A:C,3,FALSE),0))</f>
        <v>0</v>
      </c>
      <c r="V182" s="307">
        <f>Table24[[#This Row],[SEAT REV]]-Table24[[#This Row],[SEAT REV
(IF IDEAL $)]]</f>
        <v>0</v>
      </c>
    </row>
    <row r="183" spans="1:22" customFormat="1" x14ac:dyDescent="0.25">
      <c r="A183" s="306" t="s">
        <v>17395</v>
      </c>
      <c r="B183" s="306" t="s">
        <v>4198</v>
      </c>
      <c r="C183" s="306"/>
      <c r="D183" s="26">
        <v>2</v>
      </c>
      <c r="E183" s="312" t="s">
        <v>700</v>
      </c>
      <c r="F183" s="306" t="str">
        <f>VLOOKUP(Table24[[#This Row],[Country]],Table10[[COUNTRY NAME]:[CONTINENT CODE]],3,FALSE)</f>
        <v>AS</v>
      </c>
      <c r="G183" s="312" t="s">
        <v>9890</v>
      </c>
      <c r="H183" s="309">
        <v>10550</v>
      </c>
      <c r="I183" s="310">
        <v>25.25</v>
      </c>
      <c r="J183" s="307"/>
      <c r="K183" s="307">
        <f>IFERROR(Table24[[#This Row],[ROUTE COST]]/Table24[[#This Row],[O - DEMAND]],0)</f>
        <v>0</v>
      </c>
      <c r="L183" s="306"/>
      <c r="M183" s="310">
        <f>Table24[[#This Row],[O - DEMAND]]/950</f>
        <v>0</v>
      </c>
      <c r="N183" s="306">
        <f>IFERROR(VLOOKUP(Table24[[#This Row],[ROUTE]],DEMAND!A:F,5,FALSE),0)</f>
        <v>0</v>
      </c>
      <c r="O183" s="306">
        <f>IFERROR(VLOOKUP(Table24[[#This Row],[ROUTE]],DEMAND!A:F,6,FALSE),0)</f>
        <v>0</v>
      </c>
      <c r="P183" s="306">
        <f>ROUNDDOWN(Table24[[#This Row],[R-DEMAND]]/950,0)</f>
        <v>0</v>
      </c>
      <c r="Q183" s="306">
        <f>Table24[[#This Row],[ADD ACC
(475/950)]]*Table24[[#This Row],[Duration
(A359)]]</f>
        <v>0</v>
      </c>
      <c r="R183" s="307">
        <f>IFERROR(VLOOKUP(Table24[[#This Row],[ROUTE]],PRICING!A:B,2,FALSE),0)</f>
        <v>0</v>
      </c>
      <c r="S183" s="308">
        <f>Table24[[#This Row],[C_DEMAND]]-Table24[[#This Row],[R-DEMAND]]</f>
        <v>0</v>
      </c>
      <c r="T183" s="307">
        <f>Table24[[#This Row],[SEATS SOLD]]*Table24[[#This Row],[ECO SEAT]]</f>
        <v>0</v>
      </c>
      <c r="U183" s="307">
        <f>Table24[[#This Row],[SEATS SOLD]]*(IFERROR(VLOOKUP(Table24[[#This Row],[ROUTE]],PRICING!A:C,3,FALSE),0))</f>
        <v>0</v>
      </c>
      <c r="V183" s="307">
        <f>Table24[[#This Row],[SEAT REV]]-Table24[[#This Row],[SEAT REV
(IF IDEAL $)]]</f>
        <v>0</v>
      </c>
    </row>
    <row r="184" spans="1:22" customFormat="1" x14ac:dyDescent="0.25">
      <c r="A184" s="306" t="s">
        <v>17461</v>
      </c>
      <c r="B184" s="306" t="s">
        <v>3363</v>
      </c>
      <c r="C184" s="306"/>
      <c r="D184" s="26"/>
      <c r="E184" s="312" t="s">
        <v>1216</v>
      </c>
      <c r="F184" s="306" t="str">
        <f>VLOOKUP(Table24[[#This Row],[Country]],Table10[[COUNTRY NAME]:[CONTINENT CODE]],3,FALSE)</f>
        <v>AS</v>
      </c>
      <c r="G184" s="312" t="s">
        <v>11876</v>
      </c>
      <c r="H184" s="309">
        <v>10564</v>
      </c>
      <c r="I184" s="310">
        <v>25.25</v>
      </c>
      <c r="J184" s="307"/>
      <c r="K184" s="307">
        <f>IFERROR(Table24[[#This Row],[ROUTE COST]]/Table24[[#This Row],[O - DEMAND]],0)</f>
        <v>0</v>
      </c>
      <c r="L184" s="306"/>
      <c r="M184" s="310">
        <f>Table24[[#This Row],[O - DEMAND]]/950</f>
        <v>0</v>
      </c>
      <c r="N184" s="306">
        <f>IFERROR(VLOOKUP(Table24[[#This Row],[ROUTE]],DEMAND!A:F,5,FALSE),0)</f>
        <v>0</v>
      </c>
      <c r="O184" s="306">
        <f>IFERROR(VLOOKUP(Table24[[#This Row],[ROUTE]],DEMAND!A:F,6,FALSE),0)</f>
        <v>0</v>
      </c>
      <c r="P184" s="306">
        <f>ROUNDDOWN(Table24[[#This Row],[R-DEMAND]]/950,0)</f>
        <v>0</v>
      </c>
      <c r="Q184" s="306">
        <f>Table24[[#This Row],[ADD ACC
(475/950)]]*Table24[[#This Row],[Duration
(A359)]]</f>
        <v>0</v>
      </c>
      <c r="R184" s="307">
        <f>IFERROR(VLOOKUP(Table24[[#This Row],[ROUTE]],PRICING!A:B,2,FALSE),0)</f>
        <v>0</v>
      </c>
      <c r="S184" s="308">
        <f>Table24[[#This Row],[C_DEMAND]]-Table24[[#This Row],[R-DEMAND]]</f>
        <v>0</v>
      </c>
      <c r="T184" s="307">
        <f>Table24[[#This Row],[SEATS SOLD]]*Table24[[#This Row],[ECO SEAT]]</f>
        <v>0</v>
      </c>
      <c r="U184" s="307">
        <f>Table24[[#This Row],[SEATS SOLD]]*(IFERROR(VLOOKUP(Table24[[#This Row],[ROUTE]],PRICING!A:C,3,FALSE),0))</f>
        <v>0</v>
      </c>
      <c r="V184" s="307">
        <f>Table24[[#This Row],[SEAT REV]]-Table24[[#This Row],[SEAT REV
(IF IDEAL $)]]</f>
        <v>0</v>
      </c>
    </row>
    <row r="185" spans="1:22" customFormat="1" x14ac:dyDescent="0.25">
      <c r="A185" s="306" t="s">
        <v>17621</v>
      </c>
      <c r="B185" s="306" t="s">
        <v>4080</v>
      </c>
      <c r="C185" s="306"/>
      <c r="D185" s="26">
        <v>2</v>
      </c>
      <c r="E185" s="312" t="s">
        <v>78</v>
      </c>
      <c r="F185" s="306" t="str">
        <f>VLOOKUP(Table24[[#This Row],[Country]],Table10[[COUNTRY NAME]:[CONTINENT CODE]],3,FALSE)</f>
        <v>EU</v>
      </c>
      <c r="G185" s="312" t="s">
        <v>8419</v>
      </c>
      <c r="H185" s="309">
        <v>10449</v>
      </c>
      <c r="I185" s="310">
        <v>25</v>
      </c>
      <c r="J185" s="307"/>
      <c r="K185" s="307">
        <f>IFERROR(Table24[[#This Row],[ROUTE COST]]/Table24[[#This Row],[O - DEMAND]],0)</f>
        <v>0</v>
      </c>
      <c r="L185" s="306"/>
      <c r="M185" s="310">
        <f>Table24[[#This Row],[O - DEMAND]]/950</f>
        <v>0</v>
      </c>
      <c r="N185" s="306">
        <f>IFERROR(VLOOKUP(Table24[[#This Row],[ROUTE]],DEMAND!A:F,5,FALSE),0)</f>
        <v>0</v>
      </c>
      <c r="O185" s="306">
        <f>IFERROR(VLOOKUP(Table24[[#This Row],[ROUTE]],DEMAND!A:F,6,FALSE),0)</f>
        <v>0</v>
      </c>
      <c r="P185" s="306">
        <f>ROUNDDOWN(Table24[[#This Row],[R-DEMAND]]/950,0)</f>
        <v>0</v>
      </c>
      <c r="Q185" s="306">
        <f>Table24[[#This Row],[ADD ACC
(475/950)]]*Table24[[#This Row],[Duration
(A359)]]</f>
        <v>0</v>
      </c>
      <c r="R185" s="307">
        <f>IFERROR(VLOOKUP(Table24[[#This Row],[ROUTE]],PRICING!A:B,2,FALSE),0)</f>
        <v>0</v>
      </c>
      <c r="S185" s="308">
        <f>Table24[[#This Row],[C_DEMAND]]-Table24[[#This Row],[R-DEMAND]]</f>
        <v>0</v>
      </c>
      <c r="T185" s="307">
        <f>Table24[[#This Row],[SEATS SOLD]]*Table24[[#This Row],[ECO SEAT]]</f>
        <v>0</v>
      </c>
      <c r="U185" s="307">
        <f>Table24[[#This Row],[SEATS SOLD]]*(IFERROR(VLOOKUP(Table24[[#This Row],[ROUTE]],PRICING!A:C,3,FALSE),0))</f>
        <v>0</v>
      </c>
      <c r="V185" s="307">
        <f>Table24[[#This Row],[SEAT REV]]-Table24[[#This Row],[SEAT REV
(IF IDEAL $)]]</f>
        <v>0</v>
      </c>
    </row>
    <row r="186" spans="1:22" customFormat="1" x14ac:dyDescent="0.25">
      <c r="A186" s="306" t="s">
        <v>17401</v>
      </c>
      <c r="B186" s="306" t="s">
        <v>2972</v>
      </c>
      <c r="C186" s="306"/>
      <c r="D186" s="26">
        <v>2</v>
      </c>
      <c r="E186" s="312" t="s">
        <v>1654</v>
      </c>
      <c r="F186" s="306" t="str">
        <f>VLOOKUP(Table24[[#This Row],[Country]],Table10[[COUNTRY NAME]:[CONTINENT CODE]],3,FALSE)</f>
        <v>AS</v>
      </c>
      <c r="G186" s="312" t="s">
        <v>11875</v>
      </c>
      <c r="H186" s="309">
        <v>10375</v>
      </c>
      <c r="I186" s="310">
        <v>25</v>
      </c>
      <c r="J186" s="307"/>
      <c r="K186" s="307">
        <f>IFERROR(Table24[[#This Row],[ROUTE COST]]/Table24[[#This Row],[O - DEMAND]],0)</f>
        <v>0</v>
      </c>
      <c r="L186" s="306"/>
      <c r="M186" s="310">
        <f>Table24[[#This Row],[O - DEMAND]]/950</f>
        <v>0</v>
      </c>
      <c r="N186" s="306">
        <f>IFERROR(VLOOKUP(Table24[[#This Row],[ROUTE]],DEMAND!A:F,5,FALSE),0)</f>
        <v>0</v>
      </c>
      <c r="O186" s="306">
        <f>IFERROR(VLOOKUP(Table24[[#This Row],[ROUTE]],DEMAND!A:F,6,FALSE),0)</f>
        <v>0</v>
      </c>
      <c r="P186" s="306">
        <f>ROUNDDOWN(Table24[[#This Row],[R-DEMAND]]/950,0)</f>
        <v>0</v>
      </c>
      <c r="Q186" s="306">
        <f>Table24[[#This Row],[ADD ACC
(475/950)]]*Table24[[#This Row],[Duration
(A359)]]</f>
        <v>0</v>
      </c>
      <c r="R186" s="307">
        <f>IFERROR(VLOOKUP(Table24[[#This Row],[ROUTE]],PRICING!A:B,2,FALSE),0)</f>
        <v>0</v>
      </c>
      <c r="S186" s="308">
        <f>Table24[[#This Row],[C_DEMAND]]-Table24[[#This Row],[R-DEMAND]]</f>
        <v>0</v>
      </c>
      <c r="T186" s="307">
        <f>Table24[[#This Row],[SEATS SOLD]]*Table24[[#This Row],[ECO SEAT]]</f>
        <v>0</v>
      </c>
      <c r="U186" s="307">
        <f>Table24[[#This Row],[SEATS SOLD]]*(IFERROR(VLOOKUP(Table24[[#This Row],[ROUTE]],PRICING!A:C,3,FALSE),0))</f>
        <v>0</v>
      </c>
      <c r="V186" s="307">
        <f>Table24[[#This Row],[SEAT REV]]-Table24[[#This Row],[SEAT REV
(IF IDEAL $)]]</f>
        <v>0</v>
      </c>
    </row>
    <row r="187" spans="1:22" customFormat="1" x14ac:dyDescent="0.25">
      <c r="A187" s="306" t="s">
        <v>17397</v>
      </c>
      <c r="B187" s="306" t="s">
        <v>2609</v>
      </c>
      <c r="C187" s="306"/>
      <c r="D187" s="26">
        <v>2</v>
      </c>
      <c r="E187" s="312" t="s">
        <v>700</v>
      </c>
      <c r="F187" s="306" t="str">
        <f>VLOOKUP(Table24[[#This Row],[Country]],Table10[[COUNTRY NAME]:[CONTINENT CODE]],3,FALSE)</f>
        <v>AS</v>
      </c>
      <c r="G187" s="312" t="s">
        <v>16866</v>
      </c>
      <c r="H187" s="309">
        <v>10461</v>
      </c>
      <c r="I187" s="310">
        <v>25</v>
      </c>
      <c r="J187" s="307"/>
      <c r="K187" s="307">
        <f>IFERROR(Table24[[#This Row],[ROUTE COST]]/Table24[[#This Row],[O - DEMAND]],0)</f>
        <v>0</v>
      </c>
      <c r="L187" s="306"/>
      <c r="M187" s="310">
        <f>Table24[[#This Row],[O - DEMAND]]/950</f>
        <v>0</v>
      </c>
      <c r="N187" s="306">
        <f>IFERROR(VLOOKUP(Table24[[#This Row],[ROUTE]],DEMAND!A:F,5,FALSE),0)</f>
        <v>0</v>
      </c>
      <c r="O187" s="306">
        <f>IFERROR(VLOOKUP(Table24[[#This Row],[ROUTE]],DEMAND!A:F,6,FALSE),0)</f>
        <v>0</v>
      </c>
      <c r="P187" s="306">
        <f>ROUNDDOWN(Table24[[#This Row],[R-DEMAND]]/950,0)</f>
        <v>0</v>
      </c>
      <c r="Q187" s="306">
        <f>Table24[[#This Row],[ADD ACC
(475/950)]]*Table24[[#This Row],[Duration
(A359)]]</f>
        <v>0</v>
      </c>
      <c r="R187" s="307">
        <f>IFERROR(VLOOKUP(Table24[[#This Row],[ROUTE]],PRICING!A:B,2,FALSE),0)</f>
        <v>0</v>
      </c>
      <c r="S187" s="308">
        <f>Table24[[#This Row],[C_DEMAND]]-Table24[[#This Row],[R-DEMAND]]</f>
        <v>0</v>
      </c>
      <c r="T187" s="307">
        <f>Table24[[#This Row],[SEATS SOLD]]*Table24[[#This Row],[ECO SEAT]]</f>
        <v>0</v>
      </c>
      <c r="U187" s="307">
        <f>Table24[[#This Row],[SEATS SOLD]]*(IFERROR(VLOOKUP(Table24[[#This Row],[ROUTE]],PRICING!A:C,3,FALSE),0))</f>
        <v>0</v>
      </c>
      <c r="V187" s="307">
        <f>Table24[[#This Row],[SEAT REV]]-Table24[[#This Row],[SEAT REV
(IF IDEAL $)]]</f>
        <v>0</v>
      </c>
    </row>
    <row r="188" spans="1:22" customFormat="1" x14ac:dyDescent="0.25">
      <c r="A188" s="306" t="s">
        <v>17398</v>
      </c>
      <c r="B188" s="306" t="s">
        <v>2914</v>
      </c>
      <c r="C188" s="306"/>
      <c r="D188" s="26">
        <v>2</v>
      </c>
      <c r="E188" s="312" t="s">
        <v>700</v>
      </c>
      <c r="F188" s="306" t="str">
        <f>VLOOKUP(Table24[[#This Row],[Country]],Table10[[COUNTRY NAME]:[CONTINENT CODE]],3,FALSE)</f>
        <v>AS</v>
      </c>
      <c r="G188" s="312" t="s">
        <v>9893</v>
      </c>
      <c r="H188" s="309">
        <v>10440</v>
      </c>
      <c r="I188" s="310">
        <v>25</v>
      </c>
      <c r="J188" s="307"/>
      <c r="K188" s="307">
        <f>IFERROR(Table24[[#This Row],[ROUTE COST]]/Table24[[#This Row],[O - DEMAND]],0)</f>
        <v>0</v>
      </c>
      <c r="L188" s="306"/>
      <c r="M188" s="310">
        <f>Table24[[#This Row],[O - DEMAND]]/950</f>
        <v>0</v>
      </c>
      <c r="N188" s="306">
        <f>IFERROR(VLOOKUP(Table24[[#This Row],[ROUTE]],DEMAND!A:F,5,FALSE),0)</f>
        <v>0</v>
      </c>
      <c r="O188" s="306">
        <f>IFERROR(VLOOKUP(Table24[[#This Row],[ROUTE]],DEMAND!A:F,6,FALSE),0)</f>
        <v>0</v>
      </c>
      <c r="P188" s="306">
        <f>ROUNDDOWN(Table24[[#This Row],[R-DEMAND]]/950,0)</f>
        <v>0</v>
      </c>
      <c r="Q188" s="306">
        <f>Table24[[#This Row],[ADD ACC
(475/950)]]*Table24[[#This Row],[Duration
(A359)]]</f>
        <v>0</v>
      </c>
      <c r="R188" s="307">
        <f>IFERROR(VLOOKUP(Table24[[#This Row],[ROUTE]],PRICING!A:B,2,FALSE),0)</f>
        <v>0</v>
      </c>
      <c r="S188" s="308">
        <f>Table24[[#This Row],[C_DEMAND]]-Table24[[#This Row],[R-DEMAND]]</f>
        <v>0</v>
      </c>
      <c r="T188" s="307">
        <f>Table24[[#This Row],[SEATS SOLD]]*Table24[[#This Row],[ECO SEAT]]</f>
        <v>0</v>
      </c>
      <c r="U188" s="307">
        <f>Table24[[#This Row],[SEATS SOLD]]*(IFERROR(VLOOKUP(Table24[[#This Row],[ROUTE]],PRICING!A:C,3,FALSE),0))</f>
        <v>0</v>
      </c>
      <c r="V188" s="307">
        <f>Table24[[#This Row],[SEAT REV]]-Table24[[#This Row],[SEAT REV
(IF IDEAL $)]]</f>
        <v>0</v>
      </c>
    </row>
    <row r="189" spans="1:22" customFormat="1" x14ac:dyDescent="0.25">
      <c r="A189" s="306" t="s">
        <v>17399</v>
      </c>
      <c r="B189" s="306" t="s">
        <v>4447</v>
      </c>
      <c r="C189" s="306"/>
      <c r="D189" s="26">
        <v>2</v>
      </c>
      <c r="E189" s="312" t="s">
        <v>700</v>
      </c>
      <c r="F189" s="306" t="str">
        <f>VLOOKUP(Table24[[#This Row],[Country]],Table10[[COUNTRY NAME]:[CONTINENT CODE]],3,FALSE)</f>
        <v>AS</v>
      </c>
      <c r="G189" s="312" t="s">
        <v>11884</v>
      </c>
      <c r="H189" s="309">
        <v>10423</v>
      </c>
      <c r="I189" s="310">
        <v>25</v>
      </c>
      <c r="J189" s="307"/>
      <c r="K189" s="307">
        <f>IFERROR(Table24[[#This Row],[ROUTE COST]]/Table24[[#This Row],[O - DEMAND]],0)</f>
        <v>0</v>
      </c>
      <c r="L189" s="306"/>
      <c r="M189" s="310">
        <f>Table24[[#This Row],[O - DEMAND]]/950</f>
        <v>0</v>
      </c>
      <c r="N189" s="306">
        <f>IFERROR(VLOOKUP(Table24[[#This Row],[ROUTE]],DEMAND!A:F,5,FALSE),0)</f>
        <v>0</v>
      </c>
      <c r="O189" s="306">
        <f>IFERROR(VLOOKUP(Table24[[#This Row],[ROUTE]],DEMAND!A:F,6,FALSE),0)</f>
        <v>0</v>
      </c>
      <c r="P189" s="306">
        <f>ROUNDDOWN(Table24[[#This Row],[R-DEMAND]]/950,0)</f>
        <v>0</v>
      </c>
      <c r="Q189" s="306">
        <f>Table24[[#This Row],[ADD ACC
(475/950)]]*Table24[[#This Row],[Duration
(A359)]]</f>
        <v>0</v>
      </c>
      <c r="R189" s="307">
        <f>IFERROR(VLOOKUP(Table24[[#This Row],[ROUTE]],PRICING!A:B,2,FALSE),0)</f>
        <v>0</v>
      </c>
      <c r="S189" s="308">
        <f>Table24[[#This Row],[C_DEMAND]]-Table24[[#This Row],[R-DEMAND]]</f>
        <v>0</v>
      </c>
      <c r="T189" s="307">
        <f>Table24[[#This Row],[SEATS SOLD]]*Table24[[#This Row],[ECO SEAT]]</f>
        <v>0</v>
      </c>
      <c r="U189" s="307">
        <f>Table24[[#This Row],[SEATS SOLD]]*(IFERROR(VLOOKUP(Table24[[#This Row],[ROUTE]],PRICING!A:C,3,FALSE),0))</f>
        <v>0</v>
      </c>
      <c r="V189" s="307">
        <f>Table24[[#This Row],[SEAT REV]]-Table24[[#This Row],[SEAT REV
(IF IDEAL $)]]</f>
        <v>0</v>
      </c>
    </row>
    <row r="190" spans="1:22" customFormat="1" x14ac:dyDescent="0.25">
      <c r="A190" s="306" t="s">
        <v>17400</v>
      </c>
      <c r="B190" s="306" t="s">
        <v>4013</v>
      </c>
      <c r="C190" s="306"/>
      <c r="D190" s="26">
        <v>2</v>
      </c>
      <c r="E190" s="312" t="s">
        <v>700</v>
      </c>
      <c r="F190" s="306" t="str">
        <f>VLOOKUP(Table24[[#This Row],[Country]],Table10[[COUNTRY NAME]:[CONTINENT CODE]],3,FALSE)</f>
        <v>AS</v>
      </c>
      <c r="G190" s="312" t="s">
        <v>11885</v>
      </c>
      <c r="H190" s="309">
        <v>10396</v>
      </c>
      <c r="I190" s="310">
        <v>25</v>
      </c>
      <c r="J190" s="307"/>
      <c r="K190" s="307">
        <f>IFERROR(Table24[[#This Row],[ROUTE COST]]/Table24[[#This Row],[O - DEMAND]],0)</f>
        <v>0</v>
      </c>
      <c r="L190" s="306"/>
      <c r="M190" s="310">
        <f>Table24[[#This Row],[O - DEMAND]]/950</f>
        <v>0</v>
      </c>
      <c r="N190" s="306">
        <f>IFERROR(VLOOKUP(Table24[[#This Row],[ROUTE]],DEMAND!A:F,5,FALSE),0)</f>
        <v>0</v>
      </c>
      <c r="O190" s="306">
        <f>IFERROR(VLOOKUP(Table24[[#This Row],[ROUTE]],DEMAND!A:F,6,FALSE),0)</f>
        <v>0</v>
      </c>
      <c r="P190" s="306">
        <f>ROUNDDOWN(Table24[[#This Row],[R-DEMAND]]/950,0)</f>
        <v>0</v>
      </c>
      <c r="Q190" s="306">
        <f>Table24[[#This Row],[ADD ACC
(475/950)]]*Table24[[#This Row],[Duration
(A359)]]</f>
        <v>0</v>
      </c>
      <c r="R190" s="307">
        <f>IFERROR(VLOOKUP(Table24[[#This Row],[ROUTE]],PRICING!A:B,2,FALSE),0)</f>
        <v>0</v>
      </c>
      <c r="S190" s="308">
        <f>Table24[[#This Row],[C_DEMAND]]-Table24[[#This Row],[R-DEMAND]]</f>
        <v>0</v>
      </c>
      <c r="T190" s="307">
        <f>Table24[[#This Row],[SEATS SOLD]]*Table24[[#This Row],[ECO SEAT]]</f>
        <v>0</v>
      </c>
      <c r="U190" s="307">
        <f>Table24[[#This Row],[SEATS SOLD]]*(IFERROR(VLOOKUP(Table24[[#This Row],[ROUTE]],PRICING!A:C,3,FALSE),0))</f>
        <v>0</v>
      </c>
      <c r="V190" s="307">
        <f>Table24[[#This Row],[SEAT REV]]-Table24[[#This Row],[SEAT REV
(IF IDEAL $)]]</f>
        <v>0</v>
      </c>
    </row>
    <row r="191" spans="1:22" customFormat="1" x14ac:dyDescent="0.25">
      <c r="A191" s="306" t="s">
        <v>17136</v>
      </c>
      <c r="B191" s="306" t="s">
        <v>1126</v>
      </c>
      <c r="C191" s="306"/>
      <c r="D191" s="26">
        <v>1</v>
      </c>
      <c r="E191" s="312" t="s">
        <v>1124</v>
      </c>
      <c r="F191" s="306" t="str">
        <f>VLOOKUP(Table24[[#This Row],[Country]],Table10[[COUNTRY NAME]:[CONTINENT CODE]],3,FALSE)</f>
        <v>AF</v>
      </c>
      <c r="G191" s="312" t="s">
        <v>11871</v>
      </c>
      <c r="H191" s="309">
        <v>10399</v>
      </c>
      <c r="I191" s="310">
        <v>25</v>
      </c>
      <c r="J191" s="307"/>
      <c r="K191" s="307">
        <f>IFERROR(Table24[[#This Row],[ROUTE COST]]/Table24[[#This Row],[O - DEMAND]],0)</f>
        <v>0</v>
      </c>
      <c r="L191" s="306"/>
      <c r="M191" s="310">
        <f>Table24[[#This Row],[O - DEMAND]]/950</f>
        <v>0</v>
      </c>
      <c r="N191" s="306">
        <f>IFERROR(VLOOKUP(Table24[[#This Row],[ROUTE]],DEMAND!A:F,5,FALSE),0)</f>
        <v>0</v>
      </c>
      <c r="O191" s="306">
        <f>IFERROR(VLOOKUP(Table24[[#This Row],[ROUTE]],DEMAND!A:F,6,FALSE),0)</f>
        <v>0</v>
      </c>
      <c r="P191" s="306">
        <f>ROUNDDOWN(Table24[[#This Row],[R-DEMAND]]/950,0)</f>
        <v>0</v>
      </c>
      <c r="Q191" s="306">
        <f>Table24[[#This Row],[ADD ACC
(475/950)]]*Table24[[#This Row],[Duration
(A359)]]</f>
        <v>0</v>
      </c>
      <c r="R191" s="307">
        <f>IFERROR(VLOOKUP(Table24[[#This Row],[ROUTE]],PRICING!A:B,2,FALSE),0)</f>
        <v>0</v>
      </c>
      <c r="S191" s="308">
        <f>Table24[[#This Row],[C_DEMAND]]-Table24[[#This Row],[R-DEMAND]]</f>
        <v>0</v>
      </c>
      <c r="T191" s="307">
        <f>Table24[[#This Row],[SEATS SOLD]]*Table24[[#This Row],[ECO SEAT]]</f>
        <v>0</v>
      </c>
      <c r="U191" s="307">
        <f>Table24[[#This Row],[SEATS SOLD]]*(IFERROR(VLOOKUP(Table24[[#This Row],[ROUTE]],PRICING!A:C,3,FALSE),0))</f>
        <v>0</v>
      </c>
      <c r="V191" s="307">
        <f>Table24[[#This Row],[SEAT REV]]-Table24[[#This Row],[SEAT REV
(IF IDEAL $)]]</f>
        <v>0</v>
      </c>
    </row>
    <row r="192" spans="1:22" customFormat="1" x14ac:dyDescent="0.25">
      <c r="A192" s="306" t="s">
        <v>17159</v>
      </c>
      <c r="B192" s="306" t="s">
        <v>1465</v>
      </c>
      <c r="C192" s="306"/>
      <c r="D192" s="26">
        <v>1</v>
      </c>
      <c r="E192" s="312" t="s">
        <v>580</v>
      </c>
      <c r="F192" s="306" t="str">
        <f>VLOOKUP(Table24[[#This Row],[Country]],Table10[[COUNTRY NAME]:[CONTINENT CODE]],3,FALSE)</f>
        <v>AF</v>
      </c>
      <c r="G192" s="312" t="s">
        <v>8079</v>
      </c>
      <c r="H192" s="309">
        <v>10458</v>
      </c>
      <c r="I192" s="310">
        <v>25</v>
      </c>
      <c r="J192" s="307"/>
      <c r="K192" s="307">
        <f>IFERROR(Table24[[#This Row],[ROUTE COST]]/Table24[[#This Row],[O - DEMAND]],0)</f>
        <v>0</v>
      </c>
      <c r="L192" s="306"/>
      <c r="M192" s="310">
        <f>Table24[[#This Row],[O - DEMAND]]/950</f>
        <v>0</v>
      </c>
      <c r="N192" s="306">
        <f>IFERROR(VLOOKUP(Table24[[#This Row],[ROUTE]],DEMAND!A:F,5,FALSE),0)</f>
        <v>0</v>
      </c>
      <c r="O192" s="306">
        <f>IFERROR(VLOOKUP(Table24[[#This Row],[ROUTE]],DEMAND!A:F,6,FALSE),0)</f>
        <v>0</v>
      </c>
      <c r="P192" s="306">
        <f>ROUNDDOWN(Table24[[#This Row],[R-DEMAND]]/950,0)</f>
        <v>0</v>
      </c>
      <c r="Q192" s="306">
        <f>Table24[[#This Row],[ADD ACC
(475/950)]]*Table24[[#This Row],[Duration
(A359)]]</f>
        <v>0</v>
      </c>
      <c r="R192" s="307">
        <f>IFERROR(VLOOKUP(Table24[[#This Row],[ROUTE]],PRICING!A:B,2,FALSE),0)</f>
        <v>0</v>
      </c>
      <c r="S192" s="308">
        <f>Table24[[#This Row],[C_DEMAND]]-Table24[[#This Row],[R-DEMAND]]</f>
        <v>0</v>
      </c>
      <c r="T192" s="307">
        <f>Table24[[#This Row],[SEATS SOLD]]*Table24[[#This Row],[ECO SEAT]]</f>
        <v>0</v>
      </c>
      <c r="U192" s="307">
        <f>Table24[[#This Row],[SEATS SOLD]]*(IFERROR(VLOOKUP(Table24[[#This Row],[ROUTE]],PRICING!A:C,3,FALSE),0))</f>
        <v>0</v>
      </c>
      <c r="V192" s="307">
        <f>Table24[[#This Row],[SEAT REV]]-Table24[[#This Row],[SEAT REV
(IF IDEAL $)]]</f>
        <v>0</v>
      </c>
    </row>
    <row r="193" spans="1:22" customFormat="1" x14ac:dyDescent="0.25">
      <c r="A193" s="306" t="s">
        <v>17706</v>
      </c>
      <c r="B193" s="306" t="s">
        <v>2401</v>
      </c>
      <c r="C193" s="306"/>
      <c r="D193" s="26">
        <v>1</v>
      </c>
      <c r="E193" s="312" t="s">
        <v>78</v>
      </c>
      <c r="F193" s="306" t="str">
        <f>VLOOKUP(Table24[[#This Row],[Country]],Table10[[COUNTRY NAME]:[CONTINENT CODE]],3,FALSE)</f>
        <v>EU</v>
      </c>
      <c r="G193" s="312" t="s">
        <v>11902</v>
      </c>
      <c r="H193" s="309">
        <v>10468</v>
      </c>
      <c r="I193" s="310">
        <v>25</v>
      </c>
      <c r="J193" s="307"/>
      <c r="K193" s="307">
        <f>IFERROR(Table24[[#This Row],[ROUTE COST]]/Table24[[#This Row],[O - DEMAND]],0)</f>
        <v>0</v>
      </c>
      <c r="L193" s="306"/>
      <c r="M193" s="310">
        <f>Table24[[#This Row],[O - DEMAND]]/950</f>
        <v>0</v>
      </c>
      <c r="N193" s="306">
        <f>IFERROR(VLOOKUP(Table24[[#This Row],[ROUTE]],DEMAND!A:F,5,FALSE),0)</f>
        <v>0</v>
      </c>
      <c r="O193" s="306">
        <f>IFERROR(VLOOKUP(Table24[[#This Row],[ROUTE]],DEMAND!A:F,6,FALSE),0)</f>
        <v>0</v>
      </c>
      <c r="P193" s="306">
        <f>ROUNDDOWN(Table24[[#This Row],[R-DEMAND]]/950,0)</f>
        <v>0</v>
      </c>
      <c r="Q193" s="306">
        <f>Table24[[#This Row],[ADD ACC
(475/950)]]*Table24[[#This Row],[Duration
(A359)]]</f>
        <v>0</v>
      </c>
      <c r="R193" s="307">
        <f>IFERROR(VLOOKUP(Table24[[#This Row],[ROUTE]],PRICING!A:B,2,FALSE),0)</f>
        <v>0</v>
      </c>
      <c r="S193" s="308">
        <f>Table24[[#This Row],[C_DEMAND]]-Table24[[#This Row],[R-DEMAND]]</f>
        <v>0</v>
      </c>
      <c r="T193" s="307">
        <f>Table24[[#This Row],[SEATS SOLD]]*Table24[[#This Row],[ECO SEAT]]</f>
        <v>0</v>
      </c>
      <c r="U193" s="307">
        <f>Table24[[#This Row],[SEATS SOLD]]*(IFERROR(VLOOKUP(Table24[[#This Row],[ROUTE]],PRICING!A:C,3,FALSE),0))</f>
        <v>0</v>
      </c>
      <c r="V193" s="307">
        <f>Table24[[#This Row],[SEAT REV]]-Table24[[#This Row],[SEAT REV
(IF IDEAL $)]]</f>
        <v>0</v>
      </c>
    </row>
    <row r="194" spans="1:22" customFormat="1" x14ac:dyDescent="0.25">
      <c r="A194" s="306" t="s">
        <v>17623</v>
      </c>
      <c r="B194" s="306" t="s">
        <v>4703</v>
      </c>
      <c r="C194" s="306"/>
      <c r="D194" s="26">
        <v>2</v>
      </c>
      <c r="E194" s="312" t="s">
        <v>78</v>
      </c>
      <c r="F194" s="306" t="str">
        <f>VLOOKUP(Table24[[#This Row],[Country]],Table10[[COUNTRY NAME]:[CONTINENT CODE]],3,FALSE)</f>
        <v>EU</v>
      </c>
      <c r="G194" s="312" t="s">
        <v>11898</v>
      </c>
      <c r="H194" s="309">
        <v>10305</v>
      </c>
      <c r="I194" s="310">
        <v>24.75</v>
      </c>
      <c r="J194" s="307"/>
      <c r="K194" s="307">
        <f>IFERROR(Table24[[#This Row],[ROUTE COST]]/Table24[[#This Row],[O - DEMAND]],0)</f>
        <v>0</v>
      </c>
      <c r="L194" s="306"/>
      <c r="M194" s="310">
        <f>Table24[[#This Row],[O - DEMAND]]/950</f>
        <v>0</v>
      </c>
      <c r="N194" s="306">
        <f>IFERROR(VLOOKUP(Table24[[#This Row],[ROUTE]],DEMAND!A:F,5,FALSE),0)</f>
        <v>0</v>
      </c>
      <c r="O194" s="306">
        <f>IFERROR(VLOOKUP(Table24[[#This Row],[ROUTE]],DEMAND!A:F,6,FALSE),0)</f>
        <v>0</v>
      </c>
      <c r="P194" s="306">
        <f>ROUNDDOWN(Table24[[#This Row],[R-DEMAND]]/950,0)</f>
        <v>0</v>
      </c>
      <c r="Q194" s="306">
        <f>Table24[[#This Row],[ADD ACC
(475/950)]]*Table24[[#This Row],[Duration
(A359)]]</f>
        <v>0</v>
      </c>
      <c r="R194" s="307">
        <f>IFERROR(VLOOKUP(Table24[[#This Row],[ROUTE]],PRICING!A:B,2,FALSE),0)</f>
        <v>0</v>
      </c>
      <c r="S194" s="308">
        <f>Table24[[#This Row],[C_DEMAND]]-Table24[[#This Row],[R-DEMAND]]</f>
        <v>0</v>
      </c>
      <c r="T194" s="307">
        <f>Table24[[#This Row],[SEATS SOLD]]*Table24[[#This Row],[ECO SEAT]]</f>
        <v>0</v>
      </c>
      <c r="U194" s="307">
        <f>Table24[[#This Row],[SEATS SOLD]]*(IFERROR(VLOOKUP(Table24[[#This Row],[ROUTE]],PRICING!A:C,3,FALSE),0))</f>
        <v>0</v>
      </c>
      <c r="V194" s="307">
        <f>Table24[[#This Row],[SEAT REV]]-Table24[[#This Row],[SEAT REV
(IF IDEAL $)]]</f>
        <v>0</v>
      </c>
    </row>
    <row r="195" spans="1:22" customFormat="1" x14ac:dyDescent="0.25">
      <c r="A195" s="306" t="s">
        <v>17625</v>
      </c>
      <c r="B195" s="306" t="s">
        <v>3171</v>
      </c>
      <c r="C195" s="306"/>
      <c r="D195" s="26">
        <v>2</v>
      </c>
      <c r="E195" s="312" t="s">
        <v>78</v>
      </c>
      <c r="F195" s="306" t="str">
        <f>VLOOKUP(Table24[[#This Row],[Country]],Table10[[COUNTRY NAME]:[CONTINENT CODE]],3,FALSE)</f>
        <v>EU</v>
      </c>
      <c r="G195" s="312" t="s">
        <v>16868</v>
      </c>
      <c r="H195" s="309">
        <v>10264</v>
      </c>
      <c r="I195" s="310">
        <v>24.75</v>
      </c>
      <c r="J195" s="307"/>
      <c r="K195" s="307">
        <f>IFERROR(Table24[[#This Row],[ROUTE COST]]/Table24[[#This Row],[O - DEMAND]],0)</f>
        <v>0</v>
      </c>
      <c r="L195" s="306"/>
      <c r="M195" s="310">
        <f>Table24[[#This Row],[O - DEMAND]]/950</f>
        <v>0</v>
      </c>
      <c r="N195" s="306">
        <f>IFERROR(VLOOKUP(Table24[[#This Row],[ROUTE]],DEMAND!A:F,5,FALSE),0)</f>
        <v>0</v>
      </c>
      <c r="O195" s="306">
        <f>IFERROR(VLOOKUP(Table24[[#This Row],[ROUTE]],DEMAND!A:F,6,FALSE),0)</f>
        <v>0</v>
      </c>
      <c r="P195" s="306">
        <f>ROUNDDOWN(Table24[[#This Row],[R-DEMAND]]/950,0)</f>
        <v>0</v>
      </c>
      <c r="Q195" s="306">
        <f>Table24[[#This Row],[ADD ACC
(475/950)]]*Table24[[#This Row],[Duration
(A359)]]</f>
        <v>0</v>
      </c>
      <c r="R195" s="307">
        <f>IFERROR(VLOOKUP(Table24[[#This Row],[ROUTE]],PRICING!A:B,2,FALSE),0)</f>
        <v>0</v>
      </c>
      <c r="S195" s="308">
        <f>Table24[[#This Row],[C_DEMAND]]-Table24[[#This Row],[R-DEMAND]]</f>
        <v>0</v>
      </c>
      <c r="T195" s="307">
        <f>Table24[[#This Row],[SEATS SOLD]]*Table24[[#This Row],[ECO SEAT]]</f>
        <v>0</v>
      </c>
      <c r="U195" s="307">
        <f>Table24[[#This Row],[SEATS SOLD]]*(IFERROR(VLOOKUP(Table24[[#This Row],[ROUTE]],PRICING!A:C,3,FALSE),0))</f>
        <v>0</v>
      </c>
      <c r="V195" s="307">
        <f>Table24[[#This Row],[SEAT REV]]-Table24[[#This Row],[SEAT REV
(IF IDEAL $)]]</f>
        <v>0</v>
      </c>
    </row>
    <row r="196" spans="1:22" customFormat="1" x14ac:dyDescent="0.25">
      <c r="A196" s="306" t="s">
        <v>17626</v>
      </c>
      <c r="B196" s="306" t="s">
        <v>3813</v>
      </c>
      <c r="C196" s="306"/>
      <c r="D196" s="26">
        <v>2</v>
      </c>
      <c r="E196" s="312" t="s">
        <v>78</v>
      </c>
      <c r="F196" s="306" t="str">
        <f>VLOOKUP(Table24[[#This Row],[Country]],Table10[[COUNTRY NAME]:[CONTINENT CODE]],3,FALSE)</f>
        <v>EU</v>
      </c>
      <c r="G196" s="312" t="s">
        <v>16870</v>
      </c>
      <c r="H196" s="309">
        <v>10250</v>
      </c>
      <c r="I196" s="310">
        <v>24.75</v>
      </c>
      <c r="J196" s="307"/>
      <c r="K196" s="307">
        <f>IFERROR(Table24[[#This Row],[ROUTE COST]]/Table24[[#This Row],[O - DEMAND]],0)</f>
        <v>0</v>
      </c>
      <c r="L196" s="306"/>
      <c r="M196" s="310">
        <f>Table24[[#This Row],[O - DEMAND]]/950</f>
        <v>0</v>
      </c>
      <c r="N196" s="306">
        <f>IFERROR(VLOOKUP(Table24[[#This Row],[ROUTE]],DEMAND!A:F,5,FALSE),0)</f>
        <v>0</v>
      </c>
      <c r="O196" s="306">
        <f>IFERROR(VLOOKUP(Table24[[#This Row],[ROUTE]],DEMAND!A:F,6,FALSE),0)</f>
        <v>0</v>
      </c>
      <c r="P196" s="306">
        <f>ROUNDDOWN(Table24[[#This Row],[R-DEMAND]]/950,0)</f>
        <v>0</v>
      </c>
      <c r="Q196" s="306">
        <f>Table24[[#This Row],[ADD ACC
(475/950)]]*Table24[[#This Row],[Duration
(A359)]]</f>
        <v>0</v>
      </c>
      <c r="R196" s="307">
        <f>IFERROR(VLOOKUP(Table24[[#This Row],[ROUTE]],PRICING!A:B,2,FALSE),0)</f>
        <v>0</v>
      </c>
      <c r="S196" s="308">
        <f>Table24[[#This Row],[C_DEMAND]]-Table24[[#This Row],[R-DEMAND]]</f>
        <v>0</v>
      </c>
      <c r="T196" s="307">
        <f>Table24[[#This Row],[SEATS SOLD]]*Table24[[#This Row],[ECO SEAT]]</f>
        <v>0</v>
      </c>
      <c r="U196" s="307">
        <f>Table24[[#This Row],[SEATS SOLD]]*(IFERROR(VLOOKUP(Table24[[#This Row],[ROUTE]],PRICING!A:C,3,FALSE),0))</f>
        <v>0</v>
      </c>
      <c r="V196" s="307">
        <f>Table24[[#This Row],[SEAT REV]]-Table24[[#This Row],[SEAT REV
(IF IDEAL $)]]</f>
        <v>0</v>
      </c>
    </row>
    <row r="197" spans="1:22" customFormat="1" x14ac:dyDescent="0.25">
      <c r="A197" s="306" t="s">
        <v>17624</v>
      </c>
      <c r="B197" s="306" t="s">
        <v>4308</v>
      </c>
      <c r="C197" s="306"/>
      <c r="D197" s="26">
        <v>2</v>
      </c>
      <c r="E197" s="312" t="s">
        <v>78</v>
      </c>
      <c r="F197" s="306" t="str">
        <f>VLOOKUP(Table24[[#This Row],[Country]],Table10[[COUNTRY NAME]:[CONTINENT CODE]],3,FALSE)</f>
        <v>EU</v>
      </c>
      <c r="G197" s="312" t="s">
        <v>11899</v>
      </c>
      <c r="H197" s="309">
        <v>10279</v>
      </c>
      <c r="I197" s="310">
        <v>24.75</v>
      </c>
      <c r="J197" s="307"/>
      <c r="K197" s="307">
        <f>IFERROR(Table24[[#This Row],[ROUTE COST]]/Table24[[#This Row],[O - DEMAND]],0)</f>
        <v>0</v>
      </c>
      <c r="L197" s="306"/>
      <c r="M197" s="310">
        <f>Table24[[#This Row],[O - DEMAND]]/950</f>
        <v>0</v>
      </c>
      <c r="N197" s="306">
        <f>IFERROR(VLOOKUP(Table24[[#This Row],[ROUTE]],DEMAND!A:F,5,FALSE),0)</f>
        <v>0</v>
      </c>
      <c r="O197" s="306">
        <f>IFERROR(VLOOKUP(Table24[[#This Row],[ROUTE]],DEMAND!A:F,6,FALSE),0)</f>
        <v>0</v>
      </c>
      <c r="P197" s="306">
        <f>ROUNDDOWN(Table24[[#This Row],[R-DEMAND]]/950,0)</f>
        <v>0</v>
      </c>
      <c r="Q197" s="306">
        <f>Table24[[#This Row],[ADD ACC
(475/950)]]*Table24[[#This Row],[Duration
(A359)]]</f>
        <v>0</v>
      </c>
      <c r="R197" s="307">
        <f>IFERROR(VLOOKUP(Table24[[#This Row],[ROUTE]],PRICING!A:B,2,FALSE),0)</f>
        <v>0</v>
      </c>
      <c r="S197" s="308">
        <f>Table24[[#This Row],[C_DEMAND]]-Table24[[#This Row],[R-DEMAND]]</f>
        <v>0</v>
      </c>
      <c r="T197" s="307">
        <f>Table24[[#This Row],[SEATS SOLD]]*Table24[[#This Row],[ECO SEAT]]</f>
        <v>0</v>
      </c>
      <c r="U197" s="307">
        <f>Table24[[#This Row],[SEATS SOLD]]*(IFERROR(VLOOKUP(Table24[[#This Row],[ROUTE]],PRICING!A:C,3,FALSE),0))</f>
        <v>0</v>
      </c>
      <c r="V197" s="307">
        <f>Table24[[#This Row],[SEAT REV]]-Table24[[#This Row],[SEAT REV
(IF IDEAL $)]]</f>
        <v>0</v>
      </c>
    </row>
    <row r="198" spans="1:22" customFormat="1" x14ac:dyDescent="0.25">
      <c r="A198" s="306" t="s">
        <v>17622</v>
      </c>
      <c r="B198" s="306" t="s">
        <v>3042</v>
      </c>
      <c r="C198" s="306"/>
      <c r="D198" s="26">
        <v>2</v>
      </c>
      <c r="E198" s="312" t="s">
        <v>78</v>
      </c>
      <c r="F198" s="306" t="str">
        <f>VLOOKUP(Table24[[#This Row],[Country]],Table10[[COUNTRY NAME]:[CONTINENT CODE]],3,FALSE)</f>
        <v>EU</v>
      </c>
      <c r="G198" s="312" t="s">
        <v>16867</v>
      </c>
      <c r="H198" s="309">
        <v>10333</v>
      </c>
      <c r="I198" s="310">
        <v>24.75</v>
      </c>
      <c r="J198" s="307"/>
      <c r="K198" s="307">
        <f>IFERROR(Table24[[#This Row],[ROUTE COST]]/Table24[[#This Row],[O - DEMAND]],0)</f>
        <v>0</v>
      </c>
      <c r="L198" s="306"/>
      <c r="M198" s="310">
        <f>Table24[[#This Row],[O - DEMAND]]/950</f>
        <v>0</v>
      </c>
      <c r="N198" s="306">
        <f>IFERROR(VLOOKUP(Table24[[#This Row],[ROUTE]],DEMAND!A:F,5,FALSE),0)</f>
        <v>0</v>
      </c>
      <c r="O198" s="306">
        <f>IFERROR(VLOOKUP(Table24[[#This Row],[ROUTE]],DEMAND!A:F,6,FALSE),0)</f>
        <v>0</v>
      </c>
      <c r="P198" s="306">
        <f>ROUNDDOWN(Table24[[#This Row],[R-DEMAND]]/950,0)</f>
        <v>0</v>
      </c>
      <c r="Q198" s="306">
        <f>Table24[[#This Row],[ADD ACC
(475/950)]]*Table24[[#This Row],[Duration
(A359)]]</f>
        <v>0</v>
      </c>
      <c r="R198" s="307">
        <f>IFERROR(VLOOKUP(Table24[[#This Row],[ROUTE]],PRICING!A:B,2,FALSE),0)</f>
        <v>0</v>
      </c>
      <c r="S198" s="308">
        <f>Table24[[#This Row],[C_DEMAND]]-Table24[[#This Row],[R-DEMAND]]</f>
        <v>0</v>
      </c>
      <c r="T198" s="307">
        <f>Table24[[#This Row],[SEATS SOLD]]*Table24[[#This Row],[ECO SEAT]]</f>
        <v>0</v>
      </c>
      <c r="U198" s="307">
        <f>Table24[[#This Row],[SEATS SOLD]]*(IFERROR(VLOOKUP(Table24[[#This Row],[ROUTE]],PRICING!A:C,3,FALSE),0))</f>
        <v>0</v>
      </c>
      <c r="V198" s="307">
        <f>Table24[[#This Row],[SEAT REV]]-Table24[[#This Row],[SEAT REV
(IF IDEAL $)]]</f>
        <v>0</v>
      </c>
    </row>
    <row r="199" spans="1:22" customFormat="1" x14ac:dyDescent="0.25">
      <c r="A199" s="306" t="s">
        <v>17402</v>
      </c>
      <c r="B199" s="306" t="s">
        <v>3753</v>
      </c>
      <c r="C199" s="306"/>
      <c r="D199" s="26">
        <v>2</v>
      </c>
      <c r="E199" s="312" t="s">
        <v>700</v>
      </c>
      <c r="F199" s="306" t="str">
        <f>VLOOKUP(Table24[[#This Row],[Country]],Table10[[COUNTRY NAME]:[CONTINENT CODE]],3,FALSE)</f>
        <v>AS</v>
      </c>
      <c r="G199" s="312" t="s">
        <v>11874</v>
      </c>
      <c r="H199" s="309">
        <v>10356</v>
      </c>
      <c r="I199" s="310">
        <v>24.75</v>
      </c>
      <c r="J199" s="307"/>
      <c r="K199" s="307">
        <f>IFERROR(Table24[[#This Row],[ROUTE COST]]/Table24[[#This Row],[O - DEMAND]],0)</f>
        <v>0</v>
      </c>
      <c r="L199" s="306"/>
      <c r="M199" s="310">
        <f>Table24[[#This Row],[O - DEMAND]]/950</f>
        <v>0</v>
      </c>
      <c r="N199" s="306">
        <f>IFERROR(VLOOKUP(Table24[[#This Row],[ROUTE]],DEMAND!A:F,5,FALSE),0)</f>
        <v>0</v>
      </c>
      <c r="O199" s="306">
        <f>IFERROR(VLOOKUP(Table24[[#This Row],[ROUTE]],DEMAND!A:F,6,FALSE),0)</f>
        <v>0</v>
      </c>
      <c r="P199" s="306">
        <f>ROUNDDOWN(Table24[[#This Row],[R-DEMAND]]/950,0)</f>
        <v>0</v>
      </c>
      <c r="Q199" s="306">
        <f>Table24[[#This Row],[ADD ACC
(475/950)]]*Table24[[#This Row],[Duration
(A359)]]</f>
        <v>0</v>
      </c>
      <c r="R199" s="307">
        <f>IFERROR(VLOOKUP(Table24[[#This Row],[ROUTE]],PRICING!A:B,2,FALSE),0)</f>
        <v>0</v>
      </c>
      <c r="S199" s="308">
        <f>Table24[[#This Row],[C_DEMAND]]-Table24[[#This Row],[R-DEMAND]]</f>
        <v>0</v>
      </c>
      <c r="T199" s="307">
        <f>Table24[[#This Row],[SEATS SOLD]]*Table24[[#This Row],[ECO SEAT]]</f>
        <v>0</v>
      </c>
      <c r="U199" s="307">
        <f>Table24[[#This Row],[SEATS SOLD]]*(IFERROR(VLOOKUP(Table24[[#This Row],[ROUTE]],PRICING!A:C,3,FALSE),0))</f>
        <v>0</v>
      </c>
      <c r="V199" s="307">
        <f>Table24[[#This Row],[SEAT REV]]-Table24[[#This Row],[SEAT REV
(IF IDEAL $)]]</f>
        <v>0</v>
      </c>
    </row>
    <row r="200" spans="1:22" customFormat="1" x14ac:dyDescent="0.25">
      <c r="A200" s="306" t="s">
        <v>17180</v>
      </c>
      <c r="B200" s="306" t="s">
        <v>2394</v>
      </c>
      <c r="C200" s="306"/>
      <c r="D200" s="26">
        <v>1</v>
      </c>
      <c r="E200" s="312" t="s">
        <v>881</v>
      </c>
      <c r="F200" s="306" t="str">
        <f>VLOOKUP(Table24[[#This Row],[Country]],Table10[[COUNTRY NAME]:[CONTINENT CODE]],3,FALSE)</f>
        <v>AF</v>
      </c>
      <c r="G200" s="312" t="s">
        <v>9934</v>
      </c>
      <c r="H200" s="309">
        <v>10310</v>
      </c>
      <c r="I200" s="310">
        <v>24.75</v>
      </c>
      <c r="J200" s="307"/>
      <c r="K200" s="307">
        <f>IFERROR(Table24[[#This Row],[ROUTE COST]]/Table24[[#This Row],[O - DEMAND]],0)</f>
        <v>0</v>
      </c>
      <c r="L200" s="306"/>
      <c r="M200" s="310">
        <f>Table24[[#This Row],[O - DEMAND]]/950</f>
        <v>0</v>
      </c>
      <c r="N200" s="306">
        <f>IFERROR(VLOOKUP(Table24[[#This Row],[ROUTE]],DEMAND!A:F,5,FALSE),0)</f>
        <v>0</v>
      </c>
      <c r="O200" s="306">
        <f>IFERROR(VLOOKUP(Table24[[#This Row],[ROUTE]],DEMAND!A:F,6,FALSE),0)</f>
        <v>0</v>
      </c>
      <c r="P200" s="306">
        <f>ROUNDDOWN(Table24[[#This Row],[R-DEMAND]]/950,0)</f>
        <v>0</v>
      </c>
      <c r="Q200" s="306">
        <f>Table24[[#This Row],[ADD ACC
(475/950)]]*Table24[[#This Row],[Duration
(A359)]]</f>
        <v>0</v>
      </c>
      <c r="R200" s="307">
        <f>IFERROR(VLOOKUP(Table24[[#This Row],[ROUTE]],PRICING!A:B,2,FALSE),0)</f>
        <v>0</v>
      </c>
      <c r="S200" s="308">
        <f>Table24[[#This Row],[C_DEMAND]]-Table24[[#This Row],[R-DEMAND]]</f>
        <v>0</v>
      </c>
      <c r="T200" s="307">
        <f>Table24[[#This Row],[SEATS SOLD]]*Table24[[#This Row],[ECO SEAT]]</f>
        <v>0</v>
      </c>
      <c r="U200" s="307">
        <f>Table24[[#This Row],[SEATS SOLD]]*(IFERROR(VLOOKUP(Table24[[#This Row],[ROUTE]],PRICING!A:C,3,FALSE),0))</f>
        <v>0</v>
      </c>
      <c r="V200" s="307">
        <f>Table24[[#This Row],[SEAT REV]]-Table24[[#This Row],[SEAT REV
(IF IDEAL $)]]</f>
        <v>0</v>
      </c>
    </row>
    <row r="201" spans="1:22" customFormat="1" x14ac:dyDescent="0.25">
      <c r="A201" s="306" t="s">
        <v>17520</v>
      </c>
      <c r="B201" s="306" t="s">
        <v>4860</v>
      </c>
      <c r="C201" s="306"/>
      <c r="D201" s="26">
        <v>3</v>
      </c>
      <c r="E201" s="312" t="s">
        <v>78</v>
      </c>
      <c r="F201" s="306" t="str">
        <f>VLOOKUP(Table24[[#This Row],[Country]],Table10[[COUNTRY NAME]:[CONTINENT CODE]],3,FALSE)</f>
        <v>EU</v>
      </c>
      <c r="G201" s="312" t="s">
        <v>11870</v>
      </c>
      <c r="H201" s="309">
        <v>10135</v>
      </c>
      <c r="I201" s="310">
        <v>24.5</v>
      </c>
      <c r="J201" s="307"/>
      <c r="K201" s="307">
        <f>IFERROR(Table24[[#This Row],[ROUTE COST]]/Table24[[#This Row],[O - DEMAND]],0)</f>
        <v>0</v>
      </c>
      <c r="L201" s="306"/>
      <c r="M201" s="310">
        <f>Table24[[#This Row],[O - DEMAND]]/950</f>
        <v>0</v>
      </c>
      <c r="N201" s="306">
        <f>IFERROR(VLOOKUP(Table24[[#This Row],[ROUTE]],DEMAND!A:F,5,FALSE),0)</f>
        <v>0</v>
      </c>
      <c r="O201" s="306">
        <f>IFERROR(VLOOKUP(Table24[[#This Row],[ROUTE]],DEMAND!A:F,6,FALSE),0)</f>
        <v>0</v>
      </c>
      <c r="P201" s="306">
        <f>ROUNDDOWN(Table24[[#This Row],[R-DEMAND]]/950,0)</f>
        <v>0</v>
      </c>
      <c r="Q201" s="306">
        <f>Table24[[#This Row],[ADD ACC
(475/950)]]*Table24[[#This Row],[Duration
(A359)]]</f>
        <v>0</v>
      </c>
      <c r="R201" s="307">
        <f>IFERROR(VLOOKUP(Table24[[#This Row],[ROUTE]],PRICING!A:B,2,FALSE),0)</f>
        <v>0</v>
      </c>
      <c r="S201" s="308">
        <f>Table24[[#This Row],[C_DEMAND]]-Table24[[#This Row],[R-DEMAND]]</f>
        <v>0</v>
      </c>
      <c r="T201" s="307">
        <f>Table24[[#This Row],[SEATS SOLD]]*Table24[[#This Row],[ECO SEAT]]</f>
        <v>0</v>
      </c>
      <c r="U201" s="307">
        <f>Table24[[#This Row],[SEATS SOLD]]*(IFERROR(VLOOKUP(Table24[[#This Row],[ROUTE]],PRICING!A:C,3,FALSE),0))</f>
        <v>0</v>
      </c>
      <c r="V201" s="307">
        <f>Table24[[#This Row],[SEAT REV]]-Table24[[#This Row],[SEAT REV
(IF IDEAL $)]]</f>
        <v>0</v>
      </c>
    </row>
    <row r="202" spans="1:22" customFormat="1" x14ac:dyDescent="0.25">
      <c r="A202" s="306" t="s">
        <v>17627</v>
      </c>
      <c r="B202" s="306" t="s">
        <v>2737</v>
      </c>
      <c r="C202" s="306"/>
      <c r="D202" s="26">
        <v>2</v>
      </c>
      <c r="E202" s="312" t="s">
        <v>78</v>
      </c>
      <c r="F202" s="306" t="str">
        <f>VLOOKUP(Table24[[#This Row],[Country]],Table10[[COUNTRY NAME]:[CONTINENT CODE]],3,FALSE)</f>
        <v>EU</v>
      </c>
      <c r="G202" s="312" t="s">
        <v>11888</v>
      </c>
      <c r="H202" s="309">
        <v>10175</v>
      </c>
      <c r="I202" s="310">
        <v>24.5</v>
      </c>
      <c r="J202" s="307"/>
      <c r="K202" s="307">
        <f>IFERROR(Table24[[#This Row],[ROUTE COST]]/Table24[[#This Row],[O - DEMAND]],0)</f>
        <v>0</v>
      </c>
      <c r="L202" s="306"/>
      <c r="M202" s="310">
        <f>Table24[[#This Row],[O - DEMAND]]/950</f>
        <v>0</v>
      </c>
      <c r="N202" s="306">
        <f>IFERROR(VLOOKUP(Table24[[#This Row],[ROUTE]],DEMAND!A:F,5,FALSE),0)</f>
        <v>0</v>
      </c>
      <c r="O202" s="306">
        <f>IFERROR(VLOOKUP(Table24[[#This Row],[ROUTE]],DEMAND!A:F,6,FALSE),0)</f>
        <v>0</v>
      </c>
      <c r="P202" s="306">
        <f>ROUNDDOWN(Table24[[#This Row],[R-DEMAND]]/950,0)</f>
        <v>0</v>
      </c>
      <c r="Q202" s="306">
        <f>Table24[[#This Row],[ADD ACC
(475/950)]]*Table24[[#This Row],[Duration
(A359)]]</f>
        <v>0</v>
      </c>
      <c r="R202" s="307">
        <f>IFERROR(VLOOKUP(Table24[[#This Row],[ROUTE]],PRICING!A:B,2,FALSE),0)</f>
        <v>0</v>
      </c>
      <c r="S202" s="308">
        <f>Table24[[#This Row],[C_DEMAND]]-Table24[[#This Row],[R-DEMAND]]</f>
        <v>0</v>
      </c>
      <c r="T202" s="307">
        <f>Table24[[#This Row],[SEATS SOLD]]*Table24[[#This Row],[ECO SEAT]]</f>
        <v>0</v>
      </c>
      <c r="U202" s="307">
        <f>Table24[[#This Row],[SEATS SOLD]]*(IFERROR(VLOOKUP(Table24[[#This Row],[ROUTE]],PRICING!A:C,3,FALSE),0))</f>
        <v>0</v>
      </c>
      <c r="V202" s="307">
        <f>Table24[[#This Row],[SEAT REV]]-Table24[[#This Row],[SEAT REV
(IF IDEAL $)]]</f>
        <v>0</v>
      </c>
    </row>
    <row r="203" spans="1:22" customFormat="1" x14ac:dyDescent="0.25">
      <c r="A203" s="306" t="s">
        <v>17404</v>
      </c>
      <c r="B203" s="306" t="s">
        <v>4404</v>
      </c>
      <c r="C203" s="306"/>
      <c r="D203" s="26">
        <v>2</v>
      </c>
      <c r="E203" s="312" t="s">
        <v>700</v>
      </c>
      <c r="F203" s="306" t="str">
        <f>VLOOKUP(Table24[[#This Row],[Country]],Table10[[COUNTRY NAME]:[CONTINENT CODE]],3,FALSE)</f>
        <v>AS</v>
      </c>
      <c r="G203" s="312" t="s">
        <v>11867</v>
      </c>
      <c r="H203" s="309">
        <v>10177</v>
      </c>
      <c r="I203" s="310">
        <v>24.5</v>
      </c>
      <c r="J203" s="307"/>
      <c r="K203" s="307">
        <f>IFERROR(Table24[[#This Row],[ROUTE COST]]/Table24[[#This Row],[O - DEMAND]],0)</f>
        <v>0</v>
      </c>
      <c r="L203" s="306"/>
      <c r="M203" s="310">
        <f>Table24[[#This Row],[O - DEMAND]]/950</f>
        <v>0</v>
      </c>
      <c r="N203" s="306">
        <f>IFERROR(VLOOKUP(Table24[[#This Row],[ROUTE]],DEMAND!A:F,5,FALSE),0)</f>
        <v>0</v>
      </c>
      <c r="O203" s="306">
        <f>IFERROR(VLOOKUP(Table24[[#This Row],[ROUTE]],DEMAND!A:F,6,FALSE),0)</f>
        <v>0</v>
      </c>
      <c r="P203" s="306">
        <f>ROUNDDOWN(Table24[[#This Row],[R-DEMAND]]/950,0)</f>
        <v>0</v>
      </c>
      <c r="Q203" s="306">
        <f>Table24[[#This Row],[ADD ACC
(475/950)]]*Table24[[#This Row],[Duration
(A359)]]</f>
        <v>0</v>
      </c>
      <c r="R203" s="307">
        <f>IFERROR(VLOOKUP(Table24[[#This Row],[ROUTE]],PRICING!A:B,2,FALSE),0)</f>
        <v>0</v>
      </c>
      <c r="S203" s="308">
        <f>Table24[[#This Row],[C_DEMAND]]-Table24[[#This Row],[R-DEMAND]]</f>
        <v>0</v>
      </c>
      <c r="T203" s="307">
        <f>Table24[[#This Row],[SEATS SOLD]]*Table24[[#This Row],[ECO SEAT]]</f>
        <v>0</v>
      </c>
      <c r="U203" s="307">
        <f>Table24[[#This Row],[SEATS SOLD]]*(IFERROR(VLOOKUP(Table24[[#This Row],[ROUTE]],PRICING!A:C,3,FALSE),0))</f>
        <v>0</v>
      </c>
      <c r="V203" s="307">
        <f>Table24[[#This Row],[SEAT REV]]-Table24[[#This Row],[SEAT REV
(IF IDEAL $)]]</f>
        <v>0</v>
      </c>
    </row>
    <row r="204" spans="1:22" customFormat="1" x14ac:dyDescent="0.25">
      <c r="A204" s="306" t="s">
        <v>17405</v>
      </c>
      <c r="B204" s="306" t="s">
        <v>4488</v>
      </c>
      <c r="C204" s="306"/>
      <c r="D204" s="26">
        <v>2</v>
      </c>
      <c r="E204" s="312" t="s">
        <v>700</v>
      </c>
      <c r="F204" s="306" t="str">
        <f>VLOOKUP(Table24[[#This Row],[Country]],Table10[[COUNTRY NAME]:[CONTINENT CODE]],3,FALSE)</f>
        <v>AS</v>
      </c>
      <c r="G204" s="312" t="s">
        <v>11868</v>
      </c>
      <c r="H204" s="309">
        <v>10137</v>
      </c>
      <c r="I204" s="310">
        <v>24.5</v>
      </c>
      <c r="J204" s="307"/>
      <c r="K204" s="307">
        <f>IFERROR(Table24[[#This Row],[ROUTE COST]]/Table24[[#This Row],[O - DEMAND]],0)</f>
        <v>0</v>
      </c>
      <c r="L204" s="306"/>
      <c r="M204" s="310">
        <f>Table24[[#This Row],[O - DEMAND]]/950</f>
        <v>0</v>
      </c>
      <c r="N204" s="306">
        <f>IFERROR(VLOOKUP(Table24[[#This Row],[ROUTE]],DEMAND!A:F,5,FALSE),0)</f>
        <v>0</v>
      </c>
      <c r="O204" s="306">
        <f>IFERROR(VLOOKUP(Table24[[#This Row],[ROUTE]],DEMAND!A:F,6,FALSE),0)</f>
        <v>0</v>
      </c>
      <c r="P204" s="306">
        <f>ROUNDDOWN(Table24[[#This Row],[R-DEMAND]]/950,0)</f>
        <v>0</v>
      </c>
      <c r="Q204" s="306">
        <f>Table24[[#This Row],[ADD ACC
(475/950)]]*Table24[[#This Row],[Duration
(A359)]]</f>
        <v>0</v>
      </c>
      <c r="R204" s="307">
        <f>IFERROR(VLOOKUP(Table24[[#This Row],[ROUTE]],PRICING!A:B,2,FALSE),0)</f>
        <v>0</v>
      </c>
      <c r="S204" s="308">
        <f>Table24[[#This Row],[C_DEMAND]]-Table24[[#This Row],[R-DEMAND]]</f>
        <v>0</v>
      </c>
      <c r="T204" s="307">
        <f>Table24[[#This Row],[SEATS SOLD]]*Table24[[#This Row],[ECO SEAT]]</f>
        <v>0</v>
      </c>
      <c r="U204" s="307">
        <f>Table24[[#This Row],[SEATS SOLD]]*(IFERROR(VLOOKUP(Table24[[#This Row],[ROUTE]],PRICING!A:C,3,FALSE),0))</f>
        <v>0</v>
      </c>
      <c r="V204" s="307">
        <f>Table24[[#This Row],[SEAT REV]]-Table24[[#This Row],[SEAT REV
(IF IDEAL $)]]</f>
        <v>0</v>
      </c>
    </row>
    <row r="205" spans="1:22" customFormat="1" x14ac:dyDescent="0.25">
      <c r="A205" s="306" t="s">
        <v>17403</v>
      </c>
      <c r="B205" s="306" t="s">
        <v>2903</v>
      </c>
      <c r="C205" s="306"/>
      <c r="D205" s="26">
        <v>2</v>
      </c>
      <c r="E205" s="312" t="s">
        <v>700</v>
      </c>
      <c r="F205" s="306" t="str">
        <f>VLOOKUP(Table24[[#This Row],[Country]],Table10[[COUNTRY NAME]:[CONTINENT CODE]],3,FALSE)</f>
        <v>AS</v>
      </c>
      <c r="G205" s="312" t="s">
        <v>6768</v>
      </c>
      <c r="H205" s="309">
        <v>10235</v>
      </c>
      <c r="I205" s="310">
        <v>24.5</v>
      </c>
      <c r="J205" s="307"/>
      <c r="K205" s="307">
        <f>IFERROR(Table24[[#This Row],[ROUTE COST]]/Table24[[#This Row],[O - DEMAND]],0)</f>
        <v>0</v>
      </c>
      <c r="L205" s="306"/>
      <c r="M205" s="310">
        <f>Table24[[#This Row],[O - DEMAND]]/950</f>
        <v>0</v>
      </c>
      <c r="N205" s="306">
        <f>IFERROR(VLOOKUP(Table24[[#This Row],[ROUTE]],DEMAND!A:F,5,FALSE),0)</f>
        <v>0</v>
      </c>
      <c r="O205" s="306">
        <f>IFERROR(VLOOKUP(Table24[[#This Row],[ROUTE]],DEMAND!A:F,6,FALSE),0)</f>
        <v>0</v>
      </c>
      <c r="P205" s="306">
        <f>ROUNDDOWN(Table24[[#This Row],[R-DEMAND]]/950,0)</f>
        <v>0</v>
      </c>
      <c r="Q205" s="306">
        <f>Table24[[#This Row],[ADD ACC
(475/950)]]*Table24[[#This Row],[Duration
(A359)]]</f>
        <v>0</v>
      </c>
      <c r="R205" s="307">
        <f>IFERROR(VLOOKUP(Table24[[#This Row],[ROUTE]],PRICING!A:B,2,FALSE),0)</f>
        <v>0</v>
      </c>
      <c r="S205" s="308">
        <f>Table24[[#This Row],[C_DEMAND]]-Table24[[#This Row],[R-DEMAND]]</f>
        <v>0</v>
      </c>
      <c r="T205" s="307">
        <f>Table24[[#This Row],[SEATS SOLD]]*Table24[[#This Row],[ECO SEAT]]</f>
        <v>0</v>
      </c>
      <c r="U205" s="307">
        <f>Table24[[#This Row],[SEATS SOLD]]*(IFERROR(VLOOKUP(Table24[[#This Row],[ROUTE]],PRICING!A:C,3,FALSE),0))</f>
        <v>0</v>
      </c>
      <c r="V205" s="307">
        <f>Table24[[#This Row],[SEAT REV]]-Table24[[#This Row],[SEAT REV
(IF IDEAL $)]]</f>
        <v>0</v>
      </c>
    </row>
    <row r="206" spans="1:22" customFormat="1" x14ac:dyDescent="0.25">
      <c r="A206" s="306" t="s">
        <v>17628</v>
      </c>
      <c r="B206" s="306" t="s">
        <v>4705</v>
      </c>
      <c r="C206" s="306"/>
      <c r="D206" s="26">
        <v>2</v>
      </c>
      <c r="E206" s="312" t="s">
        <v>78</v>
      </c>
      <c r="F206" s="306" t="str">
        <f>VLOOKUP(Table24[[#This Row],[Country]],Table10[[COUNTRY NAME]:[CONTINENT CODE]],3,FALSE)</f>
        <v>EU</v>
      </c>
      <c r="G206" s="312" t="s">
        <v>11880</v>
      </c>
      <c r="H206" s="309">
        <v>10121</v>
      </c>
      <c r="I206" s="310">
        <v>24.25</v>
      </c>
      <c r="J206" s="307"/>
      <c r="K206" s="307">
        <f>IFERROR(Table24[[#This Row],[ROUTE COST]]/Table24[[#This Row],[O - DEMAND]],0)</f>
        <v>0</v>
      </c>
      <c r="L206" s="306"/>
      <c r="M206" s="310">
        <f>Table24[[#This Row],[O - DEMAND]]/950</f>
        <v>0</v>
      </c>
      <c r="N206" s="306">
        <f>IFERROR(VLOOKUP(Table24[[#This Row],[ROUTE]],DEMAND!A:F,5,FALSE),0)</f>
        <v>0</v>
      </c>
      <c r="O206" s="306">
        <f>IFERROR(VLOOKUP(Table24[[#This Row],[ROUTE]],DEMAND!A:F,6,FALSE),0)</f>
        <v>0</v>
      </c>
      <c r="P206" s="306">
        <f>ROUNDDOWN(Table24[[#This Row],[R-DEMAND]]/950,0)</f>
        <v>0</v>
      </c>
      <c r="Q206" s="306">
        <f>Table24[[#This Row],[ADD ACC
(475/950)]]*Table24[[#This Row],[Duration
(A359)]]</f>
        <v>0</v>
      </c>
      <c r="R206" s="307">
        <f>IFERROR(VLOOKUP(Table24[[#This Row],[ROUTE]],PRICING!A:B,2,FALSE),0)</f>
        <v>0</v>
      </c>
      <c r="S206" s="308">
        <f>Table24[[#This Row],[C_DEMAND]]-Table24[[#This Row],[R-DEMAND]]</f>
        <v>0</v>
      </c>
      <c r="T206" s="307">
        <f>Table24[[#This Row],[SEATS SOLD]]*Table24[[#This Row],[ECO SEAT]]</f>
        <v>0</v>
      </c>
      <c r="U206" s="307">
        <f>Table24[[#This Row],[SEATS SOLD]]*(IFERROR(VLOOKUP(Table24[[#This Row],[ROUTE]],PRICING!A:C,3,FALSE),0))</f>
        <v>0</v>
      </c>
      <c r="V206" s="307">
        <f>Table24[[#This Row],[SEAT REV]]-Table24[[#This Row],[SEAT REV
(IF IDEAL $)]]</f>
        <v>0</v>
      </c>
    </row>
    <row r="207" spans="1:22" customFormat="1" x14ac:dyDescent="0.25">
      <c r="A207" s="306" t="s">
        <v>17629</v>
      </c>
      <c r="B207" s="306" t="s">
        <v>3876</v>
      </c>
      <c r="C207" s="306"/>
      <c r="D207" s="26">
        <v>2</v>
      </c>
      <c r="E207" s="312" t="s">
        <v>78</v>
      </c>
      <c r="F207" s="306" t="str">
        <f>VLOOKUP(Table24[[#This Row],[Country]],Table10[[COUNTRY NAME]:[CONTINENT CODE]],3,FALSE)</f>
        <v>EU</v>
      </c>
      <c r="G207" s="312" t="s">
        <v>11895</v>
      </c>
      <c r="H207" s="309">
        <v>10111</v>
      </c>
      <c r="I207" s="310">
        <v>24.25</v>
      </c>
      <c r="J207" s="307"/>
      <c r="K207" s="307">
        <f>IFERROR(Table24[[#This Row],[ROUTE COST]]/Table24[[#This Row],[O - DEMAND]],0)</f>
        <v>0</v>
      </c>
      <c r="L207" s="306"/>
      <c r="M207" s="310">
        <f>Table24[[#This Row],[O - DEMAND]]/950</f>
        <v>0</v>
      </c>
      <c r="N207" s="306">
        <f>IFERROR(VLOOKUP(Table24[[#This Row],[ROUTE]],DEMAND!A:F,5,FALSE),0)</f>
        <v>0</v>
      </c>
      <c r="O207" s="306">
        <f>IFERROR(VLOOKUP(Table24[[#This Row],[ROUTE]],DEMAND!A:F,6,FALSE),0)</f>
        <v>0</v>
      </c>
      <c r="P207" s="306">
        <f>ROUNDDOWN(Table24[[#This Row],[R-DEMAND]]/950,0)</f>
        <v>0</v>
      </c>
      <c r="Q207" s="306">
        <f>Table24[[#This Row],[ADD ACC
(475/950)]]*Table24[[#This Row],[Duration
(A359)]]</f>
        <v>0</v>
      </c>
      <c r="R207" s="307">
        <f>IFERROR(VLOOKUP(Table24[[#This Row],[ROUTE]],PRICING!A:B,2,FALSE),0)</f>
        <v>0</v>
      </c>
      <c r="S207" s="308">
        <f>Table24[[#This Row],[C_DEMAND]]-Table24[[#This Row],[R-DEMAND]]</f>
        <v>0</v>
      </c>
      <c r="T207" s="307">
        <f>Table24[[#This Row],[SEATS SOLD]]*Table24[[#This Row],[ECO SEAT]]</f>
        <v>0</v>
      </c>
      <c r="U207" s="307">
        <f>Table24[[#This Row],[SEATS SOLD]]*(IFERROR(VLOOKUP(Table24[[#This Row],[ROUTE]],PRICING!A:C,3,FALSE),0))</f>
        <v>0</v>
      </c>
      <c r="V207" s="307">
        <f>Table24[[#This Row],[SEAT REV]]-Table24[[#This Row],[SEAT REV
(IF IDEAL $)]]</f>
        <v>0</v>
      </c>
    </row>
    <row r="208" spans="1:22" customFormat="1" x14ac:dyDescent="0.25">
      <c r="A208" s="306" t="s">
        <v>17406</v>
      </c>
      <c r="B208" s="306" t="s">
        <v>2890</v>
      </c>
      <c r="C208" s="306"/>
      <c r="D208" s="26">
        <v>2</v>
      </c>
      <c r="E208" s="312" t="s">
        <v>700</v>
      </c>
      <c r="F208" s="306" t="str">
        <f>VLOOKUP(Table24[[#This Row],[Country]],Table10[[COUNTRY NAME]:[CONTINENT CODE]],3,FALSE)</f>
        <v>AS</v>
      </c>
      <c r="G208" s="312" t="s">
        <v>11863</v>
      </c>
      <c r="H208" s="309">
        <v>10101</v>
      </c>
      <c r="I208" s="310">
        <v>24.25</v>
      </c>
      <c r="J208" s="307"/>
      <c r="K208" s="307">
        <f>IFERROR(Table24[[#This Row],[ROUTE COST]]/Table24[[#This Row],[O - DEMAND]],0)</f>
        <v>0</v>
      </c>
      <c r="L208" s="306"/>
      <c r="M208" s="310">
        <f>Table24[[#This Row],[O - DEMAND]]/950</f>
        <v>0</v>
      </c>
      <c r="N208" s="306">
        <f>IFERROR(VLOOKUP(Table24[[#This Row],[ROUTE]],DEMAND!A:F,5,FALSE),0)</f>
        <v>0</v>
      </c>
      <c r="O208" s="306">
        <f>IFERROR(VLOOKUP(Table24[[#This Row],[ROUTE]],DEMAND!A:F,6,FALSE),0)</f>
        <v>0</v>
      </c>
      <c r="P208" s="306">
        <f>ROUNDDOWN(Table24[[#This Row],[R-DEMAND]]/950,0)</f>
        <v>0</v>
      </c>
      <c r="Q208" s="306">
        <f>Table24[[#This Row],[ADD ACC
(475/950)]]*Table24[[#This Row],[Duration
(A359)]]</f>
        <v>0</v>
      </c>
      <c r="R208" s="307">
        <f>IFERROR(VLOOKUP(Table24[[#This Row],[ROUTE]],PRICING!A:B,2,FALSE),0)</f>
        <v>0</v>
      </c>
      <c r="S208" s="308">
        <f>Table24[[#This Row],[C_DEMAND]]-Table24[[#This Row],[R-DEMAND]]</f>
        <v>0</v>
      </c>
      <c r="T208" s="307">
        <f>Table24[[#This Row],[SEATS SOLD]]*Table24[[#This Row],[ECO SEAT]]</f>
        <v>0</v>
      </c>
      <c r="U208" s="307">
        <f>Table24[[#This Row],[SEATS SOLD]]*(IFERROR(VLOOKUP(Table24[[#This Row],[ROUTE]],PRICING!A:C,3,FALSE),0))</f>
        <v>0</v>
      </c>
      <c r="V208" s="307">
        <f>Table24[[#This Row],[SEAT REV]]-Table24[[#This Row],[SEAT REV
(IF IDEAL $)]]</f>
        <v>0</v>
      </c>
    </row>
    <row r="209" spans="1:22" customFormat="1" x14ac:dyDescent="0.25">
      <c r="A209" s="306" t="s">
        <v>17441</v>
      </c>
      <c r="B209" s="306" t="s">
        <v>1916</v>
      </c>
      <c r="C209" s="306"/>
      <c r="D209" s="26">
        <v>1</v>
      </c>
      <c r="E209" s="312" t="s">
        <v>700</v>
      </c>
      <c r="F209" s="306" t="str">
        <f>VLOOKUP(Table24[[#This Row],[Country]],Table10[[COUNTRY NAME]:[CONTINENT CODE]],3,FALSE)</f>
        <v>AS</v>
      </c>
      <c r="G209" s="312" t="s">
        <v>11865</v>
      </c>
      <c r="H209" s="309">
        <v>10081</v>
      </c>
      <c r="I209" s="310">
        <v>24.25</v>
      </c>
      <c r="J209" s="307"/>
      <c r="K209" s="307">
        <f>IFERROR(Table24[[#This Row],[ROUTE COST]]/Table24[[#This Row],[O - DEMAND]],0)</f>
        <v>0</v>
      </c>
      <c r="L209" s="306"/>
      <c r="M209" s="310">
        <f>Table24[[#This Row],[O - DEMAND]]/950</f>
        <v>0</v>
      </c>
      <c r="N209" s="306">
        <f>IFERROR(VLOOKUP(Table24[[#This Row],[ROUTE]],DEMAND!A:F,5,FALSE),0)</f>
        <v>0</v>
      </c>
      <c r="O209" s="306">
        <f>IFERROR(VLOOKUP(Table24[[#This Row],[ROUTE]],DEMAND!A:F,6,FALSE),0)</f>
        <v>0</v>
      </c>
      <c r="P209" s="306">
        <f>ROUNDDOWN(Table24[[#This Row],[R-DEMAND]]/950,0)</f>
        <v>0</v>
      </c>
      <c r="Q209" s="306">
        <f>Table24[[#This Row],[ADD ACC
(475/950)]]*Table24[[#This Row],[Duration
(A359)]]</f>
        <v>0</v>
      </c>
      <c r="R209" s="307">
        <f>IFERROR(VLOOKUP(Table24[[#This Row],[ROUTE]],PRICING!A:B,2,FALSE),0)</f>
        <v>0</v>
      </c>
      <c r="S209" s="308">
        <f>Table24[[#This Row],[C_DEMAND]]-Table24[[#This Row],[R-DEMAND]]</f>
        <v>0</v>
      </c>
      <c r="T209" s="307">
        <f>Table24[[#This Row],[SEATS SOLD]]*Table24[[#This Row],[ECO SEAT]]</f>
        <v>0</v>
      </c>
      <c r="U209" s="307">
        <f>Table24[[#This Row],[SEATS SOLD]]*(IFERROR(VLOOKUP(Table24[[#This Row],[ROUTE]],PRICING!A:C,3,FALSE),0))</f>
        <v>0</v>
      </c>
      <c r="V209" s="307">
        <f>Table24[[#This Row],[SEAT REV]]-Table24[[#This Row],[SEAT REV
(IF IDEAL $)]]</f>
        <v>0</v>
      </c>
    </row>
    <row r="210" spans="1:22" customFormat="1" x14ac:dyDescent="0.25">
      <c r="A210" s="306" t="s">
        <v>17122</v>
      </c>
      <c r="B210" s="306" t="s">
        <v>2740</v>
      </c>
      <c r="C210" s="306"/>
      <c r="D210" s="26">
        <v>2</v>
      </c>
      <c r="E210" s="312" t="s">
        <v>2738</v>
      </c>
      <c r="F210" s="306" t="str">
        <f>VLOOKUP(Table24[[#This Row],[Country]],Table10[[COUNTRY NAME]:[CONTINENT CODE]],3,FALSE)</f>
        <v>AF</v>
      </c>
      <c r="G210" s="312" t="s">
        <v>16874</v>
      </c>
      <c r="H210" s="309">
        <v>9939</v>
      </c>
      <c r="I210" s="310">
        <v>24</v>
      </c>
      <c r="J210" s="307"/>
      <c r="K210" s="307">
        <f>IFERROR(Table24[[#This Row],[ROUTE COST]]/Table24[[#This Row],[O - DEMAND]],0)</f>
        <v>0</v>
      </c>
      <c r="L210" s="306"/>
      <c r="M210" s="310">
        <f>Table24[[#This Row],[O - DEMAND]]/950</f>
        <v>0</v>
      </c>
      <c r="N210" s="306">
        <f>IFERROR(VLOOKUP(Table24[[#This Row],[ROUTE]],DEMAND!A:F,5,FALSE),0)</f>
        <v>0</v>
      </c>
      <c r="O210" s="306">
        <f>IFERROR(VLOOKUP(Table24[[#This Row],[ROUTE]],DEMAND!A:F,6,FALSE),0)</f>
        <v>0</v>
      </c>
      <c r="P210" s="306">
        <f>ROUNDDOWN(Table24[[#This Row],[R-DEMAND]]/950,0)</f>
        <v>0</v>
      </c>
      <c r="Q210" s="306">
        <f>Table24[[#This Row],[ADD ACC
(475/950)]]*Table24[[#This Row],[Duration
(A359)]]</f>
        <v>0</v>
      </c>
      <c r="R210" s="307">
        <f>IFERROR(VLOOKUP(Table24[[#This Row],[ROUTE]],PRICING!A:B,2,FALSE),0)</f>
        <v>0</v>
      </c>
      <c r="S210" s="308">
        <f>Table24[[#This Row],[C_DEMAND]]-Table24[[#This Row],[R-DEMAND]]</f>
        <v>0</v>
      </c>
      <c r="T210" s="307">
        <f>Table24[[#This Row],[SEATS SOLD]]*Table24[[#This Row],[ECO SEAT]]</f>
        <v>0</v>
      </c>
      <c r="U210" s="307">
        <f>Table24[[#This Row],[SEATS SOLD]]*(IFERROR(VLOOKUP(Table24[[#This Row],[ROUTE]],PRICING!A:C,3,FALSE),0))</f>
        <v>0</v>
      </c>
      <c r="V210" s="307">
        <f>Table24[[#This Row],[SEAT REV]]-Table24[[#This Row],[SEAT REV
(IF IDEAL $)]]</f>
        <v>0</v>
      </c>
    </row>
    <row r="211" spans="1:22" customFormat="1" x14ac:dyDescent="0.25">
      <c r="A211" s="306" t="s">
        <v>17128</v>
      </c>
      <c r="B211" s="306" t="s">
        <v>4088</v>
      </c>
      <c r="C211" s="306"/>
      <c r="D211" s="26">
        <v>2</v>
      </c>
      <c r="E211" s="312" t="s">
        <v>11823</v>
      </c>
      <c r="F211" s="306" t="str">
        <f>VLOOKUP(Table24[[#This Row],[Country]],Table10[[COUNTRY NAME]:[CONTINENT CODE]],3,FALSE)</f>
        <v>AF</v>
      </c>
      <c r="G211" s="312" t="s">
        <v>11824</v>
      </c>
      <c r="H211" s="309">
        <v>9927</v>
      </c>
      <c r="I211" s="310">
        <v>24</v>
      </c>
      <c r="J211" s="307"/>
      <c r="K211" s="307">
        <f>IFERROR(Table24[[#This Row],[ROUTE COST]]/Table24[[#This Row],[O - DEMAND]],0)</f>
        <v>0</v>
      </c>
      <c r="L211" s="306"/>
      <c r="M211" s="310">
        <f>Table24[[#This Row],[O - DEMAND]]/950</f>
        <v>0</v>
      </c>
      <c r="N211" s="306">
        <f>IFERROR(VLOOKUP(Table24[[#This Row],[ROUTE]],DEMAND!A:F,5,FALSE),0)</f>
        <v>0</v>
      </c>
      <c r="O211" s="306">
        <f>IFERROR(VLOOKUP(Table24[[#This Row],[ROUTE]],DEMAND!A:F,6,FALSE),0)</f>
        <v>0</v>
      </c>
      <c r="P211" s="306">
        <f>ROUNDDOWN(Table24[[#This Row],[R-DEMAND]]/950,0)</f>
        <v>0</v>
      </c>
      <c r="Q211" s="306">
        <f>Table24[[#This Row],[ADD ACC
(475/950)]]*Table24[[#This Row],[Duration
(A359)]]</f>
        <v>0</v>
      </c>
      <c r="R211" s="307">
        <f>IFERROR(VLOOKUP(Table24[[#This Row],[ROUTE]],PRICING!A:B,2,FALSE),0)</f>
        <v>0</v>
      </c>
      <c r="S211" s="308">
        <f>Table24[[#This Row],[C_DEMAND]]-Table24[[#This Row],[R-DEMAND]]</f>
        <v>0</v>
      </c>
      <c r="T211" s="307">
        <f>Table24[[#This Row],[SEATS SOLD]]*Table24[[#This Row],[ECO SEAT]]</f>
        <v>0</v>
      </c>
      <c r="U211" s="307">
        <f>Table24[[#This Row],[SEATS SOLD]]*(IFERROR(VLOOKUP(Table24[[#This Row],[ROUTE]],PRICING!A:C,3,FALSE),0))</f>
        <v>0</v>
      </c>
      <c r="V211" s="307">
        <f>Table24[[#This Row],[SEAT REV]]-Table24[[#This Row],[SEAT REV
(IF IDEAL $)]]</f>
        <v>0</v>
      </c>
    </row>
    <row r="212" spans="1:22" customFormat="1" x14ac:dyDescent="0.25">
      <c r="A212" s="306" t="s">
        <v>17630</v>
      </c>
      <c r="B212" s="306" t="s">
        <v>3396</v>
      </c>
      <c r="C212" s="306"/>
      <c r="D212" s="26">
        <v>2</v>
      </c>
      <c r="E212" s="312" t="s">
        <v>78</v>
      </c>
      <c r="F212" s="306" t="str">
        <f>VLOOKUP(Table24[[#This Row],[Country]],Table10[[COUNTRY NAME]:[CONTINENT CODE]],3,FALSE)</f>
        <v>EU</v>
      </c>
      <c r="G212" s="312" t="s">
        <v>16873</v>
      </c>
      <c r="H212" s="309">
        <v>9954</v>
      </c>
      <c r="I212" s="310">
        <v>24</v>
      </c>
      <c r="J212" s="307"/>
      <c r="K212" s="307">
        <f>IFERROR(Table24[[#This Row],[ROUTE COST]]/Table24[[#This Row],[O - DEMAND]],0)</f>
        <v>0</v>
      </c>
      <c r="L212" s="306"/>
      <c r="M212" s="310">
        <f>Table24[[#This Row],[O - DEMAND]]/950</f>
        <v>0</v>
      </c>
      <c r="N212" s="306">
        <f>IFERROR(VLOOKUP(Table24[[#This Row],[ROUTE]],DEMAND!A:F,5,FALSE),0)</f>
        <v>0</v>
      </c>
      <c r="O212" s="306">
        <f>IFERROR(VLOOKUP(Table24[[#This Row],[ROUTE]],DEMAND!A:F,6,FALSE),0)</f>
        <v>0</v>
      </c>
      <c r="P212" s="306">
        <f>ROUNDDOWN(Table24[[#This Row],[R-DEMAND]]/950,0)</f>
        <v>0</v>
      </c>
      <c r="Q212" s="306">
        <f>Table24[[#This Row],[ADD ACC
(475/950)]]*Table24[[#This Row],[Duration
(A359)]]</f>
        <v>0</v>
      </c>
      <c r="R212" s="307">
        <f>IFERROR(VLOOKUP(Table24[[#This Row],[ROUTE]],PRICING!A:B,2,FALSE),0)</f>
        <v>0</v>
      </c>
      <c r="S212" s="308">
        <f>Table24[[#This Row],[C_DEMAND]]-Table24[[#This Row],[R-DEMAND]]</f>
        <v>0</v>
      </c>
      <c r="T212" s="307">
        <f>Table24[[#This Row],[SEATS SOLD]]*Table24[[#This Row],[ECO SEAT]]</f>
        <v>0</v>
      </c>
      <c r="U212" s="307">
        <f>Table24[[#This Row],[SEATS SOLD]]*(IFERROR(VLOOKUP(Table24[[#This Row],[ROUTE]],PRICING!A:C,3,FALSE),0))</f>
        <v>0</v>
      </c>
      <c r="V212" s="307">
        <f>Table24[[#This Row],[SEAT REV]]-Table24[[#This Row],[SEAT REV
(IF IDEAL $)]]</f>
        <v>0</v>
      </c>
    </row>
    <row r="213" spans="1:22" customFormat="1" x14ac:dyDescent="0.25">
      <c r="A213" s="306" t="s">
        <v>17407</v>
      </c>
      <c r="B213" s="306" t="s">
        <v>3699</v>
      </c>
      <c r="C213" s="306"/>
      <c r="D213" s="26">
        <v>2</v>
      </c>
      <c r="E213" s="312" t="s">
        <v>700</v>
      </c>
      <c r="F213" s="306" t="str">
        <f>VLOOKUP(Table24[[#This Row],[Country]],Table10[[COUNTRY NAME]:[CONTINENT CODE]],3,FALSE)</f>
        <v>AS</v>
      </c>
      <c r="G213" s="312" t="s">
        <v>8961</v>
      </c>
      <c r="H213" s="309">
        <v>9981</v>
      </c>
      <c r="I213" s="310">
        <v>24</v>
      </c>
      <c r="J213" s="307"/>
      <c r="K213" s="307">
        <f>IFERROR(Table24[[#This Row],[ROUTE COST]]/Table24[[#This Row],[O - DEMAND]],0)</f>
        <v>0</v>
      </c>
      <c r="L213" s="306"/>
      <c r="M213" s="310">
        <f>Table24[[#This Row],[O - DEMAND]]/950</f>
        <v>0</v>
      </c>
      <c r="N213" s="306">
        <f>IFERROR(VLOOKUP(Table24[[#This Row],[ROUTE]],DEMAND!A:F,5,FALSE),0)</f>
        <v>0</v>
      </c>
      <c r="O213" s="306">
        <f>IFERROR(VLOOKUP(Table24[[#This Row],[ROUTE]],DEMAND!A:F,6,FALSE),0)</f>
        <v>0</v>
      </c>
      <c r="P213" s="306">
        <f>ROUNDDOWN(Table24[[#This Row],[R-DEMAND]]/950,0)</f>
        <v>0</v>
      </c>
      <c r="Q213" s="306">
        <f>Table24[[#This Row],[ADD ACC
(475/950)]]*Table24[[#This Row],[Duration
(A359)]]</f>
        <v>0</v>
      </c>
      <c r="R213" s="307">
        <f>IFERROR(VLOOKUP(Table24[[#This Row],[ROUTE]],PRICING!A:B,2,FALSE),0)</f>
        <v>0</v>
      </c>
      <c r="S213" s="308">
        <f>Table24[[#This Row],[C_DEMAND]]-Table24[[#This Row],[R-DEMAND]]</f>
        <v>0</v>
      </c>
      <c r="T213" s="307">
        <f>Table24[[#This Row],[SEATS SOLD]]*Table24[[#This Row],[ECO SEAT]]</f>
        <v>0</v>
      </c>
      <c r="U213" s="307">
        <f>Table24[[#This Row],[SEATS SOLD]]*(IFERROR(VLOOKUP(Table24[[#This Row],[ROUTE]],PRICING!A:C,3,FALSE),0))</f>
        <v>0</v>
      </c>
      <c r="V213" s="307">
        <f>Table24[[#This Row],[SEAT REV]]-Table24[[#This Row],[SEAT REV
(IF IDEAL $)]]</f>
        <v>0</v>
      </c>
    </row>
    <row r="214" spans="1:22" customFormat="1" x14ac:dyDescent="0.25">
      <c r="A214" s="306" t="s">
        <v>17707</v>
      </c>
      <c r="B214" s="306" t="s">
        <v>1329</v>
      </c>
      <c r="C214" s="306"/>
      <c r="D214" s="26">
        <v>1</v>
      </c>
      <c r="E214" s="312" t="s">
        <v>722</v>
      </c>
      <c r="F214" s="306" t="str">
        <f>VLOOKUP(Table24[[#This Row],[Country]],Table10[[COUNTRY NAME]:[CONTINENT CODE]],3,FALSE)</f>
        <v>EU</v>
      </c>
      <c r="G214" s="312" t="s">
        <v>16875</v>
      </c>
      <c r="H214" s="309">
        <v>9913</v>
      </c>
      <c r="I214" s="310">
        <v>24</v>
      </c>
      <c r="J214" s="307"/>
      <c r="K214" s="307">
        <f>IFERROR(Table24[[#This Row],[ROUTE COST]]/Table24[[#This Row],[O - DEMAND]],0)</f>
        <v>0</v>
      </c>
      <c r="L214" s="306"/>
      <c r="M214" s="310">
        <f>Table24[[#This Row],[O - DEMAND]]/950</f>
        <v>0</v>
      </c>
      <c r="N214" s="306">
        <f>IFERROR(VLOOKUP(Table24[[#This Row],[ROUTE]],DEMAND!A:F,5,FALSE),0)</f>
        <v>0</v>
      </c>
      <c r="O214" s="306">
        <f>IFERROR(VLOOKUP(Table24[[#This Row],[ROUTE]],DEMAND!A:F,6,FALSE),0)</f>
        <v>0</v>
      </c>
      <c r="P214" s="306">
        <f>ROUNDDOWN(Table24[[#This Row],[R-DEMAND]]/950,0)</f>
        <v>0</v>
      </c>
      <c r="Q214" s="306">
        <f>Table24[[#This Row],[ADD ACC
(475/950)]]*Table24[[#This Row],[Duration
(A359)]]</f>
        <v>0</v>
      </c>
      <c r="R214" s="307">
        <f>IFERROR(VLOOKUP(Table24[[#This Row],[ROUTE]],PRICING!A:B,2,FALSE),0)</f>
        <v>0</v>
      </c>
      <c r="S214" s="308">
        <f>Table24[[#This Row],[C_DEMAND]]-Table24[[#This Row],[R-DEMAND]]</f>
        <v>0</v>
      </c>
      <c r="T214" s="307">
        <f>Table24[[#This Row],[SEATS SOLD]]*Table24[[#This Row],[ECO SEAT]]</f>
        <v>0</v>
      </c>
      <c r="U214" s="307">
        <f>Table24[[#This Row],[SEATS SOLD]]*(IFERROR(VLOOKUP(Table24[[#This Row],[ROUTE]],PRICING!A:C,3,FALSE),0))</f>
        <v>0</v>
      </c>
      <c r="V214" s="307">
        <f>Table24[[#This Row],[SEAT REV]]-Table24[[#This Row],[SEAT REV
(IF IDEAL $)]]</f>
        <v>0</v>
      </c>
    </row>
    <row r="215" spans="1:22" customFormat="1" x14ac:dyDescent="0.25">
      <c r="A215" s="306" t="s">
        <v>17125</v>
      </c>
      <c r="B215" s="306" t="s">
        <v>4548</v>
      </c>
      <c r="C215" s="306"/>
      <c r="D215" s="26">
        <v>2</v>
      </c>
      <c r="E215" s="312" t="s">
        <v>4546</v>
      </c>
      <c r="F215" s="306" t="str">
        <f>VLOOKUP(Table24[[#This Row],[Country]],Table10[[COUNTRY NAME]:[CONTINENT CODE]],3,FALSE)</f>
        <v>AF</v>
      </c>
      <c r="G215" s="312" t="s">
        <v>11821</v>
      </c>
      <c r="H215" s="309">
        <v>9903</v>
      </c>
      <c r="I215" s="310">
        <v>23.75</v>
      </c>
      <c r="J215" s="307"/>
      <c r="K215" s="307">
        <f>IFERROR(Table24[[#This Row],[ROUTE COST]]/Table24[[#This Row],[O - DEMAND]],0)</f>
        <v>0</v>
      </c>
      <c r="L215" s="306"/>
      <c r="M215" s="310">
        <f>Table24[[#This Row],[O - DEMAND]]/950</f>
        <v>0</v>
      </c>
      <c r="N215" s="306">
        <f>IFERROR(VLOOKUP(Table24[[#This Row],[ROUTE]],DEMAND!A:F,5,FALSE),0)</f>
        <v>0</v>
      </c>
      <c r="O215" s="306">
        <f>IFERROR(VLOOKUP(Table24[[#This Row],[ROUTE]],DEMAND!A:F,6,FALSE),0)</f>
        <v>0</v>
      </c>
      <c r="P215" s="306">
        <f>ROUNDDOWN(Table24[[#This Row],[R-DEMAND]]/950,0)</f>
        <v>0</v>
      </c>
      <c r="Q215" s="306">
        <f>Table24[[#This Row],[ADD ACC
(475/950)]]*Table24[[#This Row],[Duration
(A359)]]</f>
        <v>0</v>
      </c>
      <c r="R215" s="307">
        <f>IFERROR(VLOOKUP(Table24[[#This Row],[ROUTE]],PRICING!A:B,2,FALSE),0)</f>
        <v>0</v>
      </c>
      <c r="S215" s="308">
        <f>Table24[[#This Row],[C_DEMAND]]-Table24[[#This Row],[R-DEMAND]]</f>
        <v>0</v>
      </c>
      <c r="T215" s="307">
        <f>Table24[[#This Row],[SEATS SOLD]]*Table24[[#This Row],[ECO SEAT]]</f>
        <v>0</v>
      </c>
      <c r="U215" s="307">
        <f>Table24[[#This Row],[SEATS SOLD]]*(IFERROR(VLOOKUP(Table24[[#This Row],[ROUTE]],PRICING!A:C,3,FALSE),0))</f>
        <v>0</v>
      </c>
      <c r="V215" s="307">
        <f>Table24[[#This Row],[SEAT REV]]-Table24[[#This Row],[SEAT REV
(IF IDEAL $)]]</f>
        <v>0</v>
      </c>
    </row>
    <row r="216" spans="1:22" customFormat="1" x14ac:dyDescent="0.25">
      <c r="A216" s="306" t="s">
        <v>17631</v>
      </c>
      <c r="B216" s="306" t="s">
        <v>3615</v>
      </c>
      <c r="C216" s="306"/>
      <c r="D216" s="26">
        <v>2</v>
      </c>
      <c r="E216" s="312" t="s">
        <v>78</v>
      </c>
      <c r="F216" s="306" t="str">
        <f>VLOOKUP(Table24[[#This Row],[Country]],Table10[[COUNTRY NAME]:[CONTINENT CODE]],3,FALSE)</f>
        <v>EU</v>
      </c>
      <c r="G216" s="312" t="s">
        <v>11861</v>
      </c>
      <c r="H216" s="309">
        <v>9798</v>
      </c>
      <c r="I216" s="310">
        <v>23.75</v>
      </c>
      <c r="J216" s="307"/>
      <c r="K216" s="307">
        <f>IFERROR(Table24[[#This Row],[ROUTE COST]]/Table24[[#This Row],[O - DEMAND]],0)</f>
        <v>0</v>
      </c>
      <c r="L216" s="306"/>
      <c r="M216" s="310">
        <f>Table24[[#This Row],[O - DEMAND]]/950</f>
        <v>0</v>
      </c>
      <c r="N216" s="306">
        <f>IFERROR(VLOOKUP(Table24[[#This Row],[ROUTE]],DEMAND!A:F,5,FALSE),0)</f>
        <v>0</v>
      </c>
      <c r="O216" s="306">
        <f>IFERROR(VLOOKUP(Table24[[#This Row],[ROUTE]],DEMAND!A:F,6,FALSE),0)</f>
        <v>0</v>
      </c>
      <c r="P216" s="306">
        <f>ROUNDDOWN(Table24[[#This Row],[R-DEMAND]]/950,0)</f>
        <v>0</v>
      </c>
      <c r="Q216" s="306">
        <f>Table24[[#This Row],[ADD ACC
(475/950)]]*Table24[[#This Row],[Duration
(A359)]]</f>
        <v>0</v>
      </c>
      <c r="R216" s="307">
        <f>IFERROR(VLOOKUP(Table24[[#This Row],[ROUTE]],PRICING!A:B,2,FALSE),0)</f>
        <v>0</v>
      </c>
      <c r="S216" s="308">
        <f>Table24[[#This Row],[C_DEMAND]]-Table24[[#This Row],[R-DEMAND]]</f>
        <v>0</v>
      </c>
      <c r="T216" s="307">
        <f>Table24[[#This Row],[SEATS SOLD]]*Table24[[#This Row],[ECO SEAT]]</f>
        <v>0</v>
      </c>
      <c r="U216" s="307">
        <f>Table24[[#This Row],[SEATS SOLD]]*(IFERROR(VLOOKUP(Table24[[#This Row],[ROUTE]],PRICING!A:C,3,FALSE),0))</f>
        <v>0</v>
      </c>
      <c r="V216" s="307">
        <f>Table24[[#This Row],[SEAT REV]]-Table24[[#This Row],[SEAT REV
(IF IDEAL $)]]</f>
        <v>0</v>
      </c>
    </row>
    <row r="217" spans="1:22" customFormat="1" x14ac:dyDescent="0.25">
      <c r="A217" s="306" t="s">
        <v>17708</v>
      </c>
      <c r="B217" s="306" t="s">
        <v>1467</v>
      </c>
      <c r="C217" s="306"/>
      <c r="D217" s="26">
        <v>1</v>
      </c>
      <c r="E217" s="312" t="s">
        <v>78</v>
      </c>
      <c r="F217" s="306" t="str">
        <f>VLOOKUP(Table24[[#This Row],[Country]],Table10[[COUNTRY NAME]:[CONTINENT CODE]],3,FALSE)</f>
        <v>EU</v>
      </c>
      <c r="G217" s="312" t="s">
        <v>9359</v>
      </c>
      <c r="H217" s="309">
        <v>9851</v>
      </c>
      <c r="I217" s="310">
        <v>23.75</v>
      </c>
      <c r="J217" s="307"/>
      <c r="K217" s="307">
        <f>IFERROR(Table24[[#This Row],[ROUTE COST]]/Table24[[#This Row],[O - DEMAND]],0)</f>
        <v>0</v>
      </c>
      <c r="L217" s="306"/>
      <c r="M217" s="310">
        <f>Table24[[#This Row],[O - DEMAND]]/950</f>
        <v>0</v>
      </c>
      <c r="N217" s="306">
        <f>IFERROR(VLOOKUP(Table24[[#This Row],[ROUTE]],DEMAND!A:F,5,FALSE),0)</f>
        <v>0</v>
      </c>
      <c r="O217" s="306">
        <f>IFERROR(VLOOKUP(Table24[[#This Row],[ROUTE]],DEMAND!A:F,6,FALSE),0)</f>
        <v>0</v>
      </c>
      <c r="P217" s="306">
        <f>ROUNDDOWN(Table24[[#This Row],[R-DEMAND]]/950,0)</f>
        <v>0</v>
      </c>
      <c r="Q217" s="306">
        <f>Table24[[#This Row],[ADD ACC
(475/950)]]*Table24[[#This Row],[Duration
(A359)]]</f>
        <v>0</v>
      </c>
      <c r="R217" s="307">
        <f>IFERROR(VLOOKUP(Table24[[#This Row],[ROUTE]],PRICING!A:B,2,FALSE),0)</f>
        <v>0</v>
      </c>
      <c r="S217" s="308">
        <f>Table24[[#This Row],[C_DEMAND]]-Table24[[#This Row],[R-DEMAND]]</f>
        <v>0</v>
      </c>
      <c r="T217" s="307">
        <f>Table24[[#This Row],[SEATS SOLD]]*Table24[[#This Row],[ECO SEAT]]</f>
        <v>0</v>
      </c>
      <c r="U217" s="307">
        <f>Table24[[#This Row],[SEATS SOLD]]*(IFERROR(VLOOKUP(Table24[[#This Row],[ROUTE]],PRICING!A:C,3,FALSE),0))</f>
        <v>0</v>
      </c>
      <c r="V217" s="307">
        <f>Table24[[#This Row],[SEAT REV]]-Table24[[#This Row],[SEAT REV
(IF IDEAL $)]]</f>
        <v>0</v>
      </c>
    </row>
    <row r="218" spans="1:22" customFormat="1" x14ac:dyDescent="0.25">
      <c r="A218" s="306" t="s">
        <v>17442</v>
      </c>
      <c r="B218" s="306" t="s">
        <v>1211</v>
      </c>
      <c r="C218" s="306"/>
      <c r="D218" s="26">
        <v>1</v>
      </c>
      <c r="E218" s="312" t="s">
        <v>700</v>
      </c>
      <c r="F218" s="306" t="str">
        <f>VLOOKUP(Table24[[#This Row],[Country]],Table10[[COUNTRY NAME]:[CONTINENT CODE]],3,FALSE)</f>
        <v>AS</v>
      </c>
      <c r="G218" s="312" t="s">
        <v>11854</v>
      </c>
      <c r="H218" s="309">
        <v>9809</v>
      </c>
      <c r="I218" s="310">
        <v>23.75</v>
      </c>
      <c r="J218" s="307"/>
      <c r="K218" s="307">
        <f>IFERROR(Table24[[#This Row],[ROUTE COST]]/Table24[[#This Row],[O - DEMAND]],0)</f>
        <v>0</v>
      </c>
      <c r="L218" s="306"/>
      <c r="M218" s="310">
        <f>Table24[[#This Row],[O - DEMAND]]/950</f>
        <v>0</v>
      </c>
      <c r="N218" s="306">
        <f>IFERROR(VLOOKUP(Table24[[#This Row],[ROUTE]],DEMAND!A:F,5,FALSE),0)</f>
        <v>0</v>
      </c>
      <c r="O218" s="306">
        <f>IFERROR(VLOOKUP(Table24[[#This Row],[ROUTE]],DEMAND!A:F,6,FALSE),0)</f>
        <v>0</v>
      </c>
      <c r="P218" s="306">
        <f>ROUNDDOWN(Table24[[#This Row],[R-DEMAND]]/950,0)</f>
        <v>0</v>
      </c>
      <c r="Q218" s="306">
        <f>Table24[[#This Row],[ADD ACC
(475/950)]]*Table24[[#This Row],[Duration
(A359)]]</f>
        <v>0</v>
      </c>
      <c r="R218" s="307">
        <f>IFERROR(VLOOKUP(Table24[[#This Row],[ROUTE]],PRICING!A:B,2,FALSE),0)</f>
        <v>0</v>
      </c>
      <c r="S218" s="308">
        <f>Table24[[#This Row],[C_DEMAND]]-Table24[[#This Row],[R-DEMAND]]</f>
        <v>0</v>
      </c>
      <c r="T218" s="307">
        <f>Table24[[#This Row],[SEATS SOLD]]*Table24[[#This Row],[ECO SEAT]]</f>
        <v>0</v>
      </c>
      <c r="U218" s="307">
        <f>Table24[[#This Row],[SEATS SOLD]]*(IFERROR(VLOOKUP(Table24[[#This Row],[ROUTE]],PRICING!A:C,3,FALSE),0))</f>
        <v>0</v>
      </c>
      <c r="V218" s="307">
        <f>Table24[[#This Row],[SEAT REV]]-Table24[[#This Row],[SEAT REV
(IF IDEAL $)]]</f>
        <v>0</v>
      </c>
    </row>
    <row r="219" spans="1:22" customFormat="1" x14ac:dyDescent="0.25">
      <c r="A219" s="306" t="s">
        <v>17632</v>
      </c>
      <c r="B219" s="306" t="s">
        <v>4477</v>
      </c>
      <c r="C219" s="306"/>
      <c r="D219" s="26">
        <v>2</v>
      </c>
      <c r="E219" s="312" t="s">
        <v>722</v>
      </c>
      <c r="F219" s="306" t="str">
        <f>VLOOKUP(Table24[[#This Row],[Country]],Table10[[COUNTRY NAME]:[CONTINENT CODE]],3,FALSE)</f>
        <v>EU</v>
      </c>
      <c r="G219" s="312" t="s">
        <v>11856</v>
      </c>
      <c r="H219" s="309">
        <v>9768</v>
      </c>
      <c r="I219" s="310">
        <v>23.5</v>
      </c>
      <c r="J219" s="307"/>
      <c r="K219" s="307">
        <f>IFERROR(Table24[[#This Row],[ROUTE COST]]/Table24[[#This Row],[O - DEMAND]],0)</f>
        <v>0</v>
      </c>
      <c r="L219" s="306"/>
      <c r="M219" s="310">
        <f>Table24[[#This Row],[O - DEMAND]]/950</f>
        <v>0</v>
      </c>
      <c r="N219" s="306">
        <f>IFERROR(VLOOKUP(Table24[[#This Row],[ROUTE]],DEMAND!A:F,5,FALSE),0)</f>
        <v>0</v>
      </c>
      <c r="O219" s="306">
        <f>IFERROR(VLOOKUP(Table24[[#This Row],[ROUTE]],DEMAND!A:F,6,FALSE),0)</f>
        <v>0</v>
      </c>
      <c r="P219" s="306">
        <f>ROUNDDOWN(Table24[[#This Row],[R-DEMAND]]/950,0)</f>
        <v>0</v>
      </c>
      <c r="Q219" s="306">
        <f>Table24[[#This Row],[ADD ACC
(475/950)]]*Table24[[#This Row],[Duration
(A359)]]</f>
        <v>0</v>
      </c>
      <c r="R219" s="307">
        <f>IFERROR(VLOOKUP(Table24[[#This Row],[ROUTE]],PRICING!A:B,2,FALSE),0)</f>
        <v>0</v>
      </c>
      <c r="S219" s="308">
        <f>Table24[[#This Row],[C_DEMAND]]-Table24[[#This Row],[R-DEMAND]]</f>
        <v>0</v>
      </c>
      <c r="T219" s="307">
        <f>Table24[[#This Row],[SEATS SOLD]]*Table24[[#This Row],[ECO SEAT]]</f>
        <v>0</v>
      </c>
      <c r="U219" s="307">
        <f>Table24[[#This Row],[SEATS SOLD]]*(IFERROR(VLOOKUP(Table24[[#This Row],[ROUTE]],PRICING!A:C,3,FALSE),0))</f>
        <v>0</v>
      </c>
      <c r="V219" s="307">
        <f>Table24[[#This Row],[SEAT REV]]-Table24[[#This Row],[SEAT REV
(IF IDEAL $)]]</f>
        <v>0</v>
      </c>
    </row>
    <row r="220" spans="1:22" customFormat="1" x14ac:dyDescent="0.25">
      <c r="A220" s="306" t="s">
        <v>17409</v>
      </c>
      <c r="B220" s="306" t="s">
        <v>2508</v>
      </c>
      <c r="C220" s="306"/>
      <c r="D220" s="26">
        <v>2</v>
      </c>
      <c r="E220" s="312" t="s">
        <v>700</v>
      </c>
      <c r="F220" s="306" t="str">
        <f>VLOOKUP(Table24[[#This Row],[Country]],Table10[[COUNTRY NAME]:[CONTINENT CODE]],3,FALSE)</f>
        <v>AS</v>
      </c>
      <c r="G220" s="312" t="s">
        <v>16876</v>
      </c>
      <c r="H220" s="309">
        <v>9739</v>
      </c>
      <c r="I220" s="310">
        <v>23.5</v>
      </c>
      <c r="J220" s="307"/>
      <c r="K220" s="307">
        <f>IFERROR(Table24[[#This Row],[ROUTE COST]]/Table24[[#This Row],[O - DEMAND]],0)</f>
        <v>0</v>
      </c>
      <c r="L220" s="306"/>
      <c r="M220" s="310">
        <f>Table24[[#This Row],[O - DEMAND]]/950</f>
        <v>0</v>
      </c>
      <c r="N220" s="306">
        <f>IFERROR(VLOOKUP(Table24[[#This Row],[ROUTE]],DEMAND!A:F,5,FALSE),0)</f>
        <v>0</v>
      </c>
      <c r="O220" s="306">
        <f>IFERROR(VLOOKUP(Table24[[#This Row],[ROUTE]],DEMAND!A:F,6,FALSE),0)</f>
        <v>0</v>
      </c>
      <c r="P220" s="306">
        <f>ROUNDDOWN(Table24[[#This Row],[R-DEMAND]]/950,0)</f>
        <v>0</v>
      </c>
      <c r="Q220" s="306">
        <f>Table24[[#This Row],[ADD ACC
(475/950)]]*Table24[[#This Row],[Duration
(A359)]]</f>
        <v>0</v>
      </c>
      <c r="R220" s="307">
        <f>IFERROR(VLOOKUP(Table24[[#This Row],[ROUTE]],PRICING!A:B,2,FALSE),0)</f>
        <v>0</v>
      </c>
      <c r="S220" s="308">
        <f>Table24[[#This Row],[C_DEMAND]]-Table24[[#This Row],[R-DEMAND]]</f>
        <v>0</v>
      </c>
      <c r="T220" s="307">
        <f>Table24[[#This Row],[SEATS SOLD]]*Table24[[#This Row],[ECO SEAT]]</f>
        <v>0</v>
      </c>
      <c r="U220" s="307">
        <f>Table24[[#This Row],[SEATS SOLD]]*(IFERROR(VLOOKUP(Table24[[#This Row],[ROUTE]],PRICING!A:C,3,FALSE),0))</f>
        <v>0</v>
      </c>
      <c r="V220" s="307">
        <f>Table24[[#This Row],[SEAT REV]]-Table24[[#This Row],[SEAT REV
(IF IDEAL $)]]</f>
        <v>0</v>
      </c>
    </row>
    <row r="221" spans="1:22" customFormat="1" x14ac:dyDescent="0.25">
      <c r="A221" s="306" t="s">
        <v>17408</v>
      </c>
      <c r="B221" s="306" t="s">
        <v>3046</v>
      </c>
      <c r="C221" s="306"/>
      <c r="D221" s="26">
        <v>2</v>
      </c>
      <c r="E221" s="312" t="s">
        <v>700</v>
      </c>
      <c r="F221" s="306" t="str">
        <f>VLOOKUP(Table24[[#This Row],[Country]],Table10[[COUNTRY NAME]:[CONTINENT CODE]],3,FALSE)</f>
        <v>AS</v>
      </c>
      <c r="G221" s="312" t="s">
        <v>11853</v>
      </c>
      <c r="H221" s="309">
        <v>9758</v>
      </c>
      <c r="I221" s="310">
        <v>23.5</v>
      </c>
      <c r="J221" s="307"/>
      <c r="K221" s="307">
        <f>IFERROR(Table24[[#This Row],[ROUTE COST]]/Table24[[#This Row],[O - DEMAND]],0)</f>
        <v>0</v>
      </c>
      <c r="L221" s="306"/>
      <c r="M221" s="310">
        <f>Table24[[#This Row],[O - DEMAND]]/950</f>
        <v>0</v>
      </c>
      <c r="N221" s="306">
        <f>IFERROR(VLOOKUP(Table24[[#This Row],[ROUTE]],DEMAND!A:F,5,FALSE),0)</f>
        <v>0</v>
      </c>
      <c r="O221" s="306">
        <f>IFERROR(VLOOKUP(Table24[[#This Row],[ROUTE]],DEMAND!A:F,6,FALSE),0)</f>
        <v>0</v>
      </c>
      <c r="P221" s="306">
        <f>ROUNDDOWN(Table24[[#This Row],[R-DEMAND]]/950,0)</f>
        <v>0</v>
      </c>
      <c r="Q221" s="306">
        <f>Table24[[#This Row],[ADD ACC
(475/950)]]*Table24[[#This Row],[Duration
(A359)]]</f>
        <v>0</v>
      </c>
      <c r="R221" s="307">
        <f>IFERROR(VLOOKUP(Table24[[#This Row],[ROUTE]],PRICING!A:B,2,FALSE),0)</f>
        <v>0</v>
      </c>
      <c r="S221" s="308">
        <f>Table24[[#This Row],[C_DEMAND]]-Table24[[#This Row],[R-DEMAND]]</f>
        <v>0</v>
      </c>
      <c r="T221" s="307">
        <f>Table24[[#This Row],[SEATS SOLD]]*Table24[[#This Row],[ECO SEAT]]</f>
        <v>0</v>
      </c>
      <c r="U221" s="307">
        <f>Table24[[#This Row],[SEATS SOLD]]*(IFERROR(VLOOKUP(Table24[[#This Row],[ROUTE]],PRICING!A:C,3,FALSE),0))</f>
        <v>0</v>
      </c>
      <c r="V221" s="307">
        <f>Table24[[#This Row],[SEAT REV]]-Table24[[#This Row],[SEAT REV
(IF IDEAL $)]]</f>
        <v>0</v>
      </c>
    </row>
    <row r="222" spans="1:22" customFormat="1" x14ac:dyDescent="0.25">
      <c r="A222" s="306" t="s">
        <v>17709</v>
      </c>
      <c r="B222" s="306" t="s">
        <v>1775</v>
      </c>
      <c r="C222" s="306"/>
      <c r="D222" s="26">
        <v>1</v>
      </c>
      <c r="E222" s="312" t="s">
        <v>722</v>
      </c>
      <c r="F222" s="306" t="str">
        <f>VLOOKUP(Table24[[#This Row],[Country]],Table10[[COUNTRY NAME]:[CONTINENT CODE]],3,FALSE)</f>
        <v>EU</v>
      </c>
      <c r="G222" s="312" t="s">
        <v>16877</v>
      </c>
      <c r="H222" s="309">
        <v>9730</v>
      </c>
      <c r="I222" s="310">
        <v>23.5</v>
      </c>
      <c r="J222" s="307"/>
      <c r="K222" s="307">
        <f>IFERROR(Table24[[#This Row],[ROUTE COST]]/Table24[[#This Row],[O - DEMAND]],0)</f>
        <v>0</v>
      </c>
      <c r="L222" s="306"/>
      <c r="M222" s="310">
        <f>Table24[[#This Row],[O - DEMAND]]/950</f>
        <v>0</v>
      </c>
      <c r="N222" s="306">
        <f>IFERROR(VLOOKUP(Table24[[#This Row],[ROUTE]],DEMAND!A:F,5,FALSE),0)</f>
        <v>0</v>
      </c>
      <c r="O222" s="306">
        <f>IFERROR(VLOOKUP(Table24[[#This Row],[ROUTE]],DEMAND!A:F,6,FALSE),0)</f>
        <v>0</v>
      </c>
      <c r="P222" s="306">
        <f>ROUNDDOWN(Table24[[#This Row],[R-DEMAND]]/950,0)</f>
        <v>0</v>
      </c>
      <c r="Q222" s="306">
        <f>Table24[[#This Row],[ADD ACC
(475/950)]]*Table24[[#This Row],[Duration
(A359)]]</f>
        <v>0</v>
      </c>
      <c r="R222" s="307">
        <f>IFERROR(VLOOKUP(Table24[[#This Row],[ROUTE]],PRICING!A:B,2,FALSE),0)</f>
        <v>0</v>
      </c>
      <c r="S222" s="308">
        <f>Table24[[#This Row],[C_DEMAND]]-Table24[[#This Row],[R-DEMAND]]</f>
        <v>0</v>
      </c>
      <c r="T222" s="307">
        <f>Table24[[#This Row],[SEATS SOLD]]*Table24[[#This Row],[ECO SEAT]]</f>
        <v>0</v>
      </c>
      <c r="U222" s="307">
        <f>Table24[[#This Row],[SEATS SOLD]]*(IFERROR(VLOOKUP(Table24[[#This Row],[ROUTE]],PRICING!A:C,3,FALSE),0))</f>
        <v>0</v>
      </c>
      <c r="V222" s="307">
        <f>Table24[[#This Row],[SEAT REV]]-Table24[[#This Row],[SEAT REV
(IF IDEAL $)]]</f>
        <v>0</v>
      </c>
    </row>
    <row r="223" spans="1:22" customFormat="1" x14ac:dyDescent="0.25">
      <c r="A223" s="306" t="s">
        <v>17443</v>
      </c>
      <c r="B223" s="306" t="s">
        <v>898</v>
      </c>
      <c r="C223" s="306"/>
      <c r="D223" s="26">
        <v>1</v>
      </c>
      <c r="E223" s="312" t="s">
        <v>700</v>
      </c>
      <c r="F223" s="306" t="str">
        <f>VLOOKUP(Table24[[#This Row],[Country]],Table10[[COUNTRY NAME]:[CONTINENT CODE]],3,FALSE)</f>
        <v>AS</v>
      </c>
      <c r="G223" s="312" t="s">
        <v>16878</v>
      </c>
      <c r="H223" s="309">
        <v>9702</v>
      </c>
      <c r="I223" s="310">
        <v>23.5</v>
      </c>
      <c r="J223" s="307"/>
      <c r="K223" s="307">
        <f>IFERROR(Table24[[#This Row],[ROUTE COST]]/Table24[[#This Row],[O - DEMAND]],0)</f>
        <v>0</v>
      </c>
      <c r="L223" s="306"/>
      <c r="M223" s="310">
        <f>Table24[[#This Row],[O - DEMAND]]/950</f>
        <v>0</v>
      </c>
      <c r="N223" s="306">
        <f>IFERROR(VLOOKUP(Table24[[#This Row],[ROUTE]],DEMAND!A:F,5,FALSE),0)</f>
        <v>0</v>
      </c>
      <c r="O223" s="306">
        <f>IFERROR(VLOOKUP(Table24[[#This Row],[ROUTE]],DEMAND!A:F,6,FALSE),0)</f>
        <v>0</v>
      </c>
      <c r="P223" s="306">
        <f>ROUNDDOWN(Table24[[#This Row],[R-DEMAND]]/950,0)</f>
        <v>0</v>
      </c>
      <c r="Q223" s="306">
        <f>Table24[[#This Row],[ADD ACC
(475/950)]]*Table24[[#This Row],[Duration
(A359)]]</f>
        <v>0</v>
      </c>
      <c r="R223" s="307">
        <f>IFERROR(VLOOKUP(Table24[[#This Row],[ROUTE]],PRICING!A:B,2,FALSE),0)</f>
        <v>0</v>
      </c>
      <c r="S223" s="308">
        <f>Table24[[#This Row],[C_DEMAND]]-Table24[[#This Row],[R-DEMAND]]</f>
        <v>0</v>
      </c>
      <c r="T223" s="307">
        <f>Table24[[#This Row],[SEATS SOLD]]*Table24[[#This Row],[ECO SEAT]]</f>
        <v>0</v>
      </c>
      <c r="U223" s="307">
        <f>Table24[[#This Row],[SEATS SOLD]]*(IFERROR(VLOOKUP(Table24[[#This Row],[ROUTE]],PRICING!A:C,3,FALSE),0))</f>
        <v>0</v>
      </c>
      <c r="V223" s="307">
        <f>Table24[[#This Row],[SEAT REV]]-Table24[[#This Row],[SEAT REV
(IF IDEAL $)]]</f>
        <v>0</v>
      </c>
    </row>
    <row r="224" spans="1:22" customFormat="1" x14ac:dyDescent="0.25">
      <c r="A224" s="306" t="s">
        <v>17444</v>
      </c>
      <c r="B224" s="306" t="s">
        <v>2466</v>
      </c>
      <c r="C224" s="306"/>
      <c r="D224" s="26">
        <v>1</v>
      </c>
      <c r="E224" s="312" t="s">
        <v>700</v>
      </c>
      <c r="F224" s="306" t="str">
        <f>VLOOKUP(Table24[[#This Row],[Country]],Table10[[COUNTRY NAME]:[CONTINENT CODE]],3,FALSE)</f>
        <v>AS</v>
      </c>
      <c r="G224" s="312" t="s">
        <v>11852</v>
      </c>
      <c r="H224" s="309">
        <v>9645</v>
      </c>
      <c r="I224" s="310">
        <v>23.25</v>
      </c>
      <c r="J224" s="307"/>
      <c r="K224" s="307">
        <f>IFERROR(Table24[[#This Row],[ROUTE COST]]/Table24[[#This Row],[O - DEMAND]],0)</f>
        <v>0</v>
      </c>
      <c r="L224" s="306"/>
      <c r="M224" s="310">
        <f>Table24[[#This Row],[O - DEMAND]]/950</f>
        <v>0</v>
      </c>
      <c r="N224" s="306">
        <f>IFERROR(VLOOKUP(Table24[[#This Row],[ROUTE]],DEMAND!A:F,5,FALSE),0)</f>
        <v>0</v>
      </c>
      <c r="O224" s="306">
        <f>IFERROR(VLOOKUP(Table24[[#This Row],[ROUTE]],DEMAND!A:F,6,FALSE),0)</f>
        <v>0</v>
      </c>
      <c r="P224" s="306">
        <f>ROUNDDOWN(Table24[[#This Row],[R-DEMAND]]/950,0)</f>
        <v>0</v>
      </c>
      <c r="Q224" s="306">
        <f>Table24[[#This Row],[ADD ACC
(475/950)]]*Table24[[#This Row],[Duration
(A359)]]</f>
        <v>0</v>
      </c>
      <c r="R224" s="307">
        <f>IFERROR(VLOOKUP(Table24[[#This Row],[ROUTE]],PRICING!A:B,2,FALSE),0)</f>
        <v>0</v>
      </c>
      <c r="S224" s="308">
        <f>Table24[[#This Row],[C_DEMAND]]-Table24[[#This Row],[R-DEMAND]]</f>
        <v>0</v>
      </c>
      <c r="T224" s="307">
        <f>Table24[[#This Row],[SEATS SOLD]]*Table24[[#This Row],[ECO SEAT]]</f>
        <v>0</v>
      </c>
      <c r="U224" s="307">
        <f>Table24[[#This Row],[SEATS SOLD]]*(IFERROR(VLOOKUP(Table24[[#This Row],[ROUTE]],PRICING!A:C,3,FALSE),0))</f>
        <v>0</v>
      </c>
      <c r="V224" s="307">
        <f>Table24[[#This Row],[SEAT REV]]-Table24[[#This Row],[SEAT REV
(IF IDEAL $)]]</f>
        <v>0</v>
      </c>
    </row>
    <row r="225" spans="1:22" customFormat="1" x14ac:dyDescent="0.25">
      <c r="A225" s="306" t="s">
        <v>17524</v>
      </c>
      <c r="B225" s="306" t="s">
        <v>14216</v>
      </c>
      <c r="C225" s="306"/>
      <c r="D225" s="26">
        <v>3</v>
      </c>
      <c r="E225" s="312" t="s">
        <v>78</v>
      </c>
      <c r="F225" s="306" t="str">
        <f>VLOOKUP(Table24[[#This Row],[Country]],Table10[[COUNTRY NAME]:[CONTINENT CODE]],3,FALSE)</f>
        <v>EU</v>
      </c>
      <c r="G225" s="312" t="s">
        <v>14215</v>
      </c>
      <c r="H225" s="309">
        <v>9526</v>
      </c>
      <c r="I225" s="310">
        <v>23</v>
      </c>
      <c r="J225" s="307"/>
      <c r="K225" s="307">
        <f>IFERROR(Table24[[#This Row],[ROUTE COST]]/Table24[[#This Row],[O - DEMAND]],0)</f>
        <v>0</v>
      </c>
      <c r="L225" s="306"/>
      <c r="M225" s="310">
        <f>Table24[[#This Row],[O - DEMAND]]/950</f>
        <v>0</v>
      </c>
      <c r="N225" s="306">
        <f>IFERROR(VLOOKUP(Table24[[#This Row],[ROUTE]],DEMAND!A:F,5,FALSE),0)</f>
        <v>0</v>
      </c>
      <c r="O225" s="306">
        <f>IFERROR(VLOOKUP(Table24[[#This Row],[ROUTE]],DEMAND!A:F,6,FALSE),0)</f>
        <v>0</v>
      </c>
      <c r="P225" s="306">
        <f>ROUNDDOWN(Table24[[#This Row],[R-DEMAND]]/950,0)</f>
        <v>0</v>
      </c>
      <c r="Q225" s="306">
        <f>Table24[[#This Row],[ADD ACC
(475/950)]]*Table24[[#This Row],[Duration
(A359)]]</f>
        <v>0</v>
      </c>
      <c r="R225" s="307">
        <f>IFERROR(VLOOKUP(Table24[[#This Row],[ROUTE]],PRICING!A:B,2,FALSE),0)</f>
        <v>0</v>
      </c>
      <c r="S225" s="308">
        <f>Table24[[#This Row],[C_DEMAND]]-Table24[[#This Row],[R-DEMAND]]</f>
        <v>0</v>
      </c>
      <c r="T225" s="307">
        <f>Table24[[#This Row],[SEATS SOLD]]*Table24[[#This Row],[ECO SEAT]]</f>
        <v>0</v>
      </c>
      <c r="U225" s="307">
        <f>Table24[[#This Row],[SEATS SOLD]]*(IFERROR(VLOOKUP(Table24[[#This Row],[ROUTE]],PRICING!A:C,3,FALSE),0))</f>
        <v>0</v>
      </c>
      <c r="V225" s="307">
        <f>Table24[[#This Row],[SEAT REV]]-Table24[[#This Row],[SEAT REV
(IF IDEAL $)]]</f>
        <v>0</v>
      </c>
    </row>
    <row r="226" spans="1:22" customFormat="1" x14ac:dyDescent="0.25">
      <c r="A226" s="306" t="s">
        <v>17445</v>
      </c>
      <c r="B226" s="306" t="s">
        <v>1935</v>
      </c>
      <c r="C226" s="306"/>
      <c r="D226" s="26">
        <v>1</v>
      </c>
      <c r="E226" s="312" t="s">
        <v>700</v>
      </c>
      <c r="F226" s="306" t="str">
        <f>VLOOKUP(Table24[[#This Row],[Country]],Table10[[COUNTRY NAME]:[CONTINENT CODE]],3,FALSE)</f>
        <v>AS</v>
      </c>
      <c r="G226" s="312" t="s">
        <v>11846</v>
      </c>
      <c r="H226" s="309">
        <v>9480</v>
      </c>
      <c r="I226" s="310">
        <v>23</v>
      </c>
      <c r="J226" s="307"/>
      <c r="K226" s="307">
        <f>IFERROR(Table24[[#This Row],[ROUTE COST]]/Table24[[#This Row],[O - DEMAND]],0)</f>
        <v>0</v>
      </c>
      <c r="L226" s="306"/>
      <c r="M226" s="310">
        <f>Table24[[#This Row],[O - DEMAND]]/950</f>
        <v>0</v>
      </c>
      <c r="N226" s="306">
        <f>IFERROR(VLOOKUP(Table24[[#This Row],[ROUTE]],DEMAND!A:F,5,FALSE),0)</f>
        <v>0</v>
      </c>
      <c r="O226" s="306">
        <f>IFERROR(VLOOKUP(Table24[[#This Row],[ROUTE]],DEMAND!A:F,6,FALSE),0)</f>
        <v>0</v>
      </c>
      <c r="P226" s="306">
        <f>ROUNDDOWN(Table24[[#This Row],[R-DEMAND]]/950,0)</f>
        <v>0</v>
      </c>
      <c r="Q226" s="306">
        <f>Table24[[#This Row],[ADD ACC
(475/950)]]*Table24[[#This Row],[Duration
(A359)]]</f>
        <v>0</v>
      </c>
      <c r="R226" s="307">
        <f>IFERROR(VLOOKUP(Table24[[#This Row],[ROUTE]],PRICING!A:B,2,FALSE),0)</f>
        <v>0</v>
      </c>
      <c r="S226" s="308">
        <f>Table24[[#This Row],[C_DEMAND]]-Table24[[#This Row],[R-DEMAND]]</f>
        <v>0</v>
      </c>
      <c r="T226" s="307">
        <f>Table24[[#This Row],[SEATS SOLD]]*Table24[[#This Row],[ECO SEAT]]</f>
        <v>0</v>
      </c>
      <c r="U226" s="307">
        <f>Table24[[#This Row],[SEATS SOLD]]*(IFERROR(VLOOKUP(Table24[[#This Row],[ROUTE]],PRICING!A:C,3,FALSE),0))</f>
        <v>0</v>
      </c>
      <c r="V226" s="307">
        <f>Table24[[#This Row],[SEAT REV]]-Table24[[#This Row],[SEAT REV
(IF IDEAL $)]]</f>
        <v>0</v>
      </c>
    </row>
    <row r="227" spans="1:22" customFormat="1" x14ac:dyDescent="0.25">
      <c r="A227" s="306" t="s">
        <v>17633</v>
      </c>
      <c r="B227" s="306" t="s">
        <v>4408</v>
      </c>
      <c r="C227" s="306"/>
      <c r="D227" s="26">
        <v>2</v>
      </c>
      <c r="E227" s="312" t="s">
        <v>1420</v>
      </c>
      <c r="F227" s="306" t="str">
        <f>VLOOKUP(Table24[[#This Row],[Country]],Table10[[COUNTRY NAME]:[CONTINENT CODE]],3,FALSE)</f>
        <v>EU</v>
      </c>
      <c r="G227" s="312" t="s">
        <v>11844</v>
      </c>
      <c r="H227" s="309">
        <v>9397</v>
      </c>
      <c r="I227" s="310">
        <v>22.75</v>
      </c>
      <c r="J227" s="307"/>
      <c r="K227" s="307">
        <f>IFERROR(Table24[[#This Row],[ROUTE COST]]/Table24[[#This Row],[O - DEMAND]],0)</f>
        <v>0</v>
      </c>
      <c r="L227" s="306"/>
      <c r="M227" s="310">
        <f>Table24[[#This Row],[O - DEMAND]]/950</f>
        <v>0</v>
      </c>
      <c r="N227" s="306">
        <f>IFERROR(VLOOKUP(Table24[[#This Row],[ROUTE]],DEMAND!A:F,5,FALSE),0)</f>
        <v>0</v>
      </c>
      <c r="O227" s="306">
        <f>IFERROR(VLOOKUP(Table24[[#This Row],[ROUTE]],DEMAND!A:F,6,FALSE),0)</f>
        <v>0</v>
      </c>
      <c r="P227" s="306">
        <f>ROUNDDOWN(Table24[[#This Row],[R-DEMAND]]/950,0)</f>
        <v>0</v>
      </c>
      <c r="Q227" s="306">
        <f>Table24[[#This Row],[ADD ACC
(475/950)]]*Table24[[#This Row],[Duration
(A359)]]</f>
        <v>0</v>
      </c>
      <c r="R227" s="307">
        <f>IFERROR(VLOOKUP(Table24[[#This Row],[ROUTE]],PRICING!A:B,2,FALSE),0)</f>
        <v>0</v>
      </c>
      <c r="S227" s="308">
        <f>Table24[[#This Row],[C_DEMAND]]-Table24[[#This Row],[R-DEMAND]]</f>
        <v>0</v>
      </c>
      <c r="T227" s="307">
        <f>Table24[[#This Row],[SEATS SOLD]]*Table24[[#This Row],[ECO SEAT]]</f>
        <v>0</v>
      </c>
      <c r="U227" s="307">
        <f>Table24[[#This Row],[SEATS SOLD]]*(IFERROR(VLOOKUP(Table24[[#This Row],[ROUTE]],PRICING!A:C,3,FALSE),0))</f>
        <v>0</v>
      </c>
      <c r="V227" s="307">
        <f>Table24[[#This Row],[SEAT REV]]-Table24[[#This Row],[SEAT REV
(IF IDEAL $)]]</f>
        <v>0</v>
      </c>
    </row>
    <row r="228" spans="1:22" customFormat="1" x14ac:dyDescent="0.25">
      <c r="A228" s="306" t="s">
        <v>17123</v>
      </c>
      <c r="B228" s="306" t="s">
        <v>3274</v>
      </c>
      <c r="C228" s="306"/>
      <c r="D228" s="26">
        <v>2</v>
      </c>
      <c r="E228" s="312" t="s">
        <v>3272</v>
      </c>
      <c r="F228" s="306" t="str">
        <f>VLOOKUP(Table24[[#This Row],[Country]],Table10[[COUNTRY NAME]:[CONTINENT CODE]],3,FALSE)</f>
        <v>AF</v>
      </c>
      <c r="G228" s="312" t="s">
        <v>11810</v>
      </c>
      <c r="H228" s="309">
        <v>9306</v>
      </c>
      <c r="I228" s="310">
        <v>22.5</v>
      </c>
      <c r="J228" s="307"/>
      <c r="K228" s="307">
        <f>IFERROR(Table24[[#This Row],[ROUTE COST]]/Table24[[#This Row],[O - DEMAND]],0)</f>
        <v>0</v>
      </c>
      <c r="L228" s="306"/>
      <c r="M228" s="310">
        <f>Table24[[#This Row],[O - DEMAND]]/950</f>
        <v>0</v>
      </c>
      <c r="N228" s="306">
        <f>IFERROR(VLOOKUP(Table24[[#This Row],[ROUTE]],DEMAND!A:F,5,FALSE),0)</f>
        <v>0</v>
      </c>
      <c r="O228" s="306">
        <f>IFERROR(VLOOKUP(Table24[[#This Row],[ROUTE]],DEMAND!A:F,6,FALSE),0)</f>
        <v>0</v>
      </c>
      <c r="P228" s="306">
        <f>ROUNDDOWN(Table24[[#This Row],[R-DEMAND]]/950,0)</f>
        <v>0</v>
      </c>
      <c r="Q228" s="306">
        <f>Table24[[#This Row],[ADD ACC
(475/950)]]*Table24[[#This Row],[Duration
(A359)]]</f>
        <v>0</v>
      </c>
      <c r="R228" s="307">
        <f>IFERROR(VLOOKUP(Table24[[#This Row],[ROUTE]],PRICING!A:B,2,FALSE),0)</f>
        <v>0</v>
      </c>
      <c r="S228" s="308">
        <f>Table24[[#This Row],[C_DEMAND]]-Table24[[#This Row],[R-DEMAND]]</f>
        <v>0</v>
      </c>
      <c r="T228" s="307">
        <f>Table24[[#This Row],[SEATS SOLD]]*Table24[[#This Row],[ECO SEAT]]</f>
        <v>0</v>
      </c>
      <c r="U228" s="307">
        <f>Table24[[#This Row],[SEATS SOLD]]*(IFERROR(VLOOKUP(Table24[[#This Row],[ROUTE]],PRICING!A:C,3,FALSE),0))</f>
        <v>0</v>
      </c>
      <c r="V228" s="307">
        <f>Table24[[#This Row],[SEAT REV]]-Table24[[#This Row],[SEAT REV
(IF IDEAL $)]]</f>
        <v>0</v>
      </c>
    </row>
    <row r="229" spans="1:22" customFormat="1" x14ac:dyDescent="0.25">
      <c r="A229" s="306" t="s">
        <v>17120</v>
      </c>
      <c r="B229" s="306" t="s">
        <v>3361</v>
      </c>
      <c r="C229" s="306"/>
      <c r="D229" s="26">
        <v>2</v>
      </c>
      <c r="E229" s="312" t="s">
        <v>11782</v>
      </c>
      <c r="F229" s="306" t="str">
        <f>VLOOKUP(Table24[[#This Row],[Country]],Table10[[COUNTRY NAME]:[CONTINENT CODE]],3,FALSE)</f>
        <v>AF</v>
      </c>
      <c r="G229" s="312" t="s">
        <v>11796</v>
      </c>
      <c r="H229" s="309">
        <v>9230</v>
      </c>
      <c r="I229" s="310">
        <v>22.5</v>
      </c>
      <c r="J229" s="307"/>
      <c r="K229" s="307">
        <f>IFERROR(Table24[[#This Row],[ROUTE COST]]/Table24[[#This Row],[O - DEMAND]],0)</f>
        <v>0</v>
      </c>
      <c r="L229" s="306"/>
      <c r="M229" s="310">
        <f>Table24[[#This Row],[O - DEMAND]]/950</f>
        <v>0</v>
      </c>
      <c r="N229" s="306">
        <f>IFERROR(VLOOKUP(Table24[[#This Row],[ROUTE]],DEMAND!A:F,5,FALSE),0)</f>
        <v>0</v>
      </c>
      <c r="O229" s="306">
        <f>IFERROR(VLOOKUP(Table24[[#This Row],[ROUTE]],DEMAND!A:F,6,FALSE),0)</f>
        <v>0</v>
      </c>
      <c r="P229" s="306">
        <f>ROUNDDOWN(Table24[[#This Row],[R-DEMAND]]/950,0)</f>
        <v>0</v>
      </c>
      <c r="Q229" s="306">
        <f>Table24[[#This Row],[ADD ACC
(475/950)]]*Table24[[#This Row],[Duration
(A359)]]</f>
        <v>0</v>
      </c>
      <c r="R229" s="307">
        <f>IFERROR(VLOOKUP(Table24[[#This Row],[ROUTE]],PRICING!A:B,2,FALSE),0)</f>
        <v>0</v>
      </c>
      <c r="S229" s="308">
        <f>Table24[[#This Row],[C_DEMAND]]-Table24[[#This Row],[R-DEMAND]]</f>
        <v>0</v>
      </c>
      <c r="T229" s="307">
        <f>Table24[[#This Row],[SEATS SOLD]]*Table24[[#This Row],[ECO SEAT]]</f>
        <v>0</v>
      </c>
      <c r="U229" s="307">
        <f>Table24[[#This Row],[SEATS SOLD]]*(IFERROR(VLOOKUP(Table24[[#This Row],[ROUTE]],PRICING!A:C,3,FALSE),0))</f>
        <v>0</v>
      </c>
      <c r="V229" s="307">
        <f>Table24[[#This Row],[SEAT REV]]-Table24[[#This Row],[SEAT REV
(IF IDEAL $)]]</f>
        <v>0</v>
      </c>
    </row>
    <row r="230" spans="1:22" customFormat="1" x14ac:dyDescent="0.25">
      <c r="A230" s="306" t="s">
        <v>17634</v>
      </c>
      <c r="B230" s="306" t="s">
        <v>3745</v>
      </c>
      <c r="C230" s="306"/>
      <c r="D230" s="26">
        <v>2</v>
      </c>
      <c r="E230" s="312" t="s">
        <v>597</v>
      </c>
      <c r="F230" s="306" t="str">
        <f>VLOOKUP(Table24[[#This Row],[Country]],Table10[[COUNTRY NAME]:[CONTINENT CODE]],3,FALSE)</f>
        <v>EU</v>
      </c>
      <c r="G230" s="312" t="s">
        <v>16880</v>
      </c>
      <c r="H230" s="309">
        <v>9336</v>
      </c>
      <c r="I230" s="310">
        <v>22.5</v>
      </c>
      <c r="J230" s="307"/>
      <c r="K230" s="307">
        <f>IFERROR(Table24[[#This Row],[ROUTE COST]]/Table24[[#This Row],[O - DEMAND]],0)</f>
        <v>0</v>
      </c>
      <c r="L230" s="306"/>
      <c r="M230" s="310">
        <f>Table24[[#This Row],[O - DEMAND]]/950</f>
        <v>0</v>
      </c>
      <c r="N230" s="306">
        <f>IFERROR(VLOOKUP(Table24[[#This Row],[ROUTE]],DEMAND!A:F,5,FALSE),0)</f>
        <v>0</v>
      </c>
      <c r="O230" s="306">
        <f>IFERROR(VLOOKUP(Table24[[#This Row],[ROUTE]],DEMAND!A:F,6,FALSE),0)</f>
        <v>0</v>
      </c>
      <c r="P230" s="306">
        <f>ROUNDDOWN(Table24[[#This Row],[R-DEMAND]]/950,0)</f>
        <v>0</v>
      </c>
      <c r="Q230" s="306">
        <f>Table24[[#This Row],[ADD ACC
(475/950)]]*Table24[[#This Row],[Duration
(A359)]]</f>
        <v>0</v>
      </c>
      <c r="R230" s="307">
        <f>IFERROR(VLOOKUP(Table24[[#This Row],[ROUTE]],PRICING!A:B,2,FALSE),0)</f>
        <v>0</v>
      </c>
      <c r="S230" s="308">
        <f>Table24[[#This Row],[C_DEMAND]]-Table24[[#This Row],[R-DEMAND]]</f>
        <v>0</v>
      </c>
      <c r="T230" s="307">
        <f>Table24[[#This Row],[SEATS SOLD]]*Table24[[#This Row],[ECO SEAT]]</f>
        <v>0</v>
      </c>
      <c r="U230" s="307">
        <f>Table24[[#This Row],[SEATS SOLD]]*(IFERROR(VLOOKUP(Table24[[#This Row],[ROUTE]],PRICING!A:C,3,FALSE),0))</f>
        <v>0</v>
      </c>
      <c r="V230" s="307">
        <f>Table24[[#This Row],[SEAT REV]]-Table24[[#This Row],[SEAT REV
(IF IDEAL $)]]</f>
        <v>0</v>
      </c>
    </row>
    <row r="231" spans="1:22" customFormat="1" x14ac:dyDescent="0.25">
      <c r="A231" s="306" t="s">
        <v>17635</v>
      </c>
      <c r="B231" s="306" t="s">
        <v>4436</v>
      </c>
      <c r="C231" s="306"/>
      <c r="D231" s="26">
        <v>2</v>
      </c>
      <c r="E231" s="312" t="s">
        <v>4434</v>
      </c>
      <c r="F231" s="306" t="str">
        <f>VLOOKUP(Table24[[#This Row],[Country]],Table10[[COUNTRY NAME]:[CONTINENT CODE]],3,FALSE)</f>
        <v>EU</v>
      </c>
      <c r="G231" s="312" t="s">
        <v>11843</v>
      </c>
      <c r="H231" s="309">
        <v>9328</v>
      </c>
      <c r="I231" s="310">
        <v>22.5</v>
      </c>
      <c r="J231" s="307"/>
      <c r="K231" s="307">
        <f>IFERROR(Table24[[#This Row],[ROUTE COST]]/Table24[[#This Row],[O - DEMAND]],0)</f>
        <v>0</v>
      </c>
      <c r="L231" s="306"/>
      <c r="M231" s="310">
        <f>Table24[[#This Row],[O - DEMAND]]/950</f>
        <v>0</v>
      </c>
      <c r="N231" s="306">
        <f>IFERROR(VLOOKUP(Table24[[#This Row],[ROUTE]],DEMAND!A:F,5,FALSE),0)</f>
        <v>0</v>
      </c>
      <c r="O231" s="306">
        <f>IFERROR(VLOOKUP(Table24[[#This Row],[ROUTE]],DEMAND!A:F,6,FALSE),0)</f>
        <v>0</v>
      </c>
      <c r="P231" s="306">
        <f>ROUNDDOWN(Table24[[#This Row],[R-DEMAND]]/950,0)</f>
        <v>0</v>
      </c>
      <c r="Q231" s="306">
        <f>Table24[[#This Row],[ADD ACC
(475/950)]]*Table24[[#This Row],[Duration
(A359)]]</f>
        <v>0</v>
      </c>
      <c r="R231" s="307">
        <f>IFERROR(VLOOKUP(Table24[[#This Row],[ROUTE]],PRICING!A:B,2,FALSE),0)</f>
        <v>0</v>
      </c>
      <c r="S231" s="308">
        <f>Table24[[#This Row],[C_DEMAND]]-Table24[[#This Row],[R-DEMAND]]</f>
        <v>0</v>
      </c>
      <c r="T231" s="307">
        <f>Table24[[#This Row],[SEATS SOLD]]*Table24[[#This Row],[ECO SEAT]]</f>
        <v>0</v>
      </c>
      <c r="U231" s="307">
        <f>Table24[[#This Row],[SEATS SOLD]]*(IFERROR(VLOOKUP(Table24[[#This Row],[ROUTE]],PRICING!A:C,3,FALSE),0))</f>
        <v>0</v>
      </c>
      <c r="V231" s="307">
        <f>Table24[[#This Row],[SEAT REV]]-Table24[[#This Row],[SEAT REV
(IF IDEAL $)]]</f>
        <v>0</v>
      </c>
    </row>
    <row r="232" spans="1:22" customFormat="1" x14ac:dyDescent="0.25">
      <c r="A232" s="306" t="s">
        <v>17637</v>
      </c>
      <c r="B232" s="306" t="s">
        <v>3763</v>
      </c>
      <c r="C232" s="306"/>
      <c r="D232" s="26">
        <v>2</v>
      </c>
      <c r="E232" s="312" t="s">
        <v>597</v>
      </c>
      <c r="F232" s="306" t="str">
        <f>VLOOKUP(Table24[[#This Row],[Country]],Table10[[COUNTRY NAME]:[CONTINENT CODE]],3,FALSE)</f>
        <v>EU</v>
      </c>
      <c r="G232" s="312" t="s">
        <v>11834</v>
      </c>
      <c r="H232" s="309">
        <v>9227</v>
      </c>
      <c r="I232" s="310">
        <v>22.5</v>
      </c>
      <c r="J232" s="307"/>
      <c r="K232" s="307">
        <f>IFERROR(Table24[[#This Row],[ROUTE COST]]/Table24[[#This Row],[O - DEMAND]],0)</f>
        <v>0</v>
      </c>
      <c r="L232" s="306"/>
      <c r="M232" s="310">
        <f>Table24[[#This Row],[O - DEMAND]]/950</f>
        <v>0</v>
      </c>
      <c r="N232" s="306">
        <f>IFERROR(VLOOKUP(Table24[[#This Row],[ROUTE]],DEMAND!A:F,5,FALSE),0)</f>
        <v>0</v>
      </c>
      <c r="O232" s="306">
        <f>IFERROR(VLOOKUP(Table24[[#This Row],[ROUTE]],DEMAND!A:F,6,FALSE),0)</f>
        <v>0</v>
      </c>
      <c r="P232" s="306">
        <f>ROUNDDOWN(Table24[[#This Row],[R-DEMAND]]/950,0)</f>
        <v>0</v>
      </c>
      <c r="Q232" s="306">
        <f>Table24[[#This Row],[ADD ACC
(475/950)]]*Table24[[#This Row],[Duration
(A359)]]</f>
        <v>0</v>
      </c>
      <c r="R232" s="307">
        <f>IFERROR(VLOOKUP(Table24[[#This Row],[ROUTE]],PRICING!A:B,2,FALSE),0)</f>
        <v>0</v>
      </c>
      <c r="S232" s="308">
        <f>Table24[[#This Row],[C_DEMAND]]-Table24[[#This Row],[R-DEMAND]]</f>
        <v>0</v>
      </c>
      <c r="T232" s="307">
        <f>Table24[[#This Row],[SEATS SOLD]]*Table24[[#This Row],[ECO SEAT]]</f>
        <v>0</v>
      </c>
      <c r="U232" s="307">
        <f>Table24[[#This Row],[SEATS SOLD]]*(IFERROR(VLOOKUP(Table24[[#This Row],[ROUTE]],PRICING!A:C,3,FALSE),0))</f>
        <v>0</v>
      </c>
      <c r="V232" s="307">
        <f>Table24[[#This Row],[SEAT REV]]-Table24[[#This Row],[SEAT REV
(IF IDEAL $)]]</f>
        <v>0</v>
      </c>
    </row>
    <row r="233" spans="1:22" customFormat="1" x14ac:dyDescent="0.25">
      <c r="A233" s="306" t="s">
        <v>17636</v>
      </c>
      <c r="B233" s="306" t="s">
        <v>2922</v>
      </c>
      <c r="C233" s="306"/>
      <c r="D233" s="26">
        <v>2</v>
      </c>
      <c r="E233" s="312" t="s">
        <v>597</v>
      </c>
      <c r="F233" s="306" t="str">
        <f>VLOOKUP(Table24[[#This Row],[Country]],Table10[[COUNTRY NAME]:[CONTINENT CODE]],3,FALSE)</f>
        <v>EU</v>
      </c>
      <c r="G233" s="312" t="s">
        <v>11840</v>
      </c>
      <c r="H233" s="309">
        <v>9313</v>
      </c>
      <c r="I233" s="310">
        <v>22.5</v>
      </c>
      <c r="J233" s="307"/>
      <c r="K233" s="307">
        <f>IFERROR(Table24[[#This Row],[ROUTE COST]]/Table24[[#This Row],[O - DEMAND]],0)</f>
        <v>0</v>
      </c>
      <c r="L233" s="306"/>
      <c r="M233" s="310">
        <f>Table24[[#This Row],[O - DEMAND]]/950</f>
        <v>0</v>
      </c>
      <c r="N233" s="306">
        <f>IFERROR(VLOOKUP(Table24[[#This Row],[ROUTE]],DEMAND!A:F,5,FALSE),0)</f>
        <v>0</v>
      </c>
      <c r="O233" s="306">
        <f>IFERROR(VLOOKUP(Table24[[#This Row],[ROUTE]],DEMAND!A:F,6,FALSE),0)</f>
        <v>0</v>
      </c>
      <c r="P233" s="306">
        <f>ROUNDDOWN(Table24[[#This Row],[R-DEMAND]]/950,0)</f>
        <v>0</v>
      </c>
      <c r="Q233" s="306">
        <f>Table24[[#This Row],[ADD ACC
(475/950)]]*Table24[[#This Row],[Duration
(A359)]]</f>
        <v>0</v>
      </c>
      <c r="R233" s="307">
        <f>IFERROR(VLOOKUP(Table24[[#This Row],[ROUTE]],PRICING!A:B,2,FALSE),0)</f>
        <v>0</v>
      </c>
      <c r="S233" s="308">
        <f>Table24[[#This Row],[C_DEMAND]]-Table24[[#This Row],[R-DEMAND]]</f>
        <v>0</v>
      </c>
      <c r="T233" s="307">
        <f>Table24[[#This Row],[SEATS SOLD]]*Table24[[#This Row],[ECO SEAT]]</f>
        <v>0</v>
      </c>
      <c r="U233" s="307">
        <f>Table24[[#This Row],[SEATS SOLD]]*(IFERROR(VLOOKUP(Table24[[#This Row],[ROUTE]],PRICING!A:C,3,FALSE),0))</f>
        <v>0</v>
      </c>
      <c r="V233" s="307">
        <f>Table24[[#This Row],[SEAT REV]]-Table24[[#This Row],[SEAT REV
(IF IDEAL $)]]</f>
        <v>0</v>
      </c>
    </row>
    <row r="234" spans="1:22" customFormat="1" x14ac:dyDescent="0.25">
      <c r="A234" s="306" t="s">
        <v>17121</v>
      </c>
      <c r="B234" s="306" t="s">
        <v>1769</v>
      </c>
      <c r="C234" s="306"/>
      <c r="D234" s="26">
        <v>1</v>
      </c>
      <c r="E234" s="312" t="s">
        <v>11782</v>
      </c>
      <c r="F234" s="306" t="str">
        <f>VLOOKUP(Table24[[#This Row],[Country]],Table10[[COUNTRY NAME]:[CONTINENT CODE]],3,FALSE)</f>
        <v>AF</v>
      </c>
      <c r="G234" s="312" t="s">
        <v>11803</v>
      </c>
      <c r="H234" s="309">
        <v>9228</v>
      </c>
      <c r="I234" s="310">
        <v>22.5</v>
      </c>
      <c r="J234" s="307"/>
      <c r="K234" s="307">
        <f>IFERROR(Table24[[#This Row],[ROUTE COST]]/Table24[[#This Row],[O - DEMAND]],0)</f>
        <v>0</v>
      </c>
      <c r="L234" s="306"/>
      <c r="M234" s="310">
        <f>Table24[[#This Row],[O - DEMAND]]/950</f>
        <v>0</v>
      </c>
      <c r="N234" s="306">
        <f>IFERROR(VLOOKUP(Table24[[#This Row],[ROUTE]],DEMAND!A:F,5,FALSE),0)</f>
        <v>0</v>
      </c>
      <c r="O234" s="306">
        <f>IFERROR(VLOOKUP(Table24[[#This Row],[ROUTE]],DEMAND!A:F,6,FALSE),0)</f>
        <v>0</v>
      </c>
      <c r="P234" s="306">
        <f>ROUNDDOWN(Table24[[#This Row],[R-DEMAND]]/950,0)</f>
        <v>0</v>
      </c>
      <c r="Q234" s="306">
        <f>Table24[[#This Row],[ADD ACC
(475/950)]]*Table24[[#This Row],[Duration
(A359)]]</f>
        <v>0</v>
      </c>
      <c r="R234" s="307">
        <f>IFERROR(VLOOKUP(Table24[[#This Row],[ROUTE]],PRICING!A:B,2,FALSE),0)</f>
        <v>0</v>
      </c>
      <c r="S234" s="308">
        <f>Table24[[#This Row],[C_DEMAND]]-Table24[[#This Row],[R-DEMAND]]</f>
        <v>0</v>
      </c>
      <c r="T234" s="307">
        <f>Table24[[#This Row],[SEATS SOLD]]*Table24[[#This Row],[ECO SEAT]]</f>
        <v>0</v>
      </c>
      <c r="U234" s="307">
        <f>Table24[[#This Row],[SEATS SOLD]]*(IFERROR(VLOOKUP(Table24[[#This Row],[ROUTE]],PRICING!A:C,3,FALSE),0))</f>
        <v>0</v>
      </c>
      <c r="V234" s="307">
        <f>Table24[[#This Row],[SEAT REV]]-Table24[[#This Row],[SEAT REV
(IF IDEAL $)]]</f>
        <v>0</v>
      </c>
    </row>
    <row r="235" spans="1:22" customFormat="1" x14ac:dyDescent="0.25">
      <c r="A235" s="306" t="s">
        <v>17711</v>
      </c>
      <c r="B235" s="306" t="s">
        <v>1961</v>
      </c>
      <c r="C235" s="306"/>
      <c r="D235" s="26">
        <v>1</v>
      </c>
      <c r="E235" s="312" t="s">
        <v>1959</v>
      </c>
      <c r="F235" s="306" t="str">
        <f>VLOOKUP(Table24[[#This Row],[Country]],Table10[[COUNTRY NAME]:[CONTINENT CODE]],3,FALSE)</f>
        <v>EU</v>
      </c>
      <c r="G235" s="312" t="s">
        <v>16881</v>
      </c>
      <c r="H235" s="309">
        <v>9243</v>
      </c>
      <c r="I235" s="310">
        <v>22.5</v>
      </c>
      <c r="J235" s="307"/>
      <c r="K235" s="307">
        <f>IFERROR(Table24[[#This Row],[ROUTE COST]]/Table24[[#This Row],[O - DEMAND]],0)</f>
        <v>0</v>
      </c>
      <c r="L235" s="306"/>
      <c r="M235" s="310">
        <f>Table24[[#This Row],[O - DEMAND]]/950</f>
        <v>0</v>
      </c>
      <c r="N235" s="306">
        <f>IFERROR(VLOOKUP(Table24[[#This Row],[ROUTE]],DEMAND!A:F,5,FALSE),0)</f>
        <v>0</v>
      </c>
      <c r="O235" s="306">
        <f>IFERROR(VLOOKUP(Table24[[#This Row],[ROUTE]],DEMAND!A:F,6,FALSE),0)</f>
        <v>0</v>
      </c>
      <c r="P235" s="306">
        <f>ROUNDDOWN(Table24[[#This Row],[R-DEMAND]]/950,0)</f>
        <v>0</v>
      </c>
      <c r="Q235" s="306">
        <f>Table24[[#This Row],[ADD ACC
(475/950)]]*Table24[[#This Row],[Duration
(A359)]]</f>
        <v>0</v>
      </c>
      <c r="R235" s="307">
        <f>IFERROR(VLOOKUP(Table24[[#This Row],[ROUTE]],PRICING!A:B,2,FALSE),0)</f>
        <v>0</v>
      </c>
      <c r="S235" s="308">
        <f>Table24[[#This Row],[C_DEMAND]]-Table24[[#This Row],[R-DEMAND]]</f>
        <v>0</v>
      </c>
      <c r="T235" s="307">
        <f>Table24[[#This Row],[SEATS SOLD]]*Table24[[#This Row],[ECO SEAT]]</f>
        <v>0</v>
      </c>
      <c r="U235" s="307">
        <f>Table24[[#This Row],[SEATS SOLD]]*(IFERROR(VLOOKUP(Table24[[#This Row],[ROUTE]],PRICING!A:C,3,FALSE),0))</f>
        <v>0</v>
      </c>
      <c r="V235" s="307">
        <f>Table24[[#This Row],[SEAT REV]]-Table24[[#This Row],[SEAT REV
(IF IDEAL $)]]</f>
        <v>0</v>
      </c>
    </row>
    <row r="236" spans="1:22" customFormat="1" x14ac:dyDescent="0.25">
      <c r="A236" s="306" t="s">
        <v>17710</v>
      </c>
      <c r="B236" s="306" t="s">
        <v>930</v>
      </c>
      <c r="C236" s="306"/>
      <c r="D236" s="26">
        <v>1</v>
      </c>
      <c r="E236" s="312" t="s">
        <v>597</v>
      </c>
      <c r="F236" s="306" t="str">
        <f>VLOOKUP(Table24[[#This Row],[Country]],Table10[[COUNTRY NAME]:[CONTINENT CODE]],3,FALSE)</f>
        <v>EU</v>
      </c>
      <c r="G236" s="312" t="s">
        <v>11835</v>
      </c>
      <c r="H236" s="309">
        <v>9286</v>
      </c>
      <c r="I236" s="310">
        <v>22.5</v>
      </c>
      <c r="J236" s="307"/>
      <c r="K236" s="307">
        <f>IFERROR(Table24[[#This Row],[ROUTE COST]]/Table24[[#This Row],[O - DEMAND]],0)</f>
        <v>0</v>
      </c>
      <c r="L236" s="306"/>
      <c r="M236" s="310">
        <f>Table24[[#This Row],[O - DEMAND]]/950</f>
        <v>0</v>
      </c>
      <c r="N236" s="306">
        <f>IFERROR(VLOOKUP(Table24[[#This Row],[ROUTE]],DEMAND!A:F,5,FALSE),0)</f>
        <v>0</v>
      </c>
      <c r="O236" s="306">
        <f>IFERROR(VLOOKUP(Table24[[#This Row],[ROUTE]],DEMAND!A:F,6,FALSE),0)</f>
        <v>0</v>
      </c>
      <c r="P236" s="306">
        <f>ROUNDDOWN(Table24[[#This Row],[R-DEMAND]]/950,0)</f>
        <v>0</v>
      </c>
      <c r="Q236" s="306">
        <f>Table24[[#This Row],[ADD ACC
(475/950)]]*Table24[[#This Row],[Duration
(A359)]]</f>
        <v>0</v>
      </c>
      <c r="R236" s="307">
        <f>IFERROR(VLOOKUP(Table24[[#This Row],[ROUTE]],PRICING!A:B,2,FALSE),0)</f>
        <v>0</v>
      </c>
      <c r="S236" s="308">
        <f>Table24[[#This Row],[C_DEMAND]]-Table24[[#This Row],[R-DEMAND]]</f>
        <v>0</v>
      </c>
      <c r="T236" s="307">
        <f>Table24[[#This Row],[SEATS SOLD]]*Table24[[#This Row],[ECO SEAT]]</f>
        <v>0</v>
      </c>
      <c r="U236" s="307">
        <f>Table24[[#This Row],[SEATS SOLD]]*(IFERROR(VLOOKUP(Table24[[#This Row],[ROUTE]],PRICING!A:C,3,FALSE),0))</f>
        <v>0</v>
      </c>
      <c r="V236" s="307">
        <f>Table24[[#This Row],[SEAT REV]]-Table24[[#This Row],[SEAT REV
(IF IDEAL $)]]</f>
        <v>0</v>
      </c>
    </row>
    <row r="237" spans="1:22" customFormat="1" x14ac:dyDescent="0.25">
      <c r="A237" s="306" t="s">
        <v>17143</v>
      </c>
      <c r="B237" s="306" t="s">
        <v>4349</v>
      </c>
      <c r="C237" s="306"/>
      <c r="D237" s="26">
        <v>2</v>
      </c>
      <c r="E237" s="312" t="s">
        <v>4347</v>
      </c>
      <c r="F237" s="306" t="str">
        <f>VLOOKUP(Table24[[#This Row],[Country]],Table10[[COUNTRY NAME]:[CONTINENT CODE]],3,FALSE)</f>
        <v>AF</v>
      </c>
      <c r="G237" s="312" t="s">
        <v>11784</v>
      </c>
      <c r="H237" s="309">
        <v>9119</v>
      </c>
      <c r="I237" s="310">
        <v>22.25</v>
      </c>
      <c r="J237" s="307"/>
      <c r="K237" s="307">
        <f>IFERROR(Table24[[#This Row],[ROUTE COST]]/Table24[[#This Row],[O - DEMAND]],0)</f>
        <v>0</v>
      </c>
      <c r="L237" s="306"/>
      <c r="M237" s="310">
        <f>Table24[[#This Row],[O - DEMAND]]/950</f>
        <v>0</v>
      </c>
      <c r="N237" s="306">
        <f>IFERROR(VLOOKUP(Table24[[#This Row],[ROUTE]],DEMAND!A:F,5,FALSE),0)</f>
        <v>0</v>
      </c>
      <c r="O237" s="306">
        <f>IFERROR(VLOOKUP(Table24[[#This Row],[ROUTE]],DEMAND!A:F,6,FALSE),0)</f>
        <v>0</v>
      </c>
      <c r="P237" s="306">
        <f>ROUNDDOWN(Table24[[#This Row],[R-DEMAND]]/950,0)</f>
        <v>0</v>
      </c>
      <c r="Q237" s="306">
        <f>Table24[[#This Row],[ADD ACC
(475/950)]]*Table24[[#This Row],[Duration
(A359)]]</f>
        <v>0</v>
      </c>
      <c r="R237" s="307">
        <f>IFERROR(VLOOKUP(Table24[[#This Row],[ROUTE]],PRICING!A:B,2,FALSE),0)</f>
        <v>0</v>
      </c>
      <c r="S237" s="308">
        <f>Table24[[#This Row],[C_DEMAND]]-Table24[[#This Row],[R-DEMAND]]</f>
        <v>0</v>
      </c>
      <c r="T237" s="307">
        <f>Table24[[#This Row],[SEATS SOLD]]*Table24[[#This Row],[ECO SEAT]]</f>
        <v>0</v>
      </c>
      <c r="U237" s="307">
        <f>Table24[[#This Row],[SEATS SOLD]]*(IFERROR(VLOOKUP(Table24[[#This Row],[ROUTE]],PRICING!A:C,3,FALSE),0))</f>
        <v>0</v>
      </c>
      <c r="V237" s="307">
        <f>Table24[[#This Row],[SEAT REV]]-Table24[[#This Row],[SEAT REV
(IF IDEAL $)]]</f>
        <v>0</v>
      </c>
    </row>
    <row r="238" spans="1:22" customFormat="1" x14ac:dyDescent="0.25">
      <c r="A238" s="306" t="s">
        <v>17638</v>
      </c>
      <c r="B238" s="306" t="s">
        <v>2808</v>
      </c>
      <c r="C238" s="306"/>
      <c r="D238" s="26">
        <v>2</v>
      </c>
      <c r="E238" s="312" t="s">
        <v>597</v>
      </c>
      <c r="F238" s="306" t="str">
        <f>VLOOKUP(Table24[[#This Row],[Country]],Table10[[COUNTRY NAME]:[CONTINENT CODE]],3,FALSE)</f>
        <v>EU</v>
      </c>
      <c r="G238" s="312" t="s">
        <v>11828</v>
      </c>
      <c r="H238" s="309">
        <v>9146</v>
      </c>
      <c r="I238" s="310">
        <v>22.25</v>
      </c>
      <c r="J238" s="307"/>
      <c r="K238" s="307">
        <f>IFERROR(Table24[[#This Row],[ROUTE COST]]/Table24[[#This Row],[O - DEMAND]],0)</f>
        <v>0</v>
      </c>
      <c r="L238" s="306"/>
      <c r="M238" s="310">
        <f>Table24[[#This Row],[O - DEMAND]]/950</f>
        <v>0</v>
      </c>
      <c r="N238" s="306">
        <f>IFERROR(VLOOKUP(Table24[[#This Row],[ROUTE]],DEMAND!A:F,5,FALSE),0)</f>
        <v>0</v>
      </c>
      <c r="O238" s="306">
        <f>IFERROR(VLOOKUP(Table24[[#This Row],[ROUTE]],DEMAND!A:F,6,FALSE),0)</f>
        <v>0</v>
      </c>
      <c r="P238" s="306">
        <f>ROUNDDOWN(Table24[[#This Row],[R-DEMAND]]/950,0)</f>
        <v>0</v>
      </c>
      <c r="Q238" s="306">
        <f>Table24[[#This Row],[ADD ACC
(475/950)]]*Table24[[#This Row],[Duration
(A359)]]</f>
        <v>0</v>
      </c>
      <c r="R238" s="307">
        <f>IFERROR(VLOOKUP(Table24[[#This Row],[ROUTE]],PRICING!A:B,2,FALSE),0)</f>
        <v>0</v>
      </c>
      <c r="S238" s="308">
        <f>Table24[[#This Row],[C_DEMAND]]-Table24[[#This Row],[R-DEMAND]]</f>
        <v>0</v>
      </c>
      <c r="T238" s="307">
        <f>Table24[[#This Row],[SEATS SOLD]]*Table24[[#This Row],[ECO SEAT]]</f>
        <v>0</v>
      </c>
      <c r="U238" s="307">
        <f>Table24[[#This Row],[SEATS SOLD]]*(IFERROR(VLOOKUP(Table24[[#This Row],[ROUTE]],PRICING!A:C,3,FALSE),0))</f>
        <v>0</v>
      </c>
      <c r="V238" s="307">
        <f>Table24[[#This Row],[SEAT REV]]-Table24[[#This Row],[SEAT REV
(IF IDEAL $)]]</f>
        <v>0</v>
      </c>
    </row>
    <row r="239" spans="1:22" customFormat="1" x14ac:dyDescent="0.25">
      <c r="A239" s="306" t="s">
        <v>17712</v>
      </c>
      <c r="B239" s="306" t="s">
        <v>1057</v>
      </c>
      <c r="C239" s="306"/>
      <c r="D239" s="26">
        <v>1</v>
      </c>
      <c r="E239" s="312" t="s">
        <v>597</v>
      </c>
      <c r="F239" s="306" t="str">
        <f>VLOOKUP(Table24[[#This Row],[Country]],Table10[[COUNTRY NAME]:[CONTINENT CODE]],3,FALSE)</f>
        <v>EU</v>
      </c>
      <c r="G239" s="312" t="s">
        <v>11830</v>
      </c>
      <c r="H239" s="309">
        <v>9138</v>
      </c>
      <c r="I239" s="310">
        <v>22.25</v>
      </c>
      <c r="J239" s="307"/>
      <c r="K239" s="307">
        <f>IFERROR(Table24[[#This Row],[ROUTE COST]]/Table24[[#This Row],[O - DEMAND]],0)</f>
        <v>0</v>
      </c>
      <c r="L239" s="306"/>
      <c r="M239" s="310">
        <f>Table24[[#This Row],[O - DEMAND]]/950</f>
        <v>0</v>
      </c>
      <c r="N239" s="306">
        <f>IFERROR(VLOOKUP(Table24[[#This Row],[ROUTE]],DEMAND!A:F,5,FALSE),0)</f>
        <v>0</v>
      </c>
      <c r="O239" s="306">
        <f>IFERROR(VLOOKUP(Table24[[#This Row],[ROUTE]],DEMAND!A:F,6,FALSE),0)</f>
        <v>0</v>
      </c>
      <c r="P239" s="306">
        <f>ROUNDDOWN(Table24[[#This Row],[R-DEMAND]]/950,0)</f>
        <v>0</v>
      </c>
      <c r="Q239" s="306">
        <f>Table24[[#This Row],[ADD ACC
(475/950)]]*Table24[[#This Row],[Duration
(A359)]]</f>
        <v>0</v>
      </c>
      <c r="R239" s="307">
        <f>IFERROR(VLOOKUP(Table24[[#This Row],[ROUTE]],PRICING!A:B,2,FALSE),0)</f>
        <v>0</v>
      </c>
      <c r="S239" s="308">
        <f>Table24[[#This Row],[C_DEMAND]]-Table24[[#This Row],[R-DEMAND]]</f>
        <v>0</v>
      </c>
      <c r="T239" s="307">
        <f>Table24[[#This Row],[SEATS SOLD]]*Table24[[#This Row],[ECO SEAT]]</f>
        <v>0</v>
      </c>
      <c r="U239" s="307">
        <f>Table24[[#This Row],[SEATS SOLD]]*(IFERROR(VLOOKUP(Table24[[#This Row],[ROUTE]],PRICING!A:C,3,FALSE),0))</f>
        <v>0</v>
      </c>
      <c r="V239" s="307">
        <f>Table24[[#This Row],[SEAT REV]]-Table24[[#This Row],[SEAT REV
(IF IDEAL $)]]</f>
        <v>0</v>
      </c>
    </row>
    <row r="240" spans="1:22" customFormat="1" x14ac:dyDescent="0.25">
      <c r="A240" s="306" t="s">
        <v>17639</v>
      </c>
      <c r="B240" s="306" t="s">
        <v>2571</v>
      </c>
      <c r="C240" s="306"/>
      <c r="D240" s="26">
        <v>2</v>
      </c>
      <c r="E240" s="312" t="s">
        <v>597</v>
      </c>
      <c r="F240" s="306" t="str">
        <f>VLOOKUP(Table24[[#This Row],[Country]],Table10[[COUNTRY NAME]:[CONTINENT CODE]],3,FALSE)</f>
        <v>EU</v>
      </c>
      <c r="G240" s="312" t="s">
        <v>11827</v>
      </c>
      <c r="H240" s="309">
        <v>9060</v>
      </c>
      <c r="I240" s="310">
        <v>22</v>
      </c>
      <c r="J240" s="307"/>
      <c r="K240" s="307">
        <f>IFERROR(Table24[[#This Row],[ROUTE COST]]/Table24[[#This Row],[O - DEMAND]],0)</f>
        <v>0</v>
      </c>
      <c r="L240" s="306"/>
      <c r="M240" s="310">
        <f>Table24[[#This Row],[O - DEMAND]]/950</f>
        <v>0</v>
      </c>
      <c r="N240" s="306">
        <f>IFERROR(VLOOKUP(Table24[[#This Row],[ROUTE]],DEMAND!A:F,5,FALSE),0)</f>
        <v>0</v>
      </c>
      <c r="O240" s="306">
        <f>IFERROR(VLOOKUP(Table24[[#This Row],[ROUTE]],DEMAND!A:F,6,FALSE),0)</f>
        <v>0</v>
      </c>
      <c r="P240" s="306">
        <f>ROUNDDOWN(Table24[[#This Row],[R-DEMAND]]/950,0)</f>
        <v>0</v>
      </c>
      <c r="Q240" s="306">
        <f>Table24[[#This Row],[ADD ACC
(475/950)]]*Table24[[#This Row],[Duration
(A359)]]</f>
        <v>0</v>
      </c>
      <c r="R240" s="307">
        <f>IFERROR(VLOOKUP(Table24[[#This Row],[ROUTE]],PRICING!A:B,2,FALSE),0)</f>
        <v>0</v>
      </c>
      <c r="S240" s="308">
        <f>Table24[[#This Row],[C_DEMAND]]-Table24[[#This Row],[R-DEMAND]]</f>
        <v>0</v>
      </c>
      <c r="T240" s="307">
        <f>Table24[[#This Row],[SEATS SOLD]]*Table24[[#This Row],[ECO SEAT]]</f>
        <v>0</v>
      </c>
      <c r="U240" s="307">
        <f>Table24[[#This Row],[SEATS SOLD]]*(IFERROR(VLOOKUP(Table24[[#This Row],[ROUTE]],PRICING!A:C,3,FALSE),0))</f>
        <v>0</v>
      </c>
      <c r="V240" s="307">
        <f>Table24[[#This Row],[SEAT REV]]-Table24[[#This Row],[SEAT REV
(IF IDEAL $)]]</f>
        <v>0</v>
      </c>
    </row>
    <row r="241" spans="1:22" customFormat="1" x14ac:dyDescent="0.25">
      <c r="A241" s="306" t="s">
        <v>17641</v>
      </c>
      <c r="B241" s="306" t="s">
        <v>4572</v>
      </c>
      <c r="C241" s="306"/>
      <c r="D241" s="26">
        <v>2</v>
      </c>
      <c r="E241" s="312" t="s">
        <v>1959</v>
      </c>
      <c r="F241" s="306" t="str">
        <f>VLOOKUP(Table24[[#This Row],[Country]],Table10[[COUNTRY NAME]:[CONTINENT CODE]],3,FALSE)</f>
        <v>EU</v>
      </c>
      <c r="G241" s="312" t="s">
        <v>11833</v>
      </c>
      <c r="H241" s="309">
        <v>9004</v>
      </c>
      <c r="I241" s="310">
        <v>22</v>
      </c>
      <c r="J241" s="307"/>
      <c r="K241" s="307">
        <f>IFERROR(Table24[[#This Row],[ROUTE COST]]/Table24[[#This Row],[O - DEMAND]],0)</f>
        <v>0</v>
      </c>
      <c r="L241" s="306"/>
      <c r="M241" s="310">
        <f>Table24[[#This Row],[O - DEMAND]]/950</f>
        <v>0</v>
      </c>
      <c r="N241" s="306">
        <f>IFERROR(VLOOKUP(Table24[[#This Row],[ROUTE]],DEMAND!A:F,5,FALSE),0)</f>
        <v>0</v>
      </c>
      <c r="O241" s="306">
        <f>IFERROR(VLOOKUP(Table24[[#This Row],[ROUTE]],DEMAND!A:F,6,FALSE),0)</f>
        <v>0</v>
      </c>
      <c r="P241" s="306">
        <f>ROUNDDOWN(Table24[[#This Row],[R-DEMAND]]/950,0)</f>
        <v>0</v>
      </c>
      <c r="Q241" s="306">
        <f>Table24[[#This Row],[ADD ACC
(475/950)]]*Table24[[#This Row],[Duration
(A359)]]</f>
        <v>0</v>
      </c>
      <c r="R241" s="307">
        <f>IFERROR(VLOOKUP(Table24[[#This Row],[ROUTE]],PRICING!A:B,2,FALSE),0)</f>
        <v>0</v>
      </c>
      <c r="S241" s="308">
        <f>Table24[[#This Row],[C_DEMAND]]-Table24[[#This Row],[R-DEMAND]]</f>
        <v>0</v>
      </c>
      <c r="T241" s="307">
        <f>Table24[[#This Row],[SEATS SOLD]]*Table24[[#This Row],[ECO SEAT]]</f>
        <v>0</v>
      </c>
      <c r="U241" s="307">
        <f>Table24[[#This Row],[SEATS SOLD]]*(IFERROR(VLOOKUP(Table24[[#This Row],[ROUTE]],PRICING!A:C,3,FALSE),0))</f>
        <v>0</v>
      </c>
      <c r="V241" s="307">
        <f>Table24[[#This Row],[SEAT REV]]-Table24[[#This Row],[SEAT REV
(IF IDEAL $)]]</f>
        <v>0</v>
      </c>
    </row>
    <row r="242" spans="1:22" customFormat="1" x14ac:dyDescent="0.25">
      <c r="A242" s="306" t="s">
        <v>17640</v>
      </c>
      <c r="B242" s="306" t="s">
        <v>105</v>
      </c>
      <c r="C242" s="306"/>
      <c r="D242" s="26">
        <v>2</v>
      </c>
      <c r="E242" s="312" t="s">
        <v>1420</v>
      </c>
      <c r="F242" s="306" t="str">
        <f>VLOOKUP(Table24[[#This Row],[Country]],Table10[[COUNTRY NAME]:[CONTINENT CODE]],3,FALSE)</f>
        <v>EU</v>
      </c>
      <c r="G242" s="312" t="s">
        <v>11829</v>
      </c>
      <c r="H242" s="309">
        <v>9019</v>
      </c>
      <c r="I242" s="310">
        <v>22</v>
      </c>
      <c r="J242" s="307"/>
      <c r="K242" s="307">
        <f>IFERROR(Table24[[#This Row],[ROUTE COST]]/Table24[[#This Row],[O - DEMAND]],0)</f>
        <v>0</v>
      </c>
      <c r="L242" s="306"/>
      <c r="M242" s="310">
        <f>Table24[[#This Row],[O - DEMAND]]/950</f>
        <v>0</v>
      </c>
      <c r="N242" s="306">
        <f>IFERROR(VLOOKUP(Table24[[#This Row],[ROUTE]],DEMAND!A:F,5,FALSE),0)</f>
        <v>0</v>
      </c>
      <c r="O242" s="306">
        <f>IFERROR(VLOOKUP(Table24[[#This Row],[ROUTE]],DEMAND!A:F,6,FALSE),0)</f>
        <v>0</v>
      </c>
      <c r="P242" s="306">
        <f>ROUNDDOWN(Table24[[#This Row],[R-DEMAND]]/950,0)</f>
        <v>0</v>
      </c>
      <c r="Q242" s="306">
        <f>Table24[[#This Row],[ADD ACC
(475/950)]]*Table24[[#This Row],[Duration
(A359)]]</f>
        <v>0</v>
      </c>
      <c r="R242" s="307">
        <f>IFERROR(VLOOKUP(Table24[[#This Row],[ROUTE]],PRICING!A:B,2,FALSE),0)</f>
        <v>0</v>
      </c>
      <c r="S242" s="308">
        <f>Table24[[#This Row],[C_DEMAND]]-Table24[[#This Row],[R-DEMAND]]</f>
        <v>0</v>
      </c>
      <c r="T242" s="307">
        <f>Table24[[#This Row],[SEATS SOLD]]*Table24[[#This Row],[ECO SEAT]]</f>
        <v>0</v>
      </c>
      <c r="U242" s="307">
        <f>Table24[[#This Row],[SEATS SOLD]]*(IFERROR(VLOOKUP(Table24[[#This Row],[ROUTE]],PRICING!A:C,3,FALSE),0))</f>
        <v>0</v>
      </c>
      <c r="V242" s="307">
        <f>Table24[[#This Row],[SEAT REV]]-Table24[[#This Row],[SEAT REV
(IF IDEAL $)]]</f>
        <v>0</v>
      </c>
    </row>
    <row r="243" spans="1:22" customFormat="1" x14ac:dyDescent="0.25">
      <c r="A243" s="306" t="s">
        <v>17713</v>
      </c>
      <c r="B243" s="306" t="s">
        <v>1653</v>
      </c>
      <c r="C243" s="306"/>
      <c r="D243" s="26">
        <v>1</v>
      </c>
      <c r="E243" s="312" t="s">
        <v>78</v>
      </c>
      <c r="F243" s="306" t="str">
        <f>VLOOKUP(Table24[[#This Row],[Country]],Table10[[COUNTRY NAME]:[CONTINENT CODE]],3,FALSE)</f>
        <v>EU</v>
      </c>
      <c r="G243" s="312" t="s">
        <v>11836</v>
      </c>
      <c r="H243" s="309">
        <v>9050</v>
      </c>
      <c r="I243" s="310">
        <v>22</v>
      </c>
      <c r="J243" s="307"/>
      <c r="K243" s="307">
        <f>IFERROR(Table24[[#This Row],[ROUTE COST]]/Table24[[#This Row],[O - DEMAND]],0)</f>
        <v>0</v>
      </c>
      <c r="L243" s="306"/>
      <c r="M243" s="310">
        <f>Table24[[#This Row],[O - DEMAND]]/950</f>
        <v>0</v>
      </c>
      <c r="N243" s="306">
        <f>IFERROR(VLOOKUP(Table24[[#This Row],[ROUTE]],DEMAND!A:F,5,FALSE),0)</f>
        <v>0</v>
      </c>
      <c r="O243" s="306">
        <f>IFERROR(VLOOKUP(Table24[[#This Row],[ROUTE]],DEMAND!A:F,6,FALSE),0)</f>
        <v>0</v>
      </c>
      <c r="P243" s="306">
        <f>ROUNDDOWN(Table24[[#This Row],[R-DEMAND]]/950,0)</f>
        <v>0</v>
      </c>
      <c r="Q243" s="306">
        <f>Table24[[#This Row],[ADD ACC
(475/950)]]*Table24[[#This Row],[Duration
(A359)]]</f>
        <v>0</v>
      </c>
      <c r="R243" s="307">
        <f>IFERROR(VLOOKUP(Table24[[#This Row],[ROUTE]],PRICING!A:B,2,FALSE),0)</f>
        <v>0</v>
      </c>
      <c r="S243" s="308">
        <f>Table24[[#This Row],[C_DEMAND]]-Table24[[#This Row],[R-DEMAND]]</f>
        <v>0</v>
      </c>
      <c r="T243" s="307">
        <f>Table24[[#This Row],[SEATS SOLD]]*Table24[[#This Row],[ECO SEAT]]</f>
        <v>0</v>
      </c>
      <c r="U243" s="307">
        <f>Table24[[#This Row],[SEATS SOLD]]*(IFERROR(VLOOKUP(Table24[[#This Row],[ROUTE]],PRICING!A:C,3,FALSE),0))</f>
        <v>0</v>
      </c>
      <c r="V243" s="307">
        <f>Table24[[#This Row],[SEAT REV]]-Table24[[#This Row],[SEAT REV
(IF IDEAL $)]]</f>
        <v>0</v>
      </c>
    </row>
    <row r="244" spans="1:22" customFormat="1" x14ac:dyDescent="0.25">
      <c r="A244" s="306" t="s">
        <v>17532</v>
      </c>
      <c r="B244" s="306" t="s">
        <v>204</v>
      </c>
      <c r="C244" s="306"/>
      <c r="D244" s="26">
        <v>3</v>
      </c>
      <c r="E244" s="312" t="s">
        <v>78</v>
      </c>
      <c r="F244" s="306" t="str">
        <f>VLOOKUP(Table24[[#This Row],[Country]],Table10[[COUNTRY NAME]:[CONTINENT CODE]],3,FALSE)</f>
        <v>EU</v>
      </c>
      <c r="G244" s="312" t="s">
        <v>11832</v>
      </c>
      <c r="H244" s="309">
        <v>8910</v>
      </c>
      <c r="I244" s="310">
        <v>21.75</v>
      </c>
      <c r="J244" s="307"/>
      <c r="K244" s="307">
        <f>IFERROR(Table24[[#This Row],[ROUTE COST]]/Table24[[#This Row],[O - DEMAND]],0)</f>
        <v>0</v>
      </c>
      <c r="L244" s="306"/>
      <c r="M244" s="310">
        <f>Table24[[#This Row],[O - DEMAND]]/950</f>
        <v>0</v>
      </c>
      <c r="N244" s="306">
        <f>IFERROR(VLOOKUP(Table24[[#This Row],[ROUTE]],DEMAND!A:F,5,FALSE),0)</f>
        <v>0</v>
      </c>
      <c r="O244" s="306">
        <f>IFERROR(VLOOKUP(Table24[[#This Row],[ROUTE]],DEMAND!A:F,6,FALSE),0)</f>
        <v>0</v>
      </c>
      <c r="P244" s="306">
        <f>ROUNDDOWN(Table24[[#This Row],[R-DEMAND]]/950,0)</f>
        <v>0</v>
      </c>
      <c r="Q244" s="306">
        <f>Table24[[#This Row],[ADD ACC
(475/950)]]*Table24[[#This Row],[Duration
(A359)]]</f>
        <v>0</v>
      </c>
      <c r="R244" s="307">
        <f>IFERROR(VLOOKUP(Table24[[#This Row],[ROUTE]],PRICING!A:B,2,FALSE),0)</f>
        <v>0</v>
      </c>
      <c r="S244" s="308">
        <f>Table24[[#This Row],[C_DEMAND]]-Table24[[#This Row],[R-DEMAND]]</f>
        <v>0</v>
      </c>
      <c r="T244" s="307">
        <f>Table24[[#This Row],[SEATS SOLD]]*Table24[[#This Row],[ECO SEAT]]</f>
        <v>0</v>
      </c>
      <c r="U244" s="307">
        <f>Table24[[#This Row],[SEATS SOLD]]*(IFERROR(VLOOKUP(Table24[[#This Row],[ROUTE]],PRICING!A:C,3,FALSE),0))</f>
        <v>0</v>
      </c>
      <c r="V244" s="307">
        <f>Table24[[#This Row],[SEAT REV]]-Table24[[#This Row],[SEAT REV
(IF IDEAL $)]]</f>
        <v>0</v>
      </c>
    </row>
    <row r="245" spans="1:22" customFormat="1" x14ac:dyDescent="0.25">
      <c r="A245" s="306" t="s">
        <v>17138</v>
      </c>
      <c r="B245" s="306" t="s">
        <v>3618</v>
      </c>
      <c r="C245" s="306"/>
      <c r="D245" s="26">
        <v>2</v>
      </c>
      <c r="E245" s="312" t="s">
        <v>3616</v>
      </c>
      <c r="F245" s="306" t="str">
        <f>VLOOKUP(Table24[[#This Row],[Country]],Table10[[COUNTRY NAME]:[CONTINENT CODE]],3,FALSE)</f>
        <v>AF</v>
      </c>
      <c r="G245" s="312" t="s">
        <v>11776</v>
      </c>
      <c r="H245" s="309">
        <v>8929</v>
      </c>
      <c r="I245" s="310">
        <v>21.75</v>
      </c>
      <c r="J245" s="307"/>
      <c r="K245" s="307">
        <f>IFERROR(Table24[[#This Row],[ROUTE COST]]/Table24[[#This Row],[O - DEMAND]],0)</f>
        <v>0</v>
      </c>
      <c r="L245" s="306"/>
      <c r="M245" s="310">
        <f>Table24[[#This Row],[O - DEMAND]]/950</f>
        <v>0</v>
      </c>
      <c r="N245" s="306">
        <f>IFERROR(VLOOKUP(Table24[[#This Row],[ROUTE]],DEMAND!A:F,5,FALSE),0)</f>
        <v>0</v>
      </c>
      <c r="O245" s="306">
        <f>IFERROR(VLOOKUP(Table24[[#This Row],[ROUTE]],DEMAND!A:F,6,FALSE),0)</f>
        <v>0</v>
      </c>
      <c r="P245" s="306">
        <f>ROUNDDOWN(Table24[[#This Row],[R-DEMAND]]/950,0)</f>
        <v>0</v>
      </c>
      <c r="Q245" s="306">
        <f>Table24[[#This Row],[ADD ACC
(475/950)]]*Table24[[#This Row],[Duration
(A359)]]</f>
        <v>0</v>
      </c>
      <c r="R245" s="307">
        <f>IFERROR(VLOOKUP(Table24[[#This Row],[ROUTE]],PRICING!A:B,2,FALSE),0)</f>
        <v>0</v>
      </c>
      <c r="S245" s="308">
        <f>Table24[[#This Row],[C_DEMAND]]-Table24[[#This Row],[R-DEMAND]]</f>
        <v>0</v>
      </c>
      <c r="T245" s="307">
        <f>Table24[[#This Row],[SEATS SOLD]]*Table24[[#This Row],[ECO SEAT]]</f>
        <v>0</v>
      </c>
      <c r="U245" s="307">
        <f>Table24[[#This Row],[SEATS SOLD]]*(IFERROR(VLOOKUP(Table24[[#This Row],[ROUTE]],PRICING!A:C,3,FALSE),0))</f>
        <v>0</v>
      </c>
      <c r="V245" s="307">
        <f>Table24[[#This Row],[SEAT REV]]-Table24[[#This Row],[SEAT REV
(IF IDEAL $)]]</f>
        <v>0</v>
      </c>
    </row>
    <row r="246" spans="1:22" customFormat="1" x14ac:dyDescent="0.25">
      <c r="A246" s="306" t="s">
        <v>17643</v>
      </c>
      <c r="B246" s="306" t="s">
        <v>2702</v>
      </c>
      <c r="C246" s="306"/>
      <c r="D246" s="26">
        <v>2</v>
      </c>
      <c r="E246" s="312" t="s">
        <v>722</v>
      </c>
      <c r="F246" s="306" t="str">
        <f>VLOOKUP(Table24[[#This Row],[Country]],Table10[[COUNTRY NAME]:[CONTINENT CODE]],3,FALSE)</f>
        <v>EU</v>
      </c>
      <c r="G246" s="312" t="s">
        <v>16883</v>
      </c>
      <c r="H246" s="309">
        <v>8958</v>
      </c>
      <c r="I246" s="310">
        <v>21.75</v>
      </c>
      <c r="J246" s="307"/>
      <c r="K246" s="307">
        <f>IFERROR(Table24[[#This Row],[ROUTE COST]]/Table24[[#This Row],[O - DEMAND]],0)</f>
        <v>0</v>
      </c>
      <c r="L246" s="306"/>
      <c r="M246" s="310">
        <f>Table24[[#This Row],[O - DEMAND]]/950</f>
        <v>0</v>
      </c>
      <c r="N246" s="306">
        <f>IFERROR(VLOOKUP(Table24[[#This Row],[ROUTE]],DEMAND!A:F,5,FALSE),0)</f>
        <v>0</v>
      </c>
      <c r="O246" s="306">
        <f>IFERROR(VLOOKUP(Table24[[#This Row],[ROUTE]],DEMAND!A:F,6,FALSE),0)</f>
        <v>0</v>
      </c>
      <c r="P246" s="306">
        <f>ROUNDDOWN(Table24[[#This Row],[R-DEMAND]]/950,0)</f>
        <v>0</v>
      </c>
      <c r="Q246" s="306">
        <f>Table24[[#This Row],[ADD ACC
(475/950)]]*Table24[[#This Row],[Duration
(A359)]]</f>
        <v>0</v>
      </c>
      <c r="R246" s="307">
        <f>IFERROR(VLOOKUP(Table24[[#This Row],[ROUTE]],PRICING!A:B,2,FALSE),0)</f>
        <v>0</v>
      </c>
      <c r="S246" s="308">
        <f>Table24[[#This Row],[C_DEMAND]]-Table24[[#This Row],[R-DEMAND]]</f>
        <v>0</v>
      </c>
      <c r="T246" s="307">
        <f>Table24[[#This Row],[SEATS SOLD]]*Table24[[#This Row],[ECO SEAT]]</f>
        <v>0</v>
      </c>
      <c r="U246" s="307">
        <f>Table24[[#This Row],[SEATS SOLD]]*(IFERROR(VLOOKUP(Table24[[#This Row],[ROUTE]],PRICING!A:C,3,FALSE),0))</f>
        <v>0</v>
      </c>
      <c r="V246" s="307">
        <f>Table24[[#This Row],[SEAT REV]]-Table24[[#This Row],[SEAT REV
(IF IDEAL $)]]</f>
        <v>0</v>
      </c>
    </row>
    <row r="247" spans="1:22" customFormat="1" x14ac:dyDescent="0.25">
      <c r="A247" s="306" t="s">
        <v>17642</v>
      </c>
      <c r="B247" s="306" t="s">
        <v>3543</v>
      </c>
      <c r="C247" s="306"/>
      <c r="D247" s="26">
        <v>2</v>
      </c>
      <c r="E247" s="312" t="s">
        <v>597</v>
      </c>
      <c r="F247" s="306" t="str">
        <f>VLOOKUP(Table24[[#This Row],[Country]],Table10[[COUNTRY NAME]:[CONTINENT CODE]],3,FALSE)</f>
        <v>EU</v>
      </c>
      <c r="G247" s="312" t="s">
        <v>11825</v>
      </c>
      <c r="H247" s="309">
        <v>8981</v>
      </c>
      <c r="I247" s="310">
        <v>21.75</v>
      </c>
      <c r="J247" s="307"/>
      <c r="K247" s="307">
        <f>IFERROR(Table24[[#This Row],[ROUTE COST]]/Table24[[#This Row],[O - DEMAND]],0)</f>
        <v>0</v>
      </c>
      <c r="L247" s="306"/>
      <c r="M247" s="310">
        <f>Table24[[#This Row],[O - DEMAND]]/950</f>
        <v>0</v>
      </c>
      <c r="N247" s="306">
        <f>IFERROR(VLOOKUP(Table24[[#This Row],[ROUTE]],DEMAND!A:F,5,FALSE),0)</f>
        <v>0</v>
      </c>
      <c r="O247" s="306">
        <f>IFERROR(VLOOKUP(Table24[[#This Row],[ROUTE]],DEMAND!A:F,6,FALSE),0)</f>
        <v>0</v>
      </c>
      <c r="P247" s="306">
        <f>ROUNDDOWN(Table24[[#This Row],[R-DEMAND]]/950,0)</f>
        <v>0</v>
      </c>
      <c r="Q247" s="306">
        <f>Table24[[#This Row],[ADD ACC
(475/950)]]*Table24[[#This Row],[Duration
(A359)]]</f>
        <v>0</v>
      </c>
      <c r="R247" s="307">
        <f>IFERROR(VLOOKUP(Table24[[#This Row],[ROUTE]],PRICING!A:B,2,FALSE),0)</f>
        <v>0</v>
      </c>
      <c r="S247" s="308">
        <f>Table24[[#This Row],[C_DEMAND]]-Table24[[#This Row],[R-DEMAND]]</f>
        <v>0</v>
      </c>
      <c r="T247" s="307">
        <f>Table24[[#This Row],[SEATS SOLD]]*Table24[[#This Row],[ECO SEAT]]</f>
        <v>0</v>
      </c>
      <c r="U247" s="307">
        <f>Table24[[#This Row],[SEATS SOLD]]*(IFERROR(VLOOKUP(Table24[[#This Row],[ROUTE]],PRICING!A:C,3,FALSE),0))</f>
        <v>0</v>
      </c>
      <c r="V247" s="307">
        <f>Table24[[#This Row],[SEAT REV]]-Table24[[#This Row],[SEAT REV
(IF IDEAL $)]]</f>
        <v>0</v>
      </c>
    </row>
    <row r="248" spans="1:22" customFormat="1" x14ac:dyDescent="0.25">
      <c r="A248" s="306" t="s">
        <v>17714</v>
      </c>
      <c r="B248" s="306" t="s">
        <v>706</v>
      </c>
      <c r="C248" s="306"/>
      <c r="D248" s="26">
        <v>1</v>
      </c>
      <c r="E248" s="312" t="s">
        <v>597</v>
      </c>
      <c r="F248" s="306" t="str">
        <f>VLOOKUP(Table24[[#This Row],[Country]],Table10[[COUNTRY NAME]:[CONTINENT CODE]],3,FALSE)</f>
        <v>EU</v>
      </c>
      <c r="G248" s="312" t="s">
        <v>16882</v>
      </c>
      <c r="H248" s="309">
        <v>8975</v>
      </c>
      <c r="I248" s="310">
        <v>21.75</v>
      </c>
      <c r="J248" s="307"/>
      <c r="K248" s="307">
        <f>IFERROR(Table24[[#This Row],[ROUTE COST]]/Table24[[#This Row],[O - DEMAND]],0)</f>
        <v>0</v>
      </c>
      <c r="L248" s="306"/>
      <c r="M248" s="310">
        <f>Table24[[#This Row],[O - DEMAND]]/950</f>
        <v>0</v>
      </c>
      <c r="N248" s="306">
        <f>IFERROR(VLOOKUP(Table24[[#This Row],[ROUTE]],DEMAND!A:F,5,FALSE),0)</f>
        <v>0</v>
      </c>
      <c r="O248" s="306">
        <f>IFERROR(VLOOKUP(Table24[[#This Row],[ROUTE]],DEMAND!A:F,6,FALSE),0)</f>
        <v>0</v>
      </c>
      <c r="P248" s="306">
        <f>ROUNDDOWN(Table24[[#This Row],[R-DEMAND]]/950,0)</f>
        <v>0</v>
      </c>
      <c r="Q248" s="306">
        <f>Table24[[#This Row],[ADD ACC
(475/950)]]*Table24[[#This Row],[Duration
(A359)]]</f>
        <v>0</v>
      </c>
      <c r="R248" s="307">
        <f>IFERROR(VLOOKUP(Table24[[#This Row],[ROUTE]],PRICING!A:B,2,FALSE),0)</f>
        <v>0</v>
      </c>
      <c r="S248" s="308">
        <f>Table24[[#This Row],[C_DEMAND]]-Table24[[#This Row],[R-DEMAND]]</f>
        <v>0</v>
      </c>
      <c r="T248" s="307">
        <f>Table24[[#This Row],[SEATS SOLD]]*Table24[[#This Row],[ECO SEAT]]</f>
        <v>0</v>
      </c>
      <c r="U248" s="307">
        <f>Table24[[#This Row],[SEATS SOLD]]*(IFERROR(VLOOKUP(Table24[[#This Row],[ROUTE]],PRICING!A:C,3,FALSE),0))</f>
        <v>0</v>
      </c>
      <c r="V248" s="307">
        <f>Table24[[#This Row],[SEAT REV]]-Table24[[#This Row],[SEAT REV
(IF IDEAL $)]]</f>
        <v>0</v>
      </c>
    </row>
    <row r="249" spans="1:22" customFormat="1" x14ac:dyDescent="0.25">
      <c r="A249" s="306" t="s">
        <v>17715</v>
      </c>
      <c r="B249" s="306" t="s">
        <v>2203</v>
      </c>
      <c r="C249" s="306"/>
      <c r="D249" s="26">
        <v>1</v>
      </c>
      <c r="E249" s="312" t="s">
        <v>13126</v>
      </c>
      <c r="F249" s="306" t="str">
        <f>VLOOKUP(Table24[[#This Row],[Country]],Table10[[COUNTRY NAME]:[CONTINENT CODE]],3,FALSE)</f>
        <v>EU</v>
      </c>
      <c r="G249" s="312" t="s">
        <v>16884</v>
      </c>
      <c r="H249" s="309">
        <v>8908</v>
      </c>
      <c r="I249" s="310">
        <v>21.75</v>
      </c>
      <c r="J249" s="307"/>
      <c r="K249" s="307">
        <f>IFERROR(Table24[[#This Row],[ROUTE COST]]/Table24[[#This Row],[O - DEMAND]],0)</f>
        <v>0</v>
      </c>
      <c r="L249" s="306"/>
      <c r="M249" s="310">
        <f>Table24[[#This Row],[O - DEMAND]]/950</f>
        <v>0</v>
      </c>
      <c r="N249" s="306">
        <f>IFERROR(VLOOKUP(Table24[[#This Row],[ROUTE]],DEMAND!A:F,5,FALSE),0)</f>
        <v>0</v>
      </c>
      <c r="O249" s="306">
        <f>IFERROR(VLOOKUP(Table24[[#This Row],[ROUTE]],DEMAND!A:F,6,FALSE),0)</f>
        <v>0</v>
      </c>
      <c r="P249" s="306">
        <f>ROUNDDOWN(Table24[[#This Row],[R-DEMAND]]/950,0)</f>
        <v>0</v>
      </c>
      <c r="Q249" s="306">
        <f>Table24[[#This Row],[ADD ACC
(475/950)]]*Table24[[#This Row],[Duration
(A359)]]</f>
        <v>0</v>
      </c>
      <c r="R249" s="307">
        <f>IFERROR(VLOOKUP(Table24[[#This Row],[ROUTE]],PRICING!A:B,2,FALSE),0)</f>
        <v>0</v>
      </c>
      <c r="S249" s="308">
        <f>Table24[[#This Row],[C_DEMAND]]-Table24[[#This Row],[R-DEMAND]]</f>
        <v>0</v>
      </c>
      <c r="T249" s="307">
        <f>Table24[[#This Row],[SEATS SOLD]]*Table24[[#This Row],[ECO SEAT]]</f>
        <v>0</v>
      </c>
      <c r="U249" s="307">
        <f>Table24[[#This Row],[SEATS SOLD]]*(IFERROR(VLOOKUP(Table24[[#This Row],[ROUTE]],PRICING!A:C,3,FALSE),0))</f>
        <v>0</v>
      </c>
      <c r="V249" s="307">
        <f>Table24[[#This Row],[SEAT REV]]-Table24[[#This Row],[SEAT REV
(IF IDEAL $)]]</f>
        <v>0</v>
      </c>
    </row>
    <row r="250" spans="1:22" customFormat="1" x14ac:dyDescent="0.25">
      <c r="A250" s="306" t="s">
        <v>17533</v>
      </c>
      <c r="B250" s="306" t="s">
        <v>4933</v>
      </c>
      <c r="C250" s="306"/>
      <c r="D250" s="26">
        <v>3</v>
      </c>
      <c r="E250" s="312" t="s">
        <v>4931</v>
      </c>
      <c r="F250" s="306" t="str">
        <f>VLOOKUP(Table24[[#This Row],[Country]],Table10[[COUNTRY NAME]:[CONTINENT CODE]],3,FALSE)</f>
        <v>EU</v>
      </c>
      <c r="G250" s="312" t="s">
        <v>16886</v>
      </c>
      <c r="H250" s="309">
        <v>8819</v>
      </c>
      <c r="I250" s="310">
        <v>21.5</v>
      </c>
      <c r="J250" s="307"/>
      <c r="K250" s="307">
        <f>IFERROR(Table24[[#This Row],[ROUTE COST]]/Table24[[#This Row],[O - DEMAND]],0)</f>
        <v>0</v>
      </c>
      <c r="L250" s="306"/>
      <c r="M250" s="310">
        <f>Table24[[#This Row],[O - DEMAND]]/950</f>
        <v>0</v>
      </c>
      <c r="N250" s="306">
        <f>IFERROR(VLOOKUP(Table24[[#This Row],[ROUTE]],DEMAND!A:F,5,FALSE),0)</f>
        <v>0</v>
      </c>
      <c r="O250" s="306">
        <f>IFERROR(VLOOKUP(Table24[[#This Row],[ROUTE]],DEMAND!A:F,6,FALSE),0)</f>
        <v>0</v>
      </c>
      <c r="P250" s="306">
        <f>ROUNDDOWN(Table24[[#This Row],[R-DEMAND]]/950,0)</f>
        <v>0</v>
      </c>
      <c r="Q250" s="306">
        <f>Table24[[#This Row],[ADD ACC
(475/950)]]*Table24[[#This Row],[Duration
(A359)]]</f>
        <v>0</v>
      </c>
      <c r="R250" s="307">
        <f>IFERROR(VLOOKUP(Table24[[#This Row],[ROUTE]],PRICING!A:B,2,FALSE),0)</f>
        <v>0</v>
      </c>
      <c r="S250" s="308">
        <f>Table24[[#This Row],[C_DEMAND]]-Table24[[#This Row],[R-DEMAND]]</f>
        <v>0</v>
      </c>
      <c r="T250" s="307">
        <f>Table24[[#This Row],[SEATS SOLD]]*Table24[[#This Row],[ECO SEAT]]</f>
        <v>0</v>
      </c>
      <c r="U250" s="307">
        <f>Table24[[#This Row],[SEATS SOLD]]*(IFERROR(VLOOKUP(Table24[[#This Row],[ROUTE]],PRICING!A:C,3,FALSE),0))</f>
        <v>0</v>
      </c>
      <c r="V250" s="307">
        <f>Table24[[#This Row],[SEAT REV]]-Table24[[#This Row],[SEAT REV
(IF IDEAL $)]]</f>
        <v>0</v>
      </c>
    </row>
    <row r="251" spans="1:22" customFormat="1" x14ac:dyDescent="0.25">
      <c r="A251" s="306" t="s">
        <v>17644</v>
      </c>
      <c r="B251" s="306" t="s">
        <v>4422</v>
      </c>
      <c r="C251" s="306"/>
      <c r="D251" s="26">
        <v>2</v>
      </c>
      <c r="E251" s="312" t="s">
        <v>722</v>
      </c>
      <c r="F251" s="306" t="str">
        <f>VLOOKUP(Table24[[#This Row],[Country]],Table10[[COUNTRY NAME]:[CONTINENT CODE]],3,FALSE)</f>
        <v>EU</v>
      </c>
      <c r="G251" s="312" t="s">
        <v>16885</v>
      </c>
      <c r="H251" s="309">
        <v>8877</v>
      </c>
      <c r="I251" s="310">
        <v>21.5</v>
      </c>
      <c r="J251" s="307"/>
      <c r="K251" s="307">
        <f>IFERROR(Table24[[#This Row],[ROUTE COST]]/Table24[[#This Row],[O - DEMAND]],0)</f>
        <v>0</v>
      </c>
      <c r="L251" s="306"/>
      <c r="M251" s="310">
        <f>Table24[[#This Row],[O - DEMAND]]/950</f>
        <v>0</v>
      </c>
      <c r="N251" s="306">
        <f>IFERROR(VLOOKUP(Table24[[#This Row],[ROUTE]],DEMAND!A:F,5,FALSE),0)</f>
        <v>0</v>
      </c>
      <c r="O251" s="306">
        <f>IFERROR(VLOOKUP(Table24[[#This Row],[ROUTE]],DEMAND!A:F,6,FALSE),0)</f>
        <v>0</v>
      </c>
      <c r="P251" s="306">
        <f>ROUNDDOWN(Table24[[#This Row],[R-DEMAND]]/950,0)</f>
        <v>0</v>
      </c>
      <c r="Q251" s="306">
        <f>Table24[[#This Row],[ADD ACC
(475/950)]]*Table24[[#This Row],[Duration
(A359)]]</f>
        <v>0</v>
      </c>
      <c r="R251" s="307">
        <f>IFERROR(VLOOKUP(Table24[[#This Row],[ROUTE]],PRICING!A:B,2,FALSE),0)</f>
        <v>0</v>
      </c>
      <c r="S251" s="308">
        <f>Table24[[#This Row],[C_DEMAND]]-Table24[[#This Row],[R-DEMAND]]</f>
        <v>0</v>
      </c>
      <c r="T251" s="307">
        <f>Table24[[#This Row],[SEATS SOLD]]*Table24[[#This Row],[ECO SEAT]]</f>
        <v>0</v>
      </c>
      <c r="U251" s="307">
        <f>Table24[[#This Row],[SEATS SOLD]]*(IFERROR(VLOOKUP(Table24[[#This Row],[ROUTE]],PRICING!A:C,3,FALSE),0))</f>
        <v>0</v>
      </c>
      <c r="V251" s="307">
        <f>Table24[[#This Row],[SEAT REV]]-Table24[[#This Row],[SEAT REV
(IF IDEAL $)]]</f>
        <v>0</v>
      </c>
    </row>
    <row r="252" spans="1:22" customFormat="1" x14ac:dyDescent="0.25">
      <c r="A252" s="306" t="s">
        <v>17645</v>
      </c>
      <c r="B252" s="306" t="s">
        <v>4535</v>
      </c>
      <c r="C252" s="306"/>
      <c r="D252" s="26">
        <v>2</v>
      </c>
      <c r="E252" s="312" t="s">
        <v>1420</v>
      </c>
      <c r="F252" s="306" t="str">
        <f>VLOOKUP(Table24[[#This Row],[Country]],Table10[[COUNTRY NAME]:[CONTINENT CODE]],3,FALSE)</f>
        <v>EU</v>
      </c>
      <c r="G252" s="312" t="s">
        <v>11820</v>
      </c>
      <c r="H252" s="309">
        <v>8814</v>
      </c>
      <c r="I252" s="310">
        <v>21.5</v>
      </c>
      <c r="J252" s="307"/>
      <c r="K252" s="307">
        <f>IFERROR(Table24[[#This Row],[ROUTE COST]]/Table24[[#This Row],[O - DEMAND]],0)</f>
        <v>0</v>
      </c>
      <c r="L252" s="306"/>
      <c r="M252" s="310">
        <f>Table24[[#This Row],[O - DEMAND]]/950</f>
        <v>0</v>
      </c>
      <c r="N252" s="306">
        <f>IFERROR(VLOOKUP(Table24[[#This Row],[ROUTE]],DEMAND!A:F,5,FALSE),0)</f>
        <v>0</v>
      </c>
      <c r="O252" s="306">
        <f>IFERROR(VLOOKUP(Table24[[#This Row],[ROUTE]],DEMAND!A:F,6,FALSE),0)</f>
        <v>0</v>
      </c>
      <c r="P252" s="306">
        <f>ROUNDDOWN(Table24[[#This Row],[R-DEMAND]]/950,0)</f>
        <v>0</v>
      </c>
      <c r="Q252" s="306">
        <f>Table24[[#This Row],[ADD ACC
(475/950)]]*Table24[[#This Row],[Duration
(A359)]]</f>
        <v>0</v>
      </c>
      <c r="R252" s="307">
        <f>IFERROR(VLOOKUP(Table24[[#This Row],[ROUTE]],PRICING!A:B,2,FALSE),0)</f>
        <v>0</v>
      </c>
      <c r="S252" s="308">
        <f>Table24[[#This Row],[C_DEMAND]]-Table24[[#This Row],[R-DEMAND]]</f>
        <v>0</v>
      </c>
      <c r="T252" s="307">
        <f>Table24[[#This Row],[SEATS SOLD]]*Table24[[#This Row],[ECO SEAT]]</f>
        <v>0</v>
      </c>
      <c r="U252" s="307">
        <f>Table24[[#This Row],[SEATS SOLD]]*(IFERROR(VLOOKUP(Table24[[#This Row],[ROUTE]],PRICING!A:C,3,FALSE),0))</f>
        <v>0</v>
      </c>
      <c r="V252" s="307">
        <f>Table24[[#This Row],[SEAT REV]]-Table24[[#This Row],[SEAT REV
(IF IDEAL $)]]</f>
        <v>0</v>
      </c>
    </row>
    <row r="253" spans="1:22" customFormat="1" x14ac:dyDescent="0.25">
      <c r="A253" s="306" t="s">
        <v>17536</v>
      </c>
      <c r="B253" s="306" t="s">
        <v>4856</v>
      </c>
      <c r="C253" s="306"/>
      <c r="D253" s="26">
        <v>3</v>
      </c>
      <c r="E253" s="312" t="s">
        <v>308</v>
      </c>
      <c r="F253" s="306" t="str">
        <f>VLOOKUP(Table24[[#This Row],[Country]],Table10[[COUNTRY NAME]:[CONTINENT CODE]],3,FALSE)</f>
        <v>EU</v>
      </c>
      <c r="G253" s="312" t="s">
        <v>16888</v>
      </c>
      <c r="H253" s="309">
        <v>8697</v>
      </c>
      <c r="I253" s="310">
        <v>21.25</v>
      </c>
      <c r="J253" s="307"/>
      <c r="K253" s="307">
        <f>IFERROR(Table24[[#This Row],[ROUTE COST]]/Table24[[#This Row],[O - DEMAND]],0)</f>
        <v>0</v>
      </c>
      <c r="L253" s="306"/>
      <c r="M253" s="310">
        <f>Table24[[#This Row],[O - DEMAND]]/950</f>
        <v>0</v>
      </c>
      <c r="N253" s="306">
        <f>IFERROR(VLOOKUP(Table24[[#This Row],[ROUTE]],DEMAND!A:F,5,FALSE),0)</f>
        <v>0</v>
      </c>
      <c r="O253" s="306">
        <f>IFERROR(VLOOKUP(Table24[[#This Row],[ROUTE]],DEMAND!A:F,6,FALSE),0)</f>
        <v>0</v>
      </c>
      <c r="P253" s="306">
        <f>ROUNDDOWN(Table24[[#This Row],[R-DEMAND]]/950,0)</f>
        <v>0</v>
      </c>
      <c r="Q253" s="306">
        <f>Table24[[#This Row],[ADD ACC
(475/950)]]*Table24[[#This Row],[Duration
(A359)]]</f>
        <v>0</v>
      </c>
      <c r="R253" s="307">
        <f>IFERROR(VLOOKUP(Table24[[#This Row],[ROUTE]],PRICING!A:B,2,FALSE),0)</f>
        <v>0</v>
      </c>
      <c r="S253" s="308">
        <f>Table24[[#This Row],[C_DEMAND]]-Table24[[#This Row],[R-DEMAND]]</f>
        <v>0</v>
      </c>
      <c r="T253" s="307">
        <f>Table24[[#This Row],[SEATS SOLD]]*Table24[[#This Row],[ECO SEAT]]</f>
        <v>0</v>
      </c>
      <c r="U253" s="307">
        <f>Table24[[#This Row],[SEATS SOLD]]*(IFERROR(VLOOKUP(Table24[[#This Row],[ROUTE]],PRICING!A:C,3,FALSE),0))</f>
        <v>0</v>
      </c>
      <c r="V253" s="307">
        <f>Table24[[#This Row],[SEAT REV]]-Table24[[#This Row],[SEAT REV
(IF IDEAL $)]]</f>
        <v>0</v>
      </c>
    </row>
    <row r="254" spans="1:22" customFormat="1" x14ac:dyDescent="0.25">
      <c r="A254" s="306" t="s">
        <v>17874</v>
      </c>
      <c r="B254" s="306" t="s">
        <v>5095</v>
      </c>
      <c r="C254" s="306"/>
      <c r="D254" s="26">
        <v>3</v>
      </c>
      <c r="E254" s="312" t="s">
        <v>11732</v>
      </c>
      <c r="F254" s="306" t="str">
        <f>VLOOKUP(Table24[[#This Row],[Country]],Table10[[COUNTRY NAME]:[CONTINENT CODE]],3,FALSE)</f>
        <v>NA - US</v>
      </c>
      <c r="G254" s="312" t="s">
        <v>11765</v>
      </c>
      <c r="H254" s="309">
        <v>8696</v>
      </c>
      <c r="I254" s="310">
        <v>21.25</v>
      </c>
      <c r="J254" s="307"/>
      <c r="K254" s="307">
        <f>IFERROR(Table24[[#This Row],[ROUTE COST]]/Table24[[#This Row],[O - DEMAND]],0)</f>
        <v>0</v>
      </c>
      <c r="L254" s="306"/>
      <c r="M254" s="310">
        <f>Table24[[#This Row],[O - DEMAND]]/950</f>
        <v>0</v>
      </c>
      <c r="N254" s="306">
        <f>IFERROR(VLOOKUP(Table24[[#This Row],[ROUTE]],DEMAND!A:F,5,FALSE),0)</f>
        <v>0</v>
      </c>
      <c r="O254" s="306">
        <f>IFERROR(VLOOKUP(Table24[[#This Row],[ROUTE]],DEMAND!A:F,6,FALSE),0)</f>
        <v>0</v>
      </c>
      <c r="P254" s="306">
        <f>ROUNDDOWN(Table24[[#This Row],[R-DEMAND]]/950,0)</f>
        <v>0</v>
      </c>
      <c r="Q254" s="306">
        <f>Table24[[#This Row],[ADD ACC
(475/950)]]*Table24[[#This Row],[Duration
(A359)]]</f>
        <v>0</v>
      </c>
      <c r="R254" s="307">
        <f>IFERROR(VLOOKUP(Table24[[#This Row],[ROUTE]],PRICING!A:B,2,FALSE),0)</f>
        <v>0</v>
      </c>
      <c r="S254" s="308">
        <f>Table24[[#This Row],[C_DEMAND]]-Table24[[#This Row],[R-DEMAND]]</f>
        <v>0</v>
      </c>
      <c r="T254" s="307">
        <f>Table24[[#This Row],[SEATS SOLD]]*Table24[[#This Row],[ECO SEAT]]</f>
        <v>0</v>
      </c>
      <c r="U254" s="307">
        <f>Table24[[#This Row],[SEATS SOLD]]*(IFERROR(VLOOKUP(Table24[[#This Row],[ROUTE]],PRICING!A:C,3,FALSE),0))</f>
        <v>0</v>
      </c>
      <c r="V254" s="307">
        <f>Table24[[#This Row],[SEAT REV]]-Table24[[#This Row],[SEAT REV
(IF IDEAL $)]]</f>
        <v>0</v>
      </c>
    </row>
    <row r="255" spans="1:22" customFormat="1" x14ac:dyDescent="0.25">
      <c r="A255" s="306" t="s">
        <v>17649</v>
      </c>
      <c r="B255" s="306" t="s">
        <v>3551</v>
      </c>
      <c r="C255" s="306"/>
      <c r="D255" s="26">
        <v>2</v>
      </c>
      <c r="E255" s="312" t="s">
        <v>807</v>
      </c>
      <c r="F255" s="306" t="str">
        <f>VLOOKUP(Table24[[#This Row],[Country]],Table10[[COUNTRY NAME]:[CONTINENT CODE]],3,FALSE)</f>
        <v>EU</v>
      </c>
      <c r="G255" s="312" t="s">
        <v>9001</v>
      </c>
      <c r="H255" s="309">
        <v>8671</v>
      </c>
      <c r="I255" s="310">
        <v>21.25</v>
      </c>
      <c r="J255" s="307"/>
      <c r="K255" s="307">
        <f>IFERROR(Table24[[#This Row],[ROUTE COST]]/Table24[[#This Row],[O - DEMAND]],0)</f>
        <v>0</v>
      </c>
      <c r="L255" s="306"/>
      <c r="M255" s="310">
        <f>Table24[[#This Row],[O - DEMAND]]/950</f>
        <v>0</v>
      </c>
      <c r="N255" s="306">
        <f>IFERROR(VLOOKUP(Table24[[#This Row],[ROUTE]],DEMAND!A:F,5,FALSE),0)</f>
        <v>0</v>
      </c>
      <c r="O255" s="306">
        <f>IFERROR(VLOOKUP(Table24[[#This Row],[ROUTE]],DEMAND!A:F,6,FALSE),0)</f>
        <v>0</v>
      </c>
      <c r="P255" s="306">
        <f>ROUNDDOWN(Table24[[#This Row],[R-DEMAND]]/950,0)</f>
        <v>0</v>
      </c>
      <c r="Q255" s="306">
        <f>Table24[[#This Row],[ADD ACC
(475/950)]]*Table24[[#This Row],[Duration
(A359)]]</f>
        <v>0</v>
      </c>
      <c r="R255" s="307">
        <f>IFERROR(VLOOKUP(Table24[[#This Row],[ROUTE]],PRICING!A:B,2,FALSE),0)</f>
        <v>0</v>
      </c>
      <c r="S255" s="308">
        <f>Table24[[#This Row],[C_DEMAND]]-Table24[[#This Row],[R-DEMAND]]</f>
        <v>0</v>
      </c>
      <c r="T255" s="307">
        <f>Table24[[#This Row],[SEATS SOLD]]*Table24[[#This Row],[ECO SEAT]]</f>
        <v>0</v>
      </c>
      <c r="U255" s="307">
        <f>Table24[[#This Row],[SEATS SOLD]]*(IFERROR(VLOOKUP(Table24[[#This Row],[ROUTE]],PRICING!A:C,3,FALSE),0))</f>
        <v>0</v>
      </c>
      <c r="V255" s="307">
        <f>Table24[[#This Row],[SEAT REV]]-Table24[[#This Row],[SEAT REV
(IF IDEAL $)]]</f>
        <v>0</v>
      </c>
    </row>
    <row r="256" spans="1:22" customFormat="1" x14ac:dyDescent="0.25">
      <c r="A256" s="306" t="s">
        <v>17648</v>
      </c>
      <c r="B256" s="306" t="s">
        <v>4168</v>
      </c>
      <c r="C256" s="306"/>
      <c r="D256" s="26">
        <v>2</v>
      </c>
      <c r="E256" s="312" t="s">
        <v>3980</v>
      </c>
      <c r="F256" s="306" t="str">
        <f>VLOOKUP(Table24[[#This Row],[Country]],Table10[[COUNTRY NAME]:[CONTINENT CODE]],3,FALSE)</f>
        <v>EU</v>
      </c>
      <c r="G256" s="312" t="s">
        <v>7135</v>
      </c>
      <c r="H256" s="309">
        <v>8711</v>
      </c>
      <c r="I256" s="310">
        <v>21.25</v>
      </c>
      <c r="J256" s="307"/>
      <c r="K256" s="307">
        <f>IFERROR(Table24[[#This Row],[ROUTE COST]]/Table24[[#This Row],[O - DEMAND]],0)</f>
        <v>0</v>
      </c>
      <c r="L256" s="306"/>
      <c r="M256" s="310">
        <f>Table24[[#This Row],[O - DEMAND]]/950</f>
        <v>0</v>
      </c>
      <c r="N256" s="306">
        <f>IFERROR(VLOOKUP(Table24[[#This Row],[ROUTE]],DEMAND!A:F,5,FALSE),0)</f>
        <v>0</v>
      </c>
      <c r="O256" s="306">
        <f>IFERROR(VLOOKUP(Table24[[#This Row],[ROUTE]],DEMAND!A:F,6,FALSE),0)</f>
        <v>0</v>
      </c>
      <c r="P256" s="306">
        <f>ROUNDDOWN(Table24[[#This Row],[R-DEMAND]]/950,0)</f>
        <v>0</v>
      </c>
      <c r="Q256" s="306">
        <f>Table24[[#This Row],[ADD ACC
(475/950)]]*Table24[[#This Row],[Duration
(A359)]]</f>
        <v>0</v>
      </c>
      <c r="R256" s="307">
        <f>IFERROR(VLOOKUP(Table24[[#This Row],[ROUTE]],PRICING!A:B,2,FALSE),0)</f>
        <v>0</v>
      </c>
      <c r="S256" s="308">
        <f>Table24[[#This Row],[C_DEMAND]]-Table24[[#This Row],[R-DEMAND]]</f>
        <v>0</v>
      </c>
      <c r="T256" s="307">
        <f>Table24[[#This Row],[SEATS SOLD]]*Table24[[#This Row],[ECO SEAT]]</f>
        <v>0</v>
      </c>
      <c r="U256" s="307">
        <f>Table24[[#This Row],[SEATS SOLD]]*(IFERROR(VLOOKUP(Table24[[#This Row],[ROUTE]],PRICING!A:C,3,FALSE),0))</f>
        <v>0</v>
      </c>
      <c r="V256" s="307">
        <f>Table24[[#This Row],[SEAT REV]]-Table24[[#This Row],[SEAT REV
(IF IDEAL $)]]</f>
        <v>0</v>
      </c>
    </row>
    <row r="257" spans="1:22" customFormat="1" x14ac:dyDescent="0.25">
      <c r="A257" s="306" t="s">
        <v>17729</v>
      </c>
      <c r="B257" s="306" t="s">
        <v>4651</v>
      </c>
      <c r="C257" s="306"/>
      <c r="D257" s="26"/>
      <c r="E257" s="312" t="s">
        <v>1117</v>
      </c>
      <c r="F257" s="306" t="str">
        <f>VLOOKUP(Table24[[#This Row],[Country]],Table10[[COUNTRY NAME]:[CONTINENT CODE]],3,FALSE)</f>
        <v>EU</v>
      </c>
      <c r="G257" s="312" t="s">
        <v>10122</v>
      </c>
      <c r="H257" s="309">
        <v>8670</v>
      </c>
      <c r="I257" s="310">
        <v>21.25</v>
      </c>
      <c r="J257" s="307"/>
      <c r="K257" s="307">
        <f>IFERROR(Table24[[#This Row],[ROUTE COST]]/Table24[[#This Row],[O - DEMAND]],0)</f>
        <v>0</v>
      </c>
      <c r="L257" s="306"/>
      <c r="M257" s="310">
        <f>Table24[[#This Row],[O - DEMAND]]/950</f>
        <v>0</v>
      </c>
      <c r="N257" s="306">
        <f>IFERROR(VLOOKUP(Table24[[#This Row],[ROUTE]],DEMAND!A:F,5,FALSE),0)</f>
        <v>0</v>
      </c>
      <c r="O257" s="306">
        <f>IFERROR(VLOOKUP(Table24[[#This Row],[ROUTE]],DEMAND!A:F,6,FALSE),0)</f>
        <v>0</v>
      </c>
      <c r="P257" s="306">
        <f>ROUNDDOWN(Table24[[#This Row],[R-DEMAND]]/950,0)</f>
        <v>0</v>
      </c>
      <c r="Q257" s="306">
        <f>Table24[[#This Row],[ADD ACC
(475/950)]]*Table24[[#This Row],[Duration
(A359)]]</f>
        <v>0</v>
      </c>
      <c r="R257" s="307">
        <f>IFERROR(VLOOKUP(Table24[[#This Row],[ROUTE]],PRICING!A:B,2,FALSE),0)</f>
        <v>0</v>
      </c>
      <c r="S257" s="308">
        <f>Table24[[#This Row],[C_DEMAND]]-Table24[[#This Row],[R-DEMAND]]</f>
        <v>0</v>
      </c>
      <c r="T257" s="307">
        <f>Table24[[#This Row],[SEATS SOLD]]*Table24[[#This Row],[ECO SEAT]]</f>
        <v>0</v>
      </c>
      <c r="U257" s="307">
        <f>Table24[[#This Row],[SEATS SOLD]]*(IFERROR(VLOOKUP(Table24[[#This Row],[ROUTE]],PRICING!A:C,3,FALSE),0))</f>
        <v>0</v>
      </c>
      <c r="V257" s="307">
        <f>Table24[[#This Row],[SEAT REV]]-Table24[[#This Row],[SEAT REV
(IF IDEAL $)]]</f>
        <v>0</v>
      </c>
    </row>
    <row r="258" spans="1:22" customFormat="1" x14ac:dyDescent="0.25">
      <c r="A258" s="306" t="s">
        <v>17728</v>
      </c>
      <c r="B258" s="306" t="s">
        <v>3999</v>
      </c>
      <c r="C258" s="306"/>
      <c r="D258" s="26"/>
      <c r="E258" s="312" t="s">
        <v>508</v>
      </c>
      <c r="F258" s="306" t="str">
        <f>VLOOKUP(Table24[[#This Row],[Country]],Table10[[COUNTRY NAME]:[CONTINENT CODE]],3,FALSE)</f>
        <v>EU</v>
      </c>
      <c r="G258" s="312" t="s">
        <v>11822</v>
      </c>
      <c r="H258" s="309">
        <v>8724</v>
      </c>
      <c r="I258" s="310">
        <v>21.25</v>
      </c>
      <c r="J258" s="307"/>
      <c r="K258" s="307">
        <f>IFERROR(Table24[[#This Row],[ROUTE COST]]/Table24[[#This Row],[O - DEMAND]],0)</f>
        <v>0</v>
      </c>
      <c r="L258" s="306"/>
      <c r="M258" s="310">
        <f>Table24[[#This Row],[O - DEMAND]]/950</f>
        <v>0</v>
      </c>
      <c r="N258" s="306">
        <f>IFERROR(VLOOKUP(Table24[[#This Row],[ROUTE]],DEMAND!A:F,5,FALSE),0)</f>
        <v>0</v>
      </c>
      <c r="O258" s="306">
        <f>IFERROR(VLOOKUP(Table24[[#This Row],[ROUTE]],DEMAND!A:F,6,FALSE),0)</f>
        <v>0</v>
      </c>
      <c r="P258" s="306">
        <f>ROUNDDOWN(Table24[[#This Row],[R-DEMAND]]/950,0)</f>
        <v>0</v>
      </c>
      <c r="Q258" s="306">
        <f>Table24[[#This Row],[ADD ACC
(475/950)]]*Table24[[#This Row],[Duration
(A359)]]</f>
        <v>0</v>
      </c>
      <c r="R258" s="307">
        <f>IFERROR(VLOOKUP(Table24[[#This Row],[ROUTE]],PRICING!A:B,2,FALSE),0)</f>
        <v>0</v>
      </c>
      <c r="S258" s="308">
        <f>Table24[[#This Row],[C_DEMAND]]-Table24[[#This Row],[R-DEMAND]]</f>
        <v>0</v>
      </c>
      <c r="T258" s="307">
        <f>Table24[[#This Row],[SEATS SOLD]]*Table24[[#This Row],[ECO SEAT]]</f>
        <v>0</v>
      </c>
      <c r="U258" s="307">
        <f>Table24[[#This Row],[SEATS SOLD]]*(IFERROR(VLOOKUP(Table24[[#This Row],[ROUTE]],PRICING!A:C,3,FALSE),0))</f>
        <v>0</v>
      </c>
      <c r="V258" s="307">
        <f>Table24[[#This Row],[SEAT REV]]-Table24[[#This Row],[SEAT REV
(IF IDEAL $)]]</f>
        <v>0</v>
      </c>
    </row>
    <row r="259" spans="1:22" customFormat="1" x14ac:dyDescent="0.25">
      <c r="A259" s="306" t="s">
        <v>17651</v>
      </c>
      <c r="B259" s="306" t="s">
        <v>2639</v>
      </c>
      <c r="C259" s="306"/>
      <c r="D259" s="26">
        <v>2</v>
      </c>
      <c r="E259" s="312" t="s">
        <v>807</v>
      </c>
      <c r="F259" s="306" t="str">
        <f>VLOOKUP(Table24[[#This Row],[Country]],Table10[[COUNTRY NAME]:[CONTINENT CODE]],3,FALSE)</f>
        <v>EU</v>
      </c>
      <c r="G259" s="312" t="s">
        <v>9141</v>
      </c>
      <c r="H259" s="309">
        <v>8587</v>
      </c>
      <c r="I259" s="310">
        <v>21</v>
      </c>
      <c r="J259" s="307"/>
      <c r="K259" s="307">
        <f>IFERROR(Table24[[#This Row],[ROUTE COST]]/Table24[[#This Row],[O - DEMAND]],0)</f>
        <v>0</v>
      </c>
      <c r="L259" s="306"/>
      <c r="M259" s="310">
        <f>Table24[[#This Row],[O - DEMAND]]/950</f>
        <v>0</v>
      </c>
      <c r="N259" s="306">
        <f>IFERROR(VLOOKUP(Table24[[#This Row],[ROUTE]],DEMAND!A:F,5,FALSE),0)</f>
        <v>0</v>
      </c>
      <c r="O259" s="306">
        <f>IFERROR(VLOOKUP(Table24[[#This Row],[ROUTE]],DEMAND!A:F,6,FALSE),0)</f>
        <v>0</v>
      </c>
      <c r="P259" s="306">
        <f>ROUNDDOWN(Table24[[#This Row],[R-DEMAND]]/950,0)</f>
        <v>0</v>
      </c>
      <c r="Q259" s="306">
        <f>Table24[[#This Row],[ADD ACC
(475/950)]]*Table24[[#This Row],[Duration
(A359)]]</f>
        <v>0</v>
      </c>
      <c r="R259" s="307">
        <f>IFERROR(VLOOKUP(Table24[[#This Row],[ROUTE]],PRICING!A:B,2,FALSE),0)</f>
        <v>0</v>
      </c>
      <c r="S259" s="308">
        <f>Table24[[#This Row],[C_DEMAND]]-Table24[[#This Row],[R-DEMAND]]</f>
        <v>0</v>
      </c>
      <c r="T259" s="307">
        <f>Table24[[#This Row],[SEATS SOLD]]*Table24[[#This Row],[ECO SEAT]]</f>
        <v>0</v>
      </c>
      <c r="U259" s="307">
        <f>Table24[[#This Row],[SEATS SOLD]]*(IFERROR(VLOOKUP(Table24[[#This Row],[ROUTE]],PRICING!A:C,3,FALSE),0))</f>
        <v>0</v>
      </c>
      <c r="V259" s="307">
        <f>Table24[[#This Row],[SEAT REV]]-Table24[[#This Row],[SEAT REV
(IF IDEAL $)]]</f>
        <v>0</v>
      </c>
    </row>
    <row r="260" spans="1:22" customFormat="1" x14ac:dyDescent="0.25">
      <c r="A260" s="306" t="s">
        <v>17650</v>
      </c>
      <c r="B260" s="306" t="s">
        <v>4066</v>
      </c>
      <c r="C260" s="306"/>
      <c r="D260" s="26">
        <v>2</v>
      </c>
      <c r="E260" s="312" t="s">
        <v>656</v>
      </c>
      <c r="F260" s="306" t="str">
        <f>VLOOKUP(Table24[[#This Row],[Country]],Table10[[COUNTRY NAME]:[CONTINENT CODE]],3,FALSE)</f>
        <v>EU</v>
      </c>
      <c r="G260" s="312" t="s">
        <v>16889</v>
      </c>
      <c r="H260" s="309">
        <v>8641</v>
      </c>
      <c r="I260" s="310">
        <v>21</v>
      </c>
      <c r="J260" s="307"/>
      <c r="K260" s="307">
        <f>IFERROR(Table24[[#This Row],[ROUTE COST]]/Table24[[#This Row],[O - DEMAND]],0)</f>
        <v>0</v>
      </c>
      <c r="L260" s="306"/>
      <c r="M260" s="310">
        <f>Table24[[#This Row],[O - DEMAND]]/950</f>
        <v>0</v>
      </c>
      <c r="N260" s="306">
        <f>IFERROR(VLOOKUP(Table24[[#This Row],[ROUTE]],DEMAND!A:F,5,FALSE),0)</f>
        <v>0</v>
      </c>
      <c r="O260" s="306">
        <f>IFERROR(VLOOKUP(Table24[[#This Row],[ROUTE]],DEMAND!A:F,6,FALSE),0)</f>
        <v>0</v>
      </c>
      <c r="P260" s="306">
        <f>ROUNDDOWN(Table24[[#This Row],[R-DEMAND]]/950,0)</f>
        <v>0</v>
      </c>
      <c r="Q260" s="306">
        <f>Table24[[#This Row],[ADD ACC
(475/950)]]*Table24[[#This Row],[Duration
(A359)]]</f>
        <v>0</v>
      </c>
      <c r="R260" s="307">
        <f>IFERROR(VLOOKUP(Table24[[#This Row],[ROUTE]],PRICING!A:B,2,FALSE),0)</f>
        <v>0</v>
      </c>
      <c r="S260" s="308">
        <f>Table24[[#This Row],[C_DEMAND]]-Table24[[#This Row],[R-DEMAND]]</f>
        <v>0</v>
      </c>
      <c r="T260" s="307">
        <f>Table24[[#This Row],[SEATS SOLD]]*Table24[[#This Row],[ECO SEAT]]</f>
        <v>0</v>
      </c>
      <c r="U260" s="307">
        <f>Table24[[#This Row],[SEATS SOLD]]*(IFERROR(VLOOKUP(Table24[[#This Row],[ROUTE]],PRICING!A:C,3,FALSE),0))</f>
        <v>0</v>
      </c>
      <c r="V260" s="307">
        <f>Table24[[#This Row],[SEAT REV]]-Table24[[#This Row],[SEAT REV
(IF IDEAL $)]]</f>
        <v>0</v>
      </c>
    </row>
    <row r="261" spans="1:22" customFormat="1" x14ac:dyDescent="0.25">
      <c r="A261" s="306" t="s">
        <v>17716</v>
      </c>
      <c r="B261" s="306" t="s">
        <v>510</v>
      </c>
      <c r="C261" s="306"/>
      <c r="D261" s="26">
        <v>1</v>
      </c>
      <c r="E261" s="312" t="s">
        <v>508</v>
      </c>
      <c r="F261" s="306" t="str">
        <f>VLOOKUP(Table24[[#This Row],[Country]],Table10[[COUNTRY NAME]:[CONTINENT CODE]],3,FALSE)</f>
        <v>EU</v>
      </c>
      <c r="G261" s="312" t="s">
        <v>11816</v>
      </c>
      <c r="H261" s="309">
        <v>8654</v>
      </c>
      <c r="I261" s="310">
        <v>21</v>
      </c>
      <c r="J261" s="307"/>
      <c r="K261" s="307">
        <f>IFERROR(Table24[[#This Row],[ROUTE COST]]/Table24[[#This Row],[O - DEMAND]],0)</f>
        <v>0</v>
      </c>
      <c r="L261" s="306"/>
      <c r="M261" s="310">
        <f>Table24[[#This Row],[O - DEMAND]]/950</f>
        <v>0</v>
      </c>
      <c r="N261" s="306">
        <f>IFERROR(VLOOKUP(Table24[[#This Row],[ROUTE]],DEMAND!A:F,5,FALSE),0)</f>
        <v>0</v>
      </c>
      <c r="O261" s="306">
        <f>IFERROR(VLOOKUP(Table24[[#This Row],[ROUTE]],DEMAND!A:F,6,FALSE),0)</f>
        <v>0</v>
      </c>
      <c r="P261" s="306">
        <f>ROUNDDOWN(Table24[[#This Row],[R-DEMAND]]/950,0)</f>
        <v>0</v>
      </c>
      <c r="Q261" s="306">
        <f>Table24[[#This Row],[ADD ACC
(475/950)]]*Table24[[#This Row],[Duration
(A359)]]</f>
        <v>0</v>
      </c>
      <c r="R261" s="307">
        <f>IFERROR(VLOOKUP(Table24[[#This Row],[ROUTE]],PRICING!A:B,2,FALSE),0)</f>
        <v>0</v>
      </c>
      <c r="S261" s="308">
        <f>Table24[[#This Row],[C_DEMAND]]-Table24[[#This Row],[R-DEMAND]]</f>
        <v>0</v>
      </c>
      <c r="T261" s="307">
        <f>Table24[[#This Row],[SEATS SOLD]]*Table24[[#This Row],[ECO SEAT]]</f>
        <v>0</v>
      </c>
      <c r="U261" s="307">
        <f>Table24[[#This Row],[SEATS SOLD]]*(IFERROR(VLOOKUP(Table24[[#This Row],[ROUTE]],PRICING!A:C,3,FALSE),0))</f>
        <v>0</v>
      </c>
      <c r="V261" s="307">
        <f>Table24[[#This Row],[SEAT REV]]-Table24[[#This Row],[SEAT REV
(IF IDEAL $)]]</f>
        <v>0</v>
      </c>
    </row>
    <row r="262" spans="1:22" customFormat="1" x14ac:dyDescent="0.25">
      <c r="A262" s="306" t="s">
        <v>17717</v>
      </c>
      <c r="B262" s="306" t="s">
        <v>2286</v>
      </c>
      <c r="C262" s="306"/>
      <c r="D262" s="26">
        <v>1</v>
      </c>
      <c r="E262" s="312" t="s">
        <v>659</v>
      </c>
      <c r="F262" s="306" t="str">
        <f>VLOOKUP(Table24[[#This Row],[Country]],Table10[[COUNTRY NAME]:[CONTINENT CODE]],3,FALSE)</f>
        <v>EU</v>
      </c>
      <c r="G262" s="312" t="s">
        <v>16890</v>
      </c>
      <c r="H262" s="309">
        <v>8640</v>
      </c>
      <c r="I262" s="310">
        <v>21</v>
      </c>
      <c r="J262" s="307"/>
      <c r="K262" s="307">
        <f>IFERROR(Table24[[#This Row],[ROUTE COST]]/Table24[[#This Row],[O - DEMAND]],0)</f>
        <v>0</v>
      </c>
      <c r="L262" s="306"/>
      <c r="M262" s="310">
        <f>Table24[[#This Row],[O - DEMAND]]/950</f>
        <v>0</v>
      </c>
      <c r="N262" s="306">
        <f>IFERROR(VLOOKUP(Table24[[#This Row],[ROUTE]],DEMAND!A:F,5,FALSE),0)</f>
        <v>0</v>
      </c>
      <c r="O262" s="306">
        <f>IFERROR(VLOOKUP(Table24[[#This Row],[ROUTE]],DEMAND!A:F,6,FALSE),0)</f>
        <v>0</v>
      </c>
      <c r="P262" s="306">
        <f>ROUNDDOWN(Table24[[#This Row],[R-DEMAND]]/950,0)</f>
        <v>0</v>
      </c>
      <c r="Q262" s="306">
        <f>Table24[[#This Row],[ADD ACC
(475/950)]]*Table24[[#This Row],[Duration
(A359)]]</f>
        <v>0</v>
      </c>
      <c r="R262" s="307">
        <f>IFERROR(VLOOKUP(Table24[[#This Row],[ROUTE]],PRICING!A:B,2,FALSE),0)</f>
        <v>0</v>
      </c>
      <c r="S262" s="308">
        <f>Table24[[#This Row],[C_DEMAND]]-Table24[[#This Row],[R-DEMAND]]</f>
        <v>0</v>
      </c>
      <c r="T262" s="307">
        <f>Table24[[#This Row],[SEATS SOLD]]*Table24[[#This Row],[ECO SEAT]]</f>
        <v>0</v>
      </c>
      <c r="U262" s="307">
        <f>Table24[[#This Row],[SEATS SOLD]]*(IFERROR(VLOOKUP(Table24[[#This Row],[ROUTE]],PRICING!A:C,3,FALSE),0))</f>
        <v>0</v>
      </c>
      <c r="V262" s="307">
        <f>Table24[[#This Row],[SEAT REV]]-Table24[[#This Row],[SEAT REV
(IF IDEAL $)]]</f>
        <v>0</v>
      </c>
    </row>
    <row r="263" spans="1:22" customFormat="1" x14ac:dyDescent="0.25">
      <c r="A263" s="306" t="s">
        <v>17657</v>
      </c>
      <c r="B263" s="306" t="s">
        <v>2700</v>
      </c>
      <c r="C263" s="306"/>
      <c r="D263" s="26">
        <v>2</v>
      </c>
      <c r="E263" s="312" t="s">
        <v>807</v>
      </c>
      <c r="F263" s="306" t="str">
        <f>VLOOKUP(Table24[[#This Row],[Country]],Table10[[COUNTRY NAME]:[CONTINENT CODE]],3,FALSE)</f>
        <v>EU</v>
      </c>
      <c r="G263" s="312" t="s">
        <v>16894</v>
      </c>
      <c r="H263" s="309">
        <v>8440</v>
      </c>
      <c r="I263" s="310">
        <v>20.75</v>
      </c>
      <c r="J263" s="307"/>
      <c r="K263" s="307">
        <f>IFERROR(Table24[[#This Row],[ROUTE COST]]/Table24[[#This Row],[O - DEMAND]],0)</f>
        <v>0</v>
      </c>
      <c r="L263" s="306"/>
      <c r="M263" s="310">
        <f>Table24[[#This Row],[O - DEMAND]]/950</f>
        <v>0</v>
      </c>
      <c r="N263" s="306">
        <f>IFERROR(VLOOKUP(Table24[[#This Row],[ROUTE]],DEMAND!A:F,5,FALSE),0)</f>
        <v>0</v>
      </c>
      <c r="O263" s="306">
        <f>IFERROR(VLOOKUP(Table24[[#This Row],[ROUTE]],DEMAND!A:F,6,FALSE),0)</f>
        <v>0</v>
      </c>
      <c r="P263" s="306">
        <f>ROUNDDOWN(Table24[[#This Row],[R-DEMAND]]/950,0)</f>
        <v>0</v>
      </c>
      <c r="Q263" s="306">
        <f>Table24[[#This Row],[ADD ACC
(475/950)]]*Table24[[#This Row],[Duration
(A359)]]</f>
        <v>0</v>
      </c>
      <c r="R263" s="307">
        <f>IFERROR(VLOOKUP(Table24[[#This Row],[ROUTE]],PRICING!A:B,2,FALSE),0)</f>
        <v>0</v>
      </c>
      <c r="S263" s="308">
        <f>Table24[[#This Row],[C_DEMAND]]-Table24[[#This Row],[R-DEMAND]]</f>
        <v>0</v>
      </c>
      <c r="T263" s="307">
        <f>Table24[[#This Row],[SEATS SOLD]]*Table24[[#This Row],[ECO SEAT]]</f>
        <v>0</v>
      </c>
      <c r="U263" s="307">
        <f>Table24[[#This Row],[SEATS SOLD]]*(IFERROR(VLOOKUP(Table24[[#This Row],[ROUTE]],PRICING!A:C,3,FALSE),0))</f>
        <v>0</v>
      </c>
      <c r="V263" s="307">
        <f>Table24[[#This Row],[SEAT REV]]-Table24[[#This Row],[SEAT REV
(IF IDEAL $)]]</f>
        <v>0</v>
      </c>
    </row>
    <row r="264" spans="1:22" customFormat="1" x14ac:dyDescent="0.25">
      <c r="A264" s="306" t="s">
        <v>17655</v>
      </c>
      <c r="B264" s="306" t="s">
        <v>3576</v>
      </c>
      <c r="C264" s="306"/>
      <c r="D264" s="26">
        <v>2</v>
      </c>
      <c r="E264" s="312" t="s">
        <v>11049</v>
      </c>
      <c r="F264" s="306" t="str">
        <f>VLOOKUP(Table24[[#This Row],[Country]],Table10[[COUNTRY NAME]:[CONTINENT CODE]],3,FALSE)</f>
        <v>EU</v>
      </c>
      <c r="G264" s="312" t="s">
        <v>11806</v>
      </c>
      <c r="H264" s="309">
        <v>8474</v>
      </c>
      <c r="I264" s="310">
        <v>20.75</v>
      </c>
      <c r="J264" s="307"/>
      <c r="K264" s="307">
        <f>IFERROR(Table24[[#This Row],[ROUTE COST]]/Table24[[#This Row],[O - DEMAND]],0)</f>
        <v>0</v>
      </c>
      <c r="L264" s="306"/>
      <c r="M264" s="310">
        <f>Table24[[#This Row],[O - DEMAND]]/950</f>
        <v>0</v>
      </c>
      <c r="N264" s="306">
        <f>IFERROR(VLOOKUP(Table24[[#This Row],[ROUTE]],DEMAND!A:F,5,FALSE),0)</f>
        <v>0</v>
      </c>
      <c r="O264" s="306">
        <f>IFERROR(VLOOKUP(Table24[[#This Row],[ROUTE]],DEMAND!A:F,6,FALSE),0)</f>
        <v>0</v>
      </c>
      <c r="P264" s="306">
        <f>ROUNDDOWN(Table24[[#This Row],[R-DEMAND]]/950,0)</f>
        <v>0</v>
      </c>
      <c r="Q264" s="306">
        <f>Table24[[#This Row],[ADD ACC
(475/950)]]*Table24[[#This Row],[Duration
(A359)]]</f>
        <v>0</v>
      </c>
      <c r="R264" s="307">
        <f>IFERROR(VLOOKUP(Table24[[#This Row],[ROUTE]],PRICING!A:B,2,FALSE),0)</f>
        <v>0</v>
      </c>
      <c r="S264" s="308">
        <f>Table24[[#This Row],[C_DEMAND]]-Table24[[#This Row],[R-DEMAND]]</f>
        <v>0</v>
      </c>
      <c r="T264" s="307">
        <f>Table24[[#This Row],[SEATS SOLD]]*Table24[[#This Row],[ECO SEAT]]</f>
        <v>0</v>
      </c>
      <c r="U264" s="307">
        <f>Table24[[#This Row],[SEATS SOLD]]*(IFERROR(VLOOKUP(Table24[[#This Row],[ROUTE]],PRICING!A:C,3,FALSE),0))</f>
        <v>0</v>
      </c>
      <c r="V264" s="307">
        <f>Table24[[#This Row],[SEAT REV]]-Table24[[#This Row],[SEAT REV
(IF IDEAL $)]]</f>
        <v>0</v>
      </c>
    </row>
    <row r="265" spans="1:22" customFormat="1" x14ac:dyDescent="0.25">
      <c r="A265" s="306" t="s">
        <v>17653</v>
      </c>
      <c r="B265" s="306" t="s">
        <v>4320</v>
      </c>
      <c r="C265" s="306"/>
      <c r="D265" s="26">
        <v>2</v>
      </c>
      <c r="E265" s="312" t="s">
        <v>807</v>
      </c>
      <c r="F265" s="306" t="str">
        <f>VLOOKUP(Table24[[#This Row],[Country]],Table10[[COUNTRY NAME]:[CONTINENT CODE]],3,FALSE)</f>
        <v>EU</v>
      </c>
      <c r="G265" s="312" t="s">
        <v>8013</v>
      </c>
      <c r="H265" s="309">
        <v>8497</v>
      </c>
      <c r="I265" s="310">
        <v>20.75</v>
      </c>
      <c r="J265" s="307"/>
      <c r="K265" s="307">
        <f>IFERROR(Table24[[#This Row],[ROUTE COST]]/Table24[[#This Row],[O - DEMAND]],0)</f>
        <v>0</v>
      </c>
      <c r="L265" s="306"/>
      <c r="M265" s="310">
        <f>Table24[[#This Row],[O - DEMAND]]/950</f>
        <v>0</v>
      </c>
      <c r="N265" s="306">
        <f>IFERROR(VLOOKUP(Table24[[#This Row],[ROUTE]],DEMAND!A:F,5,FALSE),0)</f>
        <v>0</v>
      </c>
      <c r="O265" s="306">
        <f>IFERROR(VLOOKUP(Table24[[#This Row],[ROUTE]],DEMAND!A:F,6,FALSE),0)</f>
        <v>0</v>
      </c>
      <c r="P265" s="306">
        <f>ROUNDDOWN(Table24[[#This Row],[R-DEMAND]]/950,0)</f>
        <v>0</v>
      </c>
      <c r="Q265" s="306">
        <f>Table24[[#This Row],[ADD ACC
(475/950)]]*Table24[[#This Row],[Duration
(A359)]]</f>
        <v>0</v>
      </c>
      <c r="R265" s="307">
        <f>IFERROR(VLOOKUP(Table24[[#This Row],[ROUTE]],PRICING!A:B,2,FALSE),0)</f>
        <v>0</v>
      </c>
      <c r="S265" s="308">
        <f>Table24[[#This Row],[C_DEMAND]]-Table24[[#This Row],[R-DEMAND]]</f>
        <v>0</v>
      </c>
      <c r="T265" s="307">
        <f>Table24[[#This Row],[SEATS SOLD]]*Table24[[#This Row],[ECO SEAT]]</f>
        <v>0</v>
      </c>
      <c r="U265" s="307">
        <f>Table24[[#This Row],[SEATS SOLD]]*(IFERROR(VLOOKUP(Table24[[#This Row],[ROUTE]],PRICING!A:C,3,FALSE),0))</f>
        <v>0</v>
      </c>
      <c r="V265" s="307">
        <f>Table24[[#This Row],[SEAT REV]]-Table24[[#This Row],[SEAT REV
(IF IDEAL $)]]</f>
        <v>0</v>
      </c>
    </row>
    <row r="266" spans="1:22" customFormat="1" x14ac:dyDescent="0.25">
      <c r="A266" s="306" t="s">
        <v>17656</v>
      </c>
      <c r="B266" s="306" t="s">
        <v>3723</v>
      </c>
      <c r="C266" s="306"/>
      <c r="D266" s="26">
        <v>2</v>
      </c>
      <c r="E266" s="312" t="s">
        <v>807</v>
      </c>
      <c r="F266" s="306" t="str">
        <f>VLOOKUP(Table24[[#This Row],[Country]],Table10[[COUNTRY NAME]:[CONTINENT CODE]],3,FALSE)</f>
        <v>EU</v>
      </c>
      <c r="G266" s="312" t="s">
        <v>7487</v>
      </c>
      <c r="H266" s="309">
        <v>8471</v>
      </c>
      <c r="I266" s="310">
        <v>20.75</v>
      </c>
      <c r="J266" s="307"/>
      <c r="K266" s="307">
        <f>IFERROR(Table24[[#This Row],[ROUTE COST]]/Table24[[#This Row],[O - DEMAND]],0)</f>
        <v>0</v>
      </c>
      <c r="L266" s="306"/>
      <c r="M266" s="310">
        <f>Table24[[#This Row],[O - DEMAND]]/950</f>
        <v>0</v>
      </c>
      <c r="N266" s="306">
        <f>IFERROR(VLOOKUP(Table24[[#This Row],[ROUTE]],DEMAND!A:F,5,FALSE),0)</f>
        <v>0</v>
      </c>
      <c r="O266" s="306">
        <f>IFERROR(VLOOKUP(Table24[[#This Row],[ROUTE]],DEMAND!A:F,6,FALSE),0)</f>
        <v>0</v>
      </c>
      <c r="P266" s="306">
        <f>ROUNDDOWN(Table24[[#This Row],[R-DEMAND]]/950,0)</f>
        <v>0</v>
      </c>
      <c r="Q266" s="306">
        <f>Table24[[#This Row],[ADD ACC
(475/950)]]*Table24[[#This Row],[Duration
(A359)]]</f>
        <v>0</v>
      </c>
      <c r="R266" s="307">
        <f>IFERROR(VLOOKUP(Table24[[#This Row],[ROUTE]],PRICING!A:B,2,FALSE),0)</f>
        <v>0</v>
      </c>
      <c r="S266" s="308">
        <f>Table24[[#This Row],[C_DEMAND]]-Table24[[#This Row],[R-DEMAND]]</f>
        <v>0</v>
      </c>
      <c r="T266" s="307">
        <f>Table24[[#This Row],[SEATS SOLD]]*Table24[[#This Row],[ECO SEAT]]</f>
        <v>0</v>
      </c>
      <c r="U266" s="307">
        <f>Table24[[#This Row],[SEATS SOLD]]*(IFERROR(VLOOKUP(Table24[[#This Row],[ROUTE]],PRICING!A:C,3,FALSE),0))</f>
        <v>0</v>
      </c>
      <c r="V266" s="307">
        <f>Table24[[#This Row],[SEAT REV]]-Table24[[#This Row],[SEAT REV
(IF IDEAL $)]]</f>
        <v>0</v>
      </c>
    </row>
    <row r="267" spans="1:22" customFormat="1" x14ac:dyDescent="0.25">
      <c r="A267" s="306" t="s">
        <v>17654</v>
      </c>
      <c r="B267" s="306" t="s">
        <v>4691</v>
      </c>
      <c r="C267" s="306"/>
      <c r="D267" s="26">
        <v>2</v>
      </c>
      <c r="E267" s="312" t="s">
        <v>1117</v>
      </c>
      <c r="F267" s="306" t="str">
        <f>VLOOKUP(Table24[[#This Row],[Country]],Table10[[COUNTRY NAME]:[CONTINENT CODE]],3,FALSE)</f>
        <v>EU</v>
      </c>
      <c r="G267" s="312" t="s">
        <v>7365</v>
      </c>
      <c r="H267" s="309">
        <v>8489</v>
      </c>
      <c r="I267" s="310">
        <v>20.75</v>
      </c>
      <c r="J267" s="307"/>
      <c r="K267" s="307">
        <f>IFERROR(Table24[[#This Row],[ROUTE COST]]/Table24[[#This Row],[O - DEMAND]],0)</f>
        <v>0</v>
      </c>
      <c r="L267" s="306"/>
      <c r="M267" s="310">
        <f>Table24[[#This Row],[O - DEMAND]]/950</f>
        <v>0</v>
      </c>
      <c r="N267" s="306">
        <f>IFERROR(VLOOKUP(Table24[[#This Row],[ROUTE]],DEMAND!A:F,5,FALSE),0)</f>
        <v>0</v>
      </c>
      <c r="O267" s="306">
        <f>IFERROR(VLOOKUP(Table24[[#This Row],[ROUTE]],DEMAND!A:F,6,FALSE),0)</f>
        <v>0</v>
      </c>
      <c r="P267" s="306">
        <f>ROUNDDOWN(Table24[[#This Row],[R-DEMAND]]/950,0)</f>
        <v>0</v>
      </c>
      <c r="Q267" s="306">
        <f>Table24[[#This Row],[ADD ACC
(475/950)]]*Table24[[#This Row],[Duration
(A359)]]</f>
        <v>0</v>
      </c>
      <c r="R267" s="307">
        <f>IFERROR(VLOOKUP(Table24[[#This Row],[ROUTE]],PRICING!A:B,2,FALSE),0)</f>
        <v>0</v>
      </c>
      <c r="S267" s="308">
        <f>Table24[[#This Row],[C_DEMAND]]-Table24[[#This Row],[R-DEMAND]]</f>
        <v>0</v>
      </c>
      <c r="T267" s="307">
        <f>Table24[[#This Row],[SEATS SOLD]]*Table24[[#This Row],[ECO SEAT]]</f>
        <v>0</v>
      </c>
      <c r="U267" s="307">
        <f>Table24[[#This Row],[SEATS SOLD]]*(IFERROR(VLOOKUP(Table24[[#This Row],[ROUTE]],PRICING!A:C,3,FALSE),0))</f>
        <v>0</v>
      </c>
      <c r="V267" s="307">
        <f>Table24[[#This Row],[SEAT REV]]-Table24[[#This Row],[SEAT REV
(IF IDEAL $)]]</f>
        <v>0</v>
      </c>
    </row>
    <row r="268" spans="1:22" customFormat="1" x14ac:dyDescent="0.25">
      <c r="A268" s="306" t="s">
        <v>17652</v>
      </c>
      <c r="B268" s="306" t="s">
        <v>4221</v>
      </c>
      <c r="C268" s="306"/>
      <c r="D268" s="26">
        <v>2</v>
      </c>
      <c r="E268" s="312" t="s">
        <v>807</v>
      </c>
      <c r="F268" s="306" t="str">
        <f>VLOOKUP(Table24[[#This Row],[Country]],Table10[[COUNTRY NAME]:[CONTINENT CODE]],3,FALSE)</f>
        <v>EU</v>
      </c>
      <c r="G268" s="312" t="s">
        <v>16893</v>
      </c>
      <c r="H268" s="309">
        <v>8510</v>
      </c>
      <c r="I268" s="310">
        <v>20.75</v>
      </c>
      <c r="J268" s="307"/>
      <c r="K268" s="307">
        <f>IFERROR(Table24[[#This Row],[ROUTE COST]]/Table24[[#This Row],[O - DEMAND]],0)</f>
        <v>0</v>
      </c>
      <c r="L268" s="306"/>
      <c r="M268" s="310">
        <f>Table24[[#This Row],[O - DEMAND]]/950</f>
        <v>0</v>
      </c>
      <c r="N268" s="306">
        <f>IFERROR(VLOOKUP(Table24[[#This Row],[ROUTE]],DEMAND!A:F,5,FALSE),0)</f>
        <v>0</v>
      </c>
      <c r="O268" s="306">
        <f>IFERROR(VLOOKUP(Table24[[#This Row],[ROUTE]],DEMAND!A:F,6,FALSE),0)</f>
        <v>0</v>
      </c>
      <c r="P268" s="306">
        <f>ROUNDDOWN(Table24[[#This Row],[R-DEMAND]]/950,0)</f>
        <v>0</v>
      </c>
      <c r="Q268" s="306">
        <f>Table24[[#This Row],[ADD ACC
(475/950)]]*Table24[[#This Row],[Duration
(A359)]]</f>
        <v>0</v>
      </c>
      <c r="R268" s="307">
        <f>IFERROR(VLOOKUP(Table24[[#This Row],[ROUTE]],PRICING!A:B,2,FALSE),0)</f>
        <v>0</v>
      </c>
      <c r="S268" s="308">
        <f>Table24[[#This Row],[C_DEMAND]]-Table24[[#This Row],[R-DEMAND]]</f>
        <v>0</v>
      </c>
      <c r="T268" s="307">
        <f>Table24[[#This Row],[SEATS SOLD]]*Table24[[#This Row],[ECO SEAT]]</f>
        <v>0</v>
      </c>
      <c r="U268" s="307">
        <f>Table24[[#This Row],[SEATS SOLD]]*(IFERROR(VLOOKUP(Table24[[#This Row],[ROUTE]],PRICING!A:C,3,FALSE),0))</f>
        <v>0</v>
      </c>
      <c r="V268" s="307">
        <f>Table24[[#This Row],[SEAT REV]]-Table24[[#This Row],[SEAT REV
(IF IDEAL $)]]</f>
        <v>0</v>
      </c>
    </row>
    <row r="269" spans="1:22" customFormat="1" x14ac:dyDescent="0.25">
      <c r="A269" s="306" t="s">
        <v>17718</v>
      </c>
      <c r="B269" s="306" t="s">
        <v>1387</v>
      </c>
      <c r="C269" s="306"/>
      <c r="D269" s="26">
        <v>1</v>
      </c>
      <c r="E269" s="312" t="s">
        <v>656</v>
      </c>
      <c r="F269" s="306" t="str">
        <f>VLOOKUP(Table24[[#This Row],[Country]],Table10[[COUNTRY NAME]:[CONTINENT CODE]],3,FALSE)</f>
        <v>EU</v>
      </c>
      <c r="G269" s="312" t="s">
        <v>16892</v>
      </c>
      <c r="H269" s="309">
        <v>8532</v>
      </c>
      <c r="I269" s="310">
        <v>20.75</v>
      </c>
      <c r="J269" s="307"/>
      <c r="K269" s="307">
        <f>IFERROR(Table24[[#This Row],[ROUTE COST]]/Table24[[#This Row],[O - DEMAND]],0)</f>
        <v>0</v>
      </c>
      <c r="L269" s="306"/>
      <c r="M269" s="310">
        <f>Table24[[#This Row],[O - DEMAND]]/950</f>
        <v>0</v>
      </c>
      <c r="N269" s="306">
        <f>IFERROR(VLOOKUP(Table24[[#This Row],[ROUTE]],DEMAND!A:F,5,FALSE),0)</f>
        <v>0</v>
      </c>
      <c r="O269" s="306">
        <f>IFERROR(VLOOKUP(Table24[[#This Row],[ROUTE]],DEMAND!A:F,6,FALSE),0)</f>
        <v>0</v>
      </c>
      <c r="P269" s="306">
        <f>ROUNDDOWN(Table24[[#This Row],[R-DEMAND]]/950,0)</f>
        <v>0</v>
      </c>
      <c r="Q269" s="306">
        <f>Table24[[#This Row],[ADD ACC
(475/950)]]*Table24[[#This Row],[Duration
(A359)]]</f>
        <v>0</v>
      </c>
      <c r="R269" s="307">
        <f>IFERROR(VLOOKUP(Table24[[#This Row],[ROUTE]],PRICING!A:B,2,FALSE),0)</f>
        <v>0</v>
      </c>
      <c r="S269" s="308">
        <f>Table24[[#This Row],[C_DEMAND]]-Table24[[#This Row],[R-DEMAND]]</f>
        <v>0</v>
      </c>
      <c r="T269" s="307">
        <f>Table24[[#This Row],[SEATS SOLD]]*Table24[[#This Row],[ECO SEAT]]</f>
        <v>0</v>
      </c>
      <c r="U269" s="307">
        <f>Table24[[#This Row],[SEATS SOLD]]*(IFERROR(VLOOKUP(Table24[[#This Row],[ROUTE]],PRICING!A:C,3,FALSE),0))</f>
        <v>0</v>
      </c>
      <c r="V269" s="307">
        <f>Table24[[#This Row],[SEAT REV]]-Table24[[#This Row],[SEAT REV
(IF IDEAL $)]]</f>
        <v>0</v>
      </c>
    </row>
    <row r="270" spans="1:22" customFormat="1" x14ac:dyDescent="0.25">
      <c r="A270" s="306" t="s">
        <v>17546</v>
      </c>
      <c r="B270" s="306" t="s">
        <v>5311</v>
      </c>
      <c r="C270" s="306"/>
      <c r="D270" s="26">
        <v>3</v>
      </c>
      <c r="E270" s="312" t="s">
        <v>308</v>
      </c>
      <c r="F270" s="306" t="str">
        <f>VLOOKUP(Table24[[#This Row],[Country]],Table10[[COUNTRY NAME]:[CONTINENT CODE]],3,FALSE)</f>
        <v>EU</v>
      </c>
      <c r="G270" s="312" t="s">
        <v>11790</v>
      </c>
      <c r="H270" s="309">
        <v>8355</v>
      </c>
      <c r="I270" s="310">
        <v>20.5</v>
      </c>
      <c r="J270" s="307"/>
      <c r="K270" s="307">
        <f>IFERROR(Table24[[#This Row],[ROUTE COST]]/Table24[[#This Row],[O - DEMAND]],0)</f>
        <v>0</v>
      </c>
      <c r="L270" s="306"/>
      <c r="M270" s="310">
        <f>Table24[[#This Row],[O - DEMAND]]/950</f>
        <v>0</v>
      </c>
      <c r="N270" s="306">
        <f>IFERROR(VLOOKUP(Table24[[#This Row],[ROUTE]],DEMAND!A:F,5,FALSE),0)</f>
        <v>0</v>
      </c>
      <c r="O270" s="306">
        <f>IFERROR(VLOOKUP(Table24[[#This Row],[ROUTE]],DEMAND!A:F,6,FALSE),0)</f>
        <v>0</v>
      </c>
      <c r="P270" s="306">
        <f>ROUNDDOWN(Table24[[#This Row],[R-DEMAND]]/950,0)</f>
        <v>0</v>
      </c>
      <c r="Q270" s="306">
        <f>Table24[[#This Row],[ADD ACC
(475/950)]]*Table24[[#This Row],[Duration
(A359)]]</f>
        <v>0</v>
      </c>
      <c r="R270" s="307">
        <f>IFERROR(VLOOKUP(Table24[[#This Row],[ROUTE]],PRICING!A:B,2,FALSE),0)</f>
        <v>0</v>
      </c>
      <c r="S270" s="308">
        <f>Table24[[#This Row],[C_DEMAND]]-Table24[[#This Row],[R-DEMAND]]</f>
        <v>0</v>
      </c>
      <c r="T270" s="307">
        <f>Table24[[#This Row],[SEATS SOLD]]*Table24[[#This Row],[ECO SEAT]]</f>
        <v>0</v>
      </c>
      <c r="U270" s="307">
        <f>Table24[[#This Row],[SEATS SOLD]]*(IFERROR(VLOOKUP(Table24[[#This Row],[ROUTE]],PRICING!A:C,3,FALSE),0))</f>
        <v>0</v>
      </c>
      <c r="V270" s="307">
        <f>Table24[[#This Row],[SEAT REV]]-Table24[[#This Row],[SEAT REV
(IF IDEAL $)]]</f>
        <v>0</v>
      </c>
    </row>
    <row r="271" spans="1:22" customFormat="1" x14ac:dyDescent="0.25">
      <c r="A271" s="306" t="s">
        <v>17876</v>
      </c>
      <c r="B271" s="306" t="s">
        <v>5377</v>
      </c>
      <c r="C271" s="306"/>
      <c r="D271" s="26">
        <v>3</v>
      </c>
      <c r="E271" s="312" t="s">
        <v>11732</v>
      </c>
      <c r="F271" s="306" t="str">
        <f>VLOOKUP(Table24[[#This Row],[Country]],Table10[[COUNTRY NAME]:[CONTINENT CODE]],3,FALSE)</f>
        <v>NA - US</v>
      </c>
      <c r="G271" s="312" t="s">
        <v>10380</v>
      </c>
      <c r="H271" s="309">
        <v>8350</v>
      </c>
      <c r="I271" s="310">
        <v>20.5</v>
      </c>
      <c r="J271" s="307"/>
      <c r="K271" s="307">
        <f>IFERROR(Table24[[#This Row],[ROUTE COST]]/Table24[[#This Row],[O - DEMAND]],0)</f>
        <v>0</v>
      </c>
      <c r="L271" s="306"/>
      <c r="M271" s="310">
        <f>Table24[[#This Row],[O - DEMAND]]/950</f>
        <v>0</v>
      </c>
      <c r="N271" s="306">
        <f>IFERROR(VLOOKUP(Table24[[#This Row],[ROUTE]],DEMAND!A:F,5,FALSE),0)</f>
        <v>0</v>
      </c>
      <c r="O271" s="306">
        <f>IFERROR(VLOOKUP(Table24[[#This Row],[ROUTE]],DEMAND!A:F,6,FALSE),0)</f>
        <v>0</v>
      </c>
      <c r="P271" s="306">
        <f>ROUNDDOWN(Table24[[#This Row],[R-DEMAND]]/950,0)</f>
        <v>0</v>
      </c>
      <c r="Q271" s="306">
        <f>Table24[[#This Row],[ADD ACC
(475/950)]]*Table24[[#This Row],[Duration
(A359)]]</f>
        <v>0</v>
      </c>
      <c r="R271" s="307">
        <f>IFERROR(VLOOKUP(Table24[[#This Row],[ROUTE]],PRICING!A:B,2,FALSE),0)</f>
        <v>0</v>
      </c>
      <c r="S271" s="308">
        <f>Table24[[#This Row],[C_DEMAND]]-Table24[[#This Row],[R-DEMAND]]</f>
        <v>0</v>
      </c>
      <c r="T271" s="307">
        <f>Table24[[#This Row],[SEATS SOLD]]*Table24[[#This Row],[ECO SEAT]]</f>
        <v>0</v>
      </c>
      <c r="U271" s="307">
        <f>Table24[[#This Row],[SEATS SOLD]]*(IFERROR(VLOOKUP(Table24[[#This Row],[ROUTE]],PRICING!A:C,3,FALSE),0))</f>
        <v>0</v>
      </c>
      <c r="V271" s="307">
        <f>Table24[[#This Row],[SEAT REV]]-Table24[[#This Row],[SEAT REV
(IF IDEAL $)]]</f>
        <v>0</v>
      </c>
    </row>
    <row r="272" spans="1:22" customFormat="1" x14ac:dyDescent="0.25">
      <c r="A272" s="306" t="s">
        <v>17658</v>
      </c>
      <c r="B272" s="306" t="s">
        <v>4068</v>
      </c>
      <c r="C272" s="306"/>
      <c r="D272" s="26">
        <v>2</v>
      </c>
      <c r="E272" s="312" t="s">
        <v>11049</v>
      </c>
      <c r="F272" s="306" t="str">
        <f>VLOOKUP(Table24[[#This Row],[Country]],Table10[[COUNTRY NAME]:[CONTINENT CODE]],3,FALSE)</f>
        <v>EU</v>
      </c>
      <c r="G272" s="312" t="s">
        <v>16896</v>
      </c>
      <c r="H272" s="309">
        <v>8387</v>
      </c>
      <c r="I272" s="310">
        <v>20.5</v>
      </c>
      <c r="J272" s="307"/>
      <c r="K272" s="307">
        <f>IFERROR(Table24[[#This Row],[ROUTE COST]]/Table24[[#This Row],[O - DEMAND]],0)</f>
        <v>0</v>
      </c>
      <c r="L272" s="306"/>
      <c r="M272" s="310">
        <f>Table24[[#This Row],[O - DEMAND]]/950</f>
        <v>0</v>
      </c>
      <c r="N272" s="306">
        <f>IFERROR(VLOOKUP(Table24[[#This Row],[ROUTE]],DEMAND!A:F,5,FALSE),0)</f>
        <v>0</v>
      </c>
      <c r="O272" s="306">
        <f>IFERROR(VLOOKUP(Table24[[#This Row],[ROUTE]],DEMAND!A:F,6,FALSE),0)</f>
        <v>0</v>
      </c>
      <c r="P272" s="306">
        <f>ROUNDDOWN(Table24[[#This Row],[R-DEMAND]]/950,0)</f>
        <v>0</v>
      </c>
      <c r="Q272" s="306">
        <f>Table24[[#This Row],[ADD ACC
(475/950)]]*Table24[[#This Row],[Duration
(A359)]]</f>
        <v>0</v>
      </c>
      <c r="R272" s="307">
        <f>IFERROR(VLOOKUP(Table24[[#This Row],[ROUTE]],PRICING!A:B,2,FALSE),0)</f>
        <v>0</v>
      </c>
      <c r="S272" s="308">
        <f>Table24[[#This Row],[C_DEMAND]]-Table24[[#This Row],[R-DEMAND]]</f>
        <v>0</v>
      </c>
      <c r="T272" s="307">
        <f>Table24[[#This Row],[SEATS SOLD]]*Table24[[#This Row],[ECO SEAT]]</f>
        <v>0</v>
      </c>
      <c r="U272" s="307">
        <f>Table24[[#This Row],[SEATS SOLD]]*(IFERROR(VLOOKUP(Table24[[#This Row],[ROUTE]],PRICING!A:C,3,FALSE),0))</f>
        <v>0</v>
      </c>
      <c r="V272" s="307">
        <f>Table24[[#This Row],[SEAT REV]]-Table24[[#This Row],[SEAT REV
(IF IDEAL $)]]</f>
        <v>0</v>
      </c>
    </row>
    <row r="273" spans="1:22" customFormat="1" x14ac:dyDescent="0.25">
      <c r="A273" s="306" t="s">
        <v>17660</v>
      </c>
      <c r="B273" s="306" t="s">
        <v>4568</v>
      </c>
      <c r="C273" s="306"/>
      <c r="D273" s="26">
        <v>2</v>
      </c>
      <c r="E273" s="312" t="s">
        <v>3915</v>
      </c>
      <c r="F273" s="306" t="str">
        <f>VLOOKUP(Table24[[#This Row],[Country]],Table10[[COUNTRY NAME]:[CONTINENT CODE]],3,FALSE)</f>
        <v>EU</v>
      </c>
      <c r="G273" s="312" t="s">
        <v>11798</v>
      </c>
      <c r="H273" s="309">
        <v>8343</v>
      </c>
      <c r="I273" s="310">
        <v>20.5</v>
      </c>
      <c r="J273" s="307"/>
      <c r="K273" s="307">
        <f>IFERROR(Table24[[#This Row],[ROUTE COST]]/Table24[[#This Row],[O - DEMAND]],0)</f>
        <v>0</v>
      </c>
      <c r="L273" s="306"/>
      <c r="M273" s="310">
        <f>Table24[[#This Row],[O - DEMAND]]/950</f>
        <v>0</v>
      </c>
      <c r="N273" s="306">
        <f>IFERROR(VLOOKUP(Table24[[#This Row],[ROUTE]],DEMAND!A:F,5,FALSE),0)</f>
        <v>0</v>
      </c>
      <c r="O273" s="306">
        <f>IFERROR(VLOOKUP(Table24[[#This Row],[ROUTE]],DEMAND!A:F,6,FALSE),0)</f>
        <v>0</v>
      </c>
      <c r="P273" s="306">
        <f>ROUNDDOWN(Table24[[#This Row],[R-DEMAND]]/950,0)</f>
        <v>0</v>
      </c>
      <c r="Q273" s="306">
        <f>Table24[[#This Row],[ADD ACC
(475/950)]]*Table24[[#This Row],[Duration
(A359)]]</f>
        <v>0</v>
      </c>
      <c r="R273" s="307">
        <f>IFERROR(VLOOKUP(Table24[[#This Row],[ROUTE]],PRICING!A:B,2,FALSE),0)</f>
        <v>0</v>
      </c>
      <c r="S273" s="308">
        <f>Table24[[#This Row],[C_DEMAND]]-Table24[[#This Row],[R-DEMAND]]</f>
        <v>0</v>
      </c>
      <c r="T273" s="307">
        <f>Table24[[#This Row],[SEATS SOLD]]*Table24[[#This Row],[ECO SEAT]]</f>
        <v>0</v>
      </c>
      <c r="U273" s="307">
        <f>Table24[[#This Row],[SEATS SOLD]]*(IFERROR(VLOOKUP(Table24[[#This Row],[ROUTE]],PRICING!A:C,3,FALSE),0))</f>
        <v>0</v>
      </c>
      <c r="V273" s="307">
        <f>Table24[[#This Row],[SEAT REV]]-Table24[[#This Row],[SEAT REV
(IF IDEAL $)]]</f>
        <v>0</v>
      </c>
    </row>
    <row r="274" spans="1:22" customFormat="1" x14ac:dyDescent="0.25">
      <c r="A274" s="306" t="s">
        <v>17661</v>
      </c>
      <c r="B274" s="306" t="s">
        <v>4545</v>
      </c>
      <c r="C274" s="306"/>
      <c r="D274" s="26">
        <v>2</v>
      </c>
      <c r="E274" s="312" t="s">
        <v>585</v>
      </c>
      <c r="F274" s="306" t="str">
        <f>VLOOKUP(Table24[[#This Row],[Country]],Table10[[COUNTRY NAME]:[CONTINENT CODE]],3,FALSE)</f>
        <v>EU</v>
      </c>
      <c r="G274" s="312" t="s">
        <v>11807</v>
      </c>
      <c r="H274" s="309">
        <v>8335</v>
      </c>
      <c r="I274" s="310">
        <v>20.5</v>
      </c>
      <c r="J274" s="307"/>
      <c r="K274" s="307">
        <f>IFERROR(Table24[[#This Row],[ROUTE COST]]/Table24[[#This Row],[O - DEMAND]],0)</f>
        <v>0</v>
      </c>
      <c r="L274" s="306"/>
      <c r="M274" s="310">
        <f>Table24[[#This Row],[O - DEMAND]]/950</f>
        <v>0</v>
      </c>
      <c r="N274" s="306">
        <f>IFERROR(VLOOKUP(Table24[[#This Row],[ROUTE]],DEMAND!A:F,5,FALSE),0)</f>
        <v>0</v>
      </c>
      <c r="O274" s="306">
        <f>IFERROR(VLOOKUP(Table24[[#This Row],[ROUTE]],DEMAND!A:F,6,FALSE),0)</f>
        <v>0</v>
      </c>
      <c r="P274" s="306">
        <f>ROUNDDOWN(Table24[[#This Row],[R-DEMAND]]/950,0)</f>
        <v>0</v>
      </c>
      <c r="Q274" s="306">
        <f>Table24[[#This Row],[ADD ACC
(475/950)]]*Table24[[#This Row],[Duration
(A359)]]</f>
        <v>0</v>
      </c>
      <c r="R274" s="307">
        <f>IFERROR(VLOOKUP(Table24[[#This Row],[ROUTE]],PRICING!A:B,2,FALSE),0)</f>
        <v>0</v>
      </c>
      <c r="S274" s="308">
        <f>Table24[[#This Row],[C_DEMAND]]-Table24[[#This Row],[R-DEMAND]]</f>
        <v>0</v>
      </c>
      <c r="T274" s="307">
        <f>Table24[[#This Row],[SEATS SOLD]]*Table24[[#This Row],[ECO SEAT]]</f>
        <v>0</v>
      </c>
      <c r="U274" s="307">
        <f>Table24[[#This Row],[SEATS SOLD]]*(IFERROR(VLOOKUP(Table24[[#This Row],[ROUTE]],PRICING!A:C,3,FALSE),0))</f>
        <v>0</v>
      </c>
      <c r="V274" s="307">
        <f>Table24[[#This Row],[SEAT REV]]-Table24[[#This Row],[SEAT REV
(IF IDEAL $)]]</f>
        <v>0</v>
      </c>
    </row>
    <row r="275" spans="1:22" customFormat="1" x14ac:dyDescent="0.25">
      <c r="A275" s="306" t="s">
        <v>17659</v>
      </c>
      <c r="B275" s="306" t="s">
        <v>3634</v>
      </c>
      <c r="C275" s="306"/>
      <c r="D275" s="26">
        <v>2</v>
      </c>
      <c r="E275" s="312" t="s">
        <v>807</v>
      </c>
      <c r="F275" s="306" t="str">
        <f>VLOOKUP(Table24[[#This Row],[Country]],Table10[[COUNTRY NAME]:[CONTINENT CODE]],3,FALSE)</f>
        <v>EU</v>
      </c>
      <c r="G275" s="312" t="s">
        <v>6781</v>
      </c>
      <c r="H275" s="309">
        <v>8376</v>
      </c>
      <c r="I275" s="310">
        <v>20.5</v>
      </c>
      <c r="J275" s="307"/>
      <c r="K275" s="307">
        <f>IFERROR(Table24[[#This Row],[ROUTE COST]]/Table24[[#This Row],[O - DEMAND]],0)</f>
        <v>0</v>
      </c>
      <c r="L275" s="306"/>
      <c r="M275" s="310">
        <f>Table24[[#This Row],[O - DEMAND]]/950</f>
        <v>0</v>
      </c>
      <c r="N275" s="306">
        <f>IFERROR(VLOOKUP(Table24[[#This Row],[ROUTE]],DEMAND!A:F,5,FALSE),0)</f>
        <v>0</v>
      </c>
      <c r="O275" s="306">
        <f>IFERROR(VLOOKUP(Table24[[#This Row],[ROUTE]],DEMAND!A:F,6,FALSE),0)</f>
        <v>0</v>
      </c>
      <c r="P275" s="306">
        <f>ROUNDDOWN(Table24[[#This Row],[R-DEMAND]]/950,0)</f>
        <v>0</v>
      </c>
      <c r="Q275" s="306">
        <f>Table24[[#This Row],[ADD ACC
(475/950)]]*Table24[[#This Row],[Duration
(A359)]]</f>
        <v>0</v>
      </c>
      <c r="R275" s="307">
        <f>IFERROR(VLOOKUP(Table24[[#This Row],[ROUTE]],PRICING!A:B,2,FALSE),0)</f>
        <v>0</v>
      </c>
      <c r="S275" s="308">
        <f>Table24[[#This Row],[C_DEMAND]]-Table24[[#This Row],[R-DEMAND]]</f>
        <v>0</v>
      </c>
      <c r="T275" s="307">
        <f>Table24[[#This Row],[SEATS SOLD]]*Table24[[#This Row],[ECO SEAT]]</f>
        <v>0</v>
      </c>
      <c r="U275" s="307">
        <f>Table24[[#This Row],[SEATS SOLD]]*(IFERROR(VLOOKUP(Table24[[#This Row],[ROUTE]],PRICING!A:C,3,FALSE),0))</f>
        <v>0</v>
      </c>
      <c r="V275" s="307">
        <f>Table24[[#This Row],[SEAT REV]]-Table24[[#This Row],[SEAT REV
(IF IDEAL $)]]</f>
        <v>0</v>
      </c>
    </row>
    <row r="276" spans="1:22" customFormat="1" x14ac:dyDescent="0.25">
      <c r="A276" s="306" t="s">
        <v>17109</v>
      </c>
      <c r="B276" s="306" t="s">
        <v>1838</v>
      </c>
      <c r="C276" s="306"/>
      <c r="D276" s="26">
        <v>1</v>
      </c>
      <c r="E276" s="312" t="s">
        <v>493</v>
      </c>
      <c r="F276" s="306" t="str">
        <f>VLOOKUP(Table24[[#This Row],[Country]],Table10[[COUNTRY NAME]:[CONTINENT CODE]],3,FALSE)</f>
        <v>AF</v>
      </c>
      <c r="G276" s="312" t="s">
        <v>11763</v>
      </c>
      <c r="H276" s="309">
        <v>8366</v>
      </c>
      <c r="I276" s="310">
        <v>20.5</v>
      </c>
      <c r="J276" s="307"/>
      <c r="K276" s="307">
        <f>IFERROR(Table24[[#This Row],[ROUTE COST]]/Table24[[#This Row],[O - DEMAND]],0)</f>
        <v>0</v>
      </c>
      <c r="L276" s="306"/>
      <c r="M276" s="310">
        <f>Table24[[#This Row],[O - DEMAND]]/950</f>
        <v>0</v>
      </c>
      <c r="N276" s="306">
        <f>IFERROR(VLOOKUP(Table24[[#This Row],[ROUTE]],DEMAND!A:F,5,FALSE),0)</f>
        <v>0</v>
      </c>
      <c r="O276" s="306">
        <f>IFERROR(VLOOKUP(Table24[[#This Row],[ROUTE]],DEMAND!A:F,6,FALSE),0)</f>
        <v>0</v>
      </c>
      <c r="P276" s="306">
        <f>ROUNDDOWN(Table24[[#This Row],[R-DEMAND]]/950,0)</f>
        <v>0</v>
      </c>
      <c r="Q276" s="306">
        <f>Table24[[#This Row],[ADD ACC
(475/950)]]*Table24[[#This Row],[Duration
(A359)]]</f>
        <v>0</v>
      </c>
      <c r="R276" s="307">
        <f>IFERROR(VLOOKUP(Table24[[#This Row],[ROUTE]],PRICING!A:B,2,FALSE),0)</f>
        <v>0</v>
      </c>
      <c r="S276" s="308">
        <f>Table24[[#This Row],[C_DEMAND]]-Table24[[#This Row],[R-DEMAND]]</f>
        <v>0</v>
      </c>
      <c r="T276" s="307">
        <f>Table24[[#This Row],[SEATS SOLD]]*Table24[[#This Row],[ECO SEAT]]</f>
        <v>0</v>
      </c>
      <c r="U276" s="307">
        <f>Table24[[#This Row],[SEATS SOLD]]*(IFERROR(VLOOKUP(Table24[[#This Row],[ROUTE]],PRICING!A:C,3,FALSE),0))</f>
        <v>0</v>
      </c>
      <c r="V276" s="307">
        <f>Table24[[#This Row],[SEAT REV]]-Table24[[#This Row],[SEAT REV
(IF IDEAL $)]]</f>
        <v>0</v>
      </c>
    </row>
    <row r="277" spans="1:22" customFormat="1" x14ac:dyDescent="0.25">
      <c r="A277" s="306" t="s">
        <v>17719</v>
      </c>
      <c r="B277" s="306" t="s">
        <v>2266</v>
      </c>
      <c r="C277" s="306"/>
      <c r="D277" s="26">
        <v>1</v>
      </c>
      <c r="E277" s="312" t="s">
        <v>605</v>
      </c>
      <c r="F277" s="306" t="str">
        <f>VLOOKUP(Table24[[#This Row],[Country]],Table10[[COUNTRY NAME]:[CONTINENT CODE]],3,FALSE)</f>
        <v>EU</v>
      </c>
      <c r="G277" s="312" t="s">
        <v>11809</v>
      </c>
      <c r="H277" s="309">
        <v>8342</v>
      </c>
      <c r="I277" s="310">
        <v>20.5</v>
      </c>
      <c r="J277" s="307"/>
      <c r="K277" s="307">
        <f>IFERROR(Table24[[#This Row],[ROUTE COST]]/Table24[[#This Row],[O - DEMAND]],0)</f>
        <v>0</v>
      </c>
      <c r="L277" s="306"/>
      <c r="M277" s="310">
        <f>Table24[[#This Row],[O - DEMAND]]/950</f>
        <v>0</v>
      </c>
      <c r="N277" s="306">
        <f>IFERROR(VLOOKUP(Table24[[#This Row],[ROUTE]],DEMAND!A:F,5,FALSE),0)</f>
        <v>0</v>
      </c>
      <c r="O277" s="306">
        <f>IFERROR(VLOOKUP(Table24[[#This Row],[ROUTE]],DEMAND!A:F,6,FALSE),0)</f>
        <v>0</v>
      </c>
      <c r="P277" s="306">
        <f>ROUNDDOWN(Table24[[#This Row],[R-DEMAND]]/950,0)</f>
        <v>0</v>
      </c>
      <c r="Q277" s="306">
        <f>Table24[[#This Row],[ADD ACC
(475/950)]]*Table24[[#This Row],[Duration
(A359)]]</f>
        <v>0</v>
      </c>
      <c r="R277" s="307">
        <f>IFERROR(VLOOKUP(Table24[[#This Row],[ROUTE]],PRICING!A:B,2,FALSE),0)</f>
        <v>0</v>
      </c>
      <c r="S277" s="308">
        <f>Table24[[#This Row],[C_DEMAND]]-Table24[[#This Row],[R-DEMAND]]</f>
        <v>0</v>
      </c>
      <c r="T277" s="307">
        <f>Table24[[#This Row],[SEATS SOLD]]*Table24[[#This Row],[ECO SEAT]]</f>
        <v>0</v>
      </c>
      <c r="U277" s="307">
        <f>Table24[[#This Row],[SEATS SOLD]]*(IFERROR(VLOOKUP(Table24[[#This Row],[ROUTE]],PRICING!A:C,3,FALSE),0))</f>
        <v>0</v>
      </c>
      <c r="V277" s="307">
        <f>Table24[[#This Row],[SEAT REV]]-Table24[[#This Row],[SEAT REV
(IF IDEAL $)]]</f>
        <v>0</v>
      </c>
    </row>
    <row r="278" spans="1:22" customFormat="1" x14ac:dyDescent="0.25">
      <c r="A278" s="306" t="s">
        <v>17548</v>
      </c>
      <c r="B278" s="306" t="s">
        <v>4882</v>
      </c>
      <c r="C278" s="306"/>
      <c r="D278" s="26">
        <v>3</v>
      </c>
      <c r="E278" s="312" t="s">
        <v>308</v>
      </c>
      <c r="F278" s="306" t="str">
        <f>VLOOKUP(Table24[[#This Row],[Country]],Table10[[COUNTRY NAME]:[CONTINENT CODE]],3,FALSE)</f>
        <v>EU</v>
      </c>
      <c r="G278" s="312" t="s">
        <v>16898</v>
      </c>
      <c r="H278" s="309">
        <v>8309</v>
      </c>
      <c r="I278" s="310">
        <v>20.25</v>
      </c>
      <c r="J278" s="307"/>
      <c r="K278" s="307">
        <f>IFERROR(Table24[[#This Row],[ROUTE COST]]/Table24[[#This Row],[O - DEMAND]],0)</f>
        <v>0</v>
      </c>
      <c r="L278" s="306"/>
      <c r="M278" s="310">
        <f>Table24[[#This Row],[O - DEMAND]]/950</f>
        <v>0</v>
      </c>
      <c r="N278" s="306">
        <f>IFERROR(VLOOKUP(Table24[[#This Row],[ROUTE]],DEMAND!A:F,5,FALSE),0)</f>
        <v>0</v>
      </c>
      <c r="O278" s="306">
        <f>IFERROR(VLOOKUP(Table24[[#This Row],[ROUTE]],DEMAND!A:F,6,FALSE),0)</f>
        <v>0</v>
      </c>
      <c r="P278" s="306">
        <f>ROUNDDOWN(Table24[[#This Row],[R-DEMAND]]/950,0)</f>
        <v>0</v>
      </c>
      <c r="Q278" s="306">
        <f>Table24[[#This Row],[ADD ACC
(475/950)]]*Table24[[#This Row],[Duration
(A359)]]</f>
        <v>0</v>
      </c>
      <c r="R278" s="307">
        <f>IFERROR(VLOOKUP(Table24[[#This Row],[ROUTE]],PRICING!A:B,2,FALSE),0)</f>
        <v>0</v>
      </c>
      <c r="S278" s="308">
        <f>Table24[[#This Row],[C_DEMAND]]-Table24[[#This Row],[R-DEMAND]]</f>
        <v>0</v>
      </c>
      <c r="T278" s="307">
        <f>Table24[[#This Row],[SEATS SOLD]]*Table24[[#This Row],[ECO SEAT]]</f>
        <v>0</v>
      </c>
      <c r="U278" s="307">
        <f>Table24[[#This Row],[SEATS SOLD]]*(IFERROR(VLOOKUP(Table24[[#This Row],[ROUTE]],PRICING!A:C,3,FALSE),0))</f>
        <v>0</v>
      </c>
      <c r="V278" s="307">
        <f>Table24[[#This Row],[SEAT REV]]-Table24[[#This Row],[SEAT REV
(IF IDEAL $)]]</f>
        <v>0</v>
      </c>
    </row>
    <row r="279" spans="1:22" customFormat="1" x14ac:dyDescent="0.25">
      <c r="A279" s="306" t="s">
        <v>17099</v>
      </c>
      <c r="B279" s="306" t="s">
        <v>3008</v>
      </c>
      <c r="C279" s="306"/>
      <c r="D279" s="26">
        <v>2</v>
      </c>
      <c r="E279" s="312" t="s">
        <v>493</v>
      </c>
      <c r="F279" s="306" t="str">
        <f>VLOOKUP(Table24[[#This Row],[Country]],Table10[[COUNTRY NAME]:[CONTINENT CODE]],3,FALSE)</f>
        <v>AF</v>
      </c>
      <c r="G279" s="312" t="s">
        <v>11764</v>
      </c>
      <c r="H279" s="309">
        <v>8286</v>
      </c>
      <c r="I279" s="310">
        <v>20.25</v>
      </c>
      <c r="J279" s="307"/>
      <c r="K279" s="307">
        <f>IFERROR(Table24[[#This Row],[ROUTE COST]]/Table24[[#This Row],[O - DEMAND]],0)</f>
        <v>0</v>
      </c>
      <c r="L279" s="306"/>
      <c r="M279" s="310">
        <f>Table24[[#This Row],[O - DEMAND]]/950</f>
        <v>0</v>
      </c>
      <c r="N279" s="306">
        <f>IFERROR(VLOOKUP(Table24[[#This Row],[ROUTE]],DEMAND!A:F,5,FALSE),0)</f>
        <v>0</v>
      </c>
      <c r="O279" s="306">
        <f>IFERROR(VLOOKUP(Table24[[#This Row],[ROUTE]],DEMAND!A:F,6,FALSE),0)</f>
        <v>0</v>
      </c>
      <c r="P279" s="306">
        <f>ROUNDDOWN(Table24[[#This Row],[R-DEMAND]]/950,0)</f>
        <v>0</v>
      </c>
      <c r="Q279" s="306">
        <f>Table24[[#This Row],[ADD ACC
(475/950)]]*Table24[[#This Row],[Duration
(A359)]]</f>
        <v>0</v>
      </c>
      <c r="R279" s="307">
        <f>IFERROR(VLOOKUP(Table24[[#This Row],[ROUTE]],PRICING!A:B,2,FALSE),0)</f>
        <v>0</v>
      </c>
      <c r="S279" s="308">
        <f>Table24[[#This Row],[C_DEMAND]]-Table24[[#This Row],[R-DEMAND]]</f>
        <v>0</v>
      </c>
      <c r="T279" s="307">
        <f>Table24[[#This Row],[SEATS SOLD]]*Table24[[#This Row],[ECO SEAT]]</f>
        <v>0</v>
      </c>
      <c r="U279" s="307">
        <f>Table24[[#This Row],[SEATS SOLD]]*(IFERROR(VLOOKUP(Table24[[#This Row],[ROUTE]],PRICING!A:C,3,FALSE),0))</f>
        <v>0</v>
      </c>
      <c r="V279" s="307">
        <f>Table24[[#This Row],[SEAT REV]]-Table24[[#This Row],[SEAT REV
(IF IDEAL $)]]</f>
        <v>0</v>
      </c>
    </row>
    <row r="280" spans="1:22" customFormat="1" x14ac:dyDescent="0.25">
      <c r="A280" s="306" t="s">
        <v>17664</v>
      </c>
      <c r="B280" s="306" t="s">
        <v>4092</v>
      </c>
      <c r="C280" s="306"/>
      <c r="D280" s="26">
        <v>2</v>
      </c>
      <c r="E280" s="312" t="s">
        <v>308</v>
      </c>
      <c r="F280" s="306" t="str">
        <f>VLOOKUP(Table24[[#This Row],[Country]],Table10[[COUNTRY NAME]:[CONTINENT CODE]],3,FALSE)</f>
        <v>EU</v>
      </c>
      <c r="G280" s="312" t="s">
        <v>11789</v>
      </c>
      <c r="H280" s="309">
        <v>8256</v>
      </c>
      <c r="I280" s="310">
        <v>20.25</v>
      </c>
      <c r="J280" s="307"/>
      <c r="K280" s="307">
        <f>IFERROR(Table24[[#This Row],[ROUTE COST]]/Table24[[#This Row],[O - DEMAND]],0)</f>
        <v>0</v>
      </c>
      <c r="L280" s="306"/>
      <c r="M280" s="310">
        <f>Table24[[#This Row],[O - DEMAND]]/950</f>
        <v>0</v>
      </c>
      <c r="N280" s="306">
        <f>IFERROR(VLOOKUP(Table24[[#This Row],[ROUTE]],DEMAND!A:F,5,FALSE),0)</f>
        <v>0</v>
      </c>
      <c r="O280" s="306">
        <f>IFERROR(VLOOKUP(Table24[[#This Row],[ROUTE]],DEMAND!A:F,6,FALSE),0)</f>
        <v>0</v>
      </c>
      <c r="P280" s="306">
        <f>ROUNDDOWN(Table24[[#This Row],[R-DEMAND]]/950,0)</f>
        <v>0</v>
      </c>
      <c r="Q280" s="306">
        <f>Table24[[#This Row],[ADD ACC
(475/950)]]*Table24[[#This Row],[Duration
(A359)]]</f>
        <v>0</v>
      </c>
      <c r="R280" s="307">
        <f>IFERROR(VLOOKUP(Table24[[#This Row],[ROUTE]],PRICING!A:B,2,FALSE),0)</f>
        <v>0</v>
      </c>
      <c r="S280" s="308">
        <f>Table24[[#This Row],[C_DEMAND]]-Table24[[#This Row],[R-DEMAND]]</f>
        <v>0</v>
      </c>
      <c r="T280" s="307">
        <f>Table24[[#This Row],[SEATS SOLD]]*Table24[[#This Row],[ECO SEAT]]</f>
        <v>0</v>
      </c>
      <c r="U280" s="307">
        <f>Table24[[#This Row],[SEATS SOLD]]*(IFERROR(VLOOKUP(Table24[[#This Row],[ROUTE]],PRICING!A:C,3,FALSE),0))</f>
        <v>0</v>
      </c>
      <c r="V280" s="307">
        <f>Table24[[#This Row],[SEAT REV]]-Table24[[#This Row],[SEAT REV
(IF IDEAL $)]]</f>
        <v>0</v>
      </c>
    </row>
    <row r="281" spans="1:22" customFormat="1" x14ac:dyDescent="0.25">
      <c r="A281" s="306" t="s">
        <v>17663</v>
      </c>
      <c r="B281" s="306" t="s">
        <v>3917</v>
      </c>
      <c r="C281" s="306"/>
      <c r="D281" s="26">
        <v>2</v>
      </c>
      <c r="E281" s="312" t="s">
        <v>3915</v>
      </c>
      <c r="F281" s="306" t="str">
        <f>VLOOKUP(Table24[[#This Row],[Country]],Table10[[COUNTRY NAME]:[CONTINENT CODE]],3,FALSE)</f>
        <v>EU</v>
      </c>
      <c r="G281" s="312" t="s">
        <v>16899</v>
      </c>
      <c r="H281" s="309">
        <v>8268</v>
      </c>
      <c r="I281" s="310">
        <v>20.25</v>
      </c>
      <c r="J281" s="307"/>
      <c r="K281" s="307">
        <f>IFERROR(Table24[[#This Row],[ROUTE COST]]/Table24[[#This Row],[O - DEMAND]],0)</f>
        <v>0</v>
      </c>
      <c r="L281" s="306"/>
      <c r="M281" s="310">
        <f>Table24[[#This Row],[O - DEMAND]]/950</f>
        <v>0</v>
      </c>
      <c r="N281" s="306">
        <f>IFERROR(VLOOKUP(Table24[[#This Row],[ROUTE]],DEMAND!A:F,5,FALSE),0)</f>
        <v>0</v>
      </c>
      <c r="O281" s="306">
        <f>IFERROR(VLOOKUP(Table24[[#This Row],[ROUTE]],DEMAND!A:F,6,FALSE),0)</f>
        <v>0</v>
      </c>
      <c r="P281" s="306">
        <f>ROUNDDOWN(Table24[[#This Row],[R-DEMAND]]/950,0)</f>
        <v>0</v>
      </c>
      <c r="Q281" s="306">
        <f>Table24[[#This Row],[ADD ACC
(475/950)]]*Table24[[#This Row],[Duration
(A359)]]</f>
        <v>0</v>
      </c>
      <c r="R281" s="307">
        <f>IFERROR(VLOOKUP(Table24[[#This Row],[ROUTE]],PRICING!A:B,2,FALSE),0)</f>
        <v>0</v>
      </c>
      <c r="S281" s="308">
        <f>Table24[[#This Row],[C_DEMAND]]-Table24[[#This Row],[R-DEMAND]]</f>
        <v>0</v>
      </c>
      <c r="T281" s="307">
        <f>Table24[[#This Row],[SEATS SOLD]]*Table24[[#This Row],[ECO SEAT]]</f>
        <v>0</v>
      </c>
      <c r="U281" s="307">
        <f>Table24[[#This Row],[SEATS SOLD]]*(IFERROR(VLOOKUP(Table24[[#This Row],[ROUTE]],PRICING!A:C,3,FALSE),0))</f>
        <v>0</v>
      </c>
      <c r="V281" s="307">
        <f>Table24[[#This Row],[SEAT REV]]-Table24[[#This Row],[SEAT REV
(IF IDEAL $)]]</f>
        <v>0</v>
      </c>
    </row>
    <row r="282" spans="1:22" customFormat="1" x14ac:dyDescent="0.25">
      <c r="A282" s="306" t="s">
        <v>17667</v>
      </c>
      <c r="B282" s="306" t="s">
        <v>3305</v>
      </c>
      <c r="C282" s="306"/>
      <c r="D282" s="26">
        <v>2</v>
      </c>
      <c r="E282" s="312" t="s">
        <v>585</v>
      </c>
      <c r="F282" s="306" t="str">
        <f>VLOOKUP(Table24[[#This Row],[Country]],Table10[[COUNTRY NAME]:[CONTINENT CODE]],3,FALSE)</f>
        <v>EU</v>
      </c>
      <c r="G282" s="312" t="s">
        <v>16900</v>
      </c>
      <c r="H282" s="309">
        <v>8210</v>
      </c>
      <c r="I282" s="310">
        <v>20.25</v>
      </c>
      <c r="J282" s="307"/>
      <c r="K282" s="307">
        <f>IFERROR(Table24[[#This Row],[ROUTE COST]]/Table24[[#This Row],[O - DEMAND]],0)</f>
        <v>0</v>
      </c>
      <c r="L282" s="306"/>
      <c r="M282" s="310">
        <f>Table24[[#This Row],[O - DEMAND]]/950</f>
        <v>0</v>
      </c>
      <c r="N282" s="306">
        <f>IFERROR(VLOOKUP(Table24[[#This Row],[ROUTE]],DEMAND!A:F,5,FALSE),0)</f>
        <v>0</v>
      </c>
      <c r="O282" s="306">
        <f>IFERROR(VLOOKUP(Table24[[#This Row],[ROUTE]],DEMAND!A:F,6,FALSE),0)</f>
        <v>0</v>
      </c>
      <c r="P282" s="306">
        <f>ROUNDDOWN(Table24[[#This Row],[R-DEMAND]]/950,0)</f>
        <v>0</v>
      </c>
      <c r="Q282" s="306">
        <f>Table24[[#This Row],[ADD ACC
(475/950)]]*Table24[[#This Row],[Duration
(A359)]]</f>
        <v>0</v>
      </c>
      <c r="R282" s="307">
        <f>IFERROR(VLOOKUP(Table24[[#This Row],[ROUTE]],PRICING!A:B,2,FALSE),0)</f>
        <v>0</v>
      </c>
      <c r="S282" s="308">
        <f>Table24[[#This Row],[C_DEMAND]]-Table24[[#This Row],[R-DEMAND]]</f>
        <v>0</v>
      </c>
      <c r="T282" s="307">
        <f>Table24[[#This Row],[SEATS SOLD]]*Table24[[#This Row],[ECO SEAT]]</f>
        <v>0</v>
      </c>
      <c r="U282" s="307">
        <f>Table24[[#This Row],[SEATS SOLD]]*(IFERROR(VLOOKUP(Table24[[#This Row],[ROUTE]],PRICING!A:C,3,FALSE),0))</f>
        <v>0</v>
      </c>
      <c r="V282" s="307">
        <f>Table24[[#This Row],[SEAT REV]]-Table24[[#This Row],[SEAT REV
(IF IDEAL $)]]</f>
        <v>0</v>
      </c>
    </row>
    <row r="283" spans="1:22" customFormat="1" x14ac:dyDescent="0.25">
      <c r="A283" s="306" t="s">
        <v>17665</v>
      </c>
      <c r="B283" s="306" t="s">
        <v>4402</v>
      </c>
      <c r="C283" s="306"/>
      <c r="D283" s="26">
        <v>2</v>
      </c>
      <c r="E283" s="312" t="s">
        <v>3915</v>
      </c>
      <c r="F283" s="306" t="str">
        <f>VLOOKUP(Table24[[#This Row],[Country]],Table10[[COUNTRY NAME]:[CONTINENT CODE]],3,FALSE)</f>
        <v>EU</v>
      </c>
      <c r="G283" s="312" t="s">
        <v>11793</v>
      </c>
      <c r="H283" s="309">
        <v>8225</v>
      </c>
      <c r="I283" s="310">
        <v>20.25</v>
      </c>
      <c r="J283" s="307"/>
      <c r="K283" s="307">
        <f>IFERROR(Table24[[#This Row],[ROUTE COST]]/Table24[[#This Row],[O - DEMAND]],0)</f>
        <v>0</v>
      </c>
      <c r="L283" s="306"/>
      <c r="M283" s="310">
        <f>Table24[[#This Row],[O - DEMAND]]/950</f>
        <v>0</v>
      </c>
      <c r="N283" s="306">
        <f>IFERROR(VLOOKUP(Table24[[#This Row],[ROUTE]],DEMAND!A:F,5,FALSE),0)</f>
        <v>0</v>
      </c>
      <c r="O283" s="306">
        <f>IFERROR(VLOOKUP(Table24[[#This Row],[ROUTE]],DEMAND!A:F,6,FALSE),0)</f>
        <v>0</v>
      </c>
      <c r="P283" s="306">
        <f>ROUNDDOWN(Table24[[#This Row],[R-DEMAND]]/950,0)</f>
        <v>0</v>
      </c>
      <c r="Q283" s="306">
        <f>Table24[[#This Row],[ADD ACC
(475/950)]]*Table24[[#This Row],[Duration
(A359)]]</f>
        <v>0</v>
      </c>
      <c r="R283" s="307">
        <f>IFERROR(VLOOKUP(Table24[[#This Row],[ROUTE]],PRICING!A:B,2,FALSE),0)</f>
        <v>0</v>
      </c>
      <c r="S283" s="308">
        <f>Table24[[#This Row],[C_DEMAND]]-Table24[[#This Row],[R-DEMAND]]</f>
        <v>0</v>
      </c>
      <c r="T283" s="307">
        <f>Table24[[#This Row],[SEATS SOLD]]*Table24[[#This Row],[ECO SEAT]]</f>
        <v>0</v>
      </c>
      <c r="U283" s="307">
        <f>Table24[[#This Row],[SEATS SOLD]]*(IFERROR(VLOOKUP(Table24[[#This Row],[ROUTE]],PRICING!A:C,3,FALSE),0))</f>
        <v>0</v>
      </c>
      <c r="V283" s="307">
        <f>Table24[[#This Row],[SEAT REV]]-Table24[[#This Row],[SEAT REV
(IF IDEAL $)]]</f>
        <v>0</v>
      </c>
    </row>
    <row r="284" spans="1:22" customFormat="1" x14ac:dyDescent="0.25">
      <c r="A284" s="306" t="s">
        <v>17662</v>
      </c>
      <c r="B284" s="306" t="s">
        <v>3741</v>
      </c>
      <c r="C284" s="306"/>
      <c r="D284" s="26">
        <v>2</v>
      </c>
      <c r="E284" s="312" t="s">
        <v>1117</v>
      </c>
      <c r="F284" s="306" t="str">
        <f>VLOOKUP(Table24[[#This Row],[Country]],Table10[[COUNTRY NAME]:[CONTINENT CODE]],3,FALSE)</f>
        <v>EU</v>
      </c>
      <c r="G284" s="312" t="s">
        <v>7722</v>
      </c>
      <c r="H284" s="309">
        <v>8273</v>
      </c>
      <c r="I284" s="310">
        <v>20.25</v>
      </c>
      <c r="J284" s="307"/>
      <c r="K284" s="307">
        <f>IFERROR(Table24[[#This Row],[ROUTE COST]]/Table24[[#This Row],[O - DEMAND]],0)</f>
        <v>0</v>
      </c>
      <c r="L284" s="306"/>
      <c r="M284" s="310">
        <f>Table24[[#This Row],[O - DEMAND]]/950</f>
        <v>0</v>
      </c>
      <c r="N284" s="306">
        <f>IFERROR(VLOOKUP(Table24[[#This Row],[ROUTE]],DEMAND!A:F,5,FALSE),0)</f>
        <v>0</v>
      </c>
      <c r="O284" s="306">
        <f>IFERROR(VLOOKUP(Table24[[#This Row],[ROUTE]],DEMAND!A:F,6,FALSE),0)</f>
        <v>0</v>
      </c>
      <c r="P284" s="306">
        <f>ROUNDDOWN(Table24[[#This Row],[R-DEMAND]]/950,0)</f>
        <v>0</v>
      </c>
      <c r="Q284" s="306">
        <f>Table24[[#This Row],[ADD ACC
(475/950)]]*Table24[[#This Row],[Duration
(A359)]]</f>
        <v>0</v>
      </c>
      <c r="R284" s="307">
        <f>IFERROR(VLOOKUP(Table24[[#This Row],[ROUTE]],PRICING!A:B,2,FALSE),0)</f>
        <v>0</v>
      </c>
      <c r="S284" s="308">
        <f>Table24[[#This Row],[C_DEMAND]]-Table24[[#This Row],[R-DEMAND]]</f>
        <v>0</v>
      </c>
      <c r="T284" s="307">
        <f>Table24[[#This Row],[SEATS SOLD]]*Table24[[#This Row],[ECO SEAT]]</f>
        <v>0</v>
      </c>
      <c r="U284" s="307">
        <f>Table24[[#This Row],[SEATS SOLD]]*(IFERROR(VLOOKUP(Table24[[#This Row],[ROUTE]],PRICING!A:C,3,FALSE),0))</f>
        <v>0</v>
      </c>
      <c r="V284" s="307">
        <f>Table24[[#This Row],[SEAT REV]]-Table24[[#This Row],[SEAT REV
(IF IDEAL $)]]</f>
        <v>0</v>
      </c>
    </row>
    <row r="285" spans="1:22" customFormat="1" x14ac:dyDescent="0.25">
      <c r="A285" s="306" t="s">
        <v>17666</v>
      </c>
      <c r="B285" s="306" t="s">
        <v>4355</v>
      </c>
      <c r="C285" s="306"/>
      <c r="D285" s="26">
        <v>2</v>
      </c>
      <c r="E285" s="312" t="s">
        <v>308</v>
      </c>
      <c r="F285" s="306" t="str">
        <f>VLOOKUP(Table24[[#This Row],[Country]],Table10[[COUNTRY NAME]:[CONTINENT CODE]],3,FALSE)</f>
        <v>EU</v>
      </c>
      <c r="G285" s="312" t="s">
        <v>11788</v>
      </c>
      <c r="H285" s="309">
        <v>8219</v>
      </c>
      <c r="I285" s="310">
        <v>20.25</v>
      </c>
      <c r="J285" s="307"/>
      <c r="K285" s="307">
        <f>IFERROR(Table24[[#This Row],[ROUTE COST]]/Table24[[#This Row],[O - DEMAND]],0)</f>
        <v>0</v>
      </c>
      <c r="L285" s="306"/>
      <c r="M285" s="310">
        <f>Table24[[#This Row],[O - DEMAND]]/950</f>
        <v>0</v>
      </c>
      <c r="N285" s="306">
        <f>IFERROR(VLOOKUP(Table24[[#This Row],[ROUTE]],DEMAND!A:F,5,FALSE),0)</f>
        <v>0</v>
      </c>
      <c r="O285" s="306">
        <f>IFERROR(VLOOKUP(Table24[[#This Row],[ROUTE]],DEMAND!A:F,6,FALSE),0)</f>
        <v>0</v>
      </c>
      <c r="P285" s="306">
        <f>ROUNDDOWN(Table24[[#This Row],[R-DEMAND]]/950,0)</f>
        <v>0</v>
      </c>
      <c r="Q285" s="306">
        <f>Table24[[#This Row],[ADD ACC
(475/950)]]*Table24[[#This Row],[Duration
(A359)]]</f>
        <v>0</v>
      </c>
      <c r="R285" s="307">
        <f>IFERROR(VLOOKUP(Table24[[#This Row],[ROUTE]],PRICING!A:B,2,FALSE),0)</f>
        <v>0</v>
      </c>
      <c r="S285" s="308">
        <f>Table24[[#This Row],[C_DEMAND]]-Table24[[#This Row],[R-DEMAND]]</f>
        <v>0</v>
      </c>
      <c r="T285" s="307">
        <f>Table24[[#This Row],[SEATS SOLD]]*Table24[[#This Row],[ECO SEAT]]</f>
        <v>0</v>
      </c>
      <c r="U285" s="307">
        <f>Table24[[#This Row],[SEATS SOLD]]*(IFERROR(VLOOKUP(Table24[[#This Row],[ROUTE]],PRICING!A:C,3,FALSE),0))</f>
        <v>0</v>
      </c>
      <c r="V285" s="307">
        <f>Table24[[#This Row],[SEAT REV]]-Table24[[#This Row],[SEAT REV
(IF IDEAL $)]]</f>
        <v>0</v>
      </c>
    </row>
    <row r="286" spans="1:22" customFormat="1" x14ac:dyDescent="0.25">
      <c r="A286" s="306" t="s">
        <v>17190</v>
      </c>
      <c r="B286" s="306" t="s">
        <v>2476</v>
      </c>
      <c r="C286" s="306"/>
      <c r="D286" s="26">
        <v>1</v>
      </c>
      <c r="E286" s="312" t="s">
        <v>971</v>
      </c>
      <c r="F286" s="306" t="str">
        <f>VLOOKUP(Table24[[#This Row],[Country]],Table10[[COUNTRY NAME]:[CONTINENT CODE]],3,FALSE)</f>
        <v>AF</v>
      </c>
      <c r="G286" s="312" t="s">
        <v>11774</v>
      </c>
      <c r="H286" s="309">
        <v>8224</v>
      </c>
      <c r="I286" s="310">
        <v>20.25</v>
      </c>
      <c r="J286" s="307"/>
      <c r="K286" s="307">
        <f>IFERROR(Table24[[#This Row],[ROUTE COST]]/Table24[[#This Row],[O - DEMAND]],0)</f>
        <v>0</v>
      </c>
      <c r="L286" s="306"/>
      <c r="M286" s="310">
        <f>Table24[[#This Row],[O - DEMAND]]/950</f>
        <v>0</v>
      </c>
      <c r="N286" s="306">
        <f>IFERROR(VLOOKUP(Table24[[#This Row],[ROUTE]],DEMAND!A:F,5,FALSE),0)</f>
        <v>0</v>
      </c>
      <c r="O286" s="306">
        <f>IFERROR(VLOOKUP(Table24[[#This Row],[ROUTE]],DEMAND!A:F,6,FALSE),0)</f>
        <v>0</v>
      </c>
      <c r="P286" s="306">
        <f>ROUNDDOWN(Table24[[#This Row],[R-DEMAND]]/950,0)</f>
        <v>0</v>
      </c>
      <c r="Q286" s="306">
        <f>Table24[[#This Row],[ADD ACC
(475/950)]]*Table24[[#This Row],[Duration
(A359)]]</f>
        <v>0</v>
      </c>
      <c r="R286" s="307">
        <f>IFERROR(VLOOKUP(Table24[[#This Row],[ROUTE]],PRICING!A:B,2,FALSE),0)</f>
        <v>0</v>
      </c>
      <c r="S286" s="308">
        <f>Table24[[#This Row],[C_DEMAND]]-Table24[[#This Row],[R-DEMAND]]</f>
        <v>0</v>
      </c>
      <c r="T286" s="307">
        <f>Table24[[#This Row],[SEATS SOLD]]*Table24[[#This Row],[ECO SEAT]]</f>
        <v>0</v>
      </c>
      <c r="U286" s="307">
        <f>Table24[[#This Row],[SEATS SOLD]]*(IFERROR(VLOOKUP(Table24[[#This Row],[ROUTE]],PRICING!A:C,3,FALSE),0))</f>
        <v>0</v>
      </c>
      <c r="V286" s="307">
        <f>Table24[[#This Row],[SEAT REV]]-Table24[[#This Row],[SEAT REV
(IF IDEAL $)]]</f>
        <v>0</v>
      </c>
    </row>
    <row r="287" spans="1:22" customFormat="1" x14ac:dyDescent="0.25">
      <c r="A287" s="306" t="s">
        <v>17097</v>
      </c>
      <c r="B287" s="306" t="s">
        <v>1433</v>
      </c>
      <c r="C287" s="306"/>
      <c r="D287" s="26">
        <v>1</v>
      </c>
      <c r="E287" s="312" t="s">
        <v>493</v>
      </c>
      <c r="F287" s="306" t="str">
        <f>VLOOKUP(Table24[[#This Row],[Country]],Table10[[COUNTRY NAME]:[CONTINENT CODE]],3,FALSE)</f>
        <v>AF</v>
      </c>
      <c r="G287" s="312" t="s">
        <v>11756</v>
      </c>
      <c r="H287" s="309">
        <v>8221</v>
      </c>
      <c r="I287" s="310">
        <v>20.25</v>
      </c>
      <c r="J287" s="307"/>
      <c r="K287" s="307">
        <f>IFERROR(Table24[[#This Row],[ROUTE COST]]/Table24[[#This Row],[O - DEMAND]],0)</f>
        <v>0</v>
      </c>
      <c r="L287" s="306"/>
      <c r="M287" s="310">
        <f>Table24[[#This Row],[O - DEMAND]]/950</f>
        <v>0</v>
      </c>
      <c r="N287" s="306">
        <f>IFERROR(VLOOKUP(Table24[[#This Row],[ROUTE]],DEMAND!A:F,5,FALSE),0)</f>
        <v>0</v>
      </c>
      <c r="O287" s="306">
        <f>IFERROR(VLOOKUP(Table24[[#This Row],[ROUTE]],DEMAND!A:F,6,FALSE),0)</f>
        <v>0</v>
      </c>
      <c r="P287" s="306">
        <f>ROUNDDOWN(Table24[[#This Row],[R-DEMAND]]/950,0)</f>
        <v>0</v>
      </c>
      <c r="Q287" s="306">
        <f>Table24[[#This Row],[ADD ACC
(475/950)]]*Table24[[#This Row],[Duration
(A359)]]</f>
        <v>0</v>
      </c>
      <c r="R287" s="307">
        <f>IFERROR(VLOOKUP(Table24[[#This Row],[ROUTE]],PRICING!A:B,2,FALSE),0)</f>
        <v>0</v>
      </c>
      <c r="S287" s="308">
        <f>Table24[[#This Row],[C_DEMAND]]-Table24[[#This Row],[R-DEMAND]]</f>
        <v>0</v>
      </c>
      <c r="T287" s="307">
        <f>Table24[[#This Row],[SEATS SOLD]]*Table24[[#This Row],[ECO SEAT]]</f>
        <v>0</v>
      </c>
      <c r="U287" s="307">
        <f>Table24[[#This Row],[SEATS SOLD]]*(IFERROR(VLOOKUP(Table24[[#This Row],[ROUTE]],PRICING!A:C,3,FALSE),0))</f>
        <v>0</v>
      </c>
      <c r="V287" s="307">
        <f>Table24[[#This Row],[SEAT REV]]-Table24[[#This Row],[SEAT REV
(IF IDEAL $)]]</f>
        <v>0</v>
      </c>
    </row>
    <row r="288" spans="1:22" customFormat="1" x14ac:dyDescent="0.25">
      <c r="A288" s="306" t="s">
        <v>17553</v>
      </c>
      <c r="B288" s="306" t="s">
        <v>4937</v>
      </c>
      <c r="C288" s="306"/>
      <c r="D288" s="26">
        <v>3</v>
      </c>
      <c r="E288" s="312" t="s">
        <v>1427</v>
      </c>
      <c r="F288" s="306" t="str">
        <f>VLOOKUP(Table24[[#This Row],[Country]],Table10[[COUNTRY NAME]:[CONTINENT CODE]],3,FALSE)</f>
        <v>EU</v>
      </c>
      <c r="G288" s="312" t="s">
        <v>11791</v>
      </c>
      <c r="H288" s="309">
        <v>8142</v>
      </c>
      <c r="I288" s="310">
        <v>20</v>
      </c>
      <c r="J288" s="307"/>
      <c r="K288" s="307">
        <f>IFERROR(Table24[[#This Row],[ROUTE COST]]/Table24[[#This Row],[O - DEMAND]],0)</f>
        <v>0</v>
      </c>
      <c r="L288" s="306"/>
      <c r="M288" s="310">
        <f>Table24[[#This Row],[O - DEMAND]]/950</f>
        <v>0</v>
      </c>
      <c r="N288" s="306">
        <f>IFERROR(VLOOKUP(Table24[[#This Row],[ROUTE]],DEMAND!A:F,5,FALSE),0)</f>
        <v>0</v>
      </c>
      <c r="O288" s="306">
        <f>IFERROR(VLOOKUP(Table24[[#This Row],[ROUTE]],DEMAND!A:F,6,FALSE),0)</f>
        <v>0</v>
      </c>
      <c r="P288" s="306">
        <f>ROUNDDOWN(Table24[[#This Row],[R-DEMAND]]/950,0)</f>
        <v>0</v>
      </c>
      <c r="Q288" s="306">
        <f>Table24[[#This Row],[ADD ACC
(475/950)]]*Table24[[#This Row],[Duration
(A359)]]</f>
        <v>0</v>
      </c>
      <c r="R288" s="307">
        <f>IFERROR(VLOOKUP(Table24[[#This Row],[ROUTE]],PRICING!A:B,2,FALSE),0)</f>
        <v>0</v>
      </c>
      <c r="S288" s="308">
        <f>Table24[[#This Row],[C_DEMAND]]-Table24[[#This Row],[R-DEMAND]]</f>
        <v>0</v>
      </c>
      <c r="T288" s="307">
        <f>Table24[[#This Row],[SEATS SOLD]]*Table24[[#This Row],[ECO SEAT]]</f>
        <v>0</v>
      </c>
      <c r="U288" s="307">
        <f>Table24[[#This Row],[SEATS SOLD]]*(IFERROR(VLOOKUP(Table24[[#This Row],[ROUTE]],PRICING!A:C,3,FALSE),0))</f>
        <v>0</v>
      </c>
      <c r="V288" s="307">
        <f>Table24[[#This Row],[SEAT REV]]-Table24[[#This Row],[SEAT REV
(IF IDEAL $)]]</f>
        <v>0</v>
      </c>
    </row>
    <row r="289" spans="1:22" customFormat="1" x14ac:dyDescent="0.25">
      <c r="A289" s="306" t="s">
        <v>17188</v>
      </c>
      <c r="B289" s="306" t="s">
        <v>3381</v>
      </c>
      <c r="C289" s="306"/>
      <c r="D289" s="26">
        <v>2</v>
      </c>
      <c r="E289" s="312" t="s">
        <v>971</v>
      </c>
      <c r="F289" s="306" t="str">
        <f>VLOOKUP(Table24[[#This Row],[Country]],Table10[[COUNTRY NAME]:[CONTINENT CODE]],3,FALSE)</f>
        <v>AF</v>
      </c>
      <c r="G289" s="312" t="s">
        <v>11770</v>
      </c>
      <c r="H289" s="309">
        <v>8171</v>
      </c>
      <c r="I289" s="310">
        <v>20</v>
      </c>
      <c r="J289" s="307"/>
      <c r="K289" s="307">
        <f>IFERROR(Table24[[#This Row],[ROUTE COST]]/Table24[[#This Row],[O - DEMAND]],0)</f>
        <v>0</v>
      </c>
      <c r="L289" s="306"/>
      <c r="M289" s="310">
        <f>Table24[[#This Row],[O - DEMAND]]/950</f>
        <v>0</v>
      </c>
      <c r="N289" s="306">
        <f>IFERROR(VLOOKUP(Table24[[#This Row],[ROUTE]],DEMAND!A:F,5,FALSE),0)</f>
        <v>0</v>
      </c>
      <c r="O289" s="306">
        <f>IFERROR(VLOOKUP(Table24[[#This Row],[ROUTE]],DEMAND!A:F,6,FALSE),0)</f>
        <v>0</v>
      </c>
      <c r="P289" s="306">
        <f>ROUNDDOWN(Table24[[#This Row],[R-DEMAND]]/950,0)</f>
        <v>0</v>
      </c>
      <c r="Q289" s="306">
        <f>Table24[[#This Row],[ADD ACC
(475/950)]]*Table24[[#This Row],[Duration
(A359)]]</f>
        <v>0</v>
      </c>
      <c r="R289" s="307">
        <f>IFERROR(VLOOKUP(Table24[[#This Row],[ROUTE]],PRICING!A:B,2,FALSE),0)</f>
        <v>0</v>
      </c>
      <c r="S289" s="308">
        <f>Table24[[#This Row],[C_DEMAND]]-Table24[[#This Row],[R-DEMAND]]</f>
        <v>0</v>
      </c>
      <c r="T289" s="307">
        <f>Table24[[#This Row],[SEATS SOLD]]*Table24[[#This Row],[ECO SEAT]]</f>
        <v>0</v>
      </c>
      <c r="U289" s="307">
        <f>Table24[[#This Row],[SEATS SOLD]]*(IFERROR(VLOOKUP(Table24[[#This Row],[ROUTE]],PRICING!A:C,3,FALSE),0))</f>
        <v>0</v>
      </c>
      <c r="V289" s="307">
        <f>Table24[[#This Row],[SEAT REV]]-Table24[[#This Row],[SEAT REV
(IF IDEAL $)]]</f>
        <v>0</v>
      </c>
    </row>
    <row r="290" spans="1:22" customFormat="1" x14ac:dyDescent="0.25">
      <c r="A290" s="306" t="s">
        <v>17668</v>
      </c>
      <c r="B290" s="306" t="s">
        <v>4144</v>
      </c>
      <c r="C290" s="306"/>
      <c r="D290" s="26">
        <v>2</v>
      </c>
      <c r="E290" s="312" t="s">
        <v>308</v>
      </c>
      <c r="F290" s="306" t="str">
        <f>VLOOKUP(Table24[[#This Row],[Country]],Table10[[COUNTRY NAME]:[CONTINENT CODE]],3,FALSE)</f>
        <v>EU</v>
      </c>
      <c r="G290" s="312" t="s">
        <v>11785</v>
      </c>
      <c r="H290" s="309">
        <v>8188</v>
      </c>
      <c r="I290" s="310">
        <v>20</v>
      </c>
      <c r="J290" s="307"/>
      <c r="K290" s="307">
        <f>IFERROR(Table24[[#This Row],[ROUTE COST]]/Table24[[#This Row],[O - DEMAND]],0)</f>
        <v>0</v>
      </c>
      <c r="L290" s="306"/>
      <c r="M290" s="310">
        <f>Table24[[#This Row],[O - DEMAND]]/950</f>
        <v>0</v>
      </c>
      <c r="N290" s="306">
        <f>IFERROR(VLOOKUP(Table24[[#This Row],[ROUTE]],DEMAND!A:F,5,FALSE),0)</f>
        <v>0</v>
      </c>
      <c r="O290" s="306">
        <f>IFERROR(VLOOKUP(Table24[[#This Row],[ROUTE]],DEMAND!A:F,6,FALSE),0)</f>
        <v>0</v>
      </c>
      <c r="P290" s="306">
        <f>ROUNDDOWN(Table24[[#This Row],[R-DEMAND]]/950,0)</f>
        <v>0</v>
      </c>
      <c r="Q290" s="306">
        <f>Table24[[#This Row],[ADD ACC
(475/950)]]*Table24[[#This Row],[Duration
(A359)]]</f>
        <v>0</v>
      </c>
      <c r="R290" s="307">
        <f>IFERROR(VLOOKUP(Table24[[#This Row],[ROUTE]],PRICING!A:B,2,FALSE),0)</f>
        <v>0</v>
      </c>
      <c r="S290" s="308">
        <f>Table24[[#This Row],[C_DEMAND]]-Table24[[#This Row],[R-DEMAND]]</f>
        <v>0</v>
      </c>
      <c r="T290" s="307">
        <f>Table24[[#This Row],[SEATS SOLD]]*Table24[[#This Row],[ECO SEAT]]</f>
        <v>0</v>
      </c>
      <c r="U290" s="307">
        <f>Table24[[#This Row],[SEATS SOLD]]*(IFERROR(VLOOKUP(Table24[[#This Row],[ROUTE]],PRICING!A:C,3,FALSE),0))</f>
        <v>0</v>
      </c>
      <c r="V290" s="307">
        <f>Table24[[#This Row],[SEAT REV]]-Table24[[#This Row],[SEAT REV
(IF IDEAL $)]]</f>
        <v>0</v>
      </c>
    </row>
    <row r="291" spans="1:22" customFormat="1" x14ac:dyDescent="0.25">
      <c r="A291" s="306" t="s">
        <v>17670</v>
      </c>
      <c r="B291" s="306" t="s">
        <v>4279</v>
      </c>
      <c r="C291" s="306"/>
      <c r="D291" s="26">
        <v>2</v>
      </c>
      <c r="E291" s="312" t="s">
        <v>1427</v>
      </c>
      <c r="F291" s="306" t="str">
        <f>VLOOKUP(Table24[[#This Row],[Country]],Table10[[COUNTRY NAME]:[CONTINENT CODE]],3,FALSE)</f>
        <v>EU</v>
      </c>
      <c r="G291" s="312" t="s">
        <v>11787</v>
      </c>
      <c r="H291" s="309">
        <v>8104</v>
      </c>
      <c r="I291" s="310">
        <v>20</v>
      </c>
      <c r="J291" s="307"/>
      <c r="K291" s="307">
        <f>IFERROR(Table24[[#This Row],[ROUTE COST]]/Table24[[#This Row],[O - DEMAND]],0)</f>
        <v>0</v>
      </c>
      <c r="L291" s="306"/>
      <c r="M291" s="310">
        <f>Table24[[#This Row],[O - DEMAND]]/950</f>
        <v>0</v>
      </c>
      <c r="N291" s="306">
        <f>IFERROR(VLOOKUP(Table24[[#This Row],[ROUTE]],DEMAND!A:F,5,FALSE),0)</f>
        <v>0</v>
      </c>
      <c r="O291" s="306">
        <f>IFERROR(VLOOKUP(Table24[[#This Row],[ROUTE]],DEMAND!A:F,6,FALSE),0)</f>
        <v>0</v>
      </c>
      <c r="P291" s="306">
        <f>ROUNDDOWN(Table24[[#This Row],[R-DEMAND]]/950,0)</f>
        <v>0</v>
      </c>
      <c r="Q291" s="306">
        <f>Table24[[#This Row],[ADD ACC
(475/950)]]*Table24[[#This Row],[Duration
(A359)]]</f>
        <v>0</v>
      </c>
      <c r="R291" s="307">
        <f>IFERROR(VLOOKUP(Table24[[#This Row],[ROUTE]],PRICING!A:B,2,FALSE),0)</f>
        <v>0</v>
      </c>
      <c r="S291" s="308">
        <f>Table24[[#This Row],[C_DEMAND]]-Table24[[#This Row],[R-DEMAND]]</f>
        <v>0</v>
      </c>
      <c r="T291" s="307">
        <f>Table24[[#This Row],[SEATS SOLD]]*Table24[[#This Row],[ECO SEAT]]</f>
        <v>0</v>
      </c>
      <c r="U291" s="307">
        <f>Table24[[#This Row],[SEATS SOLD]]*(IFERROR(VLOOKUP(Table24[[#This Row],[ROUTE]],PRICING!A:C,3,FALSE),0))</f>
        <v>0</v>
      </c>
      <c r="V291" s="307">
        <f>Table24[[#This Row],[SEAT REV]]-Table24[[#This Row],[SEAT REV
(IF IDEAL $)]]</f>
        <v>0</v>
      </c>
    </row>
    <row r="292" spans="1:22" customFormat="1" x14ac:dyDescent="0.25">
      <c r="A292" s="306" t="s">
        <v>17669</v>
      </c>
      <c r="B292" s="306" t="s">
        <v>3040</v>
      </c>
      <c r="C292" s="306"/>
      <c r="D292" s="26">
        <v>2</v>
      </c>
      <c r="E292" s="312" t="s">
        <v>585</v>
      </c>
      <c r="F292" s="306" t="str">
        <f>VLOOKUP(Table24[[#This Row],[Country]],Table10[[COUNTRY NAME]:[CONTINENT CODE]],3,FALSE)</f>
        <v>EU</v>
      </c>
      <c r="G292" s="312" t="s">
        <v>16901</v>
      </c>
      <c r="H292" s="309">
        <v>8176</v>
      </c>
      <c r="I292" s="310">
        <v>20</v>
      </c>
      <c r="J292" s="307"/>
      <c r="K292" s="307">
        <f>IFERROR(Table24[[#This Row],[ROUTE COST]]/Table24[[#This Row],[O - DEMAND]],0)</f>
        <v>0</v>
      </c>
      <c r="L292" s="306"/>
      <c r="M292" s="310">
        <f>Table24[[#This Row],[O - DEMAND]]/950</f>
        <v>0</v>
      </c>
      <c r="N292" s="306">
        <f>IFERROR(VLOOKUP(Table24[[#This Row],[ROUTE]],DEMAND!A:F,5,FALSE),0)</f>
        <v>0</v>
      </c>
      <c r="O292" s="306">
        <f>IFERROR(VLOOKUP(Table24[[#This Row],[ROUTE]],DEMAND!A:F,6,FALSE),0)</f>
        <v>0</v>
      </c>
      <c r="P292" s="306">
        <f>ROUNDDOWN(Table24[[#This Row],[R-DEMAND]]/950,0)</f>
        <v>0</v>
      </c>
      <c r="Q292" s="306">
        <f>Table24[[#This Row],[ADD ACC
(475/950)]]*Table24[[#This Row],[Duration
(A359)]]</f>
        <v>0</v>
      </c>
      <c r="R292" s="307">
        <f>IFERROR(VLOOKUP(Table24[[#This Row],[ROUTE]],PRICING!A:B,2,FALSE),0)</f>
        <v>0</v>
      </c>
      <c r="S292" s="308">
        <f>Table24[[#This Row],[C_DEMAND]]-Table24[[#This Row],[R-DEMAND]]</f>
        <v>0</v>
      </c>
      <c r="T292" s="307">
        <f>Table24[[#This Row],[SEATS SOLD]]*Table24[[#This Row],[ECO SEAT]]</f>
        <v>0</v>
      </c>
      <c r="U292" s="307">
        <f>Table24[[#This Row],[SEATS SOLD]]*(IFERROR(VLOOKUP(Table24[[#This Row],[ROUTE]],PRICING!A:C,3,FALSE),0))</f>
        <v>0</v>
      </c>
      <c r="V292" s="307">
        <f>Table24[[#This Row],[SEAT REV]]-Table24[[#This Row],[SEAT REV
(IF IDEAL $)]]</f>
        <v>0</v>
      </c>
    </row>
    <row r="293" spans="1:22" customFormat="1" x14ac:dyDescent="0.25">
      <c r="A293" s="306" t="s">
        <v>17720</v>
      </c>
      <c r="B293" s="306" t="s">
        <v>2415</v>
      </c>
      <c r="C293" s="306"/>
      <c r="D293" s="26">
        <v>1</v>
      </c>
      <c r="E293" s="312" t="s">
        <v>585</v>
      </c>
      <c r="F293" s="306" t="str">
        <f>VLOOKUP(Table24[[#This Row],[Country]],Table10[[COUNTRY NAME]:[CONTINENT CODE]],3,FALSE)</f>
        <v>EU</v>
      </c>
      <c r="G293" s="312" t="s">
        <v>16903</v>
      </c>
      <c r="H293" s="309">
        <v>8093</v>
      </c>
      <c r="I293" s="310">
        <v>20</v>
      </c>
      <c r="J293" s="307"/>
      <c r="K293" s="307">
        <f>IFERROR(Table24[[#This Row],[ROUTE COST]]/Table24[[#This Row],[O - DEMAND]],0)</f>
        <v>0</v>
      </c>
      <c r="L293" s="306"/>
      <c r="M293" s="310">
        <f>Table24[[#This Row],[O - DEMAND]]/950</f>
        <v>0</v>
      </c>
      <c r="N293" s="306">
        <f>IFERROR(VLOOKUP(Table24[[#This Row],[ROUTE]],DEMAND!A:F,5,FALSE),0)</f>
        <v>0</v>
      </c>
      <c r="O293" s="306">
        <f>IFERROR(VLOOKUP(Table24[[#This Row],[ROUTE]],DEMAND!A:F,6,FALSE),0)</f>
        <v>0</v>
      </c>
      <c r="P293" s="306">
        <f>ROUNDDOWN(Table24[[#This Row],[R-DEMAND]]/950,0)</f>
        <v>0</v>
      </c>
      <c r="Q293" s="306">
        <f>Table24[[#This Row],[ADD ACC
(475/950)]]*Table24[[#This Row],[Duration
(A359)]]</f>
        <v>0</v>
      </c>
      <c r="R293" s="307">
        <f>IFERROR(VLOOKUP(Table24[[#This Row],[ROUTE]],PRICING!A:B,2,FALSE),0)</f>
        <v>0</v>
      </c>
      <c r="S293" s="308">
        <f>Table24[[#This Row],[C_DEMAND]]-Table24[[#This Row],[R-DEMAND]]</f>
        <v>0</v>
      </c>
      <c r="T293" s="307">
        <f>Table24[[#This Row],[SEATS SOLD]]*Table24[[#This Row],[ECO SEAT]]</f>
        <v>0</v>
      </c>
      <c r="U293" s="307">
        <f>Table24[[#This Row],[SEATS SOLD]]*(IFERROR(VLOOKUP(Table24[[#This Row],[ROUTE]],PRICING!A:C,3,FALSE),0))</f>
        <v>0</v>
      </c>
      <c r="V293" s="307">
        <f>Table24[[#This Row],[SEAT REV]]-Table24[[#This Row],[SEAT REV
(IF IDEAL $)]]</f>
        <v>0</v>
      </c>
    </row>
    <row r="294" spans="1:22" customFormat="1" x14ac:dyDescent="0.25">
      <c r="A294" s="306" t="s">
        <v>17554</v>
      </c>
      <c r="B294" s="306" t="s">
        <v>5392</v>
      </c>
      <c r="C294" s="306"/>
      <c r="D294" s="26">
        <v>3</v>
      </c>
      <c r="E294" s="312" t="s">
        <v>308</v>
      </c>
      <c r="F294" s="306" t="str">
        <f>VLOOKUP(Table24[[#This Row],[Country]],Table10[[COUNTRY NAME]:[CONTINENT CODE]],3,FALSE)</f>
        <v>EU</v>
      </c>
      <c r="G294" s="312" t="s">
        <v>11778</v>
      </c>
      <c r="H294" s="309">
        <v>8076</v>
      </c>
      <c r="I294" s="310">
        <v>19.75</v>
      </c>
      <c r="J294" s="307"/>
      <c r="K294" s="307">
        <f>IFERROR(Table24[[#This Row],[ROUTE COST]]/Table24[[#This Row],[O - DEMAND]],0)</f>
        <v>0</v>
      </c>
      <c r="L294" s="306"/>
      <c r="M294" s="310">
        <f>Table24[[#This Row],[O - DEMAND]]/950</f>
        <v>0</v>
      </c>
      <c r="N294" s="306">
        <f>IFERROR(VLOOKUP(Table24[[#This Row],[ROUTE]],DEMAND!A:F,5,FALSE),0)</f>
        <v>0</v>
      </c>
      <c r="O294" s="306">
        <f>IFERROR(VLOOKUP(Table24[[#This Row],[ROUTE]],DEMAND!A:F,6,FALSE),0)</f>
        <v>0</v>
      </c>
      <c r="P294" s="306">
        <f>ROUNDDOWN(Table24[[#This Row],[R-DEMAND]]/950,0)</f>
        <v>0</v>
      </c>
      <c r="Q294" s="306">
        <f>Table24[[#This Row],[ADD ACC
(475/950)]]*Table24[[#This Row],[Duration
(A359)]]</f>
        <v>0</v>
      </c>
      <c r="R294" s="307">
        <f>IFERROR(VLOOKUP(Table24[[#This Row],[ROUTE]],PRICING!A:B,2,FALSE),0)</f>
        <v>0</v>
      </c>
      <c r="S294" s="308">
        <f>Table24[[#This Row],[C_DEMAND]]-Table24[[#This Row],[R-DEMAND]]</f>
        <v>0</v>
      </c>
      <c r="T294" s="307">
        <f>Table24[[#This Row],[SEATS SOLD]]*Table24[[#This Row],[ECO SEAT]]</f>
        <v>0</v>
      </c>
      <c r="U294" s="307">
        <f>Table24[[#This Row],[SEATS SOLD]]*(IFERROR(VLOOKUP(Table24[[#This Row],[ROUTE]],PRICING!A:C,3,FALSE),0))</f>
        <v>0</v>
      </c>
      <c r="V294" s="307">
        <f>Table24[[#This Row],[SEAT REV]]-Table24[[#This Row],[SEAT REV
(IF IDEAL $)]]</f>
        <v>0</v>
      </c>
    </row>
    <row r="295" spans="1:22" customFormat="1" x14ac:dyDescent="0.25">
      <c r="A295" s="306" t="s">
        <v>17559</v>
      </c>
      <c r="B295" s="306" t="s">
        <v>5231</v>
      </c>
      <c r="C295" s="306"/>
      <c r="D295" s="26">
        <v>3</v>
      </c>
      <c r="E295" s="312" t="s">
        <v>308</v>
      </c>
      <c r="F295" s="306" t="str">
        <f>VLOOKUP(Table24[[#This Row],[Country]],Table10[[COUNTRY NAME]:[CONTINENT CODE]],3,FALSE)</f>
        <v>EU</v>
      </c>
      <c r="G295" s="312" t="s">
        <v>11760</v>
      </c>
      <c r="H295" s="309">
        <v>7988</v>
      </c>
      <c r="I295" s="310">
        <v>19.75</v>
      </c>
      <c r="J295" s="307"/>
      <c r="K295" s="307">
        <f>IFERROR(Table24[[#This Row],[ROUTE COST]]/Table24[[#This Row],[O - DEMAND]],0)</f>
        <v>0</v>
      </c>
      <c r="L295" s="306"/>
      <c r="M295" s="310">
        <f>Table24[[#This Row],[O - DEMAND]]/950</f>
        <v>0</v>
      </c>
      <c r="N295" s="306">
        <f>IFERROR(VLOOKUP(Table24[[#This Row],[ROUTE]],DEMAND!A:F,5,FALSE),0)</f>
        <v>0</v>
      </c>
      <c r="O295" s="306">
        <f>IFERROR(VLOOKUP(Table24[[#This Row],[ROUTE]],DEMAND!A:F,6,FALSE),0)</f>
        <v>0</v>
      </c>
      <c r="P295" s="306">
        <f>ROUNDDOWN(Table24[[#This Row],[R-DEMAND]]/950,0)</f>
        <v>0</v>
      </c>
      <c r="Q295" s="306">
        <f>Table24[[#This Row],[ADD ACC
(475/950)]]*Table24[[#This Row],[Duration
(A359)]]</f>
        <v>0</v>
      </c>
      <c r="R295" s="307">
        <f>IFERROR(VLOOKUP(Table24[[#This Row],[ROUTE]],PRICING!A:B,2,FALSE),0)</f>
        <v>0</v>
      </c>
      <c r="S295" s="308">
        <f>Table24[[#This Row],[C_DEMAND]]-Table24[[#This Row],[R-DEMAND]]</f>
        <v>0</v>
      </c>
      <c r="T295" s="307">
        <f>Table24[[#This Row],[SEATS SOLD]]*Table24[[#This Row],[ECO SEAT]]</f>
        <v>0</v>
      </c>
      <c r="U295" s="307">
        <f>Table24[[#This Row],[SEATS SOLD]]*(IFERROR(VLOOKUP(Table24[[#This Row],[ROUTE]],PRICING!A:C,3,FALSE),0))</f>
        <v>0</v>
      </c>
      <c r="V295" s="307">
        <f>Table24[[#This Row],[SEAT REV]]-Table24[[#This Row],[SEAT REV
(IF IDEAL $)]]</f>
        <v>0</v>
      </c>
    </row>
    <row r="296" spans="1:22" customFormat="1" x14ac:dyDescent="0.25">
      <c r="A296" s="306" t="s">
        <v>17556</v>
      </c>
      <c r="B296" s="306" t="s">
        <v>5051</v>
      </c>
      <c r="C296" s="306"/>
      <c r="D296" s="26">
        <v>3</v>
      </c>
      <c r="E296" s="312" t="s">
        <v>1427</v>
      </c>
      <c r="F296" s="306" t="str">
        <f>VLOOKUP(Table24[[#This Row],[Country]],Table10[[COUNTRY NAME]:[CONTINENT CODE]],3,FALSE)</f>
        <v>EU</v>
      </c>
      <c r="G296" s="312" t="s">
        <v>11780</v>
      </c>
      <c r="H296" s="309">
        <v>8031</v>
      </c>
      <c r="I296" s="310">
        <v>19.75</v>
      </c>
      <c r="J296" s="307"/>
      <c r="K296" s="307">
        <f>IFERROR(Table24[[#This Row],[ROUTE COST]]/Table24[[#This Row],[O - DEMAND]],0)</f>
        <v>0</v>
      </c>
      <c r="L296" s="306"/>
      <c r="M296" s="310">
        <f>Table24[[#This Row],[O - DEMAND]]/950</f>
        <v>0</v>
      </c>
      <c r="N296" s="306">
        <f>IFERROR(VLOOKUP(Table24[[#This Row],[ROUTE]],DEMAND!A:F,5,FALSE),0)</f>
        <v>0</v>
      </c>
      <c r="O296" s="306">
        <f>IFERROR(VLOOKUP(Table24[[#This Row],[ROUTE]],DEMAND!A:F,6,FALSE),0)</f>
        <v>0</v>
      </c>
      <c r="P296" s="306">
        <f>ROUNDDOWN(Table24[[#This Row],[R-DEMAND]]/950,0)</f>
        <v>0</v>
      </c>
      <c r="Q296" s="306">
        <f>Table24[[#This Row],[ADD ACC
(475/950)]]*Table24[[#This Row],[Duration
(A359)]]</f>
        <v>0</v>
      </c>
      <c r="R296" s="307">
        <f>IFERROR(VLOOKUP(Table24[[#This Row],[ROUTE]],PRICING!A:B,2,FALSE),0)</f>
        <v>0</v>
      </c>
      <c r="S296" s="308">
        <f>Table24[[#This Row],[C_DEMAND]]-Table24[[#This Row],[R-DEMAND]]</f>
        <v>0</v>
      </c>
      <c r="T296" s="307">
        <f>Table24[[#This Row],[SEATS SOLD]]*Table24[[#This Row],[ECO SEAT]]</f>
        <v>0</v>
      </c>
      <c r="U296" s="307">
        <f>Table24[[#This Row],[SEATS SOLD]]*(IFERROR(VLOOKUP(Table24[[#This Row],[ROUTE]],PRICING!A:C,3,FALSE),0))</f>
        <v>0</v>
      </c>
      <c r="V296" s="307">
        <f>Table24[[#This Row],[SEAT REV]]-Table24[[#This Row],[SEAT REV
(IF IDEAL $)]]</f>
        <v>0</v>
      </c>
    </row>
    <row r="297" spans="1:22" customFormat="1" x14ac:dyDescent="0.25">
      <c r="A297" s="306" t="s">
        <v>17560</v>
      </c>
      <c r="B297" s="306" t="s">
        <v>5302</v>
      </c>
      <c r="C297" s="306"/>
      <c r="D297" s="26">
        <v>3</v>
      </c>
      <c r="E297" s="312" t="s">
        <v>1427</v>
      </c>
      <c r="F297" s="306" t="str">
        <f>VLOOKUP(Table24[[#This Row],[Country]],Table10[[COUNTRY NAME]:[CONTINENT CODE]],3,FALSE)</f>
        <v>EU</v>
      </c>
      <c r="G297" s="312" t="s">
        <v>16906</v>
      </c>
      <c r="H297" s="309">
        <v>7978</v>
      </c>
      <c r="I297" s="310">
        <v>19.75</v>
      </c>
      <c r="J297" s="307"/>
      <c r="K297" s="307">
        <f>IFERROR(Table24[[#This Row],[ROUTE COST]]/Table24[[#This Row],[O - DEMAND]],0)</f>
        <v>0</v>
      </c>
      <c r="L297" s="306"/>
      <c r="M297" s="310">
        <f>Table24[[#This Row],[O - DEMAND]]/950</f>
        <v>0</v>
      </c>
      <c r="N297" s="306">
        <f>IFERROR(VLOOKUP(Table24[[#This Row],[ROUTE]],DEMAND!A:F,5,FALSE),0)</f>
        <v>0</v>
      </c>
      <c r="O297" s="306">
        <f>IFERROR(VLOOKUP(Table24[[#This Row],[ROUTE]],DEMAND!A:F,6,FALSE),0)</f>
        <v>0</v>
      </c>
      <c r="P297" s="306">
        <f>ROUNDDOWN(Table24[[#This Row],[R-DEMAND]]/950,0)</f>
        <v>0</v>
      </c>
      <c r="Q297" s="306">
        <f>Table24[[#This Row],[ADD ACC
(475/950)]]*Table24[[#This Row],[Duration
(A359)]]</f>
        <v>0</v>
      </c>
      <c r="R297" s="307">
        <f>IFERROR(VLOOKUP(Table24[[#This Row],[ROUTE]],PRICING!A:B,2,FALSE),0)</f>
        <v>0</v>
      </c>
      <c r="S297" s="308">
        <f>Table24[[#This Row],[C_DEMAND]]-Table24[[#This Row],[R-DEMAND]]</f>
        <v>0</v>
      </c>
      <c r="T297" s="307">
        <f>Table24[[#This Row],[SEATS SOLD]]*Table24[[#This Row],[ECO SEAT]]</f>
        <v>0</v>
      </c>
      <c r="U297" s="307">
        <f>Table24[[#This Row],[SEATS SOLD]]*(IFERROR(VLOOKUP(Table24[[#This Row],[ROUTE]],PRICING!A:C,3,FALSE),0))</f>
        <v>0</v>
      </c>
      <c r="V297" s="307">
        <f>Table24[[#This Row],[SEAT REV]]-Table24[[#This Row],[SEAT REV
(IF IDEAL $)]]</f>
        <v>0</v>
      </c>
    </row>
    <row r="298" spans="1:22" customFormat="1" x14ac:dyDescent="0.25">
      <c r="A298" s="306" t="s">
        <v>17558</v>
      </c>
      <c r="B298" s="306" t="s">
        <v>5279</v>
      </c>
      <c r="C298" s="306"/>
      <c r="D298" s="26">
        <v>3</v>
      </c>
      <c r="E298" s="312" t="s">
        <v>308</v>
      </c>
      <c r="F298" s="306" t="str">
        <f>VLOOKUP(Table24[[#This Row],[Country]],Table10[[COUNTRY NAME]:[CONTINENT CODE]],3,FALSE)</f>
        <v>EU</v>
      </c>
      <c r="G298" s="312" t="s">
        <v>11769</v>
      </c>
      <c r="H298" s="309">
        <v>8019</v>
      </c>
      <c r="I298" s="310">
        <v>19.75</v>
      </c>
      <c r="J298" s="307"/>
      <c r="K298" s="307">
        <f>IFERROR(Table24[[#This Row],[ROUTE COST]]/Table24[[#This Row],[O - DEMAND]],0)</f>
        <v>0</v>
      </c>
      <c r="L298" s="306"/>
      <c r="M298" s="310">
        <f>Table24[[#This Row],[O - DEMAND]]/950</f>
        <v>0</v>
      </c>
      <c r="N298" s="306">
        <f>IFERROR(VLOOKUP(Table24[[#This Row],[ROUTE]],DEMAND!A:F,5,FALSE),0)</f>
        <v>0</v>
      </c>
      <c r="O298" s="306">
        <f>IFERROR(VLOOKUP(Table24[[#This Row],[ROUTE]],DEMAND!A:F,6,FALSE),0)</f>
        <v>0</v>
      </c>
      <c r="P298" s="306">
        <f>ROUNDDOWN(Table24[[#This Row],[R-DEMAND]]/950,0)</f>
        <v>0</v>
      </c>
      <c r="Q298" s="306">
        <f>Table24[[#This Row],[ADD ACC
(475/950)]]*Table24[[#This Row],[Duration
(A359)]]</f>
        <v>0</v>
      </c>
      <c r="R298" s="307">
        <f>IFERROR(VLOOKUP(Table24[[#This Row],[ROUTE]],PRICING!A:B,2,FALSE),0)</f>
        <v>0</v>
      </c>
      <c r="S298" s="308">
        <f>Table24[[#This Row],[C_DEMAND]]-Table24[[#This Row],[R-DEMAND]]</f>
        <v>0</v>
      </c>
      <c r="T298" s="307">
        <f>Table24[[#This Row],[SEATS SOLD]]*Table24[[#This Row],[ECO SEAT]]</f>
        <v>0</v>
      </c>
      <c r="U298" s="307">
        <f>Table24[[#This Row],[SEATS SOLD]]*(IFERROR(VLOOKUP(Table24[[#This Row],[ROUTE]],PRICING!A:C,3,FALSE),0))</f>
        <v>0</v>
      </c>
      <c r="V298" s="307">
        <f>Table24[[#This Row],[SEAT REV]]-Table24[[#This Row],[SEAT REV
(IF IDEAL $)]]</f>
        <v>0</v>
      </c>
    </row>
    <row r="299" spans="1:22" customFormat="1" x14ac:dyDescent="0.25">
      <c r="A299" s="306" t="s">
        <v>17557</v>
      </c>
      <c r="B299" s="306" t="s">
        <v>5167</v>
      </c>
      <c r="C299" s="306"/>
      <c r="D299" s="26">
        <v>3</v>
      </c>
      <c r="E299" s="312" t="s">
        <v>308</v>
      </c>
      <c r="F299" s="306" t="str">
        <f>VLOOKUP(Table24[[#This Row],[Country]],Table10[[COUNTRY NAME]:[CONTINENT CODE]],3,FALSE)</f>
        <v>EU</v>
      </c>
      <c r="G299" s="312" t="s">
        <v>11773</v>
      </c>
      <c r="H299" s="309">
        <v>8029</v>
      </c>
      <c r="I299" s="310">
        <v>19.75</v>
      </c>
      <c r="J299" s="307"/>
      <c r="K299" s="307">
        <f>IFERROR(Table24[[#This Row],[ROUTE COST]]/Table24[[#This Row],[O - DEMAND]],0)</f>
        <v>0</v>
      </c>
      <c r="L299" s="306"/>
      <c r="M299" s="310">
        <f>Table24[[#This Row],[O - DEMAND]]/950</f>
        <v>0</v>
      </c>
      <c r="N299" s="306">
        <f>IFERROR(VLOOKUP(Table24[[#This Row],[ROUTE]],DEMAND!A:F,5,FALSE),0)</f>
        <v>0</v>
      </c>
      <c r="O299" s="306">
        <f>IFERROR(VLOOKUP(Table24[[#This Row],[ROUTE]],DEMAND!A:F,6,FALSE),0)</f>
        <v>0</v>
      </c>
      <c r="P299" s="306">
        <f>ROUNDDOWN(Table24[[#This Row],[R-DEMAND]]/950,0)</f>
        <v>0</v>
      </c>
      <c r="Q299" s="306">
        <f>Table24[[#This Row],[ADD ACC
(475/950)]]*Table24[[#This Row],[Duration
(A359)]]</f>
        <v>0</v>
      </c>
      <c r="R299" s="307">
        <f>IFERROR(VLOOKUP(Table24[[#This Row],[ROUTE]],PRICING!A:B,2,FALSE),0)</f>
        <v>0</v>
      </c>
      <c r="S299" s="308">
        <f>Table24[[#This Row],[C_DEMAND]]-Table24[[#This Row],[R-DEMAND]]</f>
        <v>0</v>
      </c>
      <c r="T299" s="307">
        <f>Table24[[#This Row],[SEATS SOLD]]*Table24[[#This Row],[ECO SEAT]]</f>
        <v>0</v>
      </c>
      <c r="U299" s="307">
        <f>Table24[[#This Row],[SEATS SOLD]]*(IFERROR(VLOOKUP(Table24[[#This Row],[ROUTE]],PRICING!A:C,3,FALSE),0))</f>
        <v>0</v>
      </c>
      <c r="V299" s="307">
        <f>Table24[[#This Row],[SEAT REV]]-Table24[[#This Row],[SEAT REV
(IF IDEAL $)]]</f>
        <v>0</v>
      </c>
    </row>
    <row r="300" spans="1:22" customFormat="1" x14ac:dyDescent="0.25">
      <c r="A300" s="306" t="s">
        <v>17185</v>
      </c>
      <c r="B300" s="306" t="s">
        <v>3678</v>
      </c>
      <c r="C300" s="306"/>
      <c r="D300" s="26">
        <v>2</v>
      </c>
      <c r="E300" s="312" t="s">
        <v>490</v>
      </c>
      <c r="F300" s="306" t="str">
        <f>VLOOKUP(Table24[[#This Row],[Country]],Table10[[COUNTRY NAME]:[CONTINENT CODE]],3,FALSE)</f>
        <v>AF</v>
      </c>
      <c r="G300" s="312" t="s">
        <v>11711</v>
      </c>
      <c r="H300" s="309">
        <v>8061</v>
      </c>
      <c r="I300" s="310">
        <v>19.75</v>
      </c>
      <c r="J300" s="307"/>
      <c r="K300" s="307">
        <f>IFERROR(Table24[[#This Row],[ROUTE COST]]/Table24[[#This Row],[O - DEMAND]],0)</f>
        <v>0</v>
      </c>
      <c r="L300" s="306"/>
      <c r="M300" s="310">
        <f>Table24[[#This Row],[O - DEMAND]]/950</f>
        <v>0</v>
      </c>
      <c r="N300" s="306">
        <f>IFERROR(VLOOKUP(Table24[[#This Row],[ROUTE]],DEMAND!A:F,5,FALSE),0)</f>
        <v>0</v>
      </c>
      <c r="O300" s="306">
        <f>IFERROR(VLOOKUP(Table24[[#This Row],[ROUTE]],DEMAND!A:F,6,FALSE),0)</f>
        <v>0</v>
      </c>
      <c r="P300" s="306">
        <f>ROUNDDOWN(Table24[[#This Row],[R-DEMAND]]/950,0)</f>
        <v>0</v>
      </c>
      <c r="Q300" s="306">
        <f>Table24[[#This Row],[ADD ACC
(475/950)]]*Table24[[#This Row],[Duration
(A359)]]</f>
        <v>0</v>
      </c>
      <c r="R300" s="307">
        <f>IFERROR(VLOOKUP(Table24[[#This Row],[ROUTE]],PRICING!A:B,2,FALSE),0)</f>
        <v>0</v>
      </c>
      <c r="S300" s="308">
        <f>Table24[[#This Row],[C_DEMAND]]-Table24[[#This Row],[R-DEMAND]]</f>
        <v>0</v>
      </c>
      <c r="T300" s="307">
        <f>Table24[[#This Row],[SEATS SOLD]]*Table24[[#This Row],[ECO SEAT]]</f>
        <v>0</v>
      </c>
      <c r="U300" s="307">
        <f>Table24[[#This Row],[SEATS SOLD]]*(IFERROR(VLOOKUP(Table24[[#This Row],[ROUTE]],PRICING!A:C,3,FALSE),0))</f>
        <v>0</v>
      </c>
      <c r="V300" s="307">
        <f>Table24[[#This Row],[SEAT REV]]-Table24[[#This Row],[SEAT REV
(IF IDEAL $)]]</f>
        <v>0</v>
      </c>
    </row>
    <row r="301" spans="1:22" customFormat="1" x14ac:dyDescent="0.25">
      <c r="A301" s="306" t="s">
        <v>17100</v>
      </c>
      <c r="B301" s="306" t="s">
        <v>2579</v>
      </c>
      <c r="C301" s="306"/>
      <c r="D301" s="26">
        <v>2</v>
      </c>
      <c r="E301" s="312" t="s">
        <v>493</v>
      </c>
      <c r="F301" s="306" t="str">
        <f>VLOOKUP(Table24[[#This Row],[Country]],Table10[[COUNTRY NAME]:[CONTINENT CODE]],3,FALSE)</f>
        <v>AF</v>
      </c>
      <c r="G301" s="312" t="s">
        <v>11749</v>
      </c>
      <c r="H301" s="309">
        <v>7979</v>
      </c>
      <c r="I301" s="310">
        <v>19.75</v>
      </c>
      <c r="J301" s="307"/>
      <c r="K301" s="307">
        <f>IFERROR(Table24[[#This Row],[ROUTE COST]]/Table24[[#This Row],[O - DEMAND]],0)</f>
        <v>0</v>
      </c>
      <c r="L301" s="306"/>
      <c r="M301" s="310">
        <f>Table24[[#This Row],[O - DEMAND]]/950</f>
        <v>0</v>
      </c>
      <c r="N301" s="306">
        <f>IFERROR(VLOOKUP(Table24[[#This Row],[ROUTE]],DEMAND!A:F,5,FALSE),0)</f>
        <v>0</v>
      </c>
      <c r="O301" s="306">
        <f>IFERROR(VLOOKUP(Table24[[#This Row],[ROUTE]],DEMAND!A:F,6,FALSE),0)</f>
        <v>0</v>
      </c>
      <c r="P301" s="306">
        <f>ROUNDDOWN(Table24[[#This Row],[R-DEMAND]]/950,0)</f>
        <v>0</v>
      </c>
      <c r="Q301" s="306">
        <f>Table24[[#This Row],[ADD ACC
(475/950)]]*Table24[[#This Row],[Duration
(A359)]]</f>
        <v>0</v>
      </c>
      <c r="R301" s="307">
        <f>IFERROR(VLOOKUP(Table24[[#This Row],[ROUTE]],PRICING!A:B,2,FALSE),0)</f>
        <v>0</v>
      </c>
      <c r="S301" s="308">
        <f>Table24[[#This Row],[C_DEMAND]]-Table24[[#This Row],[R-DEMAND]]</f>
        <v>0</v>
      </c>
      <c r="T301" s="307">
        <f>Table24[[#This Row],[SEATS SOLD]]*Table24[[#This Row],[ECO SEAT]]</f>
        <v>0</v>
      </c>
      <c r="U301" s="307">
        <f>Table24[[#This Row],[SEATS SOLD]]*(IFERROR(VLOOKUP(Table24[[#This Row],[ROUTE]],PRICING!A:C,3,FALSE),0))</f>
        <v>0</v>
      </c>
      <c r="V301" s="307">
        <f>Table24[[#This Row],[SEAT REV]]-Table24[[#This Row],[SEAT REV
(IF IDEAL $)]]</f>
        <v>0</v>
      </c>
    </row>
    <row r="302" spans="1:22" customFormat="1" x14ac:dyDescent="0.25">
      <c r="A302" s="306" t="s">
        <v>17189</v>
      </c>
      <c r="B302" s="306" t="s">
        <v>2665</v>
      </c>
      <c r="C302" s="306"/>
      <c r="D302" s="26">
        <v>2</v>
      </c>
      <c r="E302" s="312" t="s">
        <v>971</v>
      </c>
      <c r="F302" s="306" t="str">
        <f>VLOOKUP(Table24[[#This Row],[Country]],Table10[[COUNTRY NAME]:[CONTINENT CODE]],3,FALSE)</f>
        <v>AF</v>
      </c>
      <c r="G302" s="312" t="s">
        <v>11748</v>
      </c>
      <c r="H302" s="309">
        <v>8008</v>
      </c>
      <c r="I302" s="310">
        <v>19.75</v>
      </c>
      <c r="J302" s="307"/>
      <c r="K302" s="307">
        <f>IFERROR(Table24[[#This Row],[ROUTE COST]]/Table24[[#This Row],[O - DEMAND]],0)</f>
        <v>0</v>
      </c>
      <c r="L302" s="306"/>
      <c r="M302" s="310">
        <f>Table24[[#This Row],[O - DEMAND]]/950</f>
        <v>0</v>
      </c>
      <c r="N302" s="306">
        <f>IFERROR(VLOOKUP(Table24[[#This Row],[ROUTE]],DEMAND!A:F,5,FALSE),0)</f>
        <v>0</v>
      </c>
      <c r="O302" s="306">
        <f>IFERROR(VLOOKUP(Table24[[#This Row],[ROUTE]],DEMAND!A:F,6,FALSE),0)</f>
        <v>0</v>
      </c>
      <c r="P302" s="306">
        <f>ROUNDDOWN(Table24[[#This Row],[R-DEMAND]]/950,0)</f>
        <v>0</v>
      </c>
      <c r="Q302" s="306">
        <f>Table24[[#This Row],[ADD ACC
(475/950)]]*Table24[[#This Row],[Duration
(A359)]]</f>
        <v>0</v>
      </c>
      <c r="R302" s="307">
        <f>IFERROR(VLOOKUP(Table24[[#This Row],[ROUTE]],PRICING!A:B,2,FALSE),0)</f>
        <v>0</v>
      </c>
      <c r="S302" s="308">
        <f>Table24[[#This Row],[C_DEMAND]]-Table24[[#This Row],[R-DEMAND]]</f>
        <v>0</v>
      </c>
      <c r="T302" s="307">
        <f>Table24[[#This Row],[SEATS SOLD]]*Table24[[#This Row],[ECO SEAT]]</f>
        <v>0</v>
      </c>
      <c r="U302" s="307">
        <f>Table24[[#This Row],[SEATS SOLD]]*(IFERROR(VLOOKUP(Table24[[#This Row],[ROUTE]],PRICING!A:C,3,FALSE),0))</f>
        <v>0</v>
      </c>
      <c r="V302" s="307">
        <f>Table24[[#This Row],[SEAT REV]]-Table24[[#This Row],[SEAT REV
(IF IDEAL $)]]</f>
        <v>0</v>
      </c>
    </row>
    <row r="303" spans="1:22" customFormat="1" x14ac:dyDescent="0.25">
      <c r="A303" s="306" t="s">
        <v>17671</v>
      </c>
      <c r="B303" s="306" t="s">
        <v>4142</v>
      </c>
      <c r="C303" s="306"/>
      <c r="D303" s="26">
        <v>2</v>
      </c>
      <c r="E303" s="312" t="s">
        <v>605</v>
      </c>
      <c r="F303" s="306" t="str">
        <f>VLOOKUP(Table24[[#This Row],[Country]],Table10[[COUNTRY NAME]:[CONTINENT CODE]],3,FALSE)</f>
        <v>EU</v>
      </c>
      <c r="G303" s="312" t="s">
        <v>11795</v>
      </c>
      <c r="H303" s="309">
        <v>8050</v>
      </c>
      <c r="I303" s="310">
        <v>19.75</v>
      </c>
      <c r="J303" s="307"/>
      <c r="K303" s="307">
        <f>IFERROR(Table24[[#This Row],[ROUTE COST]]/Table24[[#This Row],[O - DEMAND]],0)</f>
        <v>0</v>
      </c>
      <c r="L303" s="306"/>
      <c r="M303" s="310">
        <f>Table24[[#This Row],[O - DEMAND]]/950</f>
        <v>0</v>
      </c>
      <c r="N303" s="306">
        <f>IFERROR(VLOOKUP(Table24[[#This Row],[ROUTE]],DEMAND!A:F,5,FALSE),0)</f>
        <v>0</v>
      </c>
      <c r="O303" s="306">
        <f>IFERROR(VLOOKUP(Table24[[#This Row],[ROUTE]],DEMAND!A:F,6,FALSE),0)</f>
        <v>0</v>
      </c>
      <c r="P303" s="306">
        <f>ROUNDDOWN(Table24[[#This Row],[R-DEMAND]]/950,0)</f>
        <v>0</v>
      </c>
      <c r="Q303" s="306">
        <f>Table24[[#This Row],[ADD ACC
(475/950)]]*Table24[[#This Row],[Duration
(A359)]]</f>
        <v>0</v>
      </c>
      <c r="R303" s="307">
        <f>IFERROR(VLOOKUP(Table24[[#This Row],[ROUTE]],PRICING!A:B,2,FALSE),0)</f>
        <v>0</v>
      </c>
      <c r="S303" s="308">
        <f>Table24[[#This Row],[C_DEMAND]]-Table24[[#This Row],[R-DEMAND]]</f>
        <v>0</v>
      </c>
      <c r="T303" s="307">
        <f>Table24[[#This Row],[SEATS SOLD]]*Table24[[#This Row],[ECO SEAT]]</f>
        <v>0</v>
      </c>
      <c r="U303" s="307">
        <f>Table24[[#This Row],[SEATS SOLD]]*(IFERROR(VLOOKUP(Table24[[#This Row],[ROUTE]],PRICING!A:C,3,FALSE),0))</f>
        <v>0</v>
      </c>
      <c r="V303" s="307">
        <f>Table24[[#This Row],[SEAT REV]]-Table24[[#This Row],[SEAT REV
(IF IDEAL $)]]</f>
        <v>0</v>
      </c>
    </row>
    <row r="304" spans="1:22" customFormat="1" x14ac:dyDescent="0.25">
      <c r="A304" s="306" t="s">
        <v>17673</v>
      </c>
      <c r="B304" s="306" t="s">
        <v>2583</v>
      </c>
      <c r="C304" s="306"/>
      <c r="D304" s="26">
        <v>2</v>
      </c>
      <c r="E304" s="312" t="s">
        <v>585</v>
      </c>
      <c r="F304" s="306" t="str">
        <f>VLOOKUP(Table24[[#This Row],[Country]],Table10[[COUNTRY NAME]:[CONTINENT CODE]],3,FALSE)</f>
        <v>EU</v>
      </c>
      <c r="G304" s="312" t="s">
        <v>16905</v>
      </c>
      <c r="H304" s="309">
        <v>7994</v>
      </c>
      <c r="I304" s="310">
        <v>19.75</v>
      </c>
      <c r="J304" s="307"/>
      <c r="K304" s="307">
        <f>IFERROR(Table24[[#This Row],[ROUTE COST]]/Table24[[#This Row],[O - DEMAND]],0)</f>
        <v>0</v>
      </c>
      <c r="L304" s="306"/>
      <c r="M304" s="310">
        <f>Table24[[#This Row],[O - DEMAND]]/950</f>
        <v>0</v>
      </c>
      <c r="N304" s="306">
        <f>IFERROR(VLOOKUP(Table24[[#This Row],[ROUTE]],DEMAND!A:F,5,FALSE),0)</f>
        <v>0</v>
      </c>
      <c r="O304" s="306">
        <f>IFERROR(VLOOKUP(Table24[[#This Row],[ROUTE]],DEMAND!A:F,6,FALSE),0)</f>
        <v>0</v>
      </c>
      <c r="P304" s="306">
        <f>ROUNDDOWN(Table24[[#This Row],[R-DEMAND]]/950,0)</f>
        <v>0</v>
      </c>
      <c r="Q304" s="306">
        <f>Table24[[#This Row],[ADD ACC
(475/950)]]*Table24[[#This Row],[Duration
(A359)]]</f>
        <v>0</v>
      </c>
      <c r="R304" s="307">
        <f>IFERROR(VLOOKUP(Table24[[#This Row],[ROUTE]],PRICING!A:B,2,FALSE),0)</f>
        <v>0</v>
      </c>
      <c r="S304" s="308">
        <f>Table24[[#This Row],[C_DEMAND]]-Table24[[#This Row],[R-DEMAND]]</f>
        <v>0</v>
      </c>
      <c r="T304" s="307">
        <f>Table24[[#This Row],[SEATS SOLD]]*Table24[[#This Row],[ECO SEAT]]</f>
        <v>0</v>
      </c>
      <c r="U304" s="307">
        <f>Table24[[#This Row],[SEATS SOLD]]*(IFERROR(VLOOKUP(Table24[[#This Row],[ROUTE]],PRICING!A:C,3,FALSE),0))</f>
        <v>0</v>
      </c>
      <c r="V304" s="307">
        <f>Table24[[#This Row],[SEAT REV]]-Table24[[#This Row],[SEAT REV
(IF IDEAL $)]]</f>
        <v>0</v>
      </c>
    </row>
    <row r="305" spans="1:22" customFormat="1" x14ac:dyDescent="0.25">
      <c r="A305" s="306" t="s">
        <v>17672</v>
      </c>
      <c r="B305" s="306" t="s">
        <v>3173</v>
      </c>
      <c r="C305" s="306"/>
      <c r="D305" s="26">
        <v>2</v>
      </c>
      <c r="E305" s="312" t="s">
        <v>1427</v>
      </c>
      <c r="F305" s="306" t="str">
        <f>VLOOKUP(Table24[[#This Row],[Country]],Table10[[COUNTRY NAME]:[CONTINENT CODE]],3,FALSE)</f>
        <v>EU</v>
      </c>
      <c r="G305" s="312" t="s">
        <v>16904</v>
      </c>
      <c r="H305" s="309">
        <v>7999</v>
      </c>
      <c r="I305" s="310">
        <v>19.75</v>
      </c>
      <c r="J305" s="307"/>
      <c r="K305" s="307">
        <f>IFERROR(Table24[[#This Row],[ROUTE COST]]/Table24[[#This Row],[O - DEMAND]],0)</f>
        <v>0</v>
      </c>
      <c r="L305" s="306"/>
      <c r="M305" s="310">
        <f>Table24[[#This Row],[O - DEMAND]]/950</f>
        <v>0</v>
      </c>
      <c r="N305" s="306">
        <f>IFERROR(VLOOKUP(Table24[[#This Row],[ROUTE]],DEMAND!A:F,5,FALSE),0)</f>
        <v>0</v>
      </c>
      <c r="O305" s="306">
        <f>IFERROR(VLOOKUP(Table24[[#This Row],[ROUTE]],DEMAND!A:F,6,FALSE),0)</f>
        <v>0</v>
      </c>
      <c r="P305" s="306">
        <f>ROUNDDOWN(Table24[[#This Row],[R-DEMAND]]/950,0)</f>
        <v>0</v>
      </c>
      <c r="Q305" s="306">
        <f>Table24[[#This Row],[ADD ACC
(475/950)]]*Table24[[#This Row],[Duration
(A359)]]</f>
        <v>0</v>
      </c>
      <c r="R305" s="307">
        <f>IFERROR(VLOOKUP(Table24[[#This Row],[ROUTE]],PRICING!A:B,2,FALSE),0)</f>
        <v>0</v>
      </c>
      <c r="S305" s="308">
        <f>Table24[[#This Row],[C_DEMAND]]-Table24[[#This Row],[R-DEMAND]]</f>
        <v>0</v>
      </c>
      <c r="T305" s="307">
        <f>Table24[[#This Row],[SEATS SOLD]]*Table24[[#This Row],[ECO SEAT]]</f>
        <v>0</v>
      </c>
      <c r="U305" s="307">
        <f>Table24[[#This Row],[SEATS SOLD]]*(IFERROR(VLOOKUP(Table24[[#This Row],[ROUTE]],PRICING!A:C,3,FALSE),0))</f>
        <v>0</v>
      </c>
      <c r="V305" s="307">
        <f>Table24[[#This Row],[SEAT REV]]-Table24[[#This Row],[SEAT REV
(IF IDEAL $)]]</f>
        <v>0</v>
      </c>
    </row>
    <row r="306" spans="1:22" customFormat="1" x14ac:dyDescent="0.25">
      <c r="A306" s="306" t="s">
        <v>17674</v>
      </c>
      <c r="B306" s="306" t="s">
        <v>3127</v>
      </c>
      <c r="C306" s="306"/>
      <c r="D306" s="26">
        <v>2</v>
      </c>
      <c r="E306" s="312" t="s">
        <v>308</v>
      </c>
      <c r="F306" s="306" t="str">
        <f>VLOOKUP(Table24[[#This Row],[Country]],Table10[[COUNTRY NAME]:[CONTINENT CODE]],3,FALSE)</f>
        <v>EU</v>
      </c>
      <c r="G306" s="312" t="s">
        <v>11768</v>
      </c>
      <c r="H306" s="309">
        <v>7985</v>
      </c>
      <c r="I306" s="310">
        <v>19.75</v>
      </c>
      <c r="J306" s="307"/>
      <c r="K306" s="307">
        <f>IFERROR(Table24[[#This Row],[ROUTE COST]]/Table24[[#This Row],[O - DEMAND]],0)</f>
        <v>0</v>
      </c>
      <c r="L306" s="306"/>
      <c r="M306" s="310">
        <f>Table24[[#This Row],[O - DEMAND]]/950</f>
        <v>0</v>
      </c>
      <c r="N306" s="306">
        <f>IFERROR(VLOOKUP(Table24[[#This Row],[ROUTE]],DEMAND!A:F,5,FALSE),0)</f>
        <v>0</v>
      </c>
      <c r="O306" s="306">
        <f>IFERROR(VLOOKUP(Table24[[#This Row],[ROUTE]],DEMAND!A:F,6,FALSE),0)</f>
        <v>0</v>
      </c>
      <c r="P306" s="306">
        <f>ROUNDDOWN(Table24[[#This Row],[R-DEMAND]]/950,0)</f>
        <v>0</v>
      </c>
      <c r="Q306" s="306">
        <f>Table24[[#This Row],[ADD ACC
(475/950)]]*Table24[[#This Row],[Duration
(A359)]]</f>
        <v>0</v>
      </c>
      <c r="R306" s="307">
        <f>IFERROR(VLOOKUP(Table24[[#This Row],[ROUTE]],PRICING!A:B,2,FALSE),0)</f>
        <v>0</v>
      </c>
      <c r="S306" s="308">
        <f>Table24[[#This Row],[C_DEMAND]]-Table24[[#This Row],[R-DEMAND]]</f>
        <v>0</v>
      </c>
      <c r="T306" s="307">
        <f>Table24[[#This Row],[SEATS SOLD]]*Table24[[#This Row],[ECO SEAT]]</f>
        <v>0</v>
      </c>
      <c r="U306" s="307">
        <f>Table24[[#This Row],[SEATS SOLD]]*(IFERROR(VLOOKUP(Table24[[#This Row],[ROUTE]],PRICING!A:C,3,FALSE),0))</f>
        <v>0</v>
      </c>
      <c r="V306" s="307">
        <f>Table24[[#This Row],[SEAT REV]]-Table24[[#This Row],[SEAT REV
(IF IDEAL $)]]</f>
        <v>0</v>
      </c>
    </row>
    <row r="307" spans="1:22" customFormat="1" x14ac:dyDescent="0.25">
      <c r="A307" s="306" t="s">
        <v>17192</v>
      </c>
      <c r="B307" s="306" t="s">
        <v>2434</v>
      </c>
      <c r="C307" s="306"/>
      <c r="D307" s="26">
        <v>1</v>
      </c>
      <c r="E307" s="312" t="s">
        <v>971</v>
      </c>
      <c r="F307" s="306" t="str">
        <f>VLOOKUP(Table24[[#This Row],[Country]],Table10[[COUNTRY NAME]:[CONTINENT CODE]],3,FALSE)</f>
        <v>AF</v>
      </c>
      <c r="G307" s="312" t="s">
        <v>11757</v>
      </c>
      <c r="H307" s="309">
        <v>8015</v>
      </c>
      <c r="I307" s="310">
        <v>19.75</v>
      </c>
      <c r="J307" s="307"/>
      <c r="K307" s="307">
        <f>IFERROR(Table24[[#This Row],[ROUTE COST]]/Table24[[#This Row],[O - DEMAND]],0)</f>
        <v>0</v>
      </c>
      <c r="L307" s="306"/>
      <c r="M307" s="310">
        <f>Table24[[#This Row],[O - DEMAND]]/950</f>
        <v>0</v>
      </c>
      <c r="N307" s="306">
        <f>IFERROR(VLOOKUP(Table24[[#This Row],[ROUTE]],DEMAND!A:F,5,FALSE),0)</f>
        <v>0</v>
      </c>
      <c r="O307" s="306">
        <f>IFERROR(VLOOKUP(Table24[[#This Row],[ROUTE]],DEMAND!A:F,6,FALSE),0)</f>
        <v>0</v>
      </c>
      <c r="P307" s="306">
        <f>ROUNDDOWN(Table24[[#This Row],[R-DEMAND]]/950,0)</f>
        <v>0</v>
      </c>
      <c r="Q307" s="306">
        <f>Table24[[#This Row],[ADD ACC
(475/950)]]*Table24[[#This Row],[Duration
(A359)]]</f>
        <v>0</v>
      </c>
      <c r="R307" s="307">
        <f>IFERROR(VLOOKUP(Table24[[#This Row],[ROUTE]],PRICING!A:B,2,FALSE),0)</f>
        <v>0</v>
      </c>
      <c r="S307" s="308">
        <f>Table24[[#This Row],[C_DEMAND]]-Table24[[#This Row],[R-DEMAND]]</f>
        <v>0</v>
      </c>
      <c r="T307" s="307">
        <f>Table24[[#This Row],[SEATS SOLD]]*Table24[[#This Row],[ECO SEAT]]</f>
        <v>0</v>
      </c>
      <c r="U307" s="307">
        <f>Table24[[#This Row],[SEATS SOLD]]*(IFERROR(VLOOKUP(Table24[[#This Row],[ROUTE]],PRICING!A:C,3,FALSE),0))</f>
        <v>0</v>
      </c>
      <c r="V307" s="307">
        <f>Table24[[#This Row],[SEAT REV]]-Table24[[#This Row],[SEAT REV
(IF IDEAL $)]]</f>
        <v>0</v>
      </c>
    </row>
    <row r="308" spans="1:22" customFormat="1" x14ac:dyDescent="0.25">
      <c r="A308" s="306" t="s">
        <v>17563</v>
      </c>
      <c r="B308" s="306" t="s">
        <v>4776</v>
      </c>
      <c r="C308" s="306"/>
      <c r="D308" s="26">
        <v>3</v>
      </c>
      <c r="E308" s="312" t="s">
        <v>308</v>
      </c>
      <c r="F308" s="306" t="str">
        <f>VLOOKUP(Table24[[#This Row],[Country]],Table10[[COUNTRY NAME]:[CONTINENT CODE]],3,FALSE)</f>
        <v>EU</v>
      </c>
      <c r="G308" s="312" t="s">
        <v>11750</v>
      </c>
      <c r="H308" s="309">
        <v>7899</v>
      </c>
      <c r="I308" s="310">
        <v>19.5</v>
      </c>
      <c r="J308" s="307"/>
      <c r="K308" s="307">
        <f>IFERROR(Table24[[#This Row],[ROUTE COST]]/Table24[[#This Row],[O - DEMAND]],0)</f>
        <v>0</v>
      </c>
      <c r="L308" s="306"/>
      <c r="M308" s="310">
        <f>Table24[[#This Row],[O - DEMAND]]/950</f>
        <v>0</v>
      </c>
      <c r="N308" s="306">
        <f>IFERROR(VLOOKUP(Table24[[#This Row],[ROUTE]],DEMAND!A:F,5,FALSE),0)</f>
        <v>0</v>
      </c>
      <c r="O308" s="306">
        <f>IFERROR(VLOOKUP(Table24[[#This Row],[ROUTE]],DEMAND!A:F,6,FALSE),0)</f>
        <v>0</v>
      </c>
      <c r="P308" s="306">
        <f>ROUNDDOWN(Table24[[#This Row],[R-DEMAND]]/950,0)</f>
        <v>0</v>
      </c>
      <c r="Q308" s="306">
        <f>Table24[[#This Row],[ADD ACC
(475/950)]]*Table24[[#This Row],[Duration
(A359)]]</f>
        <v>0</v>
      </c>
      <c r="R308" s="307">
        <f>IFERROR(VLOOKUP(Table24[[#This Row],[ROUTE]],PRICING!A:B,2,FALSE),0)</f>
        <v>0</v>
      </c>
      <c r="S308" s="308">
        <f>Table24[[#This Row],[C_DEMAND]]-Table24[[#This Row],[R-DEMAND]]</f>
        <v>0</v>
      </c>
      <c r="T308" s="307">
        <f>Table24[[#This Row],[SEATS SOLD]]*Table24[[#This Row],[ECO SEAT]]</f>
        <v>0</v>
      </c>
      <c r="U308" s="307">
        <f>Table24[[#This Row],[SEATS SOLD]]*(IFERROR(VLOOKUP(Table24[[#This Row],[ROUTE]],PRICING!A:C,3,FALSE),0))</f>
        <v>0</v>
      </c>
      <c r="V308" s="307">
        <f>Table24[[#This Row],[SEAT REV]]-Table24[[#This Row],[SEAT REV
(IF IDEAL $)]]</f>
        <v>0</v>
      </c>
    </row>
    <row r="309" spans="1:22" customFormat="1" x14ac:dyDescent="0.25">
      <c r="A309" s="306" t="s">
        <v>17564</v>
      </c>
      <c r="B309" s="306" t="s">
        <v>299</v>
      </c>
      <c r="C309" s="306"/>
      <c r="D309" s="26">
        <v>3</v>
      </c>
      <c r="E309" s="312" t="s">
        <v>308</v>
      </c>
      <c r="F309" s="306" t="str">
        <f>VLOOKUP(Table24[[#This Row],[Country]],Table10[[COUNTRY NAME]:[CONTINENT CODE]],3,FALSE)</f>
        <v>EU</v>
      </c>
      <c r="G309" s="312" t="s">
        <v>11758</v>
      </c>
      <c r="H309" s="309">
        <v>7885</v>
      </c>
      <c r="I309" s="310">
        <v>19.5</v>
      </c>
      <c r="J309" s="307"/>
      <c r="K309" s="307">
        <f>IFERROR(Table24[[#This Row],[ROUTE COST]]/Table24[[#This Row],[O - DEMAND]],0)</f>
        <v>0</v>
      </c>
      <c r="L309" s="306"/>
      <c r="M309" s="310">
        <f>Table24[[#This Row],[O - DEMAND]]/950</f>
        <v>0</v>
      </c>
      <c r="N309" s="306">
        <f>IFERROR(VLOOKUP(Table24[[#This Row],[ROUTE]],DEMAND!A:F,5,FALSE),0)</f>
        <v>0</v>
      </c>
      <c r="O309" s="306">
        <f>IFERROR(VLOOKUP(Table24[[#This Row],[ROUTE]],DEMAND!A:F,6,FALSE),0)</f>
        <v>0</v>
      </c>
      <c r="P309" s="306">
        <f>ROUNDDOWN(Table24[[#This Row],[R-DEMAND]]/950,0)</f>
        <v>0</v>
      </c>
      <c r="Q309" s="306">
        <f>Table24[[#This Row],[ADD ACC
(475/950)]]*Table24[[#This Row],[Duration
(A359)]]</f>
        <v>0</v>
      </c>
      <c r="R309" s="307">
        <f>IFERROR(VLOOKUP(Table24[[#This Row],[ROUTE]],PRICING!A:B,2,FALSE),0)</f>
        <v>0</v>
      </c>
      <c r="S309" s="308">
        <f>Table24[[#This Row],[C_DEMAND]]-Table24[[#This Row],[R-DEMAND]]</f>
        <v>0</v>
      </c>
      <c r="T309" s="307">
        <f>Table24[[#This Row],[SEATS SOLD]]*Table24[[#This Row],[ECO SEAT]]</f>
        <v>0</v>
      </c>
      <c r="U309" s="307">
        <f>Table24[[#This Row],[SEATS SOLD]]*(IFERROR(VLOOKUP(Table24[[#This Row],[ROUTE]],PRICING!A:C,3,FALSE),0))</f>
        <v>0</v>
      </c>
      <c r="V309" s="307">
        <f>Table24[[#This Row],[SEAT REV]]-Table24[[#This Row],[SEAT REV
(IF IDEAL $)]]</f>
        <v>0</v>
      </c>
    </row>
    <row r="310" spans="1:22" customFormat="1" x14ac:dyDescent="0.25">
      <c r="A310" s="306" t="s">
        <v>17145</v>
      </c>
      <c r="B310" s="306" t="s">
        <v>4631</v>
      </c>
      <c r="C310" s="306"/>
      <c r="D310" s="26">
        <v>2</v>
      </c>
      <c r="E310" s="312" t="s">
        <v>1441</v>
      </c>
      <c r="F310" s="306" t="str">
        <f>VLOOKUP(Table24[[#This Row],[Country]],Table10[[COUNTRY NAME]:[CONTINENT CODE]],3,FALSE)</f>
        <v>AF</v>
      </c>
      <c r="G310" s="312" t="s">
        <v>11704</v>
      </c>
      <c r="H310" s="309">
        <v>7930</v>
      </c>
      <c r="I310" s="310">
        <v>19.5</v>
      </c>
      <c r="J310" s="307"/>
      <c r="K310" s="307">
        <f>IFERROR(Table24[[#This Row],[ROUTE COST]]/Table24[[#This Row],[O - DEMAND]],0)</f>
        <v>0</v>
      </c>
      <c r="L310" s="306"/>
      <c r="M310" s="310">
        <f>Table24[[#This Row],[O - DEMAND]]/950</f>
        <v>0</v>
      </c>
      <c r="N310" s="306">
        <f>IFERROR(VLOOKUP(Table24[[#This Row],[ROUTE]],DEMAND!A:F,5,FALSE),0)</f>
        <v>0</v>
      </c>
      <c r="O310" s="306">
        <f>IFERROR(VLOOKUP(Table24[[#This Row],[ROUTE]],DEMAND!A:F,6,FALSE),0)</f>
        <v>0</v>
      </c>
      <c r="P310" s="306">
        <f>ROUNDDOWN(Table24[[#This Row],[R-DEMAND]]/950,0)</f>
        <v>0</v>
      </c>
      <c r="Q310" s="306">
        <f>Table24[[#This Row],[ADD ACC
(475/950)]]*Table24[[#This Row],[Duration
(A359)]]</f>
        <v>0</v>
      </c>
      <c r="R310" s="307">
        <f>IFERROR(VLOOKUP(Table24[[#This Row],[ROUTE]],PRICING!A:B,2,FALSE),0)</f>
        <v>0</v>
      </c>
      <c r="S310" s="308">
        <f>Table24[[#This Row],[C_DEMAND]]-Table24[[#This Row],[R-DEMAND]]</f>
        <v>0</v>
      </c>
      <c r="T310" s="307">
        <f>Table24[[#This Row],[SEATS SOLD]]*Table24[[#This Row],[ECO SEAT]]</f>
        <v>0</v>
      </c>
      <c r="U310" s="307">
        <f>Table24[[#This Row],[SEATS SOLD]]*(IFERROR(VLOOKUP(Table24[[#This Row],[ROUTE]],PRICING!A:C,3,FALSE),0))</f>
        <v>0</v>
      </c>
      <c r="V310" s="307">
        <f>Table24[[#This Row],[SEAT REV]]-Table24[[#This Row],[SEAT REV
(IF IDEAL $)]]</f>
        <v>0</v>
      </c>
    </row>
    <row r="311" spans="1:22" customFormat="1" x14ac:dyDescent="0.25">
      <c r="A311" s="306" t="s">
        <v>17095</v>
      </c>
      <c r="B311" s="306" t="s">
        <v>3984</v>
      </c>
      <c r="C311" s="306"/>
      <c r="D311" s="26">
        <v>2</v>
      </c>
      <c r="E311" s="312" t="s">
        <v>493</v>
      </c>
      <c r="F311" s="306" t="str">
        <f>VLOOKUP(Table24[[#This Row],[Country]],Table10[[COUNTRY NAME]:[CONTINENT CODE]],3,FALSE)</f>
        <v>AF</v>
      </c>
      <c r="G311" s="312" t="s">
        <v>11731</v>
      </c>
      <c r="H311" s="309">
        <v>7873</v>
      </c>
      <c r="I311" s="310">
        <v>19.5</v>
      </c>
      <c r="J311" s="307"/>
      <c r="K311" s="307">
        <f>IFERROR(Table24[[#This Row],[ROUTE COST]]/Table24[[#This Row],[O - DEMAND]],0)</f>
        <v>0</v>
      </c>
      <c r="L311" s="306"/>
      <c r="M311" s="310">
        <f>Table24[[#This Row],[O - DEMAND]]/950</f>
        <v>0</v>
      </c>
      <c r="N311" s="306">
        <f>IFERROR(VLOOKUP(Table24[[#This Row],[ROUTE]],DEMAND!A:F,5,FALSE),0)</f>
        <v>0</v>
      </c>
      <c r="O311" s="306">
        <f>IFERROR(VLOOKUP(Table24[[#This Row],[ROUTE]],DEMAND!A:F,6,FALSE),0)</f>
        <v>0</v>
      </c>
      <c r="P311" s="306">
        <f>ROUNDDOWN(Table24[[#This Row],[R-DEMAND]]/950,0)</f>
        <v>0</v>
      </c>
      <c r="Q311" s="306">
        <f>Table24[[#This Row],[ADD ACC
(475/950)]]*Table24[[#This Row],[Duration
(A359)]]</f>
        <v>0</v>
      </c>
      <c r="R311" s="307">
        <f>IFERROR(VLOOKUP(Table24[[#This Row],[ROUTE]],PRICING!A:B,2,FALSE),0)</f>
        <v>0</v>
      </c>
      <c r="S311" s="308">
        <f>Table24[[#This Row],[C_DEMAND]]-Table24[[#This Row],[R-DEMAND]]</f>
        <v>0</v>
      </c>
      <c r="T311" s="307">
        <f>Table24[[#This Row],[SEATS SOLD]]*Table24[[#This Row],[ECO SEAT]]</f>
        <v>0</v>
      </c>
      <c r="U311" s="307">
        <f>Table24[[#This Row],[SEATS SOLD]]*(IFERROR(VLOOKUP(Table24[[#This Row],[ROUTE]],PRICING!A:C,3,FALSE),0))</f>
        <v>0</v>
      </c>
      <c r="V311" s="307">
        <f>Table24[[#This Row],[SEAT REV]]-Table24[[#This Row],[SEAT REV
(IF IDEAL $)]]</f>
        <v>0</v>
      </c>
    </row>
    <row r="312" spans="1:22" customFormat="1" x14ac:dyDescent="0.25">
      <c r="A312" s="306" t="s">
        <v>17160</v>
      </c>
      <c r="B312" s="306" t="s">
        <v>3081</v>
      </c>
      <c r="C312" s="306"/>
      <c r="D312" s="26">
        <v>2</v>
      </c>
      <c r="E312" s="312" t="s">
        <v>3079</v>
      </c>
      <c r="F312" s="306" t="str">
        <f>VLOOKUP(Table24[[#This Row],[Country]],Table10[[COUNTRY NAME]:[CONTINENT CODE]],3,FALSE)</f>
        <v>AF</v>
      </c>
      <c r="G312" s="312" t="s">
        <v>11713</v>
      </c>
      <c r="H312" s="309">
        <v>7926</v>
      </c>
      <c r="I312" s="310">
        <v>19.5</v>
      </c>
      <c r="J312" s="307"/>
      <c r="K312" s="307">
        <f>IFERROR(Table24[[#This Row],[ROUTE COST]]/Table24[[#This Row],[O - DEMAND]],0)</f>
        <v>0</v>
      </c>
      <c r="L312" s="306"/>
      <c r="M312" s="310">
        <f>Table24[[#This Row],[O - DEMAND]]/950</f>
        <v>0</v>
      </c>
      <c r="N312" s="306">
        <f>IFERROR(VLOOKUP(Table24[[#This Row],[ROUTE]],DEMAND!A:F,5,FALSE),0)</f>
        <v>0</v>
      </c>
      <c r="O312" s="306">
        <f>IFERROR(VLOOKUP(Table24[[#This Row],[ROUTE]],DEMAND!A:F,6,FALSE),0)</f>
        <v>0</v>
      </c>
      <c r="P312" s="306">
        <f>ROUNDDOWN(Table24[[#This Row],[R-DEMAND]]/950,0)</f>
        <v>0</v>
      </c>
      <c r="Q312" s="306">
        <f>Table24[[#This Row],[ADD ACC
(475/950)]]*Table24[[#This Row],[Duration
(A359)]]</f>
        <v>0</v>
      </c>
      <c r="R312" s="307">
        <f>IFERROR(VLOOKUP(Table24[[#This Row],[ROUTE]],PRICING!A:B,2,FALSE),0)</f>
        <v>0</v>
      </c>
      <c r="S312" s="308">
        <f>Table24[[#This Row],[C_DEMAND]]-Table24[[#This Row],[R-DEMAND]]</f>
        <v>0</v>
      </c>
      <c r="T312" s="307">
        <f>Table24[[#This Row],[SEATS SOLD]]*Table24[[#This Row],[ECO SEAT]]</f>
        <v>0</v>
      </c>
      <c r="U312" s="307">
        <f>Table24[[#This Row],[SEATS SOLD]]*(IFERROR(VLOOKUP(Table24[[#This Row],[ROUTE]],PRICING!A:C,3,FALSE),0))</f>
        <v>0</v>
      </c>
      <c r="V312" s="307">
        <f>Table24[[#This Row],[SEAT REV]]-Table24[[#This Row],[SEAT REV
(IF IDEAL $)]]</f>
        <v>0</v>
      </c>
    </row>
    <row r="313" spans="1:22" customFormat="1" x14ac:dyDescent="0.25">
      <c r="A313" s="306" t="s">
        <v>17678</v>
      </c>
      <c r="B313" s="306" t="s">
        <v>4164</v>
      </c>
      <c r="C313" s="306"/>
      <c r="D313" s="26">
        <v>2</v>
      </c>
      <c r="E313" s="312" t="s">
        <v>876</v>
      </c>
      <c r="F313" s="306" t="str">
        <f>VLOOKUP(Table24[[#This Row],[Country]],Table10[[COUNTRY NAME]:[CONTINENT CODE]],3,FALSE)</f>
        <v>EU</v>
      </c>
      <c r="G313" s="312" t="s">
        <v>11772</v>
      </c>
      <c r="H313" s="309">
        <v>7867</v>
      </c>
      <c r="I313" s="310">
        <v>19.5</v>
      </c>
      <c r="J313" s="307"/>
      <c r="K313" s="307">
        <f>IFERROR(Table24[[#This Row],[ROUTE COST]]/Table24[[#This Row],[O - DEMAND]],0)</f>
        <v>0</v>
      </c>
      <c r="L313" s="306"/>
      <c r="M313" s="310">
        <f>Table24[[#This Row],[O - DEMAND]]/950</f>
        <v>0</v>
      </c>
      <c r="N313" s="306">
        <f>IFERROR(VLOOKUP(Table24[[#This Row],[ROUTE]],DEMAND!A:F,5,FALSE),0)</f>
        <v>0</v>
      </c>
      <c r="O313" s="306">
        <f>IFERROR(VLOOKUP(Table24[[#This Row],[ROUTE]],DEMAND!A:F,6,FALSE),0)</f>
        <v>0</v>
      </c>
      <c r="P313" s="306">
        <f>ROUNDDOWN(Table24[[#This Row],[R-DEMAND]]/950,0)</f>
        <v>0</v>
      </c>
      <c r="Q313" s="306">
        <f>Table24[[#This Row],[ADD ACC
(475/950)]]*Table24[[#This Row],[Duration
(A359)]]</f>
        <v>0</v>
      </c>
      <c r="R313" s="307">
        <f>IFERROR(VLOOKUP(Table24[[#This Row],[ROUTE]],PRICING!A:B,2,FALSE),0)</f>
        <v>0</v>
      </c>
      <c r="S313" s="308">
        <f>Table24[[#This Row],[C_DEMAND]]-Table24[[#This Row],[R-DEMAND]]</f>
        <v>0</v>
      </c>
      <c r="T313" s="307">
        <f>Table24[[#This Row],[SEATS SOLD]]*Table24[[#This Row],[ECO SEAT]]</f>
        <v>0</v>
      </c>
      <c r="U313" s="307">
        <f>Table24[[#This Row],[SEATS SOLD]]*(IFERROR(VLOOKUP(Table24[[#This Row],[ROUTE]],PRICING!A:C,3,FALSE),0))</f>
        <v>0</v>
      </c>
      <c r="V313" s="307">
        <f>Table24[[#This Row],[SEAT REV]]-Table24[[#This Row],[SEAT REV
(IF IDEAL $)]]</f>
        <v>0</v>
      </c>
    </row>
    <row r="314" spans="1:22" customFormat="1" x14ac:dyDescent="0.25">
      <c r="A314" s="306" t="s">
        <v>17675</v>
      </c>
      <c r="B314" s="306" t="s">
        <v>4584</v>
      </c>
      <c r="C314" s="306"/>
      <c r="D314" s="26">
        <v>2</v>
      </c>
      <c r="E314" s="312" t="s">
        <v>560</v>
      </c>
      <c r="F314" s="306" t="str">
        <f>VLOOKUP(Table24[[#This Row],[Country]],Table10[[COUNTRY NAME]:[CONTINENT CODE]],3,FALSE)</f>
        <v>EU</v>
      </c>
      <c r="G314" s="312" t="s">
        <v>16907</v>
      </c>
      <c r="H314" s="309">
        <v>7965</v>
      </c>
      <c r="I314" s="310">
        <v>19.5</v>
      </c>
      <c r="J314" s="307"/>
      <c r="K314" s="307">
        <f>IFERROR(Table24[[#This Row],[ROUTE COST]]/Table24[[#This Row],[O - DEMAND]],0)</f>
        <v>0</v>
      </c>
      <c r="L314" s="306"/>
      <c r="M314" s="310">
        <f>Table24[[#This Row],[O - DEMAND]]/950</f>
        <v>0</v>
      </c>
      <c r="N314" s="306">
        <f>IFERROR(VLOOKUP(Table24[[#This Row],[ROUTE]],DEMAND!A:F,5,FALSE),0)</f>
        <v>0</v>
      </c>
      <c r="O314" s="306">
        <f>IFERROR(VLOOKUP(Table24[[#This Row],[ROUTE]],DEMAND!A:F,6,FALSE),0)</f>
        <v>0</v>
      </c>
      <c r="P314" s="306">
        <f>ROUNDDOWN(Table24[[#This Row],[R-DEMAND]]/950,0)</f>
        <v>0</v>
      </c>
      <c r="Q314" s="306">
        <f>Table24[[#This Row],[ADD ACC
(475/950)]]*Table24[[#This Row],[Duration
(A359)]]</f>
        <v>0</v>
      </c>
      <c r="R314" s="307">
        <f>IFERROR(VLOOKUP(Table24[[#This Row],[ROUTE]],PRICING!A:B,2,FALSE),0)</f>
        <v>0</v>
      </c>
      <c r="S314" s="308">
        <f>Table24[[#This Row],[C_DEMAND]]-Table24[[#This Row],[R-DEMAND]]</f>
        <v>0</v>
      </c>
      <c r="T314" s="307">
        <f>Table24[[#This Row],[SEATS SOLD]]*Table24[[#This Row],[ECO SEAT]]</f>
        <v>0</v>
      </c>
      <c r="U314" s="307">
        <f>Table24[[#This Row],[SEATS SOLD]]*(IFERROR(VLOOKUP(Table24[[#This Row],[ROUTE]],PRICING!A:C,3,FALSE),0))</f>
        <v>0</v>
      </c>
      <c r="V314" s="307">
        <f>Table24[[#This Row],[SEAT REV]]-Table24[[#This Row],[SEAT REV
(IF IDEAL $)]]</f>
        <v>0</v>
      </c>
    </row>
    <row r="315" spans="1:22" customFormat="1" x14ac:dyDescent="0.25">
      <c r="A315" s="306" t="s">
        <v>17676</v>
      </c>
      <c r="B315" s="306" t="s">
        <v>3737</v>
      </c>
      <c r="C315" s="306"/>
      <c r="D315" s="26">
        <v>2</v>
      </c>
      <c r="E315" s="312" t="s">
        <v>1427</v>
      </c>
      <c r="F315" s="306" t="str">
        <f>VLOOKUP(Table24[[#This Row],[Country]],Table10[[COUNTRY NAME]:[CONTINENT CODE]],3,FALSE)</f>
        <v>EU</v>
      </c>
      <c r="G315" s="312" t="s">
        <v>16908</v>
      </c>
      <c r="H315" s="309">
        <v>7950</v>
      </c>
      <c r="I315" s="310">
        <v>19.5</v>
      </c>
      <c r="J315" s="307"/>
      <c r="K315" s="307">
        <f>IFERROR(Table24[[#This Row],[ROUTE COST]]/Table24[[#This Row],[O - DEMAND]],0)</f>
        <v>0</v>
      </c>
      <c r="L315" s="306"/>
      <c r="M315" s="310">
        <f>Table24[[#This Row],[O - DEMAND]]/950</f>
        <v>0</v>
      </c>
      <c r="N315" s="306">
        <f>IFERROR(VLOOKUP(Table24[[#This Row],[ROUTE]],DEMAND!A:F,5,FALSE),0)</f>
        <v>0</v>
      </c>
      <c r="O315" s="306">
        <f>IFERROR(VLOOKUP(Table24[[#This Row],[ROUTE]],DEMAND!A:F,6,FALSE),0)</f>
        <v>0</v>
      </c>
      <c r="P315" s="306">
        <f>ROUNDDOWN(Table24[[#This Row],[R-DEMAND]]/950,0)</f>
        <v>0</v>
      </c>
      <c r="Q315" s="306">
        <f>Table24[[#This Row],[ADD ACC
(475/950)]]*Table24[[#This Row],[Duration
(A359)]]</f>
        <v>0</v>
      </c>
      <c r="R315" s="307">
        <f>IFERROR(VLOOKUP(Table24[[#This Row],[ROUTE]],PRICING!A:B,2,FALSE),0)</f>
        <v>0</v>
      </c>
      <c r="S315" s="308">
        <f>Table24[[#This Row],[C_DEMAND]]-Table24[[#This Row],[R-DEMAND]]</f>
        <v>0</v>
      </c>
      <c r="T315" s="307">
        <f>Table24[[#This Row],[SEATS SOLD]]*Table24[[#This Row],[ECO SEAT]]</f>
        <v>0</v>
      </c>
      <c r="U315" s="307">
        <f>Table24[[#This Row],[SEATS SOLD]]*(IFERROR(VLOOKUP(Table24[[#This Row],[ROUTE]],PRICING!A:C,3,FALSE),0))</f>
        <v>0</v>
      </c>
      <c r="V315" s="307">
        <f>Table24[[#This Row],[SEAT REV]]-Table24[[#This Row],[SEAT REV
(IF IDEAL $)]]</f>
        <v>0</v>
      </c>
    </row>
    <row r="316" spans="1:22" customFormat="1" x14ac:dyDescent="0.25">
      <c r="A316" s="306" t="s">
        <v>17677</v>
      </c>
      <c r="B316" s="306" t="s">
        <v>4003</v>
      </c>
      <c r="C316" s="306"/>
      <c r="D316" s="26">
        <v>2</v>
      </c>
      <c r="E316" s="312" t="s">
        <v>1427</v>
      </c>
      <c r="F316" s="306" t="str">
        <f>VLOOKUP(Table24[[#This Row],[Country]],Table10[[COUNTRY NAME]:[CONTINENT CODE]],3,FALSE)</f>
        <v>EU</v>
      </c>
      <c r="G316" s="312" t="s">
        <v>11766</v>
      </c>
      <c r="H316" s="309">
        <v>7939</v>
      </c>
      <c r="I316" s="310">
        <v>19.5</v>
      </c>
      <c r="J316" s="307"/>
      <c r="K316" s="307">
        <f>IFERROR(Table24[[#This Row],[ROUTE COST]]/Table24[[#This Row],[O - DEMAND]],0)</f>
        <v>0</v>
      </c>
      <c r="L316" s="306"/>
      <c r="M316" s="310">
        <f>Table24[[#This Row],[O - DEMAND]]/950</f>
        <v>0</v>
      </c>
      <c r="N316" s="306">
        <f>IFERROR(VLOOKUP(Table24[[#This Row],[ROUTE]],DEMAND!A:F,5,FALSE),0)</f>
        <v>0</v>
      </c>
      <c r="O316" s="306">
        <f>IFERROR(VLOOKUP(Table24[[#This Row],[ROUTE]],DEMAND!A:F,6,FALSE),0)</f>
        <v>0</v>
      </c>
      <c r="P316" s="306">
        <f>ROUNDDOWN(Table24[[#This Row],[R-DEMAND]]/950,0)</f>
        <v>0</v>
      </c>
      <c r="Q316" s="306">
        <f>Table24[[#This Row],[ADD ACC
(475/950)]]*Table24[[#This Row],[Duration
(A359)]]</f>
        <v>0</v>
      </c>
      <c r="R316" s="307">
        <f>IFERROR(VLOOKUP(Table24[[#This Row],[ROUTE]],PRICING!A:B,2,FALSE),0)</f>
        <v>0</v>
      </c>
      <c r="S316" s="308">
        <f>Table24[[#This Row],[C_DEMAND]]-Table24[[#This Row],[R-DEMAND]]</f>
        <v>0</v>
      </c>
      <c r="T316" s="307">
        <f>Table24[[#This Row],[SEATS SOLD]]*Table24[[#This Row],[ECO SEAT]]</f>
        <v>0</v>
      </c>
      <c r="U316" s="307">
        <f>Table24[[#This Row],[SEATS SOLD]]*(IFERROR(VLOOKUP(Table24[[#This Row],[ROUTE]],PRICING!A:C,3,FALSE),0))</f>
        <v>0</v>
      </c>
      <c r="V316" s="307">
        <f>Table24[[#This Row],[SEAT REV]]-Table24[[#This Row],[SEAT REV
(IF IDEAL $)]]</f>
        <v>0</v>
      </c>
    </row>
    <row r="317" spans="1:22" customFormat="1" x14ac:dyDescent="0.25">
      <c r="A317" s="306" t="s">
        <v>17909</v>
      </c>
      <c r="B317" s="306" t="s">
        <v>2551</v>
      </c>
      <c r="C317" s="306"/>
      <c r="D317" s="26">
        <v>2</v>
      </c>
      <c r="E317" s="312" t="s">
        <v>11732</v>
      </c>
      <c r="F317" s="306" t="str">
        <f>VLOOKUP(Table24[[#This Row],[Country]],Table10[[COUNTRY NAME]:[CONTINENT CODE]],3,FALSE)</f>
        <v>NA - US</v>
      </c>
      <c r="G317" s="312" t="s">
        <v>10909</v>
      </c>
      <c r="H317" s="309">
        <v>7930</v>
      </c>
      <c r="I317" s="310">
        <v>19.5</v>
      </c>
      <c r="J317" s="307"/>
      <c r="K317" s="307">
        <f>IFERROR(Table24[[#This Row],[ROUTE COST]]/Table24[[#This Row],[O - DEMAND]],0)</f>
        <v>0</v>
      </c>
      <c r="L317" s="306"/>
      <c r="M317" s="310">
        <f>Table24[[#This Row],[O - DEMAND]]/950</f>
        <v>0</v>
      </c>
      <c r="N317" s="306">
        <f>IFERROR(VLOOKUP(Table24[[#This Row],[ROUTE]],DEMAND!A:F,5,FALSE),0)</f>
        <v>0</v>
      </c>
      <c r="O317" s="306">
        <f>IFERROR(VLOOKUP(Table24[[#This Row],[ROUTE]],DEMAND!A:F,6,FALSE),0)</f>
        <v>0</v>
      </c>
      <c r="P317" s="306">
        <f>ROUNDDOWN(Table24[[#This Row],[R-DEMAND]]/950,0)</f>
        <v>0</v>
      </c>
      <c r="Q317" s="306">
        <f>Table24[[#This Row],[ADD ACC
(475/950)]]*Table24[[#This Row],[Duration
(A359)]]</f>
        <v>0</v>
      </c>
      <c r="R317" s="307">
        <f>IFERROR(VLOOKUP(Table24[[#This Row],[ROUTE]],PRICING!A:B,2,FALSE),0)</f>
        <v>0</v>
      </c>
      <c r="S317" s="308">
        <f>Table24[[#This Row],[C_DEMAND]]-Table24[[#This Row],[R-DEMAND]]</f>
        <v>0</v>
      </c>
      <c r="T317" s="307">
        <f>Table24[[#This Row],[SEATS SOLD]]*Table24[[#This Row],[ECO SEAT]]</f>
        <v>0</v>
      </c>
      <c r="U317" s="307">
        <f>Table24[[#This Row],[SEATS SOLD]]*(IFERROR(VLOOKUP(Table24[[#This Row],[ROUTE]],PRICING!A:C,3,FALSE),0))</f>
        <v>0</v>
      </c>
      <c r="V317" s="307">
        <f>Table24[[#This Row],[SEAT REV]]-Table24[[#This Row],[SEAT REV
(IF IDEAL $)]]</f>
        <v>0</v>
      </c>
    </row>
    <row r="318" spans="1:22" customFormat="1" x14ac:dyDescent="0.25">
      <c r="A318" s="306" t="s">
        <v>17103</v>
      </c>
      <c r="B318" s="306" t="s">
        <v>1163</v>
      </c>
      <c r="C318" s="306"/>
      <c r="D318" s="26">
        <v>1</v>
      </c>
      <c r="E318" s="312" t="s">
        <v>493</v>
      </c>
      <c r="F318" s="306" t="str">
        <f>VLOOKUP(Table24[[#This Row],[Country]],Table10[[COUNTRY NAME]:[CONTINENT CODE]],3,FALSE)</f>
        <v>AF</v>
      </c>
      <c r="G318" s="312" t="s">
        <v>11739</v>
      </c>
      <c r="H318" s="309">
        <v>7896</v>
      </c>
      <c r="I318" s="310">
        <v>19.5</v>
      </c>
      <c r="J318" s="307"/>
      <c r="K318" s="307">
        <f>IFERROR(Table24[[#This Row],[ROUTE COST]]/Table24[[#This Row],[O - DEMAND]],0)</f>
        <v>0</v>
      </c>
      <c r="L318" s="306"/>
      <c r="M318" s="310">
        <f>Table24[[#This Row],[O - DEMAND]]/950</f>
        <v>0</v>
      </c>
      <c r="N318" s="306">
        <f>IFERROR(VLOOKUP(Table24[[#This Row],[ROUTE]],DEMAND!A:F,5,FALSE),0)</f>
        <v>0</v>
      </c>
      <c r="O318" s="306">
        <f>IFERROR(VLOOKUP(Table24[[#This Row],[ROUTE]],DEMAND!A:F,6,FALSE),0)</f>
        <v>0</v>
      </c>
      <c r="P318" s="306">
        <f>ROUNDDOWN(Table24[[#This Row],[R-DEMAND]]/950,0)</f>
        <v>0</v>
      </c>
      <c r="Q318" s="306">
        <f>Table24[[#This Row],[ADD ACC
(475/950)]]*Table24[[#This Row],[Duration
(A359)]]</f>
        <v>0</v>
      </c>
      <c r="R318" s="307">
        <f>IFERROR(VLOOKUP(Table24[[#This Row],[ROUTE]],PRICING!A:B,2,FALSE),0)</f>
        <v>0</v>
      </c>
      <c r="S318" s="308">
        <f>Table24[[#This Row],[C_DEMAND]]-Table24[[#This Row],[R-DEMAND]]</f>
        <v>0</v>
      </c>
      <c r="T318" s="307">
        <f>Table24[[#This Row],[SEATS SOLD]]*Table24[[#This Row],[ECO SEAT]]</f>
        <v>0</v>
      </c>
      <c r="U318" s="307">
        <f>Table24[[#This Row],[SEATS SOLD]]*(IFERROR(VLOOKUP(Table24[[#This Row],[ROUTE]],PRICING!A:C,3,FALSE),0))</f>
        <v>0</v>
      </c>
      <c r="V318" s="307">
        <f>Table24[[#This Row],[SEAT REV]]-Table24[[#This Row],[SEAT REV
(IF IDEAL $)]]</f>
        <v>0</v>
      </c>
    </row>
    <row r="319" spans="1:22" customFormat="1" x14ac:dyDescent="0.25">
      <c r="A319" s="306" t="s">
        <v>17565</v>
      </c>
      <c r="B319" s="306" t="s">
        <v>5343</v>
      </c>
      <c r="C319" s="306"/>
      <c r="D319" s="26">
        <v>3</v>
      </c>
      <c r="E319" s="312" t="s">
        <v>1427</v>
      </c>
      <c r="F319" s="306" t="str">
        <f>VLOOKUP(Table24[[#This Row],[Country]],Table10[[COUNTRY NAME]:[CONTINENT CODE]],3,FALSE)</f>
        <v>EU</v>
      </c>
      <c r="G319" s="312" t="s">
        <v>11762</v>
      </c>
      <c r="H319" s="309">
        <v>7846</v>
      </c>
      <c r="I319" s="310">
        <v>19.25</v>
      </c>
      <c r="J319" s="307"/>
      <c r="K319" s="307">
        <f>IFERROR(Table24[[#This Row],[ROUTE COST]]/Table24[[#This Row],[O - DEMAND]],0)</f>
        <v>0</v>
      </c>
      <c r="L319" s="306"/>
      <c r="M319" s="310">
        <f>Table24[[#This Row],[O - DEMAND]]/950</f>
        <v>0</v>
      </c>
      <c r="N319" s="306">
        <f>IFERROR(VLOOKUP(Table24[[#This Row],[ROUTE]],DEMAND!A:F,5,FALSE),0)</f>
        <v>0</v>
      </c>
      <c r="O319" s="306">
        <f>IFERROR(VLOOKUP(Table24[[#This Row],[ROUTE]],DEMAND!A:F,6,FALSE),0)</f>
        <v>0</v>
      </c>
      <c r="P319" s="306">
        <f>ROUNDDOWN(Table24[[#This Row],[R-DEMAND]]/950,0)</f>
        <v>0</v>
      </c>
      <c r="Q319" s="306">
        <f>Table24[[#This Row],[ADD ACC
(475/950)]]*Table24[[#This Row],[Duration
(A359)]]</f>
        <v>0</v>
      </c>
      <c r="R319" s="307">
        <f>IFERROR(VLOOKUP(Table24[[#This Row],[ROUTE]],PRICING!A:B,2,FALSE),0)</f>
        <v>0</v>
      </c>
      <c r="S319" s="308">
        <f>Table24[[#This Row],[C_DEMAND]]-Table24[[#This Row],[R-DEMAND]]</f>
        <v>0</v>
      </c>
      <c r="T319" s="307">
        <f>Table24[[#This Row],[SEATS SOLD]]*Table24[[#This Row],[ECO SEAT]]</f>
        <v>0</v>
      </c>
      <c r="U319" s="307">
        <f>Table24[[#This Row],[SEATS SOLD]]*(IFERROR(VLOOKUP(Table24[[#This Row],[ROUTE]],PRICING!A:C,3,FALSE),0))</f>
        <v>0</v>
      </c>
      <c r="V319" s="307">
        <f>Table24[[#This Row],[SEAT REV]]-Table24[[#This Row],[SEAT REV
(IF IDEAL $)]]</f>
        <v>0</v>
      </c>
    </row>
    <row r="320" spans="1:22" customFormat="1" x14ac:dyDescent="0.25">
      <c r="A320" s="306" t="s">
        <v>17571</v>
      </c>
      <c r="B320" s="306" t="s">
        <v>5350</v>
      </c>
      <c r="C320" s="306"/>
      <c r="D320" s="26">
        <v>3</v>
      </c>
      <c r="E320" s="312" t="s">
        <v>560</v>
      </c>
      <c r="F320" s="306" t="str">
        <f>VLOOKUP(Table24[[#This Row],[Country]],Table10[[COUNTRY NAME]:[CONTINENT CODE]],3,FALSE)</f>
        <v>EU</v>
      </c>
      <c r="G320" s="312" t="s">
        <v>11747</v>
      </c>
      <c r="H320" s="309">
        <v>7744</v>
      </c>
      <c r="I320" s="310">
        <v>19.25</v>
      </c>
      <c r="J320" s="307"/>
      <c r="K320" s="307">
        <f>IFERROR(Table24[[#This Row],[ROUTE COST]]/Table24[[#This Row],[O - DEMAND]],0)</f>
        <v>0</v>
      </c>
      <c r="L320" s="306"/>
      <c r="M320" s="310">
        <f>Table24[[#This Row],[O - DEMAND]]/950</f>
        <v>0</v>
      </c>
      <c r="N320" s="306">
        <f>IFERROR(VLOOKUP(Table24[[#This Row],[ROUTE]],DEMAND!A:F,5,FALSE),0)</f>
        <v>0</v>
      </c>
      <c r="O320" s="306">
        <f>IFERROR(VLOOKUP(Table24[[#This Row],[ROUTE]],DEMAND!A:F,6,FALSE),0)</f>
        <v>0</v>
      </c>
      <c r="P320" s="306">
        <f>ROUNDDOWN(Table24[[#This Row],[R-DEMAND]]/950,0)</f>
        <v>0</v>
      </c>
      <c r="Q320" s="306">
        <f>Table24[[#This Row],[ADD ACC
(475/950)]]*Table24[[#This Row],[Duration
(A359)]]</f>
        <v>0</v>
      </c>
      <c r="R320" s="307">
        <f>IFERROR(VLOOKUP(Table24[[#This Row],[ROUTE]],PRICING!A:B,2,FALSE),0)</f>
        <v>0</v>
      </c>
      <c r="S320" s="308">
        <f>Table24[[#This Row],[C_DEMAND]]-Table24[[#This Row],[R-DEMAND]]</f>
        <v>0</v>
      </c>
      <c r="T320" s="307">
        <f>Table24[[#This Row],[SEATS SOLD]]*Table24[[#This Row],[ECO SEAT]]</f>
        <v>0</v>
      </c>
      <c r="U320" s="307">
        <f>Table24[[#This Row],[SEATS SOLD]]*(IFERROR(VLOOKUP(Table24[[#This Row],[ROUTE]],PRICING!A:C,3,FALSE),0))</f>
        <v>0</v>
      </c>
      <c r="V320" s="307">
        <f>Table24[[#This Row],[SEAT REV]]-Table24[[#This Row],[SEAT REV
(IF IDEAL $)]]</f>
        <v>0</v>
      </c>
    </row>
    <row r="321" spans="1:22" customFormat="1" x14ac:dyDescent="0.25">
      <c r="A321" s="306" t="s">
        <v>17570</v>
      </c>
      <c r="B321" s="306" t="s">
        <v>5236</v>
      </c>
      <c r="C321" s="306"/>
      <c r="D321" s="26">
        <v>3</v>
      </c>
      <c r="E321" s="312" t="s">
        <v>308</v>
      </c>
      <c r="F321" s="306" t="str">
        <f>VLOOKUP(Table24[[#This Row],[Country]],Table10[[COUNTRY NAME]:[CONTINENT CODE]],3,FALSE)</f>
        <v>EU</v>
      </c>
      <c r="G321" s="312" t="s">
        <v>11744</v>
      </c>
      <c r="H321" s="309">
        <v>7780</v>
      </c>
      <c r="I321" s="310">
        <v>19.25</v>
      </c>
      <c r="J321" s="307"/>
      <c r="K321" s="307">
        <f>IFERROR(Table24[[#This Row],[ROUTE COST]]/Table24[[#This Row],[O - DEMAND]],0)</f>
        <v>0</v>
      </c>
      <c r="L321" s="306"/>
      <c r="M321" s="310">
        <f>Table24[[#This Row],[O - DEMAND]]/950</f>
        <v>0</v>
      </c>
      <c r="N321" s="306">
        <f>IFERROR(VLOOKUP(Table24[[#This Row],[ROUTE]],DEMAND!A:F,5,FALSE),0)</f>
        <v>0</v>
      </c>
      <c r="O321" s="306">
        <f>IFERROR(VLOOKUP(Table24[[#This Row],[ROUTE]],DEMAND!A:F,6,FALSE),0)</f>
        <v>0</v>
      </c>
      <c r="P321" s="306">
        <f>ROUNDDOWN(Table24[[#This Row],[R-DEMAND]]/950,0)</f>
        <v>0</v>
      </c>
      <c r="Q321" s="306">
        <f>Table24[[#This Row],[ADD ACC
(475/950)]]*Table24[[#This Row],[Duration
(A359)]]</f>
        <v>0</v>
      </c>
      <c r="R321" s="307">
        <f>IFERROR(VLOOKUP(Table24[[#This Row],[ROUTE]],PRICING!A:B,2,FALSE),0)</f>
        <v>0</v>
      </c>
      <c r="S321" s="308">
        <f>Table24[[#This Row],[C_DEMAND]]-Table24[[#This Row],[R-DEMAND]]</f>
        <v>0</v>
      </c>
      <c r="T321" s="307">
        <f>Table24[[#This Row],[SEATS SOLD]]*Table24[[#This Row],[ECO SEAT]]</f>
        <v>0</v>
      </c>
      <c r="U321" s="307">
        <f>Table24[[#This Row],[SEATS SOLD]]*(IFERROR(VLOOKUP(Table24[[#This Row],[ROUTE]],PRICING!A:C,3,FALSE),0))</f>
        <v>0</v>
      </c>
      <c r="V321" s="307">
        <f>Table24[[#This Row],[SEAT REV]]-Table24[[#This Row],[SEAT REV
(IF IDEAL $)]]</f>
        <v>0</v>
      </c>
    </row>
    <row r="322" spans="1:22" customFormat="1" x14ac:dyDescent="0.25">
      <c r="A322" s="306" t="s">
        <v>17101</v>
      </c>
      <c r="B322" s="306" t="s">
        <v>2512</v>
      </c>
      <c r="C322" s="306"/>
      <c r="D322" s="26">
        <v>2</v>
      </c>
      <c r="E322" s="312" t="s">
        <v>493</v>
      </c>
      <c r="F322" s="306" t="str">
        <f>VLOOKUP(Table24[[#This Row],[Country]],Table10[[COUNTRY NAME]:[CONTINENT CODE]],3,FALSE)</f>
        <v>AF</v>
      </c>
      <c r="G322" s="312" t="s">
        <v>11734</v>
      </c>
      <c r="H322" s="309">
        <v>7812</v>
      </c>
      <c r="I322" s="310">
        <v>19.25</v>
      </c>
      <c r="J322" s="307"/>
      <c r="K322" s="307">
        <f>IFERROR(Table24[[#This Row],[ROUTE COST]]/Table24[[#This Row],[O - DEMAND]],0)</f>
        <v>0</v>
      </c>
      <c r="L322" s="306"/>
      <c r="M322" s="310">
        <f>Table24[[#This Row],[O - DEMAND]]/950</f>
        <v>0</v>
      </c>
      <c r="N322" s="306">
        <f>IFERROR(VLOOKUP(Table24[[#This Row],[ROUTE]],DEMAND!A:F,5,FALSE),0)</f>
        <v>0</v>
      </c>
      <c r="O322" s="306">
        <f>IFERROR(VLOOKUP(Table24[[#This Row],[ROUTE]],DEMAND!A:F,6,FALSE),0)</f>
        <v>0</v>
      </c>
      <c r="P322" s="306">
        <f>ROUNDDOWN(Table24[[#This Row],[R-DEMAND]]/950,0)</f>
        <v>0</v>
      </c>
      <c r="Q322" s="306">
        <f>Table24[[#This Row],[ADD ACC
(475/950)]]*Table24[[#This Row],[Duration
(A359)]]</f>
        <v>0</v>
      </c>
      <c r="R322" s="307">
        <f>IFERROR(VLOOKUP(Table24[[#This Row],[ROUTE]],PRICING!A:B,2,FALSE),0)</f>
        <v>0</v>
      </c>
      <c r="S322" s="308">
        <f>Table24[[#This Row],[C_DEMAND]]-Table24[[#This Row],[R-DEMAND]]</f>
        <v>0</v>
      </c>
      <c r="T322" s="307">
        <f>Table24[[#This Row],[SEATS SOLD]]*Table24[[#This Row],[ECO SEAT]]</f>
        <v>0</v>
      </c>
      <c r="U322" s="307">
        <f>Table24[[#This Row],[SEATS SOLD]]*(IFERROR(VLOOKUP(Table24[[#This Row],[ROUTE]],PRICING!A:C,3,FALSE),0))</f>
        <v>0</v>
      </c>
      <c r="V322" s="307">
        <f>Table24[[#This Row],[SEAT REV]]-Table24[[#This Row],[SEAT REV
(IF IDEAL $)]]</f>
        <v>0</v>
      </c>
    </row>
    <row r="323" spans="1:22" customFormat="1" x14ac:dyDescent="0.25">
      <c r="A323" s="306" t="s">
        <v>17108</v>
      </c>
      <c r="B323" s="306" t="s">
        <v>3693</v>
      </c>
      <c r="C323" s="306"/>
      <c r="D323" s="26">
        <v>2</v>
      </c>
      <c r="E323" s="312" t="s">
        <v>493</v>
      </c>
      <c r="F323" s="306" t="str">
        <f>VLOOKUP(Table24[[#This Row],[Country]],Table10[[COUNTRY NAME]:[CONTINENT CODE]],3,FALSE)</f>
        <v>AF</v>
      </c>
      <c r="G323" s="312" t="s">
        <v>11738</v>
      </c>
      <c r="H323" s="309">
        <v>7829</v>
      </c>
      <c r="I323" s="310">
        <v>19.25</v>
      </c>
      <c r="J323" s="307"/>
      <c r="K323" s="307">
        <f>IFERROR(Table24[[#This Row],[ROUTE COST]]/Table24[[#This Row],[O - DEMAND]],0)</f>
        <v>0</v>
      </c>
      <c r="L323" s="306"/>
      <c r="M323" s="310">
        <f>Table24[[#This Row],[O - DEMAND]]/950</f>
        <v>0</v>
      </c>
      <c r="N323" s="306">
        <f>IFERROR(VLOOKUP(Table24[[#This Row],[ROUTE]],DEMAND!A:F,5,FALSE),0)</f>
        <v>0</v>
      </c>
      <c r="O323" s="306">
        <f>IFERROR(VLOOKUP(Table24[[#This Row],[ROUTE]],DEMAND!A:F,6,FALSE),0)</f>
        <v>0</v>
      </c>
      <c r="P323" s="306">
        <f>ROUNDDOWN(Table24[[#This Row],[R-DEMAND]]/950,0)</f>
        <v>0</v>
      </c>
      <c r="Q323" s="306">
        <f>Table24[[#This Row],[ADD ACC
(475/950)]]*Table24[[#This Row],[Duration
(A359)]]</f>
        <v>0</v>
      </c>
      <c r="R323" s="307">
        <f>IFERROR(VLOOKUP(Table24[[#This Row],[ROUTE]],PRICING!A:B,2,FALSE),0)</f>
        <v>0</v>
      </c>
      <c r="S323" s="308">
        <f>Table24[[#This Row],[C_DEMAND]]-Table24[[#This Row],[R-DEMAND]]</f>
        <v>0</v>
      </c>
      <c r="T323" s="307">
        <f>Table24[[#This Row],[SEATS SOLD]]*Table24[[#This Row],[ECO SEAT]]</f>
        <v>0</v>
      </c>
      <c r="U323" s="307">
        <f>Table24[[#This Row],[SEATS SOLD]]*(IFERROR(VLOOKUP(Table24[[#This Row],[ROUTE]],PRICING!A:C,3,FALSE),0))</f>
        <v>0</v>
      </c>
      <c r="V323" s="307">
        <f>Table24[[#This Row],[SEAT REV]]-Table24[[#This Row],[SEAT REV
(IF IDEAL $)]]</f>
        <v>0</v>
      </c>
    </row>
    <row r="324" spans="1:22" customFormat="1" x14ac:dyDescent="0.25">
      <c r="A324" s="306" t="s">
        <v>17681</v>
      </c>
      <c r="B324" s="306" t="s">
        <v>3301</v>
      </c>
      <c r="C324" s="306"/>
      <c r="D324" s="26">
        <v>2</v>
      </c>
      <c r="E324" s="312" t="s">
        <v>876</v>
      </c>
      <c r="F324" s="306" t="str">
        <f>VLOOKUP(Table24[[#This Row],[Country]],Table10[[COUNTRY NAME]:[CONTINENT CODE]],3,FALSE)</f>
        <v>EU</v>
      </c>
      <c r="G324" s="312" t="s">
        <v>16911</v>
      </c>
      <c r="H324" s="309">
        <v>7745</v>
      </c>
      <c r="I324" s="310">
        <v>19.25</v>
      </c>
      <c r="J324" s="307"/>
      <c r="K324" s="307">
        <f>IFERROR(Table24[[#This Row],[ROUTE COST]]/Table24[[#This Row],[O - DEMAND]],0)</f>
        <v>0</v>
      </c>
      <c r="L324" s="306"/>
      <c r="M324" s="310">
        <f>Table24[[#This Row],[O - DEMAND]]/950</f>
        <v>0</v>
      </c>
      <c r="N324" s="306">
        <f>IFERROR(VLOOKUP(Table24[[#This Row],[ROUTE]],DEMAND!A:F,5,FALSE),0)</f>
        <v>0</v>
      </c>
      <c r="O324" s="306">
        <f>IFERROR(VLOOKUP(Table24[[#This Row],[ROUTE]],DEMAND!A:F,6,FALSE),0)</f>
        <v>0</v>
      </c>
      <c r="P324" s="306">
        <f>ROUNDDOWN(Table24[[#This Row],[R-DEMAND]]/950,0)</f>
        <v>0</v>
      </c>
      <c r="Q324" s="306">
        <f>Table24[[#This Row],[ADD ACC
(475/950)]]*Table24[[#This Row],[Duration
(A359)]]</f>
        <v>0</v>
      </c>
      <c r="R324" s="307">
        <f>IFERROR(VLOOKUP(Table24[[#This Row],[ROUTE]],PRICING!A:B,2,FALSE),0)</f>
        <v>0</v>
      </c>
      <c r="S324" s="308">
        <f>Table24[[#This Row],[C_DEMAND]]-Table24[[#This Row],[R-DEMAND]]</f>
        <v>0</v>
      </c>
      <c r="T324" s="307">
        <f>Table24[[#This Row],[SEATS SOLD]]*Table24[[#This Row],[ECO SEAT]]</f>
        <v>0</v>
      </c>
      <c r="U324" s="307">
        <f>Table24[[#This Row],[SEATS SOLD]]*(IFERROR(VLOOKUP(Table24[[#This Row],[ROUTE]],PRICING!A:C,3,FALSE),0))</f>
        <v>0</v>
      </c>
      <c r="V324" s="307">
        <f>Table24[[#This Row],[SEAT REV]]-Table24[[#This Row],[SEAT REV
(IF IDEAL $)]]</f>
        <v>0</v>
      </c>
    </row>
    <row r="325" spans="1:22" customFormat="1" x14ac:dyDescent="0.25">
      <c r="A325" s="306" t="s">
        <v>17680</v>
      </c>
      <c r="B325" s="306" t="s">
        <v>4661</v>
      </c>
      <c r="C325" s="306"/>
      <c r="D325" s="26">
        <v>2</v>
      </c>
      <c r="E325" s="312" t="s">
        <v>1427</v>
      </c>
      <c r="F325" s="306" t="str">
        <f>VLOOKUP(Table24[[#This Row],[Country]],Table10[[COUNTRY NAME]:[CONTINENT CODE]],3,FALSE)</f>
        <v>EU</v>
      </c>
      <c r="G325" s="312" t="s">
        <v>11752</v>
      </c>
      <c r="H325" s="309">
        <v>7771</v>
      </c>
      <c r="I325" s="310">
        <v>19.25</v>
      </c>
      <c r="J325" s="307"/>
      <c r="K325" s="307">
        <f>IFERROR(Table24[[#This Row],[ROUTE COST]]/Table24[[#This Row],[O - DEMAND]],0)</f>
        <v>0</v>
      </c>
      <c r="L325" s="306"/>
      <c r="M325" s="310">
        <f>Table24[[#This Row],[O - DEMAND]]/950</f>
        <v>0</v>
      </c>
      <c r="N325" s="306">
        <f>IFERROR(VLOOKUP(Table24[[#This Row],[ROUTE]],DEMAND!A:F,5,FALSE),0)</f>
        <v>0</v>
      </c>
      <c r="O325" s="306">
        <f>IFERROR(VLOOKUP(Table24[[#This Row],[ROUTE]],DEMAND!A:F,6,FALSE),0)</f>
        <v>0</v>
      </c>
      <c r="P325" s="306">
        <f>ROUNDDOWN(Table24[[#This Row],[R-DEMAND]]/950,0)</f>
        <v>0</v>
      </c>
      <c r="Q325" s="306">
        <f>Table24[[#This Row],[ADD ACC
(475/950)]]*Table24[[#This Row],[Duration
(A359)]]</f>
        <v>0</v>
      </c>
      <c r="R325" s="307">
        <f>IFERROR(VLOOKUP(Table24[[#This Row],[ROUTE]],PRICING!A:B,2,FALSE),0)</f>
        <v>0</v>
      </c>
      <c r="S325" s="308">
        <f>Table24[[#This Row],[C_DEMAND]]-Table24[[#This Row],[R-DEMAND]]</f>
        <v>0</v>
      </c>
      <c r="T325" s="307">
        <f>Table24[[#This Row],[SEATS SOLD]]*Table24[[#This Row],[ECO SEAT]]</f>
        <v>0</v>
      </c>
      <c r="U325" s="307">
        <f>Table24[[#This Row],[SEATS SOLD]]*(IFERROR(VLOOKUP(Table24[[#This Row],[ROUTE]],PRICING!A:C,3,FALSE),0))</f>
        <v>0</v>
      </c>
      <c r="V325" s="307">
        <f>Table24[[#This Row],[SEAT REV]]-Table24[[#This Row],[SEAT REV
(IF IDEAL $)]]</f>
        <v>0</v>
      </c>
    </row>
    <row r="326" spans="1:22" customFormat="1" x14ac:dyDescent="0.25">
      <c r="A326" s="306" t="s">
        <v>17679</v>
      </c>
      <c r="B326" s="306" t="s">
        <v>3664</v>
      </c>
      <c r="C326" s="306"/>
      <c r="D326" s="26">
        <v>2</v>
      </c>
      <c r="E326" s="312" t="s">
        <v>876</v>
      </c>
      <c r="F326" s="306" t="str">
        <f>VLOOKUP(Table24[[#This Row],[Country]],Table10[[COUNTRY NAME]:[CONTINENT CODE]],3,FALSE)</f>
        <v>EU</v>
      </c>
      <c r="G326" s="312" t="s">
        <v>11761</v>
      </c>
      <c r="H326" s="309">
        <v>7775</v>
      </c>
      <c r="I326" s="310">
        <v>19.25</v>
      </c>
      <c r="J326" s="307"/>
      <c r="K326" s="307">
        <f>IFERROR(Table24[[#This Row],[ROUTE COST]]/Table24[[#This Row],[O - DEMAND]],0)</f>
        <v>0</v>
      </c>
      <c r="L326" s="306"/>
      <c r="M326" s="310">
        <f>Table24[[#This Row],[O - DEMAND]]/950</f>
        <v>0</v>
      </c>
      <c r="N326" s="306">
        <f>IFERROR(VLOOKUP(Table24[[#This Row],[ROUTE]],DEMAND!A:F,5,FALSE),0)</f>
        <v>0</v>
      </c>
      <c r="O326" s="306">
        <f>IFERROR(VLOOKUP(Table24[[#This Row],[ROUTE]],DEMAND!A:F,6,FALSE),0)</f>
        <v>0</v>
      </c>
      <c r="P326" s="306">
        <f>ROUNDDOWN(Table24[[#This Row],[R-DEMAND]]/950,0)</f>
        <v>0</v>
      </c>
      <c r="Q326" s="306">
        <f>Table24[[#This Row],[ADD ACC
(475/950)]]*Table24[[#This Row],[Duration
(A359)]]</f>
        <v>0</v>
      </c>
      <c r="R326" s="307">
        <f>IFERROR(VLOOKUP(Table24[[#This Row],[ROUTE]],PRICING!A:B,2,FALSE),0)</f>
        <v>0</v>
      </c>
      <c r="S326" s="308">
        <f>Table24[[#This Row],[C_DEMAND]]-Table24[[#This Row],[R-DEMAND]]</f>
        <v>0</v>
      </c>
      <c r="T326" s="307">
        <f>Table24[[#This Row],[SEATS SOLD]]*Table24[[#This Row],[ECO SEAT]]</f>
        <v>0</v>
      </c>
      <c r="U326" s="307">
        <f>Table24[[#This Row],[SEATS SOLD]]*(IFERROR(VLOOKUP(Table24[[#This Row],[ROUTE]],PRICING!A:C,3,FALSE),0))</f>
        <v>0</v>
      </c>
      <c r="V326" s="307">
        <f>Table24[[#This Row],[SEAT REV]]-Table24[[#This Row],[SEAT REV
(IF IDEAL $)]]</f>
        <v>0</v>
      </c>
    </row>
    <row r="327" spans="1:22" customFormat="1" x14ac:dyDescent="0.25">
      <c r="A327" s="306" t="s">
        <v>17110</v>
      </c>
      <c r="B327" s="306" t="s">
        <v>1695</v>
      </c>
      <c r="C327" s="306"/>
      <c r="D327" s="26">
        <v>1</v>
      </c>
      <c r="E327" s="312" t="s">
        <v>493</v>
      </c>
      <c r="F327" s="306" t="str">
        <f>VLOOKUP(Table24[[#This Row],[Country]],Table10[[COUNTRY NAME]:[CONTINENT CODE]],3,FALSE)</f>
        <v>AF</v>
      </c>
      <c r="G327" s="312" t="s">
        <v>11728</v>
      </c>
      <c r="H327" s="309">
        <v>7777</v>
      </c>
      <c r="I327" s="310">
        <v>19.25</v>
      </c>
      <c r="J327" s="307"/>
      <c r="K327" s="307">
        <f>IFERROR(Table24[[#This Row],[ROUTE COST]]/Table24[[#This Row],[O - DEMAND]],0)</f>
        <v>0</v>
      </c>
      <c r="L327" s="306"/>
      <c r="M327" s="310">
        <f>Table24[[#This Row],[O - DEMAND]]/950</f>
        <v>0</v>
      </c>
      <c r="N327" s="306">
        <f>IFERROR(VLOOKUP(Table24[[#This Row],[ROUTE]],DEMAND!A:F,5,FALSE),0)</f>
        <v>0</v>
      </c>
      <c r="O327" s="306">
        <f>IFERROR(VLOOKUP(Table24[[#This Row],[ROUTE]],DEMAND!A:F,6,FALSE),0)</f>
        <v>0</v>
      </c>
      <c r="P327" s="306">
        <f>ROUNDDOWN(Table24[[#This Row],[R-DEMAND]]/950,0)</f>
        <v>0</v>
      </c>
      <c r="Q327" s="306">
        <f>Table24[[#This Row],[ADD ACC
(475/950)]]*Table24[[#This Row],[Duration
(A359)]]</f>
        <v>0</v>
      </c>
      <c r="R327" s="307">
        <f>IFERROR(VLOOKUP(Table24[[#This Row],[ROUTE]],PRICING!A:B,2,FALSE),0)</f>
        <v>0</v>
      </c>
      <c r="S327" s="308">
        <f>Table24[[#This Row],[C_DEMAND]]-Table24[[#This Row],[R-DEMAND]]</f>
        <v>0</v>
      </c>
      <c r="T327" s="307">
        <f>Table24[[#This Row],[SEATS SOLD]]*Table24[[#This Row],[ECO SEAT]]</f>
        <v>0</v>
      </c>
      <c r="U327" s="307">
        <f>Table24[[#This Row],[SEATS SOLD]]*(IFERROR(VLOOKUP(Table24[[#This Row],[ROUTE]],PRICING!A:C,3,FALSE),0))</f>
        <v>0</v>
      </c>
      <c r="V327" s="307">
        <f>Table24[[#This Row],[SEAT REV]]-Table24[[#This Row],[SEAT REV
(IF IDEAL $)]]</f>
        <v>0</v>
      </c>
    </row>
    <row r="328" spans="1:22" customFormat="1" x14ac:dyDescent="0.25">
      <c r="A328" s="306" t="s">
        <v>17104</v>
      </c>
      <c r="B328" s="306" t="s">
        <v>1553</v>
      </c>
      <c r="C328" s="306"/>
      <c r="D328" s="26">
        <v>1</v>
      </c>
      <c r="E328" s="312" t="s">
        <v>493</v>
      </c>
      <c r="F328" s="306" t="str">
        <f>VLOOKUP(Table24[[#This Row],[Country]],Table10[[COUNTRY NAME]:[CONTINENT CODE]],3,FALSE)</f>
        <v>AF</v>
      </c>
      <c r="G328" s="312" t="s">
        <v>11726</v>
      </c>
      <c r="H328" s="309">
        <v>7800</v>
      </c>
      <c r="I328" s="310">
        <v>19.25</v>
      </c>
      <c r="J328" s="307"/>
      <c r="K328" s="307">
        <f>IFERROR(Table24[[#This Row],[ROUTE COST]]/Table24[[#This Row],[O - DEMAND]],0)</f>
        <v>0</v>
      </c>
      <c r="L328" s="306"/>
      <c r="M328" s="310">
        <f>Table24[[#This Row],[O - DEMAND]]/950</f>
        <v>0</v>
      </c>
      <c r="N328" s="306">
        <f>IFERROR(VLOOKUP(Table24[[#This Row],[ROUTE]],DEMAND!A:F,5,FALSE),0)</f>
        <v>0</v>
      </c>
      <c r="O328" s="306">
        <f>IFERROR(VLOOKUP(Table24[[#This Row],[ROUTE]],DEMAND!A:F,6,FALSE),0)</f>
        <v>0</v>
      </c>
      <c r="P328" s="306">
        <f>ROUNDDOWN(Table24[[#This Row],[R-DEMAND]]/950,0)</f>
        <v>0</v>
      </c>
      <c r="Q328" s="306">
        <f>Table24[[#This Row],[ADD ACC
(475/950)]]*Table24[[#This Row],[Duration
(A359)]]</f>
        <v>0</v>
      </c>
      <c r="R328" s="307">
        <f>IFERROR(VLOOKUP(Table24[[#This Row],[ROUTE]],PRICING!A:B,2,FALSE),0)</f>
        <v>0</v>
      </c>
      <c r="S328" s="308">
        <f>Table24[[#This Row],[C_DEMAND]]-Table24[[#This Row],[R-DEMAND]]</f>
        <v>0</v>
      </c>
      <c r="T328" s="307">
        <f>Table24[[#This Row],[SEATS SOLD]]*Table24[[#This Row],[ECO SEAT]]</f>
        <v>0</v>
      </c>
      <c r="U328" s="307">
        <f>Table24[[#This Row],[SEATS SOLD]]*(IFERROR(VLOOKUP(Table24[[#This Row],[ROUTE]],PRICING!A:C,3,FALSE),0))</f>
        <v>0</v>
      </c>
      <c r="V328" s="307">
        <f>Table24[[#This Row],[SEAT REV]]-Table24[[#This Row],[SEAT REV
(IF IDEAL $)]]</f>
        <v>0</v>
      </c>
    </row>
    <row r="329" spans="1:22" customFormat="1" x14ac:dyDescent="0.25">
      <c r="A329" s="306" t="s">
        <v>17721</v>
      </c>
      <c r="B329" s="306" t="s">
        <v>773</v>
      </c>
      <c r="C329" s="306"/>
      <c r="D329" s="26">
        <v>1</v>
      </c>
      <c r="E329" s="312" t="s">
        <v>605</v>
      </c>
      <c r="F329" s="306" t="str">
        <f>VLOOKUP(Table24[[#This Row],[Country]],Table10[[COUNTRY NAME]:[CONTINENT CODE]],3,FALSE)</f>
        <v>EU</v>
      </c>
      <c r="G329" s="312" t="s">
        <v>16910</v>
      </c>
      <c r="H329" s="309">
        <v>7766</v>
      </c>
      <c r="I329" s="310">
        <v>19.25</v>
      </c>
      <c r="J329" s="307"/>
      <c r="K329" s="307">
        <f>IFERROR(Table24[[#This Row],[ROUTE COST]]/Table24[[#This Row],[O - DEMAND]],0)</f>
        <v>0</v>
      </c>
      <c r="L329" s="306"/>
      <c r="M329" s="310">
        <f>Table24[[#This Row],[O - DEMAND]]/950</f>
        <v>0</v>
      </c>
      <c r="N329" s="306">
        <f>IFERROR(VLOOKUP(Table24[[#This Row],[ROUTE]],DEMAND!A:F,5,FALSE),0)</f>
        <v>0</v>
      </c>
      <c r="O329" s="306">
        <f>IFERROR(VLOOKUP(Table24[[#This Row],[ROUTE]],DEMAND!A:F,6,FALSE),0)</f>
        <v>0</v>
      </c>
      <c r="P329" s="306">
        <f>ROUNDDOWN(Table24[[#This Row],[R-DEMAND]]/950,0)</f>
        <v>0</v>
      </c>
      <c r="Q329" s="306">
        <f>Table24[[#This Row],[ADD ACC
(475/950)]]*Table24[[#This Row],[Duration
(A359)]]</f>
        <v>0</v>
      </c>
      <c r="R329" s="307">
        <f>IFERROR(VLOOKUP(Table24[[#This Row],[ROUTE]],PRICING!A:B,2,FALSE),0)</f>
        <v>0</v>
      </c>
      <c r="S329" s="308">
        <f>Table24[[#This Row],[C_DEMAND]]-Table24[[#This Row],[R-DEMAND]]</f>
        <v>0</v>
      </c>
      <c r="T329" s="307">
        <f>Table24[[#This Row],[SEATS SOLD]]*Table24[[#This Row],[ECO SEAT]]</f>
        <v>0</v>
      </c>
      <c r="U329" s="307">
        <f>Table24[[#This Row],[SEATS SOLD]]*(IFERROR(VLOOKUP(Table24[[#This Row],[ROUTE]],PRICING!A:C,3,FALSE),0))</f>
        <v>0</v>
      </c>
      <c r="V329" s="307">
        <f>Table24[[#This Row],[SEAT REV]]-Table24[[#This Row],[SEAT REV
(IF IDEAL $)]]</f>
        <v>0</v>
      </c>
    </row>
    <row r="330" spans="1:22" customFormat="1" x14ac:dyDescent="0.25">
      <c r="A330" s="306" t="s">
        <v>17683</v>
      </c>
      <c r="B330" s="306" t="s">
        <v>3607</v>
      </c>
      <c r="C330" s="306"/>
      <c r="D330" s="26">
        <v>2</v>
      </c>
      <c r="E330" s="312" t="s">
        <v>560</v>
      </c>
      <c r="F330" s="306" t="str">
        <f>VLOOKUP(Table24[[#This Row],[Country]],Table10[[COUNTRY NAME]:[CONTINENT CODE]],3,FALSE)</f>
        <v>EU</v>
      </c>
      <c r="G330" s="312" t="s">
        <v>11740</v>
      </c>
      <c r="H330" s="309">
        <v>7636</v>
      </c>
      <c r="I330" s="310">
        <v>19</v>
      </c>
      <c r="J330" s="307"/>
      <c r="K330" s="307">
        <f>IFERROR(Table24[[#This Row],[ROUTE COST]]/Table24[[#This Row],[O - DEMAND]],0)</f>
        <v>0</v>
      </c>
      <c r="L330" s="306"/>
      <c r="M330" s="310">
        <f>Table24[[#This Row],[O - DEMAND]]/950</f>
        <v>0</v>
      </c>
      <c r="N330" s="306">
        <f>IFERROR(VLOOKUP(Table24[[#This Row],[ROUTE]],DEMAND!A:F,5,FALSE),0)</f>
        <v>0</v>
      </c>
      <c r="O330" s="306">
        <f>IFERROR(VLOOKUP(Table24[[#This Row],[ROUTE]],DEMAND!A:F,6,FALSE),0)</f>
        <v>0</v>
      </c>
      <c r="P330" s="306">
        <f>ROUNDDOWN(Table24[[#This Row],[R-DEMAND]]/950,0)</f>
        <v>0</v>
      </c>
      <c r="Q330" s="306">
        <f>Table24[[#This Row],[ADD ACC
(475/950)]]*Table24[[#This Row],[Duration
(A359)]]</f>
        <v>0</v>
      </c>
      <c r="R330" s="307">
        <f>IFERROR(VLOOKUP(Table24[[#This Row],[ROUTE]],PRICING!A:B,2,FALSE),0)</f>
        <v>0</v>
      </c>
      <c r="S330" s="308">
        <f>Table24[[#This Row],[C_DEMAND]]-Table24[[#This Row],[R-DEMAND]]</f>
        <v>0</v>
      </c>
      <c r="T330" s="307">
        <f>Table24[[#This Row],[SEATS SOLD]]*Table24[[#This Row],[ECO SEAT]]</f>
        <v>0</v>
      </c>
      <c r="U330" s="307">
        <f>Table24[[#This Row],[SEATS SOLD]]*(IFERROR(VLOOKUP(Table24[[#This Row],[ROUTE]],PRICING!A:C,3,FALSE),0))</f>
        <v>0</v>
      </c>
      <c r="V330" s="307">
        <f>Table24[[#This Row],[SEAT REV]]-Table24[[#This Row],[SEAT REV
(IF IDEAL $)]]</f>
        <v>0</v>
      </c>
    </row>
    <row r="331" spans="1:22" customFormat="1" x14ac:dyDescent="0.25">
      <c r="A331" s="306" t="s">
        <v>17682</v>
      </c>
      <c r="B331" s="306" t="s">
        <v>3638</v>
      </c>
      <c r="C331" s="306"/>
      <c r="D331" s="26">
        <v>2</v>
      </c>
      <c r="E331" s="312" t="s">
        <v>1427</v>
      </c>
      <c r="F331" s="306" t="str">
        <f>VLOOKUP(Table24[[#This Row],[Country]],Table10[[COUNTRY NAME]:[CONTINENT CODE]],3,FALSE)</f>
        <v>EU</v>
      </c>
      <c r="G331" s="312" t="s">
        <v>11745</v>
      </c>
      <c r="H331" s="309">
        <v>7717</v>
      </c>
      <c r="I331" s="310">
        <v>19</v>
      </c>
      <c r="J331" s="307"/>
      <c r="K331" s="307">
        <f>IFERROR(Table24[[#This Row],[ROUTE COST]]/Table24[[#This Row],[O - DEMAND]],0)</f>
        <v>0</v>
      </c>
      <c r="L331" s="306"/>
      <c r="M331" s="310">
        <f>Table24[[#This Row],[O - DEMAND]]/950</f>
        <v>0</v>
      </c>
      <c r="N331" s="306">
        <f>IFERROR(VLOOKUP(Table24[[#This Row],[ROUTE]],DEMAND!A:F,5,FALSE),0)</f>
        <v>0</v>
      </c>
      <c r="O331" s="306">
        <f>IFERROR(VLOOKUP(Table24[[#This Row],[ROUTE]],DEMAND!A:F,6,FALSE),0)</f>
        <v>0</v>
      </c>
      <c r="P331" s="306">
        <f>ROUNDDOWN(Table24[[#This Row],[R-DEMAND]]/950,0)</f>
        <v>0</v>
      </c>
      <c r="Q331" s="306">
        <f>Table24[[#This Row],[ADD ACC
(475/950)]]*Table24[[#This Row],[Duration
(A359)]]</f>
        <v>0</v>
      </c>
      <c r="R331" s="307">
        <f>IFERROR(VLOOKUP(Table24[[#This Row],[ROUTE]],PRICING!A:B,2,FALSE),0)</f>
        <v>0</v>
      </c>
      <c r="S331" s="308">
        <f>Table24[[#This Row],[C_DEMAND]]-Table24[[#This Row],[R-DEMAND]]</f>
        <v>0</v>
      </c>
      <c r="T331" s="307">
        <f>Table24[[#This Row],[SEATS SOLD]]*Table24[[#This Row],[ECO SEAT]]</f>
        <v>0</v>
      </c>
      <c r="U331" s="307">
        <f>Table24[[#This Row],[SEATS SOLD]]*(IFERROR(VLOOKUP(Table24[[#This Row],[ROUTE]],PRICING!A:C,3,FALSE),0))</f>
        <v>0</v>
      </c>
      <c r="V331" s="307">
        <f>Table24[[#This Row],[SEAT REV]]-Table24[[#This Row],[SEAT REV
(IF IDEAL $)]]</f>
        <v>0</v>
      </c>
    </row>
    <row r="332" spans="1:22" customFormat="1" x14ac:dyDescent="0.25">
      <c r="A332" s="306" t="s">
        <v>17730</v>
      </c>
      <c r="B332" s="306" t="s">
        <v>5010</v>
      </c>
      <c r="C332" s="306"/>
      <c r="D332" s="26"/>
      <c r="E332" s="312" t="s">
        <v>1427</v>
      </c>
      <c r="F332" s="306" t="str">
        <f>VLOOKUP(Table24[[#This Row],[Country]],Table10[[COUNTRY NAME]:[CONTINENT CODE]],3,FALSE)</f>
        <v>EU</v>
      </c>
      <c r="G332" s="312" t="s">
        <v>14214</v>
      </c>
      <c r="H332" s="309">
        <v>7701</v>
      </c>
      <c r="I332" s="310">
        <v>19</v>
      </c>
      <c r="J332" s="307"/>
      <c r="K332" s="307">
        <f>IFERROR(Table24[[#This Row],[ROUTE COST]]/Table24[[#This Row],[O - DEMAND]],0)</f>
        <v>0</v>
      </c>
      <c r="L332" s="306"/>
      <c r="M332" s="310">
        <f>Table24[[#This Row],[O - DEMAND]]/950</f>
        <v>0</v>
      </c>
      <c r="N332" s="306">
        <f>IFERROR(VLOOKUP(Table24[[#This Row],[ROUTE]],DEMAND!A:F,5,FALSE),0)</f>
        <v>0</v>
      </c>
      <c r="O332" s="306">
        <f>IFERROR(VLOOKUP(Table24[[#This Row],[ROUTE]],DEMAND!A:F,6,FALSE),0)</f>
        <v>0</v>
      </c>
      <c r="P332" s="306">
        <f>ROUNDDOWN(Table24[[#This Row],[R-DEMAND]]/950,0)</f>
        <v>0</v>
      </c>
      <c r="Q332" s="306">
        <f>Table24[[#This Row],[ADD ACC
(475/950)]]*Table24[[#This Row],[Duration
(A359)]]</f>
        <v>0</v>
      </c>
      <c r="R332" s="307">
        <f>IFERROR(VLOOKUP(Table24[[#This Row],[ROUTE]],PRICING!A:B,2,FALSE),0)</f>
        <v>0</v>
      </c>
      <c r="S332" s="308">
        <f>Table24[[#This Row],[C_DEMAND]]-Table24[[#This Row],[R-DEMAND]]</f>
        <v>0</v>
      </c>
      <c r="T332" s="307">
        <f>Table24[[#This Row],[SEATS SOLD]]*Table24[[#This Row],[ECO SEAT]]</f>
        <v>0</v>
      </c>
      <c r="U332" s="307">
        <f>Table24[[#This Row],[SEATS SOLD]]*(IFERROR(VLOOKUP(Table24[[#This Row],[ROUTE]],PRICING!A:C,3,FALSE),0))</f>
        <v>0</v>
      </c>
      <c r="V332" s="307">
        <f>Table24[[#This Row],[SEAT REV]]-Table24[[#This Row],[SEAT REV
(IF IDEAL $)]]</f>
        <v>0</v>
      </c>
    </row>
    <row r="333" spans="1:22" customFormat="1" x14ac:dyDescent="0.25">
      <c r="A333" s="306" t="s">
        <v>17877</v>
      </c>
      <c r="B333" s="306" t="s">
        <v>5327</v>
      </c>
      <c r="C333" s="306"/>
      <c r="D333" s="26">
        <v>3</v>
      </c>
      <c r="E333" s="312" t="s">
        <v>11732</v>
      </c>
      <c r="F333" s="306" t="str">
        <f>VLOOKUP(Table24[[#This Row],[Country]],Table10[[COUNTRY NAME]:[CONTINENT CODE]],3,FALSE)</f>
        <v>NA - US</v>
      </c>
      <c r="G333" s="312" t="s">
        <v>11737</v>
      </c>
      <c r="H333" s="309">
        <v>7550</v>
      </c>
      <c r="I333" s="310">
        <v>18.75</v>
      </c>
      <c r="J333" s="307"/>
      <c r="K333" s="307">
        <f>IFERROR(Table24[[#This Row],[ROUTE COST]]/Table24[[#This Row],[O - DEMAND]],0)</f>
        <v>0</v>
      </c>
      <c r="L333" s="306"/>
      <c r="M333" s="310">
        <f>Table24[[#This Row],[O - DEMAND]]/950</f>
        <v>0</v>
      </c>
      <c r="N333" s="306">
        <f>IFERROR(VLOOKUP(Table24[[#This Row],[ROUTE]],DEMAND!A:F,5,FALSE),0)</f>
        <v>0</v>
      </c>
      <c r="O333" s="306">
        <f>IFERROR(VLOOKUP(Table24[[#This Row],[ROUTE]],DEMAND!A:F,6,FALSE),0)</f>
        <v>0</v>
      </c>
      <c r="P333" s="306">
        <f>ROUNDDOWN(Table24[[#This Row],[R-DEMAND]]/950,0)</f>
        <v>0</v>
      </c>
      <c r="Q333" s="306">
        <f>Table24[[#This Row],[ADD ACC
(475/950)]]*Table24[[#This Row],[Duration
(A359)]]</f>
        <v>0</v>
      </c>
      <c r="R333" s="307">
        <f>IFERROR(VLOOKUP(Table24[[#This Row],[ROUTE]],PRICING!A:B,2,FALSE),0)</f>
        <v>0</v>
      </c>
      <c r="S333" s="308">
        <f>Table24[[#This Row],[C_DEMAND]]-Table24[[#This Row],[R-DEMAND]]</f>
        <v>0</v>
      </c>
      <c r="T333" s="307">
        <f>Table24[[#This Row],[SEATS SOLD]]*Table24[[#This Row],[ECO SEAT]]</f>
        <v>0</v>
      </c>
      <c r="U333" s="307">
        <f>Table24[[#This Row],[SEATS SOLD]]*(IFERROR(VLOOKUP(Table24[[#This Row],[ROUTE]],PRICING!A:C,3,FALSE),0))</f>
        <v>0</v>
      </c>
      <c r="V333" s="307">
        <f>Table24[[#This Row],[SEAT REV]]-Table24[[#This Row],[SEAT REV
(IF IDEAL $)]]</f>
        <v>0</v>
      </c>
    </row>
    <row r="334" spans="1:22" customFormat="1" x14ac:dyDescent="0.25">
      <c r="A334" s="306" t="s">
        <v>17147</v>
      </c>
      <c r="B334" s="306" t="s">
        <v>4529</v>
      </c>
      <c r="C334" s="306"/>
      <c r="D334" s="26">
        <v>2</v>
      </c>
      <c r="E334" s="312" t="s">
        <v>499</v>
      </c>
      <c r="F334" s="306" t="str">
        <f>VLOOKUP(Table24[[#This Row],[Country]],Table10[[COUNTRY NAME]:[CONTINENT CODE]],3,FALSE)</f>
        <v>AF</v>
      </c>
      <c r="G334" s="312" t="s">
        <v>11688</v>
      </c>
      <c r="H334" s="309">
        <v>7545</v>
      </c>
      <c r="I334" s="310">
        <v>18.75</v>
      </c>
      <c r="J334" s="307"/>
      <c r="K334" s="307">
        <f>IFERROR(Table24[[#This Row],[ROUTE COST]]/Table24[[#This Row],[O - DEMAND]],0)</f>
        <v>0</v>
      </c>
      <c r="L334" s="306"/>
      <c r="M334" s="310">
        <f>Table24[[#This Row],[O - DEMAND]]/950</f>
        <v>0</v>
      </c>
      <c r="N334" s="306">
        <f>IFERROR(VLOOKUP(Table24[[#This Row],[ROUTE]],DEMAND!A:F,5,FALSE),0)</f>
        <v>0</v>
      </c>
      <c r="O334" s="306">
        <f>IFERROR(VLOOKUP(Table24[[#This Row],[ROUTE]],DEMAND!A:F,6,FALSE),0)</f>
        <v>0</v>
      </c>
      <c r="P334" s="306">
        <f>ROUNDDOWN(Table24[[#This Row],[R-DEMAND]]/950,0)</f>
        <v>0</v>
      </c>
      <c r="Q334" s="306">
        <f>Table24[[#This Row],[ADD ACC
(475/950)]]*Table24[[#This Row],[Duration
(A359)]]</f>
        <v>0</v>
      </c>
      <c r="R334" s="307">
        <f>IFERROR(VLOOKUP(Table24[[#This Row],[ROUTE]],PRICING!A:B,2,FALSE),0)</f>
        <v>0</v>
      </c>
      <c r="S334" s="308">
        <f>Table24[[#This Row],[C_DEMAND]]-Table24[[#This Row],[R-DEMAND]]</f>
        <v>0</v>
      </c>
      <c r="T334" s="307">
        <f>Table24[[#This Row],[SEATS SOLD]]*Table24[[#This Row],[ECO SEAT]]</f>
        <v>0</v>
      </c>
      <c r="U334" s="307">
        <f>Table24[[#This Row],[SEATS SOLD]]*(IFERROR(VLOOKUP(Table24[[#This Row],[ROUTE]],PRICING!A:C,3,FALSE),0))</f>
        <v>0</v>
      </c>
      <c r="V334" s="307">
        <f>Table24[[#This Row],[SEAT REV]]-Table24[[#This Row],[SEAT REV
(IF IDEAL $)]]</f>
        <v>0</v>
      </c>
    </row>
    <row r="335" spans="1:22" customFormat="1" x14ac:dyDescent="0.25">
      <c r="A335" s="306" t="s">
        <v>17684</v>
      </c>
      <c r="B335" s="306" t="s">
        <v>3774</v>
      </c>
      <c r="C335" s="306"/>
      <c r="D335" s="26">
        <v>2</v>
      </c>
      <c r="E335" s="312" t="s">
        <v>560</v>
      </c>
      <c r="F335" s="306" t="str">
        <f>VLOOKUP(Table24[[#This Row],[Country]],Table10[[COUNTRY NAME]:[CONTINENT CODE]],3,FALSE)</f>
        <v>EU</v>
      </c>
      <c r="G335" s="312" t="s">
        <v>11729</v>
      </c>
      <c r="H335" s="309">
        <v>7598</v>
      </c>
      <c r="I335" s="310">
        <v>18.75</v>
      </c>
      <c r="J335" s="307"/>
      <c r="K335" s="307">
        <f>IFERROR(Table24[[#This Row],[ROUTE COST]]/Table24[[#This Row],[O - DEMAND]],0)</f>
        <v>0</v>
      </c>
      <c r="L335" s="306"/>
      <c r="M335" s="310">
        <f>Table24[[#This Row],[O - DEMAND]]/950</f>
        <v>0</v>
      </c>
      <c r="N335" s="306">
        <f>IFERROR(VLOOKUP(Table24[[#This Row],[ROUTE]],DEMAND!A:F,5,FALSE),0)</f>
        <v>0</v>
      </c>
      <c r="O335" s="306">
        <f>IFERROR(VLOOKUP(Table24[[#This Row],[ROUTE]],DEMAND!A:F,6,FALSE),0)</f>
        <v>0</v>
      </c>
      <c r="P335" s="306">
        <f>ROUNDDOWN(Table24[[#This Row],[R-DEMAND]]/950,0)</f>
        <v>0</v>
      </c>
      <c r="Q335" s="306">
        <f>Table24[[#This Row],[ADD ACC
(475/950)]]*Table24[[#This Row],[Duration
(A359)]]</f>
        <v>0</v>
      </c>
      <c r="R335" s="307">
        <f>IFERROR(VLOOKUP(Table24[[#This Row],[ROUTE]],PRICING!A:B,2,FALSE),0)</f>
        <v>0</v>
      </c>
      <c r="S335" s="308">
        <f>Table24[[#This Row],[C_DEMAND]]-Table24[[#This Row],[R-DEMAND]]</f>
        <v>0</v>
      </c>
      <c r="T335" s="307">
        <f>Table24[[#This Row],[SEATS SOLD]]*Table24[[#This Row],[ECO SEAT]]</f>
        <v>0</v>
      </c>
      <c r="U335" s="307">
        <f>Table24[[#This Row],[SEATS SOLD]]*(IFERROR(VLOOKUP(Table24[[#This Row],[ROUTE]],PRICING!A:C,3,FALSE),0))</f>
        <v>0</v>
      </c>
      <c r="V335" s="307">
        <f>Table24[[#This Row],[SEAT REV]]-Table24[[#This Row],[SEAT REV
(IF IDEAL $)]]</f>
        <v>0</v>
      </c>
    </row>
    <row r="336" spans="1:22" customFormat="1" x14ac:dyDescent="0.25">
      <c r="A336" s="306" t="s">
        <v>17685</v>
      </c>
      <c r="B336" s="306" t="s">
        <v>3929</v>
      </c>
      <c r="C336" s="306"/>
      <c r="D336" s="26">
        <v>2</v>
      </c>
      <c r="E336" s="312" t="s">
        <v>3180</v>
      </c>
      <c r="F336" s="306" t="str">
        <f>VLOOKUP(Table24[[#This Row],[Country]],Table10[[COUNTRY NAME]:[CONTINENT CODE]],3,FALSE)</f>
        <v>EU</v>
      </c>
      <c r="G336" s="312" t="s">
        <v>11735</v>
      </c>
      <c r="H336" s="309">
        <v>7567</v>
      </c>
      <c r="I336" s="310">
        <v>18.75</v>
      </c>
      <c r="J336" s="307"/>
      <c r="K336" s="307">
        <f>IFERROR(Table24[[#This Row],[ROUTE COST]]/Table24[[#This Row],[O - DEMAND]],0)</f>
        <v>0</v>
      </c>
      <c r="L336" s="306"/>
      <c r="M336" s="310">
        <f>Table24[[#This Row],[O - DEMAND]]/950</f>
        <v>0</v>
      </c>
      <c r="N336" s="306">
        <f>IFERROR(VLOOKUP(Table24[[#This Row],[ROUTE]],DEMAND!A:F,5,FALSE),0)</f>
        <v>0</v>
      </c>
      <c r="O336" s="306">
        <f>IFERROR(VLOOKUP(Table24[[#This Row],[ROUTE]],DEMAND!A:F,6,FALSE),0)</f>
        <v>0</v>
      </c>
      <c r="P336" s="306">
        <f>ROUNDDOWN(Table24[[#This Row],[R-DEMAND]]/950,0)</f>
        <v>0</v>
      </c>
      <c r="Q336" s="306">
        <f>Table24[[#This Row],[ADD ACC
(475/950)]]*Table24[[#This Row],[Duration
(A359)]]</f>
        <v>0</v>
      </c>
      <c r="R336" s="307">
        <f>IFERROR(VLOOKUP(Table24[[#This Row],[ROUTE]],PRICING!A:B,2,FALSE),0)</f>
        <v>0</v>
      </c>
      <c r="S336" s="308">
        <f>Table24[[#This Row],[C_DEMAND]]-Table24[[#This Row],[R-DEMAND]]</f>
        <v>0</v>
      </c>
      <c r="T336" s="307">
        <f>Table24[[#This Row],[SEATS SOLD]]*Table24[[#This Row],[ECO SEAT]]</f>
        <v>0</v>
      </c>
      <c r="U336" s="307">
        <f>Table24[[#This Row],[SEATS SOLD]]*(IFERROR(VLOOKUP(Table24[[#This Row],[ROUTE]],PRICING!A:C,3,FALSE),0))</f>
        <v>0</v>
      </c>
      <c r="V336" s="307">
        <f>Table24[[#This Row],[SEAT REV]]-Table24[[#This Row],[SEAT REV
(IF IDEAL $)]]</f>
        <v>0</v>
      </c>
    </row>
    <row r="337" spans="1:22" customFormat="1" x14ac:dyDescent="0.25">
      <c r="A337" s="306" t="s">
        <v>17105</v>
      </c>
      <c r="B337" s="306" t="s">
        <v>1643</v>
      </c>
      <c r="C337" s="306"/>
      <c r="D337" s="26">
        <v>1</v>
      </c>
      <c r="E337" s="312" t="s">
        <v>493</v>
      </c>
      <c r="F337" s="306" t="str">
        <f>VLOOKUP(Table24[[#This Row],[Country]],Table10[[COUNTRY NAME]:[CONTINENT CODE]],3,FALSE)</f>
        <v>AF</v>
      </c>
      <c r="G337" s="312" t="s">
        <v>11719</v>
      </c>
      <c r="H337" s="309">
        <v>7588</v>
      </c>
      <c r="I337" s="310">
        <v>18.75</v>
      </c>
      <c r="J337" s="307"/>
      <c r="K337" s="307">
        <f>IFERROR(Table24[[#This Row],[ROUTE COST]]/Table24[[#This Row],[O - DEMAND]],0)</f>
        <v>0</v>
      </c>
      <c r="L337" s="306"/>
      <c r="M337" s="310">
        <f>Table24[[#This Row],[O - DEMAND]]/950</f>
        <v>0</v>
      </c>
      <c r="N337" s="306">
        <f>IFERROR(VLOOKUP(Table24[[#This Row],[ROUTE]],DEMAND!A:F,5,FALSE),0)</f>
        <v>0</v>
      </c>
      <c r="O337" s="306">
        <f>IFERROR(VLOOKUP(Table24[[#This Row],[ROUTE]],DEMAND!A:F,6,FALSE),0)</f>
        <v>0</v>
      </c>
      <c r="P337" s="306">
        <f>ROUNDDOWN(Table24[[#This Row],[R-DEMAND]]/950,0)</f>
        <v>0</v>
      </c>
      <c r="Q337" s="306">
        <f>Table24[[#This Row],[ADD ACC
(475/950)]]*Table24[[#This Row],[Duration
(A359)]]</f>
        <v>0</v>
      </c>
      <c r="R337" s="307">
        <f>IFERROR(VLOOKUP(Table24[[#This Row],[ROUTE]],PRICING!A:B,2,FALSE),0)</f>
        <v>0</v>
      </c>
      <c r="S337" s="308">
        <f>Table24[[#This Row],[C_DEMAND]]-Table24[[#This Row],[R-DEMAND]]</f>
        <v>0</v>
      </c>
      <c r="T337" s="307">
        <f>Table24[[#This Row],[SEATS SOLD]]*Table24[[#This Row],[ECO SEAT]]</f>
        <v>0</v>
      </c>
      <c r="U337" s="307">
        <f>Table24[[#This Row],[SEATS SOLD]]*(IFERROR(VLOOKUP(Table24[[#This Row],[ROUTE]],PRICING!A:C,3,FALSE),0))</f>
        <v>0</v>
      </c>
      <c r="V337" s="307">
        <f>Table24[[#This Row],[SEAT REV]]-Table24[[#This Row],[SEAT REV
(IF IDEAL $)]]</f>
        <v>0</v>
      </c>
    </row>
    <row r="338" spans="1:22" customFormat="1" x14ac:dyDescent="0.25">
      <c r="A338" s="306" t="s">
        <v>17577</v>
      </c>
      <c r="B338" s="306" t="s">
        <v>4746</v>
      </c>
      <c r="C338" s="306"/>
      <c r="D338" s="26">
        <v>3</v>
      </c>
      <c r="E338" s="312" t="s">
        <v>560</v>
      </c>
      <c r="F338" s="306" t="str">
        <f>VLOOKUP(Table24[[#This Row],[Country]],Table10[[COUNTRY NAME]:[CONTINENT CODE]],3,FALSE)</f>
        <v>EU</v>
      </c>
      <c r="G338" s="312" t="s">
        <v>16914</v>
      </c>
      <c r="H338" s="309">
        <v>7507</v>
      </c>
      <c r="I338" s="310">
        <v>18.5</v>
      </c>
      <c r="J338" s="307"/>
      <c r="K338" s="307">
        <f>IFERROR(Table24[[#This Row],[ROUTE COST]]/Table24[[#This Row],[O - DEMAND]],0)</f>
        <v>0</v>
      </c>
      <c r="L338" s="306"/>
      <c r="M338" s="310">
        <f>Table24[[#This Row],[O - DEMAND]]/950</f>
        <v>0</v>
      </c>
      <c r="N338" s="306">
        <f>IFERROR(VLOOKUP(Table24[[#This Row],[ROUTE]],DEMAND!A:F,5,FALSE),0)</f>
        <v>0</v>
      </c>
      <c r="O338" s="306">
        <f>IFERROR(VLOOKUP(Table24[[#This Row],[ROUTE]],DEMAND!A:F,6,FALSE),0)</f>
        <v>0</v>
      </c>
      <c r="P338" s="306">
        <f>ROUNDDOWN(Table24[[#This Row],[R-DEMAND]]/950,0)</f>
        <v>0</v>
      </c>
      <c r="Q338" s="306">
        <f>Table24[[#This Row],[ADD ACC
(475/950)]]*Table24[[#This Row],[Duration
(A359)]]</f>
        <v>0</v>
      </c>
      <c r="R338" s="307">
        <f>IFERROR(VLOOKUP(Table24[[#This Row],[ROUTE]],PRICING!A:B,2,FALSE),0)</f>
        <v>0</v>
      </c>
      <c r="S338" s="308">
        <f>Table24[[#This Row],[C_DEMAND]]-Table24[[#This Row],[R-DEMAND]]</f>
        <v>0</v>
      </c>
      <c r="T338" s="307">
        <f>Table24[[#This Row],[SEATS SOLD]]*Table24[[#This Row],[ECO SEAT]]</f>
        <v>0</v>
      </c>
      <c r="U338" s="307">
        <f>Table24[[#This Row],[SEATS SOLD]]*(IFERROR(VLOOKUP(Table24[[#This Row],[ROUTE]],PRICING!A:C,3,FALSE),0))</f>
        <v>0</v>
      </c>
      <c r="V338" s="307">
        <f>Table24[[#This Row],[SEAT REV]]-Table24[[#This Row],[SEAT REV
(IF IDEAL $)]]</f>
        <v>0</v>
      </c>
    </row>
    <row r="339" spans="1:22" customFormat="1" x14ac:dyDescent="0.25">
      <c r="A339" s="306" t="s">
        <v>17686</v>
      </c>
      <c r="B339" s="306" t="s">
        <v>3885</v>
      </c>
      <c r="C339" s="306"/>
      <c r="D339" s="26">
        <v>2</v>
      </c>
      <c r="E339" s="312" t="s">
        <v>560</v>
      </c>
      <c r="F339" s="306" t="str">
        <f>VLOOKUP(Table24[[#This Row],[Country]],Table10[[COUNTRY NAME]:[CONTINENT CODE]],3,FALSE)</f>
        <v>EU</v>
      </c>
      <c r="G339" s="312" t="s">
        <v>11722</v>
      </c>
      <c r="H339" s="309">
        <v>7426</v>
      </c>
      <c r="I339" s="310">
        <v>18.5</v>
      </c>
      <c r="J339" s="307"/>
      <c r="K339" s="307">
        <f>IFERROR(Table24[[#This Row],[ROUTE COST]]/Table24[[#This Row],[O - DEMAND]],0)</f>
        <v>0</v>
      </c>
      <c r="L339" s="306"/>
      <c r="M339" s="310">
        <f>Table24[[#This Row],[O - DEMAND]]/950</f>
        <v>0</v>
      </c>
      <c r="N339" s="306">
        <f>IFERROR(VLOOKUP(Table24[[#This Row],[ROUTE]],DEMAND!A:F,5,FALSE),0)</f>
        <v>0</v>
      </c>
      <c r="O339" s="306">
        <f>IFERROR(VLOOKUP(Table24[[#This Row],[ROUTE]],DEMAND!A:F,6,FALSE),0)</f>
        <v>0</v>
      </c>
      <c r="P339" s="306">
        <f>ROUNDDOWN(Table24[[#This Row],[R-DEMAND]]/950,0)</f>
        <v>0</v>
      </c>
      <c r="Q339" s="306">
        <f>Table24[[#This Row],[ADD ACC
(475/950)]]*Table24[[#This Row],[Duration
(A359)]]</f>
        <v>0</v>
      </c>
      <c r="R339" s="307">
        <f>IFERROR(VLOOKUP(Table24[[#This Row],[ROUTE]],PRICING!A:B,2,FALSE),0)</f>
        <v>0</v>
      </c>
      <c r="S339" s="308">
        <f>Table24[[#This Row],[C_DEMAND]]-Table24[[#This Row],[R-DEMAND]]</f>
        <v>0</v>
      </c>
      <c r="T339" s="307">
        <f>Table24[[#This Row],[SEATS SOLD]]*Table24[[#This Row],[ECO SEAT]]</f>
        <v>0</v>
      </c>
      <c r="U339" s="307">
        <f>Table24[[#This Row],[SEATS SOLD]]*(IFERROR(VLOOKUP(Table24[[#This Row],[ROUTE]],PRICING!A:C,3,FALSE),0))</f>
        <v>0</v>
      </c>
      <c r="V339" s="307">
        <f>Table24[[#This Row],[SEAT REV]]-Table24[[#This Row],[SEAT REV
(IF IDEAL $)]]</f>
        <v>0</v>
      </c>
    </row>
    <row r="340" spans="1:22" customFormat="1" x14ac:dyDescent="0.25">
      <c r="A340" s="306" t="s">
        <v>17910</v>
      </c>
      <c r="B340" s="306" t="s">
        <v>4475</v>
      </c>
      <c r="C340" s="306"/>
      <c r="D340" s="26">
        <v>2</v>
      </c>
      <c r="E340" s="312" t="s">
        <v>11732</v>
      </c>
      <c r="F340" s="306" t="str">
        <f>VLOOKUP(Table24[[#This Row],[Country]],Table10[[COUNTRY NAME]:[CONTINENT CODE]],3,FALSE)</f>
        <v>NA - US</v>
      </c>
      <c r="G340" s="312" t="s">
        <v>11733</v>
      </c>
      <c r="H340" s="309">
        <v>7464</v>
      </c>
      <c r="I340" s="310">
        <v>18.5</v>
      </c>
      <c r="J340" s="307"/>
      <c r="K340" s="307">
        <f>IFERROR(Table24[[#This Row],[ROUTE COST]]/Table24[[#This Row],[O - DEMAND]],0)</f>
        <v>0</v>
      </c>
      <c r="L340" s="306"/>
      <c r="M340" s="310">
        <f>Table24[[#This Row],[O - DEMAND]]/950</f>
        <v>0</v>
      </c>
      <c r="N340" s="306">
        <f>IFERROR(VLOOKUP(Table24[[#This Row],[ROUTE]],DEMAND!A:F,5,FALSE),0)</f>
        <v>0</v>
      </c>
      <c r="O340" s="306">
        <f>IFERROR(VLOOKUP(Table24[[#This Row],[ROUTE]],DEMAND!A:F,6,FALSE),0)</f>
        <v>0</v>
      </c>
      <c r="P340" s="306">
        <f>ROUNDDOWN(Table24[[#This Row],[R-DEMAND]]/950,0)</f>
        <v>0</v>
      </c>
      <c r="Q340" s="306">
        <f>Table24[[#This Row],[ADD ACC
(475/950)]]*Table24[[#This Row],[Duration
(A359)]]</f>
        <v>0</v>
      </c>
      <c r="R340" s="307">
        <f>IFERROR(VLOOKUP(Table24[[#This Row],[ROUTE]],PRICING!A:B,2,FALSE),0)</f>
        <v>0</v>
      </c>
      <c r="S340" s="308">
        <f>Table24[[#This Row],[C_DEMAND]]-Table24[[#This Row],[R-DEMAND]]</f>
        <v>0</v>
      </c>
      <c r="T340" s="307">
        <f>Table24[[#This Row],[SEATS SOLD]]*Table24[[#This Row],[ECO SEAT]]</f>
        <v>0</v>
      </c>
      <c r="U340" s="307">
        <f>Table24[[#This Row],[SEATS SOLD]]*(IFERROR(VLOOKUP(Table24[[#This Row],[ROUTE]],PRICING!A:C,3,FALSE),0))</f>
        <v>0</v>
      </c>
      <c r="V340" s="307">
        <f>Table24[[#This Row],[SEAT REV]]-Table24[[#This Row],[SEAT REV
(IF IDEAL $)]]</f>
        <v>0</v>
      </c>
    </row>
    <row r="341" spans="1:22" customFormat="1" x14ac:dyDescent="0.25">
      <c r="A341" s="306" t="s">
        <v>17722</v>
      </c>
      <c r="B341" s="306" t="s">
        <v>2154</v>
      </c>
      <c r="C341" s="306"/>
      <c r="D341" s="26">
        <v>1</v>
      </c>
      <c r="E341" s="312" t="s">
        <v>560</v>
      </c>
      <c r="F341" s="306" t="str">
        <f>VLOOKUP(Table24[[#This Row],[Country]],Table10[[COUNTRY NAME]:[CONTINENT CODE]],3,FALSE)</f>
        <v>EU</v>
      </c>
      <c r="G341" s="312" t="s">
        <v>11725</v>
      </c>
      <c r="H341" s="309">
        <v>7488</v>
      </c>
      <c r="I341" s="310">
        <v>18.5</v>
      </c>
      <c r="J341" s="307"/>
      <c r="K341" s="307">
        <f>IFERROR(Table24[[#This Row],[ROUTE COST]]/Table24[[#This Row],[O - DEMAND]],0)</f>
        <v>0</v>
      </c>
      <c r="L341" s="306"/>
      <c r="M341" s="310">
        <f>Table24[[#This Row],[O - DEMAND]]/950</f>
        <v>0</v>
      </c>
      <c r="N341" s="306">
        <f>IFERROR(VLOOKUP(Table24[[#This Row],[ROUTE]],DEMAND!A:F,5,FALSE),0)</f>
        <v>0</v>
      </c>
      <c r="O341" s="306">
        <f>IFERROR(VLOOKUP(Table24[[#This Row],[ROUTE]],DEMAND!A:F,6,FALSE),0)</f>
        <v>0</v>
      </c>
      <c r="P341" s="306">
        <f>ROUNDDOWN(Table24[[#This Row],[R-DEMAND]]/950,0)</f>
        <v>0</v>
      </c>
      <c r="Q341" s="306">
        <f>Table24[[#This Row],[ADD ACC
(475/950)]]*Table24[[#This Row],[Duration
(A359)]]</f>
        <v>0</v>
      </c>
      <c r="R341" s="307">
        <f>IFERROR(VLOOKUP(Table24[[#This Row],[ROUTE]],PRICING!A:B,2,FALSE),0)</f>
        <v>0</v>
      </c>
      <c r="S341" s="308">
        <f>Table24[[#This Row],[C_DEMAND]]-Table24[[#This Row],[R-DEMAND]]</f>
        <v>0</v>
      </c>
      <c r="T341" s="307">
        <f>Table24[[#This Row],[SEATS SOLD]]*Table24[[#This Row],[ECO SEAT]]</f>
        <v>0</v>
      </c>
      <c r="U341" s="307">
        <f>Table24[[#This Row],[SEATS SOLD]]*(IFERROR(VLOOKUP(Table24[[#This Row],[ROUTE]],PRICING!A:C,3,FALSE),0))</f>
        <v>0</v>
      </c>
      <c r="V341" s="307">
        <f>Table24[[#This Row],[SEAT REV]]-Table24[[#This Row],[SEAT REV
(IF IDEAL $)]]</f>
        <v>0</v>
      </c>
    </row>
    <row r="342" spans="1:22" customFormat="1" x14ac:dyDescent="0.25">
      <c r="A342" s="306" t="s">
        <v>17687</v>
      </c>
      <c r="B342" s="306" t="s">
        <v>4671</v>
      </c>
      <c r="C342" s="306"/>
      <c r="D342" s="26">
        <v>2</v>
      </c>
      <c r="E342" s="312" t="s">
        <v>560</v>
      </c>
      <c r="F342" s="306" t="str">
        <f>VLOOKUP(Table24[[#This Row],[Country]],Table10[[COUNTRY NAME]:[CONTINENT CODE]],3,FALSE)</f>
        <v>EU</v>
      </c>
      <c r="G342" s="312" t="s">
        <v>11724</v>
      </c>
      <c r="H342" s="309">
        <v>7401</v>
      </c>
      <c r="I342" s="310">
        <v>18.25</v>
      </c>
      <c r="J342" s="307"/>
      <c r="K342" s="307">
        <f>IFERROR(Table24[[#This Row],[ROUTE COST]]/Table24[[#This Row],[O - DEMAND]],0)</f>
        <v>0</v>
      </c>
      <c r="L342" s="306"/>
      <c r="M342" s="310">
        <f>Table24[[#This Row],[O - DEMAND]]/950</f>
        <v>0</v>
      </c>
      <c r="N342" s="306">
        <f>IFERROR(VLOOKUP(Table24[[#This Row],[ROUTE]],DEMAND!A:F,5,FALSE),0)</f>
        <v>0</v>
      </c>
      <c r="O342" s="306">
        <f>IFERROR(VLOOKUP(Table24[[#This Row],[ROUTE]],DEMAND!A:F,6,FALSE),0)</f>
        <v>0</v>
      </c>
      <c r="P342" s="306">
        <f>ROUNDDOWN(Table24[[#This Row],[R-DEMAND]]/950,0)</f>
        <v>0</v>
      </c>
      <c r="Q342" s="306">
        <f>Table24[[#This Row],[ADD ACC
(475/950)]]*Table24[[#This Row],[Duration
(A359)]]</f>
        <v>0</v>
      </c>
      <c r="R342" s="307">
        <f>IFERROR(VLOOKUP(Table24[[#This Row],[ROUTE]],PRICING!A:B,2,FALSE),0)</f>
        <v>0</v>
      </c>
      <c r="S342" s="308">
        <f>Table24[[#This Row],[C_DEMAND]]-Table24[[#This Row],[R-DEMAND]]</f>
        <v>0</v>
      </c>
      <c r="T342" s="307">
        <f>Table24[[#This Row],[SEATS SOLD]]*Table24[[#This Row],[ECO SEAT]]</f>
        <v>0</v>
      </c>
      <c r="U342" s="307">
        <f>Table24[[#This Row],[SEATS SOLD]]*(IFERROR(VLOOKUP(Table24[[#This Row],[ROUTE]],PRICING!A:C,3,FALSE),0))</f>
        <v>0</v>
      </c>
      <c r="V342" s="307">
        <f>Table24[[#This Row],[SEAT REV]]-Table24[[#This Row],[SEAT REV
(IF IDEAL $)]]</f>
        <v>0</v>
      </c>
    </row>
    <row r="343" spans="1:22" customFormat="1" x14ac:dyDescent="0.25">
      <c r="A343" s="306" t="s">
        <v>17688</v>
      </c>
      <c r="B343" s="306" t="s">
        <v>3311</v>
      </c>
      <c r="C343" s="306"/>
      <c r="D343" s="26">
        <v>2</v>
      </c>
      <c r="E343" s="312" t="s">
        <v>3180</v>
      </c>
      <c r="F343" s="306" t="str">
        <f>VLOOKUP(Table24[[#This Row],[Country]],Table10[[COUNTRY NAME]:[CONTINENT CODE]],3,FALSE)</f>
        <v>EU</v>
      </c>
      <c r="G343" s="312" t="s">
        <v>11723</v>
      </c>
      <c r="H343" s="309">
        <v>7385</v>
      </c>
      <c r="I343" s="310">
        <v>18.25</v>
      </c>
      <c r="J343" s="307"/>
      <c r="K343" s="307">
        <f>IFERROR(Table24[[#This Row],[ROUTE COST]]/Table24[[#This Row],[O - DEMAND]],0)</f>
        <v>0</v>
      </c>
      <c r="L343" s="306"/>
      <c r="M343" s="310">
        <f>Table24[[#This Row],[O - DEMAND]]/950</f>
        <v>0</v>
      </c>
      <c r="N343" s="306">
        <f>IFERROR(VLOOKUP(Table24[[#This Row],[ROUTE]],DEMAND!A:F,5,FALSE),0)</f>
        <v>0</v>
      </c>
      <c r="O343" s="306">
        <f>IFERROR(VLOOKUP(Table24[[#This Row],[ROUTE]],DEMAND!A:F,6,FALSE),0)</f>
        <v>0</v>
      </c>
      <c r="P343" s="306">
        <f>ROUNDDOWN(Table24[[#This Row],[R-DEMAND]]/950,0)</f>
        <v>0</v>
      </c>
      <c r="Q343" s="306">
        <f>Table24[[#This Row],[ADD ACC
(475/950)]]*Table24[[#This Row],[Duration
(A359)]]</f>
        <v>0</v>
      </c>
      <c r="R343" s="307">
        <f>IFERROR(VLOOKUP(Table24[[#This Row],[ROUTE]],PRICING!A:B,2,FALSE),0)</f>
        <v>0</v>
      </c>
      <c r="S343" s="308">
        <f>Table24[[#This Row],[C_DEMAND]]-Table24[[#This Row],[R-DEMAND]]</f>
        <v>0</v>
      </c>
      <c r="T343" s="307">
        <f>Table24[[#This Row],[SEATS SOLD]]*Table24[[#This Row],[ECO SEAT]]</f>
        <v>0</v>
      </c>
      <c r="U343" s="307">
        <f>Table24[[#This Row],[SEATS SOLD]]*(IFERROR(VLOOKUP(Table24[[#This Row],[ROUTE]],PRICING!A:C,3,FALSE),0))</f>
        <v>0</v>
      </c>
      <c r="V343" s="307">
        <f>Table24[[#This Row],[SEAT REV]]-Table24[[#This Row],[SEAT REV
(IF IDEAL $)]]</f>
        <v>0</v>
      </c>
    </row>
    <row r="344" spans="1:22" customFormat="1" x14ac:dyDescent="0.25">
      <c r="A344" s="306" t="s">
        <v>17148</v>
      </c>
      <c r="B344" s="306" t="s">
        <v>501</v>
      </c>
      <c r="C344" s="306"/>
      <c r="D344" s="26">
        <v>1</v>
      </c>
      <c r="E344" s="312" t="s">
        <v>499</v>
      </c>
      <c r="F344" s="306" t="str">
        <f>VLOOKUP(Table24[[#This Row],[Country]],Table10[[COUNTRY NAME]:[CONTINENT CODE]],3,FALSE)</f>
        <v>AF</v>
      </c>
      <c r="G344" s="312" t="s">
        <v>11679</v>
      </c>
      <c r="H344" s="309">
        <v>7338</v>
      </c>
      <c r="I344" s="310">
        <v>18.25</v>
      </c>
      <c r="J344" s="307"/>
      <c r="K344" s="307">
        <f>IFERROR(Table24[[#This Row],[ROUTE COST]]/Table24[[#This Row],[O - DEMAND]],0)</f>
        <v>0</v>
      </c>
      <c r="L344" s="306"/>
      <c r="M344" s="310">
        <f>Table24[[#This Row],[O - DEMAND]]/950</f>
        <v>0</v>
      </c>
      <c r="N344" s="306">
        <f>IFERROR(VLOOKUP(Table24[[#This Row],[ROUTE]],DEMAND!A:F,5,FALSE),0)</f>
        <v>0</v>
      </c>
      <c r="O344" s="306">
        <f>IFERROR(VLOOKUP(Table24[[#This Row],[ROUTE]],DEMAND!A:F,6,FALSE),0)</f>
        <v>0</v>
      </c>
      <c r="P344" s="306">
        <f>ROUNDDOWN(Table24[[#This Row],[R-DEMAND]]/950,0)</f>
        <v>0</v>
      </c>
      <c r="Q344" s="306">
        <f>Table24[[#This Row],[ADD ACC
(475/950)]]*Table24[[#This Row],[Duration
(A359)]]</f>
        <v>0</v>
      </c>
      <c r="R344" s="307">
        <f>IFERROR(VLOOKUP(Table24[[#This Row],[ROUTE]],PRICING!A:B,2,FALSE),0)</f>
        <v>0</v>
      </c>
      <c r="S344" s="308">
        <f>Table24[[#This Row],[C_DEMAND]]-Table24[[#This Row],[R-DEMAND]]</f>
        <v>0</v>
      </c>
      <c r="T344" s="307">
        <f>Table24[[#This Row],[SEATS SOLD]]*Table24[[#This Row],[ECO SEAT]]</f>
        <v>0</v>
      </c>
      <c r="U344" s="307">
        <f>Table24[[#This Row],[SEATS SOLD]]*(IFERROR(VLOOKUP(Table24[[#This Row],[ROUTE]],PRICING!A:C,3,FALSE),0))</f>
        <v>0</v>
      </c>
      <c r="V344" s="307">
        <f>Table24[[#This Row],[SEAT REV]]-Table24[[#This Row],[SEAT REV
(IF IDEAL $)]]</f>
        <v>0</v>
      </c>
    </row>
    <row r="345" spans="1:22" customFormat="1" x14ac:dyDescent="0.25">
      <c r="A345" s="306" t="s">
        <v>17111</v>
      </c>
      <c r="B345" s="306" t="s">
        <v>1920</v>
      </c>
      <c r="C345" s="306"/>
      <c r="D345" s="26">
        <v>1</v>
      </c>
      <c r="E345" s="312" t="s">
        <v>493</v>
      </c>
      <c r="F345" s="306" t="str">
        <f>VLOOKUP(Table24[[#This Row],[Country]],Table10[[COUNTRY NAME]:[CONTINENT CODE]],3,FALSE)</f>
        <v>AF</v>
      </c>
      <c r="G345" s="312" t="s">
        <v>11701</v>
      </c>
      <c r="H345" s="309">
        <v>7343</v>
      </c>
      <c r="I345" s="310">
        <v>18.25</v>
      </c>
      <c r="J345" s="307"/>
      <c r="K345" s="307">
        <f>IFERROR(Table24[[#This Row],[ROUTE COST]]/Table24[[#This Row],[O - DEMAND]],0)</f>
        <v>0</v>
      </c>
      <c r="L345" s="306"/>
      <c r="M345" s="310">
        <f>Table24[[#This Row],[O - DEMAND]]/950</f>
        <v>0</v>
      </c>
      <c r="N345" s="306">
        <f>IFERROR(VLOOKUP(Table24[[#This Row],[ROUTE]],DEMAND!A:F,5,FALSE),0)</f>
        <v>0</v>
      </c>
      <c r="O345" s="306">
        <f>IFERROR(VLOOKUP(Table24[[#This Row],[ROUTE]],DEMAND!A:F,6,FALSE),0)</f>
        <v>0</v>
      </c>
      <c r="P345" s="306">
        <f>ROUNDDOWN(Table24[[#This Row],[R-DEMAND]]/950,0)</f>
        <v>0</v>
      </c>
      <c r="Q345" s="306">
        <f>Table24[[#This Row],[ADD ACC
(475/950)]]*Table24[[#This Row],[Duration
(A359)]]</f>
        <v>0</v>
      </c>
      <c r="R345" s="307">
        <f>IFERROR(VLOOKUP(Table24[[#This Row],[ROUTE]],PRICING!A:B,2,FALSE),0)</f>
        <v>0</v>
      </c>
      <c r="S345" s="308">
        <f>Table24[[#This Row],[C_DEMAND]]-Table24[[#This Row],[R-DEMAND]]</f>
        <v>0</v>
      </c>
      <c r="T345" s="307">
        <f>Table24[[#This Row],[SEATS SOLD]]*Table24[[#This Row],[ECO SEAT]]</f>
        <v>0</v>
      </c>
      <c r="U345" s="307">
        <f>Table24[[#This Row],[SEATS SOLD]]*(IFERROR(VLOOKUP(Table24[[#This Row],[ROUTE]],PRICING!A:C,3,FALSE),0))</f>
        <v>0</v>
      </c>
      <c r="V345" s="307">
        <f>Table24[[#This Row],[SEAT REV]]-Table24[[#This Row],[SEAT REV
(IF IDEAL $)]]</f>
        <v>0</v>
      </c>
    </row>
    <row r="346" spans="1:22" customFormat="1" x14ac:dyDescent="0.25">
      <c r="A346" s="306" t="s">
        <v>17723</v>
      </c>
      <c r="B346" s="306" t="s">
        <v>584</v>
      </c>
      <c r="C346" s="306"/>
      <c r="D346" s="26">
        <v>1</v>
      </c>
      <c r="E346" s="312" t="s">
        <v>560</v>
      </c>
      <c r="F346" s="306" t="str">
        <f>VLOOKUP(Table24[[#This Row],[Country]],Table10[[COUNTRY NAME]:[CONTINENT CODE]],3,FALSE)</f>
        <v>EU</v>
      </c>
      <c r="G346" s="312" t="s">
        <v>11718</v>
      </c>
      <c r="H346" s="309">
        <v>7311</v>
      </c>
      <c r="I346" s="310">
        <v>18.25</v>
      </c>
      <c r="J346" s="307"/>
      <c r="K346" s="307">
        <f>IFERROR(Table24[[#This Row],[ROUTE COST]]/Table24[[#This Row],[O - DEMAND]],0)</f>
        <v>0</v>
      </c>
      <c r="L346" s="306"/>
      <c r="M346" s="310">
        <f>Table24[[#This Row],[O - DEMAND]]/950</f>
        <v>0</v>
      </c>
      <c r="N346" s="306">
        <f>IFERROR(VLOOKUP(Table24[[#This Row],[ROUTE]],DEMAND!A:F,5,FALSE),0)</f>
        <v>0</v>
      </c>
      <c r="O346" s="306">
        <f>IFERROR(VLOOKUP(Table24[[#This Row],[ROUTE]],DEMAND!A:F,6,FALSE),0)</f>
        <v>0</v>
      </c>
      <c r="P346" s="306">
        <f>ROUNDDOWN(Table24[[#This Row],[R-DEMAND]]/950,0)</f>
        <v>0</v>
      </c>
      <c r="Q346" s="306">
        <f>Table24[[#This Row],[ADD ACC
(475/950)]]*Table24[[#This Row],[Duration
(A359)]]</f>
        <v>0</v>
      </c>
      <c r="R346" s="307">
        <f>IFERROR(VLOOKUP(Table24[[#This Row],[ROUTE]],PRICING!A:B,2,FALSE),0)</f>
        <v>0</v>
      </c>
      <c r="S346" s="308">
        <f>Table24[[#This Row],[C_DEMAND]]-Table24[[#This Row],[R-DEMAND]]</f>
        <v>0</v>
      </c>
      <c r="T346" s="307">
        <f>Table24[[#This Row],[SEATS SOLD]]*Table24[[#This Row],[ECO SEAT]]</f>
        <v>0</v>
      </c>
      <c r="U346" s="307">
        <f>Table24[[#This Row],[SEATS SOLD]]*(IFERROR(VLOOKUP(Table24[[#This Row],[ROUTE]],PRICING!A:C,3,FALSE),0))</f>
        <v>0</v>
      </c>
      <c r="V346" s="307">
        <f>Table24[[#This Row],[SEAT REV]]-Table24[[#This Row],[SEAT REV
(IF IDEAL $)]]</f>
        <v>0</v>
      </c>
    </row>
    <row r="347" spans="1:22" customFormat="1" x14ac:dyDescent="0.25">
      <c r="A347" s="306" t="s">
        <v>17102</v>
      </c>
      <c r="B347" s="306" t="s">
        <v>4636</v>
      </c>
      <c r="C347" s="306"/>
      <c r="D347" s="26">
        <v>2</v>
      </c>
      <c r="E347" s="312" t="s">
        <v>493</v>
      </c>
      <c r="F347" s="306" t="str">
        <f>VLOOKUP(Table24[[#This Row],[Country]],Table10[[COUNTRY NAME]:[CONTINENT CODE]],3,FALSE)</f>
        <v>AF</v>
      </c>
      <c r="G347" s="312" t="s">
        <v>11702</v>
      </c>
      <c r="H347" s="309">
        <v>7193</v>
      </c>
      <c r="I347" s="310">
        <v>18</v>
      </c>
      <c r="J347" s="307"/>
      <c r="K347" s="307">
        <f>IFERROR(Table24[[#This Row],[ROUTE COST]]/Table24[[#This Row],[O - DEMAND]],0)</f>
        <v>0</v>
      </c>
      <c r="L347" s="306"/>
      <c r="M347" s="310">
        <f>Table24[[#This Row],[O - DEMAND]]/950</f>
        <v>0</v>
      </c>
      <c r="N347" s="306">
        <f>IFERROR(VLOOKUP(Table24[[#This Row],[ROUTE]],DEMAND!A:F,5,FALSE),0)</f>
        <v>0</v>
      </c>
      <c r="O347" s="306">
        <f>IFERROR(VLOOKUP(Table24[[#This Row],[ROUTE]],DEMAND!A:F,6,FALSE),0)</f>
        <v>0</v>
      </c>
      <c r="P347" s="306">
        <f>ROUNDDOWN(Table24[[#This Row],[R-DEMAND]]/950,0)</f>
        <v>0</v>
      </c>
      <c r="Q347" s="306">
        <f>Table24[[#This Row],[ADD ACC
(475/950)]]*Table24[[#This Row],[Duration
(A359)]]</f>
        <v>0</v>
      </c>
      <c r="R347" s="307">
        <f>IFERROR(VLOOKUP(Table24[[#This Row],[ROUTE]],PRICING!A:B,2,FALSE),0)</f>
        <v>0</v>
      </c>
      <c r="S347" s="308">
        <f>Table24[[#This Row],[C_DEMAND]]-Table24[[#This Row],[R-DEMAND]]</f>
        <v>0</v>
      </c>
      <c r="T347" s="307">
        <f>Table24[[#This Row],[SEATS SOLD]]*Table24[[#This Row],[ECO SEAT]]</f>
        <v>0</v>
      </c>
      <c r="U347" s="307">
        <f>Table24[[#This Row],[SEATS SOLD]]*(IFERROR(VLOOKUP(Table24[[#This Row],[ROUTE]],PRICING!A:C,3,FALSE),0))</f>
        <v>0</v>
      </c>
      <c r="V347" s="307">
        <f>Table24[[#This Row],[SEAT REV]]-Table24[[#This Row],[SEAT REV
(IF IDEAL $)]]</f>
        <v>0</v>
      </c>
    </row>
    <row r="348" spans="1:22" customFormat="1" x14ac:dyDescent="0.25">
      <c r="A348" s="306" t="s">
        <v>17689</v>
      </c>
      <c r="B348" s="306" t="s">
        <v>2932</v>
      </c>
      <c r="C348" s="306"/>
      <c r="D348" s="26">
        <v>2</v>
      </c>
      <c r="E348" s="312" t="s">
        <v>560</v>
      </c>
      <c r="F348" s="306" t="str">
        <f>VLOOKUP(Table24[[#This Row],[Country]],Table10[[COUNTRY NAME]:[CONTINENT CODE]],3,FALSE)</f>
        <v>EU</v>
      </c>
      <c r="G348" s="312" t="s">
        <v>16917</v>
      </c>
      <c r="H348" s="309">
        <v>7192</v>
      </c>
      <c r="I348" s="310">
        <v>18</v>
      </c>
      <c r="J348" s="307"/>
      <c r="K348" s="307">
        <f>IFERROR(Table24[[#This Row],[ROUTE COST]]/Table24[[#This Row],[O - DEMAND]],0)</f>
        <v>0</v>
      </c>
      <c r="L348" s="306"/>
      <c r="M348" s="310">
        <f>Table24[[#This Row],[O - DEMAND]]/950</f>
        <v>0</v>
      </c>
      <c r="N348" s="306">
        <f>IFERROR(VLOOKUP(Table24[[#This Row],[ROUTE]],DEMAND!A:F,5,FALSE),0)</f>
        <v>0</v>
      </c>
      <c r="O348" s="306">
        <f>IFERROR(VLOOKUP(Table24[[#This Row],[ROUTE]],DEMAND!A:F,6,FALSE),0)</f>
        <v>0</v>
      </c>
      <c r="P348" s="306">
        <f>ROUNDDOWN(Table24[[#This Row],[R-DEMAND]]/950,0)</f>
        <v>0</v>
      </c>
      <c r="Q348" s="306">
        <f>Table24[[#This Row],[ADD ACC
(475/950)]]*Table24[[#This Row],[Duration
(A359)]]</f>
        <v>0</v>
      </c>
      <c r="R348" s="307">
        <f>IFERROR(VLOOKUP(Table24[[#This Row],[ROUTE]],PRICING!A:B,2,FALSE),0)</f>
        <v>0</v>
      </c>
      <c r="S348" s="308">
        <f>Table24[[#This Row],[C_DEMAND]]-Table24[[#This Row],[R-DEMAND]]</f>
        <v>0</v>
      </c>
      <c r="T348" s="307">
        <f>Table24[[#This Row],[SEATS SOLD]]*Table24[[#This Row],[ECO SEAT]]</f>
        <v>0</v>
      </c>
      <c r="U348" s="307">
        <f>Table24[[#This Row],[SEATS SOLD]]*(IFERROR(VLOOKUP(Table24[[#This Row],[ROUTE]],PRICING!A:C,3,FALSE),0))</f>
        <v>0</v>
      </c>
      <c r="V348" s="307">
        <f>Table24[[#This Row],[SEAT REV]]-Table24[[#This Row],[SEAT REV
(IF IDEAL $)]]</f>
        <v>0</v>
      </c>
    </row>
    <row r="349" spans="1:22" customFormat="1" x14ac:dyDescent="0.25">
      <c r="A349" s="306" t="s">
        <v>17690</v>
      </c>
      <c r="B349" s="306" t="s">
        <v>3990</v>
      </c>
      <c r="C349" s="306"/>
      <c r="D349" s="26">
        <v>2</v>
      </c>
      <c r="E349" s="312" t="s">
        <v>560</v>
      </c>
      <c r="F349" s="306" t="str">
        <f>VLOOKUP(Table24[[#This Row],[Country]],Table10[[COUNTRY NAME]:[CONTINENT CODE]],3,FALSE)</f>
        <v>EU</v>
      </c>
      <c r="G349" s="312" t="s">
        <v>11709</v>
      </c>
      <c r="H349" s="309">
        <v>7189</v>
      </c>
      <c r="I349" s="310">
        <v>18</v>
      </c>
      <c r="J349" s="307"/>
      <c r="K349" s="307">
        <f>IFERROR(Table24[[#This Row],[ROUTE COST]]/Table24[[#This Row],[O - DEMAND]],0)</f>
        <v>0</v>
      </c>
      <c r="L349" s="306"/>
      <c r="M349" s="310">
        <f>Table24[[#This Row],[O - DEMAND]]/950</f>
        <v>0</v>
      </c>
      <c r="N349" s="306">
        <f>IFERROR(VLOOKUP(Table24[[#This Row],[ROUTE]],DEMAND!A:F,5,FALSE),0)</f>
        <v>0</v>
      </c>
      <c r="O349" s="306">
        <f>IFERROR(VLOOKUP(Table24[[#This Row],[ROUTE]],DEMAND!A:F,6,FALSE),0)</f>
        <v>0</v>
      </c>
      <c r="P349" s="306">
        <f>ROUNDDOWN(Table24[[#This Row],[R-DEMAND]]/950,0)</f>
        <v>0</v>
      </c>
      <c r="Q349" s="306">
        <f>Table24[[#This Row],[ADD ACC
(475/950)]]*Table24[[#This Row],[Duration
(A359)]]</f>
        <v>0</v>
      </c>
      <c r="R349" s="307">
        <f>IFERROR(VLOOKUP(Table24[[#This Row],[ROUTE]],PRICING!A:B,2,FALSE),0)</f>
        <v>0</v>
      </c>
      <c r="S349" s="308">
        <f>Table24[[#This Row],[C_DEMAND]]-Table24[[#This Row],[R-DEMAND]]</f>
        <v>0</v>
      </c>
      <c r="T349" s="307">
        <f>Table24[[#This Row],[SEATS SOLD]]*Table24[[#This Row],[ECO SEAT]]</f>
        <v>0</v>
      </c>
      <c r="U349" s="307">
        <f>Table24[[#This Row],[SEATS SOLD]]*(IFERROR(VLOOKUP(Table24[[#This Row],[ROUTE]],PRICING!A:C,3,FALSE),0))</f>
        <v>0</v>
      </c>
      <c r="V349" s="307">
        <f>Table24[[#This Row],[SEAT REV]]-Table24[[#This Row],[SEAT REV
(IF IDEAL $)]]</f>
        <v>0</v>
      </c>
    </row>
    <row r="350" spans="1:22" customFormat="1" x14ac:dyDescent="0.25">
      <c r="A350" s="306" t="s">
        <v>17724</v>
      </c>
      <c r="B350" s="306" t="s">
        <v>1199</v>
      </c>
      <c r="C350" s="306"/>
      <c r="D350" s="26">
        <v>1</v>
      </c>
      <c r="E350" s="312" t="s">
        <v>83</v>
      </c>
      <c r="F350" s="306" t="str">
        <f>VLOOKUP(Table24[[#This Row],[Country]],Table10[[COUNTRY NAME]:[CONTINENT CODE]],3,FALSE)</f>
        <v>EU</v>
      </c>
      <c r="G350" s="312" t="s">
        <v>11720</v>
      </c>
      <c r="H350" s="309">
        <v>7278</v>
      </c>
      <c r="I350" s="310">
        <v>18</v>
      </c>
      <c r="J350" s="307"/>
      <c r="K350" s="307">
        <f>IFERROR(Table24[[#This Row],[ROUTE COST]]/Table24[[#This Row],[O - DEMAND]],0)</f>
        <v>0</v>
      </c>
      <c r="L350" s="306"/>
      <c r="M350" s="310">
        <f>Table24[[#This Row],[O - DEMAND]]/950</f>
        <v>0</v>
      </c>
      <c r="N350" s="306">
        <f>IFERROR(VLOOKUP(Table24[[#This Row],[ROUTE]],DEMAND!A:F,5,FALSE),0)</f>
        <v>0</v>
      </c>
      <c r="O350" s="306">
        <f>IFERROR(VLOOKUP(Table24[[#This Row],[ROUTE]],DEMAND!A:F,6,FALSE),0)</f>
        <v>0</v>
      </c>
      <c r="P350" s="306">
        <f>ROUNDDOWN(Table24[[#This Row],[R-DEMAND]]/950,0)</f>
        <v>0</v>
      </c>
      <c r="Q350" s="306">
        <f>Table24[[#This Row],[ADD ACC
(475/950)]]*Table24[[#This Row],[Duration
(A359)]]</f>
        <v>0</v>
      </c>
      <c r="R350" s="307">
        <f>IFERROR(VLOOKUP(Table24[[#This Row],[ROUTE]],PRICING!A:B,2,FALSE),0)</f>
        <v>0</v>
      </c>
      <c r="S350" s="308">
        <f>Table24[[#This Row],[C_DEMAND]]-Table24[[#This Row],[R-DEMAND]]</f>
        <v>0</v>
      </c>
      <c r="T350" s="307">
        <f>Table24[[#This Row],[SEATS SOLD]]*Table24[[#This Row],[ECO SEAT]]</f>
        <v>0</v>
      </c>
      <c r="U350" s="307">
        <f>Table24[[#This Row],[SEATS SOLD]]*(IFERROR(VLOOKUP(Table24[[#This Row],[ROUTE]],PRICING!A:C,3,FALSE),0))</f>
        <v>0</v>
      </c>
      <c r="V350" s="307">
        <f>Table24[[#This Row],[SEAT REV]]-Table24[[#This Row],[SEAT REV
(IF IDEAL $)]]</f>
        <v>0</v>
      </c>
    </row>
    <row r="351" spans="1:22" customFormat="1" x14ac:dyDescent="0.25">
      <c r="A351" s="306" t="s">
        <v>17581</v>
      </c>
      <c r="B351" s="306" t="s">
        <v>5281</v>
      </c>
      <c r="C351" s="306"/>
      <c r="D351" s="26">
        <v>3</v>
      </c>
      <c r="E351" s="312" t="s">
        <v>560</v>
      </c>
      <c r="F351" s="306" t="str">
        <f>VLOOKUP(Table24[[#This Row],[Country]],Table10[[COUNTRY NAME]:[CONTINENT CODE]],3,FALSE)</f>
        <v>EU</v>
      </c>
      <c r="G351" s="312" t="s">
        <v>11708</v>
      </c>
      <c r="H351" s="309">
        <v>7127</v>
      </c>
      <c r="I351" s="310">
        <v>17.75</v>
      </c>
      <c r="J351" s="307"/>
      <c r="K351" s="307">
        <f>IFERROR(Table24[[#This Row],[ROUTE COST]]/Table24[[#This Row],[O - DEMAND]],0)</f>
        <v>0</v>
      </c>
      <c r="L351" s="306"/>
      <c r="M351" s="310">
        <f>Table24[[#This Row],[O - DEMAND]]/950</f>
        <v>0</v>
      </c>
      <c r="N351" s="306">
        <f>IFERROR(VLOOKUP(Table24[[#This Row],[ROUTE]],DEMAND!A:F,5,FALSE),0)</f>
        <v>0</v>
      </c>
      <c r="O351" s="306">
        <f>IFERROR(VLOOKUP(Table24[[#This Row],[ROUTE]],DEMAND!A:F,6,FALSE),0)</f>
        <v>0</v>
      </c>
      <c r="P351" s="306">
        <f>ROUNDDOWN(Table24[[#This Row],[R-DEMAND]]/950,0)</f>
        <v>0</v>
      </c>
      <c r="Q351" s="306">
        <f>Table24[[#This Row],[ADD ACC
(475/950)]]*Table24[[#This Row],[Duration
(A359)]]</f>
        <v>0</v>
      </c>
      <c r="R351" s="307">
        <f>IFERROR(VLOOKUP(Table24[[#This Row],[ROUTE]],PRICING!A:B,2,FALSE),0)</f>
        <v>0</v>
      </c>
      <c r="S351" s="308">
        <f>Table24[[#This Row],[C_DEMAND]]-Table24[[#This Row],[R-DEMAND]]</f>
        <v>0</v>
      </c>
      <c r="T351" s="307">
        <f>Table24[[#This Row],[SEATS SOLD]]*Table24[[#This Row],[ECO SEAT]]</f>
        <v>0</v>
      </c>
      <c r="U351" s="307">
        <f>Table24[[#This Row],[SEATS SOLD]]*(IFERROR(VLOOKUP(Table24[[#This Row],[ROUTE]],PRICING!A:C,3,FALSE),0))</f>
        <v>0</v>
      </c>
      <c r="V351" s="307">
        <f>Table24[[#This Row],[SEAT REV]]-Table24[[#This Row],[SEAT REV
(IF IDEAL $)]]</f>
        <v>0</v>
      </c>
    </row>
    <row r="352" spans="1:22" customFormat="1" x14ac:dyDescent="0.25">
      <c r="A352" s="306" t="s">
        <v>17582</v>
      </c>
      <c r="B352" s="306" t="s">
        <v>5401</v>
      </c>
      <c r="C352" s="306"/>
      <c r="D352" s="26">
        <v>3</v>
      </c>
      <c r="E352" s="312" t="s">
        <v>83</v>
      </c>
      <c r="F352" s="306" t="str">
        <f>VLOOKUP(Table24[[#This Row],[Country]],Table10[[COUNTRY NAME]:[CONTINENT CODE]],3,FALSE)</f>
        <v>EU</v>
      </c>
      <c r="G352" s="312" t="s">
        <v>11712</v>
      </c>
      <c r="H352" s="309">
        <v>7102</v>
      </c>
      <c r="I352" s="310">
        <v>17.75</v>
      </c>
      <c r="J352" s="307"/>
      <c r="K352" s="307">
        <f>IFERROR(Table24[[#This Row],[ROUTE COST]]/Table24[[#This Row],[O - DEMAND]],0)</f>
        <v>0</v>
      </c>
      <c r="L352" s="306"/>
      <c r="M352" s="310">
        <f>Table24[[#This Row],[O - DEMAND]]/950</f>
        <v>0</v>
      </c>
      <c r="N352" s="306">
        <f>IFERROR(VLOOKUP(Table24[[#This Row],[ROUTE]],DEMAND!A:F,5,FALSE),0)</f>
        <v>0</v>
      </c>
      <c r="O352" s="306">
        <f>IFERROR(VLOOKUP(Table24[[#This Row],[ROUTE]],DEMAND!A:F,6,FALSE),0)</f>
        <v>0</v>
      </c>
      <c r="P352" s="306">
        <f>ROUNDDOWN(Table24[[#This Row],[R-DEMAND]]/950,0)</f>
        <v>0</v>
      </c>
      <c r="Q352" s="306">
        <f>Table24[[#This Row],[ADD ACC
(475/950)]]*Table24[[#This Row],[Duration
(A359)]]</f>
        <v>0</v>
      </c>
      <c r="R352" s="307">
        <f>IFERROR(VLOOKUP(Table24[[#This Row],[ROUTE]],PRICING!A:B,2,FALSE),0)</f>
        <v>0</v>
      </c>
      <c r="S352" s="308">
        <f>Table24[[#This Row],[C_DEMAND]]-Table24[[#This Row],[R-DEMAND]]</f>
        <v>0</v>
      </c>
      <c r="T352" s="307">
        <f>Table24[[#This Row],[SEATS SOLD]]*Table24[[#This Row],[ECO SEAT]]</f>
        <v>0</v>
      </c>
      <c r="U352" s="307">
        <f>Table24[[#This Row],[SEATS SOLD]]*(IFERROR(VLOOKUP(Table24[[#This Row],[ROUTE]],PRICING!A:C,3,FALSE),0))</f>
        <v>0</v>
      </c>
      <c r="V352" s="307">
        <f>Table24[[#This Row],[SEAT REV]]-Table24[[#This Row],[SEAT REV
(IF IDEAL $)]]</f>
        <v>0</v>
      </c>
    </row>
    <row r="353" spans="1:22" customFormat="1" x14ac:dyDescent="0.25">
      <c r="A353" s="306" t="s">
        <v>17096</v>
      </c>
      <c r="B353" s="306" t="s">
        <v>3033</v>
      </c>
      <c r="C353" s="306"/>
      <c r="D353" s="26">
        <v>2</v>
      </c>
      <c r="E353" s="312" t="s">
        <v>493</v>
      </c>
      <c r="F353" s="306" t="str">
        <f>VLOOKUP(Table24[[#This Row],[Country]],Table10[[COUNTRY NAME]:[CONTINENT CODE]],3,FALSE)</f>
        <v>AF</v>
      </c>
      <c r="G353" s="312" t="s">
        <v>16919</v>
      </c>
      <c r="H353" s="309">
        <v>7123</v>
      </c>
      <c r="I353" s="310">
        <v>17.75</v>
      </c>
      <c r="J353" s="307"/>
      <c r="K353" s="307">
        <f>IFERROR(Table24[[#This Row],[ROUTE COST]]/Table24[[#This Row],[O - DEMAND]],0)</f>
        <v>0</v>
      </c>
      <c r="L353" s="306"/>
      <c r="M353" s="310">
        <f>Table24[[#This Row],[O - DEMAND]]/950</f>
        <v>0</v>
      </c>
      <c r="N353" s="306">
        <f>IFERROR(VLOOKUP(Table24[[#This Row],[ROUTE]],DEMAND!A:F,5,FALSE),0)</f>
        <v>0</v>
      </c>
      <c r="O353" s="306">
        <f>IFERROR(VLOOKUP(Table24[[#This Row],[ROUTE]],DEMAND!A:F,6,FALSE),0)</f>
        <v>0</v>
      </c>
      <c r="P353" s="306">
        <f>ROUNDDOWN(Table24[[#This Row],[R-DEMAND]]/950,0)</f>
        <v>0</v>
      </c>
      <c r="Q353" s="306">
        <f>Table24[[#This Row],[ADD ACC
(475/950)]]*Table24[[#This Row],[Duration
(A359)]]</f>
        <v>0</v>
      </c>
      <c r="R353" s="307">
        <f>IFERROR(VLOOKUP(Table24[[#This Row],[ROUTE]],PRICING!A:B,2,FALSE),0)</f>
        <v>0</v>
      </c>
      <c r="S353" s="308">
        <f>Table24[[#This Row],[C_DEMAND]]-Table24[[#This Row],[R-DEMAND]]</f>
        <v>0</v>
      </c>
      <c r="T353" s="307">
        <f>Table24[[#This Row],[SEATS SOLD]]*Table24[[#This Row],[ECO SEAT]]</f>
        <v>0</v>
      </c>
      <c r="U353" s="307">
        <f>Table24[[#This Row],[SEATS SOLD]]*(IFERROR(VLOOKUP(Table24[[#This Row],[ROUTE]],PRICING!A:C,3,FALSE),0))</f>
        <v>0</v>
      </c>
      <c r="V353" s="307">
        <f>Table24[[#This Row],[SEAT REV]]-Table24[[#This Row],[SEAT REV
(IF IDEAL $)]]</f>
        <v>0</v>
      </c>
    </row>
    <row r="354" spans="1:22" customFormat="1" x14ac:dyDescent="0.25">
      <c r="A354" s="306" t="s">
        <v>17691</v>
      </c>
      <c r="B354" s="306" t="s">
        <v>4533</v>
      </c>
      <c r="C354" s="306"/>
      <c r="D354" s="26">
        <v>2</v>
      </c>
      <c r="E354" s="312" t="s">
        <v>83</v>
      </c>
      <c r="F354" s="306" t="str">
        <f>VLOOKUP(Table24[[#This Row],[Country]],Table10[[COUNTRY NAME]:[CONTINENT CODE]],3,FALSE)</f>
        <v>EU</v>
      </c>
      <c r="G354" s="312" t="s">
        <v>11714</v>
      </c>
      <c r="H354" s="309">
        <v>7127</v>
      </c>
      <c r="I354" s="310">
        <v>17.75</v>
      </c>
      <c r="J354" s="307"/>
      <c r="K354" s="307">
        <f>IFERROR(Table24[[#This Row],[ROUTE COST]]/Table24[[#This Row],[O - DEMAND]],0)</f>
        <v>0</v>
      </c>
      <c r="L354" s="306"/>
      <c r="M354" s="310">
        <f>Table24[[#This Row],[O - DEMAND]]/950</f>
        <v>0</v>
      </c>
      <c r="N354" s="306">
        <f>IFERROR(VLOOKUP(Table24[[#This Row],[ROUTE]],DEMAND!A:F,5,FALSE),0)</f>
        <v>0</v>
      </c>
      <c r="O354" s="306">
        <f>IFERROR(VLOOKUP(Table24[[#This Row],[ROUTE]],DEMAND!A:F,6,FALSE),0)</f>
        <v>0</v>
      </c>
      <c r="P354" s="306">
        <f>ROUNDDOWN(Table24[[#This Row],[R-DEMAND]]/950,0)</f>
        <v>0</v>
      </c>
      <c r="Q354" s="306">
        <f>Table24[[#This Row],[ADD ACC
(475/950)]]*Table24[[#This Row],[Duration
(A359)]]</f>
        <v>0</v>
      </c>
      <c r="R354" s="307">
        <f>IFERROR(VLOOKUP(Table24[[#This Row],[ROUTE]],PRICING!A:B,2,FALSE),0)</f>
        <v>0</v>
      </c>
      <c r="S354" s="308">
        <f>Table24[[#This Row],[C_DEMAND]]-Table24[[#This Row],[R-DEMAND]]</f>
        <v>0</v>
      </c>
      <c r="T354" s="307">
        <f>Table24[[#This Row],[SEATS SOLD]]*Table24[[#This Row],[ECO SEAT]]</f>
        <v>0</v>
      </c>
      <c r="U354" s="307">
        <f>Table24[[#This Row],[SEATS SOLD]]*(IFERROR(VLOOKUP(Table24[[#This Row],[ROUTE]],PRICING!A:C,3,FALSE),0))</f>
        <v>0</v>
      </c>
      <c r="V354" s="307">
        <f>Table24[[#This Row],[SEAT REV]]-Table24[[#This Row],[SEAT REV
(IF IDEAL $)]]</f>
        <v>0</v>
      </c>
    </row>
    <row r="355" spans="1:22" customFormat="1" x14ac:dyDescent="0.25">
      <c r="A355" s="306" t="s">
        <v>17692</v>
      </c>
      <c r="B355" s="306" t="s">
        <v>4194</v>
      </c>
      <c r="C355" s="306"/>
      <c r="D355" s="26">
        <v>2</v>
      </c>
      <c r="E355" s="312" t="s">
        <v>119</v>
      </c>
      <c r="F355" s="306" t="str">
        <f>VLOOKUP(Table24[[#This Row],[Country]],Table10[[COUNTRY NAME]:[CONTINENT CODE]],3,FALSE)</f>
        <v>EU</v>
      </c>
      <c r="G355" s="312" t="s">
        <v>11703</v>
      </c>
      <c r="H355" s="309">
        <v>7111</v>
      </c>
      <c r="I355" s="310">
        <v>17.75</v>
      </c>
      <c r="J355" s="307"/>
      <c r="K355" s="307">
        <f>IFERROR(Table24[[#This Row],[ROUTE COST]]/Table24[[#This Row],[O - DEMAND]],0)</f>
        <v>0</v>
      </c>
      <c r="L355" s="306"/>
      <c r="M355" s="310">
        <f>Table24[[#This Row],[O - DEMAND]]/950</f>
        <v>0</v>
      </c>
      <c r="N355" s="306">
        <f>IFERROR(VLOOKUP(Table24[[#This Row],[ROUTE]],DEMAND!A:F,5,FALSE),0)</f>
        <v>0</v>
      </c>
      <c r="O355" s="306">
        <f>IFERROR(VLOOKUP(Table24[[#This Row],[ROUTE]],DEMAND!A:F,6,FALSE),0)</f>
        <v>0</v>
      </c>
      <c r="P355" s="306">
        <f>ROUNDDOWN(Table24[[#This Row],[R-DEMAND]]/950,0)</f>
        <v>0</v>
      </c>
      <c r="Q355" s="306">
        <f>Table24[[#This Row],[ADD ACC
(475/950)]]*Table24[[#This Row],[Duration
(A359)]]</f>
        <v>0</v>
      </c>
      <c r="R355" s="307">
        <f>IFERROR(VLOOKUP(Table24[[#This Row],[ROUTE]],PRICING!A:B,2,FALSE),0)</f>
        <v>0</v>
      </c>
      <c r="S355" s="308">
        <f>Table24[[#This Row],[C_DEMAND]]-Table24[[#This Row],[R-DEMAND]]</f>
        <v>0</v>
      </c>
      <c r="T355" s="307">
        <f>Table24[[#This Row],[SEATS SOLD]]*Table24[[#This Row],[ECO SEAT]]</f>
        <v>0</v>
      </c>
      <c r="U355" s="307">
        <f>Table24[[#This Row],[SEATS SOLD]]*(IFERROR(VLOOKUP(Table24[[#This Row],[ROUTE]],PRICING!A:C,3,FALSE),0))</f>
        <v>0</v>
      </c>
      <c r="V355" s="307">
        <f>Table24[[#This Row],[SEAT REV]]-Table24[[#This Row],[SEAT REV
(IF IDEAL $)]]</f>
        <v>0</v>
      </c>
    </row>
    <row r="356" spans="1:22" customFormat="1" x14ac:dyDescent="0.25">
      <c r="A356" s="306" t="s">
        <v>17106</v>
      </c>
      <c r="B356" s="306" t="s">
        <v>1522</v>
      </c>
      <c r="C356" s="306"/>
      <c r="D356" s="26">
        <v>1</v>
      </c>
      <c r="E356" s="312" t="s">
        <v>493</v>
      </c>
      <c r="F356" s="306" t="str">
        <f>VLOOKUP(Table24[[#This Row],[Country]],Table10[[COUNTRY NAME]:[CONTINENT CODE]],3,FALSE)</f>
        <v>AF</v>
      </c>
      <c r="G356" s="312" t="s">
        <v>11693</v>
      </c>
      <c r="H356" s="309">
        <v>7086</v>
      </c>
      <c r="I356" s="310">
        <v>17.75</v>
      </c>
      <c r="J356" s="307"/>
      <c r="K356" s="307">
        <f>IFERROR(Table24[[#This Row],[ROUTE COST]]/Table24[[#This Row],[O - DEMAND]],0)</f>
        <v>0</v>
      </c>
      <c r="L356" s="306"/>
      <c r="M356" s="310">
        <f>Table24[[#This Row],[O - DEMAND]]/950</f>
        <v>0</v>
      </c>
      <c r="N356" s="306">
        <f>IFERROR(VLOOKUP(Table24[[#This Row],[ROUTE]],DEMAND!A:F,5,FALSE),0)</f>
        <v>0</v>
      </c>
      <c r="O356" s="306">
        <f>IFERROR(VLOOKUP(Table24[[#This Row],[ROUTE]],DEMAND!A:F,6,FALSE),0)</f>
        <v>0</v>
      </c>
      <c r="P356" s="306">
        <f>ROUNDDOWN(Table24[[#This Row],[R-DEMAND]]/950,0)</f>
        <v>0</v>
      </c>
      <c r="Q356" s="306">
        <f>Table24[[#This Row],[ADD ACC
(475/950)]]*Table24[[#This Row],[Duration
(A359)]]</f>
        <v>0</v>
      </c>
      <c r="R356" s="307">
        <f>IFERROR(VLOOKUP(Table24[[#This Row],[ROUTE]],PRICING!A:B,2,FALSE),0)</f>
        <v>0</v>
      </c>
      <c r="S356" s="308">
        <f>Table24[[#This Row],[C_DEMAND]]-Table24[[#This Row],[R-DEMAND]]</f>
        <v>0</v>
      </c>
      <c r="T356" s="307">
        <f>Table24[[#This Row],[SEATS SOLD]]*Table24[[#This Row],[ECO SEAT]]</f>
        <v>0</v>
      </c>
      <c r="U356" s="307">
        <f>Table24[[#This Row],[SEATS SOLD]]*(IFERROR(VLOOKUP(Table24[[#This Row],[ROUTE]],PRICING!A:C,3,FALSE),0))</f>
        <v>0</v>
      </c>
      <c r="V356" s="307">
        <f>Table24[[#This Row],[SEAT REV]]-Table24[[#This Row],[SEAT REV
(IF IDEAL $)]]</f>
        <v>0</v>
      </c>
    </row>
    <row r="357" spans="1:22" customFormat="1" x14ac:dyDescent="0.25">
      <c r="A357" s="306" t="s">
        <v>17583</v>
      </c>
      <c r="B357" s="306" t="s">
        <v>5202</v>
      </c>
      <c r="C357" s="306"/>
      <c r="D357" s="26">
        <v>3</v>
      </c>
      <c r="E357" s="312" t="s">
        <v>560</v>
      </c>
      <c r="F357" s="306" t="str">
        <f>VLOOKUP(Table24[[#This Row],[Country]],Table10[[COUNTRY NAME]:[CONTINENT CODE]],3,FALSE)</f>
        <v>EU</v>
      </c>
      <c r="G357" s="312" t="s">
        <v>11707</v>
      </c>
      <c r="H357" s="309">
        <v>7058</v>
      </c>
      <c r="I357" s="310">
        <v>17.5</v>
      </c>
      <c r="J357" s="307"/>
      <c r="K357" s="307">
        <f>IFERROR(Table24[[#This Row],[ROUTE COST]]/Table24[[#This Row],[O - DEMAND]],0)</f>
        <v>0</v>
      </c>
      <c r="L357" s="306"/>
      <c r="M357" s="310">
        <f>Table24[[#This Row],[O - DEMAND]]/950</f>
        <v>0</v>
      </c>
      <c r="N357" s="306">
        <f>IFERROR(VLOOKUP(Table24[[#This Row],[ROUTE]],DEMAND!A:F,5,FALSE),0)</f>
        <v>0</v>
      </c>
      <c r="O357" s="306">
        <f>IFERROR(VLOOKUP(Table24[[#This Row],[ROUTE]],DEMAND!A:F,6,FALSE),0)</f>
        <v>0</v>
      </c>
      <c r="P357" s="306">
        <f>ROUNDDOWN(Table24[[#This Row],[R-DEMAND]]/950,0)</f>
        <v>0</v>
      </c>
      <c r="Q357" s="306">
        <f>Table24[[#This Row],[ADD ACC
(475/950)]]*Table24[[#This Row],[Duration
(A359)]]</f>
        <v>0</v>
      </c>
      <c r="R357" s="307">
        <f>IFERROR(VLOOKUP(Table24[[#This Row],[ROUTE]],PRICING!A:B,2,FALSE),0)</f>
        <v>0</v>
      </c>
      <c r="S357" s="308">
        <f>Table24[[#This Row],[C_DEMAND]]-Table24[[#This Row],[R-DEMAND]]</f>
        <v>0</v>
      </c>
      <c r="T357" s="307">
        <f>Table24[[#This Row],[SEATS SOLD]]*Table24[[#This Row],[ECO SEAT]]</f>
        <v>0</v>
      </c>
      <c r="U357" s="307">
        <f>Table24[[#This Row],[SEATS SOLD]]*(IFERROR(VLOOKUP(Table24[[#This Row],[ROUTE]],PRICING!A:C,3,FALSE),0))</f>
        <v>0</v>
      </c>
      <c r="V357" s="307">
        <f>Table24[[#This Row],[SEAT REV]]-Table24[[#This Row],[SEAT REV
(IF IDEAL $)]]</f>
        <v>0</v>
      </c>
    </row>
    <row r="358" spans="1:22" customFormat="1" x14ac:dyDescent="0.25">
      <c r="A358" s="306" t="s">
        <v>17693</v>
      </c>
      <c r="B358" s="306" t="s">
        <v>4590</v>
      </c>
      <c r="C358" s="306"/>
      <c r="D358" s="26">
        <v>2</v>
      </c>
      <c r="E358" s="312" t="s">
        <v>119</v>
      </c>
      <c r="F358" s="306" t="str">
        <f>VLOOKUP(Table24[[#This Row],[Country]],Table10[[COUNTRY NAME]:[CONTINENT CODE]],3,FALSE)</f>
        <v>EU</v>
      </c>
      <c r="G358" s="312" t="s">
        <v>11696</v>
      </c>
      <c r="H358" s="309">
        <v>7025</v>
      </c>
      <c r="I358" s="310">
        <v>17.5</v>
      </c>
      <c r="J358" s="307"/>
      <c r="K358" s="307">
        <f>IFERROR(Table24[[#This Row],[ROUTE COST]]/Table24[[#This Row],[O - DEMAND]],0)</f>
        <v>0</v>
      </c>
      <c r="L358" s="306"/>
      <c r="M358" s="310">
        <f>Table24[[#This Row],[O - DEMAND]]/950</f>
        <v>0</v>
      </c>
      <c r="N358" s="306">
        <f>IFERROR(VLOOKUP(Table24[[#This Row],[ROUTE]],DEMAND!A:F,5,FALSE),0)</f>
        <v>0</v>
      </c>
      <c r="O358" s="306">
        <f>IFERROR(VLOOKUP(Table24[[#This Row],[ROUTE]],DEMAND!A:F,6,FALSE),0)</f>
        <v>0</v>
      </c>
      <c r="P358" s="306">
        <f>ROUNDDOWN(Table24[[#This Row],[R-DEMAND]]/950,0)</f>
        <v>0</v>
      </c>
      <c r="Q358" s="306">
        <f>Table24[[#This Row],[ADD ACC
(475/950)]]*Table24[[#This Row],[Duration
(A359)]]</f>
        <v>0</v>
      </c>
      <c r="R358" s="307">
        <f>IFERROR(VLOOKUP(Table24[[#This Row],[ROUTE]],PRICING!A:B,2,FALSE),0)</f>
        <v>0</v>
      </c>
      <c r="S358" s="308">
        <f>Table24[[#This Row],[C_DEMAND]]-Table24[[#This Row],[R-DEMAND]]</f>
        <v>0</v>
      </c>
      <c r="T358" s="307">
        <f>Table24[[#This Row],[SEATS SOLD]]*Table24[[#This Row],[ECO SEAT]]</f>
        <v>0</v>
      </c>
      <c r="U358" s="307">
        <f>Table24[[#This Row],[SEATS SOLD]]*(IFERROR(VLOOKUP(Table24[[#This Row],[ROUTE]],PRICING!A:C,3,FALSE),0))</f>
        <v>0</v>
      </c>
      <c r="V358" s="307">
        <f>Table24[[#This Row],[SEAT REV]]-Table24[[#This Row],[SEAT REV
(IF IDEAL $)]]</f>
        <v>0</v>
      </c>
    </row>
    <row r="359" spans="1:22" customFormat="1" x14ac:dyDescent="0.25">
      <c r="A359" s="306" t="s">
        <v>17725</v>
      </c>
      <c r="B359" s="306" t="s">
        <v>1307</v>
      </c>
      <c r="C359" s="306"/>
      <c r="D359" s="26">
        <v>1</v>
      </c>
      <c r="E359" s="312" t="s">
        <v>119</v>
      </c>
      <c r="F359" s="306" t="str">
        <f>VLOOKUP(Table24[[#This Row],[Country]],Table10[[COUNTRY NAME]:[CONTINENT CODE]],3,FALSE)</f>
        <v>EU</v>
      </c>
      <c r="G359" s="312" t="s">
        <v>16921</v>
      </c>
      <c r="H359" s="309">
        <v>7055</v>
      </c>
      <c r="I359" s="310">
        <v>17.5</v>
      </c>
      <c r="J359" s="307"/>
      <c r="K359" s="307">
        <f>IFERROR(Table24[[#This Row],[ROUTE COST]]/Table24[[#This Row],[O - DEMAND]],0)</f>
        <v>0</v>
      </c>
      <c r="L359" s="306"/>
      <c r="M359" s="310">
        <f>Table24[[#This Row],[O - DEMAND]]/950</f>
        <v>0</v>
      </c>
      <c r="N359" s="306">
        <f>IFERROR(VLOOKUP(Table24[[#This Row],[ROUTE]],DEMAND!A:F,5,FALSE),0)</f>
        <v>0</v>
      </c>
      <c r="O359" s="306">
        <f>IFERROR(VLOOKUP(Table24[[#This Row],[ROUTE]],DEMAND!A:F,6,FALSE),0)</f>
        <v>0</v>
      </c>
      <c r="P359" s="306">
        <f>ROUNDDOWN(Table24[[#This Row],[R-DEMAND]]/950,0)</f>
        <v>0</v>
      </c>
      <c r="Q359" s="306">
        <f>Table24[[#This Row],[ADD ACC
(475/950)]]*Table24[[#This Row],[Duration
(A359)]]</f>
        <v>0</v>
      </c>
      <c r="R359" s="307">
        <f>IFERROR(VLOOKUP(Table24[[#This Row],[ROUTE]],PRICING!A:B,2,FALSE),0)</f>
        <v>0</v>
      </c>
      <c r="S359" s="308">
        <f>Table24[[#This Row],[C_DEMAND]]-Table24[[#This Row],[R-DEMAND]]</f>
        <v>0</v>
      </c>
      <c r="T359" s="307">
        <f>Table24[[#This Row],[SEATS SOLD]]*Table24[[#This Row],[ECO SEAT]]</f>
        <v>0</v>
      </c>
      <c r="U359" s="307">
        <f>Table24[[#This Row],[SEATS SOLD]]*(IFERROR(VLOOKUP(Table24[[#This Row],[ROUTE]],PRICING!A:C,3,FALSE),0))</f>
        <v>0</v>
      </c>
      <c r="V359" s="307">
        <f>Table24[[#This Row],[SEAT REV]]-Table24[[#This Row],[SEAT REV
(IF IDEAL $)]]</f>
        <v>0</v>
      </c>
    </row>
    <row r="360" spans="1:22" customFormat="1" x14ac:dyDescent="0.25">
      <c r="A360" s="306" t="s">
        <v>17726</v>
      </c>
      <c r="B360" s="306" t="s">
        <v>2409</v>
      </c>
      <c r="C360" s="306"/>
      <c r="D360" s="26">
        <v>1</v>
      </c>
      <c r="E360" s="312" t="s">
        <v>119</v>
      </c>
      <c r="F360" s="306" t="str">
        <f>VLOOKUP(Table24[[#This Row],[Country]],Table10[[COUNTRY NAME]:[CONTINENT CODE]],3,FALSE)</f>
        <v>EU</v>
      </c>
      <c r="G360" s="312" t="s">
        <v>11699</v>
      </c>
      <c r="H360" s="309">
        <v>6969</v>
      </c>
      <c r="I360" s="310">
        <v>17.5</v>
      </c>
      <c r="J360" s="307"/>
      <c r="K360" s="307">
        <f>IFERROR(Table24[[#This Row],[ROUTE COST]]/Table24[[#This Row],[O - DEMAND]],0)</f>
        <v>0</v>
      </c>
      <c r="L360" s="306"/>
      <c r="M360" s="310">
        <f>Table24[[#This Row],[O - DEMAND]]/950</f>
        <v>0</v>
      </c>
      <c r="N360" s="306">
        <f>IFERROR(VLOOKUP(Table24[[#This Row],[ROUTE]],DEMAND!A:F,5,FALSE),0)</f>
        <v>0</v>
      </c>
      <c r="O360" s="306">
        <f>IFERROR(VLOOKUP(Table24[[#This Row],[ROUTE]],DEMAND!A:F,6,FALSE),0)</f>
        <v>0</v>
      </c>
      <c r="P360" s="306">
        <f>ROUNDDOWN(Table24[[#This Row],[R-DEMAND]]/950,0)</f>
        <v>0</v>
      </c>
      <c r="Q360" s="306">
        <f>Table24[[#This Row],[ADD ACC
(475/950)]]*Table24[[#This Row],[Duration
(A359)]]</f>
        <v>0</v>
      </c>
      <c r="R360" s="307">
        <f>IFERROR(VLOOKUP(Table24[[#This Row],[ROUTE]],PRICING!A:B,2,FALSE),0)</f>
        <v>0</v>
      </c>
      <c r="S360" s="308">
        <f>Table24[[#This Row],[C_DEMAND]]-Table24[[#This Row],[R-DEMAND]]</f>
        <v>0</v>
      </c>
      <c r="T360" s="307">
        <f>Table24[[#This Row],[SEATS SOLD]]*Table24[[#This Row],[ECO SEAT]]</f>
        <v>0</v>
      </c>
      <c r="U360" s="307">
        <f>Table24[[#This Row],[SEATS SOLD]]*(IFERROR(VLOOKUP(Table24[[#This Row],[ROUTE]],PRICING!A:C,3,FALSE),0))</f>
        <v>0</v>
      </c>
      <c r="V360" s="307">
        <f>Table24[[#This Row],[SEAT REV]]-Table24[[#This Row],[SEAT REV
(IF IDEAL $)]]</f>
        <v>0</v>
      </c>
    </row>
    <row r="361" spans="1:22" customFormat="1" x14ac:dyDescent="0.25">
      <c r="A361" s="306" t="s">
        <v>17585</v>
      </c>
      <c r="B361" s="306" t="s">
        <v>5057</v>
      </c>
      <c r="C361" s="306"/>
      <c r="D361" s="26">
        <v>3</v>
      </c>
      <c r="E361" s="312" t="s">
        <v>83</v>
      </c>
      <c r="F361" s="306" t="str">
        <f>VLOOKUP(Table24[[#This Row],[Country]],Table10[[COUNTRY NAME]:[CONTINENT CODE]],3,FALSE)</f>
        <v>EU</v>
      </c>
      <c r="G361" s="312" t="s">
        <v>11706</v>
      </c>
      <c r="H361" s="309">
        <v>6918</v>
      </c>
      <c r="I361" s="310">
        <v>17.25</v>
      </c>
      <c r="J361" s="307"/>
      <c r="K361" s="307">
        <f>IFERROR(Table24[[#This Row],[ROUTE COST]]/Table24[[#This Row],[O - DEMAND]],0)</f>
        <v>0</v>
      </c>
      <c r="L361" s="306"/>
      <c r="M361" s="310">
        <f>Table24[[#This Row],[O - DEMAND]]/950</f>
        <v>0</v>
      </c>
      <c r="N361" s="306">
        <f>IFERROR(VLOOKUP(Table24[[#This Row],[ROUTE]],DEMAND!A:F,5,FALSE),0)</f>
        <v>0</v>
      </c>
      <c r="O361" s="306">
        <f>IFERROR(VLOOKUP(Table24[[#This Row],[ROUTE]],DEMAND!A:F,6,FALSE),0)</f>
        <v>0</v>
      </c>
      <c r="P361" s="306">
        <f>ROUNDDOWN(Table24[[#This Row],[R-DEMAND]]/950,0)</f>
        <v>0</v>
      </c>
      <c r="Q361" s="306">
        <f>Table24[[#This Row],[ADD ACC
(475/950)]]*Table24[[#This Row],[Duration
(A359)]]</f>
        <v>0</v>
      </c>
      <c r="R361" s="307">
        <f>IFERROR(VLOOKUP(Table24[[#This Row],[ROUTE]],PRICING!A:B,2,FALSE),0)</f>
        <v>0</v>
      </c>
      <c r="S361" s="308">
        <f>Table24[[#This Row],[C_DEMAND]]-Table24[[#This Row],[R-DEMAND]]</f>
        <v>0</v>
      </c>
      <c r="T361" s="307">
        <f>Table24[[#This Row],[SEATS SOLD]]*Table24[[#This Row],[ECO SEAT]]</f>
        <v>0</v>
      </c>
      <c r="U361" s="307">
        <f>Table24[[#This Row],[SEATS SOLD]]*(IFERROR(VLOOKUP(Table24[[#This Row],[ROUTE]],PRICING!A:C,3,FALSE),0))</f>
        <v>0</v>
      </c>
      <c r="V361" s="307">
        <f>Table24[[#This Row],[SEAT REV]]-Table24[[#This Row],[SEAT REV
(IF IDEAL $)]]</f>
        <v>0</v>
      </c>
    </row>
    <row r="362" spans="1:22" customFormat="1" x14ac:dyDescent="0.25">
      <c r="A362" s="306" t="s">
        <v>17153</v>
      </c>
      <c r="B362" s="306" t="s">
        <v>3152</v>
      </c>
      <c r="C362" s="306"/>
      <c r="D362" s="26">
        <v>2</v>
      </c>
      <c r="E362" s="312" t="s">
        <v>2454</v>
      </c>
      <c r="F362" s="306" t="str">
        <f>VLOOKUP(Table24[[#This Row],[Country]],Table10[[COUNTRY NAME]:[CONTINENT CODE]],3,FALSE)</f>
        <v>AF</v>
      </c>
      <c r="G362" s="312" t="s">
        <v>11672</v>
      </c>
      <c r="H362" s="309">
        <v>6834</v>
      </c>
      <c r="I362" s="310">
        <v>17.25</v>
      </c>
      <c r="J362" s="307"/>
      <c r="K362" s="307">
        <f>IFERROR(Table24[[#This Row],[ROUTE COST]]/Table24[[#This Row],[O - DEMAND]],0)</f>
        <v>0</v>
      </c>
      <c r="L362" s="306"/>
      <c r="M362" s="310">
        <f>Table24[[#This Row],[O - DEMAND]]/950</f>
        <v>0</v>
      </c>
      <c r="N362" s="306">
        <f>IFERROR(VLOOKUP(Table24[[#This Row],[ROUTE]],DEMAND!A:F,5,FALSE),0)</f>
        <v>0</v>
      </c>
      <c r="O362" s="306">
        <f>IFERROR(VLOOKUP(Table24[[#This Row],[ROUTE]],DEMAND!A:F,6,FALSE),0)</f>
        <v>0</v>
      </c>
      <c r="P362" s="306">
        <f>ROUNDDOWN(Table24[[#This Row],[R-DEMAND]]/950,0)</f>
        <v>0</v>
      </c>
      <c r="Q362" s="306">
        <f>Table24[[#This Row],[ADD ACC
(475/950)]]*Table24[[#This Row],[Duration
(A359)]]</f>
        <v>0</v>
      </c>
      <c r="R362" s="307">
        <f>IFERROR(VLOOKUP(Table24[[#This Row],[ROUTE]],PRICING!A:B,2,FALSE),0)</f>
        <v>0</v>
      </c>
      <c r="S362" s="308">
        <f>Table24[[#This Row],[C_DEMAND]]-Table24[[#This Row],[R-DEMAND]]</f>
        <v>0</v>
      </c>
      <c r="T362" s="307">
        <f>Table24[[#This Row],[SEATS SOLD]]*Table24[[#This Row],[ECO SEAT]]</f>
        <v>0</v>
      </c>
      <c r="U362" s="307">
        <f>Table24[[#This Row],[SEATS SOLD]]*(IFERROR(VLOOKUP(Table24[[#This Row],[ROUTE]],PRICING!A:C,3,FALSE),0))</f>
        <v>0</v>
      </c>
      <c r="V362" s="307">
        <f>Table24[[#This Row],[SEAT REV]]-Table24[[#This Row],[SEAT REV
(IF IDEAL $)]]</f>
        <v>0</v>
      </c>
    </row>
    <row r="363" spans="1:22" customFormat="1" x14ac:dyDescent="0.25">
      <c r="A363" s="306" t="s">
        <v>17694</v>
      </c>
      <c r="B363" s="306" t="s">
        <v>4553</v>
      </c>
      <c r="C363" s="306"/>
      <c r="D363" s="26">
        <v>2</v>
      </c>
      <c r="E363" s="312" t="s">
        <v>560</v>
      </c>
      <c r="F363" s="306" t="str">
        <f>VLOOKUP(Table24[[#This Row],[Country]],Table10[[COUNTRY NAME]:[CONTINENT CODE]],3,FALSE)</f>
        <v>EU</v>
      </c>
      <c r="G363" s="312" t="s">
        <v>11698</v>
      </c>
      <c r="H363" s="309">
        <v>6854</v>
      </c>
      <c r="I363" s="310">
        <v>17.25</v>
      </c>
      <c r="J363" s="307"/>
      <c r="K363" s="307">
        <f>IFERROR(Table24[[#This Row],[ROUTE COST]]/Table24[[#This Row],[O - DEMAND]],0)</f>
        <v>0</v>
      </c>
      <c r="L363" s="306"/>
      <c r="M363" s="310">
        <f>Table24[[#This Row],[O - DEMAND]]/950</f>
        <v>0</v>
      </c>
      <c r="N363" s="306">
        <f>IFERROR(VLOOKUP(Table24[[#This Row],[ROUTE]],DEMAND!A:F,5,FALSE),0)</f>
        <v>0</v>
      </c>
      <c r="O363" s="306">
        <f>IFERROR(VLOOKUP(Table24[[#This Row],[ROUTE]],DEMAND!A:F,6,FALSE),0)</f>
        <v>0</v>
      </c>
      <c r="P363" s="306">
        <f>ROUNDDOWN(Table24[[#This Row],[R-DEMAND]]/950,0)</f>
        <v>0</v>
      </c>
      <c r="Q363" s="306">
        <f>Table24[[#This Row],[ADD ACC
(475/950)]]*Table24[[#This Row],[Duration
(A359)]]</f>
        <v>0</v>
      </c>
      <c r="R363" s="307">
        <f>IFERROR(VLOOKUP(Table24[[#This Row],[ROUTE]],PRICING!A:B,2,FALSE),0)</f>
        <v>0</v>
      </c>
      <c r="S363" s="308">
        <f>Table24[[#This Row],[C_DEMAND]]-Table24[[#This Row],[R-DEMAND]]</f>
        <v>0</v>
      </c>
      <c r="T363" s="307">
        <f>Table24[[#This Row],[SEATS SOLD]]*Table24[[#This Row],[ECO SEAT]]</f>
        <v>0</v>
      </c>
      <c r="U363" s="307">
        <f>Table24[[#This Row],[SEATS SOLD]]*(IFERROR(VLOOKUP(Table24[[#This Row],[ROUTE]],PRICING!A:C,3,FALSE),0))</f>
        <v>0</v>
      </c>
      <c r="V363" s="307">
        <f>Table24[[#This Row],[SEAT REV]]-Table24[[#This Row],[SEAT REV
(IF IDEAL $)]]</f>
        <v>0</v>
      </c>
    </row>
    <row r="364" spans="1:22" customFormat="1" x14ac:dyDescent="0.25">
      <c r="A364" s="306" t="s">
        <v>17727</v>
      </c>
      <c r="B364" s="306" t="s">
        <v>847</v>
      </c>
      <c r="C364" s="306"/>
      <c r="D364" s="26">
        <v>1</v>
      </c>
      <c r="E364" s="312" t="s">
        <v>83</v>
      </c>
      <c r="F364" s="306" t="str">
        <f>VLOOKUP(Table24[[#This Row],[Country]],Table10[[COUNTRY NAME]:[CONTINENT CODE]],3,FALSE)</f>
        <v>EU</v>
      </c>
      <c r="G364" s="312" t="s">
        <v>10413</v>
      </c>
      <c r="H364" s="309">
        <v>6849</v>
      </c>
      <c r="I364" s="310">
        <v>17.25</v>
      </c>
      <c r="J364" s="307"/>
      <c r="K364" s="307">
        <f>IFERROR(Table24[[#This Row],[ROUTE COST]]/Table24[[#This Row],[O - DEMAND]],0)</f>
        <v>0</v>
      </c>
      <c r="L364" s="306"/>
      <c r="M364" s="310">
        <f>Table24[[#This Row],[O - DEMAND]]/950</f>
        <v>0</v>
      </c>
      <c r="N364" s="306">
        <f>IFERROR(VLOOKUP(Table24[[#This Row],[ROUTE]],DEMAND!A:F,5,FALSE),0)</f>
        <v>0</v>
      </c>
      <c r="O364" s="306">
        <f>IFERROR(VLOOKUP(Table24[[#This Row],[ROUTE]],DEMAND!A:F,6,FALSE),0)</f>
        <v>0</v>
      </c>
      <c r="P364" s="306">
        <f>ROUNDDOWN(Table24[[#This Row],[R-DEMAND]]/950,0)</f>
        <v>0</v>
      </c>
      <c r="Q364" s="306">
        <f>Table24[[#This Row],[ADD ACC
(475/950)]]*Table24[[#This Row],[Duration
(A359)]]</f>
        <v>0</v>
      </c>
      <c r="R364" s="307">
        <f>IFERROR(VLOOKUP(Table24[[#This Row],[ROUTE]],PRICING!A:B,2,FALSE),0)</f>
        <v>0</v>
      </c>
      <c r="S364" s="308">
        <f>Table24[[#This Row],[C_DEMAND]]-Table24[[#This Row],[R-DEMAND]]</f>
        <v>0</v>
      </c>
      <c r="T364" s="307">
        <f>Table24[[#This Row],[SEATS SOLD]]*Table24[[#This Row],[ECO SEAT]]</f>
        <v>0</v>
      </c>
      <c r="U364" s="307">
        <f>Table24[[#This Row],[SEATS SOLD]]*(IFERROR(VLOOKUP(Table24[[#This Row],[ROUTE]],PRICING!A:C,3,FALSE),0))</f>
        <v>0</v>
      </c>
      <c r="V364" s="307">
        <f>Table24[[#This Row],[SEAT REV]]-Table24[[#This Row],[SEAT REV
(IF IDEAL $)]]</f>
        <v>0</v>
      </c>
    </row>
    <row r="365" spans="1:22" customFormat="1" x14ac:dyDescent="0.25">
      <c r="A365" s="306" t="s">
        <v>17587</v>
      </c>
      <c r="B365" s="306" t="s">
        <v>424</v>
      </c>
      <c r="C365" s="306"/>
      <c r="D365" s="26">
        <v>3</v>
      </c>
      <c r="E365" s="312" t="s">
        <v>83</v>
      </c>
      <c r="F365" s="306" t="str">
        <f>VLOOKUP(Table24[[#This Row],[Country]],Table10[[COUNTRY NAME]:[CONTINENT CODE]],3,FALSE)</f>
        <v>EU</v>
      </c>
      <c r="G365" s="312" t="s">
        <v>11700</v>
      </c>
      <c r="H365" s="309">
        <v>6803</v>
      </c>
      <c r="I365" s="310">
        <v>17</v>
      </c>
      <c r="J365" s="307"/>
      <c r="K365" s="307">
        <f>IFERROR(Table24[[#This Row],[ROUTE COST]]/Table24[[#This Row],[O - DEMAND]],0)</f>
        <v>0</v>
      </c>
      <c r="L365" s="306"/>
      <c r="M365" s="310">
        <f>Table24[[#This Row],[O - DEMAND]]/950</f>
        <v>0</v>
      </c>
      <c r="N365" s="306">
        <f>IFERROR(VLOOKUP(Table24[[#This Row],[ROUTE]],DEMAND!A:F,5,FALSE),0)</f>
        <v>0</v>
      </c>
      <c r="O365" s="306">
        <f>IFERROR(VLOOKUP(Table24[[#This Row],[ROUTE]],DEMAND!A:F,6,FALSE),0)</f>
        <v>0</v>
      </c>
      <c r="P365" s="306">
        <f>ROUNDDOWN(Table24[[#This Row],[R-DEMAND]]/950,0)</f>
        <v>0</v>
      </c>
      <c r="Q365" s="306">
        <f>Table24[[#This Row],[ADD ACC
(475/950)]]*Table24[[#This Row],[Duration
(A359)]]</f>
        <v>0</v>
      </c>
      <c r="R365" s="307">
        <f>IFERROR(VLOOKUP(Table24[[#This Row],[ROUTE]],PRICING!A:B,2,FALSE),0)</f>
        <v>0</v>
      </c>
      <c r="S365" s="308">
        <f>Table24[[#This Row],[C_DEMAND]]-Table24[[#This Row],[R-DEMAND]]</f>
        <v>0</v>
      </c>
      <c r="T365" s="307">
        <f>Table24[[#This Row],[SEATS SOLD]]*Table24[[#This Row],[ECO SEAT]]</f>
        <v>0</v>
      </c>
      <c r="U365" s="307">
        <f>Table24[[#This Row],[SEATS SOLD]]*(IFERROR(VLOOKUP(Table24[[#This Row],[ROUTE]],PRICING!A:C,3,FALSE),0))</f>
        <v>0</v>
      </c>
      <c r="V365" s="307">
        <f>Table24[[#This Row],[SEAT REV]]-Table24[[#This Row],[SEAT REV
(IF IDEAL $)]]</f>
        <v>0</v>
      </c>
    </row>
    <row r="366" spans="1:22" customFormat="1" x14ac:dyDescent="0.25">
      <c r="A366" s="306" t="s">
        <v>17695</v>
      </c>
      <c r="B366" s="306" t="s">
        <v>4015</v>
      </c>
      <c r="C366" s="306"/>
      <c r="D366" s="26">
        <v>2</v>
      </c>
      <c r="E366" s="312" t="s">
        <v>83</v>
      </c>
      <c r="F366" s="306" t="str">
        <f>VLOOKUP(Table24[[#This Row],[Country]],Table10[[COUNTRY NAME]:[CONTINENT CODE]],3,FALSE)</f>
        <v>EU</v>
      </c>
      <c r="G366" s="312" t="s">
        <v>16927</v>
      </c>
      <c r="H366" s="309">
        <v>6829</v>
      </c>
      <c r="I366" s="310">
        <v>17</v>
      </c>
      <c r="J366" s="307"/>
      <c r="K366" s="307">
        <f>IFERROR(Table24[[#This Row],[ROUTE COST]]/Table24[[#This Row],[O - DEMAND]],0)</f>
        <v>0</v>
      </c>
      <c r="L366" s="306"/>
      <c r="M366" s="310">
        <f>Table24[[#This Row],[O - DEMAND]]/950</f>
        <v>0</v>
      </c>
      <c r="N366" s="306">
        <f>IFERROR(VLOOKUP(Table24[[#This Row],[ROUTE]],DEMAND!A:F,5,FALSE),0)</f>
        <v>0</v>
      </c>
      <c r="O366" s="306">
        <f>IFERROR(VLOOKUP(Table24[[#This Row],[ROUTE]],DEMAND!A:F,6,FALSE),0)</f>
        <v>0</v>
      </c>
      <c r="P366" s="306">
        <f>ROUNDDOWN(Table24[[#This Row],[R-DEMAND]]/950,0)</f>
        <v>0</v>
      </c>
      <c r="Q366" s="306">
        <f>Table24[[#This Row],[ADD ACC
(475/950)]]*Table24[[#This Row],[Duration
(A359)]]</f>
        <v>0</v>
      </c>
      <c r="R366" s="307">
        <f>IFERROR(VLOOKUP(Table24[[#This Row],[ROUTE]],PRICING!A:B,2,FALSE),0)</f>
        <v>0</v>
      </c>
      <c r="S366" s="308">
        <f>Table24[[#This Row],[C_DEMAND]]-Table24[[#This Row],[R-DEMAND]]</f>
        <v>0</v>
      </c>
      <c r="T366" s="307">
        <f>Table24[[#This Row],[SEATS SOLD]]*Table24[[#This Row],[ECO SEAT]]</f>
        <v>0</v>
      </c>
      <c r="U366" s="307">
        <f>Table24[[#This Row],[SEATS SOLD]]*(IFERROR(VLOOKUP(Table24[[#This Row],[ROUTE]],PRICING!A:C,3,FALSE),0))</f>
        <v>0</v>
      </c>
      <c r="V366" s="307">
        <f>Table24[[#This Row],[SEAT REV]]-Table24[[#This Row],[SEAT REV
(IF IDEAL $)]]</f>
        <v>0</v>
      </c>
    </row>
    <row r="367" spans="1:22" customFormat="1" x14ac:dyDescent="0.25">
      <c r="A367" s="306" t="s">
        <v>17696</v>
      </c>
      <c r="B367" s="306" t="s">
        <v>4030</v>
      </c>
      <c r="C367" s="306"/>
      <c r="D367" s="26">
        <v>2</v>
      </c>
      <c r="E367" s="312" t="s">
        <v>119</v>
      </c>
      <c r="F367" s="306" t="str">
        <f>VLOOKUP(Table24[[#This Row],[Country]],Table10[[COUNTRY NAME]:[CONTINENT CODE]],3,FALSE)</f>
        <v>EU</v>
      </c>
      <c r="G367" s="312" t="s">
        <v>11690</v>
      </c>
      <c r="H367" s="309">
        <v>6794</v>
      </c>
      <c r="I367" s="310">
        <v>17</v>
      </c>
      <c r="J367" s="307"/>
      <c r="K367" s="307">
        <f>IFERROR(Table24[[#This Row],[ROUTE COST]]/Table24[[#This Row],[O - DEMAND]],0)</f>
        <v>0</v>
      </c>
      <c r="L367" s="306"/>
      <c r="M367" s="310">
        <f>Table24[[#This Row],[O - DEMAND]]/950</f>
        <v>0</v>
      </c>
      <c r="N367" s="306">
        <f>IFERROR(VLOOKUP(Table24[[#This Row],[ROUTE]],DEMAND!A:F,5,FALSE),0)</f>
        <v>0</v>
      </c>
      <c r="O367" s="306">
        <f>IFERROR(VLOOKUP(Table24[[#This Row],[ROUTE]],DEMAND!A:F,6,FALSE),0)</f>
        <v>0</v>
      </c>
      <c r="P367" s="306">
        <f>ROUNDDOWN(Table24[[#This Row],[R-DEMAND]]/950,0)</f>
        <v>0</v>
      </c>
      <c r="Q367" s="306">
        <f>Table24[[#This Row],[ADD ACC
(475/950)]]*Table24[[#This Row],[Duration
(A359)]]</f>
        <v>0</v>
      </c>
      <c r="R367" s="307">
        <f>IFERROR(VLOOKUP(Table24[[#This Row],[ROUTE]],PRICING!A:B,2,FALSE),0)</f>
        <v>0</v>
      </c>
      <c r="S367" s="308">
        <f>Table24[[#This Row],[C_DEMAND]]-Table24[[#This Row],[R-DEMAND]]</f>
        <v>0</v>
      </c>
      <c r="T367" s="307">
        <f>Table24[[#This Row],[SEATS SOLD]]*Table24[[#This Row],[ECO SEAT]]</f>
        <v>0</v>
      </c>
      <c r="U367" s="307">
        <f>Table24[[#This Row],[SEATS SOLD]]*(IFERROR(VLOOKUP(Table24[[#This Row],[ROUTE]],PRICING!A:C,3,FALSE),0))</f>
        <v>0</v>
      </c>
      <c r="V367" s="307">
        <f>Table24[[#This Row],[SEAT REV]]-Table24[[#This Row],[SEAT REV
(IF IDEAL $)]]</f>
        <v>0</v>
      </c>
    </row>
    <row r="368" spans="1:22" customFormat="1" x14ac:dyDescent="0.25">
      <c r="A368" s="306" t="s">
        <v>17765</v>
      </c>
      <c r="B368" s="306" t="s">
        <v>3269</v>
      </c>
      <c r="C368" s="306"/>
      <c r="D368" s="26">
        <v>2</v>
      </c>
      <c r="E368" s="312" t="s">
        <v>514</v>
      </c>
      <c r="F368" s="306" t="str">
        <f>VLOOKUP(Table24[[#This Row],[Country]],Table10[[COUNTRY NAME]:[CONTINENT CODE]],3,FALSE)</f>
        <v>NA</v>
      </c>
      <c r="G368" s="312" t="s">
        <v>11695</v>
      </c>
      <c r="H368" s="309">
        <v>6746</v>
      </c>
      <c r="I368" s="310">
        <v>17</v>
      </c>
      <c r="J368" s="307"/>
      <c r="K368" s="307">
        <f>IFERROR(Table24[[#This Row],[ROUTE COST]]/Table24[[#This Row],[O - DEMAND]],0)</f>
        <v>0</v>
      </c>
      <c r="L368" s="306"/>
      <c r="M368" s="310">
        <f>Table24[[#This Row],[O - DEMAND]]/950</f>
        <v>0</v>
      </c>
      <c r="N368" s="306">
        <f>IFERROR(VLOOKUP(Table24[[#This Row],[ROUTE]],DEMAND!A:F,5,FALSE),0)</f>
        <v>0</v>
      </c>
      <c r="O368" s="306">
        <f>IFERROR(VLOOKUP(Table24[[#This Row],[ROUTE]],DEMAND!A:F,6,FALSE),0)</f>
        <v>0</v>
      </c>
      <c r="P368" s="306">
        <f>ROUNDDOWN(Table24[[#This Row],[R-DEMAND]]/950,0)</f>
        <v>0</v>
      </c>
      <c r="Q368" s="306">
        <f>Table24[[#This Row],[ADD ACC
(475/950)]]*Table24[[#This Row],[Duration
(A359)]]</f>
        <v>0</v>
      </c>
      <c r="R368" s="307">
        <f>IFERROR(VLOOKUP(Table24[[#This Row],[ROUTE]],PRICING!A:B,2,FALSE),0)</f>
        <v>0</v>
      </c>
      <c r="S368" s="308">
        <f>Table24[[#This Row],[C_DEMAND]]-Table24[[#This Row],[R-DEMAND]]</f>
        <v>0</v>
      </c>
      <c r="T368" s="307">
        <f>Table24[[#This Row],[SEATS SOLD]]*Table24[[#This Row],[ECO SEAT]]</f>
        <v>0</v>
      </c>
      <c r="U368" s="307">
        <f>Table24[[#This Row],[SEATS SOLD]]*(IFERROR(VLOOKUP(Table24[[#This Row],[ROUTE]],PRICING!A:C,3,FALSE),0))</f>
        <v>0</v>
      </c>
      <c r="V368" s="307">
        <f>Table24[[#This Row],[SEAT REV]]-Table24[[#This Row],[SEAT REV
(IF IDEAL $)]]</f>
        <v>0</v>
      </c>
    </row>
    <row r="369" spans="1:22" customFormat="1" x14ac:dyDescent="0.25">
      <c r="A369" s="306" t="s">
        <v>17697</v>
      </c>
      <c r="B369" s="306" t="s">
        <v>2553</v>
      </c>
      <c r="C369" s="306"/>
      <c r="D369" s="26">
        <v>2</v>
      </c>
      <c r="E369" s="312" t="s">
        <v>119</v>
      </c>
      <c r="F369" s="306" t="str">
        <f>VLOOKUP(Table24[[#This Row],[Country]],Table10[[COUNTRY NAME]:[CONTINENT CODE]],3,FALSE)</f>
        <v>EU</v>
      </c>
      <c r="G369" s="312" t="s">
        <v>11681</v>
      </c>
      <c r="H369" s="309">
        <v>6626</v>
      </c>
      <c r="I369" s="310">
        <v>16.75</v>
      </c>
      <c r="J369" s="307"/>
      <c r="K369" s="307">
        <f>IFERROR(Table24[[#This Row],[ROUTE COST]]/Table24[[#This Row],[O - DEMAND]],0)</f>
        <v>0</v>
      </c>
      <c r="L369" s="306"/>
      <c r="M369" s="310">
        <f>Table24[[#This Row],[O - DEMAND]]/950</f>
        <v>0</v>
      </c>
      <c r="N369" s="306">
        <f>IFERROR(VLOOKUP(Table24[[#This Row],[ROUTE]],DEMAND!A:F,5,FALSE),0)</f>
        <v>0</v>
      </c>
      <c r="O369" s="306">
        <f>IFERROR(VLOOKUP(Table24[[#This Row],[ROUTE]],DEMAND!A:F,6,FALSE),0)</f>
        <v>0</v>
      </c>
      <c r="P369" s="306">
        <f>ROUNDDOWN(Table24[[#This Row],[R-DEMAND]]/950,0)</f>
        <v>0</v>
      </c>
      <c r="Q369" s="306">
        <f>Table24[[#This Row],[ADD ACC
(475/950)]]*Table24[[#This Row],[Duration
(A359)]]</f>
        <v>0</v>
      </c>
      <c r="R369" s="307">
        <f>IFERROR(VLOOKUP(Table24[[#This Row],[ROUTE]],PRICING!A:B,2,FALSE),0)</f>
        <v>0</v>
      </c>
      <c r="S369" s="308">
        <f>Table24[[#This Row],[C_DEMAND]]-Table24[[#This Row],[R-DEMAND]]</f>
        <v>0</v>
      </c>
      <c r="T369" s="307">
        <f>Table24[[#This Row],[SEATS SOLD]]*Table24[[#This Row],[ECO SEAT]]</f>
        <v>0</v>
      </c>
      <c r="U369" s="307">
        <f>Table24[[#This Row],[SEATS SOLD]]*(IFERROR(VLOOKUP(Table24[[#This Row],[ROUTE]],PRICING!A:C,3,FALSE),0))</f>
        <v>0</v>
      </c>
      <c r="V369" s="307">
        <f>Table24[[#This Row],[SEAT REV]]-Table24[[#This Row],[SEAT REV
(IF IDEAL $)]]</f>
        <v>0</v>
      </c>
    </row>
    <row r="370" spans="1:22" customFormat="1" x14ac:dyDescent="0.25">
      <c r="A370" s="306" t="s">
        <v>18030</v>
      </c>
      <c r="B370" s="306" t="s">
        <v>743</v>
      </c>
      <c r="C370" s="306"/>
      <c r="D370" s="26">
        <v>1</v>
      </c>
      <c r="E370" s="312" t="s">
        <v>11669</v>
      </c>
      <c r="F370" s="306" t="str">
        <f>VLOOKUP(Table24[[#This Row],[Country]],Table10[[COUNTRY NAME]:[CONTINENT CODE]],3,FALSE)</f>
        <v>SA</v>
      </c>
      <c r="G370" s="312" t="s">
        <v>16929</v>
      </c>
      <c r="H370" s="309">
        <v>6681</v>
      </c>
      <c r="I370" s="310">
        <v>16.75</v>
      </c>
      <c r="J370" s="307"/>
      <c r="K370" s="307">
        <f>IFERROR(Table24[[#This Row],[ROUTE COST]]/Table24[[#This Row],[O - DEMAND]],0)</f>
        <v>0</v>
      </c>
      <c r="L370" s="306"/>
      <c r="M370" s="310">
        <f>Table24[[#This Row],[O - DEMAND]]/950</f>
        <v>0</v>
      </c>
      <c r="N370" s="306">
        <f>IFERROR(VLOOKUP(Table24[[#This Row],[ROUTE]],DEMAND!A:F,5,FALSE),0)</f>
        <v>0</v>
      </c>
      <c r="O370" s="306">
        <f>IFERROR(VLOOKUP(Table24[[#This Row],[ROUTE]],DEMAND!A:F,6,FALSE),0)</f>
        <v>0</v>
      </c>
      <c r="P370" s="306">
        <f>ROUNDDOWN(Table24[[#This Row],[R-DEMAND]]/950,0)</f>
        <v>0</v>
      </c>
      <c r="Q370" s="306">
        <f>Table24[[#This Row],[ADD ACC
(475/950)]]*Table24[[#This Row],[Duration
(A359)]]</f>
        <v>0</v>
      </c>
      <c r="R370" s="307">
        <f>IFERROR(VLOOKUP(Table24[[#This Row],[ROUTE]],PRICING!A:B,2,FALSE),0)</f>
        <v>0</v>
      </c>
      <c r="S370" s="308">
        <f>Table24[[#This Row],[C_DEMAND]]-Table24[[#This Row],[R-DEMAND]]</f>
        <v>0</v>
      </c>
      <c r="T370" s="307">
        <f>Table24[[#This Row],[SEATS SOLD]]*Table24[[#This Row],[ECO SEAT]]</f>
        <v>0</v>
      </c>
      <c r="U370" s="307">
        <f>Table24[[#This Row],[SEATS SOLD]]*(IFERROR(VLOOKUP(Table24[[#This Row],[ROUTE]],PRICING!A:C,3,FALSE),0))</f>
        <v>0</v>
      </c>
      <c r="V370" s="307">
        <f>Table24[[#This Row],[SEAT REV]]-Table24[[#This Row],[SEAT REV
(IF IDEAL $)]]</f>
        <v>0</v>
      </c>
    </row>
    <row r="371" spans="1:22" customFormat="1" x14ac:dyDescent="0.25">
      <c r="A371" s="306" t="s">
        <v>17980</v>
      </c>
      <c r="B371" s="306" t="s">
        <v>4295</v>
      </c>
      <c r="C371" s="306"/>
      <c r="D371" s="26"/>
      <c r="E371" s="312" t="s">
        <v>11732</v>
      </c>
      <c r="F371" s="306" t="str">
        <f>VLOOKUP(Table24[[#This Row],[Country]],Table10[[COUNTRY NAME]:[CONTINENT CODE]],3,FALSE)</f>
        <v>NA - US</v>
      </c>
      <c r="G371" s="312" t="s">
        <v>16931</v>
      </c>
      <c r="H371" s="309">
        <v>6654</v>
      </c>
      <c r="I371" s="310">
        <v>16.75</v>
      </c>
      <c r="J371" s="307"/>
      <c r="K371" s="307">
        <f>IFERROR(Table24[[#This Row],[ROUTE COST]]/Table24[[#This Row],[O - DEMAND]],0)</f>
        <v>0</v>
      </c>
      <c r="L371" s="306"/>
      <c r="M371" s="310">
        <f>Table24[[#This Row],[O - DEMAND]]/950</f>
        <v>0</v>
      </c>
      <c r="N371" s="306">
        <f>IFERROR(VLOOKUP(Table24[[#This Row],[ROUTE]],DEMAND!A:F,5,FALSE),0)</f>
        <v>0</v>
      </c>
      <c r="O371" s="306">
        <f>IFERROR(VLOOKUP(Table24[[#This Row],[ROUTE]],DEMAND!A:F,6,FALSE),0)</f>
        <v>0</v>
      </c>
      <c r="P371" s="306">
        <f>ROUNDDOWN(Table24[[#This Row],[R-DEMAND]]/950,0)</f>
        <v>0</v>
      </c>
      <c r="Q371" s="306">
        <f>Table24[[#This Row],[ADD ACC
(475/950)]]*Table24[[#This Row],[Duration
(A359)]]</f>
        <v>0</v>
      </c>
      <c r="R371" s="307">
        <f>IFERROR(VLOOKUP(Table24[[#This Row],[ROUTE]],PRICING!A:B,2,FALSE),0)</f>
        <v>0</v>
      </c>
      <c r="S371" s="308">
        <f>Table24[[#This Row],[C_DEMAND]]-Table24[[#This Row],[R-DEMAND]]</f>
        <v>0</v>
      </c>
      <c r="T371" s="307">
        <f>Table24[[#This Row],[SEATS SOLD]]*Table24[[#This Row],[ECO SEAT]]</f>
        <v>0</v>
      </c>
      <c r="U371" s="307">
        <f>Table24[[#This Row],[SEATS SOLD]]*(IFERROR(VLOOKUP(Table24[[#This Row],[ROUTE]],PRICING!A:C,3,FALSE),0))</f>
        <v>0</v>
      </c>
      <c r="V371" s="307">
        <f>Table24[[#This Row],[SEAT REV]]-Table24[[#This Row],[SEAT REV
(IF IDEAL $)]]</f>
        <v>0</v>
      </c>
    </row>
    <row r="372" spans="1:22" customFormat="1" x14ac:dyDescent="0.25">
      <c r="A372" s="306" t="s">
        <v>17107</v>
      </c>
      <c r="B372" s="306" t="s">
        <v>2103</v>
      </c>
      <c r="C372" s="306"/>
      <c r="D372" s="26">
        <v>1</v>
      </c>
      <c r="E372" s="312" t="s">
        <v>493</v>
      </c>
      <c r="F372" s="306" t="str">
        <f>VLOOKUP(Table24[[#This Row],[Country]],Table10[[COUNTRY NAME]:[CONTINENT CODE]],3,FALSE)</f>
        <v>AF</v>
      </c>
      <c r="G372" s="312" t="s">
        <v>7142</v>
      </c>
      <c r="H372" s="309">
        <v>6567</v>
      </c>
      <c r="I372" s="310">
        <v>16.5</v>
      </c>
      <c r="J372" s="307"/>
      <c r="K372" s="307">
        <f>IFERROR(Table24[[#This Row],[ROUTE COST]]/Table24[[#This Row],[O - DEMAND]],0)</f>
        <v>0</v>
      </c>
      <c r="L372" s="306"/>
      <c r="M372" s="310">
        <f>Table24[[#This Row],[O - DEMAND]]/950</f>
        <v>0</v>
      </c>
      <c r="N372" s="306">
        <f>IFERROR(VLOOKUP(Table24[[#This Row],[ROUTE]],DEMAND!A:F,5,FALSE),0)</f>
        <v>0</v>
      </c>
      <c r="O372" s="306">
        <f>IFERROR(VLOOKUP(Table24[[#This Row],[ROUTE]],DEMAND!A:F,6,FALSE),0)</f>
        <v>0</v>
      </c>
      <c r="P372" s="306">
        <f>ROUNDDOWN(Table24[[#This Row],[R-DEMAND]]/950,0)</f>
        <v>0</v>
      </c>
      <c r="Q372" s="306">
        <f>Table24[[#This Row],[ADD ACC
(475/950)]]*Table24[[#This Row],[Duration
(A359)]]</f>
        <v>0</v>
      </c>
      <c r="R372" s="307">
        <f>IFERROR(VLOOKUP(Table24[[#This Row],[ROUTE]],PRICING!A:B,2,FALSE),0)</f>
        <v>0</v>
      </c>
      <c r="S372" s="308">
        <f>Table24[[#This Row],[C_DEMAND]]-Table24[[#This Row],[R-DEMAND]]</f>
        <v>0</v>
      </c>
      <c r="T372" s="307">
        <f>Table24[[#This Row],[SEATS SOLD]]*Table24[[#This Row],[ECO SEAT]]</f>
        <v>0</v>
      </c>
      <c r="U372" s="307">
        <f>Table24[[#This Row],[SEATS SOLD]]*(IFERROR(VLOOKUP(Table24[[#This Row],[ROUTE]],PRICING!A:C,3,FALSE),0))</f>
        <v>0</v>
      </c>
      <c r="V372" s="307">
        <f>Table24[[#This Row],[SEAT REV]]-Table24[[#This Row],[SEAT REV
(IF IDEAL $)]]</f>
        <v>0</v>
      </c>
    </row>
    <row r="373" spans="1:22" customFormat="1" x14ac:dyDescent="0.25">
      <c r="A373" s="306" t="s">
        <v>17146</v>
      </c>
      <c r="B373" s="306" t="s">
        <v>3537</v>
      </c>
      <c r="C373" s="306"/>
      <c r="D373" s="26">
        <v>2</v>
      </c>
      <c r="E373" s="312" t="s">
        <v>3535</v>
      </c>
      <c r="F373" s="306" t="str">
        <f>VLOOKUP(Table24[[#This Row],[Country]],Table10[[COUNTRY NAME]:[CONTINENT CODE]],3,FALSE)</f>
        <v>AF</v>
      </c>
      <c r="G373" s="312" t="s">
        <v>11666</v>
      </c>
      <c r="H373" s="309">
        <v>6383</v>
      </c>
      <c r="I373" s="310">
        <v>16.25</v>
      </c>
      <c r="J373" s="307"/>
      <c r="K373" s="307">
        <f>IFERROR(Table24[[#This Row],[ROUTE COST]]/Table24[[#This Row],[O - DEMAND]],0)</f>
        <v>0</v>
      </c>
      <c r="L373" s="306"/>
      <c r="M373" s="310">
        <f>Table24[[#This Row],[O - DEMAND]]/950</f>
        <v>0</v>
      </c>
      <c r="N373" s="306">
        <f>IFERROR(VLOOKUP(Table24[[#This Row],[ROUTE]],DEMAND!A:F,5,FALSE),0)</f>
        <v>0</v>
      </c>
      <c r="O373" s="306">
        <f>IFERROR(VLOOKUP(Table24[[#This Row],[ROUTE]],DEMAND!A:F,6,FALSE),0)</f>
        <v>0</v>
      </c>
      <c r="P373" s="306">
        <f>ROUNDDOWN(Table24[[#This Row],[R-DEMAND]]/950,0)</f>
        <v>0</v>
      </c>
      <c r="Q373" s="306">
        <f>Table24[[#This Row],[ADD ACC
(475/950)]]*Table24[[#This Row],[Duration
(A359)]]</f>
        <v>0</v>
      </c>
      <c r="R373" s="307">
        <f>IFERROR(VLOOKUP(Table24[[#This Row],[ROUTE]],PRICING!A:B,2,FALSE),0)</f>
        <v>0</v>
      </c>
      <c r="S373" s="308">
        <f>Table24[[#This Row],[C_DEMAND]]-Table24[[#This Row],[R-DEMAND]]</f>
        <v>0</v>
      </c>
      <c r="T373" s="307">
        <f>Table24[[#This Row],[SEATS SOLD]]*Table24[[#This Row],[ECO SEAT]]</f>
        <v>0</v>
      </c>
      <c r="U373" s="307">
        <f>Table24[[#This Row],[SEATS SOLD]]*(IFERROR(VLOOKUP(Table24[[#This Row],[ROUTE]],PRICING!A:C,3,FALSE),0))</f>
        <v>0</v>
      </c>
      <c r="V373" s="307">
        <f>Table24[[#This Row],[SEAT REV]]-Table24[[#This Row],[SEAT REV
(IF IDEAL $)]]</f>
        <v>0</v>
      </c>
    </row>
    <row r="374" spans="1:22" customFormat="1" x14ac:dyDescent="0.25">
      <c r="A374" s="306" t="s">
        <v>17144</v>
      </c>
      <c r="B374" s="306" t="s">
        <v>3726</v>
      </c>
      <c r="C374" s="306"/>
      <c r="D374" s="26">
        <v>2</v>
      </c>
      <c r="E374" s="312" t="s">
        <v>3724</v>
      </c>
      <c r="F374" s="306" t="str">
        <f>VLOOKUP(Table24[[#This Row],[Country]],Table10[[COUNTRY NAME]:[CONTINENT CODE]],3,FALSE)</f>
        <v>AF</v>
      </c>
      <c r="G374" s="312" t="s">
        <v>13205</v>
      </c>
      <c r="H374" s="309">
        <v>5956</v>
      </c>
      <c r="I374" s="310">
        <v>15.25</v>
      </c>
      <c r="J374" s="307"/>
      <c r="K374" s="307">
        <f>IFERROR(Table24[[#This Row],[ROUTE COST]]/Table24[[#This Row],[O - DEMAND]],0)</f>
        <v>0</v>
      </c>
      <c r="L374" s="306"/>
      <c r="M374" s="310">
        <f>Table24[[#This Row],[O - DEMAND]]/950</f>
        <v>0</v>
      </c>
      <c r="N374" s="306">
        <f>IFERROR(VLOOKUP(Table24[[#This Row],[ROUTE]],DEMAND!A:F,5,FALSE),0)</f>
        <v>0</v>
      </c>
      <c r="O374" s="306">
        <f>IFERROR(VLOOKUP(Table24[[#This Row],[ROUTE]],DEMAND!A:F,6,FALSE),0)</f>
        <v>0</v>
      </c>
      <c r="P374" s="306">
        <f>ROUNDDOWN(Table24[[#This Row],[R-DEMAND]]/950,0)</f>
        <v>0</v>
      </c>
      <c r="Q374" s="306">
        <f>Table24[[#This Row],[ADD ACC
(475/950)]]*Table24[[#This Row],[Duration
(A359)]]</f>
        <v>0</v>
      </c>
      <c r="R374" s="307">
        <f>IFERROR(VLOOKUP(Table24[[#This Row],[ROUTE]],PRICING!A:B,2,FALSE),0)</f>
        <v>0</v>
      </c>
      <c r="S374" s="308">
        <f>Table24[[#This Row],[C_DEMAND]]-Table24[[#This Row],[R-DEMAND]]</f>
        <v>0</v>
      </c>
      <c r="T374" s="307">
        <f>Table24[[#This Row],[SEATS SOLD]]*Table24[[#This Row],[ECO SEAT]]</f>
        <v>0</v>
      </c>
      <c r="U374" s="307">
        <f>Table24[[#This Row],[SEATS SOLD]]*(IFERROR(VLOOKUP(Table24[[#This Row],[ROUTE]],PRICING!A:C,3,FALSE),0))</f>
        <v>0</v>
      </c>
      <c r="V374" s="307">
        <f>Table24[[#This Row],[SEAT REV]]-Table24[[#This Row],[SEAT REV
(IF IDEAL $)]]</f>
        <v>0</v>
      </c>
    </row>
    <row r="375" spans="1:22" customFormat="1" x14ac:dyDescent="0.25">
      <c r="A375" s="306" t="s">
        <v>18031</v>
      </c>
      <c r="B375" s="306" t="s">
        <v>851</v>
      </c>
      <c r="C375" s="306"/>
      <c r="D375" s="26">
        <v>1</v>
      </c>
      <c r="E375" s="312" t="s">
        <v>11669</v>
      </c>
      <c r="F375" s="306" t="str">
        <f>VLOOKUP(Table24[[#This Row],[Country]],Table10[[COUNTRY NAME]:[CONTINENT CODE]],3,FALSE)</f>
        <v>SA</v>
      </c>
      <c r="G375" s="312" t="s">
        <v>16936</v>
      </c>
      <c r="H375" s="309">
        <v>6021</v>
      </c>
      <c r="I375" s="310">
        <v>15.25</v>
      </c>
      <c r="J375" s="307"/>
      <c r="K375" s="307">
        <f>IFERROR(Table24[[#This Row],[ROUTE COST]]/Table24[[#This Row],[O - DEMAND]],0)</f>
        <v>0</v>
      </c>
      <c r="L375" s="306"/>
      <c r="M375" s="310">
        <f>Table24[[#This Row],[O - DEMAND]]/950</f>
        <v>0</v>
      </c>
      <c r="N375" s="306">
        <f>IFERROR(VLOOKUP(Table24[[#This Row],[ROUTE]],DEMAND!A:F,5,FALSE),0)</f>
        <v>0</v>
      </c>
      <c r="O375" s="306">
        <f>IFERROR(VLOOKUP(Table24[[#This Row],[ROUTE]],DEMAND!A:F,6,FALSE),0)</f>
        <v>0</v>
      </c>
      <c r="P375" s="306">
        <f>ROUNDDOWN(Table24[[#This Row],[R-DEMAND]]/950,0)</f>
        <v>0</v>
      </c>
      <c r="Q375" s="306">
        <f>Table24[[#This Row],[ADD ACC
(475/950)]]*Table24[[#This Row],[Duration
(A359)]]</f>
        <v>0</v>
      </c>
      <c r="R375" s="307">
        <f>IFERROR(VLOOKUP(Table24[[#This Row],[ROUTE]],PRICING!A:B,2,FALSE),0)</f>
        <v>0</v>
      </c>
      <c r="S375" s="308">
        <f>Table24[[#This Row],[C_DEMAND]]-Table24[[#This Row],[R-DEMAND]]</f>
        <v>0</v>
      </c>
      <c r="T375" s="307">
        <f>Table24[[#This Row],[SEATS SOLD]]*Table24[[#This Row],[ECO SEAT]]</f>
        <v>0</v>
      </c>
      <c r="U375" s="307">
        <f>Table24[[#This Row],[SEATS SOLD]]*(IFERROR(VLOOKUP(Table24[[#This Row],[ROUTE]],PRICING!A:C,3,FALSE),0))</f>
        <v>0</v>
      </c>
      <c r="V375" s="307">
        <f>Table24[[#This Row],[SEAT REV]]-Table24[[#This Row],[SEAT REV
(IF IDEAL $)]]</f>
        <v>0</v>
      </c>
    </row>
    <row r="376" spans="1:22" customFormat="1" x14ac:dyDescent="0.25">
      <c r="A376" s="306" t="s">
        <v>17698</v>
      </c>
      <c r="B376" s="306" t="s">
        <v>2886</v>
      </c>
      <c r="C376" s="306"/>
      <c r="D376" s="26">
        <v>2</v>
      </c>
      <c r="E376" s="312" t="s">
        <v>733</v>
      </c>
      <c r="F376" s="306" t="str">
        <f>VLOOKUP(Table24[[#This Row],[Country]],Table10[[COUNTRY NAME]:[CONTINENT CODE]],3,FALSE)</f>
        <v>EU</v>
      </c>
      <c r="G376" s="312" t="s">
        <v>11665</v>
      </c>
      <c r="H376" s="309">
        <v>5759</v>
      </c>
      <c r="I376" s="310">
        <v>14.75</v>
      </c>
      <c r="J376" s="307"/>
      <c r="K376" s="307">
        <f>IFERROR(Table24[[#This Row],[ROUTE COST]]/Table24[[#This Row],[O - DEMAND]],0)</f>
        <v>0</v>
      </c>
      <c r="L376" s="306"/>
      <c r="M376" s="310">
        <f>Table24[[#This Row],[O - DEMAND]]/950</f>
        <v>0</v>
      </c>
      <c r="N376" s="306">
        <f>IFERROR(VLOOKUP(Table24[[#This Row],[ROUTE]],DEMAND!A:F,5,FALSE),0)</f>
        <v>0</v>
      </c>
      <c r="O376" s="306">
        <f>IFERROR(VLOOKUP(Table24[[#This Row],[ROUTE]],DEMAND!A:F,6,FALSE),0)</f>
        <v>0</v>
      </c>
      <c r="P376" s="306">
        <f>ROUNDDOWN(Table24[[#This Row],[R-DEMAND]]/950,0)</f>
        <v>0</v>
      </c>
      <c r="Q376" s="306">
        <f>Table24[[#This Row],[ADD ACC
(475/950)]]*Table24[[#This Row],[Duration
(A359)]]</f>
        <v>0</v>
      </c>
      <c r="R376" s="307">
        <f>IFERROR(VLOOKUP(Table24[[#This Row],[ROUTE]],PRICING!A:B,2,FALSE),0)</f>
        <v>0</v>
      </c>
      <c r="S376" s="308">
        <f>Table24[[#This Row],[C_DEMAND]]-Table24[[#This Row],[R-DEMAND]]</f>
        <v>0</v>
      </c>
      <c r="T376" s="307">
        <f>Table24[[#This Row],[SEATS SOLD]]*Table24[[#This Row],[ECO SEAT]]</f>
        <v>0</v>
      </c>
      <c r="U376" s="307">
        <f>Table24[[#This Row],[SEATS SOLD]]*(IFERROR(VLOOKUP(Table24[[#This Row],[ROUTE]],PRICING!A:C,3,FALSE),0))</f>
        <v>0</v>
      </c>
      <c r="V376" s="307">
        <f>Table24[[#This Row],[SEAT REV]]-Table24[[#This Row],[SEAT REV
(IF IDEAL $)]]</f>
        <v>0</v>
      </c>
    </row>
    <row r="377" spans="1:22" customFormat="1" x14ac:dyDescent="0.25">
      <c r="A377" s="306" t="s">
        <v>17767</v>
      </c>
      <c r="B377" s="306" t="s">
        <v>3507</v>
      </c>
      <c r="C377" s="306"/>
      <c r="D377" s="26">
        <v>2</v>
      </c>
      <c r="E377" s="312" t="s">
        <v>514</v>
      </c>
      <c r="F377" s="306" t="str">
        <f>VLOOKUP(Table24[[#This Row],[Country]],Table10[[COUNTRY NAME]:[CONTINENT CODE]],3,FALSE)</f>
        <v>NA</v>
      </c>
      <c r="G377" s="312" t="s">
        <v>6041</v>
      </c>
      <c r="H377" s="309">
        <v>5786</v>
      </c>
      <c r="I377" s="310">
        <v>14.75</v>
      </c>
      <c r="J377" s="307"/>
      <c r="K377" s="307">
        <f>IFERROR(Table24[[#This Row],[ROUTE COST]]/Table24[[#This Row],[O - DEMAND]],0)</f>
        <v>0</v>
      </c>
      <c r="L377" s="306"/>
      <c r="M377" s="310">
        <f>Table24[[#This Row],[O - DEMAND]]/950</f>
        <v>0</v>
      </c>
      <c r="N377" s="306">
        <f>IFERROR(VLOOKUP(Table24[[#This Row],[ROUTE]],DEMAND!A:F,5,FALSE),0)</f>
        <v>0</v>
      </c>
      <c r="O377" s="306">
        <f>IFERROR(VLOOKUP(Table24[[#This Row],[ROUTE]],DEMAND!A:F,6,FALSE),0)</f>
        <v>0</v>
      </c>
      <c r="P377" s="306">
        <f>ROUNDDOWN(Table24[[#This Row],[R-DEMAND]]/950,0)</f>
        <v>0</v>
      </c>
      <c r="Q377" s="306">
        <f>Table24[[#This Row],[ADD ACC
(475/950)]]*Table24[[#This Row],[Duration
(A359)]]</f>
        <v>0</v>
      </c>
      <c r="R377" s="307">
        <f>IFERROR(VLOOKUP(Table24[[#This Row],[ROUTE]],PRICING!A:B,2,FALSE),0)</f>
        <v>0</v>
      </c>
      <c r="S377" s="308">
        <f>Table24[[#This Row],[C_DEMAND]]-Table24[[#This Row],[R-DEMAND]]</f>
        <v>0</v>
      </c>
      <c r="T377" s="307">
        <f>Table24[[#This Row],[SEATS SOLD]]*Table24[[#This Row],[ECO SEAT]]</f>
        <v>0</v>
      </c>
      <c r="U377" s="307">
        <f>Table24[[#This Row],[SEATS SOLD]]*(IFERROR(VLOOKUP(Table24[[#This Row],[ROUTE]],PRICING!A:C,3,FALSE),0))</f>
        <v>0</v>
      </c>
      <c r="V377" s="307">
        <f>Table24[[#This Row],[SEAT REV]]-Table24[[#This Row],[SEAT REV
(IF IDEAL $)]]</f>
        <v>0</v>
      </c>
    </row>
    <row r="378" spans="1:22" customFormat="1" x14ac:dyDescent="0.25">
      <c r="A378" s="306" t="s">
        <v>17766</v>
      </c>
      <c r="B378" s="306" t="s">
        <v>3904</v>
      </c>
      <c r="C378" s="306"/>
      <c r="D378" s="26">
        <v>2</v>
      </c>
      <c r="E378" s="312" t="s">
        <v>514</v>
      </c>
      <c r="F378" s="306" t="str">
        <f>VLOOKUP(Table24[[#This Row],[Country]],Table10[[COUNTRY NAME]:[CONTINENT CODE]],3,FALSE)</f>
        <v>NA</v>
      </c>
      <c r="G378" s="312" t="s">
        <v>11671</v>
      </c>
      <c r="H378" s="309">
        <v>5800</v>
      </c>
      <c r="I378" s="310">
        <v>14.75</v>
      </c>
      <c r="J378" s="307"/>
      <c r="K378" s="307">
        <f>IFERROR(Table24[[#This Row],[ROUTE COST]]/Table24[[#This Row],[O - DEMAND]],0)</f>
        <v>0</v>
      </c>
      <c r="L378" s="306"/>
      <c r="M378" s="310">
        <f>Table24[[#This Row],[O - DEMAND]]/950</f>
        <v>0</v>
      </c>
      <c r="N378" s="306">
        <f>IFERROR(VLOOKUP(Table24[[#This Row],[ROUTE]],DEMAND!A:F,5,FALSE),0)</f>
        <v>0</v>
      </c>
      <c r="O378" s="306">
        <f>IFERROR(VLOOKUP(Table24[[#This Row],[ROUTE]],DEMAND!A:F,6,FALSE),0)</f>
        <v>0</v>
      </c>
      <c r="P378" s="306">
        <f>ROUNDDOWN(Table24[[#This Row],[R-DEMAND]]/950,0)</f>
        <v>0</v>
      </c>
      <c r="Q378" s="306">
        <f>Table24[[#This Row],[ADD ACC
(475/950)]]*Table24[[#This Row],[Duration
(A359)]]</f>
        <v>0</v>
      </c>
      <c r="R378" s="307">
        <f>IFERROR(VLOOKUP(Table24[[#This Row],[ROUTE]],PRICING!A:B,2,FALSE),0)</f>
        <v>0</v>
      </c>
      <c r="S378" s="308">
        <f>Table24[[#This Row],[C_DEMAND]]-Table24[[#This Row],[R-DEMAND]]</f>
        <v>0</v>
      </c>
      <c r="T378" s="307">
        <f>Table24[[#This Row],[SEATS SOLD]]*Table24[[#This Row],[ECO SEAT]]</f>
        <v>0</v>
      </c>
      <c r="U378" s="307">
        <f>Table24[[#This Row],[SEATS SOLD]]*(IFERROR(VLOOKUP(Table24[[#This Row],[ROUTE]],PRICING!A:C,3,FALSE),0))</f>
        <v>0</v>
      </c>
      <c r="V378" s="307">
        <f>Table24[[#This Row],[SEAT REV]]-Table24[[#This Row],[SEAT REV
(IF IDEAL $)]]</f>
        <v>0</v>
      </c>
    </row>
    <row r="379" spans="1:22" customFormat="1" x14ac:dyDescent="0.25">
      <c r="A379" s="306" t="s">
        <v>18032</v>
      </c>
      <c r="B379" s="306" t="s">
        <v>1596</v>
      </c>
      <c r="C379" s="306"/>
      <c r="D379" s="26">
        <v>1</v>
      </c>
      <c r="E379" s="312" t="s">
        <v>11669</v>
      </c>
      <c r="F379" s="306" t="str">
        <f>VLOOKUP(Table24[[#This Row],[Country]],Table10[[COUNTRY NAME]:[CONTINENT CODE]],3,FALSE)</f>
        <v>SA</v>
      </c>
      <c r="G379" s="312" t="s">
        <v>13135</v>
      </c>
      <c r="H379" s="309">
        <v>5801</v>
      </c>
      <c r="I379" s="310">
        <v>14.75</v>
      </c>
      <c r="J379" s="307"/>
      <c r="K379" s="307">
        <f>IFERROR(Table24[[#This Row],[ROUTE COST]]/Table24[[#This Row],[O - DEMAND]],0)</f>
        <v>0</v>
      </c>
      <c r="L379" s="306"/>
      <c r="M379" s="310">
        <f>Table24[[#This Row],[O - DEMAND]]/950</f>
        <v>0</v>
      </c>
      <c r="N379" s="306">
        <f>IFERROR(VLOOKUP(Table24[[#This Row],[ROUTE]],DEMAND!A:F,5,FALSE),0)</f>
        <v>0</v>
      </c>
      <c r="O379" s="306">
        <f>IFERROR(VLOOKUP(Table24[[#This Row],[ROUTE]],DEMAND!A:F,6,FALSE),0)</f>
        <v>0</v>
      </c>
      <c r="P379" s="306">
        <f>ROUNDDOWN(Table24[[#This Row],[R-DEMAND]]/950,0)</f>
        <v>0</v>
      </c>
      <c r="Q379" s="306">
        <f>Table24[[#This Row],[ADD ACC
(475/950)]]*Table24[[#This Row],[Duration
(A359)]]</f>
        <v>0</v>
      </c>
      <c r="R379" s="307">
        <f>IFERROR(VLOOKUP(Table24[[#This Row],[ROUTE]],PRICING!A:B,2,FALSE),0)</f>
        <v>0</v>
      </c>
      <c r="S379" s="308">
        <f>Table24[[#This Row],[C_DEMAND]]-Table24[[#This Row],[R-DEMAND]]</f>
        <v>0</v>
      </c>
      <c r="T379" s="307">
        <f>Table24[[#This Row],[SEATS SOLD]]*Table24[[#This Row],[ECO SEAT]]</f>
        <v>0</v>
      </c>
      <c r="U379" s="307">
        <f>Table24[[#This Row],[SEATS SOLD]]*(IFERROR(VLOOKUP(Table24[[#This Row],[ROUTE]],PRICING!A:C,3,FALSE),0))</f>
        <v>0</v>
      </c>
      <c r="V379" s="307">
        <f>Table24[[#This Row],[SEAT REV]]-Table24[[#This Row],[SEAT REV
(IF IDEAL $)]]</f>
        <v>0</v>
      </c>
    </row>
    <row r="380" spans="1:22" customFormat="1" x14ac:dyDescent="0.25">
      <c r="A380" s="306" t="s">
        <v>17768</v>
      </c>
      <c r="B380" s="306" t="s">
        <v>2958</v>
      </c>
      <c r="C380" s="306"/>
      <c r="D380" s="26">
        <v>2</v>
      </c>
      <c r="E380" s="312" t="s">
        <v>600</v>
      </c>
      <c r="F380" s="306" t="str">
        <f>VLOOKUP(Table24[[#This Row],[Country]],Table10[[COUNTRY NAME]:[CONTINENT CODE]],3,FALSE)</f>
        <v>NA</v>
      </c>
      <c r="G380" s="312" t="s">
        <v>11673</v>
      </c>
      <c r="H380" s="309">
        <v>5605</v>
      </c>
      <c r="I380" s="310">
        <v>14.5</v>
      </c>
      <c r="J380" s="307"/>
      <c r="K380" s="307">
        <f>IFERROR(Table24[[#This Row],[ROUTE COST]]/Table24[[#This Row],[O - DEMAND]],0)</f>
        <v>0</v>
      </c>
      <c r="L380" s="306"/>
      <c r="M380" s="310">
        <f>Table24[[#This Row],[O - DEMAND]]/950</f>
        <v>0</v>
      </c>
      <c r="N380" s="306">
        <f>IFERROR(VLOOKUP(Table24[[#This Row],[ROUTE]],DEMAND!A:F,5,FALSE),0)</f>
        <v>0</v>
      </c>
      <c r="O380" s="306">
        <f>IFERROR(VLOOKUP(Table24[[#This Row],[ROUTE]],DEMAND!A:F,6,FALSE),0)</f>
        <v>0</v>
      </c>
      <c r="P380" s="306">
        <f>ROUNDDOWN(Table24[[#This Row],[R-DEMAND]]/950,0)</f>
        <v>0</v>
      </c>
      <c r="Q380" s="306">
        <f>Table24[[#This Row],[ADD ACC
(475/950)]]*Table24[[#This Row],[Duration
(A359)]]</f>
        <v>0</v>
      </c>
      <c r="R380" s="307">
        <f>IFERROR(VLOOKUP(Table24[[#This Row],[ROUTE]],PRICING!A:B,2,FALSE),0)</f>
        <v>0</v>
      </c>
      <c r="S380" s="308">
        <f>Table24[[#This Row],[C_DEMAND]]-Table24[[#This Row],[R-DEMAND]]</f>
        <v>0</v>
      </c>
      <c r="T380" s="307">
        <f>Table24[[#This Row],[SEATS SOLD]]*Table24[[#This Row],[ECO SEAT]]</f>
        <v>0</v>
      </c>
      <c r="U380" s="307">
        <f>Table24[[#This Row],[SEATS SOLD]]*(IFERROR(VLOOKUP(Table24[[#This Row],[ROUTE]],PRICING!A:C,3,FALSE),0))</f>
        <v>0</v>
      </c>
      <c r="V380" s="307">
        <f>Table24[[#This Row],[SEAT REV]]-Table24[[#This Row],[SEAT REV
(IF IDEAL $)]]</f>
        <v>0</v>
      </c>
    </row>
    <row r="381" spans="1:22" customFormat="1" x14ac:dyDescent="0.25">
      <c r="A381" s="306" t="s">
        <v>17769</v>
      </c>
      <c r="B381" s="306" t="s">
        <v>4062</v>
      </c>
      <c r="C381" s="306"/>
      <c r="D381" s="26">
        <v>2</v>
      </c>
      <c r="E381" s="312" t="s">
        <v>514</v>
      </c>
      <c r="F381" s="306" t="str">
        <f>VLOOKUP(Table24[[#This Row],[Country]],Table10[[COUNTRY NAME]:[CONTINENT CODE]],3,FALSE)</f>
        <v>NA</v>
      </c>
      <c r="G381" s="312" t="s">
        <v>11667</v>
      </c>
      <c r="H381" s="309">
        <v>5588</v>
      </c>
      <c r="I381" s="310">
        <v>14.5</v>
      </c>
      <c r="J381" s="307"/>
      <c r="K381" s="307">
        <f>IFERROR(Table24[[#This Row],[ROUTE COST]]/Table24[[#This Row],[O - DEMAND]],0)</f>
        <v>0</v>
      </c>
      <c r="L381" s="306"/>
      <c r="M381" s="310">
        <f>Table24[[#This Row],[O - DEMAND]]/950</f>
        <v>0</v>
      </c>
      <c r="N381" s="306">
        <f>IFERROR(VLOOKUP(Table24[[#This Row],[ROUTE]],DEMAND!A:F,5,FALSE),0)</f>
        <v>0</v>
      </c>
      <c r="O381" s="306">
        <f>IFERROR(VLOOKUP(Table24[[#This Row],[ROUTE]],DEMAND!A:F,6,FALSE),0)</f>
        <v>0</v>
      </c>
      <c r="P381" s="306">
        <f>ROUNDDOWN(Table24[[#This Row],[R-DEMAND]]/950,0)</f>
        <v>0</v>
      </c>
      <c r="Q381" s="306">
        <f>Table24[[#This Row],[ADD ACC
(475/950)]]*Table24[[#This Row],[Duration
(A359)]]</f>
        <v>0</v>
      </c>
      <c r="R381" s="307">
        <f>IFERROR(VLOOKUP(Table24[[#This Row],[ROUTE]],PRICING!A:B,2,FALSE),0)</f>
        <v>0</v>
      </c>
      <c r="S381" s="308">
        <f>Table24[[#This Row],[C_DEMAND]]-Table24[[#This Row],[R-DEMAND]]</f>
        <v>0</v>
      </c>
      <c r="T381" s="307">
        <f>Table24[[#This Row],[SEATS SOLD]]*Table24[[#This Row],[ECO SEAT]]</f>
        <v>0</v>
      </c>
      <c r="U381" s="307">
        <f>Table24[[#This Row],[SEATS SOLD]]*(IFERROR(VLOOKUP(Table24[[#This Row],[ROUTE]],PRICING!A:C,3,FALSE),0))</f>
        <v>0</v>
      </c>
      <c r="V381" s="307">
        <f>Table24[[#This Row],[SEAT REV]]-Table24[[#This Row],[SEAT REV
(IF IDEAL $)]]</f>
        <v>0</v>
      </c>
    </row>
    <row r="382" spans="1:22" customFormat="1" x14ac:dyDescent="0.25">
      <c r="A382" s="306" t="s">
        <v>17952</v>
      </c>
      <c r="B382" s="306" t="s">
        <v>2451</v>
      </c>
      <c r="C382" s="306"/>
      <c r="D382" s="26">
        <v>1</v>
      </c>
      <c r="E382" s="312" t="s">
        <v>11732</v>
      </c>
      <c r="F382" s="306" t="str">
        <f>VLOOKUP(Table24[[#This Row],[Country]],Table10[[COUNTRY NAME]:[CONTINENT CODE]],3,FALSE)</f>
        <v>NA - US</v>
      </c>
      <c r="G382" s="312" t="s">
        <v>13255</v>
      </c>
      <c r="H382" s="309">
        <v>5531</v>
      </c>
      <c r="I382" s="310">
        <v>14.25</v>
      </c>
      <c r="J382" s="307"/>
      <c r="K382" s="307">
        <f>IFERROR(Table24[[#This Row],[ROUTE COST]]/Table24[[#This Row],[O - DEMAND]],0)</f>
        <v>0</v>
      </c>
      <c r="L382" s="306"/>
      <c r="M382" s="310">
        <f>Table24[[#This Row],[O - DEMAND]]/950</f>
        <v>0</v>
      </c>
      <c r="N382" s="306">
        <f>IFERROR(VLOOKUP(Table24[[#This Row],[ROUTE]],DEMAND!A:F,5,FALSE),0)</f>
        <v>0</v>
      </c>
      <c r="O382" s="306">
        <f>IFERROR(VLOOKUP(Table24[[#This Row],[ROUTE]],DEMAND!A:F,6,FALSE),0)</f>
        <v>0</v>
      </c>
      <c r="P382" s="306">
        <f>ROUNDDOWN(Table24[[#This Row],[R-DEMAND]]/950,0)</f>
        <v>0</v>
      </c>
      <c r="Q382" s="306">
        <f>Table24[[#This Row],[ADD ACC
(475/950)]]*Table24[[#This Row],[Duration
(A359)]]</f>
        <v>0</v>
      </c>
      <c r="R382" s="307">
        <f>IFERROR(VLOOKUP(Table24[[#This Row],[ROUTE]],PRICING!A:B,2,FALSE),0)</f>
        <v>0</v>
      </c>
      <c r="S382" s="308">
        <f>Table24[[#This Row],[C_DEMAND]]-Table24[[#This Row],[R-DEMAND]]</f>
        <v>0</v>
      </c>
      <c r="T382" s="307">
        <f>Table24[[#This Row],[SEATS SOLD]]*Table24[[#This Row],[ECO SEAT]]</f>
        <v>0</v>
      </c>
      <c r="U382" s="307">
        <f>Table24[[#This Row],[SEATS SOLD]]*(IFERROR(VLOOKUP(Table24[[#This Row],[ROUTE]],PRICING!A:C,3,FALSE),0))</f>
        <v>0</v>
      </c>
      <c r="V382" s="307">
        <f>Table24[[#This Row],[SEAT REV]]-Table24[[#This Row],[SEAT REV
(IF IDEAL $)]]</f>
        <v>0</v>
      </c>
    </row>
    <row r="383" spans="1:22" customFormat="1" x14ac:dyDescent="0.25">
      <c r="A383" s="306" t="s">
        <v>18033</v>
      </c>
      <c r="B383" s="306" t="s">
        <v>627</v>
      </c>
      <c r="C383" s="306"/>
      <c r="D383" s="26">
        <v>1</v>
      </c>
      <c r="E383" s="312" t="s">
        <v>11669</v>
      </c>
      <c r="F383" s="306" t="str">
        <f>VLOOKUP(Table24[[#This Row],[Country]],Table10[[COUNTRY NAME]:[CONTINENT CODE]],3,FALSE)</f>
        <v>SA</v>
      </c>
      <c r="G383" s="312" t="s">
        <v>7613</v>
      </c>
      <c r="H383" s="309">
        <v>5485</v>
      </c>
      <c r="I383" s="310">
        <v>14.25</v>
      </c>
      <c r="J383" s="307"/>
      <c r="K383" s="307">
        <f>IFERROR(Table24[[#This Row],[ROUTE COST]]/Table24[[#This Row],[O - DEMAND]],0)</f>
        <v>0</v>
      </c>
      <c r="L383" s="306"/>
      <c r="M383" s="310">
        <f>Table24[[#This Row],[O - DEMAND]]/950</f>
        <v>0</v>
      </c>
      <c r="N383" s="306">
        <f>IFERROR(VLOOKUP(Table24[[#This Row],[ROUTE]],DEMAND!A:F,5,FALSE),0)</f>
        <v>0</v>
      </c>
      <c r="O383" s="306">
        <f>IFERROR(VLOOKUP(Table24[[#This Row],[ROUTE]],DEMAND!A:F,6,FALSE),0)</f>
        <v>0</v>
      </c>
      <c r="P383" s="306">
        <f>ROUNDDOWN(Table24[[#This Row],[R-DEMAND]]/950,0)</f>
        <v>0</v>
      </c>
      <c r="Q383" s="306">
        <f>Table24[[#This Row],[ADD ACC
(475/950)]]*Table24[[#This Row],[Duration
(A359)]]</f>
        <v>0</v>
      </c>
      <c r="R383" s="307">
        <f>IFERROR(VLOOKUP(Table24[[#This Row],[ROUTE]],PRICING!A:B,2,FALSE),0)</f>
        <v>0</v>
      </c>
      <c r="S383" s="308">
        <f>Table24[[#This Row],[C_DEMAND]]-Table24[[#This Row],[R-DEMAND]]</f>
        <v>0</v>
      </c>
      <c r="T383" s="307">
        <f>Table24[[#This Row],[SEATS SOLD]]*Table24[[#This Row],[ECO SEAT]]</f>
        <v>0</v>
      </c>
      <c r="U383" s="307">
        <f>Table24[[#This Row],[SEATS SOLD]]*(IFERROR(VLOOKUP(Table24[[#This Row],[ROUTE]],PRICING!A:C,3,FALSE),0))</f>
        <v>0</v>
      </c>
      <c r="V383" s="307">
        <f>Table24[[#This Row],[SEAT REV]]-Table24[[#This Row],[SEAT REV
(IF IDEAL $)]]</f>
        <v>0</v>
      </c>
    </row>
    <row r="384" spans="1:22" customFormat="1" x14ac:dyDescent="0.25">
      <c r="A384" s="306" t="s">
        <v>18034</v>
      </c>
      <c r="B384" s="306" t="s">
        <v>1795</v>
      </c>
      <c r="C384" s="306"/>
      <c r="D384" s="26">
        <v>1</v>
      </c>
      <c r="E384" s="312" t="s">
        <v>11669</v>
      </c>
      <c r="F384" s="306" t="str">
        <f>VLOOKUP(Table24[[#This Row],[Country]],Table10[[COUNTRY NAME]:[CONTINENT CODE]],3,FALSE)</f>
        <v>SA</v>
      </c>
      <c r="G384" s="312" t="s">
        <v>13136</v>
      </c>
      <c r="H384" s="309">
        <v>5367</v>
      </c>
      <c r="I384" s="310">
        <v>14</v>
      </c>
      <c r="J384" s="307"/>
      <c r="K384" s="307">
        <f>IFERROR(Table24[[#This Row],[ROUTE COST]]/Table24[[#This Row],[O - DEMAND]],0)</f>
        <v>0</v>
      </c>
      <c r="L384" s="306"/>
      <c r="M384" s="310">
        <f>Table24[[#This Row],[O - DEMAND]]/950</f>
        <v>0</v>
      </c>
      <c r="N384" s="306">
        <f>IFERROR(VLOOKUP(Table24[[#This Row],[ROUTE]],DEMAND!A:F,5,FALSE),0)</f>
        <v>0</v>
      </c>
      <c r="O384" s="306">
        <f>IFERROR(VLOOKUP(Table24[[#This Row],[ROUTE]],DEMAND!A:F,6,FALSE),0)</f>
        <v>0</v>
      </c>
      <c r="P384" s="306">
        <f>ROUNDDOWN(Table24[[#This Row],[R-DEMAND]]/950,0)</f>
        <v>0</v>
      </c>
      <c r="Q384" s="306">
        <f>Table24[[#This Row],[ADD ACC
(475/950)]]*Table24[[#This Row],[Duration
(A359)]]</f>
        <v>0</v>
      </c>
      <c r="R384" s="307">
        <f>IFERROR(VLOOKUP(Table24[[#This Row],[ROUTE]],PRICING!A:B,2,FALSE),0)</f>
        <v>0</v>
      </c>
      <c r="S384" s="308">
        <f>Table24[[#This Row],[C_DEMAND]]-Table24[[#This Row],[R-DEMAND]]</f>
        <v>0</v>
      </c>
      <c r="T384" s="307">
        <f>Table24[[#This Row],[SEATS SOLD]]*Table24[[#This Row],[ECO SEAT]]</f>
        <v>0</v>
      </c>
      <c r="U384" s="307">
        <f>Table24[[#This Row],[SEATS SOLD]]*(IFERROR(VLOOKUP(Table24[[#This Row],[ROUTE]],PRICING!A:C,3,FALSE),0))</f>
        <v>0</v>
      </c>
      <c r="V384" s="307">
        <f>Table24[[#This Row],[SEAT REV]]-Table24[[#This Row],[SEAT REV
(IF IDEAL $)]]</f>
        <v>0</v>
      </c>
    </row>
    <row r="385" spans="1:22" customFormat="1" x14ac:dyDescent="0.25">
      <c r="A385" s="306" t="s">
        <v>17981</v>
      </c>
      <c r="B385" s="306" t="s">
        <v>4170</v>
      </c>
      <c r="C385" s="306"/>
      <c r="D385" s="26"/>
      <c r="E385" s="312" t="s">
        <v>11732</v>
      </c>
      <c r="F385" s="306" t="str">
        <f>VLOOKUP(Table24[[#This Row],[Country]],Table10[[COUNTRY NAME]:[CONTINENT CODE]],3,FALSE)</f>
        <v>NA - US</v>
      </c>
      <c r="G385" s="312" t="s">
        <v>16939</v>
      </c>
      <c r="H385" s="309">
        <v>5421</v>
      </c>
      <c r="I385" s="310">
        <v>14</v>
      </c>
      <c r="J385" s="307"/>
      <c r="K385" s="307">
        <f>IFERROR(Table24[[#This Row],[ROUTE COST]]/Table24[[#This Row],[O - DEMAND]],0)</f>
        <v>0</v>
      </c>
      <c r="L385" s="306"/>
      <c r="M385" s="310">
        <f>Table24[[#This Row],[O - DEMAND]]/950</f>
        <v>0</v>
      </c>
      <c r="N385" s="306">
        <f>IFERROR(VLOOKUP(Table24[[#This Row],[ROUTE]],DEMAND!A:F,5,FALSE),0)</f>
        <v>0</v>
      </c>
      <c r="O385" s="306">
        <f>IFERROR(VLOOKUP(Table24[[#This Row],[ROUTE]],DEMAND!A:F,6,FALSE),0)</f>
        <v>0</v>
      </c>
      <c r="P385" s="306">
        <f>ROUNDDOWN(Table24[[#This Row],[R-DEMAND]]/950,0)</f>
        <v>0</v>
      </c>
      <c r="Q385" s="306">
        <f>Table24[[#This Row],[ADD ACC
(475/950)]]*Table24[[#This Row],[Duration
(A359)]]</f>
        <v>0</v>
      </c>
      <c r="R385" s="307">
        <f>IFERROR(VLOOKUP(Table24[[#This Row],[ROUTE]],PRICING!A:B,2,FALSE),0)</f>
        <v>0</v>
      </c>
      <c r="S385" s="308">
        <f>Table24[[#This Row],[C_DEMAND]]-Table24[[#This Row],[R-DEMAND]]</f>
        <v>0</v>
      </c>
      <c r="T385" s="307">
        <f>Table24[[#This Row],[SEATS SOLD]]*Table24[[#This Row],[ECO SEAT]]</f>
        <v>0</v>
      </c>
      <c r="U385" s="307">
        <f>Table24[[#This Row],[SEATS SOLD]]*(IFERROR(VLOOKUP(Table24[[#This Row],[ROUTE]],PRICING!A:C,3,FALSE),0))</f>
        <v>0</v>
      </c>
      <c r="V385" s="307">
        <f>Table24[[#This Row],[SEAT REV]]-Table24[[#This Row],[SEAT REV
(IF IDEAL $)]]</f>
        <v>0</v>
      </c>
    </row>
    <row r="386" spans="1:22" customFormat="1" x14ac:dyDescent="0.25">
      <c r="A386" s="306" t="s">
        <v>18025</v>
      </c>
      <c r="B386" s="306" t="s">
        <v>2611</v>
      </c>
      <c r="C386" s="306"/>
      <c r="D386" s="26">
        <v>2</v>
      </c>
      <c r="E386" s="312" t="s">
        <v>11669</v>
      </c>
      <c r="F386" s="306" t="str">
        <f>VLOOKUP(Table24[[#This Row],[Country]],Table10[[COUNTRY NAME]:[CONTINENT CODE]],3,FALSE)</f>
        <v>SA</v>
      </c>
      <c r="G386" s="312" t="s">
        <v>7593</v>
      </c>
      <c r="H386" s="309">
        <v>5314</v>
      </c>
      <c r="I386" s="310">
        <v>13.75</v>
      </c>
      <c r="J386" s="307"/>
      <c r="K386" s="307">
        <f>IFERROR(Table24[[#This Row],[ROUTE COST]]/Table24[[#This Row],[O - DEMAND]],0)</f>
        <v>0</v>
      </c>
      <c r="L386" s="306"/>
      <c r="M386" s="310">
        <f>Table24[[#This Row],[O - DEMAND]]/950</f>
        <v>0</v>
      </c>
      <c r="N386" s="306">
        <f>IFERROR(VLOOKUP(Table24[[#This Row],[ROUTE]],DEMAND!A:F,5,FALSE),0)</f>
        <v>0</v>
      </c>
      <c r="O386" s="306">
        <f>IFERROR(VLOOKUP(Table24[[#This Row],[ROUTE]],DEMAND!A:F,6,FALSE),0)</f>
        <v>0</v>
      </c>
      <c r="P386" s="306">
        <f>ROUNDDOWN(Table24[[#This Row],[R-DEMAND]]/950,0)</f>
        <v>0</v>
      </c>
      <c r="Q386" s="306">
        <f>Table24[[#This Row],[ADD ACC
(475/950)]]*Table24[[#This Row],[Duration
(A359)]]</f>
        <v>0</v>
      </c>
      <c r="R386" s="307">
        <f>IFERROR(VLOOKUP(Table24[[#This Row],[ROUTE]],PRICING!A:B,2,FALSE),0)</f>
        <v>0</v>
      </c>
      <c r="S386" s="308">
        <f>Table24[[#This Row],[C_DEMAND]]-Table24[[#This Row],[R-DEMAND]]</f>
        <v>0</v>
      </c>
      <c r="T386" s="307">
        <f>Table24[[#This Row],[SEATS SOLD]]*Table24[[#This Row],[ECO SEAT]]</f>
        <v>0</v>
      </c>
      <c r="U386" s="307">
        <f>Table24[[#This Row],[SEATS SOLD]]*(IFERROR(VLOOKUP(Table24[[#This Row],[ROUTE]],PRICING!A:C,3,FALSE),0))</f>
        <v>0</v>
      </c>
      <c r="V386" s="307">
        <f>Table24[[#This Row],[SEAT REV]]-Table24[[#This Row],[SEAT REV
(IF IDEAL $)]]</f>
        <v>0</v>
      </c>
    </row>
    <row r="387" spans="1:22" customFormat="1" x14ac:dyDescent="0.25">
      <c r="A387" s="306" t="s">
        <v>17953</v>
      </c>
      <c r="B387" s="306" t="s">
        <v>1924</v>
      </c>
      <c r="C387" s="306"/>
      <c r="D387" s="26">
        <v>1</v>
      </c>
      <c r="E387" s="312" t="s">
        <v>11732</v>
      </c>
      <c r="F387" s="306" t="str">
        <f>VLOOKUP(Table24[[#This Row],[Country]],Table10[[COUNTRY NAME]:[CONTINENT CODE]],3,FALSE)</f>
        <v>NA - US</v>
      </c>
      <c r="G387" s="312" t="s">
        <v>8825</v>
      </c>
      <c r="H387" s="309">
        <v>5324</v>
      </c>
      <c r="I387" s="310">
        <v>13.75</v>
      </c>
      <c r="J387" s="307"/>
      <c r="K387" s="307">
        <f>IFERROR(Table24[[#This Row],[ROUTE COST]]/Table24[[#This Row],[O - DEMAND]],0)</f>
        <v>0</v>
      </c>
      <c r="L387" s="306"/>
      <c r="M387" s="310">
        <f>Table24[[#This Row],[O - DEMAND]]/950</f>
        <v>0</v>
      </c>
      <c r="N387" s="306">
        <f>IFERROR(VLOOKUP(Table24[[#This Row],[ROUTE]],DEMAND!A:F,5,FALSE),0)</f>
        <v>0</v>
      </c>
      <c r="O387" s="306">
        <f>IFERROR(VLOOKUP(Table24[[#This Row],[ROUTE]],DEMAND!A:F,6,FALSE),0)</f>
        <v>0</v>
      </c>
      <c r="P387" s="306">
        <f>ROUNDDOWN(Table24[[#This Row],[R-DEMAND]]/950,0)</f>
        <v>0</v>
      </c>
      <c r="Q387" s="306">
        <f>Table24[[#This Row],[ADD ACC
(475/950)]]*Table24[[#This Row],[Duration
(A359)]]</f>
        <v>0</v>
      </c>
      <c r="R387" s="307">
        <f>IFERROR(VLOOKUP(Table24[[#This Row],[ROUTE]],PRICING!A:B,2,FALSE),0)</f>
        <v>0</v>
      </c>
      <c r="S387" s="308">
        <f>Table24[[#This Row],[C_DEMAND]]-Table24[[#This Row],[R-DEMAND]]</f>
        <v>0</v>
      </c>
      <c r="T387" s="307">
        <f>Table24[[#This Row],[SEATS SOLD]]*Table24[[#This Row],[ECO SEAT]]</f>
        <v>0</v>
      </c>
      <c r="U387" s="307">
        <f>Table24[[#This Row],[SEATS SOLD]]*(IFERROR(VLOOKUP(Table24[[#This Row],[ROUTE]],PRICING!A:C,3,FALSE),0))</f>
        <v>0</v>
      </c>
      <c r="V387" s="307">
        <f>Table24[[#This Row],[SEAT REV]]-Table24[[#This Row],[SEAT REV
(IF IDEAL $)]]</f>
        <v>0</v>
      </c>
    </row>
    <row r="388" spans="1:22" customFormat="1" x14ac:dyDescent="0.25">
      <c r="A388" s="306" t="s">
        <v>18035</v>
      </c>
      <c r="B388" s="306" t="s">
        <v>1828</v>
      </c>
      <c r="C388" s="306"/>
      <c r="D388" s="26">
        <v>1</v>
      </c>
      <c r="E388" s="312" t="s">
        <v>11669</v>
      </c>
      <c r="F388" s="306" t="str">
        <f>VLOOKUP(Table24[[#This Row],[Country]],Table10[[COUNTRY NAME]:[CONTINENT CODE]],3,FALSE)</f>
        <v>SA</v>
      </c>
      <c r="G388" s="312" t="s">
        <v>10204</v>
      </c>
      <c r="H388" s="309">
        <v>5293</v>
      </c>
      <c r="I388" s="310">
        <v>13.75</v>
      </c>
      <c r="J388" s="307"/>
      <c r="K388" s="307">
        <f>IFERROR(Table24[[#This Row],[ROUTE COST]]/Table24[[#This Row],[O - DEMAND]],0)</f>
        <v>0</v>
      </c>
      <c r="L388" s="306"/>
      <c r="M388" s="310">
        <f>Table24[[#This Row],[O - DEMAND]]/950</f>
        <v>0</v>
      </c>
      <c r="N388" s="306">
        <f>IFERROR(VLOOKUP(Table24[[#This Row],[ROUTE]],DEMAND!A:F,5,FALSE),0)</f>
        <v>0</v>
      </c>
      <c r="O388" s="306">
        <f>IFERROR(VLOOKUP(Table24[[#This Row],[ROUTE]],DEMAND!A:F,6,FALSE),0)</f>
        <v>0</v>
      </c>
      <c r="P388" s="306">
        <f>ROUNDDOWN(Table24[[#This Row],[R-DEMAND]]/950,0)</f>
        <v>0</v>
      </c>
      <c r="Q388" s="306">
        <f>Table24[[#This Row],[ADD ACC
(475/950)]]*Table24[[#This Row],[Duration
(A359)]]</f>
        <v>0</v>
      </c>
      <c r="R388" s="307">
        <f>IFERROR(VLOOKUP(Table24[[#This Row],[ROUTE]],PRICING!A:B,2,FALSE),0)</f>
        <v>0</v>
      </c>
      <c r="S388" s="308">
        <f>Table24[[#This Row],[C_DEMAND]]-Table24[[#This Row],[R-DEMAND]]</f>
        <v>0</v>
      </c>
      <c r="T388" s="307">
        <f>Table24[[#This Row],[SEATS SOLD]]*Table24[[#This Row],[ECO SEAT]]</f>
        <v>0</v>
      </c>
      <c r="U388" s="307">
        <f>Table24[[#This Row],[SEATS SOLD]]*(IFERROR(VLOOKUP(Table24[[#This Row],[ROUTE]],PRICING!A:C,3,FALSE),0))</f>
        <v>0</v>
      </c>
      <c r="V388" s="307">
        <f>Table24[[#This Row],[SEAT REV]]-Table24[[#This Row],[SEAT REV
(IF IDEAL $)]]</f>
        <v>0</v>
      </c>
    </row>
    <row r="389" spans="1:22" customFormat="1" x14ac:dyDescent="0.25">
      <c r="A389" s="306" t="s">
        <v>17850</v>
      </c>
      <c r="B389" s="306" t="s">
        <v>5534</v>
      </c>
      <c r="C389" s="306"/>
      <c r="D389" s="26">
        <v>4</v>
      </c>
      <c r="E389" s="312" t="s">
        <v>11732</v>
      </c>
      <c r="F389" s="306" t="str">
        <f>VLOOKUP(Table24[[#This Row],[Country]],Table10[[COUNTRY NAME]:[CONTINENT CODE]],3,FALSE)</f>
        <v>NA - US</v>
      </c>
      <c r="G389" s="312" t="s">
        <v>13260</v>
      </c>
      <c r="H389" s="309">
        <v>5233</v>
      </c>
      <c r="I389" s="310">
        <v>13.5</v>
      </c>
      <c r="J389" s="307"/>
      <c r="K389" s="307">
        <f>IFERROR(Table24[[#This Row],[ROUTE COST]]/Table24[[#This Row],[O - DEMAND]],0)</f>
        <v>0</v>
      </c>
      <c r="L389" s="306"/>
      <c r="M389" s="310">
        <f>Table24[[#This Row],[O - DEMAND]]/950</f>
        <v>0</v>
      </c>
      <c r="N389" s="306">
        <f>IFERROR(VLOOKUP(Table24[[#This Row],[ROUTE]],DEMAND!A:F,5,FALSE),0)</f>
        <v>0</v>
      </c>
      <c r="O389" s="306">
        <f>IFERROR(VLOOKUP(Table24[[#This Row],[ROUTE]],DEMAND!A:F,6,FALSE),0)</f>
        <v>0</v>
      </c>
      <c r="P389" s="306">
        <f>ROUNDDOWN(Table24[[#This Row],[R-DEMAND]]/950,0)</f>
        <v>0</v>
      </c>
      <c r="Q389" s="306">
        <f>Table24[[#This Row],[ADD ACC
(475/950)]]*Table24[[#This Row],[Duration
(A359)]]</f>
        <v>0</v>
      </c>
      <c r="R389" s="307">
        <f>IFERROR(VLOOKUP(Table24[[#This Row],[ROUTE]],PRICING!A:B,2,FALSE),0)</f>
        <v>0</v>
      </c>
      <c r="S389" s="308">
        <f>Table24[[#This Row],[C_DEMAND]]-Table24[[#This Row],[R-DEMAND]]</f>
        <v>0</v>
      </c>
      <c r="T389" s="307">
        <f>Table24[[#This Row],[SEATS SOLD]]*Table24[[#This Row],[ECO SEAT]]</f>
        <v>0</v>
      </c>
      <c r="U389" s="307">
        <f>Table24[[#This Row],[SEATS SOLD]]*(IFERROR(VLOOKUP(Table24[[#This Row],[ROUTE]],PRICING!A:C,3,FALSE),0))</f>
        <v>0</v>
      </c>
      <c r="V389" s="307">
        <f>Table24[[#This Row],[SEAT REV]]-Table24[[#This Row],[SEAT REV
(IF IDEAL $)]]</f>
        <v>0</v>
      </c>
    </row>
    <row r="390" spans="1:22" customFormat="1" x14ac:dyDescent="0.25">
      <c r="A390" s="306" t="s">
        <v>17851</v>
      </c>
      <c r="B390" s="306" t="s">
        <v>5555</v>
      </c>
      <c r="C390" s="306"/>
      <c r="D390" s="26">
        <v>4</v>
      </c>
      <c r="E390" s="312" t="s">
        <v>11732</v>
      </c>
      <c r="F390" s="306" t="str">
        <f>VLOOKUP(Table24[[#This Row],[Country]],Table10[[COUNTRY NAME]:[CONTINENT CODE]],3,FALSE)</f>
        <v>NA - US</v>
      </c>
      <c r="G390" s="312" t="s">
        <v>16941</v>
      </c>
      <c r="H390" s="309">
        <v>5230</v>
      </c>
      <c r="I390" s="310">
        <v>13.5</v>
      </c>
      <c r="J390" s="307"/>
      <c r="K390" s="307">
        <f>IFERROR(Table24[[#This Row],[ROUTE COST]]/Table24[[#This Row],[O - DEMAND]],0)</f>
        <v>0</v>
      </c>
      <c r="L390" s="306"/>
      <c r="M390" s="310">
        <f>Table24[[#This Row],[O - DEMAND]]/950</f>
        <v>0</v>
      </c>
      <c r="N390" s="306">
        <f>IFERROR(VLOOKUP(Table24[[#This Row],[ROUTE]],DEMAND!A:F,5,FALSE),0)</f>
        <v>0</v>
      </c>
      <c r="O390" s="306">
        <f>IFERROR(VLOOKUP(Table24[[#This Row],[ROUTE]],DEMAND!A:F,6,FALSE),0)</f>
        <v>0</v>
      </c>
      <c r="P390" s="306">
        <f>ROUNDDOWN(Table24[[#This Row],[R-DEMAND]]/950,0)</f>
        <v>0</v>
      </c>
      <c r="Q390" s="306">
        <f>Table24[[#This Row],[ADD ACC
(475/950)]]*Table24[[#This Row],[Duration
(A359)]]</f>
        <v>0</v>
      </c>
      <c r="R390" s="307">
        <f>IFERROR(VLOOKUP(Table24[[#This Row],[ROUTE]],PRICING!A:B,2,FALSE),0)</f>
        <v>0</v>
      </c>
      <c r="S390" s="308">
        <f>Table24[[#This Row],[C_DEMAND]]-Table24[[#This Row],[R-DEMAND]]</f>
        <v>0</v>
      </c>
      <c r="T390" s="307">
        <f>Table24[[#This Row],[SEATS SOLD]]*Table24[[#This Row],[ECO SEAT]]</f>
        <v>0</v>
      </c>
      <c r="U390" s="307">
        <f>Table24[[#This Row],[SEATS SOLD]]*(IFERROR(VLOOKUP(Table24[[#This Row],[ROUTE]],PRICING!A:C,3,FALSE),0))</f>
        <v>0</v>
      </c>
      <c r="V390" s="307">
        <f>Table24[[#This Row],[SEAT REV]]-Table24[[#This Row],[SEAT REV
(IF IDEAL $)]]</f>
        <v>0</v>
      </c>
    </row>
    <row r="391" spans="1:22" customFormat="1" x14ac:dyDescent="0.25">
      <c r="A391" s="306" t="s">
        <v>17954</v>
      </c>
      <c r="B391" s="306" t="s">
        <v>2247</v>
      </c>
      <c r="C391" s="306"/>
      <c r="D391" s="26">
        <v>1</v>
      </c>
      <c r="E391" s="312" t="s">
        <v>11732</v>
      </c>
      <c r="F391" s="306" t="str">
        <f>VLOOKUP(Table24[[#This Row],[Country]],Table10[[COUNTRY NAME]:[CONTINENT CODE]],3,FALSE)</f>
        <v>NA - US</v>
      </c>
      <c r="G391" s="312" t="s">
        <v>13261</v>
      </c>
      <c r="H391" s="309">
        <v>5184</v>
      </c>
      <c r="I391" s="310">
        <v>13.5</v>
      </c>
      <c r="J391" s="307"/>
      <c r="K391" s="307">
        <f>IFERROR(Table24[[#This Row],[ROUTE COST]]/Table24[[#This Row],[O - DEMAND]],0)</f>
        <v>0</v>
      </c>
      <c r="L391" s="306"/>
      <c r="M391" s="310">
        <f>Table24[[#This Row],[O - DEMAND]]/950</f>
        <v>0</v>
      </c>
      <c r="N391" s="306">
        <f>IFERROR(VLOOKUP(Table24[[#This Row],[ROUTE]],DEMAND!A:F,5,FALSE),0)</f>
        <v>0</v>
      </c>
      <c r="O391" s="306">
        <f>IFERROR(VLOOKUP(Table24[[#This Row],[ROUTE]],DEMAND!A:F,6,FALSE),0)</f>
        <v>0</v>
      </c>
      <c r="P391" s="306">
        <f>ROUNDDOWN(Table24[[#This Row],[R-DEMAND]]/950,0)</f>
        <v>0</v>
      </c>
      <c r="Q391" s="306">
        <f>Table24[[#This Row],[ADD ACC
(475/950)]]*Table24[[#This Row],[Duration
(A359)]]</f>
        <v>0</v>
      </c>
      <c r="R391" s="307">
        <f>IFERROR(VLOOKUP(Table24[[#This Row],[ROUTE]],PRICING!A:B,2,FALSE),0)</f>
        <v>0</v>
      </c>
      <c r="S391" s="308">
        <f>Table24[[#This Row],[C_DEMAND]]-Table24[[#This Row],[R-DEMAND]]</f>
        <v>0</v>
      </c>
      <c r="T391" s="307">
        <f>Table24[[#This Row],[SEATS SOLD]]*Table24[[#This Row],[ECO SEAT]]</f>
        <v>0</v>
      </c>
      <c r="U391" s="307">
        <f>Table24[[#This Row],[SEATS SOLD]]*(IFERROR(VLOOKUP(Table24[[#This Row],[ROUTE]],PRICING!A:C,3,FALSE),0))</f>
        <v>0</v>
      </c>
      <c r="V391" s="307">
        <f>Table24[[#This Row],[SEAT REV]]-Table24[[#This Row],[SEAT REV
(IF IDEAL $)]]</f>
        <v>0</v>
      </c>
    </row>
    <row r="392" spans="1:22" customFormat="1" x14ac:dyDescent="0.25">
      <c r="A392" s="306" t="s">
        <v>17982</v>
      </c>
      <c r="B392" s="306" t="s">
        <v>5153</v>
      </c>
      <c r="C392" s="306"/>
      <c r="D392" s="26"/>
      <c r="E392" s="312" t="s">
        <v>11732</v>
      </c>
      <c r="F392" s="306" t="str">
        <f>VLOOKUP(Table24[[#This Row],[Country]],Table10[[COUNTRY NAME]:[CONTINENT CODE]],3,FALSE)</f>
        <v>NA - US</v>
      </c>
      <c r="G392" s="312" t="s">
        <v>16942</v>
      </c>
      <c r="H392" s="309">
        <v>5199</v>
      </c>
      <c r="I392" s="310">
        <v>13.5</v>
      </c>
      <c r="J392" s="307"/>
      <c r="K392" s="307">
        <f>IFERROR(Table24[[#This Row],[ROUTE COST]]/Table24[[#This Row],[O - DEMAND]],0)</f>
        <v>0</v>
      </c>
      <c r="L392" s="306"/>
      <c r="M392" s="310">
        <f>Table24[[#This Row],[O - DEMAND]]/950</f>
        <v>0</v>
      </c>
      <c r="N392" s="306">
        <f>IFERROR(VLOOKUP(Table24[[#This Row],[ROUTE]],DEMAND!A:F,5,FALSE),0)</f>
        <v>0</v>
      </c>
      <c r="O392" s="306">
        <f>IFERROR(VLOOKUP(Table24[[#This Row],[ROUTE]],DEMAND!A:F,6,FALSE),0)</f>
        <v>0</v>
      </c>
      <c r="P392" s="306">
        <f>ROUNDDOWN(Table24[[#This Row],[R-DEMAND]]/950,0)</f>
        <v>0</v>
      </c>
      <c r="Q392" s="306">
        <f>Table24[[#This Row],[ADD ACC
(475/950)]]*Table24[[#This Row],[Duration
(A359)]]</f>
        <v>0</v>
      </c>
      <c r="R392" s="307">
        <f>IFERROR(VLOOKUP(Table24[[#This Row],[ROUTE]],PRICING!A:B,2,FALSE),0)</f>
        <v>0</v>
      </c>
      <c r="S392" s="308">
        <f>Table24[[#This Row],[C_DEMAND]]-Table24[[#This Row],[R-DEMAND]]</f>
        <v>0</v>
      </c>
      <c r="T392" s="307">
        <f>Table24[[#This Row],[SEATS SOLD]]*Table24[[#This Row],[ECO SEAT]]</f>
        <v>0</v>
      </c>
      <c r="U392" s="307">
        <f>Table24[[#This Row],[SEATS SOLD]]*(IFERROR(VLOOKUP(Table24[[#This Row],[ROUTE]],PRICING!A:C,3,FALSE),0))</f>
        <v>0</v>
      </c>
      <c r="V392" s="307">
        <f>Table24[[#This Row],[SEAT REV]]-Table24[[#This Row],[SEAT REV
(IF IDEAL $)]]</f>
        <v>0</v>
      </c>
    </row>
    <row r="393" spans="1:22" customFormat="1" x14ac:dyDescent="0.25">
      <c r="A393" s="306" t="s">
        <v>17879</v>
      </c>
      <c r="B393" s="306" t="s">
        <v>4665</v>
      </c>
      <c r="C393" s="306"/>
      <c r="D393" s="26">
        <v>3</v>
      </c>
      <c r="E393" s="312" t="s">
        <v>11732</v>
      </c>
      <c r="F393" s="306" t="str">
        <f>VLOOKUP(Table24[[#This Row],[Country]],Table10[[COUNTRY NAME]:[CONTINENT CODE]],3,FALSE)</f>
        <v>NA - US</v>
      </c>
      <c r="G393" s="312" t="s">
        <v>13266</v>
      </c>
      <c r="H393" s="309">
        <v>5029</v>
      </c>
      <c r="I393" s="310">
        <v>13.25</v>
      </c>
      <c r="J393" s="307"/>
      <c r="K393" s="307">
        <f>IFERROR(Table24[[#This Row],[ROUTE COST]]/Table24[[#This Row],[O - DEMAND]],0)</f>
        <v>0</v>
      </c>
      <c r="L393" s="306"/>
      <c r="M393" s="310">
        <f>Table24[[#This Row],[O - DEMAND]]/950</f>
        <v>0</v>
      </c>
      <c r="N393" s="306">
        <f>IFERROR(VLOOKUP(Table24[[#This Row],[ROUTE]],DEMAND!A:F,5,FALSE),0)</f>
        <v>0</v>
      </c>
      <c r="O393" s="306">
        <f>IFERROR(VLOOKUP(Table24[[#This Row],[ROUTE]],DEMAND!A:F,6,FALSE),0)</f>
        <v>0</v>
      </c>
      <c r="P393" s="306">
        <f>ROUNDDOWN(Table24[[#This Row],[R-DEMAND]]/950,0)</f>
        <v>0</v>
      </c>
      <c r="Q393" s="306">
        <f>Table24[[#This Row],[ADD ACC
(475/950)]]*Table24[[#This Row],[Duration
(A359)]]</f>
        <v>0</v>
      </c>
      <c r="R393" s="307">
        <f>IFERROR(VLOOKUP(Table24[[#This Row],[ROUTE]],PRICING!A:B,2,FALSE),0)</f>
        <v>0</v>
      </c>
      <c r="S393" s="308">
        <f>Table24[[#This Row],[C_DEMAND]]-Table24[[#This Row],[R-DEMAND]]</f>
        <v>0</v>
      </c>
      <c r="T393" s="307">
        <f>Table24[[#This Row],[SEATS SOLD]]*Table24[[#This Row],[ECO SEAT]]</f>
        <v>0</v>
      </c>
      <c r="U393" s="307">
        <f>Table24[[#This Row],[SEATS SOLD]]*(IFERROR(VLOOKUP(Table24[[#This Row],[ROUTE]],PRICING!A:C,3,FALSE),0))</f>
        <v>0</v>
      </c>
      <c r="V393" s="307">
        <f>Table24[[#This Row],[SEAT REV]]-Table24[[#This Row],[SEAT REV
(IF IDEAL $)]]</f>
        <v>0</v>
      </c>
    </row>
    <row r="394" spans="1:22" customFormat="1" x14ac:dyDescent="0.25">
      <c r="A394" s="306" t="s">
        <v>17878</v>
      </c>
      <c r="B394" s="306" t="s">
        <v>5247</v>
      </c>
      <c r="C394" s="306"/>
      <c r="D394" s="26">
        <v>3</v>
      </c>
      <c r="E394" s="312" t="s">
        <v>11732</v>
      </c>
      <c r="F394" s="306" t="str">
        <f>VLOOKUP(Table24[[#This Row],[Country]],Table10[[COUNTRY NAME]:[CONTINENT CODE]],3,FALSE)</f>
        <v>NA - US</v>
      </c>
      <c r="G394" s="312" t="s">
        <v>13263</v>
      </c>
      <c r="H394" s="309">
        <v>5095</v>
      </c>
      <c r="I394" s="310">
        <v>13.25</v>
      </c>
      <c r="J394" s="307"/>
      <c r="K394" s="307">
        <f>IFERROR(Table24[[#This Row],[ROUTE COST]]/Table24[[#This Row],[O - DEMAND]],0)</f>
        <v>0</v>
      </c>
      <c r="L394" s="306"/>
      <c r="M394" s="310">
        <f>Table24[[#This Row],[O - DEMAND]]/950</f>
        <v>0</v>
      </c>
      <c r="N394" s="306">
        <f>IFERROR(VLOOKUP(Table24[[#This Row],[ROUTE]],DEMAND!A:F,5,FALSE),0)</f>
        <v>0</v>
      </c>
      <c r="O394" s="306">
        <f>IFERROR(VLOOKUP(Table24[[#This Row],[ROUTE]],DEMAND!A:F,6,FALSE),0)</f>
        <v>0</v>
      </c>
      <c r="P394" s="306">
        <f>ROUNDDOWN(Table24[[#This Row],[R-DEMAND]]/950,0)</f>
        <v>0</v>
      </c>
      <c r="Q394" s="306">
        <f>Table24[[#This Row],[ADD ACC
(475/950)]]*Table24[[#This Row],[Duration
(A359)]]</f>
        <v>0</v>
      </c>
      <c r="R394" s="307">
        <f>IFERROR(VLOOKUP(Table24[[#This Row],[ROUTE]],PRICING!A:B,2,FALSE),0)</f>
        <v>0</v>
      </c>
      <c r="S394" s="308">
        <f>Table24[[#This Row],[C_DEMAND]]-Table24[[#This Row],[R-DEMAND]]</f>
        <v>0</v>
      </c>
      <c r="T394" s="307">
        <f>Table24[[#This Row],[SEATS SOLD]]*Table24[[#This Row],[ECO SEAT]]</f>
        <v>0</v>
      </c>
      <c r="U394" s="307">
        <f>Table24[[#This Row],[SEATS SOLD]]*(IFERROR(VLOOKUP(Table24[[#This Row],[ROUTE]],PRICING!A:C,3,FALSE),0))</f>
        <v>0</v>
      </c>
      <c r="V394" s="307">
        <f>Table24[[#This Row],[SEAT REV]]-Table24[[#This Row],[SEAT REV
(IF IDEAL $)]]</f>
        <v>0</v>
      </c>
    </row>
    <row r="395" spans="1:22" customFormat="1" x14ac:dyDescent="0.25">
      <c r="A395" s="306" t="s">
        <v>17770</v>
      </c>
      <c r="B395" s="306" t="s">
        <v>3068</v>
      </c>
      <c r="C395" s="306"/>
      <c r="D395" s="26">
        <v>2</v>
      </c>
      <c r="E395" s="312" t="s">
        <v>514</v>
      </c>
      <c r="F395" s="306" t="str">
        <f>VLOOKUP(Table24[[#This Row],[Country]],Table10[[COUNTRY NAME]:[CONTINENT CODE]],3,FALSE)</f>
        <v>NA</v>
      </c>
      <c r="G395" s="312" t="s">
        <v>6184</v>
      </c>
      <c r="H395" s="309">
        <v>5032</v>
      </c>
      <c r="I395" s="310">
        <v>13.25</v>
      </c>
      <c r="J395" s="307"/>
      <c r="K395" s="307">
        <f>IFERROR(Table24[[#This Row],[ROUTE COST]]/Table24[[#This Row],[O - DEMAND]],0)</f>
        <v>0</v>
      </c>
      <c r="L395" s="306"/>
      <c r="M395" s="310">
        <f>Table24[[#This Row],[O - DEMAND]]/950</f>
        <v>0</v>
      </c>
      <c r="N395" s="306">
        <f>IFERROR(VLOOKUP(Table24[[#This Row],[ROUTE]],DEMAND!A:F,5,FALSE),0)</f>
        <v>0</v>
      </c>
      <c r="O395" s="306">
        <f>IFERROR(VLOOKUP(Table24[[#This Row],[ROUTE]],DEMAND!A:F,6,FALSE),0)</f>
        <v>0</v>
      </c>
      <c r="P395" s="306">
        <f>ROUNDDOWN(Table24[[#This Row],[R-DEMAND]]/950,0)</f>
        <v>0</v>
      </c>
      <c r="Q395" s="306">
        <f>Table24[[#This Row],[ADD ACC
(475/950)]]*Table24[[#This Row],[Duration
(A359)]]</f>
        <v>0</v>
      </c>
      <c r="R395" s="307">
        <f>IFERROR(VLOOKUP(Table24[[#This Row],[ROUTE]],PRICING!A:B,2,FALSE),0)</f>
        <v>0</v>
      </c>
      <c r="S395" s="308">
        <f>Table24[[#This Row],[C_DEMAND]]-Table24[[#This Row],[R-DEMAND]]</f>
        <v>0</v>
      </c>
      <c r="T395" s="307">
        <f>Table24[[#This Row],[SEATS SOLD]]*Table24[[#This Row],[ECO SEAT]]</f>
        <v>0</v>
      </c>
      <c r="U395" s="307">
        <f>Table24[[#This Row],[SEATS SOLD]]*(IFERROR(VLOOKUP(Table24[[#This Row],[ROUTE]],PRICING!A:C,3,FALSE),0))</f>
        <v>0</v>
      </c>
      <c r="V395" s="307">
        <f>Table24[[#This Row],[SEAT REV]]-Table24[[#This Row],[SEAT REV
(IF IDEAL $)]]</f>
        <v>0</v>
      </c>
    </row>
    <row r="396" spans="1:22" customFormat="1" x14ac:dyDescent="0.25">
      <c r="A396" s="306" t="s">
        <v>18027</v>
      </c>
      <c r="B396" s="306" t="s">
        <v>3636</v>
      </c>
      <c r="C396" s="306"/>
      <c r="D396" s="26">
        <v>2</v>
      </c>
      <c r="E396" s="312" t="s">
        <v>11669</v>
      </c>
      <c r="F396" s="306" t="str">
        <f>VLOOKUP(Table24[[#This Row],[Country]],Table10[[COUNTRY NAME]:[CONTINENT CODE]],3,FALSE)</f>
        <v>SA</v>
      </c>
      <c r="G396" s="312" t="s">
        <v>13139</v>
      </c>
      <c r="H396" s="309">
        <v>5111</v>
      </c>
      <c r="I396" s="310">
        <v>13.25</v>
      </c>
      <c r="J396" s="307"/>
      <c r="K396" s="307">
        <f>IFERROR(Table24[[#This Row],[ROUTE COST]]/Table24[[#This Row],[O - DEMAND]],0)</f>
        <v>0</v>
      </c>
      <c r="L396" s="306"/>
      <c r="M396" s="310">
        <f>Table24[[#This Row],[O - DEMAND]]/950</f>
        <v>0</v>
      </c>
      <c r="N396" s="306">
        <f>IFERROR(VLOOKUP(Table24[[#This Row],[ROUTE]],DEMAND!A:F,5,FALSE),0)</f>
        <v>0</v>
      </c>
      <c r="O396" s="306">
        <f>IFERROR(VLOOKUP(Table24[[#This Row],[ROUTE]],DEMAND!A:F,6,FALSE),0)</f>
        <v>0</v>
      </c>
      <c r="P396" s="306">
        <f>ROUNDDOWN(Table24[[#This Row],[R-DEMAND]]/950,0)</f>
        <v>0</v>
      </c>
      <c r="Q396" s="306">
        <f>Table24[[#This Row],[ADD ACC
(475/950)]]*Table24[[#This Row],[Duration
(A359)]]</f>
        <v>0</v>
      </c>
      <c r="R396" s="307">
        <f>IFERROR(VLOOKUP(Table24[[#This Row],[ROUTE]],PRICING!A:B,2,FALSE),0)</f>
        <v>0</v>
      </c>
      <c r="S396" s="308">
        <f>Table24[[#This Row],[C_DEMAND]]-Table24[[#This Row],[R-DEMAND]]</f>
        <v>0</v>
      </c>
      <c r="T396" s="307">
        <f>Table24[[#This Row],[SEATS SOLD]]*Table24[[#This Row],[ECO SEAT]]</f>
        <v>0</v>
      </c>
      <c r="U396" s="307">
        <f>Table24[[#This Row],[SEATS SOLD]]*(IFERROR(VLOOKUP(Table24[[#This Row],[ROUTE]],PRICING!A:C,3,FALSE),0))</f>
        <v>0</v>
      </c>
      <c r="V396" s="307">
        <f>Table24[[#This Row],[SEAT REV]]-Table24[[#This Row],[SEAT REV
(IF IDEAL $)]]</f>
        <v>0</v>
      </c>
    </row>
    <row r="397" spans="1:22" customFormat="1" x14ac:dyDescent="0.25">
      <c r="A397" s="306" t="s">
        <v>17880</v>
      </c>
      <c r="B397" s="306" t="s">
        <v>5132</v>
      </c>
      <c r="C397" s="306"/>
      <c r="D397" s="26">
        <v>3</v>
      </c>
      <c r="E397" s="312" t="s">
        <v>11732</v>
      </c>
      <c r="F397" s="306" t="str">
        <f>VLOOKUP(Table24[[#This Row],[Country]],Table10[[COUNTRY NAME]:[CONTINENT CODE]],3,FALSE)</f>
        <v>NA - US</v>
      </c>
      <c r="G397" s="312" t="s">
        <v>13264</v>
      </c>
      <c r="H397" s="309">
        <v>4940</v>
      </c>
      <c r="I397" s="310">
        <v>13</v>
      </c>
      <c r="J397" s="307"/>
      <c r="K397" s="307">
        <f>IFERROR(Table24[[#This Row],[ROUTE COST]]/Table24[[#This Row],[O - DEMAND]],0)</f>
        <v>0</v>
      </c>
      <c r="L397" s="306"/>
      <c r="M397" s="310">
        <f>Table24[[#This Row],[O - DEMAND]]/950</f>
        <v>0</v>
      </c>
      <c r="N397" s="306">
        <f>IFERROR(VLOOKUP(Table24[[#This Row],[ROUTE]],DEMAND!A:F,5,FALSE),0)</f>
        <v>0</v>
      </c>
      <c r="O397" s="306">
        <f>IFERROR(VLOOKUP(Table24[[#This Row],[ROUTE]],DEMAND!A:F,6,FALSE),0)</f>
        <v>0</v>
      </c>
      <c r="P397" s="306">
        <f>ROUNDDOWN(Table24[[#This Row],[R-DEMAND]]/950,0)</f>
        <v>0</v>
      </c>
      <c r="Q397" s="306">
        <f>Table24[[#This Row],[ADD ACC
(475/950)]]*Table24[[#This Row],[Duration
(A359)]]</f>
        <v>0</v>
      </c>
      <c r="R397" s="307">
        <f>IFERROR(VLOOKUP(Table24[[#This Row],[ROUTE]],PRICING!A:B,2,FALSE),0)</f>
        <v>0</v>
      </c>
      <c r="S397" s="308">
        <f>Table24[[#This Row],[C_DEMAND]]-Table24[[#This Row],[R-DEMAND]]</f>
        <v>0</v>
      </c>
      <c r="T397" s="307">
        <f>Table24[[#This Row],[SEATS SOLD]]*Table24[[#This Row],[ECO SEAT]]</f>
        <v>0</v>
      </c>
      <c r="U397" s="307">
        <f>Table24[[#This Row],[SEATS SOLD]]*(IFERROR(VLOOKUP(Table24[[#This Row],[ROUTE]],PRICING!A:C,3,FALSE),0))</f>
        <v>0</v>
      </c>
      <c r="V397" s="307">
        <f>Table24[[#This Row],[SEAT REV]]-Table24[[#This Row],[SEAT REV
(IF IDEAL $)]]</f>
        <v>0</v>
      </c>
    </row>
    <row r="398" spans="1:22" customFormat="1" x14ac:dyDescent="0.25">
      <c r="A398" s="306" t="s">
        <v>17699</v>
      </c>
      <c r="B398" s="306" t="s">
        <v>2686</v>
      </c>
      <c r="C398" s="306"/>
      <c r="D398" s="26">
        <v>2</v>
      </c>
      <c r="E398" s="312" t="s">
        <v>733</v>
      </c>
      <c r="F398" s="306" t="str">
        <f>VLOOKUP(Table24[[#This Row],[Country]],Table10[[COUNTRY NAME]:[CONTINENT CODE]],3,FALSE)</f>
        <v>EU</v>
      </c>
      <c r="G398" s="312" t="s">
        <v>13246</v>
      </c>
      <c r="H398" s="309">
        <v>5006</v>
      </c>
      <c r="I398" s="310">
        <v>13</v>
      </c>
      <c r="J398" s="307"/>
      <c r="K398" s="307">
        <f>IFERROR(Table24[[#This Row],[ROUTE COST]]/Table24[[#This Row],[O - DEMAND]],0)</f>
        <v>0</v>
      </c>
      <c r="L398" s="306"/>
      <c r="M398" s="310">
        <f>Table24[[#This Row],[O - DEMAND]]/950</f>
        <v>0</v>
      </c>
      <c r="N398" s="306">
        <f>IFERROR(VLOOKUP(Table24[[#This Row],[ROUTE]],DEMAND!A:F,5,FALSE),0)</f>
        <v>0</v>
      </c>
      <c r="O398" s="306">
        <f>IFERROR(VLOOKUP(Table24[[#This Row],[ROUTE]],DEMAND!A:F,6,FALSE),0)</f>
        <v>0</v>
      </c>
      <c r="P398" s="306">
        <f>ROUNDDOWN(Table24[[#This Row],[R-DEMAND]]/950,0)</f>
        <v>0</v>
      </c>
      <c r="Q398" s="306">
        <f>Table24[[#This Row],[ADD ACC
(475/950)]]*Table24[[#This Row],[Duration
(A359)]]</f>
        <v>0</v>
      </c>
      <c r="R398" s="307">
        <f>IFERROR(VLOOKUP(Table24[[#This Row],[ROUTE]],PRICING!A:B,2,FALSE),0)</f>
        <v>0</v>
      </c>
      <c r="S398" s="308">
        <f>Table24[[#This Row],[C_DEMAND]]-Table24[[#This Row],[R-DEMAND]]</f>
        <v>0</v>
      </c>
      <c r="T398" s="307">
        <f>Table24[[#This Row],[SEATS SOLD]]*Table24[[#This Row],[ECO SEAT]]</f>
        <v>0</v>
      </c>
      <c r="U398" s="307">
        <f>Table24[[#This Row],[SEATS SOLD]]*(IFERROR(VLOOKUP(Table24[[#This Row],[ROUTE]],PRICING!A:C,3,FALSE),0))</f>
        <v>0</v>
      </c>
      <c r="V398" s="307">
        <f>Table24[[#This Row],[SEAT REV]]-Table24[[#This Row],[SEAT REV
(IF IDEAL $)]]</f>
        <v>0</v>
      </c>
    </row>
    <row r="399" spans="1:22" customFormat="1" x14ac:dyDescent="0.25">
      <c r="A399" s="306" t="s">
        <v>17911</v>
      </c>
      <c r="B399" s="306" t="s">
        <v>3337</v>
      </c>
      <c r="C399" s="306"/>
      <c r="D399" s="26">
        <v>2</v>
      </c>
      <c r="E399" s="312" t="s">
        <v>11732</v>
      </c>
      <c r="F399" s="306" t="str">
        <f>VLOOKUP(Table24[[#This Row],[Country]],Table10[[COUNTRY NAME]:[CONTINENT CODE]],3,FALSE)</f>
        <v>NA - US</v>
      </c>
      <c r="G399" s="312" t="s">
        <v>13267</v>
      </c>
      <c r="H399" s="309">
        <v>4944</v>
      </c>
      <c r="I399" s="310">
        <v>13</v>
      </c>
      <c r="J399" s="307"/>
      <c r="K399" s="307">
        <f>IFERROR(Table24[[#This Row],[ROUTE COST]]/Table24[[#This Row],[O - DEMAND]],0)</f>
        <v>0</v>
      </c>
      <c r="L399" s="306"/>
      <c r="M399" s="310">
        <f>Table24[[#This Row],[O - DEMAND]]/950</f>
        <v>0</v>
      </c>
      <c r="N399" s="306">
        <f>IFERROR(VLOOKUP(Table24[[#This Row],[ROUTE]],DEMAND!A:F,5,FALSE),0)</f>
        <v>0</v>
      </c>
      <c r="O399" s="306">
        <f>IFERROR(VLOOKUP(Table24[[#This Row],[ROUTE]],DEMAND!A:F,6,FALSE),0)</f>
        <v>0</v>
      </c>
      <c r="P399" s="306">
        <f>ROUNDDOWN(Table24[[#This Row],[R-DEMAND]]/950,0)</f>
        <v>0</v>
      </c>
      <c r="Q399" s="306">
        <f>Table24[[#This Row],[ADD ACC
(475/950)]]*Table24[[#This Row],[Duration
(A359)]]</f>
        <v>0</v>
      </c>
      <c r="R399" s="307">
        <f>IFERROR(VLOOKUP(Table24[[#This Row],[ROUTE]],PRICING!A:B,2,FALSE),0)</f>
        <v>0</v>
      </c>
      <c r="S399" s="308">
        <f>Table24[[#This Row],[C_DEMAND]]-Table24[[#This Row],[R-DEMAND]]</f>
        <v>0</v>
      </c>
      <c r="T399" s="307">
        <f>Table24[[#This Row],[SEATS SOLD]]*Table24[[#This Row],[ECO SEAT]]</f>
        <v>0</v>
      </c>
      <c r="U399" s="307">
        <f>Table24[[#This Row],[SEATS SOLD]]*(IFERROR(VLOOKUP(Table24[[#This Row],[ROUTE]],PRICING!A:C,3,FALSE),0))</f>
        <v>0</v>
      </c>
      <c r="V399" s="307">
        <f>Table24[[#This Row],[SEAT REV]]-Table24[[#This Row],[SEAT REV
(IF IDEAL $)]]</f>
        <v>0</v>
      </c>
    </row>
    <row r="400" spans="1:22" customFormat="1" x14ac:dyDescent="0.25">
      <c r="A400" s="306" t="s">
        <v>17912</v>
      </c>
      <c r="B400" s="306" t="s">
        <v>4158</v>
      </c>
      <c r="C400" s="306"/>
      <c r="D400" s="26">
        <v>2</v>
      </c>
      <c r="E400" s="312" t="s">
        <v>11732</v>
      </c>
      <c r="F400" s="306" t="str">
        <f>VLOOKUP(Table24[[#This Row],[Country]],Table10[[COUNTRY NAME]:[CONTINENT CODE]],3,FALSE)</f>
        <v>NA - US</v>
      </c>
      <c r="G400" s="312" t="s">
        <v>13262</v>
      </c>
      <c r="H400" s="309">
        <v>4930</v>
      </c>
      <c r="I400" s="310">
        <v>13</v>
      </c>
      <c r="J400" s="307"/>
      <c r="K400" s="307">
        <f>IFERROR(Table24[[#This Row],[ROUTE COST]]/Table24[[#This Row],[O - DEMAND]],0)</f>
        <v>0</v>
      </c>
      <c r="L400" s="306"/>
      <c r="M400" s="310">
        <f>Table24[[#This Row],[O - DEMAND]]/950</f>
        <v>0</v>
      </c>
      <c r="N400" s="306">
        <f>IFERROR(VLOOKUP(Table24[[#This Row],[ROUTE]],DEMAND!A:F,5,FALSE),0)</f>
        <v>0</v>
      </c>
      <c r="O400" s="306">
        <f>IFERROR(VLOOKUP(Table24[[#This Row],[ROUTE]],DEMAND!A:F,6,FALSE),0)</f>
        <v>0</v>
      </c>
      <c r="P400" s="306">
        <f>ROUNDDOWN(Table24[[#This Row],[R-DEMAND]]/950,0)</f>
        <v>0</v>
      </c>
      <c r="Q400" s="306">
        <f>Table24[[#This Row],[ADD ACC
(475/950)]]*Table24[[#This Row],[Duration
(A359)]]</f>
        <v>0</v>
      </c>
      <c r="R400" s="307">
        <f>IFERROR(VLOOKUP(Table24[[#This Row],[ROUTE]],PRICING!A:B,2,FALSE),0)</f>
        <v>0</v>
      </c>
      <c r="S400" s="308">
        <f>Table24[[#This Row],[C_DEMAND]]-Table24[[#This Row],[R-DEMAND]]</f>
        <v>0</v>
      </c>
      <c r="T400" s="307">
        <f>Table24[[#This Row],[SEATS SOLD]]*Table24[[#This Row],[ECO SEAT]]</f>
        <v>0</v>
      </c>
      <c r="U400" s="307">
        <f>Table24[[#This Row],[SEATS SOLD]]*(IFERROR(VLOOKUP(Table24[[#This Row],[ROUTE]],PRICING!A:C,3,FALSE),0))</f>
        <v>0</v>
      </c>
      <c r="V400" s="307">
        <f>Table24[[#This Row],[SEAT REV]]-Table24[[#This Row],[SEAT REV
(IF IDEAL $)]]</f>
        <v>0</v>
      </c>
    </row>
    <row r="401" spans="1:22" customFormat="1" x14ac:dyDescent="0.25">
      <c r="A401" s="306" t="s">
        <v>17983</v>
      </c>
      <c r="B401" s="306" t="s">
        <v>3747</v>
      </c>
      <c r="C401" s="306"/>
      <c r="D401" s="26"/>
      <c r="E401" s="312" t="s">
        <v>11732</v>
      </c>
      <c r="F401" s="306" t="str">
        <f>VLOOKUP(Table24[[#This Row],[Country]],Table10[[COUNTRY NAME]:[CONTINENT CODE]],3,FALSE)</f>
        <v>NA - US</v>
      </c>
      <c r="G401" s="312" t="s">
        <v>16944</v>
      </c>
      <c r="H401" s="309">
        <v>5008</v>
      </c>
      <c r="I401" s="310">
        <v>13</v>
      </c>
      <c r="J401" s="307"/>
      <c r="K401" s="307">
        <f>IFERROR(Table24[[#This Row],[ROUTE COST]]/Table24[[#This Row],[O - DEMAND]],0)</f>
        <v>0</v>
      </c>
      <c r="L401" s="306"/>
      <c r="M401" s="310">
        <f>Table24[[#This Row],[O - DEMAND]]/950</f>
        <v>0</v>
      </c>
      <c r="N401" s="306">
        <f>IFERROR(VLOOKUP(Table24[[#This Row],[ROUTE]],DEMAND!A:F,5,FALSE),0)</f>
        <v>0</v>
      </c>
      <c r="O401" s="306">
        <f>IFERROR(VLOOKUP(Table24[[#This Row],[ROUTE]],DEMAND!A:F,6,FALSE),0)</f>
        <v>0</v>
      </c>
      <c r="P401" s="306">
        <f>ROUNDDOWN(Table24[[#This Row],[R-DEMAND]]/950,0)</f>
        <v>0</v>
      </c>
      <c r="Q401" s="306">
        <f>Table24[[#This Row],[ADD ACC
(475/950)]]*Table24[[#This Row],[Duration
(A359)]]</f>
        <v>0</v>
      </c>
      <c r="R401" s="307">
        <f>IFERROR(VLOOKUP(Table24[[#This Row],[ROUTE]],PRICING!A:B,2,FALSE),0)</f>
        <v>0</v>
      </c>
      <c r="S401" s="308">
        <f>Table24[[#This Row],[C_DEMAND]]-Table24[[#This Row],[R-DEMAND]]</f>
        <v>0</v>
      </c>
      <c r="T401" s="307">
        <f>Table24[[#This Row],[SEATS SOLD]]*Table24[[#This Row],[ECO SEAT]]</f>
        <v>0</v>
      </c>
      <c r="U401" s="307">
        <f>Table24[[#This Row],[SEATS SOLD]]*(IFERROR(VLOOKUP(Table24[[#This Row],[ROUTE]],PRICING!A:C,3,FALSE),0))</f>
        <v>0</v>
      </c>
      <c r="V401" s="307">
        <f>Table24[[#This Row],[SEAT REV]]-Table24[[#This Row],[SEAT REV
(IF IDEAL $)]]</f>
        <v>0</v>
      </c>
    </row>
    <row r="402" spans="1:22" customFormat="1" x14ac:dyDescent="0.25">
      <c r="A402" s="306" t="s">
        <v>17882</v>
      </c>
      <c r="B402" s="306" t="s">
        <v>5341</v>
      </c>
      <c r="C402" s="306"/>
      <c r="D402" s="26">
        <v>3</v>
      </c>
      <c r="E402" s="312" t="s">
        <v>11732</v>
      </c>
      <c r="F402" s="306" t="str">
        <f>VLOOKUP(Table24[[#This Row],[Country]],Table10[[COUNTRY NAME]:[CONTINENT CODE]],3,FALSE)</f>
        <v>NA - US</v>
      </c>
      <c r="G402" s="312" t="s">
        <v>13272</v>
      </c>
      <c r="H402" s="309">
        <v>4788</v>
      </c>
      <c r="I402" s="310">
        <v>12.75</v>
      </c>
      <c r="J402" s="307"/>
      <c r="K402" s="307">
        <f>IFERROR(Table24[[#This Row],[ROUTE COST]]/Table24[[#This Row],[O - DEMAND]],0)</f>
        <v>0</v>
      </c>
      <c r="L402" s="306"/>
      <c r="M402" s="310">
        <f>Table24[[#This Row],[O - DEMAND]]/950</f>
        <v>0</v>
      </c>
      <c r="N402" s="306">
        <f>IFERROR(VLOOKUP(Table24[[#This Row],[ROUTE]],DEMAND!A:F,5,FALSE),0)</f>
        <v>0</v>
      </c>
      <c r="O402" s="306">
        <f>IFERROR(VLOOKUP(Table24[[#This Row],[ROUTE]],DEMAND!A:F,6,FALSE),0)</f>
        <v>0</v>
      </c>
      <c r="P402" s="306">
        <f>ROUNDDOWN(Table24[[#This Row],[R-DEMAND]]/950,0)</f>
        <v>0</v>
      </c>
      <c r="Q402" s="306">
        <f>Table24[[#This Row],[ADD ACC
(475/950)]]*Table24[[#This Row],[Duration
(A359)]]</f>
        <v>0</v>
      </c>
      <c r="R402" s="307">
        <f>IFERROR(VLOOKUP(Table24[[#This Row],[ROUTE]],PRICING!A:B,2,FALSE),0)</f>
        <v>0</v>
      </c>
      <c r="S402" s="308">
        <f>Table24[[#This Row],[C_DEMAND]]-Table24[[#This Row],[R-DEMAND]]</f>
        <v>0</v>
      </c>
      <c r="T402" s="307">
        <f>Table24[[#This Row],[SEATS SOLD]]*Table24[[#This Row],[ECO SEAT]]</f>
        <v>0</v>
      </c>
      <c r="U402" s="307">
        <f>Table24[[#This Row],[SEATS SOLD]]*(IFERROR(VLOOKUP(Table24[[#This Row],[ROUTE]],PRICING!A:C,3,FALSE),0))</f>
        <v>0</v>
      </c>
      <c r="V402" s="307">
        <f>Table24[[#This Row],[SEAT REV]]-Table24[[#This Row],[SEAT REV
(IF IDEAL $)]]</f>
        <v>0</v>
      </c>
    </row>
    <row r="403" spans="1:22" customFormat="1" x14ac:dyDescent="0.25">
      <c r="A403" s="306" t="s">
        <v>17772</v>
      </c>
      <c r="B403" s="306" t="s">
        <v>4594</v>
      </c>
      <c r="C403" s="306"/>
      <c r="D403" s="26">
        <v>2</v>
      </c>
      <c r="E403" s="312" t="s">
        <v>514</v>
      </c>
      <c r="F403" s="306" t="str">
        <f>VLOOKUP(Table24[[#This Row],[Country]],Table10[[COUNTRY NAME]:[CONTINENT CODE]],3,FALSE)</f>
        <v>NA</v>
      </c>
      <c r="G403" s="312" t="s">
        <v>16947</v>
      </c>
      <c r="H403" s="309">
        <v>4783</v>
      </c>
      <c r="I403" s="310">
        <v>12.75</v>
      </c>
      <c r="J403" s="307"/>
      <c r="K403" s="307">
        <f>IFERROR(Table24[[#This Row],[ROUTE COST]]/Table24[[#This Row],[O - DEMAND]],0)</f>
        <v>0</v>
      </c>
      <c r="L403" s="306"/>
      <c r="M403" s="310">
        <f>Table24[[#This Row],[O - DEMAND]]/950</f>
        <v>0</v>
      </c>
      <c r="N403" s="306">
        <f>IFERROR(VLOOKUP(Table24[[#This Row],[ROUTE]],DEMAND!A:F,5,FALSE),0)</f>
        <v>0</v>
      </c>
      <c r="O403" s="306">
        <f>IFERROR(VLOOKUP(Table24[[#This Row],[ROUTE]],DEMAND!A:F,6,FALSE),0)</f>
        <v>0</v>
      </c>
      <c r="P403" s="306">
        <f>ROUNDDOWN(Table24[[#This Row],[R-DEMAND]]/950,0)</f>
        <v>0</v>
      </c>
      <c r="Q403" s="306">
        <f>Table24[[#This Row],[ADD ACC
(475/950)]]*Table24[[#This Row],[Duration
(A359)]]</f>
        <v>0</v>
      </c>
      <c r="R403" s="307">
        <f>IFERROR(VLOOKUP(Table24[[#This Row],[ROUTE]],PRICING!A:B,2,FALSE),0)</f>
        <v>0</v>
      </c>
      <c r="S403" s="308">
        <f>Table24[[#This Row],[C_DEMAND]]-Table24[[#This Row],[R-DEMAND]]</f>
        <v>0</v>
      </c>
      <c r="T403" s="307">
        <f>Table24[[#This Row],[SEATS SOLD]]*Table24[[#This Row],[ECO SEAT]]</f>
        <v>0</v>
      </c>
      <c r="U403" s="307">
        <f>Table24[[#This Row],[SEATS SOLD]]*(IFERROR(VLOOKUP(Table24[[#This Row],[ROUTE]],PRICING!A:C,3,FALSE),0))</f>
        <v>0</v>
      </c>
      <c r="V403" s="307">
        <f>Table24[[#This Row],[SEAT REV]]-Table24[[#This Row],[SEAT REV
(IF IDEAL $)]]</f>
        <v>0</v>
      </c>
    </row>
    <row r="404" spans="1:22" customFormat="1" x14ac:dyDescent="0.25">
      <c r="A404" s="306" t="s">
        <v>17771</v>
      </c>
      <c r="B404" s="306" t="s">
        <v>2759</v>
      </c>
      <c r="C404" s="306"/>
      <c r="D404" s="26">
        <v>2</v>
      </c>
      <c r="E404" s="312" t="s">
        <v>514</v>
      </c>
      <c r="F404" s="306" t="str">
        <f>VLOOKUP(Table24[[#This Row],[Country]],Table10[[COUNTRY NAME]:[CONTINENT CODE]],3,FALSE)</f>
        <v>NA</v>
      </c>
      <c r="G404" s="312" t="s">
        <v>13165</v>
      </c>
      <c r="H404" s="309">
        <v>4803</v>
      </c>
      <c r="I404" s="310">
        <v>12.75</v>
      </c>
      <c r="J404" s="307"/>
      <c r="K404" s="307">
        <f>IFERROR(Table24[[#This Row],[ROUTE COST]]/Table24[[#This Row],[O - DEMAND]],0)</f>
        <v>0</v>
      </c>
      <c r="L404" s="306"/>
      <c r="M404" s="310">
        <f>Table24[[#This Row],[O - DEMAND]]/950</f>
        <v>0</v>
      </c>
      <c r="N404" s="306">
        <f>IFERROR(VLOOKUP(Table24[[#This Row],[ROUTE]],DEMAND!A:F,5,FALSE),0)</f>
        <v>0</v>
      </c>
      <c r="O404" s="306">
        <f>IFERROR(VLOOKUP(Table24[[#This Row],[ROUTE]],DEMAND!A:F,6,FALSE),0)</f>
        <v>0</v>
      </c>
      <c r="P404" s="306">
        <f>ROUNDDOWN(Table24[[#This Row],[R-DEMAND]]/950,0)</f>
        <v>0</v>
      </c>
      <c r="Q404" s="306">
        <f>Table24[[#This Row],[ADD ACC
(475/950)]]*Table24[[#This Row],[Duration
(A359)]]</f>
        <v>0</v>
      </c>
      <c r="R404" s="307">
        <f>IFERROR(VLOOKUP(Table24[[#This Row],[ROUTE]],PRICING!A:B,2,FALSE),0)</f>
        <v>0</v>
      </c>
      <c r="S404" s="308">
        <f>Table24[[#This Row],[C_DEMAND]]-Table24[[#This Row],[R-DEMAND]]</f>
        <v>0</v>
      </c>
      <c r="T404" s="307">
        <f>Table24[[#This Row],[SEATS SOLD]]*Table24[[#This Row],[ECO SEAT]]</f>
        <v>0</v>
      </c>
      <c r="U404" s="307">
        <f>Table24[[#This Row],[SEATS SOLD]]*(IFERROR(VLOOKUP(Table24[[#This Row],[ROUTE]],PRICING!A:C,3,FALSE),0))</f>
        <v>0</v>
      </c>
      <c r="V404" s="307">
        <f>Table24[[#This Row],[SEAT REV]]-Table24[[#This Row],[SEAT REV
(IF IDEAL $)]]</f>
        <v>0</v>
      </c>
    </row>
    <row r="405" spans="1:22" customFormat="1" x14ac:dyDescent="0.25">
      <c r="A405" s="306" t="s">
        <v>18028</v>
      </c>
      <c r="B405" s="306" t="s">
        <v>4017</v>
      </c>
      <c r="C405" s="306"/>
      <c r="D405" s="26">
        <v>2</v>
      </c>
      <c r="E405" s="312" t="s">
        <v>11669</v>
      </c>
      <c r="F405" s="306" t="str">
        <f>VLOOKUP(Table24[[#This Row],[Country]],Table10[[COUNTRY NAME]:[CONTINENT CODE]],3,FALSE)</f>
        <v>SA</v>
      </c>
      <c r="G405" s="312" t="s">
        <v>13138</v>
      </c>
      <c r="H405" s="309">
        <v>4886</v>
      </c>
      <c r="I405" s="310">
        <v>12.75</v>
      </c>
      <c r="J405" s="307"/>
      <c r="K405" s="307">
        <f>IFERROR(Table24[[#This Row],[ROUTE COST]]/Table24[[#This Row],[O - DEMAND]],0)</f>
        <v>0</v>
      </c>
      <c r="L405" s="306"/>
      <c r="M405" s="310">
        <f>Table24[[#This Row],[O - DEMAND]]/950</f>
        <v>0</v>
      </c>
      <c r="N405" s="306">
        <f>IFERROR(VLOOKUP(Table24[[#This Row],[ROUTE]],DEMAND!A:F,5,FALSE),0)</f>
        <v>0</v>
      </c>
      <c r="O405" s="306">
        <f>IFERROR(VLOOKUP(Table24[[#This Row],[ROUTE]],DEMAND!A:F,6,FALSE),0)</f>
        <v>0</v>
      </c>
      <c r="P405" s="306">
        <f>ROUNDDOWN(Table24[[#This Row],[R-DEMAND]]/950,0)</f>
        <v>0</v>
      </c>
      <c r="Q405" s="306">
        <f>Table24[[#This Row],[ADD ACC
(475/950)]]*Table24[[#This Row],[Duration
(A359)]]</f>
        <v>0</v>
      </c>
      <c r="R405" s="307">
        <f>IFERROR(VLOOKUP(Table24[[#This Row],[ROUTE]],PRICING!A:B,2,FALSE),0)</f>
        <v>0</v>
      </c>
      <c r="S405" s="308">
        <f>Table24[[#This Row],[C_DEMAND]]-Table24[[#This Row],[R-DEMAND]]</f>
        <v>0</v>
      </c>
      <c r="T405" s="307">
        <f>Table24[[#This Row],[SEATS SOLD]]*Table24[[#This Row],[ECO SEAT]]</f>
        <v>0</v>
      </c>
      <c r="U405" s="307">
        <f>Table24[[#This Row],[SEATS SOLD]]*(IFERROR(VLOOKUP(Table24[[#This Row],[ROUTE]],PRICING!A:C,3,FALSE),0))</f>
        <v>0</v>
      </c>
      <c r="V405" s="307">
        <f>Table24[[#This Row],[SEAT REV]]-Table24[[#This Row],[SEAT REV
(IF IDEAL $)]]</f>
        <v>0</v>
      </c>
    </row>
    <row r="406" spans="1:22" customFormat="1" x14ac:dyDescent="0.25">
      <c r="A406" s="306" t="s">
        <v>18036</v>
      </c>
      <c r="B406" s="306" t="s">
        <v>2085</v>
      </c>
      <c r="C406" s="306"/>
      <c r="D406" s="26">
        <v>1</v>
      </c>
      <c r="E406" s="312" t="s">
        <v>11669</v>
      </c>
      <c r="F406" s="306" t="str">
        <f>VLOOKUP(Table24[[#This Row],[Country]],Table10[[COUNTRY NAME]:[CONTINENT CODE]],3,FALSE)</f>
        <v>SA</v>
      </c>
      <c r="G406" s="312" t="s">
        <v>13140</v>
      </c>
      <c r="H406" s="309">
        <v>4842</v>
      </c>
      <c r="I406" s="310">
        <v>12.75</v>
      </c>
      <c r="J406" s="307"/>
      <c r="K406" s="307">
        <f>IFERROR(Table24[[#This Row],[ROUTE COST]]/Table24[[#This Row],[O - DEMAND]],0)</f>
        <v>0</v>
      </c>
      <c r="L406" s="306"/>
      <c r="M406" s="310">
        <f>Table24[[#This Row],[O - DEMAND]]/950</f>
        <v>0</v>
      </c>
      <c r="N406" s="306">
        <f>IFERROR(VLOOKUP(Table24[[#This Row],[ROUTE]],DEMAND!A:F,5,FALSE),0)</f>
        <v>0</v>
      </c>
      <c r="O406" s="306">
        <f>IFERROR(VLOOKUP(Table24[[#This Row],[ROUTE]],DEMAND!A:F,6,FALSE),0)</f>
        <v>0</v>
      </c>
      <c r="P406" s="306">
        <f>ROUNDDOWN(Table24[[#This Row],[R-DEMAND]]/950,0)</f>
        <v>0</v>
      </c>
      <c r="Q406" s="306">
        <f>Table24[[#This Row],[ADD ACC
(475/950)]]*Table24[[#This Row],[Duration
(A359)]]</f>
        <v>0</v>
      </c>
      <c r="R406" s="307">
        <f>IFERROR(VLOOKUP(Table24[[#This Row],[ROUTE]],PRICING!A:B,2,FALSE),0)</f>
        <v>0</v>
      </c>
      <c r="S406" s="308">
        <f>Table24[[#This Row],[C_DEMAND]]-Table24[[#This Row],[R-DEMAND]]</f>
        <v>0</v>
      </c>
      <c r="T406" s="307">
        <f>Table24[[#This Row],[SEATS SOLD]]*Table24[[#This Row],[ECO SEAT]]</f>
        <v>0</v>
      </c>
      <c r="U406" s="307">
        <f>Table24[[#This Row],[SEATS SOLD]]*(IFERROR(VLOOKUP(Table24[[#This Row],[ROUTE]],PRICING!A:C,3,FALSE),0))</f>
        <v>0</v>
      </c>
      <c r="V406" s="307">
        <f>Table24[[#This Row],[SEAT REV]]-Table24[[#This Row],[SEAT REV
(IF IDEAL $)]]</f>
        <v>0</v>
      </c>
    </row>
    <row r="407" spans="1:22" customFormat="1" x14ac:dyDescent="0.25">
      <c r="A407" s="306" t="s">
        <v>17883</v>
      </c>
      <c r="B407" s="306" t="s">
        <v>4802</v>
      </c>
      <c r="C407" s="306"/>
      <c r="D407" s="26">
        <v>3</v>
      </c>
      <c r="E407" s="312" t="s">
        <v>11732</v>
      </c>
      <c r="F407" s="306" t="str">
        <f>VLOOKUP(Table24[[#This Row],[Country]],Table10[[COUNTRY NAME]:[CONTINENT CODE]],3,FALSE)</f>
        <v>NA - US</v>
      </c>
      <c r="G407" s="312" t="s">
        <v>13275</v>
      </c>
      <c r="H407" s="309">
        <v>4684</v>
      </c>
      <c r="I407" s="310">
        <v>12.5</v>
      </c>
      <c r="J407" s="307"/>
      <c r="K407" s="307">
        <f>IFERROR(Table24[[#This Row],[ROUTE COST]]/Table24[[#This Row],[O - DEMAND]],0)</f>
        <v>0</v>
      </c>
      <c r="L407" s="306"/>
      <c r="M407" s="310">
        <f>Table24[[#This Row],[O - DEMAND]]/950</f>
        <v>0</v>
      </c>
      <c r="N407" s="306">
        <f>IFERROR(VLOOKUP(Table24[[#This Row],[ROUTE]],DEMAND!A:F,5,FALSE),0)</f>
        <v>0</v>
      </c>
      <c r="O407" s="306">
        <f>IFERROR(VLOOKUP(Table24[[#This Row],[ROUTE]],DEMAND!A:F,6,FALSE),0)</f>
        <v>0</v>
      </c>
      <c r="P407" s="306">
        <f>ROUNDDOWN(Table24[[#This Row],[R-DEMAND]]/950,0)</f>
        <v>0</v>
      </c>
      <c r="Q407" s="306">
        <f>Table24[[#This Row],[ADD ACC
(475/950)]]*Table24[[#This Row],[Duration
(A359)]]</f>
        <v>0</v>
      </c>
      <c r="R407" s="307">
        <f>IFERROR(VLOOKUP(Table24[[#This Row],[ROUTE]],PRICING!A:B,2,FALSE),0)</f>
        <v>0</v>
      </c>
      <c r="S407" s="308">
        <f>Table24[[#This Row],[C_DEMAND]]-Table24[[#This Row],[R-DEMAND]]</f>
        <v>0</v>
      </c>
      <c r="T407" s="307">
        <f>Table24[[#This Row],[SEATS SOLD]]*Table24[[#This Row],[ECO SEAT]]</f>
        <v>0</v>
      </c>
      <c r="U407" s="307">
        <f>Table24[[#This Row],[SEATS SOLD]]*(IFERROR(VLOOKUP(Table24[[#This Row],[ROUTE]],PRICING!A:C,3,FALSE),0))</f>
        <v>0</v>
      </c>
      <c r="V407" s="307">
        <f>Table24[[#This Row],[SEAT REV]]-Table24[[#This Row],[SEAT REV
(IF IDEAL $)]]</f>
        <v>0</v>
      </c>
    </row>
    <row r="408" spans="1:22" customFormat="1" x14ac:dyDescent="0.25">
      <c r="A408" s="306" t="s">
        <v>17913</v>
      </c>
      <c r="B408" s="306" t="s">
        <v>3666</v>
      </c>
      <c r="C408" s="306"/>
      <c r="D408" s="26">
        <v>2</v>
      </c>
      <c r="E408" s="312" t="s">
        <v>11732</v>
      </c>
      <c r="F408" s="306" t="str">
        <f>VLOOKUP(Table24[[#This Row],[Country]],Table10[[COUNTRY NAME]:[CONTINENT CODE]],3,FALSE)</f>
        <v>NA - US</v>
      </c>
      <c r="G408" s="312" t="s">
        <v>13265</v>
      </c>
      <c r="H408" s="309">
        <v>4775</v>
      </c>
      <c r="I408" s="310">
        <v>12.5</v>
      </c>
      <c r="J408" s="307"/>
      <c r="K408" s="307">
        <f>IFERROR(Table24[[#This Row],[ROUTE COST]]/Table24[[#This Row],[O - DEMAND]],0)</f>
        <v>0</v>
      </c>
      <c r="L408" s="306"/>
      <c r="M408" s="310">
        <f>Table24[[#This Row],[O - DEMAND]]/950</f>
        <v>0</v>
      </c>
      <c r="N408" s="306">
        <f>IFERROR(VLOOKUP(Table24[[#This Row],[ROUTE]],DEMAND!A:F,5,FALSE),0)</f>
        <v>0</v>
      </c>
      <c r="O408" s="306">
        <f>IFERROR(VLOOKUP(Table24[[#This Row],[ROUTE]],DEMAND!A:F,6,FALSE),0)</f>
        <v>0</v>
      </c>
      <c r="P408" s="306">
        <f>ROUNDDOWN(Table24[[#This Row],[R-DEMAND]]/950,0)</f>
        <v>0</v>
      </c>
      <c r="Q408" s="306">
        <f>Table24[[#This Row],[ADD ACC
(475/950)]]*Table24[[#This Row],[Duration
(A359)]]</f>
        <v>0</v>
      </c>
      <c r="R408" s="307">
        <f>IFERROR(VLOOKUP(Table24[[#This Row],[ROUTE]],PRICING!A:B,2,FALSE),0)</f>
        <v>0</v>
      </c>
      <c r="S408" s="308">
        <f>Table24[[#This Row],[C_DEMAND]]-Table24[[#This Row],[R-DEMAND]]</f>
        <v>0</v>
      </c>
      <c r="T408" s="307">
        <f>Table24[[#This Row],[SEATS SOLD]]*Table24[[#This Row],[ECO SEAT]]</f>
        <v>0</v>
      </c>
      <c r="U408" s="307">
        <f>Table24[[#This Row],[SEATS SOLD]]*(IFERROR(VLOOKUP(Table24[[#This Row],[ROUTE]],PRICING!A:C,3,FALSE),0))</f>
        <v>0</v>
      </c>
      <c r="V408" s="307">
        <f>Table24[[#This Row],[SEAT REV]]-Table24[[#This Row],[SEAT REV
(IF IDEAL $)]]</f>
        <v>0</v>
      </c>
    </row>
    <row r="409" spans="1:22" customFormat="1" x14ac:dyDescent="0.25">
      <c r="A409" s="306" t="s">
        <v>17914</v>
      </c>
      <c r="B409" s="306" t="s">
        <v>3179</v>
      </c>
      <c r="C409" s="306"/>
      <c r="D409" s="26">
        <v>2</v>
      </c>
      <c r="E409" s="312" t="s">
        <v>11732</v>
      </c>
      <c r="F409" s="306" t="str">
        <f>VLOOKUP(Table24[[#This Row],[Country]],Table10[[COUNTRY NAME]:[CONTINENT CODE]],3,FALSE)</f>
        <v>NA - US</v>
      </c>
      <c r="G409" s="312" t="s">
        <v>16949</v>
      </c>
      <c r="H409" s="309">
        <v>4770</v>
      </c>
      <c r="I409" s="310">
        <v>12.5</v>
      </c>
      <c r="J409" s="307"/>
      <c r="K409" s="307">
        <f>IFERROR(Table24[[#This Row],[ROUTE COST]]/Table24[[#This Row],[O - DEMAND]],0)</f>
        <v>0</v>
      </c>
      <c r="L409" s="306"/>
      <c r="M409" s="310">
        <f>Table24[[#This Row],[O - DEMAND]]/950</f>
        <v>0</v>
      </c>
      <c r="N409" s="306">
        <f>IFERROR(VLOOKUP(Table24[[#This Row],[ROUTE]],DEMAND!A:F,5,FALSE),0)</f>
        <v>0</v>
      </c>
      <c r="O409" s="306">
        <f>IFERROR(VLOOKUP(Table24[[#This Row],[ROUTE]],DEMAND!A:F,6,FALSE),0)</f>
        <v>0</v>
      </c>
      <c r="P409" s="306">
        <f>ROUNDDOWN(Table24[[#This Row],[R-DEMAND]]/950,0)</f>
        <v>0</v>
      </c>
      <c r="Q409" s="306">
        <f>Table24[[#This Row],[ADD ACC
(475/950)]]*Table24[[#This Row],[Duration
(A359)]]</f>
        <v>0</v>
      </c>
      <c r="R409" s="307">
        <f>IFERROR(VLOOKUP(Table24[[#This Row],[ROUTE]],PRICING!A:B,2,FALSE),0)</f>
        <v>0</v>
      </c>
      <c r="S409" s="308">
        <f>Table24[[#This Row],[C_DEMAND]]-Table24[[#This Row],[R-DEMAND]]</f>
        <v>0</v>
      </c>
      <c r="T409" s="307">
        <f>Table24[[#This Row],[SEATS SOLD]]*Table24[[#This Row],[ECO SEAT]]</f>
        <v>0</v>
      </c>
      <c r="U409" s="307">
        <f>Table24[[#This Row],[SEATS SOLD]]*(IFERROR(VLOOKUP(Table24[[#This Row],[ROUTE]],PRICING!A:C,3,FALSE),0))</f>
        <v>0</v>
      </c>
      <c r="V409" s="307">
        <f>Table24[[#This Row],[SEAT REV]]-Table24[[#This Row],[SEAT REV
(IF IDEAL $)]]</f>
        <v>0</v>
      </c>
    </row>
    <row r="410" spans="1:22" customFormat="1" x14ac:dyDescent="0.25">
      <c r="A410" s="306" t="s">
        <v>17955</v>
      </c>
      <c r="B410" s="306" t="s">
        <v>2130</v>
      </c>
      <c r="C410" s="306"/>
      <c r="D410" s="26">
        <v>1</v>
      </c>
      <c r="E410" s="312" t="s">
        <v>11732</v>
      </c>
      <c r="F410" s="306" t="str">
        <f>VLOOKUP(Table24[[#This Row],[Country]],Table10[[COUNTRY NAME]:[CONTINENT CODE]],3,FALSE)</f>
        <v>NA - US</v>
      </c>
      <c r="G410" s="312" t="s">
        <v>16948</v>
      </c>
      <c r="H410" s="309">
        <v>4773</v>
      </c>
      <c r="I410" s="310">
        <v>12.5</v>
      </c>
      <c r="J410" s="307"/>
      <c r="K410" s="307">
        <f>IFERROR(Table24[[#This Row],[ROUTE COST]]/Table24[[#This Row],[O - DEMAND]],0)</f>
        <v>0</v>
      </c>
      <c r="L410" s="306"/>
      <c r="M410" s="310">
        <f>Table24[[#This Row],[O - DEMAND]]/950</f>
        <v>0</v>
      </c>
      <c r="N410" s="306">
        <f>IFERROR(VLOOKUP(Table24[[#This Row],[ROUTE]],DEMAND!A:F,5,FALSE),0)</f>
        <v>0</v>
      </c>
      <c r="O410" s="306">
        <f>IFERROR(VLOOKUP(Table24[[#This Row],[ROUTE]],DEMAND!A:F,6,FALSE),0)</f>
        <v>0</v>
      </c>
      <c r="P410" s="306">
        <f>ROUNDDOWN(Table24[[#This Row],[R-DEMAND]]/950,0)</f>
        <v>0</v>
      </c>
      <c r="Q410" s="306">
        <f>Table24[[#This Row],[ADD ACC
(475/950)]]*Table24[[#This Row],[Duration
(A359)]]</f>
        <v>0</v>
      </c>
      <c r="R410" s="307">
        <f>IFERROR(VLOOKUP(Table24[[#This Row],[ROUTE]],PRICING!A:B,2,FALSE),0)</f>
        <v>0</v>
      </c>
      <c r="S410" s="308">
        <f>Table24[[#This Row],[C_DEMAND]]-Table24[[#This Row],[R-DEMAND]]</f>
        <v>0</v>
      </c>
      <c r="T410" s="307">
        <f>Table24[[#This Row],[SEATS SOLD]]*Table24[[#This Row],[ECO SEAT]]</f>
        <v>0</v>
      </c>
      <c r="U410" s="307">
        <f>Table24[[#This Row],[SEATS SOLD]]*(IFERROR(VLOOKUP(Table24[[#This Row],[ROUTE]],PRICING!A:C,3,FALSE),0))</f>
        <v>0</v>
      </c>
      <c r="V410" s="307">
        <f>Table24[[#This Row],[SEAT REV]]-Table24[[#This Row],[SEAT REV
(IF IDEAL $)]]</f>
        <v>0</v>
      </c>
    </row>
    <row r="411" spans="1:22" customFormat="1" x14ac:dyDescent="0.25">
      <c r="A411" s="306" t="s">
        <v>17956</v>
      </c>
      <c r="B411" s="306" t="s">
        <v>2205</v>
      </c>
      <c r="C411" s="306"/>
      <c r="D411" s="26">
        <v>1</v>
      </c>
      <c r="E411" s="312" t="s">
        <v>11732</v>
      </c>
      <c r="F411" s="306" t="str">
        <f>VLOOKUP(Table24[[#This Row],[Country]],Table10[[COUNTRY NAME]:[CONTINENT CODE]],3,FALSE)</f>
        <v>NA - US</v>
      </c>
      <c r="G411" s="312" t="s">
        <v>16950</v>
      </c>
      <c r="H411" s="309">
        <v>4766</v>
      </c>
      <c r="I411" s="310">
        <v>12.5</v>
      </c>
      <c r="J411" s="307"/>
      <c r="K411" s="307">
        <f>IFERROR(Table24[[#This Row],[ROUTE COST]]/Table24[[#This Row],[O - DEMAND]],0)</f>
        <v>0</v>
      </c>
      <c r="L411" s="306"/>
      <c r="M411" s="310">
        <f>Table24[[#This Row],[O - DEMAND]]/950</f>
        <v>0</v>
      </c>
      <c r="N411" s="306">
        <f>IFERROR(VLOOKUP(Table24[[#This Row],[ROUTE]],DEMAND!A:F,5,FALSE),0)</f>
        <v>0</v>
      </c>
      <c r="O411" s="306">
        <f>IFERROR(VLOOKUP(Table24[[#This Row],[ROUTE]],DEMAND!A:F,6,FALSE),0)</f>
        <v>0</v>
      </c>
      <c r="P411" s="306">
        <f>ROUNDDOWN(Table24[[#This Row],[R-DEMAND]]/950,0)</f>
        <v>0</v>
      </c>
      <c r="Q411" s="306">
        <f>Table24[[#This Row],[ADD ACC
(475/950)]]*Table24[[#This Row],[Duration
(A359)]]</f>
        <v>0</v>
      </c>
      <c r="R411" s="307">
        <f>IFERROR(VLOOKUP(Table24[[#This Row],[ROUTE]],PRICING!A:B,2,FALSE),0)</f>
        <v>0</v>
      </c>
      <c r="S411" s="308">
        <f>Table24[[#This Row],[C_DEMAND]]-Table24[[#This Row],[R-DEMAND]]</f>
        <v>0</v>
      </c>
      <c r="T411" s="307">
        <f>Table24[[#This Row],[SEATS SOLD]]*Table24[[#This Row],[ECO SEAT]]</f>
        <v>0</v>
      </c>
      <c r="U411" s="307">
        <f>Table24[[#This Row],[SEATS SOLD]]*(IFERROR(VLOOKUP(Table24[[#This Row],[ROUTE]],PRICING!A:C,3,FALSE),0))</f>
        <v>0</v>
      </c>
      <c r="V411" s="307">
        <f>Table24[[#This Row],[SEAT REV]]-Table24[[#This Row],[SEAT REV
(IF IDEAL $)]]</f>
        <v>0</v>
      </c>
    </row>
    <row r="412" spans="1:22" customFormat="1" x14ac:dyDescent="0.25">
      <c r="A412" s="306" t="s">
        <v>17984</v>
      </c>
      <c r="B412" s="306" t="s">
        <v>4306</v>
      </c>
      <c r="C412" s="306"/>
      <c r="D412" s="26"/>
      <c r="E412" s="312" t="s">
        <v>11732</v>
      </c>
      <c r="F412" s="306" t="str">
        <f>VLOOKUP(Table24[[#This Row],[Country]],Table10[[COUNTRY NAME]:[CONTINENT CODE]],3,FALSE)</f>
        <v>NA - US</v>
      </c>
      <c r="G412" s="312" t="s">
        <v>16953</v>
      </c>
      <c r="H412" s="309">
        <v>4671</v>
      </c>
      <c r="I412" s="310">
        <v>12.5</v>
      </c>
      <c r="J412" s="307"/>
      <c r="K412" s="307">
        <f>IFERROR(Table24[[#This Row],[ROUTE COST]]/Table24[[#This Row],[O - DEMAND]],0)</f>
        <v>0</v>
      </c>
      <c r="L412" s="306"/>
      <c r="M412" s="310">
        <f>Table24[[#This Row],[O - DEMAND]]/950</f>
        <v>0</v>
      </c>
      <c r="N412" s="306">
        <f>IFERROR(VLOOKUP(Table24[[#This Row],[ROUTE]],DEMAND!A:F,5,FALSE),0)</f>
        <v>0</v>
      </c>
      <c r="O412" s="306">
        <f>IFERROR(VLOOKUP(Table24[[#This Row],[ROUTE]],DEMAND!A:F,6,FALSE),0)</f>
        <v>0</v>
      </c>
      <c r="P412" s="306">
        <f>ROUNDDOWN(Table24[[#This Row],[R-DEMAND]]/950,0)</f>
        <v>0</v>
      </c>
      <c r="Q412" s="306">
        <f>Table24[[#This Row],[ADD ACC
(475/950)]]*Table24[[#This Row],[Duration
(A359)]]</f>
        <v>0</v>
      </c>
      <c r="R412" s="307">
        <f>IFERROR(VLOOKUP(Table24[[#This Row],[ROUTE]],PRICING!A:B,2,FALSE),0)</f>
        <v>0</v>
      </c>
      <c r="S412" s="308">
        <f>Table24[[#This Row],[C_DEMAND]]-Table24[[#This Row],[R-DEMAND]]</f>
        <v>0</v>
      </c>
      <c r="T412" s="307">
        <f>Table24[[#This Row],[SEATS SOLD]]*Table24[[#This Row],[ECO SEAT]]</f>
        <v>0</v>
      </c>
      <c r="U412" s="307">
        <f>Table24[[#This Row],[SEATS SOLD]]*(IFERROR(VLOOKUP(Table24[[#This Row],[ROUTE]],PRICING!A:C,3,FALSE),0))</f>
        <v>0</v>
      </c>
      <c r="V412" s="307">
        <f>Table24[[#This Row],[SEAT REV]]-Table24[[#This Row],[SEAT REV
(IF IDEAL $)]]</f>
        <v>0</v>
      </c>
    </row>
    <row r="413" spans="1:22" customFormat="1" x14ac:dyDescent="0.25">
      <c r="A413" s="306" t="s">
        <v>17957</v>
      </c>
      <c r="B413" s="306" t="s">
        <v>1971</v>
      </c>
      <c r="C413" s="306"/>
      <c r="D413" s="26">
        <v>1</v>
      </c>
      <c r="E413" s="312" t="s">
        <v>11732</v>
      </c>
      <c r="F413" s="306" t="str">
        <f>VLOOKUP(Table24[[#This Row],[Country]],Table10[[COUNTRY NAME]:[CONTINENT CODE]],3,FALSE)</f>
        <v>NA - US</v>
      </c>
      <c r="G413" s="312" t="s">
        <v>13268</v>
      </c>
      <c r="H413" s="309">
        <v>4640</v>
      </c>
      <c r="I413" s="310">
        <v>12.25</v>
      </c>
      <c r="J413" s="307"/>
      <c r="K413" s="307">
        <f>IFERROR(Table24[[#This Row],[ROUTE COST]]/Table24[[#This Row],[O - DEMAND]],0)</f>
        <v>0</v>
      </c>
      <c r="L413" s="306"/>
      <c r="M413" s="310">
        <f>Table24[[#This Row],[O - DEMAND]]/950</f>
        <v>0</v>
      </c>
      <c r="N413" s="306">
        <f>IFERROR(VLOOKUP(Table24[[#This Row],[ROUTE]],DEMAND!A:F,5,FALSE),0)</f>
        <v>0</v>
      </c>
      <c r="O413" s="306">
        <f>IFERROR(VLOOKUP(Table24[[#This Row],[ROUTE]],DEMAND!A:F,6,FALSE),0)</f>
        <v>0</v>
      </c>
      <c r="P413" s="306">
        <f>ROUNDDOWN(Table24[[#This Row],[R-DEMAND]]/950,0)</f>
        <v>0</v>
      </c>
      <c r="Q413" s="306">
        <f>Table24[[#This Row],[ADD ACC
(475/950)]]*Table24[[#This Row],[Duration
(A359)]]</f>
        <v>0</v>
      </c>
      <c r="R413" s="307">
        <f>IFERROR(VLOOKUP(Table24[[#This Row],[ROUTE]],PRICING!A:B,2,FALSE),0)</f>
        <v>0</v>
      </c>
      <c r="S413" s="308">
        <f>Table24[[#This Row],[C_DEMAND]]-Table24[[#This Row],[R-DEMAND]]</f>
        <v>0</v>
      </c>
      <c r="T413" s="307">
        <f>Table24[[#This Row],[SEATS SOLD]]*Table24[[#This Row],[ECO SEAT]]</f>
        <v>0</v>
      </c>
      <c r="U413" s="307">
        <f>Table24[[#This Row],[SEATS SOLD]]*(IFERROR(VLOOKUP(Table24[[#This Row],[ROUTE]],PRICING!A:C,3,FALSE),0))</f>
        <v>0</v>
      </c>
      <c r="V413" s="307">
        <f>Table24[[#This Row],[SEAT REV]]-Table24[[#This Row],[SEAT REV
(IF IDEAL $)]]</f>
        <v>0</v>
      </c>
    </row>
    <row r="414" spans="1:22" customFormat="1" x14ac:dyDescent="0.25">
      <c r="A414" s="306" t="s">
        <v>17985</v>
      </c>
      <c r="B414" s="306" t="s">
        <v>3605</v>
      </c>
      <c r="C414" s="306"/>
      <c r="D414" s="26"/>
      <c r="E414" s="312" t="s">
        <v>11732</v>
      </c>
      <c r="F414" s="306" t="str">
        <f>VLOOKUP(Table24[[#This Row],[Country]],Table10[[COUNTRY NAME]:[CONTINENT CODE]],3,FALSE)</f>
        <v>NA - US</v>
      </c>
      <c r="G414" s="312" t="s">
        <v>16954</v>
      </c>
      <c r="H414" s="309">
        <v>4628</v>
      </c>
      <c r="I414" s="310">
        <v>12.25</v>
      </c>
      <c r="J414" s="307"/>
      <c r="K414" s="307">
        <f>IFERROR(Table24[[#This Row],[ROUTE COST]]/Table24[[#This Row],[O - DEMAND]],0)</f>
        <v>0</v>
      </c>
      <c r="L414" s="306"/>
      <c r="M414" s="310">
        <f>Table24[[#This Row],[O - DEMAND]]/950</f>
        <v>0</v>
      </c>
      <c r="N414" s="306">
        <f>IFERROR(VLOOKUP(Table24[[#This Row],[ROUTE]],DEMAND!A:F,5,FALSE),0)</f>
        <v>0</v>
      </c>
      <c r="O414" s="306">
        <f>IFERROR(VLOOKUP(Table24[[#This Row],[ROUTE]],DEMAND!A:F,6,FALSE),0)</f>
        <v>0</v>
      </c>
      <c r="P414" s="306">
        <f>ROUNDDOWN(Table24[[#This Row],[R-DEMAND]]/950,0)</f>
        <v>0</v>
      </c>
      <c r="Q414" s="306">
        <f>Table24[[#This Row],[ADD ACC
(475/950)]]*Table24[[#This Row],[Duration
(A359)]]</f>
        <v>0</v>
      </c>
      <c r="R414" s="307">
        <f>IFERROR(VLOOKUP(Table24[[#This Row],[ROUTE]],PRICING!A:B,2,FALSE),0)</f>
        <v>0</v>
      </c>
      <c r="S414" s="308">
        <f>Table24[[#This Row],[C_DEMAND]]-Table24[[#This Row],[R-DEMAND]]</f>
        <v>0</v>
      </c>
      <c r="T414" s="307">
        <f>Table24[[#This Row],[SEATS SOLD]]*Table24[[#This Row],[ECO SEAT]]</f>
        <v>0</v>
      </c>
      <c r="U414" s="307">
        <f>Table24[[#This Row],[SEATS SOLD]]*(IFERROR(VLOOKUP(Table24[[#This Row],[ROUTE]],PRICING!A:C,3,FALSE),0))</f>
        <v>0</v>
      </c>
      <c r="V414" s="307">
        <f>Table24[[#This Row],[SEAT REV]]-Table24[[#This Row],[SEAT REV
(IF IDEAL $)]]</f>
        <v>0</v>
      </c>
    </row>
    <row r="415" spans="1:22" customFormat="1" x14ac:dyDescent="0.25">
      <c r="A415" s="306" t="s">
        <v>17915</v>
      </c>
      <c r="B415" s="306" t="s">
        <v>4424</v>
      </c>
      <c r="C415" s="306"/>
      <c r="D415" s="26">
        <v>2</v>
      </c>
      <c r="E415" s="312" t="s">
        <v>11732</v>
      </c>
      <c r="F415" s="306" t="str">
        <f>VLOOKUP(Table24[[#This Row],[Country]],Table10[[COUNTRY NAME]:[CONTINENT CODE]],3,FALSE)</f>
        <v>NA - US</v>
      </c>
      <c r="G415" s="312" t="s">
        <v>13270</v>
      </c>
      <c r="H415" s="309">
        <v>4495</v>
      </c>
      <c r="I415" s="310">
        <v>12</v>
      </c>
      <c r="J415" s="307"/>
      <c r="K415" s="307">
        <f>IFERROR(Table24[[#This Row],[ROUTE COST]]/Table24[[#This Row],[O - DEMAND]],0)</f>
        <v>0</v>
      </c>
      <c r="L415" s="306"/>
      <c r="M415" s="310">
        <f>Table24[[#This Row],[O - DEMAND]]/950</f>
        <v>0</v>
      </c>
      <c r="N415" s="306">
        <f>IFERROR(VLOOKUP(Table24[[#This Row],[ROUTE]],DEMAND!A:F,5,FALSE),0)</f>
        <v>0</v>
      </c>
      <c r="O415" s="306">
        <f>IFERROR(VLOOKUP(Table24[[#This Row],[ROUTE]],DEMAND!A:F,6,FALSE),0)</f>
        <v>0</v>
      </c>
      <c r="P415" s="306">
        <f>ROUNDDOWN(Table24[[#This Row],[R-DEMAND]]/950,0)</f>
        <v>0</v>
      </c>
      <c r="Q415" s="306">
        <f>Table24[[#This Row],[ADD ACC
(475/950)]]*Table24[[#This Row],[Duration
(A359)]]</f>
        <v>0</v>
      </c>
      <c r="R415" s="307">
        <f>IFERROR(VLOOKUP(Table24[[#This Row],[ROUTE]],PRICING!A:B,2,FALSE),0)</f>
        <v>0</v>
      </c>
      <c r="S415" s="308">
        <f>Table24[[#This Row],[C_DEMAND]]-Table24[[#This Row],[R-DEMAND]]</f>
        <v>0</v>
      </c>
      <c r="T415" s="307">
        <f>Table24[[#This Row],[SEATS SOLD]]*Table24[[#This Row],[ECO SEAT]]</f>
        <v>0</v>
      </c>
      <c r="U415" s="307">
        <f>Table24[[#This Row],[SEATS SOLD]]*(IFERROR(VLOOKUP(Table24[[#This Row],[ROUTE]],PRICING!A:C,3,FALSE),0))</f>
        <v>0</v>
      </c>
      <c r="V415" s="307">
        <f>Table24[[#This Row],[SEAT REV]]-Table24[[#This Row],[SEAT REV
(IF IDEAL $)]]</f>
        <v>0</v>
      </c>
    </row>
    <row r="416" spans="1:22" customFormat="1" x14ac:dyDescent="0.25">
      <c r="A416" s="306" t="s">
        <v>17916</v>
      </c>
      <c r="B416" s="306" t="s">
        <v>3091</v>
      </c>
      <c r="C416" s="306"/>
      <c r="D416" s="26">
        <v>2</v>
      </c>
      <c r="E416" s="312" t="s">
        <v>11732</v>
      </c>
      <c r="F416" s="306" t="str">
        <f>VLOOKUP(Table24[[#This Row],[Country]],Table10[[COUNTRY NAME]:[CONTINENT CODE]],3,FALSE)</f>
        <v>NA - US</v>
      </c>
      <c r="G416" s="312" t="s">
        <v>13279</v>
      </c>
      <c r="H416" s="309">
        <v>4488</v>
      </c>
      <c r="I416" s="310">
        <v>12</v>
      </c>
      <c r="J416" s="307"/>
      <c r="K416" s="307">
        <f>IFERROR(Table24[[#This Row],[ROUTE COST]]/Table24[[#This Row],[O - DEMAND]],0)</f>
        <v>0</v>
      </c>
      <c r="L416" s="306"/>
      <c r="M416" s="310">
        <f>Table24[[#This Row],[O - DEMAND]]/950</f>
        <v>0</v>
      </c>
      <c r="N416" s="306">
        <f>IFERROR(VLOOKUP(Table24[[#This Row],[ROUTE]],DEMAND!A:F,5,FALSE),0)</f>
        <v>0</v>
      </c>
      <c r="O416" s="306">
        <f>IFERROR(VLOOKUP(Table24[[#This Row],[ROUTE]],DEMAND!A:F,6,FALSE),0)</f>
        <v>0</v>
      </c>
      <c r="P416" s="306">
        <f>ROUNDDOWN(Table24[[#This Row],[R-DEMAND]]/950,0)</f>
        <v>0</v>
      </c>
      <c r="Q416" s="306">
        <f>Table24[[#This Row],[ADD ACC
(475/950)]]*Table24[[#This Row],[Duration
(A359)]]</f>
        <v>0</v>
      </c>
      <c r="R416" s="307">
        <f>IFERROR(VLOOKUP(Table24[[#This Row],[ROUTE]],PRICING!A:B,2,FALSE),0)</f>
        <v>0</v>
      </c>
      <c r="S416" s="308">
        <f>Table24[[#This Row],[C_DEMAND]]-Table24[[#This Row],[R-DEMAND]]</f>
        <v>0</v>
      </c>
      <c r="T416" s="307">
        <f>Table24[[#This Row],[SEATS SOLD]]*Table24[[#This Row],[ECO SEAT]]</f>
        <v>0</v>
      </c>
      <c r="U416" s="307">
        <f>Table24[[#This Row],[SEATS SOLD]]*(IFERROR(VLOOKUP(Table24[[#This Row],[ROUTE]],PRICING!A:C,3,FALSE),0))</f>
        <v>0</v>
      </c>
      <c r="V416" s="307">
        <f>Table24[[#This Row],[SEAT REV]]-Table24[[#This Row],[SEAT REV
(IF IDEAL $)]]</f>
        <v>0</v>
      </c>
    </row>
    <row r="417" spans="1:22" customFormat="1" x14ac:dyDescent="0.25">
      <c r="A417" s="306" t="s">
        <v>17958</v>
      </c>
      <c r="B417" s="306" t="s">
        <v>915</v>
      </c>
      <c r="C417" s="306"/>
      <c r="D417" s="26">
        <v>1</v>
      </c>
      <c r="E417" s="312" t="s">
        <v>11732</v>
      </c>
      <c r="F417" s="306" t="str">
        <f>VLOOKUP(Table24[[#This Row],[Country]],Table10[[COUNTRY NAME]:[CONTINENT CODE]],3,FALSE)</f>
        <v>NA - US</v>
      </c>
      <c r="G417" s="312" t="s">
        <v>16956</v>
      </c>
      <c r="H417" s="309">
        <v>4483</v>
      </c>
      <c r="I417" s="310">
        <v>12</v>
      </c>
      <c r="J417" s="307"/>
      <c r="K417" s="307">
        <f>IFERROR(Table24[[#This Row],[ROUTE COST]]/Table24[[#This Row],[O - DEMAND]],0)</f>
        <v>0</v>
      </c>
      <c r="L417" s="306"/>
      <c r="M417" s="310">
        <f>Table24[[#This Row],[O - DEMAND]]/950</f>
        <v>0</v>
      </c>
      <c r="N417" s="306">
        <f>IFERROR(VLOOKUP(Table24[[#This Row],[ROUTE]],DEMAND!A:F,5,FALSE),0)</f>
        <v>0</v>
      </c>
      <c r="O417" s="306">
        <f>IFERROR(VLOOKUP(Table24[[#This Row],[ROUTE]],DEMAND!A:F,6,FALSE),0)</f>
        <v>0</v>
      </c>
      <c r="P417" s="306">
        <f>ROUNDDOWN(Table24[[#This Row],[R-DEMAND]]/950,0)</f>
        <v>0</v>
      </c>
      <c r="Q417" s="306">
        <f>Table24[[#This Row],[ADD ACC
(475/950)]]*Table24[[#This Row],[Duration
(A359)]]</f>
        <v>0</v>
      </c>
      <c r="R417" s="307">
        <f>IFERROR(VLOOKUP(Table24[[#This Row],[ROUTE]],PRICING!A:B,2,FALSE),0)</f>
        <v>0</v>
      </c>
      <c r="S417" s="308">
        <f>Table24[[#This Row],[C_DEMAND]]-Table24[[#This Row],[R-DEMAND]]</f>
        <v>0</v>
      </c>
      <c r="T417" s="307">
        <f>Table24[[#This Row],[SEATS SOLD]]*Table24[[#This Row],[ECO SEAT]]</f>
        <v>0</v>
      </c>
      <c r="U417" s="307">
        <f>Table24[[#This Row],[SEATS SOLD]]*(IFERROR(VLOOKUP(Table24[[#This Row],[ROUTE]],PRICING!A:C,3,FALSE),0))</f>
        <v>0</v>
      </c>
      <c r="V417" s="307">
        <f>Table24[[#This Row],[SEAT REV]]-Table24[[#This Row],[SEAT REV
(IF IDEAL $)]]</f>
        <v>0</v>
      </c>
    </row>
    <row r="418" spans="1:22" customFormat="1" x14ac:dyDescent="0.25">
      <c r="A418" s="306" t="s">
        <v>17959</v>
      </c>
      <c r="B418" s="306" t="s">
        <v>2197</v>
      </c>
      <c r="C418" s="306"/>
      <c r="D418" s="26">
        <v>1</v>
      </c>
      <c r="E418" s="312" t="s">
        <v>11732</v>
      </c>
      <c r="F418" s="306" t="str">
        <f>VLOOKUP(Table24[[#This Row],[Country]],Table10[[COUNTRY NAME]:[CONTINENT CODE]],3,FALSE)</f>
        <v>NA - US</v>
      </c>
      <c r="G418" s="312" t="s">
        <v>16957</v>
      </c>
      <c r="H418" s="309">
        <v>4458</v>
      </c>
      <c r="I418" s="310">
        <v>12</v>
      </c>
      <c r="J418" s="307"/>
      <c r="K418" s="307">
        <f>IFERROR(Table24[[#This Row],[ROUTE COST]]/Table24[[#This Row],[O - DEMAND]],0)</f>
        <v>0</v>
      </c>
      <c r="L418" s="306"/>
      <c r="M418" s="310">
        <f>Table24[[#This Row],[O - DEMAND]]/950</f>
        <v>0</v>
      </c>
      <c r="N418" s="306">
        <f>IFERROR(VLOOKUP(Table24[[#This Row],[ROUTE]],DEMAND!A:F,5,FALSE),0)</f>
        <v>0</v>
      </c>
      <c r="O418" s="306">
        <f>IFERROR(VLOOKUP(Table24[[#This Row],[ROUTE]],DEMAND!A:F,6,FALSE),0)</f>
        <v>0</v>
      </c>
      <c r="P418" s="306">
        <f>ROUNDDOWN(Table24[[#This Row],[R-DEMAND]]/950,0)</f>
        <v>0</v>
      </c>
      <c r="Q418" s="306">
        <f>Table24[[#This Row],[ADD ACC
(475/950)]]*Table24[[#This Row],[Duration
(A359)]]</f>
        <v>0</v>
      </c>
      <c r="R418" s="307">
        <f>IFERROR(VLOOKUP(Table24[[#This Row],[ROUTE]],PRICING!A:B,2,FALSE),0)</f>
        <v>0</v>
      </c>
      <c r="S418" s="308">
        <f>Table24[[#This Row],[C_DEMAND]]-Table24[[#This Row],[R-DEMAND]]</f>
        <v>0</v>
      </c>
      <c r="T418" s="307">
        <f>Table24[[#This Row],[SEATS SOLD]]*Table24[[#This Row],[ECO SEAT]]</f>
        <v>0</v>
      </c>
      <c r="U418" s="307">
        <f>Table24[[#This Row],[SEATS SOLD]]*(IFERROR(VLOOKUP(Table24[[#This Row],[ROUTE]],PRICING!A:C,3,FALSE),0))</f>
        <v>0</v>
      </c>
      <c r="V418" s="307">
        <f>Table24[[#This Row],[SEAT REV]]-Table24[[#This Row],[SEAT REV
(IF IDEAL $)]]</f>
        <v>0</v>
      </c>
    </row>
    <row r="419" spans="1:22" customFormat="1" x14ac:dyDescent="0.25">
      <c r="A419" s="306" t="s">
        <v>17960</v>
      </c>
      <c r="B419" s="306" t="s">
        <v>1612</v>
      </c>
      <c r="C419" s="306"/>
      <c r="D419" s="26">
        <v>1</v>
      </c>
      <c r="E419" s="312" t="s">
        <v>11732</v>
      </c>
      <c r="F419" s="306" t="str">
        <f>VLOOKUP(Table24[[#This Row],[Country]],Table10[[COUNTRY NAME]:[CONTINENT CODE]],3,FALSE)</f>
        <v>NA - US</v>
      </c>
      <c r="G419" s="312" t="s">
        <v>16960</v>
      </c>
      <c r="H419" s="309">
        <v>4331</v>
      </c>
      <c r="I419" s="310">
        <v>11.75</v>
      </c>
      <c r="J419" s="307"/>
      <c r="K419" s="307">
        <f>IFERROR(Table24[[#This Row],[ROUTE COST]]/Table24[[#This Row],[O - DEMAND]],0)</f>
        <v>0</v>
      </c>
      <c r="L419" s="306"/>
      <c r="M419" s="310">
        <f>Table24[[#This Row],[O - DEMAND]]/950</f>
        <v>0</v>
      </c>
      <c r="N419" s="306">
        <f>IFERROR(VLOOKUP(Table24[[#This Row],[ROUTE]],DEMAND!A:F,5,FALSE),0)</f>
        <v>0</v>
      </c>
      <c r="O419" s="306">
        <f>IFERROR(VLOOKUP(Table24[[#This Row],[ROUTE]],DEMAND!A:F,6,FALSE),0)</f>
        <v>0</v>
      </c>
      <c r="P419" s="306">
        <f>ROUNDDOWN(Table24[[#This Row],[R-DEMAND]]/950,0)</f>
        <v>0</v>
      </c>
      <c r="Q419" s="306">
        <f>Table24[[#This Row],[ADD ACC
(475/950)]]*Table24[[#This Row],[Duration
(A359)]]</f>
        <v>0</v>
      </c>
      <c r="R419" s="307">
        <f>IFERROR(VLOOKUP(Table24[[#This Row],[ROUTE]],PRICING!A:B,2,FALSE),0)</f>
        <v>0</v>
      </c>
      <c r="S419" s="308">
        <f>Table24[[#This Row],[C_DEMAND]]-Table24[[#This Row],[R-DEMAND]]</f>
        <v>0</v>
      </c>
      <c r="T419" s="307">
        <f>Table24[[#This Row],[SEATS SOLD]]*Table24[[#This Row],[ECO SEAT]]</f>
        <v>0</v>
      </c>
      <c r="U419" s="307">
        <f>Table24[[#This Row],[SEATS SOLD]]*(IFERROR(VLOOKUP(Table24[[#This Row],[ROUTE]],PRICING!A:C,3,FALSE),0))</f>
        <v>0</v>
      </c>
      <c r="V419" s="307">
        <f>Table24[[#This Row],[SEAT REV]]-Table24[[#This Row],[SEAT REV
(IF IDEAL $)]]</f>
        <v>0</v>
      </c>
    </row>
    <row r="420" spans="1:22" customFormat="1" x14ac:dyDescent="0.25">
      <c r="A420" s="306" t="s">
        <v>17986</v>
      </c>
      <c r="B420" s="306" t="s">
        <v>4192</v>
      </c>
      <c r="C420" s="306"/>
      <c r="D420" s="26"/>
      <c r="E420" s="312" t="s">
        <v>11732</v>
      </c>
      <c r="F420" s="306" t="str">
        <f>VLOOKUP(Table24[[#This Row],[Country]],Table10[[COUNTRY NAME]:[CONTINENT CODE]],3,FALSE)</f>
        <v>NA - US</v>
      </c>
      <c r="G420" s="312" t="s">
        <v>16959</v>
      </c>
      <c r="H420" s="309">
        <v>4348</v>
      </c>
      <c r="I420" s="310">
        <v>11.75</v>
      </c>
      <c r="J420" s="307"/>
      <c r="K420" s="307">
        <f>IFERROR(Table24[[#This Row],[ROUTE COST]]/Table24[[#This Row],[O - DEMAND]],0)</f>
        <v>0</v>
      </c>
      <c r="L420" s="306"/>
      <c r="M420" s="310">
        <f>Table24[[#This Row],[O - DEMAND]]/950</f>
        <v>0</v>
      </c>
      <c r="N420" s="306">
        <f>IFERROR(VLOOKUP(Table24[[#This Row],[ROUTE]],DEMAND!A:F,5,FALSE),0)</f>
        <v>0</v>
      </c>
      <c r="O420" s="306">
        <f>IFERROR(VLOOKUP(Table24[[#This Row],[ROUTE]],DEMAND!A:F,6,FALSE),0)</f>
        <v>0</v>
      </c>
      <c r="P420" s="306">
        <f>ROUNDDOWN(Table24[[#This Row],[R-DEMAND]]/950,0)</f>
        <v>0</v>
      </c>
      <c r="Q420" s="306">
        <f>Table24[[#This Row],[ADD ACC
(475/950)]]*Table24[[#This Row],[Duration
(A359)]]</f>
        <v>0</v>
      </c>
      <c r="R420" s="307">
        <f>IFERROR(VLOOKUP(Table24[[#This Row],[ROUTE]],PRICING!A:B,2,FALSE),0)</f>
        <v>0</v>
      </c>
      <c r="S420" s="308">
        <f>Table24[[#This Row],[C_DEMAND]]-Table24[[#This Row],[R-DEMAND]]</f>
        <v>0</v>
      </c>
      <c r="T420" s="307">
        <f>Table24[[#This Row],[SEATS SOLD]]*Table24[[#This Row],[ECO SEAT]]</f>
        <v>0</v>
      </c>
      <c r="U420" s="307">
        <f>Table24[[#This Row],[SEATS SOLD]]*(IFERROR(VLOOKUP(Table24[[#This Row],[ROUTE]],PRICING!A:C,3,FALSE),0))</f>
        <v>0</v>
      </c>
      <c r="V420" s="307">
        <f>Table24[[#This Row],[SEAT REV]]-Table24[[#This Row],[SEAT REV
(IF IDEAL $)]]</f>
        <v>0</v>
      </c>
    </row>
    <row r="421" spans="1:22" customFormat="1" x14ac:dyDescent="0.25">
      <c r="A421" s="306" t="s">
        <v>17917</v>
      </c>
      <c r="B421" s="306" t="s">
        <v>4178</v>
      </c>
      <c r="C421" s="306"/>
      <c r="D421" s="26">
        <v>2</v>
      </c>
      <c r="E421" s="312" t="s">
        <v>11732</v>
      </c>
      <c r="F421" s="306" t="str">
        <f>VLOOKUP(Table24[[#This Row],[Country]],Table10[[COUNTRY NAME]:[CONTINENT CODE]],3,FALSE)</f>
        <v>NA - US</v>
      </c>
      <c r="G421" s="312" t="s">
        <v>13285</v>
      </c>
      <c r="H421" s="309">
        <v>4232</v>
      </c>
      <c r="I421" s="310">
        <v>11.5</v>
      </c>
      <c r="J421" s="307"/>
      <c r="K421" s="307">
        <f>IFERROR(Table24[[#This Row],[ROUTE COST]]/Table24[[#This Row],[O - DEMAND]],0)</f>
        <v>0</v>
      </c>
      <c r="L421" s="306"/>
      <c r="M421" s="310">
        <f>Table24[[#This Row],[O - DEMAND]]/950</f>
        <v>0</v>
      </c>
      <c r="N421" s="306">
        <f>IFERROR(VLOOKUP(Table24[[#This Row],[ROUTE]],DEMAND!A:F,5,FALSE),0)</f>
        <v>0</v>
      </c>
      <c r="O421" s="306">
        <f>IFERROR(VLOOKUP(Table24[[#This Row],[ROUTE]],DEMAND!A:F,6,FALSE),0)</f>
        <v>0</v>
      </c>
      <c r="P421" s="306">
        <f>ROUNDDOWN(Table24[[#This Row],[R-DEMAND]]/950,0)</f>
        <v>0</v>
      </c>
      <c r="Q421" s="306">
        <f>Table24[[#This Row],[ADD ACC
(475/950)]]*Table24[[#This Row],[Duration
(A359)]]</f>
        <v>0</v>
      </c>
      <c r="R421" s="307">
        <f>IFERROR(VLOOKUP(Table24[[#This Row],[ROUTE]],PRICING!A:B,2,FALSE),0)</f>
        <v>0</v>
      </c>
      <c r="S421" s="308">
        <f>Table24[[#This Row],[C_DEMAND]]-Table24[[#This Row],[R-DEMAND]]</f>
        <v>0</v>
      </c>
      <c r="T421" s="307">
        <f>Table24[[#This Row],[SEATS SOLD]]*Table24[[#This Row],[ECO SEAT]]</f>
        <v>0</v>
      </c>
      <c r="U421" s="307">
        <f>Table24[[#This Row],[SEATS SOLD]]*(IFERROR(VLOOKUP(Table24[[#This Row],[ROUTE]],PRICING!A:C,3,FALSE),0))</f>
        <v>0</v>
      </c>
      <c r="V421" s="307">
        <f>Table24[[#This Row],[SEAT REV]]-Table24[[#This Row],[SEAT REV
(IF IDEAL $)]]</f>
        <v>0</v>
      </c>
    </row>
    <row r="422" spans="1:22" customFormat="1" x14ac:dyDescent="0.25">
      <c r="A422" s="306" t="s">
        <v>17961</v>
      </c>
      <c r="B422" s="306" t="s">
        <v>1898</v>
      </c>
      <c r="C422" s="306"/>
      <c r="D422" s="26">
        <v>1</v>
      </c>
      <c r="E422" s="312" t="s">
        <v>11732</v>
      </c>
      <c r="F422" s="306" t="str">
        <f>VLOOKUP(Table24[[#This Row],[Country]],Table10[[COUNTRY NAME]:[CONTINENT CODE]],3,FALSE)</f>
        <v>NA - US</v>
      </c>
      <c r="G422" s="312" t="s">
        <v>13277</v>
      </c>
      <c r="H422" s="309">
        <v>4315</v>
      </c>
      <c r="I422" s="310">
        <v>11.5</v>
      </c>
      <c r="J422" s="307"/>
      <c r="K422" s="307">
        <f>IFERROR(Table24[[#This Row],[ROUTE COST]]/Table24[[#This Row],[O - DEMAND]],0)</f>
        <v>0</v>
      </c>
      <c r="L422" s="306"/>
      <c r="M422" s="310">
        <f>Table24[[#This Row],[O - DEMAND]]/950</f>
        <v>0</v>
      </c>
      <c r="N422" s="306">
        <f>IFERROR(VLOOKUP(Table24[[#This Row],[ROUTE]],DEMAND!A:F,5,FALSE),0)</f>
        <v>0</v>
      </c>
      <c r="O422" s="306">
        <f>IFERROR(VLOOKUP(Table24[[#This Row],[ROUTE]],DEMAND!A:F,6,FALSE),0)</f>
        <v>0</v>
      </c>
      <c r="P422" s="306">
        <f>ROUNDDOWN(Table24[[#This Row],[R-DEMAND]]/950,0)</f>
        <v>0</v>
      </c>
      <c r="Q422" s="306">
        <f>Table24[[#This Row],[ADD ACC
(475/950)]]*Table24[[#This Row],[Duration
(A359)]]</f>
        <v>0</v>
      </c>
      <c r="R422" s="307">
        <f>IFERROR(VLOOKUP(Table24[[#This Row],[ROUTE]],PRICING!A:B,2,FALSE),0)</f>
        <v>0</v>
      </c>
      <c r="S422" s="308">
        <f>Table24[[#This Row],[C_DEMAND]]-Table24[[#This Row],[R-DEMAND]]</f>
        <v>0</v>
      </c>
      <c r="T422" s="307">
        <f>Table24[[#This Row],[SEATS SOLD]]*Table24[[#This Row],[ECO SEAT]]</f>
        <v>0</v>
      </c>
      <c r="U422" s="307">
        <f>Table24[[#This Row],[SEATS SOLD]]*(IFERROR(VLOOKUP(Table24[[#This Row],[ROUTE]],PRICING!A:C,3,FALSE),0))</f>
        <v>0</v>
      </c>
      <c r="V422" s="307">
        <f>Table24[[#This Row],[SEAT REV]]-Table24[[#This Row],[SEAT REV
(IF IDEAL $)]]</f>
        <v>0</v>
      </c>
    </row>
    <row r="423" spans="1:22" customFormat="1" x14ac:dyDescent="0.25">
      <c r="A423" s="306" t="s">
        <v>17884</v>
      </c>
      <c r="B423" s="306" t="s">
        <v>5244</v>
      </c>
      <c r="C423" s="306"/>
      <c r="D423" s="26">
        <v>3</v>
      </c>
      <c r="E423" s="312" t="s">
        <v>11732</v>
      </c>
      <c r="F423" s="306" t="str">
        <f>VLOOKUP(Table24[[#This Row],[Country]],Table10[[COUNTRY NAME]:[CONTINENT CODE]],3,FALSE)</f>
        <v>NA - US</v>
      </c>
      <c r="G423" s="312" t="s">
        <v>13289</v>
      </c>
      <c r="H423" s="309">
        <v>4139</v>
      </c>
      <c r="I423" s="310">
        <v>11.25</v>
      </c>
      <c r="J423" s="307"/>
      <c r="K423" s="307">
        <f>IFERROR(Table24[[#This Row],[ROUTE COST]]/Table24[[#This Row],[O - DEMAND]],0)</f>
        <v>0</v>
      </c>
      <c r="L423" s="306"/>
      <c r="M423" s="310">
        <f>Table24[[#This Row],[O - DEMAND]]/950</f>
        <v>0</v>
      </c>
      <c r="N423" s="306">
        <f>IFERROR(VLOOKUP(Table24[[#This Row],[ROUTE]],DEMAND!A:F,5,FALSE),0)</f>
        <v>0</v>
      </c>
      <c r="O423" s="306">
        <f>IFERROR(VLOOKUP(Table24[[#This Row],[ROUTE]],DEMAND!A:F,6,FALSE),0)</f>
        <v>0</v>
      </c>
      <c r="P423" s="306">
        <f>ROUNDDOWN(Table24[[#This Row],[R-DEMAND]]/950,0)</f>
        <v>0</v>
      </c>
      <c r="Q423" s="306">
        <f>Table24[[#This Row],[ADD ACC
(475/950)]]*Table24[[#This Row],[Duration
(A359)]]</f>
        <v>0</v>
      </c>
      <c r="R423" s="307">
        <f>IFERROR(VLOOKUP(Table24[[#This Row],[ROUTE]],PRICING!A:B,2,FALSE),0)</f>
        <v>0</v>
      </c>
      <c r="S423" s="308">
        <f>Table24[[#This Row],[C_DEMAND]]-Table24[[#This Row],[R-DEMAND]]</f>
        <v>0</v>
      </c>
      <c r="T423" s="307">
        <f>Table24[[#This Row],[SEATS SOLD]]*Table24[[#This Row],[ECO SEAT]]</f>
        <v>0</v>
      </c>
      <c r="U423" s="307">
        <f>Table24[[#This Row],[SEATS SOLD]]*(IFERROR(VLOOKUP(Table24[[#This Row],[ROUTE]],PRICING!A:C,3,FALSE),0))</f>
        <v>0</v>
      </c>
      <c r="V423" s="307">
        <f>Table24[[#This Row],[SEAT REV]]-Table24[[#This Row],[SEAT REV
(IF IDEAL $)]]</f>
        <v>0</v>
      </c>
    </row>
    <row r="424" spans="1:22" customFormat="1" x14ac:dyDescent="0.25">
      <c r="A424" s="306" t="s">
        <v>17918</v>
      </c>
      <c r="B424" s="306" t="s">
        <v>3035</v>
      </c>
      <c r="C424" s="306"/>
      <c r="D424" s="26">
        <v>2</v>
      </c>
      <c r="E424" s="312" t="s">
        <v>11732</v>
      </c>
      <c r="F424" s="306" t="str">
        <f>VLOOKUP(Table24[[#This Row],[Country]],Table10[[COUNTRY NAME]:[CONTINENT CODE]],3,FALSE)</f>
        <v>NA - US</v>
      </c>
      <c r="G424" s="312" t="s">
        <v>13278</v>
      </c>
      <c r="H424" s="309">
        <v>4192</v>
      </c>
      <c r="I424" s="310">
        <v>11.25</v>
      </c>
      <c r="J424" s="307"/>
      <c r="K424" s="307">
        <f>IFERROR(Table24[[#This Row],[ROUTE COST]]/Table24[[#This Row],[O - DEMAND]],0)</f>
        <v>0</v>
      </c>
      <c r="L424" s="306"/>
      <c r="M424" s="310">
        <f>Table24[[#This Row],[O - DEMAND]]/950</f>
        <v>0</v>
      </c>
      <c r="N424" s="306">
        <f>IFERROR(VLOOKUP(Table24[[#This Row],[ROUTE]],DEMAND!A:F,5,FALSE),0)</f>
        <v>0</v>
      </c>
      <c r="O424" s="306">
        <f>IFERROR(VLOOKUP(Table24[[#This Row],[ROUTE]],DEMAND!A:F,6,FALSE),0)</f>
        <v>0</v>
      </c>
      <c r="P424" s="306">
        <f>ROUNDDOWN(Table24[[#This Row],[R-DEMAND]]/950,0)</f>
        <v>0</v>
      </c>
      <c r="Q424" s="306">
        <f>Table24[[#This Row],[ADD ACC
(475/950)]]*Table24[[#This Row],[Duration
(A359)]]</f>
        <v>0</v>
      </c>
      <c r="R424" s="307">
        <f>IFERROR(VLOOKUP(Table24[[#This Row],[ROUTE]],PRICING!A:B,2,FALSE),0)</f>
        <v>0</v>
      </c>
      <c r="S424" s="308">
        <f>Table24[[#This Row],[C_DEMAND]]-Table24[[#This Row],[R-DEMAND]]</f>
        <v>0</v>
      </c>
      <c r="T424" s="307">
        <f>Table24[[#This Row],[SEATS SOLD]]*Table24[[#This Row],[ECO SEAT]]</f>
        <v>0</v>
      </c>
      <c r="U424" s="307">
        <f>Table24[[#This Row],[SEATS SOLD]]*(IFERROR(VLOOKUP(Table24[[#This Row],[ROUTE]],PRICING!A:C,3,FALSE),0))</f>
        <v>0</v>
      </c>
      <c r="V424" s="307">
        <f>Table24[[#This Row],[SEAT REV]]-Table24[[#This Row],[SEAT REV
(IF IDEAL $)]]</f>
        <v>0</v>
      </c>
    </row>
    <row r="425" spans="1:22" customFormat="1" x14ac:dyDescent="0.25">
      <c r="A425" s="306" t="s">
        <v>17919</v>
      </c>
      <c r="B425" s="306" t="s">
        <v>4005</v>
      </c>
      <c r="C425" s="306"/>
      <c r="D425" s="26">
        <v>2</v>
      </c>
      <c r="E425" s="312" t="s">
        <v>11732</v>
      </c>
      <c r="F425" s="306" t="str">
        <f>VLOOKUP(Table24[[#This Row],[Country]],Table10[[COUNTRY NAME]:[CONTINENT CODE]],3,FALSE)</f>
        <v>NA - US</v>
      </c>
      <c r="G425" s="312" t="s">
        <v>13280</v>
      </c>
      <c r="H425" s="309">
        <v>4162</v>
      </c>
      <c r="I425" s="310">
        <v>11.25</v>
      </c>
      <c r="J425" s="307"/>
      <c r="K425" s="307">
        <f>IFERROR(Table24[[#This Row],[ROUTE COST]]/Table24[[#This Row],[O - DEMAND]],0)</f>
        <v>0</v>
      </c>
      <c r="L425" s="306"/>
      <c r="M425" s="310">
        <f>Table24[[#This Row],[O - DEMAND]]/950</f>
        <v>0</v>
      </c>
      <c r="N425" s="306">
        <f>IFERROR(VLOOKUP(Table24[[#This Row],[ROUTE]],DEMAND!A:F,5,FALSE),0)</f>
        <v>0</v>
      </c>
      <c r="O425" s="306">
        <f>IFERROR(VLOOKUP(Table24[[#This Row],[ROUTE]],DEMAND!A:F,6,FALSE),0)</f>
        <v>0</v>
      </c>
      <c r="P425" s="306">
        <f>ROUNDDOWN(Table24[[#This Row],[R-DEMAND]]/950,0)</f>
        <v>0</v>
      </c>
      <c r="Q425" s="306">
        <f>Table24[[#This Row],[ADD ACC
(475/950)]]*Table24[[#This Row],[Duration
(A359)]]</f>
        <v>0</v>
      </c>
      <c r="R425" s="307">
        <f>IFERROR(VLOOKUP(Table24[[#This Row],[ROUTE]],PRICING!A:B,2,FALSE),0)</f>
        <v>0</v>
      </c>
      <c r="S425" s="308">
        <f>Table24[[#This Row],[C_DEMAND]]-Table24[[#This Row],[R-DEMAND]]</f>
        <v>0</v>
      </c>
      <c r="T425" s="307">
        <f>Table24[[#This Row],[SEATS SOLD]]*Table24[[#This Row],[ECO SEAT]]</f>
        <v>0</v>
      </c>
      <c r="U425" s="307">
        <f>Table24[[#This Row],[SEATS SOLD]]*(IFERROR(VLOOKUP(Table24[[#This Row],[ROUTE]],PRICING!A:C,3,FALSE),0))</f>
        <v>0</v>
      </c>
      <c r="V425" s="307">
        <f>Table24[[#This Row],[SEAT REV]]-Table24[[#This Row],[SEAT REV
(IF IDEAL $)]]</f>
        <v>0</v>
      </c>
    </row>
    <row r="426" spans="1:22" customFormat="1" x14ac:dyDescent="0.25">
      <c r="A426" s="306" t="s">
        <v>17920</v>
      </c>
      <c r="B426" s="306" t="s">
        <v>3532</v>
      </c>
      <c r="C426" s="306"/>
      <c r="D426" s="26">
        <v>2</v>
      </c>
      <c r="E426" s="312" t="s">
        <v>11732</v>
      </c>
      <c r="F426" s="306" t="str">
        <f>VLOOKUP(Table24[[#This Row],[Country]],Table10[[COUNTRY NAME]:[CONTINENT CODE]],3,FALSE)</f>
        <v>NA - US</v>
      </c>
      <c r="G426" s="312" t="s">
        <v>13281</v>
      </c>
      <c r="H426" s="309">
        <v>4122</v>
      </c>
      <c r="I426" s="310">
        <v>11.25</v>
      </c>
      <c r="J426" s="307"/>
      <c r="K426" s="307">
        <f>IFERROR(Table24[[#This Row],[ROUTE COST]]/Table24[[#This Row],[O - DEMAND]],0)</f>
        <v>0</v>
      </c>
      <c r="L426" s="306"/>
      <c r="M426" s="310">
        <f>Table24[[#This Row],[O - DEMAND]]/950</f>
        <v>0</v>
      </c>
      <c r="N426" s="306">
        <f>IFERROR(VLOOKUP(Table24[[#This Row],[ROUTE]],DEMAND!A:F,5,FALSE),0)</f>
        <v>0</v>
      </c>
      <c r="O426" s="306">
        <f>IFERROR(VLOOKUP(Table24[[#This Row],[ROUTE]],DEMAND!A:F,6,FALSE),0)</f>
        <v>0</v>
      </c>
      <c r="P426" s="306">
        <f>ROUNDDOWN(Table24[[#This Row],[R-DEMAND]]/950,0)</f>
        <v>0</v>
      </c>
      <c r="Q426" s="306">
        <f>Table24[[#This Row],[ADD ACC
(475/950)]]*Table24[[#This Row],[Duration
(A359)]]</f>
        <v>0</v>
      </c>
      <c r="R426" s="307">
        <f>IFERROR(VLOOKUP(Table24[[#This Row],[ROUTE]],PRICING!A:B,2,FALSE),0)</f>
        <v>0</v>
      </c>
      <c r="S426" s="308">
        <f>Table24[[#This Row],[C_DEMAND]]-Table24[[#This Row],[R-DEMAND]]</f>
        <v>0</v>
      </c>
      <c r="T426" s="307">
        <f>Table24[[#This Row],[SEATS SOLD]]*Table24[[#This Row],[ECO SEAT]]</f>
        <v>0</v>
      </c>
      <c r="U426" s="307">
        <f>Table24[[#This Row],[SEATS SOLD]]*(IFERROR(VLOOKUP(Table24[[#This Row],[ROUTE]],PRICING!A:C,3,FALSE),0))</f>
        <v>0</v>
      </c>
      <c r="V426" s="307">
        <f>Table24[[#This Row],[SEAT REV]]-Table24[[#This Row],[SEAT REV
(IF IDEAL $)]]</f>
        <v>0</v>
      </c>
    </row>
    <row r="427" spans="1:22" customFormat="1" x14ac:dyDescent="0.25">
      <c r="A427" s="306" t="s">
        <v>17774</v>
      </c>
      <c r="B427" s="306" t="s">
        <v>3398</v>
      </c>
      <c r="C427" s="306"/>
      <c r="D427" s="26">
        <v>2</v>
      </c>
      <c r="E427" s="312" t="s">
        <v>514</v>
      </c>
      <c r="F427" s="306" t="str">
        <f>VLOOKUP(Table24[[#This Row],[Country]],Table10[[COUNTRY NAME]:[CONTINENT CODE]],3,FALSE)</f>
        <v>NA</v>
      </c>
      <c r="G427" s="312" t="s">
        <v>5935</v>
      </c>
      <c r="H427" s="309">
        <v>3997</v>
      </c>
      <c r="I427" s="310">
        <v>11</v>
      </c>
      <c r="J427" s="307"/>
      <c r="K427" s="307">
        <f>IFERROR(Table24[[#This Row],[ROUTE COST]]/Table24[[#This Row],[O - DEMAND]],0)</f>
        <v>0</v>
      </c>
      <c r="L427" s="306"/>
      <c r="M427" s="310">
        <f>Table24[[#This Row],[O - DEMAND]]/950</f>
        <v>0</v>
      </c>
      <c r="N427" s="306">
        <f>IFERROR(VLOOKUP(Table24[[#This Row],[ROUTE]],DEMAND!A:F,5,FALSE),0)</f>
        <v>0</v>
      </c>
      <c r="O427" s="306">
        <f>IFERROR(VLOOKUP(Table24[[#This Row],[ROUTE]],DEMAND!A:F,6,FALSE),0)</f>
        <v>0</v>
      </c>
      <c r="P427" s="306">
        <f>ROUNDDOWN(Table24[[#This Row],[R-DEMAND]]/950,0)</f>
        <v>0</v>
      </c>
      <c r="Q427" s="306">
        <f>Table24[[#This Row],[ADD ACC
(475/950)]]*Table24[[#This Row],[Duration
(A359)]]</f>
        <v>0</v>
      </c>
      <c r="R427" s="307">
        <f>IFERROR(VLOOKUP(Table24[[#This Row],[ROUTE]],PRICING!A:B,2,FALSE),0)</f>
        <v>0</v>
      </c>
      <c r="S427" s="308">
        <f>Table24[[#This Row],[C_DEMAND]]-Table24[[#This Row],[R-DEMAND]]</f>
        <v>0</v>
      </c>
      <c r="T427" s="307">
        <f>Table24[[#This Row],[SEATS SOLD]]*Table24[[#This Row],[ECO SEAT]]</f>
        <v>0</v>
      </c>
      <c r="U427" s="307">
        <f>Table24[[#This Row],[SEATS SOLD]]*(IFERROR(VLOOKUP(Table24[[#This Row],[ROUTE]],PRICING!A:C,3,FALSE),0))</f>
        <v>0</v>
      </c>
      <c r="V427" s="307">
        <f>Table24[[#This Row],[SEAT REV]]-Table24[[#This Row],[SEAT REV
(IF IDEAL $)]]</f>
        <v>0</v>
      </c>
    </row>
    <row r="428" spans="1:22" customFormat="1" x14ac:dyDescent="0.25">
      <c r="A428" s="306" t="s">
        <v>17922</v>
      </c>
      <c r="B428" s="306" t="s">
        <v>3672</v>
      </c>
      <c r="C428" s="306"/>
      <c r="D428" s="26">
        <v>2</v>
      </c>
      <c r="E428" s="312" t="s">
        <v>11732</v>
      </c>
      <c r="F428" s="306" t="str">
        <f>VLOOKUP(Table24[[#This Row],[Country]],Table10[[COUNTRY NAME]:[CONTINENT CODE]],3,FALSE)</f>
        <v>NA - US</v>
      </c>
      <c r="G428" s="312" t="s">
        <v>13287</v>
      </c>
      <c r="H428" s="309">
        <v>4017</v>
      </c>
      <c r="I428" s="310">
        <v>11</v>
      </c>
      <c r="J428" s="307"/>
      <c r="K428" s="307">
        <f>IFERROR(Table24[[#This Row],[ROUTE COST]]/Table24[[#This Row],[O - DEMAND]],0)</f>
        <v>0</v>
      </c>
      <c r="L428" s="306"/>
      <c r="M428" s="310">
        <f>Table24[[#This Row],[O - DEMAND]]/950</f>
        <v>0</v>
      </c>
      <c r="N428" s="306">
        <f>IFERROR(VLOOKUP(Table24[[#This Row],[ROUTE]],DEMAND!A:F,5,FALSE),0)</f>
        <v>0</v>
      </c>
      <c r="O428" s="306">
        <f>IFERROR(VLOOKUP(Table24[[#This Row],[ROUTE]],DEMAND!A:F,6,FALSE),0)</f>
        <v>0</v>
      </c>
      <c r="P428" s="306">
        <f>ROUNDDOWN(Table24[[#This Row],[R-DEMAND]]/950,0)</f>
        <v>0</v>
      </c>
      <c r="Q428" s="306">
        <f>Table24[[#This Row],[ADD ACC
(475/950)]]*Table24[[#This Row],[Duration
(A359)]]</f>
        <v>0</v>
      </c>
      <c r="R428" s="307">
        <f>IFERROR(VLOOKUP(Table24[[#This Row],[ROUTE]],PRICING!A:B,2,FALSE),0)</f>
        <v>0</v>
      </c>
      <c r="S428" s="308">
        <f>Table24[[#This Row],[C_DEMAND]]-Table24[[#This Row],[R-DEMAND]]</f>
        <v>0</v>
      </c>
      <c r="T428" s="307">
        <f>Table24[[#This Row],[SEATS SOLD]]*Table24[[#This Row],[ECO SEAT]]</f>
        <v>0</v>
      </c>
      <c r="U428" s="307">
        <f>Table24[[#This Row],[SEATS SOLD]]*(IFERROR(VLOOKUP(Table24[[#This Row],[ROUTE]],PRICING!A:C,3,FALSE),0))</f>
        <v>0</v>
      </c>
      <c r="V428" s="307">
        <f>Table24[[#This Row],[SEAT REV]]-Table24[[#This Row],[SEAT REV
(IF IDEAL $)]]</f>
        <v>0</v>
      </c>
    </row>
    <row r="429" spans="1:22" customFormat="1" x14ac:dyDescent="0.25">
      <c r="A429" s="306" t="s">
        <v>17923</v>
      </c>
      <c r="B429" s="306" t="s">
        <v>2599</v>
      </c>
      <c r="C429" s="306"/>
      <c r="D429" s="26">
        <v>2</v>
      </c>
      <c r="E429" s="312" t="s">
        <v>11732</v>
      </c>
      <c r="F429" s="306" t="str">
        <f>VLOOKUP(Table24[[#This Row],[Country]],Table10[[COUNTRY NAME]:[CONTINENT CODE]],3,FALSE)</f>
        <v>NA - US</v>
      </c>
      <c r="G429" s="312" t="s">
        <v>13286</v>
      </c>
      <c r="H429" s="309">
        <v>4009</v>
      </c>
      <c r="I429" s="310">
        <v>11</v>
      </c>
      <c r="J429" s="307"/>
      <c r="K429" s="307">
        <f>IFERROR(Table24[[#This Row],[ROUTE COST]]/Table24[[#This Row],[O - DEMAND]],0)</f>
        <v>0</v>
      </c>
      <c r="L429" s="306"/>
      <c r="M429" s="310">
        <f>Table24[[#This Row],[O - DEMAND]]/950</f>
        <v>0</v>
      </c>
      <c r="N429" s="306">
        <f>IFERROR(VLOOKUP(Table24[[#This Row],[ROUTE]],DEMAND!A:F,5,FALSE),0)</f>
        <v>0</v>
      </c>
      <c r="O429" s="306">
        <f>IFERROR(VLOOKUP(Table24[[#This Row],[ROUTE]],DEMAND!A:F,6,FALSE),0)</f>
        <v>0</v>
      </c>
      <c r="P429" s="306">
        <f>ROUNDDOWN(Table24[[#This Row],[R-DEMAND]]/950,0)</f>
        <v>0</v>
      </c>
      <c r="Q429" s="306">
        <f>Table24[[#This Row],[ADD ACC
(475/950)]]*Table24[[#This Row],[Duration
(A359)]]</f>
        <v>0</v>
      </c>
      <c r="R429" s="307">
        <f>IFERROR(VLOOKUP(Table24[[#This Row],[ROUTE]],PRICING!A:B,2,FALSE),0)</f>
        <v>0</v>
      </c>
      <c r="S429" s="308">
        <f>Table24[[#This Row],[C_DEMAND]]-Table24[[#This Row],[R-DEMAND]]</f>
        <v>0</v>
      </c>
      <c r="T429" s="307">
        <f>Table24[[#This Row],[SEATS SOLD]]*Table24[[#This Row],[ECO SEAT]]</f>
        <v>0</v>
      </c>
      <c r="U429" s="307">
        <f>Table24[[#This Row],[SEATS SOLD]]*(IFERROR(VLOOKUP(Table24[[#This Row],[ROUTE]],PRICING!A:C,3,FALSE),0))</f>
        <v>0</v>
      </c>
      <c r="V429" s="307">
        <f>Table24[[#This Row],[SEAT REV]]-Table24[[#This Row],[SEAT REV
(IF IDEAL $)]]</f>
        <v>0</v>
      </c>
    </row>
    <row r="430" spans="1:22" customFormat="1" x14ac:dyDescent="0.25">
      <c r="A430" s="306" t="s">
        <v>17921</v>
      </c>
      <c r="B430" s="306" t="s">
        <v>3217</v>
      </c>
      <c r="C430" s="306"/>
      <c r="D430" s="26">
        <v>2</v>
      </c>
      <c r="E430" s="312" t="s">
        <v>11732</v>
      </c>
      <c r="F430" s="306" t="str">
        <f>VLOOKUP(Table24[[#This Row],[Country]],Table10[[COUNTRY NAME]:[CONTINENT CODE]],3,FALSE)</f>
        <v>NA - US</v>
      </c>
      <c r="G430" s="312" t="s">
        <v>13282</v>
      </c>
      <c r="H430" s="309">
        <v>4085</v>
      </c>
      <c r="I430" s="310">
        <v>11</v>
      </c>
      <c r="J430" s="307"/>
      <c r="K430" s="307">
        <f>IFERROR(Table24[[#This Row],[ROUTE COST]]/Table24[[#This Row],[O - DEMAND]],0)</f>
        <v>0</v>
      </c>
      <c r="L430" s="306"/>
      <c r="M430" s="310">
        <f>Table24[[#This Row],[O - DEMAND]]/950</f>
        <v>0</v>
      </c>
      <c r="N430" s="306">
        <f>IFERROR(VLOOKUP(Table24[[#This Row],[ROUTE]],DEMAND!A:F,5,FALSE),0)</f>
        <v>0</v>
      </c>
      <c r="O430" s="306">
        <f>IFERROR(VLOOKUP(Table24[[#This Row],[ROUTE]],DEMAND!A:F,6,FALSE),0)</f>
        <v>0</v>
      </c>
      <c r="P430" s="306">
        <f>ROUNDDOWN(Table24[[#This Row],[R-DEMAND]]/950,0)</f>
        <v>0</v>
      </c>
      <c r="Q430" s="306">
        <f>Table24[[#This Row],[ADD ACC
(475/950)]]*Table24[[#This Row],[Duration
(A359)]]</f>
        <v>0</v>
      </c>
      <c r="R430" s="307">
        <f>IFERROR(VLOOKUP(Table24[[#This Row],[ROUTE]],PRICING!A:B,2,FALSE),0)</f>
        <v>0</v>
      </c>
      <c r="S430" s="308">
        <f>Table24[[#This Row],[C_DEMAND]]-Table24[[#This Row],[R-DEMAND]]</f>
        <v>0</v>
      </c>
      <c r="T430" s="307">
        <f>Table24[[#This Row],[SEATS SOLD]]*Table24[[#This Row],[ECO SEAT]]</f>
        <v>0</v>
      </c>
      <c r="U430" s="307">
        <f>Table24[[#This Row],[SEATS SOLD]]*(IFERROR(VLOOKUP(Table24[[#This Row],[ROUTE]],PRICING!A:C,3,FALSE),0))</f>
        <v>0</v>
      </c>
      <c r="V430" s="307">
        <f>Table24[[#This Row],[SEAT REV]]-Table24[[#This Row],[SEAT REV
(IF IDEAL $)]]</f>
        <v>0</v>
      </c>
    </row>
    <row r="431" spans="1:22" customFormat="1" x14ac:dyDescent="0.25">
      <c r="A431" s="306" t="s">
        <v>17962</v>
      </c>
      <c r="B431" s="306" t="s">
        <v>1376</v>
      </c>
      <c r="C431" s="306"/>
      <c r="D431" s="26">
        <v>1</v>
      </c>
      <c r="E431" s="312" t="s">
        <v>11732</v>
      </c>
      <c r="F431" s="306" t="str">
        <f>VLOOKUP(Table24[[#This Row],[Country]],Table10[[COUNTRY NAME]:[CONTINENT CODE]],3,FALSE)</f>
        <v>NA - US</v>
      </c>
      <c r="G431" s="312" t="s">
        <v>16963</v>
      </c>
      <c r="H431" s="309">
        <v>4049</v>
      </c>
      <c r="I431" s="310">
        <v>11</v>
      </c>
      <c r="J431" s="307"/>
      <c r="K431" s="307">
        <f>IFERROR(Table24[[#This Row],[ROUTE COST]]/Table24[[#This Row],[O - DEMAND]],0)</f>
        <v>0</v>
      </c>
      <c r="L431" s="306"/>
      <c r="M431" s="310">
        <f>Table24[[#This Row],[O - DEMAND]]/950</f>
        <v>0</v>
      </c>
      <c r="N431" s="306">
        <f>IFERROR(VLOOKUP(Table24[[#This Row],[ROUTE]],DEMAND!A:F,5,FALSE),0)</f>
        <v>0</v>
      </c>
      <c r="O431" s="306">
        <f>IFERROR(VLOOKUP(Table24[[#This Row],[ROUTE]],DEMAND!A:F,6,FALSE),0)</f>
        <v>0</v>
      </c>
      <c r="P431" s="306">
        <f>ROUNDDOWN(Table24[[#This Row],[R-DEMAND]]/950,0)</f>
        <v>0</v>
      </c>
      <c r="Q431" s="306">
        <f>Table24[[#This Row],[ADD ACC
(475/950)]]*Table24[[#This Row],[Duration
(A359)]]</f>
        <v>0</v>
      </c>
      <c r="R431" s="307">
        <f>IFERROR(VLOOKUP(Table24[[#This Row],[ROUTE]],PRICING!A:B,2,FALSE),0)</f>
        <v>0</v>
      </c>
      <c r="S431" s="308">
        <f>Table24[[#This Row],[C_DEMAND]]-Table24[[#This Row],[R-DEMAND]]</f>
        <v>0</v>
      </c>
      <c r="T431" s="307">
        <f>Table24[[#This Row],[SEATS SOLD]]*Table24[[#This Row],[ECO SEAT]]</f>
        <v>0</v>
      </c>
      <c r="U431" s="307">
        <f>Table24[[#This Row],[SEATS SOLD]]*(IFERROR(VLOOKUP(Table24[[#This Row],[ROUTE]],PRICING!A:C,3,FALSE),0))</f>
        <v>0</v>
      </c>
      <c r="V431" s="307">
        <f>Table24[[#This Row],[SEAT REV]]-Table24[[#This Row],[SEAT REV
(IF IDEAL $)]]</f>
        <v>0</v>
      </c>
    </row>
    <row r="432" spans="1:22" customFormat="1" x14ac:dyDescent="0.25">
      <c r="A432" s="306" t="s">
        <v>17987</v>
      </c>
      <c r="B432" s="306" t="s">
        <v>3831</v>
      </c>
      <c r="C432" s="306"/>
      <c r="D432" s="26"/>
      <c r="E432" s="312" t="s">
        <v>11732</v>
      </c>
      <c r="F432" s="306" t="str">
        <f>VLOOKUP(Table24[[#This Row],[Country]],Table10[[COUNTRY NAME]:[CONTINENT CODE]],3,FALSE)</f>
        <v>NA - US</v>
      </c>
      <c r="G432" s="312" t="s">
        <v>16961</v>
      </c>
      <c r="H432" s="309">
        <v>4069</v>
      </c>
      <c r="I432" s="310">
        <v>11</v>
      </c>
      <c r="J432" s="307"/>
      <c r="K432" s="307">
        <f>IFERROR(Table24[[#This Row],[ROUTE COST]]/Table24[[#This Row],[O - DEMAND]],0)</f>
        <v>0</v>
      </c>
      <c r="L432" s="306"/>
      <c r="M432" s="310">
        <f>Table24[[#This Row],[O - DEMAND]]/950</f>
        <v>0</v>
      </c>
      <c r="N432" s="306">
        <f>IFERROR(VLOOKUP(Table24[[#This Row],[ROUTE]],DEMAND!A:F,5,FALSE),0)</f>
        <v>0</v>
      </c>
      <c r="O432" s="306">
        <f>IFERROR(VLOOKUP(Table24[[#This Row],[ROUTE]],DEMAND!A:F,6,FALSE),0)</f>
        <v>0</v>
      </c>
      <c r="P432" s="306">
        <f>ROUNDDOWN(Table24[[#This Row],[R-DEMAND]]/950,0)</f>
        <v>0</v>
      </c>
      <c r="Q432" s="306">
        <f>Table24[[#This Row],[ADD ACC
(475/950)]]*Table24[[#This Row],[Duration
(A359)]]</f>
        <v>0</v>
      </c>
      <c r="R432" s="307">
        <f>IFERROR(VLOOKUP(Table24[[#This Row],[ROUTE]],PRICING!A:B,2,FALSE),0)</f>
        <v>0</v>
      </c>
      <c r="S432" s="308">
        <f>Table24[[#This Row],[C_DEMAND]]-Table24[[#This Row],[R-DEMAND]]</f>
        <v>0</v>
      </c>
      <c r="T432" s="307">
        <f>Table24[[#This Row],[SEATS SOLD]]*Table24[[#This Row],[ECO SEAT]]</f>
        <v>0</v>
      </c>
      <c r="U432" s="307">
        <f>Table24[[#This Row],[SEATS SOLD]]*(IFERROR(VLOOKUP(Table24[[#This Row],[ROUTE]],PRICING!A:C,3,FALSE),0))</f>
        <v>0</v>
      </c>
      <c r="V432" s="307">
        <f>Table24[[#This Row],[SEAT REV]]-Table24[[#This Row],[SEAT REV
(IF IDEAL $)]]</f>
        <v>0</v>
      </c>
    </row>
    <row r="433" spans="1:22" customFormat="1" x14ac:dyDescent="0.25">
      <c r="A433" s="306" t="s">
        <v>17988</v>
      </c>
      <c r="B433" s="306" t="s">
        <v>3823</v>
      </c>
      <c r="C433" s="306"/>
      <c r="D433" s="26"/>
      <c r="E433" s="312" t="s">
        <v>11732</v>
      </c>
      <c r="F433" s="306" t="str">
        <f>VLOOKUP(Table24[[#This Row],[Country]],Table10[[COUNTRY NAME]:[CONTINENT CODE]],3,FALSE)</f>
        <v>NA - US</v>
      </c>
      <c r="G433" s="312" t="s">
        <v>16962</v>
      </c>
      <c r="H433" s="309">
        <v>4059</v>
      </c>
      <c r="I433" s="310">
        <v>11</v>
      </c>
      <c r="J433" s="307"/>
      <c r="K433" s="307">
        <f>IFERROR(Table24[[#This Row],[ROUTE COST]]/Table24[[#This Row],[O - DEMAND]],0)</f>
        <v>0</v>
      </c>
      <c r="L433" s="306"/>
      <c r="M433" s="310">
        <f>Table24[[#This Row],[O - DEMAND]]/950</f>
        <v>0</v>
      </c>
      <c r="N433" s="306">
        <f>IFERROR(VLOOKUP(Table24[[#This Row],[ROUTE]],DEMAND!A:F,5,FALSE),0)</f>
        <v>0</v>
      </c>
      <c r="O433" s="306">
        <f>IFERROR(VLOOKUP(Table24[[#This Row],[ROUTE]],DEMAND!A:F,6,FALSE),0)</f>
        <v>0</v>
      </c>
      <c r="P433" s="306">
        <f>ROUNDDOWN(Table24[[#This Row],[R-DEMAND]]/950,0)</f>
        <v>0</v>
      </c>
      <c r="Q433" s="306">
        <f>Table24[[#This Row],[ADD ACC
(475/950)]]*Table24[[#This Row],[Duration
(A359)]]</f>
        <v>0</v>
      </c>
      <c r="R433" s="307">
        <f>IFERROR(VLOOKUP(Table24[[#This Row],[ROUTE]],PRICING!A:B,2,FALSE),0)</f>
        <v>0</v>
      </c>
      <c r="S433" s="308">
        <f>Table24[[#This Row],[C_DEMAND]]-Table24[[#This Row],[R-DEMAND]]</f>
        <v>0</v>
      </c>
      <c r="T433" s="307">
        <f>Table24[[#This Row],[SEATS SOLD]]*Table24[[#This Row],[ECO SEAT]]</f>
        <v>0</v>
      </c>
      <c r="U433" s="307">
        <f>Table24[[#This Row],[SEATS SOLD]]*(IFERROR(VLOOKUP(Table24[[#This Row],[ROUTE]],PRICING!A:C,3,FALSE),0))</f>
        <v>0</v>
      </c>
      <c r="V433" s="307">
        <f>Table24[[#This Row],[SEAT REV]]-Table24[[#This Row],[SEAT REV
(IF IDEAL $)]]</f>
        <v>0</v>
      </c>
    </row>
    <row r="434" spans="1:22" customFormat="1" x14ac:dyDescent="0.25">
      <c r="A434" s="306" t="s">
        <v>17989</v>
      </c>
      <c r="B434" s="306" t="s">
        <v>4116</v>
      </c>
      <c r="C434" s="306"/>
      <c r="D434" s="26"/>
      <c r="E434" s="312" t="s">
        <v>11732</v>
      </c>
      <c r="F434" s="306" t="str">
        <f>VLOOKUP(Table24[[#This Row],[Country]],Table10[[COUNTRY NAME]:[CONTINENT CODE]],3,FALSE)</f>
        <v>NA - US</v>
      </c>
      <c r="G434" s="312" t="s">
        <v>16964</v>
      </c>
      <c r="H434" s="309">
        <v>4026</v>
      </c>
      <c r="I434" s="310">
        <v>11</v>
      </c>
      <c r="J434" s="307"/>
      <c r="K434" s="307">
        <f>IFERROR(Table24[[#This Row],[ROUTE COST]]/Table24[[#This Row],[O - DEMAND]],0)</f>
        <v>0</v>
      </c>
      <c r="L434" s="306"/>
      <c r="M434" s="310">
        <f>Table24[[#This Row],[O - DEMAND]]/950</f>
        <v>0</v>
      </c>
      <c r="N434" s="306">
        <f>IFERROR(VLOOKUP(Table24[[#This Row],[ROUTE]],DEMAND!A:F,5,FALSE),0)</f>
        <v>0</v>
      </c>
      <c r="O434" s="306">
        <f>IFERROR(VLOOKUP(Table24[[#This Row],[ROUTE]],DEMAND!A:F,6,FALSE),0)</f>
        <v>0</v>
      </c>
      <c r="P434" s="306">
        <f>ROUNDDOWN(Table24[[#This Row],[R-DEMAND]]/950,0)</f>
        <v>0</v>
      </c>
      <c r="Q434" s="306">
        <f>Table24[[#This Row],[ADD ACC
(475/950)]]*Table24[[#This Row],[Duration
(A359)]]</f>
        <v>0</v>
      </c>
      <c r="R434" s="307">
        <f>IFERROR(VLOOKUP(Table24[[#This Row],[ROUTE]],PRICING!A:B,2,FALSE),0)</f>
        <v>0</v>
      </c>
      <c r="S434" s="308">
        <f>Table24[[#This Row],[C_DEMAND]]-Table24[[#This Row],[R-DEMAND]]</f>
        <v>0</v>
      </c>
      <c r="T434" s="307">
        <f>Table24[[#This Row],[SEATS SOLD]]*Table24[[#This Row],[ECO SEAT]]</f>
        <v>0</v>
      </c>
      <c r="U434" s="307">
        <f>Table24[[#This Row],[SEATS SOLD]]*(IFERROR(VLOOKUP(Table24[[#This Row],[ROUTE]],PRICING!A:C,3,FALSE),0))</f>
        <v>0</v>
      </c>
      <c r="V434" s="307">
        <f>Table24[[#This Row],[SEAT REV]]-Table24[[#This Row],[SEAT REV
(IF IDEAL $)]]</f>
        <v>0</v>
      </c>
    </row>
    <row r="435" spans="1:22" customFormat="1" x14ac:dyDescent="0.25">
      <c r="A435" s="306" t="s">
        <v>17853</v>
      </c>
      <c r="B435" s="306" t="s">
        <v>5469</v>
      </c>
      <c r="C435" s="306"/>
      <c r="D435" s="26">
        <v>4</v>
      </c>
      <c r="E435" s="312" t="s">
        <v>11732</v>
      </c>
      <c r="F435" s="306" t="str">
        <f>VLOOKUP(Table24[[#This Row],[Country]],Table10[[COUNTRY NAME]:[CONTINENT CODE]],3,FALSE)</f>
        <v>NA - US</v>
      </c>
      <c r="G435" s="312" t="s">
        <v>16966</v>
      </c>
      <c r="H435" s="309">
        <v>3930</v>
      </c>
      <c r="I435" s="310">
        <v>10.75</v>
      </c>
      <c r="J435" s="307"/>
      <c r="K435" s="307">
        <f>IFERROR(Table24[[#This Row],[ROUTE COST]]/Table24[[#This Row],[O - DEMAND]],0)</f>
        <v>0</v>
      </c>
      <c r="L435" s="306"/>
      <c r="M435" s="310">
        <f>Table24[[#This Row],[O - DEMAND]]/950</f>
        <v>0</v>
      </c>
      <c r="N435" s="306">
        <f>IFERROR(VLOOKUP(Table24[[#This Row],[ROUTE]],DEMAND!A:F,5,FALSE),0)</f>
        <v>0</v>
      </c>
      <c r="O435" s="306">
        <f>IFERROR(VLOOKUP(Table24[[#This Row],[ROUTE]],DEMAND!A:F,6,FALSE),0)</f>
        <v>0</v>
      </c>
      <c r="P435" s="306">
        <f>ROUNDDOWN(Table24[[#This Row],[R-DEMAND]]/950,0)</f>
        <v>0</v>
      </c>
      <c r="Q435" s="306">
        <f>Table24[[#This Row],[ADD ACC
(475/950)]]*Table24[[#This Row],[Duration
(A359)]]</f>
        <v>0</v>
      </c>
      <c r="R435" s="307">
        <f>IFERROR(VLOOKUP(Table24[[#This Row],[ROUTE]],PRICING!A:B,2,FALSE),0)</f>
        <v>0</v>
      </c>
      <c r="S435" s="308">
        <f>Table24[[#This Row],[C_DEMAND]]-Table24[[#This Row],[R-DEMAND]]</f>
        <v>0</v>
      </c>
      <c r="T435" s="307">
        <f>Table24[[#This Row],[SEATS SOLD]]*Table24[[#This Row],[ECO SEAT]]</f>
        <v>0</v>
      </c>
      <c r="U435" s="307">
        <f>Table24[[#This Row],[SEATS SOLD]]*(IFERROR(VLOOKUP(Table24[[#This Row],[ROUTE]],PRICING!A:C,3,FALSE),0))</f>
        <v>0</v>
      </c>
      <c r="V435" s="307">
        <f>Table24[[#This Row],[SEAT REV]]-Table24[[#This Row],[SEAT REV
(IF IDEAL $)]]</f>
        <v>0</v>
      </c>
    </row>
    <row r="436" spans="1:22" customFormat="1" x14ac:dyDescent="0.25">
      <c r="A436" s="306" t="s">
        <v>17965</v>
      </c>
      <c r="B436" s="306" t="s">
        <v>1002</v>
      </c>
      <c r="C436" s="306"/>
      <c r="D436" s="26">
        <v>1</v>
      </c>
      <c r="E436" s="312" t="s">
        <v>11732</v>
      </c>
      <c r="F436" s="306" t="str">
        <f>VLOOKUP(Table24[[#This Row],[Country]],Table10[[COUNTRY NAME]:[CONTINENT CODE]],3,FALSE)</f>
        <v>NA - US</v>
      </c>
      <c r="G436" s="312" t="s">
        <v>16967</v>
      </c>
      <c r="H436" s="309">
        <v>3874</v>
      </c>
      <c r="I436" s="310">
        <v>10.75</v>
      </c>
      <c r="J436" s="307"/>
      <c r="K436" s="307">
        <f>IFERROR(Table24[[#This Row],[ROUTE COST]]/Table24[[#This Row],[O - DEMAND]],0)</f>
        <v>0</v>
      </c>
      <c r="L436" s="306"/>
      <c r="M436" s="310">
        <f>Table24[[#This Row],[O - DEMAND]]/950</f>
        <v>0</v>
      </c>
      <c r="N436" s="306">
        <f>IFERROR(VLOOKUP(Table24[[#This Row],[ROUTE]],DEMAND!A:F,5,FALSE),0)</f>
        <v>0</v>
      </c>
      <c r="O436" s="306">
        <f>IFERROR(VLOOKUP(Table24[[#This Row],[ROUTE]],DEMAND!A:F,6,FALSE),0)</f>
        <v>0</v>
      </c>
      <c r="P436" s="306">
        <f>ROUNDDOWN(Table24[[#This Row],[R-DEMAND]]/950,0)</f>
        <v>0</v>
      </c>
      <c r="Q436" s="306">
        <f>Table24[[#This Row],[ADD ACC
(475/950)]]*Table24[[#This Row],[Duration
(A359)]]</f>
        <v>0</v>
      </c>
      <c r="R436" s="307">
        <f>IFERROR(VLOOKUP(Table24[[#This Row],[ROUTE]],PRICING!A:B,2,FALSE),0)</f>
        <v>0</v>
      </c>
      <c r="S436" s="308">
        <f>Table24[[#This Row],[C_DEMAND]]-Table24[[#This Row],[R-DEMAND]]</f>
        <v>0</v>
      </c>
      <c r="T436" s="307">
        <f>Table24[[#This Row],[SEATS SOLD]]*Table24[[#This Row],[ECO SEAT]]</f>
        <v>0</v>
      </c>
      <c r="U436" s="307">
        <f>Table24[[#This Row],[SEATS SOLD]]*(IFERROR(VLOOKUP(Table24[[#This Row],[ROUTE]],PRICING!A:C,3,FALSE),0))</f>
        <v>0</v>
      </c>
      <c r="V436" s="307">
        <f>Table24[[#This Row],[SEAT REV]]-Table24[[#This Row],[SEAT REV
(IF IDEAL $)]]</f>
        <v>0</v>
      </c>
    </row>
    <row r="437" spans="1:22" customFormat="1" x14ac:dyDescent="0.25">
      <c r="A437" s="306" t="s">
        <v>17963</v>
      </c>
      <c r="B437" s="306" t="s">
        <v>1505</v>
      </c>
      <c r="C437" s="306"/>
      <c r="D437" s="26">
        <v>1</v>
      </c>
      <c r="E437" s="312" t="s">
        <v>11732</v>
      </c>
      <c r="F437" s="306" t="str">
        <f>VLOOKUP(Table24[[#This Row],[Country]],Table10[[COUNTRY NAME]:[CONTINENT CODE]],3,FALSE)</f>
        <v>NA - US</v>
      </c>
      <c r="G437" s="312" t="s">
        <v>13284</v>
      </c>
      <c r="H437" s="309">
        <v>3976</v>
      </c>
      <c r="I437" s="310">
        <v>10.75</v>
      </c>
      <c r="J437" s="307"/>
      <c r="K437" s="307">
        <f>IFERROR(Table24[[#This Row],[ROUTE COST]]/Table24[[#This Row],[O - DEMAND]],0)</f>
        <v>0</v>
      </c>
      <c r="L437" s="306"/>
      <c r="M437" s="310">
        <f>Table24[[#This Row],[O - DEMAND]]/950</f>
        <v>0</v>
      </c>
      <c r="N437" s="306">
        <f>IFERROR(VLOOKUP(Table24[[#This Row],[ROUTE]],DEMAND!A:F,5,FALSE),0)</f>
        <v>0</v>
      </c>
      <c r="O437" s="306">
        <f>IFERROR(VLOOKUP(Table24[[#This Row],[ROUTE]],DEMAND!A:F,6,FALSE),0)</f>
        <v>0</v>
      </c>
      <c r="P437" s="306">
        <f>ROUNDDOWN(Table24[[#This Row],[R-DEMAND]]/950,0)</f>
        <v>0</v>
      </c>
      <c r="Q437" s="306">
        <f>Table24[[#This Row],[ADD ACC
(475/950)]]*Table24[[#This Row],[Duration
(A359)]]</f>
        <v>0</v>
      </c>
      <c r="R437" s="307">
        <f>IFERROR(VLOOKUP(Table24[[#This Row],[ROUTE]],PRICING!A:B,2,FALSE),0)</f>
        <v>0</v>
      </c>
      <c r="S437" s="308">
        <f>Table24[[#This Row],[C_DEMAND]]-Table24[[#This Row],[R-DEMAND]]</f>
        <v>0</v>
      </c>
      <c r="T437" s="307">
        <f>Table24[[#This Row],[SEATS SOLD]]*Table24[[#This Row],[ECO SEAT]]</f>
        <v>0</v>
      </c>
      <c r="U437" s="307">
        <f>Table24[[#This Row],[SEATS SOLD]]*(IFERROR(VLOOKUP(Table24[[#This Row],[ROUTE]],PRICING!A:C,3,FALSE),0))</f>
        <v>0</v>
      </c>
      <c r="V437" s="307">
        <f>Table24[[#This Row],[SEAT REV]]-Table24[[#This Row],[SEAT REV
(IF IDEAL $)]]</f>
        <v>0</v>
      </c>
    </row>
    <row r="438" spans="1:22" customFormat="1" x14ac:dyDescent="0.25">
      <c r="A438" s="306" t="s">
        <v>17964</v>
      </c>
      <c r="B438" s="306" t="s">
        <v>2311</v>
      </c>
      <c r="C438" s="306"/>
      <c r="D438" s="26">
        <v>1</v>
      </c>
      <c r="E438" s="312" t="s">
        <v>11732</v>
      </c>
      <c r="F438" s="306" t="str">
        <f>VLOOKUP(Table24[[#This Row],[Country]],Table10[[COUNTRY NAME]:[CONTINENT CODE]],3,FALSE)</f>
        <v>NA - US</v>
      </c>
      <c r="G438" s="312" t="s">
        <v>16965</v>
      </c>
      <c r="H438" s="309">
        <v>3954</v>
      </c>
      <c r="I438" s="310">
        <v>10.75</v>
      </c>
      <c r="J438" s="307"/>
      <c r="K438" s="307">
        <f>IFERROR(Table24[[#This Row],[ROUTE COST]]/Table24[[#This Row],[O - DEMAND]],0)</f>
        <v>0</v>
      </c>
      <c r="L438" s="306"/>
      <c r="M438" s="310">
        <f>Table24[[#This Row],[O - DEMAND]]/950</f>
        <v>0</v>
      </c>
      <c r="N438" s="306">
        <f>IFERROR(VLOOKUP(Table24[[#This Row],[ROUTE]],DEMAND!A:F,5,FALSE),0)</f>
        <v>0</v>
      </c>
      <c r="O438" s="306">
        <f>IFERROR(VLOOKUP(Table24[[#This Row],[ROUTE]],DEMAND!A:F,6,FALSE),0)</f>
        <v>0</v>
      </c>
      <c r="P438" s="306">
        <f>ROUNDDOWN(Table24[[#This Row],[R-DEMAND]]/950,0)</f>
        <v>0</v>
      </c>
      <c r="Q438" s="306">
        <f>Table24[[#This Row],[ADD ACC
(475/950)]]*Table24[[#This Row],[Duration
(A359)]]</f>
        <v>0</v>
      </c>
      <c r="R438" s="307">
        <f>IFERROR(VLOOKUP(Table24[[#This Row],[ROUTE]],PRICING!A:B,2,FALSE),0)</f>
        <v>0</v>
      </c>
      <c r="S438" s="308">
        <f>Table24[[#This Row],[C_DEMAND]]-Table24[[#This Row],[R-DEMAND]]</f>
        <v>0</v>
      </c>
      <c r="T438" s="307">
        <f>Table24[[#This Row],[SEATS SOLD]]*Table24[[#This Row],[ECO SEAT]]</f>
        <v>0</v>
      </c>
      <c r="U438" s="307">
        <f>Table24[[#This Row],[SEATS SOLD]]*(IFERROR(VLOOKUP(Table24[[#This Row],[ROUTE]],PRICING!A:C,3,FALSE),0))</f>
        <v>0</v>
      </c>
      <c r="V438" s="307">
        <f>Table24[[#This Row],[SEAT REV]]-Table24[[#This Row],[SEAT REV
(IF IDEAL $)]]</f>
        <v>0</v>
      </c>
    </row>
    <row r="439" spans="1:22" customFormat="1" x14ac:dyDescent="0.25">
      <c r="A439" s="306" t="s">
        <v>17885</v>
      </c>
      <c r="B439" s="306" t="s">
        <v>4947</v>
      </c>
      <c r="C439" s="306"/>
      <c r="D439" s="26">
        <v>3</v>
      </c>
      <c r="E439" s="312" t="s">
        <v>11732</v>
      </c>
      <c r="F439" s="306" t="str">
        <f>VLOOKUP(Table24[[#This Row],[Country]],Table10[[COUNTRY NAME]:[CONTINENT CODE]],3,FALSE)</f>
        <v>NA - US</v>
      </c>
      <c r="G439" s="312" t="s">
        <v>13290</v>
      </c>
      <c r="H439" s="309">
        <v>3846</v>
      </c>
      <c r="I439" s="310">
        <v>10.5</v>
      </c>
      <c r="J439" s="307"/>
      <c r="K439" s="307">
        <f>IFERROR(Table24[[#This Row],[ROUTE COST]]/Table24[[#This Row],[O - DEMAND]],0)</f>
        <v>0</v>
      </c>
      <c r="L439" s="306"/>
      <c r="M439" s="310">
        <f>Table24[[#This Row],[O - DEMAND]]/950</f>
        <v>0</v>
      </c>
      <c r="N439" s="306">
        <f>IFERROR(VLOOKUP(Table24[[#This Row],[ROUTE]],DEMAND!A:F,5,FALSE),0)</f>
        <v>0</v>
      </c>
      <c r="O439" s="306">
        <f>IFERROR(VLOOKUP(Table24[[#This Row],[ROUTE]],DEMAND!A:F,6,FALSE),0)</f>
        <v>0</v>
      </c>
      <c r="P439" s="306">
        <f>ROUNDDOWN(Table24[[#This Row],[R-DEMAND]]/950,0)</f>
        <v>0</v>
      </c>
      <c r="Q439" s="306">
        <f>Table24[[#This Row],[ADD ACC
(475/950)]]*Table24[[#This Row],[Duration
(A359)]]</f>
        <v>0</v>
      </c>
      <c r="R439" s="307">
        <f>IFERROR(VLOOKUP(Table24[[#This Row],[ROUTE]],PRICING!A:B,2,FALSE),0)</f>
        <v>0</v>
      </c>
      <c r="S439" s="308">
        <f>Table24[[#This Row],[C_DEMAND]]-Table24[[#This Row],[R-DEMAND]]</f>
        <v>0</v>
      </c>
      <c r="T439" s="307">
        <f>Table24[[#This Row],[SEATS SOLD]]*Table24[[#This Row],[ECO SEAT]]</f>
        <v>0</v>
      </c>
      <c r="U439" s="307">
        <f>Table24[[#This Row],[SEATS SOLD]]*(IFERROR(VLOOKUP(Table24[[#This Row],[ROUTE]],PRICING!A:C,3,FALSE),0))</f>
        <v>0</v>
      </c>
      <c r="V439" s="307">
        <f>Table24[[#This Row],[SEAT REV]]-Table24[[#This Row],[SEAT REV
(IF IDEAL $)]]</f>
        <v>0</v>
      </c>
    </row>
    <row r="440" spans="1:22" customFormat="1" x14ac:dyDescent="0.25">
      <c r="A440" s="306" t="s">
        <v>17967</v>
      </c>
      <c r="B440" s="306" t="s">
        <v>900</v>
      </c>
      <c r="C440" s="306"/>
      <c r="D440" s="26">
        <v>1</v>
      </c>
      <c r="E440" s="312" t="s">
        <v>11732</v>
      </c>
      <c r="F440" s="306" t="str">
        <f>VLOOKUP(Table24[[#This Row],[Country]],Table10[[COUNTRY NAME]:[CONTINENT CODE]],3,FALSE)</f>
        <v>NA - US</v>
      </c>
      <c r="G440" s="312" t="s">
        <v>13291</v>
      </c>
      <c r="H440" s="309">
        <v>3805</v>
      </c>
      <c r="I440" s="310">
        <v>10.5</v>
      </c>
      <c r="J440" s="307"/>
      <c r="K440" s="307">
        <f>IFERROR(Table24[[#This Row],[ROUTE COST]]/Table24[[#This Row],[O - DEMAND]],0)</f>
        <v>0</v>
      </c>
      <c r="L440" s="306"/>
      <c r="M440" s="310">
        <f>Table24[[#This Row],[O - DEMAND]]/950</f>
        <v>0</v>
      </c>
      <c r="N440" s="306">
        <f>IFERROR(VLOOKUP(Table24[[#This Row],[ROUTE]],DEMAND!A:F,5,FALSE),0)</f>
        <v>0</v>
      </c>
      <c r="O440" s="306">
        <f>IFERROR(VLOOKUP(Table24[[#This Row],[ROUTE]],DEMAND!A:F,6,FALSE),0)</f>
        <v>0</v>
      </c>
      <c r="P440" s="306">
        <f>ROUNDDOWN(Table24[[#This Row],[R-DEMAND]]/950,0)</f>
        <v>0</v>
      </c>
      <c r="Q440" s="306">
        <f>Table24[[#This Row],[ADD ACC
(475/950)]]*Table24[[#This Row],[Duration
(A359)]]</f>
        <v>0</v>
      </c>
      <c r="R440" s="307">
        <f>IFERROR(VLOOKUP(Table24[[#This Row],[ROUTE]],PRICING!A:B,2,FALSE),0)</f>
        <v>0</v>
      </c>
      <c r="S440" s="308">
        <f>Table24[[#This Row],[C_DEMAND]]-Table24[[#This Row],[R-DEMAND]]</f>
        <v>0</v>
      </c>
      <c r="T440" s="307">
        <f>Table24[[#This Row],[SEATS SOLD]]*Table24[[#This Row],[ECO SEAT]]</f>
        <v>0</v>
      </c>
      <c r="U440" s="307">
        <f>Table24[[#This Row],[SEATS SOLD]]*(IFERROR(VLOOKUP(Table24[[#This Row],[ROUTE]],PRICING!A:C,3,FALSE),0))</f>
        <v>0</v>
      </c>
      <c r="V440" s="307">
        <f>Table24[[#This Row],[SEAT REV]]-Table24[[#This Row],[SEAT REV
(IF IDEAL $)]]</f>
        <v>0</v>
      </c>
    </row>
    <row r="441" spans="1:22" customFormat="1" x14ac:dyDescent="0.25">
      <c r="A441" s="306" t="s">
        <v>17966</v>
      </c>
      <c r="B441" s="306" t="s">
        <v>1311</v>
      </c>
      <c r="C441" s="306"/>
      <c r="D441" s="26">
        <v>1</v>
      </c>
      <c r="E441" s="312" t="s">
        <v>11732</v>
      </c>
      <c r="F441" s="306" t="str">
        <f>VLOOKUP(Table24[[#This Row],[Country]],Table10[[COUNTRY NAME]:[CONTINENT CODE]],3,FALSE)</f>
        <v>NA - US</v>
      </c>
      <c r="G441" s="312" t="s">
        <v>16969</v>
      </c>
      <c r="H441" s="309">
        <v>3817</v>
      </c>
      <c r="I441" s="310">
        <v>10.5</v>
      </c>
      <c r="J441" s="307"/>
      <c r="K441" s="307">
        <f>IFERROR(Table24[[#This Row],[ROUTE COST]]/Table24[[#This Row],[O - DEMAND]],0)</f>
        <v>0</v>
      </c>
      <c r="L441" s="306"/>
      <c r="M441" s="310">
        <f>Table24[[#This Row],[O - DEMAND]]/950</f>
        <v>0</v>
      </c>
      <c r="N441" s="306">
        <f>IFERROR(VLOOKUP(Table24[[#This Row],[ROUTE]],DEMAND!A:F,5,FALSE),0)</f>
        <v>0</v>
      </c>
      <c r="O441" s="306">
        <f>IFERROR(VLOOKUP(Table24[[#This Row],[ROUTE]],DEMAND!A:F,6,FALSE),0)</f>
        <v>0</v>
      </c>
      <c r="P441" s="306">
        <f>ROUNDDOWN(Table24[[#This Row],[R-DEMAND]]/950,0)</f>
        <v>0</v>
      </c>
      <c r="Q441" s="306">
        <f>Table24[[#This Row],[ADD ACC
(475/950)]]*Table24[[#This Row],[Duration
(A359)]]</f>
        <v>0</v>
      </c>
      <c r="R441" s="307">
        <f>IFERROR(VLOOKUP(Table24[[#This Row],[ROUTE]],PRICING!A:B,2,FALSE),0)</f>
        <v>0</v>
      </c>
      <c r="S441" s="308">
        <f>Table24[[#This Row],[C_DEMAND]]-Table24[[#This Row],[R-DEMAND]]</f>
        <v>0</v>
      </c>
      <c r="T441" s="307">
        <f>Table24[[#This Row],[SEATS SOLD]]*Table24[[#This Row],[ECO SEAT]]</f>
        <v>0</v>
      </c>
      <c r="U441" s="307">
        <f>Table24[[#This Row],[SEATS SOLD]]*(IFERROR(VLOOKUP(Table24[[#This Row],[ROUTE]],PRICING!A:C,3,FALSE),0))</f>
        <v>0</v>
      </c>
      <c r="V441" s="307">
        <f>Table24[[#This Row],[SEAT REV]]-Table24[[#This Row],[SEAT REV
(IF IDEAL $)]]</f>
        <v>0</v>
      </c>
    </row>
    <row r="442" spans="1:22" customFormat="1" x14ac:dyDescent="0.25">
      <c r="A442" s="306" t="s">
        <v>17990</v>
      </c>
      <c r="B442" s="306" t="s">
        <v>4322</v>
      </c>
      <c r="C442" s="306"/>
      <c r="D442" s="26"/>
      <c r="E442" s="312" t="s">
        <v>11732</v>
      </c>
      <c r="F442" s="306" t="str">
        <f>VLOOKUP(Table24[[#This Row],[Country]],Table10[[COUNTRY NAME]:[CONTINENT CODE]],3,FALSE)</f>
        <v>NA - US</v>
      </c>
      <c r="G442" s="312" t="s">
        <v>16968</v>
      </c>
      <c r="H442" s="309">
        <v>3864</v>
      </c>
      <c r="I442" s="310">
        <v>10.5</v>
      </c>
      <c r="J442" s="307"/>
      <c r="K442" s="307">
        <f>IFERROR(Table24[[#This Row],[ROUTE COST]]/Table24[[#This Row],[O - DEMAND]],0)</f>
        <v>0</v>
      </c>
      <c r="L442" s="306"/>
      <c r="M442" s="310">
        <f>Table24[[#This Row],[O - DEMAND]]/950</f>
        <v>0</v>
      </c>
      <c r="N442" s="306">
        <f>IFERROR(VLOOKUP(Table24[[#This Row],[ROUTE]],DEMAND!A:F,5,FALSE),0)</f>
        <v>0</v>
      </c>
      <c r="O442" s="306">
        <f>IFERROR(VLOOKUP(Table24[[#This Row],[ROUTE]],DEMAND!A:F,6,FALSE),0)</f>
        <v>0</v>
      </c>
      <c r="P442" s="306">
        <f>ROUNDDOWN(Table24[[#This Row],[R-DEMAND]]/950,0)</f>
        <v>0</v>
      </c>
      <c r="Q442" s="306">
        <f>Table24[[#This Row],[ADD ACC
(475/950)]]*Table24[[#This Row],[Duration
(A359)]]</f>
        <v>0</v>
      </c>
      <c r="R442" s="307">
        <f>IFERROR(VLOOKUP(Table24[[#This Row],[ROUTE]],PRICING!A:B,2,FALSE),0)</f>
        <v>0</v>
      </c>
      <c r="S442" s="308">
        <f>Table24[[#This Row],[C_DEMAND]]-Table24[[#This Row],[R-DEMAND]]</f>
        <v>0</v>
      </c>
      <c r="T442" s="307">
        <f>Table24[[#This Row],[SEATS SOLD]]*Table24[[#This Row],[ECO SEAT]]</f>
        <v>0</v>
      </c>
      <c r="U442" s="307">
        <f>Table24[[#This Row],[SEATS SOLD]]*(IFERROR(VLOOKUP(Table24[[#This Row],[ROUTE]],PRICING!A:C,3,FALSE),0))</f>
        <v>0</v>
      </c>
      <c r="V442" s="307">
        <f>Table24[[#This Row],[SEAT REV]]-Table24[[#This Row],[SEAT REV
(IF IDEAL $)]]</f>
        <v>0</v>
      </c>
    </row>
    <row r="443" spans="1:22" customFormat="1" x14ac:dyDescent="0.25">
      <c r="A443" s="306" t="s">
        <v>17886</v>
      </c>
      <c r="B443" s="306" t="s">
        <v>5157</v>
      </c>
      <c r="C443" s="306"/>
      <c r="D443" s="26">
        <v>3</v>
      </c>
      <c r="E443" s="312" t="s">
        <v>11732</v>
      </c>
      <c r="F443" s="306" t="str">
        <f>VLOOKUP(Table24[[#This Row],[Country]],Table10[[COUNTRY NAME]:[CONTINENT CODE]],3,FALSE)</f>
        <v>NA - US</v>
      </c>
      <c r="G443" s="312" t="s">
        <v>13295</v>
      </c>
      <c r="H443" s="309">
        <v>3712</v>
      </c>
      <c r="I443" s="310">
        <v>10.25</v>
      </c>
      <c r="J443" s="307"/>
      <c r="K443" s="307">
        <f>IFERROR(Table24[[#This Row],[ROUTE COST]]/Table24[[#This Row],[O - DEMAND]],0)</f>
        <v>0</v>
      </c>
      <c r="L443" s="306"/>
      <c r="M443" s="310">
        <f>Table24[[#This Row],[O - DEMAND]]/950</f>
        <v>0</v>
      </c>
      <c r="N443" s="306">
        <f>IFERROR(VLOOKUP(Table24[[#This Row],[ROUTE]],DEMAND!A:F,5,FALSE),0)</f>
        <v>0</v>
      </c>
      <c r="O443" s="306">
        <f>IFERROR(VLOOKUP(Table24[[#This Row],[ROUTE]],DEMAND!A:F,6,FALSE),0)</f>
        <v>0</v>
      </c>
      <c r="P443" s="306">
        <f>ROUNDDOWN(Table24[[#This Row],[R-DEMAND]]/950,0)</f>
        <v>0</v>
      </c>
      <c r="Q443" s="306">
        <f>Table24[[#This Row],[ADD ACC
(475/950)]]*Table24[[#This Row],[Duration
(A359)]]</f>
        <v>0</v>
      </c>
      <c r="R443" s="307">
        <f>IFERROR(VLOOKUP(Table24[[#This Row],[ROUTE]],PRICING!A:B,2,FALSE),0)</f>
        <v>0</v>
      </c>
      <c r="S443" s="308">
        <f>Table24[[#This Row],[C_DEMAND]]-Table24[[#This Row],[R-DEMAND]]</f>
        <v>0</v>
      </c>
      <c r="T443" s="307">
        <f>Table24[[#This Row],[SEATS SOLD]]*Table24[[#This Row],[ECO SEAT]]</f>
        <v>0</v>
      </c>
      <c r="U443" s="307">
        <f>Table24[[#This Row],[SEATS SOLD]]*(IFERROR(VLOOKUP(Table24[[#This Row],[ROUTE]],PRICING!A:C,3,FALSE),0))</f>
        <v>0</v>
      </c>
      <c r="V443" s="307">
        <f>Table24[[#This Row],[SEAT REV]]-Table24[[#This Row],[SEAT REV
(IF IDEAL $)]]</f>
        <v>0</v>
      </c>
    </row>
    <row r="444" spans="1:22" customFormat="1" x14ac:dyDescent="0.25">
      <c r="A444" s="306" t="s">
        <v>17775</v>
      </c>
      <c r="B444" s="306" t="s">
        <v>3652</v>
      </c>
      <c r="C444" s="306"/>
      <c r="D444" s="26">
        <v>2</v>
      </c>
      <c r="E444" s="312" t="s">
        <v>514</v>
      </c>
      <c r="F444" s="306" t="str">
        <f>VLOOKUP(Table24[[#This Row],[Country]],Table10[[COUNTRY NAME]:[CONTINENT CODE]],3,FALSE)</f>
        <v>NA</v>
      </c>
      <c r="G444" s="312" t="s">
        <v>13175</v>
      </c>
      <c r="H444" s="309">
        <v>3732</v>
      </c>
      <c r="I444" s="310">
        <v>10.25</v>
      </c>
      <c r="J444" s="307"/>
      <c r="K444" s="307">
        <f>IFERROR(Table24[[#This Row],[ROUTE COST]]/Table24[[#This Row],[O - DEMAND]],0)</f>
        <v>0</v>
      </c>
      <c r="L444" s="306"/>
      <c r="M444" s="310">
        <f>Table24[[#This Row],[O - DEMAND]]/950</f>
        <v>0</v>
      </c>
      <c r="N444" s="306">
        <f>IFERROR(VLOOKUP(Table24[[#This Row],[ROUTE]],DEMAND!A:F,5,FALSE),0)</f>
        <v>0</v>
      </c>
      <c r="O444" s="306">
        <f>IFERROR(VLOOKUP(Table24[[#This Row],[ROUTE]],DEMAND!A:F,6,FALSE),0)</f>
        <v>0</v>
      </c>
      <c r="P444" s="306">
        <f>ROUNDDOWN(Table24[[#This Row],[R-DEMAND]]/950,0)</f>
        <v>0</v>
      </c>
      <c r="Q444" s="306">
        <f>Table24[[#This Row],[ADD ACC
(475/950)]]*Table24[[#This Row],[Duration
(A359)]]</f>
        <v>0</v>
      </c>
      <c r="R444" s="307">
        <f>IFERROR(VLOOKUP(Table24[[#This Row],[ROUTE]],PRICING!A:B,2,FALSE),0)</f>
        <v>0</v>
      </c>
      <c r="S444" s="308">
        <f>Table24[[#This Row],[C_DEMAND]]-Table24[[#This Row],[R-DEMAND]]</f>
        <v>0</v>
      </c>
      <c r="T444" s="307">
        <f>Table24[[#This Row],[SEATS SOLD]]*Table24[[#This Row],[ECO SEAT]]</f>
        <v>0</v>
      </c>
      <c r="U444" s="307">
        <f>Table24[[#This Row],[SEATS SOLD]]*(IFERROR(VLOOKUP(Table24[[#This Row],[ROUTE]],PRICING!A:C,3,FALSE),0))</f>
        <v>0</v>
      </c>
      <c r="V444" s="307">
        <f>Table24[[#This Row],[SEAT REV]]-Table24[[#This Row],[SEAT REV
(IF IDEAL $)]]</f>
        <v>0</v>
      </c>
    </row>
    <row r="445" spans="1:22" customFormat="1" x14ac:dyDescent="0.25">
      <c r="A445" s="306" t="s">
        <v>17778</v>
      </c>
      <c r="B445" s="306" t="s">
        <v>4451</v>
      </c>
      <c r="C445" s="306"/>
      <c r="D445" s="26">
        <v>2</v>
      </c>
      <c r="E445" s="312" t="s">
        <v>1749</v>
      </c>
      <c r="F445" s="306" t="str">
        <f>VLOOKUP(Table24[[#This Row],[Country]],Table10[[COUNTRY NAME]:[CONTINENT CODE]],3,FALSE)</f>
        <v>NA</v>
      </c>
      <c r="G445" s="312" t="s">
        <v>16973</v>
      </c>
      <c r="H445" s="309">
        <v>3596</v>
      </c>
      <c r="I445" s="310">
        <v>10</v>
      </c>
      <c r="J445" s="307"/>
      <c r="K445" s="307">
        <f>IFERROR(Table24[[#This Row],[ROUTE COST]]/Table24[[#This Row],[O - DEMAND]],0)</f>
        <v>0</v>
      </c>
      <c r="L445" s="306"/>
      <c r="M445" s="310">
        <f>Table24[[#This Row],[O - DEMAND]]/950</f>
        <v>0</v>
      </c>
      <c r="N445" s="306">
        <f>IFERROR(VLOOKUP(Table24[[#This Row],[ROUTE]],DEMAND!A:F,5,FALSE),0)</f>
        <v>0</v>
      </c>
      <c r="O445" s="306">
        <f>IFERROR(VLOOKUP(Table24[[#This Row],[ROUTE]],DEMAND!A:F,6,FALSE),0)</f>
        <v>0</v>
      </c>
      <c r="P445" s="306">
        <f>ROUNDDOWN(Table24[[#This Row],[R-DEMAND]]/950,0)</f>
        <v>0</v>
      </c>
      <c r="Q445" s="306">
        <f>Table24[[#This Row],[ADD ACC
(475/950)]]*Table24[[#This Row],[Duration
(A359)]]</f>
        <v>0</v>
      </c>
      <c r="R445" s="307">
        <f>IFERROR(VLOOKUP(Table24[[#This Row],[ROUTE]],PRICING!A:B,2,FALSE),0)</f>
        <v>0</v>
      </c>
      <c r="S445" s="308">
        <f>Table24[[#This Row],[C_DEMAND]]-Table24[[#This Row],[R-DEMAND]]</f>
        <v>0</v>
      </c>
      <c r="T445" s="307">
        <f>Table24[[#This Row],[SEATS SOLD]]*Table24[[#This Row],[ECO SEAT]]</f>
        <v>0</v>
      </c>
      <c r="U445" s="307">
        <f>Table24[[#This Row],[SEATS SOLD]]*(IFERROR(VLOOKUP(Table24[[#This Row],[ROUTE]],PRICING!A:C,3,FALSE),0))</f>
        <v>0</v>
      </c>
      <c r="V445" s="307">
        <f>Table24[[#This Row],[SEAT REV]]-Table24[[#This Row],[SEAT REV
(IF IDEAL $)]]</f>
        <v>0</v>
      </c>
    </row>
    <row r="446" spans="1:22" customFormat="1" x14ac:dyDescent="0.25">
      <c r="A446" s="306" t="s">
        <v>17924</v>
      </c>
      <c r="B446" s="306" t="s">
        <v>3545</v>
      </c>
      <c r="C446" s="306"/>
      <c r="D446" s="26">
        <v>2</v>
      </c>
      <c r="E446" s="312" t="s">
        <v>11732</v>
      </c>
      <c r="F446" s="306" t="str">
        <f>VLOOKUP(Table24[[#This Row],[Country]],Table10[[COUNTRY NAME]:[CONTINENT CODE]],3,FALSE)</f>
        <v>NA - US</v>
      </c>
      <c r="G446" s="312" t="s">
        <v>13293</v>
      </c>
      <c r="H446" s="309">
        <v>3630</v>
      </c>
      <c r="I446" s="310">
        <v>10</v>
      </c>
      <c r="J446" s="307"/>
      <c r="K446" s="307">
        <f>IFERROR(Table24[[#This Row],[ROUTE COST]]/Table24[[#This Row],[O - DEMAND]],0)</f>
        <v>0</v>
      </c>
      <c r="L446" s="306"/>
      <c r="M446" s="310">
        <f>Table24[[#This Row],[O - DEMAND]]/950</f>
        <v>0</v>
      </c>
      <c r="N446" s="306">
        <f>IFERROR(VLOOKUP(Table24[[#This Row],[ROUTE]],DEMAND!A:F,5,FALSE),0)</f>
        <v>0</v>
      </c>
      <c r="O446" s="306">
        <f>IFERROR(VLOOKUP(Table24[[#This Row],[ROUTE]],DEMAND!A:F,6,FALSE),0)</f>
        <v>0</v>
      </c>
      <c r="P446" s="306">
        <f>ROUNDDOWN(Table24[[#This Row],[R-DEMAND]]/950,0)</f>
        <v>0</v>
      </c>
      <c r="Q446" s="306">
        <f>Table24[[#This Row],[ADD ACC
(475/950)]]*Table24[[#This Row],[Duration
(A359)]]</f>
        <v>0</v>
      </c>
      <c r="R446" s="307">
        <f>IFERROR(VLOOKUP(Table24[[#This Row],[ROUTE]],PRICING!A:B,2,FALSE),0)</f>
        <v>0</v>
      </c>
      <c r="S446" s="308">
        <f>Table24[[#This Row],[C_DEMAND]]-Table24[[#This Row],[R-DEMAND]]</f>
        <v>0</v>
      </c>
      <c r="T446" s="307">
        <f>Table24[[#This Row],[SEATS SOLD]]*Table24[[#This Row],[ECO SEAT]]</f>
        <v>0</v>
      </c>
      <c r="U446" s="307">
        <f>Table24[[#This Row],[SEATS SOLD]]*(IFERROR(VLOOKUP(Table24[[#This Row],[ROUTE]],PRICING!A:C,3,FALSE),0))</f>
        <v>0</v>
      </c>
      <c r="V446" s="307">
        <f>Table24[[#This Row],[SEAT REV]]-Table24[[#This Row],[SEAT REV
(IF IDEAL $)]]</f>
        <v>0</v>
      </c>
    </row>
    <row r="447" spans="1:22" customFormat="1" x14ac:dyDescent="0.25">
      <c r="A447" s="306" t="s">
        <v>17925</v>
      </c>
      <c r="B447" s="306" t="s">
        <v>2494</v>
      </c>
      <c r="C447" s="306"/>
      <c r="D447" s="26">
        <v>2</v>
      </c>
      <c r="E447" s="312" t="s">
        <v>11732</v>
      </c>
      <c r="F447" s="306" t="str">
        <f>VLOOKUP(Table24[[#This Row],[Country]],Table10[[COUNTRY NAME]:[CONTINENT CODE]],3,FALSE)</f>
        <v>NA - US</v>
      </c>
      <c r="G447" s="312" t="s">
        <v>13298</v>
      </c>
      <c r="H447" s="309">
        <v>3595</v>
      </c>
      <c r="I447" s="310">
        <v>10</v>
      </c>
      <c r="J447" s="307"/>
      <c r="K447" s="307">
        <f>IFERROR(Table24[[#This Row],[ROUTE COST]]/Table24[[#This Row],[O - DEMAND]],0)</f>
        <v>0</v>
      </c>
      <c r="L447" s="306"/>
      <c r="M447" s="310">
        <f>Table24[[#This Row],[O - DEMAND]]/950</f>
        <v>0</v>
      </c>
      <c r="N447" s="306">
        <f>IFERROR(VLOOKUP(Table24[[#This Row],[ROUTE]],DEMAND!A:F,5,FALSE),0)</f>
        <v>0</v>
      </c>
      <c r="O447" s="306">
        <f>IFERROR(VLOOKUP(Table24[[#This Row],[ROUTE]],DEMAND!A:F,6,FALSE),0)</f>
        <v>0</v>
      </c>
      <c r="P447" s="306">
        <f>ROUNDDOWN(Table24[[#This Row],[R-DEMAND]]/950,0)</f>
        <v>0</v>
      </c>
      <c r="Q447" s="306">
        <f>Table24[[#This Row],[ADD ACC
(475/950)]]*Table24[[#This Row],[Duration
(A359)]]</f>
        <v>0</v>
      </c>
      <c r="R447" s="307">
        <f>IFERROR(VLOOKUP(Table24[[#This Row],[ROUTE]],PRICING!A:B,2,FALSE),0)</f>
        <v>0</v>
      </c>
      <c r="S447" s="308">
        <f>Table24[[#This Row],[C_DEMAND]]-Table24[[#This Row],[R-DEMAND]]</f>
        <v>0</v>
      </c>
      <c r="T447" s="307">
        <f>Table24[[#This Row],[SEATS SOLD]]*Table24[[#This Row],[ECO SEAT]]</f>
        <v>0</v>
      </c>
      <c r="U447" s="307">
        <f>Table24[[#This Row],[SEATS SOLD]]*(IFERROR(VLOOKUP(Table24[[#This Row],[ROUTE]],PRICING!A:C,3,FALSE),0))</f>
        <v>0</v>
      </c>
      <c r="V447" s="307">
        <f>Table24[[#This Row],[SEAT REV]]-Table24[[#This Row],[SEAT REV
(IF IDEAL $)]]</f>
        <v>0</v>
      </c>
    </row>
    <row r="448" spans="1:22" customFormat="1" x14ac:dyDescent="0.25">
      <c r="A448" s="306" t="s">
        <v>17818</v>
      </c>
      <c r="B448" s="306" t="s">
        <v>1477</v>
      </c>
      <c r="C448" s="306"/>
      <c r="D448" s="26">
        <v>1</v>
      </c>
      <c r="E448" s="312" t="s">
        <v>514</v>
      </c>
      <c r="F448" s="306" t="str">
        <f>VLOOKUP(Table24[[#This Row],[Country]],Table10[[COUNTRY NAME]:[CONTINENT CODE]],3,FALSE)</f>
        <v>NA</v>
      </c>
      <c r="G448" s="312" t="s">
        <v>13174</v>
      </c>
      <c r="H448" s="309">
        <v>3555</v>
      </c>
      <c r="I448" s="310">
        <v>10</v>
      </c>
      <c r="J448" s="307"/>
      <c r="K448" s="307">
        <f>IFERROR(Table24[[#This Row],[ROUTE COST]]/Table24[[#This Row],[O - DEMAND]],0)</f>
        <v>0</v>
      </c>
      <c r="L448" s="306"/>
      <c r="M448" s="310">
        <f>Table24[[#This Row],[O - DEMAND]]/950</f>
        <v>0</v>
      </c>
      <c r="N448" s="306">
        <f>IFERROR(VLOOKUP(Table24[[#This Row],[ROUTE]],DEMAND!A:F,5,FALSE),0)</f>
        <v>0</v>
      </c>
      <c r="O448" s="306">
        <f>IFERROR(VLOOKUP(Table24[[#This Row],[ROUTE]],DEMAND!A:F,6,FALSE),0)</f>
        <v>0</v>
      </c>
      <c r="P448" s="306">
        <f>ROUNDDOWN(Table24[[#This Row],[R-DEMAND]]/950,0)</f>
        <v>0</v>
      </c>
      <c r="Q448" s="306">
        <f>Table24[[#This Row],[ADD ACC
(475/950)]]*Table24[[#This Row],[Duration
(A359)]]</f>
        <v>0</v>
      </c>
      <c r="R448" s="307">
        <f>IFERROR(VLOOKUP(Table24[[#This Row],[ROUTE]],PRICING!A:B,2,FALSE),0)</f>
        <v>0</v>
      </c>
      <c r="S448" s="308">
        <f>Table24[[#This Row],[C_DEMAND]]-Table24[[#This Row],[R-DEMAND]]</f>
        <v>0</v>
      </c>
      <c r="T448" s="307">
        <f>Table24[[#This Row],[SEATS SOLD]]*Table24[[#This Row],[ECO SEAT]]</f>
        <v>0</v>
      </c>
      <c r="U448" s="307">
        <f>Table24[[#This Row],[SEATS SOLD]]*(IFERROR(VLOOKUP(Table24[[#This Row],[ROUTE]],PRICING!A:C,3,FALSE),0))</f>
        <v>0</v>
      </c>
      <c r="V448" s="307">
        <f>Table24[[#This Row],[SEAT REV]]-Table24[[#This Row],[SEAT REV
(IF IDEAL $)]]</f>
        <v>0</v>
      </c>
    </row>
    <row r="449" spans="1:22" customFormat="1" x14ac:dyDescent="0.25">
      <c r="A449" s="306" t="s">
        <v>17991</v>
      </c>
      <c r="B449" s="306" t="s">
        <v>4287</v>
      </c>
      <c r="C449" s="306"/>
      <c r="D449" s="26"/>
      <c r="E449" s="312" t="s">
        <v>11732</v>
      </c>
      <c r="F449" s="306" t="str">
        <f>VLOOKUP(Table24[[#This Row],[Country]],Table10[[COUNTRY NAME]:[CONTINENT CODE]],3,FALSE)</f>
        <v>NA - US</v>
      </c>
      <c r="G449" s="312" t="s">
        <v>16972</v>
      </c>
      <c r="H449" s="309">
        <v>3599</v>
      </c>
      <c r="I449" s="310">
        <v>10</v>
      </c>
      <c r="J449" s="307"/>
      <c r="K449" s="307">
        <f>IFERROR(Table24[[#This Row],[ROUTE COST]]/Table24[[#This Row],[O - DEMAND]],0)</f>
        <v>0</v>
      </c>
      <c r="L449" s="306"/>
      <c r="M449" s="310">
        <f>Table24[[#This Row],[O - DEMAND]]/950</f>
        <v>0</v>
      </c>
      <c r="N449" s="306">
        <f>IFERROR(VLOOKUP(Table24[[#This Row],[ROUTE]],DEMAND!A:F,5,FALSE),0)</f>
        <v>0</v>
      </c>
      <c r="O449" s="306">
        <f>IFERROR(VLOOKUP(Table24[[#This Row],[ROUTE]],DEMAND!A:F,6,FALSE),0)</f>
        <v>0</v>
      </c>
      <c r="P449" s="306">
        <f>ROUNDDOWN(Table24[[#This Row],[R-DEMAND]]/950,0)</f>
        <v>0</v>
      </c>
      <c r="Q449" s="306">
        <f>Table24[[#This Row],[ADD ACC
(475/950)]]*Table24[[#This Row],[Duration
(A359)]]</f>
        <v>0</v>
      </c>
      <c r="R449" s="307">
        <f>IFERROR(VLOOKUP(Table24[[#This Row],[ROUTE]],PRICING!A:B,2,FALSE),0)</f>
        <v>0</v>
      </c>
      <c r="S449" s="308">
        <f>Table24[[#This Row],[C_DEMAND]]-Table24[[#This Row],[R-DEMAND]]</f>
        <v>0</v>
      </c>
      <c r="T449" s="307">
        <f>Table24[[#This Row],[SEATS SOLD]]*Table24[[#This Row],[ECO SEAT]]</f>
        <v>0</v>
      </c>
      <c r="U449" s="307">
        <f>Table24[[#This Row],[SEATS SOLD]]*(IFERROR(VLOOKUP(Table24[[#This Row],[ROUTE]],PRICING!A:C,3,FALSE),0))</f>
        <v>0</v>
      </c>
      <c r="V449" s="307">
        <f>Table24[[#This Row],[SEAT REV]]-Table24[[#This Row],[SEAT REV
(IF IDEAL $)]]</f>
        <v>0</v>
      </c>
    </row>
    <row r="450" spans="1:22" customFormat="1" x14ac:dyDescent="0.25">
      <c r="A450" s="306" t="s">
        <v>17926</v>
      </c>
      <c r="B450" s="306" t="s">
        <v>4416</v>
      </c>
      <c r="C450" s="306"/>
      <c r="D450" s="26">
        <v>2</v>
      </c>
      <c r="E450" s="312" t="s">
        <v>11732</v>
      </c>
      <c r="F450" s="306" t="str">
        <f>VLOOKUP(Table24[[#This Row],[Country]],Table10[[COUNTRY NAME]:[CONTINENT CODE]],3,FALSE)</f>
        <v>NA - US</v>
      </c>
      <c r="G450" s="312" t="s">
        <v>13300</v>
      </c>
      <c r="H450" s="309">
        <v>3433</v>
      </c>
      <c r="I450" s="310">
        <v>9.75</v>
      </c>
      <c r="J450" s="307"/>
      <c r="K450" s="307">
        <f>IFERROR(Table24[[#This Row],[ROUTE COST]]/Table24[[#This Row],[O - DEMAND]],0)</f>
        <v>0</v>
      </c>
      <c r="L450" s="306"/>
      <c r="M450" s="310">
        <f>Table24[[#This Row],[O - DEMAND]]/950</f>
        <v>0</v>
      </c>
      <c r="N450" s="306">
        <f>IFERROR(VLOOKUP(Table24[[#This Row],[ROUTE]],DEMAND!A:F,5,FALSE),0)</f>
        <v>0</v>
      </c>
      <c r="O450" s="306">
        <f>IFERROR(VLOOKUP(Table24[[#This Row],[ROUTE]],DEMAND!A:F,6,FALSE),0)</f>
        <v>0</v>
      </c>
      <c r="P450" s="306">
        <f>ROUNDDOWN(Table24[[#This Row],[R-DEMAND]]/950,0)</f>
        <v>0</v>
      </c>
      <c r="Q450" s="306">
        <f>Table24[[#This Row],[ADD ACC
(475/950)]]*Table24[[#This Row],[Duration
(A359)]]</f>
        <v>0</v>
      </c>
      <c r="R450" s="307">
        <f>IFERROR(VLOOKUP(Table24[[#This Row],[ROUTE]],PRICING!A:B,2,FALSE),0)</f>
        <v>0</v>
      </c>
      <c r="S450" s="308">
        <f>Table24[[#This Row],[C_DEMAND]]-Table24[[#This Row],[R-DEMAND]]</f>
        <v>0</v>
      </c>
      <c r="T450" s="307">
        <f>Table24[[#This Row],[SEATS SOLD]]*Table24[[#This Row],[ECO SEAT]]</f>
        <v>0</v>
      </c>
      <c r="U450" s="307">
        <f>Table24[[#This Row],[SEATS SOLD]]*(IFERROR(VLOOKUP(Table24[[#This Row],[ROUTE]],PRICING!A:C,3,FALSE),0))</f>
        <v>0</v>
      </c>
      <c r="V450" s="307">
        <f>Table24[[#This Row],[SEAT REV]]-Table24[[#This Row],[SEAT REV
(IF IDEAL $)]]</f>
        <v>0</v>
      </c>
    </row>
    <row r="451" spans="1:22" customFormat="1" x14ac:dyDescent="0.25">
      <c r="A451" s="306" t="s">
        <v>17968</v>
      </c>
      <c r="B451" s="306" t="s">
        <v>2392</v>
      </c>
      <c r="C451" s="306"/>
      <c r="D451" s="26">
        <v>1</v>
      </c>
      <c r="E451" s="312" t="s">
        <v>11732</v>
      </c>
      <c r="F451" s="306" t="str">
        <f>VLOOKUP(Table24[[#This Row],[Country]],Table10[[COUNTRY NAME]:[CONTINENT CODE]],3,FALSE)</f>
        <v>NA - US</v>
      </c>
      <c r="G451" s="312" t="s">
        <v>16975</v>
      </c>
      <c r="H451" s="309">
        <v>3489</v>
      </c>
      <c r="I451" s="310">
        <v>9.75</v>
      </c>
      <c r="J451" s="307"/>
      <c r="K451" s="307">
        <f>IFERROR(Table24[[#This Row],[ROUTE COST]]/Table24[[#This Row],[O - DEMAND]],0)</f>
        <v>0</v>
      </c>
      <c r="L451" s="306"/>
      <c r="M451" s="310">
        <f>Table24[[#This Row],[O - DEMAND]]/950</f>
        <v>0</v>
      </c>
      <c r="N451" s="306">
        <f>IFERROR(VLOOKUP(Table24[[#This Row],[ROUTE]],DEMAND!A:F,5,FALSE),0)</f>
        <v>0</v>
      </c>
      <c r="O451" s="306">
        <f>IFERROR(VLOOKUP(Table24[[#This Row],[ROUTE]],DEMAND!A:F,6,FALSE),0)</f>
        <v>0</v>
      </c>
      <c r="P451" s="306">
        <f>ROUNDDOWN(Table24[[#This Row],[R-DEMAND]]/950,0)</f>
        <v>0</v>
      </c>
      <c r="Q451" s="306">
        <f>Table24[[#This Row],[ADD ACC
(475/950)]]*Table24[[#This Row],[Duration
(A359)]]</f>
        <v>0</v>
      </c>
      <c r="R451" s="307">
        <f>IFERROR(VLOOKUP(Table24[[#This Row],[ROUTE]],PRICING!A:B,2,FALSE),0)</f>
        <v>0</v>
      </c>
      <c r="S451" s="308">
        <f>Table24[[#This Row],[C_DEMAND]]-Table24[[#This Row],[R-DEMAND]]</f>
        <v>0</v>
      </c>
      <c r="T451" s="307">
        <f>Table24[[#This Row],[SEATS SOLD]]*Table24[[#This Row],[ECO SEAT]]</f>
        <v>0</v>
      </c>
      <c r="U451" s="307">
        <f>Table24[[#This Row],[SEATS SOLD]]*(IFERROR(VLOOKUP(Table24[[#This Row],[ROUTE]],PRICING!A:C,3,FALSE),0))</f>
        <v>0</v>
      </c>
      <c r="V451" s="307">
        <f>Table24[[#This Row],[SEAT REV]]-Table24[[#This Row],[SEAT REV
(IF IDEAL $)]]</f>
        <v>0</v>
      </c>
    </row>
    <row r="452" spans="1:22" customFormat="1" x14ac:dyDescent="0.25">
      <c r="A452" s="306" t="s">
        <v>17887</v>
      </c>
      <c r="B452" s="306" t="s">
        <v>5293</v>
      </c>
      <c r="C452" s="306"/>
      <c r="D452" s="26">
        <v>3</v>
      </c>
      <c r="E452" s="312" t="s">
        <v>11732</v>
      </c>
      <c r="F452" s="306" t="str">
        <f>VLOOKUP(Table24[[#This Row],[Country]],Table10[[COUNTRY NAME]:[CONTINENT CODE]],3,FALSE)</f>
        <v>NA - US</v>
      </c>
      <c r="G452" s="312" t="s">
        <v>13297</v>
      </c>
      <c r="H452" s="309">
        <v>3377</v>
      </c>
      <c r="I452" s="310">
        <v>9.5</v>
      </c>
      <c r="J452" s="307"/>
      <c r="K452" s="307">
        <f>IFERROR(Table24[[#This Row],[ROUTE COST]]/Table24[[#This Row],[O - DEMAND]],0)</f>
        <v>0</v>
      </c>
      <c r="L452" s="306"/>
      <c r="M452" s="310">
        <f>Table24[[#This Row],[O - DEMAND]]/950</f>
        <v>0</v>
      </c>
      <c r="N452" s="306">
        <f>IFERROR(VLOOKUP(Table24[[#This Row],[ROUTE]],DEMAND!A:F,5,FALSE),0)</f>
        <v>0</v>
      </c>
      <c r="O452" s="306">
        <f>IFERROR(VLOOKUP(Table24[[#This Row],[ROUTE]],DEMAND!A:F,6,FALSE),0)</f>
        <v>0</v>
      </c>
      <c r="P452" s="306">
        <f>ROUNDDOWN(Table24[[#This Row],[R-DEMAND]]/950,0)</f>
        <v>0</v>
      </c>
      <c r="Q452" s="306">
        <f>Table24[[#This Row],[ADD ACC
(475/950)]]*Table24[[#This Row],[Duration
(A359)]]</f>
        <v>0</v>
      </c>
      <c r="R452" s="307">
        <f>IFERROR(VLOOKUP(Table24[[#This Row],[ROUTE]],PRICING!A:B,2,FALSE),0)</f>
        <v>0</v>
      </c>
      <c r="S452" s="308">
        <f>Table24[[#This Row],[C_DEMAND]]-Table24[[#This Row],[R-DEMAND]]</f>
        <v>0</v>
      </c>
      <c r="T452" s="307">
        <f>Table24[[#This Row],[SEATS SOLD]]*Table24[[#This Row],[ECO SEAT]]</f>
        <v>0</v>
      </c>
      <c r="U452" s="307">
        <f>Table24[[#This Row],[SEATS SOLD]]*(IFERROR(VLOOKUP(Table24[[#This Row],[ROUTE]],PRICING!A:C,3,FALSE),0))</f>
        <v>0</v>
      </c>
      <c r="V452" s="307">
        <f>Table24[[#This Row],[SEAT REV]]-Table24[[#This Row],[SEAT REV
(IF IDEAL $)]]</f>
        <v>0</v>
      </c>
    </row>
    <row r="453" spans="1:22" customFormat="1" x14ac:dyDescent="0.25">
      <c r="A453" s="306" t="s">
        <v>17780</v>
      </c>
      <c r="B453" s="306" t="s">
        <v>3483</v>
      </c>
      <c r="C453" s="306"/>
      <c r="D453" s="26">
        <v>2</v>
      </c>
      <c r="E453" s="312" t="s">
        <v>1749</v>
      </c>
      <c r="F453" s="306" t="str">
        <f>VLOOKUP(Table24[[#This Row],[Country]],Table10[[COUNTRY NAME]:[CONTINENT CODE]],3,FALSE)</f>
        <v>NA</v>
      </c>
      <c r="G453" s="312" t="s">
        <v>13215</v>
      </c>
      <c r="H453" s="309">
        <v>3388</v>
      </c>
      <c r="I453" s="310">
        <v>9.5</v>
      </c>
      <c r="J453" s="307"/>
      <c r="K453" s="307">
        <f>IFERROR(Table24[[#This Row],[ROUTE COST]]/Table24[[#This Row],[O - DEMAND]],0)</f>
        <v>0</v>
      </c>
      <c r="L453" s="306"/>
      <c r="M453" s="310">
        <f>Table24[[#This Row],[O - DEMAND]]/950</f>
        <v>0</v>
      </c>
      <c r="N453" s="306">
        <f>IFERROR(VLOOKUP(Table24[[#This Row],[ROUTE]],DEMAND!A:F,5,FALSE),0)</f>
        <v>0</v>
      </c>
      <c r="O453" s="306">
        <f>IFERROR(VLOOKUP(Table24[[#This Row],[ROUTE]],DEMAND!A:F,6,FALSE),0)</f>
        <v>0</v>
      </c>
      <c r="P453" s="306">
        <f>ROUNDDOWN(Table24[[#This Row],[R-DEMAND]]/950,0)</f>
        <v>0</v>
      </c>
      <c r="Q453" s="306">
        <f>Table24[[#This Row],[ADD ACC
(475/950)]]*Table24[[#This Row],[Duration
(A359)]]</f>
        <v>0</v>
      </c>
      <c r="R453" s="307">
        <f>IFERROR(VLOOKUP(Table24[[#This Row],[ROUTE]],PRICING!A:B,2,FALSE),0)</f>
        <v>0</v>
      </c>
      <c r="S453" s="308">
        <f>Table24[[#This Row],[C_DEMAND]]-Table24[[#This Row],[R-DEMAND]]</f>
        <v>0</v>
      </c>
      <c r="T453" s="307">
        <f>Table24[[#This Row],[SEATS SOLD]]*Table24[[#This Row],[ECO SEAT]]</f>
        <v>0</v>
      </c>
      <c r="U453" s="307">
        <f>Table24[[#This Row],[SEATS SOLD]]*(IFERROR(VLOOKUP(Table24[[#This Row],[ROUTE]],PRICING!A:C,3,FALSE),0))</f>
        <v>0</v>
      </c>
      <c r="V453" s="307">
        <f>Table24[[#This Row],[SEAT REV]]-Table24[[#This Row],[SEAT REV
(IF IDEAL $)]]</f>
        <v>0</v>
      </c>
    </row>
    <row r="454" spans="1:22" customFormat="1" x14ac:dyDescent="0.25">
      <c r="A454" s="306" t="s">
        <v>17782</v>
      </c>
      <c r="B454" s="306" t="s">
        <v>2651</v>
      </c>
      <c r="C454" s="306"/>
      <c r="D454" s="26">
        <v>2</v>
      </c>
      <c r="E454" s="312" t="s">
        <v>514</v>
      </c>
      <c r="F454" s="306" t="str">
        <f>VLOOKUP(Table24[[#This Row],[Country]],Table10[[COUNTRY NAME]:[CONTINENT CODE]],3,FALSE)</f>
        <v>NA</v>
      </c>
      <c r="G454" s="312" t="s">
        <v>13169</v>
      </c>
      <c r="H454" s="309">
        <v>3311</v>
      </c>
      <c r="I454" s="310">
        <v>9.5</v>
      </c>
      <c r="J454" s="307"/>
      <c r="K454" s="307">
        <f>IFERROR(Table24[[#This Row],[ROUTE COST]]/Table24[[#This Row],[O - DEMAND]],0)</f>
        <v>0</v>
      </c>
      <c r="L454" s="306"/>
      <c r="M454" s="310">
        <f>Table24[[#This Row],[O - DEMAND]]/950</f>
        <v>0</v>
      </c>
      <c r="N454" s="306">
        <f>IFERROR(VLOOKUP(Table24[[#This Row],[ROUTE]],DEMAND!A:F,5,FALSE),0)</f>
        <v>0</v>
      </c>
      <c r="O454" s="306">
        <f>IFERROR(VLOOKUP(Table24[[#This Row],[ROUTE]],DEMAND!A:F,6,FALSE),0)</f>
        <v>0</v>
      </c>
      <c r="P454" s="306">
        <f>ROUNDDOWN(Table24[[#This Row],[R-DEMAND]]/950,0)</f>
        <v>0</v>
      </c>
      <c r="Q454" s="306">
        <f>Table24[[#This Row],[ADD ACC
(475/950)]]*Table24[[#This Row],[Duration
(A359)]]</f>
        <v>0</v>
      </c>
      <c r="R454" s="307">
        <f>IFERROR(VLOOKUP(Table24[[#This Row],[ROUTE]],PRICING!A:B,2,FALSE),0)</f>
        <v>0</v>
      </c>
      <c r="S454" s="308">
        <f>Table24[[#This Row],[C_DEMAND]]-Table24[[#This Row],[R-DEMAND]]</f>
        <v>0</v>
      </c>
      <c r="T454" s="307">
        <f>Table24[[#This Row],[SEATS SOLD]]*Table24[[#This Row],[ECO SEAT]]</f>
        <v>0</v>
      </c>
      <c r="U454" s="307">
        <f>Table24[[#This Row],[SEATS SOLD]]*(IFERROR(VLOOKUP(Table24[[#This Row],[ROUTE]],PRICING!A:C,3,FALSE),0))</f>
        <v>0</v>
      </c>
      <c r="V454" s="307">
        <f>Table24[[#This Row],[SEAT REV]]-Table24[[#This Row],[SEAT REV
(IF IDEAL $)]]</f>
        <v>0</v>
      </c>
    </row>
    <row r="455" spans="1:22" customFormat="1" x14ac:dyDescent="0.25">
      <c r="A455" s="306" t="s">
        <v>17781</v>
      </c>
      <c r="B455" s="306" t="s">
        <v>2974</v>
      </c>
      <c r="C455" s="306"/>
      <c r="D455" s="26">
        <v>2</v>
      </c>
      <c r="E455" s="312" t="s">
        <v>514</v>
      </c>
      <c r="F455" s="306" t="str">
        <f>VLOOKUP(Table24[[#This Row],[Country]],Table10[[COUNTRY NAME]:[CONTINENT CODE]],3,FALSE)</f>
        <v>NA</v>
      </c>
      <c r="G455" s="312" t="s">
        <v>13167</v>
      </c>
      <c r="H455" s="309">
        <v>3315</v>
      </c>
      <c r="I455" s="310">
        <v>9.5</v>
      </c>
      <c r="J455" s="307"/>
      <c r="K455" s="307">
        <f>IFERROR(Table24[[#This Row],[ROUTE COST]]/Table24[[#This Row],[O - DEMAND]],0)</f>
        <v>0</v>
      </c>
      <c r="L455" s="306"/>
      <c r="M455" s="310">
        <f>Table24[[#This Row],[O - DEMAND]]/950</f>
        <v>0</v>
      </c>
      <c r="N455" s="306">
        <f>IFERROR(VLOOKUP(Table24[[#This Row],[ROUTE]],DEMAND!A:F,5,FALSE),0)</f>
        <v>0</v>
      </c>
      <c r="O455" s="306">
        <f>IFERROR(VLOOKUP(Table24[[#This Row],[ROUTE]],DEMAND!A:F,6,FALSE),0)</f>
        <v>0</v>
      </c>
      <c r="P455" s="306">
        <f>ROUNDDOWN(Table24[[#This Row],[R-DEMAND]]/950,0)</f>
        <v>0</v>
      </c>
      <c r="Q455" s="306">
        <f>Table24[[#This Row],[ADD ACC
(475/950)]]*Table24[[#This Row],[Duration
(A359)]]</f>
        <v>0</v>
      </c>
      <c r="R455" s="307">
        <f>IFERROR(VLOOKUP(Table24[[#This Row],[ROUTE]],PRICING!A:B,2,FALSE),0)</f>
        <v>0</v>
      </c>
      <c r="S455" s="308">
        <f>Table24[[#This Row],[C_DEMAND]]-Table24[[#This Row],[R-DEMAND]]</f>
        <v>0</v>
      </c>
      <c r="T455" s="307">
        <f>Table24[[#This Row],[SEATS SOLD]]*Table24[[#This Row],[ECO SEAT]]</f>
        <v>0</v>
      </c>
      <c r="U455" s="307">
        <f>Table24[[#This Row],[SEATS SOLD]]*(IFERROR(VLOOKUP(Table24[[#This Row],[ROUTE]],PRICING!A:C,3,FALSE),0))</f>
        <v>0</v>
      </c>
      <c r="V455" s="307">
        <f>Table24[[#This Row],[SEAT REV]]-Table24[[#This Row],[SEAT REV
(IF IDEAL $)]]</f>
        <v>0</v>
      </c>
    </row>
    <row r="456" spans="1:22" customFormat="1" x14ac:dyDescent="0.25">
      <c r="A456" s="306" t="s">
        <v>17930</v>
      </c>
      <c r="B456" s="306" t="s">
        <v>4613</v>
      </c>
      <c r="C456" s="306"/>
      <c r="D456" s="26">
        <v>2</v>
      </c>
      <c r="E456" s="312" t="s">
        <v>11732</v>
      </c>
      <c r="F456" s="306" t="str">
        <f>VLOOKUP(Table24[[#This Row],[Country]],Table10[[COUNTRY NAME]:[CONTINENT CODE]],3,FALSE)</f>
        <v>NA - US</v>
      </c>
      <c r="G456" s="312" t="s">
        <v>13301</v>
      </c>
      <c r="H456" s="309">
        <v>3374</v>
      </c>
      <c r="I456" s="310">
        <v>9.5</v>
      </c>
      <c r="J456" s="307"/>
      <c r="K456" s="307">
        <f>IFERROR(Table24[[#This Row],[ROUTE COST]]/Table24[[#This Row],[O - DEMAND]],0)</f>
        <v>0</v>
      </c>
      <c r="L456" s="306"/>
      <c r="M456" s="310">
        <f>Table24[[#This Row],[O - DEMAND]]/950</f>
        <v>0</v>
      </c>
      <c r="N456" s="306">
        <f>IFERROR(VLOOKUP(Table24[[#This Row],[ROUTE]],DEMAND!A:F,5,FALSE),0)</f>
        <v>0</v>
      </c>
      <c r="O456" s="306">
        <f>IFERROR(VLOOKUP(Table24[[#This Row],[ROUTE]],DEMAND!A:F,6,FALSE),0)</f>
        <v>0</v>
      </c>
      <c r="P456" s="306">
        <f>ROUNDDOWN(Table24[[#This Row],[R-DEMAND]]/950,0)</f>
        <v>0</v>
      </c>
      <c r="Q456" s="306">
        <f>Table24[[#This Row],[ADD ACC
(475/950)]]*Table24[[#This Row],[Duration
(A359)]]</f>
        <v>0</v>
      </c>
      <c r="R456" s="307">
        <f>IFERROR(VLOOKUP(Table24[[#This Row],[ROUTE]],PRICING!A:B,2,FALSE),0)</f>
        <v>0</v>
      </c>
      <c r="S456" s="308">
        <f>Table24[[#This Row],[C_DEMAND]]-Table24[[#This Row],[R-DEMAND]]</f>
        <v>0</v>
      </c>
      <c r="T456" s="307">
        <f>Table24[[#This Row],[SEATS SOLD]]*Table24[[#This Row],[ECO SEAT]]</f>
        <v>0</v>
      </c>
      <c r="U456" s="307">
        <f>Table24[[#This Row],[SEATS SOLD]]*(IFERROR(VLOOKUP(Table24[[#This Row],[ROUTE]],PRICING!A:C,3,FALSE),0))</f>
        <v>0</v>
      </c>
      <c r="V456" s="307">
        <f>Table24[[#This Row],[SEAT REV]]-Table24[[#This Row],[SEAT REV
(IF IDEAL $)]]</f>
        <v>0</v>
      </c>
    </row>
    <row r="457" spans="1:22" customFormat="1" x14ac:dyDescent="0.25">
      <c r="A457" s="306" t="s">
        <v>17927</v>
      </c>
      <c r="B457" s="306" t="s">
        <v>3630</v>
      </c>
      <c r="C457" s="306"/>
      <c r="D457" s="26">
        <v>2</v>
      </c>
      <c r="E457" s="312" t="s">
        <v>11732</v>
      </c>
      <c r="F457" s="306" t="str">
        <f>VLOOKUP(Table24[[#This Row],[Country]],Table10[[COUNTRY NAME]:[CONTINENT CODE]],3,FALSE)</f>
        <v>NA - US</v>
      </c>
      <c r="G457" s="312" t="s">
        <v>8820</v>
      </c>
      <c r="H457" s="309">
        <v>3400</v>
      </c>
      <c r="I457" s="310">
        <v>9.5</v>
      </c>
      <c r="J457" s="307"/>
      <c r="K457" s="307">
        <f>IFERROR(Table24[[#This Row],[ROUTE COST]]/Table24[[#This Row],[O - DEMAND]],0)</f>
        <v>0</v>
      </c>
      <c r="L457" s="306"/>
      <c r="M457" s="310">
        <f>Table24[[#This Row],[O - DEMAND]]/950</f>
        <v>0</v>
      </c>
      <c r="N457" s="306">
        <f>IFERROR(VLOOKUP(Table24[[#This Row],[ROUTE]],DEMAND!A:F,5,FALSE),0)</f>
        <v>0</v>
      </c>
      <c r="O457" s="306">
        <f>IFERROR(VLOOKUP(Table24[[#This Row],[ROUTE]],DEMAND!A:F,6,FALSE),0)</f>
        <v>0</v>
      </c>
      <c r="P457" s="306">
        <f>ROUNDDOWN(Table24[[#This Row],[R-DEMAND]]/950,0)</f>
        <v>0</v>
      </c>
      <c r="Q457" s="306">
        <f>Table24[[#This Row],[ADD ACC
(475/950)]]*Table24[[#This Row],[Duration
(A359)]]</f>
        <v>0</v>
      </c>
      <c r="R457" s="307">
        <f>IFERROR(VLOOKUP(Table24[[#This Row],[ROUTE]],PRICING!A:B,2,FALSE),0)</f>
        <v>0</v>
      </c>
      <c r="S457" s="308">
        <f>Table24[[#This Row],[C_DEMAND]]-Table24[[#This Row],[R-DEMAND]]</f>
        <v>0</v>
      </c>
      <c r="T457" s="307">
        <f>Table24[[#This Row],[SEATS SOLD]]*Table24[[#This Row],[ECO SEAT]]</f>
        <v>0</v>
      </c>
      <c r="U457" s="307">
        <f>Table24[[#This Row],[SEATS SOLD]]*(IFERROR(VLOOKUP(Table24[[#This Row],[ROUTE]],PRICING!A:C,3,FALSE),0))</f>
        <v>0</v>
      </c>
      <c r="V457" s="307">
        <f>Table24[[#This Row],[SEAT REV]]-Table24[[#This Row],[SEAT REV
(IF IDEAL $)]]</f>
        <v>0</v>
      </c>
    </row>
    <row r="458" spans="1:22" customFormat="1" x14ac:dyDescent="0.25">
      <c r="A458" s="306" t="s">
        <v>17931</v>
      </c>
      <c r="B458" s="306" t="s">
        <v>4473</v>
      </c>
      <c r="C458" s="306"/>
      <c r="D458" s="26">
        <v>2</v>
      </c>
      <c r="E458" s="312" t="s">
        <v>11732</v>
      </c>
      <c r="F458" s="306" t="str">
        <f>VLOOKUP(Table24[[#This Row],[Country]],Table10[[COUNTRY NAME]:[CONTINENT CODE]],3,FALSE)</f>
        <v>NA - US</v>
      </c>
      <c r="G458" s="312" t="s">
        <v>13304</v>
      </c>
      <c r="H458" s="309">
        <v>3339</v>
      </c>
      <c r="I458" s="310">
        <v>9.5</v>
      </c>
      <c r="J458" s="307"/>
      <c r="K458" s="307">
        <f>IFERROR(Table24[[#This Row],[ROUTE COST]]/Table24[[#This Row],[O - DEMAND]],0)</f>
        <v>0</v>
      </c>
      <c r="L458" s="306"/>
      <c r="M458" s="310">
        <f>Table24[[#This Row],[O - DEMAND]]/950</f>
        <v>0</v>
      </c>
      <c r="N458" s="306">
        <f>IFERROR(VLOOKUP(Table24[[#This Row],[ROUTE]],DEMAND!A:F,5,FALSE),0)</f>
        <v>0</v>
      </c>
      <c r="O458" s="306">
        <f>IFERROR(VLOOKUP(Table24[[#This Row],[ROUTE]],DEMAND!A:F,6,FALSE),0)</f>
        <v>0</v>
      </c>
      <c r="P458" s="306">
        <f>ROUNDDOWN(Table24[[#This Row],[R-DEMAND]]/950,0)</f>
        <v>0</v>
      </c>
      <c r="Q458" s="306">
        <f>Table24[[#This Row],[ADD ACC
(475/950)]]*Table24[[#This Row],[Duration
(A359)]]</f>
        <v>0</v>
      </c>
      <c r="R458" s="307">
        <f>IFERROR(VLOOKUP(Table24[[#This Row],[ROUTE]],PRICING!A:B,2,FALSE),0)</f>
        <v>0</v>
      </c>
      <c r="S458" s="308">
        <f>Table24[[#This Row],[C_DEMAND]]-Table24[[#This Row],[R-DEMAND]]</f>
        <v>0</v>
      </c>
      <c r="T458" s="307">
        <f>Table24[[#This Row],[SEATS SOLD]]*Table24[[#This Row],[ECO SEAT]]</f>
        <v>0</v>
      </c>
      <c r="U458" s="307">
        <f>Table24[[#This Row],[SEATS SOLD]]*(IFERROR(VLOOKUP(Table24[[#This Row],[ROUTE]],PRICING!A:C,3,FALSE),0))</f>
        <v>0</v>
      </c>
      <c r="V458" s="307">
        <f>Table24[[#This Row],[SEAT REV]]-Table24[[#This Row],[SEAT REV
(IF IDEAL $)]]</f>
        <v>0</v>
      </c>
    </row>
    <row r="459" spans="1:22" customFormat="1" x14ac:dyDescent="0.25">
      <c r="A459" s="306" t="s">
        <v>17929</v>
      </c>
      <c r="B459" s="306" t="s">
        <v>2790</v>
      </c>
      <c r="C459" s="306"/>
      <c r="D459" s="26">
        <v>2</v>
      </c>
      <c r="E459" s="312" t="s">
        <v>11732</v>
      </c>
      <c r="F459" s="306" t="str">
        <f>VLOOKUP(Table24[[#This Row],[Country]],Table10[[COUNTRY NAME]:[CONTINENT CODE]],3,FALSE)</f>
        <v>NA - US</v>
      </c>
      <c r="G459" s="312" t="s">
        <v>13299</v>
      </c>
      <c r="H459" s="309">
        <v>3385</v>
      </c>
      <c r="I459" s="310">
        <v>9.5</v>
      </c>
      <c r="J459" s="307"/>
      <c r="K459" s="307">
        <f>IFERROR(Table24[[#This Row],[ROUTE COST]]/Table24[[#This Row],[O - DEMAND]],0)</f>
        <v>0</v>
      </c>
      <c r="L459" s="306"/>
      <c r="M459" s="310">
        <f>Table24[[#This Row],[O - DEMAND]]/950</f>
        <v>0</v>
      </c>
      <c r="N459" s="306">
        <f>IFERROR(VLOOKUP(Table24[[#This Row],[ROUTE]],DEMAND!A:F,5,FALSE),0)</f>
        <v>0</v>
      </c>
      <c r="O459" s="306">
        <f>IFERROR(VLOOKUP(Table24[[#This Row],[ROUTE]],DEMAND!A:F,6,FALSE),0)</f>
        <v>0</v>
      </c>
      <c r="P459" s="306">
        <f>ROUNDDOWN(Table24[[#This Row],[R-DEMAND]]/950,0)</f>
        <v>0</v>
      </c>
      <c r="Q459" s="306">
        <f>Table24[[#This Row],[ADD ACC
(475/950)]]*Table24[[#This Row],[Duration
(A359)]]</f>
        <v>0</v>
      </c>
      <c r="R459" s="307">
        <f>IFERROR(VLOOKUP(Table24[[#This Row],[ROUTE]],PRICING!A:B,2,FALSE),0)</f>
        <v>0</v>
      </c>
      <c r="S459" s="308">
        <f>Table24[[#This Row],[C_DEMAND]]-Table24[[#This Row],[R-DEMAND]]</f>
        <v>0</v>
      </c>
      <c r="T459" s="307">
        <f>Table24[[#This Row],[SEATS SOLD]]*Table24[[#This Row],[ECO SEAT]]</f>
        <v>0</v>
      </c>
      <c r="U459" s="307">
        <f>Table24[[#This Row],[SEATS SOLD]]*(IFERROR(VLOOKUP(Table24[[#This Row],[ROUTE]],PRICING!A:C,3,FALSE),0))</f>
        <v>0</v>
      </c>
      <c r="V459" s="307">
        <f>Table24[[#This Row],[SEAT REV]]-Table24[[#This Row],[SEAT REV
(IF IDEAL $)]]</f>
        <v>0</v>
      </c>
    </row>
    <row r="460" spans="1:22" customFormat="1" x14ac:dyDescent="0.25">
      <c r="A460" s="306" t="s">
        <v>17928</v>
      </c>
      <c r="B460" s="306" t="s">
        <v>3559</v>
      </c>
      <c r="C460" s="306"/>
      <c r="D460" s="26">
        <v>2</v>
      </c>
      <c r="E460" s="312" t="s">
        <v>11732</v>
      </c>
      <c r="F460" s="306" t="str">
        <f>VLOOKUP(Table24[[#This Row],[Country]],Table10[[COUNTRY NAME]:[CONTINENT CODE]],3,FALSE)</f>
        <v>NA - US</v>
      </c>
      <c r="G460" s="312" t="s">
        <v>13296</v>
      </c>
      <c r="H460" s="309">
        <v>3389</v>
      </c>
      <c r="I460" s="310">
        <v>9.5</v>
      </c>
      <c r="J460" s="307"/>
      <c r="K460" s="307">
        <f>IFERROR(Table24[[#This Row],[ROUTE COST]]/Table24[[#This Row],[O - DEMAND]],0)</f>
        <v>0</v>
      </c>
      <c r="L460" s="306"/>
      <c r="M460" s="310">
        <f>Table24[[#This Row],[O - DEMAND]]/950</f>
        <v>0</v>
      </c>
      <c r="N460" s="306">
        <f>IFERROR(VLOOKUP(Table24[[#This Row],[ROUTE]],DEMAND!A:F,5,FALSE),0)</f>
        <v>0</v>
      </c>
      <c r="O460" s="306">
        <f>IFERROR(VLOOKUP(Table24[[#This Row],[ROUTE]],DEMAND!A:F,6,FALSE),0)</f>
        <v>0</v>
      </c>
      <c r="P460" s="306">
        <f>ROUNDDOWN(Table24[[#This Row],[R-DEMAND]]/950,0)</f>
        <v>0</v>
      </c>
      <c r="Q460" s="306">
        <f>Table24[[#This Row],[ADD ACC
(475/950)]]*Table24[[#This Row],[Duration
(A359)]]</f>
        <v>0</v>
      </c>
      <c r="R460" s="307">
        <f>IFERROR(VLOOKUP(Table24[[#This Row],[ROUTE]],PRICING!A:B,2,FALSE),0)</f>
        <v>0</v>
      </c>
      <c r="S460" s="308">
        <f>Table24[[#This Row],[C_DEMAND]]-Table24[[#This Row],[R-DEMAND]]</f>
        <v>0</v>
      </c>
      <c r="T460" s="307">
        <f>Table24[[#This Row],[SEATS SOLD]]*Table24[[#This Row],[ECO SEAT]]</f>
        <v>0</v>
      </c>
      <c r="U460" s="307">
        <f>Table24[[#This Row],[SEATS SOLD]]*(IFERROR(VLOOKUP(Table24[[#This Row],[ROUTE]],PRICING!A:C,3,FALSE),0))</f>
        <v>0</v>
      </c>
      <c r="V460" s="307">
        <f>Table24[[#This Row],[SEAT REV]]-Table24[[#This Row],[SEAT REV
(IF IDEAL $)]]</f>
        <v>0</v>
      </c>
    </row>
    <row r="461" spans="1:22" customFormat="1" x14ac:dyDescent="0.25">
      <c r="A461" s="306" t="s">
        <v>17992</v>
      </c>
      <c r="B461" s="306" t="s">
        <v>3356</v>
      </c>
      <c r="C461" s="306"/>
      <c r="D461" s="26"/>
      <c r="E461" s="312" t="s">
        <v>11732</v>
      </c>
      <c r="F461" s="306" t="str">
        <f>VLOOKUP(Table24[[#This Row],[Country]],Table10[[COUNTRY NAME]:[CONTINENT CODE]],3,FALSE)</f>
        <v>NA - US</v>
      </c>
      <c r="G461" s="312" t="s">
        <v>16976</v>
      </c>
      <c r="H461" s="309">
        <v>3324</v>
      </c>
      <c r="I461" s="310">
        <v>9.5</v>
      </c>
      <c r="J461" s="307"/>
      <c r="K461" s="307">
        <f>IFERROR(Table24[[#This Row],[ROUTE COST]]/Table24[[#This Row],[O - DEMAND]],0)</f>
        <v>0</v>
      </c>
      <c r="L461" s="306"/>
      <c r="M461" s="310">
        <f>Table24[[#This Row],[O - DEMAND]]/950</f>
        <v>0</v>
      </c>
      <c r="N461" s="306">
        <f>IFERROR(VLOOKUP(Table24[[#This Row],[ROUTE]],DEMAND!A:F,5,FALSE),0)</f>
        <v>0</v>
      </c>
      <c r="O461" s="306">
        <f>IFERROR(VLOOKUP(Table24[[#This Row],[ROUTE]],DEMAND!A:F,6,FALSE),0)</f>
        <v>0</v>
      </c>
      <c r="P461" s="306">
        <f>ROUNDDOWN(Table24[[#This Row],[R-DEMAND]]/950,0)</f>
        <v>0</v>
      </c>
      <c r="Q461" s="306">
        <f>Table24[[#This Row],[ADD ACC
(475/950)]]*Table24[[#This Row],[Duration
(A359)]]</f>
        <v>0</v>
      </c>
      <c r="R461" s="307">
        <f>IFERROR(VLOOKUP(Table24[[#This Row],[ROUTE]],PRICING!A:B,2,FALSE),0)</f>
        <v>0</v>
      </c>
      <c r="S461" s="308">
        <f>Table24[[#This Row],[C_DEMAND]]-Table24[[#This Row],[R-DEMAND]]</f>
        <v>0</v>
      </c>
      <c r="T461" s="307">
        <f>Table24[[#This Row],[SEATS SOLD]]*Table24[[#This Row],[ECO SEAT]]</f>
        <v>0</v>
      </c>
      <c r="U461" s="307">
        <f>Table24[[#This Row],[SEATS SOLD]]*(IFERROR(VLOOKUP(Table24[[#This Row],[ROUTE]],PRICING!A:C,3,FALSE),0))</f>
        <v>0</v>
      </c>
      <c r="V461" s="307">
        <f>Table24[[#This Row],[SEAT REV]]-Table24[[#This Row],[SEAT REV
(IF IDEAL $)]]</f>
        <v>0</v>
      </c>
    </row>
    <row r="462" spans="1:22" customFormat="1" x14ac:dyDescent="0.25">
      <c r="A462" s="306" t="s">
        <v>17888</v>
      </c>
      <c r="B462" s="306" t="s">
        <v>4798</v>
      </c>
      <c r="C462" s="306"/>
      <c r="D462" s="26">
        <v>3</v>
      </c>
      <c r="E462" s="312" t="s">
        <v>11732</v>
      </c>
      <c r="F462" s="306" t="str">
        <f>VLOOKUP(Table24[[#This Row],[Country]],Table10[[COUNTRY NAME]:[CONTINENT CODE]],3,FALSE)</f>
        <v>NA - US</v>
      </c>
      <c r="G462" s="312" t="s">
        <v>13302</v>
      </c>
      <c r="H462" s="309">
        <v>3233</v>
      </c>
      <c r="I462" s="310">
        <v>9.25</v>
      </c>
      <c r="J462" s="307"/>
      <c r="K462" s="307">
        <f>IFERROR(Table24[[#This Row],[ROUTE COST]]/Table24[[#This Row],[O - DEMAND]],0)</f>
        <v>0</v>
      </c>
      <c r="L462" s="306"/>
      <c r="M462" s="310">
        <f>Table24[[#This Row],[O - DEMAND]]/950</f>
        <v>0</v>
      </c>
      <c r="N462" s="306">
        <f>IFERROR(VLOOKUP(Table24[[#This Row],[ROUTE]],DEMAND!A:F,5,FALSE),0)</f>
        <v>0</v>
      </c>
      <c r="O462" s="306">
        <f>IFERROR(VLOOKUP(Table24[[#This Row],[ROUTE]],DEMAND!A:F,6,FALSE),0)</f>
        <v>0</v>
      </c>
      <c r="P462" s="306">
        <f>ROUNDDOWN(Table24[[#This Row],[R-DEMAND]]/950,0)</f>
        <v>0</v>
      </c>
      <c r="Q462" s="306">
        <f>Table24[[#This Row],[ADD ACC
(475/950)]]*Table24[[#This Row],[Duration
(A359)]]</f>
        <v>0</v>
      </c>
      <c r="R462" s="307">
        <f>IFERROR(VLOOKUP(Table24[[#This Row],[ROUTE]],PRICING!A:B,2,FALSE),0)</f>
        <v>0</v>
      </c>
      <c r="S462" s="308">
        <f>Table24[[#This Row],[C_DEMAND]]-Table24[[#This Row],[R-DEMAND]]</f>
        <v>0</v>
      </c>
      <c r="T462" s="307">
        <f>Table24[[#This Row],[SEATS SOLD]]*Table24[[#This Row],[ECO SEAT]]</f>
        <v>0</v>
      </c>
      <c r="U462" s="307">
        <f>Table24[[#This Row],[SEATS SOLD]]*(IFERROR(VLOOKUP(Table24[[#This Row],[ROUTE]],PRICING!A:C,3,FALSE),0))</f>
        <v>0</v>
      </c>
      <c r="V462" s="307">
        <f>Table24[[#This Row],[SEAT REV]]-Table24[[#This Row],[SEAT REV
(IF IDEAL $)]]</f>
        <v>0</v>
      </c>
    </row>
    <row r="463" spans="1:22" customFormat="1" x14ac:dyDescent="0.25">
      <c r="A463" s="306" t="s">
        <v>17783</v>
      </c>
      <c r="B463" s="306" t="s">
        <v>4034</v>
      </c>
      <c r="C463" s="306"/>
      <c r="D463" s="26">
        <v>2</v>
      </c>
      <c r="E463" s="312" t="s">
        <v>1749</v>
      </c>
      <c r="F463" s="306" t="str">
        <f>VLOOKUP(Table24[[#This Row],[Country]],Table10[[COUNTRY NAME]:[CONTINENT CODE]],3,FALSE)</f>
        <v>NA</v>
      </c>
      <c r="G463" s="312" t="s">
        <v>16977</v>
      </c>
      <c r="H463" s="309">
        <v>3291</v>
      </c>
      <c r="I463" s="310">
        <v>9.25</v>
      </c>
      <c r="J463" s="307"/>
      <c r="K463" s="307">
        <f>IFERROR(Table24[[#This Row],[ROUTE COST]]/Table24[[#This Row],[O - DEMAND]],0)</f>
        <v>0</v>
      </c>
      <c r="L463" s="306"/>
      <c r="M463" s="310">
        <f>Table24[[#This Row],[O - DEMAND]]/950</f>
        <v>0</v>
      </c>
      <c r="N463" s="306">
        <f>IFERROR(VLOOKUP(Table24[[#This Row],[ROUTE]],DEMAND!A:F,5,FALSE),0)</f>
        <v>0</v>
      </c>
      <c r="O463" s="306">
        <f>IFERROR(VLOOKUP(Table24[[#This Row],[ROUTE]],DEMAND!A:F,6,FALSE),0)</f>
        <v>0</v>
      </c>
      <c r="P463" s="306">
        <f>ROUNDDOWN(Table24[[#This Row],[R-DEMAND]]/950,0)</f>
        <v>0</v>
      </c>
      <c r="Q463" s="306">
        <f>Table24[[#This Row],[ADD ACC
(475/950)]]*Table24[[#This Row],[Duration
(A359)]]</f>
        <v>0</v>
      </c>
      <c r="R463" s="307">
        <f>IFERROR(VLOOKUP(Table24[[#This Row],[ROUTE]],PRICING!A:B,2,FALSE),0)</f>
        <v>0</v>
      </c>
      <c r="S463" s="308">
        <f>Table24[[#This Row],[C_DEMAND]]-Table24[[#This Row],[R-DEMAND]]</f>
        <v>0</v>
      </c>
      <c r="T463" s="307">
        <f>Table24[[#This Row],[SEATS SOLD]]*Table24[[#This Row],[ECO SEAT]]</f>
        <v>0</v>
      </c>
      <c r="U463" s="307">
        <f>Table24[[#This Row],[SEATS SOLD]]*(IFERROR(VLOOKUP(Table24[[#This Row],[ROUTE]],PRICING!A:C,3,FALSE),0))</f>
        <v>0</v>
      </c>
      <c r="V463" s="307">
        <f>Table24[[#This Row],[SEAT REV]]-Table24[[#This Row],[SEAT REV
(IF IDEAL $)]]</f>
        <v>0</v>
      </c>
    </row>
    <row r="464" spans="1:22" customFormat="1" x14ac:dyDescent="0.25">
      <c r="A464" s="306" t="s">
        <v>17784</v>
      </c>
      <c r="B464" s="306" t="s">
        <v>3972</v>
      </c>
      <c r="C464" s="306"/>
      <c r="D464" s="26">
        <v>2</v>
      </c>
      <c r="E464" s="312" t="s">
        <v>1749</v>
      </c>
      <c r="F464" s="306" t="str">
        <f>VLOOKUP(Table24[[#This Row],[Country]],Table10[[COUNTRY NAME]:[CONTINENT CODE]],3,FALSE)</f>
        <v>NA</v>
      </c>
      <c r="G464" s="312" t="s">
        <v>13217</v>
      </c>
      <c r="H464" s="309">
        <v>3192</v>
      </c>
      <c r="I464" s="310">
        <v>9.25</v>
      </c>
      <c r="J464" s="307"/>
      <c r="K464" s="307">
        <f>IFERROR(Table24[[#This Row],[ROUTE COST]]/Table24[[#This Row],[O - DEMAND]],0)</f>
        <v>0</v>
      </c>
      <c r="L464" s="306"/>
      <c r="M464" s="310">
        <f>Table24[[#This Row],[O - DEMAND]]/950</f>
        <v>0</v>
      </c>
      <c r="N464" s="306">
        <f>IFERROR(VLOOKUP(Table24[[#This Row],[ROUTE]],DEMAND!A:F,5,FALSE),0)</f>
        <v>0</v>
      </c>
      <c r="O464" s="306">
        <f>IFERROR(VLOOKUP(Table24[[#This Row],[ROUTE]],DEMAND!A:F,6,FALSE),0)</f>
        <v>0</v>
      </c>
      <c r="P464" s="306">
        <f>ROUNDDOWN(Table24[[#This Row],[R-DEMAND]]/950,0)</f>
        <v>0</v>
      </c>
      <c r="Q464" s="306">
        <f>Table24[[#This Row],[ADD ACC
(475/950)]]*Table24[[#This Row],[Duration
(A359)]]</f>
        <v>0</v>
      </c>
      <c r="R464" s="307">
        <f>IFERROR(VLOOKUP(Table24[[#This Row],[ROUTE]],PRICING!A:B,2,FALSE),0)</f>
        <v>0</v>
      </c>
      <c r="S464" s="308">
        <f>Table24[[#This Row],[C_DEMAND]]-Table24[[#This Row],[R-DEMAND]]</f>
        <v>0</v>
      </c>
      <c r="T464" s="307">
        <f>Table24[[#This Row],[SEATS SOLD]]*Table24[[#This Row],[ECO SEAT]]</f>
        <v>0</v>
      </c>
      <c r="U464" s="307">
        <f>Table24[[#This Row],[SEATS SOLD]]*(IFERROR(VLOOKUP(Table24[[#This Row],[ROUTE]],PRICING!A:C,3,FALSE),0))</f>
        <v>0</v>
      </c>
      <c r="V464" s="307">
        <f>Table24[[#This Row],[SEAT REV]]-Table24[[#This Row],[SEAT REV
(IF IDEAL $)]]</f>
        <v>0</v>
      </c>
    </row>
    <row r="465" spans="1:22" customFormat="1" x14ac:dyDescent="0.25">
      <c r="A465" s="306" t="s">
        <v>17969</v>
      </c>
      <c r="B465" s="306" t="s">
        <v>2011</v>
      </c>
      <c r="C465" s="306"/>
      <c r="D465" s="26">
        <v>1</v>
      </c>
      <c r="E465" s="312" t="s">
        <v>11732</v>
      </c>
      <c r="F465" s="306" t="str">
        <f>VLOOKUP(Table24[[#This Row],[Country]],Table10[[COUNTRY NAME]:[CONTINENT CODE]],3,FALSE)</f>
        <v>NA - US</v>
      </c>
      <c r="G465" s="312" t="s">
        <v>16978</v>
      </c>
      <c r="H465" s="309">
        <v>3270</v>
      </c>
      <c r="I465" s="310">
        <v>9.25</v>
      </c>
      <c r="J465" s="307"/>
      <c r="K465" s="307">
        <f>IFERROR(Table24[[#This Row],[ROUTE COST]]/Table24[[#This Row],[O - DEMAND]],0)</f>
        <v>0</v>
      </c>
      <c r="L465" s="306"/>
      <c r="M465" s="310">
        <f>Table24[[#This Row],[O - DEMAND]]/950</f>
        <v>0</v>
      </c>
      <c r="N465" s="306">
        <f>IFERROR(VLOOKUP(Table24[[#This Row],[ROUTE]],DEMAND!A:F,5,FALSE),0)</f>
        <v>0</v>
      </c>
      <c r="O465" s="306">
        <f>IFERROR(VLOOKUP(Table24[[#This Row],[ROUTE]],DEMAND!A:F,6,FALSE),0)</f>
        <v>0</v>
      </c>
      <c r="P465" s="306">
        <f>ROUNDDOWN(Table24[[#This Row],[R-DEMAND]]/950,0)</f>
        <v>0</v>
      </c>
      <c r="Q465" s="306">
        <f>Table24[[#This Row],[ADD ACC
(475/950)]]*Table24[[#This Row],[Duration
(A359)]]</f>
        <v>0</v>
      </c>
      <c r="R465" s="307">
        <f>IFERROR(VLOOKUP(Table24[[#This Row],[ROUTE]],PRICING!A:B,2,FALSE),0)</f>
        <v>0</v>
      </c>
      <c r="S465" s="308">
        <f>Table24[[#This Row],[C_DEMAND]]-Table24[[#This Row],[R-DEMAND]]</f>
        <v>0</v>
      </c>
      <c r="T465" s="307">
        <f>Table24[[#This Row],[SEATS SOLD]]*Table24[[#This Row],[ECO SEAT]]</f>
        <v>0</v>
      </c>
      <c r="U465" s="307">
        <f>Table24[[#This Row],[SEATS SOLD]]*(IFERROR(VLOOKUP(Table24[[#This Row],[ROUTE]],PRICING!A:C,3,FALSE),0))</f>
        <v>0</v>
      </c>
      <c r="V465" s="307">
        <f>Table24[[#This Row],[SEAT REV]]-Table24[[#This Row],[SEAT REV
(IF IDEAL $)]]</f>
        <v>0</v>
      </c>
    </row>
    <row r="466" spans="1:22" customFormat="1" x14ac:dyDescent="0.25">
      <c r="A466" s="306" t="s">
        <v>17993</v>
      </c>
      <c r="B466" s="306" t="s">
        <v>4893</v>
      </c>
      <c r="C466" s="306"/>
      <c r="D466" s="26"/>
      <c r="E466" s="312" t="s">
        <v>11732</v>
      </c>
      <c r="F466" s="306" t="str">
        <f>VLOOKUP(Table24[[#This Row],[Country]],Table10[[COUNTRY NAME]:[CONTINENT CODE]],3,FALSE)</f>
        <v>NA - US</v>
      </c>
      <c r="G466" s="312" t="s">
        <v>16979</v>
      </c>
      <c r="H466" s="309">
        <v>3259</v>
      </c>
      <c r="I466" s="310">
        <v>9.25</v>
      </c>
      <c r="J466" s="307"/>
      <c r="K466" s="307">
        <f>IFERROR(Table24[[#This Row],[ROUTE COST]]/Table24[[#This Row],[O - DEMAND]],0)</f>
        <v>0</v>
      </c>
      <c r="L466" s="306"/>
      <c r="M466" s="310">
        <f>Table24[[#This Row],[O - DEMAND]]/950</f>
        <v>0</v>
      </c>
      <c r="N466" s="306">
        <f>IFERROR(VLOOKUP(Table24[[#This Row],[ROUTE]],DEMAND!A:F,5,FALSE),0)</f>
        <v>0</v>
      </c>
      <c r="O466" s="306">
        <f>IFERROR(VLOOKUP(Table24[[#This Row],[ROUTE]],DEMAND!A:F,6,FALSE),0)</f>
        <v>0</v>
      </c>
      <c r="P466" s="306">
        <f>ROUNDDOWN(Table24[[#This Row],[R-DEMAND]]/950,0)</f>
        <v>0</v>
      </c>
      <c r="Q466" s="306">
        <f>Table24[[#This Row],[ADD ACC
(475/950)]]*Table24[[#This Row],[Duration
(A359)]]</f>
        <v>0</v>
      </c>
      <c r="R466" s="307">
        <f>IFERROR(VLOOKUP(Table24[[#This Row],[ROUTE]],PRICING!A:B,2,FALSE),0)</f>
        <v>0</v>
      </c>
      <c r="S466" s="308">
        <f>Table24[[#This Row],[C_DEMAND]]-Table24[[#This Row],[R-DEMAND]]</f>
        <v>0</v>
      </c>
      <c r="T466" s="307">
        <f>Table24[[#This Row],[SEATS SOLD]]*Table24[[#This Row],[ECO SEAT]]</f>
        <v>0</v>
      </c>
      <c r="U466" s="307">
        <f>Table24[[#This Row],[SEATS SOLD]]*(IFERROR(VLOOKUP(Table24[[#This Row],[ROUTE]],PRICING!A:C,3,FALSE),0))</f>
        <v>0</v>
      </c>
      <c r="V466" s="307">
        <f>Table24[[#This Row],[SEAT REV]]-Table24[[#This Row],[SEAT REV
(IF IDEAL $)]]</f>
        <v>0</v>
      </c>
    </row>
    <row r="467" spans="1:22" customFormat="1" x14ac:dyDescent="0.25">
      <c r="A467" s="306" t="s">
        <v>17994</v>
      </c>
      <c r="B467" s="306" t="s">
        <v>4316</v>
      </c>
      <c r="C467" s="306"/>
      <c r="D467" s="26"/>
      <c r="E467" s="312" t="s">
        <v>11732</v>
      </c>
      <c r="F467" s="306" t="str">
        <f>VLOOKUP(Table24[[#This Row],[Country]],Table10[[COUNTRY NAME]:[CONTINENT CODE]],3,FALSE)</f>
        <v>NA - US</v>
      </c>
      <c r="G467" s="312" t="s">
        <v>16980</v>
      </c>
      <c r="H467" s="309">
        <v>3235</v>
      </c>
      <c r="I467" s="310">
        <v>9.25</v>
      </c>
      <c r="J467" s="307"/>
      <c r="K467" s="307">
        <f>IFERROR(Table24[[#This Row],[ROUTE COST]]/Table24[[#This Row],[O - DEMAND]],0)</f>
        <v>0</v>
      </c>
      <c r="L467" s="306"/>
      <c r="M467" s="310">
        <f>Table24[[#This Row],[O - DEMAND]]/950</f>
        <v>0</v>
      </c>
      <c r="N467" s="306">
        <f>IFERROR(VLOOKUP(Table24[[#This Row],[ROUTE]],DEMAND!A:F,5,FALSE),0)</f>
        <v>0</v>
      </c>
      <c r="O467" s="306">
        <f>IFERROR(VLOOKUP(Table24[[#This Row],[ROUTE]],DEMAND!A:F,6,FALSE),0)</f>
        <v>0</v>
      </c>
      <c r="P467" s="306">
        <f>ROUNDDOWN(Table24[[#This Row],[R-DEMAND]]/950,0)</f>
        <v>0</v>
      </c>
      <c r="Q467" s="306">
        <f>Table24[[#This Row],[ADD ACC
(475/950)]]*Table24[[#This Row],[Duration
(A359)]]</f>
        <v>0</v>
      </c>
      <c r="R467" s="307">
        <f>IFERROR(VLOOKUP(Table24[[#This Row],[ROUTE]],PRICING!A:B,2,FALSE),0)</f>
        <v>0</v>
      </c>
      <c r="S467" s="308">
        <f>Table24[[#This Row],[C_DEMAND]]-Table24[[#This Row],[R-DEMAND]]</f>
        <v>0</v>
      </c>
      <c r="T467" s="307">
        <f>Table24[[#This Row],[SEATS SOLD]]*Table24[[#This Row],[ECO SEAT]]</f>
        <v>0</v>
      </c>
      <c r="U467" s="307">
        <f>Table24[[#This Row],[SEATS SOLD]]*(IFERROR(VLOOKUP(Table24[[#This Row],[ROUTE]],PRICING!A:C,3,FALSE),0))</f>
        <v>0</v>
      </c>
      <c r="V467" s="307">
        <f>Table24[[#This Row],[SEAT REV]]-Table24[[#This Row],[SEAT REV
(IF IDEAL $)]]</f>
        <v>0</v>
      </c>
    </row>
    <row r="468" spans="1:22" customFormat="1" x14ac:dyDescent="0.25">
      <c r="A468" s="306" t="s">
        <v>17855</v>
      </c>
      <c r="B468" s="306" t="s">
        <v>5574</v>
      </c>
      <c r="C468" s="306"/>
      <c r="D468" s="26">
        <v>4</v>
      </c>
      <c r="E468" s="312" t="s">
        <v>11732</v>
      </c>
      <c r="F468" s="306" t="str">
        <f>VLOOKUP(Table24[[#This Row],[Country]],Table10[[COUNTRY NAME]:[CONTINENT CODE]],3,FALSE)</f>
        <v>NA - US</v>
      </c>
      <c r="G468" s="312" t="s">
        <v>13303</v>
      </c>
      <c r="H468" s="309">
        <v>3155</v>
      </c>
      <c r="I468" s="310">
        <v>9</v>
      </c>
      <c r="J468" s="307"/>
      <c r="K468" s="307">
        <f>IFERROR(Table24[[#This Row],[ROUTE COST]]/Table24[[#This Row],[O - DEMAND]],0)</f>
        <v>0</v>
      </c>
      <c r="L468" s="306"/>
      <c r="M468" s="310">
        <f>Table24[[#This Row],[O - DEMAND]]/950</f>
        <v>0</v>
      </c>
      <c r="N468" s="306">
        <f>IFERROR(VLOOKUP(Table24[[#This Row],[ROUTE]],DEMAND!A:F,5,FALSE),0)</f>
        <v>0</v>
      </c>
      <c r="O468" s="306">
        <f>IFERROR(VLOOKUP(Table24[[#This Row],[ROUTE]],DEMAND!A:F,6,FALSE),0)</f>
        <v>0</v>
      </c>
      <c r="P468" s="306">
        <f>ROUNDDOWN(Table24[[#This Row],[R-DEMAND]]/950,0)</f>
        <v>0</v>
      </c>
      <c r="Q468" s="306">
        <f>Table24[[#This Row],[ADD ACC
(475/950)]]*Table24[[#This Row],[Duration
(A359)]]</f>
        <v>0</v>
      </c>
      <c r="R468" s="307">
        <f>IFERROR(VLOOKUP(Table24[[#This Row],[ROUTE]],PRICING!A:B,2,FALSE),0)</f>
        <v>0</v>
      </c>
      <c r="S468" s="308">
        <f>Table24[[#This Row],[C_DEMAND]]-Table24[[#This Row],[R-DEMAND]]</f>
        <v>0</v>
      </c>
      <c r="T468" s="307">
        <f>Table24[[#This Row],[SEATS SOLD]]*Table24[[#This Row],[ECO SEAT]]</f>
        <v>0</v>
      </c>
      <c r="U468" s="307">
        <f>Table24[[#This Row],[SEATS SOLD]]*(IFERROR(VLOOKUP(Table24[[#This Row],[ROUTE]],PRICING!A:C,3,FALSE),0))</f>
        <v>0</v>
      </c>
      <c r="V468" s="307">
        <f>Table24[[#This Row],[SEAT REV]]-Table24[[#This Row],[SEAT REV
(IF IDEAL $)]]</f>
        <v>0</v>
      </c>
    </row>
    <row r="469" spans="1:22" customFormat="1" x14ac:dyDescent="0.25">
      <c r="A469" s="306" t="s">
        <v>17889</v>
      </c>
      <c r="B469" s="306" t="s">
        <v>5217</v>
      </c>
      <c r="C469" s="306"/>
      <c r="D469" s="26">
        <v>3</v>
      </c>
      <c r="E469" s="312" t="s">
        <v>11732</v>
      </c>
      <c r="F469" s="306" t="str">
        <f>VLOOKUP(Table24[[#This Row],[Country]],Table10[[COUNTRY NAME]:[CONTINENT CODE]],3,FALSE)</f>
        <v>NA - US</v>
      </c>
      <c r="G469" s="312" t="s">
        <v>13308</v>
      </c>
      <c r="H469" s="309">
        <v>3112</v>
      </c>
      <c r="I469" s="310">
        <v>9</v>
      </c>
      <c r="J469" s="307"/>
      <c r="K469" s="307">
        <f>IFERROR(Table24[[#This Row],[ROUTE COST]]/Table24[[#This Row],[O - DEMAND]],0)</f>
        <v>0</v>
      </c>
      <c r="L469" s="306"/>
      <c r="M469" s="310">
        <f>Table24[[#This Row],[O - DEMAND]]/950</f>
        <v>0</v>
      </c>
      <c r="N469" s="306">
        <f>IFERROR(VLOOKUP(Table24[[#This Row],[ROUTE]],DEMAND!A:F,5,FALSE),0)</f>
        <v>0</v>
      </c>
      <c r="O469" s="306">
        <f>IFERROR(VLOOKUP(Table24[[#This Row],[ROUTE]],DEMAND!A:F,6,FALSE),0)</f>
        <v>0</v>
      </c>
      <c r="P469" s="306">
        <f>ROUNDDOWN(Table24[[#This Row],[R-DEMAND]]/950,0)</f>
        <v>0</v>
      </c>
      <c r="Q469" s="306">
        <f>Table24[[#This Row],[ADD ACC
(475/950)]]*Table24[[#This Row],[Duration
(A359)]]</f>
        <v>0</v>
      </c>
      <c r="R469" s="307">
        <f>IFERROR(VLOOKUP(Table24[[#This Row],[ROUTE]],PRICING!A:B,2,FALSE),0)</f>
        <v>0</v>
      </c>
      <c r="S469" s="308">
        <f>Table24[[#This Row],[C_DEMAND]]-Table24[[#This Row],[R-DEMAND]]</f>
        <v>0</v>
      </c>
      <c r="T469" s="307">
        <f>Table24[[#This Row],[SEATS SOLD]]*Table24[[#This Row],[ECO SEAT]]</f>
        <v>0</v>
      </c>
      <c r="U469" s="307">
        <f>Table24[[#This Row],[SEATS SOLD]]*(IFERROR(VLOOKUP(Table24[[#This Row],[ROUTE]],PRICING!A:C,3,FALSE),0))</f>
        <v>0</v>
      </c>
      <c r="V469" s="307">
        <f>Table24[[#This Row],[SEAT REV]]-Table24[[#This Row],[SEAT REV
(IF IDEAL $)]]</f>
        <v>0</v>
      </c>
    </row>
    <row r="470" spans="1:22" customFormat="1" x14ac:dyDescent="0.25">
      <c r="A470" s="306" t="s">
        <v>17785</v>
      </c>
      <c r="B470" s="306" t="s">
        <v>3925</v>
      </c>
      <c r="C470" s="306"/>
      <c r="D470" s="26">
        <v>2</v>
      </c>
      <c r="E470" s="312" t="s">
        <v>1749</v>
      </c>
      <c r="F470" s="306" t="str">
        <f>VLOOKUP(Table24[[#This Row],[Country]],Table10[[COUNTRY NAME]:[CONTINENT CODE]],3,FALSE)</f>
        <v>NA</v>
      </c>
      <c r="G470" s="312" t="s">
        <v>13220</v>
      </c>
      <c r="H470" s="309">
        <v>3149</v>
      </c>
      <c r="I470" s="310">
        <v>9</v>
      </c>
      <c r="J470" s="307"/>
      <c r="K470" s="307">
        <f>IFERROR(Table24[[#This Row],[ROUTE COST]]/Table24[[#This Row],[O - DEMAND]],0)</f>
        <v>0</v>
      </c>
      <c r="L470" s="306"/>
      <c r="M470" s="310">
        <f>Table24[[#This Row],[O - DEMAND]]/950</f>
        <v>0</v>
      </c>
      <c r="N470" s="306">
        <f>IFERROR(VLOOKUP(Table24[[#This Row],[ROUTE]],DEMAND!A:F,5,FALSE),0)</f>
        <v>0</v>
      </c>
      <c r="O470" s="306">
        <f>IFERROR(VLOOKUP(Table24[[#This Row],[ROUTE]],DEMAND!A:F,6,FALSE),0)</f>
        <v>0</v>
      </c>
      <c r="P470" s="306">
        <f>ROUNDDOWN(Table24[[#This Row],[R-DEMAND]]/950,0)</f>
        <v>0</v>
      </c>
      <c r="Q470" s="306">
        <f>Table24[[#This Row],[ADD ACC
(475/950)]]*Table24[[#This Row],[Duration
(A359)]]</f>
        <v>0</v>
      </c>
      <c r="R470" s="307">
        <f>IFERROR(VLOOKUP(Table24[[#This Row],[ROUTE]],PRICING!A:B,2,FALSE),0)</f>
        <v>0</v>
      </c>
      <c r="S470" s="308">
        <f>Table24[[#This Row],[C_DEMAND]]-Table24[[#This Row],[R-DEMAND]]</f>
        <v>0</v>
      </c>
      <c r="T470" s="307">
        <f>Table24[[#This Row],[SEATS SOLD]]*Table24[[#This Row],[ECO SEAT]]</f>
        <v>0</v>
      </c>
      <c r="U470" s="307">
        <f>Table24[[#This Row],[SEATS SOLD]]*(IFERROR(VLOOKUP(Table24[[#This Row],[ROUTE]],PRICING!A:C,3,FALSE),0))</f>
        <v>0</v>
      </c>
      <c r="V470" s="307">
        <f>Table24[[#This Row],[SEAT REV]]-Table24[[#This Row],[SEAT REV
(IF IDEAL $)]]</f>
        <v>0</v>
      </c>
    </row>
    <row r="471" spans="1:22" customFormat="1" x14ac:dyDescent="0.25">
      <c r="A471" s="306" t="s">
        <v>17786</v>
      </c>
      <c r="B471" s="306" t="s">
        <v>4588</v>
      </c>
      <c r="C471" s="306"/>
      <c r="D471" s="26">
        <v>2</v>
      </c>
      <c r="E471" s="312" t="s">
        <v>514</v>
      </c>
      <c r="F471" s="306" t="str">
        <f>VLOOKUP(Table24[[#This Row],[Country]],Table10[[COUNTRY NAME]:[CONTINENT CODE]],3,FALSE)</f>
        <v>NA</v>
      </c>
      <c r="G471" s="312" t="s">
        <v>16983</v>
      </c>
      <c r="H471" s="309">
        <v>3138</v>
      </c>
      <c r="I471" s="310">
        <v>9</v>
      </c>
      <c r="J471" s="307"/>
      <c r="K471" s="307">
        <f>IFERROR(Table24[[#This Row],[ROUTE COST]]/Table24[[#This Row],[O - DEMAND]],0)</f>
        <v>0</v>
      </c>
      <c r="L471" s="306"/>
      <c r="M471" s="310">
        <f>Table24[[#This Row],[O - DEMAND]]/950</f>
        <v>0</v>
      </c>
      <c r="N471" s="306">
        <f>IFERROR(VLOOKUP(Table24[[#This Row],[ROUTE]],DEMAND!A:F,5,FALSE),0)</f>
        <v>0</v>
      </c>
      <c r="O471" s="306">
        <f>IFERROR(VLOOKUP(Table24[[#This Row],[ROUTE]],DEMAND!A:F,6,FALSE),0)</f>
        <v>0</v>
      </c>
      <c r="P471" s="306">
        <f>ROUNDDOWN(Table24[[#This Row],[R-DEMAND]]/950,0)</f>
        <v>0</v>
      </c>
      <c r="Q471" s="306">
        <f>Table24[[#This Row],[ADD ACC
(475/950)]]*Table24[[#This Row],[Duration
(A359)]]</f>
        <v>0</v>
      </c>
      <c r="R471" s="307">
        <f>IFERROR(VLOOKUP(Table24[[#This Row],[ROUTE]],PRICING!A:B,2,FALSE),0)</f>
        <v>0</v>
      </c>
      <c r="S471" s="308">
        <f>Table24[[#This Row],[C_DEMAND]]-Table24[[#This Row],[R-DEMAND]]</f>
        <v>0</v>
      </c>
      <c r="T471" s="307">
        <f>Table24[[#This Row],[SEATS SOLD]]*Table24[[#This Row],[ECO SEAT]]</f>
        <v>0</v>
      </c>
      <c r="U471" s="307">
        <f>Table24[[#This Row],[SEATS SOLD]]*(IFERROR(VLOOKUP(Table24[[#This Row],[ROUTE]],PRICING!A:C,3,FALSE),0))</f>
        <v>0</v>
      </c>
      <c r="V471" s="307">
        <f>Table24[[#This Row],[SEAT REV]]-Table24[[#This Row],[SEAT REV
(IF IDEAL $)]]</f>
        <v>0</v>
      </c>
    </row>
    <row r="472" spans="1:22" customFormat="1" x14ac:dyDescent="0.25">
      <c r="A472" s="306" t="s">
        <v>17932</v>
      </c>
      <c r="B472" s="306" t="s">
        <v>3010</v>
      </c>
      <c r="C472" s="306"/>
      <c r="D472" s="26">
        <v>2</v>
      </c>
      <c r="E472" s="312" t="s">
        <v>11732</v>
      </c>
      <c r="F472" s="306" t="str">
        <f>VLOOKUP(Table24[[#This Row],[Country]],Table10[[COUNTRY NAME]:[CONTINENT CODE]],3,FALSE)</f>
        <v>NA - US</v>
      </c>
      <c r="G472" s="312" t="s">
        <v>16984</v>
      </c>
      <c r="H472" s="309">
        <v>3132</v>
      </c>
      <c r="I472" s="310">
        <v>9</v>
      </c>
      <c r="J472" s="307"/>
      <c r="K472" s="307">
        <f>IFERROR(Table24[[#This Row],[ROUTE COST]]/Table24[[#This Row],[O - DEMAND]],0)</f>
        <v>0</v>
      </c>
      <c r="L472" s="306"/>
      <c r="M472" s="310">
        <f>Table24[[#This Row],[O - DEMAND]]/950</f>
        <v>0</v>
      </c>
      <c r="N472" s="306">
        <f>IFERROR(VLOOKUP(Table24[[#This Row],[ROUTE]],DEMAND!A:F,5,FALSE),0)</f>
        <v>0</v>
      </c>
      <c r="O472" s="306">
        <f>IFERROR(VLOOKUP(Table24[[#This Row],[ROUTE]],DEMAND!A:F,6,FALSE),0)</f>
        <v>0</v>
      </c>
      <c r="P472" s="306">
        <f>ROUNDDOWN(Table24[[#This Row],[R-DEMAND]]/950,0)</f>
        <v>0</v>
      </c>
      <c r="Q472" s="306">
        <f>Table24[[#This Row],[ADD ACC
(475/950)]]*Table24[[#This Row],[Duration
(A359)]]</f>
        <v>0</v>
      </c>
      <c r="R472" s="307">
        <f>IFERROR(VLOOKUP(Table24[[#This Row],[ROUTE]],PRICING!A:B,2,FALSE),0)</f>
        <v>0</v>
      </c>
      <c r="S472" s="308">
        <f>Table24[[#This Row],[C_DEMAND]]-Table24[[#This Row],[R-DEMAND]]</f>
        <v>0</v>
      </c>
      <c r="T472" s="307">
        <f>Table24[[#This Row],[SEATS SOLD]]*Table24[[#This Row],[ECO SEAT]]</f>
        <v>0</v>
      </c>
      <c r="U472" s="307">
        <f>Table24[[#This Row],[SEATS SOLD]]*(IFERROR(VLOOKUP(Table24[[#This Row],[ROUTE]],PRICING!A:C,3,FALSE),0))</f>
        <v>0</v>
      </c>
      <c r="V472" s="307">
        <f>Table24[[#This Row],[SEAT REV]]-Table24[[#This Row],[SEAT REV
(IF IDEAL $)]]</f>
        <v>0</v>
      </c>
    </row>
    <row r="473" spans="1:22" customFormat="1" x14ac:dyDescent="0.25">
      <c r="A473" s="306" t="s">
        <v>17934</v>
      </c>
      <c r="B473" s="306" t="s">
        <v>4518</v>
      </c>
      <c r="C473" s="306"/>
      <c r="D473" s="26">
        <v>2</v>
      </c>
      <c r="E473" s="312" t="s">
        <v>11732</v>
      </c>
      <c r="F473" s="306" t="str">
        <f>VLOOKUP(Table24[[#This Row],[Country]],Table10[[COUNTRY NAME]:[CONTINENT CODE]],3,FALSE)</f>
        <v>NA - US</v>
      </c>
      <c r="G473" s="312" t="s">
        <v>13305</v>
      </c>
      <c r="H473" s="309">
        <v>3075</v>
      </c>
      <c r="I473" s="310">
        <v>9</v>
      </c>
      <c r="J473" s="307"/>
      <c r="K473" s="307">
        <f>IFERROR(Table24[[#This Row],[ROUTE COST]]/Table24[[#This Row],[O - DEMAND]],0)</f>
        <v>0</v>
      </c>
      <c r="L473" s="306"/>
      <c r="M473" s="310">
        <f>Table24[[#This Row],[O - DEMAND]]/950</f>
        <v>0</v>
      </c>
      <c r="N473" s="306">
        <f>IFERROR(VLOOKUP(Table24[[#This Row],[ROUTE]],DEMAND!A:F,5,FALSE),0)</f>
        <v>0</v>
      </c>
      <c r="O473" s="306">
        <f>IFERROR(VLOOKUP(Table24[[#This Row],[ROUTE]],DEMAND!A:F,6,FALSE),0)</f>
        <v>0</v>
      </c>
      <c r="P473" s="306">
        <f>ROUNDDOWN(Table24[[#This Row],[R-DEMAND]]/950,0)</f>
        <v>0</v>
      </c>
      <c r="Q473" s="306">
        <f>Table24[[#This Row],[ADD ACC
(475/950)]]*Table24[[#This Row],[Duration
(A359)]]</f>
        <v>0</v>
      </c>
      <c r="R473" s="307">
        <f>IFERROR(VLOOKUP(Table24[[#This Row],[ROUTE]],PRICING!A:B,2,FALSE),0)</f>
        <v>0</v>
      </c>
      <c r="S473" s="308">
        <f>Table24[[#This Row],[C_DEMAND]]-Table24[[#This Row],[R-DEMAND]]</f>
        <v>0</v>
      </c>
      <c r="T473" s="307">
        <f>Table24[[#This Row],[SEATS SOLD]]*Table24[[#This Row],[ECO SEAT]]</f>
        <v>0</v>
      </c>
      <c r="U473" s="307">
        <f>Table24[[#This Row],[SEATS SOLD]]*(IFERROR(VLOOKUP(Table24[[#This Row],[ROUTE]],PRICING!A:C,3,FALSE),0))</f>
        <v>0</v>
      </c>
      <c r="V473" s="307">
        <f>Table24[[#This Row],[SEAT REV]]-Table24[[#This Row],[SEAT REV
(IF IDEAL $)]]</f>
        <v>0</v>
      </c>
    </row>
    <row r="474" spans="1:22" customFormat="1" x14ac:dyDescent="0.25">
      <c r="A474" s="306" t="s">
        <v>17933</v>
      </c>
      <c r="B474" s="306" t="s">
        <v>2635</v>
      </c>
      <c r="C474" s="306"/>
      <c r="D474" s="26">
        <v>2</v>
      </c>
      <c r="E474" s="312" t="s">
        <v>11732</v>
      </c>
      <c r="F474" s="306" t="str">
        <f>VLOOKUP(Table24[[#This Row],[Country]],Table10[[COUNTRY NAME]:[CONTINENT CODE]],3,FALSE)</f>
        <v>NA - US</v>
      </c>
      <c r="G474" s="312" t="s">
        <v>13310</v>
      </c>
      <c r="H474" s="309">
        <v>3109</v>
      </c>
      <c r="I474" s="310">
        <v>9</v>
      </c>
      <c r="J474" s="307"/>
      <c r="K474" s="307">
        <f>IFERROR(Table24[[#This Row],[ROUTE COST]]/Table24[[#This Row],[O - DEMAND]],0)</f>
        <v>0</v>
      </c>
      <c r="L474" s="306"/>
      <c r="M474" s="310">
        <f>Table24[[#This Row],[O - DEMAND]]/950</f>
        <v>0</v>
      </c>
      <c r="N474" s="306">
        <f>IFERROR(VLOOKUP(Table24[[#This Row],[ROUTE]],DEMAND!A:F,5,FALSE),0)</f>
        <v>0</v>
      </c>
      <c r="O474" s="306">
        <f>IFERROR(VLOOKUP(Table24[[#This Row],[ROUTE]],DEMAND!A:F,6,FALSE),0)</f>
        <v>0</v>
      </c>
      <c r="P474" s="306">
        <f>ROUNDDOWN(Table24[[#This Row],[R-DEMAND]]/950,0)</f>
        <v>0</v>
      </c>
      <c r="Q474" s="306">
        <f>Table24[[#This Row],[ADD ACC
(475/950)]]*Table24[[#This Row],[Duration
(A359)]]</f>
        <v>0</v>
      </c>
      <c r="R474" s="307">
        <f>IFERROR(VLOOKUP(Table24[[#This Row],[ROUTE]],PRICING!A:B,2,FALSE),0)</f>
        <v>0</v>
      </c>
      <c r="S474" s="308">
        <f>Table24[[#This Row],[C_DEMAND]]-Table24[[#This Row],[R-DEMAND]]</f>
        <v>0</v>
      </c>
      <c r="T474" s="307">
        <f>Table24[[#This Row],[SEATS SOLD]]*Table24[[#This Row],[ECO SEAT]]</f>
        <v>0</v>
      </c>
      <c r="U474" s="307">
        <f>Table24[[#This Row],[SEATS SOLD]]*(IFERROR(VLOOKUP(Table24[[#This Row],[ROUTE]],PRICING!A:C,3,FALSE),0))</f>
        <v>0</v>
      </c>
      <c r="V474" s="307">
        <f>Table24[[#This Row],[SEAT REV]]-Table24[[#This Row],[SEAT REV
(IF IDEAL $)]]</f>
        <v>0</v>
      </c>
    </row>
    <row r="475" spans="1:22" customFormat="1" x14ac:dyDescent="0.25">
      <c r="A475" s="306" t="s">
        <v>17820</v>
      </c>
      <c r="B475" s="306" t="s">
        <v>2156</v>
      </c>
      <c r="C475" s="306"/>
      <c r="D475" s="26">
        <v>1</v>
      </c>
      <c r="E475" s="312" t="s">
        <v>514</v>
      </c>
      <c r="F475" s="306" t="str">
        <f>VLOOKUP(Table24[[#This Row],[Country]],Table10[[COUNTRY NAME]:[CONTINENT CODE]],3,FALSE)</f>
        <v>NA</v>
      </c>
      <c r="G475" s="312" t="s">
        <v>16986</v>
      </c>
      <c r="H475" s="309">
        <v>3089</v>
      </c>
      <c r="I475" s="310">
        <v>9</v>
      </c>
      <c r="J475" s="307"/>
      <c r="K475" s="307">
        <f>IFERROR(Table24[[#This Row],[ROUTE COST]]/Table24[[#This Row],[O - DEMAND]],0)</f>
        <v>0</v>
      </c>
      <c r="L475" s="306"/>
      <c r="M475" s="310">
        <f>Table24[[#This Row],[O - DEMAND]]/950</f>
        <v>0</v>
      </c>
      <c r="N475" s="306">
        <f>IFERROR(VLOOKUP(Table24[[#This Row],[ROUTE]],DEMAND!A:F,5,FALSE),0)</f>
        <v>0</v>
      </c>
      <c r="O475" s="306">
        <f>IFERROR(VLOOKUP(Table24[[#This Row],[ROUTE]],DEMAND!A:F,6,FALSE),0)</f>
        <v>0</v>
      </c>
      <c r="P475" s="306">
        <f>ROUNDDOWN(Table24[[#This Row],[R-DEMAND]]/950,0)</f>
        <v>0</v>
      </c>
      <c r="Q475" s="306">
        <f>Table24[[#This Row],[ADD ACC
(475/950)]]*Table24[[#This Row],[Duration
(A359)]]</f>
        <v>0</v>
      </c>
      <c r="R475" s="307">
        <f>IFERROR(VLOOKUP(Table24[[#This Row],[ROUTE]],PRICING!A:B,2,FALSE),0)</f>
        <v>0</v>
      </c>
      <c r="S475" s="308">
        <f>Table24[[#This Row],[C_DEMAND]]-Table24[[#This Row],[R-DEMAND]]</f>
        <v>0</v>
      </c>
      <c r="T475" s="307">
        <f>Table24[[#This Row],[SEATS SOLD]]*Table24[[#This Row],[ECO SEAT]]</f>
        <v>0</v>
      </c>
      <c r="U475" s="307">
        <f>Table24[[#This Row],[SEATS SOLD]]*(IFERROR(VLOOKUP(Table24[[#This Row],[ROUTE]],PRICING!A:C,3,FALSE),0))</f>
        <v>0</v>
      </c>
      <c r="V475" s="307">
        <f>Table24[[#This Row],[SEAT REV]]-Table24[[#This Row],[SEAT REV
(IF IDEAL $)]]</f>
        <v>0</v>
      </c>
    </row>
    <row r="476" spans="1:22" customFormat="1" x14ac:dyDescent="0.25">
      <c r="A476" s="306" t="s">
        <v>17819</v>
      </c>
      <c r="B476" s="306" t="s">
        <v>2321</v>
      </c>
      <c r="C476" s="306"/>
      <c r="D476" s="26">
        <v>1</v>
      </c>
      <c r="E476" s="312" t="s">
        <v>514</v>
      </c>
      <c r="F476" s="306" t="str">
        <f>VLOOKUP(Table24[[#This Row],[Country]],Table10[[COUNTRY NAME]:[CONTINENT CODE]],3,FALSE)</f>
        <v>NA</v>
      </c>
      <c r="G476" s="312" t="s">
        <v>13168</v>
      </c>
      <c r="H476" s="309">
        <v>3158</v>
      </c>
      <c r="I476" s="310">
        <v>9</v>
      </c>
      <c r="J476" s="307"/>
      <c r="K476" s="307">
        <f>IFERROR(Table24[[#This Row],[ROUTE COST]]/Table24[[#This Row],[O - DEMAND]],0)</f>
        <v>0</v>
      </c>
      <c r="L476" s="306"/>
      <c r="M476" s="310">
        <f>Table24[[#This Row],[O - DEMAND]]/950</f>
        <v>0</v>
      </c>
      <c r="N476" s="306">
        <f>IFERROR(VLOOKUP(Table24[[#This Row],[ROUTE]],DEMAND!A:F,5,FALSE),0)</f>
        <v>0</v>
      </c>
      <c r="O476" s="306">
        <f>IFERROR(VLOOKUP(Table24[[#This Row],[ROUTE]],DEMAND!A:F,6,FALSE),0)</f>
        <v>0</v>
      </c>
      <c r="P476" s="306">
        <f>ROUNDDOWN(Table24[[#This Row],[R-DEMAND]]/950,0)</f>
        <v>0</v>
      </c>
      <c r="Q476" s="306">
        <f>Table24[[#This Row],[ADD ACC
(475/950)]]*Table24[[#This Row],[Duration
(A359)]]</f>
        <v>0</v>
      </c>
      <c r="R476" s="307">
        <f>IFERROR(VLOOKUP(Table24[[#This Row],[ROUTE]],PRICING!A:B,2,FALSE),0)</f>
        <v>0</v>
      </c>
      <c r="S476" s="308">
        <f>Table24[[#This Row],[C_DEMAND]]-Table24[[#This Row],[R-DEMAND]]</f>
        <v>0</v>
      </c>
      <c r="T476" s="307">
        <f>Table24[[#This Row],[SEATS SOLD]]*Table24[[#This Row],[ECO SEAT]]</f>
        <v>0</v>
      </c>
      <c r="U476" s="307">
        <f>Table24[[#This Row],[SEATS SOLD]]*(IFERROR(VLOOKUP(Table24[[#This Row],[ROUTE]],PRICING!A:C,3,FALSE),0))</f>
        <v>0</v>
      </c>
      <c r="V476" s="307">
        <f>Table24[[#This Row],[SEAT REV]]-Table24[[#This Row],[SEAT REV
(IF IDEAL $)]]</f>
        <v>0</v>
      </c>
    </row>
    <row r="477" spans="1:22" customFormat="1" x14ac:dyDescent="0.25">
      <c r="A477" s="306" t="s">
        <v>17970</v>
      </c>
      <c r="B477" s="306" t="s">
        <v>1156</v>
      </c>
      <c r="C477" s="306"/>
      <c r="D477" s="26">
        <v>1</v>
      </c>
      <c r="E477" s="312" t="s">
        <v>11732</v>
      </c>
      <c r="F477" s="306" t="str">
        <f>VLOOKUP(Table24[[#This Row],[Country]],Table10[[COUNTRY NAME]:[CONTINENT CODE]],3,FALSE)</f>
        <v>NA - US</v>
      </c>
      <c r="G477" s="312" t="s">
        <v>16985</v>
      </c>
      <c r="H477" s="309">
        <v>3126</v>
      </c>
      <c r="I477" s="310">
        <v>9</v>
      </c>
      <c r="J477" s="307"/>
      <c r="K477" s="307">
        <f>IFERROR(Table24[[#This Row],[ROUTE COST]]/Table24[[#This Row],[O - DEMAND]],0)</f>
        <v>0</v>
      </c>
      <c r="L477" s="306"/>
      <c r="M477" s="310">
        <f>Table24[[#This Row],[O - DEMAND]]/950</f>
        <v>0</v>
      </c>
      <c r="N477" s="306">
        <f>IFERROR(VLOOKUP(Table24[[#This Row],[ROUTE]],DEMAND!A:F,5,FALSE),0)</f>
        <v>0</v>
      </c>
      <c r="O477" s="306">
        <f>IFERROR(VLOOKUP(Table24[[#This Row],[ROUTE]],DEMAND!A:F,6,FALSE),0)</f>
        <v>0</v>
      </c>
      <c r="P477" s="306">
        <f>ROUNDDOWN(Table24[[#This Row],[R-DEMAND]]/950,0)</f>
        <v>0</v>
      </c>
      <c r="Q477" s="306">
        <f>Table24[[#This Row],[ADD ACC
(475/950)]]*Table24[[#This Row],[Duration
(A359)]]</f>
        <v>0</v>
      </c>
      <c r="R477" s="307">
        <f>IFERROR(VLOOKUP(Table24[[#This Row],[ROUTE]],PRICING!A:B,2,FALSE),0)</f>
        <v>0</v>
      </c>
      <c r="S477" s="308">
        <f>Table24[[#This Row],[C_DEMAND]]-Table24[[#This Row],[R-DEMAND]]</f>
        <v>0</v>
      </c>
      <c r="T477" s="307">
        <f>Table24[[#This Row],[SEATS SOLD]]*Table24[[#This Row],[ECO SEAT]]</f>
        <v>0</v>
      </c>
      <c r="U477" s="307">
        <f>Table24[[#This Row],[SEATS SOLD]]*(IFERROR(VLOOKUP(Table24[[#This Row],[ROUTE]],PRICING!A:C,3,FALSE),0))</f>
        <v>0</v>
      </c>
      <c r="V477" s="307">
        <f>Table24[[#This Row],[SEAT REV]]-Table24[[#This Row],[SEAT REV
(IF IDEAL $)]]</f>
        <v>0</v>
      </c>
    </row>
    <row r="478" spans="1:22" customFormat="1" x14ac:dyDescent="0.25">
      <c r="A478" s="306" t="s">
        <v>17995</v>
      </c>
      <c r="B478" s="306" t="s">
        <v>4522</v>
      </c>
      <c r="C478" s="306"/>
      <c r="D478" s="26"/>
      <c r="E478" s="312" t="s">
        <v>11732</v>
      </c>
      <c r="F478" s="306" t="str">
        <f>VLOOKUP(Table24[[#This Row],[Country]],Table10[[COUNTRY NAME]:[CONTINENT CODE]],3,FALSE)</f>
        <v>NA - US</v>
      </c>
      <c r="G478" s="312" t="s">
        <v>16981</v>
      </c>
      <c r="H478" s="309">
        <v>3177</v>
      </c>
      <c r="I478" s="310">
        <v>9</v>
      </c>
      <c r="J478" s="307"/>
      <c r="K478" s="307">
        <f>IFERROR(Table24[[#This Row],[ROUTE COST]]/Table24[[#This Row],[O - DEMAND]],0)</f>
        <v>0</v>
      </c>
      <c r="L478" s="306"/>
      <c r="M478" s="310">
        <f>Table24[[#This Row],[O - DEMAND]]/950</f>
        <v>0</v>
      </c>
      <c r="N478" s="306">
        <f>IFERROR(VLOOKUP(Table24[[#This Row],[ROUTE]],DEMAND!A:F,5,FALSE),0)</f>
        <v>0</v>
      </c>
      <c r="O478" s="306">
        <f>IFERROR(VLOOKUP(Table24[[#This Row],[ROUTE]],DEMAND!A:F,6,FALSE),0)</f>
        <v>0</v>
      </c>
      <c r="P478" s="306">
        <f>ROUNDDOWN(Table24[[#This Row],[R-DEMAND]]/950,0)</f>
        <v>0</v>
      </c>
      <c r="Q478" s="306">
        <f>Table24[[#This Row],[ADD ACC
(475/950)]]*Table24[[#This Row],[Duration
(A359)]]</f>
        <v>0</v>
      </c>
      <c r="R478" s="307">
        <f>IFERROR(VLOOKUP(Table24[[#This Row],[ROUTE]],PRICING!A:B,2,FALSE),0)</f>
        <v>0</v>
      </c>
      <c r="S478" s="308">
        <f>Table24[[#This Row],[C_DEMAND]]-Table24[[#This Row],[R-DEMAND]]</f>
        <v>0</v>
      </c>
      <c r="T478" s="307">
        <f>Table24[[#This Row],[SEATS SOLD]]*Table24[[#This Row],[ECO SEAT]]</f>
        <v>0</v>
      </c>
      <c r="U478" s="307">
        <f>Table24[[#This Row],[SEATS SOLD]]*(IFERROR(VLOOKUP(Table24[[#This Row],[ROUTE]],PRICING!A:C,3,FALSE),0))</f>
        <v>0</v>
      </c>
      <c r="V478" s="307">
        <f>Table24[[#This Row],[SEAT REV]]-Table24[[#This Row],[SEAT REV
(IF IDEAL $)]]</f>
        <v>0</v>
      </c>
    </row>
    <row r="479" spans="1:22" customFormat="1" x14ac:dyDescent="0.25">
      <c r="A479" s="306" t="s">
        <v>17996</v>
      </c>
      <c r="B479" s="306" t="s">
        <v>4810</v>
      </c>
      <c r="C479" s="306"/>
      <c r="D479" s="26"/>
      <c r="E479" s="312" t="s">
        <v>11732</v>
      </c>
      <c r="F479" s="306" t="str">
        <f>VLOOKUP(Table24[[#This Row],[Country]],Table10[[COUNTRY NAME]:[CONTINENT CODE]],3,FALSE)</f>
        <v>NA - US</v>
      </c>
      <c r="G479" s="312" t="s">
        <v>16982</v>
      </c>
      <c r="H479" s="309">
        <v>3165</v>
      </c>
      <c r="I479" s="310">
        <v>9</v>
      </c>
      <c r="J479" s="307"/>
      <c r="K479" s="307">
        <f>IFERROR(Table24[[#This Row],[ROUTE COST]]/Table24[[#This Row],[O - DEMAND]],0)</f>
        <v>0</v>
      </c>
      <c r="L479" s="306"/>
      <c r="M479" s="310">
        <f>Table24[[#This Row],[O - DEMAND]]/950</f>
        <v>0</v>
      </c>
      <c r="N479" s="306">
        <f>IFERROR(VLOOKUP(Table24[[#This Row],[ROUTE]],DEMAND!A:F,5,FALSE),0)</f>
        <v>0</v>
      </c>
      <c r="O479" s="306">
        <f>IFERROR(VLOOKUP(Table24[[#This Row],[ROUTE]],DEMAND!A:F,6,FALSE),0)</f>
        <v>0</v>
      </c>
      <c r="P479" s="306">
        <f>ROUNDDOWN(Table24[[#This Row],[R-DEMAND]]/950,0)</f>
        <v>0</v>
      </c>
      <c r="Q479" s="306">
        <f>Table24[[#This Row],[ADD ACC
(475/950)]]*Table24[[#This Row],[Duration
(A359)]]</f>
        <v>0</v>
      </c>
      <c r="R479" s="307">
        <f>IFERROR(VLOOKUP(Table24[[#This Row],[ROUTE]],PRICING!A:B,2,FALSE),0)</f>
        <v>0</v>
      </c>
      <c r="S479" s="308">
        <f>Table24[[#This Row],[C_DEMAND]]-Table24[[#This Row],[R-DEMAND]]</f>
        <v>0</v>
      </c>
      <c r="T479" s="307">
        <f>Table24[[#This Row],[SEATS SOLD]]*Table24[[#This Row],[ECO SEAT]]</f>
        <v>0</v>
      </c>
      <c r="U479" s="307">
        <f>Table24[[#This Row],[SEATS SOLD]]*(IFERROR(VLOOKUP(Table24[[#This Row],[ROUTE]],PRICING!A:C,3,FALSE),0))</f>
        <v>0</v>
      </c>
      <c r="V479" s="307">
        <f>Table24[[#This Row],[SEAT REV]]-Table24[[#This Row],[SEAT REV
(IF IDEAL $)]]</f>
        <v>0</v>
      </c>
    </row>
    <row r="480" spans="1:22" customFormat="1" x14ac:dyDescent="0.25">
      <c r="A480" s="306" t="s">
        <v>17891</v>
      </c>
      <c r="B480" s="306" t="s">
        <v>4917</v>
      </c>
      <c r="C480" s="306"/>
      <c r="D480" s="26">
        <v>3</v>
      </c>
      <c r="E480" s="312" t="s">
        <v>11732</v>
      </c>
      <c r="F480" s="306" t="str">
        <f>VLOOKUP(Table24[[#This Row],[Country]],Table10[[COUNTRY NAME]:[CONTINENT CODE]],3,FALSE)</f>
        <v>NA - US</v>
      </c>
      <c r="G480" s="312" t="s">
        <v>13313</v>
      </c>
      <c r="H480" s="309">
        <v>2975</v>
      </c>
      <c r="I480" s="310">
        <v>8.75</v>
      </c>
      <c r="J480" s="307"/>
      <c r="K480" s="307">
        <f>IFERROR(Table24[[#This Row],[ROUTE COST]]/Table24[[#This Row],[O - DEMAND]],0)</f>
        <v>0</v>
      </c>
      <c r="L480" s="306"/>
      <c r="M480" s="310">
        <f>Table24[[#This Row],[O - DEMAND]]/950</f>
        <v>0</v>
      </c>
      <c r="N480" s="306">
        <f>IFERROR(VLOOKUP(Table24[[#This Row],[ROUTE]],DEMAND!A:F,5,FALSE),0)</f>
        <v>0</v>
      </c>
      <c r="O480" s="306">
        <f>IFERROR(VLOOKUP(Table24[[#This Row],[ROUTE]],DEMAND!A:F,6,FALSE),0)</f>
        <v>0</v>
      </c>
      <c r="P480" s="306">
        <f>ROUNDDOWN(Table24[[#This Row],[R-DEMAND]]/950,0)</f>
        <v>0</v>
      </c>
      <c r="Q480" s="306">
        <f>Table24[[#This Row],[ADD ACC
(475/950)]]*Table24[[#This Row],[Duration
(A359)]]</f>
        <v>0</v>
      </c>
      <c r="R480" s="307">
        <f>IFERROR(VLOOKUP(Table24[[#This Row],[ROUTE]],PRICING!A:B,2,FALSE),0)</f>
        <v>0</v>
      </c>
      <c r="S480" s="308">
        <f>Table24[[#This Row],[C_DEMAND]]-Table24[[#This Row],[R-DEMAND]]</f>
        <v>0</v>
      </c>
      <c r="T480" s="307">
        <f>Table24[[#This Row],[SEATS SOLD]]*Table24[[#This Row],[ECO SEAT]]</f>
        <v>0</v>
      </c>
      <c r="U480" s="307">
        <f>Table24[[#This Row],[SEATS SOLD]]*(IFERROR(VLOOKUP(Table24[[#This Row],[ROUTE]],PRICING!A:C,3,FALSE),0))</f>
        <v>0</v>
      </c>
      <c r="V480" s="307">
        <f>Table24[[#This Row],[SEAT REV]]-Table24[[#This Row],[SEAT REV
(IF IDEAL $)]]</f>
        <v>0</v>
      </c>
    </row>
    <row r="481" spans="1:22" customFormat="1" x14ac:dyDescent="0.25">
      <c r="A481" s="306" t="s">
        <v>17890</v>
      </c>
      <c r="B481" s="306" t="s">
        <v>5139</v>
      </c>
      <c r="C481" s="306"/>
      <c r="D481" s="26">
        <v>3</v>
      </c>
      <c r="E481" s="312" t="s">
        <v>11732</v>
      </c>
      <c r="F481" s="306" t="str">
        <f>VLOOKUP(Table24[[#This Row],[Country]],Table10[[COUNTRY NAME]:[CONTINENT CODE]],3,FALSE)</f>
        <v>NA - US</v>
      </c>
      <c r="G481" s="312" t="s">
        <v>13311</v>
      </c>
      <c r="H481" s="309">
        <v>3029</v>
      </c>
      <c r="I481" s="310">
        <v>8.75</v>
      </c>
      <c r="J481" s="307"/>
      <c r="K481" s="307">
        <f>IFERROR(Table24[[#This Row],[ROUTE COST]]/Table24[[#This Row],[O - DEMAND]],0)</f>
        <v>0</v>
      </c>
      <c r="L481" s="306"/>
      <c r="M481" s="310">
        <f>Table24[[#This Row],[O - DEMAND]]/950</f>
        <v>0</v>
      </c>
      <c r="N481" s="306">
        <f>IFERROR(VLOOKUP(Table24[[#This Row],[ROUTE]],DEMAND!A:F,5,FALSE),0)</f>
        <v>0</v>
      </c>
      <c r="O481" s="306">
        <f>IFERROR(VLOOKUP(Table24[[#This Row],[ROUTE]],DEMAND!A:F,6,FALSE),0)</f>
        <v>0</v>
      </c>
      <c r="P481" s="306">
        <f>ROUNDDOWN(Table24[[#This Row],[R-DEMAND]]/950,0)</f>
        <v>0</v>
      </c>
      <c r="Q481" s="306">
        <f>Table24[[#This Row],[ADD ACC
(475/950)]]*Table24[[#This Row],[Duration
(A359)]]</f>
        <v>0</v>
      </c>
      <c r="R481" s="307">
        <f>IFERROR(VLOOKUP(Table24[[#This Row],[ROUTE]],PRICING!A:B,2,FALSE),0)</f>
        <v>0</v>
      </c>
      <c r="S481" s="308">
        <f>Table24[[#This Row],[C_DEMAND]]-Table24[[#This Row],[R-DEMAND]]</f>
        <v>0</v>
      </c>
      <c r="T481" s="307">
        <f>Table24[[#This Row],[SEATS SOLD]]*Table24[[#This Row],[ECO SEAT]]</f>
        <v>0</v>
      </c>
      <c r="U481" s="307">
        <f>Table24[[#This Row],[SEATS SOLD]]*(IFERROR(VLOOKUP(Table24[[#This Row],[ROUTE]],PRICING!A:C,3,FALSE),0))</f>
        <v>0</v>
      </c>
      <c r="V481" s="307">
        <f>Table24[[#This Row],[SEAT REV]]-Table24[[#This Row],[SEAT REV
(IF IDEAL $)]]</f>
        <v>0</v>
      </c>
    </row>
    <row r="482" spans="1:22" customFormat="1" x14ac:dyDescent="0.25">
      <c r="A482" s="306" t="s">
        <v>17787</v>
      </c>
      <c r="B482" s="306" t="s">
        <v>4638</v>
      </c>
      <c r="C482" s="306"/>
      <c r="D482" s="26">
        <v>2</v>
      </c>
      <c r="E482" s="312" t="s">
        <v>1749</v>
      </c>
      <c r="F482" s="306" t="str">
        <f>VLOOKUP(Table24[[#This Row],[Country]],Table10[[COUNTRY NAME]:[CONTINENT CODE]],3,FALSE)</f>
        <v>NA</v>
      </c>
      <c r="G482" s="312" t="s">
        <v>13222</v>
      </c>
      <c r="H482" s="309">
        <v>3062</v>
      </c>
      <c r="I482" s="310">
        <v>8.75</v>
      </c>
      <c r="J482" s="307"/>
      <c r="K482" s="307">
        <f>IFERROR(Table24[[#This Row],[ROUTE COST]]/Table24[[#This Row],[O - DEMAND]],0)</f>
        <v>0</v>
      </c>
      <c r="L482" s="306"/>
      <c r="M482" s="310">
        <f>Table24[[#This Row],[O - DEMAND]]/950</f>
        <v>0</v>
      </c>
      <c r="N482" s="306">
        <f>IFERROR(VLOOKUP(Table24[[#This Row],[ROUTE]],DEMAND!A:F,5,FALSE),0)</f>
        <v>0</v>
      </c>
      <c r="O482" s="306">
        <f>IFERROR(VLOOKUP(Table24[[#This Row],[ROUTE]],DEMAND!A:F,6,FALSE),0)</f>
        <v>0</v>
      </c>
      <c r="P482" s="306">
        <f>ROUNDDOWN(Table24[[#This Row],[R-DEMAND]]/950,0)</f>
        <v>0</v>
      </c>
      <c r="Q482" s="306">
        <f>Table24[[#This Row],[ADD ACC
(475/950)]]*Table24[[#This Row],[Duration
(A359)]]</f>
        <v>0</v>
      </c>
      <c r="R482" s="307">
        <f>IFERROR(VLOOKUP(Table24[[#This Row],[ROUTE]],PRICING!A:B,2,FALSE),0)</f>
        <v>0</v>
      </c>
      <c r="S482" s="308">
        <f>Table24[[#This Row],[C_DEMAND]]-Table24[[#This Row],[R-DEMAND]]</f>
        <v>0</v>
      </c>
      <c r="T482" s="307">
        <f>Table24[[#This Row],[SEATS SOLD]]*Table24[[#This Row],[ECO SEAT]]</f>
        <v>0</v>
      </c>
      <c r="U482" s="307">
        <f>Table24[[#This Row],[SEATS SOLD]]*(IFERROR(VLOOKUP(Table24[[#This Row],[ROUTE]],PRICING!A:C,3,FALSE),0))</f>
        <v>0</v>
      </c>
      <c r="V482" s="307">
        <f>Table24[[#This Row],[SEAT REV]]-Table24[[#This Row],[SEAT REV
(IF IDEAL $)]]</f>
        <v>0</v>
      </c>
    </row>
    <row r="483" spans="1:22" customFormat="1" x14ac:dyDescent="0.25">
      <c r="A483" s="306" t="s">
        <v>17788</v>
      </c>
      <c r="B483" s="306" t="s">
        <v>4266</v>
      </c>
      <c r="C483" s="306"/>
      <c r="D483" s="26">
        <v>2</v>
      </c>
      <c r="E483" s="312" t="s">
        <v>1749</v>
      </c>
      <c r="F483" s="306" t="str">
        <f>VLOOKUP(Table24[[#This Row],[Country]],Table10[[COUNTRY NAME]:[CONTINENT CODE]],3,FALSE)</f>
        <v>NA</v>
      </c>
      <c r="G483" s="312" t="s">
        <v>13223</v>
      </c>
      <c r="H483" s="309">
        <v>3017</v>
      </c>
      <c r="I483" s="310">
        <v>8.75</v>
      </c>
      <c r="J483" s="307"/>
      <c r="K483" s="307">
        <f>IFERROR(Table24[[#This Row],[ROUTE COST]]/Table24[[#This Row],[O - DEMAND]],0)</f>
        <v>0</v>
      </c>
      <c r="L483" s="306"/>
      <c r="M483" s="310">
        <f>Table24[[#This Row],[O - DEMAND]]/950</f>
        <v>0</v>
      </c>
      <c r="N483" s="306">
        <f>IFERROR(VLOOKUP(Table24[[#This Row],[ROUTE]],DEMAND!A:F,5,FALSE),0)</f>
        <v>0</v>
      </c>
      <c r="O483" s="306">
        <f>IFERROR(VLOOKUP(Table24[[#This Row],[ROUTE]],DEMAND!A:F,6,FALSE),0)</f>
        <v>0</v>
      </c>
      <c r="P483" s="306">
        <f>ROUNDDOWN(Table24[[#This Row],[R-DEMAND]]/950,0)</f>
        <v>0</v>
      </c>
      <c r="Q483" s="306">
        <f>Table24[[#This Row],[ADD ACC
(475/950)]]*Table24[[#This Row],[Duration
(A359)]]</f>
        <v>0</v>
      </c>
      <c r="R483" s="307">
        <f>IFERROR(VLOOKUP(Table24[[#This Row],[ROUTE]],PRICING!A:B,2,FALSE),0)</f>
        <v>0</v>
      </c>
      <c r="S483" s="308">
        <f>Table24[[#This Row],[C_DEMAND]]-Table24[[#This Row],[R-DEMAND]]</f>
        <v>0</v>
      </c>
      <c r="T483" s="307">
        <f>Table24[[#This Row],[SEATS SOLD]]*Table24[[#This Row],[ECO SEAT]]</f>
        <v>0</v>
      </c>
      <c r="U483" s="307">
        <f>Table24[[#This Row],[SEATS SOLD]]*(IFERROR(VLOOKUP(Table24[[#This Row],[ROUTE]],PRICING!A:C,3,FALSE),0))</f>
        <v>0</v>
      </c>
      <c r="V483" s="307">
        <f>Table24[[#This Row],[SEAT REV]]-Table24[[#This Row],[SEAT REV
(IF IDEAL $)]]</f>
        <v>0</v>
      </c>
    </row>
    <row r="484" spans="1:22" customFormat="1" x14ac:dyDescent="0.25">
      <c r="A484" s="306" t="s">
        <v>17789</v>
      </c>
      <c r="B484" s="306" t="s">
        <v>3574</v>
      </c>
      <c r="C484" s="306"/>
      <c r="D484" s="26">
        <v>2</v>
      </c>
      <c r="E484" s="312" t="s">
        <v>1749</v>
      </c>
      <c r="F484" s="306" t="str">
        <f>VLOOKUP(Table24[[#This Row],[Country]],Table10[[COUNTRY NAME]:[CONTINENT CODE]],3,FALSE)</f>
        <v>NA</v>
      </c>
      <c r="G484" s="312" t="s">
        <v>13221</v>
      </c>
      <c r="H484" s="309">
        <v>3008</v>
      </c>
      <c r="I484" s="310">
        <v>8.75</v>
      </c>
      <c r="J484" s="307"/>
      <c r="K484" s="307">
        <f>IFERROR(Table24[[#This Row],[ROUTE COST]]/Table24[[#This Row],[O - DEMAND]],0)</f>
        <v>0</v>
      </c>
      <c r="L484" s="306"/>
      <c r="M484" s="310">
        <f>Table24[[#This Row],[O - DEMAND]]/950</f>
        <v>0</v>
      </c>
      <c r="N484" s="306">
        <f>IFERROR(VLOOKUP(Table24[[#This Row],[ROUTE]],DEMAND!A:F,5,FALSE),0)</f>
        <v>0</v>
      </c>
      <c r="O484" s="306">
        <f>IFERROR(VLOOKUP(Table24[[#This Row],[ROUTE]],DEMAND!A:F,6,FALSE),0)</f>
        <v>0</v>
      </c>
      <c r="P484" s="306">
        <f>ROUNDDOWN(Table24[[#This Row],[R-DEMAND]]/950,0)</f>
        <v>0</v>
      </c>
      <c r="Q484" s="306">
        <f>Table24[[#This Row],[ADD ACC
(475/950)]]*Table24[[#This Row],[Duration
(A359)]]</f>
        <v>0</v>
      </c>
      <c r="R484" s="307">
        <f>IFERROR(VLOOKUP(Table24[[#This Row],[ROUTE]],PRICING!A:B,2,FALSE),0)</f>
        <v>0</v>
      </c>
      <c r="S484" s="308">
        <f>Table24[[#This Row],[C_DEMAND]]-Table24[[#This Row],[R-DEMAND]]</f>
        <v>0</v>
      </c>
      <c r="T484" s="307">
        <f>Table24[[#This Row],[SEATS SOLD]]*Table24[[#This Row],[ECO SEAT]]</f>
        <v>0</v>
      </c>
      <c r="U484" s="307">
        <f>Table24[[#This Row],[SEATS SOLD]]*(IFERROR(VLOOKUP(Table24[[#This Row],[ROUTE]],PRICING!A:C,3,FALSE),0))</f>
        <v>0</v>
      </c>
      <c r="V484" s="307">
        <f>Table24[[#This Row],[SEAT REV]]-Table24[[#This Row],[SEAT REV
(IF IDEAL $)]]</f>
        <v>0</v>
      </c>
    </row>
    <row r="485" spans="1:22" customFormat="1" x14ac:dyDescent="0.25">
      <c r="A485" s="306" t="s">
        <v>17937</v>
      </c>
      <c r="B485" s="306" t="s">
        <v>4183</v>
      </c>
      <c r="C485" s="306"/>
      <c r="D485" s="26">
        <v>2</v>
      </c>
      <c r="E485" s="312" t="s">
        <v>11732</v>
      </c>
      <c r="F485" s="306" t="str">
        <f>VLOOKUP(Table24[[#This Row],[Country]],Table10[[COUNTRY NAME]:[CONTINENT CODE]],3,FALSE)</f>
        <v>NA - US</v>
      </c>
      <c r="G485" s="312" t="s">
        <v>13315</v>
      </c>
      <c r="H485" s="309">
        <v>2962</v>
      </c>
      <c r="I485" s="310">
        <v>8.75</v>
      </c>
      <c r="J485" s="307"/>
      <c r="K485" s="307">
        <f>IFERROR(Table24[[#This Row],[ROUTE COST]]/Table24[[#This Row],[O - DEMAND]],0)</f>
        <v>0</v>
      </c>
      <c r="L485" s="306"/>
      <c r="M485" s="310">
        <f>Table24[[#This Row],[O - DEMAND]]/950</f>
        <v>0</v>
      </c>
      <c r="N485" s="306">
        <f>IFERROR(VLOOKUP(Table24[[#This Row],[ROUTE]],DEMAND!A:F,5,FALSE),0)</f>
        <v>0</v>
      </c>
      <c r="O485" s="306">
        <f>IFERROR(VLOOKUP(Table24[[#This Row],[ROUTE]],DEMAND!A:F,6,FALSE),0)</f>
        <v>0</v>
      </c>
      <c r="P485" s="306">
        <f>ROUNDDOWN(Table24[[#This Row],[R-DEMAND]]/950,0)</f>
        <v>0</v>
      </c>
      <c r="Q485" s="306">
        <f>Table24[[#This Row],[ADD ACC
(475/950)]]*Table24[[#This Row],[Duration
(A359)]]</f>
        <v>0</v>
      </c>
      <c r="R485" s="307">
        <f>IFERROR(VLOOKUP(Table24[[#This Row],[ROUTE]],PRICING!A:B,2,FALSE),0)</f>
        <v>0</v>
      </c>
      <c r="S485" s="308">
        <f>Table24[[#This Row],[C_DEMAND]]-Table24[[#This Row],[R-DEMAND]]</f>
        <v>0</v>
      </c>
      <c r="T485" s="307">
        <f>Table24[[#This Row],[SEATS SOLD]]*Table24[[#This Row],[ECO SEAT]]</f>
        <v>0</v>
      </c>
      <c r="U485" s="307">
        <f>Table24[[#This Row],[SEATS SOLD]]*(IFERROR(VLOOKUP(Table24[[#This Row],[ROUTE]],PRICING!A:C,3,FALSE),0))</f>
        <v>0</v>
      </c>
      <c r="V485" s="307">
        <f>Table24[[#This Row],[SEAT REV]]-Table24[[#This Row],[SEAT REV
(IF IDEAL $)]]</f>
        <v>0</v>
      </c>
    </row>
    <row r="486" spans="1:22" customFormat="1" x14ac:dyDescent="0.25">
      <c r="A486" s="306" t="s">
        <v>17936</v>
      </c>
      <c r="B486" s="306" t="s">
        <v>4036</v>
      </c>
      <c r="C486" s="306"/>
      <c r="D486" s="26">
        <v>2</v>
      </c>
      <c r="E486" s="312" t="s">
        <v>11732</v>
      </c>
      <c r="F486" s="306" t="str">
        <f>VLOOKUP(Table24[[#This Row],[Country]],Table10[[COUNTRY NAME]:[CONTINENT CODE]],3,FALSE)</f>
        <v>NA - US</v>
      </c>
      <c r="G486" s="312" t="s">
        <v>13312</v>
      </c>
      <c r="H486" s="309">
        <v>2964</v>
      </c>
      <c r="I486" s="310">
        <v>8.75</v>
      </c>
      <c r="J486" s="307"/>
      <c r="K486" s="307">
        <f>IFERROR(Table24[[#This Row],[ROUTE COST]]/Table24[[#This Row],[O - DEMAND]],0)</f>
        <v>0</v>
      </c>
      <c r="L486" s="306"/>
      <c r="M486" s="310">
        <f>Table24[[#This Row],[O - DEMAND]]/950</f>
        <v>0</v>
      </c>
      <c r="N486" s="306">
        <f>IFERROR(VLOOKUP(Table24[[#This Row],[ROUTE]],DEMAND!A:F,5,FALSE),0)</f>
        <v>0</v>
      </c>
      <c r="O486" s="306">
        <f>IFERROR(VLOOKUP(Table24[[#This Row],[ROUTE]],DEMAND!A:F,6,FALSE),0)</f>
        <v>0</v>
      </c>
      <c r="P486" s="306">
        <f>ROUNDDOWN(Table24[[#This Row],[R-DEMAND]]/950,0)</f>
        <v>0</v>
      </c>
      <c r="Q486" s="306">
        <f>Table24[[#This Row],[ADD ACC
(475/950)]]*Table24[[#This Row],[Duration
(A359)]]</f>
        <v>0</v>
      </c>
      <c r="R486" s="307">
        <f>IFERROR(VLOOKUP(Table24[[#This Row],[ROUTE]],PRICING!A:B,2,FALSE),0)</f>
        <v>0</v>
      </c>
      <c r="S486" s="308">
        <f>Table24[[#This Row],[C_DEMAND]]-Table24[[#This Row],[R-DEMAND]]</f>
        <v>0</v>
      </c>
      <c r="T486" s="307">
        <f>Table24[[#This Row],[SEATS SOLD]]*Table24[[#This Row],[ECO SEAT]]</f>
        <v>0</v>
      </c>
      <c r="U486" s="307">
        <f>Table24[[#This Row],[SEATS SOLD]]*(IFERROR(VLOOKUP(Table24[[#This Row],[ROUTE]],PRICING!A:C,3,FALSE),0))</f>
        <v>0</v>
      </c>
      <c r="V486" s="307">
        <f>Table24[[#This Row],[SEAT REV]]-Table24[[#This Row],[SEAT REV
(IF IDEAL $)]]</f>
        <v>0</v>
      </c>
    </row>
    <row r="487" spans="1:22" customFormat="1" x14ac:dyDescent="0.25">
      <c r="A487" s="306" t="s">
        <v>17935</v>
      </c>
      <c r="B487" s="306" t="s">
        <v>3284</v>
      </c>
      <c r="C487" s="306"/>
      <c r="D487" s="26">
        <v>2</v>
      </c>
      <c r="E487" s="312" t="s">
        <v>11732</v>
      </c>
      <c r="F487" s="306" t="str">
        <f>VLOOKUP(Table24[[#This Row],[Country]],Table10[[COUNTRY NAME]:[CONTINENT CODE]],3,FALSE)</f>
        <v>NA - US</v>
      </c>
      <c r="G487" s="312" t="s">
        <v>13307</v>
      </c>
      <c r="H487" s="309">
        <v>3068</v>
      </c>
      <c r="I487" s="310">
        <v>8.75</v>
      </c>
      <c r="J487" s="307"/>
      <c r="K487" s="307">
        <f>IFERROR(Table24[[#This Row],[ROUTE COST]]/Table24[[#This Row],[O - DEMAND]],0)</f>
        <v>0</v>
      </c>
      <c r="L487" s="306"/>
      <c r="M487" s="310">
        <f>Table24[[#This Row],[O - DEMAND]]/950</f>
        <v>0</v>
      </c>
      <c r="N487" s="306">
        <f>IFERROR(VLOOKUP(Table24[[#This Row],[ROUTE]],DEMAND!A:F,5,FALSE),0)</f>
        <v>0</v>
      </c>
      <c r="O487" s="306">
        <f>IFERROR(VLOOKUP(Table24[[#This Row],[ROUTE]],DEMAND!A:F,6,FALSE),0)</f>
        <v>0</v>
      </c>
      <c r="P487" s="306">
        <f>ROUNDDOWN(Table24[[#This Row],[R-DEMAND]]/950,0)</f>
        <v>0</v>
      </c>
      <c r="Q487" s="306">
        <f>Table24[[#This Row],[ADD ACC
(475/950)]]*Table24[[#This Row],[Duration
(A359)]]</f>
        <v>0</v>
      </c>
      <c r="R487" s="307">
        <f>IFERROR(VLOOKUP(Table24[[#This Row],[ROUTE]],PRICING!A:B,2,FALSE),0)</f>
        <v>0</v>
      </c>
      <c r="S487" s="308">
        <f>Table24[[#This Row],[C_DEMAND]]-Table24[[#This Row],[R-DEMAND]]</f>
        <v>0</v>
      </c>
      <c r="T487" s="307">
        <f>Table24[[#This Row],[SEATS SOLD]]*Table24[[#This Row],[ECO SEAT]]</f>
        <v>0</v>
      </c>
      <c r="U487" s="307">
        <f>Table24[[#This Row],[SEATS SOLD]]*(IFERROR(VLOOKUP(Table24[[#This Row],[ROUTE]],PRICING!A:C,3,FALSE),0))</f>
        <v>0</v>
      </c>
      <c r="V487" s="307">
        <f>Table24[[#This Row],[SEAT REV]]-Table24[[#This Row],[SEAT REV
(IF IDEAL $)]]</f>
        <v>0</v>
      </c>
    </row>
    <row r="488" spans="1:22" customFormat="1" x14ac:dyDescent="0.25">
      <c r="A488" s="306" t="s">
        <v>17859</v>
      </c>
      <c r="B488" s="306" t="s">
        <v>5524</v>
      </c>
      <c r="C488" s="306"/>
      <c r="D488" s="26">
        <v>4</v>
      </c>
      <c r="E488" s="312" t="s">
        <v>11732</v>
      </c>
      <c r="F488" s="306" t="str">
        <f>VLOOKUP(Table24[[#This Row],[Country]],Table10[[COUNTRY NAME]:[CONTINENT CODE]],3,FALSE)</f>
        <v>NA - US</v>
      </c>
      <c r="G488" s="312" t="s">
        <v>13324</v>
      </c>
      <c r="H488" s="309">
        <v>2867</v>
      </c>
      <c r="I488" s="310">
        <v>8.5</v>
      </c>
      <c r="J488" s="307"/>
      <c r="K488" s="307">
        <f>IFERROR(Table24[[#This Row],[ROUTE COST]]/Table24[[#This Row],[O - DEMAND]],0)</f>
        <v>0</v>
      </c>
      <c r="L488" s="306"/>
      <c r="M488" s="310">
        <f>Table24[[#This Row],[O - DEMAND]]/950</f>
        <v>0</v>
      </c>
      <c r="N488" s="306">
        <f>IFERROR(VLOOKUP(Table24[[#This Row],[ROUTE]],DEMAND!A:F,5,FALSE),0)</f>
        <v>0</v>
      </c>
      <c r="O488" s="306">
        <f>IFERROR(VLOOKUP(Table24[[#This Row],[ROUTE]],DEMAND!A:F,6,FALSE),0)</f>
        <v>0</v>
      </c>
      <c r="P488" s="306">
        <f>ROUNDDOWN(Table24[[#This Row],[R-DEMAND]]/950,0)</f>
        <v>0</v>
      </c>
      <c r="Q488" s="306">
        <f>Table24[[#This Row],[ADD ACC
(475/950)]]*Table24[[#This Row],[Duration
(A359)]]</f>
        <v>0</v>
      </c>
      <c r="R488" s="307">
        <f>IFERROR(VLOOKUP(Table24[[#This Row],[ROUTE]],PRICING!A:B,2,FALSE),0)</f>
        <v>0</v>
      </c>
      <c r="S488" s="308">
        <f>Table24[[#This Row],[C_DEMAND]]-Table24[[#This Row],[R-DEMAND]]</f>
        <v>0</v>
      </c>
      <c r="T488" s="307">
        <f>Table24[[#This Row],[SEATS SOLD]]*Table24[[#This Row],[ECO SEAT]]</f>
        <v>0</v>
      </c>
      <c r="U488" s="307">
        <f>Table24[[#This Row],[SEATS SOLD]]*(IFERROR(VLOOKUP(Table24[[#This Row],[ROUTE]],PRICING!A:C,3,FALSE),0))</f>
        <v>0</v>
      </c>
      <c r="V488" s="307">
        <f>Table24[[#This Row],[SEAT REV]]-Table24[[#This Row],[SEAT REV
(IF IDEAL $)]]</f>
        <v>0</v>
      </c>
    </row>
    <row r="489" spans="1:22" customFormat="1" x14ac:dyDescent="0.25">
      <c r="A489" s="306" t="s">
        <v>17858</v>
      </c>
      <c r="B489" s="306" t="s">
        <v>5502</v>
      </c>
      <c r="C489" s="306"/>
      <c r="D489" s="26">
        <v>4</v>
      </c>
      <c r="E489" s="312" t="s">
        <v>11732</v>
      </c>
      <c r="F489" s="306" t="str">
        <f>VLOOKUP(Table24[[#This Row],[Country]],Table10[[COUNTRY NAME]:[CONTINENT CODE]],3,FALSE)</f>
        <v>NA - US</v>
      </c>
      <c r="G489" s="312" t="s">
        <v>16992</v>
      </c>
      <c r="H489" s="309">
        <v>2915</v>
      </c>
      <c r="I489" s="310">
        <v>8.5</v>
      </c>
      <c r="J489" s="307"/>
      <c r="K489" s="307">
        <f>IFERROR(Table24[[#This Row],[ROUTE COST]]/Table24[[#This Row],[O - DEMAND]],0)</f>
        <v>0</v>
      </c>
      <c r="L489" s="306"/>
      <c r="M489" s="310">
        <f>Table24[[#This Row],[O - DEMAND]]/950</f>
        <v>0</v>
      </c>
      <c r="N489" s="306">
        <f>IFERROR(VLOOKUP(Table24[[#This Row],[ROUTE]],DEMAND!A:F,5,FALSE),0)</f>
        <v>0</v>
      </c>
      <c r="O489" s="306">
        <f>IFERROR(VLOOKUP(Table24[[#This Row],[ROUTE]],DEMAND!A:F,6,FALSE),0)</f>
        <v>0</v>
      </c>
      <c r="P489" s="306">
        <f>ROUNDDOWN(Table24[[#This Row],[R-DEMAND]]/950,0)</f>
        <v>0</v>
      </c>
      <c r="Q489" s="306">
        <f>Table24[[#This Row],[ADD ACC
(475/950)]]*Table24[[#This Row],[Duration
(A359)]]</f>
        <v>0</v>
      </c>
      <c r="R489" s="307">
        <f>IFERROR(VLOOKUP(Table24[[#This Row],[ROUTE]],PRICING!A:B,2,FALSE),0)</f>
        <v>0</v>
      </c>
      <c r="S489" s="308">
        <f>Table24[[#This Row],[C_DEMAND]]-Table24[[#This Row],[R-DEMAND]]</f>
        <v>0</v>
      </c>
      <c r="T489" s="307">
        <f>Table24[[#This Row],[SEATS SOLD]]*Table24[[#This Row],[ECO SEAT]]</f>
        <v>0</v>
      </c>
      <c r="U489" s="307">
        <f>Table24[[#This Row],[SEATS SOLD]]*(IFERROR(VLOOKUP(Table24[[#This Row],[ROUTE]],PRICING!A:C,3,FALSE),0))</f>
        <v>0</v>
      </c>
      <c r="V489" s="307">
        <f>Table24[[#This Row],[SEAT REV]]-Table24[[#This Row],[SEAT REV
(IF IDEAL $)]]</f>
        <v>0</v>
      </c>
    </row>
    <row r="490" spans="1:22" customFormat="1" x14ac:dyDescent="0.25">
      <c r="A490" s="306" t="s">
        <v>17790</v>
      </c>
      <c r="B490" s="306" t="s">
        <v>4469</v>
      </c>
      <c r="C490" s="306"/>
      <c r="D490" s="26">
        <v>2</v>
      </c>
      <c r="E490" s="312" t="s">
        <v>1749</v>
      </c>
      <c r="F490" s="306" t="str">
        <f>VLOOKUP(Table24[[#This Row],[Country]],Table10[[COUNTRY NAME]:[CONTINENT CODE]],3,FALSE)</f>
        <v>NA</v>
      </c>
      <c r="G490" s="312" t="s">
        <v>13227</v>
      </c>
      <c r="H490" s="309">
        <v>2914</v>
      </c>
      <c r="I490" s="310">
        <v>8.5</v>
      </c>
      <c r="J490" s="307"/>
      <c r="K490" s="307">
        <f>IFERROR(Table24[[#This Row],[ROUTE COST]]/Table24[[#This Row],[O - DEMAND]],0)</f>
        <v>0</v>
      </c>
      <c r="L490" s="306"/>
      <c r="M490" s="310">
        <f>Table24[[#This Row],[O - DEMAND]]/950</f>
        <v>0</v>
      </c>
      <c r="N490" s="306">
        <f>IFERROR(VLOOKUP(Table24[[#This Row],[ROUTE]],DEMAND!A:F,5,FALSE),0)</f>
        <v>0</v>
      </c>
      <c r="O490" s="306">
        <f>IFERROR(VLOOKUP(Table24[[#This Row],[ROUTE]],DEMAND!A:F,6,FALSE),0)</f>
        <v>0</v>
      </c>
      <c r="P490" s="306">
        <f>ROUNDDOWN(Table24[[#This Row],[R-DEMAND]]/950,0)</f>
        <v>0</v>
      </c>
      <c r="Q490" s="306">
        <f>Table24[[#This Row],[ADD ACC
(475/950)]]*Table24[[#This Row],[Duration
(A359)]]</f>
        <v>0</v>
      </c>
      <c r="R490" s="307">
        <f>IFERROR(VLOOKUP(Table24[[#This Row],[ROUTE]],PRICING!A:B,2,FALSE),0)</f>
        <v>0</v>
      </c>
      <c r="S490" s="308">
        <f>Table24[[#This Row],[C_DEMAND]]-Table24[[#This Row],[R-DEMAND]]</f>
        <v>0</v>
      </c>
      <c r="T490" s="307">
        <f>Table24[[#This Row],[SEATS SOLD]]*Table24[[#This Row],[ECO SEAT]]</f>
        <v>0</v>
      </c>
      <c r="U490" s="307">
        <f>Table24[[#This Row],[SEATS SOLD]]*(IFERROR(VLOOKUP(Table24[[#This Row],[ROUTE]],PRICING!A:C,3,FALSE),0))</f>
        <v>0</v>
      </c>
      <c r="V490" s="307">
        <f>Table24[[#This Row],[SEAT REV]]-Table24[[#This Row],[SEAT REV
(IF IDEAL $)]]</f>
        <v>0</v>
      </c>
    </row>
    <row r="491" spans="1:22" customFormat="1" x14ac:dyDescent="0.25">
      <c r="A491" s="306" t="s">
        <v>17938</v>
      </c>
      <c r="B491" s="306" t="s">
        <v>4406</v>
      </c>
      <c r="C491" s="306"/>
      <c r="D491" s="26">
        <v>2</v>
      </c>
      <c r="E491" s="312" t="s">
        <v>11732</v>
      </c>
      <c r="F491" s="306" t="str">
        <f>VLOOKUP(Table24[[#This Row],[Country]],Table10[[COUNTRY NAME]:[CONTINENT CODE]],3,FALSE)</f>
        <v>NA - US</v>
      </c>
      <c r="G491" s="312" t="s">
        <v>13333</v>
      </c>
      <c r="H491" s="309">
        <v>2934</v>
      </c>
      <c r="I491" s="310">
        <v>8.5</v>
      </c>
      <c r="J491" s="307"/>
      <c r="K491" s="307">
        <f>IFERROR(Table24[[#This Row],[ROUTE COST]]/Table24[[#This Row],[O - DEMAND]],0)</f>
        <v>0</v>
      </c>
      <c r="L491" s="306"/>
      <c r="M491" s="310">
        <f>Table24[[#This Row],[O - DEMAND]]/950</f>
        <v>0</v>
      </c>
      <c r="N491" s="306">
        <f>IFERROR(VLOOKUP(Table24[[#This Row],[ROUTE]],DEMAND!A:F,5,FALSE),0)</f>
        <v>0</v>
      </c>
      <c r="O491" s="306">
        <f>IFERROR(VLOOKUP(Table24[[#This Row],[ROUTE]],DEMAND!A:F,6,FALSE),0)</f>
        <v>0</v>
      </c>
      <c r="P491" s="306">
        <f>ROUNDDOWN(Table24[[#This Row],[R-DEMAND]]/950,0)</f>
        <v>0</v>
      </c>
      <c r="Q491" s="306">
        <f>Table24[[#This Row],[ADD ACC
(475/950)]]*Table24[[#This Row],[Duration
(A359)]]</f>
        <v>0</v>
      </c>
      <c r="R491" s="307">
        <f>IFERROR(VLOOKUP(Table24[[#This Row],[ROUTE]],PRICING!A:B,2,FALSE),0)</f>
        <v>0</v>
      </c>
      <c r="S491" s="308">
        <f>Table24[[#This Row],[C_DEMAND]]-Table24[[#This Row],[R-DEMAND]]</f>
        <v>0</v>
      </c>
      <c r="T491" s="307">
        <f>Table24[[#This Row],[SEATS SOLD]]*Table24[[#This Row],[ECO SEAT]]</f>
        <v>0</v>
      </c>
      <c r="U491" s="307">
        <f>Table24[[#This Row],[SEATS SOLD]]*(IFERROR(VLOOKUP(Table24[[#This Row],[ROUTE]],PRICING!A:C,3,FALSE),0))</f>
        <v>0</v>
      </c>
      <c r="V491" s="307">
        <f>Table24[[#This Row],[SEAT REV]]-Table24[[#This Row],[SEAT REV
(IF IDEAL $)]]</f>
        <v>0</v>
      </c>
    </row>
    <row r="492" spans="1:22" customFormat="1" x14ac:dyDescent="0.25">
      <c r="A492" s="306" t="s">
        <v>17939</v>
      </c>
      <c r="B492" s="306" t="s">
        <v>4011</v>
      </c>
      <c r="C492" s="306"/>
      <c r="D492" s="26">
        <v>2</v>
      </c>
      <c r="E492" s="312" t="s">
        <v>11732</v>
      </c>
      <c r="F492" s="306" t="str">
        <f>VLOOKUP(Table24[[#This Row],[Country]],Table10[[COUNTRY NAME]:[CONTINENT CODE]],3,FALSE)</f>
        <v>NA - US</v>
      </c>
      <c r="G492" s="312" t="s">
        <v>13321</v>
      </c>
      <c r="H492" s="309">
        <v>2917</v>
      </c>
      <c r="I492" s="310">
        <v>8.5</v>
      </c>
      <c r="J492" s="307"/>
      <c r="K492" s="307">
        <f>IFERROR(Table24[[#This Row],[ROUTE COST]]/Table24[[#This Row],[O - DEMAND]],0)</f>
        <v>0</v>
      </c>
      <c r="L492" s="306"/>
      <c r="M492" s="310">
        <f>Table24[[#This Row],[O - DEMAND]]/950</f>
        <v>0</v>
      </c>
      <c r="N492" s="306">
        <f>IFERROR(VLOOKUP(Table24[[#This Row],[ROUTE]],DEMAND!A:F,5,FALSE),0)</f>
        <v>0</v>
      </c>
      <c r="O492" s="306">
        <f>IFERROR(VLOOKUP(Table24[[#This Row],[ROUTE]],DEMAND!A:F,6,FALSE),0)</f>
        <v>0</v>
      </c>
      <c r="P492" s="306">
        <f>ROUNDDOWN(Table24[[#This Row],[R-DEMAND]]/950,0)</f>
        <v>0</v>
      </c>
      <c r="Q492" s="306">
        <f>Table24[[#This Row],[ADD ACC
(475/950)]]*Table24[[#This Row],[Duration
(A359)]]</f>
        <v>0</v>
      </c>
      <c r="R492" s="307">
        <f>IFERROR(VLOOKUP(Table24[[#This Row],[ROUTE]],PRICING!A:B,2,FALSE),0)</f>
        <v>0</v>
      </c>
      <c r="S492" s="308">
        <f>Table24[[#This Row],[C_DEMAND]]-Table24[[#This Row],[R-DEMAND]]</f>
        <v>0</v>
      </c>
      <c r="T492" s="307">
        <f>Table24[[#This Row],[SEATS SOLD]]*Table24[[#This Row],[ECO SEAT]]</f>
        <v>0</v>
      </c>
      <c r="U492" s="307">
        <f>Table24[[#This Row],[SEATS SOLD]]*(IFERROR(VLOOKUP(Table24[[#This Row],[ROUTE]],PRICING!A:C,3,FALSE),0))</f>
        <v>0</v>
      </c>
      <c r="V492" s="307">
        <f>Table24[[#This Row],[SEAT REV]]-Table24[[#This Row],[SEAT REV
(IF IDEAL $)]]</f>
        <v>0</v>
      </c>
    </row>
    <row r="493" spans="1:22" customFormat="1" x14ac:dyDescent="0.25">
      <c r="A493" s="306" t="s">
        <v>17940</v>
      </c>
      <c r="B493" s="306" t="s">
        <v>134</v>
      </c>
      <c r="C493" s="306"/>
      <c r="D493" s="26">
        <v>2</v>
      </c>
      <c r="E493" s="312" t="s">
        <v>11732</v>
      </c>
      <c r="F493" s="306" t="str">
        <f>VLOOKUP(Table24[[#This Row],[Country]],Table10[[COUNTRY NAME]:[CONTINENT CODE]],3,FALSE)</f>
        <v>NA - US</v>
      </c>
      <c r="G493" s="312" t="s">
        <v>13326</v>
      </c>
      <c r="H493" s="309">
        <v>2901</v>
      </c>
      <c r="I493" s="310">
        <v>8.5</v>
      </c>
      <c r="J493" s="307"/>
      <c r="K493" s="307">
        <f>IFERROR(Table24[[#This Row],[ROUTE COST]]/Table24[[#This Row],[O - DEMAND]],0)</f>
        <v>0</v>
      </c>
      <c r="L493" s="306"/>
      <c r="M493" s="310">
        <f>Table24[[#This Row],[O - DEMAND]]/950</f>
        <v>0</v>
      </c>
      <c r="N493" s="306">
        <f>IFERROR(VLOOKUP(Table24[[#This Row],[ROUTE]],DEMAND!A:F,5,FALSE),0)</f>
        <v>0</v>
      </c>
      <c r="O493" s="306">
        <f>IFERROR(VLOOKUP(Table24[[#This Row],[ROUTE]],DEMAND!A:F,6,FALSE),0)</f>
        <v>0</v>
      </c>
      <c r="P493" s="306">
        <f>ROUNDDOWN(Table24[[#This Row],[R-DEMAND]]/950,0)</f>
        <v>0</v>
      </c>
      <c r="Q493" s="306">
        <f>Table24[[#This Row],[ADD ACC
(475/950)]]*Table24[[#This Row],[Duration
(A359)]]</f>
        <v>0</v>
      </c>
      <c r="R493" s="307">
        <f>IFERROR(VLOOKUP(Table24[[#This Row],[ROUTE]],PRICING!A:B,2,FALSE),0)</f>
        <v>0</v>
      </c>
      <c r="S493" s="308">
        <f>Table24[[#This Row],[C_DEMAND]]-Table24[[#This Row],[R-DEMAND]]</f>
        <v>0</v>
      </c>
      <c r="T493" s="307">
        <f>Table24[[#This Row],[SEATS SOLD]]*Table24[[#This Row],[ECO SEAT]]</f>
        <v>0</v>
      </c>
      <c r="U493" s="307">
        <f>Table24[[#This Row],[SEATS SOLD]]*(IFERROR(VLOOKUP(Table24[[#This Row],[ROUTE]],PRICING!A:C,3,FALSE),0))</f>
        <v>0</v>
      </c>
      <c r="V493" s="307">
        <f>Table24[[#This Row],[SEAT REV]]-Table24[[#This Row],[SEAT REV
(IF IDEAL $)]]</f>
        <v>0</v>
      </c>
    </row>
    <row r="494" spans="1:22" customFormat="1" x14ac:dyDescent="0.25">
      <c r="A494" s="306" t="s">
        <v>17971</v>
      </c>
      <c r="B494" s="306" t="s">
        <v>1331</v>
      </c>
      <c r="C494" s="306"/>
      <c r="D494" s="26">
        <v>1</v>
      </c>
      <c r="E494" s="312" t="s">
        <v>11732</v>
      </c>
      <c r="F494" s="306" t="str">
        <f>VLOOKUP(Table24[[#This Row],[Country]],Table10[[COUNTRY NAME]:[CONTINENT CODE]],3,FALSE)</f>
        <v>NA - US</v>
      </c>
      <c r="G494" s="312" t="s">
        <v>10110</v>
      </c>
      <c r="H494" s="309">
        <v>2848</v>
      </c>
      <c r="I494" s="310">
        <v>8.5</v>
      </c>
      <c r="J494" s="307"/>
      <c r="K494" s="307">
        <f>IFERROR(Table24[[#This Row],[ROUTE COST]]/Table24[[#This Row],[O - DEMAND]],0)</f>
        <v>0</v>
      </c>
      <c r="L494" s="306"/>
      <c r="M494" s="310">
        <f>Table24[[#This Row],[O - DEMAND]]/950</f>
        <v>0</v>
      </c>
      <c r="N494" s="306">
        <f>IFERROR(VLOOKUP(Table24[[#This Row],[ROUTE]],DEMAND!A:F,5,FALSE),0)</f>
        <v>0</v>
      </c>
      <c r="O494" s="306">
        <f>IFERROR(VLOOKUP(Table24[[#This Row],[ROUTE]],DEMAND!A:F,6,FALSE),0)</f>
        <v>0</v>
      </c>
      <c r="P494" s="306">
        <f>ROUNDDOWN(Table24[[#This Row],[R-DEMAND]]/950,0)</f>
        <v>0</v>
      </c>
      <c r="Q494" s="306">
        <f>Table24[[#This Row],[ADD ACC
(475/950)]]*Table24[[#This Row],[Duration
(A359)]]</f>
        <v>0</v>
      </c>
      <c r="R494" s="307">
        <f>IFERROR(VLOOKUP(Table24[[#This Row],[ROUTE]],PRICING!A:B,2,FALSE),0)</f>
        <v>0</v>
      </c>
      <c r="S494" s="308">
        <f>Table24[[#This Row],[C_DEMAND]]-Table24[[#This Row],[R-DEMAND]]</f>
        <v>0</v>
      </c>
      <c r="T494" s="307">
        <f>Table24[[#This Row],[SEATS SOLD]]*Table24[[#This Row],[ECO SEAT]]</f>
        <v>0</v>
      </c>
      <c r="U494" s="307">
        <f>Table24[[#This Row],[SEATS SOLD]]*(IFERROR(VLOOKUP(Table24[[#This Row],[ROUTE]],PRICING!A:C,3,FALSE),0))</f>
        <v>0</v>
      </c>
      <c r="V494" s="307">
        <f>Table24[[#This Row],[SEAT REV]]-Table24[[#This Row],[SEAT REV
(IF IDEAL $)]]</f>
        <v>0</v>
      </c>
    </row>
    <row r="495" spans="1:22" customFormat="1" x14ac:dyDescent="0.25">
      <c r="A495" s="306" t="s">
        <v>18000</v>
      </c>
      <c r="B495" s="306" t="s">
        <v>4783</v>
      </c>
      <c r="C495" s="306"/>
      <c r="D495" s="26"/>
      <c r="E495" s="312" t="s">
        <v>11732</v>
      </c>
      <c r="F495" s="306" t="str">
        <f>VLOOKUP(Table24[[#This Row],[Country]],Table10[[COUNTRY NAME]:[CONTINENT CODE]],3,FALSE)</f>
        <v>NA - US</v>
      </c>
      <c r="G495" s="312" t="s">
        <v>16994</v>
      </c>
      <c r="H495" s="309">
        <v>2880</v>
      </c>
      <c r="I495" s="310">
        <v>8.5</v>
      </c>
      <c r="J495" s="307"/>
      <c r="K495" s="307">
        <f>IFERROR(Table24[[#This Row],[ROUTE COST]]/Table24[[#This Row],[O - DEMAND]],0)</f>
        <v>0</v>
      </c>
      <c r="L495" s="306"/>
      <c r="M495" s="310">
        <f>Table24[[#This Row],[O - DEMAND]]/950</f>
        <v>0</v>
      </c>
      <c r="N495" s="306">
        <f>IFERROR(VLOOKUP(Table24[[#This Row],[ROUTE]],DEMAND!A:F,5,FALSE),0)</f>
        <v>0</v>
      </c>
      <c r="O495" s="306">
        <f>IFERROR(VLOOKUP(Table24[[#This Row],[ROUTE]],DEMAND!A:F,6,FALSE),0)</f>
        <v>0</v>
      </c>
      <c r="P495" s="306">
        <f>ROUNDDOWN(Table24[[#This Row],[R-DEMAND]]/950,0)</f>
        <v>0</v>
      </c>
      <c r="Q495" s="306">
        <f>Table24[[#This Row],[ADD ACC
(475/950)]]*Table24[[#This Row],[Duration
(A359)]]</f>
        <v>0</v>
      </c>
      <c r="R495" s="307">
        <f>IFERROR(VLOOKUP(Table24[[#This Row],[ROUTE]],PRICING!A:B,2,FALSE),0)</f>
        <v>0</v>
      </c>
      <c r="S495" s="308">
        <f>Table24[[#This Row],[C_DEMAND]]-Table24[[#This Row],[R-DEMAND]]</f>
        <v>0</v>
      </c>
      <c r="T495" s="307">
        <f>Table24[[#This Row],[SEATS SOLD]]*Table24[[#This Row],[ECO SEAT]]</f>
        <v>0</v>
      </c>
      <c r="U495" s="307">
        <f>Table24[[#This Row],[SEATS SOLD]]*(IFERROR(VLOOKUP(Table24[[#This Row],[ROUTE]],PRICING!A:C,3,FALSE),0))</f>
        <v>0</v>
      </c>
      <c r="V495" s="307">
        <f>Table24[[#This Row],[SEAT REV]]-Table24[[#This Row],[SEAT REV
(IF IDEAL $)]]</f>
        <v>0</v>
      </c>
    </row>
    <row r="496" spans="1:22" customFormat="1" x14ac:dyDescent="0.25">
      <c r="A496" s="306" t="s">
        <v>17997</v>
      </c>
      <c r="B496" s="306" t="s">
        <v>3321</v>
      </c>
      <c r="C496" s="306"/>
      <c r="D496" s="26"/>
      <c r="E496" s="312" t="s">
        <v>11732</v>
      </c>
      <c r="F496" s="306" t="str">
        <f>VLOOKUP(Table24[[#This Row],[Country]],Table10[[COUNTRY NAME]:[CONTINENT CODE]],3,FALSE)</f>
        <v>NA - US</v>
      </c>
      <c r="G496" s="312" t="s">
        <v>16988</v>
      </c>
      <c r="H496" s="309">
        <v>2945</v>
      </c>
      <c r="I496" s="310">
        <v>8.5</v>
      </c>
      <c r="J496" s="307"/>
      <c r="K496" s="307">
        <f>IFERROR(Table24[[#This Row],[ROUTE COST]]/Table24[[#This Row],[O - DEMAND]],0)</f>
        <v>0</v>
      </c>
      <c r="L496" s="306"/>
      <c r="M496" s="310">
        <f>Table24[[#This Row],[O - DEMAND]]/950</f>
        <v>0</v>
      </c>
      <c r="N496" s="306">
        <f>IFERROR(VLOOKUP(Table24[[#This Row],[ROUTE]],DEMAND!A:F,5,FALSE),0)</f>
        <v>0</v>
      </c>
      <c r="O496" s="306">
        <f>IFERROR(VLOOKUP(Table24[[#This Row],[ROUTE]],DEMAND!A:F,6,FALSE),0)</f>
        <v>0</v>
      </c>
      <c r="P496" s="306">
        <f>ROUNDDOWN(Table24[[#This Row],[R-DEMAND]]/950,0)</f>
        <v>0</v>
      </c>
      <c r="Q496" s="306">
        <f>Table24[[#This Row],[ADD ACC
(475/950)]]*Table24[[#This Row],[Duration
(A359)]]</f>
        <v>0</v>
      </c>
      <c r="R496" s="307">
        <f>IFERROR(VLOOKUP(Table24[[#This Row],[ROUTE]],PRICING!A:B,2,FALSE),0)</f>
        <v>0</v>
      </c>
      <c r="S496" s="308">
        <f>Table24[[#This Row],[C_DEMAND]]-Table24[[#This Row],[R-DEMAND]]</f>
        <v>0</v>
      </c>
      <c r="T496" s="307">
        <f>Table24[[#This Row],[SEATS SOLD]]*Table24[[#This Row],[ECO SEAT]]</f>
        <v>0</v>
      </c>
      <c r="U496" s="307">
        <f>Table24[[#This Row],[SEATS SOLD]]*(IFERROR(VLOOKUP(Table24[[#This Row],[ROUTE]],PRICING!A:C,3,FALSE),0))</f>
        <v>0</v>
      </c>
      <c r="V496" s="307">
        <f>Table24[[#This Row],[SEAT REV]]-Table24[[#This Row],[SEAT REV
(IF IDEAL $)]]</f>
        <v>0</v>
      </c>
    </row>
    <row r="497" spans="1:22" customFormat="1" x14ac:dyDescent="0.25">
      <c r="A497" s="306" t="s">
        <v>17999</v>
      </c>
      <c r="B497" s="306" t="s">
        <v>4253</v>
      </c>
      <c r="C497" s="306"/>
      <c r="D497" s="26"/>
      <c r="E497" s="312" t="s">
        <v>11732</v>
      </c>
      <c r="F497" s="306" t="str">
        <f>VLOOKUP(Table24[[#This Row],[Country]],Table10[[COUNTRY NAME]:[CONTINENT CODE]],3,FALSE)</f>
        <v>NA - US</v>
      </c>
      <c r="G497" s="312" t="s">
        <v>16993</v>
      </c>
      <c r="H497" s="309">
        <v>2895</v>
      </c>
      <c r="I497" s="310">
        <v>8.5</v>
      </c>
      <c r="J497" s="307"/>
      <c r="K497" s="307">
        <f>IFERROR(Table24[[#This Row],[ROUTE COST]]/Table24[[#This Row],[O - DEMAND]],0)</f>
        <v>0</v>
      </c>
      <c r="L497" s="306"/>
      <c r="M497" s="310">
        <f>Table24[[#This Row],[O - DEMAND]]/950</f>
        <v>0</v>
      </c>
      <c r="N497" s="306">
        <f>IFERROR(VLOOKUP(Table24[[#This Row],[ROUTE]],DEMAND!A:F,5,FALSE),0)</f>
        <v>0</v>
      </c>
      <c r="O497" s="306">
        <f>IFERROR(VLOOKUP(Table24[[#This Row],[ROUTE]],DEMAND!A:F,6,FALSE),0)</f>
        <v>0</v>
      </c>
      <c r="P497" s="306">
        <f>ROUNDDOWN(Table24[[#This Row],[R-DEMAND]]/950,0)</f>
        <v>0</v>
      </c>
      <c r="Q497" s="306">
        <f>Table24[[#This Row],[ADD ACC
(475/950)]]*Table24[[#This Row],[Duration
(A359)]]</f>
        <v>0</v>
      </c>
      <c r="R497" s="307">
        <f>IFERROR(VLOOKUP(Table24[[#This Row],[ROUTE]],PRICING!A:B,2,FALSE),0)</f>
        <v>0</v>
      </c>
      <c r="S497" s="308">
        <f>Table24[[#This Row],[C_DEMAND]]-Table24[[#This Row],[R-DEMAND]]</f>
        <v>0</v>
      </c>
      <c r="T497" s="307">
        <f>Table24[[#This Row],[SEATS SOLD]]*Table24[[#This Row],[ECO SEAT]]</f>
        <v>0</v>
      </c>
      <c r="U497" s="307">
        <f>Table24[[#This Row],[SEATS SOLD]]*(IFERROR(VLOOKUP(Table24[[#This Row],[ROUTE]],PRICING!A:C,3,FALSE),0))</f>
        <v>0</v>
      </c>
      <c r="V497" s="307">
        <f>Table24[[#This Row],[SEAT REV]]-Table24[[#This Row],[SEAT REV
(IF IDEAL $)]]</f>
        <v>0</v>
      </c>
    </row>
    <row r="498" spans="1:22" customFormat="1" x14ac:dyDescent="0.25">
      <c r="A498" s="306" t="s">
        <v>17998</v>
      </c>
      <c r="B498" s="306" t="s">
        <v>4607</v>
      </c>
      <c r="C498" s="306"/>
      <c r="D498" s="26"/>
      <c r="E498" s="312" t="s">
        <v>11732</v>
      </c>
      <c r="F498" s="306" t="str">
        <f>VLOOKUP(Table24[[#This Row],[Country]],Table10[[COUNTRY NAME]:[CONTINENT CODE]],3,FALSE)</f>
        <v>NA - US</v>
      </c>
      <c r="G498" s="312" t="s">
        <v>16990</v>
      </c>
      <c r="H498" s="309">
        <v>2918</v>
      </c>
      <c r="I498" s="310">
        <v>8.5</v>
      </c>
      <c r="J498" s="307"/>
      <c r="K498" s="307">
        <f>IFERROR(Table24[[#This Row],[ROUTE COST]]/Table24[[#This Row],[O - DEMAND]],0)</f>
        <v>0</v>
      </c>
      <c r="L498" s="306"/>
      <c r="M498" s="310">
        <f>Table24[[#This Row],[O - DEMAND]]/950</f>
        <v>0</v>
      </c>
      <c r="N498" s="306">
        <f>IFERROR(VLOOKUP(Table24[[#This Row],[ROUTE]],DEMAND!A:F,5,FALSE),0)</f>
        <v>0</v>
      </c>
      <c r="O498" s="306">
        <f>IFERROR(VLOOKUP(Table24[[#This Row],[ROUTE]],DEMAND!A:F,6,FALSE),0)</f>
        <v>0</v>
      </c>
      <c r="P498" s="306">
        <f>ROUNDDOWN(Table24[[#This Row],[R-DEMAND]]/950,0)</f>
        <v>0</v>
      </c>
      <c r="Q498" s="306">
        <f>Table24[[#This Row],[ADD ACC
(475/950)]]*Table24[[#This Row],[Duration
(A359)]]</f>
        <v>0</v>
      </c>
      <c r="R498" s="307">
        <f>IFERROR(VLOOKUP(Table24[[#This Row],[ROUTE]],PRICING!A:B,2,FALSE),0)</f>
        <v>0</v>
      </c>
      <c r="S498" s="308">
        <f>Table24[[#This Row],[C_DEMAND]]-Table24[[#This Row],[R-DEMAND]]</f>
        <v>0</v>
      </c>
      <c r="T498" s="307">
        <f>Table24[[#This Row],[SEATS SOLD]]*Table24[[#This Row],[ECO SEAT]]</f>
        <v>0</v>
      </c>
      <c r="U498" s="307">
        <f>Table24[[#This Row],[SEATS SOLD]]*(IFERROR(VLOOKUP(Table24[[#This Row],[ROUTE]],PRICING!A:C,3,FALSE),0))</f>
        <v>0</v>
      </c>
      <c r="V498" s="307">
        <f>Table24[[#This Row],[SEAT REV]]-Table24[[#This Row],[SEAT REV
(IF IDEAL $)]]</f>
        <v>0</v>
      </c>
    </row>
    <row r="499" spans="1:22" customFormat="1" x14ac:dyDescent="0.25">
      <c r="A499" s="306" t="s">
        <v>17860</v>
      </c>
      <c r="B499" s="306" t="s">
        <v>5606</v>
      </c>
      <c r="C499" s="306"/>
      <c r="D499" s="26">
        <v>4</v>
      </c>
      <c r="E499" s="312" t="s">
        <v>11732</v>
      </c>
      <c r="F499" s="306" t="str">
        <f>VLOOKUP(Table24[[#This Row],[Country]],Table10[[COUNTRY NAME]:[CONTINENT CODE]],3,FALSE)</f>
        <v>NA - US</v>
      </c>
      <c r="G499" s="312" t="s">
        <v>13314</v>
      </c>
      <c r="H499" s="309">
        <v>2841</v>
      </c>
      <c r="I499" s="310">
        <v>8.25</v>
      </c>
      <c r="J499" s="307"/>
      <c r="K499" s="307">
        <f>IFERROR(Table24[[#This Row],[ROUTE COST]]/Table24[[#This Row],[O - DEMAND]],0)</f>
        <v>0</v>
      </c>
      <c r="L499" s="306"/>
      <c r="M499" s="310">
        <f>Table24[[#This Row],[O - DEMAND]]/950</f>
        <v>0</v>
      </c>
      <c r="N499" s="306">
        <f>IFERROR(VLOOKUP(Table24[[#This Row],[ROUTE]],DEMAND!A:F,5,FALSE),0)</f>
        <v>0</v>
      </c>
      <c r="O499" s="306">
        <f>IFERROR(VLOOKUP(Table24[[#This Row],[ROUTE]],DEMAND!A:F,6,FALSE),0)</f>
        <v>0</v>
      </c>
      <c r="P499" s="306">
        <f>ROUNDDOWN(Table24[[#This Row],[R-DEMAND]]/950,0)</f>
        <v>0</v>
      </c>
      <c r="Q499" s="306">
        <f>Table24[[#This Row],[ADD ACC
(475/950)]]*Table24[[#This Row],[Duration
(A359)]]</f>
        <v>0</v>
      </c>
      <c r="R499" s="307">
        <f>IFERROR(VLOOKUP(Table24[[#This Row],[ROUTE]],PRICING!A:B,2,FALSE),0)</f>
        <v>0</v>
      </c>
      <c r="S499" s="308">
        <f>Table24[[#This Row],[C_DEMAND]]-Table24[[#This Row],[R-DEMAND]]</f>
        <v>0</v>
      </c>
      <c r="T499" s="307">
        <f>Table24[[#This Row],[SEATS SOLD]]*Table24[[#This Row],[ECO SEAT]]</f>
        <v>0</v>
      </c>
      <c r="U499" s="307">
        <f>Table24[[#This Row],[SEATS SOLD]]*(IFERROR(VLOOKUP(Table24[[#This Row],[ROUTE]],PRICING!A:C,3,FALSE),0))</f>
        <v>0</v>
      </c>
      <c r="V499" s="307">
        <f>Table24[[#This Row],[SEAT REV]]-Table24[[#This Row],[SEAT REV
(IF IDEAL $)]]</f>
        <v>0</v>
      </c>
    </row>
    <row r="500" spans="1:22" customFormat="1" x14ac:dyDescent="0.25">
      <c r="A500" s="306" t="s">
        <v>17794</v>
      </c>
      <c r="B500" s="306" t="s">
        <v>3792</v>
      </c>
      <c r="C500" s="306"/>
      <c r="D500" s="26">
        <v>2</v>
      </c>
      <c r="E500" s="312" t="s">
        <v>1749</v>
      </c>
      <c r="F500" s="306" t="str">
        <f>VLOOKUP(Table24[[#This Row],[Country]],Table10[[COUNTRY NAME]:[CONTINENT CODE]],3,FALSE)</f>
        <v>NA</v>
      </c>
      <c r="G500" s="312" t="s">
        <v>13226</v>
      </c>
      <c r="H500" s="309">
        <v>2742</v>
      </c>
      <c r="I500" s="310">
        <v>8.25</v>
      </c>
      <c r="J500" s="307"/>
      <c r="K500" s="307">
        <f>IFERROR(Table24[[#This Row],[ROUTE COST]]/Table24[[#This Row],[O - DEMAND]],0)</f>
        <v>0</v>
      </c>
      <c r="L500" s="306"/>
      <c r="M500" s="310">
        <f>Table24[[#This Row],[O - DEMAND]]/950</f>
        <v>0</v>
      </c>
      <c r="N500" s="306">
        <f>IFERROR(VLOOKUP(Table24[[#This Row],[ROUTE]],DEMAND!A:F,5,FALSE),0)</f>
        <v>0</v>
      </c>
      <c r="O500" s="306">
        <f>IFERROR(VLOOKUP(Table24[[#This Row],[ROUTE]],DEMAND!A:F,6,FALSE),0)</f>
        <v>0</v>
      </c>
      <c r="P500" s="306">
        <f>ROUNDDOWN(Table24[[#This Row],[R-DEMAND]]/950,0)</f>
        <v>0</v>
      </c>
      <c r="Q500" s="306">
        <f>Table24[[#This Row],[ADD ACC
(475/950)]]*Table24[[#This Row],[Duration
(A359)]]</f>
        <v>0</v>
      </c>
      <c r="R500" s="307">
        <f>IFERROR(VLOOKUP(Table24[[#This Row],[ROUTE]],PRICING!A:B,2,FALSE),0)</f>
        <v>0</v>
      </c>
      <c r="S500" s="308">
        <f>Table24[[#This Row],[C_DEMAND]]-Table24[[#This Row],[R-DEMAND]]</f>
        <v>0</v>
      </c>
      <c r="T500" s="307">
        <f>Table24[[#This Row],[SEATS SOLD]]*Table24[[#This Row],[ECO SEAT]]</f>
        <v>0</v>
      </c>
      <c r="U500" s="307">
        <f>Table24[[#This Row],[SEATS SOLD]]*(IFERROR(VLOOKUP(Table24[[#This Row],[ROUTE]],PRICING!A:C,3,FALSE),0))</f>
        <v>0</v>
      </c>
      <c r="V500" s="307">
        <f>Table24[[#This Row],[SEAT REV]]-Table24[[#This Row],[SEAT REV
(IF IDEAL $)]]</f>
        <v>0</v>
      </c>
    </row>
    <row r="501" spans="1:22" customFormat="1" x14ac:dyDescent="0.25">
      <c r="A501" s="306" t="s">
        <v>17792</v>
      </c>
      <c r="B501" s="306" t="s">
        <v>4136</v>
      </c>
      <c r="C501" s="306"/>
      <c r="D501" s="26">
        <v>2</v>
      </c>
      <c r="E501" s="312" t="s">
        <v>514</v>
      </c>
      <c r="F501" s="306" t="str">
        <f>VLOOKUP(Table24[[#This Row],[Country]],Table10[[COUNTRY NAME]:[CONTINENT CODE]],3,FALSE)</f>
        <v>NA</v>
      </c>
      <c r="G501" s="312" t="s">
        <v>13172</v>
      </c>
      <c r="H501" s="309">
        <v>2828</v>
      </c>
      <c r="I501" s="310">
        <v>8.25</v>
      </c>
      <c r="J501" s="307"/>
      <c r="K501" s="307">
        <f>IFERROR(Table24[[#This Row],[ROUTE COST]]/Table24[[#This Row],[O - DEMAND]],0)</f>
        <v>0</v>
      </c>
      <c r="L501" s="306"/>
      <c r="M501" s="310">
        <f>Table24[[#This Row],[O - DEMAND]]/950</f>
        <v>0</v>
      </c>
      <c r="N501" s="306">
        <f>IFERROR(VLOOKUP(Table24[[#This Row],[ROUTE]],DEMAND!A:F,5,FALSE),0)</f>
        <v>0</v>
      </c>
      <c r="O501" s="306">
        <f>IFERROR(VLOOKUP(Table24[[#This Row],[ROUTE]],DEMAND!A:F,6,FALSE),0)</f>
        <v>0</v>
      </c>
      <c r="P501" s="306">
        <f>ROUNDDOWN(Table24[[#This Row],[R-DEMAND]]/950,0)</f>
        <v>0</v>
      </c>
      <c r="Q501" s="306">
        <f>Table24[[#This Row],[ADD ACC
(475/950)]]*Table24[[#This Row],[Duration
(A359)]]</f>
        <v>0</v>
      </c>
      <c r="R501" s="307">
        <f>IFERROR(VLOOKUP(Table24[[#This Row],[ROUTE]],PRICING!A:B,2,FALSE),0)</f>
        <v>0</v>
      </c>
      <c r="S501" s="308">
        <f>Table24[[#This Row],[C_DEMAND]]-Table24[[#This Row],[R-DEMAND]]</f>
        <v>0</v>
      </c>
      <c r="T501" s="307">
        <f>Table24[[#This Row],[SEATS SOLD]]*Table24[[#This Row],[ECO SEAT]]</f>
        <v>0</v>
      </c>
      <c r="U501" s="307">
        <f>Table24[[#This Row],[SEATS SOLD]]*(IFERROR(VLOOKUP(Table24[[#This Row],[ROUTE]],PRICING!A:C,3,FALSE),0))</f>
        <v>0</v>
      </c>
      <c r="V501" s="307">
        <f>Table24[[#This Row],[SEAT REV]]-Table24[[#This Row],[SEAT REV
(IF IDEAL $)]]</f>
        <v>0</v>
      </c>
    </row>
    <row r="502" spans="1:22" customFormat="1" x14ac:dyDescent="0.25">
      <c r="A502" s="306" t="s">
        <v>17793</v>
      </c>
      <c r="B502" s="306" t="s">
        <v>2788</v>
      </c>
      <c r="C502" s="306"/>
      <c r="D502" s="26">
        <v>2</v>
      </c>
      <c r="E502" s="312" t="s">
        <v>514</v>
      </c>
      <c r="F502" s="306" t="str">
        <f>VLOOKUP(Table24[[#This Row],[Country]],Table10[[COUNTRY NAME]:[CONTINENT CODE]],3,FALSE)</f>
        <v>NA</v>
      </c>
      <c r="G502" s="312" t="s">
        <v>16997</v>
      </c>
      <c r="H502" s="309">
        <v>2821</v>
      </c>
      <c r="I502" s="310">
        <v>8.25</v>
      </c>
      <c r="J502" s="307"/>
      <c r="K502" s="307">
        <f>IFERROR(Table24[[#This Row],[ROUTE COST]]/Table24[[#This Row],[O - DEMAND]],0)</f>
        <v>0</v>
      </c>
      <c r="L502" s="306"/>
      <c r="M502" s="310">
        <f>Table24[[#This Row],[O - DEMAND]]/950</f>
        <v>0</v>
      </c>
      <c r="N502" s="306">
        <f>IFERROR(VLOOKUP(Table24[[#This Row],[ROUTE]],DEMAND!A:F,5,FALSE),0)</f>
        <v>0</v>
      </c>
      <c r="O502" s="306">
        <f>IFERROR(VLOOKUP(Table24[[#This Row],[ROUTE]],DEMAND!A:F,6,FALSE),0)</f>
        <v>0</v>
      </c>
      <c r="P502" s="306">
        <f>ROUNDDOWN(Table24[[#This Row],[R-DEMAND]]/950,0)</f>
        <v>0</v>
      </c>
      <c r="Q502" s="306">
        <f>Table24[[#This Row],[ADD ACC
(475/950)]]*Table24[[#This Row],[Duration
(A359)]]</f>
        <v>0</v>
      </c>
      <c r="R502" s="307">
        <f>IFERROR(VLOOKUP(Table24[[#This Row],[ROUTE]],PRICING!A:B,2,FALSE),0)</f>
        <v>0</v>
      </c>
      <c r="S502" s="308">
        <f>Table24[[#This Row],[C_DEMAND]]-Table24[[#This Row],[R-DEMAND]]</f>
        <v>0</v>
      </c>
      <c r="T502" s="307">
        <f>Table24[[#This Row],[SEATS SOLD]]*Table24[[#This Row],[ECO SEAT]]</f>
        <v>0</v>
      </c>
      <c r="U502" s="307">
        <f>Table24[[#This Row],[SEATS SOLD]]*(IFERROR(VLOOKUP(Table24[[#This Row],[ROUTE]],PRICING!A:C,3,FALSE),0))</f>
        <v>0</v>
      </c>
      <c r="V502" s="307">
        <f>Table24[[#This Row],[SEAT REV]]-Table24[[#This Row],[SEAT REV
(IF IDEAL $)]]</f>
        <v>0</v>
      </c>
    </row>
    <row r="503" spans="1:22" customFormat="1" x14ac:dyDescent="0.25">
      <c r="A503" s="306" t="s">
        <v>17791</v>
      </c>
      <c r="B503" s="306" t="s">
        <v>3986</v>
      </c>
      <c r="C503" s="306"/>
      <c r="D503" s="26">
        <v>2</v>
      </c>
      <c r="E503" s="312" t="s">
        <v>514</v>
      </c>
      <c r="F503" s="306" t="str">
        <f>VLOOKUP(Table24[[#This Row],[Country]],Table10[[COUNTRY NAME]:[CONTINENT CODE]],3,FALSE)</f>
        <v>NA</v>
      </c>
      <c r="G503" s="312" t="s">
        <v>16995</v>
      </c>
      <c r="H503" s="309">
        <v>2844</v>
      </c>
      <c r="I503" s="310">
        <v>8.25</v>
      </c>
      <c r="J503" s="307"/>
      <c r="K503" s="307">
        <f>IFERROR(Table24[[#This Row],[ROUTE COST]]/Table24[[#This Row],[O - DEMAND]],0)</f>
        <v>0</v>
      </c>
      <c r="L503" s="306"/>
      <c r="M503" s="310">
        <f>Table24[[#This Row],[O - DEMAND]]/950</f>
        <v>0</v>
      </c>
      <c r="N503" s="306">
        <f>IFERROR(VLOOKUP(Table24[[#This Row],[ROUTE]],DEMAND!A:F,5,FALSE),0)</f>
        <v>0</v>
      </c>
      <c r="O503" s="306">
        <f>IFERROR(VLOOKUP(Table24[[#This Row],[ROUTE]],DEMAND!A:F,6,FALSE),0)</f>
        <v>0</v>
      </c>
      <c r="P503" s="306">
        <f>ROUNDDOWN(Table24[[#This Row],[R-DEMAND]]/950,0)</f>
        <v>0</v>
      </c>
      <c r="Q503" s="306">
        <f>Table24[[#This Row],[ADD ACC
(475/950)]]*Table24[[#This Row],[Duration
(A359)]]</f>
        <v>0</v>
      </c>
      <c r="R503" s="307">
        <f>IFERROR(VLOOKUP(Table24[[#This Row],[ROUTE]],PRICING!A:B,2,FALSE),0)</f>
        <v>0</v>
      </c>
      <c r="S503" s="308">
        <f>Table24[[#This Row],[C_DEMAND]]-Table24[[#This Row],[R-DEMAND]]</f>
        <v>0</v>
      </c>
      <c r="T503" s="307">
        <f>Table24[[#This Row],[SEATS SOLD]]*Table24[[#This Row],[ECO SEAT]]</f>
        <v>0</v>
      </c>
      <c r="U503" s="307">
        <f>Table24[[#This Row],[SEATS SOLD]]*(IFERROR(VLOOKUP(Table24[[#This Row],[ROUTE]],PRICING!A:C,3,FALSE),0))</f>
        <v>0</v>
      </c>
      <c r="V503" s="307">
        <f>Table24[[#This Row],[SEAT REV]]-Table24[[#This Row],[SEAT REV
(IF IDEAL $)]]</f>
        <v>0</v>
      </c>
    </row>
    <row r="504" spans="1:22" customFormat="1" x14ac:dyDescent="0.25">
      <c r="A504" s="306" t="s">
        <v>17942</v>
      </c>
      <c r="B504" s="306" t="s">
        <v>4094</v>
      </c>
      <c r="C504" s="306"/>
      <c r="D504" s="26">
        <v>2</v>
      </c>
      <c r="E504" s="312" t="s">
        <v>11732</v>
      </c>
      <c r="F504" s="306" t="str">
        <f>VLOOKUP(Table24[[#This Row],[Country]],Table10[[COUNTRY NAME]:[CONTINENT CODE]],3,FALSE)</f>
        <v>NA - US</v>
      </c>
      <c r="G504" s="312" t="s">
        <v>13319</v>
      </c>
      <c r="H504" s="309">
        <v>2777</v>
      </c>
      <c r="I504" s="310">
        <v>8.25</v>
      </c>
      <c r="J504" s="307"/>
      <c r="K504" s="307">
        <f>IFERROR(Table24[[#This Row],[ROUTE COST]]/Table24[[#This Row],[O - DEMAND]],0)</f>
        <v>0</v>
      </c>
      <c r="L504" s="306"/>
      <c r="M504" s="310">
        <f>Table24[[#This Row],[O - DEMAND]]/950</f>
        <v>0</v>
      </c>
      <c r="N504" s="306">
        <f>IFERROR(VLOOKUP(Table24[[#This Row],[ROUTE]],DEMAND!A:F,5,FALSE),0)</f>
        <v>0</v>
      </c>
      <c r="O504" s="306">
        <f>IFERROR(VLOOKUP(Table24[[#This Row],[ROUTE]],DEMAND!A:F,6,FALSE),0)</f>
        <v>0</v>
      </c>
      <c r="P504" s="306">
        <f>ROUNDDOWN(Table24[[#This Row],[R-DEMAND]]/950,0)</f>
        <v>0</v>
      </c>
      <c r="Q504" s="306">
        <f>Table24[[#This Row],[ADD ACC
(475/950)]]*Table24[[#This Row],[Duration
(A359)]]</f>
        <v>0</v>
      </c>
      <c r="R504" s="307">
        <f>IFERROR(VLOOKUP(Table24[[#This Row],[ROUTE]],PRICING!A:B,2,FALSE),0)</f>
        <v>0</v>
      </c>
      <c r="S504" s="308">
        <f>Table24[[#This Row],[C_DEMAND]]-Table24[[#This Row],[R-DEMAND]]</f>
        <v>0</v>
      </c>
      <c r="T504" s="307">
        <f>Table24[[#This Row],[SEATS SOLD]]*Table24[[#This Row],[ECO SEAT]]</f>
        <v>0</v>
      </c>
      <c r="U504" s="307">
        <f>Table24[[#This Row],[SEATS SOLD]]*(IFERROR(VLOOKUP(Table24[[#This Row],[ROUTE]],PRICING!A:C,3,FALSE),0))</f>
        <v>0</v>
      </c>
      <c r="V504" s="307">
        <f>Table24[[#This Row],[SEAT REV]]-Table24[[#This Row],[SEAT REV
(IF IDEAL $)]]</f>
        <v>0</v>
      </c>
    </row>
    <row r="505" spans="1:22" customFormat="1" x14ac:dyDescent="0.25">
      <c r="A505" s="306" t="s">
        <v>17941</v>
      </c>
      <c r="B505" s="306" t="s">
        <v>3223</v>
      </c>
      <c r="C505" s="306"/>
      <c r="D505" s="26">
        <v>2</v>
      </c>
      <c r="E505" s="312" t="s">
        <v>11732</v>
      </c>
      <c r="F505" s="306" t="str">
        <f>VLOOKUP(Table24[[#This Row],[Country]],Table10[[COUNTRY NAME]:[CONTINENT CODE]],3,FALSE)</f>
        <v>NA - US</v>
      </c>
      <c r="G505" s="312" t="s">
        <v>13320</v>
      </c>
      <c r="H505" s="309">
        <v>2782</v>
      </c>
      <c r="I505" s="310">
        <v>8.25</v>
      </c>
      <c r="J505" s="307"/>
      <c r="K505" s="307">
        <f>IFERROR(Table24[[#This Row],[ROUTE COST]]/Table24[[#This Row],[O - DEMAND]],0)</f>
        <v>0</v>
      </c>
      <c r="L505" s="306"/>
      <c r="M505" s="310">
        <f>Table24[[#This Row],[O - DEMAND]]/950</f>
        <v>0</v>
      </c>
      <c r="N505" s="306">
        <f>IFERROR(VLOOKUP(Table24[[#This Row],[ROUTE]],DEMAND!A:F,5,FALSE),0)</f>
        <v>0</v>
      </c>
      <c r="O505" s="306">
        <f>IFERROR(VLOOKUP(Table24[[#This Row],[ROUTE]],DEMAND!A:F,6,FALSE),0)</f>
        <v>0</v>
      </c>
      <c r="P505" s="306">
        <f>ROUNDDOWN(Table24[[#This Row],[R-DEMAND]]/950,0)</f>
        <v>0</v>
      </c>
      <c r="Q505" s="306">
        <f>Table24[[#This Row],[ADD ACC
(475/950)]]*Table24[[#This Row],[Duration
(A359)]]</f>
        <v>0</v>
      </c>
      <c r="R505" s="307">
        <f>IFERROR(VLOOKUP(Table24[[#This Row],[ROUTE]],PRICING!A:B,2,FALSE),0)</f>
        <v>0</v>
      </c>
      <c r="S505" s="308">
        <f>Table24[[#This Row],[C_DEMAND]]-Table24[[#This Row],[R-DEMAND]]</f>
        <v>0</v>
      </c>
      <c r="T505" s="307">
        <f>Table24[[#This Row],[SEATS SOLD]]*Table24[[#This Row],[ECO SEAT]]</f>
        <v>0</v>
      </c>
      <c r="U505" s="307">
        <f>Table24[[#This Row],[SEATS SOLD]]*(IFERROR(VLOOKUP(Table24[[#This Row],[ROUTE]],PRICING!A:C,3,FALSE),0))</f>
        <v>0</v>
      </c>
      <c r="V505" s="307">
        <f>Table24[[#This Row],[SEAT REV]]-Table24[[#This Row],[SEAT REV
(IF IDEAL $)]]</f>
        <v>0</v>
      </c>
    </row>
    <row r="506" spans="1:22" customFormat="1" x14ac:dyDescent="0.25">
      <c r="A506" s="306" t="s">
        <v>17973</v>
      </c>
      <c r="B506" s="306" t="s">
        <v>2207</v>
      </c>
      <c r="C506" s="306"/>
      <c r="D506" s="26">
        <v>1</v>
      </c>
      <c r="E506" s="312" t="s">
        <v>11732</v>
      </c>
      <c r="F506" s="306" t="str">
        <f>VLOOKUP(Table24[[#This Row],[Country]],Table10[[COUNTRY NAME]:[CONTINENT CODE]],3,FALSE)</f>
        <v>NA - US</v>
      </c>
      <c r="G506" s="312" t="s">
        <v>13317</v>
      </c>
      <c r="H506" s="309">
        <v>2793</v>
      </c>
      <c r="I506" s="310">
        <v>8.25</v>
      </c>
      <c r="J506" s="307"/>
      <c r="K506" s="307">
        <f>IFERROR(Table24[[#This Row],[ROUTE COST]]/Table24[[#This Row],[O - DEMAND]],0)</f>
        <v>0</v>
      </c>
      <c r="L506" s="306"/>
      <c r="M506" s="310">
        <f>Table24[[#This Row],[O - DEMAND]]/950</f>
        <v>0</v>
      </c>
      <c r="N506" s="306">
        <f>IFERROR(VLOOKUP(Table24[[#This Row],[ROUTE]],DEMAND!A:F,5,FALSE),0)</f>
        <v>0</v>
      </c>
      <c r="O506" s="306">
        <f>IFERROR(VLOOKUP(Table24[[#This Row],[ROUTE]],DEMAND!A:F,6,FALSE),0)</f>
        <v>0</v>
      </c>
      <c r="P506" s="306">
        <f>ROUNDDOWN(Table24[[#This Row],[R-DEMAND]]/950,0)</f>
        <v>0</v>
      </c>
      <c r="Q506" s="306">
        <f>Table24[[#This Row],[ADD ACC
(475/950)]]*Table24[[#This Row],[Duration
(A359)]]</f>
        <v>0</v>
      </c>
      <c r="R506" s="307">
        <f>IFERROR(VLOOKUP(Table24[[#This Row],[ROUTE]],PRICING!A:B,2,FALSE),0)</f>
        <v>0</v>
      </c>
      <c r="S506" s="308">
        <f>Table24[[#This Row],[C_DEMAND]]-Table24[[#This Row],[R-DEMAND]]</f>
        <v>0</v>
      </c>
      <c r="T506" s="307">
        <f>Table24[[#This Row],[SEATS SOLD]]*Table24[[#This Row],[ECO SEAT]]</f>
        <v>0</v>
      </c>
      <c r="U506" s="307">
        <f>Table24[[#This Row],[SEATS SOLD]]*(IFERROR(VLOOKUP(Table24[[#This Row],[ROUTE]],PRICING!A:C,3,FALSE),0))</f>
        <v>0</v>
      </c>
      <c r="V506" s="307">
        <f>Table24[[#This Row],[SEAT REV]]-Table24[[#This Row],[SEAT REV
(IF IDEAL $)]]</f>
        <v>0</v>
      </c>
    </row>
    <row r="507" spans="1:22" customFormat="1" x14ac:dyDescent="0.25">
      <c r="A507" s="306" t="s">
        <v>17972</v>
      </c>
      <c r="B507" s="306" t="s">
        <v>811</v>
      </c>
      <c r="C507" s="306"/>
      <c r="D507" s="26">
        <v>1</v>
      </c>
      <c r="E507" s="312" t="s">
        <v>11732</v>
      </c>
      <c r="F507" s="306" t="str">
        <f>VLOOKUP(Table24[[#This Row],[Country]],Table10[[COUNTRY NAME]:[CONTINENT CODE]],3,FALSE)</f>
        <v>NA - US</v>
      </c>
      <c r="G507" s="312" t="s">
        <v>13323</v>
      </c>
      <c r="H507" s="309">
        <v>2798</v>
      </c>
      <c r="I507" s="310">
        <v>8.25</v>
      </c>
      <c r="J507" s="307"/>
      <c r="K507" s="307">
        <f>IFERROR(Table24[[#This Row],[ROUTE COST]]/Table24[[#This Row],[O - DEMAND]],0)</f>
        <v>0</v>
      </c>
      <c r="L507" s="306"/>
      <c r="M507" s="310">
        <f>Table24[[#This Row],[O - DEMAND]]/950</f>
        <v>0</v>
      </c>
      <c r="N507" s="306">
        <f>IFERROR(VLOOKUP(Table24[[#This Row],[ROUTE]],DEMAND!A:F,5,FALSE),0)</f>
        <v>0</v>
      </c>
      <c r="O507" s="306">
        <f>IFERROR(VLOOKUP(Table24[[#This Row],[ROUTE]],DEMAND!A:F,6,FALSE),0)</f>
        <v>0</v>
      </c>
      <c r="P507" s="306">
        <f>ROUNDDOWN(Table24[[#This Row],[R-DEMAND]]/950,0)</f>
        <v>0</v>
      </c>
      <c r="Q507" s="306">
        <f>Table24[[#This Row],[ADD ACC
(475/950)]]*Table24[[#This Row],[Duration
(A359)]]</f>
        <v>0</v>
      </c>
      <c r="R507" s="307">
        <f>IFERROR(VLOOKUP(Table24[[#This Row],[ROUTE]],PRICING!A:B,2,FALSE),0)</f>
        <v>0</v>
      </c>
      <c r="S507" s="308">
        <f>Table24[[#This Row],[C_DEMAND]]-Table24[[#This Row],[R-DEMAND]]</f>
        <v>0</v>
      </c>
      <c r="T507" s="307">
        <f>Table24[[#This Row],[SEATS SOLD]]*Table24[[#This Row],[ECO SEAT]]</f>
        <v>0</v>
      </c>
      <c r="U507" s="307">
        <f>Table24[[#This Row],[SEATS SOLD]]*(IFERROR(VLOOKUP(Table24[[#This Row],[ROUTE]],PRICING!A:C,3,FALSE),0))</f>
        <v>0</v>
      </c>
      <c r="V507" s="307">
        <f>Table24[[#This Row],[SEAT REV]]-Table24[[#This Row],[SEAT REV
(IF IDEAL $)]]</f>
        <v>0</v>
      </c>
    </row>
    <row r="508" spans="1:22" customFormat="1" x14ac:dyDescent="0.25">
      <c r="A508" s="306" t="s">
        <v>17974</v>
      </c>
      <c r="B508" s="306" t="s">
        <v>937</v>
      </c>
      <c r="C508" s="306"/>
      <c r="D508" s="26">
        <v>1</v>
      </c>
      <c r="E508" s="312" t="s">
        <v>11732</v>
      </c>
      <c r="F508" s="306" t="str">
        <f>VLOOKUP(Table24[[#This Row],[Country]],Table10[[COUNTRY NAME]:[CONTINENT CODE]],3,FALSE)</f>
        <v>NA - US</v>
      </c>
      <c r="G508" s="312" t="s">
        <v>13332</v>
      </c>
      <c r="H508" s="309">
        <v>2748</v>
      </c>
      <c r="I508" s="310">
        <v>8.25</v>
      </c>
      <c r="J508" s="307"/>
      <c r="K508" s="307">
        <f>IFERROR(Table24[[#This Row],[ROUTE COST]]/Table24[[#This Row],[O - DEMAND]],0)</f>
        <v>0</v>
      </c>
      <c r="L508" s="306"/>
      <c r="M508" s="310">
        <f>Table24[[#This Row],[O - DEMAND]]/950</f>
        <v>0</v>
      </c>
      <c r="N508" s="306">
        <f>IFERROR(VLOOKUP(Table24[[#This Row],[ROUTE]],DEMAND!A:F,5,FALSE),0)</f>
        <v>0</v>
      </c>
      <c r="O508" s="306">
        <f>IFERROR(VLOOKUP(Table24[[#This Row],[ROUTE]],DEMAND!A:F,6,FALSE),0)</f>
        <v>0</v>
      </c>
      <c r="P508" s="306">
        <f>ROUNDDOWN(Table24[[#This Row],[R-DEMAND]]/950,0)</f>
        <v>0</v>
      </c>
      <c r="Q508" s="306">
        <f>Table24[[#This Row],[ADD ACC
(475/950)]]*Table24[[#This Row],[Duration
(A359)]]</f>
        <v>0</v>
      </c>
      <c r="R508" s="307">
        <f>IFERROR(VLOOKUP(Table24[[#This Row],[ROUTE]],PRICING!A:B,2,FALSE),0)</f>
        <v>0</v>
      </c>
      <c r="S508" s="308">
        <f>Table24[[#This Row],[C_DEMAND]]-Table24[[#This Row],[R-DEMAND]]</f>
        <v>0</v>
      </c>
      <c r="T508" s="307">
        <f>Table24[[#This Row],[SEATS SOLD]]*Table24[[#This Row],[ECO SEAT]]</f>
        <v>0</v>
      </c>
      <c r="U508" s="307">
        <f>Table24[[#This Row],[SEATS SOLD]]*(IFERROR(VLOOKUP(Table24[[#This Row],[ROUTE]],PRICING!A:C,3,FALSE),0))</f>
        <v>0</v>
      </c>
      <c r="V508" s="307">
        <f>Table24[[#This Row],[SEAT REV]]-Table24[[#This Row],[SEAT REV
(IF IDEAL $)]]</f>
        <v>0</v>
      </c>
    </row>
    <row r="509" spans="1:22" customFormat="1" x14ac:dyDescent="0.25">
      <c r="A509" s="306" t="s">
        <v>18002</v>
      </c>
      <c r="B509" s="306" t="s">
        <v>4361</v>
      </c>
      <c r="C509" s="306"/>
      <c r="D509" s="26"/>
      <c r="E509" s="312" t="s">
        <v>11732</v>
      </c>
      <c r="F509" s="306" t="str">
        <f>VLOOKUP(Table24[[#This Row],[Country]],Table10[[COUNTRY NAME]:[CONTINENT CODE]],3,FALSE)</f>
        <v>NA - US</v>
      </c>
      <c r="G509" s="312" t="s">
        <v>17001</v>
      </c>
      <c r="H509" s="309">
        <v>2737</v>
      </c>
      <c r="I509" s="310">
        <v>8.25</v>
      </c>
      <c r="J509" s="307"/>
      <c r="K509" s="307">
        <f>IFERROR(Table24[[#This Row],[ROUTE COST]]/Table24[[#This Row],[O - DEMAND]],0)</f>
        <v>0</v>
      </c>
      <c r="L509" s="306"/>
      <c r="M509" s="310">
        <f>Table24[[#This Row],[O - DEMAND]]/950</f>
        <v>0</v>
      </c>
      <c r="N509" s="306">
        <f>IFERROR(VLOOKUP(Table24[[#This Row],[ROUTE]],DEMAND!A:F,5,FALSE),0)</f>
        <v>0</v>
      </c>
      <c r="O509" s="306">
        <f>IFERROR(VLOOKUP(Table24[[#This Row],[ROUTE]],DEMAND!A:F,6,FALSE),0)</f>
        <v>0</v>
      </c>
      <c r="P509" s="306">
        <f>ROUNDDOWN(Table24[[#This Row],[R-DEMAND]]/950,0)</f>
        <v>0</v>
      </c>
      <c r="Q509" s="306">
        <f>Table24[[#This Row],[ADD ACC
(475/950)]]*Table24[[#This Row],[Duration
(A359)]]</f>
        <v>0</v>
      </c>
      <c r="R509" s="307">
        <f>IFERROR(VLOOKUP(Table24[[#This Row],[ROUTE]],PRICING!A:B,2,FALSE),0)</f>
        <v>0</v>
      </c>
      <c r="S509" s="308">
        <f>Table24[[#This Row],[C_DEMAND]]-Table24[[#This Row],[R-DEMAND]]</f>
        <v>0</v>
      </c>
      <c r="T509" s="307">
        <f>Table24[[#This Row],[SEATS SOLD]]*Table24[[#This Row],[ECO SEAT]]</f>
        <v>0</v>
      </c>
      <c r="U509" s="307">
        <f>Table24[[#This Row],[SEATS SOLD]]*(IFERROR(VLOOKUP(Table24[[#This Row],[ROUTE]],PRICING!A:C,3,FALSE),0))</f>
        <v>0</v>
      </c>
      <c r="V509" s="307">
        <f>Table24[[#This Row],[SEAT REV]]-Table24[[#This Row],[SEAT REV
(IF IDEAL $)]]</f>
        <v>0</v>
      </c>
    </row>
    <row r="510" spans="1:22" customFormat="1" x14ac:dyDescent="0.25">
      <c r="A510" s="306" t="s">
        <v>17862</v>
      </c>
      <c r="B510" s="306" t="s">
        <v>5565</v>
      </c>
      <c r="C510" s="306"/>
      <c r="D510" s="26">
        <v>4</v>
      </c>
      <c r="E510" s="312" t="s">
        <v>11732</v>
      </c>
      <c r="F510" s="306" t="str">
        <f>VLOOKUP(Table24[[#This Row],[Country]],Table10[[COUNTRY NAME]:[CONTINENT CODE]],3,FALSE)</f>
        <v>NA - US</v>
      </c>
      <c r="G510" s="312" t="s">
        <v>17002</v>
      </c>
      <c r="H510" s="309">
        <v>2696</v>
      </c>
      <c r="I510" s="310">
        <v>8</v>
      </c>
      <c r="J510" s="307"/>
      <c r="K510" s="307">
        <f>IFERROR(Table24[[#This Row],[ROUTE COST]]/Table24[[#This Row],[O - DEMAND]],0)</f>
        <v>0</v>
      </c>
      <c r="L510" s="306"/>
      <c r="M510" s="310">
        <f>Table24[[#This Row],[O - DEMAND]]/950</f>
        <v>0</v>
      </c>
      <c r="N510" s="306">
        <f>IFERROR(VLOOKUP(Table24[[#This Row],[ROUTE]],DEMAND!A:F,5,FALSE),0)</f>
        <v>0</v>
      </c>
      <c r="O510" s="306">
        <f>IFERROR(VLOOKUP(Table24[[#This Row],[ROUTE]],DEMAND!A:F,6,FALSE),0)</f>
        <v>0</v>
      </c>
      <c r="P510" s="306">
        <f>ROUNDDOWN(Table24[[#This Row],[R-DEMAND]]/950,0)</f>
        <v>0</v>
      </c>
      <c r="Q510" s="306">
        <f>Table24[[#This Row],[ADD ACC
(475/950)]]*Table24[[#This Row],[Duration
(A359)]]</f>
        <v>0</v>
      </c>
      <c r="R510" s="307">
        <f>IFERROR(VLOOKUP(Table24[[#This Row],[ROUTE]],PRICING!A:B,2,FALSE),0)</f>
        <v>0</v>
      </c>
      <c r="S510" s="308">
        <f>Table24[[#This Row],[C_DEMAND]]-Table24[[#This Row],[R-DEMAND]]</f>
        <v>0</v>
      </c>
      <c r="T510" s="307">
        <f>Table24[[#This Row],[SEATS SOLD]]*Table24[[#This Row],[ECO SEAT]]</f>
        <v>0</v>
      </c>
      <c r="U510" s="307">
        <f>Table24[[#This Row],[SEATS SOLD]]*(IFERROR(VLOOKUP(Table24[[#This Row],[ROUTE]],PRICING!A:C,3,FALSE),0))</f>
        <v>0</v>
      </c>
      <c r="V510" s="307">
        <f>Table24[[#This Row],[SEAT REV]]-Table24[[#This Row],[SEAT REV
(IF IDEAL $)]]</f>
        <v>0</v>
      </c>
    </row>
    <row r="511" spans="1:22" customFormat="1" x14ac:dyDescent="0.25">
      <c r="A511" s="306" t="s">
        <v>17861</v>
      </c>
      <c r="B511" s="306" t="s">
        <v>5499</v>
      </c>
      <c r="C511" s="306"/>
      <c r="D511" s="26">
        <v>4</v>
      </c>
      <c r="E511" s="312" t="s">
        <v>11732</v>
      </c>
      <c r="F511" s="306" t="str">
        <f>VLOOKUP(Table24[[#This Row],[Country]],Table10[[COUNTRY NAME]:[CONTINENT CODE]],3,FALSE)</f>
        <v>NA - US</v>
      </c>
      <c r="G511" s="312" t="s">
        <v>13322</v>
      </c>
      <c r="H511" s="309">
        <v>2708</v>
      </c>
      <c r="I511" s="310">
        <v>8</v>
      </c>
      <c r="J511" s="307"/>
      <c r="K511" s="307">
        <f>IFERROR(Table24[[#This Row],[ROUTE COST]]/Table24[[#This Row],[O - DEMAND]],0)</f>
        <v>0</v>
      </c>
      <c r="L511" s="306"/>
      <c r="M511" s="310">
        <f>Table24[[#This Row],[O - DEMAND]]/950</f>
        <v>0</v>
      </c>
      <c r="N511" s="306">
        <f>IFERROR(VLOOKUP(Table24[[#This Row],[ROUTE]],DEMAND!A:F,5,FALSE),0)</f>
        <v>0</v>
      </c>
      <c r="O511" s="306">
        <f>IFERROR(VLOOKUP(Table24[[#This Row],[ROUTE]],DEMAND!A:F,6,FALSE),0)</f>
        <v>0</v>
      </c>
      <c r="P511" s="306">
        <f>ROUNDDOWN(Table24[[#This Row],[R-DEMAND]]/950,0)</f>
        <v>0</v>
      </c>
      <c r="Q511" s="306">
        <f>Table24[[#This Row],[ADD ACC
(475/950)]]*Table24[[#This Row],[Duration
(A359)]]</f>
        <v>0</v>
      </c>
      <c r="R511" s="307">
        <f>IFERROR(VLOOKUP(Table24[[#This Row],[ROUTE]],PRICING!A:B,2,FALSE),0)</f>
        <v>0</v>
      </c>
      <c r="S511" s="308">
        <f>Table24[[#This Row],[C_DEMAND]]-Table24[[#This Row],[R-DEMAND]]</f>
        <v>0</v>
      </c>
      <c r="T511" s="307">
        <f>Table24[[#This Row],[SEATS SOLD]]*Table24[[#This Row],[ECO SEAT]]</f>
        <v>0</v>
      </c>
      <c r="U511" s="307">
        <f>Table24[[#This Row],[SEATS SOLD]]*(IFERROR(VLOOKUP(Table24[[#This Row],[ROUTE]],PRICING!A:C,3,FALSE),0))</f>
        <v>0</v>
      </c>
      <c r="V511" s="307">
        <f>Table24[[#This Row],[SEAT REV]]-Table24[[#This Row],[SEAT REV
(IF IDEAL $)]]</f>
        <v>0</v>
      </c>
    </row>
    <row r="512" spans="1:22" customFormat="1" x14ac:dyDescent="0.25">
      <c r="A512" s="306" t="s">
        <v>17894</v>
      </c>
      <c r="B512" s="306" t="s">
        <v>5074</v>
      </c>
      <c r="C512" s="306"/>
      <c r="D512" s="26">
        <v>3</v>
      </c>
      <c r="E512" s="312" t="s">
        <v>11732</v>
      </c>
      <c r="F512" s="306" t="str">
        <f>VLOOKUP(Table24[[#This Row],[Country]],Table10[[COUNTRY NAME]:[CONTINENT CODE]],3,FALSE)</f>
        <v>NA - US</v>
      </c>
      <c r="G512" s="312" t="s">
        <v>13325</v>
      </c>
      <c r="H512" s="309">
        <v>2633</v>
      </c>
      <c r="I512" s="310">
        <v>8</v>
      </c>
      <c r="J512" s="307"/>
      <c r="K512" s="307">
        <f>IFERROR(Table24[[#This Row],[ROUTE COST]]/Table24[[#This Row],[O - DEMAND]],0)</f>
        <v>0</v>
      </c>
      <c r="L512" s="306"/>
      <c r="M512" s="310">
        <f>Table24[[#This Row],[O - DEMAND]]/950</f>
        <v>0</v>
      </c>
      <c r="N512" s="306">
        <f>IFERROR(VLOOKUP(Table24[[#This Row],[ROUTE]],DEMAND!A:F,5,FALSE),0)</f>
        <v>0</v>
      </c>
      <c r="O512" s="306">
        <f>IFERROR(VLOOKUP(Table24[[#This Row],[ROUTE]],DEMAND!A:F,6,FALSE),0)</f>
        <v>0</v>
      </c>
      <c r="P512" s="306">
        <f>ROUNDDOWN(Table24[[#This Row],[R-DEMAND]]/950,0)</f>
        <v>0</v>
      </c>
      <c r="Q512" s="306">
        <f>Table24[[#This Row],[ADD ACC
(475/950)]]*Table24[[#This Row],[Duration
(A359)]]</f>
        <v>0</v>
      </c>
      <c r="R512" s="307">
        <f>IFERROR(VLOOKUP(Table24[[#This Row],[ROUTE]],PRICING!A:B,2,FALSE),0)</f>
        <v>0</v>
      </c>
      <c r="S512" s="308">
        <f>Table24[[#This Row],[C_DEMAND]]-Table24[[#This Row],[R-DEMAND]]</f>
        <v>0</v>
      </c>
      <c r="T512" s="307">
        <f>Table24[[#This Row],[SEATS SOLD]]*Table24[[#This Row],[ECO SEAT]]</f>
        <v>0</v>
      </c>
      <c r="U512" s="307">
        <f>Table24[[#This Row],[SEATS SOLD]]*(IFERROR(VLOOKUP(Table24[[#This Row],[ROUTE]],PRICING!A:C,3,FALSE),0))</f>
        <v>0</v>
      </c>
      <c r="V512" s="307">
        <f>Table24[[#This Row],[SEAT REV]]-Table24[[#This Row],[SEAT REV
(IF IDEAL $)]]</f>
        <v>0</v>
      </c>
    </row>
    <row r="513" spans="1:22" customFormat="1" x14ac:dyDescent="0.25">
      <c r="A513" s="306" t="s">
        <v>17893</v>
      </c>
      <c r="B513" s="306" t="s">
        <v>5192</v>
      </c>
      <c r="C513" s="306"/>
      <c r="D513" s="26">
        <v>3</v>
      </c>
      <c r="E513" s="312" t="s">
        <v>11732</v>
      </c>
      <c r="F513" s="306" t="str">
        <f>VLOOKUP(Table24[[#This Row],[Country]],Table10[[COUNTRY NAME]:[CONTINENT CODE]],3,FALSE)</f>
        <v>NA - US</v>
      </c>
      <c r="G513" s="312" t="s">
        <v>13338</v>
      </c>
      <c r="H513" s="309">
        <v>2709</v>
      </c>
      <c r="I513" s="310">
        <v>8</v>
      </c>
      <c r="J513" s="307"/>
      <c r="K513" s="307">
        <f>IFERROR(Table24[[#This Row],[ROUTE COST]]/Table24[[#This Row],[O - DEMAND]],0)</f>
        <v>0</v>
      </c>
      <c r="L513" s="306"/>
      <c r="M513" s="310">
        <f>Table24[[#This Row],[O - DEMAND]]/950</f>
        <v>0</v>
      </c>
      <c r="N513" s="306">
        <f>IFERROR(VLOOKUP(Table24[[#This Row],[ROUTE]],DEMAND!A:F,5,FALSE),0)</f>
        <v>0</v>
      </c>
      <c r="O513" s="306">
        <f>IFERROR(VLOOKUP(Table24[[#This Row],[ROUTE]],DEMAND!A:F,6,FALSE),0)</f>
        <v>0</v>
      </c>
      <c r="P513" s="306">
        <f>ROUNDDOWN(Table24[[#This Row],[R-DEMAND]]/950,0)</f>
        <v>0</v>
      </c>
      <c r="Q513" s="306">
        <f>Table24[[#This Row],[ADD ACC
(475/950)]]*Table24[[#This Row],[Duration
(A359)]]</f>
        <v>0</v>
      </c>
      <c r="R513" s="307">
        <f>IFERROR(VLOOKUP(Table24[[#This Row],[ROUTE]],PRICING!A:B,2,FALSE),0)</f>
        <v>0</v>
      </c>
      <c r="S513" s="308">
        <f>Table24[[#This Row],[C_DEMAND]]-Table24[[#This Row],[R-DEMAND]]</f>
        <v>0</v>
      </c>
      <c r="T513" s="307">
        <f>Table24[[#This Row],[SEATS SOLD]]*Table24[[#This Row],[ECO SEAT]]</f>
        <v>0</v>
      </c>
      <c r="U513" s="307">
        <f>Table24[[#This Row],[SEATS SOLD]]*(IFERROR(VLOOKUP(Table24[[#This Row],[ROUTE]],PRICING!A:C,3,FALSE),0))</f>
        <v>0</v>
      </c>
      <c r="V513" s="307">
        <f>Table24[[#This Row],[SEAT REV]]-Table24[[#This Row],[SEAT REV
(IF IDEAL $)]]</f>
        <v>0</v>
      </c>
    </row>
    <row r="514" spans="1:22" customFormat="1" x14ac:dyDescent="0.25">
      <c r="A514" s="306" t="s">
        <v>17795</v>
      </c>
      <c r="B514" s="306" t="s">
        <v>4025</v>
      </c>
      <c r="C514" s="306"/>
      <c r="D514" s="26">
        <v>2</v>
      </c>
      <c r="E514" s="312" t="s">
        <v>1749</v>
      </c>
      <c r="F514" s="306" t="str">
        <f>VLOOKUP(Table24[[#This Row],[Country]],Table10[[COUNTRY NAME]:[CONTINENT CODE]],3,FALSE)</f>
        <v>NA</v>
      </c>
      <c r="G514" s="312" t="s">
        <v>17003</v>
      </c>
      <c r="H514" s="309">
        <v>2693</v>
      </c>
      <c r="I514" s="310">
        <v>8</v>
      </c>
      <c r="J514" s="307"/>
      <c r="K514" s="307">
        <f>IFERROR(Table24[[#This Row],[ROUTE COST]]/Table24[[#This Row],[O - DEMAND]],0)</f>
        <v>0</v>
      </c>
      <c r="L514" s="306"/>
      <c r="M514" s="310">
        <f>Table24[[#This Row],[O - DEMAND]]/950</f>
        <v>0</v>
      </c>
      <c r="N514" s="306">
        <f>IFERROR(VLOOKUP(Table24[[#This Row],[ROUTE]],DEMAND!A:F,5,FALSE),0)</f>
        <v>0</v>
      </c>
      <c r="O514" s="306">
        <f>IFERROR(VLOOKUP(Table24[[#This Row],[ROUTE]],DEMAND!A:F,6,FALSE),0)</f>
        <v>0</v>
      </c>
      <c r="P514" s="306">
        <f>ROUNDDOWN(Table24[[#This Row],[R-DEMAND]]/950,0)</f>
        <v>0</v>
      </c>
      <c r="Q514" s="306">
        <f>Table24[[#This Row],[ADD ACC
(475/950)]]*Table24[[#This Row],[Duration
(A359)]]</f>
        <v>0</v>
      </c>
      <c r="R514" s="307">
        <f>IFERROR(VLOOKUP(Table24[[#This Row],[ROUTE]],PRICING!A:B,2,FALSE),0)</f>
        <v>0</v>
      </c>
      <c r="S514" s="308">
        <f>Table24[[#This Row],[C_DEMAND]]-Table24[[#This Row],[R-DEMAND]]</f>
        <v>0</v>
      </c>
      <c r="T514" s="307">
        <f>Table24[[#This Row],[SEATS SOLD]]*Table24[[#This Row],[ECO SEAT]]</f>
        <v>0</v>
      </c>
      <c r="U514" s="307">
        <f>Table24[[#This Row],[SEATS SOLD]]*(IFERROR(VLOOKUP(Table24[[#This Row],[ROUTE]],PRICING!A:C,3,FALSE),0))</f>
        <v>0</v>
      </c>
      <c r="V514" s="307">
        <f>Table24[[#This Row],[SEAT REV]]-Table24[[#This Row],[SEAT REV
(IF IDEAL $)]]</f>
        <v>0</v>
      </c>
    </row>
    <row r="515" spans="1:22" customFormat="1" x14ac:dyDescent="0.25">
      <c r="A515" s="306" t="s">
        <v>17943</v>
      </c>
      <c r="B515" s="306" t="s">
        <v>2735</v>
      </c>
      <c r="C515" s="306"/>
      <c r="D515" s="26">
        <v>2</v>
      </c>
      <c r="E515" s="312" t="s">
        <v>11732</v>
      </c>
      <c r="F515" s="306" t="str">
        <f>VLOOKUP(Table24[[#This Row],[Country]],Table10[[COUNTRY NAME]:[CONTINENT CODE]],3,FALSE)</f>
        <v>NA - US</v>
      </c>
      <c r="G515" s="312" t="s">
        <v>13339</v>
      </c>
      <c r="H515" s="309">
        <v>2728</v>
      </c>
      <c r="I515" s="310">
        <v>8</v>
      </c>
      <c r="J515" s="307"/>
      <c r="K515" s="307">
        <f>IFERROR(Table24[[#This Row],[ROUTE COST]]/Table24[[#This Row],[O - DEMAND]],0)</f>
        <v>0</v>
      </c>
      <c r="L515" s="306"/>
      <c r="M515" s="310">
        <f>Table24[[#This Row],[O - DEMAND]]/950</f>
        <v>0</v>
      </c>
      <c r="N515" s="306">
        <f>IFERROR(VLOOKUP(Table24[[#This Row],[ROUTE]],DEMAND!A:F,5,FALSE),0)</f>
        <v>0</v>
      </c>
      <c r="O515" s="306">
        <f>IFERROR(VLOOKUP(Table24[[#This Row],[ROUTE]],DEMAND!A:F,6,FALSE),0)</f>
        <v>0</v>
      </c>
      <c r="P515" s="306">
        <f>ROUNDDOWN(Table24[[#This Row],[R-DEMAND]]/950,0)</f>
        <v>0</v>
      </c>
      <c r="Q515" s="306">
        <f>Table24[[#This Row],[ADD ACC
(475/950)]]*Table24[[#This Row],[Duration
(A359)]]</f>
        <v>0</v>
      </c>
      <c r="R515" s="307">
        <f>IFERROR(VLOOKUP(Table24[[#This Row],[ROUTE]],PRICING!A:B,2,FALSE),0)</f>
        <v>0</v>
      </c>
      <c r="S515" s="308">
        <f>Table24[[#This Row],[C_DEMAND]]-Table24[[#This Row],[R-DEMAND]]</f>
        <v>0</v>
      </c>
      <c r="T515" s="307">
        <f>Table24[[#This Row],[SEATS SOLD]]*Table24[[#This Row],[ECO SEAT]]</f>
        <v>0</v>
      </c>
      <c r="U515" s="307">
        <f>Table24[[#This Row],[SEATS SOLD]]*(IFERROR(VLOOKUP(Table24[[#This Row],[ROUTE]],PRICING!A:C,3,FALSE),0))</f>
        <v>0</v>
      </c>
      <c r="V515" s="307">
        <f>Table24[[#This Row],[SEAT REV]]-Table24[[#This Row],[SEAT REV
(IF IDEAL $)]]</f>
        <v>0</v>
      </c>
    </row>
    <row r="516" spans="1:22" customFormat="1" x14ac:dyDescent="0.25">
      <c r="A516" s="306" t="s">
        <v>17977</v>
      </c>
      <c r="B516" s="306" t="s">
        <v>1364</v>
      </c>
      <c r="C516" s="306"/>
      <c r="D516" s="26">
        <v>1</v>
      </c>
      <c r="E516" s="312" t="s">
        <v>11732</v>
      </c>
      <c r="F516" s="306" t="str">
        <f>VLOOKUP(Table24[[#This Row],[Country]],Table10[[COUNTRY NAME]:[CONTINENT CODE]],3,FALSE)</f>
        <v>NA - US</v>
      </c>
      <c r="G516" s="312" t="s">
        <v>17008</v>
      </c>
      <c r="H516" s="309">
        <v>2622</v>
      </c>
      <c r="I516" s="310">
        <v>8</v>
      </c>
      <c r="J516" s="307"/>
      <c r="K516" s="307">
        <f>IFERROR(Table24[[#This Row],[ROUTE COST]]/Table24[[#This Row],[O - DEMAND]],0)</f>
        <v>0</v>
      </c>
      <c r="L516" s="306"/>
      <c r="M516" s="310">
        <f>Table24[[#This Row],[O - DEMAND]]/950</f>
        <v>0</v>
      </c>
      <c r="N516" s="306">
        <f>IFERROR(VLOOKUP(Table24[[#This Row],[ROUTE]],DEMAND!A:F,5,FALSE),0)</f>
        <v>0</v>
      </c>
      <c r="O516" s="306">
        <f>IFERROR(VLOOKUP(Table24[[#This Row],[ROUTE]],DEMAND!A:F,6,FALSE),0)</f>
        <v>0</v>
      </c>
      <c r="P516" s="306">
        <f>ROUNDDOWN(Table24[[#This Row],[R-DEMAND]]/950,0)</f>
        <v>0</v>
      </c>
      <c r="Q516" s="306">
        <f>Table24[[#This Row],[ADD ACC
(475/950)]]*Table24[[#This Row],[Duration
(A359)]]</f>
        <v>0</v>
      </c>
      <c r="R516" s="307">
        <f>IFERROR(VLOOKUP(Table24[[#This Row],[ROUTE]],PRICING!A:B,2,FALSE),0)</f>
        <v>0</v>
      </c>
      <c r="S516" s="308">
        <f>Table24[[#This Row],[C_DEMAND]]-Table24[[#This Row],[R-DEMAND]]</f>
        <v>0</v>
      </c>
      <c r="T516" s="307">
        <f>Table24[[#This Row],[SEATS SOLD]]*Table24[[#This Row],[ECO SEAT]]</f>
        <v>0</v>
      </c>
      <c r="U516" s="307">
        <f>Table24[[#This Row],[SEATS SOLD]]*(IFERROR(VLOOKUP(Table24[[#This Row],[ROUTE]],PRICING!A:C,3,FALSE),0))</f>
        <v>0</v>
      </c>
      <c r="V516" s="307">
        <f>Table24[[#This Row],[SEAT REV]]-Table24[[#This Row],[SEAT REV
(IF IDEAL $)]]</f>
        <v>0</v>
      </c>
    </row>
    <row r="517" spans="1:22" customFormat="1" x14ac:dyDescent="0.25">
      <c r="A517" s="306" t="s">
        <v>17975</v>
      </c>
      <c r="B517" s="306" t="s">
        <v>2132</v>
      </c>
      <c r="C517" s="306"/>
      <c r="D517" s="26">
        <v>1</v>
      </c>
      <c r="E517" s="312" t="s">
        <v>11732</v>
      </c>
      <c r="F517" s="306" t="str">
        <f>VLOOKUP(Table24[[#This Row],[Country]],Table10[[COUNTRY NAME]:[CONTINENT CODE]],3,FALSE)</f>
        <v>NA - US</v>
      </c>
      <c r="G517" s="312" t="s">
        <v>13327</v>
      </c>
      <c r="H517" s="309">
        <v>2714</v>
      </c>
      <c r="I517" s="310">
        <v>8</v>
      </c>
      <c r="J517" s="307"/>
      <c r="K517" s="307">
        <f>IFERROR(Table24[[#This Row],[ROUTE COST]]/Table24[[#This Row],[O - DEMAND]],0)</f>
        <v>0</v>
      </c>
      <c r="L517" s="306"/>
      <c r="M517" s="310">
        <f>Table24[[#This Row],[O - DEMAND]]/950</f>
        <v>0</v>
      </c>
      <c r="N517" s="306">
        <f>IFERROR(VLOOKUP(Table24[[#This Row],[ROUTE]],DEMAND!A:F,5,FALSE),0)</f>
        <v>0</v>
      </c>
      <c r="O517" s="306">
        <f>IFERROR(VLOOKUP(Table24[[#This Row],[ROUTE]],DEMAND!A:F,6,FALSE),0)</f>
        <v>0</v>
      </c>
      <c r="P517" s="306">
        <f>ROUNDDOWN(Table24[[#This Row],[R-DEMAND]]/950,0)</f>
        <v>0</v>
      </c>
      <c r="Q517" s="306">
        <f>Table24[[#This Row],[ADD ACC
(475/950)]]*Table24[[#This Row],[Duration
(A359)]]</f>
        <v>0</v>
      </c>
      <c r="R517" s="307">
        <f>IFERROR(VLOOKUP(Table24[[#This Row],[ROUTE]],PRICING!A:B,2,FALSE),0)</f>
        <v>0</v>
      </c>
      <c r="S517" s="308">
        <f>Table24[[#This Row],[C_DEMAND]]-Table24[[#This Row],[R-DEMAND]]</f>
        <v>0</v>
      </c>
      <c r="T517" s="307">
        <f>Table24[[#This Row],[SEATS SOLD]]*Table24[[#This Row],[ECO SEAT]]</f>
        <v>0</v>
      </c>
      <c r="U517" s="307">
        <f>Table24[[#This Row],[SEATS SOLD]]*(IFERROR(VLOOKUP(Table24[[#This Row],[ROUTE]],PRICING!A:C,3,FALSE),0))</f>
        <v>0</v>
      </c>
      <c r="V517" s="307">
        <f>Table24[[#This Row],[SEAT REV]]-Table24[[#This Row],[SEAT REV
(IF IDEAL $)]]</f>
        <v>0</v>
      </c>
    </row>
    <row r="518" spans="1:22" customFormat="1" x14ac:dyDescent="0.25">
      <c r="A518" s="306" t="s">
        <v>17976</v>
      </c>
      <c r="B518" s="306" t="s">
        <v>1805</v>
      </c>
      <c r="C518" s="306"/>
      <c r="D518" s="26">
        <v>1</v>
      </c>
      <c r="E518" s="312" t="s">
        <v>11732</v>
      </c>
      <c r="F518" s="306" t="str">
        <f>VLOOKUP(Table24[[#This Row],[Country]],Table10[[COUNTRY NAME]:[CONTINENT CODE]],3,FALSE)</f>
        <v>NA - US</v>
      </c>
      <c r="G518" s="312" t="s">
        <v>17007</v>
      </c>
      <c r="H518" s="309">
        <v>2645</v>
      </c>
      <c r="I518" s="310">
        <v>8</v>
      </c>
      <c r="J518" s="307"/>
      <c r="K518" s="307">
        <f>IFERROR(Table24[[#This Row],[ROUTE COST]]/Table24[[#This Row],[O - DEMAND]],0)</f>
        <v>0</v>
      </c>
      <c r="L518" s="306"/>
      <c r="M518" s="310">
        <f>Table24[[#This Row],[O - DEMAND]]/950</f>
        <v>0</v>
      </c>
      <c r="N518" s="306">
        <f>IFERROR(VLOOKUP(Table24[[#This Row],[ROUTE]],DEMAND!A:F,5,FALSE),0)</f>
        <v>0</v>
      </c>
      <c r="O518" s="306">
        <f>IFERROR(VLOOKUP(Table24[[#This Row],[ROUTE]],DEMAND!A:F,6,FALSE),0)</f>
        <v>0</v>
      </c>
      <c r="P518" s="306">
        <f>ROUNDDOWN(Table24[[#This Row],[R-DEMAND]]/950,0)</f>
        <v>0</v>
      </c>
      <c r="Q518" s="306">
        <f>Table24[[#This Row],[ADD ACC
(475/950)]]*Table24[[#This Row],[Duration
(A359)]]</f>
        <v>0</v>
      </c>
      <c r="R518" s="307">
        <f>IFERROR(VLOOKUP(Table24[[#This Row],[ROUTE]],PRICING!A:B,2,FALSE),0)</f>
        <v>0</v>
      </c>
      <c r="S518" s="308">
        <f>Table24[[#This Row],[C_DEMAND]]-Table24[[#This Row],[R-DEMAND]]</f>
        <v>0</v>
      </c>
      <c r="T518" s="307">
        <f>Table24[[#This Row],[SEATS SOLD]]*Table24[[#This Row],[ECO SEAT]]</f>
        <v>0</v>
      </c>
      <c r="U518" s="307">
        <f>Table24[[#This Row],[SEATS SOLD]]*(IFERROR(VLOOKUP(Table24[[#This Row],[ROUTE]],PRICING!A:C,3,FALSE),0))</f>
        <v>0</v>
      </c>
      <c r="V518" s="307">
        <f>Table24[[#This Row],[SEAT REV]]-Table24[[#This Row],[SEAT REV
(IF IDEAL $)]]</f>
        <v>0</v>
      </c>
    </row>
    <row r="519" spans="1:22" customFormat="1" x14ac:dyDescent="0.25">
      <c r="A519" s="306" t="s">
        <v>18004</v>
      </c>
      <c r="B519" s="306" t="s">
        <v>5027</v>
      </c>
      <c r="C519" s="306"/>
      <c r="D519" s="26"/>
      <c r="E519" s="312" t="s">
        <v>11732</v>
      </c>
      <c r="F519" s="306" t="str">
        <f>VLOOKUP(Table24[[#This Row],[Country]],Table10[[COUNTRY NAME]:[CONTINENT CODE]],3,FALSE)</f>
        <v>NA - US</v>
      </c>
      <c r="G519" s="312" t="s">
        <v>17005</v>
      </c>
      <c r="H519" s="309">
        <v>2664</v>
      </c>
      <c r="I519" s="310">
        <v>8</v>
      </c>
      <c r="J519" s="307"/>
      <c r="K519" s="307">
        <f>IFERROR(Table24[[#This Row],[ROUTE COST]]/Table24[[#This Row],[O - DEMAND]],0)</f>
        <v>0</v>
      </c>
      <c r="L519" s="306"/>
      <c r="M519" s="310">
        <f>Table24[[#This Row],[O - DEMAND]]/950</f>
        <v>0</v>
      </c>
      <c r="N519" s="306">
        <f>IFERROR(VLOOKUP(Table24[[#This Row],[ROUTE]],DEMAND!A:F,5,FALSE),0)</f>
        <v>0</v>
      </c>
      <c r="O519" s="306">
        <f>IFERROR(VLOOKUP(Table24[[#This Row],[ROUTE]],DEMAND!A:F,6,FALSE),0)</f>
        <v>0</v>
      </c>
      <c r="P519" s="306">
        <f>ROUNDDOWN(Table24[[#This Row],[R-DEMAND]]/950,0)</f>
        <v>0</v>
      </c>
      <c r="Q519" s="306">
        <f>Table24[[#This Row],[ADD ACC
(475/950)]]*Table24[[#This Row],[Duration
(A359)]]</f>
        <v>0</v>
      </c>
      <c r="R519" s="307">
        <f>IFERROR(VLOOKUP(Table24[[#This Row],[ROUTE]],PRICING!A:B,2,FALSE),0)</f>
        <v>0</v>
      </c>
      <c r="S519" s="308">
        <f>Table24[[#This Row],[C_DEMAND]]-Table24[[#This Row],[R-DEMAND]]</f>
        <v>0</v>
      </c>
      <c r="T519" s="307">
        <f>Table24[[#This Row],[SEATS SOLD]]*Table24[[#This Row],[ECO SEAT]]</f>
        <v>0</v>
      </c>
      <c r="U519" s="307">
        <f>Table24[[#This Row],[SEATS SOLD]]*(IFERROR(VLOOKUP(Table24[[#This Row],[ROUTE]],PRICING!A:C,3,FALSE),0))</f>
        <v>0</v>
      </c>
      <c r="V519" s="307">
        <f>Table24[[#This Row],[SEAT REV]]-Table24[[#This Row],[SEAT REV
(IF IDEAL $)]]</f>
        <v>0</v>
      </c>
    </row>
    <row r="520" spans="1:22" customFormat="1" x14ac:dyDescent="0.25">
      <c r="A520" s="306" t="s">
        <v>18005</v>
      </c>
      <c r="B520" s="306" t="s">
        <v>4041</v>
      </c>
      <c r="C520" s="306"/>
      <c r="D520" s="26"/>
      <c r="E520" s="312" t="s">
        <v>11732</v>
      </c>
      <c r="F520" s="306" t="str">
        <f>VLOOKUP(Table24[[#This Row],[Country]],Table10[[COUNTRY NAME]:[CONTINENT CODE]],3,FALSE)</f>
        <v>NA - US</v>
      </c>
      <c r="G520" s="312" t="s">
        <v>17006</v>
      </c>
      <c r="H520" s="309">
        <v>2646</v>
      </c>
      <c r="I520" s="310">
        <v>8</v>
      </c>
      <c r="J520" s="307"/>
      <c r="K520" s="307">
        <f>IFERROR(Table24[[#This Row],[ROUTE COST]]/Table24[[#This Row],[O - DEMAND]],0)</f>
        <v>0</v>
      </c>
      <c r="L520" s="306"/>
      <c r="M520" s="310">
        <f>Table24[[#This Row],[O - DEMAND]]/950</f>
        <v>0</v>
      </c>
      <c r="N520" s="306">
        <f>IFERROR(VLOOKUP(Table24[[#This Row],[ROUTE]],DEMAND!A:F,5,FALSE),0)</f>
        <v>0</v>
      </c>
      <c r="O520" s="306">
        <f>IFERROR(VLOOKUP(Table24[[#This Row],[ROUTE]],DEMAND!A:F,6,FALSE),0)</f>
        <v>0</v>
      </c>
      <c r="P520" s="306">
        <f>ROUNDDOWN(Table24[[#This Row],[R-DEMAND]]/950,0)</f>
        <v>0</v>
      </c>
      <c r="Q520" s="306">
        <f>Table24[[#This Row],[ADD ACC
(475/950)]]*Table24[[#This Row],[Duration
(A359)]]</f>
        <v>0</v>
      </c>
      <c r="R520" s="307">
        <f>IFERROR(VLOOKUP(Table24[[#This Row],[ROUTE]],PRICING!A:B,2,FALSE),0)</f>
        <v>0</v>
      </c>
      <c r="S520" s="308">
        <f>Table24[[#This Row],[C_DEMAND]]-Table24[[#This Row],[R-DEMAND]]</f>
        <v>0</v>
      </c>
      <c r="T520" s="307">
        <f>Table24[[#This Row],[SEATS SOLD]]*Table24[[#This Row],[ECO SEAT]]</f>
        <v>0</v>
      </c>
      <c r="U520" s="307">
        <f>Table24[[#This Row],[SEATS SOLD]]*(IFERROR(VLOOKUP(Table24[[#This Row],[ROUTE]],PRICING!A:C,3,FALSE),0))</f>
        <v>0</v>
      </c>
      <c r="V520" s="307">
        <f>Table24[[#This Row],[SEAT REV]]-Table24[[#This Row],[SEAT REV
(IF IDEAL $)]]</f>
        <v>0</v>
      </c>
    </row>
    <row r="521" spans="1:22" customFormat="1" x14ac:dyDescent="0.25">
      <c r="A521" s="306" t="s">
        <v>17863</v>
      </c>
      <c r="B521" s="306" t="s">
        <v>5441</v>
      </c>
      <c r="C521" s="306"/>
      <c r="D521" s="26">
        <v>4</v>
      </c>
      <c r="E521" s="312" t="s">
        <v>11732</v>
      </c>
      <c r="F521" s="306" t="str">
        <f>VLOOKUP(Table24[[#This Row],[Country]],Table10[[COUNTRY NAME]:[CONTINENT CODE]],3,FALSE)</f>
        <v>NA - US</v>
      </c>
      <c r="G521" s="312" t="s">
        <v>13329</v>
      </c>
      <c r="H521" s="309">
        <v>2589</v>
      </c>
      <c r="I521" s="310">
        <v>7.75</v>
      </c>
      <c r="J521" s="307"/>
      <c r="K521" s="307">
        <f>IFERROR(Table24[[#This Row],[ROUTE COST]]/Table24[[#This Row],[O - DEMAND]],0)</f>
        <v>0</v>
      </c>
      <c r="L521" s="306"/>
      <c r="M521" s="310">
        <f>Table24[[#This Row],[O - DEMAND]]/950</f>
        <v>0</v>
      </c>
      <c r="N521" s="306">
        <f>IFERROR(VLOOKUP(Table24[[#This Row],[ROUTE]],DEMAND!A:F,5,FALSE),0)</f>
        <v>0</v>
      </c>
      <c r="O521" s="306">
        <f>IFERROR(VLOOKUP(Table24[[#This Row],[ROUTE]],DEMAND!A:F,6,FALSE),0)</f>
        <v>0</v>
      </c>
      <c r="P521" s="306">
        <f>ROUNDDOWN(Table24[[#This Row],[R-DEMAND]]/950,0)</f>
        <v>0</v>
      </c>
      <c r="Q521" s="306">
        <f>Table24[[#This Row],[ADD ACC
(475/950)]]*Table24[[#This Row],[Duration
(A359)]]</f>
        <v>0</v>
      </c>
      <c r="R521" s="307">
        <f>IFERROR(VLOOKUP(Table24[[#This Row],[ROUTE]],PRICING!A:B,2,FALSE),0)</f>
        <v>0</v>
      </c>
      <c r="S521" s="308">
        <f>Table24[[#This Row],[C_DEMAND]]-Table24[[#This Row],[R-DEMAND]]</f>
        <v>0</v>
      </c>
      <c r="T521" s="307">
        <f>Table24[[#This Row],[SEATS SOLD]]*Table24[[#This Row],[ECO SEAT]]</f>
        <v>0</v>
      </c>
      <c r="U521" s="307">
        <f>Table24[[#This Row],[SEATS SOLD]]*(IFERROR(VLOOKUP(Table24[[#This Row],[ROUTE]],PRICING!A:C,3,FALSE),0))</f>
        <v>0</v>
      </c>
      <c r="V521" s="307">
        <f>Table24[[#This Row],[SEAT REV]]-Table24[[#This Row],[SEAT REV
(IF IDEAL $)]]</f>
        <v>0</v>
      </c>
    </row>
    <row r="522" spans="1:22" customFormat="1" x14ac:dyDescent="0.25">
      <c r="A522" s="306" t="s">
        <v>17864</v>
      </c>
      <c r="B522" s="306" t="s">
        <v>5589</v>
      </c>
      <c r="C522" s="306"/>
      <c r="D522" s="26">
        <v>4</v>
      </c>
      <c r="E522" s="312" t="s">
        <v>11732</v>
      </c>
      <c r="F522" s="306" t="str">
        <f>VLOOKUP(Table24[[#This Row],[Country]],Table10[[COUNTRY NAME]:[CONTINENT CODE]],3,FALSE)</f>
        <v>NA - US</v>
      </c>
      <c r="G522" s="312" t="s">
        <v>13328</v>
      </c>
      <c r="H522" s="309">
        <v>2570</v>
      </c>
      <c r="I522" s="310">
        <v>7.75</v>
      </c>
      <c r="J522" s="307"/>
      <c r="K522" s="307">
        <f>IFERROR(Table24[[#This Row],[ROUTE COST]]/Table24[[#This Row],[O - DEMAND]],0)</f>
        <v>0</v>
      </c>
      <c r="L522" s="306"/>
      <c r="M522" s="310">
        <f>Table24[[#This Row],[O - DEMAND]]/950</f>
        <v>0</v>
      </c>
      <c r="N522" s="306">
        <f>IFERROR(VLOOKUP(Table24[[#This Row],[ROUTE]],DEMAND!A:F,5,FALSE),0)</f>
        <v>0</v>
      </c>
      <c r="O522" s="306">
        <f>IFERROR(VLOOKUP(Table24[[#This Row],[ROUTE]],DEMAND!A:F,6,FALSE),0)</f>
        <v>0</v>
      </c>
      <c r="P522" s="306">
        <f>ROUNDDOWN(Table24[[#This Row],[R-DEMAND]]/950,0)</f>
        <v>0</v>
      </c>
      <c r="Q522" s="306">
        <f>Table24[[#This Row],[ADD ACC
(475/950)]]*Table24[[#This Row],[Duration
(A359)]]</f>
        <v>0</v>
      </c>
      <c r="R522" s="307">
        <f>IFERROR(VLOOKUP(Table24[[#This Row],[ROUTE]],PRICING!A:B,2,FALSE),0)</f>
        <v>0</v>
      </c>
      <c r="S522" s="308">
        <f>Table24[[#This Row],[C_DEMAND]]-Table24[[#This Row],[R-DEMAND]]</f>
        <v>0</v>
      </c>
      <c r="T522" s="307">
        <f>Table24[[#This Row],[SEATS SOLD]]*Table24[[#This Row],[ECO SEAT]]</f>
        <v>0</v>
      </c>
      <c r="U522" s="307">
        <f>Table24[[#This Row],[SEATS SOLD]]*(IFERROR(VLOOKUP(Table24[[#This Row],[ROUTE]],PRICING!A:C,3,FALSE),0))</f>
        <v>0</v>
      </c>
      <c r="V522" s="307">
        <f>Table24[[#This Row],[SEAT REV]]-Table24[[#This Row],[SEAT REV
(IF IDEAL $)]]</f>
        <v>0</v>
      </c>
    </row>
    <row r="523" spans="1:22" customFormat="1" x14ac:dyDescent="0.25">
      <c r="A523" s="306" t="s">
        <v>17865</v>
      </c>
      <c r="B523" s="306" t="s">
        <v>5519</v>
      </c>
      <c r="C523" s="306"/>
      <c r="D523" s="26">
        <v>4</v>
      </c>
      <c r="E523" s="312" t="s">
        <v>11732</v>
      </c>
      <c r="F523" s="306" t="str">
        <f>VLOOKUP(Table24[[#This Row],[Country]],Table10[[COUNTRY NAME]:[CONTINENT CODE]],3,FALSE)</f>
        <v>NA - US</v>
      </c>
      <c r="G523" s="312" t="s">
        <v>13334</v>
      </c>
      <c r="H523" s="309">
        <v>2552</v>
      </c>
      <c r="I523" s="310">
        <v>7.75</v>
      </c>
      <c r="J523" s="307"/>
      <c r="K523" s="307">
        <f>IFERROR(Table24[[#This Row],[ROUTE COST]]/Table24[[#This Row],[O - DEMAND]],0)</f>
        <v>0</v>
      </c>
      <c r="L523" s="306"/>
      <c r="M523" s="310">
        <f>Table24[[#This Row],[O - DEMAND]]/950</f>
        <v>0</v>
      </c>
      <c r="N523" s="306">
        <f>IFERROR(VLOOKUP(Table24[[#This Row],[ROUTE]],DEMAND!A:F,5,FALSE),0)</f>
        <v>0</v>
      </c>
      <c r="O523" s="306">
        <f>IFERROR(VLOOKUP(Table24[[#This Row],[ROUTE]],DEMAND!A:F,6,FALSE),0)</f>
        <v>0</v>
      </c>
      <c r="P523" s="306">
        <f>ROUNDDOWN(Table24[[#This Row],[R-DEMAND]]/950,0)</f>
        <v>0</v>
      </c>
      <c r="Q523" s="306">
        <f>Table24[[#This Row],[ADD ACC
(475/950)]]*Table24[[#This Row],[Duration
(A359)]]</f>
        <v>0</v>
      </c>
      <c r="R523" s="307">
        <f>IFERROR(VLOOKUP(Table24[[#This Row],[ROUTE]],PRICING!A:B,2,FALSE),0)</f>
        <v>0</v>
      </c>
      <c r="S523" s="308">
        <f>Table24[[#This Row],[C_DEMAND]]-Table24[[#This Row],[R-DEMAND]]</f>
        <v>0</v>
      </c>
      <c r="T523" s="307">
        <f>Table24[[#This Row],[SEATS SOLD]]*Table24[[#This Row],[ECO SEAT]]</f>
        <v>0</v>
      </c>
      <c r="U523" s="307">
        <f>Table24[[#This Row],[SEATS SOLD]]*(IFERROR(VLOOKUP(Table24[[#This Row],[ROUTE]],PRICING!A:C,3,FALSE),0))</f>
        <v>0</v>
      </c>
      <c r="V523" s="307">
        <f>Table24[[#This Row],[SEAT REV]]-Table24[[#This Row],[SEAT REV
(IF IDEAL $)]]</f>
        <v>0</v>
      </c>
    </row>
    <row r="524" spans="1:22" customFormat="1" x14ac:dyDescent="0.25">
      <c r="A524" s="306" t="s">
        <v>17895</v>
      </c>
      <c r="B524" s="306" t="s">
        <v>428</v>
      </c>
      <c r="C524" s="306"/>
      <c r="D524" s="26">
        <v>3</v>
      </c>
      <c r="E524" s="312" t="s">
        <v>11732</v>
      </c>
      <c r="F524" s="306" t="str">
        <f>VLOOKUP(Table24[[#This Row],[Country]],Table10[[COUNTRY NAME]:[CONTINENT CODE]],3,FALSE)</f>
        <v>NA - US</v>
      </c>
      <c r="G524" s="312" t="s">
        <v>13341</v>
      </c>
      <c r="H524" s="309">
        <v>2598</v>
      </c>
      <c r="I524" s="310">
        <v>7.75</v>
      </c>
      <c r="J524" s="307"/>
      <c r="K524" s="307">
        <f>IFERROR(Table24[[#This Row],[ROUTE COST]]/Table24[[#This Row],[O - DEMAND]],0)</f>
        <v>0</v>
      </c>
      <c r="L524" s="306"/>
      <c r="M524" s="310">
        <f>Table24[[#This Row],[O - DEMAND]]/950</f>
        <v>0</v>
      </c>
      <c r="N524" s="306">
        <f>IFERROR(VLOOKUP(Table24[[#This Row],[ROUTE]],DEMAND!A:F,5,FALSE),0)</f>
        <v>0</v>
      </c>
      <c r="O524" s="306">
        <f>IFERROR(VLOOKUP(Table24[[#This Row],[ROUTE]],DEMAND!A:F,6,FALSE),0)</f>
        <v>0</v>
      </c>
      <c r="P524" s="306">
        <f>ROUNDDOWN(Table24[[#This Row],[R-DEMAND]]/950,0)</f>
        <v>0</v>
      </c>
      <c r="Q524" s="306">
        <f>Table24[[#This Row],[ADD ACC
(475/950)]]*Table24[[#This Row],[Duration
(A359)]]</f>
        <v>0</v>
      </c>
      <c r="R524" s="307">
        <f>IFERROR(VLOOKUP(Table24[[#This Row],[ROUTE]],PRICING!A:B,2,FALSE),0)</f>
        <v>0</v>
      </c>
      <c r="S524" s="308">
        <f>Table24[[#This Row],[C_DEMAND]]-Table24[[#This Row],[R-DEMAND]]</f>
        <v>0</v>
      </c>
      <c r="T524" s="307">
        <f>Table24[[#This Row],[SEATS SOLD]]*Table24[[#This Row],[ECO SEAT]]</f>
        <v>0</v>
      </c>
      <c r="U524" s="307">
        <f>Table24[[#This Row],[SEATS SOLD]]*(IFERROR(VLOOKUP(Table24[[#This Row],[ROUTE]],PRICING!A:C,3,FALSE),0))</f>
        <v>0</v>
      </c>
      <c r="V524" s="307">
        <f>Table24[[#This Row],[SEAT REV]]-Table24[[#This Row],[SEAT REV
(IF IDEAL $)]]</f>
        <v>0</v>
      </c>
    </row>
    <row r="525" spans="1:22" customFormat="1" x14ac:dyDescent="0.25">
      <c r="A525" s="306" t="s">
        <v>17896</v>
      </c>
      <c r="B525" s="306" t="s">
        <v>5206</v>
      </c>
      <c r="C525" s="306"/>
      <c r="D525" s="26">
        <v>3</v>
      </c>
      <c r="E525" s="312" t="s">
        <v>11732</v>
      </c>
      <c r="F525" s="306" t="str">
        <f>VLOOKUP(Table24[[#This Row],[Country]],Table10[[COUNTRY NAME]:[CONTINENT CODE]],3,FALSE)</f>
        <v>NA - US</v>
      </c>
      <c r="G525" s="312" t="s">
        <v>13330</v>
      </c>
      <c r="H525" s="309">
        <v>2539</v>
      </c>
      <c r="I525" s="310">
        <v>7.75</v>
      </c>
      <c r="J525" s="307"/>
      <c r="K525" s="307">
        <f>IFERROR(Table24[[#This Row],[ROUTE COST]]/Table24[[#This Row],[O - DEMAND]],0)</f>
        <v>0</v>
      </c>
      <c r="L525" s="306"/>
      <c r="M525" s="310">
        <f>Table24[[#This Row],[O - DEMAND]]/950</f>
        <v>0</v>
      </c>
      <c r="N525" s="306">
        <f>IFERROR(VLOOKUP(Table24[[#This Row],[ROUTE]],DEMAND!A:F,5,FALSE),0)</f>
        <v>0</v>
      </c>
      <c r="O525" s="306">
        <f>IFERROR(VLOOKUP(Table24[[#This Row],[ROUTE]],DEMAND!A:F,6,FALSE),0)</f>
        <v>0</v>
      </c>
      <c r="P525" s="306">
        <f>ROUNDDOWN(Table24[[#This Row],[R-DEMAND]]/950,0)</f>
        <v>0</v>
      </c>
      <c r="Q525" s="306">
        <f>Table24[[#This Row],[ADD ACC
(475/950)]]*Table24[[#This Row],[Duration
(A359)]]</f>
        <v>0</v>
      </c>
      <c r="R525" s="307">
        <f>IFERROR(VLOOKUP(Table24[[#This Row],[ROUTE]],PRICING!A:B,2,FALSE),0)</f>
        <v>0</v>
      </c>
      <c r="S525" s="308">
        <f>Table24[[#This Row],[C_DEMAND]]-Table24[[#This Row],[R-DEMAND]]</f>
        <v>0</v>
      </c>
      <c r="T525" s="307">
        <f>Table24[[#This Row],[SEATS SOLD]]*Table24[[#This Row],[ECO SEAT]]</f>
        <v>0</v>
      </c>
      <c r="U525" s="307">
        <f>Table24[[#This Row],[SEATS SOLD]]*(IFERROR(VLOOKUP(Table24[[#This Row],[ROUTE]],PRICING!A:C,3,FALSE),0))</f>
        <v>0</v>
      </c>
      <c r="V525" s="307">
        <f>Table24[[#This Row],[SEAT REV]]-Table24[[#This Row],[SEAT REV
(IF IDEAL $)]]</f>
        <v>0</v>
      </c>
    </row>
    <row r="526" spans="1:22" customFormat="1" x14ac:dyDescent="0.25">
      <c r="A526" s="306" t="s">
        <v>17796</v>
      </c>
      <c r="B526" s="306" t="s">
        <v>3852</v>
      </c>
      <c r="C526" s="306"/>
      <c r="D526" s="26">
        <v>2</v>
      </c>
      <c r="E526" s="312" t="s">
        <v>1749</v>
      </c>
      <c r="F526" s="306" t="str">
        <f>VLOOKUP(Table24[[#This Row],[Country]],Table10[[COUNTRY NAME]:[CONTINENT CODE]],3,FALSE)</f>
        <v>NA</v>
      </c>
      <c r="G526" s="312" t="s">
        <v>17009</v>
      </c>
      <c r="H526" s="309">
        <v>2564</v>
      </c>
      <c r="I526" s="310">
        <v>7.75</v>
      </c>
      <c r="J526" s="307"/>
      <c r="K526" s="307">
        <f>IFERROR(Table24[[#This Row],[ROUTE COST]]/Table24[[#This Row],[O - DEMAND]],0)</f>
        <v>0</v>
      </c>
      <c r="L526" s="306"/>
      <c r="M526" s="310">
        <f>Table24[[#This Row],[O - DEMAND]]/950</f>
        <v>0</v>
      </c>
      <c r="N526" s="306">
        <f>IFERROR(VLOOKUP(Table24[[#This Row],[ROUTE]],DEMAND!A:F,5,FALSE),0)</f>
        <v>0</v>
      </c>
      <c r="O526" s="306">
        <f>IFERROR(VLOOKUP(Table24[[#This Row],[ROUTE]],DEMAND!A:F,6,FALSE),0)</f>
        <v>0</v>
      </c>
      <c r="P526" s="306">
        <f>ROUNDDOWN(Table24[[#This Row],[R-DEMAND]]/950,0)</f>
        <v>0</v>
      </c>
      <c r="Q526" s="306">
        <f>Table24[[#This Row],[ADD ACC
(475/950)]]*Table24[[#This Row],[Duration
(A359)]]</f>
        <v>0</v>
      </c>
      <c r="R526" s="307">
        <f>IFERROR(VLOOKUP(Table24[[#This Row],[ROUTE]],PRICING!A:B,2,FALSE),0)</f>
        <v>0</v>
      </c>
      <c r="S526" s="308">
        <f>Table24[[#This Row],[C_DEMAND]]-Table24[[#This Row],[R-DEMAND]]</f>
        <v>0</v>
      </c>
      <c r="T526" s="307">
        <f>Table24[[#This Row],[SEATS SOLD]]*Table24[[#This Row],[ECO SEAT]]</f>
        <v>0</v>
      </c>
      <c r="U526" s="307">
        <f>Table24[[#This Row],[SEATS SOLD]]*(IFERROR(VLOOKUP(Table24[[#This Row],[ROUTE]],PRICING!A:C,3,FALSE),0))</f>
        <v>0</v>
      </c>
      <c r="V526" s="307">
        <f>Table24[[#This Row],[SEAT REV]]-Table24[[#This Row],[SEAT REV
(IF IDEAL $)]]</f>
        <v>0</v>
      </c>
    </row>
    <row r="527" spans="1:22" customFormat="1" x14ac:dyDescent="0.25">
      <c r="A527" s="306" t="s">
        <v>17944</v>
      </c>
      <c r="B527" s="306" t="s">
        <v>76</v>
      </c>
      <c r="C527" s="306"/>
      <c r="D527" s="26">
        <v>2</v>
      </c>
      <c r="E527" s="312" t="s">
        <v>11732</v>
      </c>
      <c r="F527" s="306" t="str">
        <f>VLOOKUP(Table24[[#This Row],[Country]],Table10[[COUNTRY NAME]:[CONTINENT CODE]],3,FALSE)</f>
        <v>NA - US</v>
      </c>
      <c r="G527" s="312" t="s">
        <v>13340</v>
      </c>
      <c r="H527" s="309">
        <v>2555</v>
      </c>
      <c r="I527" s="310">
        <v>7.75</v>
      </c>
      <c r="J527" s="307"/>
      <c r="K527" s="307">
        <f>IFERROR(Table24[[#This Row],[ROUTE COST]]/Table24[[#This Row],[O - DEMAND]],0)</f>
        <v>0</v>
      </c>
      <c r="L527" s="306"/>
      <c r="M527" s="310">
        <f>Table24[[#This Row],[O - DEMAND]]/950</f>
        <v>0</v>
      </c>
      <c r="N527" s="306">
        <f>IFERROR(VLOOKUP(Table24[[#This Row],[ROUTE]],DEMAND!A:F,5,FALSE),0)</f>
        <v>0</v>
      </c>
      <c r="O527" s="306">
        <f>IFERROR(VLOOKUP(Table24[[#This Row],[ROUTE]],DEMAND!A:F,6,FALSE),0)</f>
        <v>0</v>
      </c>
      <c r="P527" s="306">
        <f>ROUNDDOWN(Table24[[#This Row],[R-DEMAND]]/950,0)</f>
        <v>0</v>
      </c>
      <c r="Q527" s="306">
        <f>Table24[[#This Row],[ADD ACC
(475/950)]]*Table24[[#This Row],[Duration
(A359)]]</f>
        <v>0</v>
      </c>
      <c r="R527" s="307">
        <f>IFERROR(VLOOKUP(Table24[[#This Row],[ROUTE]],PRICING!A:B,2,FALSE),0)</f>
        <v>0</v>
      </c>
      <c r="S527" s="308">
        <f>Table24[[#This Row],[C_DEMAND]]-Table24[[#This Row],[R-DEMAND]]</f>
        <v>0</v>
      </c>
      <c r="T527" s="307">
        <f>Table24[[#This Row],[SEATS SOLD]]*Table24[[#This Row],[ECO SEAT]]</f>
        <v>0</v>
      </c>
      <c r="U527" s="307">
        <f>Table24[[#This Row],[SEATS SOLD]]*(IFERROR(VLOOKUP(Table24[[#This Row],[ROUTE]],PRICING!A:C,3,FALSE),0))</f>
        <v>0</v>
      </c>
      <c r="V527" s="307">
        <f>Table24[[#This Row],[SEAT REV]]-Table24[[#This Row],[SEAT REV
(IF IDEAL $)]]</f>
        <v>0</v>
      </c>
    </row>
    <row r="528" spans="1:22" customFormat="1" x14ac:dyDescent="0.25">
      <c r="A528" s="306" t="s">
        <v>17978</v>
      </c>
      <c r="B528" s="306" t="s">
        <v>1701</v>
      </c>
      <c r="C528" s="306"/>
      <c r="D528" s="26">
        <v>1</v>
      </c>
      <c r="E528" s="312" t="s">
        <v>11732</v>
      </c>
      <c r="F528" s="306" t="str">
        <f>VLOOKUP(Table24[[#This Row],[Country]],Table10[[COUNTRY NAME]:[CONTINENT CODE]],3,FALSE)</f>
        <v>NA - US</v>
      </c>
      <c r="G528" s="312" t="s">
        <v>17010</v>
      </c>
      <c r="H528" s="309">
        <v>2507</v>
      </c>
      <c r="I528" s="310">
        <v>7.75</v>
      </c>
      <c r="J528" s="307"/>
      <c r="K528" s="307">
        <f>IFERROR(Table24[[#This Row],[ROUTE COST]]/Table24[[#This Row],[O - DEMAND]],0)</f>
        <v>0</v>
      </c>
      <c r="L528" s="306"/>
      <c r="M528" s="310">
        <f>Table24[[#This Row],[O - DEMAND]]/950</f>
        <v>0</v>
      </c>
      <c r="N528" s="306">
        <f>IFERROR(VLOOKUP(Table24[[#This Row],[ROUTE]],DEMAND!A:F,5,FALSE),0)</f>
        <v>0</v>
      </c>
      <c r="O528" s="306">
        <f>IFERROR(VLOOKUP(Table24[[#This Row],[ROUTE]],DEMAND!A:F,6,FALSE),0)</f>
        <v>0</v>
      </c>
      <c r="P528" s="306">
        <f>ROUNDDOWN(Table24[[#This Row],[R-DEMAND]]/950,0)</f>
        <v>0</v>
      </c>
      <c r="Q528" s="306">
        <f>Table24[[#This Row],[ADD ACC
(475/950)]]*Table24[[#This Row],[Duration
(A359)]]</f>
        <v>0</v>
      </c>
      <c r="R528" s="307">
        <f>IFERROR(VLOOKUP(Table24[[#This Row],[ROUTE]],PRICING!A:B,2,FALSE),0)</f>
        <v>0</v>
      </c>
      <c r="S528" s="308">
        <f>Table24[[#This Row],[C_DEMAND]]-Table24[[#This Row],[R-DEMAND]]</f>
        <v>0</v>
      </c>
      <c r="T528" s="307">
        <f>Table24[[#This Row],[SEATS SOLD]]*Table24[[#This Row],[ECO SEAT]]</f>
        <v>0</v>
      </c>
      <c r="U528" s="307">
        <f>Table24[[#This Row],[SEATS SOLD]]*(IFERROR(VLOOKUP(Table24[[#This Row],[ROUTE]],PRICING!A:C,3,FALSE),0))</f>
        <v>0</v>
      </c>
      <c r="V528" s="307">
        <f>Table24[[#This Row],[SEAT REV]]-Table24[[#This Row],[SEAT REV
(IF IDEAL $)]]</f>
        <v>0</v>
      </c>
    </row>
    <row r="529" spans="1:22" customFormat="1" x14ac:dyDescent="0.25">
      <c r="A529" s="306" t="s">
        <v>17897</v>
      </c>
      <c r="B529" s="306" t="s">
        <v>4707</v>
      </c>
      <c r="C529" s="306"/>
      <c r="D529" s="26">
        <v>3</v>
      </c>
      <c r="E529" s="312" t="s">
        <v>11732</v>
      </c>
      <c r="F529" s="306" t="str">
        <f>VLOOKUP(Table24[[#This Row],[Country]],Table10[[COUNTRY NAME]:[CONTINENT CODE]],3,FALSE)</f>
        <v>NA - US</v>
      </c>
      <c r="G529" s="312" t="s">
        <v>13342</v>
      </c>
      <c r="H529" s="309">
        <v>2441</v>
      </c>
      <c r="I529" s="310">
        <v>7.5</v>
      </c>
      <c r="J529" s="307"/>
      <c r="K529" s="307">
        <f>IFERROR(Table24[[#This Row],[ROUTE COST]]/Table24[[#This Row],[O - DEMAND]],0)</f>
        <v>0</v>
      </c>
      <c r="L529" s="306"/>
      <c r="M529" s="310">
        <f>Table24[[#This Row],[O - DEMAND]]/950</f>
        <v>0</v>
      </c>
      <c r="N529" s="306">
        <f>IFERROR(VLOOKUP(Table24[[#This Row],[ROUTE]],DEMAND!A:F,5,FALSE),0)</f>
        <v>0</v>
      </c>
      <c r="O529" s="306">
        <f>IFERROR(VLOOKUP(Table24[[#This Row],[ROUTE]],DEMAND!A:F,6,FALSE),0)</f>
        <v>0</v>
      </c>
      <c r="P529" s="306">
        <f>ROUNDDOWN(Table24[[#This Row],[R-DEMAND]]/950,0)</f>
        <v>0</v>
      </c>
      <c r="Q529" s="306">
        <f>Table24[[#This Row],[ADD ACC
(475/950)]]*Table24[[#This Row],[Duration
(A359)]]</f>
        <v>0</v>
      </c>
      <c r="R529" s="307">
        <f>IFERROR(VLOOKUP(Table24[[#This Row],[ROUTE]],PRICING!A:B,2,FALSE),0)</f>
        <v>0</v>
      </c>
      <c r="S529" s="308">
        <f>Table24[[#This Row],[C_DEMAND]]-Table24[[#This Row],[R-DEMAND]]</f>
        <v>0</v>
      </c>
      <c r="T529" s="307">
        <f>Table24[[#This Row],[SEATS SOLD]]*Table24[[#This Row],[ECO SEAT]]</f>
        <v>0</v>
      </c>
      <c r="U529" s="307">
        <f>Table24[[#This Row],[SEATS SOLD]]*(IFERROR(VLOOKUP(Table24[[#This Row],[ROUTE]],PRICING!A:C,3,FALSE),0))</f>
        <v>0</v>
      </c>
      <c r="V529" s="307">
        <f>Table24[[#This Row],[SEAT REV]]-Table24[[#This Row],[SEAT REV
(IF IDEAL $)]]</f>
        <v>0</v>
      </c>
    </row>
    <row r="530" spans="1:22" customFormat="1" x14ac:dyDescent="0.25">
      <c r="A530" s="306" t="s">
        <v>17945</v>
      </c>
      <c r="B530" s="306" t="s">
        <v>3721</v>
      </c>
      <c r="C530" s="306"/>
      <c r="D530" s="26">
        <v>2</v>
      </c>
      <c r="E530" s="312" t="s">
        <v>11732</v>
      </c>
      <c r="F530" s="306" t="str">
        <f>VLOOKUP(Table24[[#This Row],[Country]],Table10[[COUNTRY NAME]:[CONTINENT CODE]],3,FALSE)</f>
        <v>NA - US</v>
      </c>
      <c r="G530" s="312" t="s">
        <v>13337</v>
      </c>
      <c r="H530" s="309">
        <v>2479</v>
      </c>
      <c r="I530" s="310">
        <v>7.5</v>
      </c>
      <c r="J530" s="307"/>
      <c r="K530" s="307">
        <f>IFERROR(Table24[[#This Row],[ROUTE COST]]/Table24[[#This Row],[O - DEMAND]],0)</f>
        <v>0</v>
      </c>
      <c r="L530" s="306"/>
      <c r="M530" s="310">
        <f>Table24[[#This Row],[O - DEMAND]]/950</f>
        <v>0</v>
      </c>
      <c r="N530" s="306">
        <f>IFERROR(VLOOKUP(Table24[[#This Row],[ROUTE]],DEMAND!A:F,5,FALSE),0)</f>
        <v>0</v>
      </c>
      <c r="O530" s="306">
        <f>IFERROR(VLOOKUP(Table24[[#This Row],[ROUTE]],DEMAND!A:F,6,FALSE),0)</f>
        <v>0</v>
      </c>
      <c r="P530" s="306">
        <f>ROUNDDOWN(Table24[[#This Row],[R-DEMAND]]/950,0)</f>
        <v>0</v>
      </c>
      <c r="Q530" s="306">
        <f>Table24[[#This Row],[ADD ACC
(475/950)]]*Table24[[#This Row],[Duration
(A359)]]</f>
        <v>0</v>
      </c>
      <c r="R530" s="307">
        <f>IFERROR(VLOOKUP(Table24[[#This Row],[ROUTE]],PRICING!A:B,2,FALSE),0)</f>
        <v>0</v>
      </c>
      <c r="S530" s="308">
        <f>Table24[[#This Row],[C_DEMAND]]-Table24[[#This Row],[R-DEMAND]]</f>
        <v>0</v>
      </c>
      <c r="T530" s="307">
        <f>Table24[[#This Row],[SEATS SOLD]]*Table24[[#This Row],[ECO SEAT]]</f>
        <v>0</v>
      </c>
      <c r="U530" s="307">
        <f>Table24[[#This Row],[SEATS SOLD]]*(IFERROR(VLOOKUP(Table24[[#This Row],[ROUTE]],PRICING!A:C,3,FALSE),0))</f>
        <v>0</v>
      </c>
      <c r="V530" s="307">
        <f>Table24[[#This Row],[SEAT REV]]-Table24[[#This Row],[SEAT REV
(IF IDEAL $)]]</f>
        <v>0</v>
      </c>
    </row>
    <row r="531" spans="1:22" customFormat="1" x14ac:dyDescent="0.25">
      <c r="A531" s="306" t="s">
        <v>17898</v>
      </c>
      <c r="B531" s="306" t="s">
        <v>4653</v>
      </c>
      <c r="C531" s="306"/>
      <c r="D531" s="26">
        <v>3</v>
      </c>
      <c r="E531" s="312" t="s">
        <v>11732</v>
      </c>
      <c r="F531" s="306" t="str">
        <f>VLOOKUP(Table24[[#This Row],[Country]],Table10[[COUNTRY NAME]:[CONTINENT CODE]],3,FALSE)</f>
        <v>NA - US</v>
      </c>
      <c r="G531" s="312" t="s">
        <v>13344</v>
      </c>
      <c r="H531" s="309">
        <v>2288</v>
      </c>
      <c r="I531" s="310">
        <v>7.25</v>
      </c>
      <c r="J531" s="307"/>
      <c r="K531" s="307">
        <f>IFERROR(Table24[[#This Row],[ROUTE COST]]/Table24[[#This Row],[O - DEMAND]],0)</f>
        <v>0</v>
      </c>
      <c r="L531" s="306"/>
      <c r="M531" s="310">
        <f>Table24[[#This Row],[O - DEMAND]]/950</f>
        <v>0</v>
      </c>
      <c r="N531" s="306">
        <f>IFERROR(VLOOKUP(Table24[[#This Row],[ROUTE]],DEMAND!A:F,5,FALSE),0)</f>
        <v>0</v>
      </c>
      <c r="O531" s="306">
        <f>IFERROR(VLOOKUP(Table24[[#This Row],[ROUTE]],DEMAND!A:F,6,FALSE),0)</f>
        <v>0</v>
      </c>
      <c r="P531" s="306">
        <f>ROUNDDOWN(Table24[[#This Row],[R-DEMAND]]/950,0)</f>
        <v>0</v>
      </c>
      <c r="Q531" s="306">
        <f>Table24[[#This Row],[ADD ACC
(475/950)]]*Table24[[#This Row],[Duration
(A359)]]</f>
        <v>0</v>
      </c>
      <c r="R531" s="307">
        <f>IFERROR(VLOOKUP(Table24[[#This Row],[ROUTE]],PRICING!A:B,2,FALSE),0)</f>
        <v>0</v>
      </c>
      <c r="S531" s="308">
        <f>Table24[[#This Row],[C_DEMAND]]-Table24[[#This Row],[R-DEMAND]]</f>
        <v>0</v>
      </c>
      <c r="T531" s="307">
        <f>Table24[[#This Row],[SEATS SOLD]]*Table24[[#This Row],[ECO SEAT]]</f>
        <v>0</v>
      </c>
      <c r="U531" s="307">
        <f>Table24[[#This Row],[SEATS SOLD]]*(IFERROR(VLOOKUP(Table24[[#This Row],[ROUTE]],PRICING!A:C,3,FALSE),0))</f>
        <v>0</v>
      </c>
      <c r="V531" s="307">
        <f>Table24[[#This Row],[SEAT REV]]-Table24[[#This Row],[SEAT REV
(IF IDEAL $)]]</f>
        <v>0</v>
      </c>
    </row>
    <row r="532" spans="1:22" customFormat="1" x14ac:dyDescent="0.25">
      <c r="A532" s="306" t="s">
        <v>17946</v>
      </c>
      <c r="B532" s="306" t="s">
        <v>4605</v>
      </c>
      <c r="C532" s="306"/>
      <c r="D532" s="26">
        <v>2</v>
      </c>
      <c r="E532" s="312" t="s">
        <v>11732</v>
      </c>
      <c r="F532" s="306" t="str">
        <f>VLOOKUP(Table24[[#This Row],[Country]],Table10[[COUNTRY NAME]:[CONTINENT CODE]],3,FALSE)</f>
        <v>NA - US</v>
      </c>
      <c r="G532" s="312" t="s">
        <v>13352</v>
      </c>
      <c r="H532" s="309">
        <v>2332</v>
      </c>
      <c r="I532" s="310">
        <v>7.25</v>
      </c>
      <c r="J532" s="307"/>
      <c r="K532" s="307">
        <f>IFERROR(Table24[[#This Row],[ROUTE COST]]/Table24[[#This Row],[O - DEMAND]],0)</f>
        <v>0</v>
      </c>
      <c r="L532" s="306"/>
      <c r="M532" s="310">
        <f>Table24[[#This Row],[O - DEMAND]]/950</f>
        <v>0</v>
      </c>
      <c r="N532" s="306">
        <f>IFERROR(VLOOKUP(Table24[[#This Row],[ROUTE]],DEMAND!A:F,5,FALSE),0)</f>
        <v>0</v>
      </c>
      <c r="O532" s="306">
        <f>IFERROR(VLOOKUP(Table24[[#This Row],[ROUTE]],DEMAND!A:F,6,FALSE),0)</f>
        <v>0</v>
      </c>
      <c r="P532" s="306">
        <f>ROUNDDOWN(Table24[[#This Row],[R-DEMAND]]/950,0)</f>
        <v>0</v>
      </c>
      <c r="Q532" s="306">
        <f>Table24[[#This Row],[ADD ACC
(475/950)]]*Table24[[#This Row],[Duration
(A359)]]</f>
        <v>0</v>
      </c>
      <c r="R532" s="307">
        <f>IFERROR(VLOOKUP(Table24[[#This Row],[ROUTE]],PRICING!A:B,2,FALSE),0)</f>
        <v>0</v>
      </c>
      <c r="S532" s="308">
        <f>Table24[[#This Row],[C_DEMAND]]-Table24[[#This Row],[R-DEMAND]]</f>
        <v>0</v>
      </c>
      <c r="T532" s="307">
        <f>Table24[[#This Row],[SEATS SOLD]]*Table24[[#This Row],[ECO SEAT]]</f>
        <v>0</v>
      </c>
      <c r="U532" s="307">
        <f>Table24[[#This Row],[SEATS SOLD]]*(IFERROR(VLOOKUP(Table24[[#This Row],[ROUTE]],PRICING!A:C,3,FALSE),0))</f>
        <v>0</v>
      </c>
      <c r="V532" s="307">
        <f>Table24[[#This Row],[SEAT REV]]-Table24[[#This Row],[SEAT REV
(IF IDEAL $)]]</f>
        <v>0</v>
      </c>
    </row>
    <row r="533" spans="1:22" customFormat="1" x14ac:dyDescent="0.25">
      <c r="A533" s="306" t="s">
        <v>18006</v>
      </c>
      <c r="B533" s="306" t="s">
        <v>4723</v>
      </c>
      <c r="C533" s="306"/>
      <c r="D533" s="26"/>
      <c r="E533" s="312" t="s">
        <v>11732</v>
      </c>
      <c r="F533" s="306" t="str">
        <f>VLOOKUP(Table24[[#This Row],[Country]],Table10[[COUNTRY NAME]:[CONTINENT CODE]],3,FALSE)</f>
        <v>NA - US</v>
      </c>
      <c r="G533" s="312" t="s">
        <v>17011</v>
      </c>
      <c r="H533" s="309">
        <v>2343</v>
      </c>
      <c r="I533" s="310">
        <v>7.25</v>
      </c>
      <c r="J533" s="307"/>
      <c r="K533" s="307">
        <f>IFERROR(Table24[[#This Row],[ROUTE COST]]/Table24[[#This Row],[O - DEMAND]],0)</f>
        <v>0</v>
      </c>
      <c r="L533" s="306"/>
      <c r="M533" s="310">
        <f>Table24[[#This Row],[O - DEMAND]]/950</f>
        <v>0</v>
      </c>
      <c r="N533" s="306">
        <f>IFERROR(VLOOKUP(Table24[[#This Row],[ROUTE]],DEMAND!A:F,5,FALSE),0)</f>
        <v>0</v>
      </c>
      <c r="O533" s="306">
        <f>IFERROR(VLOOKUP(Table24[[#This Row],[ROUTE]],DEMAND!A:F,6,FALSE),0)</f>
        <v>0</v>
      </c>
      <c r="P533" s="306">
        <f>ROUNDDOWN(Table24[[#This Row],[R-DEMAND]]/950,0)</f>
        <v>0</v>
      </c>
      <c r="Q533" s="306">
        <f>Table24[[#This Row],[ADD ACC
(475/950)]]*Table24[[#This Row],[Duration
(A359)]]</f>
        <v>0</v>
      </c>
      <c r="R533" s="307">
        <f>IFERROR(VLOOKUP(Table24[[#This Row],[ROUTE]],PRICING!A:B,2,FALSE),0)</f>
        <v>0</v>
      </c>
      <c r="S533" s="308">
        <f>Table24[[#This Row],[C_DEMAND]]-Table24[[#This Row],[R-DEMAND]]</f>
        <v>0</v>
      </c>
      <c r="T533" s="307">
        <f>Table24[[#This Row],[SEATS SOLD]]*Table24[[#This Row],[ECO SEAT]]</f>
        <v>0</v>
      </c>
      <c r="U533" s="307">
        <f>Table24[[#This Row],[SEATS SOLD]]*(IFERROR(VLOOKUP(Table24[[#This Row],[ROUTE]],PRICING!A:C,3,FALSE),0))</f>
        <v>0</v>
      </c>
      <c r="V533" s="307">
        <f>Table24[[#This Row],[SEAT REV]]-Table24[[#This Row],[SEAT REV
(IF IDEAL $)]]</f>
        <v>0</v>
      </c>
    </row>
    <row r="534" spans="1:22" customFormat="1" x14ac:dyDescent="0.25">
      <c r="A534" s="306" t="s">
        <v>17899</v>
      </c>
      <c r="B534" s="306" t="s">
        <v>5145</v>
      </c>
      <c r="C534" s="306"/>
      <c r="D534" s="26">
        <v>3</v>
      </c>
      <c r="E534" s="312" t="s">
        <v>11732</v>
      </c>
      <c r="F534" s="306" t="str">
        <f>VLOOKUP(Table24[[#This Row],[Country]],Table10[[COUNTRY NAME]:[CONTINENT CODE]],3,FALSE)</f>
        <v>NA - US</v>
      </c>
      <c r="G534" s="312" t="s">
        <v>13350</v>
      </c>
      <c r="H534" s="309">
        <v>2200</v>
      </c>
      <c r="I534" s="310">
        <v>7</v>
      </c>
      <c r="J534" s="307"/>
      <c r="K534" s="307">
        <f>IFERROR(Table24[[#This Row],[ROUTE COST]]/Table24[[#This Row],[O - DEMAND]],0)</f>
        <v>0</v>
      </c>
      <c r="L534" s="306"/>
      <c r="M534" s="310">
        <f>Table24[[#This Row],[O - DEMAND]]/950</f>
        <v>0</v>
      </c>
      <c r="N534" s="306">
        <f>IFERROR(VLOOKUP(Table24[[#This Row],[ROUTE]],DEMAND!A:F,5,FALSE),0)</f>
        <v>0</v>
      </c>
      <c r="O534" s="306">
        <f>IFERROR(VLOOKUP(Table24[[#This Row],[ROUTE]],DEMAND!A:F,6,FALSE),0)</f>
        <v>0</v>
      </c>
      <c r="P534" s="306">
        <f>ROUNDDOWN(Table24[[#This Row],[R-DEMAND]]/950,0)</f>
        <v>0</v>
      </c>
      <c r="Q534" s="306">
        <f>Table24[[#This Row],[ADD ACC
(475/950)]]*Table24[[#This Row],[Duration
(A359)]]</f>
        <v>0</v>
      </c>
      <c r="R534" s="307">
        <f>IFERROR(VLOOKUP(Table24[[#This Row],[ROUTE]],PRICING!A:B,2,FALSE),0)</f>
        <v>0</v>
      </c>
      <c r="S534" s="308">
        <f>Table24[[#This Row],[C_DEMAND]]-Table24[[#This Row],[R-DEMAND]]</f>
        <v>0</v>
      </c>
      <c r="T534" s="307">
        <f>Table24[[#This Row],[SEATS SOLD]]*Table24[[#This Row],[ECO SEAT]]</f>
        <v>0</v>
      </c>
      <c r="U534" s="307">
        <f>Table24[[#This Row],[SEATS SOLD]]*(IFERROR(VLOOKUP(Table24[[#This Row],[ROUTE]],PRICING!A:C,3,FALSE),0))</f>
        <v>0</v>
      </c>
      <c r="V534" s="307">
        <f>Table24[[#This Row],[SEAT REV]]-Table24[[#This Row],[SEAT REV
(IF IDEAL $)]]</f>
        <v>0</v>
      </c>
    </row>
    <row r="535" spans="1:22" customFormat="1" x14ac:dyDescent="0.25">
      <c r="A535" s="306" t="s">
        <v>17979</v>
      </c>
      <c r="B535" s="306" t="s">
        <v>1846</v>
      </c>
      <c r="C535" s="306"/>
      <c r="D535" s="26">
        <v>1</v>
      </c>
      <c r="E535" s="312" t="s">
        <v>11732</v>
      </c>
      <c r="F535" s="306" t="str">
        <f>VLOOKUP(Table24[[#This Row],[Country]],Table10[[COUNTRY NAME]:[CONTINENT CODE]],3,FALSE)</f>
        <v>NA - US</v>
      </c>
      <c r="G535" s="312" t="s">
        <v>13347</v>
      </c>
      <c r="H535" s="309">
        <v>2246</v>
      </c>
      <c r="I535" s="310">
        <v>7</v>
      </c>
      <c r="J535" s="307"/>
      <c r="K535" s="307">
        <f>IFERROR(Table24[[#This Row],[ROUTE COST]]/Table24[[#This Row],[O - DEMAND]],0)</f>
        <v>0</v>
      </c>
      <c r="L535" s="306"/>
      <c r="M535" s="310">
        <f>Table24[[#This Row],[O - DEMAND]]/950</f>
        <v>0</v>
      </c>
      <c r="N535" s="306">
        <f>IFERROR(VLOOKUP(Table24[[#This Row],[ROUTE]],DEMAND!A:F,5,FALSE),0)</f>
        <v>0</v>
      </c>
      <c r="O535" s="306">
        <f>IFERROR(VLOOKUP(Table24[[#This Row],[ROUTE]],DEMAND!A:F,6,FALSE),0)</f>
        <v>0</v>
      </c>
      <c r="P535" s="306">
        <f>ROUNDDOWN(Table24[[#This Row],[R-DEMAND]]/950,0)</f>
        <v>0</v>
      </c>
      <c r="Q535" s="306">
        <f>Table24[[#This Row],[ADD ACC
(475/950)]]*Table24[[#This Row],[Duration
(A359)]]</f>
        <v>0</v>
      </c>
      <c r="R535" s="307">
        <f>IFERROR(VLOOKUP(Table24[[#This Row],[ROUTE]],PRICING!A:B,2,FALSE),0)</f>
        <v>0</v>
      </c>
      <c r="S535" s="308">
        <f>Table24[[#This Row],[C_DEMAND]]-Table24[[#This Row],[R-DEMAND]]</f>
        <v>0</v>
      </c>
      <c r="T535" s="307">
        <f>Table24[[#This Row],[SEATS SOLD]]*Table24[[#This Row],[ECO SEAT]]</f>
        <v>0</v>
      </c>
      <c r="U535" s="307">
        <f>Table24[[#This Row],[SEATS SOLD]]*(IFERROR(VLOOKUP(Table24[[#This Row],[ROUTE]],PRICING!A:C,3,FALSE),0))</f>
        <v>0</v>
      </c>
      <c r="V535" s="307">
        <f>Table24[[#This Row],[SEAT REV]]-Table24[[#This Row],[SEAT REV
(IF IDEAL $)]]</f>
        <v>0</v>
      </c>
    </row>
    <row r="536" spans="1:22" customFormat="1" x14ac:dyDescent="0.25">
      <c r="A536" s="306" t="s">
        <v>18007</v>
      </c>
      <c r="B536" s="306" t="s">
        <v>4867</v>
      </c>
      <c r="C536" s="306"/>
      <c r="D536" s="26"/>
      <c r="E536" s="312" t="s">
        <v>11732</v>
      </c>
      <c r="F536" s="306" t="str">
        <f>VLOOKUP(Table24[[#This Row],[Country]],Table10[[COUNTRY NAME]:[CONTINENT CODE]],3,FALSE)</f>
        <v>NA - US</v>
      </c>
      <c r="G536" s="312" t="s">
        <v>17012</v>
      </c>
      <c r="H536" s="309">
        <v>2234</v>
      </c>
      <c r="I536" s="310">
        <v>7</v>
      </c>
      <c r="J536" s="307"/>
      <c r="K536" s="307">
        <f>IFERROR(Table24[[#This Row],[ROUTE COST]]/Table24[[#This Row],[O - DEMAND]],0)</f>
        <v>0</v>
      </c>
      <c r="L536" s="306"/>
      <c r="M536" s="310">
        <f>Table24[[#This Row],[O - DEMAND]]/950</f>
        <v>0</v>
      </c>
      <c r="N536" s="306">
        <f>IFERROR(VLOOKUP(Table24[[#This Row],[ROUTE]],DEMAND!A:F,5,FALSE),0)</f>
        <v>0</v>
      </c>
      <c r="O536" s="306">
        <f>IFERROR(VLOOKUP(Table24[[#This Row],[ROUTE]],DEMAND!A:F,6,FALSE),0)</f>
        <v>0</v>
      </c>
      <c r="P536" s="306">
        <f>ROUNDDOWN(Table24[[#This Row],[R-DEMAND]]/950,0)</f>
        <v>0</v>
      </c>
      <c r="Q536" s="306">
        <f>Table24[[#This Row],[ADD ACC
(475/950)]]*Table24[[#This Row],[Duration
(A359)]]</f>
        <v>0</v>
      </c>
      <c r="R536" s="307">
        <f>IFERROR(VLOOKUP(Table24[[#This Row],[ROUTE]],PRICING!A:B,2,FALSE),0)</f>
        <v>0</v>
      </c>
      <c r="S536" s="308">
        <f>Table24[[#This Row],[C_DEMAND]]-Table24[[#This Row],[R-DEMAND]]</f>
        <v>0</v>
      </c>
      <c r="T536" s="307">
        <f>Table24[[#This Row],[SEATS SOLD]]*Table24[[#This Row],[ECO SEAT]]</f>
        <v>0</v>
      </c>
      <c r="U536" s="307">
        <f>Table24[[#This Row],[SEATS SOLD]]*(IFERROR(VLOOKUP(Table24[[#This Row],[ROUTE]],PRICING!A:C,3,FALSE),0))</f>
        <v>0</v>
      </c>
      <c r="V536" s="307">
        <f>Table24[[#This Row],[SEAT REV]]-Table24[[#This Row],[SEAT REV
(IF IDEAL $)]]</f>
        <v>0</v>
      </c>
    </row>
    <row r="537" spans="1:22" customFormat="1" x14ac:dyDescent="0.25">
      <c r="A537" s="306" t="s">
        <v>17901</v>
      </c>
      <c r="B537" s="306" t="s">
        <v>4837</v>
      </c>
      <c r="C537" s="306"/>
      <c r="D537" s="26">
        <v>3</v>
      </c>
      <c r="E537" s="312" t="s">
        <v>11732</v>
      </c>
      <c r="F537" s="306" t="str">
        <f>VLOOKUP(Table24[[#This Row],[Country]],Table10[[COUNTRY NAME]:[CONTINENT CODE]],3,FALSE)</f>
        <v>NA - US</v>
      </c>
      <c r="G537" s="312" t="s">
        <v>13357</v>
      </c>
      <c r="H537" s="309">
        <v>2079</v>
      </c>
      <c r="I537" s="310">
        <v>6.75</v>
      </c>
      <c r="J537" s="307"/>
      <c r="K537" s="307">
        <f>IFERROR(Table24[[#This Row],[ROUTE COST]]/Table24[[#This Row],[O - DEMAND]],0)</f>
        <v>0</v>
      </c>
      <c r="L537" s="306"/>
      <c r="M537" s="310">
        <f>Table24[[#This Row],[O - DEMAND]]/950</f>
        <v>0</v>
      </c>
      <c r="N537" s="306">
        <f>IFERROR(VLOOKUP(Table24[[#This Row],[ROUTE]],DEMAND!A:F,5,FALSE),0)</f>
        <v>0</v>
      </c>
      <c r="O537" s="306">
        <f>IFERROR(VLOOKUP(Table24[[#This Row],[ROUTE]],DEMAND!A:F,6,FALSE),0)</f>
        <v>0</v>
      </c>
      <c r="P537" s="306">
        <f>ROUNDDOWN(Table24[[#This Row],[R-DEMAND]]/950,0)</f>
        <v>0</v>
      </c>
      <c r="Q537" s="306">
        <f>Table24[[#This Row],[ADD ACC
(475/950)]]*Table24[[#This Row],[Duration
(A359)]]</f>
        <v>0</v>
      </c>
      <c r="R537" s="307">
        <f>IFERROR(VLOOKUP(Table24[[#This Row],[ROUTE]],PRICING!A:B,2,FALSE),0)</f>
        <v>0</v>
      </c>
      <c r="S537" s="308">
        <f>Table24[[#This Row],[C_DEMAND]]-Table24[[#This Row],[R-DEMAND]]</f>
        <v>0</v>
      </c>
      <c r="T537" s="307">
        <f>Table24[[#This Row],[SEATS SOLD]]*Table24[[#This Row],[ECO SEAT]]</f>
        <v>0</v>
      </c>
      <c r="U537" s="307">
        <f>Table24[[#This Row],[SEATS SOLD]]*(IFERROR(VLOOKUP(Table24[[#This Row],[ROUTE]],PRICING!A:C,3,FALSE),0))</f>
        <v>0</v>
      </c>
      <c r="V537" s="307">
        <f>Table24[[#This Row],[SEAT REV]]-Table24[[#This Row],[SEAT REV
(IF IDEAL $)]]</f>
        <v>0</v>
      </c>
    </row>
    <row r="538" spans="1:22" customFormat="1" x14ac:dyDescent="0.25">
      <c r="A538" s="306" t="s">
        <v>17900</v>
      </c>
      <c r="B538" s="306" t="s">
        <v>4902</v>
      </c>
      <c r="C538" s="306"/>
      <c r="D538" s="26">
        <v>3</v>
      </c>
      <c r="E538" s="312" t="s">
        <v>11732</v>
      </c>
      <c r="F538" s="306" t="str">
        <f>VLOOKUP(Table24[[#This Row],[Country]],Table10[[COUNTRY NAME]:[CONTINENT CODE]],3,FALSE)</f>
        <v>NA - US</v>
      </c>
      <c r="G538" s="312" t="s">
        <v>13356</v>
      </c>
      <c r="H538" s="309">
        <v>2087</v>
      </c>
      <c r="I538" s="310">
        <v>6.75</v>
      </c>
      <c r="J538" s="307"/>
      <c r="K538" s="307">
        <f>IFERROR(Table24[[#This Row],[ROUTE COST]]/Table24[[#This Row],[O - DEMAND]],0)</f>
        <v>0</v>
      </c>
      <c r="L538" s="306"/>
      <c r="M538" s="310">
        <f>Table24[[#This Row],[O - DEMAND]]/950</f>
        <v>0</v>
      </c>
      <c r="N538" s="306">
        <f>IFERROR(VLOOKUP(Table24[[#This Row],[ROUTE]],DEMAND!A:F,5,FALSE),0)</f>
        <v>0</v>
      </c>
      <c r="O538" s="306">
        <f>IFERROR(VLOOKUP(Table24[[#This Row],[ROUTE]],DEMAND!A:F,6,FALSE),0)</f>
        <v>0</v>
      </c>
      <c r="P538" s="306">
        <f>ROUNDDOWN(Table24[[#This Row],[R-DEMAND]]/950,0)</f>
        <v>0</v>
      </c>
      <c r="Q538" s="306">
        <f>Table24[[#This Row],[ADD ACC
(475/950)]]*Table24[[#This Row],[Duration
(A359)]]</f>
        <v>0</v>
      </c>
      <c r="R538" s="307">
        <f>IFERROR(VLOOKUP(Table24[[#This Row],[ROUTE]],PRICING!A:B,2,FALSE),0)</f>
        <v>0</v>
      </c>
      <c r="S538" s="308">
        <f>Table24[[#This Row],[C_DEMAND]]-Table24[[#This Row],[R-DEMAND]]</f>
        <v>0</v>
      </c>
      <c r="T538" s="307">
        <f>Table24[[#This Row],[SEATS SOLD]]*Table24[[#This Row],[ECO SEAT]]</f>
        <v>0</v>
      </c>
      <c r="U538" s="307">
        <f>Table24[[#This Row],[SEATS SOLD]]*(IFERROR(VLOOKUP(Table24[[#This Row],[ROUTE]],PRICING!A:C,3,FALSE),0))</f>
        <v>0</v>
      </c>
      <c r="V538" s="307">
        <f>Table24[[#This Row],[SEAT REV]]-Table24[[#This Row],[SEAT REV
(IF IDEAL $)]]</f>
        <v>0</v>
      </c>
    </row>
    <row r="539" spans="1:22" customFormat="1" x14ac:dyDescent="0.25">
      <c r="A539" s="306" t="s">
        <v>17903</v>
      </c>
      <c r="B539" s="306" t="s">
        <v>4718</v>
      </c>
      <c r="C539" s="306"/>
      <c r="D539" s="26">
        <v>3</v>
      </c>
      <c r="E539" s="312" t="s">
        <v>11732</v>
      </c>
      <c r="F539" s="306" t="str">
        <f>VLOOKUP(Table24[[#This Row],[Country]],Table10[[COUNTRY NAME]:[CONTINENT CODE]],3,FALSE)</f>
        <v>NA - US</v>
      </c>
      <c r="G539" s="312" t="s">
        <v>13355</v>
      </c>
      <c r="H539" s="309">
        <v>2062</v>
      </c>
      <c r="I539" s="310">
        <v>6.75</v>
      </c>
      <c r="J539" s="307"/>
      <c r="K539" s="307">
        <f>IFERROR(Table24[[#This Row],[ROUTE COST]]/Table24[[#This Row],[O - DEMAND]],0)</f>
        <v>0</v>
      </c>
      <c r="L539" s="306"/>
      <c r="M539" s="310">
        <f>Table24[[#This Row],[O - DEMAND]]/950</f>
        <v>0</v>
      </c>
      <c r="N539" s="306">
        <f>IFERROR(VLOOKUP(Table24[[#This Row],[ROUTE]],DEMAND!A:F,5,FALSE),0)</f>
        <v>0</v>
      </c>
      <c r="O539" s="306">
        <f>IFERROR(VLOOKUP(Table24[[#This Row],[ROUTE]],DEMAND!A:F,6,FALSE),0)</f>
        <v>0</v>
      </c>
      <c r="P539" s="306">
        <f>ROUNDDOWN(Table24[[#This Row],[R-DEMAND]]/950,0)</f>
        <v>0</v>
      </c>
      <c r="Q539" s="306">
        <f>Table24[[#This Row],[ADD ACC
(475/950)]]*Table24[[#This Row],[Duration
(A359)]]</f>
        <v>0</v>
      </c>
      <c r="R539" s="307">
        <f>IFERROR(VLOOKUP(Table24[[#This Row],[ROUTE]],PRICING!A:B,2,FALSE),0)</f>
        <v>0</v>
      </c>
      <c r="S539" s="308">
        <f>Table24[[#This Row],[C_DEMAND]]-Table24[[#This Row],[R-DEMAND]]</f>
        <v>0</v>
      </c>
      <c r="T539" s="307">
        <f>Table24[[#This Row],[SEATS SOLD]]*Table24[[#This Row],[ECO SEAT]]</f>
        <v>0</v>
      </c>
      <c r="U539" s="307">
        <f>Table24[[#This Row],[SEATS SOLD]]*(IFERROR(VLOOKUP(Table24[[#This Row],[ROUTE]],PRICING!A:C,3,FALSE),0))</f>
        <v>0</v>
      </c>
      <c r="V539" s="307">
        <f>Table24[[#This Row],[SEAT REV]]-Table24[[#This Row],[SEAT REV
(IF IDEAL $)]]</f>
        <v>0</v>
      </c>
    </row>
    <row r="540" spans="1:22" customFormat="1" x14ac:dyDescent="0.25">
      <c r="A540" s="306" t="s">
        <v>17902</v>
      </c>
      <c r="B540" s="306" t="s">
        <v>5229</v>
      </c>
      <c r="C540" s="306"/>
      <c r="D540" s="26">
        <v>3</v>
      </c>
      <c r="E540" s="312" t="s">
        <v>11732</v>
      </c>
      <c r="F540" s="306" t="str">
        <f>VLOOKUP(Table24[[#This Row],[Country]],Table10[[COUNTRY NAME]:[CONTINENT CODE]],3,FALSE)</f>
        <v>NA - US</v>
      </c>
      <c r="G540" s="312" t="s">
        <v>17018</v>
      </c>
      <c r="H540" s="309">
        <v>2072</v>
      </c>
      <c r="I540" s="310">
        <v>6.75</v>
      </c>
      <c r="J540" s="307"/>
      <c r="K540" s="307">
        <f>IFERROR(Table24[[#This Row],[ROUTE COST]]/Table24[[#This Row],[O - DEMAND]],0)</f>
        <v>0</v>
      </c>
      <c r="L540" s="306"/>
      <c r="M540" s="310">
        <f>Table24[[#This Row],[O - DEMAND]]/950</f>
        <v>0</v>
      </c>
      <c r="N540" s="306">
        <f>IFERROR(VLOOKUP(Table24[[#This Row],[ROUTE]],DEMAND!A:F,5,FALSE),0)</f>
        <v>0</v>
      </c>
      <c r="O540" s="306">
        <f>IFERROR(VLOOKUP(Table24[[#This Row],[ROUTE]],DEMAND!A:F,6,FALSE),0)</f>
        <v>0</v>
      </c>
      <c r="P540" s="306">
        <f>ROUNDDOWN(Table24[[#This Row],[R-DEMAND]]/950,0)</f>
        <v>0</v>
      </c>
      <c r="Q540" s="306">
        <f>Table24[[#This Row],[ADD ACC
(475/950)]]*Table24[[#This Row],[Duration
(A359)]]</f>
        <v>0</v>
      </c>
      <c r="R540" s="307">
        <f>IFERROR(VLOOKUP(Table24[[#This Row],[ROUTE]],PRICING!A:B,2,FALSE),0)</f>
        <v>0</v>
      </c>
      <c r="S540" s="308">
        <f>Table24[[#This Row],[C_DEMAND]]-Table24[[#This Row],[R-DEMAND]]</f>
        <v>0</v>
      </c>
      <c r="T540" s="307">
        <f>Table24[[#This Row],[SEATS SOLD]]*Table24[[#This Row],[ECO SEAT]]</f>
        <v>0</v>
      </c>
      <c r="U540" s="307">
        <f>Table24[[#This Row],[SEATS SOLD]]*(IFERROR(VLOOKUP(Table24[[#This Row],[ROUTE]],PRICING!A:C,3,FALSE),0))</f>
        <v>0</v>
      </c>
      <c r="V540" s="307">
        <f>Table24[[#This Row],[SEAT REV]]-Table24[[#This Row],[SEAT REV
(IF IDEAL $)]]</f>
        <v>0</v>
      </c>
    </row>
    <row r="541" spans="1:22" customFormat="1" x14ac:dyDescent="0.25">
      <c r="A541" s="306" t="s">
        <v>18009</v>
      </c>
      <c r="B541" s="306" t="s">
        <v>4443</v>
      </c>
      <c r="C541" s="306"/>
      <c r="D541" s="26"/>
      <c r="E541" s="312" t="s">
        <v>11732</v>
      </c>
      <c r="F541" s="306" t="str">
        <f>VLOOKUP(Table24[[#This Row],[Country]],Table10[[COUNTRY NAME]:[CONTINENT CODE]],3,FALSE)</f>
        <v>NA - US</v>
      </c>
      <c r="G541" s="312" t="s">
        <v>17015</v>
      </c>
      <c r="H541" s="309">
        <v>2143</v>
      </c>
      <c r="I541" s="310">
        <v>6.75</v>
      </c>
      <c r="J541" s="307"/>
      <c r="K541" s="307">
        <f>IFERROR(Table24[[#This Row],[ROUTE COST]]/Table24[[#This Row],[O - DEMAND]],0)</f>
        <v>0</v>
      </c>
      <c r="L541" s="306"/>
      <c r="M541" s="310">
        <f>Table24[[#This Row],[O - DEMAND]]/950</f>
        <v>0</v>
      </c>
      <c r="N541" s="306">
        <f>IFERROR(VLOOKUP(Table24[[#This Row],[ROUTE]],DEMAND!A:F,5,FALSE),0)</f>
        <v>0</v>
      </c>
      <c r="O541" s="306">
        <f>IFERROR(VLOOKUP(Table24[[#This Row],[ROUTE]],DEMAND!A:F,6,FALSE),0)</f>
        <v>0</v>
      </c>
      <c r="P541" s="306">
        <f>ROUNDDOWN(Table24[[#This Row],[R-DEMAND]]/950,0)</f>
        <v>0</v>
      </c>
      <c r="Q541" s="306">
        <f>Table24[[#This Row],[ADD ACC
(475/950)]]*Table24[[#This Row],[Duration
(A359)]]</f>
        <v>0</v>
      </c>
      <c r="R541" s="307">
        <f>IFERROR(VLOOKUP(Table24[[#This Row],[ROUTE]],PRICING!A:B,2,FALSE),0)</f>
        <v>0</v>
      </c>
      <c r="S541" s="308">
        <f>Table24[[#This Row],[C_DEMAND]]-Table24[[#This Row],[R-DEMAND]]</f>
        <v>0</v>
      </c>
      <c r="T541" s="307">
        <f>Table24[[#This Row],[SEATS SOLD]]*Table24[[#This Row],[ECO SEAT]]</f>
        <v>0</v>
      </c>
      <c r="U541" s="307">
        <f>Table24[[#This Row],[SEATS SOLD]]*(IFERROR(VLOOKUP(Table24[[#This Row],[ROUTE]],PRICING!A:C,3,FALSE),0))</f>
        <v>0</v>
      </c>
      <c r="V541" s="307">
        <f>Table24[[#This Row],[SEAT REV]]-Table24[[#This Row],[SEAT REV
(IF IDEAL $)]]</f>
        <v>0</v>
      </c>
    </row>
    <row r="542" spans="1:22" customFormat="1" x14ac:dyDescent="0.25">
      <c r="A542" s="306" t="s">
        <v>18011</v>
      </c>
      <c r="B542" s="306" t="s">
        <v>3765</v>
      </c>
      <c r="C542" s="306"/>
      <c r="D542" s="26"/>
      <c r="E542" s="312" t="s">
        <v>11732</v>
      </c>
      <c r="F542" s="306" t="str">
        <f>VLOOKUP(Table24[[#This Row],[Country]],Table10[[COUNTRY NAME]:[CONTINENT CODE]],3,FALSE)</f>
        <v>NA - US</v>
      </c>
      <c r="G542" s="312" t="s">
        <v>17017</v>
      </c>
      <c r="H542" s="309">
        <v>2077</v>
      </c>
      <c r="I542" s="310">
        <v>6.75</v>
      </c>
      <c r="J542" s="307"/>
      <c r="K542" s="307">
        <f>IFERROR(Table24[[#This Row],[ROUTE COST]]/Table24[[#This Row],[O - DEMAND]],0)</f>
        <v>0</v>
      </c>
      <c r="L542" s="306"/>
      <c r="M542" s="310">
        <f>Table24[[#This Row],[O - DEMAND]]/950</f>
        <v>0</v>
      </c>
      <c r="N542" s="306">
        <f>IFERROR(VLOOKUP(Table24[[#This Row],[ROUTE]],DEMAND!A:F,5,FALSE),0)</f>
        <v>0</v>
      </c>
      <c r="O542" s="306">
        <f>IFERROR(VLOOKUP(Table24[[#This Row],[ROUTE]],DEMAND!A:F,6,FALSE),0)</f>
        <v>0</v>
      </c>
      <c r="P542" s="306">
        <f>ROUNDDOWN(Table24[[#This Row],[R-DEMAND]]/950,0)</f>
        <v>0</v>
      </c>
      <c r="Q542" s="306">
        <f>Table24[[#This Row],[ADD ACC
(475/950)]]*Table24[[#This Row],[Duration
(A359)]]</f>
        <v>0</v>
      </c>
      <c r="R542" s="307">
        <f>IFERROR(VLOOKUP(Table24[[#This Row],[ROUTE]],PRICING!A:B,2,FALSE),0)</f>
        <v>0</v>
      </c>
      <c r="S542" s="308">
        <f>Table24[[#This Row],[C_DEMAND]]-Table24[[#This Row],[R-DEMAND]]</f>
        <v>0</v>
      </c>
      <c r="T542" s="307">
        <f>Table24[[#This Row],[SEATS SOLD]]*Table24[[#This Row],[ECO SEAT]]</f>
        <v>0</v>
      </c>
      <c r="U542" s="307">
        <f>Table24[[#This Row],[SEATS SOLD]]*(IFERROR(VLOOKUP(Table24[[#This Row],[ROUTE]],PRICING!A:C,3,FALSE),0))</f>
        <v>0</v>
      </c>
      <c r="V542" s="307">
        <f>Table24[[#This Row],[SEAT REV]]-Table24[[#This Row],[SEAT REV
(IF IDEAL $)]]</f>
        <v>0</v>
      </c>
    </row>
    <row r="543" spans="1:22" customFormat="1" x14ac:dyDescent="0.25">
      <c r="A543" s="306" t="s">
        <v>18010</v>
      </c>
      <c r="B543" s="306" t="s">
        <v>4154</v>
      </c>
      <c r="C543" s="306"/>
      <c r="D543" s="26"/>
      <c r="E543" s="312" t="s">
        <v>11732</v>
      </c>
      <c r="F543" s="306" t="str">
        <f>VLOOKUP(Table24[[#This Row],[Country]],Table10[[COUNTRY NAME]:[CONTINENT CODE]],3,FALSE)</f>
        <v>NA - US</v>
      </c>
      <c r="G543" s="312" t="s">
        <v>17016</v>
      </c>
      <c r="H543" s="309">
        <v>2096</v>
      </c>
      <c r="I543" s="310">
        <v>6.75</v>
      </c>
      <c r="J543" s="307"/>
      <c r="K543" s="307">
        <f>IFERROR(Table24[[#This Row],[ROUTE COST]]/Table24[[#This Row],[O - DEMAND]],0)</f>
        <v>0</v>
      </c>
      <c r="L543" s="306"/>
      <c r="M543" s="310">
        <f>Table24[[#This Row],[O - DEMAND]]/950</f>
        <v>0</v>
      </c>
      <c r="N543" s="306">
        <f>IFERROR(VLOOKUP(Table24[[#This Row],[ROUTE]],DEMAND!A:F,5,FALSE),0)</f>
        <v>0</v>
      </c>
      <c r="O543" s="306">
        <f>IFERROR(VLOOKUP(Table24[[#This Row],[ROUTE]],DEMAND!A:F,6,FALSE),0)</f>
        <v>0</v>
      </c>
      <c r="P543" s="306">
        <f>ROUNDDOWN(Table24[[#This Row],[R-DEMAND]]/950,0)</f>
        <v>0</v>
      </c>
      <c r="Q543" s="306">
        <f>Table24[[#This Row],[ADD ACC
(475/950)]]*Table24[[#This Row],[Duration
(A359)]]</f>
        <v>0</v>
      </c>
      <c r="R543" s="307">
        <f>IFERROR(VLOOKUP(Table24[[#This Row],[ROUTE]],PRICING!A:B,2,FALSE),0)</f>
        <v>0</v>
      </c>
      <c r="S543" s="308">
        <f>Table24[[#This Row],[C_DEMAND]]-Table24[[#This Row],[R-DEMAND]]</f>
        <v>0</v>
      </c>
      <c r="T543" s="307">
        <f>Table24[[#This Row],[SEATS SOLD]]*Table24[[#This Row],[ECO SEAT]]</f>
        <v>0</v>
      </c>
      <c r="U543" s="307">
        <f>Table24[[#This Row],[SEATS SOLD]]*(IFERROR(VLOOKUP(Table24[[#This Row],[ROUTE]],PRICING!A:C,3,FALSE),0))</f>
        <v>0</v>
      </c>
      <c r="V543" s="307">
        <f>Table24[[#This Row],[SEAT REV]]-Table24[[#This Row],[SEAT REV
(IF IDEAL $)]]</f>
        <v>0</v>
      </c>
    </row>
    <row r="544" spans="1:22" customFormat="1" x14ac:dyDescent="0.25">
      <c r="A544" s="306" t="s">
        <v>18008</v>
      </c>
      <c r="B544" s="306" t="s">
        <v>5214</v>
      </c>
      <c r="C544" s="306"/>
      <c r="D544" s="26"/>
      <c r="E544" s="312" t="s">
        <v>11732</v>
      </c>
      <c r="F544" s="306" t="str">
        <f>VLOOKUP(Table24[[#This Row],[Country]],Table10[[COUNTRY NAME]:[CONTINENT CODE]],3,FALSE)</f>
        <v>NA - US</v>
      </c>
      <c r="G544" s="312" t="s">
        <v>17013</v>
      </c>
      <c r="H544" s="309">
        <v>2161</v>
      </c>
      <c r="I544" s="310">
        <v>6.75</v>
      </c>
      <c r="J544" s="307"/>
      <c r="K544" s="307">
        <f>IFERROR(Table24[[#This Row],[ROUTE COST]]/Table24[[#This Row],[O - DEMAND]],0)</f>
        <v>0</v>
      </c>
      <c r="L544" s="306"/>
      <c r="M544" s="310">
        <f>Table24[[#This Row],[O - DEMAND]]/950</f>
        <v>0</v>
      </c>
      <c r="N544" s="306">
        <f>IFERROR(VLOOKUP(Table24[[#This Row],[ROUTE]],DEMAND!A:F,5,FALSE),0)</f>
        <v>0</v>
      </c>
      <c r="O544" s="306">
        <f>IFERROR(VLOOKUP(Table24[[#This Row],[ROUTE]],DEMAND!A:F,6,FALSE),0)</f>
        <v>0</v>
      </c>
      <c r="P544" s="306">
        <f>ROUNDDOWN(Table24[[#This Row],[R-DEMAND]]/950,0)</f>
        <v>0</v>
      </c>
      <c r="Q544" s="306">
        <f>Table24[[#This Row],[ADD ACC
(475/950)]]*Table24[[#This Row],[Duration
(A359)]]</f>
        <v>0</v>
      </c>
      <c r="R544" s="307">
        <f>IFERROR(VLOOKUP(Table24[[#This Row],[ROUTE]],PRICING!A:B,2,FALSE),0)</f>
        <v>0</v>
      </c>
      <c r="S544" s="308">
        <f>Table24[[#This Row],[C_DEMAND]]-Table24[[#This Row],[R-DEMAND]]</f>
        <v>0</v>
      </c>
      <c r="T544" s="307">
        <f>Table24[[#This Row],[SEATS SOLD]]*Table24[[#This Row],[ECO SEAT]]</f>
        <v>0</v>
      </c>
      <c r="U544" s="307">
        <f>Table24[[#This Row],[SEATS SOLD]]*(IFERROR(VLOOKUP(Table24[[#This Row],[ROUTE]],PRICING!A:C,3,FALSE),0))</f>
        <v>0</v>
      </c>
      <c r="V544" s="307">
        <f>Table24[[#This Row],[SEAT REV]]-Table24[[#This Row],[SEAT REV
(IF IDEAL $)]]</f>
        <v>0</v>
      </c>
    </row>
    <row r="545" spans="1:22" customFormat="1" x14ac:dyDescent="0.25">
      <c r="A545" s="306" t="s">
        <v>17869</v>
      </c>
      <c r="B545" s="306" t="s">
        <v>5553</v>
      </c>
      <c r="C545" s="306"/>
      <c r="D545" s="26">
        <v>4</v>
      </c>
      <c r="E545" s="312" t="s">
        <v>11732</v>
      </c>
      <c r="F545" s="306" t="str">
        <f>VLOOKUP(Table24[[#This Row],[Country]],Table10[[COUNTRY NAME]:[CONTINENT CODE]],3,FALSE)</f>
        <v>NA - US</v>
      </c>
      <c r="G545" s="312" t="s">
        <v>13359</v>
      </c>
      <c r="H545" s="309">
        <v>2026</v>
      </c>
      <c r="I545" s="310">
        <v>6.5</v>
      </c>
      <c r="J545" s="307"/>
      <c r="K545" s="307">
        <f>IFERROR(Table24[[#This Row],[ROUTE COST]]/Table24[[#This Row],[O - DEMAND]],0)</f>
        <v>0</v>
      </c>
      <c r="L545" s="306"/>
      <c r="M545" s="310">
        <f>Table24[[#This Row],[O - DEMAND]]/950</f>
        <v>0</v>
      </c>
      <c r="N545" s="306">
        <f>IFERROR(VLOOKUP(Table24[[#This Row],[ROUTE]],DEMAND!A:F,5,FALSE),0)</f>
        <v>0</v>
      </c>
      <c r="O545" s="306">
        <f>IFERROR(VLOOKUP(Table24[[#This Row],[ROUTE]],DEMAND!A:F,6,FALSE),0)</f>
        <v>0</v>
      </c>
      <c r="P545" s="306">
        <f>ROUNDDOWN(Table24[[#This Row],[R-DEMAND]]/950,0)</f>
        <v>0</v>
      </c>
      <c r="Q545" s="306">
        <f>Table24[[#This Row],[ADD ACC
(475/950)]]*Table24[[#This Row],[Duration
(A359)]]</f>
        <v>0</v>
      </c>
      <c r="R545" s="307">
        <f>IFERROR(VLOOKUP(Table24[[#This Row],[ROUTE]],PRICING!A:B,2,FALSE),0)</f>
        <v>0</v>
      </c>
      <c r="S545" s="308">
        <f>Table24[[#This Row],[C_DEMAND]]-Table24[[#This Row],[R-DEMAND]]</f>
        <v>0</v>
      </c>
      <c r="T545" s="307">
        <f>Table24[[#This Row],[SEATS SOLD]]*Table24[[#This Row],[ECO SEAT]]</f>
        <v>0</v>
      </c>
      <c r="U545" s="307">
        <f>Table24[[#This Row],[SEATS SOLD]]*(IFERROR(VLOOKUP(Table24[[#This Row],[ROUTE]],PRICING!A:C,3,FALSE),0))</f>
        <v>0</v>
      </c>
      <c r="V545" s="307">
        <f>Table24[[#This Row],[SEAT REV]]-Table24[[#This Row],[SEAT REV
(IF IDEAL $)]]</f>
        <v>0</v>
      </c>
    </row>
    <row r="546" spans="1:22" customFormat="1" x14ac:dyDescent="0.25">
      <c r="A546" s="306" t="s">
        <v>17948</v>
      </c>
      <c r="B546" s="306" t="s">
        <v>2595</v>
      </c>
      <c r="C546" s="306"/>
      <c r="D546" s="26">
        <v>2</v>
      </c>
      <c r="E546" s="312" t="s">
        <v>11732</v>
      </c>
      <c r="F546" s="306" t="str">
        <f>VLOOKUP(Table24[[#This Row],[Country]],Table10[[COUNTRY NAME]:[CONTINENT CODE]],3,FALSE)</f>
        <v>NA - US</v>
      </c>
      <c r="G546" s="312" t="s">
        <v>17019</v>
      </c>
      <c r="H546" s="309">
        <v>1937</v>
      </c>
      <c r="I546" s="310">
        <v>6.5</v>
      </c>
      <c r="J546" s="307"/>
      <c r="K546" s="307">
        <f>IFERROR(Table24[[#This Row],[ROUTE COST]]/Table24[[#This Row],[O - DEMAND]],0)</f>
        <v>0</v>
      </c>
      <c r="L546" s="306"/>
      <c r="M546" s="310">
        <f>Table24[[#This Row],[O - DEMAND]]/950</f>
        <v>0</v>
      </c>
      <c r="N546" s="306">
        <f>IFERROR(VLOOKUP(Table24[[#This Row],[ROUTE]],DEMAND!A:F,5,FALSE),0)</f>
        <v>0</v>
      </c>
      <c r="O546" s="306">
        <f>IFERROR(VLOOKUP(Table24[[#This Row],[ROUTE]],DEMAND!A:F,6,FALSE),0)</f>
        <v>0</v>
      </c>
      <c r="P546" s="306">
        <f>ROUNDDOWN(Table24[[#This Row],[R-DEMAND]]/950,0)</f>
        <v>0</v>
      </c>
      <c r="Q546" s="306">
        <f>Table24[[#This Row],[ADD ACC
(475/950)]]*Table24[[#This Row],[Duration
(A359)]]</f>
        <v>0</v>
      </c>
      <c r="R546" s="307">
        <f>IFERROR(VLOOKUP(Table24[[#This Row],[ROUTE]],PRICING!A:B,2,FALSE),0)</f>
        <v>0</v>
      </c>
      <c r="S546" s="308">
        <f>Table24[[#This Row],[C_DEMAND]]-Table24[[#This Row],[R-DEMAND]]</f>
        <v>0</v>
      </c>
      <c r="T546" s="307">
        <f>Table24[[#This Row],[SEATS SOLD]]*Table24[[#This Row],[ECO SEAT]]</f>
        <v>0</v>
      </c>
      <c r="U546" s="307">
        <f>Table24[[#This Row],[SEATS SOLD]]*(IFERROR(VLOOKUP(Table24[[#This Row],[ROUTE]],PRICING!A:C,3,FALSE),0))</f>
        <v>0</v>
      </c>
      <c r="V546" s="307">
        <f>Table24[[#This Row],[SEAT REV]]-Table24[[#This Row],[SEAT REV
(IF IDEAL $)]]</f>
        <v>0</v>
      </c>
    </row>
    <row r="547" spans="1:22" customFormat="1" x14ac:dyDescent="0.25">
      <c r="A547" s="306" t="s">
        <v>17947</v>
      </c>
      <c r="B547" s="306" t="s">
        <v>4371</v>
      </c>
      <c r="C547" s="306"/>
      <c r="D547" s="26">
        <v>2</v>
      </c>
      <c r="E547" s="312" t="s">
        <v>11732</v>
      </c>
      <c r="F547" s="306" t="str">
        <f>VLOOKUP(Table24[[#This Row],[Country]],Table10[[COUNTRY NAME]:[CONTINENT CODE]],3,FALSE)</f>
        <v>NA - US</v>
      </c>
      <c r="G547" s="312" t="s">
        <v>13360</v>
      </c>
      <c r="H547" s="309">
        <v>1952</v>
      </c>
      <c r="I547" s="310">
        <v>6.5</v>
      </c>
      <c r="J547" s="307"/>
      <c r="K547" s="307">
        <f>IFERROR(Table24[[#This Row],[ROUTE COST]]/Table24[[#This Row],[O - DEMAND]],0)</f>
        <v>0</v>
      </c>
      <c r="L547" s="306"/>
      <c r="M547" s="310">
        <f>Table24[[#This Row],[O - DEMAND]]/950</f>
        <v>0</v>
      </c>
      <c r="N547" s="306">
        <f>IFERROR(VLOOKUP(Table24[[#This Row],[ROUTE]],DEMAND!A:F,5,FALSE),0)</f>
        <v>0</v>
      </c>
      <c r="O547" s="306">
        <f>IFERROR(VLOOKUP(Table24[[#This Row],[ROUTE]],DEMAND!A:F,6,FALSE),0)</f>
        <v>0</v>
      </c>
      <c r="P547" s="306">
        <f>ROUNDDOWN(Table24[[#This Row],[R-DEMAND]]/950,0)</f>
        <v>0</v>
      </c>
      <c r="Q547" s="306">
        <f>Table24[[#This Row],[ADD ACC
(475/950)]]*Table24[[#This Row],[Duration
(A359)]]</f>
        <v>0</v>
      </c>
      <c r="R547" s="307">
        <f>IFERROR(VLOOKUP(Table24[[#This Row],[ROUTE]],PRICING!A:B,2,FALSE),0)</f>
        <v>0</v>
      </c>
      <c r="S547" s="308">
        <f>Table24[[#This Row],[C_DEMAND]]-Table24[[#This Row],[R-DEMAND]]</f>
        <v>0</v>
      </c>
      <c r="T547" s="307">
        <f>Table24[[#This Row],[SEATS SOLD]]*Table24[[#This Row],[ECO SEAT]]</f>
        <v>0</v>
      </c>
      <c r="U547" s="307">
        <f>Table24[[#This Row],[SEATS SOLD]]*(IFERROR(VLOOKUP(Table24[[#This Row],[ROUTE]],PRICING!A:C,3,FALSE),0))</f>
        <v>0</v>
      </c>
      <c r="V547" s="307">
        <f>Table24[[#This Row],[SEAT REV]]-Table24[[#This Row],[SEAT REV
(IF IDEAL $)]]</f>
        <v>0</v>
      </c>
    </row>
    <row r="548" spans="1:22" customFormat="1" x14ac:dyDescent="0.25">
      <c r="A548" s="306" t="s">
        <v>18012</v>
      </c>
      <c r="B548" s="306" t="s">
        <v>4598</v>
      </c>
      <c r="C548" s="306"/>
      <c r="D548" s="26"/>
      <c r="E548" s="312" t="s">
        <v>11732</v>
      </c>
      <c r="F548" s="306" t="str">
        <f>VLOOKUP(Table24[[#This Row],[Country]],Table10[[COUNTRY NAME]:[CONTINENT CODE]],3,FALSE)</f>
        <v>NA - US</v>
      </c>
      <c r="G548" s="312" t="s">
        <v>17020</v>
      </c>
      <c r="H548" s="309">
        <v>1919</v>
      </c>
      <c r="I548" s="310">
        <v>6.25</v>
      </c>
      <c r="J548" s="307"/>
      <c r="K548" s="307">
        <f>IFERROR(Table24[[#This Row],[ROUTE COST]]/Table24[[#This Row],[O - DEMAND]],0)</f>
        <v>0</v>
      </c>
      <c r="L548" s="306"/>
      <c r="M548" s="310">
        <f>Table24[[#This Row],[O - DEMAND]]/950</f>
        <v>0</v>
      </c>
      <c r="N548" s="306">
        <f>IFERROR(VLOOKUP(Table24[[#This Row],[ROUTE]],DEMAND!A:F,5,FALSE),0)</f>
        <v>0</v>
      </c>
      <c r="O548" s="306">
        <f>IFERROR(VLOOKUP(Table24[[#This Row],[ROUTE]],DEMAND!A:F,6,FALSE),0)</f>
        <v>0</v>
      </c>
      <c r="P548" s="306">
        <f>ROUNDDOWN(Table24[[#This Row],[R-DEMAND]]/950,0)</f>
        <v>0</v>
      </c>
      <c r="Q548" s="306">
        <f>Table24[[#This Row],[ADD ACC
(475/950)]]*Table24[[#This Row],[Duration
(A359)]]</f>
        <v>0</v>
      </c>
      <c r="R548" s="307">
        <f>IFERROR(VLOOKUP(Table24[[#This Row],[ROUTE]],PRICING!A:B,2,FALSE),0)</f>
        <v>0</v>
      </c>
      <c r="S548" s="308">
        <f>Table24[[#This Row],[C_DEMAND]]-Table24[[#This Row],[R-DEMAND]]</f>
        <v>0</v>
      </c>
      <c r="T548" s="307">
        <f>Table24[[#This Row],[SEATS SOLD]]*Table24[[#This Row],[ECO SEAT]]</f>
        <v>0</v>
      </c>
      <c r="U548" s="307">
        <f>Table24[[#This Row],[SEATS SOLD]]*(IFERROR(VLOOKUP(Table24[[#This Row],[ROUTE]],PRICING!A:C,3,FALSE),0))</f>
        <v>0</v>
      </c>
      <c r="V548" s="307">
        <f>Table24[[#This Row],[SEAT REV]]-Table24[[#This Row],[SEAT REV
(IF IDEAL $)]]</f>
        <v>0</v>
      </c>
    </row>
    <row r="549" spans="1:22" customFormat="1" x14ac:dyDescent="0.25">
      <c r="A549" s="306" t="s">
        <v>17905</v>
      </c>
      <c r="B549" s="306" t="s">
        <v>4785</v>
      </c>
      <c r="C549" s="306"/>
      <c r="D549" s="26">
        <v>3</v>
      </c>
      <c r="E549" s="312" t="s">
        <v>11732</v>
      </c>
      <c r="F549" s="306" t="str">
        <f>VLOOKUP(Table24[[#This Row],[Country]],Table10[[COUNTRY NAME]:[CONTINENT CODE]],3,FALSE)</f>
        <v>NA - US</v>
      </c>
      <c r="G549" s="312" t="s">
        <v>13361</v>
      </c>
      <c r="H549" s="309">
        <v>1804</v>
      </c>
      <c r="I549" s="310">
        <v>6</v>
      </c>
      <c r="J549" s="307"/>
      <c r="K549" s="307">
        <f>IFERROR(Table24[[#This Row],[ROUTE COST]]/Table24[[#This Row],[O - DEMAND]],0)</f>
        <v>0</v>
      </c>
      <c r="L549" s="306"/>
      <c r="M549" s="310">
        <f>Table24[[#This Row],[O - DEMAND]]/950</f>
        <v>0</v>
      </c>
      <c r="N549" s="306">
        <f>IFERROR(VLOOKUP(Table24[[#This Row],[ROUTE]],DEMAND!A:F,5,FALSE),0)</f>
        <v>0</v>
      </c>
      <c r="O549" s="306">
        <f>IFERROR(VLOOKUP(Table24[[#This Row],[ROUTE]],DEMAND!A:F,6,FALSE),0)</f>
        <v>0</v>
      </c>
      <c r="P549" s="306">
        <f>ROUNDDOWN(Table24[[#This Row],[R-DEMAND]]/950,0)</f>
        <v>0</v>
      </c>
      <c r="Q549" s="306">
        <f>Table24[[#This Row],[ADD ACC
(475/950)]]*Table24[[#This Row],[Duration
(A359)]]</f>
        <v>0</v>
      </c>
      <c r="R549" s="307">
        <f>IFERROR(VLOOKUP(Table24[[#This Row],[ROUTE]],PRICING!A:B,2,FALSE),0)</f>
        <v>0</v>
      </c>
      <c r="S549" s="308">
        <f>Table24[[#This Row],[C_DEMAND]]-Table24[[#This Row],[R-DEMAND]]</f>
        <v>0</v>
      </c>
      <c r="T549" s="307">
        <f>Table24[[#This Row],[SEATS SOLD]]*Table24[[#This Row],[ECO SEAT]]</f>
        <v>0</v>
      </c>
      <c r="U549" s="307">
        <f>Table24[[#This Row],[SEATS SOLD]]*(IFERROR(VLOOKUP(Table24[[#This Row],[ROUTE]],PRICING!A:C,3,FALSE),0))</f>
        <v>0</v>
      </c>
      <c r="V549" s="307">
        <f>Table24[[#This Row],[SEAT REV]]-Table24[[#This Row],[SEAT REV
(IF IDEAL $)]]</f>
        <v>0</v>
      </c>
    </row>
    <row r="550" spans="1:22" customFormat="1" x14ac:dyDescent="0.25">
      <c r="A550" s="306" t="s">
        <v>17906</v>
      </c>
      <c r="B550" s="306" t="s">
        <v>4852</v>
      </c>
      <c r="C550" s="306"/>
      <c r="D550" s="26">
        <v>3</v>
      </c>
      <c r="E550" s="312" t="s">
        <v>11732</v>
      </c>
      <c r="F550" s="306" t="str">
        <f>VLOOKUP(Table24[[#This Row],[Country]],Table10[[COUNTRY NAME]:[CONTINENT CODE]],3,FALSE)</f>
        <v>NA - US</v>
      </c>
      <c r="G550" s="312" t="s">
        <v>13362</v>
      </c>
      <c r="H550" s="309">
        <v>1750</v>
      </c>
      <c r="I550" s="310">
        <v>6</v>
      </c>
      <c r="J550" s="307"/>
      <c r="K550" s="307">
        <f>IFERROR(Table24[[#This Row],[ROUTE COST]]/Table24[[#This Row],[O - DEMAND]],0)</f>
        <v>0</v>
      </c>
      <c r="L550" s="306"/>
      <c r="M550" s="310">
        <f>Table24[[#This Row],[O - DEMAND]]/950</f>
        <v>0</v>
      </c>
      <c r="N550" s="306">
        <f>IFERROR(VLOOKUP(Table24[[#This Row],[ROUTE]],DEMAND!A:F,5,FALSE),0)</f>
        <v>0</v>
      </c>
      <c r="O550" s="306">
        <f>IFERROR(VLOOKUP(Table24[[#This Row],[ROUTE]],DEMAND!A:F,6,FALSE),0)</f>
        <v>0</v>
      </c>
      <c r="P550" s="306">
        <f>ROUNDDOWN(Table24[[#This Row],[R-DEMAND]]/950,0)</f>
        <v>0</v>
      </c>
      <c r="Q550" s="306">
        <f>Table24[[#This Row],[ADD ACC
(475/950)]]*Table24[[#This Row],[Duration
(A359)]]</f>
        <v>0</v>
      </c>
      <c r="R550" s="307">
        <f>IFERROR(VLOOKUP(Table24[[#This Row],[ROUTE]],PRICING!A:B,2,FALSE),0)</f>
        <v>0</v>
      </c>
      <c r="S550" s="308">
        <f>Table24[[#This Row],[C_DEMAND]]-Table24[[#This Row],[R-DEMAND]]</f>
        <v>0</v>
      </c>
      <c r="T550" s="307">
        <f>Table24[[#This Row],[SEATS SOLD]]*Table24[[#This Row],[ECO SEAT]]</f>
        <v>0</v>
      </c>
      <c r="U550" s="307">
        <f>Table24[[#This Row],[SEATS SOLD]]*(IFERROR(VLOOKUP(Table24[[#This Row],[ROUTE]],PRICING!A:C,3,FALSE),0))</f>
        <v>0</v>
      </c>
      <c r="V550" s="307">
        <f>Table24[[#This Row],[SEAT REV]]-Table24[[#This Row],[SEAT REV
(IF IDEAL $)]]</f>
        <v>0</v>
      </c>
    </row>
    <row r="551" spans="1:22" customFormat="1" x14ac:dyDescent="0.25">
      <c r="A551" s="306" t="s">
        <v>17797</v>
      </c>
      <c r="B551" s="306" t="s">
        <v>4429</v>
      </c>
      <c r="C551" s="306"/>
      <c r="D551" s="26">
        <v>2</v>
      </c>
      <c r="E551" s="312" t="s">
        <v>4427</v>
      </c>
      <c r="F551" s="306" t="str">
        <f>VLOOKUP(Table24[[#This Row],[Country]],Table10[[COUNTRY NAME]:[CONTINENT CODE]],3,FALSE)</f>
        <v>NA</v>
      </c>
      <c r="G551" s="312" t="s">
        <v>13148</v>
      </c>
      <c r="H551" s="309">
        <v>1711</v>
      </c>
      <c r="I551" s="310">
        <v>6</v>
      </c>
      <c r="J551" s="307"/>
      <c r="K551" s="307">
        <f>IFERROR(Table24[[#This Row],[ROUTE COST]]/Table24[[#This Row],[O - DEMAND]],0)</f>
        <v>0</v>
      </c>
      <c r="L551" s="306"/>
      <c r="M551" s="310">
        <f>Table24[[#This Row],[O - DEMAND]]/950</f>
        <v>0</v>
      </c>
      <c r="N551" s="306">
        <f>IFERROR(VLOOKUP(Table24[[#This Row],[ROUTE]],DEMAND!A:F,5,FALSE),0)</f>
        <v>0</v>
      </c>
      <c r="O551" s="306">
        <f>IFERROR(VLOOKUP(Table24[[#This Row],[ROUTE]],DEMAND!A:F,6,FALSE),0)</f>
        <v>0</v>
      </c>
      <c r="P551" s="306">
        <f>ROUNDDOWN(Table24[[#This Row],[R-DEMAND]]/950,0)</f>
        <v>0</v>
      </c>
      <c r="Q551" s="306">
        <f>Table24[[#This Row],[ADD ACC
(475/950)]]*Table24[[#This Row],[Duration
(A359)]]</f>
        <v>0</v>
      </c>
      <c r="R551" s="307">
        <f>IFERROR(VLOOKUP(Table24[[#This Row],[ROUTE]],PRICING!A:B,2,FALSE),0)</f>
        <v>0</v>
      </c>
      <c r="S551" s="308">
        <f>Table24[[#This Row],[C_DEMAND]]-Table24[[#This Row],[R-DEMAND]]</f>
        <v>0</v>
      </c>
      <c r="T551" s="307">
        <f>Table24[[#This Row],[SEATS SOLD]]*Table24[[#This Row],[ECO SEAT]]</f>
        <v>0</v>
      </c>
      <c r="U551" s="307">
        <f>Table24[[#This Row],[SEATS SOLD]]*(IFERROR(VLOOKUP(Table24[[#This Row],[ROUTE]],PRICING!A:C,3,FALSE),0))</f>
        <v>0</v>
      </c>
      <c r="V551" s="307">
        <f>Table24[[#This Row],[SEAT REV]]-Table24[[#This Row],[SEAT REV
(IF IDEAL $)]]</f>
        <v>0</v>
      </c>
    </row>
    <row r="552" spans="1:22" customFormat="1" x14ac:dyDescent="0.25">
      <c r="A552" s="306" t="s">
        <v>17870</v>
      </c>
      <c r="B552" s="306" t="s">
        <v>5397</v>
      </c>
      <c r="C552" s="306"/>
      <c r="D552" s="26">
        <v>4</v>
      </c>
      <c r="E552" s="312" t="s">
        <v>11732</v>
      </c>
      <c r="F552" s="306" t="str">
        <f>VLOOKUP(Table24[[#This Row],[Country]],Table10[[COUNTRY NAME]:[CONTINENT CODE]],3,FALSE)</f>
        <v>NA - US</v>
      </c>
      <c r="G552" s="312" t="s">
        <v>13363</v>
      </c>
      <c r="H552" s="309">
        <v>1628</v>
      </c>
      <c r="I552" s="310">
        <v>5.75</v>
      </c>
      <c r="J552" s="307"/>
      <c r="K552" s="307">
        <f>IFERROR(Table24[[#This Row],[ROUTE COST]]/Table24[[#This Row],[O - DEMAND]],0)</f>
        <v>0</v>
      </c>
      <c r="L552" s="306"/>
      <c r="M552" s="310">
        <f>Table24[[#This Row],[O - DEMAND]]/950</f>
        <v>0</v>
      </c>
      <c r="N552" s="306">
        <f>IFERROR(VLOOKUP(Table24[[#This Row],[ROUTE]],DEMAND!A:F,5,FALSE),0)</f>
        <v>0</v>
      </c>
      <c r="O552" s="306">
        <f>IFERROR(VLOOKUP(Table24[[#This Row],[ROUTE]],DEMAND!A:F,6,FALSE),0)</f>
        <v>0</v>
      </c>
      <c r="P552" s="306">
        <f>ROUNDDOWN(Table24[[#This Row],[R-DEMAND]]/950,0)</f>
        <v>0</v>
      </c>
      <c r="Q552" s="306">
        <f>Table24[[#This Row],[ADD ACC
(475/950)]]*Table24[[#This Row],[Duration
(A359)]]</f>
        <v>0</v>
      </c>
      <c r="R552" s="307">
        <f>IFERROR(VLOOKUP(Table24[[#This Row],[ROUTE]],PRICING!A:B,2,FALSE),0)</f>
        <v>0</v>
      </c>
      <c r="S552" s="308">
        <f>Table24[[#This Row],[C_DEMAND]]-Table24[[#This Row],[R-DEMAND]]</f>
        <v>0</v>
      </c>
      <c r="T552" s="307">
        <f>Table24[[#This Row],[SEATS SOLD]]*Table24[[#This Row],[ECO SEAT]]</f>
        <v>0</v>
      </c>
      <c r="U552" s="307">
        <f>Table24[[#This Row],[SEATS SOLD]]*(IFERROR(VLOOKUP(Table24[[#This Row],[ROUTE]],PRICING!A:C,3,FALSE),0))</f>
        <v>0</v>
      </c>
      <c r="V552" s="307">
        <f>Table24[[#This Row],[SEAT REV]]-Table24[[#This Row],[SEAT REV
(IF IDEAL $)]]</f>
        <v>0</v>
      </c>
    </row>
    <row r="553" spans="1:22" customFormat="1" x14ac:dyDescent="0.25">
      <c r="A553" s="306" t="s">
        <v>17798</v>
      </c>
      <c r="B553" s="306" t="s">
        <v>4335</v>
      </c>
      <c r="C553" s="306"/>
      <c r="D553" s="26">
        <v>2</v>
      </c>
      <c r="E553" s="312" t="s">
        <v>3350</v>
      </c>
      <c r="F553" s="306" t="str">
        <f>VLOOKUP(Table24[[#This Row],[Country]],Table10[[COUNTRY NAME]:[CONTINENT CODE]],3,FALSE)</f>
        <v>NA</v>
      </c>
      <c r="G553" s="312" t="s">
        <v>13210</v>
      </c>
      <c r="H553" s="309">
        <v>1697</v>
      </c>
      <c r="I553" s="310">
        <v>5.75</v>
      </c>
      <c r="J553" s="307"/>
      <c r="K553" s="307">
        <f>IFERROR(Table24[[#This Row],[ROUTE COST]]/Table24[[#This Row],[O - DEMAND]],0)</f>
        <v>0</v>
      </c>
      <c r="L553" s="306"/>
      <c r="M553" s="310">
        <f>Table24[[#This Row],[O - DEMAND]]/950</f>
        <v>0</v>
      </c>
      <c r="N553" s="306">
        <f>IFERROR(VLOOKUP(Table24[[#This Row],[ROUTE]],DEMAND!A:F,5,FALSE),0)</f>
        <v>0</v>
      </c>
      <c r="O553" s="306">
        <f>IFERROR(VLOOKUP(Table24[[#This Row],[ROUTE]],DEMAND!A:F,6,FALSE),0)</f>
        <v>0</v>
      </c>
      <c r="P553" s="306">
        <f>ROUNDDOWN(Table24[[#This Row],[R-DEMAND]]/950,0)</f>
        <v>0</v>
      </c>
      <c r="Q553" s="306">
        <f>Table24[[#This Row],[ADD ACC
(475/950)]]*Table24[[#This Row],[Duration
(A359)]]</f>
        <v>0</v>
      </c>
      <c r="R553" s="307">
        <f>IFERROR(VLOOKUP(Table24[[#This Row],[ROUTE]],PRICING!A:B,2,FALSE),0)</f>
        <v>0</v>
      </c>
      <c r="S553" s="308">
        <f>Table24[[#This Row],[C_DEMAND]]-Table24[[#This Row],[R-DEMAND]]</f>
        <v>0</v>
      </c>
      <c r="T553" s="307">
        <f>Table24[[#This Row],[SEATS SOLD]]*Table24[[#This Row],[ECO SEAT]]</f>
        <v>0</v>
      </c>
      <c r="U553" s="307">
        <f>Table24[[#This Row],[SEATS SOLD]]*(IFERROR(VLOOKUP(Table24[[#This Row],[ROUTE]],PRICING!A:C,3,FALSE),0))</f>
        <v>0</v>
      </c>
      <c r="V553" s="307">
        <f>Table24[[#This Row],[SEAT REV]]-Table24[[#This Row],[SEAT REV
(IF IDEAL $)]]</f>
        <v>0</v>
      </c>
    </row>
    <row r="554" spans="1:22" customFormat="1" x14ac:dyDescent="0.25">
      <c r="A554" s="306" t="s">
        <v>17801</v>
      </c>
      <c r="B554" s="306" t="s">
        <v>3970</v>
      </c>
      <c r="C554" s="306"/>
      <c r="D554" s="26">
        <v>2</v>
      </c>
      <c r="E554" s="312" t="s">
        <v>1749</v>
      </c>
      <c r="F554" s="306" t="str">
        <f>VLOOKUP(Table24[[#This Row],[Country]],Table10[[COUNTRY NAME]:[CONTINENT CODE]],3,FALSE)</f>
        <v>NA</v>
      </c>
      <c r="G554" s="312" t="s">
        <v>17023</v>
      </c>
      <c r="H554" s="309">
        <v>1548</v>
      </c>
      <c r="I554" s="310">
        <v>5.5</v>
      </c>
      <c r="J554" s="307"/>
      <c r="K554" s="307">
        <f>IFERROR(Table24[[#This Row],[ROUTE COST]]/Table24[[#This Row],[O - DEMAND]],0)</f>
        <v>0</v>
      </c>
      <c r="L554" s="306"/>
      <c r="M554" s="310">
        <f>Table24[[#This Row],[O - DEMAND]]/950</f>
        <v>0</v>
      </c>
      <c r="N554" s="306">
        <f>IFERROR(VLOOKUP(Table24[[#This Row],[ROUTE]],DEMAND!A:F,5,FALSE),0)</f>
        <v>0</v>
      </c>
      <c r="O554" s="306">
        <f>IFERROR(VLOOKUP(Table24[[#This Row],[ROUTE]],DEMAND!A:F,6,FALSE),0)</f>
        <v>0</v>
      </c>
      <c r="P554" s="306">
        <f>ROUNDDOWN(Table24[[#This Row],[R-DEMAND]]/950,0)</f>
        <v>0</v>
      </c>
      <c r="Q554" s="306">
        <f>Table24[[#This Row],[ADD ACC
(475/950)]]*Table24[[#This Row],[Duration
(A359)]]</f>
        <v>0</v>
      </c>
      <c r="R554" s="307">
        <f>IFERROR(VLOOKUP(Table24[[#This Row],[ROUTE]],PRICING!A:B,2,FALSE),0)</f>
        <v>0</v>
      </c>
      <c r="S554" s="308">
        <f>Table24[[#This Row],[C_DEMAND]]-Table24[[#This Row],[R-DEMAND]]</f>
        <v>0</v>
      </c>
      <c r="T554" s="307">
        <f>Table24[[#This Row],[SEATS SOLD]]*Table24[[#This Row],[ECO SEAT]]</f>
        <v>0</v>
      </c>
      <c r="U554" s="307">
        <f>Table24[[#This Row],[SEATS SOLD]]*(IFERROR(VLOOKUP(Table24[[#This Row],[ROUTE]],PRICING!A:C,3,FALSE),0))</f>
        <v>0</v>
      </c>
      <c r="V554" s="307">
        <f>Table24[[#This Row],[SEAT REV]]-Table24[[#This Row],[SEAT REV
(IF IDEAL $)]]</f>
        <v>0</v>
      </c>
    </row>
    <row r="555" spans="1:22" customFormat="1" x14ac:dyDescent="0.25">
      <c r="A555" s="306" t="s">
        <v>17800</v>
      </c>
      <c r="B555" s="306" t="s">
        <v>3461</v>
      </c>
      <c r="C555" s="306"/>
      <c r="D555" s="26">
        <v>2</v>
      </c>
      <c r="E555" s="312" t="s">
        <v>3350</v>
      </c>
      <c r="F555" s="306" t="str">
        <f>VLOOKUP(Table24[[#This Row],[Country]],Table10[[COUNTRY NAME]:[CONTINENT CODE]],3,FALSE)</f>
        <v>NA</v>
      </c>
      <c r="G555" s="312" t="s">
        <v>13211</v>
      </c>
      <c r="H555" s="309">
        <v>1578</v>
      </c>
      <c r="I555" s="310">
        <v>5.5</v>
      </c>
      <c r="J555" s="307"/>
      <c r="K555" s="307">
        <f>IFERROR(Table24[[#This Row],[ROUTE COST]]/Table24[[#This Row],[O - DEMAND]],0)</f>
        <v>0</v>
      </c>
      <c r="L555" s="306"/>
      <c r="M555" s="310">
        <f>Table24[[#This Row],[O - DEMAND]]/950</f>
        <v>0</v>
      </c>
      <c r="N555" s="306">
        <f>IFERROR(VLOOKUP(Table24[[#This Row],[ROUTE]],DEMAND!A:F,5,FALSE),0)</f>
        <v>0</v>
      </c>
      <c r="O555" s="306">
        <f>IFERROR(VLOOKUP(Table24[[#This Row],[ROUTE]],DEMAND!A:F,6,FALSE),0)</f>
        <v>0</v>
      </c>
      <c r="P555" s="306">
        <f>ROUNDDOWN(Table24[[#This Row],[R-DEMAND]]/950,0)</f>
        <v>0</v>
      </c>
      <c r="Q555" s="306">
        <f>Table24[[#This Row],[ADD ACC
(475/950)]]*Table24[[#This Row],[Duration
(A359)]]</f>
        <v>0</v>
      </c>
      <c r="R555" s="307">
        <f>IFERROR(VLOOKUP(Table24[[#This Row],[ROUTE]],PRICING!A:B,2,FALSE),0)</f>
        <v>0</v>
      </c>
      <c r="S555" s="308">
        <f>Table24[[#This Row],[C_DEMAND]]-Table24[[#This Row],[R-DEMAND]]</f>
        <v>0</v>
      </c>
      <c r="T555" s="307">
        <f>Table24[[#This Row],[SEATS SOLD]]*Table24[[#This Row],[ECO SEAT]]</f>
        <v>0</v>
      </c>
      <c r="U555" s="307">
        <f>Table24[[#This Row],[SEATS SOLD]]*(IFERROR(VLOOKUP(Table24[[#This Row],[ROUTE]],PRICING!A:C,3,FALSE),0))</f>
        <v>0</v>
      </c>
      <c r="V555" s="307">
        <f>Table24[[#This Row],[SEAT REV]]-Table24[[#This Row],[SEAT REV
(IF IDEAL $)]]</f>
        <v>0</v>
      </c>
    </row>
    <row r="556" spans="1:22" customFormat="1" x14ac:dyDescent="0.25">
      <c r="A556" s="306" t="s">
        <v>17949</v>
      </c>
      <c r="B556" s="306" t="s">
        <v>4389</v>
      </c>
      <c r="C556" s="306"/>
      <c r="D556" s="26">
        <v>2</v>
      </c>
      <c r="E556" s="312" t="s">
        <v>11732</v>
      </c>
      <c r="F556" s="306" t="str">
        <f>VLOOKUP(Table24[[#This Row],[Country]],Table10[[COUNTRY NAME]:[CONTINENT CODE]],3,FALSE)</f>
        <v>NA - US</v>
      </c>
      <c r="G556" s="312" t="s">
        <v>13365</v>
      </c>
      <c r="H556" s="309">
        <v>1483</v>
      </c>
      <c r="I556" s="310">
        <v>5.5</v>
      </c>
      <c r="J556" s="307"/>
      <c r="K556" s="307">
        <f>IFERROR(Table24[[#This Row],[ROUTE COST]]/Table24[[#This Row],[O - DEMAND]],0)</f>
        <v>0</v>
      </c>
      <c r="L556" s="306"/>
      <c r="M556" s="310">
        <f>Table24[[#This Row],[O - DEMAND]]/950</f>
        <v>0</v>
      </c>
      <c r="N556" s="306">
        <f>IFERROR(VLOOKUP(Table24[[#This Row],[ROUTE]],DEMAND!A:F,5,FALSE),0)</f>
        <v>0</v>
      </c>
      <c r="O556" s="306">
        <f>IFERROR(VLOOKUP(Table24[[#This Row],[ROUTE]],DEMAND!A:F,6,FALSE),0)</f>
        <v>0</v>
      </c>
      <c r="P556" s="306">
        <f>ROUNDDOWN(Table24[[#This Row],[R-DEMAND]]/950,0)</f>
        <v>0</v>
      </c>
      <c r="Q556" s="306">
        <f>Table24[[#This Row],[ADD ACC
(475/950)]]*Table24[[#This Row],[Duration
(A359)]]</f>
        <v>0</v>
      </c>
      <c r="R556" s="307">
        <f>IFERROR(VLOOKUP(Table24[[#This Row],[ROUTE]],PRICING!A:B,2,FALSE),0)</f>
        <v>0</v>
      </c>
      <c r="S556" s="308">
        <f>Table24[[#This Row],[C_DEMAND]]-Table24[[#This Row],[R-DEMAND]]</f>
        <v>0</v>
      </c>
      <c r="T556" s="307">
        <f>Table24[[#This Row],[SEATS SOLD]]*Table24[[#This Row],[ECO SEAT]]</f>
        <v>0</v>
      </c>
      <c r="U556" s="307">
        <f>Table24[[#This Row],[SEATS SOLD]]*(IFERROR(VLOOKUP(Table24[[#This Row],[ROUTE]],PRICING!A:C,3,FALSE),0))</f>
        <v>0</v>
      </c>
      <c r="V556" s="307">
        <f>Table24[[#This Row],[SEAT REV]]-Table24[[#This Row],[SEAT REV
(IF IDEAL $)]]</f>
        <v>0</v>
      </c>
    </row>
    <row r="557" spans="1:22" customFormat="1" x14ac:dyDescent="0.25">
      <c r="A557" s="306" t="s">
        <v>17907</v>
      </c>
      <c r="B557" s="306" t="s">
        <v>4880</v>
      </c>
      <c r="C557" s="306"/>
      <c r="D557" s="26">
        <v>3</v>
      </c>
      <c r="E557" s="312" t="s">
        <v>11732</v>
      </c>
      <c r="F557" s="306" t="str">
        <f>VLOOKUP(Table24[[#This Row],[Country]],Table10[[COUNTRY NAME]:[CONTINENT CODE]],3,FALSE)</f>
        <v>NA - US</v>
      </c>
      <c r="G557" s="312" t="s">
        <v>13367</v>
      </c>
      <c r="H557" s="309">
        <v>1453</v>
      </c>
      <c r="I557" s="310">
        <v>5.25</v>
      </c>
      <c r="J557" s="307"/>
      <c r="K557" s="307">
        <f>IFERROR(Table24[[#This Row],[ROUTE COST]]/Table24[[#This Row],[O - DEMAND]],0)</f>
        <v>0</v>
      </c>
      <c r="L557" s="306"/>
      <c r="M557" s="310">
        <f>Table24[[#This Row],[O - DEMAND]]/950</f>
        <v>0</v>
      </c>
      <c r="N557" s="306">
        <f>IFERROR(VLOOKUP(Table24[[#This Row],[ROUTE]],DEMAND!A:F,5,FALSE),0)</f>
        <v>0</v>
      </c>
      <c r="O557" s="306">
        <f>IFERROR(VLOOKUP(Table24[[#This Row],[ROUTE]],DEMAND!A:F,6,FALSE),0)</f>
        <v>0</v>
      </c>
      <c r="P557" s="306">
        <f>ROUNDDOWN(Table24[[#This Row],[R-DEMAND]]/950,0)</f>
        <v>0</v>
      </c>
      <c r="Q557" s="306">
        <f>Table24[[#This Row],[ADD ACC
(475/950)]]*Table24[[#This Row],[Duration
(A359)]]</f>
        <v>0</v>
      </c>
      <c r="R557" s="307">
        <f>IFERROR(VLOOKUP(Table24[[#This Row],[ROUTE]],PRICING!A:B,2,FALSE),0)</f>
        <v>0</v>
      </c>
      <c r="S557" s="308">
        <f>Table24[[#This Row],[C_DEMAND]]-Table24[[#This Row],[R-DEMAND]]</f>
        <v>0</v>
      </c>
      <c r="T557" s="307">
        <f>Table24[[#This Row],[SEATS SOLD]]*Table24[[#This Row],[ECO SEAT]]</f>
        <v>0</v>
      </c>
      <c r="U557" s="307">
        <f>Table24[[#This Row],[SEATS SOLD]]*(IFERROR(VLOOKUP(Table24[[#This Row],[ROUTE]],PRICING!A:C,3,FALSE),0))</f>
        <v>0</v>
      </c>
      <c r="V557" s="307">
        <f>Table24[[#This Row],[SEAT REV]]-Table24[[#This Row],[SEAT REV
(IF IDEAL $)]]</f>
        <v>0</v>
      </c>
    </row>
    <row r="558" spans="1:22" customFormat="1" x14ac:dyDescent="0.25">
      <c r="A558" s="306" t="s">
        <v>17908</v>
      </c>
      <c r="B558" s="306" t="s">
        <v>4758</v>
      </c>
      <c r="C558" s="306"/>
      <c r="D558" s="26">
        <v>3</v>
      </c>
      <c r="E558" s="312" t="s">
        <v>11732</v>
      </c>
      <c r="F558" s="306" t="str">
        <f>VLOOKUP(Table24[[#This Row],[Country]],Table10[[COUNTRY NAME]:[CONTINENT CODE]],3,FALSE)</f>
        <v>NA - US</v>
      </c>
      <c r="G558" s="312" t="s">
        <v>13369</v>
      </c>
      <c r="H558" s="309">
        <v>1435</v>
      </c>
      <c r="I558" s="310">
        <v>5.25</v>
      </c>
      <c r="J558" s="307"/>
      <c r="K558" s="307">
        <f>IFERROR(Table24[[#This Row],[ROUTE COST]]/Table24[[#This Row],[O - DEMAND]],0)</f>
        <v>0</v>
      </c>
      <c r="L558" s="306"/>
      <c r="M558" s="310">
        <f>Table24[[#This Row],[O - DEMAND]]/950</f>
        <v>0</v>
      </c>
      <c r="N558" s="306">
        <f>IFERROR(VLOOKUP(Table24[[#This Row],[ROUTE]],DEMAND!A:F,5,FALSE),0)</f>
        <v>0</v>
      </c>
      <c r="O558" s="306">
        <f>IFERROR(VLOOKUP(Table24[[#This Row],[ROUTE]],DEMAND!A:F,6,FALSE),0)</f>
        <v>0</v>
      </c>
      <c r="P558" s="306">
        <f>ROUNDDOWN(Table24[[#This Row],[R-DEMAND]]/950,0)</f>
        <v>0</v>
      </c>
      <c r="Q558" s="306">
        <f>Table24[[#This Row],[ADD ACC
(475/950)]]*Table24[[#This Row],[Duration
(A359)]]</f>
        <v>0</v>
      </c>
      <c r="R558" s="307">
        <f>IFERROR(VLOOKUP(Table24[[#This Row],[ROUTE]],PRICING!A:B,2,FALSE),0)</f>
        <v>0</v>
      </c>
      <c r="S558" s="308">
        <f>Table24[[#This Row],[C_DEMAND]]-Table24[[#This Row],[R-DEMAND]]</f>
        <v>0</v>
      </c>
      <c r="T558" s="307">
        <f>Table24[[#This Row],[SEATS SOLD]]*Table24[[#This Row],[ECO SEAT]]</f>
        <v>0</v>
      </c>
      <c r="U558" s="307">
        <f>Table24[[#This Row],[SEATS SOLD]]*(IFERROR(VLOOKUP(Table24[[#This Row],[ROUTE]],PRICING!A:C,3,FALSE),0))</f>
        <v>0</v>
      </c>
      <c r="V558" s="307">
        <f>Table24[[#This Row],[SEAT REV]]-Table24[[#This Row],[SEAT REV
(IF IDEAL $)]]</f>
        <v>0</v>
      </c>
    </row>
    <row r="559" spans="1:22" customFormat="1" x14ac:dyDescent="0.25">
      <c r="A559" s="306" t="s">
        <v>17950</v>
      </c>
      <c r="B559" s="306" t="s">
        <v>3897</v>
      </c>
      <c r="C559" s="306"/>
      <c r="D559" s="26">
        <v>2</v>
      </c>
      <c r="E559" s="312" t="s">
        <v>11732</v>
      </c>
      <c r="F559" s="306" t="str">
        <f>VLOOKUP(Table24[[#This Row],[Country]],Table10[[COUNTRY NAME]:[CONTINENT CODE]],3,FALSE)</f>
        <v>NA - US</v>
      </c>
      <c r="G559" s="312" t="s">
        <v>13364</v>
      </c>
      <c r="H559" s="309">
        <v>1476</v>
      </c>
      <c r="I559" s="310">
        <v>5.25</v>
      </c>
      <c r="J559" s="307"/>
      <c r="K559" s="307">
        <f>IFERROR(Table24[[#This Row],[ROUTE COST]]/Table24[[#This Row],[O - DEMAND]],0)</f>
        <v>0</v>
      </c>
      <c r="L559" s="306"/>
      <c r="M559" s="310">
        <f>Table24[[#This Row],[O - DEMAND]]/950</f>
        <v>0</v>
      </c>
      <c r="N559" s="306">
        <f>IFERROR(VLOOKUP(Table24[[#This Row],[ROUTE]],DEMAND!A:F,5,FALSE),0)</f>
        <v>0</v>
      </c>
      <c r="O559" s="306">
        <f>IFERROR(VLOOKUP(Table24[[#This Row],[ROUTE]],DEMAND!A:F,6,FALSE),0)</f>
        <v>0</v>
      </c>
      <c r="P559" s="306">
        <f>ROUNDDOWN(Table24[[#This Row],[R-DEMAND]]/950,0)</f>
        <v>0</v>
      </c>
      <c r="Q559" s="306">
        <f>Table24[[#This Row],[ADD ACC
(475/950)]]*Table24[[#This Row],[Duration
(A359)]]</f>
        <v>0</v>
      </c>
      <c r="R559" s="307">
        <f>IFERROR(VLOOKUP(Table24[[#This Row],[ROUTE]],PRICING!A:B,2,FALSE),0)</f>
        <v>0</v>
      </c>
      <c r="S559" s="308">
        <f>Table24[[#This Row],[C_DEMAND]]-Table24[[#This Row],[R-DEMAND]]</f>
        <v>0</v>
      </c>
      <c r="T559" s="307">
        <f>Table24[[#This Row],[SEATS SOLD]]*Table24[[#This Row],[ECO SEAT]]</f>
        <v>0</v>
      </c>
      <c r="U559" s="307">
        <f>Table24[[#This Row],[SEATS SOLD]]*(IFERROR(VLOOKUP(Table24[[#This Row],[ROUTE]],PRICING!A:C,3,FALSE),0))</f>
        <v>0</v>
      </c>
      <c r="V559" s="307">
        <f>Table24[[#This Row],[SEAT REV]]-Table24[[#This Row],[SEAT REV
(IF IDEAL $)]]</f>
        <v>0</v>
      </c>
    </row>
    <row r="560" spans="1:22" customFormat="1" x14ac:dyDescent="0.25">
      <c r="A560" s="306" t="s">
        <v>17872</v>
      </c>
      <c r="B560" s="306" t="s">
        <v>5491</v>
      </c>
      <c r="C560" s="306"/>
      <c r="D560" s="26">
        <v>4</v>
      </c>
      <c r="E560" s="312" t="s">
        <v>11732</v>
      </c>
      <c r="F560" s="306" t="str">
        <f>VLOOKUP(Table24[[#This Row],[Country]],Table10[[COUNTRY NAME]:[CONTINENT CODE]],3,FALSE)</f>
        <v>NA - US</v>
      </c>
      <c r="G560" s="312" t="s">
        <v>13371</v>
      </c>
      <c r="H560" s="309">
        <v>1313</v>
      </c>
      <c r="I560" s="310">
        <v>5</v>
      </c>
      <c r="J560" s="307"/>
      <c r="K560" s="307">
        <f>IFERROR(Table24[[#This Row],[ROUTE COST]]/Table24[[#This Row],[O - DEMAND]],0)</f>
        <v>0</v>
      </c>
      <c r="L560" s="306"/>
      <c r="M560" s="310">
        <f>Table24[[#This Row],[O - DEMAND]]/950</f>
        <v>0</v>
      </c>
      <c r="N560" s="306">
        <f>IFERROR(VLOOKUP(Table24[[#This Row],[ROUTE]],DEMAND!A:F,5,FALSE),0)</f>
        <v>0</v>
      </c>
      <c r="O560" s="306">
        <f>IFERROR(VLOOKUP(Table24[[#This Row],[ROUTE]],DEMAND!A:F,6,FALSE),0)</f>
        <v>0</v>
      </c>
      <c r="P560" s="306">
        <f>ROUNDDOWN(Table24[[#This Row],[R-DEMAND]]/950,0)</f>
        <v>0</v>
      </c>
      <c r="Q560" s="306">
        <f>Table24[[#This Row],[ADD ACC
(475/950)]]*Table24[[#This Row],[Duration
(A359)]]</f>
        <v>0</v>
      </c>
      <c r="R560" s="307">
        <f>IFERROR(VLOOKUP(Table24[[#This Row],[ROUTE]],PRICING!A:B,2,FALSE),0)</f>
        <v>0</v>
      </c>
      <c r="S560" s="308">
        <f>Table24[[#This Row],[C_DEMAND]]-Table24[[#This Row],[R-DEMAND]]</f>
        <v>0</v>
      </c>
      <c r="T560" s="307">
        <f>Table24[[#This Row],[SEATS SOLD]]*Table24[[#This Row],[ECO SEAT]]</f>
        <v>0</v>
      </c>
      <c r="U560" s="307">
        <f>Table24[[#This Row],[SEATS SOLD]]*(IFERROR(VLOOKUP(Table24[[#This Row],[ROUTE]],PRICING!A:C,3,FALSE),0))</f>
        <v>0</v>
      </c>
      <c r="V560" s="307">
        <f>Table24[[#This Row],[SEAT REV]]-Table24[[#This Row],[SEAT REV
(IF IDEAL $)]]</f>
        <v>0</v>
      </c>
    </row>
    <row r="561" spans="1:22" customFormat="1" x14ac:dyDescent="0.25">
      <c r="A561" s="306" t="s">
        <v>17802</v>
      </c>
      <c r="B561" s="306" t="s">
        <v>3797</v>
      </c>
      <c r="C561" s="306"/>
      <c r="D561" s="26">
        <v>2</v>
      </c>
      <c r="E561" s="312" t="s">
        <v>3795</v>
      </c>
      <c r="F561" s="306" t="str">
        <f>VLOOKUP(Table24[[#This Row],[Country]],Table10[[COUNTRY NAME]:[CONTINENT CODE]],3,FALSE)</f>
        <v>NA</v>
      </c>
      <c r="G561" s="312" t="s">
        <v>17026</v>
      </c>
      <c r="H561" s="309">
        <v>1342</v>
      </c>
      <c r="I561" s="310">
        <v>5</v>
      </c>
      <c r="J561" s="307"/>
      <c r="K561" s="307">
        <f>IFERROR(Table24[[#This Row],[ROUTE COST]]/Table24[[#This Row],[O - DEMAND]],0)</f>
        <v>0</v>
      </c>
      <c r="L561" s="306"/>
      <c r="M561" s="310">
        <f>Table24[[#This Row],[O - DEMAND]]/950</f>
        <v>0</v>
      </c>
      <c r="N561" s="306">
        <f>IFERROR(VLOOKUP(Table24[[#This Row],[ROUTE]],DEMAND!A:F,5,FALSE),0)</f>
        <v>0</v>
      </c>
      <c r="O561" s="306">
        <f>IFERROR(VLOOKUP(Table24[[#This Row],[ROUTE]],DEMAND!A:F,6,FALSE),0)</f>
        <v>0</v>
      </c>
      <c r="P561" s="306">
        <f>ROUNDDOWN(Table24[[#This Row],[R-DEMAND]]/950,0)</f>
        <v>0</v>
      </c>
      <c r="Q561" s="306">
        <f>Table24[[#This Row],[ADD ACC
(475/950)]]*Table24[[#This Row],[Duration
(A359)]]</f>
        <v>0</v>
      </c>
      <c r="R561" s="307">
        <f>IFERROR(VLOOKUP(Table24[[#This Row],[ROUTE]],PRICING!A:B,2,FALSE),0)</f>
        <v>0</v>
      </c>
      <c r="S561" s="308">
        <f>Table24[[#This Row],[C_DEMAND]]-Table24[[#This Row],[R-DEMAND]]</f>
        <v>0</v>
      </c>
      <c r="T561" s="307">
        <f>Table24[[#This Row],[SEATS SOLD]]*Table24[[#This Row],[ECO SEAT]]</f>
        <v>0</v>
      </c>
      <c r="U561" s="307">
        <f>Table24[[#This Row],[SEATS SOLD]]*(IFERROR(VLOOKUP(Table24[[#This Row],[ROUTE]],PRICING!A:C,3,FALSE),0))</f>
        <v>0</v>
      </c>
      <c r="V561" s="307">
        <f>Table24[[#This Row],[SEAT REV]]-Table24[[#This Row],[SEAT REV
(IF IDEAL $)]]</f>
        <v>0</v>
      </c>
    </row>
    <row r="562" spans="1:22" customFormat="1" x14ac:dyDescent="0.25">
      <c r="A562" s="306" t="s">
        <v>17803</v>
      </c>
      <c r="B562" s="306" t="s">
        <v>4074</v>
      </c>
      <c r="C562" s="306"/>
      <c r="D562" s="26">
        <v>2</v>
      </c>
      <c r="E562" s="312" t="s">
        <v>3709</v>
      </c>
      <c r="F562" s="306" t="str">
        <f>VLOOKUP(Table24[[#This Row],[Country]],Table10[[COUNTRY NAME]:[CONTINENT CODE]],3,FALSE)</f>
        <v>NA</v>
      </c>
      <c r="G562" s="312" t="s">
        <v>17027</v>
      </c>
      <c r="H562" s="309">
        <v>1325</v>
      </c>
      <c r="I562" s="310">
        <v>5</v>
      </c>
      <c r="J562" s="307"/>
      <c r="K562" s="307">
        <f>IFERROR(Table24[[#This Row],[ROUTE COST]]/Table24[[#This Row],[O - DEMAND]],0)</f>
        <v>0</v>
      </c>
      <c r="L562" s="306"/>
      <c r="M562" s="310">
        <f>Table24[[#This Row],[O - DEMAND]]/950</f>
        <v>0</v>
      </c>
      <c r="N562" s="306">
        <f>IFERROR(VLOOKUP(Table24[[#This Row],[ROUTE]],DEMAND!A:F,5,FALSE),0)</f>
        <v>0</v>
      </c>
      <c r="O562" s="306">
        <f>IFERROR(VLOOKUP(Table24[[#This Row],[ROUTE]],DEMAND!A:F,6,FALSE),0)</f>
        <v>0</v>
      </c>
      <c r="P562" s="306">
        <f>ROUNDDOWN(Table24[[#This Row],[R-DEMAND]]/950,0)</f>
        <v>0</v>
      </c>
      <c r="Q562" s="306">
        <f>Table24[[#This Row],[ADD ACC
(475/950)]]*Table24[[#This Row],[Duration
(A359)]]</f>
        <v>0</v>
      </c>
      <c r="R562" s="307">
        <f>IFERROR(VLOOKUP(Table24[[#This Row],[ROUTE]],PRICING!A:B,2,FALSE),0)</f>
        <v>0</v>
      </c>
      <c r="S562" s="308">
        <f>Table24[[#This Row],[C_DEMAND]]-Table24[[#This Row],[R-DEMAND]]</f>
        <v>0</v>
      </c>
      <c r="T562" s="307">
        <f>Table24[[#This Row],[SEATS SOLD]]*Table24[[#This Row],[ECO SEAT]]</f>
        <v>0</v>
      </c>
      <c r="U562" s="307">
        <f>Table24[[#This Row],[SEATS SOLD]]*(IFERROR(VLOOKUP(Table24[[#This Row],[ROUTE]],PRICING!A:C,3,FALSE),0))</f>
        <v>0</v>
      </c>
      <c r="V562" s="307">
        <f>Table24[[#This Row],[SEAT REV]]-Table24[[#This Row],[SEAT REV
(IF IDEAL $)]]</f>
        <v>0</v>
      </c>
    </row>
    <row r="563" spans="1:22" customFormat="1" x14ac:dyDescent="0.25">
      <c r="A563" s="306" t="s">
        <v>17951</v>
      </c>
      <c r="B563" s="306" t="s">
        <v>3433</v>
      </c>
      <c r="C563" s="306"/>
      <c r="D563" s="26">
        <v>2</v>
      </c>
      <c r="E563" s="312" t="s">
        <v>11732</v>
      </c>
      <c r="F563" s="306" t="str">
        <f>VLOOKUP(Table24[[#This Row],[Country]],Table10[[COUNTRY NAME]:[CONTINENT CODE]],3,FALSE)</f>
        <v>NA - US</v>
      </c>
      <c r="G563" s="312" t="s">
        <v>13370</v>
      </c>
      <c r="H563" s="309">
        <v>1358</v>
      </c>
      <c r="I563" s="310">
        <v>5</v>
      </c>
      <c r="J563" s="307"/>
      <c r="K563" s="307">
        <f>IFERROR(Table24[[#This Row],[ROUTE COST]]/Table24[[#This Row],[O - DEMAND]],0)</f>
        <v>0</v>
      </c>
      <c r="L563" s="306"/>
      <c r="M563" s="310">
        <f>Table24[[#This Row],[O - DEMAND]]/950</f>
        <v>0</v>
      </c>
      <c r="N563" s="306">
        <f>IFERROR(VLOOKUP(Table24[[#This Row],[ROUTE]],DEMAND!A:F,5,FALSE),0)</f>
        <v>0</v>
      </c>
      <c r="O563" s="306">
        <f>IFERROR(VLOOKUP(Table24[[#This Row],[ROUTE]],DEMAND!A:F,6,FALSE),0)</f>
        <v>0</v>
      </c>
      <c r="P563" s="306">
        <f>ROUNDDOWN(Table24[[#This Row],[R-DEMAND]]/950,0)</f>
        <v>0</v>
      </c>
      <c r="Q563" s="306">
        <f>Table24[[#This Row],[ADD ACC
(475/950)]]*Table24[[#This Row],[Duration
(A359)]]</f>
        <v>0</v>
      </c>
      <c r="R563" s="307">
        <f>IFERROR(VLOOKUP(Table24[[#This Row],[ROUTE]],PRICING!A:B,2,FALSE),0)</f>
        <v>0</v>
      </c>
      <c r="S563" s="308">
        <f>Table24[[#This Row],[C_DEMAND]]-Table24[[#This Row],[R-DEMAND]]</f>
        <v>0</v>
      </c>
      <c r="T563" s="307">
        <f>Table24[[#This Row],[SEATS SOLD]]*Table24[[#This Row],[ECO SEAT]]</f>
        <v>0</v>
      </c>
      <c r="U563" s="307">
        <f>Table24[[#This Row],[SEATS SOLD]]*(IFERROR(VLOOKUP(Table24[[#This Row],[ROUTE]],PRICING!A:C,3,FALSE),0))</f>
        <v>0</v>
      </c>
      <c r="V563" s="307">
        <f>Table24[[#This Row],[SEAT REV]]-Table24[[#This Row],[SEAT REV
(IF IDEAL $)]]</f>
        <v>0</v>
      </c>
    </row>
    <row r="564" spans="1:22" customFormat="1" x14ac:dyDescent="0.25">
      <c r="A564" s="306" t="s">
        <v>17873</v>
      </c>
      <c r="B564" s="306" t="s">
        <v>132</v>
      </c>
      <c r="C564" s="306"/>
      <c r="D564" s="26">
        <v>4</v>
      </c>
      <c r="E564" s="312" t="s">
        <v>11732</v>
      </c>
      <c r="F564" s="306" t="str">
        <f>VLOOKUP(Table24[[#This Row],[Country]],Table10[[COUNTRY NAME]:[CONTINENT CODE]],3,FALSE)</f>
        <v>NA - US</v>
      </c>
      <c r="G564" s="312" t="s">
        <v>13372</v>
      </c>
      <c r="H564" s="309">
        <v>1205</v>
      </c>
      <c r="I564" s="310">
        <v>4.75</v>
      </c>
      <c r="J564" s="307"/>
      <c r="K564" s="307">
        <f>IFERROR(Table24[[#This Row],[ROUTE COST]]/Table24[[#This Row],[O - DEMAND]],0)</f>
        <v>0</v>
      </c>
      <c r="L564" s="306"/>
      <c r="M564" s="310">
        <f>Table24[[#This Row],[O - DEMAND]]/950</f>
        <v>0</v>
      </c>
      <c r="N564" s="306">
        <f>IFERROR(VLOOKUP(Table24[[#This Row],[ROUTE]],DEMAND!A:F,5,FALSE),0)</f>
        <v>0</v>
      </c>
      <c r="O564" s="306">
        <f>IFERROR(VLOOKUP(Table24[[#This Row],[ROUTE]],DEMAND!A:F,6,FALSE),0)</f>
        <v>0</v>
      </c>
      <c r="P564" s="306">
        <f>ROUNDDOWN(Table24[[#This Row],[R-DEMAND]]/950,0)</f>
        <v>0</v>
      </c>
      <c r="Q564" s="306">
        <f>Table24[[#This Row],[ADD ACC
(475/950)]]*Table24[[#This Row],[Duration
(A359)]]</f>
        <v>0</v>
      </c>
      <c r="R564" s="307">
        <f>IFERROR(VLOOKUP(Table24[[#This Row],[ROUTE]],PRICING!A:B,2,FALSE),0)</f>
        <v>0</v>
      </c>
      <c r="S564" s="308">
        <f>Table24[[#This Row],[C_DEMAND]]-Table24[[#This Row],[R-DEMAND]]</f>
        <v>0</v>
      </c>
      <c r="T564" s="307">
        <f>Table24[[#This Row],[SEATS SOLD]]*Table24[[#This Row],[ECO SEAT]]</f>
        <v>0</v>
      </c>
      <c r="U564" s="307">
        <f>Table24[[#This Row],[SEATS SOLD]]*(IFERROR(VLOOKUP(Table24[[#This Row],[ROUTE]],PRICING!A:C,3,FALSE),0))</f>
        <v>0</v>
      </c>
      <c r="V564" s="307">
        <f>Table24[[#This Row],[SEAT REV]]-Table24[[#This Row],[SEAT REV
(IF IDEAL $)]]</f>
        <v>0</v>
      </c>
    </row>
    <row r="565" spans="1:22" customFormat="1" x14ac:dyDescent="0.25">
      <c r="A565" s="306" t="s">
        <v>17804</v>
      </c>
      <c r="B565" s="306" t="s">
        <v>3419</v>
      </c>
      <c r="C565" s="306"/>
      <c r="D565" s="26">
        <v>2</v>
      </c>
      <c r="E565" s="312" t="s">
        <v>3417</v>
      </c>
      <c r="F565" s="306" t="str">
        <f>VLOOKUP(Table24[[#This Row],[Country]],Table10[[COUNTRY NAME]:[CONTINENT CODE]],3,FALSE)</f>
        <v>NA</v>
      </c>
      <c r="G565" s="312" t="s">
        <v>13194</v>
      </c>
      <c r="H565" s="309">
        <v>1216</v>
      </c>
      <c r="I565" s="310">
        <v>4.75</v>
      </c>
      <c r="J565" s="307"/>
      <c r="K565" s="307">
        <f>IFERROR(Table24[[#This Row],[ROUTE COST]]/Table24[[#This Row],[O - DEMAND]],0)</f>
        <v>0</v>
      </c>
      <c r="L565" s="306"/>
      <c r="M565" s="310">
        <f>Table24[[#This Row],[O - DEMAND]]/950</f>
        <v>0</v>
      </c>
      <c r="N565" s="306">
        <f>IFERROR(VLOOKUP(Table24[[#This Row],[ROUTE]],DEMAND!A:F,5,FALSE),0)</f>
        <v>0</v>
      </c>
      <c r="O565" s="306">
        <f>IFERROR(VLOOKUP(Table24[[#This Row],[ROUTE]],DEMAND!A:F,6,FALSE),0)</f>
        <v>0</v>
      </c>
      <c r="P565" s="306">
        <f>ROUNDDOWN(Table24[[#This Row],[R-DEMAND]]/950,0)</f>
        <v>0</v>
      </c>
      <c r="Q565" s="306">
        <f>Table24[[#This Row],[ADD ACC
(475/950)]]*Table24[[#This Row],[Duration
(A359)]]</f>
        <v>0</v>
      </c>
      <c r="R565" s="307">
        <f>IFERROR(VLOOKUP(Table24[[#This Row],[ROUTE]],PRICING!A:B,2,FALSE),0)</f>
        <v>0</v>
      </c>
      <c r="S565" s="308">
        <f>Table24[[#This Row],[C_DEMAND]]-Table24[[#This Row],[R-DEMAND]]</f>
        <v>0</v>
      </c>
      <c r="T565" s="307">
        <f>Table24[[#This Row],[SEATS SOLD]]*Table24[[#This Row],[ECO SEAT]]</f>
        <v>0</v>
      </c>
      <c r="U565" s="307">
        <f>Table24[[#This Row],[SEATS SOLD]]*(IFERROR(VLOOKUP(Table24[[#This Row],[ROUTE]],PRICING!A:C,3,FALSE),0))</f>
        <v>0</v>
      </c>
      <c r="V565" s="307">
        <f>Table24[[#This Row],[SEAT REV]]-Table24[[#This Row],[SEAT REV
(IF IDEAL $)]]</f>
        <v>0</v>
      </c>
    </row>
    <row r="566" spans="1:22" customFormat="1" x14ac:dyDescent="0.25">
      <c r="A566" s="306" t="s">
        <v>17731</v>
      </c>
      <c r="B566" s="306" t="s">
        <v>4486</v>
      </c>
      <c r="C566" s="306"/>
      <c r="D566" s="26">
        <v>2</v>
      </c>
      <c r="E566" s="312" t="s">
        <v>10861</v>
      </c>
      <c r="F566" s="306" t="str">
        <f>VLOOKUP(Table24[[#This Row],[Country]],Table10[[COUNTRY NAME]:[CONTINENT CODE]],3,FALSE)</f>
        <v>NA</v>
      </c>
      <c r="G566" s="312" t="s">
        <v>17029</v>
      </c>
      <c r="H566" s="309">
        <v>1122</v>
      </c>
      <c r="I566" s="310">
        <v>4.5</v>
      </c>
      <c r="J566" s="307"/>
      <c r="K566" s="307">
        <f>IFERROR(Table24[[#This Row],[ROUTE COST]]/Table24[[#This Row],[O - DEMAND]],0)</f>
        <v>0</v>
      </c>
      <c r="L566" s="306"/>
      <c r="M566" s="310">
        <f>Table24[[#This Row],[O - DEMAND]]/950</f>
        <v>0</v>
      </c>
      <c r="N566" s="306">
        <f>IFERROR(VLOOKUP(Table24[[#This Row],[ROUTE]],DEMAND!A:F,5,FALSE),0)</f>
        <v>0</v>
      </c>
      <c r="O566" s="306">
        <f>IFERROR(VLOOKUP(Table24[[#This Row],[ROUTE]],DEMAND!A:F,6,FALSE),0)</f>
        <v>0</v>
      </c>
      <c r="P566" s="306">
        <f>ROUNDDOWN(Table24[[#This Row],[R-DEMAND]]/950,0)</f>
        <v>0</v>
      </c>
      <c r="Q566" s="306">
        <f>Table24[[#This Row],[ADD ACC
(475/950)]]*Table24[[#This Row],[Duration
(A359)]]</f>
        <v>0</v>
      </c>
      <c r="R566" s="307">
        <f>IFERROR(VLOOKUP(Table24[[#This Row],[ROUTE]],PRICING!A:B,2,FALSE),0)</f>
        <v>0</v>
      </c>
      <c r="S566" s="308">
        <f>Table24[[#This Row],[C_DEMAND]]-Table24[[#This Row],[R-DEMAND]]</f>
        <v>0</v>
      </c>
      <c r="T566" s="307">
        <f>Table24[[#This Row],[SEATS SOLD]]*Table24[[#This Row],[ECO SEAT]]</f>
        <v>0</v>
      </c>
      <c r="U566" s="307">
        <f>Table24[[#This Row],[SEATS SOLD]]*(IFERROR(VLOOKUP(Table24[[#This Row],[ROUTE]],PRICING!A:C,3,FALSE),0))</f>
        <v>0</v>
      </c>
      <c r="V566" s="307">
        <f>Table24[[#This Row],[SEAT REV]]-Table24[[#This Row],[SEAT REV
(IF IDEAL $)]]</f>
        <v>0</v>
      </c>
    </row>
    <row r="567" spans="1:22" customFormat="1" x14ac:dyDescent="0.25">
      <c r="A567" s="306" t="s">
        <v>17806</v>
      </c>
      <c r="B567" s="306" t="s">
        <v>4729</v>
      </c>
      <c r="C567" s="306"/>
      <c r="D567" s="26">
        <v>2</v>
      </c>
      <c r="E567" s="312" t="s">
        <v>683</v>
      </c>
      <c r="F567" s="306" t="str">
        <f>VLOOKUP(Table24[[#This Row],[Country]],Table10[[COUNTRY NAME]:[CONTINENT CODE]],3,FALSE)</f>
        <v>NA</v>
      </c>
      <c r="G567" s="312" t="s">
        <v>13187</v>
      </c>
      <c r="H567" s="309">
        <v>1071</v>
      </c>
      <c r="I567" s="310">
        <v>4.5</v>
      </c>
      <c r="J567" s="307"/>
      <c r="K567" s="307">
        <f>IFERROR(Table24[[#This Row],[ROUTE COST]]/Table24[[#This Row],[O - DEMAND]],0)</f>
        <v>0</v>
      </c>
      <c r="L567" s="306"/>
      <c r="M567" s="310">
        <f>Table24[[#This Row],[O - DEMAND]]/950</f>
        <v>0</v>
      </c>
      <c r="N567" s="306">
        <f>IFERROR(VLOOKUP(Table24[[#This Row],[ROUTE]],DEMAND!A:F,5,FALSE),0)</f>
        <v>0</v>
      </c>
      <c r="O567" s="306">
        <f>IFERROR(VLOOKUP(Table24[[#This Row],[ROUTE]],DEMAND!A:F,6,FALSE),0)</f>
        <v>0</v>
      </c>
      <c r="P567" s="306">
        <f>ROUNDDOWN(Table24[[#This Row],[R-DEMAND]]/950,0)</f>
        <v>0</v>
      </c>
      <c r="Q567" s="306">
        <f>Table24[[#This Row],[ADD ACC
(475/950)]]*Table24[[#This Row],[Duration
(A359)]]</f>
        <v>0</v>
      </c>
      <c r="R567" s="307">
        <f>IFERROR(VLOOKUP(Table24[[#This Row],[ROUTE]],PRICING!A:B,2,FALSE),0)</f>
        <v>0</v>
      </c>
      <c r="S567" s="308">
        <f>Table24[[#This Row],[C_DEMAND]]-Table24[[#This Row],[R-DEMAND]]</f>
        <v>0</v>
      </c>
      <c r="T567" s="307">
        <f>Table24[[#This Row],[SEATS SOLD]]*Table24[[#This Row],[ECO SEAT]]</f>
        <v>0</v>
      </c>
      <c r="U567" s="307">
        <f>Table24[[#This Row],[SEATS SOLD]]*(IFERROR(VLOOKUP(Table24[[#This Row],[ROUTE]],PRICING!A:C,3,FALSE),0))</f>
        <v>0</v>
      </c>
      <c r="V567" s="307">
        <f>Table24[[#This Row],[SEAT REV]]-Table24[[#This Row],[SEAT REV
(IF IDEAL $)]]</f>
        <v>0</v>
      </c>
    </row>
    <row r="568" spans="1:22" customFormat="1" x14ac:dyDescent="0.25">
      <c r="A568" s="306" t="s">
        <v>17807</v>
      </c>
      <c r="B568" s="306" t="s">
        <v>2844</v>
      </c>
      <c r="C568" s="306"/>
      <c r="D568" s="26">
        <v>2</v>
      </c>
      <c r="E568" s="312" t="s">
        <v>683</v>
      </c>
      <c r="F568" s="306" t="str">
        <f>VLOOKUP(Table24[[#This Row],[Country]],Table10[[COUNTRY NAME]:[CONTINENT CODE]],3,FALSE)</f>
        <v>NA</v>
      </c>
      <c r="G568" s="312" t="s">
        <v>13188</v>
      </c>
      <c r="H568" s="309">
        <v>1023</v>
      </c>
      <c r="I568" s="310">
        <v>4.25</v>
      </c>
      <c r="J568" s="307"/>
      <c r="K568" s="307">
        <f>IFERROR(Table24[[#This Row],[ROUTE COST]]/Table24[[#This Row],[O - DEMAND]],0)</f>
        <v>0</v>
      </c>
      <c r="L568" s="306"/>
      <c r="M568" s="310">
        <f>Table24[[#This Row],[O - DEMAND]]/950</f>
        <v>0</v>
      </c>
      <c r="N568" s="306">
        <f>IFERROR(VLOOKUP(Table24[[#This Row],[ROUTE]],DEMAND!A:F,5,FALSE),0)</f>
        <v>0</v>
      </c>
      <c r="O568" s="306">
        <f>IFERROR(VLOOKUP(Table24[[#This Row],[ROUTE]],DEMAND!A:F,6,FALSE),0)</f>
        <v>0</v>
      </c>
      <c r="P568" s="306">
        <f>ROUNDDOWN(Table24[[#This Row],[R-DEMAND]]/950,0)</f>
        <v>0</v>
      </c>
      <c r="Q568" s="306">
        <f>Table24[[#This Row],[ADD ACC
(475/950)]]*Table24[[#This Row],[Duration
(A359)]]</f>
        <v>0</v>
      </c>
      <c r="R568" s="307">
        <f>IFERROR(VLOOKUP(Table24[[#This Row],[ROUTE]],PRICING!A:B,2,FALSE),0)</f>
        <v>0</v>
      </c>
      <c r="S568" s="308">
        <f>Table24[[#This Row],[C_DEMAND]]-Table24[[#This Row],[R-DEMAND]]</f>
        <v>0</v>
      </c>
      <c r="T568" s="307">
        <f>Table24[[#This Row],[SEATS SOLD]]*Table24[[#This Row],[ECO SEAT]]</f>
        <v>0</v>
      </c>
      <c r="U568" s="307">
        <f>Table24[[#This Row],[SEATS SOLD]]*(IFERROR(VLOOKUP(Table24[[#This Row],[ROUTE]],PRICING!A:C,3,FALSE),0))</f>
        <v>0</v>
      </c>
      <c r="V568" s="307">
        <f>Table24[[#This Row],[SEAT REV]]-Table24[[#This Row],[SEAT REV
(IF IDEAL $)]]</f>
        <v>0</v>
      </c>
    </row>
    <row r="569" spans="1:22" customFormat="1" x14ac:dyDescent="0.25">
      <c r="A569" s="306" t="s">
        <v>17808</v>
      </c>
      <c r="B569" s="306" t="s">
        <v>4076</v>
      </c>
      <c r="C569" s="306"/>
      <c r="D569" s="26">
        <v>2</v>
      </c>
      <c r="E569" s="312" t="s">
        <v>2324</v>
      </c>
      <c r="F569" s="306" t="str">
        <f>VLOOKUP(Table24[[#This Row],[Country]],Table10[[COUNTRY NAME]:[CONTINENT CODE]],3,FALSE)</f>
        <v>NA</v>
      </c>
      <c r="G569" s="312" t="s">
        <v>13231</v>
      </c>
      <c r="H569" s="309">
        <v>837</v>
      </c>
      <c r="I569" s="310">
        <v>4</v>
      </c>
      <c r="J569" s="307"/>
      <c r="K569" s="307">
        <f>IFERROR(Table24[[#This Row],[ROUTE COST]]/Table24[[#This Row],[O - DEMAND]],0)</f>
        <v>0</v>
      </c>
      <c r="L569" s="306"/>
      <c r="M569" s="310">
        <f>Table24[[#This Row],[O - DEMAND]]/950</f>
        <v>0</v>
      </c>
      <c r="N569" s="306">
        <f>IFERROR(VLOOKUP(Table24[[#This Row],[ROUTE]],DEMAND!A:F,5,FALSE),0)</f>
        <v>0</v>
      </c>
      <c r="O569" s="306">
        <f>IFERROR(VLOOKUP(Table24[[#This Row],[ROUTE]],DEMAND!A:F,6,FALSE),0)</f>
        <v>0</v>
      </c>
      <c r="P569" s="306">
        <f>ROUNDDOWN(Table24[[#This Row],[R-DEMAND]]/950,0)</f>
        <v>0</v>
      </c>
      <c r="Q569" s="306">
        <f>Table24[[#This Row],[ADD ACC
(475/950)]]*Table24[[#This Row],[Duration
(A359)]]</f>
        <v>0</v>
      </c>
      <c r="R569" s="307">
        <f>IFERROR(VLOOKUP(Table24[[#This Row],[ROUTE]],PRICING!A:B,2,FALSE),0)</f>
        <v>0</v>
      </c>
      <c r="S569" s="308">
        <f>Table24[[#This Row],[C_DEMAND]]-Table24[[#This Row],[R-DEMAND]]</f>
        <v>0</v>
      </c>
      <c r="T569" s="307">
        <f>Table24[[#This Row],[SEATS SOLD]]*Table24[[#This Row],[ECO SEAT]]</f>
        <v>0</v>
      </c>
      <c r="U569" s="307">
        <f>Table24[[#This Row],[SEATS SOLD]]*(IFERROR(VLOOKUP(Table24[[#This Row],[ROUTE]],PRICING!A:C,3,FALSE),0))</f>
        <v>0</v>
      </c>
      <c r="V569" s="307">
        <f>Table24[[#This Row],[SEAT REV]]-Table24[[#This Row],[SEAT REV
(IF IDEAL $)]]</f>
        <v>0</v>
      </c>
    </row>
    <row r="570" spans="1:22" customFormat="1" x14ac:dyDescent="0.25">
      <c r="A570" s="306" t="s">
        <v>17821</v>
      </c>
      <c r="B570" s="306" t="s">
        <v>2484</v>
      </c>
      <c r="C570" s="306"/>
      <c r="D570" s="26">
        <v>1</v>
      </c>
      <c r="E570" s="312" t="s">
        <v>683</v>
      </c>
      <c r="F570" s="306" t="str">
        <f>VLOOKUP(Table24[[#This Row],[Country]],Table10[[COUNTRY NAME]:[CONTINENT CODE]],3,FALSE)</f>
        <v>NA</v>
      </c>
      <c r="G570" s="312" t="s">
        <v>13189</v>
      </c>
      <c r="H570" s="309">
        <v>907</v>
      </c>
      <c r="I570" s="310">
        <v>4</v>
      </c>
      <c r="J570" s="307"/>
      <c r="K570" s="307">
        <f>IFERROR(Table24[[#This Row],[ROUTE COST]]/Table24[[#This Row],[O - DEMAND]],0)</f>
        <v>0</v>
      </c>
      <c r="L570" s="306"/>
      <c r="M570" s="310">
        <f>Table24[[#This Row],[O - DEMAND]]/950</f>
        <v>0</v>
      </c>
      <c r="N570" s="306">
        <f>IFERROR(VLOOKUP(Table24[[#This Row],[ROUTE]],DEMAND!A:F,5,FALSE),0)</f>
        <v>0</v>
      </c>
      <c r="O570" s="306">
        <f>IFERROR(VLOOKUP(Table24[[#This Row],[ROUTE]],DEMAND!A:F,6,FALSE),0)</f>
        <v>0</v>
      </c>
      <c r="P570" s="306">
        <f>ROUNDDOWN(Table24[[#This Row],[R-DEMAND]]/950,0)</f>
        <v>0</v>
      </c>
      <c r="Q570" s="306">
        <f>Table24[[#This Row],[ADD ACC
(475/950)]]*Table24[[#This Row],[Duration
(A359)]]</f>
        <v>0</v>
      </c>
      <c r="R570" s="307">
        <f>IFERROR(VLOOKUP(Table24[[#This Row],[ROUTE]],PRICING!A:B,2,FALSE),0)</f>
        <v>0</v>
      </c>
      <c r="S570" s="308">
        <f>Table24[[#This Row],[C_DEMAND]]-Table24[[#This Row],[R-DEMAND]]</f>
        <v>0</v>
      </c>
      <c r="T570" s="307">
        <f>Table24[[#This Row],[SEATS SOLD]]*Table24[[#This Row],[ECO SEAT]]</f>
        <v>0</v>
      </c>
      <c r="U570" s="307">
        <f>Table24[[#This Row],[SEATS SOLD]]*(IFERROR(VLOOKUP(Table24[[#This Row],[ROUTE]],PRICING!A:C,3,FALSE),0))</f>
        <v>0</v>
      </c>
      <c r="V570" s="307">
        <f>Table24[[#This Row],[SEAT REV]]-Table24[[#This Row],[SEAT REV
(IF IDEAL $)]]</f>
        <v>0</v>
      </c>
    </row>
    <row r="571" spans="1:22" customFormat="1" x14ac:dyDescent="0.25">
      <c r="A571" s="306" t="s">
        <v>17810</v>
      </c>
      <c r="B571" s="306" t="s">
        <v>2710</v>
      </c>
      <c r="C571" s="306"/>
      <c r="D571" s="26">
        <v>2</v>
      </c>
      <c r="E571" s="312" t="s">
        <v>683</v>
      </c>
      <c r="F571" s="306" t="str">
        <f>VLOOKUP(Table24[[#This Row],[Country]],Table10[[COUNTRY NAME]:[CONTINENT CODE]],3,FALSE)</f>
        <v>NA</v>
      </c>
      <c r="G571" s="312" t="s">
        <v>13190</v>
      </c>
      <c r="H571" s="309">
        <v>781</v>
      </c>
      <c r="I571" s="310">
        <v>3.75</v>
      </c>
      <c r="J571" s="307"/>
      <c r="K571" s="307">
        <f>IFERROR(Table24[[#This Row],[ROUTE COST]]/Table24[[#This Row],[O - DEMAND]],0)</f>
        <v>0</v>
      </c>
      <c r="L571" s="306"/>
      <c r="M571" s="310">
        <f>Table24[[#This Row],[O - DEMAND]]/950</f>
        <v>0</v>
      </c>
      <c r="N571" s="306">
        <f>IFERROR(VLOOKUP(Table24[[#This Row],[ROUTE]],DEMAND!A:F,5,FALSE),0)</f>
        <v>0</v>
      </c>
      <c r="O571" s="306">
        <f>IFERROR(VLOOKUP(Table24[[#This Row],[ROUTE]],DEMAND!A:F,6,FALSE),0)</f>
        <v>0</v>
      </c>
      <c r="P571" s="306">
        <f>ROUNDDOWN(Table24[[#This Row],[R-DEMAND]]/950,0)</f>
        <v>0</v>
      </c>
      <c r="Q571" s="306">
        <f>Table24[[#This Row],[ADD ACC
(475/950)]]*Table24[[#This Row],[Duration
(A359)]]</f>
        <v>0</v>
      </c>
      <c r="R571" s="307">
        <f>IFERROR(VLOOKUP(Table24[[#This Row],[ROUTE]],PRICING!A:B,2,FALSE),0)</f>
        <v>0</v>
      </c>
      <c r="S571" s="308">
        <f>Table24[[#This Row],[C_DEMAND]]-Table24[[#This Row],[R-DEMAND]]</f>
        <v>0</v>
      </c>
      <c r="T571" s="307">
        <f>Table24[[#This Row],[SEATS SOLD]]*Table24[[#This Row],[ECO SEAT]]</f>
        <v>0</v>
      </c>
      <c r="U571" s="307">
        <f>Table24[[#This Row],[SEATS SOLD]]*(IFERROR(VLOOKUP(Table24[[#This Row],[ROUTE]],PRICING!A:C,3,FALSE),0))</f>
        <v>0</v>
      </c>
      <c r="V571" s="307">
        <f>Table24[[#This Row],[SEAT REV]]-Table24[[#This Row],[SEAT REV
(IF IDEAL $)]]</f>
        <v>0</v>
      </c>
    </row>
    <row r="572" spans="1:22" customFormat="1" x14ac:dyDescent="0.25">
      <c r="A572" s="306" t="s">
        <v>17809</v>
      </c>
      <c r="B572" s="306" t="s">
        <v>4621</v>
      </c>
      <c r="C572" s="306"/>
      <c r="D572" s="26">
        <v>2</v>
      </c>
      <c r="E572" s="312" t="s">
        <v>2324</v>
      </c>
      <c r="F572" s="306" t="str">
        <f>VLOOKUP(Table24[[#This Row],[Country]],Table10[[COUNTRY NAME]:[CONTINENT CODE]],3,FALSE)</f>
        <v>NA</v>
      </c>
      <c r="G572" s="312" t="s">
        <v>13230</v>
      </c>
      <c r="H572" s="309">
        <v>795</v>
      </c>
      <c r="I572" s="310">
        <v>3.75</v>
      </c>
      <c r="J572" s="307"/>
      <c r="K572" s="307">
        <f>IFERROR(Table24[[#This Row],[ROUTE COST]]/Table24[[#This Row],[O - DEMAND]],0)</f>
        <v>0</v>
      </c>
      <c r="L572" s="306"/>
      <c r="M572" s="310">
        <f>Table24[[#This Row],[O - DEMAND]]/950</f>
        <v>0</v>
      </c>
      <c r="N572" s="306">
        <f>IFERROR(VLOOKUP(Table24[[#This Row],[ROUTE]],DEMAND!A:F,5,FALSE),0)</f>
        <v>0</v>
      </c>
      <c r="O572" s="306">
        <f>IFERROR(VLOOKUP(Table24[[#This Row],[ROUTE]],DEMAND!A:F,6,FALSE),0)</f>
        <v>0</v>
      </c>
      <c r="P572" s="306">
        <f>ROUNDDOWN(Table24[[#This Row],[R-DEMAND]]/950,0)</f>
        <v>0</v>
      </c>
      <c r="Q572" s="306">
        <f>Table24[[#This Row],[ADD ACC
(475/950)]]*Table24[[#This Row],[Duration
(A359)]]</f>
        <v>0</v>
      </c>
      <c r="R572" s="307">
        <f>IFERROR(VLOOKUP(Table24[[#This Row],[ROUTE]],PRICING!A:B,2,FALSE),0)</f>
        <v>0</v>
      </c>
      <c r="S572" s="308">
        <f>Table24[[#This Row],[C_DEMAND]]-Table24[[#This Row],[R-DEMAND]]</f>
        <v>0</v>
      </c>
      <c r="T572" s="307">
        <f>Table24[[#This Row],[SEATS SOLD]]*Table24[[#This Row],[ECO SEAT]]</f>
        <v>0</v>
      </c>
      <c r="U572" s="307">
        <f>Table24[[#This Row],[SEATS SOLD]]*(IFERROR(VLOOKUP(Table24[[#This Row],[ROUTE]],PRICING!A:C,3,FALSE),0))</f>
        <v>0</v>
      </c>
      <c r="V572" s="307">
        <f>Table24[[#This Row],[SEAT REV]]-Table24[[#This Row],[SEAT REV
(IF IDEAL $)]]</f>
        <v>0</v>
      </c>
    </row>
    <row r="573" spans="1:22" customFormat="1" x14ac:dyDescent="0.25">
      <c r="A573" s="306" t="s">
        <v>17811</v>
      </c>
      <c r="B573" s="306" t="s">
        <v>2520</v>
      </c>
      <c r="C573" s="306"/>
      <c r="D573" s="26">
        <v>2</v>
      </c>
      <c r="E573" s="312" t="s">
        <v>683</v>
      </c>
      <c r="F573" s="306" t="str">
        <f>VLOOKUP(Table24[[#This Row],[Country]],Table10[[COUNTRY NAME]:[CONTINENT CODE]],3,FALSE)</f>
        <v>NA</v>
      </c>
      <c r="G573" s="312" t="s">
        <v>13191</v>
      </c>
      <c r="H573" s="309">
        <v>660</v>
      </c>
      <c r="I573" s="310">
        <v>3.5</v>
      </c>
      <c r="J573" s="307"/>
      <c r="K573" s="307">
        <f>IFERROR(Table24[[#This Row],[ROUTE COST]]/Table24[[#This Row],[O - DEMAND]],0)</f>
        <v>0</v>
      </c>
      <c r="L573" s="306"/>
      <c r="M573" s="310">
        <f>Table24[[#This Row],[O - DEMAND]]/950</f>
        <v>0</v>
      </c>
      <c r="N573" s="306">
        <f>IFERROR(VLOOKUP(Table24[[#This Row],[ROUTE]],DEMAND!A:F,5,FALSE),0)</f>
        <v>0</v>
      </c>
      <c r="O573" s="306">
        <f>IFERROR(VLOOKUP(Table24[[#This Row],[ROUTE]],DEMAND!A:F,6,FALSE),0)</f>
        <v>0</v>
      </c>
      <c r="P573" s="306">
        <f>ROUNDDOWN(Table24[[#This Row],[R-DEMAND]]/950,0)</f>
        <v>0</v>
      </c>
      <c r="Q573" s="306">
        <f>Table24[[#This Row],[ADD ACC
(475/950)]]*Table24[[#This Row],[Duration
(A359)]]</f>
        <v>0</v>
      </c>
      <c r="R573" s="307">
        <f>IFERROR(VLOOKUP(Table24[[#This Row],[ROUTE]],PRICING!A:B,2,FALSE),0)</f>
        <v>0</v>
      </c>
      <c r="S573" s="308">
        <f>Table24[[#This Row],[C_DEMAND]]-Table24[[#This Row],[R-DEMAND]]</f>
        <v>0</v>
      </c>
      <c r="T573" s="307">
        <f>Table24[[#This Row],[SEATS SOLD]]*Table24[[#This Row],[ECO SEAT]]</f>
        <v>0</v>
      </c>
      <c r="U573" s="307">
        <f>Table24[[#This Row],[SEATS SOLD]]*(IFERROR(VLOOKUP(Table24[[#This Row],[ROUTE]],PRICING!A:C,3,FALSE),0))</f>
        <v>0</v>
      </c>
      <c r="V573" s="307">
        <f>Table24[[#This Row],[SEAT REV]]-Table24[[#This Row],[SEAT REV
(IF IDEAL $)]]</f>
        <v>0</v>
      </c>
    </row>
    <row r="574" spans="1:22" customFormat="1" x14ac:dyDescent="0.25">
      <c r="A574" s="306" t="s">
        <v>17813</v>
      </c>
      <c r="B574" s="306" t="s">
        <v>4391</v>
      </c>
      <c r="C574" s="306"/>
      <c r="D574" s="26">
        <v>2</v>
      </c>
      <c r="E574" s="312" t="s">
        <v>683</v>
      </c>
      <c r="F574" s="306" t="str">
        <f>VLOOKUP(Table24[[#This Row],[Country]],Table10[[COUNTRY NAME]:[CONTINENT CODE]],3,FALSE)</f>
        <v>NA</v>
      </c>
      <c r="G574" s="312" t="s">
        <v>13192</v>
      </c>
      <c r="H574" s="309">
        <v>487</v>
      </c>
      <c r="I574" s="310">
        <v>3.25</v>
      </c>
      <c r="J574" s="307"/>
      <c r="K574" s="307">
        <f>IFERROR(Table24[[#This Row],[ROUTE COST]]/Table24[[#This Row],[O - DEMAND]],0)</f>
        <v>0</v>
      </c>
      <c r="L574" s="306"/>
      <c r="M574" s="310">
        <f>Table24[[#This Row],[O - DEMAND]]/950</f>
        <v>0</v>
      </c>
      <c r="N574" s="306">
        <f>IFERROR(VLOOKUP(Table24[[#This Row],[ROUTE]],DEMAND!A:F,5,FALSE),0)</f>
        <v>0</v>
      </c>
      <c r="O574" s="306">
        <f>IFERROR(VLOOKUP(Table24[[#This Row],[ROUTE]],DEMAND!A:F,6,FALSE),0)</f>
        <v>0</v>
      </c>
      <c r="P574" s="306">
        <f>ROUNDDOWN(Table24[[#This Row],[R-DEMAND]]/950,0)</f>
        <v>0</v>
      </c>
      <c r="Q574" s="306">
        <f>Table24[[#This Row],[ADD ACC
(475/950)]]*Table24[[#This Row],[Duration
(A359)]]</f>
        <v>0</v>
      </c>
      <c r="R574" s="307">
        <f>IFERROR(VLOOKUP(Table24[[#This Row],[ROUTE]],PRICING!A:B,2,FALSE),0)</f>
        <v>0</v>
      </c>
      <c r="S574" s="308">
        <f>Table24[[#This Row],[C_DEMAND]]-Table24[[#This Row],[R-DEMAND]]</f>
        <v>0</v>
      </c>
      <c r="T574" s="307">
        <f>Table24[[#This Row],[SEATS SOLD]]*Table24[[#This Row],[ECO SEAT]]</f>
        <v>0</v>
      </c>
      <c r="U574" s="307">
        <f>Table24[[#This Row],[SEATS SOLD]]*(IFERROR(VLOOKUP(Table24[[#This Row],[ROUTE]],PRICING!A:C,3,FALSE),0))</f>
        <v>0</v>
      </c>
      <c r="V574" s="307">
        <f>Table24[[#This Row],[SEAT REV]]-Table24[[#This Row],[SEAT REV
(IF IDEAL $)]]</f>
        <v>0</v>
      </c>
    </row>
    <row r="575" spans="1:22" customFormat="1" x14ac:dyDescent="0.25">
      <c r="A575" s="306" t="s">
        <v>17815</v>
      </c>
      <c r="B575" s="306" t="s">
        <v>3889</v>
      </c>
      <c r="C575" s="306"/>
      <c r="D575" s="26">
        <v>2</v>
      </c>
      <c r="E575" s="312" t="s">
        <v>2791</v>
      </c>
      <c r="F575" s="306" t="str">
        <f>VLOOKUP(Table24[[#This Row],[Country]],Table10[[COUNTRY NAME]:[CONTINENT CODE]],3,FALSE)</f>
        <v>NA</v>
      </c>
      <c r="G575" s="312" t="s">
        <v>13198</v>
      </c>
      <c r="H575" s="309">
        <v>356</v>
      </c>
      <c r="I575" s="310">
        <v>3</v>
      </c>
      <c r="J575" s="307"/>
      <c r="K575" s="307">
        <f>IFERROR(Table24[[#This Row],[ROUTE COST]]/Table24[[#This Row],[O - DEMAND]],0)</f>
        <v>0</v>
      </c>
      <c r="L575" s="306"/>
      <c r="M575" s="310">
        <f>Table24[[#This Row],[O - DEMAND]]/950</f>
        <v>0</v>
      </c>
      <c r="N575" s="306">
        <f>IFERROR(VLOOKUP(Table24[[#This Row],[ROUTE]],DEMAND!A:F,5,FALSE),0)</f>
        <v>0</v>
      </c>
      <c r="O575" s="306">
        <f>IFERROR(VLOOKUP(Table24[[#This Row],[ROUTE]],DEMAND!A:F,6,FALSE),0)</f>
        <v>0</v>
      </c>
      <c r="P575" s="306">
        <f>ROUNDDOWN(Table24[[#This Row],[R-DEMAND]]/950,0)</f>
        <v>0</v>
      </c>
      <c r="Q575" s="306">
        <f>Table24[[#This Row],[ADD ACC
(475/950)]]*Table24[[#This Row],[Duration
(A359)]]</f>
        <v>0</v>
      </c>
      <c r="R575" s="307">
        <f>IFERROR(VLOOKUP(Table24[[#This Row],[ROUTE]],PRICING!A:B,2,FALSE),0)</f>
        <v>0</v>
      </c>
      <c r="S575" s="308">
        <f>Table24[[#This Row],[C_DEMAND]]-Table24[[#This Row],[R-DEMAND]]</f>
        <v>0</v>
      </c>
      <c r="T575" s="307">
        <f>Table24[[#This Row],[SEATS SOLD]]*Table24[[#This Row],[ECO SEAT]]</f>
        <v>0</v>
      </c>
      <c r="U575" s="307">
        <f>Table24[[#This Row],[SEATS SOLD]]*(IFERROR(VLOOKUP(Table24[[#This Row],[ROUTE]],PRICING!A:C,3,FALSE),0))</f>
        <v>0</v>
      </c>
      <c r="V575" s="307">
        <f>Table24[[#This Row],[SEAT REV]]-Table24[[#This Row],[SEAT REV
(IF IDEAL $)]]</f>
        <v>0</v>
      </c>
    </row>
    <row r="576" spans="1:22" customFormat="1" x14ac:dyDescent="0.25">
      <c r="A576" s="306" t="s">
        <v>17814</v>
      </c>
      <c r="B576" s="306" t="s">
        <v>3452</v>
      </c>
      <c r="C576" s="306"/>
      <c r="D576" s="26">
        <v>2</v>
      </c>
      <c r="E576" s="312" t="s">
        <v>683</v>
      </c>
      <c r="F576" s="306" t="str">
        <f>VLOOKUP(Table24[[#This Row],[Country]],Table10[[COUNTRY NAME]:[CONTINENT CODE]],3,FALSE)</f>
        <v>NA</v>
      </c>
      <c r="G576" s="312" t="s">
        <v>13193</v>
      </c>
      <c r="H576" s="309">
        <v>402</v>
      </c>
      <c r="I576" s="310">
        <v>3</v>
      </c>
      <c r="J576" s="307"/>
      <c r="K576" s="307">
        <f>IFERROR(Table24[[#This Row],[ROUTE COST]]/Table24[[#This Row],[O - DEMAND]],0)</f>
        <v>0</v>
      </c>
      <c r="L576" s="306"/>
      <c r="M576" s="310">
        <f>Table24[[#This Row],[O - DEMAND]]/950</f>
        <v>0</v>
      </c>
      <c r="N576" s="306">
        <f>IFERROR(VLOOKUP(Table24[[#This Row],[ROUTE]],DEMAND!A:F,5,FALSE),0)</f>
        <v>0</v>
      </c>
      <c r="O576" s="306">
        <f>IFERROR(VLOOKUP(Table24[[#This Row],[ROUTE]],DEMAND!A:F,6,FALSE),0)</f>
        <v>0</v>
      </c>
      <c r="P576" s="306">
        <f>ROUNDDOWN(Table24[[#This Row],[R-DEMAND]]/950,0)</f>
        <v>0</v>
      </c>
      <c r="Q576" s="306">
        <f>Table24[[#This Row],[ADD ACC
(475/950)]]*Table24[[#This Row],[Duration
(A359)]]</f>
        <v>0</v>
      </c>
      <c r="R576" s="307">
        <f>IFERROR(VLOOKUP(Table24[[#This Row],[ROUTE]],PRICING!A:B,2,FALSE),0)</f>
        <v>0</v>
      </c>
      <c r="S576" s="308">
        <f>Table24[[#This Row],[C_DEMAND]]-Table24[[#This Row],[R-DEMAND]]</f>
        <v>0</v>
      </c>
      <c r="T576" s="307">
        <f>Table24[[#This Row],[SEATS SOLD]]*Table24[[#This Row],[ECO SEAT]]</f>
        <v>0</v>
      </c>
      <c r="U576" s="307">
        <f>Table24[[#This Row],[SEATS SOLD]]*(IFERROR(VLOOKUP(Table24[[#This Row],[ROUTE]],PRICING!A:C,3,FALSE),0))</f>
        <v>0</v>
      </c>
      <c r="V576" s="307">
        <f>Table24[[#This Row],[SEAT REV]]-Table24[[#This Row],[SEAT REV
(IF IDEAL $)]]</f>
        <v>0</v>
      </c>
    </row>
    <row r="577" spans="1:22" customFormat="1" x14ac:dyDescent="0.25">
      <c r="A577" s="306" t="s">
        <v>17816</v>
      </c>
      <c r="B577" s="306" t="s">
        <v>2793</v>
      </c>
      <c r="C577" s="306"/>
      <c r="D577" s="26">
        <v>2</v>
      </c>
      <c r="E577" s="312" t="s">
        <v>2791</v>
      </c>
      <c r="F577" s="306" t="str">
        <f>VLOOKUP(Table24[[#This Row],[Country]],Table10[[COUNTRY NAME]:[CONTINENT CODE]],3,FALSE)</f>
        <v>NA</v>
      </c>
      <c r="G577" s="312" t="s">
        <v>13196</v>
      </c>
      <c r="H577" s="309">
        <v>279</v>
      </c>
      <c r="I577" s="310">
        <v>2.75</v>
      </c>
      <c r="J577" s="307"/>
      <c r="K577" s="307">
        <f>IFERROR(Table24[[#This Row],[ROUTE COST]]/Table24[[#This Row],[O - DEMAND]],0)</f>
        <v>0</v>
      </c>
      <c r="L577" s="306"/>
      <c r="M577" s="310">
        <f>Table24[[#This Row],[O - DEMAND]]/950</f>
        <v>0</v>
      </c>
      <c r="N577" s="306">
        <f>IFERROR(VLOOKUP(Table24[[#This Row],[ROUTE]],DEMAND!A:F,5,FALSE),0)</f>
        <v>0</v>
      </c>
      <c r="O577" s="306">
        <f>IFERROR(VLOOKUP(Table24[[#This Row],[ROUTE]],DEMAND!A:F,6,FALSE),0)</f>
        <v>0</v>
      </c>
      <c r="P577" s="306">
        <f>ROUNDDOWN(Table24[[#This Row],[R-DEMAND]]/950,0)</f>
        <v>0</v>
      </c>
      <c r="Q577" s="306">
        <f>Table24[[#This Row],[ADD ACC
(475/950)]]*Table24[[#This Row],[Duration
(A359)]]</f>
        <v>0</v>
      </c>
      <c r="R577" s="307">
        <f>IFERROR(VLOOKUP(Table24[[#This Row],[ROUTE]],PRICING!A:B,2,FALSE),0)</f>
        <v>0</v>
      </c>
      <c r="S577" s="308">
        <f>Table24[[#This Row],[C_DEMAND]]-Table24[[#This Row],[R-DEMAND]]</f>
        <v>0</v>
      </c>
      <c r="T577" s="307">
        <f>Table24[[#This Row],[SEATS SOLD]]*Table24[[#This Row],[ECO SEAT]]</f>
        <v>0</v>
      </c>
      <c r="U577" s="307">
        <f>Table24[[#This Row],[SEATS SOLD]]*(IFERROR(VLOOKUP(Table24[[#This Row],[ROUTE]],PRICING!A:C,3,FALSE),0))</f>
        <v>0</v>
      </c>
      <c r="V577" s="307">
        <f>Table24[[#This Row],[SEAT REV]]-Table24[[#This Row],[SEAT REV
(IF IDEAL $)]]</f>
        <v>0</v>
      </c>
    </row>
    <row r="578" spans="1:22" customFormat="1" x14ac:dyDescent="0.25">
      <c r="A578" s="306" t="s">
        <v>17817</v>
      </c>
      <c r="B578" s="306" t="s">
        <v>4675</v>
      </c>
      <c r="C578" s="306"/>
      <c r="D578" s="26">
        <v>2</v>
      </c>
      <c r="E578" s="312" t="s">
        <v>2791</v>
      </c>
      <c r="F578" s="306" t="str">
        <f>VLOOKUP(Table24[[#This Row],[Country]],Table10[[COUNTRY NAME]:[CONTINENT CODE]],3,FALSE)</f>
        <v>NA</v>
      </c>
      <c r="G578" s="312" t="s">
        <v>13195</v>
      </c>
      <c r="H578" s="309">
        <v>223</v>
      </c>
      <c r="I578" s="310">
        <v>2.5</v>
      </c>
      <c r="J578" s="307"/>
      <c r="K578" s="307">
        <f>IFERROR(Table24[[#This Row],[ROUTE COST]]/Table24[[#This Row],[O - DEMAND]],0)</f>
        <v>0</v>
      </c>
      <c r="L578" s="306"/>
      <c r="M578" s="310">
        <f>Table24[[#This Row],[O - DEMAND]]/950</f>
        <v>0</v>
      </c>
      <c r="N578" s="306">
        <f>IFERROR(VLOOKUP(Table24[[#This Row],[ROUTE]],DEMAND!A:F,5,FALSE),0)</f>
        <v>0</v>
      </c>
      <c r="O578" s="306">
        <f>IFERROR(VLOOKUP(Table24[[#This Row],[ROUTE]],DEMAND!A:F,6,FALSE),0)</f>
        <v>0</v>
      </c>
      <c r="P578" s="306">
        <f>ROUNDDOWN(Table24[[#This Row],[R-DEMAND]]/950,0)</f>
        <v>0</v>
      </c>
      <c r="Q578" s="306">
        <f>Table24[[#This Row],[ADD ACC
(475/950)]]*Table24[[#This Row],[Duration
(A359)]]</f>
        <v>0</v>
      </c>
      <c r="R578" s="307">
        <f>IFERROR(VLOOKUP(Table24[[#This Row],[ROUTE]],PRICING!A:B,2,FALSE),0)</f>
        <v>0</v>
      </c>
      <c r="S578" s="308">
        <f>Table24[[#This Row],[C_DEMAND]]-Table24[[#This Row],[R-DEMAND]]</f>
        <v>0</v>
      </c>
      <c r="T578" s="307">
        <f>Table24[[#This Row],[SEATS SOLD]]*Table24[[#This Row],[ECO SEAT]]</f>
        <v>0</v>
      </c>
      <c r="U578" s="307">
        <f>Table24[[#This Row],[SEATS SOLD]]*(IFERROR(VLOOKUP(Table24[[#This Row],[ROUTE]],PRICING!A:C,3,FALSE),0))</f>
        <v>0</v>
      </c>
      <c r="V578" s="307">
        <f>Table24[[#This Row],[SEAT REV]]-Table24[[#This Row],[SEAT REV
(IF IDEAL $)]]</f>
        <v>0</v>
      </c>
    </row>
    <row r="579" spans="1:22" customFormat="1" x14ac:dyDescent="0.25">
      <c r="A579" s="306" t="s">
        <v>18091</v>
      </c>
      <c r="B579" s="306" t="s">
        <v>4578</v>
      </c>
      <c r="C579" s="306" t="s">
        <v>2</v>
      </c>
      <c r="D579" s="26">
        <v>2</v>
      </c>
      <c r="E579" s="312" t="s">
        <v>860</v>
      </c>
      <c r="F579" s="306" t="str">
        <f>VLOOKUP(Table24[[#This Row],[Country]],Table10[[COUNTRY NAME]:[CONTINENT CODE]],3,FALSE)</f>
        <v>SA</v>
      </c>
      <c r="G579" s="312" t="s">
        <v>17025</v>
      </c>
      <c r="H579" s="309">
        <v>1420</v>
      </c>
      <c r="I579" s="310">
        <v>5.25</v>
      </c>
      <c r="J579" s="307">
        <v>125324942</v>
      </c>
      <c r="K579" s="307">
        <f>IFERROR(Table24[[#This Row],[ROUTE COST]]/Table24[[#This Row],[O - DEMAND]],0)</f>
        <v>46143.203976435936</v>
      </c>
      <c r="L579" s="306">
        <v>2716</v>
      </c>
      <c r="M579" s="310">
        <f>Table24[[#This Row],[O - DEMAND]]/950</f>
        <v>2.8589473684210525</v>
      </c>
      <c r="N579" s="306">
        <f>IFERROR(VLOOKUP(Table24[[#This Row],[ROUTE]],DEMAND!A:F,5,FALSE),0)</f>
        <v>2851</v>
      </c>
      <c r="O579" s="306">
        <f>IFERROR(VLOOKUP(Table24[[#This Row],[ROUTE]],DEMAND!A:F,6,FALSE),0)</f>
        <v>1</v>
      </c>
      <c r="P579" s="306">
        <f>ROUNDDOWN(Table24[[#This Row],[R-DEMAND]]/950,0)</f>
        <v>0</v>
      </c>
      <c r="Q579" s="306">
        <f>Table24[[#This Row],[ADD ACC
(475/950)]]*Table24[[#This Row],[Duration
(A359)]]</f>
        <v>0</v>
      </c>
      <c r="R579" s="307">
        <f>IFERROR(VLOOKUP(Table24[[#This Row],[ROUTE]],PRICING!A:B,2,FALSE),0)</f>
        <v>476</v>
      </c>
      <c r="S579" s="308">
        <f>Table24[[#This Row],[C_DEMAND]]-Table24[[#This Row],[R-DEMAND]]</f>
        <v>2850</v>
      </c>
      <c r="T579" s="307">
        <f>Table24[[#This Row],[SEATS SOLD]]*Table24[[#This Row],[ECO SEAT]]</f>
        <v>1356600</v>
      </c>
      <c r="U579" s="307">
        <f>Table24[[#This Row],[SEATS SOLD]]*(IFERROR(VLOOKUP(Table24[[#This Row],[ROUTE]],PRICING!A:C,3,FALSE),0))</f>
        <v>1596000</v>
      </c>
      <c r="V579" s="307">
        <f>Table24[[#This Row],[SEAT REV]]-Table24[[#This Row],[SEAT REV
(IF IDEAL $)]]</f>
        <v>-239400</v>
      </c>
    </row>
    <row r="580" spans="1:22" customFormat="1" x14ac:dyDescent="0.25">
      <c r="A580" s="306" t="s">
        <v>17515</v>
      </c>
      <c r="B580" s="306" t="s">
        <v>4962</v>
      </c>
      <c r="C580" s="306" t="s">
        <v>2</v>
      </c>
      <c r="D580" s="26">
        <v>3</v>
      </c>
      <c r="E580" s="312" t="s">
        <v>1377</v>
      </c>
      <c r="F580" s="306" t="str">
        <f>VLOOKUP(Table24[[#This Row],[Country]],Table10[[COUNTRY NAME]:[CONTINENT CODE]],3,FALSE)</f>
        <v>EU</v>
      </c>
      <c r="G580" s="312" t="s">
        <v>11927</v>
      </c>
      <c r="H580" s="309">
        <v>11156</v>
      </c>
      <c r="I580" s="310">
        <v>26.5</v>
      </c>
      <c r="J580" s="307">
        <v>227974277</v>
      </c>
      <c r="K580" s="307">
        <f>IFERROR(Table24[[#This Row],[ROUTE COST]]/Table24[[#This Row],[O - DEMAND]],0)</f>
        <v>62373.263201094393</v>
      </c>
      <c r="L580" s="306">
        <v>3655</v>
      </c>
      <c r="M580" s="310">
        <f>Table24[[#This Row],[O - DEMAND]]/950</f>
        <v>3.8473684210526318</v>
      </c>
      <c r="N580" s="306">
        <f>IFERROR(VLOOKUP(Table24[[#This Row],[ROUTE]],DEMAND!A:F,5,FALSE),0)</f>
        <v>3802</v>
      </c>
      <c r="O580" s="306">
        <f>IFERROR(VLOOKUP(Table24[[#This Row],[ROUTE]],DEMAND!A:F,6,FALSE),0)</f>
        <v>2</v>
      </c>
      <c r="P580" s="306">
        <f>ROUNDDOWN(Table24[[#This Row],[R-DEMAND]]/950,0)</f>
        <v>0</v>
      </c>
      <c r="Q580" s="306">
        <f>Table24[[#This Row],[ADD ACC
(475/950)]]*Table24[[#This Row],[Duration
(A359)]]</f>
        <v>0</v>
      </c>
      <c r="R580" s="307">
        <f>IFERROR(VLOOKUP(Table24[[#This Row],[ROUTE]],PRICING!A:B,2,FALSE),0)</f>
        <v>3148</v>
      </c>
      <c r="S580" s="308">
        <f>Table24[[#This Row],[C_DEMAND]]-Table24[[#This Row],[R-DEMAND]]</f>
        <v>3800</v>
      </c>
      <c r="T580" s="307">
        <f>Table24[[#This Row],[SEATS SOLD]]*Table24[[#This Row],[ECO SEAT]]</f>
        <v>11962400</v>
      </c>
      <c r="U580" s="307">
        <f>Table24[[#This Row],[SEATS SOLD]]*(IFERROR(VLOOKUP(Table24[[#This Row],[ROUTE]],PRICING!A:C,3,FALSE),0))</f>
        <v>13596400</v>
      </c>
      <c r="V580" s="307">
        <f>Table24[[#This Row],[SEAT REV]]-Table24[[#This Row],[SEAT REV
(IF IDEAL $)]]</f>
        <v>-1634000</v>
      </c>
    </row>
    <row r="581" spans="1:22" customFormat="1" x14ac:dyDescent="0.25">
      <c r="A581" s="306" t="s">
        <v>17509</v>
      </c>
      <c r="B581" s="306" t="s">
        <v>5536</v>
      </c>
      <c r="C581" s="306" t="s">
        <v>2</v>
      </c>
      <c r="D581" s="26">
        <v>4</v>
      </c>
      <c r="E581" s="312" t="s">
        <v>119</v>
      </c>
      <c r="F581" s="306" t="str">
        <f>VLOOKUP(Table24[[#This Row],[Country]],Table10[[COUNTRY NAME]:[CONTINENT CODE]],3,FALSE)</f>
        <v>EU</v>
      </c>
      <c r="G581" s="312" t="s">
        <v>13253</v>
      </c>
      <c r="H581" s="309">
        <v>5740</v>
      </c>
      <c r="I581" s="310">
        <v>14.75</v>
      </c>
      <c r="J581" s="307">
        <v>189496538</v>
      </c>
      <c r="K581" s="307">
        <f>IFERROR(Table24[[#This Row],[ROUTE COST]]/Table24[[#This Row],[O - DEMAND]],0)</f>
        <v>70183.902962962966</v>
      </c>
      <c r="L581" s="306">
        <v>2700</v>
      </c>
      <c r="M581" s="310">
        <f>Table24[[#This Row],[O - DEMAND]]/950</f>
        <v>2.8421052631578947</v>
      </c>
      <c r="N581" s="306">
        <f>IFERROR(VLOOKUP(Table24[[#This Row],[ROUTE]],DEMAND!A:F,5,FALSE),0)</f>
        <v>2853</v>
      </c>
      <c r="O581" s="306">
        <f>IFERROR(VLOOKUP(Table24[[#This Row],[ROUTE]],DEMAND!A:F,6,FALSE),0)</f>
        <v>3</v>
      </c>
      <c r="P581" s="306">
        <f>ROUNDDOWN(Table24[[#This Row],[R-DEMAND]]/950,0)</f>
        <v>0</v>
      </c>
      <c r="Q581" s="306">
        <f>Table24[[#This Row],[ADD ACC
(475/950)]]*Table24[[#This Row],[Duration
(A359)]]</f>
        <v>0</v>
      </c>
      <c r="R581" s="307">
        <f>IFERROR(VLOOKUP(Table24[[#This Row],[ROUTE]],PRICING!A:B,2,FALSE),0)</f>
        <v>1576</v>
      </c>
      <c r="S581" s="308">
        <f>Table24[[#This Row],[C_DEMAND]]-Table24[[#This Row],[R-DEMAND]]</f>
        <v>2850</v>
      </c>
      <c r="T581" s="307">
        <f>Table24[[#This Row],[SEATS SOLD]]*Table24[[#This Row],[ECO SEAT]]</f>
        <v>4491600</v>
      </c>
      <c r="U581" s="307">
        <f>Table24[[#This Row],[SEATS SOLD]]*(IFERROR(VLOOKUP(Table24[[#This Row],[ROUTE]],PRICING!A:C,3,FALSE),0))</f>
        <v>5412150</v>
      </c>
      <c r="V581" s="307">
        <f>Table24[[#This Row],[SEAT REV]]-Table24[[#This Row],[SEAT REV
(IF IDEAL $)]]</f>
        <v>-920550</v>
      </c>
    </row>
    <row r="582" spans="1:22" customFormat="1" x14ac:dyDescent="0.25">
      <c r="A582" s="306" t="s">
        <v>18024</v>
      </c>
      <c r="B582" s="306" t="s">
        <v>4642</v>
      </c>
      <c r="C582" s="306" t="s">
        <v>2</v>
      </c>
      <c r="D582" s="26">
        <v>2</v>
      </c>
      <c r="E582" s="312" t="s">
        <v>11669</v>
      </c>
      <c r="F582" s="306" t="str">
        <f>VLOOKUP(Table24[[#This Row],[Country]],Table10[[COUNTRY NAME]:[CONTINENT CODE]],3,FALSE)</f>
        <v>SA</v>
      </c>
      <c r="G582" s="312" t="s">
        <v>13137</v>
      </c>
      <c r="H582" s="309">
        <v>5617</v>
      </c>
      <c r="I582" s="310">
        <v>14.5</v>
      </c>
      <c r="J582" s="307">
        <v>167808762</v>
      </c>
      <c r="K582" s="307">
        <f>IFERROR(Table24[[#This Row],[ROUTE COST]]/Table24[[#This Row],[O - DEMAND]],0)</f>
        <v>60800.276086956525</v>
      </c>
      <c r="L582" s="306">
        <v>2760</v>
      </c>
      <c r="M582" s="310">
        <f>Table24[[#This Row],[O - DEMAND]]/950</f>
        <v>2.905263157894737</v>
      </c>
      <c r="N582" s="306">
        <f>IFERROR(VLOOKUP(Table24[[#This Row],[ROUTE]],DEMAND!A:F,5,FALSE),0)</f>
        <v>2853</v>
      </c>
      <c r="O582" s="306">
        <f>IFERROR(VLOOKUP(Table24[[#This Row],[ROUTE]],DEMAND!A:F,6,FALSE),0)</f>
        <v>3</v>
      </c>
      <c r="P582" s="306">
        <f>ROUNDDOWN(Table24[[#This Row],[R-DEMAND]]/950,0)</f>
        <v>0</v>
      </c>
      <c r="Q582" s="306">
        <f>Table24[[#This Row],[ADD ACC
(475/950)]]*Table24[[#This Row],[Duration
(A359)]]</f>
        <v>0</v>
      </c>
      <c r="R582" s="307">
        <f>IFERROR(VLOOKUP(Table24[[#This Row],[ROUTE]],PRICING!A:B,2,FALSE),0)</f>
        <v>1674</v>
      </c>
      <c r="S582" s="308">
        <f>Table24[[#This Row],[C_DEMAND]]-Table24[[#This Row],[R-DEMAND]]</f>
        <v>2850</v>
      </c>
      <c r="T582" s="307">
        <f>Table24[[#This Row],[SEATS SOLD]]*Table24[[#This Row],[ECO SEAT]]</f>
        <v>4770900</v>
      </c>
      <c r="U582" s="307">
        <f>Table24[[#This Row],[SEATS SOLD]]*(IFERROR(VLOOKUP(Table24[[#This Row],[ROUTE]],PRICING!A:C,3,FALSE),0))</f>
        <v>5303850</v>
      </c>
      <c r="V582" s="307">
        <f>Table24[[#This Row],[SEAT REV]]-Table24[[#This Row],[SEAT REV
(IF IDEAL $)]]</f>
        <v>-532950</v>
      </c>
    </row>
    <row r="583" spans="1:22" customFormat="1" x14ac:dyDescent="0.25">
      <c r="A583" s="306" t="s">
        <v>18094</v>
      </c>
      <c r="B583" s="306" t="s">
        <v>256</v>
      </c>
      <c r="C583" s="306" t="s">
        <v>2</v>
      </c>
      <c r="D583" s="26">
        <v>1</v>
      </c>
      <c r="E583" s="312" t="s">
        <v>530</v>
      </c>
      <c r="F583" s="306" t="str">
        <f>VLOOKUP(Table24[[#This Row],[Country]],Table10[[COUNTRY NAME]:[CONTINENT CODE]],3,FALSE)</f>
        <v>SA</v>
      </c>
      <c r="G583" s="312" t="s">
        <v>13177</v>
      </c>
      <c r="H583" s="309">
        <v>6473</v>
      </c>
      <c r="I583" s="310">
        <v>16.25</v>
      </c>
      <c r="J583" s="307">
        <v>155074817</v>
      </c>
      <c r="K583" s="307">
        <f>IFERROR(Table24[[#This Row],[ROUTE COST]]/Table24[[#This Row],[O - DEMAND]],0)</f>
        <v>86057.057158712545</v>
      </c>
      <c r="L583" s="306">
        <v>1802</v>
      </c>
      <c r="M583" s="310">
        <f>Table24[[#This Row],[O - DEMAND]]/950</f>
        <v>1.8968421052631579</v>
      </c>
      <c r="N583" s="306">
        <f>IFERROR(VLOOKUP(Table24[[#This Row],[ROUTE]],DEMAND!A:F,5,FALSE),0)</f>
        <v>1904</v>
      </c>
      <c r="O583" s="306">
        <f>IFERROR(VLOOKUP(Table24[[#This Row],[ROUTE]],DEMAND!A:F,6,FALSE),0)</f>
        <v>4</v>
      </c>
      <c r="P583" s="306">
        <f>ROUNDDOWN(Table24[[#This Row],[R-DEMAND]]/950,0)</f>
        <v>0</v>
      </c>
      <c r="Q583" s="306">
        <f>Table24[[#This Row],[ADD ACC
(475/950)]]*Table24[[#This Row],[Duration
(A359)]]</f>
        <v>0</v>
      </c>
      <c r="R583" s="307">
        <f>IFERROR(VLOOKUP(Table24[[#This Row],[ROUTE]],PRICING!A:B,2,FALSE),0)</f>
        <v>1764</v>
      </c>
      <c r="S583" s="308">
        <f>Table24[[#This Row],[C_DEMAND]]-Table24[[#This Row],[R-DEMAND]]</f>
        <v>1900</v>
      </c>
      <c r="T583" s="307">
        <f>Table24[[#This Row],[SEATS SOLD]]*Table24[[#This Row],[ECO SEAT]]</f>
        <v>3351600</v>
      </c>
      <c r="U583" s="307">
        <f>Table24[[#This Row],[SEATS SOLD]]*(IFERROR(VLOOKUP(Table24[[#This Row],[ROUTE]],PRICING!A:C,3,FALSE),0))</f>
        <v>4039400</v>
      </c>
      <c r="V583" s="307">
        <f>Table24[[#This Row],[SEAT REV]]-Table24[[#This Row],[SEAT REV
(IF IDEAL $)]]</f>
        <v>-687800</v>
      </c>
    </row>
    <row r="584" spans="1:22" customFormat="1" x14ac:dyDescent="0.25">
      <c r="A584" s="306" t="s">
        <v>17267</v>
      </c>
      <c r="B584" s="306" t="s">
        <v>5141</v>
      </c>
      <c r="C584" s="306" t="s">
        <v>2</v>
      </c>
      <c r="D584" s="26">
        <v>3</v>
      </c>
      <c r="E584" s="312" t="s">
        <v>14</v>
      </c>
      <c r="F584" s="306" t="str">
        <f>VLOOKUP(Table24[[#This Row],[Country]],Table10[[COUNTRY NAME]:[CONTINENT CODE]],3,FALSE)</f>
        <v>AS</v>
      </c>
      <c r="G584" s="312" t="s">
        <v>12037</v>
      </c>
      <c r="H584" s="309">
        <v>13878</v>
      </c>
      <c r="I584" s="310">
        <v>32.5</v>
      </c>
      <c r="J584" s="307">
        <v>258525862</v>
      </c>
      <c r="K584" s="307">
        <f>IFERROR(Table24[[#This Row],[ROUTE COST]]/Table24[[#This Row],[O - DEMAND]],0)</f>
        <v>71337.158388520969</v>
      </c>
      <c r="L584" s="306">
        <v>3624</v>
      </c>
      <c r="M584" s="310">
        <f>Table24[[#This Row],[O - DEMAND]]/950</f>
        <v>3.8147368421052632</v>
      </c>
      <c r="N584" s="306">
        <f>IFERROR(VLOOKUP(Table24[[#This Row],[ROUTE]],DEMAND!A:F,5,FALSE),0)</f>
        <v>3805</v>
      </c>
      <c r="O584" s="306">
        <f>IFERROR(VLOOKUP(Table24[[#This Row],[ROUTE]],DEMAND!A:F,6,FALSE),0)</f>
        <v>5</v>
      </c>
      <c r="P584" s="306">
        <f>ROUNDDOWN(Table24[[#This Row],[R-DEMAND]]/950,0)</f>
        <v>0</v>
      </c>
      <c r="Q584" s="306">
        <f>Table24[[#This Row],[ADD ACC
(475/950)]]*Table24[[#This Row],[Duration
(A359)]]</f>
        <v>0</v>
      </c>
      <c r="R584" s="307">
        <f>IFERROR(VLOOKUP(Table24[[#This Row],[ROUTE]],PRICING!A:B,2,FALSE),0)</f>
        <v>3758</v>
      </c>
      <c r="S584" s="308">
        <f>Table24[[#This Row],[C_DEMAND]]-Table24[[#This Row],[R-DEMAND]]</f>
        <v>3800</v>
      </c>
      <c r="T584" s="307">
        <f>Table24[[#This Row],[SEATS SOLD]]*Table24[[#This Row],[ECO SEAT]]</f>
        <v>14280400</v>
      </c>
      <c r="U584" s="307">
        <f>Table24[[#This Row],[SEATS SOLD]]*(IFERROR(VLOOKUP(Table24[[#This Row],[ROUTE]],PRICING!A:C,3,FALSE),0))</f>
        <v>16803600</v>
      </c>
      <c r="V584" s="307">
        <f>Table24[[#This Row],[SEAT REV]]-Table24[[#This Row],[SEAT REV
(IF IDEAL $)]]</f>
        <v>-2523200</v>
      </c>
    </row>
    <row r="585" spans="1:22" customFormat="1" x14ac:dyDescent="0.25">
      <c r="A585" s="306" t="s">
        <v>17471</v>
      </c>
      <c r="B585" s="306" t="s">
        <v>5706</v>
      </c>
      <c r="C585" s="306" t="s">
        <v>2</v>
      </c>
      <c r="D585" s="26">
        <v>5</v>
      </c>
      <c r="E585" s="312" t="s">
        <v>560</v>
      </c>
      <c r="F585" s="306" t="str">
        <f>VLOOKUP(Table24[[#This Row],[Country]],Table10[[COUNTRY NAME]:[CONTINENT CODE]],3,FALSE)</f>
        <v>EU</v>
      </c>
      <c r="G585" s="312" t="s">
        <v>11052</v>
      </c>
      <c r="H585" s="309">
        <v>7353</v>
      </c>
      <c r="I585" s="310">
        <v>18.25</v>
      </c>
      <c r="J585" s="307">
        <v>223881128</v>
      </c>
      <c r="K585" s="307">
        <f>IFERROR(Table24[[#This Row],[ROUTE COST]]/Table24[[#This Row],[O - DEMAND]],0)</f>
        <v>82097.95672900624</v>
      </c>
      <c r="L585" s="306">
        <v>2727</v>
      </c>
      <c r="M585" s="310">
        <f>Table24[[#This Row],[O - DEMAND]]/950</f>
        <v>2.8705263157894736</v>
      </c>
      <c r="N585" s="306">
        <f>IFERROR(VLOOKUP(Table24[[#This Row],[ROUTE]],DEMAND!A:F,5,FALSE),0)</f>
        <v>2855</v>
      </c>
      <c r="O585" s="306">
        <f>IFERROR(VLOOKUP(Table24[[#This Row],[ROUTE]],DEMAND!A:F,6,FALSE),0)</f>
        <v>5</v>
      </c>
      <c r="P585" s="306">
        <f>ROUNDDOWN(Table24[[#This Row],[R-DEMAND]]/950,0)</f>
        <v>0</v>
      </c>
      <c r="Q585" s="306">
        <f>Table24[[#This Row],[ADD ACC
(475/950)]]*Table24[[#This Row],[Duration
(A359)]]</f>
        <v>0</v>
      </c>
      <c r="R585" s="307">
        <f>IFERROR(VLOOKUP(Table24[[#This Row],[ROUTE]],PRICING!A:B,2,FALSE),0)</f>
        <v>2063</v>
      </c>
      <c r="S585" s="308">
        <f>Table24[[#This Row],[C_DEMAND]]-Table24[[#This Row],[R-DEMAND]]</f>
        <v>2850</v>
      </c>
      <c r="T585" s="307">
        <f>Table24[[#This Row],[SEATS SOLD]]*Table24[[#This Row],[ECO SEAT]]</f>
        <v>5879550</v>
      </c>
      <c r="U585" s="307">
        <f>Table24[[#This Row],[SEATS SOLD]]*(IFERROR(VLOOKUP(Table24[[#This Row],[ROUTE]],PRICING!A:C,3,FALSE),0))</f>
        <v>6837150</v>
      </c>
      <c r="V585" s="307">
        <f>Table24[[#This Row],[SEAT REV]]-Table24[[#This Row],[SEAT REV
(IF IDEAL $)]]</f>
        <v>-957600</v>
      </c>
    </row>
    <row r="586" spans="1:22" customFormat="1" x14ac:dyDescent="0.25">
      <c r="A586" s="306" t="s">
        <v>17466</v>
      </c>
      <c r="B586" s="306" t="s">
        <v>306</v>
      </c>
      <c r="C586" s="306" t="s">
        <v>2</v>
      </c>
      <c r="D586" s="26">
        <v>5</v>
      </c>
      <c r="E586" s="312" t="s">
        <v>1427</v>
      </c>
      <c r="F586" s="306" t="str">
        <f>VLOOKUP(Table24[[#This Row],[Country]],Table10[[COUNTRY NAME]:[CONTINENT CODE]],3,FALSE)</f>
        <v>EU</v>
      </c>
      <c r="G586" s="312" t="s">
        <v>11086</v>
      </c>
      <c r="H586" s="309">
        <v>7792</v>
      </c>
      <c r="I586" s="310">
        <v>19.25</v>
      </c>
      <c r="J586" s="307">
        <v>237502649</v>
      </c>
      <c r="K586" s="307">
        <f>IFERROR(Table24[[#This Row],[ROUTE COST]]/Table24[[#This Row],[O - DEMAND]],0)</f>
        <v>64661.761230601689</v>
      </c>
      <c r="L586" s="306">
        <v>3673</v>
      </c>
      <c r="M586" s="310">
        <f>Table24[[#This Row],[O - DEMAND]]/950</f>
        <v>3.8663157894736844</v>
      </c>
      <c r="N586" s="306">
        <f>IFERROR(VLOOKUP(Table24[[#This Row],[ROUTE]],DEMAND!A:F,5,FALSE),0)</f>
        <v>3821</v>
      </c>
      <c r="O586" s="306">
        <f>IFERROR(VLOOKUP(Table24[[#This Row],[ROUTE]],DEMAND!A:F,6,FALSE),0)</f>
        <v>21</v>
      </c>
      <c r="P586" s="306">
        <f>ROUNDDOWN(Table24[[#This Row],[R-DEMAND]]/950,0)</f>
        <v>0</v>
      </c>
      <c r="Q586" s="306">
        <f>Table24[[#This Row],[ADD ACC
(475/950)]]*Table24[[#This Row],[Duration
(A359)]]</f>
        <v>0</v>
      </c>
      <c r="R586" s="307">
        <f>IFERROR(VLOOKUP(Table24[[#This Row],[ROUTE]],PRICING!A:B,2,FALSE),0)</f>
        <v>2230</v>
      </c>
      <c r="S586" s="308">
        <f>Table24[[#This Row],[C_DEMAND]]-Table24[[#This Row],[R-DEMAND]]</f>
        <v>3800</v>
      </c>
      <c r="T586" s="307">
        <f>Table24[[#This Row],[SEATS SOLD]]*Table24[[#This Row],[ECO SEAT]]</f>
        <v>8474000</v>
      </c>
      <c r="U586" s="307">
        <f>Table24[[#This Row],[SEATS SOLD]]*(IFERROR(VLOOKUP(Table24[[#This Row],[ROUTE]],PRICING!A:C,3,FALSE),0))</f>
        <v>9633000</v>
      </c>
      <c r="V586" s="307">
        <f>Table24[[#This Row],[SEAT REV]]-Table24[[#This Row],[SEAT REV
(IF IDEAL $)]]</f>
        <v>-1159000</v>
      </c>
    </row>
    <row r="587" spans="1:22" customFormat="1" x14ac:dyDescent="0.25">
      <c r="A587" s="306" t="s">
        <v>17463</v>
      </c>
      <c r="B587" s="306" t="s">
        <v>309</v>
      </c>
      <c r="C587" s="306" t="s">
        <v>2</v>
      </c>
      <c r="D587" s="26">
        <v>5</v>
      </c>
      <c r="E587" s="312" t="s">
        <v>308</v>
      </c>
      <c r="F587" s="306" t="str">
        <f>VLOOKUP(Table24[[#This Row],[Country]],Table10[[COUNTRY NAME]:[CONTINENT CODE]],3,FALSE)</f>
        <v>EU</v>
      </c>
      <c r="G587" s="312" t="s">
        <v>307</v>
      </c>
      <c r="H587" s="309">
        <v>8203</v>
      </c>
      <c r="I587" s="310">
        <v>20.25</v>
      </c>
      <c r="J587" s="307">
        <v>236468667</v>
      </c>
      <c r="K587" s="307">
        <f>IFERROR(Table24[[#This Row],[ROUTE COST]]/Table24[[#This Row],[O - DEMAND]],0)</f>
        <v>65340.886156396795</v>
      </c>
      <c r="L587" s="306">
        <v>3619</v>
      </c>
      <c r="M587" s="310">
        <f>Table24[[#This Row],[O - DEMAND]]/950</f>
        <v>3.8094736842105261</v>
      </c>
      <c r="N587" s="306">
        <f>IFERROR(VLOOKUP(Table24[[#This Row],[ROUTE]],DEMAND!A:F,5,FALSE),0)</f>
        <v>3824</v>
      </c>
      <c r="O587" s="306">
        <f>IFERROR(VLOOKUP(Table24[[#This Row],[ROUTE]],DEMAND!A:F,6,FALSE),0)</f>
        <v>24</v>
      </c>
      <c r="P587" s="306">
        <f>ROUNDDOWN(Table24[[#This Row],[R-DEMAND]]/950,0)</f>
        <v>0</v>
      </c>
      <c r="Q587" s="306">
        <f>Table24[[#This Row],[ADD ACC
(475/950)]]*Table24[[#This Row],[Duration
(A359)]]</f>
        <v>0</v>
      </c>
      <c r="R587" s="307">
        <f>IFERROR(VLOOKUP(Table24[[#This Row],[ROUTE]],PRICING!A:B,2,FALSE),0)</f>
        <v>2209</v>
      </c>
      <c r="S587" s="308">
        <f>Table24[[#This Row],[C_DEMAND]]-Table24[[#This Row],[R-DEMAND]]</f>
        <v>3800</v>
      </c>
      <c r="T587" s="307">
        <f>Table24[[#This Row],[SEATS SOLD]]*Table24[[#This Row],[ECO SEAT]]</f>
        <v>8394200</v>
      </c>
      <c r="U587" s="307">
        <f>Table24[[#This Row],[SEATS SOLD]]*(IFERROR(VLOOKUP(Table24[[#This Row],[ROUTE]],PRICING!A:C,3,FALSE),0))</f>
        <v>10115600</v>
      </c>
      <c r="V587" s="307">
        <f>Table24[[#This Row],[SEAT REV]]-Table24[[#This Row],[SEAT REV
(IF IDEAL $)]]</f>
        <v>-1721400</v>
      </c>
    </row>
    <row r="588" spans="1:22" customFormat="1" x14ac:dyDescent="0.25">
      <c r="A588" s="306" t="s">
        <v>17521</v>
      </c>
      <c r="B588" s="306" t="s">
        <v>4911</v>
      </c>
      <c r="C588" s="306" t="s">
        <v>2</v>
      </c>
      <c r="D588" s="26">
        <v>3</v>
      </c>
      <c r="E588" s="312" t="s">
        <v>4909</v>
      </c>
      <c r="F588" s="306" t="str">
        <f>VLOOKUP(Table24[[#This Row],[Country]],Table10[[COUNTRY NAME]:[CONTINENT CODE]],3,FALSE)</f>
        <v>EU</v>
      </c>
      <c r="G588" s="312" t="s">
        <v>16872</v>
      </c>
      <c r="H588" s="309">
        <v>10120</v>
      </c>
      <c r="I588" s="310">
        <v>24.25</v>
      </c>
      <c r="J588" s="307">
        <v>217094779</v>
      </c>
      <c r="K588" s="307">
        <f>IFERROR(Table24[[#This Row],[ROUTE COST]]/Table24[[#This Row],[O - DEMAND]],0)</f>
        <v>77979.446479885053</v>
      </c>
      <c r="L588" s="306">
        <v>2784</v>
      </c>
      <c r="M588" s="310">
        <f>Table24[[#This Row],[O - DEMAND]]/950</f>
        <v>2.9305263157894736</v>
      </c>
      <c r="N588" s="306">
        <f>IFERROR(VLOOKUP(Table24[[#This Row],[ROUTE]],DEMAND!A:F,5,FALSE),0)</f>
        <v>2877</v>
      </c>
      <c r="O588" s="306">
        <f>IFERROR(VLOOKUP(Table24[[#This Row],[ROUTE]],DEMAND!A:F,6,FALSE),0)</f>
        <v>27</v>
      </c>
      <c r="P588" s="306">
        <f>ROUNDDOWN(Table24[[#This Row],[R-DEMAND]]/950,0)</f>
        <v>0</v>
      </c>
      <c r="Q588" s="306">
        <f>Table24[[#This Row],[ADD ACC
(475/950)]]*Table24[[#This Row],[Duration
(A359)]]</f>
        <v>0</v>
      </c>
      <c r="R588" s="307">
        <f>IFERROR(VLOOKUP(Table24[[#This Row],[ROUTE]],PRICING!A:B,2,FALSE),0)</f>
        <v>2931</v>
      </c>
      <c r="S588" s="308">
        <f>Table24[[#This Row],[C_DEMAND]]-Table24[[#This Row],[R-DEMAND]]</f>
        <v>2850</v>
      </c>
      <c r="T588" s="307">
        <f>Table24[[#This Row],[SEATS SOLD]]*Table24[[#This Row],[ECO SEAT]]</f>
        <v>8353350</v>
      </c>
      <c r="U588" s="307">
        <f>Table24[[#This Row],[SEATS SOLD]]*(IFERROR(VLOOKUP(Table24[[#This Row],[ROUTE]],PRICING!A:C,3,FALSE),0))</f>
        <v>9282450</v>
      </c>
      <c r="V588" s="307">
        <f>Table24[[#This Row],[SEAT REV]]-Table24[[#This Row],[SEAT REV
(IF IDEAL $)]]</f>
        <v>-929100</v>
      </c>
    </row>
    <row r="589" spans="1:22" customFormat="1" x14ac:dyDescent="0.25">
      <c r="A589" s="306" t="s">
        <v>18065</v>
      </c>
      <c r="B589" s="306" t="s">
        <v>4387</v>
      </c>
      <c r="C589" s="306" t="s">
        <v>2</v>
      </c>
      <c r="D589" s="26">
        <v>2</v>
      </c>
      <c r="E589" s="312" t="s">
        <v>517</v>
      </c>
      <c r="F589" s="306" t="str">
        <f>VLOOKUP(Table24[[#This Row],[Country]],Table10[[COUNTRY NAME]:[CONTINENT CODE]],3,FALSE)</f>
        <v>SA</v>
      </c>
      <c r="G589" s="312" t="s">
        <v>16940</v>
      </c>
      <c r="H589" s="309">
        <v>5275</v>
      </c>
      <c r="I589" s="310">
        <v>13.75</v>
      </c>
      <c r="J589" s="307">
        <v>161827640</v>
      </c>
      <c r="K589" s="307">
        <f>IFERROR(Table24[[#This Row],[ROUTE COST]]/Table24[[#This Row],[O - DEMAND]],0)</f>
        <v>59583.078055964652</v>
      </c>
      <c r="L589" s="306">
        <v>2716</v>
      </c>
      <c r="M589" s="310">
        <f>Table24[[#This Row],[O - DEMAND]]/950</f>
        <v>2.8589473684210525</v>
      </c>
      <c r="N589" s="306">
        <f>IFERROR(VLOOKUP(Table24[[#This Row],[ROUTE]],DEMAND!A:F,5,FALSE),0)</f>
        <v>2879</v>
      </c>
      <c r="O589" s="306">
        <f>IFERROR(VLOOKUP(Table24[[#This Row],[ROUTE]],DEMAND!A:F,6,FALSE),0)</f>
        <v>29</v>
      </c>
      <c r="P589" s="306">
        <f>ROUNDDOWN(Table24[[#This Row],[R-DEMAND]]/950,0)</f>
        <v>0</v>
      </c>
      <c r="Q589" s="306">
        <f>Table24[[#This Row],[ADD ACC
(475/950)]]*Table24[[#This Row],[Duration
(A359)]]</f>
        <v>0</v>
      </c>
      <c r="R589" s="307">
        <f>IFERROR(VLOOKUP(Table24[[#This Row],[ROUTE]],PRICING!A:B,2,FALSE),0)</f>
        <v>1439</v>
      </c>
      <c r="S589" s="308">
        <f>Table24[[#This Row],[C_DEMAND]]-Table24[[#This Row],[R-DEMAND]]</f>
        <v>2850</v>
      </c>
      <c r="T589" s="307">
        <f>Table24[[#This Row],[SEATS SOLD]]*Table24[[#This Row],[ECO SEAT]]</f>
        <v>4101150</v>
      </c>
      <c r="U589" s="307">
        <f>Table24[[#This Row],[SEATS SOLD]]*(IFERROR(VLOOKUP(Table24[[#This Row],[ROUTE]],PRICING!A:C,3,FALSE),0))</f>
        <v>5001750</v>
      </c>
      <c r="V589" s="307">
        <f>Table24[[#This Row],[SEAT REV]]-Table24[[#This Row],[SEAT REV
(IF IDEAL $)]]</f>
        <v>-900600</v>
      </c>
    </row>
    <row r="590" spans="1:22" customFormat="1" x14ac:dyDescent="0.25">
      <c r="A590" s="306" t="s">
        <v>17215</v>
      </c>
      <c r="B590" s="306" t="s">
        <v>263</v>
      </c>
      <c r="C590" s="306" t="s">
        <v>2</v>
      </c>
      <c r="D590" s="26">
        <v>4</v>
      </c>
      <c r="E590" s="312" t="s">
        <v>1070</v>
      </c>
      <c r="F590" s="306" t="str">
        <f>VLOOKUP(Table24[[#This Row],[Country]],Table10[[COUNTRY NAME]:[CONTINENT CODE]],3,FALSE)</f>
        <v>AS</v>
      </c>
      <c r="G590" s="312" t="s">
        <v>11078</v>
      </c>
      <c r="H590" s="309">
        <v>14909</v>
      </c>
      <c r="I590" s="310">
        <v>34.75</v>
      </c>
      <c r="J590" s="307">
        <v>279965639</v>
      </c>
      <c r="K590" s="307">
        <f>IFERROR(Table24[[#This Row],[ROUTE COST]]/Table24[[#This Row],[O - DEMAND]],0)</f>
        <v>75543.885321100912</v>
      </c>
      <c r="L590" s="306">
        <v>3706</v>
      </c>
      <c r="M590" s="310">
        <f>Table24[[#This Row],[O - DEMAND]]/950</f>
        <v>3.9010526315789473</v>
      </c>
      <c r="N590" s="306">
        <f>IFERROR(VLOOKUP(Table24[[#This Row],[ROUTE]],DEMAND!A:F,5,FALSE),0)</f>
        <v>3830</v>
      </c>
      <c r="O590" s="306">
        <f>IFERROR(VLOOKUP(Table24[[#This Row],[ROUTE]],DEMAND!A:F,6,FALSE),0)</f>
        <v>30</v>
      </c>
      <c r="P590" s="306">
        <f>ROUNDDOWN(Table24[[#This Row],[R-DEMAND]]/950,0)</f>
        <v>0</v>
      </c>
      <c r="Q590" s="306">
        <f>Table24[[#This Row],[ADD ACC
(475/950)]]*Table24[[#This Row],[Duration
(A359)]]</f>
        <v>0</v>
      </c>
      <c r="R590" s="307">
        <f>IFERROR(VLOOKUP(Table24[[#This Row],[ROUTE]],PRICING!A:B,2,FALSE),0)</f>
        <v>4266</v>
      </c>
      <c r="S590" s="308">
        <f>Table24[[#This Row],[C_DEMAND]]-Table24[[#This Row],[R-DEMAND]]</f>
        <v>3800</v>
      </c>
      <c r="T590" s="307">
        <f>Table24[[#This Row],[SEATS SOLD]]*Table24[[#This Row],[ECO SEAT]]</f>
        <v>16210800</v>
      </c>
      <c r="U590" s="307">
        <f>Table24[[#This Row],[SEATS SOLD]]*(IFERROR(VLOOKUP(Table24[[#This Row],[ROUTE]],PRICING!A:C,3,FALSE),0))</f>
        <v>18015800</v>
      </c>
      <c r="V590" s="307">
        <f>Table24[[#This Row],[SEAT REV]]-Table24[[#This Row],[SEAT REV
(IF IDEAL $)]]</f>
        <v>-1805000</v>
      </c>
    </row>
    <row r="591" spans="1:22" customFormat="1" x14ac:dyDescent="0.25">
      <c r="A591" s="306" t="s">
        <v>17748</v>
      </c>
      <c r="B591" s="306" t="s">
        <v>5238</v>
      </c>
      <c r="C591" s="306" t="s">
        <v>2</v>
      </c>
      <c r="D591" s="26">
        <v>3</v>
      </c>
      <c r="E591" s="312" t="s">
        <v>514</v>
      </c>
      <c r="F591" s="306" t="str">
        <f>VLOOKUP(Table24[[#This Row],[Country]],Table10[[COUNTRY NAME]:[CONTINENT CODE]],3,FALSE)</f>
        <v>NA</v>
      </c>
      <c r="G591" s="312" t="s">
        <v>16987</v>
      </c>
      <c r="H591" s="309">
        <v>3036</v>
      </c>
      <c r="I591" s="310">
        <v>8.75</v>
      </c>
      <c r="J591" s="307">
        <v>153273930</v>
      </c>
      <c r="K591" s="307">
        <f>IFERROR(Table24[[#This Row],[ROUTE COST]]/Table24[[#This Row],[O - DEMAND]],0)</f>
        <v>55154.34688736956</v>
      </c>
      <c r="L591" s="306">
        <v>2779</v>
      </c>
      <c r="M591" s="310">
        <f>Table24[[#This Row],[O - DEMAND]]/950</f>
        <v>2.925263157894737</v>
      </c>
      <c r="N591" s="306">
        <f>IFERROR(VLOOKUP(Table24[[#This Row],[ROUTE]],DEMAND!A:F,5,FALSE),0)</f>
        <v>2881</v>
      </c>
      <c r="O591" s="306">
        <f>IFERROR(VLOOKUP(Table24[[#This Row],[ROUTE]],DEMAND!A:F,6,FALSE),0)</f>
        <v>31</v>
      </c>
      <c r="P591" s="306">
        <f>ROUNDDOWN(Table24[[#This Row],[R-DEMAND]]/950,0)</f>
        <v>0</v>
      </c>
      <c r="Q591" s="306">
        <f>Table24[[#This Row],[ADD ACC
(475/950)]]*Table24[[#This Row],[Duration
(A359)]]</f>
        <v>0</v>
      </c>
      <c r="R591" s="307">
        <f>IFERROR(VLOOKUP(Table24[[#This Row],[ROUTE]],PRICING!A:B,2,FALSE),0)</f>
        <v>944</v>
      </c>
      <c r="S591" s="308">
        <f>Table24[[#This Row],[C_DEMAND]]-Table24[[#This Row],[R-DEMAND]]</f>
        <v>2850</v>
      </c>
      <c r="T591" s="307">
        <f>Table24[[#This Row],[SEATS SOLD]]*Table24[[#This Row],[ECO SEAT]]</f>
        <v>2690400</v>
      </c>
      <c r="U591" s="307">
        <f>Table24[[#This Row],[SEATS SOLD]]*(IFERROR(VLOOKUP(Table24[[#This Row],[ROUTE]],PRICING!A:C,3,FALSE),0))</f>
        <v>3023850</v>
      </c>
      <c r="V591" s="307">
        <f>Table24[[#This Row],[SEAT REV]]-Table24[[#This Row],[SEAT REV
(IF IDEAL $)]]</f>
        <v>-333450</v>
      </c>
    </row>
    <row r="592" spans="1:22" customFormat="1" x14ac:dyDescent="0.25">
      <c r="A592" s="306" t="s">
        <v>17824</v>
      </c>
      <c r="B592" s="306" t="s">
        <v>5717</v>
      </c>
      <c r="C592" s="306" t="s">
        <v>2</v>
      </c>
      <c r="D592" s="26">
        <v>5</v>
      </c>
      <c r="E592" s="312" t="s">
        <v>11732</v>
      </c>
      <c r="F592" s="306" t="str">
        <f>VLOOKUP(Table24[[#This Row],[Country]],Table10[[COUNTRY NAME]:[CONTINENT CODE]],3,FALSE)</f>
        <v>NA - US</v>
      </c>
      <c r="G592" s="312" t="s">
        <v>13256</v>
      </c>
      <c r="H592" s="309">
        <v>5529</v>
      </c>
      <c r="I592" s="310">
        <v>14.25</v>
      </c>
      <c r="J592" s="307">
        <v>207567078</v>
      </c>
      <c r="K592" s="307">
        <f>IFERROR(Table24[[#This Row],[ROUTE COST]]/Table24[[#This Row],[O - DEMAND]],0)</f>
        <v>74879.898268398261</v>
      </c>
      <c r="L592" s="306">
        <v>2772</v>
      </c>
      <c r="M592" s="310">
        <f>Table24[[#This Row],[O - DEMAND]]/950</f>
        <v>2.9178947368421051</v>
      </c>
      <c r="N592" s="306">
        <f>IFERROR(VLOOKUP(Table24[[#This Row],[ROUTE]],DEMAND!A:F,5,FALSE),0)</f>
        <v>2882</v>
      </c>
      <c r="O592" s="306">
        <f>IFERROR(VLOOKUP(Table24[[#This Row],[ROUTE]],DEMAND!A:F,6,FALSE),0)</f>
        <v>32</v>
      </c>
      <c r="P592" s="306">
        <f>ROUNDDOWN(Table24[[#This Row],[R-DEMAND]]/950,0)</f>
        <v>0</v>
      </c>
      <c r="Q592" s="306">
        <f>Table24[[#This Row],[ADD ACC
(475/950)]]*Table24[[#This Row],[Duration
(A359)]]</f>
        <v>0</v>
      </c>
      <c r="R592" s="307">
        <f>IFERROR(VLOOKUP(Table24[[#This Row],[ROUTE]],PRICING!A:B,2,FALSE),0)</f>
        <v>1613</v>
      </c>
      <c r="S592" s="308">
        <f>Table24[[#This Row],[C_DEMAND]]-Table24[[#This Row],[R-DEMAND]]</f>
        <v>2850</v>
      </c>
      <c r="T592" s="307">
        <f>Table24[[#This Row],[SEATS SOLD]]*Table24[[#This Row],[ECO SEAT]]</f>
        <v>4597050</v>
      </c>
      <c r="U592" s="307">
        <f>Table24[[#This Row],[SEATS SOLD]]*(IFERROR(VLOOKUP(Table24[[#This Row],[ROUTE]],PRICING!A:C,3,FALSE),0))</f>
        <v>5224050</v>
      </c>
      <c r="V592" s="307">
        <f>Table24[[#This Row],[SEAT REV]]-Table24[[#This Row],[SEAT REV
(IF IDEAL $)]]</f>
        <v>-627000</v>
      </c>
    </row>
    <row r="593" spans="1:22" customFormat="1" x14ac:dyDescent="0.25">
      <c r="A593" s="306" t="s">
        <v>18055</v>
      </c>
      <c r="B593" s="306" t="s">
        <v>5225</v>
      </c>
      <c r="C593" s="306" t="s">
        <v>2</v>
      </c>
      <c r="D593" s="26">
        <v>3</v>
      </c>
      <c r="E593" s="312" t="s">
        <v>2293</v>
      </c>
      <c r="F593" s="306" t="str">
        <f>VLOOKUP(Table24[[#This Row],[Country]],Table10[[COUNTRY NAME]:[CONTINENT CODE]],3,FALSE)</f>
        <v>SA</v>
      </c>
      <c r="G593" s="312" t="s">
        <v>13202</v>
      </c>
      <c r="H593" s="309">
        <v>2451</v>
      </c>
      <c r="I593" s="310">
        <v>7.5</v>
      </c>
      <c r="J593" s="307">
        <v>146635907</v>
      </c>
      <c r="K593" s="307">
        <f>IFERROR(Table24[[#This Row],[ROUTE COST]]/Table24[[#This Row],[O - DEMAND]],0)</f>
        <v>40698.281154593395</v>
      </c>
      <c r="L593" s="306">
        <v>3603</v>
      </c>
      <c r="M593" s="310">
        <f>Table24[[#This Row],[O - DEMAND]]/950</f>
        <v>3.7926315789473684</v>
      </c>
      <c r="N593" s="306">
        <f>IFERROR(VLOOKUP(Table24[[#This Row],[ROUTE]],DEMAND!A:F,5,FALSE),0)</f>
        <v>3833</v>
      </c>
      <c r="O593" s="306">
        <f>IFERROR(VLOOKUP(Table24[[#This Row],[ROUTE]],DEMAND!A:F,6,FALSE),0)</f>
        <v>33</v>
      </c>
      <c r="P593" s="306">
        <f>ROUNDDOWN(Table24[[#This Row],[R-DEMAND]]/950,0)</f>
        <v>0</v>
      </c>
      <c r="Q593" s="306">
        <f>Table24[[#This Row],[ADD ACC
(475/950)]]*Table24[[#This Row],[Duration
(A359)]]</f>
        <v>0</v>
      </c>
      <c r="R593" s="307">
        <f>IFERROR(VLOOKUP(Table24[[#This Row],[ROUTE]],PRICING!A:B,2,FALSE),0)</f>
        <v>711</v>
      </c>
      <c r="S593" s="308">
        <f>Table24[[#This Row],[C_DEMAND]]-Table24[[#This Row],[R-DEMAND]]</f>
        <v>3800</v>
      </c>
      <c r="T593" s="307">
        <f>Table24[[#This Row],[SEATS SOLD]]*Table24[[#This Row],[ECO SEAT]]</f>
        <v>2701800</v>
      </c>
      <c r="U593" s="307">
        <f>Table24[[#This Row],[SEATS SOLD]]*(IFERROR(VLOOKUP(Table24[[#This Row],[ROUTE]],PRICING!A:C,3,FALSE),0))</f>
        <v>3340200</v>
      </c>
      <c r="V593" s="307">
        <f>Table24[[#This Row],[SEAT REV]]-Table24[[#This Row],[SEAT REV
(IF IDEAL $)]]</f>
        <v>-638400</v>
      </c>
    </row>
    <row r="594" spans="1:22" customFormat="1" x14ac:dyDescent="0.25">
      <c r="A594" s="306" t="s">
        <v>18029</v>
      </c>
      <c r="B594" s="306" t="s">
        <v>841</v>
      </c>
      <c r="C594" s="306" t="s">
        <v>2</v>
      </c>
      <c r="D594" s="26">
        <v>1</v>
      </c>
      <c r="E594" s="312" t="s">
        <v>11669</v>
      </c>
      <c r="F594" s="306" t="str">
        <f>VLOOKUP(Table24[[#This Row],[Country]],Table10[[COUNTRY NAME]:[CONTINENT CODE]],3,FALSE)</f>
        <v>SA</v>
      </c>
      <c r="G594" s="312" t="s">
        <v>9714</v>
      </c>
      <c r="H594" s="309">
        <v>7495</v>
      </c>
      <c r="I594" s="310">
        <v>18.5</v>
      </c>
      <c r="J594" s="307">
        <v>165124707</v>
      </c>
      <c r="K594" s="307">
        <f>IFERROR(Table24[[#This Row],[ROUTE COST]]/Table24[[#This Row],[O - DEMAND]],0)</f>
        <v>90133.573689956334</v>
      </c>
      <c r="L594" s="306">
        <v>1832</v>
      </c>
      <c r="M594" s="310">
        <f>Table24[[#This Row],[O - DEMAND]]/950</f>
        <v>1.928421052631579</v>
      </c>
      <c r="N594" s="306">
        <f>IFERROR(VLOOKUP(Table24[[#This Row],[ROUTE]],DEMAND!A:F,5,FALSE),0)</f>
        <v>1936</v>
      </c>
      <c r="O594" s="306">
        <f>IFERROR(VLOOKUP(Table24[[#This Row],[ROUTE]],DEMAND!A:F,6,FALSE),0)</f>
        <v>36</v>
      </c>
      <c r="P594" s="306">
        <f>ROUNDDOWN(Table24[[#This Row],[R-DEMAND]]/950,0)</f>
        <v>0</v>
      </c>
      <c r="Q594" s="306">
        <f>Table24[[#This Row],[ADD ACC
(475/950)]]*Table24[[#This Row],[Duration
(A359)]]</f>
        <v>0</v>
      </c>
      <c r="R594" s="307">
        <f>IFERROR(VLOOKUP(Table24[[#This Row],[ROUTE]],PRICING!A:B,2,FALSE),0)</f>
        <v>2027</v>
      </c>
      <c r="S594" s="308">
        <f>Table24[[#This Row],[C_DEMAND]]-Table24[[#This Row],[R-DEMAND]]</f>
        <v>1900</v>
      </c>
      <c r="T594" s="307">
        <f>Table24[[#This Row],[SEATS SOLD]]*Table24[[#This Row],[ECO SEAT]]</f>
        <v>3851300</v>
      </c>
      <c r="U594" s="307">
        <f>Table24[[#This Row],[SEATS SOLD]]*(IFERROR(VLOOKUP(Table24[[#This Row],[ROUTE]],PRICING!A:C,3,FALSE),0))</f>
        <v>4641700</v>
      </c>
      <c r="V594" s="307">
        <f>Table24[[#This Row],[SEAT REV]]-Table24[[#This Row],[SEAT REV
(IF IDEAL $)]]</f>
        <v>-790400</v>
      </c>
    </row>
    <row r="595" spans="1:22" customFormat="1" x14ac:dyDescent="0.25">
      <c r="A595" s="306" t="s">
        <v>17544</v>
      </c>
      <c r="B595" s="306" t="s">
        <v>5399</v>
      </c>
      <c r="C595" s="306" t="s">
        <v>2</v>
      </c>
      <c r="D595" s="26">
        <v>3</v>
      </c>
      <c r="E595" s="312" t="s">
        <v>308</v>
      </c>
      <c r="F595" s="306" t="str">
        <f>VLOOKUP(Table24[[#This Row],[Country]],Table10[[COUNTRY NAME]:[CONTINENT CODE]],3,FALSE)</f>
        <v>EU</v>
      </c>
      <c r="G595" s="312" t="s">
        <v>16895</v>
      </c>
      <c r="H595" s="309">
        <v>8391</v>
      </c>
      <c r="I595" s="310">
        <v>20.5</v>
      </c>
      <c r="J595" s="307">
        <v>211483767</v>
      </c>
      <c r="K595" s="307">
        <f>IFERROR(Table24[[#This Row],[ROUTE COST]]/Table24[[#This Row],[O - DEMAND]],0)</f>
        <v>76903.187999999995</v>
      </c>
      <c r="L595" s="306">
        <v>2750</v>
      </c>
      <c r="M595" s="310">
        <f>Table24[[#This Row],[O - DEMAND]]/950</f>
        <v>2.8947368421052633</v>
      </c>
      <c r="N595" s="306">
        <f>IFERROR(VLOOKUP(Table24[[#This Row],[ROUTE]],DEMAND!A:F,5,FALSE),0)</f>
        <v>2888</v>
      </c>
      <c r="O595" s="306">
        <f>IFERROR(VLOOKUP(Table24[[#This Row],[ROUTE]],DEMAND!A:F,6,FALSE),0)</f>
        <v>38</v>
      </c>
      <c r="P595" s="306">
        <f>ROUNDDOWN(Table24[[#This Row],[R-DEMAND]]/950,0)</f>
        <v>0</v>
      </c>
      <c r="Q595" s="306">
        <f>Table24[[#This Row],[ADD ACC
(475/950)]]*Table24[[#This Row],[Duration
(A359)]]</f>
        <v>0</v>
      </c>
      <c r="R595" s="307">
        <f>IFERROR(VLOOKUP(Table24[[#This Row],[ROUTE]],PRICING!A:B,2,FALSE),0)</f>
        <v>2312</v>
      </c>
      <c r="S595" s="308">
        <f>Table24[[#This Row],[C_DEMAND]]-Table24[[#This Row],[R-DEMAND]]</f>
        <v>2850</v>
      </c>
      <c r="T595" s="307">
        <f>Table24[[#This Row],[SEATS SOLD]]*Table24[[#This Row],[ECO SEAT]]</f>
        <v>6589200</v>
      </c>
      <c r="U595" s="307">
        <f>Table24[[#This Row],[SEATS SOLD]]*(IFERROR(VLOOKUP(Table24[[#This Row],[ROUTE]],PRICING!A:C,3,FALSE),0))</f>
        <v>7754850</v>
      </c>
      <c r="V595" s="307">
        <f>Table24[[#This Row],[SEAT REV]]-Table24[[#This Row],[SEAT REV
(IF IDEAL $)]]</f>
        <v>-1165650</v>
      </c>
    </row>
    <row r="596" spans="1:22" customFormat="1" x14ac:dyDescent="0.25">
      <c r="A596" s="306" t="s">
        <v>17260</v>
      </c>
      <c r="B596" s="306" t="s">
        <v>5194</v>
      </c>
      <c r="C596" s="306" t="s">
        <v>2</v>
      </c>
      <c r="D596" s="26">
        <v>3</v>
      </c>
      <c r="E596" s="312" t="s">
        <v>14</v>
      </c>
      <c r="F596" s="306" t="str">
        <f>VLOOKUP(Table24[[#This Row],[Country]],Table10[[COUNTRY NAME]:[CONTINENT CODE]],3,FALSE)</f>
        <v>AS</v>
      </c>
      <c r="G596" s="312" t="s">
        <v>12050</v>
      </c>
      <c r="H596" s="309">
        <v>14326</v>
      </c>
      <c r="I596" s="310">
        <v>33.5</v>
      </c>
      <c r="J596" s="307">
        <v>264014184</v>
      </c>
      <c r="K596" s="307">
        <f>IFERROR(Table24[[#This Row],[ROUTE COST]]/Table24[[#This Row],[O - DEMAND]],0)</f>
        <v>97458.170542635664</v>
      </c>
      <c r="L596" s="306">
        <v>2709</v>
      </c>
      <c r="M596" s="310">
        <f>Table24[[#This Row],[O - DEMAND]]/950</f>
        <v>2.851578947368421</v>
      </c>
      <c r="N596" s="306">
        <f>IFERROR(VLOOKUP(Table24[[#This Row],[ROUTE]],DEMAND!A:F,5,FALSE),0)</f>
        <v>2890</v>
      </c>
      <c r="O596" s="306">
        <f>IFERROR(VLOOKUP(Table24[[#This Row],[ROUTE]],DEMAND!A:F,6,FALSE),0)</f>
        <v>40</v>
      </c>
      <c r="P596" s="306">
        <f>ROUNDDOWN(Table24[[#This Row],[R-DEMAND]]/950,0)</f>
        <v>0</v>
      </c>
      <c r="Q596" s="306">
        <f>Table24[[#This Row],[ADD ACC
(475/950)]]*Table24[[#This Row],[Duration
(A359)]]</f>
        <v>0</v>
      </c>
      <c r="R596" s="307">
        <f>IFERROR(VLOOKUP(Table24[[#This Row],[ROUTE]],PRICING!A:B,2,FALSE),0)</f>
        <v>3648</v>
      </c>
      <c r="S596" s="308">
        <f>Table24[[#This Row],[C_DEMAND]]-Table24[[#This Row],[R-DEMAND]]</f>
        <v>2850</v>
      </c>
      <c r="T596" s="307">
        <f>Table24[[#This Row],[SEATS SOLD]]*Table24[[#This Row],[ECO SEAT]]</f>
        <v>10396800</v>
      </c>
      <c r="U596" s="307">
        <f>Table24[[#This Row],[SEATS SOLD]]*(IFERROR(VLOOKUP(Table24[[#This Row],[ROUTE]],PRICING!A:C,3,FALSE),0))</f>
        <v>12998850</v>
      </c>
      <c r="V596" s="307">
        <f>Table24[[#This Row],[SEAT REV]]-Table24[[#This Row],[SEAT REV
(IF IDEAL $)]]</f>
        <v>-2602050</v>
      </c>
    </row>
    <row r="597" spans="1:22" customFormat="1" x14ac:dyDescent="0.25">
      <c r="A597" s="306" t="s">
        <v>17776</v>
      </c>
      <c r="B597" s="306" t="s">
        <v>4363</v>
      </c>
      <c r="C597" s="306" t="s">
        <v>2</v>
      </c>
      <c r="D597" s="26">
        <v>2</v>
      </c>
      <c r="E597" s="312" t="s">
        <v>1749</v>
      </c>
      <c r="F597" s="306" t="str">
        <f>VLOOKUP(Table24[[#This Row],[Country]],Table10[[COUNTRY NAME]:[CONTINENT CODE]],3,FALSE)</f>
        <v>NA</v>
      </c>
      <c r="G597" s="312" t="s">
        <v>16970</v>
      </c>
      <c r="H597" s="309">
        <v>3711</v>
      </c>
      <c r="I597" s="310">
        <v>10.25</v>
      </c>
      <c r="J597" s="307">
        <v>145838155</v>
      </c>
      <c r="K597" s="307">
        <f>IFERROR(Table24[[#This Row],[ROUTE COST]]/Table24[[#This Row],[O - DEMAND]],0)</f>
        <v>53109.306263656224</v>
      </c>
      <c r="L597" s="306">
        <v>2746</v>
      </c>
      <c r="M597" s="310">
        <f>Table24[[#This Row],[O - DEMAND]]/950</f>
        <v>2.8905263157894736</v>
      </c>
      <c r="N597" s="306">
        <f>IFERROR(VLOOKUP(Table24[[#This Row],[ROUTE]],DEMAND!A:F,5,FALSE),0)</f>
        <v>2893</v>
      </c>
      <c r="O597" s="306">
        <f>IFERROR(VLOOKUP(Table24[[#This Row],[ROUTE]],DEMAND!A:F,6,FALSE),0)</f>
        <v>43</v>
      </c>
      <c r="P597" s="306">
        <f>ROUNDDOWN(Table24[[#This Row],[R-DEMAND]]/950,0)</f>
        <v>0</v>
      </c>
      <c r="Q597" s="306">
        <f>Table24[[#This Row],[ADD ACC
(475/950)]]*Table24[[#This Row],[Duration
(A359)]]</f>
        <v>0</v>
      </c>
      <c r="R597" s="307">
        <f>IFERROR(VLOOKUP(Table24[[#This Row],[ROUTE]],PRICING!A:B,2,FALSE),0)</f>
        <v>1066</v>
      </c>
      <c r="S597" s="308">
        <f>Table24[[#This Row],[C_DEMAND]]-Table24[[#This Row],[R-DEMAND]]</f>
        <v>2850</v>
      </c>
      <c r="T597" s="307">
        <f>Table24[[#This Row],[SEATS SOLD]]*Table24[[#This Row],[ECO SEAT]]</f>
        <v>3038100</v>
      </c>
      <c r="U597" s="307">
        <f>Table24[[#This Row],[SEATS SOLD]]*(IFERROR(VLOOKUP(Table24[[#This Row],[ROUTE]],PRICING!A:C,3,FALSE),0))</f>
        <v>3619500</v>
      </c>
      <c r="V597" s="307">
        <f>Table24[[#This Row],[SEAT REV]]-Table24[[#This Row],[SEAT REV
(IF IDEAL $)]]</f>
        <v>-581400</v>
      </c>
    </row>
    <row r="598" spans="1:22" customFormat="1" x14ac:dyDescent="0.25">
      <c r="A598" s="306" t="s">
        <v>17844</v>
      </c>
      <c r="B598" s="306" t="s">
        <v>5727</v>
      </c>
      <c r="C598" s="306" t="s">
        <v>2</v>
      </c>
      <c r="D598" s="26">
        <v>5</v>
      </c>
      <c r="E598" s="312" t="s">
        <v>11732</v>
      </c>
      <c r="F598" s="306" t="str">
        <f>VLOOKUP(Table24[[#This Row],[Country]],Table10[[COUNTRY NAME]:[CONTINENT CODE]],3,FALSE)</f>
        <v>NA - US</v>
      </c>
      <c r="G598" s="312" t="s">
        <v>13368</v>
      </c>
      <c r="H598" s="309">
        <v>1429</v>
      </c>
      <c r="I598" s="310">
        <v>5.25</v>
      </c>
      <c r="J598" s="307">
        <v>168913915</v>
      </c>
      <c r="K598" s="307">
        <f>IFERROR(Table24[[#This Row],[ROUTE COST]]/Table24[[#This Row],[O - DEMAND]],0)</f>
        <v>60913.781103498019</v>
      </c>
      <c r="L598" s="306">
        <v>2773</v>
      </c>
      <c r="M598" s="310">
        <f>Table24[[#This Row],[O - DEMAND]]/950</f>
        <v>2.9189473684210525</v>
      </c>
      <c r="N598" s="306">
        <f>IFERROR(VLOOKUP(Table24[[#This Row],[ROUTE]],DEMAND!A:F,5,FALSE),0)</f>
        <v>2895</v>
      </c>
      <c r="O598" s="306">
        <f>IFERROR(VLOOKUP(Table24[[#This Row],[ROUTE]],DEMAND!A:F,6,FALSE),0)</f>
        <v>45</v>
      </c>
      <c r="P598" s="306">
        <f>ROUNDDOWN(Table24[[#This Row],[R-DEMAND]]/950,0)</f>
        <v>0</v>
      </c>
      <c r="Q598" s="306">
        <f>Table24[[#This Row],[ADD ACC
(475/950)]]*Table24[[#This Row],[Duration
(A359)]]</f>
        <v>0</v>
      </c>
      <c r="R598" s="307">
        <f>IFERROR(VLOOKUP(Table24[[#This Row],[ROUTE]],PRICING!A:B,2,FALSE),0)</f>
        <v>488</v>
      </c>
      <c r="S598" s="308">
        <f>Table24[[#This Row],[C_DEMAND]]-Table24[[#This Row],[R-DEMAND]]</f>
        <v>2850</v>
      </c>
      <c r="T598" s="307">
        <f>Table24[[#This Row],[SEATS SOLD]]*Table24[[#This Row],[ECO SEAT]]</f>
        <v>1390800</v>
      </c>
      <c r="U598" s="307">
        <f>Table24[[#This Row],[SEATS SOLD]]*(IFERROR(VLOOKUP(Table24[[#This Row],[ROUTE]],PRICING!A:C,3,FALSE),0))</f>
        <v>1601700</v>
      </c>
      <c r="V598" s="307">
        <f>Table24[[#This Row],[SEAT REV]]-Table24[[#This Row],[SEAT REV
(IF IDEAL $)]]</f>
        <v>-210900</v>
      </c>
    </row>
    <row r="599" spans="1:22" customFormat="1" x14ac:dyDescent="0.25">
      <c r="A599" s="306" t="s">
        <v>17130</v>
      </c>
      <c r="B599" s="306" t="s">
        <v>5513</v>
      </c>
      <c r="C599" s="306" t="s">
        <v>2</v>
      </c>
      <c r="D599" s="26">
        <v>4</v>
      </c>
      <c r="E599" s="312" t="s">
        <v>1124</v>
      </c>
      <c r="F599" s="306" t="str">
        <f>VLOOKUP(Table24[[#This Row],[Country]],Table10[[COUNTRY NAME]:[CONTINENT CODE]],3,FALSE)</f>
        <v>AF</v>
      </c>
      <c r="G599" s="312" t="s">
        <v>11042</v>
      </c>
      <c r="H599" s="309">
        <v>10590</v>
      </c>
      <c r="I599" s="310">
        <v>25.25</v>
      </c>
      <c r="J599" s="307">
        <v>236331461</v>
      </c>
      <c r="K599" s="307">
        <f>IFERROR(Table24[[#This Row],[ROUTE COST]]/Table24[[#This Row],[O - DEMAND]],0)</f>
        <v>51231.619553435943</v>
      </c>
      <c r="L599" s="306">
        <v>4613</v>
      </c>
      <c r="M599" s="310">
        <f>Table24[[#This Row],[O - DEMAND]]/950</f>
        <v>4.8557894736842107</v>
      </c>
      <c r="N599" s="306">
        <f>IFERROR(VLOOKUP(Table24[[#This Row],[ROUTE]],DEMAND!A:F,5,FALSE),0)</f>
        <v>4798</v>
      </c>
      <c r="O599" s="306">
        <f>IFERROR(VLOOKUP(Table24[[#This Row],[ROUTE]],DEMAND!A:F,6,FALSE),0)</f>
        <v>48</v>
      </c>
      <c r="P599" s="306">
        <f>ROUNDDOWN(Table24[[#This Row],[R-DEMAND]]/950,0)</f>
        <v>0</v>
      </c>
      <c r="Q599" s="306">
        <f>Table24[[#This Row],[ADD ACC
(475/950)]]*Table24[[#This Row],[Duration
(A359)]]</f>
        <v>0</v>
      </c>
      <c r="R599" s="307">
        <f>IFERROR(VLOOKUP(Table24[[#This Row],[ROUTE]],PRICING!A:B,2,FALSE),0)</f>
        <v>2993</v>
      </c>
      <c r="S599" s="308">
        <f>Table24[[#This Row],[C_DEMAND]]-Table24[[#This Row],[R-DEMAND]]</f>
        <v>4750</v>
      </c>
      <c r="T599" s="307">
        <f>Table24[[#This Row],[SEATS SOLD]]*Table24[[#This Row],[ECO SEAT]]</f>
        <v>14216750</v>
      </c>
      <c r="U599" s="307">
        <f>Table24[[#This Row],[SEATS SOLD]]*(IFERROR(VLOOKUP(Table24[[#This Row],[ROUTE]],PRICING!A:C,3,FALSE),0))</f>
        <v>16159500</v>
      </c>
      <c r="V599" s="307">
        <f>Table24[[#This Row],[SEAT REV]]-Table24[[#This Row],[SEAT REV
(IF IDEAL $)]]</f>
        <v>-1942750</v>
      </c>
    </row>
    <row r="600" spans="1:22" customFormat="1" x14ac:dyDescent="0.25">
      <c r="A600" s="306" t="s">
        <v>17760</v>
      </c>
      <c r="B600" s="306" t="s">
        <v>4960</v>
      </c>
      <c r="C600" s="306" t="s">
        <v>2</v>
      </c>
      <c r="D600" s="26">
        <v>3</v>
      </c>
      <c r="E600" s="312" t="s">
        <v>4958</v>
      </c>
      <c r="F600" s="306" t="str">
        <f>VLOOKUP(Table24[[#This Row],[Country]],Table10[[COUNTRY NAME]:[CONTINENT CODE]],3,FALSE)</f>
        <v>NA</v>
      </c>
      <c r="G600" s="312" t="s">
        <v>13144</v>
      </c>
      <c r="H600" s="309">
        <v>718</v>
      </c>
      <c r="I600" s="310">
        <v>3.75</v>
      </c>
      <c r="J600" s="307">
        <v>123563360</v>
      </c>
      <c r="K600" s="307">
        <f>IFERROR(Table24[[#This Row],[ROUTE COST]]/Table24[[#This Row],[O - DEMAND]],0)</f>
        <v>44623.820873961718</v>
      </c>
      <c r="L600" s="306">
        <v>2769</v>
      </c>
      <c r="M600" s="310">
        <f>Table24[[#This Row],[O - DEMAND]]/950</f>
        <v>2.9147368421052633</v>
      </c>
      <c r="N600" s="306">
        <f>IFERROR(VLOOKUP(Table24[[#This Row],[ROUTE]],DEMAND!A:F,5,FALSE),0)</f>
        <v>2899</v>
      </c>
      <c r="O600" s="306">
        <f>IFERROR(VLOOKUP(Table24[[#This Row],[ROUTE]],DEMAND!A:F,6,FALSE),0)</f>
        <v>49</v>
      </c>
      <c r="P600" s="306">
        <f>ROUNDDOWN(Table24[[#This Row],[R-DEMAND]]/950,0)</f>
        <v>0</v>
      </c>
      <c r="Q600" s="306">
        <f>Table24[[#This Row],[ADD ACC
(475/950)]]*Table24[[#This Row],[Duration
(A359)]]</f>
        <v>0</v>
      </c>
      <c r="R600" s="307">
        <f>IFERROR(VLOOKUP(Table24[[#This Row],[ROUTE]],PRICING!A:B,2,FALSE),0)</f>
        <v>294</v>
      </c>
      <c r="S600" s="308">
        <f>Table24[[#This Row],[C_DEMAND]]-Table24[[#This Row],[R-DEMAND]]</f>
        <v>2850</v>
      </c>
      <c r="T600" s="307">
        <f>Table24[[#This Row],[SEATS SOLD]]*Table24[[#This Row],[ECO SEAT]]</f>
        <v>837900</v>
      </c>
      <c r="U600" s="307">
        <f>Table24[[#This Row],[SEATS SOLD]]*(IFERROR(VLOOKUP(Table24[[#This Row],[ROUTE]],PRICING!A:C,3,FALSE),0))</f>
        <v>974700</v>
      </c>
      <c r="V600" s="307">
        <f>Table24[[#This Row],[SEAT REV]]-Table24[[#This Row],[SEAT REV
(IF IDEAL $)]]</f>
        <v>-136800</v>
      </c>
    </row>
    <row r="601" spans="1:22" customFormat="1" x14ac:dyDescent="0.25">
      <c r="A601" s="306" t="s">
        <v>17486</v>
      </c>
      <c r="B601" s="306" t="s">
        <v>5473</v>
      </c>
      <c r="C601" s="306" t="s">
        <v>2</v>
      </c>
      <c r="D601" s="26">
        <v>4</v>
      </c>
      <c r="E601" s="312" t="s">
        <v>308</v>
      </c>
      <c r="F601" s="306" t="str">
        <f>VLOOKUP(Table24[[#This Row],[Country]],Table10[[COUNTRY NAME]:[CONTINENT CODE]],3,FALSE)</f>
        <v>EU</v>
      </c>
      <c r="G601" s="312" t="s">
        <v>11032</v>
      </c>
      <c r="H601" s="309">
        <v>8140</v>
      </c>
      <c r="I601" s="310">
        <v>20</v>
      </c>
      <c r="J601" s="307">
        <v>211348374</v>
      </c>
      <c r="K601" s="307">
        <f>IFERROR(Table24[[#This Row],[ROUTE COST]]/Table24[[#This Row],[O - DEMAND]],0)</f>
        <v>77701.608088235298</v>
      </c>
      <c r="L601" s="306">
        <v>2720</v>
      </c>
      <c r="M601" s="310">
        <f>Table24[[#This Row],[O - DEMAND]]/950</f>
        <v>2.8631578947368421</v>
      </c>
      <c r="N601" s="306">
        <f>IFERROR(VLOOKUP(Table24[[#This Row],[ROUTE]],DEMAND!A:F,5,FALSE),0)</f>
        <v>2902</v>
      </c>
      <c r="O601" s="306">
        <f>IFERROR(VLOOKUP(Table24[[#This Row],[ROUTE]],DEMAND!A:F,6,FALSE),0)</f>
        <v>52</v>
      </c>
      <c r="P601" s="306">
        <f>ROUNDDOWN(Table24[[#This Row],[R-DEMAND]]/950,0)</f>
        <v>0</v>
      </c>
      <c r="Q601" s="306">
        <f>Table24[[#This Row],[ADD ACC
(475/950)]]*Table24[[#This Row],[Duration
(A359)]]</f>
        <v>0</v>
      </c>
      <c r="R601" s="307">
        <f>IFERROR(VLOOKUP(Table24[[#This Row],[ROUTE]],PRICING!A:B,2,FALSE),0)</f>
        <v>2114</v>
      </c>
      <c r="S601" s="308">
        <f>Table24[[#This Row],[C_DEMAND]]-Table24[[#This Row],[R-DEMAND]]</f>
        <v>2850</v>
      </c>
      <c r="T601" s="307">
        <f>Table24[[#This Row],[SEATS SOLD]]*Table24[[#This Row],[ECO SEAT]]</f>
        <v>6024900</v>
      </c>
      <c r="U601" s="307">
        <f>Table24[[#This Row],[SEATS SOLD]]*(IFERROR(VLOOKUP(Table24[[#This Row],[ROUTE]],PRICING!A:C,3,FALSE),0))</f>
        <v>7532550</v>
      </c>
      <c r="V601" s="307">
        <f>Table24[[#This Row],[SEAT REV]]-Table24[[#This Row],[SEAT REV
(IF IDEAL $)]]</f>
        <v>-1507650</v>
      </c>
    </row>
    <row r="602" spans="1:22" customFormat="1" x14ac:dyDescent="0.25">
      <c r="A602" s="306" t="s">
        <v>18067</v>
      </c>
      <c r="B602" s="306" t="s">
        <v>4516</v>
      </c>
      <c r="C602" s="306" t="s">
        <v>2</v>
      </c>
      <c r="D602" s="26">
        <v>2</v>
      </c>
      <c r="E602" s="312" t="s">
        <v>517</v>
      </c>
      <c r="F602" s="306" t="str">
        <f>VLOOKUP(Table24[[#This Row],[Country]],Table10[[COUNTRY NAME]:[CONTINENT CODE]],3,FALSE)</f>
        <v>SA</v>
      </c>
      <c r="G602" s="312" t="s">
        <v>16945</v>
      </c>
      <c r="H602" s="309">
        <v>4996</v>
      </c>
      <c r="I602" s="310">
        <v>13</v>
      </c>
      <c r="J602" s="307">
        <v>160535437</v>
      </c>
      <c r="K602" s="307">
        <f>IFERROR(Table24[[#This Row],[ROUTE COST]]/Table24[[#This Row],[O - DEMAND]],0)</f>
        <v>57892.332131265779</v>
      </c>
      <c r="L602" s="306">
        <v>2773</v>
      </c>
      <c r="M602" s="310">
        <f>Table24[[#This Row],[O - DEMAND]]/950</f>
        <v>2.9189473684210525</v>
      </c>
      <c r="N602" s="306">
        <f>IFERROR(VLOOKUP(Table24[[#This Row],[ROUTE]],DEMAND!A:F,5,FALSE),0)</f>
        <v>2903</v>
      </c>
      <c r="O602" s="306">
        <f>IFERROR(VLOOKUP(Table24[[#This Row],[ROUTE]],DEMAND!A:F,6,FALSE),0)</f>
        <v>53</v>
      </c>
      <c r="P602" s="306">
        <f>ROUNDDOWN(Table24[[#This Row],[R-DEMAND]]/950,0)</f>
        <v>0</v>
      </c>
      <c r="Q602" s="306">
        <f>Table24[[#This Row],[ADD ACC
(475/950)]]*Table24[[#This Row],[Duration
(A359)]]</f>
        <v>0</v>
      </c>
      <c r="R602" s="307">
        <f>IFERROR(VLOOKUP(Table24[[#This Row],[ROUTE]],PRICING!A:B,2,FALSE),0)</f>
        <v>1434</v>
      </c>
      <c r="S602" s="308">
        <f>Table24[[#This Row],[C_DEMAND]]-Table24[[#This Row],[R-DEMAND]]</f>
        <v>2850</v>
      </c>
      <c r="T602" s="307">
        <f>Table24[[#This Row],[SEATS SOLD]]*Table24[[#This Row],[ECO SEAT]]</f>
        <v>4086900</v>
      </c>
      <c r="U602" s="307">
        <f>Table24[[#This Row],[SEATS SOLD]]*(IFERROR(VLOOKUP(Table24[[#This Row],[ROUTE]],PRICING!A:C,3,FALSE),0))</f>
        <v>4753800</v>
      </c>
      <c r="V602" s="307">
        <f>Table24[[#This Row],[SEAT REV]]-Table24[[#This Row],[SEAT REV
(IF IDEAL $)]]</f>
        <v>-666900</v>
      </c>
    </row>
    <row r="603" spans="1:22" customFormat="1" x14ac:dyDescent="0.25">
      <c r="A603" s="306" t="s">
        <v>17502</v>
      </c>
      <c r="B603" s="306" t="s">
        <v>5570</v>
      </c>
      <c r="C603" s="306" t="s">
        <v>2</v>
      </c>
      <c r="D603" s="26">
        <v>4</v>
      </c>
      <c r="E603" s="312" t="s">
        <v>119</v>
      </c>
      <c r="F603" s="306" t="str">
        <f>VLOOKUP(Table24[[#This Row],[Country]],Table10[[COUNTRY NAME]:[CONTINENT CODE]],3,FALSE)</f>
        <v>EU</v>
      </c>
      <c r="G603" s="312" t="s">
        <v>11113</v>
      </c>
      <c r="H603" s="309">
        <v>7173</v>
      </c>
      <c r="I603" s="310">
        <v>17.75</v>
      </c>
      <c r="J603" s="307">
        <v>205614949</v>
      </c>
      <c r="K603" s="307">
        <f>IFERROR(Table24[[#This Row],[ROUTE COST]]/Table24[[#This Row],[O - DEMAND]],0)</f>
        <v>74606.294992743104</v>
      </c>
      <c r="L603" s="306">
        <v>2756</v>
      </c>
      <c r="M603" s="310">
        <f>Table24[[#This Row],[O - DEMAND]]/950</f>
        <v>2.9010526315789473</v>
      </c>
      <c r="N603" s="306">
        <f>IFERROR(VLOOKUP(Table24[[#This Row],[ROUTE]],DEMAND!A:F,5,FALSE),0)</f>
        <v>2903</v>
      </c>
      <c r="O603" s="306">
        <f>IFERROR(VLOOKUP(Table24[[#This Row],[ROUTE]],DEMAND!A:F,6,FALSE),0)</f>
        <v>53</v>
      </c>
      <c r="P603" s="306">
        <f>ROUNDDOWN(Table24[[#This Row],[R-DEMAND]]/950,0)</f>
        <v>0</v>
      </c>
      <c r="Q603" s="306">
        <f>Table24[[#This Row],[ADD ACC
(475/950)]]*Table24[[#This Row],[Duration
(A359)]]</f>
        <v>0</v>
      </c>
      <c r="R603" s="307">
        <f>IFERROR(VLOOKUP(Table24[[#This Row],[ROUTE]],PRICING!A:B,2,FALSE),0)</f>
        <v>1968</v>
      </c>
      <c r="S603" s="308">
        <f>Table24[[#This Row],[C_DEMAND]]-Table24[[#This Row],[R-DEMAND]]</f>
        <v>2850</v>
      </c>
      <c r="T603" s="307">
        <f>Table24[[#This Row],[SEATS SOLD]]*Table24[[#This Row],[ECO SEAT]]</f>
        <v>5608800</v>
      </c>
      <c r="U603" s="307">
        <f>Table24[[#This Row],[SEATS SOLD]]*(IFERROR(VLOOKUP(Table24[[#This Row],[ROUTE]],PRICING!A:C,3,FALSE),0))</f>
        <v>6677550</v>
      </c>
      <c r="V603" s="307">
        <f>Table24[[#This Row],[SEAT REV]]-Table24[[#This Row],[SEAT REV
(IF IDEAL $)]]</f>
        <v>-1068750</v>
      </c>
    </row>
    <row r="604" spans="1:22" customFormat="1" x14ac:dyDescent="0.25">
      <c r="A604" s="306" t="s">
        <v>18050</v>
      </c>
      <c r="B604" s="306" t="s">
        <v>5352</v>
      </c>
      <c r="C604" s="306" t="s">
        <v>2</v>
      </c>
      <c r="D604" s="26">
        <v>3</v>
      </c>
      <c r="E604" s="312" t="s">
        <v>517</v>
      </c>
      <c r="F604" s="306" t="str">
        <f>VLOOKUP(Table24[[#This Row],[Country]],Table10[[COUNTRY NAME]:[CONTINENT CODE]],3,FALSE)</f>
        <v>SA</v>
      </c>
      <c r="G604" s="312" t="s">
        <v>16958</v>
      </c>
      <c r="H604" s="309">
        <v>4455</v>
      </c>
      <c r="I604" s="310">
        <v>12</v>
      </c>
      <c r="J604" s="307">
        <v>170268199</v>
      </c>
      <c r="K604" s="307">
        <f>IFERROR(Table24[[#This Row],[ROUTE COST]]/Table24[[#This Row],[O - DEMAND]],0)</f>
        <v>45672.800160944207</v>
      </c>
      <c r="L604" s="306">
        <v>3728</v>
      </c>
      <c r="M604" s="310">
        <f>Table24[[#This Row],[O - DEMAND]]/950</f>
        <v>3.9242105263157896</v>
      </c>
      <c r="N604" s="306">
        <f>IFERROR(VLOOKUP(Table24[[#This Row],[ROUTE]],DEMAND!A:F,5,FALSE),0)</f>
        <v>3853</v>
      </c>
      <c r="O604" s="306">
        <f>IFERROR(VLOOKUP(Table24[[#This Row],[ROUTE]],DEMAND!A:F,6,FALSE),0)</f>
        <v>53</v>
      </c>
      <c r="P604" s="306">
        <f>ROUNDDOWN(Table24[[#This Row],[R-DEMAND]]/950,0)</f>
        <v>0</v>
      </c>
      <c r="Q604" s="306">
        <f>Table24[[#This Row],[ADD ACC
(475/950)]]*Table24[[#This Row],[Duration
(A359)]]</f>
        <v>0</v>
      </c>
      <c r="R604" s="307">
        <f>IFERROR(VLOOKUP(Table24[[#This Row],[ROUTE]],PRICING!A:B,2,FALSE),0)</f>
        <v>1350</v>
      </c>
      <c r="S604" s="308">
        <f>Table24[[#This Row],[C_DEMAND]]-Table24[[#This Row],[R-DEMAND]]</f>
        <v>3800</v>
      </c>
      <c r="T604" s="307">
        <f>Table24[[#This Row],[SEATS SOLD]]*Table24[[#This Row],[ECO SEAT]]</f>
        <v>5130000</v>
      </c>
      <c r="U604" s="307">
        <f>Table24[[#This Row],[SEATS SOLD]]*(IFERROR(VLOOKUP(Table24[[#This Row],[ROUTE]],PRICING!A:C,3,FALSE),0))</f>
        <v>5703800</v>
      </c>
      <c r="V604" s="307">
        <f>Table24[[#This Row],[SEAT REV]]-Table24[[#This Row],[SEAT REV
(IF IDEAL $)]]</f>
        <v>-573800</v>
      </c>
    </row>
    <row r="605" spans="1:22" customFormat="1" x14ac:dyDescent="0.25">
      <c r="A605" s="306" t="s">
        <v>17254</v>
      </c>
      <c r="B605" s="306" t="s">
        <v>5265</v>
      </c>
      <c r="C605" s="306" t="s">
        <v>2</v>
      </c>
      <c r="D605" s="26">
        <v>3</v>
      </c>
      <c r="E605" s="312" t="s">
        <v>14</v>
      </c>
      <c r="F605" s="306" t="str">
        <f>VLOOKUP(Table24[[#This Row],[Country]],Table10[[COUNTRY NAME]:[CONTINENT CODE]],3,FALSE)</f>
        <v>AS</v>
      </c>
      <c r="G605" s="312" t="s">
        <v>12061</v>
      </c>
      <c r="H605" s="309">
        <v>14670</v>
      </c>
      <c r="I605" s="310">
        <v>34.25</v>
      </c>
      <c r="J605" s="307">
        <v>269508535</v>
      </c>
      <c r="K605" s="307">
        <f>IFERROR(Table24[[#This Row],[ROUTE COST]]/Table24[[#This Row],[O - DEMAND]],0)</f>
        <v>97050.246669067332</v>
      </c>
      <c r="L605" s="306">
        <v>2777</v>
      </c>
      <c r="M605" s="310">
        <f>Table24[[#This Row],[O - DEMAND]]/950</f>
        <v>2.9231578947368422</v>
      </c>
      <c r="N605" s="306">
        <f>IFERROR(VLOOKUP(Table24[[#This Row],[ROUTE]],DEMAND!A:F,5,FALSE),0)</f>
        <v>2907</v>
      </c>
      <c r="O605" s="306">
        <f>IFERROR(VLOOKUP(Table24[[#This Row],[ROUTE]],DEMAND!A:F,6,FALSE),0)</f>
        <v>57</v>
      </c>
      <c r="P605" s="306">
        <f>ROUNDDOWN(Table24[[#This Row],[R-DEMAND]]/950,0)</f>
        <v>0</v>
      </c>
      <c r="Q605" s="306">
        <f>Table24[[#This Row],[ADD ACC
(475/950)]]*Table24[[#This Row],[Duration
(A359)]]</f>
        <v>0</v>
      </c>
      <c r="R605" s="307">
        <f>IFERROR(VLOOKUP(Table24[[#This Row],[ROUTE]],PRICING!A:B,2,FALSE),0)</f>
        <v>4013</v>
      </c>
      <c r="S605" s="308">
        <f>Table24[[#This Row],[C_DEMAND]]-Table24[[#This Row],[R-DEMAND]]</f>
        <v>2850</v>
      </c>
      <c r="T605" s="307">
        <f>Table24[[#This Row],[SEATS SOLD]]*Table24[[#This Row],[ECO SEAT]]</f>
        <v>11437050</v>
      </c>
      <c r="U605" s="307">
        <f>Table24[[#This Row],[SEATS SOLD]]*(IFERROR(VLOOKUP(Table24[[#This Row],[ROUTE]],PRICING!A:C,3,FALSE),0))</f>
        <v>13300950</v>
      </c>
      <c r="V605" s="307">
        <f>Table24[[#This Row],[SEAT REV]]-Table24[[#This Row],[SEAT REV
(IF IDEAL $)]]</f>
        <v>-1863900</v>
      </c>
    </row>
    <row r="606" spans="1:22" customFormat="1" x14ac:dyDescent="0.25">
      <c r="A606" s="306" t="s">
        <v>17275</v>
      </c>
      <c r="B606" s="306" t="s">
        <v>4943</v>
      </c>
      <c r="C606" s="306" t="s">
        <v>2</v>
      </c>
      <c r="D606" s="26">
        <v>3</v>
      </c>
      <c r="E606" s="312" t="s">
        <v>142</v>
      </c>
      <c r="F606" s="306" t="str">
        <f>VLOOKUP(Table24[[#This Row],[Country]],Table10[[COUNTRY NAME]:[CONTINENT CODE]],3,FALSE)</f>
        <v>AS</v>
      </c>
      <c r="G606" s="312" t="s">
        <v>8110</v>
      </c>
      <c r="H606" s="309">
        <v>13693</v>
      </c>
      <c r="I606" s="310">
        <v>32.25</v>
      </c>
      <c r="J606" s="307">
        <v>253791823</v>
      </c>
      <c r="K606" s="307">
        <f>IFERROR(Table24[[#This Row],[ROUTE COST]]/Table24[[#This Row],[O - DEMAND]],0)</f>
        <v>90188.991826581376</v>
      </c>
      <c r="L606" s="306">
        <v>2814</v>
      </c>
      <c r="M606" s="310">
        <f>Table24[[#This Row],[O - DEMAND]]/950</f>
        <v>2.9621052631578948</v>
      </c>
      <c r="N606" s="306">
        <f>IFERROR(VLOOKUP(Table24[[#This Row],[ROUTE]],DEMAND!A:F,5,FALSE),0)</f>
        <v>2908</v>
      </c>
      <c r="O606" s="306">
        <f>IFERROR(VLOOKUP(Table24[[#This Row],[ROUTE]],DEMAND!A:F,6,FALSE),0)</f>
        <v>58</v>
      </c>
      <c r="P606" s="306">
        <f>ROUNDDOWN(Table24[[#This Row],[R-DEMAND]]/950,0)</f>
        <v>0</v>
      </c>
      <c r="Q606" s="306">
        <f>Table24[[#This Row],[ADD ACC
(475/950)]]*Table24[[#This Row],[Duration
(A359)]]</f>
        <v>0</v>
      </c>
      <c r="R606" s="307">
        <f>IFERROR(VLOOKUP(Table24[[#This Row],[ROUTE]],PRICING!A:B,2,FALSE),0)</f>
        <v>3927</v>
      </c>
      <c r="S606" s="308">
        <f>Table24[[#This Row],[C_DEMAND]]-Table24[[#This Row],[R-DEMAND]]</f>
        <v>2850</v>
      </c>
      <c r="T606" s="307">
        <f>Table24[[#This Row],[SEATS SOLD]]*Table24[[#This Row],[ECO SEAT]]</f>
        <v>11191950</v>
      </c>
      <c r="U606" s="307">
        <f>Table24[[#This Row],[SEATS SOLD]]*(IFERROR(VLOOKUP(Table24[[#This Row],[ROUTE]],PRICING!A:C,3,FALSE),0))</f>
        <v>12437400</v>
      </c>
      <c r="V606" s="307">
        <f>Table24[[#This Row],[SEAT REV]]-Table24[[#This Row],[SEAT REV
(IF IDEAL $)]]</f>
        <v>-1245450</v>
      </c>
    </row>
    <row r="607" spans="1:22" customFormat="1" x14ac:dyDescent="0.25">
      <c r="A607" s="306" t="s">
        <v>17243</v>
      </c>
      <c r="B607" s="306" t="s">
        <v>55</v>
      </c>
      <c r="C607" s="306" t="s">
        <v>2</v>
      </c>
      <c r="D607" s="26">
        <v>4</v>
      </c>
      <c r="E607" s="312" t="s">
        <v>1216</v>
      </c>
      <c r="F607" s="306" t="str">
        <f>VLOOKUP(Table24[[#This Row],[Country]],Table10[[COUNTRY NAME]:[CONTINENT CODE]],3,FALSE)</f>
        <v>AS</v>
      </c>
      <c r="G607" s="312" t="s">
        <v>11036</v>
      </c>
      <c r="H607" s="309">
        <v>10447</v>
      </c>
      <c r="I607" s="310">
        <v>25</v>
      </c>
      <c r="J607" s="307">
        <v>240043088</v>
      </c>
      <c r="K607" s="307">
        <f>IFERROR(Table24[[#This Row],[ROUTE COST]]/Table24[[#This Row],[O - DEMAND]],0)</f>
        <v>64701.640970350403</v>
      </c>
      <c r="L607" s="306">
        <v>3710</v>
      </c>
      <c r="M607" s="310">
        <f>Table24[[#This Row],[O - DEMAND]]/950</f>
        <v>3.905263157894737</v>
      </c>
      <c r="N607" s="306">
        <f>IFERROR(VLOOKUP(Table24[[#This Row],[ROUTE]],DEMAND!A:F,5,FALSE),0)</f>
        <v>3859</v>
      </c>
      <c r="O607" s="306">
        <f>IFERROR(VLOOKUP(Table24[[#This Row],[ROUTE]],DEMAND!A:F,6,FALSE),0)</f>
        <v>59</v>
      </c>
      <c r="P607" s="306">
        <f>ROUNDDOWN(Table24[[#This Row],[R-DEMAND]]/950,0)</f>
        <v>0</v>
      </c>
      <c r="Q607" s="306">
        <f>Table24[[#This Row],[ADD ACC
(475/950)]]*Table24[[#This Row],[Duration
(A359)]]</f>
        <v>0</v>
      </c>
      <c r="R607" s="307">
        <f>IFERROR(VLOOKUP(Table24[[#This Row],[ROUTE]],PRICING!A:B,2,FALSE),0)</f>
        <v>2955</v>
      </c>
      <c r="S607" s="308">
        <f>Table24[[#This Row],[C_DEMAND]]-Table24[[#This Row],[R-DEMAND]]</f>
        <v>3800</v>
      </c>
      <c r="T607" s="307">
        <f>Table24[[#This Row],[SEATS SOLD]]*Table24[[#This Row],[ECO SEAT]]</f>
        <v>11229000</v>
      </c>
      <c r="U607" s="307">
        <f>Table24[[#This Row],[SEATS SOLD]]*(IFERROR(VLOOKUP(Table24[[#This Row],[ROUTE]],PRICING!A:C,3,FALSE),0))</f>
        <v>12760400</v>
      </c>
      <c r="V607" s="307">
        <f>Table24[[#This Row],[SEAT REV]]-Table24[[#This Row],[SEAT REV
(IF IDEAL $)]]</f>
        <v>-1531400</v>
      </c>
    </row>
    <row r="608" spans="1:22" customFormat="1" x14ac:dyDescent="0.25">
      <c r="A608" s="306" t="s">
        <v>17489</v>
      </c>
      <c r="B608" s="306" t="s">
        <v>5507</v>
      </c>
      <c r="C608" s="306" t="s">
        <v>2</v>
      </c>
      <c r="D608" s="26">
        <v>4</v>
      </c>
      <c r="E608" s="312" t="s">
        <v>308</v>
      </c>
      <c r="F608" s="306" t="str">
        <f>VLOOKUP(Table24[[#This Row],[Country]],Table10[[COUNTRY NAME]:[CONTINENT CODE]],3,FALSE)</f>
        <v>EU</v>
      </c>
      <c r="G608" s="312" t="s">
        <v>11106</v>
      </c>
      <c r="H608" s="309">
        <v>7933</v>
      </c>
      <c r="I608" s="310">
        <v>19.5</v>
      </c>
      <c r="J608" s="307">
        <v>210503862</v>
      </c>
      <c r="K608" s="307">
        <f>IFERROR(Table24[[#This Row],[ROUTE COST]]/Table24[[#This Row],[O - DEMAND]],0)</f>
        <v>76214.287472845768</v>
      </c>
      <c r="L608" s="306">
        <v>2762</v>
      </c>
      <c r="M608" s="310">
        <f>Table24[[#This Row],[O - DEMAND]]/950</f>
        <v>2.9073684210526314</v>
      </c>
      <c r="N608" s="306">
        <f>IFERROR(VLOOKUP(Table24[[#This Row],[ROUTE]],DEMAND!A:F,5,FALSE),0)</f>
        <v>2910</v>
      </c>
      <c r="O608" s="306">
        <f>IFERROR(VLOOKUP(Table24[[#This Row],[ROUTE]],DEMAND!A:F,6,FALSE),0)</f>
        <v>60</v>
      </c>
      <c r="P608" s="306">
        <f>ROUNDDOWN(Table24[[#This Row],[R-DEMAND]]/950,0)</f>
        <v>0</v>
      </c>
      <c r="Q608" s="306">
        <f>Table24[[#This Row],[ADD ACC
(475/950)]]*Table24[[#This Row],[Duration
(A359)]]</f>
        <v>0</v>
      </c>
      <c r="R608" s="307">
        <f>IFERROR(VLOOKUP(Table24[[#This Row],[ROUTE]],PRICING!A:B,2,FALSE),0)</f>
        <v>2166</v>
      </c>
      <c r="S608" s="308">
        <f>Table24[[#This Row],[C_DEMAND]]-Table24[[#This Row],[R-DEMAND]]</f>
        <v>2850</v>
      </c>
      <c r="T608" s="307">
        <f>Table24[[#This Row],[SEATS SOLD]]*Table24[[#This Row],[ECO SEAT]]</f>
        <v>6173100</v>
      </c>
      <c r="U608" s="307">
        <f>Table24[[#This Row],[SEATS SOLD]]*(IFERROR(VLOOKUP(Table24[[#This Row],[ROUTE]],PRICING!A:C,3,FALSE),0))</f>
        <v>7350150</v>
      </c>
      <c r="V608" s="307">
        <f>Table24[[#This Row],[SEAT REV]]-Table24[[#This Row],[SEAT REV
(IF IDEAL $)]]</f>
        <v>-1177050</v>
      </c>
    </row>
    <row r="609" spans="1:22" customFormat="1" x14ac:dyDescent="0.25">
      <c r="A609" s="306" t="s">
        <v>17078</v>
      </c>
      <c r="B609" s="306" t="s">
        <v>4398</v>
      </c>
      <c r="C609" s="306" t="s">
        <v>2</v>
      </c>
      <c r="D609" s="26">
        <v>2</v>
      </c>
      <c r="E609" s="312" t="s">
        <v>1931</v>
      </c>
      <c r="F609" s="306" t="str">
        <f>VLOOKUP(Table24[[#This Row],[Country]],Table10[[COUNTRY NAME]:[CONTINENT CODE]],3,FALSE)</f>
        <v>OC</v>
      </c>
      <c r="G609" s="312" t="s">
        <v>16822</v>
      </c>
      <c r="H609" s="309">
        <v>14417</v>
      </c>
      <c r="I609" s="310">
        <v>33.75</v>
      </c>
      <c r="J609" s="307">
        <v>253549864</v>
      </c>
      <c r="K609" s="307">
        <f>IFERROR(Table24[[#This Row],[ROUTE COST]]/Table24[[#This Row],[O - DEMAND]],0)</f>
        <v>134153.3671957672</v>
      </c>
      <c r="L609" s="306">
        <v>1890</v>
      </c>
      <c r="M609" s="310">
        <f>Table24[[#This Row],[O - DEMAND]]/950</f>
        <v>1.9894736842105263</v>
      </c>
      <c r="N609" s="306">
        <f>IFERROR(VLOOKUP(Table24[[#This Row],[ROUTE]],DEMAND!A:F,5,FALSE),0)</f>
        <v>1960</v>
      </c>
      <c r="O609" s="306">
        <f>IFERROR(VLOOKUP(Table24[[#This Row],[ROUTE]],DEMAND!A:F,6,FALSE),0)</f>
        <v>60</v>
      </c>
      <c r="P609" s="306">
        <f>ROUNDDOWN(Table24[[#This Row],[R-DEMAND]]/950,0)</f>
        <v>0</v>
      </c>
      <c r="Q609" s="306">
        <f>Table24[[#This Row],[ADD ACC
(475/950)]]*Table24[[#This Row],[Duration
(A359)]]</f>
        <v>0</v>
      </c>
      <c r="R609" s="307">
        <f>IFERROR(VLOOKUP(Table24[[#This Row],[ROUTE]],PRICING!A:B,2,FALSE),0)</f>
        <v>4084</v>
      </c>
      <c r="S609" s="308">
        <f>Table24[[#This Row],[C_DEMAND]]-Table24[[#This Row],[R-DEMAND]]</f>
        <v>1900</v>
      </c>
      <c r="T609" s="307">
        <f>Table24[[#This Row],[SEATS SOLD]]*Table24[[#This Row],[ECO SEAT]]</f>
        <v>7759600</v>
      </c>
      <c r="U609" s="307">
        <f>Table24[[#This Row],[SEATS SOLD]]*(IFERROR(VLOOKUP(Table24[[#This Row],[ROUTE]],PRICING!A:C,3,FALSE),0))</f>
        <v>8719100</v>
      </c>
      <c r="V609" s="307">
        <f>Table24[[#This Row],[SEAT REV]]-Table24[[#This Row],[SEAT REV
(IF IDEAL $)]]</f>
        <v>-959500</v>
      </c>
    </row>
    <row r="610" spans="1:22" customFormat="1" x14ac:dyDescent="0.25">
      <c r="A610" s="306" t="s">
        <v>17589</v>
      </c>
      <c r="B610" s="306" t="s">
        <v>87</v>
      </c>
      <c r="C610" s="306" t="s">
        <v>2</v>
      </c>
      <c r="D610" s="26">
        <v>3</v>
      </c>
      <c r="E610" s="312" t="s">
        <v>1858</v>
      </c>
      <c r="F610" s="306" t="str">
        <f>VLOOKUP(Table24[[#This Row],[Country]],Table10[[COUNTRY NAME]:[CONTINENT CODE]],3,FALSE)</f>
        <v>EU</v>
      </c>
      <c r="G610" s="312" t="s">
        <v>11689</v>
      </c>
      <c r="H610" s="309">
        <v>6592</v>
      </c>
      <c r="I610" s="310">
        <v>16.5</v>
      </c>
      <c r="J610" s="307">
        <v>186313166</v>
      </c>
      <c r="K610" s="307">
        <f>IFERROR(Table24[[#This Row],[ROUTE COST]]/Table24[[#This Row],[O - DEMAND]],0)</f>
        <v>64025.142955326461</v>
      </c>
      <c r="L610" s="306">
        <v>2910</v>
      </c>
      <c r="M610" s="310">
        <f>Table24[[#This Row],[O - DEMAND]]/950</f>
        <v>3.0631578947368423</v>
      </c>
      <c r="N610" s="306">
        <f>IFERROR(VLOOKUP(Table24[[#This Row],[ROUTE]],DEMAND!A:F,5,FALSE),0)</f>
        <v>2910</v>
      </c>
      <c r="O610" s="306">
        <f>IFERROR(VLOOKUP(Table24[[#This Row],[ROUTE]],DEMAND!A:F,6,FALSE),0)</f>
        <v>60</v>
      </c>
      <c r="P610" s="306">
        <f>ROUNDDOWN(Table24[[#This Row],[R-DEMAND]]/950,0)</f>
        <v>0</v>
      </c>
      <c r="Q610" s="306">
        <f>Table24[[#This Row],[ADD ACC
(475/950)]]*Table24[[#This Row],[Duration
(A359)]]</f>
        <v>0</v>
      </c>
      <c r="R610" s="307">
        <f>IFERROR(VLOOKUP(Table24[[#This Row],[ROUTE]],PRICING!A:B,2,FALSE),0)</f>
        <v>1816</v>
      </c>
      <c r="S610" s="308">
        <f>Table24[[#This Row],[C_DEMAND]]-Table24[[#This Row],[R-DEMAND]]</f>
        <v>2850</v>
      </c>
      <c r="T610" s="307">
        <f>Table24[[#This Row],[SEATS SOLD]]*Table24[[#This Row],[ECO SEAT]]</f>
        <v>5175600</v>
      </c>
      <c r="U610" s="307">
        <f>Table24[[#This Row],[SEATS SOLD]]*(IFERROR(VLOOKUP(Table24[[#This Row],[ROUTE]],PRICING!A:C,3,FALSE),0))</f>
        <v>0</v>
      </c>
      <c r="V610" s="307">
        <f>Table24[[#This Row],[SEAT REV]]-Table24[[#This Row],[SEAT REV
(IF IDEAL $)]]</f>
        <v>5175600</v>
      </c>
    </row>
    <row r="611" spans="1:22" customFormat="1" x14ac:dyDescent="0.25">
      <c r="A611" s="306" t="s">
        <v>17232</v>
      </c>
      <c r="B611" s="306" t="s">
        <v>149</v>
      </c>
      <c r="C611" s="306" t="s">
        <v>2</v>
      </c>
      <c r="D611" s="26">
        <v>4</v>
      </c>
      <c r="E611" s="312" t="s">
        <v>142</v>
      </c>
      <c r="F611" s="306" t="str">
        <f>VLOOKUP(Table24[[#This Row],[Country]],Table10[[COUNTRY NAME]:[CONTINENT CODE]],3,FALSE)</f>
        <v>AS</v>
      </c>
      <c r="G611" s="312" t="s">
        <v>11054</v>
      </c>
      <c r="H611" s="309">
        <v>13328</v>
      </c>
      <c r="I611" s="310">
        <v>31.5</v>
      </c>
      <c r="J611" s="307">
        <v>270655339</v>
      </c>
      <c r="K611" s="307">
        <f>IFERROR(Table24[[#This Row],[ROUTE COST]]/Table24[[#This Row],[O - DEMAND]],0)</f>
        <v>73828.515821058376</v>
      </c>
      <c r="L611" s="306">
        <v>3666</v>
      </c>
      <c r="M611" s="310">
        <f>Table24[[#This Row],[O - DEMAND]]/950</f>
        <v>3.8589473684210525</v>
      </c>
      <c r="N611" s="306">
        <f>IFERROR(VLOOKUP(Table24[[#This Row],[ROUTE]],DEMAND!A:F,5,FALSE),0)</f>
        <v>3862</v>
      </c>
      <c r="O611" s="306">
        <f>IFERROR(VLOOKUP(Table24[[#This Row],[ROUTE]],DEMAND!A:F,6,FALSE),0)</f>
        <v>62</v>
      </c>
      <c r="P611" s="306">
        <f>ROUNDDOWN(Table24[[#This Row],[R-DEMAND]]/950,0)</f>
        <v>0</v>
      </c>
      <c r="Q611" s="306">
        <f>Table24[[#This Row],[ADD ACC
(475/950)]]*Table24[[#This Row],[Duration
(A359)]]</f>
        <v>0</v>
      </c>
      <c r="R611" s="307">
        <f>IFERROR(VLOOKUP(Table24[[#This Row],[ROUTE]],PRICING!A:B,2,FALSE),0)</f>
        <v>3570</v>
      </c>
      <c r="S611" s="308">
        <f>Table24[[#This Row],[C_DEMAND]]-Table24[[#This Row],[R-DEMAND]]</f>
        <v>3800</v>
      </c>
      <c r="T611" s="307">
        <f>Table24[[#This Row],[SEATS SOLD]]*Table24[[#This Row],[ECO SEAT]]</f>
        <v>13566000</v>
      </c>
      <c r="U611" s="307">
        <f>Table24[[#This Row],[SEATS SOLD]]*(IFERROR(VLOOKUP(Table24[[#This Row],[ROUTE]],PRICING!A:C,3,FALSE),0))</f>
        <v>16153800</v>
      </c>
      <c r="V611" s="307">
        <f>Table24[[#This Row],[SEAT REV]]-Table24[[#This Row],[SEAT REV
(IF IDEAL $)]]</f>
        <v>-2587800</v>
      </c>
    </row>
    <row r="612" spans="1:22" customFormat="1" x14ac:dyDescent="0.25">
      <c r="A612" s="306" t="s">
        <v>17316</v>
      </c>
      <c r="B612" s="306" t="s">
        <v>3</v>
      </c>
      <c r="C612" s="306" t="s">
        <v>2</v>
      </c>
      <c r="D612" s="26">
        <v>2</v>
      </c>
      <c r="E612" s="312" t="s">
        <v>1710</v>
      </c>
      <c r="F612" s="306" t="str">
        <f>VLOOKUP(Table24[[#This Row],[Country]],Table10[[COUNTRY NAME]:[CONTINENT CODE]],3,FALSE)</f>
        <v>AS</v>
      </c>
      <c r="G612" s="312" t="s">
        <v>12068</v>
      </c>
      <c r="H612" s="309">
        <v>14882</v>
      </c>
      <c r="I612" s="310">
        <v>34.75</v>
      </c>
      <c r="J612" s="307">
        <v>251992723</v>
      </c>
      <c r="K612" s="307">
        <f>IFERROR(Table24[[#This Row],[ROUTE COST]]/Table24[[#This Row],[O - DEMAND]],0)</f>
        <v>90287.611250447866</v>
      </c>
      <c r="L612" s="306">
        <v>2791</v>
      </c>
      <c r="M612" s="310">
        <f>Table24[[#This Row],[O - DEMAND]]/950</f>
        <v>2.9378947368421051</v>
      </c>
      <c r="N612" s="306">
        <f>IFERROR(VLOOKUP(Table24[[#This Row],[ROUTE]],DEMAND!A:F,5,FALSE),0)</f>
        <v>2912</v>
      </c>
      <c r="O612" s="306">
        <f>IFERROR(VLOOKUP(Table24[[#This Row],[ROUTE]],DEMAND!A:F,6,FALSE),0)</f>
        <v>62</v>
      </c>
      <c r="P612" s="306">
        <f>ROUNDDOWN(Table24[[#This Row],[R-DEMAND]]/950,0)</f>
        <v>0</v>
      </c>
      <c r="Q612" s="306">
        <f>Table24[[#This Row],[ADD ACC
(475/950)]]*Table24[[#This Row],[Duration
(A359)]]</f>
        <v>0</v>
      </c>
      <c r="R612" s="307">
        <f>IFERROR(VLOOKUP(Table24[[#This Row],[ROUTE]],PRICING!A:B,2,FALSE),0)</f>
        <v>4117</v>
      </c>
      <c r="S612" s="308">
        <f>Table24[[#This Row],[C_DEMAND]]-Table24[[#This Row],[R-DEMAND]]</f>
        <v>2850</v>
      </c>
      <c r="T612" s="307">
        <f>Table24[[#This Row],[SEATS SOLD]]*Table24[[#This Row],[ECO SEAT]]</f>
        <v>11733450</v>
      </c>
      <c r="U612" s="307">
        <f>Table24[[#This Row],[SEATS SOLD]]*(IFERROR(VLOOKUP(Table24[[#This Row],[ROUTE]],PRICING!A:C,3,FALSE),0))</f>
        <v>13489050</v>
      </c>
      <c r="V612" s="307">
        <f>Table24[[#This Row],[SEAT REV]]-Table24[[#This Row],[SEAT REV
(IF IDEAL $)]]</f>
        <v>-1755600</v>
      </c>
    </row>
    <row r="613" spans="1:22" customFormat="1" x14ac:dyDescent="0.25">
      <c r="A613" s="306" t="s">
        <v>17529</v>
      </c>
      <c r="B613" s="306" t="s">
        <v>5419</v>
      </c>
      <c r="C613" s="306" t="s">
        <v>2</v>
      </c>
      <c r="D613" s="26">
        <v>3</v>
      </c>
      <c r="E613" s="312" t="s">
        <v>722</v>
      </c>
      <c r="F613" s="306" t="str">
        <f>VLOOKUP(Table24[[#This Row],[Country]],Table10[[COUNTRY NAME]:[CONTINENT CODE]],3,FALSE)</f>
        <v>EU</v>
      </c>
      <c r="G613" s="312" t="s">
        <v>11845</v>
      </c>
      <c r="H613" s="309">
        <v>9325</v>
      </c>
      <c r="I613" s="310">
        <v>22.5</v>
      </c>
      <c r="J613" s="307">
        <v>220391572</v>
      </c>
      <c r="K613" s="307">
        <f>IFERROR(Table24[[#This Row],[ROUTE COST]]/Table24[[#This Row],[O - DEMAND]],0)</f>
        <v>59921.58020663404</v>
      </c>
      <c r="L613" s="306">
        <v>3678</v>
      </c>
      <c r="M613" s="310">
        <f>Table24[[#This Row],[O - DEMAND]]/950</f>
        <v>3.871578947368421</v>
      </c>
      <c r="N613" s="306">
        <f>IFERROR(VLOOKUP(Table24[[#This Row],[ROUTE]],DEMAND!A:F,5,FALSE),0)</f>
        <v>3862</v>
      </c>
      <c r="O613" s="306">
        <f>IFERROR(VLOOKUP(Table24[[#This Row],[ROUTE]],DEMAND!A:F,6,FALSE),0)</f>
        <v>62</v>
      </c>
      <c r="P613" s="306">
        <f>ROUNDDOWN(Table24[[#This Row],[R-DEMAND]]/950,0)</f>
        <v>0</v>
      </c>
      <c r="Q613" s="306">
        <f>Table24[[#This Row],[ADD ACC
(475/950)]]*Table24[[#This Row],[Duration
(A359)]]</f>
        <v>0</v>
      </c>
      <c r="R613" s="307">
        <f>IFERROR(VLOOKUP(Table24[[#This Row],[ROUTE]],PRICING!A:B,2,FALSE),0)</f>
        <v>2558</v>
      </c>
      <c r="S613" s="308">
        <f>Table24[[#This Row],[C_DEMAND]]-Table24[[#This Row],[R-DEMAND]]</f>
        <v>3800</v>
      </c>
      <c r="T613" s="307">
        <f>Table24[[#This Row],[SEATS SOLD]]*Table24[[#This Row],[ECO SEAT]]</f>
        <v>9720400</v>
      </c>
      <c r="U613" s="307">
        <f>Table24[[#This Row],[SEATS SOLD]]*(IFERROR(VLOOKUP(Table24[[#This Row],[ROUTE]],PRICING!A:C,3,FALSE),0))</f>
        <v>11438000</v>
      </c>
      <c r="V613" s="307">
        <f>Table24[[#This Row],[SEAT REV]]-Table24[[#This Row],[SEAT REV
(IF IDEAL $)]]</f>
        <v>-1717600</v>
      </c>
    </row>
    <row r="614" spans="1:22" customFormat="1" x14ac:dyDescent="0.25">
      <c r="A614" s="306" t="s">
        <v>17823</v>
      </c>
      <c r="B614" s="306" t="s">
        <v>4537</v>
      </c>
      <c r="C614" s="306" t="s">
        <v>2</v>
      </c>
      <c r="D614" s="26">
        <v>2</v>
      </c>
      <c r="E614" s="312" t="s">
        <v>2791</v>
      </c>
      <c r="F614" s="306" t="str">
        <f>VLOOKUP(Table24[[#This Row],[Country]],Table10[[COUNTRY NAME]:[CONTINENT CODE]],3,FALSE)</f>
        <v>NA</v>
      </c>
      <c r="G614" s="312" t="s">
        <v>17033</v>
      </c>
      <c r="H614" s="309">
        <v>199</v>
      </c>
      <c r="I614" s="310">
        <v>2.5</v>
      </c>
      <c r="J614" s="307">
        <v>112754185</v>
      </c>
      <c r="K614" s="307">
        <f>IFERROR(Table24[[#This Row],[ROUTE COST]]/Table24[[#This Row],[O - DEMAND]],0)</f>
        <v>60948.208108108105</v>
      </c>
      <c r="L614" s="306">
        <v>1850</v>
      </c>
      <c r="M614" s="310">
        <f>Table24[[#This Row],[O - DEMAND]]/950</f>
        <v>1.9473684210526316</v>
      </c>
      <c r="N614" s="306">
        <f>IFERROR(VLOOKUP(Table24[[#This Row],[ROUTE]],DEMAND!A:F,5,FALSE),0)</f>
        <v>1963</v>
      </c>
      <c r="O614" s="306">
        <f>IFERROR(VLOOKUP(Table24[[#This Row],[ROUTE]],DEMAND!A:F,6,FALSE),0)</f>
        <v>63</v>
      </c>
      <c r="P614" s="306">
        <f>ROUNDDOWN(Table24[[#This Row],[R-DEMAND]]/950,0)</f>
        <v>0</v>
      </c>
      <c r="Q614" s="306">
        <f>Table24[[#This Row],[ADD ACC
(475/950)]]*Table24[[#This Row],[Duration
(A359)]]</f>
        <v>0</v>
      </c>
      <c r="R614" s="307">
        <f>IFERROR(VLOOKUP(Table24[[#This Row],[ROUTE]],PRICING!A:B,2,FALSE),0)</f>
        <v>148</v>
      </c>
      <c r="S614" s="308">
        <f>Table24[[#This Row],[C_DEMAND]]-Table24[[#This Row],[R-DEMAND]]</f>
        <v>1900</v>
      </c>
      <c r="T614" s="307">
        <f>Table24[[#This Row],[SEATS SOLD]]*Table24[[#This Row],[ECO SEAT]]</f>
        <v>281200</v>
      </c>
      <c r="U614" s="307">
        <f>Table24[[#This Row],[SEATS SOLD]]*(IFERROR(VLOOKUP(Table24[[#This Row],[ROUTE]],PRICING!A:C,3,FALSE),0))</f>
        <v>343900</v>
      </c>
      <c r="V614" s="307">
        <f>Table24[[#This Row],[SEAT REV]]-Table24[[#This Row],[SEAT REV
(IF IDEAL $)]]</f>
        <v>-62700</v>
      </c>
    </row>
    <row r="615" spans="1:22" customFormat="1" x14ac:dyDescent="0.25">
      <c r="A615" s="306" t="s">
        <v>17525</v>
      </c>
      <c r="B615" s="306" t="s">
        <v>5384</v>
      </c>
      <c r="C615" s="306" t="s">
        <v>2</v>
      </c>
      <c r="D615" s="26">
        <v>3</v>
      </c>
      <c r="E615" s="312" t="s">
        <v>597</v>
      </c>
      <c r="F615" s="306" t="str">
        <f>VLOOKUP(Table24[[#This Row],[Country]],Table10[[COUNTRY NAME]:[CONTINENT CODE]],3,FALSE)</f>
        <v>EU</v>
      </c>
      <c r="G615" s="312" t="s">
        <v>16879</v>
      </c>
      <c r="H615" s="309">
        <v>9475</v>
      </c>
      <c r="I615" s="310">
        <v>23</v>
      </c>
      <c r="J615" s="307">
        <v>221857332</v>
      </c>
      <c r="K615" s="307">
        <f>IFERROR(Table24[[#This Row],[ROUTE COST]]/Table24[[#This Row],[O - DEMAND]],0)</f>
        <v>79178.20556745182</v>
      </c>
      <c r="L615" s="306">
        <v>2802</v>
      </c>
      <c r="M615" s="310">
        <f>Table24[[#This Row],[O - DEMAND]]/950</f>
        <v>2.9494736842105262</v>
      </c>
      <c r="N615" s="306">
        <f>IFERROR(VLOOKUP(Table24[[#This Row],[ROUTE]],DEMAND!A:F,5,FALSE),0)</f>
        <v>2914</v>
      </c>
      <c r="O615" s="306">
        <f>IFERROR(VLOOKUP(Table24[[#This Row],[ROUTE]],DEMAND!A:F,6,FALSE),0)</f>
        <v>64</v>
      </c>
      <c r="P615" s="306">
        <f>ROUNDDOWN(Table24[[#This Row],[R-DEMAND]]/950,0)</f>
        <v>0</v>
      </c>
      <c r="Q615" s="306">
        <f>Table24[[#This Row],[ADD ACC
(475/950)]]*Table24[[#This Row],[Duration
(A359)]]</f>
        <v>0</v>
      </c>
      <c r="R615" s="307">
        <f>IFERROR(VLOOKUP(Table24[[#This Row],[ROUTE]],PRICING!A:B,2,FALSE),0)</f>
        <v>2690</v>
      </c>
      <c r="S615" s="308">
        <f>Table24[[#This Row],[C_DEMAND]]-Table24[[#This Row],[R-DEMAND]]</f>
        <v>2850</v>
      </c>
      <c r="T615" s="307">
        <f>Table24[[#This Row],[SEATS SOLD]]*Table24[[#This Row],[ECO SEAT]]</f>
        <v>7666500</v>
      </c>
      <c r="U615" s="307">
        <f>Table24[[#This Row],[SEATS SOLD]]*(IFERROR(VLOOKUP(Table24[[#This Row],[ROUTE]],PRICING!A:C,3,FALSE),0))</f>
        <v>8712450</v>
      </c>
      <c r="V615" s="307">
        <f>Table24[[#This Row],[SEAT REV]]-Table24[[#This Row],[SEAT REV
(IF IDEAL $)]]</f>
        <v>-1045950</v>
      </c>
    </row>
    <row r="616" spans="1:22" customFormat="1" x14ac:dyDescent="0.25">
      <c r="A616" s="306" t="s">
        <v>17490</v>
      </c>
      <c r="B616" s="306" t="s">
        <v>140</v>
      </c>
      <c r="C616" s="306" t="s">
        <v>2</v>
      </c>
      <c r="D616" s="26">
        <v>4</v>
      </c>
      <c r="E616" s="312" t="s">
        <v>605</v>
      </c>
      <c r="F616" s="306" t="str">
        <f>VLOOKUP(Table24[[#This Row],[Country]],Table10[[COUNTRY NAME]:[CONTINENT CODE]],3,FALSE)</f>
        <v>EU</v>
      </c>
      <c r="G616" s="312" t="s">
        <v>11051</v>
      </c>
      <c r="H616" s="309">
        <v>7862</v>
      </c>
      <c r="I616" s="310">
        <v>19.5</v>
      </c>
      <c r="J616" s="307">
        <v>222408443</v>
      </c>
      <c r="K616" s="307">
        <f>IFERROR(Table24[[#This Row],[ROUTE COST]]/Table24[[#This Row],[O - DEMAND]],0)</f>
        <v>60634.799073064343</v>
      </c>
      <c r="L616" s="306">
        <v>3668</v>
      </c>
      <c r="M616" s="310">
        <f>Table24[[#This Row],[O - DEMAND]]/950</f>
        <v>3.8610526315789473</v>
      </c>
      <c r="N616" s="306">
        <f>IFERROR(VLOOKUP(Table24[[#This Row],[ROUTE]],DEMAND!A:F,5,FALSE),0)</f>
        <v>3865</v>
      </c>
      <c r="O616" s="306">
        <f>IFERROR(VLOOKUP(Table24[[#This Row],[ROUTE]],DEMAND!A:F,6,FALSE),0)</f>
        <v>65</v>
      </c>
      <c r="P616" s="306">
        <f>ROUNDDOWN(Table24[[#This Row],[R-DEMAND]]/950,0)</f>
        <v>0</v>
      </c>
      <c r="Q616" s="306">
        <f>Table24[[#This Row],[ADD ACC
(475/950)]]*Table24[[#This Row],[Duration
(A359)]]</f>
        <v>0</v>
      </c>
      <c r="R616" s="307">
        <f>IFERROR(VLOOKUP(Table24[[#This Row],[ROUTE]],PRICING!A:B,2,FALSE),0)</f>
        <v>2147</v>
      </c>
      <c r="S616" s="308">
        <f>Table24[[#This Row],[C_DEMAND]]-Table24[[#This Row],[R-DEMAND]]</f>
        <v>3800</v>
      </c>
      <c r="T616" s="307">
        <f>Table24[[#This Row],[SEATS SOLD]]*Table24[[#This Row],[ECO SEAT]]</f>
        <v>8158600</v>
      </c>
      <c r="U616" s="307">
        <f>Table24[[#This Row],[SEATS SOLD]]*(IFERROR(VLOOKUP(Table24[[#This Row],[ROUTE]],PRICING!A:C,3,FALSE),0))</f>
        <v>9716600</v>
      </c>
      <c r="V616" s="307">
        <f>Table24[[#This Row],[SEAT REV]]-Table24[[#This Row],[SEAT REV
(IF IDEAL $)]]</f>
        <v>-1558000</v>
      </c>
    </row>
    <row r="617" spans="1:22" customFormat="1" x14ac:dyDescent="0.25">
      <c r="A617" s="306" t="s">
        <v>17293</v>
      </c>
      <c r="B617" s="306" t="s">
        <v>4824</v>
      </c>
      <c r="C617" s="306" t="s">
        <v>2</v>
      </c>
      <c r="D617" s="26">
        <v>3</v>
      </c>
      <c r="E617" s="312" t="s">
        <v>502</v>
      </c>
      <c r="F617" s="306" t="str">
        <f>VLOOKUP(Table24[[#This Row],[Country]],Table10[[COUNTRY NAME]:[CONTINENT CODE]],3,FALSE)</f>
        <v>AS</v>
      </c>
      <c r="G617" s="312" t="s">
        <v>11965</v>
      </c>
      <c r="H617" s="309">
        <v>12103</v>
      </c>
      <c r="I617" s="310">
        <v>28.75</v>
      </c>
      <c r="J617" s="307">
        <v>236484543</v>
      </c>
      <c r="K617" s="307">
        <f>IFERROR(Table24[[#This Row],[ROUTE COST]]/Table24[[#This Row],[O - DEMAND]],0)</f>
        <v>63146.740453938583</v>
      </c>
      <c r="L617" s="306">
        <v>3745</v>
      </c>
      <c r="M617" s="310">
        <f>Table24[[#This Row],[O - DEMAND]]/950</f>
        <v>3.9421052631578948</v>
      </c>
      <c r="N617" s="306">
        <f>IFERROR(VLOOKUP(Table24[[#This Row],[ROUTE]],DEMAND!A:F,5,FALSE),0)</f>
        <v>3870</v>
      </c>
      <c r="O617" s="306">
        <f>IFERROR(VLOOKUP(Table24[[#This Row],[ROUTE]],DEMAND!A:F,6,FALSE),0)</f>
        <v>70</v>
      </c>
      <c r="P617" s="306">
        <f>ROUNDDOWN(Table24[[#This Row],[R-DEMAND]]/950,0)</f>
        <v>0</v>
      </c>
      <c r="Q617" s="306">
        <f>Table24[[#This Row],[ADD ACC
(475/950)]]*Table24[[#This Row],[Duration
(A359)]]</f>
        <v>0</v>
      </c>
      <c r="R617" s="307">
        <f>IFERROR(VLOOKUP(Table24[[#This Row],[ROUTE]],PRICING!A:B,2,FALSE),0)</f>
        <v>3483</v>
      </c>
      <c r="S617" s="308">
        <f>Table24[[#This Row],[C_DEMAND]]-Table24[[#This Row],[R-DEMAND]]</f>
        <v>3800</v>
      </c>
      <c r="T617" s="307">
        <f>Table24[[#This Row],[SEATS SOLD]]*Table24[[#This Row],[ECO SEAT]]</f>
        <v>13235400</v>
      </c>
      <c r="U617" s="307">
        <f>Table24[[#This Row],[SEATS SOLD]]*(IFERROR(VLOOKUP(Table24[[#This Row],[ROUTE]],PRICING!A:C,3,FALSE),0))</f>
        <v>14709800</v>
      </c>
      <c r="V617" s="307">
        <f>Table24[[#This Row],[SEAT REV]]-Table24[[#This Row],[SEAT REV
(IF IDEAL $)]]</f>
        <v>-1474400</v>
      </c>
    </row>
    <row r="618" spans="1:22" customFormat="1" x14ac:dyDescent="0.25">
      <c r="A618" s="306" t="s">
        <v>17217</v>
      </c>
      <c r="B618" s="306" t="s">
        <v>143</v>
      </c>
      <c r="C618" s="306" t="s">
        <v>2</v>
      </c>
      <c r="D618" s="26">
        <v>4</v>
      </c>
      <c r="E618" s="312" t="s">
        <v>142</v>
      </c>
      <c r="F618" s="306" t="str">
        <f>VLOOKUP(Table24[[#This Row],[Country]],Table10[[COUNTRY NAME]:[CONTINENT CODE]],3,FALSE)</f>
        <v>AS</v>
      </c>
      <c r="G618" s="312" t="s">
        <v>11053</v>
      </c>
      <c r="H618" s="309">
        <v>14594</v>
      </c>
      <c r="I618" s="310">
        <v>34.25</v>
      </c>
      <c r="J618" s="307">
        <v>285302583</v>
      </c>
      <c r="K618" s="307">
        <f>IFERROR(Table24[[#This Row],[ROUTE COST]]/Table24[[#This Row],[O - DEMAND]],0)</f>
        <v>102885.89361702128</v>
      </c>
      <c r="L618" s="306">
        <v>2773</v>
      </c>
      <c r="M618" s="310">
        <f>Table24[[#This Row],[O - DEMAND]]/950</f>
        <v>2.9189473684210525</v>
      </c>
      <c r="N618" s="306">
        <f>IFERROR(VLOOKUP(Table24[[#This Row],[ROUTE]],DEMAND!A:F,5,FALSE),0)</f>
        <v>2921</v>
      </c>
      <c r="O618" s="306">
        <f>IFERROR(VLOOKUP(Table24[[#This Row],[ROUTE]],DEMAND!A:F,6,FALSE),0)</f>
        <v>71</v>
      </c>
      <c r="P618" s="306">
        <f>ROUNDDOWN(Table24[[#This Row],[R-DEMAND]]/950,0)</f>
        <v>0</v>
      </c>
      <c r="Q618" s="306">
        <f>Table24[[#This Row],[ADD ACC
(475/950)]]*Table24[[#This Row],[Duration
(A359)]]</f>
        <v>0</v>
      </c>
      <c r="R618" s="307">
        <f>IFERROR(VLOOKUP(Table24[[#This Row],[ROUTE]],PRICING!A:B,2,FALSE),0)</f>
        <v>3900</v>
      </c>
      <c r="S618" s="308">
        <f>Table24[[#This Row],[C_DEMAND]]-Table24[[#This Row],[R-DEMAND]]</f>
        <v>2850</v>
      </c>
      <c r="T618" s="307">
        <f>Table24[[#This Row],[SEATS SOLD]]*Table24[[#This Row],[ECO SEAT]]</f>
        <v>11115000</v>
      </c>
      <c r="U618" s="307">
        <f>Table24[[#This Row],[SEATS SOLD]]*(IFERROR(VLOOKUP(Table24[[#This Row],[ROUTE]],PRICING!A:C,3,FALSE),0))</f>
        <v>13235400</v>
      </c>
      <c r="V618" s="307">
        <f>Table24[[#This Row],[SEAT REV]]-Table24[[#This Row],[SEAT REV
(IF IDEAL $)]]</f>
        <v>-2120400</v>
      </c>
    </row>
    <row r="619" spans="1:22" customFormat="1" x14ac:dyDescent="0.25">
      <c r="A619" s="306" t="s">
        <v>17369</v>
      </c>
      <c r="B619" s="306" t="s">
        <v>3939</v>
      </c>
      <c r="C619" s="306" t="s">
        <v>2</v>
      </c>
      <c r="D619" s="26">
        <v>2</v>
      </c>
      <c r="E619" s="312" t="s">
        <v>172</v>
      </c>
      <c r="F619" s="306" t="str">
        <f>VLOOKUP(Table24[[#This Row],[Country]],Table10[[COUNTRY NAME]:[CONTINENT CODE]],3,FALSE)</f>
        <v>AS</v>
      </c>
      <c r="G619" s="312" t="s">
        <v>9989</v>
      </c>
      <c r="H619" s="309">
        <v>12017</v>
      </c>
      <c r="I619" s="310">
        <v>28.5</v>
      </c>
      <c r="J619" s="307">
        <v>225337317</v>
      </c>
      <c r="K619" s="307">
        <f>IFERROR(Table24[[#This Row],[ROUTE COST]]/Table24[[#This Row],[O - DEMAND]],0)</f>
        <v>80448.881470903245</v>
      </c>
      <c r="L619" s="306">
        <v>2801</v>
      </c>
      <c r="M619" s="310">
        <f>Table24[[#This Row],[O - DEMAND]]/950</f>
        <v>2.9484210526315788</v>
      </c>
      <c r="N619" s="306">
        <f>IFERROR(VLOOKUP(Table24[[#This Row],[ROUTE]],DEMAND!A:F,5,FALSE),0)</f>
        <v>2922</v>
      </c>
      <c r="O619" s="306">
        <f>IFERROR(VLOOKUP(Table24[[#This Row],[ROUTE]],DEMAND!A:F,6,FALSE),0)</f>
        <v>72</v>
      </c>
      <c r="P619" s="306">
        <f>ROUNDDOWN(Table24[[#This Row],[R-DEMAND]]/950,0)</f>
        <v>0</v>
      </c>
      <c r="Q619" s="306">
        <f>Table24[[#This Row],[ADD ACC
(475/950)]]*Table24[[#This Row],[Duration
(A359)]]</f>
        <v>0</v>
      </c>
      <c r="R619" s="307">
        <f>IFERROR(VLOOKUP(Table24[[#This Row],[ROUTE]],PRICING!A:B,2,FALSE),0)</f>
        <v>3345</v>
      </c>
      <c r="S619" s="308">
        <f>Table24[[#This Row],[C_DEMAND]]-Table24[[#This Row],[R-DEMAND]]</f>
        <v>2850</v>
      </c>
      <c r="T619" s="307">
        <f>Table24[[#This Row],[SEATS SOLD]]*Table24[[#This Row],[ECO SEAT]]</f>
        <v>9533250</v>
      </c>
      <c r="U619" s="307">
        <f>Table24[[#This Row],[SEATS SOLD]]*(IFERROR(VLOOKUP(Table24[[#This Row],[ROUTE]],PRICING!A:C,3,FALSE),0))</f>
        <v>10958250</v>
      </c>
      <c r="V619" s="307">
        <f>Table24[[#This Row],[SEAT REV]]-Table24[[#This Row],[SEAT REV
(IF IDEAL $)]]</f>
        <v>-1425000</v>
      </c>
    </row>
    <row r="620" spans="1:22" customFormat="1" x14ac:dyDescent="0.25">
      <c r="A620" s="306" t="s">
        <v>17839</v>
      </c>
      <c r="B620" s="306" t="s">
        <v>124</v>
      </c>
      <c r="C620" s="306" t="s">
        <v>2</v>
      </c>
      <c r="D620" s="26">
        <v>5</v>
      </c>
      <c r="E620" s="312" t="s">
        <v>11732</v>
      </c>
      <c r="F620" s="306" t="str">
        <f>VLOOKUP(Table24[[#This Row],[Country]],Table10[[COUNTRY NAME]:[CONTINENT CODE]],3,FALSE)</f>
        <v>NA - US</v>
      </c>
      <c r="G620" s="312" t="s">
        <v>13349</v>
      </c>
      <c r="H620" s="309">
        <v>2385</v>
      </c>
      <c r="I620" s="310">
        <v>7.25</v>
      </c>
      <c r="J620" s="307">
        <v>175545073</v>
      </c>
      <c r="K620" s="307">
        <f>IFERROR(Table24[[#This Row],[ROUTE COST]]/Table24[[#This Row],[O - DEMAND]],0)</f>
        <v>62672.285969296681</v>
      </c>
      <c r="L620" s="306">
        <v>2801</v>
      </c>
      <c r="M620" s="310">
        <f>Table24[[#This Row],[O - DEMAND]]/950</f>
        <v>2.9484210526315788</v>
      </c>
      <c r="N620" s="306">
        <f>IFERROR(VLOOKUP(Table24[[#This Row],[ROUTE]],DEMAND!A:F,5,FALSE),0)</f>
        <v>2923</v>
      </c>
      <c r="O620" s="306">
        <f>IFERROR(VLOOKUP(Table24[[#This Row],[ROUTE]],DEMAND!A:F,6,FALSE),0)</f>
        <v>73</v>
      </c>
      <c r="P620" s="306">
        <f>ROUNDDOWN(Table24[[#This Row],[R-DEMAND]]/950,0)</f>
        <v>0</v>
      </c>
      <c r="Q620" s="306">
        <f>Table24[[#This Row],[ADD ACC
(475/950)]]*Table24[[#This Row],[Duration
(A359)]]</f>
        <v>0</v>
      </c>
      <c r="R620" s="307">
        <f>IFERROR(VLOOKUP(Table24[[#This Row],[ROUTE]],PRICING!A:B,2,FALSE),0)</f>
        <v>747</v>
      </c>
      <c r="S620" s="308">
        <f>Table24[[#This Row],[C_DEMAND]]-Table24[[#This Row],[R-DEMAND]]</f>
        <v>2850</v>
      </c>
      <c r="T620" s="307">
        <f>Table24[[#This Row],[SEATS SOLD]]*Table24[[#This Row],[ECO SEAT]]</f>
        <v>2128950</v>
      </c>
      <c r="U620" s="307">
        <f>Table24[[#This Row],[SEATS SOLD]]*(IFERROR(VLOOKUP(Table24[[#This Row],[ROUTE]],PRICING!A:C,3,FALSE),0))</f>
        <v>2448150</v>
      </c>
      <c r="V620" s="307">
        <f>Table24[[#This Row],[SEAT REV]]-Table24[[#This Row],[SEAT REV
(IF IDEAL $)]]</f>
        <v>-319200</v>
      </c>
    </row>
    <row r="621" spans="1:22" customFormat="1" x14ac:dyDescent="0.25">
      <c r="A621" s="306" t="s">
        <v>17308</v>
      </c>
      <c r="B621" s="306" t="s">
        <v>5221</v>
      </c>
      <c r="C621" s="306" t="s">
        <v>2</v>
      </c>
      <c r="D621" s="26">
        <v>3</v>
      </c>
      <c r="E621" s="312" t="s">
        <v>700</v>
      </c>
      <c r="F621" s="306" t="str">
        <f>VLOOKUP(Table24[[#This Row],[Country]],Table10[[COUNTRY NAME]:[CONTINENT CODE]],3,FALSE)</f>
        <v>AS</v>
      </c>
      <c r="G621" s="312" t="s">
        <v>10068</v>
      </c>
      <c r="H621" s="309">
        <v>9727</v>
      </c>
      <c r="I621" s="310">
        <v>23.5</v>
      </c>
      <c r="J621" s="307">
        <v>218751188</v>
      </c>
      <c r="K621" s="307">
        <f>IFERROR(Table24[[#This Row],[ROUTE COST]]/Table24[[#This Row],[O - DEMAND]],0)</f>
        <v>59670.264048008728</v>
      </c>
      <c r="L621" s="306">
        <v>3666</v>
      </c>
      <c r="M621" s="310">
        <f>Table24[[#This Row],[O - DEMAND]]/950</f>
        <v>3.8589473684210525</v>
      </c>
      <c r="N621" s="306">
        <f>IFERROR(VLOOKUP(Table24[[#This Row],[ROUTE]],DEMAND!A:F,5,FALSE),0)</f>
        <v>3874</v>
      </c>
      <c r="O621" s="306">
        <f>IFERROR(VLOOKUP(Table24[[#This Row],[ROUTE]],DEMAND!A:F,6,FALSE),0)</f>
        <v>74</v>
      </c>
      <c r="P621" s="306">
        <f>ROUNDDOWN(Table24[[#This Row],[R-DEMAND]]/950,0)</f>
        <v>0</v>
      </c>
      <c r="Q621" s="306">
        <f>Table24[[#This Row],[ADD ACC
(475/950)]]*Table24[[#This Row],[Duration
(A359)]]</f>
        <v>0</v>
      </c>
      <c r="R621" s="307">
        <f>IFERROR(VLOOKUP(Table24[[#This Row],[ROUTE]],PRICING!A:B,2,FALSE),0)</f>
        <v>2602</v>
      </c>
      <c r="S621" s="308">
        <f>Table24[[#This Row],[C_DEMAND]]-Table24[[#This Row],[R-DEMAND]]</f>
        <v>3800</v>
      </c>
      <c r="T621" s="307">
        <f>Table24[[#This Row],[SEATS SOLD]]*Table24[[#This Row],[ECO SEAT]]</f>
        <v>9887600</v>
      </c>
      <c r="U621" s="307">
        <f>Table24[[#This Row],[SEATS SOLD]]*(IFERROR(VLOOKUP(Table24[[#This Row],[ROUTE]],PRICING!A:C,3,FALSE),0))</f>
        <v>11913000</v>
      </c>
      <c r="V621" s="307">
        <f>Table24[[#This Row],[SEAT REV]]-Table24[[#This Row],[SEAT REV
(IF IDEAL $)]]</f>
        <v>-2025400</v>
      </c>
    </row>
    <row r="622" spans="1:22" customFormat="1" x14ac:dyDescent="0.25">
      <c r="A622" s="306" t="s">
        <v>17094</v>
      </c>
      <c r="B622" s="306" t="s">
        <v>1533</v>
      </c>
      <c r="C622" s="306" t="s">
        <v>2</v>
      </c>
      <c r="D622" s="26">
        <v>1</v>
      </c>
      <c r="E622" s="312" t="s">
        <v>1531</v>
      </c>
      <c r="F622" s="306" t="str">
        <f>VLOOKUP(Table24[[#This Row],[Country]],Table10[[COUNTRY NAME]:[CONTINENT CODE]],3,FALSE)</f>
        <v>AF</v>
      </c>
      <c r="G622" s="312" t="s">
        <v>6645</v>
      </c>
      <c r="H622" s="309">
        <v>12299</v>
      </c>
      <c r="I622" s="310">
        <v>29.25</v>
      </c>
      <c r="J622" s="307">
        <v>219686527</v>
      </c>
      <c r="K622" s="307">
        <f>IFERROR(Table24[[#This Row],[ROUTE COST]]/Table24[[#This Row],[O - DEMAND]],0)</f>
        <v>58976.248859060404</v>
      </c>
      <c r="L622" s="306">
        <v>3725</v>
      </c>
      <c r="M622" s="310">
        <f>Table24[[#This Row],[O - DEMAND]]/950</f>
        <v>3.9210526315789473</v>
      </c>
      <c r="N622" s="306">
        <f>IFERROR(VLOOKUP(Table24[[#This Row],[ROUTE]],DEMAND!A:F,5,FALSE),0)</f>
        <v>3874</v>
      </c>
      <c r="O622" s="306">
        <f>IFERROR(VLOOKUP(Table24[[#This Row],[ROUTE]],DEMAND!A:F,6,FALSE),0)</f>
        <v>74</v>
      </c>
      <c r="P622" s="306">
        <f>ROUNDDOWN(Table24[[#This Row],[R-DEMAND]]/950,0)</f>
        <v>0</v>
      </c>
      <c r="Q622" s="306">
        <f>Table24[[#This Row],[ADD ACC
(475/950)]]*Table24[[#This Row],[Duration
(A359)]]</f>
        <v>0</v>
      </c>
      <c r="R622" s="307">
        <f>IFERROR(VLOOKUP(Table24[[#This Row],[ROUTE]],PRICING!A:B,2,FALSE),0)</f>
        <v>3460</v>
      </c>
      <c r="S622" s="308">
        <f>Table24[[#This Row],[C_DEMAND]]-Table24[[#This Row],[R-DEMAND]]</f>
        <v>3800</v>
      </c>
      <c r="T622" s="307">
        <f>Table24[[#This Row],[SEATS SOLD]]*Table24[[#This Row],[ECO SEAT]]</f>
        <v>13148000</v>
      </c>
      <c r="U622" s="307">
        <f>Table24[[#This Row],[SEATS SOLD]]*(IFERROR(VLOOKUP(Table24[[#This Row],[ROUTE]],PRICING!A:C,3,FALSE),0))</f>
        <v>14941600</v>
      </c>
      <c r="V622" s="307">
        <f>Table24[[#This Row],[SEAT REV]]-Table24[[#This Row],[SEAT REV
(IF IDEAL $)]]</f>
        <v>-1793600</v>
      </c>
    </row>
    <row r="623" spans="1:22" customFormat="1" x14ac:dyDescent="0.25">
      <c r="A623" s="306" t="s">
        <v>17377</v>
      </c>
      <c r="B623" s="306" t="s">
        <v>3883</v>
      </c>
      <c r="C623" s="306" t="s">
        <v>2</v>
      </c>
      <c r="D623" s="26">
        <v>2</v>
      </c>
      <c r="E623" s="312" t="s">
        <v>172</v>
      </c>
      <c r="F623" s="306" t="str">
        <f>VLOOKUP(Table24[[#This Row],[Country]],Table10[[COUNTRY NAME]:[CONTINENT CODE]],3,FALSE)</f>
        <v>AS</v>
      </c>
      <c r="G623" s="312" t="s">
        <v>9929</v>
      </c>
      <c r="H623" s="309">
        <v>11503</v>
      </c>
      <c r="I623" s="310">
        <v>27.5</v>
      </c>
      <c r="J623" s="307">
        <v>219747300</v>
      </c>
      <c r="K623" s="307">
        <f>IFERROR(Table24[[#This Row],[ROUTE COST]]/Table24[[#This Row],[O - DEMAND]],0)</f>
        <v>79074.235336451966</v>
      </c>
      <c r="L623" s="306">
        <v>2779</v>
      </c>
      <c r="M623" s="310">
        <f>Table24[[#This Row],[O - DEMAND]]/950</f>
        <v>2.925263157894737</v>
      </c>
      <c r="N623" s="306">
        <f>IFERROR(VLOOKUP(Table24[[#This Row],[ROUTE]],DEMAND!A:F,5,FALSE),0)</f>
        <v>2928</v>
      </c>
      <c r="O623" s="306">
        <f>IFERROR(VLOOKUP(Table24[[#This Row],[ROUTE]],DEMAND!A:F,6,FALSE),0)</f>
        <v>78</v>
      </c>
      <c r="P623" s="306">
        <f>ROUNDDOWN(Table24[[#This Row],[R-DEMAND]]/950,0)</f>
        <v>0</v>
      </c>
      <c r="Q623" s="306">
        <f>Table24[[#This Row],[ADD ACC
(475/950)]]*Table24[[#This Row],[Duration
(A359)]]</f>
        <v>0</v>
      </c>
      <c r="R623" s="307">
        <f>IFERROR(VLOOKUP(Table24[[#This Row],[ROUTE]],PRICING!A:B,2,FALSE),0)</f>
        <v>3095</v>
      </c>
      <c r="S623" s="308">
        <f>Table24[[#This Row],[C_DEMAND]]-Table24[[#This Row],[R-DEMAND]]</f>
        <v>2850</v>
      </c>
      <c r="T623" s="307">
        <f>Table24[[#This Row],[SEATS SOLD]]*Table24[[#This Row],[ECO SEAT]]</f>
        <v>8820750</v>
      </c>
      <c r="U623" s="307">
        <f>Table24[[#This Row],[SEATS SOLD]]*(IFERROR(VLOOKUP(Table24[[#This Row],[ROUTE]],PRICING!A:C,3,FALSE),0))</f>
        <v>10502250</v>
      </c>
      <c r="V623" s="307">
        <f>Table24[[#This Row],[SEAT REV]]-Table24[[#This Row],[SEAT REV
(IF IDEAL $)]]</f>
        <v>-1681500</v>
      </c>
    </row>
    <row r="624" spans="1:22" customFormat="1" x14ac:dyDescent="0.25">
      <c r="A624" s="306" t="s">
        <v>17154</v>
      </c>
      <c r="B624" s="306" t="s">
        <v>4551</v>
      </c>
      <c r="C624" s="306" t="s">
        <v>2</v>
      </c>
      <c r="D624" s="26">
        <v>2</v>
      </c>
      <c r="E624" s="312" t="s">
        <v>4549</v>
      </c>
      <c r="F624" s="306" t="str">
        <f>VLOOKUP(Table24[[#This Row],[Country]],Table10[[COUNTRY NAME]:[CONTINENT CODE]],3,FALSE)</f>
        <v>AF</v>
      </c>
      <c r="G624" s="312" t="s">
        <v>11826</v>
      </c>
      <c r="H624" s="309">
        <v>9157</v>
      </c>
      <c r="I624" s="310">
        <v>22.25</v>
      </c>
      <c r="J624" s="307">
        <v>202380761</v>
      </c>
      <c r="K624" s="307">
        <f>IFERROR(Table24[[#This Row],[ROUTE COST]]/Table24[[#This Row],[O - DEMAND]],0)</f>
        <v>72124.291161796151</v>
      </c>
      <c r="L624" s="306">
        <v>2806</v>
      </c>
      <c r="M624" s="310">
        <f>Table24[[#This Row],[O - DEMAND]]/950</f>
        <v>2.9536842105263159</v>
      </c>
      <c r="N624" s="306">
        <f>IFERROR(VLOOKUP(Table24[[#This Row],[ROUTE]],DEMAND!A:F,5,FALSE),0)</f>
        <v>2928</v>
      </c>
      <c r="O624" s="306">
        <f>IFERROR(VLOOKUP(Table24[[#This Row],[ROUTE]],DEMAND!A:F,6,FALSE),0)</f>
        <v>78</v>
      </c>
      <c r="P624" s="306">
        <f>ROUNDDOWN(Table24[[#This Row],[R-DEMAND]]/950,0)</f>
        <v>0</v>
      </c>
      <c r="Q624" s="306">
        <f>Table24[[#This Row],[ADD ACC
(475/950)]]*Table24[[#This Row],[Duration
(A359)]]</f>
        <v>0</v>
      </c>
      <c r="R624" s="307">
        <f>IFERROR(VLOOKUP(Table24[[#This Row],[ROUTE]],PRICING!A:B,2,FALSE),0)</f>
        <v>2573</v>
      </c>
      <c r="S624" s="308">
        <f>Table24[[#This Row],[C_DEMAND]]-Table24[[#This Row],[R-DEMAND]]</f>
        <v>2850</v>
      </c>
      <c r="T624" s="307">
        <f>Table24[[#This Row],[SEATS SOLD]]*Table24[[#This Row],[ECO SEAT]]</f>
        <v>7333050</v>
      </c>
      <c r="U624" s="307">
        <f>Table24[[#This Row],[SEATS SOLD]]*(IFERROR(VLOOKUP(Table24[[#This Row],[ROUTE]],PRICING!A:C,3,FALSE),0))</f>
        <v>8430300</v>
      </c>
      <c r="V624" s="307">
        <f>Table24[[#This Row],[SEAT REV]]-Table24[[#This Row],[SEAT REV
(IF IDEAL $)]]</f>
        <v>-1097250</v>
      </c>
    </row>
    <row r="625" spans="1:22" customFormat="1" x14ac:dyDescent="0.25">
      <c r="A625" s="306" t="s">
        <v>17508</v>
      </c>
      <c r="B625" s="306" t="s">
        <v>5583</v>
      </c>
      <c r="C625" s="306" t="s">
        <v>2</v>
      </c>
      <c r="D625" s="26">
        <v>4</v>
      </c>
      <c r="E625" s="312" t="s">
        <v>119</v>
      </c>
      <c r="F625" s="306" t="str">
        <f>VLOOKUP(Table24[[#This Row],[Country]],Table10[[COUNTRY NAME]:[CONTINENT CODE]],3,FALSE)</f>
        <v>EU</v>
      </c>
      <c r="G625" s="312" t="s">
        <v>13252</v>
      </c>
      <c r="H625" s="309">
        <v>5857</v>
      </c>
      <c r="I625" s="310">
        <v>15</v>
      </c>
      <c r="J625" s="307">
        <v>193318984</v>
      </c>
      <c r="K625" s="307">
        <f>IFERROR(Table24[[#This Row],[ROUTE COST]]/Table24[[#This Row],[O - DEMAND]],0)</f>
        <v>69539.20287769784</v>
      </c>
      <c r="L625" s="306">
        <v>2780</v>
      </c>
      <c r="M625" s="310">
        <f>Table24[[#This Row],[O - DEMAND]]/950</f>
        <v>2.9263157894736844</v>
      </c>
      <c r="N625" s="306">
        <f>IFERROR(VLOOKUP(Table24[[#This Row],[ROUTE]],DEMAND!A:F,5,FALSE),0)</f>
        <v>2929</v>
      </c>
      <c r="O625" s="306">
        <f>IFERROR(VLOOKUP(Table24[[#This Row],[ROUTE]],DEMAND!A:F,6,FALSE),0)</f>
        <v>79</v>
      </c>
      <c r="P625" s="306">
        <f>ROUNDDOWN(Table24[[#This Row],[R-DEMAND]]/950,0)</f>
        <v>0</v>
      </c>
      <c r="Q625" s="306">
        <f>Table24[[#This Row],[ADD ACC
(475/950)]]*Table24[[#This Row],[Duration
(A359)]]</f>
        <v>0</v>
      </c>
      <c r="R625" s="307">
        <f>IFERROR(VLOOKUP(Table24[[#This Row],[ROUTE]],PRICING!A:B,2,FALSE),0)</f>
        <v>1625</v>
      </c>
      <c r="S625" s="308">
        <f>Table24[[#This Row],[C_DEMAND]]-Table24[[#This Row],[R-DEMAND]]</f>
        <v>2850</v>
      </c>
      <c r="T625" s="307">
        <f>Table24[[#This Row],[SEATS SOLD]]*Table24[[#This Row],[ECO SEAT]]</f>
        <v>4631250</v>
      </c>
      <c r="U625" s="307">
        <f>Table24[[#This Row],[SEATS SOLD]]*(IFERROR(VLOOKUP(Table24[[#This Row],[ROUTE]],PRICING!A:C,3,FALSE),0))</f>
        <v>5514750</v>
      </c>
      <c r="V625" s="307">
        <f>Table24[[#This Row],[SEAT REV]]-Table24[[#This Row],[SEAT REV
(IF IDEAL $)]]</f>
        <v>-883500</v>
      </c>
    </row>
    <row r="626" spans="1:22" customFormat="1" x14ac:dyDescent="0.25">
      <c r="A626" s="306" t="s">
        <v>17043</v>
      </c>
      <c r="B626" s="306" t="s">
        <v>364</v>
      </c>
      <c r="C626" s="306" t="s">
        <v>2</v>
      </c>
      <c r="D626" s="26">
        <v>3</v>
      </c>
      <c r="E626" s="312" t="s">
        <v>730</v>
      </c>
      <c r="F626" s="306" t="str">
        <f>VLOOKUP(Table24[[#This Row],[Country]],Table10[[COUNTRY NAME]:[CONTINENT CODE]],3,FALSE)</f>
        <v>OC</v>
      </c>
      <c r="G626" s="312" t="s">
        <v>11933</v>
      </c>
      <c r="H626" s="309">
        <v>13434</v>
      </c>
      <c r="I626" s="310">
        <v>31.5</v>
      </c>
      <c r="J626" s="307">
        <v>262858456</v>
      </c>
      <c r="K626" s="307">
        <f>IFERROR(Table24[[#This Row],[ROUTE COST]]/Table24[[#This Row],[O - DEMAND]],0)</f>
        <v>69983.614483493075</v>
      </c>
      <c r="L626" s="306">
        <v>3756</v>
      </c>
      <c r="M626" s="310">
        <f>Table24[[#This Row],[O - DEMAND]]/950</f>
        <v>3.9536842105263159</v>
      </c>
      <c r="N626" s="306">
        <f>IFERROR(VLOOKUP(Table24[[#This Row],[ROUTE]],DEMAND!A:F,5,FALSE),0)</f>
        <v>3881</v>
      </c>
      <c r="O626" s="306">
        <f>IFERROR(VLOOKUP(Table24[[#This Row],[ROUTE]],DEMAND!A:F,6,FALSE),0)</f>
        <v>81</v>
      </c>
      <c r="P626" s="306">
        <f>ROUNDDOWN(Table24[[#This Row],[R-DEMAND]]/950,0)</f>
        <v>0</v>
      </c>
      <c r="Q626" s="306">
        <f>Table24[[#This Row],[ADD ACC
(475/950)]]*Table24[[#This Row],[Duration
(A359)]]</f>
        <v>0</v>
      </c>
      <c r="R626" s="307">
        <f>IFERROR(VLOOKUP(Table24[[#This Row],[ROUTE]],PRICING!A:B,2,FALSE),0)</f>
        <v>3855</v>
      </c>
      <c r="S626" s="308">
        <f>Table24[[#This Row],[C_DEMAND]]-Table24[[#This Row],[R-DEMAND]]</f>
        <v>3800</v>
      </c>
      <c r="T626" s="307">
        <f>Table24[[#This Row],[SEATS SOLD]]*Table24[[#This Row],[ECO SEAT]]</f>
        <v>14649000</v>
      </c>
      <c r="U626" s="307">
        <f>Table24[[#This Row],[SEATS SOLD]]*(IFERROR(VLOOKUP(Table24[[#This Row],[ROUTE]],PRICING!A:C,3,FALSE),0))</f>
        <v>16279200</v>
      </c>
      <c r="V626" s="307">
        <f>Table24[[#This Row],[SEAT REV]]-Table24[[#This Row],[SEAT REV
(IF IDEAL $)]]</f>
        <v>-1630200</v>
      </c>
    </row>
    <row r="627" spans="1:22" customFormat="1" x14ac:dyDescent="0.25">
      <c r="A627" s="306" t="s">
        <v>17209</v>
      </c>
      <c r="B627" s="306" t="s">
        <v>110</v>
      </c>
      <c r="C627" s="306" t="s">
        <v>2</v>
      </c>
      <c r="D627" s="26">
        <v>5</v>
      </c>
      <c r="E627" s="312" t="s">
        <v>172</v>
      </c>
      <c r="F627" s="306" t="str">
        <f>VLOOKUP(Table24[[#This Row],[Country]],Table10[[COUNTRY NAME]:[CONTINENT CODE]],3,FALSE)</f>
        <v>AS</v>
      </c>
      <c r="G627" s="312" t="s">
        <v>11045</v>
      </c>
      <c r="H627" s="309">
        <v>11832</v>
      </c>
      <c r="I627" s="310">
        <v>28</v>
      </c>
      <c r="J627" s="307">
        <v>263603647</v>
      </c>
      <c r="K627" s="307">
        <f>IFERROR(Table24[[#This Row],[ROUTE COST]]/Table24[[#This Row],[O - DEMAND]],0)</f>
        <v>57255.353388357951</v>
      </c>
      <c r="L627" s="306">
        <v>4604</v>
      </c>
      <c r="M627" s="310">
        <f>Table24[[#This Row],[O - DEMAND]]/950</f>
        <v>4.8463157894736844</v>
      </c>
      <c r="N627" s="306">
        <f>IFERROR(VLOOKUP(Table24[[#This Row],[ROUTE]],DEMAND!A:F,5,FALSE),0)</f>
        <v>4835</v>
      </c>
      <c r="O627" s="306">
        <f>IFERROR(VLOOKUP(Table24[[#This Row],[ROUTE]],DEMAND!A:F,6,FALSE),0)</f>
        <v>85</v>
      </c>
      <c r="P627" s="306">
        <f>ROUNDDOWN(Table24[[#This Row],[R-DEMAND]]/950,0)</f>
        <v>0</v>
      </c>
      <c r="Q627" s="306">
        <f>Table24[[#This Row],[ADD ACC
(475/950)]]*Table24[[#This Row],[Duration
(A359)]]</f>
        <v>0</v>
      </c>
      <c r="R627" s="307">
        <f>IFERROR(VLOOKUP(Table24[[#This Row],[ROUTE]],PRICING!A:B,2,FALSE),0)</f>
        <v>3218</v>
      </c>
      <c r="S627" s="308">
        <f>Table24[[#This Row],[C_DEMAND]]-Table24[[#This Row],[R-DEMAND]]</f>
        <v>4750</v>
      </c>
      <c r="T627" s="307">
        <f>Table24[[#This Row],[SEATS SOLD]]*Table24[[#This Row],[ECO SEAT]]</f>
        <v>15285500</v>
      </c>
      <c r="U627" s="307">
        <f>Table24[[#This Row],[SEATS SOLD]]*(IFERROR(VLOOKUP(Table24[[#This Row],[ROUTE]],PRICING!A:C,3,FALSE),0))</f>
        <v>17988250</v>
      </c>
      <c r="V627" s="307">
        <f>Table24[[#This Row],[SEAT REV]]-Table24[[#This Row],[SEAT REV
(IF IDEAL $)]]</f>
        <v>-2702750</v>
      </c>
    </row>
    <row r="628" spans="1:22" customFormat="1" x14ac:dyDescent="0.25">
      <c r="A628" s="306" t="s">
        <v>17056</v>
      </c>
      <c r="B628" s="306" t="s">
        <v>1333</v>
      </c>
      <c r="C628" s="306" t="s">
        <v>2</v>
      </c>
      <c r="D628" s="26">
        <v>1</v>
      </c>
      <c r="E628" s="312" t="s">
        <v>662</v>
      </c>
      <c r="F628" s="306" t="str">
        <f>VLOOKUP(Table24[[#This Row],[Country]],Table10[[COUNTRY NAME]:[CONTINENT CODE]],3,FALSE)</f>
        <v>OC</v>
      </c>
      <c r="G628" s="312" t="s">
        <v>11694</v>
      </c>
      <c r="H628" s="309">
        <v>8536</v>
      </c>
      <c r="I628" s="310">
        <v>20.75</v>
      </c>
      <c r="J628" s="307">
        <v>177548963</v>
      </c>
      <c r="K628" s="307">
        <f>IFERROR(Table24[[#This Row],[ROUTE COST]]/Table24[[#This Row],[O - DEMAND]],0)</f>
        <v>94491.199042043634</v>
      </c>
      <c r="L628" s="306">
        <v>1879</v>
      </c>
      <c r="M628" s="310">
        <f>Table24[[#This Row],[O - DEMAND]]/950</f>
        <v>1.9778947368421054</v>
      </c>
      <c r="N628" s="306">
        <f>IFERROR(VLOOKUP(Table24[[#This Row],[ROUTE]],DEMAND!A:F,5,FALSE),0)</f>
        <v>1986</v>
      </c>
      <c r="O628" s="306">
        <f>IFERROR(VLOOKUP(Table24[[#This Row],[ROUTE]],DEMAND!A:F,6,FALSE),0)</f>
        <v>86</v>
      </c>
      <c r="P628" s="306">
        <f>ROUNDDOWN(Table24[[#This Row],[R-DEMAND]]/950,0)</f>
        <v>0</v>
      </c>
      <c r="Q628" s="306">
        <f>Table24[[#This Row],[ADD ACC
(475/950)]]*Table24[[#This Row],[Duration
(A359)]]</f>
        <v>0</v>
      </c>
      <c r="R628" s="307">
        <f>IFERROR(VLOOKUP(Table24[[#This Row],[ROUTE]],PRICING!A:B,2,FALSE),0)</f>
        <v>2295</v>
      </c>
      <c r="S628" s="308">
        <f>Table24[[#This Row],[C_DEMAND]]-Table24[[#This Row],[R-DEMAND]]</f>
        <v>1900</v>
      </c>
      <c r="T628" s="307">
        <f>Table24[[#This Row],[SEATS SOLD]]*Table24[[#This Row],[ECO SEAT]]</f>
        <v>4360500</v>
      </c>
      <c r="U628" s="307">
        <f>Table24[[#This Row],[SEATS SOLD]]*(IFERROR(VLOOKUP(Table24[[#This Row],[ROUTE]],PRICING!A:C,3,FALSE),0))</f>
        <v>5255400</v>
      </c>
      <c r="V628" s="307">
        <f>Table24[[#This Row],[SEAT REV]]-Table24[[#This Row],[SEAT REV
(IF IDEAL $)]]</f>
        <v>-894900</v>
      </c>
    </row>
    <row r="629" spans="1:22" customFormat="1" x14ac:dyDescent="0.25">
      <c r="A629" s="306" t="s">
        <v>17246</v>
      </c>
      <c r="B629" s="306" t="s">
        <v>368</v>
      </c>
      <c r="C629" s="306" t="s">
        <v>2</v>
      </c>
      <c r="D629" s="26">
        <v>3</v>
      </c>
      <c r="E629" s="312" t="s">
        <v>1710</v>
      </c>
      <c r="F629" s="306" t="str">
        <f>VLOOKUP(Table24[[#This Row],[Country]],Table10[[COUNTRY NAME]:[CONTINENT CODE]],3,FALSE)</f>
        <v>AS</v>
      </c>
      <c r="G629" s="312" t="s">
        <v>12075</v>
      </c>
      <c r="H629" s="309">
        <v>15161</v>
      </c>
      <c r="I629" s="310">
        <v>35.5</v>
      </c>
      <c r="J629" s="307">
        <v>275535947</v>
      </c>
      <c r="K629" s="307">
        <f>IFERROR(Table24[[#This Row],[ROUTE COST]]/Table24[[#This Row],[O - DEMAND]],0)</f>
        <v>74428.943003781736</v>
      </c>
      <c r="L629" s="306">
        <v>3702</v>
      </c>
      <c r="M629" s="310">
        <f>Table24[[#This Row],[O - DEMAND]]/950</f>
        <v>3.8968421052631581</v>
      </c>
      <c r="N629" s="306">
        <f>IFERROR(VLOOKUP(Table24[[#This Row],[ROUTE]],DEMAND!A:F,5,FALSE),0)</f>
        <v>3888</v>
      </c>
      <c r="O629" s="306">
        <f>IFERROR(VLOOKUP(Table24[[#This Row],[ROUTE]],DEMAND!A:F,6,FALSE),0)</f>
        <v>88</v>
      </c>
      <c r="P629" s="306">
        <f>ROUNDDOWN(Table24[[#This Row],[R-DEMAND]]/950,0)</f>
        <v>0</v>
      </c>
      <c r="Q629" s="306">
        <f>Table24[[#This Row],[ADD ACC
(475/950)]]*Table24[[#This Row],[Duration
(A359)]]</f>
        <v>0</v>
      </c>
      <c r="R629" s="307">
        <f>IFERROR(VLOOKUP(Table24[[#This Row],[ROUTE]],PRICING!A:B,2,FALSE),0)</f>
        <v>4096</v>
      </c>
      <c r="S629" s="308">
        <f>Table24[[#This Row],[C_DEMAND]]-Table24[[#This Row],[R-DEMAND]]</f>
        <v>3800</v>
      </c>
      <c r="T629" s="307">
        <f>Table24[[#This Row],[SEATS SOLD]]*Table24[[#This Row],[ECO SEAT]]</f>
        <v>15564800</v>
      </c>
      <c r="U629" s="307">
        <f>Table24[[#This Row],[SEATS SOLD]]*(IFERROR(VLOOKUP(Table24[[#This Row],[ROUTE]],PRICING!A:C,3,FALSE),0))</f>
        <v>18312200</v>
      </c>
      <c r="V629" s="307">
        <f>Table24[[#This Row],[SEAT REV]]-Table24[[#This Row],[SEAT REV
(IF IDEAL $)]]</f>
        <v>-2747400</v>
      </c>
    </row>
    <row r="630" spans="1:22" customFormat="1" x14ac:dyDescent="0.25">
      <c r="A630" s="306" t="s">
        <v>17545</v>
      </c>
      <c r="B630" s="306" t="s">
        <v>4900</v>
      </c>
      <c r="C630" s="306" t="s">
        <v>2</v>
      </c>
      <c r="D630" s="26">
        <v>3</v>
      </c>
      <c r="E630" s="312" t="s">
        <v>758</v>
      </c>
      <c r="F630" s="306" t="str">
        <f>VLOOKUP(Table24[[#This Row],[Country]],Table10[[COUNTRY NAME]:[CONTINENT CODE]],3,FALSE)</f>
        <v>EU</v>
      </c>
      <c r="G630" s="312" t="s">
        <v>11805</v>
      </c>
      <c r="H630" s="309">
        <v>8388</v>
      </c>
      <c r="I630" s="310">
        <v>20.5</v>
      </c>
      <c r="J630" s="307">
        <v>199186131</v>
      </c>
      <c r="K630" s="307">
        <f>IFERROR(Table24[[#This Row],[ROUTE COST]]/Table24[[#This Row],[O - DEMAND]],0)</f>
        <v>70508.364955752215</v>
      </c>
      <c r="L630" s="306">
        <v>2825</v>
      </c>
      <c r="M630" s="310">
        <f>Table24[[#This Row],[O - DEMAND]]/950</f>
        <v>2.9736842105263159</v>
      </c>
      <c r="N630" s="306">
        <f>IFERROR(VLOOKUP(Table24[[#This Row],[ROUTE]],DEMAND!A:F,5,FALSE),0)</f>
        <v>2938</v>
      </c>
      <c r="O630" s="306">
        <f>IFERROR(VLOOKUP(Table24[[#This Row],[ROUTE]],DEMAND!A:F,6,FALSE),0)</f>
        <v>88</v>
      </c>
      <c r="P630" s="306">
        <f>ROUNDDOWN(Table24[[#This Row],[R-DEMAND]]/950,0)</f>
        <v>0</v>
      </c>
      <c r="Q630" s="306">
        <f>Table24[[#This Row],[ADD ACC
(475/950)]]*Table24[[#This Row],[Duration
(A359)]]</f>
        <v>0</v>
      </c>
      <c r="R630" s="307">
        <f>IFERROR(VLOOKUP(Table24[[#This Row],[ROUTE]],PRICING!A:B,2,FALSE),0)</f>
        <v>2393</v>
      </c>
      <c r="S630" s="308">
        <f>Table24[[#This Row],[C_DEMAND]]-Table24[[#This Row],[R-DEMAND]]</f>
        <v>2850</v>
      </c>
      <c r="T630" s="307">
        <f>Table24[[#This Row],[SEATS SOLD]]*Table24[[#This Row],[ECO SEAT]]</f>
        <v>6820050</v>
      </c>
      <c r="U630" s="307">
        <f>Table24[[#This Row],[SEATS SOLD]]*(IFERROR(VLOOKUP(Table24[[#This Row],[ROUTE]],PRICING!A:C,3,FALSE),0))</f>
        <v>7752000</v>
      </c>
      <c r="V630" s="307">
        <f>Table24[[#This Row],[SEAT REV]]-Table24[[#This Row],[SEAT REV
(IF IDEAL $)]]</f>
        <v>-931950</v>
      </c>
    </row>
    <row r="631" spans="1:22" customFormat="1" x14ac:dyDescent="0.25">
      <c r="A631" s="306" t="s">
        <v>17093</v>
      </c>
      <c r="B631" s="306" t="s">
        <v>3371</v>
      </c>
      <c r="C631" s="306" t="s">
        <v>2</v>
      </c>
      <c r="D631" s="26">
        <v>2</v>
      </c>
      <c r="E631" s="312" t="s">
        <v>644</v>
      </c>
      <c r="F631" s="306" t="str">
        <f>VLOOKUP(Table24[[#This Row],[Country]],Table10[[COUNTRY NAME]:[CONTINENT CODE]],3,FALSE)</f>
        <v>AF</v>
      </c>
      <c r="G631" s="312" t="s">
        <v>11831</v>
      </c>
      <c r="H631" s="309">
        <v>10401</v>
      </c>
      <c r="I631" s="310">
        <v>25</v>
      </c>
      <c r="J631" s="307">
        <v>206951200</v>
      </c>
      <c r="K631" s="307">
        <f>IFERROR(Table24[[#This Row],[ROUTE COST]]/Table24[[#This Row],[O - DEMAND]],0)</f>
        <v>55512.660944206007</v>
      </c>
      <c r="L631" s="306">
        <v>3728</v>
      </c>
      <c r="M631" s="310">
        <f>Table24[[#This Row],[O - DEMAND]]/950</f>
        <v>3.9242105263157896</v>
      </c>
      <c r="N631" s="306">
        <f>IFERROR(VLOOKUP(Table24[[#This Row],[ROUTE]],DEMAND!A:F,5,FALSE),0)</f>
        <v>3890</v>
      </c>
      <c r="O631" s="306">
        <f>IFERROR(VLOOKUP(Table24[[#This Row],[ROUTE]],DEMAND!A:F,6,FALSE),0)</f>
        <v>90</v>
      </c>
      <c r="P631" s="306">
        <f>ROUNDDOWN(Table24[[#This Row],[R-DEMAND]]/950,0)</f>
        <v>0</v>
      </c>
      <c r="Q631" s="306">
        <f>Table24[[#This Row],[ADD ACC
(475/950)]]*Table24[[#This Row],[Duration
(A359)]]</f>
        <v>0</v>
      </c>
      <c r="R631" s="307">
        <f>IFERROR(VLOOKUP(Table24[[#This Row],[ROUTE]],PRICING!A:B,2,FALSE),0)</f>
        <v>2909</v>
      </c>
      <c r="S631" s="308">
        <f>Table24[[#This Row],[C_DEMAND]]-Table24[[#This Row],[R-DEMAND]]</f>
        <v>3800</v>
      </c>
      <c r="T631" s="307">
        <f>Table24[[#This Row],[SEATS SOLD]]*Table24[[#This Row],[ECO SEAT]]</f>
        <v>11054200</v>
      </c>
      <c r="U631" s="307">
        <f>Table24[[#This Row],[SEATS SOLD]]*(IFERROR(VLOOKUP(Table24[[#This Row],[ROUTE]],PRICING!A:C,3,FALSE),0))</f>
        <v>12707200</v>
      </c>
      <c r="V631" s="307">
        <f>Table24[[#This Row],[SEAT REV]]-Table24[[#This Row],[SEAT REV
(IF IDEAL $)]]</f>
        <v>-1653000</v>
      </c>
    </row>
    <row r="632" spans="1:22" customFormat="1" x14ac:dyDescent="0.25">
      <c r="A632" s="306" t="s">
        <v>17257</v>
      </c>
      <c r="B632" s="306" t="s">
        <v>5272</v>
      </c>
      <c r="C632" s="306" t="s">
        <v>2</v>
      </c>
      <c r="D632" s="26">
        <v>3</v>
      </c>
      <c r="E632" s="312" t="s">
        <v>14</v>
      </c>
      <c r="F632" s="306" t="str">
        <f>VLOOKUP(Table24[[#This Row],[Country]],Table10[[COUNTRY NAME]:[CONTINENT CODE]],3,FALSE)</f>
        <v>AS</v>
      </c>
      <c r="G632" s="312" t="s">
        <v>12053</v>
      </c>
      <c r="H632" s="309">
        <v>14438</v>
      </c>
      <c r="I632" s="310">
        <v>33.75</v>
      </c>
      <c r="J632" s="307">
        <v>267429836</v>
      </c>
      <c r="K632" s="307">
        <f>IFERROR(Table24[[#This Row],[ROUTE COST]]/Table24[[#This Row],[O - DEMAND]],0)</f>
        <v>96025.075763016153</v>
      </c>
      <c r="L632" s="306">
        <v>2785</v>
      </c>
      <c r="M632" s="310">
        <f>Table24[[#This Row],[O - DEMAND]]/950</f>
        <v>2.9315789473684211</v>
      </c>
      <c r="N632" s="306">
        <f>IFERROR(VLOOKUP(Table24[[#This Row],[ROUTE]],DEMAND!A:F,5,FALSE),0)</f>
        <v>2943</v>
      </c>
      <c r="O632" s="306">
        <f>IFERROR(VLOOKUP(Table24[[#This Row],[ROUTE]],DEMAND!A:F,6,FALSE),0)</f>
        <v>93</v>
      </c>
      <c r="P632" s="306">
        <f>ROUNDDOWN(Table24[[#This Row],[R-DEMAND]]/950,0)</f>
        <v>0</v>
      </c>
      <c r="Q632" s="306">
        <f>Table24[[#This Row],[ADD ACC
(475/950)]]*Table24[[#This Row],[Duration
(A359)]]</f>
        <v>0</v>
      </c>
      <c r="R632" s="307">
        <f>IFERROR(VLOOKUP(Table24[[#This Row],[ROUTE]],PRICING!A:B,2,FALSE),0)</f>
        <v>3813</v>
      </c>
      <c r="S632" s="308">
        <f>Table24[[#This Row],[C_DEMAND]]-Table24[[#This Row],[R-DEMAND]]</f>
        <v>2850</v>
      </c>
      <c r="T632" s="307">
        <f>Table24[[#This Row],[SEATS SOLD]]*Table24[[#This Row],[ECO SEAT]]</f>
        <v>10867050</v>
      </c>
      <c r="U632" s="307">
        <f>Table24[[#This Row],[SEATS SOLD]]*(IFERROR(VLOOKUP(Table24[[#This Row],[ROUTE]],PRICING!A:C,3,FALSE),0))</f>
        <v>13095750</v>
      </c>
      <c r="V632" s="307">
        <f>Table24[[#This Row],[SEAT REV]]-Table24[[#This Row],[SEAT REV
(IF IDEAL $)]]</f>
        <v>-2228700</v>
      </c>
    </row>
    <row r="633" spans="1:22" customFormat="1" x14ac:dyDescent="0.25">
      <c r="A633" s="306" t="s">
        <v>17837</v>
      </c>
      <c r="B633" s="306" t="s">
        <v>314</v>
      </c>
      <c r="C633" s="306" t="s">
        <v>2</v>
      </c>
      <c r="D633" s="26">
        <v>5</v>
      </c>
      <c r="E633" s="312" t="s">
        <v>11732</v>
      </c>
      <c r="F633" s="306" t="str">
        <f>VLOOKUP(Table24[[#This Row],[Country]],Table10[[COUNTRY NAME]:[CONTINENT CODE]],3,FALSE)</f>
        <v>NA - US</v>
      </c>
      <c r="G633" s="312" t="s">
        <v>13345</v>
      </c>
      <c r="H633" s="309">
        <v>2466</v>
      </c>
      <c r="I633" s="310">
        <v>7.5</v>
      </c>
      <c r="J633" s="307">
        <v>178257192</v>
      </c>
      <c r="K633" s="307">
        <f>IFERROR(Table24[[#This Row],[ROUTE COST]]/Table24[[#This Row],[O - DEMAND]],0)</f>
        <v>62722.446164672765</v>
      </c>
      <c r="L633" s="306">
        <v>2842</v>
      </c>
      <c r="M633" s="310">
        <f>Table24[[#This Row],[O - DEMAND]]/950</f>
        <v>2.9915789473684211</v>
      </c>
      <c r="N633" s="306">
        <f>IFERROR(VLOOKUP(Table24[[#This Row],[ROUTE]],DEMAND!A:F,5,FALSE),0)</f>
        <v>2947</v>
      </c>
      <c r="O633" s="306">
        <f>IFERROR(VLOOKUP(Table24[[#This Row],[ROUTE]],DEMAND!A:F,6,FALSE),0)</f>
        <v>97</v>
      </c>
      <c r="P633" s="306">
        <f>ROUNDDOWN(Table24[[#This Row],[R-DEMAND]]/950,0)</f>
        <v>0</v>
      </c>
      <c r="Q633" s="306">
        <f>Table24[[#This Row],[ADD ACC
(475/950)]]*Table24[[#This Row],[Duration
(A359)]]</f>
        <v>0</v>
      </c>
      <c r="R633" s="307">
        <f>IFERROR(VLOOKUP(Table24[[#This Row],[ROUTE]],PRICING!A:B,2,FALSE),0)</f>
        <v>786</v>
      </c>
      <c r="S633" s="308">
        <f>Table24[[#This Row],[C_DEMAND]]-Table24[[#This Row],[R-DEMAND]]</f>
        <v>2850</v>
      </c>
      <c r="T633" s="307">
        <f>Table24[[#This Row],[SEATS SOLD]]*Table24[[#This Row],[ECO SEAT]]</f>
        <v>2240100</v>
      </c>
      <c r="U633" s="307">
        <f>Table24[[#This Row],[SEATS SOLD]]*(IFERROR(VLOOKUP(Table24[[#This Row],[ROUTE]],PRICING!A:C,3,FALSE),0))</f>
        <v>2519400</v>
      </c>
      <c r="V633" s="307">
        <f>Table24[[#This Row],[SEAT REV]]-Table24[[#This Row],[SEAT REV
(IF IDEAL $)]]</f>
        <v>-279300</v>
      </c>
    </row>
    <row r="634" spans="1:22" customFormat="1" x14ac:dyDescent="0.25">
      <c r="A634" s="306" t="s">
        <v>18045</v>
      </c>
      <c r="B634" s="306" t="s">
        <v>4752</v>
      </c>
      <c r="C634" s="306" t="s">
        <v>2</v>
      </c>
      <c r="D634" s="26">
        <v>3</v>
      </c>
      <c r="E634" s="312" t="s">
        <v>545</v>
      </c>
      <c r="F634" s="306" t="str">
        <f>VLOOKUP(Table24[[#This Row],[Country]],Table10[[COUNTRY NAME]:[CONTINENT CODE]],3,FALSE)</f>
        <v>SA</v>
      </c>
      <c r="G634" s="312" t="s">
        <v>13374</v>
      </c>
      <c r="H634" s="309">
        <v>6185</v>
      </c>
      <c r="I634" s="310">
        <v>15.75</v>
      </c>
      <c r="J634" s="307">
        <v>174666145</v>
      </c>
      <c r="K634" s="307">
        <f>IFERROR(Table24[[#This Row],[ROUTE COST]]/Table24[[#This Row],[O - DEMAND]],0)</f>
        <v>63193.250723589001</v>
      </c>
      <c r="L634" s="306">
        <v>2764</v>
      </c>
      <c r="M634" s="310">
        <f>Table24[[#This Row],[O - DEMAND]]/950</f>
        <v>2.9094736842105262</v>
      </c>
      <c r="N634" s="306">
        <f>IFERROR(VLOOKUP(Table24[[#This Row],[ROUTE]],DEMAND!A:F,5,FALSE),0)</f>
        <v>2948</v>
      </c>
      <c r="O634" s="306">
        <f>IFERROR(VLOOKUP(Table24[[#This Row],[ROUTE]],DEMAND!A:F,6,FALSE),0)</f>
        <v>98</v>
      </c>
      <c r="P634" s="306">
        <f>ROUNDDOWN(Table24[[#This Row],[R-DEMAND]]/950,0)</f>
        <v>0</v>
      </c>
      <c r="Q634" s="306">
        <f>Table24[[#This Row],[ADD ACC
(475/950)]]*Table24[[#This Row],[Duration
(A359)]]</f>
        <v>0</v>
      </c>
      <c r="R634" s="307">
        <f>IFERROR(VLOOKUP(Table24[[#This Row],[ROUTE]],PRICING!A:B,2,FALSE),0)</f>
        <v>1629</v>
      </c>
      <c r="S634" s="308">
        <f>Table24[[#This Row],[C_DEMAND]]-Table24[[#This Row],[R-DEMAND]]</f>
        <v>2850</v>
      </c>
      <c r="T634" s="307">
        <f>Table24[[#This Row],[SEATS SOLD]]*Table24[[#This Row],[ECO SEAT]]</f>
        <v>4642650</v>
      </c>
      <c r="U634" s="307">
        <f>Table24[[#This Row],[SEATS SOLD]]*(IFERROR(VLOOKUP(Table24[[#This Row],[ROUTE]],PRICING!A:C,3,FALSE),0))</f>
        <v>5805450</v>
      </c>
      <c r="V634" s="307">
        <f>Table24[[#This Row],[SEAT REV]]-Table24[[#This Row],[SEAT REV
(IF IDEAL $)]]</f>
        <v>-1162800</v>
      </c>
    </row>
    <row r="635" spans="1:22" customFormat="1" x14ac:dyDescent="0.25">
      <c r="A635" s="306" t="s">
        <v>17208</v>
      </c>
      <c r="B635" s="306" t="s">
        <v>319</v>
      </c>
      <c r="C635" s="306" t="s">
        <v>2</v>
      </c>
      <c r="D635" s="26">
        <v>5</v>
      </c>
      <c r="E635" s="312" t="s">
        <v>1847</v>
      </c>
      <c r="F635" s="306" t="str">
        <f>VLOOKUP(Table24[[#This Row],[Country]],Table10[[COUNTRY NAME]:[CONTINENT CODE]],3,FALSE)</f>
        <v>AS</v>
      </c>
      <c r="G635" s="312" t="s">
        <v>11087</v>
      </c>
      <c r="H635" s="309">
        <v>12548</v>
      </c>
      <c r="I635" s="310">
        <v>29.75</v>
      </c>
      <c r="J635" s="307">
        <v>284543666</v>
      </c>
      <c r="K635" s="307">
        <f>IFERROR(Table24[[#This Row],[ROUTE COST]]/Table24[[#This Row],[O - DEMAND]],0)</f>
        <v>60760.979286781978</v>
      </c>
      <c r="L635" s="306">
        <v>4683</v>
      </c>
      <c r="M635" s="310">
        <f>Table24[[#This Row],[O - DEMAND]]/950</f>
        <v>4.9294736842105262</v>
      </c>
      <c r="N635" s="306">
        <f>IFERROR(VLOOKUP(Table24[[#This Row],[ROUTE]],DEMAND!A:F,5,FALSE),0)</f>
        <v>4854</v>
      </c>
      <c r="O635" s="306">
        <f>IFERROR(VLOOKUP(Table24[[#This Row],[ROUTE]],DEMAND!A:F,6,FALSE),0)</f>
        <v>104</v>
      </c>
      <c r="P635" s="306">
        <f>ROUNDDOWN(Table24[[#This Row],[R-DEMAND]]/950,0)</f>
        <v>0</v>
      </c>
      <c r="Q635" s="306">
        <f>Table24[[#This Row],[ADD ACC
(475/950)]]*Table24[[#This Row],[Duration
(A359)]]</f>
        <v>0</v>
      </c>
      <c r="R635" s="307">
        <f>IFERROR(VLOOKUP(Table24[[#This Row],[ROUTE]],PRICING!A:B,2,FALSE),0)</f>
        <v>3568</v>
      </c>
      <c r="S635" s="308">
        <f>Table24[[#This Row],[C_DEMAND]]-Table24[[#This Row],[R-DEMAND]]</f>
        <v>4750</v>
      </c>
      <c r="T635" s="307">
        <f>Table24[[#This Row],[SEATS SOLD]]*Table24[[#This Row],[ECO SEAT]]</f>
        <v>16948000</v>
      </c>
      <c r="U635" s="307">
        <f>Table24[[#This Row],[SEATS SOLD]]*(IFERROR(VLOOKUP(Table24[[#This Row],[ROUTE]],PRICING!A:C,3,FALSE),0))</f>
        <v>19042750</v>
      </c>
      <c r="V635" s="307">
        <f>Table24[[#This Row],[SEAT REV]]-Table24[[#This Row],[SEAT REV
(IF IDEAL $)]]</f>
        <v>-2094750</v>
      </c>
    </row>
    <row r="636" spans="1:22" customFormat="1" x14ac:dyDescent="0.25">
      <c r="A636" s="306" t="s">
        <v>17534</v>
      </c>
      <c r="B636" s="306" t="s">
        <v>4999</v>
      </c>
      <c r="C636" s="306" t="s">
        <v>2</v>
      </c>
      <c r="D636" s="26">
        <v>3</v>
      </c>
      <c r="E636" s="312" t="s">
        <v>508</v>
      </c>
      <c r="F636" s="306" t="str">
        <f>VLOOKUP(Table24[[#This Row],[Country]],Table10[[COUNTRY NAME]:[CONTINENT CODE]],3,FALSE)</f>
        <v>EU</v>
      </c>
      <c r="G636" s="312" t="s">
        <v>16887</v>
      </c>
      <c r="H636" s="309">
        <v>8808</v>
      </c>
      <c r="I636" s="310">
        <v>21.5</v>
      </c>
      <c r="J636" s="307">
        <v>204859733</v>
      </c>
      <c r="K636" s="307">
        <f>IFERROR(Table24[[#This Row],[ROUTE COST]]/Table24[[#This Row],[O - DEMAND]],0)</f>
        <v>72363.028258565872</v>
      </c>
      <c r="L636" s="306">
        <v>2831</v>
      </c>
      <c r="M636" s="310">
        <f>Table24[[#This Row],[O - DEMAND]]/950</f>
        <v>2.98</v>
      </c>
      <c r="N636" s="306">
        <f>IFERROR(VLOOKUP(Table24[[#This Row],[ROUTE]],DEMAND!A:F,5,FALSE),0)</f>
        <v>2954</v>
      </c>
      <c r="O636" s="306">
        <f>IFERROR(VLOOKUP(Table24[[#This Row],[ROUTE]],DEMAND!A:F,6,FALSE),0)</f>
        <v>104</v>
      </c>
      <c r="P636" s="306">
        <f>ROUNDDOWN(Table24[[#This Row],[R-DEMAND]]/950,0)</f>
        <v>0</v>
      </c>
      <c r="Q636" s="306">
        <f>Table24[[#This Row],[ADD ACC
(475/950)]]*Table24[[#This Row],[Duration
(A359)]]</f>
        <v>0</v>
      </c>
      <c r="R636" s="307">
        <f>IFERROR(VLOOKUP(Table24[[#This Row],[ROUTE]],PRICING!A:B,2,FALSE),0)</f>
        <v>2479</v>
      </c>
      <c r="S636" s="308">
        <f>Table24[[#This Row],[C_DEMAND]]-Table24[[#This Row],[R-DEMAND]]</f>
        <v>2850</v>
      </c>
      <c r="T636" s="307">
        <f>Table24[[#This Row],[SEATS SOLD]]*Table24[[#This Row],[ECO SEAT]]</f>
        <v>7065150</v>
      </c>
      <c r="U636" s="307">
        <f>Table24[[#This Row],[SEATS SOLD]]*(IFERROR(VLOOKUP(Table24[[#This Row],[ROUTE]],PRICING!A:C,3,FALSE),0))</f>
        <v>8122500</v>
      </c>
      <c r="V636" s="307">
        <f>Table24[[#This Row],[SEAT REV]]-Table24[[#This Row],[SEAT REV
(IF IDEAL $)]]</f>
        <v>-1057350</v>
      </c>
    </row>
    <row r="637" spans="1:22" customFormat="1" x14ac:dyDescent="0.25">
      <c r="A637" s="306" t="s">
        <v>17822</v>
      </c>
      <c r="B637" s="306" t="s">
        <v>5079</v>
      </c>
      <c r="C637" s="306" t="s">
        <v>2</v>
      </c>
      <c r="D637" s="26">
        <v>3</v>
      </c>
      <c r="E637" s="312" t="s">
        <v>5077</v>
      </c>
      <c r="F637" s="306" t="str">
        <f>VLOOKUP(Table24[[#This Row],[Country]],Table10[[COUNTRY NAME]:[CONTINENT CODE]],3,FALSE)</f>
        <v>NA</v>
      </c>
      <c r="G637" s="312" t="s">
        <v>5078</v>
      </c>
      <c r="H637" s="309">
        <v>1475</v>
      </c>
      <c r="I637" s="310">
        <v>5.25</v>
      </c>
      <c r="J637" s="307">
        <v>133177857</v>
      </c>
      <c r="K637" s="307">
        <f>IFERROR(Table24[[#This Row],[ROUTE COST]]/Table24[[#This Row],[O - DEMAND]],0)</f>
        <v>47026.079449152545</v>
      </c>
      <c r="L637" s="306">
        <v>2832</v>
      </c>
      <c r="M637" s="310">
        <f>Table24[[#This Row],[O - DEMAND]]/950</f>
        <v>2.9810526315789474</v>
      </c>
      <c r="N637" s="306">
        <f>IFERROR(VLOOKUP(Table24[[#This Row],[ROUTE]],DEMAND!A:F,5,FALSE),0)</f>
        <v>2957</v>
      </c>
      <c r="O637" s="306">
        <f>IFERROR(VLOOKUP(Table24[[#This Row],[ROUTE]],DEMAND!A:F,6,FALSE),0)</f>
        <v>107</v>
      </c>
      <c r="P637" s="306">
        <f>ROUNDDOWN(Table24[[#This Row],[R-DEMAND]]/950,0)</f>
        <v>0</v>
      </c>
      <c r="Q637" s="306">
        <f>Table24[[#This Row],[ADD ACC
(475/950)]]*Table24[[#This Row],[Duration
(A359)]]</f>
        <v>0</v>
      </c>
      <c r="R637" s="307">
        <f>IFERROR(VLOOKUP(Table24[[#This Row],[ROUTE]],PRICING!A:B,2,FALSE),0)</f>
        <v>501</v>
      </c>
      <c r="S637" s="308">
        <f>Table24[[#This Row],[C_DEMAND]]-Table24[[#This Row],[R-DEMAND]]</f>
        <v>2850</v>
      </c>
      <c r="T637" s="307">
        <f>Table24[[#This Row],[SEATS SOLD]]*Table24[[#This Row],[ECO SEAT]]</f>
        <v>1427850</v>
      </c>
      <c r="U637" s="307">
        <f>Table24[[#This Row],[SEATS SOLD]]*(IFERROR(VLOOKUP(Table24[[#This Row],[ROUTE]],PRICING!A:C,3,FALSE),0))</f>
        <v>1644450</v>
      </c>
      <c r="V637" s="307">
        <f>Table24[[#This Row],[SEAT REV]]-Table24[[#This Row],[SEAT REV
(IF IDEAL $)]]</f>
        <v>-216600</v>
      </c>
    </row>
    <row r="638" spans="1:22" customFormat="1" x14ac:dyDescent="0.25">
      <c r="A638" s="306" t="s">
        <v>18079</v>
      </c>
      <c r="B638" s="306" t="s">
        <v>3307</v>
      </c>
      <c r="C638" s="306" t="s">
        <v>2</v>
      </c>
      <c r="D638" s="26">
        <v>2</v>
      </c>
      <c r="E638" s="312" t="s">
        <v>714</v>
      </c>
      <c r="F638" s="306" t="str">
        <f>VLOOKUP(Table24[[#This Row],[Country]],Table10[[COUNTRY NAME]:[CONTINENT CODE]],3,FALSE)</f>
        <v>SA</v>
      </c>
      <c r="G638" s="312" t="s">
        <v>13244</v>
      </c>
      <c r="H638" s="309">
        <v>3794</v>
      </c>
      <c r="I638" s="310">
        <v>10.5</v>
      </c>
      <c r="J638" s="307">
        <v>140069628</v>
      </c>
      <c r="K638" s="307">
        <f>IFERROR(Table24[[#This Row],[ROUTE COST]]/Table24[[#This Row],[O - DEMAND]],0)</f>
        <v>49722.97763578275</v>
      </c>
      <c r="L638" s="306">
        <v>2817</v>
      </c>
      <c r="M638" s="310">
        <f>Table24[[#This Row],[O - DEMAND]]/950</f>
        <v>2.965263157894737</v>
      </c>
      <c r="N638" s="306">
        <f>IFERROR(VLOOKUP(Table24[[#This Row],[ROUTE]],DEMAND!A:F,5,FALSE),0)</f>
        <v>2958</v>
      </c>
      <c r="O638" s="306">
        <f>IFERROR(VLOOKUP(Table24[[#This Row],[ROUTE]],DEMAND!A:F,6,FALSE),0)</f>
        <v>108</v>
      </c>
      <c r="P638" s="306">
        <f>ROUNDDOWN(Table24[[#This Row],[R-DEMAND]]/950,0)</f>
        <v>0</v>
      </c>
      <c r="Q638" s="306">
        <f>Table24[[#This Row],[ADD ACC
(475/950)]]*Table24[[#This Row],[Duration
(A359)]]</f>
        <v>0</v>
      </c>
      <c r="R638" s="307">
        <f>IFERROR(VLOOKUP(Table24[[#This Row],[ROUTE]],PRICING!A:B,2,FALSE),0)</f>
        <v>1101</v>
      </c>
      <c r="S638" s="308">
        <f>Table24[[#This Row],[C_DEMAND]]-Table24[[#This Row],[R-DEMAND]]</f>
        <v>2850</v>
      </c>
      <c r="T638" s="307">
        <f>Table24[[#This Row],[SEATS SOLD]]*Table24[[#This Row],[ECO SEAT]]</f>
        <v>3137850</v>
      </c>
      <c r="U638" s="307">
        <f>Table24[[#This Row],[SEATS SOLD]]*(IFERROR(VLOOKUP(Table24[[#This Row],[ROUTE]],PRICING!A:C,3,FALSE),0))</f>
        <v>3693600</v>
      </c>
      <c r="V638" s="307">
        <f>Table24[[#This Row],[SEAT REV]]-Table24[[#This Row],[SEAT REV
(IF IDEAL $)]]</f>
        <v>-555750</v>
      </c>
    </row>
    <row r="639" spans="1:22" customFormat="1" x14ac:dyDescent="0.25">
      <c r="A639" s="306" t="s">
        <v>17736</v>
      </c>
      <c r="B639" s="306" t="s">
        <v>5613</v>
      </c>
      <c r="C639" s="306" t="s">
        <v>2</v>
      </c>
      <c r="D639" s="26">
        <v>4</v>
      </c>
      <c r="E639" s="312" t="s">
        <v>514</v>
      </c>
      <c r="F639" s="306" t="str">
        <f>VLOOKUP(Table24[[#This Row],[Country]],Table10[[COUNTRY NAME]:[CONTINENT CODE]],3,FALSE)</f>
        <v>NA</v>
      </c>
      <c r="G639" s="312" t="s">
        <v>13164</v>
      </c>
      <c r="H639" s="309">
        <v>5138</v>
      </c>
      <c r="I639" s="310">
        <v>13.5</v>
      </c>
      <c r="J639" s="307">
        <v>189110723</v>
      </c>
      <c r="K639" s="307">
        <f>IFERROR(Table24[[#This Row],[ROUTE COST]]/Table24[[#This Row],[O - DEMAND]],0)</f>
        <v>66894.489918641673</v>
      </c>
      <c r="L639" s="306">
        <v>2827</v>
      </c>
      <c r="M639" s="310">
        <f>Table24[[#This Row],[O - DEMAND]]/950</f>
        <v>2.9757894736842103</v>
      </c>
      <c r="N639" s="306">
        <f>IFERROR(VLOOKUP(Table24[[#This Row],[ROUTE]],DEMAND!A:F,5,FALSE),0)</f>
        <v>2960</v>
      </c>
      <c r="O639" s="306">
        <f>IFERROR(VLOOKUP(Table24[[#This Row],[ROUTE]],DEMAND!A:F,6,FALSE),0)</f>
        <v>110</v>
      </c>
      <c r="P639" s="306">
        <f>ROUNDDOWN(Table24[[#This Row],[R-DEMAND]]/950,0)</f>
        <v>0</v>
      </c>
      <c r="Q639" s="306">
        <f>Table24[[#This Row],[ADD ACC
(475/950)]]*Table24[[#This Row],[Duration
(A359)]]</f>
        <v>0</v>
      </c>
      <c r="R639" s="307">
        <f>IFERROR(VLOOKUP(Table24[[#This Row],[ROUTE]],PRICING!A:B,2,FALSE),0)</f>
        <v>1472</v>
      </c>
      <c r="S639" s="308">
        <f>Table24[[#This Row],[C_DEMAND]]-Table24[[#This Row],[R-DEMAND]]</f>
        <v>2850</v>
      </c>
      <c r="T639" s="307">
        <f>Table24[[#This Row],[SEATS SOLD]]*Table24[[#This Row],[ECO SEAT]]</f>
        <v>4195200</v>
      </c>
      <c r="U639" s="307">
        <f>Table24[[#This Row],[SEATS SOLD]]*(IFERROR(VLOOKUP(Table24[[#This Row],[ROUTE]],PRICING!A:C,3,FALSE),0))</f>
        <v>4879200</v>
      </c>
      <c r="V639" s="307">
        <f>Table24[[#This Row],[SEAT REV]]-Table24[[#This Row],[SEAT REV
(IF IDEAL $)]]</f>
        <v>-684000</v>
      </c>
    </row>
    <row r="640" spans="1:22" customFormat="1" x14ac:dyDescent="0.25">
      <c r="A640" s="306" t="s">
        <v>17290</v>
      </c>
      <c r="B640" s="306" t="s">
        <v>5008</v>
      </c>
      <c r="C640" s="306" t="s">
        <v>2</v>
      </c>
      <c r="D640" s="26">
        <v>3</v>
      </c>
      <c r="E640" s="312" t="s">
        <v>142</v>
      </c>
      <c r="F640" s="306" t="str">
        <f>VLOOKUP(Table24[[#This Row],[Country]],Table10[[COUNTRY NAME]:[CONTINENT CODE]],3,FALSE)</f>
        <v>AS</v>
      </c>
      <c r="G640" s="312" t="s">
        <v>9502</v>
      </c>
      <c r="H640" s="309">
        <v>12493</v>
      </c>
      <c r="I640" s="310">
        <v>29.5</v>
      </c>
      <c r="J640" s="307">
        <v>242810126</v>
      </c>
      <c r="K640" s="307">
        <f>IFERROR(Table24[[#This Row],[ROUTE COST]]/Table24[[#This Row],[O - DEMAND]],0)</f>
        <v>85017.551120448174</v>
      </c>
      <c r="L640" s="306">
        <v>2856</v>
      </c>
      <c r="M640" s="310">
        <f>Table24[[#This Row],[O - DEMAND]]/950</f>
        <v>3.0063157894736841</v>
      </c>
      <c r="N640" s="306">
        <f>IFERROR(VLOOKUP(Table24[[#This Row],[ROUTE]],DEMAND!A:F,5,FALSE),0)</f>
        <v>2961</v>
      </c>
      <c r="O640" s="306">
        <f>IFERROR(VLOOKUP(Table24[[#This Row],[ROUTE]],DEMAND!A:F,6,FALSE),0)</f>
        <v>111</v>
      </c>
      <c r="P640" s="306">
        <f>ROUNDDOWN(Table24[[#This Row],[R-DEMAND]]/950,0)</f>
        <v>0</v>
      </c>
      <c r="Q640" s="306">
        <f>Table24[[#This Row],[ADD ACC
(475/950)]]*Table24[[#This Row],[Duration
(A359)]]</f>
        <v>0</v>
      </c>
      <c r="R640" s="307">
        <f>IFERROR(VLOOKUP(Table24[[#This Row],[ROUTE]],PRICING!A:B,2,FALSE),0)</f>
        <v>3552</v>
      </c>
      <c r="S640" s="308">
        <f>Table24[[#This Row],[C_DEMAND]]-Table24[[#This Row],[R-DEMAND]]</f>
        <v>2850</v>
      </c>
      <c r="T640" s="307">
        <f>Table24[[#This Row],[SEATS SOLD]]*Table24[[#This Row],[ECO SEAT]]</f>
        <v>10123200</v>
      </c>
      <c r="U640" s="307">
        <f>Table24[[#This Row],[SEATS SOLD]]*(IFERROR(VLOOKUP(Table24[[#This Row],[ROUTE]],PRICING!A:C,3,FALSE),0))</f>
        <v>11377200</v>
      </c>
      <c r="V640" s="307">
        <f>Table24[[#This Row],[SEAT REV]]-Table24[[#This Row],[SEAT REV
(IF IDEAL $)]]</f>
        <v>-1254000</v>
      </c>
    </row>
    <row r="641" spans="1:22" customFormat="1" x14ac:dyDescent="0.25">
      <c r="A641" s="306" t="s">
        <v>17575</v>
      </c>
      <c r="B641" s="306" t="s">
        <v>5251</v>
      </c>
      <c r="C641" s="306" t="s">
        <v>2</v>
      </c>
      <c r="D641" s="26">
        <v>3</v>
      </c>
      <c r="E641" s="312" t="s">
        <v>605</v>
      </c>
      <c r="F641" s="306" t="str">
        <f>VLOOKUP(Table24[[#This Row],[Country]],Table10[[COUNTRY NAME]:[CONTINENT CODE]],3,FALSE)</f>
        <v>EU</v>
      </c>
      <c r="G641" s="312" t="s">
        <v>16913</v>
      </c>
      <c r="H641" s="309">
        <v>7559</v>
      </c>
      <c r="I641" s="310">
        <v>18.75</v>
      </c>
      <c r="J641" s="307">
        <v>198985313</v>
      </c>
      <c r="K641" s="307">
        <f>IFERROR(Table24[[#This Row],[ROUTE COST]]/Table24[[#This Row],[O - DEMAND]],0)</f>
        <v>70114.62755461593</v>
      </c>
      <c r="L641" s="306">
        <v>2838</v>
      </c>
      <c r="M641" s="310">
        <f>Table24[[#This Row],[O - DEMAND]]/950</f>
        <v>2.9873684210526315</v>
      </c>
      <c r="N641" s="306">
        <f>IFERROR(VLOOKUP(Table24[[#This Row],[ROUTE]],DEMAND!A:F,5,FALSE),0)</f>
        <v>2962</v>
      </c>
      <c r="O641" s="306">
        <f>IFERROR(VLOOKUP(Table24[[#This Row],[ROUTE]],DEMAND!A:F,6,FALSE),0)</f>
        <v>112</v>
      </c>
      <c r="P641" s="306">
        <f>ROUNDDOWN(Table24[[#This Row],[R-DEMAND]]/950,0)</f>
        <v>0</v>
      </c>
      <c r="Q641" s="306">
        <f>Table24[[#This Row],[ADD ACC
(475/950)]]*Table24[[#This Row],[Duration
(A359)]]</f>
        <v>0</v>
      </c>
      <c r="R641" s="307">
        <f>IFERROR(VLOOKUP(Table24[[#This Row],[ROUTE]],PRICING!A:B,2,FALSE),0)</f>
        <v>2142</v>
      </c>
      <c r="S641" s="308">
        <f>Table24[[#This Row],[C_DEMAND]]-Table24[[#This Row],[R-DEMAND]]</f>
        <v>2850</v>
      </c>
      <c r="T641" s="307">
        <f>Table24[[#This Row],[SEATS SOLD]]*Table24[[#This Row],[ECO SEAT]]</f>
        <v>6104700</v>
      </c>
      <c r="U641" s="307">
        <f>Table24[[#This Row],[SEATS SOLD]]*(IFERROR(VLOOKUP(Table24[[#This Row],[ROUTE]],PRICING!A:C,3,FALSE),0))</f>
        <v>7019550</v>
      </c>
      <c r="V641" s="307">
        <f>Table24[[#This Row],[SEAT REV]]-Table24[[#This Row],[SEAT REV
(IF IDEAL $)]]</f>
        <v>-914850</v>
      </c>
    </row>
    <row r="642" spans="1:22" customFormat="1" x14ac:dyDescent="0.25">
      <c r="A642" s="306" t="s">
        <v>18086</v>
      </c>
      <c r="B642" s="306" t="s">
        <v>3836</v>
      </c>
      <c r="C642" s="306" t="s">
        <v>2</v>
      </c>
      <c r="D642" s="26">
        <v>2</v>
      </c>
      <c r="E642" s="312" t="s">
        <v>3834</v>
      </c>
      <c r="F642" s="306" t="str">
        <f>VLOOKUP(Table24[[#This Row],[Country]],Table10[[COUNTRY NAME]:[CONTINENT CODE]],3,FALSE)</f>
        <v>SA</v>
      </c>
      <c r="G642" s="312" t="s">
        <v>13254</v>
      </c>
      <c r="H642" s="309">
        <v>2361</v>
      </c>
      <c r="I642" s="310">
        <v>7.25</v>
      </c>
      <c r="J642" s="307">
        <v>128649319</v>
      </c>
      <c r="K642" s="307">
        <f>IFERROR(Table24[[#This Row],[ROUTE COST]]/Table24[[#This Row],[O - DEMAND]],0)</f>
        <v>45459.123321554769</v>
      </c>
      <c r="L642" s="306">
        <v>2830</v>
      </c>
      <c r="M642" s="310">
        <f>Table24[[#This Row],[O - DEMAND]]/950</f>
        <v>2.9789473684210526</v>
      </c>
      <c r="N642" s="306">
        <f>IFERROR(VLOOKUP(Table24[[#This Row],[ROUTE]],DEMAND!A:F,5,FALSE),0)</f>
        <v>2963</v>
      </c>
      <c r="O642" s="306">
        <f>IFERROR(VLOOKUP(Table24[[#This Row],[ROUTE]],DEMAND!A:F,6,FALSE),0)</f>
        <v>113</v>
      </c>
      <c r="P642" s="306">
        <f>ROUNDDOWN(Table24[[#This Row],[R-DEMAND]]/950,0)</f>
        <v>0</v>
      </c>
      <c r="Q642" s="306">
        <f>Table24[[#This Row],[ADD ACC
(475/950)]]*Table24[[#This Row],[Duration
(A359)]]</f>
        <v>0</v>
      </c>
      <c r="R642" s="307">
        <f>IFERROR(VLOOKUP(Table24[[#This Row],[ROUTE]],PRICING!A:B,2,FALSE),0)</f>
        <v>731</v>
      </c>
      <c r="S642" s="308">
        <f>Table24[[#This Row],[C_DEMAND]]-Table24[[#This Row],[R-DEMAND]]</f>
        <v>2850</v>
      </c>
      <c r="T642" s="307">
        <f>Table24[[#This Row],[SEATS SOLD]]*Table24[[#This Row],[ECO SEAT]]</f>
        <v>2083350</v>
      </c>
      <c r="U642" s="307">
        <f>Table24[[#This Row],[SEATS SOLD]]*(IFERROR(VLOOKUP(Table24[[#This Row],[ROUTE]],PRICING!A:C,3,FALSE),0))</f>
        <v>2425350</v>
      </c>
      <c r="V642" s="307">
        <f>Table24[[#This Row],[SEAT REV]]-Table24[[#This Row],[SEAT REV
(IF IDEAL $)]]</f>
        <v>-342000</v>
      </c>
    </row>
    <row r="643" spans="1:22" customFormat="1" x14ac:dyDescent="0.25">
      <c r="A643" s="306" t="s">
        <v>17305</v>
      </c>
      <c r="B643" s="306" t="s">
        <v>4849</v>
      </c>
      <c r="C643" s="306" t="s">
        <v>2</v>
      </c>
      <c r="D643" s="26">
        <v>3</v>
      </c>
      <c r="E643" s="312" t="s">
        <v>700</v>
      </c>
      <c r="F643" s="306" t="str">
        <f>VLOOKUP(Table24[[#This Row],[Country]],Table10[[COUNTRY NAME]:[CONTINENT CODE]],3,FALSE)</f>
        <v>AS</v>
      </c>
      <c r="G643" s="312" t="s">
        <v>6907</v>
      </c>
      <c r="H643" s="309">
        <v>10392</v>
      </c>
      <c r="I643" s="310">
        <v>25</v>
      </c>
      <c r="J643" s="307">
        <v>218789579</v>
      </c>
      <c r="K643" s="307">
        <f>IFERROR(Table24[[#This Row],[ROUTE COST]]/Table24[[#This Row],[O - DEMAND]],0)</f>
        <v>59648.194929116682</v>
      </c>
      <c r="L643" s="306">
        <v>3668</v>
      </c>
      <c r="M643" s="310">
        <f>Table24[[#This Row],[O - DEMAND]]/950</f>
        <v>3.8610526315789473</v>
      </c>
      <c r="N643" s="306">
        <f>IFERROR(VLOOKUP(Table24[[#This Row],[ROUTE]],DEMAND!A:F,5,FALSE),0)</f>
        <v>3913</v>
      </c>
      <c r="O643" s="306">
        <f>IFERROR(VLOOKUP(Table24[[#This Row],[ROUTE]],DEMAND!A:F,6,FALSE),0)</f>
        <v>113</v>
      </c>
      <c r="P643" s="306">
        <f>ROUNDDOWN(Table24[[#This Row],[R-DEMAND]]/950,0)</f>
        <v>0</v>
      </c>
      <c r="Q643" s="306">
        <f>Table24[[#This Row],[ADD ACC
(475/950)]]*Table24[[#This Row],[Duration
(A359)]]</f>
        <v>0</v>
      </c>
      <c r="R643" s="307">
        <f>IFERROR(VLOOKUP(Table24[[#This Row],[ROUTE]],PRICING!A:B,2,FALSE),0)</f>
        <v>2672</v>
      </c>
      <c r="S643" s="308">
        <f>Table24[[#This Row],[C_DEMAND]]-Table24[[#This Row],[R-DEMAND]]</f>
        <v>3800</v>
      </c>
      <c r="T643" s="307">
        <f>Table24[[#This Row],[SEATS SOLD]]*Table24[[#This Row],[ECO SEAT]]</f>
        <v>10153600</v>
      </c>
      <c r="U643" s="307">
        <f>Table24[[#This Row],[SEATS SOLD]]*(IFERROR(VLOOKUP(Table24[[#This Row],[ROUTE]],PRICING!A:C,3,FALSE),0))</f>
        <v>12695800</v>
      </c>
      <c r="V643" s="307">
        <f>Table24[[#This Row],[SEAT REV]]-Table24[[#This Row],[SEAT REV
(IF IDEAL $)]]</f>
        <v>-2542200</v>
      </c>
    </row>
    <row r="644" spans="1:22" customFormat="1" x14ac:dyDescent="0.25">
      <c r="A644" s="306" t="s">
        <v>17360</v>
      </c>
      <c r="B644" s="306" t="s">
        <v>3856</v>
      </c>
      <c r="C644" s="306" t="s">
        <v>2</v>
      </c>
      <c r="D644" s="26">
        <v>2</v>
      </c>
      <c r="E644" s="312" t="s">
        <v>567</v>
      </c>
      <c r="F644" s="306" t="str">
        <f>VLOOKUP(Table24[[#This Row],[Country]],Table10[[COUNTRY NAME]:[CONTINENT CODE]],3,FALSE)</f>
        <v>AS</v>
      </c>
      <c r="G644" s="312" t="s">
        <v>16847</v>
      </c>
      <c r="H644" s="309">
        <v>12429</v>
      </c>
      <c r="I644" s="310">
        <v>29.5</v>
      </c>
      <c r="J644" s="307">
        <v>229686798</v>
      </c>
      <c r="K644" s="307">
        <f>IFERROR(Table24[[#This Row],[ROUTE COST]]/Table24[[#This Row],[O - DEMAND]],0)</f>
        <v>82177.74525939177</v>
      </c>
      <c r="L644" s="306">
        <v>2795</v>
      </c>
      <c r="M644" s="310">
        <f>Table24[[#This Row],[O - DEMAND]]/950</f>
        <v>2.9421052631578948</v>
      </c>
      <c r="N644" s="306">
        <f>IFERROR(VLOOKUP(Table24[[#This Row],[ROUTE]],DEMAND!A:F,5,FALSE),0)</f>
        <v>2963</v>
      </c>
      <c r="O644" s="306">
        <f>IFERROR(VLOOKUP(Table24[[#This Row],[ROUTE]],DEMAND!A:F,6,FALSE),0)</f>
        <v>113</v>
      </c>
      <c r="P644" s="306">
        <f>ROUNDDOWN(Table24[[#This Row],[R-DEMAND]]/950,0)</f>
        <v>0</v>
      </c>
      <c r="Q644" s="306">
        <f>Table24[[#This Row],[ADD ACC
(475/950)]]*Table24[[#This Row],[Duration
(A359)]]</f>
        <v>0</v>
      </c>
      <c r="R644" s="307">
        <f>IFERROR(VLOOKUP(Table24[[#This Row],[ROUTE]],PRICING!A:B,2,FALSE),0)</f>
        <v>3257</v>
      </c>
      <c r="S644" s="308">
        <f>Table24[[#This Row],[C_DEMAND]]-Table24[[#This Row],[R-DEMAND]]</f>
        <v>2850</v>
      </c>
      <c r="T644" s="307">
        <f>Table24[[#This Row],[SEATS SOLD]]*Table24[[#This Row],[ECO SEAT]]</f>
        <v>9282450</v>
      </c>
      <c r="U644" s="307">
        <f>Table24[[#This Row],[SEATS SOLD]]*(IFERROR(VLOOKUP(Table24[[#This Row],[ROUTE]],PRICING!A:C,3,FALSE),0))</f>
        <v>11320200</v>
      </c>
      <c r="V644" s="307">
        <f>Table24[[#This Row],[SEAT REV]]-Table24[[#This Row],[SEAT REV
(IF IDEAL $)]]</f>
        <v>-2037750</v>
      </c>
    </row>
    <row r="645" spans="1:22" customFormat="1" x14ac:dyDescent="0.25">
      <c r="A645" s="306" t="s">
        <v>18066</v>
      </c>
      <c r="B645" s="306" t="s">
        <v>443</v>
      </c>
      <c r="C645" s="306" t="s">
        <v>2</v>
      </c>
      <c r="D645" s="26">
        <v>2</v>
      </c>
      <c r="E645" s="312" t="s">
        <v>2395</v>
      </c>
      <c r="F645" s="306" t="str">
        <f>VLOOKUP(Table24[[#This Row],[Country]],Table10[[COUNTRY NAME]:[CONTINENT CODE]],3,FALSE)</f>
        <v>SA</v>
      </c>
      <c r="G645" s="312" t="s">
        <v>13233</v>
      </c>
      <c r="H645" s="309">
        <v>5129</v>
      </c>
      <c r="I645" s="310">
        <v>13.5</v>
      </c>
      <c r="J645" s="307">
        <v>159492738</v>
      </c>
      <c r="K645" s="307">
        <f>IFERROR(Table24[[#This Row],[ROUTE COST]]/Table24[[#This Row],[O - DEMAND]],0)</f>
        <v>56982.042872454447</v>
      </c>
      <c r="L645" s="306">
        <v>2799</v>
      </c>
      <c r="M645" s="310">
        <f>Table24[[#This Row],[O - DEMAND]]/950</f>
        <v>2.946315789473684</v>
      </c>
      <c r="N645" s="306">
        <f>IFERROR(VLOOKUP(Table24[[#This Row],[ROUTE]],DEMAND!A:F,5,FALSE),0)</f>
        <v>2967</v>
      </c>
      <c r="O645" s="306">
        <f>IFERROR(VLOOKUP(Table24[[#This Row],[ROUTE]],DEMAND!A:F,6,FALSE),0)</f>
        <v>117</v>
      </c>
      <c r="P645" s="306">
        <f>ROUNDDOWN(Table24[[#This Row],[R-DEMAND]]/950,0)</f>
        <v>0</v>
      </c>
      <c r="Q645" s="306">
        <f>Table24[[#This Row],[ADD ACC
(475/950)]]*Table24[[#This Row],[Duration
(A359)]]</f>
        <v>0</v>
      </c>
      <c r="R645" s="307">
        <f>IFERROR(VLOOKUP(Table24[[#This Row],[ROUTE]],PRICING!A:B,2,FALSE),0)</f>
        <v>1401</v>
      </c>
      <c r="S645" s="308">
        <f>Table24[[#This Row],[C_DEMAND]]-Table24[[#This Row],[R-DEMAND]]</f>
        <v>2850</v>
      </c>
      <c r="T645" s="307">
        <f>Table24[[#This Row],[SEATS SOLD]]*Table24[[#This Row],[ECO SEAT]]</f>
        <v>3992850</v>
      </c>
      <c r="U645" s="307">
        <f>Table24[[#This Row],[SEATS SOLD]]*(IFERROR(VLOOKUP(Table24[[#This Row],[ROUTE]],PRICING!A:C,3,FALSE),0))</f>
        <v>4870650</v>
      </c>
      <c r="V645" s="307">
        <f>Table24[[#This Row],[SEAT REV]]-Table24[[#This Row],[SEAT REV
(IF IDEAL $)]]</f>
        <v>-877800</v>
      </c>
    </row>
    <row r="646" spans="1:22" customFormat="1" x14ac:dyDescent="0.25">
      <c r="A646" s="306" t="s">
        <v>17732</v>
      </c>
      <c r="B646" s="306" t="s">
        <v>5721</v>
      </c>
      <c r="C646" s="306" t="s">
        <v>2</v>
      </c>
      <c r="D646" s="26">
        <v>5</v>
      </c>
      <c r="E646" s="312" t="s">
        <v>514</v>
      </c>
      <c r="F646" s="306" t="str">
        <f>VLOOKUP(Table24[[#This Row],[Country]],Table10[[COUNTRY NAME]:[CONTINENT CODE]],3,FALSE)</f>
        <v>NA</v>
      </c>
      <c r="G646" s="312" t="s">
        <v>13171</v>
      </c>
      <c r="H646" s="309">
        <v>2874</v>
      </c>
      <c r="I646" s="310">
        <v>8.5</v>
      </c>
      <c r="J646" s="307">
        <v>180789269</v>
      </c>
      <c r="K646" s="307">
        <f>IFERROR(Table24[[#This Row],[ROUTE COST]]/Table24[[#This Row],[O - DEMAND]],0)</f>
        <v>48018.398140770252</v>
      </c>
      <c r="L646" s="306">
        <v>3765</v>
      </c>
      <c r="M646" s="310">
        <f>Table24[[#This Row],[O - DEMAND]]/950</f>
        <v>3.9631578947368422</v>
      </c>
      <c r="N646" s="306">
        <f>IFERROR(VLOOKUP(Table24[[#This Row],[ROUTE]],DEMAND!A:F,5,FALSE),0)</f>
        <v>3917</v>
      </c>
      <c r="O646" s="306">
        <f>IFERROR(VLOOKUP(Table24[[#This Row],[ROUTE]],DEMAND!A:F,6,FALSE),0)</f>
        <v>117</v>
      </c>
      <c r="P646" s="306">
        <f>ROUNDDOWN(Table24[[#This Row],[R-DEMAND]]/950,0)</f>
        <v>0</v>
      </c>
      <c r="Q646" s="306">
        <f>Table24[[#This Row],[ADD ACC
(475/950)]]*Table24[[#This Row],[Duration
(A359)]]</f>
        <v>0</v>
      </c>
      <c r="R646" s="307">
        <f>IFERROR(VLOOKUP(Table24[[#This Row],[ROUTE]],PRICING!A:B,2,FALSE),0)</f>
        <v>888</v>
      </c>
      <c r="S646" s="308">
        <f>Table24[[#This Row],[C_DEMAND]]-Table24[[#This Row],[R-DEMAND]]</f>
        <v>3800</v>
      </c>
      <c r="T646" s="307">
        <f>Table24[[#This Row],[SEATS SOLD]]*Table24[[#This Row],[ECO SEAT]]</f>
        <v>3374400</v>
      </c>
      <c r="U646" s="307">
        <f>Table24[[#This Row],[SEATS SOLD]]*(IFERROR(VLOOKUP(Table24[[#This Row],[ROUTE]],PRICING!A:C,3,FALSE),0))</f>
        <v>3838000</v>
      </c>
      <c r="V646" s="307">
        <f>Table24[[#This Row],[SEAT REV]]-Table24[[#This Row],[SEAT REV
(IF IDEAL $)]]</f>
        <v>-463600</v>
      </c>
    </row>
    <row r="647" spans="1:22" customFormat="1" x14ac:dyDescent="0.25">
      <c r="A647" s="306" t="s">
        <v>17749</v>
      </c>
      <c r="B647" s="306" t="s">
        <v>12</v>
      </c>
      <c r="C647" s="306" t="s">
        <v>2</v>
      </c>
      <c r="D647" s="26">
        <v>3</v>
      </c>
      <c r="E647" s="312" t="s">
        <v>514</v>
      </c>
      <c r="F647" s="306" t="str">
        <f>VLOOKUP(Table24[[#This Row],[Country]],Table10[[COUNTRY NAME]:[CONTINENT CODE]],3,FALSE)</f>
        <v>NA</v>
      </c>
      <c r="G647" s="312" t="s">
        <v>13170</v>
      </c>
      <c r="H647" s="309">
        <v>2990</v>
      </c>
      <c r="I647" s="310">
        <v>8.75</v>
      </c>
      <c r="J647" s="307">
        <v>154491741</v>
      </c>
      <c r="K647" s="307">
        <f>IFERROR(Table24[[#This Row],[ROUTE COST]]/Table24[[#This Row],[O - DEMAND]],0)</f>
        <v>54475.226022566996</v>
      </c>
      <c r="L647" s="306">
        <v>2836</v>
      </c>
      <c r="M647" s="310">
        <f>Table24[[#This Row],[O - DEMAND]]/950</f>
        <v>2.9852631578947371</v>
      </c>
      <c r="N647" s="306">
        <f>IFERROR(VLOOKUP(Table24[[#This Row],[ROUTE]],DEMAND!A:F,5,FALSE),0)</f>
        <v>2969</v>
      </c>
      <c r="O647" s="306">
        <f>IFERROR(VLOOKUP(Table24[[#This Row],[ROUTE]],DEMAND!A:F,6,FALSE),0)</f>
        <v>119</v>
      </c>
      <c r="P647" s="306">
        <f>ROUNDDOWN(Table24[[#This Row],[R-DEMAND]]/950,0)</f>
        <v>0</v>
      </c>
      <c r="Q647" s="306">
        <f>Table24[[#This Row],[ADD ACC
(475/950)]]*Table24[[#This Row],[Duration
(A359)]]</f>
        <v>0</v>
      </c>
      <c r="R647" s="307">
        <f>IFERROR(VLOOKUP(Table24[[#This Row],[ROUTE]],PRICING!A:B,2,FALSE),0)</f>
        <v>899</v>
      </c>
      <c r="S647" s="308">
        <f>Table24[[#This Row],[C_DEMAND]]-Table24[[#This Row],[R-DEMAND]]</f>
        <v>2850</v>
      </c>
      <c r="T647" s="307">
        <f>Table24[[#This Row],[SEATS SOLD]]*Table24[[#This Row],[ECO SEAT]]</f>
        <v>2562150</v>
      </c>
      <c r="U647" s="307">
        <f>Table24[[#This Row],[SEATS SOLD]]*(IFERROR(VLOOKUP(Table24[[#This Row],[ROUTE]],PRICING!A:C,3,FALSE),0))</f>
        <v>2981100</v>
      </c>
      <c r="V647" s="307">
        <f>Table24[[#This Row],[SEAT REV]]-Table24[[#This Row],[SEAT REV
(IF IDEAL $)]]</f>
        <v>-418950</v>
      </c>
    </row>
    <row r="648" spans="1:22" customFormat="1" x14ac:dyDescent="0.25">
      <c r="A648" s="306" t="s">
        <v>17286</v>
      </c>
      <c r="B648" s="306" t="s">
        <v>366</v>
      </c>
      <c r="C648" s="306" t="s">
        <v>2</v>
      </c>
      <c r="D648" s="26">
        <v>3</v>
      </c>
      <c r="E648" s="312" t="s">
        <v>14</v>
      </c>
      <c r="F648" s="306" t="str">
        <f>VLOOKUP(Table24[[#This Row],[Country]],Table10[[COUNTRY NAME]:[CONTINENT CODE]],3,FALSE)</f>
        <v>AS</v>
      </c>
      <c r="G648" s="312" t="s">
        <v>12002</v>
      </c>
      <c r="H648" s="309">
        <v>12823</v>
      </c>
      <c r="I648" s="310">
        <v>30.25</v>
      </c>
      <c r="J648" s="307">
        <v>250884055</v>
      </c>
      <c r="K648" s="307">
        <f>IFERROR(Table24[[#This Row],[ROUTE COST]]/Table24[[#This Row],[O - DEMAND]],0)</f>
        <v>66777.762842693643</v>
      </c>
      <c r="L648" s="306">
        <v>3757</v>
      </c>
      <c r="M648" s="310">
        <f>Table24[[#This Row],[O - DEMAND]]/950</f>
        <v>3.9547368421052633</v>
      </c>
      <c r="N648" s="306">
        <f>IFERROR(VLOOKUP(Table24[[#This Row],[ROUTE]],DEMAND!A:F,5,FALSE),0)</f>
        <v>3920</v>
      </c>
      <c r="O648" s="306">
        <f>IFERROR(VLOOKUP(Table24[[#This Row],[ROUTE]],DEMAND!A:F,6,FALSE),0)</f>
        <v>120</v>
      </c>
      <c r="P648" s="306">
        <f>ROUNDDOWN(Table24[[#This Row],[R-DEMAND]]/950,0)</f>
        <v>0</v>
      </c>
      <c r="Q648" s="306">
        <f>Table24[[#This Row],[ADD ACC
(475/950)]]*Table24[[#This Row],[Duration
(A359)]]</f>
        <v>0</v>
      </c>
      <c r="R648" s="307">
        <f>IFERROR(VLOOKUP(Table24[[#This Row],[ROUTE]],PRICING!A:B,2,FALSE),0)</f>
        <v>3562</v>
      </c>
      <c r="S648" s="308">
        <f>Table24[[#This Row],[C_DEMAND]]-Table24[[#This Row],[R-DEMAND]]</f>
        <v>3800</v>
      </c>
      <c r="T648" s="307">
        <f>Table24[[#This Row],[SEATS SOLD]]*Table24[[#This Row],[ECO SEAT]]</f>
        <v>13535600</v>
      </c>
      <c r="U648" s="307">
        <f>Table24[[#This Row],[SEATS SOLD]]*(IFERROR(VLOOKUP(Table24[[#This Row],[ROUTE]],PRICING!A:C,3,FALSE),0))</f>
        <v>15561000</v>
      </c>
      <c r="V648" s="307">
        <f>Table24[[#This Row],[SEAT REV]]-Table24[[#This Row],[SEAT REV
(IF IDEAL $)]]</f>
        <v>-2025400</v>
      </c>
    </row>
    <row r="649" spans="1:22" customFormat="1" x14ac:dyDescent="0.25">
      <c r="A649" s="306" t="s">
        <v>17827</v>
      </c>
      <c r="B649" s="306" t="s">
        <v>5739</v>
      </c>
      <c r="C649" s="306" t="s">
        <v>2</v>
      </c>
      <c r="D649" s="26">
        <v>5</v>
      </c>
      <c r="E649" s="312" t="s">
        <v>11732</v>
      </c>
      <c r="F649" s="306" t="str">
        <f>VLOOKUP(Table24[[#This Row],[Country]],Table10[[COUNTRY NAME]:[CONTINENT CODE]],3,FALSE)</f>
        <v>NA - US</v>
      </c>
      <c r="G649" s="312" t="s">
        <v>13274</v>
      </c>
      <c r="H649" s="309">
        <v>4613</v>
      </c>
      <c r="I649" s="310">
        <v>12.25</v>
      </c>
      <c r="J649" s="307">
        <v>203717648</v>
      </c>
      <c r="K649" s="307">
        <f>IFERROR(Table24[[#This Row],[ROUTE COST]]/Table24[[#This Row],[O - DEMAND]],0)</f>
        <v>70858.312347826082</v>
      </c>
      <c r="L649" s="306">
        <v>2875</v>
      </c>
      <c r="M649" s="310">
        <f>Table24[[#This Row],[O - DEMAND]]/950</f>
        <v>3.0263157894736841</v>
      </c>
      <c r="N649" s="306">
        <f>IFERROR(VLOOKUP(Table24[[#This Row],[ROUTE]],DEMAND!A:F,5,FALSE),0)</f>
        <v>2971</v>
      </c>
      <c r="O649" s="306">
        <f>IFERROR(VLOOKUP(Table24[[#This Row],[ROUTE]],DEMAND!A:F,6,FALSE),0)</f>
        <v>121</v>
      </c>
      <c r="P649" s="306">
        <f>ROUNDDOWN(Table24[[#This Row],[R-DEMAND]]/950,0)</f>
        <v>0</v>
      </c>
      <c r="Q649" s="306">
        <f>Table24[[#This Row],[ADD ACC
(475/950)]]*Table24[[#This Row],[Duration
(A359)]]</f>
        <v>0</v>
      </c>
      <c r="R649" s="307">
        <f>IFERROR(VLOOKUP(Table24[[#This Row],[ROUTE]],PRICING!A:B,2,FALSE),0)</f>
        <v>1395</v>
      </c>
      <c r="S649" s="308">
        <f>Table24[[#This Row],[C_DEMAND]]-Table24[[#This Row],[R-DEMAND]]</f>
        <v>2850</v>
      </c>
      <c r="T649" s="307">
        <f>Table24[[#This Row],[SEATS SOLD]]*Table24[[#This Row],[ECO SEAT]]</f>
        <v>3975750</v>
      </c>
      <c r="U649" s="307">
        <f>Table24[[#This Row],[SEATS SOLD]]*(IFERROR(VLOOKUP(Table24[[#This Row],[ROUTE]],PRICING!A:C,3,FALSE),0))</f>
        <v>4417500</v>
      </c>
      <c r="V649" s="307">
        <f>Table24[[#This Row],[SEAT REV]]-Table24[[#This Row],[SEAT REV
(IF IDEAL $)]]</f>
        <v>-441750</v>
      </c>
    </row>
    <row r="650" spans="1:22" customFormat="1" x14ac:dyDescent="0.25">
      <c r="A650" s="306" t="s">
        <v>18083</v>
      </c>
      <c r="B650" s="306" t="s">
        <v>2806</v>
      </c>
      <c r="C650" s="306" t="s">
        <v>2</v>
      </c>
      <c r="D650" s="26">
        <v>2</v>
      </c>
      <c r="E650" s="312" t="s">
        <v>714</v>
      </c>
      <c r="F650" s="306" t="str">
        <f>VLOOKUP(Table24[[#This Row],[Country]],Table10[[COUNTRY NAME]:[CONTINENT CODE]],3,FALSE)</f>
        <v>SA</v>
      </c>
      <c r="G650" s="312" t="s">
        <v>16989</v>
      </c>
      <c r="H650" s="309">
        <v>2940</v>
      </c>
      <c r="I650" s="310">
        <v>8.5</v>
      </c>
      <c r="J650" s="307">
        <v>128783527</v>
      </c>
      <c r="K650" s="307">
        <f>IFERROR(Table24[[#This Row],[ROUTE COST]]/Table24[[#This Row],[O - DEMAND]],0)</f>
        <v>45797.840327169273</v>
      </c>
      <c r="L650" s="306">
        <v>2812</v>
      </c>
      <c r="M650" s="310">
        <f>Table24[[#This Row],[O - DEMAND]]/950</f>
        <v>2.96</v>
      </c>
      <c r="N650" s="306">
        <f>IFERROR(VLOOKUP(Table24[[#This Row],[ROUTE]],DEMAND!A:F,5,FALSE),0)</f>
        <v>2972</v>
      </c>
      <c r="O650" s="306">
        <f>IFERROR(VLOOKUP(Table24[[#This Row],[ROUTE]],DEMAND!A:F,6,FALSE),0)</f>
        <v>122</v>
      </c>
      <c r="P650" s="306">
        <f>ROUNDDOWN(Table24[[#This Row],[R-DEMAND]]/950,0)</f>
        <v>0</v>
      </c>
      <c r="Q650" s="306">
        <f>Table24[[#This Row],[ADD ACC
(475/950)]]*Table24[[#This Row],[Duration
(A359)]]</f>
        <v>0</v>
      </c>
      <c r="R650" s="307">
        <f>IFERROR(VLOOKUP(Table24[[#This Row],[ROUTE]],PRICING!A:B,2,FALSE),0)</f>
        <v>855</v>
      </c>
      <c r="S650" s="308">
        <f>Table24[[#This Row],[C_DEMAND]]-Table24[[#This Row],[R-DEMAND]]</f>
        <v>2850</v>
      </c>
      <c r="T650" s="307">
        <f>Table24[[#This Row],[SEATS SOLD]]*Table24[[#This Row],[ECO SEAT]]</f>
        <v>2436750</v>
      </c>
      <c r="U650" s="307">
        <f>Table24[[#This Row],[SEATS SOLD]]*(IFERROR(VLOOKUP(Table24[[#This Row],[ROUTE]],PRICING!A:C,3,FALSE),0))</f>
        <v>2938350</v>
      </c>
      <c r="V650" s="307">
        <f>Table24[[#This Row],[SEAT REV]]-Table24[[#This Row],[SEAT REV
(IF IDEAL $)]]</f>
        <v>-501600</v>
      </c>
    </row>
    <row r="651" spans="1:22" customFormat="1" x14ac:dyDescent="0.25">
      <c r="A651" s="306" t="s">
        <v>17117</v>
      </c>
      <c r="B651" s="306" t="s">
        <v>3515</v>
      </c>
      <c r="C651" s="306" t="s">
        <v>2</v>
      </c>
      <c r="D651" s="26">
        <v>2</v>
      </c>
      <c r="E651" s="312" t="s">
        <v>761</v>
      </c>
      <c r="F651" s="306" t="str">
        <f>VLOOKUP(Table24[[#This Row],[Country]],Table10[[COUNTRY NAME]:[CONTINENT CODE]],3,FALSE)</f>
        <v>AF</v>
      </c>
      <c r="G651" s="312" t="s">
        <v>8016</v>
      </c>
      <c r="H651" s="309">
        <v>7574</v>
      </c>
      <c r="I651" s="310">
        <v>18.75</v>
      </c>
      <c r="J651" s="307">
        <v>181383793</v>
      </c>
      <c r="K651" s="307">
        <f>IFERROR(Table24[[#This Row],[ROUTE COST]]/Table24[[#This Row],[O - DEMAND]],0)</f>
        <v>47896.433324531288</v>
      </c>
      <c r="L651" s="306">
        <v>3787</v>
      </c>
      <c r="M651" s="310">
        <f>Table24[[#This Row],[O - DEMAND]]/950</f>
        <v>3.986315789473684</v>
      </c>
      <c r="N651" s="306">
        <f>IFERROR(VLOOKUP(Table24[[#This Row],[ROUTE]],DEMAND!A:F,5,FALSE),0)</f>
        <v>3926</v>
      </c>
      <c r="O651" s="306">
        <f>IFERROR(VLOOKUP(Table24[[#This Row],[ROUTE]],DEMAND!A:F,6,FALSE),0)</f>
        <v>126</v>
      </c>
      <c r="P651" s="306">
        <f>ROUNDDOWN(Table24[[#This Row],[R-DEMAND]]/950,0)</f>
        <v>0</v>
      </c>
      <c r="Q651" s="306">
        <f>Table24[[#This Row],[ADD ACC
(475/950)]]*Table24[[#This Row],[Duration
(A359)]]</f>
        <v>0</v>
      </c>
      <c r="R651" s="307">
        <f>IFERROR(VLOOKUP(Table24[[#This Row],[ROUTE]],PRICING!A:B,2,FALSE),0)</f>
        <v>2195</v>
      </c>
      <c r="S651" s="308">
        <f>Table24[[#This Row],[C_DEMAND]]-Table24[[#This Row],[R-DEMAND]]</f>
        <v>3800</v>
      </c>
      <c r="T651" s="307">
        <f>Table24[[#This Row],[SEATS SOLD]]*Table24[[#This Row],[ECO SEAT]]</f>
        <v>8341000</v>
      </c>
      <c r="U651" s="307">
        <f>Table24[[#This Row],[SEATS SOLD]]*(IFERROR(VLOOKUP(Table24[[#This Row],[ROUTE]],PRICING!A:C,3,FALSE),0))</f>
        <v>9374600</v>
      </c>
      <c r="V651" s="307">
        <f>Table24[[#This Row],[SEAT REV]]-Table24[[#This Row],[SEAT REV
(IF IDEAL $)]]</f>
        <v>-1033600</v>
      </c>
    </row>
    <row r="652" spans="1:22" customFormat="1" x14ac:dyDescent="0.25">
      <c r="A652" s="306" t="s">
        <v>17751</v>
      </c>
      <c r="B652" s="306" t="s">
        <v>5121</v>
      </c>
      <c r="C652" s="306" t="s">
        <v>2</v>
      </c>
      <c r="D652" s="26">
        <v>3</v>
      </c>
      <c r="E652" s="312" t="s">
        <v>5119</v>
      </c>
      <c r="F652" s="306" t="str">
        <f>VLOOKUP(Table24[[#This Row],[Country]],Table10[[COUNTRY NAME]:[CONTINENT CODE]],3,FALSE)</f>
        <v>NA</v>
      </c>
      <c r="G652" s="312" t="s">
        <v>13207</v>
      </c>
      <c r="H652" s="309">
        <v>1992</v>
      </c>
      <c r="I652" s="310">
        <v>6.5</v>
      </c>
      <c r="J652" s="307">
        <v>139403597</v>
      </c>
      <c r="K652" s="307">
        <f>IFERROR(Table24[[#This Row],[ROUTE COST]]/Table24[[#This Row],[O - DEMAND]],0)</f>
        <v>37045.866861546638</v>
      </c>
      <c r="L652" s="306">
        <v>3763</v>
      </c>
      <c r="M652" s="310">
        <f>Table24[[#This Row],[O - DEMAND]]/950</f>
        <v>3.9610526315789474</v>
      </c>
      <c r="N652" s="306">
        <f>IFERROR(VLOOKUP(Table24[[#This Row],[ROUTE]],DEMAND!A:F,5,FALSE),0)</f>
        <v>3926</v>
      </c>
      <c r="O652" s="306">
        <f>IFERROR(VLOOKUP(Table24[[#This Row],[ROUTE]],DEMAND!A:F,6,FALSE),0)</f>
        <v>126</v>
      </c>
      <c r="P652" s="306">
        <f>ROUNDDOWN(Table24[[#This Row],[R-DEMAND]]/950,0)</f>
        <v>0</v>
      </c>
      <c r="Q652" s="306">
        <f>Table24[[#This Row],[ADD ACC
(475/950)]]*Table24[[#This Row],[Duration
(A359)]]</f>
        <v>0</v>
      </c>
      <c r="R652" s="307">
        <f>IFERROR(VLOOKUP(Table24[[#This Row],[ROUTE]],PRICING!A:B,2,FALSE),0)</f>
        <v>641</v>
      </c>
      <c r="S652" s="308">
        <f>Table24[[#This Row],[C_DEMAND]]-Table24[[#This Row],[R-DEMAND]]</f>
        <v>3800</v>
      </c>
      <c r="T652" s="307">
        <f>Table24[[#This Row],[SEATS SOLD]]*Table24[[#This Row],[ECO SEAT]]</f>
        <v>2435800</v>
      </c>
      <c r="U652" s="307">
        <f>Table24[[#This Row],[SEATS SOLD]]*(IFERROR(VLOOKUP(Table24[[#This Row],[ROUTE]],PRICING!A:C,3,FALSE),0))</f>
        <v>2800600</v>
      </c>
      <c r="V652" s="307">
        <f>Table24[[#This Row],[SEAT REV]]-Table24[[#This Row],[SEAT REV
(IF IDEAL $)]]</f>
        <v>-364800</v>
      </c>
    </row>
    <row r="653" spans="1:22" customFormat="1" x14ac:dyDescent="0.25">
      <c r="A653" s="306" t="s">
        <v>17505</v>
      </c>
      <c r="B653" s="306" t="s">
        <v>5530</v>
      </c>
      <c r="C653" s="306" t="s">
        <v>2</v>
      </c>
      <c r="D653" s="26">
        <v>4</v>
      </c>
      <c r="E653" s="312" t="s">
        <v>83</v>
      </c>
      <c r="F653" s="306" t="str">
        <f>VLOOKUP(Table24[[#This Row],[Country]],Table10[[COUNTRY NAME]:[CONTINENT CODE]],3,FALSE)</f>
        <v>EU</v>
      </c>
      <c r="G653" s="312" t="s">
        <v>16924</v>
      </c>
      <c r="H653" s="309">
        <v>6934</v>
      </c>
      <c r="I653" s="310">
        <v>17.25</v>
      </c>
      <c r="J653" s="307">
        <v>201117564</v>
      </c>
      <c r="K653" s="307">
        <f>IFERROR(Table24[[#This Row],[ROUTE COST]]/Table24[[#This Row],[O - DEMAND]],0)</f>
        <v>71368.901348474101</v>
      </c>
      <c r="L653" s="306">
        <v>2818</v>
      </c>
      <c r="M653" s="310">
        <f>Table24[[#This Row],[O - DEMAND]]/950</f>
        <v>2.966315789473684</v>
      </c>
      <c r="N653" s="306">
        <f>IFERROR(VLOOKUP(Table24[[#This Row],[ROUTE]],DEMAND!A:F,5,FALSE),0)</f>
        <v>2978</v>
      </c>
      <c r="O653" s="306">
        <f>IFERROR(VLOOKUP(Table24[[#This Row],[ROUTE]],DEMAND!A:F,6,FALSE),0)</f>
        <v>128</v>
      </c>
      <c r="P653" s="306">
        <f>ROUNDDOWN(Table24[[#This Row],[R-DEMAND]]/950,0)</f>
        <v>0</v>
      </c>
      <c r="Q653" s="306">
        <f>Table24[[#This Row],[ADD ACC
(475/950)]]*Table24[[#This Row],[Duration
(A359)]]</f>
        <v>0</v>
      </c>
      <c r="R653" s="307">
        <f>IFERROR(VLOOKUP(Table24[[#This Row],[ROUTE]],PRICING!A:B,2,FALSE),0)</f>
        <v>1883</v>
      </c>
      <c r="S653" s="308">
        <f>Table24[[#This Row],[C_DEMAND]]-Table24[[#This Row],[R-DEMAND]]</f>
        <v>2850</v>
      </c>
      <c r="T653" s="307">
        <f>Table24[[#This Row],[SEATS SOLD]]*Table24[[#This Row],[ECO SEAT]]</f>
        <v>5366550</v>
      </c>
      <c r="U653" s="307">
        <f>Table24[[#This Row],[SEATS SOLD]]*(IFERROR(VLOOKUP(Table24[[#This Row],[ROUTE]],PRICING!A:C,3,FALSE),0))</f>
        <v>6466650</v>
      </c>
      <c r="V653" s="307">
        <f>Table24[[#This Row],[SEAT REV]]-Table24[[#This Row],[SEAT REV
(IF IDEAL $)]]</f>
        <v>-1100100</v>
      </c>
    </row>
    <row r="654" spans="1:22" customFormat="1" x14ac:dyDescent="0.25">
      <c r="A654" s="306" t="s">
        <v>17162</v>
      </c>
      <c r="B654" s="306" t="s">
        <v>5267</v>
      </c>
      <c r="C654" s="306" t="s">
        <v>2</v>
      </c>
      <c r="D654" s="26">
        <v>3</v>
      </c>
      <c r="E654" s="312" t="s">
        <v>2059</v>
      </c>
      <c r="F654" s="306" t="str">
        <f>VLOOKUP(Table24[[#This Row],[Country]],Table10[[COUNTRY NAME]:[CONTINENT CODE]],3,FALSE)</f>
        <v>AF</v>
      </c>
      <c r="G654" s="312" t="s">
        <v>11753</v>
      </c>
      <c r="H654" s="309">
        <v>8599</v>
      </c>
      <c r="I654" s="310">
        <v>21</v>
      </c>
      <c r="J654" s="307">
        <v>210916613</v>
      </c>
      <c r="K654" s="307">
        <f>IFERROR(Table24[[#This Row],[ROUTE COST]]/Table24[[#This Row],[O - DEMAND]],0)</f>
        <v>45202.874624946424</v>
      </c>
      <c r="L654" s="306">
        <v>4666</v>
      </c>
      <c r="M654" s="310">
        <f>Table24[[#This Row],[O - DEMAND]]/950</f>
        <v>4.9115789473684215</v>
      </c>
      <c r="N654" s="306">
        <f>IFERROR(VLOOKUP(Table24[[#This Row],[ROUTE]],DEMAND!A:F,5,FALSE),0)</f>
        <v>4884</v>
      </c>
      <c r="O654" s="306">
        <f>IFERROR(VLOOKUP(Table24[[#This Row],[ROUTE]],DEMAND!A:F,6,FALSE),0)</f>
        <v>134</v>
      </c>
      <c r="P654" s="306">
        <f>ROUNDDOWN(Table24[[#This Row],[R-DEMAND]]/950,0)</f>
        <v>0</v>
      </c>
      <c r="Q654" s="306">
        <f>Table24[[#This Row],[ADD ACC
(475/950)]]*Table24[[#This Row],[Duration
(A359)]]</f>
        <v>0</v>
      </c>
      <c r="R654" s="307">
        <f>IFERROR(VLOOKUP(Table24[[#This Row],[ROUTE]],PRICING!A:B,2,FALSE),0)</f>
        <v>2395</v>
      </c>
      <c r="S654" s="308">
        <f>Table24[[#This Row],[C_DEMAND]]-Table24[[#This Row],[R-DEMAND]]</f>
        <v>4750</v>
      </c>
      <c r="T654" s="307">
        <f>Table24[[#This Row],[SEATS SOLD]]*Table24[[#This Row],[ECO SEAT]]</f>
        <v>11376250</v>
      </c>
      <c r="U654" s="307">
        <f>Table24[[#This Row],[SEATS SOLD]]*(IFERROR(VLOOKUP(Table24[[#This Row],[ROUTE]],PRICING!A:C,3,FALSE),0))</f>
        <v>13228750</v>
      </c>
      <c r="V654" s="307">
        <f>Table24[[#This Row],[SEAT REV]]-Table24[[#This Row],[SEAT REV
(IF IDEAL $)]]</f>
        <v>-1852500</v>
      </c>
    </row>
    <row r="655" spans="1:22" customFormat="1" x14ac:dyDescent="0.25">
      <c r="A655" s="306" t="s">
        <v>17247</v>
      </c>
      <c r="B655" s="306" t="s">
        <v>5373</v>
      </c>
      <c r="C655" s="306" t="s">
        <v>2</v>
      </c>
      <c r="D655" s="26">
        <v>3</v>
      </c>
      <c r="E655" s="312" t="s">
        <v>14</v>
      </c>
      <c r="F655" s="306" t="str">
        <f>VLOOKUP(Table24[[#This Row],[Country]],Table10[[COUNTRY NAME]:[CONTINENT CODE]],3,FALSE)</f>
        <v>AS</v>
      </c>
      <c r="G655" s="312" t="s">
        <v>12077</v>
      </c>
      <c r="H655" s="309">
        <v>15142</v>
      </c>
      <c r="I655" s="310">
        <v>35.25</v>
      </c>
      <c r="J655" s="307">
        <v>277382373</v>
      </c>
      <c r="K655" s="307">
        <f>IFERROR(Table24[[#This Row],[ROUTE COST]]/Table24[[#This Row],[O - DEMAND]],0)</f>
        <v>96279.89343977785</v>
      </c>
      <c r="L655" s="306">
        <v>2881</v>
      </c>
      <c r="M655" s="310">
        <f>Table24[[#This Row],[O - DEMAND]]/950</f>
        <v>3.0326315789473686</v>
      </c>
      <c r="N655" s="306">
        <f>IFERROR(VLOOKUP(Table24[[#This Row],[ROUTE]],DEMAND!A:F,5,FALSE),0)</f>
        <v>2987</v>
      </c>
      <c r="O655" s="306">
        <f>IFERROR(VLOOKUP(Table24[[#This Row],[ROUTE]],DEMAND!A:F,6,FALSE),0)</f>
        <v>137</v>
      </c>
      <c r="P655" s="306">
        <f>ROUNDDOWN(Table24[[#This Row],[R-DEMAND]]/950,0)</f>
        <v>0</v>
      </c>
      <c r="Q655" s="306">
        <f>Table24[[#This Row],[ADD ACC
(475/950)]]*Table24[[#This Row],[Duration
(A359)]]</f>
        <v>0</v>
      </c>
      <c r="R655" s="307">
        <f>IFERROR(VLOOKUP(Table24[[#This Row],[ROUTE]],PRICING!A:B,2,FALSE),0)</f>
        <v>4284</v>
      </c>
      <c r="S655" s="308">
        <f>Table24[[#This Row],[C_DEMAND]]-Table24[[#This Row],[R-DEMAND]]</f>
        <v>2850</v>
      </c>
      <c r="T655" s="307">
        <f>Table24[[#This Row],[SEATS SOLD]]*Table24[[#This Row],[ECO SEAT]]</f>
        <v>12209400</v>
      </c>
      <c r="U655" s="307">
        <f>Table24[[#This Row],[SEATS SOLD]]*(IFERROR(VLOOKUP(Table24[[#This Row],[ROUTE]],PRICING!A:C,3,FALSE),0))</f>
        <v>13719900</v>
      </c>
      <c r="V655" s="307">
        <f>Table24[[#This Row],[SEAT REV]]-Table24[[#This Row],[SEAT REV
(IF IDEAL $)]]</f>
        <v>-1510500</v>
      </c>
    </row>
    <row r="656" spans="1:22" customFormat="1" x14ac:dyDescent="0.25">
      <c r="A656" s="306" t="s">
        <v>17504</v>
      </c>
      <c r="B656" s="306" t="s">
        <v>5557</v>
      </c>
      <c r="C656" s="306" t="s">
        <v>2</v>
      </c>
      <c r="D656" s="26">
        <v>4</v>
      </c>
      <c r="E656" s="312" t="s">
        <v>83</v>
      </c>
      <c r="F656" s="306" t="str">
        <f>VLOOKUP(Table24[[#This Row],[Country]],Table10[[COUNTRY NAME]:[CONTINENT CODE]],3,FALSE)</f>
        <v>EU</v>
      </c>
      <c r="G656" s="312" t="s">
        <v>16922</v>
      </c>
      <c r="H656" s="309">
        <v>7000</v>
      </c>
      <c r="I656" s="310">
        <v>17.5</v>
      </c>
      <c r="J656" s="307">
        <v>202950134</v>
      </c>
      <c r="K656" s="307">
        <f>IFERROR(Table24[[#This Row],[ROUTE COST]]/Table24[[#This Row],[O - DEMAND]],0)</f>
        <v>71060.9712885154</v>
      </c>
      <c r="L656" s="306">
        <v>2856</v>
      </c>
      <c r="M656" s="310">
        <f>Table24[[#This Row],[O - DEMAND]]/950</f>
        <v>3.0063157894736841</v>
      </c>
      <c r="N656" s="306">
        <f>IFERROR(VLOOKUP(Table24[[#This Row],[ROUTE]],DEMAND!A:F,5,FALSE),0)</f>
        <v>2989</v>
      </c>
      <c r="O656" s="306">
        <f>IFERROR(VLOOKUP(Table24[[#This Row],[ROUTE]],DEMAND!A:F,6,FALSE),0)</f>
        <v>139</v>
      </c>
      <c r="P656" s="306">
        <f>ROUNDDOWN(Table24[[#This Row],[R-DEMAND]]/950,0)</f>
        <v>0</v>
      </c>
      <c r="Q656" s="306">
        <f>Table24[[#This Row],[ADD ACC
(475/950)]]*Table24[[#This Row],[Duration
(A359)]]</f>
        <v>0</v>
      </c>
      <c r="R656" s="307">
        <f>IFERROR(VLOOKUP(Table24[[#This Row],[ROUTE]],PRICING!A:B,2,FALSE),0)</f>
        <v>1969</v>
      </c>
      <c r="S656" s="308">
        <f>Table24[[#This Row],[C_DEMAND]]-Table24[[#This Row],[R-DEMAND]]</f>
        <v>2850</v>
      </c>
      <c r="T656" s="307">
        <f>Table24[[#This Row],[SEATS SOLD]]*Table24[[#This Row],[ECO SEAT]]</f>
        <v>5611650</v>
      </c>
      <c r="U656" s="307">
        <f>Table24[[#This Row],[SEATS SOLD]]*(IFERROR(VLOOKUP(Table24[[#This Row],[ROUTE]],PRICING!A:C,3,FALSE),0))</f>
        <v>6526500</v>
      </c>
      <c r="V656" s="307">
        <f>Table24[[#This Row],[SEAT REV]]-Table24[[#This Row],[SEAT REV
(IF IDEAL $)]]</f>
        <v>-914850</v>
      </c>
    </row>
    <row r="657" spans="1:22" customFormat="1" x14ac:dyDescent="0.25">
      <c r="A657" s="306" t="s">
        <v>17284</v>
      </c>
      <c r="B657" s="306" t="s">
        <v>180</v>
      </c>
      <c r="C657" s="306" t="s">
        <v>2</v>
      </c>
      <c r="D657" s="26">
        <v>3</v>
      </c>
      <c r="E657" s="312" t="s">
        <v>1456</v>
      </c>
      <c r="F657" s="306" t="str">
        <f>VLOOKUP(Table24[[#This Row],[Country]],Table10[[COUNTRY NAME]:[CONTINENT CODE]],3,FALSE)</f>
        <v>AS</v>
      </c>
      <c r="G657" s="312" t="s">
        <v>11992</v>
      </c>
      <c r="H657" s="309">
        <v>12896</v>
      </c>
      <c r="I657" s="310">
        <v>30.5</v>
      </c>
      <c r="J657" s="307">
        <v>252768698</v>
      </c>
      <c r="K657" s="307">
        <f>IFERROR(Table24[[#This Row],[ROUTE COST]]/Table24[[#This Row],[O - DEMAND]],0)</f>
        <v>67766.406970509386</v>
      </c>
      <c r="L657" s="306">
        <v>3730</v>
      </c>
      <c r="M657" s="310">
        <f>Table24[[#This Row],[O - DEMAND]]/950</f>
        <v>3.9263157894736844</v>
      </c>
      <c r="N657" s="306">
        <f>IFERROR(VLOOKUP(Table24[[#This Row],[ROUTE]],DEMAND!A:F,5,FALSE),0)</f>
        <v>3941</v>
      </c>
      <c r="O657" s="306">
        <f>IFERROR(VLOOKUP(Table24[[#This Row],[ROUTE]],DEMAND!A:F,6,FALSE),0)</f>
        <v>141</v>
      </c>
      <c r="P657" s="306">
        <f>ROUNDDOWN(Table24[[#This Row],[R-DEMAND]]/950,0)</f>
        <v>0</v>
      </c>
      <c r="Q657" s="306">
        <f>Table24[[#This Row],[ADD ACC
(475/950)]]*Table24[[#This Row],[Duration
(A359)]]</f>
        <v>0</v>
      </c>
      <c r="R657" s="307">
        <f>IFERROR(VLOOKUP(Table24[[#This Row],[ROUTE]],PRICING!A:B,2,FALSE),0)</f>
        <v>3417</v>
      </c>
      <c r="S657" s="308">
        <f>Table24[[#This Row],[C_DEMAND]]-Table24[[#This Row],[R-DEMAND]]</f>
        <v>3800</v>
      </c>
      <c r="T657" s="307">
        <f>Table24[[#This Row],[SEATS SOLD]]*Table24[[#This Row],[ECO SEAT]]</f>
        <v>12984600</v>
      </c>
      <c r="U657" s="307">
        <f>Table24[[#This Row],[SEATS SOLD]]*(IFERROR(VLOOKUP(Table24[[#This Row],[ROUTE]],PRICING!A:C,3,FALSE),0))</f>
        <v>15644600</v>
      </c>
      <c r="V657" s="307">
        <f>Table24[[#This Row],[SEAT REV]]-Table24[[#This Row],[SEAT REV
(IF IDEAL $)]]</f>
        <v>-2660000</v>
      </c>
    </row>
    <row r="658" spans="1:22" customFormat="1" x14ac:dyDescent="0.25">
      <c r="A658" s="306" t="s">
        <v>17226</v>
      </c>
      <c r="B658" s="306" t="s">
        <v>5497</v>
      </c>
      <c r="C658" s="306" t="s">
        <v>2</v>
      </c>
      <c r="D658" s="26">
        <v>4</v>
      </c>
      <c r="E658" s="312" t="s">
        <v>258</v>
      </c>
      <c r="F658" s="306" t="str">
        <f>VLOOKUP(Table24[[#This Row],[Country]],Table10[[COUNTRY NAME]:[CONTINENT CODE]],3,FALSE)</f>
        <v>AS</v>
      </c>
      <c r="G658" s="312" t="s">
        <v>11047</v>
      </c>
      <c r="H658" s="309">
        <v>13635</v>
      </c>
      <c r="I658" s="310">
        <v>32</v>
      </c>
      <c r="J658" s="307">
        <v>266849348</v>
      </c>
      <c r="K658" s="307">
        <f>IFERROR(Table24[[#This Row],[ROUTE COST]]/Table24[[#This Row],[O - DEMAND]],0)</f>
        <v>70876.320849933603</v>
      </c>
      <c r="L658" s="306">
        <v>3765</v>
      </c>
      <c r="M658" s="310">
        <f>Table24[[#This Row],[O - DEMAND]]/950</f>
        <v>3.9631578947368422</v>
      </c>
      <c r="N658" s="306">
        <f>IFERROR(VLOOKUP(Table24[[#This Row],[ROUTE]],DEMAND!A:F,5,FALSE),0)</f>
        <v>3941</v>
      </c>
      <c r="O658" s="306">
        <f>IFERROR(VLOOKUP(Table24[[#This Row],[ROUTE]],DEMAND!A:F,6,FALSE),0)</f>
        <v>141</v>
      </c>
      <c r="P658" s="306">
        <f>ROUNDDOWN(Table24[[#This Row],[R-DEMAND]]/950,0)</f>
        <v>0</v>
      </c>
      <c r="Q658" s="306">
        <f>Table24[[#This Row],[ADD ACC
(475/950)]]*Table24[[#This Row],[Duration
(A359)]]</f>
        <v>0</v>
      </c>
      <c r="R658" s="307">
        <f>IFERROR(VLOOKUP(Table24[[#This Row],[ROUTE]],PRICING!A:B,2,FALSE),0)</f>
        <v>3737</v>
      </c>
      <c r="S658" s="308">
        <f>Table24[[#This Row],[C_DEMAND]]-Table24[[#This Row],[R-DEMAND]]</f>
        <v>3800</v>
      </c>
      <c r="T658" s="307">
        <f>Table24[[#This Row],[SEATS SOLD]]*Table24[[#This Row],[ECO SEAT]]</f>
        <v>14200600</v>
      </c>
      <c r="U658" s="307">
        <f>Table24[[#This Row],[SEATS SOLD]]*(IFERROR(VLOOKUP(Table24[[#This Row],[ROUTE]],PRICING!A:C,3,FALSE),0))</f>
        <v>16514800</v>
      </c>
      <c r="V658" s="307">
        <f>Table24[[#This Row],[SEAT REV]]-Table24[[#This Row],[SEAT REV
(IF IDEAL $)]]</f>
        <v>-2314200</v>
      </c>
    </row>
    <row r="659" spans="1:22" customFormat="1" x14ac:dyDescent="0.25">
      <c r="A659" s="306" t="s">
        <v>17244</v>
      </c>
      <c r="B659" s="306" t="s">
        <v>5663</v>
      </c>
      <c r="C659" s="306" t="s">
        <v>2</v>
      </c>
      <c r="D659" s="26">
        <v>4</v>
      </c>
      <c r="E659" s="312" t="s">
        <v>700</v>
      </c>
      <c r="F659" s="306" t="str">
        <f>VLOOKUP(Table24[[#This Row],[Country]],Table10[[COUNTRY NAME]:[CONTINENT CODE]],3,FALSE)</f>
        <v>AS</v>
      </c>
      <c r="G659" s="312" t="s">
        <v>10756</v>
      </c>
      <c r="H659" s="309">
        <v>9884</v>
      </c>
      <c r="I659" s="310">
        <v>23.75</v>
      </c>
      <c r="J659" s="307">
        <v>241023895</v>
      </c>
      <c r="K659" s="307">
        <f>IFERROR(Table24[[#This Row],[ROUTE COST]]/Table24[[#This Row],[O - DEMAND]],0)</f>
        <v>51732.967374973174</v>
      </c>
      <c r="L659" s="306">
        <v>4659</v>
      </c>
      <c r="M659" s="310">
        <f>Table24[[#This Row],[O - DEMAND]]/950</f>
        <v>4.9042105263157891</v>
      </c>
      <c r="N659" s="306">
        <f>IFERROR(VLOOKUP(Table24[[#This Row],[ROUTE]],DEMAND!A:F,5,FALSE),0)</f>
        <v>4892</v>
      </c>
      <c r="O659" s="306">
        <f>IFERROR(VLOOKUP(Table24[[#This Row],[ROUTE]],DEMAND!A:F,6,FALSE),0)</f>
        <v>142</v>
      </c>
      <c r="P659" s="306">
        <f>ROUNDDOWN(Table24[[#This Row],[R-DEMAND]]/950,0)</f>
        <v>0</v>
      </c>
      <c r="Q659" s="306">
        <f>Table24[[#This Row],[ADD ACC
(475/950)]]*Table24[[#This Row],[Duration
(A359)]]</f>
        <v>0</v>
      </c>
      <c r="R659" s="307">
        <f>IFERROR(VLOOKUP(Table24[[#This Row],[ROUTE]],PRICING!A:B,2,FALSE),0)</f>
        <v>2706</v>
      </c>
      <c r="S659" s="308">
        <f>Table24[[#This Row],[C_DEMAND]]-Table24[[#This Row],[R-DEMAND]]</f>
        <v>4750</v>
      </c>
      <c r="T659" s="307">
        <f>Table24[[#This Row],[SEATS SOLD]]*Table24[[#This Row],[ECO SEAT]]</f>
        <v>12853500</v>
      </c>
      <c r="U659" s="307">
        <f>Table24[[#This Row],[SEATS SOLD]]*(IFERROR(VLOOKUP(Table24[[#This Row],[ROUTE]],PRICING!A:C,3,FALSE),0))</f>
        <v>15124000</v>
      </c>
      <c r="V659" s="307">
        <f>Table24[[#This Row],[SEAT REV]]-Table24[[#This Row],[SEAT REV
(IF IDEAL $)]]</f>
        <v>-2270500</v>
      </c>
    </row>
    <row r="660" spans="1:22" customFormat="1" x14ac:dyDescent="0.25">
      <c r="A660" s="306" t="s">
        <v>18068</v>
      </c>
      <c r="B660" s="306" t="s">
        <v>4697</v>
      </c>
      <c r="C660" s="306" t="s">
        <v>2</v>
      </c>
      <c r="D660" s="26">
        <v>2</v>
      </c>
      <c r="E660" s="312" t="s">
        <v>517</v>
      </c>
      <c r="F660" s="306" t="str">
        <f>VLOOKUP(Table24[[#This Row],[Country]],Table10[[COUNTRY NAME]:[CONTINENT CODE]],3,FALSE)</f>
        <v>SA</v>
      </c>
      <c r="G660" s="312" t="s">
        <v>16951</v>
      </c>
      <c r="H660" s="309">
        <v>4749</v>
      </c>
      <c r="I660" s="310">
        <v>12.5</v>
      </c>
      <c r="J660" s="307">
        <v>159974195</v>
      </c>
      <c r="K660" s="307">
        <f>IFERROR(Table24[[#This Row],[ROUTE COST]]/Table24[[#This Row],[O - DEMAND]],0)</f>
        <v>56052.626138752625</v>
      </c>
      <c r="L660" s="306">
        <v>2854</v>
      </c>
      <c r="M660" s="310">
        <f>Table24[[#This Row],[O - DEMAND]]/950</f>
        <v>3.0042105263157897</v>
      </c>
      <c r="N660" s="306">
        <f>IFERROR(VLOOKUP(Table24[[#This Row],[ROUTE]],DEMAND!A:F,5,FALSE),0)</f>
        <v>2997</v>
      </c>
      <c r="O660" s="306">
        <f>IFERROR(VLOOKUP(Table24[[#This Row],[ROUTE]],DEMAND!A:F,6,FALSE),0)</f>
        <v>147</v>
      </c>
      <c r="P660" s="306">
        <f>ROUNDDOWN(Table24[[#This Row],[R-DEMAND]]/950,0)</f>
        <v>0</v>
      </c>
      <c r="Q660" s="306">
        <f>Table24[[#This Row],[ADD ACC
(475/950)]]*Table24[[#This Row],[Duration
(A359)]]</f>
        <v>0</v>
      </c>
      <c r="R660" s="307">
        <f>IFERROR(VLOOKUP(Table24[[#This Row],[ROUTE]],PRICING!A:B,2,FALSE),0)</f>
        <v>1353</v>
      </c>
      <c r="S660" s="308">
        <f>Table24[[#This Row],[C_DEMAND]]-Table24[[#This Row],[R-DEMAND]]</f>
        <v>2850</v>
      </c>
      <c r="T660" s="307">
        <f>Table24[[#This Row],[SEATS SOLD]]*Table24[[#This Row],[ECO SEAT]]</f>
        <v>3856050</v>
      </c>
      <c r="U660" s="307">
        <f>Table24[[#This Row],[SEATS SOLD]]*(IFERROR(VLOOKUP(Table24[[#This Row],[ROUTE]],PRICING!A:C,3,FALSE),0))</f>
        <v>4537200</v>
      </c>
      <c r="V660" s="307">
        <f>Table24[[#This Row],[SEAT REV]]-Table24[[#This Row],[SEAT REV
(IF IDEAL $)]]</f>
        <v>-681150</v>
      </c>
    </row>
    <row r="661" spans="1:22" customFormat="1" x14ac:dyDescent="0.25">
      <c r="A661" s="306" t="s">
        <v>17168</v>
      </c>
      <c r="B661" s="306" t="s">
        <v>3772</v>
      </c>
      <c r="C661" s="306" t="s">
        <v>2</v>
      </c>
      <c r="D661" s="26">
        <v>2</v>
      </c>
      <c r="E661" s="312" t="s">
        <v>2851</v>
      </c>
      <c r="F661" s="306" t="str">
        <f>VLOOKUP(Table24[[#This Row],[Country]],Table10[[COUNTRY NAME]:[CONTINENT CODE]],3,FALSE)</f>
        <v>AF</v>
      </c>
      <c r="G661" s="312" t="s">
        <v>12007</v>
      </c>
      <c r="H661" s="309">
        <v>14152</v>
      </c>
      <c r="I661" s="310">
        <v>33.25</v>
      </c>
      <c r="J661" s="307">
        <v>245259418</v>
      </c>
      <c r="K661" s="307">
        <f>IFERROR(Table24[[#This Row],[ROUTE COST]]/Table24[[#This Row],[O - DEMAND]],0)</f>
        <v>124307.86517992904</v>
      </c>
      <c r="L661" s="306">
        <v>1973</v>
      </c>
      <c r="M661" s="310">
        <f>Table24[[#This Row],[O - DEMAND]]/950</f>
        <v>2.0768421052631578</v>
      </c>
      <c r="N661" s="306">
        <f>IFERROR(VLOOKUP(Table24[[#This Row],[ROUTE]],DEMAND!A:F,5,FALSE),0)</f>
        <v>2052</v>
      </c>
      <c r="O661" s="306">
        <f>IFERROR(VLOOKUP(Table24[[#This Row],[ROUTE]],DEMAND!A:F,6,FALSE),0)</f>
        <v>152</v>
      </c>
      <c r="P661" s="306">
        <f>ROUNDDOWN(Table24[[#This Row],[R-DEMAND]]/950,0)</f>
        <v>0</v>
      </c>
      <c r="Q661" s="306">
        <f>Table24[[#This Row],[ADD ACC
(475/950)]]*Table24[[#This Row],[Duration
(A359)]]</f>
        <v>0</v>
      </c>
      <c r="R661" s="307">
        <f>IFERROR(VLOOKUP(Table24[[#This Row],[ROUTE]],PRICING!A:B,2,FALSE),0)</f>
        <v>3966</v>
      </c>
      <c r="S661" s="308">
        <f>Table24[[#This Row],[C_DEMAND]]-Table24[[#This Row],[R-DEMAND]]</f>
        <v>1900</v>
      </c>
      <c r="T661" s="307">
        <f>Table24[[#This Row],[SEATS SOLD]]*Table24[[#This Row],[ECO SEAT]]</f>
        <v>7535400</v>
      </c>
      <c r="U661" s="307">
        <f>Table24[[#This Row],[SEATS SOLD]]*(IFERROR(VLOOKUP(Table24[[#This Row],[ROUTE]],PRICING!A:C,3,FALSE),0))</f>
        <v>8563300</v>
      </c>
      <c r="V661" s="307">
        <f>Table24[[#This Row],[SEAT REV]]-Table24[[#This Row],[SEAT REV
(IF IDEAL $)]]</f>
        <v>-1027900</v>
      </c>
    </row>
    <row r="662" spans="1:22" customFormat="1" x14ac:dyDescent="0.25">
      <c r="A662" s="306" t="s">
        <v>18042</v>
      </c>
      <c r="B662" s="306" t="s">
        <v>5549</v>
      </c>
      <c r="C662" s="306" t="s">
        <v>2</v>
      </c>
      <c r="D662" s="26">
        <v>4</v>
      </c>
      <c r="E662" s="312" t="s">
        <v>714</v>
      </c>
      <c r="F662" s="306" t="str">
        <f>VLOOKUP(Table24[[#This Row],[Country]],Table10[[COUNTRY NAME]:[CONTINENT CODE]],3,FALSE)</f>
        <v>SA</v>
      </c>
      <c r="G662" s="312" t="s">
        <v>13237</v>
      </c>
      <c r="H662" s="309">
        <v>3444</v>
      </c>
      <c r="I662" s="310">
        <v>9.75</v>
      </c>
      <c r="J662" s="307">
        <v>167319511</v>
      </c>
      <c r="K662" s="307">
        <f>IFERROR(Table24[[#This Row],[ROUTE COST]]/Table24[[#This Row],[O - DEMAND]],0)</f>
        <v>35494.168646584643</v>
      </c>
      <c r="L662" s="306">
        <v>4714</v>
      </c>
      <c r="M662" s="310">
        <f>Table24[[#This Row],[O - DEMAND]]/950</f>
        <v>4.9621052631578948</v>
      </c>
      <c r="N662" s="306">
        <f>IFERROR(VLOOKUP(Table24[[#This Row],[ROUTE]],DEMAND!A:F,5,FALSE),0)</f>
        <v>4904</v>
      </c>
      <c r="O662" s="306">
        <f>IFERROR(VLOOKUP(Table24[[#This Row],[ROUTE]],DEMAND!A:F,6,FALSE),0)</f>
        <v>154</v>
      </c>
      <c r="P662" s="306">
        <f>ROUNDDOWN(Table24[[#This Row],[R-DEMAND]]/950,0)</f>
        <v>0</v>
      </c>
      <c r="Q662" s="306">
        <f>Table24[[#This Row],[ADD ACC
(475/950)]]*Table24[[#This Row],[Duration
(A359)]]</f>
        <v>0</v>
      </c>
      <c r="R662" s="307">
        <f>IFERROR(VLOOKUP(Table24[[#This Row],[ROUTE]],PRICING!A:B,2,FALSE),0)</f>
        <v>1044</v>
      </c>
      <c r="S662" s="308">
        <f>Table24[[#This Row],[C_DEMAND]]-Table24[[#This Row],[R-DEMAND]]</f>
        <v>4750</v>
      </c>
      <c r="T662" s="307">
        <f>Table24[[#This Row],[SEATS SOLD]]*Table24[[#This Row],[ECO SEAT]]</f>
        <v>4959000</v>
      </c>
      <c r="U662" s="307">
        <f>Table24[[#This Row],[SEATS SOLD]]*(IFERROR(VLOOKUP(Table24[[#This Row],[ROUTE]],PRICING!A:C,3,FALSE),0))</f>
        <v>5638250</v>
      </c>
      <c r="V662" s="307">
        <f>Table24[[#This Row],[SEAT REV]]-Table24[[#This Row],[SEAT REV
(IF IDEAL $)]]</f>
        <v>-679250</v>
      </c>
    </row>
    <row r="663" spans="1:22" customFormat="1" x14ac:dyDescent="0.25">
      <c r="A663" s="306" t="s">
        <v>17076</v>
      </c>
      <c r="B663" s="306" t="s">
        <v>3292</v>
      </c>
      <c r="C663" s="306" t="s">
        <v>2</v>
      </c>
      <c r="D663" s="26">
        <v>2</v>
      </c>
      <c r="E663" s="312" t="s">
        <v>644</v>
      </c>
      <c r="F663" s="306" t="str">
        <f>VLOOKUP(Table24[[#This Row],[Country]],Table10[[COUNTRY NAME]:[CONTINENT CODE]],3,FALSE)</f>
        <v>AF</v>
      </c>
      <c r="G663" s="312" t="s">
        <v>11815</v>
      </c>
      <c r="H663" s="309">
        <v>10112</v>
      </c>
      <c r="I663" s="310">
        <v>24.25</v>
      </c>
      <c r="J663" s="307">
        <v>203744642</v>
      </c>
      <c r="K663" s="307">
        <f>IFERROR(Table24[[#This Row],[ROUTE COST]]/Table24[[#This Row],[O - DEMAND]],0)</f>
        <v>54947.314455231928</v>
      </c>
      <c r="L663" s="306">
        <v>3708</v>
      </c>
      <c r="M663" s="310">
        <f>Table24[[#This Row],[O - DEMAND]]/950</f>
        <v>3.9031578947368422</v>
      </c>
      <c r="N663" s="306">
        <f>IFERROR(VLOOKUP(Table24[[#This Row],[ROUTE]],DEMAND!A:F,5,FALSE),0)</f>
        <v>3955</v>
      </c>
      <c r="O663" s="306">
        <f>IFERROR(VLOOKUP(Table24[[#This Row],[ROUTE]],DEMAND!A:F,6,FALSE),0)</f>
        <v>155</v>
      </c>
      <c r="P663" s="306">
        <f>ROUNDDOWN(Table24[[#This Row],[R-DEMAND]]/950,0)</f>
        <v>0</v>
      </c>
      <c r="Q663" s="306">
        <f>Table24[[#This Row],[ADD ACC
(475/950)]]*Table24[[#This Row],[Duration
(A359)]]</f>
        <v>0</v>
      </c>
      <c r="R663" s="307">
        <f>IFERROR(VLOOKUP(Table24[[#This Row],[ROUTE]],PRICING!A:B,2,FALSE),0)</f>
        <v>2603</v>
      </c>
      <c r="S663" s="308">
        <f>Table24[[#This Row],[C_DEMAND]]-Table24[[#This Row],[R-DEMAND]]</f>
        <v>3800</v>
      </c>
      <c r="T663" s="307">
        <f>Table24[[#This Row],[SEATS SOLD]]*Table24[[#This Row],[ECO SEAT]]</f>
        <v>9891400</v>
      </c>
      <c r="U663" s="307">
        <f>Table24[[#This Row],[SEATS SOLD]]*(IFERROR(VLOOKUP(Table24[[#This Row],[ROUTE]],PRICING!A:C,3,FALSE),0))</f>
        <v>12365200</v>
      </c>
      <c r="V663" s="307">
        <f>Table24[[#This Row],[SEAT REV]]-Table24[[#This Row],[SEAT REV
(IF IDEAL $)]]</f>
        <v>-2473800</v>
      </c>
    </row>
    <row r="664" spans="1:22" customFormat="1" x14ac:dyDescent="0.25">
      <c r="A664" s="306" t="s">
        <v>17493</v>
      </c>
      <c r="B664" s="306" t="s">
        <v>288</v>
      </c>
      <c r="C664" s="306" t="s">
        <v>2</v>
      </c>
      <c r="D664" s="26">
        <v>4</v>
      </c>
      <c r="E664" s="312" t="s">
        <v>1427</v>
      </c>
      <c r="F664" s="306" t="str">
        <f>VLOOKUP(Table24[[#This Row],[Country]],Table10[[COUNTRY NAME]:[CONTINENT CODE]],3,FALSE)</f>
        <v>EU</v>
      </c>
      <c r="G664" s="312" t="s">
        <v>11083</v>
      </c>
      <c r="H664" s="309">
        <v>7853</v>
      </c>
      <c r="I664" s="310">
        <v>19.25</v>
      </c>
      <c r="J664" s="307">
        <v>212921502</v>
      </c>
      <c r="K664" s="307">
        <f>IFERROR(Table24[[#This Row],[ROUTE COST]]/Table24[[#This Row],[O - DEMAND]],0)</f>
        <v>73573.428472702144</v>
      </c>
      <c r="L664" s="306">
        <v>2894</v>
      </c>
      <c r="M664" s="310">
        <f>Table24[[#This Row],[O - DEMAND]]/950</f>
        <v>3.0463157894736841</v>
      </c>
      <c r="N664" s="306">
        <f>IFERROR(VLOOKUP(Table24[[#This Row],[ROUTE]],DEMAND!A:F,5,FALSE),0)</f>
        <v>3010</v>
      </c>
      <c r="O664" s="306">
        <f>IFERROR(VLOOKUP(Table24[[#This Row],[ROUTE]],DEMAND!A:F,6,FALSE),0)</f>
        <v>160</v>
      </c>
      <c r="P664" s="306">
        <f>ROUNDDOWN(Table24[[#This Row],[R-DEMAND]]/950,0)</f>
        <v>0</v>
      </c>
      <c r="Q664" s="306">
        <f>Table24[[#This Row],[ADD ACC
(475/950)]]*Table24[[#This Row],[Duration
(A359)]]</f>
        <v>0</v>
      </c>
      <c r="R664" s="307">
        <f>IFERROR(VLOOKUP(Table24[[#This Row],[ROUTE]],PRICING!A:B,2,FALSE),0)</f>
        <v>2247</v>
      </c>
      <c r="S664" s="308">
        <f>Table24[[#This Row],[C_DEMAND]]-Table24[[#This Row],[R-DEMAND]]</f>
        <v>2850</v>
      </c>
      <c r="T664" s="307">
        <f>Table24[[#This Row],[SEATS SOLD]]*Table24[[#This Row],[ECO SEAT]]</f>
        <v>6403950</v>
      </c>
      <c r="U664" s="307">
        <f>Table24[[#This Row],[SEATS SOLD]]*(IFERROR(VLOOKUP(Table24[[#This Row],[ROUTE]],PRICING!A:C,3,FALSE),0))</f>
        <v>7278900</v>
      </c>
      <c r="V664" s="307">
        <f>Table24[[#This Row],[SEAT REV]]-Table24[[#This Row],[SEAT REV
(IF IDEAL $)]]</f>
        <v>-874950</v>
      </c>
    </row>
    <row r="665" spans="1:22" customFormat="1" x14ac:dyDescent="0.25">
      <c r="A665" s="306" t="s">
        <v>17036</v>
      </c>
      <c r="B665" s="306" t="s">
        <v>4054</v>
      </c>
      <c r="C665" s="306" t="s">
        <v>2</v>
      </c>
      <c r="D665" s="26">
        <v>2</v>
      </c>
      <c r="E665" s="312" t="s">
        <v>493</v>
      </c>
      <c r="F665" s="306" t="str">
        <f>VLOOKUP(Table24[[#This Row],[Country]],Table10[[COUNTRY NAME]:[CONTINENT CODE]],3,FALSE)</f>
        <v>AF</v>
      </c>
      <c r="G665" s="312" t="s">
        <v>11743</v>
      </c>
      <c r="H665" s="309">
        <v>7925</v>
      </c>
      <c r="I665" s="310">
        <v>19.5</v>
      </c>
      <c r="J665" s="307">
        <v>185866135</v>
      </c>
      <c r="K665" s="307">
        <f>IFERROR(Table24[[#This Row],[ROUTE COST]]/Table24[[#This Row],[O - DEMAND]],0)</f>
        <v>65515.028198801549</v>
      </c>
      <c r="L665" s="306">
        <v>2837</v>
      </c>
      <c r="M665" s="310">
        <f>Table24[[#This Row],[O - DEMAND]]/950</f>
        <v>2.986315789473684</v>
      </c>
      <c r="N665" s="306">
        <f>IFERROR(VLOOKUP(Table24[[#This Row],[ROUTE]],DEMAND!A:F,5,FALSE),0)</f>
        <v>3017</v>
      </c>
      <c r="O665" s="306">
        <f>IFERROR(VLOOKUP(Table24[[#This Row],[ROUTE]],DEMAND!A:F,6,FALSE),0)</f>
        <v>167</v>
      </c>
      <c r="P665" s="306">
        <f>ROUNDDOWN(Table24[[#This Row],[R-DEMAND]]/950,0)</f>
        <v>0</v>
      </c>
      <c r="Q665" s="306">
        <f>Table24[[#This Row],[ADD ACC
(475/950)]]*Table24[[#This Row],[Duration
(A359)]]</f>
        <v>0</v>
      </c>
      <c r="R665" s="307">
        <f>IFERROR(VLOOKUP(Table24[[#This Row],[ROUTE]],PRICING!A:B,2,FALSE),0)</f>
        <v>2086</v>
      </c>
      <c r="S665" s="308">
        <f>Table24[[#This Row],[C_DEMAND]]-Table24[[#This Row],[R-DEMAND]]</f>
        <v>2850</v>
      </c>
      <c r="T665" s="307">
        <f>Table24[[#This Row],[SEATS SOLD]]*Table24[[#This Row],[ECO SEAT]]</f>
        <v>5945100</v>
      </c>
      <c r="U665" s="307">
        <f>Table24[[#This Row],[SEATS SOLD]]*(IFERROR(VLOOKUP(Table24[[#This Row],[ROUTE]],PRICING!A:C,3,FALSE),0))</f>
        <v>7341600</v>
      </c>
      <c r="V665" s="307">
        <f>Table24[[#This Row],[SEAT REV]]-Table24[[#This Row],[SEAT REV
(IF IDEAL $)]]</f>
        <v>-1396500</v>
      </c>
    </row>
    <row r="666" spans="1:22" customFormat="1" x14ac:dyDescent="0.25">
      <c r="A666" s="306" t="s">
        <v>17210</v>
      </c>
      <c r="B666" s="306" t="s">
        <v>173</v>
      </c>
      <c r="C666" s="306" t="s">
        <v>2</v>
      </c>
      <c r="D666" s="26">
        <v>5</v>
      </c>
      <c r="E666" s="312" t="s">
        <v>172</v>
      </c>
      <c r="F666" s="306" t="str">
        <f>VLOOKUP(Table24[[#This Row],[Country]],Table10[[COUNTRY NAME]:[CONTINENT CODE]],3,FALSE)</f>
        <v>AS</v>
      </c>
      <c r="G666" s="312" t="s">
        <v>171</v>
      </c>
      <c r="H666" s="309">
        <v>11232</v>
      </c>
      <c r="I666" s="310">
        <v>26.75</v>
      </c>
      <c r="J666" s="307">
        <v>259183809</v>
      </c>
      <c r="K666" s="307">
        <f>IFERROR(Table24[[#This Row],[ROUTE COST]]/Table24[[#This Row],[O - DEMAND]],0)</f>
        <v>56051.861807958478</v>
      </c>
      <c r="L666" s="306">
        <v>4624</v>
      </c>
      <c r="M666" s="310">
        <f>Table24[[#This Row],[O - DEMAND]]/950</f>
        <v>4.8673684210526318</v>
      </c>
      <c r="N666" s="306">
        <f>IFERROR(VLOOKUP(Table24[[#This Row],[ROUTE]],DEMAND!A:F,5,FALSE),0)</f>
        <v>4918</v>
      </c>
      <c r="O666" s="306">
        <f>IFERROR(VLOOKUP(Table24[[#This Row],[ROUTE]],DEMAND!A:F,6,FALSE),0)</f>
        <v>168</v>
      </c>
      <c r="P666" s="306">
        <f>ROUNDDOWN(Table24[[#This Row],[R-DEMAND]]/950,0)</f>
        <v>0</v>
      </c>
      <c r="Q666" s="306">
        <f>Table24[[#This Row],[ADD ACC
(475/950)]]*Table24[[#This Row],[Duration
(A359)]]</f>
        <v>0</v>
      </c>
      <c r="R666" s="307">
        <f>IFERROR(VLOOKUP(Table24[[#This Row],[ROUTE]],PRICING!A:B,2,FALSE),0)</f>
        <v>2916</v>
      </c>
      <c r="S666" s="308">
        <f>Table24[[#This Row],[C_DEMAND]]-Table24[[#This Row],[R-DEMAND]]</f>
        <v>4750</v>
      </c>
      <c r="T666" s="307">
        <f>Table24[[#This Row],[SEATS SOLD]]*Table24[[#This Row],[ECO SEAT]]</f>
        <v>13851000</v>
      </c>
      <c r="U666" s="307">
        <f>Table24[[#This Row],[SEATS SOLD]]*(IFERROR(VLOOKUP(Table24[[#This Row],[ROUTE]],PRICING!A:C,3,FALSE),0))</f>
        <v>17104750</v>
      </c>
      <c r="V666" s="307">
        <f>Table24[[#This Row],[SEAT REV]]-Table24[[#This Row],[SEAT REV
(IF IDEAL $)]]</f>
        <v>-3253750</v>
      </c>
    </row>
    <row r="667" spans="1:22" customFormat="1" x14ac:dyDescent="0.25">
      <c r="A667" s="306" t="s">
        <v>17053</v>
      </c>
      <c r="B667" s="306" t="s">
        <v>5082</v>
      </c>
      <c r="C667" s="306" t="s">
        <v>2</v>
      </c>
      <c r="D667" s="26">
        <v>3</v>
      </c>
      <c r="E667" s="312" t="s">
        <v>5080</v>
      </c>
      <c r="F667" s="306" t="str">
        <f>VLOOKUP(Table24[[#This Row],[Country]],Table10[[COUNTRY NAME]:[CONTINENT CODE]],3,FALSE)</f>
        <v>OC</v>
      </c>
      <c r="G667" s="312" t="s">
        <v>12038</v>
      </c>
      <c r="H667" s="309">
        <v>14612</v>
      </c>
      <c r="I667" s="310">
        <v>34.25</v>
      </c>
      <c r="J667" s="307">
        <v>265131397</v>
      </c>
      <c r="K667" s="307">
        <f>IFERROR(Table24[[#This Row],[ROUTE COST]]/Table24[[#This Row],[O - DEMAND]],0)</f>
        <v>135686.48771750255</v>
      </c>
      <c r="L667" s="306">
        <v>1954</v>
      </c>
      <c r="M667" s="310">
        <f>Table24[[#This Row],[O - DEMAND]]/950</f>
        <v>2.0568421052631578</v>
      </c>
      <c r="N667" s="306">
        <f>IFERROR(VLOOKUP(Table24[[#This Row],[ROUTE]],DEMAND!A:F,5,FALSE),0)</f>
        <v>2071</v>
      </c>
      <c r="O667" s="306">
        <f>IFERROR(VLOOKUP(Table24[[#This Row],[ROUTE]],DEMAND!A:F,6,FALSE),0)</f>
        <v>171</v>
      </c>
      <c r="P667" s="306">
        <f>ROUNDDOWN(Table24[[#This Row],[R-DEMAND]]/950,0)</f>
        <v>0</v>
      </c>
      <c r="Q667" s="306">
        <f>Table24[[#This Row],[ADD ACC
(475/950)]]*Table24[[#This Row],[Duration
(A359)]]</f>
        <v>0</v>
      </c>
      <c r="R667" s="307">
        <f>IFERROR(VLOOKUP(Table24[[#This Row],[ROUTE]],PRICING!A:B,2,FALSE),0)</f>
        <v>3812</v>
      </c>
      <c r="S667" s="308">
        <f>Table24[[#This Row],[C_DEMAND]]-Table24[[#This Row],[R-DEMAND]]</f>
        <v>1900</v>
      </c>
      <c r="T667" s="307">
        <f>Table24[[#This Row],[SEATS SOLD]]*Table24[[#This Row],[ECO SEAT]]</f>
        <v>7242800</v>
      </c>
      <c r="U667" s="307">
        <f>Table24[[#This Row],[SEATS SOLD]]*(IFERROR(VLOOKUP(Table24[[#This Row],[ROUTE]],PRICING!A:C,3,FALSE),0))</f>
        <v>8833100</v>
      </c>
      <c r="V667" s="307">
        <f>Table24[[#This Row],[SEAT REV]]-Table24[[#This Row],[SEAT REV
(IF IDEAL $)]]</f>
        <v>-1590300</v>
      </c>
    </row>
    <row r="668" spans="1:22" customFormat="1" x14ac:dyDescent="0.25">
      <c r="A668" s="306" t="s">
        <v>18074</v>
      </c>
      <c r="B668" s="306" t="s">
        <v>3107</v>
      </c>
      <c r="C668" s="306" t="s">
        <v>2</v>
      </c>
      <c r="D668" s="26">
        <v>2</v>
      </c>
      <c r="E668" s="312" t="s">
        <v>1144</v>
      </c>
      <c r="F668" s="306" t="str">
        <f>VLOOKUP(Table24[[#This Row],[Country]],Table10[[COUNTRY NAME]:[CONTINENT CODE]],3,FALSE)</f>
        <v>SA</v>
      </c>
      <c r="G668" s="312" t="s">
        <v>13151</v>
      </c>
      <c r="H668" s="309">
        <v>4250</v>
      </c>
      <c r="I668" s="310">
        <v>11.5</v>
      </c>
      <c r="J668" s="307">
        <v>142366718</v>
      </c>
      <c r="K668" s="307">
        <f>IFERROR(Table24[[#This Row],[ROUTE COST]]/Table24[[#This Row],[O - DEMAND]],0)</f>
        <v>49795.983910458199</v>
      </c>
      <c r="L668" s="306">
        <v>2859</v>
      </c>
      <c r="M668" s="310">
        <f>Table24[[#This Row],[O - DEMAND]]/950</f>
        <v>3.0094736842105263</v>
      </c>
      <c r="N668" s="306">
        <f>IFERROR(VLOOKUP(Table24[[#This Row],[ROUTE]],DEMAND!A:F,5,FALSE),0)</f>
        <v>3021</v>
      </c>
      <c r="O668" s="306">
        <f>IFERROR(VLOOKUP(Table24[[#This Row],[ROUTE]],DEMAND!A:F,6,FALSE),0)</f>
        <v>171</v>
      </c>
      <c r="P668" s="306">
        <f>ROUNDDOWN(Table24[[#This Row],[R-DEMAND]]/950,0)</f>
        <v>0</v>
      </c>
      <c r="Q668" s="306">
        <f>Table24[[#This Row],[ADD ACC
(475/950)]]*Table24[[#This Row],[Duration
(A359)]]</f>
        <v>0</v>
      </c>
      <c r="R668" s="307">
        <f>IFERROR(VLOOKUP(Table24[[#This Row],[ROUTE]],PRICING!A:B,2,FALSE),0)</f>
        <v>1192</v>
      </c>
      <c r="S668" s="308">
        <f>Table24[[#This Row],[C_DEMAND]]-Table24[[#This Row],[R-DEMAND]]</f>
        <v>2850</v>
      </c>
      <c r="T668" s="307">
        <f>Table24[[#This Row],[SEATS SOLD]]*Table24[[#This Row],[ECO SEAT]]</f>
        <v>3397200</v>
      </c>
      <c r="U668" s="307">
        <f>Table24[[#This Row],[SEATS SOLD]]*(IFERROR(VLOOKUP(Table24[[#This Row],[ROUTE]],PRICING!A:C,3,FALSE),0))</f>
        <v>4095450</v>
      </c>
      <c r="V668" s="307">
        <f>Table24[[#This Row],[SEAT REV]]-Table24[[#This Row],[SEAT REV
(IF IDEAL $)]]</f>
        <v>-698250</v>
      </c>
    </row>
    <row r="669" spans="1:22" customFormat="1" x14ac:dyDescent="0.25">
      <c r="A669" s="306" t="s">
        <v>17311</v>
      </c>
      <c r="B669" s="306" t="s">
        <v>24</v>
      </c>
      <c r="C669" s="306" t="s">
        <v>2</v>
      </c>
      <c r="D669" s="26">
        <v>2</v>
      </c>
      <c r="E669" s="312" t="s">
        <v>1070</v>
      </c>
      <c r="F669" s="306" t="str">
        <f>VLOOKUP(Table24[[#This Row],[Country]],Table10[[COUNTRY NAME]:[CONTINENT CODE]],3,FALSE)</f>
        <v>AS</v>
      </c>
      <c r="G669" s="312" t="s">
        <v>6654</v>
      </c>
      <c r="H669" s="309">
        <v>15176</v>
      </c>
      <c r="I669" s="310">
        <v>35.5</v>
      </c>
      <c r="J669" s="307">
        <v>260973797</v>
      </c>
      <c r="K669" s="307">
        <f>IFERROR(Table24[[#This Row],[ROUTE COST]]/Table24[[#This Row],[O - DEMAND]],0)</f>
        <v>92086.731474947068</v>
      </c>
      <c r="L669" s="306">
        <v>2834</v>
      </c>
      <c r="M669" s="310">
        <f>Table24[[#This Row],[O - DEMAND]]/950</f>
        <v>2.9831578947368422</v>
      </c>
      <c r="N669" s="306">
        <f>IFERROR(VLOOKUP(Table24[[#This Row],[ROUTE]],DEMAND!A:F,5,FALSE),0)</f>
        <v>3023</v>
      </c>
      <c r="O669" s="306">
        <f>IFERROR(VLOOKUP(Table24[[#This Row],[ROUTE]],DEMAND!A:F,6,FALSE),0)</f>
        <v>173</v>
      </c>
      <c r="P669" s="306">
        <f>ROUNDDOWN(Table24[[#This Row],[R-DEMAND]]/950,0)</f>
        <v>0</v>
      </c>
      <c r="Q669" s="306">
        <f>Table24[[#This Row],[ADD ACC
(475/950)]]*Table24[[#This Row],[Duration
(A359)]]</f>
        <v>0</v>
      </c>
      <c r="R669" s="307">
        <f>IFERROR(VLOOKUP(Table24[[#This Row],[ROUTE]],PRICING!A:B,2,FALSE),0)</f>
        <v>3859</v>
      </c>
      <c r="S669" s="308">
        <f>Table24[[#This Row],[C_DEMAND]]-Table24[[#This Row],[R-DEMAND]]</f>
        <v>2850</v>
      </c>
      <c r="T669" s="307">
        <f>Table24[[#This Row],[SEATS SOLD]]*Table24[[#This Row],[ECO SEAT]]</f>
        <v>10998150</v>
      </c>
      <c r="U669" s="307">
        <f>Table24[[#This Row],[SEATS SOLD]]*(IFERROR(VLOOKUP(Table24[[#This Row],[ROUTE]],PRICING!A:C,3,FALSE),0))</f>
        <v>13748400</v>
      </c>
      <c r="V669" s="307">
        <f>Table24[[#This Row],[SEAT REV]]-Table24[[#This Row],[SEAT REV
(IF IDEAL $)]]</f>
        <v>-2750250</v>
      </c>
    </row>
    <row r="670" spans="1:22" customFormat="1" x14ac:dyDescent="0.25">
      <c r="A670" s="306" t="s">
        <v>17280</v>
      </c>
      <c r="B670" s="306" t="s">
        <v>198</v>
      </c>
      <c r="C670" s="306" t="s">
        <v>2</v>
      </c>
      <c r="D670" s="26">
        <v>3</v>
      </c>
      <c r="E670" s="312" t="s">
        <v>197</v>
      </c>
      <c r="F670" s="306" t="str">
        <f>VLOOKUP(Table24[[#This Row],[Country]],Table10[[COUNTRY NAME]:[CONTINENT CODE]],3,FALSE)</f>
        <v>AS</v>
      </c>
      <c r="G670" s="312" t="s">
        <v>12017</v>
      </c>
      <c r="H670" s="309">
        <v>13411</v>
      </c>
      <c r="I670" s="310">
        <v>31.5</v>
      </c>
      <c r="J670" s="307">
        <v>256029346</v>
      </c>
      <c r="K670" s="307">
        <f>IFERROR(Table24[[#This Row],[ROUTE COST]]/Table24[[#This Row],[O - DEMAND]],0)</f>
        <v>54083.089564850023</v>
      </c>
      <c r="L670" s="306">
        <v>4734</v>
      </c>
      <c r="M670" s="310">
        <f>Table24[[#This Row],[O - DEMAND]]/950</f>
        <v>4.9831578947368422</v>
      </c>
      <c r="N670" s="306">
        <f>IFERROR(VLOOKUP(Table24[[#This Row],[ROUTE]],DEMAND!A:F,5,FALSE),0)</f>
        <v>4924</v>
      </c>
      <c r="O670" s="306">
        <f>IFERROR(VLOOKUP(Table24[[#This Row],[ROUTE]],DEMAND!A:F,6,FALSE),0)</f>
        <v>174</v>
      </c>
      <c r="P670" s="306">
        <f>ROUNDDOWN(Table24[[#This Row],[R-DEMAND]]/950,0)</f>
        <v>0</v>
      </c>
      <c r="Q670" s="306">
        <f>Table24[[#This Row],[ADD ACC
(475/950)]]*Table24[[#This Row],[Duration
(A359)]]</f>
        <v>0</v>
      </c>
      <c r="R670" s="307">
        <f>IFERROR(VLOOKUP(Table24[[#This Row],[ROUTE]],PRICING!A:B,2,FALSE),0)</f>
        <v>3763</v>
      </c>
      <c r="S670" s="308">
        <f>Table24[[#This Row],[C_DEMAND]]-Table24[[#This Row],[R-DEMAND]]</f>
        <v>4750</v>
      </c>
      <c r="T670" s="307">
        <f>Table24[[#This Row],[SEATS SOLD]]*Table24[[#This Row],[ECO SEAT]]</f>
        <v>17874250</v>
      </c>
      <c r="U670" s="307">
        <f>Table24[[#This Row],[SEATS SOLD]]*(IFERROR(VLOOKUP(Table24[[#This Row],[ROUTE]],PRICING!A:C,3,FALSE),0))</f>
        <v>20315750</v>
      </c>
      <c r="V670" s="307">
        <f>Table24[[#This Row],[SEAT REV]]-Table24[[#This Row],[SEAT REV
(IF IDEAL $)]]</f>
        <v>-2441500</v>
      </c>
    </row>
    <row r="671" spans="1:22" customFormat="1" x14ac:dyDescent="0.25">
      <c r="A671" s="306" t="s">
        <v>18047</v>
      </c>
      <c r="B671" s="306" t="s">
        <v>4793</v>
      </c>
      <c r="C671" s="306" t="s">
        <v>2</v>
      </c>
      <c r="D671" s="26">
        <v>3</v>
      </c>
      <c r="E671" s="312" t="s">
        <v>517</v>
      </c>
      <c r="F671" s="306" t="str">
        <f>VLOOKUP(Table24[[#This Row],[Country]],Table10[[COUNTRY NAME]:[CONTINENT CODE]],3,FALSE)</f>
        <v>SA</v>
      </c>
      <c r="G671" s="312" t="s">
        <v>16943</v>
      </c>
      <c r="H671" s="309">
        <v>5079</v>
      </c>
      <c r="I671" s="310">
        <v>13.25</v>
      </c>
      <c r="J671" s="307">
        <v>164624162</v>
      </c>
      <c r="K671" s="307">
        <f>IFERROR(Table24[[#This Row],[ROUTE COST]]/Table24[[#This Row],[O - DEMAND]],0)</f>
        <v>56591.324166380196</v>
      </c>
      <c r="L671" s="306">
        <v>2909</v>
      </c>
      <c r="M671" s="310">
        <f>Table24[[#This Row],[O - DEMAND]]/950</f>
        <v>3.0621052631578949</v>
      </c>
      <c r="N671" s="306">
        <f>IFERROR(VLOOKUP(Table24[[#This Row],[ROUTE]],DEMAND!A:F,5,FALSE),0)</f>
        <v>3025</v>
      </c>
      <c r="O671" s="306">
        <f>IFERROR(VLOOKUP(Table24[[#This Row],[ROUTE]],DEMAND!A:F,6,FALSE),0)</f>
        <v>175</v>
      </c>
      <c r="P671" s="306">
        <f>ROUNDDOWN(Table24[[#This Row],[R-DEMAND]]/950,0)</f>
        <v>0</v>
      </c>
      <c r="Q671" s="306">
        <f>Table24[[#This Row],[ADD ACC
(475/950)]]*Table24[[#This Row],[Duration
(A359)]]</f>
        <v>0</v>
      </c>
      <c r="R671" s="307">
        <f>IFERROR(VLOOKUP(Table24[[#This Row],[ROUTE]],PRICING!A:B,2,FALSE),0)</f>
        <v>1490</v>
      </c>
      <c r="S671" s="308">
        <f>Table24[[#This Row],[C_DEMAND]]-Table24[[#This Row],[R-DEMAND]]</f>
        <v>2850</v>
      </c>
      <c r="T671" s="307">
        <f>Table24[[#This Row],[SEATS SOLD]]*Table24[[#This Row],[ECO SEAT]]</f>
        <v>4246500</v>
      </c>
      <c r="U671" s="307">
        <f>Table24[[#This Row],[SEATS SOLD]]*(IFERROR(VLOOKUP(Table24[[#This Row],[ROUTE]],PRICING!A:C,3,FALSE),0))</f>
        <v>4827900</v>
      </c>
      <c r="V671" s="307">
        <f>Table24[[#This Row],[SEAT REV]]-Table24[[#This Row],[SEAT REV
(IF IDEAL $)]]</f>
        <v>-581400</v>
      </c>
    </row>
    <row r="672" spans="1:22" customFormat="1" x14ac:dyDescent="0.25">
      <c r="A672" s="306" t="s">
        <v>17082</v>
      </c>
      <c r="B672" s="306" t="s">
        <v>527</v>
      </c>
      <c r="C672" s="306" t="s">
        <v>2</v>
      </c>
      <c r="D672" s="26">
        <v>1</v>
      </c>
      <c r="E672" s="312" t="s">
        <v>493</v>
      </c>
      <c r="F672" s="306" t="str">
        <f>VLOOKUP(Table24[[#This Row],[Country]],Table10[[COUNTRY NAME]:[CONTINENT CODE]],3,FALSE)</f>
        <v>AF</v>
      </c>
      <c r="G672" s="312" t="s">
        <v>11710</v>
      </c>
      <c r="H672" s="309">
        <v>7383</v>
      </c>
      <c r="I672" s="310">
        <v>18.25</v>
      </c>
      <c r="J672" s="307">
        <v>164058897</v>
      </c>
      <c r="K672" s="307">
        <f>IFERROR(Table24[[#This Row],[ROUTE COST]]/Table24[[#This Row],[O - DEMAND]],0)</f>
        <v>83194.166835699798</v>
      </c>
      <c r="L672" s="306">
        <v>1972</v>
      </c>
      <c r="M672" s="310">
        <f>Table24[[#This Row],[O - DEMAND]]/950</f>
        <v>2.0757894736842104</v>
      </c>
      <c r="N672" s="306">
        <f>IFERROR(VLOOKUP(Table24[[#This Row],[ROUTE]],DEMAND!A:F,5,FALSE),0)</f>
        <v>2078</v>
      </c>
      <c r="O672" s="306">
        <f>IFERROR(VLOOKUP(Table24[[#This Row],[ROUTE]],DEMAND!A:F,6,FALSE),0)</f>
        <v>178</v>
      </c>
      <c r="P672" s="306">
        <f>ROUNDDOWN(Table24[[#This Row],[R-DEMAND]]/950,0)</f>
        <v>0</v>
      </c>
      <c r="Q672" s="306">
        <f>Table24[[#This Row],[ADD ACC
(475/950)]]*Table24[[#This Row],[Duration
(A359)]]</f>
        <v>0</v>
      </c>
      <c r="R672" s="307">
        <f>IFERROR(VLOOKUP(Table24[[#This Row],[ROUTE]],PRICING!A:B,2,FALSE),0)</f>
        <v>2022</v>
      </c>
      <c r="S672" s="308">
        <f>Table24[[#This Row],[C_DEMAND]]-Table24[[#This Row],[R-DEMAND]]</f>
        <v>1900</v>
      </c>
      <c r="T672" s="307">
        <f>Table24[[#This Row],[SEATS SOLD]]*Table24[[#This Row],[ECO SEAT]]</f>
        <v>3841800</v>
      </c>
      <c r="U672" s="307">
        <f>Table24[[#This Row],[SEATS SOLD]]*(IFERROR(VLOOKUP(Table24[[#This Row],[ROUTE]],PRICING!A:C,3,FALSE),0))</f>
        <v>4575200</v>
      </c>
      <c r="V672" s="307">
        <f>Table24[[#This Row],[SEAT REV]]-Table24[[#This Row],[SEAT REV
(IF IDEAL $)]]</f>
        <v>-733400</v>
      </c>
    </row>
    <row r="673" spans="1:22" customFormat="1" x14ac:dyDescent="0.25">
      <c r="A673" s="306" t="s">
        <v>17248</v>
      </c>
      <c r="B673" s="306" t="s">
        <v>5406</v>
      </c>
      <c r="C673" s="306" t="s">
        <v>2</v>
      </c>
      <c r="D673" s="26">
        <v>3</v>
      </c>
      <c r="E673" s="312" t="s">
        <v>14</v>
      </c>
      <c r="F673" s="306" t="str">
        <f>VLOOKUP(Table24[[#This Row],[Country]],Table10[[COUNTRY NAME]:[CONTINENT CODE]],3,FALSE)</f>
        <v>AS</v>
      </c>
      <c r="G673" s="312" t="s">
        <v>12074</v>
      </c>
      <c r="H673" s="309">
        <v>15015</v>
      </c>
      <c r="I673" s="310">
        <v>35</v>
      </c>
      <c r="J673" s="307">
        <v>276875770</v>
      </c>
      <c r="K673" s="307">
        <f>IFERROR(Table24[[#This Row],[ROUTE COST]]/Table24[[#This Row],[O - DEMAND]],0)</f>
        <v>95277.278045423256</v>
      </c>
      <c r="L673" s="306">
        <v>2906</v>
      </c>
      <c r="M673" s="310">
        <f>Table24[[#This Row],[O - DEMAND]]/950</f>
        <v>3.0589473684210526</v>
      </c>
      <c r="N673" s="306">
        <f>IFERROR(VLOOKUP(Table24[[#This Row],[ROUTE]],DEMAND!A:F,5,FALSE),0)</f>
        <v>3032</v>
      </c>
      <c r="O673" s="306">
        <f>IFERROR(VLOOKUP(Table24[[#This Row],[ROUTE]],DEMAND!A:F,6,FALSE),0)</f>
        <v>182</v>
      </c>
      <c r="P673" s="306">
        <f>ROUNDDOWN(Table24[[#This Row],[R-DEMAND]]/950,0)</f>
        <v>0</v>
      </c>
      <c r="Q673" s="306">
        <f>Table24[[#This Row],[ADD ACC
(475/950)]]*Table24[[#This Row],[Duration
(A359)]]</f>
        <v>0</v>
      </c>
      <c r="R673" s="307">
        <f>IFERROR(VLOOKUP(Table24[[#This Row],[ROUTE]],PRICING!A:B,2,FALSE),0)</f>
        <v>4153</v>
      </c>
      <c r="S673" s="308">
        <f>Table24[[#This Row],[C_DEMAND]]-Table24[[#This Row],[R-DEMAND]]</f>
        <v>2850</v>
      </c>
      <c r="T673" s="307">
        <f>Table24[[#This Row],[SEATS SOLD]]*Table24[[#This Row],[ECO SEAT]]</f>
        <v>11836050</v>
      </c>
      <c r="U673" s="307">
        <f>Table24[[#This Row],[SEATS SOLD]]*(IFERROR(VLOOKUP(Table24[[#This Row],[ROUTE]],PRICING!A:C,3,FALSE),0))</f>
        <v>13605900</v>
      </c>
      <c r="V673" s="307">
        <f>Table24[[#This Row],[SEAT REV]]-Table24[[#This Row],[SEAT REV
(IF IDEAL $)]]</f>
        <v>-1769850</v>
      </c>
    </row>
    <row r="674" spans="1:22" customFormat="1" x14ac:dyDescent="0.25">
      <c r="A674" s="306" t="s">
        <v>17478</v>
      </c>
      <c r="B674" s="306" t="s">
        <v>5511</v>
      </c>
      <c r="C674" s="306" t="s">
        <v>2</v>
      </c>
      <c r="D674" s="26">
        <v>4</v>
      </c>
      <c r="E674" s="312" t="s">
        <v>78</v>
      </c>
      <c r="F674" s="306" t="str">
        <f>VLOOKUP(Table24[[#This Row],[Country]],Table10[[COUNTRY NAME]:[CONTINENT CODE]],3,FALSE)</f>
        <v>EU</v>
      </c>
      <c r="G674" s="312" t="s">
        <v>11030</v>
      </c>
      <c r="H674" s="309">
        <v>9477</v>
      </c>
      <c r="I674" s="310">
        <v>23</v>
      </c>
      <c r="J674" s="307">
        <v>225123593</v>
      </c>
      <c r="K674" s="307">
        <f>IFERROR(Table24[[#This Row],[ROUTE COST]]/Table24[[#This Row],[O - DEMAND]],0)</f>
        <v>58948.309243257398</v>
      </c>
      <c r="L674" s="306">
        <v>3819</v>
      </c>
      <c r="M674" s="310">
        <f>Table24[[#This Row],[O - DEMAND]]/950</f>
        <v>4.0199999999999996</v>
      </c>
      <c r="N674" s="306">
        <f>IFERROR(VLOOKUP(Table24[[#This Row],[ROUTE]],DEMAND!A:F,5,FALSE),0)</f>
        <v>3985</v>
      </c>
      <c r="O674" s="306">
        <f>IFERROR(VLOOKUP(Table24[[#This Row],[ROUTE]],DEMAND!A:F,6,FALSE),0)</f>
        <v>185</v>
      </c>
      <c r="P674" s="306">
        <f>ROUNDDOWN(Table24[[#This Row],[R-DEMAND]]/950,0)</f>
        <v>0</v>
      </c>
      <c r="Q674" s="306">
        <f>Table24[[#This Row],[ADD ACC
(475/950)]]*Table24[[#This Row],[Duration
(A359)]]</f>
        <v>0</v>
      </c>
      <c r="R674" s="307">
        <f>IFERROR(VLOOKUP(Table24[[#This Row],[ROUTE]],PRICING!A:B,2,FALSE),0)</f>
        <v>2659</v>
      </c>
      <c r="S674" s="308">
        <f>Table24[[#This Row],[C_DEMAND]]-Table24[[#This Row],[R-DEMAND]]</f>
        <v>3800</v>
      </c>
      <c r="T674" s="307">
        <f>Table24[[#This Row],[SEATS SOLD]]*Table24[[#This Row],[ECO SEAT]]</f>
        <v>10104200</v>
      </c>
      <c r="U674" s="307">
        <f>Table24[[#This Row],[SEATS SOLD]]*(IFERROR(VLOOKUP(Table24[[#This Row],[ROUTE]],PRICING!A:C,3,FALSE),0))</f>
        <v>11616600</v>
      </c>
      <c r="V674" s="307">
        <f>Table24[[#This Row],[SEAT REV]]-Table24[[#This Row],[SEAT REV
(IF IDEAL $)]]</f>
        <v>-1512400</v>
      </c>
    </row>
    <row r="675" spans="1:22" customFormat="1" x14ac:dyDescent="0.25">
      <c r="A675" s="306" t="s">
        <v>17298</v>
      </c>
      <c r="B675" s="306" t="s">
        <v>4964</v>
      </c>
      <c r="C675" s="306" t="s">
        <v>2</v>
      </c>
      <c r="D675" s="26">
        <v>3</v>
      </c>
      <c r="E675" s="312" t="s">
        <v>502</v>
      </c>
      <c r="F675" s="306" t="str">
        <f>VLOOKUP(Table24[[#This Row],[Country]],Table10[[COUNTRY NAME]:[CONTINENT CODE]],3,FALSE)</f>
        <v>AS</v>
      </c>
      <c r="G675" s="312" t="s">
        <v>10765</v>
      </c>
      <c r="H675" s="309">
        <v>11633</v>
      </c>
      <c r="I675" s="310">
        <v>27.75</v>
      </c>
      <c r="J675" s="307">
        <v>233630318</v>
      </c>
      <c r="K675" s="307">
        <f>IFERROR(Table24[[#This Row],[ROUTE COST]]/Table24[[#This Row],[O - DEMAND]],0)</f>
        <v>60588.775414937758</v>
      </c>
      <c r="L675" s="306">
        <v>3856</v>
      </c>
      <c r="M675" s="310">
        <f>Table24[[#This Row],[O - DEMAND]]/950</f>
        <v>4.0589473684210526</v>
      </c>
      <c r="N675" s="306">
        <f>IFERROR(VLOOKUP(Table24[[#This Row],[ROUTE]],DEMAND!A:F,5,FALSE),0)</f>
        <v>3985</v>
      </c>
      <c r="O675" s="306">
        <f>IFERROR(VLOOKUP(Table24[[#This Row],[ROUTE]],DEMAND!A:F,6,FALSE),0)</f>
        <v>185</v>
      </c>
      <c r="P675" s="306">
        <f>ROUNDDOWN(Table24[[#This Row],[R-DEMAND]]/950,0)</f>
        <v>0</v>
      </c>
      <c r="Q675" s="306">
        <f>Table24[[#This Row],[ADD ACC
(475/950)]]*Table24[[#This Row],[Duration
(A359)]]</f>
        <v>0</v>
      </c>
      <c r="R675" s="307">
        <f>IFERROR(VLOOKUP(Table24[[#This Row],[ROUTE]],PRICING!A:B,2,FALSE),0)</f>
        <v>3353</v>
      </c>
      <c r="S675" s="308">
        <f>Table24[[#This Row],[C_DEMAND]]-Table24[[#This Row],[R-DEMAND]]</f>
        <v>3800</v>
      </c>
      <c r="T675" s="307">
        <f>Table24[[#This Row],[SEATS SOLD]]*Table24[[#This Row],[ECO SEAT]]</f>
        <v>12741400</v>
      </c>
      <c r="U675" s="307">
        <f>Table24[[#This Row],[SEATS SOLD]]*(IFERROR(VLOOKUP(Table24[[#This Row],[ROUTE]],PRICING!A:C,3,FALSE),0))</f>
        <v>14158800</v>
      </c>
      <c r="V675" s="307">
        <f>Table24[[#This Row],[SEAT REV]]-Table24[[#This Row],[SEAT REV
(IF IDEAL $)]]</f>
        <v>-1417400</v>
      </c>
    </row>
    <row r="676" spans="1:22" customFormat="1" x14ac:dyDescent="0.25">
      <c r="A676" s="306" t="s">
        <v>17050</v>
      </c>
      <c r="B676" s="306" t="s">
        <v>3148</v>
      </c>
      <c r="C676" s="306" t="s">
        <v>2</v>
      </c>
      <c r="D676" s="26">
        <v>2</v>
      </c>
      <c r="E676" s="312" t="s">
        <v>3146</v>
      </c>
      <c r="F676" s="306" t="str">
        <f>VLOOKUP(Table24[[#This Row],[Country]],Table10[[COUNTRY NAME]:[CONTINENT CODE]],3,FALSE)</f>
        <v>AF</v>
      </c>
      <c r="G676" s="312" t="s">
        <v>11668</v>
      </c>
      <c r="H676" s="309">
        <v>6457</v>
      </c>
      <c r="I676" s="310">
        <v>16.25</v>
      </c>
      <c r="J676" s="307">
        <v>168398261</v>
      </c>
      <c r="K676" s="307">
        <f>IFERROR(Table24[[#This Row],[ROUTE COST]]/Table24[[#This Row],[O - DEMAND]],0)</f>
        <v>44632.457195865361</v>
      </c>
      <c r="L676" s="306">
        <v>3773</v>
      </c>
      <c r="M676" s="310">
        <f>Table24[[#This Row],[O - DEMAND]]/950</f>
        <v>3.9715789473684211</v>
      </c>
      <c r="N676" s="306">
        <f>IFERROR(VLOOKUP(Table24[[#This Row],[ROUTE]],DEMAND!A:F,5,FALSE),0)</f>
        <v>3987</v>
      </c>
      <c r="O676" s="306">
        <f>IFERROR(VLOOKUP(Table24[[#This Row],[ROUTE]],DEMAND!A:F,6,FALSE),0)</f>
        <v>-763</v>
      </c>
      <c r="P676" s="306">
        <f>ROUNDDOWN(Table24[[#This Row],[R-DEMAND]]/950,0)</f>
        <v>0</v>
      </c>
      <c r="Q676" s="306">
        <f>Table24[[#This Row],[ADD ACC
(475/950)]]*Table24[[#This Row],[Duration
(A359)]]</f>
        <v>0</v>
      </c>
      <c r="R676" s="307">
        <f>IFERROR(VLOOKUP(Table24[[#This Row],[ROUTE]],PRICING!A:B,2,FALSE),0)</f>
        <v>1760</v>
      </c>
      <c r="S676" s="308">
        <f>Table24[[#This Row],[C_DEMAND]]-Table24[[#This Row],[R-DEMAND]]</f>
        <v>4750</v>
      </c>
      <c r="T676" s="307">
        <f>Table24[[#This Row],[SEATS SOLD]]*Table24[[#This Row],[ECO SEAT]]</f>
        <v>8360000</v>
      </c>
      <c r="U676" s="307">
        <f>Table24[[#This Row],[SEATS SOLD]]*(IFERROR(VLOOKUP(Table24[[#This Row],[ROUTE]],PRICING!A:C,3,FALSE),0))</f>
        <v>10074750</v>
      </c>
      <c r="V676" s="307">
        <f>Table24[[#This Row],[SEAT REV]]-Table24[[#This Row],[SEAT REV
(IF IDEAL $)]]</f>
        <v>-1714750</v>
      </c>
    </row>
    <row r="677" spans="1:22" customFormat="1" x14ac:dyDescent="0.25">
      <c r="A677" s="306" t="s">
        <v>17088</v>
      </c>
      <c r="B677" s="306" t="s">
        <v>1851</v>
      </c>
      <c r="C677" s="306" t="s">
        <v>2</v>
      </c>
      <c r="D677" s="26">
        <v>1</v>
      </c>
      <c r="E677" s="312" t="s">
        <v>926</v>
      </c>
      <c r="F677" s="306" t="str">
        <f>VLOOKUP(Table24[[#This Row],[Country]],Table10[[COUNTRY NAME]:[CONTINENT CODE]],3,FALSE)</f>
        <v>AF</v>
      </c>
      <c r="G677" s="312" t="s">
        <v>6801</v>
      </c>
      <c r="H677" s="309">
        <v>11314</v>
      </c>
      <c r="I677" s="310">
        <v>27</v>
      </c>
      <c r="J677" s="307">
        <v>207893890</v>
      </c>
      <c r="K677" s="307">
        <f>IFERROR(Table24[[#This Row],[ROUTE COST]]/Table24[[#This Row],[O - DEMAND]],0)</f>
        <v>72945.224561403506</v>
      </c>
      <c r="L677" s="306">
        <v>2850</v>
      </c>
      <c r="M677" s="310">
        <f>Table24[[#This Row],[O - DEMAND]]/950</f>
        <v>3</v>
      </c>
      <c r="N677" s="306">
        <f>IFERROR(VLOOKUP(Table24[[#This Row],[ROUTE]],DEMAND!A:F,5,FALSE),0)</f>
        <v>3040</v>
      </c>
      <c r="O677" s="306">
        <f>IFERROR(VLOOKUP(Table24[[#This Row],[ROUTE]],DEMAND!A:F,6,FALSE),0)</f>
        <v>190</v>
      </c>
      <c r="P677" s="306">
        <f>ROUNDDOWN(Table24[[#This Row],[R-DEMAND]]/950,0)</f>
        <v>0</v>
      </c>
      <c r="Q677" s="306">
        <f>Table24[[#This Row],[ADD ACC
(475/950)]]*Table24[[#This Row],[Duration
(A359)]]</f>
        <v>0</v>
      </c>
      <c r="R677" s="307">
        <f>IFERROR(VLOOKUP(Table24[[#This Row],[ROUTE]],PRICING!A:B,2,FALSE),0)</f>
        <v>2901</v>
      </c>
      <c r="S677" s="308">
        <f>Table24[[#This Row],[C_DEMAND]]-Table24[[#This Row],[R-DEMAND]]</f>
        <v>2850</v>
      </c>
      <c r="T677" s="307">
        <f>Table24[[#This Row],[SEATS SOLD]]*Table24[[#This Row],[ECO SEAT]]</f>
        <v>8267850</v>
      </c>
      <c r="U677" s="307">
        <f>Table24[[#This Row],[SEATS SOLD]]*(IFERROR(VLOOKUP(Table24[[#This Row],[ROUTE]],PRICING!A:C,3,FALSE),0))</f>
        <v>10336950</v>
      </c>
      <c r="V677" s="307">
        <f>Table24[[#This Row],[SEAT REV]]-Table24[[#This Row],[SEAT REV
(IF IDEAL $)]]</f>
        <v>-2069100</v>
      </c>
    </row>
    <row r="678" spans="1:22" customFormat="1" x14ac:dyDescent="0.25">
      <c r="A678" s="306" t="s">
        <v>17054</v>
      </c>
      <c r="B678" s="306" t="s">
        <v>3463</v>
      </c>
      <c r="C678" s="306" t="s">
        <v>2</v>
      </c>
      <c r="D678" s="26">
        <v>2</v>
      </c>
      <c r="E678" s="312" t="s">
        <v>1124</v>
      </c>
      <c r="F678" s="306" t="str">
        <f>VLOOKUP(Table24[[#This Row],[Country]],Table10[[COUNTRY NAME]:[CONTINENT CODE]],3,FALSE)</f>
        <v>AF</v>
      </c>
      <c r="G678" s="312" t="s">
        <v>11857</v>
      </c>
      <c r="H678" s="309">
        <v>10043</v>
      </c>
      <c r="I678" s="310">
        <v>24.25</v>
      </c>
      <c r="J678" s="307">
        <v>202200452</v>
      </c>
      <c r="K678" s="307">
        <f>IFERROR(Table24[[#This Row],[ROUTE COST]]/Table24[[#This Row],[O - DEMAND]],0)</f>
        <v>70281.700382342722</v>
      </c>
      <c r="L678" s="306">
        <v>2877</v>
      </c>
      <c r="M678" s="310">
        <f>Table24[[#This Row],[O - DEMAND]]/950</f>
        <v>3.0284210526315789</v>
      </c>
      <c r="N678" s="306">
        <f>IFERROR(VLOOKUP(Table24[[#This Row],[ROUTE]],DEMAND!A:F,5,FALSE),0)</f>
        <v>3040</v>
      </c>
      <c r="O678" s="306">
        <f>IFERROR(VLOOKUP(Table24[[#This Row],[ROUTE]],DEMAND!A:F,6,FALSE),0)</f>
        <v>190</v>
      </c>
      <c r="P678" s="306">
        <f>ROUNDDOWN(Table24[[#This Row],[R-DEMAND]]/950,0)</f>
        <v>0</v>
      </c>
      <c r="Q678" s="306">
        <f>Table24[[#This Row],[ADD ACC
(475/950)]]*Table24[[#This Row],[Duration
(A359)]]</f>
        <v>0</v>
      </c>
      <c r="R678" s="307">
        <f>IFERROR(VLOOKUP(Table24[[#This Row],[ROUTE]],PRICING!A:B,2,FALSE),0)</f>
        <v>2683</v>
      </c>
      <c r="S678" s="308">
        <f>Table24[[#This Row],[C_DEMAND]]-Table24[[#This Row],[R-DEMAND]]</f>
        <v>2850</v>
      </c>
      <c r="T678" s="307">
        <f>Table24[[#This Row],[SEATS SOLD]]*Table24[[#This Row],[ECO SEAT]]</f>
        <v>7646550</v>
      </c>
      <c r="U678" s="307">
        <f>Table24[[#This Row],[SEATS SOLD]]*(IFERROR(VLOOKUP(Table24[[#This Row],[ROUTE]],PRICING!A:C,3,FALSE),0))</f>
        <v>9214050</v>
      </c>
      <c r="V678" s="307">
        <f>Table24[[#This Row],[SEAT REV]]-Table24[[#This Row],[SEAT REV
(IF IDEAL $)]]</f>
        <v>-1567500</v>
      </c>
    </row>
    <row r="679" spans="1:22" customFormat="1" x14ac:dyDescent="0.25">
      <c r="A679" s="306" t="s">
        <v>17503</v>
      </c>
      <c r="B679" s="306" t="s">
        <v>5561</v>
      </c>
      <c r="C679" s="306" t="s">
        <v>2</v>
      </c>
      <c r="D679" s="26">
        <v>4</v>
      </c>
      <c r="E679" s="312" t="s">
        <v>83</v>
      </c>
      <c r="F679" s="306" t="str">
        <f>VLOOKUP(Table24[[#This Row],[Country]],Table10[[COUNTRY NAME]:[CONTINENT CODE]],3,FALSE)</f>
        <v>EU</v>
      </c>
      <c r="G679" s="312" t="s">
        <v>16920</v>
      </c>
      <c r="H679" s="309">
        <v>7071</v>
      </c>
      <c r="I679" s="310">
        <v>17.75</v>
      </c>
      <c r="J679" s="307">
        <v>203715273</v>
      </c>
      <c r="K679" s="307">
        <f>IFERROR(Table24[[#This Row],[ROUTE COST]]/Table24[[#This Row],[O - DEMAND]],0)</f>
        <v>71229.116433566436</v>
      </c>
      <c r="L679" s="306">
        <v>2860</v>
      </c>
      <c r="M679" s="310">
        <f>Table24[[#This Row],[O - DEMAND]]/950</f>
        <v>3.0105263157894737</v>
      </c>
      <c r="N679" s="306">
        <f>IFERROR(VLOOKUP(Table24[[#This Row],[ROUTE]],DEMAND!A:F,5,FALSE),0)</f>
        <v>3042</v>
      </c>
      <c r="O679" s="306">
        <f>IFERROR(VLOOKUP(Table24[[#This Row],[ROUTE]],DEMAND!A:F,6,FALSE),0)</f>
        <v>192</v>
      </c>
      <c r="P679" s="306">
        <f>ROUNDDOWN(Table24[[#This Row],[R-DEMAND]]/950,0)</f>
        <v>0</v>
      </c>
      <c r="Q679" s="306">
        <f>Table24[[#This Row],[ADD ACC
(475/950)]]*Table24[[#This Row],[Duration
(A359)]]</f>
        <v>0</v>
      </c>
      <c r="R679" s="307">
        <f>IFERROR(VLOOKUP(Table24[[#This Row],[ROUTE]],PRICING!A:B,2,FALSE),0)</f>
        <v>1872</v>
      </c>
      <c r="S679" s="308">
        <f>Table24[[#This Row],[C_DEMAND]]-Table24[[#This Row],[R-DEMAND]]</f>
        <v>2850</v>
      </c>
      <c r="T679" s="307">
        <f>Table24[[#This Row],[SEATS SOLD]]*Table24[[#This Row],[ECO SEAT]]</f>
        <v>5335200</v>
      </c>
      <c r="U679" s="307">
        <f>Table24[[#This Row],[SEATS SOLD]]*(IFERROR(VLOOKUP(Table24[[#This Row],[ROUTE]],PRICING!A:C,3,FALSE),0))</f>
        <v>6589200</v>
      </c>
      <c r="V679" s="307">
        <f>Table24[[#This Row],[SEAT REV]]-Table24[[#This Row],[SEAT REV
(IF IDEAL $)]]</f>
        <v>-1254000</v>
      </c>
    </row>
    <row r="680" spans="1:22" customFormat="1" x14ac:dyDescent="0.25">
      <c r="A680" s="306" t="s">
        <v>17506</v>
      </c>
      <c r="B680" s="306" t="s">
        <v>5619</v>
      </c>
      <c r="C680" s="306" t="s">
        <v>2</v>
      </c>
      <c r="D680" s="26">
        <v>4</v>
      </c>
      <c r="E680" s="312" t="s">
        <v>119</v>
      </c>
      <c r="F680" s="306" t="str">
        <f>VLOOKUP(Table24[[#This Row],[Country]],Table10[[COUNTRY NAME]:[CONTINENT CODE]],3,FALSE)</f>
        <v>EU</v>
      </c>
      <c r="G680" s="312" t="s">
        <v>11117</v>
      </c>
      <c r="H680" s="309">
        <v>6836</v>
      </c>
      <c r="I680" s="310">
        <v>17.25</v>
      </c>
      <c r="J680" s="307">
        <v>206107596</v>
      </c>
      <c r="K680" s="307">
        <f>IFERROR(Table24[[#This Row],[ROUTE COST]]/Table24[[#This Row],[O - DEMAND]],0)</f>
        <v>71789.479623824445</v>
      </c>
      <c r="L680" s="306">
        <v>2871</v>
      </c>
      <c r="M680" s="310">
        <f>Table24[[#This Row],[O - DEMAND]]/950</f>
        <v>3.0221052631578948</v>
      </c>
      <c r="N680" s="306">
        <f>IFERROR(VLOOKUP(Table24[[#This Row],[ROUTE]],DEMAND!A:F,5,FALSE),0)</f>
        <v>3043</v>
      </c>
      <c r="O680" s="306">
        <f>IFERROR(VLOOKUP(Table24[[#This Row],[ROUTE]],DEMAND!A:F,6,FALSE),0)</f>
        <v>193</v>
      </c>
      <c r="P680" s="306">
        <f>ROUNDDOWN(Table24[[#This Row],[R-DEMAND]]/950,0)</f>
        <v>0</v>
      </c>
      <c r="Q680" s="306">
        <f>Table24[[#This Row],[ADD ACC
(475/950)]]*Table24[[#This Row],[Duration
(A359)]]</f>
        <v>0</v>
      </c>
      <c r="R680" s="307">
        <f>IFERROR(VLOOKUP(Table24[[#This Row],[ROUTE]],PRICING!A:B,2,FALSE),0)</f>
        <v>1835</v>
      </c>
      <c r="S680" s="308">
        <f>Table24[[#This Row],[C_DEMAND]]-Table24[[#This Row],[R-DEMAND]]</f>
        <v>2850</v>
      </c>
      <c r="T680" s="307">
        <f>Table24[[#This Row],[SEATS SOLD]]*Table24[[#This Row],[ECO SEAT]]</f>
        <v>5229750</v>
      </c>
      <c r="U680" s="307">
        <f>Table24[[#This Row],[SEATS SOLD]]*(IFERROR(VLOOKUP(Table24[[#This Row],[ROUTE]],PRICING!A:C,3,FALSE),0))</f>
        <v>6381150</v>
      </c>
      <c r="V680" s="307">
        <f>Table24[[#This Row],[SEAT REV]]-Table24[[#This Row],[SEAT REV
(IF IDEAL $)]]</f>
        <v>-1151400</v>
      </c>
    </row>
    <row r="681" spans="1:22" customFormat="1" x14ac:dyDescent="0.25">
      <c r="A681" s="306" t="s">
        <v>18054</v>
      </c>
      <c r="B681" s="306" t="s">
        <v>4945</v>
      </c>
      <c r="C681" s="306" t="s">
        <v>2</v>
      </c>
      <c r="D681" s="26">
        <v>3</v>
      </c>
      <c r="E681" s="312" t="s">
        <v>714</v>
      </c>
      <c r="F681" s="306" t="str">
        <f>VLOOKUP(Table24[[#This Row],[Country]],Table10[[COUNTRY NAME]:[CONTINENT CODE]],3,FALSE)</f>
        <v>SA</v>
      </c>
      <c r="G681" s="312" t="s">
        <v>13236</v>
      </c>
      <c r="H681" s="309">
        <v>3160</v>
      </c>
      <c r="I681" s="310">
        <v>9</v>
      </c>
      <c r="J681" s="307">
        <v>148442509</v>
      </c>
      <c r="K681" s="307">
        <f>IFERROR(Table24[[#This Row],[ROUTE COST]]/Table24[[#This Row],[O - DEMAND]],0)</f>
        <v>39012.485939553218</v>
      </c>
      <c r="L681" s="306">
        <v>3805</v>
      </c>
      <c r="M681" s="310">
        <f>Table24[[#This Row],[O - DEMAND]]/950</f>
        <v>4.0052631578947366</v>
      </c>
      <c r="N681" s="306">
        <f>IFERROR(VLOOKUP(Table24[[#This Row],[ROUTE]],DEMAND!A:F,5,FALSE),0)</f>
        <v>3995</v>
      </c>
      <c r="O681" s="306">
        <f>IFERROR(VLOOKUP(Table24[[#This Row],[ROUTE]],DEMAND!A:F,6,FALSE),0)</f>
        <v>195</v>
      </c>
      <c r="P681" s="306">
        <f>ROUNDDOWN(Table24[[#This Row],[R-DEMAND]]/950,0)</f>
        <v>0</v>
      </c>
      <c r="Q681" s="306">
        <f>Table24[[#This Row],[ADD ACC
(475/950)]]*Table24[[#This Row],[Duration
(A359)]]</f>
        <v>0</v>
      </c>
      <c r="R681" s="307">
        <f>IFERROR(VLOOKUP(Table24[[#This Row],[ROUTE]],PRICING!A:B,2,FALSE),0)</f>
        <v>934</v>
      </c>
      <c r="S681" s="308">
        <f>Table24[[#This Row],[C_DEMAND]]-Table24[[#This Row],[R-DEMAND]]</f>
        <v>3800</v>
      </c>
      <c r="T681" s="307">
        <f>Table24[[#This Row],[SEATS SOLD]]*Table24[[#This Row],[ECO SEAT]]</f>
        <v>3549200</v>
      </c>
      <c r="U681" s="307">
        <f>Table24[[#This Row],[SEATS SOLD]]*(IFERROR(VLOOKUP(Table24[[#This Row],[ROUTE]],PRICING!A:C,3,FALSE),0))</f>
        <v>4176200</v>
      </c>
      <c r="V681" s="307">
        <f>Table24[[#This Row],[SEAT REV]]-Table24[[#This Row],[SEAT REV
(IF IDEAL $)]]</f>
        <v>-627000</v>
      </c>
    </row>
    <row r="682" spans="1:22" customFormat="1" x14ac:dyDescent="0.25">
      <c r="A682" s="306" t="s">
        <v>17737</v>
      </c>
      <c r="B682" s="306" t="s">
        <v>5480</v>
      </c>
      <c r="C682" s="306" t="s">
        <v>2</v>
      </c>
      <c r="D682" s="26">
        <v>4</v>
      </c>
      <c r="E682" s="312" t="s">
        <v>1749</v>
      </c>
      <c r="F682" s="306" t="str">
        <f>VLOOKUP(Table24[[#This Row],[Country]],Table10[[COUNTRY NAME]:[CONTINENT CODE]],3,FALSE)</f>
        <v>NA</v>
      </c>
      <c r="G682" s="312" t="s">
        <v>13219</v>
      </c>
      <c r="H682" s="309">
        <v>3252</v>
      </c>
      <c r="I682" s="310">
        <v>9.25</v>
      </c>
      <c r="J682" s="307">
        <v>162230551</v>
      </c>
      <c r="K682" s="307">
        <f>IFERROR(Table24[[#This Row],[ROUTE COST]]/Table24[[#This Row],[O - DEMAND]],0)</f>
        <v>42703.488023163991</v>
      </c>
      <c r="L682" s="306">
        <v>3799</v>
      </c>
      <c r="M682" s="310">
        <f>Table24[[#This Row],[O - DEMAND]]/950</f>
        <v>3.9989473684210526</v>
      </c>
      <c r="N682" s="306">
        <f>IFERROR(VLOOKUP(Table24[[#This Row],[ROUTE]],DEMAND!A:F,5,FALSE),0)</f>
        <v>4002</v>
      </c>
      <c r="O682" s="306">
        <f>IFERROR(VLOOKUP(Table24[[#This Row],[ROUTE]],DEMAND!A:F,6,FALSE),0)</f>
        <v>202</v>
      </c>
      <c r="P682" s="306">
        <f>ROUNDDOWN(Table24[[#This Row],[R-DEMAND]]/950,0)</f>
        <v>0</v>
      </c>
      <c r="Q682" s="306">
        <f>Table24[[#This Row],[ADD ACC
(475/950)]]*Table24[[#This Row],[Duration
(A359)]]</f>
        <v>0</v>
      </c>
      <c r="R682" s="307">
        <f>IFERROR(VLOOKUP(Table24[[#This Row],[ROUTE]],PRICING!A:B,2,FALSE),0)</f>
        <v>947</v>
      </c>
      <c r="S682" s="308">
        <f>Table24[[#This Row],[C_DEMAND]]-Table24[[#This Row],[R-DEMAND]]</f>
        <v>3800</v>
      </c>
      <c r="T682" s="307">
        <f>Table24[[#This Row],[SEATS SOLD]]*Table24[[#This Row],[ECO SEAT]]</f>
        <v>3598600</v>
      </c>
      <c r="U682" s="307">
        <f>Table24[[#This Row],[SEATS SOLD]]*(IFERROR(VLOOKUP(Table24[[#This Row],[ROUTE]],PRICING!A:C,3,FALSE),0))</f>
        <v>4286400</v>
      </c>
      <c r="V682" s="307">
        <f>Table24[[#This Row],[SEAT REV]]-Table24[[#This Row],[SEAT REV
(IF IDEAL $)]]</f>
        <v>-687800</v>
      </c>
    </row>
    <row r="683" spans="1:22" customFormat="1" x14ac:dyDescent="0.25">
      <c r="A683" s="306" t="s">
        <v>18057</v>
      </c>
      <c r="B683" s="306" t="s">
        <v>5021</v>
      </c>
      <c r="C683" s="306" t="s">
        <v>2</v>
      </c>
      <c r="D683" s="26">
        <v>3</v>
      </c>
      <c r="E683" s="312" t="s">
        <v>860</v>
      </c>
      <c r="F683" s="306" t="str">
        <f>VLOOKUP(Table24[[#This Row],[Country]],Table10[[COUNTRY NAME]:[CONTINENT CODE]],3,FALSE)</f>
        <v>SA</v>
      </c>
      <c r="G683" s="312" t="s">
        <v>13183</v>
      </c>
      <c r="H683" s="309">
        <v>1730</v>
      </c>
      <c r="I683" s="310">
        <v>6</v>
      </c>
      <c r="J683" s="307">
        <v>134453426</v>
      </c>
      <c r="K683" s="307">
        <f>IFERROR(Table24[[#This Row],[ROUTE COST]]/Table24[[#This Row],[O - DEMAND]],0)</f>
        <v>45484.920838971586</v>
      </c>
      <c r="L683" s="306">
        <v>2956</v>
      </c>
      <c r="M683" s="310">
        <f>Table24[[#This Row],[O - DEMAND]]/950</f>
        <v>3.1115789473684212</v>
      </c>
      <c r="N683" s="306">
        <f>IFERROR(VLOOKUP(Table24[[#This Row],[ROUTE]],DEMAND!A:F,5,FALSE),0)</f>
        <v>3055</v>
      </c>
      <c r="O683" s="306">
        <f>IFERROR(VLOOKUP(Table24[[#This Row],[ROUTE]],DEMAND!A:F,6,FALSE),0)</f>
        <v>205</v>
      </c>
      <c r="P683" s="306">
        <f>ROUNDDOWN(Table24[[#This Row],[R-DEMAND]]/950,0)</f>
        <v>0</v>
      </c>
      <c r="Q683" s="306">
        <f>Table24[[#This Row],[ADD ACC
(475/950)]]*Table24[[#This Row],[Duration
(A359)]]</f>
        <v>0</v>
      </c>
      <c r="R683" s="307">
        <f>IFERROR(VLOOKUP(Table24[[#This Row],[ROUTE]],PRICING!A:B,2,FALSE),0)</f>
        <v>590</v>
      </c>
      <c r="S683" s="308">
        <f>Table24[[#This Row],[C_DEMAND]]-Table24[[#This Row],[R-DEMAND]]</f>
        <v>2850</v>
      </c>
      <c r="T683" s="307">
        <f>Table24[[#This Row],[SEATS SOLD]]*Table24[[#This Row],[ECO SEAT]]</f>
        <v>1681500</v>
      </c>
      <c r="U683" s="307">
        <f>Table24[[#This Row],[SEATS SOLD]]*(IFERROR(VLOOKUP(Table24[[#This Row],[ROUTE]],PRICING!A:C,3,FALSE),0))</f>
        <v>1869600</v>
      </c>
      <c r="V683" s="307">
        <f>Table24[[#This Row],[SEAT REV]]-Table24[[#This Row],[SEAT REV
(IF IDEAL $)]]</f>
        <v>-188100</v>
      </c>
    </row>
    <row r="684" spans="1:22" customFormat="1" x14ac:dyDescent="0.25">
      <c r="A684" s="306" t="s">
        <v>17492</v>
      </c>
      <c r="B684" s="306" t="s">
        <v>5585</v>
      </c>
      <c r="C684" s="306" t="s">
        <v>2</v>
      </c>
      <c r="D684" s="26">
        <v>4</v>
      </c>
      <c r="E684" s="312" t="s">
        <v>1427</v>
      </c>
      <c r="F684" s="306" t="str">
        <f>VLOOKUP(Table24[[#This Row],[Country]],Table10[[COUNTRY NAME]:[CONTINENT CODE]],3,FALSE)</f>
        <v>EU</v>
      </c>
      <c r="G684" s="312" t="s">
        <v>11041</v>
      </c>
      <c r="H684" s="309">
        <v>7855</v>
      </c>
      <c r="I684" s="310">
        <v>19.25</v>
      </c>
      <c r="J684" s="307">
        <v>213350230</v>
      </c>
      <c r="K684" s="307">
        <f>IFERROR(Table24[[#This Row],[ROUTE COST]]/Table24[[#This Row],[O - DEMAND]],0)</f>
        <v>73265.87568681319</v>
      </c>
      <c r="L684" s="306">
        <v>2912</v>
      </c>
      <c r="M684" s="310">
        <f>Table24[[#This Row],[O - DEMAND]]/950</f>
        <v>3.0652631578947367</v>
      </c>
      <c r="N684" s="306">
        <f>IFERROR(VLOOKUP(Table24[[#This Row],[ROUTE]],DEMAND!A:F,5,FALSE),0)</f>
        <v>3058</v>
      </c>
      <c r="O684" s="306">
        <f>IFERROR(VLOOKUP(Table24[[#This Row],[ROUTE]],DEMAND!A:F,6,FALSE),0)</f>
        <v>208</v>
      </c>
      <c r="P684" s="306">
        <f>ROUNDDOWN(Table24[[#This Row],[R-DEMAND]]/950,0)</f>
        <v>0</v>
      </c>
      <c r="Q684" s="306">
        <f>Table24[[#This Row],[ADD ACC
(475/950)]]*Table24[[#This Row],[Duration
(A359)]]</f>
        <v>0</v>
      </c>
      <c r="R684" s="307">
        <f>IFERROR(VLOOKUP(Table24[[#This Row],[ROUTE]],PRICING!A:B,2,FALSE),0)</f>
        <v>2171</v>
      </c>
      <c r="S684" s="308">
        <f>Table24[[#This Row],[C_DEMAND]]-Table24[[#This Row],[R-DEMAND]]</f>
        <v>2850</v>
      </c>
      <c r="T684" s="307">
        <f>Table24[[#This Row],[SEATS SOLD]]*Table24[[#This Row],[ECO SEAT]]</f>
        <v>6187350</v>
      </c>
      <c r="U684" s="307">
        <f>Table24[[#This Row],[SEATS SOLD]]*(IFERROR(VLOOKUP(Table24[[#This Row],[ROUTE]],PRICING!A:C,3,FALSE),0))</f>
        <v>7281750</v>
      </c>
      <c r="V684" s="307">
        <f>Table24[[#This Row],[SEAT REV]]-Table24[[#This Row],[SEAT REV
(IF IDEAL $)]]</f>
        <v>-1094400</v>
      </c>
    </row>
    <row r="685" spans="1:22" customFormat="1" x14ac:dyDescent="0.25">
      <c r="A685" s="306" t="s">
        <v>17481</v>
      </c>
      <c r="B685" s="306" t="s">
        <v>5526</v>
      </c>
      <c r="C685" s="306" t="s">
        <v>2</v>
      </c>
      <c r="D685" s="26">
        <v>4</v>
      </c>
      <c r="E685" s="312" t="s">
        <v>1420</v>
      </c>
      <c r="F685" s="306" t="str">
        <f>VLOOKUP(Table24[[#This Row],[Country]],Table10[[COUNTRY NAME]:[CONTINENT CODE]],3,FALSE)</f>
        <v>EU</v>
      </c>
      <c r="G685" s="312" t="s">
        <v>11108</v>
      </c>
      <c r="H685" s="309">
        <v>9213</v>
      </c>
      <c r="I685" s="310">
        <v>22.25</v>
      </c>
      <c r="J685" s="307">
        <v>223056138</v>
      </c>
      <c r="K685" s="307">
        <f>IFERROR(Table24[[#This Row],[ROUTE COST]]/Table24[[#This Row],[O - DEMAND]],0)</f>
        <v>58947.182346723042</v>
      </c>
      <c r="L685" s="306">
        <v>3784</v>
      </c>
      <c r="M685" s="310">
        <f>Table24[[#This Row],[O - DEMAND]]/950</f>
        <v>3.9831578947368422</v>
      </c>
      <c r="N685" s="306">
        <f>IFERROR(VLOOKUP(Table24[[#This Row],[ROUTE]],DEMAND!A:F,5,FALSE),0)</f>
        <v>4011</v>
      </c>
      <c r="O685" s="306">
        <f>IFERROR(VLOOKUP(Table24[[#This Row],[ROUTE]],DEMAND!A:F,6,FALSE),0)</f>
        <v>211</v>
      </c>
      <c r="P685" s="306">
        <f>ROUNDDOWN(Table24[[#This Row],[R-DEMAND]]/950,0)</f>
        <v>0</v>
      </c>
      <c r="Q685" s="306">
        <f>Table24[[#This Row],[ADD ACC
(475/950)]]*Table24[[#This Row],[Duration
(A359)]]</f>
        <v>0</v>
      </c>
      <c r="R685" s="307">
        <f>IFERROR(VLOOKUP(Table24[[#This Row],[ROUTE]],PRICING!A:B,2,FALSE),0)</f>
        <v>2440</v>
      </c>
      <c r="S685" s="308">
        <f>Table24[[#This Row],[C_DEMAND]]-Table24[[#This Row],[R-DEMAND]]</f>
        <v>3800</v>
      </c>
      <c r="T685" s="307">
        <f>Table24[[#This Row],[SEATS SOLD]]*Table24[[#This Row],[ECO SEAT]]</f>
        <v>9272000</v>
      </c>
      <c r="U685" s="307">
        <f>Table24[[#This Row],[SEATS SOLD]]*(IFERROR(VLOOKUP(Table24[[#This Row],[ROUTE]],PRICING!A:C,3,FALSE),0))</f>
        <v>11308800</v>
      </c>
      <c r="V685" s="307">
        <f>Table24[[#This Row],[SEAT REV]]-Table24[[#This Row],[SEAT REV
(IF IDEAL $)]]</f>
        <v>-2036800</v>
      </c>
    </row>
    <row r="686" spans="1:22" customFormat="1" x14ac:dyDescent="0.25">
      <c r="A686" s="306" t="s">
        <v>17825</v>
      </c>
      <c r="B686" s="306" t="s">
        <v>5737</v>
      </c>
      <c r="C686" s="306" t="s">
        <v>2</v>
      </c>
      <c r="D686" s="26">
        <v>5</v>
      </c>
      <c r="E686" s="312" t="s">
        <v>11732</v>
      </c>
      <c r="F686" s="306" t="str">
        <f>VLOOKUP(Table24[[#This Row],[Country]],Table10[[COUNTRY NAME]:[CONTINENT CODE]],3,FALSE)</f>
        <v>NA - US</v>
      </c>
      <c r="G686" s="312" t="s">
        <v>13258</v>
      </c>
      <c r="H686" s="309">
        <v>5277</v>
      </c>
      <c r="I686" s="310">
        <v>13.75</v>
      </c>
      <c r="J686" s="307">
        <v>209493421</v>
      </c>
      <c r="K686" s="307">
        <f>IFERROR(Table24[[#This Row],[ROUTE COST]]/Table24[[#This Row],[O - DEMAND]],0)</f>
        <v>72994.223344947735</v>
      </c>
      <c r="L686" s="306">
        <v>2870</v>
      </c>
      <c r="M686" s="310">
        <f>Table24[[#This Row],[O - DEMAND]]/950</f>
        <v>3.0210526315789474</v>
      </c>
      <c r="N686" s="306">
        <f>IFERROR(VLOOKUP(Table24[[#This Row],[ROUTE]],DEMAND!A:F,5,FALSE),0)</f>
        <v>3061</v>
      </c>
      <c r="O686" s="306">
        <f>IFERROR(VLOOKUP(Table24[[#This Row],[ROUTE]],DEMAND!A:F,6,FALSE),0)</f>
        <v>211</v>
      </c>
      <c r="P686" s="306">
        <f>ROUNDDOWN(Table24[[#This Row],[R-DEMAND]]/950,0)</f>
        <v>0</v>
      </c>
      <c r="Q686" s="306">
        <f>Table24[[#This Row],[ADD ACC
(475/950)]]*Table24[[#This Row],[Duration
(A359)]]</f>
        <v>0</v>
      </c>
      <c r="R686" s="307">
        <f>IFERROR(VLOOKUP(Table24[[#This Row],[ROUTE]],PRICING!A:B,2,FALSE),0)</f>
        <v>1404</v>
      </c>
      <c r="S686" s="308">
        <f>Table24[[#This Row],[C_DEMAND]]-Table24[[#This Row],[R-DEMAND]]</f>
        <v>2850</v>
      </c>
      <c r="T686" s="307">
        <f>Table24[[#This Row],[SEATS SOLD]]*Table24[[#This Row],[ECO SEAT]]</f>
        <v>4001400</v>
      </c>
      <c r="U686" s="307">
        <f>Table24[[#This Row],[SEATS SOLD]]*(IFERROR(VLOOKUP(Table24[[#This Row],[ROUTE]],PRICING!A:C,3,FALSE),0))</f>
        <v>5001750</v>
      </c>
      <c r="V686" s="307">
        <f>Table24[[#This Row],[SEAT REV]]-Table24[[#This Row],[SEAT REV
(IF IDEAL $)]]</f>
        <v>-1000350</v>
      </c>
    </row>
    <row r="687" spans="1:22" customFormat="1" x14ac:dyDescent="0.25">
      <c r="A687" s="306" t="s">
        <v>17779</v>
      </c>
      <c r="B687" s="306" t="s">
        <v>4508</v>
      </c>
      <c r="C687" s="306" t="s">
        <v>2</v>
      </c>
      <c r="D687" s="26">
        <v>2</v>
      </c>
      <c r="E687" s="312" t="s">
        <v>1749</v>
      </c>
      <c r="F687" s="306" t="str">
        <f>VLOOKUP(Table24[[#This Row],[Country]],Table10[[COUNTRY NAME]:[CONTINENT CODE]],3,FALSE)</f>
        <v>NA</v>
      </c>
      <c r="G687" s="312" t="s">
        <v>16974</v>
      </c>
      <c r="H687" s="309">
        <v>3559</v>
      </c>
      <c r="I687" s="310">
        <v>10</v>
      </c>
      <c r="J687" s="307">
        <v>145755634</v>
      </c>
      <c r="K687" s="307">
        <f>IFERROR(Table24[[#This Row],[ROUTE COST]]/Table24[[#This Row],[O - DEMAND]],0)</f>
        <v>49325.087648054148</v>
      </c>
      <c r="L687" s="306">
        <v>2955</v>
      </c>
      <c r="M687" s="310">
        <f>Table24[[#This Row],[O - DEMAND]]/950</f>
        <v>3.1105263157894738</v>
      </c>
      <c r="N687" s="306">
        <f>IFERROR(VLOOKUP(Table24[[#This Row],[ROUTE]],DEMAND!A:F,5,FALSE),0)</f>
        <v>3064</v>
      </c>
      <c r="O687" s="306">
        <f>IFERROR(VLOOKUP(Table24[[#This Row],[ROUTE]],DEMAND!A:F,6,FALSE),0)</f>
        <v>214</v>
      </c>
      <c r="P687" s="306">
        <f>ROUNDDOWN(Table24[[#This Row],[R-DEMAND]]/950,0)</f>
        <v>0</v>
      </c>
      <c r="Q687" s="306">
        <f>Table24[[#This Row],[ADD ACC
(475/950)]]*Table24[[#This Row],[Duration
(A359)]]</f>
        <v>0</v>
      </c>
      <c r="R687" s="307">
        <f>IFERROR(VLOOKUP(Table24[[#This Row],[ROUTE]],PRICING!A:B,2,FALSE),0)</f>
        <v>1088</v>
      </c>
      <c r="S687" s="308">
        <f>Table24[[#This Row],[C_DEMAND]]-Table24[[#This Row],[R-DEMAND]]</f>
        <v>2850</v>
      </c>
      <c r="T687" s="307">
        <f>Table24[[#This Row],[SEATS SOLD]]*Table24[[#This Row],[ECO SEAT]]</f>
        <v>3100800</v>
      </c>
      <c r="U687" s="307">
        <f>Table24[[#This Row],[SEATS SOLD]]*(IFERROR(VLOOKUP(Table24[[#This Row],[ROUTE]],PRICING!A:C,3,FALSE),0))</f>
        <v>3485550</v>
      </c>
      <c r="V687" s="307">
        <f>Table24[[#This Row],[SEAT REV]]-Table24[[#This Row],[SEAT REV
(IF IDEAL $)]]</f>
        <v>-384750</v>
      </c>
    </row>
    <row r="688" spans="1:22" customFormat="1" x14ac:dyDescent="0.25">
      <c r="A688" s="306" t="s">
        <v>17214</v>
      </c>
      <c r="B688" s="306" t="s">
        <v>378</v>
      </c>
      <c r="C688" s="306" t="s">
        <v>2</v>
      </c>
      <c r="D688" s="26">
        <v>4</v>
      </c>
      <c r="E688" s="312" t="s">
        <v>1070</v>
      </c>
      <c r="F688" s="306" t="str">
        <f>VLOOKUP(Table24[[#This Row],[Country]],Table10[[COUNTRY NAME]:[CONTINENT CODE]],3,FALSE)</f>
        <v>AS</v>
      </c>
      <c r="G688" s="312" t="s">
        <v>12071</v>
      </c>
      <c r="H688" s="309">
        <v>14979</v>
      </c>
      <c r="I688" s="310">
        <v>35</v>
      </c>
      <c r="J688" s="307">
        <v>284309484</v>
      </c>
      <c r="K688" s="307">
        <f>IFERROR(Table24[[#This Row],[ROUTE COST]]/Table24[[#This Row],[O - DEMAND]],0)</f>
        <v>74348.714435146438</v>
      </c>
      <c r="L688" s="306">
        <v>3824</v>
      </c>
      <c r="M688" s="310">
        <f>Table24[[#This Row],[O - DEMAND]]/950</f>
        <v>4.0252631578947371</v>
      </c>
      <c r="N688" s="306">
        <f>IFERROR(VLOOKUP(Table24[[#This Row],[ROUTE]],DEMAND!A:F,5,FALSE),0)</f>
        <v>4015</v>
      </c>
      <c r="O688" s="306">
        <f>IFERROR(VLOOKUP(Table24[[#This Row],[ROUTE]],DEMAND!A:F,6,FALSE),0)</f>
        <v>215</v>
      </c>
      <c r="P688" s="306">
        <f>ROUNDDOWN(Table24[[#This Row],[R-DEMAND]]/950,0)</f>
        <v>0</v>
      </c>
      <c r="Q688" s="306">
        <f>Table24[[#This Row],[ADD ACC
(475/950)]]*Table24[[#This Row],[Duration
(A359)]]</f>
        <v>0</v>
      </c>
      <c r="R688" s="307">
        <f>IFERROR(VLOOKUP(Table24[[#This Row],[ROUTE]],PRICING!A:B,2,FALSE),0)</f>
        <v>4048</v>
      </c>
      <c r="S688" s="308">
        <f>Table24[[#This Row],[C_DEMAND]]-Table24[[#This Row],[R-DEMAND]]</f>
        <v>3800</v>
      </c>
      <c r="T688" s="307">
        <f>Table24[[#This Row],[SEATS SOLD]]*Table24[[#This Row],[ECO SEAT]]</f>
        <v>15382400</v>
      </c>
      <c r="U688" s="307">
        <f>Table24[[#This Row],[SEATS SOLD]]*(IFERROR(VLOOKUP(Table24[[#This Row],[ROUTE]],PRICING!A:C,3,FALSE),0))</f>
        <v>18099400</v>
      </c>
      <c r="V688" s="307">
        <f>Table24[[#This Row],[SEAT REV]]-Table24[[#This Row],[SEAT REV
(IF IDEAL $)]]</f>
        <v>-2717000</v>
      </c>
    </row>
    <row r="689" spans="1:22" customFormat="1" x14ac:dyDescent="0.25">
      <c r="A689" s="306" t="s">
        <v>17058</v>
      </c>
      <c r="B689" s="306" t="s">
        <v>3215</v>
      </c>
      <c r="C689" s="306" t="s">
        <v>2</v>
      </c>
      <c r="D689" s="26">
        <v>2</v>
      </c>
      <c r="E689" s="312" t="s">
        <v>3213</v>
      </c>
      <c r="F689" s="306" t="str">
        <f>VLOOKUP(Table24[[#This Row],[Country]],Table10[[COUNTRY NAME]:[CONTINENT CODE]],3,FALSE)</f>
        <v>AF</v>
      </c>
      <c r="G689" s="312" t="s">
        <v>11944</v>
      </c>
      <c r="H689" s="309">
        <v>12189</v>
      </c>
      <c r="I689" s="310">
        <v>29</v>
      </c>
      <c r="J689" s="307">
        <v>224735029</v>
      </c>
      <c r="K689" s="307">
        <f>IFERROR(Table24[[#This Row],[ROUTE COST]]/Table24[[#This Row],[O - DEMAND]],0)</f>
        <v>58372.734805194807</v>
      </c>
      <c r="L689" s="306">
        <v>3850</v>
      </c>
      <c r="M689" s="310">
        <f>Table24[[#This Row],[O - DEMAND]]/950</f>
        <v>4.0526315789473681</v>
      </c>
      <c r="N689" s="306">
        <f>IFERROR(VLOOKUP(Table24[[#This Row],[ROUTE]],DEMAND!A:F,5,FALSE),0)</f>
        <v>4017</v>
      </c>
      <c r="O689" s="306">
        <f>IFERROR(VLOOKUP(Table24[[#This Row],[ROUTE]],DEMAND!A:F,6,FALSE),0)</f>
        <v>217</v>
      </c>
      <c r="P689" s="306">
        <f>ROUNDDOWN(Table24[[#This Row],[R-DEMAND]]/950,0)</f>
        <v>0</v>
      </c>
      <c r="Q689" s="306">
        <f>Table24[[#This Row],[ADD ACC
(475/950)]]*Table24[[#This Row],[Duration
(A359)]]</f>
        <v>0</v>
      </c>
      <c r="R689" s="307">
        <f>IFERROR(VLOOKUP(Table24[[#This Row],[ROUTE]],PRICING!A:B,2,FALSE),0)</f>
        <v>3391</v>
      </c>
      <c r="S689" s="308">
        <f>Table24[[#This Row],[C_DEMAND]]-Table24[[#This Row],[R-DEMAND]]</f>
        <v>3800</v>
      </c>
      <c r="T689" s="307">
        <f>Table24[[#This Row],[SEATS SOLD]]*Table24[[#This Row],[ECO SEAT]]</f>
        <v>12885800</v>
      </c>
      <c r="U689" s="307">
        <f>Table24[[#This Row],[SEATS SOLD]]*(IFERROR(VLOOKUP(Table24[[#This Row],[ROUTE]],PRICING!A:C,3,FALSE),0))</f>
        <v>14812400</v>
      </c>
      <c r="V689" s="307">
        <f>Table24[[#This Row],[SEAT REV]]-Table24[[#This Row],[SEAT REV
(IF IDEAL $)]]</f>
        <v>-1926600</v>
      </c>
    </row>
    <row r="690" spans="1:22" customFormat="1" x14ac:dyDescent="0.25">
      <c r="A690" s="306" t="s">
        <v>17477</v>
      </c>
      <c r="B690" s="306" t="s">
        <v>5697</v>
      </c>
      <c r="C690" s="306" t="s">
        <v>2</v>
      </c>
      <c r="D690" s="26">
        <v>5</v>
      </c>
      <c r="E690" s="312" t="s">
        <v>1858</v>
      </c>
      <c r="F690" s="306" t="str">
        <f>VLOOKUP(Table24[[#This Row],[Country]],Table10[[COUNTRY NAME]:[CONTINENT CODE]],3,FALSE)</f>
        <v>EU</v>
      </c>
      <c r="G690" s="312" t="s">
        <v>16928</v>
      </c>
      <c r="H690" s="309">
        <v>6780</v>
      </c>
      <c r="I690" s="310">
        <v>17</v>
      </c>
      <c r="J690" s="307">
        <v>214163264</v>
      </c>
      <c r="K690" s="307">
        <f>IFERROR(Table24[[#This Row],[ROUTE COST]]/Table24[[#This Row],[O - DEMAND]],0)</f>
        <v>53261.194727679678</v>
      </c>
      <c r="L690" s="306">
        <v>4021</v>
      </c>
      <c r="M690" s="310">
        <f>Table24[[#This Row],[O - DEMAND]]/950</f>
        <v>4.2326315789473687</v>
      </c>
      <c r="N690" s="306">
        <f>IFERROR(VLOOKUP(Table24[[#This Row],[ROUTE]],DEMAND!A:F,5,FALSE),0)</f>
        <v>4021</v>
      </c>
      <c r="O690" s="306">
        <f>IFERROR(VLOOKUP(Table24[[#This Row],[ROUTE]],DEMAND!A:F,6,FALSE),0)</f>
        <v>-1679</v>
      </c>
      <c r="P690" s="306">
        <f>ROUNDDOWN(Table24[[#This Row],[R-DEMAND]]/950,0)</f>
        <v>-1</v>
      </c>
      <c r="Q690" s="306">
        <f>Table24[[#This Row],[ADD ACC
(475/950)]]*Table24[[#This Row],[Duration
(A359)]]</f>
        <v>-17</v>
      </c>
      <c r="R690" s="307">
        <f>IFERROR(VLOOKUP(Table24[[#This Row],[ROUTE]],PRICING!A:B,2,FALSE),0)</f>
        <v>1887</v>
      </c>
      <c r="S690" s="308">
        <f>Table24[[#This Row],[C_DEMAND]]-Table24[[#This Row],[R-DEMAND]]</f>
        <v>5700</v>
      </c>
      <c r="T690" s="307">
        <f>Table24[[#This Row],[SEATS SOLD]]*Table24[[#This Row],[ECO SEAT]]</f>
        <v>10755900</v>
      </c>
      <c r="U690" s="307">
        <f>Table24[[#This Row],[SEATS SOLD]]*(IFERROR(VLOOKUP(Table24[[#This Row],[ROUTE]],PRICING!A:C,3,FALSE),0))</f>
        <v>0</v>
      </c>
      <c r="V690" s="307">
        <f>Table24[[#This Row],[SEAT REV]]-Table24[[#This Row],[SEAT REV
(IF IDEAL $)]]</f>
        <v>10755900</v>
      </c>
    </row>
    <row r="691" spans="1:22" customFormat="1" x14ac:dyDescent="0.25">
      <c r="A691" s="306" t="s">
        <v>17306</v>
      </c>
      <c r="B691" s="306" t="s">
        <v>5072</v>
      </c>
      <c r="C691" s="306" t="s">
        <v>2</v>
      </c>
      <c r="D691" s="26">
        <v>3</v>
      </c>
      <c r="E691" s="312" t="s">
        <v>700</v>
      </c>
      <c r="F691" s="306" t="str">
        <f>VLOOKUP(Table24[[#This Row],[Country]],Table10[[COUNTRY NAME]:[CONTINENT CODE]],3,FALSE)</f>
        <v>AS</v>
      </c>
      <c r="G691" s="312" t="s">
        <v>16871</v>
      </c>
      <c r="H691" s="309">
        <v>10245</v>
      </c>
      <c r="I691" s="310">
        <v>24.5</v>
      </c>
      <c r="J691" s="307">
        <v>221145064</v>
      </c>
      <c r="K691" s="307">
        <f>IFERROR(Table24[[#This Row],[ROUTE COST]]/Table24[[#This Row],[O - DEMAND]],0)</f>
        <v>57172.974146845918</v>
      </c>
      <c r="L691" s="306">
        <v>3868</v>
      </c>
      <c r="M691" s="310">
        <f>Table24[[#This Row],[O - DEMAND]]/950</f>
        <v>4.0715789473684207</v>
      </c>
      <c r="N691" s="306">
        <f>IFERROR(VLOOKUP(Table24[[#This Row],[ROUTE]],DEMAND!A:F,5,FALSE),0)</f>
        <v>4023</v>
      </c>
      <c r="O691" s="306">
        <f>IFERROR(VLOOKUP(Table24[[#This Row],[ROUTE]],DEMAND!A:F,6,FALSE),0)</f>
        <v>223</v>
      </c>
      <c r="P691" s="306">
        <f>ROUNDDOWN(Table24[[#This Row],[R-DEMAND]]/950,0)</f>
        <v>0</v>
      </c>
      <c r="Q691" s="306">
        <f>Table24[[#This Row],[ADD ACC
(475/950)]]*Table24[[#This Row],[Duration
(A359)]]</f>
        <v>0</v>
      </c>
      <c r="R691" s="307">
        <f>IFERROR(VLOOKUP(Table24[[#This Row],[ROUTE]],PRICING!A:B,2,FALSE),0)</f>
        <v>2899</v>
      </c>
      <c r="S691" s="308">
        <f>Table24[[#This Row],[C_DEMAND]]-Table24[[#This Row],[R-DEMAND]]</f>
        <v>3800</v>
      </c>
      <c r="T691" s="307">
        <f>Table24[[#This Row],[SEATS SOLD]]*Table24[[#This Row],[ECO SEAT]]</f>
        <v>11016200</v>
      </c>
      <c r="U691" s="307">
        <f>Table24[[#This Row],[SEATS SOLD]]*(IFERROR(VLOOKUP(Table24[[#This Row],[ROUTE]],PRICING!A:C,3,FALSE),0))</f>
        <v>12521000</v>
      </c>
      <c r="V691" s="307">
        <f>Table24[[#This Row],[SEAT REV]]-Table24[[#This Row],[SEAT REV
(IF IDEAL $)]]</f>
        <v>-1504800</v>
      </c>
    </row>
    <row r="692" spans="1:22" customFormat="1" x14ac:dyDescent="0.25">
      <c r="A692" s="306" t="s">
        <v>17843</v>
      </c>
      <c r="B692" s="306" t="s">
        <v>5732</v>
      </c>
      <c r="C692" s="306" t="s">
        <v>2</v>
      </c>
      <c r="D692" s="26">
        <v>5</v>
      </c>
      <c r="E692" s="312" t="s">
        <v>11732</v>
      </c>
      <c r="F692" s="306" t="str">
        <f>VLOOKUP(Table24[[#This Row],[Country]],Table10[[COUNTRY NAME]:[CONTINENT CODE]],3,FALSE)</f>
        <v>NA - US</v>
      </c>
      <c r="G692" s="312" t="s">
        <v>13358</v>
      </c>
      <c r="H692" s="309">
        <v>2036</v>
      </c>
      <c r="I692" s="310">
        <v>6.5</v>
      </c>
      <c r="J692" s="307">
        <v>176329454</v>
      </c>
      <c r="K692" s="307">
        <f>IFERROR(Table24[[#This Row],[ROUTE COST]]/Table24[[#This Row],[O - DEMAND]],0)</f>
        <v>60845.222222222219</v>
      </c>
      <c r="L692" s="306">
        <v>2898</v>
      </c>
      <c r="M692" s="310">
        <f>Table24[[#This Row],[O - DEMAND]]/950</f>
        <v>3.0505263157894738</v>
      </c>
      <c r="N692" s="306">
        <f>IFERROR(VLOOKUP(Table24[[#This Row],[ROUTE]],DEMAND!A:F,5,FALSE),0)</f>
        <v>3073</v>
      </c>
      <c r="O692" s="306">
        <f>IFERROR(VLOOKUP(Table24[[#This Row],[ROUTE]],DEMAND!A:F,6,FALSE),0)</f>
        <v>223</v>
      </c>
      <c r="P692" s="306">
        <f>ROUNDDOWN(Table24[[#This Row],[R-DEMAND]]/950,0)</f>
        <v>0</v>
      </c>
      <c r="Q692" s="306">
        <f>Table24[[#This Row],[ADD ACC
(475/950)]]*Table24[[#This Row],[Duration
(A359)]]</f>
        <v>0</v>
      </c>
      <c r="R692" s="307">
        <f>IFERROR(VLOOKUP(Table24[[#This Row],[ROUTE]],PRICING!A:B,2,FALSE),0)</f>
        <v>615</v>
      </c>
      <c r="S692" s="308">
        <f>Table24[[#This Row],[C_DEMAND]]-Table24[[#This Row],[R-DEMAND]]</f>
        <v>2850</v>
      </c>
      <c r="T692" s="307">
        <f>Table24[[#This Row],[SEATS SOLD]]*Table24[[#This Row],[ECO SEAT]]</f>
        <v>1752750</v>
      </c>
      <c r="U692" s="307">
        <f>Table24[[#This Row],[SEATS SOLD]]*(IFERROR(VLOOKUP(Table24[[#This Row],[ROUTE]],PRICING!A:C,3,FALSE),0))</f>
        <v>2140350</v>
      </c>
      <c r="V692" s="307">
        <f>Table24[[#This Row],[SEAT REV]]-Table24[[#This Row],[SEAT REV
(IF IDEAL $)]]</f>
        <v>-387600</v>
      </c>
    </row>
    <row r="693" spans="1:22" customFormat="1" x14ac:dyDescent="0.25">
      <c r="A693" s="306" t="s">
        <v>18013</v>
      </c>
      <c r="B693" s="306" t="s">
        <v>5023</v>
      </c>
      <c r="C693" s="306" t="s">
        <v>2</v>
      </c>
      <c r="D693" s="26"/>
      <c r="E693" s="312" t="s">
        <v>11732</v>
      </c>
      <c r="F693" s="306" t="str">
        <f>VLOOKUP(Table24[[#This Row],[Country]],Table10[[COUNTRY NAME]:[CONTINENT CODE]],3,FALSE)</f>
        <v>NA - US</v>
      </c>
      <c r="G693" s="312" t="s">
        <v>17021</v>
      </c>
      <c r="H693" s="309">
        <v>1770</v>
      </c>
      <c r="I693" s="310">
        <v>6</v>
      </c>
      <c r="J693" s="307"/>
      <c r="K693" s="307">
        <f>IFERROR(Table24[[#This Row],[ROUTE COST]]/Table24[[#This Row],[O - DEMAND]],0)</f>
        <v>0</v>
      </c>
      <c r="L693" s="306"/>
      <c r="M693" s="310">
        <f>Table24[[#This Row],[O - DEMAND]]/950</f>
        <v>0</v>
      </c>
      <c r="N693" s="306">
        <f>IFERROR(VLOOKUP(Table24[[#This Row],[ROUTE]],DEMAND!A:F,5,FALSE),0)</f>
        <v>2124</v>
      </c>
      <c r="O693" s="306">
        <f>IFERROR(VLOOKUP(Table24[[#This Row],[ROUTE]],DEMAND!A:F,6,FALSE),0)</f>
        <v>224</v>
      </c>
      <c r="P693" s="306">
        <f>ROUNDDOWN(Table24[[#This Row],[R-DEMAND]]/950,0)</f>
        <v>0</v>
      </c>
      <c r="Q693" s="306">
        <f>Table24[[#This Row],[ADD ACC
(475/950)]]*Table24[[#This Row],[Duration
(A359)]]</f>
        <v>0</v>
      </c>
      <c r="R693" s="307">
        <f>IFERROR(VLOOKUP(Table24[[#This Row],[ROUTE]],PRICING!A:B,2,FALSE),0)</f>
        <v>534</v>
      </c>
      <c r="S693" s="308">
        <f>Table24[[#This Row],[C_DEMAND]]-Table24[[#This Row],[R-DEMAND]]</f>
        <v>1900</v>
      </c>
      <c r="T693" s="307">
        <f>Table24[[#This Row],[SEATS SOLD]]*Table24[[#This Row],[ECO SEAT]]</f>
        <v>1014600</v>
      </c>
      <c r="U693" s="307">
        <f>Table24[[#This Row],[SEATS SOLD]]*(IFERROR(VLOOKUP(Table24[[#This Row],[ROUTE]],PRICING!A:C,3,FALSE),0))</f>
        <v>1269200</v>
      </c>
      <c r="V693" s="307">
        <f>Table24[[#This Row],[SEAT REV]]-Table24[[#This Row],[SEAT REV
(IF IDEAL $)]]</f>
        <v>-254600</v>
      </c>
    </row>
    <row r="694" spans="1:22" customFormat="1" x14ac:dyDescent="0.25">
      <c r="A694" s="306" t="s">
        <v>17875</v>
      </c>
      <c r="B694" s="306" t="s">
        <v>4744</v>
      </c>
      <c r="C694" s="306" t="s">
        <v>2</v>
      </c>
      <c r="D694" s="26">
        <v>3</v>
      </c>
      <c r="E694" s="312" t="s">
        <v>11732</v>
      </c>
      <c r="F694" s="306" t="str">
        <f>VLOOKUP(Table24[[#This Row],[Country]],Table10[[COUNTRY NAME]:[CONTINENT CODE]],3,FALSE)</f>
        <v>NA - US</v>
      </c>
      <c r="G694" s="312" t="s">
        <v>11759</v>
      </c>
      <c r="H694" s="309">
        <v>8596</v>
      </c>
      <c r="I694" s="310">
        <v>21</v>
      </c>
      <c r="J694" s="307"/>
      <c r="K694" s="307">
        <f>IFERROR(Table24[[#This Row],[ROUTE COST]]/Table24[[#This Row],[O - DEMAND]],0)</f>
        <v>0</v>
      </c>
      <c r="L694" s="306"/>
      <c r="M694" s="310">
        <f>Table24[[#This Row],[O - DEMAND]]/950</f>
        <v>0</v>
      </c>
      <c r="N694" s="306">
        <f>IFERROR(VLOOKUP(Table24[[#This Row],[ROUTE]],DEMAND!A:F,5,FALSE),0)</f>
        <v>2126</v>
      </c>
      <c r="O694" s="306">
        <f>IFERROR(VLOOKUP(Table24[[#This Row],[ROUTE]],DEMAND!A:F,6,FALSE),0)</f>
        <v>226</v>
      </c>
      <c r="P694" s="306">
        <f>ROUNDDOWN(Table24[[#This Row],[R-DEMAND]]/950,0)</f>
        <v>0</v>
      </c>
      <c r="Q694" s="306">
        <f>Table24[[#This Row],[ADD ACC
(475/950)]]*Table24[[#This Row],[Duration
(A359)]]</f>
        <v>0</v>
      </c>
      <c r="R694" s="307">
        <f>IFERROR(VLOOKUP(Table24[[#This Row],[ROUTE]],PRICING!A:B,2,FALSE),0)</f>
        <v>2282</v>
      </c>
      <c r="S694" s="308">
        <f>Table24[[#This Row],[C_DEMAND]]-Table24[[#This Row],[R-DEMAND]]</f>
        <v>1900</v>
      </c>
      <c r="T694" s="307">
        <f>Table24[[#This Row],[SEATS SOLD]]*Table24[[#This Row],[ECO SEAT]]</f>
        <v>4335800</v>
      </c>
      <c r="U694" s="307">
        <f>Table24[[#This Row],[SEATS SOLD]]*(IFERROR(VLOOKUP(Table24[[#This Row],[ROUTE]],PRICING!A:C,3,FALSE),0))</f>
        <v>5289600</v>
      </c>
      <c r="V694" s="307">
        <f>Table24[[#This Row],[SEAT REV]]-Table24[[#This Row],[SEAT REV
(IF IDEAL $)]]</f>
        <v>-953800</v>
      </c>
    </row>
    <row r="695" spans="1:22" customFormat="1" x14ac:dyDescent="0.25">
      <c r="A695" s="306" t="s">
        <v>18056</v>
      </c>
      <c r="B695" s="306" t="s">
        <v>5336</v>
      </c>
      <c r="C695" s="306" t="s">
        <v>2</v>
      </c>
      <c r="D695" s="26">
        <v>3</v>
      </c>
      <c r="E695" s="312" t="s">
        <v>2293</v>
      </c>
      <c r="F695" s="306" t="str">
        <f>VLOOKUP(Table24[[#This Row],[Country]],Table10[[COUNTRY NAME]:[CONTINENT CODE]],3,FALSE)</f>
        <v>SA</v>
      </c>
      <c r="G695" s="312" t="s">
        <v>13201</v>
      </c>
      <c r="H695" s="309">
        <v>2189</v>
      </c>
      <c r="I695" s="310">
        <v>7</v>
      </c>
      <c r="J695" s="307">
        <v>147799148</v>
      </c>
      <c r="K695" s="307">
        <f>IFERROR(Table24[[#This Row],[ROUTE COST]]/Table24[[#This Row],[O - DEMAND]],0)</f>
        <v>39152.092185430462</v>
      </c>
      <c r="L695" s="306">
        <v>3775</v>
      </c>
      <c r="M695" s="310">
        <f>Table24[[#This Row],[O - DEMAND]]/950</f>
        <v>3.9736842105263159</v>
      </c>
      <c r="N695" s="306">
        <f>IFERROR(VLOOKUP(Table24[[#This Row],[ROUTE]],DEMAND!A:F,5,FALSE),0)</f>
        <v>4027</v>
      </c>
      <c r="O695" s="306">
        <f>IFERROR(VLOOKUP(Table24[[#This Row],[ROUTE]],DEMAND!A:F,6,FALSE),0)</f>
        <v>227</v>
      </c>
      <c r="P695" s="306">
        <f>ROUNDDOWN(Table24[[#This Row],[R-DEMAND]]/950,0)</f>
        <v>0</v>
      </c>
      <c r="Q695" s="306">
        <f>Table24[[#This Row],[ADD ACC
(475/950)]]*Table24[[#This Row],[Duration
(A359)]]</f>
        <v>0</v>
      </c>
      <c r="R695" s="307">
        <f>IFERROR(VLOOKUP(Table24[[#This Row],[ROUTE]],PRICING!A:B,2,FALSE),0)</f>
        <v>638</v>
      </c>
      <c r="S695" s="308">
        <f>Table24[[#This Row],[C_DEMAND]]-Table24[[#This Row],[R-DEMAND]]</f>
        <v>3800</v>
      </c>
      <c r="T695" s="307">
        <f>Table24[[#This Row],[SEATS SOLD]]*Table24[[#This Row],[ECO SEAT]]</f>
        <v>2424400</v>
      </c>
      <c r="U695" s="307">
        <f>Table24[[#This Row],[SEATS SOLD]]*(IFERROR(VLOOKUP(Table24[[#This Row],[ROUTE]],PRICING!A:C,3,FALSE),0))</f>
        <v>3032400</v>
      </c>
      <c r="V695" s="307">
        <f>Table24[[#This Row],[SEAT REV]]-Table24[[#This Row],[SEAT REV
(IF IDEAL $)]]</f>
        <v>-608000</v>
      </c>
    </row>
    <row r="696" spans="1:22" customFormat="1" x14ac:dyDescent="0.25">
      <c r="A696" s="306" t="s">
        <v>17249</v>
      </c>
      <c r="B696" s="306" t="s">
        <v>343</v>
      </c>
      <c r="C696" s="306" t="s">
        <v>2</v>
      </c>
      <c r="D696" s="26">
        <v>3</v>
      </c>
      <c r="E696" s="312" t="s">
        <v>1710</v>
      </c>
      <c r="F696" s="306" t="str">
        <f>VLOOKUP(Table24[[#This Row],[Country]],Table10[[COUNTRY NAME]:[CONTINENT CODE]],3,FALSE)</f>
        <v>AS</v>
      </c>
      <c r="G696" s="312" t="s">
        <v>12070</v>
      </c>
      <c r="H696" s="309">
        <v>14942</v>
      </c>
      <c r="I696" s="310">
        <v>35</v>
      </c>
      <c r="J696" s="307">
        <v>276685708</v>
      </c>
      <c r="K696" s="307">
        <f>IFERROR(Table24[[#This Row],[ROUTE COST]]/Table24[[#This Row],[O - DEMAND]],0)</f>
        <v>71866.417662337655</v>
      </c>
      <c r="L696" s="306">
        <v>3850</v>
      </c>
      <c r="M696" s="310">
        <f>Table24[[#This Row],[O - DEMAND]]/950</f>
        <v>4.0526315789473681</v>
      </c>
      <c r="N696" s="306">
        <f>IFERROR(VLOOKUP(Table24[[#This Row],[ROUTE]],DEMAND!A:F,5,FALSE),0)</f>
        <v>4030</v>
      </c>
      <c r="O696" s="306">
        <f>IFERROR(VLOOKUP(Table24[[#This Row],[ROUTE]],DEMAND!A:F,6,FALSE),0)</f>
        <v>230</v>
      </c>
      <c r="P696" s="306">
        <f>ROUNDDOWN(Table24[[#This Row],[R-DEMAND]]/950,0)</f>
        <v>0</v>
      </c>
      <c r="Q696" s="306">
        <f>Table24[[#This Row],[ADD ACC
(475/950)]]*Table24[[#This Row],[Duration
(A359)]]</f>
        <v>0</v>
      </c>
      <c r="R696" s="307">
        <f>IFERROR(VLOOKUP(Table24[[#This Row],[ROUTE]],PRICING!A:B,2,FALSE),0)</f>
        <v>4086</v>
      </c>
      <c r="S696" s="308">
        <f>Table24[[#This Row],[C_DEMAND]]-Table24[[#This Row],[R-DEMAND]]</f>
        <v>3800</v>
      </c>
      <c r="T696" s="307">
        <f>Table24[[#This Row],[SEATS SOLD]]*Table24[[#This Row],[ECO SEAT]]</f>
        <v>15526800</v>
      </c>
      <c r="U696" s="307">
        <f>Table24[[#This Row],[SEATS SOLD]]*(IFERROR(VLOOKUP(Table24[[#This Row],[ROUTE]],PRICING!A:C,3,FALSE),0))</f>
        <v>18057600</v>
      </c>
      <c r="V696" s="307">
        <f>Table24[[#This Row],[SEAT REV]]-Table24[[#This Row],[SEAT REV
(IF IDEAL $)]]</f>
        <v>-2530800</v>
      </c>
    </row>
    <row r="697" spans="1:22" customFormat="1" x14ac:dyDescent="0.25">
      <c r="A697" s="306" t="s">
        <v>17273</v>
      </c>
      <c r="B697" s="306" t="s">
        <v>5331</v>
      </c>
      <c r="C697" s="306" t="s">
        <v>2</v>
      </c>
      <c r="D697" s="26">
        <v>3</v>
      </c>
      <c r="E697" s="312" t="s">
        <v>14</v>
      </c>
      <c r="F697" s="306" t="str">
        <f>VLOOKUP(Table24[[#This Row],[Country]],Table10[[COUNTRY NAME]:[CONTINENT CODE]],3,FALSE)</f>
        <v>AS</v>
      </c>
      <c r="G697" s="312" t="s">
        <v>12032</v>
      </c>
      <c r="H697" s="309">
        <v>13734</v>
      </c>
      <c r="I697" s="310">
        <v>32.25</v>
      </c>
      <c r="J697" s="307">
        <v>261835842</v>
      </c>
      <c r="K697" s="307">
        <f>IFERROR(Table24[[#This Row],[ROUTE COST]]/Table24[[#This Row],[O - DEMAND]],0)</f>
        <v>68204.178692367801</v>
      </c>
      <c r="L697" s="306">
        <v>3839</v>
      </c>
      <c r="M697" s="310">
        <f>Table24[[#This Row],[O - DEMAND]]/950</f>
        <v>4.041052631578947</v>
      </c>
      <c r="N697" s="306">
        <f>IFERROR(VLOOKUP(Table24[[#This Row],[ROUTE]],DEMAND!A:F,5,FALSE),0)</f>
        <v>4031</v>
      </c>
      <c r="O697" s="306">
        <f>IFERROR(VLOOKUP(Table24[[#This Row],[ROUTE]],DEMAND!A:F,6,FALSE),0)</f>
        <v>231</v>
      </c>
      <c r="P697" s="306">
        <f>ROUNDDOWN(Table24[[#This Row],[R-DEMAND]]/950,0)</f>
        <v>0</v>
      </c>
      <c r="Q697" s="306">
        <f>Table24[[#This Row],[ADD ACC
(475/950)]]*Table24[[#This Row],[Duration
(A359)]]</f>
        <v>0</v>
      </c>
      <c r="R697" s="307">
        <f>IFERROR(VLOOKUP(Table24[[#This Row],[ROUTE]],PRICING!A:B,2,FALSE),0)</f>
        <v>3720</v>
      </c>
      <c r="S697" s="308">
        <f>Table24[[#This Row],[C_DEMAND]]-Table24[[#This Row],[R-DEMAND]]</f>
        <v>3800</v>
      </c>
      <c r="T697" s="307">
        <f>Table24[[#This Row],[SEATS SOLD]]*Table24[[#This Row],[ECO SEAT]]</f>
        <v>14136000</v>
      </c>
      <c r="U697" s="307">
        <f>Table24[[#This Row],[SEATS SOLD]]*(IFERROR(VLOOKUP(Table24[[#This Row],[ROUTE]],PRICING!A:C,3,FALSE),0))</f>
        <v>16632600</v>
      </c>
      <c r="V697" s="307">
        <f>Table24[[#This Row],[SEAT REV]]-Table24[[#This Row],[SEAT REV
(IF IDEAL $)]]</f>
        <v>-2496600</v>
      </c>
    </row>
    <row r="698" spans="1:22" customFormat="1" x14ac:dyDescent="0.25">
      <c r="A698" s="306" t="s">
        <v>17297</v>
      </c>
      <c r="B698" s="306" t="s">
        <v>4935</v>
      </c>
      <c r="C698" s="306" t="s">
        <v>2</v>
      </c>
      <c r="D698" s="26">
        <v>3</v>
      </c>
      <c r="E698" s="312" t="s">
        <v>502</v>
      </c>
      <c r="F698" s="306" t="str">
        <f>VLOOKUP(Table24[[#This Row],[Country]],Table10[[COUNTRY NAME]:[CONTINENT CODE]],3,FALSE)</f>
        <v>AS</v>
      </c>
      <c r="G698" s="312" t="s">
        <v>11947</v>
      </c>
      <c r="H698" s="309">
        <v>11786</v>
      </c>
      <c r="I698" s="310">
        <v>28</v>
      </c>
      <c r="J698" s="307">
        <v>233803784</v>
      </c>
      <c r="K698" s="307">
        <f>IFERROR(Table24[[#This Row],[ROUTE COST]]/Table24[[#This Row],[O - DEMAND]],0)</f>
        <v>61077.268547544409</v>
      </c>
      <c r="L698" s="306">
        <v>3828</v>
      </c>
      <c r="M698" s="310">
        <f>Table24[[#This Row],[O - DEMAND]]/950</f>
        <v>4.0294736842105259</v>
      </c>
      <c r="N698" s="306">
        <f>IFERROR(VLOOKUP(Table24[[#This Row],[ROUTE]],DEMAND!A:F,5,FALSE),0)</f>
        <v>4032</v>
      </c>
      <c r="O698" s="306">
        <f>IFERROR(VLOOKUP(Table24[[#This Row],[ROUTE]],DEMAND!A:F,6,FALSE),0)</f>
        <v>232</v>
      </c>
      <c r="P698" s="306">
        <f>ROUNDDOWN(Table24[[#This Row],[R-DEMAND]]/950,0)</f>
        <v>0</v>
      </c>
      <c r="Q698" s="306">
        <f>Table24[[#This Row],[ADD ACC
(475/950)]]*Table24[[#This Row],[Duration
(A359)]]</f>
        <v>0</v>
      </c>
      <c r="R698" s="307">
        <f>IFERROR(VLOOKUP(Table24[[#This Row],[ROUTE]],PRICING!A:B,2,FALSE),0)</f>
        <v>3169</v>
      </c>
      <c r="S698" s="308">
        <f>Table24[[#This Row],[C_DEMAND]]-Table24[[#This Row],[R-DEMAND]]</f>
        <v>3800</v>
      </c>
      <c r="T698" s="307">
        <f>Table24[[#This Row],[SEATS SOLD]]*Table24[[#This Row],[ECO SEAT]]</f>
        <v>12042200</v>
      </c>
      <c r="U698" s="307">
        <f>Table24[[#This Row],[SEATS SOLD]]*(IFERROR(VLOOKUP(Table24[[#This Row],[ROUTE]],PRICING!A:C,3,FALSE),0))</f>
        <v>14337400</v>
      </c>
      <c r="V698" s="307">
        <f>Table24[[#This Row],[SEAT REV]]-Table24[[#This Row],[SEAT REV
(IF IDEAL $)]]</f>
        <v>-2295200</v>
      </c>
    </row>
    <row r="699" spans="1:22" customFormat="1" x14ac:dyDescent="0.25">
      <c r="A699" s="306" t="s">
        <v>17251</v>
      </c>
      <c r="B699" s="306" t="s">
        <v>5386</v>
      </c>
      <c r="C699" s="306" t="s">
        <v>2</v>
      </c>
      <c r="D699" s="26">
        <v>3</v>
      </c>
      <c r="E699" s="312" t="s">
        <v>14</v>
      </c>
      <c r="F699" s="306" t="str">
        <f>VLOOKUP(Table24[[#This Row],[Country]],Table10[[COUNTRY NAME]:[CONTINENT CODE]],3,FALSE)</f>
        <v>AS</v>
      </c>
      <c r="G699" s="312" t="s">
        <v>12066</v>
      </c>
      <c r="H699" s="309">
        <v>14903</v>
      </c>
      <c r="I699" s="310">
        <v>34.75</v>
      </c>
      <c r="J699" s="307">
        <v>275395994</v>
      </c>
      <c r="K699" s="307">
        <f>IFERROR(Table24[[#This Row],[ROUTE COST]]/Table24[[#This Row],[O - DEMAND]],0)</f>
        <v>95292.731487889279</v>
      </c>
      <c r="L699" s="306">
        <v>2890</v>
      </c>
      <c r="M699" s="310">
        <f>Table24[[#This Row],[O - DEMAND]]/950</f>
        <v>3.0421052631578949</v>
      </c>
      <c r="N699" s="306">
        <f>IFERROR(VLOOKUP(Table24[[#This Row],[ROUTE]],DEMAND!A:F,5,FALSE),0)</f>
        <v>3083</v>
      </c>
      <c r="O699" s="306">
        <f>IFERROR(VLOOKUP(Table24[[#This Row],[ROUTE]],DEMAND!A:F,6,FALSE),0)</f>
        <v>233</v>
      </c>
      <c r="P699" s="306">
        <f>ROUNDDOWN(Table24[[#This Row],[R-DEMAND]]/950,0)</f>
        <v>0</v>
      </c>
      <c r="Q699" s="306">
        <f>Table24[[#This Row],[ADD ACC
(475/950)]]*Table24[[#This Row],[Duration
(A359)]]</f>
        <v>0</v>
      </c>
      <c r="R699" s="307">
        <f>IFERROR(VLOOKUP(Table24[[#This Row],[ROUTE]],PRICING!A:B,2,FALSE),0)</f>
        <v>3791</v>
      </c>
      <c r="S699" s="308">
        <f>Table24[[#This Row],[C_DEMAND]]-Table24[[#This Row],[R-DEMAND]]</f>
        <v>2850</v>
      </c>
      <c r="T699" s="307">
        <f>Table24[[#This Row],[SEATS SOLD]]*Table24[[#This Row],[ECO SEAT]]</f>
        <v>10804350</v>
      </c>
      <c r="U699" s="307">
        <f>Table24[[#This Row],[SEATS SOLD]]*(IFERROR(VLOOKUP(Table24[[#This Row],[ROUTE]],PRICING!A:C,3,FALSE),0))</f>
        <v>13506150</v>
      </c>
      <c r="V699" s="307">
        <f>Table24[[#This Row],[SEAT REV]]-Table24[[#This Row],[SEAT REV
(IF IDEAL $)]]</f>
        <v>-2701800</v>
      </c>
    </row>
    <row r="700" spans="1:22" customFormat="1" x14ac:dyDescent="0.25">
      <c r="A700" s="306" t="s">
        <v>17229</v>
      </c>
      <c r="B700" s="306" t="s">
        <v>219</v>
      </c>
      <c r="C700" s="306" t="s">
        <v>2</v>
      </c>
      <c r="D700" s="26">
        <v>4</v>
      </c>
      <c r="E700" s="312" t="s">
        <v>142</v>
      </c>
      <c r="F700" s="306" t="str">
        <f>VLOOKUP(Table24[[#This Row],[Country]],Table10[[COUNTRY NAME]:[CONTINENT CODE]],3,FALSE)</f>
        <v>AS</v>
      </c>
      <c r="G700" s="312" t="s">
        <v>11072</v>
      </c>
      <c r="H700" s="309">
        <v>13444</v>
      </c>
      <c r="I700" s="310">
        <v>31.75</v>
      </c>
      <c r="J700" s="307">
        <v>276326468</v>
      </c>
      <c r="K700" s="307">
        <f>IFERROR(Table24[[#This Row],[ROUTE COST]]/Table24[[#This Row],[O - DEMAND]],0)</f>
        <v>71941.282999218951</v>
      </c>
      <c r="L700" s="306">
        <v>3841</v>
      </c>
      <c r="M700" s="310">
        <f>Table24[[#This Row],[O - DEMAND]]/950</f>
        <v>4.0431578947368418</v>
      </c>
      <c r="N700" s="306">
        <f>IFERROR(VLOOKUP(Table24[[#This Row],[ROUTE]],DEMAND!A:F,5,FALSE),0)</f>
        <v>4033</v>
      </c>
      <c r="O700" s="306">
        <f>IFERROR(VLOOKUP(Table24[[#This Row],[ROUTE]],DEMAND!A:F,6,FALSE),0)</f>
        <v>233</v>
      </c>
      <c r="P700" s="306">
        <f>ROUNDDOWN(Table24[[#This Row],[R-DEMAND]]/950,0)</f>
        <v>0</v>
      </c>
      <c r="Q700" s="306">
        <f>Table24[[#This Row],[ADD ACC
(475/950)]]*Table24[[#This Row],[Duration
(A359)]]</f>
        <v>0</v>
      </c>
      <c r="R700" s="307">
        <f>IFERROR(VLOOKUP(Table24[[#This Row],[ROUTE]],PRICING!A:B,2,FALSE),0)</f>
        <v>3643</v>
      </c>
      <c r="S700" s="308">
        <f>Table24[[#This Row],[C_DEMAND]]-Table24[[#This Row],[R-DEMAND]]</f>
        <v>3800</v>
      </c>
      <c r="T700" s="307">
        <f>Table24[[#This Row],[SEATS SOLD]]*Table24[[#This Row],[ECO SEAT]]</f>
        <v>13843400</v>
      </c>
      <c r="U700" s="307">
        <f>Table24[[#This Row],[SEATS SOLD]]*(IFERROR(VLOOKUP(Table24[[#This Row],[ROUTE]],PRICING!A:C,3,FALSE),0))</f>
        <v>16290600</v>
      </c>
      <c r="V700" s="307">
        <f>Table24[[#This Row],[SEAT REV]]-Table24[[#This Row],[SEAT REV
(IF IDEAL $)]]</f>
        <v>-2447200</v>
      </c>
    </row>
    <row r="701" spans="1:22" customFormat="1" x14ac:dyDescent="0.25">
      <c r="A701" s="306" t="s">
        <v>17465</v>
      </c>
      <c r="B701" s="306" t="s">
        <v>6</v>
      </c>
      <c r="C701" s="306" t="s">
        <v>2</v>
      </c>
      <c r="D701" s="26">
        <v>5</v>
      </c>
      <c r="E701" s="312" t="s">
        <v>1674</v>
      </c>
      <c r="F701" s="306" t="str">
        <f>VLOOKUP(Table24[[#This Row],[Country]],Table10[[COUNTRY NAME]:[CONTINENT CODE]],3,FALSE)</f>
        <v>EU</v>
      </c>
      <c r="G701" s="312" t="s">
        <v>11025</v>
      </c>
      <c r="H701" s="309">
        <v>7821</v>
      </c>
      <c r="I701" s="310">
        <v>19.25</v>
      </c>
      <c r="J701" s="307">
        <v>224168030</v>
      </c>
      <c r="K701" s="307">
        <f>IFERROR(Table24[[#This Row],[ROUTE COST]]/Table24[[#This Row],[O - DEMAND]],0)</f>
        <v>76822.491432488008</v>
      </c>
      <c r="L701" s="306">
        <v>2918</v>
      </c>
      <c r="M701" s="310">
        <f>Table24[[#This Row],[O - DEMAND]]/950</f>
        <v>3.0715789473684212</v>
      </c>
      <c r="N701" s="306">
        <f>IFERROR(VLOOKUP(Table24[[#This Row],[ROUTE]],DEMAND!A:F,5,FALSE),0)</f>
        <v>3084</v>
      </c>
      <c r="O701" s="306">
        <f>IFERROR(VLOOKUP(Table24[[#This Row],[ROUTE]],DEMAND!A:F,6,FALSE),0)</f>
        <v>234</v>
      </c>
      <c r="P701" s="306">
        <f>ROUNDDOWN(Table24[[#This Row],[R-DEMAND]]/950,0)</f>
        <v>0</v>
      </c>
      <c r="Q701" s="306">
        <f>Table24[[#This Row],[ADD ACC
(475/950)]]*Table24[[#This Row],[Duration
(A359)]]</f>
        <v>0</v>
      </c>
      <c r="R701" s="307">
        <f>IFERROR(VLOOKUP(Table24[[#This Row],[ROUTE]],PRICING!A:B,2,FALSE),0)</f>
        <v>2111</v>
      </c>
      <c r="S701" s="308">
        <f>Table24[[#This Row],[C_DEMAND]]-Table24[[#This Row],[R-DEMAND]]</f>
        <v>2850</v>
      </c>
      <c r="T701" s="307">
        <f>Table24[[#This Row],[SEATS SOLD]]*Table24[[#This Row],[ECO SEAT]]</f>
        <v>6016350</v>
      </c>
      <c r="U701" s="307">
        <f>Table24[[#This Row],[SEATS SOLD]]*(IFERROR(VLOOKUP(Table24[[#This Row],[ROUTE]],PRICING!A:C,3,FALSE),0))</f>
        <v>7250400</v>
      </c>
      <c r="V701" s="307">
        <f>Table24[[#This Row],[SEAT REV]]-Table24[[#This Row],[SEAT REV
(IF IDEAL $)]]</f>
        <v>-1234050</v>
      </c>
    </row>
    <row r="702" spans="1:22" customFormat="1" x14ac:dyDescent="0.25">
      <c r="A702" s="306" t="s">
        <v>18038</v>
      </c>
      <c r="B702" s="306" t="s">
        <v>5611</v>
      </c>
      <c r="C702" s="306" t="s">
        <v>2</v>
      </c>
      <c r="D702" s="26">
        <v>4</v>
      </c>
      <c r="E702" s="312" t="s">
        <v>517</v>
      </c>
      <c r="F702" s="306" t="str">
        <f>VLOOKUP(Table24[[#This Row],[Country]],Table10[[COUNTRY NAME]:[CONTINENT CODE]],3,FALSE)</f>
        <v>SA</v>
      </c>
      <c r="G702" s="312" t="s">
        <v>13161</v>
      </c>
      <c r="H702" s="309">
        <v>5581</v>
      </c>
      <c r="I702" s="310">
        <v>14.5</v>
      </c>
      <c r="J702" s="307">
        <v>192621821</v>
      </c>
      <c r="K702" s="307">
        <f>IFERROR(Table24[[#This Row],[ROUTE COST]]/Table24[[#This Row],[O - DEMAND]],0)</f>
        <v>50292.903655352478</v>
      </c>
      <c r="L702" s="306">
        <v>3830</v>
      </c>
      <c r="M702" s="310">
        <f>Table24[[#This Row],[O - DEMAND]]/950</f>
        <v>4.0315789473684207</v>
      </c>
      <c r="N702" s="306">
        <f>IFERROR(VLOOKUP(Table24[[#This Row],[ROUTE]],DEMAND!A:F,5,FALSE),0)</f>
        <v>4034</v>
      </c>
      <c r="O702" s="306">
        <f>IFERROR(VLOOKUP(Table24[[#This Row],[ROUTE]],DEMAND!A:F,6,FALSE),0)</f>
        <v>-716</v>
      </c>
      <c r="P702" s="306">
        <f>ROUNDDOWN(Table24[[#This Row],[R-DEMAND]]/950,0)</f>
        <v>0</v>
      </c>
      <c r="Q702" s="306">
        <f>Table24[[#This Row],[ADD ACC
(475/950)]]*Table24[[#This Row],[Duration
(A359)]]</f>
        <v>0</v>
      </c>
      <c r="R702" s="307">
        <f>IFERROR(VLOOKUP(Table24[[#This Row],[ROUTE]],PRICING!A:B,2,FALSE),0)</f>
        <v>1554</v>
      </c>
      <c r="S702" s="308">
        <f>Table24[[#This Row],[C_DEMAND]]-Table24[[#This Row],[R-DEMAND]]</f>
        <v>4750</v>
      </c>
      <c r="T702" s="307">
        <f>Table24[[#This Row],[SEATS SOLD]]*Table24[[#This Row],[ECO SEAT]]</f>
        <v>7381500</v>
      </c>
      <c r="U702" s="307">
        <f>Table24[[#This Row],[SEATS SOLD]]*(IFERROR(VLOOKUP(Table24[[#This Row],[ROUTE]],PRICING!A:C,3,FALSE),0))</f>
        <v>8787500</v>
      </c>
      <c r="V702" s="307">
        <f>Table24[[#This Row],[SEAT REV]]-Table24[[#This Row],[SEAT REV
(IF IDEAL $)]]</f>
        <v>-1406000</v>
      </c>
    </row>
    <row r="703" spans="1:22" customFormat="1" x14ac:dyDescent="0.25">
      <c r="A703" s="306" t="s">
        <v>17372</v>
      </c>
      <c r="B703" s="306" t="s">
        <v>4414</v>
      </c>
      <c r="C703" s="306" t="s">
        <v>2</v>
      </c>
      <c r="D703" s="26">
        <v>2</v>
      </c>
      <c r="E703" s="312" t="s">
        <v>172</v>
      </c>
      <c r="F703" s="306" t="str">
        <f>VLOOKUP(Table24[[#This Row],[Country]],Table10[[COUNTRY NAME]:[CONTINENT CODE]],3,FALSE)</f>
        <v>AS</v>
      </c>
      <c r="G703" s="312" t="s">
        <v>9697</v>
      </c>
      <c r="H703" s="309">
        <v>11878</v>
      </c>
      <c r="I703" s="310">
        <v>28.25</v>
      </c>
      <c r="J703" s="307">
        <v>227832509</v>
      </c>
      <c r="K703" s="307">
        <f>IFERROR(Table24[[#This Row],[ROUTE COST]]/Table24[[#This Row],[O - DEMAND]],0)</f>
        <v>76582.35596638656</v>
      </c>
      <c r="L703" s="306">
        <v>2975</v>
      </c>
      <c r="M703" s="310">
        <f>Table24[[#This Row],[O - DEMAND]]/950</f>
        <v>3.1315789473684212</v>
      </c>
      <c r="N703" s="306">
        <f>IFERROR(VLOOKUP(Table24[[#This Row],[ROUTE]],DEMAND!A:F,5,FALSE),0)</f>
        <v>3085</v>
      </c>
      <c r="O703" s="306">
        <f>IFERROR(VLOOKUP(Table24[[#This Row],[ROUTE]],DEMAND!A:F,6,FALSE),0)</f>
        <v>235</v>
      </c>
      <c r="P703" s="306">
        <f>ROUNDDOWN(Table24[[#This Row],[R-DEMAND]]/950,0)</f>
        <v>0</v>
      </c>
      <c r="Q703" s="306">
        <f>Table24[[#This Row],[ADD ACC
(475/950)]]*Table24[[#This Row],[Duration
(A359)]]</f>
        <v>0</v>
      </c>
      <c r="R703" s="307">
        <f>IFERROR(VLOOKUP(Table24[[#This Row],[ROUTE]],PRICING!A:B,2,FALSE),0)</f>
        <v>3383</v>
      </c>
      <c r="S703" s="308">
        <f>Table24[[#This Row],[C_DEMAND]]-Table24[[#This Row],[R-DEMAND]]</f>
        <v>2850</v>
      </c>
      <c r="T703" s="307">
        <f>Table24[[#This Row],[SEATS SOLD]]*Table24[[#This Row],[ECO SEAT]]</f>
        <v>9641550</v>
      </c>
      <c r="U703" s="307">
        <f>Table24[[#This Row],[SEATS SOLD]]*(IFERROR(VLOOKUP(Table24[[#This Row],[ROUTE]],PRICING!A:C,3,FALSE),0))</f>
        <v>10835700</v>
      </c>
      <c r="V703" s="307">
        <f>Table24[[#This Row],[SEAT REV]]-Table24[[#This Row],[SEAT REV
(IF IDEAL $)]]</f>
        <v>-1194150</v>
      </c>
    </row>
    <row r="704" spans="1:22" customFormat="1" x14ac:dyDescent="0.25">
      <c r="A704" s="306" t="s">
        <v>17734</v>
      </c>
      <c r="B704" s="306" t="s">
        <v>483</v>
      </c>
      <c r="C704" s="306" t="s">
        <v>2</v>
      </c>
      <c r="D704" s="26">
        <v>4</v>
      </c>
      <c r="E704" s="312" t="s">
        <v>514</v>
      </c>
      <c r="F704" s="306" t="str">
        <f>VLOOKUP(Table24[[#This Row],[Country]],Table10[[COUNTRY NAME]:[CONTINENT CODE]],3,FALSE)</f>
        <v>NA</v>
      </c>
      <c r="G704" s="312" t="s">
        <v>11026</v>
      </c>
      <c r="H704" s="309">
        <v>5651</v>
      </c>
      <c r="I704" s="310">
        <v>14.5</v>
      </c>
      <c r="J704" s="307">
        <v>199090269</v>
      </c>
      <c r="K704" s="307">
        <f>IFERROR(Table24[[#This Row],[ROUTE COST]]/Table24[[#This Row],[O - DEMAND]],0)</f>
        <v>66921.098823529406</v>
      </c>
      <c r="L704" s="306">
        <v>2975</v>
      </c>
      <c r="M704" s="310">
        <f>Table24[[#This Row],[O - DEMAND]]/950</f>
        <v>3.1315789473684212</v>
      </c>
      <c r="N704" s="306">
        <f>IFERROR(VLOOKUP(Table24[[#This Row],[ROUTE]],DEMAND!A:F,5,FALSE),0)</f>
        <v>3085</v>
      </c>
      <c r="O704" s="306">
        <f>IFERROR(VLOOKUP(Table24[[#This Row],[ROUTE]],DEMAND!A:F,6,FALSE),0)</f>
        <v>235</v>
      </c>
      <c r="P704" s="306">
        <f>ROUNDDOWN(Table24[[#This Row],[R-DEMAND]]/950,0)</f>
        <v>0</v>
      </c>
      <c r="Q704" s="306">
        <f>Table24[[#This Row],[ADD ACC
(475/950)]]*Table24[[#This Row],[Duration
(A359)]]</f>
        <v>0</v>
      </c>
      <c r="R704" s="307">
        <f>IFERROR(VLOOKUP(Table24[[#This Row],[ROUTE]],PRICING!A:B,2,FALSE),0)</f>
        <v>1665</v>
      </c>
      <c r="S704" s="308">
        <f>Table24[[#This Row],[C_DEMAND]]-Table24[[#This Row],[R-DEMAND]]</f>
        <v>2850</v>
      </c>
      <c r="T704" s="307">
        <f>Table24[[#This Row],[SEATS SOLD]]*Table24[[#This Row],[ECO SEAT]]</f>
        <v>4745250</v>
      </c>
      <c r="U704" s="307">
        <f>Table24[[#This Row],[SEATS SOLD]]*(IFERROR(VLOOKUP(Table24[[#This Row],[ROUTE]],PRICING!A:C,3,FALSE),0))</f>
        <v>5332350</v>
      </c>
      <c r="V704" s="307">
        <f>Table24[[#This Row],[SEAT REV]]-Table24[[#This Row],[SEAT REV
(IF IDEAL $)]]</f>
        <v>-587100</v>
      </c>
    </row>
    <row r="705" spans="1:22" customFormat="1" x14ac:dyDescent="0.25">
      <c r="A705" s="306" t="s">
        <v>17241</v>
      </c>
      <c r="B705" s="306" t="s">
        <v>58</v>
      </c>
      <c r="C705" s="306" t="s">
        <v>2</v>
      </c>
      <c r="D705" s="26">
        <v>4</v>
      </c>
      <c r="E705" s="312" t="s">
        <v>502</v>
      </c>
      <c r="F705" s="306" t="str">
        <f>VLOOKUP(Table24[[#This Row],[Country]],Table10[[COUNTRY NAME]:[CONTINENT CODE]],3,FALSE)</f>
        <v>AS</v>
      </c>
      <c r="G705" s="312" t="s">
        <v>11038</v>
      </c>
      <c r="H705" s="309">
        <v>11556</v>
      </c>
      <c r="I705" s="310">
        <v>27.5</v>
      </c>
      <c r="J705" s="307">
        <v>248643964</v>
      </c>
      <c r="K705" s="307">
        <f>IFERROR(Table24[[#This Row],[ROUTE COST]]/Table24[[#This Row],[O - DEMAND]],0)</f>
        <v>52534.114515106696</v>
      </c>
      <c r="L705" s="306">
        <v>4733</v>
      </c>
      <c r="M705" s="310">
        <f>Table24[[#This Row],[O - DEMAND]]/950</f>
        <v>4.9821052631578944</v>
      </c>
      <c r="N705" s="306">
        <f>IFERROR(VLOOKUP(Table24[[#This Row],[ROUTE]],DEMAND!A:F,5,FALSE),0)</f>
        <v>4986</v>
      </c>
      <c r="O705" s="306">
        <f>IFERROR(VLOOKUP(Table24[[#This Row],[ROUTE]],DEMAND!A:F,6,FALSE),0)</f>
        <v>236</v>
      </c>
      <c r="P705" s="306">
        <f>ROUNDDOWN(Table24[[#This Row],[R-DEMAND]]/950,0)</f>
        <v>0</v>
      </c>
      <c r="Q705" s="306">
        <f>Table24[[#This Row],[ADD ACC
(475/950)]]*Table24[[#This Row],[Duration
(A359)]]</f>
        <v>0</v>
      </c>
      <c r="R705" s="307">
        <f>IFERROR(VLOOKUP(Table24[[#This Row],[ROUTE]],PRICING!A:B,2,FALSE),0)</f>
        <v>3109</v>
      </c>
      <c r="S705" s="308">
        <f>Table24[[#This Row],[C_DEMAND]]-Table24[[#This Row],[R-DEMAND]]</f>
        <v>4750</v>
      </c>
      <c r="T705" s="307">
        <f>Table24[[#This Row],[SEATS SOLD]]*Table24[[#This Row],[ECO SEAT]]</f>
        <v>14767750</v>
      </c>
      <c r="U705" s="307">
        <f>Table24[[#This Row],[SEATS SOLD]]*(IFERROR(VLOOKUP(Table24[[#This Row],[ROUTE]],PRICING!A:C,3,FALSE),0))</f>
        <v>17584500</v>
      </c>
      <c r="V705" s="307">
        <f>Table24[[#This Row],[SEAT REV]]-Table24[[#This Row],[SEAT REV
(IF IDEAL $)]]</f>
        <v>-2816750</v>
      </c>
    </row>
    <row r="706" spans="1:22" customFormat="1" x14ac:dyDescent="0.25">
      <c r="A706" s="306" t="s">
        <v>17178</v>
      </c>
      <c r="B706" s="306" t="s">
        <v>2374</v>
      </c>
      <c r="C706" s="306" t="s">
        <v>2</v>
      </c>
      <c r="D706" s="26">
        <v>1</v>
      </c>
      <c r="E706" s="312" t="s">
        <v>926</v>
      </c>
      <c r="F706" s="306" t="str">
        <f>VLOOKUP(Table24[[#This Row],[Country]],Table10[[COUNTRY NAME]:[CONTINENT CODE]],3,FALSE)</f>
        <v>AF</v>
      </c>
      <c r="G706" s="312" t="s">
        <v>11866</v>
      </c>
      <c r="H706" s="309">
        <v>11657</v>
      </c>
      <c r="I706" s="310">
        <v>27.75</v>
      </c>
      <c r="J706" s="307">
        <v>212884835</v>
      </c>
      <c r="K706" s="307">
        <f>IFERROR(Table24[[#This Row],[ROUTE COST]]/Table24[[#This Row],[O - DEMAND]],0)</f>
        <v>72066.633378469865</v>
      </c>
      <c r="L706" s="306">
        <v>2954</v>
      </c>
      <c r="M706" s="310">
        <f>Table24[[#This Row],[O - DEMAND]]/950</f>
        <v>3.1094736842105264</v>
      </c>
      <c r="N706" s="306">
        <f>IFERROR(VLOOKUP(Table24[[#This Row],[ROUTE]],DEMAND!A:F,5,FALSE),0)</f>
        <v>3092</v>
      </c>
      <c r="O706" s="306">
        <f>IFERROR(VLOOKUP(Table24[[#This Row],[ROUTE]],DEMAND!A:F,6,FALSE),0)</f>
        <v>242</v>
      </c>
      <c r="P706" s="306">
        <f>ROUNDDOWN(Table24[[#This Row],[R-DEMAND]]/950,0)</f>
        <v>0</v>
      </c>
      <c r="Q706" s="306">
        <f>Table24[[#This Row],[ADD ACC
(475/950)]]*Table24[[#This Row],[Duration
(A359)]]</f>
        <v>0</v>
      </c>
      <c r="R706" s="307">
        <f>IFERROR(VLOOKUP(Table24[[#This Row],[ROUTE]],PRICING!A:B,2,FALSE),0)</f>
        <v>3210</v>
      </c>
      <c r="S706" s="308">
        <f>Table24[[#This Row],[C_DEMAND]]-Table24[[#This Row],[R-DEMAND]]</f>
        <v>2850</v>
      </c>
      <c r="T706" s="307">
        <f>Table24[[#This Row],[SEATS SOLD]]*Table24[[#This Row],[ECO SEAT]]</f>
        <v>9148500</v>
      </c>
      <c r="U706" s="307">
        <f>Table24[[#This Row],[SEATS SOLD]]*(IFERROR(VLOOKUP(Table24[[#This Row],[ROUTE]],PRICING!A:C,3,FALSE),0))</f>
        <v>10639050</v>
      </c>
      <c r="V706" s="307">
        <f>Table24[[#This Row],[SEAT REV]]-Table24[[#This Row],[SEAT REV
(IF IDEAL $)]]</f>
        <v>-1490550</v>
      </c>
    </row>
    <row r="707" spans="1:22" customFormat="1" x14ac:dyDescent="0.25">
      <c r="A707" s="306" t="s">
        <v>17842</v>
      </c>
      <c r="B707" s="306" t="s">
        <v>5768</v>
      </c>
      <c r="C707" s="306" t="s">
        <v>2</v>
      </c>
      <c r="D707" s="26">
        <v>5</v>
      </c>
      <c r="E707" s="312" t="s">
        <v>11732</v>
      </c>
      <c r="F707" s="306" t="str">
        <f>VLOOKUP(Table24[[#This Row],[Country]],Table10[[COUNTRY NAME]:[CONTINENT CODE]],3,FALSE)</f>
        <v>NA - US</v>
      </c>
      <c r="G707" s="312" t="s">
        <v>13354</v>
      </c>
      <c r="H707" s="309">
        <v>2063</v>
      </c>
      <c r="I707" s="310">
        <v>6.75</v>
      </c>
      <c r="J707" s="307">
        <v>180848611</v>
      </c>
      <c r="K707" s="307">
        <f>IFERROR(Table24[[#This Row],[ROUTE COST]]/Table24[[#This Row],[O - DEMAND]],0)</f>
        <v>60403.677688710755</v>
      </c>
      <c r="L707" s="306">
        <v>2994</v>
      </c>
      <c r="M707" s="310">
        <f>Table24[[#This Row],[O - DEMAND]]/950</f>
        <v>3.1515789473684213</v>
      </c>
      <c r="N707" s="306">
        <f>IFERROR(VLOOKUP(Table24[[#This Row],[ROUTE]],DEMAND!A:F,5,FALSE),0)</f>
        <v>3094</v>
      </c>
      <c r="O707" s="306">
        <f>IFERROR(VLOOKUP(Table24[[#This Row],[ROUTE]],DEMAND!A:F,6,FALSE),0)</f>
        <v>244</v>
      </c>
      <c r="P707" s="306">
        <f>ROUNDDOWN(Table24[[#This Row],[R-DEMAND]]/950,0)</f>
        <v>0</v>
      </c>
      <c r="Q707" s="306">
        <f>Table24[[#This Row],[ADD ACC
(475/950)]]*Table24[[#This Row],[Duration
(A359)]]</f>
        <v>0</v>
      </c>
      <c r="R707" s="307">
        <f>IFERROR(VLOOKUP(Table24[[#This Row],[ROUTE]],PRICING!A:B,2,FALSE),0)</f>
        <v>683</v>
      </c>
      <c r="S707" s="308">
        <f>Table24[[#This Row],[C_DEMAND]]-Table24[[#This Row],[R-DEMAND]]</f>
        <v>2850</v>
      </c>
      <c r="T707" s="307">
        <f>Table24[[#This Row],[SEATS SOLD]]*Table24[[#This Row],[ECO SEAT]]</f>
        <v>1946550</v>
      </c>
      <c r="U707" s="307">
        <f>Table24[[#This Row],[SEATS SOLD]]*(IFERROR(VLOOKUP(Table24[[#This Row],[ROUTE]],PRICING!A:C,3,FALSE),0))</f>
        <v>2163150</v>
      </c>
      <c r="V707" s="307">
        <f>Table24[[#This Row],[SEAT REV]]-Table24[[#This Row],[SEAT REV
(IF IDEAL $)]]</f>
        <v>-216600</v>
      </c>
    </row>
    <row r="708" spans="1:22" customFormat="1" x14ac:dyDescent="0.25">
      <c r="A708" s="306" t="s">
        <v>17045</v>
      </c>
      <c r="B708" s="306" t="s">
        <v>4324</v>
      </c>
      <c r="C708" s="306" t="s">
        <v>2</v>
      </c>
      <c r="D708" s="26">
        <v>2</v>
      </c>
      <c r="E708" s="312" t="s">
        <v>11782</v>
      </c>
      <c r="F708" s="306" t="str">
        <f>VLOOKUP(Table24[[#This Row],[Country]],Table10[[COUNTRY NAME]:[CONTINENT CODE]],3,FALSE)</f>
        <v>AF</v>
      </c>
      <c r="G708" s="312" t="s">
        <v>11783</v>
      </c>
      <c r="H708" s="309">
        <v>9027</v>
      </c>
      <c r="I708" s="310">
        <v>22</v>
      </c>
      <c r="J708" s="307">
        <v>200792158</v>
      </c>
      <c r="K708" s="307">
        <f>IFERROR(Table24[[#This Row],[ROUTE COST]]/Table24[[#This Row],[O - DEMAND]],0)</f>
        <v>51235.5595815259</v>
      </c>
      <c r="L708" s="306">
        <v>3919</v>
      </c>
      <c r="M708" s="310">
        <f>Table24[[#This Row],[O - DEMAND]]/950</f>
        <v>4.1252631578947367</v>
      </c>
      <c r="N708" s="306">
        <f>IFERROR(VLOOKUP(Table24[[#This Row],[ROUTE]],DEMAND!A:F,5,FALSE),0)</f>
        <v>4050</v>
      </c>
      <c r="O708" s="306">
        <f>IFERROR(VLOOKUP(Table24[[#This Row],[ROUTE]],DEMAND!A:F,6,FALSE),0)</f>
        <v>250</v>
      </c>
      <c r="P708" s="306">
        <f>ROUNDDOWN(Table24[[#This Row],[R-DEMAND]]/950,0)</f>
        <v>0</v>
      </c>
      <c r="Q708" s="306">
        <f>Table24[[#This Row],[ADD ACC
(475/950)]]*Table24[[#This Row],[Duration
(A359)]]</f>
        <v>0</v>
      </c>
      <c r="R708" s="307">
        <f>IFERROR(VLOOKUP(Table24[[#This Row],[ROUTE]],PRICING!A:B,2,FALSE),0)</f>
        <v>2626</v>
      </c>
      <c r="S708" s="308">
        <f>Table24[[#This Row],[C_DEMAND]]-Table24[[#This Row],[R-DEMAND]]</f>
        <v>3800</v>
      </c>
      <c r="T708" s="307">
        <f>Table24[[#This Row],[SEATS SOLD]]*Table24[[#This Row],[ECO SEAT]]</f>
        <v>9978800</v>
      </c>
      <c r="U708" s="307">
        <f>Table24[[#This Row],[SEATS SOLD]]*(IFERROR(VLOOKUP(Table24[[#This Row],[ROUTE]],PRICING!A:C,3,FALSE),0))</f>
        <v>11088400</v>
      </c>
      <c r="V708" s="307">
        <f>Table24[[#This Row],[SEAT REV]]-Table24[[#This Row],[SEAT REV
(IF IDEAL $)]]</f>
        <v>-1109600</v>
      </c>
    </row>
    <row r="709" spans="1:22" customFormat="1" x14ac:dyDescent="0.25">
      <c r="A709" s="306" t="s">
        <v>17826</v>
      </c>
      <c r="B709" s="306" t="s">
        <v>5754</v>
      </c>
      <c r="C709" s="306" t="s">
        <v>2</v>
      </c>
      <c r="D709" s="26">
        <v>5</v>
      </c>
      <c r="E709" s="312" t="s">
        <v>11732</v>
      </c>
      <c r="F709" s="306" t="str">
        <f>VLOOKUP(Table24[[#This Row],[Country]],Table10[[COUNTRY NAME]:[CONTINENT CODE]],3,FALSE)</f>
        <v>NA - US</v>
      </c>
      <c r="G709" s="312" t="s">
        <v>13269</v>
      </c>
      <c r="H709" s="309">
        <v>4859</v>
      </c>
      <c r="I709" s="310">
        <v>12.75</v>
      </c>
      <c r="J709" s="307">
        <v>209057737</v>
      </c>
      <c r="K709" s="307">
        <f>IFERROR(Table24[[#This Row],[ROUTE COST]]/Table24[[#This Row],[O - DEMAND]],0)</f>
        <v>70795.034541144603</v>
      </c>
      <c r="L709" s="306">
        <v>2953</v>
      </c>
      <c r="M709" s="310">
        <f>Table24[[#This Row],[O - DEMAND]]/950</f>
        <v>3.108421052631579</v>
      </c>
      <c r="N709" s="306">
        <f>IFERROR(VLOOKUP(Table24[[#This Row],[ROUTE]],DEMAND!A:F,5,FALSE),0)</f>
        <v>3101</v>
      </c>
      <c r="O709" s="306">
        <f>IFERROR(VLOOKUP(Table24[[#This Row],[ROUTE]],DEMAND!A:F,6,FALSE),0)</f>
        <v>251</v>
      </c>
      <c r="P709" s="306">
        <f>ROUNDDOWN(Table24[[#This Row],[R-DEMAND]]/950,0)</f>
        <v>0</v>
      </c>
      <c r="Q709" s="306">
        <f>Table24[[#This Row],[ADD ACC
(475/950)]]*Table24[[#This Row],[Duration
(A359)]]</f>
        <v>0</v>
      </c>
      <c r="R709" s="307">
        <f>IFERROR(VLOOKUP(Table24[[#This Row],[ROUTE]],PRICING!A:B,2,FALSE),0)</f>
        <v>1382</v>
      </c>
      <c r="S709" s="308">
        <f>Table24[[#This Row],[C_DEMAND]]-Table24[[#This Row],[R-DEMAND]]</f>
        <v>2850</v>
      </c>
      <c r="T709" s="307">
        <f>Table24[[#This Row],[SEATS SOLD]]*Table24[[#This Row],[ECO SEAT]]</f>
        <v>3938700</v>
      </c>
      <c r="U709" s="307">
        <f>Table24[[#This Row],[SEATS SOLD]]*(IFERROR(VLOOKUP(Table24[[#This Row],[ROUTE]],PRICING!A:C,3,FALSE),0))</f>
        <v>4634100</v>
      </c>
      <c r="V709" s="307">
        <f>Table24[[#This Row],[SEAT REV]]-Table24[[#This Row],[SEAT REV
(IF IDEAL $)]]</f>
        <v>-695400</v>
      </c>
    </row>
    <row r="710" spans="1:22" customFormat="1" x14ac:dyDescent="0.25">
      <c r="A710" s="306" t="s">
        <v>18084</v>
      </c>
      <c r="B710" s="306" t="s">
        <v>3416</v>
      </c>
      <c r="C710" s="306" t="s">
        <v>2</v>
      </c>
      <c r="D710" s="26">
        <v>2</v>
      </c>
      <c r="E710" s="312" t="s">
        <v>714</v>
      </c>
      <c r="F710" s="306" t="str">
        <f>VLOOKUP(Table24[[#This Row],[Country]],Table10[[COUNTRY NAME]:[CONTINENT CODE]],3,FALSE)</f>
        <v>SA</v>
      </c>
      <c r="G710" s="312" t="s">
        <v>16996</v>
      </c>
      <c r="H710" s="309">
        <v>2826</v>
      </c>
      <c r="I710" s="310">
        <v>8.25</v>
      </c>
      <c r="J710" s="307">
        <v>130828484</v>
      </c>
      <c r="K710" s="307">
        <f>IFERROR(Table24[[#This Row],[ROUTE COST]]/Table24[[#This Row],[O - DEMAND]],0)</f>
        <v>43711.488138990979</v>
      </c>
      <c r="L710" s="306">
        <v>2993</v>
      </c>
      <c r="M710" s="310">
        <f>Table24[[#This Row],[O - DEMAND]]/950</f>
        <v>3.1505263157894738</v>
      </c>
      <c r="N710" s="306">
        <f>IFERROR(VLOOKUP(Table24[[#This Row],[ROUTE]],DEMAND!A:F,5,FALSE),0)</f>
        <v>3103</v>
      </c>
      <c r="O710" s="306">
        <f>IFERROR(VLOOKUP(Table24[[#This Row],[ROUTE]],DEMAND!A:F,6,FALSE),0)</f>
        <v>253</v>
      </c>
      <c r="P710" s="306">
        <f>ROUNDDOWN(Table24[[#This Row],[R-DEMAND]]/950,0)</f>
        <v>0</v>
      </c>
      <c r="Q710" s="306">
        <f>Table24[[#This Row],[ADD ACC
(475/950)]]*Table24[[#This Row],[Duration
(A359)]]</f>
        <v>0</v>
      </c>
      <c r="R710" s="307">
        <f>IFERROR(VLOOKUP(Table24[[#This Row],[ROUTE]],PRICING!A:B,2,FALSE),0)</f>
        <v>886</v>
      </c>
      <c r="S710" s="308">
        <f>Table24[[#This Row],[C_DEMAND]]-Table24[[#This Row],[R-DEMAND]]</f>
        <v>2850</v>
      </c>
      <c r="T710" s="307">
        <f>Table24[[#This Row],[SEATS SOLD]]*Table24[[#This Row],[ECO SEAT]]</f>
        <v>2525100</v>
      </c>
      <c r="U710" s="307">
        <f>Table24[[#This Row],[SEATS SOLD]]*(IFERROR(VLOOKUP(Table24[[#This Row],[ROUTE]],PRICING!A:C,3,FALSE),0))</f>
        <v>2838600</v>
      </c>
      <c r="V710" s="307">
        <f>Table24[[#This Row],[SEAT REV]]-Table24[[#This Row],[SEAT REV
(IF IDEAL $)]]</f>
        <v>-313500</v>
      </c>
    </row>
    <row r="711" spans="1:22" customFormat="1" x14ac:dyDescent="0.25">
      <c r="A711" s="306" t="s">
        <v>17061</v>
      </c>
      <c r="B711" s="306" t="s">
        <v>575</v>
      </c>
      <c r="C711" s="306" t="s">
        <v>2</v>
      </c>
      <c r="D711" s="26">
        <v>1</v>
      </c>
      <c r="E711" s="312" t="s">
        <v>493</v>
      </c>
      <c r="F711" s="306" t="str">
        <f>VLOOKUP(Table24[[#This Row],[Country]],Table10[[COUNTRY NAME]:[CONTINENT CODE]],3,FALSE)</f>
        <v>AF</v>
      </c>
      <c r="G711" s="312" t="s">
        <v>11717</v>
      </c>
      <c r="H711" s="309">
        <v>7539</v>
      </c>
      <c r="I711" s="310">
        <v>18.75</v>
      </c>
      <c r="J711" s="307">
        <v>167509897</v>
      </c>
      <c r="K711" s="307">
        <f>IFERROR(Table24[[#This Row],[ROUTE COST]]/Table24[[#This Row],[O - DEMAND]],0)</f>
        <v>82966.76423972263</v>
      </c>
      <c r="L711" s="306">
        <v>2019</v>
      </c>
      <c r="M711" s="310">
        <f>Table24[[#This Row],[O - DEMAND]]/950</f>
        <v>2.1252631578947367</v>
      </c>
      <c r="N711" s="306">
        <f>IFERROR(VLOOKUP(Table24[[#This Row],[ROUTE]],DEMAND!A:F,5,FALSE),0)</f>
        <v>2154</v>
      </c>
      <c r="O711" s="306">
        <f>IFERROR(VLOOKUP(Table24[[#This Row],[ROUTE]],DEMAND!A:F,6,FALSE),0)</f>
        <v>254</v>
      </c>
      <c r="P711" s="306">
        <f>ROUNDDOWN(Table24[[#This Row],[R-DEMAND]]/950,0)</f>
        <v>0</v>
      </c>
      <c r="Q711" s="306">
        <f>Table24[[#This Row],[ADD ACC
(475/950)]]*Table24[[#This Row],[Duration
(A359)]]</f>
        <v>0</v>
      </c>
      <c r="R711" s="307">
        <f>IFERROR(VLOOKUP(Table24[[#This Row],[ROUTE]],PRICING!A:B,2,FALSE),0)</f>
        <v>1965</v>
      </c>
      <c r="S711" s="308">
        <f>Table24[[#This Row],[C_DEMAND]]-Table24[[#This Row],[R-DEMAND]]</f>
        <v>1900</v>
      </c>
      <c r="T711" s="307">
        <f>Table24[[#This Row],[SEATS SOLD]]*Table24[[#This Row],[ECO SEAT]]</f>
        <v>3733500</v>
      </c>
      <c r="U711" s="307">
        <f>Table24[[#This Row],[SEATS SOLD]]*(IFERROR(VLOOKUP(Table24[[#This Row],[ROUTE]],PRICING!A:C,3,FALSE),0))</f>
        <v>4668300</v>
      </c>
      <c r="V711" s="307">
        <f>Table24[[#This Row],[SEAT REV]]-Table24[[#This Row],[SEAT REV
(IF IDEAL $)]]</f>
        <v>-934800</v>
      </c>
    </row>
    <row r="712" spans="1:22" customFormat="1" x14ac:dyDescent="0.25">
      <c r="A712" s="306" t="s">
        <v>17046</v>
      </c>
      <c r="B712" s="306" t="s">
        <v>615</v>
      </c>
      <c r="C712" s="306" t="s">
        <v>2</v>
      </c>
      <c r="D712" s="26">
        <v>1</v>
      </c>
      <c r="E712" s="312" t="s">
        <v>493</v>
      </c>
      <c r="F712" s="306" t="str">
        <f>VLOOKUP(Table24[[#This Row],[Country]],Table10[[COUNTRY NAME]:[CONTINENT CODE]],3,FALSE)</f>
        <v>AF</v>
      </c>
      <c r="G712" s="312" t="s">
        <v>11716</v>
      </c>
      <c r="H712" s="309">
        <v>7587</v>
      </c>
      <c r="I712" s="310">
        <v>18.75</v>
      </c>
      <c r="J712" s="307">
        <v>167602897</v>
      </c>
      <c r="K712" s="307">
        <f>IFERROR(Table24[[#This Row],[ROUTE COST]]/Table24[[#This Row],[O - DEMAND]],0)</f>
        <v>82238.909224730131</v>
      </c>
      <c r="L712" s="306">
        <v>2038</v>
      </c>
      <c r="M712" s="310">
        <f>Table24[[#This Row],[O - DEMAND]]/950</f>
        <v>2.1452631578947368</v>
      </c>
      <c r="N712" s="306">
        <f>IFERROR(VLOOKUP(Table24[[#This Row],[ROUTE]],DEMAND!A:F,5,FALSE),0)</f>
        <v>2154</v>
      </c>
      <c r="O712" s="306">
        <f>IFERROR(VLOOKUP(Table24[[#This Row],[ROUTE]],DEMAND!A:F,6,FALSE),0)</f>
        <v>254</v>
      </c>
      <c r="P712" s="306">
        <f>ROUNDDOWN(Table24[[#This Row],[R-DEMAND]]/950,0)</f>
        <v>0</v>
      </c>
      <c r="Q712" s="306">
        <f>Table24[[#This Row],[ADD ACC
(475/950)]]*Table24[[#This Row],[Duration
(A359)]]</f>
        <v>0</v>
      </c>
      <c r="R712" s="307">
        <f>IFERROR(VLOOKUP(Table24[[#This Row],[ROUTE]],PRICING!A:B,2,FALSE),0)</f>
        <v>2050</v>
      </c>
      <c r="S712" s="308">
        <f>Table24[[#This Row],[C_DEMAND]]-Table24[[#This Row],[R-DEMAND]]</f>
        <v>1900</v>
      </c>
      <c r="T712" s="307">
        <f>Table24[[#This Row],[SEATS SOLD]]*Table24[[#This Row],[ECO SEAT]]</f>
        <v>3895000</v>
      </c>
      <c r="U712" s="307">
        <f>Table24[[#This Row],[SEATS SOLD]]*(IFERROR(VLOOKUP(Table24[[#This Row],[ROUTE]],PRICING!A:C,3,FALSE),0))</f>
        <v>4694900</v>
      </c>
      <c r="V712" s="307">
        <f>Table24[[#This Row],[SEAT REV]]-Table24[[#This Row],[SEAT REV
(IF IDEAL $)]]</f>
        <v>-799900</v>
      </c>
    </row>
    <row r="713" spans="1:22" customFormat="1" x14ac:dyDescent="0.25">
      <c r="A713" s="306" t="s">
        <v>17040</v>
      </c>
      <c r="B713" s="306" t="s">
        <v>10817</v>
      </c>
      <c r="C713" s="306" t="s">
        <v>2</v>
      </c>
      <c r="D713" s="26">
        <v>2</v>
      </c>
      <c r="E713" s="312" t="s">
        <v>13117</v>
      </c>
      <c r="F713" s="306" t="str">
        <f>VLOOKUP(Table24[[#This Row],[Country]],Table10[[COUNTRY NAME]:[CONTINENT CODE]],3,FALSE)</f>
        <v>AF</v>
      </c>
      <c r="G713" s="312" t="s">
        <v>16857</v>
      </c>
      <c r="H713" s="309">
        <v>11598</v>
      </c>
      <c r="I713" s="310">
        <v>27.5</v>
      </c>
      <c r="J713" s="307">
        <v>218234333</v>
      </c>
      <c r="K713" s="307">
        <f>IFERROR(Table24[[#This Row],[ROUTE COST]]/Table24[[#This Row],[O - DEMAND]],0)</f>
        <v>55785.872443762782</v>
      </c>
      <c r="L713" s="306">
        <v>3912</v>
      </c>
      <c r="M713" s="310">
        <f>Table24[[#This Row],[O - DEMAND]]/950</f>
        <v>4.1178947368421053</v>
      </c>
      <c r="N713" s="306">
        <f>IFERROR(VLOOKUP(Table24[[#This Row],[ROUTE]],DEMAND!A:F,5,FALSE),0)</f>
        <v>4055</v>
      </c>
      <c r="O713" s="306">
        <f>IFERROR(VLOOKUP(Table24[[#This Row],[ROUTE]],DEMAND!A:F,6,FALSE),0)</f>
        <v>255</v>
      </c>
      <c r="P713" s="306">
        <f>ROUNDDOWN(Table24[[#This Row],[R-DEMAND]]/950,0)</f>
        <v>0</v>
      </c>
      <c r="Q713" s="306">
        <f>Table24[[#This Row],[ADD ACC
(475/950)]]*Table24[[#This Row],[Duration
(A359)]]</f>
        <v>0</v>
      </c>
      <c r="R713" s="307">
        <f>IFERROR(VLOOKUP(Table24[[#This Row],[ROUTE]],PRICING!A:B,2,FALSE),0)</f>
        <v>3306</v>
      </c>
      <c r="S713" s="308">
        <f>Table24[[#This Row],[C_DEMAND]]-Table24[[#This Row],[R-DEMAND]]</f>
        <v>3800</v>
      </c>
      <c r="T713" s="307">
        <f>Table24[[#This Row],[SEATS SOLD]]*Table24[[#This Row],[ECO SEAT]]</f>
        <v>12562800</v>
      </c>
      <c r="U713" s="307">
        <f>Table24[[#This Row],[SEATS SOLD]]*(IFERROR(VLOOKUP(Table24[[#This Row],[ROUTE]],PRICING!A:C,3,FALSE),0))</f>
        <v>14117000</v>
      </c>
      <c r="V713" s="307">
        <f>Table24[[#This Row],[SEAT REV]]-Table24[[#This Row],[SEAT REV
(IF IDEAL $)]]</f>
        <v>-1554200</v>
      </c>
    </row>
    <row r="714" spans="1:22" customFormat="1" x14ac:dyDescent="0.25">
      <c r="A714" s="306" t="s">
        <v>17255</v>
      </c>
      <c r="B714" s="306" t="s">
        <v>154</v>
      </c>
      <c r="C714" s="306" t="s">
        <v>2</v>
      </c>
      <c r="D714" s="26">
        <v>3</v>
      </c>
      <c r="E714" s="312" t="s">
        <v>1070</v>
      </c>
      <c r="F714" s="306" t="str">
        <f>VLOOKUP(Table24[[#This Row],[Country]],Table10[[COUNTRY NAME]:[CONTINENT CODE]],3,FALSE)</f>
        <v>AS</v>
      </c>
      <c r="G714" s="312" t="s">
        <v>12055</v>
      </c>
      <c r="H714" s="309">
        <v>14615</v>
      </c>
      <c r="I714" s="310">
        <v>34.25</v>
      </c>
      <c r="J714" s="307">
        <v>259416166</v>
      </c>
      <c r="K714" s="307">
        <f>IFERROR(Table24[[#This Row],[ROUTE COST]]/Table24[[#This Row],[O - DEMAND]],0)</f>
        <v>86587.505340453936</v>
      </c>
      <c r="L714" s="306">
        <v>2996</v>
      </c>
      <c r="M714" s="310">
        <f>Table24[[#This Row],[O - DEMAND]]/950</f>
        <v>3.1536842105263156</v>
      </c>
      <c r="N714" s="306">
        <f>IFERROR(VLOOKUP(Table24[[#This Row],[ROUTE]],DEMAND!A:F,5,FALSE),0)</f>
        <v>3106</v>
      </c>
      <c r="O714" s="306">
        <f>IFERROR(VLOOKUP(Table24[[#This Row],[ROUTE]],DEMAND!A:F,6,FALSE),0)</f>
        <v>256</v>
      </c>
      <c r="P714" s="306">
        <f>ROUNDDOWN(Table24[[#This Row],[R-DEMAND]]/950,0)</f>
        <v>0</v>
      </c>
      <c r="Q714" s="306">
        <f>Table24[[#This Row],[ADD ACC
(475/950)]]*Table24[[#This Row],[Duration
(A359)]]</f>
        <v>0</v>
      </c>
      <c r="R714" s="307">
        <f>IFERROR(VLOOKUP(Table24[[#This Row],[ROUTE]],PRICING!A:B,2,FALSE),0)</f>
        <v>4138</v>
      </c>
      <c r="S714" s="308">
        <f>Table24[[#This Row],[C_DEMAND]]-Table24[[#This Row],[R-DEMAND]]</f>
        <v>2850</v>
      </c>
      <c r="T714" s="307">
        <f>Table24[[#This Row],[SEATS SOLD]]*Table24[[#This Row],[ECO SEAT]]</f>
        <v>11793300</v>
      </c>
      <c r="U714" s="307">
        <f>Table24[[#This Row],[SEATS SOLD]]*(IFERROR(VLOOKUP(Table24[[#This Row],[ROUTE]],PRICING!A:C,3,FALSE),0))</f>
        <v>13252500</v>
      </c>
      <c r="V714" s="307">
        <f>Table24[[#This Row],[SEAT REV]]-Table24[[#This Row],[SEAT REV
(IF IDEAL $)]]</f>
        <v>-1459200</v>
      </c>
    </row>
    <row r="715" spans="1:22" customFormat="1" x14ac:dyDescent="0.25">
      <c r="A715" s="306" t="s">
        <v>17592</v>
      </c>
      <c r="B715" s="306" t="s">
        <v>5321</v>
      </c>
      <c r="C715" s="306" t="s">
        <v>2</v>
      </c>
      <c r="D715" s="26">
        <v>3</v>
      </c>
      <c r="E715" s="312" t="s">
        <v>733</v>
      </c>
      <c r="F715" s="306" t="str">
        <f>VLOOKUP(Table24[[#This Row],[Country]],Table10[[COUNTRY NAME]:[CONTINENT CODE]],3,FALSE)</f>
        <v>EU</v>
      </c>
      <c r="G715" s="312" t="s">
        <v>11677</v>
      </c>
      <c r="H715" s="309">
        <v>6474</v>
      </c>
      <c r="I715" s="310">
        <v>16.25</v>
      </c>
      <c r="J715" s="307">
        <v>189532237</v>
      </c>
      <c r="K715" s="307">
        <f>IFERROR(Table24[[#This Row],[ROUTE COST]]/Table24[[#This Row],[O - DEMAND]],0)</f>
        <v>64074.45469912103</v>
      </c>
      <c r="L715" s="306">
        <v>2958</v>
      </c>
      <c r="M715" s="310">
        <f>Table24[[#This Row],[O - DEMAND]]/950</f>
        <v>3.1136842105263156</v>
      </c>
      <c r="N715" s="306">
        <f>IFERROR(VLOOKUP(Table24[[#This Row],[ROUTE]],DEMAND!A:F,5,FALSE),0)</f>
        <v>3106</v>
      </c>
      <c r="O715" s="306">
        <f>IFERROR(VLOOKUP(Table24[[#This Row],[ROUTE]],DEMAND!A:F,6,FALSE),0)</f>
        <v>256</v>
      </c>
      <c r="P715" s="306">
        <f>ROUNDDOWN(Table24[[#This Row],[R-DEMAND]]/950,0)</f>
        <v>0</v>
      </c>
      <c r="Q715" s="306">
        <f>Table24[[#This Row],[ADD ACC
(475/950)]]*Table24[[#This Row],[Duration
(A359)]]</f>
        <v>0</v>
      </c>
      <c r="R715" s="307">
        <f>IFERROR(VLOOKUP(Table24[[#This Row],[ROUTE]],PRICING!A:B,2,FALSE),0)</f>
        <v>1807</v>
      </c>
      <c r="S715" s="308">
        <f>Table24[[#This Row],[C_DEMAND]]-Table24[[#This Row],[R-DEMAND]]</f>
        <v>2850</v>
      </c>
      <c r="T715" s="307">
        <f>Table24[[#This Row],[SEATS SOLD]]*Table24[[#This Row],[ECO SEAT]]</f>
        <v>5149950</v>
      </c>
      <c r="U715" s="307">
        <f>Table24[[#This Row],[SEATS SOLD]]*(IFERROR(VLOOKUP(Table24[[#This Row],[ROUTE]],PRICING!A:C,3,FALSE),0))</f>
        <v>6059100</v>
      </c>
      <c r="V715" s="307">
        <f>Table24[[#This Row],[SEAT REV]]-Table24[[#This Row],[SEAT REV
(IF IDEAL $)]]</f>
        <v>-909150</v>
      </c>
    </row>
    <row r="716" spans="1:22" customFormat="1" x14ac:dyDescent="0.25">
      <c r="A716" s="306" t="s">
        <v>17051</v>
      </c>
      <c r="B716" s="306" t="s">
        <v>973</v>
      </c>
      <c r="C716" s="306" t="s">
        <v>2</v>
      </c>
      <c r="D716" s="26">
        <v>1</v>
      </c>
      <c r="E716" s="312" t="s">
        <v>971</v>
      </c>
      <c r="F716" s="306" t="str">
        <f>VLOOKUP(Table24[[#This Row],[Country]],Table10[[COUNTRY NAME]:[CONTINENT CODE]],3,FALSE)</f>
        <v>AF</v>
      </c>
      <c r="G716" s="312" t="s">
        <v>11755</v>
      </c>
      <c r="H716" s="309">
        <v>8062</v>
      </c>
      <c r="I716" s="310">
        <v>19.75</v>
      </c>
      <c r="J716" s="307">
        <v>171328053</v>
      </c>
      <c r="K716" s="307">
        <f>IFERROR(Table24[[#This Row],[ROUTE COST]]/Table24[[#This Row],[O - DEMAND]],0)</f>
        <v>82132.336049856181</v>
      </c>
      <c r="L716" s="306">
        <v>2086</v>
      </c>
      <c r="M716" s="310">
        <f>Table24[[#This Row],[O - DEMAND]]/950</f>
        <v>2.1957894736842105</v>
      </c>
      <c r="N716" s="306">
        <f>IFERROR(VLOOKUP(Table24[[#This Row],[ROUTE]],DEMAND!A:F,5,FALSE),0)</f>
        <v>2156</v>
      </c>
      <c r="O716" s="306">
        <f>IFERROR(VLOOKUP(Table24[[#This Row],[ROUTE]],DEMAND!A:F,6,FALSE),0)</f>
        <v>256</v>
      </c>
      <c r="P716" s="306">
        <f>ROUNDDOWN(Table24[[#This Row],[R-DEMAND]]/950,0)</f>
        <v>0</v>
      </c>
      <c r="Q716" s="306">
        <f>Table24[[#This Row],[ADD ACC
(475/950)]]*Table24[[#This Row],[Duration
(A359)]]</f>
        <v>0</v>
      </c>
      <c r="R716" s="307">
        <f>IFERROR(VLOOKUP(Table24[[#This Row],[ROUTE]],PRICING!A:B,2,FALSE),0)</f>
        <v>2357</v>
      </c>
      <c r="S716" s="308">
        <f>Table24[[#This Row],[C_DEMAND]]-Table24[[#This Row],[R-DEMAND]]</f>
        <v>1900</v>
      </c>
      <c r="T716" s="307">
        <f>Table24[[#This Row],[SEATS SOLD]]*Table24[[#This Row],[ECO SEAT]]</f>
        <v>4478300</v>
      </c>
      <c r="U716" s="307">
        <f>Table24[[#This Row],[SEATS SOLD]]*(IFERROR(VLOOKUP(Table24[[#This Row],[ROUTE]],PRICING!A:C,3,FALSE),0))</f>
        <v>4976100</v>
      </c>
      <c r="V716" s="307">
        <f>Table24[[#This Row],[SEAT REV]]-Table24[[#This Row],[SEAT REV
(IF IDEAL $)]]</f>
        <v>-497800</v>
      </c>
    </row>
    <row r="717" spans="1:22" customFormat="1" x14ac:dyDescent="0.25">
      <c r="A717" s="306" t="s">
        <v>17282</v>
      </c>
      <c r="B717" s="306" t="s">
        <v>5076</v>
      </c>
      <c r="C717" s="306" t="s">
        <v>2</v>
      </c>
      <c r="D717" s="26">
        <v>3</v>
      </c>
      <c r="E717" s="312" t="s">
        <v>142</v>
      </c>
      <c r="F717" s="306" t="str">
        <f>VLOOKUP(Table24[[#This Row],[Country]],Table10[[COUNTRY NAME]:[CONTINENT CODE]],3,FALSE)</f>
        <v>AS</v>
      </c>
      <c r="G717" s="312" t="s">
        <v>16839</v>
      </c>
      <c r="H717" s="309">
        <v>13202</v>
      </c>
      <c r="I717" s="310">
        <v>31</v>
      </c>
      <c r="J717" s="307">
        <v>251510818</v>
      </c>
      <c r="K717" s="307">
        <f>IFERROR(Table24[[#This Row],[ROUTE COST]]/Table24[[#This Row],[O - DEMAND]],0)</f>
        <v>86104.353988360148</v>
      </c>
      <c r="L717" s="306">
        <v>2921</v>
      </c>
      <c r="M717" s="310">
        <f>Table24[[#This Row],[O - DEMAND]]/950</f>
        <v>3.074736842105263</v>
      </c>
      <c r="N717" s="306">
        <f>IFERROR(VLOOKUP(Table24[[#This Row],[ROUTE]],DEMAND!A:F,5,FALSE),0)</f>
        <v>3106</v>
      </c>
      <c r="O717" s="306">
        <f>IFERROR(VLOOKUP(Table24[[#This Row],[ROUTE]],DEMAND!A:F,6,FALSE),0)</f>
        <v>256</v>
      </c>
      <c r="P717" s="306">
        <f>ROUNDDOWN(Table24[[#This Row],[R-DEMAND]]/950,0)</f>
        <v>0</v>
      </c>
      <c r="Q717" s="306">
        <f>Table24[[#This Row],[ADD ACC
(475/950)]]*Table24[[#This Row],[Duration
(A359)]]</f>
        <v>0</v>
      </c>
      <c r="R717" s="307">
        <f>IFERROR(VLOOKUP(Table24[[#This Row],[ROUTE]],PRICING!A:B,2,FALSE),0)</f>
        <v>3411</v>
      </c>
      <c r="S717" s="308">
        <f>Table24[[#This Row],[C_DEMAND]]-Table24[[#This Row],[R-DEMAND]]</f>
        <v>2850</v>
      </c>
      <c r="T717" s="307">
        <f>Table24[[#This Row],[SEATS SOLD]]*Table24[[#This Row],[ECO SEAT]]</f>
        <v>9721350</v>
      </c>
      <c r="U717" s="307">
        <f>Table24[[#This Row],[SEATS SOLD]]*(IFERROR(VLOOKUP(Table24[[#This Row],[ROUTE]],PRICING!A:C,3,FALSE),0))</f>
        <v>12004200</v>
      </c>
      <c r="V717" s="307">
        <f>Table24[[#This Row],[SEAT REV]]-Table24[[#This Row],[SEAT REV
(IF IDEAL $)]]</f>
        <v>-2282850</v>
      </c>
    </row>
    <row r="718" spans="1:22" customFormat="1" x14ac:dyDescent="0.25">
      <c r="A718" s="306" t="s">
        <v>17495</v>
      </c>
      <c r="B718" s="306" t="s">
        <v>5587</v>
      </c>
      <c r="C718" s="306" t="s">
        <v>2</v>
      </c>
      <c r="D718" s="26">
        <v>4</v>
      </c>
      <c r="E718" s="312" t="s">
        <v>1427</v>
      </c>
      <c r="F718" s="306" t="str">
        <f>VLOOKUP(Table24[[#This Row],[Country]],Table10[[COUNTRY NAME]:[CONTINENT CODE]],3,FALSE)</f>
        <v>EU</v>
      </c>
      <c r="G718" s="312" t="s">
        <v>11099</v>
      </c>
      <c r="H718" s="309">
        <v>7685</v>
      </c>
      <c r="I718" s="310">
        <v>19</v>
      </c>
      <c r="J718" s="307">
        <v>211893151</v>
      </c>
      <c r="K718" s="307">
        <f>IFERROR(Table24[[#This Row],[ROUTE COST]]/Table24[[#This Row],[O - DEMAND]],0)</f>
        <v>72765.5051510989</v>
      </c>
      <c r="L718" s="306">
        <v>2912</v>
      </c>
      <c r="M718" s="310">
        <f>Table24[[#This Row],[O - DEMAND]]/950</f>
        <v>3.0652631578947367</v>
      </c>
      <c r="N718" s="306">
        <f>IFERROR(VLOOKUP(Table24[[#This Row],[ROUTE]],DEMAND!A:F,5,FALSE),0)</f>
        <v>3107</v>
      </c>
      <c r="O718" s="306">
        <f>IFERROR(VLOOKUP(Table24[[#This Row],[ROUTE]],DEMAND!A:F,6,FALSE),0)</f>
        <v>257</v>
      </c>
      <c r="P718" s="306">
        <f>ROUNDDOWN(Table24[[#This Row],[R-DEMAND]]/950,0)</f>
        <v>0</v>
      </c>
      <c r="Q718" s="306">
        <f>Table24[[#This Row],[ADD ACC
(475/950)]]*Table24[[#This Row],[Duration
(A359)]]</f>
        <v>0</v>
      </c>
      <c r="R718" s="307">
        <f>IFERROR(VLOOKUP(Table24[[#This Row],[ROUTE]],PRICING!A:B,2,FALSE),0)</f>
        <v>2001</v>
      </c>
      <c r="S718" s="308">
        <f>Table24[[#This Row],[C_DEMAND]]-Table24[[#This Row],[R-DEMAND]]</f>
        <v>2850</v>
      </c>
      <c r="T718" s="307">
        <f>Table24[[#This Row],[SEATS SOLD]]*Table24[[#This Row],[ECO SEAT]]</f>
        <v>5702850</v>
      </c>
      <c r="U718" s="307">
        <f>Table24[[#This Row],[SEATS SOLD]]*(IFERROR(VLOOKUP(Table24[[#This Row],[ROUTE]],PRICING!A:C,3,FALSE),0))</f>
        <v>7130700</v>
      </c>
      <c r="V718" s="307">
        <f>Table24[[#This Row],[SEAT REV]]-Table24[[#This Row],[SEAT REV
(IF IDEAL $)]]</f>
        <v>-1427850</v>
      </c>
    </row>
    <row r="719" spans="1:22" customFormat="1" x14ac:dyDescent="0.25">
      <c r="A719" s="306" t="s">
        <v>17068</v>
      </c>
      <c r="B719" s="306" t="s">
        <v>4032</v>
      </c>
      <c r="C719" s="306" t="s">
        <v>2</v>
      </c>
      <c r="D719" s="26">
        <v>2</v>
      </c>
      <c r="E719" s="312" t="s">
        <v>523</v>
      </c>
      <c r="F719" s="306" t="str">
        <f>VLOOKUP(Table24[[#This Row],[Country]],Table10[[COUNTRY NAME]:[CONTINENT CODE]],3,FALSE)</f>
        <v>OC</v>
      </c>
      <c r="G719" s="312" t="s">
        <v>11972</v>
      </c>
      <c r="H719" s="309">
        <v>13941</v>
      </c>
      <c r="I719" s="310">
        <v>32.75</v>
      </c>
      <c r="J719" s="307">
        <v>245221938</v>
      </c>
      <c r="K719" s="307">
        <f>IFERROR(Table24[[#This Row],[ROUTE COST]]/Table24[[#This Row],[O - DEMAND]],0)</f>
        <v>82041.464703914346</v>
      </c>
      <c r="L719" s="306">
        <v>2989</v>
      </c>
      <c r="M719" s="310">
        <f>Table24[[#This Row],[O - DEMAND]]/950</f>
        <v>3.1463157894736842</v>
      </c>
      <c r="N719" s="306">
        <f>IFERROR(VLOOKUP(Table24[[#This Row],[ROUTE]],DEMAND!A:F,5,FALSE),0)</f>
        <v>3108</v>
      </c>
      <c r="O719" s="306">
        <f>IFERROR(VLOOKUP(Table24[[#This Row],[ROUTE]],DEMAND!A:F,6,FALSE),0)</f>
        <v>258</v>
      </c>
      <c r="P719" s="306">
        <f>ROUNDDOWN(Table24[[#This Row],[R-DEMAND]]/950,0)</f>
        <v>0</v>
      </c>
      <c r="Q719" s="306">
        <f>Table24[[#This Row],[ADD ACC
(475/950)]]*Table24[[#This Row],[Duration
(A359)]]</f>
        <v>0</v>
      </c>
      <c r="R719" s="307">
        <f>IFERROR(VLOOKUP(Table24[[#This Row],[ROUTE]],PRICING!A:B,2,FALSE),0)</f>
        <v>3908</v>
      </c>
      <c r="S719" s="308">
        <f>Table24[[#This Row],[C_DEMAND]]-Table24[[#This Row],[R-DEMAND]]</f>
        <v>2850</v>
      </c>
      <c r="T719" s="307">
        <f>Table24[[#This Row],[SEATS SOLD]]*Table24[[#This Row],[ECO SEAT]]</f>
        <v>11137800</v>
      </c>
      <c r="U719" s="307">
        <f>Table24[[#This Row],[SEATS SOLD]]*(IFERROR(VLOOKUP(Table24[[#This Row],[ROUTE]],PRICING!A:C,3,FALSE),0))</f>
        <v>12656850</v>
      </c>
      <c r="V719" s="307">
        <f>Table24[[#This Row],[SEAT REV]]-Table24[[#This Row],[SEAT REV
(IF IDEAL $)]]</f>
        <v>-1519050</v>
      </c>
    </row>
    <row r="720" spans="1:22" customFormat="1" x14ac:dyDescent="0.25">
      <c r="A720" s="306" t="s">
        <v>17079</v>
      </c>
      <c r="B720" s="306" t="s">
        <v>3012</v>
      </c>
      <c r="C720" s="306" t="s">
        <v>2</v>
      </c>
      <c r="D720" s="26">
        <v>2</v>
      </c>
      <c r="E720" s="312" t="s">
        <v>1646</v>
      </c>
      <c r="F720" s="306" t="str">
        <f>VLOOKUP(Table24[[#This Row],[Country]],Table10[[COUNTRY NAME]:[CONTINENT CODE]],3,FALSE)</f>
        <v>OC</v>
      </c>
      <c r="G720" s="312" t="s">
        <v>16852</v>
      </c>
      <c r="H720" s="309">
        <v>12031</v>
      </c>
      <c r="I720" s="310">
        <v>28.5</v>
      </c>
      <c r="J720" s="307">
        <v>220469622</v>
      </c>
      <c r="K720" s="307">
        <f>IFERROR(Table24[[#This Row],[ROUTE COST]]/Table24[[#This Row],[O - DEMAND]],0)</f>
        <v>75606.866255144036</v>
      </c>
      <c r="L720" s="306">
        <v>2916</v>
      </c>
      <c r="M720" s="310">
        <f>Table24[[#This Row],[O - DEMAND]]/950</f>
        <v>3.0694736842105264</v>
      </c>
      <c r="N720" s="306">
        <f>IFERROR(VLOOKUP(Table24[[#This Row],[ROUTE]],DEMAND!A:F,5,FALSE),0)</f>
        <v>3110</v>
      </c>
      <c r="O720" s="306">
        <f>IFERROR(VLOOKUP(Table24[[#This Row],[ROUTE]],DEMAND!A:F,6,FALSE),0)</f>
        <v>260</v>
      </c>
      <c r="P720" s="306">
        <f>ROUNDDOWN(Table24[[#This Row],[R-DEMAND]]/950,0)</f>
        <v>0</v>
      </c>
      <c r="Q720" s="306">
        <f>Table24[[#This Row],[ADD ACC
(475/950)]]*Table24[[#This Row],[Duration
(A359)]]</f>
        <v>0</v>
      </c>
      <c r="R720" s="307">
        <f>IFERROR(VLOOKUP(Table24[[#This Row],[ROUTE]],PRICING!A:B,2,FALSE),0)</f>
        <v>3079</v>
      </c>
      <c r="S720" s="308">
        <f>Table24[[#This Row],[C_DEMAND]]-Table24[[#This Row],[R-DEMAND]]</f>
        <v>2850</v>
      </c>
      <c r="T720" s="307">
        <f>Table24[[#This Row],[SEATS SOLD]]*Table24[[#This Row],[ECO SEAT]]</f>
        <v>8775150</v>
      </c>
      <c r="U720" s="307">
        <f>Table24[[#This Row],[SEATS SOLD]]*(IFERROR(VLOOKUP(Table24[[#This Row],[ROUTE]],PRICING!A:C,3,FALSE),0))</f>
        <v>10969650</v>
      </c>
      <c r="V720" s="307">
        <f>Table24[[#This Row],[SEAT REV]]-Table24[[#This Row],[SEAT REV
(IF IDEAL $)]]</f>
        <v>-2194500</v>
      </c>
    </row>
    <row r="721" spans="1:22" customFormat="1" x14ac:dyDescent="0.25">
      <c r="A721" s="306" t="s">
        <v>17069</v>
      </c>
      <c r="B721" s="306" t="s">
        <v>3743</v>
      </c>
      <c r="C721" s="306" t="s">
        <v>2</v>
      </c>
      <c r="D721" s="26">
        <v>2</v>
      </c>
      <c r="E721" s="312" t="s">
        <v>608</v>
      </c>
      <c r="F721" s="306" t="str">
        <f>VLOOKUP(Table24[[#This Row],[Country]],Table10[[COUNTRY NAME]:[CONTINENT CODE]],3,FALSE)</f>
        <v>AF</v>
      </c>
      <c r="G721" s="312" t="s">
        <v>11697</v>
      </c>
      <c r="H721" s="309">
        <v>7083</v>
      </c>
      <c r="I721" s="310">
        <v>17.75</v>
      </c>
      <c r="J721" s="307">
        <v>174636577</v>
      </c>
      <c r="K721" s="307">
        <f>IFERROR(Table24[[#This Row],[ROUTE COST]]/Table24[[#This Row],[O - DEMAND]],0)</f>
        <v>58038.078099036225</v>
      </c>
      <c r="L721" s="306">
        <v>3009</v>
      </c>
      <c r="M721" s="310">
        <f>Table24[[#This Row],[O - DEMAND]]/950</f>
        <v>3.1673684210526316</v>
      </c>
      <c r="N721" s="306">
        <f>IFERROR(VLOOKUP(Table24[[#This Row],[ROUTE]],DEMAND!A:F,5,FALSE),0)</f>
        <v>3110</v>
      </c>
      <c r="O721" s="306">
        <f>IFERROR(VLOOKUP(Table24[[#This Row],[ROUTE]],DEMAND!A:F,6,FALSE),0)</f>
        <v>260</v>
      </c>
      <c r="P721" s="306">
        <f>ROUNDDOWN(Table24[[#This Row],[R-DEMAND]]/950,0)</f>
        <v>0</v>
      </c>
      <c r="Q721" s="306">
        <f>Table24[[#This Row],[ADD ACC
(475/950)]]*Table24[[#This Row],[Duration
(A359)]]</f>
        <v>0</v>
      </c>
      <c r="R721" s="307">
        <f>IFERROR(VLOOKUP(Table24[[#This Row],[ROUTE]],PRICING!A:B,2,FALSE),0)</f>
        <v>2083</v>
      </c>
      <c r="S721" s="308">
        <f>Table24[[#This Row],[C_DEMAND]]-Table24[[#This Row],[R-DEMAND]]</f>
        <v>2850</v>
      </c>
      <c r="T721" s="307">
        <f>Table24[[#This Row],[SEATS SOLD]]*Table24[[#This Row],[ECO SEAT]]</f>
        <v>5936550</v>
      </c>
      <c r="U721" s="307">
        <f>Table24[[#This Row],[SEATS SOLD]]*(IFERROR(VLOOKUP(Table24[[#This Row],[ROUTE]],PRICING!A:C,3,FALSE),0))</f>
        <v>6597750</v>
      </c>
      <c r="V721" s="307">
        <f>Table24[[#This Row],[SEAT REV]]-Table24[[#This Row],[SEAT REV
(IF IDEAL $)]]</f>
        <v>-661200</v>
      </c>
    </row>
    <row r="722" spans="1:22" customFormat="1" x14ac:dyDescent="0.25">
      <c r="A722" s="306" t="s">
        <v>17304</v>
      </c>
      <c r="B722" s="306" t="s">
        <v>5395</v>
      </c>
      <c r="C722" s="306" t="s">
        <v>2</v>
      </c>
      <c r="D722" s="26">
        <v>3</v>
      </c>
      <c r="E722" s="312" t="s">
        <v>5393</v>
      </c>
      <c r="F722" s="306" t="str">
        <f>VLOOKUP(Table24[[#This Row],[Country]],Table10[[COUNTRY NAME]:[CONTINENT CODE]],3,FALSE)</f>
        <v>AS</v>
      </c>
      <c r="G722" s="312" t="s">
        <v>11877</v>
      </c>
      <c r="H722" s="309">
        <v>10412</v>
      </c>
      <c r="I722" s="310">
        <v>25</v>
      </c>
      <c r="J722" s="307">
        <v>230697072</v>
      </c>
      <c r="K722" s="307">
        <f>IFERROR(Table24[[#This Row],[ROUTE COST]]/Table24[[#This Row],[O - DEMAND]],0)</f>
        <v>59062.23041474654</v>
      </c>
      <c r="L722" s="306">
        <v>3906</v>
      </c>
      <c r="M722" s="310">
        <f>Table24[[#This Row],[O - DEMAND]]/950</f>
        <v>4.1115789473684208</v>
      </c>
      <c r="N722" s="306">
        <f>IFERROR(VLOOKUP(Table24[[#This Row],[ROUTE]],DEMAND!A:F,5,FALSE),0)</f>
        <v>4062</v>
      </c>
      <c r="O722" s="306">
        <f>IFERROR(VLOOKUP(Table24[[#This Row],[ROUTE]],DEMAND!A:F,6,FALSE),0)</f>
        <v>262</v>
      </c>
      <c r="P722" s="306">
        <f>ROUNDDOWN(Table24[[#This Row],[R-DEMAND]]/950,0)</f>
        <v>0</v>
      </c>
      <c r="Q722" s="306">
        <f>Table24[[#This Row],[ADD ACC
(475/950)]]*Table24[[#This Row],[Duration
(A359)]]</f>
        <v>0</v>
      </c>
      <c r="R722" s="307">
        <f>IFERROR(VLOOKUP(Table24[[#This Row],[ROUTE]],PRICING!A:B,2,FALSE),0)</f>
        <v>2945</v>
      </c>
      <c r="S722" s="308">
        <f>Table24[[#This Row],[C_DEMAND]]-Table24[[#This Row],[R-DEMAND]]</f>
        <v>3800</v>
      </c>
      <c r="T722" s="307">
        <f>Table24[[#This Row],[SEATS SOLD]]*Table24[[#This Row],[ECO SEAT]]</f>
        <v>11191000</v>
      </c>
      <c r="U722" s="307">
        <f>Table24[[#This Row],[SEATS SOLD]]*(IFERROR(VLOOKUP(Table24[[#This Row],[ROUTE]],PRICING!A:C,3,FALSE),0))</f>
        <v>12718600</v>
      </c>
      <c r="V722" s="307">
        <f>Table24[[#This Row],[SEAT REV]]-Table24[[#This Row],[SEAT REV
(IF IDEAL $)]]</f>
        <v>-1527600</v>
      </c>
    </row>
    <row r="723" spans="1:22" customFormat="1" x14ac:dyDescent="0.25">
      <c r="A723" s="306" t="s">
        <v>17590</v>
      </c>
      <c r="B723" s="306" t="s">
        <v>5354</v>
      </c>
      <c r="C723" s="306" t="s">
        <v>2</v>
      </c>
      <c r="D723" s="26">
        <v>3</v>
      </c>
      <c r="E723" s="312" t="s">
        <v>733</v>
      </c>
      <c r="F723" s="306" t="str">
        <f>VLOOKUP(Table24[[#This Row],[Country]],Table10[[COUNTRY NAME]:[CONTINENT CODE]],3,FALSE)</f>
        <v>EU</v>
      </c>
      <c r="G723" s="312" t="s">
        <v>16932</v>
      </c>
      <c r="H723" s="309">
        <v>6527</v>
      </c>
      <c r="I723" s="310">
        <v>16.5</v>
      </c>
      <c r="J723" s="307">
        <v>191197915</v>
      </c>
      <c r="K723" s="307">
        <f>IFERROR(Table24[[#This Row],[ROUTE COST]]/Table24[[#This Row],[O - DEMAND]],0)</f>
        <v>63668.969363969365</v>
      </c>
      <c r="L723" s="306">
        <v>3003</v>
      </c>
      <c r="M723" s="310">
        <f>Table24[[#This Row],[O - DEMAND]]/950</f>
        <v>3.1610526315789476</v>
      </c>
      <c r="N723" s="306">
        <f>IFERROR(VLOOKUP(Table24[[#This Row],[ROUTE]],DEMAND!A:F,5,FALSE),0)</f>
        <v>3113</v>
      </c>
      <c r="O723" s="306">
        <f>IFERROR(VLOOKUP(Table24[[#This Row],[ROUTE]],DEMAND!A:F,6,FALSE),0)</f>
        <v>263</v>
      </c>
      <c r="P723" s="306">
        <f>ROUNDDOWN(Table24[[#This Row],[R-DEMAND]]/950,0)</f>
        <v>0</v>
      </c>
      <c r="Q723" s="306">
        <f>Table24[[#This Row],[ADD ACC
(475/950)]]*Table24[[#This Row],[Duration
(A359)]]</f>
        <v>0</v>
      </c>
      <c r="R723" s="307">
        <f>IFERROR(VLOOKUP(Table24[[#This Row],[ROUTE]],PRICING!A:B,2,FALSE),0)</f>
        <v>1907</v>
      </c>
      <c r="S723" s="308">
        <f>Table24[[#This Row],[C_DEMAND]]-Table24[[#This Row],[R-DEMAND]]</f>
        <v>2850</v>
      </c>
      <c r="T723" s="307">
        <f>Table24[[#This Row],[SEATS SOLD]]*Table24[[#This Row],[ECO SEAT]]</f>
        <v>5434950</v>
      </c>
      <c r="U723" s="307">
        <f>Table24[[#This Row],[SEATS SOLD]]*(IFERROR(VLOOKUP(Table24[[#This Row],[ROUTE]],PRICING!A:C,3,FALSE),0))</f>
        <v>6107550</v>
      </c>
      <c r="V723" s="307">
        <f>Table24[[#This Row],[SEAT REV]]-Table24[[#This Row],[SEAT REV
(IF IDEAL $)]]</f>
        <v>-672600</v>
      </c>
    </row>
    <row r="724" spans="1:22" customFormat="1" x14ac:dyDescent="0.25">
      <c r="A724" s="306" t="s">
        <v>18082</v>
      </c>
      <c r="B724" s="306" t="s">
        <v>3481</v>
      </c>
      <c r="C724" s="306" t="s">
        <v>2</v>
      </c>
      <c r="D724" s="26">
        <v>2</v>
      </c>
      <c r="E724" s="312" t="s">
        <v>714</v>
      </c>
      <c r="F724" s="306" t="str">
        <f>VLOOKUP(Table24[[#This Row],[Country]],Table10[[COUNTRY NAME]:[CONTINENT CODE]],3,FALSE)</f>
        <v>SA</v>
      </c>
      <c r="G724" s="312" t="s">
        <v>13238</v>
      </c>
      <c r="H724" s="309">
        <v>3008</v>
      </c>
      <c r="I724" s="310">
        <v>8.75</v>
      </c>
      <c r="J724" s="307">
        <v>132914266</v>
      </c>
      <c r="K724" s="307">
        <f>IFERROR(Table24[[#This Row],[ROUTE COST]]/Table24[[#This Row],[O - DEMAND]],0)</f>
        <v>44113.596415532695</v>
      </c>
      <c r="L724" s="306">
        <v>3013</v>
      </c>
      <c r="M724" s="310">
        <f>Table24[[#This Row],[O - DEMAND]]/950</f>
        <v>3.1715789473684208</v>
      </c>
      <c r="N724" s="306">
        <f>IFERROR(VLOOKUP(Table24[[#This Row],[ROUTE]],DEMAND!A:F,5,FALSE),0)</f>
        <v>3114</v>
      </c>
      <c r="O724" s="306">
        <f>IFERROR(VLOOKUP(Table24[[#This Row],[ROUTE]],DEMAND!A:F,6,FALSE),0)</f>
        <v>264</v>
      </c>
      <c r="P724" s="306">
        <f>ROUNDDOWN(Table24[[#This Row],[R-DEMAND]]/950,0)</f>
        <v>0</v>
      </c>
      <c r="Q724" s="306">
        <f>Table24[[#This Row],[ADD ACC
(475/950)]]*Table24[[#This Row],[Duration
(A359)]]</f>
        <v>0</v>
      </c>
      <c r="R724" s="307">
        <f>IFERROR(VLOOKUP(Table24[[#This Row],[ROUTE]],PRICING!A:B,2,FALSE),0)</f>
        <v>946</v>
      </c>
      <c r="S724" s="308">
        <f>Table24[[#This Row],[C_DEMAND]]-Table24[[#This Row],[R-DEMAND]]</f>
        <v>2850</v>
      </c>
      <c r="T724" s="307">
        <f>Table24[[#This Row],[SEATS SOLD]]*Table24[[#This Row],[ECO SEAT]]</f>
        <v>2696100</v>
      </c>
      <c r="U724" s="307">
        <f>Table24[[#This Row],[SEATS SOLD]]*(IFERROR(VLOOKUP(Table24[[#This Row],[ROUTE]],PRICING!A:C,3,FALSE),0))</f>
        <v>2998200</v>
      </c>
      <c r="V724" s="307">
        <f>Table24[[#This Row],[SEAT REV]]-Table24[[#This Row],[SEAT REV
(IF IDEAL $)]]</f>
        <v>-302100</v>
      </c>
    </row>
    <row r="725" spans="1:22" customFormat="1" x14ac:dyDescent="0.25">
      <c r="A725" s="306" t="s">
        <v>17295</v>
      </c>
      <c r="B725" s="306" t="s">
        <v>5035</v>
      </c>
      <c r="C725" s="306" t="s">
        <v>2</v>
      </c>
      <c r="D725" s="26">
        <v>3</v>
      </c>
      <c r="E725" s="312" t="s">
        <v>502</v>
      </c>
      <c r="F725" s="306" t="str">
        <f>VLOOKUP(Table24[[#This Row],[Country]],Table10[[COUNTRY NAME]:[CONTINENT CODE]],3,FALSE)</f>
        <v>AS</v>
      </c>
      <c r="G725" s="312" t="s">
        <v>11957</v>
      </c>
      <c r="H725" s="309">
        <v>12049</v>
      </c>
      <c r="I725" s="310">
        <v>28.5</v>
      </c>
      <c r="J725" s="307">
        <v>239271833</v>
      </c>
      <c r="K725" s="307">
        <f>IFERROR(Table24[[#This Row],[ROUTE COST]]/Table24[[#This Row],[O - DEMAND]],0)</f>
        <v>60806.056670902159</v>
      </c>
      <c r="L725" s="306">
        <v>3935</v>
      </c>
      <c r="M725" s="310">
        <f>Table24[[#This Row],[O - DEMAND]]/950</f>
        <v>4.1421052631578945</v>
      </c>
      <c r="N725" s="306">
        <f>IFERROR(VLOOKUP(Table24[[#This Row],[ROUTE]],DEMAND!A:F,5,FALSE),0)</f>
        <v>4066</v>
      </c>
      <c r="O725" s="306">
        <f>IFERROR(VLOOKUP(Table24[[#This Row],[ROUTE]],DEMAND!A:F,6,FALSE),0)</f>
        <v>266</v>
      </c>
      <c r="P725" s="306">
        <f>ROUNDDOWN(Table24[[#This Row],[R-DEMAND]]/950,0)</f>
        <v>0</v>
      </c>
      <c r="Q725" s="306">
        <f>Table24[[#This Row],[ADD ACC
(475/950)]]*Table24[[#This Row],[Duration
(A359)]]</f>
        <v>0</v>
      </c>
      <c r="R725" s="307">
        <f>IFERROR(VLOOKUP(Table24[[#This Row],[ROUTE]],PRICING!A:B,2,FALSE),0)</f>
        <v>3469</v>
      </c>
      <c r="S725" s="308">
        <f>Table24[[#This Row],[C_DEMAND]]-Table24[[#This Row],[R-DEMAND]]</f>
        <v>3800</v>
      </c>
      <c r="T725" s="307">
        <f>Table24[[#This Row],[SEATS SOLD]]*Table24[[#This Row],[ECO SEAT]]</f>
        <v>13182200</v>
      </c>
      <c r="U725" s="307">
        <f>Table24[[#This Row],[SEATS SOLD]]*(IFERROR(VLOOKUP(Table24[[#This Row],[ROUTE]],PRICING!A:C,3,FALSE),0))</f>
        <v>14649000</v>
      </c>
      <c r="V725" s="307">
        <f>Table24[[#This Row],[SEAT REV]]-Table24[[#This Row],[SEAT REV
(IF IDEAL $)]]</f>
        <v>-1466800</v>
      </c>
    </row>
    <row r="726" spans="1:22" customFormat="1" x14ac:dyDescent="0.25">
      <c r="A726" s="306" t="s">
        <v>18098</v>
      </c>
      <c r="B726" s="306" t="s">
        <v>4052</v>
      </c>
      <c r="C726" s="306" t="s">
        <v>2</v>
      </c>
      <c r="D726" s="26">
        <v>3</v>
      </c>
      <c r="E726" s="312" t="s">
        <v>4050</v>
      </c>
      <c r="F726" s="306" t="str">
        <f>VLOOKUP(Table24[[#This Row],[Country]],Table10[[COUNTRY NAME]:[CONTINENT CODE]],3,FALSE)</f>
        <v>SA</v>
      </c>
      <c r="G726" s="312" t="s">
        <v>13204</v>
      </c>
      <c r="H726" s="309">
        <v>2650</v>
      </c>
      <c r="I726" s="310">
        <v>8</v>
      </c>
      <c r="J726" s="307">
        <v>132534046</v>
      </c>
      <c r="K726" s="307">
        <f>IFERROR(Table24[[#This Row],[ROUTE COST]]/Table24[[#This Row],[O - DEMAND]],0)</f>
        <v>44654.328167115906</v>
      </c>
      <c r="L726" s="306">
        <v>2968</v>
      </c>
      <c r="M726" s="310">
        <f>Table24[[#This Row],[O - DEMAND]]/950</f>
        <v>3.1242105263157893</v>
      </c>
      <c r="N726" s="306">
        <f>IFERROR(VLOOKUP(Table24[[#This Row],[ROUTE]],DEMAND!A:F,5,FALSE),0)</f>
        <v>3117</v>
      </c>
      <c r="O726" s="306">
        <f>IFERROR(VLOOKUP(Table24[[#This Row],[ROUTE]],DEMAND!A:F,6,FALSE),0)</f>
        <v>267</v>
      </c>
      <c r="P726" s="306">
        <f>ROUNDDOWN(Table24[[#This Row],[R-DEMAND]]/950,0)</f>
        <v>0</v>
      </c>
      <c r="Q726" s="306">
        <f>Table24[[#This Row],[ADD ACC
(475/950)]]*Table24[[#This Row],[Duration
(A359)]]</f>
        <v>0</v>
      </c>
      <c r="R726" s="307">
        <f>IFERROR(VLOOKUP(Table24[[#This Row],[ROUTE]],PRICING!A:B,2,FALSE),0)</f>
        <v>799</v>
      </c>
      <c r="S726" s="308">
        <f>Table24[[#This Row],[C_DEMAND]]-Table24[[#This Row],[R-DEMAND]]</f>
        <v>2850</v>
      </c>
      <c r="T726" s="307">
        <f>Table24[[#This Row],[SEATS SOLD]]*Table24[[#This Row],[ECO SEAT]]</f>
        <v>2277150</v>
      </c>
      <c r="U726" s="307">
        <f>Table24[[#This Row],[SEATS SOLD]]*(IFERROR(VLOOKUP(Table24[[#This Row],[ROUTE]],PRICING!A:C,3,FALSE),0))</f>
        <v>2681850</v>
      </c>
      <c r="V726" s="307">
        <f>Table24[[#This Row],[SEAT REV]]-Table24[[#This Row],[SEAT REV
(IF IDEAL $)]]</f>
        <v>-404700</v>
      </c>
    </row>
    <row r="727" spans="1:22" customFormat="1" x14ac:dyDescent="0.25">
      <c r="A727" s="306" t="s">
        <v>17202</v>
      </c>
      <c r="B727" s="306" t="s">
        <v>114</v>
      </c>
      <c r="C727" s="306" t="s">
        <v>2</v>
      </c>
      <c r="D727" s="26">
        <v>5</v>
      </c>
      <c r="E727" s="312" t="s">
        <v>14</v>
      </c>
      <c r="F727" s="306" t="str">
        <f>VLOOKUP(Table24[[#This Row],[Country]],Table10[[COUNTRY NAME]:[CONTINENT CODE]],3,FALSE)</f>
        <v>AS</v>
      </c>
      <c r="G727" s="312" t="s">
        <v>12045</v>
      </c>
      <c r="H727" s="309">
        <v>14288</v>
      </c>
      <c r="I727" s="310">
        <v>33.5</v>
      </c>
      <c r="J727" s="307">
        <v>298414613</v>
      </c>
      <c r="K727" s="307">
        <f>IFERROR(Table24[[#This Row],[ROUTE COST]]/Table24[[#This Row],[O - DEMAND]],0)</f>
        <v>77996.501045478304</v>
      </c>
      <c r="L727" s="306">
        <v>3826</v>
      </c>
      <c r="M727" s="310">
        <f>Table24[[#This Row],[O - DEMAND]]/950</f>
        <v>4.0273684210526319</v>
      </c>
      <c r="N727" s="306">
        <f>IFERROR(VLOOKUP(Table24[[#This Row],[ROUTE]],DEMAND!A:F,5,FALSE),0)</f>
        <v>4068</v>
      </c>
      <c r="O727" s="306">
        <f>IFERROR(VLOOKUP(Table24[[#This Row],[ROUTE]],DEMAND!A:F,6,FALSE),0)</f>
        <v>268</v>
      </c>
      <c r="P727" s="306">
        <f>ROUNDDOWN(Table24[[#This Row],[R-DEMAND]]/950,0)</f>
        <v>0</v>
      </c>
      <c r="Q727" s="306">
        <f>Table24[[#This Row],[ADD ACC
(475/950)]]*Table24[[#This Row],[Duration
(A359)]]</f>
        <v>0</v>
      </c>
      <c r="R727" s="307">
        <f>IFERROR(VLOOKUP(Table24[[#This Row],[ROUTE]],PRICING!A:B,2,FALSE),0)</f>
        <v>3684</v>
      </c>
      <c r="S727" s="308">
        <f>Table24[[#This Row],[C_DEMAND]]-Table24[[#This Row],[R-DEMAND]]</f>
        <v>3800</v>
      </c>
      <c r="T727" s="307">
        <f>Table24[[#This Row],[SEATS SOLD]]*Table24[[#This Row],[ECO SEAT]]</f>
        <v>13999200</v>
      </c>
      <c r="U727" s="307">
        <f>Table24[[#This Row],[SEATS SOLD]]*(IFERROR(VLOOKUP(Table24[[#This Row],[ROUTE]],PRICING!A:C,3,FALSE),0))</f>
        <v>17286200</v>
      </c>
      <c r="V727" s="307">
        <f>Table24[[#This Row],[SEAT REV]]-Table24[[#This Row],[SEAT REV
(IF IDEAL $)]]</f>
        <v>-3287000</v>
      </c>
    </row>
    <row r="728" spans="1:22" customFormat="1" x14ac:dyDescent="0.25">
      <c r="A728" s="306" t="s">
        <v>17137</v>
      </c>
      <c r="B728" s="306" t="s">
        <v>5019</v>
      </c>
      <c r="C728" s="306" t="s">
        <v>2</v>
      </c>
      <c r="D728" s="26">
        <v>3</v>
      </c>
      <c r="E728" s="312" t="s">
        <v>1124</v>
      </c>
      <c r="F728" s="306" t="str">
        <f>VLOOKUP(Table24[[#This Row],[Country]],Table10[[COUNTRY NAME]:[CONTINENT CODE]],3,FALSE)</f>
        <v>AF</v>
      </c>
      <c r="G728" s="312" t="s">
        <v>11872</v>
      </c>
      <c r="H728" s="309">
        <v>10540</v>
      </c>
      <c r="I728" s="310">
        <v>25.25</v>
      </c>
      <c r="J728" s="307">
        <v>222688399</v>
      </c>
      <c r="K728" s="307">
        <f>IFERROR(Table24[[#This Row],[ROUTE COST]]/Table24[[#This Row],[O - DEMAND]],0)</f>
        <v>56562.966471932945</v>
      </c>
      <c r="L728" s="306">
        <v>3937</v>
      </c>
      <c r="M728" s="310">
        <f>Table24[[#This Row],[O - DEMAND]]/950</f>
        <v>4.1442105263157893</v>
      </c>
      <c r="N728" s="306">
        <f>IFERROR(VLOOKUP(Table24[[#This Row],[ROUTE]],DEMAND!A:F,5,FALSE),0)</f>
        <v>4068</v>
      </c>
      <c r="O728" s="306">
        <f>IFERROR(VLOOKUP(Table24[[#This Row],[ROUTE]],DEMAND!A:F,6,FALSE),0)</f>
        <v>268</v>
      </c>
      <c r="P728" s="306">
        <f>ROUNDDOWN(Table24[[#This Row],[R-DEMAND]]/950,0)</f>
        <v>0</v>
      </c>
      <c r="Q728" s="306">
        <f>Table24[[#This Row],[ADD ACC
(475/950)]]*Table24[[#This Row],[Duration
(A359)]]</f>
        <v>0</v>
      </c>
      <c r="R728" s="307">
        <f>IFERROR(VLOOKUP(Table24[[#This Row],[ROUTE]],PRICING!A:B,2,FALSE),0)</f>
        <v>3048</v>
      </c>
      <c r="S728" s="308">
        <f>Table24[[#This Row],[C_DEMAND]]-Table24[[#This Row],[R-DEMAND]]</f>
        <v>3800</v>
      </c>
      <c r="T728" s="307">
        <f>Table24[[#This Row],[SEATS SOLD]]*Table24[[#This Row],[ECO SEAT]]</f>
        <v>11582400</v>
      </c>
      <c r="U728" s="307">
        <f>Table24[[#This Row],[SEATS SOLD]]*(IFERROR(VLOOKUP(Table24[[#This Row],[ROUTE]],PRICING!A:C,3,FALSE),0))</f>
        <v>12870600</v>
      </c>
      <c r="V728" s="307">
        <f>Table24[[#This Row],[SEAT REV]]-Table24[[#This Row],[SEAT REV
(IF IDEAL $)]]</f>
        <v>-1288200</v>
      </c>
    </row>
    <row r="729" spans="1:22" customFormat="1" x14ac:dyDescent="0.25">
      <c r="A729" s="306" t="s">
        <v>17258</v>
      </c>
      <c r="B729" s="306" t="s">
        <v>8728</v>
      </c>
      <c r="C729" s="306" t="s">
        <v>2</v>
      </c>
      <c r="D729" s="26">
        <v>3</v>
      </c>
      <c r="E729" s="312" t="s">
        <v>14</v>
      </c>
      <c r="F729" s="306" t="str">
        <f>VLOOKUP(Table24[[#This Row],[Country]],Table10[[COUNTRY NAME]:[CONTINENT CODE]],3,FALSE)</f>
        <v>AS</v>
      </c>
      <c r="G729" s="312" t="s">
        <v>12054</v>
      </c>
      <c r="H729" s="309">
        <v>14398</v>
      </c>
      <c r="I729" s="310">
        <v>33.75</v>
      </c>
      <c r="J729" s="307">
        <v>268083938</v>
      </c>
      <c r="K729" s="307">
        <f>IFERROR(Table24[[#This Row],[ROUTE COST]]/Table24[[#This Row],[O - DEMAND]],0)</f>
        <v>91185.012925170071</v>
      </c>
      <c r="L729" s="306">
        <v>2940</v>
      </c>
      <c r="M729" s="310">
        <f>Table24[[#This Row],[O - DEMAND]]/950</f>
        <v>3.094736842105263</v>
      </c>
      <c r="N729" s="306">
        <f>IFERROR(VLOOKUP(Table24[[#This Row],[ROUTE]],DEMAND!A:F,5,FALSE),0)</f>
        <v>3126</v>
      </c>
      <c r="O729" s="306">
        <f>IFERROR(VLOOKUP(Table24[[#This Row],[ROUTE]],DEMAND!A:F,6,FALSE),0)</f>
        <v>276</v>
      </c>
      <c r="P729" s="306">
        <f>ROUNDDOWN(Table24[[#This Row],[R-DEMAND]]/950,0)</f>
        <v>0</v>
      </c>
      <c r="Q729" s="306">
        <f>Table24[[#This Row],[ADD ACC
(475/950)]]*Table24[[#This Row],[Duration
(A359)]]</f>
        <v>0</v>
      </c>
      <c r="R729" s="307">
        <f>IFERROR(VLOOKUP(Table24[[#This Row],[ROUTE]],PRICING!A:B,2,FALSE),0)</f>
        <v>3712</v>
      </c>
      <c r="S729" s="308">
        <f>Table24[[#This Row],[C_DEMAND]]-Table24[[#This Row],[R-DEMAND]]</f>
        <v>2850</v>
      </c>
      <c r="T729" s="307">
        <f>Table24[[#This Row],[SEATS SOLD]]*Table24[[#This Row],[ECO SEAT]]</f>
        <v>10579200</v>
      </c>
      <c r="U729" s="307">
        <f>Table24[[#This Row],[SEATS SOLD]]*(IFERROR(VLOOKUP(Table24[[#This Row],[ROUTE]],PRICING!A:C,3,FALSE),0))</f>
        <v>13061550</v>
      </c>
      <c r="V729" s="307">
        <f>Table24[[#This Row],[SEAT REV]]-Table24[[#This Row],[SEAT REV
(IF IDEAL $)]]</f>
        <v>-2482350</v>
      </c>
    </row>
    <row r="730" spans="1:22" customFormat="1" x14ac:dyDescent="0.25">
      <c r="A730" s="306" t="s">
        <v>17067</v>
      </c>
      <c r="B730" s="306" t="s">
        <v>880</v>
      </c>
      <c r="C730" s="306" t="s">
        <v>2</v>
      </c>
      <c r="D730" s="26">
        <v>1</v>
      </c>
      <c r="E730" s="312" t="s">
        <v>11782</v>
      </c>
      <c r="F730" s="306" t="str">
        <f>VLOOKUP(Table24[[#This Row],[Country]],Table10[[COUNTRY NAME]:[CONTINENT CODE]],3,FALSE)</f>
        <v>AF</v>
      </c>
      <c r="G730" s="312" t="s">
        <v>8261</v>
      </c>
      <c r="H730" s="309">
        <v>9315</v>
      </c>
      <c r="I730" s="310">
        <v>22.5</v>
      </c>
      <c r="J730" s="307">
        <v>185646657</v>
      </c>
      <c r="K730" s="307">
        <f>IFERROR(Table24[[#This Row],[ROUTE COST]]/Table24[[#This Row],[O - DEMAND]],0)</f>
        <v>63145.12142857143</v>
      </c>
      <c r="L730" s="306">
        <v>2940</v>
      </c>
      <c r="M730" s="310">
        <f>Table24[[#This Row],[O - DEMAND]]/950</f>
        <v>3.094736842105263</v>
      </c>
      <c r="N730" s="306">
        <f>IFERROR(VLOOKUP(Table24[[#This Row],[ROUTE]],DEMAND!A:F,5,FALSE),0)</f>
        <v>3126</v>
      </c>
      <c r="O730" s="306">
        <f>IFERROR(VLOOKUP(Table24[[#This Row],[ROUTE]],DEMAND!A:F,6,FALSE),0)</f>
        <v>276</v>
      </c>
      <c r="P730" s="306">
        <f>ROUNDDOWN(Table24[[#This Row],[R-DEMAND]]/950,0)</f>
        <v>0</v>
      </c>
      <c r="Q730" s="306">
        <f>Table24[[#This Row],[ADD ACC
(475/950)]]*Table24[[#This Row],[Duration
(A359)]]</f>
        <v>0</v>
      </c>
      <c r="R730" s="307">
        <f>IFERROR(VLOOKUP(Table24[[#This Row],[ROUTE]],PRICING!A:B,2,FALSE),0)</f>
        <v>2435</v>
      </c>
      <c r="S730" s="308">
        <f>Table24[[#This Row],[C_DEMAND]]-Table24[[#This Row],[R-DEMAND]]</f>
        <v>2850</v>
      </c>
      <c r="T730" s="307">
        <f>Table24[[#This Row],[SEATS SOLD]]*Table24[[#This Row],[ECO SEAT]]</f>
        <v>6939750</v>
      </c>
      <c r="U730" s="307">
        <f>Table24[[#This Row],[SEATS SOLD]]*(IFERROR(VLOOKUP(Table24[[#This Row],[ROUTE]],PRICING!A:C,3,FALSE),0))</f>
        <v>8569950</v>
      </c>
      <c r="V730" s="307">
        <f>Table24[[#This Row],[SEAT REV]]-Table24[[#This Row],[SEAT REV
(IF IDEAL $)]]</f>
        <v>-1630200</v>
      </c>
    </row>
    <row r="731" spans="1:22" customFormat="1" x14ac:dyDescent="0.25">
      <c r="A731" s="306" t="s">
        <v>17537</v>
      </c>
      <c r="B731" s="306" t="s">
        <v>5255</v>
      </c>
      <c r="C731" s="306" t="s">
        <v>2</v>
      </c>
      <c r="D731" s="26">
        <v>3</v>
      </c>
      <c r="E731" s="312" t="s">
        <v>496</v>
      </c>
      <c r="F731" s="306" t="str">
        <f>VLOOKUP(Table24[[#This Row],[Country]],Table10[[COUNTRY NAME]:[CONTINENT CODE]],3,FALSE)</f>
        <v>EU</v>
      </c>
      <c r="G731" s="312" t="s">
        <v>11819</v>
      </c>
      <c r="H731" s="309">
        <v>8658</v>
      </c>
      <c r="I731" s="310">
        <v>21.25</v>
      </c>
      <c r="J731" s="307">
        <v>208730261</v>
      </c>
      <c r="K731" s="307">
        <f>IFERROR(Table24[[#This Row],[ROUTE COST]]/Table24[[#This Row],[O - DEMAND]],0)</f>
        <v>69207.646220159149</v>
      </c>
      <c r="L731" s="306">
        <v>3016</v>
      </c>
      <c r="M731" s="310">
        <f>Table24[[#This Row],[O - DEMAND]]/950</f>
        <v>3.1747368421052631</v>
      </c>
      <c r="N731" s="306">
        <f>IFERROR(VLOOKUP(Table24[[#This Row],[ROUTE]],DEMAND!A:F,5,FALSE),0)</f>
        <v>3126</v>
      </c>
      <c r="O731" s="306">
        <f>IFERROR(VLOOKUP(Table24[[#This Row],[ROUTE]],DEMAND!A:F,6,FALSE),0)</f>
        <v>276</v>
      </c>
      <c r="P731" s="306">
        <f>ROUNDDOWN(Table24[[#This Row],[R-DEMAND]]/950,0)</f>
        <v>0</v>
      </c>
      <c r="Q731" s="306">
        <f>Table24[[#This Row],[ADD ACC
(475/950)]]*Table24[[#This Row],[Duration
(A359)]]</f>
        <v>0</v>
      </c>
      <c r="R731" s="307">
        <f>IFERROR(VLOOKUP(Table24[[#This Row],[ROUTE]],PRICING!A:B,2,FALSE),0)</f>
        <v>2494</v>
      </c>
      <c r="S731" s="308">
        <f>Table24[[#This Row],[C_DEMAND]]-Table24[[#This Row],[R-DEMAND]]</f>
        <v>2850</v>
      </c>
      <c r="T731" s="307">
        <f>Table24[[#This Row],[SEATS SOLD]]*Table24[[#This Row],[ECO SEAT]]</f>
        <v>7107900</v>
      </c>
      <c r="U731" s="307">
        <f>Table24[[#This Row],[SEATS SOLD]]*(IFERROR(VLOOKUP(Table24[[#This Row],[ROUTE]],PRICING!A:C,3,FALSE),0))</f>
        <v>7988550</v>
      </c>
      <c r="V731" s="307">
        <f>Table24[[#This Row],[SEAT REV]]-Table24[[#This Row],[SEAT REV
(IF IDEAL $)]]</f>
        <v>-880650</v>
      </c>
    </row>
    <row r="732" spans="1:22" customFormat="1" x14ac:dyDescent="0.25">
      <c r="A732" s="306" t="s">
        <v>17269</v>
      </c>
      <c r="B732" s="306" t="s">
        <v>5108</v>
      </c>
      <c r="C732" s="306" t="s">
        <v>2</v>
      </c>
      <c r="D732" s="26">
        <v>3</v>
      </c>
      <c r="E732" s="312" t="s">
        <v>142</v>
      </c>
      <c r="F732" s="306" t="str">
        <f>VLOOKUP(Table24[[#This Row],[Country]],Table10[[COUNTRY NAME]:[CONTINENT CODE]],3,FALSE)</f>
        <v>AS</v>
      </c>
      <c r="G732" s="312" t="s">
        <v>5107</v>
      </c>
      <c r="H732" s="309">
        <v>13825</v>
      </c>
      <c r="I732" s="310">
        <v>32.5</v>
      </c>
      <c r="J732" s="307">
        <v>258204099</v>
      </c>
      <c r="K732" s="307">
        <f>IFERROR(Table24[[#This Row],[ROUTE COST]]/Table24[[#This Row],[O - DEMAND]],0)</f>
        <v>87764.819510537054</v>
      </c>
      <c r="L732" s="306">
        <v>2942</v>
      </c>
      <c r="M732" s="310">
        <f>Table24[[#This Row],[O - DEMAND]]/950</f>
        <v>3.0968421052631578</v>
      </c>
      <c r="N732" s="306">
        <f>IFERROR(VLOOKUP(Table24[[#This Row],[ROUTE]],DEMAND!A:F,5,FALSE),0)</f>
        <v>3129</v>
      </c>
      <c r="O732" s="306">
        <f>IFERROR(VLOOKUP(Table24[[#This Row],[ROUTE]],DEMAND!A:F,6,FALSE),0)</f>
        <v>279</v>
      </c>
      <c r="P732" s="306">
        <f>ROUNDDOWN(Table24[[#This Row],[R-DEMAND]]/950,0)</f>
        <v>0</v>
      </c>
      <c r="Q732" s="306">
        <f>Table24[[#This Row],[ADD ACC
(475/950)]]*Table24[[#This Row],[Duration
(A359)]]</f>
        <v>0</v>
      </c>
      <c r="R732" s="307">
        <f>IFERROR(VLOOKUP(Table24[[#This Row],[ROUTE]],PRICING!A:B,2,FALSE),0)</f>
        <v>3568</v>
      </c>
      <c r="S732" s="308">
        <f>Table24[[#This Row],[C_DEMAND]]-Table24[[#This Row],[R-DEMAND]]</f>
        <v>2850</v>
      </c>
      <c r="T732" s="307">
        <f>Table24[[#This Row],[SEATS SOLD]]*Table24[[#This Row],[ECO SEAT]]</f>
        <v>10168800</v>
      </c>
      <c r="U732" s="307">
        <f>Table24[[#This Row],[SEATS SOLD]]*(IFERROR(VLOOKUP(Table24[[#This Row],[ROUTE]],PRICING!A:C,3,FALSE),0))</f>
        <v>12554250</v>
      </c>
      <c r="V732" s="307">
        <f>Table24[[#This Row],[SEAT REV]]-Table24[[#This Row],[SEAT REV
(IF IDEAL $)]]</f>
        <v>-2385450</v>
      </c>
    </row>
    <row r="733" spans="1:22" customFormat="1" x14ac:dyDescent="0.25">
      <c r="A733" s="306" t="s">
        <v>17173</v>
      </c>
      <c r="B733" s="306" t="s">
        <v>2663</v>
      </c>
      <c r="C733" s="306" t="s">
        <v>2</v>
      </c>
      <c r="D733" s="26">
        <v>2</v>
      </c>
      <c r="E733" s="312" t="s">
        <v>926</v>
      </c>
      <c r="F733" s="306" t="str">
        <f>VLOOKUP(Table24[[#This Row],[Country]],Table10[[COUNTRY NAME]:[CONTINENT CODE]],3,FALSE)</f>
        <v>AF</v>
      </c>
      <c r="G733" s="312" t="s">
        <v>16853</v>
      </c>
      <c r="H733" s="309">
        <v>11988</v>
      </c>
      <c r="I733" s="310">
        <v>28.5</v>
      </c>
      <c r="J733" s="307">
        <v>217688729</v>
      </c>
      <c r="K733" s="307">
        <f>IFERROR(Table24[[#This Row],[ROUTE COST]]/Table24[[#This Row],[O - DEMAND]],0)</f>
        <v>72082.360596026483</v>
      </c>
      <c r="L733" s="306">
        <v>3020</v>
      </c>
      <c r="M733" s="310">
        <f>Table24[[#This Row],[O - DEMAND]]/950</f>
        <v>3.1789473684210527</v>
      </c>
      <c r="N733" s="306">
        <f>IFERROR(VLOOKUP(Table24[[#This Row],[ROUTE]],DEMAND!A:F,5,FALSE),0)</f>
        <v>3130</v>
      </c>
      <c r="O733" s="306">
        <f>IFERROR(VLOOKUP(Table24[[#This Row],[ROUTE]],DEMAND!A:F,6,FALSE),0)</f>
        <v>280</v>
      </c>
      <c r="P733" s="306">
        <f>ROUNDDOWN(Table24[[#This Row],[R-DEMAND]]/950,0)</f>
        <v>0</v>
      </c>
      <c r="Q733" s="306">
        <f>Table24[[#This Row],[ADD ACC
(475/950)]]*Table24[[#This Row],[Duration
(A359)]]</f>
        <v>0</v>
      </c>
      <c r="R733" s="307">
        <f>IFERROR(VLOOKUP(Table24[[#This Row],[ROUTE]],PRICING!A:B,2,FALSE),0)</f>
        <v>3414</v>
      </c>
      <c r="S733" s="308">
        <f>Table24[[#This Row],[C_DEMAND]]-Table24[[#This Row],[R-DEMAND]]</f>
        <v>2850</v>
      </c>
      <c r="T733" s="307">
        <f>Table24[[#This Row],[SEATS SOLD]]*Table24[[#This Row],[ECO SEAT]]</f>
        <v>9729900</v>
      </c>
      <c r="U733" s="307">
        <f>Table24[[#This Row],[SEATS SOLD]]*(IFERROR(VLOOKUP(Table24[[#This Row],[ROUTE]],PRICING!A:C,3,FALSE),0))</f>
        <v>10932600</v>
      </c>
      <c r="V733" s="307">
        <f>Table24[[#This Row],[SEAT REV]]-Table24[[#This Row],[SEAT REV
(IF IDEAL $)]]</f>
        <v>-1202700</v>
      </c>
    </row>
    <row r="734" spans="1:22" customFormat="1" x14ac:dyDescent="0.25">
      <c r="A734" s="306" t="s">
        <v>17596</v>
      </c>
      <c r="B734" s="306" t="s">
        <v>3388</v>
      </c>
      <c r="C734" s="306" t="s">
        <v>2</v>
      </c>
      <c r="D734" s="26">
        <v>3</v>
      </c>
      <c r="E734" s="312" t="s">
        <v>733</v>
      </c>
      <c r="F734" s="306" t="str">
        <f>VLOOKUP(Table24[[#This Row],[Country]],Table10[[COUNTRY NAME]:[CONTINENT CODE]],3,FALSE)</f>
        <v>EU</v>
      </c>
      <c r="G734" s="312" t="s">
        <v>13245</v>
      </c>
      <c r="H734" s="309">
        <v>4885</v>
      </c>
      <c r="I734" s="310">
        <v>12.75</v>
      </c>
      <c r="J734" s="307">
        <v>150536187</v>
      </c>
      <c r="K734" s="307">
        <f>IFERROR(Table24[[#This Row],[ROUTE COST]]/Table24[[#This Row],[O - DEMAND]],0)</f>
        <v>71820.699904580149</v>
      </c>
      <c r="L734" s="306">
        <v>2096</v>
      </c>
      <c r="M734" s="310">
        <f>Table24[[#This Row],[O - DEMAND]]/950</f>
        <v>2.2063157894736842</v>
      </c>
      <c r="N734" s="306">
        <f>IFERROR(VLOOKUP(Table24[[#This Row],[ROUTE]],DEMAND!A:F,5,FALSE),0)</f>
        <v>2180</v>
      </c>
      <c r="O734" s="306">
        <f>IFERROR(VLOOKUP(Table24[[#This Row],[ROUTE]],DEMAND!A:F,6,FALSE),0)</f>
        <v>280</v>
      </c>
      <c r="P734" s="306">
        <f>ROUNDDOWN(Table24[[#This Row],[R-DEMAND]]/950,0)</f>
        <v>0</v>
      </c>
      <c r="Q734" s="306">
        <f>Table24[[#This Row],[ADD ACC
(475/950)]]*Table24[[#This Row],[Duration
(A359)]]</f>
        <v>0</v>
      </c>
      <c r="R734" s="307">
        <f>IFERROR(VLOOKUP(Table24[[#This Row],[ROUTE]],PRICING!A:B,2,FALSE),0)</f>
        <v>1437</v>
      </c>
      <c r="S734" s="308">
        <f>Table24[[#This Row],[C_DEMAND]]-Table24[[#This Row],[R-DEMAND]]</f>
        <v>1900</v>
      </c>
      <c r="T734" s="307">
        <f>Table24[[#This Row],[SEATS SOLD]]*Table24[[#This Row],[ECO SEAT]]</f>
        <v>2730300</v>
      </c>
      <c r="U734" s="307">
        <f>Table24[[#This Row],[SEATS SOLD]]*(IFERROR(VLOOKUP(Table24[[#This Row],[ROUTE]],PRICING!A:C,3,FALSE),0))</f>
        <v>3104600</v>
      </c>
      <c r="V734" s="307">
        <f>Table24[[#This Row],[SEAT REV]]-Table24[[#This Row],[SEAT REV
(IF IDEAL $)]]</f>
        <v>-374300</v>
      </c>
    </row>
    <row r="735" spans="1:22" customFormat="1" x14ac:dyDescent="0.25">
      <c r="A735" s="306" t="s">
        <v>17205</v>
      </c>
      <c r="B735" s="306" t="s">
        <v>259</v>
      </c>
      <c r="C735" s="306" t="s">
        <v>2</v>
      </c>
      <c r="D735" s="26">
        <v>5</v>
      </c>
      <c r="E735" s="312" t="s">
        <v>258</v>
      </c>
      <c r="F735" s="306" t="str">
        <f>VLOOKUP(Table24[[#This Row],[Country]],Table10[[COUNTRY NAME]:[CONTINENT CODE]],3,FALSE)</f>
        <v>AS</v>
      </c>
      <c r="G735" s="312" t="s">
        <v>257</v>
      </c>
      <c r="H735" s="309">
        <v>13485</v>
      </c>
      <c r="I735" s="310">
        <v>31.75</v>
      </c>
      <c r="J735" s="307">
        <v>285829217</v>
      </c>
      <c r="K735" s="307">
        <f>IFERROR(Table24[[#This Row],[ROUTE COST]]/Table24[[#This Row],[O - DEMAND]],0)</f>
        <v>60595.551621793515</v>
      </c>
      <c r="L735" s="306">
        <v>4717</v>
      </c>
      <c r="M735" s="310">
        <f>Table24[[#This Row],[O - DEMAND]]/950</f>
        <v>4.9652631578947366</v>
      </c>
      <c r="N735" s="306">
        <f>IFERROR(VLOOKUP(Table24[[#This Row],[ROUTE]],DEMAND!A:F,5,FALSE),0)</f>
        <v>5031</v>
      </c>
      <c r="O735" s="306">
        <f>IFERROR(VLOOKUP(Table24[[#This Row],[ROUTE]],DEMAND!A:F,6,FALSE),0)</f>
        <v>281</v>
      </c>
      <c r="P735" s="306">
        <f>ROUNDDOWN(Table24[[#This Row],[R-DEMAND]]/950,0)</f>
        <v>0</v>
      </c>
      <c r="Q735" s="306">
        <f>Table24[[#This Row],[ADD ACC
(475/950)]]*Table24[[#This Row],[Duration
(A359)]]</f>
        <v>0</v>
      </c>
      <c r="R735" s="307">
        <f>IFERROR(VLOOKUP(Table24[[#This Row],[ROUTE]],PRICING!A:B,2,FALSE),0)</f>
        <v>3440</v>
      </c>
      <c r="S735" s="308">
        <f>Table24[[#This Row],[C_DEMAND]]-Table24[[#This Row],[R-DEMAND]]</f>
        <v>4750</v>
      </c>
      <c r="T735" s="307">
        <f>Table24[[#This Row],[SEATS SOLD]]*Table24[[#This Row],[ECO SEAT]]</f>
        <v>16340000</v>
      </c>
      <c r="U735" s="307">
        <f>Table24[[#This Row],[SEATS SOLD]]*(IFERROR(VLOOKUP(Table24[[#This Row],[ROUTE]],PRICING!A:C,3,FALSE),0))</f>
        <v>20425000</v>
      </c>
      <c r="V735" s="307">
        <f>Table24[[#This Row],[SEAT REV]]-Table24[[#This Row],[SEAT REV
(IF IDEAL $)]]</f>
        <v>-4085000</v>
      </c>
    </row>
    <row r="736" spans="1:22" customFormat="1" x14ac:dyDescent="0.25">
      <c r="A736" s="306" t="s">
        <v>17385</v>
      </c>
      <c r="B736" s="306" t="s">
        <v>4494</v>
      </c>
      <c r="C736" s="306" t="s">
        <v>2</v>
      </c>
      <c r="D736" s="26">
        <v>2</v>
      </c>
      <c r="E736" s="312" t="s">
        <v>172</v>
      </c>
      <c r="F736" s="306" t="str">
        <f>VLOOKUP(Table24[[#This Row],[Country]],Table10[[COUNTRY NAME]:[CONTINENT CODE]],3,FALSE)</f>
        <v>AS</v>
      </c>
      <c r="G736" s="312" t="s">
        <v>10925</v>
      </c>
      <c r="H736" s="309">
        <v>11002</v>
      </c>
      <c r="I736" s="310">
        <v>26.25</v>
      </c>
      <c r="J736" s="307">
        <v>220033656</v>
      </c>
      <c r="K736" s="307">
        <f>IFERROR(Table24[[#This Row],[ROUTE COST]]/Table24[[#This Row],[O - DEMAND]],0)</f>
        <v>72931.274776267819</v>
      </c>
      <c r="L736" s="306">
        <v>3017</v>
      </c>
      <c r="M736" s="310">
        <f>Table24[[#This Row],[O - DEMAND]]/950</f>
        <v>3.1757894736842105</v>
      </c>
      <c r="N736" s="306">
        <f>IFERROR(VLOOKUP(Table24[[#This Row],[ROUTE]],DEMAND!A:F,5,FALSE),0)</f>
        <v>3138</v>
      </c>
      <c r="O736" s="306">
        <f>IFERROR(VLOOKUP(Table24[[#This Row],[ROUTE]],DEMAND!A:F,6,FALSE),0)</f>
        <v>288</v>
      </c>
      <c r="P736" s="306">
        <f>ROUNDDOWN(Table24[[#This Row],[R-DEMAND]]/950,0)</f>
        <v>0</v>
      </c>
      <c r="Q736" s="306">
        <f>Table24[[#This Row],[ADD ACC
(475/950)]]*Table24[[#This Row],[Duration
(A359)]]</f>
        <v>0</v>
      </c>
      <c r="R736" s="307">
        <f>IFERROR(VLOOKUP(Table24[[#This Row],[ROUTE]],PRICING!A:B,2,FALSE),0)</f>
        <v>3106</v>
      </c>
      <c r="S736" s="308">
        <f>Table24[[#This Row],[C_DEMAND]]-Table24[[#This Row],[R-DEMAND]]</f>
        <v>2850</v>
      </c>
      <c r="T736" s="307">
        <f>Table24[[#This Row],[SEATS SOLD]]*Table24[[#This Row],[ECO SEAT]]</f>
        <v>8852100</v>
      </c>
      <c r="U736" s="307">
        <f>Table24[[#This Row],[SEATS SOLD]]*(IFERROR(VLOOKUP(Table24[[#This Row],[ROUTE]],PRICING!A:C,3,FALSE),0))</f>
        <v>10060500</v>
      </c>
      <c r="V736" s="307">
        <f>Table24[[#This Row],[SEAT REV]]-Table24[[#This Row],[SEAT REV
(IF IDEAL $)]]</f>
        <v>-1208400</v>
      </c>
    </row>
    <row r="737" spans="1:22" customFormat="1" x14ac:dyDescent="0.25">
      <c r="A737" s="306" t="s">
        <v>17225</v>
      </c>
      <c r="B737" s="306" t="s">
        <v>5661</v>
      </c>
      <c r="C737" s="306" t="s">
        <v>2</v>
      </c>
      <c r="D737" s="26">
        <v>4</v>
      </c>
      <c r="E737" s="312" t="s">
        <v>142</v>
      </c>
      <c r="F737" s="306" t="str">
        <f>VLOOKUP(Table24[[#This Row],[Country]],Table10[[COUNTRY NAME]:[CONTINENT CODE]],3,FALSE)</f>
        <v>AS</v>
      </c>
      <c r="G737" s="312" t="s">
        <v>9777</v>
      </c>
      <c r="H737" s="309">
        <v>13736</v>
      </c>
      <c r="I737" s="310">
        <v>32.25</v>
      </c>
      <c r="J737" s="307">
        <v>279971904</v>
      </c>
      <c r="K737" s="307">
        <f>IFERROR(Table24[[#This Row],[ROUTE COST]]/Table24[[#This Row],[O - DEMAND]],0)</f>
        <v>71898.28043143297</v>
      </c>
      <c r="L737" s="306">
        <v>3894</v>
      </c>
      <c r="M737" s="310">
        <f>Table24[[#This Row],[O - DEMAND]]/950</f>
        <v>4.0989473684210527</v>
      </c>
      <c r="N737" s="306">
        <f>IFERROR(VLOOKUP(Table24[[#This Row],[ROUTE]],DEMAND!A:F,5,FALSE),0)</f>
        <v>4089</v>
      </c>
      <c r="O737" s="306">
        <f>IFERROR(VLOOKUP(Table24[[#This Row],[ROUTE]],DEMAND!A:F,6,FALSE),0)</f>
        <v>289</v>
      </c>
      <c r="P737" s="306">
        <f>ROUNDDOWN(Table24[[#This Row],[R-DEMAND]]/950,0)</f>
        <v>0</v>
      </c>
      <c r="Q737" s="306">
        <f>Table24[[#This Row],[ADD ACC
(475/950)]]*Table24[[#This Row],[Duration
(A359)]]</f>
        <v>0</v>
      </c>
      <c r="R737" s="307">
        <f>IFERROR(VLOOKUP(Table24[[#This Row],[ROUTE]],PRICING!A:B,2,FALSE),0)</f>
        <v>3721</v>
      </c>
      <c r="S737" s="308">
        <f>Table24[[#This Row],[C_DEMAND]]-Table24[[#This Row],[R-DEMAND]]</f>
        <v>3800</v>
      </c>
      <c r="T737" s="307">
        <f>Table24[[#This Row],[SEATS SOLD]]*Table24[[#This Row],[ECO SEAT]]</f>
        <v>14139800</v>
      </c>
      <c r="U737" s="307">
        <f>Table24[[#This Row],[SEATS SOLD]]*(IFERROR(VLOOKUP(Table24[[#This Row],[ROUTE]],PRICING!A:C,3,FALSE),0))</f>
        <v>16636400</v>
      </c>
      <c r="V737" s="307">
        <f>Table24[[#This Row],[SEAT REV]]-Table24[[#This Row],[SEAT REV
(IF IDEAL $)]]</f>
        <v>-2496600</v>
      </c>
    </row>
    <row r="738" spans="1:22" customFormat="1" x14ac:dyDescent="0.25">
      <c r="A738" s="306" t="s">
        <v>17881</v>
      </c>
      <c r="B738" s="306" t="s">
        <v>5135</v>
      </c>
      <c r="C738" s="306" t="s">
        <v>2</v>
      </c>
      <c r="D738" s="26">
        <v>3</v>
      </c>
      <c r="E738" s="312" t="s">
        <v>11732</v>
      </c>
      <c r="F738" s="306" t="str">
        <f>VLOOKUP(Table24[[#This Row],[Country]],Table10[[COUNTRY NAME]:[CONTINENT CODE]],3,FALSE)</f>
        <v>NA - US</v>
      </c>
      <c r="G738" s="312" t="s">
        <v>13271</v>
      </c>
      <c r="H738" s="309">
        <v>4834</v>
      </c>
      <c r="I738" s="310">
        <v>12.75</v>
      </c>
      <c r="J738" s="307">
        <v>169923903</v>
      </c>
      <c r="K738" s="307">
        <f>IFERROR(Table24[[#This Row],[ROUTE COST]]/Table24[[#This Row],[O - DEMAND]],0)</f>
        <v>81733.479076479081</v>
      </c>
      <c r="L738" s="306">
        <v>2079</v>
      </c>
      <c r="M738" s="310">
        <f>Table24[[#This Row],[O - DEMAND]]/950</f>
        <v>2.188421052631579</v>
      </c>
      <c r="N738" s="306">
        <f>IFERROR(VLOOKUP(Table24[[#This Row],[ROUTE]],DEMAND!A:F,5,FALSE),0)</f>
        <v>2189</v>
      </c>
      <c r="O738" s="306">
        <f>IFERROR(VLOOKUP(Table24[[#This Row],[ROUTE]],DEMAND!A:F,6,FALSE),0)</f>
        <v>289</v>
      </c>
      <c r="P738" s="306">
        <f>ROUNDDOWN(Table24[[#This Row],[R-DEMAND]]/950,0)</f>
        <v>0</v>
      </c>
      <c r="Q738" s="306">
        <f>Table24[[#This Row],[ADD ACC
(475/950)]]*Table24[[#This Row],[Duration
(A359)]]</f>
        <v>0</v>
      </c>
      <c r="R738" s="307">
        <f>IFERROR(VLOOKUP(Table24[[#This Row],[ROUTE]],PRICING!A:B,2,FALSE),0)</f>
        <v>1359</v>
      </c>
      <c r="S738" s="308">
        <f>Table24[[#This Row],[C_DEMAND]]-Table24[[#This Row],[R-DEMAND]]</f>
        <v>1900</v>
      </c>
      <c r="T738" s="307">
        <f>Table24[[#This Row],[SEATS SOLD]]*Table24[[#This Row],[ECO SEAT]]</f>
        <v>2582100</v>
      </c>
      <c r="U738" s="307">
        <f>Table24[[#This Row],[SEATS SOLD]]*(IFERROR(VLOOKUP(Table24[[#This Row],[ROUTE]],PRICING!A:C,3,FALSE),0))</f>
        <v>3074200</v>
      </c>
      <c r="V738" s="307">
        <f>Table24[[#This Row],[SEAT REV]]-Table24[[#This Row],[SEAT REV
(IF IDEAL $)]]</f>
        <v>-492100</v>
      </c>
    </row>
    <row r="739" spans="1:22" customFormat="1" x14ac:dyDescent="0.25">
      <c r="A739" s="306" t="s">
        <v>17543</v>
      </c>
      <c r="B739" s="306" t="s">
        <v>5025</v>
      </c>
      <c r="C739" s="306" t="s">
        <v>2</v>
      </c>
      <c r="D739" s="26">
        <v>3</v>
      </c>
      <c r="E739" s="312" t="s">
        <v>1117</v>
      </c>
      <c r="F739" s="306" t="str">
        <f>VLOOKUP(Table24[[#This Row],[Country]],Table10[[COUNTRY NAME]:[CONTINENT CODE]],3,FALSE)</f>
        <v>EU</v>
      </c>
      <c r="G739" s="312" t="s">
        <v>11801</v>
      </c>
      <c r="H739" s="309">
        <v>8419</v>
      </c>
      <c r="I739" s="310">
        <v>20.5</v>
      </c>
      <c r="J739" s="307">
        <v>201422931</v>
      </c>
      <c r="K739" s="307">
        <f>IFERROR(Table24[[#This Row],[ROUTE COST]]/Table24[[#This Row],[O - DEMAND]],0)</f>
        <v>66917.917275747503</v>
      </c>
      <c r="L739" s="306">
        <v>3010</v>
      </c>
      <c r="M739" s="310">
        <f>Table24[[#This Row],[O - DEMAND]]/950</f>
        <v>3.168421052631579</v>
      </c>
      <c r="N739" s="306">
        <f>IFERROR(VLOOKUP(Table24[[#This Row],[ROUTE]],DEMAND!A:F,5,FALSE),0)</f>
        <v>3141</v>
      </c>
      <c r="O739" s="306">
        <f>IFERROR(VLOOKUP(Table24[[#This Row],[ROUTE]],DEMAND!A:F,6,FALSE),0)</f>
        <v>291</v>
      </c>
      <c r="P739" s="306">
        <f>ROUNDDOWN(Table24[[#This Row],[R-DEMAND]]/950,0)</f>
        <v>0</v>
      </c>
      <c r="Q739" s="306">
        <f>Table24[[#This Row],[ADD ACC
(475/950)]]*Table24[[#This Row],[Duration
(A359)]]</f>
        <v>0</v>
      </c>
      <c r="R739" s="307">
        <f>IFERROR(VLOOKUP(Table24[[#This Row],[ROUTE]],PRICING!A:B,2,FALSE),0)</f>
        <v>2374</v>
      </c>
      <c r="S739" s="308">
        <f>Table24[[#This Row],[C_DEMAND]]-Table24[[#This Row],[R-DEMAND]]</f>
        <v>2850</v>
      </c>
      <c r="T739" s="307">
        <f>Table24[[#This Row],[SEATS SOLD]]*Table24[[#This Row],[ECO SEAT]]</f>
        <v>6765900</v>
      </c>
      <c r="U739" s="307">
        <f>Table24[[#This Row],[SEATS SOLD]]*(IFERROR(VLOOKUP(Table24[[#This Row],[ROUTE]],PRICING!A:C,3,FALSE),0))</f>
        <v>7777650</v>
      </c>
      <c r="V739" s="307">
        <f>Table24[[#This Row],[SEAT REV]]-Table24[[#This Row],[SEAT REV
(IF IDEAL $)]]</f>
        <v>-1011750</v>
      </c>
    </row>
    <row r="740" spans="1:22" customFormat="1" x14ac:dyDescent="0.25">
      <c r="A740" s="306" t="s">
        <v>17081</v>
      </c>
      <c r="B740" s="306" t="s">
        <v>820</v>
      </c>
      <c r="C740" s="306" t="s">
        <v>2</v>
      </c>
      <c r="D740" s="26">
        <v>1</v>
      </c>
      <c r="E740" s="312" t="s">
        <v>493</v>
      </c>
      <c r="F740" s="306" t="str">
        <f>VLOOKUP(Table24[[#This Row],[Country]],Table10[[COUNTRY NAME]:[CONTINENT CODE]],3,FALSE)</f>
        <v>AF</v>
      </c>
      <c r="G740" s="312" t="s">
        <v>11730</v>
      </c>
      <c r="H740" s="309">
        <v>7841</v>
      </c>
      <c r="I740" s="310">
        <v>19.25</v>
      </c>
      <c r="J740" s="307">
        <v>172030897</v>
      </c>
      <c r="K740" s="307">
        <f>IFERROR(Table24[[#This Row],[ROUTE COST]]/Table24[[#This Row],[O - DEMAND]],0)</f>
        <v>81108.390853371049</v>
      </c>
      <c r="L740" s="306">
        <v>2121</v>
      </c>
      <c r="M740" s="310">
        <f>Table24[[#This Row],[O - DEMAND]]/950</f>
        <v>2.2326315789473683</v>
      </c>
      <c r="N740" s="306">
        <f>IFERROR(VLOOKUP(Table24[[#This Row],[ROUTE]],DEMAND!A:F,5,FALSE),0)</f>
        <v>2192</v>
      </c>
      <c r="O740" s="306">
        <f>IFERROR(VLOOKUP(Table24[[#This Row],[ROUTE]],DEMAND!A:F,6,FALSE),0)</f>
        <v>292</v>
      </c>
      <c r="P740" s="306">
        <f>ROUNDDOWN(Table24[[#This Row],[R-DEMAND]]/950,0)</f>
        <v>0</v>
      </c>
      <c r="Q740" s="306">
        <f>Table24[[#This Row],[ADD ACC
(475/950)]]*Table24[[#This Row],[Duration
(A359)]]</f>
        <v>0</v>
      </c>
      <c r="R740" s="307">
        <f>IFERROR(VLOOKUP(Table24[[#This Row],[ROUTE]],PRICING!A:B,2,FALSE),0)</f>
        <v>2295</v>
      </c>
      <c r="S740" s="308">
        <f>Table24[[#This Row],[C_DEMAND]]-Table24[[#This Row],[R-DEMAND]]</f>
        <v>1900</v>
      </c>
      <c r="T740" s="307">
        <f>Table24[[#This Row],[SEATS SOLD]]*Table24[[#This Row],[ECO SEAT]]</f>
        <v>4360500</v>
      </c>
      <c r="U740" s="307">
        <f>Table24[[#This Row],[SEATS SOLD]]*(IFERROR(VLOOKUP(Table24[[#This Row],[ROUTE]],PRICING!A:C,3,FALSE),0))</f>
        <v>4845000</v>
      </c>
      <c r="V740" s="307">
        <f>Table24[[#This Row],[SEAT REV]]-Table24[[#This Row],[SEAT REV
(IF IDEAL $)]]</f>
        <v>-484500</v>
      </c>
    </row>
    <row r="741" spans="1:22" customFormat="1" x14ac:dyDescent="0.25">
      <c r="A741" s="306" t="s">
        <v>17447</v>
      </c>
      <c r="B741" s="306" t="s">
        <v>14212</v>
      </c>
      <c r="C741" s="306" t="s">
        <v>2</v>
      </c>
      <c r="D741" s="26"/>
      <c r="E741" s="312" t="s">
        <v>46</v>
      </c>
      <c r="F741" s="306" t="str">
        <f>VLOOKUP(Table24[[#This Row],[Country]],Table10[[COUNTRY NAME]:[CONTINENT CODE]],3,FALSE)</f>
        <v>AS</v>
      </c>
      <c r="G741" s="312" t="s">
        <v>14213</v>
      </c>
      <c r="H741" s="309">
        <v>15054</v>
      </c>
      <c r="I741" s="310">
        <v>35.25</v>
      </c>
      <c r="J741" s="307">
        <v>266021301</v>
      </c>
      <c r="K741" s="307">
        <f>IFERROR(Table24[[#This Row],[ROUTE COST]]/Table24[[#This Row],[O - DEMAND]],0)</f>
        <v>128948.76442074649</v>
      </c>
      <c r="L741" s="306">
        <v>2063</v>
      </c>
      <c r="M741" s="310">
        <f>Table24[[#This Row],[O - DEMAND]]/950</f>
        <v>2.1715789473684208</v>
      </c>
      <c r="N741" s="306">
        <f>IFERROR(VLOOKUP(Table24[[#This Row],[ROUTE]],DEMAND!A:F,5,FALSE),0)</f>
        <v>2194</v>
      </c>
      <c r="O741" s="306">
        <f>IFERROR(VLOOKUP(Table24[[#This Row],[ROUTE]],DEMAND!A:F,6,FALSE),0)</f>
        <v>294</v>
      </c>
      <c r="P741" s="306">
        <f>ROUNDDOWN(Table24[[#This Row],[R-DEMAND]]/950,0)</f>
        <v>0</v>
      </c>
      <c r="Q741" s="306">
        <f>Table24[[#This Row],[ADD ACC
(475/950)]]*Table24[[#This Row],[Duration
(A359)]]</f>
        <v>0</v>
      </c>
      <c r="R741" s="307">
        <f>IFERROR(VLOOKUP(Table24[[#This Row],[ROUTE]],PRICING!A:B,2,FALSE),0)</f>
        <v>3876</v>
      </c>
      <c r="S741" s="308">
        <f>Table24[[#This Row],[C_DEMAND]]-Table24[[#This Row],[R-DEMAND]]</f>
        <v>1900</v>
      </c>
      <c r="T741" s="307">
        <f>Table24[[#This Row],[SEATS SOLD]]*Table24[[#This Row],[ECO SEAT]]</f>
        <v>7364400</v>
      </c>
      <c r="U741" s="307">
        <f>Table24[[#This Row],[SEATS SOLD]]*(IFERROR(VLOOKUP(Table24[[#This Row],[ROUTE]],PRICING!A:C,3,FALSE),0))</f>
        <v>9093400</v>
      </c>
      <c r="V741" s="307">
        <f>Table24[[#This Row],[SEAT REV]]-Table24[[#This Row],[SEAT REV
(IF IDEAL $)]]</f>
        <v>-1729000</v>
      </c>
    </row>
    <row r="742" spans="1:22" customFormat="1" x14ac:dyDescent="0.25">
      <c r="A742" s="306" t="s">
        <v>17238</v>
      </c>
      <c r="B742" s="306" t="s">
        <v>5636</v>
      </c>
      <c r="C742" s="306" t="s">
        <v>2</v>
      </c>
      <c r="D742" s="26">
        <v>4</v>
      </c>
      <c r="E742" s="312" t="s">
        <v>5634</v>
      </c>
      <c r="F742" s="306" t="str">
        <f>VLOOKUP(Table24[[#This Row],[Country]],Table10[[COUNTRY NAME]:[CONTINENT CODE]],3,FALSE)</f>
        <v>AS</v>
      </c>
      <c r="G742" s="312" t="s">
        <v>11090</v>
      </c>
      <c r="H742" s="309">
        <v>12232</v>
      </c>
      <c r="I742" s="310">
        <v>29</v>
      </c>
      <c r="J742" s="307">
        <v>262536724</v>
      </c>
      <c r="K742" s="307">
        <f>IFERROR(Table24[[#This Row],[ROUTE COST]]/Table24[[#This Row],[O - DEMAND]],0)</f>
        <v>66263.686017163054</v>
      </c>
      <c r="L742" s="306">
        <v>3962</v>
      </c>
      <c r="M742" s="310">
        <f>Table24[[#This Row],[O - DEMAND]]/950</f>
        <v>4.1705263157894734</v>
      </c>
      <c r="N742" s="306">
        <f>IFERROR(VLOOKUP(Table24[[#This Row],[ROUTE]],DEMAND!A:F,5,FALSE),0)</f>
        <v>4095</v>
      </c>
      <c r="O742" s="306">
        <f>IFERROR(VLOOKUP(Table24[[#This Row],[ROUTE]],DEMAND!A:F,6,FALSE),0)</f>
        <v>295</v>
      </c>
      <c r="P742" s="306">
        <f>ROUNDDOWN(Table24[[#This Row],[R-DEMAND]]/950,0)</f>
        <v>0</v>
      </c>
      <c r="Q742" s="306">
        <f>Table24[[#This Row],[ADD ACC
(475/950)]]*Table24[[#This Row],[Duration
(A359)]]</f>
        <v>0</v>
      </c>
      <c r="R742" s="307">
        <f>IFERROR(VLOOKUP(Table24[[#This Row],[ROUTE]],PRICING!A:B,2,FALSE),0)</f>
        <v>3519</v>
      </c>
      <c r="S742" s="308">
        <f>Table24[[#This Row],[C_DEMAND]]-Table24[[#This Row],[R-DEMAND]]</f>
        <v>3800</v>
      </c>
      <c r="T742" s="307">
        <f>Table24[[#This Row],[SEATS SOLD]]*Table24[[#This Row],[ECO SEAT]]</f>
        <v>13372200</v>
      </c>
      <c r="U742" s="307">
        <f>Table24[[#This Row],[SEATS SOLD]]*(IFERROR(VLOOKUP(Table24[[#This Row],[ROUTE]],PRICING!A:C,3,FALSE),0))</f>
        <v>14861800</v>
      </c>
      <c r="V742" s="307">
        <f>Table24[[#This Row],[SEAT REV]]-Table24[[#This Row],[SEAT REV
(IF IDEAL $)]]</f>
        <v>-1489600</v>
      </c>
    </row>
    <row r="743" spans="1:22" customFormat="1" x14ac:dyDescent="0.25">
      <c r="A743" s="306" t="s">
        <v>18080</v>
      </c>
      <c r="B743" s="306" t="s">
        <v>3225</v>
      </c>
      <c r="C743" s="306" t="s">
        <v>2</v>
      </c>
      <c r="D743" s="26">
        <v>2</v>
      </c>
      <c r="E743" s="312" t="s">
        <v>714</v>
      </c>
      <c r="F743" s="306" t="str">
        <f>VLOOKUP(Table24[[#This Row],[Country]],Table10[[COUNTRY NAME]:[CONTINENT CODE]],3,FALSE)</f>
        <v>SA</v>
      </c>
      <c r="G743" s="312" t="s">
        <v>13243</v>
      </c>
      <c r="H743" s="309">
        <v>3485</v>
      </c>
      <c r="I743" s="310">
        <v>9.75</v>
      </c>
      <c r="J743" s="307">
        <v>136464424</v>
      </c>
      <c r="K743" s="307">
        <f>IFERROR(Table24[[#This Row],[ROUTE COST]]/Table24[[#This Row],[O - DEMAND]],0)</f>
        <v>46274.813157002376</v>
      </c>
      <c r="L743" s="306">
        <v>2949</v>
      </c>
      <c r="M743" s="310">
        <f>Table24[[#This Row],[O - DEMAND]]/950</f>
        <v>3.1042105263157893</v>
      </c>
      <c r="N743" s="306">
        <f>IFERROR(VLOOKUP(Table24[[#This Row],[ROUTE]],DEMAND!A:F,5,FALSE),0)</f>
        <v>3145</v>
      </c>
      <c r="O743" s="306">
        <f>IFERROR(VLOOKUP(Table24[[#This Row],[ROUTE]],DEMAND!A:F,6,FALSE),0)</f>
        <v>295</v>
      </c>
      <c r="P743" s="306">
        <f>ROUNDDOWN(Table24[[#This Row],[R-DEMAND]]/950,0)</f>
        <v>0</v>
      </c>
      <c r="Q743" s="306">
        <f>Table24[[#This Row],[ADD ACC
(475/950)]]*Table24[[#This Row],[Duration
(A359)]]</f>
        <v>0</v>
      </c>
      <c r="R743" s="307">
        <f>IFERROR(VLOOKUP(Table24[[#This Row],[ROUTE]],PRICING!A:B,2,FALSE),0)</f>
        <v>960</v>
      </c>
      <c r="S743" s="308">
        <f>Table24[[#This Row],[C_DEMAND]]-Table24[[#This Row],[R-DEMAND]]</f>
        <v>2850</v>
      </c>
      <c r="T743" s="307">
        <f>Table24[[#This Row],[SEATS SOLD]]*Table24[[#This Row],[ECO SEAT]]</f>
        <v>2736000</v>
      </c>
      <c r="U743" s="307">
        <f>Table24[[#This Row],[SEATS SOLD]]*(IFERROR(VLOOKUP(Table24[[#This Row],[ROUTE]],PRICING!A:C,3,FALSE),0))</f>
        <v>3420000</v>
      </c>
      <c r="V743" s="307">
        <f>Table24[[#This Row],[SEAT REV]]-Table24[[#This Row],[SEAT REV
(IF IDEAL $)]]</f>
        <v>-684000</v>
      </c>
    </row>
    <row r="744" spans="1:22" customFormat="1" x14ac:dyDescent="0.25">
      <c r="A744" s="306" t="s">
        <v>18041</v>
      </c>
      <c r="B744" s="306" t="s">
        <v>399</v>
      </c>
      <c r="C744" s="306" t="s">
        <v>2</v>
      </c>
      <c r="D744" s="26">
        <v>4</v>
      </c>
      <c r="E744" s="312" t="s">
        <v>517</v>
      </c>
      <c r="F744" s="306" t="str">
        <f>VLOOKUP(Table24[[#This Row],[Country]],Table10[[COUNTRY NAME]:[CONTINENT CODE]],3,FALSE)</f>
        <v>SA</v>
      </c>
      <c r="G744" s="312" t="s">
        <v>13159</v>
      </c>
      <c r="H744" s="309">
        <v>4669</v>
      </c>
      <c r="I744" s="310">
        <v>12.5</v>
      </c>
      <c r="J744" s="307">
        <v>185236864</v>
      </c>
      <c r="K744" s="307">
        <f>IFERROR(Table24[[#This Row],[ROUTE COST]]/Table24[[#This Row],[O - DEMAND]],0)</f>
        <v>47326.740929994892</v>
      </c>
      <c r="L744" s="306">
        <v>3914</v>
      </c>
      <c r="M744" s="310">
        <f>Table24[[#This Row],[O - DEMAND]]/950</f>
        <v>4.12</v>
      </c>
      <c r="N744" s="306">
        <f>IFERROR(VLOOKUP(Table24[[#This Row],[ROUTE]],DEMAND!A:F,5,FALSE),0)</f>
        <v>4097</v>
      </c>
      <c r="O744" s="306">
        <f>IFERROR(VLOOKUP(Table24[[#This Row],[ROUTE]],DEMAND!A:F,6,FALSE),0)</f>
        <v>297</v>
      </c>
      <c r="P744" s="306">
        <f>ROUNDDOWN(Table24[[#This Row],[R-DEMAND]]/950,0)</f>
        <v>0</v>
      </c>
      <c r="Q744" s="306">
        <f>Table24[[#This Row],[ADD ACC
(475/950)]]*Table24[[#This Row],[Duration
(A359)]]</f>
        <v>0</v>
      </c>
      <c r="R744" s="307">
        <f>IFERROR(VLOOKUP(Table24[[#This Row],[ROUTE]],PRICING!A:B,2,FALSE),0)</f>
        <v>1347</v>
      </c>
      <c r="S744" s="308">
        <f>Table24[[#This Row],[C_DEMAND]]-Table24[[#This Row],[R-DEMAND]]</f>
        <v>3800</v>
      </c>
      <c r="T744" s="307">
        <f>Table24[[#This Row],[SEATS SOLD]]*Table24[[#This Row],[ECO SEAT]]</f>
        <v>5118600</v>
      </c>
      <c r="U744" s="307">
        <f>Table24[[#This Row],[SEATS SOLD]]*(IFERROR(VLOOKUP(Table24[[#This Row],[ROUTE]],PRICING!A:C,3,FALSE),0))</f>
        <v>5954600</v>
      </c>
      <c r="V744" s="307">
        <f>Table24[[#This Row],[SEAT REV]]-Table24[[#This Row],[SEAT REV
(IF IDEAL $)]]</f>
        <v>-836000</v>
      </c>
    </row>
    <row r="745" spans="1:22" customFormat="1" x14ac:dyDescent="0.25">
      <c r="A745" s="306" t="s">
        <v>17542</v>
      </c>
      <c r="B745" s="306" t="s">
        <v>5031</v>
      </c>
      <c r="C745" s="306" t="s">
        <v>2</v>
      </c>
      <c r="D745" s="26">
        <v>3</v>
      </c>
      <c r="E745" s="312" t="s">
        <v>659</v>
      </c>
      <c r="F745" s="306" t="str">
        <f>VLOOKUP(Table24[[#This Row],[Country]],Table10[[COUNTRY NAME]:[CONTINENT CODE]],3,FALSE)</f>
        <v>EU</v>
      </c>
      <c r="G745" s="312" t="s">
        <v>11804</v>
      </c>
      <c r="H745" s="309">
        <v>8446</v>
      </c>
      <c r="I745" s="310">
        <v>20.75</v>
      </c>
      <c r="J745" s="307">
        <v>201944221</v>
      </c>
      <c r="K745" s="307">
        <f>IFERROR(Table24[[#This Row],[ROUTE COST]]/Table24[[#This Row],[O - DEMAND]],0)</f>
        <v>67743.784300570274</v>
      </c>
      <c r="L745" s="306">
        <v>2981</v>
      </c>
      <c r="M745" s="310">
        <f>Table24[[#This Row],[O - DEMAND]]/950</f>
        <v>3.1378947368421053</v>
      </c>
      <c r="N745" s="306">
        <f>IFERROR(VLOOKUP(Table24[[#This Row],[ROUTE]],DEMAND!A:F,5,FALSE),0)</f>
        <v>3150</v>
      </c>
      <c r="O745" s="306">
        <f>IFERROR(VLOOKUP(Table24[[#This Row],[ROUTE]],DEMAND!A:F,6,FALSE),0)</f>
        <v>-650</v>
      </c>
      <c r="P745" s="306">
        <f>ROUNDDOWN(Table24[[#This Row],[R-DEMAND]]/950,0)</f>
        <v>0</v>
      </c>
      <c r="Q745" s="306">
        <f>Table24[[#This Row],[ADD ACC
(475/950)]]*Table24[[#This Row],[Duration
(A359)]]</f>
        <v>0</v>
      </c>
      <c r="R745" s="307">
        <f>IFERROR(VLOOKUP(Table24[[#This Row],[ROUTE]],PRICING!A:B,2,FALSE),0)</f>
        <v>2272</v>
      </c>
      <c r="S745" s="308">
        <f>Table24[[#This Row],[C_DEMAND]]-Table24[[#This Row],[R-DEMAND]]</f>
        <v>3800</v>
      </c>
      <c r="T745" s="307">
        <f>Table24[[#This Row],[SEATS SOLD]]*Table24[[#This Row],[ECO SEAT]]</f>
        <v>8633600</v>
      </c>
      <c r="U745" s="307">
        <f>Table24[[#This Row],[SEATS SOLD]]*(IFERROR(VLOOKUP(Table24[[#This Row],[ROUTE]],PRICING!A:C,3,FALSE),0))</f>
        <v>10404400</v>
      </c>
      <c r="V745" s="307">
        <f>Table24[[#This Row],[SEAT REV]]-Table24[[#This Row],[SEAT REV
(IF IDEAL $)]]</f>
        <v>-1770800</v>
      </c>
    </row>
    <row r="746" spans="1:22" customFormat="1" x14ac:dyDescent="0.25">
      <c r="A746" s="306" t="s">
        <v>17904</v>
      </c>
      <c r="B746" s="306" t="s">
        <v>5161</v>
      </c>
      <c r="C746" s="306" t="s">
        <v>2</v>
      </c>
      <c r="D746" s="26">
        <v>3</v>
      </c>
      <c r="E746" s="312" t="s">
        <v>11732</v>
      </c>
      <c r="F746" s="306" t="str">
        <f>VLOOKUP(Table24[[#This Row],[Country]],Table10[[COUNTRY NAME]:[CONTINENT CODE]],3,FALSE)</f>
        <v>NA - US</v>
      </c>
      <c r="G746" s="312" t="s">
        <v>13232</v>
      </c>
      <c r="H746" s="309">
        <v>1890</v>
      </c>
      <c r="I746" s="310">
        <v>6.25</v>
      </c>
      <c r="J746" s="307"/>
      <c r="K746" s="307">
        <f>IFERROR(Table24[[#This Row],[ROUTE COST]]/Table24[[#This Row],[O - DEMAND]],0)</f>
        <v>0</v>
      </c>
      <c r="L746" s="306"/>
      <c r="M746" s="310">
        <f>Table24[[#This Row],[O - DEMAND]]/950</f>
        <v>0</v>
      </c>
      <c r="N746" s="306">
        <f>IFERROR(VLOOKUP(Table24[[#This Row],[ROUTE]],DEMAND!A:F,5,FALSE),0)</f>
        <v>2200</v>
      </c>
      <c r="O746" s="306">
        <f>IFERROR(VLOOKUP(Table24[[#This Row],[ROUTE]],DEMAND!A:F,6,FALSE),0)</f>
        <v>300</v>
      </c>
      <c r="P746" s="306">
        <f>ROUNDDOWN(Table24[[#This Row],[R-DEMAND]]/950,0)</f>
        <v>0</v>
      </c>
      <c r="Q746" s="306">
        <f>Table24[[#This Row],[ADD ACC
(475/950)]]*Table24[[#This Row],[Duration
(A359)]]</f>
        <v>0</v>
      </c>
      <c r="R746" s="307">
        <f>IFERROR(VLOOKUP(Table24[[#This Row],[ROUTE]],PRICING!A:B,2,FALSE),0)</f>
        <v>627</v>
      </c>
      <c r="S746" s="308">
        <f>Table24[[#This Row],[C_DEMAND]]-Table24[[#This Row],[R-DEMAND]]</f>
        <v>1900</v>
      </c>
      <c r="T746" s="307">
        <f>Table24[[#This Row],[SEATS SOLD]]*Table24[[#This Row],[ECO SEAT]]</f>
        <v>1191300</v>
      </c>
      <c r="U746" s="307">
        <f>Table24[[#This Row],[SEATS SOLD]]*(IFERROR(VLOOKUP(Table24[[#This Row],[ROUTE]],PRICING!A:C,3,FALSE),0))</f>
        <v>1339500</v>
      </c>
      <c r="V746" s="307">
        <f>Table24[[#This Row],[SEAT REV]]-Table24[[#This Row],[SEAT REV
(IF IDEAL $)]]</f>
        <v>-148200</v>
      </c>
    </row>
    <row r="747" spans="1:22" customFormat="1" x14ac:dyDescent="0.25">
      <c r="A747" s="306" t="s">
        <v>17470</v>
      </c>
      <c r="B747" s="306" t="s">
        <v>376</v>
      </c>
      <c r="C747" s="306" t="s">
        <v>2</v>
      </c>
      <c r="D747" s="26">
        <v>5</v>
      </c>
      <c r="E747" s="312" t="s">
        <v>560</v>
      </c>
      <c r="F747" s="306" t="str">
        <f>VLOOKUP(Table24[[#This Row],[Country]],Table10[[COUNTRY NAME]:[CONTINENT CODE]],3,FALSE)</f>
        <v>EU</v>
      </c>
      <c r="G747" s="312" t="s">
        <v>11100</v>
      </c>
      <c r="H747" s="309">
        <v>7367</v>
      </c>
      <c r="I747" s="310">
        <v>18.25</v>
      </c>
      <c r="J747" s="307">
        <v>234587294</v>
      </c>
      <c r="K747" s="307">
        <f>IFERROR(Table24[[#This Row],[ROUTE COST]]/Table24[[#This Row],[O - DEMAND]],0)</f>
        <v>79440.329834067044</v>
      </c>
      <c r="L747" s="306">
        <v>2953</v>
      </c>
      <c r="M747" s="310">
        <f>Table24[[#This Row],[O - DEMAND]]/950</f>
        <v>3.108421052631579</v>
      </c>
      <c r="N747" s="306">
        <f>IFERROR(VLOOKUP(Table24[[#This Row],[ROUTE]],DEMAND!A:F,5,FALSE),0)</f>
        <v>3151</v>
      </c>
      <c r="O747" s="306">
        <f>IFERROR(VLOOKUP(Table24[[#This Row],[ROUTE]],DEMAND!A:F,6,FALSE),0)</f>
        <v>301</v>
      </c>
      <c r="P747" s="306">
        <f>ROUNDDOWN(Table24[[#This Row],[R-DEMAND]]/950,0)</f>
        <v>0</v>
      </c>
      <c r="Q747" s="306">
        <f>Table24[[#This Row],[ADD ACC
(475/950)]]*Table24[[#This Row],[Duration
(A359)]]</f>
        <v>0</v>
      </c>
      <c r="R747" s="307">
        <f>IFERROR(VLOOKUP(Table24[[#This Row],[ROUTE]],PRICING!A:B,2,FALSE),0)</f>
        <v>1922</v>
      </c>
      <c r="S747" s="308">
        <f>Table24[[#This Row],[C_DEMAND]]-Table24[[#This Row],[R-DEMAND]]</f>
        <v>2850</v>
      </c>
      <c r="T747" s="307">
        <f>Table24[[#This Row],[SEATS SOLD]]*Table24[[#This Row],[ECO SEAT]]</f>
        <v>5477700</v>
      </c>
      <c r="U747" s="307">
        <f>Table24[[#This Row],[SEATS SOLD]]*(IFERROR(VLOOKUP(Table24[[#This Row],[ROUTE]],PRICING!A:C,3,FALSE),0))</f>
        <v>6848550</v>
      </c>
      <c r="V747" s="307">
        <f>Table24[[#This Row],[SEAT REV]]-Table24[[#This Row],[SEAT REV
(IF IDEAL $)]]</f>
        <v>-1370850</v>
      </c>
    </row>
    <row r="748" spans="1:22" customFormat="1" x14ac:dyDescent="0.25">
      <c r="A748" s="306" t="s">
        <v>17066</v>
      </c>
      <c r="B748" s="306" t="s">
        <v>3705</v>
      </c>
      <c r="C748" s="306" t="s">
        <v>2</v>
      </c>
      <c r="D748" s="26">
        <v>2</v>
      </c>
      <c r="E748" s="312" t="s">
        <v>608</v>
      </c>
      <c r="F748" s="306" t="str">
        <f>VLOOKUP(Table24[[#This Row],[Country]],Table10[[COUNTRY NAME]:[CONTINENT CODE]],3,FALSE)</f>
        <v>AF</v>
      </c>
      <c r="G748" s="312" t="s">
        <v>11692</v>
      </c>
      <c r="H748" s="309">
        <v>6981</v>
      </c>
      <c r="I748" s="310">
        <v>17.5</v>
      </c>
      <c r="J748" s="307">
        <v>173492752</v>
      </c>
      <c r="K748" s="307">
        <f>IFERROR(Table24[[#This Row],[ROUTE COST]]/Table24[[#This Row],[O - DEMAND]],0)</f>
        <v>57773.144189144186</v>
      </c>
      <c r="L748" s="306">
        <v>3003</v>
      </c>
      <c r="M748" s="310">
        <f>Table24[[#This Row],[O - DEMAND]]/950</f>
        <v>3.1610526315789476</v>
      </c>
      <c r="N748" s="306">
        <f>IFERROR(VLOOKUP(Table24[[#This Row],[ROUTE]],DEMAND!A:F,5,FALSE),0)</f>
        <v>3153</v>
      </c>
      <c r="O748" s="306">
        <f>IFERROR(VLOOKUP(Table24[[#This Row],[ROUTE]],DEMAND!A:F,6,FALSE),0)</f>
        <v>303</v>
      </c>
      <c r="P748" s="306">
        <f>ROUNDDOWN(Table24[[#This Row],[R-DEMAND]]/950,0)</f>
        <v>0</v>
      </c>
      <c r="Q748" s="306">
        <f>Table24[[#This Row],[ADD ACC
(475/950)]]*Table24[[#This Row],[Duration
(A359)]]</f>
        <v>0</v>
      </c>
      <c r="R748" s="307">
        <f>IFERROR(VLOOKUP(Table24[[#This Row],[ROUTE]],PRICING!A:B,2,FALSE),0)</f>
        <v>1941</v>
      </c>
      <c r="S748" s="308">
        <f>Table24[[#This Row],[C_DEMAND]]-Table24[[#This Row],[R-DEMAND]]</f>
        <v>2850</v>
      </c>
      <c r="T748" s="307">
        <f>Table24[[#This Row],[SEATS SOLD]]*Table24[[#This Row],[ECO SEAT]]</f>
        <v>5531850</v>
      </c>
      <c r="U748" s="307">
        <f>Table24[[#This Row],[SEATS SOLD]]*(IFERROR(VLOOKUP(Table24[[#This Row],[ROUTE]],PRICING!A:C,3,FALSE),0))</f>
        <v>6509400</v>
      </c>
      <c r="V748" s="307">
        <f>Table24[[#This Row],[SEAT REV]]-Table24[[#This Row],[SEAT REV
(IF IDEAL $)]]</f>
        <v>-977550</v>
      </c>
    </row>
    <row r="749" spans="1:22" customFormat="1" x14ac:dyDescent="0.25">
      <c r="A749" s="306" t="s">
        <v>17085</v>
      </c>
      <c r="B749" s="306" t="s">
        <v>673</v>
      </c>
      <c r="C749" s="306" t="s">
        <v>2</v>
      </c>
      <c r="D749" s="26">
        <v>1</v>
      </c>
      <c r="E749" s="312" t="s">
        <v>493</v>
      </c>
      <c r="F749" s="306" t="str">
        <f>VLOOKUP(Table24[[#This Row],[Country]],Table10[[COUNTRY NAME]:[CONTINENT CODE]],3,FALSE)</f>
        <v>AF</v>
      </c>
      <c r="G749" s="312" t="s">
        <v>7071</v>
      </c>
      <c r="H749" s="309">
        <v>7364</v>
      </c>
      <c r="I749" s="310">
        <v>18.25</v>
      </c>
      <c r="J749" s="307">
        <v>165980897</v>
      </c>
      <c r="K749" s="307">
        <f>IFERROR(Table24[[#This Row],[ROUTE COST]]/Table24[[#This Row],[O - DEMAND]],0)</f>
        <v>80378.158353510895</v>
      </c>
      <c r="L749" s="306">
        <v>2065</v>
      </c>
      <c r="M749" s="310">
        <f>Table24[[#This Row],[O - DEMAND]]/950</f>
        <v>2.1736842105263157</v>
      </c>
      <c r="N749" s="306">
        <f>IFERROR(VLOOKUP(Table24[[#This Row],[ROUTE]],DEMAND!A:F,5,FALSE),0)</f>
        <v>2203</v>
      </c>
      <c r="O749" s="306">
        <f>IFERROR(VLOOKUP(Table24[[#This Row],[ROUTE]],DEMAND!A:F,6,FALSE),0)</f>
        <v>303</v>
      </c>
      <c r="P749" s="306">
        <f>ROUNDDOWN(Table24[[#This Row],[R-DEMAND]]/950,0)</f>
        <v>0</v>
      </c>
      <c r="Q749" s="306">
        <f>Table24[[#This Row],[ADD ACC
(475/950)]]*Table24[[#This Row],[Duration
(A359)]]</f>
        <v>0</v>
      </c>
      <c r="R749" s="307">
        <f>IFERROR(VLOOKUP(Table24[[#This Row],[ROUTE]],PRICING!A:B,2,FALSE),0)</f>
        <v>1921</v>
      </c>
      <c r="S749" s="308">
        <f>Table24[[#This Row],[C_DEMAND]]-Table24[[#This Row],[R-DEMAND]]</f>
        <v>1900</v>
      </c>
      <c r="T749" s="307">
        <f>Table24[[#This Row],[SEATS SOLD]]*Table24[[#This Row],[ECO SEAT]]</f>
        <v>3649900</v>
      </c>
      <c r="U749" s="307">
        <f>Table24[[#This Row],[SEATS SOLD]]*(IFERROR(VLOOKUP(Table24[[#This Row],[ROUTE]],PRICING!A:C,3,FALSE),0))</f>
        <v>4563800</v>
      </c>
      <c r="V749" s="307">
        <f>Table24[[#This Row],[SEAT REV]]-Table24[[#This Row],[SEAT REV
(IF IDEAL $)]]</f>
        <v>-913900</v>
      </c>
    </row>
    <row r="750" spans="1:22" customFormat="1" x14ac:dyDescent="0.25">
      <c r="A750" s="306" t="s">
        <v>17175</v>
      </c>
      <c r="B750" s="306" t="s">
        <v>353</v>
      </c>
      <c r="C750" s="306" t="s">
        <v>2</v>
      </c>
      <c r="D750" s="26">
        <v>4</v>
      </c>
      <c r="E750" s="312" t="s">
        <v>926</v>
      </c>
      <c r="F750" s="306" t="str">
        <f>VLOOKUP(Table24[[#This Row],[Country]],Table10[[COUNTRY NAME]:[CONTINENT CODE]],3,FALSE)</f>
        <v>AF</v>
      </c>
      <c r="G750" s="312" t="s">
        <v>11094</v>
      </c>
      <c r="H750" s="309">
        <v>11230</v>
      </c>
      <c r="I750" s="310">
        <v>26.75</v>
      </c>
      <c r="J750" s="307">
        <v>244136489</v>
      </c>
      <c r="K750" s="307">
        <f>IFERROR(Table24[[#This Row],[ROUTE COST]]/Table24[[#This Row],[O - DEMAND]],0)</f>
        <v>51042.544219109346</v>
      </c>
      <c r="L750" s="306">
        <v>4783</v>
      </c>
      <c r="M750" s="310">
        <f>Table24[[#This Row],[O - DEMAND]]/950</f>
        <v>5.0347368421052634</v>
      </c>
      <c r="N750" s="306">
        <f>IFERROR(VLOOKUP(Table24[[#This Row],[ROUTE]],DEMAND!A:F,5,FALSE),0)</f>
        <v>5054</v>
      </c>
      <c r="O750" s="306">
        <f>IFERROR(VLOOKUP(Table24[[#This Row],[ROUTE]],DEMAND!A:F,6,FALSE),0)</f>
        <v>304</v>
      </c>
      <c r="P750" s="306">
        <f>ROUNDDOWN(Table24[[#This Row],[R-DEMAND]]/950,0)</f>
        <v>0</v>
      </c>
      <c r="Q750" s="306">
        <f>Table24[[#This Row],[ADD ACC
(475/950)]]*Table24[[#This Row],[Duration
(A359)]]</f>
        <v>0</v>
      </c>
      <c r="R750" s="307">
        <f>IFERROR(VLOOKUP(Table24[[#This Row],[ROUTE]],PRICING!A:B,2,FALSE),0)</f>
        <v>2988</v>
      </c>
      <c r="S750" s="308">
        <f>Table24[[#This Row],[C_DEMAND]]-Table24[[#This Row],[R-DEMAND]]</f>
        <v>4750</v>
      </c>
      <c r="T750" s="307">
        <f>Table24[[#This Row],[SEATS SOLD]]*Table24[[#This Row],[ECO SEAT]]</f>
        <v>14193000</v>
      </c>
      <c r="U750" s="307">
        <f>Table24[[#This Row],[SEATS SOLD]]*(IFERROR(VLOOKUP(Table24[[#This Row],[ROUTE]],PRICING!A:C,3,FALSE),0))</f>
        <v>17104750</v>
      </c>
      <c r="V750" s="307">
        <f>Table24[[#This Row],[SEAT REV]]-Table24[[#This Row],[SEAT REV
(IF IDEAL $)]]</f>
        <v>-2911750</v>
      </c>
    </row>
    <row r="751" spans="1:22" customFormat="1" x14ac:dyDescent="0.25">
      <c r="A751" s="306" t="s">
        <v>17274</v>
      </c>
      <c r="B751" s="306" t="s">
        <v>4764</v>
      </c>
      <c r="C751" s="306" t="s">
        <v>2</v>
      </c>
      <c r="D751" s="26">
        <v>3</v>
      </c>
      <c r="E751" s="312" t="s">
        <v>258</v>
      </c>
      <c r="F751" s="306" t="str">
        <f>VLOOKUP(Table24[[#This Row],[Country]],Table10[[COUNTRY NAME]:[CONTINENT CODE]],3,FALSE)</f>
        <v>AS</v>
      </c>
      <c r="G751" s="312" t="s">
        <v>8977</v>
      </c>
      <c r="H751" s="309">
        <v>13715</v>
      </c>
      <c r="I751" s="310">
        <v>32.25</v>
      </c>
      <c r="J751" s="307">
        <v>251159121</v>
      </c>
      <c r="K751" s="307">
        <f>IFERROR(Table24[[#This Row],[ROUTE COST]]/Table24[[#This Row],[O - DEMAND]],0)</f>
        <v>84423.233949579837</v>
      </c>
      <c r="L751" s="306">
        <v>2975</v>
      </c>
      <c r="M751" s="310">
        <f>Table24[[#This Row],[O - DEMAND]]/950</f>
        <v>3.1315789473684212</v>
      </c>
      <c r="N751" s="306">
        <f>IFERROR(VLOOKUP(Table24[[#This Row],[ROUTE]],DEMAND!A:F,5,FALSE),0)</f>
        <v>3154</v>
      </c>
      <c r="O751" s="306">
        <f>IFERROR(VLOOKUP(Table24[[#This Row],[ROUTE]],DEMAND!A:F,6,FALSE),0)</f>
        <v>304</v>
      </c>
      <c r="P751" s="306">
        <f>ROUNDDOWN(Table24[[#This Row],[R-DEMAND]]/950,0)</f>
        <v>0</v>
      </c>
      <c r="Q751" s="306">
        <f>Table24[[#This Row],[ADD ACC
(475/950)]]*Table24[[#This Row],[Duration
(A359)]]</f>
        <v>0</v>
      </c>
      <c r="R751" s="307">
        <f>IFERROR(VLOOKUP(Table24[[#This Row],[ROUTE]],PRICING!A:B,2,FALSE),0)</f>
        <v>3584</v>
      </c>
      <c r="S751" s="308">
        <f>Table24[[#This Row],[C_DEMAND]]-Table24[[#This Row],[R-DEMAND]]</f>
        <v>2850</v>
      </c>
      <c r="T751" s="307">
        <f>Table24[[#This Row],[SEATS SOLD]]*Table24[[#This Row],[ECO SEAT]]</f>
        <v>10214400</v>
      </c>
      <c r="U751" s="307">
        <f>Table24[[#This Row],[SEATS SOLD]]*(IFERROR(VLOOKUP(Table24[[#This Row],[ROUTE]],PRICING!A:C,3,FALSE),0))</f>
        <v>12457350</v>
      </c>
      <c r="V751" s="307">
        <f>Table24[[#This Row],[SEAT REV]]-Table24[[#This Row],[SEAT REV
(IF IDEAL $)]]</f>
        <v>-2242950</v>
      </c>
    </row>
    <row r="752" spans="1:22" customFormat="1" x14ac:dyDescent="0.25">
      <c r="A752" s="306" t="s">
        <v>17838</v>
      </c>
      <c r="B752" s="306" t="s">
        <v>238</v>
      </c>
      <c r="C752" s="306" t="s">
        <v>2</v>
      </c>
      <c r="D752" s="26">
        <v>5</v>
      </c>
      <c r="E752" s="312" t="s">
        <v>11732</v>
      </c>
      <c r="F752" s="306" t="str">
        <f>VLOOKUP(Table24[[#This Row],[Country]],Table10[[COUNTRY NAME]:[CONTINENT CODE]],3,FALSE)</f>
        <v>NA - US</v>
      </c>
      <c r="G752" s="312" t="s">
        <v>13346</v>
      </c>
      <c r="H752" s="309">
        <v>2457</v>
      </c>
      <c r="I752" s="310">
        <v>7.5</v>
      </c>
      <c r="J752" s="307">
        <v>185148475</v>
      </c>
      <c r="K752" s="307">
        <f>IFERROR(Table24[[#This Row],[ROUTE COST]]/Table24[[#This Row],[O - DEMAND]],0)</f>
        <v>62151.216851292382</v>
      </c>
      <c r="L752" s="306">
        <v>2979</v>
      </c>
      <c r="M752" s="310">
        <f>Table24[[#This Row],[O - DEMAND]]/950</f>
        <v>3.1357894736842105</v>
      </c>
      <c r="N752" s="306">
        <f>IFERROR(VLOOKUP(Table24[[#This Row],[ROUTE]],DEMAND!A:F,5,FALSE),0)</f>
        <v>3159</v>
      </c>
      <c r="O752" s="306">
        <f>IFERROR(VLOOKUP(Table24[[#This Row],[ROUTE]],DEMAND!A:F,6,FALSE),0)</f>
        <v>309</v>
      </c>
      <c r="P752" s="306">
        <f>ROUNDDOWN(Table24[[#This Row],[R-DEMAND]]/950,0)</f>
        <v>0</v>
      </c>
      <c r="Q752" s="306">
        <f>Table24[[#This Row],[ADD ACC
(475/950)]]*Table24[[#This Row],[Duration
(A359)]]</f>
        <v>0</v>
      </c>
      <c r="R752" s="307">
        <f>IFERROR(VLOOKUP(Table24[[#This Row],[ROUTE]],PRICING!A:B,2,FALSE),0)</f>
        <v>722</v>
      </c>
      <c r="S752" s="308">
        <f>Table24[[#This Row],[C_DEMAND]]-Table24[[#This Row],[R-DEMAND]]</f>
        <v>2850</v>
      </c>
      <c r="T752" s="307">
        <f>Table24[[#This Row],[SEATS SOLD]]*Table24[[#This Row],[ECO SEAT]]</f>
        <v>2057700</v>
      </c>
      <c r="U752" s="307">
        <f>Table24[[#This Row],[SEATS SOLD]]*(IFERROR(VLOOKUP(Table24[[#This Row],[ROUTE]],PRICING!A:C,3,FALSE),0))</f>
        <v>2510850</v>
      </c>
      <c r="V752" s="307">
        <f>Table24[[#This Row],[SEAT REV]]-Table24[[#This Row],[SEAT REV
(IF IDEAL $)]]</f>
        <v>-453150</v>
      </c>
    </row>
    <row r="753" spans="1:22" customFormat="1" x14ac:dyDescent="0.25">
      <c r="A753" s="306" t="s">
        <v>17303</v>
      </c>
      <c r="B753" s="306" t="s">
        <v>4814</v>
      </c>
      <c r="C753" s="306" t="s">
        <v>2</v>
      </c>
      <c r="D753" s="26">
        <v>3</v>
      </c>
      <c r="E753" s="312" t="s">
        <v>1654</v>
      </c>
      <c r="F753" s="306" t="str">
        <f>VLOOKUP(Table24[[#This Row],[Country]],Table10[[COUNTRY NAME]:[CONTINENT CODE]],3,FALSE)</f>
        <v>AS</v>
      </c>
      <c r="G753" s="312" t="s">
        <v>11886</v>
      </c>
      <c r="H753" s="309">
        <v>10440</v>
      </c>
      <c r="I753" s="310">
        <v>25</v>
      </c>
      <c r="J753" s="307">
        <v>219916305</v>
      </c>
      <c r="K753" s="307">
        <f>IFERROR(Table24[[#This Row],[ROUTE COST]]/Table24[[#This Row],[O - DEMAND]],0)</f>
        <v>56504.703237410075</v>
      </c>
      <c r="L753" s="306">
        <v>3892</v>
      </c>
      <c r="M753" s="310">
        <f>Table24[[#This Row],[O - DEMAND]]/950</f>
        <v>4.0968421052631578</v>
      </c>
      <c r="N753" s="306">
        <f>IFERROR(VLOOKUP(Table24[[#This Row],[ROUTE]],DEMAND!A:F,5,FALSE),0)</f>
        <v>4113</v>
      </c>
      <c r="O753" s="306">
        <f>IFERROR(VLOOKUP(Table24[[#This Row],[ROUTE]],DEMAND!A:F,6,FALSE),0)</f>
        <v>313</v>
      </c>
      <c r="P753" s="306">
        <f>ROUNDDOWN(Table24[[#This Row],[R-DEMAND]]/950,0)</f>
        <v>0</v>
      </c>
      <c r="Q753" s="306">
        <f>Table24[[#This Row],[ADD ACC
(475/950)]]*Table24[[#This Row],[Duration
(A359)]]</f>
        <v>0</v>
      </c>
      <c r="R753" s="307">
        <f>IFERROR(VLOOKUP(Table24[[#This Row],[ROUTE]],PRICING!A:B,2,FALSE),0)</f>
        <v>2785</v>
      </c>
      <c r="S753" s="308">
        <f>Table24[[#This Row],[C_DEMAND]]-Table24[[#This Row],[R-DEMAND]]</f>
        <v>3800</v>
      </c>
      <c r="T753" s="307">
        <f>Table24[[#This Row],[SEATS SOLD]]*Table24[[#This Row],[ECO SEAT]]</f>
        <v>10583000</v>
      </c>
      <c r="U753" s="307">
        <f>Table24[[#This Row],[SEATS SOLD]]*(IFERROR(VLOOKUP(Table24[[#This Row],[ROUTE]],PRICING!A:C,3,FALSE),0))</f>
        <v>12752800</v>
      </c>
      <c r="V753" s="307">
        <f>Table24[[#This Row],[SEAT REV]]-Table24[[#This Row],[SEAT REV
(IF IDEAL $)]]</f>
        <v>-2169800</v>
      </c>
    </row>
    <row r="754" spans="1:22" customFormat="1" x14ac:dyDescent="0.25">
      <c r="A754" s="306" t="s">
        <v>17539</v>
      </c>
      <c r="B754" s="306" t="s">
        <v>5169</v>
      </c>
      <c r="C754" s="306" t="s">
        <v>2</v>
      </c>
      <c r="D754" s="26">
        <v>3</v>
      </c>
      <c r="E754" s="312" t="s">
        <v>758</v>
      </c>
      <c r="F754" s="306" t="str">
        <f>VLOOKUP(Table24[[#This Row],[Country]],Table10[[COUNTRY NAME]:[CONTINENT CODE]],3,FALSE)</f>
        <v>EU</v>
      </c>
      <c r="G754" s="312" t="s">
        <v>16891</v>
      </c>
      <c r="H754" s="309">
        <v>8581</v>
      </c>
      <c r="I754" s="310">
        <v>21</v>
      </c>
      <c r="J754" s="307">
        <v>206313601</v>
      </c>
      <c r="K754" s="307">
        <f>IFERROR(Table24[[#This Row],[ROUTE COST]]/Table24[[#This Row],[O - DEMAND]],0)</f>
        <v>68045.382915567287</v>
      </c>
      <c r="L754" s="306">
        <v>3032</v>
      </c>
      <c r="M754" s="310">
        <f>Table24[[#This Row],[O - DEMAND]]/950</f>
        <v>3.1915789473684208</v>
      </c>
      <c r="N754" s="306">
        <f>IFERROR(VLOOKUP(Table24[[#This Row],[ROUTE]],DEMAND!A:F,5,FALSE),0)</f>
        <v>3164</v>
      </c>
      <c r="O754" s="306">
        <f>IFERROR(VLOOKUP(Table24[[#This Row],[ROUTE]],DEMAND!A:F,6,FALSE),0)</f>
        <v>1264</v>
      </c>
      <c r="P754" s="306">
        <f>ROUNDDOWN(Table24[[#This Row],[R-DEMAND]]/950,0)</f>
        <v>1</v>
      </c>
      <c r="Q754" s="306">
        <f>Table24[[#This Row],[ADD ACC
(475/950)]]*Table24[[#This Row],[Duration
(A359)]]</f>
        <v>21</v>
      </c>
      <c r="R754" s="307">
        <f>IFERROR(VLOOKUP(Table24[[#This Row],[ROUTE]],PRICING!A:B,2,FALSE),0)</f>
        <v>2418</v>
      </c>
      <c r="S754" s="308">
        <f>Table24[[#This Row],[C_DEMAND]]-Table24[[#This Row],[R-DEMAND]]</f>
        <v>1900</v>
      </c>
      <c r="T754" s="307">
        <f>Table24[[#This Row],[SEATS SOLD]]*Table24[[#This Row],[ECO SEAT]]</f>
        <v>4594200</v>
      </c>
      <c r="U754" s="307">
        <f>Table24[[#This Row],[SEATS SOLD]]*(IFERROR(VLOOKUP(Table24[[#This Row],[ROUTE]],PRICING!A:C,3,FALSE),0))</f>
        <v>5282000</v>
      </c>
      <c r="V754" s="307">
        <f>Table24[[#This Row],[SEAT REV]]-Table24[[#This Row],[SEAT REV
(IF IDEAL $)]]</f>
        <v>-687800</v>
      </c>
    </row>
    <row r="755" spans="1:22" customFormat="1" x14ac:dyDescent="0.25">
      <c r="A755" s="306" t="s">
        <v>17576</v>
      </c>
      <c r="B755" s="306" t="s">
        <v>5356</v>
      </c>
      <c r="C755" s="306" t="s">
        <v>2</v>
      </c>
      <c r="D755" s="26">
        <v>3</v>
      </c>
      <c r="E755" s="312" t="s">
        <v>605</v>
      </c>
      <c r="F755" s="306" t="str">
        <f>VLOOKUP(Table24[[#This Row],[Country]],Table10[[COUNTRY NAME]:[CONTINENT CODE]],3,FALSE)</f>
        <v>EU</v>
      </c>
      <c r="G755" s="312" t="s">
        <v>11742</v>
      </c>
      <c r="H755" s="309">
        <v>7537</v>
      </c>
      <c r="I755" s="310">
        <v>18.75</v>
      </c>
      <c r="J755" s="307">
        <v>202030630</v>
      </c>
      <c r="K755" s="307">
        <f>IFERROR(Table24[[#This Row],[ROUTE COST]]/Table24[[#This Row],[O - DEMAND]],0)</f>
        <v>67886.636424731187</v>
      </c>
      <c r="L755" s="306">
        <v>2976</v>
      </c>
      <c r="M755" s="310">
        <f>Table24[[#This Row],[O - DEMAND]]/950</f>
        <v>3.1326315789473682</v>
      </c>
      <c r="N755" s="306">
        <f>IFERROR(VLOOKUP(Table24[[#This Row],[ROUTE]],DEMAND!A:F,5,FALSE),0)</f>
        <v>3165</v>
      </c>
      <c r="O755" s="306">
        <f>IFERROR(VLOOKUP(Table24[[#This Row],[ROUTE]],DEMAND!A:F,6,FALSE),0)</f>
        <v>315</v>
      </c>
      <c r="P755" s="306">
        <f>ROUNDDOWN(Table24[[#This Row],[R-DEMAND]]/950,0)</f>
        <v>0</v>
      </c>
      <c r="Q755" s="306">
        <f>Table24[[#This Row],[ADD ACC
(475/950)]]*Table24[[#This Row],[Duration
(A359)]]</f>
        <v>0</v>
      </c>
      <c r="R755" s="307">
        <f>IFERROR(VLOOKUP(Table24[[#This Row],[ROUTE]],PRICING!A:B,2,FALSE),0)</f>
        <v>1989</v>
      </c>
      <c r="S755" s="308">
        <f>Table24[[#This Row],[C_DEMAND]]-Table24[[#This Row],[R-DEMAND]]</f>
        <v>2850</v>
      </c>
      <c r="T755" s="307">
        <f>Table24[[#This Row],[SEATS SOLD]]*Table24[[#This Row],[ECO SEAT]]</f>
        <v>5668650</v>
      </c>
      <c r="U755" s="307">
        <f>Table24[[#This Row],[SEATS SOLD]]*(IFERROR(VLOOKUP(Table24[[#This Row],[ROUTE]],PRICING!A:C,3,FALSE),0))</f>
        <v>6999600</v>
      </c>
      <c r="V755" s="307">
        <f>Table24[[#This Row],[SEAT REV]]-Table24[[#This Row],[SEAT REV
(IF IDEAL $)]]</f>
        <v>-1330950</v>
      </c>
    </row>
    <row r="756" spans="1:22" customFormat="1" x14ac:dyDescent="0.25">
      <c r="A756" s="306" t="s">
        <v>17287</v>
      </c>
      <c r="B756" s="306" t="s">
        <v>5204</v>
      </c>
      <c r="C756" s="306" t="s">
        <v>2</v>
      </c>
      <c r="D756" s="26">
        <v>3</v>
      </c>
      <c r="E756" s="312" t="s">
        <v>142</v>
      </c>
      <c r="F756" s="306" t="str">
        <f>VLOOKUP(Table24[[#This Row],[Country]],Table10[[COUNTRY NAME]:[CONTINENT CODE]],3,FALSE)</f>
        <v>AS</v>
      </c>
      <c r="G756" s="312" t="s">
        <v>11997</v>
      </c>
      <c r="H756" s="309">
        <v>12821</v>
      </c>
      <c r="I756" s="310">
        <v>30.25</v>
      </c>
      <c r="J756" s="307">
        <v>250136031</v>
      </c>
      <c r="K756" s="307">
        <f>IFERROR(Table24[[#This Row],[ROUTE COST]]/Table24[[#This Row],[O - DEMAND]],0)</f>
        <v>82689.597024793387</v>
      </c>
      <c r="L756" s="306">
        <v>3025</v>
      </c>
      <c r="M756" s="310">
        <f>Table24[[#This Row],[O - DEMAND]]/950</f>
        <v>3.1842105263157894</v>
      </c>
      <c r="N756" s="306">
        <f>IFERROR(VLOOKUP(Table24[[#This Row],[ROUTE]],DEMAND!A:F,5,FALSE),0)</f>
        <v>3166</v>
      </c>
      <c r="O756" s="306">
        <f>IFERROR(VLOOKUP(Table24[[#This Row],[ROUTE]],DEMAND!A:F,6,FALSE),0)</f>
        <v>316</v>
      </c>
      <c r="P756" s="306">
        <f>ROUNDDOWN(Table24[[#This Row],[R-DEMAND]]/950,0)</f>
        <v>0</v>
      </c>
      <c r="Q756" s="306">
        <f>Table24[[#This Row],[ADD ACC
(475/950)]]*Table24[[#This Row],[Duration
(A359)]]</f>
        <v>0</v>
      </c>
      <c r="R756" s="307">
        <f>IFERROR(VLOOKUP(Table24[[#This Row],[ROUTE]],PRICING!A:B,2,FALSE),0)</f>
        <v>3520</v>
      </c>
      <c r="S756" s="308">
        <f>Table24[[#This Row],[C_DEMAND]]-Table24[[#This Row],[R-DEMAND]]</f>
        <v>2850</v>
      </c>
      <c r="T756" s="307">
        <f>Table24[[#This Row],[SEATS SOLD]]*Table24[[#This Row],[ECO SEAT]]</f>
        <v>10032000</v>
      </c>
      <c r="U756" s="307">
        <f>Table24[[#This Row],[SEATS SOLD]]*(IFERROR(VLOOKUP(Table24[[#This Row],[ROUTE]],PRICING!A:C,3,FALSE),0))</f>
        <v>11667900</v>
      </c>
      <c r="V756" s="307">
        <f>Table24[[#This Row],[SEAT REV]]-Table24[[#This Row],[SEAT REV
(IF IDEAL $)]]</f>
        <v>-1635900</v>
      </c>
    </row>
    <row r="757" spans="1:22" customFormat="1" x14ac:dyDescent="0.25">
      <c r="A757" s="306" t="s">
        <v>17744</v>
      </c>
      <c r="B757" s="306" t="s">
        <v>5269</v>
      </c>
      <c r="C757" s="306" t="s">
        <v>2</v>
      </c>
      <c r="D757" s="26">
        <v>3</v>
      </c>
      <c r="E757" s="312" t="s">
        <v>1749</v>
      </c>
      <c r="F757" s="306" t="str">
        <f>VLOOKUP(Table24[[#This Row],[Country]],Table10[[COUNTRY NAME]:[CONTINENT CODE]],3,FALSE)</f>
        <v>NA</v>
      </c>
      <c r="G757" s="312" t="s">
        <v>13213</v>
      </c>
      <c r="H757" s="309">
        <v>4705</v>
      </c>
      <c r="I757" s="310">
        <v>12.5</v>
      </c>
      <c r="J757" s="307">
        <v>169936125</v>
      </c>
      <c r="K757" s="307">
        <f>IFERROR(Table24[[#This Row],[ROUTE COST]]/Table24[[#This Row],[O - DEMAND]],0)</f>
        <v>56010.588332234671</v>
      </c>
      <c r="L757" s="306">
        <v>3034</v>
      </c>
      <c r="M757" s="310">
        <f>Table24[[#This Row],[O - DEMAND]]/950</f>
        <v>3.1936842105263157</v>
      </c>
      <c r="N757" s="306">
        <f>IFERROR(VLOOKUP(Table24[[#This Row],[ROUTE]],DEMAND!A:F,5,FALSE),0)</f>
        <v>3175</v>
      </c>
      <c r="O757" s="306">
        <f>IFERROR(VLOOKUP(Table24[[#This Row],[ROUTE]],DEMAND!A:F,6,FALSE),0)</f>
        <v>325</v>
      </c>
      <c r="P757" s="306">
        <f>ROUNDDOWN(Table24[[#This Row],[R-DEMAND]]/950,0)</f>
        <v>0</v>
      </c>
      <c r="Q757" s="306">
        <f>Table24[[#This Row],[ADD ACC
(475/950)]]*Table24[[#This Row],[Duration
(A359)]]</f>
        <v>0</v>
      </c>
      <c r="R757" s="307">
        <f>IFERROR(VLOOKUP(Table24[[#This Row],[ROUTE]],PRICING!A:B,2,FALSE),0)</f>
        <v>1357</v>
      </c>
      <c r="S757" s="308">
        <f>Table24[[#This Row],[C_DEMAND]]-Table24[[#This Row],[R-DEMAND]]</f>
        <v>2850</v>
      </c>
      <c r="T757" s="307">
        <f>Table24[[#This Row],[SEATS SOLD]]*Table24[[#This Row],[ECO SEAT]]</f>
        <v>3867450</v>
      </c>
      <c r="U757" s="307">
        <f>Table24[[#This Row],[SEATS SOLD]]*(IFERROR(VLOOKUP(Table24[[#This Row],[ROUTE]],PRICING!A:C,3,FALSE),0))</f>
        <v>4497300</v>
      </c>
      <c r="V757" s="307">
        <f>Table24[[#This Row],[SEAT REV]]-Table24[[#This Row],[SEAT REV
(IF IDEAL $)]]</f>
        <v>-629850</v>
      </c>
    </row>
    <row r="758" spans="1:22" customFormat="1" x14ac:dyDescent="0.25">
      <c r="A758" s="306" t="s">
        <v>17754</v>
      </c>
      <c r="B758" s="306" t="s">
        <v>5298</v>
      </c>
      <c r="C758" s="306" t="s">
        <v>2</v>
      </c>
      <c r="D758" s="26">
        <v>3</v>
      </c>
      <c r="E758" s="312" t="s">
        <v>812</v>
      </c>
      <c r="F758" s="306" t="str">
        <f>VLOOKUP(Table24[[#This Row],[Country]],Table10[[COUNTRY NAME]:[CONTINENT CODE]],3,FALSE)</f>
        <v>NA</v>
      </c>
      <c r="G758" s="312" t="s">
        <v>13185</v>
      </c>
      <c r="H758" s="309">
        <v>1599</v>
      </c>
      <c r="I758" s="310">
        <v>5.75</v>
      </c>
      <c r="J758" s="307">
        <v>139557211</v>
      </c>
      <c r="K758" s="307">
        <f>IFERROR(Table24[[#This Row],[ROUTE COST]]/Table24[[#This Row],[O - DEMAND]],0)</f>
        <v>46426.217897538256</v>
      </c>
      <c r="L758" s="306">
        <v>3006</v>
      </c>
      <c r="M758" s="310">
        <f>Table24[[#This Row],[O - DEMAND]]/950</f>
        <v>3.1642105263157894</v>
      </c>
      <c r="N758" s="306">
        <f>IFERROR(VLOOKUP(Table24[[#This Row],[ROUTE]],DEMAND!A:F,5,FALSE),0)</f>
        <v>3177</v>
      </c>
      <c r="O758" s="306">
        <f>IFERROR(VLOOKUP(Table24[[#This Row],[ROUTE]],DEMAND!A:F,6,FALSE),0)</f>
        <v>327</v>
      </c>
      <c r="P758" s="306">
        <f>ROUNDDOWN(Table24[[#This Row],[R-DEMAND]]/950,0)</f>
        <v>0</v>
      </c>
      <c r="Q758" s="306">
        <f>Table24[[#This Row],[ADD ACC
(475/950)]]*Table24[[#This Row],[Duration
(A359)]]</f>
        <v>0</v>
      </c>
      <c r="R758" s="307">
        <f>IFERROR(VLOOKUP(Table24[[#This Row],[ROUTE]],PRICING!A:B,2,FALSE),0)</f>
        <v>510</v>
      </c>
      <c r="S758" s="308">
        <f>Table24[[#This Row],[C_DEMAND]]-Table24[[#This Row],[R-DEMAND]]</f>
        <v>2850</v>
      </c>
      <c r="T758" s="307">
        <f>Table24[[#This Row],[SEATS SOLD]]*Table24[[#This Row],[ECO SEAT]]</f>
        <v>1453500</v>
      </c>
      <c r="U758" s="307">
        <f>Table24[[#This Row],[SEATS SOLD]]*(IFERROR(VLOOKUP(Table24[[#This Row],[ROUTE]],PRICING!A:C,3,FALSE),0))</f>
        <v>1752750</v>
      </c>
      <c r="V758" s="307">
        <f>Table24[[#This Row],[SEAT REV]]-Table24[[#This Row],[SEAT REV
(IF IDEAL $)]]</f>
        <v>-299250</v>
      </c>
    </row>
    <row r="759" spans="1:22" customFormat="1" x14ac:dyDescent="0.25">
      <c r="A759" s="306" t="s">
        <v>17098</v>
      </c>
      <c r="B759" s="306" t="s">
        <v>450</v>
      </c>
      <c r="C759" s="306" t="s">
        <v>2</v>
      </c>
      <c r="D759" s="26">
        <v>4</v>
      </c>
      <c r="E759" s="312" t="s">
        <v>493</v>
      </c>
      <c r="F759" s="306" t="str">
        <f>VLOOKUP(Table24[[#This Row],[Country]],Table10[[COUNTRY NAME]:[CONTINENT CODE]],3,FALSE)</f>
        <v>AF</v>
      </c>
      <c r="G759" s="312" t="s">
        <v>11112</v>
      </c>
      <c r="H759" s="309">
        <v>7522</v>
      </c>
      <c r="I759" s="310">
        <v>18.75</v>
      </c>
      <c r="J759" s="307">
        <v>204799564</v>
      </c>
      <c r="K759" s="307">
        <f>IFERROR(Table24[[#This Row],[ROUTE COST]]/Table24[[#This Row],[O - DEMAND]],0)</f>
        <v>52769.792321566609</v>
      </c>
      <c r="L759" s="306">
        <v>3881</v>
      </c>
      <c r="M759" s="310">
        <f>Table24[[#This Row],[O - DEMAND]]/950</f>
        <v>4.0852631578947367</v>
      </c>
      <c r="N759" s="306">
        <f>IFERROR(VLOOKUP(Table24[[#This Row],[ROUTE]],DEMAND!A:F,5,FALSE),0)</f>
        <v>4127</v>
      </c>
      <c r="O759" s="306">
        <f>IFERROR(VLOOKUP(Table24[[#This Row],[ROUTE]],DEMAND!A:F,6,FALSE),0)</f>
        <v>327</v>
      </c>
      <c r="P759" s="306">
        <f>ROUNDDOWN(Table24[[#This Row],[R-DEMAND]]/950,0)</f>
        <v>0</v>
      </c>
      <c r="Q759" s="306">
        <f>Table24[[#This Row],[ADD ACC
(475/950)]]*Table24[[#This Row],[Duration
(A359)]]</f>
        <v>0</v>
      </c>
      <c r="R759" s="307">
        <f>IFERROR(VLOOKUP(Table24[[#This Row],[ROUTE]],PRICING!A:B,2,FALSE),0)</f>
        <v>1985</v>
      </c>
      <c r="S759" s="308">
        <f>Table24[[#This Row],[C_DEMAND]]-Table24[[#This Row],[R-DEMAND]]</f>
        <v>3800</v>
      </c>
      <c r="T759" s="307">
        <f>Table24[[#This Row],[SEATS SOLD]]*Table24[[#This Row],[ECO SEAT]]</f>
        <v>7543000</v>
      </c>
      <c r="U759" s="307">
        <f>Table24[[#This Row],[SEATS SOLD]]*(IFERROR(VLOOKUP(Table24[[#This Row],[ROUTE]],PRICING!A:C,3,FALSE),0))</f>
        <v>9313800</v>
      </c>
      <c r="V759" s="307">
        <f>Table24[[#This Row],[SEAT REV]]-Table24[[#This Row],[SEAT REV
(IF IDEAL $)]]</f>
        <v>-1770800</v>
      </c>
    </row>
    <row r="760" spans="1:22" customFormat="1" x14ac:dyDescent="0.25">
      <c r="A760" s="306" t="s">
        <v>18044</v>
      </c>
      <c r="B760" s="306" t="s">
        <v>381</v>
      </c>
      <c r="C760" s="306" t="s">
        <v>2</v>
      </c>
      <c r="D760" s="26">
        <v>4</v>
      </c>
      <c r="E760" s="312" t="s">
        <v>4045</v>
      </c>
      <c r="F760" s="306" t="str">
        <f>VLOOKUP(Table24[[#This Row],[Country]],Table10[[COUNTRY NAME]:[CONTINENT CODE]],3,FALSE)</f>
        <v>SA</v>
      </c>
      <c r="G760" s="312" t="s">
        <v>13377</v>
      </c>
      <c r="H760" s="309">
        <v>1054</v>
      </c>
      <c r="I760" s="310">
        <v>4.5</v>
      </c>
      <c r="J760" s="307">
        <v>143635905</v>
      </c>
      <c r="K760" s="307">
        <f>IFERROR(Table24[[#This Row],[ROUTE COST]]/Table24[[#This Row],[O - DEMAND]],0)</f>
        <v>36773.145161290326</v>
      </c>
      <c r="L760" s="306">
        <v>3906</v>
      </c>
      <c r="M760" s="310">
        <f>Table24[[#This Row],[O - DEMAND]]/950</f>
        <v>4.1115789473684208</v>
      </c>
      <c r="N760" s="306">
        <f>IFERROR(VLOOKUP(Table24[[#This Row],[ROUTE]],DEMAND!A:F,5,FALSE),0)</f>
        <v>4128</v>
      </c>
      <c r="O760" s="306">
        <f>IFERROR(VLOOKUP(Table24[[#This Row],[ROUTE]],DEMAND!A:F,6,FALSE),0)</f>
        <v>328</v>
      </c>
      <c r="P760" s="306">
        <f>ROUNDDOWN(Table24[[#This Row],[R-DEMAND]]/950,0)</f>
        <v>0</v>
      </c>
      <c r="Q760" s="306">
        <f>Table24[[#This Row],[ADD ACC
(475/950)]]*Table24[[#This Row],[Duration
(A359)]]</f>
        <v>0</v>
      </c>
      <c r="R760" s="307">
        <f>IFERROR(VLOOKUP(Table24[[#This Row],[ROUTE]],PRICING!A:B,2,FALSE),0)</f>
        <v>370</v>
      </c>
      <c r="S760" s="308">
        <f>Table24[[#This Row],[C_DEMAND]]-Table24[[#This Row],[R-DEMAND]]</f>
        <v>3800</v>
      </c>
      <c r="T760" s="307">
        <f>Table24[[#This Row],[SEATS SOLD]]*Table24[[#This Row],[ECO SEAT]]</f>
        <v>1406000</v>
      </c>
      <c r="U760" s="307">
        <f>Table24[[#This Row],[SEATS SOLD]]*(IFERROR(VLOOKUP(Table24[[#This Row],[ROUTE]],PRICING!A:C,3,FALSE),0))</f>
        <v>1694800</v>
      </c>
      <c r="V760" s="307">
        <f>Table24[[#This Row],[SEAT REV]]-Table24[[#This Row],[SEAT REV
(IF IDEAL $)]]</f>
        <v>-288800</v>
      </c>
    </row>
    <row r="761" spans="1:22" customFormat="1" x14ac:dyDescent="0.25">
      <c r="A761" s="306" t="s">
        <v>17805</v>
      </c>
      <c r="B761" s="306" t="s">
        <v>3891</v>
      </c>
      <c r="C761" s="306" t="s">
        <v>2</v>
      </c>
      <c r="D761" s="26">
        <v>2</v>
      </c>
      <c r="E761" s="312" t="s">
        <v>13119</v>
      </c>
      <c r="F761" s="306" t="str">
        <f>VLOOKUP(Table24[[#This Row],[Country]],Table10[[COUNTRY NAME]:[CONTINENT CODE]],3,FALSE)</f>
        <v>NA</v>
      </c>
      <c r="G761" s="312" t="s">
        <v>13145</v>
      </c>
      <c r="H761" s="309">
        <v>1104</v>
      </c>
      <c r="I761" s="310">
        <v>4.5</v>
      </c>
      <c r="J761" s="307">
        <v>115747825</v>
      </c>
      <c r="K761" s="307">
        <f>IFERROR(Table24[[#This Row],[ROUTE COST]]/Table24[[#This Row],[O - DEMAND]],0)</f>
        <v>54908.83538899431</v>
      </c>
      <c r="L761" s="306">
        <v>2108</v>
      </c>
      <c r="M761" s="310">
        <f>Table24[[#This Row],[O - DEMAND]]/950</f>
        <v>2.2189473684210528</v>
      </c>
      <c r="N761" s="306">
        <f>IFERROR(VLOOKUP(Table24[[#This Row],[ROUTE]],DEMAND!A:F,5,FALSE),0)</f>
        <v>2229</v>
      </c>
      <c r="O761" s="306">
        <f>IFERROR(VLOOKUP(Table24[[#This Row],[ROUTE]],DEMAND!A:F,6,FALSE),0)</f>
        <v>329</v>
      </c>
      <c r="P761" s="306">
        <f>ROUNDDOWN(Table24[[#This Row],[R-DEMAND]]/950,0)</f>
        <v>0</v>
      </c>
      <c r="Q761" s="306">
        <f>Table24[[#This Row],[ADD ACC
(475/950)]]*Table24[[#This Row],[Duration
(A359)]]</f>
        <v>0</v>
      </c>
      <c r="R761" s="307">
        <f>IFERROR(VLOOKUP(Table24[[#This Row],[ROUTE]],PRICING!A:B,2,FALSE),0)</f>
        <v>383</v>
      </c>
      <c r="S761" s="308">
        <f>Table24[[#This Row],[C_DEMAND]]-Table24[[#This Row],[R-DEMAND]]</f>
        <v>1900</v>
      </c>
      <c r="T761" s="307">
        <f>Table24[[#This Row],[SEATS SOLD]]*Table24[[#This Row],[ECO SEAT]]</f>
        <v>727700</v>
      </c>
      <c r="U761" s="307">
        <f>Table24[[#This Row],[SEATS SOLD]]*(IFERROR(VLOOKUP(Table24[[#This Row],[ROUTE]],PRICING!A:C,3,FALSE),0))</f>
        <v>877800</v>
      </c>
      <c r="V761" s="307">
        <f>Table24[[#This Row],[SEAT REV]]-Table24[[#This Row],[SEAT REV
(IF IDEAL $)]]</f>
        <v>-150100</v>
      </c>
    </row>
    <row r="762" spans="1:22" customFormat="1" x14ac:dyDescent="0.25">
      <c r="A762" s="306" t="s">
        <v>17566</v>
      </c>
      <c r="B762" s="306" t="s">
        <v>5234</v>
      </c>
      <c r="C762" s="306" t="s">
        <v>2</v>
      </c>
      <c r="D762" s="26">
        <v>3</v>
      </c>
      <c r="E762" s="312" t="s">
        <v>605</v>
      </c>
      <c r="F762" s="306" t="str">
        <f>VLOOKUP(Table24[[#This Row],[Country]],Table10[[COUNTRY NAME]:[CONTINENT CODE]],3,FALSE)</f>
        <v>EU</v>
      </c>
      <c r="G762" s="312" t="s">
        <v>11779</v>
      </c>
      <c r="H762" s="309">
        <v>7833</v>
      </c>
      <c r="I762" s="310">
        <v>19.25</v>
      </c>
      <c r="J762" s="307">
        <v>201390908</v>
      </c>
      <c r="K762" s="307">
        <f>IFERROR(Table24[[#This Row],[ROUTE COST]]/Table24[[#This Row],[O - DEMAND]],0)</f>
        <v>67354.818729096995</v>
      </c>
      <c r="L762" s="306">
        <v>2990</v>
      </c>
      <c r="M762" s="310">
        <f>Table24[[#This Row],[O - DEMAND]]/950</f>
        <v>3.1473684210526316</v>
      </c>
      <c r="N762" s="306">
        <f>IFERROR(VLOOKUP(Table24[[#This Row],[ROUTE]],DEMAND!A:F,5,FALSE),0)</f>
        <v>3180</v>
      </c>
      <c r="O762" s="306">
        <f>IFERROR(VLOOKUP(Table24[[#This Row],[ROUTE]],DEMAND!A:F,6,FALSE),0)</f>
        <v>330</v>
      </c>
      <c r="P762" s="306">
        <f>ROUNDDOWN(Table24[[#This Row],[R-DEMAND]]/950,0)</f>
        <v>0</v>
      </c>
      <c r="Q762" s="306">
        <f>Table24[[#This Row],[ADD ACC
(475/950)]]*Table24[[#This Row],[Duration
(A359)]]</f>
        <v>0</v>
      </c>
      <c r="R762" s="307">
        <f>IFERROR(VLOOKUP(Table24[[#This Row],[ROUTE]],PRICING!A:B,2,FALSE),0)</f>
        <v>2063</v>
      </c>
      <c r="S762" s="308">
        <f>Table24[[#This Row],[C_DEMAND]]-Table24[[#This Row],[R-DEMAND]]</f>
        <v>2850</v>
      </c>
      <c r="T762" s="307">
        <f>Table24[[#This Row],[SEATS SOLD]]*Table24[[#This Row],[ECO SEAT]]</f>
        <v>5879550</v>
      </c>
      <c r="U762" s="307">
        <f>Table24[[#This Row],[SEATS SOLD]]*(IFERROR(VLOOKUP(Table24[[#This Row],[ROUTE]],PRICING!A:C,3,FALSE),0))</f>
        <v>7261800</v>
      </c>
      <c r="V762" s="307">
        <f>Table24[[#This Row],[SEAT REV]]-Table24[[#This Row],[SEAT REV
(IF IDEAL $)]]</f>
        <v>-1382250</v>
      </c>
    </row>
    <row r="763" spans="1:22" customFormat="1" x14ac:dyDescent="0.25">
      <c r="A763" s="306" t="s">
        <v>18022</v>
      </c>
      <c r="B763" s="306" t="s">
        <v>2671</v>
      </c>
      <c r="C763" s="306" t="s">
        <v>2</v>
      </c>
      <c r="D763" s="26">
        <v>2</v>
      </c>
      <c r="E763" s="312" t="s">
        <v>11669</v>
      </c>
      <c r="F763" s="306" t="str">
        <f>VLOOKUP(Table24[[#This Row],[Country]],Table10[[COUNTRY NAME]:[CONTINENT CODE]],3,FALSE)</f>
        <v>SA</v>
      </c>
      <c r="G763" s="312" t="s">
        <v>13141</v>
      </c>
      <c r="H763" s="309">
        <v>5855</v>
      </c>
      <c r="I763" s="310">
        <v>15</v>
      </c>
      <c r="J763" s="307">
        <v>155903988</v>
      </c>
      <c r="K763" s="307">
        <f>IFERROR(Table24[[#This Row],[ROUTE COST]]/Table24[[#This Row],[O - DEMAND]],0)</f>
        <v>72682.511888111883</v>
      </c>
      <c r="L763" s="306">
        <v>2145</v>
      </c>
      <c r="M763" s="310">
        <f>Table24[[#This Row],[O - DEMAND]]/950</f>
        <v>2.2578947368421054</v>
      </c>
      <c r="N763" s="306">
        <f>IFERROR(VLOOKUP(Table24[[#This Row],[ROUTE]],DEMAND!A:F,5,FALSE),0)</f>
        <v>2231</v>
      </c>
      <c r="O763" s="306">
        <f>IFERROR(VLOOKUP(Table24[[#This Row],[ROUTE]],DEMAND!A:F,6,FALSE),0)</f>
        <v>331</v>
      </c>
      <c r="P763" s="306">
        <f>ROUNDDOWN(Table24[[#This Row],[R-DEMAND]]/950,0)</f>
        <v>0</v>
      </c>
      <c r="Q763" s="306">
        <f>Table24[[#This Row],[ADD ACC
(475/950)]]*Table24[[#This Row],[Duration
(A359)]]</f>
        <v>0</v>
      </c>
      <c r="R763" s="307">
        <f>IFERROR(VLOOKUP(Table24[[#This Row],[ROUTE]],PRICING!A:B,2,FALSE),0)</f>
        <v>1702</v>
      </c>
      <c r="S763" s="308">
        <f>Table24[[#This Row],[C_DEMAND]]-Table24[[#This Row],[R-DEMAND]]</f>
        <v>1900</v>
      </c>
      <c r="T763" s="307">
        <f>Table24[[#This Row],[SEATS SOLD]]*Table24[[#This Row],[ECO SEAT]]</f>
        <v>3233800</v>
      </c>
      <c r="U763" s="307">
        <f>Table24[[#This Row],[SEATS SOLD]]*(IFERROR(VLOOKUP(Table24[[#This Row],[ROUTE]],PRICING!A:C,3,FALSE),0))</f>
        <v>3676500</v>
      </c>
      <c r="V763" s="307">
        <f>Table24[[#This Row],[SEAT REV]]-Table24[[#This Row],[SEAT REV
(IF IDEAL $)]]</f>
        <v>-442700</v>
      </c>
    </row>
    <row r="764" spans="1:22" customFormat="1" x14ac:dyDescent="0.25">
      <c r="A764" s="306" t="s">
        <v>17222</v>
      </c>
      <c r="B764" s="306" t="s">
        <v>5489</v>
      </c>
      <c r="C764" s="306" t="s">
        <v>2</v>
      </c>
      <c r="D764" s="26">
        <v>4</v>
      </c>
      <c r="E764" s="312" t="s">
        <v>14</v>
      </c>
      <c r="F764" s="306" t="str">
        <f>VLOOKUP(Table24[[#This Row],[Country]],Table10[[COUNTRY NAME]:[CONTINENT CODE]],3,FALSE)</f>
        <v>AS</v>
      </c>
      <c r="G764" s="312" t="s">
        <v>11098</v>
      </c>
      <c r="H764" s="309">
        <v>14079</v>
      </c>
      <c r="I764" s="310">
        <v>33</v>
      </c>
      <c r="J764" s="307">
        <v>270489454</v>
      </c>
      <c r="K764" s="307">
        <f>IFERROR(Table24[[#This Row],[ROUTE COST]]/Table24[[#This Row],[O - DEMAND]],0)</f>
        <v>90103.082611592268</v>
      </c>
      <c r="L764" s="306">
        <v>3002</v>
      </c>
      <c r="M764" s="310">
        <f>Table24[[#This Row],[O - DEMAND]]/950</f>
        <v>3.16</v>
      </c>
      <c r="N764" s="306">
        <f>IFERROR(VLOOKUP(Table24[[#This Row],[ROUTE]],DEMAND!A:F,5,FALSE),0)</f>
        <v>3192</v>
      </c>
      <c r="O764" s="306">
        <f>IFERROR(VLOOKUP(Table24[[#This Row],[ROUTE]],DEMAND!A:F,6,FALSE),0)</f>
        <v>342</v>
      </c>
      <c r="P764" s="306">
        <f>ROUNDDOWN(Table24[[#This Row],[R-DEMAND]]/950,0)</f>
        <v>0</v>
      </c>
      <c r="Q764" s="306">
        <f>Table24[[#This Row],[ADD ACC
(475/950)]]*Table24[[#This Row],[Duration
(A359)]]</f>
        <v>0</v>
      </c>
      <c r="R764" s="307">
        <f>IFERROR(VLOOKUP(Table24[[#This Row],[ROUTE]],PRICING!A:B,2,FALSE),0)</f>
        <v>3632</v>
      </c>
      <c r="S764" s="308">
        <f>Table24[[#This Row],[C_DEMAND]]-Table24[[#This Row],[R-DEMAND]]</f>
        <v>2850</v>
      </c>
      <c r="T764" s="307">
        <f>Table24[[#This Row],[SEATS SOLD]]*Table24[[#This Row],[ECO SEAT]]</f>
        <v>10351200</v>
      </c>
      <c r="U764" s="307">
        <f>Table24[[#This Row],[SEATS SOLD]]*(IFERROR(VLOOKUP(Table24[[#This Row],[ROUTE]],PRICING!A:C,3,FALSE),0))</f>
        <v>12779400</v>
      </c>
      <c r="V764" s="307">
        <f>Table24[[#This Row],[SEAT REV]]-Table24[[#This Row],[SEAT REV
(IF IDEAL $)]]</f>
        <v>-2428200</v>
      </c>
    </row>
    <row r="765" spans="1:22" customFormat="1" x14ac:dyDescent="0.25">
      <c r="A765" s="306" t="s">
        <v>17278</v>
      </c>
      <c r="B765" s="306" t="s">
        <v>42</v>
      </c>
      <c r="C765" s="306" t="s">
        <v>2</v>
      </c>
      <c r="D765" s="26">
        <v>3</v>
      </c>
      <c r="E765" s="312" t="s">
        <v>14</v>
      </c>
      <c r="F765" s="306" t="str">
        <f>VLOOKUP(Table24[[#This Row],[Country]],Table10[[COUNTRY NAME]:[CONTINENT CODE]],3,FALSE)</f>
        <v>AS</v>
      </c>
      <c r="G765" s="312" t="s">
        <v>12023</v>
      </c>
      <c r="H765" s="309">
        <v>13524</v>
      </c>
      <c r="I765" s="310">
        <v>31.75</v>
      </c>
      <c r="J765" s="307">
        <v>262258432</v>
      </c>
      <c r="K765" s="307">
        <f>IFERROR(Table24[[#This Row],[ROUTE COST]]/Table24[[#This Row],[O - DEMAND]],0)</f>
        <v>66461.842878864671</v>
      </c>
      <c r="L765" s="306">
        <v>3946</v>
      </c>
      <c r="M765" s="310">
        <f>Table24[[#This Row],[O - DEMAND]]/950</f>
        <v>4.1536842105263156</v>
      </c>
      <c r="N765" s="306">
        <f>IFERROR(VLOOKUP(Table24[[#This Row],[ROUTE]],DEMAND!A:F,5,FALSE),0)</f>
        <v>4143</v>
      </c>
      <c r="O765" s="306">
        <f>IFERROR(VLOOKUP(Table24[[#This Row],[ROUTE]],DEMAND!A:F,6,FALSE),0)</f>
        <v>343</v>
      </c>
      <c r="P765" s="306">
        <f>ROUNDDOWN(Table24[[#This Row],[R-DEMAND]]/950,0)</f>
        <v>0</v>
      </c>
      <c r="Q765" s="306">
        <f>Table24[[#This Row],[ADD ACC
(475/950)]]*Table24[[#This Row],[Duration
(A359)]]</f>
        <v>0</v>
      </c>
      <c r="R765" s="307">
        <f>IFERROR(VLOOKUP(Table24[[#This Row],[ROUTE]],PRICING!A:B,2,FALSE),0)</f>
        <v>3665</v>
      </c>
      <c r="S765" s="308">
        <f>Table24[[#This Row],[C_DEMAND]]-Table24[[#This Row],[R-DEMAND]]</f>
        <v>3800</v>
      </c>
      <c r="T765" s="307">
        <f>Table24[[#This Row],[SEATS SOLD]]*Table24[[#This Row],[ECO SEAT]]</f>
        <v>13927000</v>
      </c>
      <c r="U765" s="307">
        <f>Table24[[#This Row],[SEATS SOLD]]*(IFERROR(VLOOKUP(Table24[[#This Row],[ROUTE]],PRICING!A:C,3,FALSE),0))</f>
        <v>16385600</v>
      </c>
      <c r="V765" s="307">
        <f>Table24[[#This Row],[SEAT REV]]-Table24[[#This Row],[SEAT REV
(IF IDEAL $)]]</f>
        <v>-2458600</v>
      </c>
    </row>
    <row r="766" spans="1:22" customFormat="1" x14ac:dyDescent="0.25">
      <c r="A766" s="306" t="s">
        <v>17198</v>
      </c>
      <c r="B766" s="306" t="s">
        <v>47</v>
      </c>
      <c r="C766" s="306" t="s">
        <v>2</v>
      </c>
      <c r="D766" s="26">
        <v>5</v>
      </c>
      <c r="E766" s="312" t="s">
        <v>46</v>
      </c>
      <c r="F766" s="306" t="str">
        <f>VLOOKUP(Table24[[#This Row],[Country]],Table10[[COUNTRY NAME]:[CONTINENT CODE]],3,FALSE)</f>
        <v>AS</v>
      </c>
      <c r="G766" s="312" t="s">
        <v>45</v>
      </c>
      <c r="H766" s="309">
        <v>14948</v>
      </c>
      <c r="I766" s="310">
        <v>35</v>
      </c>
      <c r="J766" s="307">
        <v>297412244</v>
      </c>
      <c r="K766" s="307">
        <f>IFERROR(Table24[[#This Row],[ROUTE COST]]/Table24[[#This Row],[O - DEMAND]],0)</f>
        <v>97448.310615989511</v>
      </c>
      <c r="L766" s="306">
        <v>3052</v>
      </c>
      <c r="M766" s="310">
        <f>Table24[[#This Row],[O - DEMAND]]/950</f>
        <v>3.2126315789473683</v>
      </c>
      <c r="N766" s="306">
        <f>IFERROR(VLOOKUP(Table24[[#This Row],[ROUTE]],DEMAND!A:F,5,FALSE),0)</f>
        <v>3194</v>
      </c>
      <c r="O766" s="306">
        <f>IFERROR(VLOOKUP(Table24[[#This Row],[ROUTE]],DEMAND!A:F,6,FALSE),0)</f>
        <v>344</v>
      </c>
      <c r="P766" s="306">
        <f>ROUNDDOWN(Table24[[#This Row],[R-DEMAND]]/950,0)</f>
        <v>0</v>
      </c>
      <c r="Q766" s="306">
        <f>Table24[[#This Row],[ADD ACC
(475/950)]]*Table24[[#This Row],[Duration
(A359)]]</f>
        <v>0</v>
      </c>
      <c r="R766" s="307">
        <f>IFERROR(VLOOKUP(Table24[[#This Row],[ROUTE]],PRICING!A:B,2,FALSE),0)</f>
        <v>4087</v>
      </c>
      <c r="S766" s="308">
        <f>Table24[[#This Row],[C_DEMAND]]-Table24[[#This Row],[R-DEMAND]]</f>
        <v>2850</v>
      </c>
      <c r="T766" s="307">
        <f>Table24[[#This Row],[SEATS SOLD]]*Table24[[#This Row],[ECO SEAT]]</f>
        <v>11647950</v>
      </c>
      <c r="U766" s="307">
        <f>Table24[[#This Row],[SEATS SOLD]]*(IFERROR(VLOOKUP(Table24[[#This Row],[ROUTE]],PRICING!A:C,3,FALSE),0))</f>
        <v>13546050</v>
      </c>
      <c r="V766" s="307">
        <f>Table24[[#This Row],[SEAT REV]]-Table24[[#This Row],[SEAT REV
(IF IDEAL $)]]</f>
        <v>-1898100</v>
      </c>
    </row>
    <row r="767" spans="1:22" customFormat="1" x14ac:dyDescent="0.25">
      <c r="A767" s="306" t="s">
        <v>17586</v>
      </c>
      <c r="B767" s="306" t="s">
        <v>4789</v>
      </c>
      <c r="C767" s="306" t="s">
        <v>2</v>
      </c>
      <c r="D767" s="26">
        <v>3</v>
      </c>
      <c r="E767" s="312" t="s">
        <v>119</v>
      </c>
      <c r="F767" s="306" t="str">
        <f>VLOOKUP(Table24[[#This Row],[Country]],Table10[[COUNTRY NAME]:[CONTINENT CODE]],3,FALSE)</f>
        <v>EU</v>
      </c>
      <c r="G767" s="312" t="s">
        <v>11691</v>
      </c>
      <c r="H767" s="309">
        <v>6898</v>
      </c>
      <c r="I767" s="310">
        <v>17.25</v>
      </c>
      <c r="J767" s="307">
        <v>183615064</v>
      </c>
      <c r="K767" s="307">
        <f>IFERROR(Table24[[#This Row],[ROUTE COST]]/Table24[[#This Row],[O - DEMAND]],0)</f>
        <v>84381.92279411765</v>
      </c>
      <c r="L767" s="306">
        <v>2176</v>
      </c>
      <c r="M767" s="310">
        <f>Table24[[#This Row],[O - DEMAND]]/950</f>
        <v>2.2905263157894735</v>
      </c>
      <c r="N767" s="306">
        <f>IFERROR(VLOOKUP(Table24[[#This Row],[ROUTE]],DEMAND!A:F,5,FALSE),0)</f>
        <v>2249</v>
      </c>
      <c r="O767" s="306">
        <f>IFERROR(VLOOKUP(Table24[[#This Row],[ROUTE]],DEMAND!A:F,6,FALSE),0)</f>
        <v>349</v>
      </c>
      <c r="P767" s="306">
        <f>ROUNDDOWN(Table24[[#This Row],[R-DEMAND]]/950,0)</f>
        <v>0</v>
      </c>
      <c r="Q767" s="306">
        <f>Table24[[#This Row],[ADD ACC
(475/950)]]*Table24[[#This Row],[Duration
(A359)]]</f>
        <v>0</v>
      </c>
      <c r="R767" s="307">
        <f>IFERROR(VLOOKUP(Table24[[#This Row],[ROUTE]],PRICING!A:B,2,FALSE),0)</f>
        <v>2032</v>
      </c>
      <c r="S767" s="308">
        <f>Table24[[#This Row],[C_DEMAND]]-Table24[[#This Row],[R-DEMAND]]</f>
        <v>1900</v>
      </c>
      <c r="T767" s="307">
        <f>Table24[[#This Row],[SEATS SOLD]]*Table24[[#This Row],[ECO SEAT]]</f>
        <v>3860800</v>
      </c>
      <c r="U767" s="307">
        <f>Table24[[#This Row],[SEATS SOLD]]*(IFERROR(VLOOKUP(Table24[[#This Row],[ROUTE]],PRICING!A:C,3,FALSE),0))</f>
        <v>4290200</v>
      </c>
      <c r="V767" s="307">
        <f>Table24[[#This Row],[SEAT REV]]-Table24[[#This Row],[SEAT REV
(IF IDEAL $)]]</f>
        <v>-429400</v>
      </c>
    </row>
    <row r="768" spans="1:22" customFormat="1" x14ac:dyDescent="0.25">
      <c r="A768" s="306" t="s">
        <v>18081</v>
      </c>
      <c r="B768" s="306" t="s">
        <v>3442</v>
      </c>
      <c r="C768" s="306" t="s">
        <v>2</v>
      </c>
      <c r="D768" s="26">
        <v>2</v>
      </c>
      <c r="E768" s="312" t="s">
        <v>714</v>
      </c>
      <c r="F768" s="306" t="str">
        <f>VLOOKUP(Table24[[#This Row],[Country]],Table10[[COUNTRY NAME]:[CONTINENT CODE]],3,FALSE)</f>
        <v>SA</v>
      </c>
      <c r="G768" s="312" t="s">
        <v>13235</v>
      </c>
      <c r="H768" s="309">
        <v>3058</v>
      </c>
      <c r="I768" s="310">
        <v>8.75</v>
      </c>
      <c r="J768" s="307">
        <v>133113161</v>
      </c>
      <c r="K768" s="307">
        <f>IFERROR(Table24[[#This Row],[ROUTE COST]]/Table24[[#This Row],[O - DEMAND]],0)</f>
        <v>44371.053666666667</v>
      </c>
      <c r="L768" s="306">
        <v>3000</v>
      </c>
      <c r="M768" s="310">
        <f>Table24[[#This Row],[O - DEMAND]]/950</f>
        <v>3.1578947368421053</v>
      </c>
      <c r="N768" s="306">
        <f>IFERROR(VLOOKUP(Table24[[#This Row],[ROUTE]],DEMAND!A:F,5,FALSE),0)</f>
        <v>3200</v>
      </c>
      <c r="O768" s="306">
        <f>IFERROR(VLOOKUP(Table24[[#This Row],[ROUTE]],DEMAND!A:F,6,FALSE),0)</f>
        <v>350</v>
      </c>
      <c r="P768" s="306">
        <f>ROUNDDOWN(Table24[[#This Row],[R-DEMAND]]/950,0)</f>
        <v>0</v>
      </c>
      <c r="Q768" s="306">
        <f>Table24[[#This Row],[ADD ACC
(475/950)]]*Table24[[#This Row],[Duration
(A359)]]</f>
        <v>0</v>
      </c>
      <c r="R768" s="307">
        <f>IFERROR(VLOOKUP(Table24[[#This Row],[ROUTE]],PRICING!A:B,2,FALSE),0)</f>
        <v>853</v>
      </c>
      <c r="S768" s="308">
        <f>Table24[[#This Row],[C_DEMAND]]-Table24[[#This Row],[R-DEMAND]]</f>
        <v>2850</v>
      </c>
      <c r="T768" s="307">
        <f>Table24[[#This Row],[SEATS SOLD]]*Table24[[#This Row],[ECO SEAT]]</f>
        <v>2431050</v>
      </c>
      <c r="U768" s="307">
        <f>Table24[[#This Row],[SEATS SOLD]]*(IFERROR(VLOOKUP(Table24[[#This Row],[ROUTE]],PRICING!A:C,3,FALSE),0))</f>
        <v>3040950</v>
      </c>
      <c r="V768" s="307">
        <f>Table24[[#This Row],[SEAT REV]]-Table24[[#This Row],[SEAT REV
(IF IDEAL $)]]</f>
        <v>-609900</v>
      </c>
    </row>
    <row r="769" spans="1:22" customFormat="1" x14ac:dyDescent="0.25">
      <c r="A769" s="306" t="s">
        <v>17075</v>
      </c>
      <c r="B769" s="306" t="s">
        <v>3799</v>
      </c>
      <c r="C769" s="306" t="s">
        <v>2</v>
      </c>
      <c r="D769" s="26">
        <v>2</v>
      </c>
      <c r="E769" s="312" t="s">
        <v>608</v>
      </c>
      <c r="F769" s="306" t="str">
        <f>VLOOKUP(Table24[[#This Row],[Country]],Table10[[COUNTRY NAME]:[CONTINENT CODE]],3,FALSE)</f>
        <v>AF</v>
      </c>
      <c r="G769" s="312" t="s">
        <v>11678</v>
      </c>
      <c r="H769" s="309">
        <v>6647</v>
      </c>
      <c r="I769" s="310">
        <v>16.75</v>
      </c>
      <c r="J769" s="307">
        <v>170899118</v>
      </c>
      <c r="K769" s="307">
        <f>IFERROR(Table24[[#This Row],[ROUTE COST]]/Table24[[#This Row],[O - DEMAND]],0)</f>
        <v>56253.824226464778</v>
      </c>
      <c r="L769" s="306">
        <v>3038</v>
      </c>
      <c r="M769" s="310">
        <f>Table24[[#This Row],[O - DEMAND]]/950</f>
        <v>3.1978947368421053</v>
      </c>
      <c r="N769" s="306">
        <f>IFERROR(VLOOKUP(Table24[[#This Row],[ROUTE]],DEMAND!A:F,5,FALSE),0)</f>
        <v>3201</v>
      </c>
      <c r="O769" s="306">
        <f>IFERROR(VLOOKUP(Table24[[#This Row],[ROUTE]],DEMAND!A:F,6,FALSE),0)</f>
        <v>351</v>
      </c>
      <c r="P769" s="306">
        <f>ROUNDDOWN(Table24[[#This Row],[R-DEMAND]]/950,0)</f>
        <v>0</v>
      </c>
      <c r="Q769" s="306">
        <f>Table24[[#This Row],[ADD ACC
(475/950)]]*Table24[[#This Row],[Duration
(A359)]]</f>
        <v>0</v>
      </c>
      <c r="R769" s="307">
        <f>IFERROR(VLOOKUP(Table24[[#This Row],[ROUTE]],PRICING!A:B,2,FALSE),0)</f>
        <v>1831</v>
      </c>
      <c r="S769" s="308">
        <f>Table24[[#This Row],[C_DEMAND]]-Table24[[#This Row],[R-DEMAND]]</f>
        <v>2850</v>
      </c>
      <c r="T769" s="307">
        <f>Table24[[#This Row],[SEATS SOLD]]*Table24[[#This Row],[ECO SEAT]]</f>
        <v>5218350</v>
      </c>
      <c r="U769" s="307">
        <f>Table24[[#This Row],[SEATS SOLD]]*(IFERROR(VLOOKUP(Table24[[#This Row],[ROUTE]],PRICING!A:C,3,FALSE),0))</f>
        <v>6213000</v>
      </c>
      <c r="V769" s="307">
        <f>Table24[[#This Row],[SEAT REV]]-Table24[[#This Row],[SEAT REV
(IF IDEAL $)]]</f>
        <v>-994650</v>
      </c>
    </row>
    <row r="770" spans="1:22" customFormat="1" x14ac:dyDescent="0.25">
      <c r="A770" s="306" t="s">
        <v>18020</v>
      </c>
      <c r="B770" s="306" t="s">
        <v>2565</v>
      </c>
      <c r="C770" s="306" t="s">
        <v>2</v>
      </c>
      <c r="D770" s="26">
        <v>2</v>
      </c>
      <c r="E770" s="312" t="s">
        <v>11669</v>
      </c>
      <c r="F770" s="306" t="str">
        <f>VLOOKUP(Table24[[#This Row],[Country]],Table10[[COUNTRY NAME]:[CONTINENT CODE]],3,FALSE)</f>
        <v>SA</v>
      </c>
      <c r="G770" s="312" t="s">
        <v>16933</v>
      </c>
      <c r="H770" s="309">
        <v>6460</v>
      </c>
      <c r="I770" s="310">
        <v>16.25</v>
      </c>
      <c r="J770" s="307">
        <v>161627850</v>
      </c>
      <c r="K770" s="307">
        <f>IFERROR(Table24[[#This Row],[ROUTE COST]]/Table24[[#This Row],[O - DEMAND]],0)</f>
        <v>76095.974576271183</v>
      </c>
      <c r="L770" s="306">
        <v>2124</v>
      </c>
      <c r="M770" s="310">
        <f>Table24[[#This Row],[O - DEMAND]]/950</f>
        <v>2.2357894736842105</v>
      </c>
      <c r="N770" s="306">
        <f>IFERROR(VLOOKUP(Table24[[#This Row],[ROUTE]],DEMAND!A:F,5,FALSE),0)</f>
        <v>2259</v>
      </c>
      <c r="O770" s="306">
        <f>IFERROR(VLOOKUP(Table24[[#This Row],[ROUTE]],DEMAND!A:F,6,FALSE),0)</f>
        <v>359</v>
      </c>
      <c r="P770" s="306">
        <f>ROUNDDOWN(Table24[[#This Row],[R-DEMAND]]/950,0)</f>
        <v>0</v>
      </c>
      <c r="Q770" s="306">
        <f>Table24[[#This Row],[ADD ACC
(475/950)]]*Table24[[#This Row],[Duration
(A359)]]</f>
        <v>0</v>
      </c>
      <c r="R770" s="307">
        <f>IFERROR(VLOOKUP(Table24[[#This Row],[ROUTE]],PRICING!A:B,2,FALSE),0)</f>
        <v>1718</v>
      </c>
      <c r="S770" s="308">
        <f>Table24[[#This Row],[C_DEMAND]]-Table24[[#This Row],[R-DEMAND]]</f>
        <v>1900</v>
      </c>
      <c r="T770" s="307">
        <f>Table24[[#This Row],[SEATS SOLD]]*Table24[[#This Row],[ECO SEAT]]</f>
        <v>3264200</v>
      </c>
      <c r="U770" s="307">
        <f>Table24[[#This Row],[SEATS SOLD]]*(IFERROR(VLOOKUP(Table24[[#This Row],[ROUTE]],PRICING!A:C,3,FALSE),0))</f>
        <v>4031800</v>
      </c>
      <c r="V770" s="307">
        <f>Table24[[#This Row],[SEAT REV]]-Table24[[#This Row],[SEAT REV
(IF IDEAL $)]]</f>
        <v>-767600</v>
      </c>
    </row>
    <row r="771" spans="1:22" customFormat="1" x14ac:dyDescent="0.25">
      <c r="A771" s="306" t="s">
        <v>17271</v>
      </c>
      <c r="B771" s="306" t="s">
        <v>5187</v>
      </c>
      <c r="C771" s="306" t="s">
        <v>2</v>
      </c>
      <c r="D771" s="26">
        <v>3</v>
      </c>
      <c r="E771" s="312" t="s">
        <v>142</v>
      </c>
      <c r="F771" s="306" t="str">
        <f>VLOOKUP(Table24[[#This Row],[Country]],Table10[[COUNTRY NAME]:[CONTINENT CODE]],3,FALSE)</f>
        <v>AS</v>
      </c>
      <c r="G771" s="312" t="s">
        <v>12024</v>
      </c>
      <c r="H771" s="309">
        <v>13794</v>
      </c>
      <c r="I771" s="310">
        <v>32.5</v>
      </c>
      <c r="J771" s="307">
        <v>259545903</v>
      </c>
      <c r="K771" s="307">
        <f>IFERROR(Table24[[#This Row],[ROUTE COST]]/Table24[[#This Row],[O - DEMAND]],0)</f>
        <v>86199.237130521418</v>
      </c>
      <c r="L771" s="306">
        <v>3011</v>
      </c>
      <c r="M771" s="310">
        <f>Table24[[#This Row],[O - DEMAND]]/950</f>
        <v>3.1694736842105264</v>
      </c>
      <c r="N771" s="306">
        <f>IFERROR(VLOOKUP(Table24[[#This Row],[ROUTE]],DEMAND!A:F,5,FALSE),0)</f>
        <v>3212</v>
      </c>
      <c r="O771" s="306">
        <f>IFERROR(VLOOKUP(Table24[[#This Row],[ROUTE]],DEMAND!A:F,6,FALSE),0)</f>
        <v>362</v>
      </c>
      <c r="P771" s="306">
        <f>ROUNDDOWN(Table24[[#This Row],[R-DEMAND]]/950,0)</f>
        <v>0</v>
      </c>
      <c r="Q771" s="306">
        <f>Table24[[#This Row],[ADD ACC
(475/950)]]*Table24[[#This Row],[Duration
(A359)]]</f>
        <v>0</v>
      </c>
      <c r="R771" s="307">
        <f>IFERROR(VLOOKUP(Table24[[#This Row],[ROUTE]],PRICING!A:B,2,FALSE),0)</f>
        <v>3516</v>
      </c>
      <c r="S771" s="308">
        <f>Table24[[#This Row],[C_DEMAND]]-Table24[[#This Row],[R-DEMAND]]</f>
        <v>2850</v>
      </c>
      <c r="T771" s="307">
        <f>Table24[[#This Row],[SEATS SOLD]]*Table24[[#This Row],[ECO SEAT]]</f>
        <v>10020600</v>
      </c>
      <c r="U771" s="307">
        <f>Table24[[#This Row],[SEATS SOLD]]*(IFERROR(VLOOKUP(Table24[[#This Row],[ROUTE]],PRICING!A:C,3,FALSE),0))</f>
        <v>12528600</v>
      </c>
      <c r="V771" s="307">
        <f>Table24[[#This Row],[SEAT REV]]-Table24[[#This Row],[SEAT REV
(IF IDEAL $)]]</f>
        <v>-2508000</v>
      </c>
    </row>
    <row r="772" spans="1:22" customFormat="1" x14ac:dyDescent="0.25">
      <c r="A772" s="306" t="s">
        <v>17237</v>
      </c>
      <c r="B772" s="306" t="s">
        <v>349</v>
      </c>
      <c r="C772" s="306" t="s">
        <v>2</v>
      </c>
      <c r="D772" s="26">
        <v>4</v>
      </c>
      <c r="E772" s="312" t="s">
        <v>142</v>
      </c>
      <c r="F772" s="306" t="str">
        <f>VLOOKUP(Table24[[#This Row],[Country]],Table10[[COUNTRY NAME]:[CONTINENT CODE]],3,FALSE)</f>
        <v>AS</v>
      </c>
      <c r="G772" s="312" t="s">
        <v>11093</v>
      </c>
      <c r="H772" s="309">
        <v>12360</v>
      </c>
      <c r="I772" s="310">
        <v>29.25</v>
      </c>
      <c r="J772" s="307">
        <v>266497694</v>
      </c>
      <c r="K772" s="307">
        <f>IFERROR(Table24[[#This Row],[ROUTE COST]]/Table24[[#This Row],[O - DEMAND]],0)</f>
        <v>68245.248143405886</v>
      </c>
      <c r="L772" s="306">
        <v>3905</v>
      </c>
      <c r="M772" s="310">
        <f>Table24[[#This Row],[O - DEMAND]]/950</f>
        <v>4.1105263157894738</v>
      </c>
      <c r="N772" s="306">
        <f>IFERROR(VLOOKUP(Table24[[#This Row],[ROUTE]],DEMAND!A:F,5,FALSE),0)</f>
        <v>4165</v>
      </c>
      <c r="O772" s="306">
        <f>IFERROR(VLOOKUP(Table24[[#This Row],[ROUTE]],DEMAND!A:F,6,FALSE),0)</f>
        <v>365</v>
      </c>
      <c r="P772" s="306">
        <f>ROUNDDOWN(Table24[[#This Row],[R-DEMAND]]/950,0)</f>
        <v>0</v>
      </c>
      <c r="Q772" s="306">
        <f>Table24[[#This Row],[ADD ACC
(475/950)]]*Table24[[#This Row],[Duration
(A359)]]</f>
        <v>0</v>
      </c>
      <c r="R772" s="307">
        <f>IFERROR(VLOOKUP(Table24[[#This Row],[ROUTE]],PRICING!A:B,2,FALSE),0)</f>
        <v>3160</v>
      </c>
      <c r="S772" s="308">
        <f>Table24[[#This Row],[C_DEMAND]]-Table24[[#This Row],[R-DEMAND]]</f>
        <v>3800</v>
      </c>
      <c r="T772" s="307">
        <f>Table24[[#This Row],[SEATS SOLD]]*Table24[[#This Row],[ECO SEAT]]</f>
        <v>12008000</v>
      </c>
      <c r="U772" s="307">
        <f>Table24[[#This Row],[SEATS SOLD]]*(IFERROR(VLOOKUP(Table24[[#This Row],[ROUTE]],PRICING!A:C,3,FALSE),0))</f>
        <v>15013800</v>
      </c>
      <c r="V772" s="307">
        <f>Table24[[#This Row],[SEAT REV]]-Table24[[#This Row],[SEAT REV
(IF IDEAL $)]]</f>
        <v>-3005800</v>
      </c>
    </row>
    <row r="773" spans="1:22" customFormat="1" x14ac:dyDescent="0.25">
      <c r="A773" s="306" t="s">
        <v>17263</v>
      </c>
      <c r="B773" s="306" t="s">
        <v>4841</v>
      </c>
      <c r="C773" s="306" t="s">
        <v>2</v>
      </c>
      <c r="D773" s="26">
        <v>3</v>
      </c>
      <c r="E773" s="312" t="s">
        <v>1070</v>
      </c>
      <c r="F773" s="306" t="str">
        <f>VLOOKUP(Table24[[#This Row],[Country]],Table10[[COUNTRY NAME]:[CONTINENT CODE]],3,FALSE)</f>
        <v>AS</v>
      </c>
      <c r="G773" s="312" t="s">
        <v>16824</v>
      </c>
      <c r="H773" s="309">
        <v>14206</v>
      </c>
      <c r="I773" s="310">
        <v>33.25</v>
      </c>
      <c r="J773" s="307">
        <v>257441063</v>
      </c>
      <c r="K773" s="307">
        <f>IFERROR(Table24[[#This Row],[ROUTE COST]]/Table24[[#This Row],[O - DEMAND]],0)</f>
        <v>83747.905985686404</v>
      </c>
      <c r="L773" s="306">
        <v>3074</v>
      </c>
      <c r="M773" s="310">
        <f>Table24[[#This Row],[O - DEMAND]]/950</f>
        <v>3.2357894736842105</v>
      </c>
      <c r="N773" s="306">
        <f>IFERROR(VLOOKUP(Table24[[#This Row],[ROUTE]],DEMAND!A:F,5,FALSE),0)</f>
        <v>3218</v>
      </c>
      <c r="O773" s="306">
        <f>IFERROR(VLOOKUP(Table24[[#This Row],[ROUTE]],DEMAND!A:F,6,FALSE),0)</f>
        <v>368</v>
      </c>
      <c r="P773" s="306">
        <f>ROUNDDOWN(Table24[[#This Row],[R-DEMAND]]/950,0)</f>
        <v>0</v>
      </c>
      <c r="Q773" s="306">
        <f>Table24[[#This Row],[ADD ACC
(475/950)]]*Table24[[#This Row],[Duration
(A359)]]</f>
        <v>0</v>
      </c>
      <c r="R773" s="307">
        <f>IFERROR(VLOOKUP(Table24[[#This Row],[ROUTE]],PRICING!A:B,2,FALSE),0)</f>
        <v>3889</v>
      </c>
      <c r="S773" s="308">
        <f>Table24[[#This Row],[C_DEMAND]]-Table24[[#This Row],[R-DEMAND]]</f>
        <v>2850</v>
      </c>
      <c r="T773" s="307">
        <f>Table24[[#This Row],[SEATS SOLD]]*Table24[[#This Row],[ECO SEAT]]</f>
        <v>11083650</v>
      </c>
      <c r="U773" s="307">
        <f>Table24[[#This Row],[SEATS SOLD]]*(IFERROR(VLOOKUP(Table24[[#This Row],[ROUTE]],PRICING!A:C,3,FALSE),0))</f>
        <v>12890550</v>
      </c>
      <c r="V773" s="307">
        <f>Table24[[#This Row],[SEAT REV]]-Table24[[#This Row],[SEAT REV
(IF IDEAL $)]]</f>
        <v>-1806900</v>
      </c>
    </row>
    <row r="774" spans="1:22" customFormat="1" x14ac:dyDescent="0.25">
      <c r="A774" s="306" t="s">
        <v>17743</v>
      </c>
      <c r="B774" s="306" t="s">
        <v>4766</v>
      </c>
      <c r="C774" s="306" t="s">
        <v>2</v>
      </c>
      <c r="D774" s="26">
        <v>3</v>
      </c>
      <c r="E774" s="312" t="s">
        <v>514</v>
      </c>
      <c r="F774" s="306" t="str">
        <f>VLOOKUP(Table24[[#This Row],[Country]],Table10[[COUNTRY NAME]:[CONTINENT CODE]],3,FALSE)</f>
        <v>NA</v>
      </c>
      <c r="G774" s="312" t="s">
        <v>16938</v>
      </c>
      <c r="H774" s="309">
        <v>5423</v>
      </c>
      <c r="I774" s="310">
        <v>14</v>
      </c>
      <c r="J774" s="307">
        <v>168597036</v>
      </c>
      <c r="K774" s="307">
        <f>IFERROR(Table24[[#This Row],[ROUTE COST]]/Table24[[#This Row],[O - DEMAND]],0)</f>
        <v>78490.240223463683</v>
      </c>
      <c r="L774" s="306">
        <v>2148</v>
      </c>
      <c r="M774" s="310">
        <f>Table24[[#This Row],[O - DEMAND]]/950</f>
        <v>2.2610526315789472</v>
      </c>
      <c r="N774" s="306">
        <f>IFERROR(VLOOKUP(Table24[[#This Row],[ROUTE]],DEMAND!A:F,5,FALSE),0)</f>
        <v>2270</v>
      </c>
      <c r="O774" s="306">
        <f>IFERROR(VLOOKUP(Table24[[#This Row],[ROUTE]],DEMAND!A:F,6,FALSE),0)</f>
        <v>370</v>
      </c>
      <c r="P774" s="306">
        <f>ROUNDDOWN(Table24[[#This Row],[R-DEMAND]]/950,0)</f>
        <v>0</v>
      </c>
      <c r="Q774" s="306">
        <f>Table24[[#This Row],[ADD ACC
(475/950)]]*Table24[[#This Row],[Duration
(A359)]]</f>
        <v>0</v>
      </c>
      <c r="R774" s="307">
        <f>IFERROR(VLOOKUP(Table24[[#This Row],[ROUTE]],PRICING!A:B,2,FALSE),0)</f>
        <v>1494</v>
      </c>
      <c r="S774" s="308">
        <f>Table24[[#This Row],[C_DEMAND]]-Table24[[#This Row],[R-DEMAND]]</f>
        <v>1900</v>
      </c>
      <c r="T774" s="307">
        <f>Table24[[#This Row],[SEATS SOLD]]*Table24[[#This Row],[ECO SEAT]]</f>
        <v>2838600</v>
      </c>
      <c r="U774" s="307">
        <f>Table24[[#This Row],[SEATS SOLD]]*(IFERROR(VLOOKUP(Table24[[#This Row],[ROUTE]],PRICING!A:C,3,FALSE),0))</f>
        <v>3421900</v>
      </c>
      <c r="V774" s="307">
        <f>Table24[[#This Row],[SEAT REV]]-Table24[[#This Row],[SEAT REV
(IF IDEAL $)]]</f>
        <v>-583300</v>
      </c>
    </row>
    <row r="775" spans="1:22" customFormat="1" x14ac:dyDescent="0.25">
      <c r="A775" s="306" t="s">
        <v>18043</v>
      </c>
      <c r="B775" s="306" t="s">
        <v>408</v>
      </c>
      <c r="C775" s="306" t="s">
        <v>2</v>
      </c>
      <c r="D775" s="26">
        <v>4</v>
      </c>
      <c r="E775" s="312" t="s">
        <v>860</v>
      </c>
      <c r="F775" s="306" t="str">
        <f>VLOOKUP(Table24[[#This Row],[Country]],Table10[[COUNTRY NAME]:[CONTINENT CODE]],3,FALSE)</f>
        <v>SA</v>
      </c>
      <c r="G775" s="312" t="s">
        <v>13184</v>
      </c>
      <c r="H775" s="309">
        <v>1556</v>
      </c>
      <c r="I775" s="310">
        <v>5.5</v>
      </c>
      <c r="J775" s="307">
        <v>158455777</v>
      </c>
      <c r="K775" s="307">
        <f>IFERROR(Table24[[#This Row],[ROUTE COST]]/Table24[[#This Row],[O - DEMAND]],0)</f>
        <v>40268.304193138501</v>
      </c>
      <c r="L775" s="306">
        <v>3935</v>
      </c>
      <c r="M775" s="310">
        <f>Table24[[#This Row],[O - DEMAND]]/950</f>
        <v>4.1421052631578945</v>
      </c>
      <c r="N775" s="306">
        <f>IFERROR(VLOOKUP(Table24[[#This Row],[ROUTE]],DEMAND!A:F,5,FALSE),0)</f>
        <v>4172</v>
      </c>
      <c r="O775" s="306">
        <f>IFERROR(VLOOKUP(Table24[[#This Row],[ROUTE]],DEMAND!A:F,6,FALSE),0)</f>
        <v>372</v>
      </c>
      <c r="P775" s="306">
        <f>ROUNDDOWN(Table24[[#This Row],[R-DEMAND]]/950,0)</f>
        <v>0</v>
      </c>
      <c r="Q775" s="306">
        <f>Table24[[#This Row],[ADD ACC
(475/950)]]*Table24[[#This Row],[Duration
(A359)]]</f>
        <v>0</v>
      </c>
      <c r="R775" s="307">
        <f>IFERROR(VLOOKUP(Table24[[#This Row],[ROUTE]],PRICING!A:B,2,FALSE),0)</f>
        <v>493</v>
      </c>
      <c r="S775" s="308">
        <f>Table24[[#This Row],[C_DEMAND]]-Table24[[#This Row],[R-DEMAND]]</f>
        <v>3800</v>
      </c>
      <c r="T775" s="307">
        <f>Table24[[#This Row],[SEATS SOLD]]*Table24[[#This Row],[ECO SEAT]]</f>
        <v>1873400</v>
      </c>
      <c r="U775" s="307">
        <f>Table24[[#This Row],[SEATS SOLD]]*(IFERROR(VLOOKUP(Table24[[#This Row],[ROUTE]],PRICING!A:C,3,FALSE),0))</f>
        <v>2287600</v>
      </c>
      <c r="V775" s="307">
        <f>Table24[[#This Row],[SEAT REV]]-Table24[[#This Row],[SEAT REV
(IF IDEAL $)]]</f>
        <v>-414200</v>
      </c>
    </row>
    <row r="776" spans="1:22" customFormat="1" x14ac:dyDescent="0.25">
      <c r="A776" s="306" t="s">
        <v>18049</v>
      </c>
      <c r="B776" s="306" t="s">
        <v>5055</v>
      </c>
      <c r="C776" s="306" t="s">
        <v>2</v>
      </c>
      <c r="D776" s="26">
        <v>3</v>
      </c>
      <c r="E776" s="312" t="s">
        <v>517</v>
      </c>
      <c r="F776" s="306" t="str">
        <f>VLOOKUP(Table24[[#This Row],[Country]],Table10[[COUNTRY NAME]:[CONTINENT CODE]],3,FALSE)</f>
        <v>SA</v>
      </c>
      <c r="G776" s="312" t="s">
        <v>16946</v>
      </c>
      <c r="H776" s="309">
        <v>4890</v>
      </c>
      <c r="I776" s="310">
        <v>12.75</v>
      </c>
      <c r="J776" s="307">
        <v>167250899</v>
      </c>
      <c r="K776" s="307">
        <f>IFERROR(Table24[[#This Row],[ROUTE COST]]/Table24[[#This Row],[O - DEMAND]],0)</f>
        <v>54126.504530744336</v>
      </c>
      <c r="L776" s="306">
        <v>3090</v>
      </c>
      <c r="M776" s="310">
        <f>Table24[[#This Row],[O - DEMAND]]/950</f>
        <v>3.2526315789473683</v>
      </c>
      <c r="N776" s="306">
        <f>IFERROR(VLOOKUP(Table24[[#This Row],[ROUTE]],DEMAND!A:F,5,FALSE),0)</f>
        <v>3225</v>
      </c>
      <c r="O776" s="306">
        <f>IFERROR(VLOOKUP(Table24[[#This Row],[ROUTE]],DEMAND!A:F,6,FALSE),0)</f>
        <v>375</v>
      </c>
      <c r="P776" s="306">
        <f>ROUNDDOWN(Table24[[#This Row],[R-DEMAND]]/950,0)</f>
        <v>0</v>
      </c>
      <c r="Q776" s="306">
        <f>Table24[[#This Row],[ADD ACC
(475/950)]]*Table24[[#This Row],[Duration
(A359)]]</f>
        <v>0</v>
      </c>
      <c r="R776" s="307">
        <f>IFERROR(VLOOKUP(Table24[[#This Row],[ROUTE]],PRICING!A:B,2,FALSE),0)</f>
        <v>1422</v>
      </c>
      <c r="S776" s="308">
        <f>Table24[[#This Row],[C_DEMAND]]-Table24[[#This Row],[R-DEMAND]]</f>
        <v>2850</v>
      </c>
      <c r="T776" s="307">
        <f>Table24[[#This Row],[SEATS SOLD]]*Table24[[#This Row],[ECO SEAT]]</f>
        <v>4052700</v>
      </c>
      <c r="U776" s="307">
        <f>Table24[[#This Row],[SEATS SOLD]]*(IFERROR(VLOOKUP(Table24[[#This Row],[ROUTE]],PRICING!A:C,3,FALSE),0))</f>
        <v>4659750</v>
      </c>
      <c r="V776" s="307">
        <f>Table24[[#This Row],[SEAT REV]]-Table24[[#This Row],[SEAT REV
(IF IDEAL $)]]</f>
        <v>-607050</v>
      </c>
    </row>
    <row r="777" spans="1:22" customFormat="1" x14ac:dyDescent="0.25">
      <c r="A777" s="306" t="s">
        <v>17118</v>
      </c>
      <c r="B777" s="306" t="s">
        <v>763</v>
      </c>
      <c r="C777" s="306" t="s">
        <v>2</v>
      </c>
      <c r="D777" s="26">
        <v>1</v>
      </c>
      <c r="E777" s="312" t="s">
        <v>761</v>
      </c>
      <c r="F777" s="306" t="str">
        <f>VLOOKUP(Table24[[#This Row],[Country]],Table10[[COUNTRY NAME]:[CONTINENT CODE]],3,FALSE)</f>
        <v>AF</v>
      </c>
      <c r="G777" s="312" t="s">
        <v>11684</v>
      </c>
      <c r="H777" s="309">
        <v>7313</v>
      </c>
      <c r="I777" s="310">
        <v>18.25</v>
      </c>
      <c r="J777" s="307">
        <v>166185887</v>
      </c>
      <c r="K777" s="307">
        <f>IFERROR(Table24[[#This Row],[ROUTE COST]]/Table24[[#This Row],[O - DEMAND]],0)</f>
        <v>53418.800064288007</v>
      </c>
      <c r="L777" s="306">
        <v>3111</v>
      </c>
      <c r="M777" s="310">
        <f>Table24[[#This Row],[O - DEMAND]]/950</f>
        <v>3.2747368421052632</v>
      </c>
      <c r="N777" s="306">
        <f>IFERROR(VLOOKUP(Table24[[#This Row],[ROUTE]],DEMAND!A:F,5,FALSE),0)</f>
        <v>3225</v>
      </c>
      <c r="O777" s="306">
        <f>IFERROR(VLOOKUP(Table24[[#This Row],[ROUTE]],DEMAND!A:F,6,FALSE),0)</f>
        <v>375</v>
      </c>
      <c r="P777" s="306">
        <f>ROUNDDOWN(Table24[[#This Row],[R-DEMAND]]/950,0)</f>
        <v>0</v>
      </c>
      <c r="Q777" s="306">
        <f>Table24[[#This Row],[ADD ACC
(475/950)]]*Table24[[#This Row],[Duration
(A359)]]</f>
        <v>0</v>
      </c>
      <c r="R777" s="307">
        <f>IFERROR(VLOOKUP(Table24[[#This Row],[ROUTE]],PRICING!A:B,2,FALSE),0)</f>
        <v>2124</v>
      </c>
      <c r="S777" s="308">
        <f>Table24[[#This Row],[C_DEMAND]]-Table24[[#This Row],[R-DEMAND]]</f>
        <v>2850</v>
      </c>
      <c r="T777" s="307">
        <f>Table24[[#This Row],[SEATS SOLD]]*Table24[[#This Row],[ECO SEAT]]</f>
        <v>6053400</v>
      </c>
      <c r="U777" s="307">
        <f>Table24[[#This Row],[SEATS SOLD]]*(IFERROR(VLOOKUP(Table24[[#This Row],[ROUTE]],PRICING!A:C,3,FALSE),0))</f>
        <v>6802950</v>
      </c>
      <c r="V777" s="307">
        <f>Table24[[#This Row],[SEAT REV]]-Table24[[#This Row],[SEAT REV
(IF IDEAL $)]]</f>
        <v>-749550</v>
      </c>
    </row>
    <row r="778" spans="1:22" customFormat="1" x14ac:dyDescent="0.25">
      <c r="A778" s="306" t="s">
        <v>17488</v>
      </c>
      <c r="B778" s="306" t="s">
        <v>5658</v>
      </c>
      <c r="C778" s="306" t="s">
        <v>2</v>
      </c>
      <c r="D778" s="26">
        <v>4</v>
      </c>
      <c r="E778" s="312" t="s">
        <v>876</v>
      </c>
      <c r="F778" s="306" t="str">
        <f>VLOOKUP(Table24[[#This Row],[Country]],Table10[[COUNTRY NAME]:[CONTINENT CODE]],3,FALSE)</f>
        <v>EU</v>
      </c>
      <c r="G778" s="312" t="s">
        <v>11095</v>
      </c>
      <c r="H778" s="309">
        <v>8000</v>
      </c>
      <c r="I778" s="310">
        <v>19.75</v>
      </c>
      <c r="J778" s="307">
        <v>222111643</v>
      </c>
      <c r="K778" s="307">
        <f>IFERROR(Table24[[#This Row],[ROUTE COST]]/Table24[[#This Row],[O - DEMAND]],0)</f>
        <v>71372.635925449867</v>
      </c>
      <c r="L778" s="306">
        <v>3112</v>
      </c>
      <c r="M778" s="310">
        <f>Table24[[#This Row],[O - DEMAND]]/950</f>
        <v>3.2757894736842106</v>
      </c>
      <c r="N778" s="306">
        <f>IFERROR(VLOOKUP(Table24[[#This Row],[ROUTE]],DEMAND!A:F,5,FALSE),0)</f>
        <v>3227</v>
      </c>
      <c r="O778" s="306">
        <f>IFERROR(VLOOKUP(Table24[[#This Row],[ROUTE]],DEMAND!A:F,6,FALSE),0)</f>
        <v>377</v>
      </c>
      <c r="P778" s="306">
        <f>ROUNDDOWN(Table24[[#This Row],[R-DEMAND]]/950,0)</f>
        <v>0</v>
      </c>
      <c r="Q778" s="306">
        <f>Table24[[#This Row],[ADD ACC
(475/950)]]*Table24[[#This Row],[Duration
(A359)]]</f>
        <v>0</v>
      </c>
      <c r="R778" s="307">
        <f>IFERROR(VLOOKUP(Table24[[#This Row],[ROUTE]],PRICING!A:B,2,FALSE),0)</f>
        <v>2314</v>
      </c>
      <c r="S778" s="308">
        <f>Table24[[#This Row],[C_DEMAND]]-Table24[[#This Row],[R-DEMAND]]</f>
        <v>2850</v>
      </c>
      <c r="T778" s="307">
        <f>Table24[[#This Row],[SEATS SOLD]]*Table24[[#This Row],[ECO SEAT]]</f>
        <v>6594900</v>
      </c>
      <c r="U778" s="307">
        <f>Table24[[#This Row],[SEATS SOLD]]*(IFERROR(VLOOKUP(Table24[[#This Row],[ROUTE]],PRICING!A:C,3,FALSE),0))</f>
        <v>7410000</v>
      </c>
      <c r="V778" s="307">
        <f>Table24[[#This Row],[SEAT REV]]-Table24[[#This Row],[SEAT REV
(IF IDEAL $)]]</f>
        <v>-815100</v>
      </c>
    </row>
    <row r="779" spans="1:22" customFormat="1" x14ac:dyDescent="0.25">
      <c r="A779" s="306" t="s">
        <v>17049</v>
      </c>
      <c r="B779" s="306" t="s">
        <v>4104</v>
      </c>
      <c r="C779" s="306" t="s">
        <v>2</v>
      </c>
      <c r="D779" s="26">
        <v>2</v>
      </c>
      <c r="E779" s="312" t="s">
        <v>608</v>
      </c>
      <c r="F779" s="306" t="str">
        <f>VLOOKUP(Table24[[#This Row],[Country]],Table10[[COUNTRY NAME]:[CONTINENT CODE]],3,FALSE)</f>
        <v>AF</v>
      </c>
      <c r="G779" s="312" t="s">
        <v>11686</v>
      </c>
      <c r="H779" s="309">
        <v>6811</v>
      </c>
      <c r="I779" s="310">
        <v>17</v>
      </c>
      <c r="J779" s="307">
        <v>174544395</v>
      </c>
      <c r="K779" s="307">
        <f>IFERROR(Table24[[#This Row],[ROUTE COST]]/Table24[[#This Row],[O - DEMAND]],0)</f>
        <v>56762.404878048779</v>
      </c>
      <c r="L779" s="306">
        <v>3075</v>
      </c>
      <c r="M779" s="310">
        <f>Table24[[#This Row],[O - DEMAND]]/950</f>
        <v>3.236842105263158</v>
      </c>
      <c r="N779" s="306">
        <f>IFERROR(VLOOKUP(Table24[[#This Row],[ROUTE]],DEMAND!A:F,5,FALSE),0)</f>
        <v>3229</v>
      </c>
      <c r="O779" s="306">
        <f>IFERROR(VLOOKUP(Table24[[#This Row],[ROUTE]],DEMAND!A:F,6,FALSE),0)</f>
        <v>379</v>
      </c>
      <c r="P779" s="306">
        <f>ROUNDDOWN(Table24[[#This Row],[R-DEMAND]]/950,0)</f>
        <v>0</v>
      </c>
      <c r="Q779" s="306">
        <f>Table24[[#This Row],[ADD ACC
(475/950)]]*Table24[[#This Row],[Duration
(A359)]]</f>
        <v>0</v>
      </c>
      <c r="R779" s="307">
        <f>IFERROR(VLOOKUP(Table24[[#This Row],[ROUTE]],PRICING!A:B,2,FALSE),0)</f>
        <v>1896</v>
      </c>
      <c r="S779" s="308">
        <f>Table24[[#This Row],[C_DEMAND]]-Table24[[#This Row],[R-DEMAND]]</f>
        <v>2850</v>
      </c>
      <c r="T779" s="307">
        <f>Table24[[#This Row],[SEATS SOLD]]*Table24[[#This Row],[ECO SEAT]]</f>
        <v>5403600</v>
      </c>
      <c r="U779" s="307">
        <f>Table24[[#This Row],[SEATS SOLD]]*(IFERROR(VLOOKUP(Table24[[#This Row],[ROUTE]],PRICING!A:C,3,FALSE),0))</f>
        <v>6358350</v>
      </c>
      <c r="V779" s="307">
        <f>Table24[[#This Row],[SEAT REV]]-Table24[[#This Row],[SEAT REV
(IF IDEAL $)]]</f>
        <v>-954750</v>
      </c>
    </row>
    <row r="780" spans="1:22" customFormat="1" x14ac:dyDescent="0.25">
      <c r="A780" s="306" t="s">
        <v>17231</v>
      </c>
      <c r="B780" s="306" t="s">
        <v>249</v>
      </c>
      <c r="C780" s="306" t="s">
        <v>2</v>
      </c>
      <c r="D780" s="26">
        <v>4</v>
      </c>
      <c r="E780" s="312" t="s">
        <v>142</v>
      </c>
      <c r="F780" s="306" t="str">
        <f>VLOOKUP(Table24[[#This Row],[Country]],Table10[[COUNTRY NAME]:[CONTINENT CODE]],3,FALSE)</f>
        <v>AS</v>
      </c>
      <c r="G780" s="312" t="s">
        <v>11076</v>
      </c>
      <c r="H780" s="309">
        <v>13400</v>
      </c>
      <c r="I780" s="310">
        <v>31.5</v>
      </c>
      <c r="J780" s="307">
        <v>277229439</v>
      </c>
      <c r="K780" s="307">
        <f>IFERROR(Table24[[#This Row],[ROUTE COST]]/Table24[[#This Row],[O - DEMAND]],0)</f>
        <v>70739.841541209491</v>
      </c>
      <c r="L780" s="306">
        <v>3919</v>
      </c>
      <c r="M780" s="310">
        <f>Table24[[#This Row],[O - DEMAND]]/950</f>
        <v>4.1252631578947367</v>
      </c>
      <c r="N780" s="306">
        <f>IFERROR(VLOOKUP(Table24[[#This Row],[ROUTE]],DEMAND!A:F,5,FALSE),0)</f>
        <v>4180</v>
      </c>
      <c r="O780" s="306">
        <f>IFERROR(VLOOKUP(Table24[[#This Row],[ROUTE]],DEMAND!A:F,6,FALSE),0)</f>
        <v>380</v>
      </c>
      <c r="P780" s="306">
        <f>ROUNDDOWN(Table24[[#This Row],[R-DEMAND]]/950,0)</f>
        <v>0</v>
      </c>
      <c r="Q780" s="306">
        <f>Table24[[#This Row],[ADD ACC
(475/950)]]*Table24[[#This Row],[Duration
(A359)]]</f>
        <v>0</v>
      </c>
      <c r="R780" s="307">
        <f>IFERROR(VLOOKUP(Table24[[#This Row],[ROUTE]],PRICING!A:B,2,FALSE),0)</f>
        <v>3419</v>
      </c>
      <c r="S780" s="308">
        <f>Table24[[#This Row],[C_DEMAND]]-Table24[[#This Row],[R-DEMAND]]</f>
        <v>3800</v>
      </c>
      <c r="T780" s="307">
        <f>Table24[[#This Row],[SEATS SOLD]]*Table24[[#This Row],[ECO SEAT]]</f>
        <v>12992200</v>
      </c>
      <c r="U780" s="307">
        <f>Table24[[#This Row],[SEATS SOLD]]*(IFERROR(VLOOKUP(Table24[[#This Row],[ROUTE]],PRICING!A:C,3,FALSE),0))</f>
        <v>16241200</v>
      </c>
      <c r="V780" s="307">
        <f>Table24[[#This Row],[SEAT REV]]-Table24[[#This Row],[SEAT REV
(IF IDEAL $)]]</f>
        <v>-3249000</v>
      </c>
    </row>
    <row r="781" spans="1:22" customFormat="1" x14ac:dyDescent="0.25">
      <c r="A781" s="306" t="s">
        <v>17375</v>
      </c>
      <c r="B781" s="306" t="s">
        <v>4543</v>
      </c>
      <c r="C781" s="306" t="s">
        <v>2</v>
      </c>
      <c r="D781" s="26">
        <v>2</v>
      </c>
      <c r="E781" s="312" t="s">
        <v>172</v>
      </c>
      <c r="F781" s="306" t="str">
        <f>VLOOKUP(Table24[[#This Row],[Country]],Table10[[COUNTRY NAME]:[CONTINENT CODE]],3,FALSE)</f>
        <v>AS</v>
      </c>
      <c r="G781" s="312" t="s">
        <v>11936</v>
      </c>
      <c r="H781" s="309">
        <v>11593</v>
      </c>
      <c r="I781" s="310">
        <v>27.5</v>
      </c>
      <c r="J781" s="307">
        <v>226601275</v>
      </c>
      <c r="K781" s="307">
        <f>IFERROR(Table24[[#This Row],[ROUTE COST]]/Table24[[#This Row],[O - DEMAND]],0)</f>
        <v>74344.250328083988</v>
      </c>
      <c r="L781" s="306">
        <v>3048</v>
      </c>
      <c r="M781" s="310">
        <f>Table24[[#This Row],[O - DEMAND]]/950</f>
        <v>3.2084210526315791</v>
      </c>
      <c r="N781" s="306">
        <f>IFERROR(VLOOKUP(Table24[[#This Row],[ROUTE]],DEMAND!A:F,5,FALSE),0)</f>
        <v>3231</v>
      </c>
      <c r="O781" s="306">
        <f>IFERROR(VLOOKUP(Table24[[#This Row],[ROUTE]],DEMAND!A:F,6,FALSE),0)</f>
        <v>381</v>
      </c>
      <c r="P781" s="306">
        <f>ROUNDDOWN(Table24[[#This Row],[R-DEMAND]]/950,0)</f>
        <v>0</v>
      </c>
      <c r="Q781" s="306">
        <f>Table24[[#This Row],[ADD ACC
(475/950)]]*Table24[[#This Row],[Duration
(A359)]]</f>
        <v>0</v>
      </c>
      <c r="R781" s="307">
        <f>IFERROR(VLOOKUP(Table24[[#This Row],[ROUTE]],PRICING!A:B,2,FALSE),0)</f>
        <v>3044</v>
      </c>
      <c r="S781" s="308">
        <f>Table24[[#This Row],[C_DEMAND]]-Table24[[#This Row],[R-DEMAND]]</f>
        <v>2850</v>
      </c>
      <c r="T781" s="307">
        <f>Table24[[#This Row],[SEATS SOLD]]*Table24[[#This Row],[ECO SEAT]]</f>
        <v>8675400</v>
      </c>
      <c r="U781" s="307">
        <f>Table24[[#This Row],[SEATS SOLD]]*(IFERROR(VLOOKUP(Table24[[#This Row],[ROUTE]],PRICING!A:C,3,FALSE),0))</f>
        <v>10582050</v>
      </c>
      <c r="V781" s="307">
        <f>Table24[[#This Row],[SEAT REV]]-Table24[[#This Row],[SEAT REV
(IF IDEAL $)]]</f>
        <v>-1906650</v>
      </c>
    </row>
    <row r="782" spans="1:22" customFormat="1" x14ac:dyDescent="0.25">
      <c r="A782" s="306" t="s">
        <v>17080</v>
      </c>
      <c r="B782" s="306" t="s">
        <v>3373</v>
      </c>
      <c r="C782" s="306" t="s">
        <v>2</v>
      </c>
      <c r="D782" s="26">
        <v>2</v>
      </c>
      <c r="E782" s="312" t="s">
        <v>1124</v>
      </c>
      <c r="F782" s="306" t="str">
        <f>VLOOKUP(Table24[[#This Row],[Country]],Table10[[COUNTRY NAME]:[CONTINENT CODE]],3,FALSE)</f>
        <v>AF</v>
      </c>
      <c r="G782" s="312" t="s">
        <v>11882</v>
      </c>
      <c r="H782" s="309">
        <v>10550</v>
      </c>
      <c r="I782" s="310">
        <v>25.25</v>
      </c>
      <c r="J782" s="307">
        <v>206913627</v>
      </c>
      <c r="K782" s="307">
        <f>IFERROR(Table24[[#This Row],[ROUTE COST]]/Table24[[#This Row],[O - DEMAND]],0)</f>
        <v>66127.717162032597</v>
      </c>
      <c r="L782" s="306">
        <v>3129</v>
      </c>
      <c r="M782" s="310">
        <f>Table24[[#This Row],[O - DEMAND]]/950</f>
        <v>3.2936842105263158</v>
      </c>
      <c r="N782" s="306">
        <f>IFERROR(VLOOKUP(Table24[[#This Row],[ROUTE]],DEMAND!A:F,5,FALSE),0)</f>
        <v>3233</v>
      </c>
      <c r="O782" s="306">
        <f>IFERROR(VLOOKUP(Table24[[#This Row],[ROUTE]],DEMAND!A:F,6,FALSE),0)</f>
        <v>383</v>
      </c>
      <c r="P782" s="306">
        <f>ROUNDDOWN(Table24[[#This Row],[R-DEMAND]]/950,0)</f>
        <v>0</v>
      </c>
      <c r="Q782" s="306">
        <f>Table24[[#This Row],[ADD ACC
(475/950)]]*Table24[[#This Row],[Duration
(A359)]]</f>
        <v>0</v>
      </c>
      <c r="R782" s="307">
        <f>IFERROR(VLOOKUP(Table24[[#This Row],[ROUTE]],PRICING!A:B,2,FALSE),0)</f>
        <v>3051</v>
      </c>
      <c r="S782" s="308">
        <f>Table24[[#This Row],[C_DEMAND]]-Table24[[#This Row],[R-DEMAND]]</f>
        <v>2850</v>
      </c>
      <c r="T782" s="307">
        <f>Table24[[#This Row],[SEATS SOLD]]*Table24[[#This Row],[ECO SEAT]]</f>
        <v>8695350</v>
      </c>
      <c r="U782" s="307">
        <f>Table24[[#This Row],[SEATS SOLD]]*(IFERROR(VLOOKUP(Table24[[#This Row],[ROUTE]],PRICING!A:C,3,FALSE),0))</f>
        <v>9661500</v>
      </c>
      <c r="V782" s="307">
        <f>Table24[[#This Row],[SEAT REV]]-Table24[[#This Row],[SEAT REV
(IF IDEAL $)]]</f>
        <v>-966150</v>
      </c>
    </row>
    <row r="783" spans="1:22" customFormat="1" x14ac:dyDescent="0.25">
      <c r="A783" s="306" t="s">
        <v>17092</v>
      </c>
      <c r="B783" s="306" t="s">
        <v>3023</v>
      </c>
      <c r="C783" s="306" t="s">
        <v>2</v>
      </c>
      <c r="D783" s="26">
        <v>2</v>
      </c>
      <c r="E783" s="312" t="s">
        <v>2680</v>
      </c>
      <c r="F783" s="306" t="str">
        <f>VLOOKUP(Table24[[#This Row],[Country]],Table10[[COUNTRY NAME]:[CONTINENT CODE]],3,FALSE)</f>
        <v>OC</v>
      </c>
      <c r="G783" s="312" t="s">
        <v>16830</v>
      </c>
      <c r="H783" s="309">
        <v>13645</v>
      </c>
      <c r="I783" s="310">
        <v>32</v>
      </c>
      <c r="J783" s="307">
        <v>236048435</v>
      </c>
      <c r="K783" s="307">
        <f>IFERROR(Table24[[#This Row],[ROUTE COST]]/Table24[[#This Row],[O - DEMAND]],0)</f>
        <v>77316.880117916808</v>
      </c>
      <c r="L783" s="306">
        <v>3053</v>
      </c>
      <c r="M783" s="310">
        <f>Table24[[#This Row],[O - DEMAND]]/950</f>
        <v>3.2136842105263157</v>
      </c>
      <c r="N783" s="306">
        <f>IFERROR(VLOOKUP(Table24[[#This Row],[ROUTE]],DEMAND!A:F,5,FALSE),0)</f>
        <v>3237</v>
      </c>
      <c r="O783" s="306">
        <f>IFERROR(VLOOKUP(Table24[[#This Row],[ROUTE]],DEMAND!A:F,6,FALSE),0)</f>
        <v>387</v>
      </c>
      <c r="P783" s="306">
        <f>ROUNDDOWN(Table24[[#This Row],[R-DEMAND]]/950,0)</f>
        <v>0</v>
      </c>
      <c r="Q783" s="306">
        <f>Table24[[#This Row],[ADD ACC
(475/950)]]*Table24[[#This Row],[Duration
(A359)]]</f>
        <v>0</v>
      </c>
      <c r="R783" s="307">
        <f>IFERROR(VLOOKUP(Table24[[#This Row],[ROUTE]],PRICING!A:B,2,FALSE),0)</f>
        <v>3566</v>
      </c>
      <c r="S783" s="308">
        <f>Table24[[#This Row],[C_DEMAND]]-Table24[[#This Row],[R-DEMAND]]</f>
        <v>2850</v>
      </c>
      <c r="T783" s="307">
        <f>Table24[[#This Row],[SEATS SOLD]]*Table24[[#This Row],[ECO SEAT]]</f>
        <v>10163100</v>
      </c>
      <c r="U783" s="307">
        <f>Table24[[#This Row],[SEATS SOLD]]*(IFERROR(VLOOKUP(Table24[[#This Row],[ROUTE]],PRICING!A:C,3,FALSE),0))</f>
        <v>12394650</v>
      </c>
      <c r="V783" s="307">
        <f>Table24[[#This Row],[SEAT REV]]-Table24[[#This Row],[SEAT REV
(IF IDEAL $)]]</f>
        <v>-2231550</v>
      </c>
    </row>
    <row r="784" spans="1:22" customFormat="1" x14ac:dyDescent="0.25">
      <c r="A784" s="306" t="s">
        <v>17272</v>
      </c>
      <c r="B784" s="306" t="s">
        <v>52</v>
      </c>
      <c r="C784" s="306" t="s">
        <v>2</v>
      </c>
      <c r="D784" s="26">
        <v>3</v>
      </c>
      <c r="E784" s="312" t="s">
        <v>14</v>
      </c>
      <c r="F784" s="306" t="str">
        <f>VLOOKUP(Table24[[#This Row],[Country]],Table10[[COUNTRY NAME]:[CONTINENT CODE]],3,FALSE)</f>
        <v>AS</v>
      </c>
      <c r="G784" s="312" t="s">
        <v>12033</v>
      </c>
      <c r="H784" s="309">
        <v>13774</v>
      </c>
      <c r="I784" s="310">
        <v>32.25</v>
      </c>
      <c r="J784" s="307">
        <v>264895677</v>
      </c>
      <c r="K784" s="307">
        <f>IFERROR(Table24[[#This Row],[ROUTE COST]]/Table24[[#This Row],[O - DEMAND]],0)</f>
        <v>67028.258350202435</v>
      </c>
      <c r="L784" s="306">
        <v>3952</v>
      </c>
      <c r="M784" s="310">
        <f>Table24[[#This Row],[O - DEMAND]]/950</f>
        <v>4.16</v>
      </c>
      <c r="N784" s="306">
        <f>IFERROR(VLOOKUP(Table24[[#This Row],[ROUTE]],DEMAND!A:F,5,FALSE),0)</f>
        <v>4189</v>
      </c>
      <c r="O784" s="306">
        <f>IFERROR(VLOOKUP(Table24[[#This Row],[ROUTE]],DEMAND!A:F,6,FALSE),0)</f>
        <v>389</v>
      </c>
      <c r="P784" s="306">
        <f>ROUNDDOWN(Table24[[#This Row],[R-DEMAND]]/950,0)</f>
        <v>0</v>
      </c>
      <c r="Q784" s="306">
        <f>Table24[[#This Row],[ADD ACC
(475/950)]]*Table24[[#This Row],[Duration
(A359)]]</f>
        <v>0</v>
      </c>
      <c r="R784" s="307">
        <f>IFERROR(VLOOKUP(Table24[[#This Row],[ROUTE]],PRICING!A:B,2,FALSE),0)</f>
        <v>3598</v>
      </c>
      <c r="S784" s="308">
        <f>Table24[[#This Row],[C_DEMAND]]-Table24[[#This Row],[R-DEMAND]]</f>
        <v>3800</v>
      </c>
      <c r="T784" s="307">
        <f>Table24[[#This Row],[SEATS SOLD]]*Table24[[#This Row],[ECO SEAT]]</f>
        <v>13672400</v>
      </c>
      <c r="U784" s="307">
        <f>Table24[[#This Row],[SEATS SOLD]]*(IFERROR(VLOOKUP(Table24[[#This Row],[ROUTE]],PRICING!A:C,3,FALSE),0))</f>
        <v>16678200</v>
      </c>
      <c r="V784" s="307">
        <f>Table24[[#This Row],[SEAT REV]]-Table24[[#This Row],[SEAT REV
(IF IDEAL $)]]</f>
        <v>-3005800</v>
      </c>
    </row>
    <row r="785" spans="1:24" customFormat="1" x14ac:dyDescent="0.25">
      <c r="A785" s="306" t="s">
        <v>17500</v>
      </c>
      <c r="B785" s="306" t="s">
        <v>402</v>
      </c>
      <c r="C785" s="306" t="s">
        <v>2</v>
      </c>
      <c r="D785" s="26">
        <v>4</v>
      </c>
      <c r="E785" s="312" t="s">
        <v>3180</v>
      </c>
      <c r="F785" s="306" t="str">
        <f>VLOOKUP(Table24[[#This Row],[Country]],Table10[[COUNTRY NAME]:[CONTINENT CODE]],3,FALSE)</f>
        <v>EU</v>
      </c>
      <c r="G785" s="312" t="s">
        <v>11103</v>
      </c>
      <c r="H785" s="309">
        <v>7499</v>
      </c>
      <c r="I785" s="310">
        <v>18.5</v>
      </c>
      <c r="J785" s="307">
        <v>218194079</v>
      </c>
      <c r="K785" s="307">
        <f>IFERROR(Table24[[#This Row],[ROUTE COST]]/Table24[[#This Row],[O - DEMAND]],0)</f>
        <v>69577.193558673476</v>
      </c>
      <c r="L785" s="306">
        <v>3136</v>
      </c>
      <c r="M785" s="310">
        <f>Table24[[#This Row],[O - DEMAND]]/950</f>
        <v>3.3010526315789472</v>
      </c>
      <c r="N785" s="306">
        <f>IFERROR(VLOOKUP(Table24[[#This Row],[ROUTE]],DEMAND!A:F,5,FALSE),0)</f>
        <v>3241</v>
      </c>
      <c r="O785" s="306">
        <f>IFERROR(VLOOKUP(Table24[[#This Row],[ROUTE]],DEMAND!A:F,6,FALSE),0)</f>
        <v>391</v>
      </c>
      <c r="P785" s="306">
        <f>ROUNDDOWN(Table24[[#This Row],[R-DEMAND]]/950,0)</f>
        <v>0</v>
      </c>
      <c r="Q785" s="306">
        <f>Table24[[#This Row],[ADD ACC
(475/950)]]*Table24[[#This Row],[Duration
(A359)]]</f>
        <v>0</v>
      </c>
      <c r="R785" s="307">
        <f>IFERROR(VLOOKUP(Table24[[#This Row],[ROUTE]],PRICING!A:B,2,FALSE),0)</f>
        <v>2199</v>
      </c>
      <c r="S785" s="308">
        <f>Table24[[#This Row],[C_DEMAND]]-Table24[[#This Row],[R-DEMAND]]</f>
        <v>2850</v>
      </c>
      <c r="T785" s="307">
        <f>Table24[[#This Row],[SEATS SOLD]]*Table24[[#This Row],[ECO SEAT]]</f>
        <v>6267150</v>
      </c>
      <c r="U785" s="307">
        <f>Table24[[#This Row],[SEATS SOLD]]*(IFERROR(VLOOKUP(Table24[[#This Row],[ROUTE]],PRICING!A:C,3,FALSE),0))</f>
        <v>6965400</v>
      </c>
      <c r="V785" s="307">
        <f>Table24[[#This Row],[SEAT REV]]-Table24[[#This Row],[SEAT REV
(IF IDEAL $)]]</f>
        <v>-698250</v>
      </c>
    </row>
    <row r="786" spans="1:24" customFormat="1" x14ac:dyDescent="0.25">
      <c r="A786" s="306" t="s">
        <v>17039</v>
      </c>
      <c r="B786" s="306" t="s">
        <v>3708</v>
      </c>
      <c r="C786" s="306" t="s">
        <v>2</v>
      </c>
      <c r="D786" s="26">
        <v>2</v>
      </c>
      <c r="E786" s="312" t="s">
        <v>3706</v>
      </c>
      <c r="F786" s="306" t="str">
        <f>VLOOKUP(Table24[[#This Row],[Country]],Table10[[COUNTRY NAME]:[CONTINENT CODE]],3,FALSE)</f>
        <v>OC</v>
      </c>
      <c r="G786" s="312" t="s">
        <v>11862</v>
      </c>
      <c r="H786" s="309">
        <v>11497</v>
      </c>
      <c r="I786" s="310">
        <v>27.25</v>
      </c>
      <c r="J786" s="307">
        <v>218318939</v>
      </c>
      <c r="K786" s="307">
        <f>IFERROR(Table24[[#This Row],[ROUTE COST]]/Table24[[#This Row],[O - DEMAND]],0)</f>
        <v>71603.456543128894</v>
      </c>
      <c r="L786" s="306">
        <v>3049</v>
      </c>
      <c r="M786" s="310">
        <f>Table24[[#This Row],[O - DEMAND]]/950</f>
        <v>3.2094736842105265</v>
      </c>
      <c r="N786" s="306">
        <f>IFERROR(VLOOKUP(Table24[[#This Row],[ROUTE]],DEMAND!A:F,5,FALSE),0)</f>
        <v>3242</v>
      </c>
      <c r="O786" s="306">
        <f>IFERROR(VLOOKUP(Table24[[#This Row],[ROUTE]],DEMAND!A:F,6,FALSE),0)</f>
        <v>392</v>
      </c>
      <c r="P786" s="306">
        <f>ROUNDDOWN(Table24[[#This Row],[R-DEMAND]]/950,0)</f>
        <v>0</v>
      </c>
      <c r="Q786" s="306">
        <f>Table24[[#This Row],[ADD ACC
(475/950)]]*Table24[[#This Row],[Duration
(A359)]]</f>
        <v>0</v>
      </c>
      <c r="R786" s="307">
        <f>IFERROR(VLOOKUP(Table24[[#This Row],[ROUTE]],PRICING!A:B,2,FALSE),0)</f>
        <v>2984</v>
      </c>
      <c r="S786" s="308">
        <f>Table24[[#This Row],[C_DEMAND]]-Table24[[#This Row],[R-DEMAND]]</f>
        <v>2850</v>
      </c>
      <c r="T786" s="307">
        <f>Table24[[#This Row],[SEATS SOLD]]*Table24[[#This Row],[ECO SEAT]]</f>
        <v>8504400</v>
      </c>
      <c r="U786" s="307">
        <f>Table24[[#This Row],[SEATS SOLD]]*(IFERROR(VLOOKUP(Table24[[#This Row],[ROUTE]],PRICING!A:C,3,FALSE),0))</f>
        <v>10499400</v>
      </c>
      <c r="V786" s="307">
        <f>Table24[[#This Row],[SEAT REV]]-Table24[[#This Row],[SEAT REV
(IF IDEAL $)]]</f>
        <v>-1995000</v>
      </c>
    </row>
    <row r="787" spans="1:24" customFormat="1" x14ac:dyDescent="0.25">
      <c r="A787" s="306" t="s">
        <v>17057</v>
      </c>
      <c r="B787" s="306" t="s">
        <v>1169</v>
      </c>
      <c r="C787" s="306" t="s">
        <v>2</v>
      </c>
      <c r="D787" s="26">
        <v>1</v>
      </c>
      <c r="E787" s="312" t="s">
        <v>493</v>
      </c>
      <c r="F787" s="306" t="str">
        <f>VLOOKUP(Table24[[#This Row],[Country]],Table10[[COUNTRY NAME]:[CONTINENT CODE]],3,FALSE)</f>
        <v>AF</v>
      </c>
      <c r="G787" s="312" t="s">
        <v>11715</v>
      </c>
      <c r="H787" s="309">
        <v>7617</v>
      </c>
      <c r="I787" s="310">
        <v>18.75</v>
      </c>
      <c r="J787" s="307">
        <v>169573564</v>
      </c>
      <c r="K787" s="307">
        <f>IFERROR(Table24[[#This Row],[ROUTE COST]]/Table24[[#This Row],[O - DEMAND]],0)</f>
        <v>77395.510725696033</v>
      </c>
      <c r="L787" s="306">
        <v>2191</v>
      </c>
      <c r="M787" s="310">
        <f>Table24[[#This Row],[O - DEMAND]]/950</f>
        <v>2.3063157894736843</v>
      </c>
      <c r="N787" s="306">
        <f>IFERROR(VLOOKUP(Table24[[#This Row],[ROUTE]],DEMAND!A:F,5,FALSE),0)</f>
        <v>2294</v>
      </c>
      <c r="O787" s="306">
        <f>IFERROR(VLOOKUP(Table24[[#This Row],[ROUTE]],DEMAND!A:F,6,FALSE),0)</f>
        <v>394</v>
      </c>
      <c r="P787" s="306">
        <f>ROUNDDOWN(Table24[[#This Row],[R-DEMAND]]/950,0)</f>
        <v>0</v>
      </c>
      <c r="Q787" s="306">
        <f>Table24[[#This Row],[ADD ACC
(475/950)]]*Table24[[#This Row],[Duration
(A359)]]</f>
        <v>0</v>
      </c>
      <c r="R787" s="307">
        <f>IFERROR(VLOOKUP(Table24[[#This Row],[ROUTE]],PRICING!A:B,2,FALSE),0)</f>
        <v>2133</v>
      </c>
      <c r="S787" s="308">
        <f>Table24[[#This Row],[C_DEMAND]]-Table24[[#This Row],[R-DEMAND]]</f>
        <v>1900</v>
      </c>
      <c r="T787" s="307">
        <f>Table24[[#This Row],[SEATS SOLD]]*Table24[[#This Row],[ECO SEAT]]</f>
        <v>4052700</v>
      </c>
      <c r="U787" s="307">
        <f>Table24[[#This Row],[SEATS SOLD]]*(IFERROR(VLOOKUP(Table24[[#This Row],[ROUTE]],PRICING!A:C,3,FALSE),0))</f>
        <v>4713900</v>
      </c>
      <c r="V787" s="307">
        <f>Table24[[#This Row],[SEAT REV]]-Table24[[#This Row],[SEAT REV
(IF IDEAL $)]]</f>
        <v>-661200</v>
      </c>
    </row>
    <row r="788" spans="1:24" customFormat="1" x14ac:dyDescent="0.25">
      <c r="A788" s="306" t="s">
        <v>17307</v>
      </c>
      <c r="B788" s="306" t="s">
        <v>316</v>
      </c>
      <c r="C788" s="306" t="s">
        <v>2</v>
      </c>
      <c r="D788" s="26">
        <v>3</v>
      </c>
      <c r="E788" s="312" t="s">
        <v>700</v>
      </c>
      <c r="F788" s="306" t="str">
        <f>VLOOKUP(Table24[[#This Row],[Country]],Table10[[COUNTRY NAME]:[CONTINENT CODE]],3,FALSE)</f>
        <v>AS</v>
      </c>
      <c r="G788" s="312" t="s">
        <v>11858</v>
      </c>
      <c r="H788" s="309">
        <v>9919</v>
      </c>
      <c r="I788" s="310">
        <v>24</v>
      </c>
      <c r="J788" s="307">
        <v>227145672</v>
      </c>
      <c r="K788" s="307">
        <f>IFERROR(Table24[[#This Row],[ROUTE COST]]/Table24[[#This Row],[O - DEMAND]],0)</f>
        <v>57215.534508816119</v>
      </c>
      <c r="L788" s="306">
        <v>3970</v>
      </c>
      <c r="M788" s="310">
        <f>Table24[[#This Row],[O - DEMAND]]/950</f>
        <v>4.1789473684210527</v>
      </c>
      <c r="N788" s="306">
        <f>IFERROR(VLOOKUP(Table24[[#This Row],[ROUTE]],DEMAND!A:F,5,FALSE),0)</f>
        <v>4195</v>
      </c>
      <c r="O788" s="306">
        <f>IFERROR(VLOOKUP(Table24[[#This Row],[ROUTE]],DEMAND!A:F,6,FALSE),0)</f>
        <v>395</v>
      </c>
      <c r="P788" s="306">
        <f>ROUNDDOWN(Table24[[#This Row],[R-DEMAND]]/950,0)</f>
        <v>0</v>
      </c>
      <c r="Q788" s="306">
        <f>Table24[[#This Row],[ADD ACC
(475/950)]]*Table24[[#This Row],[Duration
(A359)]]</f>
        <v>0</v>
      </c>
      <c r="R788" s="307">
        <f>IFERROR(VLOOKUP(Table24[[#This Row],[ROUTE]],PRICING!A:B,2,FALSE),0)</f>
        <v>2651</v>
      </c>
      <c r="S788" s="308">
        <f>Table24[[#This Row],[C_DEMAND]]-Table24[[#This Row],[R-DEMAND]]</f>
        <v>3800</v>
      </c>
      <c r="T788" s="307">
        <f>Table24[[#This Row],[SEATS SOLD]]*Table24[[#This Row],[ECO SEAT]]</f>
        <v>10073800</v>
      </c>
      <c r="U788" s="307">
        <f>Table24[[#This Row],[SEATS SOLD]]*(IFERROR(VLOOKUP(Table24[[#This Row],[ROUTE]],PRICING!A:C,3,FALSE),0))</f>
        <v>12137200</v>
      </c>
      <c r="V788" s="307">
        <f>Table24[[#This Row],[SEAT REV]]-Table24[[#This Row],[SEAT REV
(IF IDEAL $)]]</f>
        <v>-2063400</v>
      </c>
    </row>
    <row r="789" spans="1:24" customFormat="1" x14ac:dyDescent="0.25">
      <c r="A789" s="306" t="s">
        <v>17142</v>
      </c>
      <c r="B789" s="306" t="s">
        <v>2529</v>
      </c>
      <c r="C789" s="306" t="s">
        <v>2</v>
      </c>
      <c r="D789" s="26">
        <v>2</v>
      </c>
      <c r="E789" s="312" t="s">
        <v>2527</v>
      </c>
      <c r="F789" s="306" t="str">
        <f>VLOOKUP(Table24[[#This Row],[Country]],Table10[[COUNTRY NAME]:[CONTINENT CODE]],3,FALSE)</f>
        <v>AF</v>
      </c>
      <c r="G789" s="312" t="s">
        <v>16850</v>
      </c>
      <c r="H789" s="309">
        <v>12147</v>
      </c>
      <c r="I789" s="310">
        <v>28.75</v>
      </c>
      <c r="J789" s="307">
        <v>222050185</v>
      </c>
      <c r="K789" s="307">
        <f>IFERROR(Table24[[#This Row],[ROUTE COST]]/Table24[[#This Row],[O - DEMAND]],0)</f>
        <v>56272.22123669539</v>
      </c>
      <c r="L789" s="306">
        <v>3946</v>
      </c>
      <c r="M789" s="310">
        <f>Table24[[#This Row],[O - DEMAND]]/950</f>
        <v>4.1536842105263156</v>
      </c>
      <c r="N789" s="306">
        <f>IFERROR(VLOOKUP(Table24[[#This Row],[ROUTE]],DEMAND!A:F,5,FALSE),0)</f>
        <v>4197</v>
      </c>
      <c r="O789" s="306">
        <f>IFERROR(VLOOKUP(Table24[[#This Row],[ROUTE]],DEMAND!A:F,6,FALSE),0)</f>
        <v>397</v>
      </c>
      <c r="P789" s="306">
        <f>ROUNDDOWN(Table24[[#This Row],[R-DEMAND]]/950,0)</f>
        <v>0</v>
      </c>
      <c r="Q789" s="306">
        <f>Table24[[#This Row],[ADD ACC
(475/950)]]*Table24[[#This Row],[Duration
(A359)]]</f>
        <v>0</v>
      </c>
      <c r="R789" s="307">
        <f>IFERROR(VLOOKUP(Table24[[#This Row],[ROUTE]],PRICING!A:B,2,FALSE),0)</f>
        <v>3146</v>
      </c>
      <c r="S789" s="308">
        <f>Table24[[#This Row],[C_DEMAND]]-Table24[[#This Row],[R-DEMAND]]</f>
        <v>3800</v>
      </c>
      <c r="T789" s="307">
        <f>Table24[[#This Row],[SEATS SOLD]]*Table24[[#This Row],[ECO SEAT]]</f>
        <v>11954800</v>
      </c>
      <c r="U789" s="307">
        <f>Table24[[#This Row],[SEATS SOLD]]*(IFERROR(VLOOKUP(Table24[[#This Row],[ROUTE]],PRICING!A:C,3,FALSE),0))</f>
        <v>14763000</v>
      </c>
      <c r="V789" s="307">
        <f>Table24[[#This Row],[SEAT REV]]-Table24[[#This Row],[SEAT REV
(IF IDEAL $)]]</f>
        <v>-2808200</v>
      </c>
    </row>
    <row r="790" spans="1:24" x14ac:dyDescent="0.25">
      <c r="A790" s="306" t="s">
        <v>17234</v>
      </c>
      <c r="B790" s="306" t="s">
        <v>34</v>
      </c>
      <c r="C790" s="306" t="s">
        <v>2</v>
      </c>
      <c r="D790" s="26">
        <v>4</v>
      </c>
      <c r="E790" s="312" t="s">
        <v>14</v>
      </c>
      <c r="F790" s="306" t="str">
        <f>VLOOKUP(Table24[[#This Row],[Country]],Table10[[COUNTRY NAME]:[CONTINENT CODE]],3,FALSE)</f>
        <v>AS</v>
      </c>
      <c r="G790" s="312" t="s">
        <v>33</v>
      </c>
      <c r="H790" s="309">
        <v>12771</v>
      </c>
      <c r="I790" s="310">
        <v>30.25</v>
      </c>
      <c r="J790" s="307">
        <v>256189611</v>
      </c>
      <c r="K790" s="307">
        <f>IFERROR(Table24[[#This Row],[ROUTE COST]]/Table24[[#This Row],[O - DEMAND]],0)</f>
        <v>63887.683541147133</v>
      </c>
      <c r="L790" s="306">
        <v>4010</v>
      </c>
      <c r="M790" s="310">
        <f>Table24[[#This Row],[O - DEMAND]]/950</f>
        <v>4.2210526315789476</v>
      </c>
      <c r="N790" s="306">
        <f>IFERROR(VLOOKUP(Table24[[#This Row],[ROUTE]],DEMAND!A:F,5,FALSE),0)</f>
        <v>4198</v>
      </c>
      <c r="O790" s="306">
        <f>IFERROR(VLOOKUP(Table24[[#This Row],[ROUTE]],DEMAND!A:F,6,FALSE),0)</f>
        <v>398</v>
      </c>
      <c r="P790" s="306">
        <f>ROUNDDOWN(Table24[[#This Row],[R-DEMAND]]/950,0)</f>
        <v>0</v>
      </c>
      <c r="Q790" s="306">
        <f>Table24[[#This Row],[ADD ACC
(475/950)]]*Table24[[#This Row],[Duration
(A359)]]</f>
        <v>0</v>
      </c>
      <c r="R790" s="307">
        <f>IFERROR(VLOOKUP(Table24[[#This Row],[ROUTE]],PRICING!A:B,2,FALSE),0)</f>
        <v>3507</v>
      </c>
      <c r="S790" s="308">
        <f>Table24[[#This Row],[C_DEMAND]]-Table24[[#This Row],[R-DEMAND]]</f>
        <v>3800</v>
      </c>
      <c r="T790" s="307">
        <f>Table24[[#This Row],[SEATS SOLD]]*Table24[[#This Row],[ECO SEAT]]</f>
        <v>13326600</v>
      </c>
      <c r="U790" s="307">
        <f>Table24[[#This Row],[SEATS SOLD]]*(IFERROR(VLOOKUP(Table24[[#This Row],[ROUTE]],PRICING!A:C,3,FALSE),0))</f>
        <v>15500200</v>
      </c>
      <c r="V790" s="307">
        <f>Table24[[#This Row],[SEAT REV]]-Table24[[#This Row],[SEAT REV
(IF IDEAL $)]]</f>
        <v>-2173600</v>
      </c>
      <c r="X790"/>
    </row>
    <row r="791" spans="1:24" x14ac:dyDescent="0.25">
      <c r="A791" s="306" t="s">
        <v>17527</v>
      </c>
      <c r="B791" s="306" t="s">
        <v>4975</v>
      </c>
      <c r="C791" s="306" t="s">
        <v>2</v>
      </c>
      <c r="D791" s="26">
        <v>3</v>
      </c>
      <c r="E791" s="312" t="s">
        <v>1459</v>
      </c>
      <c r="F791" s="306" t="str">
        <f>VLOOKUP(Table24[[#This Row],[Country]],Table10[[COUNTRY NAME]:[CONTINENT CODE]],3,FALSE)</f>
        <v>EU</v>
      </c>
      <c r="G791" s="312" t="s">
        <v>11842</v>
      </c>
      <c r="H791" s="309">
        <v>9393</v>
      </c>
      <c r="I791" s="310">
        <v>22.75</v>
      </c>
      <c r="J791" s="307">
        <v>210120776</v>
      </c>
      <c r="K791" s="307">
        <f>IFERROR(Table24[[#This Row],[ROUTE COST]]/Table24[[#This Row],[O - DEMAND]],0)</f>
        <v>69005.18095238095</v>
      </c>
      <c r="L791" s="306">
        <v>3045</v>
      </c>
      <c r="M791" s="310">
        <f>Table24[[#This Row],[O - DEMAND]]/950</f>
        <v>3.2052631578947368</v>
      </c>
      <c r="N791" s="306">
        <f>IFERROR(VLOOKUP(Table24[[#This Row],[ROUTE]],DEMAND!A:F,5,FALSE),0)</f>
        <v>3248</v>
      </c>
      <c r="O791" s="306">
        <f>IFERROR(VLOOKUP(Table24[[#This Row],[ROUTE]],DEMAND!A:F,6,FALSE),0)</f>
        <v>398</v>
      </c>
      <c r="P791" s="306">
        <f>ROUNDDOWN(Table24[[#This Row],[R-DEMAND]]/950,0)</f>
        <v>0</v>
      </c>
      <c r="Q791" s="306">
        <f>Table24[[#This Row],[ADD ACC
(475/950)]]*Table24[[#This Row],[Duration
(A359)]]</f>
        <v>0</v>
      </c>
      <c r="R791" s="307">
        <f>IFERROR(VLOOKUP(Table24[[#This Row],[ROUTE]],PRICING!A:B,2,FALSE),0)</f>
        <v>2424</v>
      </c>
      <c r="S791" s="308">
        <f>Table24[[#This Row],[C_DEMAND]]-Table24[[#This Row],[R-DEMAND]]</f>
        <v>2850</v>
      </c>
      <c r="T791" s="307">
        <f>Table24[[#This Row],[SEATS SOLD]]*Table24[[#This Row],[ECO SEAT]]</f>
        <v>6908400</v>
      </c>
      <c r="U791" s="307">
        <f>Table24[[#This Row],[SEATS SOLD]]*(IFERROR(VLOOKUP(Table24[[#This Row],[ROUTE]],PRICING!A:C,3,FALSE),0))</f>
        <v>8638350</v>
      </c>
      <c r="V791" s="307">
        <f>Table24[[#This Row],[SEAT REV]]-Table24[[#This Row],[SEAT REV
(IF IDEAL $)]]</f>
        <v>-1729950</v>
      </c>
      <c r="X791"/>
    </row>
    <row r="792" spans="1:24" x14ac:dyDescent="0.25">
      <c r="A792" s="306" t="s">
        <v>17568</v>
      </c>
      <c r="B792" s="306" t="s">
        <v>4772</v>
      </c>
      <c r="C792" s="306" t="s">
        <v>2</v>
      </c>
      <c r="D792" s="26">
        <v>3</v>
      </c>
      <c r="E792" s="312" t="s">
        <v>876</v>
      </c>
      <c r="F792" s="306" t="str">
        <f>VLOOKUP(Table24[[#This Row],[Country]],Table10[[COUNTRY NAME]:[CONTINENT CODE]],3,FALSE)</f>
        <v>EU</v>
      </c>
      <c r="G792" s="312" t="s">
        <v>16909</v>
      </c>
      <c r="H792" s="309">
        <v>7813</v>
      </c>
      <c r="I792" s="310">
        <v>19.25</v>
      </c>
      <c r="J792" s="307">
        <v>192674733</v>
      </c>
      <c r="K792" s="307">
        <f>IFERROR(Table24[[#This Row],[ROUTE COST]]/Table24[[#This Row],[O - DEMAND]],0)</f>
        <v>86517.616973506956</v>
      </c>
      <c r="L792" s="306">
        <v>2227</v>
      </c>
      <c r="M792" s="310">
        <f>Table24[[#This Row],[O - DEMAND]]/950</f>
        <v>2.3442105263157895</v>
      </c>
      <c r="N792" s="306">
        <f>IFERROR(VLOOKUP(Table24[[#This Row],[ROUTE]],DEMAND!A:F,5,FALSE),0)</f>
        <v>2301</v>
      </c>
      <c r="O792" s="306">
        <f>IFERROR(VLOOKUP(Table24[[#This Row],[ROUTE]],DEMAND!A:F,6,FALSE),0)</f>
        <v>401</v>
      </c>
      <c r="P792" s="306">
        <f>ROUNDDOWN(Table24[[#This Row],[R-DEMAND]]/950,0)</f>
        <v>0</v>
      </c>
      <c r="Q792" s="306">
        <f>Table24[[#This Row],[ADD ACC
(475/950)]]*Table24[[#This Row],[Duration
(A359)]]</f>
        <v>0</v>
      </c>
      <c r="R792" s="307">
        <f>IFERROR(VLOOKUP(Table24[[#This Row],[ROUTE]],PRICING!A:B,2,FALSE),0)</f>
        <v>2287</v>
      </c>
      <c r="S792" s="308">
        <f>Table24[[#This Row],[C_DEMAND]]-Table24[[#This Row],[R-DEMAND]]</f>
        <v>1900</v>
      </c>
      <c r="T792" s="307">
        <f>Table24[[#This Row],[SEATS SOLD]]*Table24[[#This Row],[ECO SEAT]]</f>
        <v>4345300</v>
      </c>
      <c r="U792" s="307">
        <f>Table24[[#This Row],[SEATS SOLD]]*(IFERROR(VLOOKUP(Table24[[#This Row],[ROUTE]],PRICING!A:C,3,FALSE),0))</f>
        <v>4829800</v>
      </c>
      <c r="V792" s="307">
        <f>Table24[[#This Row],[SEAT REV]]-Table24[[#This Row],[SEAT REV
(IF IDEAL $)]]</f>
        <v>-484500</v>
      </c>
      <c r="X792"/>
    </row>
    <row r="793" spans="1:24" x14ac:dyDescent="0.25">
      <c r="A793" s="306" t="s">
        <v>17204</v>
      </c>
      <c r="B793" s="306" t="s">
        <v>122</v>
      </c>
      <c r="C793" s="306" t="s">
        <v>2</v>
      </c>
      <c r="D793" s="26">
        <v>5</v>
      </c>
      <c r="E793" s="312" t="s">
        <v>14</v>
      </c>
      <c r="F793" s="306" t="str">
        <f>VLOOKUP(Table24[[#This Row],[Country]],Table10[[COUNTRY NAME]:[CONTINENT CODE]],3,FALSE)</f>
        <v>AS</v>
      </c>
      <c r="G793" s="312" t="s">
        <v>121</v>
      </c>
      <c r="H793" s="309">
        <v>13496</v>
      </c>
      <c r="I793" s="310">
        <v>31.75</v>
      </c>
      <c r="J793" s="307">
        <v>293324511</v>
      </c>
      <c r="K793" s="307">
        <f>IFERROR(Table24[[#This Row],[ROUTE COST]]/Table24[[#This Row],[O - DEMAND]],0)</f>
        <v>59197.681331987893</v>
      </c>
      <c r="L793" s="306">
        <v>4955</v>
      </c>
      <c r="M793" s="310">
        <f>Table24[[#This Row],[O - DEMAND]]/950</f>
        <v>5.2157894736842101</v>
      </c>
      <c r="N793" s="306">
        <f>IFERROR(VLOOKUP(Table24[[#This Row],[ROUTE]],DEMAND!A:F,5,FALSE),0)</f>
        <v>5154</v>
      </c>
      <c r="O793" s="306">
        <f>IFERROR(VLOOKUP(Table24[[#This Row],[ROUTE]],DEMAND!A:F,6,FALSE),0)</f>
        <v>404</v>
      </c>
      <c r="P793" s="306">
        <f>ROUNDDOWN(Table24[[#This Row],[R-DEMAND]]/950,0)</f>
        <v>0</v>
      </c>
      <c r="Q793" s="306">
        <f>Table24[[#This Row],[ADD ACC
(475/950)]]*Table24[[#This Row],[Duration
(A359)]]</f>
        <v>0</v>
      </c>
      <c r="R793" s="307">
        <f>IFERROR(VLOOKUP(Table24[[#This Row],[ROUTE]],PRICING!A:B,2,FALSE),0)</f>
        <v>3786</v>
      </c>
      <c r="S793" s="308">
        <f>Table24[[#This Row],[C_DEMAND]]-Table24[[#This Row],[R-DEMAND]]</f>
        <v>4750</v>
      </c>
      <c r="T793" s="307">
        <f>Table24[[#This Row],[SEATS SOLD]]*Table24[[#This Row],[ECO SEAT]]</f>
        <v>17983500</v>
      </c>
      <c r="U793" s="307">
        <f>Table24[[#This Row],[SEATS SOLD]]*(IFERROR(VLOOKUP(Table24[[#This Row],[ROUTE]],PRICING!A:C,3,FALSE),0))</f>
        <v>20439250</v>
      </c>
      <c r="V793" s="307">
        <f>Table24[[#This Row],[SEAT REV]]-Table24[[#This Row],[SEAT REV
(IF IDEAL $)]]</f>
        <v>-2455750</v>
      </c>
      <c r="X793"/>
    </row>
    <row r="794" spans="1:24" x14ac:dyDescent="0.25">
      <c r="A794" s="306" t="s">
        <v>18060</v>
      </c>
      <c r="B794" s="306" t="s">
        <v>5130</v>
      </c>
      <c r="C794" s="306" t="s">
        <v>2</v>
      </c>
      <c r="D794" s="26">
        <v>3</v>
      </c>
      <c r="E794" s="312" t="s">
        <v>4045</v>
      </c>
      <c r="F794" s="306" t="str">
        <f>VLOOKUP(Table24[[#This Row],[Country]],Table10[[COUNTRY NAME]:[CONTINENT CODE]],3,FALSE)</f>
        <v>SA</v>
      </c>
      <c r="G794" s="312" t="s">
        <v>13375</v>
      </c>
      <c r="H794" s="309">
        <v>894</v>
      </c>
      <c r="I794" s="310">
        <v>4</v>
      </c>
      <c r="J794" s="307">
        <v>128649084</v>
      </c>
      <c r="K794" s="307">
        <f>IFERROR(Table24[[#This Row],[ROUTE COST]]/Table24[[#This Row],[O - DEMAND]],0)</f>
        <v>41486.321831667206</v>
      </c>
      <c r="L794" s="306">
        <v>3101</v>
      </c>
      <c r="M794" s="310">
        <f>Table24[[#This Row],[O - DEMAND]]/950</f>
        <v>3.2642105263157895</v>
      </c>
      <c r="N794" s="306">
        <f>IFERROR(VLOOKUP(Table24[[#This Row],[ROUTE]],DEMAND!A:F,5,FALSE),0)</f>
        <v>3258</v>
      </c>
      <c r="O794" s="306">
        <f>IFERROR(VLOOKUP(Table24[[#This Row],[ROUTE]],DEMAND!A:F,6,FALSE),0)</f>
        <v>408</v>
      </c>
      <c r="P794" s="306">
        <f>ROUNDDOWN(Table24[[#This Row],[R-DEMAND]]/950,0)</f>
        <v>0</v>
      </c>
      <c r="Q794" s="306">
        <f>Table24[[#This Row],[ADD ACC
(475/950)]]*Table24[[#This Row],[Duration
(A359)]]</f>
        <v>0</v>
      </c>
      <c r="R794" s="307">
        <f>IFERROR(VLOOKUP(Table24[[#This Row],[ROUTE]],PRICING!A:B,2,FALSE),0)</f>
        <v>337</v>
      </c>
      <c r="S794" s="308">
        <f>Table24[[#This Row],[C_DEMAND]]-Table24[[#This Row],[R-DEMAND]]</f>
        <v>2850</v>
      </c>
      <c r="T794" s="307">
        <f>Table24[[#This Row],[SEATS SOLD]]*Table24[[#This Row],[ECO SEAT]]</f>
        <v>960450</v>
      </c>
      <c r="U794" s="307">
        <f>Table24[[#This Row],[SEATS SOLD]]*(IFERROR(VLOOKUP(Table24[[#This Row],[ROUTE]],PRICING!A:C,3,FALSE),0))</f>
        <v>1131450</v>
      </c>
      <c r="V794" s="307">
        <f>Table24[[#This Row],[SEAT REV]]-Table24[[#This Row],[SEAT REV
(IF IDEAL $)]]</f>
        <v>-171000</v>
      </c>
      <c r="X794"/>
    </row>
    <row r="795" spans="1:24" x14ac:dyDescent="0.25">
      <c r="A795" s="306" t="s">
        <v>17487</v>
      </c>
      <c r="B795" s="306" t="s">
        <v>5631</v>
      </c>
      <c r="C795" s="306" t="s">
        <v>2</v>
      </c>
      <c r="D795" s="26">
        <v>4</v>
      </c>
      <c r="E795" s="312" t="s">
        <v>1427</v>
      </c>
      <c r="F795" s="306" t="str">
        <f>VLOOKUP(Table24[[#This Row],[Country]],Table10[[COUNTRY NAME]:[CONTINENT CODE]],3,FALSE)</f>
        <v>EU</v>
      </c>
      <c r="G795" s="312" t="s">
        <v>11034</v>
      </c>
      <c r="H795" s="309">
        <v>8086</v>
      </c>
      <c r="I795" s="310">
        <v>20</v>
      </c>
      <c r="J795" s="307">
        <v>220064693</v>
      </c>
      <c r="K795" s="307">
        <f>IFERROR(Table24[[#This Row],[ROUTE COST]]/Table24[[#This Row],[O - DEMAND]],0)</f>
        <v>72010.697971204194</v>
      </c>
      <c r="L795" s="306">
        <v>3056</v>
      </c>
      <c r="M795" s="310">
        <f>Table24[[#This Row],[O - DEMAND]]/950</f>
        <v>3.2168421052631579</v>
      </c>
      <c r="N795" s="306">
        <f>IFERROR(VLOOKUP(Table24[[#This Row],[ROUTE]],DEMAND!A:F,5,FALSE),0)</f>
        <v>3260</v>
      </c>
      <c r="O795" s="306">
        <f>IFERROR(VLOOKUP(Table24[[#This Row],[ROUTE]],DEMAND!A:F,6,FALSE),0)</f>
        <v>410</v>
      </c>
      <c r="P795" s="306">
        <f>ROUNDDOWN(Table24[[#This Row],[R-DEMAND]]/950,0)</f>
        <v>0</v>
      </c>
      <c r="Q795" s="306">
        <f>Table24[[#This Row],[ADD ACC
(475/950)]]*Table24[[#This Row],[Duration
(A359)]]</f>
        <v>0</v>
      </c>
      <c r="R795" s="307">
        <f>IFERROR(VLOOKUP(Table24[[#This Row],[ROUTE]],PRICING!A:B,2,FALSE),0)</f>
        <v>2100</v>
      </c>
      <c r="S795" s="308">
        <f>Table24[[#This Row],[C_DEMAND]]-Table24[[#This Row],[R-DEMAND]]</f>
        <v>2850</v>
      </c>
      <c r="T795" s="307">
        <f>Table24[[#This Row],[SEATS SOLD]]*Table24[[#This Row],[ECO SEAT]]</f>
        <v>5985000</v>
      </c>
      <c r="U795" s="307">
        <f>Table24[[#This Row],[SEATS SOLD]]*(IFERROR(VLOOKUP(Table24[[#This Row],[ROUTE]],PRICING!A:C,3,FALSE),0))</f>
        <v>7484100</v>
      </c>
      <c r="V795" s="307">
        <f>Table24[[#This Row],[SEAT REV]]-Table24[[#This Row],[SEAT REV
(IF IDEAL $)]]</f>
        <v>-1499100</v>
      </c>
      <c r="X795"/>
    </row>
    <row r="796" spans="1:24" x14ac:dyDescent="0.25">
      <c r="A796" s="306" t="s">
        <v>17365</v>
      </c>
      <c r="B796" s="306" t="s">
        <v>2766</v>
      </c>
      <c r="C796" s="306" t="s">
        <v>2</v>
      </c>
      <c r="D796" s="26">
        <v>2</v>
      </c>
      <c r="E796" s="312" t="s">
        <v>2764</v>
      </c>
      <c r="F796" s="306" t="str">
        <f>VLOOKUP(Table24[[#This Row],[Country]],Table10[[COUNTRY NAME]:[CONTINENT CODE]],3,FALSE)</f>
        <v>AS</v>
      </c>
      <c r="G796" s="312" t="s">
        <v>11978</v>
      </c>
      <c r="H796" s="309">
        <v>12283</v>
      </c>
      <c r="I796" s="310">
        <v>29</v>
      </c>
      <c r="J796" s="307">
        <v>222228774</v>
      </c>
      <c r="K796" s="307">
        <f>IFERROR(Table24[[#This Row],[ROUTE COST]]/Table24[[#This Row],[O - DEMAND]],0)</f>
        <v>72128.780915287251</v>
      </c>
      <c r="L796" s="306">
        <v>3081</v>
      </c>
      <c r="M796" s="310">
        <f>Table24[[#This Row],[O - DEMAND]]/950</f>
        <v>3.243157894736842</v>
      </c>
      <c r="N796" s="306">
        <f>IFERROR(VLOOKUP(Table24[[#This Row],[ROUTE]],DEMAND!A:F,5,FALSE),0)</f>
        <v>3266</v>
      </c>
      <c r="O796" s="306">
        <f>IFERROR(VLOOKUP(Table24[[#This Row],[ROUTE]],DEMAND!A:F,6,FALSE),0)</f>
        <v>416</v>
      </c>
      <c r="P796" s="306">
        <f>ROUNDDOWN(Table24[[#This Row],[R-DEMAND]]/950,0)</f>
        <v>0</v>
      </c>
      <c r="Q796" s="306">
        <f>Table24[[#This Row],[ADD ACC
(475/950)]]*Table24[[#This Row],[Duration
(A359)]]</f>
        <v>0</v>
      </c>
      <c r="R796" s="307">
        <f>IFERROR(VLOOKUP(Table24[[#This Row],[ROUTE]],PRICING!A:B,2,FALSE),0)</f>
        <v>3220</v>
      </c>
      <c r="S796" s="308">
        <f>Table24[[#This Row],[C_DEMAND]]-Table24[[#This Row],[R-DEMAND]]</f>
        <v>2850</v>
      </c>
      <c r="T796" s="307">
        <f>Table24[[#This Row],[SEATS SOLD]]*Table24[[#This Row],[ECO SEAT]]</f>
        <v>9177000</v>
      </c>
      <c r="U796" s="307">
        <f>Table24[[#This Row],[SEATS SOLD]]*(IFERROR(VLOOKUP(Table24[[#This Row],[ROUTE]],PRICING!A:C,3,FALSE),0))</f>
        <v>11191950</v>
      </c>
      <c r="V796" s="307">
        <f>Table24[[#This Row],[SEAT REV]]-Table24[[#This Row],[SEAT REV
(IF IDEAL $)]]</f>
        <v>-2014950</v>
      </c>
      <c r="X796"/>
    </row>
    <row r="797" spans="1:24" x14ac:dyDescent="0.25">
      <c r="A797" s="306" t="s">
        <v>17223</v>
      </c>
      <c r="B797" s="306" t="s">
        <v>5608</v>
      </c>
      <c r="C797" s="306" t="s">
        <v>2</v>
      </c>
      <c r="D797" s="26">
        <v>4</v>
      </c>
      <c r="E797" s="312" t="s">
        <v>258</v>
      </c>
      <c r="F797" s="306" t="str">
        <f>VLOOKUP(Table24[[#This Row],[Country]],Table10[[COUNTRY NAME]:[CONTINENT CODE]],3,FALSE)</f>
        <v>AS</v>
      </c>
      <c r="G797" s="312" t="s">
        <v>11097</v>
      </c>
      <c r="H797" s="309">
        <v>13893</v>
      </c>
      <c r="I797" s="310">
        <v>32.75</v>
      </c>
      <c r="J797" s="307">
        <v>275756213</v>
      </c>
      <c r="K797" s="307">
        <f>IFERROR(Table24[[#This Row],[ROUTE COST]]/Table24[[#This Row],[O - DEMAND]],0)</f>
        <v>67686.846588119777</v>
      </c>
      <c r="L797" s="306">
        <v>4074</v>
      </c>
      <c r="M797" s="310">
        <f>Table24[[#This Row],[O - DEMAND]]/950</f>
        <v>4.2884210526315787</v>
      </c>
      <c r="N797" s="306">
        <f>IFERROR(VLOOKUP(Table24[[#This Row],[ROUTE]],DEMAND!A:F,5,FALSE),0)</f>
        <v>4223</v>
      </c>
      <c r="O797" s="306">
        <f>IFERROR(VLOOKUP(Table24[[#This Row],[ROUTE]],DEMAND!A:F,6,FALSE),0)</f>
        <v>423</v>
      </c>
      <c r="P797" s="306">
        <f>ROUNDDOWN(Table24[[#This Row],[R-DEMAND]]/950,0)</f>
        <v>0</v>
      </c>
      <c r="Q797" s="306">
        <f>Table24[[#This Row],[ADD ACC
(475/950)]]*Table24[[#This Row],[Duration
(A359)]]</f>
        <v>0</v>
      </c>
      <c r="R797" s="307">
        <f>IFERROR(VLOOKUP(Table24[[#This Row],[ROUTE]],PRICING!A:B,2,FALSE),0)</f>
        <v>3939</v>
      </c>
      <c r="S797" s="308">
        <f>Table24[[#This Row],[C_DEMAND]]-Table24[[#This Row],[R-DEMAND]]</f>
        <v>3800</v>
      </c>
      <c r="T797" s="307">
        <f>Table24[[#This Row],[SEATS SOLD]]*Table24[[#This Row],[ECO SEAT]]</f>
        <v>14968200</v>
      </c>
      <c r="U797" s="307">
        <f>Table24[[#This Row],[SEATS SOLD]]*(IFERROR(VLOOKUP(Table24[[#This Row],[ROUTE]],PRICING!A:C,3,FALSE),0))</f>
        <v>16818800</v>
      </c>
      <c r="V797" s="307">
        <f>Table24[[#This Row],[SEAT REV]]-Table24[[#This Row],[SEAT REV
(IF IDEAL $)]]</f>
        <v>-1850600</v>
      </c>
      <c r="X797"/>
    </row>
    <row r="798" spans="1:24" x14ac:dyDescent="0.25">
      <c r="A798" s="306" t="s">
        <v>18064</v>
      </c>
      <c r="B798" s="306" t="s">
        <v>2597</v>
      </c>
      <c r="C798" s="306" t="s">
        <v>2</v>
      </c>
      <c r="D798" s="26">
        <v>2</v>
      </c>
      <c r="E798" s="312" t="s">
        <v>517</v>
      </c>
      <c r="F798" s="306" t="str">
        <f>VLOOKUP(Table24[[#This Row],[Country]],Table10[[COUNTRY NAME]:[CONTINENT CODE]],3,FALSE)</f>
        <v>SA</v>
      </c>
      <c r="G798" s="312" t="s">
        <v>16937</v>
      </c>
      <c r="H798" s="309">
        <v>5464</v>
      </c>
      <c r="I798" s="310">
        <v>14</v>
      </c>
      <c r="J798" s="307">
        <v>151774042</v>
      </c>
      <c r="K798" s="307">
        <f>IFERROR(Table24[[#This Row],[ROUTE COST]]/Table24[[#This Row],[O - DEMAND]],0)</f>
        <v>67726.0339134315</v>
      </c>
      <c r="L798" s="306">
        <v>2241</v>
      </c>
      <c r="M798" s="310">
        <f>Table24[[#This Row],[O - DEMAND]]/950</f>
        <v>2.3589473684210525</v>
      </c>
      <c r="N798" s="306">
        <f>IFERROR(VLOOKUP(Table24[[#This Row],[ROUTE]],DEMAND!A:F,5,FALSE),0)</f>
        <v>2331</v>
      </c>
      <c r="O798" s="306">
        <f>IFERROR(VLOOKUP(Table24[[#This Row],[ROUTE]],DEMAND!A:F,6,FALSE),0)</f>
        <v>431</v>
      </c>
      <c r="P798" s="306">
        <f>ROUNDDOWN(Table24[[#This Row],[R-DEMAND]]/950,0)</f>
        <v>0</v>
      </c>
      <c r="Q798" s="306">
        <f>Table24[[#This Row],[ADD ACC
(475/950)]]*Table24[[#This Row],[Duration
(A359)]]</f>
        <v>0</v>
      </c>
      <c r="R798" s="307">
        <f>IFERROR(VLOOKUP(Table24[[#This Row],[ROUTE]],PRICING!A:B,2,FALSE),0)</f>
        <v>1595</v>
      </c>
      <c r="S798" s="308">
        <f>Table24[[#This Row],[C_DEMAND]]-Table24[[#This Row],[R-DEMAND]]</f>
        <v>1900</v>
      </c>
      <c r="T798" s="307">
        <f>Table24[[#This Row],[SEATS SOLD]]*Table24[[#This Row],[ECO SEAT]]</f>
        <v>3030500</v>
      </c>
      <c r="U798" s="307">
        <f>Table24[[#This Row],[SEATS SOLD]]*(IFERROR(VLOOKUP(Table24[[#This Row],[ROUTE]],PRICING!A:C,3,FALSE),0))</f>
        <v>3444700</v>
      </c>
      <c r="V798" s="307">
        <f>Table24[[#This Row],[SEAT REV]]-Table24[[#This Row],[SEAT REV
(IF IDEAL $)]]</f>
        <v>-414200</v>
      </c>
      <c r="X798"/>
    </row>
    <row r="799" spans="1:24" x14ac:dyDescent="0.25">
      <c r="A799" s="306" t="s">
        <v>17496</v>
      </c>
      <c r="B799" s="306" t="s">
        <v>324</v>
      </c>
      <c r="C799" s="306" t="s">
        <v>2</v>
      </c>
      <c r="D799" s="26">
        <v>4</v>
      </c>
      <c r="E799" s="312" t="s">
        <v>1427</v>
      </c>
      <c r="F799" s="306" t="str">
        <f>VLOOKUP(Table24[[#This Row],[Country]],Table10[[COUNTRY NAME]:[CONTINENT CODE]],3,FALSE)</f>
        <v>EU</v>
      </c>
      <c r="G799" s="312" t="s">
        <v>11088</v>
      </c>
      <c r="H799" s="309">
        <v>7655</v>
      </c>
      <c r="I799" s="310">
        <v>19</v>
      </c>
      <c r="J799" s="307">
        <v>219267882</v>
      </c>
      <c r="K799" s="307">
        <f>IFERROR(Table24[[#This Row],[ROUTE COST]]/Table24[[#This Row],[O - DEMAND]],0)</f>
        <v>69213.346590909088</v>
      </c>
      <c r="L799" s="306">
        <v>3168</v>
      </c>
      <c r="M799" s="310">
        <f>Table24[[#This Row],[O - DEMAND]]/950</f>
        <v>3.3347368421052632</v>
      </c>
      <c r="N799" s="306">
        <f>IFERROR(VLOOKUP(Table24[[#This Row],[ROUTE]],DEMAND!A:F,5,FALSE),0)</f>
        <v>3284</v>
      </c>
      <c r="O799" s="306">
        <f>IFERROR(VLOOKUP(Table24[[#This Row],[ROUTE]],DEMAND!A:F,6,FALSE),0)</f>
        <v>434</v>
      </c>
      <c r="P799" s="306">
        <f>ROUNDDOWN(Table24[[#This Row],[R-DEMAND]]/950,0)</f>
        <v>0</v>
      </c>
      <c r="Q799" s="306">
        <f>Table24[[#This Row],[ADD ACC
(475/950)]]*Table24[[#This Row],[Duration
(A359)]]</f>
        <v>0</v>
      </c>
      <c r="R799" s="307">
        <f>IFERROR(VLOOKUP(Table24[[#This Row],[ROUTE]],PRICING!A:B,2,FALSE),0)</f>
        <v>2218</v>
      </c>
      <c r="S799" s="308">
        <f>Table24[[#This Row],[C_DEMAND]]-Table24[[#This Row],[R-DEMAND]]</f>
        <v>2850</v>
      </c>
      <c r="T799" s="307">
        <f>Table24[[#This Row],[SEATS SOLD]]*Table24[[#This Row],[ECO SEAT]]</f>
        <v>6321300</v>
      </c>
      <c r="U799" s="307">
        <f>Table24[[#This Row],[SEATS SOLD]]*(IFERROR(VLOOKUP(Table24[[#This Row],[ROUTE]],PRICING!A:C,3,FALSE),0))</f>
        <v>7105050</v>
      </c>
      <c r="V799" s="307">
        <f>Table24[[#This Row],[SEAT REV]]-Table24[[#This Row],[SEAT REV
(IF IDEAL $)]]</f>
        <v>-783750</v>
      </c>
      <c r="X799"/>
    </row>
    <row r="800" spans="1:24" x14ac:dyDescent="0.25">
      <c r="A800" s="306" t="s">
        <v>17245</v>
      </c>
      <c r="B800" s="306" t="s">
        <v>5457</v>
      </c>
      <c r="C800" s="306" t="s">
        <v>2</v>
      </c>
      <c r="D800" s="26">
        <v>4</v>
      </c>
      <c r="E800" s="312" t="s">
        <v>700</v>
      </c>
      <c r="F800" s="306" t="str">
        <f>VLOOKUP(Table24[[#This Row],[Country]],Table10[[COUNTRY NAME]:[CONTINENT CODE]],3,FALSE)</f>
        <v>AS</v>
      </c>
      <c r="G800" s="312" t="s">
        <v>11044</v>
      </c>
      <c r="H800" s="309">
        <v>9598</v>
      </c>
      <c r="I800" s="310">
        <v>23.25</v>
      </c>
      <c r="J800" s="307">
        <v>224517683</v>
      </c>
      <c r="K800" s="307">
        <f>IFERROR(Table24[[#This Row],[ROUTE COST]]/Table24[[#This Row],[O - DEMAND]],0)</f>
        <v>56017.385978043909</v>
      </c>
      <c r="L800" s="306">
        <v>4008</v>
      </c>
      <c r="M800" s="310">
        <f>Table24[[#This Row],[O - DEMAND]]/950</f>
        <v>4.2189473684210528</v>
      </c>
      <c r="N800" s="306">
        <f>IFERROR(VLOOKUP(Table24[[#This Row],[ROUTE]],DEMAND!A:F,5,FALSE),0)</f>
        <v>4235</v>
      </c>
      <c r="O800" s="306">
        <f>IFERROR(VLOOKUP(Table24[[#This Row],[ROUTE]],DEMAND!A:F,6,FALSE),0)</f>
        <v>435</v>
      </c>
      <c r="P800" s="306">
        <f>ROUNDDOWN(Table24[[#This Row],[R-DEMAND]]/950,0)</f>
        <v>0</v>
      </c>
      <c r="Q800" s="306">
        <f>Table24[[#This Row],[ADD ACC
(475/950)]]*Table24[[#This Row],[Duration
(A359)]]</f>
        <v>0</v>
      </c>
      <c r="R800" s="307">
        <f>IFERROR(VLOOKUP(Table24[[#This Row],[ROUTE]],PRICING!A:B,2,FALSE),0)</f>
        <v>2568</v>
      </c>
      <c r="S800" s="308">
        <f>Table24[[#This Row],[C_DEMAND]]-Table24[[#This Row],[R-DEMAND]]</f>
        <v>3800</v>
      </c>
      <c r="T800" s="307">
        <f>Table24[[#This Row],[SEATS SOLD]]*Table24[[#This Row],[ECO SEAT]]</f>
        <v>9758400</v>
      </c>
      <c r="U800" s="307">
        <f>Table24[[#This Row],[SEATS SOLD]]*(IFERROR(VLOOKUP(Table24[[#This Row],[ROUTE]],PRICING!A:C,3,FALSE),0))</f>
        <v>11761000</v>
      </c>
      <c r="V800" s="307">
        <f>Table24[[#This Row],[SEAT REV]]-Table24[[#This Row],[SEAT REV
(IF IDEAL $)]]</f>
        <v>-2002600</v>
      </c>
      <c r="X800"/>
    </row>
    <row r="801" spans="1:24" x14ac:dyDescent="0.25">
      <c r="A801" s="306" t="s">
        <v>17829</v>
      </c>
      <c r="B801" s="306" t="s">
        <v>5734</v>
      </c>
      <c r="C801" s="306" t="s">
        <v>2</v>
      </c>
      <c r="D801" s="26">
        <v>5</v>
      </c>
      <c r="E801" s="312" t="s">
        <v>11732</v>
      </c>
      <c r="F801" s="306" t="str">
        <f>VLOOKUP(Table24[[#This Row],[Country]],Table10[[COUNTRY NAME]:[CONTINENT CODE]],3,FALSE)</f>
        <v>NA - US</v>
      </c>
      <c r="G801" s="312" t="s">
        <v>13283</v>
      </c>
      <c r="H801" s="309">
        <v>4267</v>
      </c>
      <c r="I801" s="310">
        <v>11.5</v>
      </c>
      <c r="J801" s="307">
        <v>198985291</v>
      </c>
      <c r="K801" s="307">
        <f>IFERROR(Table24[[#This Row],[ROUTE COST]]/Table24[[#This Row],[O - DEMAND]],0)</f>
        <v>63210.06702668361</v>
      </c>
      <c r="L801" s="306">
        <v>3148</v>
      </c>
      <c r="M801" s="310">
        <f>Table24[[#This Row],[O - DEMAND]]/950</f>
        <v>3.3136842105263158</v>
      </c>
      <c r="N801" s="306">
        <f>IFERROR(VLOOKUP(Table24[[#This Row],[ROUTE]],DEMAND!A:F,5,FALSE),0)</f>
        <v>3285</v>
      </c>
      <c r="O801" s="306">
        <f>IFERROR(VLOOKUP(Table24[[#This Row],[ROUTE]],DEMAND!A:F,6,FALSE),0)</f>
        <v>435</v>
      </c>
      <c r="P801" s="306">
        <f>ROUNDDOWN(Table24[[#This Row],[R-DEMAND]]/950,0)</f>
        <v>0</v>
      </c>
      <c r="Q801" s="306">
        <f>Table24[[#This Row],[ADD ACC
(475/950)]]*Table24[[#This Row],[Duration
(A359)]]</f>
        <v>0</v>
      </c>
      <c r="R801" s="307">
        <f>IFERROR(VLOOKUP(Table24[[#This Row],[ROUTE]],PRICING!A:B,2,FALSE),0)</f>
        <v>1254</v>
      </c>
      <c r="S801" s="308">
        <f>Table24[[#This Row],[C_DEMAND]]-Table24[[#This Row],[R-DEMAND]]</f>
        <v>2850</v>
      </c>
      <c r="T801" s="307">
        <f>Table24[[#This Row],[SEATS SOLD]]*Table24[[#This Row],[ECO SEAT]]</f>
        <v>3573900</v>
      </c>
      <c r="U801" s="307">
        <f>Table24[[#This Row],[SEATS SOLD]]*(IFERROR(VLOOKUP(Table24[[#This Row],[ROUTE]],PRICING!A:C,3,FALSE),0))</f>
        <v>4109700</v>
      </c>
      <c r="V801" s="307">
        <f>Table24[[#This Row],[SEAT REV]]-Table24[[#This Row],[SEAT REV
(IF IDEAL $)]]</f>
        <v>-535800</v>
      </c>
      <c r="X801"/>
    </row>
    <row r="802" spans="1:24" x14ac:dyDescent="0.25">
      <c r="A802" s="306" t="s">
        <v>17213</v>
      </c>
      <c r="B802" s="306" t="s">
        <v>5597</v>
      </c>
      <c r="C802" s="306" t="s">
        <v>2</v>
      </c>
      <c r="D802" s="26">
        <v>4</v>
      </c>
      <c r="E802" s="312" t="s">
        <v>14</v>
      </c>
      <c r="F802" s="306" t="str">
        <f>VLOOKUP(Table24[[#This Row],[Country]],Table10[[COUNTRY NAME]:[CONTINENT CODE]],3,FALSE)</f>
        <v>AS</v>
      </c>
      <c r="G802" s="312" t="s">
        <v>11027</v>
      </c>
      <c r="H802" s="309">
        <v>15093</v>
      </c>
      <c r="I802" s="310">
        <v>35.25</v>
      </c>
      <c r="J802" s="307">
        <v>286045124</v>
      </c>
      <c r="K802" s="307">
        <f>IFERROR(Table24[[#This Row],[ROUTE COST]]/Table24[[#This Row],[O - DEMAND]],0)</f>
        <v>89951.296855345907</v>
      </c>
      <c r="L802" s="306">
        <v>3180</v>
      </c>
      <c r="M802" s="310">
        <f>Table24[[#This Row],[O - DEMAND]]/950</f>
        <v>3.3473684210526318</v>
      </c>
      <c r="N802" s="306">
        <f>IFERROR(VLOOKUP(Table24[[#This Row],[ROUTE]],DEMAND!A:F,5,FALSE),0)</f>
        <v>3286</v>
      </c>
      <c r="O802" s="306">
        <f>IFERROR(VLOOKUP(Table24[[#This Row],[ROUTE]],DEMAND!A:F,6,FALSE),0)</f>
        <v>436</v>
      </c>
      <c r="P802" s="306">
        <f>ROUNDDOWN(Table24[[#This Row],[R-DEMAND]]/950,0)</f>
        <v>0</v>
      </c>
      <c r="Q802" s="306">
        <f>Table24[[#This Row],[ADD ACC
(475/950)]]*Table24[[#This Row],[Duration
(A359)]]</f>
        <v>0</v>
      </c>
      <c r="R802" s="307">
        <f>IFERROR(VLOOKUP(Table24[[#This Row],[ROUTE]],PRICING!A:B,2,FALSE),0)</f>
        <v>4318</v>
      </c>
      <c r="S802" s="308">
        <f>Table24[[#This Row],[C_DEMAND]]-Table24[[#This Row],[R-DEMAND]]</f>
        <v>2850</v>
      </c>
      <c r="T802" s="307">
        <f>Table24[[#This Row],[SEATS SOLD]]*Table24[[#This Row],[ECO SEAT]]</f>
        <v>12306300</v>
      </c>
      <c r="U802" s="307">
        <f>Table24[[#This Row],[SEATS SOLD]]*(IFERROR(VLOOKUP(Table24[[#This Row],[ROUTE]],PRICING!A:C,3,FALSE),0))</f>
        <v>13674300</v>
      </c>
      <c r="V802" s="307">
        <f>Table24[[#This Row],[SEAT REV]]-Table24[[#This Row],[SEAT REV
(IF IDEAL $)]]</f>
        <v>-1368000</v>
      </c>
      <c r="X802"/>
    </row>
    <row r="803" spans="1:24" x14ac:dyDescent="0.25">
      <c r="A803" s="306" t="s">
        <v>17468</v>
      </c>
      <c r="B803" s="306" t="s">
        <v>120</v>
      </c>
      <c r="C803" s="306" t="s">
        <v>2</v>
      </c>
      <c r="D803" s="26">
        <v>5</v>
      </c>
      <c r="E803" s="312" t="s">
        <v>119</v>
      </c>
      <c r="F803" s="306" t="str">
        <f>VLOOKUP(Table24[[#This Row],[Country]],Table10[[COUNTRY NAME]:[CONTINENT CODE]],3,FALSE)</f>
        <v>EU</v>
      </c>
      <c r="G803" s="312" t="s">
        <v>118</v>
      </c>
      <c r="H803" s="309">
        <v>7445</v>
      </c>
      <c r="I803" s="310">
        <v>18.5</v>
      </c>
      <c r="J803" s="307">
        <v>220686974</v>
      </c>
      <c r="K803" s="307">
        <f>IFERROR(Table24[[#This Row],[ROUTE COST]]/Table24[[#This Row],[O - DEMAND]],0)</f>
        <v>70642.437259923172</v>
      </c>
      <c r="L803" s="306">
        <v>3124</v>
      </c>
      <c r="M803" s="310">
        <f>Table24[[#This Row],[O - DEMAND]]/950</f>
        <v>3.2884210526315791</v>
      </c>
      <c r="N803" s="306">
        <f>IFERROR(VLOOKUP(Table24[[#This Row],[ROUTE]],DEMAND!A:F,5,FALSE),0)</f>
        <v>3290</v>
      </c>
      <c r="O803" s="306">
        <f>IFERROR(VLOOKUP(Table24[[#This Row],[ROUTE]],DEMAND!A:F,6,FALSE),0)</f>
        <v>440</v>
      </c>
      <c r="P803" s="306">
        <f>ROUNDDOWN(Table24[[#This Row],[R-DEMAND]]/950,0)</f>
        <v>0</v>
      </c>
      <c r="Q803" s="306">
        <f>Table24[[#This Row],[ADD ACC
(475/950)]]*Table24[[#This Row],[Duration
(A359)]]</f>
        <v>0</v>
      </c>
      <c r="R803" s="307">
        <f>IFERROR(VLOOKUP(Table24[[#This Row],[ROUTE]],PRICING!A:B,2,FALSE),0)</f>
        <v>2038</v>
      </c>
      <c r="S803" s="308">
        <f>Table24[[#This Row],[C_DEMAND]]-Table24[[#This Row],[R-DEMAND]]</f>
        <v>2850</v>
      </c>
      <c r="T803" s="307">
        <f>Table24[[#This Row],[SEATS SOLD]]*Table24[[#This Row],[ECO SEAT]]</f>
        <v>5808300</v>
      </c>
      <c r="U803" s="307">
        <f>Table24[[#This Row],[SEATS SOLD]]*(IFERROR(VLOOKUP(Table24[[#This Row],[ROUTE]],PRICING!A:C,3,FALSE),0))</f>
        <v>6916950</v>
      </c>
      <c r="V803" s="307">
        <f>Table24[[#This Row],[SEAT REV]]-Table24[[#This Row],[SEAT REV
(IF IDEAL $)]]</f>
        <v>-1108650</v>
      </c>
      <c r="X803"/>
    </row>
    <row r="804" spans="1:24" x14ac:dyDescent="0.25">
      <c r="A804" s="306" t="s">
        <v>17310</v>
      </c>
      <c r="B804" s="306" t="s">
        <v>5443</v>
      </c>
      <c r="C804" s="306" t="s">
        <v>2</v>
      </c>
      <c r="D804" s="26">
        <v>3</v>
      </c>
      <c r="E804" s="312" t="s">
        <v>700</v>
      </c>
      <c r="F804" s="306" t="str">
        <f>VLOOKUP(Table24[[#This Row],[Country]],Table10[[COUNTRY NAME]:[CONTINENT CODE]],3,FALSE)</f>
        <v>AS</v>
      </c>
      <c r="G804" s="312" t="s">
        <v>11847</v>
      </c>
      <c r="H804" s="309">
        <v>9530</v>
      </c>
      <c r="I804" s="310">
        <v>23</v>
      </c>
      <c r="J804" s="307">
        <v>223302816</v>
      </c>
      <c r="K804" s="307">
        <f>IFERROR(Table24[[#This Row],[ROUTE COST]]/Table24[[#This Row],[O - DEMAND]],0)</f>
        <v>56106.235175879396</v>
      </c>
      <c r="L804" s="306">
        <v>3980</v>
      </c>
      <c r="M804" s="310">
        <f>Table24[[#This Row],[O - DEMAND]]/950</f>
        <v>4.189473684210526</v>
      </c>
      <c r="N804" s="306">
        <f>IFERROR(VLOOKUP(Table24[[#This Row],[ROUTE]],DEMAND!A:F,5,FALSE),0)</f>
        <v>4246</v>
      </c>
      <c r="O804" s="306">
        <f>IFERROR(VLOOKUP(Table24[[#This Row],[ROUTE]],DEMAND!A:F,6,FALSE),0)</f>
        <v>446</v>
      </c>
      <c r="P804" s="306">
        <f>ROUNDDOWN(Table24[[#This Row],[R-DEMAND]]/950,0)</f>
        <v>0</v>
      </c>
      <c r="Q804" s="306">
        <f>Table24[[#This Row],[ADD ACC
(475/950)]]*Table24[[#This Row],[Duration
(A359)]]</f>
        <v>0</v>
      </c>
      <c r="R804" s="307">
        <f>IFERROR(VLOOKUP(Table24[[#This Row],[ROUTE]],PRICING!A:B,2,FALSE),0)</f>
        <v>2459</v>
      </c>
      <c r="S804" s="308">
        <f>Table24[[#This Row],[C_DEMAND]]-Table24[[#This Row],[R-DEMAND]]</f>
        <v>3800</v>
      </c>
      <c r="T804" s="307">
        <f>Table24[[#This Row],[SEATS SOLD]]*Table24[[#This Row],[ECO SEAT]]</f>
        <v>9344200</v>
      </c>
      <c r="U804" s="307">
        <f>Table24[[#This Row],[SEATS SOLD]]*(IFERROR(VLOOKUP(Table24[[#This Row],[ROUTE]],PRICING!A:C,3,FALSE),0))</f>
        <v>11681200</v>
      </c>
      <c r="V804" s="307">
        <f>Table24[[#This Row],[SEAT REV]]-Table24[[#This Row],[SEAT REV
(IF IDEAL $)]]</f>
        <v>-2337000</v>
      </c>
      <c r="X804"/>
    </row>
    <row r="805" spans="1:24" x14ac:dyDescent="0.25">
      <c r="A805" s="306" t="s">
        <v>17165</v>
      </c>
      <c r="B805" s="306" t="s">
        <v>4979</v>
      </c>
      <c r="C805" s="306" t="s">
        <v>2</v>
      </c>
      <c r="D805" s="26">
        <v>3</v>
      </c>
      <c r="E805" s="312" t="s">
        <v>2860</v>
      </c>
      <c r="F805" s="306" t="str">
        <f>VLOOKUP(Table24[[#This Row],[Country]],Table10[[COUNTRY NAME]:[CONTINENT CODE]],3,FALSE)</f>
        <v>AF</v>
      </c>
      <c r="G805" s="312" t="s">
        <v>12005</v>
      </c>
      <c r="H805" s="309">
        <v>14574</v>
      </c>
      <c r="I805" s="310">
        <v>34</v>
      </c>
      <c r="J805" s="307">
        <v>262174155</v>
      </c>
      <c r="K805" s="307">
        <f>IFERROR(Table24[[#This Row],[ROUTE COST]]/Table24[[#This Row],[O - DEMAND]],0)</f>
        <v>119224.26330150069</v>
      </c>
      <c r="L805" s="306">
        <v>2199</v>
      </c>
      <c r="M805" s="310">
        <f>Table24[[#This Row],[O - DEMAND]]/950</f>
        <v>2.3147368421052632</v>
      </c>
      <c r="N805" s="306">
        <f>IFERROR(VLOOKUP(Table24[[#This Row],[ROUTE]],DEMAND!A:F,5,FALSE),0)</f>
        <v>2346</v>
      </c>
      <c r="O805" s="306">
        <f>IFERROR(VLOOKUP(Table24[[#This Row],[ROUTE]],DEMAND!A:F,6,FALSE),0)</f>
        <v>446</v>
      </c>
      <c r="P805" s="306">
        <f>ROUNDDOWN(Table24[[#This Row],[R-DEMAND]]/950,0)</f>
        <v>0</v>
      </c>
      <c r="Q805" s="306">
        <f>Table24[[#This Row],[ADD ACC
(475/950)]]*Table24[[#This Row],[Duration
(A359)]]</f>
        <v>0</v>
      </c>
      <c r="R805" s="307">
        <f>IFERROR(VLOOKUP(Table24[[#This Row],[ROUTE]],PRICING!A:B,2,FALSE),0)</f>
        <v>3709</v>
      </c>
      <c r="S805" s="308">
        <f>Table24[[#This Row],[C_DEMAND]]-Table24[[#This Row],[R-DEMAND]]</f>
        <v>1900</v>
      </c>
      <c r="T805" s="307">
        <f>Table24[[#This Row],[SEATS SOLD]]*Table24[[#This Row],[ECO SEAT]]</f>
        <v>7047100</v>
      </c>
      <c r="U805" s="307">
        <f>Table24[[#This Row],[SEATS SOLD]]*(IFERROR(VLOOKUP(Table24[[#This Row],[ROUTE]],PRICING!A:C,3,FALSE),0))</f>
        <v>8810300</v>
      </c>
      <c r="V805" s="307">
        <f>Table24[[#This Row],[SEAT REV]]-Table24[[#This Row],[SEAT REV
(IF IDEAL $)]]</f>
        <v>-1763200</v>
      </c>
      <c r="X805"/>
    </row>
    <row r="806" spans="1:24" x14ac:dyDescent="0.25">
      <c r="A806" s="306" t="s">
        <v>17220</v>
      </c>
      <c r="B806" s="306" t="s">
        <v>147</v>
      </c>
      <c r="C806" s="306" t="s">
        <v>2</v>
      </c>
      <c r="D806" s="26">
        <v>4</v>
      </c>
      <c r="E806" s="312" t="s">
        <v>14</v>
      </c>
      <c r="F806" s="306" t="str">
        <f>VLOOKUP(Table24[[#This Row],[Country]],Table10[[COUNTRY NAME]:[CONTINENT CODE]],3,FALSE)</f>
        <v>AS</v>
      </c>
      <c r="G806" s="312" t="s">
        <v>146</v>
      </c>
      <c r="H806" s="309">
        <v>14272</v>
      </c>
      <c r="I806" s="310">
        <v>33.5</v>
      </c>
      <c r="J806" s="307">
        <v>277348968</v>
      </c>
      <c r="K806" s="307">
        <f>IFERROR(Table24[[#This Row],[ROUTE COST]]/Table24[[#This Row],[O - DEMAND]],0)</f>
        <v>87740.894653590629</v>
      </c>
      <c r="L806" s="306">
        <v>3161</v>
      </c>
      <c r="M806" s="310">
        <f>Table24[[#This Row],[O - DEMAND]]/950</f>
        <v>3.3273684210526318</v>
      </c>
      <c r="N806" s="306">
        <f>IFERROR(VLOOKUP(Table24[[#This Row],[ROUTE]],DEMAND!A:F,5,FALSE),0)</f>
        <v>3298</v>
      </c>
      <c r="O806" s="306">
        <f>IFERROR(VLOOKUP(Table24[[#This Row],[ROUTE]],DEMAND!A:F,6,FALSE),0)</f>
        <v>448</v>
      </c>
      <c r="P806" s="306">
        <f>ROUNDDOWN(Table24[[#This Row],[R-DEMAND]]/950,0)</f>
        <v>0</v>
      </c>
      <c r="Q806" s="306">
        <f>Table24[[#This Row],[ADD ACC
(475/950)]]*Table24[[#This Row],[Duration
(A359)]]</f>
        <v>0</v>
      </c>
      <c r="R806" s="307">
        <f>IFERROR(VLOOKUP(Table24[[#This Row],[ROUTE]],PRICING!A:B,2,FALSE),0)</f>
        <v>3953</v>
      </c>
      <c r="S806" s="308">
        <f>Table24[[#This Row],[C_DEMAND]]-Table24[[#This Row],[R-DEMAND]]</f>
        <v>2850</v>
      </c>
      <c r="T806" s="307">
        <f>Table24[[#This Row],[SEATS SOLD]]*Table24[[#This Row],[ECO SEAT]]</f>
        <v>11266050</v>
      </c>
      <c r="U806" s="307">
        <f>Table24[[#This Row],[SEATS SOLD]]*(IFERROR(VLOOKUP(Table24[[#This Row],[ROUTE]],PRICING!A:C,3,FALSE),0))</f>
        <v>12950400</v>
      </c>
      <c r="V806" s="307">
        <f>Table24[[#This Row],[SEAT REV]]-Table24[[#This Row],[SEAT REV
(IF IDEAL $)]]</f>
        <v>-1684350</v>
      </c>
      <c r="X806"/>
    </row>
    <row r="807" spans="1:24" x14ac:dyDescent="0.25">
      <c r="A807" s="306" t="s">
        <v>17591</v>
      </c>
      <c r="B807" s="306" t="s">
        <v>4955</v>
      </c>
      <c r="C807" s="306" t="s">
        <v>2</v>
      </c>
      <c r="D807" s="26">
        <v>3</v>
      </c>
      <c r="E807" s="312" t="s">
        <v>119</v>
      </c>
      <c r="F807" s="306" t="str">
        <f>VLOOKUP(Table24[[#This Row],[Country]],Table10[[COUNTRY NAME]:[CONTINENT CODE]],3,FALSE)</f>
        <v>EU</v>
      </c>
      <c r="G807" s="312" t="s">
        <v>11680</v>
      </c>
      <c r="H807" s="309">
        <v>6505</v>
      </c>
      <c r="I807" s="310">
        <v>16.5</v>
      </c>
      <c r="J807" s="307">
        <v>182152031</v>
      </c>
      <c r="K807" s="307">
        <f>IFERROR(Table24[[#This Row],[ROUTE COST]]/Table24[[#This Row],[O - DEMAND]],0)</f>
        <v>80956.458222222223</v>
      </c>
      <c r="L807" s="306">
        <v>2250</v>
      </c>
      <c r="M807" s="310">
        <f>Table24[[#This Row],[O - DEMAND]]/950</f>
        <v>2.3684210526315788</v>
      </c>
      <c r="N807" s="306">
        <f>IFERROR(VLOOKUP(Table24[[#This Row],[ROUTE]],DEMAND!A:F,5,FALSE),0)</f>
        <v>2348</v>
      </c>
      <c r="O807" s="306">
        <f>IFERROR(VLOOKUP(Table24[[#This Row],[ROUTE]],DEMAND!A:F,6,FALSE),0)</f>
        <v>448</v>
      </c>
      <c r="P807" s="306">
        <f>ROUNDDOWN(Table24[[#This Row],[R-DEMAND]]/950,0)</f>
        <v>0</v>
      </c>
      <c r="Q807" s="306">
        <f>Table24[[#This Row],[ADD ACC
(475/950)]]*Table24[[#This Row],[Duration
(A359)]]</f>
        <v>0</v>
      </c>
      <c r="R807" s="307">
        <f>IFERROR(VLOOKUP(Table24[[#This Row],[ROUTE]],PRICING!A:B,2,FALSE),0)</f>
        <v>1858</v>
      </c>
      <c r="S807" s="308">
        <f>Table24[[#This Row],[C_DEMAND]]-Table24[[#This Row],[R-DEMAND]]</f>
        <v>1900</v>
      </c>
      <c r="T807" s="307">
        <f>Table24[[#This Row],[SEATS SOLD]]*Table24[[#This Row],[ECO SEAT]]</f>
        <v>3530200</v>
      </c>
      <c r="U807" s="307">
        <f>Table24[[#This Row],[SEATS SOLD]]*(IFERROR(VLOOKUP(Table24[[#This Row],[ROUTE]],PRICING!A:C,3,FALSE),0))</f>
        <v>4058400</v>
      </c>
      <c r="V807" s="307">
        <f>Table24[[#This Row],[SEAT REV]]-Table24[[#This Row],[SEAT REV
(IF IDEAL $)]]</f>
        <v>-528200</v>
      </c>
      <c r="X807"/>
    </row>
    <row r="808" spans="1:24" x14ac:dyDescent="0.25">
      <c r="A808" s="306" t="s">
        <v>17756</v>
      </c>
      <c r="B808" s="306" t="s">
        <v>5323</v>
      </c>
      <c r="C808" s="306" t="s">
        <v>2</v>
      </c>
      <c r="D808" s="26">
        <v>3</v>
      </c>
      <c r="E808" s="312" t="s">
        <v>2329</v>
      </c>
      <c r="F808" s="306" t="str">
        <f>VLOOKUP(Table24[[#This Row],[Country]],Table10[[COUNTRY NAME]:[CONTINENT CODE]],3,FALSE)</f>
        <v>NA</v>
      </c>
      <c r="G808" s="312" t="s">
        <v>13232</v>
      </c>
      <c r="H808" s="309">
        <v>1305</v>
      </c>
      <c r="I808" s="310">
        <v>5</v>
      </c>
      <c r="J808" s="307">
        <v>137348391</v>
      </c>
      <c r="K808" s="307">
        <f>IFERROR(Table24[[#This Row],[ROUTE COST]]/Table24[[#This Row],[O - DEMAND]],0)</f>
        <v>44363.175387596901</v>
      </c>
      <c r="L808" s="306">
        <v>3096</v>
      </c>
      <c r="M808" s="310">
        <f>Table24[[#This Row],[O - DEMAND]]/950</f>
        <v>3.2589473684210528</v>
      </c>
      <c r="N808" s="306">
        <f>IFERROR(VLOOKUP(Table24[[#This Row],[ROUTE]],DEMAND!A:F,5,FALSE),0)</f>
        <v>3303</v>
      </c>
      <c r="O808" s="306">
        <f>IFERROR(VLOOKUP(Table24[[#This Row],[ROUTE]],DEMAND!A:F,6,FALSE),0)</f>
        <v>453</v>
      </c>
      <c r="P808" s="306">
        <f>ROUNDDOWN(Table24[[#This Row],[R-DEMAND]]/950,0)</f>
        <v>0</v>
      </c>
      <c r="Q808" s="306">
        <f>Table24[[#This Row],[ADD ACC
(475/950)]]*Table24[[#This Row],[Duration
(A359)]]</f>
        <v>0</v>
      </c>
      <c r="R808" s="307">
        <f>IFERROR(VLOOKUP(Table24[[#This Row],[ROUTE]],PRICING!A:B,2,FALSE),0)</f>
        <v>419</v>
      </c>
      <c r="S808" s="308">
        <f>Table24[[#This Row],[C_DEMAND]]-Table24[[#This Row],[R-DEMAND]]</f>
        <v>2850</v>
      </c>
      <c r="T808" s="307">
        <f>Table24[[#This Row],[SEATS SOLD]]*Table24[[#This Row],[ECO SEAT]]</f>
        <v>1194150</v>
      </c>
      <c r="U808" s="307">
        <f>Table24[[#This Row],[SEATS SOLD]]*(IFERROR(VLOOKUP(Table24[[#This Row],[ROUTE]],PRICING!A:C,3,FALSE),0))</f>
        <v>1493400</v>
      </c>
      <c r="V808" s="307">
        <f>Table24[[#This Row],[SEAT REV]]-Table24[[#This Row],[SEAT REV
(IF IDEAL $)]]</f>
        <v>-299250</v>
      </c>
      <c r="X808"/>
    </row>
    <row r="809" spans="1:24" x14ac:dyDescent="0.25">
      <c r="A809" s="306" t="s">
        <v>17233</v>
      </c>
      <c r="B809" s="306" t="s">
        <v>95</v>
      </c>
      <c r="C809" s="306" t="s">
        <v>2</v>
      </c>
      <c r="D809" s="26">
        <v>4</v>
      </c>
      <c r="E809" s="312" t="s">
        <v>14</v>
      </c>
      <c r="F809" s="306" t="str">
        <f>VLOOKUP(Table24[[#This Row],[Country]],Table10[[COUNTRY NAME]:[CONTINENT CODE]],3,FALSE)</f>
        <v>AS</v>
      </c>
      <c r="G809" s="312" t="s">
        <v>94</v>
      </c>
      <c r="H809" s="309">
        <v>13128</v>
      </c>
      <c r="I809" s="310">
        <v>31</v>
      </c>
      <c r="J809" s="307">
        <v>261195678</v>
      </c>
      <c r="K809" s="307">
        <f>IFERROR(Table24[[#This Row],[ROUTE COST]]/Table24[[#This Row],[O - DEMAND]],0)</f>
        <v>64018.548529411768</v>
      </c>
      <c r="L809" s="306">
        <v>4080</v>
      </c>
      <c r="M809" s="310">
        <f>Table24[[#This Row],[O - DEMAND]]/950</f>
        <v>4.2947368421052632</v>
      </c>
      <c r="N809" s="306">
        <f>IFERROR(VLOOKUP(Table24[[#This Row],[ROUTE]],DEMAND!A:F,5,FALSE),0)</f>
        <v>4257</v>
      </c>
      <c r="O809" s="306">
        <f>IFERROR(VLOOKUP(Table24[[#This Row],[ROUTE]],DEMAND!A:F,6,FALSE),0)</f>
        <v>457</v>
      </c>
      <c r="P809" s="306">
        <f>ROUNDDOWN(Table24[[#This Row],[R-DEMAND]]/950,0)</f>
        <v>0</v>
      </c>
      <c r="Q809" s="306">
        <f>Table24[[#This Row],[ADD ACC
(475/950)]]*Table24[[#This Row],[Duration
(A359)]]</f>
        <v>0</v>
      </c>
      <c r="R809" s="307">
        <f>IFERROR(VLOOKUP(Table24[[#This Row],[ROUTE]],PRICING!A:B,2,FALSE),0)</f>
        <v>3644</v>
      </c>
      <c r="S809" s="308">
        <f>Table24[[#This Row],[C_DEMAND]]-Table24[[#This Row],[R-DEMAND]]</f>
        <v>3800</v>
      </c>
      <c r="T809" s="307">
        <f>Table24[[#This Row],[SEATS SOLD]]*Table24[[#This Row],[ECO SEAT]]</f>
        <v>13847200</v>
      </c>
      <c r="U809" s="307">
        <f>Table24[[#This Row],[SEATS SOLD]]*(IFERROR(VLOOKUP(Table24[[#This Row],[ROUTE]],PRICING!A:C,3,FALSE),0))</f>
        <v>15918200</v>
      </c>
      <c r="V809" s="307">
        <f>Table24[[#This Row],[SEAT REV]]-Table24[[#This Row],[SEAT REV
(IF IDEAL $)]]</f>
        <v>-2071000</v>
      </c>
      <c r="X809"/>
    </row>
    <row r="810" spans="1:24" x14ac:dyDescent="0.25">
      <c r="A810" s="306" t="s">
        <v>17836</v>
      </c>
      <c r="B810" s="306" t="s">
        <v>404</v>
      </c>
      <c r="C810" s="306" t="s">
        <v>2</v>
      </c>
      <c r="D810" s="26">
        <v>5</v>
      </c>
      <c r="E810" s="312" t="s">
        <v>11732</v>
      </c>
      <c r="F810" s="306" t="str">
        <f>VLOOKUP(Table24[[#This Row],[Country]],Table10[[COUNTRY NAME]:[CONTINENT CODE]],3,FALSE)</f>
        <v>NA - US</v>
      </c>
      <c r="G810" s="312" t="s">
        <v>13343</v>
      </c>
      <c r="H810" s="309">
        <v>2648</v>
      </c>
      <c r="I810" s="310">
        <v>8</v>
      </c>
      <c r="J810" s="307">
        <v>175248097</v>
      </c>
      <c r="K810" s="307">
        <f>IFERROR(Table24[[#This Row],[ROUTE COST]]/Table24[[#This Row],[O - DEMAND]],0)</f>
        <v>56061.451375559824</v>
      </c>
      <c r="L810" s="306">
        <v>3126</v>
      </c>
      <c r="M810" s="310">
        <f>Table24[[#This Row],[O - DEMAND]]/950</f>
        <v>3.2905263157894735</v>
      </c>
      <c r="N810" s="306">
        <f>IFERROR(VLOOKUP(Table24[[#This Row],[ROUTE]],DEMAND!A:F,5,FALSE),0)</f>
        <v>3314</v>
      </c>
      <c r="O810" s="306">
        <f>IFERROR(VLOOKUP(Table24[[#This Row],[ROUTE]],DEMAND!A:F,6,FALSE),0)</f>
        <v>464</v>
      </c>
      <c r="P810" s="306">
        <f>ROUNDDOWN(Table24[[#This Row],[R-DEMAND]]/950,0)</f>
        <v>0</v>
      </c>
      <c r="Q810" s="306">
        <f>Table24[[#This Row],[ADD ACC
(475/950)]]*Table24[[#This Row],[Duration
(A359)]]</f>
        <v>0</v>
      </c>
      <c r="R810" s="307">
        <f>IFERROR(VLOOKUP(Table24[[#This Row],[ROUTE]],PRICING!A:B,2,FALSE),0)</f>
        <v>770</v>
      </c>
      <c r="S810" s="308">
        <f>Table24[[#This Row],[C_DEMAND]]-Table24[[#This Row],[R-DEMAND]]</f>
        <v>2850</v>
      </c>
      <c r="T810" s="307">
        <f>Table24[[#This Row],[SEATS SOLD]]*Table24[[#This Row],[ECO SEAT]]</f>
        <v>2194500</v>
      </c>
      <c r="U810" s="307">
        <f>Table24[[#This Row],[SEATS SOLD]]*(IFERROR(VLOOKUP(Table24[[#This Row],[ROUTE]],PRICING!A:C,3,FALSE),0))</f>
        <v>2679000</v>
      </c>
      <c r="V810" s="307">
        <f>Table24[[#This Row],[SEAT REV]]-Table24[[#This Row],[SEAT REV
(IF IDEAL $)]]</f>
        <v>-484500</v>
      </c>
      <c r="X810"/>
    </row>
    <row r="811" spans="1:24" x14ac:dyDescent="0.25">
      <c r="A811" s="306" t="s">
        <v>17763</v>
      </c>
      <c r="B811" s="306" t="s">
        <v>4977</v>
      </c>
      <c r="C811" s="306" t="s">
        <v>2</v>
      </c>
      <c r="D811" s="26">
        <v>3</v>
      </c>
      <c r="E811" s="312" t="s">
        <v>2791</v>
      </c>
      <c r="F811" s="306" t="str">
        <f>VLOOKUP(Table24[[#This Row],[Country]],Table10[[COUNTRY NAME]:[CONTINENT CODE]],3,FALSE)</f>
        <v>NA</v>
      </c>
      <c r="G811" s="312" t="s">
        <v>13199</v>
      </c>
      <c r="H811" s="309">
        <v>415</v>
      </c>
      <c r="I811" s="310">
        <v>3</v>
      </c>
      <c r="J811" s="307">
        <v>120399144</v>
      </c>
      <c r="K811" s="307">
        <f>IFERROR(Table24[[#This Row],[ROUTE COST]]/Table24[[#This Row],[O - DEMAND]],0)</f>
        <v>54331.743682310473</v>
      </c>
      <c r="L811" s="306">
        <v>2216</v>
      </c>
      <c r="M811" s="310">
        <f>Table24[[#This Row],[O - DEMAND]]/950</f>
        <v>2.3326315789473684</v>
      </c>
      <c r="N811" s="306">
        <f>IFERROR(VLOOKUP(Table24[[#This Row],[ROUTE]],DEMAND!A:F,5,FALSE),0)</f>
        <v>2364</v>
      </c>
      <c r="O811" s="306">
        <f>IFERROR(VLOOKUP(Table24[[#This Row],[ROUTE]],DEMAND!A:F,6,FALSE),0)</f>
        <v>464</v>
      </c>
      <c r="P811" s="306">
        <f>ROUNDDOWN(Table24[[#This Row],[R-DEMAND]]/950,0)</f>
        <v>0</v>
      </c>
      <c r="Q811" s="306">
        <f>Table24[[#This Row],[ADD ACC
(475/950)]]*Table24[[#This Row],[Duration
(A359)]]</f>
        <v>0</v>
      </c>
      <c r="R811" s="307">
        <f>IFERROR(VLOOKUP(Table24[[#This Row],[ROUTE]],PRICING!A:B,2,FALSE),0)</f>
        <v>198</v>
      </c>
      <c r="S811" s="308">
        <f>Table24[[#This Row],[C_DEMAND]]-Table24[[#This Row],[R-DEMAND]]</f>
        <v>1900</v>
      </c>
      <c r="T811" s="307">
        <f>Table24[[#This Row],[SEATS SOLD]]*Table24[[#This Row],[ECO SEAT]]</f>
        <v>376200</v>
      </c>
      <c r="U811" s="307">
        <f>Table24[[#This Row],[SEATS SOLD]]*(IFERROR(VLOOKUP(Table24[[#This Row],[ROUTE]],PRICING!A:C,3,FALSE),0))</f>
        <v>471200</v>
      </c>
      <c r="V811" s="307">
        <f>Table24[[#This Row],[SEAT REV]]-Table24[[#This Row],[SEAT REV
(IF IDEAL $)]]</f>
        <v>-95000</v>
      </c>
      <c r="X811"/>
    </row>
    <row r="812" spans="1:24" x14ac:dyDescent="0.25">
      <c r="A812" s="306" t="s">
        <v>17119</v>
      </c>
      <c r="B812" s="306" t="s">
        <v>2614</v>
      </c>
      <c r="C812" s="306" t="s">
        <v>2</v>
      </c>
      <c r="D812" s="26">
        <v>2</v>
      </c>
      <c r="E812" s="312" t="s">
        <v>2612</v>
      </c>
      <c r="F812" s="306" t="str">
        <f>VLOOKUP(Table24[[#This Row],[Country]],Table10[[COUNTRY NAME]:[CONTINENT CODE]],3,FALSE)</f>
        <v>AF</v>
      </c>
      <c r="G812" s="312" t="s">
        <v>11891</v>
      </c>
      <c r="H812" s="309">
        <v>11351</v>
      </c>
      <c r="I812" s="310">
        <v>27</v>
      </c>
      <c r="J812" s="307">
        <v>214752758</v>
      </c>
      <c r="K812" s="307">
        <f>IFERROR(Table24[[#This Row],[ROUTE COST]]/Table24[[#This Row],[O - DEMAND]],0)</f>
        <v>53038.468263768831</v>
      </c>
      <c r="L812" s="306">
        <v>4049</v>
      </c>
      <c r="M812" s="310">
        <f>Table24[[#This Row],[O - DEMAND]]/950</f>
        <v>4.2621052631578946</v>
      </c>
      <c r="N812" s="306">
        <f>IFERROR(VLOOKUP(Table24[[#This Row],[ROUTE]],DEMAND!A:F,5,FALSE),0)</f>
        <v>4265</v>
      </c>
      <c r="O812" s="306">
        <f>IFERROR(VLOOKUP(Table24[[#This Row],[ROUTE]],DEMAND!A:F,6,FALSE),0)</f>
        <v>465</v>
      </c>
      <c r="P812" s="306">
        <f>ROUNDDOWN(Table24[[#This Row],[R-DEMAND]]/950,0)</f>
        <v>0</v>
      </c>
      <c r="Q812" s="306">
        <f>Table24[[#This Row],[ADD ACC
(475/950)]]*Table24[[#This Row],[Duration
(A359)]]</f>
        <v>0</v>
      </c>
      <c r="R812" s="307">
        <f>IFERROR(VLOOKUP(Table24[[#This Row],[ROUTE]],PRICING!A:B,2,FALSE),0)</f>
        <v>3055</v>
      </c>
      <c r="S812" s="308">
        <f>Table24[[#This Row],[C_DEMAND]]-Table24[[#This Row],[R-DEMAND]]</f>
        <v>3800</v>
      </c>
      <c r="T812" s="307">
        <f>Table24[[#This Row],[SEATS SOLD]]*Table24[[#This Row],[ECO SEAT]]</f>
        <v>11609000</v>
      </c>
      <c r="U812" s="307">
        <f>Table24[[#This Row],[SEATS SOLD]]*(IFERROR(VLOOKUP(Table24[[#This Row],[ROUTE]],PRICING!A:C,3,FALSE),0))</f>
        <v>13824400</v>
      </c>
      <c r="V812" s="307">
        <f>Table24[[#This Row],[SEAT REV]]-Table24[[#This Row],[SEAT REV
(IF IDEAL $)]]</f>
        <v>-2215400</v>
      </c>
      <c r="X812"/>
    </row>
    <row r="813" spans="1:24" x14ac:dyDescent="0.25">
      <c r="A813" s="306" t="s">
        <v>17540</v>
      </c>
      <c r="B813" s="306" t="s">
        <v>5185</v>
      </c>
      <c r="C813" s="306" t="s">
        <v>2</v>
      </c>
      <c r="D813" s="26">
        <v>3</v>
      </c>
      <c r="E813" s="312" t="s">
        <v>5183</v>
      </c>
      <c r="F813" s="306" t="str">
        <f>VLOOKUP(Table24[[#This Row],[Country]],Table10[[COUNTRY NAME]:[CONTINENT CODE]],3,FALSE)</f>
        <v>EU</v>
      </c>
      <c r="G813" s="312" t="s">
        <v>11797</v>
      </c>
      <c r="H813" s="309">
        <v>8531</v>
      </c>
      <c r="I813" s="310">
        <v>20.75</v>
      </c>
      <c r="J813" s="307">
        <v>206184430</v>
      </c>
      <c r="K813" s="307">
        <f>IFERROR(Table24[[#This Row],[ROUTE COST]]/Table24[[#This Row],[O - DEMAND]],0)</f>
        <v>65310.240734874882</v>
      </c>
      <c r="L813" s="306">
        <v>3157</v>
      </c>
      <c r="M813" s="310">
        <f>Table24[[#This Row],[O - DEMAND]]/950</f>
        <v>3.3231578947368421</v>
      </c>
      <c r="N813" s="306">
        <f>IFERROR(VLOOKUP(Table24[[#This Row],[ROUTE]],DEMAND!A:F,5,FALSE),0)</f>
        <v>3315</v>
      </c>
      <c r="O813" s="306">
        <f>IFERROR(VLOOKUP(Table24[[#This Row],[ROUTE]],DEMAND!A:F,6,FALSE),0)</f>
        <v>-485</v>
      </c>
      <c r="P813" s="306">
        <f>ROUNDDOWN(Table24[[#This Row],[R-DEMAND]]/950,0)</f>
        <v>0</v>
      </c>
      <c r="Q813" s="306">
        <f>Table24[[#This Row],[ADD ACC
(475/950)]]*Table24[[#This Row],[Duration
(A359)]]</f>
        <v>0</v>
      </c>
      <c r="R813" s="307">
        <f>IFERROR(VLOOKUP(Table24[[#This Row],[ROUTE]],PRICING!A:B,2,FALSE),0)</f>
        <v>2349</v>
      </c>
      <c r="S813" s="308">
        <f>Table24[[#This Row],[C_DEMAND]]-Table24[[#This Row],[R-DEMAND]]</f>
        <v>3800</v>
      </c>
      <c r="T813" s="307">
        <f>Table24[[#This Row],[SEATS SOLD]]*Table24[[#This Row],[ECO SEAT]]</f>
        <v>8926200</v>
      </c>
      <c r="U813" s="307">
        <f>Table24[[#This Row],[SEATS SOLD]]*(IFERROR(VLOOKUP(Table24[[#This Row],[ROUTE]],PRICING!A:C,3,FALSE),0))</f>
        <v>10503200</v>
      </c>
      <c r="V813" s="307">
        <f>Table24[[#This Row],[SEAT REV]]-Table24[[#This Row],[SEAT REV
(IF IDEAL $)]]</f>
        <v>-1577000</v>
      </c>
      <c r="X813"/>
    </row>
    <row r="814" spans="1:24" x14ac:dyDescent="0.25">
      <c r="A814" s="306" t="s">
        <v>17086</v>
      </c>
      <c r="B814" s="306" t="s">
        <v>50</v>
      </c>
      <c r="C814" s="306" t="s">
        <v>2</v>
      </c>
      <c r="D814" s="26">
        <v>2</v>
      </c>
      <c r="E814" s="312" t="s">
        <v>608</v>
      </c>
      <c r="F814" s="306" t="str">
        <f>VLOOKUP(Table24[[#This Row],[Country]],Table10[[COUNTRY NAME]:[CONTINENT CODE]],3,FALSE)</f>
        <v>AF</v>
      </c>
      <c r="G814" s="312" t="s">
        <v>11682</v>
      </c>
      <c r="H814" s="309">
        <v>6714</v>
      </c>
      <c r="I814" s="310">
        <v>16.75</v>
      </c>
      <c r="J814" s="307">
        <v>173480221</v>
      </c>
      <c r="K814" s="307">
        <f>IFERROR(Table24[[#This Row],[ROUTE COST]]/Table24[[#This Row],[O - DEMAND]],0)</f>
        <v>55478.164694595456</v>
      </c>
      <c r="L814" s="306">
        <v>3127</v>
      </c>
      <c r="M814" s="310">
        <f>Table24[[#This Row],[O - DEMAND]]/950</f>
        <v>3.2915789473684209</v>
      </c>
      <c r="N814" s="306">
        <f>IFERROR(VLOOKUP(Table24[[#This Row],[ROUTE]],DEMAND!A:F,5,FALSE),0)</f>
        <v>3315</v>
      </c>
      <c r="O814" s="306">
        <f>IFERROR(VLOOKUP(Table24[[#This Row],[ROUTE]],DEMAND!A:F,6,FALSE),0)</f>
        <v>465</v>
      </c>
      <c r="P814" s="306">
        <f>ROUNDDOWN(Table24[[#This Row],[R-DEMAND]]/950,0)</f>
        <v>0</v>
      </c>
      <c r="Q814" s="306">
        <f>Table24[[#This Row],[ADD ACC
(475/950)]]*Table24[[#This Row],[Duration
(A359)]]</f>
        <v>0</v>
      </c>
      <c r="R814" s="307">
        <f>IFERROR(VLOOKUP(Table24[[#This Row],[ROUTE]],PRICING!A:B,2,FALSE),0)</f>
        <v>1804</v>
      </c>
      <c r="S814" s="308">
        <f>Table24[[#This Row],[C_DEMAND]]-Table24[[#This Row],[R-DEMAND]]</f>
        <v>2850</v>
      </c>
      <c r="T814" s="307">
        <f>Table24[[#This Row],[SEATS SOLD]]*Table24[[#This Row],[ECO SEAT]]</f>
        <v>5141400</v>
      </c>
      <c r="U814" s="307">
        <f>Table24[[#This Row],[SEATS SOLD]]*(IFERROR(VLOOKUP(Table24[[#This Row],[ROUTE]],PRICING!A:C,3,FALSE),0))</f>
        <v>6272850</v>
      </c>
      <c r="V814" s="307">
        <f>Table24[[#This Row],[SEAT REV]]-Table24[[#This Row],[SEAT REV
(IF IDEAL $)]]</f>
        <v>-1131450</v>
      </c>
      <c r="X814"/>
    </row>
    <row r="815" spans="1:24" x14ac:dyDescent="0.25">
      <c r="A815" s="306" t="s">
        <v>18062</v>
      </c>
      <c r="B815" s="306" t="s">
        <v>3557</v>
      </c>
      <c r="C815" s="306" t="s">
        <v>2</v>
      </c>
      <c r="D815" s="26">
        <v>2</v>
      </c>
      <c r="E815" s="312" t="s">
        <v>530</v>
      </c>
      <c r="F815" s="306" t="str">
        <f>VLOOKUP(Table24[[#This Row],[Country]],Table10[[COUNTRY NAME]:[CONTINENT CODE]],3,FALSE)</f>
        <v>SA</v>
      </c>
      <c r="G815" s="312" t="s">
        <v>10738</v>
      </c>
      <c r="H815" s="309">
        <v>7173</v>
      </c>
      <c r="I815" s="310">
        <v>17.75</v>
      </c>
      <c r="J815" s="307">
        <v>174184394</v>
      </c>
      <c r="K815" s="307">
        <f>IFERROR(Table24[[#This Row],[ROUTE COST]]/Table24[[#This Row],[O - DEMAND]],0)</f>
        <v>77312.203284509538</v>
      </c>
      <c r="L815" s="306">
        <v>2253</v>
      </c>
      <c r="M815" s="310">
        <f>Table24[[#This Row],[O - DEMAND]]/950</f>
        <v>2.371578947368421</v>
      </c>
      <c r="N815" s="306">
        <f>IFERROR(VLOOKUP(Table24[[#This Row],[ROUTE]],DEMAND!A:F,5,FALSE),0)</f>
        <v>2365</v>
      </c>
      <c r="O815" s="306">
        <f>IFERROR(VLOOKUP(Table24[[#This Row],[ROUTE]],DEMAND!A:F,6,FALSE),0)</f>
        <v>465</v>
      </c>
      <c r="P815" s="306">
        <f>ROUNDDOWN(Table24[[#This Row],[R-DEMAND]]/950,0)</f>
        <v>0</v>
      </c>
      <c r="Q815" s="306">
        <f>Table24[[#This Row],[ADD ACC
(475/950)]]*Table24[[#This Row],[Duration
(A359)]]</f>
        <v>0</v>
      </c>
      <c r="R815" s="307">
        <f>IFERROR(VLOOKUP(Table24[[#This Row],[ROUTE]],PRICING!A:B,2,FALSE),0)</f>
        <v>1991</v>
      </c>
      <c r="S815" s="308">
        <f>Table24[[#This Row],[C_DEMAND]]-Table24[[#This Row],[R-DEMAND]]</f>
        <v>1900</v>
      </c>
      <c r="T815" s="307">
        <f>Table24[[#This Row],[SEATS SOLD]]*Table24[[#This Row],[ECO SEAT]]</f>
        <v>3782900</v>
      </c>
      <c r="U815" s="307">
        <f>Table24[[#This Row],[SEATS SOLD]]*(IFERROR(VLOOKUP(Table24[[#This Row],[ROUTE]],PRICING!A:C,3,FALSE),0))</f>
        <v>4451700</v>
      </c>
      <c r="V815" s="307">
        <f>Table24[[#This Row],[SEAT REV]]-Table24[[#This Row],[SEAT REV
(IF IDEAL $)]]</f>
        <v>-668800</v>
      </c>
      <c r="X815"/>
    </row>
    <row r="816" spans="1:24" x14ac:dyDescent="0.25">
      <c r="A816" s="306" t="s">
        <v>17252</v>
      </c>
      <c r="B816" s="306" t="s">
        <v>304</v>
      </c>
      <c r="C816" s="306" t="s">
        <v>2</v>
      </c>
      <c r="D816" s="26">
        <v>3</v>
      </c>
      <c r="E816" s="312" t="s">
        <v>1070</v>
      </c>
      <c r="F816" s="306" t="str">
        <f>VLOOKUP(Table24[[#This Row],[Country]],Table10[[COUNTRY NAME]:[CONTINENT CODE]],3,FALSE)</f>
        <v>AS</v>
      </c>
      <c r="G816" s="312" t="s">
        <v>12062</v>
      </c>
      <c r="H816" s="309">
        <v>14753</v>
      </c>
      <c r="I816" s="310">
        <v>34.5</v>
      </c>
      <c r="J816" s="307">
        <v>264644969</v>
      </c>
      <c r="K816" s="307">
        <f>IFERROR(Table24[[#This Row],[ROUTE COST]]/Table24[[#This Row],[O - DEMAND]],0)</f>
        <v>84201.390073178496</v>
      </c>
      <c r="L816" s="306">
        <v>3143</v>
      </c>
      <c r="M816" s="310">
        <f>Table24[[#This Row],[O - DEMAND]]/950</f>
        <v>3.3084210526315792</v>
      </c>
      <c r="N816" s="306">
        <f>IFERROR(VLOOKUP(Table24[[#This Row],[ROUTE]],DEMAND!A:F,5,FALSE),0)</f>
        <v>3321</v>
      </c>
      <c r="O816" s="306">
        <f>IFERROR(VLOOKUP(Table24[[#This Row],[ROUTE]],DEMAND!A:F,6,FALSE),0)</f>
        <v>471</v>
      </c>
      <c r="P816" s="306">
        <f>ROUNDDOWN(Table24[[#This Row],[R-DEMAND]]/950,0)</f>
        <v>0</v>
      </c>
      <c r="Q816" s="306">
        <f>Table24[[#This Row],[ADD ACC
(475/950)]]*Table24[[#This Row],[Duration
(A359)]]</f>
        <v>0</v>
      </c>
      <c r="R816" s="307">
        <f>IFERROR(VLOOKUP(Table24[[#This Row],[ROUTE]],PRICING!A:B,2,FALSE),0)</f>
        <v>3895</v>
      </c>
      <c r="S816" s="308">
        <f>Table24[[#This Row],[C_DEMAND]]-Table24[[#This Row],[R-DEMAND]]</f>
        <v>2850</v>
      </c>
      <c r="T816" s="307">
        <f>Table24[[#This Row],[SEATS SOLD]]*Table24[[#This Row],[ECO SEAT]]</f>
        <v>11100750</v>
      </c>
      <c r="U816" s="307">
        <f>Table24[[#This Row],[SEATS SOLD]]*(IFERROR(VLOOKUP(Table24[[#This Row],[ROUTE]],PRICING!A:C,3,FALSE),0))</f>
        <v>13375050</v>
      </c>
      <c r="V816" s="307">
        <f>Table24[[#This Row],[SEAT REV]]-Table24[[#This Row],[SEAT REV
(IF IDEAL $)]]</f>
        <v>-2274300</v>
      </c>
      <c r="X816"/>
    </row>
    <row r="817" spans="1:24" x14ac:dyDescent="0.25">
      <c r="A817" s="306" t="s">
        <v>17172</v>
      </c>
      <c r="B817" s="306" t="s">
        <v>163</v>
      </c>
      <c r="C817" s="306" t="s">
        <v>2</v>
      </c>
      <c r="D817" s="26">
        <v>2</v>
      </c>
      <c r="E817" s="312" t="s">
        <v>926</v>
      </c>
      <c r="F817" s="306" t="str">
        <f>VLOOKUP(Table24[[#This Row],[Country]],Table10[[COUNTRY NAME]:[CONTINENT CODE]],3,FALSE)</f>
        <v>AF</v>
      </c>
      <c r="G817" s="312" t="s">
        <v>11907</v>
      </c>
      <c r="H817" s="309">
        <v>12187</v>
      </c>
      <c r="I817" s="310">
        <v>29</v>
      </c>
      <c r="J817" s="307">
        <v>223311475</v>
      </c>
      <c r="K817" s="307">
        <f>IFERROR(Table24[[#This Row],[ROUTE COST]]/Table24[[#This Row],[O - DEMAND]],0)</f>
        <v>69480.857187305533</v>
      </c>
      <c r="L817" s="306">
        <v>3214</v>
      </c>
      <c r="M817" s="310">
        <f>Table24[[#This Row],[O - DEMAND]]/950</f>
        <v>3.3831578947368421</v>
      </c>
      <c r="N817" s="306">
        <f>IFERROR(VLOOKUP(Table24[[#This Row],[ROUTE]],DEMAND!A:F,5,FALSE),0)</f>
        <v>3321</v>
      </c>
      <c r="O817" s="306">
        <f>IFERROR(VLOOKUP(Table24[[#This Row],[ROUTE]],DEMAND!A:F,6,FALSE),0)</f>
        <v>471</v>
      </c>
      <c r="P817" s="306">
        <f>ROUNDDOWN(Table24[[#This Row],[R-DEMAND]]/950,0)</f>
        <v>0</v>
      </c>
      <c r="Q817" s="306">
        <f>Table24[[#This Row],[ADD ACC
(475/950)]]*Table24[[#This Row],[Duration
(A359)]]</f>
        <v>0</v>
      </c>
      <c r="R817" s="307">
        <f>IFERROR(VLOOKUP(Table24[[#This Row],[ROUTE]],PRICING!A:B,2,FALSE),0)</f>
        <v>3507</v>
      </c>
      <c r="S817" s="308">
        <f>Table24[[#This Row],[C_DEMAND]]-Table24[[#This Row],[R-DEMAND]]</f>
        <v>2850</v>
      </c>
      <c r="T817" s="307">
        <f>Table24[[#This Row],[SEATS SOLD]]*Table24[[#This Row],[ECO SEAT]]</f>
        <v>9994950</v>
      </c>
      <c r="U817" s="307">
        <f>Table24[[#This Row],[SEATS SOLD]]*(IFERROR(VLOOKUP(Table24[[#This Row],[ROUTE]],PRICING!A:C,3,FALSE),0))</f>
        <v>11106450</v>
      </c>
      <c r="V817" s="307">
        <f>Table24[[#This Row],[SEAT REV]]-Table24[[#This Row],[SEAT REV
(IF IDEAL $)]]</f>
        <v>-1111500</v>
      </c>
      <c r="X817"/>
    </row>
    <row r="818" spans="1:24" x14ac:dyDescent="0.25">
      <c r="A818" s="306" t="s">
        <v>17511</v>
      </c>
      <c r="B818" s="306" t="s">
        <v>5253</v>
      </c>
      <c r="C818" s="306" t="s">
        <v>2</v>
      </c>
      <c r="D818" s="26">
        <v>3</v>
      </c>
      <c r="E818" s="312" t="s">
        <v>588</v>
      </c>
      <c r="F818" s="306" t="str">
        <f>VLOOKUP(Table24[[#This Row],[Country]],Table10[[COUNTRY NAME]:[CONTINENT CODE]],3,FALSE)</f>
        <v>EU</v>
      </c>
      <c r="G818" s="312" t="s">
        <v>11991</v>
      </c>
      <c r="H818" s="309">
        <v>12454</v>
      </c>
      <c r="I818" s="310">
        <v>29.5</v>
      </c>
      <c r="J818" s="307">
        <v>248323564</v>
      </c>
      <c r="K818" s="307">
        <f>IFERROR(Table24[[#This Row],[ROUTE COST]]/Table24[[#This Row],[O - DEMAND]],0)</f>
        <v>60640.674969474967</v>
      </c>
      <c r="L818" s="306">
        <v>4095</v>
      </c>
      <c r="M818" s="310">
        <f>Table24[[#This Row],[O - DEMAND]]/950</f>
        <v>4.310526315789474</v>
      </c>
      <c r="N818" s="306">
        <f>IFERROR(VLOOKUP(Table24[[#This Row],[ROUTE]],DEMAND!A:F,5,FALSE),0)</f>
        <v>4272</v>
      </c>
      <c r="O818" s="306">
        <f>IFERROR(VLOOKUP(Table24[[#This Row],[ROUTE]],DEMAND!A:F,6,FALSE),0)</f>
        <v>472</v>
      </c>
      <c r="P818" s="306">
        <f>ROUNDDOWN(Table24[[#This Row],[R-DEMAND]]/950,0)</f>
        <v>0</v>
      </c>
      <c r="Q818" s="306">
        <f>Table24[[#This Row],[ADD ACC
(475/950)]]*Table24[[#This Row],[Duration
(A359)]]</f>
        <v>0</v>
      </c>
      <c r="R818" s="307">
        <f>IFERROR(VLOOKUP(Table24[[#This Row],[ROUTE]],PRICING!A:B,2,FALSE),0)</f>
        <v>3462</v>
      </c>
      <c r="S818" s="308">
        <f>Table24[[#This Row],[C_DEMAND]]-Table24[[#This Row],[R-DEMAND]]</f>
        <v>3800</v>
      </c>
      <c r="T818" s="307">
        <f>Table24[[#This Row],[SEATS SOLD]]*Table24[[#This Row],[ECO SEAT]]</f>
        <v>13155600</v>
      </c>
      <c r="U818" s="307">
        <f>Table24[[#This Row],[SEATS SOLD]]*(IFERROR(VLOOKUP(Table24[[#This Row],[ROUTE]],PRICING!A:C,3,FALSE),0))</f>
        <v>15124000</v>
      </c>
      <c r="V818" s="307">
        <f>Table24[[#This Row],[SEAT REV]]-Table24[[#This Row],[SEAT REV
(IF IDEAL $)]]</f>
        <v>-1968400</v>
      </c>
      <c r="X818"/>
    </row>
    <row r="819" spans="1:24" x14ac:dyDescent="0.25">
      <c r="A819" s="306" t="s">
        <v>17132</v>
      </c>
      <c r="B819" s="306" t="s">
        <v>388</v>
      </c>
      <c r="C819" s="306" t="s">
        <v>2</v>
      </c>
      <c r="D819" s="26">
        <v>4</v>
      </c>
      <c r="E819" s="312" t="s">
        <v>1124</v>
      </c>
      <c r="F819" s="306" t="str">
        <f>VLOOKUP(Table24[[#This Row],[Country]],Table10[[COUNTRY NAME]:[CONTINENT CODE]],3,FALSE)</f>
        <v>AF</v>
      </c>
      <c r="G819" s="312" t="s">
        <v>11101</v>
      </c>
      <c r="H819" s="309">
        <v>10228</v>
      </c>
      <c r="I819" s="310">
        <v>24.5</v>
      </c>
      <c r="J819" s="307">
        <v>241097254</v>
      </c>
      <c r="K819" s="307">
        <f>IFERROR(Table24[[#This Row],[ROUTE COST]]/Table24[[#This Row],[O - DEMAND]],0)</f>
        <v>48008.214655515731</v>
      </c>
      <c r="L819" s="306">
        <v>5022</v>
      </c>
      <c r="M819" s="310">
        <f>Table24[[#This Row],[O - DEMAND]]/950</f>
        <v>5.2863157894736839</v>
      </c>
      <c r="N819" s="306">
        <f>IFERROR(VLOOKUP(Table24[[#This Row],[ROUTE]],DEMAND!A:F,5,FALSE),0)</f>
        <v>5223</v>
      </c>
      <c r="O819" s="306">
        <f>IFERROR(VLOOKUP(Table24[[#This Row],[ROUTE]],DEMAND!A:F,6,FALSE),0)</f>
        <v>473</v>
      </c>
      <c r="P819" s="306">
        <f>ROUNDDOWN(Table24[[#This Row],[R-DEMAND]]/950,0)</f>
        <v>0</v>
      </c>
      <c r="Q819" s="306">
        <f>Table24[[#This Row],[ADD ACC
(475/950)]]*Table24[[#This Row],[Duration
(A359)]]</f>
        <v>0</v>
      </c>
      <c r="R819" s="307">
        <f>IFERROR(VLOOKUP(Table24[[#This Row],[ROUTE]],PRICING!A:B,2,FALSE),0)</f>
        <v>2895</v>
      </c>
      <c r="S819" s="308">
        <f>Table24[[#This Row],[C_DEMAND]]-Table24[[#This Row],[R-DEMAND]]</f>
        <v>4750</v>
      </c>
      <c r="T819" s="307">
        <f>Table24[[#This Row],[SEATS SOLD]]*Table24[[#This Row],[ECO SEAT]]</f>
        <v>13751250</v>
      </c>
      <c r="U819" s="307">
        <f>Table24[[#This Row],[SEATS SOLD]]*(IFERROR(VLOOKUP(Table24[[#This Row],[ROUTE]],PRICING!A:C,3,FALSE),0))</f>
        <v>15627500</v>
      </c>
      <c r="V819" s="307">
        <f>Table24[[#This Row],[SEAT REV]]-Table24[[#This Row],[SEAT REV
(IF IDEAL $)]]</f>
        <v>-1876250</v>
      </c>
      <c r="X819"/>
    </row>
    <row r="820" spans="1:24" x14ac:dyDescent="0.25">
      <c r="A820" s="306" t="s">
        <v>17574</v>
      </c>
      <c r="B820" s="306" t="s">
        <v>4898</v>
      </c>
      <c r="C820" s="306" t="s">
        <v>2</v>
      </c>
      <c r="D820" s="26">
        <v>3</v>
      </c>
      <c r="E820" s="312" t="s">
        <v>3204</v>
      </c>
      <c r="F820" s="306" t="str">
        <f>VLOOKUP(Table24[[#This Row],[Country]],Table10[[COUNTRY NAME]:[CONTINENT CODE]],3,FALSE)</f>
        <v>EU</v>
      </c>
      <c r="G820" s="312" t="s">
        <v>11736</v>
      </c>
      <c r="H820" s="309">
        <v>7559</v>
      </c>
      <c r="I820" s="310">
        <v>18.75</v>
      </c>
      <c r="J820" s="307">
        <v>191744567</v>
      </c>
      <c r="K820" s="307">
        <f>IFERROR(Table24[[#This Row],[ROUTE COST]]/Table24[[#This Row],[O - DEMAND]],0)</f>
        <v>84024.788343558277</v>
      </c>
      <c r="L820" s="306">
        <v>2282</v>
      </c>
      <c r="M820" s="310">
        <f>Table24[[#This Row],[O - DEMAND]]/950</f>
        <v>2.4021052631578947</v>
      </c>
      <c r="N820" s="306">
        <f>IFERROR(VLOOKUP(Table24[[#This Row],[ROUTE]],DEMAND!A:F,5,FALSE),0)</f>
        <v>2373</v>
      </c>
      <c r="O820" s="306">
        <f>IFERROR(VLOOKUP(Table24[[#This Row],[ROUTE]],DEMAND!A:F,6,FALSE),0)</f>
        <v>473</v>
      </c>
      <c r="P820" s="306">
        <f>ROUNDDOWN(Table24[[#This Row],[R-DEMAND]]/950,0)</f>
        <v>0</v>
      </c>
      <c r="Q820" s="306">
        <f>Table24[[#This Row],[ADD ACC
(475/950)]]*Table24[[#This Row],[Duration
(A359)]]</f>
        <v>0</v>
      </c>
      <c r="R820" s="307">
        <f>IFERROR(VLOOKUP(Table24[[#This Row],[ROUTE]],PRICING!A:B,2,FALSE),0)</f>
        <v>2167</v>
      </c>
      <c r="S820" s="308">
        <f>Table24[[#This Row],[C_DEMAND]]-Table24[[#This Row],[R-DEMAND]]</f>
        <v>1900</v>
      </c>
      <c r="T820" s="307">
        <f>Table24[[#This Row],[SEATS SOLD]]*Table24[[#This Row],[ECO SEAT]]</f>
        <v>4117300</v>
      </c>
      <c r="U820" s="307">
        <f>Table24[[#This Row],[SEATS SOLD]]*(IFERROR(VLOOKUP(Table24[[#This Row],[ROUTE]],PRICING!A:C,3,FALSE),0))</f>
        <v>4679700</v>
      </c>
      <c r="V820" s="307">
        <f>Table24[[#This Row],[SEAT REV]]-Table24[[#This Row],[SEAT REV
(IF IDEAL $)]]</f>
        <v>-562400</v>
      </c>
      <c r="X820"/>
    </row>
    <row r="821" spans="1:24" x14ac:dyDescent="0.25">
      <c r="A821" s="306" t="s">
        <v>17235</v>
      </c>
      <c r="B821" s="306" t="s">
        <v>268</v>
      </c>
      <c r="C821" s="306" t="s">
        <v>2</v>
      </c>
      <c r="D821" s="26">
        <v>4</v>
      </c>
      <c r="E821" s="312" t="s">
        <v>14</v>
      </c>
      <c r="F821" s="306" t="str">
        <f>VLOOKUP(Table24[[#This Row],[Country]],Table10[[COUNTRY NAME]:[CONTINENT CODE]],3,FALSE)</f>
        <v>AS</v>
      </c>
      <c r="G821" s="312" t="s">
        <v>11995</v>
      </c>
      <c r="H821" s="309">
        <v>12638</v>
      </c>
      <c r="I821" s="310">
        <v>29.75</v>
      </c>
      <c r="J821" s="307">
        <v>254709033</v>
      </c>
      <c r="K821" s="307">
        <f>IFERROR(Table24[[#This Row],[ROUTE COST]]/Table24[[#This Row],[O - DEMAND]],0)</f>
        <v>63534.306061361938</v>
      </c>
      <c r="L821" s="306">
        <v>4009</v>
      </c>
      <c r="M821" s="310">
        <f>Table24[[#This Row],[O - DEMAND]]/950</f>
        <v>4.22</v>
      </c>
      <c r="N821" s="306">
        <f>IFERROR(VLOOKUP(Table24[[#This Row],[ROUTE]],DEMAND!A:F,5,FALSE),0)</f>
        <v>4276</v>
      </c>
      <c r="O821" s="306">
        <f>IFERROR(VLOOKUP(Table24[[#This Row],[ROUTE]],DEMAND!A:F,6,FALSE),0)</f>
        <v>476</v>
      </c>
      <c r="P821" s="306">
        <f>ROUNDDOWN(Table24[[#This Row],[R-DEMAND]]/950,0)</f>
        <v>0</v>
      </c>
      <c r="Q821" s="306">
        <f>Table24[[#This Row],[ADD ACC
(475/950)]]*Table24[[#This Row],[Duration
(A359)]]</f>
        <v>0</v>
      </c>
      <c r="R821" s="307">
        <f>IFERROR(VLOOKUP(Table24[[#This Row],[ROUTE]],PRICING!A:B,2,FALSE),0)</f>
        <v>3229</v>
      </c>
      <c r="S821" s="308">
        <f>Table24[[#This Row],[C_DEMAND]]-Table24[[#This Row],[R-DEMAND]]</f>
        <v>3800</v>
      </c>
      <c r="T821" s="307">
        <f>Table24[[#This Row],[SEATS SOLD]]*Table24[[#This Row],[ECO SEAT]]</f>
        <v>12270200</v>
      </c>
      <c r="U821" s="307">
        <f>Table24[[#This Row],[SEATS SOLD]]*(IFERROR(VLOOKUP(Table24[[#This Row],[ROUTE]],PRICING!A:C,3,FALSE),0))</f>
        <v>15340600</v>
      </c>
      <c r="V821" s="307">
        <f>Table24[[#This Row],[SEAT REV]]-Table24[[#This Row],[SEAT REV
(IF IDEAL $)]]</f>
        <v>-3070400</v>
      </c>
      <c r="X821"/>
    </row>
    <row r="822" spans="1:24" x14ac:dyDescent="0.25">
      <c r="A822" s="306" t="s">
        <v>17055</v>
      </c>
      <c r="B822" s="306" t="s">
        <v>273</v>
      </c>
      <c r="C822" s="306" t="s">
        <v>2</v>
      </c>
      <c r="D822" s="26">
        <v>2</v>
      </c>
      <c r="E822" s="312" t="s">
        <v>926</v>
      </c>
      <c r="F822" s="306" t="str">
        <f>VLOOKUP(Table24[[#This Row],[Country]],Table10[[COUNTRY NAME]:[CONTINENT CODE]],3,FALSE)</f>
        <v>AF</v>
      </c>
      <c r="G822" s="312" t="s">
        <v>11889</v>
      </c>
      <c r="H822" s="309">
        <v>11889</v>
      </c>
      <c r="I822" s="310">
        <v>28.25</v>
      </c>
      <c r="J822" s="307">
        <v>219045977</v>
      </c>
      <c r="K822" s="307">
        <f>IFERROR(Table24[[#This Row],[ROUTE COST]]/Table24[[#This Row],[O - DEMAND]],0)</f>
        <v>69582.584815756039</v>
      </c>
      <c r="L822" s="306">
        <v>3148</v>
      </c>
      <c r="M822" s="310">
        <f>Table24[[#This Row],[O - DEMAND]]/950</f>
        <v>3.3136842105263158</v>
      </c>
      <c r="N822" s="306">
        <f>IFERROR(VLOOKUP(Table24[[#This Row],[ROUTE]],DEMAND!A:F,5,FALSE),0)</f>
        <v>3326</v>
      </c>
      <c r="O822" s="306">
        <f>IFERROR(VLOOKUP(Table24[[#This Row],[ROUTE]],DEMAND!A:F,6,FALSE),0)</f>
        <v>476</v>
      </c>
      <c r="P822" s="306">
        <f>ROUNDDOWN(Table24[[#This Row],[R-DEMAND]]/950,0)</f>
        <v>0</v>
      </c>
      <c r="Q822" s="306">
        <f>Table24[[#This Row],[ADD ACC
(475/950)]]*Table24[[#This Row],[Duration
(A359)]]</f>
        <v>0</v>
      </c>
      <c r="R822" s="307">
        <f>IFERROR(VLOOKUP(Table24[[#This Row],[ROUTE]],PRICING!A:B,2,FALSE),0)</f>
        <v>3158</v>
      </c>
      <c r="S822" s="308">
        <f>Table24[[#This Row],[C_DEMAND]]-Table24[[#This Row],[R-DEMAND]]</f>
        <v>2850</v>
      </c>
      <c r="T822" s="307">
        <f>Table24[[#This Row],[SEATS SOLD]]*Table24[[#This Row],[ECO SEAT]]</f>
        <v>9000300</v>
      </c>
      <c r="U822" s="307">
        <f>Table24[[#This Row],[SEATS SOLD]]*(IFERROR(VLOOKUP(Table24[[#This Row],[ROUTE]],PRICING!A:C,3,FALSE),0))</f>
        <v>10844250</v>
      </c>
      <c r="V822" s="307">
        <f>Table24[[#This Row],[SEAT REV]]-Table24[[#This Row],[SEAT REV
(IF IDEAL $)]]</f>
        <v>-1843950</v>
      </c>
      <c r="X822"/>
    </row>
    <row r="823" spans="1:24" x14ac:dyDescent="0.25">
      <c r="A823" s="306" t="s">
        <v>17218</v>
      </c>
      <c r="B823" s="306" t="s">
        <v>18</v>
      </c>
      <c r="C823" s="306" t="s">
        <v>2</v>
      </c>
      <c r="D823" s="26">
        <v>4</v>
      </c>
      <c r="E823" s="312" t="s">
        <v>14</v>
      </c>
      <c r="F823" s="306" t="str">
        <f>VLOOKUP(Table24[[#This Row],[Country]],Table10[[COUNTRY NAME]:[CONTINENT CODE]],3,FALSE)</f>
        <v>AS</v>
      </c>
      <c r="G823" s="312" t="s">
        <v>11028</v>
      </c>
      <c r="H823" s="309">
        <v>14486</v>
      </c>
      <c r="I823" s="310">
        <v>34</v>
      </c>
      <c r="J823" s="307">
        <v>279960917</v>
      </c>
      <c r="K823" s="307">
        <f>IFERROR(Table24[[#This Row],[ROUTE COST]]/Table24[[#This Row],[O - DEMAND]],0)</f>
        <v>88065.717835797419</v>
      </c>
      <c r="L823" s="306">
        <v>3179</v>
      </c>
      <c r="M823" s="310">
        <f>Table24[[#This Row],[O - DEMAND]]/950</f>
        <v>3.3463157894736844</v>
      </c>
      <c r="N823" s="306">
        <f>IFERROR(VLOOKUP(Table24[[#This Row],[ROUTE]],DEMAND!A:F,5,FALSE),0)</f>
        <v>3328</v>
      </c>
      <c r="O823" s="306">
        <f>IFERROR(VLOOKUP(Table24[[#This Row],[ROUTE]],DEMAND!A:F,6,FALSE),0)</f>
        <v>478</v>
      </c>
      <c r="P823" s="306">
        <f>ROUNDDOWN(Table24[[#This Row],[R-DEMAND]]/950,0)</f>
        <v>0</v>
      </c>
      <c r="Q823" s="306">
        <f>Table24[[#This Row],[ADD ACC
(475/950)]]*Table24[[#This Row],[Duration
(A359)]]</f>
        <v>0</v>
      </c>
      <c r="R823" s="307">
        <f>IFERROR(VLOOKUP(Table24[[#This Row],[ROUTE]],PRICING!A:B,2,FALSE),0)</f>
        <v>3964</v>
      </c>
      <c r="S823" s="308">
        <f>Table24[[#This Row],[C_DEMAND]]-Table24[[#This Row],[R-DEMAND]]</f>
        <v>2850</v>
      </c>
      <c r="T823" s="307">
        <f>Table24[[#This Row],[SEATS SOLD]]*Table24[[#This Row],[ECO SEAT]]</f>
        <v>11297400</v>
      </c>
      <c r="U823" s="307">
        <f>Table24[[#This Row],[SEATS SOLD]]*(IFERROR(VLOOKUP(Table24[[#This Row],[ROUTE]],PRICING!A:C,3,FALSE),0))</f>
        <v>13138500</v>
      </c>
      <c r="V823" s="307">
        <f>Table24[[#This Row],[SEAT REV]]-Table24[[#This Row],[SEAT REV
(IF IDEAL $)]]</f>
        <v>-1841100</v>
      </c>
      <c r="X823"/>
    </row>
    <row r="824" spans="1:24" x14ac:dyDescent="0.25">
      <c r="A824" s="306" t="s">
        <v>17042</v>
      </c>
      <c r="B824" s="306" t="s">
        <v>4204</v>
      </c>
      <c r="C824" s="306" t="s">
        <v>2</v>
      </c>
      <c r="D824" s="26">
        <v>2</v>
      </c>
      <c r="E824" s="312" t="s">
        <v>669</v>
      </c>
      <c r="F824" s="306" t="str">
        <f>VLOOKUP(Table24[[#This Row],[Country]],Table10[[COUNTRY NAME]:[CONTINENT CODE]],3,FALSE)</f>
        <v>AF</v>
      </c>
      <c r="G824" s="312" t="s">
        <v>16926</v>
      </c>
      <c r="H824" s="309">
        <v>6894</v>
      </c>
      <c r="I824" s="310">
        <v>17.25</v>
      </c>
      <c r="J824" s="307">
        <v>180364078</v>
      </c>
      <c r="K824" s="307">
        <f>IFERROR(Table24[[#This Row],[ROUTE COST]]/Table24[[#This Row],[O - DEMAND]],0)</f>
        <v>43534.655563601256</v>
      </c>
      <c r="L824" s="306">
        <v>4143</v>
      </c>
      <c r="M824" s="310">
        <f>Table24[[#This Row],[O - DEMAND]]/950</f>
        <v>4.3610526315789473</v>
      </c>
      <c r="N824" s="306">
        <f>IFERROR(VLOOKUP(Table24[[#This Row],[ROUTE]],DEMAND!A:F,5,FALSE),0)</f>
        <v>4281</v>
      </c>
      <c r="O824" s="306">
        <f>IFERROR(VLOOKUP(Table24[[#This Row],[ROUTE]],DEMAND!A:F,6,FALSE),0)</f>
        <v>481</v>
      </c>
      <c r="P824" s="306">
        <f>ROUNDDOWN(Table24[[#This Row],[R-DEMAND]]/950,0)</f>
        <v>0</v>
      </c>
      <c r="Q824" s="306">
        <f>Table24[[#This Row],[ADD ACC
(475/950)]]*Table24[[#This Row],[Duration
(A359)]]</f>
        <v>0</v>
      </c>
      <c r="R824" s="307">
        <f>IFERROR(VLOOKUP(Table24[[#This Row],[ROUTE]],PRICING!A:B,2,FALSE),0)</f>
        <v>2031</v>
      </c>
      <c r="S824" s="308">
        <f>Table24[[#This Row],[C_DEMAND]]-Table24[[#This Row],[R-DEMAND]]</f>
        <v>3800</v>
      </c>
      <c r="T824" s="307">
        <f>Table24[[#This Row],[SEATS SOLD]]*Table24[[#This Row],[ECO SEAT]]</f>
        <v>7717800</v>
      </c>
      <c r="U824" s="307">
        <f>Table24[[#This Row],[SEATS SOLD]]*(IFERROR(VLOOKUP(Table24[[#This Row],[ROUTE]],PRICING!A:C,3,FALSE),0))</f>
        <v>8576600</v>
      </c>
      <c r="V824" s="307">
        <f>Table24[[#This Row],[SEAT REV]]-Table24[[#This Row],[SEAT REV
(IF IDEAL $)]]</f>
        <v>-858800</v>
      </c>
      <c r="X824"/>
    </row>
    <row r="825" spans="1:24" x14ac:dyDescent="0.25">
      <c r="A825" s="306" t="s">
        <v>17531</v>
      </c>
      <c r="B825" s="306" t="s">
        <v>5190</v>
      </c>
      <c r="C825" s="306" t="s">
        <v>2</v>
      </c>
      <c r="D825" s="26">
        <v>3</v>
      </c>
      <c r="E825" s="312" t="s">
        <v>1459</v>
      </c>
      <c r="F825" s="306" t="str">
        <f>VLOOKUP(Table24[[#This Row],[Country]],Table10[[COUNTRY NAME]:[CONTINENT CODE]],3,FALSE)</f>
        <v>EU</v>
      </c>
      <c r="G825" s="312" t="s">
        <v>7386</v>
      </c>
      <c r="H825" s="309">
        <v>9071</v>
      </c>
      <c r="I825" s="310">
        <v>22</v>
      </c>
      <c r="J825" s="307">
        <v>211318238</v>
      </c>
      <c r="K825" s="307">
        <f>IFERROR(Table24[[#This Row],[ROUTE COST]]/Table24[[#This Row],[O - DEMAND]],0)</f>
        <v>65525.035038759692</v>
      </c>
      <c r="L825" s="306">
        <v>3225</v>
      </c>
      <c r="M825" s="310">
        <f>Table24[[#This Row],[O - DEMAND]]/950</f>
        <v>3.3947368421052633</v>
      </c>
      <c r="N825" s="306">
        <f>IFERROR(VLOOKUP(Table24[[#This Row],[ROUTE]],DEMAND!A:F,5,FALSE),0)</f>
        <v>3333</v>
      </c>
      <c r="O825" s="306">
        <f>IFERROR(VLOOKUP(Table24[[#This Row],[ROUTE]],DEMAND!A:F,6,FALSE),0)</f>
        <v>483</v>
      </c>
      <c r="P825" s="306">
        <f>ROUNDDOWN(Table24[[#This Row],[R-DEMAND]]/950,0)</f>
        <v>0</v>
      </c>
      <c r="Q825" s="306">
        <f>Table24[[#This Row],[ADD ACC
(475/950)]]*Table24[[#This Row],[Duration
(A359)]]</f>
        <v>0</v>
      </c>
      <c r="R825" s="307">
        <f>IFERROR(VLOOKUP(Table24[[#This Row],[ROUTE]],PRICING!A:B,2,FALSE),0)</f>
        <v>2638</v>
      </c>
      <c r="S825" s="308">
        <f>Table24[[#This Row],[C_DEMAND]]-Table24[[#This Row],[R-DEMAND]]</f>
        <v>2850</v>
      </c>
      <c r="T825" s="307">
        <f>Table24[[#This Row],[SEATS SOLD]]*Table24[[#This Row],[ECO SEAT]]</f>
        <v>7518300</v>
      </c>
      <c r="U825" s="307">
        <f>Table24[[#This Row],[SEATS SOLD]]*(IFERROR(VLOOKUP(Table24[[#This Row],[ROUTE]],PRICING!A:C,3,FALSE),0))</f>
        <v>8356200</v>
      </c>
      <c r="V825" s="307">
        <f>Table24[[#This Row],[SEAT REV]]-Table24[[#This Row],[SEAT REV
(IF IDEAL $)]]</f>
        <v>-837900</v>
      </c>
      <c r="X825"/>
    </row>
    <row r="826" spans="1:24" x14ac:dyDescent="0.25">
      <c r="A826" s="306" t="s">
        <v>17161</v>
      </c>
      <c r="B826" s="306" t="s">
        <v>5452</v>
      </c>
      <c r="C826" s="306" t="s">
        <v>2</v>
      </c>
      <c r="D826" s="26">
        <v>4</v>
      </c>
      <c r="E826" s="312" t="s">
        <v>2059</v>
      </c>
      <c r="F826" s="306" t="str">
        <f>VLOOKUP(Table24[[#This Row],[Country]],Table10[[COUNTRY NAME]:[CONTINENT CODE]],3,FALSE)</f>
        <v>AF</v>
      </c>
      <c r="G826" s="312" t="s">
        <v>11073</v>
      </c>
      <c r="H826" s="309">
        <v>8633</v>
      </c>
      <c r="I826" s="310">
        <v>21</v>
      </c>
      <c r="J826" s="307">
        <v>216286825</v>
      </c>
      <c r="K826" s="307">
        <f>IFERROR(Table24[[#This Row],[ROUTE COST]]/Table24[[#This Row],[O - DEMAND]],0)</f>
        <v>43650.216952573159</v>
      </c>
      <c r="L826" s="306">
        <v>4955</v>
      </c>
      <c r="M826" s="310">
        <f>Table24[[#This Row],[O - DEMAND]]/950</f>
        <v>5.2157894736842101</v>
      </c>
      <c r="N826" s="306">
        <f>IFERROR(VLOOKUP(Table24[[#This Row],[ROUTE]],DEMAND!A:F,5,FALSE),0)</f>
        <v>5236</v>
      </c>
      <c r="O826" s="306">
        <f>IFERROR(VLOOKUP(Table24[[#This Row],[ROUTE]],DEMAND!A:F,6,FALSE),0)</f>
        <v>486</v>
      </c>
      <c r="P826" s="306">
        <f>ROUNDDOWN(Table24[[#This Row],[R-DEMAND]]/950,0)</f>
        <v>0</v>
      </c>
      <c r="Q826" s="306">
        <f>Table24[[#This Row],[ADD ACC
(475/950)]]*Table24[[#This Row],[Duration
(A359)]]</f>
        <v>0</v>
      </c>
      <c r="R826" s="307">
        <f>IFERROR(VLOOKUP(Table24[[#This Row],[ROUTE]],PRICING!A:B,2,FALSE),0)</f>
        <v>2320</v>
      </c>
      <c r="S826" s="308">
        <f>Table24[[#This Row],[C_DEMAND]]-Table24[[#This Row],[R-DEMAND]]</f>
        <v>4750</v>
      </c>
      <c r="T826" s="307">
        <f>Table24[[#This Row],[SEATS SOLD]]*Table24[[#This Row],[ECO SEAT]]</f>
        <v>11020000</v>
      </c>
      <c r="U826" s="307">
        <f>Table24[[#This Row],[SEATS SOLD]]*(IFERROR(VLOOKUP(Table24[[#This Row],[ROUTE]],PRICING!A:C,3,FALSE),0))</f>
        <v>13281000</v>
      </c>
      <c r="V826" s="307">
        <f>Table24[[#This Row],[SEAT REV]]-Table24[[#This Row],[SEAT REV
(IF IDEAL $)]]</f>
        <v>-2261000</v>
      </c>
      <c r="X826"/>
    </row>
    <row r="827" spans="1:24" x14ac:dyDescent="0.25">
      <c r="A827" s="306" t="s">
        <v>17491</v>
      </c>
      <c r="B827" s="306" t="s">
        <v>5672</v>
      </c>
      <c r="C827" s="306" t="s">
        <v>2</v>
      </c>
      <c r="D827" s="26">
        <v>4</v>
      </c>
      <c r="E827" s="312" t="s">
        <v>308</v>
      </c>
      <c r="F827" s="306" t="str">
        <f>VLOOKUP(Table24[[#This Row],[Country]],Table10[[COUNTRY NAME]:[CONTINENT CODE]],3,FALSE)</f>
        <v>EU</v>
      </c>
      <c r="G827" s="312" t="s">
        <v>11056</v>
      </c>
      <c r="H827" s="309">
        <v>7858</v>
      </c>
      <c r="I827" s="310">
        <v>19.5</v>
      </c>
      <c r="J827" s="307">
        <v>222310703</v>
      </c>
      <c r="K827" s="307">
        <f>IFERROR(Table24[[#This Row],[ROUTE COST]]/Table24[[#This Row],[O - DEMAND]],0)</f>
        <v>70642.104544010173</v>
      </c>
      <c r="L827" s="306">
        <v>3147</v>
      </c>
      <c r="M827" s="310">
        <f>Table24[[#This Row],[O - DEMAND]]/950</f>
        <v>3.3126315789473684</v>
      </c>
      <c r="N827" s="306">
        <f>IFERROR(VLOOKUP(Table24[[#This Row],[ROUTE]],DEMAND!A:F,5,FALSE),0)</f>
        <v>3336</v>
      </c>
      <c r="O827" s="306">
        <f>IFERROR(VLOOKUP(Table24[[#This Row],[ROUTE]],DEMAND!A:F,6,FALSE),0)</f>
        <v>486</v>
      </c>
      <c r="P827" s="306">
        <f>ROUNDDOWN(Table24[[#This Row],[R-DEMAND]]/950,0)</f>
        <v>0</v>
      </c>
      <c r="Q827" s="306">
        <f>Table24[[#This Row],[ADD ACC
(475/950)]]*Table24[[#This Row],[Duration
(A359)]]</f>
        <v>0</v>
      </c>
      <c r="R827" s="307">
        <f>IFERROR(VLOOKUP(Table24[[#This Row],[ROUTE]],PRICING!A:B,2,FALSE),0)</f>
        <v>2095</v>
      </c>
      <c r="S827" s="308">
        <f>Table24[[#This Row],[C_DEMAND]]-Table24[[#This Row],[R-DEMAND]]</f>
        <v>2850</v>
      </c>
      <c r="T827" s="307">
        <f>Table24[[#This Row],[SEATS SOLD]]*Table24[[#This Row],[ECO SEAT]]</f>
        <v>5970750</v>
      </c>
      <c r="U827" s="307">
        <f>Table24[[#This Row],[SEATS SOLD]]*(IFERROR(VLOOKUP(Table24[[#This Row],[ROUTE]],PRICING!A:C,3,FALSE),0))</f>
        <v>7281750</v>
      </c>
      <c r="V827" s="307">
        <f>Table24[[#This Row],[SEAT REV]]-Table24[[#This Row],[SEAT REV
(IF IDEAL $)]]</f>
        <v>-1311000</v>
      </c>
      <c r="X827"/>
    </row>
    <row r="828" spans="1:24" x14ac:dyDescent="0.25">
      <c r="A828" s="306" t="s">
        <v>18085</v>
      </c>
      <c r="B828" s="306" t="s">
        <v>4337</v>
      </c>
      <c r="C828" s="306" t="s">
        <v>2</v>
      </c>
      <c r="D828" s="26">
        <v>2</v>
      </c>
      <c r="E828" s="312" t="s">
        <v>517</v>
      </c>
      <c r="F828" s="306" t="str">
        <f>VLOOKUP(Table24[[#This Row],[Country]],Table10[[COUNTRY NAME]:[CONTINENT CODE]],3,FALSE)</f>
        <v>SA</v>
      </c>
      <c r="G828" s="312" t="s">
        <v>16999</v>
      </c>
      <c r="H828" s="309">
        <v>2753</v>
      </c>
      <c r="I828" s="310">
        <v>8.25</v>
      </c>
      <c r="J828" s="307">
        <v>135830568</v>
      </c>
      <c r="K828" s="307">
        <f>IFERROR(Table24[[#This Row],[ROUTE COST]]/Table24[[#This Row],[O - DEMAND]],0)</f>
        <v>43437.981451870801</v>
      </c>
      <c r="L828" s="306">
        <v>3127</v>
      </c>
      <c r="M828" s="310">
        <f>Table24[[#This Row],[O - DEMAND]]/950</f>
        <v>3.2915789473684209</v>
      </c>
      <c r="N828" s="306">
        <f>IFERROR(VLOOKUP(Table24[[#This Row],[ROUTE]],DEMAND!A:F,5,FALSE),0)</f>
        <v>3336</v>
      </c>
      <c r="O828" s="306">
        <f>IFERROR(VLOOKUP(Table24[[#This Row],[ROUTE]],DEMAND!A:F,6,FALSE),0)</f>
        <v>486</v>
      </c>
      <c r="P828" s="306">
        <f>ROUNDDOWN(Table24[[#This Row],[R-DEMAND]]/950,0)</f>
        <v>0</v>
      </c>
      <c r="Q828" s="306">
        <f>Table24[[#This Row],[ADD ACC
(475/950)]]*Table24[[#This Row],[Duration
(A359)]]</f>
        <v>0</v>
      </c>
      <c r="R828" s="307">
        <f>IFERROR(VLOOKUP(Table24[[#This Row],[ROUTE]],PRICING!A:B,2,FALSE),0)</f>
        <v>778</v>
      </c>
      <c r="S828" s="308">
        <f>Table24[[#This Row],[C_DEMAND]]-Table24[[#This Row],[R-DEMAND]]</f>
        <v>2850</v>
      </c>
      <c r="T828" s="307">
        <f>Table24[[#This Row],[SEATS SOLD]]*Table24[[#This Row],[ECO SEAT]]</f>
        <v>2217300</v>
      </c>
      <c r="U828" s="307">
        <f>Table24[[#This Row],[SEATS SOLD]]*(IFERROR(VLOOKUP(Table24[[#This Row],[ROUTE]],PRICING!A:C,3,FALSE),0))</f>
        <v>2773050</v>
      </c>
      <c r="V828" s="307">
        <f>Table24[[#This Row],[SEAT REV]]-Table24[[#This Row],[SEAT REV
(IF IDEAL $)]]</f>
        <v>-555750</v>
      </c>
      <c r="X828"/>
    </row>
    <row r="829" spans="1:24" x14ac:dyDescent="0.25">
      <c r="A829" s="306" t="s">
        <v>17501</v>
      </c>
      <c r="B829" s="306" t="s">
        <v>5475</v>
      </c>
      <c r="C829" s="306" t="s">
        <v>2</v>
      </c>
      <c r="D829" s="26">
        <v>4</v>
      </c>
      <c r="E829" s="312" t="s">
        <v>560</v>
      </c>
      <c r="F829" s="306" t="str">
        <f>VLOOKUP(Table24[[#This Row],[Country]],Table10[[COUNTRY NAME]:[CONTINENT CODE]],3,FALSE)</f>
        <v>EU</v>
      </c>
      <c r="G829" s="312" t="s">
        <v>11037</v>
      </c>
      <c r="H829" s="309">
        <v>7298</v>
      </c>
      <c r="I829" s="310">
        <v>18.25</v>
      </c>
      <c r="J829" s="307">
        <v>204291305</v>
      </c>
      <c r="K829" s="307">
        <f>IFERROR(Table24[[#This Row],[ROUTE COST]]/Table24[[#This Row],[O - DEMAND]],0)</f>
        <v>88938.313016978675</v>
      </c>
      <c r="L829" s="306">
        <v>2297</v>
      </c>
      <c r="M829" s="310">
        <f>Table24[[#This Row],[O - DEMAND]]/950</f>
        <v>2.4178947368421051</v>
      </c>
      <c r="N829" s="306">
        <f>IFERROR(VLOOKUP(Table24[[#This Row],[ROUTE]],DEMAND!A:F,5,FALSE),0)</f>
        <v>2389</v>
      </c>
      <c r="O829" s="306">
        <f>IFERROR(VLOOKUP(Table24[[#This Row],[ROUTE]],DEMAND!A:F,6,FALSE),0)</f>
        <v>489</v>
      </c>
      <c r="P829" s="306">
        <f>ROUNDDOWN(Table24[[#This Row],[R-DEMAND]]/950,0)</f>
        <v>0</v>
      </c>
      <c r="Q829" s="306">
        <f>Table24[[#This Row],[ADD ACC
(475/950)]]*Table24[[#This Row],[Duration
(A359)]]</f>
        <v>0</v>
      </c>
      <c r="R829" s="307">
        <f>IFERROR(VLOOKUP(Table24[[#This Row],[ROUTE]],PRICING!A:B,2,FALSE),0)</f>
        <v>2096</v>
      </c>
      <c r="S829" s="308">
        <f>Table24[[#This Row],[C_DEMAND]]-Table24[[#This Row],[R-DEMAND]]</f>
        <v>1900</v>
      </c>
      <c r="T829" s="307">
        <f>Table24[[#This Row],[SEATS SOLD]]*Table24[[#This Row],[ECO SEAT]]</f>
        <v>3982400</v>
      </c>
      <c r="U829" s="307">
        <f>Table24[[#This Row],[SEATS SOLD]]*(IFERROR(VLOOKUP(Table24[[#This Row],[ROUTE]],PRICING!A:C,3,FALSE),0))</f>
        <v>4525800</v>
      </c>
      <c r="V829" s="307">
        <f>Table24[[#This Row],[SEAT REV]]-Table24[[#This Row],[SEAT REV
(IF IDEAL $)]]</f>
        <v>-543400</v>
      </c>
      <c r="X829"/>
    </row>
    <row r="830" spans="1:24" x14ac:dyDescent="0.25">
      <c r="A830" s="306" t="s">
        <v>17368</v>
      </c>
      <c r="B830" s="306" t="s">
        <v>3790</v>
      </c>
      <c r="C830" s="306" t="s">
        <v>2</v>
      </c>
      <c r="D830" s="26">
        <v>2</v>
      </c>
      <c r="E830" s="312" t="s">
        <v>502</v>
      </c>
      <c r="F830" s="306" t="str">
        <f>VLOOKUP(Table24[[#This Row],[Country]],Table10[[COUNTRY NAME]:[CONTINENT CODE]],3,FALSE)</f>
        <v>AS</v>
      </c>
      <c r="G830" s="312" t="s">
        <v>11961</v>
      </c>
      <c r="H830" s="309">
        <v>12025</v>
      </c>
      <c r="I830" s="310">
        <v>28.5</v>
      </c>
      <c r="J830" s="307">
        <v>224026962</v>
      </c>
      <c r="K830" s="307">
        <f>IFERROR(Table24[[#This Row],[ROUTE COST]]/Table24[[#This Row],[O - DEMAND]],0)</f>
        <v>70626.406683480454</v>
      </c>
      <c r="L830" s="306">
        <v>3172</v>
      </c>
      <c r="M830" s="310">
        <f>Table24[[#This Row],[O - DEMAND]]/950</f>
        <v>3.3389473684210524</v>
      </c>
      <c r="N830" s="306">
        <f>IFERROR(VLOOKUP(Table24[[#This Row],[ROUTE]],DEMAND!A:F,5,FALSE),0)</f>
        <v>3341</v>
      </c>
      <c r="O830" s="306">
        <f>IFERROR(VLOOKUP(Table24[[#This Row],[ROUTE]],DEMAND!A:F,6,FALSE),0)</f>
        <v>491</v>
      </c>
      <c r="P830" s="306">
        <f>ROUNDDOWN(Table24[[#This Row],[R-DEMAND]]/950,0)</f>
        <v>0</v>
      </c>
      <c r="Q830" s="306">
        <f>Table24[[#This Row],[ADD ACC
(475/950)]]*Table24[[#This Row],[Duration
(A359)]]</f>
        <v>0</v>
      </c>
      <c r="R830" s="307">
        <f>IFERROR(VLOOKUP(Table24[[#This Row],[ROUTE]],PRICING!A:B,2,FALSE),0)</f>
        <v>3231</v>
      </c>
      <c r="S830" s="308">
        <f>Table24[[#This Row],[C_DEMAND]]-Table24[[#This Row],[R-DEMAND]]</f>
        <v>2850</v>
      </c>
      <c r="T830" s="307">
        <f>Table24[[#This Row],[SEATS SOLD]]*Table24[[#This Row],[ECO SEAT]]</f>
        <v>9208350</v>
      </c>
      <c r="U830" s="307">
        <f>Table24[[#This Row],[SEATS SOLD]]*(IFERROR(VLOOKUP(Table24[[#This Row],[ROUTE]],PRICING!A:C,3,FALSE),0))</f>
        <v>10963950</v>
      </c>
      <c r="V830" s="307">
        <f>Table24[[#This Row],[SEAT REV]]-Table24[[#This Row],[SEAT REV
(IF IDEAL $)]]</f>
        <v>-1755600</v>
      </c>
      <c r="X830"/>
    </row>
    <row r="831" spans="1:24" x14ac:dyDescent="0.25">
      <c r="A831" s="306" t="s">
        <v>17164</v>
      </c>
      <c r="B831" s="306" t="s">
        <v>4629</v>
      </c>
      <c r="C831" s="306" t="s">
        <v>2</v>
      </c>
      <c r="D831" s="26">
        <v>2</v>
      </c>
      <c r="E831" s="312" t="s">
        <v>2059</v>
      </c>
      <c r="F831" s="306" t="str">
        <f>VLOOKUP(Table24[[#This Row],[Country]],Table10[[COUNTRY NAME]:[CONTINENT CODE]],3,FALSE)</f>
        <v>AF</v>
      </c>
      <c r="G831" s="312" t="s">
        <v>11754</v>
      </c>
      <c r="H831" s="309">
        <v>8700</v>
      </c>
      <c r="I831" s="310">
        <v>21.25</v>
      </c>
      <c r="J831" s="307">
        <v>200291818</v>
      </c>
      <c r="K831" s="307">
        <f>IFERROR(Table24[[#This Row],[ROUTE COST]]/Table24[[#This Row],[O - DEMAND]],0)</f>
        <v>49430.359822309969</v>
      </c>
      <c r="L831" s="306">
        <v>4052</v>
      </c>
      <c r="M831" s="310">
        <f>Table24[[#This Row],[O - DEMAND]]/950</f>
        <v>4.2652631578947364</v>
      </c>
      <c r="N831" s="306">
        <f>IFERROR(VLOOKUP(Table24[[#This Row],[ROUTE]],DEMAND!A:F,5,FALSE),0)</f>
        <v>4296</v>
      </c>
      <c r="O831" s="306">
        <f>IFERROR(VLOOKUP(Table24[[#This Row],[ROUTE]],DEMAND!A:F,6,FALSE),0)</f>
        <v>496</v>
      </c>
      <c r="P831" s="306">
        <f>ROUNDDOWN(Table24[[#This Row],[R-DEMAND]]/950,0)</f>
        <v>0</v>
      </c>
      <c r="Q831" s="306">
        <f>Table24[[#This Row],[ADD ACC
(475/950)]]*Table24[[#This Row],[Duration
(A359)]]</f>
        <v>0</v>
      </c>
      <c r="R831" s="307">
        <f>IFERROR(VLOOKUP(Table24[[#This Row],[ROUTE]],PRICING!A:B,2,FALSE),0)</f>
        <v>2309</v>
      </c>
      <c r="S831" s="308">
        <f>Table24[[#This Row],[C_DEMAND]]-Table24[[#This Row],[R-DEMAND]]</f>
        <v>3800</v>
      </c>
      <c r="T831" s="307">
        <f>Table24[[#This Row],[SEATS SOLD]]*Table24[[#This Row],[ECO SEAT]]</f>
        <v>8774200</v>
      </c>
      <c r="U831" s="307">
        <f>Table24[[#This Row],[SEATS SOLD]]*(IFERROR(VLOOKUP(Table24[[#This Row],[ROUTE]],PRICING!A:C,3,FALSE),0))</f>
        <v>10704600</v>
      </c>
      <c r="V831" s="307">
        <f>Table24[[#This Row],[SEAT REV]]-Table24[[#This Row],[SEAT REV
(IF IDEAL $)]]</f>
        <v>-1930400</v>
      </c>
      <c r="X831"/>
    </row>
    <row r="832" spans="1:24" x14ac:dyDescent="0.25">
      <c r="A832" s="306" t="s">
        <v>17163</v>
      </c>
      <c r="B832" s="306" t="s">
        <v>2061</v>
      </c>
      <c r="C832" s="306" t="s">
        <v>2</v>
      </c>
      <c r="D832" s="26">
        <v>1</v>
      </c>
      <c r="E832" s="312" t="s">
        <v>2059</v>
      </c>
      <c r="F832" s="306" t="str">
        <f>VLOOKUP(Table24[[#This Row],[Country]],Table10[[COUNTRY NAME]:[CONTINENT CODE]],3,FALSE)</f>
        <v>AF</v>
      </c>
      <c r="G832" s="312" t="s">
        <v>11799</v>
      </c>
      <c r="H832" s="309">
        <v>9132</v>
      </c>
      <c r="I832" s="310">
        <v>22.25</v>
      </c>
      <c r="J832" s="307">
        <v>187874695</v>
      </c>
      <c r="K832" s="307">
        <f>IFERROR(Table24[[#This Row],[ROUTE COST]]/Table24[[#This Row],[O - DEMAND]],0)</f>
        <v>59397.627252608283</v>
      </c>
      <c r="L832" s="306">
        <v>3163</v>
      </c>
      <c r="M832" s="310">
        <f>Table24[[#This Row],[O - DEMAND]]/950</f>
        <v>3.3294736842105261</v>
      </c>
      <c r="N832" s="306">
        <f>IFERROR(VLOOKUP(Table24[[#This Row],[ROUTE]],DEMAND!A:F,5,FALSE),0)</f>
        <v>3353</v>
      </c>
      <c r="O832" s="306">
        <f>IFERROR(VLOOKUP(Table24[[#This Row],[ROUTE]],DEMAND!A:F,6,FALSE),0)</f>
        <v>503</v>
      </c>
      <c r="P832" s="306">
        <f>ROUNDDOWN(Table24[[#This Row],[R-DEMAND]]/950,0)</f>
        <v>0</v>
      </c>
      <c r="Q832" s="306">
        <f>Table24[[#This Row],[ADD ACC
(475/950)]]*Table24[[#This Row],[Duration
(A359)]]</f>
        <v>0</v>
      </c>
      <c r="R832" s="307">
        <f>IFERROR(VLOOKUP(Table24[[#This Row],[ROUTE]],PRICING!A:B,2,FALSE),0)</f>
        <v>2419</v>
      </c>
      <c r="S832" s="308">
        <f>Table24[[#This Row],[C_DEMAND]]-Table24[[#This Row],[R-DEMAND]]</f>
        <v>2850</v>
      </c>
      <c r="T832" s="307">
        <f>Table24[[#This Row],[SEATS SOLD]]*Table24[[#This Row],[ECO SEAT]]</f>
        <v>6894150</v>
      </c>
      <c r="U832" s="307">
        <f>Table24[[#This Row],[SEATS SOLD]]*(IFERROR(VLOOKUP(Table24[[#This Row],[ROUTE]],PRICING!A:C,3,FALSE),0))</f>
        <v>8407500</v>
      </c>
      <c r="V832" s="307">
        <f>Table24[[#This Row],[SEAT REV]]-Table24[[#This Row],[SEAT REV
(IF IDEAL $)]]</f>
        <v>-1513350</v>
      </c>
      <c r="X832"/>
    </row>
    <row r="833" spans="1:24" x14ac:dyDescent="0.25">
      <c r="A833" s="306" t="s">
        <v>18069</v>
      </c>
      <c r="B833" s="306" t="s">
        <v>3780</v>
      </c>
      <c r="C833" s="306" t="s">
        <v>2</v>
      </c>
      <c r="D833" s="26">
        <v>2</v>
      </c>
      <c r="E833" s="312" t="s">
        <v>530</v>
      </c>
      <c r="F833" s="306" t="str">
        <f>VLOOKUP(Table24[[#This Row],[Country]],Table10[[COUNTRY NAME]:[CONTINENT CODE]],3,FALSE)</f>
        <v>SA</v>
      </c>
      <c r="G833" s="312" t="s">
        <v>16952</v>
      </c>
      <c r="H833" s="309">
        <v>4678</v>
      </c>
      <c r="I833" s="310">
        <v>12.5</v>
      </c>
      <c r="J833" s="307">
        <v>150734642</v>
      </c>
      <c r="K833" s="307">
        <f>IFERROR(Table24[[#This Row],[ROUTE COST]]/Table24[[#This Row],[O - DEMAND]],0)</f>
        <v>65196.644463667821</v>
      </c>
      <c r="L833" s="306">
        <v>2312</v>
      </c>
      <c r="M833" s="310">
        <f>Table24[[#This Row],[O - DEMAND]]/950</f>
        <v>2.4336842105263159</v>
      </c>
      <c r="N833" s="306">
        <f>IFERROR(VLOOKUP(Table24[[#This Row],[ROUTE]],DEMAND!A:F,5,FALSE),0)</f>
        <v>2405</v>
      </c>
      <c r="O833" s="306">
        <f>IFERROR(VLOOKUP(Table24[[#This Row],[ROUTE]],DEMAND!A:F,6,FALSE),0)</f>
        <v>505</v>
      </c>
      <c r="P833" s="306">
        <f>ROUNDDOWN(Table24[[#This Row],[R-DEMAND]]/950,0)</f>
        <v>0</v>
      </c>
      <c r="Q833" s="306">
        <f>Table24[[#This Row],[ADD ACC
(475/950)]]*Table24[[#This Row],[Duration
(A359)]]</f>
        <v>0</v>
      </c>
      <c r="R833" s="307">
        <f>IFERROR(VLOOKUP(Table24[[#This Row],[ROUTE]],PRICING!A:B,2,FALSE),0)</f>
        <v>1381</v>
      </c>
      <c r="S833" s="308">
        <f>Table24[[#This Row],[C_DEMAND]]-Table24[[#This Row],[R-DEMAND]]</f>
        <v>1900</v>
      </c>
      <c r="T833" s="307">
        <f>Table24[[#This Row],[SEATS SOLD]]*Table24[[#This Row],[ECO SEAT]]</f>
        <v>2623900</v>
      </c>
      <c r="U833" s="307">
        <f>Table24[[#This Row],[SEATS SOLD]]*(IFERROR(VLOOKUP(Table24[[#This Row],[ROUTE]],PRICING!A:C,3,FALSE),0))</f>
        <v>2983000</v>
      </c>
      <c r="V833" s="307">
        <f>Table24[[#This Row],[SEAT REV]]-Table24[[#This Row],[SEAT REV
(IF IDEAL $)]]</f>
        <v>-359100</v>
      </c>
      <c r="X833"/>
    </row>
    <row r="834" spans="1:24" x14ac:dyDescent="0.25">
      <c r="A834" s="306" t="s">
        <v>18077</v>
      </c>
      <c r="B834" s="306" t="s">
        <v>4291</v>
      </c>
      <c r="C834" s="306" t="s">
        <v>2</v>
      </c>
      <c r="D834" s="26">
        <v>2</v>
      </c>
      <c r="E834" s="312" t="s">
        <v>1144</v>
      </c>
      <c r="F834" s="306" t="str">
        <f>VLOOKUP(Table24[[#This Row],[Country]],Table10[[COUNTRY NAME]:[CONTINENT CODE]],3,FALSE)</f>
        <v>SA</v>
      </c>
      <c r="G834" s="312" t="s">
        <v>13150</v>
      </c>
      <c r="H834" s="309">
        <v>4059</v>
      </c>
      <c r="I834" s="310">
        <v>11</v>
      </c>
      <c r="J834" s="307">
        <v>148669442</v>
      </c>
      <c r="K834" s="307">
        <f>IFERROR(Table24[[#This Row],[ROUTE COST]]/Table24[[#This Row],[O - DEMAND]],0)</f>
        <v>45786.708346165695</v>
      </c>
      <c r="L834" s="306">
        <v>3247</v>
      </c>
      <c r="M834" s="310">
        <f>Table24[[#This Row],[O - DEMAND]]/950</f>
        <v>3.4178947368421051</v>
      </c>
      <c r="N834" s="306">
        <f>IFERROR(VLOOKUP(Table24[[#This Row],[ROUTE]],DEMAND!A:F,5,FALSE),0)</f>
        <v>3356</v>
      </c>
      <c r="O834" s="306">
        <f>IFERROR(VLOOKUP(Table24[[#This Row],[ROUTE]],DEMAND!A:F,6,FALSE),0)</f>
        <v>506</v>
      </c>
      <c r="P834" s="306">
        <f>ROUNDDOWN(Table24[[#This Row],[R-DEMAND]]/950,0)</f>
        <v>0</v>
      </c>
      <c r="Q834" s="306">
        <f>Table24[[#This Row],[ADD ACC
(475/950)]]*Table24[[#This Row],[Duration
(A359)]]</f>
        <v>0</v>
      </c>
      <c r="R834" s="307">
        <f>IFERROR(VLOOKUP(Table24[[#This Row],[ROUTE]],PRICING!A:B,2,FALSE),0)</f>
        <v>1240</v>
      </c>
      <c r="S834" s="308">
        <f>Table24[[#This Row],[C_DEMAND]]-Table24[[#This Row],[R-DEMAND]]</f>
        <v>2850</v>
      </c>
      <c r="T834" s="307">
        <f>Table24[[#This Row],[SEATS SOLD]]*Table24[[#This Row],[ECO SEAT]]</f>
        <v>3534000</v>
      </c>
      <c r="U834" s="307">
        <f>Table24[[#This Row],[SEATS SOLD]]*(IFERROR(VLOOKUP(Table24[[#This Row],[ROUTE]],PRICING!A:C,3,FALSE),0))</f>
        <v>3927300</v>
      </c>
      <c r="V834" s="307">
        <f>Table24[[#This Row],[SEAT REV]]-Table24[[#This Row],[SEAT REV
(IF IDEAL $)]]</f>
        <v>-393300</v>
      </c>
      <c r="X834"/>
    </row>
    <row r="835" spans="1:24" x14ac:dyDescent="0.25">
      <c r="A835" s="306" t="s">
        <v>17812</v>
      </c>
      <c r="B835" s="306" t="s">
        <v>3992</v>
      </c>
      <c r="C835" s="306" t="s">
        <v>2</v>
      </c>
      <c r="D835" s="26">
        <v>2</v>
      </c>
      <c r="E835" s="312" t="s">
        <v>1946</v>
      </c>
      <c r="F835" s="306" t="str">
        <f>VLOOKUP(Table24[[#This Row],[Country]],Table10[[COUNTRY NAME]:[CONTINENT CODE]],3,FALSE)</f>
        <v>NA</v>
      </c>
      <c r="G835" s="312" t="s">
        <v>13248</v>
      </c>
      <c r="H835" s="309">
        <v>544</v>
      </c>
      <c r="I835" s="310">
        <v>3.25</v>
      </c>
      <c r="J835" s="307">
        <v>111962494</v>
      </c>
      <c r="K835" s="307">
        <f>IFERROR(Table24[[#This Row],[ROUTE COST]]/Table24[[#This Row],[O - DEMAND]],0)</f>
        <v>79406.02411347517</v>
      </c>
      <c r="L835" s="306">
        <v>1410</v>
      </c>
      <c r="M835" s="310">
        <f>Table24[[#This Row],[O - DEMAND]]/950</f>
        <v>1.4842105263157894</v>
      </c>
      <c r="N835" s="306">
        <f>IFERROR(VLOOKUP(Table24[[#This Row],[ROUTE]],DEMAND!A:F,5,FALSE),0)</f>
        <v>1457</v>
      </c>
      <c r="O835" s="306">
        <f>IFERROR(VLOOKUP(Table24[[#This Row],[ROUTE]],DEMAND!A:F,6,FALSE),0)</f>
        <v>507</v>
      </c>
      <c r="P835" s="306">
        <f>ROUNDDOWN(Table24[[#This Row],[R-DEMAND]]/950,0)</f>
        <v>0</v>
      </c>
      <c r="Q835" s="306">
        <f>Table24[[#This Row],[ADD ACC
(475/950)]]*Table24[[#This Row],[Duration
(A359)]]</f>
        <v>0</v>
      </c>
      <c r="R835" s="307">
        <f>IFERROR(VLOOKUP(Table24[[#This Row],[ROUTE]],PRICING!A:B,2,FALSE),0)</f>
        <v>259</v>
      </c>
      <c r="S835" s="308">
        <f>Table24[[#This Row],[C_DEMAND]]-Table24[[#This Row],[R-DEMAND]]</f>
        <v>950</v>
      </c>
      <c r="T835" s="307">
        <f>Table24[[#This Row],[SEATS SOLD]]*Table24[[#This Row],[ECO SEAT]]</f>
        <v>246050</v>
      </c>
      <c r="U835" s="307">
        <f>Table24[[#This Row],[SEATS SOLD]]*(IFERROR(VLOOKUP(Table24[[#This Row],[ROUTE]],PRICING!A:C,3,FALSE),0))</f>
        <v>273600</v>
      </c>
      <c r="V835" s="307">
        <f>Table24[[#This Row],[SEAT REV]]-Table24[[#This Row],[SEAT REV
(IF IDEAL $)]]</f>
        <v>-27550</v>
      </c>
      <c r="X835"/>
    </row>
    <row r="836" spans="1:24" x14ac:dyDescent="0.25">
      <c r="A836" s="306" t="s">
        <v>17044</v>
      </c>
      <c r="B836" s="306" t="s">
        <v>359</v>
      </c>
      <c r="C836" s="306" t="s">
        <v>2</v>
      </c>
      <c r="D836" s="26">
        <v>3</v>
      </c>
      <c r="E836" s="312" t="s">
        <v>608</v>
      </c>
      <c r="F836" s="306" t="str">
        <f>VLOOKUP(Table24[[#This Row],[Country]],Table10[[COUNTRY NAME]:[CONTINENT CODE]],3,FALSE)</f>
        <v>AF</v>
      </c>
      <c r="G836" s="312" t="s">
        <v>11676</v>
      </c>
      <c r="H836" s="309">
        <v>6573</v>
      </c>
      <c r="I836" s="310">
        <v>16.5</v>
      </c>
      <c r="J836" s="307">
        <v>194052245</v>
      </c>
      <c r="K836" s="307">
        <f>IFERROR(Table24[[#This Row],[ROUTE COST]]/Table24[[#This Row],[O - DEMAND]],0)</f>
        <v>46838.581945450154</v>
      </c>
      <c r="L836" s="306">
        <v>4143</v>
      </c>
      <c r="M836" s="310">
        <f>Table24[[#This Row],[O - DEMAND]]/950</f>
        <v>4.3610526315789473</v>
      </c>
      <c r="N836" s="306">
        <f>IFERROR(VLOOKUP(Table24[[#This Row],[ROUTE]],DEMAND!A:F,5,FALSE),0)</f>
        <v>4308</v>
      </c>
      <c r="O836" s="306">
        <f>IFERROR(VLOOKUP(Table24[[#This Row],[ROUTE]],DEMAND!A:F,6,FALSE),0)</f>
        <v>508</v>
      </c>
      <c r="P836" s="306">
        <f>ROUNDDOWN(Table24[[#This Row],[R-DEMAND]]/950,0)</f>
        <v>0</v>
      </c>
      <c r="Q836" s="306">
        <f>Table24[[#This Row],[ADD ACC
(475/950)]]*Table24[[#This Row],[Duration
(A359)]]</f>
        <v>0</v>
      </c>
      <c r="R836" s="307">
        <f>IFERROR(VLOOKUP(Table24[[#This Row],[ROUTE]],PRICING!A:B,2,FALSE),0)</f>
        <v>1898</v>
      </c>
      <c r="S836" s="308">
        <f>Table24[[#This Row],[C_DEMAND]]-Table24[[#This Row],[R-DEMAND]]</f>
        <v>3800</v>
      </c>
      <c r="T836" s="307">
        <f>Table24[[#This Row],[SEATS SOLD]]*Table24[[#This Row],[ECO SEAT]]</f>
        <v>7212400</v>
      </c>
      <c r="U836" s="307">
        <f>Table24[[#This Row],[SEATS SOLD]]*(IFERROR(VLOOKUP(Table24[[#This Row],[ROUTE]],PRICING!A:C,3,FALSE),0))</f>
        <v>8196600</v>
      </c>
      <c r="V836" s="307">
        <f>Table24[[#This Row],[SEAT REV]]-Table24[[#This Row],[SEAT REV
(IF IDEAL $)]]</f>
        <v>-984200</v>
      </c>
      <c r="X836"/>
    </row>
    <row r="837" spans="1:24" x14ac:dyDescent="0.25">
      <c r="A837" s="306" t="s">
        <v>17498</v>
      </c>
      <c r="B837" s="306" t="s">
        <v>5495</v>
      </c>
      <c r="C837" s="306" t="s">
        <v>2</v>
      </c>
      <c r="D837" s="26">
        <v>4</v>
      </c>
      <c r="E837" s="312" t="s">
        <v>560</v>
      </c>
      <c r="F837" s="306" t="str">
        <f>VLOOKUP(Table24[[#This Row],[Country]],Table10[[COUNTRY NAME]:[CONTINENT CODE]],3,FALSE)</f>
        <v>EU</v>
      </c>
      <c r="G837" s="312" t="s">
        <v>11058</v>
      </c>
      <c r="H837" s="309">
        <v>7609</v>
      </c>
      <c r="I837" s="310">
        <v>18.75</v>
      </c>
      <c r="J837" s="307">
        <v>207955965</v>
      </c>
      <c r="K837" s="307">
        <f>IFERROR(Table24[[#This Row],[ROUTE COST]]/Table24[[#This Row],[O - DEMAND]],0)</f>
        <v>89946.351643598609</v>
      </c>
      <c r="L837" s="306">
        <v>2312</v>
      </c>
      <c r="M837" s="310">
        <f>Table24[[#This Row],[O - DEMAND]]/950</f>
        <v>2.4336842105263159</v>
      </c>
      <c r="N837" s="306">
        <f>IFERROR(VLOOKUP(Table24[[#This Row],[ROUTE]],DEMAND!A:F,5,FALSE),0)</f>
        <v>2412</v>
      </c>
      <c r="O837" s="306">
        <f>IFERROR(VLOOKUP(Table24[[#This Row],[ROUTE]],DEMAND!A:F,6,FALSE),0)</f>
        <v>512</v>
      </c>
      <c r="P837" s="306">
        <f>ROUNDDOWN(Table24[[#This Row],[R-DEMAND]]/950,0)</f>
        <v>0</v>
      </c>
      <c r="Q837" s="306">
        <f>Table24[[#This Row],[ADD ACC
(475/950)]]*Table24[[#This Row],[Duration
(A359)]]</f>
        <v>0</v>
      </c>
      <c r="R837" s="307">
        <f>IFERROR(VLOOKUP(Table24[[#This Row],[ROUTE]],PRICING!A:B,2,FALSE),0)</f>
        <v>2155</v>
      </c>
      <c r="S837" s="308">
        <f>Table24[[#This Row],[C_DEMAND]]-Table24[[#This Row],[R-DEMAND]]</f>
        <v>1900</v>
      </c>
      <c r="T837" s="307">
        <f>Table24[[#This Row],[SEATS SOLD]]*Table24[[#This Row],[ECO SEAT]]</f>
        <v>4094500</v>
      </c>
      <c r="U837" s="307">
        <f>Table24[[#This Row],[SEATS SOLD]]*(IFERROR(VLOOKUP(Table24[[#This Row],[ROUTE]],PRICING!A:C,3,FALSE),0))</f>
        <v>4708200</v>
      </c>
      <c r="V837" s="307">
        <f>Table24[[#This Row],[SEAT REV]]-Table24[[#This Row],[SEAT REV
(IF IDEAL $)]]</f>
        <v>-613700</v>
      </c>
      <c r="X837"/>
    </row>
    <row r="838" spans="1:24" x14ac:dyDescent="0.25">
      <c r="A838" s="306" t="s">
        <v>18095</v>
      </c>
      <c r="B838" s="306" t="s">
        <v>2397</v>
      </c>
      <c r="C838" s="306" t="s">
        <v>2</v>
      </c>
      <c r="D838" s="26">
        <v>1</v>
      </c>
      <c r="E838" s="312" t="s">
        <v>2395</v>
      </c>
      <c r="F838" s="306" t="str">
        <f>VLOOKUP(Table24[[#This Row],[Country]],Table10[[COUNTRY NAME]:[CONTINENT CODE]],3,FALSE)</f>
        <v>SA</v>
      </c>
      <c r="G838" s="312" t="s">
        <v>13234</v>
      </c>
      <c r="H838" s="309">
        <v>5249</v>
      </c>
      <c r="I838" s="310">
        <v>13.75</v>
      </c>
      <c r="J838" s="307">
        <v>148522535</v>
      </c>
      <c r="K838" s="307">
        <f>IFERROR(Table24[[#This Row],[ROUTE COST]]/Table24[[#This Row],[O - DEMAND]],0)</f>
        <v>64857.002183406112</v>
      </c>
      <c r="L838" s="306">
        <v>2290</v>
      </c>
      <c r="M838" s="310">
        <f>Table24[[#This Row],[O - DEMAND]]/950</f>
        <v>2.4105263157894736</v>
      </c>
      <c r="N838" s="306">
        <f>IFERROR(VLOOKUP(Table24[[#This Row],[ROUTE]],DEMAND!A:F,5,FALSE),0)</f>
        <v>2413</v>
      </c>
      <c r="O838" s="306">
        <f>IFERROR(VLOOKUP(Table24[[#This Row],[ROUTE]],DEMAND!A:F,6,FALSE),0)</f>
        <v>513</v>
      </c>
      <c r="P838" s="306">
        <f>ROUNDDOWN(Table24[[#This Row],[R-DEMAND]]/950,0)</f>
        <v>0</v>
      </c>
      <c r="Q838" s="306">
        <f>Table24[[#This Row],[ADD ACC
(475/950)]]*Table24[[#This Row],[Duration
(A359)]]</f>
        <v>0</v>
      </c>
      <c r="R838" s="307">
        <f>IFERROR(VLOOKUP(Table24[[#This Row],[ROUTE]],PRICING!A:B,2,FALSE),0)</f>
        <v>1467</v>
      </c>
      <c r="S838" s="308">
        <f>Table24[[#This Row],[C_DEMAND]]-Table24[[#This Row],[R-DEMAND]]</f>
        <v>1900</v>
      </c>
      <c r="T838" s="307">
        <f>Table24[[#This Row],[SEATS SOLD]]*Table24[[#This Row],[ECO SEAT]]</f>
        <v>2787300</v>
      </c>
      <c r="U838" s="307">
        <f>Table24[[#This Row],[SEATS SOLD]]*(IFERROR(VLOOKUP(Table24[[#This Row],[ROUTE]],PRICING!A:C,3,FALSE),0))</f>
        <v>3319300</v>
      </c>
      <c r="V838" s="307">
        <f>Table24[[#This Row],[SEAT REV]]-Table24[[#This Row],[SEAT REV
(IF IDEAL $)]]</f>
        <v>-532000</v>
      </c>
      <c r="X838"/>
    </row>
    <row r="839" spans="1:24" x14ac:dyDescent="0.25">
      <c r="A839" s="306" t="s">
        <v>17573</v>
      </c>
      <c r="B839" s="306" t="s">
        <v>4891</v>
      </c>
      <c r="C839" s="306" t="s">
        <v>2</v>
      </c>
      <c r="D839" s="26">
        <v>3</v>
      </c>
      <c r="E839" s="312" t="s">
        <v>4889</v>
      </c>
      <c r="F839" s="306" t="str">
        <f>VLOOKUP(Table24[[#This Row],[Country]],Table10[[COUNTRY NAME]:[CONTINENT CODE]],3,FALSE)</f>
        <v>EU</v>
      </c>
      <c r="G839" s="312" t="s">
        <v>4889</v>
      </c>
      <c r="H839" s="309">
        <v>7628</v>
      </c>
      <c r="I839" s="310">
        <v>18.75</v>
      </c>
      <c r="J839" s="307">
        <v>192500701</v>
      </c>
      <c r="K839" s="307">
        <f>IFERROR(Table24[[#This Row],[ROUTE COST]]/Table24[[#This Row],[O - DEMAND]],0)</f>
        <v>84467.179025888545</v>
      </c>
      <c r="L839" s="306">
        <v>2279</v>
      </c>
      <c r="M839" s="310">
        <f>Table24[[#This Row],[O - DEMAND]]/950</f>
        <v>2.3989473684210525</v>
      </c>
      <c r="N839" s="306">
        <f>IFERROR(VLOOKUP(Table24[[#This Row],[ROUTE]],DEMAND!A:F,5,FALSE),0)</f>
        <v>2416</v>
      </c>
      <c r="O839" s="306">
        <f>IFERROR(VLOOKUP(Table24[[#This Row],[ROUTE]],DEMAND!A:F,6,FALSE),0)</f>
        <v>516</v>
      </c>
      <c r="P839" s="306">
        <f>ROUNDDOWN(Table24[[#This Row],[R-DEMAND]]/950,0)</f>
        <v>0</v>
      </c>
      <c r="Q839" s="306">
        <f>Table24[[#This Row],[ADD ACC
(475/950)]]*Table24[[#This Row],[Duration
(A359)]]</f>
        <v>0</v>
      </c>
      <c r="R839" s="307">
        <f>IFERROR(VLOOKUP(Table24[[#This Row],[ROUTE]],PRICING!A:B,2,FALSE),0)</f>
        <v>2036</v>
      </c>
      <c r="S839" s="308">
        <f>Table24[[#This Row],[C_DEMAND]]-Table24[[#This Row],[R-DEMAND]]</f>
        <v>1900</v>
      </c>
      <c r="T839" s="307">
        <f>Table24[[#This Row],[SEATS SOLD]]*Table24[[#This Row],[ECO SEAT]]</f>
        <v>3868400</v>
      </c>
      <c r="U839" s="307">
        <f>Table24[[#This Row],[SEATS SOLD]]*(IFERROR(VLOOKUP(Table24[[#This Row],[ROUTE]],PRICING!A:C,3,FALSE),0))</f>
        <v>4719600</v>
      </c>
      <c r="V839" s="307">
        <f>Table24[[#This Row],[SEAT REV]]-Table24[[#This Row],[SEAT REV
(IF IDEAL $)]]</f>
        <v>-851200</v>
      </c>
      <c r="X839"/>
    </row>
    <row r="840" spans="1:24" x14ac:dyDescent="0.25">
      <c r="A840" s="306" t="s">
        <v>18061</v>
      </c>
      <c r="B840" s="306" t="s">
        <v>3761</v>
      </c>
      <c r="C840" s="306" t="s">
        <v>2</v>
      </c>
      <c r="D840" s="26">
        <v>2</v>
      </c>
      <c r="E840" s="312" t="s">
        <v>530</v>
      </c>
      <c r="F840" s="306" t="str">
        <f>VLOOKUP(Table24[[#This Row],[Country]],Table10[[COUNTRY NAME]:[CONTINENT CODE]],3,FALSE)</f>
        <v>SA</v>
      </c>
      <c r="G840" s="312" t="s">
        <v>11664</v>
      </c>
      <c r="H840" s="309">
        <v>7963</v>
      </c>
      <c r="I840" s="310">
        <v>19.5</v>
      </c>
      <c r="J840" s="307">
        <v>183233859</v>
      </c>
      <c r="K840" s="307">
        <f>IFERROR(Table24[[#This Row],[ROUTE COST]]/Table24[[#This Row],[O - DEMAND]],0)</f>
        <v>79563.117238384715</v>
      </c>
      <c r="L840" s="306">
        <v>2303</v>
      </c>
      <c r="M840" s="310">
        <f>Table24[[#This Row],[O - DEMAND]]/950</f>
        <v>2.4242105263157896</v>
      </c>
      <c r="N840" s="306">
        <f>IFERROR(VLOOKUP(Table24[[#This Row],[ROUTE]],DEMAND!A:F,5,FALSE),0)</f>
        <v>2418</v>
      </c>
      <c r="O840" s="306">
        <f>IFERROR(VLOOKUP(Table24[[#This Row],[ROUTE]],DEMAND!A:F,6,FALSE),0)</f>
        <v>518</v>
      </c>
      <c r="P840" s="306">
        <f>ROUNDDOWN(Table24[[#This Row],[R-DEMAND]]/950,0)</f>
        <v>0</v>
      </c>
      <c r="Q840" s="306">
        <f>Table24[[#This Row],[ADD ACC
(475/950)]]*Table24[[#This Row],[Duration
(A359)]]</f>
        <v>0</v>
      </c>
      <c r="R840" s="307">
        <f>IFERROR(VLOOKUP(Table24[[#This Row],[ROUTE]],PRICING!A:B,2,FALSE),0)</f>
        <v>2199</v>
      </c>
      <c r="S840" s="308">
        <f>Table24[[#This Row],[C_DEMAND]]-Table24[[#This Row],[R-DEMAND]]</f>
        <v>1900</v>
      </c>
      <c r="T840" s="307">
        <f>Table24[[#This Row],[SEATS SOLD]]*Table24[[#This Row],[ECO SEAT]]</f>
        <v>4178100</v>
      </c>
      <c r="U840" s="307">
        <f>Table24[[#This Row],[SEATS SOLD]]*(IFERROR(VLOOKUP(Table24[[#This Row],[ROUTE]],PRICING!A:C,3,FALSE),0))</f>
        <v>4917200</v>
      </c>
      <c r="V840" s="307">
        <f>Table24[[#This Row],[SEAT REV]]-Table24[[#This Row],[SEAT REV
(IF IDEAL $)]]</f>
        <v>-739100</v>
      </c>
      <c r="X840"/>
    </row>
    <row r="841" spans="1:24" x14ac:dyDescent="0.25">
      <c r="A841" s="306" t="s">
        <v>18089</v>
      </c>
      <c r="B841" s="306" t="s">
        <v>3066</v>
      </c>
      <c r="C841" s="306" t="s">
        <v>467</v>
      </c>
      <c r="D841" s="26">
        <v>2</v>
      </c>
      <c r="E841" s="312" t="s">
        <v>860</v>
      </c>
      <c r="F841" s="306" t="str">
        <f>VLOOKUP(Table24[[#This Row],[Country]],Table10[[COUNTRY NAME]:[CONTINENT CODE]],3,FALSE)</f>
        <v>SA</v>
      </c>
      <c r="G841" s="312" t="s">
        <v>17024</v>
      </c>
      <c r="H841" s="309">
        <v>1474</v>
      </c>
      <c r="I841" s="310">
        <v>5.25</v>
      </c>
      <c r="J841" s="307">
        <v>114528220</v>
      </c>
      <c r="K841" s="307">
        <f>IFERROR(Table24[[#This Row],[ROUTE COST]]/Table24[[#This Row],[O - DEMAND]],0)</f>
        <v>50187.651183172653</v>
      </c>
      <c r="L841" s="306">
        <v>2282</v>
      </c>
      <c r="M841" s="310">
        <f>Table24[[#This Row],[O - DEMAND]]/950</f>
        <v>2.4021052631578947</v>
      </c>
      <c r="N841" s="306">
        <f>IFERROR(VLOOKUP(Table24[[#This Row],[ROUTE]],DEMAND!A:F,5,FALSE),0)</f>
        <v>2420</v>
      </c>
      <c r="O841" s="306">
        <f>IFERROR(VLOOKUP(Table24[[#This Row],[ROUTE]],DEMAND!A:F,6,FALSE),0)</f>
        <v>520</v>
      </c>
      <c r="P841" s="306">
        <f>ROUNDDOWN(Table24[[#This Row],[R-DEMAND]]/950,0)</f>
        <v>0</v>
      </c>
      <c r="Q841" s="306">
        <f>Table24[[#This Row],[ADD ACC
(475/950)]]*Table24[[#This Row],[Duration
(A359)]]</f>
        <v>0</v>
      </c>
      <c r="R841" s="307">
        <f>IFERROR(VLOOKUP(Table24[[#This Row],[ROUTE]],PRICING!A:B,2,FALSE),0)</f>
        <v>472</v>
      </c>
      <c r="S841" s="308">
        <f>Table24[[#This Row],[C_DEMAND]]-Table24[[#This Row],[R-DEMAND]]</f>
        <v>1900</v>
      </c>
      <c r="T841" s="307">
        <f>Table24[[#This Row],[SEATS SOLD]]*Table24[[#This Row],[ECO SEAT]]</f>
        <v>896800</v>
      </c>
      <c r="U841" s="307">
        <f>Table24[[#This Row],[SEATS SOLD]]*(IFERROR(VLOOKUP(Table24[[#This Row],[ROUTE]],PRICING!A:C,3,FALSE),0))</f>
        <v>1094400</v>
      </c>
      <c r="V841" s="307">
        <f>Table24[[#This Row],[SEAT REV]]-Table24[[#This Row],[SEAT REV
(IF IDEAL $)]]</f>
        <v>-197600</v>
      </c>
      <c r="X841"/>
    </row>
    <row r="842" spans="1:24" x14ac:dyDescent="0.25">
      <c r="A842" s="306" t="s">
        <v>17062</v>
      </c>
      <c r="B842" s="306" t="s">
        <v>484</v>
      </c>
      <c r="C842" s="306" t="s">
        <v>2</v>
      </c>
      <c r="D842" s="26">
        <v>4</v>
      </c>
      <c r="E842" s="312" t="s">
        <v>2059</v>
      </c>
      <c r="F842" s="306" t="str">
        <f>VLOOKUP(Table24[[#This Row],[Country]],Table10[[COUNTRY NAME]:[CONTINENT CODE]],3,FALSE)</f>
        <v>AF</v>
      </c>
      <c r="G842" s="312" t="s">
        <v>11064</v>
      </c>
      <c r="H842" s="309">
        <v>8265</v>
      </c>
      <c r="I842" s="310">
        <v>20.25</v>
      </c>
      <c r="J842" s="307">
        <v>212673859</v>
      </c>
      <c r="K842" s="307">
        <f>IFERROR(Table24[[#This Row],[ROUTE COST]]/Table24[[#This Row],[O - DEMAND]],0)</f>
        <v>43042.675369358432</v>
      </c>
      <c r="L842" s="306">
        <v>4941</v>
      </c>
      <c r="M842" s="310">
        <f>Table24[[#This Row],[O - DEMAND]]/950</f>
        <v>5.2010526315789471</v>
      </c>
      <c r="N842" s="306">
        <f>IFERROR(VLOOKUP(Table24[[#This Row],[ROUTE]],DEMAND!A:F,5,FALSE),0)</f>
        <v>5271</v>
      </c>
      <c r="O842" s="306">
        <f>IFERROR(VLOOKUP(Table24[[#This Row],[ROUTE]],DEMAND!A:F,6,FALSE),0)</f>
        <v>521</v>
      </c>
      <c r="P842" s="306">
        <f>ROUNDDOWN(Table24[[#This Row],[R-DEMAND]]/950,0)</f>
        <v>0</v>
      </c>
      <c r="Q842" s="306">
        <f>Table24[[#This Row],[ADD ACC
(475/950)]]*Table24[[#This Row],[Duration
(A359)]]</f>
        <v>0</v>
      </c>
      <c r="R842" s="307">
        <f>IFERROR(VLOOKUP(Table24[[#This Row],[ROUTE]],PRICING!A:B,2,FALSE),0)</f>
        <v>2145</v>
      </c>
      <c r="S842" s="308">
        <f>Table24[[#This Row],[C_DEMAND]]-Table24[[#This Row],[R-DEMAND]]</f>
        <v>4750</v>
      </c>
      <c r="T842" s="307">
        <f>Table24[[#This Row],[SEATS SOLD]]*Table24[[#This Row],[ECO SEAT]]</f>
        <v>10188750</v>
      </c>
      <c r="U842" s="307">
        <f>Table24[[#This Row],[SEATS SOLD]]*(IFERROR(VLOOKUP(Table24[[#This Row],[ROUTE]],PRICING!A:C,3,FALSE),0))</f>
        <v>12739500</v>
      </c>
      <c r="V842" s="307">
        <f>Table24[[#This Row],[SEAT REV]]-Table24[[#This Row],[SEAT REV
(IF IDEAL $)]]</f>
        <v>-2550750</v>
      </c>
      <c r="X842"/>
    </row>
    <row r="843" spans="1:24" x14ac:dyDescent="0.25">
      <c r="A843" s="306" t="s">
        <v>17762</v>
      </c>
      <c r="B843" s="306" t="s">
        <v>4896</v>
      </c>
      <c r="C843" s="306" t="s">
        <v>2</v>
      </c>
      <c r="D843" s="26">
        <v>3</v>
      </c>
      <c r="E843" s="312" t="s">
        <v>4894</v>
      </c>
      <c r="F843" s="306" t="str">
        <f>VLOOKUP(Table24[[#This Row],[Country]],Table10[[COUNTRY NAME]:[CONTINENT CODE]],3,FALSE)</f>
        <v>NA</v>
      </c>
      <c r="G843" s="312" t="s">
        <v>17032</v>
      </c>
      <c r="H843" s="309">
        <v>480</v>
      </c>
      <c r="I843" s="310">
        <v>3.25</v>
      </c>
      <c r="J843" s="307">
        <v>120105622</v>
      </c>
      <c r="K843" s="307">
        <f>IFERROR(Table24[[#This Row],[ROUTE COST]]/Table24[[#This Row],[O - DEMAND]],0)</f>
        <v>52608.682435392031</v>
      </c>
      <c r="L843" s="306">
        <v>2283</v>
      </c>
      <c r="M843" s="310">
        <f>Table24[[#This Row],[O - DEMAND]]/950</f>
        <v>2.4031578947368422</v>
      </c>
      <c r="N843" s="306">
        <f>IFERROR(VLOOKUP(Table24[[#This Row],[ROUTE]],DEMAND!A:F,5,FALSE),0)</f>
        <v>2422</v>
      </c>
      <c r="O843" s="306">
        <f>IFERROR(VLOOKUP(Table24[[#This Row],[ROUTE]],DEMAND!A:F,6,FALSE),0)</f>
        <v>522</v>
      </c>
      <c r="P843" s="306">
        <f>ROUNDDOWN(Table24[[#This Row],[R-DEMAND]]/950,0)</f>
        <v>0</v>
      </c>
      <c r="Q843" s="306">
        <f>Table24[[#This Row],[ADD ACC
(475/950)]]*Table24[[#This Row],[Duration
(A359)]]</f>
        <v>0</v>
      </c>
      <c r="R843" s="307">
        <f>IFERROR(VLOOKUP(Table24[[#This Row],[ROUTE]],PRICING!A:B,2,FALSE),0)</f>
        <v>219</v>
      </c>
      <c r="S843" s="308">
        <f>Table24[[#This Row],[C_DEMAND]]-Table24[[#This Row],[R-DEMAND]]</f>
        <v>1900</v>
      </c>
      <c r="T843" s="307">
        <f>Table24[[#This Row],[SEATS SOLD]]*Table24[[#This Row],[ECO SEAT]]</f>
        <v>416100</v>
      </c>
      <c r="U843" s="307">
        <f>Table24[[#This Row],[SEATS SOLD]]*(IFERROR(VLOOKUP(Table24[[#This Row],[ROUTE]],PRICING!A:C,3,FALSE),0))</f>
        <v>509200</v>
      </c>
      <c r="V843" s="307">
        <f>Table24[[#This Row],[SEAT REV]]-Table24[[#This Row],[SEAT REV
(IF IDEAL $)]]</f>
        <v>-93100</v>
      </c>
      <c r="X843"/>
    </row>
    <row r="844" spans="1:24" x14ac:dyDescent="0.25">
      <c r="A844" s="306" t="s">
        <v>18071</v>
      </c>
      <c r="B844" s="306" t="s">
        <v>3739</v>
      </c>
      <c r="C844" s="306" t="s">
        <v>2</v>
      </c>
      <c r="D844" s="26">
        <v>2</v>
      </c>
      <c r="E844" s="312" t="s">
        <v>530</v>
      </c>
      <c r="F844" s="306" t="str">
        <f>VLOOKUP(Table24[[#This Row],[Country]],Table10[[COUNTRY NAME]:[CONTINENT CODE]],3,FALSE)</f>
        <v>SA</v>
      </c>
      <c r="G844" s="312" t="s">
        <v>13180</v>
      </c>
      <c r="H844" s="309">
        <v>4583</v>
      </c>
      <c r="I844" s="310">
        <v>12.25</v>
      </c>
      <c r="J844" s="307">
        <v>149211114</v>
      </c>
      <c r="K844" s="307">
        <f>IFERROR(Table24[[#This Row],[ROUTE COST]]/Table24[[#This Row],[O - DEMAND]],0)</f>
        <v>65015.735947712419</v>
      </c>
      <c r="L844" s="306">
        <v>2295</v>
      </c>
      <c r="M844" s="310">
        <f>Table24[[#This Row],[O - DEMAND]]/950</f>
        <v>2.4157894736842107</v>
      </c>
      <c r="N844" s="306">
        <f>IFERROR(VLOOKUP(Table24[[#This Row],[ROUTE]],DEMAND!A:F,5,FALSE),0)</f>
        <v>2425</v>
      </c>
      <c r="O844" s="306">
        <f>IFERROR(VLOOKUP(Table24[[#This Row],[ROUTE]],DEMAND!A:F,6,FALSE),0)</f>
        <v>525</v>
      </c>
      <c r="P844" s="306">
        <f>ROUNDDOWN(Table24[[#This Row],[R-DEMAND]]/950,0)</f>
        <v>0</v>
      </c>
      <c r="Q844" s="306">
        <f>Table24[[#This Row],[ADD ACC
(475/950)]]*Table24[[#This Row],[Duration
(A359)]]</f>
        <v>0</v>
      </c>
      <c r="R844" s="307">
        <f>IFERROR(VLOOKUP(Table24[[#This Row],[ROUTE]],PRICING!A:B,2,FALSE),0)</f>
        <v>1278</v>
      </c>
      <c r="S844" s="308">
        <f>Table24[[#This Row],[C_DEMAND]]-Table24[[#This Row],[R-DEMAND]]</f>
        <v>1900</v>
      </c>
      <c r="T844" s="307">
        <f>Table24[[#This Row],[SEATS SOLD]]*Table24[[#This Row],[ECO SEAT]]</f>
        <v>2428200</v>
      </c>
      <c r="U844" s="307">
        <f>Table24[[#This Row],[SEATS SOLD]]*(IFERROR(VLOOKUP(Table24[[#This Row],[ROUTE]],PRICING!A:C,3,FALSE),0))</f>
        <v>2926000</v>
      </c>
      <c r="V844" s="307">
        <f>Table24[[#This Row],[SEAT REV]]-Table24[[#This Row],[SEAT REV
(IF IDEAL $)]]</f>
        <v>-497800</v>
      </c>
      <c r="X844"/>
    </row>
    <row r="845" spans="1:24" x14ac:dyDescent="0.25">
      <c r="A845" s="306" t="s">
        <v>17114</v>
      </c>
      <c r="B845" s="306" t="s">
        <v>2531</v>
      </c>
      <c r="C845" s="306" t="s">
        <v>2</v>
      </c>
      <c r="D845" s="26">
        <v>2</v>
      </c>
      <c r="E845" s="312" t="s">
        <v>644</v>
      </c>
      <c r="F845" s="306" t="str">
        <f>VLOOKUP(Table24[[#This Row],[Country]],Table10[[COUNTRY NAME]:[CONTINENT CODE]],3,FALSE)</f>
        <v>AF</v>
      </c>
      <c r="G845" s="312" t="s">
        <v>11812</v>
      </c>
      <c r="H845" s="309">
        <v>10015</v>
      </c>
      <c r="I845" s="310">
        <v>24</v>
      </c>
      <c r="J845" s="307">
        <v>198739736</v>
      </c>
      <c r="K845" s="307">
        <f>IFERROR(Table24[[#This Row],[ROUTE COST]]/Table24[[#This Row],[O - DEMAND]],0)</f>
        <v>62693.923028391167</v>
      </c>
      <c r="L845" s="306">
        <v>3170</v>
      </c>
      <c r="M845" s="310">
        <f>Table24[[#This Row],[O - DEMAND]]/950</f>
        <v>3.3368421052631581</v>
      </c>
      <c r="N845" s="306">
        <f>IFERROR(VLOOKUP(Table24[[#This Row],[ROUTE]],DEMAND!A:F,5,FALSE),0)</f>
        <v>3381</v>
      </c>
      <c r="O845" s="306">
        <f>IFERROR(VLOOKUP(Table24[[#This Row],[ROUTE]],DEMAND!A:F,6,FALSE),0)</f>
        <v>531</v>
      </c>
      <c r="P845" s="306">
        <f>ROUNDDOWN(Table24[[#This Row],[R-DEMAND]]/950,0)</f>
        <v>0</v>
      </c>
      <c r="Q845" s="306">
        <f>Table24[[#This Row],[ADD ACC
(475/950)]]*Table24[[#This Row],[Duration
(A359)]]</f>
        <v>0</v>
      </c>
      <c r="R845" s="307">
        <f>IFERROR(VLOOKUP(Table24[[#This Row],[ROUTE]],PRICING!A:B,2,FALSE),0)</f>
        <v>2579</v>
      </c>
      <c r="S845" s="308">
        <f>Table24[[#This Row],[C_DEMAND]]-Table24[[#This Row],[R-DEMAND]]</f>
        <v>2850</v>
      </c>
      <c r="T845" s="307">
        <f>Table24[[#This Row],[SEATS SOLD]]*Table24[[#This Row],[ECO SEAT]]</f>
        <v>7350150</v>
      </c>
      <c r="U845" s="307">
        <f>Table24[[#This Row],[SEATS SOLD]]*(IFERROR(VLOOKUP(Table24[[#This Row],[ROUTE]],PRICING!A:C,3,FALSE),0))</f>
        <v>9188400</v>
      </c>
      <c r="V845" s="307">
        <f>Table24[[#This Row],[SEAT REV]]-Table24[[#This Row],[SEAT REV
(IF IDEAL $)]]</f>
        <v>-1838250</v>
      </c>
      <c r="X845"/>
    </row>
    <row r="846" spans="1:24" x14ac:dyDescent="0.25">
      <c r="A846" s="306" t="s">
        <v>17291</v>
      </c>
      <c r="B846" s="306" t="s">
        <v>4969</v>
      </c>
      <c r="C846" s="306" t="s">
        <v>2</v>
      </c>
      <c r="D846" s="26">
        <v>3</v>
      </c>
      <c r="E846" s="312" t="s">
        <v>2764</v>
      </c>
      <c r="F846" s="306" t="str">
        <f>VLOOKUP(Table24[[#This Row],[Country]],Table10[[COUNTRY NAME]:[CONTINENT CODE]],3,FALSE)</f>
        <v>AS</v>
      </c>
      <c r="G846" s="312" t="s">
        <v>11981</v>
      </c>
      <c r="H846" s="309">
        <v>12276</v>
      </c>
      <c r="I846" s="310">
        <v>29</v>
      </c>
      <c r="J846" s="307">
        <v>240592811</v>
      </c>
      <c r="K846" s="307">
        <f>IFERROR(Table24[[#This Row],[ROUTE COST]]/Table24[[#This Row],[O - DEMAND]],0)</f>
        <v>58325.529939393942</v>
      </c>
      <c r="L846" s="306">
        <v>4125</v>
      </c>
      <c r="M846" s="310">
        <f>Table24[[#This Row],[O - DEMAND]]/950</f>
        <v>4.3421052631578947</v>
      </c>
      <c r="N846" s="306">
        <f>IFERROR(VLOOKUP(Table24[[#This Row],[ROUTE]],DEMAND!A:F,5,FALSE),0)</f>
        <v>4332</v>
      </c>
      <c r="O846" s="306">
        <f>IFERROR(VLOOKUP(Table24[[#This Row],[ROUTE]],DEMAND!A:F,6,FALSE),0)</f>
        <v>532</v>
      </c>
      <c r="P846" s="306">
        <f>ROUNDDOWN(Table24[[#This Row],[R-DEMAND]]/950,0)</f>
        <v>0</v>
      </c>
      <c r="Q846" s="306">
        <f>Table24[[#This Row],[ADD ACC
(475/950)]]*Table24[[#This Row],[Duration
(A359)]]</f>
        <v>0</v>
      </c>
      <c r="R846" s="307">
        <f>IFERROR(VLOOKUP(Table24[[#This Row],[ROUTE]],PRICING!A:B,2,FALSE),0)</f>
        <v>3336</v>
      </c>
      <c r="S846" s="308">
        <f>Table24[[#This Row],[C_DEMAND]]-Table24[[#This Row],[R-DEMAND]]</f>
        <v>3800</v>
      </c>
      <c r="T846" s="307">
        <f>Table24[[#This Row],[SEATS SOLD]]*Table24[[#This Row],[ECO SEAT]]</f>
        <v>12676800</v>
      </c>
      <c r="U846" s="307">
        <f>Table24[[#This Row],[SEATS SOLD]]*(IFERROR(VLOOKUP(Table24[[#This Row],[ROUTE]],PRICING!A:C,3,FALSE),0))</f>
        <v>14915000</v>
      </c>
      <c r="V846" s="307">
        <f>Table24[[#This Row],[SEAT REV]]-Table24[[#This Row],[SEAT REV
(IF IDEAL $)]]</f>
        <v>-2238200</v>
      </c>
      <c r="X846"/>
    </row>
    <row r="847" spans="1:24" x14ac:dyDescent="0.25">
      <c r="A847" s="306" t="s">
        <v>18075</v>
      </c>
      <c r="B847" s="306" t="s">
        <v>4100</v>
      </c>
      <c r="C847" s="306" t="s">
        <v>2</v>
      </c>
      <c r="D847" s="26">
        <v>2</v>
      </c>
      <c r="E847" s="312" t="s">
        <v>1144</v>
      </c>
      <c r="F847" s="306" t="str">
        <f>VLOOKUP(Table24[[#This Row],[Country]],Table10[[COUNTRY NAME]:[CONTINENT CODE]],3,FALSE)</f>
        <v>SA</v>
      </c>
      <c r="G847" s="312" t="s">
        <v>13154</v>
      </c>
      <c r="H847" s="309">
        <v>4168</v>
      </c>
      <c r="I847" s="310">
        <v>11.25</v>
      </c>
      <c r="J847" s="307">
        <v>148138358</v>
      </c>
      <c r="K847" s="307">
        <f>IFERROR(Table24[[#This Row],[ROUTE COST]]/Table24[[#This Row],[O - DEMAND]],0)</f>
        <v>46731.343217665613</v>
      </c>
      <c r="L847" s="306">
        <v>3170</v>
      </c>
      <c r="M847" s="310">
        <f>Table24[[#This Row],[O - DEMAND]]/950</f>
        <v>3.3368421052631581</v>
      </c>
      <c r="N847" s="306">
        <f>IFERROR(VLOOKUP(Table24[[#This Row],[ROUTE]],DEMAND!A:F,5,FALSE),0)</f>
        <v>3382</v>
      </c>
      <c r="O847" s="306">
        <f>IFERROR(VLOOKUP(Table24[[#This Row],[ROUTE]],DEMAND!A:F,6,FALSE),0)</f>
        <v>532</v>
      </c>
      <c r="P847" s="306">
        <f>ROUNDDOWN(Table24[[#This Row],[R-DEMAND]]/950,0)</f>
        <v>0</v>
      </c>
      <c r="Q847" s="306">
        <f>Table24[[#This Row],[ADD ACC
(475/950)]]*Table24[[#This Row],[Duration
(A359)]]</f>
        <v>0</v>
      </c>
      <c r="R847" s="307">
        <f>IFERROR(VLOOKUP(Table24[[#This Row],[ROUTE]],PRICING!A:B,2,FALSE),0)</f>
        <v>1129</v>
      </c>
      <c r="S847" s="308">
        <f>Table24[[#This Row],[C_DEMAND]]-Table24[[#This Row],[R-DEMAND]]</f>
        <v>2850</v>
      </c>
      <c r="T847" s="307">
        <f>Table24[[#This Row],[SEATS SOLD]]*Table24[[#This Row],[ECO SEAT]]</f>
        <v>3217650</v>
      </c>
      <c r="U847" s="307">
        <f>Table24[[#This Row],[SEATS SOLD]]*(IFERROR(VLOOKUP(Table24[[#This Row],[ROUTE]],PRICING!A:C,3,FALSE),0))</f>
        <v>4024200</v>
      </c>
      <c r="V847" s="307">
        <f>Table24[[#This Row],[SEAT REV]]-Table24[[#This Row],[SEAT REV
(IF IDEAL $)]]</f>
        <v>-806550</v>
      </c>
      <c r="X847"/>
    </row>
    <row r="848" spans="1:24" x14ac:dyDescent="0.25">
      <c r="A848" s="306" t="s">
        <v>17746</v>
      </c>
      <c r="B848" s="306" t="s">
        <v>5114</v>
      </c>
      <c r="C848" s="306" t="s">
        <v>2</v>
      </c>
      <c r="D848" s="26">
        <v>3</v>
      </c>
      <c r="E848" s="312" t="s">
        <v>1749</v>
      </c>
      <c r="F848" s="306" t="str">
        <f>VLOOKUP(Table24[[#This Row],[Country]],Table10[[COUNTRY NAME]:[CONTINENT CODE]],3,FALSE)</f>
        <v>NA</v>
      </c>
      <c r="G848" s="312" t="s">
        <v>13214</v>
      </c>
      <c r="H848" s="309">
        <v>3912</v>
      </c>
      <c r="I848" s="310">
        <v>10.75</v>
      </c>
      <c r="J848" s="307">
        <v>158146597</v>
      </c>
      <c r="K848" s="307">
        <f>IFERROR(Table24[[#This Row],[ROUTE COST]]/Table24[[#This Row],[O - DEMAND]],0)</f>
        <v>49825.644927536232</v>
      </c>
      <c r="L848" s="306">
        <v>3174</v>
      </c>
      <c r="M848" s="310">
        <f>Table24[[#This Row],[O - DEMAND]]/950</f>
        <v>3.3410526315789473</v>
      </c>
      <c r="N848" s="306">
        <f>IFERROR(VLOOKUP(Table24[[#This Row],[ROUTE]],DEMAND!A:F,5,FALSE),0)</f>
        <v>3386</v>
      </c>
      <c r="O848" s="306">
        <f>IFERROR(VLOOKUP(Table24[[#This Row],[ROUTE]],DEMAND!A:F,6,FALSE),0)</f>
        <v>536</v>
      </c>
      <c r="P848" s="306">
        <f>ROUNDDOWN(Table24[[#This Row],[R-DEMAND]]/950,0)</f>
        <v>0</v>
      </c>
      <c r="Q848" s="306">
        <f>Table24[[#This Row],[ADD ACC
(475/950)]]*Table24[[#This Row],[Duration
(A359)]]</f>
        <v>0</v>
      </c>
      <c r="R848" s="307">
        <f>IFERROR(VLOOKUP(Table24[[#This Row],[ROUTE]],PRICING!A:B,2,FALSE),0)</f>
        <v>1065</v>
      </c>
      <c r="S848" s="308">
        <f>Table24[[#This Row],[C_DEMAND]]-Table24[[#This Row],[R-DEMAND]]</f>
        <v>2850</v>
      </c>
      <c r="T848" s="307">
        <f>Table24[[#This Row],[SEATS SOLD]]*Table24[[#This Row],[ECO SEAT]]</f>
        <v>3035250</v>
      </c>
      <c r="U848" s="307">
        <f>Table24[[#This Row],[SEATS SOLD]]*(IFERROR(VLOOKUP(Table24[[#This Row],[ROUTE]],PRICING!A:C,3,FALSE),0))</f>
        <v>3796200</v>
      </c>
      <c r="V848" s="307">
        <f>Table24[[#This Row],[SEAT REV]]-Table24[[#This Row],[SEAT REV
(IF IDEAL $)]]</f>
        <v>-760950</v>
      </c>
      <c r="X848"/>
    </row>
    <row r="849" spans="1:24" x14ac:dyDescent="0.25">
      <c r="A849" s="306" t="s">
        <v>18016</v>
      </c>
      <c r="B849" s="306" t="s">
        <v>3323</v>
      </c>
      <c r="C849" s="306" t="s">
        <v>2</v>
      </c>
      <c r="D849" s="26">
        <v>2</v>
      </c>
      <c r="E849" s="312" t="s">
        <v>11669</v>
      </c>
      <c r="F849" s="306" t="str">
        <f>VLOOKUP(Table24[[#This Row],[Country]],Table10[[COUNTRY NAME]:[CONTINENT CODE]],3,FALSE)</f>
        <v>SA</v>
      </c>
      <c r="G849" s="312" t="s">
        <v>13133</v>
      </c>
      <c r="H849" s="309">
        <v>7812</v>
      </c>
      <c r="I849" s="310">
        <v>19.25</v>
      </c>
      <c r="J849" s="307">
        <v>179071631</v>
      </c>
      <c r="K849" s="307">
        <f>IFERROR(Table24[[#This Row],[ROUTE COST]]/Table24[[#This Row],[O - DEMAND]],0)</f>
        <v>77891.09656372336</v>
      </c>
      <c r="L849" s="306">
        <v>2299</v>
      </c>
      <c r="M849" s="310">
        <f>Table24[[#This Row],[O - DEMAND]]/950</f>
        <v>2.42</v>
      </c>
      <c r="N849" s="306">
        <f>IFERROR(VLOOKUP(Table24[[#This Row],[ROUTE]],DEMAND!A:F,5,FALSE),0)</f>
        <v>2437</v>
      </c>
      <c r="O849" s="306">
        <f>IFERROR(VLOOKUP(Table24[[#This Row],[ROUTE]],DEMAND!A:F,6,FALSE),0)</f>
        <v>537</v>
      </c>
      <c r="P849" s="306">
        <f>ROUNDDOWN(Table24[[#This Row],[R-DEMAND]]/950,0)</f>
        <v>0</v>
      </c>
      <c r="Q849" s="306">
        <f>Table24[[#This Row],[ADD ACC
(475/950)]]*Table24[[#This Row],[Duration
(A359)]]</f>
        <v>0</v>
      </c>
      <c r="R849" s="307">
        <f>IFERROR(VLOOKUP(Table24[[#This Row],[ROUTE]],PRICING!A:B,2,FALSE),0)</f>
        <v>2083</v>
      </c>
      <c r="S849" s="308">
        <f>Table24[[#This Row],[C_DEMAND]]-Table24[[#This Row],[R-DEMAND]]</f>
        <v>1900</v>
      </c>
      <c r="T849" s="307">
        <f>Table24[[#This Row],[SEATS SOLD]]*Table24[[#This Row],[ECO SEAT]]</f>
        <v>3957700</v>
      </c>
      <c r="U849" s="307">
        <f>Table24[[#This Row],[SEATS SOLD]]*(IFERROR(VLOOKUP(Table24[[#This Row],[ROUTE]],PRICING!A:C,3,FALSE),0))</f>
        <v>4827900</v>
      </c>
      <c r="V849" s="307">
        <f>Table24[[#This Row],[SEAT REV]]-Table24[[#This Row],[SEAT REV
(IF IDEAL $)]]</f>
        <v>-870200</v>
      </c>
      <c r="X849"/>
    </row>
    <row r="850" spans="1:24" x14ac:dyDescent="0.25">
      <c r="A850" s="306" t="s">
        <v>17250</v>
      </c>
      <c r="B850" s="306" t="s">
        <v>5257</v>
      </c>
      <c r="C850" s="306" t="s">
        <v>2</v>
      </c>
      <c r="D850" s="26">
        <v>3</v>
      </c>
      <c r="E850" s="312" t="s">
        <v>46</v>
      </c>
      <c r="F850" s="306" t="str">
        <f>VLOOKUP(Table24[[#This Row],[Country]],Table10[[COUNTRY NAME]:[CONTINENT CODE]],3,FALSE)</f>
        <v>AS</v>
      </c>
      <c r="G850" s="312" t="s">
        <v>16812</v>
      </c>
      <c r="H850" s="309">
        <v>14939</v>
      </c>
      <c r="I850" s="310">
        <v>35</v>
      </c>
      <c r="J850" s="307">
        <v>271777259</v>
      </c>
      <c r="K850" s="307">
        <f>IFERROR(Table24[[#This Row],[ROUTE COST]]/Table24[[#This Row],[O - DEMAND]],0)</f>
        <v>118164.02565217391</v>
      </c>
      <c r="L850" s="306">
        <v>2300</v>
      </c>
      <c r="M850" s="310">
        <f>Table24[[#This Row],[O - DEMAND]]/950</f>
        <v>2.4210526315789473</v>
      </c>
      <c r="N850" s="306">
        <f>IFERROR(VLOOKUP(Table24[[#This Row],[ROUTE]],DEMAND!A:F,5,FALSE),0)</f>
        <v>2438</v>
      </c>
      <c r="O850" s="306">
        <f>IFERROR(VLOOKUP(Table24[[#This Row],[ROUTE]],DEMAND!A:F,6,FALSE),0)</f>
        <v>538</v>
      </c>
      <c r="P850" s="306">
        <f>ROUNDDOWN(Table24[[#This Row],[R-DEMAND]]/950,0)</f>
        <v>0</v>
      </c>
      <c r="Q850" s="306">
        <f>Table24[[#This Row],[ADD ACC
(475/950)]]*Table24[[#This Row],[Duration
(A359)]]</f>
        <v>0</v>
      </c>
      <c r="R850" s="307">
        <f>IFERROR(VLOOKUP(Table24[[#This Row],[ROUTE]],PRICING!A:B,2,FALSE),0)</f>
        <v>3895</v>
      </c>
      <c r="S850" s="308">
        <f>Table24[[#This Row],[C_DEMAND]]-Table24[[#This Row],[R-DEMAND]]</f>
        <v>1900</v>
      </c>
      <c r="T850" s="307">
        <f>Table24[[#This Row],[SEATS SOLD]]*Table24[[#This Row],[ECO SEAT]]</f>
        <v>7400500</v>
      </c>
      <c r="U850" s="307">
        <f>Table24[[#This Row],[SEATS SOLD]]*(IFERROR(VLOOKUP(Table24[[#This Row],[ROUTE]],PRICING!A:C,3,FALSE),0))</f>
        <v>9026900</v>
      </c>
      <c r="V850" s="307">
        <f>Table24[[#This Row],[SEAT REV]]-Table24[[#This Row],[SEAT REV
(IF IDEAL $)]]</f>
        <v>-1626400</v>
      </c>
      <c r="X850"/>
    </row>
    <row r="851" spans="1:24" x14ac:dyDescent="0.25">
      <c r="A851" s="306" t="s">
        <v>17519</v>
      </c>
      <c r="B851" s="306" t="s">
        <v>5365</v>
      </c>
      <c r="C851" s="306" t="s">
        <v>2</v>
      </c>
      <c r="D851" s="26">
        <v>3</v>
      </c>
      <c r="E851" s="312" t="s">
        <v>4909</v>
      </c>
      <c r="F851" s="306" t="str">
        <f>VLOOKUP(Table24[[#This Row],[Country]],Table10[[COUNTRY NAME]:[CONTINENT CODE]],3,FALSE)</f>
        <v>EU</v>
      </c>
      <c r="G851" s="312" t="s">
        <v>8912</v>
      </c>
      <c r="H851" s="309">
        <v>10208</v>
      </c>
      <c r="I851" s="310">
        <v>24.5</v>
      </c>
      <c r="J851" s="307">
        <v>228442422</v>
      </c>
      <c r="K851" s="307">
        <f>IFERROR(Table24[[#This Row],[ROUTE COST]]/Table24[[#This Row],[O - DEMAND]],0)</f>
        <v>71679.454659554438</v>
      </c>
      <c r="L851" s="306">
        <v>3187</v>
      </c>
      <c r="M851" s="310">
        <f>Table24[[#This Row],[O - DEMAND]]/950</f>
        <v>3.3547368421052632</v>
      </c>
      <c r="N851" s="306">
        <f>IFERROR(VLOOKUP(Table24[[#This Row],[ROUTE]],DEMAND!A:F,5,FALSE),0)</f>
        <v>3389</v>
      </c>
      <c r="O851" s="306">
        <f>IFERROR(VLOOKUP(Table24[[#This Row],[ROUTE]],DEMAND!A:F,6,FALSE),0)</f>
        <v>539</v>
      </c>
      <c r="P851" s="306">
        <f>ROUNDDOWN(Table24[[#This Row],[R-DEMAND]]/950,0)</f>
        <v>0</v>
      </c>
      <c r="Q851" s="306">
        <f>Table24[[#This Row],[ADD ACC
(475/950)]]*Table24[[#This Row],[Duration
(A359)]]</f>
        <v>0</v>
      </c>
      <c r="R851" s="307">
        <f>IFERROR(VLOOKUP(Table24[[#This Row],[ROUTE]],PRICING!A:B,2,FALSE),0)</f>
        <v>2660</v>
      </c>
      <c r="S851" s="308">
        <f>Table24[[#This Row],[C_DEMAND]]-Table24[[#This Row],[R-DEMAND]]</f>
        <v>2850</v>
      </c>
      <c r="T851" s="307">
        <f>Table24[[#This Row],[SEATS SOLD]]*Table24[[#This Row],[ECO SEAT]]</f>
        <v>7581000</v>
      </c>
      <c r="U851" s="307">
        <f>Table24[[#This Row],[SEATS SOLD]]*(IFERROR(VLOOKUP(Table24[[#This Row],[ROUTE]],PRICING!A:C,3,FALSE),0))</f>
        <v>9359400</v>
      </c>
      <c r="V851" s="307">
        <f>Table24[[#This Row],[SEAT REV]]-Table24[[#This Row],[SEAT REV
(IF IDEAL $)]]</f>
        <v>-1778400</v>
      </c>
      <c r="X851"/>
    </row>
    <row r="852" spans="1:24" x14ac:dyDescent="0.25">
      <c r="A852" s="306" t="s">
        <v>17799</v>
      </c>
      <c r="B852" s="306" t="s">
        <v>3921</v>
      </c>
      <c r="C852" s="306" t="s">
        <v>2</v>
      </c>
      <c r="D852" s="26">
        <v>2</v>
      </c>
      <c r="E852" s="312" t="s">
        <v>812</v>
      </c>
      <c r="F852" s="306" t="str">
        <f>VLOOKUP(Table24[[#This Row],[Country]],Table10[[COUNTRY NAME]:[CONTINENT CODE]],3,FALSE)</f>
        <v>NA</v>
      </c>
      <c r="G852" s="312" t="s">
        <v>17022</v>
      </c>
      <c r="H852" s="309">
        <v>1679</v>
      </c>
      <c r="I852" s="310">
        <v>5.75</v>
      </c>
      <c r="J852" s="307">
        <v>121819980</v>
      </c>
      <c r="K852" s="307">
        <f>IFERROR(Table24[[#This Row],[ROUTE COST]]/Table24[[#This Row],[O - DEMAND]],0)</f>
        <v>52531.25485122898</v>
      </c>
      <c r="L852" s="306">
        <v>2319</v>
      </c>
      <c r="M852" s="310">
        <f>Table24[[#This Row],[O - DEMAND]]/950</f>
        <v>2.4410526315789474</v>
      </c>
      <c r="N852" s="306">
        <f>IFERROR(VLOOKUP(Table24[[#This Row],[ROUTE]],DEMAND!A:F,5,FALSE),0)</f>
        <v>2443</v>
      </c>
      <c r="O852" s="306">
        <f>IFERROR(VLOOKUP(Table24[[#This Row],[ROUTE]],DEMAND!A:F,6,FALSE),0)</f>
        <v>543</v>
      </c>
      <c r="P852" s="306">
        <f>ROUNDDOWN(Table24[[#This Row],[R-DEMAND]]/950,0)</f>
        <v>0</v>
      </c>
      <c r="Q852" s="306">
        <f>Table24[[#This Row],[ADD ACC
(475/950)]]*Table24[[#This Row],[Duration
(A359)]]</f>
        <v>0</v>
      </c>
      <c r="R852" s="307">
        <f>IFERROR(VLOOKUP(Table24[[#This Row],[ROUTE]],PRICING!A:B,2,FALSE),0)</f>
        <v>537</v>
      </c>
      <c r="S852" s="308">
        <f>Table24[[#This Row],[C_DEMAND]]-Table24[[#This Row],[R-DEMAND]]</f>
        <v>1900</v>
      </c>
      <c r="T852" s="307">
        <f>Table24[[#This Row],[SEATS SOLD]]*Table24[[#This Row],[ECO SEAT]]</f>
        <v>1020300</v>
      </c>
      <c r="U852" s="307">
        <f>Table24[[#This Row],[SEATS SOLD]]*(IFERROR(VLOOKUP(Table24[[#This Row],[ROUTE]],PRICING!A:C,3,FALSE),0))</f>
        <v>1216000</v>
      </c>
      <c r="V852" s="307">
        <f>Table24[[#This Row],[SEAT REV]]-Table24[[#This Row],[SEAT REV
(IF IDEAL $)]]</f>
        <v>-195700</v>
      </c>
      <c r="X852"/>
    </row>
    <row r="853" spans="1:24" x14ac:dyDescent="0.25">
      <c r="A853" s="306" t="s">
        <v>17283</v>
      </c>
      <c r="B853" s="306" t="s">
        <v>254</v>
      </c>
      <c r="C853" s="306" t="s">
        <v>2</v>
      </c>
      <c r="D853" s="26">
        <v>3</v>
      </c>
      <c r="E853" s="312" t="s">
        <v>197</v>
      </c>
      <c r="F853" s="306" t="str">
        <f>VLOOKUP(Table24[[#This Row],[Country]],Table10[[COUNTRY NAME]:[CONTINENT CODE]],3,FALSE)</f>
        <v>AS</v>
      </c>
      <c r="G853" s="312" t="s">
        <v>12008</v>
      </c>
      <c r="H853" s="309">
        <v>13152</v>
      </c>
      <c r="I853" s="310">
        <v>31</v>
      </c>
      <c r="J853" s="307">
        <v>257913143</v>
      </c>
      <c r="K853" s="307">
        <f>IFERROR(Table24[[#This Row],[ROUTE COST]]/Table24[[#This Row],[O - DEMAND]],0)</f>
        <v>51634.262862862866</v>
      </c>
      <c r="L853" s="306">
        <v>4995</v>
      </c>
      <c r="M853" s="310">
        <f>Table24[[#This Row],[O - DEMAND]]/950</f>
        <v>5.257894736842105</v>
      </c>
      <c r="N853" s="306">
        <f>IFERROR(VLOOKUP(Table24[[#This Row],[ROUTE]],DEMAND!A:F,5,FALSE),0)</f>
        <v>5295</v>
      </c>
      <c r="O853" s="306">
        <f>IFERROR(VLOOKUP(Table24[[#This Row],[ROUTE]],DEMAND!A:F,6,FALSE),0)</f>
        <v>545</v>
      </c>
      <c r="P853" s="306">
        <f>ROUNDDOWN(Table24[[#This Row],[R-DEMAND]]/950,0)</f>
        <v>0</v>
      </c>
      <c r="Q853" s="306">
        <f>Table24[[#This Row],[ADD ACC
(475/950)]]*Table24[[#This Row],[Duration
(A359)]]</f>
        <v>0</v>
      </c>
      <c r="R853" s="307">
        <f>IFERROR(VLOOKUP(Table24[[#This Row],[ROUTE]],PRICING!A:B,2,FALSE),0)</f>
        <v>3441</v>
      </c>
      <c r="S853" s="308">
        <f>Table24[[#This Row],[C_DEMAND]]-Table24[[#This Row],[R-DEMAND]]</f>
        <v>4750</v>
      </c>
      <c r="T853" s="307">
        <f>Table24[[#This Row],[SEATS SOLD]]*Table24[[#This Row],[ECO SEAT]]</f>
        <v>16344750</v>
      </c>
      <c r="U853" s="307">
        <f>Table24[[#This Row],[SEATS SOLD]]*(IFERROR(VLOOKUP(Table24[[#This Row],[ROUTE]],PRICING!A:C,3,FALSE),0))</f>
        <v>19935750</v>
      </c>
      <c r="V853" s="307">
        <f>Table24[[#This Row],[SEAT REV]]-Table24[[#This Row],[SEAT REV
(IF IDEAL $)]]</f>
        <v>-3591000</v>
      </c>
      <c r="X853"/>
    </row>
    <row r="854" spans="1:24" x14ac:dyDescent="0.25">
      <c r="A854" s="306" t="s">
        <v>17480</v>
      </c>
      <c r="B854" s="306" t="s">
        <v>440</v>
      </c>
      <c r="C854" s="306" t="s">
        <v>2</v>
      </c>
      <c r="D854" s="26">
        <v>4</v>
      </c>
      <c r="E854" s="312" t="s">
        <v>597</v>
      </c>
      <c r="F854" s="306" t="str">
        <f>VLOOKUP(Table24[[#This Row],[Country]],Table10[[COUNTRY NAME]:[CONTINENT CODE]],3,FALSE)</f>
        <v>EU</v>
      </c>
      <c r="G854" s="312" t="s">
        <v>11110</v>
      </c>
      <c r="H854" s="309">
        <v>9277</v>
      </c>
      <c r="I854" s="310">
        <v>22.5</v>
      </c>
      <c r="J854" s="307">
        <v>234307783</v>
      </c>
      <c r="K854" s="307">
        <f>IFERROR(Table24[[#This Row],[ROUTE COST]]/Table24[[#This Row],[O - DEMAND]],0)</f>
        <v>71544.361221374042</v>
      </c>
      <c r="L854" s="306">
        <v>3275</v>
      </c>
      <c r="M854" s="310">
        <f>Table24[[#This Row],[O - DEMAND]]/950</f>
        <v>3.4473684210526314</v>
      </c>
      <c r="N854" s="306">
        <f>IFERROR(VLOOKUP(Table24[[#This Row],[ROUTE]],DEMAND!A:F,5,FALSE),0)</f>
        <v>3395</v>
      </c>
      <c r="O854" s="306">
        <f>IFERROR(VLOOKUP(Table24[[#This Row],[ROUTE]],DEMAND!A:F,6,FALSE),0)</f>
        <v>545</v>
      </c>
      <c r="P854" s="306">
        <f>ROUNDDOWN(Table24[[#This Row],[R-DEMAND]]/950,0)</f>
        <v>0</v>
      </c>
      <c r="Q854" s="306">
        <f>Table24[[#This Row],[ADD ACC
(475/950)]]*Table24[[#This Row],[Duration
(A359)]]</f>
        <v>0</v>
      </c>
      <c r="R854" s="307">
        <f>IFERROR(VLOOKUP(Table24[[#This Row],[ROUTE]],PRICING!A:B,2,FALSE),0)</f>
        <v>2665</v>
      </c>
      <c r="S854" s="308">
        <f>Table24[[#This Row],[C_DEMAND]]-Table24[[#This Row],[R-DEMAND]]</f>
        <v>2850</v>
      </c>
      <c r="T854" s="307">
        <f>Table24[[#This Row],[SEATS SOLD]]*Table24[[#This Row],[ECO SEAT]]</f>
        <v>7595250</v>
      </c>
      <c r="U854" s="307">
        <f>Table24[[#This Row],[SEATS SOLD]]*(IFERROR(VLOOKUP(Table24[[#This Row],[ROUTE]],PRICING!A:C,3,FALSE),0))</f>
        <v>8535750</v>
      </c>
      <c r="V854" s="307">
        <f>Table24[[#This Row],[SEAT REV]]-Table24[[#This Row],[SEAT REV
(IF IDEAL $)]]</f>
        <v>-940500</v>
      </c>
      <c r="X854"/>
    </row>
    <row r="855" spans="1:24" x14ac:dyDescent="0.25">
      <c r="A855" s="306" t="s">
        <v>17155</v>
      </c>
      <c r="B855" s="306" t="s">
        <v>5171</v>
      </c>
      <c r="C855" s="306" t="s">
        <v>2</v>
      </c>
      <c r="D855" s="26">
        <v>3</v>
      </c>
      <c r="E855" s="312" t="s">
        <v>4549</v>
      </c>
      <c r="F855" s="306" t="str">
        <f>VLOOKUP(Table24[[#This Row],[Country]],Table10[[COUNTRY NAME]:[CONTINENT CODE]],3,FALSE)</f>
        <v>AF</v>
      </c>
      <c r="G855" s="312" t="s">
        <v>11792</v>
      </c>
      <c r="H855" s="309">
        <v>8496</v>
      </c>
      <c r="I855" s="310">
        <v>20.75</v>
      </c>
      <c r="J855" s="307">
        <v>205505882</v>
      </c>
      <c r="K855" s="307">
        <f>IFERROR(Table24[[#This Row],[ROUTE COST]]/Table24[[#This Row],[O - DEMAND]],0)</f>
        <v>63742.519230769234</v>
      </c>
      <c r="L855" s="306">
        <v>3224</v>
      </c>
      <c r="M855" s="310">
        <f>Table24[[#This Row],[O - DEMAND]]/950</f>
        <v>3.3936842105263159</v>
      </c>
      <c r="N855" s="306">
        <f>IFERROR(VLOOKUP(Table24[[#This Row],[ROUTE]],DEMAND!A:F,5,FALSE),0)</f>
        <v>3396</v>
      </c>
      <c r="O855" s="306">
        <f>IFERROR(VLOOKUP(Table24[[#This Row],[ROUTE]],DEMAND!A:F,6,FALSE),0)</f>
        <v>546</v>
      </c>
      <c r="P855" s="306">
        <f>ROUNDDOWN(Table24[[#This Row],[R-DEMAND]]/950,0)</f>
        <v>0</v>
      </c>
      <c r="Q855" s="306">
        <f>Table24[[#This Row],[ADD ACC
(475/950)]]*Table24[[#This Row],[Duration
(A359)]]</f>
        <v>0</v>
      </c>
      <c r="R855" s="307">
        <f>IFERROR(VLOOKUP(Table24[[#This Row],[ROUTE]],PRICING!A:B,2,FALSE),0)</f>
        <v>2312</v>
      </c>
      <c r="S855" s="308">
        <f>Table24[[#This Row],[C_DEMAND]]-Table24[[#This Row],[R-DEMAND]]</f>
        <v>2850</v>
      </c>
      <c r="T855" s="307">
        <f>Table24[[#This Row],[SEATS SOLD]]*Table24[[#This Row],[ECO SEAT]]</f>
        <v>6589200</v>
      </c>
      <c r="U855" s="307">
        <f>Table24[[#This Row],[SEATS SOLD]]*(IFERROR(VLOOKUP(Table24[[#This Row],[ROUTE]],PRICING!A:C,3,FALSE),0))</f>
        <v>7846050</v>
      </c>
      <c r="V855" s="307">
        <f>Table24[[#This Row],[SEAT REV]]-Table24[[#This Row],[SEAT REV
(IF IDEAL $)]]</f>
        <v>-1256850</v>
      </c>
      <c r="X855"/>
    </row>
    <row r="856" spans="1:24" x14ac:dyDescent="0.25">
      <c r="A856" s="306" t="s">
        <v>17646</v>
      </c>
      <c r="B856" s="306" t="s">
        <v>3597</v>
      </c>
      <c r="C856" s="306" t="s">
        <v>2</v>
      </c>
      <c r="D856" s="26">
        <v>2</v>
      </c>
      <c r="E856" s="312" t="s">
        <v>758</v>
      </c>
      <c r="F856" s="306" t="str">
        <f>VLOOKUP(Table24[[#This Row],[Country]],Table10[[COUNTRY NAME]:[CONTINENT CODE]],3,FALSE)</f>
        <v>EU</v>
      </c>
      <c r="G856" s="312" t="s">
        <v>11817</v>
      </c>
      <c r="H856" s="309">
        <v>8735</v>
      </c>
      <c r="I856" s="310">
        <v>21.25</v>
      </c>
      <c r="J856" s="307">
        <v>190055221</v>
      </c>
      <c r="K856" s="307">
        <f>IFERROR(Table24[[#This Row],[ROUTE COST]]/Table24[[#This Row],[O - DEMAND]],0)</f>
        <v>81814.559190701679</v>
      </c>
      <c r="L856" s="306">
        <v>2323</v>
      </c>
      <c r="M856" s="310">
        <f>Table24[[#This Row],[O - DEMAND]]/950</f>
        <v>2.445263157894737</v>
      </c>
      <c r="N856" s="306">
        <f>IFERROR(VLOOKUP(Table24[[#This Row],[ROUTE]],DEMAND!A:F,5,FALSE),0)</f>
        <v>2447</v>
      </c>
      <c r="O856" s="306">
        <f>IFERROR(VLOOKUP(Table24[[#This Row],[ROUTE]],DEMAND!A:F,6,FALSE),0)</f>
        <v>547</v>
      </c>
      <c r="P856" s="306">
        <f>ROUNDDOWN(Table24[[#This Row],[R-DEMAND]]/950,0)</f>
        <v>0</v>
      </c>
      <c r="Q856" s="306">
        <f>Table24[[#This Row],[ADD ACC
(475/950)]]*Table24[[#This Row],[Duration
(A359)]]</f>
        <v>0</v>
      </c>
      <c r="R856" s="307">
        <f>IFERROR(VLOOKUP(Table24[[#This Row],[ROUTE]],PRICING!A:B,2,FALSE),0)</f>
        <v>2374</v>
      </c>
      <c r="S856" s="308">
        <f>Table24[[#This Row],[C_DEMAND]]-Table24[[#This Row],[R-DEMAND]]</f>
        <v>1900</v>
      </c>
      <c r="T856" s="307">
        <f>Table24[[#This Row],[SEATS SOLD]]*Table24[[#This Row],[ECO SEAT]]</f>
        <v>4510600</v>
      </c>
      <c r="U856" s="307">
        <f>Table24[[#This Row],[SEATS SOLD]]*(IFERROR(VLOOKUP(Table24[[#This Row],[ROUTE]],PRICING!A:C,3,FALSE),0))</f>
        <v>5371300</v>
      </c>
      <c r="V856" s="307">
        <f>Table24[[#This Row],[SEAT REV]]-Table24[[#This Row],[SEAT REV
(IF IDEAL $)]]</f>
        <v>-860700</v>
      </c>
      <c r="X856"/>
    </row>
    <row r="857" spans="1:24" x14ac:dyDescent="0.25">
      <c r="A857" s="306" t="s">
        <v>18001</v>
      </c>
      <c r="B857" s="306" t="s">
        <v>4997</v>
      </c>
      <c r="C857" s="306" t="s">
        <v>2</v>
      </c>
      <c r="D857" s="26"/>
      <c r="E857" s="312" t="s">
        <v>11732</v>
      </c>
      <c r="F857" s="306" t="str">
        <f>VLOOKUP(Table24[[#This Row],[Country]],Table10[[COUNTRY NAME]:[CONTINENT CODE]],3,FALSE)</f>
        <v>NA - US</v>
      </c>
      <c r="G857" s="312" t="s">
        <v>17000</v>
      </c>
      <c r="H857" s="309">
        <v>2751</v>
      </c>
      <c r="I857" s="310">
        <v>8.25</v>
      </c>
      <c r="J857" s="307"/>
      <c r="K857" s="307">
        <f>IFERROR(Table24[[#This Row],[ROUTE COST]]/Table24[[#This Row],[O - DEMAND]],0)</f>
        <v>0</v>
      </c>
      <c r="L857" s="306"/>
      <c r="M857" s="310">
        <f>Table24[[#This Row],[O - DEMAND]]/950</f>
        <v>0</v>
      </c>
      <c r="N857" s="306">
        <f>IFERROR(VLOOKUP(Table24[[#This Row],[ROUTE]],DEMAND!A:F,5,FALSE),0)</f>
        <v>2447</v>
      </c>
      <c r="O857" s="306">
        <f>IFERROR(VLOOKUP(Table24[[#This Row],[ROUTE]],DEMAND!A:F,6,FALSE),0)</f>
        <v>547</v>
      </c>
      <c r="P857" s="306">
        <f>ROUNDDOWN(Table24[[#This Row],[R-DEMAND]]/950,0)</f>
        <v>0</v>
      </c>
      <c r="Q857" s="306">
        <f>Table24[[#This Row],[ADD ACC
(475/950)]]*Table24[[#This Row],[Duration
(A359)]]</f>
        <v>0</v>
      </c>
      <c r="R857" s="307">
        <f>IFERROR(VLOOKUP(Table24[[#This Row],[ROUTE]],PRICING!A:B,2,FALSE),0)</f>
        <v>826</v>
      </c>
      <c r="S857" s="308">
        <f>Table24[[#This Row],[C_DEMAND]]-Table24[[#This Row],[R-DEMAND]]</f>
        <v>1900</v>
      </c>
      <c r="T857" s="307">
        <f>Table24[[#This Row],[SEATS SOLD]]*Table24[[#This Row],[ECO SEAT]]</f>
        <v>1569400</v>
      </c>
      <c r="U857" s="307">
        <f>Table24[[#This Row],[SEATS SOLD]]*(IFERROR(VLOOKUP(Table24[[#This Row],[ROUTE]],PRICING!A:C,3,FALSE),0))</f>
        <v>1846800</v>
      </c>
      <c r="V857" s="307">
        <f>Table24[[#This Row],[SEAT REV]]-Table24[[#This Row],[SEAT REV
(IF IDEAL $)]]</f>
        <v>-277400</v>
      </c>
      <c r="X857"/>
    </row>
    <row r="858" spans="1:24" x14ac:dyDescent="0.25">
      <c r="A858" s="306" t="s">
        <v>17064</v>
      </c>
      <c r="B858" s="306" t="s">
        <v>837</v>
      </c>
      <c r="C858" s="306" t="s">
        <v>2</v>
      </c>
      <c r="D858" s="26">
        <v>1</v>
      </c>
      <c r="E858" s="312" t="s">
        <v>669</v>
      </c>
      <c r="F858" s="306" t="str">
        <f>VLOOKUP(Table24[[#This Row],[Country]],Table10[[COUNTRY NAME]:[CONTINENT CODE]],3,FALSE)</f>
        <v>AF</v>
      </c>
      <c r="G858" s="312" t="s">
        <v>16916</v>
      </c>
      <c r="H858" s="309">
        <v>7245</v>
      </c>
      <c r="I858" s="310">
        <v>18</v>
      </c>
      <c r="J858" s="307">
        <v>166681164</v>
      </c>
      <c r="K858" s="307">
        <f>IFERROR(Table24[[#This Row],[ROUTE COST]]/Table24[[#This Row],[O - DEMAND]],0)</f>
        <v>51941.777500779062</v>
      </c>
      <c r="L858" s="306">
        <v>3209</v>
      </c>
      <c r="M858" s="310">
        <f>Table24[[#This Row],[O - DEMAND]]/950</f>
        <v>3.3778947368421051</v>
      </c>
      <c r="N858" s="306">
        <f>IFERROR(VLOOKUP(Table24[[#This Row],[ROUTE]],DEMAND!A:F,5,FALSE),0)</f>
        <v>3401</v>
      </c>
      <c r="O858" s="306">
        <f>IFERROR(VLOOKUP(Table24[[#This Row],[ROUTE]],DEMAND!A:F,6,FALSE),0)</f>
        <v>551</v>
      </c>
      <c r="P858" s="306">
        <f>ROUNDDOWN(Table24[[#This Row],[R-DEMAND]]/950,0)</f>
        <v>0</v>
      </c>
      <c r="Q858" s="306">
        <f>Table24[[#This Row],[ADD ACC
(475/950)]]*Table24[[#This Row],[Duration
(A359)]]</f>
        <v>0</v>
      </c>
      <c r="R858" s="307">
        <f>IFERROR(VLOOKUP(Table24[[#This Row],[ROUTE]],PRICING!A:B,2,FALSE),0)</f>
        <v>1939</v>
      </c>
      <c r="S858" s="308">
        <f>Table24[[#This Row],[C_DEMAND]]-Table24[[#This Row],[R-DEMAND]]</f>
        <v>2850</v>
      </c>
      <c r="T858" s="307">
        <f>Table24[[#This Row],[SEATS SOLD]]*Table24[[#This Row],[ECO SEAT]]</f>
        <v>5526150</v>
      </c>
      <c r="U858" s="307">
        <f>Table24[[#This Row],[SEATS SOLD]]*(IFERROR(VLOOKUP(Table24[[#This Row],[ROUTE]],PRICING!A:C,3,FALSE),0))</f>
        <v>6740250</v>
      </c>
      <c r="V858" s="307">
        <f>Table24[[#This Row],[SEAT REV]]-Table24[[#This Row],[SEAT REV
(IF IDEAL $)]]</f>
        <v>-1214100</v>
      </c>
      <c r="X858"/>
    </row>
    <row r="859" spans="1:24" x14ac:dyDescent="0.25">
      <c r="A859" s="306" t="s">
        <v>17499</v>
      </c>
      <c r="B859" s="306" t="s">
        <v>5543</v>
      </c>
      <c r="C859" s="306" t="s">
        <v>2</v>
      </c>
      <c r="D859" s="26">
        <v>4</v>
      </c>
      <c r="E859" s="312" t="s">
        <v>560</v>
      </c>
      <c r="F859" s="306" t="str">
        <f>VLOOKUP(Table24[[#This Row],[Country]],Table10[[COUNTRY NAME]:[CONTINENT CODE]],3,FALSE)</f>
        <v>EU</v>
      </c>
      <c r="G859" s="312" t="s">
        <v>11063</v>
      </c>
      <c r="H859" s="309">
        <v>7575</v>
      </c>
      <c r="I859" s="310">
        <v>18.75</v>
      </c>
      <c r="J859" s="307">
        <v>209532986</v>
      </c>
      <c r="K859" s="307">
        <f>IFERROR(Table24[[#This Row],[ROUTE COST]]/Table24[[#This Row],[O - DEMAND]],0)</f>
        <v>89200.93060876969</v>
      </c>
      <c r="L859" s="306">
        <v>2349</v>
      </c>
      <c r="M859" s="310">
        <f>Table24[[#This Row],[O - DEMAND]]/950</f>
        <v>2.4726315789473685</v>
      </c>
      <c r="N859" s="306">
        <f>IFERROR(VLOOKUP(Table24[[#This Row],[ROUTE]],DEMAND!A:F,5,FALSE),0)</f>
        <v>2451</v>
      </c>
      <c r="O859" s="306">
        <f>IFERROR(VLOOKUP(Table24[[#This Row],[ROUTE]],DEMAND!A:F,6,FALSE),0)</f>
        <v>551</v>
      </c>
      <c r="P859" s="306">
        <f>ROUNDDOWN(Table24[[#This Row],[R-DEMAND]]/950,0)</f>
        <v>0</v>
      </c>
      <c r="Q859" s="306">
        <f>Table24[[#This Row],[ADD ACC
(475/950)]]*Table24[[#This Row],[Duration
(A359)]]</f>
        <v>0</v>
      </c>
      <c r="R859" s="307">
        <f>IFERROR(VLOOKUP(Table24[[#This Row],[ROUTE]],PRICING!A:B,2,FALSE),0)</f>
        <v>2147</v>
      </c>
      <c r="S859" s="308">
        <f>Table24[[#This Row],[C_DEMAND]]-Table24[[#This Row],[R-DEMAND]]</f>
        <v>1900</v>
      </c>
      <c r="T859" s="307">
        <f>Table24[[#This Row],[SEATS SOLD]]*Table24[[#This Row],[ECO SEAT]]</f>
        <v>4079300</v>
      </c>
      <c r="U859" s="307">
        <f>Table24[[#This Row],[SEATS SOLD]]*(IFERROR(VLOOKUP(Table24[[#This Row],[ROUTE]],PRICING!A:C,3,FALSE),0))</f>
        <v>4689200</v>
      </c>
      <c r="V859" s="307">
        <f>Table24[[#This Row],[SEAT REV]]-Table24[[#This Row],[SEAT REV
(IF IDEAL $)]]</f>
        <v>-609900</v>
      </c>
      <c r="X859"/>
    </row>
    <row r="860" spans="1:24" x14ac:dyDescent="0.25">
      <c r="A860" s="306" t="s">
        <v>17522</v>
      </c>
      <c r="B860" s="306" t="s">
        <v>4987</v>
      </c>
      <c r="C860" s="306" t="s">
        <v>2</v>
      </c>
      <c r="D860" s="26">
        <v>3</v>
      </c>
      <c r="E860" s="312" t="s">
        <v>722</v>
      </c>
      <c r="F860" s="306" t="str">
        <f>VLOOKUP(Table24[[#This Row],[Country]],Table10[[COUNTRY NAME]:[CONTINENT CODE]],3,FALSE)</f>
        <v>EU</v>
      </c>
      <c r="G860" s="312" t="s">
        <v>11855</v>
      </c>
      <c r="H860" s="309">
        <v>9692</v>
      </c>
      <c r="I860" s="310">
        <v>23.5</v>
      </c>
      <c r="J860" s="307">
        <v>213372883</v>
      </c>
      <c r="K860" s="307">
        <f>IFERROR(Table24[[#This Row],[ROUTE COST]]/Table24[[#This Row],[O - DEMAND]],0)</f>
        <v>66264.870496894408</v>
      </c>
      <c r="L860" s="306">
        <v>3220</v>
      </c>
      <c r="M860" s="310">
        <f>Table24[[#This Row],[O - DEMAND]]/950</f>
        <v>3.3894736842105262</v>
      </c>
      <c r="N860" s="306">
        <f>IFERROR(VLOOKUP(Table24[[#This Row],[ROUTE]],DEMAND!A:F,5,FALSE),0)</f>
        <v>3402</v>
      </c>
      <c r="O860" s="306">
        <f>IFERROR(VLOOKUP(Table24[[#This Row],[ROUTE]],DEMAND!A:F,6,FALSE),0)</f>
        <v>552</v>
      </c>
      <c r="P860" s="306">
        <f>ROUNDDOWN(Table24[[#This Row],[R-DEMAND]]/950,0)</f>
        <v>0</v>
      </c>
      <c r="Q860" s="306">
        <f>Table24[[#This Row],[ADD ACC
(475/950)]]*Table24[[#This Row],[Duration
(A359)]]</f>
        <v>0</v>
      </c>
      <c r="R860" s="307">
        <f>IFERROR(VLOOKUP(Table24[[#This Row],[ROUTE]],PRICING!A:B,2,FALSE),0)</f>
        <v>2592</v>
      </c>
      <c r="S860" s="308">
        <f>Table24[[#This Row],[C_DEMAND]]-Table24[[#This Row],[R-DEMAND]]</f>
        <v>2850</v>
      </c>
      <c r="T860" s="307">
        <f>Table24[[#This Row],[SEATS SOLD]]*Table24[[#This Row],[ECO SEAT]]</f>
        <v>7387200</v>
      </c>
      <c r="U860" s="307">
        <f>Table24[[#This Row],[SEATS SOLD]]*(IFERROR(VLOOKUP(Table24[[#This Row],[ROUTE]],PRICING!A:C,3,FALSE),0))</f>
        <v>8903400</v>
      </c>
      <c r="V860" s="307">
        <f>Table24[[#This Row],[SEAT REV]]-Table24[[#This Row],[SEAT REV
(IF IDEAL $)]]</f>
        <v>-1516200</v>
      </c>
      <c r="X860"/>
    </row>
    <row r="861" spans="1:24" x14ac:dyDescent="0.25">
      <c r="A861" s="306" t="s">
        <v>17526</v>
      </c>
      <c r="B861" s="306" t="s">
        <v>4985</v>
      </c>
      <c r="C861" s="306" t="s">
        <v>2</v>
      </c>
      <c r="D861" s="26">
        <v>3</v>
      </c>
      <c r="E861" s="312" t="s">
        <v>722</v>
      </c>
      <c r="F861" s="306" t="str">
        <f>VLOOKUP(Table24[[#This Row],[Country]],Table10[[COUNTRY NAME]:[CONTINENT CODE]],3,FALSE)</f>
        <v>EU</v>
      </c>
      <c r="G861" s="312" t="s">
        <v>11850</v>
      </c>
      <c r="H861" s="309">
        <v>9473</v>
      </c>
      <c r="I861" s="310">
        <v>23</v>
      </c>
      <c r="J861" s="307">
        <v>211195405</v>
      </c>
      <c r="K861" s="307">
        <f>IFERROR(Table24[[#This Row],[ROUTE COST]]/Table24[[#This Row],[O - DEMAND]],0)</f>
        <v>65588.635093167701</v>
      </c>
      <c r="L861" s="306">
        <v>3220</v>
      </c>
      <c r="M861" s="310">
        <f>Table24[[#This Row],[O - DEMAND]]/950</f>
        <v>3.3894736842105262</v>
      </c>
      <c r="N861" s="306">
        <f>IFERROR(VLOOKUP(Table24[[#This Row],[ROUTE]],DEMAND!A:F,5,FALSE),0)</f>
        <v>3402</v>
      </c>
      <c r="O861" s="306">
        <f>IFERROR(VLOOKUP(Table24[[#This Row],[ROUTE]],DEMAND!A:F,6,FALSE),0)</f>
        <v>552</v>
      </c>
      <c r="P861" s="306">
        <f>ROUNDDOWN(Table24[[#This Row],[R-DEMAND]]/950,0)</f>
        <v>0</v>
      </c>
      <c r="Q861" s="306">
        <f>Table24[[#This Row],[ADD ACC
(475/950)]]*Table24[[#This Row],[Duration
(A359)]]</f>
        <v>0</v>
      </c>
      <c r="R861" s="307">
        <f>IFERROR(VLOOKUP(Table24[[#This Row],[ROUTE]],PRICING!A:B,2,FALSE),0)</f>
        <v>2536</v>
      </c>
      <c r="S861" s="308">
        <f>Table24[[#This Row],[C_DEMAND]]-Table24[[#This Row],[R-DEMAND]]</f>
        <v>2850</v>
      </c>
      <c r="T861" s="307">
        <f>Table24[[#This Row],[SEATS SOLD]]*Table24[[#This Row],[ECO SEAT]]</f>
        <v>7227600</v>
      </c>
      <c r="U861" s="307">
        <f>Table24[[#This Row],[SEATS SOLD]]*(IFERROR(VLOOKUP(Table24[[#This Row],[ROUTE]],PRICING!A:C,3,FALSE),0))</f>
        <v>8709600</v>
      </c>
      <c r="V861" s="307">
        <f>Table24[[#This Row],[SEAT REV]]-Table24[[#This Row],[SEAT REV
(IF IDEAL $)]]</f>
        <v>-1482000</v>
      </c>
      <c r="X861"/>
    </row>
    <row r="862" spans="1:24" x14ac:dyDescent="0.25">
      <c r="A862" s="306" t="s">
        <v>17764</v>
      </c>
      <c r="B862" s="306" t="s">
        <v>5147</v>
      </c>
      <c r="C862" s="306" t="s">
        <v>2</v>
      </c>
      <c r="D862" s="26">
        <v>3</v>
      </c>
      <c r="E862" s="312" t="s">
        <v>2791</v>
      </c>
      <c r="F862" s="306" t="str">
        <f>VLOOKUP(Table24[[#This Row],[Country]],Table10[[COUNTRY NAME]:[CONTINENT CODE]],3,FALSE)</f>
        <v>NA</v>
      </c>
      <c r="G862" s="312" t="s">
        <v>13197</v>
      </c>
      <c r="H862" s="309">
        <v>277</v>
      </c>
      <c r="I862" s="310">
        <v>2.75</v>
      </c>
      <c r="J862" s="307">
        <v>122125692</v>
      </c>
      <c r="K862" s="307">
        <f>IFERROR(Table24[[#This Row],[ROUTE COST]]/Table24[[#This Row],[O - DEMAND]],0)</f>
        <v>52708.542080276216</v>
      </c>
      <c r="L862" s="306">
        <v>2317</v>
      </c>
      <c r="M862" s="310">
        <f>Table24[[#This Row],[O - DEMAND]]/950</f>
        <v>2.4389473684210525</v>
      </c>
      <c r="N862" s="306">
        <f>IFERROR(VLOOKUP(Table24[[#This Row],[ROUTE]],DEMAND!A:F,5,FALSE),0)</f>
        <v>2457</v>
      </c>
      <c r="O862" s="306">
        <f>IFERROR(VLOOKUP(Table24[[#This Row],[ROUTE]],DEMAND!A:F,6,FALSE),0)</f>
        <v>557</v>
      </c>
      <c r="P862" s="306">
        <f>ROUNDDOWN(Table24[[#This Row],[R-DEMAND]]/950,0)</f>
        <v>0</v>
      </c>
      <c r="Q862" s="306">
        <f>Table24[[#This Row],[ADD ACC
(475/950)]]*Table24[[#This Row],[Duration
(A359)]]</f>
        <v>0</v>
      </c>
      <c r="R862" s="307">
        <f>IFERROR(VLOOKUP(Table24[[#This Row],[ROUTE]],PRICING!A:B,2,FALSE),0)</f>
        <v>168</v>
      </c>
      <c r="S862" s="308">
        <f>Table24[[#This Row],[C_DEMAND]]-Table24[[#This Row],[R-DEMAND]]</f>
        <v>1900</v>
      </c>
      <c r="T862" s="307">
        <f>Table24[[#This Row],[SEATS SOLD]]*Table24[[#This Row],[ECO SEAT]]</f>
        <v>319200</v>
      </c>
      <c r="U862" s="307">
        <f>Table24[[#This Row],[SEATS SOLD]]*(IFERROR(VLOOKUP(Table24[[#This Row],[ROUTE]],PRICING!A:C,3,FALSE),0))</f>
        <v>389500</v>
      </c>
      <c r="V862" s="307">
        <f>Table24[[#This Row],[SEAT REV]]-Table24[[#This Row],[SEAT REV
(IF IDEAL $)]]</f>
        <v>-70300</v>
      </c>
      <c r="X862"/>
    </row>
    <row r="863" spans="1:24" x14ac:dyDescent="0.25">
      <c r="A863" s="306" t="s">
        <v>17090</v>
      </c>
      <c r="B863" s="306" t="s">
        <v>1598</v>
      </c>
      <c r="C863" s="306" t="s">
        <v>2</v>
      </c>
      <c r="D863" s="26">
        <v>1</v>
      </c>
      <c r="E863" s="312" t="s">
        <v>644</v>
      </c>
      <c r="F863" s="306" t="str">
        <f>VLOOKUP(Table24[[#This Row],[Country]],Table10[[COUNTRY NAME]:[CONTINENT CODE]],3,FALSE)</f>
        <v>AF</v>
      </c>
      <c r="G863" s="312" t="s">
        <v>11848</v>
      </c>
      <c r="H863" s="309">
        <v>10636</v>
      </c>
      <c r="I863" s="310">
        <v>25.5</v>
      </c>
      <c r="J863" s="307">
        <v>201160107</v>
      </c>
      <c r="K863" s="307">
        <f>IFERROR(Table24[[#This Row],[ROUTE COST]]/Table24[[#This Row],[O - DEMAND]],0)</f>
        <v>61762.390850475895</v>
      </c>
      <c r="L863" s="306">
        <v>3257</v>
      </c>
      <c r="M863" s="310">
        <f>Table24[[#This Row],[O - DEMAND]]/950</f>
        <v>3.4284210526315788</v>
      </c>
      <c r="N863" s="306">
        <f>IFERROR(VLOOKUP(Table24[[#This Row],[ROUTE]],DEMAND!A:F,5,FALSE),0)</f>
        <v>3409</v>
      </c>
      <c r="O863" s="306">
        <f>IFERROR(VLOOKUP(Table24[[#This Row],[ROUTE]],DEMAND!A:F,6,FALSE),0)</f>
        <v>559</v>
      </c>
      <c r="P863" s="306">
        <f>ROUNDDOWN(Table24[[#This Row],[R-DEMAND]]/950,0)</f>
        <v>0</v>
      </c>
      <c r="Q863" s="306">
        <f>Table24[[#This Row],[ADD ACC
(475/950)]]*Table24[[#This Row],[Duration
(A359)]]</f>
        <v>0</v>
      </c>
      <c r="R863" s="307">
        <f>IFERROR(VLOOKUP(Table24[[#This Row],[ROUTE]],PRICING!A:B,2,FALSE),0)</f>
        <v>2938</v>
      </c>
      <c r="S863" s="308">
        <f>Table24[[#This Row],[C_DEMAND]]-Table24[[#This Row],[R-DEMAND]]</f>
        <v>2850</v>
      </c>
      <c r="T863" s="307">
        <f>Table24[[#This Row],[SEATS SOLD]]*Table24[[#This Row],[ECO SEAT]]</f>
        <v>8373300</v>
      </c>
      <c r="U863" s="307">
        <f>Table24[[#This Row],[SEATS SOLD]]*(IFERROR(VLOOKUP(Table24[[#This Row],[ROUTE]],PRICING!A:C,3,FALSE),0))</f>
        <v>9738450</v>
      </c>
      <c r="V863" s="307">
        <f>Table24[[#This Row],[SEAT REV]]-Table24[[#This Row],[SEAT REV
(IF IDEAL $)]]</f>
        <v>-1365150</v>
      </c>
      <c r="X863"/>
    </row>
    <row r="864" spans="1:24" x14ac:dyDescent="0.25">
      <c r="A864" s="306" t="s">
        <v>17483</v>
      </c>
      <c r="B864" s="306" t="s">
        <v>282</v>
      </c>
      <c r="C864" s="306" t="s">
        <v>2</v>
      </c>
      <c r="D864" s="26">
        <v>4</v>
      </c>
      <c r="E864" s="312" t="s">
        <v>807</v>
      </c>
      <c r="F864" s="306" t="str">
        <f>VLOOKUP(Table24[[#This Row],[Country]],Table10[[COUNTRY NAME]:[CONTINENT CODE]],3,FALSE)</f>
        <v>EU</v>
      </c>
      <c r="G864" s="312" t="s">
        <v>11082</v>
      </c>
      <c r="H864" s="309">
        <v>8612</v>
      </c>
      <c r="I864" s="310">
        <v>21</v>
      </c>
      <c r="J864" s="307">
        <v>224027339</v>
      </c>
      <c r="K864" s="307">
        <f>IFERROR(Table24[[#This Row],[ROUTE COST]]/Table24[[#This Row],[O - DEMAND]],0)</f>
        <v>69401.282218091699</v>
      </c>
      <c r="L864" s="306">
        <v>3228</v>
      </c>
      <c r="M864" s="310">
        <f>Table24[[#This Row],[O - DEMAND]]/950</f>
        <v>3.3978947368421051</v>
      </c>
      <c r="N864" s="306">
        <f>IFERROR(VLOOKUP(Table24[[#This Row],[ROUTE]],DEMAND!A:F,5,FALSE),0)</f>
        <v>3412</v>
      </c>
      <c r="O864" s="306">
        <f>IFERROR(VLOOKUP(Table24[[#This Row],[ROUTE]],DEMAND!A:F,6,FALSE),0)</f>
        <v>562</v>
      </c>
      <c r="P864" s="306">
        <f>ROUNDDOWN(Table24[[#This Row],[R-DEMAND]]/950,0)</f>
        <v>0</v>
      </c>
      <c r="Q864" s="306">
        <f>Table24[[#This Row],[ADD ACC
(475/950)]]*Table24[[#This Row],[Duration
(A359)]]</f>
        <v>0</v>
      </c>
      <c r="R864" s="307">
        <f>IFERROR(VLOOKUP(Table24[[#This Row],[ROUTE]],PRICING!A:B,2,FALSE),0)</f>
        <v>2314</v>
      </c>
      <c r="S864" s="308">
        <f>Table24[[#This Row],[C_DEMAND]]-Table24[[#This Row],[R-DEMAND]]</f>
        <v>2850</v>
      </c>
      <c r="T864" s="307">
        <f>Table24[[#This Row],[SEATS SOLD]]*Table24[[#This Row],[ECO SEAT]]</f>
        <v>6594900</v>
      </c>
      <c r="U864" s="307">
        <f>Table24[[#This Row],[SEATS SOLD]]*(IFERROR(VLOOKUP(Table24[[#This Row],[ROUTE]],PRICING!A:C,3,FALSE),0))</f>
        <v>7948650</v>
      </c>
      <c r="V864" s="307">
        <f>Table24[[#This Row],[SEAT REV]]-Table24[[#This Row],[SEAT REV
(IF IDEAL $)]]</f>
        <v>-1353750</v>
      </c>
      <c r="X864"/>
    </row>
    <row r="865" spans="1:24" x14ac:dyDescent="0.25">
      <c r="A865" s="306" t="s">
        <v>17299</v>
      </c>
      <c r="B865" s="306" t="s">
        <v>5283</v>
      </c>
      <c r="C865" s="306" t="s">
        <v>2</v>
      </c>
      <c r="D865" s="26">
        <v>3</v>
      </c>
      <c r="E865" s="312" t="s">
        <v>502</v>
      </c>
      <c r="F865" s="306" t="str">
        <f>VLOOKUP(Table24[[#This Row],[Country]],Table10[[COUNTRY NAME]:[CONTINENT CODE]],3,FALSE)</f>
        <v>AS</v>
      </c>
      <c r="G865" s="312" t="s">
        <v>11941</v>
      </c>
      <c r="H865" s="309">
        <v>11562</v>
      </c>
      <c r="I865" s="310">
        <v>27.5</v>
      </c>
      <c r="J865" s="307">
        <v>239444720</v>
      </c>
      <c r="K865" s="307">
        <f>IFERROR(Table24[[#This Row],[ROUTE COST]]/Table24[[#This Row],[O - DEMAND]],0)</f>
        <v>58543.941320293401</v>
      </c>
      <c r="L865" s="306">
        <v>4090</v>
      </c>
      <c r="M865" s="310">
        <f>Table24[[#This Row],[O - DEMAND]]/950</f>
        <v>4.3052631578947365</v>
      </c>
      <c r="N865" s="306">
        <f>IFERROR(VLOOKUP(Table24[[#This Row],[ROUTE]],DEMAND!A:F,5,FALSE),0)</f>
        <v>4363</v>
      </c>
      <c r="O865" s="306">
        <f>IFERROR(VLOOKUP(Table24[[#This Row],[ROUTE]],DEMAND!A:F,6,FALSE),0)</f>
        <v>563</v>
      </c>
      <c r="P865" s="306">
        <f>ROUNDDOWN(Table24[[#This Row],[R-DEMAND]]/950,0)</f>
        <v>0</v>
      </c>
      <c r="Q865" s="306">
        <f>Table24[[#This Row],[ADD ACC
(475/950)]]*Table24[[#This Row],[Duration
(A359)]]</f>
        <v>0</v>
      </c>
      <c r="R865" s="307">
        <f>IFERROR(VLOOKUP(Table24[[#This Row],[ROUTE]],PRICING!A:B,2,FALSE),0)</f>
        <v>2963</v>
      </c>
      <c r="S865" s="308">
        <f>Table24[[#This Row],[C_DEMAND]]-Table24[[#This Row],[R-DEMAND]]</f>
        <v>3800</v>
      </c>
      <c r="T865" s="307">
        <f>Table24[[#This Row],[SEATS SOLD]]*Table24[[#This Row],[ECO SEAT]]</f>
        <v>11259400</v>
      </c>
      <c r="U865" s="307">
        <f>Table24[[#This Row],[SEATS SOLD]]*(IFERROR(VLOOKUP(Table24[[#This Row],[ROUTE]],PRICING!A:C,3,FALSE),0))</f>
        <v>14075200</v>
      </c>
      <c r="V865" s="307">
        <f>Table24[[#This Row],[SEAT REV]]-Table24[[#This Row],[SEAT REV
(IF IDEAL $)]]</f>
        <v>-2815800</v>
      </c>
      <c r="X865"/>
    </row>
    <row r="866" spans="1:24" x14ac:dyDescent="0.25">
      <c r="A866" s="306" t="s">
        <v>17150</v>
      </c>
      <c r="B866" s="306" t="s">
        <v>1600</v>
      </c>
      <c r="C866" s="306" t="s">
        <v>2</v>
      </c>
      <c r="D866" s="26">
        <v>1</v>
      </c>
      <c r="E866" s="312" t="s">
        <v>1189</v>
      </c>
      <c r="F866" s="306" t="str">
        <f>VLOOKUP(Table24[[#This Row],[Country]],Table10[[COUNTRY NAME]:[CONTINENT CODE]],3,FALSE)</f>
        <v>AF</v>
      </c>
      <c r="G866" s="312" t="s">
        <v>11920</v>
      </c>
      <c r="H866" s="309">
        <v>11840</v>
      </c>
      <c r="I866" s="310">
        <v>28</v>
      </c>
      <c r="J866" s="307">
        <v>213191938</v>
      </c>
      <c r="K866" s="307">
        <f>IFERROR(Table24[[#This Row],[ROUTE COST]]/Table24[[#This Row],[O - DEMAND]],0)</f>
        <v>64760.613001215068</v>
      </c>
      <c r="L866" s="306">
        <v>3292</v>
      </c>
      <c r="M866" s="310">
        <f>Table24[[#This Row],[O - DEMAND]]/950</f>
        <v>3.465263157894737</v>
      </c>
      <c r="N866" s="306">
        <f>IFERROR(VLOOKUP(Table24[[#This Row],[ROUTE]],DEMAND!A:F,5,FALSE),0)</f>
        <v>3413</v>
      </c>
      <c r="O866" s="306">
        <f>IFERROR(VLOOKUP(Table24[[#This Row],[ROUTE]],DEMAND!A:F,6,FALSE),0)</f>
        <v>563</v>
      </c>
      <c r="P866" s="306">
        <f>ROUNDDOWN(Table24[[#This Row],[R-DEMAND]]/950,0)</f>
        <v>0</v>
      </c>
      <c r="Q866" s="306">
        <f>Table24[[#This Row],[ADD ACC
(475/950)]]*Table24[[#This Row],[Duration
(A359)]]</f>
        <v>0</v>
      </c>
      <c r="R866" s="307">
        <f>IFERROR(VLOOKUP(Table24[[#This Row],[ROUTE]],PRICING!A:B,2,FALSE),0)</f>
        <v>3373</v>
      </c>
      <c r="S866" s="308">
        <f>Table24[[#This Row],[C_DEMAND]]-Table24[[#This Row],[R-DEMAND]]</f>
        <v>2850</v>
      </c>
      <c r="T866" s="307">
        <f>Table24[[#This Row],[SEATS SOLD]]*Table24[[#This Row],[ECO SEAT]]</f>
        <v>9613050</v>
      </c>
      <c r="U866" s="307">
        <f>Table24[[#This Row],[SEATS SOLD]]*(IFERROR(VLOOKUP(Table24[[#This Row],[ROUTE]],PRICING!A:C,3,FALSE),0))</f>
        <v>10801500</v>
      </c>
      <c r="V866" s="307">
        <f>Table24[[#This Row],[SEAT REV]]-Table24[[#This Row],[SEAT REV
(IF IDEAL $)]]</f>
        <v>-1188450</v>
      </c>
      <c r="X866"/>
    </row>
    <row r="867" spans="1:24" x14ac:dyDescent="0.25">
      <c r="A867" s="306" t="s">
        <v>17219</v>
      </c>
      <c r="B867" s="306" t="s">
        <v>279</v>
      </c>
      <c r="C867" s="306" t="s">
        <v>2</v>
      </c>
      <c r="D867" s="26">
        <v>4</v>
      </c>
      <c r="E867" s="312" t="s">
        <v>14</v>
      </c>
      <c r="F867" s="306" t="str">
        <f>VLOOKUP(Table24[[#This Row],[Country]],Table10[[COUNTRY NAME]:[CONTINENT CODE]],3,FALSE)</f>
        <v>AS</v>
      </c>
      <c r="G867" s="312" t="s">
        <v>278</v>
      </c>
      <c r="H867" s="309">
        <v>14423</v>
      </c>
      <c r="I867" s="310">
        <v>33.75</v>
      </c>
      <c r="J867" s="307">
        <v>283229013</v>
      </c>
      <c r="K867" s="307">
        <f>IFERROR(Table24[[#This Row],[ROUTE COST]]/Table24[[#This Row],[O - DEMAND]],0)</f>
        <v>85723.066888619855</v>
      </c>
      <c r="L867" s="306">
        <v>3304</v>
      </c>
      <c r="M867" s="310">
        <f>Table24[[#This Row],[O - DEMAND]]/950</f>
        <v>3.4778947368421052</v>
      </c>
      <c r="N867" s="306">
        <f>IFERROR(VLOOKUP(Table24[[#This Row],[ROUTE]],DEMAND!A:F,5,FALSE),0)</f>
        <v>3414</v>
      </c>
      <c r="O867" s="306">
        <f>IFERROR(VLOOKUP(Table24[[#This Row],[ROUTE]],DEMAND!A:F,6,FALSE),0)</f>
        <v>564</v>
      </c>
      <c r="P867" s="306">
        <f>ROUNDDOWN(Table24[[#This Row],[R-DEMAND]]/950,0)</f>
        <v>0</v>
      </c>
      <c r="Q867" s="306">
        <f>Table24[[#This Row],[ADD ACC
(475/950)]]*Table24[[#This Row],[Duration
(A359)]]</f>
        <v>0</v>
      </c>
      <c r="R867" s="307">
        <f>IFERROR(VLOOKUP(Table24[[#This Row],[ROUTE]],PRICING!A:B,2,FALSE),0)</f>
        <v>4131</v>
      </c>
      <c r="S867" s="308">
        <f>Table24[[#This Row],[C_DEMAND]]-Table24[[#This Row],[R-DEMAND]]</f>
        <v>2850</v>
      </c>
      <c r="T867" s="307">
        <f>Table24[[#This Row],[SEATS SOLD]]*Table24[[#This Row],[ECO SEAT]]</f>
        <v>11773350</v>
      </c>
      <c r="U867" s="307">
        <f>Table24[[#This Row],[SEATS SOLD]]*(IFERROR(VLOOKUP(Table24[[#This Row],[ROUTE]],PRICING!A:C,3,FALSE),0))</f>
        <v>13084350</v>
      </c>
      <c r="V867" s="307">
        <f>Table24[[#This Row],[SEAT REV]]-Table24[[#This Row],[SEAT REV
(IF IDEAL $)]]</f>
        <v>-1311000</v>
      </c>
      <c r="X867"/>
    </row>
    <row r="868" spans="1:24" x14ac:dyDescent="0.25">
      <c r="A868" s="306" t="s">
        <v>17087</v>
      </c>
      <c r="B868" s="306" t="s">
        <v>4211</v>
      </c>
      <c r="C868" s="306" t="s">
        <v>2</v>
      </c>
      <c r="D868" s="26">
        <v>2</v>
      </c>
      <c r="E868" s="312" t="s">
        <v>938</v>
      </c>
      <c r="F868" s="306" t="str">
        <f>VLOOKUP(Table24[[#This Row],[Country]],Table10[[COUNTRY NAME]:[CONTINENT CODE]],3,FALSE)</f>
        <v>AF</v>
      </c>
      <c r="G868" s="312" t="s">
        <v>11975</v>
      </c>
      <c r="H868" s="309">
        <v>13708</v>
      </c>
      <c r="I868" s="310">
        <v>32.25</v>
      </c>
      <c r="J868" s="307">
        <v>246363701</v>
      </c>
      <c r="K868" s="307">
        <f>IFERROR(Table24[[#This Row],[ROUTE COST]]/Table24[[#This Row],[O - DEMAND]],0)</f>
        <v>59465.049722423362</v>
      </c>
      <c r="L868" s="306">
        <v>4143</v>
      </c>
      <c r="M868" s="310">
        <f>Table24[[#This Row],[O - DEMAND]]/950</f>
        <v>4.3610526315789473</v>
      </c>
      <c r="N868" s="306">
        <f>IFERROR(VLOOKUP(Table24[[#This Row],[ROUTE]],DEMAND!A:F,5,FALSE),0)</f>
        <v>4365</v>
      </c>
      <c r="O868" s="306">
        <f>IFERROR(VLOOKUP(Table24[[#This Row],[ROUTE]],DEMAND!A:F,6,FALSE),0)</f>
        <v>565</v>
      </c>
      <c r="P868" s="306">
        <f>ROUNDDOWN(Table24[[#This Row],[R-DEMAND]]/950,0)</f>
        <v>0</v>
      </c>
      <c r="Q868" s="306">
        <f>Table24[[#This Row],[ADD ACC
(475/950)]]*Table24[[#This Row],[Duration
(A359)]]</f>
        <v>0</v>
      </c>
      <c r="R868" s="307">
        <f>IFERROR(VLOOKUP(Table24[[#This Row],[ROUTE]],PRICING!A:B,2,FALSE),0)</f>
        <v>3669</v>
      </c>
      <c r="S868" s="308">
        <f>Table24[[#This Row],[C_DEMAND]]-Table24[[#This Row],[R-DEMAND]]</f>
        <v>3800</v>
      </c>
      <c r="T868" s="307">
        <f>Table24[[#This Row],[SEATS SOLD]]*Table24[[#This Row],[ECO SEAT]]</f>
        <v>13942200</v>
      </c>
      <c r="U868" s="307">
        <f>Table24[[#This Row],[SEATS SOLD]]*(IFERROR(VLOOKUP(Table24[[#This Row],[ROUTE]],PRICING!A:C,3,FALSE),0))</f>
        <v>16602200</v>
      </c>
      <c r="V868" s="307">
        <f>Table24[[#This Row],[SEAT REV]]-Table24[[#This Row],[SEAT REV
(IF IDEAL $)]]</f>
        <v>-2660000</v>
      </c>
      <c r="X868"/>
    </row>
    <row r="869" spans="1:24" x14ac:dyDescent="0.25">
      <c r="A869" s="306" t="s">
        <v>18097</v>
      </c>
      <c r="B869" s="306" t="s">
        <v>917</v>
      </c>
      <c r="C869" s="306" t="s">
        <v>2</v>
      </c>
      <c r="D869" s="26">
        <v>1</v>
      </c>
      <c r="E869" s="312" t="s">
        <v>714</v>
      </c>
      <c r="F869" s="306" t="str">
        <f>VLOOKUP(Table24[[#This Row],[Country]],Table10[[COUNTRY NAME]:[CONTINENT CODE]],3,FALSE)</f>
        <v>SA</v>
      </c>
      <c r="G869" s="312" t="s">
        <v>13239</v>
      </c>
      <c r="H869" s="309">
        <v>3395</v>
      </c>
      <c r="I869" s="310">
        <v>9.5</v>
      </c>
      <c r="J869" s="307">
        <v>125499370</v>
      </c>
      <c r="K869" s="307">
        <f>IFERROR(Table24[[#This Row],[ROUTE COST]]/Table24[[#This Row],[O - DEMAND]],0)</f>
        <v>52576.191872643489</v>
      </c>
      <c r="L869" s="306">
        <v>2387</v>
      </c>
      <c r="M869" s="310">
        <f>Table24[[#This Row],[O - DEMAND]]/950</f>
        <v>2.5126315789473685</v>
      </c>
      <c r="N869" s="306">
        <f>IFERROR(VLOOKUP(Table24[[#This Row],[ROUTE]],DEMAND!A:F,5,FALSE),0)</f>
        <v>2467</v>
      </c>
      <c r="O869" s="306">
        <f>IFERROR(VLOOKUP(Table24[[#This Row],[ROUTE]],DEMAND!A:F,6,FALSE),0)</f>
        <v>567</v>
      </c>
      <c r="P869" s="306">
        <f>ROUNDDOWN(Table24[[#This Row],[R-DEMAND]]/950,0)</f>
        <v>0</v>
      </c>
      <c r="Q869" s="306">
        <f>Table24[[#This Row],[ADD ACC
(475/950)]]*Table24[[#This Row],[Duration
(A359)]]</f>
        <v>0</v>
      </c>
      <c r="R869" s="307">
        <f>IFERROR(VLOOKUP(Table24[[#This Row],[ROUTE]],PRICING!A:B,2,FALSE),0)</f>
        <v>1054</v>
      </c>
      <c r="S869" s="308">
        <f>Table24[[#This Row],[C_DEMAND]]-Table24[[#This Row],[R-DEMAND]]</f>
        <v>1900</v>
      </c>
      <c r="T869" s="307">
        <f>Table24[[#This Row],[SEATS SOLD]]*Table24[[#This Row],[ECO SEAT]]</f>
        <v>2002600</v>
      </c>
      <c r="U869" s="307">
        <f>Table24[[#This Row],[SEATS SOLD]]*(IFERROR(VLOOKUP(Table24[[#This Row],[ROUTE]],PRICING!A:C,3,FALSE),0))</f>
        <v>2226800</v>
      </c>
      <c r="V869" s="307">
        <f>Table24[[#This Row],[SEAT REV]]-Table24[[#This Row],[SEAT REV
(IF IDEAL $)]]</f>
        <v>-224200</v>
      </c>
      <c r="X869"/>
    </row>
    <row r="870" spans="1:24" x14ac:dyDescent="0.25">
      <c r="A870" s="306" t="s">
        <v>17301</v>
      </c>
      <c r="B870" s="306" t="s">
        <v>5317</v>
      </c>
      <c r="C870" s="306" t="s">
        <v>2</v>
      </c>
      <c r="D870" s="26">
        <v>3</v>
      </c>
      <c r="E870" s="312" t="s">
        <v>2711</v>
      </c>
      <c r="F870" s="306" t="str">
        <f>VLOOKUP(Table24[[#This Row],[Country]],Table10[[COUNTRY NAME]:[CONTINENT CODE]],3,FALSE)</f>
        <v>AS</v>
      </c>
      <c r="G870" s="312" t="s">
        <v>11892</v>
      </c>
      <c r="H870" s="309">
        <v>10555</v>
      </c>
      <c r="I870" s="310">
        <v>25.25</v>
      </c>
      <c r="J870" s="307">
        <v>230110566</v>
      </c>
      <c r="K870" s="307">
        <f>IFERROR(Table24[[#This Row],[ROUTE COST]]/Table24[[#This Row],[O - DEMAND]],0)</f>
        <v>55142.718907260962</v>
      </c>
      <c r="L870" s="306">
        <v>4173</v>
      </c>
      <c r="M870" s="310">
        <f>Table24[[#This Row],[O - DEMAND]]/950</f>
        <v>4.392631578947368</v>
      </c>
      <c r="N870" s="306">
        <f>IFERROR(VLOOKUP(Table24[[#This Row],[ROUTE]],DEMAND!A:F,5,FALSE),0)</f>
        <v>4368</v>
      </c>
      <c r="O870" s="306">
        <f>IFERROR(VLOOKUP(Table24[[#This Row],[ROUTE]],DEMAND!A:F,6,FALSE),0)</f>
        <v>568</v>
      </c>
      <c r="P870" s="306">
        <f>ROUNDDOWN(Table24[[#This Row],[R-DEMAND]]/950,0)</f>
        <v>0</v>
      </c>
      <c r="Q870" s="306">
        <f>Table24[[#This Row],[ADD ACC
(475/950)]]*Table24[[#This Row],[Duration
(A359)]]</f>
        <v>0</v>
      </c>
      <c r="R870" s="307">
        <f>IFERROR(VLOOKUP(Table24[[#This Row],[ROUTE]],PRICING!A:B,2,FALSE),0)</f>
        <v>2917</v>
      </c>
      <c r="S870" s="308">
        <f>Table24[[#This Row],[C_DEMAND]]-Table24[[#This Row],[R-DEMAND]]</f>
        <v>3800</v>
      </c>
      <c r="T870" s="307">
        <f>Table24[[#This Row],[SEATS SOLD]]*Table24[[#This Row],[ECO SEAT]]</f>
        <v>11084600</v>
      </c>
      <c r="U870" s="307">
        <f>Table24[[#This Row],[SEATS SOLD]]*(IFERROR(VLOOKUP(Table24[[#This Row],[ROUTE]],PRICING!A:C,3,FALSE),0))</f>
        <v>12889600</v>
      </c>
      <c r="V870" s="307">
        <f>Table24[[#This Row],[SEAT REV]]-Table24[[#This Row],[SEAT REV
(IF IDEAL $)]]</f>
        <v>-1805000</v>
      </c>
      <c r="X870"/>
    </row>
    <row r="871" spans="1:24" x14ac:dyDescent="0.25">
      <c r="A871" s="306" t="s">
        <v>17834</v>
      </c>
      <c r="B871" s="306" t="s">
        <v>5715</v>
      </c>
      <c r="C871" s="306" t="s">
        <v>2</v>
      </c>
      <c r="D871" s="26">
        <v>5</v>
      </c>
      <c r="E871" s="312" t="s">
        <v>11732</v>
      </c>
      <c r="F871" s="306" t="str">
        <f>VLOOKUP(Table24[[#This Row],[Country]],Table10[[COUNTRY NAME]:[CONTINENT CODE]],3,FALSE)</f>
        <v>NA - US</v>
      </c>
      <c r="G871" s="312" t="s">
        <v>13318</v>
      </c>
      <c r="H871" s="309">
        <v>2828</v>
      </c>
      <c r="I871" s="310">
        <v>8.25</v>
      </c>
      <c r="J871" s="307">
        <v>180518109</v>
      </c>
      <c r="K871" s="307">
        <f>IFERROR(Table24[[#This Row],[ROUTE COST]]/Table24[[#This Row],[O - DEMAND]],0)</f>
        <v>56271.230985037408</v>
      </c>
      <c r="L871" s="306">
        <v>3208</v>
      </c>
      <c r="M871" s="310">
        <f>Table24[[#This Row],[O - DEMAND]]/950</f>
        <v>3.3768421052631581</v>
      </c>
      <c r="N871" s="306">
        <f>IFERROR(VLOOKUP(Table24[[#This Row],[ROUTE]],DEMAND!A:F,5,FALSE),0)</f>
        <v>3423</v>
      </c>
      <c r="O871" s="306">
        <f>IFERROR(VLOOKUP(Table24[[#This Row],[ROUTE]],DEMAND!A:F,6,FALSE),0)</f>
        <v>573</v>
      </c>
      <c r="P871" s="306">
        <f>ROUNDDOWN(Table24[[#This Row],[R-DEMAND]]/950,0)</f>
        <v>0</v>
      </c>
      <c r="Q871" s="306">
        <f>Table24[[#This Row],[ADD ACC
(475/950)]]*Table24[[#This Row],[Duration
(A359)]]</f>
        <v>0</v>
      </c>
      <c r="R871" s="307">
        <f>IFERROR(VLOOKUP(Table24[[#This Row],[ROUTE]],PRICING!A:B,2,FALSE),0)</f>
        <v>796</v>
      </c>
      <c r="S871" s="308">
        <f>Table24[[#This Row],[C_DEMAND]]-Table24[[#This Row],[R-DEMAND]]</f>
        <v>2850</v>
      </c>
      <c r="T871" s="307">
        <f>Table24[[#This Row],[SEATS SOLD]]*Table24[[#This Row],[ECO SEAT]]</f>
        <v>2268600</v>
      </c>
      <c r="U871" s="307">
        <f>Table24[[#This Row],[SEATS SOLD]]*(IFERROR(VLOOKUP(Table24[[#This Row],[ROUTE]],PRICING!A:C,3,FALSE),0))</f>
        <v>2838600</v>
      </c>
      <c r="V871" s="307">
        <f>Table24[[#This Row],[SEAT REV]]-Table24[[#This Row],[SEAT REV
(IF IDEAL $)]]</f>
        <v>-570000</v>
      </c>
      <c r="X871"/>
    </row>
    <row r="872" spans="1:24" x14ac:dyDescent="0.25">
      <c r="A872" s="306" t="s">
        <v>17052</v>
      </c>
      <c r="B872" s="306" t="s">
        <v>2079</v>
      </c>
      <c r="C872" s="306" t="s">
        <v>2</v>
      </c>
      <c r="D872" s="26">
        <v>1</v>
      </c>
      <c r="E872" s="312" t="s">
        <v>493</v>
      </c>
      <c r="F872" s="306" t="str">
        <f>VLOOKUP(Table24[[#This Row],[Country]],Table10[[COUNTRY NAME]:[CONTINENT CODE]],3,FALSE)</f>
        <v>AF</v>
      </c>
      <c r="G872" s="312" t="s">
        <v>11721</v>
      </c>
      <c r="H872" s="309">
        <v>7642</v>
      </c>
      <c r="I872" s="310">
        <v>19</v>
      </c>
      <c r="J872" s="307">
        <v>173447564</v>
      </c>
      <c r="K872" s="307">
        <f>IFERROR(Table24[[#This Row],[ROUTE COST]]/Table24[[#This Row],[O - DEMAND]],0)</f>
        <v>74091.227680478434</v>
      </c>
      <c r="L872" s="306">
        <v>2341</v>
      </c>
      <c r="M872" s="310">
        <f>Table24[[#This Row],[O - DEMAND]]/950</f>
        <v>2.4642105263157896</v>
      </c>
      <c r="N872" s="306">
        <f>IFERROR(VLOOKUP(Table24[[#This Row],[ROUTE]],DEMAND!A:F,5,FALSE),0)</f>
        <v>2474</v>
      </c>
      <c r="O872" s="306">
        <f>IFERROR(VLOOKUP(Table24[[#This Row],[ROUTE]],DEMAND!A:F,6,FALSE),0)</f>
        <v>574</v>
      </c>
      <c r="P872" s="306">
        <f>ROUNDDOWN(Table24[[#This Row],[R-DEMAND]]/950,0)</f>
        <v>0</v>
      </c>
      <c r="Q872" s="306">
        <f>Table24[[#This Row],[ADD ACC
(475/950)]]*Table24[[#This Row],[Duration
(A359)]]</f>
        <v>0</v>
      </c>
      <c r="R872" s="307">
        <f>IFERROR(VLOOKUP(Table24[[#This Row],[ROUTE]],PRICING!A:B,2,FALSE),0)</f>
        <v>2065</v>
      </c>
      <c r="S872" s="308">
        <f>Table24[[#This Row],[C_DEMAND]]-Table24[[#This Row],[R-DEMAND]]</f>
        <v>1900</v>
      </c>
      <c r="T872" s="307">
        <f>Table24[[#This Row],[SEATS SOLD]]*Table24[[#This Row],[ECO SEAT]]</f>
        <v>3923500</v>
      </c>
      <c r="U872" s="307">
        <f>Table24[[#This Row],[SEATS SOLD]]*(IFERROR(VLOOKUP(Table24[[#This Row],[ROUTE]],PRICING!A:C,3,FALSE),0))</f>
        <v>4729100</v>
      </c>
      <c r="V872" s="307">
        <f>Table24[[#This Row],[SEAT REV]]-Table24[[#This Row],[SEAT REV
(IF IDEAL $)]]</f>
        <v>-805600</v>
      </c>
      <c r="X872"/>
    </row>
    <row r="873" spans="1:24" x14ac:dyDescent="0.25">
      <c r="A873" s="306" t="s">
        <v>17279</v>
      </c>
      <c r="B873" s="306" t="s">
        <v>224</v>
      </c>
      <c r="C873" s="306" t="s">
        <v>2</v>
      </c>
      <c r="D873" s="26">
        <v>3</v>
      </c>
      <c r="E873" s="312" t="s">
        <v>197</v>
      </c>
      <c r="F873" s="306" t="str">
        <f>VLOOKUP(Table24[[#This Row],[Country]],Table10[[COUNTRY NAME]:[CONTINENT CODE]],3,FALSE)</f>
        <v>AS</v>
      </c>
      <c r="G873" s="312" t="s">
        <v>12012</v>
      </c>
      <c r="H873" s="309">
        <v>13488</v>
      </c>
      <c r="I873" s="310">
        <v>31.75</v>
      </c>
      <c r="J873" s="307">
        <v>262809847</v>
      </c>
      <c r="K873" s="307">
        <f>IFERROR(Table24[[#This Row],[ROUTE COST]]/Table24[[#This Row],[O - DEMAND]],0)</f>
        <v>51470.788679984333</v>
      </c>
      <c r="L873" s="306">
        <v>5106</v>
      </c>
      <c r="M873" s="310">
        <f>Table24[[#This Row],[O - DEMAND]]/950</f>
        <v>5.3747368421052633</v>
      </c>
      <c r="N873" s="306">
        <f>IFERROR(VLOOKUP(Table24[[#This Row],[ROUTE]],DEMAND!A:F,5,FALSE),0)</f>
        <v>5327</v>
      </c>
      <c r="O873" s="306">
        <f>IFERROR(VLOOKUP(Table24[[#This Row],[ROUTE]],DEMAND!A:F,6,FALSE),0)</f>
        <v>577</v>
      </c>
      <c r="P873" s="306">
        <f>ROUNDDOWN(Table24[[#This Row],[R-DEMAND]]/950,0)</f>
        <v>0</v>
      </c>
      <c r="Q873" s="306">
        <f>Table24[[#This Row],[ADD ACC
(475/950)]]*Table24[[#This Row],[Duration
(A359)]]</f>
        <v>0</v>
      </c>
      <c r="R873" s="307">
        <f>IFERROR(VLOOKUP(Table24[[#This Row],[ROUTE]],PRICING!A:B,2,FALSE),0)</f>
        <v>3741</v>
      </c>
      <c r="S873" s="308">
        <f>Table24[[#This Row],[C_DEMAND]]-Table24[[#This Row],[R-DEMAND]]</f>
        <v>4750</v>
      </c>
      <c r="T873" s="307">
        <f>Table24[[#This Row],[SEATS SOLD]]*Table24[[#This Row],[ECO SEAT]]</f>
        <v>17769750</v>
      </c>
      <c r="U873" s="307">
        <f>Table24[[#This Row],[SEATS SOLD]]*(IFERROR(VLOOKUP(Table24[[#This Row],[ROUTE]],PRICING!A:C,3,FALSE),0))</f>
        <v>20429750</v>
      </c>
      <c r="V873" s="307">
        <f>Table24[[#This Row],[SEAT REV]]-Table24[[#This Row],[SEAT REV
(IF IDEAL $)]]</f>
        <v>-2660000</v>
      </c>
      <c r="X873"/>
    </row>
    <row r="874" spans="1:24" x14ac:dyDescent="0.25">
      <c r="A874" s="306" t="s">
        <v>18058</v>
      </c>
      <c r="B874" s="306" t="s">
        <v>4973</v>
      </c>
      <c r="C874" s="306" t="s">
        <v>2</v>
      </c>
      <c r="D874" s="26">
        <v>3</v>
      </c>
      <c r="E874" s="312" t="s">
        <v>4045</v>
      </c>
      <c r="F874" s="306" t="str">
        <f>VLOOKUP(Table24[[#This Row],[Country]],Table10[[COUNTRY NAME]:[CONTINENT CODE]],3,FALSE)</f>
        <v>SA</v>
      </c>
      <c r="G874" s="312" t="s">
        <v>13378</v>
      </c>
      <c r="H874" s="309">
        <v>1235</v>
      </c>
      <c r="I874" s="310">
        <v>4.75</v>
      </c>
      <c r="J874" s="307">
        <v>130325651</v>
      </c>
      <c r="K874" s="307">
        <f>IFERROR(Table24[[#This Row],[ROUTE COST]]/Table24[[#This Row],[O - DEMAND]],0)</f>
        <v>40050.906883835283</v>
      </c>
      <c r="L874" s="306">
        <v>3254</v>
      </c>
      <c r="M874" s="310">
        <f>Table24[[#This Row],[O - DEMAND]]/950</f>
        <v>3.425263157894737</v>
      </c>
      <c r="N874" s="306">
        <f>IFERROR(VLOOKUP(Table24[[#This Row],[ROUTE]],DEMAND!A:F,5,FALSE),0)</f>
        <v>3429</v>
      </c>
      <c r="O874" s="306">
        <f>IFERROR(VLOOKUP(Table24[[#This Row],[ROUTE]],DEMAND!A:F,6,FALSE),0)</f>
        <v>579</v>
      </c>
      <c r="P874" s="306">
        <f>ROUNDDOWN(Table24[[#This Row],[R-DEMAND]]/950,0)</f>
        <v>0</v>
      </c>
      <c r="Q874" s="306">
        <f>Table24[[#This Row],[ADD ACC
(475/950)]]*Table24[[#This Row],[Duration
(A359)]]</f>
        <v>0</v>
      </c>
      <c r="R874" s="307">
        <f>IFERROR(VLOOKUP(Table24[[#This Row],[ROUTE]],PRICING!A:B,2,FALSE),0)</f>
        <v>421</v>
      </c>
      <c r="S874" s="308">
        <f>Table24[[#This Row],[C_DEMAND]]-Table24[[#This Row],[R-DEMAND]]</f>
        <v>2850</v>
      </c>
      <c r="T874" s="307">
        <f>Table24[[#This Row],[SEATS SOLD]]*Table24[[#This Row],[ECO SEAT]]</f>
        <v>1199850</v>
      </c>
      <c r="U874" s="307">
        <f>Table24[[#This Row],[SEATS SOLD]]*(IFERROR(VLOOKUP(Table24[[#This Row],[ROUTE]],PRICING!A:C,3,FALSE),0))</f>
        <v>1430700</v>
      </c>
      <c r="V874" s="307">
        <f>Table24[[#This Row],[SEAT REV]]-Table24[[#This Row],[SEAT REV
(IF IDEAL $)]]</f>
        <v>-230850</v>
      </c>
      <c r="X874"/>
    </row>
    <row r="875" spans="1:24" x14ac:dyDescent="0.25">
      <c r="A875" s="306" t="s">
        <v>17228</v>
      </c>
      <c r="B875" s="306" t="s">
        <v>337</v>
      </c>
      <c r="C875" s="306" t="s">
        <v>2</v>
      </c>
      <c r="D875" s="26">
        <v>4</v>
      </c>
      <c r="E875" s="312" t="s">
        <v>14</v>
      </c>
      <c r="F875" s="306" t="str">
        <f>VLOOKUP(Table24[[#This Row],[Country]],Table10[[COUNTRY NAME]:[CONTINENT CODE]],3,FALSE)</f>
        <v>AS</v>
      </c>
      <c r="G875" s="312" t="s">
        <v>336</v>
      </c>
      <c r="H875" s="309">
        <v>13460</v>
      </c>
      <c r="I875" s="310">
        <v>31.75</v>
      </c>
      <c r="J875" s="307">
        <v>267487351</v>
      </c>
      <c r="K875" s="307">
        <f>IFERROR(Table24[[#This Row],[ROUTE COST]]/Table24[[#This Row],[O - DEMAND]],0)</f>
        <v>63521.09973877939</v>
      </c>
      <c r="L875" s="306">
        <v>4211</v>
      </c>
      <c r="M875" s="310">
        <f>Table24[[#This Row],[O - DEMAND]]/950</f>
        <v>4.432631578947368</v>
      </c>
      <c r="N875" s="306">
        <f>IFERROR(VLOOKUP(Table24[[#This Row],[ROUTE]],DEMAND!A:F,5,FALSE),0)</f>
        <v>4380</v>
      </c>
      <c r="O875" s="306">
        <f>IFERROR(VLOOKUP(Table24[[#This Row],[ROUTE]],DEMAND!A:F,6,FALSE),0)</f>
        <v>580</v>
      </c>
      <c r="P875" s="306">
        <f>ROUNDDOWN(Table24[[#This Row],[R-DEMAND]]/950,0)</f>
        <v>0</v>
      </c>
      <c r="Q875" s="306">
        <f>Table24[[#This Row],[ADD ACC
(475/950)]]*Table24[[#This Row],[Duration
(A359)]]</f>
        <v>0</v>
      </c>
      <c r="R875" s="307">
        <f>IFERROR(VLOOKUP(Table24[[#This Row],[ROUTE]],PRICING!A:B,2,FALSE),0)</f>
        <v>3776</v>
      </c>
      <c r="S875" s="308">
        <f>Table24[[#This Row],[C_DEMAND]]-Table24[[#This Row],[R-DEMAND]]</f>
        <v>3800</v>
      </c>
      <c r="T875" s="307">
        <f>Table24[[#This Row],[SEATS SOLD]]*Table24[[#This Row],[ECO SEAT]]</f>
        <v>14348800</v>
      </c>
      <c r="U875" s="307">
        <f>Table24[[#This Row],[SEATS SOLD]]*(IFERROR(VLOOKUP(Table24[[#This Row],[ROUTE]],PRICING!A:C,3,FALSE),0))</f>
        <v>16309600</v>
      </c>
      <c r="V875" s="307">
        <f>Table24[[#This Row],[SEAT REV]]-Table24[[#This Row],[SEAT REV
(IF IDEAL $)]]</f>
        <v>-1960800</v>
      </c>
      <c r="X875"/>
    </row>
    <row r="876" spans="1:24" x14ac:dyDescent="0.25">
      <c r="A876" s="306" t="s">
        <v>17831</v>
      </c>
      <c r="B876" s="306" t="s">
        <v>5719</v>
      </c>
      <c r="C876" s="306" t="s">
        <v>2</v>
      </c>
      <c r="D876" s="26">
        <v>5</v>
      </c>
      <c r="E876" s="312" t="s">
        <v>11732</v>
      </c>
      <c r="F876" s="306" t="str">
        <f>VLOOKUP(Table24[[#This Row],[Country]],Table10[[COUNTRY NAME]:[CONTINENT CODE]],3,FALSE)</f>
        <v>NA - US</v>
      </c>
      <c r="G876" s="312" t="s">
        <v>13294</v>
      </c>
      <c r="H876" s="309">
        <v>3509</v>
      </c>
      <c r="I876" s="310">
        <v>9.75</v>
      </c>
      <c r="J876" s="307">
        <v>187491881</v>
      </c>
      <c r="K876" s="307">
        <f>IFERROR(Table24[[#This Row],[ROUTE COST]]/Table24[[#This Row],[O - DEMAND]],0)</f>
        <v>58263.480733374767</v>
      </c>
      <c r="L876" s="306">
        <v>3218</v>
      </c>
      <c r="M876" s="310">
        <f>Table24[[#This Row],[O - DEMAND]]/950</f>
        <v>3.3873684210526314</v>
      </c>
      <c r="N876" s="306">
        <f>IFERROR(VLOOKUP(Table24[[#This Row],[ROUTE]],DEMAND!A:F,5,FALSE),0)</f>
        <v>3433</v>
      </c>
      <c r="O876" s="306">
        <f>IFERROR(VLOOKUP(Table24[[#This Row],[ROUTE]],DEMAND!A:F,6,FALSE),0)</f>
        <v>583</v>
      </c>
      <c r="P876" s="306">
        <f>ROUNDDOWN(Table24[[#This Row],[R-DEMAND]]/950,0)</f>
        <v>0</v>
      </c>
      <c r="Q876" s="306">
        <f>Table24[[#This Row],[ADD ACC
(475/950)]]*Table24[[#This Row],[Duration
(A359)]]</f>
        <v>0</v>
      </c>
      <c r="R876" s="307">
        <f>IFERROR(VLOOKUP(Table24[[#This Row],[ROUTE]],PRICING!A:B,2,FALSE),0)</f>
        <v>965</v>
      </c>
      <c r="S876" s="308">
        <f>Table24[[#This Row],[C_DEMAND]]-Table24[[#This Row],[R-DEMAND]]</f>
        <v>2850</v>
      </c>
      <c r="T876" s="307">
        <f>Table24[[#This Row],[SEATS SOLD]]*Table24[[#This Row],[ECO SEAT]]</f>
        <v>2750250</v>
      </c>
      <c r="U876" s="307">
        <f>Table24[[#This Row],[SEATS SOLD]]*(IFERROR(VLOOKUP(Table24[[#This Row],[ROUTE]],PRICING!A:C,3,FALSE),0))</f>
        <v>3439950</v>
      </c>
      <c r="V876" s="307">
        <f>Table24[[#This Row],[SEAT REV]]-Table24[[#This Row],[SEAT REV
(IF IDEAL $)]]</f>
        <v>-689700</v>
      </c>
      <c r="X876"/>
    </row>
    <row r="877" spans="1:24" x14ac:dyDescent="0.25">
      <c r="A877" s="306" t="s">
        <v>18003</v>
      </c>
      <c r="B877" s="306" t="s">
        <v>5101</v>
      </c>
      <c r="C877" s="306" t="s">
        <v>2</v>
      </c>
      <c r="D877" s="26"/>
      <c r="E877" s="312" t="s">
        <v>11732</v>
      </c>
      <c r="F877" s="306" t="str">
        <f>VLOOKUP(Table24[[#This Row],[Country]],Table10[[COUNTRY NAME]:[CONTINENT CODE]],3,FALSE)</f>
        <v>NA - US</v>
      </c>
      <c r="G877" s="312" t="s">
        <v>17004</v>
      </c>
      <c r="H877" s="309">
        <v>2691</v>
      </c>
      <c r="I877" s="310">
        <v>8</v>
      </c>
      <c r="J877" s="307"/>
      <c r="K877" s="307">
        <f>IFERROR(Table24[[#This Row],[ROUTE COST]]/Table24[[#This Row],[O - DEMAND]],0)</f>
        <v>0</v>
      </c>
      <c r="L877" s="306"/>
      <c r="M877" s="310">
        <f>Table24[[#This Row],[O - DEMAND]]/950</f>
        <v>0</v>
      </c>
      <c r="N877" s="306">
        <f>IFERROR(VLOOKUP(Table24[[#This Row],[ROUTE]],DEMAND!A:F,5,FALSE),0)</f>
        <v>2485</v>
      </c>
      <c r="O877" s="306">
        <f>IFERROR(VLOOKUP(Table24[[#This Row],[ROUTE]],DEMAND!A:F,6,FALSE),0)</f>
        <v>585</v>
      </c>
      <c r="P877" s="306">
        <f>ROUNDDOWN(Table24[[#This Row],[R-DEMAND]]/950,0)</f>
        <v>0</v>
      </c>
      <c r="Q877" s="306">
        <f>Table24[[#This Row],[ADD ACC
(475/950)]]*Table24[[#This Row],[Duration
(A359)]]</f>
        <v>0</v>
      </c>
      <c r="R877" s="307">
        <f>IFERROR(VLOOKUP(Table24[[#This Row],[ROUTE]],PRICING!A:B,2,FALSE),0)</f>
        <v>839</v>
      </c>
      <c r="S877" s="308">
        <f>Table24[[#This Row],[C_DEMAND]]-Table24[[#This Row],[R-DEMAND]]</f>
        <v>1900</v>
      </c>
      <c r="T877" s="307">
        <f>Table24[[#This Row],[SEATS SOLD]]*Table24[[#This Row],[ECO SEAT]]</f>
        <v>1594100</v>
      </c>
      <c r="U877" s="307">
        <f>Table24[[#This Row],[SEATS SOLD]]*(IFERROR(VLOOKUP(Table24[[#This Row],[ROUTE]],PRICING!A:C,3,FALSE),0))</f>
        <v>1812600</v>
      </c>
      <c r="V877" s="307">
        <f>Table24[[#This Row],[SEAT REV]]-Table24[[#This Row],[SEAT REV
(IF IDEAL $)]]</f>
        <v>-218500</v>
      </c>
      <c r="X877"/>
    </row>
    <row r="878" spans="1:24" x14ac:dyDescent="0.25">
      <c r="A878" s="306" t="s">
        <v>18018</v>
      </c>
      <c r="B878" s="306" t="s">
        <v>3495</v>
      </c>
      <c r="C878" s="306" t="s">
        <v>2</v>
      </c>
      <c r="D878" s="26">
        <v>2</v>
      </c>
      <c r="E878" s="312" t="s">
        <v>11669</v>
      </c>
      <c r="F878" s="306" t="str">
        <f>VLOOKUP(Table24[[#This Row],[Country]],Table10[[COUNTRY NAME]:[CONTINENT CODE]],3,FALSE)</f>
        <v>SA</v>
      </c>
      <c r="G878" s="312" t="s">
        <v>16918</v>
      </c>
      <c r="H878" s="309">
        <v>7176</v>
      </c>
      <c r="I878" s="310">
        <v>18</v>
      </c>
      <c r="J878" s="307">
        <v>173611877</v>
      </c>
      <c r="K878" s="307">
        <f>IFERROR(Table24[[#This Row],[ROUTE COST]]/Table24[[#This Row],[O - DEMAND]],0)</f>
        <v>74415.720960137158</v>
      </c>
      <c r="L878" s="306">
        <v>2333</v>
      </c>
      <c r="M878" s="310">
        <f>Table24[[#This Row],[O - DEMAND]]/950</f>
        <v>2.4557894736842107</v>
      </c>
      <c r="N878" s="306">
        <f>IFERROR(VLOOKUP(Table24[[#This Row],[ROUTE]],DEMAND!A:F,5,FALSE),0)</f>
        <v>2488</v>
      </c>
      <c r="O878" s="306">
        <f>IFERROR(VLOOKUP(Table24[[#This Row],[ROUTE]],DEMAND!A:F,6,FALSE),0)</f>
        <v>588</v>
      </c>
      <c r="P878" s="306">
        <f>ROUNDDOWN(Table24[[#This Row],[R-DEMAND]]/950,0)</f>
        <v>0</v>
      </c>
      <c r="Q878" s="306">
        <f>Table24[[#This Row],[ADD ACC
(475/950)]]*Table24[[#This Row],[Duration
(A359)]]</f>
        <v>0</v>
      </c>
      <c r="R878" s="307">
        <f>IFERROR(VLOOKUP(Table24[[#This Row],[ROUTE]],PRICING!A:B,2,FALSE),0)</f>
        <v>1875</v>
      </c>
      <c r="S878" s="308">
        <f>Table24[[#This Row],[C_DEMAND]]-Table24[[#This Row],[R-DEMAND]]</f>
        <v>1900</v>
      </c>
      <c r="T878" s="307">
        <f>Table24[[#This Row],[SEATS SOLD]]*Table24[[#This Row],[ECO SEAT]]</f>
        <v>3562500</v>
      </c>
      <c r="U878" s="307">
        <f>Table24[[#This Row],[SEATS SOLD]]*(IFERROR(VLOOKUP(Table24[[#This Row],[ROUTE]],PRICING!A:C,3,FALSE),0))</f>
        <v>4453600</v>
      </c>
      <c r="V878" s="307">
        <f>Table24[[#This Row],[SEAT REV]]-Table24[[#This Row],[SEAT REV
(IF IDEAL $)]]</f>
        <v>-891100</v>
      </c>
      <c r="X878"/>
    </row>
    <row r="879" spans="1:24" x14ac:dyDescent="0.25">
      <c r="A879" s="306" t="s">
        <v>17773</v>
      </c>
      <c r="B879" s="306" t="s">
        <v>4049</v>
      </c>
      <c r="C879" s="306" t="s">
        <v>2</v>
      </c>
      <c r="D879" s="26">
        <v>2</v>
      </c>
      <c r="E879" s="312" t="s">
        <v>1749</v>
      </c>
      <c r="F879" s="306" t="str">
        <f>VLOOKUP(Table24[[#This Row],[Country]],Table10[[COUNTRY NAME]:[CONTINENT CODE]],3,FALSE)</f>
        <v>NA</v>
      </c>
      <c r="G879" s="312" t="s">
        <v>16955</v>
      </c>
      <c r="H879" s="309">
        <v>4546</v>
      </c>
      <c r="I879" s="310">
        <v>12</v>
      </c>
      <c r="J879" s="307">
        <v>151666330</v>
      </c>
      <c r="K879" s="307">
        <f>IFERROR(Table24[[#This Row],[ROUTE COST]]/Table24[[#This Row],[O - DEMAND]],0)</f>
        <v>63167.984173261138</v>
      </c>
      <c r="L879" s="306">
        <v>2401</v>
      </c>
      <c r="M879" s="310">
        <f>Table24[[#This Row],[O - DEMAND]]/950</f>
        <v>2.5273684210526315</v>
      </c>
      <c r="N879" s="306">
        <f>IFERROR(VLOOKUP(Table24[[#This Row],[ROUTE]],DEMAND!A:F,5,FALSE),0)</f>
        <v>2489</v>
      </c>
      <c r="O879" s="306">
        <f>IFERROR(VLOOKUP(Table24[[#This Row],[ROUTE]],DEMAND!A:F,6,FALSE),0)</f>
        <v>589</v>
      </c>
      <c r="P879" s="306">
        <f>ROUNDDOWN(Table24[[#This Row],[R-DEMAND]]/950,0)</f>
        <v>0</v>
      </c>
      <c r="Q879" s="306">
        <f>Table24[[#This Row],[ADD ACC
(475/950)]]*Table24[[#This Row],[Duration
(A359)]]</f>
        <v>0</v>
      </c>
      <c r="R879" s="307">
        <f>IFERROR(VLOOKUP(Table24[[#This Row],[ROUTE]],PRICING!A:B,2,FALSE),0)</f>
        <v>1360</v>
      </c>
      <c r="S879" s="308">
        <f>Table24[[#This Row],[C_DEMAND]]-Table24[[#This Row],[R-DEMAND]]</f>
        <v>1900</v>
      </c>
      <c r="T879" s="307">
        <f>Table24[[#This Row],[SEATS SOLD]]*Table24[[#This Row],[ECO SEAT]]</f>
        <v>2584000</v>
      </c>
      <c r="U879" s="307">
        <f>Table24[[#This Row],[SEATS SOLD]]*(IFERROR(VLOOKUP(Table24[[#This Row],[ROUTE]],PRICING!A:C,3,FALSE),0))</f>
        <v>2905100</v>
      </c>
      <c r="V879" s="307">
        <f>Table24[[#This Row],[SEAT REV]]-Table24[[#This Row],[SEAT REV
(IF IDEAL $)]]</f>
        <v>-321100</v>
      </c>
      <c r="X879"/>
    </row>
    <row r="880" spans="1:24" x14ac:dyDescent="0.25">
      <c r="A880" s="306" t="s">
        <v>17041</v>
      </c>
      <c r="B880" s="306" t="s">
        <v>3751</v>
      </c>
      <c r="C880" s="306" t="s">
        <v>2</v>
      </c>
      <c r="D880" s="26">
        <v>2</v>
      </c>
      <c r="E880" s="312" t="s">
        <v>1124</v>
      </c>
      <c r="F880" s="306" t="str">
        <f>VLOOKUP(Table24[[#This Row],[Country]],Table10[[COUNTRY NAME]:[CONTINENT CODE]],3,FALSE)</f>
        <v>AF</v>
      </c>
      <c r="G880" s="312" t="s">
        <v>11864</v>
      </c>
      <c r="H880" s="309">
        <v>10325</v>
      </c>
      <c r="I880" s="310">
        <v>24.75</v>
      </c>
      <c r="J880" s="307">
        <v>206896128</v>
      </c>
      <c r="K880" s="307">
        <f>IFERROR(Table24[[#This Row],[ROUTE COST]]/Table24[[#This Row],[O - DEMAND]],0)</f>
        <v>63738.794824399258</v>
      </c>
      <c r="L880" s="306">
        <v>3246</v>
      </c>
      <c r="M880" s="310">
        <f>Table24[[#This Row],[O - DEMAND]]/950</f>
        <v>3.4168421052631577</v>
      </c>
      <c r="N880" s="306">
        <f>IFERROR(VLOOKUP(Table24[[#This Row],[ROUTE]],DEMAND!A:F,5,FALSE),0)</f>
        <v>3441</v>
      </c>
      <c r="O880" s="306">
        <f>IFERROR(VLOOKUP(Table24[[#This Row],[ROUTE]],DEMAND!A:F,6,FALSE),0)</f>
        <v>591</v>
      </c>
      <c r="P880" s="306">
        <f>ROUNDDOWN(Table24[[#This Row],[R-DEMAND]]/950,0)</f>
        <v>0</v>
      </c>
      <c r="Q880" s="306">
        <f>Table24[[#This Row],[ADD ACC
(475/950)]]*Table24[[#This Row],[Duration
(A359)]]</f>
        <v>0</v>
      </c>
      <c r="R880" s="307">
        <f>IFERROR(VLOOKUP(Table24[[#This Row],[ROUTE]],PRICING!A:B,2,FALSE),0)</f>
        <v>2722</v>
      </c>
      <c r="S880" s="308">
        <f>Table24[[#This Row],[C_DEMAND]]-Table24[[#This Row],[R-DEMAND]]</f>
        <v>2850</v>
      </c>
      <c r="T880" s="307">
        <f>Table24[[#This Row],[SEATS SOLD]]*Table24[[#This Row],[ECO SEAT]]</f>
        <v>7757700</v>
      </c>
      <c r="U880" s="307">
        <f>Table24[[#This Row],[SEATS SOLD]]*(IFERROR(VLOOKUP(Table24[[#This Row],[ROUTE]],PRICING!A:C,3,FALSE),0))</f>
        <v>9462000</v>
      </c>
      <c r="V880" s="307">
        <f>Table24[[#This Row],[SEAT REV]]-Table24[[#This Row],[SEAT REV
(IF IDEAL $)]]</f>
        <v>-1704300</v>
      </c>
      <c r="X880"/>
    </row>
    <row r="881" spans="1:24" x14ac:dyDescent="0.25">
      <c r="A881" s="306" t="s">
        <v>17256</v>
      </c>
      <c r="B881" s="306" t="s">
        <v>5137</v>
      </c>
      <c r="C881" s="306" t="s">
        <v>2</v>
      </c>
      <c r="D881" s="26">
        <v>3</v>
      </c>
      <c r="E881" s="312" t="s">
        <v>1070</v>
      </c>
      <c r="F881" s="306" t="str">
        <f>VLOOKUP(Table24[[#This Row],[Country]],Table10[[COUNTRY NAME]:[CONTINENT CODE]],3,FALSE)</f>
        <v>AS</v>
      </c>
      <c r="G881" s="312" t="s">
        <v>16820</v>
      </c>
      <c r="H881" s="309">
        <v>14479</v>
      </c>
      <c r="I881" s="310">
        <v>34</v>
      </c>
      <c r="J881" s="307">
        <v>264190859</v>
      </c>
      <c r="K881" s="307">
        <f>IFERROR(Table24[[#This Row],[ROUTE COST]]/Table24[[#This Row],[O - DEMAND]],0)</f>
        <v>80570.557792009757</v>
      </c>
      <c r="L881" s="306">
        <v>3279</v>
      </c>
      <c r="M881" s="310">
        <f>Table24[[#This Row],[O - DEMAND]]/950</f>
        <v>3.4515789473684211</v>
      </c>
      <c r="N881" s="306">
        <f>IFERROR(VLOOKUP(Table24[[#This Row],[ROUTE]],DEMAND!A:F,5,FALSE),0)</f>
        <v>3443</v>
      </c>
      <c r="O881" s="306">
        <f>IFERROR(VLOOKUP(Table24[[#This Row],[ROUTE]],DEMAND!A:F,6,FALSE),0)</f>
        <v>593</v>
      </c>
      <c r="P881" s="306">
        <f>ROUNDDOWN(Table24[[#This Row],[R-DEMAND]]/950,0)</f>
        <v>0</v>
      </c>
      <c r="Q881" s="306">
        <f>Table24[[#This Row],[ADD ACC
(475/950)]]*Table24[[#This Row],[Duration
(A359)]]</f>
        <v>0</v>
      </c>
      <c r="R881" s="307">
        <f>IFERROR(VLOOKUP(Table24[[#This Row],[ROUTE]],PRICING!A:B,2,FALSE),0)</f>
        <v>3916</v>
      </c>
      <c r="S881" s="308">
        <f>Table24[[#This Row],[C_DEMAND]]-Table24[[#This Row],[R-DEMAND]]</f>
        <v>2850</v>
      </c>
      <c r="T881" s="307">
        <f>Table24[[#This Row],[SEATS SOLD]]*Table24[[#This Row],[ECO SEAT]]</f>
        <v>11160600</v>
      </c>
      <c r="U881" s="307">
        <f>Table24[[#This Row],[SEATS SOLD]]*(IFERROR(VLOOKUP(Table24[[#This Row],[ROUTE]],PRICING!A:C,3,FALSE),0))</f>
        <v>13132800</v>
      </c>
      <c r="V881" s="307">
        <f>Table24[[#This Row],[SEAT REV]]-Table24[[#This Row],[SEAT REV
(IF IDEAL $)]]</f>
        <v>-1972200</v>
      </c>
      <c r="X881"/>
    </row>
    <row r="882" spans="1:24" x14ac:dyDescent="0.25">
      <c r="A882" s="306" t="s">
        <v>17830</v>
      </c>
      <c r="B882" s="306" t="s">
        <v>5765</v>
      </c>
      <c r="C882" s="306" t="s">
        <v>2</v>
      </c>
      <c r="D882" s="26">
        <v>5</v>
      </c>
      <c r="E882" s="312" t="s">
        <v>11732</v>
      </c>
      <c r="F882" s="306" t="str">
        <f>VLOOKUP(Table24[[#This Row],[Country]],Table10[[COUNTRY NAME]:[CONTINENT CODE]],3,FALSE)</f>
        <v>NA - US</v>
      </c>
      <c r="G882" s="312" t="s">
        <v>13288</v>
      </c>
      <c r="H882" s="309">
        <v>3898</v>
      </c>
      <c r="I882" s="310">
        <v>10.75</v>
      </c>
      <c r="J882" s="307">
        <v>200520811</v>
      </c>
      <c r="K882" s="307">
        <f>IFERROR(Table24[[#This Row],[ROUTE COST]]/Table24[[#This Row],[O - DEMAND]],0)</f>
        <v>61755.716353557131</v>
      </c>
      <c r="L882" s="306">
        <v>3247</v>
      </c>
      <c r="M882" s="310">
        <f>Table24[[#This Row],[O - DEMAND]]/950</f>
        <v>3.4178947368421051</v>
      </c>
      <c r="N882" s="306">
        <f>IFERROR(VLOOKUP(Table24[[#This Row],[ROUTE]],DEMAND!A:F,5,FALSE),0)</f>
        <v>3443</v>
      </c>
      <c r="O882" s="306">
        <f>IFERROR(VLOOKUP(Table24[[#This Row],[ROUTE]],DEMAND!A:F,6,FALSE),0)</f>
        <v>593</v>
      </c>
      <c r="P882" s="306">
        <f>ROUNDDOWN(Table24[[#This Row],[R-DEMAND]]/950,0)</f>
        <v>0</v>
      </c>
      <c r="Q882" s="306">
        <f>Table24[[#This Row],[ADD ACC
(475/950)]]*Table24[[#This Row],[Duration
(A359)]]</f>
        <v>0</v>
      </c>
      <c r="R882" s="307">
        <f>IFERROR(VLOOKUP(Table24[[#This Row],[ROUTE]],PRICING!A:B,2,FALSE),0)</f>
        <v>1088</v>
      </c>
      <c r="S882" s="308">
        <f>Table24[[#This Row],[C_DEMAND]]-Table24[[#This Row],[R-DEMAND]]</f>
        <v>2850</v>
      </c>
      <c r="T882" s="307">
        <f>Table24[[#This Row],[SEATS SOLD]]*Table24[[#This Row],[ECO SEAT]]</f>
        <v>3100800</v>
      </c>
      <c r="U882" s="307">
        <f>Table24[[#This Row],[SEATS SOLD]]*(IFERROR(VLOOKUP(Table24[[#This Row],[ROUTE]],PRICING!A:C,3,FALSE),0))</f>
        <v>3784800</v>
      </c>
      <c r="V882" s="307">
        <f>Table24[[#This Row],[SEAT REV]]-Table24[[#This Row],[SEAT REV
(IF IDEAL $)]]</f>
        <v>-684000</v>
      </c>
      <c r="X882"/>
    </row>
    <row r="883" spans="1:24" x14ac:dyDescent="0.25">
      <c r="A883" s="306" t="s">
        <v>17253</v>
      </c>
      <c r="B883" s="306" t="s">
        <v>300</v>
      </c>
      <c r="C883" s="306" t="s">
        <v>2</v>
      </c>
      <c r="D883" s="26">
        <v>3</v>
      </c>
      <c r="E883" s="312" t="s">
        <v>1070</v>
      </c>
      <c r="F883" s="306" t="str">
        <f>VLOOKUP(Table24[[#This Row],[Country]],Table10[[COUNTRY NAME]:[CONTINENT CODE]],3,FALSE)</f>
        <v>AS</v>
      </c>
      <c r="G883" s="312" t="s">
        <v>12052</v>
      </c>
      <c r="H883" s="309">
        <v>14726</v>
      </c>
      <c r="I883" s="310">
        <v>34.5</v>
      </c>
      <c r="J883" s="307">
        <v>267754554</v>
      </c>
      <c r="K883" s="307">
        <f>IFERROR(Table24[[#This Row],[ROUTE COST]]/Table24[[#This Row],[O - DEMAND]],0)</f>
        <v>80794.977066988533</v>
      </c>
      <c r="L883" s="306">
        <v>3314</v>
      </c>
      <c r="M883" s="310">
        <f>Table24[[#This Row],[O - DEMAND]]/950</f>
        <v>3.4884210526315789</v>
      </c>
      <c r="N883" s="306">
        <f>IFERROR(VLOOKUP(Table24[[#This Row],[ROUTE]],DEMAND!A:F,5,FALSE),0)</f>
        <v>3447</v>
      </c>
      <c r="O883" s="306">
        <f>IFERROR(VLOOKUP(Table24[[#This Row],[ROUTE]],DEMAND!A:F,6,FALSE),0)</f>
        <v>597</v>
      </c>
      <c r="P883" s="306">
        <f>ROUNDDOWN(Table24[[#This Row],[R-DEMAND]]/950,0)</f>
        <v>0</v>
      </c>
      <c r="Q883" s="306">
        <f>Table24[[#This Row],[ADD ACC
(475/950)]]*Table24[[#This Row],[Duration
(A359)]]</f>
        <v>0</v>
      </c>
      <c r="R883" s="307">
        <f>IFERROR(VLOOKUP(Table24[[#This Row],[ROUTE]],PRICING!A:B,2,FALSE),0)</f>
        <v>4122</v>
      </c>
      <c r="S883" s="308">
        <f>Table24[[#This Row],[C_DEMAND]]-Table24[[#This Row],[R-DEMAND]]</f>
        <v>2850</v>
      </c>
      <c r="T883" s="307">
        <f>Table24[[#This Row],[SEATS SOLD]]*Table24[[#This Row],[ECO SEAT]]</f>
        <v>11747700</v>
      </c>
      <c r="U883" s="307">
        <f>Table24[[#This Row],[SEATS SOLD]]*(IFERROR(VLOOKUP(Table24[[#This Row],[ROUTE]],PRICING!A:C,3,FALSE),0))</f>
        <v>13352250</v>
      </c>
      <c r="V883" s="307">
        <f>Table24[[#This Row],[SEAT REV]]-Table24[[#This Row],[SEAT REV
(IF IDEAL $)]]</f>
        <v>-1604550</v>
      </c>
      <c r="X883"/>
    </row>
    <row r="884" spans="1:24" x14ac:dyDescent="0.25">
      <c r="A884" s="306" t="s">
        <v>17741</v>
      </c>
      <c r="B884" s="306" t="s">
        <v>5465</v>
      </c>
      <c r="C884" s="306" t="s">
        <v>2</v>
      </c>
      <c r="D884" s="26">
        <v>4</v>
      </c>
      <c r="E884" s="312" t="s">
        <v>683</v>
      </c>
      <c r="F884" s="306" t="str">
        <f>VLOOKUP(Table24[[#This Row],[Country]],Table10[[COUNTRY NAME]:[CONTINENT CODE]],3,FALSE)</f>
        <v>NA</v>
      </c>
      <c r="G884" s="312" t="s">
        <v>13186</v>
      </c>
      <c r="H884" s="309">
        <v>1160</v>
      </c>
      <c r="I884" s="310">
        <v>4.75</v>
      </c>
      <c r="J884" s="307">
        <v>140350297</v>
      </c>
      <c r="K884" s="307">
        <f>IFERROR(Table24[[#This Row],[ROUTE COST]]/Table24[[#This Row],[O - DEMAND]],0)</f>
        <v>42750.62351507767</v>
      </c>
      <c r="L884" s="306">
        <v>3283</v>
      </c>
      <c r="M884" s="310">
        <f>Table24[[#This Row],[O - DEMAND]]/950</f>
        <v>3.4557894736842107</v>
      </c>
      <c r="N884" s="306">
        <f>IFERROR(VLOOKUP(Table24[[#This Row],[ROUTE]],DEMAND!A:F,5,FALSE),0)</f>
        <v>3447</v>
      </c>
      <c r="O884" s="306">
        <f>IFERROR(VLOOKUP(Table24[[#This Row],[ROUTE]],DEMAND!A:F,6,FALSE),0)</f>
        <v>597</v>
      </c>
      <c r="P884" s="306">
        <f>ROUNDDOWN(Table24[[#This Row],[R-DEMAND]]/950,0)</f>
        <v>0</v>
      </c>
      <c r="Q884" s="306">
        <f>Table24[[#This Row],[ADD ACC
(475/950)]]*Table24[[#This Row],[Duration
(A359)]]</f>
        <v>0</v>
      </c>
      <c r="R884" s="307">
        <f>IFERROR(VLOOKUP(Table24[[#This Row],[ROUTE]],PRICING!A:B,2,FALSE),0)</f>
        <v>407</v>
      </c>
      <c r="S884" s="308">
        <f>Table24[[#This Row],[C_DEMAND]]-Table24[[#This Row],[R-DEMAND]]</f>
        <v>2850</v>
      </c>
      <c r="T884" s="307">
        <f>Table24[[#This Row],[SEATS SOLD]]*Table24[[#This Row],[ECO SEAT]]</f>
        <v>1159950</v>
      </c>
      <c r="U884" s="307">
        <f>Table24[[#This Row],[SEATS SOLD]]*(IFERROR(VLOOKUP(Table24[[#This Row],[ROUTE]],PRICING!A:C,3,FALSE),0))</f>
        <v>1365150</v>
      </c>
      <c r="V884" s="307">
        <f>Table24[[#This Row],[SEAT REV]]-Table24[[#This Row],[SEAT REV
(IF IDEAL $)]]</f>
        <v>-205200</v>
      </c>
      <c r="X884"/>
    </row>
    <row r="885" spans="1:24" x14ac:dyDescent="0.25">
      <c r="A885" s="306" t="s">
        <v>17221</v>
      </c>
      <c r="B885" s="306" t="s">
        <v>15</v>
      </c>
      <c r="C885" s="306" t="s">
        <v>2</v>
      </c>
      <c r="D885" s="26">
        <v>4</v>
      </c>
      <c r="E885" s="312" t="s">
        <v>14</v>
      </c>
      <c r="F885" s="306" t="str">
        <f>VLOOKUP(Table24[[#This Row],[Country]],Table10[[COUNTRY NAME]:[CONTINENT CODE]],3,FALSE)</f>
        <v>AS</v>
      </c>
      <c r="G885" s="312" t="s">
        <v>13</v>
      </c>
      <c r="H885" s="309">
        <v>14121</v>
      </c>
      <c r="I885" s="310">
        <v>33.25</v>
      </c>
      <c r="J885" s="307">
        <v>280273903</v>
      </c>
      <c r="K885" s="307">
        <f>IFERROR(Table24[[#This Row],[ROUTE COST]]/Table24[[#This Row],[O - DEMAND]],0)</f>
        <v>84547.180392156864</v>
      </c>
      <c r="L885" s="306">
        <v>3315</v>
      </c>
      <c r="M885" s="310">
        <f>Table24[[#This Row],[O - DEMAND]]/950</f>
        <v>3.4894736842105263</v>
      </c>
      <c r="N885" s="306">
        <f>IFERROR(VLOOKUP(Table24[[#This Row],[ROUTE]],DEMAND!A:F,5,FALSE),0)</f>
        <v>3448</v>
      </c>
      <c r="O885" s="306">
        <f>IFERROR(VLOOKUP(Table24[[#This Row],[ROUTE]],DEMAND!A:F,6,FALSE),0)</f>
        <v>598</v>
      </c>
      <c r="P885" s="306">
        <f>ROUNDDOWN(Table24[[#This Row],[R-DEMAND]]/950,0)</f>
        <v>0</v>
      </c>
      <c r="Q885" s="306">
        <f>Table24[[#This Row],[ADD ACC
(475/950)]]*Table24[[#This Row],[Duration
(A359)]]</f>
        <v>0</v>
      </c>
      <c r="R885" s="307">
        <f>IFERROR(VLOOKUP(Table24[[#This Row],[ROUTE]],PRICING!A:B,2,FALSE),0)</f>
        <v>3957</v>
      </c>
      <c r="S885" s="308">
        <f>Table24[[#This Row],[C_DEMAND]]-Table24[[#This Row],[R-DEMAND]]</f>
        <v>2850</v>
      </c>
      <c r="T885" s="307">
        <f>Table24[[#This Row],[SEATS SOLD]]*Table24[[#This Row],[ECO SEAT]]</f>
        <v>11277450</v>
      </c>
      <c r="U885" s="307">
        <f>Table24[[#This Row],[SEATS SOLD]]*(IFERROR(VLOOKUP(Table24[[#This Row],[ROUTE]],PRICING!A:C,3,FALSE),0))</f>
        <v>12816450</v>
      </c>
      <c r="V885" s="307">
        <f>Table24[[#This Row],[SEAT REV]]-Table24[[#This Row],[SEAT REV
(IF IDEAL $)]]</f>
        <v>-1539000</v>
      </c>
      <c r="X885"/>
    </row>
    <row r="886" spans="1:24" x14ac:dyDescent="0.25">
      <c r="A886" s="306" t="s">
        <v>17216</v>
      </c>
      <c r="B886" s="306" t="s">
        <v>361</v>
      </c>
      <c r="C886" s="306" t="s">
        <v>2</v>
      </c>
      <c r="D886" s="26">
        <v>4</v>
      </c>
      <c r="E886" s="312" t="s">
        <v>14</v>
      </c>
      <c r="F886" s="306" t="str">
        <f>VLOOKUP(Table24[[#This Row],[Country]],Table10[[COUNTRY NAME]:[CONTINENT CODE]],3,FALSE)</f>
        <v>AS</v>
      </c>
      <c r="G886" s="312" t="s">
        <v>11096</v>
      </c>
      <c r="H886" s="309">
        <v>14647</v>
      </c>
      <c r="I886" s="310">
        <v>34.25</v>
      </c>
      <c r="J886" s="307">
        <v>284402744</v>
      </c>
      <c r="K886" s="307">
        <f>IFERROR(Table24[[#This Row],[ROUTE COST]]/Table24[[#This Row],[O - DEMAND]],0)</f>
        <v>86840.532519083965</v>
      </c>
      <c r="L886" s="306">
        <v>3275</v>
      </c>
      <c r="M886" s="310">
        <f>Table24[[#This Row],[O - DEMAND]]/950</f>
        <v>3.4473684210526314</v>
      </c>
      <c r="N886" s="306">
        <f>IFERROR(VLOOKUP(Table24[[#This Row],[ROUTE]],DEMAND!A:F,5,FALSE),0)</f>
        <v>3449</v>
      </c>
      <c r="O886" s="306">
        <f>IFERROR(VLOOKUP(Table24[[#This Row],[ROUTE]],DEMAND!A:F,6,FALSE),0)</f>
        <v>599</v>
      </c>
      <c r="P886" s="306">
        <f>ROUNDDOWN(Table24[[#This Row],[R-DEMAND]]/950,0)</f>
        <v>0</v>
      </c>
      <c r="Q886" s="306">
        <f>Table24[[#This Row],[ADD ACC
(475/950)]]*Table24[[#This Row],[Duration
(A359)]]</f>
        <v>0</v>
      </c>
      <c r="R886" s="307">
        <f>IFERROR(VLOOKUP(Table24[[#This Row],[ROUTE]],PRICING!A:B,2,FALSE),0)</f>
        <v>3914</v>
      </c>
      <c r="S886" s="308">
        <f>Table24[[#This Row],[C_DEMAND]]-Table24[[#This Row],[R-DEMAND]]</f>
        <v>2850</v>
      </c>
      <c r="T886" s="307">
        <f>Table24[[#This Row],[SEATS SOLD]]*Table24[[#This Row],[ECO SEAT]]</f>
        <v>11154900</v>
      </c>
      <c r="U886" s="307">
        <f>Table24[[#This Row],[SEATS SOLD]]*(IFERROR(VLOOKUP(Table24[[#This Row],[ROUTE]],PRICING!A:C,3,FALSE),0))</f>
        <v>13281000</v>
      </c>
      <c r="V886" s="307">
        <f>Table24[[#This Row],[SEAT REV]]-Table24[[#This Row],[SEAT REV
(IF IDEAL $)]]</f>
        <v>-2126100</v>
      </c>
      <c r="X886"/>
    </row>
    <row r="887" spans="1:24" x14ac:dyDescent="0.25">
      <c r="A887" s="306" t="s">
        <v>17510</v>
      </c>
      <c r="B887" s="306" t="s">
        <v>21</v>
      </c>
      <c r="C887" s="306" t="s">
        <v>2</v>
      </c>
      <c r="D887" s="26">
        <v>3</v>
      </c>
      <c r="E887" s="312" t="s">
        <v>78</v>
      </c>
      <c r="F887" s="306" t="str">
        <f>VLOOKUP(Table24[[#This Row],[Country]],Table10[[COUNTRY NAME]:[CONTINENT CODE]],3,FALSE)</f>
        <v>EU</v>
      </c>
      <c r="G887" s="312" t="s">
        <v>11996</v>
      </c>
      <c r="H887" s="309">
        <v>12689</v>
      </c>
      <c r="I887" s="310">
        <v>30</v>
      </c>
      <c r="J887" s="307">
        <v>239520030</v>
      </c>
      <c r="K887" s="307">
        <f>IFERROR(Table24[[#This Row],[ROUTE COST]]/Table24[[#This Row],[O - DEMAND]],0)</f>
        <v>72231.613389626058</v>
      </c>
      <c r="L887" s="306">
        <v>3316</v>
      </c>
      <c r="M887" s="310">
        <f>Table24[[#This Row],[O - DEMAND]]/950</f>
        <v>3.4905263157894737</v>
      </c>
      <c r="N887" s="306">
        <f>IFERROR(VLOOKUP(Table24[[#This Row],[ROUTE]],DEMAND!A:F,5,FALSE),0)</f>
        <v>3449</v>
      </c>
      <c r="O887" s="306">
        <f>IFERROR(VLOOKUP(Table24[[#This Row],[ROUTE]],DEMAND!A:F,6,FALSE),0)</f>
        <v>599</v>
      </c>
      <c r="P887" s="306">
        <f>ROUNDDOWN(Table24[[#This Row],[R-DEMAND]]/950,0)</f>
        <v>0</v>
      </c>
      <c r="Q887" s="306">
        <f>Table24[[#This Row],[ADD ACC
(475/950)]]*Table24[[#This Row],[Duration
(A359)]]</f>
        <v>0</v>
      </c>
      <c r="R887" s="307">
        <f>IFERROR(VLOOKUP(Table24[[#This Row],[ROUTE]],PRICING!A:B,2,FALSE),0)</f>
        <v>3566</v>
      </c>
      <c r="S887" s="308">
        <f>Table24[[#This Row],[C_DEMAND]]-Table24[[#This Row],[R-DEMAND]]</f>
        <v>2850</v>
      </c>
      <c r="T887" s="307">
        <f>Table24[[#This Row],[SEATS SOLD]]*Table24[[#This Row],[ECO SEAT]]</f>
        <v>10163100</v>
      </c>
      <c r="U887" s="307">
        <f>Table24[[#This Row],[SEATS SOLD]]*(IFERROR(VLOOKUP(Table24[[#This Row],[ROUTE]],PRICING!A:C,3,FALSE),0))</f>
        <v>11551050</v>
      </c>
      <c r="V887" s="307">
        <f>Table24[[#This Row],[SEAT REV]]-Table24[[#This Row],[SEAT REV
(IF IDEAL $)]]</f>
        <v>-1387950</v>
      </c>
      <c r="X887"/>
    </row>
    <row r="888" spans="1:24" x14ac:dyDescent="0.25">
      <c r="A888" s="306" t="s">
        <v>18076</v>
      </c>
      <c r="B888" s="306" t="s">
        <v>4464</v>
      </c>
      <c r="C888" s="306" t="s">
        <v>2</v>
      </c>
      <c r="D888" s="26">
        <v>2</v>
      </c>
      <c r="E888" s="312" t="s">
        <v>1144</v>
      </c>
      <c r="F888" s="306" t="str">
        <f>VLOOKUP(Table24[[#This Row],[Country]],Table10[[COUNTRY NAME]:[CONTINENT CODE]],3,FALSE)</f>
        <v>SA</v>
      </c>
      <c r="G888" s="312" t="s">
        <v>13153</v>
      </c>
      <c r="H888" s="309">
        <v>4151</v>
      </c>
      <c r="I888" s="310">
        <v>11.25</v>
      </c>
      <c r="J888" s="307">
        <v>151086567</v>
      </c>
      <c r="K888" s="307">
        <f>IFERROR(Table24[[#This Row],[ROUTE COST]]/Table24[[#This Row],[O - DEMAND]],0)</f>
        <v>45508.002108433735</v>
      </c>
      <c r="L888" s="306">
        <v>3320</v>
      </c>
      <c r="M888" s="310">
        <f>Table24[[#This Row],[O - DEMAND]]/950</f>
        <v>3.4947368421052634</v>
      </c>
      <c r="N888" s="306">
        <f>IFERROR(VLOOKUP(Table24[[#This Row],[ROUTE]],DEMAND!A:F,5,FALSE),0)</f>
        <v>3453</v>
      </c>
      <c r="O888" s="306">
        <f>IFERROR(VLOOKUP(Table24[[#This Row],[ROUTE]],DEMAND!A:F,6,FALSE),0)</f>
        <v>603</v>
      </c>
      <c r="P888" s="306">
        <f>ROUNDDOWN(Table24[[#This Row],[R-DEMAND]]/950,0)</f>
        <v>0</v>
      </c>
      <c r="Q888" s="306">
        <f>Table24[[#This Row],[ADD ACC
(475/950)]]*Table24[[#This Row],[Duration
(A359)]]</f>
        <v>0</v>
      </c>
      <c r="R888" s="307">
        <f>IFERROR(VLOOKUP(Table24[[#This Row],[ROUTE]],PRICING!A:B,2,FALSE),0)</f>
        <v>1237</v>
      </c>
      <c r="S888" s="308">
        <f>Table24[[#This Row],[C_DEMAND]]-Table24[[#This Row],[R-DEMAND]]</f>
        <v>2850</v>
      </c>
      <c r="T888" s="307">
        <f>Table24[[#This Row],[SEATS SOLD]]*Table24[[#This Row],[ECO SEAT]]</f>
        <v>3525450</v>
      </c>
      <c r="U888" s="307">
        <f>Table24[[#This Row],[SEATS SOLD]]*(IFERROR(VLOOKUP(Table24[[#This Row],[ROUTE]],PRICING!A:C,3,FALSE),0))</f>
        <v>4007100</v>
      </c>
      <c r="V888" s="307">
        <f>Table24[[#This Row],[SEAT REV]]-Table24[[#This Row],[SEAT REV
(IF IDEAL $)]]</f>
        <v>-481650</v>
      </c>
      <c r="X888"/>
    </row>
    <row r="889" spans="1:24" x14ac:dyDescent="0.25">
      <c r="A889" s="306" t="s">
        <v>17867</v>
      </c>
      <c r="B889" s="306" t="s">
        <v>5551</v>
      </c>
      <c r="C889" s="306" t="s">
        <v>2</v>
      </c>
      <c r="D889" s="26">
        <v>4</v>
      </c>
      <c r="E889" s="312" t="s">
        <v>11732</v>
      </c>
      <c r="F889" s="306" t="str">
        <f>VLOOKUP(Table24[[#This Row],[Country]],Table10[[COUNTRY NAME]:[CONTINENT CODE]],3,FALSE)</f>
        <v>NA - US</v>
      </c>
      <c r="G889" s="312" t="s">
        <v>13336</v>
      </c>
      <c r="H889" s="309">
        <v>2408</v>
      </c>
      <c r="I889" s="310">
        <v>7.5</v>
      </c>
      <c r="J889" s="307"/>
      <c r="K889" s="307">
        <f>IFERROR(Table24[[#This Row],[ROUTE COST]]/Table24[[#This Row],[O - DEMAND]],0)</f>
        <v>0</v>
      </c>
      <c r="L889" s="306"/>
      <c r="M889" s="310">
        <f>Table24[[#This Row],[O - DEMAND]]/950</f>
        <v>0</v>
      </c>
      <c r="N889" s="306">
        <f>IFERROR(VLOOKUP(Table24[[#This Row],[ROUTE]],DEMAND!A:F,5,FALSE),0)</f>
        <v>2504</v>
      </c>
      <c r="O889" s="306">
        <f>IFERROR(VLOOKUP(Table24[[#This Row],[ROUTE]],DEMAND!A:F,6,FALSE),0)</f>
        <v>604</v>
      </c>
      <c r="P889" s="306">
        <f>ROUNDDOWN(Table24[[#This Row],[R-DEMAND]]/950,0)</f>
        <v>0</v>
      </c>
      <c r="Q889" s="306">
        <f>Table24[[#This Row],[ADD ACC
(475/950)]]*Table24[[#This Row],[Duration
(A359)]]</f>
        <v>0</v>
      </c>
      <c r="R889" s="307">
        <f>IFERROR(VLOOKUP(Table24[[#This Row],[ROUTE]],PRICING!A:B,2,FALSE),0)</f>
        <v>744</v>
      </c>
      <c r="S889" s="308">
        <f>Table24[[#This Row],[C_DEMAND]]-Table24[[#This Row],[R-DEMAND]]</f>
        <v>1900</v>
      </c>
      <c r="T889" s="307">
        <f>Table24[[#This Row],[SEATS SOLD]]*Table24[[#This Row],[ECO SEAT]]</f>
        <v>1413600</v>
      </c>
      <c r="U889" s="307">
        <f>Table24[[#This Row],[SEATS SOLD]]*(IFERROR(VLOOKUP(Table24[[#This Row],[ROUTE]],PRICING!A:C,3,FALSE),0))</f>
        <v>1645400</v>
      </c>
      <c r="V889" s="307">
        <f>Table24[[#This Row],[SEAT REV]]-Table24[[#This Row],[SEAT REV
(IF IDEAL $)]]</f>
        <v>-231800</v>
      </c>
      <c r="X889"/>
    </row>
    <row r="890" spans="1:24" x14ac:dyDescent="0.25">
      <c r="A890" s="306" t="s">
        <v>17367</v>
      </c>
      <c r="B890" s="306" t="s">
        <v>3539</v>
      </c>
      <c r="C890" s="306" t="s">
        <v>2</v>
      </c>
      <c r="D890" s="26">
        <v>2</v>
      </c>
      <c r="E890" s="312" t="s">
        <v>2764</v>
      </c>
      <c r="F890" s="306" t="str">
        <f>VLOOKUP(Table24[[#This Row],[Country]],Table10[[COUNTRY NAME]:[CONTINENT CODE]],3,FALSE)</f>
        <v>AS</v>
      </c>
      <c r="G890" s="312" t="s">
        <v>11969</v>
      </c>
      <c r="H890" s="309">
        <v>12133</v>
      </c>
      <c r="I890" s="310">
        <v>28.75</v>
      </c>
      <c r="J890" s="307">
        <v>223008497</v>
      </c>
      <c r="K890" s="307">
        <f>IFERROR(Table24[[#This Row],[ROUTE COST]]/Table24[[#This Row],[O - DEMAND]],0)</f>
        <v>67252.260856453562</v>
      </c>
      <c r="L890" s="306">
        <v>3316</v>
      </c>
      <c r="M890" s="310">
        <f>Table24[[#This Row],[O - DEMAND]]/950</f>
        <v>3.4905263157894737</v>
      </c>
      <c r="N890" s="306">
        <f>IFERROR(VLOOKUP(Table24[[#This Row],[ROUTE]],DEMAND!A:F,5,FALSE),0)</f>
        <v>3459</v>
      </c>
      <c r="O890" s="306">
        <f>IFERROR(VLOOKUP(Table24[[#This Row],[ROUTE]],DEMAND!A:F,6,FALSE),0)</f>
        <v>609</v>
      </c>
      <c r="P890" s="306">
        <f>ROUNDDOWN(Table24[[#This Row],[R-DEMAND]]/950,0)</f>
        <v>0</v>
      </c>
      <c r="Q890" s="306">
        <f>Table24[[#This Row],[ADD ACC
(475/950)]]*Table24[[#This Row],[Duration
(A359)]]</f>
        <v>0</v>
      </c>
      <c r="R890" s="307">
        <f>IFERROR(VLOOKUP(Table24[[#This Row],[ROUTE]],PRICING!A:B,2,FALSE),0)</f>
        <v>3376</v>
      </c>
      <c r="S890" s="308">
        <f>Table24[[#This Row],[C_DEMAND]]-Table24[[#This Row],[R-DEMAND]]</f>
        <v>2850</v>
      </c>
      <c r="T890" s="307">
        <f>Table24[[#This Row],[SEATS SOLD]]*Table24[[#This Row],[ECO SEAT]]</f>
        <v>9621600</v>
      </c>
      <c r="U890" s="307">
        <f>Table24[[#This Row],[SEATS SOLD]]*(IFERROR(VLOOKUP(Table24[[#This Row],[ROUTE]],PRICING!A:C,3,FALSE),0))</f>
        <v>11060850</v>
      </c>
      <c r="V890" s="307">
        <f>Table24[[#This Row],[SEAT REV]]-Table24[[#This Row],[SEAT REV
(IF IDEAL $)]]</f>
        <v>-1439250</v>
      </c>
      <c r="X890"/>
    </row>
    <row r="891" spans="1:24" x14ac:dyDescent="0.25">
      <c r="A891" s="306" t="s">
        <v>17475</v>
      </c>
      <c r="B891" s="306" t="s">
        <v>182</v>
      </c>
      <c r="C891" s="306" t="s">
        <v>2</v>
      </c>
      <c r="D891" s="26">
        <v>5</v>
      </c>
      <c r="E891" s="312" t="s">
        <v>83</v>
      </c>
      <c r="F891" s="306" t="str">
        <f>VLOOKUP(Table24[[#This Row],[Country]],Table10[[COUNTRY NAME]:[CONTINENT CODE]],3,FALSE)</f>
        <v>EU</v>
      </c>
      <c r="G891" s="312" t="s">
        <v>181</v>
      </c>
      <c r="H891" s="309">
        <v>7042</v>
      </c>
      <c r="I891" s="310">
        <v>17.5</v>
      </c>
      <c r="J891" s="307">
        <v>216558687</v>
      </c>
      <c r="K891" s="307">
        <f>IFERROR(Table24[[#This Row],[ROUTE COST]]/Table24[[#This Row],[O - DEMAND]],0)</f>
        <v>66165.1961503208</v>
      </c>
      <c r="L891" s="306">
        <v>3273</v>
      </c>
      <c r="M891" s="310">
        <f>Table24[[#This Row],[O - DEMAND]]/950</f>
        <v>3.445263157894737</v>
      </c>
      <c r="N891" s="306">
        <f>IFERROR(VLOOKUP(Table24[[#This Row],[ROUTE]],DEMAND!A:F,5,FALSE),0)</f>
        <v>3459</v>
      </c>
      <c r="O891" s="306">
        <f>IFERROR(VLOOKUP(Table24[[#This Row],[ROUTE]],DEMAND!A:F,6,FALSE),0)</f>
        <v>609</v>
      </c>
      <c r="P891" s="306">
        <f>ROUNDDOWN(Table24[[#This Row],[R-DEMAND]]/950,0)</f>
        <v>0</v>
      </c>
      <c r="Q891" s="306">
        <f>Table24[[#This Row],[ADD ACC
(475/950)]]*Table24[[#This Row],[Duration
(A359)]]</f>
        <v>0</v>
      </c>
      <c r="R891" s="307">
        <f>IFERROR(VLOOKUP(Table24[[#This Row],[ROUTE]],PRICING!A:B,2,FALSE),0)</f>
        <v>1911</v>
      </c>
      <c r="S891" s="308">
        <f>Table24[[#This Row],[C_DEMAND]]-Table24[[#This Row],[R-DEMAND]]</f>
        <v>2850</v>
      </c>
      <c r="T891" s="307">
        <f>Table24[[#This Row],[SEATS SOLD]]*Table24[[#This Row],[ECO SEAT]]</f>
        <v>5446350</v>
      </c>
      <c r="U891" s="307">
        <f>Table24[[#This Row],[SEATS SOLD]]*(IFERROR(VLOOKUP(Table24[[#This Row],[ROUTE]],PRICING!A:C,3,FALSE),0))</f>
        <v>6563550</v>
      </c>
      <c r="V891" s="307">
        <f>Table24[[#This Row],[SEAT REV]]-Table24[[#This Row],[SEAT REV
(IF IDEAL $)]]</f>
        <v>-1117200</v>
      </c>
      <c r="X891"/>
    </row>
    <row r="892" spans="1:24" x14ac:dyDescent="0.25">
      <c r="A892" s="306" t="s">
        <v>17868</v>
      </c>
      <c r="B892" s="306" t="s">
        <v>5516</v>
      </c>
      <c r="C892" s="306" t="s">
        <v>2</v>
      </c>
      <c r="D892" s="26">
        <v>4</v>
      </c>
      <c r="E892" s="312" t="s">
        <v>11732</v>
      </c>
      <c r="F892" s="306" t="str">
        <f>VLOOKUP(Table24[[#This Row],[Country]],Table10[[COUNTRY NAME]:[CONTINENT CODE]],3,FALSE)</f>
        <v>NA - US</v>
      </c>
      <c r="G892" s="312" t="s">
        <v>13353</v>
      </c>
      <c r="H892" s="309">
        <v>2215</v>
      </c>
      <c r="I892" s="310">
        <v>7</v>
      </c>
      <c r="J892" s="307"/>
      <c r="K892" s="307">
        <f>IFERROR(Table24[[#This Row],[ROUTE COST]]/Table24[[#This Row],[O - DEMAND]],0)</f>
        <v>0</v>
      </c>
      <c r="L892" s="306"/>
      <c r="M892" s="310">
        <f>Table24[[#This Row],[O - DEMAND]]/950</f>
        <v>0</v>
      </c>
      <c r="N892" s="306">
        <f>IFERROR(VLOOKUP(Table24[[#This Row],[ROUTE]],DEMAND!A:F,5,FALSE),0)</f>
        <v>2510</v>
      </c>
      <c r="O892" s="306">
        <f>IFERROR(VLOOKUP(Table24[[#This Row],[ROUTE]],DEMAND!A:F,6,FALSE),0)</f>
        <v>610</v>
      </c>
      <c r="P892" s="306">
        <f>ROUNDDOWN(Table24[[#This Row],[R-DEMAND]]/950,0)</f>
        <v>0</v>
      </c>
      <c r="Q892" s="306">
        <f>Table24[[#This Row],[ADD ACC
(475/950)]]*Table24[[#This Row],[Duration
(A359)]]</f>
        <v>0</v>
      </c>
      <c r="R892" s="307">
        <f>IFERROR(VLOOKUP(Table24[[#This Row],[ROUTE]],PRICING!A:B,2,FALSE),0)</f>
        <v>652</v>
      </c>
      <c r="S892" s="308">
        <f>Table24[[#This Row],[C_DEMAND]]-Table24[[#This Row],[R-DEMAND]]</f>
        <v>1900</v>
      </c>
      <c r="T892" s="307">
        <f>Table24[[#This Row],[SEATS SOLD]]*Table24[[#This Row],[ECO SEAT]]</f>
        <v>1238800</v>
      </c>
      <c r="U892" s="307">
        <f>Table24[[#This Row],[SEATS SOLD]]*(IFERROR(VLOOKUP(Table24[[#This Row],[ROUTE]],PRICING!A:C,3,FALSE),0))</f>
        <v>1531400</v>
      </c>
      <c r="V892" s="307">
        <f>Table24[[#This Row],[SEAT REV]]-Table24[[#This Row],[SEAT REV
(IF IDEAL $)]]</f>
        <v>-292600</v>
      </c>
      <c r="X892"/>
    </row>
    <row r="893" spans="1:24" x14ac:dyDescent="0.25">
      <c r="A893" s="306" t="s">
        <v>17572</v>
      </c>
      <c r="B893" s="306" t="s">
        <v>397</v>
      </c>
      <c r="C893" s="306" t="s">
        <v>2</v>
      </c>
      <c r="D893" s="26">
        <v>3</v>
      </c>
      <c r="E893" s="312" t="s">
        <v>1674</v>
      </c>
      <c r="F893" s="306" t="str">
        <f>VLOOKUP(Table24[[#This Row],[Country]],Table10[[COUNTRY NAME]:[CONTINENT CODE]],3,FALSE)</f>
        <v>EU</v>
      </c>
      <c r="G893" s="312" t="s">
        <v>11746</v>
      </c>
      <c r="H893" s="309">
        <v>7744</v>
      </c>
      <c r="I893" s="310">
        <v>19.25</v>
      </c>
      <c r="J893" s="307">
        <v>204208775</v>
      </c>
      <c r="K893" s="307">
        <f>IFERROR(Table24[[#This Row],[ROUTE COST]]/Table24[[#This Row],[O - DEMAND]],0)</f>
        <v>85122.457273864115</v>
      </c>
      <c r="L893" s="306">
        <v>2399</v>
      </c>
      <c r="M893" s="310">
        <f>Table24[[#This Row],[O - DEMAND]]/950</f>
        <v>2.5252631578947367</v>
      </c>
      <c r="N893" s="306">
        <f>IFERROR(VLOOKUP(Table24[[#This Row],[ROUTE]],DEMAND!A:F,5,FALSE),0)</f>
        <v>2511</v>
      </c>
      <c r="O893" s="306">
        <f>IFERROR(VLOOKUP(Table24[[#This Row],[ROUTE]],DEMAND!A:F,6,FALSE),0)</f>
        <v>611</v>
      </c>
      <c r="P893" s="306">
        <f>ROUNDDOWN(Table24[[#This Row],[R-DEMAND]]/950,0)</f>
        <v>0</v>
      </c>
      <c r="Q893" s="306">
        <f>Table24[[#This Row],[ADD ACC
(475/950)]]*Table24[[#This Row],[Duration
(A359)]]</f>
        <v>0</v>
      </c>
      <c r="R893" s="307">
        <f>IFERROR(VLOOKUP(Table24[[#This Row],[ROUTE]],PRICING!A:B,2,FALSE),0)</f>
        <v>2167</v>
      </c>
      <c r="S893" s="308">
        <f>Table24[[#This Row],[C_DEMAND]]-Table24[[#This Row],[R-DEMAND]]</f>
        <v>1900</v>
      </c>
      <c r="T893" s="307">
        <f>Table24[[#This Row],[SEATS SOLD]]*Table24[[#This Row],[ECO SEAT]]</f>
        <v>4117300</v>
      </c>
      <c r="U893" s="307">
        <f>Table24[[#This Row],[SEATS SOLD]]*(IFERROR(VLOOKUP(Table24[[#This Row],[ROUTE]],PRICING!A:C,3,FALSE),0))</f>
        <v>4788000</v>
      </c>
      <c r="V893" s="307">
        <f>Table24[[#This Row],[SEAT REV]]-Table24[[#This Row],[SEAT REV
(IF IDEAL $)]]</f>
        <v>-670700</v>
      </c>
      <c r="X893"/>
    </row>
    <row r="894" spans="1:24" x14ac:dyDescent="0.25">
      <c r="A894" s="306" t="s">
        <v>17227</v>
      </c>
      <c r="B894" s="306" t="s">
        <v>5625</v>
      </c>
      <c r="C894" s="306" t="s">
        <v>2</v>
      </c>
      <c r="D894" s="26">
        <v>4</v>
      </c>
      <c r="E894" s="312" t="s">
        <v>258</v>
      </c>
      <c r="F894" s="306" t="str">
        <f>VLOOKUP(Table24[[#This Row],[Country]],Table10[[COUNTRY NAME]:[CONTINENT CODE]],3,FALSE)</f>
        <v>AS</v>
      </c>
      <c r="G894" s="312" t="s">
        <v>11085</v>
      </c>
      <c r="H894" s="309">
        <v>13464</v>
      </c>
      <c r="I894" s="310">
        <v>31.75</v>
      </c>
      <c r="J894" s="307">
        <v>273280580</v>
      </c>
      <c r="K894" s="307">
        <f>IFERROR(Table24[[#This Row],[ROUTE COST]]/Table24[[#This Row],[O - DEMAND]],0)</f>
        <v>65866.61364184141</v>
      </c>
      <c r="L894" s="306">
        <v>4149</v>
      </c>
      <c r="M894" s="310">
        <f>Table24[[#This Row],[O - DEMAND]]/950</f>
        <v>4.3673684210526318</v>
      </c>
      <c r="N894" s="306">
        <f>IFERROR(VLOOKUP(Table24[[#This Row],[ROUTE]],DEMAND!A:F,5,FALSE),0)</f>
        <v>4412</v>
      </c>
      <c r="O894" s="306">
        <f>IFERROR(VLOOKUP(Table24[[#This Row],[ROUTE]],DEMAND!A:F,6,FALSE),0)</f>
        <v>612</v>
      </c>
      <c r="P894" s="306">
        <f>ROUNDDOWN(Table24[[#This Row],[R-DEMAND]]/950,0)</f>
        <v>0</v>
      </c>
      <c r="Q894" s="306">
        <f>Table24[[#This Row],[ADD ACC
(475/950)]]*Table24[[#This Row],[Duration
(A359)]]</f>
        <v>0</v>
      </c>
      <c r="R894" s="307">
        <f>IFERROR(VLOOKUP(Table24[[#This Row],[ROUTE]],PRICING!A:B,2,FALSE),0)</f>
        <v>3477</v>
      </c>
      <c r="S894" s="308">
        <f>Table24[[#This Row],[C_DEMAND]]-Table24[[#This Row],[R-DEMAND]]</f>
        <v>3800</v>
      </c>
      <c r="T894" s="307">
        <f>Table24[[#This Row],[SEATS SOLD]]*Table24[[#This Row],[ECO SEAT]]</f>
        <v>13212600</v>
      </c>
      <c r="U894" s="307">
        <f>Table24[[#This Row],[SEATS SOLD]]*(IFERROR(VLOOKUP(Table24[[#This Row],[ROUTE]],PRICING!A:C,3,FALSE),0))</f>
        <v>16313400</v>
      </c>
      <c r="V894" s="307">
        <f>Table24[[#This Row],[SEAT REV]]-Table24[[#This Row],[SEAT REV
(IF IDEAL $)]]</f>
        <v>-3100800</v>
      </c>
      <c r="X894"/>
    </row>
    <row r="895" spans="1:24" x14ac:dyDescent="0.25">
      <c r="A895" s="306" t="s">
        <v>17224</v>
      </c>
      <c r="B895" s="306" t="s">
        <v>63</v>
      </c>
      <c r="C895" s="306" t="s">
        <v>2</v>
      </c>
      <c r="D895" s="26">
        <v>4</v>
      </c>
      <c r="E895" s="312" t="s">
        <v>14</v>
      </c>
      <c r="F895" s="306" t="str">
        <f>VLOOKUP(Table24[[#This Row],[Country]],Table10[[COUNTRY NAME]:[CONTINENT CODE]],3,FALSE)</f>
        <v>AS</v>
      </c>
      <c r="G895" s="312" t="s">
        <v>62</v>
      </c>
      <c r="H895" s="309">
        <v>13776</v>
      </c>
      <c r="I895" s="310">
        <v>32.25</v>
      </c>
      <c r="J895" s="307">
        <v>270818827</v>
      </c>
      <c r="K895" s="307">
        <f>IFERROR(Table24[[#This Row],[ROUTE COST]]/Table24[[#This Row],[O - DEMAND]],0)</f>
        <v>64220.732036993126</v>
      </c>
      <c r="L895" s="306">
        <v>4217</v>
      </c>
      <c r="M895" s="310">
        <f>Table24[[#This Row],[O - DEMAND]]/950</f>
        <v>4.4389473684210525</v>
      </c>
      <c r="N895" s="306">
        <f>IFERROR(VLOOKUP(Table24[[#This Row],[ROUTE]],DEMAND!A:F,5,FALSE),0)</f>
        <v>4414</v>
      </c>
      <c r="O895" s="306">
        <f>IFERROR(VLOOKUP(Table24[[#This Row],[ROUTE]],DEMAND!A:F,6,FALSE),0)</f>
        <v>614</v>
      </c>
      <c r="P895" s="306">
        <f>ROUNDDOWN(Table24[[#This Row],[R-DEMAND]]/950,0)</f>
        <v>0</v>
      </c>
      <c r="Q895" s="306">
        <f>Table24[[#This Row],[ADD ACC
(475/950)]]*Table24[[#This Row],[Duration
(A359)]]</f>
        <v>0</v>
      </c>
      <c r="R895" s="307">
        <f>IFERROR(VLOOKUP(Table24[[#This Row],[ROUTE]],PRICING!A:B,2,FALSE),0)</f>
        <v>3775</v>
      </c>
      <c r="S895" s="308">
        <f>Table24[[#This Row],[C_DEMAND]]-Table24[[#This Row],[R-DEMAND]]</f>
        <v>3800</v>
      </c>
      <c r="T895" s="307">
        <f>Table24[[#This Row],[SEATS SOLD]]*Table24[[#This Row],[ECO SEAT]]</f>
        <v>14345000</v>
      </c>
      <c r="U895" s="307">
        <f>Table24[[#This Row],[SEATS SOLD]]*(IFERROR(VLOOKUP(Table24[[#This Row],[ROUTE]],PRICING!A:C,3,FALSE),0))</f>
        <v>16682000</v>
      </c>
      <c r="V895" s="307">
        <f>Table24[[#This Row],[SEAT REV]]-Table24[[#This Row],[SEAT REV
(IF IDEAL $)]]</f>
        <v>-2337000</v>
      </c>
      <c r="X895"/>
    </row>
    <row r="896" spans="1:24" x14ac:dyDescent="0.25">
      <c r="A896" s="306" t="s">
        <v>17469</v>
      </c>
      <c r="B896" s="306" t="s">
        <v>430</v>
      </c>
      <c r="C896" s="306" t="s">
        <v>2</v>
      </c>
      <c r="D896" s="26">
        <v>5</v>
      </c>
      <c r="E896" s="312" t="s">
        <v>119</v>
      </c>
      <c r="F896" s="306" t="str">
        <f>VLOOKUP(Table24[[#This Row],[Country]],Table10[[COUNTRY NAME]:[CONTINENT CODE]],3,FALSE)</f>
        <v>EU</v>
      </c>
      <c r="G896" s="312" t="s">
        <v>11107</v>
      </c>
      <c r="H896" s="309">
        <v>7372</v>
      </c>
      <c r="I896" s="310">
        <v>18.25</v>
      </c>
      <c r="J896" s="307">
        <v>224696120</v>
      </c>
      <c r="K896" s="307">
        <f>IFERROR(Table24[[#This Row],[ROUTE COST]]/Table24[[#This Row],[O - DEMAND]],0)</f>
        <v>68967.501534683848</v>
      </c>
      <c r="L896" s="306">
        <v>3258</v>
      </c>
      <c r="M896" s="310">
        <f>Table24[[#This Row],[O - DEMAND]]/950</f>
        <v>3.4294736842105262</v>
      </c>
      <c r="N896" s="306">
        <f>IFERROR(VLOOKUP(Table24[[#This Row],[ROUTE]],DEMAND!A:F,5,FALSE),0)</f>
        <v>3465</v>
      </c>
      <c r="O896" s="306">
        <f>IFERROR(VLOOKUP(Table24[[#This Row],[ROUTE]],DEMAND!A:F,6,FALSE),0)</f>
        <v>615</v>
      </c>
      <c r="P896" s="306">
        <f>ROUNDDOWN(Table24[[#This Row],[R-DEMAND]]/950,0)</f>
        <v>0</v>
      </c>
      <c r="Q896" s="306">
        <f>Table24[[#This Row],[ADD ACC
(475/950)]]*Table24[[#This Row],[Duration
(A359)]]</f>
        <v>0</v>
      </c>
      <c r="R896" s="307">
        <f>IFERROR(VLOOKUP(Table24[[#This Row],[ROUTE]],PRICING!A:B,2,FALSE),0)</f>
        <v>1948</v>
      </c>
      <c r="S896" s="308">
        <f>Table24[[#This Row],[C_DEMAND]]-Table24[[#This Row],[R-DEMAND]]</f>
        <v>2850</v>
      </c>
      <c r="T896" s="307">
        <f>Table24[[#This Row],[SEATS SOLD]]*Table24[[#This Row],[ECO SEAT]]</f>
        <v>5551800</v>
      </c>
      <c r="U896" s="307">
        <f>Table24[[#This Row],[SEATS SOLD]]*(IFERROR(VLOOKUP(Table24[[#This Row],[ROUTE]],PRICING!A:C,3,FALSE),0))</f>
        <v>6854250</v>
      </c>
      <c r="V896" s="307">
        <f>Table24[[#This Row],[SEAT REV]]-Table24[[#This Row],[SEAT REV
(IF IDEAL $)]]</f>
        <v>-1302450</v>
      </c>
      <c r="X896"/>
    </row>
    <row r="897" spans="1:24" x14ac:dyDescent="0.25">
      <c r="A897" s="306" t="s">
        <v>17494</v>
      </c>
      <c r="B897" s="306" t="s">
        <v>5591</v>
      </c>
      <c r="C897" s="306" t="s">
        <v>2</v>
      </c>
      <c r="D897" s="26">
        <v>4</v>
      </c>
      <c r="E897" s="312" t="s">
        <v>560</v>
      </c>
      <c r="F897" s="306" t="str">
        <f>VLOOKUP(Table24[[#This Row],[Country]],Table10[[COUNTRY NAME]:[CONTINENT CODE]],3,FALSE)</f>
        <v>EU</v>
      </c>
      <c r="G897" s="312" t="s">
        <v>11055</v>
      </c>
      <c r="H897" s="309">
        <v>7766</v>
      </c>
      <c r="I897" s="310">
        <v>19.25</v>
      </c>
      <c r="J897" s="307">
        <v>213737339</v>
      </c>
      <c r="K897" s="307">
        <f>IFERROR(Table24[[#This Row],[ROUTE COST]]/Table24[[#This Row],[O - DEMAND]],0)</f>
        <v>88687.692531120338</v>
      </c>
      <c r="L897" s="306">
        <v>2410</v>
      </c>
      <c r="M897" s="310">
        <f>Table24[[#This Row],[O - DEMAND]]/950</f>
        <v>2.5368421052631578</v>
      </c>
      <c r="N897" s="306">
        <f>IFERROR(VLOOKUP(Table24[[#This Row],[ROUTE]],DEMAND!A:F,5,FALSE),0)</f>
        <v>2523</v>
      </c>
      <c r="O897" s="306">
        <f>IFERROR(VLOOKUP(Table24[[#This Row],[ROUTE]],DEMAND!A:F,6,FALSE),0)</f>
        <v>623</v>
      </c>
      <c r="P897" s="306">
        <f>ROUNDDOWN(Table24[[#This Row],[R-DEMAND]]/950,0)</f>
        <v>0</v>
      </c>
      <c r="Q897" s="306">
        <f>Table24[[#This Row],[ADD ACC
(475/950)]]*Table24[[#This Row],[Duration
(A359)]]</f>
        <v>0</v>
      </c>
      <c r="R897" s="307">
        <f>IFERROR(VLOOKUP(Table24[[#This Row],[ROUTE]],PRICING!A:B,2,FALSE),0)</f>
        <v>2173</v>
      </c>
      <c r="S897" s="308">
        <f>Table24[[#This Row],[C_DEMAND]]-Table24[[#This Row],[R-DEMAND]]</f>
        <v>1900</v>
      </c>
      <c r="T897" s="307">
        <f>Table24[[#This Row],[SEATS SOLD]]*Table24[[#This Row],[ECO SEAT]]</f>
        <v>4128700</v>
      </c>
      <c r="U897" s="307">
        <f>Table24[[#This Row],[SEATS SOLD]]*(IFERROR(VLOOKUP(Table24[[#This Row],[ROUTE]],PRICING!A:C,3,FALSE),0))</f>
        <v>4801300</v>
      </c>
      <c r="V897" s="307">
        <f>Table24[[#This Row],[SEAT REV]]-Table24[[#This Row],[SEAT REV
(IF IDEAL $)]]</f>
        <v>-672600</v>
      </c>
      <c r="X897"/>
    </row>
    <row r="898" spans="1:24" x14ac:dyDescent="0.25">
      <c r="A898" s="306" t="s">
        <v>17849</v>
      </c>
      <c r="B898" s="306" t="s">
        <v>5563</v>
      </c>
      <c r="C898" s="306" t="s">
        <v>2</v>
      </c>
      <c r="D898" s="26">
        <v>4</v>
      </c>
      <c r="E898" s="312" t="s">
        <v>11732</v>
      </c>
      <c r="F898" s="306" t="str">
        <f>VLOOKUP(Table24[[#This Row],[Country]],Table10[[COUNTRY NAME]:[CONTINENT CODE]],3,FALSE)</f>
        <v>NA - US</v>
      </c>
      <c r="G898" s="312" t="s">
        <v>13259</v>
      </c>
      <c r="H898" s="309">
        <v>5265</v>
      </c>
      <c r="I898" s="310">
        <v>13.75</v>
      </c>
      <c r="J898" s="307">
        <v>187129681</v>
      </c>
      <c r="K898" s="307">
        <f>IFERROR(Table24[[#This Row],[ROUTE COST]]/Table24[[#This Row],[O - DEMAND]],0)</f>
        <v>78791.444631578954</v>
      </c>
      <c r="L898" s="306">
        <v>2375</v>
      </c>
      <c r="M898" s="310">
        <f>Table24[[#This Row],[O - DEMAND]]/950</f>
        <v>2.5</v>
      </c>
      <c r="N898" s="306">
        <f>IFERROR(VLOOKUP(Table24[[#This Row],[ROUTE]],DEMAND!A:F,5,FALSE),0)</f>
        <v>2525</v>
      </c>
      <c r="O898" s="306">
        <f>IFERROR(VLOOKUP(Table24[[#This Row],[ROUTE]],DEMAND!A:F,6,FALSE),0)</f>
        <v>625</v>
      </c>
      <c r="P898" s="306">
        <f>ROUNDDOWN(Table24[[#This Row],[R-DEMAND]]/950,0)</f>
        <v>0</v>
      </c>
      <c r="Q898" s="306">
        <f>Table24[[#This Row],[ADD ACC
(475/950)]]*Table24[[#This Row],[Duration
(A359)]]</f>
        <v>0</v>
      </c>
      <c r="R898" s="307">
        <f>IFERROR(VLOOKUP(Table24[[#This Row],[ROUTE]],PRICING!A:B,2,FALSE),0)</f>
        <v>1419</v>
      </c>
      <c r="S898" s="308">
        <f>Table24[[#This Row],[C_DEMAND]]-Table24[[#This Row],[R-DEMAND]]</f>
        <v>1900</v>
      </c>
      <c r="T898" s="307">
        <f>Table24[[#This Row],[SEATS SOLD]]*Table24[[#This Row],[ECO SEAT]]</f>
        <v>2696100</v>
      </c>
      <c r="U898" s="307">
        <f>Table24[[#This Row],[SEATS SOLD]]*(IFERROR(VLOOKUP(Table24[[#This Row],[ROUTE]],PRICING!A:C,3,FALSE),0))</f>
        <v>3328800</v>
      </c>
      <c r="V898" s="307">
        <f>Table24[[#This Row],[SEAT REV]]-Table24[[#This Row],[SEAT REV
(IF IDEAL $)]]</f>
        <v>-632700</v>
      </c>
      <c r="X898"/>
    </row>
    <row r="899" spans="1:24" x14ac:dyDescent="0.25">
      <c r="A899" s="306" t="s">
        <v>17479</v>
      </c>
      <c r="B899" s="306" t="s">
        <v>79</v>
      </c>
      <c r="C899" s="306" t="s">
        <v>2</v>
      </c>
      <c r="D899" s="26">
        <v>4</v>
      </c>
      <c r="E899" s="312" t="s">
        <v>78</v>
      </c>
      <c r="F899" s="306" t="str">
        <f>VLOOKUP(Table24[[#This Row],[Country]],Table10[[COUNTRY NAME]:[CONTINENT CODE]],3,FALSE)</f>
        <v>EU</v>
      </c>
      <c r="G899" s="312" t="s">
        <v>77</v>
      </c>
      <c r="H899" s="309">
        <v>9466</v>
      </c>
      <c r="I899" s="310">
        <v>23</v>
      </c>
      <c r="J899" s="307">
        <v>233972813</v>
      </c>
      <c r="K899" s="307">
        <f>IFERROR(Table24[[#This Row],[ROUTE COST]]/Table24[[#This Row],[O - DEMAND]],0)</f>
        <v>55496.397770398486</v>
      </c>
      <c r="L899" s="306">
        <v>4216</v>
      </c>
      <c r="M899" s="310">
        <f>Table24[[#This Row],[O - DEMAND]]/950</f>
        <v>4.4378947368421056</v>
      </c>
      <c r="N899" s="306">
        <f>IFERROR(VLOOKUP(Table24[[#This Row],[ROUTE]],DEMAND!A:F,5,FALSE),0)</f>
        <v>4427</v>
      </c>
      <c r="O899" s="306">
        <f>IFERROR(VLOOKUP(Table24[[#This Row],[ROUTE]],DEMAND!A:F,6,FALSE),0)</f>
        <v>627</v>
      </c>
      <c r="P899" s="306">
        <f>ROUNDDOWN(Table24[[#This Row],[R-DEMAND]]/950,0)</f>
        <v>0</v>
      </c>
      <c r="Q899" s="306">
        <f>Table24[[#This Row],[ADD ACC
(475/950)]]*Table24[[#This Row],[Duration
(A359)]]</f>
        <v>0</v>
      </c>
      <c r="R899" s="307">
        <f>IFERROR(VLOOKUP(Table24[[#This Row],[ROUTE]],PRICING!A:B,2,FALSE),0)</f>
        <v>2595</v>
      </c>
      <c r="S899" s="308">
        <f>Table24[[#This Row],[C_DEMAND]]-Table24[[#This Row],[R-DEMAND]]</f>
        <v>3800</v>
      </c>
      <c r="T899" s="307">
        <f>Table24[[#This Row],[SEATS SOLD]]*Table24[[#This Row],[ECO SEAT]]</f>
        <v>9861000</v>
      </c>
      <c r="U899" s="307">
        <f>Table24[[#This Row],[SEATS SOLD]]*(IFERROR(VLOOKUP(Table24[[#This Row],[ROUTE]],PRICING!A:C,3,FALSE),0))</f>
        <v>11605200</v>
      </c>
      <c r="V899" s="307">
        <f>Table24[[#This Row],[SEAT REV]]-Table24[[#This Row],[SEAT REV
(IF IDEAL $)]]</f>
        <v>-1744200</v>
      </c>
      <c r="X899"/>
    </row>
    <row r="900" spans="1:24" x14ac:dyDescent="0.25">
      <c r="A900" s="306" t="s">
        <v>17472</v>
      </c>
      <c r="B900" s="306" t="s">
        <v>84</v>
      </c>
      <c r="C900" s="306" t="s">
        <v>2</v>
      </c>
      <c r="D900" s="26">
        <v>5</v>
      </c>
      <c r="E900" s="312" t="s">
        <v>83</v>
      </c>
      <c r="F900" s="306" t="str">
        <f>VLOOKUP(Table24[[#This Row],[Country]],Table10[[COUNTRY NAME]:[CONTINENT CODE]],3,FALSE)</f>
        <v>EU</v>
      </c>
      <c r="G900" s="312" t="s">
        <v>82</v>
      </c>
      <c r="H900" s="309">
        <v>7203</v>
      </c>
      <c r="I900" s="310">
        <v>18</v>
      </c>
      <c r="J900" s="307">
        <v>217728665</v>
      </c>
      <c r="K900" s="307">
        <f>IFERROR(Table24[[#This Row],[ROUTE COST]]/Table24[[#This Row],[O - DEMAND]],0)</f>
        <v>66808.427431727527</v>
      </c>
      <c r="L900" s="306">
        <v>3259</v>
      </c>
      <c r="M900" s="310">
        <f>Table24[[#This Row],[O - DEMAND]]/950</f>
        <v>3.4305263157894736</v>
      </c>
      <c r="N900" s="306">
        <f>IFERROR(VLOOKUP(Table24[[#This Row],[ROUTE]],DEMAND!A:F,5,FALSE),0)</f>
        <v>3477</v>
      </c>
      <c r="O900" s="306">
        <f>IFERROR(VLOOKUP(Table24[[#This Row],[ROUTE]],DEMAND!A:F,6,FALSE),0)</f>
        <v>627</v>
      </c>
      <c r="P900" s="306">
        <f>ROUNDDOWN(Table24[[#This Row],[R-DEMAND]]/950,0)</f>
        <v>0</v>
      </c>
      <c r="Q900" s="306">
        <f>Table24[[#This Row],[ADD ACC
(475/950)]]*Table24[[#This Row],[Duration
(A359)]]</f>
        <v>0</v>
      </c>
      <c r="R900" s="307">
        <f>IFERROR(VLOOKUP(Table24[[#This Row],[ROUTE]],PRICING!A:B,2,FALSE),0)</f>
        <v>1881</v>
      </c>
      <c r="S900" s="308">
        <f>Table24[[#This Row],[C_DEMAND]]-Table24[[#This Row],[R-DEMAND]]</f>
        <v>2850</v>
      </c>
      <c r="T900" s="307">
        <f>Table24[[#This Row],[SEATS SOLD]]*Table24[[#This Row],[ECO SEAT]]</f>
        <v>5360850</v>
      </c>
      <c r="U900" s="307">
        <f>Table24[[#This Row],[SEATS SOLD]]*(IFERROR(VLOOKUP(Table24[[#This Row],[ROUTE]],PRICING!A:C,3,FALSE),0))</f>
        <v>6703200</v>
      </c>
      <c r="V900" s="307">
        <f>Table24[[#This Row],[SEAT REV]]-Table24[[#This Row],[SEAT REV
(IF IDEAL $)]]</f>
        <v>-1342350</v>
      </c>
      <c r="X900"/>
    </row>
    <row r="901" spans="1:24" x14ac:dyDescent="0.25">
      <c r="A901" s="306" t="s">
        <v>17266</v>
      </c>
      <c r="B901" s="306" t="s">
        <v>5408</v>
      </c>
      <c r="C901" s="306" t="s">
        <v>2</v>
      </c>
      <c r="D901" s="26">
        <v>3</v>
      </c>
      <c r="E901" s="312" t="s">
        <v>142</v>
      </c>
      <c r="F901" s="306" t="str">
        <f>VLOOKUP(Table24[[#This Row],[Country]],Table10[[COUNTRY NAME]:[CONTINENT CODE]],3,FALSE)</f>
        <v>AS</v>
      </c>
      <c r="G901" s="312" t="s">
        <v>12030</v>
      </c>
      <c r="H901" s="309">
        <v>13903</v>
      </c>
      <c r="I901" s="310">
        <v>32.75</v>
      </c>
      <c r="J901" s="307">
        <v>266840669</v>
      </c>
      <c r="K901" s="307">
        <f>IFERROR(Table24[[#This Row],[ROUTE COST]]/Table24[[#This Row],[O - DEMAND]],0)</f>
        <v>81552.771699266508</v>
      </c>
      <c r="L901" s="306">
        <v>3272</v>
      </c>
      <c r="M901" s="310">
        <f>Table24[[#This Row],[O - DEMAND]]/950</f>
        <v>3.4442105263157896</v>
      </c>
      <c r="N901" s="306">
        <f>IFERROR(VLOOKUP(Table24[[#This Row],[ROUTE]],DEMAND!A:F,5,FALSE),0)</f>
        <v>3479</v>
      </c>
      <c r="O901" s="306">
        <f>IFERROR(VLOOKUP(Table24[[#This Row],[ROUTE]],DEMAND!A:F,6,FALSE),0)</f>
        <v>629</v>
      </c>
      <c r="P901" s="306">
        <f>ROUNDDOWN(Table24[[#This Row],[R-DEMAND]]/950,0)</f>
        <v>0</v>
      </c>
      <c r="Q901" s="306">
        <f>Table24[[#This Row],[ADD ACC
(475/950)]]*Table24[[#This Row],[Duration
(A359)]]</f>
        <v>0</v>
      </c>
      <c r="R901" s="307">
        <f>IFERROR(VLOOKUP(Table24[[#This Row],[ROUTE]],PRICING!A:B,2,FALSE),0)</f>
        <v>3587</v>
      </c>
      <c r="S901" s="308">
        <f>Table24[[#This Row],[C_DEMAND]]-Table24[[#This Row],[R-DEMAND]]</f>
        <v>2850</v>
      </c>
      <c r="T901" s="307">
        <f>Table24[[#This Row],[SEATS SOLD]]*Table24[[#This Row],[ECO SEAT]]</f>
        <v>10222950</v>
      </c>
      <c r="U901" s="307">
        <f>Table24[[#This Row],[SEATS SOLD]]*(IFERROR(VLOOKUP(Table24[[#This Row],[ROUTE]],PRICING!A:C,3,FALSE),0))</f>
        <v>12622650</v>
      </c>
      <c r="V901" s="307">
        <f>Table24[[#This Row],[SEAT REV]]-Table24[[#This Row],[SEAT REV
(IF IDEAL $)]]</f>
        <v>-2399700</v>
      </c>
      <c r="X901"/>
    </row>
    <row r="902" spans="1:24" x14ac:dyDescent="0.25">
      <c r="A902" s="306" t="s">
        <v>17157</v>
      </c>
      <c r="B902" s="306" t="s">
        <v>5089</v>
      </c>
      <c r="C902" s="306" t="s">
        <v>2</v>
      </c>
      <c r="D902" s="26">
        <v>3</v>
      </c>
      <c r="E902" s="312" t="s">
        <v>2547</v>
      </c>
      <c r="F902" s="306" t="str">
        <f>VLOOKUP(Table24[[#This Row],[Country]],Table10[[COUNTRY NAME]:[CONTINENT CODE]],3,FALSE)</f>
        <v>AF</v>
      </c>
      <c r="G902" s="312" t="s">
        <v>8242</v>
      </c>
      <c r="H902" s="309">
        <v>5922</v>
      </c>
      <c r="I902" s="310">
        <v>15.25</v>
      </c>
      <c r="J902" s="307">
        <v>179720825</v>
      </c>
      <c r="K902" s="307">
        <f>IFERROR(Table24[[#This Row],[ROUTE COST]]/Table24[[#This Row],[O - DEMAND]],0)</f>
        <v>41922.282481922091</v>
      </c>
      <c r="L902" s="306">
        <v>4287</v>
      </c>
      <c r="M902" s="310">
        <f>Table24[[#This Row],[O - DEMAND]]/950</f>
        <v>4.5126315789473681</v>
      </c>
      <c r="N902" s="306">
        <f>IFERROR(VLOOKUP(Table24[[#This Row],[ROUTE]],DEMAND!A:F,5,FALSE),0)</f>
        <v>4431</v>
      </c>
      <c r="O902" s="306">
        <f>IFERROR(VLOOKUP(Table24[[#This Row],[ROUTE]],DEMAND!A:F,6,FALSE),0)</f>
        <v>631</v>
      </c>
      <c r="P902" s="306">
        <f>ROUNDDOWN(Table24[[#This Row],[R-DEMAND]]/950,0)</f>
        <v>0</v>
      </c>
      <c r="Q902" s="306">
        <f>Table24[[#This Row],[ADD ACC
(475/950)]]*Table24[[#This Row],[Duration
(A359)]]</f>
        <v>0</v>
      </c>
      <c r="R902" s="307">
        <f>IFERROR(VLOOKUP(Table24[[#This Row],[ROUTE]],PRICING!A:B,2,FALSE),0)</f>
        <v>1759</v>
      </c>
      <c r="S902" s="308">
        <f>Table24[[#This Row],[C_DEMAND]]-Table24[[#This Row],[R-DEMAND]]</f>
        <v>3800</v>
      </c>
      <c r="T902" s="307">
        <f>Table24[[#This Row],[SEATS SOLD]]*Table24[[#This Row],[ECO SEAT]]</f>
        <v>6684200</v>
      </c>
      <c r="U902" s="307">
        <f>Table24[[#This Row],[SEATS SOLD]]*(IFERROR(VLOOKUP(Table24[[#This Row],[ROUTE]],PRICING!A:C,3,FALSE),0))</f>
        <v>7429000</v>
      </c>
      <c r="V902" s="307">
        <f>Table24[[#This Row],[SEAT REV]]-Table24[[#This Row],[SEAT REV
(IF IDEAL $)]]</f>
        <v>-744800</v>
      </c>
      <c r="X902"/>
    </row>
    <row r="903" spans="1:24" x14ac:dyDescent="0.25">
      <c r="A903" s="306" t="s">
        <v>17268</v>
      </c>
      <c r="B903" s="306" t="s">
        <v>4760</v>
      </c>
      <c r="C903" s="306" t="s">
        <v>2</v>
      </c>
      <c r="D903" s="26">
        <v>3</v>
      </c>
      <c r="E903" s="312" t="s">
        <v>14</v>
      </c>
      <c r="F903" s="306" t="str">
        <f>VLOOKUP(Table24[[#This Row],[Country]],Table10[[COUNTRY NAME]:[CONTINENT CODE]],3,FALSE)</f>
        <v>AS</v>
      </c>
      <c r="G903" s="312" t="s">
        <v>12035</v>
      </c>
      <c r="H903" s="309">
        <v>13862</v>
      </c>
      <c r="I903" s="310">
        <v>32.5</v>
      </c>
      <c r="J903" s="307">
        <v>251784417</v>
      </c>
      <c r="K903" s="307">
        <f>IFERROR(Table24[[#This Row],[ROUTE COST]]/Table24[[#This Row],[O - DEMAND]],0)</f>
        <v>75452.327539706326</v>
      </c>
      <c r="L903" s="306">
        <v>3337</v>
      </c>
      <c r="M903" s="310">
        <f>Table24[[#This Row],[O - DEMAND]]/950</f>
        <v>3.5126315789473685</v>
      </c>
      <c r="N903" s="306">
        <f>IFERROR(VLOOKUP(Table24[[#This Row],[ROUTE]],DEMAND!A:F,5,FALSE),0)</f>
        <v>3482</v>
      </c>
      <c r="O903" s="306">
        <f>IFERROR(VLOOKUP(Table24[[#This Row],[ROUTE]],DEMAND!A:F,6,FALSE),0)</f>
        <v>632</v>
      </c>
      <c r="P903" s="306">
        <f>ROUNDDOWN(Table24[[#This Row],[R-DEMAND]]/950,0)</f>
        <v>0</v>
      </c>
      <c r="Q903" s="306">
        <f>Table24[[#This Row],[ADD ACC
(475/950)]]*Table24[[#This Row],[Duration
(A359)]]</f>
        <v>0</v>
      </c>
      <c r="R903" s="307">
        <f>IFERROR(VLOOKUP(Table24[[#This Row],[ROUTE]],PRICING!A:B,2,FALSE),0)</f>
        <v>3842</v>
      </c>
      <c r="S903" s="308">
        <f>Table24[[#This Row],[C_DEMAND]]-Table24[[#This Row],[R-DEMAND]]</f>
        <v>2850</v>
      </c>
      <c r="T903" s="307">
        <f>Table24[[#This Row],[SEATS SOLD]]*Table24[[#This Row],[ECO SEAT]]</f>
        <v>10949700</v>
      </c>
      <c r="U903" s="307">
        <f>Table24[[#This Row],[SEATS SOLD]]*(IFERROR(VLOOKUP(Table24[[#This Row],[ROUTE]],PRICING!A:C,3,FALSE),0))</f>
        <v>12588450</v>
      </c>
      <c r="V903" s="307">
        <f>Table24[[#This Row],[SEAT REV]]-Table24[[#This Row],[SEAT REV
(IF IDEAL $)]]</f>
        <v>-1638750</v>
      </c>
      <c r="X903"/>
    </row>
    <row r="904" spans="1:24" x14ac:dyDescent="0.25">
      <c r="A904" s="306" t="s">
        <v>17738</v>
      </c>
      <c r="B904" s="306" t="s">
        <v>9</v>
      </c>
      <c r="C904" s="306" t="s">
        <v>2</v>
      </c>
      <c r="D904" s="26">
        <v>4</v>
      </c>
      <c r="E904" s="312" t="s">
        <v>514</v>
      </c>
      <c r="F904" s="306" t="str">
        <f>VLOOKUP(Table24[[#This Row],[Country]],Table10[[COUNTRY NAME]:[CONTINENT CODE]],3,FALSE)</f>
        <v>NA</v>
      </c>
      <c r="G904" s="312" t="s">
        <v>13173</v>
      </c>
      <c r="H904" s="309">
        <v>2993</v>
      </c>
      <c r="I904" s="310">
        <v>8.75</v>
      </c>
      <c r="J904" s="307">
        <v>167722940</v>
      </c>
      <c r="K904" s="307">
        <f>IFERROR(Table24[[#This Row],[ROUTE COST]]/Table24[[#This Row],[O - DEMAND]],0)</f>
        <v>51041.673767498476</v>
      </c>
      <c r="L904" s="306">
        <v>3286</v>
      </c>
      <c r="M904" s="310">
        <f>Table24[[#This Row],[O - DEMAND]]/950</f>
        <v>3.4589473684210525</v>
      </c>
      <c r="N904" s="306">
        <f>IFERROR(VLOOKUP(Table24[[#This Row],[ROUTE]],DEMAND!A:F,5,FALSE),0)</f>
        <v>3483</v>
      </c>
      <c r="O904" s="306">
        <f>IFERROR(VLOOKUP(Table24[[#This Row],[ROUTE]],DEMAND!A:F,6,FALSE),0)</f>
        <v>633</v>
      </c>
      <c r="P904" s="306">
        <f>ROUNDDOWN(Table24[[#This Row],[R-DEMAND]]/950,0)</f>
        <v>0</v>
      </c>
      <c r="Q904" s="306">
        <f>Table24[[#This Row],[ADD ACC
(475/950)]]*Table24[[#This Row],[Duration
(A359)]]</f>
        <v>0</v>
      </c>
      <c r="R904" s="307">
        <f>IFERROR(VLOOKUP(Table24[[#This Row],[ROUTE]],PRICING!A:B,2,FALSE),0)</f>
        <v>858</v>
      </c>
      <c r="S904" s="308">
        <f>Table24[[#This Row],[C_DEMAND]]-Table24[[#This Row],[R-DEMAND]]</f>
        <v>2850</v>
      </c>
      <c r="T904" s="307">
        <f>Table24[[#This Row],[SEATS SOLD]]*Table24[[#This Row],[ECO SEAT]]</f>
        <v>2445300</v>
      </c>
      <c r="U904" s="307">
        <f>Table24[[#This Row],[SEATS SOLD]]*(IFERROR(VLOOKUP(Table24[[#This Row],[ROUTE]],PRICING!A:C,3,FALSE),0))</f>
        <v>2983950</v>
      </c>
      <c r="V904" s="307">
        <f>Table24[[#This Row],[SEAT REV]]-Table24[[#This Row],[SEAT REV
(IF IDEAL $)]]</f>
        <v>-538650</v>
      </c>
      <c r="X904"/>
    </row>
    <row r="905" spans="1:24" x14ac:dyDescent="0.25">
      <c r="A905" s="306" t="s">
        <v>17265</v>
      </c>
      <c r="B905" s="306" t="s">
        <v>240</v>
      </c>
      <c r="C905" s="306" t="s">
        <v>2</v>
      </c>
      <c r="D905" s="26">
        <v>3</v>
      </c>
      <c r="E905" s="312" t="s">
        <v>1070</v>
      </c>
      <c r="F905" s="306" t="str">
        <f>VLOOKUP(Table24[[#This Row],[Country]],Table10[[COUNTRY NAME]:[CONTINENT CODE]],3,FALSE)</f>
        <v>AS</v>
      </c>
      <c r="G905" s="312" t="s">
        <v>12028</v>
      </c>
      <c r="H905" s="309">
        <v>13909</v>
      </c>
      <c r="I905" s="310">
        <v>32.75</v>
      </c>
      <c r="J905" s="307">
        <v>254863149</v>
      </c>
      <c r="K905" s="307">
        <f>IFERROR(Table24[[#This Row],[ROUTE COST]]/Table24[[#This Row],[O - DEMAND]],0)</f>
        <v>60870.109625029858</v>
      </c>
      <c r="L905" s="306">
        <v>4187</v>
      </c>
      <c r="M905" s="310">
        <f>Table24[[#This Row],[O - DEMAND]]/950</f>
        <v>4.4073684210526318</v>
      </c>
      <c r="N905" s="306">
        <f>IFERROR(VLOOKUP(Table24[[#This Row],[ROUTE]],DEMAND!A:F,5,FALSE),0)</f>
        <v>4439</v>
      </c>
      <c r="O905" s="306">
        <f>IFERROR(VLOOKUP(Table24[[#This Row],[ROUTE]],DEMAND!A:F,6,FALSE),0)</f>
        <v>639</v>
      </c>
      <c r="P905" s="306">
        <f>ROUNDDOWN(Table24[[#This Row],[R-DEMAND]]/950,0)</f>
        <v>0</v>
      </c>
      <c r="Q905" s="306">
        <f>Table24[[#This Row],[ADD ACC
(475/950)]]*Table24[[#This Row],[Duration
(A359)]]</f>
        <v>0</v>
      </c>
      <c r="R905" s="307">
        <f>IFERROR(VLOOKUP(Table24[[#This Row],[ROUTE]],PRICING!A:B,2,FALSE),0)</f>
        <v>3633</v>
      </c>
      <c r="S905" s="308">
        <f>Table24[[#This Row],[C_DEMAND]]-Table24[[#This Row],[R-DEMAND]]</f>
        <v>3800</v>
      </c>
      <c r="T905" s="307">
        <f>Table24[[#This Row],[SEATS SOLD]]*Table24[[#This Row],[ECO SEAT]]</f>
        <v>13805400</v>
      </c>
      <c r="U905" s="307">
        <f>Table24[[#This Row],[SEATS SOLD]]*(IFERROR(VLOOKUP(Table24[[#This Row],[ROUTE]],PRICING!A:C,3,FALSE),0))</f>
        <v>16837800</v>
      </c>
      <c r="V905" s="307">
        <f>Table24[[#This Row],[SEAT REV]]-Table24[[#This Row],[SEAT REV
(IF IDEAL $)]]</f>
        <v>-3032400</v>
      </c>
      <c r="X905"/>
    </row>
    <row r="906" spans="1:24" x14ac:dyDescent="0.25">
      <c r="A906" s="306" t="s">
        <v>17077</v>
      </c>
      <c r="B906" s="306" t="s">
        <v>4570</v>
      </c>
      <c r="C906" s="306" t="s">
        <v>2</v>
      </c>
      <c r="D906" s="26">
        <v>2</v>
      </c>
      <c r="E906" s="312" t="s">
        <v>886</v>
      </c>
      <c r="F906" s="306" t="str">
        <f>VLOOKUP(Table24[[#This Row],[Country]],Table10[[COUNTRY NAME]:[CONTINENT CODE]],3,FALSE)</f>
        <v>AF</v>
      </c>
      <c r="G906" s="312" t="s">
        <v>13176</v>
      </c>
      <c r="H906" s="309">
        <v>5217</v>
      </c>
      <c r="I906" s="310">
        <v>13.5</v>
      </c>
      <c r="J906" s="307">
        <v>164559948</v>
      </c>
      <c r="K906" s="307">
        <f>IFERROR(Table24[[#This Row],[ROUTE COST]]/Table24[[#This Row],[O - DEMAND]],0)</f>
        <v>49063.788908765651</v>
      </c>
      <c r="L906" s="306">
        <v>3354</v>
      </c>
      <c r="M906" s="310">
        <f>Table24[[#This Row],[O - DEMAND]]/950</f>
        <v>3.5305263157894737</v>
      </c>
      <c r="N906" s="306">
        <f>IFERROR(VLOOKUP(Table24[[#This Row],[ROUTE]],DEMAND!A:F,5,FALSE),0)</f>
        <v>3489</v>
      </c>
      <c r="O906" s="306">
        <f>IFERROR(VLOOKUP(Table24[[#This Row],[ROUTE]],DEMAND!A:F,6,FALSE),0)</f>
        <v>639</v>
      </c>
      <c r="P906" s="306">
        <f>ROUNDDOWN(Table24[[#This Row],[R-DEMAND]]/950,0)</f>
        <v>0</v>
      </c>
      <c r="Q906" s="306">
        <f>Table24[[#This Row],[ADD ACC
(475/950)]]*Table24[[#This Row],[Duration
(A359)]]</f>
        <v>0</v>
      </c>
      <c r="R906" s="307">
        <f>IFERROR(VLOOKUP(Table24[[#This Row],[ROUTE]],PRICING!A:B,2,FALSE),0)</f>
        <v>1528</v>
      </c>
      <c r="S906" s="308">
        <f>Table24[[#This Row],[C_DEMAND]]-Table24[[#This Row],[R-DEMAND]]</f>
        <v>2850</v>
      </c>
      <c r="T906" s="307">
        <f>Table24[[#This Row],[SEATS SOLD]]*Table24[[#This Row],[ECO SEAT]]</f>
        <v>4354800</v>
      </c>
      <c r="U906" s="307">
        <f>Table24[[#This Row],[SEATS SOLD]]*(IFERROR(VLOOKUP(Table24[[#This Row],[ROUTE]],PRICING!A:C,3,FALSE),0))</f>
        <v>4950450</v>
      </c>
      <c r="V906" s="307">
        <f>Table24[[#This Row],[SEAT REV]]-Table24[[#This Row],[SEAT REV
(IF IDEAL $)]]</f>
        <v>-595650</v>
      </c>
      <c r="X906"/>
    </row>
    <row r="907" spans="1:24" x14ac:dyDescent="0.25">
      <c r="A907" s="306" t="s">
        <v>17569</v>
      </c>
      <c r="B907" s="306" t="s">
        <v>5091</v>
      </c>
      <c r="C907" s="306" t="s">
        <v>2</v>
      </c>
      <c r="D907" s="26">
        <v>3</v>
      </c>
      <c r="E907" s="312" t="s">
        <v>876</v>
      </c>
      <c r="F907" s="306" t="str">
        <f>VLOOKUP(Table24[[#This Row],[Country]],Table10[[COUNTRY NAME]:[CONTINENT CODE]],3,FALSE)</f>
        <v>EU</v>
      </c>
      <c r="G907" s="312" t="s">
        <v>10595</v>
      </c>
      <c r="H907" s="309">
        <v>7781</v>
      </c>
      <c r="I907" s="310">
        <v>19.25</v>
      </c>
      <c r="J907" s="307">
        <v>197440788</v>
      </c>
      <c r="K907" s="307">
        <f>IFERROR(Table24[[#This Row],[ROUTE COST]]/Table24[[#This Row],[O - DEMAND]],0)</f>
        <v>82542.135451505019</v>
      </c>
      <c r="L907" s="306">
        <v>2392</v>
      </c>
      <c r="M907" s="310">
        <f>Table24[[#This Row],[O - DEMAND]]/950</f>
        <v>2.5178947368421052</v>
      </c>
      <c r="N907" s="306">
        <f>IFERROR(VLOOKUP(Table24[[#This Row],[ROUTE]],DEMAND!A:F,5,FALSE),0)</f>
        <v>2544</v>
      </c>
      <c r="O907" s="306">
        <f>IFERROR(VLOOKUP(Table24[[#This Row],[ROUTE]],DEMAND!A:F,6,FALSE),0)</f>
        <v>644</v>
      </c>
      <c r="P907" s="306">
        <f>ROUNDDOWN(Table24[[#This Row],[R-DEMAND]]/950,0)</f>
        <v>0</v>
      </c>
      <c r="Q907" s="306">
        <f>Table24[[#This Row],[ADD ACC
(475/950)]]*Table24[[#This Row],[Duration
(A359)]]</f>
        <v>0</v>
      </c>
      <c r="R907" s="307">
        <f>IFERROR(VLOOKUP(Table24[[#This Row],[ROUTE]],PRICING!A:B,2,FALSE),0)</f>
        <v>2050</v>
      </c>
      <c r="S907" s="308">
        <f>Table24[[#This Row],[C_DEMAND]]-Table24[[#This Row],[R-DEMAND]]</f>
        <v>1900</v>
      </c>
      <c r="T907" s="307">
        <f>Table24[[#This Row],[SEATS SOLD]]*Table24[[#This Row],[ECO SEAT]]</f>
        <v>3895000</v>
      </c>
      <c r="U907" s="307">
        <f>Table24[[#This Row],[SEATS SOLD]]*(IFERROR(VLOOKUP(Table24[[#This Row],[ROUTE]],PRICING!A:C,3,FALSE),0))</f>
        <v>4810800</v>
      </c>
      <c r="V907" s="307">
        <f>Table24[[#This Row],[SEAT REV]]-Table24[[#This Row],[SEAT REV
(IF IDEAL $)]]</f>
        <v>-915800</v>
      </c>
      <c r="X907"/>
    </row>
    <row r="908" spans="1:24" x14ac:dyDescent="0.25">
      <c r="A908" s="306" t="s">
        <v>17555</v>
      </c>
      <c r="B908" s="306" t="s">
        <v>4851</v>
      </c>
      <c r="C908" s="306" t="s">
        <v>2</v>
      </c>
      <c r="D908" s="26">
        <v>3</v>
      </c>
      <c r="E908" s="312" t="s">
        <v>585</v>
      </c>
      <c r="F908" s="306" t="str">
        <f>VLOOKUP(Table24[[#This Row],[Country]],Table10[[COUNTRY NAME]:[CONTINENT CODE]],3,FALSE)</f>
        <v>EU</v>
      </c>
      <c r="G908" s="312" t="s">
        <v>11786</v>
      </c>
      <c r="H908" s="309">
        <v>8046</v>
      </c>
      <c r="I908" s="310">
        <v>19.75</v>
      </c>
      <c r="J908" s="307">
        <v>196064488</v>
      </c>
      <c r="K908" s="307">
        <f>IFERROR(Table24[[#This Row],[ROUTE COST]]/Table24[[#This Row],[O - DEMAND]],0)</f>
        <v>81591.54723262589</v>
      </c>
      <c r="L908" s="306">
        <v>2403</v>
      </c>
      <c r="M908" s="310">
        <f>Table24[[#This Row],[O - DEMAND]]/950</f>
        <v>2.5294736842105263</v>
      </c>
      <c r="N908" s="306">
        <f>IFERROR(VLOOKUP(Table24[[#This Row],[ROUTE]],DEMAND!A:F,5,FALSE),0)</f>
        <v>2547</v>
      </c>
      <c r="O908" s="306">
        <f>IFERROR(VLOOKUP(Table24[[#This Row],[ROUTE]],DEMAND!A:F,6,FALSE),0)</f>
        <v>647</v>
      </c>
      <c r="P908" s="306">
        <f>ROUNDDOWN(Table24[[#This Row],[R-DEMAND]]/950,0)</f>
        <v>0</v>
      </c>
      <c r="Q908" s="306">
        <f>Table24[[#This Row],[ADD ACC
(475/950)]]*Table24[[#This Row],[Duration
(A359)]]</f>
        <v>0</v>
      </c>
      <c r="R908" s="307">
        <f>IFERROR(VLOOKUP(Table24[[#This Row],[ROUTE]],PRICING!A:B,2,FALSE),0)</f>
        <v>2143</v>
      </c>
      <c r="S908" s="308">
        <f>Table24[[#This Row],[C_DEMAND]]-Table24[[#This Row],[R-DEMAND]]</f>
        <v>1900</v>
      </c>
      <c r="T908" s="307">
        <f>Table24[[#This Row],[SEATS SOLD]]*Table24[[#This Row],[ECO SEAT]]</f>
        <v>4071700</v>
      </c>
      <c r="U908" s="307">
        <f>Table24[[#This Row],[SEATS SOLD]]*(IFERROR(VLOOKUP(Table24[[#This Row],[ROUTE]],PRICING!A:C,3,FALSE),0))</f>
        <v>4966600</v>
      </c>
      <c r="V908" s="307">
        <f>Table24[[#This Row],[SEAT REV]]-Table24[[#This Row],[SEAT REV
(IF IDEAL $)]]</f>
        <v>-894900</v>
      </c>
      <c r="X908"/>
    </row>
    <row r="909" spans="1:24" x14ac:dyDescent="0.25">
      <c r="A909" s="306" t="s">
        <v>17191</v>
      </c>
      <c r="B909" s="306" t="s">
        <v>5068</v>
      </c>
      <c r="C909" s="306" t="s">
        <v>2</v>
      </c>
      <c r="D909" s="26">
        <v>3</v>
      </c>
      <c r="E909" s="312" t="s">
        <v>971</v>
      </c>
      <c r="F909" s="306" t="str">
        <f>VLOOKUP(Table24[[#This Row],[Country]],Table10[[COUNTRY NAME]:[CONTINENT CODE]],3,FALSE)</f>
        <v>AF</v>
      </c>
      <c r="G909" s="312" t="s">
        <v>11777</v>
      </c>
      <c r="H909" s="309">
        <v>8251</v>
      </c>
      <c r="I909" s="310">
        <v>20.25</v>
      </c>
      <c r="J909" s="307">
        <v>200814372</v>
      </c>
      <c r="K909" s="307">
        <f>IFERROR(Table24[[#This Row],[ROUTE COST]]/Table24[[#This Row],[O - DEMAND]],0)</f>
        <v>60468.043360433607</v>
      </c>
      <c r="L909" s="306">
        <v>3321</v>
      </c>
      <c r="M909" s="310">
        <f>Table24[[#This Row],[O - DEMAND]]/950</f>
        <v>3.4957894736842103</v>
      </c>
      <c r="N909" s="306">
        <f>IFERROR(VLOOKUP(Table24[[#This Row],[ROUTE]],DEMAND!A:F,5,FALSE),0)</f>
        <v>3499</v>
      </c>
      <c r="O909" s="306">
        <f>IFERROR(VLOOKUP(Table24[[#This Row],[ROUTE]],DEMAND!A:F,6,FALSE),0)</f>
        <v>649</v>
      </c>
      <c r="P909" s="306">
        <f>ROUNDDOWN(Table24[[#This Row],[R-DEMAND]]/950,0)</f>
        <v>0</v>
      </c>
      <c r="Q909" s="306">
        <f>Table24[[#This Row],[ADD ACC
(475/950)]]*Table24[[#This Row],[Duration
(A359)]]</f>
        <v>0</v>
      </c>
      <c r="R909" s="307">
        <f>IFERROR(VLOOKUP(Table24[[#This Row],[ROUTE]],PRICING!A:B,2,FALSE),0)</f>
        <v>2248</v>
      </c>
      <c r="S909" s="308">
        <f>Table24[[#This Row],[C_DEMAND]]-Table24[[#This Row],[R-DEMAND]]</f>
        <v>2850</v>
      </c>
      <c r="T909" s="307">
        <f>Table24[[#This Row],[SEATS SOLD]]*Table24[[#This Row],[ECO SEAT]]</f>
        <v>6406800</v>
      </c>
      <c r="U909" s="307">
        <f>Table24[[#This Row],[SEATS SOLD]]*(IFERROR(VLOOKUP(Table24[[#This Row],[ROUTE]],PRICING!A:C,3,FALSE),0))</f>
        <v>7629450</v>
      </c>
      <c r="V909" s="307">
        <f>Table24[[#This Row],[SEAT REV]]-Table24[[#This Row],[SEAT REV
(IF IDEAL $)]]</f>
        <v>-1222650</v>
      </c>
      <c r="X909"/>
    </row>
    <row r="910" spans="1:24" x14ac:dyDescent="0.25">
      <c r="A910" s="306" t="s">
        <v>17755</v>
      </c>
      <c r="B910" s="306" t="s">
        <v>4993</v>
      </c>
      <c r="C910" s="306" t="s">
        <v>2</v>
      </c>
      <c r="D910" s="26">
        <v>3</v>
      </c>
      <c r="E910" s="312" t="s">
        <v>4991</v>
      </c>
      <c r="F910" s="306" t="str">
        <f>VLOOKUP(Table24[[#This Row],[Country]],Table10[[COUNTRY NAME]:[CONTINENT CODE]],3,FALSE)</f>
        <v>NA</v>
      </c>
      <c r="G910" s="312" t="s">
        <v>13147</v>
      </c>
      <c r="H910" s="309">
        <v>1499</v>
      </c>
      <c r="I910" s="310">
        <v>5.5</v>
      </c>
      <c r="J910" s="307">
        <v>131834527</v>
      </c>
      <c r="K910" s="307">
        <f>IFERROR(Table24[[#This Row],[ROUTE COST]]/Table24[[#This Row],[O - DEMAND]],0)</f>
        <v>53964.194433074088</v>
      </c>
      <c r="L910" s="306">
        <v>2443</v>
      </c>
      <c r="M910" s="310">
        <f>Table24[[#This Row],[O - DEMAND]]/950</f>
        <v>2.5715789473684212</v>
      </c>
      <c r="N910" s="306">
        <f>IFERROR(VLOOKUP(Table24[[#This Row],[ROUTE]],DEMAND!A:F,5,FALSE),0)</f>
        <v>2549</v>
      </c>
      <c r="O910" s="306">
        <f>IFERROR(VLOOKUP(Table24[[#This Row],[ROUTE]],DEMAND!A:F,6,FALSE),0)</f>
        <v>649</v>
      </c>
      <c r="P910" s="306">
        <f>ROUNDDOWN(Table24[[#This Row],[R-DEMAND]]/950,0)</f>
        <v>0</v>
      </c>
      <c r="Q910" s="306">
        <f>Table24[[#This Row],[ADD ACC
(475/950)]]*Table24[[#This Row],[Duration
(A359)]]</f>
        <v>0</v>
      </c>
      <c r="R910" s="307">
        <f>IFERROR(VLOOKUP(Table24[[#This Row],[ROUTE]],PRICING!A:B,2,FALSE),0)</f>
        <v>508</v>
      </c>
      <c r="S910" s="308">
        <f>Table24[[#This Row],[C_DEMAND]]-Table24[[#This Row],[R-DEMAND]]</f>
        <v>1900</v>
      </c>
      <c r="T910" s="307">
        <f>Table24[[#This Row],[SEATS SOLD]]*Table24[[#This Row],[ECO SEAT]]</f>
        <v>965200</v>
      </c>
      <c r="U910" s="307">
        <f>Table24[[#This Row],[SEATS SOLD]]*(IFERROR(VLOOKUP(Table24[[#This Row],[ROUTE]],PRICING!A:C,3,FALSE),0))</f>
        <v>1109600</v>
      </c>
      <c r="V910" s="307">
        <f>Table24[[#This Row],[SEAT REV]]-Table24[[#This Row],[SEAT REV
(IF IDEAL $)]]</f>
        <v>-144400</v>
      </c>
      <c r="X910"/>
    </row>
    <row r="911" spans="1:24" x14ac:dyDescent="0.25">
      <c r="A911" s="306" t="s">
        <v>17761</v>
      </c>
      <c r="B911" s="306" t="s">
        <v>5223</v>
      </c>
      <c r="C911" s="306" t="s">
        <v>2</v>
      </c>
      <c r="D911" s="26">
        <v>3</v>
      </c>
      <c r="E911" s="312" t="s">
        <v>4894</v>
      </c>
      <c r="F911" s="306" t="str">
        <f>VLOOKUP(Table24[[#This Row],[Country]],Table10[[COUNTRY NAME]:[CONTINENT CODE]],3,FALSE)</f>
        <v>NA</v>
      </c>
      <c r="G911" s="312" t="s">
        <v>17031</v>
      </c>
      <c r="H911" s="309">
        <v>592</v>
      </c>
      <c r="I911" s="310">
        <v>3.5</v>
      </c>
      <c r="J911" s="307">
        <v>127396375</v>
      </c>
      <c r="K911" s="307">
        <f>IFERROR(Table24[[#This Row],[ROUTE COST]]/Table24[[#This Row],[O - DEMAND]],0)</f>
        <v>38372.402108433736</v>
      </c>
      <c r="L911" s="306">
        <v>3320</v>
      </c>
      <c r="M911" s="310">
        <f>Table24[[#This Row],[O - DEMAND]]/950</f>
        <v>3.4947368421052634</v>
      </c>
      <c r="N911" s="306">
        <f>IFERROR(VLOOKUP(Table24[[#This Row],[ROUTE]],DEMAND!A:F,5,FALSE),0)</f>
        <v>3499</v>
      </c>
      <c r="O911" s="306">
        <f>IFERROR(VLOOKUP(Table24[[#This Row],[ROUTE]],DEMAND!A:F,6,FALSE),0)</f>
        <v>649</v>
      </c>
      <c r="P911" s="306">
        <f>ROUNDDOWN(Table24[[#This Row],[R-DEMAND]]/950,0)</f>
        <v>0</v>
      </c>
      <c r="Q911" s="306">
        <f>Table24[[#This Row],[ADD ACC
(475/950)]]*Table24[[#This Row],[Duration
(A359)]]</f>
        <v>0</v>
      </c>
      <c r="R911" s="307">
        <f>IFERROR(VLOOKUP(Table24[[#This Row],[ROUTE]],PRICING!A:B,2,FALSE),0)</f>
        <v>254</v>
      </c>
      <c r="S911" s="308">
        <f>Table24[[#This Row],[C_DEMAND]]-Table24[[#This Row],[R-DEMAND]]</f>
        <v>2850</v>
      </c>
      <c r="T911" s="307">
        <f>Table24[[#This Row],[SEATS SOLD]]*Table24[[#This Row],[ECO SEAT]]</f>
        <v>723900</v>
      </c>
      <c r="U911" s="307">
        <f>Table24[[#This Row],[SEATS SOLD]]*(IFERROR(VLOOKUP(Table24[[#This Row],[ROUTE]],PRICING!A:C,3,FALSE),0))</f>
        <v>863550</v>
      </c>
      <c r="V911" s="307">
        <f>Table24[[#This Row],[SEAT REV]]-Table24[[#This Row],[SEAT REV
(IF IDEAL $)]]</f>
        <v>-139650</v>
      </c>
      <c r="X911"/>
    </row>
    <row r="912" spans="1:24" x14ac:dyDescent="0.25">
      <c r="A912" s="306" t="s">
        <v>17518</v>
      </c>
      <c r="B912" s="306" t="s">
        <v>4828</v>
      </c>
      <c r="C912" s="306" t="s">
        <v>2</v>
      </c>
      <c r="D912" s="26">
        <v>3</v>
      </c>
      <c r="E912" s="312" t="s">
        <v>78</v>
      </c>
      <c r="F912" s="306" t="str">
        <f>VLOOKUP(Table24[[#This Row],[Country]],Table10[[COUNTRY NAME]:[CONTINENT CODE]],3,FALSE)</f>
        <v>EU</v>
      </c>
      <c r="G912" s="312" t="s">
        <v>11879</v>
      </c>
      <c r="H912" s="309">
        <v>10274</v>
      </c>
      <c r="I912" s="310">
        <v>24.75</v>
      </c>
      <c r="J912" s="307">
        <v>216915217</v>
      </c>
      <c r="K912" s="307">
        <f>IFERROR(Table24[[#This Row],[ROUTE COST]]/Table24[[#This Row],[O - DEMAND]],0)</f>
        <v>63949.061615566039</v>
      </c>
      <c r="L912" s="306">
        <v>3392</v>
      </c>
      <c r="M912" s="310">
        <f>Table24[[#This Row],[O - DEMAND]]/950</f>
        <v>3.5705263157894738</v>
      </c>
      <c r="N912" s="306">
        <f>IFERROR(VLOOKUP(Table24[[#This Row],[ROUTE]],DEMAND!A:F,5,FALSE),0)</f>
        <v>3505</v>
      </c>
      <c r="O912" s="306">
        <f>IFERROR(VLOOKUP(Table24[[#This Row],[ROUTE]],DEMAND!A:F,6,FALSE),0)</f>
        <v>655</v>
      </c>
      <c r="P912" s="306">
        <f>ROUNDDOWN(Table24[[#This Row],[R-DEMAND]]/950,0)</f>
        <v>0</v>
      </c>
      <c r="Q912" s="306">
        <f>Table24[[#This Row],[ADD ACC
(475/950)]]*Table24[[#This Row],[Duration
(A359)]]</f>
        <v>0</v>
      </c>
      <c r="R912" s="307">
        <f>IFERROR(VLOOKUP(Table24[[#This Row],[ROUTE]],PRICING!A:B,2,FALSE),0)</f>
        <v>2973</v>
      </c>
      <c r="S912" s="308">
        <f>Table24[[#This Row],[C_DEMAND]]-Table24[[#This Row],[R-DEMAND]]</f>
        <v>2850</v>
      </c>
      <c r="T912" s="307">
        <f>Table24[[#This Row],[SEATS SOLD]]*Table24[[#This Row],[ECO SEAT]]</f>
        <v>8473050</v>
      </c>
      <c r="U912" s="307">
        <f>Table24[[#This Row],[SEATS SOLD]]*(IFERROR(VLOOKUP(Table24[[#This Row],[ROUTE]],PRICING!A:C,3,FALSE),0))</f>
        <v>9416400</v>
      </c>
      <c r="V912" s="307">
        <f>Table24[[#This Row],[SEAT REV]]-Table24[[#This Row],[SEAT REV
(IF IDEAL $)]]</f>
        <v>-943350</v>
      </c>
      <c r="X912"/>
    </row>
    <row r="913" spans="1:24" x14ac:dyDescent="0.25">
      <c r="A913" s="306" t="s">
        <v>17277</v>
      </c>
      <c r="B913" s="306" t="s">
        <v>4750</v>
      </c>
      <c r="C913" s="306" t="s">
        <v>2</v>
      </c>
      <c r="D913" s="26">
        <v>3</v>
      </c>
      <c r="E913" s="312" t="s">
        <v>14</v>
      </c>
      <c r="F913" s="306" t="str">
        <f>VLOOKUP(Table24[[#This Row],[Country]],Table10[[COUNTRY NAME]:[CONTINENT CODE]],3,FALSE)</f>
        <v>AS</v>
      </c>
      <c r="G913" s="312" t="s">
        <v>12026</v>
      </c>
      <c r="H913" s="309">
        <v>13654</v>
      </c>
      <c r="I913" s="310">
        <v>32</v>
      </c>
      <c r="J913" s="307">
        <v>249516088</v>
      </c>
      <c r="K913" s="307">
        <f>IFERROR(Table24[[#This Row],[ROUTE COST]]/Table24[[#This Row],[O - DEMAND]],0)</f>
        <v>74952.264343646748</v>
      </c>
      <c r="L913" s="306">
        <v>3329</v>
      </c>
      <c r="M913" s="310">
        <f>Table24[[#This Row],[O - DEMAND]]/950</f>
        <v>3.5042105263157897</v>
      </c>
      <c r="N913" s="306">
        <f>IFERROR(VLOOKUP(Table24[[#This Row],[ROUTE]],DEMAND!A:F,5,FALSE),0)</f>
        <v>3507</v>
      </c>
      <c r="O913" s="306">
        <f>IFERROR(VLOOKUP(Table24[[#This Row],[ROUTE]],DEMAND!A:F,6,FALSE),0)</f>
        <v>657</v>
      </c>
      <c r="P913" s="306">
        <f>ROUNDDOWN(Table24[[#This Row],[R-DEMAND]]/950,0)</f>
        <v>0</v>
      </c>
      <c r="Q913" s="306">
        <f>Table24[[#This Row],[ADD ACC
(475/950)]]*Table24[[#This Row],[Duration
(A359)]]</f>
        <v>0</v>
      </c>
      <c r="R913" s="307">
        <f>IFERROR(VLOOKUP(Table24[[#This Row],[ROUTE]],PRICING!A:B,2,FALSE),0)</f>
        <v>3655</v>
      </c>
      <c r="S913" s="308">
        <f>Table24[[#This Row],[C_DEMAND]]-Table24[[#This Row],[R-DEMAND]]</f>
        <v>2850</v>
      </c>
      <c r="T913" s="307">
        <f>Table24[[#This Row],[SEATS SOLD]]*Table24[[#This Row],[ECO SEAT]]</f>
        <v>10416750</v>
      </c>
      <c r="U913" s="307">
        <f>Table24[[#This Row],[SEATS SOLD]]*(IFERROR(VLOOKUP(Table24[[#This Row],[ROUTE]],PRICING!A:C,3,FALSE),0))</f>
        <v>12403200</v>
      </c>
      <c r="V913" s="307">
        <f>Table24[[#This Row],[SEAT REV]]-Table24[[#This Row],[SEAT REV
(IF IDEAL $)]]</f>
        <v>-1986450</v>
      </c>
      <c r="X913"/>
    </row>
    <row r="914" spans="1:24" x14ac:dyDescent="0.25">
      <c r="A914" s="306" t="s">
        <v>17612</v>
      </c>
      <c r="B914" s="306" t="s">
        <v>4223</v>
      </c>
      <c r="C914" s="306" t="s">
        <v>2</v>
      </c>
      <c r="D914" s="26">
        <v>2</v>
      </c>
      <c r="E914" s="312" t="s">
        <v>1578</v>
      </c>
      <c r="F914" s="306" t="str">
        <f>VLOOKUP(Table24[[#This Row],[Country]],Table10[[COUNTRY NAME]:[CONTINENT CODE]],3,FALSE)</f>
        <v>EU</v>
      </c>
      <c r="G914" s="312" t="s">
        <v>11910</v>
      </c>
      <c r="H914" s="309">
        <v>10727</v>
      </c>
      <c r="I914" s="310">
        <v>25.75</v>
      </c>
      <c r="J914" s="307">
        <v>215012520</v>
      </c>
      <c r="K914" s="307">
        <f>IFERROR(Table24[[#This Row],[ROUTE COST]]/Table24[[#This Row],[O - DEMAND]],0)</f>
        <v>65175.059108820853</v>
      </c>
      <c r="L914" s="306">
        <v>3299</v>
      </c>
      <c r="M914" s="310">
        <f>Table24[[#This Row],[O - DEMAND]]/950</f>
        <v>3.4726315789473685</v>
      </c>
      <c r="N914" s="306">
        <f>IFERROR(VLOOKUP(Table24[[#This Row],[ROUTE]],DEMAND!A:F,5,FALSE),0)</f>
        <v>3508</v>
      </c>
      <c r="O914" s="306">
        <f>IFERROR(VLOOKUP(Table24[[#This Row],[ROUTE]],DEMAND!A:F,6,FALSE),0)</f>
        <v>658</v>
      </c>
      <c r="P914" s="306">
        <f>ROUNDDOWN(Table24[[#This Row],[R-DEMAND]]/950,0)</f>
        <v>0</v>
      </c>
      <c r="Q914" s="306">
        <f>Table24[[#This Row],[ADD ACC
(475/950)]]*Table24[[#This Row],[Duration
(A359)]]</f>
        <v>0</v>
      </c>
      <c r="R914" s="307">
        <f>IFERROR(VLOOKUP(Table24[[#This Row],[ROUTE]],PRICING!A:B,2,FALSE),0)</f>
        <v>2790</v>
      </c>
      <c r="S914" s="308">
        <f>Table24[[#This Row],[C_DEMAND]]-Table24[[#This Row],[R-DEMAND]]</f>
        <v>2850</v>
      </c>
      <c r="T914" s="307">
        <f>Table24[[#This Row],[SEATS SOLD]]*Table24[[#This Row],[ECO SEAT]]</f>
        <v>7951500</v>
      </c>
      <c r="U914" s="307">
        <f>Table24[[#This Row],[SEATS SOLD]]*(IFERROR(VLOOKUP(Table24[[#This Row],[ROUTE]],PRICING!A:C,3,FALSE),0))</f>
        <v>9818250</v>
      </c>
      <c r="V914" s="307">
        <f>Table24[[#This Row],[SEAT REV]]-Table24[[#This Row],[SEAT REV
(IF IDEAL $)]]</f>
        <v>-1866750</v>
      </c>
      <c r="X914"/>
    </row>
    <row r="915" spans="1:24" x14ac:dyDescent="0.25">
      <c r="A915" s="306" t="s">
        <v>17060</v>
      </c>
      <c r="B915" s="306" t="s">
        <v>2907</v>
      </c>
      <c r="C915" s="306" t="s">
        <v>2</v>
      </c>
      <c r="D915" s="26">
        <v>2</v>
      </c>
      <c r="E915" s="312" t="s">
        <v>2059</v>
      </c>
      <c r="F915" s="306" t="str">
        <f>VLOOKUP(Table24[[#This Row],[Country]],Table10[[COUNTRY NAME]:[CONTINENT CODE]],3,FALSE)</f>
        <v>AF</v>
      </c>
      <c r="G915" s="312" t="s">
        <v>11751</v>
      </c>
      <c r="H915" s="309">
        <v>8550</v>
      </c>
      <c r="I915" s="310">
        <v>21</v>
      </c>
      <c r="J915" s="307">
        <v>186022742</v>
      </c>
      <c r="K915" s="307">
        <f>IFERROR(Table24[[#This Row],[ROUTE COST]]/Table24[[#This Row],[O - DEMAND]],0)</f>
        <v>55166.886714116248</v>
      </c>
      <c r="L915" s="306">
        <v>3372</v>
      </c>
      <c r="M915" s="310">
        <f>Table24[[#This Row],[O - DEMAND]]/950</f>
        <v>3.5494736842105263</v>
      </c>
      <c r="N915" s="306">
        <f>IFERROR(VLOOKUP(Table24[[#This Row],[ROUTE]],DEMAND!A:F,5,FALSE),0)</f>
        <v>3508</v>
      </c>
      <c r="O915" s="306">
        <f>IFERROR(VLOOKUP(Table24[[#This Row],[ROUTE]],DEMAND!A:F,6,FALSE),0)</f>
        <v>-292</v>
      </c>
      <c r="P915" s="306">
        <f>ROUNDDOWN(Table24[[#This Row],[R-DEMAND]]/950,0)</f>
        <v>0</v>
      </c>
      <c r="Q915" s="306">
        <f>Table24[[#This Row],[ADD ACC
(475/950)]]*Table24[[#This Row],[Duration
(A359)]]</f>
        <v>0</v>
      </c>
      <c r="R915" s="307">
        <f>IFERROR(VLOOKUP(Table24[[#This Row],[ROUTE]],PRICING!A:B,2,FALSE),0)</f>
        <v>2437</v>
      </c>
      <c r="S915" s="308">
        <f>Table24[[#This Row],[C_DEMAND]]-Table24[[#This Row],[R-DEMAND]]</f>
        <v>3800</v>
      </c>
      <c r="T915" s="307">
        <f>Table24[[#This Row],[SEATS SOLD]]*Table24[[#This Row],[ECO SEAT]]</f>
        <v>9260600</v>
      </c>
      <c r="U915" s="307">
        <f>Table24[[#This Row],[SEATS SOLD]]*(IFERROR(VLOOKUP(Table24[[#This Row],[ROUTE]],PRICING!A:C,3,FALSE),0))</f>
        <v>10526000</v>
      </c>
      <c r="V915" s="307">
        <f>Table24[[#This Row],[SEAT REV]]-Table24[[#This Row],[SEAT REV
(IF IDEAL $)]]</f>
        <v>-1265400</v>
      </c>
      <c r="X915"/>
    </row>
    <row r="916" spans="1:24" x14ac:dyDescent="0.25">
      <c r="A916" s="306" t="s">
        <v>17047</v>
      </c>
      <c r="B916" s="306" t="s">
        <v>853</v>
      </c>
      <c r="C916" s="306" t="s">
        <v>2</v>
      </c>
      <c r="D916" s="26">
        <v>1</v>
      </c>
      <c r="E916" s="312" t="s">
        <v>608</v>
      </c>
      <c r="F916" s="306" t="str">
        <f>VLOOKUP(Table24[[#This Row],[Country]],Table10[[COUNTRY NAME]:[CONTINENT CODE]],3,FALSE)</f>
        <v>AF</v>
      </c>
      <c r="G916" s="312" t="s">
        <v>11687</v>
      </c>
      <c r="H916" s="309">
        <v>6883</v>
      </c>
      <c r="I916" s="310">
        <v>17.25</v>
      </c>
      <c r="J916" s="307">
        <v>159356917</v>
      </c>
      <c r="K916" s="307">
        <f>IFERROR(Table24[[#This Row],[ROUTE COST]]/Table24[[#This Row],[O - DEMAND]],0)</f>
        <v>66260.672349272354</v>
      </c>
      <c r="L916" s="306">
        <v>2405</v>
      </c>
      <c r="M916" s="310">
        <f>Table24[[#This Row],[O - DEMAND]]/950</f>
        <v>2.5315789473684212</v>
      </c>
      <c r="N916" s="306">
        <f>IFERROR(VLOOKUP(Table24[[#This Row],[ROUTE]],DEMAND!A:F,5,FALSE),0)</f>
        <v>2558</v>
      </c>
      <c r="O916" s="306">
        <f>IFERROR(VLOOKUP(Table24[[#This Row],[ROUTE]],DEMAND!A:F,6,FALSE),0)</f>
        <v>658</v>
      </c>
      <c r="P916" s="306">
        <f>ROUNDDOWN(Table24[[#This Row],[R-DEMAND]]/950,0)</f>
        <v>0</v>
      </c>
      <c r="Q916" s="306">
        <f>Table24[[#This Row],[ADD ACC
(475/950)]]*Table24[[#This Row],[Duration
(A359)]]</f>
        <v>0</v>
      </c>
      <c r="R916" s="307">
        <f>IFERROR(VLOOKUP(Table24[[#This Row],[ROUTE]],PRICING!A:B,2,FALSE),0)</f>
        <v>1824</v>
      </c>
      <c r="S916" s="308">
        <f>Table24[[#This Row],[C_DEMAND]]-Table24[[#This Row],[R-DEMAND]]</f>
        <v>1900</v>
      </c>
      <c r="T916" s="307">
        <f>Table24[[#This Row],[SEATS SOLD]]*Table24[[#This Row],[ECO SEAT]]</f>
        <v>3465600</v>
      </c>
      <c r="U916" s="307">
        <f>Table24[[#This Row],[SEATS SOLD]]*(IFERROR(VLOOKUP(Table24[[#This Row],[ROUTE]],PRICING!A:C,3,FALSE),0))</f>
        <v>4280700</v>
      </c>
      <c r="V916" s="307">
        <f>Table24[[#This Row],[SEAT REV]]-Table24[[#This Row],[SEAT REV
(IF IDEAL $)]]</f>
        <v>-815100</v>
      </c>
      <c r="X916"/>
    </row>
    <row r="917" spans="1:24" x14ac:dyDescent="0.25">
      <c r="A917" s="306" t="s">
        <v>17552</v>
      </c>
      <c r="B917" s="306" t="s">
        <v>4971</v>
      </c>
      <c r="C917" s="306" t="s">
        <v>2</v>
      </c>
      <c r="D917" s="26">
        <v>3</v>
      </c>
      <c r="E917" s="312" t="s">
        <v>3915</v>
      </c>
      <c r="F917" s="306" t="str">
        <f>VLOOKUP(Table24[[#This Row],[Country]],Table10[[COUNTRY NAME]:[CONTINENT CODE]],3,FALSE)</f>
        <v>EU</v>
      </c>
      <c r="G917" s="312" t="s">
        <v>16902</v>
      </c>
      <c r="H917" s="309">
        <v>8147</v>
      </c>
      <c r="I917" s="310">
        <v>20</v>
      </c>
      <c r="J917" s="307">
        <v>198753672</v>
      </c>
      <c r="K917" s="307">
        <f>IFERROR(Table24[[#This Row],[ROUTE COST]]/Table24[[#This Row],[O - DEMAND]],0)</f>
        <v>82814.03</v>
      </c>
      <c r="L917" s="306">
        <v>2400</v>
      </c>
      <c r="M917" s="310">
        <f>Table24[[#This Row],[O - DEMAND]]/950</f>
        <v>2.5263157894736841</v>
      </c>
      <c r="N917" s="306">
        <f>IFERROR(VLOOKUP(Table24[[#This Row],[ROUTE]],DEMAND!A:F,5,FALSE),0)</f>
        <v>2560</v>
      </c>
      <c r="O917" s="306">
        <f>IFERROR(VLOOKUP(Table24[[#This Row],[ROUTE]],DEMAND!A:F,6,FALSE),0)</f>
        <v>660</v>
      </c>
      <c r="P917" s="306">
        <f>ROUNDDOWN(Table24[[#This Row],[R-DEMAND]]/950,0)</f>
        <v>0</v>
      </c>
      <c r="Q917" s="306">
        <f>Table24[[#This Row],[ADD ACC
(475/950)]]*Table24[[#This Row],[Duration
(A359)]]</f>
        <v>0</v>
      </c>
      <c r="R917" s="307">
        <f>IFERROR(VLOOKUP(Table24[[#This Row],[ROUTE]],PRICING!A:B,2,FALSE),0)</f>
        <v>2116</v>
      </c>
      <c r="S917" s="308">
        <f>Table24[[#This Row],[C_DEMAND]]-Table24[[#This Row],[R-DEMAND]]</f>
        <v>1900</v>
      </c>
      <c r="T917" s="307">
        <f>Table24[[#This Row],[SEATS SOLD]]*Table24[[#This Row],[ECO SEAT]]</f>
        <v>4020400</v>
      </c>
      <c r="U917" s="307">
        <f>Table24[[#This Row],[SEATS SOLD]]*(IFERROR(VLOOKUP(Table24[[#This Row],[ROUTE]],PRICING!A:C,3,FALSE),0))</f>
        <v>5025500</v>
      </c>
      <c r="V917" s="307">
        <f>Table24[[#This Row],[SEAT REV]]-Table24[[#This Row],[SEAT REV
(IF IDEAL $)]]</f>
        <v>-1005100</v>
      </c>
      <c r="X917"/>
    </row>
    <row r="918" spans="1:24" x14ac:dyDescent="0.25">
      <c r="A918" s="306" t="s">
        <v>17866</v>
      </c>
      <c r="B918" s="306" t="s">
        <v>5579</v>
      </c>
      <c r="C918" s="306" t="s">
        <v>2</v>
      </c>
      <c r="D918" s="26">
        <v>4</v>
      </c>
      <c r="E918" s="312" t="s">
        <v>11732</v>
      </c>
      <c r="F918" s="306" t="str">
        <f>VLOOKUP(Table24[[#This Row],[Country]],Table10[[COUNTRY NAME]:[CONTINENT CODE]],3,FALSE)</f>
        <v>NA - US</v>
      </c>
      <c r="G918" s="312" t="s">
        <v>13331</v>
      </c>
      <c r="H918" s="309">
        <v>2528</v>
      </c>
      <c r="I918" s="310">
        <v>7.75</v>
      </c>
      <c r="J918" s="307">
        <v>161025173</v>
      </c>
      <c r="K918" s="307">
        <f>IFERROR(Table24[[#This Row],[ROUTE COST]]/Table24[[#This Row],[O - DEMAND]],0)</f>
        <v>66156.603533278554</v>
      </c>
      <c r="L918" s="306">
        <v>2434</v>
      </c>
      <c r="M918" s="310">
        <f>Table24[[#This Row],[O - DEMAND]]/950</f>
        <v>2.5621052631578949</v>
      </c>
      <c r="N918" s="306">
        <f>IFERROR(VLOOKUP(Table24[[#This Row],[ROUTE]],DEMAND!A:F,5,FALSE),0)</f>
        <v>2564</v>
      </c>
      <c r="O918" s="306">
        <f>IFERROR(VLOOKUP(Table24[[#This Row],[ROUTE]],DEMAND!A:F,6,FALSE),0)</f>
        <v>664</v>
      </c>
      <c r="P918" s="306">
        <f>ROUNDDOWN(Table24[[#This Row],[R-DEMAND]]/950,0)</f>
        <v>0</v>
      </c>
      <c r="Q918" s="306">
        <f>Table24[[#This Row],[ADD ACC
(475/950)]]*Table24[[#This Row],[Duration
(A359)]]</f>
        <v>0</v>
      </c>
      <c r="R918" s="307">
        <f>IFERROR(VLOOKUP(Table24[[#This Row],[ROUTE]],PRICING!A:B,2,FALSE),0)</f>
        <v>758</v>
      </c>
      <c r="S918" s="308">
        <f>Table24[[#This Row],[C_DEMAND]]-Table24[[#This Row],[R-DEMAND]]</f>
        <v>1900</v>
      </c>
      <c r="T918" s="307">
        <f>Table24[[#This Row],[SEATS SOLD]]*Table24[[#This Row],[ECO SEAT]]</f>
        <v>1440200</v>
      </c>
      <c r="U918" s="307">
        <f>Table24[[#This Row],[SEATS SOLD]]*(IFERROR(VLOOKUP(Table24[[#This Row],[ROUTE]],PRICING!A:C,3,FALSE),0))</f>
        <v>1715700</v>
      </c>
      <c r="V918" s="307">
        <f>Table24[[#This Row],[SEAT REV]]-Table24[[#This Row],[SEAT REV
(IF IDEAL $)]]</f>
        <v>-275500</v>
      </c>
      <c r="X918"/>
    </row>
    <row r="919" spans="1:24" x14ac:dyDescent="0.25">
      <c r="A919" s="306" t="s">
        <v>17835</v>
      </c>
      <c r="B919" s="306" t="s">
        <v>5741</v>
      </c>
      <c r="C919" s="306" t="s">
        <v>2</v>
      </c>
      <c r="D919" s="26">
        <v>5</v>
      </c>
      <c r="E919" s="312" t="s">
        <v>11732</v>
      </c>
      <c r="F919" s="306" t="str">
        <f>VLOOKUP(Table24[[#This Row],[Country]],Table10[[COUNTRY NAME]:[CONTINENT CODE]],3,FALSE)</f>
        <v>NA - US</v>
      </c>
      <c r="G919" s="312" t="s">
        <v>13335</v>
      </c>
      <c r="H919" s="309">
        <v>2651</v>
      </c>
      <c r="I919" s="310">
        <v>8</v>
      </c>
      <c r="J919" s="307">
        <v>183835867</v>
      </c>
      <c r="K919" s="307">
        <f>IFERROR(Table24[[#This Row],[ROUTE COST]]/Table24[[#This Row],[O - DEMAND]],0)</f>
        <v>55057.162923030846</v>
      </c>
      <c r="L919" s="306">
        <v>3339</v>
      </c>
      <c r="M919" s="310">
        <f>Table24[[#This Row],[O - DEMAND]]/950</f>
        <v>3.5147368421052629</v>
      </c>
      <c r="N919" s="306">
        <f>IFERROR(VLOOKUP(Table24[[#This Row],[ROUTE]],DEMAND!A:F,5,FALSE),0)</f>
        <v>3517</v>
      </c>
      <c r="O919" s="306">
        <f>IFERROR(VLOOKUP(Table24[[#This Row],[ROUTE]],DEMAND!A:F,6,FALSE),0)</f>
        <v>667</v>
      </c>
      <c r="P919" s="306">
        <f>ROUNDDOWN(Table24[[#This Row],[R-DEMAND]]/950,0)</f>
        <v>0</v>
      </c>
      <c r="Q919" s="306">
        <f>Table24[[#This Row],[ADD ACC
(475/950)]]*Table24[[#This Row],[Duration
(A359)]]</f>
        <v>0</v>
      </c>
      <c r="R919" s="307">
        <f>IFERROR(VLOOKUP(Table24[[#This Row],[ROUTE]],PRICING!A:B,2,FALSE),0)</f>
        <v>790</v>
      </c>
      <c r="S919" s="308">
        <f>Table24[[#This Row],[C_DEMAND]]-Table24[[#This Row],[R-DEMAND]]</f>
        <v>2850</v>
      </c>
      <c r="T919" s="307">
        <f>Table24[[#This Row],[SEATS SOLD]]*Table24[[#This Row],[ECO SEAT]]</f>
        <v>2251500</v>
      </c>
      <c r="U919" s="307">
        <f>Table24[[#This Row],[SEATS SOLD]]*(IFERROR(VLOOKUP(Table24[[#This Row],[ROUTE]],PRICING!A:C,3,FALSE),0))</f>
        <v>2681850</v>
      </c>
      <c r="V919" s="307">
        <f>Table24[[#This Row],[SEAT REV]]-Table24[[#This Row],[SEAT REV
(IF IDEAL $)]]</f>
        <v>-430350</v>
      </c>
      <c r="X919"/>
    </row>
    <row r="920" spans="1:24" x14ac:dyDescent="0.25">
      <c r="A920" s="306" t="s">
        <v>17197</v>
      </c>
      <c r="B920" s="306" t="s">
        <v>266</v>
      </c>
      <c r="C920" s="306" t="s">
        <v>2</v>
      </c>
      <c r="D920" s="26">
        <v>3</v>
      </c>
      <c r="E920" s="312" t="s">
        <v>542</v>
      </c>
      <c r="F920" s="306" t="str">
        <f>VLOOKUP(Table24[[#This Row],[Country]],Table10[[COUNTRY NAME]:[CONTINENT CODE]],3,FALSE)</f>
        <v>AF</v>
      </c>
      <c r="G920" s="312" t="s">
        <v>11906</v>
      </c>
      <c r="H920" s="309">
        <v>11998</v>
      </c>
      <c r="I920" s="310">
        <v>28.5</v>
      </c>
      <c r="J920" s="307">
        <v>229416200</v>
      </c>
      <c r="K920" s="307">
        <f>IFERROR(Table24[[#This Row],[ROUTE COST]]/Table24[[#This Row],[O - DEMAND]],0)</f>
        <v>54766.340415373597</v>
      </c>
      <c r="L920" s="306">
        <v>4189</v>
      </c>
      <c r="M920" s="310">
        <f>Table24[[#This Row],[O - DEMAND]]/950</f>
        <v>4.4094736842105267</v>
      </c>
      <c r="N920" s="306">
        <f>IFERROR(VLOOKUP(Table24[[#This Row],[ROUTE]],DEMAND!A:F,5,FALSE),0)</f>
        <v>4468</v>
      </c>
      <c r="O920" s="306">
        <f>IFERROR(VLOOKUP(Table24[[#This Row],[ROUTE]],DEMAND!A:F,6,FALSE),0)</f>
        <v>668</v>
      </c>
      <c r="P920" s="306">
        <f>ROUNDDOWN(Table24[[#This Row],[R-DEMAND]]/950,0)</f>
        <v>0</v>
      </c>
      <c r="Q920" s="306">
        <f>Table24[[#This Row],[ADD ACC
(475/950)]]*Table24[[#This Row],[Duration
(A359)]]</f>
        <v>0</v>
      </c>
      <c r="R920" s="307">
        <f>IFERROR(VLOOKUP(Table24[[#This Row],[ROUTE]],PRICING!A:B,2,FALSE),0)</f>
        <v>3071</v>
      </c>
      <c r="S920" s="308">
        <f>Table24[[#This Row],[C_DEMAND]]-Table24[[#This Row],[R-DEMAND]]</f>
        <v>3800</v>
      </c>
      <c r="T920" s="307">
        <f>Table24[[#This Row],[SEATS SOLD]]*Table24[[#This Row],[ECO SEAT]]</f>
        <v>11669800</v>
      </c>
      <c r="U920" s="307">
        <f>Table24[[#This Row],[SEATS SOLD]]*(IFERROR(VLOOKUP(Table24[[#This Row],[ROUTE]],PRICING!A:C,3,FALSE),0))</f>
        <v>14588200</v>
      </c>
      <c r="V920" s="307">
        <f>Table24[[#This Row],[SEAT REV]]-Table24[[#This Row],[SEAT REV
(IF IDEAL $)]]</f>
        <v>-2918400</v>
      </c>
      <c r="X920"/>
    </row>
    <row r="921" spans="1:24" x14ac:dyDescent="0.25">
      <c r="A921" s="306" t="s">
        <v>17207</v>
      </c>
      <c r="B921" s="306" t="s">
        <v>145</v>
      </c>
      <c r="C921" s="306" t="s">
        <v>2</v>
      </c>
      <c r="D921" s="26">
        <v>5</v>
      </c>
      <c r="E921" s="312" t="s">
        <v>142</v>
      </c>
      <c r="F921" s="306" t="str">
        <f>VLOOKUP(Table24[[#This Row],[Country]],Table10[[COUNTRY NAME]:[CONTINENT CODE]],3,FALSE)</f>
        <v>AS</v>
      </c>
      <c r="G921" s="312" t="s">
        <v>144</v>
      </c>
      <c r="H921" s="309">
        <v>13064</v>
      </c>
      <c r="I921" s="310">
        <v>30.75</v>
      </c>
      <c r="J921" s="307">
        <v>283725355</v>
      </c>
      <c r="K921" s="307">
        <f>IFERROR(Table24[[#This Row],[ROUTE COST]]/Table24[[#This Row],[O - DEMAND]],0)</f>
        <v>66013.34457887389</v>
      </c>
      <c r="L921" s="306">
        <v>4298</v>
      </c>
      <c r="M921" s="310">
        <f>Table24[[#This Row],[O - DEMAND]]/950</f>
        <v>4.5242105263157892</v>
      </c>
      <c r="N921" s="306">
        <f>IFERROR(VLOOKUP(Table24[[#This Row],[ROUTE]],DEMAND!A:F,5,FALSE),0)</f>
        <v>4470</v>
      </c>
      <c r="O921" s="306">
        <f>IFERROR(VLOOKUP(Table24[[#This Row],[ROUTE]],DEMAND!A:F,6,FALSE),0)</f>
        <v>670</v>
      </c>
      <c r="P921" s="306">
        <f>ROUNDDOWN(Table24[[#This Row],[R-DEMAND]]/950,0)</f>
        <v>0</v>
      </c>
      <c r="Q921" s="306">
        <f>Table24[[#This Row],[ADD ACC
(475/950)]]*Table24[[#This Row],[Duration
(A359)]]</f>
        <v>0</v>
      </c>
      <c r="R921" s="307">
        <f>IFERROR(VLOOKUP(Table24[[#This Row],[ROUTE]],PRICING!A:B,2,FALSE),0)</f>
        <v>3668</v>
      </c>
      <c r="S921" s="308">
        <f>Table24[[#This Row],[C_DEMAND]]-Table24[[#This Row],[R-DEMAND]]</f>
        <v>3800</v>
      </c>
      <c r="T921" s="307">
        <f>Table24[[#This Row],[SEATS SOLD]]*Table24[[#This Row],[ECO SEAT]]</f>
        <v>13938400</v>
      </c>
      <c r="U921" s="307">
        <f>Table24[[#This Row],[SEATS SOLD]]*(IFERROR(VLOOKUP(Table24[[#This Row],[ROUTE]],PRICING!A:C,3,FALSE),0))</f>
        <v>15842200</v>
      </c>
      <c r="V921" s="307">
        <f>Table24[[#This Row],[SEAT REV]]-Table24[[#This Row],[SEAT REV
(IF IDEAL $)]]</f>
        <v>-1903800</v>
      </c>
      <c r="X921"/>
    </row>
    <row r="922" spans="1:24" x14ac:dyDescent="0.25">
      <c r="A922" s="306" t="s">
        <v>17289</v>
      </c>
      <c r="B922" s="306" t="s">
        <v>5369</v>
      </c>
      <c r="C922" s="306" t="s">
        <v>2</v>
      </c>
      <c r="D922" s="26">
        <v>3</v>
      </c>
      <c r="E922" s="312" t="s">
        <v>1847</v>
      </c>
      <c r="F922" s="306" t="str">
        <f>VLOOKUP(Table24[[#This Row],[Country]],Table10[[COUNTRY NAME]:[CONTINENT CODE]],3,FALSE)</f>
        <v>AS</v>
      </c>
      <c r="G922" s="312" t="s">
        <v>11977</v>
      </c>
      <c r="H922" s="309">
        <v>12556</v>
      </c>
      <c r="I922" s="310">
        <v>29.75</v>
      </c>
      <c r="J922" s="307">
        <v>252064403</v>
      </c>
      <c r="K922" s="307">
        <f>IFERROR(Table24[[#This Row],[ROUTE COST]]/Table24[[#This Row],[O - DEMAND]],0)</f>
        <v>74443.119610159483</v>
      </c>
      <c r="L922" s="306">
        <v>3386</v>
      </c>
      <c r="M922" s="310">
        <f>Table24[[#This Row],[O - DEMAND]]/950</f>
        <v>3.5642105263157893</v>
      </c>
      <c r="N922" s="306">
        <f>IFERROR(VLOOKUP(Table24[[#This Row],[ROUTE]],DEMAND!A:F,5,FALSE),0)</f>
        <v>3521</v>
      </c>
      <c r="O922" s="306">
        <f>IFERROR(VLOOKUP(Table24[[#This Row],[ROUTE]],DEMAND!A:F,6,FALSE),0)</f>
        <v>671</v>
      </c>
      <c r="P922" s="306">
        <f>ROUNDDOWN(Table24[[#This Row],[R-DEMAND]]/950,0)</f>
        <v>0</v>
      </c>
      <c r="Q922" s="306">
        <f>Table24[[#This Row],[ADD ACC
(475/950)]]*Table24[[#This Row],[Duration
(A359)]]</f>
        <v>0</v>
      </c>
      <c r="R922" s="307">
        <f>IFERROR(VLOOKUP(Table24[[#This Row],[ROUTE]],PRICING!A:B,2,FALSE),0)</f>
        <v>3530</v>
      </c>
      <c r="S922" s="308">
        <f>Table24[[#This Row],[C_DEMAND]]-Table24[[#This Row],[R-DEMAND]]</f>
        <v>2850</v>
      </c>
      <c r="T922" s="307">
        <f>Table24[[#This Row],[SEATS SOLD]]*Table24[[#This Row],[ECO SEAT]]</f>
        <v>10060500</v>
      </c>
      <c r="U922" s="307">
        <f>Table24[[#This Row],[SEATS SOLD]]*(IFERROR(VLOOKUP(Table24[[#This Row],[ROUTE]],PRICING!A:C,3,FALSE),0))</f>
        <v>11434200</v>
      </c>
      <c r="V922" s="307">
        <f>Table24[[#This Row],[SEAT REV]]-Table24[[#This Row],[SEAT REV
(IF IDEAL $)]]</f>
        <v>-1373700</v>
      </c>
      <c r="X922"/>
    </row>
    <row r="923" spans="1:24" x14ac:dyDescent="0.25">
      <c r="A923" s="306" t="s">
        <v>17528</v>
      </c>
      <c r="B923" s="306" t="s">
        <v>4924</v>
      </c>
      <c r="C923" s="306" t="s">
        <v>2</v>
      </c>
      <c r="D923" s="26">
        <v>3</v>
      </c>
      <c r="E923" s="312" t="s">
        <v>597</v>
      </c>
      <c r="F923" s="306" t="str">
        <f>VLOOKUP(Table24[[#This Row],[Country]],Table10[[COUNTRY NAME]:[CONTINENT CODE]],3,FALSE)</f>
        <v>EU</v>
      </c>
      <c r="G923" s="312" t="s">
        <v>11838</v>
      </c>
      <c r="H923" s="309">
        <v>9380</v>
      </c>
      <c r="I923" s="310">
        <v>22.75</v>
      </c>
      <c r="J923" s="307">
        <v>210259078</v>
      </c>
      <c r="K923" s="307">
        <f>IFERROR(Table24[[#This Row],[ROUTE COST]]/Table24[[#This Row],[O - DEMAND]],0)</f>
        <v>86136.451454321999</v>
      </c>
      <c r="L923" s="306">
        <v>2441</v>
      </c>
      <c r="M923" s="310">
        <f>Table24[[#This Row],[O - DEMAND]]/950</f>
        <v>2.5694736842105264</v>
      </c>
      <c r="N923" s="306">
        <f>IFERROR(VLOOKUP(Table24[[#This Row],[ROUTE]],DEMAND!A:F,5,FALSE),0)</f>
        <v>2571</v>
      </c>
      <c r="O923" s="306">
        <f>IFERROR(VLOOKUP(Table24[[#This Row],[ROUTE]],DEMAND!A:F,6,FALSE),0)</f>
        <v>671</v>
      </c>
      <c r="P923" s="306">
        <f>ROUNDDOWN(Table24[[#This Row],[R-DEMAND]]/950,0)</f>
        <v>0</v>
      </c>
      <c r="Q923" s="306">
        <f>Table24[[#This Row],[ADD ACC
(475/950)]]*Table24[[#This Row],[Duration
(A359)]]</f>
        <v>0</v>
      </c>
      <c r="R923" s="307">
        <f>IFERROR(VLOOKUP(Table24[[#This Row],[ROUTE]],PRICING!A:B,2,FALSE),0)</f>
        <v>2542</v>
      </c>
      <c r="S923" s="308">
        <f>Table24[[#This Row],[C_DEMAND]]-Table24[[#This Row],[R-DEMAND]]</f>
        <v>1900</v>
      </c>
      <c r="T923" s="307">
        <f>Table24[[#This Row],[SEATS SOLD]]*Table24[[#This Row],[ECO SEAT]]</f>
        <v>4829800</v>
      </c>
      <c r="U923" s="307">
        <f>Table24[[#This Row],[SEATS SOLD]]*(IFERROR(VLOOKUP(Table24[[#This Row],[ROUTE]],PRICING!A:C,3,FALSE),0))</f>
        <v>5751300</v>
      </c>
      <c r="V923" s="307">
        <f>Table24[[#This Row],[SEAT REV]]-Table24[[#This Row],[SEAT REV
(IF IDEAL $)]]</f>
        <v>-921500</v>
      </c>
      <c r="X923"/>
    </row>
    <row r="924" spans="1:24" x14ac:dyDescent="0.25">
      <c r="A924" s="306" t="s">
        <v>17113</v>
      </c>
      <c r="B924" s="306" t="s">
        <v>209</v>
      </c>
      <c r="C924" s="306" t="s">
        <v>2</v>
      </c>
      <c r="D924" s="26">
        <v>3</v>
      </c>
      <c r="E924" s="312" t="s">
        <v>644</v>
      </c>
      <c r="F924" s="306" t="str">
        <f>VLOOKUP(Table24[[#This Row],[Country]],Table10[[COUNTRY NAME]:[CONTINENT CODE]],3,FALSE)</f>
        <v>AF</v>
      </c>
      <c r="G924" s="312" t="s">
        <v>11811</v>
      </c>
      <c r="H924" s="309">
        <v>9857</v>
      </c>
      <c r="I924" s="310">
        <v>23.75</v>
      </c>
      <c r="J924" s="307">
        <v>218850676</v>
      </c>
      <c r="K924" s="307">
        <f>IFERROR(Table24[[#This Row],[ROUTE COST]]/Table24[[#This Row],[O - DEMAND]],0)</f>
        <v>50742.099698585669</v>
      </c>
      <c r="L924" s="306">
        <v>4313</v>
      </c>
      <c r="M924" s="310">
        <f>Table24[[#This Row],[O - DEMAND]]/950</f>
        <v>4.54</v>
      </c>
      <c r="N924" s="306">
        <f>IFERROR(VLOOKUP(Table24[[#This Row],[ROUTE]],DEMAND!A:F,5,FALSE),0)</f>
        <v>4472</v>
      </c>
      <c r="O924" s="306">
        <f>IFERROR(VLOOKUP(Table24[[#This Row],[ROUTE]],DEMAND!A:F,6,FALSE),0)</f>
        <v>672</v>
      </c>
      <c r="P924" s="306">
        <f>ROUNDDOWN(Table24[[#This Row],[R-DEMAND]]/950,0)</f>
        <v>0</v>
      </c>
      <c r="Q924" s="306">
        <f>Table24[[#This Row],[ADD ACC
(475/950)]]*Table24[[#This Row],[Duration
(A359)]]</f>
        <v>0</v>
      </c>
      <c r="R924" s="307">
        <f>IFERROR(VLOOKUP(Table24[[#This Row],[ROUTE]],PRICING!A:B,2,FALSE),0)</f>
        <v>2825</v>
      </c>
      <c r="S924" s="308">
        <f>Table24[[#This Row],[C_DEMAND]]-Table24[[#This Row],[R-DEMAND]]</f>
        <v>3800</v>
      </c>
      <c r="T924" s="307">
        <f>Table24[[#This Row],[SEATS SOLD]]*Table24[[#This Row],[ECO SEAT]]</f>
        <v>10735000</v>
      </c>
      <c r="U924" s="307">
        <f>Table24[[#This Row],[SEATS SOLD]]*(IFERROR(VLOOKUP(Table24[[#This Row],[ROUTE]],PRICING!A:C,3,FALSE),0))</f>
        <v>12065000</v>
      </c>
      <c r="V924" s="307">
        <f>Table24[[#This Row],[SEAT REV]]-Table24[[#This Row],[SEAT REV
(IF IDEAL $)]]</f>
        <v>-1330000</v>
      </c>
      <c r="X924"/>
    </row>
    <row r="925" spans="1:24" x14ac:dyDescent="0.25">
      <c r="A925" s="306" t="s">
        <v>17070</v>
      </c>
      <c r="B925" s="306" t="s">
        <v>2024</v>
      </c>
      <c r="C925" s="306" t="s">
        <v>2</v>
      </c>
      <c r="D925" s="26">
        <v>1</v>
      </c>
      <c r="E925" s="312" t="s">
        <v>2022</v>
      </c>
      <c r="F925" s="306" t="str">
        <f>VLOOKUP(Table24[[#This Row],[Country]],Table10[[COUNTRY NAME]:[CONTINENT CODE]],3,FALSE)</f>
        <v>AF</v>
      </c>
      <c r="G925" s="312" t="s">
        <v>13208</v>
      </c>
      <c r="H925" s="309">
        <v>6100</v>
      </c>
      <c r="I925" s="310">
        <v>15.5</v>
      </c>
      <c r="J925" s="307">
        <v>159230492</v>
      </c>
      <c r="K925" s="307">
        <f>IFERROR(Table24[[#This Row],[ROUTE COST]]/Table24[[#This Row],[O - DEMAND]],0)</f>
        <v>47333.677764565989</v>
      </c>
      <c r="L925" s="306">
        <v>3364</v>
      </c>
      <c r="M925" s="310">
        <f>Table24[[#This Row],[O - DEMAND]]/950</f>
        <v>3.5410526315789475</v>
      </c>
      <c r="N925" s="306">
        <f>IFERROR(VLOOKUP(Table24[[#This Row],[ROUTE]],DEMAND!A:F,5,FALSE),0)</f>
        <v>3522</v>
      </c>
      <c r="O925" s="306">
        <f>IFERROR(VLOOKUP(Table24[[#This Row],[ROUTE]],DEMAND!A:F,6,FALSE),0)</f>
        <v>672</v>
      </c>
      <c r="P925" s="306">
        <f>ROUNDDOWN(Table24[[#This Row],[R-DEMAND]]/950,0)</f>
        <v>0</v>
      </c>
      <c r="Q925" s="306">
        <f>Table24[[#This Row],[ADD ACC
(475/950)]]*Table24[[#This Row],[Duration
(A359)]]</f>
        <v>0</v>
      </c>
      <c r="R925" s="307">
        <f>IFERROR(VLOOKUP(Table24[[#This Row],[ROUTE]],PRICING!A:B,2,FALSE),0)</f>
        <v>1729</v>
      </c>
      <c r="S925" s="308">
        <f>Table24[[#This Row],[C_DEMAND]]-Table24[[#This Row],[R-DEMAND]]</f>
        <v>2850</v>
      </c>
      <c r="T925" s="307">
        <f>Table24[[#This Row],[SEATS SOLD]]*Table24[[#This Row],[ECO SEAT]]</f>
        <v>4927650</v>
      </c>
      <c r="U925" s="307">
        <f>Table24[[#This Row],[SEATS SOLD]]*(IFERROR(VLOOKUP(Table24[[#This Row],[ROUTE]],PRICING!A:C,3,FALSE),0))</f>
        <v>5731350</v>
      </c>
      <c r="V925" s="307">
        <f>Table24[[#This Row],[SEAT REV]]-Table24[[#This Row],[SEAT REV
(IF IDEAL $)]]</f>
        <v>-803700</v>
      </c>
      <c r="X925"/>
    </row>
    <row r="926" spans="1:24" x14ac:dyDescent="0.25">
      <c r="A926" s="306" t="s">
        <v>17116</v>
      </c>
      <c r="B926" s="306" t="s">
        <v>3868</v>
      </c>
      <c r="C926" s="306" t="s">
        <v>2</v>
      </c>
      <c r="D926" s="26">
        <v>2</v>
      </c>
      <c r="E926" s="312" t="s">
        <v>1625</v>
      </c>
      <c r="F926" s="306" t="str">
        <f>VLOOKUP(Table24[[#This Row],[Country]],Table10[[COUNTRY NAME]:[CONTINENT CODE]],3,FALSE)</f>
        <v>AF</v>
      </c>
      <c r="G926" s="312" t="s">
        <v>11869</v>
      </c>
      <c r="H926" s="309">
        <v>11657</v>
      </c>
      <c r="I926" s="310">
        <v>27.75</v>
      </c>
      <c r="J926" s="307">
        <v>221975517</v>
      </c>
      <c r="K926" s="307">
        <f>IFERROR(Table24[[#This Row],[ROUTE COST]]/Table24[[#This Row],[O - DEMAND]],0)</f>
        <v>65421.608311229</v>
      </c>
      <c r="L926" s="306">
        <v>3393</v>
      </c>
      <c r="M926" s="310">
        <f>Table24[[#This Row],[O - DEMAND]]/950</f>
        <v>3.5715789473684212</v>
      </c>
      <c r="N926" s="306">
        <f>IFERROR(VLOOKUP(Table24[[#This Row],[ROUTE]],DEMAND!A:F,5,FALSE),0)</f>
        <v>3529</v>
      </c>
      <c r="O926" s="306">
        <f>IFERROR(VLOOKUP(Table24[[#This Row],[ROUTE]],DEMAND!A:F,6,FALSE),0)</f>
        <v>679</v>
      </c>
      <c r="P926" s="306">
        <f>ROUNDDOWN(Table24[[#This Row],[R-DEMAND]]/950,0)</f>
        <v>0</v>
      </c>
      <c r="Q926" s="306">
        <f>Table24[[#This Row],[ADD ACC
(475/950)]]*Table24[[#This Row],[Duration
(A359)]]</f>
        <v>0</v>
      </c>
      <c r="R926" s="307">
        <f>IFERROR(VLOOKUP(Table24[[#This Row],[ROUTE]],PRICING!A:B,2,FALSE),0)</f>
        <v>3285</v>
      </c>
      <c r="S926" s="308">
        <f>Table24[[#This Row],[C_DEMAND]]-Table24[[#This Row],[R-DEMAND]]</f>
        <v>2850</v>
      </c>
      <c r="T926" s="307">
        <f>Table24[[#This Row],[SEATS SOLD]]*Table24[[#This Row],[ECO SEAT]]</f>
        <v>9362250</v>
      </c>
      <c r="U926" s="307">
        <f>Table24[[#This Row],[SEATS SOLD]]*(IFERROR(VLOOKUP(Table24[[#This Row],[ROUTE]],PRICING!A:C,3,FALSE),0))</f>
        <v>10639050</v>
      </c>
      <c r="V926" s="307">
        <f>Table24[[#This Row],[SEAT REV]]-Table24[[#This Row],[SEAT REV
(IF IDEAL $)]]</f>
        <v>-1276800</v>
      </c>
      <c r="X926"/>
    </row>
    <row r="927" spans="1:24" x14ac:dyDescent="0.25">
      <c r="A927" s="306" t="s">
        <v>17302</v>
      </c>
      <c r="B927" s="306" t="s">
        <v>5196</v>
      </c>
      <c r="C927" s="306" t="s">
        <v>2</v>
      </c>
      <c r="D927" s="26">
        <v>3</v>
      </c>
      <c r="E927" s="312" t="s">
        <v>1654</v>
      </c>
      <c r="F927" s="306" t="str">
        <f>VLOOKUP(Table24[[#This Row],[Country]],Table10[[COUNTRY NAME]:[CONTINENT CODE]],3,FALSE)</f>
        <v>AS</v>
      </c>
      <c r="G927" s="312" t="s">
        <v>11890</v>
      </c>
      <c r="H927" s="309">
        <v>10518</v>
      </c>
      <c r="I927" s="310">
        <v>25.25</v>
      </c>
      <c r="J927" s="307">
        <v>227499904</v>
      </c>
      <c r="K927" s="307">
        <f>IFERROR(Table24[[#This Row],[ROUTE COST]]/Table24[[#This Row],[O - DEMAND]],0)</f>
        <v>53141.76687689792</v>
      </c>
      <c r="L927" s="306">
        <v>4281</v>
      </c>
      <c r="M927" s="310">
        <f>Table24[[#This Row],[O - DEMAND]]/950</f>
        <v>4.5063157894736845</v>
      </c>
      <c r="N927" s="306">
        <f>IFERROR(VLOOKUP(Table24[[#This Row],[ROUTE]],DEMAND!A:F,5,FALSE),0)</f>
        <v>4481</v>
      </c>
      <c r="O927" s="306">
        <f>IFERROR(VLOOKUP(Table24[[#This Row],[ROUTE]],DEMAND!A:F,6,FALSE),0)</f>
        <v>681</v>
      </c>
      <c r="P927" s="306">
        <f>ROUNDDOWN(Table24[[#This Row],[R-DEMAND]]/950,0)</f>
        <v>0</v>
      </c>
      <c r="Q927" s="306">
        <f>Table24[[#This Row],[ADD ACC
(475/950)]]*Table24[[#This Row],[Duration
(A359)]]</f>
        <v>0</v>
      </c>
      <c r="R927" s="307">
        <f>IFERROR(VLOOKUP(Table24[[#This Row],[ROUTE]],PRICING!A:B,2,FALSE),0)</f>
        <v>2906</v>
      </c>
      <c r="S927" s="308">
        <f>Table24[[#This Row],[C_DEMAND]]-Table24[[#This Row],[R-DEMAND]]</f>
        <v>3800</v>
      </c>
      <c r="T927" s="307">
        <f>Table24[[#This Row],[SEATS SOLD]]*Table24[[#This Row],[ECO SEAT]]</f>
        <v>11042800</v>
      </c>
      <c r="U927" s="307">
        <f>Table24[[#This Row],[SEATS SOLD]]*(IFERROR(VLOOKUP(Table24[[#This Row],[ROUTE]],PRICING!A:C,3,FALSE),0))</f>
        <v>12844000</v>
      </c>
      <c r="V927" s="307">
        <f>Table24[[#This Row],[SEAT REV]]-Table24[[#This Row],[SEAT REV
(IF IDEAL $)]]</f>
        <v>-1801200</v>
      </c>
      <c r="X927"/>
    </row>
    <row r="928" spans="1:24" x14ac:dyDescent="0.25">
      <c r="A928" s="306" t="s">
        <v>18078</v>
      </c>
      <c r="B928" s="306" t="s">
        <v>4456</v>
      </c>
      <c r="C928" s="306" t="s">
        <v>2</v>
      </c>
      <c r="D928" s="26">
        <v>2</v>
      </c>
      <c r="E928" s="312" t="s">
        <v>1144</v>
      </c>
      <c r="F928" s="306" t="str">
        <f>VLOOKUP(Table24[[#This Row],[Country]],Table10[[COUNTRY NAME]:[CONTINENT CODE]],3,FALSE)</f>
        <v>SA</v>
      </c>
      <c r="G928" s="312" t="s">
        <v>13149</v>
      </c>
      <c r="H928" s="309">
        <v>3929</v>
      </c>
      <c r="I928" s="310">
        <v>10.75</v>
      </c>
      <c r="J928" s="307">
        <v>148959371</v>
      </c>
      <c r="K928" s="307">
        <f>IFERROR(Table24[[#This Row],[ROUTE COST]]/Table24[[#This Row],[O - DEMAND]],0)</f>
        <v>44867.280421686744</v>
      </c>
      <c r="L928" s="306">
        <v>3320</v>
      </c>
      <c r="M928" s="310">
        <f>Table24[[#This Row],[O - DEMAND]]/950</f>
        <v>3.4947368421052634</v>
      </c>
      <c r="N928" s="306">
        <f>IFERROR(VLOOKUP(Table24[[#This Row],[ROUTE]],DEMAND!A:F,5,FALSE),0)</f>
        <v>3531</v>
      </c>
      <c r="O928" s="306">
        <f>IFERROR(VLOOKUP(Table24[[#This Row],[ROUTE]],DEMAND!A:F,6,FALSE),0)</f>
        <v>681</v>
      </c>
      <c r="P928" s="306">
        <f>ROUNDDOWN(Table24[[#This Row],[R-DEMAND]]/950,0)</f>
        <v>0</v>
      </c>
      <c r="Q928" s="306">
        <f>Table24[[#This Row],[ADD ACC
(475/950)]]*Table24[[#This Row],[Duration
(A359)]]</f>
        <v>0</v>
      </c>
      <c r="R928" s="307">
        <f>IFERROR(VLOOKUP(Table24[[#This Row],[ROUTE]],PRICING!A:B,2,FALSE),0)</f>
        <v>1082</v>
      </c>
      <c r="S928" s="308">
        <f>Table24[[#This Row],[C_DEMAND]]-Table24[[#This Row],[R-DEMAND]]</f>
        <v>2850</v>
      </c>
      <c r="T928" s="307">
        <f>Table24[[#This Row],[SEATS SOLD]]*Table24[[#This Row],[ECO SEAT]]</f>
        <v>3083700</v>
      </c>
      <c r="U928" s="307">
        <f>Table24[[#This Row],[SEATS SOLD]]*(IFERROR(VLOOKUP(Table24[[#This Row],[ROUTE]],PRICING!A:C,3,FALSE),0))</f>
        <v>3810450</v>
      </c>
      <c r="V928" s="307">
        <f>Table24[[#This Row],[SEAT REV]]-Table24[[#This Row],[SEAT REV
(IF IDEAL $)]]</f>
        <v>-726750</v>
      </c>
      <c r="X928"/>
    </row>
    <row r="929" spans="1:24" x14ac:dyDescent="0.25">
      <c r="A929" s="306" t="s">
        <v>17750</v>
      </c>
      <c r="B929" s="306" t="s">
        <v>5070</v>
      </c>
      <c r="C929" s="306" t="s">
        <v>2</v>
      </c>
      <c r="D929" s="26">
        <v>3</v>
      </c>
      <c r="E929" s="312" t="s">
        <v>1749</v>
      </c>
      <c r="F929" s="306" t="str">
        <f>VLOOKUP(Table24[[#This Row],[Country]],Table10[[COUNTRY NAME]:[CONTINENT CODE]],3,FALSE)</f>
        <v>NA</v>
      </c>
      <c r="G929" s="312" t="s">
        <v>13224</v>
      </c>
      <c r="H929" s="309">
        <v>2867</v>
      </c>
      <c r="I929" s="310">
        <v>8.5</v>
      </c>
      <c r="J929" s="307">
        <v>147033729</v>
      </c>
      <c r="K929" s="307">
        <f>IFERROR(Table24[[#This Row],[ROUTE COST]]/Table24[[#This Row],[O - DEMAND]],0)</f>
        <v>44394.241847826088</v>
      </c>
      <c r="L929" s="306">
        <v>3312</v>
      </c>
      <c r="M929" s="310">
        <f>Table24[[#This Row],[O - DEMAND]]/950</f>
        <v>3.486315789473684</v>
      </c>
      <c r="N929" s="306">
        <f>IFERROR(VLOOKUP(Table24[[#This Row],[ROUTE]],DEMAND!A:F,5,FALSE),0)</f>
        <v>3533</v>
      </c>
      <c r="O929" s="306">
        <f>IFERROR(VLOOKUP(Table24[[#This Row],[ROUTE]],DEMAND!A:F,6,FALSE),0)</f>
        <v>683</v>
      </c>
      <c r="P929" s="306">
        <f>ROUNDDOWN(Table24[[#This Row],[R-DEMAND]]/950,0)</f>
        <v>0</v>
      </c>
      <c r="Q929" s="306">
        <f>Table24[[#This Row],[ADD ACC
(475/950)]]*Table24[[#This Row],[Duration
(A359)]]</f>
        <v>0</v>
      </c>
      <c r="R929" s="307">
        <f>IFERROR(VLOOKUP(Table24[[#This Row],[ROUTE]],PRICING!A:B,2,FALSE),0)</f>
        <v>806</v>
      </c>
      <c r="S929" s="308">
        <f>Table24[[#This Row],[C_DEMAND]]-Table24[[#This Row],[R-DEMAND]]</f>
        <v>2850</v>
      </c>
      <c r="T929" s="307">
        <f>Table24[[#This Row],[SEATS SOLD]]*Table24[[#This Row],[ECO SEAT]]</f>
        <v>2297100</v>
      </c>
      <c r="U929" s="307">
        <f>Table24[[#This Row],[SEATS SOLD]]*(IFERROR(VLOOKUP(Table24[[#This Row],[ROUTE]],PRICING!A:C,3,FALSE),0))</f>
        <v>2872800</v>
      </c>
      <c r="V929" s="307">
        <f>Table24[[#This Row],[SEAT REV]]-Table24[[#This Row],[SEAT REV
(IF IDEAL $)]]</f>
        <v>-575700</v>
      </c>
      <c r="X929"/>
    </row>
    <row r="930" spans="1:24" x14ac:dyDescent="0.25">
      <c r="A930" s="306" t="s">
        <v>17112</v>
      </c>
      <c r="B930" s="306" t="s">
        <v>1965</v>
      </c>
      <c r="C930" s="306" t="s">
        <v>2</v>
      </c>
      <c r="D930" s="26">
        <v>1</v>
      </c>
      <c r="E930" s="312" t="s">
        <v>644</v>
      </c>
      <c r="F930" s="306" t="str">
        <f>VLOOKUP(Table24[[#This Row],[Country]],Table10[[COUNTRY NAME]:[CONTINENT CODE]],3,FALSE)</f>
        <v>AF</v>
      </c>
      <c r="G930" s="312" t="s">
        <v>11839</v>
      </c>
      <c r="H930" s="309">
        <v>10526</v>
      </c>
      <c r="I930" s="310">
        <v>25.25</v>
      </c>
      <c r="J930" s="307">
        <v>201393254</v>
      </c>
      <c r="K930" s="307">
        <f>IFERROR(Table24[[#This Row],[ROUTE COST]]/Table24[[#This Row],[O - DEMAND]],0)</f>
        <v>60405.895020995798</v>
      </c>
      <c r="L930" s="306">
        <v>3334</v>
      </c>
      <c r="M930" s="310">
        <f>Table24[[#This Row],[O - DEMAND]]/950</f>
        <v>3.5094736842105263</v>
      </c>
      <c r="N930" s="306">
        <f>IFERROR(VLOOKUP(Table24[[#This Row],[ROUTE]],DEMAND!A:F,5,FALSE),0)</f>
        <v>3534</v>
      </c>
      <c r="O930" s="306">
        <f>IFERROR(VLOOKUP(Table24[[#This Row],[ROUTE]],DEMAND!A:F,6,FALSE),0)</f>
        <v>684</v>
      </c>
      <c r="P930" s="306">
        <f>ROUNDDOWN(Table24[[#This Row],[R-DEMAND]]/950,0)</f>
        <v>0</v>
      </c>
      <c r="Q930" s="306">
        <f>Table24[[#This Row],[ADD ACC
(475/950)]]*Table24[[#This Row],[Duration
(A359)]]</f>
        <v>0</v>
      </c>
      <c r="R930" s="307">
        <f>IFERROR(VLOOKUP(Table24[[#This Row],[ROUTE]],PRICING!A:B,2,FALSE),0)</f>
        <v>2774</v>
      </c>
      <c r="S930" s="308">
        <f>Table24[[#This Row],[C_DEMAND]]-Table24[[#This Row],[R-DEMAND]]</f>
        <v>2850</v>
      </c>
      <c r="T930" s="307">
        <f>Table24[[#This Row],[SEATS SOLD]]*Table24[[#This Row],[ECO SEAT]]</f>
        <v>7905900</v>
      </c>
      <c r="U930" s="307">
        <f>Table24[[#This Row],[SEATS SOLD]]*(IFERROR(VLOOKUP(Table24[[#This Row],[ROUTE]],PRICING!A:C,3,FALSE),0))</f>
        <v>9641550</v>
      </c>
      <c r="V930" s="307">
        <f>Table24[[#This Row],[SEAT REV]]-Table24[[#This Row],[SEAT REV
(IF IDEAL $)]]</f>
        <v>-1735650</v>
      </c>
      <c r="X930"/>
    </row>
    <row r="931" spans="1:24" x14ac:dyDescent="0.25">
      <c r="A931" s="306" t="s">
        <v>17264</v>
      </c>
      <c r="B931" s="306" t="s">
        <v>448</v>
      </c>
      <c r="C931" s="306" t="s">
        <v>2</v>
      </c>
      <c r="D931" s="26">
        <v>3</v>
      </c>
      <c r="E931" s="312" t="s">
        <v>1070</v>
      </c>
      <c r="F931" s="306" t="str">
        <f>VLOOKUP(Table24[[#This Row],[Country]],Table10[[COUNTRY NAME]:[CONTINENT CODE]],3,FALSE)</f>
        <v>AS</v>
      </c>
      <c r="G931" s="312" t="s">
        <v>12031</v>
      </c>
      <c r="H931" s="309">
        <v>14022</v>
      </c>
      <c r="I931" s="310">
        <v>33</v>
      </c>
      <c r="J931" s="307">
        <v>263607551</v>
      </c>
      <c r="K931" s="307">
        <f>IFERROR(Table24[[#This Row],[ROUTE COST]]/Table24[[#This Row],[O - DEMAND]],0)</f>
        <v>77010.678060181133</v>
      </c>
      <c r="L931" s="306">
        <v>3423</v>
      </c>
      <c r="M931" s="310">
        <f>Table24[[#This Row],[O - DEMAND]]/950</f>
        <v>3.6031578947368419</v>
      </c>
      <c r="N931" s="306">
        <f>IFERROR(VLOOKUP(Table24[[#This Row],[ROUTE]],DEMAND!A:F,5,FALSE),0)</f>
        <v>3537</v>
      </c>
      <c r="O931" s="306">
        <f>IFERROR(VLOOKUP(Table24[[#This Row],[ROUTE]],DEMAND!A:F,6,FALSE),0)</f>
        <v>687</v>
      </c>
      <c r="P931" s="306">
        <f>ROUNDDOWN(Table24[[#This Row],[R-DEMAND]]/950,0)</f>
        <v>0</v>
      </c>
      <c r="Q931" s="306">
        <f>Table24[[#This Row],[ADD ACC
(475/950)]]*Table24[[#This Row],[Duration
(A359)]]</f>
        <v>0</v>
      </c>
      <c r="R931" s="307">
        <f>IFERROR(VLOOKUP(Table24[[#This Row],[ROUTE]],PRICING!A:B,2,FALSE),0)</f>
        <v>4019</v>
      </c>
      <c r="S931" s="308">
        <f>Table24[[#This Row],[C_DEMAND]]-Table24[[#This Row],[R-DEMAND]]</f>
        <v>2850</v>
      </c>
      <c r="T931" s="307">
        <f>Table24[[#This Row],[SEATS SOLD]]*Table24[[#This Row],[ECO SEAT]]</f>
        <v>11454150</v>
      </c>
      <c r="U931" s="307">
        <f>Table24[[#This Row],[SEATS SOLD]]*(IFERROR(VLOOKUP(Table24[[#This Row],[ROUTE]],PRICING!A:C,3,FALSE),0))</f>
        <v>12728100</v>
      </c>
      <c r="V931" s="307">
        <f>Table24[[#This Row],[SEAT REV]]-Table24[[#This Row],[SEAT REV
(IF IDEAL $)]]</f>
        <v>-1273950</v>
      </c>
      <c r="X931"/>
    </row>
    <row r="932" spans="1:24" x14ac:dyDescent="0.25">
      <c r="A932" s="306" t="s">
        <v>17038</v>
      </c>
      <c r="B932" s="306" t="s">
        <v>452</v>
      </c>
      <c r="C932" s="306" t="s">
        <v>2</v>
      </c>
      <c r="D932" s="26">
        <v>4</v>
      </c>
      <c r="E932" s="312" t="s">
        <v>730</v>
      </c>
      <c r="F932" s="306" t="str">
        <f>VLOOKUP(Table24[[#This Row],[Country]],Table10[[COUNTRY NAME]:[CONTINENT CODE]],3,FALSE)</f>
        <v>OC</v>
      </c>
      <c r="G932" s="312" t="s">
        <v>11116</v>
      </c>
      <c r="H932" s="309">
        <v>13248</v>
      </c>
      <c r="I932" s="310">
        <v>31.25</v>
      </c>
      <c r="J932" s="307">
        <v>271116319</v>
      </c>
      <c r="K932" s="307">
        <f>IFERROR(Table24[[#This Row],[ROUTE COST]]/Table24[[#This Row],[O - DEMAND]],0)</f>
        <v>63433.860318203086</v>
      </c>
      <c r="L932" s="306">
        <v>4274</v>
      </c>
      <c r="M932" s="310">
        <f>Table24[[#This Row],[O - DEMAND]]/950</f>
        <v>4.498947368421053</v>
      </c>
      <c r="N932" s="306">
        <f>IFERROR(VLOOKUP(Table24[[#This Row],[ROUTE]],DEMAND!A:F,5,FALSE),0)</f>
        <v>4488</v>
      </c>
      <c r="O932" s="306">
        <f>IFERROR(VLOOKUP(Table24[[#This Row],[ROUTE]],DEMAND!A:F,6,FALSE),0)</f>
        <v>688</v>
      </c>
      <c r="P932" s="306">
        <f>ROUNDDOWN(Table24[[#This Row],[R-DEMAND]]/950,0)</f>
        <v>0</v>
      </c>
      <c r="Q932" s="306">
        <f>Table24[[#This Row],[ADD ACC
(475/950)]]*Table24[[#This Row],[Duration
(A359)]]</f>
        <v>0</v>
      </c>
      <c r="R932" s="307">
        <f>IFERROR(VLOOKUP(Table24[[#This Row],[ROUTE]],PRICING!A:B,2,FALSE),0)</f>
        <v>3592</v>
      </c>
      <c r="S932" s="308">
        <f>Table24[[#This Row],[C_DEMAND]]-Table24[[#This Row],[R-DEMAND]]</f>
        <v>3800</v>
      </c>
      <c r="T932" s="307">
        <f>Table24[[#This Row],[SEATS SOLD]]*Table24[[#This Row],[ECO SEAT]]</f>
        <v>13649600</v>
      </c>
      <c r="U932" s="307">
        <f>Table24[[#This Row],[SEATS SOLD]]*(IFERROR(VLOOKUP(Table24[[#This Row],[ROUTE]],PRICING!A:C,3,FALSE),0))</f>
        <v>16058800</v>
      </c>
      <c r="V932" s="307">
        <f>Table24[[#This Row],[SEAT REV]]-Table24[[#This Row],[SEAT REV
(IF IDEAL $)]]</f>
        <v>-2409200</v>
      </c>
      <c r="X932"/>
    </row>
    <row r="933" spans="1:24" x14ac:dyDescent="0.25">
      <c r="A933" s="306" t="s">
        <v>18017</v>
      </c>
      <c r="B933" s="306" t="s">
        <v>3901</v>
      </c>
      <c r="C933" s="306" t="s">
        <v>2</v>
      </c>
      <c r="D933" s="26">
        <v>2</v>
      </c>
      <c r="E933" s="312" t="s">
        <v>11669</v>
      </c>
      <c r="F933" s="306" t="str">
        <f>VLOOKUP(Table24[[#This Row],[Country]],Table10[[COUNTRY NAME]:[CONTINENT CODE]],3,FALSE)</f>
        <v>SA</v>
      </c>
      <c r="G933" s="312" t="s">
        <v>16912</v>
      </c>
      <c r="H933" s="309">
        <v>7659</v>
      </c>
      <c r="I933" s="310">
        <v>19</v>
      </c>
      <c r="J933" s="307">
        <v>181631355</v>
      </c>
      <c r="K933" s="307">
        <f>IFERROR(Table24[[#This Row],[ROUTE COST]]/Table24[[#This Row],[O - DEMAND]],0)</f>
        <v>73654.239659367391</v>
      </c>
      <c r="L933" s="306">
        <v>2466</v>
      </c>
      <c r="M933" s="310">
        <f>Table24[[#This Row],[O - DEMAND]]/950</f>
        <v>2.5957894736842104</v>
      </c>
      <c r="N933" s="306">
        <f>IFERROR(VLOOKUP(Table24[[#This Row],[ROUTE]],DEMAND!A:F,5,FALSE),0)</f>
        <v>2590</v>
      </c>
      <c r="O933" s="306">
        <f>IFERROR(VLOOKUP(Table24[[#This Row],[ROUTE]],DEMAND!A:F,6,FALSE),0)</f>
        <v>690</v>
      </c>
      <c r="P933" s="306">
        <f>ROUNDDOWN(Table24[[#This Row],[R-DEMAND]]/950,0)</f>
        <v>0</v>
      </c>
      <c r="Q933" s="306">
        <f>Table24[[#This Row],[ADD ACC
(475/950)]]*Table24[[#This Row],[Duration
(A359)]]</f>
        <v>0</v>
      </c>
      <c r="R933" s="307">
        <f>IFERROR(VLOOKUP(Table24[[#This Row],[ROUTE]],PRICING!A:B,2,FALSE),0)</f>
        <v>2119</v>
      </c>
      <c r="S933" s="308">
        <f>Table24[[#This Row],[C_DEMAND]]-Table24[[#This Row],[R-DEMAND]]</f>
        <v>1900</v>
      </c>
      <c r="T933" s="307">
        <f>Table24[[#This Row],[SEATS SOLD]]*Table24[[#This Row],[ECO SEAT]]</f>
        <v>4026100</v>
      </c>
      <c r="U933" s="307">
        <f>Table24[[#This Row],[SEATS SOLD]]*(IFERROR(VLOOKUP(Table24[[#This Row],[ROUTE]],PRICING!A:C,3,FALSE),0))</f>
        <v>4738600</v>
      </c>
      <c r="V933" s="307">
        <f>Table24[[#This Row],[SEAT REV]]-Table24[[#This Row],[SEAT REV
(IF IDEAL $)]]</f>
        <v>-712500</v>
      </c>
      <c r="X933"/>
    </row>
    <row r="934" spans="1:24" x14ac:dyDescent="0.25">
      <c r="A934" s="306" t="s">
        <v>17212</v>
      </c>
      <c r="B934" s="306" t="s">
        <v>217</v>
      </c>
      <c r="C934" s="306" t="s">
        <v>2</v>
      </c>
      <c r="D934" s="26">
        <v>4</v>
      </c>
      <c r="E934" s="312" t="s">
        <v>14</v>
      </c>
      <c r="F934" s="306" t="str">
        <f>VLOOKUP(Table24[[#This Row],[Country]],Table10[[COUNTRY NAME]:[CONTINENT CODE]],3,FALSE)</f>
        <v>AS</v>
      </c>
      <c r="G934" s="312" t="s">
        <v>11071</v>
      </c>
      <c r="H934" s="309">
        <v>15143</v>
      </c>
      <c r="I934" s="310">
        <v>35.25</v>
      </c>
      <c r="J934" s="307">
        <v>294034001</v>
      </c>
      <c r="K934" s="307">
        <f>IFERROR(Table24[[#This Row],[ROUTE COST]]/Table24[[#This Row],[O - DEMAND]],0)</f>
        <v>86075.527224824356</v>
      </c>
      <c r="L934" s="306">
        <v>3416</v>
      </c>
      <c r="M934" s="310">
        <f>Table24[[#This Row],[O - DEMAND]]/950</f>
        <v>3.5957894736842104</v>
      </c>
      <c r="N934" s="306">
        <f>IFERROR(VLOOKUP(Table24[[#This Row],[ROUTE]],DEMAND!A:F,5,FALSE),0)</f>
        <v>3542</v>
      </c>
      <c r="O934" s="306">
        <f>IFERROR(VLOOKUP(Table24[[#This Row],[ROUTE]],DEMAND!A:F,6,FALSE),0)</f>
        <v>-2158</v>
      </c>
      <c r="P934" s="306">
        <f>ROUNDDOWN(Table24[[#This Row],[R-DEMAND]]/950,0)</f>
        <v>-2</v>
      </c>
      <c r="Q934" s="306">
        <f>Table24[[#This Row],[ADD ACC
(475/950)]]*Table24[[#This Row],[Duration
(A359)]]</f>
        <v>-70.5</v>
      </c>
      <c r="R934" s="307">
        <f>IFERROR(VLOOKUP(Table24[[#This Row],[ROUTE]],PRICING!A:B,2,FALSE),0)</f>
        <v>4284</v>
      </c>
      <c r="S934" s="308">
        <f>Table24[[#This Row],[C_DEMAND]]-Table24[[#This Row],[R-DEMAND]]</f>
        <v>5700</v>
      </c>
      <c r="T934" s="307">
        <f>Table24[[#This Row],[SEATS SOLD]]*Table24[[#This Row],[ECO SEAT]]</f>
        <v>24418800</v>
      </c>
      <c r="U934" s="307">
        <f>Table24[[#This Row],[SEATS SOLD]]*(IFERROR(VLOOKUP(Table24[[#This Row],[ROUTE]],PRICING!A:C,3,FALSE),0))</f>
        <v>27439800</v>
      </c>
      <c r="V934" s="307">
        <f>Table24[[#This Row],[SEAT REV]]-Table24[[#This Row],[SEAT REV
(IF IDEAL $)]]</f>
        <v>-3021000</v>
      </c>
      <c r="X934"/>
    </row>
    <row r="935" spans="1:24" x14ac:dyDescent="0.25">
      <c r="A935" s="306" t="s">
        <v>18019</v>
      </c>
      <c r="B935" s="306" t="s">
        <v>3850</v>
      </c>
      <c r="C935" s="306" t="s">
        <v>2</v>
      </c>
      <c r="D935" s="26">
        <v>2</v>
      </c>
      <c r="E935" s="312" t="s">
        <v>11669</v>
      </c>
      <c r="F935" s="306" t="str">
        <f>VLOOKUP(Table24[[#This Row],[Country]],Table10[[COUNTRY NAME]:[CONTINENT CODE]],3,FALSE)</f>
        <v>SA</v>
      </c>
      <c r="G935" s="312" t="s">
        <v>16925</v>
      </c>
      <c r="H935" s="309">
        <v>6910</v>
      </c>
      <c r="I935" s="310">
        <v>17.25</v>
      </c>
      <c r="J935" s="307">
        <v>173661674</v>
      </c>
      <c r="K935" s="307">
        <f>IFERROR(Table24[[#This Row],[ROUTE COST]]/Table24[[#This Row],[O - DEMAND]],0)</f>
        <v>71027.269529652345</v>
      </c>
      <c r="L935" s="306">
        <v>2445</v>
      </c>
      <c r="M935" s="310">
        <f>Table24[[#This Row],[O - DEMAND]]/950</f>
        <v>2.5736842105263156</v>
      </c>
      <c r="N935" s="306">
        <f>IFERROR(VLOOKUP(Table24[[#This Row],[ROUTE]],DEMAND!A:F,5,FALSE),0)</f>
        <v>2593</v>
      </c>
      <c r="O935" s="306">
        <f>IFERROR(VLOOKUP(Table24[[#This Row],[ROUTE]],DEMAND!A:F,6,FALSE),0)</f>
        <v>693</v>
      </c>
      <c r="P935" s="306">
        <f>ROUNDDOWN(Table24[[#This Row],[R-DEMAND]]/950,0)</f>
        <v>0</v>
      </c>
      <c r="Q935" s="306">
        <f>Table24[[#This Row],[ADD ACC
(475/950)]]*Table24[[#This Row],[Duration
(A359)]]</f>
        <v>0</v>
      </c>
      <c r="R935" s="307">
        <f>IFERROR(VLOOKUP(Table24[[#This Row],[ROUTE]],PRICING!A:B,2,FALSE),0)</f>
        <v>1854</v>
      </c>
      <c r="S935" s="308">
        <f>Table24[[#This Row],[C_DEMAND]]-Table24[[#This Row],[R-DEMAND]]</f>
        <v>1900</v>
      </c>
      <c r="T935" s="307">
        <f>Table24[[#This Row],[SEATS SOLD]]*Table24[[#This Row],[ECO SEAT]]</f>
        <v>3522600</v>
      </c>
      <c r="U935" s="307">
        <f>Table24[[#This Row],[SEATS SOLD]]*(IFERROR(VLOOKUP(Table24[[#This Row],[ROUTE]],PRICING!A:C,3,FALSE),0))</f>
        <v>4297800</v>
      </c>
      <c r="V935" s="307">
        <f>Table24[[#This Row],[SEAT REV]]-Table24[[#This Row],[SEAT REV
(IF IDEAL $)]]</f>
        <v>-775200</v>
      </c>
      <c r="X935"/>
    </row>
    <row r="936" spans="1:24" x14ac:dyDescent="0.25">
      <c r="A936" s="306" t="s">
        <v>17845</v>
      </c>
      <c r="B936" s="306" t="s">
        <v>5680</v>
      </c>
      <c r="C936" s="306" t="s">
        <v>2</v>
      </c>
      <c r="D936" s="26">
        <v>5</v>
      </c>
      <c r="E936" s="312" t="s">
        <v>11732</v>
      </c>
      <c r="F936" s="306" t="str">
        <f>VLOOKUP(Table24[[#This Row],[Country]],Table10[[COUNTRY NAME]:[CONTINENT CODE]],3,FALSE)</f>
        <v>NA - US</v>
      </c>
      <c r="G936" s="312" t="s">
        <v>17028</v>
      </c>
      <c r="H936" s="309">
        <v>1160</v>
      </c>
      <c r="I936" s="310">
        <v>4.75</v>
      </c>
      <c r="J936" s="307">
        <v>156977040</v>
      </c>
      <c r="K936" s="307">
        <f>IFERROR(Table24[[#This Row],[ROUTE COST]]/Table24[[#This Row],[O - DEMAND]],0)</f>
        <v>62690.511182108625</v>
      </c>
      <c r="L936" s="306">
        <v>2504</v>
      </c>
      <c r="M936" s="310">
        <f>Table24[[#This Row],[O - DEMAND]]/950</f>
        <v>2.6357894736842105</v>
      </c>
      <c r="N936" s="306">
        <f>IFERROR(VLOOKUP(Table24[[#This Row],[ROUTE]],DEMAND!A:F,5,FALSE),0)</f>
        <v>2596</v>
      </c>
      <c r="O936" s="306">
        <f>IFERROR(VLOOKUP(Table24[[#This Row],[ROUTE]],DEMAND!A:F,6,FALSE),0)</f>
        <v>696</v>
      </c>
      <c r="P936" s="306">
        <f>ROUNDDOWN(Table24[[#This Row],[R-DEMAND]]/950,0)</f>
        <v>0</v>
      </c>
      <c r="Q936" s="306">
        <f>Table24[[#This Row],[ADD ACC
(475/950)]]*Table24[[#This Row],[Duration
(A359)]]</f>
        <v>0</v>
      </c>
      <c r="R936" s="307">
        <f>IFERROR(VLOOKUP(Table24[[#This Row],[ROUTE]],PRICING!A:B,2,FALSE),0)</f>
        <v>426</v>
      </c>
      <c r="S936" s="308">
        <f>Table24[[#This Row],[C_DEMAND]]-Table24[[#This Row],[R-DEMAND]]</f>
        <v>1900</v>
      </c>
      <c r="T936" s="307">
        <f>Table24[[#This Row],[SEATS SOLD]]*Table24[[#This Row],[ECO SEAT]]</f>
        <v>809400</v>
      </c>
      <c r="U936" s="307">
        <f>Table24[[#This Row],[SEATS SOLD]]*(IFERROR(VLOOKUP(Table24[[#This Row],[ROUTE]],PRICING!A:C,3,FALSE),0))</f>
        <v>910100</v>
      </c>
      <c r="V936" s="307">
        <f>Table24[[#This Row],[SEAT REV]]-Table24[[#This Row],[SEAT REV
(IF IDEAL $)]]</f>
        <v>-100700</v>
      </c>
      <c r="X936"/>
    </row>
    <row r="937" spans="1:24" x14ac:dyDescent="0.25">
      <c r="A937" s="306" t="s">
        <v>17833</v>
      </c>
      <c r="B937" s="306" t="s">
        <v>5758</v>
      </c>
      <c r="C937" s="306" t="s">
        <v>2</v>
      </c>
      <c r="D937" s="26">
        <v>5</v>
      </c>
      <c r="E937" s="312" t="s">
        <v>11732</v>
      </c>
      <c r="F937" s="306" t="str">
        <f>VLOOKUP(Table24[[#This Row],[Country]],Table10[[COUNTRY NAME]:[CONTINENT CODE]],3,FALSE)</f>
        <v>NA - US</v>
      </c>
      <c r="G937" s="312" t="s">
        <v>13316</v>
      </c>
      <c r="H937" s="309">
        <v>2934</v>
      </c>
      <c r="I937" s="310">
        <v>8.5</v>
      </c>
      <c r="J937" s="307">
        <v>190157623</v>
      </c>
      <c r="K937" s="307">
        <f>IFERROR(Table24[[#This Row],[ROUTE COST]]/Table24[[#This Row],[O - DEMAND]],0)</f>
        <v>55601.644152046785</v>
      </c>
      <c r="L937" s="306">
        <v>3420</v>
      </c>
      <c r="M937" s="310">
        <f>Table24[[#This Row],[O - DEMAND]]/950</f>
        <v>3.6</v>
      </c>
      <c r="N937" s="306">
        <f>IFERROR(VLOOKUP(Table24[[#This Row],[ROUTE]],DEMAND!A:F,5,FALSE),0)</f>
        <v>3547</v>
      </c>
      <c r="O937" s="306">
        <f>IFERROR(VLOOKUP(Table24[[#This Row],[ROUTE]],DEMAND!A:F,6,FALSE),0)</f>
        <v>697</v>
      </c>
      <c r="P937" s="306">
        <f>ROUNDDOWN(Table24[[#This Row],[R-DEMAND]]/950,0)</f>
        <v>0</v>
      </c>
      <c r="Q937" s="306">
        <f>Table24[[#This Row],[ADD ACC
(475/950)]]*Table24[[#This Row],[Duration
(A359)]]</f>
        <v>0</v>
      </c>
      <c r="R937" s="307">
        <f>IFERROR(VLOOKUP(Table24[[#This Row],[ROUTE]],PRICING!A:B,2,FALSE),0)</f>
        <v>915</v>
      </c>
      <c r="S937" s="308">
        <f>Table24[[#This Row],[C_DEMAND]]-Table24[[#This Row],[R-DEMAND]]</f>
        <v>2850</v>
      </c>
      <c r="T937" s="307">
        <f>Table24[[#This Row],[SEATS SOLD]]*Table24[[#This Row],[ECO SEAT]]</f>
        <v>2607750</v>
      </c>
      <c r="U937" s="307">
        <f>Table24[[#This Row],[SEATS SOLD]]*(IFERROR(VLOOKUP(Table24[[#This Row],[ROUTE]],PRICING!A:C,3,FALSE),0))</f>
        <v>2932650</v>
      </c>
      <c r="V937" s="307">
        <f>Table24[[#This Row],[SEAT REV]]-Table24[[#This Row],[SEAT REV
(IF IDEAL $)]]</f>
        <v>-324900</v>
      </c>
      <c r="X937"/>
    </row>
    <row r="938" spans="1:24" x14ac:dyDescent="0.25">
      <c r="A938" s="306" t="s">
        <v>17848</v>
      </c>
      <c r="B938" s="306" t="s">
        <v>5620</v>
      </c>
      <c r="C938" s="306" t="s">
        <v>2</v>
      </c>
      <c r="D938" s="26">
        <v>4</v>
      </c>
      <c r="E938" s="312" t="s">
        <v>11732</v>
      </c>
      <c r="F938" s="306" t="str">
        <f>VLOOKUP(Table24[[#This Row],[Country]],Table10[[COUNTRY NAME]:[CONTINENT CODE]],3,FALSE)</f>
        <v>NA - US</v>
      </c>
      <c r="G938" s="312" t="s">
        <v>13257</v>
      </c>
      <c r="H938" s="309">
        <v>5490</v>
      </c>
      <c r="I938" s="310">
        <v>14.25</v>
      </c>
      <c r="J938" s="307">
        <v>193803940</v>
      </c>
      <c r="K938" s="307">
        <f>IFERROR(Table24[[#This Row],[ROUTE COST]]/Table24[[#This Row],[O - DEMAND]],0)</f>
        <v>78336.273241713818</v>
      </c>
      <c r="L938" s="306">
        <v>2474</v>
      </c>
      <c r="M938" s="310">
        <f>Table24[[#This Row],[O - DEMAND]]/950</f>
        <v>2.6042105263157893</v>
      </c>
      <c r="N938" s="306">
        <f>IFERROR(VLOOKUP(Table24[[#This Row],[ROUTE]],DEMAND!A:F,5,FALSE),0)</f>
        <v>2598</v>
      </c>
      <c r="O938" s="306">
        <f>IFERROR(VLOOKUP(Table24[[#This Row],[ROUTE]],DEMAND!A:F,6,FALSE),0)</f>
        <v>698</v>
      </c>
      <c r="P938" s="306">
        <f>ROUNDDOWN(Table24[[#This Row],[R-DEMAND]]/950,0)</f>
        <v>0</v>
      </c>
      <c r="Q938" s="306">
        <f>Table24[[#This Row],[ADD ACC
(475/950)]]*Table24[[#This Row],[Duration
(A359)]]</f>
        <v>0</v>
      </c>
      <c r="R938" s="307">
        <f>IFERROR(VLOOKUP(Table24[[#This Row],[ROUTE]],PRICING!A:B,2,FALSE),0)</f>
        <v>1547</v>
      </c>
      <c r="S938" s="308">
        <f>Table24[[#This Row],[C_DEMAND]]-Table24[[#This Row],[R-DEMAND]]</f>
        <v>1900</v>
      </c>
      <c r="T938" s="307">
        <f>Table24[[#This Row],[SEATS SOLD]]*Table24[[#This Row],[ECO SEAT]]</f>
        <v>2939300</v>
      </c>
      <c r="U938" s="307">
        <f>Table24[[#This Row],[SEATS SOLD]]*(IFERROR(VLOOKUP(Table24[[#This Row],[ROUTE]],PRICING!A:C,3,FALSE),0))</f>
        <v>3459900</v>
      </c>
      <c r="V938" s="307">
        <f>Table24[[#This Row],[SEAT REV]]-Table24[[#This Row],[SEAT REV
(IF IDEAL $)]]</f>
        <v>-520600</v>
      </c>
      <c r="X938"/>
    </row>
    <row r="939" spans="1:24" x14ac:dyDescent="0.25">
      <c r="A939" s="306" t="s">
        <v>17777</v>
      </c>
      <c r="B939" s="306" t="s">
        <v>4669</v>
      </c>
      <c r="C939" s="306" t="s">
        <v>2</v>
      </c>
      <c r="D939" s="26">
        <v>2</v>
      </c>
      <c r="E939" s="312" t="s">
        <v>514</v>
      </c>
      <c r="F939" s="306" t="str">
        <f>VLOOKUP(Table24[[#This Row],[Country]],Table10[[COUNTRY NAME]:[CONTINENT CODE]],3,FALSE)</f>
        <v>NA</v>
      </c>
      <c r="G939" s="312" t="s">
        <v>16971</v>
      </c>
      <c r="H939" s="309">
        <v>3684</v>
      </c>
      <c r="I939" s="310">
        <v>10.25</v>
      </c>
      <c r="J939" s="307"/>
      <c r="K939" s="307">
        <f>IFERROR(Table24[[#This Row],[ROUTE COST]]/Table24[[#This Row],[O - DEMAND]],0)</f>
        <v>0</v>
      </c>
      <c r="L939" s="306"/>
      <c r="M939" s="310">
        <f>Table24[[#This Row],[O - DEMAND]]/950</f>
        <v>0</v>
      </c>
      <c r="N939" s="306">
        <f>IFERROR(VLOOKUP(Table24[[#This Row],[ROUTE]],DEMAND!A:F,5,FALSE),0)</f>
        <v>2600</v>
      </c>
      <c r="O939" s="306">
        <f>IFERROR(VLOOKUP(Table24[[#This Row],[ROUTE]],DEMAND!A:F,6,FALSE),0)</f>
        <v>700</v>
      </c>
      <c r="P939" s="306">
        <f>ROUNDDOWN(Table24[[#This Row],[R-DEMAND]]/950,0)</f>
        <v>0</v>
      </c>
      <c r="Q939" s="306">
        <f>Table24[[#This Row],[ADD ACC
(475/950)]]*Table24[[#This Row],[Duration
(A359)]]</f>
        <v>0</v>
      </c>
      <c r="R939" s="307">
        <f>IFERROR(VLOOKUP(Table24[[#This Row],[ROUTE]],PRICING!A:B,2,FALSE),0)</f>
        <v>1022</v>
      </c>
      <c r="S939" s="308">
        <f>Table24[[#This Row],[C_DEMAND]]-Table24[[#This Row],[R-DEMAND]]</f>
        <v>1900</v>
      </c>
      <c r="T939" s="307">
        <f>Table24[[#This Row],[SEATS SOLD]]*Table24[[#This Row],[ECO SEAT]]</f>
        <v>1941800</v>
      </c>
      <c r="U939" s="307">
        <f>Table24[[#This Row],[SEATS SOLD]]*(IFERROR(VLOOKUP(Table24[[#This Row],[ROUTE]],PRICING!A:C,3,FALSE),0))</f>
        <v>2397800</v>
      </c>
      <c r="V939" s="307">
        <f>Table24[[#This Row],[SEAT REV]]-Table24[[#This Row],[SEAT REV
(IF IDEAL $)]]</f>
        <v>-456000</v>
      </c>
      <c r="X939"/>
    </row>
    <row r="940" spans="1:24" x14ac:dyDescent="0.25">
      <c r="A940" s="306" t="s">
        <v>17594</v>
      </c>
      <c r="B940" s="306" t="s">
        <v>5277</v>
      </c>
      <c r="C940" s="306" t="s">
        <v>2</v>
      </c>
      <c r="D940" s="26">
        <v>3</v>
      </c>
      <c r="E940" s="312" t="s">
        <v>119</v>
      </c>
      <c r="F940" s="306" t="str">
        <f>VLOOKUP(Table24[[#This Row],[Country]],Table10[[COUNTRY NAME]:[CONTINENT CODE]],3,FALSE)</f>
        <v>EU</v>
      </c>
      <c r="G940" s="312" t="s">
        <v>13251</v>
      </c>
      <c r="H940" s="309">
        <v>5761</v>
      </c>
      <c r="I940" s="310">
        <v>14.75</v>
      </c>
      <c r="J940" s="307">
        <v>181788984</v>
      </c>
      <c r="K940" s="307">
        <f>IFERROR(Table24[[#This Row],[ROUTE COST]]/Table24[[#This Row],[O - DEMAND]],0)</f>
        <v>73867.933360422598</v>
      </c>
      <c r="L940" s="306">
        <v>2461</v>
      </c>
      <c r="M940" s="310">
        <f>Table24[[#This Row],[O - DEMAND]]/950</f>
        <v>2.5905263157894738</v>
      </c>
      <c r="N940" s="306">
        <f>IFERROR(VLOOKUP(Table24[[#This Row],[ROUTE]],DEMAND!A:F,5,FALSE),0)</f>
        <v>2601</v>
      </c>
      <c r="O940" s="306">
        <f>IFERROR(VLOOKUP(Table24[[#This Row],[ROUTE]],DEMAND!A:F,6,FALSE),0)</f>
        <v>701</v>
      </c>
      <c r="P940" s="306">
        <f>ROUNDDOWN(Table24[[#This Row],[R-DEMAND]]/950,0)</f>
        <v>0</v>
      </c>
      <c r="Q940" s="306">
        <f>Table24[[#This Row],[ADD ACC
(475/950)]]*Table24[[#This Row],[Duration
(A359)]]</f>
        <v>0</v>
      </c>
      <c r="R940" s="307">
        <f>IFERROR(VLOOKUP(Table24[[#This Row],[ROUTE]],PRICING!A:B,2,FALSE),0)</f>
        <v>1581</v>
      </c>
      <c r="S940" s="308">
        <f>Table24[[#This Row],[C_DEMAND]]-Table24[[#This Row],[R-DEMAND]]</f>
        <v>1900</v>
      </c>
      <c r="T940" s="307">
        <f>Table24[[#This Row],[SEATS SOLD]]*Table24[[#This Row],[ECO SEAT]]</f>
        <v>3003900</v>
      </c>
      <c r="U940" s="307">
        <f>Table24[[#This Row],[SEATS SOLD]]*(IFERROR(VLOOKUP(Table24[[#This Row],[ROUTE]],PRICING!A:C,3,FALSE),0))</f>
        <v>3619500</v>
      </c>
      <c r="V940" s="307">
        <f>Table24[[#This Row],[SEAT REV]]-Table24[[#This Row],[SEAT REV
(IF IDEAL $)]]</f>
        <v>-615600</v>
      </c>
      <c r="X940"/>
    </row>
    <row r="941" spans="1:24" x14ac:dyDescent="0.25">
      <c r="A941" s="306" t="s">
        <v>17259</v>
      </c>
      <c r="B941" s="306" t="s">
        <v>5037</v>
      </c>
      <c r="C941" s="306" t="s">
        <v>2</v>
      </c>
      <c r="D941" s="26">
        <v>3</v>
      </c>
      <c r="E941" s="312" t="s">
        <v>867</v>
      </c>
      <c r="F941" s="306" t="str">
        <f>VLOOKUP(Table24[[#This Row],[Country]],Table10[[COUNTRY NAME]:[CONTINENT CODE]],3,FALSE)</f>
        <v>AS</v>
      </c>
      <c r="G941" s="312" t="s">
        <v>12049</v>
      </c>
      <c r="H941" s="309">
        <v>14338</v>
      </c>
      <c r="I941" s="310">
        <v>33.5</v>
      </c>
      <c r="J941" s="307">
        <v>261798575</v>
      </c>
      <c r="K941" s="307">
        <f>IFERROR(Table24[[#This Row],[ROUTE COST]]/Table24[[#This Row],[O - DEMAND]],0)</f>
        <v>78125.507311250374</v>
      </c>
      <c r="L941" s="306">
        <v>3351</v>
      </c>
      <c r="M941" s="310">
        <f>Table24[[#This Row],[O - DEMAND]]/950</f>
        <v>3.5273684210526315</v>
      </c>
      <c r="N941" s="306">
        <f>IFERROR(VLOOKUP(Table24[[#This Row],[ROUTE]],DEMAND!A:F,5,FALSE),0)</f>
        <v>3552</v>
      </c>
      <c r="O941" s="306">
        <f>IFERROR(VLOOKUP(Table24[[#This Row],[ROUTE]],DEMAND!A:F,6,FALSE),0)</f>
        <v>702</v>
      </c>
      <c r="P941" s="306">
        <f>ROUNDDOWN(Table24[[#This Row],[R-DEMAND]]/950,0)</f>
        <v>0</v>
      </c>
      <c r="Q941" s="306">
        <f>Table24[[#This Row],[ADD ACC
(475/950)]]*Table24[[#This Row],[Duration
(A359)]]</f>
        <v>0</v>
      </c>
      <c r="R941" s="307">
        <f>IFERROR(VLOOKUP(Table24[[#This Row],[ROUTE]],PRICING!A:B,2,FALSE),0)</f>
        <v>3742</v>
      </c>
      <c r="S941" s="308">
        <f>Table24[[#This Row],[C_DEMAND]]-Table24[[#This Row],[R-DEMAND]]</f>
        <v>2850</v>
      </c>
      <c r="T941" s="307">
        <f>Table24[[#This Row],[SEATS SOLD]]*Table24[[#This Row],[ECO SEAT]]</f>
        <v>10664700</v>
      </c>
      <c r="U941" s="307">
        <f>Table24[[#This Row],[SEATS SOLD]]*(IFERROR(VLOOKUP(Table24[[#This Row],[ROUTE]],PRICING!A:C,3,FALSE),0))</f>
        <v>13007400</v>
      </c>
      <c r="V941" s="307">
        <f>Table24[[#This Row],[SEAT REV]]-Table24[[#This Row],[SEAT REV
(IF IDEAL $)]]</f>
        <v>-2342700</v>
      </c>
      <c r="X941"/>
    </row>
    <row r="942" spans="1:24" x14ac:dyDescent="0.25">
      <c r="A942" s="306" t="s">
        <v>17588</v>
      </c>
      <c r="B942" s="306" t="s">
        <v>5313</v>
      </c>
      <c r="C942" s="306" t="s">
        <v>2</v>
      </c>
      <c r="D942" s="26">
        <v>3</v>
      </c>
      <c r="E942" s="312" t="s">
        <v>119</v>
      </c>
      <c r="F942" s="306" t="str">
        <f>VLOOKUP(Table24[[#This Row],[Country]],Table10[[COUNTRY NAME]:[CONTINENT CODE]],3,FALSE)</f>
        <v>EU</v>
      </c>
      <c r="G942" s="312" t="s">
        <v>11685</v>
      </c>
      <c r="H942" s="309">
        <v>6710</v>
      </c>
      <c r="I942" s="310">
        <v>16.75</v>
      </c>
      <c r="J942" s="307">
        <v>192111143</v>
      </c>
      <c r="K942" s="307">
        <f>IFERROR(Table24[[#This Row],[ROUTE COST]]/Table24[[#This Row],[O - DEMAND]],0)</f>
        <v>77277.209573612228</v>
      </c>
      <c r="L942" s="306">
        <v>2486</v>
      </c>
      <c r="M942" s="310">
        <f>Table24[[#This Row],[O - DEMAND]]/950</f>
        <v>2.6168421052631579</v>
      </c>
      <c r="N942" s="306">
        <f>IFERROR(VLOOKUP(Table24[[#This Row],[ROUTE]],DEMAND!A:F,5,FALSE),0)</f>
        <v>2602</v>
      </c>
      <c r="O942" s="306">
        <f>IFERROR(VLOOKUP(Table24[[#This Row],[ROUTE]],DEMAND!A:F,6,FALSE),0)</f>
        <v>702</v>
      </c>
      <c r="P942" s="306">
        <f>ROUNDDOWN(Table24[[#This Row],[R-DEMAND]]/950,0)</f>
        <v>0</v>
      </c>
      <c r="Q942" s="306">
        <f>Table24[[#This Row],[ADD ACC
(475/950)]]*Table24[[#This Row],[Duration
(A359)]]</f>
        <v>0</v>
      </c>
      <c r="R942" s="307">
        <f>IFERROR(VLOOKUP(Table24[[#This Row],[ROUTE]],PRICING!A:B,2,FALSE),0)</f>
        <v>1892</v>
      </c>
      <c r="S942" s="308">
        <f>Table24[[#This Row],[C_DEMAND]]-Table24[[#This Row],[R-DEMAND]]</f>
        <v>1900</v>
      </c>
      <c r="T942" s="307">
        <f>Table24[[#This Row],[SEATS SOLD]]*Table24[[#This Row],[ECO SEAT]]</f>
        <v>3594800</v>
      </c>
      <c r="U942" s="307">
        <f>Table24[[#This Row],[SEATS SOLD]]*(IFERROR(VLOOKUP(Table24[[#This Row],[ROUTE]],PRICING!A:C,3,FALSE),0))</f>
        <v>4180000</v>
      </c>
      <c r="V942" s="307">
        <f>Table24[[#This Row],[SEAT REV]]-Table24[[#This Row],[SEAT REV
(IF IDEAL $)]]</f>
        <v>-585200</v>
      </c>
      <c r="X942"/>
    </row>
    <row r="943" spans="1:24" x14ac:dyDescent="0.25">
      <c r="A943" s="306" t="s">
        <v>18070</v>
      </c>
      <c r="B943" s="306" t="s">
        <v>3553</v>
      </c>
      <c r="C943" s="306" t="s">
        <v>2</v>
      </c>
      <c r="D943" s="26">
        <v>2</v>
      </c>
      <c r="E943" s="312" t="s">
        <v>517</v>
      </c>
      <c r="F943" s="306" t="str">
        <f>VLOOKUP(Table24[[#This Row],[Country]],Table10[[COUNTRY NAME]:[CONTINENT CODE]],3,FALSE)</f>
        <v>SA</v>
      </c>
      <c r="G943" s="312" t="s">
        <v>13157</v>
      </c>
      <c r="H943" s="309">
        <v>4666</v>
      </c>
      <c r="I943" s="310">
        <v>12.25</v>
      </c>
      <c r="J943" s="307">
        <v>148819395</v>
      </c>
      <c r="K943" s="307">
        <f>IFERROR(Table24[[#This Row],[ROUTE COST]]/Table24[[#This Row],[O - DEMAND]],0)</f>
        <v>60817.080098079277</v>
      </c>
      <c r="L943" s="306">
        <v>2447</v>
      </c>
      <c r="M943" s="310">
        <f>Table24[[#This Row],[O - DEMAND]]/950</f>
        <v>2.5757894736842104</v>
      </c>
      <c r="N943" s="306">
        <f>IFERROR(VLOOKUP(Table24[[#This Row],[ROUTE]],DEMAND!A:F,5,FALSE),0)</f>
        <v>2602</v>
      </c>
      <c r="O943" s="306">
        <f>IFERROR(VLOOKUP(Table24[[#This Row],[ROUTE]],DEMAND!A:F,6,FALSE),0)</f>
        <v>702</v>
      </c>
      <c r="P943" s="306">
        <f>ROUNDDOWN(Table24[[#This Row],[R-DEMAND]]/950,0)</f>
        <v>0</v>
      </c>
      <c r="Q943" s="306">
        <f>Table24[[#This Row],[ADD ACC
(475/950)]]*Table24[[#This Row],[Duration
(A359)]]</f>
        <v>0</v>
      </c>
      <c r="R943" s="307">
        <f>IFERROR(VLOOKUP(Table24[[#This Row],[ROUTE]],PRICING!A:B,2,FALSE),0)</f>
        <v>1268</v>
      </c>
      <c r="S943" s="308">
        <f>Table24[[#This Row],[C_DEMAND]]-Table24[[#This Row],[R-DEMAND]]</f>
        <v>1900</v>
      </c>
      <c r="T943" s="307">
        <f>Table24[[#This Row],[SEATS SOLD]]*Table24[[#This Row],[ECO SEAT]]</f>
        <v>2409200</v>
      </c>
      <c r="U943" s="307">
        <f>Table24[[#This Row],[SEATS SOLD]]*(IFERROR(VLOOKUP(Table24[[#This Row],[ROUTE]],PRICING!A:C,3,FALSE),0))</f>
        <v>2975400</v>
      </c>
      <c r="V943" s="307">
        <f>Table24[[#This Row],[SEAT REV]]-Table24[[#This Row],[SEAT REV
(IF IDEAL $)]]</f>
        <v>-566200</v>
      </c>
      <c r="X943"/>
    </row>
    <row r="944" spans="1:24" x14ac:dyDescent="0.25">
      <c r="A944" s="306" t="s">
        <v>17240</v>
      </c>
      <c r="B944" s="306" t="s">
        <v>5483</v>
      </c>
      <c r="C944" s="306" t="s">
        <v>2</v>
      </c>
      <c r="D944" s="26">
        <v>4</v>
      </c>
      <c r="E944" s="312" t="s">
        <v>5481</v>
      </c>
      <c r="F944" s="306" t="str">
        <f>VLOOKUP(Table24[[#This Row],[Country]],Table10[[COUNTRY NAME]:[CONTINENT CODE]],3,FALSE)</f>
        <v>AS</v>
      </c>
      <c r="G944" s="312" t="s">
        <v>11068</v>
      </c>
      <c r="H944" s="309">
        <v>11695</v>
      </c>
      <c r="I944" s="310">
        <v>27.75</v>
      </c>
      <c r="J944" s="307">
        <v>248602174</v>
      </c>
      <c r="K944" s="307">
        <f>IFERROR(Table24[[#This Row],[ROUTE COST]]/Table24[[#This Row],[O - DEMAND]],0)</f>
        <v>58084.620093457946</v>
      </c>
      <c r="L944" s="306">
        <v>4280</v>
      </c>
      <c r="M944" s="310">
        <f>Table24[[#This Row],[O - DEMAND]]/950</f>
        <v>4.5052631578947366</v>
      </c>
      <c r="N944" s="306">
        <f>IFERROR(VLOOKUP(Table24[[#This Row],[ROUTE]],DEMAND!A:F,5,FALSE),0)</f>
        <v>4509</v>
      </c>
      <c r="O944" s="306">
        <f>IFERROR(VLOOKUP(Table24[[#This Row],[ROUTE]],DEMAND!A:F,6,FALSE),0)</f>
        <v>709</v>
      </c>
      <c r="P944" s="306">
        <f>ROUNDDOWN(Table24[[#This Row],[R-DEMAND]]/950,0)</f>
        <v>0</v>
      </c>
      <c r="Q944" s="306">
        <f>Table24[[#This Row],[ADD ACC
(475/950)]]*Table24[[#This Row],[Duration
(A359)]]</f>
        <v>0</v>
      </c>
      <c r="R944" s="307">
        <f>IFERROR(VLOOKUP(Table24[[#This Row],[ROUTE]],PRICING!A:B,2,FALSE),0)</f>
        <v>3145</v>
      </c>
      <c r="S944" s="308">
        <f>Table24[[#This Row],[C_DEMAND]]-Table24[[#This Row],[R-DEMAND]]</f>
        <v>3800</v>
      </c>
      <c r="T944" s="307">
        <f>Table24[[#This Row],[SEATS SOLD]]*Table24[[#This Row],[ECO SEAT]]</f>
        <v>11951000</v>
      </c>
      <c r="U944" s="307">
        <f>Table24[[#This Row],[SEATS SOLD]]*(IFERROR(VLOOKUP(Table24[[#This Row],[ROUTE]],PRICING!A:C,3,FALSE),0))</f>
        <v>14231000</v>
      </c>
      <c r="V944" s="307">
        <f>Table24[[#This Row],[SEAT REV]]-Table24[[#This Row],[SEAT REV
(IF IDEAL $)]]</f>
        <v>-2280000</v>
      </c>
      <c r="X944"/>
    </row>
    <row r="945" spans="1:24" x14ac:dyDescent="0.25">
      <c r="A945" s="306" t="s">
        <v>17174</v>
      </c>
      <c r="B945" s="306" t="s">
        <v>3759</v>
      </c>
      <c r="C945" s="306" t="s">
        <v>2</v>
      </c>
      <c r="D945" s="26">
        <v>2</v>
      </c>
      <c r="E945" s="312" t="s">
        <v>926</v>
      </c>
      <c r="F945" s="306" t="str">
        <f>VLOOKUP(Table24[[#This Row],[Country]],Table10[[COUNTRY NAME]:[CONTINENT CODE]],3,FALSE)</f>
        <v>AF</v>
      </c>
      <c r="G945" s="312" t="s">
        <v>16854</v>
      </c>
      <c r="H945" s="309">
        <v>11810</v>
      </c>
      <c r="I945" s="310">
        <v>28</v>
      </c>
      <c r="J945" s="307">
        <v>222743213</v>
      </c>
      <c r="K945" s="307">
        <f>IFERROR(Table24[[#This Row],[ROUTE COST]]/Table24[[#This Row],[O - DEMAND]],0)</f>
        <v>65263.174040433638</v>
      </c>
      <c r="L945" s="306">
        <v>3413</v>
      </c>
      <c r="M945" s="310">
        <f>Table24[[#This Row],[O - DEMAND]]/950</f>
        <v>3.5926315789473686</v>
      </c>
      <c r="N945" s="306">
        <f>IFERROR(VLOOKUP(Table24[[#This Row],[ROUTE]],DEMAND!A:F,5,FALSE),0)</f>
        <v>3561</v>
      </c>
      <c r="O945" s="306">
        <f>IFERROR(VLOOKUP(Table24[[#This Row],[ROUTE]],DEMAND!A:F,6,FALSE),0)</f>
        <v>711</v>
      </c>
      <c r="P945" s="306">
        <f>ROUNDDOWN(Table24[[#This Row],[R-DEMAND]]/950,0)</f>
        <v>0</v>
      </c>
      <c r="Q945" s="306">
        <f>Table24[[#This Row],[ADD ACC
(475/950)]]*Table24[[#This Row],[Duration
(A359)]]</f>
        <v>0</v>
      </c>
      <c r="R945" s="307">
        <f>IFERROR(VLOOKUP(Table24[[#This Row],[ROUTE]],PRICING!A:B,2,FALSE),0)</f>
        <v>3289</v>
      </c>
      <c r="S945" s="308">
        <f>Table24[[#This Row],[C_DEMAND]]-Table24[[#This Row],[R-DEMAND]]</f>
        <v>2850</v>
      </c>
      <c r="T945" s="307">
        <f>Table24[[#This Row],[SEATS SOLD]]*Table24[[#This Row],[ECO SEAT]]</f>
        <v>9373650</v>
      </c>
      <c r="U945" s="307">
        <f>Table24[[#This Row],[SEATS SOLD]]*(IFERROR(VLOOKUP(Table24[[#This Row],[ROUTE]],PRICING!A:C,3,FALSE),0))</f>
        <v>10775850</v>
      </c>
      <c r="V945" s="307">
        <f>Table24[[#This Row],[SEAT REV]]-Table24[[#This Row],[SEAT REV
(IF IDEAL $)]]</f>
        <v>-1402200</v>
      </c>
      <c r="X945"/>
    </row>
    <row r="946" spans="1:24" x14ac:dyDescent="0.25">
      <c r="A946" s="306" t="s">
        <v>17854</v>
      </c>
      <c r="B946" s="306" t="s">
        <v>5411</v>
      </c>
      <c r="C946" s="306" t="s">
        <v>2</v>
      </c>
      <c r="D946" s="26">
        <v>4</v>
      </c>
      <c r="E946" s="312" t="s">
        <v>11732</v>
      </c>
      <c r="F946" s="306" t="str">
        <f>VLOOKUP(Table24[[#This Row],[Country]],Table10[[COUNTRY NAME]:[CONTINENT CODE]],3,FALSE)</f>
        <v>NA - US</v>
      </c>
      <c r="G946" s="312" t="s">
        <v>13292</v>
      </c>
      <c r="H946" s="309">
        <v>3839</v>
      </c>
      <c r="I946" s="310">
        <v>10.5</v>
      </c>
      <c r="J946" s="307">
        <v>167749546</v>
      </c>
      <c r="K946" s="307">
        <f>IFERROR(Table24[[#This Row],[ROUTE COST]]/Table24[[#This Row],[O - DEMAND]],0)</f>
        <v>67887.311210036423</v>
      </c>
      <c r="L946" s="306">
        <v>2471</v>
      </c>
      <c r="M946" s="310">
        <f>Table24[[#This Row],[O - DEMAND]]/950</f>
        <v>2.6010526315789475</v>
      </c>
      <c r="N946" s="306">
        <f>IFERROR(VLOOKUP(Table24[[#This Row],[ROUTE]],DEMAND!A:F,5,FALSE),0)</f>
        <v>2611</v>
      </c>
      <c r="O946" s="306">
        <f>IFERROR(VLOOKUP(Table24[[#This Row],[ROUTE]],DEMAND!A:F,6,FALSE),0)</f>
        <v>711</v>
      </c>
      <c r="P946" s="306">
        <f>ROUNDDOWN(Table24[[#This Row],[R-DEMAND]]/950,0)</f>
        <v>0</v>
      </c>
      <c r="Q946" s="306">
        <f>Table24[[#This Row],[ADD ACC
(475/950)]]*Table24[[#This Row],[Duration
(A359)]]</f>
        <v>0</v>
      </c>
      <c r="R946" s="307">
        <f>IFERROR(VLOOKUP(Table24[[#This Row],[ROUTE]],PRICING!A:B,2,FALSE),0)</f>
        <v>1087</v>
      </c>
      <c r="S946" s="308">
        <f>Table24[[#This Row],[C_DEMAND]]-Table24[[#This Row],[R-DEMAND]]</f>
        <v>1900</v>
      </c>
      <c r="T946" s="307">
        <f>Table24[[#This Row],[SEATS SOLD]]*Table24[[#This Row],[ECO SEAT]]</f>
        <v>2065300</v>
      </c>
      <c r="U946" s="307">
        <f>Table24[[#This Row],[SEATS SOLD]]*(IFERROR(VLOOKUP(Table24[[#This Row],[ROUTE]],PRICING!A:C,3,FALSE),0))</f>
        <v>2489000</v>
      </c>
      <c r="V946" s="307">
        <f>Table24[[#This Row],[SEAT REV]]-Table24[[#This Row],[SEAT REV
(IF IDEAL $)]]</f>
        <v>-423700</v>
      </c>
      <c r="X946"/>
    </row>
    <row r="947" spans="1:24" x14ac:dyDescent="0.25">
      <c r="A947" s="306" t="s">
        <v>17584</v>
      </c>
      <c r="B947" s="306" t="s">
        <v>5291</v>
      </c>
      <c r="C947" s="306" t="s">
        <v>2</v>
      </c>
      <c r="D947" s="26">
        <v>3</v>
      </c>
      <c r="E947" s="312" t="s">
        <v>119</v>
      </c>
      <c r="F947" s="306" t="str">
        <f>VLOOKUP(Table24[[#This Row],[Country]],Table10[[COUNTRY NAME]:[CONTINENT CODE]],3,FALSE)</f>
        <v>EU</v>
      </c>
      <c r="G947" s="312" t="s">
        <v>16923</v>
      </c>
      <c r="H947" s="309">
        <v>6953</v>
      </c>
      <c r="I947" s="310">
        <v>17.5</v>
      </c>
      <c r="J947" s="307">
        <v>194023844</v>
      </c>
      <c r="K947" s="307">
        <f>IFERROR(Table24[[#This Row],[ROUTE COST]]/Table24[[#This Row],[O - DEMAND]],0)</f>
        <v>78552.163562753034</v>
      </c>
      <c r="L947" s="306">
        <v>2470</v>
      </c>
      <c r="M947" s="310">
        <f>Table24[[#This Row],[O - DEMAND]]/950</f>
        <v>2.6</v>
      </c>
      <c r="N947" s="306">
        <f>IFERROR(VLOOKUP(Table24[[#This Row],[ROUTE]],DEMAND!A:F,5,FALSE),0)</f>
        <v>2618</v>
      </c>
      <c r="O947" s="306">
        <f>IFERROR(VLOOKUP(Table24[[#This Row],[ROUTE]],DEMAND!A:F,6,FALSE),0)</f>
        <v>718</v>
      </c>
      <c r="P947" s="306">
        <f>ROUNDDOWN(Table24[[#This Row],[R-DEMAND]]/950,0)</f>
        <v>0</v>
      </c>
      <c r="Q947" s="306">
        <f>Table24[[#This Row],[ADD ACC
(475/950)]]*Table24[[#This Row],[Duration
(A359)]]</f>
        <v>0</v>
      </c>
      <c r="R947" s="307">
        <f>IFERROR(VLOOKUP(Table24[[#This Row],[ROUTE]],PRICING!A:B,2,FALSE),0)</f>
        <v>1865</v>
      </c>
      <c r="S947" s="308">
        <f>Table24[[#This Row],[C_DEMAND]]-Table24[[#This Row],[R-DEMAND]]</f>
        <v>1900</v>
      </c>
      <c r="T947" s="307">
        <f>Table24[[#This Row],[SEATS SOLD]]*Table24[[#This Row],[ECO SEAT]]</f>
        <v>3543500</v>
      </c>
      <c r="U947" s="307">
        <f>Table24[[#This Row],[SEATS SOLD]]*(IFERROR(VLOOKUP(Table24[[#This Row],[ROUTE]],PRICING!A:C,3,FALSE),0))</f>
        <v>4322500</v>
      </c>
      <c r="V947" s="307">
        <f>Table24[[#This Row],[SEAT REV]]-Table24[[#This Row],[SEAT REV
(IF IDEAL $)]]</f>
        <v>-779000</v>
      </c>
      <c r="X947"/>
    </row>
    <row r="948" spans="1:24" x14ac:dyDescent="0.25">
      <c r="A948" s="306" t="s">
        <v>17187</v>
      </c>
      <c r="B948" s="306" t="s">
        <v>5295</v>
      </c>
      <c r="C948" s="306" t="s">
        <v>2</v>
      </c>
      <c r="D948" s="26">
        <v>3</v>
      </c>
      <c r="E948" s="312" t="s">
        <v>971</v>
      </c>
      <c r="F948" s="306" t="str">
        <f>VLOOKUP(Table24[[#This Row],[Country]],Table10[[COUNTRY NAME]:[CONTINENT CODE]],3,FALSE)</f>
        <v>AF</v>
      </c>
      <c r="G948" s="312" t="s">
        <v>11767</v>
      </c>
      <c r="H948" s="309">
        <v>8136</v>
      </c>
      <c r="I948" s="310">
        <v>20</v>
      </c>
      <c r="J948" s="307">
        <v>204805904</v>
      </c>
      <c r="K948" s="307">
        <f>IFERROR(Table24[[#This Row],[ROUTE COST]]/Table24[[#This Row],[O - DEMAND]],0)</f>
        <v>60166.246768507641</v>
      </c>
      <c r="L948" s="306">
        <v>3404</v>
      </c>
      <c r="M948" s="310">
        <f>Table24[[#This Row],[O - DEMAND]]/950</f>
        <v>3.5831578947368423</v>
      </c>
      <c r="N948" s="306">
        <f>IFERROR(VLOOKUP(Table24[[#This Row],[ROUTE]],DEMAND!A:F,5,FALSE),0)</f>
        <v>3574</v>
      </c>
      <c r="O948" s="306">
        <f>IFERROR(VLOOKUP(Table24[[#This Row],[ROUTE]],DEMAND!A:F,6,FALSE),0)</f>
        <v>724</v>
      </c>
      <c r="P948" s="306">
        <f>ROUNDDOWN(Table24[[#This Row],[R-DEMAND]]/950,0)</f>
        <v>0</v>
      </c>
      <c r="Q948" s="306">
        <f>Table24[[#This Row],[ADD ACC
(475/950)]]*Table24[[#This Row],[Duration
(A359)]]</f>
        <v>0</v>
      </c>
      <c r="R948" s="307">
        <f>IFERROR(VLOOKUP(Table24[[#This Row],[ROUTE]],PRICING!A:B,2,FALSE),0)</f>
        <v>2245</v>
      </c>
      <c r="S948" s="308">
        <f>Table24[[#This Row],[C_DEMAND]]-Table24[[#This Row],[R-DEMAND]]</f>
        <v>2850</v>
      </c>
      <c r="T948" s="307">
        <f>Table24[[#This Row],[SEATS SOLD]]*Table24[[#This Row],[ECO SEAT]]</f>
        <v>6398250</v>
      </c>
      <c r="U948" s="307">
        <f>Table24[[#This Row],[SEATS SOLD]]*(IFERROR(VLOOKUP(Table24[[#This Row],[ROUTE]],PRICING!A:C,3,FALSE),0))</f>
        <v>7529700</v>
      </c>
      <c r="V948" s="307">
        <f>Table24[[#This Row],[SEAT REV]]-Table24[[#This Row],[SEAT REV
(IF IDEAL $)]]</f>
        <v>-1131450</v>
      </c>
      <c r="X948"/>
    </row>
    <row r="949" spans="1:24" x14ac:dyDescent="0.25">
      <c r="A949" s="306" t="s">
        <v>17151</v>
      </c>
      <c r="B949" s="306" t="s">
        <v>152</v>
      </c>
      <c r="C949" s="306" t="s">
        <v>2</v>
      </c>
      <c r="D949" s="26">
        <v>3</v>
      </c>
      <c r="E949" s="312" t="s">
        <v>1189</v>
      </c>
      <c r="F949" s="306" t="str">
        <f>VLOOKUP(Table24[[#This Row],[Country]],Table10[[COUNTRY NAME]:[CONTINENT CODE]],3,FALSE)</f>
        <v>AF</v>
      </c>
      <c r="G949" s="312" t="s">
        <v>11926</v>
      </c>
      <c r="H949" s="309">
        <v>12081</v>
      </c>
      <c r="I949" s="310">
        <v>28.75</v>
      </c>
      <c r="J949" s="307">
        <v>248475743</v>
      </c>
      <c r="K949" s="307">
        <f>IFERROR(Table24[[#This Row],[ROUTE COST]]/Table24[[#This Row],[O - DEMAND]],0)</f>
        <v>47792.987689940375</v>
      </c>
      <c r="L949" s="306">
        <v>5199</v>
      </c>
      <c r="M949" s="310">
        <f>Table24[[#This Row],[O - DEMAND]]/950</f>
        <v>5.4726315789473681</v>
      </c>
      <c r="N949" s="306">
        <f>IFERROR(VLOOKUP(Table24[[#This Row],[ROUTE]],DEMAND!A:F,5,FALSE),0)</f>
        <v>5476</v>
      </c>
      <c r="O949" s="306">
        <f>IFERROR(VLOOKUP(Table24[[#This Row],[ROUTE]],DEMAND!A:F,6,FALSE),0)</f>
        <v>726</v>
      </c>
      <c r="P949" s="306">
        <f>ROUNDDOWN(Table24[[#This Row],[R-DEMAND]]/950,0)</f>
        <v>0</v>
      </c>
      <c r="Q949" s="306">
        <f>Table24[[#This Row],[ADD ACC
(475/950)]]*Table24[[#This Row],[Duration
(A359)]]</f>
        <v>0</v>
      </c>
      <c r="R949" s="307">
        <f>IFERROR(VLOOKUP(Table24[[#This Row],[ROUTE]],PRICING!A:B,2,FALSE),0)</f>
        <v>3246</v>
      </c>
      <c r="S949" s="308">
        <f>Table24[[#This Row],[C_DEMAND]]-Table24[[#This Row],[R-DEMAND]]</f>
        <v>4750</v>
      </c>
      <c r="T949" s="307">
        <f>Table24[[#This Row],[SEATS SOLD]]*Table24[[#This Row],[ECO SEAT]]</f>
        <v>15418500</v>
      </c>
      <c r="U949" s="307">
        <f>Table24[[#This Row],[SEATS SOLD]]*(IFERROR(VLOOKUP(Table24[[#This Row],[ROUTE]],PRICING!A:C,3,FALSE),0))</f>
        <v>18358750</v>
      </c>
      <c r="V949" s="307">
        <f>Table24[[#This Row],[SEAT REV]]-Table24[[#This Row],[SEAT REV
(IF IDEAL $)]]</f>
        <v>-2940250</v>
      </c>
      <c r="X949"/>
    </row>
    <row r="950" spans="1:24" x14ac:dyDescent="0.25">
      <c r="A950" s="306" t="s">
        <v>18088</v>
      </c>
      <c r="B950" s="306" t="s">
        <v>3526</v>
      </c>
      <c r="C950" s="306" t="s">
        <v>2</v>
      </c>
      <c r="D950" s="26">
        <v>2</v>
      </c>
      <c r="E950" s="312" t="s">
        <v>517</v>
      </c>
      <c r="F950" s="306" t="str">
        <f>VLOOKUP(Table24[[#This Row],[Country]],Table10[[COUNTRY NAME]:[CONTINENT CODE]],3,FALSE)</f>
        <v>SA</v>
      </c>
      <c r="G950" s="312" t="s">
        <v>17014</v>
      </c>
      <c r="H950" s="309">
        <v>2158</v>
      </c>
      <c r="I950" s="310">
        <v>6.75</v>
      </c>
      <c r="J950" s="307">
        <v>123605393</v>
      </c>
      <c r="K950" s="307">
        <f>IFERROR(Table24[[#This Row],[ROUTE COST]]/Table24[[#This Row],[O - DEMAND]],0)</f>
        <v>50042.669230769228</v>
      </c>
      <c r="L950" s="306">
        <v>2470</v>
      </c>
      <c r="M950" s="310">
        <f>Table24[[#This Row],[O - DEMAND]]/950</f>
        <v>2.6</v>
      </c>
      <c r="N950" s="306">
        <f>IFERROR(VLOOKUP(Table24[[#This Row],[ROUTE]],DEMAND!A:F,5,FALSE),0)</f>
        <v>2627</v>
      </c>
      <c r="O950" s="306">
        <f>IFERROR(VLOOKUP(Table24[[#This Row],[ROUTE]],DEMAND!A:F,6,FALSE),0)</f>
        <v>727</v>
      </c>
      <c r="P950" s="306">
        <f>ROUNDDOWN(Table24[[#This Row],[R-DEMAND]]/950,0)</f>
        <v>0</v>
      </c>
      <c r="Q950" s="306">
        <f>Table24[[#This Row],[ADD ACC
(475/950)]]*Table24[[#This Row],[Duration
(A359)]]</f>
        <v>0</v>
      </c>
      <c r="R950" s="307">
        <f>IFERROR(VLOOKUP(Table24[[#This Row],[ROUTE]],PRICING!A:B,2,FALSE),0)</f>
        <v>638</v>
      </c>
      <c r="S950" s="308">
        <f>Table24[[#This Row],[C_DEMAND]]-Table24[[#This Row],[R-DEMAND]]</f>
        <v>1900</v>
      </c>
      <c r="T950" s="307">
        <f>Table24[[#This Row],[SEATS SOLD]]*Table24[[#This Row],[ECO SEAT]]</f>
        <v>1212200</v>
      </c>
      <c r="U950" s="307">
        <f>Table24[[#This Row],[SEATS SOLD]]*(IFERROR(VLOOKUP(Table24[[#This Row],[ROUTE]],PRICING!A:C,3,FALSE),0))</f>
        <v>1497200</v>
      </c>
      <c r="V950" s="307">
        <f>Table24[[#This Row],[SEAT REV]]-Table24[[#This Row],[SEAT REV
(IF IDEAL $)]]</f>
        <v>-285000</v>
      </c>
      <c r="X950"/>
    </row>
    <row r="951" spans="1:24" x14ac:dyDescent="0.25">
      <c r="A951" s="306" t="s">
        <v>18048</v>
      </c>
      <c r="B951" s="306" t="s">
        <v>5425</v>
      </c>
      <c r="C951" s="306" t="s">
        <v>2</v>
      </c>
      <c r="D951" s="26">
        <v>3</v>
      </c>
      <c r="E951" s="312" t="s">
        <v>517</v>
      </c>
      <c r="F951" s="306" t="str">
        <f>VLOOKUP(Table24[[#This Row],[Country]],Table10[[COUNTRY NAME]:[CONTINENT CODE]],3,FALSE)</f>
        <v>SA</v>
      </c>
      <c r="G951" s="312" t="s">
        <v>13156</v>
      </c>
      <c r="H951" s="309">
        <v>5062</v>
      </c>
      <c r="I951" s="310">
        <v>13.25</v>
      </c>
      <c r="J951" s="307">
        <v>178026033</v>
      </c>
      <c r="K951" s="307">
        <f>IFERROR(Table24[[#This Row],[ROUTE COST]]/Table24[[#This Row],[O - DEMAND]],0)</f>
        <v>51408.037250938491</v>
      </c>
      <c r="L951" s="306">
        <v>3463</v>
      </c>
      <c r="M951" s="310">
        <f>Table24[[#This Row],[O - DEMAND]]/950</f>
        <v>3.6452631578947368</v>
      </c>
      <c r="N951" s="306">
        <f>IFERROR(VLOOKUP(Table24[[#This Row],[ROUTE]],DEMAND!A:F,5,FALSE),0)</f>
        <v>3578</v>
      </c>
      <c r="O951" s="306">
        <f>IFERROR(VLOOKUP(Table24[[#This Row],[ROUTE]],DEMAND!A:F,6,FALSE),0)</f>
        <v>728</v>
      </c>
      <c r="P951" s="306">
        <f>ROUNDDOWN(Table24[[#This Row],[R-DEMAND]]/950,0)</f>
        <v>0</v>
      </c>
      <c r="Q951" s="306">
        <f>Table24[[#This Row],[ADD ACC
(475/950)]]*Table24[[#This Row],[Duration
(A359)]]</f>
        <v>0</v>
      </c>
      <c r="R951" s="307">
        <f>IFERROR(VLOOKUP(Table24[[#This Row],[ROUTE]],PRICING!A:B,2,FALSE),0)</f>
        <v>1520</v>
      </c>
      <c r="S951" s="308">
        <f>Table24[[#This Row],[C_DEMAND]]-Table24[[#This Row],[R-DEMAND]]</f>
        <v>2850</v>
      </c>
      <c r="T951" s="307">
        <f>Table24[[#This Row],[SEATS SOLD]]*Table24[[#This Row],[ECO SEAT]]</f>
        <v>4332000</v>
      </c>
      <c r="U951" s="307">
        <f>Table24[[#This Row],[SEATS SOLD]]*(IFERROR(VLOOKUP(Table24[[#This Row],[ROUTE]],PRICING!A:C,3,FALSE),0))</f>
        <v>4813650</v>
      </c>
      <c r="V951" s="307">
        <f>Table24[[#This Row],[SEAT REV]]-Table24[[#This Row],[SEAT REV
(IF IDEAL $)]]</f>
        <v>-481650</v>
      </c>
      <c r="X951"/>
    </row>
    <row r="952" spans="1:24" x14ac:dyDescent="0.25">
      <c r="A952" s="306" t="s">
        <v>17579</v>
      </c>
      <c r="B952" s="306" t="s">
        <v>5333</v>
      </c>
      <c r="C952" s="306" t="s">
        <v>2</v>
      </c>
      <c r="D952" s="26">
        <v>3</v>
      </c>
      <c r="E952" s="312" t="s">
        <v>119</v>
      </c>
      <c r="F952" s="306" t="str">
        <f>VLOOKUP(Table24[[#This Row],[Country]],Table10[[COUNTRY NAME]:[CONTINENT CODE]],3,FALSE)</f>
        <v>EU</v>
      </c>
      <c r="G952" s="312" t="s">
        <v>9386</v>
      </c>
      <c r="H952" s="309">
        <v>7335</v>
      </c>
      <c r="I952" s="310">
        <v>18.25</v>
      </c>
      <c r="J952" s="307">
        <v>198931903</v>
      </c>
      <c r="K952" s="307">
        <f>IFERROR(Table24[[#This Row],[ROUTE COST]]/Table24[[#This Row],[O - DEMAND]],0)</f>
        <v>79445.648162939295</v>
      </c>
      <c r="L952" s="306">
        <v>2504</v>
      </c>
      <c r="M952" s="310">
        <f>Table24[[#This Row],[O - DEMAND]]/950</f>
        <v>2.6357894736842105</v>
      </c>
      <c r="N952" s="306">
        <f>IFERROR(VLOOKUP(Table24[[#This Row],[ROUTE]],DEMAND!A:F,5,FALSE),0)</f>
        <v>2629</v>
      </c>
      <c r="O952" s="306">
        <f>IFERROR(VLOOKUP(Table24[[#This Row],[ROUTE]],DEMAND!A:F,6,FALSE),0)</f>
        <v>729</v>
      </c>
      <c r="P952" s="306">
        <f>ROUNDDOWN(Table24[[#This Row],[R-DEMAND]]/950,0)</f>
        <v>0</v>
      </c>
      <c r="Q952" s="306">
        <f>Table24[[#This Row],[ADD ACC
(475/950)]]*Table24[[#This Row],[Duration
(A359)]]</f>
        <v>0</v>
      </c>
      <c r="R952" s="307">
        <f>IFERROR(VLOOKUP(Table24[[#This Row],[ROUTE]],PRICING!A:B,2,FALSE),0)</f>
        <v>2034</v>
      </c>
      <c r="S952" s="308">
        <f>Table24[[#This Row],[C_DEMAND]]-Table24[[#This Row],[R-DEMAND]]</f>
        <v>1900</v>
      </c>
      <c r="T952" s="307">
        <f>Table24[[#This Row],[SEATS SOLD]]*Table24[[#This Row],[ECO SEAT]]</f>
        <v>3864600</v>
      </c>
      <c r="U952" s="307">
        <f>Table24[[#This Row],[SEATS SOLD]]*(IFERROR(VLOOKUP(Table24[[#This Row],[ROUTE]],PRICING!A:C,3,FALSE),0))</f>
        <v>4546700</v>
      </c>
      <c r="V952" s="307">
        <f>Table24[[#This Row],[SEAT REV]]-Table24[[#This Row],[SEAT REV
(IF IDEAL $)]]</f>
        <v>-682100</v>
      </c>
      <c r="X952"/>
    </row>
    <row r="953" spans="1:24" x14ac:dyDescent="0.25">
      <c r="A953" s="306" t="s">
        <v>17292</v>
      </c>
      <c r="B953" s="306" t="s">
        <v>4756</v>
      </c>
      <c r="C953" s="306" t="s">
        <v>2</v>
      </c>
      <c r="D953" s="26">
        <v>3</v>
      </c>
      <c r="E953" s="312" t="s">
        <v>1289</v>
      </c>
      <c r="F953" s="306" t="str">
        <f>VLOOKUP(Table24[[#This Row],[Country]],Table10[[COUNTRY NAME]:[CONTINENT CODE]],3,FALSE)</f>
        <v>AS</v>
      </c>
      <c r="G953" s="312" t="s">
        <v>11945</v>
      </c>
      <c r="H953" s="309">
        <v>12104</v>
      </c>
      <c r="I953" s="310">
        <v>28.75</v>
      </c>
      <c r="J953" s="307">
        <v>235001159</v>
      </c>
      <c r="K953" s="307">
        <f>IFERROR(Table24[[#This Row],[ROUTE COST]]/Table24[[#This Row],[O - DEMAND]],0)</f>
        <v>53936.460638053708</v>
      </c>
      <c r="L953" s="306">
        <v>4357</v>
      </c>
      <c r="M953" s="310">
        <f>Table24[[#This Row],[O - DEMAND]]/950</f>
        <v>4.5863157894736846</v>
      </c>
      <c r="N953" s="306">
        <f>IFERROR(VLOOKUP(Table24[[#This Row],[ROUTE]],DEMAND!A:F,5,FALSE),0)</f>
        <v>4531</v>
      </c>
      <c r="O953" s="306">
        <f>IFERROR(VLOOKUP(Table24[[#This Row],[ROUTE]],DEMAND!A:F,6,FALSE),0)</f>
        <v>731</v>
      </c>
      <c r="P953" s="306">
        <f>ROUNDDOWN(Table24[[#This Row],[R-DEMAND]]/950,0)</f>
        <v>0</v>
      </c>
      <c r="Q953" s="306">
        <f>Table24[[#This Row],[ADD ACC
(475/950)]]*Table24[[#This Row],[Duration
(A359)]]</f>
        <v>0</v>
      </c>
      <c r="R953" s="307">
        <f>IFERROR(VLOOKUP(Table24[[#This Row],[ROUTE]],PRICING!A:B,2,FALSE),0)</f>
        <v>3407</v>
      </c>
      <c r="S953" s="308">
        <f>Table24[[#This Row],[C_DEMAND]]-Table24[[#This Row],[R-DEMAND]]</f>
        <v>3800</v>
      </c>
      <c r="T953" s="307">
        <f>Table24[[#This Row],[SEATS SOLD]]*Table24[[#This Row],[ECO SEAT]]</f>
        <v>12946600</v>
      </c>
      <c r="U953" s="307">
        <f>Table24[[#This Row],[SEATS SOLD]]*(IFERROR(VLOOKUP(Table24[[#This Row],[ROUTE]],PRICING!A:C,3,FALSE),0))</f>
        <v>14713600</v>
      </c>
      <c r="V953" s="307">
        <f>Table24[[#This Row],[SEAT REV]]-Table24[[#This Row],[SEAT REV
(IF IDEAL $)]]</f>
        <v>-1767000</v>
      </c>
      <c r="X953"/>
    </row>
    <row r="954" spans="1:24" x14ac:dyDescent="0.25">
      <c r="A954" s="306" t="s">
        <v>17358</v>
      </c>
      <c r="B954" s="306" t="s">
        <v>4410</v>
      </c>
      <c r="C954" s="306" t="s">
        <v>2</v>
      </c>
      <c r="D954" s="26">
        <v>2</v>
      </c>
      <c r="E954" s="312" t="s">
        <v>502</v>
      </c>
      <c r="F954" s="306" t="str">
        <f>VLOOKUP(Table24[[#This Row],[Country]],Table10[[COUNTRY NAME]:[CONTINENT CODE]],3,FALSE)</f>
        <v>AS</v>
      </c>
      <c r="G954" s="312" t="s">
        <v>11974</v>
      </c>
      <c r="H954" s="309">
        <v>12501</v>
      </c>
      <c r="I954" s="310">
        <v>29.5</v>
      </c>
      <c r="J954" s="307">
        <v>235264654</v>
      </c>
      <c r="K954" s="307">
        <f>IFERROR(Table24[[#This Row],[ROUTE COST]]/Table24[[#This Row],[O - DEMAND]],0)</f>
        <v>68034.89126662811</v>
      </c>
      <c r="L954" s="306">
        <v>3458</v>
      </c>
      <c r="M954" s="310">
        <f>Table24[[#This Row],[O - DEMAND]]/950</f>
        <v>3.64</v>
      </c>
      <c r="N954" s="306">
        <f>IFERROR(VLOOKUP(Table24[[#This Row],[ROUTE]],DEMAND!A:F,5,FALSE),0)</f>
        <v>3585</v>
      </c>
      <c r="O954" s="306">
        <f>IFERROR(VLOOKUP(Table24[[#This Row],[ROUTE]],DEMAND!A:F,6,FALSE),0)</f>
        <v>735</v>
      </c>
      <c r="P954" s="306">
        <f>ROUNDDOWN(Table24[[#This Row],[R-DEMAND]]/950,0)</f>
        <v>0</v>
      </c>
      <c r="Q954" s="306">
        <f>Table24[[#This Row],[ADD ACC
(475/950)]]*Table24[[#This Row],[Duration
(A359)]]</f>
        <v>0</v>
      </c>
      <c r="R954" s="307">
        <f>IFERROR(VLOOKUP(Table24[[#This Row],[ROUTE]],PRICING!A:B,2,FALSE),0)</f>
        <v>3555</v>
      </c>
      <c r="S954" s="308">
        <f>Table24[[#This Row],[C_DEMAND]]-Table24[[#This Row],[R-DEMAND]]</f>
        <v>2850</v>
      </c>
      <c r="T954" s="307">
        <f>Table24[[#This Row],[SEATS SOLD]]*Table24[[#This Row],[ECO SEAT]]</f>
        <v>10131750</v>
      </c>
      <c r="U954" s="307">
        <f>Table24[[#This Row],[SEATS SOLD]]*(IFERROR(VLOOKUP(Table24[[#This Row],[ROUTE]],PRICING!A:C,3,FALSE),0))</f>
        <v>11385750</v>
      </c>
      <c r="V954" s="307">
        <f>Table24[[#This Row],[SEAT REV]]-Table24[[#This Row],[SEAT REV
(IF IDEAL $)]]</f>
        <v>-1254000</v>
      </c>
      <c r="X954"/>
    </row>
    <row r="955" spans="1:24" x14ac:dyDescent="0.25">
      <c r="A955" s="306" t="s">
        <v>17091</v>
      </c>
      <c r="B955" s="306" t="s">
        <v>1393</v>
      </c>
      <c r="C955" s="306" t="s">
        <v>2</v>
      </c>
      <c r="D955" s="26">
        <v>1</v>
      </c>
      <c r="E955" s="312" t="s">
        <v>608</v>
      </c>
      <c r="F955" s="306" t="str">
        <f>VLOOKUP(Table24[[#This Row],[Country]],Table10[[COUNTRY NAME]:[CONTINENT CODE]],3,FALSE)</f>
        <v>AF</v>
      </c>
      <c r="G955" s="312" t="s">
        <v>6718</v>
      </c>
      <c r="H955" s="309">
        <v>5838</v>
      </c>
      <c r="I955" s="310">
        <v>15</v>
      </c>
      <c r="J955" s="307">
        <v>151077348</v>
      </c>
      <c r="K955" s="307">
        <f>IFERROR(Table24[[#This Row],[ROUTE COST]]/Table24[[#This Row],[O - DEMAND]],0)</f>
        <v>60358.508989212947</v>
      </c>
      <c r="L955" s="306">
        <v>2503</v>
      </c>
      <c r="M955" s="310">
        <f>Table24[[#This Row],[O - DEMAND]]/950</f>
        <v>2.634736842105263</v>
      </c>
      <c r="N955" s="306">
        <f>IFERROR(VLOOKUP(Table24[[#This Row],[ROUTE]],DEMAND!A:F,5,FALSE),0)</f>
        <v>2637</v>
      </c>
      <c r="O955" s="306">
        <f>IFERROR(VLOOKUP(Table24[[#This Row],[ROUTE]],DEMAND!A:F,6,FALSE),0)</f>
        <v>737</v>
      </c>
      <c r="P955" s="306">
        <f>ROUNDDOWN(Table24[[#This Row],[R-DEMAND]]/950,0)</f>
        <v>0</v>
      </c>
      <c r="Q955" s="306">
        <f>Table24[[#This Row],[ADD ACC
(475/950)]]*Table24[[#This Row],[Duration
(A359)]]</f>
        <v>0</v>
      </c>
      <c r="R955" s="307">
        <f>IFERROR(VLOOKUP(Table24[[#This Row],[ROUTE]],PRICING!A:B,2,FALSE),0)</f>
        <v>1620</v>
      </c>
      <c r="S955" s="308">
        <f>Table24[[#This Row],[C_DEMAND]]-Table24[[#This Row],[R-DEMAND]]</f>
        <v>1900</v>
      </c>
      <c r="T955" s="307">
        <f>Table24[[#This Row],[SEATS SOLD]]*Table24[[#This Row],[ECO SEAT]]</f>
        <v>3078000</v>
      </c>
      <c r="U955" s="307">
        <f>Table24[[#This Row],[SEATS SOLD]]*(IFERROR(VLOOKUP(Table24[[#This Row],[ROUTE]],PRICING!A:C,3,FALSE),0))</f>
        <v>3665100</v>
      </c>
      <c r="V955" s="307">
        <f>Table24[[#This Row],[SEAT REV]]-Table24[[#This Row],[SEAT REV
(IF IDEAL $)]]</f>
        <v>-587100</v>
      </c>
      <c r="X955"/>
    </row>
    <row r="956" spans="1:24" x14ac:dyDescent="0.25">
      <c r="A956" s="306" t="s">
        <v>18063</v>
      </c>
      <c r="B956" s="306" t="s">
        <v>4433</v>
      </c>
      <c r="C956" s="306" t="s">
        <v>2</v>
      </c>
      <c r="D956" s="26">
        <v>2</v>
      </c>
      <c r="E956" s="312" t="s">
        <v>530</v>
      </c>
      <c r="F956" s="306" t="str">
        <f>VLOOKUP(Table24[[#This Row],[Country]],Table10[[COUNTRY NAME]:[CONTINENT CODE]],3,FALSE)</f>
        <v>SA</v>
      </c>
      <c r="G956" s="312" t="s">
        <v>16930</v>
      </c>
      <c r="H956" s="309">
        <v>6676</v>
      </c>
      <c r="I956" s="310">
        <v>16.75</v>
      </c>
      <c r="J956" s="307">
        <v>176174266</v>
      </c>
      <c r="K956" s="307">
        <f>IFERROR(Table24[[#This Row],[ROUTE COST]]/Table24[[#This Row],[O - DEMAND]],0)</f>
        <v>69827.295283392785</v>
      </c>
      <c r="L956" s="306">
        <v>2523</v>
      </c>
      <c r="M956" s="310">
        <f>Table24[[#This Row],[O - DEMAND]]/950</f>
        <v>2.6557894736842105</v>
      </c>
      <c r="N956" s="306">
        <f>IFERROR(VLOOKUP(Table24[[#This Row],[ROUTE]],DEMAND!A:F,5,FALSE),0)</f>
        <v>2641</v>
      </c>
      <c r="O956" s="306">
        <f>IFERROR(VLOOKUP(Table24[[#This Row],[ROUTE]],DEMAND!A:F,6,FALSE),0)</f>
        <v>741</v>
      </c>
      <c r="P956" s="306">
        <f>ROUNDDOWN(Table24[[#This Row],[R-DEMAND]]/950,0)</f>
        <v>0</v>
      </c>
      <c r="Q956" s="306">
        <f>Table24[[#This Row],[ADD ACC
(475/950)]]*Table24[[#This Row],[Duration
(A359)]]</f>
        <v>0</v>
      </c>
      <c r="R956" s="307">
        <f>IFERROR(VLOOKUP(Table24[[#This Row],[ROUTE]],PRICING!A:B,2,FALSE),0)</f>
        <v>1882</v>
      </c>
      <c r="S956" s="308">
        <f>Table24[[#This Row],[C_DEMAND]]-Table24[[#This Row],[R-DEMAND]]</f>
        <v>1900</v>
      </c>
      <c r="T956" s="307">
        <f>Table24[[#This Row],[SEATS SOLD]]*Table24[[#This Row],[ECO SEAT]]</f>
        <v>3575800</v>
      </c>
      <c r="U956" s="307">
        <f>Table24[[#This Row],[SEATS SOLD]]*(IFERROR(VLOOKUP(Table24[[#This Row],[ROUTE]],PRICING!A:C,3,FALSE),0))</f>
        <v>4159100</v>
      </c>
      <c r="V956" s="307">
        <f>Table24[[#This Row],[SEAT REV]]-Table24[[#This Row],[SEAT REV
(IF IDEAL $)]]</f>
        <v>-583300</v>
      </c>
      <c r="X956"/>
    </row>
    <row r="957" spans="1:24" x14ac:dyDescent="0.25">
      <c r="A957" s="306" t="s">
        <v>17262</v>
      </c>
      <c r="B957" s="306" t="s">
        <v>4915</v>
      </c>
      <c r="C957" s="306" t="s">
        <v>2</v>
      </c>
      <c r="D957" s="26">
        <v>3</v>
      </c>
      <c r="E957" s="312" t="s">
        <v>14</v>
      </c>
      <c r="F957" s="306" t="str">
        <f>VLOOKUP(Table24[[#This Row],[Country]],Table10[[COUNTRY NAME]:[CONTINENT CODE]],3,FALSE)</f>
        <v>AS</v>
      </c>
      <c r="G957" s="312" t="s">
        <v>12051</v>
      </c>
      <c r="H957" s="309">
        <v>14283</v>
      </c>
      <c r="I957" s="310">
        <v>33.5</v>
      </c>
      <c r="J957" s="307">
        <v>258092574</v>
      </c>
      <c r="K957" s="307">
        <f>IFERROR(Table24[[#This Row],[ROUTE COST]]/Table24[[#This Row],[O - DEMAND]],0)</f>
        <v>101972.56973528249</v>
      </c>
      <c r="L957" s="306">
        <v>2531</v>
      </c>
      <c r="M957" s="310">
        <f>Table24[[#This Row],[O - DEMAND]]/950</f>
        <v>2.6642105263157894</v>
      </c>
      <c r="N957" s="306">
        <f>IFERROR(VLOOKUP(Table24[[#This Row],[ROUTE]],DEMAND!A:F,5,FALSE),0)</f>
        <v>2649</v>
      </c>
      <c r="O957" s="306">
        <f>IFERROR(VLOOKUP(Table24[[#This Row],[ROUTE]],DEMAND!A:F,6,FALSE),0)</f>
        <v>749</v>
      </c>
      <c r="P957" s="306">
        <f>ROUNDDOWN(Table24[[#This Row],[R-DEMAND]]/950,0)</f>
        <v>0</v>
      </c>
      <c r="Q957" s="306">
        <f>Table24[[#This Row],[ADD ACC
(475/950)]]*Table24[[#This Row],[Duration
(A359)]]</f>
        <v>0</v>
      </c>
      <c r="R957" s="307">
        <f>IFERROR(VLOOKUP(Table24[[#This Row],[ROUTE]],PRICING!A:B,2,FALSE),0)</f>
        <v>3910</v>
      </c>
      <c r="S957" s="308">
        <f>Table24[[#This Row],[C_DEMAND]]-Table24[[#This Row],[R-DEMAND]]</f>
        <v>1900</v>
      </c>
      <c r="T957" s="307">
        <f>Table24[[#This Row],[SEATS SOLD]]*Table24[[#This Row],[ECO SEAT]]</f>
        <v>7429000</v>
      </c>
      <c r="U957" s="307">
        <f>Table24[[#This Row],[SEATS SOLD]]*(IFERROR(VLOOKUP(Table24[[#This Row],[ROUTE]],PRICING!A:C,3,FALSE),0))</f>
        <v>8639300</v>
      </c>
      <c r="V957" s="307">
        <f>Table24[[#This Row],[SEAT REV]]-Table24[[#This Row],[SEAT REV
(IF IDEAL $)]]</f>
        <v>-1210300</v>
      </c>
      <c r="X957"/>
    </row>
    <row r="958" spans="1:24" x14ac:dyDescent="0.25">
      <c r="A958" s="306" t="s">
        <v>17606</v>
      </c>
      <c r="B958" s="306" t="s">
        <v>4677</v>
      </c>
      <c r="C958" s="306" t="s">
        <v>2</v>
      </c>
      <c r="D958" s="26">
        <v>2</v>
      </c>
      <c r="E958" s="312" t="s">
        <v>588</v>
      </c>
      <c r="F958" s="306" t="str">
        <f>VLOOKUP(Table24[[#This Row],[Country]],Table10[[COUNTRY NAME]:[CONTINENT CODE]],3,FALSE)</f>
        <v>EU</v>
      </c>
      <c r="G958" s="312" t="s">
        <v>11948</v>
      </c>
      <c r="H958" s="309">
        <v>11510</v>
      </c>
      <c r="I958" s="310">
        <v>27.5</v>
      </c>
      <c r="J958" s="307">
        <v>227602208</v>
      </c>
      <c r="K958" s="307">
        <f>IFERROR(Table24[[#This Row],[ROUTE COST]]/Table24[[#This Row],[O - DEMAND]],0)</f>
        <v>65952.537815126052</v>
      </c>
      <c r="L958" s="306">
        <v>3451</v>
      </c>
      <c r="M958" s="310">
        <f>Table24[[#This Row],[O - DEMAND]]/950</f>
        <v>3.6326315789473682</v>
      </c>
      <c r="N958" s="306">
        <f>IFERROR(VLOOKUP(Table24[[#This Row],[ROUTE]],DEMAND!A:F,5,FALSE),0)</f>
        <v>3601</v>
      </c>
      <c r="O958" s="306">
        <f>IFERROR(VLOOKUP(Table24[[#This Row],[ROUTE]],DEMAND!A:F,6,FALSE),0)</f>
        <v>751</v>
      </c>
      <c r="P958" s="306">
        <f>ROUNDDOWN(Table24[[#This Row],[R-DEMAND]]/950,0)</f>
        <v>0</v>
      </c>
      <c r="Q958" s="306">
        <f>Table24[[#This Row],[ADD ACC
(475/950)]]*Table24[[#This Row],[Duration
(A359)]]</f>
        <v>0</v>
      </c>
      <c r="R958" s="307">
        <f>IFERROR(VLOOKUP(Table24[[#This Row],[ROUTE]],PRICING!A:B,2,FALSE),0)</f>
        <v>3208</v>
      </c>
      <c r="S958" s="308">
        <f>Table24[[#This Row],[C_DEMAND]]-Table24[[#This Row],[R-DEMAND]]</f>
        <v>2850</v>
      </c>
      <c r="T958" s="307">
        <f>Table24[[#This Row],[SEATS SOLD]]*Table24[[#This Row],[ECO SEAT]]</f>
        <v>9142800</v>
      </c>
      <c r="U958" s="307">
        <f>Table24[[#This Row],[SEATS SOLD]]*(IFERROR(VLOOKUP(Table24[[#This Row],[ROUTE]],PRICING!A:C,3,FALSE),0))</f>
        <v>10510800</v>
      </c>
      <c r="V958" s="307">
        <f>Table24[[#This Row],[SEAT REV]]-Table24[[#This Row],[SEAT REV
(IF IDEAL $)]]</f>
        <v>-1368000</v>
      </c>
      <c r="X958"/>
    </row>
    <row r="959" spans="1:24" x14ac:dyDescent="0.25">
      <c r="A959" s="306" t="s">
        <v>17115</v>
      </c>
      <c r="B959" s="306" t="s">
        <v>2425</v>
      </c>
      <c r="C959" s="306" t="s">
        <v>2</v>
      </c>
      <c r="D959" s="26">
        <v>1</v>
      </c>
      <c r="E959" s="312" t="s">
        <v>644</v>
      </c>
      <c r="F959" s="306" t="str">
        <f>VLOOKUP(Table24[[#This Row],[Country]],Table10[[COUNTRY NAME]:[CONTINENT CODE]],3,FALSE)</f>
        <v>AF</v>
      </c>
      <c r="G959" s="312" t="s">
        <v>16869</v>
      </c>
      <c r="H959" s="309">
        <v>10260</v>
      </c>
      <c r="I959" s="310">
        <v>24.75</v>
      </c>
      <c r="J959" s="307">
        <v>200749414</v>
      </c>
      <c r="K959" s="307">
        <f>IFERROR(Table24[[#This Row],[ROUTE COST]]/Table24[[#This Row],[O - DEMAND]],0)</f>
        <v>58340.428363847721</v>
      </c>
      <c r="L959" s="306">
        <v>3441</v>
      </c>
      <c r="M959" s="310">
        <f>Table24[[#This Row],[O - DEMAND]]/950</f>
        <v>3.6221052631578949</v>
      </c>
      <c r="N959" s="306">
        <f>IFERROR(VLOOKUP(Table24[[#This Row],[ROUTE]],DEMAND!A:F,5,FALSE),0)</f>
        <v>3601</v>
      </c>
      <c r="O959" s="306">
        <f>IFERROR(VLOOKUP(Table24[[#This Row],[ROUTE]],DEMAND!A:F,6,FALSE),0)</f>
        <v>751</v>
      </c>
      <c r="P959" s="306">
        <f>ROUNDDOWN(Table24[[#This Row],[R-DEMAND]]/950,0)</f>
        <v>0</v>
      </c>
      <c r="Q959" s="306">
        <f>Table24[[#This Row],[ADD ACC
(475/950)]]*Table24[[#This Row],[Duration
(A359)]]</f>
        <v>0</v>
      </c>
      <c r="R959" s="307">
        <f>IFERROR(VLOOKUP(Table24[[#This Row],[ROUTE]],PRICING!A:B,2,FALSE),0)</f>
        <v>2838</v>
      </c>
      <c r="S959" s="308">
        <f>Table24[[#This Row],[C_DEMAND]]-Table24[[#This Row],[R-DEMAND]]</f>
        <v>2850</v>
      </c>
      <c r="T959" s="307">
        <f>Table24[[#This Row],[SEATS SOLD]]*Table24[[#This Row],[ECO SEAT]]</f>
        <v>8088300</v>
      </c>
      <c r="U959" s="307">
        <f>Table24[[#This Row],[SEATS SOLD]]*(IFERROR(VLOOKUP(Table24[[#This Row],[ROUTE]],PRICING!A:C,3,FALSE),0))</f>
        <v>9405000</v>
      </c>
      <c r="V959" s="307">
        <f>Table24[[#This Row],[SEAT REV]]-Table24[[#This Row],[SEAT REV
(IF IDEAL $)]]</f>
        <v>-1316700</v>
      </c>
      <c r="X959"/>
    </row>
    <row r="960" spans="1:24" x14ac:dyDescent="0.25">
      <c r="A960" s="306" t="s">
        <v>17149</v>
      </c>
      <c r="B960" s="306" t="s">
        <v>4644</v>
      </c>
      <c r="C960" s="306" t="s">
        <v>2</v>
      </c>
      <c r="D960" s="26">
        <v>2</v>
      </c>
      <c r="E960" s="312" t="s">
        <v>1189</v>
      </c>
      <c r="F960" s="306" t="str">
        <f>VLOOKUP(Table24[[#This Row],[Country]],Table10[[COUNTRY NAME]:[CONTINENT CODE]],3,FALSE)</f>
        <v>AF</v>
      </c>
      <c r="G960" s="312" t="s">
        <v>11940</v>
      </c>
      <c r="H960" s="309">
        <v>12459</v>
      </c>
      <c r="I960" s="310">
        <v>29.5</v>
      </c>
      <c r="J960" s="307">
        <v>238020209</v>
      </c>
      <c r="K960" s="307">
        <f>IFERROR(Table24[[#This Row],[ROUTE COST]]/Table24[[#This Row],[O - DEMAND]],0)</f>
        <v>54342.513470319638</v>
      </c>
      <c r="L960" s="306">
        <v>4380</v>
      </c>
      <c r="M960" s="310">
        <f>Table24[[#This Row],[O - DEMAND]]/950</f>
        <v>4.6105263157894738</v>
      </c>
      <c r="N960" s="306">
        <f>IFERROR(VLOOKUP(Table24[[#This Row],[ROUTE]],DEMAND!A:F,5,FALSE),0)</f>
        <v>4555</v>
      </c>
      <c r="O960" s="306">
        <f>IFERROR(VLOOKUP(Table24[[#This Row],[ROUTE]],DEMAND!A:F,6,FALSE),0)</f>
        <v>755</v>
      </c>
      <c r="P960" s="306">
        <f>ROUNDDOWN(Table24[[#This Row],[R-DEMAND]]/950,0)</f>
        <v>0</v>
      </c>
      <c r="Q960" s="306">
        <f>Table24[[#This Row],[ADD ACC
(475/950)]]*Table24[[#This Row],[Duration
(A359)]]</f>
        <v>0</v>
      </c>
      <c r="R960" s="307">
        <f>IFERROR(VLOOKUP(Table24[[#This Row],[ROUTE]],PRICING!A:B,2,FALSE),0)</f>
        <v>3504</v>
      </c>
      <c r="S960" s="308">
        <f>Table24[[#This Row],[C_DEMAND]]-Table24[[#This Row],[R-DEMAND]]</f>
        <v>3800</v>
      </c>
      <c r="T960" s="307">
        <f>Table24[[#This Row],[SEATS SOLD]]*Table24[[#This Row],[ECO SEAT]]</f>
        <v>13315200</v>
      </c>
      <c r="U960" s="307">
        <f>Table24[[#This Row],[SEATS SOLD]]*(IFERROR(VLOOKUP(Table24[[#This Row],[ROUTE]],PRICING!A:C,3,FALSE),0))</f>
        <v>15131600</v>
      </c>
      <c r="V960" s="307">
        <f>Table24[[#This Row],[SEAT REV]]-Table24[[#This Row],[SEAT REV
(IF IDEAL $)]]</f>
        <v>-1816400</v>
      </c>
      <c r="X960"/>
    </row>
    <row r="961" spans="1:24" x14ac:dyDescent="0.25">
      <c r="A961" s="306" t="s">
        <v>17752</v>
      </c>
      <c r="B961" s="306" t="s">
        <v>4922</v>
      </c>
      <c r="C961" s="306" t="s">
        <v>2</v>
      </c>
      <c r="D961" s="26">
        <v>3</v>
      </c>
      <c r="E961" s="312" t="s">
        <v>4920</v>
      </c>
      <c r="F961" s="306" t="str">
        <f>VLOOKUP(Table24[[#This Row],[Country]],Table10[[COUNTRY NAME]:[CONTINENT CODE]],3,FALSE)</f>
        <v>NA</v>
      </c>
      <c r="G961" s="312" t="s">
        <v>13203</v>
      </c>
      <c r="H961" s="309">
        <v>1879</v>
      </c>
      <c r="I961" s="310">
        <v>6.25</v>
      </c>
      <c r="J961" s="307">
        <v>135154341</v>
      </c>
      <c r="K961" s="307">
        <f>IFERROR(Table24[[#This Row],[ROUTE COST]]/Table24[[#This Row],[O - DEMAND]],0)</f>
        <v>39129.803416328898</v>
      </c>
      <c r="L961" s="306">
        <v>3454</v>
      </c>
      <c r="M961" s="310">
        <f>Table24[[#This Row],[O - DEMAND]]/950</f>
        <v>3.6357894736842105</v>
      </c>
      <c r="N961" s="306">
        <f>IFERROR(VLOOKUP(Table24[[#This Row],[ROUTE]],DEMAND!A:F,5,FALSE),0)</f>
        <v>3605</v>
      </c>
      <c r="O961" s="306">
        <f>IFERROR(VLOOKUP(Table24[[#This Row],[ROUTE]],DEMAND!A:F,6,FALSE),0)</f>
        <v>755</v>
      </c>
      <c r="P961" s="306">
        <f>ROUNDDOWN(Table24[[#This Row],[R-DEMAND]]/950,0)</f>
        <v>0</v>
      </c>
      <c r="Q961" s="306">
        <f>Table24[[#This Row],[ADD ACC
(475/950)]]*Table24[[#This Row],[Duration
(A359)]]</f>
        <v>0</v>
      </c>
      <c r="R961" s="307">
        <f>IFERROR(VLOOKUP(Table24[[#This Row],[ROUTE]],PRICING!A:B,2,FALSE),0)</f>
        <v>610</v>
      </c>
      <c r="S961" s="308">
        <f>Table24[[#This Row],[C_DEMAND]]-Table24[[#This Row],[R-DEMAND]]</f>
        <v>2850</v>
      </c>
      <c r="T961" s="307">
        <f>Table24[[#This Row],[SEATS SOLD]]*Table24[[#This Row],[ECO SEAT]]</f>
        <v>1738500</v>
      </c>
      <c r="U961" s="307">
        <f>Table24[[#This Row],[SEATS SOLD]]*(IFERROR(VLOOKUP(Table24[[#This Row],[ROUTE]],PRICING!A:C,3,FALSE),0))</f>
        <v>2000700</v>
      </c>
      <c r="V961" s="307">
        <f>Table24[[#This Row],[SEAT REV]]-Table24[[#This Row],[SEAT REV
(IF IDEAL $)]]</f>
        <v>-262200</v>
      </c>
      <c r="X961"/>
    </row>
    <row r="962" spans="1:24" x14ac:dyDescent="0.25">
      <c r="A962" s="306" t="s">
        <v>17758</v>
      </c>
      <c r="B962" s="306" t="s">
        <v>4990</v>
      </c>
      <c r="C962" s="306" t="s">
        <v>2</v>
      </c>
      <c r="D962" s="26">
        <v>3</v>
      </c>
      <c r="E962" s="312" t="s">
        <v>4988</v>
      </c>
      <c r="F962" s="306" t="str">
        <f>VLOOKUP(Table24[[#This Row],[Country]],Table10[[COUNTRY NAME]:[CONTINENT CODE]],3,FALSE)</f>
        <v>NA</v>
      </c>
      <c r="G962" s="312" t="s">
        <v>13206</v>
      </c>
      <c r="H962" s="309">
        <v>1170</v>
      </c>
      <c r="I962" s="310">
        <v>4.75</v>
      </c>
      <c r="J962" s="307">
        <v>128385148</v>
      </c>
      <c r="K962" s="307">
        <f>IFERROR(Table24[[#This Row],[ROUTE COST]]/Table24[[#This Row],[O - DEMAND]],0)</f>
        <v>50130.86606794221</v>
      </c>
      <c r="L962" s="306">
        <v>2561</v>
      </c>
      <c r="M962" s="310">
        <f>Table24[[#This Row],[O - DEMAND]]/950</f>
        <v>2.6957894736842105</v>
      </c>
      <c r="N962" s="306">
        <f>IFERROR(VLOOKUP(Table24[[#This Row],[ROUTE]],DEMAND!A:F,5,FALSE),0)</f>
        <v>2657</v>
      </c>
      <c r="O962" s="306">
        <f>IFERROR(VLOOKUP(Table24[[#This Row],[ROUTE]],DEMAND!A:F,6,FALSE),0)</f>
        <v>757</v>
      </c>
      <c r="P962" s="306">
        <f>ROUNDDOWN(Table24[[#This Row],[R-DEMAND]]/950,0)</f>
        <v>0</v>
      </c>
      <c r="Q962" s="306">
        <f>Table24[[#This Row],[ADD ACC
(475/950)]]*Table24[[#This Row],[Duration
(A359)]]</f>
        <v>0</v>
      </c>
      <c r="R962" s="307">
        <f>IFERROR(VLOOKUP(Table24[[#This Row],[ROUTE]],PRICING!A:B,2,FALSE),0)</f>
        <v>428</v>
      </c>
      <c r="S962" s="308">
        <f>Table24[[#This Row],[C_DEMAND]]-Table24[[#This Row],[R-DEMAND]]</f>
        <v>1900</v>
      </c>
      <c r="T962" s="307">
        <f>Table24[[#This Row],[SEATS SOLD]]*Table24[[#This Row],[ECO SEAT]]</f>
        <v>813200</v>
      </c>
      <c r="U962" s="307">
        <f>Table24[[#This Row],[SEATS SOLD]]*(IFERROR(VLOOKUP(Table24[[#This Row],[ROUTE]],PRICING!A:C,3,FALSE),0))</f>
        <v>915800</v>
      </c>
      <c r="V962" s="307">
        <f>Table24[[#This Row],[SEAT REV]]-Table24[[#This Row],[SEAT REV
(IF IDEAL $)]]</f>
        <v>-102600</v>
      </c>
      <c r="X962"/>
    </row>
    <row r="963" spans="1:24" x14ac:dyDescent="0.25">
      <c r="A963" s="306" t="s">
        <v>17871</v>
      </c>
      <c r="B963" s="306" t="s">
        <v>5647</v>
      </c>
      <c r="C963" s="306" t="s">
        <v>2</v>
      </c>
      <c r="D963" s="26">
        <v>4</v>
      </c>
      <c r="E963" s="312" t="s">
        <v>11732</v>
      </c>
      <c r="F963" s="306" t="str">
        <f>VLOOKUP(Table24[[#This Row],[Country]],Table10[[COUNTRY NAME]:[CONTINENT CODE]],3,FALSE)</f>
        <v>NA - US</v>
      </c>
      <c r="G963" s="312" t="s">
        <v>13366</v>
      </c>
      <c r="H963" s="309">
        <v>1477</v>
      </c>
      <c r="I963" s="310">
        <v>5.25</v>
      </c>
      <c r="J963" s="307"/>
      <c r="K963" s="307">
        <f>IFERROR(Table24[[#This Row],[ROUTE COST]]/Table24[[#This Row],[O - DEMAND]],0)</f>
        <v>0</v>
      </c>
      <c r="L963" s="306"/>
      <c r="M963" s="310">
        <f>Table24[[#This Row],[O - DEMAND]]/950</f>
        <v>0</v>
      </c>
      <c r="N963" s="306">
        <f>IFERROR(VLOOKUP(Table24[[#This Row],[ROUTE]],DEMAND!A:F,5,FALSE),0)</f>
        <v>2659</v>
      </c>
      <c r="O963" s="306">
        <f>IFERROR(VLOOKUP(Table24[[#This Row],[ROUTE]],DEMAND!A:F,6,FALSE),0)</f>
        <v>759</v>
      </c>
      <c r="P963" s="306">
        <f>ROUNDDOWN(Table24[[#This Row],[R-DEMAND]]/950,0)</f>
        <v>0</v>
      </c>
      <c r="Q963" s="306">
        <f>Table24[[#This Row],[ADD ACC
(475/950)]]*Table24[[#This Row],[Duration
(A359)]]</f>
        <v>0</v>
      </c>
      <c r="R963" s="307">
        <f>IFERROR(VLOOKUP(Table24[[#This Row],[ROUTE]],PRICING!A:B,2,FALSE),0)</f>
        <v>473</v>
      </c>
      <c r="S963" s="308">
        <f>Table24[[#This Row],[C_DEMAND]]-Table24[[#This Row],[R-DEMAND]]</f>
        <v>1900</v>
      </c>
      <c r="T963" s="307">
        <f>Table24[[#This Row],[SEATS SOLD]]*Table24[[#This Row],[ECO SEAT]]</f>
        <v>898700</v>
      </c>
      <c r="U963" s="307">
        <f>Table24[[#This Row],[SEATS SOLD]]*(IFERROR(VLOOKUP(Table24[[#This Row],[ROUTE]],PRICING!A:C,3,FALSE),0))</f>
        <v>1096300</v>
      </c>
      <c r="V963" s="307">
        <f>Table24[[#This Row],[SEAT REV]]-Table24[[#This Row],[SEAT REV
(IF IDEAL $)]]</f>
        <v>-197600</v>
      </c>
      <c r="X963"/>
    </row>
    <row r="964" spans="1:24" x14ac:dyDescent="0.25">
      <c r="A964" s="306" t="s">
        <v>17037</v>
      </c>
      <c r="B964" s="306" t="s">
        <v>4816</v>
      </c>
      <c r="C964" s="306" t="s">
        <v>2</v>
      </c>
      <c r="D964" s="26">
        <v>3</v>
      </c>
      <c r="E964" s="312" t="s">
        <v>608</v>
      </c>
      <c r="F964" s="306" t="str">
        <f>VLOOKUP(Table24[[#This Row],[Country]],Table10[[COUNTRY NAME]:[CONTINENT CODE]],3,FALSE)</f>
        <v>AF</v>
      </c>
      <c r="G964" s="312" t="s">
        <v>11674</v>
      </c>
      <c r="H964" s="309">
        <v>6421</v>
      </c>
      <c r="I964" s="310">
        <v>16.25</v>
      </c>
      <c r="J964" s="307">
        <v>178650336</v>
      </c>
      <c r="K964" s="307">
        <f>IFERROR(Table24[[#This Row],[ROUTE COST]]/Table24[[#This Row],[O - DEMAND]],0)</f>
        <v>51013.802398629356</v>
      </c>
      <c r="L964" s="306">
        <v>3502</v>
      </c>
      <c r="M964" s="310">
        <f>Table24[[#This Row],[O - DEMAND]]/950</f>
        <v>3.6863157894736842</v>
      </c>
      <c r="N964" s="306">
        <f>IFERROR(VLOOKUP(Table24[[#This Row],[ROUTE]],DEMAND!A:F,5,FALSE),0)</f>
        <v>3619</v>
      </c>
      <c r="O964" s="306">
        <f>IFERROR(VLOOKUP(Table24[[#This Row],[ROUTE]],DEMAND!A:F,6,FALSE),0)</f>
        <v>769</v>
      </c>
      <c r="P964" s="306">
        <f>ROUNDDOWN(Table24[[#This Row],[R-DEMAND]]/950,0)</f>
        <v>0</v>
      </c>
      <c r="Q964" s="306">
        <f>Table24[[#This Row],[ADD ACC
(475/950)]]*Table24[[#This Row],[Duration
(A359)]]</f>
        <v>0</v>
      </c>
      <c r="R964" s="307">
        <f>IFERROR(VLOOKUP(Table24[[#This Row],[ROUTE]],PRICING!A:B,2,FALSE),0)</f>
        <v>1899</v>
      </c>
      <c r="S964" s="308">
        <f>Table24[[#This Row],[C_DEMAND]]-Table24[[#This Row],[R-DEMAND]]</f>
        <v>2850</v>
      </c>
      <c r="T964" s="307">
        <f>Table24[[#This Row],[SEATS SOLD]]*Table24[[#This Row],[ECO SEAT]]</f>
        <v>5412150</v>
      </c>
      <c r="U964" s="307">
        <f>Table24[[#This Row],[SEATS SOLD]]*(IFERROR(VLOOKUP(Table24[[#This Row],[ROUTE]],PRICING!A:C,3,FALSE),0))</f>
        <v>6013500</v>
      </c>
      <c r="V964" s="307">
        <f>Table24[[#This Row],[SEAT REV]]-Table24[[#This Row],[SEAT REV
(IF IDEAL $)]]</f>
        <v>-601350</v>
      </c>
      <c r="X964"/>
    </row>
    <row r="965" spans="1:24" x14ac:dyDescent="0.25">
      <c r="A965" s="306" t="s">
        <v>18015</v>
      </c>
      <c r="B965" s="306" t="s">
        <v>4078</v>
      </c>
      <c r="C965" s="306" t="s">
        <v>2</v>
      </c>
      <c r="D965" s="26">
        <v>2</v>
      </c>
      <c r="E965" s="312" t="s">
        <v>11669</v>
      </c>
      <c r="F965" s="306" t="str">
        <f>VLOOKUP(Table24[[#This Row],[Country]],Table10[[COUNTRY NAME]:[CONTINENT CODE]],3,FALSE)</f>
        <v>SA</v>
      </c>
      <c r="G965" s="312" t="s">
        <v>11670</v>
      </c>
      <c r="H965" s="309">
        <v>8174</v>
      </c>
      <c r="I965" s="310">
        <v>20</v>
      </c>
      <c r="J965" s="307">
        <v>188037901</v>
      </c>
      <c r="K965" s="307">
        <f>IFERROR(Table24[[#This Row],[ROUTE COST]]/Table24[[#This Row],[O - DEMAND]],0)</f>
        <v>72854.669120495935</v>
      </c>
      <c r="L965" s="306">
        <v>2581</v>
      </c>
      <c r="M965" s="310">
        <f>Table24[[#This Row],[O - DEMAND]]/950</f>
        <v>2.7168421052631579</v>
      </c>
      <c r="N965" s="306">
        <f>IFERROR(VLOOKUP(Table24[[#This Row],[ROUTE]],DEMAND!A:F,5,FALSE),0)</f>
        <v>2676</v>
      </c>
      <c r="O965" s="306">
        <f>IFERROR(VLOOKUP(Table24[[#This Row],[ROUTE]],DEMAND!A:F,6,FALSE),0)</f>
        <v>776</v>
      </c>
      <c r="P965" s="306">
        <f>ROUNDDOWN(Table24[[#This Row],[R-DEMAND]]/950,0)</f>
        <v>0</v>
      </c>
      <c r="Q965" s="306">
        <f>Table24[[#This Row],[ADD ACC
(475/950)]]*Table24[[#This Row],[Duration
(A359)]]</f>
        <v>0</v>
      </c>
      <c r="R965" s="307">
        <f>IFERROR(VLOOKUP(Table24[[#This Row],[ROUTE]],PRICING!A:B,2,FALSE),0)</f>
        <v>2361</v>
      </c>
      <c r="S965" s="308">
        <f>Table24[[#This Row],[C_DEMAND]]-Table24[[#This Row],[R-DEMAND]]</f>
        <v>1900</v>
      </c>
      <c r="T965" s="307">
        <f>Table24[[#This Row],[SEATS SOLD]]*Table24[[#This Row],[ECO SEAT]]</f>
        <v>4485900</v>
      </c>
      <c r="U965" s="307">
        <f>Table24[[#This Row],[SEATS SOLD]]*(IFERROR(VLOOKUP(Table24[[#This Row],[ROUTE]],PRICING!A:C,3,FALSE),0))</f>
        <v>5040700</v>
      </c>
      <c r="V965" s="307">
        <f>Table24[[#This Row],[SEAT REV]]-Table24[[#This Row],[SEAT REV
(IF IDEAL $)]]</f>
        <v>-554800</v>
      </c>
      <c r="X965"/>
    </row>
    <row r="966" spans="1:24" x14ac:dyDescent="0.25">
      <c r="A966" s="306" t="s">
        <v>18037</v>
      </c>
      <c r="B966" s="306" t="s">
        <v>103</v>
      </c>
      <c r="C966" s="306" t="s">
        <v>2</v>
      </c>
      <c r="D966" s="26">
        <v>4</v>
      </c>
      <c r="E966" s="312" t="s">
        <v>530</v>
      </c>
      <c r="F966" s="306" t="str">
        <f>VLOOKUP(Table24[[#This Row],[Country]],Table10[[COUNTRY NAME]:[CONTINENT CODE]],3,FALSE)</f>
        <v>SA</v>
      </c>
      <c r="G966" s="312" t="s">
        <v>13178</v>
      </c>
      <c r="H966" s="309">
        <v>5782</v>
      </c>
      <c r="I966" s="310">
        <v>14.75</v>
      </c>
      <c r="J966" s="307">
        <v>190190035</v>
      </c>
      <c r="K966" s="307">
        <f>IFERROR(Table24[[#This Row],[ROUTE COST]]/Table24[[#This Row],[O - DEMAND]],0)</f>
        <v>55725.178728391445</v>
      </c>
      <c r="L966" s="306">
        <v>3413</v>
      </c>
      <c r="M966" s="310">
        <f>Table24[[#This Row],[O - DEMAND]]/950</f>
        <v>3.5926315789473686</v>
      </c>
      <c r="N966" s="306">
        <f>IFERROR(VLOOKUP(Table24[[#This Row],[ROUTE]],DEMAND!A:F,5,FALSE),0)</f>
        <v>3630</v>
      </c>
      <c r="O966" s="306">
        <f>IFERROR(VLOOKUP(Table24[[#This Row],[ROUTE]],DEMAND!A:F,6,FALSE),0)</f>
        <v>780</v>
      </c>
      <c r="P966" s="306">
        <f>ROUNDDOWN(Table24[[#This Row],[R-DEMAND]]/950,0)</f>
        <v>0</v>
      </c>
      <c r="Q966" s="306">
        <f>Table24[[#This Row],[ADD ACC
(475/950)]]*Table24[[#This Row],[Duration
(A359)]]</f>
        <v>0</v>
      </c>
      <c r="R966" s="307">
        <f>IFERROR(VLOOKUP(Table24[[#This Row],[ROUTE]],PRICING!A:B,2,FALSE),0)</f>
        <v>1548</v>
      </c>
      <c r="S966" s="308">
        <f>Table24[[#This Row],[C_DEMAND]]-Table24[[#This Row],[R-DEMAND]]</f>
        <v>2850</v>
      </c>
      <c r="T966" s="307">
        <f>Table24[[#This Row],[SEATS SOLD]]*Table24[[#This Row],[ECO SEAT]]</f>
        <v>4411800</v>
      </c>
      <c r="U966" s="307">
        <f>Table24[[#This Row],[SEATS SOLD]]*(IFERROR(VLOOKUP(Table24[[#This Row],[ROUTE]],PRICING!A:C,3,FALSE),0))</f>
        <v>5449200</v>
      </c>
      <c r="V966" s="307">
        <f>Table24[[#This Row],[SEAT REV]]-Table24[[#This Row],[SEAT REV
(IF IDEAL $)]]</f>
        <v>-1037400</v>
      </c>
      <c r="X966"/>
    </row>
    <row r="967" spans="1:24" x14ac:dyDescent="0.25">
      <c r="A967" s="306" t="s">
        <v>17084</v>
      </c>
      <c r="B967" s="306" t="s">
        <v>2946</v>
      </c>
      <c r="C967" s="306" t="s">
        <v>2</v>
      </c>
      <c r="D967" s="26">
        <v>2</v>
      </c>
      <c r="E967" s="312" t="s">
        <v>493</v>
      </c>
      <c r="F967" s="306" t="str">
        <f>VLOOKUP(Table24[[#This Row],[Country]],Table10[[COUNTRY NAME]:[CONTINENT CODE]],3,FALSE)</f>
        <v>AF</v>
      </c>
      <c r="G967" s="312" t="s">
        <v>11727</v>
      </c>
      <c r="H967" s="309">
        <v>8007</v>
      </c>
      <c r="I967" s="310">
        <v>19.75</v>
      </c>
      <c r="J967" s="307">
        <v>180525564</v>
      </c>
      <c r="K967" s="307">
        <f>IFERROR(Table24[[#This Row],[ROUTE COST]]/Table24[[#This Row],[O - DEMAND]],0)</f>
        <v>71608.712415708054</v>
      </c>
      <c r="L967" s="306">
        <v>2521</v>
      </c>
      <c r="M967" s="310">
        <f>Table24[[#This Row],[O - DEMAND]]/950</f>
        <v>2.6536842105263156</v>
      </c>
      <c r="N967" s="306">
        <f>IFERROR(VLOOKUP(Table24[[#This Row],[ROUTE]],DEMAND!A:F,5,FALSE),0)</f>
        <v>2681</v>
      </c>
      <c r="O967" s="306">
        <f>IFERROR(VLOOKUP(Table24[[#This Row],[ROUTE]],DEMAND!A:F,6,FALSE),0)</f>
        <v>781</v>
      </c>
      <c r="P967" s="306">
        <f>ROUNDDOWN(Table24[[#This Row],[R-DEMAND]]/950,0)</f>
        <v>0</v>
      </c>
      <c r="Q967" s="306">
        <f>Table24[[#This Row],[ADD ACC
(475/950)]]*Table24[[#This Row],[Duration
(A359)]]</f>
        <v>0</v>
      </c>
      <c r="R967" s="307">
        <f>IFERROR(VLOOKUP(Table24[[#This Row],[ROUTE]],PRICING!A:B,2,FALSE),0)</f>
        <v>2107</v>
      </c>
      <c r="S967" s="308">
        <f>Table24[[#This Row],[C_DEMAND]]-Table24[[#This Row],[R-DEMAND]]</f>
        <v>1900</v>
      </c>
      <c r="T967" s="307">
        <f>Table24[[#This Row],[SEATS SOLD]]*Table24[[#This Row],[ECO SEAT]]</f>
        <v>4003300</v>
      </c>
      <c r="U967" s="307">
        <f>Table24[[#This Row],[SEATS SOLD]]*(IFERROR(VLOOKUP(Table24[[#This Row],[ROUTE]],PRICING!A:C,3,FALSE),0))</f>
        <v>4943800</v>
      </c>
      <c r="V967" s="307">
        <f>Table24[[#This Row],[SEAT REV]]-Table24[[#This Row],[SEAT REV
(IF IDEAL $)]]</f>
        <v>-940500</v>
      </c>
      <c r="X967"/>
    </row>
    <row r="968" spans="1:24" x14ac:dyDescent="0.25">
      <c r="A968" s="306" t="s">
        <v>17242</v>
      </c>
      <c r="B968" s="306" t="s">
        <v>5639</v>
      </c>
      <c r="C968" s="306" t="s">
        <v>2</v>
      </c>
      <c r="D968" s="26">
        <v>4</v>
      </c>
      <c r="E968" s="312" t="s">
        <v>172</v>
      </c>
      <c r="F968" s="306" t="str">
        <f>VLOOKUP(Table24[[#This Row],[Country]],Table10[[COUNTRY NAME]:[CONTINENT CODE]],3,FALSE)</f>
        <v>AS</v>
      </c>
      <c r="G968" s="312" t="s">
        <v>11075</v>
      </c>
      <c r="H968" s="309">
        <v>11321</v>
      </c>
      <c r="I968" s="310">
        <v>27</v>
      </c>
      <c r="J968" s="307">
        <v>252610739</v>
      </c>
      <c r="K968" s="307">
        <f>IFERROR(Table24[[#This Row],[ROUTE COST]]/Table24[[#This Row],[O - DEMAND]],0)</f>
        <v>58071.434252873565</v>
      </c>
      <c r="L968" s="306">
        <v>4350</v>
      </c>
      <c r="M968" s="310">
        <f>Table24[[#This Row],[O - DEMAND]]/950</f>
        <v>4.5789473684210522</v>
      </c>
      <c r="N968" s="306">
        <f>IFERROR(VLOOKUP(Table24[[#This Row],[ROUTE]],DEMAND!A:F,5,FALSE),0)</f>
        <v>4583</v>
      </c>
      <c r="O968" s="306">
        <f>IFERROR(VLOOKUP(Table24[[#This Row],[ROUTE]],DEMAND!A:F,6,FALSE),0)</f>
        <v>783</v>
      </c>
      <c r="P968" s="306">
        <f>ROUNDDOWN(Table24[[#This Row],[R-DEMAND]]/950,0)</f>
        <v>0</v>
      </c>
      <c r="Q968" s="306">
        <f>Table24[[#This Row],[ADD ACC
(475/950)]]*Table24[[#This Row],[Duration
(A359)]]</f>
        <v>0</v>
      </c>
      <c r="R968" s="307">
        <f>IFERROR(VLOOKUP(Table24[[#This Row],[ROUTE]],PRICING!A:B,2,FALSE),0)</f>
        <v>3048</v>
      </c>
      <c r="S968" s="308">
        <f>Table24[[#This Row],[C_DEMAND]]-Table24[[#This Row],[R-DEMAND]]</f>
        <v>3800</v>
      </c>
      <c r="T968" s="307">
        <f>Table24[[#This Row],[SEATS SOLD]]*Table24[[#This Row],[ECO SEAT]]</f>
        <v>11582400</v>
      </c>
      <c r="U968" s="307">
        <f>Table24[[#This Row],[SEATS SOLD]]*(IFERROR(VLOOKUP(Table24[[#This Row],[ROUTE]],PRICING!A:C,3,FALSE),0))</f>
        <v>13790200</v>
      </c>
      <c r="V968" s="307">
        <f>Table24[[#This Row],[SEAT REV]]-Table24[[#This Row],[SEAT REV
(IF IDEAL $)]]</f>
        <v>-2207800</v>
      </c>
      <c r="X968"/>
    </row>
    <row r="969" spans="1:24" x14ac:dyDescent="0.25">
      <c r="A969" s="306" t="s">
        <v>17892</v>
      </c>
      <c r="B969" s="306" t="s">
        <v>5371</v>
      </c>
      <c r="C969" s="306" t="s">
        <v>2</v>
      </c>
      <c r="D969" s="26">
        <v>3</v>
      </c>
      <c r="E969" s="312" t="s">
        <v>11732</v>
      </c>
      <c r="F969" s="306" t="str">
        <f>VLOOKUP(Table24[[#This Row],[Country]],Table10[[COUNTRY NAME]:[CONTINENT CODE]],3,FALSE)</f>
        <v>NA - US</v>
      </c>
      <c r="G969" s="312" t="s">
        <v>16998</v>
      </c>
      <c r="H969" s="309">
        <v>2776</v>
      </c>
      <c r="I969" s="310">
        <v>8.25</v>
      </c>
      <c r="J969" s="307"/>
      <c r="K969" s="307">
        <f>IFERROR(Table24[[#This Row],[ROUTE COST]]/Table24[[#This Row],[O - DEMAND]],0)</f>
        <v>0</v>
      </c>
      <c r="L969" s="306"/>
      <c r="M969" s="310">
        <f>Table24[[#This Row],[O - DEMAND]]/950</f>
        <v>0</v>
      </c>
      <c r="N969" s="306">
        <f>IFERROR(VLOOKUP(Table24[[#This Row],[ROUTE]],DEMAND!A:F,5,FALSE),0)</f>
        <v>2683</v>
      </c>
      <c r="O969" s="306">
        <f>IFERROR(VLOOKUP(Table24[[#This Row],[ROUTE]],DEMAND!A:F,6,FALSE),0)</f>
        <v>783</v>
      </c>
      <c r="P969" s="306">
        <f>ROUNDDOWN(Table24[[#This Row],[R-DEMAND]]/950,0)</f>
        <v>0</v>
      </c>
      <c r="Q969" s="306">
        <f>Table24[[#This Row],[ADD ACC
(475/950)]]*Table24[[#This Row],[Duration
(A359)]]</f>
        <v>0</v>
      </c>
      <c r="R969" s="307">
        <f>IFERROR(VLOOKUP(Table24[[#This Row],[ROUTE]],PRICING!A:B,2,FALSE),0)</f>
        <v>862</v>
      </c>
      <c r="S969" s="308">
        <f>Table24[[#This Row],[C_DEMAND]]-Table24[[#This Row],[R-DEMAND]]</f>
        <v>1900</v>
      </c>
      <c r="T969" s="307">
        <f>Table24[[#This Row],[SEATS SOLD]]*Table24[[#This Row],[ECO SEAT]]</f>
        <v>1637800</v>
      </c>
      <c r="U969" s="307">
        <f>Table24[[#This Row],[SEATS SOLD]]*(IFERROR(VLOOKUP(Table24[[#This Row],[ROUTE]],PRICING!A:C,3,FALSE),0))</f>
        <v>1862000</v>
      </c>
      <c r="V969" s="307">
        <f>Table24[[#This Row],[SEAT REV]]-Table24[[#This Row],[SEAT REV
(IF IDEAL $)]]</f>
        <v>-224200</v>
      </c>
      <c r="X969"/>
    </row>
    <row r="970" spans="1:24" x14ac:dyDescent="0.25">
      <c r="A970" s="306" t="s">
        <v>18090</v>
      </c>
      <c r="B970" s="306" t="s">
        <v>178</v>
      </c>
      <c r="C970" s="306" t="s">
        <v>467</v>
      </c>
      <c r="D970" s="26">
        <v>2</v>
      </c>
      <c r="E970" s="312" t="s">
        <v>860</v>
      </c>
      <c r="F970" s="306" t="str">
        <f>VLOOKUP(Table24[[#This Row],[Country]],Table10[[COUNTRY NAME]:[CONTINENT CODE]],3,FALSE)</f>
        <v>SA</v>
      </c>
      <c r="G970" s="312" t="s">
        <v>13182</v>
      </c>
      <c r="H970" s="309">
        <v>1421</v>
      </c>
      <c r="I970" s="310">
        <v>5.25</v>
      </c>
      <c r="J970" s="307">
        <v>122096019</v>
      </c>
      <c r="K970" s="307">
        <f>IFERROR(Table24[[#This Row],[ROUTE COST]]/Table24[[#This Row],[O - DEMAND]],0)</f>
        <v>46996.158198614321</v>
      </c>
      <c r="L970" s="306">
        <v>2598</v>
      </c>
      <c r="M970" s="310">
        <f>Table24[[#This Row],[O - DEMAND]]/950</f>
        <v>2.7347368421052631</v>
      </c>
      <c r="N970" s="306">
        <f>IFERROR(VLOOKUP(Table24[[#This Row],[ROUTE]],DEMAND!A:F,5,FALSE),0)</f>
        <v>2685</v>
      </c>
      <c r="O970" s="306">
        <f>IFERROR(VLOOKUP(Table24[[#This Row],[ROUTE]],DEMAND!A:F,6,FALSE),0)</f>
        <v>785</v>
      </c>
      <c r="P970" s="306">
        <f>ROUNDDOWN(Table24[[#This Row],[R-DEMAND]]/950,0)</f>
        <v>0</v>
      </c>
      <c r="Q970" s="306">
        <f>Table24[[#This Row],[ADD ACC
(475/950)]]*Table24[[#This Row],[Duration
(A359)]]</f>
        <v>0</v>
      </c>
      <c r="R970" s="307">
        <f>IFERROR(VLOOKUP(Table24[[#This Row],[ROUTE]],PRICING!A:B,2,FALSE),0)</f>
        <v>504</v>
      </c>
      <c r="S970" s="308">
        <f>Table24[[#This Row],[C_DEMAND]]-Table24[[#This Row],[R-DEMAND]]</f>
        <v>1900</v>
      </c>
      <c r="T970" s="307">
        <f>Table24[[#This Row],[SEATS SOLD]]*Table24[[#This Row],[ECO SEAT]]</f>
        <v>957600</v>
      </c>
      <c r="U970" s="307">
        <f>Table24[[#This Row],[SEATS SOLD]]*(IFERROR(VLOOKUP(Table24[[#This Row],[ROUTE]],PRICING!A:C,3,FALSE),0))</f>
        <v>1064000</v>
      </c>
      <c r="V970" s="307">
        <f>Table24[[#This Row],[SEAT REV]]-Table24[[#This Row],[SEAT REV
(IF IDEAL $)]]</f>
        <v>-106400</v>
      </c>
      <c r="X970"/>
    </row>
    <row r="971" spans="1:24" x14ac:dyDescent="0.25">
      <c r="A971" s="306" t="s">
        <v>17747</v>
      </c>
      <c r="B971" s="306" t="s">
        <v>5210</v>
      </c>
      <c r="C971" s="306" t="s">
        <v>2</v>
      </c>
      <c r="D971" s="26">
        <v>3</v>
      </c>
      <c r="E971" s="312" t="s">
        <v>1749</v>
      </c>
      <c r="F971" s="306" t="str">
        <f>VLOOKUP(Table24[[#This Row],[Country]],Table10[[COUNTRY NAME]:[CONTINENT CODE]],3,FALSE)</f>
        <v>NA</v>
      </c>
      <c r="G971" s="312" t="s">
        <v>13216</v>
      </c>
      <c r="H971" s="309">
        <v>3455</v>
      </c>
      <c r="I971" s="310">
        <v>9.75</v>
      </c>
      <c r="J971" s="307">
        <v>155539309</v>
      </c>
      <c r="K971" s="307">
        <f>IFERROR(Table24[[#This Row],[ROUTE COST]]/Table24[[#This Row],[O - DEMAND]],0)</f>
        <v>45346.73731778426</v>
      </c>
      <c r="L971" s="306">
        <v>3430</v>
      </c>
      <c r="M971" s="310">
        <f>Table24[[#This Row],[O - DEMAND]]/950</f>
        <v>3.6105263157894738</v>
      </c>
      <c r="N971" s="306">
        <f>IFERROR(VLOOKUP(Table24[[#This Row],[ROUTE]],DEMAND!A:F,5,FALSE),0)</f>
        <v>3636</v>
      </c>
      <c r="O971" s="306">
        <f>IFERROR(VLOOKUP(Table24[[#This Row],[ROUTE]],DEMAND!A:F,6,FALSE),0)</f>
        <v>786</v>
      </c>
      <c r="P971" s="306">
        <f>ROUNDDOWN(Table24[[#This Row],[R-DEMAND]]/950,0)</f>
        <v>0</v>
      </c>
      <c r="Q971" s="306">
        <f>Table24[[#This Row],[ADD ACC
(475/950)]]*Table24[[#This Row],[Duration
(A359)]]</f>
        <v>0</v>
      </c>
      <c r="R971" s="307">
        <f>IFERROR(VLOOKUP(Table24[[#This Row],[ROUTE]],PRICING!A:B,2,FALSE),0)</f>
        <v>976</v>
      </c>
      <c r="S971" s="308">
        <f>Table24[[#This Row],[C_DEMAND]]-Table24[[#This Row],[R-DEMAND]]</f>
        <v>2850</v>
      </c>
      <c r="T971" s="307">
        <f>Table24[[#This Row],[SEATS SOLD]]*Table24[[#This Row],[ECO SEAT]]</f>
        <v>2781600</v>
      </c>
      <c r="U971" s="307">
        <f>Table24[[#This Row],[SEATS SOLD]]*(IFERROR(VLOOKUP(Table24[[#This Row],[ROUTE]],PRICING!A:C,3,FALSE),0))</f>
        <v>3394350</v>
      </c>
      <c r="V971" s="307">
        <f>Table24[[#This Row],[SEAT REV]]-Table24[[#This Row],[SEAT REV
(IF IDEAL $)]]</f>
        <v>-612750</v>
      </c>
      <c r="X971"/>
    </row>
    <row r="972" spans="1:24" x14ac:dyDescent="0.25">
      <c r="A972" s="306" t="s">
        <v>17535</v>
      </c>
      <c r="B972" s="306" t="s">
        <v>5110</v>
      </c>
      <c r="C972" s="306" t="s">
        <v>2</v>
      </c>
      <c r="D972" s="26">
        <v>3</v>
      </c>
      <c r="E972" s="312" t="s">
        <v>1683</v>
      </c>
      <c r="F972" s="306" t="str">
        <f>VLOOKUP(Table24[[#This Row],[Country]],Table10[[COUNTRY NAME]:[CONTINENT CODE]],3,FALSE)</f>
        <v>EU</v>
      </c>
      <c r="G972" s="312" t="s">
        <v>11813</v>
      </c>
      <c r="H972" s="309">
        <v>8765</v>
      </c>
      <c r="I972" s="310">
        <v>21.25</v>
      </c>
      <c r="J972" s="307">
        <v>207523354</v>
      </c>
      <c r="K972" s="307">
        <f>IFERROR(Table24[[#This Row],[ROUTE COST]]/Table24[[#This Row],[O - DEMAND]],0)</f>
        <v>59513.436765127619</v>
      </c>
      <c r="L972" s="306">
        <v>3487</v>
      </c>
      <c r="M972" s="310">
        <f>Table24[[#This Row],[O - DEMAND]]/950</f>
        <v>3.6705263157894739</v>
      </c>
      <c r="N972" s="306">
        <f>IFERROR(VLOOKUP(Table24[[#This Row],[ROUTE]],DEMAND!A:F,5,FALSE),0)</f>
        <v>3638</v>
      </c>
      <c r="O972" s="306">
        <f>IFERROR(VLOOKUP(Table24[[#This Row],[ROUTE]],DEMAND!A:F,6,FALSE),0)</f>
        <v>788</v>
      </c>
      <c r="P972" s="306">
        <f>ROUNDDOWN(Table24[[#This Row],[R-DEMAND]]/950,0)</f>
        <v>0</v>
      </c>
      <c r="Q972" s="306">
        <f>Table24[[#This Row],[ADD ACC
(475/950)]]*Table24[[#This Row],[Duration
(A359)]]</f>
        <v>0</v>
      </c>
      <c r="R972" s="307">
        <f>IFERROR(VLOOKUP(Table24[[#This Row],[ROUTE]],PRICING!A:B,2,FALSE),0)</f>
        <v>2468</v>
      </c>
      <c r="S972" s="308">
        <f>Table24[[#This Row],[C_DEMAND]]-Table24[[#This Row],[R-DEMAND]]</f>
        <v>2850</v>
      </c>
      <c r="T972" s="307">
        <f>Table24[[#This Row],[SEATS SOLD]]*Table24[[#This Row],[ECO SEAT]]</f>
        <v>7033800</v>
      </c>
      <c r="U972" s="307">
        <f>Table24[[#This Row],[SEATS SOLD]]*(IFERROR(VLOOKUP(Table24[[#This Row],[ROUTE]],PRICING!A:C,3,FALSE),0))</f>
        <v>8085450</v>
      </c>
      <c r="V972" s="307">
        <f>Table24[[#This Row],[SEAT REV]]-Table24[[#This Row],[SEAT REV
(IF IDEAL $)]]</f>
        <v>-1051650</v>
      </c>
      <c r="X972"/>
    </row>
    <row r="973" spans="1:24" x14ac:dyDescent="0.25">
      <c r="A973" s="306" t="s">
        <v>18046</v>
      </c>
      <c r="B973" s="306" t="s">
        <v>5380</v>
      </c>
      <c r="C973" s="306" t="s">
        <v>2</v>
      </c>
      <c r="D973" s="26">
        <v>3</v>
      </c>
      <c r="E973" s="312" t="s">
        <v>517</v>
      </c>
      <c r="F973" s="306" t="str">
        <f>VLOOKUP(Table24[[#This Row],[Country]],Table10[[COUNTRY NAME]:[CONTINENT CODE]],3,FALSE)</f>
        <v>SA</v>
      </c>
      <c r="G973" s="312" t="s">
        <v>13162</v>
      </c>
      <c r="H973" s="309">
        <v>5372</v>
      </c>
      <c r="I973" s="310">
        <v>14</v>
      </c>
      <c r="J973" s="307">
        <v>180531893</v>
      </c>
      <c r="K973" s="307">
        <f>IFERROR(Table24[[#This Row],[ROUTE COST]]/Table24[[#This Row],[O - DEMAND]],0)</f>
        <v>52771.672902660044</v>
      </c>
      <c r="L973" s="306">
        <v>3421</v>
      </c>
      <c r="M973" s="310">
        <f>Table24[[#This Row],[O - DEMAND]]/950</f>
        <v>3.6010526315789475</v>
      </c>
      <c r="N973" s="306">
        <f>IFERROR(VLOOKUP(Table24[[#This Row],[ROUTE]],DEMAND!A:F,5,FALSE),0)</f>
        <v>3638</v>
      </c>
      <c r="O973" s="306">
        <f>IFERROR(VLOOKUP(Table24[[#This Row],[ROUTE]],DEMAND!A:F,6,FALSE),0)</f>
        <v>788</v>
      </c>
      <c r="P973" s="306">
        <f>ROUNDDOWN(Table24[[#This Row],[R-DEMAND]]/950,0)</f>
        <v>0</v>
      </c>
      <c r="Q973" s="306">
        <f>Table24[[#This Row],[ADD ACC
(475/950)]]*Table24[[#This Row],[Duration
(A359)]]</f>
        <v>0</v>
      </c>
      <c r="R973" s="307">
        <f>IFERROR(VLOOKUP(Table24[[#This Row],[ROUTE]],PRICING!A:B,2,FALSE),0)</f>
        <v>1445</v>
      </c>
      <c r="S973" s="308">
        <f>Table24[[#This Row],[C_DEMAND]]-Table24[[#This Row],[R-DEMAND]]</f>
        <v>2850</v>
      </c>
      <c r="T973" s="307">
        <f>Table24[[#This Row],[SEATS SOLD]]*Table24[[#This Row],[ECO SEAT]]</f>
        <v>4118250</v>
      </c>
      <c r="U973" s="307">
        <f>Table24[[#This Row],[SEATS SOLD]]*(IFERROR(VLOOKUP(Table24[[#This Row],[ROUTE]],PRICING!A:C,3,FALSE),0))</f>
        <v>5087250</v>
      </c>
      <c r="V973" s="307">
        <f>Table24[[#This Row],[SEAT REV]]-Table24[[#This Row],[SEAT REV
(IF IDEAL $)]]</f>
        <v>-969000</v>
      </c>
      <c r="X973"/>
    </row>
    <row r="974" spans="1:24" x14ac:dyDescent="0.25">
      <c r="A974" s="306" t="s">
        <v>17063</v>
      </c>
      <c r="B974" s="306" t="s">
        <v>160</v>
      </c>
      <c r="C974" s="306" t="s">
        <v>2</v>
      </c>
      <c r="D974" s="26">
        <v>3</v>
      </c>
      <c r="E974" s="312" t="s">
        <v>5096</v>
      </c>
      <c r="F974" s="306" t="str">
        <f>VLOOKUP(Table24[[#This Row],[Country]],Table10[[COUNTRY NAME]:[CONTINENT CODE]],3,FALSE)</f>
        <v>AF</v>
      </c>
      <c r="G974" s="312" t="s">
        <v>12011</v>
      </c>
      <c r="H974" s="309">
        <v>14792</v>
      </c>
      <c r="I974" s="310">
        <v>34.5</v>
      </c>
      <c r="J974" s="307">
        <v>266580707</v>
      </c>
      <c r="K974" s="307">
        <f>IFERROR(Table24[[#This Row],[ROUTE COST]]/Table24[[#This Row],[O - DEMAND]],0)</f>
        <v>104133.088671875</v>
      </c>
      <c r="L974" s="306">
        <v>2560</v>
      </c>
      <c r="M974" s="310">
        <f>Table24[[#This Row],[O - DEMAND]]/950</f>
        <v>2.6947368421052631</v>
      </c>
      <c r="N974" s="306">
        <f>IFERROR(VLOOKUP(Table24[[#This Row],[ROUTE]],DEMAND!A:F,5,FALSE),0)</f>
        <v>2689</v>
      </c>
      <c r="O974" s="306">
        <f>IFERROR(VLOOKUP(Table24[[#This Row],[ROUTE]],DEMAND!A:F,6,FALSE),0)</f>
        <v>789</v>
      </c>
      <c r="P974" s="306">
        <f>ROUNDDOWN(Table24[[#This Row],[R-DEMAND]]/950,0)</f>
        <v>0</v>
      </c>
      <c r="Q974" s="306">
        <f>Table24[[#This Row],[ADD ACC
(475/950)]]*Table24[[#This Row],[Duration
(A359)]]</f>
        <v>0</v>
      </c>
      <c r="R974" s="307">
        <f>IFERROR(VLOOKUP(Table24[[#This Row],[ROUTE]],PRICING!A:B,2,FALSE),0)</f>
        <v>3999</v>
      </c>
      <c r="S974" s="308">
        <f>Table24[[#This Row],[C_DEMAND]]-Table24[[#This Row],[R-DEMAND]]</f>
        <v>1900</v>
      </c>
      <c r="T974" s="307">
        <f>Table24[[#This Row],[SEATS SOLD]]*Table24[[#This Row],[ECO SEAT]]</f>
        <v>7598100</v>
      </c>
      <c r="U974" s="307">
        <f>Table24[[#This Row],[SEATS SOLD]]*(IFERROR(VLOOKUP(Table24[[#This Row],[ROUTE]],PRICING!A:C,3,FALSE),0))</f>
        <v>8939500</v>
      </c>
      <c r="V974" s="307">
        <f>Table24[[#This Row],[SEAT REV]]-Table24[[#This Row],[SEAT REV
(IF IDEAL $)]]</f>
        <v>-1341400</v>
      </c>
      <c r="X974"/>
    </row>
    <row r="975" spans="1:24" x14ac:dyDescent="0.25">
      <c r="A975" s="306" t="s">
        <v>17356</v>
      </c>
      <c r="B975" s="306" t="s">
        <v>3072</v>
      </c>
      <c r="C975" s="306" t="s">
        <v>2</v>
      </c>
      <c r="D975" s="26">
        <v>2</v>
      </c>
      <c r="E975" s="312" t="s">
        <v>567</v>
      </c>
      <c r="F975" s="306" t="str">
        <f>VLOOKUP(Table24[[#This Row],[Country]],Table10[[COUNTRY NAME]:[CONTINENT CODE]],3,FALSE)</f>
        <v>AS</v>
      </c>
      <c r="G975" s="312" t="s">
        <v>11989</v>
      </c>
      <c r="H975" s="309">
        <v>12545</v>
      </c>
      <c r="I975" s="310">
        <v>29.75</v>
      </c>
      <c r="J975" s="307">
        <v>225821253</v>
      </c>
      <c r="K975" s="307">
        <f>IFERROR(Table24[[#This Row],[ROUTE COST]]/Table24[[#This Row],[O - DEMAND]],0)</f>
        <v>88731.337131630644</v>
      </c>
      <c r="L975" s="306">
        <v>2545</v>
      </c>
      <c r="M975" s="310">
        <f>Table24[[#This Row],[O - DEMAND]]/950</f>
        <v>2.6789473684210527</v>
      </c>
      <c r="N975" s="306">
        <f>IFERROR(VLOOKUP(Table24[[#This Row],[ROUTE]],DEMAND!A:F,5,FALSE),0)</f>
        <v>2689</v>
      </c>
      <c r="O975" s="306">
        <f>IFERROR(VLOOKUP(Table24[[#This Row],[ROUTE]],DEMAND!A:F,6,FALSE),0)</f>
        <v>789</v>
      </c>
      <c r="P975" s="306">
        <f>ROUNDDOWN(Table24[[#This Row],[R-DEMAND]]/950,0)</f>
        <v>0</v>
      </c>
      <c r="Q975" s="306">
        <f>Table24[[#This Row],[ADD ACC
(475/950)]]*Table24[[#This Row],[Duration
(A359)]]</f>
        <v>0</v>
      </c>
      <c r="R975" s="307">
        <f>IFERROR(VLOOKUP(Table24[[#This Row],[ROUTE]],PRICING!A:B,2,FALSE),0)</f>
        <v>3326</v>
      </c>
      <c r="S975" s="308">
        <f>Table24[[#This Row],[C_DEMAND]]-Table24[[#This Row],[R-DEMAND]]</f>
        <v>1900</v>
      </c>
      <c r="T975" s="307">
        <f>Table24[[#This Row],[SEATS SOLD]]*Table24[[#This Row],[ECO SEAT]]</f>
        <v>6319400</v>
      </c>
      <c r="U975" s="307">
        <f>Table24[[#This Row],[SEATS SOLD]]*(IFERROR(VLOOKUP(Table24[[#This Row],[ROUTE]],PRICING!A:C,3,FALSE),0))</f>
        <v>7615200</v>
      </c>
      <c r="V975" s="307">
        <f>Table24[[#This Row],[SEAT REV]]-Table24[[#This Row],[SEAT REV
(IF IDEAL $)]]</f>
        <v>-1295800</v>
      </c>
      <c r="X975"/>
    </row>
    <row r="976" spans="1:24" x14ac:dyDescent="0.25">
      <c r="A976" s="306" t="s">
        <v>17550</v>
      </c>
      <c r="B976" s="306" t="s">
        <v>5653</v>
      </c>
      <c r="C976" s="306" t="s">
        <v>2</v>
      </c>
      <c r="D976" s="26">
        <v>3</v>
      </c>
      <c r="E976" s="312" t="s">
        <v>585</v>
      </c>
      <c r="F976" s="306" t="str">
        <f>VLOOKUP(Table24[[#This Row],[Country]],Table10[[COUNTRY NAME]:[CONTINENT CODE]],3,FALSE)</f>
        <v>EU</v>
      </c>
      <c r="G976" s="312" t="s">
        <v>11802</v>
      </c>
      <c r="H976" s="309">
        <v>8246</v>
      </c>
      <c r="I976" s="310">
        <v>20.25</v>
      </c>
      <c r="J976" s="307">
        <v>224176900</v>
      </c>
      <c r="K976" s="307">
        <f>IFERROR(Table24[[#This Row],[ROUTE COST]]/Table24[[#This Row],[O - DEMAND]],0)</f>
        <v>64474.230658613749</v>
      </c>
      <c r="L976" s="306">
        <v>3477</v>
      </c>
      <c r="M976" s="310">
        <f>Table24[[#This Row],[O - DEMAND]]/950</f>
        <v>3.66</v>
      </c>
      <c r="N976" s="306">
        <f>IFERROR(VLOOKUP(Table24[[#This Row],[ROUTE]],DEMAND!A:F,5,FALSE),0)</f>
        <v>3640</v>
      </c>
      <c r="O976" s="306">
        <f>IFERROR(VLOOKUP(Table24[[#This Row],[ROUTE]],DEMAND!A:F,6,FALSE),0)</f>
        <v>790</v>
      </c>
      <c r="P976" s="306">
        <f>ROUNDDOWN(Table24[[#This Row],[R-DEMAND]]/950,0)</f>
        <v>0</v>
      </c>
      <c r="Q976" s="306">
        <f>Table24[[#This Row],[ADD ACC
(475/950)]]*Table24[[#This Row],[Duration
(A359)]]</f>
        <v>0</v>
      </c>
      <c r="R976" s="307">
        <f>IFERROR(VLOOKUP(Table24[[#This Row],[ROUTE]],PRICING!A:B,2,FALSE),0)</f>
        <v>2301</v>
      </c>
      <c r="S976" s="308">
        <f>Table24[[#This Row],[C_DEMAND]]-Table24[[#This Row],[R-DEMAND]]</f>
        <v>2850</v>
      </c>
      <c r="T976" s="307">
        <f>Table24[[#This Row],[SEATS SOLD]]*Table24[[#This Row],[ECO SEAT]]</f>
        <v>6557850</v>
      </c>
      <c r="U976" s="307">
        <f>Table24[[#This Row],[SEATS SOLD]]*(IFERROR(VLOOKUP(Table24[[#This Row],[ROUTE]],PRICING!A:C,3,FALSE),0))</f>
        <v>7626600</v>
      </c>
      <c r="V976" s="307">
        <f>Table24[[#This Row],[SEAT REV]]-Table24[[#This Row],[SEAT REV
(IF IDEAL $)]]</f>
        <v>-1068750</v>
      </c>
      <c r="X976"/>
    </row>
    <row r="977" spans="1:24" x14ac:dyDescent="0.25">
      <c r="A977" s="306" t="s">
        <v>17464</v>
      </c>
      <c r="B977" s="306" t="s">
        <v>157</v>
      </c>
      <c r="C977" s="306" t="s">
        <v>2</v>
      </c>
      <c r="D977" s="26">
        <v>5</v>
      </c>
      <c r="E977" s="312" t="s">
        <v>1427</v>
      </c>
      <c r="F977" s="306" t="str">
        <f>VLOOKUP(Table24[[#This Row],[Country]],Table10[[COUNTRY NAME]:[CONTINENT CODE]],3,FALSE)</f>
        <v>EU</v>
      </c>
      <c r="G977" s="312" t="s">
        <v>11057</v>
      </c>
      <c r="H977" s="309">
        <v>8048</v>
      </c>
      <c r="I977" s="310">
        <v>19.75</v>
      </c>
      <c r="J977" s="307">
        <v>234080451</v>
      </c>
      <c r="K977" s="307">
        <f>IFERROR(Table24[[#This Row],[ROUTE COST]]/Table24[[#This Row],[O - DEMAND]],0)</f>
        <v>67090.986242476356</v>
      </c>
      <c r="L977" s="306">
        <v>3489</v>
      </c>
      <c r="M977" s="310">
        <f>Table24[[#This Row],[O - DEMAND]]/950</f>
        <v>3.6726315789473682</v>
      </c>
      <c r="N977" s="306">
        <f>IFERROR(VLOOKUP(Table24[[#This Row],[ROUTE]],DEMAND!A:F,5,FALSE),0)</f>
        <v>3640</v>
      </c>
      <c r="O977" s="306">
        <f>IFERROR(VLOOKUP(Table24[[#This Row],[ROUTE]],DEMAND!A:F,6,FALSE),0)</f>
        <v>790</v>
      </c>
      <c r="P977" s="306">
        <f>ROUNDDOWN(Table24[[#This Row],[R-DEMAND]]/950,0)</f>
        <v>0</v>
      </c>
      <c r="Q977" s="306">
        <f>Table24[[#This Row],[ADD ACC
(475/950)]]*Table24[[#This Row],[Duration
(A359)]]</f>
        <v>0</v>
      </c>
      <c r="R977" s="307">
        <f>IFERROR(VLOOKUP(Table24[[#This Row],[ROUTE]],PRICING!A:B,2,FALSE),0)</f>
        <v>2274</v>
      </c>
      <c r="S977" s="308">
        <f>Table24[[#This Row],[C_DEMAND]]-Table24[[#This Row],[R-DEMAND]]</f>
        <v>2850</v>
      </c>
      <c r="T977" s="307">
        <f>Table24[[#This Row],[SEATS SOLD]]*Table24[[#This Row],[ECO SEAT]]</f>
        <v>6480900</v>
      </c>
      <c r="U977" s="307">
        <f>Table24[[#This Row],[SEATS SOLD]]*(IFERROR(VLOOKUP(Table24[[#This Row],[ROUTE]],PRICING!A:C,3,FALSE),0))</f>
        <v>7449900</v>
      </c>
      <c r="V977" s="307">
        <f>Table24[[#This Row],[SEAT REV]]-Table24[[#This Row],[SEAT REV
(IF IDEAL $)]]</f>
        <v>-969000</v>
      </c>
      <c r="X977"/>
    </row>
    <row r="978" spans="1:24" x14ac:dyDescent="0.25">
      <c r="A978" s="306" t="s">
        <v>17239</v>
      </c>
      <c r="B978" s="306" t="s">
        <v>454</v>
      </c>
      <c r="C978" s="306" t="s">
        <v>2</v>
      </c>
      <c r="D978" s="26">
        <v>4</v>
      </c>
      <c r="E978" s="312" t="s">
        <v>172</v>
      </c>
      <c r="F978" s="306" t="str">
        <f>VLOOKUP(Table24[[#This Row],[Country]],Table10[[COUNTRY NAME]:[CONTINENT CODE]],3,FALSE)</f>
        <v>AS</v>
      </c>
      <c r="G978" s="312" t="s">
        <v>10941</v>
      </c>
      <c r="H978" s="309">
        <v>11818</v>
      </c>
      <c r="I978" s="310">
        <v>28</v>
      </c>
      <c r="J978" s="307">
        <v>256373814</v>
      </c>
      <c r="K978" s="307">
        <f>IFERROR(Table24[[#This Row],[ROUTE COST]]/Table24[[#This Row],[O - DEMAND]],0)</f>
        <v>59538.739897817002</v>
      </c>
      <c r="L978" s="306">
        <v>4306</v>
      </c>
      <c r="M978" s="310">
        <f>Table24[[#This Row],[O - DEMAND]]/950</f>
        <v>4.5326315789473686</v>
      </c>
      <c r="N978" s="306">
        <f>IFERROR(VLOOKUP(Table24[[#This Row],[ROUTE]],DEMAND!A:F,5,FALSE),0)</f>
        <v>4594</v>
      </c>
      <c r="O978" s="306">
        <f>IFERROR(VLOOKUP(Table24[[#This Row],[ROUTE]],DEMAND!A:F,6,FALSE),0)</f>
        <v>794</v>
      </c>
      <c r="P978" s="306">
        <f>ROUNDDOWN(Table24[[#This Row],[R-DEMAND]]/950,0)</f>
        <v>0</v>
      </c>
      <c r="Q978" s="306">
        <f>Table24[[#This Row],[ADD ACC
(475/950)]]*Table24[[#This Row],[Duration
(A359)]]</f>
        <v>0</v>
      </c>
      <c r="R978" s="307">
        <f>IFERROR(VLOOKUP(Table24[[#This Row],[ROUTE]],PRICING!A:B,2,FALSE),0)</f>
        <v>3026</v>
      </c>
      <c r="S978" s="308">
        <f>Table24[[#This Row],[C_DEMAND]]-Table24[[#This Row],[R-DEMAND]]</f>
        <v>3800</v>
      </c>
      <c r="T978" s="307">
        <f>Table24[[#This Row],[SEATS SOLD]]*Table24[[#This Row],[ECO SEAT]]</f>
        <v>11498800</v>
      </c>
      <c r="U978" s="307">
        <f>Table24[[#This Row],[SEATS SOLD]]*(IFERROR(VLOOKUP(Table24[[#This Row],[ROUTE]],PRICING!A:C,3,FALSE),0))</f>
        <v>14375400</v>
      </c>
      <c r="V978" s="307">
        <f>Table24[[#This Row],[SEAT REV]]-Table24[[#This Row],[SEAT REV
(IF IDEAL $)]]</f>
        <v>-2876600</v>
      </c>
      <c r="X978"/>
    </row>
    <row r="979" spans="1:24" x14ac:dyDescent="0.25">
      <c r="A979" s="306" t="s">
        <v>18026</v>
      </c>
      <c r="B979" s="306" t="s">
        <v>4213</v>
      </c>
      <c r="C979" s="306" t="s">
        <v>2</v>
      </c>
      <c r="D979" s="26">
        <v>2</v>
      </c>
      <c r="E979" s="312" t="s">
        <v>11669</v>
      </c>
      <c r="F979" s="306" t="str">
        <f>VLOOKUP(Table24[[#This Row],[Country]],Table10[[COUNTRY NAME]:[CONTINENT CODE]],3,FALSE)</f>
        <v>SA</v>
      </c>
      <c r="G979" s="312" t="s">
        <v>13143</v>
      </c>
      <c r="H979" s="309">
        <v>5292</v>
      </c>
      <c r="I979" s="310">
        <v>13.75</v>
      </c>
      <c r="J979" s="307">
        <v>160246425</v>
      </c>
      <c r="K979" s="307">
        <f>IFERROR(Table24[[#This Row],[ROUTE COST]]/Table24[[#This Row],[O - DEMAND]],0)</f>
        <v>62255.798368298369</v>
      </c>
      <c r="L979" s="306">
        <v>2574</v>
      </c>
      <c r="M979" s="310">
        <f>Table24[[#This Row],[O - DEMAND]]/950</f>
        <v>2.7094736842105265</v>
      </c>
      <c r="N979" s="306">
        <f>IFERROR(VLOOKUP(Table24[[#This Row],[ROUTE]],DEMAND!A:F,5,FALSE),0)</f>
        <v>2694</v>
      </c>
      <c r="O979" s="306">
        <f>IFERROR(VLOOKUP(Table24[[#This Row],[ROUTE]],DEMAND!A:F,6,FALSE),0)</f>
        <v>794</v>
      </c>
      <c r="P979" s="306">
        <f>ROUNDDOWN(Table24[[#This Row],[R-DEMAND]]/950,0)</f>
        <v>0</v>
      </c>
      <c r="Q979" s="306">
        <f>Table24[[#This Row],[ADD ACC
(475/950)]]*Table24[[#This Row],[Duration
(A359)]]</f>
        <v>0</v>
      </c>
      <c r="R979" s="307">
        <f>IFERROR(VLOOKUP(Table24[[#This Row],[ROUTE]],PRICING!A:B,2,FALSE),0)</f>
        <v>1513</v>
      </c>
      <c r="S979" s="308">
        <f>Table24[[#This Row],[C_DEMAND]]-Table24[[#This Row],[R-DEMAND]]</f>
        <v>1900</v>
      </c>
      <c r="T979" s="307">
        <f>Table24[[#This Row],[SEATS SOLD]]*Table24[[#This Row],[ECO SEAT]]</f>
        <v>2874700</v>
      </c>
      <c r="U979" s="307">
        <f>Table24[[#This Row],[SEATS SOLD]]*(IFERROR(VLOOKUP(Table24[[#This Row],[ROUTE]],PRICING!A:C,3,FALSE),0))</f>
        <v>3344000</v>
      </c>
      <c r="V979" s="307">
        <f>Table24[[#This Row],[SEAT REV]]-Table24[[#This Row],[SEAT REV
(IF IDEAL $)]]</f>
        <v>-469300</v>
      </c>
      <c r="X979"/>
    </row>
    <row r="980" spans="1:24" customFormat="1" x14ac:dyDescent="0.25">
      <c r="A980" s="306" t="s">
        <v>17832</v>
      </c>
      <c r="B980" s="306" t="s">
        <v>5762</v>
      </c>
      <c r="C980" s="306" t="s">
        <v>2</v>
      </c>
      <c r="D980" s="26">
        <v>5</v>
      </c>
      <c r="E980" s="312" t="s">
        <v>11732</v>
      </c>
      <c r="F980" s="306" t="str">
        <f>VLOOKUP(Table24[[#This Row],[Country]],Table10[[COUNTRY NAME]:[CONTINENT CODE]],3,FALSE)</f>
        <v>NA - US</v>
      </c>
      <c r="G980" s="312" t="s">
        <v>13309</v>
      </c>
      <c r="H980" s="309">
        <v>2992</v>
      </c>
      <c r="I980" s="310">
        <v>8.75</v>
      </c>
      <c r="J980" s="307">
        <v>190557060</v>
      </c>
      <c r="K980" s="307">
        <f>IFERROR(Table24[[#This Row],[ROUTE COST]]/Table24[[#This Row],[O - DEMAND]],0)</f>
        <v>55718.438596491229</v>
      </c>
      <c r="L980" s="306">
        <v>3420</v>
      </c>
      <c r="M980" s="310">
        <f>Table24[[#This Row],[O - DEMAND]]/950</f>
        <v>3.6</v>
      </c>
      <c r="N980" s="306">
        <f>IFERROR(VLOOKUP(Table24[[#This Row],[ROUTE]],DEMAND!A:F,5,FALSE),0)</f>
        <v>3649</v>
      </c>
      <c r="O980" s="306">
        <f>IFERROR(VLOOKUP(Table24[[#This Row],[ROUTE]],DEMAND!A:F,6,FALSE),0)</f>
        <v>799</v>
      </c>
      <c r="P980" s="306">
        <f>ROUNDDOWN(Table24[[#This Row],[R-DEMAND]]/950,0)</f>
        <v>0</v>
      </c>
      <c r="Q980" s="306">
        <f>Table24[[#This Row],[ADD ACC
(475/950)]]*Table24[[#This Row],[Duration
(A359)]]</f>
        <v>0</v>
      </c>
      <c r="R980" s="307">
        <f>IFERROR(VLOOKUP(Table24[[#This Row],[ROUTE]],PRICING!A:B,2,FALSE),0)</f>
        <v>837</v>
      </c>
      <c r="S980" s="308">
        <f>Table24[[#This Row],[C_DEMAND]]-Table24[[#This Row],[R-DEMAND]]</f>
        <v>2850</v>
      </c>
      <c r="T980" s="307">
        <f>Table24[[#This Row],[SEATS SOLD]]*Table24[[#This Row],[ECO SEAT]]</f>
        <v>2385450</v>
      </c>
      <c r="U980" s="307">
        <f>Table24[[#This Row],[SEATS SOLD]]*(IFERROR(VLOOKUP(Table24[[#This Row],[ROUTE]],PRICING!A:C,3,FALSE),0))</f>
        <v>2983950</v>
      </c>
      <c r="V980" s="307">
        <f>Table24[[#This Row],[SEAT REV]]-Table24[[#This Row],[SEAT REV
(IF IDEAL $)]]</f>
        <v>-598500</v>
      </c>
    </row>
    <row r="981" spans="1:24" customFormat="1" x14ac:dyDescent="0.25">
      <c r="A981" s="306" t="s">
        <v>17261</v>
      </c>
      <c r="B981" s="306" t="s">
        <v>5029</v>
      </c>
      <c r="C981" s="306" t="s">
        <v>2</v>
      </c>
      <c r="D981" s="26">
        <v>3</v>
      </c>
      <c r="E981" s="312" t="s">
        <v>14</v>
      </c>
      <c r="F981" s="306" t="str">
        <f>VLOOKUP(Table24[[#This Row],[Country]],Table10[[COUNTRY NAME]:[CONTINENT CODE]],3,FALSE)</f>
        <v>AS</v>
      </c>
      <c r="G981" s="312" t="s">
        <v>12047</v>
      </c>
      <c r="H981" s="309">
        <v>14288</v>
      </c>
      <c r="I981" s="310">
        <v>33.5</v>
      </c>
      <c r="J981" s="307">
        <v>260214221</v>
      </c>
      <c r="K981" s="307">
        <f>IFERROR(Table24[[#This Row],[ROUTE COST]]/Table24[[#This Row],[O - DEMAND]],0)</f>
        <v>100198.00577589526</v>
      </c>
      <c r="L981" s="306">
        <v>2597</v>
      </c>
      <c r="M981" s="310">
        <f>Table24[[#This Row],[O - DEMAND]]/950</f>
        <v>2.7336842105263157</v>
      </c>
      <c r="N981" s="306">
        <f>IFERROR(VLOOKUP(Table24[[#This Row],[ROUTE]],DEMAND!A:F,5,FALSE),0)</f>
        <v>2701</v>
      </c>
      <c r="O981" s="306">
        <f>IFERROR(VLOOKUP(Table24[[#This Row],[ROUTE]],DEMAND!A:F,6,FALSE),0)</f>
        <v>801</v>
      </c>
      <c r="P981" s="306">
        <f>ROUNDDOWN(Table24[[#This Row],[R-DEMAND]]/950,0)</f>
        <v>0</v>
      </c>
      <c r="Q981" s="306">
        <f>Table24[[#This Row],[ADD ACC
(475/950)]]*Table24[[#This Row],[Duration
(A359)]]</f>
        <v>0</v>
      </c>
      <c r="R981" s="307">
        <f>IFERROR(VLOOKUP(Table24[[#This Row],[ROUTE]],PRICING!A:B,2,FALSE),0)</f>
        <v>4003</v>
      </c>
      <c r="S981" s="308">
        <f>Table24[[#This Row],[C_DEMAND]]-Table24[[#This Row],[R-DEMAND]]</f>
        <v>1900</v>
      </c>
      <c r="T981" s="307">
        <f>Table24[[#This Row],[SEATS SOLD]]*Table24[[#This Row],[ECO SEAT]]</f>
        <v>7605700</v>
      </c>
      <c r="U981" s="307">
        <f>Table24[[#This Row],[SEATS SOLD]]*(IFERROR(VLOOKUP(Table24[[#This Row],[ROUTE]],PRICING!A:C,3,FALSE),0))</f>
        <v>8643100</v>
      </c>
      <c r="V981" s="307">
        <f>Table24[[#This Row],[SEAT REV]]-Table24[[#This Row],[SEAT REV
(IF IDEAL $)]]</f>
        <v>-1037400</v>
      </c>
    </row>
    <row r="982" spans="1:24" customFormat="1" x14ac:dyDescent="0.25">
      <c r="A982" s="306" t="s">
        <v>17462</v>
      </c>
      <c r="B982" s="306" t="s">
        <v>27</v>
      </c>
      <c r="C982" s="306" t="s">
        <v>2</v>
      </c>
      <c r="D982" s="26">
        <v>5</v>
      </c>
      <c r="E982" s="312" t="s">
        <v>3915</v>
      </c>
      <c r="F982" s="306" t="str">
        <f>VLOOKUP(Table24[[#This Row],[Country]],Table10[[COUNTRY NAME]:[CONTINENT CODE]],3,FALSE)</f>
        <v>EU</v>
      </c>
      <c r="G982" s="312" t="s">
        <v>11031</v>
      </c>
      <c r="H982" s="309">
        <v>8401</v>
      </c>
      <c r="I982" s="310">
        <v>20.5</v>
      </c>
      <c r="J982" s="307">
        <v>228166711</v>
      </c>
      <c r="K982" s="307">
        <f>IFERROR(Table24[[#This Row],[ROUTE COST]]/Table24[[#This Row],[O - DEMAND]],0)</f>
        <v>66212.046140452701</v>
      </c>
      <c r="L982" s="306">
        <v>3446</v>
      </c>
      <c r="M982" s="310">
        <f>Table24[[#This Row],[O - DEMAND]]/950</f>
        <v>3.6273684210526316</v>
      </c>
      <c r="N982" s="306">
        <f>IFERROR(VLOOKUP(Table24[[#This Row],[ROUTE]],DEMAND!A:F,5,FALSE),0)</f>
        <v>3653</v>
      </c>
      <c r="O982" s="306">
        <f>IFERROR(VLOOKUP(Table24[[#This Row],[ROUTE]],DEMAND!A:F,6,FALSE),0)</f>
        <v>803</v>
      </c>
      <c r="P982" s="306">
        <f>ROUNDDOWN(Table24[[#This Row],[R-DEMAND]]/950,0)</f>
        <v>0</v>
      </c>
      <c r="Q982" s="306">
        <f>Table24[[#This Row],[ADD ACC
(475/950)]]*Table24[[#This Row],[Duration
(A359)]]</f>
        <v>0</v>
      </c>
      <c r="R982" s="307">
        <f>IFERROR(VLOOKUP(Table24[[#This Row],[ROUTE]],PRICING!A:B,2,FALSE),0)</f>
        <v>2233</v>
      </c>
      <c r="S982" s="308">
        <f>Table24[[#This Row],[C_DEMAND]]-Table24[[#This Row],[R-DEMAND]]</f>
        <v>2850</v>
      </c>
      <c r="T982" s="307">
        <f>Table24[[#This Row],[SEATS SOLD]]*Table24[[#This Row],[ECO SEAT]]</f>
        <v>6364050</v>
      </c>
      <c r="U982" s="307">
        <f>Table24[[#This Row],[SEATS SOLD]]*(IFERROR(VLOOKUP(Table24[[#This Row],[ROUTE]],PRICING!A:C,3,FALSE),0))</f>
        <v>7763400</v>
      </c>
      <c r="V982" s="307">
        <f>Table24[[#This Row],[SEAT REV]]-Table24[[#This Row],[SEAT REV
(IF IDEAL $)]]</f>
        <v>-1399350</v>
      </c>
    </row>
    <row r="983" spans="1:24" customFormat="1" x14ac:dyDescent="0.25">
      <c r="A983" s="306" t="s">
        <v>17199</v>
      </c>
      <c r="B983" s="306" t="s">
        <v>347</v>
      </c>
      <c r="C983" s="306" t="s">
        <v>2</v>
      </c>
      <c r="D983" s="26">
        <v>5</v>
      </c>
      <c r="E983" s="312" t="s">
        <v>14</v>
      </c>
      <c r="F983" s="306" t="str">
        <f>VLOOKUP(Table24[[#This Row],[Country]],Table10[[COUNTRY NAME]:[CONTINENT CODE]],3,FALSE)</f>
        <v>AS</v>
      </c>
      <c r="G983" s="312" t="s">
        <v>11092</v>
      </c>
      <c r="H983" s="309">
        <v>14524</v>
      </c>
      <c r="I983" s="310">
        <v>34</v>
      </c>
      <c r="J983" s="307">
        <v>290466910</v>
      </c>
      <c r="K983" s="307">
        <f>IFERROR(Table24[[#This Row],[ROUTE COST]]/Table24[[#This Row],[O - DEMAND]],0)</f>
        <v>82872.156918687586</v>
      </c>
      <c r="L983" s="306">
        <v>3505</v>
      </c>
      <c r="M983" s="310">
        <f>Table24[[#This Row],[O - DEMAND]]/950</f>
        <v>3.6894736842105265</v>
      </c>
      <c r="N983" s="306">
        <f>IFERROR(VLOOKUP(Table24[[#This Row],[ROUTE]],DEMAND!A:F,5,FALSE),0)</f>
        <v>3657</v>
      </c>
      <c r="O983" s="306">
        <f>IFERROR(VLOOKUP(Table24[[#This Row],[ROUTE]],DEMAND!A:F,6,FALSE),0)</f>
        <v>807</v>
      </c>
      <c r="P983" s="306">
        <f>ROUNDDOWN(Table24[[#This Row],[R-DEMAND]]/950,0)</f>
        <v>0</v>
      </c>
      <c r="Q983" s="306">
        <f>Table24[[#This Row],[ADD ACC
(475/950)]]*Table24[[#This Row],[Duration
(A359)]]</f>
        <v>0</v>
      </c>
      <c r="R983" s="307">
        <f>IFERROR(VLOOKUP(Table24[[#This Row],[ROUTE]],PRICING!A:B,2,FALSE),0)</f>
        <v>4021</v>
      </c>
      <c r="S983" s="308">
        <f>Table24[[#This Row],[C_DEMAND]]-Table24[[#This Row],[R-DEMAND]]</f>
        <v>2850</v>
      </c>
      <c r="T983" s="307">
        <f>Table24[[#This Row],[SEATS SOLD]]*Table24[[#This Row],[ECO SEAT]]</f>
        <v>11459850</v>
      </c>
      <c r="U983" s="307">
        <f>Table24[[#This Row],[SEATS SOLD]]*(IFERROR(VLOOKUP(Table24[[#This Row],[ROUTE]],PRICING!A:C,3,FALSE),0))</f>
        <v>13172700</v>
      </c>
      <c r="V983" s="307">
        <f>Table24[[#This Row],[SEAT REV]]-Table24[[#This Row],[SEAT REV
(IF IDEAL $)]]</f>
        <v>-1712850</v>
      </c>
    </row>
    <row r="984" spans="1:24" customFormat="1" x14ac:dyDescent="0.25">
      <c r="A984" s="306" t="s">
        <v>17757</v>
      </c>
      <c r="B984" s="306" t="s">
        <v>4863</v>
      </c>
      <c r="C984" s="306" t="s">
        <v>2</v>
      </c>
      <c r="D984" s="26">
        <v>3</v>
      </c>
      <c r="E984" s="312" t="s">
        <v>4861</v>
      </c>
      <c r="F984" s="306" t="str">
        <f>VLOOKUP(Table24[[#This Row],[Country]],Table10[[COUNTRY NAME]:[CONTINENT CODE]],3,FALSE)</f>
        <v>NA</v>
      </c>
      <c r="G984" s="312" t="s">
        <v>13212</v>
      </c>
      <c r="H984" s="309">
        <v>1282</v>
      </c>
      <c r="I984" s="310">
        <v>5</v>
      </c>
      <c r="J984" s="307">
        <v>127509867</v>
      </c>
      <c r="K984" s="307">
        <f>IFERROR(Table24[[#This Row],[ROUTE COST]]/Table24[[#This Row],[O - DEMAND]],0)</f>
        <v>49595.436406067674</v>
      </c>
      <c r="L984" s="306">
        <v>2571</v>
      </c>
      <c r="M984" s="310">
        <f>Table24[[#This Row],[O - DEMAND]]/950</f>
        <v>2.7063157894736842</v>
      </c>
      <c r="N984" s="306">
        <f>IFERROR(VLOOKUP(Table24[[#This Row],[ROUTE]],DEMAND!A:F,5,FALSE),0)</f>
        <v>2708</v>
      </c>
      <c r="O984" s="306">
        <f>IFERROR(VLOOKUP(Table24[[#This Row],[ROUTE]],DEMAND!A:F,6,FALSE),0)</f>
        <v>808</v>
      </c>
      <c r="P984" s="306">
        <f>ROUNDDOWN(Table24[[#This Row],[R-DEMAND]]/950,0)</f>
        <v>0</v>
      </c>
      <c r="Q984" s="306">
        <f>Table24[[#This Row],[ADD ACC
(475/950)]]*Table24[[#This Row],[Duration
(A359)]]</f>
        <v>0</v>
      </c>
      <c r="R984" s="307">
        <f>IFERROR(VLOOKUP(Table24[[#This Row],[ROUTE]],PRICING!A:B,2,FALSE),0)</f>
        <v>434</v>
      </c>
      <c r="S984" s="308">
        <f>Table24[[#This Row],[C_DEMAND]]-Table24[[#This Row],[R-DEMAND]]</f>
        <v>1900</v>
      </c>
      <c r="T984" s="307">
        <f>Table24[[#This Row],[SEATS SOLD]]*Table24[[#This Row],[ECO SEAT]]</f>
        <v>824600</v>
      </c>
      <c r="U984" s="307">
        <f>Table24[[#This Row],[SEATS SOLD]]*(IFERROR(VLOOKUP(Table24[[#This Row],[ROUTE]],PRICING!A:C,3,FALSE),0))</f>
        <v>982300</v>
      </c>
      <c r="V984" s="307">
        <f>Table24[[#This Row],[SEAT REV]]-Table24[[#This Row],[SEAT REV
(IF IDEAL $)]]</f>
        <v>-157700</v>
      </c>
    </row>
    <row r="985" spans="1:24" customFormat="1" x14ac:dyDescent="0.25">
      <c r="A985" s="306" t="s">
        <v>17507</v>
      </c>
      <c r="B985" s="306" t="s">
        <v>193</v>
      </c>
      <c r="C985" s="306" t="s">
        <v>2</v>
      </c>
      <c r="D985" s="26">
        <v>4</v>
      </c>
      <c r="E985" s="312" t="s">
        <v>733</v>
      </c>
      <c r="F985" s="306" t="str">
        <f>VLOOKUP(Table24[[#This Row],[Country]],Table10[[COUNTRY NAME]:[CONTINENT CODE]],3,FALSE)</f>
        <v>EU</v>
      </c>
      <c r="G985" s="312" t="s">
        <v>11065</v>
      </c>
      <c r="H985" s="309">
        <v>6426</v>
      </c>
      <c r="I985" s="310">
        <v>16.25</v>
      </c>
      <c r="J985" s="307">
        <v>202286189</v>
      </c>
      <c r="K985" s="307">
        <f>IFERROR(Table24[[#This Row],[ROUTE COST]]/Table24[[#This Row],[O - DEMAND]],0)</f>
        <v>58582.736461048364</v>
      </c>
      <c r="L985" s="306">
        <v>3453</v>
      </c>
      <c r="M985" s="310">
        <f>Table24[[#This Row],[O - DEMAND]]/950</f>
        <v>3.634736842105263</v>
      </c>
      <c r="N985" s="306">
        <f>IFERROR(VLOOKUP(Table24[[#This Row],[ROUTE]],DEMAND!A:F,5,FALSE),0)</f>
        <v>3660</v>
      </c>
      <c r="O985" s="306">
        <f>IFERROR(VLOOKUP(Table24[[#This Row],[ROUTE]],DEMAND!A:F,6,FALSE),0)</f>
        <v>810</v>
      </c>
      <c r="P985" s="306">
        <f>ROUNDDOWN(Table24[[#This Row],[R-DEMAND]]/950,0)</f>
        <v>0</v>
      </c>
      <c r="Q985" s="306">
        <f>Table24[[#This Row],[ADD ACC
(475/950)]]*Table24[[#This Row],[Duration
(A359)]]</f>
        <v>0</v>
      </c>
      <c r="R985" s="307">
        <f>IFERROR(VLOOKUP(Table24[[#This Row],[ROUTE]],PRICING!A:B,2,FALSE),0)</f>
        <v>1731</v>
      </c>
      <c r="S985" s="308">
        <f>Table24[[#This Row],[C_DEMAND]]-Table24[[#This Row],[R-DEMAND]]</f>
        <v>2850</v>
      </c>
      <c r="T985" s="307">
        <f>Table24[[#This Row],[SEATS SOLD]]*Table24[[#This Row],[ECO SEAT]]</f>
        <v>4933350</v>
      </c>
      <c r="U985" s="307">
        <f>Table24[[#This Row],[SEATS SOLD]]*(IFERROR(VLOOKUP(Table24[[#This Row],[ROUTE]],PRICING!A:C,3,FALSE),0))</f>
        <v>6019200</v>
      </c>
      <c r="V985" s="307">
        <f>Table24[[#This Row],[SEAT REV]]-Table24[[#This Row],[SEAT REV
(IF IDEAL $)]]</f>
        <v>-1085850</v>
      </c>
    </row>
    <row r="986" spans="1:24" customFormat="1" x14ac:dyDescent="0.25">
      <c r="A986" s="306" t="s">
        <v>17473</v>
      </c>
      <c r="B986" s="306" t="s">
        <v>200</v>
      </c>
      <c r="C986" s="306" t="s">
        <v>2</v>
      </c>
      <c r="D986" s="26">
        <v>5</v>
      </c>
      <c r="E986" s="312" t="s">
        <v>83</v>
      </c>
      <c r="F986" s="306" t="str">
        <f>VLOOKUP(Table24[[#This Row],[Country]],Table10[[COUNTRY NAME]:[CONTINENT CODE]],3,FALSE)</f>
        <v>EU</v>
      </c>
      <c r="G986" s="312" t="s">
        <v>11067</v>
      </c>
      <c r="H986" s="309">
        <v>7171</v>
      </c>
      <c r="I986" s="310">
        <v>17.75</v>
      </c>
      <c r="J986" s="307">
        <v>224559134</v>
      </c>
      <c r="K986" s="307">
        <f>IFERROR(Table24[[#This Row],[ROUTE COST]]/Table24[[#This Row],[O - DEMAND]],0)</f>
        <v>64528.486781609194</v>
      </c>
      <c r="L986" s="306">
        <v>3480</v>
      </c>
      <c r="M986" s="310">
        <f>Table24[[#This Row],[O - DEMAND]]/950</f>
        <v>3.6631578947368419</v>
      </c>
      <c r="N986" s="306">
        <f>IFERROR(VLOOKUP(Table24[[#This Row],[ROUTE]],DEMAND!A:F,5,FALSE),0)</f>
        <v>3666</v>
      </c>
      <c r="O986" s="306">
        <f>IFERROR(VLOOKUP(Table24[[#This Row],[ROUTE]],DEMAND!A:F,6,FALSE),0)</f>
        <v>816</v>
      </c>
      <c r="P986" s="306">
        <f>ROUNDDOWN(Table24[[#This Row],[R-DEMAND]]/950,0)</f>
        <v>0</v>
      </c>
      <c r="Q986" s="306">
        <f>Table24[[#This Row],[ADD ACC
(475/950)]]*Table24[[#This Row],[Duration
(A359)]]</f>
        <v>0</v>
      </c>
      <c r="R986" s="307">
        <f>IFERROR(VLOOKUP(Table24[[#This Row],[ROUTE]],PRICING!A:B,2,FALSE),0)</f>
        <v>1968</v>
      </c>
      <c r="S986" s="308">
        <f>Table24[[#This Row],[C_DEMAND]]-Table24[[#This Row],[R-DEMAND]]</f>
        <v>2850</v>
      </c>
      <c r="T986" s="307">
        <f>Table24[[#This Row],[SEATS SOLD]]*Table24[[#This Row],[ECO SEAT]]</f>
        <v>5608800</v>
      </c>
      <c r="U986" s="307">
        <f>Table24[[#This Row],[SEATS SOLD]]*(IFERROR(VLOOKUP(Table24[[#This Row],[ROUTE]],PRICING!A:C,3,FALSE),0))</f>
        <v>6677550</v>
      </c>
      <c r="V986" s="307">
        <f>Table24[[#This Row],[SEAT REV]]-Table24[[#This Row],[SEAT REV
(IF IDEAL $)]]</f>
        <v>-1068750</v>
      </c>
    </row>
    <row r="987" spans="1:24" customFormat="1" x14ac:dyDescent="0.25">
      <c r="A987" s="306" t="s">
        <v>17828</v>
      </c>
      <c r="B987" s="306" t="s">
        <v>5676</v>
      </c>
      <c r="C987" s="306" t="s">
        <v>2</v>
      </c>
      <c r="D987" s="26">
        <v>5</v>
      </c>
      <c r="E987" s="312" t="s">
        <v>11732</v>
      </c>
      <c r="F987" s="306" t="str">
        <f>VLOOKUP(Table24[[#This Row],[Country]],Table10[[COUNTRY NAME]:[CONTINENT CODE]],3,FALSE)</f>
        <v>NA - US</v>
      </c>
      <c r="G987" s="312" t="s">
        <v>13273</v>
      </c>
      <c r="H987" s="309">
        <v>4504</v>
      </c>
      <c r="I987" s="310">
        <v>12</v>
      </c>
      <c r="J987" s="307">
        <v>190327924</v>
      </c>
      <c r="K987" s="307">
        <f>IFERROR(Table24[[#This Row],[ROUTE COST]]/Table24[[#This Row],[O - DEMAND]],0)</f>
        <v>72783.144933078394</v>
      </c>
      <c r="L987" s="306">
        <v>2615</v>
      </c>
      <c r="M987" s="310">
        <f>Table24[[#This Row],[O - DEMAND]]/950</f>
        <v>2.7526315789473683</v>
      </c>
      <c r="N987" s="306">
        <f>IFERROR(VLOOKUP(Table24[[#This Row],[ROUTE]],DEMAND!A:F,5,FALSE),0)</f>
        <v>2719</v>
      </c>
      <c r="O987" s="306">
        <f>IFERROR(VLOOKUP(Table24[[#This Row],[ROUTE]],DEMAND!A:F,6,FALSE),0)</f>
        <v>819</v>
      </c>
      <c r="P987" s="306">
        <f>ROUNDDOWN(Table24[[#This Row],[R-DEMAND]]/950,0)</f>
        <v>0</v>
      </c>
      <c r="Q987" s="306">
        <f>Table24[[#This Row],[ADD ACC
(475/950)]]*Table24[[#This Row],[Duration
(A359)]]</f>
        <v>0</v>
      </c>
      <c r="R987" s="307">
        <f>IFERROR(VLOOKUP(Table24[[#This Row],[ROUTE]],PRICING!A:B,2,FALSE),0)</f>
        <v>1334</v>
      </c>
      <c r="S987" s="308">
        <f>Table24[[#This Row],[C_DEMAND]]-Table24[[#This Row],[R-DEMAND]]</f>
        <v>1900</v>
      </c>
      <c r="T987" s="307">
        <f>Table24[[#This Row],[SEATS SOLD]]*Table24[[#This Row],[ECO SEAT]]</f>
        <v>2534600</v>
      </c>
      <c r="U987" s="307">
        <f>Table24[[#This Row],[SEATS SOLD]]*(IFERROR(VLOOKUP(Table24[[#This Row],[ROUTE]],PRICING!A:C,3,FALSE),0))</f>
        <v>2880400</v>
      </c>
      <c r="V987" s="307">
        <f>Table24[[#This Row],[SEAT REV]]-Table24[[#This Row],[SEAT REV
(IF IDEAL $)]]</f>
        <v>-345800</v>
      </c>
    </row>
    <row r="988" spans="1:24" customFormat="1" x14ac:dyDescent="0.25">
      <c r="A988" s="306" t="s">
        <v>17852</v>
      </c>
      <c r="B988" s="306" t="s">
        <v>5651</v>
      </c>
      <c r="C988" s="306" t="s">
        <v>2</v>
      </c>
      <c r="D988" s="26">
        <v>4</v>
      </c>
      <c r="E988" s="312" t="s">
        <v>11732</v>
      </c>
      <c r="F988" s="306" t="str">
        <f>VLOOKUP(Table24[[#This Row],[Country]],Table10[[COUNTRY NAME]:[CONTINENT CODE]],3,FALSE)</f>
        <v>NA - US</v>
      </c>
      <c r="G988" s="312" t="s">
        <v>13276</v>
      </c>
      <c r="H988" s="309">
        <v>4728</v>
      </c>
      <c r="I988" s="310">
        <v>12.5</v>
      </c>
      <c r="J988" s="307">
        <v>189827849</v>
      </c>
      <c r="K988" s="307">
        <f>IFERROR(Table24[[#This Row],[ROUTE COST]]/Table24[[#This Row],[O - DEMAND]],0)</f>
        <v>74151.503515624994</v>
      </c>
      <c r="L988" s="306">
        <v>2560</v>
      </c>
      <c r="M988" s="310">
        <f>Table24[[#This Row],[O - DEMAND]]/950</f>
        <v>2.6947368421052631</v>
      </c>
      <c r="N988" s="306">
        <f>IFERROR(VLOOKUP(Table24[[#This Row],[ROUTE]],DEMAND!A:F,5,FALSE),0)</f>
        <v>2723</v>
      </c>
      <c r="O988" s="306">
        <f>IFERROR(VLOOKUP(Table24[[#This Row],[ROUTE]],DEMAND!A:F,6,FALSE),0)</f>
        <v>823</v>
      </c>
      <c r="P988" s="306">
        <f>ROUNDDOWN(Table24[[#This Row],[R-DEMAND]]/950,0)</f>
        <v>0</v>
      </c>
      <c r="Q988" s="306">
        <f>Table24[[#This Row],[ADD ACC
(475/950)]]*Table24[[#This Row],[Duration
(A359)]]</f>
        <v>0</v>
      </c>
      <c r="R988" s="307">
        <f>IFERROR(VLOOKUP(Table24[[#This Row],[ROUTE]],PRICING!A:B,2,FALSE),0)</f>
        <v>1283</v>
      </c>
      <c r="S988" s="308">
        <f>Table24[[#This Row],[C_DEMAND]]-Table24[[#This Row],[R-DEMAND]]</f>
        <v>1900</v>
      </c>
      <c r="T988" s="307">
        <f>Table24[[#This Row],[SEATS SOLD]]*Table24[[#This Row],[ECO SEAT]]</f>
        <v>2437700</v>
      </c>
      <c r="U988" s="307">
        <f>Table24[[#This Row],[SEATS SOLD]]*(IFERROR(VLOOKUP(Table24[[#This Row],[ROUTE]],PRICING!A:C,3,FALSE),0))</f>
        <v>3011500</v>
      </c>
      <c r="V988" s="307">
        <f>Table24[[#This Row],[SEAT REV]]-Table24[[#This Row],[SEAT REV
(IF IDEAL $)]]</f>
        <v>-573800</v>
      </c>
    </row>
    <row r="989" spans="1:24" customFormat="1" x14ac:dyDescent="0.25">
      <c r="A989" s="306" t="s">
        <v>17276</v>
      </c>
      <c r="B989" s="306" t="s">
        <v>5043</v>
      </c>
      <c r="C989" s="306" t="s">
        <v>2</v>
      </c>
      <c r="D989" s="26">
        <v>3</v>
      </c>
      <c r="E989" s="312" t="s">
        <v>14</v>
      </c>
      <c r="F989" s="306" t="str">
        <f>VLOOKUP(Table24[[#This Row],[Country]],Table10[[COUNTRY NAME]:[CONTINENT CODE]],3,FALSE)</f>
        <v>AS</v>
      </c>
      <c r="G989" s="312" t="s">
        <v>12029</v>
      </c>
      <c r="H989" s="309">
        <v>13690</v>
      </c>
      <c r="I989" s="310">
        <v>32.25</v>
      </c>
      <c r="J989" s="307">
        <v>254572655</v>
      </c>
      <c r="K989" s="307">
        <f>IFERROR(Table24[[#This Row],[ROUTE COST]]/Table24[[#This Row],[O - DEMAND]],0)</f>
        <v>72014.895332390384</v>
      </c>
      <c r="L989" s="306">
        <v>3535</v>
      </c>
      <c r="M989" s="310">
        <f>Table24[[#This Row],[O - DEMAND]]/950</f>
        <v>3.7210526315789472</v>
      </c>
      <c r="N989" s="306">
        <f>IFERROR(VLOOKUP(Table24[[#This Row],[ROUTE]],DEMAND!A:F,5,FALSE),0)</f>
        <v>3677</v>
      </c>
      <c r="O989" s="306">
        <f>IFERROR(VLOOKUP(Table24[[#This Row],[ROUTE]],DEMAND!A:F,6,FALSE),0)</f>
        <v>827</v>
      </c>
      <c r="P989" s="306">
        <f>ROUNDDOWN(Table24[[#This Row],[R-DEMAND]]/950,0)</f>
        <v>0</v>
      </c>
      <c r="Q989" s="306">
        <f>Table24[[#This Row],[ADD ACC
(475/950)]]*Table24[[#This Row],[Duration
(A359)]]</f>
        <v>0</v>
      </c>
      <c r="R989" s="307">
        <f>IFERROR(VLOOKUP(Table24[[#This Row],[ROUTE]],PRICING!A:B,2,FALSE),0)</f>
        <v>3839</v>
      </c>
      <c r="S989" s="308">
        <f>Table24[[#This Row],[C_DEMAND]]-Table24[[#This Row],[R-DEMAND]]</f>
        <v>2850</v>
      </c>
      <c r="T989" s="307">
        <f>Table24[[#This Row],[SEATS SOLD]]*Table24[[#This Row],[ECO SEAT]]</f>
        <v>10941150</v>
      </c>
      <c r="U989" s="307">
        <f>Table24[[#This Row],[SEATS SOLD]]*(IFERROR(VLOOKUP(Table24[[#This Row],[ROUTE]],PRICING!A:C,3,FALSE),0))</f>
        <v>12434550</v>
      </c>
      <c r="V989" s="307">
        <f>Table24[[#This Row],[SEAT REV]]-Table24[[#This Row],[SEAT REV
(IF IDEAL $)]]</f>
        <v>-1493400</v>
      </c>
    </row>
    <row r="990" spans="1:24" customFormat="1" x14ac:dyDescent="0.25">
      <c r="A990" s="306" t="s">
        <v>17167</v>
      </c>
      <c r="B990" s="306" t="s">
        <v>5163</v>
      </c>
      <c r="C990" s="306" t="s">
        <v>2</v>
      </c>
      <c r="D990" s="26">
        <v>3</v>
      </c>
      <c r="E990" s="312" t="s">
        <v>611</v>
      </c>
      <c r="F990" s="306" t="str">
        <f>VLOOKUP(Table24[[#This Row],[Country]],Table10[[COUNTRY NAME]:[CONTINENT CODE]],3,FALSE)</f>
        <v>AF</v>
      </c>
      <c r="G990" s="312" t="s">
        <v>13250</v>
      </c>
      <c r="H990" s="309">
        <v>5879</v>
      </c>
      <c r="I990" s="310">
        <v>15</v>
      </c>
      <c r="J990" s="307">
        <v>180019441</v>
      </c>
      <c r="K990" s="307">
        <f>IFERROR(Table24[[#This Row],[ROUTE COST]]/Table24[[#This Row],[O - DEMAND]],0)</f>
        <v>41090.947500570648</v>
      </c>
      <c r="L990" s="306">
        <v>4381</v>
      </c>
      <c r="M990" s="310">
        <f>Table24[[#This Row],[O - DEMAND]]/950</f>
        <v>4.6115789473684208</v>
      </c>
      <c r="N990" s="306">
        <f>IFERROR(VLOOKUP(Table24[[#This Row],[ROUTE]],DEMAND!A:F,5,FALSE),0)</f>
        <v>4630</v>
      </c>
      <c r="O990" s="306">
        <f>IFERROR(VLOOKUP(Table24[[#This Row],[ROUTE]],DEMAND!A:F,6,FALSE),0)</f>
        <v>830</v>
      </c>
      <c r="P990" s="306">
        <f>ROUNDDOWN(Table24[[#This Row],[R-DEMAND]]/950,0)</f>
        <v>0</v>
      </c>
      <c r="Q990" s="306">
        <f>Table24[[#This Row],[ADD ACC
(475/950)]]*Table24[[#This Row],[Duration
(A359)]]</f>
        <v>0</v>
      </c>
      <c r="R990" s="307">
        <f>IFERROR(VLOOKUP(Table24[[#This Row],[ROUTE]],PRICING!A:B,2,FALSE),0)</f>
        <v>1611</v>
      </c>
      <c r="S990" s="308">
        <f>Table24[[#This Row],[C_DEMAND]]-Table24[[#This Row],[R-DEMAND]]</f>
        <v>3800</v>
      </c>
      <c r="T990" s="307">
        <f>Table24[[#This Row],[SEATS SOLD]]*Table24[[#This Row],[ECO SEAT]]</f>
        <v>6121800</v>
      </c>
      <c r="U990" s="307">
        <f>Table24[[#This Row],[SEATS SOLD]]*(IFERROR(VLOOKUP(Table24[[#This Row],[ROUTE]],PRICING!A:C,3,FALSE),0))</f>
        <v>7379600</v>
      </c>
      <c r="V990" s="307">
        <f>Table24[[#This Row],[SEAT REV]]-Table24[[#This Row],[SEAT REV
(IF IDEAL $)]]</f>
        <v>-1257800</v>
      </c>
    </row>
    <row r="991" spans="1:24" customFormat="1" x14ac:dyDescent="0.25">
      <c r="A991" s="306" t="s">
        <v>17735</v>
      </c>
      <c r="B991" s="306" t="s">
        <v>5454</v>
      </c>
      <c r="C991" s="306" t="s">
        <v>2</v>
      </c>
      <c r="D991" s="26">
        <v>4</v>
      </c>
      <c r="E991" s="312" t="s">
        <v>514</v>
      </c>
      <c r="F991" s="306" t="str">
        <f>VLOOKUP(Table24[[#This Row],[Country]],Table10[[COUNTRY NAME]:[CONTINENT CODE]],3,FALSE)</f>
        <v>NA</v>
      </c>
      <c r="G991" s="312" t="s">
        <v>13163</v>
      </c>
      <c r="H991" s="309">
        <v>5235</v>
      </c>
      <c r="I991" s="310">
        <v>13.5</v>
      </c>
      <c r="J991" s="307">
        <v>181555084</v>
      </c>
      <c r="K991" s="307">
        <f>IFERROR(Table24[[#This Row],[ROUTE COST]]/Table24[[#This Row],[O - DEMAND]],0)</f>
        <v>70261.25541795665</v>
      </c>
      <c r="L991" s="306">
        <v>2584</v>
      </c>
      <c r="M991" s="310">
        <f>Table24[[#This Row],[O - DEMAND]]/950</f>
        <v>2.72</v>
      </c>
      <c r="N991" s="306">
        <f>IFERROR(VLOOKUP(Table24[[#This Row],[ROUTE]],DEMAND!A:F,5,FALSE),0)</f>
        <v>2731</v>
      </c>
      <c r="O991" s="306">
        <f>IFERROR(VLOOKUP(Table24[[#This Row],[ROUTE]],DEMAND!A:F,6,FALSE),0)</f>
        <v>831</v>
      </c>
      <c r="P991" s="306">
        <f>ROUNDDOWN(Table24[[#This Row],[R-DEMAND]]/950,0)</f>
        <v>0</v>
      </c>
      <c r="Q991" s="306">
        <f>Table24[[#This Row],[ADD ACC
(475/950)]]*Table24[[#This Row],[Duration
(A359)]]</f>
        <v>0</v>
      </c>
      <c r="R991" s="307">
        <f>IFERROR(VLOOKUP(Table24[[#This Row],[ROUTE]],PRICING!A:B,2,FALSE),0)</f>
        <v>1445</v>
      </c>
      <c r="S991" s="308">
        <f>Table24[[#This Row],[C_DEMAND]]-Table24[[#This Row],[R-DEMAND]]</f>
        <v>1900</v>
      </c>
      <c r="T991" s="307">
        <f>Table24[[#This Row],[SEATS SOLD]]*Table24[[#This Row],[ECO SEAT]]</f>
        <v>2745500</v>
      </c>
      <c r="U991" s="307">
        <f>Table24[[#This Row],[SEATS SOLD]]*(IFERROR(VLOOKUP(Table24[[#This Row],[ROUTE]],PRICING!A:C,3,FALSE),0))</f>
        <v>3309800</v>
      </c>
      <c r="V991" s="307">
        <f>Table24[[#This Row],[SEAT REV]]-Table24[[#This Row],[SEAT REV
(IF IDEAL $)]]</f>
        <v>-564300</v>
      </c>
    </row>
    <row r="992" spans="1:24" customFormat="1" x14ac:dyDescent="0.25">
      <c r="A992" s="306" t="s">
        <v>17551</v>
      </c>
      <c r="B992" s="306" t="s">
        <v>5084</v>
      </c>
      <c r="C992" s="306" t="s">
        <v>2</v>
      </c>
      <c r="D992" s="26">
        <v>3</v>
      </c>
      <c r="E992" s="312" t="s">
        <v>585</v>
      </c>
      <c r="F992" s="306" t="str">
        <f>VLOOKUP(Table24[[#This Row],[Country]],Table10[[COUNTRY NAME]:[CONTINENT CODE]],3,FALSE)</f>
        <v>EU</v>
      </c>
      <c r="G992" s="312" t="s">
        <v>11800</v>
      </c>
      <c r="H992" s="309">
        <v>8206</v>
      </c>
      <c r="I992" s="310">
        <v>20.25</v>
      </c>
      <c r="J992" s="307">
        <v>201564862</v>
      </c>
      <c r="K992" s="307">
        <f>IFERROR(Table24[[#This Row],[ROUTE COST]]/Table24[[#This Row],[O - DEMAND]],0)</f>
        <v>76205.996975425325</v>
      </c>
      <c r="L992" s="306">
        <v>2645</v>
      </c>
      <c r="M992" s="310">
        <f>Table24[[#This Row],[O - DEMAND]]/950</f>
        <v>2.7842105263157895</v>
      </c>
      <c r="N992" s="306">
        <f>IFERROR(VLOOKUP(Table24[[#This Row],[ROUTE]],DEMAND!A:F,5,FALSE),0)</f>
        <v>2733</v>
      </c>
      <c r="O992" s="306">
        <f>IFERROR(VLOOKUP(Table24[[#This Row],[ROUTE]],DEMAND!A:F,6,FALSE),0)</f>
        <v>833</v>
      </c>
      <c r="P992" s="306">
        <f>ROUNDDOWN(Table24[[#This Row],[R-DEMAND]]/950,0)</f>
        <v>0</v>
      </c>
      <c r="Q992" s="306">
        <f>Table24[[#This Row],[ADD ACC
(475/950)]]*Table24[[#This Row],[Duration
(A359)]]</f>
        <v>0</v>
      </c>
      <c r="R992" s="307">
        <f>IFERROR(VLOOKUP(Table24[[#This Row],[ROUTE]],PRICING!A:B,2,FALSE),0)</f>
        <v>2396</v>
      </c>
      <c r="S992" s="308">
        <f>Table24[[#This Row],[C_DEMAND]]-Table24[[#This Row],[R-DEMAND]]</f>
        <v>1900</v>
      </c>
      <c r="T992" s="307">
        <f>Table24[[#This Row],[SEATS SOLD]]*Table24[[#This Row],[ECO SEAT]]</f>
        <v>4552400</v>
      </c>
      <c r="U992" s="307">
        <f>Table24[[#This Row],[SEATS SOLD]]*(IFERROR(VLOOKUP(Table24[[#This Row],[ROUTE]],PRICING!A:C,3,FALSE),0))</f>
        <v>5059700</v>
      </c>
      <c r="V992" s="307">
        <f>Table24[[#This Row],[SEAT REV]]-Table24[[#This Row],[SEAT REV
(IF IDEAL $)]]</f>
        <v>-507300</v>
      </c>
    </row>
    <row r="993" spans="1:22" customFormat="1" x14ac:dyDescent="0.25">
      <c r="A993" s="306" t="s">
        <v>17759</v>
      </c>
      <c r="B993" s="306" t="s">
        <v>5179</v>
      </c>
      <c r="C993" s="306" t="s">
        <v>2</v>
      </c>
      <c r="D993" s="26">
        <v>3</v>
      </c>
      <c r="E993" s="312" t="s">
        <v>13119</v>
      </c>
      <c r="F993" s="306" t="str">
        <f>VLOOKUP(Table24[[#This Row],[Country]],Table10[[COUNTRY NAME]:[CONTINENT CODE]],3,FALSE)</f>
        <v>NA</v>
      </c>
      <c r="G993" s="312" t="s">
        <v>13146</v>
      </c>
      <c r="H993" s="309">
        <v>895</v>
      </c>
      <c r="I993" s="310">
        <v>4</v>
      </c>
      <c r="J993" s="307">
        <v>129357119</v>
      </c>
      <c r="K993" s="307">
        <f>IFERROR(Table24[[#This Row],[ROUTE COST]]/Table24[[#This Row],[O - DEMAND]],0)</f>
        <v>50157.859247770451</v>
      </c>
      <c r="L993" s="306">
        <v>2579</v>
      </c>
      <c r="M993" s="310">
        <f>Table24[[#This Row],[O - DEMAND]]/950</f>
        <v>2.7147368421052631</v>
      </c>
      <c r="N993" s="306">
        <f>IFERROR(VLOOKUP(Table24[[#This Row],[ROUTE]],DEMAND!A:F,5,FALSE),0)</f>
        <v>2734</v>
      </c>
      <c r="O993" s="306">
        <f>IFERROR(VLOOKUP(Table24[[#This Row],[ROUTE]],DEMAND!A:F,6,FALSE),0)</f>
        <v>834</v>
      </c>
      <c r="P993" s="306">
        <f>ROUNDDOWN(Table24[[#This Row],[R-DEMAND]]/950,0)</f>
        <v>0</v>
      </c>
      <c r="Q993" s="306">
        <f>Table24[[#This Row],[ADD ACC
(475/950)]]*Table24[[#This Row],[Duration
(A359)]]</f>
        <v>0</v>
      </c>
      <c r="R993" s="307">
        <f>IFERROR(VLOOKUP(Table24[[#This Row],[ROUTE]],PRICING!A:B,2,FALSE),0)</f>
        <v>325</v>
      </c>
      <c r="S993" s="308">
        <f>Table24[[#This Row],[C_DEMAND]]-Table24[[#This Row],[R-DEMAND]]</f>
        <v>1900</v>
      </c>
      <c r="T993" s="307">
        <f>Table24[[#This Row],[SEATS SOLD]]*Table24[[#This Row],[ECO SEAT]]</f>
        <v>617500</v>
      </c>
      <c r="U993" s="307">
        <f>Table24[[#This Row],[SEATS SOLD]]*(IFERROR(VLOOKUP(Table24[[#This Row],[ROUTE]],PRICING!A:C,3,FALSE),0))</f>
        <v>754300</v>
      </c>
      <c r="V993" s="307">
        <f>Table24[[#This Row],[SEAT REV]]-Table24[[#This Row],[SEAT REV
(IF IDEAL $)]]</f>
        <v>-136800</v>
      </c>
    </row>
    <row r="994" spans="1:22" customFormat="1" x14ac:dyDescent="0.25">
      <c r="A994" s="306" t="s">
        <v>17059</v>
      </c>
      <c r="B994" s="306" t="s">
        <v>234</v>
      </c>
      <c r="C994" s="306" t="s">
        <v>2</v>
      </c>
      <c r="D994" s="26">
        <v>4</v>
      </c>
      <c r="E994" s="312" t="s">
        <v>926</v>
      </c>
      <c r="F994" s="306" t="str">
        <f>VLOOKUP(Table24[[#This Row],[Country]],Table10[[COUNTRY NAME]:[CONTINENT CODE]],3,FALSE)</f>
        <v>AF</v>
      </c>
      <c r="G994" s="312" t="s">
        <v>11074</v>
      </c>
      <c r="H994" s="309">
        <v>11925</v>
      </c>
      <c r="I994" s="310">
        <v>28.25</v>
      </c>
      <c r="J994" s="307">
        <v>262078647</v>
      </c>
      <c r="K994" s="307">
        <f>IFERROR(Table24[[#This Row],[ROUTE COST]]/Table24[[#This Row],[O - DEMAND]],0)</f>
        <v>49272.165256627188</v>
      </c>
      <c r="L994" s="306">
        <v>5319</v>
      </c>
      <c r="M994" s="310">
        <f>Table24[[#This Row],[O - DEMAND]]/950</f>
        <v>5.5989473684210527</v>
      </c>
      <c r="N994" s="306">
        <f>IFERROR(VLOOKUP(Table24[[#This Row],[ROUTE]],DEMAND!A:F,5,FALSE),0)</f>
        <v>5585</v>
      </c>
      <c r="O994" s="306">
        <f>IFERROR(VLOOKUP(Table24[[#This Row],[ROUTE]],DEMAND!A:F,6,FALSE),0)</f>
        <v>835</v>
      </c>
      <c r="P994" s="306">
        <f>ROUNDDOWN(Table24[[#This Row],[R-DEMAND]]/950,0)</f>
        <v>0</v>
      </c>
      <c r="Q994" s="306">
        <f>Table24[[#This Row],[ADD ACC
(475/950)]]*Table24[[#This Row],[Duration
(A359)]]</f>
        <v>0</v>
      </c>
      <c r="R994" s="307">
        <f>IFERROR(VLOOKUP(Table24[[#This Row],[ROUTE]],PRICING!A:B,2,FALSE),0)</f>
        <v>3243</v>
      </c>
      <c r="S994" s="308">
        <f>Table24[[#This Row],[C_DEMAND]]-Table24[[#This Row],[R-DEMAND]]</f>
        <v>4750</v>
      </c>
      <c r="T994" s="307">
        <f>Table24[[#This Row],[SEATS SOLD]]*Table24[[#This Row],[ECO SEAT]]</f>
        <v>15404250</v>
      </c>
      <c r="U994" s="307">
        <f>Table24[[#This Row],[SEATS SOLD]]*(IFERROR(VLOOKUP(Table24[[#This Row],[ROUTE]],PRICING!A:C,3,FALSE),0))</f>
        <v>18126000</v>
      </c>
      <c r="V994" s="307">
        <f>Table24[[#This Row],[SEAT REV]]-Table24[[#This Row],[SEAT REV
(IF IDEAL $)]]</f>
        <v>-2721750</v>
      </c>
    </row>
    <row r="995" spans="1:22" customFormat="1" x14ac:dyDescent="0.25">
      <c r="A995" s="306" t="s">
        <v>18023</v>
      </c>
      <c r="B995" s="306" t="s">
        <v>4412</v>
      </c>
      <c r="C995" s="306" t="s">
        <v>2</v>
      </c>
      <c r="D995" s="26">
        <v>2</v>
      </c>
      <c r="E995" s="312" t="s">
        <v>11669</v>
      </c>
      <c r="F995" s="306" t="str">
        <f>VLOOKUP(Table24[[#This Row],[Country]],Table10[[COUNTRY NAME]:[CONTINENT CODE]],3,FALSE)</f>
        <v>SA</v>
      </c>
      <c r="G995" s="312" t="s">
        <v>13134</v>
      </c>
      <c r="H995" s="309">
        <v>5730</v>
      </c>
      <c r="I995" s="310">
        <v>14.75</v>
      </c>
      <c r="J995" s="307">
        <v>166411398</v>
      </c>
      <c r="K995" s="307">
        <f>IFERROR(Table24[[#This Row],[ROUTE COST]]/Table24[[#This Row],[O - DEMAND]],0)</f>
        <v>62867.92519833774</v>
      </c>
      <c r="L995" s="306">
        <v>2647</v>
      </c>
      <c r="M995" s="310">
        <f>Table24[[#This Row],[O - DEMAND]]/950</f>
        <v>2.7863157894736843</v>
      </c>
      <c r="N995" s="306">
        <f>IFERROR(VLOOKUP(Table24[[#This Row],[ROUTE]],DEMAND!A:F,5,FALSE),0)</f>
        <v>2736</v>
      </c>
      <c r="O995" s="306">
        <f>IFERROR(VLOOKUP(Table24[[#This Row],[ROUTE]],DEMAND!A:F,6,FALSE),0)</f>
        <v>836</v>
      </c>
      <c r="P995" s="306">
        <f>ROUNDDOWN(Table24[[#This Row],[R-DEMAND]]/950,0)</f>
        <v>0</v>
      </c>
      <c r="Q995" s="306">
        <f>Table24[[#This Row],[ADD ACC
(475/950)]]*Table24[[#This Row],[Duration
(A359)]]</f>
        <v>0</v>
      </c>
      <c r="R995" s="307">
        <f>IFERROR(VLOOKUP(Table24[[#This Row],[ROUTE]],PRICING!A:B,2,FALSE),0)</f>
        <v>1706</v>
      </c>
      <c r="S995" s="308">
        <f>Table24[[#This Row],[C_DEMAND]]-Table24[[#This Row],[R-DEMAND]]</f>
        <v>1900</v>
      </c>
      <c r="T995" s="307">
        <f>Table24[[#This Row],[SEATS SOLD]]*Table24[[#This Row],[ECO SEAT]]</f>
        <v>3241400</v>
      </c>
      <c r="U995" s="307">
        <f>Table24[[#This Row],[SEATS SOLD]]*(IFERROR(VLOOKUP(Table24[[#This Row],[ROUTE]],PRICING!A:C,3,FALSE),0))</f>
        <v>3602400</v>
      </c>
      <c r="V995" s="307">
        <f>Table24[[#This Row],[SEAT REV]]-Table24[[#This Row],[SEAT REV
(IF IDEAL $)]]</f>
        <v>-361000</v>
      </c>
    </row>
    <row r="996" spans="1:22" customFormat="1" x14ac:dyDescent="0.25">
      <c r="A996" s="306" t="s">
        <v>17300</v>
      </c>
      <c r="B996" s="306" t="s">
        <v>4779</v>
      </c>
      <c r="C996" s="306" t="s">
        <v>2</v>
      </c>
      <c r="D996" s="26">
        <v>3</v>
      </c>
      <c r="E996" s="312" t="s">
        <v>1270</v>
      </c>
      <c r="F996" s="306" t="str">
        <f>VLOOKUP(Table24[[#This Row],[Country]],Table10[[COUNTRY NAME]:[CONTINENT CODE]],3,FALSE)</f>
        <v>AS</v>
      </c>
      <c r="G996" s="312" t="s">
        <v>11912</v>
      </c>
      <c r="H996" s="309">
        <v>10776</v>
      </c>
      <c r="I996" s="310">
        <v>25.75</v>
      </c>
      <c r="J996" s="307">
        <v>221673724</v>
      </c>
      <c r="K996" s="307">
        <f>IFERROR(Table24[[#This Row],[ROUTE COST]]/Table24[[#This Row],[O - DEMAND]],0)</f>
        <v>62320.417205510261</v>
      </c>
      <c r="L996" s="306">
        <v>3557</v>
      </c>
      <c r="M996" s="310">
        <f>Table24[[#This Row],[O - DEMAND]]/950</f>
        <v>3.7442105263157894</v>
      </c>
      <c r="N996" s="306">
        <f>IFERROR(VLOOKUP(Table24[[#This Row],[ROUTE]],DEMAND!A:F,5,FALSE),0)</f>
        <v>3687</v>
      </c>
      <c r="O996" s="306">
        <f>IFERROR(VLOOKUP(Table24[[#This Row],[ROUTE]],DEMAND!A:F,6,FALSE),0)</f>
        <v>837</v>
      </c>
      <c r="P996" s="306">
        <f>ROUNDDOWN(Table24[[#This Row],[R-DEMAND]]/950,0)</f>
        <v>0</v>
      </c>
      <c r="Q996" s="306">
        <f>Table24[[#This Row],[ADD ACC
(475/950)]]*Table24[[#This Row],[Duration
(A359)]]</f>
        <v>0</v>
      </c>
      <c r="R996" s="307">
        <f>IFERROR(VLOOKUP(Table24[[#This Row],[ROUTE]],PRICING!A:B,2,FALSE),0)</f>
        <v>3079</v>
      </c>
      <c r="S996" s="308">
        <f>Table24[[#This Row],[C_DEMAND]]-Table24[[#This Row],[R-DEMAND]]</f>
        <v>2850</v>
      </c>
      <c r="T996" s="307">
        <f>Table24[[#This Row],[SEATS SOLD]]*Table24[[#This Row],[ECO SEAT]]</f>
        <v>8775150</v>
      </c>
      <c r="U996" s="307">
        <f>Table24[[#This Row],[SEATS SOLD]]*(IFERROR(VLOOKUP(Table24[[#This Row],[ROUTE]],PRICING!A:C,3,FALSE),0))</f>
        <v>9861000</v>
      </c>
      <c r="V996" s="307">
        <f>Table24[[#This Row],[SEAT REV]]-Table24[[#This Row],[SEAT REV
(IF IDEAL $)]]</f>
        <v>-1085850</v>
      </c>
    </row>
    <row r="997" spans="1:22" customFormat="1" x14ac:dyDescent="0.25">
      <c r="A997" s="306" t="s">
        <v>18039</v>
      </c>
      <c r="B997" s="306" t="s">
        <v>5485</v>
      </c>
      <c r="C997" s="306" t="s">
        <v>2</v>
      </c>
      <c r="D997" s="26">
        <v>4</v>
      </c>
      <c r="E997" s="312" t="s">
        <v>517</v>
      </c>
      <c r="F997" s="306" t="str">
        <f>VLOOKUP(Table24[[#This Row],[Country]],Table10[[COUNTRY NAME]:[CONTINENT CODE]],3,FALSE)</f>
        <v>SA</v>
      </c>
      <c r="G997" s="312" t="s">
        <v>13160</v>
      </c>
      <c r="H997" s="309">
        <v>5255</v>
      </c>
      <c r="I997" s="310">
        <v>13.75</v>
      </c>
      <c r="J997" s="307">
        <v>182269618</v>
      </c>
      <c r="K997" s="307">
        <f>IFERROR(Table24[[#This Row],[ROUTE COST]]/Table24[[#This Row],[O - DEMAND]],0)</f>
        <v>51242.512791678382</v>
      </c>
      <c r="L997" s="306">
        <v>3557</v>
      </c>
      <c r="M997" s="310">
        <f>Table24[[#This Row],[O - DEMAND]]/950</f>
        <v>3.7442105263157894</v>
      </c>
      <c r="N997" s="306">
        <f>IFERROR(VLOOKUP(Table24[[#This Row],[ROUTE]],DEMAND!A:F,5,FALSE),0)</f>
        <v>3687</v>
      </c>
      <c r="O997" s="306">
        <f>IFERROR(VLOOKUP(Table24[[#This Row],[ROUTE]],DEMAND!A:F,6,FALSE),0)</f>
        <v>837</v>
      </c>
      <c r="P997" s="306">
        <f>ROUNDDOWN(Table24[[#This Row],[R-DEMAND]]/950,0)</f>
        <v>0</v>
      </c>
      <c r="Q997" s="306">
        <f>Table24[[#This Row],[ADD ACC
(475/950)]]*Table24[[#This Row],[Duration
(A359)]]</f>
        <v>0</v>
      </c>
      <c r="R997" s="307">
        <f>IFERROR(VLOOKUP(Table24[[#This Row],[ROUTE]],PRICING!A:B,2,FALSE),0)</f>
        <v>1556</v>
      </c>
      <c r="S997" s="308">
        <f>Table24[[#This Row],[C_DEMAND]]-Table24[[#This Row],[R-DEMAND]]</f>
        <v>2850</v>
      </c>
      <c r="T997" s="307">
        <f>Table24[[#This Row],[SEATS SOLD]]*Table24[[#This Row],[ECO SEAT]]</f>
        <v>4434600</v>
      </c>
      <c r="U997" s="307">
        <f>Table24[[#This Row],[SEATS SOLD]]*(IFERROR(VLOOKUP(Table24[[#This Row],[ROUTE]],PRICING!A:C,3,FALSE),0))</f>
        <v>4984650</v>
      </c>
      <c r="V997" s="307">
        <f>Table24[[#This Row],[SEAT REV]]-Table24[[#This Row],[SEAT REV
(IF IDEAL $)]]</f>
        <v>-550050</v>
      </c>
    </row>
    <row r="998" spans="1:22" customFormat="1" x14ac:dyDescent="0.25">
      <c r="A998" s="306" t="s">
        <v>18073</v>
      </c>
      <c r="B998" s="306" t="s">
        <v>3964</v>
      </c>
      <c r="C998" s="306" t="s">
        <v>2</v>
      </c>
      <c r="D998" s="26">
        <v>2</v>
      </c>
      <c r="E998" s="312" t="s">
        <v>530</v>
      </c>
      <c r="F998" s="306" t="str">
        <f>VLOOKUP(Table24[[#This Row],[Country]],Table10[[COUNTRY NAME]:[CONTINENT CODE]],3,FALSE)</f>
        <v>SA</v>
      </c>
      <c r="G998" s="312" t="s">
        <v>13179</v>
      </c>
      <c r="H998" s="309">
        <v>4356</v>
      </c>
      <c r="I998" s="310">
        <v>11.75</v>
      </c>
      <c r="J998" s="307">
        <v>148899759</v>
      </c>
      <c r="K998" s="307">
        <f>IFERROR(Table24[[#This Row],[ROUTE COST]]/Table24[[#This Row],[O - DEMAND]],0)</f>
        <v>57093.46587423313</v>
      </c>
      <c r="L998" s="306">
        <v>2608</v>
      </c>
      <c r="M998" s="310">
        <f>Table24[[#This Row],[O - DEMAND]]/950</f>
        <v>2.7452631578947368</v>
      </c>
      <c r="N998" s="306">
        <f>IFERROR(VLOOKUP(Table24[[#This Row],[ROUTE]],DEMAND!A:F,5,FALSE),0)</f>
        <v>2739</v>
      </c>
      <c r="O998" s="306">
        <f>IFERROR(VLOOKUP(Table24[[#This Row],[ROUTE]],DEMAND!A:F,6,FALSE),0)</f>
        <v>839</v>
      </c>
      <c r="P998" s="306">
        <f>ROUNDDOWN(Table24[[#This Row],[R-DEMAND]]/950,0)</f>
        <v>0</v>
      </c>
      <c r="Q998" s="306">
        <f>Table24[[#This Row],[ADD ACC
(475/950)]]*Table24[[#This Row],[Duration
(A359)]]</f>
        <v>0</v>
      </c>
      <c r="R998" s="307">
        <f>IFERROR(VLOOKUP(Table24[[#This Row],[ROUTE]],PRICING!A:B,2,FALSE),0)</f>
        <v>1249</v>
      </c>
      <c r="S998" s="308">
        <f>Table24[[#This Row],[C_DEMAND]]-Table24[[#This Row],[R-DEMAND]]</f>
        <v>1900</v>
      </c>
      <c r="T998" s="307">
        <f>Table24[[#This Row],[SEATS SOLD]]*Table24[[#This Row],[ECO SEAT]]</f>
        <v>2373100</v>
      </c>
      <c r="U998" s="307">
        <f>Table24[[#This Row],[SEATS SOLD]]*(IFERROR(VLOOKUP(Table24[[#This Row],[ROUTE]],PRICING!A:C,3,FALSE),0))</f>
        <v>2793000</v>
      </c>
      <c r="V998" s="307">
        <f>Table24[[#This Row],[SEAT REV]]-Table24[[#This Row],[SEAT REV
(IF IDEAL $)]]</f>
        <v>-419900</v>
      </c>
    </row>
    <row r="999" spans="1:22" customFormat="1" x14ac:dyDescent="0.25">
      <c r="A999" s="306" t="s">
        <v>18021</v>
      </c>
      <c r="B999" s="306" t="s">
        <v>4243</v>
      </c>
      <c r="C999" s="306" t="s">
        <v>2</v>
      </c>
      <c r="D999" s="26">
        <v>2</v>
      </c>
      <c r="E999" s="312" t="s">
        <v>11669</v>
      </c>
      <c r="F999" s="306" t="str">
        <f>VLOOKUP(Table24[[#This Row],[Country]],Table10[[COUNTRY NAME]:[CONTINENT CODE]],3,FALSE)</f>
        <v>SA</v>
      </c>
      <c r="G999" s="312" t="s">
        <v>16934</v>
      </c>
      <c r="H999" s="309">
        <v>6413</v>
      </c>
      <c r="I999" s="310">
        <v>16.25</v>
      </c>
      <c r="J999" s="307">
        <v>171892902</v>
      </c>
      <c r="K999" s="307">
        <f>IFERROR(Table24[[#This Row],[ROUTE COST]]/Table24[[#This Row],[O - DEMAND]],0)</f>
        <v>66496.287040618961</v>
      </c>
      <c r="L999" s="306">
        <v>2585</v>
      </c>
      <c r="M999" s="310">
        <f>Table24[[#This Row],[O - DEMAND]]/950</f>
        <v>2.7210526315789472</v>
      </c>
      <c r="N999" s="306">
        <f>IFERROR(VLOOKUP(Table24[[#This Row],[ROUTE]],DEMAND!A:F,5,FALSE),0)</f>
        <v>2740</v>
      </c>
      <c r="O999" s="306">
        <f>IFERROR(VLOOKUP(Table24[[#This Row],[ROUTE]],DEMAND!A:F,6,FALSE),0)</f>
        <v>840</v>
      </c>
      <c r="P999" s="306">
        <f>ROUNDDOWN(Table24[[#This Row],[R-DEMAND]]/950,0)</f>
        <v>0</v>
      </c>
      <c r="Q999" s="306">
        <f>Table24[[#This Row],[ADD ACC
(475/950)]]*Table24[[#This Row],[Duration
(A359)]]</f>
        <v>0</v>
      </c>
      <c r="R999" s="307">
        <f>IFERROR(VLOOKUP(Table24[[#This Row],[ROUTE]],PRICING!A:B,2,FALSE),0)</f>
        <v>1728</v>
      </c>
      <c r="S999" s="308">
        <f>Table24[[#This Row],[C_DEMAND]]-Table24[[#This Row],[R-DEMAND]]</f>
        <v>1900</v>
      </c>
      <c r="T999" s="307">
        <f>Table24[[#This Row],[SEATS SOLD]]*Table24[[#This Row],[ECO SEAT]]</f>
        <v>3283200</v>
      </c>
      <c r="U999" s="307">
        <f>Table24[[#This Row],[SEATS SOLD]]*(IFERROR(VLOOKUP(Table24[[#This Row],[ROUTE]],PRICING!A:C,3,FALSE),0))</f>
        <v>4005200</v>
      </c>
      <c r="V999" s="307">
        <f>Table24[[#This Row],[SEAT REV]]-Table24[[#This Row],[SEAT REV
(IF IDEAL $)]]</f>
        <v>-722000</v>
      </c>
    </row>
    <row r="1000" spans="1:22" customFormat="1" x14ac:dyDescent="0.25">
      <c r="A1000" s="306" t="s">
        <v>17183</v>
      </c>
      <c r="B1000" s="306" t="s">
        <v>4716</v>
      </c>
      <c r="C1000" s="306" t="s">
        <v>2</v>
      </c>
      <c r="D1000" s="26">
        <v>3</v>
      </c>
      <c r="E1000" s="312" t="s">
        <v>1516</v>
      </c>
      <c r="F1000" s="306" t="str">
        <f>VLOOKUP(Table24[[#This Row],[Country]],Table10[[COUNTRY NAME]:[CONTINENT CODE]],3,FALSE)</f>
        <v>AF</v>
      </c>
      <c r="G1000" s="312" t="s">
        <v>11939</v>
      </c>
      <c r="H1000" s="309">
        <v>12514</v>
      </c>
      <c r="I1000" s="310">
        <v>29.5</v>
      </c>
      <c r="J1000" s="307">
        <v>239482492</v>
      </c>
      <c r="K1000" s="307">
        <f>IFERROR(Table24[[#This Row],[ROUTE COST]]/Table24[[#This Row],[O - DEMAND]],0)</f>
        <v>53599.483437779767</v>
      </c>
      <c r="L1000" s="306">
        <v>4468</v>
      </c>
      <c r="M1000" s="310">
        <f>Table24[[#This Row],[O - DEMAND]]/950</f>
        <v>4.703157894736842</v>
      </c>
      <c r="N1000" s="306">
        <f>IFERROR(VLOOKUP(Table24[[#This Row],[ROUTE]],DEMAND!A:F,5,FALSE),0)</f>
        <v>4647</v>
      </c>
      <c r="O1000" s="306">
        <f>IFERROR(VLOOKUP(Table24[[#This Row],[ROUTE]],DEMAND!A:F,6,FALSE),0)</f>
        <v>847</v>
      </c>
      <c r="P1000" s="306">
        <f>ROUNDDOWN(Table24[[#This Row],[R-DEMAND]]/950,0)</f>
        <v>0</v>
      </c>
      <c r="Q1000" s="306">
        <f>Table24[[#This Row],[ADD ACC
(475/950)]]*Table24[[#This Row],[Duration
(A359)]]</f>
        <v>0</v>
      </c>
      <c r="R1000" s="307">
        <f>IFERROR(VLOOKUP(Table24[[#This Row],[ROUTE]],PRICING!A:B,2,FALSE),0)</f>
        <v>3519</v>
      </c>
      <c r="S1000" s="308">
        <f>Table24[[#This Row],[C_DEMAND]]-Table24[[#This Row],[R-DEMAND]]</f>
        <v>3800</v>
      </c>
      <c r="T1000" s="307">
        <f>Table24[[#This Row],[SEATS SOLD]]*Table24[[#This Row],[ECO SEAT]]</f>
        <v>13372200</v>
      </c>
      <c r="U1000" s="307">
        <f>Table24[[#This Row],[SEATS SOLD]]*(IFERROR(VLOOKUP(Table24[[#This Row],[ROUTE]],PRICING!A:C,3,FALSE),0))</f>
        <v>15196200</v>
      </c>
      <c r="V1000" s="307">
        <f>Table24[[#This Row],[SEAT REV]]-Table24[[#This Row],[SEAT REV
(IF IDEAL $)]]</f>
        <v>-1824000</v>
      </c>
    </row>
    <row r="1001" spans="1:22" customFormat="1" x14ac:dyDescent="0.25">
      <c r="A1001" s="306" t="s">
        <v>17580</v>
      </c>
      <c r="B1001" s="306" t="s">
        <v>5416</v>
      </c>
      <c r="C1001" s="306" t="s">
        <v>2</v>
      </c>
      <c r="D1001" s="26">
        <v>3</v>
      </c>
      <c r="E1001" s="312" t="s">
        <v>119</v>
      </c>
      <c r="F1001" s="306" t="str">
        <f>VLOOKUP(Table24[[#This Row],[Country]],Table10[[COUNTRY NAME]:[CONTINENT CODE]],3,FALSE)</f>
        <v>EU</v>
      </c>
      <c r="G1001" s="312" t="s">
        <v>11705</v>
      </c>
      <c r="H1001" s="309">
        <v>7171</v>
      </c>
      <c r="I1001" s="310">
        <v>17.75</v>
      </c>
      <c r="J1001" s="307">
        <v>199667882</v>
      </c>
      <c r="K1001" s="307">
        <f>IFERROR(Table24[[#This Row],[ROUTE COST]]/Table24[[#This Row],[O - DEMAND]],0)</f>
        <v>77540.925048543693</v>
      </c>
      <c r="L1001" s="306">
        <v>2575</v>
      </c>
      <c r="M1001" s="310">
        <f>Table24[[#This Row],[O - DEMAND]]/950</f>
        <v>2.7105263157894739</v>
      </c>
      <c r="N1001" s="306">
        <f>IFERROR(VLOOKUP(Table24[[#This Row],[ROUTE]],DEMAND!A:F,5,FALSE),0)</f>
        <v>2747</v>
      </c>
      <c r="O1001" s="306">
        <f>IFERROR(VLOOKUP(Table24[[#This Row],[ROUTE]],DEMAND!A:F,6,FALSE),0)</f>
        <v>847</v>
      </c>
      <c r="P1001" s="306">
        <f>ROUNDDOWN(Table24[[#This Row],[R-DEMAND]]/950,0)</f>
        <v>0</v>
      </c>
      <c r="Q1001" s="306">
        <f>Table24[[#This Row],[ADD ACC
(475/950)]]*Table24[[#This Row],[Duration
(A359)]]</f>
        <v>0</v>
      </c>
      <c r="R1001" s="307">
        <f>IFERROR(VLOOKUP(Table24[[#This Row],[ROUTE]],PRICING!A:B,2,FALSE),0)</f>
        <v>1874</v>
      </c>
      <c r="S1001" s="308">
        <f>Table24[[#This Row],[C_DEMAND]]-Table24[[#This Row],[R-DEMAND]]</f>
        <v>1900</v>
      </c>
      <c r="T1001" s="307">
        <f>Table24[[#This Row],[SEATS SOLD]]*Table24[[#This Row],[ECO SEAT]]</f>
        <v>3560600</v>
      </c>
      <c r="U1001" s="307">
        <f>Table24[[#This Row],[SEATS SOLD]]*(IFERROR(VLOOKUP(Table24[[#This Row],[ROUTE]],PRICING!A:C,3,FALSE),0))</f>
        <v>4451700</v>
      </c>
      <c r="V1001" s="307">
        <f>Table24[[#This Row],[SEAT REV]]-Table24[[#This Row],[SEAT REV
(IF IDEAL $)]]</f>
        <v>-891100</v>
      </c>
    </row>
    <row r="1002" spans="1:22" customFormat="1" x14ac:dyDescent="0.25">
      <c r="A1002" s="306" t="s">
        <v>18096</v>
      </c>
      <c r="B1002" s="306" t="s">
        <v>1842</v>
      </c>
      <c r="C1002" s="306" t="s">
        <v>2</v>
      </c>
      <c r="D1002" s="26">
        <v>1</v>
      </c>
      <c r="E1002" s="312" t="s">
        <v>714</v>
      </c>
      <c r="F1002" s="306" t="str">
        <f>VLOOKUP(Table24[[#This Row],[Country]],Table10[[COUNTRY NAME]:[CONTINENT CODE]],3,FALSE)</f>
        <v>SA</v>
      </c>
      <c r="G1002" s="312" t="s">
        <v>13240</v>
      </c>
      <c r="H1002" s="309">
        <v>3535</v>
      </c>
      <c r="I1002" s="310">
        <v>10</v>
      </c>
      <c r="J1002" s="307">
        <v>130449735</v>
      </c>
      <c r="K1002" s="307">
        <f>IFERROR(Table24[[#This Row],[ROUTE COST]]/Table24[[#This Row],[O - DEMAND]],0)</f>
        <v>50503.188153310104</v>
      </c>
      <c r="L1002" s="306">
        <v>2583</v>
      </c>
      <c r="M1002" s="310">
        <f>Table24[[#This Row],[O - DEMAND]]/950</f>
        <v>2.7189473684210528</v>
      </c>
      <c r="N1002" s="306">
        <f>IFERROR(VLOOKUP(Table24[[#This Row],[ROUTE]],DEMAND!A:F,5,FALSE),0)</f>
        <v>2747</v>
      </c>
      <c r="O1002" s="306">
        <f>IFERROR(VLOOKUP(Table24[[#This Row],[ROUTE]],DEMAND!A:F,6,FALSE),0)</f>
        <v>847</v>
      </c>
      <c r="P1002" s="306">
        <f>ROUNDDOWN(Table24[[#This Row],[R-DEMAND]]/950,0)</f>
        <v>0</v>
      </c>
      <c r="Q1002" s="306">
        <f>Table24[[#This Row],[ADD ACC
(475/950)]]*Table24[[#This Row],[Duration
(A359)]]</f>
        <v>0</v>
      </c>
      <c r="R1002" s="307">
        <f>IFERROR(VLOOKUP(Table24[[#This Row],[ROUTE]],PRICING!A:B,2,FALSE),0)</f>
        <v>984</v>
      </c>
      <c r="S1002" s="308">
        <f>Table24[[#This Row],[C_DEMAND]]-Table24[[#This Row],[R-DEMAND]]</f>
        <v>1900</v>
      </c>
      <c r="T1002" s="307">
        <f>Table24[[#This Row],[SEATS SOLD]]*Table24[[#This Row],[ECO SEAT]]</f>
        <v>1869600</v>
      </c>
      <c r="U1002" s="307">
        <f>Table24[[#This Row],[SEATS SOLD]]*(IFERROR(VLOOKUP(Table24[[#This Row],[ROUTE]],PRICING!A:C,3,FALSE),0))</f>
        <v>2308500</v>
      </c>
      <c r="V1002" s="307">
        <f>Table24[[#This Row],[SEAT REV]]-Table24[[#This Row],[SEAT REV
(IF IDEAL $)]]</f>
        <v>-438900</v>
      </c>
    </row>
    <row r="1003" spans="1:22" customFormat="1" x14ac:dyDescent="0.25">
      <c r="A1003" s="306" t="s">
        <v>17200</v>
      </c>
      <c r="B1003" s="306" t="s">
        <v>406</v>
      </c>
      <c r="C1003" s="306" t="s">
        <v>2</v>
      </c>
      <c r="D1003" s="26">
        <v>5</v>
      </c>
      <c r="E1003" s="312" t="s">
        <v>1070</v>
      </c>
      <c r="F1003" s="306" t="str">
        <f>VLOOKUP(Table24[[#This Row],[Country]],Table10[[COUNTRY NAME]:[CONTINENT CODE]],3,FALSE)</f>
        <v>AS</v>
      </c>
      <c r="G1003" s="312" t="s">
        <v>12040</v>
      </c>
      <c r="H1003" s="309">
        <v>14361</v>
      </c>
      <c r="I1003" s="310">
        <v>33.75</v>
      </c>
      <c r="J1003" s="307">
        <v>293708086</v>
      </c>
      <c r="K1003" s="307">
        <f>IFERROR(Table24[[#This Row],[ROUTE COST]]/Table24[[#This Row],[O - DEMAND]],0)</f>
        <v>65691.810780586005</v>
      </c>
      <c r="L1003" s="306">
        <v>4471</v>
      </c>
      <c r="M1003" s="310">
        <f>Table24[[#This Row],[O - DEMAND]]/950</f>
        <v>4.7063157894736838</v>
      </c>
      <c r="N1003" s="306">
        <f>IFERROR(VLOOKUP(Table24[[#This Row],[ROUTE]],DEMAND!A:F,5,FALSE),0)</f>
        <v>4650</v>
      </c>
      <c r="O1003" s="306">
        <f>IFERROR(VLOOKUP(Table24[[#This Row],[ROUTE]],DEMAND!A:F,6,FALSE),0)</f>
        <v>850</v>
      </c>
      <c r="P1003" s="306">
        <f>ROUNDDOWN(Table24[[#This Row],[R-DEMAND]]/950,0)</f>
        <v>0</v>
      </c>
      <c r="Q1003" s="306">
        <f>Table24[[#This Row],[ADD ACC
(475/950)]]*Table24[[#This Row],[Duration
(A359)]]</f>
        <v>0</v>
      </c>
      <c r="R1003" s="307">
        <f>IFERROR(VLOOKUP(Table24[[#This Row],[ROUTE]],PRICING!A:B,2,FALSE),0)</f>
        <v>4022</v>
      </c>
      <c r="S1003" s="308">
        <f>Table24[[#This Row],[C_DEMAND]]-Table24[[#This Row],[R-DEMAND]]</f>
        <v>3800</v>
      </c>
      <c r="T1003" s="307">
        <f>Table24[[#This Row],[SEATS SOLD]]*Table24[[#This Row],[ECO SEAT]]</f>
        <v>15283600</v>
      </c>
      <c r="U1003" s="307">
        <f>Table24[[#This Row],[SEATS SOLD]]*(IFERROR(VLOOKUP(Table24[[#This Row],[ROUTE]],PRICING!A:C,3,FALSE),0))</f>
        <v>17369800</v>
      </c>
      <c r="V1003" s="307">
        <f>Table24[[#This Row],[SEAT REV]]-Table24[[#This Row],[SEAT REV
(IF IDEAL $)]]</f>
        <v>-2086200</v>
      </c>
    </row>
    <row r="1004" spans="1:22" customFormat="1" x14ac:dyDescent="0.25">
      <c r="A1004" s="306" t="s">
        <v>17482</v>
      </c>
      <c r="B1004" s="306" t="s">
        <v>393</v>
      </c>
      <c r="C1004" s="306" t="s">
        <v>2</v>
      </c>
      <c r="D1004" s="26">
        <v>4</v>
      </c>
      <c r="E1004" s="312" t="s">
        <v>2729</v>
      </c>
      <c r="F1004" s="306" t="str">
        <f>VLOOKUP(Table24[[#This Row],[Country]],Table10[[COUNTRY NAME]:[CONTINENT CODE]],3,FALSE)</f>
        <v>EU</v>
      </c>
      <c r="G1004" s="312" t="s">
        <v>11102</v>
      </c>
      <c r="H1004" s="309">
        <v>8614</v>
      </c>
      <c r="I1004" s="310">
        <v>21</v>
      </c>
      <c r="J1004" s="307">
        <v>217810395</v>
      </c>
      <c r="K1004" s="307">
        <f>IFERROR(Table24[[#This Row],[ROUTE COST]]/Table24[[#This Row],[O - DEMAND]],0)</f>
        <v>62535.284237726097</v>
      </c>
      <c r="L1004" s="306">
        <v>3483</v>
      </c>
      <c r="M1004" s="310">
        <f>Table24[[#This Row],[O - DEMAND]]/950</f>
        <v>3.6663157894736842</v>
      </c>
      <c r="N1004" s="306">
        <f>IFERROR(VLOOKUP(Table24[[#This Row],[ROUTE]],DEMAND!A:F,5,FALSE),0)</f>
        <v>3704</v>
      </c>
      <c r="O1004" s="306">
        <f>IFERROR(VLOOKUP(Table24[[#This Row],[ROUTE]],DEMAND!A:F,6,FALSE),0)</f>
        <v>854</v>
      </c>
      <c r="P1004" s="306">
        <f>ROUNDDOWN(Table24[[#This Row],[R-DEMAND]]/950,0)</f>
        <v>0</v>
      </c>
      <c r="Q1004" s="306">
        <f>Table24[[#This Row],[ADD ACC
(475/950)]]*Table24[[#This Row],[Duration
(A359)]]</f>
        <v>0</v>
      </c>
      <c r="R1004" s="307">
        <f>IFERROR(VLOOKUP(Table24[[#This Row],[ROUTE]],PRICING!A:B,2,FALSE),0)</f>
        <v>2259</v>
      </c>
      <c r="S1004" s="308">
        <f>Table24[[#This Row],[C_DEMAND]]-Table24[[#This Row],[R-DEMAND]]</f>
        <v>2850</v>
      </c>
      <c r="T1004" s="307">
        <f>Table24[[#This Row],[SEATS SOLD]]*Table24[[#This Row],[ECO SEAT]]</f>
        <v>6438150</v>
      </c>
      <c r="U1004" s="307">
        <f>Table24[[#This Row],[SEATS SOLD]]*(IFERROR(VLOOKUP(Table24[[#This Row],[ROUTE]],PRICING!A:C,3,FALSE),0))</f>
        <v>7951500</v>
      </c>
      <c r="V1004" s="307">
        <f>Table24[[#This Row],[SEAT REV]]-Table24[[#This Row],[SEAT REV
(IF IDEAL $)]]</f>
        <v>-1513350</v>
      </c>
    </row>
    <row r="1005" spans="1:22" customFormat="1" x14ac:dyDescent="0.25">
      <c r="A1005" s="306" t="s">
        <v>18072</v>
      </c>
      <c r="B1005" s="306" t="s">
        <v>3251</v>
      </c>
      <c r="C1005" s="306" t="s">
        <v>2</v>
      </c>
      <c r="D1005" s="26">
        <v>2</v>
      </c>
      <c r="E1005" s="312" t="s">
        <v>1144</v>
      </c>
      <c r="F1005" s="306" t="str">
        <f>VLOOKUP(Table24[[#This Row],[Country]],Table10[[COUNTRY NAME]:[CONTINENT CODE]],3,FALSE)</f>
        <v>SA</v>
      </c>
      <c r="G1005" s="312" t="s">
        <v>13152</v>
      </c>
      <c r="H1005" s="309">
        <v>4540</v>
      </c>
      <c r="I1005" s="310">
        <v>12</v>
      </c>
      <c r="J1005" s="307">
        <v>146100675</v>
      </c>
      <c r="K1005" s="307">
        <f>IFERROR(Table24[[#This Row],[ROUTE COST]]/Table24[[#This Row],[O - DEMAND]],0)</f>
        <v>55362.135278514586</v>
      </c>
      <c r="L1005" s="306">
        <v>2639</v>
      </c>
      <c r="M1005" s="310">
        <f>Table24[[#This Row],[O - DEMAND]]/950</f>
        <v>2.7778947368421054</v>
      </c>
      <c r="N1005" s="306">
        <f>IFERROR(VLOOKUP(Table24[[#This Row],[ROUTE]],DEMAND!A:F,5,FALSE),0)</f>
        <v>2754</v>
      </c>
      <c r="O1005" s="306">
        <f>IFERROR(VLOOKUP(Table24[[#This Row],[ROUTE]],DEMAND!A:F,6,FALSE),0)</f>
        <v>854</v>
      </c>
      <c r="P1005" s="306">
        <f>ROUNDDOWN(Table24[[#This Row],[R-DEMAND]]/950,0)</f>
        <v>0</v>
      </c>
      <c r="Q1005" s="306">
        <f>Table24[[#This Row],[ADD ACC
(475/950)]]*Table24[[#This Row],[Duration
(A359)]]</f>
        <v>0</v>
      </c>
      <c r="R1005" s="307">
        <f>IFERROR(VLOOKUP(Table24[[#This Row],[ROUTE]],PRICING!A:B,2,FALSE),0)</f>
        <v>1328</v>
      </c>
      <c r="S1005" s="308">
        <f>Table24[[#This Row],[C_DEMAND]]-Table24[[#This Row],[R-DEMAND]]</f>
        <v>1900</v>
      </c>
      <c r="T1005" s="307">
        <f>Table24[[#This Row],[SEATS SOLD]]*Table24[[#This Row],[ECO SEAT]]</f>
        <v>2523200</v>
      </c>
      <c r="U1005" s="307">
        <f>Table24[[#This Row],[SEATS SOLD]]*(IFERROR(VLOOKUP(Table24[[#This Row],[ROUTE]],PRICING!A:C,3,FALSE),0))</f>
        <v>2901300</v>
      </c>
      <c r="V1005" s="307">
        <f>Table24[[#This Row],[SEAT REV]]-Table24[[#This Row],[SEAT REV
(IF IDEAL $)]]</f>
        <v>-378100</v>
      </c>
    </row>
    <row r="1006" spans="1:22" customFormat="1" x14ac:dyDescent="0.25">
      <c r="A1006" s="306" t="s">
        <v>17285</v>
      </c>
      <c r="B1006" s="306" t="s">
        <v>232</v>
      </c>
      <c r="C1006" s="306" t="s">
        <v>2</v>
      </c>
      <c r="D1006" s="26">
        <v>3</v>
      </c>
      <c r="E1006" s="312" t="s">
        <v>567</v>
      </c>
      <c r="F1006" s="306" t="str">
        <f>VLOOKUP(Table24[[#This Row],[Country]],Table10[[COUNTRY NAME]:[CONTINENT CODE]],3,FALSE)</f>
        <v>AS</v>
      </c>
      <c r="G1006" s="312" t="s">
        <v>12000</v>
      </c>
      <c r="H1006" s="309">
        <v>12843</v>
      </c>
      <c r="I1006" s="310">
        <v>30.25</v>
      </c>
      <c r="J1006" s="307">
        <v>246069605</v>
      </c>
      <c r="K1006" s="307">
        <f>IFERROR(Table24[[#This Row],[ROUTE COST]]/Table24[[#This Row],[O - DEMAND]],0)</f>
        <v>70729.98131647025</v>
      </c>
      <c r="L1006" s="306">
        <v>3479</v>
      </c>
      <c r="M1006" s="310">
        <f>Table24[[#This Row],[O - DEMAND]]/950</f>
        <v>3.6621052631578945</v>
      </c>
      <c r="N1006" s="306">
        <f>IFERROR(VLOOKUP(Table24[[#This Row],[ROUTE]],DEMAND!A:F,5,FALSE),0)</f>
        <v>3711</v>
      </c>
      <c r="O1006" s="306">
        <f>IFERROR(VLOOKUP(Table24[[#This Row],[ROUTE]],DEMAND!A:F,6,FALSE),0)</f>
        <v>861</v>
      </c>
      <c r="P1006" s="306">
        <f>ROUNDDOWN(Table24[[#This Row],[R-DEMAND]]/950,0)</f>
        <v>0</v>
      </c>
      <c r="Q1006" s="306">
        <f>Table24[[#This Row],[ADD ACC
(475/950)]]*Table24[[#This Row],[Duration
(A359)]]</f>
        <v>0</v>
      </c>
      <c r="R1006" s="307">
        <f>IFERROR(VLOOKUP(Table24[[#This Row],[ROUTE]],PRICING!A:B,2,FALSE),0)</f>
        <v>3280</v>
      </c>
      <c r="S1006" s="308">
        <f>Table24[[#This Row],[C_DEMAND]]-Table24[[#This Row],[R-DEMAND]]</f>
        <v>2850</v>
      </c>
      <c r="T1006" s="307">
        <f>Table24[[#This Row],[SEATS SOLD]]*Table24[[#This Row],[ECO SEAT]]</f>
        <v>9348000</v>
      </c>
      <c r="U1006" s="307">
        <f>Table24[[#This Row],[SEATS SOLD]]*(IFERROR(VLOOKUP(Table24[[#This Row],[ROUTE]],PRICING!A:C,3,FALSE),0))</f>
        <v>11687850</v>
      </c>
      <c r="V1006" s="307">
        <f>Table24[[#This Row],[SEAT REV]]-Table24[[#This Row],[SEAT REV
(IF IDEAL $)]]</f>
        <v>-2339850</v>
      </c>
    </row>
    <row r="1007" spans="1:22" customFormat="1" x14ac:dyDescent="0.25">
      <c r="A1007" s="306" t="s">
        <v>17523</v>
      </c>
      <c r="B1007" s="306" t="s">
        <v>5219</v>
      </c>
      <c r="C1007" s="306" t="s">
        <v>2</v>
      </c>
      <c r="D1007" s="26">
        <v>3</v>
      </c>
      <c r="E1007" s="312" t="s">
        <v>597</v>
      </c>
      <c r="F1007" s="306" t="str">
        <f>VLOOKUP(Table24[[#This Row],[Country]],Table10[[COUNTRY NAME]:[CONTINENT CODE]],3,FALSE)</f>
        <v>EU</v>
      </c>
      <c r="G1007" s="312" t="s">
        <v>11851</v>
      </c>
      <c r="H1007" s="309">
        <v>9680</v>
      </c>
      <c r="I1007" s="310">
        <v>23.5</v>
      </c>
      <c r="J1007" s="307">
        <v>218855119</v>
      </c>
      <c r="K1007" s="307">
        <f>IFERROR(Table24[[#This Row],[ROUTE COST]]/Table24[[#This Row],[O - DEMAND]],0)</f>
        <v>83214.87414448669</v>
      </c>
      <c r="L1007" s="306">
        <v>2630</v>
      </c>
      <c r="M1007" s="310">
        <f>Table24[[#This Row],[O - DEMAND]]/950</f>
        <v>2.7684210526315791</v>
      </c>
      <c r="N1007" s="306">
        <f>IFERROR(VLOOKUP(Table24[[#This Row],[ROUTE]],DEMAND!A:F,5,FALSE),0)</f>
        <v>2761</v>
      </c>
      <c r="O1007" s="306">
        <f>IFERROR(VLOOKUP(Table24[[#This Row],[ROUTE]],DEMAND!A:F,6,FALSE),0)</f>
        <v>861</v>
      </c>
      <c r="P1007" s="306">
        <f>ROUNDDOWN(Table24[[#This Row],[R-DEMAND]]/950,0)</f>
        <v>0</v>
      </c>
      <c r="Q1007" s="306">
        <f>Table24[[#This Row],[ADD ACC
(475/950)]]*Table24[[#This Row],[Duration
(A359)]]</f>
        <v>0</v>
      </c>
      <c r="R1007" s="307">
        <f>IFERROR(VLOOKUP(Table24[[#This Row],[ROUTE]],PRICING!A:B,2,FALSE),0)</f>
        <v>2652</v>
      </c>
      <c r="S1007" s="308">
        <f>Table24[[#This Row],[C_DEMAND]]-Table24[[#This Row],[R-DEMAND]]</f>
        <v>1900</v>
      </c>
      <c r="T1007" s="307">
        <f>Table24[[#This Row],[SEATS SOLD]]*Table24[[#This Row],[ECO SEAT]]</f>
        <v>5038800</v>
      </c>
      <c r="U1007" s="307">
        <f>Table24[[#This Row],[SEATS SOLD]]*(IFERROR(VLOOKUP(Table24[[#This Row],[ROUTE]],PRICING!A:C,3,FALSE),0))</f>
        <v>5928000</v>
      </c>
      <c r="V1007" s="307">
        <f>Table24[[#This Row],[SEAT REV]]-Table24[[#This Row],[SEAT REV
(IF IDEAL $)]]</f>
        <v>-889200</v>
      </c>
    </row>
    <row r="1008" spans="1:22" customFormat="1" x14ac:dyDescent="0.25">
      <c r="A1008" s="306" t="s">
        <v>17186</v>
      </c>
      <c r="B1008" s="306" t="s">
        <v>5304</v>
      </c>
      <c r="C1008" s="306" t="s">
        <v>2</v>
      </c>
      <c r="D1008" s="26">
        <v>3</v>
      </c>
      <c r="E1008" s="312" t="s">
        <v>971</v>
      </c>
      <c r="F1008" s="306" t="str">
        <f>VLOOKUP(Table24[[#This Row],[Country]],Table10[[COUNTRY NAME]:[CONTINENT CODE]],3,FALSE)</f>
        <v>AF</v>
      </c>
      <c r="G1008" s="312" t="s">
        <v>11775</v>
      </c>
      <c r="H1008" s="309">
        <v>8206</v>
      </c>
      <c r="I1008" s="310">
        <v>20.25</v>
      </c>
      <c r="J1008" s="307">
        <v>205720437</v>
      </c>
      <c r="K1008" s="307">
        <f>IFERROR(Table24[[#This Row],[ROUTE COST]]/Table24[[#This Row],[O - DEMAND]],0)</f>
        <v>57965.747252747249</v>
      </c>
      <c r="L1008" s="306">
        <v>3549</v>
      </c>
      <c r="M1008" s="310">
        <f>Table24[[#This Row],[O - DEMAND]]/950</f>
        <v>3.7357894736842105</v>
      </c>
      <c r="N1008" s="306">
        <f>IFERROR(VLOOKUP(Table24[[#This Row],[ROUTE]],DEMAND!A:F,5,FALSE),0)</f>
        <v>3714</v>
      </c>
      <c r="O1008" s="306">
        <f>IFERROR(VLOOKUP(Table24[[#This Row],[ROUTE]],DEMAND!A:F,6,FALSE),0)</f>
        <v>864</v>
      </c>
      <c r="P1008" s="306">
        <f>ROUNDDOWN(Table24[[#This Row],[R-DEMAND]]/950,0)</f>
        <v>0</v>
      </c>
      <c r="Q1008" s="306">
        <f>Table24[[#This Row],[ADD ACC
(475/950)]]*Table24[[#This Row],[Duration
(A359)]]</f>
        <v>0</v>
      </c>
      <c r="R1008" s="307">
        <f>IFERROR(VLOOKUP(Table24[[#This Row],[ROUTE]],PRICING!A:B,2,FALSE),0)</f>
        <v>2290</v>
      </c>
      <c r="S1008" s="308">
        <f>Table24[[#This Row],[C_DEMAND]]-Table24[[#This Row],[R-DEMAND]]</f>
        <v>2850</v>
      </c>
      <c r="T1008" s="307">
        <f>Table24[[#This Row],[SEATS SOLD]]*Table24[[#This Row],[ECO SEAT]]</f>
        <v>6526500</v>
      </c>
      <c r="U1008" s="307">
        <f>Table24[[#This Row],[SEATS SOLD]]*(IFERROR(VLOOKUP(Table24[[#This Row],[ROUTE]],PRICING!A:C,3,FALSE),0))</f>
        <v>7589550</v>
      </c>
      <c r="V1008" s="307">
        <f>Table24[[#This Row],[SEAT REV]]-Table24[[#This Row],[SEAT REV
(IF IDEAL $)]]</f>
        <v>-1063050</v>
      </c>
    </row>
    <row r="1009" spans="1:22" customFormat="1" x14ac:dyDescent="0.25">
      <c r="A1009" s="306" t="s">
        <v>17294</v>
      </c>
      <c r="B1009" s="306" t="s">
        <v>5430</v>
      </c>
      <c r="C1009" s="306" t="s">
        <v>2</v>
      </c>
      <c r="D1009" s="26">
        <v>3</v>
      </c>
      <c r="E1009" s="312" t="s">
        <v>5428</v>
      </c>
      <c r="F1009" s="306" t="str">
        <f>VLOOKUP(Table24[[#This Row],[Country]],Table10[[COUNTRY NAME]:[CONTINENT CODE]],3,FALSE)</f>
        <v>AS</v>
      </c>
      <c r="G1009" s="312" t="s">
        <v>11956</v>
      </c>
      <c r="H1009" s="309">
        <v>12092</v>
      </c>
      <c r="I1009" s="310">
        <v>28.75</v>
      </c>
      <c r="J1009" s="307">
        <v>249029036</v>
      </c>
      <c r="K1009" s="307">
        <f>IFERROR(Table24[[#This Row],[ROUTE COST]]/Table24[[#This Row],[O - DEMAND]],0)</f>
        <v>71457.399139167857</v>
      </c>
      <c r="L1009" s="306">
        <v>3485</v>
      </c>
      <c r="M1009" s="310">
        <f>Table24[[#This Row],[O - DEMAND]]/950</f>
        <v>3.668421052631579</v>
      </c>
      <c r="N1009" s="306">
        <f>IFERROR(VLOOKUP(Table24[[#This Row],[ROUTE]],DEMAND!A:F,5,FALSE),0)</f>
        <v>3717</v>
      </c>
      <c r="O1009" s="306">
        <f>IFERROR(VLOOKUP(Table24[[#This Row],[ROUTE]],DEMAND!A:F,6,FALSE),0)</f>
        <v>867</v>
      </c>
      <c r="P1009" s="306">
        <f>ROUNDDOWN(Table24[[#This Row],[R-DEMAND]]/950,0)</f>
        <v>0</v>
      </c>
      <c r="Q1009" s="306">
        <f>Table24[[#This Row],[ADD ACC
(475/950)]]*Table24[[#This Row],[Duration
(A359)]]</f>
        <v>0</v>
      </c>
      <c r="R1009" s="307">
        <f>IFERROR(VLOOKUP(Table24[[#This Row],[ROUTE]],PRICING!A:B,2,FALSE),0)</f>
        <v>3094</v>
      </c>
      <c r="S1009" s="308">
        <f>Table24[[#This Row],[C_DEMAND]]-Table24[[#This Row],[R-DEMAND]]</f>
        <v>2850</v>
      </c>
      <c r="T1009" s="307">
        <f>Table24[[#This Row],[SEATS SOLD]]*Table24[[#This Row],[ECO SEAT]]</f>
        <v>8817900</v>
      </c>
      <c r="U1009" s="307">
        <f>Table24[[#This Row],[SEATS SOLD]]*(IFERROR(VLOOKUP(Table24[[#This Row],[ROUTE]],PRICING!A:C,3,FALSE),0))</f>
        <v>11023800</v>
      </c>
      <c r="V1009" s="307">
        <f>Table24[[#This Row],[SEAT REV]]-Table24[[#This Row],[SEAT REV
(IF IDEAL $)]]</f>
        <v>-2205900</v>
      </c>
    </row>
    <row r="1010" spans="1:22" customFormat="1" x14ac:dyDescent="0.25">
      <c r="A1010" s="306" t="s">
        <v>17497</v>
      </c>
      <c r="B1010" s="306" t="s">
        <v>295</v>
      </c>
      <c r="C1010" s="306" t="s">
        <v>2</v>
      </c>
      <c r="D1010" s="26">
        <v>4</v>
      </c>
      <c r="E1010" s="312" t="s">
        <v>1674</v>
      </c>
      <c r="F1010" s="306" t="str">
        <f>VLOOKUP(Table24[[#This Row],[Country]],Table10[[COUNTRY NAME]:[CONTINENT CODE]],3,FALSE)</f>
        <v>EU</v>
      </c>
      <c r="G1010" s="312" t="s">
        <v>11084</v>
      </c>
      <c r="H1010" s="309">
        <v>7650</v>
      </c>
      <c r="I1010" s="310">
        <v>19</v>
      </c>
      <c r="J1010" s="307">
        <v>213550668</v>
      </c>
      <c r="K1010" s="307">
        <f>IFERROR(Table24[[#This Row],[ROUTE COST]]/Table24[[#This Row],[O - DEMAND]],0)</f>
        <v>79772.382517743739</v>
      </c>
      <c r="L1010" s="306">
        <v>2677</v>
      </c>
      <c r="M1010" s="310">
        <f>Table24[[#This Row],[O - DEMAND]]/950</f>
        <v>2.8178947368421055</v>
      </c>
      <c r="N1010" s="306">
        <f>IFERROR(VLOOKUP(Table24[[#This Row],[ROUTE]],DEMAND!A:F,5,FALSE),0)</f>
        <v>2767</v>
      </c>
      <c r="O1010" s="306">
        <f>IFERROR(VLOOKUP(Table24[[#This Row],[ROUTE]],DEMAND!A:F,6,FALSE),0)</f>
        <v>867</v>
      </c>
      <c r="P1010" s="306">
        <f>ROUNDDOWN(Table24[[#This Row],[R-DEMAND]]/950,0)</f>
        <v>0</v>
      </c>
      <c r="Q1010" s="306">
        <f>Table24[[#This Row],[ADD ACC
(475/950)]]*Table24[[#This Row],[Duration
(A359)]]</f>
        <v>0</v>
      </c>
      <c r="R1010" s="307">
        <f>IFERROR(VLOOKUP(Table24[[#This Row],[ROUTE]],PRICING!A:B,2,FALSE),0)</f>
        <v>2241</v>
      </c>
      <c r="S1010" s="308">
        <f>Table24[[#This Row],[C_DEMAND]]-Table24[[#This Row],[R-DEMAND]]</f>
        <v>1900</v>
      </c>
      <c r="T1010" s="307">
        <f>Table24[[#This Row],[SEATS SOLD]]*Table24[[#This Row],[ECO SEAT]]</f>
        <v>4257900</v>
      </c>
      <c r="U1010" s="307">
        <f>Table24[[#This Row],[SEATS SOLD]]*(IFERROR(VLOOKUP(Table24[[#This Row],[ROUTE]],PRICING!A:C,3,FALSE),0))</f>
        <v>4732900</v>
      </c>
      <c r="V1010" s="307">
        <f>Table24[[#This Row],[SEAT REV]]-Table24[[#This Row],[SEAT REV
(IF IDEAL $)]]</f>
        <v>-475000</v>
      </c>
    </row>
    <row r="1011" spans="1:22" customFormat="1" x14ac:dyDescent="0.25">
      <c r="A1011" s="306" t="s">
        <v>17857</v>
      </c>
      <c r="B1011" s="306" t="s">
        <v>5493</v>
      </c>
      <c r="C1011" s="306" t="s">
        <v>2</v>
      </c>
      <c r="D1011" s="26">
        <v>4</v>
      </c>
      <c r="E1011" s="312" t="s">
        <v>11732</v>
      </c>
      <c r="F1011" s="306" t="str">
        <f>VLOOKUP(Table24[[#This Row],[Country]],Table10[[COUNTRY NAME]:[CONTINENT CODE]],3,FALSE)</f>
        <v>NA - US</v>
      </c>
      <c r="G1011" s="312" t="s">
        <v>16991</v>
      </c>
      <c r="H1011" s="309">
        <v>2916</v>
      </c>
      <c r="I1011" s="310">
        <v>8.5</v>
      </c>
      <c r="J1011" s="307">
        <v>160867740</v>
      </c>
      <c r="K1011" s="307">
        <f>IFERROR(Table24[[#This Row],[ROUTE COST]]/Table24[[#This Row],[O - DEMAND]],0)</f>
        <v>60092.543892416885</v>
      </c>
      <c r="L1011" s="306">
        <v>2677</v>
      </c>
      <c r="M1011" s="310">
        <f>Table24[[#This Row],[O - DEMAND]]/950</f>
        <v>2.8178947368421055</v>
      </c>
      <c r="N1011" s="306">
        <f>IFERROR(VLOOKUP(Table24[[#This Row],[ROUTE]],DEMAND!A:F,5,FALSE),0)</f>
        <v>2767</v>
      </c>
      <c r="O1011" s="306">
        <f>IFERROR(VLOOKUP(Table24[[#This Row],[ROUTE]],DEMAND!A:F,6,FALSE),0)</f>
        <v>867</v>
      </c>
      <c r="P1011" s="306">
        <f>ROUNDDOWN(Table24[[#This Row],[R-DEMAND]]/950,0)</f>
        <v>0</v>
      </c>
      <c r="Q1011" s="306">
        <f>Table24[[#This Row],[ADD ACC
(475/950)]]*Table24[[#This Row],[Duration
(A359)]]</f>
        <v>0</v>
      </c>
      <c r="R1011" s="307">
        <f>IFERROR(VLOOKUP(Table24[[#This Row],[ROUTE]],PRICING!A:B,2,FALSE),0)</f>
        <v>920</v>
      </c>
      <c r="S1011" s="308">
        <f>Table24[[#This Row],[C_DEMAND]]-Table24[[#This Row],[R-DEMAND]]</f>
        <v>1900</v>
      </c>
      <c r="T1011" s="307">
        <f>Table24[[#This Row],[SEATS SOLD]]*Table24[[#This Row],[ECO SEAT]]</f>
        <v>1748000</v>
      </c>
      <c r="U1011" s="307">
        <f>Table24[[#This Row],[SEATS SOLD]]*(IFERROR(VLOOKUP(Table24[[#This Row],[ROUTE]],PRICING!A:C,3,FALSE),0))</f>
        <v>1943700</v>
      </c>
      <c r="V1011" s="307">
        <f>Table24[[#This Row],[SEAT REV]]-Table24[[#This Row],[SEAT REV
(IF IDEAL $)]]</f>
        <v>-195700</v>
      </c>
    </row>
    <row r="1012" spans="1:22" customFormat="1" x14ac:dyDescent="0.25">
      <c r="A1012" s="306" t="s">
        <v>17140</v>
      </c>
      <c r="B1012" s="306" t="s">
        <v>3941</v>
      </c>
      <c r="C1012" s="306" t="s">
        <v>2</v>
      </c>
      <c r="D1012" s="26">
        <v>2</v>
      </c>
      <c r="E1012" s="312" t="s">
        <v>2527</v>
      </c>
      <c r="F1012" s="306" t="str">
        <f>VLOOKUP(Table24[[#This Row],[Country]],Table10[[COUNTRY NAME]:[CONTINENT CODE]],3,FALSE)</f>
        <v>AF</v>
      </c>
      <c r="G1012" s="312" t="s">
        <v>11929</v>
      </c>
      <c r="H1012" s="309">
        <v>11915</v>
      </c>
      <c r="I1012" s="310">
        <v>28.25</v>
      </c>
      <c r="J1012" s="307">
        <v>228134318</v>
      </c>
      <c r="K1012" s="307">
        <f>IFERROR(Table24[[#This Row],[ROUTE COST]]/Table24[[#This Row],[O - DEMAND]],0)</f>
        <v>50979.735865921786</v>
      </c>
      <c r="L1012" s="306">
        <v>4475</v>
      </c>
      <c r="M1012" s="310">
        <f>Table24[[#This Row],[O - DEMAND]]/950</f>
        <v>4.7105263157894735</v>
      </c>
      <c r="N1012" s="306">
        <f>IFERROR(VLOOKUP(Table24[[#This Row],[ROUTE]],DEMAND!A:F,5,FALSE),0)</f>
        <v>4669</v>
      </c>
      <c r="O1012" s="306">
        <f>IFERROR(VLOOKUP(Table24[[#This Row],[ROUTE]],DEMAND!A:F,6,FALSE),0)</f>
        <v>869</v>
      </c>
      <c r="P1012" s="306">
        <f>ROUNDDOWN(Table24[[#This Row],[R-DEMAND]]/950,0)</f>
        <v>0</v>
      </c>
      <c r="Q1012" s="306">
        <f>Table24[[#This Row],[ADD ACC
(475/950)]]*Table24[[#This Row],[Duration
(A359)]]</f>
        <v>0</v>
      </c>
      <c r="R1012" s="307">
        <f>IFERROR(VLOOKUP(Table24[[#This Row],[ROUTE]],PRICING!A:B,2,FALSE),0)</f>
        <v>3317</v>
      </c>
      <c r="S1012" s="308">
        <f>Table24[[#This Row],[C_DEMAND]]-Table24[[#This Row],[R-DEMAND]]</f>
        <v>3800</v>
      </c>
      <c r="T1012" s="307">
        <f>Table24[[#This Row],[SEATS SOLD]]*Table24[[#This Row],[ECO SEAT]]</f>
        <v>12604600</v>
      </c>
      <c r="U1012" s="307">
        <f>Table24[[#This Row],[SEATS SOLD]]*(IFERROR(VLOOKUP(Table24[[#This Row],[ROUTE]],PRICING!A:C,3,FALSE),0))</f>
        <v>14489400</v>
      </c>
      <c r="V1012" s="307">
        <f>Table24[[#This Row],[SEAT REV]]-Table24[[#This Row],[SEAT REV
(IF IDEAL $)]]</f>
        <v>-1884800</v>
      </c>
    </row>
    <row r="1013" spans="1:22" customFormat="1" x14ac:dyDescent="0.25">
      <c r="A1013" s="306" t="s">
        <v>17270</v>
      </c>
      <c r="B1013" s="306" t="s">
        <v>5159</v>
      </c>
      <c r="C1013" s="306" t="s">
        <v>2</v>
      </c>
      <c r="D1013" s="26">
        <v>3</v>
      </c>
      <c r="E1013" s="312" t="s">
        <v>1070</v>
      </c>
      <c r="F1013" s="306" t="str">
        <f>VLOOKUP(Table24[[#This Row],[Country]],Table10[[COUNTRY NAME]:[CONTINENT CODE]],3,FALSE)</f>
        <v>AS</v>
      </c>
      <c r="G1013" s="312" t="s">
        <v>16827</v>
      </c>
      <c r="H1013" s="309">
        <v>13796</v>
      </c>
      <c r="I1013" s="310">
        <v>32.5</v>
      </c>
      <c r="J1013" s="307">
        <v>258966269</v>
      </c>
      <c r="K1013" s="307">
        <f>IFERROR(Table24[[#This Row],[ROUTE COST]]/Table24[[#This Row],[O - DEMAND]],0)</f>
        <v>57843.70538306902</v>
      </c>
      <c r="L1013" s="306">
        <v>4477</v>
      </c>
      <c r="M1013" s="310">
        <f>Table24[[#This Row],[O - DEMAND]]/950</f>
        <v>4.7126315789473683</v>
      </c>
      <c r="N1013" s="306">
        <f>IFERROR(VLOOKUP(Table24[[#This Row],[ROUTE]],DEMAND!A:F,5,FALSE),0)</f>
        <v>4671</v>
      </c>
      <c r="O1013" s="306">
        <f>IFERROR(VLOOKUP(Table24[[#This Row],[ROUTE]],DEMAND!A:F,6,FALSE),0)</f>
        <v>871</v>
      </c>
      <c r="P1013" s="306">
        <f>ROUNDDOWN(Table24[[#This Row],[R-DEMAND]]/950,0)</f>
        <v>0</v>
      </c>
      <c r="Q1013" s="306">
        <f>Table24[[#This Row],[ADD ACC
(475/950)]]*Table24[[#This Row],[Duration
(A359)]]</f>
        <v>0</v>
      </c>
      <c r="R1013" s="307">
        <f>IFERROR(VLOOKUP(Table24[[#This Row],[ROUTE]],PRICING!A:B,2,FALSE),0)</f>
        <v>3824</v>
      </c>
      <c r="S1013" s="308">
        <f>Table24[[#This Row],[C_DEMAND]]-Table24[[#This Row],[R-DEMAND]]</f>
        <v>3800</v>
      </c>
      <c r="T1013" s="307">
        <f>Table24[[#This Row],[SEATS SOLD]]*Table24[[#This Row],[ECO SEAT]]</f>
        <v>14531200</v>
      </c>
      <c r="U1013" s="307">
        <f>Table24[[#This Row],[SEATS SOLD]]*(IFERROR(VLOOKUP(Table24[[#This Row],[ROUTE]],PRICING!A:C,3,FALSE),0))</f>
        <v>16704800</v>
      </c>
      <c r="V1013" s="307">
        <f>Table24[[#This Row],[SEAT REV]]-Table24[[#This Row],[SEAT REV
(IF IDEAL $)]]</f>
        <v>-2173600</v>
      </c>
    </row>
    <row r="1014" spans="1:22" customFormat="1" x14ac:dyDescent="0.25">
      <c r="A1014" s="306" t="s">
        <v>17549</v>
      </c>
      <c r="B1014" s="306" t="s">
        <v>4822</v>
      </c>
      <c r="C1014" s="306" t="s">
        <v>2</v>
      </c>
      <c r="D1014" s="26">
        <v>3</v>
      </c>
      <c r="E1014" s="312" t="s">
        <v>992</v>
      </c>
      <c r="F1014" s="306" t="str">
        <f>VLOOKUP(Table24[[#This Row],[Country]],Table10[[COUNTRY NAME]:[CONTINENT CODE]],3,FALSE)</f>
        <v>EU</v>
      </c>
      <c r="G1014" s="312" t="s">
        <v>11794</v>
      </c>
      <c r="H1014" s="309">
        <v>8286</v>
      </c>
      <c r="I1014" s="310">
        <v>20.25</v>
      </c>
      <c r="J1014" s="307">
        <v>197729048</v>
      </c>
      <c r="K1014" s="307">
        <f>IFERROR(Table24[[#This Row],[ROUTE COST]]/Table24[[#This Row],[O - DEMAND]],0)</f>
        <v>73972.707818930037</v>
      </c>
      <c r="L1014" s="306">
        <v>2673</v>
      </c>
      <c r="M1014" s="310">
        <f>Table24[[#This Row],[O - DEMAND]]/950</f>
        <v>2.8136842105263158</v>
      </c>
      <c r="N1014" s="306">
        <f>IFERROR(VLOOKUP(Table24[[#This Row],[ROUTE]],DEMAND!A:F,5,FALSE),0)</f>
        <v>2771</v>
      </c>
      <c r="O1014" s="306">
        <f>IFERROR(VLOOKUP(Table24[[#This Row],[ROUTE]],DEMAND!A:F,6,FALSE),0)</f>
        <v>871</v>
      </c>
      <c r="P1014" s="306">
        <f>ROUNDDOWN(Table24[[#This Row],[R-DEMAND]]/950,0)</f>
        <v>0</v>
      </c>
      <c r="Q1014" s="306">
        <f>Table24[[#This Row],[ADD ACC
(475/950)]]*Table24[[#This Row],[Duration
(A359)]]</f>
        <v>0</v>
      </c>
      <c r="R1014" s="307">
        <f>IFERROR(VLOOKUP(Table24[[#This Row],[ROUTE]],PRICING!A:B,2,FALSE),0)</f>
        <v>2392</v>
      </c>
      <c r="S1014" s="308">
        <f>Table24[[#This Row],[C_DEMAND]]-Table24[[#This Row],[R-DEMAND]]</f>
        <v>1900</v>
      </c>
      <c r="T1014" s="307">
        <f>Table24[[#This Row],[SEATS SOLD]]*Table24[[#This Row],[ECO SEAT]]</f>
        <v>4544800</v>
      </c>
      <c r="U1014" s="307">
        <f>Table24[[#This Row],[SEATS SOLD]]*(IFERROR(VLOOKUP(Table24[[#This Row],[ROUTE]],PRICING!A:C,3,FALSE),0))</f>
        <v>5107200</v>
      </c>
      <c r="V1014" s="307">
        <f>Table24[[#This Row],[SEAT REV]]-Table24[[#This Row],[SEAT REV
(IF IDEAL $)]]</f>
        <v>-562400</v>
      </c>
    </row>
    <row r="1015" spans="1:22" customFormat="1" x14ac:dyDescent="0.25">
      <c r="A1015" s="306" t="s">
        <v>17740</v>
      </c>
      <c r="B1015" s="306" t="s">
        <v>5616</v>
      </c>
      <c r="C1015" s="306" t="s">
        <v>2</v>
      </c>
      <c r="D1015" s="26">
        <v>4</v>
      </c>
      <c r="E1015" s="312" t="s">
        <v>1749</v>
      </c>
      <c r="F1015" s="306" t="str">
        <f>VLOOKUP(Table24[[#This Row],[Country]],Table10[[COUNTRY NAME]:[CONTINENT CODE]],3,FALSE)</f>
        <v>NA</v>
      </c>
      <c r="G1015" s="312" t="s">
        <v>13229</v>
      </c>
      <c r="H1015" s="309">
        <v>1549</v>
      </c>
      <c r="I1015" s="310">
        <v>5.5</v>
      </c>
      <c r="J1015" s="307">
        <v>152133511</v>
      </c>
      <c r="K1015" s="307">
        <f>IFERROR(Table24[[#This Row],[ROUTE COST]]/Table24[[#This Row],[O - DEMAND]],0)</f>
        <v>43616.258887614676</v>
      </c>
      <c r="L1015" s="306">
        <v>3488</v>
      </c>
      <c r="M1015" s="310">
        <f>Table24[[#This Row],[O - DEMAND]]/950</f>
        <v>3.6715789473684208</v>
      </c>
      <c r="N1015" s="306">
        <f>IFERROR(VLOOKUP(Table24[[#This Row],[ROUTE]],DEMAND!A:F,5,FALSE),0)</f>
        <v>3721</v>
      </c>
      <c r="O1015" s="306">
        <f>IFERROR(VLOOKUP(Table24[[#This Row],[ROUTE]],DEMAND!A:F,6,FALSE),0)</f>
        <v>871</v>
      </c>
      <c r="P1015" s="306">
        <f>ROUNDDOWN(Table24[[#This Row],[R-DEMAND]]/950,0)</f>
        <v>0</v>
      </c>
      <c r="Q1015" s="306">
        <f>Table24[[#This Row],[ADD ACC
(475/950)]]*Table24[[#This Row],[Duration
(A359)]]</f>
        <v>0</v>
      </c>
      <c r="R1015" s="307">
        <f>IFERROR(VLOOKUP(Table24[[#This Row],[ROUTE]],PRICING!A:B,2,FALSE),0)</f>
        <v>480</v>
      </c>
      <c r="S1015" s="308">
        <f>Table24[[#This Row],[C_DEMAND]]-Table24[[#This Row],[R-DEMAND]]</f>
        <v>2850</v>
      </c>
      <c r="T1015" s="307">
        <f>Table24[[#This Row],[SEATS SOLD]]*Table24[[#This Row],[ECO SEAT]]</f>
        <v>1368000</v>
      </c>
      <c r="U1015" s="307">
        <f>Table24[[#This Row],[SEATS SOLD]]*(IFERROR(VLOOKUP(Table24[[#This Row],[ROUTE]],PRICING!A:C,3,FALSE),0))</f>
        <v>1710000</v>
      </c>
      <c r="V1015" s="307">
        <f>Table24[[#This Row],[SEAT REV]]-Table24[[#This Row],[SEAT REV
(IF IDEAL $)]]</f>
        <v>-342000</v>
      </c>
    </row>
    <row r="1016" spans="1:22" customFormat="1" x14ac:dyDescent="0.25">
      <c r="A1016" s="306" t="s">
        <v>17089</v>
      </c>
      <c r="B1016" s="306" t="s">
        <v>2490</v>
      </c>
      <c r="C1016" s="306" t="s">
        <v>2</v>
      </c>
      <c r="D1016" s="26">
        <v>1</v>
      </c>
      <c r="E1016" s="312" t="s">
        <v>881</v>
      </c>
      <c r="F1016" s="306" t="str">
        <f>VLOOKUP(Table24[[#This Row],[Country]],Table10[[COUNTRY NAME]:[CONTINENT CODE]],3,FALSE)</f>
        <v>AF</v>
      </c>
      <c r="G1016" s="312" t="s">
        <v>6783</v>
      </c>
      <c r="H1016" s="309">
        <v>10331</v>
      </c>
      <c r="I1016" s="310">
        <v>24.75</v>
      </c>
      <c r="J1016" s="307">
        <v>201814130</v>
      </c>
      <c r="K1016" s="307">
        <f>IFERROR(Table24[[#This Row],[ROUTE COST]]/Table24[[#This Row],[O - DEMAND]],0)</f>
        <v>56945.296275395034</v>
      </c>
      <c r="L1016" s="306">
        <v>3544</v>
      </c>
      <c r="M1016" s="310">
        <f>Table24[[#This Row],[O - DEMAND]]/950</f>
        <v>3.7305263157894735</v>
      </c>
      <c r="N1016" s="306">
        <f>IFERROR(VLOOKUP(Table24[[#This Row],[ROUTE]],DEMAND!A:F,5,FALSE),0)</f>
        <v>3722</v>
      </c>
      <c r="O1016" s="306">
        <f>IFERROR(VLOOKUP(Table24[[#This Row],[ROUTE]],DEMAND!A:F,6,FALSE),0)</f>
        <v>872</v>
      </c>
      <c r="P1016" s="306">
        <f>ROUNDDOWN(Table24[[#This Row],[R-DEMAND]]/950,0)</f>
        <v>0</v>
      </c>
      <c r="Q1016" s="306">
        <f>Table24[[#This Row],[ADD ACC
(475/950)]]*Table24[[#This Row],[Duration
(A359)]]</f>
        <v>0</v>
      </c>
      <c r="R1016" s="307">
        <f>IFERROR(VLOOKUP(Table24[[#This Row],[ROUTE]],PRICING!A:B,2,FALSE),0)</f>
        <v>2823</v>
      </c>
      <c r="S1016" s="308">
        <f>Table24[[#This Row],[C_DEMAND]]-Table24[[#This Row],[R-DEMAND]]</f>
        <v>2850</v>
      </c>
      <c r="T1016" s="307">
        <f>Table24[[#This Row],[SEATS SOLD]]*Table24[[#This Row],[ECO SEAT]]</f>
        <v>8045550</v>
      </c>
      <c r="U1016" s="307">
        <f>Table24[[#This Row],[SEATS SOLD]]*(IFERROR(VLOOKUP(Table24[[#This Row],[ROUTE]],PRICING!A:C,3,FALSE),0))</f>
        <v>9467700</v>
      </c>
      <c r="V1016" s="307">
        <f>Table24[[#This Row],[SEAT REV]]-Table24[[#This Row],[SEAT REV
(IF IDEAL $)]]</f>
        <v>-1422150</v>
      </c>
    </row>
    <row r="1017" spans="1:22" customFormat="1" x14ac:dyDescent="0.25">
      <c r="A1017" s="306" t="s">
        <v>17593</v>
      </c>
      <c r="B1017" s="306" t="s">
        <v>227</v>
      </c>
      <c r="C1017" s="306" t="s">
        <v>2</v>
      </c>
      <c r="D1017" s="26">
        <v>3</v>
      </c>
      <c r="E1017" s="312" t="s">
        <v>630</v>
      </c>
      <c r="F1017" s="306" t="str">
        <f>VLOOKUP(Table24[[#This Row],[Country]],Table10[[COUNTRY NAME]:[CONTINENT CODE]],3,FALSE)</f>
        <v>EU</v>
      </c>
      <c r="G1017" s="312" t="s">
        <v>11683</v>
      </c>
      <c r="H1017" s="309">
        <v>6258</v>
      </c>
      <c r="I1017" s="310">
        <v>15.75</v>
      </c>
      <c r="J1017" s="307">
        <v>180607089</v>
      </c>
      <c r="K1017" s="307">
        <f>IFERROR(Table24[[#This Row],[ROUTE COST]]/Table24[[#This Row],[O - DEMAND]],0)</f>
        <v>67948.490970654631</v>
      </c>
      <c r="L1017" s="306">
        <v>2658</v>
      </c>
      <c r="M1017" s="310">
        <f>Table24[[#This Row],[O - DEMAND]]/950</f>
        <v>2.7978947368421054</v>
      </c>
      <c r="N1017" s="306">
        <f>IFERROR(VLOOKUP(Table24[[#This Row],[ROUTE]],DEMAND!A:F,5,FALSE),0)</f>
        <v>2773</v>
      </c>
      <c r="O1017" s="306">
        <f>IFERROR(VLOOKUP(Table24[[#This Row],[ROUTE]],DEMAND!A:F,6,FALSE),0)</f>
        <v>873</v>
      </c>
      <c r="P1017" s="306">
        <f>ROUNDDOWN(Table24[[#This Row],[R-DEMAND]]/950,0)</f>
        <v>0</v>
      </c>
      <c r="Q1017" s="306">
        <f>Table24[[#This Row],[ADD ACC
(475/950)]]*Table24[[#This Row],[Duration
(A359)]]</f>
        <v>0</v>
      </c>
      <c r="R1017" s="307">
        <f>IFERROR(VLOOKUP(Table24[[#This Row],[ROUTE]],PRICING!A:B,2,FALSE),0)</f>
        <v>1791</v>
      </c>
      <c r="S1017" s="308">
        <f>Table24[[#This Row],[C_DEMAND]]-Table24[[#This Row],[R-DEMAND]]</f>
        <v>1900</v>
      </c>
      <c r="T1017" s="307">
        <f>Table24[[#This Row],[SEATS SOLD]]*Table24[[#This Row],[ECO SEAT]]</f>
        <v>3402900</v>
      </c>
      <c r="U1017" s="307">
        <f>Table24[[#This Row],[SEATS SOLD]]*(IFERROR(VLOOKUP(Table24[[#This Row],[ROUTE]],PRICING!A:C,3,FALSE),0))</f>
        <v>3912100</v>
      </c>
      <c r="V1017" s="307">
        <f>Table24[[#This Row],[SEAT REV]]-Table24[[#This Row],[SEAT REV
(IF IDEAL $)]]</f>
        <v>-509200</v>
      </c>
    </row>
    <row r="1018" spans="1:22" customFormat="1" x14ac:dyDescent="0.25">
      <c r="A1018" s="306" t="s">
        <v>17071</v>
      </c>
      <c r="B1018" s="306" t="s">
        <v>2569</v>
      </c>
      <c r="C1018" s="306" t="s">
        <v>2</v>
      </c>
      <c r="D1018" s="26">
        <v>2</v>
      </c>
      <c r="E1018" s="312" t="s">
        <v>608</v>
      </c>
      <c r="F1018" s="306" t="str">
        <f>VLOOKUP(Table24[[#This Row],[Country]],Table10[[COUNTRY NAME]:[CONTINENT CODE]],3,FALSE)</f>
        <v>AF</v>
      </c>
      <c r="G1018" s="312" t="s">
        <v>7996</v>
      </c>
      <c r="H1018" s="309">
        <v>6655</v>
      </c>
      <c r="I1018" s="310">
        <v>16.75</v>
      </c>
      <c r="J1018" s="307">
        <v>163417948</v>
      </c>
      <c r="K1018" s="307">
        <f>IFERROR(Table24[[#This Row],[ROUTE COST]]/Table24[[#This Row],[O - DEMAND]],0)</f>
        <v>61297.054763690925</v>
      </c>
      <c r="L1018" s="306">
        <v>2666</v>
      </c>
      <c r="M1018" s="310">
        <f>Table24[[#This Row],[O - DEMAND]]/950</f>
        <v>2.8063157894736843</v>
      </c>
      <c r="N1018" s="306">
        <f>IFERROR(VLOOKUP(Table24[[#This Row],[ROUTE]],DEMAND!A:F,5,FALSE),0)</f>
        <v>2773</v>
      </c>
      <c r="O1018" s="306">
        <f>IFERROR(VLOOKUP(Table24[[#This Row],[ROUTE]],DEMAND!A:F,6,FALSE),0)</f>
        <v>873</v>
      </c>
      <c r="P1018" s="306">
        <f>ROUNDDOWN(Table24[[#This Row],[R-DEMAND]]/950,0)</f>
        <v>0</v>
      </c>
      <c r="Q1018" s="306">
        <f>Table24[[#This Row],[ADD ACC
(475/950)]]*Table24[[#This Row],[Duration
(A359)]]</f>
        <v>0</v>
      </c>
      <c r="R1018" s="307">
        <f>IFERROR(VLOOKUP(Table24[[#This Row],[ROUTE]],PRICING!A:B,2,FALSE),0)</f>
        <v>1921</v>
      </c>
      <c r="S1018" s="308">
        <f>Table24[[#This Row],[C_DEMAND]]-Table24[[#This Row],[R-DEMAND]]</f>
        <v>1900</v>
      </c>
      <c r="T1018" s="307">
        <f>Table24[[#This Row],[SEATS SOLD]]*Table24[[#This Row],[ECO SEAT]]</f>
        <v>3649900</v>
      </c>
      <c r="U1018" s="307">
        <f>Table24[[#This Row],[SEATS SOLD]]*(IFERROR(VLOOKUP(Table24[[#This Row],[ROUTE]],PRICING!A:C,3,FALSE),0))</f>
        <v>4147700</v>
      </c>
      <c r="V1018" s="307">
        <f>Table24[[#This Row],[SEAT REV]]-Table24[[#This Row],[SEAT REV
(IF IDEAL $)]]</f>
        <v>-497800</v>
      </c>
    </row>
    <row r="1019" spans="1:22" customFormat="1" x14ac:dyDescent="0.25">
      <c r="A1019" s="306" t="s">
        <v>17742</v>
      </c>
      <c r="B1019" s="306" t="s">
        <v>5532</v>
      </c>
      <c r="C1019" s="306" t="s">
        <v>2</v>
      </c>
      <c r="D1019" s="26">
        <v>4</v>
      </c>
      <c r="E1019" s="312" t="s">
        <v>1946</v>
      </c>
      <c r="F1019" s="306" t="str">
        <f>VLOOKUP(Table24[[#This Row],[Country]],Table10[[COUNTRY NAME]:[CONTINENT CODE]],3,FALSE)</f>
        <v>NA</v>
      </c>
      <c r="G1019" s="312" t="s">
        <v>13249</v>
      </c>
      <c r="H1019" s="309">
        <v>663</v>
      </c>
      <c r="I1019" s="310">
        <v>3.5</v>
      </c>
      <c r="J1019" s="307">
        <v>138602275</v>
      </c>
      <c r="K1019" s="307">
        <f>IFERROR(Table24[[#This Row],[ROUTE COST]]/Table24[[#This Row],[O - DEMAND]],0)</f>
        <v>52164.951072638316</v>
      </c>
      <c r="L1019" s="306">
        <v>2657</v>
      </c>
      <c r="M1019" s="310">
        <f>Table24[[#This Row],[O - DEMAND]]/950</f>
        <v>2.796842105263158</v>
      </c>
      <c r="N1019" s="306">
        <f>IFERROR(VLOOKUP(Table24[[#This Row],[ROUTE]],DEMAND!A:F,5,FALSE),0)</f>
        <v>2775</v>
      </c>
      <c r="O1019" s="306">
        <f>IFERROR(VLOOKUP(Table24[[#This Row],[ROUTE]],DEMAND!A:F,6,FALSE),0)</f>
        <v>875</v>
      </c>
      <c r="P1019" s="306">
        <f>ROUNDDOWN(Table24[[#This Row],[R-DEMAND]]/950,0)</f>
        <v>0</v>
      </c>
      <c r="Q1019" s="306">
        <f>Table24[[#This Row],[ADD ACC
(475/950)]]*Table24[[#This Row],[Duration
(A359)]]</f>
        <v>0</v>
      </c>
      <c r="R1019" s="307">
        <f>IFERROR(VLOOKUP(Table24[[#This Row],[ROUTE]],PRICING!A:B,2,FALSE),0)</f>
        <v>282</v>
      </c>
      <c r="S1019" s="308">
        <f>Table24[[#This Row],[C_DEMAND]]-Table24[[#This Row],[R-DEMAND]]</f>
        <v>1900</v>
      </c>
      <c r="T1019" s="307">
        <f>Table24[[#This Row],[SEATS SOLD]]*Table24[[#This Row],[ECO SEAT]]</f>
        <v>535800</v>
      </c>
      <c r="U1019" s="307">
        <f>Table24[[#This Row],[SEATS SOLD]]*(IFERROR(VLOOKUP(Table24[[#This Row],[ROUTE]],PRICING!A:C,3,FALSE),0))</f>
        <v>617500</v>
      </c>
      <c r="V1019" s="307">
        <f>Table24[[#This Row],[SEAT REV]]-Table24[[#This Row],[SEAT REV
(IF IDEAL $)]]</f>
        <v>-81700</v>
      </c>
    </row>
    <row r="1020" spans="1:22" customFormat="1" x14ac:dyDescent="0.25">
      <c r="A1020" s="306" t="s">
        <v>17476</v>
      </c>
      <c r="B1020" s="306" t="s">
        <v>185</v>
      </c>
      <c r="C1020" s="306" t="s">
        <v>2</v>
      </c>
      <c r="D1020" s="26">
        <v>5</v>
      </c>
      <c r="E1020" s="312" t="s">
        <v>119</v>
      </c>
      <c r="F1020" s="306" t="str">
        <f>VLOOKUP(Table24[[#This Row],[Country]],Table10[[COUNTRY NAME]:[CONTINENT CODE]],3,FALSE)</f>
        <v>EU</v>
      </c>
      <c r="G1020" s="312" t="s">
        <v>11061</v>
      </c>
      <c r="H1020" s="309">
        <v>6903</v>
      </c>
      <c r="I1020" s="310">
        <v>17.25</v>
      </c>
      <c r="J1020" s="307">
        <v>229086459</v>
      </c>
      <c r="K1020" s="307">
        <f>IFERROR(Table24[[#This Row],[ROUTE COST]]/Table24[[#This Row],[O - DEMAND]],0)</f>
        <v>65378.555650684932</v>
      </c>
      <c r="L1020" s="306">
        <v>3504</v>
      </c>
      <c r="M1020" s="310">
        <f>Table24[[#This Row],[O - DEMAND]]/950</f>
        <v>3.688421052631579</v>
      </c>
      <c r="N1020" s="306">
        <f>IFERROR(VLOOKUP(Table24[[#This Row],[ROUTE]],DEMAND!A:F,5,FALSE),0)</f>
        <v>3726</v>
      </c>
      <c r="O1020" s="306">
        <f>IFERROR(VLOOKUP(Table24[[#This Row],[ROUTE]],DEMAND!A:F,6,FALSE),0)</f>
        <v>876</v>
      </c>
      <c r="P1020" s="306">
        <f>ROUNDDOWN(Table24[[#This Row],[R-DEMAND]]/950,0)</f>
        <v>0</v>
      </c>
      <c r="Q1020" s="306">
        <f>Table24[[#This Row],[ADD ACC
(475/950)]]*Table24[[#This Row],[Duration
(A359)]]</f>
        <v>0</v>
      </c>
      <c r="R1020" s="307">
        <f>IFERROR(VLOOKUP(Table24[[#This Row],[ROUTE]],PRICING!A:B,2,FALSE),0)</f>
        <v>1829</v>
      </c>
      <c r="S1020" s="308">
        <f>Table24[[#This Row],[C_DEMAND]]-Table24[[#This Row],[R-DEMAND]]</f>
        <v>2850</v>
      </c>
      <c r="T1020" s="307">
        <f>Table24[[#This Row],[SEATS SOLD]]*Table24[[#This Row],[ECO SEAT]]</f>
        <v>5212650</v>
      </c>
      <c r="U1020" s="307">
        <f>Table24[[#This Row],[SEATS SOLD]]*(IFERROR(VLOOKUP(Table24[[#This Row],[ROUTE]],PRICING!A:C,3,FALSE),0))</f>
        <v>6438150</v>
      </c>
      <c r="V1020" s="307">
        <f>Table24[[#This Row],[SEAT REV]]-Table24[[#This Row],[SEAT REV
(IF IDEAL $)]]</f>
        <v>-1225500</v>
      </c>
    </row>
    <row r="1021" spans="1:22" customFormat="1" x14ac:dyDescent="0.25">
      <c r="A1021" s="306" t="s">
        <v>17484</v>
      </c>
      <c r="B1021" s="306" t="s">
        <v>5567</v>
      </c>
      <c r="C1021" s="306" t="s">
        <v>2</v>
      </c>
      <c r="D1021" s="26">
        <v>4</v>
      </c>
      <c r="E1021" s="312" t="s">
        <v>758</v>
      </c>
      <c r="F1021" s="306" t="str">
        <f>VLOOKUP(Table24[[#This Row],[Country]],Table10[[COUNTRY NAME]:[CONTINENT CODE]],3,FALSE)</f>
        <v>EU</v>
      </c>
      <c r="G1021" s="312" t="s">
        <v>11029</v>
      </c>
      <c r="H1021" s="309">
        <v>8606</v>
      </c>
      <c r="I1021" s="310">
        <v>21</v>
      </c>
      <c r="J1021" s="307">
        <v>219105119</v>
      </c>
      <c r="K1021" s="307">
        <f>IFERROR(Table24[[#This Row],[ROUTE COST]]/Table24[[#This Row],[O - DEMAND]],0)</f>
        <v>61911.590562305733</v>
      </c>
      <c r="L1021" s="306">
        <v>3539</v>
      </c>
      <c r="M1021" s="310">
        <f>Table24[[#This Row],[O - DEMAND]]/950</f>
        <v>3.7252631578947368</v>
      </c>
      <c r="N1021" s="306">
        <f>IFERROR(VLOOKUP(Table24[[#This Row],[ROUTE]],DEMAND!A:F,5,FALSE),0)</f>
        <v>3728</v>
      </c>
      <c r="O1021" s="306">
        <f>IFERROR(VLOOKUP(Table24[[#This Row],[ROUTE]],DEMAND!A:F,6,FALSE),0)</f>
        <v>878</v>
      </c>
      <c r="P1021" s="306">
        <f>ROUNDDOWN(Table24[[#This Row],[R-DEMAND]]/950,0)</f>
        <v>0</v>
      </c>
      <c r="Q1021" s="306">
        <f>Table24[[#This Row],[ADD ACC
(475/950)]]*Table24[[#This Row],[Duration
(A359)]]</f>
        <v>0</v>
      </c>
      <c r="R1021" s="307">
        <f>IFERROR(VLOOKUP(Table24[[#This Row],[ROUTE]],PRICING!A:B,2,FALSE),0)</f>
        <v>2341</v>
      </c>
      <c r="S1021" s="308">
        <f>Table24[[#This Row],[C_DEMAND]]-Table24[[#This Row],[R-DEMAND]]</f>
        <v>2850</v>
      </c>
      <c r="T1021" s="307">
        <f>Table24[[#This Row],[SEATS SOLD]]*Table24[[#This Row],[ECO SEAT]]</f>
        <v>6671850</v>
      </c>
      <c r="U1021" s="307">
        <f>Table24[[#This Row],[SEATS SOLD]]*(IFERROR(VLOOKUP(Table24[[#This Row],[ROUTE]],PRICING!A:C,3,FALSE),0))</f>
        <v>7942950</v>
      </c>
      <c r="V1021" s="307">
        <f>Table24[[#This Row],[SEAT REV]]-Table24[[#This Row],[SEAT REV
(IF IDEAL $)]]</f>
        <v>-1271100</v>
      </c>
    </row>
    <row r="1022" spans="1:22" customFormat="1" x14ac:dyDescent="0.25">
      <c r="A1022" s="306" t="s">
        <v>18040</v>
      </c>
      <c r="B1022" s="306" t="s">
        <v>5509</v>
      </c>
      <c r="C1022" s="306" t="s">
        <v>2</v>
      </c>
      <c r="D1022" s="26">
        <v>4</v>
      </c>
      <c r="E1022" s="312" t="s">
        <v>517</v>
      </c>
      <c r="F1022" s="306" t="str">
        <f>VLOOKUP(Table24[[#This Row],[Country]],Table10[[COUNTRY NAME]:[CONTINENT CODE]],3,FALSE)</f>
        <v>SA</v>
      </c>
      <c r="G1022" s="312" t="s">
        <v>13158</v>
      </c>
      <c r="H1022" s="309">
        <v>5112</v>
      </c>
      <c r="I1022" s="310">
        <v>13.25</v>
      </c>
      <c r="J1022" s="307">
        <v>181458973</v>
      </c>
      <c r="K1022" s="307">
        <f>IFERROR(Table24[[#This Row],[ROUTE COST]]/Table24[[#This Row],[O - DEMAND]],0)</f>
        <v>50616.1709902371</v>
      </c>
      <c r="L1022" s="306">
        <v>3585</v>
      </c>
      <c r="M1022" s="310">
        <f>Table24[[#This Row],[O - DEMAND]]/950</f>
        <v>3.7736842105263158</v>
      </c>
      <c r="N1022" s="306">
        <f>IFERROR(VLOOKUP(Table24[[#This Row],[ROUTE]],DEMAND!A:F,5,FALSE),0)</f>
        <v>3729</v>
      </c>
      <c r="O1022" s="306">
        <f>IFERROR(VLOOKUP(Table24[[#This Row],[ROUTE]],DEMAND!A:F,6,FALSE),0)</f>
        <v>879</v>
      </c>
      <c r="P1022" s="306">
        <f>ROUNDDOWN(Table24[[#This Row],[R-DEMAND]]/950,0)</f>
        <v>0</v>
      </c>
      <c r="Q1022" s="306">
        <f>Table24[[#This Row],[ADD ACC
(475/950)]]*Table24[[#This Row],[Duration
(A359)]]</f>
        <v>0</v>
      </c>
      <c r="R1022" s="307">
        <f>IFERROR(VLOOKUP(Table24[[#This Row],[ROUTE]],PRICING!A:B,2,FALSE),0)</f>
        <v>1499</v>
      </c>
      <c r="S1022" s="308">
        <f>Table24[[#This Row],[C_DEMAND]]-Table24[[#This Row],[R-DEMAND]]</f>
        <v>2850</v>
      </c>
      <c r="T1022" s="307">
        <f>Table24[[#This Row],[SEATS SOLD]]*Table24[[#This Row],[ECO SEAT]]</f>
        <v>4272150</v>
      </c>
      <c r="U1022" s="307">
        <f>Table24[[#This Row],[SEATS SOLD]]*(IFERROR(VLOOKUP(Table24[[#This Row],[ROUTE]],PRICING!A:C,3,FALSE),0))</f>
        <v>4856400</v>
      </c>
      <c r="V1022" s="307">
        <f>Table24[[#This Row],[SEAT REV]]-Table24[[#This Row],[SEAT REV
(IF IDEAL $)]]</f>
        <v>-584250</v>
      </c>
    </row>
    <row r="1023" spans="1:22" customFormat="1" x14ac:dyDescent="0.25">
      <c r="A1023" s="306" t="s">
        <v>17840</v>
      </c>
      <c r="B1023" s="306" t="s">
        <v>5682</v>
      </c>
      <c r="C1023" s="306" t="s">
        <v>2</v>
      </c>
      <c r="D1023" s="26">
        <v>5</v>
      </c>
      <c r="E1023" s="312" t="s">
        <v>11732</v>
      </c>
      <c r="F1023" s="306" t="str">
        <f>VLOOKUP(Table24[[#This Row],[Country]],Table10[[COUNTRY NAME]:[CONTINENT CODE]],3,FALSE)</f>
        <v>NA - US</v>
      </c>
      <c r="G1023" s="312" t="s">
        <v>13351</v>
      </c>
      <c r="H1023" s="309">
        <v>2329</v>
      </c>
      <c r="I1023" s="310">
        <v>7.25</v>
      </c>
      <c r="J1023" s="307">
        <v>168975866</v>
      </c>
      <c r="K1023" s="307">
        <f>IFERROR(Table24[[#This Row],[ROUTE COST]]/Table24[[#This Row],[O - DEMAND]],0)</f>
        <v>63405.578236397749</v>
      </c>
      <c r="L1023" s="306">
        <v>2665</v>
      </c>
      <c r="M1023" s="310">
        <f>Table24[[#This Row],[O - DEMAND]]/950</f>
        <v>2.8052631578947369</v>
      </c>
      <c r="N1023" s="306">
        <f>IFERROR(VLOOKUP(Table24[[#This Row],[ROUTE]],DEMAND!A:F,5,FALSE),0)</f>
        <v>2781</v>
      </c>
      <c r="O1023" s="306">
        <f>IFERROR(VLOOKUP(Table24[[#This Row],[ROUTE]],DEMAND!A:F,6,FALSE),0)</f>
        <v>881</v>
      </c>
      <c r="P1023" s="306">
        <f>ROUNDDOWN(Table24[[#This Row],[R-DEMAND]]/950,0)</f>
        <v>0</v>
      </c>
      <c r="Q1023" s="306">
        <f>Table24[[#This Row],[ADD ACC
(475/950)]]*Table24[[#This Row],[Duration
(A359)]]</f>
        <v>0</v>
      </c>
      <c r="R1023" s="307">
        <f>IFERROR(VLOOKUP(Table24[[#This Row],[ROUTE]],PRICING!A:B,2,FALSE),0)</f>
        <v>731</v>
      </c>
      <c r="S1023" s="308">
        <f>Table24[[#This Row],[C_DEMAND]]-Table24[[#This Row],[R-DEMAND]]</f>
        <v>1900</v>
      </c>
      <c r="T1023" s="307">
        <f>Table24[[#This Row],[SEATS SOLD]]*Table24[[#This Row],[ECO SEAT]]</f>
        <v>1388900</v>
      </c>
      <c r="U1023" s="307">
        <f>Table24[[#This Row],[SEATS SOLD]]*(IFERROR(VLOOKUP(Table24[[#This Row],[ROUTE]],PRICING!A:C,3,FALSE),0))</f>
        <v>1597900</v>
      </c>
      <c r="V1023" s="307">
        <f>Table24[[#This Row],[SEAT REV]]-Table24[[#This Row],[SEAT REV
(IF IDEAL $)]]</f>
        <v>-209000</v>
      </c>
    </row>
    <row r="1024" spans="1:22" customFormat="1" x14ac:dyDescent="0.25">
      <c r="A1024" s="306" t="s">
        <v>17603</v>
      </c>
      <c r="B1024" s="306" t="s">
        <v>2601</v>
      </c>
      <c r="C1024" s="306" t="s">
        <v>2</v>
      </c>
      <c r="D1024" s="26">
        <v>2</v>
      </c>
      <c r="E1024" s="312" t="s">
        <v>588</v>
      </c>
      <c r="F1024" s="306" t="str">
        <f>VLOOKUP(Table24[[#This Row],[Country]],Table10[[COUNTRY NAME]:[CONTINENT CODE]],3,FALSE)</f>
        <v>EU</v>
      </c>
      <c r="G1024" s="312" t="s">
        <v>11959</v>
      </c>
      <c r="H1024" s="309">
        <v>11709</v>
      </c>
      <c r="I1024" s="310">
        <v>27.75</v>
      </c>
      <c r="J1024" s="307">
        <v>214024271</v>
      </c>
      <c r="K1024" s="307">
        <f>IFERROR(Table24[[#This Row],[ROUTE COST]]/Table24[[#This Row],[O - DEMAND]],0)</f>
        <v>79770.507267983601</v>
      </c>
      <c r="L1024" s="306">
        <v>2683</v>
      </c>
      <c r="M1024" s="310">
        <f>Table24[[#This Row],[O - DEMAND]]/950</f>
        <v>2.8242105263157895</v>
      </c>
      <c r="N1024" s="306">
        <f>IFERROR(VLOOKUP(Table24[[#This Row],[ROUTE]],DEMAND!A:F,5,FALSE),0)</f>
        <v>2782</v>
      </c>
      <c r="O1024" s="306">
        <f>IFERROR(VLOOKUP(Table24[[#This Row],[ROUTE]],DEMAND!A:F,6,FALSE),0)</f>
        <v>882</v>
      </c>
      <c r="P1024" s="306">
        <f>ROUNDDOWN(Table24[[#This Row],[R-DEMAND]]/950,0)</f>
        <v>0</v>
      </c>
      <c r="Q1024" s="306">
        <f>Table24[[#This Row],[ADD ACC
(475/950)]]*Table24[[#This Row],[Duration
(A359)]]</f>
        <v>0</v>
      </c>
      <c r="R1024" s="307">
        <f>IFERROR(VLOOKUP(Table24[[#This Row],[ROUTE]],PRICING!A:B,2,FALSE),0)</f>
        <v>3336</v>
      </c>
      <c r="S1024" s="308">
        <f>Table24[[#This Row],[C_DEMAND]]-Table24[[#This Row],[R-DEMAND]]</f>
        <v>1900</v>
      </c>
      <c r="T1024" s="307">
        <f>Table24[[#This Row],[SEATS SOLD]]*Table24[[#This Row],[ECO SEAT]]</f>
        <v>6338400</v>
      </c>
      <c r="U1024" s="307">
        <f>Table24[[#This Row],[SEATS SOLD]]*(IFERROR(VLOOKUP(Table24[[#This Row],[ROUTE]],PRICING!A:C,3,FALSE),0))</f>
        <v>7123100</v>
      </c>
      <c r="V1024" s="307">
        <f>Table24[[#This Row],[SEAT REV]]-Table24[[#This Row],[SEAT REV
(IF IDEAL $)]]</f>
        <v>-784700</v>
      </c>
    </row>
    <row r="1025" spans="1:22" customFormat="1" x14ac:dyDescent="0.25">
      <c r="A1025" s="306" t="s">
        <v>17296</v>
      </c>
      <c r="B1025" s="306" t="s">
        <v>5260</v>
      </c>
      <c r="C1025" s="306" t="s">
        <v>2</v>
      </c>
      <c r="D1025" s="26">
        <v>3</v>
      </c>
      <c r="E1025" s="312" t="s">
        <v>172</v>
      </c>
      <c r="F1025" s="306" t="str">
        <f>VLOOKUP(Table24[[#This Row],[Country]],Table10[[COUNTRY NAME]:[CONTINENT CODE]],3,FALSE)</f>
        <v>AS</v>
      </c>
      <c r="G1025" s="312" t="s">
        <v>11951</v>
      </c>
      <c r="H1025" s="309">
        <v>12010</v>
      </c>
      <c r="I1025" s="310">
        <v>28.5</v>
      </c>
      <c r="J1025" s="307">
        <v>242895736</v>
      </c>
      <c r="K1025" s="307">
        <f>IFERROR(Table24[[#This Row],[ROUTE COST]]/Table24[[#This Row],[O - DEMAND]],0)</f>
        <v>67640.138123085489</v>
      </c>
      <c r="L1025" s="306">
        <v>3591</v>
      </c>
      <c r="M1025" s="310">
        <f>Table24[[#This Row],[O - DEMAND]]/950</f>
        <v>3.78</v>
      </c>
      <c r="N1025" s="306">
        <f>IFERROR(VLOOKUP(Table24[[#This Row],[ROUTE]],DEMAND!A:F,5,FALSE),0)</f>
        <v>3734</v>
      </c>
      <c r="O1025" s="306">
        <f>IFERROR(VLOOKUP(Table24[[#This Row],[ROUTE]],DEMAND!A:F,6,FALSE),0)</f>
        <v>884</v>
      </c>
      <c r="P1025" s="306">
        <f>ROUNDDOWN(Table24[[#This Row],[R-DEMAND]]/950,0)</f>
        <v>0</v>
      </c>
      <c r="Q1025" s="306">
        <f>Table24[[#This Row],[ADD ACC
(475/950)]]*Table24[[#This Row],[Duration
(A359)]]</f>
        <v>0</v>
      </c>
      <c r="R1025" s="307">
        <f>IFERROR(VLOOKUP(Table24[[#This Row],[ROUTE]],PRICING!A:B,2,FALSE),0)</f>
        <v>3381</v>
      </c>
      <c r="S1025" s="308">
        <f>Table24[[#This Row],[C_DEMAND]]-Table24[[#This Row],[R-DEMAND]]</f>
        <v>2850</v>
      </c>
      <c r="T1025" s="307">
        <f>Table24[[#This Row],[SEATS SOLD]]*Table24[[#This Row],[ECO SEAT]]</f>
        <v>9635850</v>
      </c>
      <c r="U1025" s="307">
        <f>Table24[[#This Row],[SEATS SOLD]]*(IFERROR(VLOOKUP(Table24[[#This Row],[ROUTE]],PRICING!A:C,3,FALSE),0))</f>
        <v>10952550</v>
      </c>
      <c r="V1025" s="307">
        <f>Table24[[#This Row],[SEAT REV]]-Table24[[#This Row],[SEAT REV
(IF IDEAL $)]]</f>
        <v>-1316700</v>
      </c>
    </row>
    <row r="1026" spans="1:22" customFormat="1" x14ac:dyDescent="0.25">
      <c r="A1026" s="306" t="s">
        <v>17512</v>
      </c>
      <c r="B1026" s="306" t="s">
        <v>5002</v>
      </c>
      <c r="C1026" s="306" t="s">
        <v>2</v>
      </c>
      <c r="D1026" s="26">
        <v>3</v>
      </c>
      <c r="E1026" s="312" t="s">
        <v>78</v>
      </c>
      <c r="F1026" s="306" t="str">
        <f>VLOOKUP(Table24[[#This Row],[Country]],Table10[[COUNTRY NAME]:[CONTINENT CODE]],3,FALSE)</f>
        <v>EU</v>
      </c>
      <c r="G1026" s="312" t="s">
        <v>10740</v>
      </c>
      <c r="H1026" s="309">
        <v>11689</v>
      </c>
      <c r="I1026" s="310">
        <v>27.75</v>
      </c>
      <c r="J1026" s="307">
        <v>233574131</v>
      </c>
      <c r="K1026" s="307">
        <f>IFERROR(Table24[[#This Row],[ROUTE COST]]/Table24[[#This Row],[O - DEMAND]],0)</f>
        <v>66469.587649402383</v>
      </c>
      <c r="L1026" s="306">
        <v>3514</v>
      </c>
      <c r="M1026" s="310">
        <f>Table24[[#This Row],[O - DEMAND]]/950</f>
        <v>3.6989473684210528</v>
      </c>
      <c r="N1026" s="306">
        <f>IFERROR(VLOOKUP(Table24[[#This Row],[ROUTE]],DEMAND!A:F,5,FALSE),0)</f>
        <v>3737</v>
      </c>
      <c r="O1026" s="306">
        <f>IFERROR(VLOOKUP(Table24[[#This Row],[ROUTE]],DEMAND!A:F,6,FALSE),0)</f>
        <v>887</v>
      </c>
      <c r="P1026" s="306">
        <f>ROUNDDOWN(Table24[[#This Row],[R-DEMAND]]/950,0)</f>
        <v>0</v>
      </c>
      <c r="Q1026" s="306">
        <f>Table24[[#This Row],[ADD ACC
(475/950)]]*Table24[[#This Row],[Duration
(A359)]]</f>
        <v>0</v>
      </c>
      <c r="R1026" s="307">
        <f>IFERROR(VLOOKUP(Table24[[#This Row],[ROUTE]],PRICING!A:B,2,FALSE),0)</f>
        <v>3031</v>
      </c>
      <c r="S1026" s="308">
        <f>Table24[[#This Row],[C_DEMAND]]-Table24[[#This Row],[R-DEMAND]]</f>
        <v>2850</v>
      </c>
      <c r="T1026" s="307">
        <f>Table24[[#This Row],[SEATS SOLD]]*Table24[[#This Row],[ECO SEAT]]</f>
        <v>8638350</v>
      </c>
      <c r="U1026" s="307">
        <f>Table24[[#This Row],[SEATS SOLD]]*(IFERROR(VLOOKUP(Table24[[#This Row],[ROUTE]],PRICING!A:C,3,FALSE),0))</f>
        <v>10667550</v>
      </c>
      <c r="V1026" s="307">
        <f>Table24[[#This Row],[SEAT REV]]-Table24[[#This Row],[SEAT REV
(IF IDEAL $)]]</f>
        <v>-2029200</v>
      </c>
    </row>
    <row r="1027" spans="1:22" customFormat="1" x14ac:dyDescent="0.25">
      <c r="A1027" s="306" t="s">
        <v>17176</v>
      </c>
      <c r="B1027" s="306" t="s">
        <v>326</v>
      </c>
      <c r="C1027" s="306" t="s">
        <v>2</v>
      </c>
      <c r="D1027" s="26">
        <v>3</v>
      </c>
      <c r="E1027" s="312" t="s">
        <v>926</v>
      </c>
      <c r="F1027" s="306" t="str">
        <f>VLOOKUP(Table24[[#This Row],[Country]],Table10[[COUNTRY NAME]:[CONTINENT CODE]],3,FALSE)</f>
        <v>AF</v>
      </c>
      <c r="G1027" s="312" t="s">
        <v>11905</v>
      </c>
      <c r="H1027" s="309">
        <v>12279</v>
      </c>
      <c r="I1027" s="310">
        <v>29</v>
      </c>
      <c r="J1027" s="307">
        <v>247556791</v>
      </c>
      <c r="K1027" s="307">
        <f>IFERROR(Table24[[#This Row],[ROUTE COST]]/Table24[[#This Row],[O - DEMAND]],0)</f>
        <v>54732.874419632986</v>
      </c>
      <c r="L1027" s="306">
        <v>4523</v>
      </c>
      <c r="M1027" s="310">
        <f>Table24[[#This Row],[O - DEMAND]]/950</f>
        <v>4.7610526315789476</v>
      </c>
      <c r="N1027" s="306">
        <f>IFERROR(VLOOKUP(Table24[[#This Row],[ROUTE]],DEMAND!A:F,5,FALSE),0)</f>
        <v>4689</v>
      </c>
      <c r="O1027" s="306">
        <f>IFERROR(VLOOKUP(Table24[[#This Row],[ROUTE]],DEMAND!A:F,6,FALSE),0)</f>
        <v>889</v>
      </c>
      <c r="P1027" s="306">
        <f>ROUNDDOWN(Table24[[#This Row],[R-DEMAND]]/950,0)</f>
        <v>0</v>
      </c>
      <c r="Q1027" s="306">
        <f>Table24[[#This Row],[ADD ACC
(475/950)]]*Table24[[#This Row],[Duration
(A359)]]</f>
        <v>0</v>
      </c>
      <c r="R1027" s="307">
        <f>IFERROR(VLOOKUP(Table24[[#This Row],[ROUTE]],PRICING!A:B,2,FALSE),0)</f>
        <v>3494</v>
      </c>
      <c r="S1027" s="308">
        <f>Table24[[#This Row],[C_DEMAND]]-Table24[[#This Row],[R-DEMAND]]</f>
        <v>3800</v>
      </c>
      <c r="T1027" s="307">
        <f>Table24[[#This Row],[SEATS SOLD]]*Table24[[#This Row],[ECO SEAT]]</f>
        <v>13277200</v>
      </c>
      <c r="U1027" s="307">
        <f>Table24[[#This Row],[SEATS SOLD]]*(IFERROR(VLOOKUP(Table24[[#This Row],[ROUTE]],PRICING!A:C,3,FALSE),0))</f>
        <v>14918800</v>
      </c>
      <c r="V1027" s="307">
        <f>Table24[[#This Row],[SEAT REV]]-Table24[[#This Row],[SEAT REV
(IF IDEAL $)]]</f>
        <v>-1641600</v>
      </c>
    </row>
    <row r="1028" spans="1:22" customFormat="1" x14ac:dyDescent="0.25">
      <c r="A1028" s="306" t="s">
        <v>17065</v>
      </c>
      <c r="B1028" s="306" t="s">
        <v>4804</v>
      </c>
      <c r="C1028" s="306" t="s">
        <v>2</v>
      </c>
      <c r="D1028" s="26">
        <v>3</v>
      </c>
      <c r="E1028" s="312" t="s">
        <v>2356</v>
      </c>
      <c r="F1028" s="306" t="str">
        <f>VLOOKUP(Table24[[#This Row],[Country]],Table10[[COUNTRY NAME]:[CONTINENT CODE]],3,FALSE)</f>
        <v>OC</v>
      </c>
      <c r="G1028" s="312" t="s">
        <v>11925</v>
      </c>
      <c r="H1028" s="309">
        <v>12701</v>
      </c>
      <c r="I1028" s="310">
        <v>30</v>
      </c>
      <c r="J1028" s="307">
        <v>240924564</v>
      </c>
      <c r="K1028" s="307">
        <f>IFERROR(Table24[[#This Row],[ROUTE COST]]/Table24[[#This Row],[O - DEMAND]],0)</f>
        <v>67846.962545761751</v>
      </c>
      <c r="L1028" s="306">
        <v>3551</v>
      </c>
      <c r="M1028" s="310">
        <f>Table24[[#This Row],[O - DEMAND]]/950</f>
        <v>3.7378947368421054</v>
      </c>
      <c r="N1028" s="306">
        <f>IFERROR(VLOOKUP(Table24[[#This Row],[ROUTE]],DEMAND!A:F,5,FALSE),0)</f>
        <v>3741</v>
      </c>
      <c r="O1028" s="306">
        <f>IFERROR(VLOOKUP(Table24[[#This Row],[ROUTE]],DEMAND!A:F,6,FALSE),0)</f>
        <v>891</v>
      </c>
      <c r="P1028" s="306">
        <f>ROUNDDOWN(Table24[[#This Row],[R-DEMAND]]/950,0)</f>
        <v>0</v>
      </c>
      <c r="Q1028" s="306">
        <f>Table24[[#This Row],[ADD ACC
(475/950)]]*Table24[[#This Row],[Duration
(A359)]]</f>
        <v>0</v>
      </c>
      <c r="R1028" s="307">
        <f>IFERROR(VLOOKUP(Table24[[#This Row],[ROUTE]],PRICING!A:B,2,FALSE),0)</f>
        <v>3407</v>
      </c>
      <c r="S1028" s="308">
        <f>Table24[[#This Row],[C_DEMAND]]-Table24[[#This Row],[R-DEMAND]]</f>
        <v>2850</v>
      </c>
      <c r="T1028" s="307">
        <f>Table24[[#This Row],[SEATS SOLD]]*Table24[[#This Row],[ECO SEAT]]</f>
        <v>9709950</v>
      </c>
      <c r="U1028" s="307">
        <f>Table24[[#This Row],[SEATS SOLD]]*(IFERROR(VLOOKUP(Table24[[#This Row],[ROUTE]],PRICING!A:C,3,FALSE),0))</f>
        <v>11562450</v>
      </c>
      <c r="V1028" s="307">
        <f>Table24[[#This Row],[SEAT REV]]-Table24[[#This Row],[SEAT REV
(IF IDEAL $)]]</f>
        <v>-1852500</v>
      </c>
    </row>
    <row r="1029" spans="1:22" customFormat="1" x14ac:dyDescent="0.25">
      <c r="A1029" s="306" t="s">
        <v>17846</v>
      </c>
      <c r="B1029" s="306" t="s">
        <v>168</v>
      </c>
      <c r="C1029" s="306" t="s">
        <v>2</v>
      </c>
      <c r="D1029" s="26">
        <v>5</v>
      </c>
      <c r="E1029" s="312" t="s">
        <v>11732</v>
      </c>
      <c r="F1029" s="306" t="str">
        <f>VLOOKUP(Table24[[#This Row],[Country]],Table10[[COUNTRY NAME]:[CONTINENT CODE]],3,FALSE)</f>
        <v>NA - US</v>
      </c>
      <c r="G1029" s="312" t="s">
        <v>13373</v>
      </c>
      <c r="H1029" s="309">
        <v>1149</v>
      </c>
      <c r="I1029" s="310">
        <v>4.75</v>
      </c>
      <c r="J1029" s="307">
        <v>166756190</v>
      </c>
      <c r="K1029" s="307">
        <f>IFERROR(Table24[[#This Row],[ROUTE COST]]/Table24[[#This Row],[O - DEMAND]],0)</f>
        <v>61761.551851851851</v>
      </c>
      <c r="L1029" s="306">
        <v>2700</v>
      </c>
      <c r="M1029" s="310">
        <f>Table24[[#This Row],[O - DEMAND]]/950</f>
        <v>2.8421052631578947</v>
      </c>
      <c r="N1029" s="306">
        <f>IFERROR(VLOOKUP(Table24[[#This Row],[ROUTE]],DEMAND!A:F,5,FALSE),0)</f>
        <v>2791</v>
      </c>
      <c r="O1029" s="306">
        <f>IFERROR(VLOOKUP(Table24[[#This Row],[ROUTE]],DEMAND!A:F,6,FALSE),0)</f>
        <v>891</v>
      </c>
      <c r="P1029" s="306">
        <f>ROUNDDOWN(Table24[[#This Row],[R-DEMAND]]/950,0)</f>
        <v>0</v>
      </c>
      <c r="Q1029" s="306">
        <f>Table24[[#This Row],[ADD ACC
(475/950)]]*Table24[[#This Row],[Duration
(A359)]]</f>
        <v>0</v>
      </c>
      <c r="R1029" s="307">
        <f>IFERROR(VLOOKUP(Table24[[#This Row],[ROUTE]],PRICING!A:B,2,FALSE),0)</f>
        <v>428</v>
      </c>
      <c r="S1029" s="308">
        <f>Table24[[#This Row],[C_DEMAND]]-Table24[[#This Row],[R-DEMAND]]</f>
        <v>1900</v>
      </c>
      <c r="T1029" s="307">
        <f>Table24[[#This Row],[SEATS SOLD]]*Table24[[#This Row],[ECO SEAT]]</f>
        <v>813200</v>
      </c>
      <c r="U1029" s="307">
        <f>Table24[[#This Row],[SEATS SOLD]]*(IFERROR(VLOOKUP(Table24[[#This Row],[ROUTE]],PRICING!A:C,3,FALSE),0))</f>
        <v>904400</v>
      </c>
      <c r="V1029" s="307">
        <f>Table24[[#This Row],[SEAT REV]]-Table24[[#This Row],[SEAT REV
(IF IDEAL $)]]</f>
        <v>-91200</v>
      </c>
    </row>
    <row r="1030" spans="1:22" customFormat="1" x14ac:dyDescent="0.25">
      <c r="A1030" s="306" t="s">
        <v>17578</v>
      </c>
      <c r="B1030" s="306" t="s">
        <v>5363</v>
      </c>
      <c r="C1030" s="306" t="s">
        <v>2</v>
      </c>
      <c r="D1030" s="26">
        <v>3</v>
      </c>
      <c r="E1030" s="312" t="s">
        <v>3180</v>
      </c>
      <c r="F1030" s="306" t="str">
        <f>VLOOKUP(Table24[[#This Row],[Country]],Table10[[COUNTRY NAME]:[CONTINENT CODE]],3,FALSE)</f>
        <v>EU</v>
      </c>
      <c r="G1030" s="312" t="s">
        <v>16915</v>
      </c>
      <c r="H1030" s="309">
        <v>7498</v>
      </c>
      <c r="I1030" s="310">
        <v>18.5</v>
      </c>
      <c r="J1030" s="307">
        <v>201785099</v>
      </c>
      <c r="K1030" s="307">
        <f>IFERROR(Table24[[#This Row],[ROUTE COST]]/Table24[[#This Row],[O - DEMAND]],0)</f>
        <v>77017.213358778623</v>
      </c>
      <c r="L1030" s="306">
        <v>2620</v>
      </c>
      <c r="M1030" s="310">
        <f>Table24[[#This Row],[O - DEMAND]]/950</f>
        <v>2.7578947368421054</v>
      </c>
      <c r="N1030" s="306">
        <f>IFERROR(VLOOKUP(Table24[[#This Row],[ROUTE]],DEMAND!A:F,5,FALSE),0)</f>
        <v>2794</v>
      </c>
      <c r="O1030" s="306">
        <f>IFERROR(VLOOKUP(Table24[[#This Row],[ROUTE]],DEMAND!A:F,6,FALSE),0)</f>
        <v>894</v>
      </c>
      <c r="P1030" s="306">
        <f>ROUNDDOWN(Table24[[#This Row],[R-DEMAND]]/950,0)</f>
        <v>0</v>
      </c>
      <c r="Q1030" s="306">
        <f>Table24[[#This Row],[ADD ACC
(475/950)]]*Table24[[#This Row],[Duration
(A359)]]</f>
        <v>0</v>
      </c>
      <c r="R1030" s="307">
        <f>IFERROR(VLOOKUP(Table24[[#This Row],[ROUTE]],PRICING!A:B,2,FALSE),0)</f>
        <v>1955</v>
      </c>
      <c r="S1030" s="308">
        <f>Table24[[#This Row],[C_DEMAND]]-Table24[[#This Row],[R-DEMAND]]</f>
        <v>1900</v>
      </c>
      <c r="T1030" s="307">
        <f>Table24[[#This Row],[SEATS SOLD]]*Table24[[#This Row],[ECO SEAT]]</f>
        <v>3714500</v>
      </c>
      <c r="U1030" s="307">
        <f>Table24[[#This Row],[SEATS SOLD]]*(IFERROR(VLOOKUP(Table24[[#This Row],[ROUTE]],PRICING!A:C,3,FALSE),0))</f>
        <v>4643600</v>
      </c>
      <c r="V1030" s="307">
        <f>Table24[[#This Row],[SEAT REV]]-Table24[[#This Row],[SEAT REV
(IF IDEAL $)]]</f>
        <v>-929100</v>
      </c>
    </row>
    <row r="1031" spans="1:22" customFormat="1" x14ac:dyDescent="0.25">
      <c r="A1031" s="306" t="s">
        <v>18051</v>
      </c>
      <c r="B1031" s="306" t="s">
        <v>4941</v>
      </c>
      <c r="C1031" s="306" t="s">
        <v>2</v>
      </c>
      <c r="D1031" s="26">
        <v>3</v>
      </c>
      <c r="E1031" s="312" t="s">
        <v>714</v>
      </c>
      <c r="F1031" s="306" t="str">
        <f>VLOOKUP(Table24[[#This Row],[Country]],Table10[[COUNTRY NAME]:[CONTINENT CODE]],3,FALSE)</f>
        <v>SA</v>
      </c>
      <c r="G1031" s="312" t="s">
        <v>13242</v>
      </c>
      <c r="H1031" s="309">
        <v>3884</v>
      </c>
      <c r="I1031" s="310">
        <v>10.75</v>
      </c>
      <c r="J1031" s="307">
        <v>155689063</v>
      </c>
      <c r="K1031" s="307">
        <f>IFERROR(Table24[[#This Row],[ROUTE COST]]/Table24[[#This Row],[O - DEMAND]],0)</f>
        <v>43103.284330011076</v>
      </c>
      <c r="L1031" s="306">
        <v>3612</v>
      </c>
      <c r="M1031" s="310">
        <f>Table24[[#This Row],[O - DEMAND]]/950</f>
        <v>3.8021052631578947</v>
      </c>
      <c r="N1031" s="306">
        <f>IFERROR(VLOOKUP(Table24[[#This Row],[ROUTE]],DEMAND!A:F,5,FALSE),0)</f>
        <v>3745</v>
      </c>
      <c r="O1031" s="306">
        <f>IFERROR(VLOOKUP(Table24[[#This Row],[ROUTE]],DEMAND!A:F,6,FALSE),0)</f>
        <v>895</v>
      </c>
      <c r="P1031" s="306">
        <f>ROUNDDOWN(Table24[[#This Row],[R-DEMAND]]/950,0)</f>
        <v>0</v>
      </c>
      <c r="Q1031" s="306">
        <f>Table24[[#This Row],[ADD ACC
(475/950)]]*Table24[[#This Row],[Duration
(A359)]]</f>
        <v>0</v>
      </c>
      <c r="R1031" s="307">
        <f>IFERROR(VLOOKUP(Table24[[#This Row],[ROUTE]],PRICING!A:B,2,FALSE),0)</f>
        <v>1178</v>
      </c>
      <c r="S1031" s="308">
        <f>Table24[[#This Row],[C_DEMAND]]-Table24[[#This Row],[R-DEMAND]]</f>
        <v>2850</v>
      </c>
      <c r="T1031" s="307">
        <f>Table24[[#This Row],[SEATS SOLD]]*Table24[[#This Row],[ECO SEAT]]</f>
        <v>3357300</v>
      </c>
      <c r="U1031" s="307">
        <f>Table24[[#This Row],[SEATS SOLD]]*(IFERROR(VLOOKUP(Table24[[#This Row],[ROUTE]],PRICING!A:C,3,FALSE),0))</f>
        <v>3773400</v>
      </c>
      <c r="V1031" s="307">
        <f>Table24[[#This Row],[SEAT REV]]-Table24[[#This Row],[SEAT REV
(IF IDEAL $)]]</f>
        <v>-416100</v>
      </c>
    </row>
    <row r="1032" spans="1:22" customFormat="1" x14ac:dyDescent="0.25">
      <c r="A1032" s="306" t="s">
        <v>17745</v>
      </c>
      <c r="B1032" s="306" t="s">
        <v>5240</v>
      </c>
      <c r="C1032" s="306" t="s">
        <v>2</v>
      </c>
      <c r="D1032" s="26">
        <v>3</v>
      </c>
      <c r="E1032" s="312" t="s">
        <v>514</v>
      </c>
      <c r="F1032" s="306" t="str">
        <f>VLOOKUP(Table24[[#This Row],[Country]],Table10[[COUNTRY NAME]:[CONTINENT CODE]],3,FALSE)</f>
        <v>NA</v>
      </c>
      <c r="G1032" s="312" t="s">
        <v>13166</v>
      </c>
      <c r="H1032" s="309">
        <v>4129</v>
      </c>
      <c r="I1032" s="310">
        <v>11.25</v>
      </c>
      <c r="J1032" s="307">
        <v>164192244</v>
      </c>
      <c r="K1032" s="307">
        <f>IFERROR(Table24[[#This Row],[ROUTE COST]]/Table24[[#This Row],[O - DEMAND]],0)</f>
        <v>62241.184230477636</v>
      </c>
      <c r="L1032" s="306">
        <v>2638</v>
      </c>
      <c r="M1032" s="310">
        <f>Table24[[#This Row],[O - DEMAND]]/950</f>
        <v>2.776842105263158</v>
      </c>
      <c r="N1032" s="306">
        <f>IFERROR(VLOOKUP(Table24[[#This Row],[ROUTE]],DEMAND!A:F,5,FALSE),0)</f>
        <v>2796</v>
      </c>
      <c r="O1032" s="306">
        <f>IFERROR(VLOOKUP(Table24[[#This Row],[ROUTE]],DEMAND!A:F,6,FALSE),0)</f>
        <v>896</v>
      </c>
      <c r="P1032" s="306">
        <f>ROUNDDOWN(Table24[[#This Row],[R-DEMAND]]/950,0)</f>
        <v>0</v>
      </c>
      <c r="Q1032" s="306">
        <f>Table24[[#This Row],[ADD ACC
(475/950)]]*Table24[[#This Row],[Duration
(A359)]]</f>
        <v>0</v>
      </c>
      <c r="R1032" s="307">
        <f>IFERROR(VLOOKUP(Table24[[#This Row],[ROUTE]],PRICING!A:B,2,FALSE),0)</f>
        <v>1147</v>
      </c>
      <c r="S1032" s="308">
        <f>Table24[[#This Row],[C_DEMAND]]-Table24[[#This Row],[R-DEMAND]]</f>
        <v>1900</v>
      </c>
      <c r="T1032" s="307">
        <f>Table24[[#This Row],[SEATS SOLD]]*Table24[[#This Row],[ECO SEAT]]</f>
        <v>2179300</v>
      </c>
      <c r="U1032" s="307">
        <f>Table24[[#This Row],[SEATS SOLD]]*(IFERROR(VLOOKUP(Table24[[#This Row],[ROUTE]],PRICING!A:C,3,FALSE),0))</f>
        <v>2658100</v>
      </c>
      <c r="V1032" s="307">
        <f>Table24[[#This Row],[SEAT REV]]-Table24[[#This Row],[SEAT REV
(IF IDEAL $)]]</f>
        <v>-478800</v>
      </c>
    </row>
    <row r="1033" spans="1:22" customFormat="1" x14ac:dyDescent="0.25">
      <c r="A1033" s="306" t="s">
        <v>17048</v>
      </c>
      <c r="B1033" s="306" t="s">
        <v>2445</v>
      </c>
      <c r="C1033" s="306" t="s">
        <v>2</v>
      </c>
      <c r="D1033" s="26">
        <v>1</v>
      </c>
      <c r="E1033" s="312" t="s">
        <v>608</v>
      </c>
      <c r="F1033" s="306" t="str">
        <f>VLOOKUP(Table24[[#This Row],[Country]],Table10[[COUNTRY NAME]:[CONTINENT CODE]],3,FALSE)</f>
        <v>AF</v>
      </c>
      <c r="G1033" s="312" t="s">
        <v>16935</v>
      </c>
      <c r="H1033" s="309">
        <v>6075</v>
      </c>
      <c r="I1033" s="310">
        <v>15.5</v>
      </c>
      <c r="J1033" s="307">
        <v>157599628</v>
      </c>
      <c r="K1033" s="307">
        <f>IFERROR(Table24[[#This Row],[ROUTE COST]]/Table24[[#This Row],[O - DEMAND]],0)</f>
        <v>58630.813988095237</v>
      </c>
      <c r="L1033" s="306">
        <v>2688</v>
      </c>
      <c r="M1033" s="310">
        <f>Table24[[#This Row],[O - DEMAND]]/950</f>
        <v>2.8294736842105261</v>
      </c>
      <c r="N1033" s="306">
        <f>IFERROR(VLOOKUP(Table24[[#This Row],[ROUTE]],DEMAND!A:F,5,FALSE),0)</f>
        <v>2796</v>
      </c>
      <c r="O1033" s="306">
        <f>IFERROR(VLOOKUP(Table24[[#This Row],[ROUTE]],DEMAND!A:F,6,FALSE),0)</f>
        <v>896</v>
      </c>
      <c r="P1033" s="306">
        <f>ROUNDDOWN(Table24[[#This Row],[R-DEMAND]]/950,0)</f>
        <v>0</v>
      </c>
      <c r="Q1033" s="306">
        <f>Table24[[#This Row],[ADD ACC
(475/950)]]*Table24[[#This Row],[Duration
(A359)]]</f>
        <v>0</v>
      </c>
      <c r="R1033" s="307">
        <f>IFERROR(VLOOKUP(Table24[[#This Row],[ROUTE]],PRICING!A:B,2,FALSE),0)</f>
        <v>1762</v>
      </c>
      <c r="S1033" s="308">
        <f>Table24[[#This Row],[C_DEMAND]]-Table24[[#This Row],[R-DEMAND]]</f>
        <v>1900</v>
      </c>
      <c r="T1033" s="307">
        <f>Table24[[#This Row],[SEATS SOLD]]*Table24[[#This Row],[ECO SEAT]]</f>
        <v>3347800</v>
      </c>
      <c r="U1033" s="307">
        <f>Table24[[#This Row],[SEATS SOLD]]*(IFERROR(VLOOKUP(Table24[[#This Row],[ROUTE]],PRICING!A:C,3,FALSE),0))</f>
        <v>3805700</v>
      </c>
      <c r="V1033" s="307">
        <f>Table24[[#This Row],[SEAT REV]]-Table24[[#This Row],[SEAT REV
(IF IDEAL $)]]</f>
        <v>-457900</v>
      </c>
    </row>
    <row r="1034" spans="1:22" customFormat="1" x14ac:dyDescent="0.25">
      <c r="A1034" s="306" t="s">
        <v>18092</v>
      </c>
      <c r="B1034" s="306" t="s">
        <v>4058</v>
      </c>
      <c r="C1034" s="306" t="s">
        <v>2</v>
      </c>
      <c r="D1034" s="26">
        <v>2</v>
      </c>
      <c r="E1034" s="312" t="s">
        <v>4045</v>
      </c>
      <c r="F1034" s="306" t="str">
        <f>VLOOKUP(Table24[[#This Row],[Country]],Table10[[COUNTRY NAME]:[CONTINENT CODE]],3,FALSE)</f>
        <v>SA</v>
      </c>
      <c r="G1034" s="312" t="s">
        <v>13376</v>
      </c>
      <c r="H1034" s="309">
        <v>1048</v>
      </c>
      <c r="I1034" s="310">
        <v>4.5</v>
      </c>
      <c r="J1034" s="307">
        <v>118385517</v>
      </c>
      <c r="K1034" s="307">
        <f>IFERROR(Table24[[#This Row],[ROUTE COST]]/Table24[[#This Row],[O - DEMAND]],0)</f>
        <v>44472.395567242675</v>
      </c>
      <c r="L1034" s="306">
        <v>2662</v>
      </c>
      <c r="M1034" s="310">
        <f>Table24[[#This Row],[O - DEMAND]]/950</f>
        <v>2.8021052631578947</v>
      </c>
      <c r="N1034" s="306">
        <f>IFERROR(VLOOKUP(Table24[[#This Row],[ROUTE]],DEMAND!A:F,5,FALSE),0)</f>
        <v>2796</v>
      </c>
      <c r="O1034" s="306">
        <f>IFERROR(VLOOKUP(Table24[[#This Row],[ROUTE]],DEMAND!A:F,6,FALSE),0)</f>
        <v>896</v>
      </c>
      <c r="P1034" s="306">
        <f>ROUNDDOWN(Table24[[#This Row],[R-DEMAND]]/950,0)</f>
        <v>0</v>
      </c>
      <c r="Q1034" s="306">
        <f>Table24[[#This Row],[ADD ACC
(475/950)]]*Table24[[#This Row],[Duration
(A359)]]</f>
        <v>0</v>
      </c>
      <c r="R1034" s="307">
        <f>IFERROR(VLOOKUP(Table24[[#This Row],[ROUTE]],PRICING!A:B,2,FALSE),0)</f>
        <v>377</v>
      </c>
      <c r="S1034" s="308">
        <f>Table24[[#This Row],[C_DEMAND]]-Table24[[#This Row],[R-DEMAND]]</f>
        <v>1900</v>
      </c>
      <c r="T1034" s="307">
        <f>Table24[[#This Row],[SEATS SOLD]]*Table24[[#This Row],[ECO SEAT]]</f>
        <v>716300</v>
      </c>
      <c r="U1034" s="307">
        <f>Table24[[#This Row],[SEATS SOLD]]*(IFERROR(VLOOKUP(Table24[[#This Row],[ROUTE]],PRICING!A:C,3,FALSE),0))</f>
        <v>843600</v>
      </c>
      <c r="V1034" s="307">
        <f>Table24[[#This Row],[SEAT REV]]-Table24[[#This Row],[SEAT REV
(IF IDEAL $)]]</f>
        <v>-127300</v>
      </c>
    </row>
    <row r="1035" spans="1:22" customFormat="1" x14ac:dyDescent="0.25">
      <c r="A1035" s="306" t="s">
        <v>17177</v>
      </c>
      <c r="B1035" s="306" t="s">
        <v>928</v>
      </c>
      <c r="C1035" s="306" t="s">
        <v>2</v>
      </c>
      <c r="D1035" s="26">
        <v>1</v>
      </c>
      <c r="E1035" s="312" t="s">
        <v>926</v>
      </c>
      <c r="F1035" s="306" t="str">
        <f>VLOOKUP(Table24[[#This Row],[Country]],Table10[[COUNTRY NAME]:[CONTINENT CODE]],3,FALSE)</f>
        <v>AF</v>
      </c>
      <c r="G1035" s="312" t="s">
        <v>16856</v>
      </c>
      <c r="H1035" s="309">
        <v>11800</v>
      </c>
      <c r="I1035" s="310">
        <v>28</v>
      </c>
      <c r="J1035" s="307">
        <v>208872657</v>
      </c>
      <c r="K1035" s="307">
        <f>IFERROR(Table24[[#This Row],[ROUTE COST]]/Table24[[#This Row],[O - DEMAND]],0)</f>
        <v>78083.23626168225</v>
      </c>
      <c r="L1035" s="306">
        <v>2675</v>
      </c>
      <c r="M1035" s="310">
        <f>Table24[[#This Row],[O - DEMAND]]/950</f>
        <v>2.8157894736842106</v>
      </c>
      <c r="N1035" s="306">
        <f>IFERROR(VLOOKUP(Table24[[#This Row],[ROUTE]],DEMAND!A:F,5,FALSE),0)</f>
        <v>2799</v>
      </c>
      <c r="O1035" s="306">
        <f>IFERROR(VLOOKUP(Table24[[#This Row],[ROUTE]],DEMAND!A:F,6,FALSE),0)</f>
        <v>899</v>
      </c>
      <c r="P1035" s="306">
        <f>ROUNDDOWN(Table24[[#This Row],[R-DEMAND]]/950,0)</f>
        <v>0</v>
      </c>
      <c r="Q1035" s="306">
        <f>Table24[[#This Row],[ADD ACC
(475/950)]]*Table24[[#This Row],[Duration
(A359)]]</f>
        <v>0</v>
      </c>
      <c r="R1035" s="307">
        <f>IFERROR(VLOOKUP(Table24[[#This Row],[ROUTE]],PRICING!A:B,2,FALSE),0)</f>
        <v>3249</v>
      </c>
      <c r="S1035" s="308">
        <f>Table24[[#This Row],[C_DEMAND]]-Table24[[#This Row],[R-DEMAND]]</f>
        <v>1900</v>
      </c>
      <c r="T1035" s="307">
        <f>Table24[[#This Row],[SEATS SOLD]]*Table24[[#This Row],[ECO SEAT]]</f>
        <v>6173100</v>
      </c>
      <c r="U1035" s="307">
        <f>Table24[[#This Row],[SEATS SOLD]]*(IFERROR(VLOOKUP(Table24[[#This Row],[ROUTE]],PRICING!A:C,3,FALSE),0))</f>
        <v>7178200</v>
      </c>
      <c r="V1035" s="307">
        <f>Table24[[#This Row],[SEAT REV]]-Table24[[#This Row],[SEAT REV
(IF IDEAL $)]]</f>
        <v>-1005100</v>
      </c>
    </row>
    <row r="1036" spans="1:22" customFormat="1" x14ac:dyDescent="0.25">
      <c r="A1036" s="306" t="s">
        <v>18014</v>
      </c>
      <c r="B1036" s="306" t="s">
        <v>312</v>
      </c>
      <c r="C1036" s="306" t="s">
        <v>2</v>
      </c>
      <c r="D1036" s="26">
        <v>4</v>
      </c>
      <c r="E1036" s="312" t="s">
        <v>11669</v>
      </c>
      <c r="F1036" s="306" t="str">
        <f>VLOOKUP(Table24[[#This Row],[Country]],Table10[[COUNTRY NAME]:[CONTINENT CODE]],3,FALSE)</f>
        <v>SA</v>
      </c>
      <c r="G1036" s="312" t="s">
        <v>13142</v>
      </c>
      <c r="H1036" s="309">
        <v>6115</v>
      </c>
      <c r="I1036" s="310">
        <v>15.5</v>
      </c>
      <c r="J1036" s="307">
        <v>191862127</v>
      </c>
      <c r="K1036" s="307">
        <f>IFERROR(Table24[[#This Row],[ROUTE COST]]/Table24[[#This Row],[O - DEMAND]],0)</f>
        <v>53398.866406902307</v>
      </c>
      <c r="L1036" s="306">
        <v>3593</v>
      </c>
      <c r="M1036" s="310">
        <f>Table24[[#This Row],[O - DEMAND]]/950</f>
        <v>3.7821052631578946</v>
      </c>
      <c r="N1036" s="306">
        <f>IFERROR(VLOOKUP(Table24[[#This Row],[ROUTE]],DEMAND!A:F,5,FALSE),0)</f>
        <v>3749</v>
      </c>
      <c r="O1036" s="306">
        <f>IFERROR(VLOOKUP(Table24[[#This Row],[ROUTE]],DEMAND!A:F,6,FALSE),0)</f>
        <v>899</v>
      </c>
      <c r="P1036" s="306">
        <f>ROUNDDOWN(Table24[[#This Row],[R-DEMAND]]/950,0)</f>
        <v>0</v>
      </c>
      <c r="Q1036" s="306">
        <f>Table24[[#This Row],[ADD ACC
(475/950)]]*Table24[[#This Row],[Duration
(A359)]]</f>
        <v>0</v>
      </c>
      <c r="R1036" s="307">
        <f>IFERROR(VLOOKUP(Table24[[#This Row],[ROUTE]],PRICING!A:B,2,FALSE),0)</f>
        <v>1753</v>
      </c>
      <c r="S1036" s="308">
        <f>Table24[[#This Row],[C_DEMAND]]-Table24[[#This Row],[R-DEMAND]]</f>
        <v>2850</v>
      </c>
      <c r="T1036" s="307">
        <f>Table24[[#This Row],[SEATS SOLD]]*Table24[[#This Row],[ECO SEAT]]</f>
        <v>4996050</v>
      </c>
      <c r="U1036" s="307">
        <f>Table24[[#This Row],[SEATS SOLD]]*(IFERROR(VLOOKUP(Table24[[#This Row],[ROUTE]],PRICING!A:C,3,FALSE),0))</f>
        <v>5742750</v>
      </c>
      <c r="V1036" s="307">
        <f>Table24[[#This Row],[SEAT REV]]-Table24[[#This Row],[SEAT REV
(IF IDEAL $)]]</f>
        <v>-746700</v>
      </c>
    </row>
    <row r="1037" spans="1:22" customFormat="1" x14ac:dyDescent="0.25">
      <c r="A1037" s="306" t="s">
        <v>17467</v>
      </c>
      <c r="B1037" s="306" t="s">
        <v>446</v>
      </c>
      <c r="C1037" s="306" t="s">
        <v>2</v>
      </c>
      <c r="D1037" s="26">
        <v>5</v>
      </c>
      <c r="E1037" s="312" t="s">
        <v>3204</v>
      </c>
      <c r="F1037" s="306" t="str">
        <f>VLOOKUP(Table24[[#This Row],[Country]],Table10[[COUNTRY NAME]:[CONTINENT CODE]],3,FALSE)</f>
        <v>EU</v>
      </c>
      <c r="G1037" s="312" t="s">
        <v>11111</v>
      </c>
      <c r="H1037" s="309">
        <v>7513</v>
      </c>
      <c r="I1037" s="310">
        <v>18.5</v>
      </c>
      <c r="J1037" s="307">
        <v>233589843</v>
      </c>
      <c r="K1037" s="307">
        <f>IFERROR(Table24[[#This Row],[ROUTE COST]]/Table24[[#This Row],[O - DEMAND]],0)</f>
        <v>64796.072954230236</v>
      </c>
      <c r="L1037" s="306">
        <v>3605</v>
      </c>
      <c r="M1037" s="310">
        <f>Table24[[#This Row],[O - DEMAND]]/950</f>
        <v>3.7947368421052632</v>
      </c>
      <c r="N1037" s="306">
        <f>IFERROR(VLOOKUP(Table24[[#This Row],[ROUTE]],DEMAND!A:F,5,FALSE),0)</f>
        <v>3750</v>
      </c>
      <c r="O1037" s="306">
        <f>IFERROR(VLOOKUP(Table24[[#This Row],[ROUTE]],DEMAND!A:F,6,FALSE),0)</f>
        <v>900</v>
      </c>
      <c r="P1037" s="306">
        <f>ROUNDDOWN(Table24[[#This Row],[R-DEMAND]]/950,0)</f>
        <v>0</v>
      </c>
      <c r="Q1037" s="306">
        <f>Table24[[#This Row],[ADD ACC
(475/950)]]*Table24[[#This Row],[Duration
(A359)]]</f>
        <v>0</v>
      </c>
      <c r="R1037" s="307">
        <f>IFERROR(VLOOKUP(Table24[[#This Row],[ROUTE]],PRICING!A:B,2,FALSE),0)</f>
        <v>2155</v>
      </c>
      <c r="S1037" s="308">
        <f>Table24[[#This Row],[C_DEMAND]]-Table24[[#This Row],[R-DEMAND]]</f>
        <v>2850</v>
      </c>
      <c r="T1037" s="307">
        <f>Table24[[#This Row],[SEATS SOLD]]*Table24[[#This Row],[ECO SEAT]]</f>
        <v>6141750</v>
      </c>
      <c r="U1037" s="307">
        <f>Table24[[#This Row],[SEATS SOLD]]*(IFERROR(VLOOKUP(Table24[[#This Row],[ROUTE]],PRICING!A:C,3,FALSE),0))</f>
        <v>6979650</v>
      </c>
      <c r="V1037" s="307">
        <f>Table24[[#This Row],[SEAT REV]]-Table24[[#This Row],[SEAT REV
(IF IDEAL $)]]</f>
        <v>-837900</v>
      </c>
    </row>
    <row r="1038" spans="1:22" customFormat="1" x14ac:dyDescent="0.25">
      <c r="A1038" s="306" t="s">
        <v>17561</v>
      </c>
      <c r="B1038" s="306" t="s">
        <v>4865</v>
      </c>
      <c r="C1038" s="306" t="s">
        <v>2</v>
      </c>
      <c r="D1038" s="26">
        <v>3</v>
      </c>
      <c r="E1038" s="312" t="s">
        <v>605</v>
      </c>
      <c r="F1038" s="306" t="str">
        <f>VLOOKUP(Table24[[#This Row],[Country]],Table10[[COUNTRY NAME]:[CONTINENT CODE]],3,FALSE)</f>
        <v>EU</v>
      </c>
      <c r="G1038" s="312" t="s">
        <v>10545</v>
      </c>
      <c r="H1038" s="309">
        <v>7966</v>
      </c>
      <c r="I1038" s="310">
        <v>19.5</v>
      </c>
      <c r="J1038" s="307">
        <v>195604145</v>
      </c>
      <c r="K1038" s="307">
        <f>IFERROR(Table24[[#This Row],[ROUTE COST]]/Table24[[#This Row],[O - DEMAND]],0)</f>
        <v>73205.144086826345</v>
      </c>
      <c r="L1038" s="306">
        <v>2672</v>
      </c>
      <c r="M1038" s="310">
        <f>Table24[[#This Row],[O - DEMAND]]/950</f>
        <v>2.8126315789473684</v>
      </c>
      <c r="N1038" s="306">
        <f>IFERROR(VLOOKUP(Table24[[#This Row],[ROUTE]],DEMAND!A:F,5,FALSE),0)</f>
        <v>2806</v>
      </c>
      <c r="O1038" s="306">
        <f>IFERROR(VLOOKUP(Table24[[#This Row],[ROUTE]],DEMAND!A:F,6,FALSE),0)</f>
        <v>906</v>
      </c>
      <c r="P1038" s="306">
        <f>ROUNDDOWN(Table24[[#This Row],[R-DEMAND]]/950,0)</f>
        <v>0</v>
      </c>
      <c r="Q1038" s="306">
        <f>Table24[[#This Row],[ADD ACC
(475/950)]]*Table24[[#This Row],[Duration
(A359)]]</f>
        <v>0</v>
      </c>
      <c r="R1038" s="307">
        <f>IFERROR(VLOOKUP(Table24[[#This Row],[ROUTE]],PRICING!A:B,2,FALSE),0)</f>
        <v>2200</v>
      </c>
      <c r="S1038" s="308">
        <f>Table24[[#This Row],[C_DEMAND]]-Table24[[#This Row],[R-DEMAND]]</f>
        <v>1900</v>
      </c>
      <c r="T1038" s="307">
        <f>Table24[[#This Row],[SEATS SOLD]]*Table24[[#This Row],[ECO SEAT]]</f>
        <v>4180000</v>
      </c>
      <c r="U1038" s="307">
        <f>Table24[[#This Row],[SEATS SOLD]]*(IFERROR(VLOOKUP(Table24[[#This Row],[ROUTE]],PRICING!A:C,3,FALSE),0))</f>
        <v>4919100</v>
      </c>
      <c r="V1038" s="307">
        <f>Table24[[#This Row],[SEAT REV]]-Table24[[#This Row],[SEAT REV
(IF IDEAL $)]]</f>
        <v>-739100</v>
      </c>
    </row>
    <row r="1039" spans="1:22" customFormat="1" x14ac:dyDescent="0.25">
      <c r="A1039" s="306" t="s">
        <v>17562</v>
      </c>
      <c r="B1039" s="306" t="s">
        <v>5285</v>
      </c>
      <c r="C1039" s="306" t="s">
        <v>2</v>
      </c>
      <c r="D1039" s="26">
        <v>3</v>
      </c>
      <c r="E1039" s="312" t="s">
        <v>585</v>
      </c>
      <c r="F1039" s="306" t="str">
        <f>VLOOKUP(Table24[[#This Row],[Country]],Table10[[COUNTRY NAME]:[CONTINENT CODE]],3,FALSE)</f>
        <v>EU</v>
      </c>
      <c r="G1039" s="312" t="s">
        <v>11781</v>
      </c>
      <c r="H1039" s="309">
        <v>7953</v>
      </c>
      <c r="I1039" s="310">
        <v>19.5</v>
      </c>
      <c r="J1039" s="307">
        <v>203888927</v>
      </c>
      <c r="K1039" s="307">
        <f>IFERROR(Table24[[#This Row],[ROUTE COST]]/Table24[[#This Row],[O - DEMAND]],0)</f>
        <v>75014.321927888159</v>
      </c>
      <c r="L1039" s="306">
        <v>2718</v>
      </c>
      <c r="M1039" s="310">
        <f>Table24[[#This Row],[O - DEMAND]]/950</f>
        <v>2.8610526315789473</v>
      </c>
      <c r="N1039" s="306">
        <f>IFERROR(VLOOKUP(Table24[[#This Row],[ROUTE]],DEMAND!A:F,5,FALSE),0)</f>
        <v>2809</v>
      </c>
      <c r="O1039" s="306">
        <f>IFERROR(VLOOKUP(Table24[[#This Row],[ROUTE]],DEMAND!A:F,6,FALSE),0)</f>
        <v>909</v>
      </c>
      <c r="P1039" s="306">
        <f>ROUNDDOWN(Table24[[#This Row],[R-DEMAND]]/950,0)</f>
        <v>0</v>
      </c>
      <c r="Q1039" s="306">
        <f>Table24[[#This Row],[ADD ACC
(475/950)]]*Table24[[#This Row],[Duration
(A359)]]</f>
        <v>0</v>
      </c>
      <c r="R1039" s="307">
        <f>IFERROR(VLOOKUP(Table24[[#This Row],[ROUTE]],PRICING!A:B,2,FALSE),0)</f>
        <v>2326</v>
      </c>
      <c r="S1039" s="308">
        <f>Table24[[#This Row],[C_DEMAND]]-Table24[[#This Row],[R-DEMAND]]</f>
        <v>1900</v>
      </c>
      <c r="T1039" s="307">
        <f>Table24[[#This Row],[SEATS SOLD]]*Table24[[#This Row],[ECO SEAT]]</f>
        <v>4419400</v>
      </c>
      <c r="U1039" s="307">
        <f>Table24[[#This Row],[SEATS SOLD]]*(IFERROR(VLOOKUP(Table24[[#This Row],[ROUTE]],PRICING!A:C,3,FALSE),0))</f>
        <v>4911500</v>
      </c>
      <c r="V1039" s="307">
        <f>Table24[[#This Row],[SEAT REV]]-Table24[[#This Row],[SEAT REV
(IF IDEAL $)]]</f>
        <v>-492100</v>
      </c>
    </row>
    <row r="1040" spans="1:22" customFormat="1" x14ac:dyDescent="0.25">
      <c r="A1040" s="306" t="s">
        <v>17350</v>
      </c>
      <c r="B1040" s="306" t="s">
        <v>3674</v>
      </c>
      <c r="C1040" s="306" t="s">
        <v>2</v>
      </c>
      <c r="D1040" s="26">
        <v>2</v>
      </c>
      <c r="E1040" s="312" t="s">
        <v>567</v>
      </c>
      <c r="F1040" s="306" t="str">
        <f>VLOOKUP(Table24[[#This Row],[Country]],Table10[[COUNTRY NAME]:[CONTINENT CODE]],3,FALSE)</f>
        <v>AS</v>
      </c>
      <c r="G1040" s="312" t="s">
        <v>11998</v>
      </c>
      <c r="H1040" s="309">
        <v>12881</v>
      </c>
      <c r="I1040" s="310">
        <v>30.5</v>
      </c>
      <c r="J1040" s="307">
        <v>232542695</v>
      </c>
      <c r="K1040" s="307">
        <f>IFERROR(Table24[[#This Row],[ROUTE COST]]/Table24[[#This Row],[O - DEMAND]],0)</f>
        <v>85462.217934582877</v>
      </c>
      <c r="L1040" s="306">
        <v>2721</v>
      </c>
      <c r="M1040" s="310">
        <f>Table24[[#This Row],[O - DEMAND]]/950</f>
        <v>2.8642105263157895</v>
      </c>
      <c r="N1040" s="306">
        <f>IFERROR(VLOOKUP(Table24[[#This Row],[ROUTE]],DEMAND!A:F,5,FALSE),0)</f>
        <v>2812</v>
      </c>
      <c r="O1040" s="306">
        <f>IFERROR(VLOOKUP(Table24[[#This Row],[ROUTE]],DEMAND!A:F,6,FALSE),0)</f>
        <v>912</v>
      </c>
      <c r="P1040" s="306">
        <f>ROUNDDOWN(Table24[[#This Row],[R-DEMAND]]/950,0)</f>
        <v>0</v>
      </c>
      <c r="Q1040" s="306">
        <f>Table24[[#This Row],[ADD ACC
(475/950)]]*Table24[[#This Row],[Duration
(A359)]]</f>
        <v>0</v>
      </c>
      <c r="R1040" s="307">
        <f>IFERROR(VLOOKUP(Table24[[#This Row],[ROUTE]],PRICING!A:B,2,FALSE),0)</f>
        <v>3701</v>
      </c>
      <c r="S1040" s="308">
        <f>Table24[[#This Row],[C_DEMAND]]-Table24[[#This Row],[R-DEMAND]]</f>
        <v>1900</v>
      </c>
      <c r="T1040" s="307">
        <f>Table24[[#This Row],[SEATS SOLD]]*Table24[[#This Row],[ECO SEAT]]</f>
        <v>7031900</v>
      </c>
      <c r="U1040" s="307">
        <f>Table24[[#This Row],[SEATS SOLD]]*(IFERROR(VLOOKUP(Table24[[#This Row],[ROUTE]],PRICING!A:C,3,FALSE),0))</f>
        <v>7814700</v>
      </c>
      <c r="V1040" s="307">
        <f>Table24[[#This Row],[SEAT REV]]-Table24[[#This Row],[SEAT REV
(IF IDEAL $)]]</f>
        <v>-782800</v>
      </c>
    </row>
    <row r="1041" spans="1:22" customFormat="1" x14ac:dyDescent="0.25">
      <c r="A1041" s="306" t="s">
        <v>17211</v>
      </c>
      <c r="B1041" s="306" t="s">
        <v>252</v>
      </c>
      <c r="C1041" s="306" t="s">
        <v>2</v>
      </c>
      <c r="D1041" s="26">
        <v>5</v>
      </c>
      <c r="E1041" s="312" t="s">
        <v>700</v>
      </c>
      <c r="F1041" s="306" t="str">
        <f>VLOOKUP(Table24[[#This Row],[Country]],Table10[[COUNTRY NAME]:[CONTINENT CODE]],3,FALSE)</f>
        <v>AS</v>
      </c>
      <c r="G1041" s="312" t="s">
        <v>11077</v>
      </c>
      <c r="H1041" s="309">
        <v>9540</v>
      </c>
      <c r="I1041" s="310">
        <v>23</v>
      </c>
      <c r="J1041" s="307">
        <v>254581752</v>
      </c>
      <c r="K1041" s="307">
        <f>IFERROR(Table24[[#This Row],[ROUTE COST]]/Table24[[#This Row],[O - DEMAND]],0)</f>
        <v>69882.446335437824</v>
      </c>
      <c r="L1041" s="306">
        <v>3643</v>
      </c>
      <c r="M1041" s="310">
        <f>Table24[[#This Row],[O - DEMAND]]/950</f>
        <v>3.8347368421052632</v>
      </c>
      <c r="N1041" s="306">
        <f>IFERROR(VLOOKUP(Table24[[#This Row],[ROUTE]],DEMAND!A:F,5,FALSE),0)</f>
        <v>3765</v>
      </c>
      <c r="O1041" s="306">
        <f>IFERROR(VLOOKUP(Table24[[#This Row],[ROUTE]],DEMAND!A:F,6,FALSE),0)</f>
        <v>915</v>
      </c>
      <c r="P1041" s="306">
        <f>ROUNDDOWN(Table24[[#This Row],[R-DEMAND]]/950,0)</f>
        <v>0</v>
      </c>
      <c r="Q1041" s="306">
        <f>Table24[[#This Row],[ADD ACC
(475/950)]]*Table24[[#This Row],[Duration
(A359)]]</f>
        <v>0</v>
      </c>
      <c r="R1041" s="307">
        <f>IFERROR(VLOOKUP(Table24[[#This Row],[ROUTE]],PRICING!A:B,2,FALSE),0)</f>
        <v>2769</v>
      </c>
      <c r="S1041" s="308">
        <f>Table24[[#This Row],[C_DEMAND]]-Table24[[#This Row],[R-DEMAND]]</f>
        <v>2850</v>
      </c>
      <c r="T1041" s="307">
        <f>Table24[[#This Row],[SEATS SOLD]]*Table24[[#This Row],[ECO SEAT]]</f>
        <v>7891650</v>
      </c>
      <c r="U1041" s="307">
        <f>Table24[[#This Row],[SEATS SOLD]]*(IFERROR(VLOOKUP(Table24[[#This Row],[ROUTE]],PRICING!A:C,3,FALSE),0))</f>
        <v>8769450</v>
      </c>
      <c r="V1041" s="307">
        <f>Table24[[#This Row],[SEAT REV]]-Table24[[#This Row],[SEAT REV
(IF IDEAL $)]]</f>
        <v>-877800</v>
      </c>
    </row>
    <row r="1042" spans="1:22" customFormat="1" x14ac:dyDescent="0.25">
      <c r="A1042" s="306" t="s">
        <v>17856</v>
      </c>
      <c r="B1042" s="306" t="s">
        <v>5505</v>
      </c>
      <c r="C1042" s="306" t="s">
        <v>2</v>
      </c>
      <c r="D1042" s="26">
        <v>4</v>
      </c>
      <c r="E1042" s="312" t="s">
        <v>11732</v>
      </c>
      <c r="F1042" s="306" t="str">
        <f>VLOOKUP(Table24[[#This Row],[Country]],Table10[[COUNTRY NAME]:[CONTINENT CODE]],3,FALSE)</f>
        <v>NA - US</v>
      </c>
      <c r="G1042" s="312" t="s">
        <v>13306</v>
      </c>
      <c r="H1042" s="309">
        <v>3081</v>
      </c>
      <c r="I1042" s="310">
        <v>9</v>
      </c>
      <c r="J1042" s="307"/>
      <c r="K1042" s="307">
        <f>IFERROR(Table24[[#This Row],[ROUTE COST]]/Table24[[#This Row],[O - DEMAND]],0)</f>
        <v>0</v>
      </c>
      <c r="L1042" s="306"/>
      <c r="M1042" s="310">
        <f>Table24[[#This Row],[O - DEMAND]]/950</f>
        <v>0</v>
      </c>
      <c r="N1042" s="306">
        <f>IFERROR(VLOOKUP(Table24[[#This Row],[ROUTE]],DEMAND!A:F,5,FALSE),0)</f>
        <v>2816</v>
      </c>
      <c r="O1042" s="306">
        <f>IFERROR(VLOOKUP(Table24[[#This Row],[ROUTE]],DEMAND!A:F,6,FALSE),0)</f>
        <v>916</v>
      </c>
      <c r="P1042" s="306">
        <f>ROUNDDOWN(Table24[[#This Row],[R-DEMAND]]/950,0)</f>
        <v>0</v>
      </c>
      <c r="Q1042" s="306">
        <f>Table24[[#This Row],[ADD ACC
(475/950)]]*Table24[[#This Row],[Duration
(A359)]]</f>
        <v>0</v>
      </c>
      <c r="R1042" s="307">
        <f>IFERROR(VLOOKUP(Table24[[#This Row],[ROUTE]],PRICING!A:B,2,FALSE),0)</f>
        <v>924</v>
      </c>
      <c r="S1042" s="308">
        <f>Table24[[#This Row],[C_DEMAND]]-Table24[[#This Row],[R-DEMAND]]</f>
        <v>1900</v>
      </c>
      <c r="T1042" s="307">
        <f>Table24[[#This Row],[SEATS SOLD]]*Table24[[#This Row],[ECO SEAT]]</f>
        <v>1755600</v>
      </c>
      <c r="U1042" s="307">
        <f>Table24[[#This Row],[SEATS SOLD]]*(IFERROR(VLOOKUP(Table24[[#This Row],[ROUTE]],PRICING!A:C,3,FALSE),0))</f>
        <v>2042500</v>
      </c>
      <c r="V1042" s="307">
        <f>Table24[[#This Row],[SEAT REV]]-Table24[[#This Row],[SEAT REV
(IF IDEAL $)]]</f>
        <v>-286900</v>
      </c>
    </row>
    <row r="1043" spans="1:22" customFormat="1" x14ac:dyDescent="0.25">
      <c r="A1043" s="306" t="s">
        <v>17847</v>
      </c>
      <c r="B1043" s="306" t="s">
        <v>485</v>
      </c>
      <c r="C1043" s="306" t="s">
        <v>2</v>
      </c>
      <c r="D1043" s="26">
        <v>4</v>
      </c>
      <c r="E1043" s="312" t="s">
        <v>11732</v>
      </c>
      <c r="F1043" s="306" t="str">
        <f>VLOOKUP(Table24[[#This Row],[Country]],Table10[[COUNTRY NAME]:[CONTINENT CODE]],3,FALSE)</f>
        <v>NA - US</v>
      </c>
      <c r="G1043" s="312" t="s">
        <v>11080</v>
      </c>
      <c r="H1043" s="309">
        <v>8837</v>
      </c>
      <c r="I1043" s="310">
        <v>21.5</v>
      </c>
      <c r="J1043" s="307"/>
      <c r="K1043" s="307">
        <f>IFERROR(Table24[[#This Row],[ROUTE COST]]/Table24[[#This Row],[O - DEMAND]],0)</f>
        <v>0</v>
      </c>
      <c r="L1043" s="306"/>
      <c r="M1043" s="310">
        <f>Table24[[#This Row],[O - DEMAND]]/950</f>
        <v>0</v>
      </c>
      <c r="N1043" s="306">
        <f>IFERROR(VLOOKUP(Table24[[#This Row],[ROUTE]],DEMAND!A:F,5,FALSE),0)</f>
        <v>2817</v>
      </c>
      <c r="O1043" s="306">
        <f>IFERROR(VLOOKUP(Table24[[#This Row],[ROUTE]],DEMAND!A:F,6,FALSE),0)</f>
        <v>917</v>
      </c>
      <c r="P1043" s="306">
        <f>ROUNDDOWN(Table24[[#This Row],[R-DEMAND]]/950,0)</f>
        <v>0</v>
      </c>
      <c r="Q1043" s="306">
        <f>Table24[[#This Row],[ADD ACC
(475/950)]]*Table24[[#This Row],[Duration
(A359)]]</f>
        <v>0</v>
      </c>
      <c r="R1043" s="307">
        <f>IFERROR(VLOOKUP(Table24[[#This Row],[ROUTE]],PRICING!A:B,2,FALSE),0)</f>
        <v>2401</v>
      </c>
      <c r="S1043" s="308">
        <f>Table24[[#This Row],[C_DEMAND]]-Table24[[#This Row],[R-DEMAND]]</f>
        <v>1900</v>
      </c>
      <c r="T1043" s="307">
        <f>Table24[[#This Row],[SEATS SOLD]]*Table24[[#This Row],[ECO SEAT]]</f>
        <v>4561900</v>
      </c>
      <c r="U1043" s="307">
        <f>Table24[[#This Row],[SEATS SOLD]]*(IFERROR(VLOOKUP(Table24[[#This Row],[ROUTE]],PRICING!A:C,3,FALSE),0))</f>
        <v>5432100</v>
      </c>
      <c r="V1043" s="307">
        <f>Table24[[#This Row],[SEAT REV]]-Table24[[#This Row],[SEAT REV
(IF IDEAL $)]]</f>
        <v>-870200</v>
      </c>
    </row>
    <row r="1044" spans="1:22" customFormat="1" x14ac:dyDescent="0.25">
      <c r="A1044" s="306" t="s">
        <v>17595</v>
      </c>
      <c r="B1044" s="306" t="s">
        <v>5064</v>
      </c>
      <c r="C1044" s="306" t="s">
        <v>2</v>
      </c>
      <c r="D1044" s="26">
        <v>3</v>
      </c>
      <c r="E1044" s="312" t="s">
        <v>733</v>
      </c>
      <c r="F1044" s="306" t="str">
        <f>VLOOKUP(Table24[[#This Row],[Country]],Table10[[COUNTRY NAME]:[CONTINENT CODE]],3,FALSE)</f>
        <v>EU</v>
      </c>
      <c r="G1044" s="312" t="s">
        <v>13247</v>
      </c>
      <c r="H1044" s="309">
        <v>5718</v>
      </c>
      <c r="I1044" s="310">
        <v>14.75</v>
      </c>
      <c r="J1044" s="307">
        <v>175889596</v>
      </c>
      <c r="K1044" s="307">
        <f>IFERROR(Table24[[#This Row],[ROUTE COST]]/Table24[[#This Row],[O - DEMAND]],0)</f>
        <v>64428.423443223444</v>
      </c>
      <c r="L1044" s="306">
        <v>2730</v>
      </c>
      <c r="M1044" s="310">
        <f>Table24[[#This Row],[O - DEMAND]]/950</f>
        <v>2.8736842105263158</v>
      </c>
      <c r="N1044" s="306">
        <f>IFERROR(VLOOKUP(Table24[[#This Row],[ROUTE]],DEMAND!A:F,5,FALSE),0)</f>
        <v>2821</v>
      </c>
      <c r="O1044" s="306">
        <f>IFERROR(VLOOKUP(Table24[[#This Row],[ROUTE]],DEMAND!A:F,6,FALSE),0)</f>
        <v>921</v>
      </c>
      <c r="P1044" s="306">
        <f>ROUNDDOWN(Table24[[#This Row],[R-DEMAND]]/950,0)</f>
        <v>0</v>
      </c>
      <c r="Q1044" s="306">
        <f>Table24[[#This Row],[ADD ACC
(475/950)]]*Table24[[#This Row],[Duration
(A359)]]</f>
        <v>0</v>
      </c>
      <c r="R1044" s="307">
        <f>IFERROR(VLOOKUP(Table24[[#This Row],[ROUTE]],PRICING!A:B,2,FALSE),0)</f>
        <v>1702</v>
      </c>
      <c r="S1044" s="308">
        <f>Table24[[#This Row],[C_DEMAND]]-Table24[[#This Row],[R-DEMAND]]</f>
        <v>1900</v>
      </c>
      <c r="T1044" s="307">
        <f>Table24[[#This Row],[SEATS SOLD]]*Table24[[#This Row],[ECO SEAT]]</f>
        <v>3233800</v>
      </c>
      <c r="U1044" s="307">
        <f>Table24[[#This Row],[SEATS SOLD]]*(IFERROR(VLOOKUP(Table24[[#This Row],[ROUTE]],PRICING!A:C,3,FALSE),0))</f>
        <v>3594800</v>
      </c>
      <c r="V1044" s="307">
        <f>Table24[[#This Row],[SEAT REV]]-Table24[[#This Row],[SEAT REV
(IF IDEAL $)]]</f>
        <v>-361000</v>
      </c>
    </row>
    <row r="1045" spans="1:22" customFormat="1" x14ac:dyDescent="0.25">
      <c r="A1045" s="306" t="s">
        <v>18093</v>
      </c>
      <c r="B1045" s="306" t="s">
        <v>4649</v>
      </c>
      <c r="C1045" s="306" t="s">
        <v>2</v>
      </c>
      <c r="D1045" s="26">
        <v>2</v>
      </c>
      <c r="E1045" s="312" t="s">
        <v>860</v>
      </c>
      <c r="F1045" s="306" t="str">
        <f>VLOOKUP(Table24[[#This Row],[Country]],Table10[[COUNTRY NAME]:[CONTINENT CODE]],3,FALSE)</f>
        <v>SA</v>
      </c>
      <c r="G1045" s="312" t="s">
        <v>13181</v>
      </c>
      <c r="H1045" s="309">
        <v>896</v>
      </c>
      <c r="I1045" s="310">
        <v>4</v>
      </c>
      <c r="J1045" s="307">
        <v>120785840</v>
      </c>
      <c r="K1045" s="307">
        <f>IFERROR(Table24[[#This Row],[ROUTE COST]]/Table24[[#This Row],[O - DEMAND]],0)</f>
        <v>45255.091794679654</v>
      </c>
      <c r="L1045" s="306">
        <v>2669</v>
      </c>
      <c r="M1045" s="310">
        <f>Table24[[#This Row],[O - DEMAND]]/950</f>
        <v>2.8094736842105261</v>
      </c>
      <c r="N1045" s="306">
        <f>IFERROR(VLOOKUP(Table24[[#This Row],[ROUTE]],DEMAND!A:F,5,FALSE),0)</f>
        <v>2822</v>
      </c>
      <c r="O1045" s="306">
        <f>IFERROR(VLOOKUP(Table24[[#This Row],[ROUTE]],DEMAND!A:F,6,FALSE),0)</f>
        <v>922</v>
      </c>
      <c r="P1045" s="306">
        <f>ROUNDDOWN(Table24[[#This Row],[R-DEMAND]]/950,0)</f>
        <v>0</v>
      </c>
      <c r="Q1045" s="306">
        <f>Table24[[#This Row],[ADD ACC
(475/950)]]*Table24[[#This Row],[Duration
(A359)]]</f>
        <v>0</v>
      </c>
      <c r="R1045" s="307">
        <f>IFERROR(VLOOKUP(Table24[[#This Row],[ROUTE]],PRICING!A:B,2,FALSE),0)</f>
        <v>329</v>
      </c>
      <c r="S1045" s="308">
        <f>Table24[[#This Row],[C_DEMAND]]-Table24[[#This Row],[R-DEMAND]]</f>
        <v>1900</v>
      </c>
      <c r="T1045" s="307">
        <f>Table24[[#This Row],[SEATS SOLD]]*Table24[[#This Row],[ECO SEAT]]</f>
        <v>625100</v>
      </c>
      <c r="U1045" s="307">
        <f>Table24[[#This Row],[SEATS SOLD]]*(IFERROR(VLOOKUP(Table24[[#This Row],[ROUTE]],PRICING!A:C,3,FALSE),0))</f>
        <v>754300</v>
      </c>
      <c r="V1045" s="307">
        <f>Table24[[#This Row],[SEAT REV]]-Table24[[#This Row],[SEAT REV
(IF IDEAL $)]]</f>
        <v>-129200</v>
      </c>
    </row>
    <row r="1046" spans="1:22" customFormat="1" x14ac:dyDescent="0.25">
      <c r="A1046" s="306" t="s">
        <v>17309</v>
      </c>
      <c r="B1046" s="306" t="s">
        <v>5128</v>
      </c>
      <c r="C1046" s="306" t="s">
        <v>2</v>
      </c>
      <c r="D1046" s="26">
        <v>3</v>
      </c>
      <c r="E1046" s="312" t="s">
        <v>700</v>
      </c>
      <c r="F1046" s="306" t="str">
        <f>VLOOKUP(Table24[[#This Row],[Country]],Table10[[COUNTRY NAME]:[CONTINENT CODE]],3,FALSE)</f>
        <v>AS</v>
      </c>
      <c r="G1046" s="312" t="s">
        <v>11849</v>
      </c>
      <c r="H1046" s="309">
        <v>9612</v>
      </c>
      <c r="I1046" s="310">
        <v>23.25</v>
      </c>
      <c r="J1046" s="307">
        <v>215830001</v>
      </c>
      <c r="K1046" s="307">
        <f>IFERROR(Table24[[#This Row],[ROUTE COST]]/Table24[[#This Row],[O - DEMAND]],0)</f>
        <v>60270.874336777437</v>
      </c>
      <c r="L1046" s="306">
        <v>3581</v>
      </c>
      <c r="M1046" s="310">
        <f>Table24[[#This Row],[O - DEMAND]]/950</f>
        <v>3.7694736842105265</v>
      </c>
      <c r="N1046" s="306">
        <f>IFERROR(VLOOKUP(Table24[[#This Row],[ROUTE]],DEMAND!A:F,5,FALSE),0)</f>
        <v>3772</v>
      </c>
      <c r="O1046" s="306">
        <f>IFERROR(VLOOKUP(Table24[[#This Row],[ROUTE]],DEMAND!A:F,6,FALSE),0)</f>
        <v>922</v>
      </c>
      <c r="P1046" s="306">
        <f>ROUNDDOWN(Table24[[#This Row],[R-DEMAND]]/950,0)</f>
        <v>0</v>
      </c>
      <c r="Q1046" s="306">
        <f>Table24[[#This Row],[ADD ACC
(475/950)]]*Table24[[#This Row],[Duration
(A359)]]</f>
        <v>0</v>
      </c>
      <c r="R1046" s="307">
        <f>IFERROR(VLOOKUP(Table24[[#This Row],[ROUTE]],PRICING!A:B,2,FALSE),0)</f>
        <v>2603</v>
      </c>
      <c r="S1046" s="308">
        <f>Table24[[#This Row],[C_DEMAND]]-Table24[[#This Row],[R-DEMAND]]</f>
        <v>2850</v>
      </c>
      <c r="T1046" s="307">
        <f>Table24[[#This Row],[SEATS SOLD]]*Table24[[#This Row],[ECO SEAT]]</f>
        <v>7418550</v>
      </c>
      <c r="U1046" s="307">
        <f>Table24[[#This Row],[SEATS SOLD]]*(IFERROR(VLOOKUP(Table24[[#This Row],[ROUTE]],PRICING!A:C,3,FALSE),0))</f>
        <v>8832150</v>
      </c>
      <c r="V1046" s="307">
        <f>Table24[[#This Row],[SEAT REV]]-Table24[[#This Row],[SEAT REV
(IF IDEAL $)]]</f>
        <v>-1413600</v>
      </c>
    </row>
    <row r="1047" spans="1:22" customFormat="1" x14ac:dyDescent="0.25">
      <c r="A1047" s="306" t="s">
        <v>17530</v>
      </c>
      <c r="B1047" s="306" t="s">
        <v>5358</v>
      </c>
      <c r="C1047" s="306" t="s">
        <v>2</v>
      </c>
      <c r="D1047" s="26">
        <v>3</v>
      </c>
      <c r="E1047" s="312" t="s">
        <v>1420</v>
      </c>
      <c r="F1047" s="306" t="str">
        <f>VLOOKUP(Table24[[#This Row],[Country]],Table10[[COUNTRY NAME]:[CONTINENT CODE]],3,FALSE)</f>
        <v>EU</v>
      </c>
      <c r="G1047" s="312" t="s">
        <v>11837</v>
      </c>
      <c r="H1047" s="309">
        <v>9211</v>
      </c>
      <c r="I1047" s="310">
        <v>22.25</v>
      </c>
      <c r="J1047" s="307">
        <v>217632184</v>
      </c>
      <c r="K1047" s="307">
        <f>IFERROR(Table24[[#This Row],[ROUTE COST]]/Table24[[#This Row],[O - DEMAND]],0)</f>
        <v>61460.656311776336</v>
      </c>
      <c r="L1047" s="306">
        <v>3541</v>
      </c>
      <c r="M1047" s="310">
        <f>Table24[[#This Row],[O - DEMAND]]/950</f>
        <v>3.7273684210526317</v>
      </c>
      <c r="N1047" s="306">
        <f>IFERROR(VLOOKUP(Table24[[#This Row],[ROUTE]],DEMAND!A:F,5,FALSE),0)</f>
        <v>3777</v>
      </c>
      <c r="O1047" s="306">
        <f>IFERROR(VLOOKUP(Table24[[#This Row],[ROUTE]],DEMAND!A:F,6,FALSE),0)</f>
        <v>927</v>
      </c>
      <c r="P1047" s="306">
        <f>ROUNDDOWN(Table24[[#This Row],[R-DEMAND]]/950,0)</f>
        <v>0</v>
      </c>
      <c r="Q1047" s="306">
        <f>Table24[[#This Row],[ADD ACC
(475/950)]]*Table24[[#This Row],[Duration
(A359)]]</f>
        <v>0</v>
      </c>
      <c r="R1047" s="307">
        <f>IFERROR(VLOOKUP(Table24[[#This Row],[ROUTE]],PRICING!A:B,2,FALSE),0)</f>
        <v>2380</v>
      </c>
      <c r="S1047" s="308">
        <f>Table24[[#This Row],[C_DEMAND]]-Table24[[#This Row],[R-DEMAND]]</f>
        <v>2850</v>
      </c>
      <c r="T1047" s="307">
        <f>Table24[[#This Row],[SEATS SOLD]]*Table24[[#This Row],[ECO SEAT]]</f>
        <v>6783000</v>
      </c>
      <c r="U1047" s="307">
        <f>Table24[[#This Row],[SEATS SOLD]]*(IFERROR(VLOOKUP(Table24[[#This Row],[ROUTE]],PRICING!A:C,3,FALSE),0))</f>
        <v>8478750</v>
      </c>
      <c r="V1047" s="307">
        <f>Table24[[#This Row],[SEAT REV]]-Table24[[#This Row],[SEAT REV
(IF IDEAL $)]]</f>
        <v>-1695750</v>
      </c>
    </row>
    <row r="1048" spans="1:22" customFormat="1" x14ac:dyDescent="0.25">
      <c r="A1048" s="306" t="s">
        <v>17072</v>
      </c>
      <c r="B1048" s="306" t="s">
        <v>2625</v>
      </c>
      <c r="C1048" s="306" t="s">
        <v>2</v>
      </c>
      <c r="D1048" s="26">
        <v>2</v>
      </c>
      <c r="E1048" s="312" t="s">
        <v>2623</v>
      </c>
      <c r="F1048" s="306" t="str">
        <f>VLOOKUP(Table24[[#This Row],[Country]],Table10[[COUNTRY NAME]:[CONTINENT CODE]],3,FALSE)</f>
        <v>OC</v>
      </c>
      <c r="G1048" s="312" t="s">
        <v>11860</v>
      </c>
      <c r="H1048" s="309">
        <v>11380</v>
      </c>
      <c r="I1048" s="310">
        <v>27</v>
      </c>
      <c r="J1048" s="307">
        <v>210920814</v>
      </c>
      <c r="K1048" s="307">
        <f>IFERROR(Table24[[#This Row],[ROUTE COST]]/Table24[[#This Row],[O - DEMAND]],0)</f>
        <v>78089.897815623845</v>
      </c>
      <c r="L1048" s="306">
        <v>2701</v>
      </c>
      <c r="M1048" s="310">
        <f>Table24[[#This Row],[O - DEMAND]]/950</f>
        <v>2.8431578947368421</v>
      </c>
      <c r="N1048" s="306">
        <f>IFERROR(VLOOKUP(Table24[[#This Row],[ROUTE]],DEMAND!A:F,5,FALSE),0)</f>
        <v>2828</v>
      </c>
      <c r="O1048" s="306">
        <f>IFERROR(VLOOKUP(Table24[[#This Row],[ROUTE]],DEMAND!A:F,6,FALSE),0)</f>
        <v>928</v>
      </c>
      <c r="P1048" s="306">
        <f>ROUNDDOWN(Table24[[#This Row],[R-DEMAND]]/950,0)</f>
        <v>0</v>
      </c>
      <c r="Q1048" s="306">
        <f>Table24[[#This Row],[ADD ACC
(475/950)]]*Table24[[#This Row],[Duration
(A359)]]</f>
        <v>0</v>
      </c>
      <c r="R1048" s="307">
        <f>IFERROR(VLOOKUP(Table24[[#This Row],[ROUTE]],PRICING!A:B,2,FALSE),0)</f>
        <v>3136</v>
      </c>
      <c r="S1048" s="308">
        <f>Table24[[#This Row],[C_DEMAND]]-Table24[[#This Row],[R-DEMAND]]</f>
        <v>1900</v>
      </c>
      <c r="T1048" s="307">
        <f>Table24[[#This Row],[SEATS SOLD]]*Table24[[#This Row],[ECO SEAT]]</f>
        <v>5958400</v>
      </c>
      <c r="U1048" s="307">
        <f>Table24[[#This Row],[SEATS SOLD]]*(IFERROR(VLOOKUP(Table24[[#This Row],[ROUTE]],PRICING!A:C,3,FALSE),0))</f>
        <v>6929300</v>
      </c>
      <c r="V1048" s="307">
        <f>Table24[[#This Row],[SEAT REV]]-Table24[[#This Row],[SEAT REV
(IF IDEAL $)]]</f>
        <v>-970900</v>
      </c>
    </row>
    <row r="1049" spans="1:22" customFormat="1" x14ac:dyDescent="0.25">
      <c r="A1049" s="306" t="s">
        <v>17567</v>
      </c>
      <c r="B1049" s="306" t="s">
        <v>4847</v>
      </c>
      <c r="C1049" s="306" t="s">
        <v>2</v>
      </c>
      <c r="D1049" s="26">
        <v>3</v>
      </c>
      <c r="E1049" s="312" t="s">
        <v>605</v>
      </c>
      <c r="F1049" s="306" t="str">
        <f>VLOOKUP(Table24[[#This Row],[Country]],Table10[[COUNTRY NAME]:[CONTINENT CODE]],3,FALSE)</f>
        <v>EU</v>
      </c>
      <c r="G1049" s="312" t="s">
        <v>11771</v>
      </c>
      <c r="H1049" s="309">
        <v>7822</v>
      </c>
      <c r="I1049" s="310">
        <v>19.25</v>
      </c>
      <c r="J1049" s="307">
        <v>194044423</v>
      </c>
      <c r="K1049" s="307">
        <f>IFERROR(Table24[[#This Row],[ROUTE COST]]/Table24[[#This Row],[O - DEMAND]],0)</f>
        <v>72730.293478260865</v>
      </c>
      <c r="L1049" s="306">
        <v>2668</v>
      </c>
      <c r="M1049" s="310">
        <f>Table24[[#This Row],[O - DEMAND]]/950</f>
        <v>2.8084210526315792</v>
      </c>
      <c r="N1049" s="306">
        <f>IFERROR(VLOOKUP(Table24[[#This Row],[ROUTE]],DEMAND!A:F,5,FALSE),0)</f>
        <v>2828</v>
      </c>
      <c r="O1049" s="306">
        <f>IFERROR(VLOOKUP(Table24[[#This Row],[ROUTE]],DEMAND!A:F,6,FALSE),0)</f>
        <v>928</v>
      </c>
      <c r="P1049" s="306">
        <f>ROUNDDOWN(Table24[[#This Row],[R-DEMAND]]/950,0)</f>
        <v>0</v>
      </c>
      <c r="Q1049" s="306">
        <f>Table24[[#This Row],[ADD ACC
(475/950)]]*Table24[[#This Row],[Duration
(A359)]]</f>
        <v>0</v>
      </c>
      <c r="R1049" s="307">
        <f>IFERROR(VLOOKUP(Table24[[#This Row],[ROUTE]],PRICING!A:B,2,FALSE),0)</f>
        <v>2086</v>
      </c>
      <c r="S1049" s="308">
        <f>Table24[[#This Row],[C_DEMAND]]-Table24[[#This Row],[R-DEMAND]]</f>
        <v>1900</v>
      </c>
      <c r="T1049" s="307">
        <f>Table24[[#This Row],[SEATS SOLD]]*Table24[[#This Row],[ECO SEAT]]</f>
        <v>3963400</v>
      </c>
      <c r="U1049" s="307">
        <f>Table24[[#This Row],[SEATS SOLD]]*(IFERROR(VLOOKUP(Table24[[#This Row],[ROUTE]],PRICING!A:C,3,FALSE),0))</f>
        <v>4833600</v>
      </c>
      <c r="V1049" s="307">
        <f>Table24[[#This Row],[SEAT REV]]-Table24[[#This Row],[SEAT REV
(IF IDEAL $)]]</f>
        <v>-870200</v>
      </c>
    </row>
    <row r="1050" spans="1:22" customFormat="1" x14ac:dyDescent="0.25">
      <c r="A1050" s="306" t="s">
        <v>18059</v>
      </c>
      <c r="B1050" s="306" t="s">
        <v>4770</v>
      </c>
      <c r="C1050" s="306" t="s">
        <v>2</v>
      </c>
      <c r="D1050" s="26">
        <v>3</v>
      </c>
      <c r="E1050" s="312" t="s">
        <v>860</v>
      </c>
      <c r="F1050" s="306" t="str">
        <f>VLOOKUP(Table24[[#This Row],[Country]],Table10[[COUNTRY NAME]:[CONTINENT CODE]],3,FALSE)</f>
        <v>SA</v>
      </c>
      <c r="G1050" s="312" t="s">
        <v>17030</v>
      </c>
      <c r="H1050" s="309">
        <v>969</v>
      </c>
      <c r="I1050" s="310">
        <v>4.25</v>
      </c>
      <c r="J1050" s="307">
        <v>123149539</v>
      </c>
      <c r="K1050" s="307">
        <f>IFERROR(Table24[[#This Row],[ROUTE COST]]/Table24[[#This Row],[O - DEMAND]],0)</f>
        <v>45175.91305942773</v>
      </c>
      <c r="L1050" s="306">
        <v>2726</v>
      </c>
      <c r="M1050" s="310">
        <f>Table24[[#This Row],[O - DEMAND]]/950</f>
        <v>2.8694736842105262</v>
      </c>
      <c r="N1050" s="306">
        <f>IFERROR(VLOOKUP(Table24[[#This Row],[ROUTE]],DEMAND!A:F,5,FALSE),0)</f>
        <v>2828</v>
      </c>
      <c r="O1050" s="306">
        <f>IFERROR(VLOOKUP(Table24[[#This Row],[ROUTE]],DEMAND!A:F,6,FALSE),0)</f>
        <v>928</v>
      </c>
      <c r="P1050" s="306">
        <f>ROUNDDOWN(Table24[[#This Row],[R-DEMAND]]/950,0)</f>
        <v>0</v>
      </c>
      <c r="Q1050" s="306">
        <f>Table24[[#This Row],[ADD ACC
(475/950)]]*Table24[[#This Row],[Duration
(A359)]]</f>
        <v>0</v>
      </c>
      <c r="R1050" s="307">
        <f>IFERROR(VLOOKUP(Table24[[#This Row],[ROUTE]],PRICING!A:B,2,FALSE),0)</f>
        <v>373</v>
      </c>
      <c r="S1050" s="308">
        <f>Table24[[#This Row],[C_DEMAND]]-Table24[[#This Row],[R-DEMAND]]</f>
        <v>1900</v>
      </c>
      <c r="T1050" s="307">
        <f>Table24[[#This Row],[SEATS SOLD]]*Table24[[#This Row],[ECO SEAT]]</f>
        <v>708700</v>
      </c>
      <c r="U1050" s="307">
        <f>Table24[[#This Row],[SEATS SOLD]]*(IFERROR(VLOOKUP(Table24[[#This Row],[ROUTE]],PRICING!A:C,3,FALSE),0))</f>
        <v>798000</v>
      </c>
      <c r="V1050" s="307">
        <f>Table24[[#This Row],[SEAT REV]]-Table24[[#This Row],[SEAT REV
(IF IDEAL $)]]</f>
        <v>-89300</v>
      </c>
    </row>
    <row r="1051" spans="1:22" customFormat="1" x14ac:dyDescent="0.25">
      <c r="A1051" s="306" t="s">
        <v>18053</v>
      </c>
      <c r="B1051" s="306" t="s">
        <v>426</v>
      </c>
      <c r="C1051" s="306" t="s">
        <v>2</v>
      </c>
      <c r="D1051" s="26">
        <v>3</v>
      </c>
      <c r="E1051" s="312" t="s">
        <v>517</v>
      </c>
      <c r="F1051" s="306" t="str">
        <f>VLOOKUP(Table24[[#This Row],[Country]],Table10[[COUNTRY NAME]:[CONTINENT CODE]],3,FALSE)</f>
        <v>SA</v>
      </c>
      <c r="G1051" s="312" t="s">
        <v>13155</v>
      </c>
      <c r="H1051" s="309">
        <v>3422</v>
      </c>
      <c r="I1051" s="310">
        <v>9.75</v>
      </c>
      <c r="J1051" s="307">
        <v>153122576</v>
      </c>
      <c r="K1051" s="307">
        <f>IFERROR(Table24[[#This Row],[ROUTE COST]]/Table24[[#This Row],[O - DEMAND]],0)</f>
        <v>42404.479645527557</v>
      </c>
      <c r="L1051" s="306">
        <v>3611</v>
      </c>
      <c r="M1051" s="310">
        <f>Table24[[#This Row],[O - DEMAND]]/950</f>
        <v>3.8010526315789472</v>
      </c>
      <c r="N1051" s="306">
        <f>IFERROR(VLOOKUP(Table24[[#This Row],[ROUTE]],DEMAND!A:F,5,FALSE),0)</f>
        <v>3780</v>
      </c>
      <c r="O1051" s="306">
        <f>IFERROR(VLOOKUP(Table24[[#This Row],[ROUTE]],DEMAND!A:F,6,FALSE),0)</f>
        <v>930</v>
      </c>
      <c r="P1051" s="306">
        <f>ROUNDDOWN(Table24[[#This Row],[R-DEMAND]]/950,0)</f>
        <v>0</v>
      </c>
      <c r="Q1051" s="306">
        <f>Table24[[#This Row],[ADD ACC
(475/950)]]*Table24[[#This Row],[Duration
(A359)]]</f>
        <v>0</v>
      </c>
      <c r="R1051" s="307">
        <f>IFERROR(VLOOKUP(Table24[[#This Row],[ROUTE]],PRICING!A:B,2,FALSE),0)</f>
        <v>1014</v>
      </c>
      <c r="S1051" s="308">
        <f>Table24[[#This Row],[C_DEMAND]]-Table24[[#This Row],[R-DEMAND]]</f>
        <v>2850</v>
      </c>
      <c r="T1051" s="307">
        <f>Table24[[#This Row],[SEATS SOLD]]*Table24[[#This Row],[ECO SEAT]]</f>
        <v>2889900</v>
      </c>
      <c r="U1051" s="307">
        <f>Table24[[#This Row],[SEATS SOLD]]*(IFERROR(VLOOKUP(Table24[[#This Row],[ROUTE]],PRICING!A:C,3,FALSE),0))</f>
        <v>3363000</v>
      </c>
      <c r="V1051" s="307">
        <f>Table24[[#This Row],[SEAT REV]]-Table24[[#This Row],[SEAT REV
(IF IDEAL $)]]</f>
        <v>-473100</v>
      </c>
    </row>
    <row r="1052" spans="1:22" customFormat="1" x14ac:dyDescent="0.25">
      <c r="A1052" s="306" t="s">
        <v>17073</v>
      </c>
      <c r="B1052" s="306" t="s">
        <v>4835</v>
      </c>
      <c r="C1052" s="306" t="s">
        <v>2</v>
      </c>
      <c r="D1052" s="26">
        <v>3</v>
      </c>
      <c r="E1052" s="312" t="s">
        <v>662</v>
      </c>
      <c r="F1052" s="306" t="str">
        <f>VLOOKUP(Table24[[#This Row],[Country]],Table10[[COUNTRY NAME]:[CONTINENT CODE]],3,FALSE)</f>
        <v>OC</v>
      </c>
      <c r="G1052" s="312" t="s">
        <v>11741</v>
      </c>
      <c r="H1052" s="309">
        <v>9357</v>
      </c>
      <c r="I1052" s="310">
        <v>22.75</v>
      </c>
      <c r="J1052" s="307">
        <v>207912926</v>
      </c>
      <c r="K1052" s="307">
        <f>IFERROR(Table24[[#This Row],[ROUTE COST]]/Table24[[#This Row],[O - DEMAND]],0)</f>
        <v>76862.449537892797</v>
      </c>
      <c r="L1052" s="306">
        <v>2705</v>
      </c>
      <c r="M1052" s="310">
        <f>Table24[[#This Row],[O - DEMAND]]/950</f>
        <v>2.8473684210526318</v>
      </c>
      <c r="N1052" s="306">
        <f>IFERROR(VLOOKUP(Table24[[#This Row],[ROUTE]],DEMAND!A:F,5,FALSE),0)</f>
        <v>2832</v>
      </c>
      <c r="O1052" s="306">
        <f>IFERROR(VLOOKUP(Table24[[#This Row],[ROUTE]],DEMAND!A:F,6,FALSE),0)</f>
        <v>932</v>
      </c>
      <c r="P1052" s="306">
        <f>ROUNDDOWN(Table24[[#This Row],[R-DEMAND]]/950,0)</f>
        <v>0</v>
      </c>
      <c r="Q1052" s="306">
        <f>Table24[[#This Row],[ADD ACC
(475/950)]]*Table24[[#This Row],[Duration
(A359)]]</f>
        <v>0</v>
      </c>
      <c r="R1052" s="307">
        <f>IFERROR(VLOOKUP(Table24[[#This Row],[ROUTE]],PRICING!A:B,2,FALSE),0)</f>
        <v>2597</v>
      </c>
      <c r="S1052" s="308">
        <f>Table24[[#This Row],[C_DEMAND]]-Table24[[#This Row],[R-DEMAND]]</f>
        <v>1900</v>
      </c>
      <c r="T1052" s="307">
        <f>Table24[[#This Row],[SEATS SOLD]]*Table24[[#This Row],[ECO SEAT]]</f>
        <v>4934300</v>
      </c>
      <c r="U1052" s="307">
        <f>Table24[[#This Row],[SEATS SOLD]]*(IFERROR(VLOOKUP(Table24[[#This Row],[ROUTE]],PRICING!A:C,3,FALSE),0))</f>
        <v>5738000</v>
      </c>
      <c r="V1052" s="307">
        <f>Table24[[#This Row],[SEAT REV]]-Table24[[#This Row],[SEAT REV
(IF IDEAL $)]]</f>
        <v>-803700</v>
      </c>
    </row>
    <row r="1053" spans="1:22" customFormat="1" x14ac:dyDescent="0.25">
      <c r="A1053" s="306" t="s">
        <v>17206</v>
      </c>
      <c r="B1053" s="306" t="s">
        <v>270</v>
      </c>
      <c r="C1053" s="306" t="s">
        <v>2</v>
      </c>
      <c r="D1053" s="26">
        <v>5</v>
      </c>
      <c r="E1053" s="312" t="s">
        <v>142</v>
      </c>
      <c r="F1053" s="306" t="str">
        <f>VLOOKUP(Table24[[#This Row],[Country]],Table10[[COUNTRY NAME]:[CONTINENT CODE]],3,FALSE)</f>
        <v>AS</v>
      </c>
      <c r="G1053" s="312" t="s">
        <v>269</v>
      </c>
      <c r="H1053" s="309">
        <v>13115</v>
      </c>
      <c r="I1053" s="310">
        <v>31</v>
      </c>
      <c r="J1053" s="307">
        <v>289988366</v>
      </c>
      <c r="K1053" s="307">
        <f>IFERROR(Table24[[#This Row],[ROUTE COST]]/Table24[[#This Row],[O - DEMAND]],0)</f>
        <v>63496.467265163126</v>
      </c>
      <c r="L1053" s="306">
        <v>4567</v>
      </c>
      <c r="M1053" s="310">
        <f>Table24[[#This Row],[O - DEMAND]]/950</f>
        <v>4.8073684210526313</v>
      </c>
      <c r="N1053" s="306">
        <f>IFERROR(VLOOKUP(Table24[[#This Row],[ROUTE]],DEMAND!A:F,5,FALSE),0)</f>
        <v>4735</v>
      </c>
      <c r="O1053" s="306">
        <f>IFERROR(VLOOKUP(Table24[[#This Row],[ROUTE]],DEMAND!A:F,6,FALSE),0)</f>
        <v>935</v>
      </c>
      <c r="P1053" s="306">
        <f>ROUNDDOWN(Table24[[#This Row],[R-DEMAND]]/950,0)</f>
        <v>0</v>
      </c>
      <c r="Q1053" s="306">
        <f>Table24[[#This Row],[ADD ACC
(475/950)]]*Table24[[#This Row],[Duration
(A359)]]</f>
        <v>0</v>
      </c>
      <c r="R1053" s="307">
        <f>IFERROR(VLOOKUP(Table24[[#This Row],[ROUTE]],PRICING!A:B,2,FALSE),0)</f>
        <v>3724</v>
      </c>
      <c r="S1053" s="308">
        <f>Table24[[#This Row],[C_DEMAND]]-Table24[[#This Row],[R-DEMAND]]</f>
        <v>3800</v>
      </c>
      <c r="T1053" s="307">
        <f>Table24[[#This Row],[SEATS SOLD]]*Table24[[#This Row],[ECO SEAT]]</f>
        <v>14151200</v>
      </c>
      <c r="U1053" s="307">
        <f>Table24[[#This Row],[SEATS SOLD]]*(IFERROR(VLOOKUP(Table24[[#This Row],[ROUTE]],PRICING!A:C,3,FALSE),0))</f>
        <v>15903000</v>
      </c>
      <c r="V1053" s="307">
        <f>Table24[[#This Row],[SEAT REV]]-Table24[[#This Row],[SEAT REV
(IF IDEAL $)]]</f>
        <v>-1751800</v>
      </c>
    </row>
    <row r="1054" spans="1:22" customFormat="1" x14ac:dyDescent="0.25">
      <c r="A1054" s="306" t="s">
        <v>17485</v>
      </c>
      <c r="B1054" s="306" t="s">
        <v>5602</v>
      </c>
      <c r="C1054" s="306" t="s">
        <v>2</v>
      </c>
      <c r="D1054" s="26">
        <v>4</v>
      </c>
      <c r="E1054" s="312" t="s">
        <v>11049</v>
      </c>
      <c r="F1054" s="306" t="str">
        <f>VLOOKUP(Table24[[#This Row],[Country]],Table10[[COUNTRY NAME]:[CONTINENT CODE]],3,FALSE)</f>
        <v>EU</v>
      </c>
      <c r="G1054" s="312" t="s">
        <v>11048</v>
      </c>
      <c r="H1054" s="309">
        <v>8195</v>
      </c>
      <c r="I1054" s="310">
        <v>20</v>
      </c>
      <c r="J1054" s="307">
        <v>217781851</v>
      </c>
      <c r="K1054" s="307">
        <f>IFERROR(Table24[[#This Row],[ROUTE COST]]/Table24[[#This Row],[O - DEMAND]],0)</f>
        <v>61381.58145434047</v>
      </c>
      <c r="L1054" s="306">
        <v>3548</v>
      </c>
      <c r="M1054" s="310">
        <f>Table24[[#This Row],[O - DEMAND]]/950</f>
        <v>3.7347368421052631</v>
      </c>
      <c r="N1054" s="306">
        <f>IFERROR(VLOOKUP(Table24[[#This Row],[ROUTE]],DEMAND!A:F,5,FALSE),0)</f>
        <v>3785</v>
      </c>
      <c r="O1054" s="306">
        <f>IFERROR(VLOOKUP(Table24[[#This Row],[ROUTE]],DEMAND!A:F,6,FALSE),0)</f>
        <v>935</v>
      </c>
      <c r="P1054" s="306">
        <f>ROUNDDOWN(Table24[[#This Row],[R-DEMAND]]/950,0)</f>
        <v>0</v>
      </c>
      <c r="Q1054" s="306">
        <f>Table24[[#This Row],[ADD ACC
(475/950)]]*Table24[[#This Row],[Duration
(A359)]]</f>
        <v>0</v>
      </c>
      <c r="R1054" s="307">
        <f>IFERROR(VLOOKUP(Table24[[#This Row],[ROUTE]],PRICING!A:B,2,FALSE),0)</f>
        <v>2128</v>
      </c>
      <c r="S1054" s="308">
        <f>Table24[[#This Row],[C_DEMAND]]-Table24[[#This Row],[R-DEMAND]]</f>
        <v>2850</v>
      </c>
      <c r="T1054" s="307">
        <f>Table24[[#This Row],[SEATS SOLD]]*Table24[[#This Row],[ECO SEAT]]</f>
        <v>6064800</v>
      </c>
      <c r="U1054" s="307">
        <f>Table24[[#This Row],[SEATS SOLD]]*(IFERROR(VLOOKUP(Table24[[#This Row],[ROUTE]],PRICING!A:C,3,FALSE),0))</f>
        <v>7581000</v>
      </c>
      <c r="V1054" s="307">
        <f>Table24[[#This Row],[SEAT REV]]-Table24[[#This Row],[SEAT REV
(IF IDEAL $)]]</f>
        <v>-1516200</v>
      </c>
    </row>
    <row r="1055" spans="1:22" customFormat="1" x14ac:dyDescent="0.25">
      <c r="A1055" s="306" t="s">
        <v>17288</v>
      </c>
      <c r="B1055" s="306" t="s">
        <v>4725</v>
      </c>
      <c r="C1055" s="306" t="s">
        <v>2</v>
      </c>
      <c r="D1055" s="26">
        <v>3</v>
      </c>
      <c r="E1055" s="312" t="s">
        <v>142</v>
      </c>
      <c r="F1055" s="306" t="str">
        <f>VLOOKUP(Table24[[#This Row],[Country]],Table10[[COUNTRY NAME]:[CONTINENT CODE]],3,FALSE)</f>
        <v>AS</v>
      </c>
      <c r="G1055" s="312" t="s">
        <v>10855</v>
      </c>
      <c r="H1055" s="309">
        <v>12595</v>
      </c>
      <c r="I1055" s="310">
        <v>29.75</v>
      </c>
      <c r="J1055" s="307">
        <v>239651221</v>
      </c>
      <c r="K1055" s="307">
        <f>IFERROR(Table24[[#This Row],[ROUTE COST]]/Table24[[#This Row],[O - DEMAND]],0)</f>
        <v>89322.109951546779</v>
      </c>
      <c r="L1055" s="306">
        <v>2683</v>
      </c>
      <c r="M1055" s="310">
        <f>Table24[[#This Row],[O - DEMAND]]/950</f>
        <v>2.8242105263157895</v>
      </c>
      <c r="N1055" s="306">
        <f>IFERROR(VLOOKUP(Table24[[#This Row],[ROUTE]],DEMAND!A:F,5,FALSE),0)</f>
        <v>2836</v>
      </c>
      <c r="O1055" s="306">
        <f>IFERROR(VLOOKUP(Table24[[#This Row],[ROUTE]],DEMAND!A:F,6,FALSE),0)</f>
        <v>936</v>
      </c>
      <c r="P1055" s="306">
        <f>ROUNDDOWN(Table24[[#This Row],[R-DEMAND]]/950,0)</f>
        <v>0</v>
      </c>
      <c r="Q1055" s="306">
        <f>Table24[[#This Row],[ADD ACC
(475/950)]]*Table24[[#This Row],[Duration
(A359)]]</f>
        <v>0</v>
      </c>
      <c r="R1055" s="307">
        <f>IFERROR(VLOOKUP(Table24[[#This Row],[ROUTE]],PRICING!A:B,2,FALSE),0)</f>
        <v>3339</v>
      </c>
      <c r="S1055" s="308">
        <f>Table24[[#This Row],[C_DEMAND]]-Table24[[#This Row],[R-DEMAND]]</f>
        <v>1900</v>
      </c>
      <c r="T1055" s="307">
        <f>Table24[[#This Row],[SEATS SOLD]]*Table24[[#This Row],[ECO SEAT]]</f>
        <v>6344100</v>
      </c>
      <c r="U1055" s="307">
        <f>Table24[[#This Row],[SEATS SOLD]]*(IFERROR(VLOOKUP(Table24[[#This Row],[ROUTE]],PRICING!A:C,3,FALSE),0))</f>
        <v>7645600</v>
      </c>
      <c r="V1055" s="307">
        <f>Table24[[#This Row],[SEAT REV]]-Table24[[#This Row],[SEAT REV
(IF IDEAL $)]]</f>
        <v>-1301500</v>
      </c>
    </row>
    <row r="1056" spans="1:22" customFormat="1" x14ac:dyDescent="0.25">
      <c r="A1056" s="306" t="s">
        <v>17281</v>
      </c>
      <c r="B1056" s="306" t="s">
        <v>5149</v>
      </c>
      <c r="C1056" s="306" t="s">
        <v>2</v>
      </c>
      <c r="D1056" s="26">
        <v>3</v>
      </c>
      <c r="E1056" s="312" t="s">
        <v>14</v>
      </c>
      <c r="F1056" s="306" t="str">
        <f>VLOOKUP(Table24[[#This Row],[Country]],Table10[[COUNTRY NAME]:[CONTINENT CODE]],3,FALSE)</f>
        <v>AS</v>
      </c>
      <c r="G1056" s="312" t="s">
        <v>12019</v>
      </c>
      <c r="H1056" s="309">
        <v>13396</v>
      </c>
      <c r="I1056" s="310">
        <v>31.5</v>
      </c>
      <c r="J1056" s="307">
        <v>253825143</v>
      </c>
      <c r="K1056" s="307">
        <f>IFERROR(Table24[[#This Row],[ROUTE COST]]/Table24[[#This Row],[O - DEMAND]],0)</f>
        <v>69924.281818181815</v>
      </c>
      <c r="L1056" s="306">
        <v>3630</v>
      </c>
      <c r="M1056" s="310">
        <f>Table24[[#This Row],[O - DEMAND]]/950</f>
        <v>3.8210526315789473</v>
      </c>
      <c r="N1056" s="306">
        <f>IFERROR(VLOOKUP(Table24[[#This Row],[ROUTE]],DEMAND!A:F,5,FALSE),0)</f>
        <v>3787</v>
      </c>
      <c r="O1056" s="306">
        <f>IFERROR(VLOOKUP(Table24[[#This Row],[ROUTE]],DEMAND!A:F,6,FALSE),0)</f>
        <v>937</v>
      </c>
      <c r="P1056" s="306">
        <f>ROUNDDOWN(Table24[[#This Row],[R-DEMAND]]/950,0)</f>
        <v>0</v>
      </c>
      <c r="Q1056" s="306">
        <f>Table24[[#This Row],[ADD ACC
(475/950)]]*Table24[[#This Row],[Duration
(A359)]]</f>
        <v>0</v>
      </c>
      <c r="R1056" s="307">
        <f>IFERROR(VLOOKUP(Table24[[#This Row],[ROUTE]],PRICING!A:B,2,FALSE),0)</f>
        <v>3716</v>
      </c>
      <c r="S1056" s="308">
        <f>Table24[[#This Row],[C_DEMAND]]-Table24[[#This Row],[R-DEMAND]]</f>
        <v>2850</v>
      </c>
      <c r="T1056" s="307">
        <f>Table24[[#This Row],[SEATS SOLD]]*Table24[[#This Row],[ECO SEAT]]</f>
        <v>10590600</v>
      </c>
      <c r="U1056" s="307">
        <f>Table24[[#This Row],[SEATS SOLD]]*(IFERROR(VLOOKUP(Table24[[#This Row],[ROUTE]],PRICING!A:C,3,FALSE),0))</f>
        <v>12175200</v>
      </c>
      <c r="V1056" s="307">
        <f>Table24[[#This Row],[SEAT REV]]-Table24[[#This Row],[SEAT REV
(IF IDEAL $)]]</f>
        <v>-1584600</v>
      </c>
    </row>
    <row r="1057" spans="1:27" customFormat="1" x14ac:dyDescent="0.25">
      <c r="A1057" s="306" t="s">
        <v>17538</v>
      </c>
      <c r="B1057" s="306" t="s">
        <v>4930</v>
      </c>
      <c r="C1057" s="306" t="s">
        <v>2</v>
      </c>
      <c r="D1057" s="26">
        <v>3</v>
      </c>
      <c r="E1057" s="312" t="s">
        <v>520</v>
      </c>
      <c r="F1057" s="306" t="str">
        <f>VLOOKUP(Table24[[#This Row],[Country]],Table10[[COUNTRY NAME]:[CONTINENT CODE]],3,FALSE)</f>
        <v>EU</v>
      </c>
      <c r="G1057" s="312" t="s">
        <v>11818</v>
      </c>
      <c r="H1057" s="309">
        <v>8630</v>
      </c>
      <c r="I1057" s="310">
        <v>21</v>
      </c>
      <c r="J1057" s="307">
        <v>202006789</v>
      </c>
      <c r="K1057" s="307">
        <f>IFERROR(Table24[[#This Row],[ROUTE COST]]/Table24[[#This Row],[O - DEMAND]],0)</f>
        <v>73805.91487029595</v>
      </c>
      <c r="L1057" s="306">
        <v>2737</v>
      </c>
      <c r="M1057" s="310">
        <f>Table24[[#This Row],[O - DEMAND]]/950</f>
        <v>2.8810526315789473</v>
      </c>
      <c r="N1057" s="306">
        <f>IFERROR(VLOOKUP(Table24[[#This Row],[ROUTE]],DEMAND!A:F,5,FALSE),0)</f>
        <v>2837</v>
      </c>
      <c r="O1057" s="306">
        <f>IFERROR(VLOOKUP(Table24[[#This Row],[ROUTE]],DEMAND!A:F,6,FALSE),0)</f>
        <v>937</v>
      </c>
      <c r="P1057" s="306">
        <f>ROUNDDOWN(Table24[[#This Row],[R-DEMAND]]/950,0)</f>
        <v>0</v>
      </c>
      <c r="Q1057" s="306">
        <f>Table24[[#This Row],[ADD ACC
(475/950)]]*Table24[[#This Row],[Duration
(A359)]]</f>
        <v>0</v>
      </c>
      <c r="R1057" s="307">
        <f>IFERROR(VLOOKUP(Table24[[#This Row],[ROUTE]],PRICING!A:B,2,FALSE),0)</f>
        <v>2487</v>
      </c>
      <c r="S1057" s="308">
        <f>Table24[[#This Row],[C_DEMAND]]-Table24[[#This Row],[R-DEMAND]]</f>
        <v>1900</v>
      </c>
      <c r="T1057" s="307">
        <f>Table24[[#This Row],[SEATS SOLD]]*Table24[[#This Row],[ECO SEAT]]</f>
        <v>4725300</v>
      </c>
      <c r="U1057" s="307">
        <f>Table24[[#This Row],[SEATS SOLD]]*(IFERROR(VLOOKUP(Table24[[#This Row],[ROUTE]],PRICING!A:C,3,FALSE),0))</f>
        <v>5310500</v>
      </c>
      <c r="V1057" s="307">
        <f>Table24[[#This Row],[SEAT REV]]-Table24[[#This Row],[SEAT REV
(IF IDEAL $)]]</f>
        <v>-585200</v>
      </c>
    </row>
    <row r="1058" spans="1:27" customFormat="1" x14ac:dyDescent="0.25">
      <c r="A1058" s="306" t="s">
        <v>17236</v>
      </c>
      <c r="B1058" s="306" t="s">
        <v>435</v>
      </c>
      <c r="C1058" s="306" t="s">
        <v>2</v>
      </c>
      <c r="D1058" s="26">
        <v>4</v>
      </c>
      <c r="E1058" s="312" t="s">
        <v>1847</v>
      </c>
      <c r="F1058" s="306" t="str">
        <f>VLOOKUP(Table24[[#This Row],[Country]],Table10[[COUNTRY NAME]:[CONTINENT CODE]],3,FALSE)</f>
        <v>AS</v>
      </c>
      <c r="G1058" s="312" t="s">
        <v>11109</v>
      </c>
      <c r="H1058" s="309">
        <v>12541</v>
      </c>
      <c r="I1058" s="310">
        <v>29.75</v>
      </c>
      <c r="J1058" s="307">
        <v>258296488</v>
      </c>
      <c r="K1058" s="307">
        <f>IFERROR(Table24[[#This Row],[ROUTE COST]]/Table24[[#This Row],[O - DEMAND]],0)</f>
        <v>70921.605711147728</v>
      </c>
      <c r="L1058" s="306">
        <v>3642</v>
      </c>
      <c r="M1058" s="310">
        <f>Table24[[#This Row],[O - DEMAND]]/950</f>
        <v>3.8336842105263158</v>
      </c>
      <c r="N1058" s="306">
        <f>IFERROR(VLOOKUP(Table24[[#This Row],[ROUTE]],DEMAND!A:F,5,FALSE),0)</f>
        <v>3788</v>
      </c>
      <c r="O1058" s="306">
        <f>IFERROR(VLOOKUP(Table24[[#This Row],[ROUTE]],DEMAND!A:F,6,FALSE),0)</f>
        <v>938</v>
      </c>
      <c r="P1058" s="306">
        <f>ROUNDDOWN(Table24[[#This Row],[R-DEMAND]]/950,0)</f>
        <v>0</v>
      </c>
      <c r="Q1058" s="306">
        <f>Table24[[#This Row],[ADD ACC
(475/950)]]*Table24[[#This Row],[Duration
(A359)]]</f>
        <v>0</v>
      </c>
      <c r="R1058" s="307">
        <f>IFERROR(VLOOKUP(Table24[[#This Row],[ROUTE]],PRICING!A:B,2,FALSE),0)</f>
        <v>3526</v>
      </c>
      <c r="S1058" s="308">
        <f>Table24[[#This Row],[C_DEMAND]]-Table24[[#This Row],[R-DEMAND]]</f>
        <v>2850</v>
      </c>
      <c r="T1058" s="307">
        <f>Table24[[#This Row],[SEATS SOLD]]*Table24[[#This Row],[ECO SEAT]]</f>
        <v>10049100</v>
      </c>
      <c r="U1058" s="307">
        <f>Table24[[#This Row],[SEATS SOLD]]*(IFERROR(VLOOKUP(Table24[[#This Row],[ROUTE]],PRICING!A:C,3,FALSE),0))</f>
        <v>11419950</v>
      </c>
      <c r="V1058" s="307">
        <f>Table24[[#This Row],[SEAT REV]]-Table24[[#This Row],[SEAT REV
(IF IDEAL $)]]</f>
        <v>-1370850</v>
      </c>
    </row>
    <row r="1059" spans="1:27" customFormat="1" x14ac:dyDescent="0.25">
      <c r="A1059" s="306" t="s">
        <v>17733</v>
      </c>
      <c r="B1059" s="306" t="s">
        <v>5703</v>
      </c>
      <c r="C1059" s="306" t="s">
        <v>2</v>
      </c>
      <c r="D1059" s="26">
        <v>5</v>
      </c>
      <c r="E1059" s="312" t="s">
        <v>1749</v>
      </c>
      <c r="F1059" s="306" t="str">
        <f>VLOOKUP(Table24[[#This Row],[Country]],Table10[[COUNTRY NAME]:[CONTINENT CODE]],3,FALSE)</f>
        <v>NA</v>
      </c>
      <c r="G1059" s="312" t="s">
        <v>13225</v>
      </c>
      <c r="H1059" s="309">
        <v>2814</v>
      </c>
      <c r="I1059" s="310">
        <v>8.25</v>
      </c>
      <c r="J1059" s="307">
        <v>175978767</v>
      </c>
      <c r="K1059" s="307">
        <f>IFERROR(Table24[[#This Row],[ROUTE COST]]/Table24[[#This Row],[O - DEMAND]],0)</f>
        <v>38389.783376963351</v>
      </c>
      <c r="L1059" s="306">
        <v>4584</v>
      </c>
      <c r="M1059" s="310">
        <f>Table24[[#This Row],[O - DEMAND]]/950</f>
        <v>4.8252631578947369</v>
      </c>
      <c r="N1059" s="306">
        <f>IFERROR(VLOOKUP(Table24[[#This Row],[ROUTE]],DEMAND!A:F,5,FALSE),0)</f>
        <v>4738</v>
      </c>
      <c r="O1059" s="306">
        <f>IFERROR(VLOOKUP(Table24[[#This Row],[ROUTE]],DEMAND!A:F,6,FALSE),0)</f>
        <v>938</v>
      </c>
      <c r="P1059" s="306">
        <f>ROUNDDOWN(Table24[[#This Row],[R-DEMAND]]/950,0)</f>
        <v>0</v>
      </c>
      <c r="Q1059" s="306">
        <f>Table24[[#This Row],[ADD ACC
(475/950)]]*Table24[[#This Row],[Duration
(A359)]]</f>
        <v>0</v>
      </c>
      <c r="R1059" s="307">
        <f>IFERROR(VLOOKUP(Table24[[#This Row],[ROUTE]],PRICING!A:B,2,FALSE),0)</f>
        <v>892</v>
      </c>
      <c r="S1059" s="308">
        <f>Table24[[#This Row],[C_DEMAND]]-Table24[[#This Row],[R-DEMAND]]</f>
        <v>3800</v>
      </c>
      <c r="T1059" s="307">
        <f>Table24[[#This Row],[SEATS SOLD]]*Table24[[#This Row],[ECO SEAT]]</f>
        <v>3389600</v>
      </c>
      <c r="U1059" s="307">
        <f>Table24[[#This Row],[SEATS SOLD]]*(IFERROR(VLOOKUP(Table24[[#This Row],[ROUTE]],PRICING!A:C,3,FALSE),0))</f>
        <v>3769600</v>
      </c>
      <c r="V1059" s="307">
        <f>Table24[[#This Row],[SEAT REV]]-Table24[[#This Row],[SEAT REV
(IF IDEAL $)]]</f>
        <v>-380000</v>
      </c>
    </row>
    <row r="1060" spans="1:27" customFormat="1" x14ac:dyDescent="0.25">
      <c r="A1060" s="306" t="s">
        <v>17547</v>
      </c>
      <c r="B1060" s="306" t="s">
        <v>4727</v>
      </c>
      <c r="C1060" s="306" t="s">
        <v>2</v>
      </c>
      <c r="D1060" s="26">
        <v>3</v>
      </c>
      <c r="E1060" s="312" t="s">
        <v>758</v>
      </c>
      <c r="F1060" s="306" t="str">
        <f>VLOOKUP(Table24[[#This Row],[Country]],Table10[[COUNTRY NAME]:[CONTINENT CODE]],3,FALSE)</f>
        <v>EU</v>
      </c>
      <c r="G1060" s="312" t="s">
        <v>16897</v>
      </c>
      <c r="H1060" s="309">
        <v>8324</v>
      </c>
      <c r="I1060" s="310">
        <v>20.5</v>
      </c>
      <c r="J1060" s="307">
        <v>196270511</v>
      </c>
      <c r="K1060" s="307">
        <f>IFERROR(Table24[[#This Row],[ROUTE COST]]/Table24[[#This Row],[O - DEMAND]],0)</f>
        <v>71449.039315617032</v>
      </c>
      <c r="L1060" s="306">
        <v>2747</v>
      </c>
      <c r="M1060" s="310">
        <f>Table24[[#This Row],[O - DEMAND]]/950</f>
        <v>2.891578947368421</v>
      </c>
      <c r="N1060" s="306">
        <f>IFERROR(VLOOKUP(Table24[[#This Row],[ROUTE]],DEMAND!A:F,5,FALSE),0)</f>
        <v>2839</v>
      </c>
      <c r="O1060" s="306">
        <f>IFERROR(VLOOKUP(Table24[[#This Row],[ROUTE]],DEMAND!A:F,6,FALSE),0)</f>
        <v>939</v>
      </c>
      <c r="P1060" s="306">
        <f>ROUNDDOWN(Table24[[#This Row],[R-DEMAND]]/950,0)</f>
        <v>0</v>
      </c>
      <c r="Q1060" s="306">
        <f>Table24[[#This Row],[ADD ACC
(475/950)]]*Table24[[#This Row],[Duration
(A359)]]</f>
        <v>0</v>
      </c>
      <c r="R1060" s="307">
        <f>IFERROR(VLOOKUP(Table24[[#This Row],[ROUTE]],PRICING!A:B,2,FALSE),0)</f>
        <v>2430</v>
      </c>
      <c r="S1060" s="308">
        <f>Table24[[#This Row],[C_DEMAND]]-Table24[[#This Row],[R-DEMAND]]</f>
        <v>1900</v>
      </c>
      <c r="T1060" s="307">
        <f>Table24[[#This Row],[SEATS SOLD]]*Table24[[#This Row],[ECO SEAT]]</f>
        <v>4617000</v>
      </c>
      <c r="U1060" s="307">
        <f>Table24[[#This Row],[SEATS SOLD]]*(IFERROR(VLOOKUP(Table24[[#This Row],[ROUTE]],PRICING!A:C,3,FALSE),0))</f>
        <v>5130000</v>
      </c>
      <c r="V1060" s="307">
        <f>Table24[[#This Row],[SEAT REV]]-Table24[[#This Row],[SEAT REV
(IF IDEAL $)]]</f>
        <v>-513000</v>
      </c>
    </row>
    <row r="1061" spans="1:27" customFormat="1" x14ac:dyDescent="0.25">
      <c r="A1061" s="306" t="s">
        <v>17131</v>
      </c>
      <c r="B1061" s="306" t="s">
        <v>5471</v>
      </c>
      <c r="C1061" s="306" t="s">
        <v>2</v>
      </c>
      <c r="D1061" s="26">
        <v>4</v>
      </c>
      <c r="E1061" s="312" t="s">
        <v>1124</v>
      </c>
      <c r="F1061" s="306" t="str">
        <f>VLOOKUP(Table24[[#This Row],[Country]],Table10[[COUNTRY NAME]:[CONTINENT CODE]],3,FALSE)</f>
        <v>AF</v>
      </c>
      <c r="G1061" s="312" t="s">
        <v>11079</v>
      </c>
      <c r="H1061" s="309">
        <v>10573</v>
      </c>
      <c r="I1061" s="310">
        <v>25.25</v>
      </c>
      <c r="J1061" s="307">
        <v>234842291</v>
      </c>
      <c r="K1061" s="307">
        <f>IFERROR(Table24[[#This Row],[ROUTE COST]]/Table24[[#This Row],[O - DEMAND]],0)</f>
        <v>51853.011923161845</v>
      </c>
      <c r="L1061" s="306">
        <v>4529</v>
      </c>
      <c r="M1061" s="310">
        <f>Table24[[#This Row],[O - DEMAND]]/950</f>
        <v>4.7673684210526313</v>
      </c>
      <c r="N1061" s="306">
        <f>IFERROR(VLOOKUP(Table24[[#This Row],[ROUTE]],DEMAND!A:F,5,FALSE),0)</f>
        <v>4741</v>
      </c>
      <c r="O1061" s="306">
        <f>IFERROR(VLOOKUP(Table24[[#This Row],[ROUTE]],DEMAND!A:F,6,FALSE),0)</f>
        <v>941</v>
      </c>
      <c r="P1061" s="306">
        <f>ROUNDDOWN(Table24[[#This Row],[R-DEMAND]]/950,0)</f>
        <v>0</v>
      </c>
      <c r="Q1061" s="306">
        <f>Table24[[#This Row],[ADD ACC
(475/950)]]*Table24[[#This Row],[Duration
(A359)]]</f>
        <v>0</v>
      </c>
      <c r="R1061" s="307">
        <f>IFERROR(VLOOKUP(Table24[[#This Row],[ROUTE]],PRICING!A:B,2,FALSE),0)</f>
        <v>2921</v>
      </c>
      <c r="S1061" s="308">
        <f>Table24[[#This Row],[C_DEMAND]]-Table24[[#This Row],[R-DEMAND]]</f>
        <v>3800</v>
      </c>
      <c r="T1061" s="307">
        <f>Table24[[#This Row],[SEATS SOLD]]*Table24[[#This Row],[ECO SEAT]]</f>
        <v>11099800</v>
      </c>
      <c r="U1061" s="307">
        <f>Table24[[#This Row],[SEATS SOLD]]*(IFERROR(VLOOKUP(Table24[[#This Row],[ROUTE]],PRICING!A:C,3,FALSE),0))</f>
        <v>12908600</v>
      </c>
      <c r="V1061" s="307">
        <f>Table24[[#This Row],[SEAT REV]]-Table24[[#This Row],[SEAT REV
(IF IDEAL $)]]</f>
        <v>-1808800</v>
      </c>
    </row>
    <row r="1062" spans="1:27" customFormat="1" x14ac:dyDescent="0.25">
      <c r="A1062" s="306" t="s">
        <v>18052</v>
      </c>
      <c r="B1062" s="306" t="s">
        <v>4738</v>
      </c>
      <c r="C1062" s="306" t="s">
        <v>2</v>
      </c>
      <c r="D1062" s="26">
        <v>3</v>
      </c>
      <c r="E1062" s="312" t="s">
        <v>714</v>
      </c>
      <c r="F1062" s="306" t="str">
        <f>VLOOKUP(Table24[[#This Row],[Country]],Table10[[COUNTRY NAME]:[CONTINENT CODE]],3,FALSE)</f>
        <v>SA</v>
      </c>
      <c r="G1062" s="312" t="s">
        <v>13241</v>
      </c>
      <c r="H1062" s="309">
        <v>3572</v>
      </c>
      <c r="I1062" s="310">
        <v>10</v>
      </c>
      <c r="J1062" s="307">
        <v>149542542</v>
      </c>
      <c r="K1062" s="307">
        <f>IFERROR(Table24[[#This Row],[ROUTE COST]]/Table24[[#This Row],[O - DEMAND]],0)</f>
        <v>41150.947165657679</v>
      </c>
      <c r="L1062" s="306">
        <v>3634</v>
      </c>
      <c r="M1062" s="310">
        <f>Table24[[#This Row],[O - DEMAND]]/950</f>
        <v>3.8252631578947369</v>
      </c>
      <c r="N1062" s="306">
        <f>IFERROR(VLOOKUP(Table24[[#This Row],[ROUTE]],DEMAND!A:F,5,FALSE),0)</f>
        <v>3792</v>
      </c>
      <c r="O1062" s="306">
        <f>IFERROR(VLOOKUP(Table24[[#This Row],[ROUTE]],DEMAND!A:F,6,FALSE),0)</f>
        <v>942</v>
      </c>
      <c r="P1062" s="306">
        <f>ROUNDDOWN(Table24[[#This Row],[R-DEMAND]]/950,0)</f>
        <v>0</v>
      </c>
      <c r="Q1062" s="306">
        <f>Table24[[#This Row],[ADD ACC
(475/950)]]*Table24[[#This Row],[Duration
(A359)]]</f>
        <v>0</v>
      </c>
      <c r="R1062" s="307">
        <f>IFERROR(VLOOKUP(Table24[[#This Row],[ROUTE]],PRICING!A:B,2,FALSE),0)</f>
        <v>1067</v>
      </c>
      <c r="S1062" s="308">
        <f>Table24[[#This Row],[C_DEMAND]]-Table24[[#This Row],[R-DEMAND]]</f>
        <v>2850</v>
      </c>
      <c r="T1062" s="307">
        <f>Table24[[#This Row],[SEATS SOLD]]*Table24[[#This Row],[ECO SEAT]]</f>
        <v>3040950</v>
      </c>
      <c r="U1062" s="307">
        <f>Table24[[#This Row],[SEATS SOLD]]*(IFERROR(VLOOKUP(Table24[[#This Row],[ROUTE]],PRICING!A:C,3,FALSE),0))</f>
        <v>3496950</v>
      </c>
      <c r="V1062" s="307">
        <f>Table24[[#This Row],[SEAT REV]]-Table24[[#This Row],[SEAT REV
(IF IDEAL $)]]</f>
        <v>-456000</v>
      </c>
    </row>
    <row r="1063" spans="1:27" customFormat="1" x14ac:dyDescent="0.25">
      <c r="A1063" s="306" t="s">
        <v>17841</v>
      </c>
      <c r="B1063" s="306" t="s">
        <v>261</v>
      </c>
      <c r="C1063" s="306" t="s">
        <v>2</v>
      </c>
      <c r="D1063" s="26">
        <v>5</v>
      </c>
      <c r="E1063" s="312" t="s">
        <v>11732</v>
      </c>
      <c r="F1063" s="306" t="str">
        <f>VLOOKUP(Table24[[#This Row],[Country]],Table10[[COUNTRY NAME]:[CONTINENT CODE]],3,FALSE)</f>
        <v>NA - US</v>
      </c>
      <c r="G1063" s="312" t="s">
        <v>13348</v>
      </c>
      <c r="H1063" s="309">
        <v>2319</v>
      </c>
      <c r="I1063" s="310">
        <v>7.25</v>
      </c>
      <c r="J1063" s="307">
        <v>170200088</v>
      </c>
      <c r="K1063" s="307">
        <f>IFERROR(Table24[[#This Row],[ROUTE COST]]/Table24[[#This Row],[O - DEMAND]],0)</f>
        <v>63247.89594946117</v>
      </c>
      <c r="L1063" s="306">
        <v>2691</v>
      </c>
      <c r="M1063" s="310">
        <f>Table24[[#This Row],[O - DEMAND]]/950</f>
        <v>2.8326315789473684</v>
      </c>
      <c r="N1063" s="306">
        <f>IFERROR(VLOOKUP(Table24[[#This Row],[ROUTE]],DEMAND!A:F,5,FALSE),0)</f>
        <v>2844</v>
      </c>
      <c r="O1063" s="306">
        <f>IFERROR(VLOOKUP(Table24[[#This Row],[ROUTE]],DEMAND!A:F,6,FALSE),0)</f>
        <v>944</v>
      </c>
      <c r="P1063" s="306">
        <f>ROUNDDOWN(Table24[[#This Row],[R-DEMAND]]/950,0)</f>
        <v>0</v>
      </c>
      <c r="Q1063" s="306">
        <f>Table24[[#This Row],[ADD ACC
(475/950)]]*Table24[[#This Row],[Duration
(A359)]]</f>
        <v>0</v>
      </c>
      <c r="R1063" s="307">
        <f>IFERROR(VLOOKUP(Table24[[#This Row],[ROUTE]],PRICING!A:B,2,FALSE),0)</f>
        <v>695</v>
      </c>
      <c r="S1063" s="308">
        <f>Table24[[#This Row],[C_DEMAND]]-Table24[[#This Row],[R-DEMAND]]</f>
        <v>1900</v>
      </c>
      <c r="T1063" s="307">
        <f>Table24[[#This Row],[SEATS SOLD]]*Table24[[#This Row],[ECO SEAT]]</f>
        <v>1320500</v>
      </c>
      <c r="U1063" s="307">
        <f>Table24[[#This Row],[SEATS SOLD]]*(IFERROR(VLOOKUP(Table24[[#This Row],[ROUTE]],PRICING!A:C,3,FALSE),0))</f>
        <v>1592200</v>
      </c>
      <c r="V1063" s="307">
        <f>Table24[[#This Row],[SEAT REV]]-Table24[[#This Row],[SEAT REV
(IF IDEAL $)]]</f>
        <v>-271700</v>
      </c>
    </row>
    <row r="1064" spans="1:27" customFormat="1" x14ac:dyDescent="0.25">
      <c r="A1064" s="306" t="s">
        <v>17201</v>
      </c>
      <c r="B1064" s="306" t="s">
        <v>97</v>
      </c>
      <c r="C1064" s="306" t="s">
        <v>2</v>
      </c>
      <c r="D1064" s="26">
        <v>5</v>
      </c>
      <c r="E1064" s="312" t="s">
        <v>14</v>
      </c>
      <c r="F1064" s="306" t="str">
        <f>VLOOKUP(Table24[[#This Row],[Country]],Table10[[COUNTRY NAME]:[CONTINENT CODE]],3,FALSE)</f>
        <v>AS</v>
      </c>
      <c r="G1064" s="312" t="s">
        <v>12046</v>
      </c>
      <c r="H1064" s="309">
        <v>14295</v>
      </c>
      <c r="I1064" s="310">
        <v>33.5</v>
      </c>
      <c r="J1064" s="307">
        <v>289687414</v>
      </c>
      <c r="K1064" s="307">
        <f>IFERROR(Table24[[#This Row],[ROUTE COST]]/Table24[[#This Row],[O - DEMAND]],0)</f>
        <v>81395.733071087379</v>
      </c>
      <c r="L1064" s="306">
        <v>3559</v>
      </c>
      <c r="M1064" s="310">
        <f>Table24[[#This Row],[O - DEMAND]]/950</f>
        <v>3.7463157894736843</v>
      </c>
      <c r="N1064" s="306">
        <f>IFERROR(VLOOKUP(Table24[[#This Row],[ROUTE]],DEMAND!A:F,5,FALSE),0)</f>
        <v>3797</v>
      </c>
      <c r="O1064" s="306">
        <f>IFERROR(VLOOKUP(Table24[[#This Row],[ROUTE]],DEMAND!A:F,6,FALSE),0)</f>
        <v>947</v>
      </c>
      <c r="P1064" s="306">
        <f>ROUNDDOWN(Table24[[#This Row],[R-DEMAND]]/950,0)</f>
        <v>0</v>
      </c>
      <c r="Q1064" s="306">
        <f>Table24[[#This Row],[ADD ACC
(475/950)]]*Table24[[#This Row],[Duration
(A359)]]</f>
        <v>0</v>
      </c>
      <c r="R1064" s="307">
        <f>IFERROR(VLOOKUP(Table24[[#This Row],[ROUTE]],PRICING!A:B,2,FALSE),0)</f>
        <v>3640</v>
      </c>
      <c r="S1064" s="308">
        <f>Table24[[#This Row],[C_DEMAND]]-Table24[[#This Row],[R-DEMAND]]</f>
        <v>2850</v>
      </c>
      <c r="T1064" s="307">
        <f>Table24[[#This Row],[SEATS SOLD]]*Table24[[#This Row],[ECO SEAT]]</f>
        <v>10374000</v>
      </c>
      <c r="U1064" s="307">
        <f>Table24[[#This Row],[SEATS SOLD]]*(IFERROR(VLOOKUP(Table24[[#This Row],[ROUTE]],PRICING!A:C,3,FALSE),0))</f>
        <v>12970350</v>
      </c>
      <c r="V1064" s="307">
        <f>Table24[[#This Row],[SEAT REV]]-Table24[[#This Row],[SEAT REV
(IF IDEAL $)]]</f>
        <v>-2596350</v>
      </c>
    </row>
    <row r="1065" spans="1:27" customFormat="1" x14ac:dyDescent="0.25">
      <c r="A1065" s="306" t="s">
        <v>18087</v>
      </c>
      <c r="B1065" s="306" t="s">
        <v>3595</v>
      </c>
      <c r="C1065" s="306" t="s">
        <v>2</v>
      </c>
      <c r="D1065" s="26">
        <v>2</v>
      </c>
      <c r="E1065" s="312" t="s">
        <v>2293</v>
      </c>
      <c r="F1065" s="306" t="str">
        <f>VLOOKUP(Table24[[#This Row],[Country]],Table10[[COUNTRY NAME]:[CONTINENT CODE]],3,FALSE)</f>
        <v>SA</v>
      </c>
      <c r="G1065" s="312" t="s">
        <v>13200</v>
      </c>
      <c r="H1065" s="309">
        <v>2357</v>
      </c>
      <c r="I1065" s="310">
        <v>7.25</v>
      </c>
      <c r="J1065" s="307">
        <v>127222748</v>
      </c>
      <c r="K1065" s="307">
        <f>IFERROR(Table24[[#This Row],[ROUTE COST]]/Table24[[#This Row],[O - DEMAND]],0)</f>
        <v>47524.373552484125</v>
      </c>
      <c r="L1065" s="306">
        <v>2677</v>
      </c>
      <c r="M1065" s="310">
        <f>Table24[[#This Row],[O - DEMAND]]/950</f>
        <v>2.8178947368421055</v>
      </c>
      <c r="N1065" s="306">
        <f>IFERROR(VLOOKUP(Table24[[#This Row],[ROUTE]],DEMAND!A:F,5,FALSE),0)</f>
        <v>2847</v>
      </c>
      <c r="O1065" s="306">
        <f>IFERROR(VLOOKUP(Table24[[#This Row],[ROUTE]],DEMAND!A:F,6,FALSE),0)</f>
        <v>947</v>
      </c>
      <c r="P1065" s="306">
        <f>ROUNDDOWN(Table24[[#This Row],[R-DEMAND]]/950,0)</f>
        <v>0</v>
      </c>
      <c r="Q1065" s="306">
        <f>Table24[[#This Row],[ADD ACC
(475/950)]]*Table24[[#This Row],[Duration
(A359)]]</f>
        <v>0</v>
      </c>
      <c r="R1065" s="307">
        <f>IFERROR(VLOOKUP(Table24[[#This Row],[ROUTE]],PRICING!A:B,2,FALSE),0)</f>
        <v>688</v>
      </c>
      <c r="S1065" s="308">
        <f>Table24[[#This Row],[C_DEMAND]]-Table24[[#This Row],[R-DEMAND]]</f>
        <v>1900</v>
      </c>
      <c r="T1065" s="307">
        <f>Table24[[#This Row],[SEATS SOLD]]*Table24[[#This Row],[ECO SEAT]]</f>
        <v>1307200</v>
      </c>
      <c r="U1065" s="307">
        <f>Table24[[#This Row],[SEATS SOLD]]*(IFERROR(VLOOKUP(Table24[[#This Row],[ROUTE]],PRICING!A:C,3,FALSE),0))</f>
        <v>1615000</v>
      </c>
      <c r="V1065" s="307">
        <f>Table24[[#This Row],[SEAT REV]]-Table24[[#This Row],[SEAT REV
(IF IDEAL $)]]</f>
        <v>-307800</v>
      </c>
    </row>
    <row r="1066" spans="1:27" x14ac:dyDescent="0.25">
      <c r="X1066"/>
    </row>
    <row r="1067" spans="1:27" x14ac:dyDescent="0.25">
      <c r="X1067"/>
    </row>
    <row r="1068" spans="1:27" ht="15.75" thickBot="1" x14ac:dyDescent="0.3">
      <c r="X1068"/>
    </row>
    <row r="1069" spans="1:27" x14ac:dyDescent="0.25">
      <c r="X1069"/>
      <c r="Y1069" s="358" t="s">
        <v>3597</v>
      </c>
      <c r="Z1069" s="357">
        <v>21.25</v>
      </c>
      <c r="AA1069" s="572" t="s">
        <v>12664</v>
      </c>
    </row>
    <row r="1070" spans="1:27" x14ac:dyDescent="0.25">
      <c r="X1070"/>
      <c r="Y1070" s="355" t="s">
        <v>4516</v>
      </c>
      <c r="Z1070" s="320">
        <v>13</v>
      </c>
      <c r="AA1070" s="573"/>
    </row>
    <row r="1071" spans="1:27" x14ac:dyDescent="0.25">
      <c r="X1071"/>
      <c r="Y1071" s="355" t="s">
        <v>3307</v>
      </c>
      <c r="Z1071" s="320">
        <v>10.5</v>
      </c>
      <c r="AA1071" s="573"/>
    </row>
    <row r="1072" spans="1:27" x14ac:dyDescent="0.25">
      <c r="X1072"/>
      <c r="Y1072" s="355" t="s">
        <v>5055</v>
      </c>
      <c r="Z1072" s="320">
        <v>12.75</v>
      </c>
      <c r="AA1072" s="573"/>
    </row>
    <row r="1073" spans="24:27" x14ac:dyDescent="0.25">
      <c r="X1073"/>
      <c r="Y1073" s="355" t="s">
        <v>4669</v>
      </c>
      <c r="Z1073" s="320">
        <v>10.25</v>
      </c>
      <c r="AA1073" s="573"/>
    </row>
    <row r="1074" spans="24:27" x14ac:dyDescent="0.25">
      <c r="X1074"/>
      <c r="Y1074" s="355" t="s">
        <v>314</v>
      </c>
      <c r="Z1074" s="320">
        <v>7.5</v>
      </c>
      <c r="AA1074" s="573"/>
    </row>
    <row r="1075" spans="24:27" x14ac:dyDescent="0.25">
      <c r="X1075"/>
      <c r="Y1075" s="355" t="s">
        <v>3597</v>
      </c>
      <c r="Z1075" s="320">
        <v>21.25</v>
      </c>
      <c r="AA1075" s="573"/>
    </row>
    <row r="1076" spans="24:27" x14ac:dyDescent="0.25">
      <c r="X1076"/>
      <c r="Y1076" s="355" t="s">
        <v>4516</v>
      </c>
      <c r="Z1076" s="320">
        <v>13</v>
      </c>
      <c r="AA1076" s="573"/>
    </row>
    <row r="1077" spans="24:27" x14ac:dyDescent="0.25">
      <c r="X1077"/>
      <c r="Y1077" s="355" t="s">
        <v>3307</v>
      </c>
      <c r="Z1077" s="320">
        <v>10.5</v>
      </c>
      <c r="AA1077" s="573"/>
    </row>
    <row r="1078" spans="24:27" x14ac:dyDescent="0.25">
      <c r="X1078"/>
      <c r="Y1078" s="355" t="s">
        <v>5055</v>
      </c>
      <c r="Z1078" s="320">
        <v>12.75</v>
      </c>
      <c r="AA1078" s="573"/>
    </row>
    <row r="1079" spans="24:27" x14ac:dyDescent="0.25">
      <c r="X1079"/>
      <c r="Y1079" s="355" t="s">
        <v>4669</v>
      </c>
      <c r="Z1079" s="320">
        <v>10.25</v>
      </c>
      <c r="AA1079" s="573"/>
    </row>
    <row r="1080" spans="24:27" x14ac:dyDescent="0.25">
      <c r="X1080"/>
      <c r="Y1080" s="355" t="s">
        <v>4516</v>
      </c>
      <c r="Z1080" s="320">
        <v>13</v>
      </c>
      <c r="AA1080" s="573"/>
    </row>
    <row r="1081" spans="24:27" ht="15.75" thickBot="1" x14ac:dyDescent="0.3">
      <c r="X1081"/>
      <c r="Y1081" s="356" t="s">
        <v>3307</v>
      </c>
      <c r="Z1081" s="321">
        <v>10.5</v>
      </c>
      <c r="AA1081" s="574"/>
    </row>
    <row r="1082" spans="24:27" x14ac:dyDescent="0.25">
      <c r="X1082"/>
      <c r="Y1082" s="354" t="s">
        <v>4945</v>
      </c>
      <c r="Z1082" s="319">
        <v>9</v>
      </c>
      <c r="AA1082" s="575" t="s">
        <v>12664</v>
      </c>
    </row>
    <row r="1083" spans="24:27" x14ac:dyDescent="0.25">
      <c r="X1083"/>
      <c r="Y1083" s="350" t="s">
        <v>4578</v>
      </c>
      <c r="Z1083" s="351">
        <v>5.25</v>
      </c>
      <c r="AA1083" s="576"/>
    </row>
    <row r="1084" spans="24:27" x14ac:dyDescent="0.25">
      <c r="X1084"/>
      <c r="Y1084" s="350" t="s">
        <v>5079</v>
      </c>
      <c r="Z1084" s="351">
        <v>5.25</v>
      </c>
      <c r="AA1084" s="576"/>
    </row>
    <row r="1085" spans="24:27" x14ac:dyDescent="0.25">
      <c r="X1085"/>
      <c r="Y1085" s="350" t="s">
        <v>4973</v>
      </c>
      <c r="Z1085" s="351">
        <v>4.75</v>
      </c>
      <c r="AA1085" s="576"/>
    </row>
    <row r="1086" spans="24:27" x14ac:dyDescent="0.25">
      <c r="X1086"/>
      <c r="Y1086" s="350" t="s">
        <v>4896</v>
      </c>
      <c r="Z1086" s="351">
        <v>3.25</v>
      </c>
      <c r="AA1086" s="576"/>
    </row>
    <row r="1087" spans="24:27" x14ac:dyDescent="0.25">
      <c r="X1087"/>
      <c r="Y1087" s="350" t="s">
        <v>5147</v>
      </c>
      <c r="Z1087" s="351">
        <v>2.75</v>
      </c>
      <c r="AA1087" s="576"/>
    </row>
    <row r="1088" spans="24:27" x14ac:dyDescent="0.25">
      <c r="Y1088" s="355" t="s">
        <v>4945</v>
      </c>
      <c r="Z1088" s="320">
        <v>9</v>
      </c>
      <c r="AA1088" s="576"/>
    </row>
    <row r="1089" spans="25:27" x14ac:dyDescent="0.25">
      <c r="Y1089" s="350" t="s">
        <v>4578</v>
      </c>
      <c r="Z1089" s="351">
        <v>5.25</v>
      </c>
      <c r="AA1089" s="576"/>
    </row>
    <row r="1090" spans="25:27" x14ac:dyDescent="0.25">
      <c r="Y1090" s="350" t="s">
        <v>5079</v>
      </c>
      <c r="Z1090" s="351">
        <v>5.25</v>
      </c>
      <c r="AA1090" s="576"/>
    </row>
    <row r="1091" spans="25:27" x14ac:dyDescent="0.25">
      <c r="Y1091" s="350" t="s">
        <v>4973</v>
      </c>
      <c r="Z1091" s="351">
        <v>4.75</v>
      </c>
      <c r="AA1091" s="576"/>
    </row>
    <row r="1092" spans="25:27" x14ac:dyDescent="0.25">
      <c r="Y1092" s="355" t="s">
        <v>4945</v>
      </c>
      <c r="Z1092" s="320">
        <v>9</v>
      </c>
      <c r="AA1092" s="576"/>
    </row>
    <row r="1093" spans="25:27" x14ac:dyDescent="0.25">
      <c r="Y1093" s="350" t="s">
        <v>4896</v>
      </c>
      <c r="Z1093" s="351">
        <v>3.25</v>
      </c>
      <c r="AA1093" s="576"/>
    </row>
    <row r="1094" spans="25:27" x14ac:dyDescent="0.25">
      <c r="Y1094" s="350" t="s">
        <v>5147</v>
      </c>
      <c r="Z1094" s="351">
        <v>2.75</v>
      </c>
      <c r="AA1094" s="576"/>
    </row>
    <row r="1095" spans="25:27" x14ac:dyDescent="0.25">
      <c r="Y1095" s="355" t="s">
        <v>5505</v>
      </c>
      <c r="Z1095" s="320">
        <v>9</v>
      </c>
      <c r="AA1095" s="576"/>
    </row>
    <row r="1096" spans="25:27" x14ac:dyDescent="0.25">
      <c r="Y1096" s="350" t="s">
        <v>4537</v>
      </c>
      <c r="Z1096" s="351">
        <v>2.5</v>
      </c>
      <c r="AA1096" s="576"/>
    </row>
    <row r="1097" spans="25:27" x14ac:dyDescent="0.25">
      <c r="Y1097" s="355" t="s">
        <v>4945</v>
      </c>
      <c r="Z1097" s="320">
        <v>9</v>
      </c>
      <c r="AA1097" s="576"/>
    </row>
    <row r="1098" spans="25:27" x14ac:dyDescent="0.25">
      <c r="Y1098" s="350" t="s">
        <v>3836</v>
      </c>
      <c r="Z1098" s="351">
        <v>7.25</v>
      </c>
      <c r="AA1098" s="576"/>
    </row>
    <row r="1099" spans="25:27" x14ac:dyDescent="0.25">
      <c r="Y1099" s="350" t="s">
        <v>5298</v>
      </c>
      <c r="Z1099" s="351">
        <v>5.75</v>
      </c>
      <c r="AA1099" s="576"/>
    </row>
    <row r="1100" spans="25:27" x14ac:dyDescent="0.25">
      <c r="Y1100" s="350" t="s">
        <v>4649</v>
      </c>
      <c r="Z1100" s="351">
        <v>4</v>
      </c>
      <c r="AA1100" s="576"/>
    </row>
    <row r="1101" spans="25:27" ht="15.75" thickBot="1" x14ac:dyDescent="0.3">
      <c r="Y1101" s="352" t="s">
        <v>5647</v>
      </c>
      <c r="Z1101" s="353">
        <v>5.25</v>
      </c>
      <c r="AA1101" s="577"/>
    </row>
  </sheetData>
  <mergeCells count="2">
    <mergeCell ref="AA1069:AA1081"/>
    <mergeCell ref="AA1082:AA1101"/>
  </mergeCells>
  <conditionalFormatting sqref="B1:B1048576">
    <cfRule type="duplicateValues" dxfId="122" priority="555"/>
  </conditionalFormatting>
  <conditionalFormatting sqref="Y1:Y1048576 B1:B1048576">
    <cfRule type="duplicateValues" dxfId="121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D0F1-D7B0-4684-B766-2E605063D744}">
  <sheetPr>
    <tabColor rgb="FFFFFF00"/>
  </sheetPr>
  <dimension ref="A1:E12"/>
  <sheetViews>
    <sheetView workbookViewId="0">
      <selection activeCell="O34" sqref="O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" bestFit="1" customWidth="1"/>
    <col min="4" max="4" width="6" bestFit="1" customWidth="1"/>
    <col min="5" max="6" width="6.42578125" bestFit="1" customWidth="1"/>
  </cols>
  <sheetData>
    <row r="1" spans="1:5" x14ac:dyDescent="0.25">
      <c r="A1" s="152" t="s">
        <v>14057</v>
      </c>
      <c r="B1" t="s">
        <v>14064</v>
      </c>
    </row>
    <row r="3" spans="1:5" x14ac:dyDescent="0.25">
      <c r="A3" s="152" t="s">
        <v>15099</v>
      </c>
      <c r="B3" s="152" t="s">
        <v>15101</v>
      </c>
    </row>
    <row r="4" spans="1:5" ht="30" x14ac:dyDescent="0.25">
      <c r="A4" s="279" t="s">
        <v>14058</v>
      </c>
      <c r="B4" t="s">
        <v>14078</v>
      </c>
      <c r="C4" s="278" t="s">
        <v>467</v>
      </c>
      <c r="D4" t="s">
        <v>2</v>
      </c>
      <c r="E4" s="278" t="s">
        <v>14059</v>
      </c>
    </row>
    <row r="5" spans="1:5" ht="33.75" customHeight="1" x14ac:dyDescent="0.25">
      <c r="A5" s="17" t="s">
        <v>12671</v>
      </c>
      <c r="B5" s="153">
        <v>62</v>
      </c>
      <c r="C5" s="153"/>
      <c r="D5" s="153">
        <v>87</v>
      </c>
      <c r="E5" s="153">
        <v>149</v>
      </c>
    </row>
    <row r="6" spans="1:5" x14ac:dyDescent="0.25">
      <c r="A6" s="17" t="s">
        <v>12670</v>
      </c>
      <c r="B6" s="153">
        <v>136</v>
      </c>
      <c r="C6" s="153"/>
      <c r="D6" s="153">
        <v>128</v>
      </c>
      <c r="E6" s="153">
        <v>264</v>
      </c>
    </row>
    <row r="7" spans="1:5" x14ac:dyDescent="0.25">
      <c r="A7" s="17" t="s">
        <v>12674</v>
      </c>
      <c r="B7" s="153">
        <v>158</v>
      </c>
      <c r="C7" s="153">
        <v>1</v>
      </c>
      <c r="D7" s="153">
        <v>110</v>
      </c>
      <c r="E7" s="153">
        <v>269</v>
      </c>
    </row>
    <row r="8" spans="1:5" x14ac:dyDescent="0.25">
      <c r="A8" s="17" t="s">
        <v>12688</v>
      </c>
      <c r="B8" s="153">
        <v>51</v>
      </c>
      <c r="C8" s="153">
        <v>4</v>
      </c>
      <c r="D8" s="153">
        <v>38</v>
      </c>
      <c r="E8" s="153">
        <v>93</v>
      </c>
    </row>
    <row r="9" spans="1:5" x14ac:dyDescent="0.25">
      <c r="A9" s="17" t="s">
        <v>15969</v>
      </c>
      <c r="B9" s="153">
        <v>149</v>
      </c>
      <c r="C9" s="153">
        <v>2</v>
      </c>
      <c r="D9" s="153">
        <v>39</v>
      </c>
      <c r="E9" s="153">
        <v>190</v>
      </c>
    </row>
    <row r="10" spans="1:5" x14ac:dyDescent="0.25">
      <c r="A10" s="17" t="s">
        <v>12682</v>
      </c>
      <c r="B10" s="153"/>
      <c r="C10" s="153"/>
      <c r="D10" s="153">
        <v>13</v>
      </c>
      <c r="E10" s="153">
        <v>13</v>
      </c>
    </row>
    <row r="11" spans="1:5" x14ac:dyDescent="0.25">
      <c r="A11" s="17" t="s">
        <v>12694</v>
      </c>
      <c r="B11" s="153">
        <v>10</v>
      </c>
      <c r="C11" s="153">
        <v>3</v>
      </c>
      <c r="D11" s="153">
        <v>72</v>
      </c>
      <c r="E11" s="153">
        <v>85</v>
      </c>
    </row>
    <row r="12" spans="1:5" x14ac:dyDescent="0.25">
      <c r="A12" s="17" t="s">
        <v>14059</v>
      </c>
      <c r="B12" s="153">
        <v>566</v>
      </c>
      <c r="C12" s="153">
        <v>10</v>
      </c>
      <c r="D12" s="153">
        <v>487</v>
      </c>
      <c r="E12" s="153">
        <v>1063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3D290-D5B3-481C-B480-AA3EDC816841}">
  <sheetPr>
    <tabColor rgb="FFFFFF00"/>
  </sheetPr>
  <dimension ref="A3:L54"/>
  <sheetViews>
    <sheetView workbookViewId="0">
      <selection activeCell="H9" sqref="H9"/>
    </sheetView>
  </sheetViews>
  <sheetFormatPr defaultColWidth="9.140625" defaultRowHeight="15" x14ac:dyDescent="0.25"/>
  <cols>
    <col min="1" max="1" width="4.42578125" style="27" customWidth="1"/>
    <col min="2" max="2" width="16.42578125" style="27" bestFit="1" customWidth="1"/>
    <col min="3" max="3" width="18.5703125" style="333" bestFit="1" customWidth="1"/>
    <col min="4" max="4" width="4" style="333" bestFit="1" customWidth="1"/>
    <col min="5" max="6" width="3" style="333" bestFit="1" customWidth="1"/>
    <col min="7" max="7" width="7.28515625" style="333" bestFit="1" customWidth="1"/>
    <col min="8" max="9" width="11.28515625" style="333" bestFit="1" customWidth="1"/>
    <col min="10" max="16384" width="9.140625" style="27"/>
  </cols>
  <sheetData>
    <row r="3" spans="1:12" x14ac:dyDescent="0.25">
      <c r="B3" s="331" t="s">
        <v>15099</v>
      </c>
      <c r="C3" s="332" t="s">
        <v>15101</v>
      </c>
      <c r="I3" s="27"/>
    </row>
    <row r="4" spans="1:12" x14ac:dyDescent="0.25">
      <c r="B4" s="331" t="s">
        <v>14058</v>
      </c>
      <c r="C4" s="333">
        <v>1</v>
      </c>
      <c r="D4" s="333">
        <v>2</v>
      </c>
      <c r="E4" s="333">
        <v>3</v>
      </c>
      <c r="F4" s="333">
        <v>4</v>
      </c>
      <c r="G4" s="333" t="s">
        <v>14078</v>
      </c>
      <c r="H4" s="333" t="s">
        <v>14059</v>
      </c>
      <c r="I4" s="27"/>
    </row>
    <row r="5" spans="1:12" ht="33.75" customHeight="1" x14ac:dyDescent="0.25">
      <c r="B5" s="334" t="s">
        <v>14078</v>
      </c>
      <c r="C5" s="335"/>
      <c r="D5" s="335"/>
      <c r="E5" s="335"/>
      <c r="F5" s="335"/>
      <c r="G5" s="335"/>
      <c r="H5" s="335"/>
      <c r="I5" s="27"/>
    </row>
    <row r="6" spans="1:12" x14ac:dyDescent="0.25">
      <c r="A6" s="336"/>
      <c r="B6" s="337" t="s">
        <v>12671</v>
      </c>
      <c r="C6" s="335">
        <v>23</v>
      </c>
      <c r="D6" s="335">
        <v>39</v>
      </c>
      <c r="E6" s="335"/>
      <c r="F6" s="335"/>
      <c r="G6" s="335"/>
      <c r="H6" s="335">
        <v>62</v>
      </c>
      <c r="I6" s="27"/>
    </row>
    <row r="7" spans="1:12" x14ac:dyDescent="0.25">
      <c r="A7" s="336"/>
      <c r="B7" s="337" t="s">
        <v>12670</v>
      </c>
      <c r="C7" s="335">
        <v>36</v>
      </c>
      <c r="D7" s="335">
        <v>85</v>
      </c>
      <c r="E7" s="335"/>
      <c r="F7" s="335"/>
      <c r="G7" s="335">
        <v>15</v>
      </c>
      <c r="H7" s="335">
        <v>136</v>
      </c>
      <c r="I7" s="27"/>
    </row>
    <row r="8" spans="1:12" x14ac:dyDescent="0.25">
      <c r="A8" s="336"/>
      <c r="B8" s="337" t="s">
        <v>12674</v>
      </c>
      <c r="C8" s="335">
        <v>28</v>
      </c>
      <c r="D8" s="335">
        <v>98</v>
      </c>
      <c r="E8" s="335">
        <v>29</v>
      </c>
      <c r="F8" s="335"/>
      <c r="G8" s="335">
        <v>3</v>
      </c>
      <c r="H8" s="335">
        <v>158</v>
      </c>
      <c r="I8" s="27"/>
    </row>
    <row r="9" spans="1:12" x14ac:dyDescent="0.25">
      <c r="A9" s="336"/>
      <c r="B9" s="337" t="s">
        <v>12688</v>
      </c>
      <c r="C9" s="335">
        <v>4</v>
      </c>
      <c r="D9" s="335">
        <v>47</v>
      </c>
      <c r="E9" s="335"/>
      <c r="F9" s="335"/>
      <c r="G9" s="335"/>
      <c r="H9" s="335">
        <v>51</v>
      </c>
      <c r="I9" s="27"/>
    </row>
    <row r="10" spans="1:12" x14ac:dyDescent="0.25">
      <c r="A10" s="336"/>
      <c r="B10" s="337" t="s">
        <v>15969</v>
      </c>
      <c r="C10" s="335">
        <v>28</v>
      </c>
      <c r="D10" s="335">
        <v>43</v>
      </c>
      <c r="E10" s="335">
        <v>31</v>
      </c>
      <c r="F10" s="335">
        <v>16</v>
      </c>
      <c r="G10" s="335">
        <v>31</v>
      </c>
      <c r="H10" s="335">
        <v>149</v>
      </c>
      <c r="I10" s="27"/>
    </row>
    <row r="11" spans="1:12" x14ac:dyDescent="0.25">
      <c r="A11" s="336"/>
      <c r="B11" s="337" t="s">
        <v>12694</v>
      </c>
      <c r="C11" s="335"/>
      <c r="D11" s="335"/>
      <c r="E11" s="335"/>
      <c r="F11" s="335"/>
      <c r="G11" s="335"/>
      <c r="H11" s="335"/>
      <c r="I11" s="27"/>
    </row>
    <row r="12" spans="1:12" x14ac:dyDescent="0.25">
      <c r="A12" s="336"/>
      <c r="B12" s="348" t="s">
        <v>11669</v>
      </c>
      <c r="C12" s="335">
        <v>7</v>
      </c>
      <c r="D12" s="335">
        <v>3</v>
      </c>
      <c r="E12" s="335"/>
      <c r="F12" s="335"/>
      <c r="G12" s="335"/>
      <c r="H12" s="335">
        <v>10</v>
      </c>
      <c r="I12" s="27"/>
    </row>
    <row r="13" spans="1:12" x14ac:dyDescent="0.25">
      <c r="A13" s="336"/>
      <c r="B13" s="334" t="s">
        <v>14059</v>
      </c>
      <c r="C13" s="335">
        <v>126</v>
      </c>
      <c r="D13" s="335">
        <v>315</v>
      </c>
      <c r="E13" s="335">
        <v>60</v>
      </c>
      <c r="F13" s="335">
        <v>16</v>
      </c>
      <c r="G13" s="335">
        <v>49</v>
      </c>
      <c r="H13" s="335">
        <v>566</v>
      </c>
      <c r="I13" s="27"/>
      <c r="L13" s="27" t="s">
        <v>18365</v>
      </c>
    </row>
    <row r="14" spans="1:12" x14ac:dyDescent="0.25">
      <c r="B14"/>
      <c r="C14"/>
      <c r="D14"/>
      <c r="E14"/>
      <c r="F14"/>
      <c r="G14"/>
      <c r="H14"/>
      <c r="I14" s="27"/>
    </row>
    <row r="15" spans="1:12" x14ac:dyDescent="0.25">
      <c r="B15"/>
      <c r="C15"/>
      <c r="D15"/>
      <c r="E15"/>
      <c r="F15"/>
      <c r="G15"/>
      <c r="H15"/>
      <c r="I15" s="27"/>
    </row>
    <row r="16" spans="1:12" x14ac:dyDescent="0.25">
      <c r="B16"/>
      <c r="C16"/>
      <c r="D16"/>
      <c r="E16"/>
      <c r="F16"/>
      <c r="G16"/>
      <c r="H16"/>
      <c r="I16" s="27"/>
    </row>
    <row r="17" spans="2:8" s="27" customFormat="1" x14ac:dyDescent="0.25">
      <c r="B17"/>
      <c r="C17"/>
      <c r="D17"/>
      <c r="E17"/>
      <c r="F17"/>
      <c r="G17"/>
      <c r="H17"/>
    </row>
    <row r="18" spans="2:8" s="27" customFormat="1" x14ac:dyDescent="0.25">
      <c r="B18"/>
      <c r="C18"/>
      <c r="D18"/>
      <c r="E18"/>
      <c r="F18"/>
      <c r="G18"/>
      <c r="H18"/>
    </row>
    <row r="19" spans="2:8" s="27" customFormat="1" x14ac:dyDescent="0.25">
      <c r="B19"/>
      <c r="C19"/>
      <c r="D19"/>
      <c r="E19"/>
      <c r="F19"/>
      <c r="G19"/>
      <c r="H19"/>
    </row>
    <row r="20" spans="2:8" s="27" customFormat="1" x14ac:dyDescent="0.25">
      <c r="B20"/>
      <c r="C20"/>
      <c r="D20"/>
      <c r="E20"/>
      <c r="F20"/>
      <c r="G20"/>
      <c r="H20"/>
    </row>
    <row r="21" spans="2:8" s="27" customFormat="1" x14ac:dyDescent="0.25">
      <c r="B21"/>
      <c r="C21"/>
      <c r="D21"/>
      <c r="E21"/>
      <c r="F21"/>
      <c r="G21"/>
      <c r="H21"/>
    </row>
    <row r="22" spans="2:8" s="27" customFormat="1" x14ac:dyDescent="0.25">
      <c r="B22"/>
      <c r="C22"/>
      <c r="D22"/>
      <c r="E22"/>
      <c r="F22"/>
      <c r="G22"/>
      <c r="H22"/>
    </row>
    <row r="23" spans="2:8" s="27" customFormat="1" x14ac:dyDescent="0.25">
      <c r="B23"/>
      <c r="C23"/>
      <c r="D23"/>
      <c r="E23"/>
      <c r="F23"/>
      <c r="G23"/>
      <c r="H23"/>
    </row>
    <row r="24" spans="2:8" s="27" customFormat="1" x14ac:dyDescent="0.25">
      <c r="B24"/>
      <c r="C24"/>
      <c r="D24"/>
      <c r="E24"/>
      <c r="F24"/>
      <c r="G24"/>
      <c r="H24"/>
    </row>
    <row r="25" spans="2:8" s="27" customFormat="1" x14ac:dyDescent="0.25">
      <c r="B25"/>
      <c r="C25"/>
      <c r="D25"/>
      <c r="E25"/>
      <c r="F25"/>
      <c r="G25"/>
      <c r="H25"/>
    </row>
    <row r="26" spans="2:8" s="27" customFormat="1" x14ac:dyDescent="0.25">
      <c r="B26"/>
      <c r="C26"/>
      <c r="D26"/>
      <c r="E26"/>
      <c r="F26"/>
      <c r="G26"/>
      <c r="H26"/>
    </row>
    <row r="27" spans="2:8" s="27" customFormat="1" x14ac:dyDescent="0.25">
      <c r="B27"/>
      <c r="C27"/>
      <c r="D27"/>
      <c r="E27"/>
      <c r="F27"/>
      <c r="G27"/>
      <c r="H27"/>
    </row>
    <row r="28" spans="2:8" s="27" customFormat="1" x14ac:dyDescent="0.25">
      <c r="B28"/>
      <c r="C28"/>
      <c r="D28"/>
      <c r="E28"/>
      <c r="F28"/>
      <c r="G28"/>
      <c r="H28"/>
    </row>
    <row r="29" spans="2:8" s="27" customFormat="1" x14ac:dyDescent="0.25">
      <c r="B29"/>
      <c r="C29"/>
      <c r="D29"/>
      <c r="E29"/>
      <c r="F29"/>
      <c r="G29"/>
      <c r="H29"/>
    </row>
    <row r="30" spans="2:8" s="27" customFormat="1" x14ac:dyDescent="0.25">
      <c r="B30"/>
      <c r="C30"/>
      <c r="D30"/>
      <c r="E30"/>
      <c r="F30"/>
      <c r="G30"/>
      <c r="H30"/>
    </row>
    <row r="31" spans="2:8" s="27" customFormat="1" x14ac:dyDescent="0.25">
      <c r="B31"/>
      <c r="C31"/>
      <c r="D31"/>
      <c r="E31"/>
      <c r="F31"/>
      <c r="G31"/>
      <c r="H31"/>
    </row>
    <row r="32" spans="2:8" s="27" customFormat="1" x14ac:dyDescent="0.25">
      <c r="B32"/>
      <c r="C32"/>
      <c r="D32"/>
      <c r="E32"/>
      <c r="F32"/>
      <c r="G32"/>
      <c r="H32"/>
    </row>
    <row r="33" spans="2:8" s="27" customFormat="1" x14ac:dyDescent="0.25">
      <c r="B33"/>
      <c r="C33"/>
      <c r="D33"/>
      <c r="E33"/>
      <c r="F33"/>
      <c r="G33"/>
      <c r="H33"/>
    </row>
    <row r="34" spans="2:8" s="27" customFormat="1" x14ac:dyDescent="0.25">
      <c r="B34"/>
      <c r="C34"/>
      <c r="D34"/>
      <c r="E34"/>
      <c r="F34"/>
      <c r="G34"/>
      <c r="H34"/>
    </row>
    <row r="35" spans="2:8" s="27" customFormat="1" x14ac:dyDescent="0.25">
      <c r="B35"/>
      <c r="C35"/>
      <c r="D35"/>
      <c r="E35"/>
      <c r="F35"/>
      <c r="G35"/>
      <c r="H35"/>
    </row>
    <row r="36" spans="2:8" s="27" customFormat="1" x14ac:dyDescent="0.25">
      <c r="B36"/>
      <c r="C36"/>
      <c r="D36"/>
      <c r="E36"/>
      <c r="F36"/>
      <c r="G36"/>
      <c r="H36"/>
    </row>
    <row r="37" spans="2:8" s="27" customFormat="1" x14ac:dyDescent="0.25">
      <c r="B37"/>
      <c r="C37"/>
      <c r="D37"/>
      <c r="E37"/>
      <c r="F37"/>
      <c r="G37"/>
      <c r="H37"/>
    </row>
    <row r="38" spans="2:8" s="27" customFormat="1" x14ac:dyDescent="0.25">
      <c r="B38"/>
      <c r="C38"/>
      <c r="D38"/>
      <c r="E38"/>
      <c r="F38"/>
      <c r="G38"/>
      <c r="H38"/>
    </row>
    <row r="39" spans="2:8" s="27" customFormat="1" x14ac:dyDescent="0.25">
      <c r="B39"/>
      <c r="C39"/>
      <c r="D39"/>
      <c r="E39"/>
      <c r="F39"/>
      <c r="G39"/>
      <c r="H39"/>
    </row>
    <row r="40" spans="2:8" s="27" customFormat="1" x14ac:dyDescent="0.25">
      <c r="B40"/>
      <c r="C40"/>
      <c r="D40"/>
      <c r="E40"/>
      <c r="F40"/>
      <c r="G40"/>
      <c r="H40"/>
    </row>
    <row r="41" spans="2:8" s="27" customFormat="1" x14ac:dyDescent="0.25">
      <c r="B41"/>
      <c r="C41"/>
      <c r="D41"/>
      <c r="E41"/>
      <c r="F41"/>
      <c r="G41"/>
      <c r="H41"/>
    </row>
    <row r="42" spans="2:8" s="27" customFormat="1" x14ac:dyDescent="0.25">
      <c r="B42"/>
      <c r="C42"/>
      <c r="D42"/>
      <c r="E42"/>
      <c r="F42"/>
      <c r="G42"/>
      <c r="H42"/>
    </row>
    <row r="43" spans="2:8" s="27" customFormat="1" x14ac:dyDescent="0.25"/>
    <row r="44" spans="2:8" s="27" customFormat="1" x14ac:dyDescent="0.25"/>
    <row r="45" spans="2:8" s="27" customFormat="1" x14ac:dyDescent="0.25"/>
    <row r="46" spans="2:8" s="27" customFormat="1" x14ac:dyDescent="0.25"/>
    <row r="47" spans="2:8" s="27" customFormat="1" x14ac:dyDescent="0.25"/>
    <row r="48" spans="2:8" s="27" customFormat="1" x14ac:dyDescent="0.25"/>
    <row r="49" s="27" customFormat="1" x14ac:dyDescent="0.25"/>
    <row r="50" s="27" customFormat="1" x14ac:dyDescent="0.25"/>
    <row r="51" s="27" customFormat="1" x14ac:dyDescent="0.25"/>
    <row r="52" s="27" customFormat="1" x14ac:dyDescent="0.25"/>
    <row r="53" s="27" customFormat="1" x14ac:dyDescent="0.25"/>
    <row r="54" s="27" customFormat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E953A-F08F-4984-AF43-58A3855AD742}">
  <sheetPr>
    <tabColor rgb="FFFFFF00"/>
  </sheetPr>
  <dimension ref="A1:BZ133"/>
  <sheetViews>
    <sheetView topLeftCell="K28" zoomScale="55" zoomScaleNormal="55" workbookViewId="0">
      <selection activeCell="AM92" sqref="AK92:AM103"/>
    </sheetView>
  </sheetViews>
  <sheetFormatPr defaultColWidth="9.140625" defaultRowHeight="15" x14ac:dyDescent="0.25"/>
  <cols>
    <col min="1" max="16384" width="9.140625" style="26"/>
  </cols>
  <sheetData>
    <row r="1" spans="1:78" s="47" customFormat="1" ht="21.75" thickBot="1" x14ac:dyDescent="0.3">
      <c r="A1" s="677" t="s">
        <v>19836</v>
      </c>
      <c r="B1" s="677"/>
      <c r="C1" s="677"/>
      <c r="D1" s="677"/>
      <c r="E1" s="677"/>
      <c r="F1" s="677"/>
      <c r="G1" s="677"/>
      <c r="H1" s="677"/>
      <c r="I1" s="677"/>
      <c r="J1" s="677"/>
      <c r="K1" s="677"/>
      <c r="L1" s="677"/>
      <c r="M1" s="677"/>
      <c r="N1" s="677"/>
      <c r="O1" s="677"/>
      <c r="P1" s="677"/>
      <c r="Q1" s="677"/>
      <c r="R1" s="677"/>
      <c r="S1" s="677"/>
      <c r="T1" s="677"/>
      <c r="U1" s="677"/>
      <c r="V1" s="677"/>
      <c r="W1" s="677"/>
      <c r="X1" s="677"/>
      <c r="Y1" s="677"/>
      <c r="Z1" s="677"/>
      <c r="AA1" s="677"/>
      <c r="AB1" s="677"/>
      <c r="AC1" s="677"/>
      <c r="AD1" s="677"/>
      <c r="AE1" s="677"/>
      <c r="AF1" s="677"/>
      <c r="AG1" s="677"/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7"/>
      <c r="AW1" s="677"/>
      <c r="AX1" s="677"/>
      <c r="AY1" s="677"/>
      <c r="AZ1" s="677"/>
      <c r="BA1" s="677"/>
      <c r="BB1" s="677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</row>
    <row r="2" spans="1:78" x14ac:dyDescent="0.25">
      <c r="A2" s="465" t="s">
        <v>3597</v>
      </c>
      <c r="B2" s="464">
        <v>21.25</v>
      </c>
      <c r="C2" s="572" t="s">
        <v>12664</v>
      </c>
      <c r="D2" s="682" t="s">
        <v>443</v>
      </c>
      <c r="E2" s="683">
        <v>13.5</v>
      </c>
      <c r="F2" s="581" t="s">
        <v>12663</v>
      </c>
      <c r="G2" s="465" t="s">
        <v>3856</v>
      </c>
      <c r="H2" s="464">
        <v>29.5</v>
      </c>
      <c r="I2" s="572" t="s">
        <v>12663</v>
      </c>
      <c r="J2" s="465" t="s">
        <v>5037</v>
      </c>
      <c r="K2" s="464">
        <v>33.5</v>
      </c>
      <c r="L2" s="572" t="s">
        <v>12663</v>
      </c>
      <c r="M2" s="465" t="s">
        <v>4935</v>
      </c>
      <c r="N2" s="464">
        <v>28</v>
      </c>
      <c r="O2" s="572" t="s">
        <v>12663</v>
      </c>
      <c r="P2" s="465" t="s">
        <v>240</v>
      </c>
      <c r="Q2" s="464">
        <v>32.75</v>
      </c>
      <c r="R2" s="572" t="s">
        <v>12663</v>
      </c>
      <c r="S2" s="682" t="s">
        <v>5008</v>
      </c>
      <c r="T2" s="683">
        <v>29.5</v>
      </c>
      <c r="U2" s="581" t="s">
        <v>12663</v>
      </c>
      <c r="V2" s="682" t="s">
        <v>443</v>
      </c>
      <c r="W2" s="683">
        <v>13.5</v>
      </c>
      <c r="X2" s="581" t="s">
        <v>12663</v>
      </c>
      <c r="Y2" s="465" t="s">
        <v>5597</v>
      </c>
      <c r="Z2" s="464">
        <v>35.25</v>
      </c>
      <c r="AA2" s="572" t="s">
        <v>12663</v>
      </c>
      <c r="AB2" s="465" t="s">
        <v>4223</v>
      </c>
      <c r="AC2" s="464">
        <v>25.75</v>
      </c>
      <c r="AD2" s="572" t="s">
        <v>12664</v>
      </c>
      <c r="AE2" s="682" t="s">
        <v>5031</v>
      </c>
      <c r="AF2" s="683">
        <v>20.75</v>
      </c>
      <c r="AG2" s="581" t="s">
        <v>12664</v>
      </c>
      <c r="AH2" s="682" t="s">
        <v>5561</v>
      </c>
      <c r="AI2" s="683">
        <v>17.75</v>
      </c>
      <c r="AJ2" s="581" t="s">
        <v>12663</v>
      </c>
      <c r="AK2" s="682" t="s">
        <v>361</v>
      </c>
      <c r="AL2" s="683">
        <v>34.25</v>
      </c>
      <c r="AM2" s="581" t="s">
        <v>12663</v>
      </c>
      <c r="AN2" s="465" t="s">
        <v>454</v>
      </c>
      <c r="AO2" s="464">
        <v>28</v>
      </c>
      <c r="AP2" s="572" t="s">
        <v>12664</v>
      </c>
      <c r="AQ2" s="465" t="s">
        <v>5625</v>
      </c>
      <c r="AR2" s="464">
        <v>31.75</v>
      </c>
      <c r="AS2" s="572" t="s">
        <v>12664</v>
      </c>
      <c r="AT2" s="465" t="s">
        <v>270</v>
      </c>
      <c r="AU2" s="464">
        <v>31</v>
      </c>
      <c r="AV2" s="572" t="s">
        <v>12664</v>
      </c>
      <c r="AW2" s="465" t="s">
        <v>103</v>
      </c>
      <c r="AX2" s="464">
        <v>14.75</v>
      </c>
      <c r="AY2" s="572" t="s">
        <v>12664</v>
      </c>
      <c r="AZ2" s="682" t="s">
        <v>388</v>
      </c>
      <c r="BA2" s="683">
        <v>24.5</v>
      </c>
      <c r="BB2" s="685" t="s">
        <v>12663</v>
      </c>
      <c r="BC2" s="695" t="s">
        <v>5682</v>
      </c>
      <c r="BD2" s="696">
        <v>7.25</v>
      </c>
      <c r="BE2" s="581" t="s">
        <v>12663</v>
      </c>
    </row>
    <row r="3" spans="1:78" x14ac:dyDescent="0.25">
      <c r="A3" s="55" t="s">
        <v>4516</v>
      </c>
      <c r="B3" s="106">
        <v>13</v>
      </c>
      <c r="C3" s="573"/>
      <c r="D3" s="55" t="s">
        <v>5425</v>
      </c>
      <c r="E3" s="106">
        <v>13.25</v>
      </c>
      <c r="F3" s="582"/>
      <c r="G3" s="55" t="s">
        <v>4494</v>
      </c>
      <c r="H3" s="106">
        <v>26.25</v>
      </c>
      <c r="I3" s="573"/>
      <c r="J3" s="55" t="s">
        <v>448</v>
      </c>
      <c r="K3" s="106">
        <v>33</v>
      </c>
      <c r="L3" s="573"/>
      <c r="M3" s="55" t="s">
        <v>5443</v>
      </c>
      <c r="N3" s="106">
        <v>23</v>
      </c>
      <c r="O3" s="573"/>
      <c r="P3" s="55" t="s">
        <v>5159</v>
      </c>
      <c r="Q3" s="106">
        <v>32.5</v>
      </c>
      <c r="R3" s="573"/>
      <c r="S3" s="55" t="s">
        <v>2766</v>
      </c>
      <c r="T3" s="106">
        <v>29</v>
      </c>
      <c r="U3" s="582"/>
      <c r="V3" s="55" t="s">
        <v>4960</v>
      </c>
      <c r="W3" s="106">
        <v>3.75</v>
      </c>
      <c r="X3" s="582"/>
      <c r="Y3" s="55" t="s">
        <v>5082</v>
      </c>
      <c r="Z3" s="106">
        <v>34.25</v>
      </c>
      <c r="AA3" s="573"/>
      <c r="AB3" s="55" t="s">
        <v>4828</v>
      </c>
      <c r="AC3" s="106">
        <v>24.75</v>
      </c>
      <c r="AD3" s="573"/>
      <c r="AE3" s="55" t="s">
        <v>2907</v>
      </c>
      <c r="AF3" s="106">
        <v>21</v>
      </c>
      <c r="AG3" s="582"/>
      <c r="AH3" s="55" t="s">
        <v>5354</v>
      </c>
      <c r="AI3" s="106">
        <v>16.5</v>
      </c>
      <c r="AJ3" s="582"/>
      <c r="AK3" s="55" t="s">
        <v>347</v>
      </c>
      <c r="AL3" s="106">
        <v>34</v>
      </c>
      <c r="AM3" s="582"/>
      <c r="AN3" s="55" t="s">
        <v>2614</v>
      </c>
      <c r="AO3" s="106">
        <v>27</v>
      </c>
      <c r="AP3" s="573"/>
      <c r="AQ3" s="55" t="s">
        <v>399</v>
      </c>
      <c r="AR3" s="106">
        <v>12.5</v>
      </c>
      <c r="AS3" s="573"/>
      <c r="AT3" s="55" t="s">
        <v>268</v>
      </c>
      <c r="AU3" s="106">
        <v>29.75</v>
      </c>
      <c r="AV3" s="573"/>
      <c r="AW3" s="55" t="s">
        <v>5768</v>
      </c>
      <c r="AX3" s="106">
        <v>6.75</v>
      </c>
      <c r="AY3" s="573"/>
      <c r="AZ3" s="55" t="s">
        <v>353</v>
      </c>
      <c r="BA3" s="106">
        <v>26.75</v>
      </c>
      <c r="BB3" s="686"/>
      <c r="BC3" s="688" t="s">
        <v>5732</v>
      </c>
      <c r="BD3" s="689">
        <v>6.5</v>
      </c>
      <c r="BE3" s="582"/>
    </row>
    <row r="4" spans="1:78" x14ac:dyDescent="0.25">
      <c r="A4" s="55" t="s">
        <v>3307</v>
      </c>
      <c r="B4" s="106">
        <v>10.5</v>
      </c>
      <c r="C4" s="573"/>
      <c r="D4" s="55" t="s">
        <v>4697</v>
      </c>
      <c r="E4" s="106">
        <v>12.5</v>
      </c>
      <c r="F4" s="582"/>
      <c r="G4" s="55" t="s">
        <v>4543</v>
      </c>
      <c r="H4" s="106">
        <v>27.5</v>
      </c>
      <c r="I4" s="573"/>
      <c r="J4" s="55" t="s">
        <v>5408</v>
      </c>
      <c r="K4" s="106">
        <v>32.75</v>
      </c>
      <c r="L4" s="573"/>
      <c r="M4" s="55" t="s">
        <v>5221</v>
      </c>
      <c r="N4" s="106">
        <v>23.5</v>
      </c>
      <c r="O4" s="573"/>
      <c r="P4" s="55" t="s">
        <v>5225</v>
      </c>
      <c r="Q4" s="106">
        <v>7.5</v>
      </c>
      <c r="R4" s="573"/>
      <c r="S4" s="55" t="s">
        <v>3790</v>
      </c>
      <c r="T4" s="106">
        <v>28.5</v>
      </c>
      <c r="U4" s="582"/>
      <c r="V4" s="55" t="s">
        <v>4052</v>
      </c>
      <c r="W4" s="106">
        <v>8</v>
      </c>
      <c r="X4" s="582"/>
      <c r="Y4" s="55" t="s">
        <v>227</v>
      </c>
      <c r="Z4" s="106">
        <v>15.75</v>
      </c>
      <c r="AA4" s="573"/>
      <c r="AB4" s="55" t="s">
        <v>5619</v>
      </c>
      <c r="AC4" s="106">
        <v>17.25</v>
      </c>
      <c r="AD4" s="573"/>
      <c r="AE4" s="55" t="s">
        <v>5169</v>
      </c>
      <c r="AF4" s="106">
        <v>21</v>
      </c>
      <c r="AG4" s="582"/>
      <c r="AH4" s="55" t="s">
        <v>5530</v>
      </c>
      <c r="AI4" s="106">
        <v>17.25</v>
      </c>
      <c r="AJ4" s="582"/>
      <c r="AK4" s="55" t="s">
        <v>4032</v>
      </c>
      <c r="AL4" s="106">
        <v>32.75</v>
      </c>
      <c r="AM4" s="582"/>
      <c r="AN4" s="55" t="s">
        <v>5480</v>
      </c>
      <c r="AO4" s="106">
        <v>9.25</v>
      </c>
      <c r="AP4" s="573"/>
      <c r="AQ4" s="55" t="s">
        <v>5636</v>
      </c>
      <c r="AR4" s="106">
        <v>29</v>
      </c>
      <c r="AS4" s="573"/>
      <c r="AT4" s="55" t="s">
        <v>5089</v>
      </c>
      <c r="AU4" s="106">
        <v>15.25</v>
      </c>
      <c r="AV4" s="573"/>
      <c r="AW4" s="55" t="s">
        <v>5616</v>
      </c>
      <c r="AX4" s="106">
        <v>5.5</v>
      </c>
      <c r="AY4" s="573"/>
      <c r="AZ4" s="55" t="s">
        <v>5452</v>
      </c>
      <c r="BA4" s="106">
        <v>21</v>
      </c>
      <c r="BB4" s="686"/>
      <c r="BC4" s="688" t="s">
        <v>5493</v>
      </c>
      <c r="BD4" s="689">
        <v>8.5</v>
      </c>
      <c r="BE4" s="582"/>
    </row>
    <row r="5" spans="1:78" x14ac:dyDescent="0.25">
      <c r="A5" s="55" t="s">
        <v>5055</v>
      </c>
      <c r="B5" s="106">
        <v>12.75</v>
      </c>
      <c r="C5" s="573"/>
      <c r="D5" s="55" t="s">
        <v>4464</v>
      </c>
      <c r="E5" s="106">
        <v>11.25</v>
      </c>
      <c r="F5" s="582"/>
      <c r="G5" s="55" t="s">
        <v>430</v>
      </c>
      <c r="H5" s="106">
        <v>18.25</v>
      </c>
      <c r="I5" s="573"/>
      <c r="J5" s="55" t="s">
        <v>4841</v>
      </c>
      <c r="K5" s="106">
        <v>33.25</v>
      </c>
      <c r="L5" s="573"/>
      <c r="M5" s="55" t="s">
        <v>217</v>
      </c>
      <c r="N5" s="106">
        <v>35.25</v>
      </c>
      <c r="O5" s="573"/>
      <c r="P5" s="55" t="s">
        <v>5141</v>
      </c>
      <c r="Q5" s="106">
        <v>32.5</v>
      </c>
      <c r="R5" s="573"/>
      <c r="S5" s="55" t="s">
        <v>5260</v>
      </c>
      <c r="T5" s="106">
        <v>28.5</v>
      </c>
      <c r="U5" s="582"/>
      <c r="V5" s="55" t="s">
        <v>4291</v>
      </c>
      <c r="W5" s="106">
        <v>11</v>
      </c>
      <c r="X5" s="582"/>
      <c r="Y5" s="55" t="s">
        <v>160</v>
      </c>
      <c r="Z5" s="106">
        <v>34.5</v>
      </c>
      <c r="AA5" s="573"/>
      <c r="AB5" s="55" t="s">
        <v>3751</v>
      </c>
      <c r="AC5" s="106">
        <v>24.75</v>
      </c>
      <c r="AD5" s="573"/>
      <c r="AE5" s="55" t="s">
        <v>5061</v>
      </c>
      <c r="AF5" s="106">
        <v>20.75</v>
      </c>
      <c r="AG5" s="582"/>
      <c r="AH5" s="55" t="s">
        <v>200</v>
      </c>
      <c r="AI5" s="106">
        <v>17.75</v>
      </c>
      <c r="AJ5" s="582"/>
      <c r="AK5" s="55" t="s">
        <v>47</v>
      </c>
      <c r="AL5" s="106">
        <v>35</v>
      </c>
      <c r="AM5" s="582"/>
      <c r="AN5" s="55" t="s">
        <v>4962</v>
      </c>
      <c r="AO5" s="106">
        <v>26.5</v>
      </c>
      <c r="AP5" s="573"/>
      <c r="AQ5" s="55" t="s">
        <v>249</v>
      </c>
      <c r="AR5" s="106">
        <v>31.5</v>
      </c>
      <c r="AS5" s="573"/>
      <c r="AT5" s="55" t="s">
        <v>145</v>
      </c>
      <c r="AU5" s="106">
        <v>30.75</v>
      </c>
      <c r="AV5" s="573"/>
      <c r="AW5" s="55" t="s">
        <v>5758</v>
      </c>
      <c r="AX5" s="106">
        <v>8.5</v>
      </c>
      <c r="AY5" s="573"/>
      <c r="AZ5" s="55" t="s">
        <v>5549</v>
      </c>
      <c r="BA5" s="106">
        <v>9.75</v>
      </c>
      <c r="BB5" s="686"/>
      <c r="BC5" s="688" t="s">
        <v>2445</v>
      </c>
      <c r="BD5" s="689">
        <v>15.5</v>
      </c>
      <c r="BE5" s="582"/>
    </row>
    <row r="6" spans="1:78" ht="15.75" thickBot="1" x14ac:dyDescent="0.3">
      <c r="A6" s="55" t="s">
        <v>4669</v>
      </c>
      <c r="B6" s="106">
        <v>10.25</v>
      </c>
      <c r="C6" s="573"/>
      <c r="D6" s="55" t="s">
        <v>4291</v>
      </c>
      <c r="E6" s="106">
        <v>11</v>
      </c>
      <c r="F6" s="582"/>
      <c r="G6" s="55" t="s">
        <v>5128</v>
      </c>
      <c r="H6" s="106">
        <v>23.25</v>
      </c>
      <c r="I6" s="573"/>
      <c r="J6" s="55" t="s">
        <v>5223</v>
      </c>
      <c r="K6" s="106">
        <v>3.5</v>
      </c>
      <c r="L6" s="573"/>
      <c r="M6" s="55" t="s">
        <v>3107</v>
      </c>
      <c r="N6" s="106">
        <v>11.5</v>
      </c>
      <c r="O6" s="573"/>
      <c r="P6" s="55" t="s">
        <v>180</v>
      </c>
      <c r="Q6" s="106">
        <v>30.5</v>
      </c>
      <c r="R6" s="573"/>
      <c r="S6" s="55" t="s">
        <v>3939</v>
      </c>
      <c r="T6" s="106">
        <v>28.5</v>
      </c>
      <c r="U6" s="582"/>
      <c r="V6" s="55" t="s">
        <v>4697</v>
      </c>
      <c r="W6" s="106">
        <v>12.5</v>
      </c>
      <c r="X6" s="582"/>
      <c r="Y6" s="55" t="s">
        <v>5620</v>
      </c>
      <c r="Z6" s="106">
        <v>14.25</v>
      </c>
      <c r="AA6" s="573"/>
      <c r="AB6" s="55" t="s">
        <v>2425</v>
      </c>
      <c r="AC6" s="106">
        <v>24.75</v>
      </c>
      <c r="AD6" s="573"/>
      <c r="AE6" s="55" t="s">
        <v>5185</v>
      </c>
      <c r="AF6" s="106">
        <v>20.75</v>
      </c>
      <c r="AG6" s="582"/>
      <c r="AH6" s="55" t="s">
        <v>185</v>
      </c>
      <c r="AI6" s="106">
        <v>17.25</v>
      </c>
      <c r="AJ6" s="582"/>
      <c r="AK6" s="56" t="s">
        <v>3023</v>
      </c>
      <c r="AL6" s="361">
        <v>32</v>
      </c>
      <c r="AM6" s="583"/>
      <c r="AN6" s="55" t="s">
        <v>5639</v>
      </c>
      <c r="AO6" s="106">
        <v>27</v>
      </c>
      <c r="AP6" s="573"/>
      <c r="AQ6" s="55" t="s">
        <v>219</v>
      </c>
      <c r="AR6" s="106">
        <v>31.75</v>
      </c>
      <c r="AS6" s="573"/>
      <c r="AT6" s="55" t="s">
        <v>95</v>
      </c>
      <c r="AU6" s="106">
        <v>31</v>
      </c>
      <c r="AV6" s="573"/>
      <c r="AW6" s="55" t="s">
        <v>5715</v>
      </c>
      <c r="AX6" s="106">
        <v>8.25</v>
      </c>
      <c r="AY6" s="573"/>
      <c r="AZ6" s="55" t="s">
        <v>173</v>
      </c>
      <c r="BA6" s="106">
        <v>26.75</v>
      </c>
      <c r="BB6" s="686"/>
      <c r="BC6" s="688" t="s">
        <v>3891</v>
      </c>
      <c r="BD6" s="689">
        <v>4.5</v>
      </c>
      <c r="BE6" s="582"/>
    </row>
    <row r="7" spans="1:78" ht="15.75" thickBot="1" x14ac:dyDescent="0.3">
      <c r="A7" s="55" t="s">
        <v>314</v>
      </c>
      <c r="B7" s="106">
        <v>7.5</v>
      </c>
      <c r="C7" s="573"/>
      <c r="D7" s="55" t="s">
        <v>4456</v>
      </c>
      <c r="E7" s="106">
        <v>10.75</v>
      </c>
      <c r="F7" s="582"/>
      <c r="G7" s="55" t="s">
        <v>3883</v>
      </c>
      <c r="H7" s="106">
        <v>27.5</v>
      </c>
      <c r="I7" s="573"/>
      <c r="J7" s="56" t="s">
        <v>4750</v>
      </c>
      <c r="K7" s="361">
        <v>32</v>
      </c>
      <c r="L7" s="574"/>
      <c r="M7" s="90" t="s">
        <v>4100</v>
      </c>
      <c r="N7" s="359">
        <v>11.25</v>
      </c>
      <c r="O7" s="573"/>
      <c r="P7" s="56" t="s">
        <v>52</v>
      </c>
      <c r="Q7" s="361">
        <v>32.25</v>
      </c>
      <c r="R7" s="574"/>
      <c r="S7" s="55" t="s">
        <v>4793</v>
      </c>
      <c r="T7" s="106">
        <v>13.25</v>
      </c>
      <c r="U7" s="582"/>
      <c r="V7" s="55" t="s">
        <v>2806</v>
      </c>
      <c r="W7" s="106">
        <v>8.5</v>
      </c>
      <c r="X7" s="582"/>
      <c r="Y7" s="56" t="s">
        <v>4979</v>
      </c>
      <c r="Z7" s="361">
        <v>34</v>
      </c>
      <c r="AA7" s="574"/>
      <c r="AB7" s="55" t="s">
        <v>3373</v>
      </c>
      <c r="AC7" s="106">
        <v>25.25</v>
      </c>
      <c r="AD7" s="573"/>
      <c r="AE7" s="55" t="s">
        <v>5509</v>
      </c>
      <c r="AF7" s="106">
        <v>13.25</v>
      </c>
      <c r="AG7" s="582"/>
      <c r="AH7" s="55" t="s">
        <v>182</v>
      </c>
      <c r="AI7" s="106">
        <v>17.5</v>
      </c>
      <c r="AJ7" s="582"/>
      <c r="AK7" s="682" t="s">
        <v>47</v>
      </c>
      <c r="AL7" s="683">
        <v>35</v>
      </c>
      <c r="AM7" s="581" t="s">
        <v>12663</v>
      </c>
      <c r="AN7" s="55" t="s">
        <v>5019</v>
      </c>
      <c r="AO7" s="106">
        <v>25.25</v>
      </c>
      <c r="AP7" s="573"/>
      <c r="AQ7" s="56" t="s">
        <v>149</v>
      </c>
      <c r="AR7" s="361">
        <v>31.5</v>
      </c>
      <c r="AS7" s="574"/>
      <c r="AT7" s="56" t="s">
        <v>34</v>
      </c>
      <c r="AU7" s="361">
        <v>30.25</v>
      </c>
      <c r="AV7" s="574"/>
      <c r="AW7" s="55" t="s">
        <v>5465</v>
      </c>
      <c r="AX7" s="106">
        <v>4.75</v>
      </c>
      <c r="AY7" s="573"/>
      <c r="AZ7" s="55" t="s">
        <v>5513</v>
      </c>
      <c r="BA7" s="106">
        <v>25.25</v>
      </c>
      <c r="BB7" s="686"/>
      <c r="BC7" s="688" t="s">
        <v>3921</v>
      </c>
      <c r="BD7" s="689">
        <v>5.75</v>
      </c>
      <c r="BE7" s="582"/>
    </row>
    <row r="8" spans="1:78" ht="15.75" thickBot="1" x14ac:dyDescent="0.3">
      <c r="A8" s="55" t="s">
        <v>3597</v>
      </c>
      <c r="B8" s="106">
        <v>21.25</v>
      </c>
      <c r="C8" s="573"/>
      <c r="D8" s="55" t="s">
        <v>4738</v>
      </c>
      <c r="E8" s="106">
        <v>10</v>
      </c>
      <c r="F8" s="582"/>
      <c r="G8" s="56" t="s">
        <v>4752</v>
      </c>
      <c r="H8" s="361">
        <v>15.75</v>
      </c>
      <c r="I8" s="574"/>
      <c r="J8" s="465" t="s">
        <v>5037</v>
      </c>
      <c r="K8" s="464">
        <v>33.5</v>
      </c>
      <c r="L8" s="572" t="s">
        <v>12663</v>
      </c>
      <c r="M8" s="56" t="s">
        <v>24</v>
      </c>
      <c r="N8" s="361">
        <v>35.5</v>
      </c>
      <c r="O8" s="574"/>
      <c r="P8" s="465" t="s">
        <v>240</v>
      </c>
      <c r="Q8" s="464">
        <v>32.75</v>
      </c>
      <c r="R8" s="572" t="s">
        <v>12663</v>
      </c>
      <c r="S8" s="56" t="s">
        <v>4941</v>
      </c>
      <c r="T8" s="361">
        <v>10.75</v>
      </c>
      <c r="U8" s="583"/>
      <c r="V8" s="55" t="s">
        <v>4738</v>
      </c>
      <c r="W8" s="106">
        <v>10</v>
      </c>
      <c r="X8" s="582"/>
      <c r="Y8" s="465" t="s">
        <v>5597</v>
      </c>
      <c r="Z8" s="464">
        <v>35.25</v>
      </c>
      <c r="AA8" s="572" t="s">
        <v>12663</v>
      </c>
      <c r="AB8" s="56" t="s">
        <v>1598</v>
      </c>
      <c r="AC8" s="361">
        <v>25.5</v>
      </c>
      <c r="AD8" s="574"/>
      <c r="AE8" s="55" t="s">
        <v>5171</v>
      </c>
      <c r="AF8" s="106">
        <v>20.75</v>
      </c>
      <c r="AG8" s="582"/>
      <c r="AH8" s="55" t="s">
        <v>3705</v>
      </c>
      <c r="AI8" s="106">
        <v>17.5</v>
      </c>
      <c r="AJ8" s="582"/>
      <c r="AK8" s="55" t="s">
        <v>361</v>
      </c>
      <c r="AL8" s="106">
        <v>34.25</v>
      </c>
      <c r="AM8" s="582"/>
      <c r="AN8" s="56" t="s">
        <v>55</v>
      </c>
      <c r="AO8" s="361">
        <v>25</v>
      </c>
      <c r="AP8" s="574"/>
      <c r="AQ8" s="465" t="s">
        <v>5625</v>
      </c>
      <c r="AR8" s="464">
        <v>31.75</v>
      </c>
      <c r="AS8" s="572" t="s">
        <v>12664</v>
      </c>
      <c r="AT8" s="465" t="s">
        <v>270</v>
      </c>
      <c r="AU8" s="464">
        <v>31</v>
      </c>
      <c r="AV8" s="572" t="s">
        <v>12664</v>
      </c>
      <c r="AW8" s="55" t="s">
        <v>5741</v>
      </c>
      <c r="AX8" s="106">
        <v>8</v>
      </c>
      <c r="AY8" s="573"/>
      <c r="AZ8" s="55" t="s">
        <v>58</v>
      </c>
      <c r="BA8" s="106">
        <v>27.5</v>
      </c>
      <c r="BB8" s="686"/>
      <c r="BC8" s="688" t="s">
        <v>4049</v>
      </c>
      <c r="BD8" s="689">
        <v>12</v>
      </c>
      <c r="BE8" s="582"/>
    </row>
    <row r="9" spans="1:78" ht="15.75" thickBot="1" x14ac:dyDescent="0.3">
      <c r="A9" s="55" t="s">
        <v>4516</v>
      </c>
      <c r="B9" s="106">
        <v>13</v>
      </c>
      <c r="C9" s="573"/>
      <c r="D9" s="55" t="s">
        <v>3225</v>
      </c>
      <c r="E9" s="106">
        <v>9.75</v>
      </c>
      <c r="F9" s="582"/>
      <c r="G9" s="465" t="s">
        <v>3856</v>
      </c>
      <c r="H9" s="464">
        <v>29.5</v>
      </c>
      <c r="I9" s="572" t="s">
        <v>12663</v>
      </c>
      <c r="J9" s="55" t="s">
        <v>4841</v>
      </c>
      <c r="K9" s="106">
        <v>33.25</v>
      </c>
      <c r="L9" s="573"/>
      <c r="M9" s="465" t="s">
        <v>4935</v>
      </c>
      <c r="N9" s="464">
        <v>28</v>
      </c>
      <c r="O9" s="572" t="s">
        <v>12663</v>
      </c>
      <c r="P9" s="55" t="s">
        <v>5159</v>
      </c>
      <c r="Q9" s="106">
        <v>32.5</v>
      </c>
      <c r="R9" s="573"/>
      <c r="S9" s="682" t="s">
        <v>2397</v>
      </c>
      <c r="T9" s="683">
        <v>13.75</v>
      </c>
      <c r="U9" s="581" t="s">
        <v>12663</v>
      </c>
      <c r="V9" s="55" t="s">
        <v>4456</v>
      </c>
      <c r="W9" s="106">
        <v>10.75</v>
      </c>
      <c r="X9" s="582"/>
      <c r="Y9" s="55" t="s">
        <v>160</v>
      </c>
      <c r="Z9" s="106">
        <v>34.5</v>
      </c>
      <c r="AA9" s="573"/>
      <c r="AB9" s="465" t="s">
        <v>4223</v>
      </c>
      <c r="AC9" s="464">
        <v>25.75</v>
      </c>
      <c r="AD9" s="572" t="s">
        <v>12664</v>
      </c>
      <c r="AE9" s="55" t="s">
        <v>5567</v>
      </c>
      <c r="AF9" s="106">
        <v>21</v>
      </c>
      <c r="AG9" s="582"/>
      <c r="AH9" s="55" t="s">
        <v>3743</v>
      </c>
      <c r="AI9" s="106">
        <v>17.75</v>
      </c>
      <c r="AJ9" s="582"/>
      <c r="AK9" s="55" t="s">
        <v>347</v>
      </c>
      <c r="AL9" s="106">
        <v>34</v>
      </c>
      <c r="AM9" s="582"/>
      <c r="AN9" s="465" t="s">
        <v>454</v>
      </c>
      <c r="AO9" s="464">
        <v>28</v>
      </c>
      <c r="AP9" s="572" t="s">
        <v>12664</v>
      </c>
      <c r="AQ9" s="55" t="s">
        <v>219</v>
      </c>
      <c r="AR9" s="106">
        <v>31.75</v>
      </c>
      <c r="AS9" s="573"/>
      <c r="AT9" s="55" t="s">
        <v>95</v>
      </c>
      <c r="AU9" s="106">
        <v>31</v>
      </c>
      <c r="AV9" s="573"/>
      <c r="AW9" s="55" t="s">
        <v>5739</v>
      </c>
      <c r="AX9" s="106">
        <v>12.25</v>
      </c>
      <c r="AY9" s="573"/>
      <c r="AZ9" s="56" t="s">
        <v>5121</v>
      </c>
      <c r="BA9" s="361">
        <v>6.5</v>
      </c>
      <c r="BB9" s="687"/>
      <c r="BC9" s="688" t="s">
        <v>5563</v>
      </c>
      <c r="BD9" s="689">
        <v>13.75</v>
      </c>
      <c r="BE9" s="582"/>
    </row>
    <row r="10" spans="1:78" ht="15.75" thickBot="1" x14ac:dyDescent="0.3">
      <c r="A10" s="55" t="s">
        <v>3307</v>
      </c>
      <c r="B10" s="106">
        <v>10.5</v>
      </c>
      <c r="C10" s="573"/>
      <c r="D10" s="55" t="s">
        <v>3481</v>
      </c>
      <c r="E10" s="106">
        <v>8.75</v>
      </c>
      <c r="F10" s="582"/>
      <c r="G10" s="55" t="s">
        <v>4543</v>
      </c>
      <c r="H10" s="106">
        <v>27.5</v>
      </c>
      <c r="I10" s="573"/>
      <c r="J10" s="55" t="s">
        <v>448</v>
      </c>
      <c r="K10" s="106">
        <v>33</v>
      </c>
      <c r="L10" s="573"/>
      <c r="M10" s="55" t="s">
        <v>5221</v>
      </c>
      <c r="N10" s="106">
        <v>23.5</v>
      </c>
      <c r="O10" s="573"/>
      <c r="P10" s="55" t="s">
        <v>5141</v>
      </c>
      <c r="Q10" s="106">
        <v>32.5</v>
      </c>
      <c r="R10" s="573"/>
      <c r="S10" s="55" t="s">
        <v>3780</v>
      </c>
      <c r="T10" s="106">
        <v>12.5</v>
      </c>
      <c r="U10" s="582"/>
      <c r="V10" s="55" t="s">
        <v>4337</v>
      </c>
      <c r="W10" s="106">
        <v>8.25</v>
      </c>
      <c r="X10" s="582"/>
      <c r="Y10" s="55" t="s">
        <v>5082</v>
      </c>
      <c r="Z10" s="106">
        <v>34.25</v>
      </c>
      <c r="AA10" s="573"/>
      <c r="AB10" s="55" t="s">
        <v>1598</v>
      </c>
      <c r="AC10" s="106">
        <v>25.5</v>
      </c>
      <c r="AD10" s="573"/>
      <c r="AE10" s="56" t="s">
        <v>9</v>
      </c>
      <c r="AF10" s="361">
        <v>8.75</v>
      </c>
      <c r="AG10" s="583"/>
      <c r="AH10" s="55" t="s">
        <v>5114</v>
      </c>
      <c r="AI10" s="106">
        <v>10.75</v>
      </c>
      <c r="AJ10" s="582"/>
      <c r="AK10" s="55" t="s">
        <v>4032</v>
      </c>
      <c r="AL10" s="106">
        <v>32.75</v>
      </c>
      <c r="AM10" s="582"/>
      <c r="AN10" s="55" t="s">
        <v>2614</v>
      </c>
      <c r="AO10" s="106">
        <v>27</v>
      </c>
      <c r="AP10" s="573"/>
      <c r="AQ10" s="55" t="s">
        <v>249</v>
      </c>
      <c r="AR10" s="106">
        <v>31.5</v>
      </c>
      <c r="AS10" s="573"/>
      <c r="AT10" s="55" t="s">
        <v>145</v>
      </c>
      <c r="AU10" s="106">
        <v>30.75</v>
      </c>
      <c r="AV10" s="573"/>
      <c r="AW10" s="55" t="s">
        <v>5754</v>
      </c>
      <c r="AX10" s="106">
        <v>12.75</v>
      </c>
      <c r="AY10" s="573"/>
      <c r="AZ10" s="55" t="s">
        <v>58</v>
      </c>
      <c r="BA10" s="106">
        <v>27.5</v>
      </c>
      <c r="BB10" s="581" t="s">
        <v>12663</v>
      </c>
      <c r="BC10" s="688" t="s">
        <v>5210</v>
      </c>
      <c r="BD10" s="689">
        <v>9.75</v>
      </c>
      <c r="BE10" s="582"/>
    </row>
    <row r="11" spans="1:78" ht="15.75" thickBot="1" x14ac:dyDescent="0.3">
      <c r="A11" s="55" t="s">
        <v>5055</v>
      </c>
      <c r="B11" s="106">
        <v>12.75</v>
      </c>
      <c r="C11" s="573"/>
      <c r="D11" s="55" t="s">
        <v>3442</v>
      </c>
      <c r="E11" s="106">
        <v>8.75</v>
      </c>
      <c r="F11" s="582"/>
      <c r="G11" s="55" t="s">
        <v>3883</v>
      </c>
      <c r="H11" s="106">
        <v>27.5</v>
      </c>
      <c r="I11" s="573"/>
      <c r="J11" s="55" t="s">
        <v>5408</v>
      </c>
      <c r="K11" s="106">
        <v>32.75</v>
      </c>
      <c r="L11" s="573"/>
      <c r="M11" s="55" t="s">
        <v>5443</v>
      </c>
      <c r="N11" s="106">
        <v>23</v>
      </c>
      <c r="O11" s="573"/>
      <c r="P11" s="55" t="s">
        <v>52</v>
      </c>
      <c r="Q11" s="106">
        <v>32.25</v>
      </c>
      <c r="R11" s="573"/>
      <c r="S11" s="55" t="s">
        <v>2565</v>
      </c>
      <c r="T11" s="106">
        <v>16.25</v>
      </c>
      <c r="U11" s="582"/>
      <c r="V11" s="55" t="s">
        <v>5130</v>
      </c>
      <c r="W11" s="106">
        <v>4</v>
      </c>
      <c r="X11" s="582"/>
      <c r="Y11" s="55" t="s">
        <v>4979</v>
      </c>
      <c r="Z11" s="106">
        <v>34</v>
      </c>
      <c r="AA11" s="573"/>
      <c r="AB11" s="55" t="s">
        <v>3373</v>
      </c>
      <c r="AC11" s="106">
        <v>25.25</v>
      </c>
      <c r="AD11" s="573"/>
      <c r="AE11" s="682" t="s">
        <v>2907</v>
      </c>
      <c r="AF11" s="683">
        <v>21</v>
      </c>
      <c r="AG11" s="581" t="s">
        <v>12664</v>
      </c>
      <c r="AH11" s="56" t="s">
        <v>84</v>
      </c>
      <c r="AI11" s="361">
        <v>18</v>
      </c>
      <c r="AJ11" s="583"/>
      <c r="AK11" s="56" t="s">
        <v>3023</v>
      </c>
      <c r="AL11" s="361">
        <v>32</v>
      </c>
      <c r="AM11" s="583"/>
      <c r="AN11" s="55" t="s">
        <v>5639</v>
      </c>
      <c r="AO11" s="106">
        <v>27</v>
      </c>
      <c r="AP11" s="573"/>
      <c r="AQ11" s="55" t="s">
        <v>149</v>
      </c>
      <c r="AR11" s="106">
        <v>31.5</v>
      </c>
      <c r="AS11" s="573"/>
      <c r="AT11" s="55" t="s">
        <v>34</v>
      </c>
      <c r="AU11" s="106">
        <v>30.25</v>
      </c>
      <c r="AV11" s="573"/>
      <c r="AW11" s="55" t="s">
        <v>124</v>
      </c>
      <c r="AX11" s="106">
        <v>7.25</v>
      </c>
      <c r="AY11" s="573"/>
      <c r="AZ11" s="55" t="s">
        <v>353</v>
      </c>
      <c r="BA11" s="106">
        <v>26.75</v>
      </c>
      <c r="BB11" s="582"/>
      <c r="BC11" s="688" t="s">
        <v>4955</v>
      </c>
      <c r="BD11" s="689">
        <v>16.5</v>
      </c>
      <c r="BE11" s="582"/>
    </row>
    <row r="12" spans="1:78" x14ac:dyDescent="0.25">
      <c r="A12" s="55" t="s">
        <v>4669</v>
      </c>
      <c r="B12" s="106">
        <v>10.25</v>
      </c>
      <c r="C12" s="573"/>
      <c r="D12" s="55" t="s">
        <v>5238</v>
      </c>
      <c r="E12" s="106">
        <v>8.75</v>
      </c>
      <c r="F12" s="582"/>
      <c r="G12" s="55" t="s">
        <v>4494</v>
      </c>
      <c r="H12" s="106">
        <v>26.25</v>
      </c>
      <c r="I12" s="573"/>
      <c r="J12" s="55" t="s">
        <v>4750</v>
      </c>
      <c r="K12" s="106">
        <v>32</v>
      </c>
      <c r="L12" s="573"/>
      <c r="M12" s="55" t="s">
        <v>24</v>
      </c>
      <c r="N12" s="106">
        <v>35.5</v>
      </c>
      <c r="O12" s="573"/>
      <c r="P12" s="55" t="s">
        <v>180</v>
      </c>
      <c r="Q12" s="106">
        <v>30.5</v>
      </c>
      <c r="R12" s="573"/>
      <c r="S12" s="55" t="s">
        <v>3526</v>
      </c>
      <c r="T12" s="106">
        <v>6.75</v>
      </c>
      <c r="U12" s="582"/>
      <c r="V12" s="55" t="s">
        <v>3481</v>
      </c>
      <c r="W12" s="106">
        <v>8.75</v>
      </c>
      <c r="X12" s="582"/>
      <c r="Y12" s="55" t="s">
        <v>227</v>
      </c>
      <c r="Z12" s="106">
        <v>15.75</v>
      </c>
      <c r="AA12" s="573"/>
      <c r="AB12" s="55" t="s">
        <v>4828</v>
      </c>
      <c r="AC12" s="106">
        <v>24.75</v>
      </c>
      <c r="AD12" s="573"/>
      <c r="AE12" s="55" t="s">
        <v>5169</v>
      </c>
      <c r="AF12" s="106">
        <v>21</v>
      </c>
      <c r="AG12" s="582"/>
      <c r="AH12" s="682" t="s">
        <v>84</v>
      </c>
      <c r="AI12" s="683">
        <v>18</v>
      </c>
      <c r="AJ12" s="581" t="s">
        <v>12663</v>
      </c>
      <c r="AK12" s="682" t="s">
        <v>47</v>
      </c>
      <c r="AL12" s="683">
        <v>35</v>
      </c>
      <c r="AM12" s="581" t="s">
        <v>12663</v>
      </c>
      <c r="AN12" s="55" t="s">
        <v>4962</v>
      </c>
      <c r="AO12" s="106">
        <v>26.5</v>
      </c>
      <c r="AP12" s="573"/>
      <c r="AQ12" s="55" t="s">
        <v>5636</v>
      </c>
      <c r="AR12" s="106">
        <v>29</v>
      </c>
      <c r="AS12" s="573"/>
      <c r="AT12" s="55" t="s">
        <v>268</v>
      </c>
      <c r="AU12" s="106">
        <v>29.75</v>
      </c>
      <c r="AV12" s="573"/>
      <c r="AW12" s="55" t="s">
        <v>5734</v>
      </c>
      <c r="AX12" s="106">
        <v>11.5</v>
      </c>
      <c r="AY12" s="573"/>
      <c r="AZ12" s="55" t="s">
        <v>173</v>
      </c>
      <c r="BA12" s="106">
        <v>26.75</v>
      </c>
      <c r="BB12" s="582"/>
      <c r="BC12" s="688" t="s">
        <v>5676</v>
      </c>
      <c r="BD12" s="689">
        <v>12</v>
      </c>
      <c r="BE12" s="582"/>
    </row>
    <row r="13" spans="1:78" ht="15.75" thickBot="1" x14ac:dyDescent="0.3">
      <c r="A13" s="55" t="s">
        <v>4516</v>
      </c>
      <c r="B13" s="106">
        <v>13</v>
      </c>
      <c r="C13" s="573"/>
      <c r="D13" s="55" t="s">
        <v>12</v>
      </c>
      <c r="E13" s="106">
        <v>8.75</v>
      </c>
      <c r="F13" s="582"/>
      <c r="G13" s="55" t="s">
        <v>5128</v>
      </c>
      <c r="H13" s="106">
        <v>23.25</v>
      </c>
      <c r="I13" s="573"/>
      <c r="J13" s="56" t="s">
        <v>5223</v>
      </c>
      <c r="K13" s="361">
        <v>3.5</v>
      </c>
      <c r="L13" s="574"/>
      <c r="M13" s="55" t="s">
        <v>217</v>
      </c>
      <c r="N13" s="106">
        <v>35.25</v>
      </c>
      <c r="O13" s="573"/>
      <c r="P13" s="56" t="s">
        <v>5225</v>
      </c>
      <c r="Q13" s="361">
        <v>7.5</v>
      </c>
      <c r="R13" s="574"/>
      <c r="S13" s="55" t="s">
        <v>3739</v>
      </c>
      <c r="T13" s="106">
        <v>12.25</v>
      </c>
      <c r="U13" s="582"/>
      <c r="V13" s="55" t="s">
        <v>3225</v>
      </c>
      <c r="W13" s="106">
        <v>9.75</v>
      </c>
      <c r="X13" s="582"/>
      <c r="Y13" s="56" t="s">
        <v>5620</v>
      </c>
      <c r="Z13" s="361">
        <v>14.25</v>
      </c>
      <c r="AA13" s="574"/>
      <c r="AB13" s="55" t="s">
        <v>3751</v>
      </c>
      <c r="AC13" s="106">
        <v>24.75</v>
      </c>
      <c r="AD13" s="573"/>
      <c r="AE13" s="55" t="s">
        <v>5567</v>
      </c>
      <c r="AF13" s="106">
        <v>21</v>
      </c>
      <c r="AG13" s="582"/>
      <c r="AH13" s="55" t="s">
        <v>5561</v>
      </c>
      <c r="AI13" s="106">
        <v>17.75</v>
      </c>
      <c r="AJ13" s="582"/>
      <c r="AK13" s="55" t="s">
        <v>361</v>
      </c>
      <c r="AL13" s="106">
        <v>34.25</v>
      </c>
      <c r="AM13" s="582"/>
      <c r="AN13" s="55" t="s">
        <v>5019</v>
      </c>
      <c r="AO13" s="106">
        <v>25.25</v>
      </c>
      <c r="AP13" s="573"/>
      <c r="AQ13" s="56" t="s">
        <v>399</v>
      </c>
      <c r="AR13" s="361">
        <v>12.5</v>
      </c>
      <c r="AS13" s="574"/>
      <c r="AT13" s="56" t="s">
        <v>5089</v>
      </c>
      <c r="AU13" s="361">
        <v>15.25</v>
      </c>
      <c r="AV13" s="574"/>
      <c r="AW13" s="55" t="s">
        <v>5323</v>
      </c>
      <c r="AX13" s="106">
        <v>5</v>
      </c>
      <c r="AY13" s="573"/>
      <c r="AZ13" s="55" t="s">
        <v>5513</v>
      </c>
      <c r="BA13" s="106">
        <v>25.25</v>
      </c>
      <c r="BB13" s="582"/>
      <c r="BC13" s="688" t="s">
        <v>3388</v>
      </c>
      <c r="BD13" s="689">
        <v>12.75</v>
      </c>
      <c r="BE13" s="582"/>
    </row>
    <row r="14" spans="1:78" ht="15.75" thickBot="1" x14ac:dyDescent="0.3">
      <c r="A14" s="56" t="s">
        <v>3307</v>
      </c>
      <c r="B14" s="361">
        <v>10.5</v>
      </c>
      <c r="C14" s="574"/>
      <c r="D14" s="55" t="s">
        <v>2806</v>
      </c>
      <c r="E14" s="106">
        <v>8.5</v>
      </c>
      <c r="F14" s="582"/>
      <c r="G14" s="55" t="s">
        <v>430</v>
      </c>
      <c r="H14" s="106">
        <v>18.25</v>
      </c>
      <c r="I14" s="573"/>
      <c r="J14" s="465" t="s">
        <v>5037</v>
      </c>
      <c r="K14" s="464">
        <v>33.5</v>
      </c>
      <c r="L14" s="572" t="s">
        <v>12663</v>
      </c>
      <c r="M14" s="55" t="s">
        <v>3107</v>
      </c>
      <c r="N14" s="106">
        <v>11.5</v>
      </c>
      <c r="O14" s="573"/>
      <c r="P14" s="465" t="s">
        <v>240</v>
      </c>
      <c r="Q14" s="464">
        <v>32.75</v>
      </c>
      <c r="R14" s="572" t="s">
        <v>12663</v>
      </c>
      <c r="S14" s="55" t="s">
        <v>4770</v>
      </c>
      <c r="T14" s="106">
        <v>4.25</v>
      </c>
      <c r="U14" s="582"/>
      <c r="V14" s="55" t="s">
        <v>5425</v>
      </c>
      <c r="W14" s="106">
        <v>13.25</v>
      </c>
      <c r="X14" s="582"/>
      <c r="Y14" s="682" t="s">
        <v>4398</v>
      </c>
      <c r="Z14" s="683">
        <v>33.75</v>
      </c>
      <c r="AA14" s="581" t="s">
        <v>12663</v>
      </c>
      <c r="AB14" s="55" t="s">
        <v>2425</v>
      </c>
      <c r="AC14" s="106">
        <v>24.75</v>
      </c>
      <c r="AD14" s="573"/>
      <c r="AE14" s="55" t="s">
        <v>5031</v>
      </c>
      <c r="AF14" s="106">
        <v>20.75</v>
      </c>
      <c r="AG14" s="582"/>
      <c r="AH14" s="55" t="s">
        <v>200</v>
      </c>
      <c r="AI14" s="106">
        <v>17.75</v>
      </c>
      <c r="AJ14" s="582"/>
      <c r="AK14" s="55" t="s">
        <v>347</v>
      </c>
      <c r="AL14" s="106">
        <v>34</v>
      </c>
      <c r="AM14" s="582"/>
      <c r="AN14" s="55" t="s">
        <v>55</v>
      </c>
      <c r="AO14" s="106">
        <v>25</v>
      </c>
      <c r="AP14" s="573"/>
      <c r="AQ14" s="465" t="s">
        <v>5625</v>
      </c>
      <c r="AR14" s="464">
        <v>31.75</v>
      </c>
      <c r="AS14" s="572" t="s">
        <v>12664</v>
      </c>
      <c r="AT14" s="465" t="s">
        <v>270</v>
      </c>
      <c r="AU14" s="464">
        <v>31</v>
      </c>
      <c r="AV14" s="572" t="s">
        <v>12664</v>
      </c>
      <c r="AW14" s="55" t="s">
        <v>4570</v>
      </c>
      <c r="AX14" s="106">
        <v>13.5</v>
      </c>
      <c r="AY14" s="573"/>
      <c r="AZ14" s="55" t="s">
        <v>388</v>
      </c>
      <c r="BA14" s="106">
        <v>24.5</v>
      </c>
      <c r="BB14" s="582"/>
      <c r="BC14" s="688" t="s">
        <v>5277</v>
      </c>
      <c r="BD14" s="689">
        <v>14.75</v>
      </c>
      <c r="BE14" s="582"/>
    </row>
    <row r="15" spans="1:78" ht="15.75" thickBot="1" x14ac:dyDescent="0.3">
      <c r="A15" s="682" t="s">
        <v>4945</v>
      </c>
      <c r="B15" s="683">
        <v>9</v>
      </c>
      <c r="C15" s="581" t="s">
        <v>12664</v>
      </c>
      <c r="D15" s="55" t="s">
        <v>4337</v>
      </c>
      <c r="E15" s="106">
        <v>8.25</v>
      </c>
      <c r="F15" s="582"/>
      <c r="G15" s="56" t="s">
        <v>4752</v>
      </c>
      <c r="H15" s="361">
        <v>15.75</v>
      </c>
      <c r="I15" s="574"/>
      <c r="J15" s="55" t="s">
        <v>4841</v>
      </c>
      <c r="K15" s="106">
        <v>33.25</v>
      </c>
      <c r="L15" s="573"/>
      <c r="M15" s="92" t="s">
        <v>4100</v>
      </c>
      <c r="N15" s="360">
        <v>11.25</v>
      </c>
      <c r="O15" s="574"/>
      <c r="P15" s="55" t="s">
        <v>5159</v>
      </c>
      <c r="Q15" s="106">
        <v>32.5</v>
      </c>
      <c r="R15" s="573"/>
      <c r="S15" s="55" t="s">
        <v>4213</v>
      </c>
      <c r="T15" s="106">
        <v>13.75</v>
      </c>
      <c r="U15" s="582"/>
      <c r="V15" s="55" t="s">
        <v>3416</v>
      </c>
      <c r="W15" s="106">
        <v>8.25</v>
      </c>
      <c r="X15" s="582"/>
      <c r="Y15" s="55" t="s">
        <v>5219</v>
      </c>
      <c r="Z15" s="106">
        <v>23.5</v>
      </c>
      <c r="AA15" s="582"/>
      <c r="AB15" s="56" t="s">
        <v>5619</v>
      </c>
      <c r="AC15" s="361">
        <v>17.25</v>
      </c>
      <c r="AD15" s="574"/>
      <c r="AE15" s="55" t="s">
        <v>5061</v>
      </c>
      <c r="AF15" s="106">
        <v>20.75</v>
      </c>
      <c r="AG15" s="582"/>
      <c r="AH15" s="55" t="s">
        <v>3743</v>
      </c>
      <c r="AI15" s="106">
        <v>17.75</v>
      </c>
      <c r="AJ15" s="582"/>
      <c r="AK15" s="55" t="s">
        <v>4032</v>
      </c>
      <c r="AL15" s="106">
        <v>32.75</v>
      </c>
      <c r="AM15" s="582"/>
      <c r="AN15" s="56" t="s">
        <v>5480</v>
      </c>
      <c r="AO15" s="361">
        <v>9.25</v>
      </c>
      <c r="AP15" s="574"/>
      <c r="AQ15" s="55" t="s">
        <v>219</v>
      </c>
      <c r="AR15" s="106">
        <v>31.75</v>
      </c>
      <c r="AS15" s="573"/>
      <c r="AT15" s="55" t="s">
        <v>95</v>
      </c>
      <c r="AU15" s="106">
        <v>31</v>
      </c>
      <c r="AV15" s="573"/>
      <c r="AW15" s="55" t="s">
        <v>5536</v>
      </c>
      <c r="AX15" s="106">
        <v>14.75</v>
      </c>
      <c r="AY15" s="573"/>
      <c r="AZ15" s="55" t="s">
        <v>5452</v>
      </c>
      <c r="BA15" s="106">
        <v>21</v>
      </c>
      <c r="BB15" s="582"/>
      <c r="BC15" s="688" t="s">
        <v>1393</v>
      </c>
      <c r="BD15" s="689">
        <v>15</v>
      </c>
      <c r="BE15" s="582"/>
    </row>
    <row r="16" spans="1:78" ht="15.75" thickBot="1" x14ac:dyDescent="0.3">
      <c r="A16" s="688" t="s">
        <v>4578</v>
      </c>
      <c r="B16" s="689">
        <v>5.25</v>
      </c>
      <c r="C16" s="582"/>
      <c r="D16" s="55" t="s">
        <v>3416</v>
      </c>
      <c r="E16" s="106">
        <v>8.25</v>
      </c>
      <c r="F16" s="582"/>
      <c r="G16" s="465" t="s">
        <v>3856</v>
      </c>
      <c r="H16" s="464">
        <v>29.5</v>
      </c>
      <c r="I16" s="572" t="s">
        <v>12663</v>
      </c>
      <c r="J16" s="55" t="s">
        <v>448</v>
      </c>
      <c r="K16" s="106">
        <v>33</v>
      </c>
      <c r="L16" s="573"/>
      <c r="M16" s="465" t="s">
        <v>4935</v>
      </c>
      <c r="N16" s="464">
        <v>28</v>
      </c>
      <c r="O16" s="572" t="s">
        <v>12663</v>
      </c>
      <c r="P16" s="55" t="s">
        <v>5141</v>
      </c>
      <c r="Q16" s="106">
        <v>32.5</v>
      </c>
      <c r="R16" s="573"/>
      <c r="S16" s="55" t="s">
        <v>256</v>
      </c>
      <c r="T16" s="106">
        <v>16.25</v>
      </c>
      <c r="U16" s="582"/>
      <c r="V16" s="55" t="s">
        <v>3442</v>
      </c>
      <c r="W16" s="106">
        <v>8.75</v>
      </c>
      <c r="X16" s="582"/>
      <c r="Y16" s="55" t="s">
        <v>2625</v>
      </c>
      <c r="Z16" s="106">
        <v>27</v>
      </c>
      <c r="AA16" s="582"/>
      <c r="AB16" s="465" t="s">
        <v>4223</v>
      </c>
      <c r="AC16" s="464">
        <v>25.75</v>
      </c>
      <c r="AD16" s="572" t="s">
        <v>12664</v>
      </c>
      <c r="AE16" s="55" t="s">
        <v>5185</v>
      </c>
      <c r="AF16" s="106">
        <v>20.75</v>
      </c>
      <c r="AG16" s="582"/>
      <c r="AH16" s="55" t="s">
        <v>182</v>
      </c>
      <c r="AI16" s="106">
        <v>17.5</v>
      </c>
      <c r="AJ16" s="582"/>
      <c r="AK16" s="56" t="s">
        <v>3023</v>
      </c>
      <c r="AL16" s="361">
        <v>32</v>
      </c>
      <c r="AM16" s="583"/>
      <c r="AN16" s="465" t="s">
        <v>454</v>
      </c>
      <c r="AO16" s="464">
        <v>28</v>
      </c>
      <c r="AP16" s="572" t="s">
        <v>12664</v>
      </c>
      <c r="AQ16" s="55" t="s">
        <v>249</v>
      </c>
      <c r="AR16" s="106">
        <v>31.5</v>
      </c>
      <c r="AS16" s="573"/>
      <c r="AT16" s="55" t="s">
        <v>145</v>
      </c>
      <c r="AU16" s="106">
        <v>30.75</v>
      </c>
      <c r="AV16" s="573"/>
      <c r="AW16" s="55" t="s">
        <v>5269</v>
      </c>
      <c r="AX16" s="106">
        <v>12.5</v>
      </c>
      <c r="AY16" s="573"/>
      <c r="AZ16" s="55" t="s">
        <v>5549</v>
      </c>
      <c r="BA16" s="106">
        <v>9.75</v>
      </c>
      <c r="BB16" s="582"/>
      <c r="BC16" s="690" t="s">
        <v>5454</v>
      </c>
      <c r="BD16" s="691">
        <v>13.5</v>
      </c>
      <c r="BE16" s="583"/>
    </row>
    <row r="17" spans="1:57" ht="15.75" thickBot="1" x14ac:dyDescent="0.3">
      <c r="A17" s="688" t="s">
        <v>5079</v>
      </c>
      <c r="B17" s="689">
        <v>5.25</v>
      </c>
      <c r="C17" s="582"/>
      <c r="D17" s="55" t="s">
        <v>4052</v>
      </c>
      <c r="E17" s="106">
        <v>8</v>
      </c>
      <c r="F17" s="582"/>
      <c r="G17" s="55" t="s">
        <v>4543</v>
      </c>
      <c r="H17" s="106">
        <v>27.5</v>
      </c>
      <c r="I17" s="573"/>
      <c r="J17" s="55" t="s">
        <v>5408</v>
      </c>
      <c r="K17" s="106">
        <v>32.75</v>
      </c>
      <c r="L17" s="573"/>
      <c r="M17" s="55" t="s">
        <v>5221</v>
      </c>
      <c r="N17" s="106">
        <v>23.5</v>
      </c>
      <c r="O17" s="573"/>
      <c r="P17" s="55" t="s">
        <v>52</v>
      </c>
      <c r="Q17" s="106">
        <v>32.25</v>
      </c>
      <c r="R17" s="573"/>
      <c r="S17" s="55" t="s">
        <v>4412</v>
      </c>
      <c r="T17" s="106">
        <v>14.75</v>
      </c>
      <c r="U17" s="582"/>
      <c r="V17" s="55" t="s">
        <v>4464</v>
      </c>
      <c r="W17" s="106">
        <v>11.25</v>
      </c>
      <c r="X17" s="582"/>
      <c r="Y17" s="55" t="s">
        <v>928</v>
      </c>
      <c r="Z17" s="106">
        <v>28</v>
      </c>
      <c r="AA17" s="582"/>
      <c r="AB17" s="55" t="s">
        <v>1598</v>
      </c>
      <c r="AC17" s="106">
        <v>25.5</v>
      </c>
      <c r="AD17" s="573"/>
      <c r="AE17" s="55" t="s">
        <v>5171</v>
      </c>
      <c r="AF17" s="106">
        <v>20.75</v>
      </c>
      <c r="AG17" s="582"/>
      <c r="AH17" s="55" t="s">
        <v>3705</v>
      </c>
      <c r="AI17" s="106">
        <v>17.5</v>
      </c>
      <c r="AJ17" s="582"/>
      <c r="AK17" s="682" t="s">
        <v>3708</v>
      </c>
      <c r="AL17" s="683">
        <v>27.25</v>
      </c>
      <c r="AM17" s="581" t="s">
        <v>12663</v>
      </c>
      <c r="AN17" s="55" t="s">
        <v>2614</v>
      </c>
      <c r="AO17" s="106">
        <v>27</v>
      </c>
      <c r="AP17" s="573"/>
      <c r="AQ17" s="55" t="s">
        <v>149</v>
      </c>
      <c r="AR17" s="106">
        <v>31.5</v>
      </c>
      <c r="AS17" s="573"/>
      <c r="AT17" s="55" t="s">
        <v>34</v>
      </c>
      <c r="AU17" s="106">
        <v>30.25</v>
      </c>
      <c r="AV17" s="573"/>
      <c r="AW17" s="55" t="s">
        <v>5070</v>
      </c>
      <c r="AX17" s="106">
        <v>8.5</v>
      </c>
      <c r="AY17" s="573"/>
      <c r="AZ17" s="56" t="s">
        <v>5121</v>
      </c>
      <c r="BA17" s="361">
        <v>6.5</v>
      </c>
      <c r="BB17" s="583"/>
      <c r="BC17" s="695" t="s">
        <v>4955</v>
      </c>
      <c r="BD17" s="696">
        <v>16.5</v>
      </c>
      <c r="BE17" s="581" t="s">
        <v>12663</v>
      </c>
    </row>
    <row r="18" spans="1:57" ht="15.75" thickBot="1" x14ac:dyDescent="0.3">
      <c r="A18" s="688" t="s">
        <v>4973</v>
      </c>
      <c r="B18" s="689">
        <v>4.75</v>
      </c>
      <c r="C18" s="582"/>
      <c r="D18" s="55" t="s">
        <v>5130</v>
      </c>
      <c r="E18" s="106">
        <v>4</v>
      </c>
      <c r="F18" s="582"/>
      <c r="G18" s="55" t="s">
        <v>3883</v>
      </c>
      <c r="H18" s="106">
        <v>27.5</v>
      </c>
      <c r="I18" s="573"/>
      <c r="J18" s="55" t="s">
        <v>4750</v>
      </c>
      <c r="K18" s="106">
        <v>32</v>
      </c>
      <c r="L18" s="573"/>
      <c r="M18" s="55" t="s">
        <v>5443</v>
      </c>
      <c r="N18" s="106">
        <v>23</v>
      </c>
      <c r="O18" s="573"/>
      <c r="P18" s="55" t="s">
        <v>180</v>
      </c>
      <c r="Q18" s="106">
        <v>30.5</v>
      </c>
      <c r="R18" s="573"/>
      <c r="S18" s="55" t="s">
        <v>4243</v>
      </c>
      <c r="T18" s="106">
        <v>16.25</v>
      </c>
      <c r="U18" s="582"/>
      <c r="V18" s="55" t="s">
        <v>5238</v>
      </c>
      <c r="W18" s="106">
        <v>8.75</v>
      </c>
      <c r="X18" s="582"/>
      <c r="Y18" s="55" t="s">
        <v>2601</v>
      </c>
      <c r="Z18" s="106">
        <v>27.75</v>
      </c>
      <c r="AA18" s="582"/>
      <c r="AB18" s="55" t="s">
        <v>3373</v>
      </c>
      <c r="AC18" s="106">
        <v>25.25</v>
      </c>
      <c r="AD18" s="573"/>
      <c r="AE18" s="55" t="s">
        <v>5509</v>
      </c>
      <c r="AF18" s="106">
        <v>13.25</v>
      </c>
      <c r="AG18" s="582"/>
      <c r="AH18" s="55" t="s">
        <v>5530</v>
      </c>
      <c r="AI18" s="106">
        <v>17.25</v>
      </c>
      <c r="AJ18" s="582"/>
      <c r="AK18" s="55" t="s">
        <v>4779</v>
      </c>
      <c r="AL18" s="106">
        <v>25.75</v>
      </c>
      <c r="AM18" s="582"/>
      <c r="AN18" s="55" t="s">
        <v>5639</v>
      </c>
      <c r="AO18" s="106">
        <v>27</v>
      </c>
      <c r="AP18" s="573"/>
      <c r="AQ18" s="55" t="s">
        <v>5636</v>
      </c>
      <c r="AR18" s="106">
        <v>29</v>
      </c>
      <c r="AS18" s="573"/>
      <c r="AT18" s="55" t="s">
        <v>268</v>
      </c>
      <c r="AU18" s="106">
        <v>29.75</v>
      </c>
      <c r="AV18" s="573"/>
      <c r="AW18" s="56" t="s">
        <v>5613</v>
      </c>
      <c r="AX18" s="361">
        <v>13.5</v>
      </c>
      <c r="AY18" s="574"/>
      <c r="AZ18" s="682" t="s">
        <v>58</v>
      </c>
      <c r="BA18" s="683">
        <v>27.5</v>
      </c>
      <c r="BB18" s="581" t="s">
        <v>12663</v>
      </c>
      <c r="BC18" s="688" t="s">
        <v>2445</v>
      </c>
      <c r="BD18" s="689">
        <v>15.5</v>
      </c>
      <c r="BE18" s="582"/>
    </row>
    <row r="19" spans="1:57" ht="15.75" thickBot="1" x14ac:dyDescent="0.3">
      <c r="A19" s="688" t="s">
        <v>4896</v>
      </c>
      <c r="B19" s="689">
        <v>3.25</v>
      </c>
      <c r="C19" s="582"/>
      <c r="D19" s="56" t="s">
        <v>4960</v>
      </c>
      <c r="E19" s="361">
        <v>3.75</v>
      </c>
      <c r="F19" s="583"/>
      <c r="G19" s="55" t="s">
        <v>4494</v>
      </c>
      <c r="H19" s="106">
        <v>26.25</v>
      </c>
      <c r="I19" s="573"/>
      <c r="J19" s="56" t="s">
        <v>5223</v>
      </c>
      <c r="K19" s="361">
        <v>3.5</v>
      </c>
      <c r="L19" s="574"/>
      <c r="M19" s="55" t="s">
        <v>24</v>
      </c>
      <c r="N19" s="106">
        <v>35.5</v>
      </c>
      <c r="O19" s="573"/>
      <c r="P19" s="56" t="s">
        <v>5225</v>
      </c>
      <c r="Q19" s="361">
        <v>7.5</v>
      </c>
      <c r="R19" s="574"/>
      <c r="S19" s="55" t="s">
        <v>3553</v>
      </c>
      <c r="T19" s="106">
        <v>12.25</v>
      </c>
      <c r="U19" s="582"/>
      <c r="V19" s="56" t="s">
        <v>12</v>
      </c>
      <c r="W19" s="361">
        <v>8.75</v>
      </c>
      <c r="X19" s="583"/>
      <c r="Y19" s="55" t="s">
        <v>261</v>
      </c>
      <c r="Z19" s="106">
        <v>7.25</v>
      </c>
      <c r="AA19" s="582"/>
      <c r="AB19" s="55" t="s">
        <v>4828</v>
      </c>
      <c r="AC19" s="106">
        <v>24.75</v>
      </c>
      <c r="AD19" s="573"/>
      <c r="AE19" s="56" t="s">
        <v>9</v>
      </c>
      <c r="AF19" s="361">
        <v>8.75</v>
      </c>
      <c r="AG19" s="583"/>
      <c r="AH19" s="55" t="s">
        <v>185</v>
      </c>
      <c r="AI19" s="106">
        <v>17.25</v>
      </c>
      <c r="AJ19" s="582"/>
      <c r="AK19" s="55" t="s">
        <v>238</v>
      </c>
      <c r="AL19" s="106">
        <v>7.5</v>
      </c>
      <c r="AM19" s="582"/>
      <c r="AN19" s="55" t="s">
        <v>4962</v>
      </c>
      <c r="AO19" s="106">
        <v>26.5</v>
      </c>
      <c r="AP19" s="573"/>
      <c r="AQ19" s="56" t="s">
        <v>399</v>
      </c>
      <c r="AR19" s="361">
        <v>12.5</v>
      </c>
      <c r="AS19" s="574"/>
      <c r="AT19" s="56" t="s">
        <v>5089</v>
      </c>
      <c r="AU19" s="361">
        <v>15.25</v>
      </c>
      <c r="AV19" s="574"/>
      <c r="AW19" s="465" t="s">
        <v>103</v>
      </c>
      <c r="AX19" s="464">
        <v>14.75</v>
      </c>
      <c r="AY19" s="572" t="s">
        <v>12664</v>
      </c>
      <c r="AZ19" s="55" t="s">
        <v>353</v>
      </c>
      <c r="BA19" s="106">
        <v>26.75</v>
      </c>
      <c r="BB19" s="582"/>
      <c r="BC19" s="688" t="s">
        <v>1393</v>
      </c>
      <c r="BD19" s="689">
        <v>15</v>
      </c>
      <c r="BE19" s="582"/>
    </row>
    <row r="20" spans="1:57" ht="15.75" thickBot="1" x14ac:dyDescent="0.3">
      <c r="A20" s="688" t="s">
        <v>5147</v>
      </c>
      <c r="B20" s="689">
        <v>2.75</v>
      </c>
      <c r="C20" s="582"/>
      <c r="D20" s="465" t="s">
        <v>14212</v>
      </c>
      <c r="E20" s="464">
        <v>35.25</v>
      </c>
      <c r="F20" s="572" t="s">
        <v>12663</v>
      </c>
      <c r="G20" s="55" t="s">
        <v>5128</v>
      </c>
      <c r="H20" s="106">
        <v>23.25</v>
      </c>
      <c r="I20" s="573"/>
      <c r="J20" s="682" t="s">
        <v>5043</v>
      </c>
      <c r="K20" s="683">
        <v>32.25</v>
      </c>
      <c r="L20" s="581" t="s">
        <v>12663</v>
      </c>
      <c r="M20" s="55" t="s">
        <v>217</v>
      </c>
      <c r="N20" s="106">
        <v>35.25</v>
      </c>
      <c r="O20" s="573"/>
      <c r="P20" s="465" t="s">
        <v>240</v>
      </c>
      <c r="Q20" s="464">
        <v>32.75</v>
      </c>
      <c r="R20" s="572" t="s">
        <v>12663</v>
      </c>
      <c r="S20" s="55" t="s">
        <v>2671</v>
      </c>
      <c r="T20" s="106">
        <v>15</v>
      </c>
      <c r="U20" s="582"/>
      <c r="V20" s="682" t="s">
        <v>443</v>
      </c>
      <c r="W20" s="683">
        <v>13.5</v>
      </c>
      <c r="X20" s="581" t="s">
        <v>12663</v>
      </c>
      <c r="Y20" s="56" t="s">
        <v>1333</v>
      </c>
      <c r="Z20" s="361">
        <v>20.75</v>
      </c>
      <c r="AA20" s="583"/>
      <c r="AB20" s="55" t="s">
        <v>3751</v>
      </c>
      <c r="AC20" s="106">
        <v>24.75</v>
      </c>
      <c r="AD20" s="573"/>
      <c r="AE20" s="682" t="s">
        <v>2907</v>
      </c>
      <c r="AF20" s="683">
        <v>21</v>
      </c>
      <c r="AG20" s="581" t="s">
        <v>12664</v>
      </c>
      <c r="AH20" s="55" t="s">
        <v>5354</v>
      </c>
      <c r="AI20" s="106">
        <v>16.5</v>
      </c>
      <c r="AJ20" s="582"/>
      <c r="AK20" s="55" t="s">
        <v>2374</v>
      </c>
      <c r="AL20" s="106">
        <v>27.75</v>
      </c>
      <c r="AM20" s="582"/>
      <c r="AN20" s="55" t="s">
        <v>5019</v>
      </c>
      <c r="AO20" s="106">
        <v>25.25</v>
      </c>
      <c r="AP20" s="573"/>
      <c r="AQ20" s="465" t="s">
        <v>5625</v>
      </c>
      <c r="AR20" s="464">
        <v>31.75</v>
      </c>
      <c r="AS20" s="572" t="s">
        <v>12664</v>
      </c>
      <c r="AT20" s="465" t="s">
        <v>270</v>
      </c>
      <c r="AU20" s="464">
        <v>31</v>
      </c>
      <c r="AV20" s="572" t="s">
        <v>12664</v>
      </c>
      <c r="AW20" s="55" t="s">
        <v>5536</v>
      </c>
      <c r="AX20" s="106">
        <v>14.75</v>
      </c>
      <c r="AY20" s="573"/>
      <c r="AZ20" s="55" t="s">
        <v>173</v>
      </c>
      <c r="BA20" s="106">
        <v>26.75</v>
      </c>
      <c r="BB20" s="582"/>
      <c r="BC20" s="688" t="s">
        <v>5277</v>
      </c>
      <c r="BD20" s="689">
        <v>14.75</v>
      </c>
      <c r="BE20" s="582"/>
    </row>
    <row r="21" spans="1:57" ht="15.75" thickBot="1" x14ac:dyDescent="0.3">
      <c r="A21" s="55" t="s">
        <v>4945</v>
      </c>
      <c r="B21" s="106">
        <v>9</v>
      </c>
      <c r="C21" s="582"/>
      <c r="D21" s="55" t="s">
        <v>4915</v>
      </c>
      <c r="E21" s="106">
        <v>33.5</v>
      </c>
      <c r="F21" s="573"/>
      <c r="G21" s="55" t="s">
        <v>430</v>
      </c>
      <c r="H21" s="106">
        <v>18.25</v>
      </c>
      <c r="I21" s="573"/>
      <c r="J21" s="55" t="s">
        <v>4764</v>
      </c>
      <c r="K21" s="106">
        <v>32.25</v>
      </c>
      <c r="L21" s="582"/>
      <c r="M21" s="55" t="s">
        <v>3107</v>
      </c>
      <c r="N21" s="106">
        <v>11.5</v>
      </c>
      <c r="O21" s="573"/>
      <c r="P21" s="55" t="s">
        <v>5159</v>
      </c>
      <c r="Q21" s="106">
        <v>32.5</v>
      </c>
      <c r="R21" s="573"/>
      <c r="S21" s="56" t="s">
        <v>4766</v>
      </c>
      <c r="T21" s="361">
        <v>14</v>
      </c>
      <c r="U21" s="583"/>
      <c r="V21" s="55" t="s">
        <v>5425</v>
      </c>
      <c r="W21" s="106">
        <v>13.25</v>
      </c>
      <c r="X21" s="582"/>
      <c r="Y21" s="682" t="s">
        <v>4398</v>
      </c>
      <c r="Z21" s="683">
        <v>33.75</v>
      </c>
      <c r="AA21" s="581" t="s">
        <v>12663</v>
      </c>
      <c r="AB21" s="55" t="s">
        <v>2425</v>
      </c>
      <c r="AC21" s="106">
        <v>24.75</v>
      </c>
      <c r="AD21" s="573"/>
      <c r="AE21" s="55" t="s">
        <v>5169</v>
      </c>
      <c r="AF21" s="106">
        <v>21</v>
      </c>
      <c r="AG21" s="582"/>
      <c r="AH21" s="56" t="s">
        <v>5114</v>
      </c>
      <c r="AI21" s="361">
        <v>10.75</v>
      </c>
      <c r="AJ21" s="583"/>
      <c r="AK21" s="55" t="s">
        <v>1965</v>
      </c>
      <c r="AL21" s="106">
        <v>25.25</v>
      </c>
      <c r="AM21" s="582"/>
      <c r="AN21" s="55" t="s">
        <v>55</v>
      </c>
      <c r="AO21" s="106">
        <v>25</v>
      </c>
      <c r="AP21" s="573"/>
      <c r="AQ21" s="55" t="s">
        <v>219</v>
      </c>
      <c r="AR21" s="106">
        <v>31.75</v>
      </c>
      <c r="AS21" s="573"/>
      <c r="AT21" s="55" t="s">
        <v>95</v>
      </c>
      <c r="AU21" s="106">
        <v>31</v>
      </c>
      <c r="AV21" s="573"/>
      <c r="AW21" s="55" t="s">
        <v>4570</v>
      </c>
      <c r="AX21" s="106">
        <v>13.5</v>
      </c>
      <c r="AY21" s="573"/>
      <c r="AZ21" s="55" t="s">
        <v>5513</v>
      </c>
      <c r="BA21" s="106">
        <v>25.25</v>
      </c>
      <c r="BB21" s="582"/>
      <c r="BC21" s="688" t="s">
        <v>5563</v>
      </c>
      <c r="BD21" s="689">
        <v>13.75</v>
      </c>
      <c r="BE21" s="582"/>
    </row>
    <row r="22" spans="1:57" ht="15.75" thickBot="1" x14ac:dyDescent="0.3">
      <c r="A22" s="688" t="s">
        <v>4578</v>
      </c>
      <c r="B22" s="689">
        <v>5.25</v>
      </c>
      <c r="C22" s="582"/>
      <c r="D22" s="55" t="s">
        <v>4433</v>
      </c>
      <c r="E22" s="106">
        <v>16.75</v>
      </c>
      <c r="F22" s="573"/>
      <c r="G22" s="56" t="s">
        <v>4752</v>
      </c>
      <c r="H22" s="361">
        <v>15.75</v>
      </c>
      <c r="I22" s="574"/>
      <c r="J22" s="55" t="s">
        <v>5108</v>
      </c>
      <c r="K22" s="106">
        <v>32.5</v>
      </c>
      <c r="L22" s="582"/>
      <c r="M22" s="92" t="s">
        <v>4100</v>
      </c>
      <c r="N22" s="360">
        <v>11.25</v>
      </c>
      <c r="O22" s="574"/>
      <c r="P22" s="55" t="s">
        <v>5141</v>
      </c>
      <c r="Q22" s="106">
        <v>32.5</v>
      </c>
      <c r="R22" s="573"/>
      <c r="S22" s="682" t="s">
        <v>5101</v>
      </c>
      <c r="T22" s="683">
        <v>8</v>
      </c>
      <c r="U22" s="581" t="s">
        <v>12663</v>
      </c>
      <c r="V22" s="55" t="s">
        <v>4697</v>
      </c>
      <c r="W22" s="106">
        <v>12.5</v>
      </c>
      <c r="X22" s="582"/>
      <c r="Y22" s="55" t="s">
        <v>928</v>
      </c>
      <c r="Z22" s="106">
        <v>28</v>
      </c>
      <c r="AA22" s="582"/>
      <c r="AB22" s="56" t="s">
        <v>5619</v>
      </c>
      <c r="AC22" s="361">
        <v>17.25</v>
      </c>
      <c r="AD22" s="574"/>
      <c r="AE22" s="55" t="s">
        <v>5567</v>
      </c>
      <c r="AF22" s="106">
        <v>21</v>
      </c>
      <c r="AG22" s="582"/>
      <c r="AH22" s="682" t="s">
        <v>84</v>
      </c>
      <c r="AI22" s="683">
        <v>18</v>
      </c>
      <c r="AJ22" s="581" t="s">
        <v>12663</v>
      </c>
      <c r="AK22" s="55" t="s">
        <v>4677</v>
      </c>
      <c r="AL22" s="106">
        <v>27.5</v>
      </c>
      <c r="AM22" s="582"/>
      <c r="AN22" s="56" t="s">
        <v>5480</v>
      </c>
      <c r="AO22" s="361">
        <v>9.25</v>
      </c>
      <c r="AP22" s="574"/>
      <c r="AQ22" s="55" t="s">
        <v>249</v>
      </c>
      <c r="AR22" s="106">
        <v>31.5</v>
      </c>
      <c r="AS22" s="573"/>
      <c r="AT22" s="55" t="s">
        <v>145</v>
      </c>
      <c r="AU22" s="106">
        <v>30.75</v>
      </c>
      <c r="AV22" s="573"/>
      <c r="AW22" s="55" t="s">
        <v>5613</v>
      </c>
      <c r="AX22" s="106">
        <v>13.5</v>
      </c>
      <c r="AY22" s="573"/>
      <c r="AZ22" s="55" t="s">
        <v>388</v>
      </c>
      <c r="BA22" s="106">
        <v>24.5</v>
      </c>
      <c r="BB22" s="582"/>
      <c r="BC22" s="688" t="s">
        <v>5454</v>
      </c>
      <c r="BD22" s="689">
        <v>13.5</v>
      </c>
      <c r="BE22" s="582"/>
    </row>
    <row r="23" spans="1:57" ht="15.75" thickBot="1" x14ac:dyDescent="0.3">
      <c r="A23" s="688" t="s">
        <v>5079</v>
      </c>
      <c r="B23" s="689">
        <v>5.25</v>
      </c>
      <c r="C23" s="582"/>
      <c r="D23" s="55" t="s">
        <v>2597</v>
      </c>
      <c r="E23" s="106">
        <v>14</v>
      </c>
      <c r="F23" s="573"/>
      <c r="G23" s="682" t="s">
        <v>5570</v>
      </c>
      <c r="H23" s="683">
        <v>17.75</v>
      </c>
      <c r="I23" s="581" t="s">
        <v>12663</v>
      </c>
      <c r="J23" s="55" t="s">
        <v>4943</v>
      </c>
      <c r="K23" s="106">
        <v>32.25</v>
      </c>
      <c r="L23" s="582"/>
      <c r="M23" s="682" t="s">
        <v>5373</v>
      </c>
      <c r="N23" s="683">
        <v>35.25</v>
      </c>
      <c r="O23" s="584" t="s">
        <v>12663</v>
      </c>
      <c r="P23" s="55" t="s">
        <v>52</v>
      </c>
      <c r="Q23" s="106">
        <v>32.25</v>
      </c>
      <c r="R23" s="573"/>
      <c r="S23" s="55" t="s">
        <v>1842</v>
      </c>
      <c r="T23" s="106">
        <v>10</v>
      </c>
      <c r="U23" s="582"/>
      <c r="V23" s="55" t="s">
        <v>4464</v>
      </c>
      <c r="W23" s="106">
        <v>11.25</v>
      </c>
      <c r="X23" s="582"/>
      <c r="Y23" s="55" t="s">
        <v>2601</v>
      </c>
      <c r="Z23" s="106">
        <v>27.75</v>
      </c>
      <c r="AA23" s="582"/>
      <c r="AB23" s="682" t="s">
        <v>2531</v>
      </c>
      <c r="AC23" s="683">
        <v>24</v>
      </c>
      <c r="AD23" s="581" t="s">
        <v>12664</v>
      </c>
      <c r="AE23" s="55" t="s">
        <v>5031</v>
      </c>
      <c r="AF23" s="106">
        <v>20.75</v>
      </c>
      <c r="AG23" s="582"/>
      <c r="AH23" s="55" t="s">
        <v>5561</v>
      </c>
      <c r="AI23" s="106">
        <v>17.75</v>
      </c>
      <c r="AJ23" s="582"/>
      <c r="AK23" s="56" t="s">
        <v>1851</v>
      </c>
      <c r="AL23" s="361">
        <v>27</v>
      </c>
      <c r="AM23" s="583"/>
      <c r="AN23" s="465" t="s">
        <v>454</v>
      </c>
      <c r="AO23" s="464">
        <v>28</v>
      </c>
      <c r="AP23" s="572" t="s">
        <v>12664</v>
      </c>
      <c r="AQ23" s="55" t="s">
        <v>149</v>
      </c>
      <c r="AR23" s="106">
        <v>31.5</v>
      </c>
      <c r="AS23" s="573"/>
      <c r="AT23" s="55" t="s">
        <v>34</v>
      </c>
      <c r="AU23" s="106">
        <v>30.25</v>
      </c>
      <c r="AV23" s="573"/>
      <c r="AW23" s="55" t="s">
        <v>5754</v>
      </c>
      <c r="AX23" s="106">
        <v>12.75</v>
      </c>
      <c r="AY23" s="573"/>
      <c r="AZ23" s="55" t="s">
        <v>5452</v>
      </c>
      <c r="BA23" s="106">
        <v>21</v>
      </c>
      <c r="BB23" s="582"/>
      <c r="BC23" s="688" t="s">
        <v>3388</v>
      </c>
      <c r="BD23" s="689">
        <v>12.75</v>
      </c>
      <c r="BE23" s="582"/>
    </row>
    <row r="24" spans="1:57" x14ac:dyDescent="0.25">
      <c r="A24" s="688" t="s">
        <v>4973</v>
      </c>
      <c r="B24" s="689">
        <v>4.75</v>
      </c>
      <c r="C24" s="582"/>
      <c r="D24" s="55" t="s">
        <v>5257</v>
      </c>
      <c r="E24" s="106">
        <v>35</v>
      </c>
      <c r="F24" s="573"/>
      <c r="G24" s="55" t="s">
        <v>426</v>
      </c>
      <c r="H24" s="106">
        <v>9.75</v>
      </c>
      <c r="I24" s="582"/>
      <c r="J24" s="55" t="s">
        <v>4922</v>
      </c>
      <c r="K24" s="106">
        <v>6.25</v>
      </c>
      <c r="L24" s="582"/>
      <c r="M24" s="89" t="s">
        <v>5386</v>
      </c>
      <c r="N24" s="91">
        <v>34.75</v>
      </c>
      <c r="O24" s="585"/>
      <c r="P24" s="55" t="s">
        <v>180</v>
      </c>
      <c r="Q24" s="106">
        <v>30.5</v>
      </c>
      <c r="R24" s="573"/>
      <c r="S24" s="55" t="s">
        <v>4993</v>
      </c>
      <c r="T24" s="106">
        <v>5.5</v>
      </c>
      <c r="U24" s="582"/>
      <c r="V24" s="55" t="s">
        <v>4291</v>
      </c>
      <c r="W24" s="106">
        <v>11</v>
      </c>
      <c r="X24" s="582"/>
      <c r="Y24" s="55" t="s">
        <v>2625</v>
      </c>
      <c r="Z24" s="106">
        <v>27</v>
      </c>
      <c r="AA24" s="582"/>
      <c r="AB24" s="55" t="s">
        <v>3463</v>
      </c>
      <c r="AC24" s="106">
        <v>24.25</v>
      </c>
      <c r="AD24" s="582"/>
      <c r="AE24" s="55" t="s">
        <v>5061</v>
      </c>
      <c r="AF24" s="106">
        <v>20.75</v>
      </c>
      <c r="AG24" s="582"/>
      <c r="AH24" s="55" t="s">
        <v>200</v>
      </c>
      <c r="AI24" s="106">
        <v>17.75</v>
      </c>
      <c r="AJ24" s="582"/>
      <c r="AK24" s="682" t="s">
        <v>2374</v>
      </c>
      <c r="AL24" s="683">
        <v>27.75</v>
      </c>
      <c r="AM24" s="581" t="s">
        <v>12663</v>
      </c>
      <c r="AN24" s="55" t="s">
        <v>2614</v>
      </c>
      <c r="AO24" s="106">
        <v>27</v>
      </c>
      <c r="AP24" s="573"/>
      <c r="AQ24" s="55" t="s">
        <v>5636</v>
      </c>
      <c r="AR24" s="106">
        <v>29</v>
      </c>
      <c r="AS24" s="573"/>
      <c r="AT24" s="55" t="s">
        <v>268</v>
      </c>
      <c r="AU24" s="106">
        <v>29.75</v>
      </c>
      <c r="AV24" s="573"/>
      <c r="AW24" s="55" t="s">
        <v>5269</v>
      </c>
      <c r="AX24" s="106">
        <v>12.5</v>
      </c>
      <c r="AY24" s="573"/>
      <c r="AZ24" s="55" t="s">
        <v>5549</v>
      </c>
      <c r="BA24" s="106">
        <v>9.75</v>
      </c>
      <c r="BB24" s="582"/>
      <c r="BC24" s="688" t="s">
        <v>4049</v>
      </c>
      <c r="BD24" s="689">
        <v>12</v>
      </c>
      <c r="BE24" s="582"/>
    </row>
    <row r="25" spans="1:57" ht="15.75" thickBot="1" x14ac:dyDescent="0.3">
      <c r="A25" s="55" t="s">
        <v>4945</v>
      </c>
      <c r="B25" s="106">
        <v>9</v>
      </c>
      <c r="C25" s="582"/>
      <c r="D25" s="56" t="s">
        <v>5029</v>
      </c>
      <c r="E25" s="361">
        <v>33.5</v>
      </c>
      <c r="F25" s="574"/>
      <c r="G25" s="55" t="s">
        <v>763</v>
      </c>
      <c r="H25" s="106">
        <v>18.25</v>
      </c>
      <c r="I25" s="582"/>
      <c r="J25" s="56" t="s">
        <v>4760</v>
      </c>
      <c r="K25" s="361">
        <v>32.5</v>
      </c>
      <c r="L25" s="583"/>
      <c r="M25" s="55" t="s">
        <v>4414</v>
      </c>
      <c r="N25" s="106">
        <v>28.25</v>
      </c>
      <c r="O25" s="585"/>
      <c r="P25" s="56" t="s">
        <v>5225</v>
      </c>
      <c r="Q25" s="361">
        <v>7.5</v>
      </c>
      <c r="R25" s="574"/>
      <c r="S25" s="55" t="s">
        <v>5023</v>
      </c>
      <c r="T25" s="106">
        <v>6</v>
      </c>
      <c r="U25" s="582"/>
      <c r="V25" s="55" t="s">
        <v>4456</v>
      </c>
      <c r="W25" s="106">
        <v>10.75</v>
      </c>
      <c r="X25" s="582"/>
      <c r="Y25" s="55" t="s">
        <v>5219</v>
      </c>
      <c r="Z25" s="106">
        <v>23.5</v>
      </c>
      <c r="AA25" s="582"/>
      <c r="AB25" s="55" t="s">
        <v>5384</v>
      </c>
      <c r="AC25" s="106">
        <v>23</v>
      </c>
      <c r="AD25" s="582"/>
      <c r="AE25" s="55" t="s">
        <v>5185</v>
      </c>
      <c r="AF25" s="106">
        <v>20.75</v>
      </c>
      <c r="AG25" s="582"/>
      <c r="AH25" s="55" t="s">
        <v>3743</v>
      </c>
      <c r="AI25" s="106">
        <v>17.75</v>
      </c>
      <c r="AJ25" s="582"/>
      <c r="AK25" s="55" t="s">
        <v>4677</v>
      </c>
      <c r="AL25" s="106">
        <v>27.5</v>
      </c>
      <c r="AM25" s="582"/>
      <c r="AN25" s="55" t="s">
        <v>5639</v>
      </c>
      <c r="AO25" s="106">
        <v>27</v>
      </c>
      <c r="AP25" s="573"/>
      <c r="AQ25" s="56" t="s">
        <v>399</v>
      </c>
      <c r="AR25" s="361">
        <v>12.5</v>
      </c>
      <c r="AS25" s="574"/>
      <c r="AT25" s="56" t="s">
        <v>5089</v>
      </c>
      <c r="AU25" s="361">
        <v>15.25</v>
      </c>
      <c r="AV25" s="574"/>
      <c r="AW25" s="55" t="s">
        <v>5739</v>
      </c>
      <c r="AX25" s="106">
        <v>12.25</v>
      </c>
      <c r="AY25" s="573"/>
      <c r="AZ25" s="56" t="s">
        <v>5121</v>
      </c>
      <c r="BA25" s="361">
        <v>6.5</v>
      </c>
      <c r="BB25" s="583"/>
      <c r="BC25" s="688" t="s">
        <v>5676</v>
      </c>
      <c r="BD25" s="689">
        <v>12</v>
      </c>
      <c r="BE25" s="582"/>
    </row>
    <row r="26" spans="1:57" x14ac:dyDescent="0.25">
      <c r="A26" s="688" t="s">
        <v>4896</v>
      </c>
      <c r="B26" s="689">
        <v>3.25</v>
      </c>
      <c r="C26" s="582"/>
      <c r="D26" s="465" t="s">
        <v>14212</v>
      </c>
      <c r="E26" s="464">
        <v>35.25</v>
      </c>
      <c r="F26" s="572" t="s">
        <v>12663</v>
      </c>
      <c r="G26" s="55" t="s">
        <v>402</v>
      </c>
      <c r="H26" s="106">
        <v>18.5</v>
      </c>
      <c r="I26" s="582"/>
      <c r="J26" s="682" t="s">
        <v>5108</v>
      </c>
      <c r="K26" s="683">
        <v>32.5</v>
      </c>
      <c r="L26" s="581" t="s">
        <v>12663</v>
      </c>
      <c r="M26" s="90" t="s">
        <v>5406</v>
      </c>
      <c r="N26" s="359">
        <v>35</v>
      </c>
      <c r="O26" s="585"/>
      <c r="P26" s="682" t="s">
        <v>5352</v>
      </c>
      <c r="Q26" s="683">
        <v>12</v>
      </c>
      <c r="R26" s="581" t="s">
        <v>12663</v>
      </c>
      <c r="S26" s="55" t="s">
        <v>5161</v>
      </c>
      <c r="T26" s="106">
        <v>6.25</v>
      </c>
      <c r="U26" s="582"/>
      <c r="V26" s="55" t="s">
        <v>4738</v>
      </c>
      <c r="W26" s="106">
        <v>10</v>
      </c>
      <c r="X26" s="582"/>
      <c r="Y26" s="55" t="s">
        <v>1333</v>
      </c>
      <c r="Z26" s="106">
        <v>20.75</v>
      </c>
      <c r="AA26" s="582"/>
      <c r="AB26" s="55" t="s">
        <v>5365</v>
      </c>
      <c r="AC26" s="106">
        <v>24.5</v>
      </c>
      <c r="AD26" s="582"/>
      <c r="AE26" s="55" t="s">
        <v>5171</v>
      </c>
      <c r="AF26" s="106">
        <v>20.75</v>
      </c>
      <c r="AG26" s="582"/>
      <c r="AH26" s="55" t="s">
        <v>182</v>
      </c>
      <c r="AI26" s="106">
        <v>17.5</v>
      </c>
      <c r="AJ26" s="582"/>
      <c r="AK26" s="55" t="s">
        <v>3708</v>
      </c>
      <c r="AL26" s="106">
        <v>27.25</v>
      </c>
      <c r="AM26" s="582"/>
      <c r="AN26" s="55" t="s">
        <v>4962</v>
      </c>
      <c r="AO26" s="106">
        <v>26.5</v>
      </c>
      <c r="AP26" s="573"/>
      <c r="AQ26" s="682" t="s">
        <v>5253</v>
      </c>
      <c r="AR26" s="683">
        <v>29.5</v>
      </c>
      <c r="AS26" s="581" t="s">
        <v>12664</v>
      </c>
      <c r="AT26" s="682" t="s">
        <v>10817</v>
      </c>
      <c r="AU26" s="683">
        <v>27.5</v>
      </c>
      <c r="AV26" s="581" t="s">
        <v>12664</v>
      </c>
      <c r="AW26" s="55" t="s">
        <v>5734</v>
      </c>
      <c r="AX26" s="106">
        <v>11.5</v>
      </c>
      <c r="AY26" s="573"/>
      <c r="AZ26" s="682" t="s">
        <v>58</v>
      </c>
      <c r="BA26" s="683">
        <v>27.5</v>
      </c>
      <c r="BB26" s="581" t="s">
        <v>12663</v>
      </c>
      <c r="BC26" s="688" t="s">
        <v>5210</v>
      </c>
      <c r="BD26" s="689">
        <v>9.75</v>
      </c>
      <c r="BE26" s="582"/>
    </row>
    <row r="27" spans="1:57" ht="15.75" thickBot="1" x14ac:dyDescent="0.3">
      <c r="A27" s="688" t="s">
        <v>5147</v>
      </c>
      <c r="B27" s="689">
        <v>2.75</v>
      </c>
      <c r="C27" s="582"/>
      <c r="D27" s="55" t="s">
        <v>5257</v>
      </c>
      <c r="E27" s="106">
        <v>35</v>
      </c>
      <c r="F27" s="573"/>
      <c r="G27" s="55" t="s">
        <v>5021</v>
      </c>
      <c r="H27" s="106">
        <v>6</v>
      </c>
      <c r="I27" s="582"/>
      <c r="J27" s="55" t="s">
        <v>4760</v>
      </c>
      <c r="K27" s="106">
        <v>32.5</v>
      </c>
      <c r="L27" s="582"/>
      <c r="M27" s="56" t="s">
        <v>3</v>
      </c>
      <c r="N27" s="361">
        <v>34.75</v>
      </c>
      <c r="O27" s="586"/>
      <c r="P27" s="55" t="s">
        <v>266</v>
      </c>
      <c r="Q27" s="106">
        <v>28.5</v>
      </c>
      <c r="R27" s="582"/>
      <c r="S27" s="55" t="s">
        <v>3964</v>
      </c>
      <c r="T27" s="106">
        <v>11.75</v>
      </c>
      <c r="U27" s="582"/>
      <c r="V27" s="55" t="s">
        <v>3225</v>
      </c>
      <c r="W27" s="106">
        <v>9.75</v>
      </c>
      <c r="X27" s="582"/>
      <c r="Y27" s="56" t="s">
        <v>261</v>
      </c>
      <c r="Z27" s="361">
        <v>7.25</v>
      </c>
      <c r="AA27" s="583"/>
      <c r="AB27" s="55" t="s">
        <v>5762</v>
      </c>
      <c r="AC27" s="106">
        <v>8.75</v>
      </c>
      <c r="AD27" s="582"/>
      <c r="AE27" s="55" t="s">
        <v>5509</v>
      </c>
      <c r="AF27" s="106">
        <v>13.25</v>
      </c>
      <c r="AG27" s="582"/>
      <c r="AH27" s="55" t="s">
        <v>3705</v>
      </c>
      <c r="AI27" s="106">
        <v>17.5</v>
      </c>
      <c r="AJ27" s="582"/>
      <c r="AK27" s="55" t="s">
        <v>1851</v>
      </c>
      <c r="AL27" s="106">
        <v>27</v>
      </c>
      <c r="AM27" s="582"/>
      <c r="AN27" s="55" t="s">
        <v>5019</v>
      </c>
      <c r="AO27" s="106">
        <v>25.25</v>
      </c>
      <c r="AP27" s="573"/>
      <c r="AQ27" s="55" t="s">
        <v>349</v>
      </c>
      <c r="AR27" s="106">
        <v>29.25</v>
      </c>
      <c r="AS27" s="582"/>
      <c r="AT27" s="55" t="s">
        <v>3941</v>
      </c>
      <c r="AU27" s="106">
        <v>28.25</v>
      </c>
      <c r="AV27" s="582"/>
      <c r="AW27" s="55" t="s">
        <v>5758</v>
      </c>
      <c r="AX27" s="106">
        <v>8.5</v>
      </c>
      <c r="AY27" s="573"/>
      <c r="AZ27" s="55" t="s">
        <v>353</v>
      </c>
      <c r="BA27" s="106">
        <v>26.75</v>
      </c>
      <c r="BB27" s="582"/>
      <c r="BC27" s="688" t="s">
        <v>5493</v>
      </c>
      <c r="BD27" s="689">
        <v>8.5</v>
      </c>
      <c r="BE27" s="582"/>
    </row>
    <row r="28" spans="1:57" ht="15.75" thickBot="1" x14ac:dyDescent="0.3">
      <c r="A28" s="55" t="s">
        <v>5505</v>
      </c>
      <c r="B28" s="106">
        <v>9</v>
      </c>
      <c r="C28" s="582"/>
      <c r="D28" s="55" t="s">
        <v>4915</v>
      </c>
      <c r="E28" s="106">
        <v>33.5</v>
      </c>
      <c r="F28" s="573"/>
      <c r="G28" s="55" t="s">
        <v>4642</v>
      </c>
      <c r="H28" s="106">
        <v>14.5</v>
      </c>
      <c r="I28" s="582"/>
      <c r="J28" s="55" t="s">
        <v>5043</v>
      </c>
      <c r="K28" s="106">
        <v>32.25</v>
      </c>
      <c r="L28" s="582"/>
      <c r="M28" s="682" t="s">
        <v>5373</v>
      </c>
      <c r="N28" s="683">
        <v>35.25</v>
      </c>
      <c r="O28" s="584" t="s">
        <v>12663</v>
      </c>
      <c r="P28" s="55" t="s">
        <v>5283</v>
      </c>
      <c r="Q28" s="106">
        <v>27.5</v>
      </c>
      <c r="R28" s="582"/>
      <c r="S28" s="55" t="s">
        <v>917</v>
      </c>
      <c r="T28" s="106">
        <v>9.5</v>
      </c>
      <c r="U28" s="582"/>
      <c r="V28" s="55" t="s">
        <v>3481</v>
      </c>
      <c r="W28" s="106">
        <v>8.75</v>
      </c>
      <c r="X28" s="582"/>
      <c r="Y28" s="465" t="s">
        <v>4924</v>
      </c>
      <c r="Z28" s="464">
        <v>22.75</v>
      </c>
      <c r="AA28" s="572" t="s">
        <v>12663</v>
      </c>
      <c r="AB28" s="55" t="s">
        <v>4911</v>
      </c>
      <c r="AC28" s="106">
        <v>24.25</v>
      </c>
      <c r="AD28" s="582"/>
      <c r="AE28" s="56" t="s">
        <v>9</v>
      </c>
      <c r="AF28" s="361">
        <v>8.75</v>
      </c>
      <c r="AG28" s="583"/>
      <c r="AH28" s="55" t="s">
        <v>5530</v>
      </c>
      <c r="AI28" s="106">
        <v>17.25</v>
      </c>
      <c r="AJ28" s="582"/>
      <c r="AK28" s="55" t="s">
        <v>4779</v>
      </c>
      <c r="AL28" s="106">
        <v>25.75</v>
      </c>
      <c r="AM28" s="582"/>
      <c r="AN28" s="55" t="s">
        <v>55</v>
      </c>
      <c r="AO28" s="106">
        <v>25</v>
      </c>
      <c r="AP28" s="573"/>
      <c r="AQ28" s="55" t="s">
        <v>4716</v>
      </c>
      <c r="AR28" s="106">
        <v>29.5</v>
      </c>
      <c r="AS28" s="582"/>
      <c r="AT28" s="55" t="s">
        <v>2529</v>
      </c>
      <c r="AU28" s="106">
        <v>28.75</v>
      </c>
      <c r="AV28" s="582"/>
      <c r="AW28" s="55" t="s">
        <v>5070</v>
      </c>
      <c r="AX28" s="106">
        <v>8.5</v>
      </c>
      <c r="AY28" s="573"/>
      <c r="AZ28" s="55" t="s">
        <v>173</v>
      </c>
      <c r="BA28" s="106">
        <v>26.75</v>
      </c>
      <c r="BB28" s="582"/>
      <c r="BC28" s="688" t="s">
        <v>5682</v>
      </c>
      <c r="BD28" s="689">
        <v>7.25</v>
      </c>
      <c r="BE28" s="582"/>
    </row>
    <row r="29" spans="1:57" ht="15.75" thickBot="1" x14ac:dyDescent="0.3">
      <c r="A29" s="688" t="s">
        <v>4537</v>
      </c>
      <c r="B29" s="689">
        <v>2.5</v>
      </c>
      <c r="C29" s="582"/>
      <c r="D29" s="55" t="s">
        <v>5029</v>
      </c>
      <c r="E29" s="106">
        <v>33.5</v>
      </c>
      <c r="F29" s="573"/>
      <c r="G29" s="55" t="s">
        <v>5706</v>
      </c>
      <c r="H29" s="106">
        <v>18.25</v>
      </c>
      <c r="I29" s="582"/>
      <c r="J29" s="55" t="s">
        <v>4764</v>
      </c>
      <c r="K29" s="106">
        <v>32.25</v>
      </c>
      <c r="L29" s="582"/>
      <c r="M29" s="90" t="s">
        <v>5406</v>
      </c>
      <c r="N29" s="359">
        <v>35</v>
      </c>
      <c r="O29" s="585"/>
      <c r="P29" s="55" t="s">
        <v>4969</v>
      </c>
      <c r="Q29" s="106">
        <v>29</v>
      </c>
      <c r="R29" s="582"/>
      <c r="S29" s="55" t="s">
        <v>3595</v>
      </c>
      <c r="T29" s="106">
        <v>7.25</v>
      </c>
      <c r="U29" s="582"/>
      <c r="V29" s="55" t="s">
        <v>3442</v>
      </c>
      <c r="W29" s="106">
        <v>8.75</v>
      </c>
      <c r="X29" s="582"/>
      <c r="Y29" s="55" t="s">
        <v>5333</v>
      </c>
      <c r="Z29" s="106">
        <v>18.25</v>
      </c>
      <c r="AA29" s="573"/>
      <c r="AB29" s="55" t="s">
        <v>2490</v>
      </c>
      <c r="AC29" s="106">
        <v>24.75</v>
      </c>
      <c r="AD29" s="582"/>
      <c r="AE29" s="682" t="s">
        <v>5653</v>
      </c>
      <c r="AF29" s="683">
        <v>20.25</v>
      </c>
      <c r="AG29" s="581" t="s">
        <v>12664</v>
      </c>
      <c r="AH29" s="55" t="s">
        <v>185</v>
      </c>
      <c r="AI29" s="106">
        <v>17.25</v>
      </c>
      <c r="AJ29" s="582"/>
      <c r="AK29" s="55" t="s">
        <v>1965</v>
      </c>
      <c r="AL29" s="106">
        <v>25.25</v>
      </c>
      <c r="AM29" s="582"/>
      <c r="AN29" s="56" t="s">
        <v>5480</v>
      </c>
      <c r="AO29" s="361">
        <v>9.25</v>
      </c>
      <c r="AP29" s="574"/>
      <c r="AQ29" s="55" t="s">
        <v>326</v>
      </c>
      <c r="AR29" s="106">
        <v>29</v>
      </c>
      <c r="AS29" s="582"/>
      <c r="AT29" s="55" t="s">
        <v>5471</v>
      </c>
      <c r="AU29" s="106">
        <v>25.25</v>
      </c>
      <c r="AV29" s="582"/>
      <c r="AW29" s="55" t="s">
        <v>5715</v>
      </c>
      <c r="AX29" s="106">
        <v>8.25</v>
      </c>
      <c r="AY29" s="573"/>
      <c r="AZ29" s="55" t="s">
        <v>5513</v>
      </c>
      <c r="BA29" s="106">
        <v>25.25</v>
      </c>
      <c r="BB29" s="582"/>
      <c r="BC29" s="688" t="s">
        <v>5732</v>
      </c>
      <c r="BD29" s="689">
        <v>6.5</v>
      </c>
      <c r="BE29" s="582"/>
    </row>
    <row r="30" spans="1:57" ht="15.75" thickBot="1" x14ac:dyDescent="0.3">
      <c r="A30" s="55" t="s">
        <v>4945</v>
      </c>
      <c r="B30" s="106">
        <v>9</v>
      </c>
      <c r="C30" s="582"/>
      <c r="D30" s="55" t="s">
        <v>4433</v>
      </c>
      <c r="E30" s="106">
        <v>16.75</v>
      </c>
      <c r="F30" s="573"/>
      <c r="G30" s="55" t="s">
        <v>4387</v>
      </c>
      <c r="H30" s="106">
        <v>13.75</v>
      </c>
      <c r="I30" s="582"/>
      <c r="J30" s="55" t="s">
        <v>4943</v>
      </c>
      <c r="K30" s="106">
        <v>32.25</v>
      </c>
      <c r="L30" s="582"/>
      <c r="M30" s="89" t="s">
        <v>5386</v>
      </c>
      <c r="N30" s="91">
        <v>34.75</v>
      </c>
      <c r="O30" s="585"/>
      <c r="P30" s="55" t="s">
        <v>42</v>
      </c>
      <c r="Q30" s="106">
        <v>31.75</v>
      </c>
      <c r="R30" s="582"/>
      <c r="S30" s="55" t="s">
        <v>5516</v>
      </c>
      <c r="T30" s="106">
        <v>7</v>
      </c>
      <c r="U30" s="582"/>
      <c r="V30" s="55" t="s">
        <v>5238</v>
      </c>
      <c r="W30" s="106">
        <v>8.75</v>
      </c>
      <c r="X30" s="582"/>
      <c r="Y30" s="55" t="s">
        <v>4187</v>
      </c>
      <c r="Z30" s="106">
        <v>21.25</v>
      </c>
      <c r="AA30" s="573"/>
      <c r="AB30" s="56" t="s">
        <v>483</v>
      </c>
      <c r="AC30" s="361">
        <v>14.5</v>
      </c>
      <c r="AD30" s="583"/>
      <c r="AE30" s="55" t="s">
        <v>5068</v>
      </c>
      <c r="AF30" s="106">
        <v>20.25</v>
      </c>
      <c r="AG30" s="582"/>
      <c r="AH30" s="55" t="s">
        <v>5354</v>
      </c>
      <c r="AI30" s="106">
        <v>16.5</v>
      </c>
      <c r="AJ30" s="582"/>
      <c r="AK30" s="56" t="s">
        <v>238</v>
      </c>
      <c r="AL30" s="361">
        <v>7.5</v>
      </c>
      <c r="AM30" s="583"/>
      <c r="AN30" s="682" t="s">
        <v>4204</v>
      </c>
      <c r="AO30" s="683">
        <v>17.25</v>
      </c>
      <c r="AP30" s="581" t="s">
        <v>12664</v>
      </c>
      <c r="AQ30" s="55" t="s">
        <v>4644</v>
      </c>
      <c r="AR30" s="106">
        <v>29.5</v>
      </c>
      <c r="AS30" s="582"/>
      <c r="AT30" s="55" t="s">
        <v>3215</v>
      </c>
      <c r="AU30" s="106">
        <v>29</v>
      </c>
      <c r="AV30" s="582"/>
      <c r="AW30" s="55" t="s">
        <v>5741</v>
      </c>
      <c r="AX30" s="106">
        <v>8</v>
      </c>
      <c r="AY30" s="573"/>
      <c r="AZ30" s="55" t="s">
        <v>388</v>
      </c>
      <c r="BA30" s="106">
        <v>24.5</v>
      </c>
      <c r="BB30" s="582"/>
      <c r="BC30" s="688" t="s">
        <v>3921</v>
      </c>
      <c r="BD30" s="689">
        <v>5.75</v>
      </c>
      <c r="BE30" s="582"/>
    </row>
    <row r="31" spans="1:57" ht="15.75" thickBot="1" x14ac:dyDescent="0.3">
      <c r="A31" s="688" t="s">
        <v>3836</v>
      </c>
      <c r="B31" s="689">
        <v>7.25</v>
      </c>
      <c r="C31" s="582"/>
      <c r="D31" s="56" t="s">
        <v>2597</v>
      </c>
      <c r="E31" s="361">
        <v>14</v>
      </c>
      <c r="F31" s="574"/>
      <c r="G31" s="55" t="s">
        <v>120</v>
      </c>
      <c r="H31" s="106">
        <v>18.5</v>
      </c>
      <c r="I31" s="582"/>
      <c r="J31" s="56" t="s">
        <v>4922</v>
      </c>
      <c r="K31" s="361">
        <v>6.25</v>
      </c>
      <c r="L31" s="583"/>
      <c r="M31" s="55" t="s">
        <v>3</v>
      </c>
      <c r="N31" s="106">
        <v>34.75</v>
      </c>
      <c r="O31" s="585"/>
      <c r="P31" s="55" t="s">
        <v>5331</v>
      </c>
      <c r="Q31" s="106">
        <v>32.25</v>
      </c>
      <c r="R31" s="582"/>
      <c r="S31" s="55" t="s">
        <v>4997</v>
      </c>
      <c r="T31" s="106">
        <v>8.25</v>
      </c>
      <c r="U31" s="582"/>
      <c r="V31" s="55" t="s">
        <v>12</v>
      </c>
      <c r="W31" s="106">
        <v>8.75</v>
      </c>
      <c r="X31" s="582"/>
      <c r="Y31" s="55" t="s">
        <v>4822</v>
      </c>
      <c r="Z31" s="106">
        <v>20.25</v>
      </c>
      <c r="AA31" s="573"/>
      <c r="AB31" s="682" t="s">
        <v>2490</v>
      </c>
      <c r="AC31" s="683">
        <v>24.75</v>
      </c>
      <c r="AD31" s="581" t="s">
        <v>12664</v>
      </c>
      <c r="AE31" s="55" t="s">
        <v>4900</v>
      </c>
      <c r="AF31" s="106">
        <v>20.5</v>
      </c>
      <c r="AG31" s="582"/>
      <c r="AH31" s="56" t="s">
        <v>5114</v>
      </c>
      <c r="AI31" s="361">
        <v>10.75</v>
      </c>
      <c r="AJ31" s="583"/>
      <c r="AK31" s="682" t="s">
        <v>2374</v>
      </c>
      <c r="AL31" s="683">
        <v>27.75</v>
      </c>
      <c r="AM31" s="581" t="s">
        <v>12663</v>
      </c>
      <c r="AN31" s="55" t="s">
        <v>5163</v>
      </c>
      <c r="AO31" s="106">
        <v>15</v>
      </c>
      <c r="AP31" s="582"/>
      <c r="AQ31" s="56" t="s">
        <v>4629</v>
      </c>
      <c r="AR31" s="361">
        <v>21.25</v>
      </c>
      <c r="AS31" s="583"/>
      <c r="AT31" s="56" t="s">
        <v>1533</v>
      </c>
      <c r="AU31" s="361">
        <v>29.25</v>
      </c>
      <c r="AV31" s="583"/>
      <c r="AW31" s="55" t="s">
        <v>124</v>
      </c>
      <c r="AX31" s="106">
        <v>7.25</v>
      </c>
      <c r="AY31" s="573"/>
      <c r="AZ31" s="55" t="s">
        <v>5452</v>
      </c>
      <c r="BA31" s="106">
        <v>21</v>
      </c>
      <c r="BB31" s="582"/>
      <c r="BC31" s="690" t="s">
        <v>3891</v>
      </c>
      <c r="BD31" s="691">
        <v>4.5</v>
      </c>
      <c r="BE31" s="583"/>
    </row>
    <row r="32" spans="1:57" ht="15.75" thickBot="1" x14ac:dyDescent="0.3">
      <c r="A32" s="688" t="s">
        <v>5298</v>
      </c>
      <c r="B32" s="689">
        <v>5.75</v>
      </c>
      <c r="C32" s="582"/>
      <c r="D32" s="682" t="s">
        <v>4725</v>
      </c>
      <c r="E32" s="683">
        <v>29.75</v>
      </c>
      <c r="F32" s="581" t="s">
        <v>12663</v>
      </c>
      <c r="G32" s="55" t="s">
        <v>5251</v>
      </c>
      <c r="H32" s="106">
        <v>18.75</v>
      </c>
      <c r="I32" s="582"/>
      <c r="J32" s="682" t="s">
        <v>5108</v>
      </c>
      <c r="K32" s="683">
        <v>32.5</v>
      </c>
      <c r="L32" s="581" t="s">
        <v>12663</v>
      </c>
      <c r="M32" s="56" t="s">
        <v>4414</v>
      </c>
      <c r="N32" s="361">
        <v>28.25</v>
      </c>
      <c r="O32" s="586"/>
      <c r="P32" s="56" t="s">
        <v>5336</v>
      </c>
      <c r="Q32" s="361">
        <v>7</v>
      </c>
      <c r="R32" s="583"/>
      <c r="S32" s="55" t="s">
        <v>4058</v>
      </c>
      <c r="T32" s="106">
        <v>4.5</v>
      </c>
      <c r="U32" s="582"/>
      <c r="V32" s="55" t="s">
        <v>2806</v>
      </c>
      <c r="W32" s="106">
        <v>8.5</v>
      </c>
      <c r="X32" s="582"/>
      <c r="Y32" s="55" t="s">
        <v>4727</v>
      </c>
      <c r="Z32" s="106">
        <v>20.5</v>
      </c>
      <c r="AA32" s="573"/>
      <c r="AB32" s="55" t="s">
        <v>5365</v>
      </c>
      <c r="AC32" s="106">
        <v>24.5</v>
      </c>
      <c r="AD32" s="582"/>
      <c r="AE32" s="55" t="s">
        <v>5727</v>
      </c>
      <c r="AF32" s="106">
        <v>5.25</v>
      </c>
      <c r="AG32" s="582"/>
      <c r="AH32" s="682" t="s">
        <v>4816</v>
      </c>
      <c r="AI32" s="683">
        <v>16.25</v>
      </c>
      <c r="AJ32" s="581" t="s">
        <v>12663</v>
      </c>
      <c r="AK32" s="55" t="s">
        <v>4677</v>
      </c>
      <c r="AL32" s="106">
        <v>27.5</v>
      </c>
      <c r="AM32" s="582"/>
      <c r="AN32" s="55" t="s">
        <v>5697</v>
      </c>
      <c r="AO32" s="106">
        <v>17</v>
      </c>
      <c r="AP32" s="582"/>
      <c r="AQ32" s="682" t="s">
        <v>5253</v>
      </c>
      <c r="AR32" s="683">
        <v>29.5</v>
      </c>
      <c r="AS32" s="581" t="s">
        <v>12664</v>
      </c>
      <c r="AT32" s="682" t="s">
        <v>1533</v>
      </c>
      <c r="AU32" s="683">
        <v>29.25</v>
      </c>
      <c r="AV32" s="581" t="s">
        <v>12664</v>
      </c>
      <c r="AW32" s="55" t="s">
        <v>5768</v>
      </c>
      <c r="AX32" s="106">
        <v>6.75</v>
      </c>
      <c r="AY32" s="573"/>
      <c r="AZ32" s="55" t="s">
        <v>5549</v>
      </c>
      <c r="BA32" s="106">
        <v>9.75</v>
      </c>
      <c r="BB32" s="582"/>
      <c r="BC32" s="682" t="s">
        <v>5251</v>
      </c>
      <c r="BD32" s="683">
        <v>18.75</v>
      </c>
      <c r="BE32" s="581" t="s">
        <v>12664</v>
      </c>
    </row>
    <row r="33" spans="1:57" ht="15.75" thickBot="1" x14ac:dyDescent="0.3">
      <c r="A33" s="688" t="s">
        <v>4649</v>
      </c>
      <c r="B33" s="689">
        <v>4</v>
      </c>
      <c r="C33" s="582"/>
      <c r="D33" s="55" t="s">
        <v>485</v>
      </c>
      <c r="E33" s="106">
        <v>21.5</v>
      </c>
      <c r="F33" s="582"/>
      <c r="G33" s="56" t="s">
        <v>5380</v>
      </c>
      <c r="H33" s="361">
        <v>14</v>
      </c>
      <c r="I33" s="583"/>
      <c r="J33" s="55" t="s">
        <v>4760</v>
      </c>
      <c r="K33" s="106">
        <v>32.5</v>
      </c>
      <c r="L33" s="582"/>
      <c r="M33" s="682" t="s">
        <v>5373</v>
      </c>
      <c r="N33" s="683">
        <v>35.25</v>
      </c>
      <c r="O33" s="584" t="s">
        <v>12663</v>
      </c>
      <c r="P33" s="682" t="s">
        <v>5331</v>
      </c>
      <c r="Q33" s="683">
        <v>32.25</v>
      </c>
      <c r="R33" s="581" t="s">
        <v>12663</v>
      </c>
      <c r="S33" s="55" t="s">
        <v>5101</v>
      </c>
      <c r="T33" s="106">
        <v>8</v>
      </c>
      <c r="U33" s="582"/>
      <c r="V33" s="55" t="s">
        <v>4337</v>
      </c>
      <c r="W33" s="106">
        <v>8.25</v>
      </c>
      <c r="X33" s="582"/>
      <c r="Y33" s="55" t="s">
        <v>4835</v>
      </c>
      <c r="Z33" s="106">
        <v>22.75</v>
      </c>
      <c r="AA33" s="573"/>
      <c r="AB33" s="55" t="s">
        <v>3463</v>
      </c>
      <c r="AC33" s="106">
        <v>24.25</v>
      </c>
      <c r="AD33" s="582"/>
      <c r="AE33" s="55" t="s">
        <v>5304</v>
      </c>
      <c r="AF33" s="106">
        <v>20.25</v>
      </c>
      <c r="AG33" s="582"/>
      <c r="AH33" s="55" t="s">
        <v>404</v>
      </c>
      <c r="AI33" s="106">
        <v>8</v>
      </c>
      <c r="AJ33" s="582"/>
      <c r="AK33" s="55" t="s">
        <v>3708</v>
      </c>
      <c r="AL33" s="106">
        <v>27.25</v>
      </c>
      <c r="AM33" s="582"/>
      <c r="AN33" s="55" t="s">
        <v>3148</v>
      </c>
      <c r="AO33" s="106">
        <v>16.25</v>
      </c>
      <c r="AP33" s="582"/>
      <c r="AQ33" s="55" t="s">
        <v>4716</v>
      </c>
      <c r="AR33" s="106">
        <v>29.5</v>
      </c>
      <c r="AS33" s="582"/>
      <c r="AT33" s="55" t="s">
        <v>3215</v>
      </c>
      <c r="AU33" s="106">
        <v>29</v>
      </c>
      <c r="AV33" s="582"/>
      <c r="AW33" s="55" t="s">
        <v>5616</v>
      </c>
      <c r="AX33" s="106">
        <v>5.5</v>
      </c>
      <c r="AY33" s="573"/>
      <c r="AZ33" s="55" t="s">
        <v>5121</v>
      </c>
      <c r="BA33" s="106">
        <v>6.5</v>
      </c>
      <c r="BB33" s="583"/>
      <c r="BC33" s="55" t="s">
        <v>402</v>
      </c>
      <c r="BD33" s="106">
        <v>18.5</v>
      </c>
      <c r="BE33" s="582"/>
    </row>
    <row r="34" spans="1:57" ht="15.75" thickBot="1" x14ac:dyDescent="0.3">
      <c r="A34" s="690" t="s">
        <v>5647</v>
      </c>
      <c r="B34" s="691">
        <v>5.25</v>
      </c>
      <c r="C34" s="583"/>
      <c r="D34" s="55" t="s">
        <v>3674</v>
      </c>
      <c r="E34" s="106">
        <v>30.5</v>
      </c>
      <c r="F34" s="582"/>
      <c r="G34" s="682" t="s">
        <v>5251</v>
      </c>
      <c r="H34" s="683">
        <v>18.75</v>
      </c>
      <c r="I34" s="581" t="s">
        <v>12663</v>
      </c>
      <c r="J34" s="55" t="s">
        <v>5043</v>
      </c>
      <c r="K34" s="106">
        <v>32.25</v>
      </c>
      <c r="L34" s="582"/>
      <c r="M34" s="90" t="s">
        <v>5406</v>
      </c>
      <c r="N34" s="359">
        <v>35</v>
      </c>
      <c r="O34" s="585"/>
      <c r="P34" s="55" t="s">
        <v>42</v>
      </c>
      <c r="Q34" s="106">
        <v>31.75</v>
      </c>
      <c r="R34" s="582"/>
      <c r="S34" s="55" t="s">
        <v>1842</v>
      </c>
      <c r="T34" s="106">
        <v>10</v>
      </c>
      <c r="U34" s="582"/>
      <c r="V34" s="55" t="s">
        <v>3416</v>
      </c>
      <c r="W34" s="106">
        <v>8.25</v>
      </c>
      <c r="X34" s="582"/>
      <c r="Y34" s="55" t="s">
        <v>3597</v>
      </c>
      <c r="Z34" s="106">
        <v>21.25</v>
      </c>
      <c r="AA34" s="573"/>
      <c r="AB34" s="55" t="s">
        <v>4911</v>
      </c>
      <c r="AC34" s="106">
        <v>24.25</v>
      </c>
      <c r="AD34" s="582"/>
      <c r="AE34" s="55" t="s">
        <v>5399</v>
      </c>
      <c r="AF34" s="106">
        <v>20.5</v>
      </c>
      <c r="AG34" s="582"/>
      <c r="AH34" s="55" t="s">
        <v>4104</v>
      </c>
      <c r="AI34" s="106">
        <v>17</v>
      </c>
      <c r="AJ34" s="582"/>
      <c r="AK34" s="55" t="s">
        <v>1851</v>
      </c>
      <c r="AL34" s="106">
        <v>27</v>
      </c>
      <c r="AM34" s="582"/>
      <c r="AN34" s="55" t="s">
        <v>5611</v>
      </c>
      <c r="AO34" s="106">
        <v>14.5</v>
      </c>
      <c r="AP34" s="582"/>
      <c r="AQ34" s="55" t="s">
        <v>4644</v>
      </c>
      <c r="AR34" s="106">
        <v>29.5</v>
      </c>
      <c r="AS34" s="582"/>
      <c r="AT34" s="55" t="s">
        <v>2529</v>
      </c>
      <c r="AU34" s="106">
        <v>28.75</v>
      </c>
      <c r="AV34" s="582"/>
      <c r="AW34" s="55" t="s">
        <v>5323</v>
      </c>
      <c r="AX34" s="106">
        <v>5</v>
      </c>
      <c r="AY34" s="573"/>
      <c r="AZ34" s="682" t="s">
        <v>388</v>
      </c>
      <c r="BA34" s="683">
        <v>24.5</v>
      </c>
      <c r="BB34" s="685" t="s">
        <v>12663</v>
      </c>
      <c r="BC34" s="55" t="s">
        <v>120</v>
      </c>
      <c r="BD34" s="106">
        <v>18.5</v>
      </c>
      <c r="BE34" s="582"/>
    </row>
    <row r="35" spans="1:57" ht="15.75" thickBot="1" x14ac:dyDescent="0.3">
      <c r="A35" s="465" t="s">
        <v>3836</v>
      </c>
      <c r="B35" s="464">
        <v>7.25</v>
      </c>
      <c r="C35" s="572" t="s">
        <v>12663</v>
      </c>
      <c r="D35" s="55" t="s">
        <v>3072</v>
      </c>
      <c r="E35" s="106">
        <v>29.75</v>
      </c>
      <c r="F35" s="582"/>
      <c r="G35" s="55" t="s">
        <v>402</v>
      </c>
      <c r="H35" s="106">
        <v>18.5</v>
      </c>
      <c r="I35" s="582"/>
      <c r="J35" s="55" t="s">
        <v>4764</v>
      </c>
      <c r="K35" s="106">
        <v>32.25</v>
      </c>
      <c r="L35" s="582"/>
      <c r="M35" s="89" t="s">
        <v>5386</v>
      </c>
      <c r="N35" s="91">
        <v>34.75</v>
      </c>
      <c r="O35" s="585"/>
      <c r="P35" s="55" t="s">
        <v>4969</v>
      </c>
      <c r="Q35" s="106">
        <v>29</v>
      </c>
      <c r="R35" s="582"/>
      <c r="S35" s="55" t="s">
        <v>4993</v>
      </c>
      <c r="T35" s="106">
        <v>5.5</v>
      </c>
      <c r="U35" s="582"/>
      <c r="V35" s="55" t="s">
        <v>4052</v>
      </c>
      <c r="W35" s="106">
        <v>8</v>
      </c>
      <c r="X35" s="582"/>
      <c r="Y35" s="56" t="s">
        <v>4930</v>
      </c>
      <c r="Z35" s="361">
        <v>21</v>
      </c>
      <c r="AA35" s="574"/>
      <c r="AB35" s="55" t="s">
        <v>2531</v>
      </c>
      <c r="AC35" s="106">
        <v>24</v>
      </c>
      <c r="AD35" s="582"/>
      <c r="AE35" s="55" t="s">
        <v>5602</v>
      </c>
      <c r="AF35" s="106">
        <v>20</v>
      </c>
      <c r="AG35" s="582"/>
      <c r="AH35" s="55" t="s">
        <v>193</v>
      </c>
      <c r="AI35" s="106">
        <v>16.25</v>
      </c>
      <c r="AJ35" s="582"/>
      <c r="AK35" s="55" t="s">
        <v>4779</v>
      </c>
      <c r="AL35" s="106">
        <v>25.75</v>
      </c>
      <c r="AM35" s="582"/>
      <c r="AN35" s="55" t="s">
        <v>195</v>
      </c>
      <c r="AO35" s="106">
        <v>17.75</v>
      </c>
      <c r="AP35" s="582"/>
      <c r="AQ35" s="55" t="s">
        <v>349</v>
      </c>
      <c r="AR35" s="106">
        <v>29.25</v>
      </c>
      <c r="AS35" s="582"/>
      <c r="AT35" s="55" t="s">
        <v>3941</v>
      </c>
      <c r="AU35" s="106">
        <v>28.25</v>
      </c>
      <c r="AV35" s="582"/>
      <c r="AW35" s="56" t="s">
        <v>5465</v>
      </c>
      <c r="AX35" s="361">
        <v>4.75</v>
      </c>
      <c r="AY35" s="574"/>
      <c r="AZ35" s="55" t="s">
        <v>353</v>
      </c>
      <c r="BA35" s="106">
        <v>26.75</v>
      </c>
      <c r="BB35" s="686"/>
      <c r="BC35" s="55" t="s">
        <v>430</v>
      </c>
      <c r="BD35" s="106">
        <v>18.25</v>
      </c>
      <c r="BE35" s="582"/>
    </row>
    <row r="36" spans="1:57" x14ac:dyDescent="0.25">
      <c r="A36" s="55" t="s">
        <v>5443</v>
      </c>
      <c r="B36" s="106">
        <v>23</v>
      </c>
      <c r="C36" s="573"/>
      <c r="D36" s="55" t="s">
        <v>3772</v>
      </c>
      <c r="E36" s="106">
        <v>33.25</v>
      </c>
      <c r="F36" s="582"/>
      <c r="G36" s="55" t="s">
        <v>120</v>
      </c>
      <c r="H36" s="106">
        <v>18.5</v>
      </c>
      <c r="I36" s="582"/>
      <c r="J36" s="55" t="s">
        <v>4943</v>
      </c>
      <c r="K36" s="106">
        <v>32.25</v>
      </c>
      <c r="L36" s="582"/>
      <c r="M36" s="55" t="s">
        <v>3</v>
      </c>
      <c r="N36" s="106">
        <v>34.75</v>
      </c>
      <c r="O36" s="585"/>
      <c r="P36" s="55" t="s">
        <v>266</v>
      </c>
      <c r="Q36" s="106">
        <v>28.5</v>
      </c>
      <c r="R36" s="582"/>
      <c r="S36" s="55" t="s">
        <v>5023</v>
      </c>
      <c r="T36" s="106">
        <v>6</v>
      </c>
      <c r="U36" s="582"/>
      <c r="V36" s="55" t="s">
        <v>5130</v>
      </c>
      <c r="W36" s="106">
        <v>4</v>
      </c>
      <c r="X36" s="582"/>
      <c r="Y36" s="465" t="s">
        <v>4924</v>
      </c>
      <c r="Z36" s="464">
        <v>22.75</v>
      </c>
      <c r="AA36" s="572" t="s">
        <v>12663</v>
      </c>
      <c r="AB36" s="55" t="s">
        <v>5384</v>
      </c>
      <c r="AC36" s="106">
        <v>23</v>
      </c>
      <c r="AD36" s="582"/>
      <c r="AE36" s="55" t="s">
        <v>27</v>
      </c>
      <c r="AF36" s="106">
        <v>20.5</v>
      </c>
      <c r="AG36" s="582"/>
      <c r="AH36" s="55" t="s">
        <v>5583</v>
      </c>
      <c r="AI36" s="106">
        <v>15</v>
      </c>
      <c r="AJ36" s="582"/>
      <c r="AK36" s="55" t="s">
        <v>1965</v>
      </c>
      <c r="AL36" s="106">
        <v>25.25</v>
      </c>
      <c r="AM36" s="582"/>
      <c r="AN36" s="55" t="s">
        <v>5463</v>
      </c>
      <c r="AO36" s="106">
        <v>8.75</v>
      </c>
      <c r="AP36" s="582"/>
      <c r="AQ36" s="55" t="s">
        <v>326</v>
      </c>
      <c r="AR36" s="106">
        <v>29</v>
      </c>
      <c r="AS36" s="582"/>
      <c r="AT36" s="55" t="s">
        <v>10817</v>
      </c>
      <c r="AU36" s="106">
        <v>27.5</v>
      </c>
      <c r="AV36" s="582"/>
      <c r="AW36" s="465" t="s">
        <v>103</v>
      </c>
      <c r="AX36" s="464">
        <v>14.75</v>
      </c>
      <c r="AY36" s="572" t="s">
        <v>12664</v>
      </c>
      <c r="AZ36" s="55" t="s">
        <v>5452</v>
      </c>
      <c r="BA36" s="106">
        <v>21</v>
      </c>
      <c r="BB36" s="686"/>
      <c r="BC36" s="55" t="s">
        <v>763</v>
      </c>
      <c r="BD36" s="106">
        <v>18.25</v>
      </c>
      <c r="BE36" s="582"/>
    </row>
    <row r="37" spans="1:57" ht="15.75" thickBot="1" x14ac:dyDescent="0.3">
      <c r="A37" s="55" t="s">
        <v>3992</v>
      </c>
      <c r="B37" s="106">
        <v>3.25</v>
      </c>
      <c r="C37" s="573"/>
      <c r="D37" s="55" t="s">
        <v>3251</v>
      </c>
      <c r="E37" s="106">
        <v>12</v>
      </c>
      <c r="F37" s="582"/>
      <c r="G37" s="55" t="s">
        <v>763</v>
      </c>
      <c r="H37" s="106">
        <v>18.25</v>
      </c>
      <c r="I37" s="582"/>
      <c r="J37" s="56" t="s">
        <v>4922</v>
      </c>
      <c r="K37" s="361">
        <v>6.25</v>
      </c>
      <c r="L37" s="583"/>
      <c r="M37" s="56" t="s">
        <v>4414</v>
      </c>
      <c r="N37" s="361">
        <v>28.25</v>
      </c>
      <c r="O37" s="586"/>
      <c r="P37" s="55" t="s">
        <v>5283</v>
      </c>
      <c r="Q37" s="106">
        <v>27.5</v>
      </c>
      <c r="R37" s="582"/>
      <c r="S37" s="55" t="s">
        <v>5161</v>
      </c>
      <c r="T37" s="106">
        <v>6.25</v>
      </c>
      <c r="U37" s="582"/>
      <c r="V37" s="56" t="s">
        <v>4960</v>
      </c>
      <c r="W37" s="361">
        <v>3.75</v>
      </c>
      <c r="X37" s="583"/>
      <c r="Y37" s="55" t="s">
        <v>4835</v>
      </c>
      <c r="Z37" s="106">
        <v>22.75</v>
      </c>
      <c r="AA37" s="573"/>
      <c r="AB37" s="55" t="s">
        <v>483</v>
      </c>
      <c r="AC37" s="106">
        <v>14.5</v>
      </c>
      <c r="AD37" s="582"/>
      <c r="AE37" s="56" t="s">
        <v>5025</v>
      </c>
      <c r="AF37" s="361">
        <v>20.5</v>
      </c>
      <c r="AG37" s="583"/>
      <c r="AH37" s="55" t="s">
        <v>5321</v>
      </c>
      <c r="AI37" s="106">
        <v>16.25</v>
      </c>
      <c r="AJ37" s="582"/>
      <c r="AK37" s="56" t="s">
        <v>238</v>
      </c>
      <c r="AL37" s="361">
        <v>7.5</v>
      </c>
      <c r="AM37" s="583"/>
      <c r="AN37" s="55" t="s">
        <v>5155</v>
      </c>
      <c r="AO37" s="106">
        <v>16.5</v>
      </c>
      <c r="AP37" s="582"/>
      <c r="AQ37" s="56" t="s">
        <v>4629</v>
      </c>
      <c r="AR37" s="361">
        <v>21.25</v>
      </c>
      <c r="AS37" s="583"/>
      <c r="AT37" s="56" t="s">
        <v>5471</v>
      </c>
      <c r="AU37" s="361">
        <v>25.25</v>
      </c>
      <c r="AV37" s="583"/>
      <c r="AW37" s="55" t="s">
        <v>5536</v>
      </c>
      <c r="AX37" s="106">
        <v>14.75</v>
      </c>
      <c r="AY37" s="573"/>
      <c r="AZ37" s="55" t="s">
        <v>5549</v>
      </c>
      <c r="BA37" s="106">
        <v>9.75</v>
      </c>
      <c r="BB37" s="686"/>
      <c r="BC37" s="55" t="s">
        <v>376</v>
      </c>
      <c r="BD37" s="106">
        <v>18.25</v>
      </c>
      <c r="BE37" s="582"/>
    </row>
    <row r="38" spans="1:57" ht="15.75" thickBot="1" x14ac:dyDescent="0.3">
      <c r="A38" s="55" t="s">
        <v>3495</v>
      </c>
      <c r="B38" s="106">
        <v>18</v>
      </c>
      <c r="C38" s="573"/>
      <c r="D38" s="56" t="s">
        <v>5240</v>
      </c>
      <c r="E38" s="361">
        <v>11.25</v>
      </c>
      <c r="F38" s="583"/>
      <c r="G38" s="55" t="s">
        <v>5706</v>
      </c>
      <c r="H38" s="106">
        <v>18.25</v>
      </c>
      <c r="I38" s="582"/>
      <c r="J38" s="682" t="s">
        <v>3539</v>
      </c>
      <c r="K38" s="683">
        <v>28.75</v>
      </c>
      <c r="L38" s="584" t="s">
        <v>12663</v>
      </c>
      <c r="M38" s="362" t="s">
        <v>304</v>
      </c>
      <c r="N38" s="363">
        <v>34.5</v>
      </c>
      <c r="O38" s="581" t="s">
        <v>12663</v>
      </c>
      <c r="P38" s="55" t="s">
        <v>5352</v>
      </c>
      <c r="Q38" s="106">
        <v>12</v>
      </c>
      <c r="R38" s="582"/>
      <c r="S38" s="55" t="s">
        <v>3964</v>
      </c>
      <c r="T38" s="106">
        <v>11.75</v>
      </c>
      <c r="U38" s="582"/>
      <c r="V38" s="682" t="s">
        <v>5363</v>
      </c>
      <c r="W38" s="683">
        <v>18.5</v>
      </c>
      <c r="X38" s="581" t="s">
        <v>12663</v>
      </c>
      <c r="Y38" s="55" t="s">
        <v>4187</v>
      </c>
      <c r="Z38" s="106">
        <v>21.25</v>
      </c>
      <c r="AA38" s="573"/>
      <c r="AB38" s="56" t="s">
        <v>5762</v>
      </c>
      <c r="AC38" s="361">
        <v>8.75</v>
      </c>
      <c r="AD38" s="583"/>
      <c r="AE38" s="682" t="s">
        <v>4900</v>
      </c>
      <c r="AF38" s="683">
        <v>20.5</v>
      </c>
      <c r="AG38" s="581" t="s">
        <v>12664</v>
      </c>
      <c r="AH38" s="55" t="s">
        <v>2024</v>
      </c>
      <c r="AI38" s="106">
        <v>15.5</v>
      </c>
      <c r="AJ38" s="582"/>
      <c r="AK38" s="682" t="s">
        <v>5489</v>
      </c>
      <c r="AL38" s="683">
        <v>33</v>
      </c>
      <c r="AM38" s="581" t="s">
        <v>12663</v>
      </c>
      <c r="AN38" s="55" t="s">
        <v>217</v>
      </c>
      <c r="AO38" s="106">
        <v>35.25</v>
      </c>
      <c r="AP38" s="582"/>
      <c r="AQ38" s="682" t="s">
        <v>5253</v>
      </c>
      <c r="AR38" s="683">
        <v>29.5</v>
      </c>
      <c r="AS38" s="581" t="s">
        <v>12664</v>
      </c>
      <c r="AT38" s="682" t="s">
        <v>1533</v>
      </c>
      <c r="AU38" s="683">
        <v>29.25</v>
      </c>
      <c r="AV38" s="581" t="s">
        <v>12664</v>
      </c>
      <c r="AW38" s="55" t="s">
        <v>4570</v>
      </c>
      <c r="AX38" s="106">
        <v>13.5</v>
      </c>
      <c r="AY38" s="573"/>
      <c r="AZ38" s="55" t="s">
        <v>173</v>
      </c>
      <c r="BA38" s="106">
        <v>26.75</v>
      </c>
      <c r="BB38" s="686"/>
      <c r="BC38" s="55" t="s">
        <v>5706</v>
      </c>
      <c r="BD38" s="106">
        <v>18.25</v>
      </c>
      <c r="BE38" s="582"/>
    </row>
    <row r="39" spans="1:57" ht="15.75" thickBot="1" x14ac:dyDescent="0.3">
      <c r="A39" s="55" t="s">
        <v>5221</v>
      </c>
      <c r="B39" s="106">
        <v>23.5</v>
      </c>
      <c r="C39" s="573"/>
      <c r="D39" s="682" t="s">
        <v>3772</v>
      </c>
      <c r="E39" s="683">
        <v>33.25</v>
      </c>
      <c r="F39" s="581" t="s">
        <v>12663</v>
      </c>
      <c r="G39" s="55" t="s">
        <v>5570</v>
      </c>
      <c r="H39" s="106">
        <v>17.75</v>
      </c>
      <c r="I39" s="582"/>
      <c r="J39" s="55" t="s">
        <v>4410</v>
      </c>
      <c r="K39" s="106">
        <v>29.5</v>
      </c>
      <c r="L39" s="585"/>
      <c r="M39" s="55" t="s">
        <v>300</v>
      </c>
      <c r="N39" s="106">
        <v>34.5</v>
      </c>
      <c r="O39" s="582"/>
      <c r="P39" s="56" t="s">
        <v>5336</v>
      </c>
      <c r="Q39" s="361">
        <v>7</v>
      </c>
      <c r="R39" s="583"/>
      <c r="S39" s="55" t="s">
        <v>917</v>
      </c>
      <c r="T39" s="106">
        <v>9.5</v>
      </c>
      <c r="U39" s="582"/>
      <c r="V39" s="55" t="s">
        <v>615</v>
      </c>
      <c r="W39" s="106">
        <v>18.75</v>
      </c>
      <c r="X39" s="582"/>
      <c r="Y39" s="55" t="s">
        <v>3597</v>
      </c>
      <c r="Z39" s="106">
        <v>21.25</v>
      </c>
      <c r="AA39" s="573"/>
      <c r="AB39" s="682" t="s">
        <v>2490</v>
      </c>
      <c r="AC39" s="683">
        <v>24.75</v>
      </c>
      <c r="AD39" s="581" t="s">
        <v>12664</v>
      </c>
      <c r="AE39" s="55" t="s">
        <v>5399</v>
      </c>
      <c r="AF39" s="106">
        <v>20.5</v>
      </c>
      <c r="AG39" s="582"/>
      <c r="AH39" s="55" t="s">
        <v>3799</v>
      </c>
      <c r="AI39" s="106">
        <v>16.75</v>
      </c>
      <c r="AJ39" s="582"/>
      <c r="AK39" s="55" t="s">
        <v>147</v>
      </c>
      <c r="AL39" s="106">
        <v>33.5</v>
      </c>
      <c r="AM39" s="582"/>
      <c r="AN39" s="56" t="s">
        <v>5719</v>
      </c>
      <c r="AO39" s="361">
        <v>9.75</v>
      </c>
      <c r="AP39" s="583"/>
      <c r="AQ39" s="55" t="s">
        <v>4716</v>
      </c>
      <c r="AR39" s="106">
        <v>29.5</v>
      </c>
      <c r="AS39" s="582"/>
      <c r="AT39" s="55" t="s">
        <v>3215</v>
      </c>
      <c r="AU39" s="106">
        <v>29</v>
      </c>
      <c r="AV39" s="582"/>
      <c r="AW39" s="55" t="s">
        <v>5613</v>
      </c>
      <c r="AX39" s="106">
        <v>13.5</v>
      </c>
      <c r="AY39" s="573"/>
      <c r="AZ39" s="55" t="s">
        <v>5513</v>
      </c>
      <c r="BA39" s="106">
        <v>25.25</v>
      </c>
      <c r="BB39" s="686"/>
      <c r="BC39" s="55" t="s">
        <v>837</v>
      </c>
      <c r="BD39" s="106">
        <v>18</v>
      </c>
      <c r="BE39" s="582"/>
    </row>
    <row r="40" spans="1:57" x14ac:dyDescent="0.25">
      <c r="A40" s="55" t="s">
        <v>4578</v>
      </c>
      <c r="B40" s="106">
        <v>5.25</v>
      </c>
      <c r="C40" s="573"/>
      <c r="D40" s="55" t="s">
        <v>3674</v>
      </c>
      <c r="E40" s="106">
        <v>30.5</v>
      </c>
      <c r="F40" s="582"/>
      <c r="G40" s="55" t="s">
        <v>4642</v>
      </c>
      <c r="H40" s="106">
        <v>14.5</v>
      </c>
      <c r="I40" s="582"/>
      <c r="J40" s="55" t="s">
        <v>376</v>
      </c>
      <c r="K40" s="106">
        <v>18.25</v>
      </c>
      <c r="L40" s="585"/>
      <c r="M40" s="55" t="s">
        <v>5265</v>
      </c>
      <c r="N40" s="106">
        <v>34.25</v>
      </c>
      <c r="O40" s="582"/>
      <c r="P40" s="682" t="s">
        <v>5331</v>
      </c>
      <c r="Q40" s="683">
        <v>32.25</v>
      </c>
      <c r="R40" s="581" t="s">
        <v>12663</v>
      </c>
      <c r="S40" s="55" t="s">
        <v>3595</v>
      </c>
      <c r="T40" s="106">
        <v>7.25</v>
      </c>
      <c r="U40" s="582"/>
      <c r="V40" s="55" t="s">
        <v>1169</v>
      </c>
      <c r="W40" s="106">
        <v>18.75</v>
      </c>
      <c r="X40" s="582"/>
      <c r="Y40" s="55" t="s">
        <v>4930</v>
      </c>
      <c r="Z40" s="106">
        <v>21</v>
      </c>
      <c r="AA40" s="573"/>
      <c r="AB40" s="55" t="s">
        <v>5365</v>
      </c>
      <c r="AC40" s="106">
        <v>24.5</v>
      </c>
      <c r="AD40" s="582"/>
      <c r="AE40" s="55" t="s">
        <v>27</v>
      </c>
      <c r="AF40" s="106">
        <v>20.5</v>
      </c>
      <c r="AG40" s="582"/>
      <c r="AH40" s="55" t="s">
        <v>5737</v>
      </c>
      <c r="AI40" s="106">
        <v>13.75</v>
      </c>
      <c r="AJ40" s="582"/>
      <c r="AK40" s="55" t="s">
        <v>143</v>
      </c>
      <c r="AL40" s="106">
        <v>34.25</v>
      </c>
      <c r="AM40" s="582"/>
      <c r="AN40" s="682" t="s">
        <v>195</v>
      </c>
      <c r="AO40" s="683">
        <v>17.75</v>
      </c>
      <c r="AP40" s="581" t="s">
        <v>12664</v>
      </c>
      <c r="AQ40" s="55" t="s">
        <v>4644</v>
      </c>
      <c r="AR40" s="106">
        <v>29.5</v>
      </c>
      <c r="AS40" s="582"/>
      <c r="AT40" s="55" t="s">
        <v>2529</v>
      </c>
      <c r="AU40" s="106">
        <v>28.75</v>
      </c>
      <c r="AV40" s="582"/>
      <c r="AW40" s="55" t="s">
        <v>5754</v>
      </c>
      <c r="AX40" s="106">
        <v>12.75</v>
      </c>
      <c r="AY40" s="573"/>
      <c r="AZ40" s="55" t="s">
        <v>58</v>
      </c>
      <c r="BA40" s="106">
        <v>27.5</v>
      </c>
      <c r="BB40" s="686"/>
      <c r="BC40" s="55" t="s">
        <v>5570</v>
      </c>
      <c r="BD40" s="106">
        <v>17.75</v>
      </c>
      <c r="BE40" s="582"/>
    </row>
    <row r="41" spans="1:57" ht="15.75" thickBot="1" x14ac:dyDescent="0.3">
      <c r="A41" s="55" t="s">
        <v>4935</v>
      </c>
      <c r="B41" s="106">
        <v>28</v>
      </c>
      <c r="C41" s="573"/>
      <c r="D41" s="55" t="s">
        <v>4725</v>
      </c>
      <c r="E41" s="106">
        <v>29.75</v>
      </c>
      <c r="F41" s="582"/>
      <c r="G41" s="55" t="s">
        <v>5380</v>
      </c>
      <c r="H41" s="106">
        <v>14</v>
      </c>
      <c r="I41" s="582"/>
      <c r="J41" s="90" t="s">
        <v>5149</v>
      </c>
      <c r="K41" s="359">
        <v>31.5</v>
      </c>
      <c r="L41" s="585"/>
      <c r="M41" s="55" t="s">
        <v>5076</v>
      </c>
      <c r="N41" s="106">
        <v>31</v>
      </c>
      <c r="O41" s="582"/>
      <c r="P41" s="55" t="s">
        <v>42</v>
      </c>
      <c r="Q41" s="106">
        <v>31.75</v>
      </c>
      <c r="R41" s="582"/>
      <c r="S41" s="55" t="s">
        <v>5516</v>
      </c>
      <c r="T41" s="106">
        <v>7</v>
      </c>
      <c r="U41" s="582"/>
      <c r="V41" s="55" t="s">
        <v>575</v>
      </c>
      <c r="W41" s="106">
        <v>18.75</v>
      </c>
      <c r="X41" s="582"/>
      <c r="Y41" s="55" t="s">
        <v>4727</v>
      </c>
      <c r="Z41" s="106">
        <v>20.5</v>
      </c>
      <c r="AA41" s="573"/>
      <c r="AB41" s="55" t="s">
        <v>3463</v>
      </c>
      <c r="AC41" s="106">
        <v>24.25</v>
      </c>
      <c r="AD41" s="582"/>
      <c r="AE41" s="55" t="s">
        <v>5025</v>
      </c>
      <c r="AF41" s="106">
        <v>20.5</v>
      </c>
      <c r="AG41" s="582"/>
      <c r="AH41" s="55" t="s">
        <v>87</v>
      </c>
      <c r="AI41" s="106">
        <v>16.5</v>
      </c>
      <c r="AJ41" s="582"/>
      <c r="AK41" s="55" t="s">
        <v>18</v>
      </c>
      <c r="AL41" s="106">
        <v>34</v>
      </c>
      <c r="AM41" s="582"/>
      <c r="AN41" s="55" t="s">
        <v>4204</v>
      </c>
      <c r="AO41" s="106">
        <v>17.25</v>
      </c>
      <c r="AP41" s="582"/>
      <c r="AQ41" s="55" t="s">
        <v>349</v>
      </c>
      <c r="AR41" s="106">
        <v>29.25</v>
      </c>
      <c r="AS41" s="582"/>
      <c r="AT41" s="55" t="s">
        <v>3941</v>
      </c>
      <c r="AU41" s="106">
        <v>28.25</v>
      </c>
      <c r="AV41" s="582"/>
      <c r="AW41" s="55" t="s">
        <v>5269</v>
      </c>
      <c r="AX41" s="106">
        <v>12.5</v>
      </c>
      <c r="AY41" s="573"/>
      <c r="AZ41" s="56" t="s">
        <v>5732</v>
      </c>
      <c r="BA41" s="361">
        <v>6.5</v>
      </c>
      <c r="BB41" s="687"/>
      <c r="BC41" s="56" t="s">
        <v>5223</v>
      </c>
      <c r="BD41" s="361">
        <v>3.5</v>
      </c>
      <c r="BE41" s="583"/>
    </row>
    <row r="42" spans="1:57" ht="15.75" thickBot="1" x14ac:dyDescent="0.3">
      <c r="A42" s="55" t="s">
        <v>5505</v>
      </c>
      <c r="B42" s="106">
        <v>9</v>
      </c>
      <c r="C42" s="573"/>
      <c r="D42" s="55" t="s">
        <v>3072</v>
      </c>
      <c r="E42" s="106">
        <v>29.75</v>
      </c>
      <c r="F42" s="582"/>
      <c r="G42" s="55" t="s">
        <v>4387</v>
      </c>
      <c r="H42" s="106">
        <v>13.75</v>
      </c>
      <c r="I42" s="582"/>
      <c r="J42" s="90" t="s">
        <v>5204</v>
      </c>
      <c r="K42" s="359">
        <v>30.25</v>
      </c>
      <c r="L42" s="585"/>
      <c r="M42" s="56" t="s">
        <v>8728</v>
      </c>
      <c r="N42" s="361">
        <v>33.75</v>
      </c>
      <c r="O42" s="583"/>
      <c r="P42" s="55" t="s">
        <v>4969</v>
      </c>
      <c r="Q42" s="106">
        <v>29</v>
      </c>
      <c r="R42" s="582"/>
      <c r="S42" s="55" t="s">
        <v>4997</v>
      </c>
      <c r="T42" s="106">
        <v>8.25</v>
      </c>
      <c r="U42" s="582"/>
      <c r="V42" s="55" t="s">
        <v>4891</v>
      </c>
      <c r="W42" s="106">
        <v>18.75</v>
      </c>
      <c r="X42" s="582"/>
      <c r="Y42" s="55" t="s">
        <v>4822</v>
      </c>
      <c r="Z42" s="106">
        <v>20.25</v>
      </c>
      <c r="AA42" s="573"/>
      <c r="AB42" s="55" t="s">
        <v>4911</v>
      </c>
      <c r="AC42" s="106">
        <v>24.25</v>
      </c>
      <c r="AD42" s="582"/>
      <c r="AE42" s="55" t="s">
        <v>5653</v>
      </c>
      <c r="AF42" s="106">
        <v>20.25</v>
      </c>
      <c r="AG42" s="582"/>
      <c r="AH42" s="56" t="s">
        <v>50</v>
      </c>
      <c r="AI42" s="361">
        <v>16.75</v>
      </c>
      <c r="AJ42" s="583"/>
      <c r="AK42" s="56" t="s">
        <v>15</v>
      </c>
      <c r="AL42" s="361">
        <v>33.25</v>
      </c>
      <c r="AM42" s="583"/>
      <c r="AN42" s="55" t="s">
        <v>5697</v>
      </c>
      <c r="AO42" s="106">
        <v>17</v>
      </c>
      <c r="AP42" s="582"/>
      <c r="AQ42" s="55" t="s">
        <v>326</v>
      </c>
      <c r="AR42" s="106">
        <v>29</v>
      </c>
      <c r="AS42" s="582"/>
      <c r="AT42" s="55" t="s">
        <v>10817</v>
      </c>
      <c r="AU42" s="106">
        <v>27.5</v>
      </c>
      <c r="AV42" s="582"/>
      <c r="AW42" s="55" t="s">
        <v>5739</v>
      </c>
      <c r="AX42" s="106">
        <v>12.25</v>
      </c>
      <c r="AY42" s="573"/>
      <c r="AZ42" s="55" t="s">
        <v>5267</v>
      </c>
      <c r="BA42" s="106">
        <v>21</v>
      </c>
      <c r="BB42" s="581" t="s">
        <v>12664</v>
      </c>
      <c r="BC42" s="682" t="s">
        <v>5251</v>
      </c>
      <c r="BD42" s="683">
        <v>18.75</v>
      </c>
      <c r="BE42" s="581" t="s">
        <v>12664</v>
      </c>
    </row>
    <row r="43" spans="1:57" ht="15.75" thickBot="1" x14ac:dyDescent="0.3">
      <c r="A43" s="55" t="s">
        <v>5185</v>
      </c>
      <c r="B43" s="106">
        <v>20.75</v>
      </c>
      <c r="C43" s="573"/>
      <c r="D43" s="55" t="s">
        <v>485</v>
      </c>
      <c r="E43" s="106">
        <v>21.5</v>
      </c>
      <c r="F43" s="582"/>
      <c r="G43" s="55" t="s">
        <v>426</v>
      </c>
      <c r="H43" s="106">
        <v>9.75</v>
      </c>
      <c r="I43" s="582"/>
      <c r="J43" s="56" t="s">
        <v>5369</v>
      </c>
      <c r="K43" s="361">
        <v>29.75</v>
      </c>
      <c r="L43" s="586"/>
      <c r="M43" s="362" t="s">
        <v>304</v>
      </c>
      <c r="N43" s="363">
        <v>34.5</v>
      </c>
      <c r="O43" s="581" t="s">
        <v>12663</v>
      </c>
      <c r="P43" s="55" t="s">
        <v>266</v>
      </c>
      <c r="Q43" s="106">
        <v>28.5</v>
      </c>
      <c r="R43" s="582"/>
      <c r="S43" s="56" t="s">
        <v>4058</v>
      </c>
      <c r="T43" s="361">
        <v>4.5</v>
      </c>
      <c r="U43" s="583"/>
      <c r="V43" s="55" t="s">
        <v>5543</v>
      </c>
      <c r="W43" s="106">
        <v>18.75</v>
      </c>
      <c r="X43" s="582"/>
      <c r="Y43" s="56" t="s">
        <v>5333</v>
      </c>
      <c r="Z43" s="361">
        <v>18.25</v>
      </c>
      <c r="AA43" s="574"/>
      <c r="AB43" s="55" t="s">
        <v>2531</v>
      </c>
      <c r="AC43" s="106">
        <v>24</v>
      </c>
      <c r="AD43" s="582"/>
      <c r="AE43" s="55" t="s">
        <v>5068</v>
      </c>
      <c r="AF43" s="106">
        <v>20.25</v>
      </c>
      <c r="AG43" s="582"/>
      <c r="AH43" s="682" t="s">
        <v>4104</v>
      </c>
      <c r="AI43" s="683">
        <v>17</v>
      </c>
      <c r="AJ43" s="581" t="s">
        <v>12663</v>
      </c>
      <c r="AK43" s="682" t="s">
        <v>143</v>
      </c>
      <c r="AL43" s="683">
        <v>34.25</v>
      </c>
      <c r="AM43" s="581" t="s">
        <v>12663</v>
      </c>
      <c r="AN43" s="55" t="s">
        <v>5155</v>
      </c>
      <c r="AO43" s="106">
        <v>16.5</v>
      </c>
      <c r="AP43" s="582"/>
      <c r="AQ43" s="56" t="s">
        <v>4629</v>
      </c>
      <c r="AR43" s="361">
        <v>21.25</v>
      </c>
      <c r="AS43" s="583"/>
      <c r="AT43" s="56" t="s">
        <v>5471</v>
      </c>
      <c r="AU43" s="361">
        <v>25.25</v>
      </c>
      <c r="AV43" s="583"/>
      <c r="AW43" s="55" t="s">
        <v>5734</v>
      </c>
      <c r="AX43" s="106">
        <v>11.5</v>
      </c>
      <c r="AY43" s="573"/>
      <c r="AZ43" s="55" t="s">
        <v>457</v>
      </c>
      <c r="BA43" s="106">
        <v>28.25</v>
      </c>
      <c r="BB43" s="582"/>
      <c r="BC43" s="55" t="s">
        <v>402</v>
      </c>
      <c r="BD43" s="106">
        <v>18.5</v>
      </c>
      <c r="BE43" s="582"/>
    </row>
    <row r="44" spans="1:57" ht="15.75" thickBot="1" x14ac:dyDescent="0.3">
      <c r="A44" s="55" t="s">
        <v>5055</v>
      </c>
      <c r="B44" s="106">
        <v>12.75</v>
      </c>
      <c r="C44" s="573"/>
      <c r="D44" s="55" t="s">
        <v>3251</v>
      </c>
      <c r="E44" s="106">
        <v>12</v>
      </c>
      <c r="F44" s="582"/>
      <c r="G44" s="56" t="s">
        <v>5021</v>
      </c>
      <c r="H44" s="361">
        <v>6</v>
      </c>
      <c r="I44" s="583"/>
      <c r="J44" s="362" t="s">
        <v>5149</v>
      </c>
      <c r="K44" s="363">
        <v>31.5</v>
      </c>
      <c r="L44" s="584" t="s">
        <v>12663</v>
      </c>
      <c r="M44" s="55" t="s">
        <v>300</v>
      </c>
      <c r="N44" s="106">
        <v>34.5</v>
      </c>
      <c r="O44" s="582"/>
      <c r="P44" s="55" t="s">
        <v>5283</v>
      </c>
      <c r="Q44" s="106">
        <v>27.5</v>
      </c>
      <c r="R44" s="582"/>
      <c r="S44" s="682" t="s">
        <v>4649</v>
      </c>
      <c r="T44" s="683">
        <v>4</v>
      </c>
      <c r="U44" s="581" t="s">
        <v>12664</v>
      </c>
      <c r="V44" s="55" t="s">
        <v>4735</v>
      </c>
      <c r="W44" s="106">
        <v>6.25</v>
      </c>
      <c r="X44" s="692"/>
      <c r="Y44" s="682" t="s">
        <v>5411</v>
      </c>
      <c r="Z44" s="683">
        <v>10.5</v>
      </c>
      <c r="AA44" s="581" t="s">
        <v>12663</v>
      </c>
      <c r="AB44" s="55" t="s">
        <v>5384</v>
      </c>
      <c r="AC44" s="106">
        <v>23</v>
      </c>
      <c r="AD44" s="582"/>
      <c r="AE44" s="55" t="s">
        <v>5304</v>
      </c>
      <c r="AF44" s="106">
        <v>20.25</v>
      </c>
      <c r="AG44" s="582"/>
      <c r="AH44" s="55" t="s">
        <v>3799</v>
      </c>
      <c r="AI44" s="106">
        <v>16.75</v>
      </c>
      <c r="AJ44" s="582"/>
      <c r="AK44" s="55" t="s">
        <v>18</v>
      </c>
      <c r="AL44" s="106">
        <v>34</v>
      </c>
      <c r="AM44" s="582"/>
      <c r="AN44" s="55" t="s">
        <v>3148</v>
      </c>
      <c r="AO44" s="106">
        <v>16.25</v>
      </c>
      <c r="AP44" s="582"/>
      <c r="AQ44" s="682" t="s">
        <v>5253</v>
      </c>
      <c r="AR44" s="683">
        <v>29.5</v>
      </c>
      <c r="AS44" s="581" t="s">
        <v>12664</v>
      </c>
      <c r="AT44" s="682" t="s">
        <v>1533</v>
      </c>
      <c r="AU44" s="683">
        <v>29.25</v>
      </c>
      <c r="AV44" s="581" t="s">
        <v>12664</v>
      </c>
      <c r="AW44" s="55" t="s">
        <v>5758</v>
      </c>
      <c r="AX44" s="106">
        <v>8.5</v>
      </c>
      <c r="AY44" s="573"/>
      <c r="AZ44" s="55" t="s">
        <v>319</v>
      </c>
      <c r="BA44" s="106">
        <v>29.75</v>
      </c>
      <c r="BB44" s="582"/>
      <c r="BC44" s="55" t="s">
        <v>120</v>
      </c>
      <c r="BD44" s="106">
        <v>18.5</v>
      </c>
      <c r="BE44" s="582"/>
    </row>
    <row r="45" spans="1:57" ht="15.75" thickBot="1" x14ac:dyDescent="0.3">
      <c r="A45" s="55" t="s">
        <v>3836</v>
      </c>
      <c r="B45" s="106">
        <v>7.25</v>
      </c>
      <c r="C45" s="573"/>
      <c r="D45" s="56" t="s">
        <v>5240</v>
      </c>
      <c r="E45" s="361">
        <v>11.25</v>
      </c>
      <c r="F45" s="583"/>
      <c r="G45" s="682" t="s">
        <v>5251</v>
      </c>
      <c r="H45" s="683">
        <v>18.75</v>
      </c>
      <c r="I45" s="581" t="s">
        <v>12663</v>
      </c>
      <c r="J45" s="90" t="s">
        <v>5204</v>
      </c>
      <c r="K45" s="359">
        <v>30.25</v>
      </c>
      <c r="L45" s="585"/>
      <c r="M45" s="55" t="s">
        <v>5265</v>
      </c>
      <c r="N45" s="106">
        <v>34.25</v>
      </c>
      <c r="O45" s="582"/>
      <c r="P45" s="55" t="s">
        <v>5352</v>
      </c>
      <c r="Q45" s="106">
        <v>12</v>
      </c>
      <c r="R45" s="582"/>
      <c r="S45" s="55" t="s">
        <v>254</v>
      </c>
      <c r="T45" s="106">
        <v>31</v>
      </c>
      <c r="U45" s="582"/>
      <c r="V45" s="55" t="s">
        <v>5495</v>
      </c>
      <c r="W45" s="106">
        <v>18.75</v>
      </c>
      <c r="X45" s="692"/>
      <c r="Y45" s="55" t="s">
        <v>4865</v>
      </c>
      <c r="Z45" s="106">
        <v>19.5</v>
      </c>
      <c r="AA45" s="582"/>
      <c r="AB45" s="55" t="s">
        <v>483</v>
      </c>
      <c r="AC45" s="106">
        <v>14.5</v>
      </c>
      <c r="AD45" s="582"/>
      <c r="AE45" s="55" t="s">
        <v>5602</v>
      </c>
      <c r="AF45" s="106">
        <v>20</v>
      </c>
      <c r="AG45" s="582"/>
      <c r="AH45" s="55" t="s">
        <v>50</v>
      </c>
      <c r="AI45" s="106">
        <v>16.75</v>
      </c>
      <c r="AJ45" s="582"/>
      <c r="AK45" s="55" t="s">
        <v>147</v>
      </c>
      <c r="AL45" s="106">
        <v>33.5</v>
      </c>
      <c r="AM45" s="582"/>
      <c r="AN45" s="55" t="s">
        <v>5163</v>
      </c>
      <c r="AO45" s="106">
        <v>15</v>
      </c>
      <c r="AP45" s="582"/>
      <c r="AQ45" s="55" t="s">
        <v>4716</v>
      </c>
      <c r="AR45" s="106">
        <v>29.5</v>
      </c>
      <c r="AS45" s="582"/>
      <c r="AT45" s="55" t="s">
        <v>3215</v>
      </c>
      <c r="AU45" s="106">
        <v>29</v>
      </c>
      <c r="AV45" s="582"/>
      <c r="AW45" s="55" t="s">
        <v>5070</v>
      </c>
      <c r="AX45" s="106">
        <v>8.5</v>
      </c>
      <c r="AY45" s="573"/>
      <c r="AZ45" s="55" t="s">
        <v>234</v>
      </c>
      <c r="BA45" s="106">
        <v>28.25</v>
      </c>
      <c r="BB45" s="582"/>
      <c r="BC45" s="55" t="s">
        <v>430</v>
      </c>
      <c r="BD45" s="106">
        <v>18.25</v>
      </c>
      <c r="BE45" s="582"/>
    </row>
    <row r="46" spans="1:57" ht="15.75" thickBot="1" x14ac:dyDescent="0.3">
      <c r="A46" s="55" t="s">
        <v>4973</v>
      </c>
      <c r="B46" s="106">
        <v>4.75</v>
      </c>
      <c r="C46" s="573"/>
      <c r="D46" s="682" t="s">
        <v>3557</v>
      </c>
      <c r="E46" s="683">
        <v>17.75</v>
      </c>
      <c r="F46" s="581" t="s">
        <v>12663</v>
      </c>
      <c r="G46" s="55" t="s">
        <v>402</v>
      </c>
      <c r="H46" s="106">
        <v>18.5</v>
      </c>
      <c r="I46" s="582"/>
      <c r="J46" s="55" t="s">
        <v>5369</v>
      </c>
      <c r="K46" s="106">
        <v>29.75</v>
      </c>
      <c r="L46" s="585"/>
      <c r="M46" s="55" t="s">
        <v>8728</v>
      </c>
      <c r="N46" s="106">
        <v>33.75</v>
      </c>
      <c r="O46" s="582"/>
      <c r="P46" s="56" t="s">
        <v>5336</v>
      </c>
      <c r="Q46" s="361">
        <v>7</v>
      </c>
      <c r="R46" s="583"/>
      <c r="S46" s="55" t="s">
        <v>254</v>
      </c>
      <c r="T46" s="106">
        <v>31</v>
      </c>
      <c r="U46" s="582"/>
      <c r="V46" s="55" t="s">
        <v>5651</v>
      </c>
      <c r="W46" s="106">
        <v>12.5</v>
      </c>
      <c r="X46" s="692"/>
      <c r="Y46" s="55" t="s">
        <v>973</v>
      </c>
      <c r="Z46" s="106">
        <v>19.75</v>
      </c>
      <c r="AA46" s="582"/>
      <c r="AB46" s="56" t="s">
        <v>5762</v>
      </c>
      <c r="AC46" s="361">
        <v>8.75</v>
      </c>
      <c r="AD46" s="583"/>
      <c r="AE46" s="56" t="s">
        <v>5727</v>
      </c>
      <c r="AF46" s="361">
        <v>5.25</v>
      </c>
      <c r="AG46" s="583"/>
      <c r="AH46" s="55" t="s">
        <v>87</v>
      </c>
      <c r="AI46" s="106">
        <v>16.5</v>
      </c>
      <c r="AJ46" s="582"/>
      <c r="AK46" s="55" t="s">
        <v>15</v>
      </c>
      <c r="AL46" s="106">
        <v>33.25</v>
      </c>
      <c r="AM46" s="582"/>
      <c r="AN46" s="55" t="s">
        <v>5611</v>
      </c>
      <c r="AO46" s="106">
        <v>14.5</v>
      </c>
      <c r="AP46" s="582"/>
      <c r="AQ46" s="55" t="s">
        <v>4644</v>
      </c>
      <c r="AR46" s="106">
        <v>29.5</v>
      </c>
      <c r="AS46" s="582"/>
      <c r="AT46" s="55" t="s">
        <v>2529</v>
      </c>
      <c r="AU46" s="106">
        <v>28.75</v>
      </c>
      <c r="AV46" s="582"/>
      <c r="AW46" s="55" t="s">
        <v>5715</v>
      </c>
      <c r="AX46" s="106">
        <v>8.25</v>
      </c>
      <c r="AY46" s="573"/>
      <c r="AZ46" s="55" t="s">
        <v>152</v>
      </c>
      <c r="BA46" s="106">
        <v>28.75</v>
      </c>
      <c r="BB46" s="582"/>
      <c r="BC46" s="55" t="s">
        <v>763</v>
      </c>
      <c r="BD46" s="106">
        <v>18.25</v>
      </c>
      <c r="BE46" s="582"/>
    </row>
    <row r="47" spans="1:57" ht="15.75" thickBot="1" x14ac:dyDescent="0.3">
      <c r="A47" s="56" t="s">
        <v>5079</v>
      </c>
      <c r="B47" s="361">
        <v>5.25</v>
      </c>
      <c r="C47" s="574"/>
      <c r="D47" s="55" t="s">
        <v>5551</v>
      </c>
      <c r="E47" s="106">
        <v>7.5</v>
      </c>
      <c r="F47" s="582"/>
      <c r="G47" s="55" t="s">
        <v>120</v>
      </c>
      <c r="H47" s="106">
        <v>18.5</v>
      </c>
      <c r="I47" s="582"/>
      <c r="J47" s="55" t="s">
        <v>4410</v>
      </c>
      <c r="K47" s="106">
        <v>29.5</v>
      </c>
      <c r="L47" s="585"/>
      <c r="M47" s="56" t="s">
        <v>5076</v>
      </c>
      <c r="N47" s="361">
        <v>31</v>
      </c>
      <c r="O47" s="583"/>
      <c r="P47" s="682" t="s">
        <v>5331</v>
      </c>
      <c r="Q47" s="683">
        <v>32.25</v>
      </c>
      <c r="R47" s="581" t="s">
        <v>12663</v>
      </c>
      <c r="S47" s="55" t="s">
        <v>254</v>
      </c>
      <c r="T47" s="106">
        <v>31</v>
      </c>
      <c r="U47" s="582"/>
      <c r="V47" s="56" t="s">
        <v>527</v>
      </c>
      <c r="W47" s="361">
        <v>18.25</v>
      </c>
      <c r="X47" s="693"/>
      <c r="Y47" s="55" t="s">
        <v>2079</v>
      </c>
      <c r="Z47" s="106">
        <v>19</v>
      </c>
      <c r="AA47" s="582"/>
      <c r="AB47" s="465" t="s">
        <v>5475</v>
      </c>
      <c r="AC47" s="464">
        <v>18.25</v>
      </c>
      <c r="AD47" s="572" t="s">
        <v>12663</v>
      </c>
      <c r="AE47" s="682" t="s">
        <v>4900</v>
      </c>
      <c r="AF47" s="683">
        <v>20.5</v>
      </c>
      <c r="AG47" s="581" t="s">
        <v>12664</v>
      </c>
      <c r="AH47" s="55" t="s">
        <v>4816</v>
      </c>
      <c r="AI47" s="106">
        <v>16.25</v>
      </c>
      <c r="AJ47" s="582"/>
      <c r="AK47" s="56" t="s">
        <v>5489</v>
      </c>
      <c r="AL47" s="361">
        <v>33</v>
      </c>
      <c r="AM47" s="583"/>
      <c r="AN47" s="55" t="s">
        <v>5463</v>
      </c>
      <c r="AO47" s="106">
        <v>8.75</v>
      </c>
      <c r="AP47" s="582"/>
      <c r="AQ47" s="55" t="s">
        <v>349</v>
      </c>
      <c r="AR47" s="106">
        <v>29.25</v>
      </c>
      <c r="AS47" s="582"/>
      <c r="AT47" s="55" t="s">
        <v>3941</v>
      </c>
      <c r="AU47" s="106">
        <v>28.25</v>
      </c>
      <c r="AV47" s="582"/>
      <c r="AW47" s="55" t="s">
        <v>5741</v>
      </c>
      <c r="AX47" s="106">
        <v>8</v>
      </c>
      <c r="AY47" s="573"/>
      <c r="AZ47" s="56" t="s">
        <v>122</v>
      </c>
      <c r="BA47" s="361">
        <v>31.75</v>
      </c>
      <c r="BB47" s="583"/>
      <c r="BC47" s="55" t="s">
        <v>376</v>
      </c>
      <c r="BD47" s="106">
        <v>18.25</v>
      </c>
      <c r="BE47" s="582"/>
    </row>
    <row r="48" spans="1:57" x14ac:dyDescent="0.25">
      <c r="A48" s="465" t="s">
        <v>224</v>
      </c>
      <c r="B48" s="464">
        <v>31.75</v>
      </c>
      <c r="C48" s="572" t="s">
        <v>12664</v>
      </c>
      <c r="D48" s="55" t="s">
        <v>5371</v>
      </c>
      <c r="E48" s="106">
        <v>8.25</v>
      </c>
      <c r="F48" s="582"/>
      <c r="G48" s="55" t="s">
        <v>763</v>
      </c>
      <c r="H48" s="106">
        <v>18.25</v>
      </c>
      <c r="I48" s="582"/>
      <c r="J48" s="55" t="s">
        <v>3539</v>
      </c>
      <c r="K48" s="106">
        <v>28.75</v>
      </c>
      <c r="L48" s="585"/>
      <c r="M48" s="362" t="s">
        <v>304</v>
      </c>
      <c r="N48" s="363">
        <v>34.5</v>
      </c>
      <c r="O48" s="581" t="s">
        <v>12663</v>
      </c>
      <c r="P48" s="55" t="s">
        <v>42</v>
      </c>
      <c r="Q48" s="106">
        <v>31.75</v>
      </c>
      <c r="R48" s="582"/>
      <c r="S48" s="55" t="s">
        <v>224</v>
      </c>
      <c r="T48" s="106">
        <v>31.75</v>
      </c>
      <c r="U48" s="582"/>
      <c r="V48" s="465" t="s">
        <v>1933</v>
      </c>
      <c r="W48" s="464">
        <v>33.75</v>
      </c>
      <c r="X48" s="572" t="s">
        <v>12663</v>
      </c>
      <c r="Y48" s="55" t="s">
        <v>5285</v>
      </c>
      <c r="Z48" s="106">
        <v>19.5</v>
      </c>
      <c r="AA48" s="582"/>
      <c r="AB48" s="55" t="s">
        <v>5291</v>
      </c>
      <c r="AC48" s="106">
        <v>17.5</v>
      </c>
      <c r="AD48" s="573"/>
      <c r="AE48" s="55" t="s">
        <v>5399</v>
      </c>
      <c r="AF48" s="106">
        <v>20.5</v>
      </c>
      <c r="AG48" s="582"/>
      <c r="AH48" s="55" t="s">
        <v>193</v>
      </c>
      <c r="AI48" s="106">
        <v>16.25</v>
      </c>
      <c r="AJ48" s="582"/>
      <c r="AK48" s="682" t="s">
        <v>143</v>
      </c>
      <c r="AL48" s="683">
        <v>34.25</v>
      </c>
      <c r="AM48" s="581" t="s">
        <v>12663</v>
      </c>
      <c r="AN48" s="55" t="s">
        <v>217</v>
      </c>
      <c r="AO48" s="106">
        <v>35.25</v>
      </c>
      <c r="AP48" s="582"/>
      <c r="AQ48" s="55" t="s">
        <v>326</v>
      </c>
      <c r="AR48" s="106">
        <v>29</v>
      </c>
      <c r="AS48" s="582"/>
      <c r="AT48" s="55" t="s">
        <v>10817</v>
      </c>
      <c r="AU48" s="106">
        <v>27.5</v>
      </c>
      <c r="AV48" s="582"/>
      <c r="AW48" s="55" t="s">
        <v>124</v>
      </c>
      <c r="AX48" s="106">
        <v>7.25</v>
      </c>
      <c r="AY48" s="573"/>
      <c r="AZ48" s="682" t="s">
        <v>457</v>
      </c>
      <c r="BA48" s="683">
        <v>28.25</v>
      </c>
      <c r="BB48" s="581" t="s">
        <v>12664</v>
      </c>
      <c r="BC48" s="55" t="s">
        <v>5706</v>
      </c>
      <c r="BD48" s="106">
        <v>18.25</v>
      </c>
      <c r="BE48" s="582"/>
    </row>
    <row r="49" spans="1:57" ht="15.75" thickBot="1" x14ac:dyDescent="0.3">
      <c r="A49" s="688" t="s">
        <v>3066</v>
      </c>
      <c r="B49" s="689">
        <v>5.25</v>
      </c>
      <c r="C49" s="573"/>
      <c r="D49" s="55" t="s">
        <v>3901</v>
      </c>
      <c r="E49" s="106">
        <v>19</v>
      </c>
      <c r="F49" s="582"/>
      <c r="G49" s="55" t="s">
        <v>5706</v>
      </c>
      <c r="H49" s="106">
        <v>18.25</v>
      </c>
      <c r="I49" s="582"/>
      <c r="J49" s="56" t="s">
        <v>376</v>
      </c>
      <c r="K49" s="361">
        <v>18.25</v>
      </c>
      <c r="L49" s="586"/>
      <c r="M49" s="55" t="s">
        <v>300</v>
      </c>
      <c r="N49" s="106">
        <v>34.5</v>
      </c>
      <c r="O49" s="582"/>
      <c r="P49" s="55" t="s">
        <v>4969</v>
      </c>
      <c r="Q49" s="106">
        <v>29</v>
      </c>
      <c r="R49" s="582"/>
      <c r="S49" s="55" t="s">
        <v>198</v>
      </c>
      <c r="T49" s="106">
        <v>31.5</v>
      </c>
      <c r="U49" s="582"/>
      <c r="V49" s="55" t="s">
        <v>457</v>
      </c>
      <c r="W49" s="106">
        <v>28.25</v>
      </c>
      <c r="X49" s="573"/>
      <c r="Y49" s="55" t="s">
        <v>4851</v>
      </c>
      <c r="Z49" s="106">
        <v>19.75</v>
      </c>
      <c r="AA49" s="582"/>
      <c r="AB49" s="55" t="s">
        <v>853</v>
      </c>
      <c r="AC49" s="106">
        <v>17.25</v>
      </c>
      <c r="AD49" s="573"/>
      <c r="AE49" s="55" t="s">
        <v>27</v>
      </c>
      <c r="AF49" s="106">
        <v>20.5</v>
      </c>
      <c r="AG49" s="582"/>
      <c r="AH49" s="55" t="s">
        <v>5321</v>
      </c>
      <c r="AI49" s="106">
        <v>16.25</v>
      </c>
      <c r="AJ49" s="582"/>
      <c r="AK49" s="55" t="s">
        <v>18</v>
      </c>
      <c r="AL49" s="106">
        <v>34</v>
      </c>
      <c r="AM49" s="582"/>
      <c r="AN49" s="56" t="s">
        <v>5719</v>
      </c>
      <c r="AO49" s="361">
        <v>9.75</v>
      </c>
      <c r="AP49" s="583"/>
      <c r="AQ49" s="56" t="s">
        <v>4629</v>
      </c>
      <c r="AR49" s="361">
        <v>21.25</v>
      </c>
      <c r="AS49" s="583"/>
      <c r="AT49" s="56" t="s">
        <v>5471</v>
      </c>
      <c r="AU49" s="361">
        <v>25.25</v>
      </c>
      <c r="AV49" s="583"/>
      <c r="AW49" s="55" t="s">
        <v>5768</v>
      </c>
      <c r="AX49" s="106">
        <v>6.75</v>
      </c>
      <c r="AY49" s="573"/>
      <c r="AZ49" s="55" t="s">
        <v>122</v>
      </c>
      <c r="BA49" s="106">
        <v>31.75</v>
      </c>
      <c r="BB49" s="582"/>
      <c r="BC49" s="55" t="s">
        <v>837</v>
      </c>
      <c r="BD49" s="106">
        <v>18</v>
      </c>
      <c r="BE49" s="582"/>
    </row>
    <row r="50" spans="1:57" x14ac:dyDescent="0.25">
      <c r="A50" s="55" t="s">
        <v>254</v>
      </c>
      <c r="B50" s="106">
        <v>31</v>
      </c>
      <c r="C50" s="573"/>
      <c r="D50" s="55" t="s">
        <v>841</v>
      </c>
      <c r="E50" s="106">
        <v>18.5</v>
      </c>
      <c r="F50" s="582"/>
      <c r="G50" s="55" t="s">
        <v>5570</v>
      </c>
      <c r="H50" s="106">
        <v>17.75</v>
      </c>
      <c r="I50" s="582"/>
      <c r="J50" s="362" t="s">
        <v>5149</v>
      </c>
      <c r="K50" s="363">
        <v>31.5</v>
      </c>
      <c r="L50" s="584" t="s">
        <v>12663</v>
      </c>
      <c r="M50" s="55" t="s">
        <v>5265</v>
      </c>
      <c r="N50" s="106">
        <v>34.25</v>
      </c>
      <c r="O50" s="582"/>
      <c r="P50" s="55" t="s">
        <v>266</v>
      </c>
      <c r="Q50" s="106">
        <v>28.5</v>
      </c>
      <c r="R50" s="582"/>
      <c r="S50" s="55" t="s">
        <v>4537</v>
      </c>
      <c r="T50" s="106">
        <v>2.5</v>
      </c>
      <c r="U50" s="582"/>
      <c r="V50" s="55" t="s">
        <v>419</v>
      </c>
      <c r="W50" s="106">
        <v>31.75</v>
      </c>
      <c r="X50" s="573"/>
      <c r="Y50" s="55" t="s">
        <v>5084</v>
      </c>
      <c r="Z50" s="106">
        <v>20.25</v>
      </c>
      <c r="AA50" s="582"/>
      <c r="AB50" s="55" t="s">
        <v>5680</v>
      </c>
      <c r="AC50" s="106">
        <v>4.75</v>
      </c>
      <c r="AD50" s="573"/>
      <c r="AE50" s="55" t="s">
        <v>5025</v>
      </c>
      <c r="AF50" s="106">
        <v>20.5</v>
      </c>
      <c r="AG50" s="582"/>
      <c r="AH50" s="55" t="s">
        <v>2024</v>
      </c>
      <c r="AI50" s="106">
        <v>15.5</v>
      </c>
      <c r="AJ50" s="582"/>
      <c r="AK50" s="55" t="s">
        <v>147</v>
      </c>
      <c r="AL50" s="106">
        <v>33.5</v>
      </c>
      <c r="AM50" s="582"/>
      <c r="AN50" s="682" t="s">
        <v>195</v>
      </c>
      <c r="AO50" s="683">
        <v>17.75</v>
      </c>
      <c r="AP50" s="581" t="s">
        <v>12664</v>
      </c>
      <c r="AQ50" s="682" t="s">
        <v>364</v>
      </c>
      <c r="AR50" s="683">
        <v>31.5</v>
      </c>
      <c r="AS50" s="581" t="s">
        <v>12664</v>
      </c>
      <c r="AT50" s="682" t="s">
        <v>378</v>
      </c>
      <c r="AU50" s="683">
        <v>35</v>
      </c>
      <c r="AV50" s="581" t="s">
        <v>12664</v>
      </c>
      <c r="AW50" s="55" t="s">
        <v>5616</v>
      </c>
      <c r="AX50" s="106">
        <v>5.5</v>
      </c>
      <c r="AY50" s="573"/>
      <c r="AZ50" s="55" t="s">
        <v>319</v>
      </c>
      <c r="BA50" s="106">
        <v>29.75</v>
      </c>
      <c r="BB50" s="582"/>
      <c r="BC50" s="55" t="s">
        <v>5570</v>
      </c>
      <c r="BD50" s="106">
        <v>17.75</v>
      </c>
      <c r="BE50" s="582"/>
    </row>
    <row r="51" spans="1:57" ht="15.75" thickBot="1" x14ac:dyDescent="0.3">
      <c r="A51" s="55" t="s">
        <v>224</v>
      </c>
      <c r="B51" s="106">
        <v>31.75</v>
      </c>
      <c r="C51" s="573"/>
      <c r="D51" s="55" t="s">
        <v>4744</v>
      </c>
      <c r="E51" s="106">
        <v>21</v>
      </c>
      <c r="F51" s="582"/>
      <c r="G51" s="55" t="s">
        <v>4642</v>
      </c>
      <c r="H51" s="106">
        <v>14.5</v>
      </c>
      <c r="I51" s="582"/>
      <c r="J51" s="90" t="s">
        <v>5204</v>
      </c>
      <c r="K51" s="359">
        <v>30.25</v>
      </c>
      <c r="L51" s="585"/>
      <c r="M51" s="55" t="s">
        <v>8728</v>
      </c>
      <c r="N51" s="106">
        <v>33.75</v>
      </c>
      <c r="O51" s="582"/>
      <c r="P51" s="55" t="s">
        <v>5283</v>
      </c>
      <c r="Q51" s="106">
        <v>27.5</v>
      </c>
      <c r="R51" s="582"/>
      <c r="S51" s="56" t="s">
        <v>5647</v>
      </c>
      <c r="T51" s="361">
        <v>5.25</v>
      </c>
      <c r="U51" s="583"/>
      <c r="V51" s="55" t="s">
        <v>339</v>
      </c>
      <c r="W51" s="106">
        <v>32.5</v>
      </c>
      <c r="X51" s="573"/>
      <c r="Y51" s="55" t="s">
        <v>4971</v>
      </c>
      <c r="Z51" s="106">
        <v>20</v>
      </c>
      <c r="AA51" s="582"/>
      <c r="AB51" s="55" t="s">
        <v>4789</v>
      </c>
      <c r="AC51" s="106">
        <v>17.25</v>
      </c>
      <c r="AD51" s="573"/>
      <c r="AE51" s="55" t="s">
        <v>5653</v>
      </c>
      <c r="AF51" s="106">
        <v>20.25</v>
      </c>
      <c r="AG51" s="582"/>
      <c r="AH51" s="55" t="s">
        <v>5583</v>
      </c>
      <c r="AI51" s="106">
        <v>15</v>
      </c>
      <c r="AJ51" s="582"/>
      <c r="AK51" s="55" t="s">
        <v>15</v>
      </c>
      <c r="AL51" s="106">
        <v>33.25</v>
      </c>
      <c r="AM51" s="582"/>
      <c r="AN51" s="55" t="s">
        <v>4204</v>
      </c>
      <c r="AO51" s="106">
        <v>17.25</v>
      </c>
      <c r="AP51" s="582"/>
      <c r="AQ51" s="55" t="s">
        <v>337</v>
      </c>
      <c r="AR51" s="106">
        <v>31.75</v>
      </c>
      <c r="AS51" s="582"/>
      <c r="AT51" s="55" t="s">
        <v>368</v>
      </c>
      <c r="AU51" s="106">
        <v>35.5</v>
      </c>
      <c r="AV51" s="582"/>
      <c r="AW51" s="55" t="s">
        <v>5323</v>
      </c>
      <c r="AX51" s="106">
        <v>5</v>
      </c>
      <c r="AY51" s="573"/>
      <c r="AZ51" s="55" t="s">
        <v>152</v>
      </c>
      <c r="BA51" s="106">
        <v>28.75</v>
      </c>
      <c r="BB51" s="582"/>
      <c r="BC51" s="56" t="s">
        <v>5223</v>
      </c>
      <c r="BD51" s="361">
        <v>3.5</v>
      </c>
      <c r="BE51" s="583"/>
    </row>
    <row r="52" spans="1:57" ht="15.75" thickBot="1" x14ac:dyDescent="0.3">
      <c r="A52" s="55" t="s">
        <v>198</v>
      </c>
      <c r="B52" s="106">
        <v>31.5</v>
      </c>
      <c r="C52" s="573"/>
      <c r="D52" s="55" t="s">
        <v>3761</v>
      </c>
      <c r="E52" s="106">
        <v>19.5</v>
      </c>
      <c r="F52" s="582"/>
      <c r="G52" s="55" t="s">
        <v>5380</v>
      </c>
      <c r="H52" s="106">
        <v>14</v>
      </c>
      <c r="I52" s="582"/>
      <c r="J52" s="55" t="s">
        <v>5369</v>
      </c>
      <c r="K52" s="106">
        <v>29.75</v>
      </c>
      <c r="L52" s="585"/>
      <c r="M52" s="56" t="s">
        <v>5076</v>
      </c>
      <c r="N52" s="361">
        <v>31</v>
      </c>
      <c r="O52" s="583"/>
      <c r="P52" s="55" t="s">
        <v>5352</v>
      </c>
      <c r="Q52" s="106">
        <v>12</v>
      </c>
      <c r="R52" s="582"/>
      <c r="S52" s="682" t="s">
        <v>2565</v>
      </c>
      <c r="T52" s="683">
        <v>16.25</v>
      </c>
      <c r="U52" s="581" t="s">
        <v>12663</v>
      </c>
      <c r="V52" s="55" t="s">
        <v>314</v>
      </c>
      <c r="W52" s="106">
        <v>7.5</v>
      </c>
      <c r="X52" s="573"/>
      <c r="Y52" s="56" t="s">
        <v>2946</v>
      </c>
      <c r="Z52" s="361">
        <v>19.75</v>
      </c>
      <c r="AA52" s="583"/>
      <c r="AB52" s="55" t="s">
        <v>5135</v>
      </c>
      <c r="AC52" s="106">
        <v>12.75</v>
      </c>
      <c r="AD52" s="573"/>
      <c r="AE52" s="55" t="s">
        <v>5068</v>
      </c>
      <c r="AF52" s="106">
        <v>20.25</v>
      </c>
      <c r="AG52" s="582"/>
      <c r="AH52" s="55" t="s">
        <v>5737</v>
      </c>
      <c r="AI52" s="106">
        <v>13.75</v>
      </c>
      <c r="AJ52" s="582"/>
      <c r="AK52" s="56" t="s">
        <v>5489</v>
      </c>
      <c r="AL52" s="361">
        <v>33</v>
      </c>
      <c r="AM52" s="583"/>
      <c r="AN52" s="55" t="s">
        <v>5697</v>
      </c>
      <c r="AO52" s="106">
        <v>17</v>
      </c>
      <c r="AP52" s="582"/>
      <c r="AQ52" s="55" t="s">
        <v>5703</v>
      </c>
      <c r="AR52" s="106">
        <v>8.25</v>
      </c>
      <c r="AS52" s="582"/>
      <c r="AT52" s="55" t="s">
        <v>343</v>
      </c>
      <c r="AU52" s="106">
        <v>35</v>
      </c>
      <c r="AV52" s="582"/>
      <c r="AW52" s="56" t="s">
        <v>5465</v>
      </c>
      <c r="AX52" s="361">
        <v>4.75</v>
      </c>
      <c r="AY52" s="574"/>
      <c r="AZ52" s="55" t="s">
        <v>234</v>
      </c>
      <c r="BA52" s="106">
        <v>28.25</v>
      </c>
      <c r="BB52" s="582"/>
      <c r="BC52" s="682" t="s">
        <v>5251</v>
      </c>
      <c r="BD52" s="683">
        <v>18.75</v>
      </c>
      <c r="BE52" s="581" t="s">
        <v>12664</v>
      </c>
    </row>
    <row r="53" spans="1:57" ht="15.75" thickBot="1" x14ac:dyDescent="0.3">
      <c r="A53" s="55" t="s">
        <v>198</v>
      </c>
      <c r="B53" s="106">
        <v>31.5</v>
      </c>
      <c r="C53" s="573"/>
      <c r="D53" s="55" t="s">
        <v>3850</v>
      </c>
      <c r="E53" s="106">
        <v>17.25</v>
      </c>
      <c r="F53" s="582"/>
      <c r="G53" s="55" t="s">
        <v>4387</v>
      </c>
      <c r="H53" s="106">
        <v>13.75</v>
      </c>
      <c r="I53" s="582"/>
      <c r="J53" s="55" t="s">
        <v>4410</v>
      </c>
      <c r="K53" s="106">
        <v>29.5</v>
      </c>
      <c r="L53" s="585"/>
      <c r="M53" s="682" t="s">
        <v>5194</v>
      </c>
      <c r="N53" s="683">
        <v>33.5</v>
      </c>
      <c r="O53" s="581" t="s">
        <v>12663</v>
      </c>
      <c r="P53" s="56" t="s">
        <v>5336</v>
      </c>
      <c r="Q53" s="361">
        <v>7</v>
      </c>
      <c r="R53" s="583"/>
      <c r="S53" s="55" t="s">
        <v>256</v>
      </c>
      <c r="T53" s="106">
        <v>16.25</v>
      </c>
      <c r="U53" s="582"/>
      <c r="V53" s="55" t="s">
        <v>4863</v>
      </c>
      <c r="W53" s="106">
        <v>5</v>
      </c>
      <c r="X53" s="573"/>
      <c r="Y53" s="682" t="s">
        <v>5084</v>
      </c>
      <c r="Z53" s="683">
        <v>20.25</v>
      </c>
      <c r="AA53" s="581" t="s">
        <v>12663</v>
      </c>
      <c r="AB53" s="55" t="s">
        <v>5579</v>
      </c>
      <c r="AC53" s="106">
        <v>7.75</v>
      </c>
      <c r="AD53" s="573"/>
      <c r="AE53" s="55" t="s">
        <v>5304</v>
      </c>
      <c r="AF53" s="106">
        <v>20.25</v>
      </c>
      <c r="AG53" s="582"/>
      <c r="AH53" s="56" t="s">
        <v>404</v>
      </c>
      <c r="AI53" s="361">
        <v>8</v>
      </c>
      <c r="AJ53" s="583"/>
      <c r="AK53" s="682" t="s">
        <v>5002</v>
      </c>
      <c r="AL53" s="683">
        <v>27.75</v>
      </c>
      <c r="AM53" s="581" t="s">
        <v>12663</v>
      </c>
      <c r="AN53" s="55" t="s">
        <v>5155</v>
      </c>
      <c r="AO53" s="106">
        <v>16.5</v>
      </c>
      <c r="AP53" s="582"/>
      <c r="AQ53" s="55" t="s">
        <v>5497</v>
      </c>
      <c r="AR53" s="106">
        <v>32</v>
      </c>
      <c r="AS53" s="582"/>
      <c r="AT53" s="55" t="s">
        <v>263</v>
      </c>
      <c r="AU53" s="106">
        <v>34.75</v>
      </c>
      <c r="AV53" s="582"/>
      <c r="AW53" s="682" t="s">
        <v>252</v>
      </c>
      <c r="AX53" s="683">
        <v>23</v>
      </c>
      <c r="AY53" s="581" t="s">
        <v>12664</v>
      </c>
      <c r="AZ53" s="56" t="s">
        <v>5267</v>
      </c>
      <c r="BA53" s="361">
        <v>21</v>
      </c>
      <c r="BB53" s="583"/>
      <c r="BC53" s="55" t="s">
        <v>402</v>
      </c>
      <c r="BD53" s="106">
        <v>18.5</v>
      </c>
      <c r="BE53" s="582"/>
    </row>
    <row r="54" spans="1:57" ht="15.75" thickBot="1" x14ac:dyDescent="0.3">
      <c r="A54" s="690" t="s">
        <v>178</v>
      </c>
      <c r="B54" s="691">
        <v>5.25</v>
      </c>
      <c r="C54" s="574"/>
      <c r="D54" s="55" t="s">
        <v>3323</v>
      </c>
      <c r="E54" s="106">
        <v>19.25</v>
      </c>
      <c r="F54" s="582"/>
      <c r="G54" s="55" t="s">
        <v>426</v>
      </c>
      <c r="H54" s="106">
        <v>9.75</v>
      </c>
      <c r="I54" s="582"/>
      <c r="J54" s="55" t="s">
        <v>3539</v>
      </c>
      <c r="K54" s="106">
        <v>28.75</v>
      </c>
      <c r="L54" s="585"/>
      <c r="M54" s="55" t="s">
        <v>5187</v>
      </c>
      <c r="N54" s="106">
        <v>32.5</v>
      </c>
      <c r="O54" s="582"/>
      <c r="P54" s="682" t="s">
        <v>4964</v>
      </c>
      <c r="Q54" s="683">
        <v>27.75</v>
      </c>
      <c r="R54" s="581" t="s">
        <v>12663</v>
      </c>
      <c r="S54" s="55" t="s">
        <v>4243</v>
      </c>
      <c r="T54" s="106">
        <v>16.25</v>
      </c>
      <c r="U54" s="582"/>
      <c r="V54" s="55" t="s">
        <v>168</v>
      </c>
      <c r="W54" s="106">
        <v>4.75</v>
      </c>
      <c r="X54" s="573"/>
      <c r="Y54" s="55" t="s">
        <v>4971</v>
      </c>
      <c r="Z54" s="106">
        <v>20</v>
      </c>
      <c r="AA54" s="582"/>
      <c r="AB54" s="55" t="s">
        <v>2569</v>
      </c>
      <c r="AC54" s="106">
        <v>16.75</v>
      </c>
      <c r="AD54" s="573"/>
      <c r="AE54" s="55" t="s">
        <v>5602</v>
      </c>
      <c r="AF54" s="106">
        <v>20</v>
      </c>
      <c r="AG54" s="582"/>
      <c r="AH54" s="682" t="s">
        <v>4104</v>
      </c>
      <c r="AI54" s="683">
        <v>17</v>
      </c>
      <c r="AJ54" s="581" t="s">
        <v>12663</v>
      </c>
      <c r="AK54" s="55" t="s">
        <v>3759</v>
      </c>
      <c r="AL54" s="106">
        <v>28</v>
      </c>
      <c r="AM54" s="582"/>
      <c r="AN54" s="55" t="s">
        <v>3148</v>
      </c>
      <c r="AO54" s="106">
        <v>16.25</v>
      </c>
      <c r="AP54" s="582"/>
      <c r="AQ54" s="55" t="s">
        <v>63</v>
      </c>
      <c r="AR54" s="106">
        <v>32.25</v>
      </c>
      <c r="AS54" s="582"/>
      <c r="AT54" s="56" t="s">
        <v>5483</v>
      </c>
      <c r="AU54" s="361">
        <v>27.75</v>
      </c>
      <c r="AV54" s="583"/>
      <c r="AW54" s="55" t="s">
        <v>4985</v>
      </c>
      <c r="AX54" s="106">
        <v>23</v>
      </c>
      <c r="AY54" s="582"/>
      <c r="AZ54" s="682" t="s">
        <v>457</v>
      </c>
      <c r="BA54" s="683">
        <v>28.25</v>
      </c>
      <c r="BB54" s="581" t="s">
        <v>12664</v>
      </c>
      <c r="BC54" s="55" t="s">
        <v>120</v>
      </c>
      <c r="BD54" s="106">
        <v>18.5</v>
      </c>
      <c r="BE54" s="582"/>
    </row>
    <row r="55" spans="1:57" ht="15.75" thickBot="1" x14ac:dyDescent="0.3">
      <c r="A55" s="465" t="s">
        <v>224</v>
      </c>
      <c r="B55" s="464">
        <v>31.75</v>
      </c>
      <c r="C55" s="572" t="s">
        <v>12664</v>
      </c>
      <c r="D55" s="56" t="s">
        <v>4078</v>
      </c>
      <c r="E55" s="361">
        <v>20</v>
      </c>
      <c r="F55" s="582"/>
      <c r="G55" s="56" t="s">
        <v>5021</v>
      </c>
      <c r="H55" s="361">
        <v>6</v>
      </c>
      <c r="I55" s="583"/>
      <c r="J55" s="56" t="s">
        <v>376</v>
      </c>
      <c r="K55" s="361">
        <v>18.25</v>
      </c>
      <c r="L55" s="586"/>
      <c r="M55" s="55" t="s">
        <v>154</v>
      </c>
      <c r="N55" s="106">
        <v>34.25</v>
      </c>
      <c r="O55" s="582"/>
      <c r="P55" s="55" t="s">
        <v>366</v>
      </c>
      <c r="Q55" s="106">
        <v>30.25</v>
      </c>
      <c r="R55" s="582"/>
      <c r="S55" s="55" t="s">
        <v>2671</v>
      </c>
      <c r="T55" s="106">
        <v>15</v>
      </c>
      <c r="U55" s="582"/>
      <c r="V55" s="55" t="s">
        <v>4735</v>
      </c>
      <c r="W55" s="106">
        <v>6.25</v>
      </c>
      <c r="X55" s="573"/>
      <c r="Y55" s="55" t="s">
        <v>973</v>
      </c>
      <c r="Z55" s="106">
        <v>19.75</v>
      </c>
      <c r="AA55" s="582"/>
      <c r="AB55" s="55" t="s">
        <v>4977</v>
      </c>
      <c r="AC55" s="106">
        <v>3</v>
      </c>
      <c r="AD55" s="573"/>
      <c r="AE55" s="56" t="s">
        <v>5727</v>
      </c>
      <c r="AF55" s="361">
        <v>5.25</v>
      </c>
      <c r="AG55" s="583"/>
      <c r="AH55" s="55" t="s">
        <v>3799</v>
      </c>
      <c r="AI55" s="106">
        <v>16.75</v>
      </c>
      <c r="AJ55" s="582"/>
      <c r="AK55" s="55" t="s">
        <v>5485</v>
      </c>
      <c r="AL55" s="106">
        <v>13.75</v>
      </c>
      <c r="AM55" s="582"/>
      <c r="AN55" s="55" t="s">
        <v>5163</v>
      </c>
      <c r="AO55" s="106">
        <v>15</v>
      </c>
      <c r="AP55" s="582"/>
      <c r="AQ55" s="56" t="s">
        <v>4211</v>
      </c>
      <c r="AR55" s="361">
        <v>32.25</v>
      </c>
      <c r="AS55" s="583"/>
      <c r="AT55" s="682" t="s">
        <v>368</v>
      </c>
      <c r="AU55" s="683">
        <v>35.5</v>
      </c>
      <c r="AV55" s="581" t="s">
        <v>12664</v>
      </c>
      <c r="AW55" s="55" t="s">
        <v>4975</v>
      </c>
      <c r="AX55" s="106">
        <v>22.75</v>
      </c>
      <c r="AY55" s="582"/>
      <c r="AZ55" s="55" t="s">
        <v>122</v>
      </c>
      <c r="BA55" s="106">
        <v>31.75</v>
      </c>
      <c r="BB55" s="582"/>
      <c r="BC55" s="55" t="s">
        <v>430</v>
      </c>
      <c r="BD55" s="106">
        <v>18.25</v>
      </c>
      <c r="BE55" s="582"/>
    </row>
    <row r="56" spans="1:57" x14ac:dyDescent="0.25">
      <c r="A56" s="55" t="s">
        <v>224</v>
      </c>
      <c r="B56" s="106">
        <v>31.75</v>
      </c>
      <c r="C56" s="573"/>
      <c r="D56" s="682" t="s">
        <v>4744</v>
      </c>
      <c r="E56" s="683">
        <v>21</v>
      </c>
      <c r="F56" s="581" t="s">
        <v>12663</v>
      </c>
      <c r="G56" s="682" t="s">
        <v>5008</v>
      </c>
      <c r="H56" s="683">
        <v>29.5</v>
      </c>
      <c r="I56" s="581" t="s">
        <v>12663</v>
      </c>
      <c r="J56" s="682" t="s">
        <v>4941</v>
      </c>
      <c r="K56" s="683">
        <v>10.75</v>
      </c>
      <c r="L56" s="581" t="s">
        <v>12663</v>
      </c>
      <c r="M56" s="55" t="s">
        <v>5272</v>
      </c>
      <c r="N56" s="106">
        <v>33.75</v>
      </c>
      <c r="O56" s="582"/>
      <c r="P56" s="55" t="s">
        <v>316</v>
      </c>
      <c r="Q56" s="106">
        <v>24</v>
      </c>
      <c r="R56" s="582"/>
      <c r="S56" s="55" t="s">
        <v>4412</v>
      </c>
      <c r="T56" s="106">
        <v>14.75</v>
      </c>
      <c r="U56" s="582"/>
      <c r="V56" s="55" t="s">
        <v>5179</v>
      </c>
      <c r="W56" s="106">
        <v>4</v>
      </c>
      <c r="X56" s="573"/>
      <c r="Y56" s="55" t="s">
        <v>4851</v>
      </c>
      <c r="Z56" s="106">
        <v>19.75</v>
      </c>
      <c r="AA56" s="582"/>
      <c r="AB56" s="55" t="s">
        <v>5313</v>
      </c>
      <c r="AC56" s="106">
        <v>16.75</v>
      </c>
      <c r="AD56" s="573"/>
      <c r="AE56" s="682" t="s">
        <v>5110</v>
      </c>
      <c r="AF56" s="683">
        <v>21.25</v>
      </c>
      <c r="AG56" s="581" t="s">
        <v>12664</v>
      </c>
      <c r="AH56" s="55" t="s">
        <v>50</v>
      </c>
      <c r="AI56" s="106">
        <v>16.75</v>
      </c>
      <c r="AJ56" s="582"/>
      <c r="AK56" s="55" t="s">
        <v>1600</v>
      </c>
      <c r="AL56" s="106">
        <v>28</v>
      </c>
      <c r="AM56" s="582"/>
      <c r="AN56" s="55" t="s">
        <v>5611</v>
      </c>
      <c r="AO56" s="106">
        <v>14.5</v>
      </c>
      <c r="AP56" s="582"/>
      <c r="AQ56" s="682" t="s">
        <v>63</v>
      </c>
      <c r="AR56" s="683">
        <v>32.25</v>
      </c>
      <c r="AS56" s="581" t="s">
        <v>12664</v>
      </c>
      <c r="AT56" s="55" t="s">
        <v>378</v>
      </c>
      <c r="AU56" s="106">
        <v>35</v>
      </c>
      <c r="AV56" s="582"/>
      <c r="AW56" s="55" t="s">
        <v>440</v>
      </c>
      <c r="AX56" s="106">
        <v>22.5</v>
      </c>
      <c r="AY56" s="582"/>
      <c r="AZ56" s="55" t="s">
        <v>319</v>
      </c>
      <c r="BA56" s="106">
        <v>29.75</v>
      </c>
      <c r="BB56" s="582"/>
      <c r="BC56" s="55" t="s">
        <v>763</v>
      </c>
      <c r="BD56" s="106">
        <v>18.25</v>
      </c>
      <c r="BE56" s="582"/>
    </row>
    <row r="57" spans="1:57" ht="15.75" thickBot="1" x14ac:dyDescent="0.3">
      <c r="A57" s="55" t="s">
        <v>198</v>
      </c>
      <c r="B57" s="106">
        <v>31.5</v>
      </c>
      <c r="C57" s="573"/>
      <c r="D57" s="55" t="s">
        <v>4078</v>
      </c>
      <c r="E57" s="106">
        <v>20</v>
      </c>
      <c r="F57" s="582"/>
      <c r="G57" s="55" t="s">
        <v>2766</v>
      </c>
      <c r="H57" s="106">
        <v>29</v>
      </c>
      <c r="I57" s="582"/>
      <c r="J57" s="55" t="s">
        <v>3790</v>
      </c>
      <c r="K57" s="106">
        <v>28.5</v>
      </c>
      <c r="L57" s="582"/>
      <c r="M57" s="56" t="s">
        <v>5137</v>
      </c>
      <c r="N57" s="361">
        <v>34</v>
      </c>
      <c r="O57" s="583"/>
      <c r="P57" s="55" t="s">
        <v>4824</v>
      </c>
      <c r="Q57" s="106">
        <v>28.75</v>
      </c>
      <c r="R57" s="582"/>
      <c r="S57" s="55" t="s">
        <v>4766</v>
      </c>
      <c r="T57" s="106">
        <v>14</v>
      </c>
      <c r="U57" s="582"/>
      <c r="V57" s="55" t="s">
        <v>4990</v>
      </c>
      <c r="W57" s="106">
        <v>4.75</v>
      </c>
      <c r="X57" s="573"/>
      <c r="Y57" s="55" t="s">
        <v>2946</v>
      </c>
      <c r="Z57" s="106">
        <v>19.75</v>
      </c>
      <c r="AA57" s="582"/>
      <c r="AB57" s="55" t="s">
        <v>673</v>
      </c>
      <c r="AC57" s="106">
        <v>18.25</v>
      </c>
      <c r="AD57" s="573"/>
      <c r="AE57" s="55" t="s">
        <v>393</v>
      </c>
      <c r="AF57" s="106">
        <v>21</v>
      </c>
      <c r="AG57" s="582"/>
      <c r="AH57" s="55" t="s">
        <v>87</v>
      </c>
      <c r="AI57" s="106">
        <v>16.5</v>
      </c>
      <c r="AJ57" s="582"/>
      <c r="AK57" s="55" t="s">
        <v>3868</v>
      </c>
      <c r="AL57" s="106">
        <v>27.75</v>
      </c>
      <c r="AM57" s="582"/>
      <c r="AN57" s="55" t="s">
        <v>5463</v>
      </c>
      <c r="AO57" s="106">
        <v>8.75</v>
      </c>
      <c r="AP57" s="582"/>
      <c r="AQ57" s="55" t="s">
        <v>4211</v>
      </c>
      <c r="AR57" s="106">
        <v>32.25</v>
      </c>
      <c r="AS57" s="582"/>
      <c r="AT57" s="55" t="s">
        <v>343</v>
      </c>
      <c r="AU57" s="106">
        <v>35</v>
      </c>
      <c r="AV57" s="582"/>
      <c r="AW57" s="55" t="s">
        <v>880</v>
      </c>
      <c r="AX57" s="106">
        <v>22.5</v>
      </c>
      <c r="AY57" s="582"/>
      <c r="AZ57" s="55" t="s">
        <v>152</v>
      </c>
      <c r="BA57" s="106">
        <v>28.75</v>
      </c>
      <c r="BB57" s="582"/>
      <c r="BC57" s="55" t="s">
        <v>376</v>
      </c>
      <c r="BD57" s="106">
        <v>18.25</v>
      </c>
      <c r="BE57" s="582"/>
    </row>
    <row r="58" spans="1:57" ht="15.75" thickBot="1" x14ac:dyDescent="0.3">
      <c r="A58" s="55" t="s">
        <v>198</v>
      </c>
      <c r="B58" s="106">
        <v>31.5</v>
      </c>
      <c r="C58" s="573"/>
      <c r="D58" s="55" t="s">
        <v>3761</v>
      </c>
      <c r="E58" s="106">
        <v>19.5</v>
      </c>
      <c r="F58" s="582"/>
      <c r="G58" s="55" t="s">
        <v>3790</v>
      </c>
      <c r="H58" s="106">
        <v>28.5</v>
      </c>
      <c r="I58" s="582"/>
      <c r="J58" s="55" t="s">
        <v>5260</v>
      </c>
      <c r="K58" s="106">
        <v>28.5</v>
      </c>
      <c r="L58" s="582"/>
      <c r="M58" s="682" t="s">
        <v>154</v>
      </c>
      <c r="N58" s="683">
        <v>34.25</v>
      </c>
      <c r="O58" s="581" t="s">
        <v>12663</v>
      </c>
      <c r="P58" s="55" t="s">
        <v>4756</v>
      </c>
      <c r="Q58" s="106">
        <v>28.75</v>
      </c>
      <c r="R58" s="582"/>
      <c r="S58" s="55" t="s">
        <v>2397</v>
      </c>
      <c r="T58" s="106">
        <v>13.75</v>
      </c>
      <c r="U58" s="582"/>
      <c r="V58" s="55" t="s">
        <v>5298</v>
      </c>
      <c r="W58" s="106">
        <v>5.75</v>
      </c>
      <c r="X58" s="573"/>
      <c r="Y58" s="55" t="s">
        <v>4865</v>
      </c>
      <c r="Z58" s="106">
        <v>19.5</v>
      </c>
      <c r="AA58" s="582"/>
      <c r="AB58" s="56" t="s">
        <v>5416</v>
      </c>
      <c r="AC58" s="361">
        <v>17.75</v>
      </c>
      <c r="AD58" s="574"/>
      <c r="AE58" s="55" t="s">
        <v>5557</v>
      </c>
      <c r="AF58" s="106">
        <v>17.5</v>
      </c>
      <c r="AG58" s="582"/>
      <c r="AH58" s="55" t="s">
        <v>4816</v>
      </c>
      <c r="AI58" s="106">
        <v>16.25</v>
      </c>
      <c r="AJ58" s="582"/>
      <c r="AK58" s="55" t="s">
        <v>5717</v>
      </c>
      <c r="AL58" s="106">
        <v>14.25</v>
      </c>
      <c r="AM58" s="582"/>
      <c r="AN58" s="55" t="s">
        <v>217</v>
      </c>
      <c r="AO58" s="106">
        <v>35.25</v>
      </c>
      <c r="AP58" s="582"/>
      <c r="AQ58" s="55" t="s">
        <v>5497</v>
      </c>
      <c r="AR58" s="106">
        <v>32</v>
      </c>
      <c r="AS58" s="582"/>
      <c r="AT58" s="55" t="s">
        <v>263</v>
      </c>
      <c r="AU58" s="106">
        <v>34.75</v>
      </c>
      <c r="AV58" s="582"/>
      <c r="AW58" s="55" t="s">
        <v>4551</v>
      </c>
      <c r="AX58" s="106">
        <v>22.25</v>
      </c>
      <c r="AY58" s="582"/>
      <c r="AZ58" s="55" t="s">
        <v>234</v>
      </c>
      <c r="BA58" s="106">
        <v>28.25</v>
      </c>
      <c r="BB58" s="582"/>
      <c r="BC58" s="55" t="s">
        <v>5706</v>
      </c>
      <c r="BD58" s="106">
        <v>18.25</v>
      </c>
      <c r="BE58" s="582"/>
    </row>
    <row r="59" spans="1:57" ht="15.75" thickBot="1" x14ac:dyDescent="0.3">
      <c r="A59" s="55" t="s">
        <v>254</v>
      </c>
      <c r="B59" s="106">
        <v>31</v>
      </c>
      <c r="C59" s="573"/>
      <c r="D59" s="55" t="s">
        <v>3323</v>
      </c>
      <c r="E59" s="106">
        <v>19.25</v>
      </c>
      <c r="F59" s="582"/>
      <c r="G59" s="55" t="s">
        <v>5260</v>
      </c>
      <c r="H59" s="106">
        <v>28.5</v>
      </c>
      <c r="I59" s="582"/>
      <c r="J59" s="55" t="s">
        <v>3939</v>
      </c>
      <c r="K59" s="106">
        <v>28.5</v>
      </c>
      <c r="L59" s="582"/>
      <c r="M59" s="55" t="s">
        <v>5137</v>
      </c>
      <c r="N59" s="106">
        <v>34</v>
      </c>
      <c r="O59" s="582"/>
      <c r="P59" s="56" t="s">
        <v>5035</v>
      </c>
      <c r="Q59" s="361">
        <v>28.5</v>
      </c>
      <c r="R59" s="583"/>
      <c r="S59" s="55" t="s">
        <v>4213</v>
      </c>
      <c r="T59" s="106">
        <v>13.75</v>
      </c>
      <c r="U59" s="582"/>
      <c r="V59" s="56" t="s">
        <v>5532</v>
      </c>
      <c r="W59" s="361">
        <v>3.5</v>
      </c>
      <c r="X59" s="574"/>
      <c r="Y59" s="55" t="s">
        <v>5285</v>
      </c>
      <c r="Z59" s="106">
        <v>19.5</v>
      </c>
      <c r="AA59" s="582"/>
      <c r="AB59" s="465" t="s">
        <v>5475</v>
      </c>
      <c r="AC59" s="464">
        <v>18.25</v>
      </c>
      <c r="AD59" s="572" t="s">
        <v>12663</v>
      </c>
      <c r="AE59" s="55" t="s">
        <v>282</v>
      </c>
      <c r="AF59" s="106">
        <v>21</v>
      </c>
      <c r="AG59" s="582"/>
      <c r="AH59" s="55" t="s">
        <v>193</v>
      </c>
      <c r="AI59" s="106">
        <v>16.25</v>
      </c>
      <c r="AJ59" s="582"/>
      <c r="AK59" s="56" t="s">
        <v>3012</v>
      </c>
      <c r="AL59" s="361">
        <v>28.5</v>
      </c>
      <c r="AM59" s="583"/>
      <c r="AN59" s="56" t="s">
        <v>5719</v>
      </c>
      <c r="AO59" s="361">
        <v>9.75</v>
      </c>
      <c r="AP59" s="583"/>
      <c r="AQ59" s="55" t="s">
        <v>337</v>
      </c>
      <c r="AR59" s="106">
        <v>31.75</v>
      </c>
      <c r="AS59" s="582"/>
      <c r="AT59" s="56" t="s">
        <v>5483</v>
      </c>
      <c r="AU59" s="361">
        <v>27.75</v>
      </c>
      <c r="AV59" s="583"/>
      <c r="AW59" s="55" t="s">
        <v>5190</v>
      </c>
      <c r="AX59" s="106">
        <v>22</v>
      </c>
      <c r="AY59" s="582"/>
      <c r="AZ59" s="56" t="s">
        <v>5267</v>
      </c>
      <c r="BA59" s="361">
        <v>21</v>
      </c>
      <c r="BB59" s="583"/>
      <c r="BC59" s="55" t="s">
        <v>837</v>
      </c>
      <c r="BD59" s="106">
        <v>18</v>
      </c>
      <c r="BE59" s="582"/>
    </row>
    <row r="60" spans="1:57" ht="15.75" thickBot="1" x14ac:dyDescent="0.3">
      <c r="A60" s="688" t="s">
        <v>3066</v>
      </c>
      <c r="B60" s="689">
        <v>5.25</v>
      </c>
      <c r="C60" s="573"/>
      <c r="D60" s="55" t="s">
        <v>3901</v>
      </c>
      <c r="E60" s="106">
        <v>19</v>
      </c>
      <c r="F60" s="582"/>
      <c r="G60" s="55" t="s">
        <v>3939</v>
      </c>
      <c r="H60" s="106">
        <v>28.5</v>
      </c>
      <c r="I60" s="582"/>
      <c r="J60" s="55" t="s">
        <v>5008</v>
      </c>
      <c r="K60" s="106">
        <v>29.5</v>
      </c>
      <c r="L60" s="582"/>
      <c r="M60" s="55" t="s">
        <v>5272</v>
      </c>
      <c r="N60" s="106">
        <v>33.75</v>
      </c>
      <c r="O60" s="582"/>
      <c r="P60" s="682" t="s">
        <v>366</v>
      </c>
      <c r="Q60" s="683">
        <v>30.25</v>
      </c>
      <c r="R60" s="581" t="s">
        <v>12663</v>
      </c>
      <c r="S60" s="55" t="s">
        <v>3780</v>
      </c>
      <c r="T60" s="106">
        <v>12.5</v>
      </c>
      <c r="U60" s="582"/>
      <c r="V60" s="465" t="s">
        <v>1933</v>
      </c>
      <c r="W60" s="464">
        <v>33.75</v>
      </c>
      <c r="X60" s="572" t="s">
        <v>12663</v>
      </c>
      <c r="Y60" s="55" t="s">
        <v>2079</v>
      </c>
      <c r="Z60" s="106">
        <v>19</v>
      </c>
      <c r="AA60" s="582"/>
      <c r="AB60" s="55" t="s">
        <v>673</v>
      </c>
      <c r="AC60" s="106">
        <v>18.25</v>
      </c>
      <c r="AD60" s="573"/>
      <c r="AE60" s="55" t="s">
        <v>5358</v>
      </c>
      <c r="AF60" s="106">
        <v>22.25</v>
      </c>
      <c r="AG60" s="582"/>
      <c r="AH60" s="55" t="s">
        <v>5321</v>
      </c>
      <c r="AI60" s="106">
        <v>16.25</v>
      </c>
      <c r="AJ60" s="582"/>
      <c r="AK60" s="682" t="s">
        <v>3012</v>
      </c>
      <c r="AL60" s="683">
        <v>28.5</v>
      </c>
      <c r="AM60" s="581" t="s">
        <v>12663</v>
      </c>
      <c r="AN60" s="682" t="s">
        <v>195</v>
      </c>
      <c r="AO60" s="683">
        <v>17.75</v>
      </c>
      <c r="AP60" s="581" t="s">
        <v>12664</v>
      </c>
      <c r="AQ60" s="55" t="s">
        <v>364</v>
      </c>
      <c r="AR60" s="106">
        <v>31.5</v>
      </c>
      <c r="AS60" s="582"/>
      <c r="AT60" s="682" t="s">
        <v>368</v>
      </c>
      <c r="AU60" s="683">
        <v>35.5</v>
      </c>
      <c r="AV60" s="581" t="s">
        <v>12664</v>
      </c>
      <c r="AW60" s="56" t="s">
        <v>4508</v>
      </c>
      <c r="AX60" s="361">
        <v>10</v>
      </c>
      <c r="AY60" s="583"/>
      <c r="AZ60" s="682" t="s">
        <v>457</v>
      </c>
      <c r="BA60" s="683">
        <v>28.25</v>
      </c>
      <c r="BB60" s="581" t="s">
        <v>12664</v>
      </c>
      <c r="BC60" s="55" t="s">
        <v>5570</v>
      </c>
      <c r="BD60" s="106">
        <v>17.75</v>
      </c>
      <c r="BE60" s="582"/>
    </row>
    <row r="61" spans="1:57" ht="15.75" thickBot="1" x14ac:dyDescent="0.3">
      <c r="A61" s="690" t="s">
        <v>178</v>
      </c>
      <c r="B61" s="691">
        <v>5.25</v>
      </c>
      <c r="C61" s="574"/>
      <c r="D61" s="55" t="s">
        <v>841</v>
      </c>
      <c r="E61" s="106">
        <v>18.5</v>
      </c>
      <c r="F61" s="582"/>
      <c r="G61" s="55" t="s">
        <v>4793</v>
      </c>
      <c r="H61" s="106">
        <v>13.25</v>
      </c>
      <c r="I61" s="582"/>
      <c r="J61" s="55" t="s">
        <v>4793</v>
      </c>
      <c r="K61" s="106">
        <v>13.25</v>
      </c>
      <c r="L61" s="582"/>
      <c r="M61" s="55" t="s">
        <v>5194</v>
      </c>
      <c r="N61" s="106">
        <v>33.5</v>
      </c>
      <c r="O61" s="582"/>
      <c r="P61" s="55" t="s">
        <v>4824</v>
      </c>
      <c r="Q61" s="106">
        <v>28.75</v>
      </c>
      <c r="R61" s="582"/>
      <c r="S61" s="55" t="s">
        <v>3739</v>
      </c>
      <c r="T61" s="106">
        <v>12.25</v>
      </c>
      <c r="U61" s="582"/>
      <c r="V61" s="55" t="s">
        <v>339</v>
      </c>
      <c r="W61" s="106">
        <v>32.5</v>
      </c>
      <c r="X61" s="573"/>
      <c r="Y61" s="56" t="s">
        <v>5411</v>
      </c>
      <c r="Z61" s="361">
        <v>10.5</v>
      </c>
      <c r="AA61" s="583"/>
      <c r="AB61" s="55" t="s">
        <v>5416</v>
      </c>
      <c r="AC61" s="106">
        <v>17.75</v>
      </c>
      <c r="AD61" s="573"/>
      <c r="AE61" s="55" t="s">
        <v>5255</v>
      </c>
      <c r="AF61" s="106">
        <v>21.25</v>
      </c>
      <c r="AG61" s="582"/>
      <c r="AH61" s="55" t="s">
        <v>2024</v>
      </c>
      <c r="AI61" s="106">
        <v>15.5</v>
      </c>
      <c r="AJ61" s="582"/>
      <c r="AK61" s="55" t="s">
        <v>3759</v>
      </c>
      <c r="AL61" s="106">
        <v>28</v>
      </c>
      <c r="AM61" s="582"/>
      <c r="AN61" s="55" t="s">
        <v>4204</v>
      </c>
      <c r="AO61" s="106">
        <v>17.25</v>
      </c>
      <c r="AP61" s="582"/>
      <c r="AQ61" s="56" t="s">
        <v>5703</v>
      </c>
      <c r="AR61" s="361">
        <v>8.25</v>
      </c>
      <c r="AS61" s="583"/>
      <c r="AT61" s="55" t="s">
        <v>378</v>
      </c>
      <c r="AU61" s="106">
        <v>35</v>
      </c>
      <c r="AV61" s="582"/>
      <c r="AW61" s="682" t="s">
        <v>252</v>
      </c>
      <c r="AX61" s="683">
        <v>23</v>
      </c>
      <c r="AY61" s="581" t="s">
        <v>12664</v>
      </c>
      <c r="AZ61" s="55" t="s">
        <v>122</v>
      </c>
      <c r="BA61" s="106">
        <v>31.75</v>
      </c>
      <c r="BB61" s="582"/>
      <c r="BC61" s="56" t="s">
        <v>5223</v>
      </c>
      <c r="BD61" s="361">
        <v>3.5</v>
      </c>
      <c r="BE61" s="583"/>
    </row>
    <row r="62" spans="1:57" ht="15.75" thickBot="1" x14ac:dyDescent="0.3">
      <c r="A62" s="362" t="s">
        <v>5317</v>
      </c>
      <c r="B62" s="363">
        <v>25.25</v>
      </c>
      <c r="C62" s="581" t="s">
        <v>12663</v>
      </c>
      <c r="D62" s="55" t="s">
        <v>3557</v>
      </c>
      <c r="E62" s="106">
        <v>17.75</v>
      </c>
      <c r="F62" s="582"/>
      <c r="G62" s="56" t="s">
        <v>4941</v>
      </c>
      <c r="H62" s="361">
        <v>10.75</v>
      </c>
      <c r="I62" s="583"/>
      <c r="J62" s="56" t="s">
        <v>2766</v>
      </c>
      <c r="K62" s="361">
        <v>29</v>
      </c>
      <c r="L62" s="583"/>
      <c r="M62" s="56" t="s">
        <v>5187</v>
      </c>
      <c r="N62" s="361">
        <v>32.5</v>
      </c>
      <c r="O62" s="583"/>
      <c r="P62" s="55" t="s">
        <v>4756</v>
      </c>
      <c r="Q62" s="106">
        <v>28.75</v>
      </c>
      <c r="R62" s="582"/>
      <c r="S62" s="55" t="s">
        <v>3553</v>
      </c>
      <c r="T62" s="106">
        <v>12.25</v>
      </c>
      <c r="U62" s="582"/>
      <c r="V62" s="55" t="s">
        <v>419</v>
      </c>
      <c r="W62" s="106">
        <v>31.75</v>
      </c>
      <c r="X62" s="573"/>
      <c r="Y62" s="682" t="s">
        <v>615</v>
      </c>
      <c r="Z62" s="683">
        <v>18.75</v>
      </c>
      <c r="AA62" s="581" t="s">
        <v>12663</v>
      </c>
      <c r="AB62" s="55" t="s">
        <v>5291</v>
      </c>
      <c r="AC62" s="106">
        <v>17.5</v>
      </c>
      <c r="AD62" s="573"/>
      <c r="AE62" s="55" t="s">
        <v>4999</v>
      </c>
      <c r="AF62" s="106">
        <v>21.5</v>
      </c>
      <c r="AG62" s="582"/>
      <c r="AH62" s="55" t="s">
        <v>5583</v>
      </c>
      <c r="AI62" s="106">
        <v>15</v>
      </c>
      <c r="AJ62" s="582"/>
      <c r="AK62" s="55" t="s">
        <v>1600</v>
      </c>
      <c r="AL62" s="106">
        <v>28</v>
      </c>
      <c r="AM62" s="582"/>
      <c r="AN62" s="55" t="s">
        <v>5697</v>
      </c>
      <c r="AO62" s="106">
        <v>17</v>
      </c>
      <c r="AP62" s="582"/>
      <c r="AQ62" s="682" t="s">
        <v>63</v>
      </c>
      <c r="AR62" s="683">
        <v>32.25</v>
      </c>
      <c r="AS62" s="581" t="s">
        <v>12664</v>
      </c>
      <c r="AT62" s="55" t="s">
        <v>343</v>
      </c>
      <c r="AU62" s="106">
        <v>35</v>
      </c>
      <c r="AV62" s="582"/>
      <c r="AW62" s="55" t="s">
        <v>4985</v>
      </c>
      <c r="AX62" s="106">
        <v>23</v>
      </c>
      <c r="AY62" s="582"/>
      <c r="AZ62" s="55" t="s">
        <v>319</v>
      </c>
      <c r="BA62" s="106">
        <v>29.75</v>
      </c>
      <c r="BB62" s="582"/>
      <c r="BC62" s="682" t="s">
        <v>4054</v>
      </c>
      <c r="BD62" s="683">
        <v>19.5</v>
      </c>
      <c r="BE62" s="581" t="s">
        <v>12664</v>
      </c>
    </row>
    <row r="63" spans="1:57" ht="15.75" thickBot="1" x14ac:dyDescent="0.3">
      <c r="A63" s="89" t="s">
        <v>5196</v>
      </c>
      <c r="B63" s="91">
        <v>25.25</v>
      </c>
      <c r="C63" s="582"/>
      <c r="D63" s="55" t="s">
        <v>3850</v>
      </c>
      <c r="E63" s="106">
        <v>17.25</v>
      </c>
      <c r="F63" s="582"/>
      <c r="G63" s="465" t="s">
        <v>4772</v>
      </c>
      <c r="H63" s="464">
        <v>19.25</v>
      </c>
      <c r="I63" s="572" t="s">
        <v>12663</v>
      </c>
      <c r="J63" s="362" t="s">
        <v>5317</v>
      </c>
      <c r="K63" s="363">
        <v>25.25</v>
      </c>
      <c r="L63" s="581" t="s">
        <v>12663</v>
      </c>
      <c r="M63" s="682" t="s">
        <v>154</v>
      </c>
      <c r="N63" s="683">
        <v>34.25</v>
      </c>
      <c r="O63" s="581" t="s">
        <v>12663</v>
      </c>
      <c r="P63" s="55" t="s">
        <v>5035</v>
      </c>
      <c r="Q63" s="106">
        <v>28.5</v>
      </c>
      <c r="R63" s="582"/>
      <c r="S63" s="55" t="s">
        <v>3526</v>
      </c>
      <c r="T63" s="106">
        <v>6.75</v>
      </c>
      <c r="U63" s="582"/>
      <c r="V63" s="55" t="s">
        <v>457</v>
      </c>
      <c r="W63" s="106">
        <v>28.25</v>
      </c>
      <c r="X63" s="573"/>
      <c r="Y63" s="55" t="s">
        <v>1169</v>
      </c>
      <c r="Z63" s="106">
        <v>18.75</v>
      </c>
      <c r="AA63" s="582"/>
      <c r="AB63" s="697" t="s">
        <v>853</v>
      </c>
      <c r="AC63" s="106">
        <v>17.25</v>
      </c>
      <c r="AD63" s="573"/>
      <c r="AE63" s="56" t="s">
        <v>2061</v>
      </c>
      <c r="AF63" s="361">
        <v>22.25</v>
      </c>
      <c r="AG63" s="583"/>
      <c r="AH63" s="55" t="s">
        <v>5737</v>
      </c>
      <c r="AI63" s="106">
        <v>13.75</v>
      </c>
      <c r="AJ63" s="582"/>
      <c r="AK63" s="55" t="s">
        <v>5002</v>
      </c>
      <c r="AL63" s="106">
        <v>27.75</v>
      </c>
      <c r="AM63" s="582"/>
      <c r="AN63" s="55" t="s">
        <v>5155</v>
      </c>
      <c r="AO63" s="106">
        <v>16.5</v>
      </c>
      <c r="AP63" s="582"/>
      <c r="AQ63" s="55" t="s">
        <v>4211</v>
      </c>
      <c r="AR63" s="106">
        <v>32.25</v>
      </c>
      <c r="AS63" s="582"/>
      <c r="AT63" s="55" t="s">
        <v>263</v>
      </c>
      <c r="AU63" s="106">
        <v>34.75</v>
      </c>
      <c r="AV63" s="582"/>
      <c r="AW63" s="55" t="s">
        <v>4975</v>
      </c>
      <c r="AX63" s="106">
        <v>22.75</v>
      </c>
      <c r="AY63" s="582"/>
      <c r="AZ63" s="55" t="s">
        <v>152</v>
      </c>
      <c r="BA63" s="106">
        <v>28.75</v>
      </c>
      <c r="BB63" s="582"/>
      <c r="BC63" s="55" t="s">
        <v>5507</v>
      </c>
      <c r="BD63" s="106">
        <v>19.5</v>
      </c>
      <c r="BE63" s="582"/>
    </row>
    <row r="64" spans="1:57" ht="15.75" thickBot="1" x14ac:dyDescent="0.3">
      <c r="A64" s="90" t="s">
        <v>4814</v>
      </c>
      <c r="B64" s="359">
        <v>25</v>
      </c>
      <c r="C64" s="582"/>
      <c r="D64" s="55" t="s">
        <v>5371</v>
      </c>
      <c r="E64" s="106">
        <v>8.25</v>
      </c>
      <c r="F64" s="582"/>
      <c r="G64" s="55" t="s">
        <v>5091</v>
      </c>
      <c r="H64" s="106">
        <v>19.25</v>
      </c>
      <c r="I64" s="573"/>
      <c r="J64" s="55" t="s">
        <v>5072</v>
      </c>
      <c r="K64" s="106">
        <v>24.5</v>
      </c>
      <c r="L64" s="582"/>
      <c r="M64" s="55" t="s">
        <v>5137</v>
      </c>
      <c r="N64" s="106">
        <v>34</v>
      </c>
      <c r="O64" s="582"/>
      <c r="P64" s="55" t="s">
        <v>4964</v>
      </c>
      <c r="Q64" s="106">
        <v>27.75</v>
      </c>
      <c r="R64" s="582"/>
      <c r="S64" s="56" t="s">
        <v>4770</v>
      </c>
      <c r="T64" s="361">
        <v>4.25</v>
      </c>
      <c r="U64" s="583"/>
      <c r="V64" s="55" t="s">
        <v>314</v>
      </c>
      <c r="W64" s="106">
        <v>7.5</v>
      </c>
      <c r="X64" s="573"/>
      <c r="Y64" s="55" t="s">
        <v>575</v>
      </c>
      <c r="Z64" s="106">
        <v>18.75</v>
      </c>
      <c r="AA64" s="582"/>
      <c r="AB64" s="697" t="s">
        <v>4789</v>
      </c>
      <c r="AC64" s="106">
        <v>17.25</v>
      </c>
      <c r="AD64" s="573"/>
      <c r="AE64" s="682" t="s">
        <v>5358</v>
      </c>
      <c r="AF64" s="683">
        <v>22.25</v>
      </c>
      <c r="AG64" s="581" t="s">
        <v>12664</v>
      </c>
      <c r="AH64" s="56" t="s">
        <v>404</v>
      </c>
      <c r="AI64" s="361">
        <v>8</v>
      </c>
      <c r="AJ64" s="583"/>
      <c r="AK64" s="55" t="s">
        <v>3868</v>
      </c>
      <c r="AL64" s="106">
        <v>27.75</v>
      </c>
      <c r="AM64" s="582"/>
      <c r="AN64" s="55" t="s">
        <v>3148</v>
      </c>
      <c r="AO64" s="106">
        <v>16.25</v>
      </c>
      <c r="AP64" s="582"/>
      <c r="AQ64" s="55" t="s">
        <v>5497</v>
      </c>
      <c r="AR64" s="106">
        <v>32</v>
      </c>
      <c r="AS64" s="582"/>
      <c r="AT64" s="56" t="s">
        <v>5483</v>
      </c>
      <c r="AU64" s="361">
        <v>27.75</v>
      </c>
      <c r="AV64" s="583"/>
      <c r="AW64" s="55" t="s">
        <v>440</v>
      </c>
      <c r="AX64" s="106">
        <v>22.5</v>
      </c>
      <c r="AY64" s="582"/>
      <c r="AZ64" s="55" t="s">
        <v>234</v>
      </c>
      <c r="BA64" s="106">
        <v>28.25</v>
      </c>
      <c r="BB64" s="582"/>
      <c r="BC64" s="55" t="s">
        <v>4363</v>
      </c>
      <c r="BD64" s="106">
        <v>10.25</v>
      </c>
      <c r="BE64" s="582"/>
    </row>
    <row r="65" spans="1:57" ht="15.75" thickBot="1" x14ac:dyDescent="0.3">
      <c r="A65" s="90" t="s">
        <v>5395</v>
      </c>
      <c r="B65" s="359">
        <v>25</v>
      </c>
      <c r="C65" s="582"/>
      <c r="D65" s="56" t="s">
        <v>5551</v>
      </c>
      <c r="E65" s="361">
        <v>7.5</v>
      </c>
      <c r="F65" s="583"/>
      <c r="G65" s="55" t="s">
        <v>397</v>
      </c>
      <c r="H65" s="106">
        <v>19.25</v>
      </c>
      <c r="I65" s="573"/>
      <c r="J65" s="90" t="s">
        <v>4814</v>
      </c>
      <c r="K65" s="359">
        <v>25</v>
      </c>
      <c r="L65" s="582"/>
      <c r="M65" s="55" t="s">
        <v>5272</v>
      </c>
      <c r="N65" s="106">
        <v>33.75</v>
      </c>
      <c r="O65" s="582"/>
      <c r="P65" s="56" t="s">
        <v>316</v>
      </c>
      <c r="Q65" s="361">
        <v>24</v>
      </c>
      <c r="R65" s="583"/>
      <c r="V65" s="55" t="s">
        <v>4735</v>
      </c>
      <c r="W65" s="106">
        <v>6.25</v>
      </c>
      <c r="X65" s="573"/>
      <c r="Y65" s="55" t="s">
        <v>4891</v>
      </c>
      <c r="Z65" s="106">
        <v>18.75</v>
      </c>
      <c r="AA65" s="582"/>
      <c r="AB65" s="697" t="s">
        <v>2569</v>
      </c>
      <c r="AC65" s="106">
        <v>16.75</v>
      </c>
      <c r="AD65" s="573"/>
      <c r="AE65" s="55" t="s">
        <v>2061</v>
      </c>
      <c r="AF65" s="106">
        <v>22.25</v>
      </c>
      <c r="AG65" s="582"/>
      <c r="AH65" s="682" t="s">
        <v>279</v>
      </c>
      <c r="AI65" s="683">
        <v>33.75</v>
      </c>
      <c r="AJ65" s="581" t="s">
        <v>12663</v>
      </c>
      <c r="AK65" s="55" t="s">
        <v>5717</v>
      </c>
      <c r="AL65" s="106">
        <v>14.25</v>
      </c>
      <c r="AM65" s="582"/>
      <c r="AN65" s="55" t="s">
        <v>5163</v>
      </c>
      <c r="AO65" s="106">
        <v>15</v>
      </c>
      <c r="AP65" s="582"/>
      <c r="AQ65" s="55" t="s">
        <v>337</v>
      </c>
      <c r="AR65" s="106">
        <v>31.75</v>
      </c>
      <c r="AS65" s="582"/>
      <c r="AT65" s="682" t="s">
        <v>368</v>
      </c>
      <c r="AU65" s="683">
        <v>35.5</v>
      </c>
      <c r="AV65" s="581" t="s">
        <v>12664</v>
      </c>
      <c r="AW65" s="55" t="s">
        <v>880</v>
      </c>
      <c r="AX65" s="106">
        <v>22.5</v>
      </c>
      <c r="AY65" s="582"/>
      <c r="AZ65" s="56" t="s">
        <v>5267</v>
      </c>
      <c r="BA65" s="361">
        <v>21</v>
      </c>
      <c r="BB65" s="583"/>
      <c r="BC65" s="55" t="s">
        <v>5658</v>
      </c>
      <c r="BD65" s="106">
        <v>19.75</v>
      </c>
      <c r="BE65" s="582"/>
    </row>
    <row r="66" spans="1:57" ht="15.75" thickBot="1" x14ac:dyDescent="0.3">
      <c r="A66" s="90" t="s">
        <v>4849</v>
      </c>
      <c r="B66" s="359">
        <v>25</v>
      </c>
      <c r="C66" s="582"/>
      <c r="D66" s="465" t="s">
        <v>4772</v>
      </c>
      <c r="E66" s="464">
        <v>19.25</v>
      </c>
      <c r="F66" s="572" t="s">
        <v>12663</v>
      </c>
      <c r="G66" s="55" t="s">
        <v>5591</v>
      </c>
      <c r="H66" s="106">
        <v>19.25</v>
      </c>
      <c r="I66" s="573"/>
      <c r="J66" s="90" t="s">
        <v>5395</v>
      </c>
      <c r="K66" s="359">
        <v>25</v>
      </c>
      <c r="L66" s="582"/>
      <c r="M66" s="55" t="s">
        <v>5194</v>
      </c>
      <c r="N66" s="106">
        <v>33.5</v>
      </c>
      <c r="O66" s="582"/>
      <c r="P66" s="682" t="s">
        <v>366</v>
      </c>
      <c r="Q66" s="683">
        <v>30.25</v>
      </c>
      <c r="R66" s="581" t="s">
        <v>12663</v>
      </c>
      <c r="V66" s="55" t="s">
        <v>5298</v>
      </c>
      <c r="W66" s="106">
        <v>5.75</v>
      </c>
      <c r="X66" s="573"/>
      <c r="Y66" s="55" t="s">
        <v>5543</v>
      </c>
      <c r="Z66" s="106">
        <v>18.75</v>
      </c>
      <c r="AA66" s="582"/>
      <c r="AB66" s="697" t="s">
        <v>5313</v>
      </c>
      <c r="AC66" s="106">
        <v>16.75</v>
      </c>
      <c r="AD66" s="573"/>
      <c r="AE66" s="55" t="s">
        <v>4999</v>
      </c>
      <c r="AF66" s="106">
        <v>21.5</v>
      </c>
      <c r="AG66" s="582"/>
      <c r="AH66" s="55" t="s">
        <v>97</v>
      </c>
      <c r="AI66" s="106">
        <v>33.5</v>
      </c>
      <c r="AJ66" s="582"/>
      <c r="AK66" s="56" t="s">
        <v>5485</v>
      </c>
      <c r="AL66" s="361">
        <v>13.75</v>
      </c>
      <c r="AM66" s="583"/>
      <c r="AN66" s="55" t="s">
        <v>5611</v>
      </c>
      <c r="AO66" s="106">
        <v>14.5</v>
      </c>
      <c r="AP66" s="582"/>
      <c r="AQ66" s="55" t="s">
        <v>364</v>
      </c>
      <c r="AR66" s="106">
        <v>31.5</v>
      </c>
      <c r="AS66" s="582"/>
      <c r="AT66" s="55" t="s">
        <v>378</v>
      </c>
      <c r="AU66" s="106">
        <v>35</v>
      </c>
      <c r="AV66" s="582"/>
      <c r="AW66" s="55" t="s">
        <v>4551</v>
      </c>
      <c r="AX66" s="106">
        <v>22.25</v>
      </c>
      <c r="AY66" s="582"/>
      <c r="AZ66" s="682" t="s">
        <v>457</v>
      </c>
      <c r="BA66" s="683">
        <v>28.25</v>
      </c>
      <c r="BB66" s="581" t="s">
        <v>12664</v>
      </c>
      <c r="BC66" s="55" t="s">
        <v>288</v>
      </c>
      <c r="BD66" s="106">
        <v>19.25</v>
      </c>
      <c r="BE66" s="582"/>
    </row>
    <row r="67" spans="1:57" ht="15.75" thickBot="1" x14ac:dyDescent="0.3">
      <c r="A67" s="55" t="s">
        <v>5072</v>
      </c>
      <c r="B67" s="106">
        <v>24.5</v>
      </c>
      <c r="C67" s="582"/>
      <c r="D67" s="55" t="s">
        <v>5091</v>
      </c>
      <c r="E67" s="106">
        <v>19.25</v>
      </c>
      <c r="F67" s="573"/>
      <c r="G67" s="55" t="s">
        <v>820</v>
      </c>
      <c r="H67" s="106">
        <v>19.25</v>
      </c>
      <c r="I67" s="573"/>
      <c r="J67" s="89" t="s">
        <v>5196</v>
      </c>
      <c r="K67" s="91">
        <v>25.25</v>
      </c>
      <c r="L67" s="582"/>
      <c r="M67" s="56" t="s">
        <v>5187</v>
      </c>
      <c r="N67" s="361">
        <v>32.5</v>
      </c>
      <c r="O67" s="583"/>
      <c r="P67" s="55" t="s">
        <v>4824</v>
      </c>
      <c r="Q67" s="106">
        <v>28.75</v>
      </c>
      <c r="R67" s="582"/>
      <c r="V67" s="55" t="s">
        <v>4863</v>
      </c>
      <c r="W67" s="106">
        <v>5</v>
      </c>
      <c r="X67" s="573"/>
      <c r="Y67" s="55" t="s">
        <v>5495</v>
      </c>
      <c r="Z67" s="106">
        <v>18.75</v>
      </c>
      <c r="AA67" s="582"/>
      <c r="AB67" s="697" t="s">
        <v>5135</v>
      </c>
      <c r="AC67" s="106">
        <v>12.75</v>
      </c>
      <c r="AD67" s="573"/>
      <c r="AE67" s="55" t="s">
        <v>5110</v>
      </c>
      <c r="AF67" s="106">
        <v>21.25</v>
      </c>
      <c r="AG67" s="582"/>
      <c r="AH67" s="55" t="s">
        <v>232</v>
      </c>
      <c r="AI67" s="106">
        <v>30.25</v>
      </c>
      <c r="AJ67" s="582"/>
      <c r="AK67" s="682" t="s">
        <v>3012</v>
      </c>
      <c r="AL67" s="683">
        <v>28.5</v>
      </c>
      <c r="AM67" s="581" t="s">
        <v>12663</v>
      </c>
      <c r="AN67" s="55" t="s">
        <v>5463</v>
      </c>
      <c r="AO67" s="106">
        <v>8.75</v>
      </c>
      <c r="AP67" s="582"/>
      <c r="AQ67" s="56" t="s">
        <v>5703</v>
      </c>
      <c r="AR67" s="361">
        <v>8.25</v>
      </c>
      <c r="AS67" s="583"/>
      <c r="AT67" s="55" t="s">
        <v>343</v>
      </c>
      <c r="AU67" s="106">
        <v>35</v>
      </c>
      <c r="AV67" s="582"/>
      <c r="AW67" s="55" t="s">
        <v>5190</v>
      </c>
      <c r="AX67" s="106">
        <v>22</v>
      </c>
      <c r="AY67" s="582"/>
      <c r="AZ67" s="55" t="s">
        <v>122</v>
      </c>
      <c r="BA67" s="106">
        <v>31.75</v>
      </c>
      <c r="BB67" s="582"/>
      <c r="BC67" s="55" t="s">
        <v>157</v>
      </c>
      <c r="BD67" s="106">
        <v>19.75</v>
      </c>
      <c r="BE67" s="582"/>
    </row>
    <row r="68" spans="1:57" ht="15.75" thickBot="1" x14ac:dyDescent="0.3">
      <c r="A68" s="56" t="s">
        <v>837</v>
      </c>
      <c r="B68" s="361">
        <v>18</v>
      </c>
      <c r="C68" s="583"/>
      <c r="D68" s="55" t="s">
        <v>397</v>
      </c>
      <c r="E68" s="106">
        <v>19.25</v>
      </c>
      <c r="F68" s="573"/>
      <c r="G68" s="55" t="s">
        <v>4847</v>
      </c>
      <c r="H68" s="106">
        <v>19.25</v>
      </c>
      <c r="I68" s="573"/>
      <c r="J68" s="90" t="s">
        <v>4849</v>
      </c>
      <c r="K68" s="359">
        <v>25</v>
      </c>
      <c r="L68" s="582"/>
      <c r="M68" s="682" t="s">
        <v>366</v>
      </c>
      <c r="N68" s="683">
        <v>30.25</v>
      </c>
      <c r="O68" s="581" t="s">
        <v>12663</v>
      </c>
      <c r="P68" s="55" t="s">
        <v>4756</v>
      </c>
      <c r="Q68" s="106">
        <v>28.75</v>
      </c>
      <c r="R68" s="582"/>
      <c r="V68" s="55" t="s">
        <v>168</v>
      </c>
      <c r="W68" s="106">
        <v>4.75</v>
      </c>
      <c r="X68" s="573"/>
      <c r="Y68" s="55" t="s">
        <v>5363</v>
      </c>
      <c r="Z68" s="106">
        <v>18.5</v>
      </c>
      <c r="AA68" s="582"/>
      <c r="AB68" s="697" t="s">
        <v>5579</v>
      </c>
      <c r="AC68" s="106">
        <v>7.75</v>
      </c>
      <c r="AD68" s="573"/>
      <c r="AE68" s="55" t="s">
        <v>5255</v>
      </c>
      <c r="AF68" s="106">
        <v>21.25</v>
      </c>
      <c r="AG68" s="582"/>
      <c r="AH68" s="55" t="s">
        <v>4804</v>
      </c>
      <c r="AI68" s="106">
        <v>30</v>
      </c>
      <c r="AJ68" s="582"/>
      <c r="AK68" s="55" t="s">
        <v>3759</v>
      </c>
      <c r="AL68" s="106">
        <v>28</v>
      </c>
      <c r="AM68" s="582"/>
      <c r="AN68" s="55" t="s">
        <v>5597</v>
      </c>
      <c r="AO68" s="106">
        <v>35.25</v>
      </c>
      <c r="AP68" s="582"/>
      <c r="AQ68" s="682" t="s">
        <v>63</v>
      </c>
      <c r="AR68" s="683">
        <v>32.25</v>
      </c>
      <c r="AS68" s="581" t="s">
        <v>12664</v>
      </c>
      <c r="AT68" s="55" t="s">
        <v>263</v>
      </c>
      <c r="AU68" s="106">
        <v>34.75</v>
      </c>
      <c r="AV68" s="582"/>
      <c r="AW68" s="56" t="s">
        <v>4508</v>
      </c>
      <c r="AX68" s="361">
        <v>10</v>
      </c>
      <c r="AY68" s="583"/>
      <c r="AZ68" s="55" t="s">
        <v>319</v>
      </c>
      <c r="BA68" s="106">
        <v>29.75</v>
      </c>
      <c r="BB68" s="582"/>
      <c r="BC68" s="55" t="s">
        <v>5295</v>
      </c>
      <c r="BD68" s="106">
        <v>20</v>
      </c>
      <c r="BE68" s="582"/>
    </row>
    <row r="69" spans="1:57" ht="15.75" thickBot="1" x14ac:dyDescent="0.3">
      <c r="A69" s="362" t="s">
        <v>5317</v>
      </c>
      <c r="B69" s="363">
        <v>25.25</v>
      </c>
      <c r="C69" s="581" t="s">
        <v>12663</v>
      </c>
      <c r="D69" s="55" t="s">
        <v>4898</v>
      </c>
      <c r="E69" s="106">
        <v>18.75</v>
      </c>
      <c r="F69" s="573"/>
      <c r="G69" s="55" t="s">
        <v>295</v>
      </c>
      <c r="H69" s="106">
        <v>19</v>
      </c>
      <c r="I69" s="573"/>
      <c r="J69" s="56" t="s">
        <v>837</v>
      </c>
      <c r="K69" s="361">
        <v>18</v>
      </c>
      <c r="L69" s="583"/>
      <c r="M69" s="55" t="s">
        <v>4824</v>
      </c>
      <c r="N69" s="106">
        <v>28.75</v>
      </c>
      <c r="O69" s="582"/>
      <c r="P69" s="55" t="s">
        <v>5035</v>
      </c>
      <c r="Q69" s="106">
        <v>28.5</v>
      </c>
      <c r="R69" s="582"/>
      <c r="V69" s="55" t="s">
        <v>4990</v>
      </c>
      <c r="W69" s="106">
        <v>4.75</v>
      </c>
      <c r="X69" s="573"/>
      <c r="Y69" s="55" t="s">
        <v>527</v>
      </c>
      <c r="Z69" s="106">
        <v>18.25</v>
      </c>
      <c r="AA69" s="582"/>
      <c r="AB69" s="697" t="s">
        <v>5680</v>
      </c>
      <c r="AC69" s="106">
        <v>4.75</v>
      </c>
      <c r="AD69" s="573"/>
      <c r="AE69" s="55" t="s">
        <v>393</v>
      </c>
      <c r="AF69" s="106">
        <v>21</v>
      </c>
      <c r="AG69" s="582"/>
      <c r="AH69" s="55" t="s">
        <v>435</v>
      </c>
      <c r="AI69" s="106">
        <v>29.75</v>
      </c>
      <c r="AJ69" s="582"/>
      <c r="AK69" s="55" t="s">
        <v>1600</v>
      </c>
      <c r="AL69" s="106">
        <v>28</v>
      </c>
      <c r="AM69" s="582"/>
      <c r="AN69" s="56" t="s">
        <v>5210</v>
      </c>
      <c r="AO69" s="361">
        <v>9.75</v>
      </c>
      <c r="AP69" s="583"/>
      <c r="AQ69" s="55" t="s">
        <v>4211</v>
      </c>
      <c r="AR69" s="106">
        <v>32.25</v>
      </c>
      <c r="AS69" s="582"/>
      <c r="AT69" s="55" t="s">
        <v>5483</v>
      </c>
      <c r="AU69" s="106">
        <v>27.75</v>
      </c>
      <c r="AV69" s="583"/>
      <c r="AW69" s="682" t="s">
        <v>440</v>
      </c>
      <c r="AX69" s="683">
        <v>22.5</v>
      </c>
      <c r="AY69" s="581" t="s">
        <v>12664</v>
      </c>
      <c r="AZ69" s="55" t="s">
        <v>152</v>
      </c>
      <c r="BA69" s="106">
        <v>28.75</v>
      </c>
      <c r="BB69" s="582"/>
      <c r="BC69" s="55" t="s">
        <v>5631</v>
      </c>
      <c r="BD69" s="106">
        <v>20</v>
      </c>
      <c r="BE69" s="582"/>
    </row>
    <row r="70" spans="1:57" ht="15.75" thickBot="1" x14ac:dyDescent="0.3">
      <c r="A70" s="89" t="s">
        <v>5196</v>
      </c>
      <c r="B70" s="91">
        <v>25.25</v>
      </c>
      <c r="C70" s="582"/>
      <c r="D70" s="55" t="s">
        <v>5064</v>
      </c>
      <c r="E70" s="106">
        <v>14.75</v>
      </c>
      <c r="F70" s="573"/>
      <c r="G70" s="55" t="s">
        <v>4898</v>
      </c>
      <c r="H70" s="106">
        <v>18.75</v>
      </c>
      <c r="I70" s="573"/>
      <c r="J70" s="362" t="s">
        <v>5317</v>
      </c>
      <c r="K70" s="363">
        <v>25.25</v>
      </c>
      <c r="L70" s="581" t="s">
        <v>12663</v>
      </c>
      <c r="M70" s="55" t="s">
        <v>4756</v>
      </c>
      <c r="N70" s="106">
        <v>28.75</v>
      </c>
      <c r="O70" s="582"/>
      <c r="P70" s="55" t="s">
        <v>4964</v>
      </c>
      <c r="Q70" s="106">
        <v>27.75</v>
      </c>
      <c r="R70" s="582"/>
      <c r="V70" s="55" t="s">
        <v>5179</v>
      </c>
      <c r="W70" s="106">
        <v>4</v>
      </c>
      <c r="X70" s="573"/>
      <c r="Y70" s="55" t="s">
        <v>5651</v>
      </c>
      <c r="Z70" s="106">
        <v>12.5</v>
      </c>
      <c r="AA70" s="582"/>
      <c r="AB70" s="698" t="s">
        <v>4977</v>
      </c>
      <c r="AC70" s="361">
        <v>3</v>
      </c>
      <c r="AD70" s="574"/>
      <c r="AE70" s="55" t="s">
        <v>282</v>
      </c>
      <c r="AF70" s="106">
        <v>21</v>
      </c>
      <c r="AG70" s="582"/>
      <c r="AH70" s="56" t="s">
        <v>5765</v>
      </c>
      <c r="AI70" s="361">
        <v>10.75</v>
      </c>
      <c r="AJ70" s="583"/>
      <c r="AK70" s="55" t="s">
        <v>5002</v>
      </c>
      <c r="AL70" s="106">
        <v>27.75</v>
      </c>
      <c r="AM70" s="582"/>
      <c r="AN70" s="682" t="s">
        <v>452</v>
      </c>
      <c r="AO70" s="683">
        <v>31.25</v>
      </c>
      <c r="AP70" s="581" t="s">
        <v>12664</v>
      </c>
      <c r="AQ70" s="55" t="s">
        <v>5497</v>
      </c>
      <c r="AR70" s="106">
        <v>32</v>
      </c>
      <c r="AS70" s="692"/>
      <c r="AT70" s="465" t="s">
        <v>3371</v>
      </c>
      <c r="AU70" s="464">
        <v>25</v>
      </c>
      <c r="AV70" s="578" t="s">
        <v>12664</v>
      </c>
      <c r="AW70" s="55" t="s">
        <v>4551</v>
      </c>
      <c r="AX70" s="106">
        <v>22.25</v>
      </c>
      <c r="AY70" s="582"/>
      <c r="AZ70" s="55" t="s">
        <v>234</v>
      </c>
      <c r="BA70" s="106">
        <v>28.25</v>
      </c>
      <c r="BB70" s="582"/>
      <c r="BC70" s="56" t="s">
        <v>5473</v>
      </c>
      <c r="BD70" s="361">
        <v>20</v>
      </c>
      <c r="BE70" s="583"/>
    </row>
    <row r="71" spans="1:57" ht="15.75" thickBot="1" x14ac:dyDescent="0.3">
      <c r="A71" s="90" t="s">
        <v>4814</v>
      </c>
      <c r="B71" s="359">
        <v>25</v>
      </c>
      <c r="C71" s="582"/>
      <c r="D71" s="55" t="s">
        <v>295</v>
      </c>
      <c r="E71" s="106">
        <v>19</v>
      </c>
      <c r="F71" s="573"/>
      <c r="G71" s="56" t="s">
        <v>5064</v>
      </c>
      <c r="H71" s="361">
        <v>14.75</v>
      </c>
      <c r="I71" s="574"/>
      <c r="J71" s="89" t="s">
        <v>5196</v>
      </c>
      <c r="K71" s="91">
        <v>25.25</v>
      </c>
      <c r="L71" s="582"/>
      <c r="M71" s="55" t="s">
        <v>5035</v>
      </c>
      <c r="N71" s="106">
        <v>28.5</v>
      </c>
      <c r="O71" s="582"/>
      <c r="P71" s="56" t="s">
        <v>316</v>
      </c>
      <c r="Q71" s="361">
        <v>24</v>
      </c>
      <c r="R71" s="583"/>
      <c r="V71" s="56" t="s">
        <v>5532</v>
      </c>
      <c r="W71" s="361">
        <v>3.5</v>
      </c>
      <c r="X71" s="574"/>
      <c r="Y71" s="56" t="s">
        <v>4735</v>
      </c>
      <c r="Z71" s="361">
        <v>6.25</v>
      </c>
      <c r="AA71" s="583"/>
      <c r="AE71" s="56" t="s">
        <v>5557</v>
      </c>
      <c r="AF71" s="361">
        <v>17.5</v>
      </c>
      <c r="AG71" s="583"/>
      <c r="AH71" s="682" t="s">
        <v>279</v>
      </c>
      <c r="AI71" s="683">
        <v>33.75</v>
      </c>
      <c r="AJ71" s="581" t="s">
        <v>12663</v>
      </c>
      <c r="AK71" s="55" t="s">
        <v>3868</v>
      </c>
      <c r="AL71" s="106">
        <v>27.75</v>
      </c>
      <c r="AM71" s="582"/>
      <c r="AN71" s="55" t="s">
        <v>406</v>
      </c>
      <c r="AO71" s="106">
        <v>33.75</v>
      </c>
      <c r="AP71" s="582"/>
      <c r="AQ71" s="55" t="s">
        <v>337</v>
      </c>
      <c r="AR71" s="106">
        <v>31.75</v>
      </c>
      <c r="AS71" s="692"/>
      <c r="AT71" s="55" t="s">
        <v>408</v>
      </c>
      <c r="AU71" s="106">
        <v>5.5</v>
      </c>
      <c r="AV71" s="579"/>
      <c r="AW71" s="55" t="s">
        <v>4975</v>
      </c>
      <c r="AX71" s="106">
        <v>22.75</v>
      </c>
      <c r="AY71" s="582"/>
      <c r="AZ71" s="56" t="s">
        <v>5267</v>
      </c>
      <c r="BA71" s="361">
        <v>21</v>
      </c>
      <c r="BB71" s="583"/>
      <c r="BC71" s="682" t="s">
        <v>5295</v>
      </c>
      <c r="BD71" s="683">
        <v>20</v>
      </c>
      <c r="BE71" s="581" t="s">
        <v>12664</v>
      </c>
    </row>
    <row r="72" spans="1:57" x14ac:dyDescent="0.25">
      <c r="A72" s="90" t="s">
        <v>5395</v>
      </c>
      <c r="B72" s="359">
        <v>25</v>
      </c>
      <c r="C72" s="582"/>
      <c r="D72" s="55" t="s">
        <v>5591</v>
      </c>
      <c r="E72" s="106">
        <v>19.25</v>
      </c>
      <c r="F72" s="573"/>
      <c r="J72" s="90" t="s">
        <v>4814</v>
      </c>
      <c r="K72" s="359">
        <v>25</v>
      </c>
      <c r="L72" s="582"/>
      <c r="M72" s="55" t="s">
        <v>4964</v>
      </c>
      <c r="N72" s="106">
        <v>27.75</v>
      </c>
      <c r="O72" s="582"/>
      <c r="V72" s="137"/>
      <c r="W72" s="137"/>
      <c r="X72" s="137"/>
      <c r="AE72" s="682" t="s">
        <v>5358</v>
      </c>
      <c r="AF72" s="683">
        <v>22.25</v>
      </c>
      <c r="AG72" s="581" t="s">
        <v>12664</v>
      </c>
      <c r="AH72" s="55" t="s">
        <v>97</v>
      </c>
      <c r="AI72" s="106">
        <v>33.5</v>
      </c>
      <c r="AJ72" s="582"/>
      <c r="AK72" s="55" t="s">
        <v>5717</v>
      </c>
      <c r="AL72" s="106">
        <v>14.25</v>
      </c>
      <c r="AM72" s="582"/>
      <c r="AN72" s="55" t="s">
        <v>381</v>
      </c>
      <c r="AO72" s="106">
        <v>4.5</v>
      </c>
      <c r="AP72" s="582"/>
      <c r="AQ72" s="55" t="s">
        <v>364</v>
      </c>
      <c r="AR72" s="106">
        <v>31.5</v>
      </c>
      <c r="AS72" s="692"/>
      <c r="AT72" s="55" t="s">
        <v>309</v>
      </c>
      <c r="AU72" s="106">
        <v>20.25</v>
      </c>
      <c r="AV72" s="579"/>
      <c r="AW72" s="55" t="s">
        <v>252</v>
      </c>
      <c r="AX72" s="106">
        <v>23</v>
      </c>
      <c r="AY72" s="582"/>
      <c r="AZ72" s="682" t="s">
        <v>5663</v>
      </c>
      <c r="BA72" s="683">
        <v>23.75</v>
      </c>
      <c r="BB72" s="581" t="s">
        <v>12664</v>
      </c>
      <c r="BC72" s="55" t="s">
        <v>5631</v>
      </c>
      <c r="BD72" s="106">
        <v>20</v>
      </c>
      <c r="BE72" s="582"/>
    </row>
    <row r="73" spans="1:57" ht="15.75" thickBot="1" x14ac:dyDescent="0.3">
      <c r="A73" s="90" t="s">
        <v>4849</v>
      </c>
      <c r="B73" s="359">
        <v>25</v>
      </c>
      <c r="C73" s="582"/>
      <c r="D73" s="55" t="s">
        <v>820</v>
      </c>
      <c r="E73" s="106">
        <v>19.25</v>
      </c>
      <c r="F73" s="573"/>
      <c r="J73" s="90" t="s">
        <v>5395</v>
      </c>
      <c r="K73" s="359">
        <v>25</v>
      </c>
      <c r="L73" s="582"/>
      <c r="M73" s="56" t="s">
        <v>316</v>
      </c>
      <c r="N73" s="361">
        <v>24</v>
      </c>
      <c r="O73" s="583"/>
      <c r="V73" s="137"/>
      <c r="W73" s="137"/>
      <c r="X73" s="137"/>
      <c r="AE73" s="55" t="s">
        <v>2061</v>
      </c>
      <c r="AF73" s="106">
        <v>22.25</v>
      </c>
      <c r="AG73" s="582"/>
      <c r="AH73" s="55" t="s">
        <v>232</v>
      </c>
      <c r="AI73" s="106">
        <v>30.25</v>
      </c>
      <c r="AJ73" s="582"/>
      <c r="AK73" s="56" t="s">
        <v>5485</v>
      </c>
      <c r="AL73" s="361">
        <v>13.75</v>
      </c>
      <c r="AM73" s="583"/>
      <c r="AN73" s="55" t="s">
        <v>5608</v>
      </c>
      <c r="AO73" s="106">
        <v>32.75</v>
      </c>
      <c r="AP73" s="582"/>
      <c r="AQ73" s="56" t="s">
        <v>5703</v>
      </c>
      <c r="AR73" s="361">
        <v>8.25</v>
      </c>
      <c r="AS73" s="693"/>
      <c r="AT73" s="55" t="s">
        <v>209</v>
      </c>
      <c r="AU73" s="106">
        <v>23.75</v>
      </c>
      <c r="AV73" s="579"/>
      <c r="AW73" s="55" t="s">
        <v>4508</v>
      </c>
      <c r="AX73" s="106">
        <v>10</v>
      </c>
      <c r="AY73" s="582"/>
      <c r="AZ73" s="55" t="s">
        <v>419</v>
      </c>
      <c r="BA73" s="106">
        <v>31.75</v>
      </c>
      <c r="BB73" s="582"/>
      <c r="BC73" s="55" t="s">
        <v>5473</v>
      </c>
      <c r="BD73" s="106">
        <v>20</v>
      </c>
      <c r="BE73" s="582"/>
    </row>
    <row r="74" spans="1:57" ht="15.75" thickBot="1" x14ac:dyDescent="0.3">
      <c r="A74" s="55" t="s">
        <v>5072</v>
      </c>
      <c r="B74" s="106">
        <v>24.5</v>
      </c>
      <c r="C74" s="582"/>
      <c r="D74" s="56" t="s">
        <v>4847</v>
      </c>
      <c r="E74" s="361">
        <v>19.25</v>
      </c>
      <c r="F74" s="574"/>
      <c r="J74" s="90" t="s">
        <v>4849</v>
      </c>
      <c r="K74" s="359">
        <v>25</v>
      </c>
      <c r="L74" s="582"/>
      <c r="V74" s="137"/>
      <c r="W74" s="137"/>
      <c r="X74" s="137"/>
      <c r="AE74" s="55" t="s">
        <v>4999</v>
      </c>
      <c r="AF74" s="106">
        <v>21.5</v>
      </c>
      <c r="AG74" s="582"/>
      <c r="AH74" s="55" t="s">
        <v>4804</v>
      </c>
      <c r="AI74" s="106">
        <v>30</v>
      </c>
      <c r="AJ74" s="582"/>
      <c r="AK74" s="682" t="s">
        <v>435</v>
      </c>
      <c r="AL74" s="683">
        <v>29.75</v>
      </c>
      <c r="AM74" s="581" t="s">
        <v>12663</v>
      </c>
      <c r="AN74" s="55" t="s">
        <v>5661</v>
      </c>
      <c r="AO74" s="106">
        <v>32.25</v>
      </c>
      <c r="AP74" s="582"/>
      <c r="AQ74" s="682" t="s">
        <v>450</v>
      </c>
      <c r="AR74" s="683">
        <v>18.75</v>
      </c>
      <c r="AS74" s="694" t="s">
        <v>12664</v>
      </c>
      <c r="AT74" s="55" t="s">
        <v>5457</v>
      </c>
      <c r="AU74" s="106">
        <v>23.25</v>
      </c>
      <c r="AV74" s="579"/>
      <c r="AW74" s="55" t="s">
        <v>880</v>
      </c>
      <c r="AX74" s="106">
        <v>22.5</v>
      </c>
      <c r="AY74" s="582"/>
      <c r="AZ74" s="55" t="s">
        <v>339</v>
      </c>
      <c r="BA74" s="106">
        <v>32.5</v>
      </c>
      <c r="BB74" s="582"/>
      <c r="BC74" s="55" t="s">
        <v>5658</v>
      </c>
      <c r="BD74" s="106">
        <v>19.75</v>
      </c>
      <c r="BE74" s="582"/>
    </row>
    <row r="75" spans="1:57" ht="15.75" thickBot="1" x14ac:dyDescent="0.3">
      <c r="A75" s="56" t="s">
        <v>3495</v>
      </c>
      <c r="B75" s="361">
        <v>18</v>
      </c>
      <c r="C75" s="583"/>
      <c r="J75" s="55" t="s">
        <v>5072</v>
      </c>
      <c r="K75" s="106">
        <v>24.5</v>
      </c>
      <c r="L75" s="582"/>
      <c r="V75" s="137"/>
      <c r="W75" s="137"/>
      <c r="X75" s="137"/>
      <c r="AE75" s="55" t="s">
        <v>5110</v>
      </c>
      <c r="AF75" s="106">
        <v>21.25</v>
      </c>
      <c r="AG75" s="582"/>
      <c r="AH75" s="55" t="s">
        <v>435</v>
      </c>
      <c r="AI75" s="106">
        <v>29.75</v>
      </c>
      <c r="AJ75" s="582"/>
      <c r="AK75" s="55" t="s">
        <v>5765</v>
      </c>
      <c r="AL75" s="106">
        <v>10.75</v>
      </c>
      <c r="AM75" s="582"/>
      <c r="AN75" s="56" t="s">
        <v>114</v>
      </c>
      <c r="AO75" s="361">
        <v>33.5</v>
      </c>
      <c r="AP75" s="583"/>
      <c r="AQ75" s="55" t="s">
        <v>5526</v>
      </c>
      <c r="AR75" s="106">
        <v>22.25</v>
      </c>
      <c r="AS75" s="692"/>
      <c r="AT75" s="55" t="s">
        <v>3292</v>
      </c>
      <c r="AU75" s="106">
        <v>24.25</v>
      </c>
      <c r="AV75" s="579"/>
      <c r="AW75" s="55" t="s">
        <v>4985</v>
      </c>
      <c r="AX75" s="106">
        <v>23</v>
      </c>
      <c r="AY75" s="582"/>
      <c r="AZ75" s="55" t="s">
        <v>259</v>
      </c>
      <c r="BA75" s="106">
        <v>31.75</v>
      </c>
      <c r="BB75" s="582"/>
      <c r="BC75" s="55" t="s">
        <v>157</v>
      </c>
      <c r="BD75" s="106">
        <v>19.75</v>
      </c>
      <c r="BE75" s="582"/>
    </row>
    <row r="76" spans="1:57" ht="15.75" thickBot="1" x14ac:dyDescent="0.3">
      <c r="J76" s="56" t="s">
        <v>837</v>
      </c>
      <c r="K76" s="361">
        <v>18</v>
      </c>
      <c r="L76" s="583"/>
      <c r="V76" s="137"/>
      <c r="W76" s="137"/>
      <c r="X76" s="137"/>
      <c r="AE76" s="55" t="s">
        <v>5255</v>
      </c>
      <c r="AF76" s="106">
        <v>21.25</v>
      </c>
      <c r="AG76" s="582"/>
      <c r="AH76" s="56" t="s">
        <v>5765</v>
      </c>
      <c r="AI76" s="361">
        <v>10.75</v>
      </c>
      <c r="AJ76" s="583"/>
      <c r="AK76" s="55" t="s">
        <v>279</v>
      </c>
      <c r="AL76" s="106">
        <v>33.75</v>
      </c>
      <c r="AM76" s="582"/>
      <c r="AN76" s="682" t="s">
        <v>406</v>
      </c>
      <c r="AO76" s="683">
        <v>33.75</v>
      </c>
      <c r="AP76" s="581" t="s">
        <v>12664</v>
      </c>
      <c r="AQ76" s="55" t="s">
        <v>359</v>
      </c>
      <c r="AR76" s="106">
        <v>16.5</v>
      </c>
      <c r="AS76" s="692"/>
      <c r="AT76" s="55" t="s">
        <v>79</v>
      </c>
      <c r="AU76" s="106">
        <v>23</v>
      </c>
      <c r="AV76" s="579"/>
      <c r="AW76" s="56" t="s">
        <v>5190</v>
      </c>
      <c r="AX76" s="361">
        <v>22</v>
      </c>
      <c r="AY76" s="583"/>
      <c r="AZ76" s="55" t="s">
        <v>484</v>
      </c>
      <c r="BA76" s="106">
        <v>20.25</v>
      </c>
      <c r="BB76" s="582"/>
      <c r="BC76" s="55" t="s">
        <v>4054</v>
      </c>
      <c r="BD76" s="106">
        <v>19.5</v>
      </c>
      <c r="BE76" s="582"/>
    </row>
    <row r="77" spans="1:57" ht="15.75" thickBot="1" x14ac:dyDescent="0.3">
      <c r="V77" s="137"/>
      <c r="W77" s="137"/>
      <c r="X77" s="137"/>
      <c r="AE77" s="55" t="s">
        <v>393</v>
      </c>
      <c r="AF77" s="106">
        <v>21</v>
      </c>
      <c r="AG77" s="582"/>
      <c r="AK77" s="55" t="s">
        <v>232</v>
      </c>
      <c r="AL77" s="106">
        <v>30.25</v>
      </c>
      <c r="AM77" s="582"/>
      <c r="AN77" s="55" t="s">
        <v>114</v>
      </c>
      <c r="AO77" s="106">
        <v>33.5</v>
      </c>
      <c r="AP77" s="582"/>
      <c r="AQ77" s="55" t="s">
        <v>4324</v>
      </c>
      <c r="AR77" s="106">
        <v>22</v>
      </c>
      <c r="AS77" s="692"/>
      <c r="AT77" s="56" t="s">
        <v>5511</v>
      </c>
      <c r="AU77" s="361">
        <v>23</v>
      </c>
      <c r="AV77" s="580"/>
      <c r="AZ77" s="56" t="s">
        <v>110</v>
      </c>
      <c r="BA77" s="361">
        <v>28</v>
      </c>
      <c r="BB77" s="583"/>
      <c r="BC77" s="55" t="s">
        <v>5507</v>
      </c>
      <c r="BD77" s="106">
        <v>19.5</v>
      </c>
      <c r="BE77" s="582"/>
    </row>
    <row r="78" spans="1:57" x14ac:dyDescent="0.25">
      <c r="V78" s="137"/>
      <c r="W78" s="137"/>
      <c r="X78" s="137"/>
      <c r="AE78" s="55" t="s">
        <v>282</v>
      </c>
      <c r="AF78" s="106">
        <v>21</v>
      </c>
      <c r="AG78" s="582"/>
      <c r="AK78" s="55" t="s">
        <v>4804</v>
      </c>
      <c r="AL78" s="106">
        <v>30</v>
      </c>
      <c r="AM78" s="582"/>
      <c r="AN78" s="55" t="s">
        <v>5608</v>
      </c>
      <c r="AO78" s="106">
        <v>32.75</v>
      </c>
      <c r="AP78" s="582"/>
      <c r="AQ78" s="55" t="s">
        <v>306</v>
      </c>
      <c r="AR78" s="106">
        <v>19.25</v>
      </c>
      <c r="AS78" s="582"/>
      <c r="AT78" s="322" t="s">
        <v>3371</v>
      </c>
      <c r="AU78" s="323">
        <v>25</v>
      </c>
      <c r="AV78" s="572" t="s">
        <v>12664</v>
      </c>
      <c r="AZ78" s="682" t="s">
        <v>339</v>
      </c>
      <c r="BA78" s="683">
        <v>32.5</v>
      </c>
      <c r="BB78" s="581" t="s">
        <v>12664</v>
      </c>
      <c r="BC78" s="55" t="s">
        <v>288</v>
      </c>
      <c r="BD78" s="106">
        <v>19.25</v>
      </c>
      <c r="BE78" s="582"/>
    </row>
    <row r="79" spans="1:57" ht="15.75" thickBot="1" x14ac:dyDescent="0.3">
      <c r="V79" s="137"/>
      <c r="W79" s="137"/>
      <c r="X79" s="137"/>
      <c r="AE79" s="56" t="s">
        <v>5557</v>
      </c>
      <c r="AF79" s="361">
        <v>17.5</v>
      </c>
      <c r="AG79" s="583"/>
      <c r="AK79" s="56" t="s">
        <v>97</v>
      </c>
      <c r="AL79" s="361">
        <v>33.5</v>
      </c>
      <c r="AM79" s="583"/>
      <c r="AN79" s="55" t="s">
        <v>5661</v>
      </c>
      <c r="AO79" s="106">
        <v>32.25</v>
      </c>
      <c r="AP79" s="582"/>
      <c r="AQ79" s="55" t="s">
        <v>5419</v>
      </c>
      <c r="AR79" s="106">
        <v>22.5</v>
      </c>
      <c r="AS79" s="582"/>
      <c r="AT79" s="55" t="s">
        <v>3292</v>
      </c>
      <c r="AU79" s="106">
        <v>24.25</v>
      </c>
      <c r="AV79" s="573"/>
      <c r="AZ79" s="55" t="s">
        <v>419</v>
      </c>
      <c r="BA79" s="106">
        <v>31.75</v>
      </c>
      <c r="BB79" s="582"/>
      <c r="BC79" s="56" t="s">
        <v>4363</v>
      </c>
      <c r="BD79" s="361">
        <v>10.25</v>
      </c>
      <c r="BE79" s="583"/>
    </row>
    <row r="80" spans="1:57" x14ac:dyDescent="0.25">
      <c r="V80" s="137"/>
      <c r="W80" s="137"/>
      <c r="X80" s="137"/>
      <c r="AN80" s="55" t="s">
        <v>452</v>
      </c>
      <c r="AO80" s="106">
        <v>31.25</v>
      </c>
      <c r="AP80" s="582"/>
      <c r="AQ80" s="55" t="s">
        <v>140</v>
      </c>
      <c r="AR80" s="106">
        <v>19.5</v>
      </c>
      <c r="AS80" s="582"/>
      <c r="AT80" s="55" t="s">
        <v>209</v>
      </c>
      <c r="AU80" s="106">
        <v>23.75</v>
      </c>
      <c r="AV80" s="573"/>
      <c r="AZ80" s="55" t="s">
        <v>259</v>
      </c>
      <c r="BA80" s="106">
        <v>31.75</v>
      </c>
      <c r="BB80" s="582"/>
      <c r="BC80" s="682" t="s">
        <v>5295</v>
      </c>
      <c r="BD80" s="683">
        <v>20</v>
      </c>
      <c r="BE80" s="581" t="s">
        <v>12664</v>
      </c>
    </row>
    <row r="81" spans="1:57" ht="15.75" thickBot="1" x14ac:dyDescent="0.3">
      <c r="V81" s="137"/>
      <c r="W81" s="137"/>
      <c r="X81" s="137"/>
      <c r="AN81" s="56" t="s">
        <v>381</v>
      </c>
      <c r="AO81" s="361">
        <v>4.5</v>
      </c>
      <c r="AP81" s="583"/>
      <c r="AQ81" s="55" t="s">
        <v>3515</v>
      </c>
      <c r="AR81" s="106">
        <v>18.75</v>
      </c>
      <c r="AS81" s="582"/>
      <c r="AT81" s="55" t="s">
        <v>5457</v>
      </c>
      <c r="AU81" s="106">
        <v>23.25</v>
      </c>
      <c r="AV81" s="573"/>
      <c r="AZ81" s="55" t="s">
        <v>110</v>
      </c>
      <c r="BA81" s="106">
        <v>28</v>
      </c>
      <c r="BB81" s="582"/>
      <c r="BC81" s="55" t="s">
        <v>5631</v>
      </c>
      <c r="BD81" s="106">
        <v>20</v>
      </c>
      <c r="BE81" s="582"/>
    </row>
    <row r="82" spans="1:57" ht="15.75" thickBot="1" x14ac:dyDescent="0.3">
      <c r="M82" s="684"/>
      <c r="N82" s="684"/>
      <c r="O82" s="684"/>
      <c r="V82" s="137"/>
      <c r="W82" s="137"/>
      <c r="X82" s="137"/>
      <c r="AN82" s="682" t="s">
        <v>406</v>
      </c>
      <c r="AO82" s="683">
        <v>33.75</v>
      </c>
      <c r="AP82" s="581" t="s">
        <v>12664</v>
      </c>
      <c r="AQ82" s="56" t="s">
        <v>5721</v>
      </c>
      <c r="AR82" s="361">
        <v>8.5</v>
      </c>
      <c r="AS82" s="583"/>
      <c r="AT82" s="55" t="s">
        <v>79</v>
      </c>
      <c r="AU82" s="106">
        <v>23</v>
      </c>
      <c r="AV82" s="573"/>
      <c r="AZ82" s="55" t="s">
        <v>5663</v>
      </c>
      <c r="BA82" s="106">
        <v>23.75</v>
      </c>
      <c r="BB82" s="582"/>
      <c r="BC82" s="55" t="s">
        <v>5473</v>
      </c>
      <c r="BD82" s="106">
        <v>20</v>
      </c>
      <c r="BE82" s="582"/>
    </row>
    <row r="83" spans="1:57" ht="15.75" thickBot="1" x14ac:dyDescent="0.3">
      <c r="M83" s="684"/>
      <c r="N83" s="684"/>
      <c r="O83" s="684"/>
      <c r="V83" s="137"/>
      <c r="W83" s="137"/>
      <c r="X83" s="137"/>
      <c r="AN83" s="55" t="s">
        <v>114</v>
      </c>
      <c r="AO83" s="106">
        <v>33.5</v>
      </c>
      <c r="AP83" s="582"/>
      <c r="AQ83" s="682" t="s">
        <v>5419</v>
      </c>
      <c r="AR83" s="683">
        <v>22.5</v>
      </c>
      <c r="AS83" s="581" t="s">
        <v>12664</v>
      </c>
      <c r="AT83" s="55" t="s">
        <v>5511</v>
      </c>
      <c r="AU83" s="106">
        <v>23</v>
      </c>
      <c r="AV83" s="573"/>
      <c r="AW83" s="684"/>
      <c r="AX83" s="684"/>
      <c r="AY83" s="684"/>
      <c r="AZ83" s="56" t="s">
        <v>484</v>
      </c>
      <c r="BA83" s="361">
        <v>20.25</v>
      </c>
      <c r="BB83" s="583"/>
      <c r="BC83" s="55" t="s">
        <v>5658</v>
      </c>
      <c r="BD83" s="106">
        <v>19.75</v>
      </c>
      <c r="BE83" s="582"/>
    </row>
    <row r="84" spans="1:57" x14ac:dyDescent="0.25">
      <c r="M84" s="684"/>
      <c r="N84" s="684"/>
      <c r="O84" s="684"/>
      <c r="V84" s="137"/>
      <c r="W84" s="137"/>
      <c r="X84" s="137"/>
      <c r="AN84" s="55" t="s">
        <v>5608</v>
      </c>
      <c r="AO84" s="106">
        <v>32.75</v>
      </c>
      <c r="AP84" s="582"/>
      <c r="AQ84" s="55" t="s">
        <v>5526</v>
      </c>
      <c r="AR84" s="106">
        <v>22.25</v>
      </c>
      <c r="AS84" s="582"/>
      <c r="AT84" s="55" t="s">
        <v>309</v>
      </c>
      <c r="AU84" s="106">
        <v>20.25</v>
      </c>
      <c r="AV84" s="573"/>
      <c r="AW84" s="684"/>
      <c r="AX84" s="684"/>
      <c r="AY84" s="684"/>
      <c r="AZ84" s="682" t="s">
        <v>339</v>
      </c>
      <c r="BA84" s="683">
        <v>32.5</v>
      </c>
      <c r="BB84" s="581" t="s">
        <v>12664</v>
      </c>
      <c r="BC84" s="55" t="s">
        <v>157</v>
      </c>
      <c r="BD84" s="106">
        <v>19.75</v>
      </c>
      <c r="BE84" s="582"/>
    </row>
    <row r="85" spans="1:57" ht="15.75" thickBot="1" x14ac:dyDescent="0.3">
      <c r="M85" s="684"/>
      <c r="N85" s="684"/>
      <c r="O85" s="684"/>
      <c r="V85" s="137"/>
      <c r="W85" s="137"/>
      <c r="X85" s="137"/>
      <c r="AN85" s="55" t="s">
        <v>5661</v>
      </c>
      <c r="AO85" s="106">
        <v>32.25</v>
      </c>
      <c r="AP85" s="582"/>
      <c r="AQ85" s="55" t="s">
        <v>4324</v>
      </c>
      <c r="AR85" s="106">
        <v>22</v>
      </c>
      <c r="AS85" s="582"/>
      <c r="AT85" s="56" t="s">
        <v>408</v>
      </c>
      <c r="AU85" s="361">
        <v>5.5</v>
      </c>
      <c r="AV85" s="574"/>
      <c r="AW85" s="684"/>
      <c r="AX85" s="684"/>
      <c r="AY85" s="684"/>
      <c r="AZ85" s="55" t="s">
        <v>419</v>
      </c>
      <c r="BA85" s="106">
        <v>31.75</v>
      </c>
      <c r="BB85" s="582"/>
      <c r="BC85" s="55" t="s">
        <v>4054</v>
      </c>
      <c r="BD85" s="106">
        <v>19.5</v>
      </c>
      <c r="BE85" s="582"/>
    </row>
    <row r="86" spans="1:57" x14ac:dyDescent="0.25">
      <c r="M86" s="684"/>
      <c r="N86" s="684"/>
      <c r="O86" s="684"/>
      <c r="V86" s="137"/>
      <c r="W86" s="137"/>
      <c r="X86" s="137"/>
      <c r="AN86" s="55" t="s">
        <v>452</v>
      </c>
      <c r="AO86" s="106">
        <v>31.25</v>
      </c>
      <c r="AP86" s="582"/>
      <c r="AQ86" s="55" t="s">
        <v>140</v>
      </c>
      <c r="AR86" s="106">
        <v>19.5</v>
      </c>
      <c r="AS86" s="582"/>
      <c r="AT86" s="324" t="s">
        <v>3371</v>
      </c>
      <c r="AU86" s="325">
        <v>25</v>
      </c>
      <c r="AV86" s="572" t="s">
        <v>12664</v>
      </c>
      <c r="AW86" s="684"/>
      <c r="AX86" s="684"/>
      <c r="AY86" s="684"/>
      <c r="AZ86" s="55" t="s">
        <v>259</v>
      </c>
      <c r="BA86" s="106">
        <v>31.75</v>
      </c>
      <c r="BB86" s="582"/>
      <c r="BC86" s="55" t="s">
        <v>5507</v>
      </c>
      <c r="BD86" s="106">
        <v>19.5</v>
      </c>
      <c r="BE86" s="582"/>
    </row>
    <row r="87" spans="1:57" ht="15.75" thickBot="1" x14ac:dyDescent="0.3">
      <c r="M87" s="684"/>
      <c r="N87" s="684"/>
      <c r="O87" s="684"/>
      <c r="V87" s="137"/>
      <c r="W87" s="137"/>
      <c r="X87" s="137"/>
      <c r="AN87" s="56" t="s">
        <v>381</v>
      </c>
      <c r="AO87" s="361">
        <v>4.5</v>
      </c>
      <c r="AP87" s="583"/>
      <c r="AQ87" s="55" t="s">
        <v>306</v>
      </c>
      <c r="AR87" s="106">
        <v>19.25</v>
      </c>
      <c r="AS87" s="582"/>
      <c r="AT87" s="55" t="s">
        <v>3292</v>
      </c>
      <c r="AU87" s="106">
        <v>24.25</v>
      </c>
      <c r="AV87" s="573"/>
      <c r="AW87" s="684"/>
      <c r="AX87" s="684"/>
      <c r="AY87" s="684"/>
      <c r="AZ87" s="55" t="s">
        <v>110</v>
      </c>
      <c r="BA87" s="106">
        <v>28</v>
      </c>
      <c r="BB87" s="582"/>
      <c r="BC87" s="55" t="s">
        <v>288</v>
      </c>
      <c r="BD87" s="106">
        <v>19.25</v>
      </c>
      <c r="BE87" s="582"/>
    </row>
    <row r="88" spans="1:57" ht="15.75" thickBot="1" x14ac:dyDescent="0.3">
      <c r="M88" s="684"/>
      <c r="N88" s="684"/>
      <c r="O88" s="684"/>
      <c r="V88" s="137"/>
      <c r="W88" s="137"/>
      <c r="X88" s="137"/>
      <c r="AN88" s="682" t="s">
        <v>406</v>
      </c>
      <c r="AO88" s="683">
        <v>33.75</v>
      </c>
      <c r="AP88" s="581" t="s">
        <v>12664</v>
      </c>
      <c r="AQ88" s="55" t="s">
        <v>450</v>
      </c>
      <c r="AR88" s="106">
        <v>18.75</v>
      </c>
      <c r="AS88" s="582"/>
      <c r="AT88" s="55" t="s">
        <v>209</v>
      </c>
      <c r="AU88" s="106">
        <v>23.75</v>
      </c>
      <c r="AV88" s="573"/>
      <c r="AW88" s="684"/>
      <c r="AX88" s="684"/>
      <c r="AY88" s="684"/>
      <c r="AZ88" s="55" t="s">
        <v>5663</v>
      </c>
      <c r="BA88" s="106">
        <v>23.75</v>
      </c>
      <c r="BB88" s="582"/>
      <c r="BC88" s="56" t="s">
        <v>4363</v>
      </c>
      <c r="BD88" s="361">
        <v>10.25</v>
      </c>
      <c r="BE88" s="583"/>
    </row>
    <row r="89" spans="1:57" ht="15.75" thickBot="1" x14ac:dyDescent="0.3">
      <c r="M89" s="684"/>
      <c r="N89" s="684"/>
      <c r="O89" s="684"/>
      <c r="V89" s="137"/>
      <c r="W89" s="137"/>
      <c r="X89" s="137"/>
      <c r="AN89" s="55" t="s">
        <v>114</v>
      </c>
      <c r="AO89" s="106">
        <v>33.5</v>
      </c>
      <c r="AP89" s="582"/>
      <c r="AQ89" s="55" t="s">
        <v>3515</v>
      </c>
      <c r="AR89" s="106">
        <v>18.75</v>
      </c>
      <c r="AS89" s="582"/>
      <c r="AT89" s="55" t="s">
        <v>5457</v>
      </c>
      <c r="AU89" s="106">
        <v>23.25</v>
      </c>
      <c r="AV89" s="573"/>
      <c r="AW89" s="684"/>
      <c r="AX89" s="684"/>
      <c r="AY89" s="684"/>
      <c r="AZ89" s="56" t="s">
        <v>484</v>
      </c>
      <c r="BA89" s="361">
        <v>20.25</v>
      </c>
      <c r="BB89" s="583"/>
      <c r="BC89" s="682" t="s">
        <v>446</v>
      </c>
      <c r="BD89" s="683">
        <v>18.5</v>
      </c>
      <c r="BE89" s="581" t="s">
        <v>12664</v>
      </c>
    </row>
    <row r="90" spans="1:57" x14ac:dyDescent="0.25">
      <c r="M90" s="684"/>
      <c r="N90" s="684"/>
      <c r="O90" s="684"/>
      <c r="V90" s="137"/>
      <c r="W90" s="137"/>
      <c r="X90" s="137"/>
      <c r="AN90" s="55" t="s">
        <v>5608</v>
      </c>
      <c r="AO90" s="106">
        <v>32.75</v>
      </c>
      <c r="AP90" s="582"/>
      <c r="AQ90" s="55" t="s">
        <v>359</v>
      </c>
      <c r="AR90" s="106">
        <v>16.5</v>
      </c>
      <c r="AS90" s="582"/>
      <c r="AT90" s="55" t="s">
        <v>79</v>
      </c>
      <c r="AU90" s="106">
        <v>23</v>
      </c>
      <c r="AV90" s="573"/>
      <c r="AW90" s="684"/>
      <c r="AX90" s="684"/>
      <c r="AY90" s="684"/>
      <c r="AZ90" s="682" t="s">
        <v>339</v>
      </c>
      <c r="BA90" s="683">
        <v>32.5</v>
      </c>
      <c r="BB90" s="581" t="s">
        <v>12664</v>
      </c>
      <c r="BC90" s="55" t="s">
        <v>5356</v>
      </c>
      <c r="BD90" s="106">
        <v>18.75</v>
      </c>
      <c r="BE90" s="582"/>
    </row>
    <row r="91" spans="1:57" ht="15.75" thickBot="1" x14ac:dyDescent="0.3">
      <c r="M91" s="684"/>
      <c r="N91" s="684"/>
      <c r="O91" s="684"/>
      <c r="V91" s="137"/>
      <c r="W91" s="137"/>
      <c r="X91" s="137"/>
      <c r="AN91" s="55" t="s">
        <v>5661</v>
      </c>
      <c r="AO91" s="106">
        <v>32.25</v>
      </c>
      <c r="AP91" s="582"/>
      <c r="AQ91" s="56" t="s">
        <v>5721</v>
      </c>
      <c r="AR91" s="361">
        <v>8.5</v>
      </c>
      <c r="AS91" s="583"/>
      <c r="AT91" s="55" t="s">
        <v>5511</v>
      </c>
      <c r="AU91" s="106">
        <v>23</v>
      </c>
      <c r="AV91" s="573"/>
      <c r="AW91" s="684"/>
      <c r="AX91" s="684"/>
      <c r="AY91" s="684"/>
      <c r="AZ91" s="55" t="s">
        <v>419</v>
      </c>
      <c r="BA91" s="106">
        <v>31.75</v>
      </c>
      <c r="BB91" s="582"/>
      <c r="BC91" s="55" t="s">
        <v>5587</v>
      </c>
      <c r="BD91" s="106">
        <v>19</v>
      </c>
      <c r="BE91" s="582"/>
    </row>
    <row r="92" spans="1:57" x14ac:dyDescent="0.25">
      <c r="A92" s="137"/>
      <c r="B92" s="137"/>
      <c r="C92" s="137"/>
      <c r="D92" s="684"/>
      <c r="E92" s="684"/>
      <c r="F92" s="684"/>
      <c r="G92" s="684"/>
      <c r="H92" s="684"/>
      <c r="I92" s="684"/>
      <c r="M92" s="684"/>
      <c r="N92" s="684"/>
      <c r="O92" s="684"/>
      <c r="P92" s="684"/>
      <c r="Q92" s="684"/>
      <c r="R92" s="684"/>
      <c r="V92" s="684"/>
      <c r="W92" s="684"/>
      <c r="X92" s="684"/>
      <c r="AK92" s="682" t="s">
        <v>5430</v>
      </c>
      <c r="AL92" s="683">
        <v>28.75</v>
      </c>
      <c r="AM92" s="581" t="s">
        <v>12663</v>
      </c>
      <c r="AN92" s="55" t="s">
        <v>452</v>
      </c>
      <c r="AO92" s="106">
        <v>31.25</v>
      </c>
      <c r="AP92" s="582"/>
      <c r="AQ92" s="682" t="s">
        <v>5419</v>
      </c>
      <c r="AR92" s="683">
        <v>22.5</v>
      </c>
      <c r="AS92" s="581" t="s">
        <v>12664</v>
      </c>
      <c r="AT92" s="55" t="s">
        <v>309</v>
      </c>
      <c r="AU92" s="106">
        <v>20.25</v>
      </c>
      <c r="AV92" s="573"/>
      <c r="AW92" s="684"/>
      <c r="AX92" s="684"/>
      <c r="AY92" s="684"/>
      <c r="AZ92" s="55" t="s">
        <v>259</v>
      </c>
      <c r="BA92" s="106">
        <v>31.75</v>
      </c>
      <c r="BB92" s="582"/>
      <c r="BC92" s="55" t="s">
        <v>324</v>
      </c>
      <c r="BD92" s="106">
        <v>19</v>
      </c>
      <c r="BE92" s="582"/>
    </row>
    <row r="93" spans="1:57" ht="15.75" thickBot="1" x14ac:dyDescent="0.3">
      <c r="A93" s="137"/>
      <c r="B93" s="137"/>
      <c r="C93" s="137"/>
      <c r="D93" s="684"/>
      <c r="E93" s="684"/>
      <c r="F93" s="684"/>
      <c r="G93" s="684"/>
      <c r="H93" s="684"/>
      <c r="I93" s="684"/>
      <c r="M93" s="684"/>
      <c r="N93" s="684"/>
      <c r="O93" s="684"/>
      <c r="P93" s="684"/>
      <c r="Q93" s="684"/>
      <c r="R93" s="684"/>
      <c r="V93" s="684"/>
      <c r="W93" s="684"/>
      <c r="X93" s="684"/>
      <c r="AK93" s="55" t="s">
        <v>4987</v>
      </c>
      <c r="AL93" s="106">
        <v>23.5</v>
      </c>
      <c r="AM93" s="582"/>
      <c r="AN93" s="56" t="s">
        <v>381</v>
      </c>
      <c r="AO93" s="361">
        <v>4.5</v>
      </c>
      <c r="AP93" s="583"/>
      <c r="AQ93" s="55" t="s">
        <v>5526</v>
      </c>
      <c r="AR93" s="106">
        <v>22.25</v>
      </c>
      <c r="AS93" s="582"/>
      <c r="AT93" s="56" t="s">
        <v>408</v>
      </c>
      <c r="AU93" s="361">
        <v>5.5</v>
      </c>
      <c r="AV93" s="574"/>
      <c r="AW93" s="684"/>
      <c r="AX93" s="684"/>
      <c r="AY93" s="684"/>
      <c r="AZ93" s="55" t="s">
        <v>110</v>
      </c>
      <c r="BA93" s="106">
        <v>28</v>
      </c>
      <c r="BB93" s="582"/>
      <c r="BC93" s="55" t="s">
        <v>312</v>
      </c>
      <c r="BD93" s="106">
        <v>15.5</v>
      </c>
      <c r="BE93" s="582"/>
    </row>
    <row r="94" spans="1:57" x14ac:dyDescent="0.25">
      <c r="A94" s="137"/>
      <c r="B94" s="137"/>
      <c r="C94" s="137"/>
      <c r="D94" s="684"/>
      <c r="E94" s="684"/>
      <c r="F94" s="684"/>
      <c r="G94" s="684"/>
      <c r="H94" s="684"/>
      <c r="I94" s="684"/>
      <c r="M94" s="684"/>
      <c r="N94" s="684"/>
      <c r="O94" s="684"/>
      <c r="P94" s="684"/>
      <c r="Q94" s="684"/>
      <c r="R94" s="684"/>
      <c r="V94" s="684"/>
      <c r="W94" s="684"/>
      <c r="X94" s="684"/>
      <c r="AK94" s="55" t="s">
        <v>273</v>
      </c>
      <c r="AL94" s="106">
        <v>28.25</v>
      </c>
      <c r="AM94" s="582"/>
      <c r="AN94" s="137"/>
      <c r="AO94" s="137"/>
      <c r="AP94" s="137"/>
      <c r="AQ94" s="55" t="s">
        <v>4324</v>
      </c>
      <c r="AR94" s="106">
        <v>22</v>
      </c>
      <c r="AS94" s="582"/>
      <c r="AT94" s="324" t="s">
        <v>3371</v>
      </c>
      <c r="AU94" s="325">
        <v>25</v>
      </c>
      <c r="AV94" s="572" t="s">
        <v>12664</v>
      </c>
      <c r="AW94" s="684"/>
      <c r="AX94" s="684"/>
      <c r="AY94" s="684"/>
      <c r="AZ94" s="55" t="s">
        <v>5663</v>
      </c>
      <c r="BA94" s="106">
        <v>23.75</v>
      </c>
      <c r="BB94" s="582"/>
      <c r="BC94" s="55" t="s">
        <v>5672</v>
      </c>
      <c r="BD94" s="106">
        <v>19.5</v>
      </c>
      <c r="BE94" s="582"/>
    </row>
    <row r="95" spans="1:57" ht="15.75" thickBot="1" x14ac:dyDescent="0.3">
      <c r="A95" s="137"/>
      <c r="B95" s="137"/>
      <c r="C95" s="137"/>
      <c r="D95" s="684"/>
      <c r="E95" s="684"/>
      <c r="F95" s="684"/>
      <c r="G95" s="684"/>
      <c r="H95" s="684"/>
      <c r="I95" s="684"/>
      <c r="M95" s="684"/>
      <c r="N95" s="684"/>
      <c r="O95" s="684"/>
      <c r="P95" s="684"/>
      <c r="Q95" s="684"/>
      <c r="R95" s="684"/>
      <c r="V95" s="684"/>
      <c r="W95" s="684"/>
      <c r="X95" s="684"/>
      <c r="AK95" s="55" t="s">
        <v>163</v>
      </c>
      <c r="AL95" s="106">
        <v>29</v>
      </c>
      <c r="AM95" s="582"/>
      <c r="AN95" s="137"/>
      <c r="AO95" s="137"/>
      <c r="AP95" s="137"/>
      <c r="AQ95" s="55" t="s">
        <v>140</v>
      </c>
      <c r="AR95" s="106">
        <v>19.5</v>
      </c>
      <c r="AS95" s="582"/>
      <c r="AT95" s="55" t="s">
        <v>3292</v>
      </c>
      <c r="AU95" s="106">
        <v>24.25</v>
      </c>
      <c r="AV95" s="573"/>
      <c r="AW95" s="684"/>
      <c r="AX95" s="684"/>
      <c r="AY95" s="684"/>
      <c r="AZ95" s="56" t="s">
        <v>484</v>
      </c>
      <c r="BA95" s="361">
        <v>20.25</v>
      </c>
      <c r="BB95" s="583"/>
      <c r="BC95" s="55" t="s">
        <v>5585</v>
      </c>
      <c r="BD95" s="106">
        <v>19.25</v>
      </c>
      <c r="BE95" s="582"/>
    </row>
    <row r="96" spans="1:57" x14ac:dyDescent="0.25">
      <c r="A96" s="137"/>
      <c r="B96" s="137"/>
      <c r="C96" s="137"/>
      <c r="D96" s="684"/>
      <c r="E96" s="684"/>
      <c r="F96" s="684"/>
      <c r="G96" s="684"/>
      <c r="H96" s="684"/>
      <c r="I96" s="684"/>
      <c r="M96" s="684"/>
      <c r="N96" s="684"/>
      <c r="O96" s="684"/>
      <c r="P96" s="684"/>
      <c r="Q96" s="684"/>
      <c r="R96" s="684"/>
      <c r="V96" s="684"/>
      <c r="W96" s="684"/>
      <c r="X96" s="684"/>
      <c r="AK96" s="55" t="s">
        <v>2663</v>
      </c>
      <c r="AL96" s="106">
        <v>28.5</v>
      </c>
      <c r="AM96" s="582"/>
      <c r="AN96" s="137"/>
      <c r="AO96" s="137"/>
      <c r="AP96" s="137"/>
      <c r="AQ96" s="55" t="s">
        <v>306</v>
      </c>
      <c r="AR96" s="106">
        <v>19.25</v>
      </c>
      <c r="AS96" s="582"/>
      <c r="AT96" s="55" t="s">
        <v>209</v>
      </c>
      <c r="AU96" s="106">
        <v>23.75</v>
      </c>
      <c r="AV96" s="573"/>
      <c r="AW96" s="684"/>
      <c r="AX96" s="684"/>
      <c r="AY96" s="684"/>
      <c r="AZ96" s="682" t="s">
        <v>339</v>
      </c>
      <c r="BA96" s="683">
        <v>32.5</v>
      </c>
      <c r="BB96" s="581" t="s">
        <v>12664</v>
      </c>
      <c r="BC96" s="55" t="s">
        <v>5234</v>
      </c>
      <c r="BD96" s="106">
        <v>19.25</v>
      </c>
      <c r="BE96" s="582"/>
    </row>
    <row r="97" spans="1:57" ht="15.75" thickBot="1" x14ac:dyDescent="0.3">
      <c r="A97" s="137"/>
      <c r="B97" s="137"/>
      <c r="C97" s="137"/>
      <c r="D97" s="684"/>
      <c r="E97" s="684"/>
      <c r="F97" s="684"/>
      <c r="G97" s="684"/>
      <c r="H97" s="684"/>
      <c r="I97" s="684"/>
      <c r="M97" s="684"/>
      <c r="N97" s="684"/>
      <c r="O97" s="684"/>
      <c r="P97" s="684"/>
      <c r="Q97" s="684"/>
      <c r="R97" s="684"/>
      <c r="V97" s="684"/>
      <c r="W97" s="684"/>
      <c r="X97" s="684"/>
      <c r="AK97" s="56" t="s">
        <v>21</v>
      </c>
      <c r="AL97" s="361">
        <v>30</v>
      </c>
      <c r="AM97" s="583"/>
      <c r="AN97" s="137"/>
      <c r="AO97" s="137"/>
      <c r="AP97" s="137"/>
      <c r="AQ97" s="55" t="s">
        <v>450</v>
      </c>
      <c r="AR97" s="106">
        <v>18.75</v>
      </c>
      <c r="AS97" s="582"/>
      <c r="AT97" s="55" t="s">
        <v>5457</v>
      </c>
      <c r="AU97" s="106">
        <v>23.25</v>
      </c>
      <c r="AV97" s="573"/>
      <c r="AW97" s="684"/>
      <c r="AX97" s="684"/>
      <c r="AY97" s="684"/>
      <c r="AZ97" s="55" t="s">
        <v>419</v>
      </c>
      <c r="BA97" s="106">
        <v>31.75</v>
      </c>
      <c r="BB97" s="582"/>
      <c r="BC97" s="56" t="s">
        <v>6</v>
      </c>
      <c r="BD97" s="361">
        <v>19.25</v>
      </c>
      <c r="BE97" s="583"/>
    </row>
    <row r="98" spans="1:57" x14ac:dyDescent="0.25">
      <c r="A98" s="137"/>
      <c r="B98" s="137"/>
      <c r="C98" s="137"/>
      <c r="D98" s="684"/>
      <c r="E98" s="684"/>
      <c r="F98" s="684"/>
      <c r="G98" s="684"/>
      <c r="H98" s="684"/>
      <c r="I98" s="684"/>
      <c r="M98" s="684"/>
      <c r="N98" s="684"/>
      <c r="O98" s="684"/>
      <c r="P98" s="684"/>
      <c r="Q98" s="684"/>
      <c r="R98" s="684"/>
      <c r="V98" s="684"/>
      <c r="W98" s="684"/>
      <c r="X98" s="684"/>
      <c r="AK98" s="682" t="s">
        <v>21</v>
      </c>
      <c r="AL98" s="683">
        <v>30</v>
      </c>
      <c r="AM98" s="581" t="s">
        <v>12663</v>
      </c>
      <c r="AN98" s="137"/>
      <c r="AO98" s="137"/>
      <c r="AP98" s="137"/>
      <c r="AQ98" s="55" t="s">
        <v>3515</v>
      </c>
      <c r="AR98" s="106">
        <v>18.75</v>
      </c>
      <c r="AS98" s="582"/>
      <c r="AT98" s="55" t="s">
        <v>79</v>
      </c>
      <c r="AU98" s="106">
        <v>23</v>
      </c>
      <c r="AV98" s="573"/>
      <c r="AW98" s="684"/>
      <c r="AX98" s="684"/>
      <c r="AY98" s="684"/>
      <c r="AZ98" s="55" t="s">
        <v>259</v>
      </c>
      <c r="BA98" s="106">
        <v>31.75</v>
      </c>
      <c r="BB98" s="582"/>
      <c r="BC98" s="137"/>
      <c r="BD98" s="137"/>
    </row>
    <row r="99" spans="1:57" x14ac:dyDescent="0.25">
      <c r="A99" s="137"/>
      <c r="B99" s="137"/>
      <c r="C99" s="137"/>
      <c r="D99" s="684"/>
      <c r="E99" s="684"/>
      <c r="F99" s="684"/>
      <c r="G99" s="684"/>
      <c r="H99" s="684"/>
      <c r="I99" s="684"/>
      <c r="M99" s="684"/>
      <c r="N99" s="684"/>
      <c r="O99" s="684"/>
      <c r="P99" s="684"/>
      <c r="Q99" s="684"/>
      <c r="R99" s="684"/>
      <c r="V99" s="684"/>
      <c r="W99" s="684"/>
      <c r="X99" s="684"/>
      <c r="AK99" s="55" t="s">
        <v>163</v>
      </c>
      <c r="AL99" s="106">
        <v>29</v>
      </c>
      <c r="AM99" s="582"/>
      <c r="AN99" s="137"/>
      <c r="AO99" s="137"/>
      <c r="AP99" s="137"/>
      <c r="AQ99" s="55" t="s">
        <v>359</v>
      </c>
      <c r="AR99" s="106">
        <v>16.5</v>
      </c>
      <c r="AS99" s="582"/>
      <c r="AT99" s="55" t="s">
        <v>5511</v>
      </c>
      <c r="AU99" s="106">
        <v>23</v>
      </c>
      <c r="AV99" s="573"/>
      <c r="AW99" s="684"/>
      <c r="AX99" s="684"/>
      <c r="AY99" s="684"/>
      <c r="AZ99" s="55" t="s">
        <v>110</v>
      </c>
      <c r="BA99" s="106">
        <v>28</v>
      </c>
      <c r="BB99" s="582"/>
      <c r="BC99" s="137"/>
      <c r="BD99" s="137"/>
    </row>
    <row r="100" spans="1:57" ht="15.75" thickBot="1" x14ac:dyDescent="0.3">
      <c r="A100" s="137"/>
      <c r="B100" s="137"/>
      <c r="C100" s="137"/>
      <c r="D100" s="684"/>
      <c r="E100" s="684"/>
      <c r="F100" s="684"/>
      <c r="G100" s="684"/>
      <c r="H100" s="684"/>
      <c r="I100" s="684"/>
      <c r="M100" s="684"/>
      <c r="N100" s="684"/>
      <c r="O100" s="684"/>
      <c r="P100" s="684"/>
      <c r="Q100" s="684"/>
      <c r="R100" s="684"/>
      <c r="V100" s="684"/>
      <c r="W100" s="684"/>
      <c r="X100" s="684"/>
      <c r="AK100" s="55" t="s">
        <v>5430</v>
      </c>
      <c r="AL100" s="106">
        <v>28.75</v>
      </c>
      <c r="AM100" s="582"/>
      <c r="AN100" s="137"/>
      <c r="AO100" s="137"/>
      <c r="AP100" s="137"/>
      <c r="AQ100" s="56" t="s">
        <v>5721</v>
      </c>
      <c r="AR100" s="361">
        <v>8.5</v>
      </c>
      <c r="AS100" s="583"/>
      <c r="AT100" s="55" t="s">
        <v>309</v>
      </c>
      <c r="AU100" s="106">
        <v>20.25</v>
      </c>
      <c r="AV100" s="573"/>
      <c r="AW100" s="684"/>
      <c r="AX100" s="684"/>
      <c r="AY100" s="684"/>
      <c r="AZ100" s="55" t="s">
        <v>5663</v>
      </c>
      <c r="BA100" s="106">
        <v>23.75</v>
      </c>
      <c r="BB100" s="582"/>
      <c r="BC100" s="137"/>
      <c r="BD100" s="137"/>
    </row>
    <row r="101" spans="1:57" ht="15.75" thickBot="1" x14ac:dyDescent="0.3">
      <c r="A101" s="137"/>
      <c r="B101" s="137"/>
      <c r="C101" s="137"/>
      <c r="D101" s="684"/>
      <c r="E101" s="684"/>
      <c r="F101" s="684"/>
      <c r="G101" s="684"/>
      <c r="H101" s="684"/>
      <c r="I101" s="684"/>
      <c r="M101" s="684"/>
      <c r="N101" s="684"/>
      <c r="O101" s="684"/>
      <c r="P101" s="684"/>
      <c r="Q101" s="684"/>
      <c r="R101" s="684"/>
      <c r="V101" s="684"/>
      <c r="W101" s="684"/>
      <c r="X101" s="684"/>
      <c r="AK101" s="55" t="s">
        <v>2663</v>
      </c>
      <c r="AL101" s="106">
        <v>28.5</v>
      </c>
      <c r="AM101" s="582"/>
      <c r="AN101" s="137"/>
      <c r="AO101" s="137"/>
      <c r="AP101" s="137"/>
      <c r="AQ101" s="682" t="s">
        <v>5419</v>
      </c>
      <c r="AR101" s="683">
        <v>22.5</v>
      </c>
      <c r="AS101" s="581" t="s">
        <v>12664</v>
      </c>
      <c r="AT101" s="56" t="s">
        <v>408</v>
      </c>
      <c r="AU101" s="361">
        <v>5.5</v>
      </c>
      <c r="AV101" s="574"/>
      <c r="AW101" s="684"/>
      <c r="AX101" s="684"/>
      <c r="AY101" s="684"/>
      <c r="AZ101" s="56" t="s">
        <v>484</v>
      </c>
      <c r="BA101" s="361">
        <v>20.25</v>
      </c>
      <c r="BB101" s="583"/>
      <c r="BC101" s="137"/>
      <c r="BD101" s="137"/>
    </row>
    <row r="102" spans="1:57" x14ac:dyDescent="0.25">
      <c r="A102" s="137"/>
      <c r="B102" s="137"/>
      <c r="C102" s="137"/>
      <c r="D102" s="684"/>
      <c r="E102" s="684"/>
      <c r="F102" s="684"/>
      <c r="G102" s="684"/>
      <c r="H102" s="684"/>
      <c r="I102" s="684"/>
      <c r="M102" s="684"/>
      <c r="N102" s="684"/>
      <c r="O102" s="684"/>
      <c r="P102" s="684"/>
      <c r="Q102" s="684"/>
      <c r="R102" s="684"/>
      <c r="V102" s="684"/>
      <c r="W102" s="684"/>
      <c r="X102" s="684"/>
      <c r="AK102" s="55" t="s">
        <v>273</v>
      </c>
      <c r="AL102" s="106">
        <v>28.25</v>
      </c>
      <c r="AM102" s="582"/>
      <c r="AN102" s="137"/>
      <c r="AO102" s="137"/>
      <c r="AP102" s="137"/>
      <c r="AQ102" s="55" t="s">
        <v>5526</v>
      </c>
      <c r="AR102" s="106">
        <v>22.25</v>
      </c>
      <c r="AS102" s="582"/>
      <c r="AT102" s="684"/>
      <c r="AU102" s="684"/>
      <c r="AV102" s="684"/>
      <c r="AW102" s="684"/>
      <c r="AX102" s="684"/>
      <c r="AY102" s="684"/>
      <c r="AZ102" s="684"/>
      <c r="BA102" s="684"/>
      <c r="BB102" s="684"/>
      <c r="BC102" s="137"/>
      <c r="BD102" s="137"/>
    </row>
    <row r="103" spans="1:57" ht="15.75" thickBot="1" x14ac:dyDescent="0.3">
      <c r="A103" s="137"/>
      <c r="B103" s="137"/>
      <c r="C103" s="137"/>
      <c r="D103" s="684"/>
      <c r="E103" s="684"/>
      <c r="F103" s="684"/>
      <c r="G103" s="684"/>
      <c r="H103" s="684"/>
      <c r="I103" s="684"/>
      <c r="M103" s="684"/>
      <c r="N103" s="684"/>
      <c r="O103" s="684"/>
      <c r="P103" s="684"/>
      <c r="Q103" s="684"/>
      <c r="R103" s="684"/>
      <c r="V103" s="684"/>
      <c r="W103" s="684"/>
      <c r="X103" s="684"/>
      <c r="AK103" s="56" t="s">
        <v>4987</v>
      </c>
      <c r="AL103" s="361">
        <v>23.5</v>
      </c>
      <c r="AM103" s="583"/>
      <c r="AN103" s="137"/>
      <c r="AO103" s="137"/>
      <c r="AP103" s="137"/>
      <c r="AQ103" s="55" t="s">
        <v>4324</v>
      </c>
      <c r="AR103" s="106">
        <v>22</v>
      </c>
      <c r="AS103" s="582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137"/>
      <c r="BD103" s="137"/>
    </row>
    <row r="104" spans="1:57" x14ac:dyDescent="0.25">
      <c r="A104" s="137"/>
      <c r="B104" s="137"/>
      <c r="C104" s="137"/>
      <c r="D104" s="684"/>
      <c r="E104" s="684"/>
      <c r="F104" s="684"/>
      <c r="G104" s="684"/>
      <c r="H104" s="684"/>
      <c r="I104" s="684"/>
      <c r="M104" s="684"/>
      <c r="N104" s="684"/>
      <c r="O104" s="684"/>
      <c r="P104" s="684"/>
      <c r="Q104" s="684"/>
      <c r="R104" s="684"/>
      <c r="V104" s="684"/>
      <c r="W104" s="684"/>
      <c r="X104" s="684"/>
      <c r="AK104" s="682" t="s">
        <v>21</v>
      </c>
      <c r="AL104" s="683">
        <v>30</v>
      </c>
      <c r="AM104" s="581" t="s">
        <v>12663</v>
      </c>
      <c r="AN104" s="137"/>
      <c r="AO104" s="137"/>
      <c r="AP104" s="137"/>
      <c r="AQ104" s="55" t="s">
        <v>140</v>
      </c>
      <c r="AR104" s="106">
        <v>19.5</v>
      </c>
      <c r="AS104" s="692"/>
      <c r="AT104" s="684"/>
      <c r="AU104" s="684"/>
      <c r="AV104" s="684"/>
      <c r="AW104" s="684"/>
      <c r="AX104" s="684"/>
      <c r="AY104" s="684"/>
      <c r="AZ104" s="684"/>
      <c r="BA104" s="684"/>
      <c r="BB104" s="684"/>
      <c r="BC104" s="137"/>
      <c r="BD104" s="137"/>
    </row>
    <row r="105" spans="1:57" x14ac:dyDescent="0.25">
      <c r="A105" s="137"/>
      <c r="B105" s="137"/>
      <c r="C105" s="137"/>
      <c r="D105" s="684"/>
      <c r="E105" s="684"/>
      <c r="F105" s="684"/>
      <c r="G105" s="684"/>
      <c r="H105" s="684"/>
      <c r="I105" s="684"/>
      <c r="M105" s="684"/>
      <c r="N105" s="684"/>
      <c r="O105" s="684"/>
      <c r="P105" s="684"/>
      <c r="Q105" s="684"/>
      <c r="R105" s="684"/>
      <c r="V105" s="684"/>
      <c r="W105" s="684"/>
      <c r="X105" s="684"/>
      <c r="AK105" s="55" t="s">
        <v>163</v>
      </c>
      <c r="AL105" s="106">
        <v>29</v>
      </c>
      <c r="AM105" s="582"/>
      <c r="AN105" s="137"/>
      <c r="AO105" s="137"/>
      <c r="AP105" s="137"/>
      <c r="AQ105" s="55" t="s">
        <v>306</v>
      </c>
      <c r="AR105" s="106">
        <v>19.25</v>
      </c>
      <c r="AS105" s="692"/>
      <c r="AT105" s="684"/>
      <c r="AU105" s="684"/>
      <c r="AV105" s="684"/>
      <c r="AW105" s="684"/>
      <c r="AX105" s="684"/>
      <c r="AY105" s="684"/>
      <c r="AZ105" s="684"/>
      <c r="BA105" s="684"/>
      <c r="BB105" s="684"/>
      <c r="BC105" s="137"/>
      <c r="BD105" s="137"/>
    </row>
    <row r="106" spans="1:57" x14ac:dyDescent="0.25">
      <c r="A106" s="137"/>
      <c r="B106" s="137"/>
      <c r="C106" s="137"/>
      <c r="D106" s="684"/>
      <c r="E106" s="684"/>
      <c r="F106" s="684"/>
      <c r="G106" s="684"/>
      <c r="H106" s="684"/>
      <c r="I106" s="684"/>
      <c r="M106" s="684"/>
      <c r="N106" s="684"/>
      <c r="O106" s="684"/>
      <c r="P106" s="684"/>
      <c r="Q106" s="684"/>
      <c r="R106" s="684"/>
      <c r="S106" s="684"/>
      <c r="T106" s="684"/>
      <c r="U106" s="684"/>
      <c r="V106" s="684"/>
      <c r="W106" s="684"/>
      <c r="X106" s="684"/>
      <c r="AK106" s="55" t="s">
        <v>5430</v>
      </c>
      <c r="AL106" s="106">
        <v>28.75</v>
      </c>
      <c r="AM106" s="582"/>
      <c r="AN106" s="137"/>
      <c r="AO106" s="137"/>
      <c r="AP106" s="137"/>
      <c r="AQ106" s="55" t="s">
        <v>450</v>
      </c>
      <c r="AR106" s="106">
        <v>18.75</v>
      </c>
      <c r="AS106" s="692"/>
      <c r="AT106" s="684"/>
      <c r="AU106" s="684"/>
      <c r="AV106" s="684"/>
      <c r="AW106" s="684"/>
      <c r="AX106" s="684"/>
      <c r="AY106" s="684"/>
      <c r="AZ106" s="684"/>
      <c r="BA106" s="684"/>
      <c r="BB106" s="684"/>
      <c r="BC106" s="137"/>
      <c r="BD106" s="137"/>
    </row>
    <row r="107" spans="1:57" x14ac:dyDescent="0.25">
      <c r="A107" s="137"/>
      <c r="B107" s="137"/>
      <c r="C107" s="137"/>
      <c r="D107" s="684"/>
      <c r="E107" s="684"/>
      <c r="F107" s="684"/>
      <c r="G107" s="684"/>
      <c r="H107" s="684"/>
      <c r="I107" s="684"/>
      <c r="M107" s="684"/>
      <c r="N107" s="684"/>
      <c r="O107" s="684"/>
      <c r="P107" s="684"/>
      <c r="Q107" s="684"/>
      <c r="R107" s="684"/>
      <c r="S107" s="684"/>
      <c r="T107" s="684"/>
      <c r="U107" s="684"/>
      <c r="V107" s="684"/>
      <c r="W107" s="684"/>
      <c r="X107" s="684"/>
      <c r="AK107" s="55" t="s">
        <v>2663</v>
      </c>
      <c r="AL107" s="106">
        <v>28.5</v>
      </c>
      <c r="AM107" s="582"/>
      <c r="AN107" s="137"/>
      <c r="AO107" s="137"/>
      <c r="AP107" s="137"/>
      <c r="AQ107" s="55" t="s">
        <v>3515</v>
      </c>
      <c r="AR107" s="106">
        <v>18.75</v>
      </c>
      <c r="AS107" s="692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137"/>
      <c r="BD107" s="137"/>
    </row>
    <row r="108" spans="1:57" x14ac:dyDescent="0.25">
      <c r="A108" s="137"/>
      <c r="B108" s="137"/>
      <c r="C108" s="137"/>
      <c r="D108" s="684"/>
      <c r="E108" s="684"/>
      <c r="F108" s="684"/>
      <c r="G108" s="684"/>
      <c r="H108" s="684"/>
      <c r="I108" s="684"/>
      <c r="M108" s="684"/>
      <c r="N108" s="684"/>
      <c r="O108" s="684"/>
      <c r="P108" s="684"/>
      <c r="Q108" s="684"/>
      <c r="R108" s="684"/>
      <c r="S108" s="684"/>
      <c r="T108" s="684"/>
      <c r="U108" s="684"/>
      <c r="V108" s="684"/>
      <c r="W108" s="684"/>
      <c r="X108" s="684"/>
      <c r="AK108" s="55" t="s">
        <v>273</v>
      </c>
      <c r="AL108" s="106">
        <v>28.25</v>
      </c>
      <c r="AM108" s="582"/>
      <c r="AN108" s="137"/>
      <c r="AO108" s="137"/>
      <c r="AP108" s="137"/>
      <c r="AQ108" s="55" t="s">
        <v>359</v>
      </c>
      <c r="AR108" s="106">
        <v>16.5</v>
      </c>
      <c r="AS108" s="692"/>
      <c r="AT108" s="684"/>
      <c r="AU108" s="684"/>
      <c r="AV108" s="684"/>
      <c r="AW108" s="684"/>
      <c r="AX108" s="684"/>
      <c r="AY108" s="684"/>
      <c r="AZ108" s="684"/>
      <c r="BA108" s="684"/>
      <c r="BB108" s="684"/>
      <c r="BC108" s="137"/>
      <c r="BD108" s="137"/>
    </row>
    <row r="109" spans="1:57" ht="15.75" thickBot="1" x14ac:dyDescent="0.3">
      <c r="A109" s="137"/>
      <c r="B109" s="137"/>
      <c r="C109" s="137"/>
      <c r="D109" s="684"/>
      <c r="E109" s="684"/>
      <c r="F109" s="684"/>
      <c r="G109" s="684"/>
      <c r="H109" s="684"/>
      <c r="I109" s="684"/>
      <c r="M109" s="684"/>
      <c r="N109" s="684"/>
      <c r="O109" s="684"/>
      <c r="P109" s="684"/>
      <c r="Q109" s="684"/>
      <c r="R109" s="684"/>
      <c r="S109" s="684"/>
      <c r="T109" s="684"/>
      <c r="U109" s="684"/>
      <c r="V109" s="684"/>
      <c r="W109" s="684"/>
      <c r="X109" s="684"/>
      <c r="AK109" s="56" t="s">
        <v>4987</v>
      </c>
      <c r="AL109" s="361">
        <v>23.5</v>
      </c>
      <c r="AM109" s="583"/>
      <c r="AN109" s="137"/>
      <c r="AO109" s="137"/>
      <c r="AP109" s="137"/>
      <c r="AQ109" s="56" t="s">
        <v>5721</v>
      </c>
      <c r="AR109" s="361">
        <v>8.5</v>
      </c>
      <c r="AS109" s="693"/>
      <c r="AT109" s="684"/>
      <c r="AU109" s="684"/>
      <c r="AV109" s="684"/>
      <c r="AW109" s="684"/>
      <c r="AX109" s="684"/>
      <c r="AY109" s="684"/>
      <c r="AZ109" s="684"/>
      <c r="BA109" s="684"/>
      <c r="BB109" s="684"/>
      <c r="BC109" s="137"/>
      <c r="BD109" s="137"/>
    </row>
    <row r="110" spans="1:57" x14ac:dyDescent="0.25">
      <c r="A110" s="137"/>
      <c r="B110" s="137"/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AK110" s="684"/>
      <c r="AL110" s="684"/>
      <c r="AM110" s="684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</row>
    <row r="111" spans="1:57" x14ac:dyDescent="0.25">
      <c r="A111" s="137"/>
      <c r="B111" s="137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AK111" s="684"/>
      <c r="AL111" s="684"/>
      <c r="AM111" s="684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37"/>
      <c r="AX111" s="137"/>
      <c r="AY111" s="137"/>
      <c r="AZ111" s="137"/>
      <c r="BA111" s="137"/>
      <c r="BB111" s="137"/>
      <c r="BC111" s="137"/>
      <c r="BD111" s="137"/>
    </row>
    <row r="112" spans="1:57" x14ac:dyDescent="0.25">
      <c r="A112" s="137"/>
      <c r="B112" s="137"/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AK112" s="684"/>
      <c r="AL112" s="684"/>
      <c r="AM112" s="684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37"/>
      <c r="AX112" s="137"/>
      <c r="AY112" s="137"/>
      <c r="AZ112" s="137"/>
      <c r="BA112" s="137"/>
      <c r="BB112" s="137"/>
      <c r="BC112" s="137"/>
      <c r="BD112" s="137"/>
    </row>
    <row r="113" spans="1:56" x14ac:dyDescent="0.25">
      <c r="A113" s="137"/>
      <c r="B113" s="137"/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AK113" s="684"/>
      <c r="AL113" s="684"/>
      <c r="AM113" s="684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</row>
    <row r="114" spans="1:56" x14ac:dyDescent="0.25">
      <c r="A114" s="137"/>
      <c r="B114" s="137"/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AK114" s="684"/>
      <c r="AL114" s="684"/>
      <c r="AM114" s="684"/>
      <c r="AN114" s="137"/>
      <c r="AO114" s="137"/>
      <c r="AP114" s="137"/>
      <c r="AQ114" s="137"/>
      <c r="AR114" s="137"/>
      <c r="AS114" s="137"/>
      <c r="AT114" s="137"/>
      <c r="AU114" s="137"/>
      <c r="AV114" s="137"/>
      <c r="AW114" s="137"/>
      <c r="AX114" s="137"/>
      <c r="AY114" s="137"/>
      <c r="AZ114" s="137"/>
      <c r="BA114" s="137"/>
      <c r="BB114" s="137"/>
      <c r="BC114" s="137"/>
      <c r="BD114" s="137"/>
    </row>
    <row r="115" spans="1:56" x14ac:dyDescent="0.25">
      <c r="A115" s="137"/>
      <c r="B115" s="13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AK115" s="684"/>
      <c r="AL115" s="684"/>
      <c r="AM115" s="684"/>
      <c r="AN115" s="137"/>
      <c r="AO115" s="137"/>
      <c r="AP115" s="137"/>
      <c r="AQ115" s="137"/>
      <c r="AR115" s="137"/>
      <c r="AS115" s="137"/>
      <c r="AT115" s="137"/>
      <c r="AU115" s="137"/>
      <c r="AV115" s="137"/>
      <c r="AW115" s="137"/>
      <c r="AX115" s="137"/>
      <c r="AY115" s="137"/>
      <c r="AZ115" s="137"/>
      <c r="BA115" s="137"/>
      <c r="BB115" s="137"/>
      <c r="BC115" s="137"/>
      <c r="BD115" s="137"/>
    </row>
    <row r="116" spans="1:56" x14ac:dyDescent="0.25">
      <c r="A116" s="137"/>
      <c r="B116" s="13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AK116" s="684"/>
      <c r="AL116" s="684"/>
      <c r="AM116" s="684"/>
      <c r="AN116" s="137"/>
      <c r="AO116" s="137"/>
      <c r="AP116" s="137"/>
      <c r="AQ116" s="137"/>
      <c r="AR116" s="137"/>
      <c r="AS116" s="137"/>
      <c r="AT116" s="137"/>
      <c r="AU116" s="137"/>
      <c r="AV116" s="137"/>
      <c r="AW116" s="137"/>
      <c r="AX116" s="137"/>
      <c r="AY116" s="137"/>
      <c r="AZ116" s="137"/>
      <c r="BA116" s="137"/>
      <c r="BB116" s="137"/>
      <c r="BC116" s="137"/>
      <c r="BD116" s="137"/>
    </row>
    <row r="117" spans="1:56" x14ac:dyDescent="0.25">
      <c r="A117" s="137"/>
      <c r="B117" s="13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AK117" s="684"/>
      <c r="AL117" s="684"/>
      <c r="AM117" s="684"/>
      <c r="AN117" s="137"/>
      <c r="AO117" s="137"/>
      <c r="AP117" s="137"/>
      <c r="AQ117" s="137"/>
      <c r="AR117" s="137"/>
      <c r="AS117" s="137"/>
      <c r="AT117" s="137"/>
      <c r="AU117" s="137"/>
      <c r="AV117" s="137"/>
      <c r="AW117" s="137"/>
      <c r="AX117" s="137"/>
      <c r="AY117" s="137"/>
      <c r="AZ117" s="137"/>
      <c r="BA117" s="137"/>
      <c r="BB117" s="137"/>
      <c r="BC117" s="137"/>
      <c r="BD117" s="137"/>
    </row>
    <row r="118" spans="1:56" x14ac:dyDescent="0.25">
      <c r="A118" s="137"/>
      <c r="B118" s="13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AK118" s="684"/>
      <c r="AL118" s="684"/>
      <c r="AM118" s="684"/>
      <c r="AN118" s="137"/>
      <c r="AO118" s="137"/>
      <c r="AP118" s="137"/>
      <c r="AQ118" s="137"/>
      <c r="AR118" s="137"/>
      <c r="AS118" s="137"/>
      <c r="AT118" s="137"/>
      <c r="AU118" s="137"/>
      <c r="AV118" s="137"/>
      <c r="AW118" s="137"/>
      <c r="AX118" s="137"/>
      <c r="AY118" s="137"/>
      <c r="AZ118" s="137"/>
      <c r="BA118" s="137"/>
      <c r="BB118" s="137"/>
      <c r="BC118" s="137"/>
      <c r="BD118" s="137"/>
    </row>
    <row r="119" spans="1:56" x14ac:dyDescent="0.25">
      <c r="A119" s="137"/>
      <c r="B119" s="137"/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AK119" s="684"/>
      <c r="AL119" s="684"/>
      <c r="AM119" s="684"/>
      <c r="AN119" s="137"/>
      <c r="AO119" s="137"/>
      <c r="AP119" s="137"/>
      <c r="AQ119" s="137"/>
      <c r="AR119" s="137"/>
      <c r="AS119" s="137"/>
      <c r="AT119" s="137"/>
      <c r="AU119" s="137"/>
      <c r="AV119" s="137"/>
      <c r="AW119" s="137"/>
      <c r="AX119" s="137"/>
      <c r="AY119" s="137"/>
      <c r="AZ119" s="137"/>
      <c r="BA119" s="137"/>
      <c r="BB119" s="137"/>
      <c r="BC119" s="137"/>
      <c r="BD119" s="137"/>
    </row>
    <row r="120" spans="1:56" x14ac:dyDescent="0.25">
      <c r="A120" s="137"/>
      <c r="B120" s="137"/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AK120" s="684"/>
      <c r="AL120" s="684"/>
      <c r="AM120" s="684"/>
      <c r="AN120" s="137"/>
      <c r="AO120" s="137"/>
      <c r="AP120" s="137"/>
      <c r="AQ120" s="137"/>
      <c r="AR120" s="137"/>
      <c r="AS120" s="137"/>
      <c r="AT120" s="137"/>
      <c r="AU120" s="137"/>
      <c r="AV120" s="137"/>
      <c r="AW120" s="137"/>
      <c r="AX120" s="137"/>
      <c r="AY120" s="137"/>
      <c r="AZ120" s="137"/>
      <c r="BA120" s="137"/>
      <c r="BB120" s="137"/>
      <c r="BC120" s="137"/>
      <c r="BD120" s="137"/>
    </row>
    <row r="121" spans="1:56" x14ac:dyDescent="0.25">
      <c r="A121" s="137"/>
      <c r="B121" s="137"/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AK121" s="684"/>
      <c r="AL121" s="684"/>
      <c r="AM121" s="684"/>
      <c r="AN121" s="137"/>
      <c r="AO121" s="137"/>
      <c r="AP121" s="137"/>
      <c r="AQ121" s="137"/>
      <c r="AR121" s="137"/>
      <c r="AS121" s="137"/>
      <c r="AT121" s="137"/>
      <c r="AU121" s="137"/>
      <c r="AV121" s="137"/>
      <c r="AW121" s="137"/>
      <c r="AX121" s="137"/>
      <c r="AY121" s="137"/>
      <c r="AZ121" s="137"/>
      <c r="BA121" s="137"/>
      <c r="BB121" s="137"/>
      <c r="BC121" s="137"/>
      <c r="BD121" s="137"/>
    </row>
    <row r="122" spans="1:56" x14ac:dyDescent="0.25">
      <c r="A122" s="137"/>
      <c r="B122" s="137"/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AB122" s="137"/>
      <c r="AC122" s="137"/>
      <c r="AD122" s="137"/>
      <c r="AK122" s="684"/>
      <c r="AL122" s="684"/>
      <c r="AM122" s="684"/>
      <c r="AN122" s="137"/>
      <c r="AO122" s="137"/>
      <c r="AP122" s="137"/>
      <c r="AQ122" s="137"/>
      <c r="AR122" s="137"/>
      <c r="AS122" s="137"/>
      <c r="AT122" s="137"/>
      <c r="AU122" s="137"/>
      <c r="AV122" s="137"/>
      <c r="AW122" s="137"/>
      <c r="AX122" s="137"/>
      <c r="AY122" s="137"/>
      <c r="AZ122" s="137"/>
      <c r="BA122" s="137"/>
      <c r="BB122" s="137"/>
      <c r="BC122" s="137"/>
      <c r="BD122" s="137"/>
    </row>
    <row r="123" spans="1:56" x14ac:dyDescent="0.25">
      <c r="A123" s="137"/>
      <c r="B123" s="137"/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AB123" s="137"/>
      <c r="AC123" s="137"/>
      <c r="AD123" s="137"/>
      <c r="AK123" s="684"/>
      <c r="AL123" s="684"/>
      <c r="AM123" s="684"/>
      <c r="AN123" s="137"/>
      <c r="AO123" s="137"/>
      <c r="AP123" s="137"/>
      <c r="AQ123" s="137"/>
      <c r="AR123" s="137"/>
      <c r="AS123" s="137"/>
      <c r="AT123" s="137"/>
      <c r="AU123" s="137"/>
      <c r="AV123" s="137"/>
      <c r="AW123" s="137"/>
      <c r="AX123" s="137"/>
      <c r="AY123" s="137"/>
      <c r="AZ123" s="137"/>
      <c r="BA123" s="137"/>
      <c r="BB123" s="137"/>
      <c r="BC123" s="137"/>
      <c r="BD123" s="137"/>
    </row>
    <row r="124" spans="1:56" x14ac:dyDescent="0.25">
      <c r="A124" s="137"/>
      <c r="B124" s="137"/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684"/>
      <c r="Z124" s="684"/>
      <c r="AA124" s="684"/>
      <c r="AB124" s="684"/>
      <c r="AC124" s="684"/>
      <c r="AD124" s="684"/>
      <c r="AK124" s="684"/>
      <c r="AL124" s="684"/>
      <c r="AM124" s="684"/>
      <c r="AN124" s="137"/>
      <c r="AO124" s="137"/>
      <c r="AP124" s="137"/>
      <c r="AQ124" s="137"/>
      <c r="AR124" s="137"/>
      <c r="AS124" s="137"/>
      <c r="AT124" s="137"/>
      <c r="AU124" s="137"/>
      <c r="AV124" s="137"/>
      <c r="AW124" s="137"/>
      <c r="AX124" s="137"/>
      <c r="AY124" s="137"/>
      <c r="AZ124" s="137"/>
      <c r="BA124" s="137"/>
      <c r="BB124" s="137"/>
      <c r="BC124" s="137"/>
      <c r="BD124" s="137"/>
    </row>
    <row r="125" spans="1:56" x14ac:dyDescent="0.25">
      <c r="A125" s="137"/>
      <c r="B125" s="137"/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684"/>
      <c r="Z125" s="684"/>
      <c r="AA125" s="684"/>
      <c r="AB125" s="684"/>
      <c r="AC125" s="684"/>
      <c r="AD125" s="684"/>
      <c r="AK125" s="684"/>
      <c r="AL125" s="684"/>
      <c r="AM125" s="684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37"/>
      <c r="AX125" s="137"/>
      <c r="AY125" s="137"/>
      <c r="AZ125" s="137"/>
      <c r="BA125" s="137"/>
      <c r="BB125" s="137"/>
      <c r="BC125" s="137"/>
      <c r="BD125" s="137"/>
    </row>
    <row r="126" spans="1:56" x14ac:dyDescent="0.25">
      <c r="A126" s="137"/>
      <c r="B126" s="137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684"/>
      <c r="Z126" s="684"/>
      <c r="AA126" s="684"/>
      <c r="AB126" s="684"/>
      <c r="AC126" s="684"/>
      <c r="AD126" s="684"/>
      <c r="AK126" s="684"/>
      <c r="AL126" s="684"/>
      <c r="AM126" s="684"/>
      <c r="AN126" s="137"/>
      <c r="AO126" s="137"/>
      <c r="AP126" s="137"/>
      <c r="AQ126" s="137"/>
      <c r="AR126" s="137"/>
      <c r="AS126" s="137"/>
      <c r="AT126" s="137"/>
      <c r="AU126" s="137"/>
      <c r="AV126" s="137"/>
      <c r="AW126" s="137"/>
      <c r="AX126" s="137"/>
      <c r="AY126" s="137"/>
      <c r="AZ126" s="137"/>
      <c r="BA126" s="137"/>
      <c r="BB126" s="137"/>
      <c r="BC126" s="137"/>
      <c r="BD126" s="137"/>
    </row>
    <row r="127" spans="1:56" x14ac:dyDescent="0.25">
      <c r="A127" s="137"/>
      <c r="B127" s="13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684"/>
      <c r="Z127" s="684"/>
      <c r="AA127" s="684"/>
      <c r="AB127" s="684"/>
      <c r="AC127" s="684"/>
      <c r="AD127" s="684"/>
      <c r="AK127" s="684"/>
      <c r="AL127" s="684"/>
      <c r="AM127" s="684"/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37"/>
      <c r="AX127" s="137"/>
      <c r="AY127" s="137"/>
      <c r="AZ127" s="137"/>
      <c r="BA127" s="137"/>
      <c r="BB127" s="137"/>
      <c r="BC127" s="137"/>
      <c r="BD127" s="137"/>
    </row>
    <row r="128" spans="1:56" x14ac:dyDescent="0.25">
      <c r="A128" s="137"/>
      <c r="B128" s="137"/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684"/>
      <c r="Z128" s="684"/>
      <c r="AA128" s="684"/>
      <c r="AB128" s="684"/>
      <c r="AC128" s="684"/>
      <c r="AD128" s="684"/>
      <c r="AK128" s="684"/>
      <c r="AL128" s="684"/>
      <c r="AM128" s="684"/>
      <c r="AN128" s="137"/>
      <c r="AO128" s="137"/>
      <c r="AP128" s="137"/>
      <c r="AQ128" s="137"/>
      <c r="AR128" s="137"/>
      <c r="AS128" s="137"/>
      <c r="AT128" s="137"/>
      <c r="AU128" s="137"/>
      <c r="AV128" s="137"/>
      <c r="AW128" s="137"/>
      <c r="AX128" s="137"/>
      <c r="AY128" s="137"/>
      <c r="AZ128" s="137"/>
      <c r="BA128" s="137"/>
      <c r="BB128" s="137"/>
      <c r="BC128" s="137"/>
      <c r="BD128" s="137"/>
    </row>
    <row r="129" spans="1:56" x14ac:dyDescent="0.25">
      <c r="A129" s="137"/>
      <c r="B129" s="137"/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684"/>
      <c r="Z129" s="684"/>
      <c r="AA129" s="684"/>
      <c r="AB129" s="684"/>
      <c r="AC129" s="684"/>
      <c r="AD129" s="684"/>
      <c r="AK129" s="684"/>
      <c r="AL129" s="684"/>
      <c r="AM129" s="684"/>
      <c r="AN129" s="137"/>
      <c r="AO129" s="137"/>
      <c r="AP129" s="137"/>
      <c r="AQ129" s="137"/>
      <c r="AR129" s="137"/>
      <c r="AS129" s="137"/>
      <c r="AT129" s="137"/>
      <c r="AU129" s="137"/>
      <c r="AV129" s="137"/>
      <c r="AW129" s="137"/>
      <c r="AX129" s="137"/>
      <c r="AY129" s="137"/>
      <c r="AZ129" s="137"/>
      <c r="BA129" s="137"/>
      <c r="BB129" s="137"/>
      <c r="BC129" s="137"/>
      <c r="BD129" s="137"/>
    </row>
    <row r="130" spans="1:56" x14ac:dyDescent="0.25">
      <c r="A130" s="137"/>
      <c r="B130" s="137"/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684"/>
      <c r="Z130" s="684"/>
      <c r="AA130" s="684"/>
      <c r="AB130" s="684"/>
      <c r="AC130" s="684"/>
      <c r="AD130" s="684"/>
      <c r="AK130" s="684"/>
      <c r="AL130" s="684"/>
      <c r="AM130" s="684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37"/>
      <c r="AX130" s="137"/>
      <c r="AY130" s="137"/>
      <c r="AZ130" s="137"/>
      <c r="BA130" s="137"/>
      <c r="BB130" s="137"/>
      <c r="BC130" s="137"/>
      <c r="BD130" s="137"/>
    </row>
    <row r="131" spans="1:56" x14ac:dyDescent="0.25">
      <c r="A131" s="137"/>
      <c r="B131" s="137"/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684"/>
      <c r="Z131" s="684"/>
      <c r="AA131" s="684"/>
      <c r="AB131" s="684"/>
      <c r="AC131" s="684"/>
      <c r="AD131" s="684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  <c r="AT131" s="137"/>
      <c r="AU131" s="137"/>
      <c r="AV131" s="137"/>
      <c r="AW131" s="137"/>
      <c r="AX131" s="137"/>
      <c r="AY131" s="137"/>
      <c r="AZ131" s="137"/>
      <c r="BA131" s="137"/>
      <c r="BB131" s="137"/>
      <c r="BC131" s="137"/>
      <c r="BD131" s="137"/>
    </row>
    <row r="132" spans="1:56" x14ac:dyDescent="0.25">
      <c r="A132" s="137"/>
      <c r="B132" s="13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684"/>
      <c r="Z132" s="684"/>
      <c r="AA132" s="684"/>
      <c r="AB132" s="684"/>
      <c r="AC132" s="684"/>
      <c r="AD132" s="684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  <c r="AT132" s="137"/>
      <c r="AU132" s="137"/>
      <c r="AV132" s="137"/>
      <c r="AW132" s="137"/>
      <c r="AX132" s="137"/>
      <c r="AY132" s="137"/>
      <c r="AZ132" s="137"/>
      <c r="BA132" s="137"/>
      <c r="BB132" s="137"/>
      <c r="BC132" s="137"/>
      <c r="BD132" s="137"/>
    </row>
    <row r="133" spans="1:56" x14ac:dyDescent="0.25">
      <c r="A133" s="137"/>
      <c r="B133" s="137"/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684"/>
      <c r="Z133" s="684"/>
      <c r="AA133" s="684"/>
      <c r="AB133" s="684"/>
      <c r="AC133" s="684"/>
      <c r="AD133" s="684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  <c r="AT133" s="137"/>
      <c r="AU133" s="137"/>
      <c r="AV133" s="137"/>
      <c r="AW133" s="137"/>
      <c r="AX133" s="137"/>
      <c r="AY133" s="137"/>
      <c r="AZ133" s="137"/>
      <c r="BA133" s="137"/>
      <c r="BB133" s="137"/>
      <c r="BC133" s="137"/>
      <c r="BD133" s="137"/>
    </row>
  </sheetData>
  <sortState xmlns:xlrd2="http://schemas.microsoft.com/office/spreadsheetml/2017/richdata2" ref="S25:T32">
    <sortCondition ref="S25"/>
  </sortState>
  <mergeCells count="194">
    <mergeCell ref="A1:BB1"/>
    <mergeCell ref="C48:C54"/>
    <mergeCell ref="C55:C61"/>
    <mergeCell ref="U44:U51"/>
    <mergeCell ref="C35:C47"/>
    <mergeCell ref="U22:U43"/>
    <mergeCell ref="F2:F19"/>
    <mergeCell ref="F20:F25"/>
    <mergeCell ref="F26:F31"/>
    <mergeCell ref="F32:F38"/>
    <mergeCell ref="F39:F45"/>
    <mergeCell ref="F46:F55"/>
    <mergeCell ref="F56:F65"/>
    <mergeCell ref="U9:U21"/>
    <mergeCell ref="U52:U64"/>
    <mergeCell ref="O43:O47"/>
    <mergeCell ref="O48:O52"/>
    <mergeCell ref="O53:O57"/>
    <mergeCell ref="O58:O62"/>
    <mergeCell ref="I56:I62"/>
    <mergeCell ref="I2:I8"/>
    <mergeCell ref="I23:I33"/>
    <mergeCell ref="I9:I15"/>
    <mergeCell ref="I16:I22"/>
    <mergeCell ref="I34:I44"/>
    <mergeCell ref="I45:I55"/>
    <mergeCell ref="X2:X19"/>
    <mergeCell ref="X20:X37"/>
    <mergeCell ref="L56:L62"/>
    <mergeCell ref="U2:U8"/>
    <mergeCell ref="L2:L7"/>
    <mergeCell ref="L8:L13"/>
    <mergeCell ref="L14:L19"/>
    <mergeCell ref="L20:L25"/>
    <mergeCell ref="L26:L31"/>
    <mergeCell ref="L32:L37"/>
    <mergeCell ref="L38:L43"/>
    <mergeCell ref="L44:L49"/>
    <mergeCell ref="L50:L55"/>
    <mergeCell ref="C62:C68"/>
    <mergeCell ref="C69:C75"/>
    <mergeCell ref="O2:O8"/>
    <mergeCell ref="O9:O15"/>
    <mergeCell ref="R2:R7"/>
    <mergeCell ref="R8:R13"/>
    <mergeCell ref="R14:R19"/>
    <mergeCell ref="R20:R25"/>
    <mergeCell ref="R26:R32"/>
    <mergeCell ref="R33:R39"/>
    <mergeCell ref="R40:R46"/>
    <mergeCell ref="R47:R53"/>
    <mergeCell ref="R54:R59"/>
    <mergeCell ref="R60:R65"/>
    <mergeCell ref="R66:R71"/>
    <mergeCell ref="O68:O73"/>
    <mergeCell ref="L63:L69"/>
    <mergeCell ref="L70:L76"/>
    <mergeCell ref="O63:O67"/>
    <mergeCell ref="O16:O22"/>
    <mergeCell ref="O23:O27"/>
    <mergeCell ref="O28:O32"/>
    <mergeCell ref="O33:O37"/>
    <mergeCell ref="O38:O42"/>
    <mergeCell ref="I63:I71"/>
    <mergeCell ref="X38:X47"/>
    <mergeCell ref="AA62:AA71"/>
    <mergeCell ref="AD47:AD58"/>
    <mergeCell ref="AD59:AD70"/>
    <mergeCell ref="BE2:BE16"/>
    <mergeCell ref="BE17:BE31"/>
    <mergeCell ref="X48:X59"/>
    <mergeCell ref="X60:X71"/>
    <mergeCell ref="F66:F74"/>
    <mergeCell ref="AG72:AG79"/>
    <mergeCell ref="AY19:AY35"/>
    <mergeCell ref="AY36:AY52"/>
    <mergeCell ref="AD39:AD46"/>
    <mergeCell ref="AA2:AA7"/>
    <mergeCell ref="AA8:AA13"/>
    <mergeCell ref="AA14:AA20"/>
    <mergeCell ref="AA21:AA27"/>
    <mergeCell ref="AA28:AA35"/>
    <mergeCell ref="AA36:AA43"/>
    <mergeCell ref="AA44:AA52"/>
    <mergeCell ref="AA53:AA61"/>
    <mergeCell ref="AD2:AD8"/>
    <mergeCell ref="AD9:AD15"/>
    <mergeCell ref="AD16:AD22"/>
    <mergeCell ref="AD23:AD30"/>
    <mergeCell ref="AD31:AD38"/>
    <mergeCell ref="AY2:AY18"/>
    <mergeCell ref="BE52:BE61"/>
    <mergeCell ref="AJ2:AJ11"/>
    <mergeCell ref="AJ12:AJ21"/>
    <mergeCell ref="AJ22:AJ31"/>
    <mergeCell ref="AJ32:AJ42"/>
    <mergeCell ref="AJ43:AJ53"/>
    <mergeCell ref="AJ54:AJ64"/>
    <mergeCell ref="AG47:AG55"/>
    <mergeCell ref="BE62:BE70"/>
    <mergeCell ref="BE71:BE79"/>
    <mergeCell ref="BE80:BE88"/>
    <mergeCell ref="BE89:BE97"/>
    <mergeCell ref="BE32:BE41"/>
    <mergeCell ref="BE42:BE51"/>
    <mergeCell ref="AG2:AG10"/>
    <mergeCell ref="AG11:AG19"/>
    <mergeCell ref="AG20:AG28"/>
    <mergeCell ref="AG29:AG37"/>
    <mergeCell ref="AG38:AG46"/>
    <mergeCell ref="AY69:AY76"/>
    <mergeCell ref="AY53:AY60"/>
    <mergeCell ref="AY61:AY68"/>
    <mergeCell ref="AG56:AG63"/>
    <mergeCell ref="AG64:AG71"/>
    <mergeCell ref="BB72:BB77"/>
    <mergeCell ref="BB78:BB83"/>
    <mergeCell ref="BB84:BB89"/>
    <mergeCell ref="BB90:BB95"/>
    <mergeCell ref="BB96:BB101"/>
    <mergeCell ref="BB42:BB47"/>
    <mergeCell ref="BB48:BB53"/>
    <mergeCell ref="BB54:BB59"/>
    <mergeCell ref="BB60:BB65"/>
    <mergeCell ref="BB66:BB71"/>
    <mergeCell ref="BB2:BB9"/>
    <mergeCell ref="BB10:BB17"/>
    <mergeCell ref="BB18:BB25"/>
    <mergeCell ref="BB26:BB33"/>
    <mergeCell ref="BB34:BB41"/>
    <mergeCell ref="AV55:AV59"/>
    <mergeCell ref="AV60:AV64"/>
    <mergeCell ref="AV65:AV69"/>
    <mergeCell ref="AP70:AP75"/>
    <mergeCell ref="AS50:AS55"/>
    <mergeCell ref="AS56:AS61"/>
    <mergeCell ref="AS62:AS67"/>
    <mergeCell ref="AS44:AS49"/>
    <mergeCell ref="AV26:AV31"/>
    <mergeCell ref="AV32:AV37"/>
    <mergeCell ref="AV38:AV43"/>
    <mergeCell ref="AV50:AV54"/>
    <mergeCell ref="AV44:AV49"/>
    <mergeCell ref="AP2:AP8"/>
    <mergeCell ref="AP9:AP15"/>
    <mergeCell ref="AP16:AP22"/>
    <mergeCell ref="AP23:AP29"/>
    <mergeCell ref="AS2:AS7"/>
    <mergeCell ref="AS8:AS13"/>
    <mergeCell ref="AP60:AP69"/>
    <mergeCell ref="AM2:AM6"/>
    <mergeCell ref="AM7:AM11"/>
    <mergeCell ref="AM12:AM16"/>
    <mergeCell ref="AM17:AM23"/>
    <mergeCell ref="AV70:AV77"/>
    <mergeCell ref="AM24:AM30"/>
    <mergeCell ref="AM31:AM37"/>
    <mergeCell ref="AS14:AS19"/>
    <mergeCell ref="AS20:AS25"/>
    <mergeCell ref="AV2:AV7"/>
    <mergeCell ref="AV8:AV13"/>
    <mergeCell ref="AV14:AV19"/>
    <mergeCell ref="AV20:AV25"/>
    <mergeCell ref="AS26:AS31"/>
    <mergeCell ref="AS32:AS37"/>
    <mergeCell ref="AS38:AS43"/>
    <mergeCell ref="AP76:AP81"/>
    <mergeCell ref="AM38:AM42"/>
    <mergeCell ref="AM43:AM47"/>
    <mergeCell ref="AM48:AM52"/>
    <mergeCell ref="C2:C14"/>
    <mergeCell ref="C15:C34"/>
    <mergeCell ref="AV78:AV85"/>
    <mergeCell ref="AV86:AV93"/>
    <mergeCell ref="AV94:AV101"/>
    <mergeCell ref="AS74:AS82"/>
    <mergeCell ref="AS83:AS91"/>
    <mergeCell ref="AS92:AS100"/>
    <mergeCell ref="AS101:AS109"/>
    <mergeCell ref="AS68:AS73"/>
    <mergeCell ref="AP82:AP87"/>
    <mergeCell ref="AP88:AP93"/>
    <mergeCell ref="AM74:AM79"/>
    <mergeCell ref="AJ65:AJ70"/>
    <mergeCell ref="AJ71:AJ76"/>
    <mergeCell ref="AM92:AM97"/>
    <mergeCell ref="AM98:AM103"/>
    <mergeCell ref="AM104:AM109"/>
    <mergeCell ref="AM53:AM59"/>
    <mergeCell ref="AM60:AM66"/>
    <mergeCell ref="AM67:AM73"/>
    <mergeCell ref="AP30:AP39"/>
    <mergeCell ref="AP40:AP49"/>
    <mergeCell ref="AP50:AP5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F391-E1F9-4EA1-8ECF-0FAFBA338334}">
  <sheetPr>
    <tabColor rgb="FFFF0000"/>
  </sheetPr>
  <dimension ref="A1:X857"/>
  <sheetViews>
    <sheetView zoomScale="70" zoomScaleNormal="70" workbookViewId="0">
      <pane xSplit="1" ySplit="2" topLeftCell="B3" activePane="bottomRight" state="frozen"/>
      <selection activeCell="L35" sqref="L35"/>
      <selection pane="topRight" activeCell="L35" sqref="L35"/>
      <selection pane="bottomLeft" activeCell="L35" sqref="L35"/>
      <selection pane="bottomRight" activeCell="O3" sqref="O3"/>
    </sheetView>
  </sheetViews>
  <sheetFormatPr defaultRowHeight="15" x14ac:dyDescent="0.25"/>
  <cols>
    <col min="1" max="1" width="13.140625" style="16" bestFit="1" customWidth="1"/>
    <col min="2" max="2" width="8.42578125" style="16" customWidth="1"/>
    <col min="3" max="3" width="19.140625" style="16" bestFit="1" customWidth="1"/>
    <col min="4" max="4" width="5.7109375" style="16" customWidth="1"/>
    <col min="5" max="5" width="13.7109375" style="16" customWidth="1"/>
    <col min="6" max="6" width="10.85546875" style="16" customWidth="1"/>
    <col min="7" max="7" width="16.42578125" style="179" customWidth="1"/>
    <col min="8" max="8" width="14.28515625" style="16" customWidth="1"/>
    <col min="9" max="9" width="11" style="16" customWidth="1"/>
    <col min="10" max="10" width="30.85546875" style="102" bestFit="1" customWidth="1"/>
    <col min="11" max="11" width="17.7109375" style="102" bestFit="1" customWidth="1"/>
    <col min="12" max="12" width="10.85546875" style="26" customWidth="1"/>
    <col min="13" max="13" width="17.85546875" style="26" bestFit="1" customWidth="1"/>
    <col min="14" max="14" width="17.7109375" style="26" bestFit="1" customWidth="1"/>
    <col min="15" max="15" width="15.42578125" style="26" bestFit="1" customWidth="1"/>
    <col min="16" max="16" width="15.85546875" style="26" bestFit="1" customWidth="1"/>
    <col min="17" max="17" width="12.28515625" bestFit="1" customWidth="1"/>
    <col min="18" max="18" width="10.7109375" customWidth="1"/>
    <col min="19" max="19" width="21.140625" bestFit="1" customWidth="1"/>
  </cols>
  <sheetData>
    <row r="1" spans="1:24" ht="30" customHeight="1" x14ac:dyDescent="0.35">
      <c r="H1" s="255"/>
      <c r="J1" s="265">
        <f>SUM(J3:J817)</f>
        <v>108028813270</v>
      </c>
      <c r="K1" s="265">
        <f>AVERAGE(K3:K817)</f>
        <v>39599.923280367271</v>
      </c>
      <c r="P1" s="281">
        <f>SUM(P3:P817)</f>
        <v>25</v>
      </c>
      <c r="S1" s="103">
        <f>SUM(S3:S860)</f>
        <v>3074056920</v>
      </c>
      <c r="T1">
        <v>1320</v>
      </c>
      <c r="U1">
        <f>T1+1320</f>
        <v>2640</v>
      </c>
      <c r="V1">
        <f>U1+1320</f>
        <v>3960</v>
      </c>
      <c r="W1">
        <f>V1+1320</f>
        <v>5280</v>
      </c>
      <c r="X1">
        <f>W1+1320</f>
        <v>6600</v>
      </c>
    </row>
    <row r="2" spans="1:24" s="278" customFormat="1" ht="30" x14ac:dyDescent="0.25">
      <c r="A2" s="240" t="s">
        <v>467</v>
      </c>
      <c r="B2" s="240" t="s">
        <v>466</v>
      </c>
      <c r="C2" s="240" t="s">
        <v>465</v>
      </c>
      <c r="D2" s="240" t="s">
        <v>11661</v>
      </c>
      <c r="E2" s="240" t="s">
        <v>11659</v>
      </c>
      <c r="F2" s="240" t="s">
        <v>13114</v>
      </c>
      <c r="G2" s="285" t="s">
        <v>11660</v>
      </c>
      <c r="H2" s="240" t="s">
        <v>11663</v>
      </c>
      <c r="I2" s="240" t="s">
        <v>15968</v>
      </c>
      <c r="J2" s="244" t="s">
        <v>11120</v>
      </c>
      <c r="K2" s="245" t="s">
        <v>459</v>
      </c>
      <c r="L2" s="241" t="s">
        <v>16794</v>
      </c>
      <c r="M2" s="286" t="s">
        <v>16795</v>
      </c>
      <c r="N2" s="286" t="s">
        <v>16796</v>
      </c>
      <c r="O2" s="286" t="s">
        <v>16797</v>
      </c>
      <c r="P2" s="286" t="s">
        <v>16798</v>
      </c>
      <c r="Q2" s="283" t="s">
        <v>16804</v>
      </c>
      <c r="R2" s="283" t="s">
        <v>16805</v>
      </c>
      <c r="S2" s="283" t="s">
        <v>16806</v>
      </c>
    </row>
    <row r="3" spans="1:24" x14ac:dyDescent="0.25">
      <c r="A3" s="251" t="s">
        <v>16754</v>
      </c>
      <c r="B3" s="251" t="s">
        <v>4764</v>
      </c>
      <c r="C3" s="16" t="s">
        <v>2</v>
      </c>
      <c r="D3" s="251">
        <v>3</v>
      </c>
      <c r="E3" s="251" t="s">
        <v>258</v>
      </c>
      <c r="F3" s="251" t="s">
        <v>12670</v>
      </c>
      <c r="G3" s="252" t="s">
        <v>8977</v>
      </c>
      <c r="H3" s="254">
        <v>1055</v>
      </c>
      <c r="I3" s="180">
        <v>4.5</v>
      </c>
      <c r="J3" s="102">
        <v>152940246</v>
      </c>
      <c r="K3" s="253">
        <f>IFERROR(Table21[[#This Row],[ROUTE COST]]/Table21[[#This Row],[O - DEMAND]],0)</f>
        <v>60787.061208267092</v>
      </c>
      <c r="L3" s="26">
        <v>2516</v>
      </c>
      <c r="M3" s="26">
        <f>IFERROR(VLOOKUP(Table21[[#This Row],[ROUTE]],DEMAND!A:F,5,FALSE),0)</f>
        <v>2635</v>
      </c>
      <c r="N3" s="26">
        <f>IFERROR(VLOOKUP(Table21[[#This Row],[ROUTE]],DEMAND!A:F,6,FALSE),0)</f>
        <v>1315</v>
      </c>
      <c r="O3" s="26">
        <f>ROUNDDOWN(Table21[[#This Row],[R-DEMAND]]/1320,0)</f>
        <v>0</v>
      </c>
      <c r="P3" s="26">
        <f>Table21[[#This Row],[ADD ACC]]*Table21[[#This Row],[Duration
(747-400)]]</f>
        <v>0</v>
      </c>
      <c r="Q3" s="284">
        <f>IFERROR(VLOOKUP(Table21[[#This Row],[ROUTE]],PRICING!A:B,2,FALSE),0)</f>
        <v>384</v>
      </c>
      <c r="R3" s="282">
        <f>Table21[[#This Row],[C_DEMAND]]-Table21[[#This Row],[R-DEMAND]]</f>
        <v>1320</v>
      </c>
      <c r="S3" s="287">
        <f>Table21[[#This Row],[SEATS SOLD]]*Table21[[#This Row],[ECO SEAT]]</f>
        <v>506880</v>
      </c>
      <c r="T3" s="103"/>
    </row>
    <row r="4" spans="1:24" x14ac:dyDescent="0.25">
      <c r="A4" s="16" t="s">
        <v>16419</v>
      </c>
      <c r="B4" s="16" t="s">
        <v>5443</v>
      </c>
      <c r="C4" s="16" t="s">
        <v>2</v>
      </c>
      <c r="D4" s="16">
        <v>3</v>
      </c>
      <c r="E4" s="16" t="s">
        <v>700</v>
      </c>
      <c r="F4" s="16" t="s">
        <v>12670</v>
      </c>
      <c r="G4" s="179" t="s">
        <v>11847</v>
      </c>
      <c r="H4" s="254">
        <v>7353</v>
      </c>
      <c r="I4" s="180">
        <v>18.5</v>
      </c>
      <c r="J4" s="102">
        <v>229913942</v>
      </c>
      <c r="K4" s="102">
        <f>IFERROR(Table21[[#This Row],[ROUTE COST]]/Table21[[#This Row],[O - DEMAND]],0)</f>
        <v>61033.69843376692</v>
      </c>
      <c r="L4" s="26">
        <v>3767</v>
      </c>
      <c r="M4" s="26">
        <f>IFERROR(VLOOKUP(Table21[[#This Row],[ROUTE]],DEMAND!A:F,5,FALSE),0)</f>
        <v>3955</v>
      </c>
      <c r="N4" s="26">
        <f>IFERROR(VLOOKUP(Table21[[#This Row],[ROUTE]],DEMAND!A:F,6,FALSE),0)</f>
        <v>1315</v>
      </c>
      <c r="O4" s="26">
        <f>ROUNDDOWN(Table21[[#This Row],[R-DEMAND]]/1320,0)</f>
        <v>0</v>
      </c>
      <c r="P4" s="26">
        <f>Table21[[#This Row],[ADD ACC]]*Table21[[#This Row],[Duration
(747-400)]]</f>
        <v>0</v>
      </c>
      <c r="Q4" s="284">
        <f>IFERROR(VLOOKUP(Table21[[#This Row],[ROUTE]],PRICING!A:B,2,FALSE),0)</f>
        <v>2039</v>
      </c>
      <c r="R4" s="282">
        <f>Table21[[#This Row],[C_DEMAND]]-Table21[[#This Row],[R-DEMAND]]</f>
        <v>2640</v>
      </c>
      <c r="S4" s="287">
        <f>Table21[[#This Row],[SEATS SOLD]]*Table21[[#This Row],[ECO SEAT]]</f>
        <v>5382960</v>
      </c>
    </row>
    <row r="5" spans="1:24" x14ac:dyDescent="0.25">
      <c r="A5" s="16" t="s">
        <v>16600</v>
      </c>
      <c r="B5" s="16" t="s">
        <v>93</v>
      </c>
      <c r="C5" s="16" t="s">
        <v>2</v>
      </c>
      <c r="D5" s="16">
        <v>5</v>
      </c>
      <c r="E5" s="16" t="s">
        <v>92</v>
      </c>
      <c r="F5" s="16" t="s">
        <v>12670</v>
      </c>
      <c r="G5" s="179" t="s">
        <v>91</v>
      </c>
      <c r="H5" s="254">
        <v>4491</v>
      </c>
      <c r="I5" s="180">
        <v>12</v>
      </c>
      <c r="J5" s="102">
        <v>230377153</v>
      </c>
      <c r="K5" s="102">
        <f>IFERROR(Table21[[#This Row],[ROUTE COST]]/Table21[[#This Row],[O - DEMAND]],0)</f>
        <v>62029.389606892837</v>
      </c>
      <c r="L5" s="26">
        <v>3714</v>
      </c>
      <c r="M5" s="26">
        <f>IFERROR(VLOOKUP(Table21[[#This Row],[ROUTE]],DEMAND!A:F,5,FALSE),0)</f>
        <v>3950</v>
      </c>
      <c r="N5" s="26">
        <f>IFERROR(VLOOKUP(Table21[[#This Row],[ROUTE]],DEMAND!A:F,6,FALSE),0)</f>
        <v>1310</v>
      </c>
      <c r="O5" s="26">
        <f>ROUNDDOWN(Table21[[#This Row],[R-DEMAND]]/1320,0)</f>
        <v>0</v>
      </c>
      <c r="P5" s="26">
        <f>Table21[[#This Row],[ADD ACC]]*Table21[[#This Row],[Duration
(747-400)]]</f>
        <v>0</v>
      </c>
      <c r="Q5" s="284">
        <f>IFERROR(VLOOKUP(Table21[[#This Row],[ROUTE]],PRICING!A:B,2,FALSE),0)</f>
        <v>1224</v>
      </c>
      <c r="R5" s="282">
        <f>Table21[[#This Row],[C_DEMAND]]-Table21[[#This Row],[R-DEMAND]]</f>
        <v>2640</v>
      </c>
      <c r="S5" s="287">
        <f>Table21[[#This Row],[SEATS SOLD]]*Table21[[#This Row],[ECO SEAT]]</f>
        <v>3231360</v>
      </c>
    </row>
    <row r="6" spans="1:24" x14ac:dyDescent="0.25">
      <c r="A6" s="16" t="s">
        <v>16019</v>
      </c>
      <c r="B6" s="16" t="s">
        <v>501</v>
      </c>
      <c r="C6" s="16" t="s">
        <v>2</v>
      </c>
      <c r="D6" s="16">
        <v>1</v>
      </c>
      <c r="E6" s="16" t="s">
        <v>499</v>
      </c>
      <c r="F6" s="16" t="s">
        <v>12671</v>
      </c>
      <c r="G6" s="179" t="s">
        <v>11679</v>
      </c>
      <c r="H6" s="254">
        <v>12117</v>
      </c>
      <c r="I6" s="180">
        <v>29</v>
      </c>
      <c r="J6" s="102">
        <v>236401814</v>
      </c>
      <c r="K6" s="102">
        <f>IFERROR(Table21[[#This Row],[ROUTE COST]]/Table21[[#This Row],[O - DEMAND]],0)</f>
        <v>62639.590355060944</v>
      </c>
      <c r="L6" s="26">
        <v>3774</v>
      </c>
      <c r="M6" s="26">
        <f>IFERROR(VLOOKUP(Table21[[#This Row],[ROUTE]],DEMAND!A:F,5,FALSE),0)</f>
        <v>3950</v>
      </c>
      <c r="N6" s="26">
        <f>IFERROR(VLOOKUP(Table21[[#This Row],[ROUTE]],DEMAND!A:F,6,FALSE),0)</f>
        <v>1310</v>
      </c>
      <c r="O6" s="26">
        <f>ROUNDDOWN(Table21[[#This Row],[R-DEMAND]]/1320,0)</f>
        <v>0</v>
      </c>
      <c r="P6" s="26">
        <f>Table21[[#This Row],[ADD ACC]]*Table21[[#This Row],[Duration
(747-400)]]</f>
        <v>0</v>
      </c>
      <c r="Q6" s="284">
        <f>IFERROR(VLOOKUP(Table21[[#This Row],[ROUTE]],PRICING!A:B,2,FALSE),0)</f>
        <v>3333</v>
      </c>
      <c r="R6" s="282">
        <f>Table21[[#This Row],[C_DEMAND]]-Table21[[#This Row],[R-DEMAND]]</f>
        <v>2640</v>
      </c>
      <c r="S6" s="287">
        <f>Table21[[#This Row],[SEATS SOLD]]*Table21[[#This Row],[ECO SEAT]]</f>
        <v>8799120</v>
      </c>
    </row>
    <row r="7" spans="1:24" x14ac:dyDescent="0.25">
      <c r="A7" s="16" t="s">
        <v>16239</v>
      </c>
      <c r="B7" s="16" t="s">
        <v>2490</v>
      </c>
      <c r="C7" s="16" t="s">
        <v>2</v>
      </c>
      <c r="D7" s="16">
        <v>1</v>
      </c>
      <c r="E7" s="16" t="s">
        <v>881</v>
      </c>
      <c r="F7" s="16" t="s">
        <v>12671</v>
      </c>
      <c r="G7" s="179" t="s">
        <v>6783</v>
      </c>
      <c r="H7" s="254">
        <v>9287</v>
      </c>
      <c r="I7" s="180">
        <v>22.75</v>
      </c>
      <c r="J7" s="102">
        <v>219755255</v>
      </c>
      <c r="K7" s="102">
        <f>IFERROR(Table21[[#This Row],[ROUTE COST]]/Table21[[#This Row],[O - DEMAND]],0)</f>
        <v>59026.391351060971</v>
      </c>
      <c r="L7" s="26">
        <v>3723</v>
      </c>
      <c r="M7" s="26">
        <f>IFERROR(VLOOKUP(Table21[[#This Row],[ROUTE]],DEMAND!A:F,5,FALSE),0)</f>
        <v>3946</v>
      </c>
      <c r="N7" s="26">
        <f>IFERROR(VLOOKUP(Table21[[#This Row],[ROUTE]],DEMAND!A:F,6,FALSE),0)</f>
        <v>1306</v>
      </c>
      <c r="O7" s="26">
        <f>ROUNDDOWN(Table21[[#This Row],[R-DEMAND]]/1320,0)</f>
        <v>0</v>
      </c>
      <c r="P7" s="26">
        <f>Table21[[#This Row],[ADD ACC]]*Table21[[#This Row],[Duration
(747-400)]]</f>
        <v>0</v>
      </c>
      <c r="Q7" s="284">
        <f>IFERROR(VLOOKUP(Table21[[#This Row],[ROUTE]],PRICING!A:B,2,FALSE),0)</f>
        <v>2458</v>
      </c>
      <c r="R7" s="282">
        <f>Table21[[#This Row],[C_DEMAND]]-Table21[[#This Row],[R-DEMAND]]</f>
        <v>2640</v>
      </c>
      <c r="S7" s="287">
        <f>Table21[[#This Row],[SEATS SOLD]]*Table21[[#This Row],[ECO SEAT]]</f>
        <v>6489120</v>
      </c>
    </row>
    <row r="8" spans="1:24" x14ac:dyDescent="0.25">
      <c r="A8" s="16" t="s">
        <v>16459</v>
      </c>
      <c r="B8" s="16" t="s">
        <v>5457</v>
      </c>
      <c r="C8" s="16" t="s">
        <v>2</v>
      </c>
      <c r="D8" s="16">
        <v>4</v>
      </c>
      <c r="E8" s="16" t="s">
        <v>700</v>
      </c>
      <c r="F8" s="16" t="s">
        <v>12670</v>
      </c>
      <c r="G8" s="179" t="s">
        <v>11044</v>
      </c>
      <c r="H8" s="254">
        <v>7044</v>
      </c>
      <c r="I8" s="180">
        <v>17.75</v>
      </c>
      <c r="J8" s="102">
        <v>227358808</v>
      </c>
      <c r="K8" s="102">
        <f>IFERROR(Table21[[#This Row],[ROUTE COST]]/Table21[[#This Row],[O - DEMAND]],0)</f>
        <v>60036.65381568524</v>
      </c>
      <c r="L8" s="26">
        <v>3787</v>
      </c>
      <c r="M8" s="26">
        <f>IFERROR(VLOOKUP(Table21[[#This Row],[ROUTE]],DEMAND!A:F,5,FALSE),0)</f>
        <v>3939</v>
      </c>
      <c r="N8" s="26">
        <f>IFERROR(VLOOKUP(Table21[[#This Row],[ROUTE]],DEMAND!A:F,6,FALSE),0)</f>
        <v>1299</v>
      </c>
      <c r="O8" s="26">
        <f>ROUNDDOWN(Table21[[#This Row],[R-DEMAND]]/1320,0)</f>
        <v>0</v>
      </c>
      <c r="P8" s="26">
        <f>Table21[[#This Row],[ADD ACC]]*Table21[[#This Row],[Duration
(747-400)]]</f>
        <v>0</v>
      </c>
      <c r="Q8" s="284">
        <f>IFERROR(VLOOKUP(Table21[[#This Row],[ROUTE]],PRICING!A:B,2,FALSE),0)</f>
        <v>2026</v>
      </c>
      <c r="R8" s="282">
        <f>Table21[[#This Row],[C_DEMAND]]-Table21[[#This Row],[R-DEMAND]]</f>
        <v>2640</v>
      </c>
      <c r="S8" s="287">
        <f>Table21[[#This Row],[SEATS SOLD]]*Table21[[#This Row],[ECO SEAT]]</f>
        <v>5348640</v>
      </c>
    </row>
    <row r="9" spans="1:24" x14ac:dyDescent="0.25">
      <c r="A9" s="16" t="s">
        <v>16494</v>
      </c>
      <c r="B9" s="16" t="s">
        <v>3999</v>
      </c>
      <c r="C9" s="16" t="s">
        <v>2</v>
      </c>
      <c r="D9" s="16">
        <v>3</v>
      </c>
      <c r="E9" s="16" t="s">
        <v>508</v>
      </c>
      <c r="F9" s="16" t="s">
        <v>12674</v>
      </c>
      <c r="G9" s="179" t="s">
        <v>11822</v>
      </c>
      <c r="H9" s="254">
        <v>6614</v>
      </c>
      <c r="I9" s="180">
        <v>16.75</v>
      </c>
      <c r="J9" s="102">
        <v>200041948</v>
      </c>
      <c r="K9" s="102">
        <f>IFERROR(Table21[[#This Row],[ROUTE COST]]/Table21[[#This Row],[O - DEMAND]],0)</f>
        <v>79539.541948310143</v>
      </c>
      <c r="L9" s="26">
        <v>2515</v>
      </c>
      <c r="M9" s="26">
        <f>IFERROR(VLOOKUP(Table21[[#This Row],[ROUTE]],DEMAND!A:F,5,FALSE),0)</f>
        <v>2616</v>
      </c>
      <c r="N9" s="26">
        <f>IFERROR(VLOOKUP(Table21[[#This Row],[ROUTE]],DEMAND!A:F,6,FALSE),0)</f>
        <v>1296</v>
      </c>
      <c r="O9" s="26">
        <f>ROUNDDOWN(Table21[[#This Row],[R-DEMAND]]/1320,0)</f>
        <v>0</v>
      </c>
      <c r="P9" s="26">
        <f>Table21[[#This Row],[ADD ACC]]*Table21[[#This Row],[Duration
(747-400)]]</f>
        <v>0</v>
      </c>
      <c r="Q9" s="284">
        <f>IFERROR(VLOOKUP(Table21[[#This Row],[ROUTE]],PRICING!A:B,2,FALSE),0)</f>
        <v>1909</v>
      </c>
      <c r="R9" s="282">
        <f>Table21[[#This Row],[C_DEMAND]]-Table21[[#This Row],[R-DEMAND]]</f>
        <v>1320</v>
      </c>
      <c r="S9" s="287">
        <f>Table21[[#This Row],[SEATS SOLD]]*Table21[[#This Row],[ECO SEAT]]</f>
        <v>2519880</v>
      </c>
    </row>
    <row r="10" spans="1:24" x14ac:dyDescent="0.25">
      <c r="A10" s="16" t="s">
        <v>16638</v>
      </c>
      <c r="B10" s="16" t="s">
        <v>417</v>
      </c>
      <c r="C10" s="16" t="s">
        <v>2</v>
      </c>
      <c r="D10" s="16">
        <v>3</v>
      </c>
      <c r="E10" s="16" t="s">
        <v>709</v>
      </c>
      <c r="F10" s="16" t="s">
        <v>12670</v>
      </c>
      <c r="G10" s="179" t="s">
        <v>12105</v>
      </c>
      <c r="H10" s="254">
        <v>3797</v>
      </c>
      <c r="I10" s="180">
        <v>10.5</v>
      </c>
      <c r="J10" s="102">
        <v>191180630</v>
      </c>
      <c r="K10" s="102">
        <f>IFERROR(Table21[[#This Row],[ROUTE COST]]/Table21[[#This Row],[O - DEMAND]],0)</f>
        <v>50886.513175405911</v>
      </c>
      <c r="L10" s="26">
        <v>3757</v>
      </c>
      <c r="M10" s="26">
        <f>IFERROR(VLOOKUP(Table21[[#This Row],[ROUTE]],DEMAND!A:F,5,FALSE),0)</f>
        <v>3933</v>
      </c>
      <c r="N10" s="26">
        <f>IFERROR(VLOOKUP(Table21[[#This Row],[ROUTE]],DEMAND!A:F,6,FALSE),0)</f>
        <v>1293</v>
      </c>
      <c r="O10" s="26">
        <f>ROUNDDOWN(Table21[[#This Row],[R-DEMAND]]/1320,0)</f>
        <v>0</v>
      </c>
      <c r="P10" s="26">
        <f>Table21[[#This Row],[ADD ACC]]*Table21[[#This Row],[Duration
(747-400)]]</f>
        <v>0</v>
      </c>
      <c r="Q10" s="284">
        <f>IFERROR(VLOOKUP(Table21[[#This Row],[ROUTE]],PRICING!A:B,2,FALSE),0)</f>
        <v>1115</v>
      </c>
      <c r="R10" s="282">
        <f>Table21[[#This Row],[C_DEMAND]]-Table21[[#This Row],[R-DEMAND]]</f>
        <v>2640</v>
      </c>
      <c r="S10" s="287">
        <f>Table21[[#This Row],[SEATS SOLD]]*Table21[[#This Row],[ECO SEAT]]</f>
        <v>2943600</v>
      </c>
    </row>
    <row r="11" spans="1:24" x14ac:dyDescent="0.25">
      <c r="A11" s="16" t="s">
        <v>16061</v>
      </c>
      <c r="B11" s="16" t="s">
        <v>4349</v>
      </c>
      <c r="C11" s="16" t="s">
        <v>2</v>
      </c>
      <c r="D11" s="16">
        <v>2</v>
      </c>
      <c r="E11" s="16" t="s">
        <v>4347</v>
      </c>
      <c r="F11" s="16" t="s">
        <v>12671</v>
      </c>
      <c r="G11" s="179" t="s">
        <v>11784</v>
      </c>
      <c r="H11" s="254">
        <v>11428</v>
      </c>
      <c r="I11" s="180">
        <v>27.5</v>
      </c>
      <c r="J11" s="102">
        <v>252995076</v>
      </c>
      <c r="K11" s="102">
        <f>IFERROR(Table21[[#This Row],[ROUTE COST]]/Table21[[#This Row],[O - DEMAND]],0)</f>
        <v>67736.29879518073</v>
      </c>
      <c r="L11" s="26">
        <v>3735</v>
      </c>
      <c r="M11" s="26">
        <f>IFERROR(VLOOKUP(Table21[[#This Row],[ROUTE]],DEMAND!A:F,5,FALSE),0)</f>
        <v>3922</v>
      </c>
      <c r="N11" s="26">
        <f>IFERROR(VLOOKUP(Table21[[#This Row],[ROUTE]],DEMAND!A:F,6,FALSE),0)</f>
        <v>1282</v>
      </c>
      <c r="O11" s="26">
        <f>ROUNDDOWN(Table21[[#This Row],[R-DEMAND]]/1320,0)</f>
        <v>0</v>
      </c>
      <c r="P11" s="26">
        <f>Table21[[#This Row],[ADD ACC]]*Table21[[#This Row],[Duration
(747-400)]]</f>
        <v>0</v>
      </c>
      <c r="Q11" s="284">
        <f>IFERROR(VLOOKUP(Table21[[#This Row],[ROUTE]],PRICING!A:B,2,FALSE),0)</f>
        <v>3112</v>
      </c>
      <c r="R11" s="282">
        <f>Table21[[#This Row],[C_DEMAND]]-Table21[[#This Row],[R-DEMAND]]</f>
        <v>2640</v>
      </c>
      <c r="S11" s="287">
        <f>Table21[[#This Row],[SEATS SOLD]]*Table21[[#This Row],[ECO SEAT]]</f>
        <v>8215680</v>
      </c>
    </row>
    <row r="12" spans="1:24" x14ac:dyDescent="0.25">
      <c r="A12" s="251" t="s">
        <v>16781</v>
      </c>
      <c r="B12" s="251" t="s">
        <v>14212</v>
      </c>
      <c r="C12" s="16" t="s">
        <v>2</v>
      </c>
      <c r="D12" s="251">
        <v>3</v>
      </c>
      <c r="E12" s="251" t="s">
        <v>46</v>
      </c>
      <c r="F12" s="251" t="s">
        <v>12670</v>
      </c>
      <c r="G12" s="252" t="s">
        <v>14213</v>
      </c>
      <c r="H12" s="254">
        <v>1799</v>
      </c>
      <c r="I12" s="180">
        <v>6</v>
      </c>
      <c r="J12" s="102">
        <v>161852426</v>
      </c>
      <c r="K12" s="253">
        <f>IFERROR(Table21[[#This Row],[ROUTE COST]]/Table21[[#This Row],[O - DEMAND]],0)</f>
        <v>65766.934579439258</v>
      </c>
      <c r="L12" s="26">
        <v>2461</v>
      </c>
      <c r="M12" s="26">
        <f>IFERROR(VLOOKUP(Table21[[#This Row],[ROUTE]],DEMAND!A:F,5,FALSE),0)</f>
        <v>2602</v>
      </c>
      <c r="N12" s="26">
        <f>IFERROR(VLOOKUP(Table21[[#This Row],[ROUTE]],DEMAND!A:F,6,FALSE),0)</f>
        <v>1282</v>
      </c>
      <c r="O12" s="26">
        <f>ROUNDDOWN(Table21[[#This Row],[R-DEMAND]]/1320,0)</f>
        <v>0</v>
      </c>
      <c r="P12" s="26">
        <f>Table21[[#This Row],[ADD ACC]]*Table21[[#This Row],[Duration
(747-400)]]</f>
        <v>0</v>
      </c>
      <c r="Q12" s="284">
        <f>IFERROR(VLOOKUP(Table21[[#This Row],[ROUTE]],PRICING!A:B,2,FALSE),0)</f>
        <v>561</v>
      </c>
      <c r="R12" s="282">
        <f>Table21[[#This Row],[C_DEMAND]]-Table21[[#This Row],[R-DEMAND]]</f>
        <v>1320</v>
      </c>
      <c r="S12" s="287">
        <f>Table21[[#This Row],[SEATS SOLD]]*Table21[[#This Row],[ECO SEAT]]</f>
        <v>740520</v>
      </c>
    </row>
    <row r="13" spans="1:24" x14ac:dyDescent="0.25">
      <c r="A13" s="16" t="s">
        <v>16395</v>
      </c>
      <c r="B13" s="16" t="s">
        <v>3950</v>
      </c>
      <c r="C13" s="16" t="s">
        <v>2</v>
      </c>
      <c r="D13" s="16">
        <v>3</v>
      </c>
      <c r="E13" s="16" t="s">
        <v>1289</v>
      </c>
      <c r="F13" s="16" t="s">
        <v>12670</v>
      </c>
      <c r="G13" s="179" t="s">
        <v>11950</v>
      </c>
      <c r="H13" s="254">
        <v>7533</v>
      </c>
      <c r="I13" s="180">
        <v>18.75</v>
      </c>
      <c r="J13" s="102">
        <v>209398820</v>
      </c>
      <c r="K13" s="102">
        <f>IFERROR(Table21[[#This Row],[ROUTE COST]]/Table21[[#This Row],[O - DEMAND]],0)</f>
        <v>56093.97803375301</v>
      </c>
      <c r="L13" s="26">
        <v>3733</v>
      </c>
      <c r="M13" s="26">
        <f>IFERROR(VLOOKUP(Table21[[#This Row],[ROUTE]],DEMAND!A:F,5,FALSE),0)</f>
        <v>3920</v>
      </c>
      <c r="N13" s="26">
        <f>IFERROR(VLOOKUP(Table21[[#This Row],[ROUTE]],DEMAND!A:F,6,FALSE),0)</f>
        <v>1280</v>
      </c>
      <c r="O13" s="26">
        <f>ROUNDDOWN(Table21[[#This Row],[R-DEMAND]]/1320,0)</f>
        <v>0</v>
      </c>
      <c r="P13" s="26">
        <f>Table21[[#This Row],[ADD ACC]]*Table21[[#This Row],[Duration
(747-400)]]</f>
        <v>0</v>
      </c>
      <c r="Q13" s="284">
        <f>IFERROR(VLOOKUP(Table21[[#This Row],[ROUTE]],PRICING!A:B,2,FALSE),0)</f>
        <v>2086</v>
      </c>
      <c r="R13" s="282">
        <f>Table21[[#This Row],[C_DEMAND]]-Table21[[#This Row],[R-DEMAND]]</f>
        <v>2640</v>
      </c>
      <c r="S13" s="287">
        <f>Table21[[#This Row],[SEATS SOLD]]*Table21[[#This Row],[ECO SEAT]]</f>
        <v>5507040</v>
      </c>
    </row>
    <row r="14" spans="1:24" x14ac:dyDescent="0.25">
      <c r="A14" s="16" t="s">
        <v>16301</v>
      </c>
      <c r="B14" s="16" t="s">
        <v>5495</v>
      </c>
      <c r="C14" s="16" t="s">
        <v>2</v>
      </c>
      <c r="D14" s="16">
        <v>4</v>
      </c>
      <c r="E14" s="16" t="s">
        <v>560</v>
      </c>
      <c r="F14" s="16" t="s">
        <v>12674</v>
      </c>
      <c r="G14" s="179" t="s">
        <v>11058</v>
      </c>
      <c r="H14" s="254">
        <v>8464</v>
      </c>
      <c r="I14" s="180">
        <v>20.75</v>
      </c>
      <c r="J14" s="102">
        <v>244887090</v>
      </c>
      <c r="K14" s="102">
        <f>IFERROR(Table21[[#This Row],[ROUTE COST]]/Table21[[#This Row],[O - DEMAND]],0)</f>
        <v>98824.491525423728</v>
      </c>
      <c r="L14" s="26">
        <v>2478</v>
      </c>
      <c r="M14" s="26">
        <f>IFERROR(VLOOKUP(Table21[[#This Row],[ROUTE]],DEMAND!A:F,5,FALSE),0)</f>
        <v>2594</v>
      </c>
      <c r="N14" s="26">
        <f>IFERROR(VLOOKUP(Table21[[#This Row],[ROUTE]],DEMAND!A:F,6,FALSE),0)</f>
        <v>1274</v>
      </c>
      <c r="O14" s="26">
        <f>ROUNDDOWN(Table21[[#This Row],[R-DEMAND]]/1320,0)</f>
        <v>0</v>
      </c>
      <c r="P14" s="26">
        <f>Table21[[#This Row],[ADD ACC]]*Table21[[#This Row],[Duration
(747-400)]]</f>
        <v>0</v>
      </c>
      <c r="Q14" s="284">
        <f>IFERROR(VLOOKUP(Table21[[#This Row],[ROUTE]],PRICING!A:B,2,FALSE),0)</f>
        <v>2358</v>
      </c>
      <c r="R14" s="282">
        <f>Table21[[#This Row],[C_DEMAND]]-Table21[[#This Row],[R-DEMAND]]</f>
        <v>1320</v>
      </c>
      <c r="S14" s="287">
        <f>Table21[[#This Row],[SEATS SOLD]]*Table21[[#This Row],[ECO SEAT]]</f>
        <v>3112560</v>
      </c>
      <c r="V14" s="53"/>
      <c r="W14" s="53"/>
      <c r="X14" s="53"/>
    </row>
    <row r="15" spans="1:24" x14ac:dyDescent="0.25">
      <c r="A15" s="16" t="s">
        <v>15989</v>
      </c>
      <c r="B15" s="16" t="s">
        <v>3148</v>
      </c>
      <c r="C15" s="16" t="s">
        <v>2</v>
      </c>
      <c r="D15" s="16">
        <v>2</v>
      </c>
      <c r="E15" s="16" t="s">
        <v>3146</v>
      </c>
      <c r="F15" s="16" t="s">
        <v>12671</v>
      </c>
      <c r="G15" s="179" t="s">
        <v>11668</v>
      </c>
      <c r="H15" s="254">
        <v>12546</v>
      </c>
      <c r="I15" s="180">
        <v>30</v>
      </c>
      <c r="J15" s="102">
        <v>257669386</v>
      </c>
      <c r="K15" s="102">
        <f>IFERROR(Table21[[#This Row],[ROUTE COST]]/Table21[[#This Row],[O - DEMAND]],0)</f>
        <v>52585.588979591834</v>
      </c>
      <c r="L15" s="26">
        <v>4900</v>
      </c>
      <c r="M15" s="26">
        <f>IFERROR(VLOOKUP(Table21[[#This Row],[ROUTE]],DEMAND!A:F,5,FALSE),0)</f>
        <v>5227</v>
      </c>
      <c r="N15" s="26">
        <f>IFERROR(VLOOKUP(Table21[[#This Row],[ROUTE]],DEMAND!A:F,6,FALSE),0)</f>
        <v>1267</v>
      </c>
      <c r="O15" s="26">
        <f>ROUNDDOWN(Table21[[#This Row],[R-DEMAND]]/1320,0)</f>
        <v>0</v>
      </c>
      <c r="P15" s="26">
        <f>Table21[[#This Row],[ADD ACC]]*Table21[[#This Row],[Duration
(747-400)]]</f>
        <v>0</v>
      </c>
      <c r="Q15" s="284">
        <f>IFERROR(VLOOKUP(Table21[[#This Row],[ROUTE]],PRICING!A:B,2,FALSE),0)</f>
        <v>3207</v>
      </c>
      <c r="R15" s="282">
        <f>Table21[[#This Row],[C_DEMAND]]-Table21[[#This Row],[R-DEMAND]]</f>
        <v>3960</v>
      </c>
      <c r="S15" s="287">
        <f>Table21[[#This Row],[SEATS SOLD]]*Table21[[#This Row],[ECO SEAT]]</f>
        <v>12699720</v>
      </c>
      <c r="V15" s="53"/>
      <c r="W15" s="53"/>
      <c r="X15" s="53"/>
    </row>
    <row r="16" spans="1:24" x14ac:dyDescent="0.25">
      <c r="A16" s="16" t="s">
        <v>16541</v>
      </c>
      <c r="B16" s="16" t="s">
        <v>1272</v>
      </c>
      <c r="C16" s="16" t="s">
        <v>2</v>
      </c>
      <c r="D16" s="16">
        <v>1</v>
      </c>
      <c r="E16" s="16" t="s">
        <v>1270</v>
      </c>
      <c r="F16" s="16" t="s">
        <v>12670</v>
      </c>
      <c r="G16" s="179" t="s">
        <v>11909</v>
      </c>
      <c r="H16" s="254">
        <v>5969</v>
      </c>
      <c r="I16" s="180">
        <v>15.25</v>
      </c>
      <c r="J16" s="102">
        <v>180355658</v>
      </c>
      <c r="K16" s="102">
        <f>IFERROR(Table21[[#This Row],[ROUTE COST]]/Table21[[#This Row],[O - DEMAND]],0)</f>
        <v>72548.534995977476</v>
      </c>
      <c r="L16" s="26">
        <v>2486</v>
      </c>
      <c r="M16" s="26">
        <f>IFERROR(VLOOKUP(Table21[[#This Row],[ROUTE]],DEMAND!A:F,5,FALSE),0)</f>
        <v>2585</v>
      </c>
      <c r="N16" s="26">
        <f>IFERROR(VLOOKUP(Table21[[#This Row],[ROUTE]],DEMAND!A:F,6,FALSE),0)</f>
        <v>1265</v>
      </c>
      <c r="O16" s="26">
        <f>ROUNDDOWN(Table21[[#This Row],[R-DEMAND]]/1320,0)</f>
        <v>0</v>
      </c>
      <c r="P16" s="26">
        <f>Table21[[#This Row],[ADD ACC]]*Table21[[#This Row],[Duration
(747-400)]]</f>
        <v>0</v>
      </c>
      <c r="Q16" s="284">
        <f>IFERROR(VLOOKUP(Table21[[#This Row],[ROUTE]],PRICING!A:B,2,FALSE),0)</f>
        <v>1733</v>
      </c>
      <c r="R16" s="282">
        <f>Table21[[#This Row],[C_DEMAND]]-Table21[[#This Row],[R-DEMAND]]</f>
        <v>1320</v>
      </c>
      <c r="S16" s="287">
        <f>Table21[[#This Row],[SEATS SOLD]]*Table21[[#This Row],[ECO SEAT]]</f>
        <v>2287560</v>
      </c>
      <c r="V16" s="53"/>
      <c r="W16" s="53"/>
      <c r="X16" s="53"/>
    </row>
    <row r="17" spans="1:24" x14ac:dyDescent="0.25">
      <c r="A17" s="251" t="s">
        <v>16785</v>
      </c>
      <c r="B17" s="251" t="s">
        <v>5597</v>
      </c>
      <c r="C17" s="16" t="s">
        <v>2</v>
      </c>
      <c r="D17" s="251">
        <v>4</v>
      </c>
      <c r="E17" s="251" t="s">
        <v>14</v>
      </c>
      <c r="F17" s="251" t="s">
        <v>12670</v>
      </c>
      <c r="G17" s="252" t="s">
        <v>11027</v>
      </c>
      <c r="H17" s="254">
        <v>1734</v>
      </c>
      <c r="I17" s="180">
        <v>6</v>
      </c>
      <c r="J17" s="102">
        <v>180836249</v>
      </c>
      <c r="K17" s="253">
        <f>IFERROR(Table21[[#This Row],[ROUTE COST]]/Table21[[#This Row],[O - DEMAND]],0)</f>
        <v>49301.049345692474</v>
      </c>
      <c r="L17" s="26">
        <v>3668</v>
      </c>
      <c r="M17" s="26">
        <f>IFERROR(VLOOKUP(Table21[[#This Row],[ROUTE]],DEMAND!A:F,5,FALSE),0)</f>
        <v>3901</v>
      </c>
      <c r="N17" s="26">
        <f>IFERROR(VLOOKUP(Table21[[#This Row],[ROUTE]],DEMAND!A:F,6,FALSE),0)</f>
        <v>1261</v>
      </c>
      <c r="O17" s="26">
        <f>ROUNDDOWN(Table21[[#This Row],[R-DEMAND]]/1320,0)</f>
        <v>0</v>
      </c>
      <c r="P17" s="26">
        <f>Table21[[#This Row],[ADD ACC]]*Table21[[#This Row],[Duration
(747-400)]]</f>
        <v>0</v>
      </c>
      <c r="Q17" s="284">
        <f>IFERROR(VLOOKUP(Table21[[#This Row],[ROUTE]],PRICING!A:B,2,FALSE),0)</f>
        <v>532</v>
      </c>
      <c r="R17" s="282">
        <f>Table21[[#This Row],[C_DEMAND]]-Table21[[#This Row],[R-DEMAND]]</f>
        <v>2640</v>
      </c>
      <c r="S17" s="287">
        <f>Table21[[#This Row],[SEATS SOLD]]*Table21[[#This Row],[ECO SEAT]]</f>
        <v>1404480</v>
      </c>
      <c r="V17" s="53"/>
      <c r="W17" s="53"/>
      <c r="X17" s="53"/>
    </row>
    <row r="18" spans="1:24" x14ac:dyDescent="0.25">
      <c r="A18" s="16" t="s">
        <v>16583</v>
      </c>
      <c r="B18" s="16" t="s">
        <v>246</v>
      </c>
      <c r="C18" s="16" t="s">
        <v>2</v>
      </c>
      <c r="D18" s="16">
        <v>2</v>
      </c>
      <c r="E18" s="16" t="s">
        <v>1070</v>
      </c>
      <c r="F18" s="16" t="s">
        <v>12670</v>
      </c>
      <c r="G18" s="179" t="s">
        <v>9268</v>
      </c>
      <c r="H18" s="254">
        <v>5058</v>
      </c>
      <c r="I18" s="180">
        <v>13.25</v>
      </c>
      <c r="J18" s="102">
        <v>189420252</v>
      </c>
      <c r="K18" s="102">
        <f>IFERROR(Table21[[#This Row],[ROUTE COST]]/Table21[[#This Row],[O - DEMAND]],0)</f>
        <v>51347.316888045541</v>
      </c>
      <c r="L18" s="26">
        <v>3689</v>
      </c>
      <c r="M18" s="26">
        <f>IFERROR(VLOOKUP(Table21[[#This Row],[ROUTE]],DEMAND!A:F,5,FALSE),0)</f>
        <v>3898</v>
      </c>
      <c r="N18" s="26">
        <f>IFERROR(VLOOKUP(Table21[[#This Row],[ROUTE]],DEMAND!A:F,6,FALSE),0)</f>
        <v>1258</v>
      </c>
      <c r="O18" s="26">
        <f>ROUNDDOWN(Table21[[#This Row],[R-DEMAND]]/1320,0)</f>
        <v>0</v>
      </c>
      <c r="P18" s="26">
        <f>Table21[[#This Row],[ADD ACC]]*Table21[[#This Row],[Duration
(747-400)]]</f>
        <v>0</v>
      </c>
      <c r="Q18" s="284">
        <f>IFERROR(VLOOKUP(Table21[[#This Row],[ROUTE]],PRICING!A:B,2,FALSE),0)</f>
        <v>1400</v>
      </c>
      <c r="R18" s="282">
        <f>Table21[[#This Row],[C_DEMAND]]-Table21[[#This Row],[R-DEMAND]]</f>
        <v>2640</v>
      </c>
      <c r="S18" s="287">
        <f>Table21[[#This Row],[SEATS SOLD]]*Table21[[#This Row],[ECO SEAT]]</f>
        <v>3696000</v>
      </c>
      <c r="V18" s="53"/>
      <c r="W18" s="53"/>
      <c r="X18" s="53"/>
    </row>
    <row r="19" spans="1:24" x14ac:dyDescent="0.25">
      <c r="A19" s="16" t="s">
        <v>16342</v>
      </c>
      <c r="B19" s="16" t="s">
        <v>397</v>
      </c>
      <c r="C19" s="16" t="s">
        <v>2</v>
      </c>
      <c r="D19" s="16">
        <v>3</v>
      </c>
      <c r="E19" s="16" t="s">
        <v>1674</v>
      </c>
      <c r="F19" s="16" t="s">
        <v>12674</v>
      </c>
      <c r="G19" s="179" t="s">
        <v>11746</v>
      </c>
      <c r="H19" s="254">
        <v>8021</v>
      </c>
      <c r="I19" s="180">
        <v>20</v>
      </c>
      <c r="J19" s="102">
        <v>235359900</v>
      </c>
      <c r="K19" s="102">
        <f>IFERROR(Table21[[#This Row],[ROUTE COST]]/Table21[[#This Row],[O - DEMAND]],0)</f>
        <v>96222.363041700737</v>
      </c>
      <c r="L19" s="26">
        <v>2446</v>
      </c>
      <c r="M19" s="26">
        <f>IFERROR(VLOOKUP(Table21[[#This Row],[ROUTE]],DEMAND!A:F,5,FALSE),0)</f>
        <v>2577</v>
      </c>
      <c r="N19" s="26">
        <f>IFERROR(VLOOKUP(Table21[[#This Row],[ROUTE]],DEMAND!A:F,6,FALSE),0)</f>
        <v>1257</v>
      </c>
      <c r="O19" s="26">
        <f>ROUNDDOWN(Table21[[#This Row],[R-DEMAND]]/1320,0)</f>
        <v>0</v>
      </c>
      <c r="P19" s="26">
        <f>Table21[[#This Row],[ADD ACC]]*Table21[[#This Row],[Duration
(747-400)]]</f>
        <v>0</v>
      </c>
      <c r="Q19" s="284">
        <f>IFERROR(VLOOKUP(Table21[[#This Row],[ROUTE]],PRICING!A:B,2,FALSE),0)</f>
        <v>2189</v>
      </c>
      <c r="R19" s="282">
        <f>Table21[[#This Row],[C_DEMAND]]-Table21[[#This Row],[R-DEMAND]]</f>
        <v>1320</v>
      </c>
      <c r="S19" s="287">
        <f>Table21[[#This Row],[SEATS SOLD]]*Table21[[#This Row],[ECO SEAT]]</f>
        <v>2889480</v>
      </c>
      <c r="V19" s="53"/>
      <c r="W19" s="53"/>
      <c r="X19" s="53"/>
    </row>
    <row r="20" spans="1:24" x14ac:dyDescent="0.25">
      <c r="A20" s="16" t="s">
        <v>16653</v>
      </c>
      <c r="B20" s="16" t="s">
        <v>100</v>
      </c>
      <c r="C20" s="16" t="s">
        <v>2</v>
      </c>
      <c r="D20" s="16">
        <v>4</v>
      </c>
      <c r="E20" s="16" t="s">
        <v>1314</v>
      </c>
      <c r="F20" s="16" t="s">
        <v>12670</v>
      </c>
      <c r="G20" s="179" t="s">
        <v>11043</v>
      </c>
      <c r="H20" s="254">
        <v>3398</v>
      </c>
      <c r="I20" s="180">
        <v>9.75</v>
      </c>
      <c r="J20" s="102">
        <v>203235618</v>
      </c>
      <c r="K20" s="102">
        <f>IFERROR(Table21[[#This Row],[ROUTE COST]]/Table21[[#This Row],[O - DEMAND]],0)</f>
        <v>41578.481587561371</v>
      </c>
      <c r="L20" s="26">
        <v>4888</v>
      </c>
      <c r="M20" s="26">
        <f>IFERROR(VLOOKUP(Table21[[#This Row],[ROUTE]],DEMAND!A:F,5,FALSE),0)</f>
        <v>5214</v>
      </c>
      <c r="N20" s="26">
        <f>IFERROR(VLOOKUP(Table21[[#This Row],[ROUTE]],DEMAND!A:F,6,FALSE),0)</f>
        <v>1254</v>
      </c>
      <c r="O20" s="26">
        <f>ROUNDDOWN(Table21[[#This Row],[R-DEMAND]]/1320,0)</f>
        <v>0</v>
      </c>
      <c r="P20" s="26">
        <f>Table21[[#This Row],[ADD ACC]]*Table21[[#This Row],[Duration
(747-400)]]</f>
        <v>0</v>
      </c>
      <c r="Q20" s="284">
        <f>IFERROR(VLOOKUP(Table21[[#This Row],[ROUTE]],PRICING!A:B,2,FALSE),0)</f>
        <v>938</v>
      </c>
      <c r="R20" s="282">
        <f>Table21[[#This Row],[C_DEMAND]]-Table21[[#This Row],[R-DEMAND]]</f>
        <v>3960</v>
      </c>
      <c r="S20" s="287">
        <f>Table21[[#This Row],[SEATS SOLD]]*Table21[[#This Row],[ECO SEAT]]</f>
        <v>3714480</v>
      </c>
      <c r="V20" s="53"/>
      <c r="W20" s="53"/>
      <c r="X20" s="53"/>
    </row>
    <row r="21" spans="1:24" x14ac:dyDescent="0.25">
      <c r="A21" s="16" t="s">
        <v>16692</v>
      </c>
      <c r="B21" s="16" t="s">
        <v>286</v>
      </c>
      <c r="C21" s="16" t="s">
        <v>2</v>
      </c>
      <c r="D21" s="16">
        <v>3</v>
      </c>
      <c r="E21" s="16" t="s">
        <v>1314</v>
      </c>
      <c r="F21" s="16" t="s">
        <v>12670</v>
      </c>
      <c r="G21" s="179" t="s">
        <v>12083</v>
      </c>
      <c r="H21" s="254">
        <v>2332</v>
      </c>
      <c r="I21" s="180">
        <v>7.25</v>
      </c>
      <c r="J21" s="102">
        <v>173478130</v>
      </c>
      <c r="K21" s="102">
        <f>IFERROR(Table21[[#This Row],[ROUTE COST]]/Table21[[#This Row],[O - DEMAND]],0)</f>
        <v>47372.509557618789</v>
      </c>
      <c r="L21" s="26">
        <v>3662</v>
      </c>
      <c r="M21" s="26">
        <f>IFERROR(VLOOKUP(Table21[[#This Row],[ROUTE]],DEMAND!A:F,5,FALSE),0)</f>
        <v>3894</v>
      </c>
      <c r="N21" s="26">
        <f>IFERROR(VLOOKUP(Table21[[#This Row],[ROUTE]],DEMAND!A:F,6,FALSE),0)</f>
        <v>1254</v>
      </c>
      <c r="O21" s="26">
        <f>ROUNDDOWN(Table21[[#This Row],[R-DEMAND]]/1320,0)</f>
        <v>0</v>
      </c>
      <c r="P21" s="26">
        <f>Table21[[#This Row],[ADD ACC]]*Table21[[#This Row],[Duration
(747-400)]]</f>
        <v>0</v>
      </c>
      <c r="Q21" s="284">
        <f>IFERROR(VLOOKUP(Table21[[#This Row],[ROUTE]],PRICING!A:B,2,FALSE),0)</f>
        <v>682</v>
      </c>
      <c r="R21" s="282">
        <f>Table21[[#This Row],[C_DEMAND]]-Table21[[#This Row],[R-DEMAND]]</f>
        <v>2640</v>
      </c>
      <c r="S21" s="287">
        <f>Table21[[#This Row],[SEATS SOLD]]*Table21[[#This Row],[ECO SEAT]]</f>
        <v>1800480</v>
      </c>
      <c r="V21" s="53"/>
      <c r="W21" s="53"/>
      <c r="X21" s="53"/>
    </row>
    <row r="22" spans="1:24" x14ac:dyDescent="0.25">
      <c r="A22" s="16" t="s">
        <v>16672</v>
      </c>
      <c r="B22" s="16" t="s">
        <v>5002</v>
      </c>
      <c r="C22" s="16" t="s">
        <v>2</v>
      </c>
      <c r="D22" s="16">
        <v>3</v>
      </c>
      <c r="E22" s="16" t="s">
        <v>78</v>
      </c>
      <c r="F22" s="16" t="s">
        <v>12674</v>
      </c>
      <c r="G22" s="179" t="s">
        <v>10740</v>
      </c>
      <c r="H22" s="254">
        <v>2883</v>
      </c>
      <c r="I22" s="180">
        <v>8.5</v>
      </c>
      <c r="J22" s="102">
        <v>173895256</v>
      </c>
      <c r="K22" s="102">
        <f>IFERROR(Table21[[#This Row],[ROUTE COST]]/Table21[[#This Row],[O - DEMAND]],0)</f>
        <v>47694.80416895228</v>
      </c>
      <c r="L22" s="26">
        <v>3646</v>
      </c>
      <c r="M22" s="26">
        <f>IFERROR(VLOOKUP(Table21[[#This Row],[ROUTE]],DEMAND!A:F,5,FALSE),0)</f>
        <v>3890</v>
      </c>
      <c r="N22" s="26">
        <f>IFERROR(VLOOKUP(Table21[[#This Row],[ROUTE]],DEMAND!A:F,6,FALSE),0)</f>
        <v>1250</v>
      </c>
      <c r="O22" s="26">
        <f>ROUNDDOWN(Table21[[#This Row],[R-DEMAND]]/1320,0)</f>
        <v>0</v>
      </c>
      <c r="P22" s="26">
        <f>Table21[[#This Row],[ADD ACC]]*Table21[[#This Row],[Duration
(747-400)]]</f>
        <v>0</v>
      </c>
      <c r="Q22" s="284">
        <f>IFERROR(VLOOKUP(Table21[[#This Row],[ROUTE]],PRICING!A:B,2,FALSE),0)</f>
        <v>810</v>
      </c>
      <c r="R22" s="282">
        <f>Table21[[#This Row],[C_DEMAND]]-Table21[[#This Row],[R-DEMAND]]</f>
        <v>2640</v>
      </c>
      <c r="S22" s="287">
        <f>Table21[[#This Row],[SEATS SOLD]]*Table21[[#This Row],[ECO SEAT]]</f>
        <v>2138400</v>
      </c>
      <c r="V22" s="53"/>
      <c r="W22" s="53"/>
      <c r="X22" s="53"/>
    </row>
    <row r="23" spans="1:24" x14ac:dyDescent="0.25">
      <c r="A23" s="16" t="s">
        <v>16662</v>
      </c>
      <c r="B23" s="16" t="s">
        <v>345</v>
      </c>
      <c r="C23" s="16" t="s">
        <v>2</v>
      </c>
      <c r="D23" s="16">
        <v>2</v>
      </c>
      <c r="E23" s="16" t="s">
        <v>1314</v>
      </c>
      <c r="F23" s="16" t="s">
        <v>12670</v>
      </c>
      <c r="G23" s="179" t="s">
        <v>12102</v>
      </c>
      <c r="H23" s="254">
        <v>3206</v>
      </c>
      <c r="I23" s="180">
        <v>9.25</v>
      </c>
      <c r="J23" s="102">
        <v>168098943</v>
      </c>
      <c r="K23" s="102">
        <f>IFERROR(Table21[[#This Row],[ROUTE COST]]/Table21[[#This Row],[O - DEMAND]],0)</f>
        <v>45828.501363140676</v>
      </c>
      <c r="L23" s="26">
        <v>3668</v>
      </c>
      <c r="M23" s="26">
        <f>IFERROR(VLOOKUP(Table21[[#This Row],[ROUTE]],DEMAND!A:F,5,FALSE),0)</f>
        <v>3888</v>
      </c>
      <c r="N23" s="26">
        <f>IFERROR(VLOOKUP(Table21[[#This Row],[ROUTE]],DEMAND!A:F,6,FALSE),0)</f>
        <v>1248</v>
      </c>
      <c r="O23" s="26">
        <f>ROUNDDOWN(Table21[[#This Row],[R-DEMAND]]/1320,0)</f>
        <v>0</v>
      </c>
      <c r="P23" s="26">
        <f>Table21[[#This Row],[ADD ACC]]*Table21[[#This Row],[Duration
(747-400)]]</f>
        <v>0</v>
      </c>
      <c r="Q23" s="284">
        <f>IFERROR(VLOOKUP(Table21[[#This Row],[ROUTE]],PRICING!A:B,2,FALSE),0)</f>
        <v>912</v>
      </c>
      <c r="R23" s="282">
        <f>Table21[[#This Row],[C_DEMAND]]-Table21[[#This Row],[R-DEMAND]]</f>
        <v>2640</v>
      </c>
      <c r="S23" s="287">
        <f>Table21[[#This Row],[SEATS SOLD]]*Table21[[#This Row],[ECO SEAT]]</f>
        <v>2407680</v>
      </c>
      <c r="V23" s="53"/>
      <c r="W23" s="53"/>
      <c r="X23" s="53"/>
    </row>
    <row r="24" spans="1:24" x14ac:dyDescent="0.25">
      <c r="A24" s="16" t="s">
        <v>16004</v>
      </c>
      <c r="B24" s="16" t="s">
        <v>1333</v>
      </c>
      <c r="C24" s="16" t="s">
        <v>2</v>
      </c>
      <c r="D24" s="16">
        <v>1</v>
      </c>
      <c r="E24" s="16" t="s">
        <v>662</v>
      </c>
      <c r="F24" s="16" t="s">
        <v>12682</v>
      </c>
      <c r="G24" s="179" t="s">
        <v>11694</v>
      </c>
      <c r="H24" s="254">
        <v>12335</v>
      </c>
      <c r="I24" s="180">
        <v>29.5</v>
      </c>
      <c r="J24" s="102">
        <v>243920089</v>
      </c>
      <c r="K24" s="102">
        <f>IFERROR(Table21[[#This Row],[ROUTE COST]]/Table21[[#This Row],[O - DEMAND]],0)</f>
        <v>101043.94739022369</v>
      </c>
      <c r="L24" s="26">
        <v>2414</v>
      </c>
      <c r="M24" s="26">
        <f>IFERROR(VLOOKUP(Table21[[#This Row],[ROUTE]],DEMAND!A:F,5,FALSE),0)</f>
        <v>2567</v>
      </c>
      <c r="N24" s="26">
        <f>IFERROR(VLOOKUP(Table21[[#This Row],[ROUTE]],DEMAND!A:F,6,FALSE),0)</f>
        <v>1247</v>
      </c>
      <c r="O24" s="26">
        <f>ROUNDDOWN(Table21[[#This Row],[R-DEMAND]]/1320,0)</f>
        <v>0</v>
      </c>
      <c r="P24" s="26">
        <f>Table21[[#This Row],[ADD ACC]]*Table21[[#This Row],[Duration
(747-400)]]</f>
        <v>0</v>
      </c>
      <c r="Q24" s="284">
        <f>IFERROR(VLOOKUP(Table21[[#This Row],[ROUTE]],PRICING!A:B,2,FALSE),0)</f>
        <v>3193</v>
      </c>
      <c r="R24" s="282">
        <f>Table21[[#This Row],[C_DEMAND]]-Table21[[#This Row],[R-DEMAND]]</f>
        <v>1320</v>
      </c>
      <c r="S24" s="287">
        <f>Table21[[#This Row],[SEATS SOLD]]*Table21[[#This Row],[ECO SEAT]]</f>
        <v>4214760</v>
      </c>
      <c r="V24" s="53"/>
      <c r="W24" s="53"/>
      <c r="X24" s="53"/>
    </row>
    <row r="25" spans="1:24" x14ac:dyDescent="0.25">
      <c r="A25" s="16" t="s">
        <v>16416</v>
      </c>
      <c r="B25" s="16" t="s">
        <v>5091</v>
      </c>
      <c r="C25" s="16" t="s">
        <v>2</v>
      </c>
      <c r="D25" s="16">
        <v>3</v>
      </c>
      <c r="E25" s="16" t="s">
        <v>876</v>
      </c>
      <c r="F25" s="16" t="s">
        <v>12674</v>
      </c>
      <c r="G25" s="179" t="s">
        <v>10595</v>
      </c>
      <c r="H25" s="254">
        <v>7366</v>
      </c>
      <c r="I25" s="180">
        <v>18.5</v>
      </c>
      <c r="J25" s="102">
        <v>221671913</v>
      </c>
      <c r="K25" s="102">
        <f>IFERROR(Table21[[#This Row],[ROUTE COST]]/Table21[[#This Row],[O - DEMAND]],0)</f>
        <v>90774.739148239154</v>
      </c>
      <c r="L25" s="26">
        <v>2442</v>
      </c>
      <c r="M25" s="26">
        <f>IFERROR(VLOOKUP(Table21[[#This Row],[ROUTE]],DEMAND!A:F,5,FALSE),0)</f>
        <v>2564</v>
      </c>
      <c r="N25" s="26">
        <f>IFERROR(VLOOKUP(Table21[[#This Row],[ROUTE]],DEMAND!A:F,6,FALSE),0)</f>
        <v>1244</v>
      </c>
      <c r="O25" s="26">
        <f>ROUNDDOWN(Table21[[#This Row],[R-DEMAND]]/1320,0)</f>
        <v>0</v>
      </c>
      <c r="P25" s="26">
        <f>Table21[[#This Row],[ADD ACC]]*Table21[[#This Row],[Duration
(747-400)]]</f>
        <v>0</v>
      </c>
      <c r="Q25" s="284">
        <f>IFERROR(VLOOKUP(Table21[[#This Row],[ROUTE]],PRICING!A:B,2,FALSE),0)</f>
        <v>2042</v>
      </c>
      <c r="R25" s="282">
        <f>Table21[[#This Row],[C_DEMAND]]-Table21[[#This Row],[R-DEMAND]]</f>
        <v>1320</v>
      </c>
      <c r="S25" s="287">
        <f>Table21[[#This Row],[SEATS SOLD]]*Table21[[#This Row],[ECO SEAT]]</f>
        <v>2695440</v>
      </c>
      <c r="V25" s="53"/>
      <c r="W25" s="53"/>
      <c r="X25" s="53"/>
    </row>
    <row r="26" spans="1:24" x14ac:dyDescent="0.25">
      <c r="A26" s="16" t="s">
        <v>16693</v>
      </c>
      <c r="B26" s="16" t="s">
        <v>290</v>
      </c>
      <c r="C26" s="16" t="s">
        <v>2</v>
      </c>
      <c r="D26" s="16">
        <v>4</v>
      </c>
      <c r="E26" s="16" t="s">
        <v>14</v>
      </c>
      <c r="F26" s="16" t="s">
        <v>12670</v>
      </c>
      <c r="G26" s="179" t="s">
        <v>12085</v>
      </c>
      <c r="H26" s="254">
        <v>2315</v>
      </c>
      <c r="I26" s="180">
        <v>7.25</v>
      </c>
      <c r="J26" s="102">
        <v>182928812</v>
      </c>
      <c r="K26" s="102">
        <f>IFERROR(Table21[[#This Row],[ROUTE COST]]/Table21[[#This Row],[O - DEMAND]],0)</f>
        <v>49790.09580838323</v>
      </c>
      <c r="L26" s="26">
        <v>3674</v>
      </c>
      <c r="M26" s="26">
        <f>IFERROR(VLOOKUP(Table21[[#This Row],[ROUTE]],DEMAND!A:F,5,FALSE),0)</f>
        <v>3883</v>
      </c>
      <c r="N26" s="26">
        <f>IFERROR(VLOOKUP(Table21[[#This Row],[ROUTE]],DEMAND!A:F,6,FALSE),0)</f>
        <v>1243</v>
      </c>
      <c r="O26" s="26">
        <f>ROUNDDOWN(Table21[[#This Row],[R-DEMAND]]/1320,0)</f>
        <v>0</v>
      </c>
      <c r="P26" s="26">
        <f>Table21[[#This Row],[ADD ACC]]*Table21[[#This Row],[Duration
(747-400)]]</f>
        <v>0</v>
      </c>
      <c r="Q26" s="284">
        <f>IFERROR(VLOOKUP(Table21[[#This Row],[ROUTE]],PRICING!A:B,2,FALSE),0)</f>
        <v>694</v>
      </c>
      <c r="R26" s="282">
        <f>Table21[[#This Row],[C_DEMAND]]-Table21[[#This Row],[R-DEMAND]]</f>
        <v>2640</v>
      </c>
      <c r="S26" s="287">
        <f>Table21[[#This Row],[SEATS SOLD]]*Table21[[#This Row],[ECO SEAT]]</f>
        <v>1832160</v>
      </c>
      <c r="V26" s="53"/>
      <c r="W26" s="53"/>
      <c r="X26" s="53"/>
    </row>
    <row r="27" spans="1:24" x14ac:dyDescent="0.25">
      <c r="A27" s="16" t="s">
        <v>16584</v>
      </c>
      <c r="B27" s="16" t="s">
        <v>37</v>
      </c>
      <c r="C27" s="16" t="s">
        <v>2</v>
      </c>
      <c r="D27" s="16">
        <v>3</v>
      </c>
      <c r="E27" s="16" t="s">
        <v>1261</v>
      </c>
      <c r="F27" s="16" t="s">
        <v>12670</v>
      </c>
      <c r="G27" s="179" t="s">
        <v>12110</v>
      </c>
      <c r="H27" s="254">
        <v>5030</v>
      </c>
      <c r="I27" s="180">
        <v>13.25</v>
      </c>
      <c r="J27" s="102">
        <v>201367240</v>
      </c>
      <c r="K27" s="102">
        <f>IFERROR(Table21[[#This Row],[ROUTE COST]]/Table21[[#This Row],[O - DEMAND]],0)</f>
        <v>54526.73707013268</v>
      </c>
      <c r="L27" s="26">
        <v>3693</v>
      </c>
      <c r="M27" s="26">
        <f>IFERROR(VLOOKUP(Table21[[#This Row],[ROUTE]],DEMAND!A:F,5,FALSE),0)</f>
        <v>3878</v>
      </c>
      <c r="N27" s="26">
        <f>IFERROR(VLOOKUP(Table21[[#This Row],[ROUTE]],DEMAND!A:F,6,FALSE),0)</f>
        <v>1238</v>
      </c>
      <c r="O27" s="26">
        <f>ROUNDDOWN(Table21[[#This Row],[R-DEMAND]]/1320,0)</f>
        <v>0</v>
      </c>
      <c r="P27" s="26">
        <f>Table21[[#This Row],[ADD ACC]]*Table21[[#This Row],[Duration
(747-400)]]</f>
        <v>0</v>
      </c>
      <c r="Q27" s="284">
        <f>IFERROR(VLOOKUP(Table21[[#This Row],[ROUTE]],PRICING!A:B,2,FALSE),0)</f>
        <v>1427</v>
      </c>
      <c r="R27" s="282">
        <f>Table21[[#This Row],[C_DEMAND]]-Table21[[#This Row],[R-DEMAND]]</f>
        <v>2640</v>
      </c>
      <c r="S27" s="287">
        <f>Table21[[#This Row],[SEATS SOLD]]*Table21[[#This Row],[ECO SEAT]]</f>
        <v>3767280</v>
      </c>
      <c r="V27" s="53"/>
      <c r="W27" s="53"/>
      <c r="X27" s="53"/>
    </row>
    <row r="28" spans="1:24" x14ac:dyDescent="0.25">
      <c r="A28" s="16" t="s">
        <v>16701</v>
      </c>
      <c r="B28" s="16" t="s">
        <v>270</v>
      </c>
      <c r="C28" s="16" t="s">
        <v>2</v>
      </c>
      <c r="D28" s="16">
        <v>5</v>
      </c>
      <c r="E28" s="16" t="s">
        <v>142</v>
      </c>
      <c r="F28" s="16" t="s">
        <v>12670</v>
      </c>
      <c r="G28" s="179" t="s">
        <v>269</v>
      </c>
      <c r="H28" s="254">
        <v>2092</v>
      </c>
      <c r="I28" s="180">
        <v>6.75</v>
      </c>
      <c r="J28" s="102">
        <v>208139492</v>
      </c>
      <c r="K28" s="102">
        <f>IFERROR(Table21[[#This Row],[ROUTE COST]]/Table21[[#This Row],[O - DEMAND]],0)</f>
        <v>56559.644565217393</v>
      </c>
      <c r="L28" s="26">
        <v>3680</v>
      </c>
      <c r="M28" s="26">
        <f>IFERROR(VLOOKUP(Table21[[#This Row],[ROUTE]],DEMAND!A:F,5,FALSE),0)</f>
        <v>3877</v>
      </c>
      <c r="N28" s="26">
        <f>IFERROR(VLOOKUP(Table21[[#This Row],[ROUTE]],DEMAND!A:F,6,FALSE),0)</f>
        <v>1237</v>
      </c>
      <c r="O28" s="26">
        <f>ROUNDDOWN(Table21[[#This Row],[R-DEMAND]]/1320,0)</f>
        <v>0</v>
      </c>
      <c r="P28" s="26">
        <f>Table21[[#This Row],[ADD ACC]]*Table21[[#This Row],[Duration
(747-400)]]</f>
        <v>0</v>
      </c>
      <c r="Q28" s="284">
        <f>IFERROR(VLOOKUP(Table21[[#This Row],[ROUTE]],PRICING!A:B,2,FALSE),0)</f>
        <v>645</v>
      </c>
      <c r="R28" s="282">
        <f>Table21[[#This Row],[C_DEMAND]]-Table21[[#This Row],[R-DEMAND]]</f>
        <v>2640</v>
      </c>
      <c r="S28" s="287">
        <f>Table21[[#This Row],[SEATS SOLD]]*Table21[[#This Row],[ECO SEAT]]</f>
        <v>1702800</v>
      </c>
      <c r="V28" s="53"/>
      <c r="W28" s="53"/>
      <c r="X28" s="53"/>
    </row>
    <row r="29" spans="1:24" x14ac:dyDescent="0.25">
      <c r="A29" s="251" t="s">
        <v>16763</v>
      </c>
      <c r="B29" s="251" t="s">
        <v>279</v>
      </c>
      <c r="C29" s="16" t="s">
        <v>2</v>
      </c>
      <c r="D29" s="251">
        <v>4</v>
      </c>
      <c r="E29" s="251" t="s">
        <v>14</v>
      </c>
      <c r="F29" s="251" t="s">
        <v>12670</v>
      </c>
      <c r="G29" s="252" t="s">
        <v>278</v>
      </c>
      <c r="H29" s="254">
        <v>1149</v>
      </c>
      <c r="I29" s="180">
        <v>4.75</v>
      </c>
      <c r="J29" s="102">
        <v>178870138</v>
      </c>
      <c r="K29" s="253">
        <f>IFERROR(Table21[[#This Row],[ROUTE COST]]/Table21[[#This Row],[O - DEMAND]],0)</f>
        <v>48831.596505596506</v>
      </c>
      <c r="L29" s="26">
        <v>3663</v>
      </c>
      <c r="M29" s="26">
        <f>IFERROR(VLOOKUP(Table21[[#This Row],[ROUTE]],DEMAND!A:F,5,FALSE),0)</f>
        <v>3871</v>
      </c>
      <c r="N29" s="26">
        <f>IFERROR(VLOOKUP(Table21[[#This Row],[ROUTE]],DEMAND!A:F,6,FALSE),0)</f>
        <v>1231</v>
      </c>
      <c r="O29" s="26">
        <f>ROUNDDOWN(Table21[[#This Row],[R-DEMAND]]/1320,0)</f>
        <v>0</v>
      </c>
      <c r="P29" s="26">
        <f>Table21[[#This Row],[ADD ACC]]*Table21[[#This Row],[Duration
(747-400)]]</f>
        <v>0</v>
      </c>
      <c r="Q29" s="284">
        <f>IFERROR(VLOOKUP(Table21[[#This Row],[ROUTE]],PRICING!A:B,2,FALSE),0)</f>
        <v>395</v>
      </c>
      <c r="R29" s="282">
        <f>Table21[[#This Row],[C_DEMAND]]-Table21[[#This Row],[R-DEMAND]]</f>
        <v>2640</v>
      </c>
      <c r="S29" s="287">
        <f>Table21[[#This Row],[SEATS SOLD]]*Table21[[#This Row],[ECO SEAT]]</f>
        <v>1042800</v>
      </c>
      <c r="V29" s="53"/>
      <c r="W29" s="53"/>
      <c r="X29" s="53"/>
    </row>
    <row r="30" spans="1:24" x14ac:dyDescent="0.25">
      <c r="A30" s="16" t="s">
        <v>16287</v>
      </c>
      <c r="B30" s="16" t="s">
        <v>5475</v>
      </c>
      <c r="C30" s="16" t="s">
        <v>2</v>
      </c>
      <c r="D30" s="16">
        <v>4</v>
      </c>
      <c r="E30" s="16" t="s">
        <v>560</v>
      </c>
      <c r="F30" s="16" t="s">
        <v>12674</v>
      </c>
      <c r="G30" s="179" t="s">
        <v>11037</v>
      </c>
      <c r="H30" s="254">
        <v>8673</v>
      </c>
      <c r="I30" s="180">
        <v>21.25</v>
      </c>
      <c r="J30" s="102">
        <v>246422430</v>
      </c>
      <c r="K30" s="102">
        <f>IFERROR(Table21[[#This Row],[ROUTE COST]]/Table21[[#This Row],[O - DEMAND]],0)</f>
        <v>99887.486826104578</v>
      </c>
      <c r="L30" s="26">
        <v>2467</v>
      </c>
      <c r="M30" s="26">
        <f>IFERROR(VLOOKUP(Table21[[#This Row],[ROUTE]],DEMAND!A:F,5,FALSE),0)</f>
        <v>2549</v>
      </c>
      <c r="N30" s="26">
        <f>IFERROR(VLOOKUP(Table21[[#This Row],[ROUTE]],DEMAND!A:F,6,FALSE),0)</f>
        <v>1229</v>
      </c>
      <c r="O30" s="26">
        <f>ROUNDDOWN(Table21[[#This Row],[R-DEMAND]]/1320,0)</f>
        <v>0</v>
      </c>
      <c r="P30" s="26">
        <f>Table21[[#This Row],[ADD ACC]]*Table21[[#This Row],[Duration
(747-400)]]</f>
        <v>0</v>
      </c>
      <c r="Q30" s="284">
        <f>IFERROR(VLOOKUP(Table21[[#This Row],[ROUTE]],PRICING!A:B,2,FALSE),0)</f>
        <v>2527</v>
      </c>
      <c r="R30" s="282">
        <f>Table21[[#This Row],[C_DEMAND]]-Table21[[#This Row],[R-DEMAND]]</f>
        <v>1320</v>
      </c>
      <c r="S30" s="287">
        <f>Table21[[#This Row],[SEATS SOLD]]*Table21[[#This Row],[ECO SEAT]]</f>
        <v>3335640</v>
      </c>
      <c r="V30" s="53"/>
      <c r="W30" s="53"/>
      <c r="X30" s="53"/>
    </row>
    <row r="31" spans="1:24" x14ac:dyDescent="0.25">
      <c r="A31" s="16" t="s">
        <v>16361</v>
      </c>
      <c r="B31" s="16" t="s">
        <v>5010</v>
      </c>
      <c r="C31" s="16" t="s">
        <v>2</v>
      </c>
      <c r="D31" s="16">
        <v>3</v>
      </c>
      <c r="E31" s="16" t="s">
        <v>1427</v>
      </c>
      <c r="F31" s="16" t="s">
        <v>12674</v>
      </c>
      <c r="G31" s="179" t="s">
        <v>14214</v>
      </c>
      <c r="H31" s="254">
        <v>7867</v>
      </c>
      <c r="I31" s="180">
        <v>19.5</v>
      </c>
      <c r="J31" s="102">
        <v>224889911</v>
      </c>
      <c r="K31" s="102">
        <f>IFERROR(Table21[[#This Row],[ROUTE COST]]/Table21[[#This Row],[O - DEMAND]],0)</f>
        <v>93899.754070981217</v>
      </c>
      <c r="L31" s="26">
        <v>2395</v>
      </c>
      <c r="M31" s="26">
        <f>IFERROR(VLOOKUP(Table21[[#This Row],[ROUTE]],DEMAND!A:F,5,FALSE),0)</f>
        <v>2547</v>
      </c>
      <c r="N31" s="26">
        <f>IFERROR(VLOOKUP(Table21[[#This Row],[ROUTE]],DEMAND!A:F,6,FALSE),0)</f>
        <v>1227</v>
      </c>
      <c r="O31" s="26">
        <f>ROUNDDOWN(Table21[[#This Row],[R-DEMAND]]/1320,0)</f>
        <v>0</v>
      </c>
      <c r="P31" s="26">
        <f>Table21[[#This Row],[ADD ACC]]*Table21[[#This Row],[Duration
(747-400)]]</f>
        <v>0</v>
      </c>
      <c r="Q31" s="284">
        <f>IFERROR(VLOOKUP(Table21[[#This Row],[ROUTE]],PRICING!A:B,2,FALSE),0)</f>
        <v>2071</v>
      </c>
      <c r="R31" s="282">
        <f>Table21[[#This Row],[C_DEMAND]]-Table21[[#This Row],[R-DEMAND]]</f>
        <v>1320</v>
      </c>
      <c r="S31" s="287">
        <f>Table21[[#This Row],[SEATS SOLD]]*Table21[[#This Row],[ECO SEAT]]</f>
        <v>2733720</v>
      </c>
      <c r="V31" s="53"/>
      <c r="W31" s="53"/>
      <c r="X31" s="53"/>
    </row>
    <row r="32" spans="1:24" x14ac:dyDescent="0.25">
      <c r="A32" s="16" t="s">
        <v>16403</v>
      </c>
      <c r="B32" s="16" t="s">
        <v>5639</v>
      </c>
      <c r="C32" s="16" t="s">
        <v>2</v>
      </c>
      <c r="D32" s="16">
        <v>4</v>
      </c>
      <c r="E32" s="16" t="s">
        <v>172</v>
      </c>
      <c r="F32" s="16" t="s">
        <v>12670</v>
      </c>
      <c r="G32" s="179" t="s">
        <v>11075</v>
      </c>
      <c r="H32" s="254">
        <v>7438</v>
      </c>
      <c r="I32" s="180">
        <v>18.5</v>
      </c>
      <c r="J32" s="102">
        <v>242161864</v>
      </c>
      <c r="K32" s="102">
        <f>IFERROR(Table21[[#This Row],[ROUTE COST]]/Table21[[#This Row],[O - DEMAND]],0)</f>
        <v>66291.230221735561</v>
      </c>
      <c r="L32" s="26">
        <v>3653</v>
      </c>
      <c r="M32" s="26">
        <f>IFERROR(VLOOKUP(Table21[[#This Row],[ROUTE]],DEMAND!A:F,5,FALSE),0)</f>
        <v>3860</v>
      </c>
      <c r="N32" s="26">
        <f>IFERROR(VLOOKUP(Table21[[#This Row],[ROUTE]],DEMAND!A:F,6,FALSE),0)</f>
        <v>1220</v>
      </c>
      <c r="O32" s="26">
        <f>ROUNDDOWN(Table21[[#This Row],[R-DEMAND]]/1320,0)</f>
        <v>0</v>
      </c>
      <c r="P32" s="26">
        <f>Table21[[#This Row],[ADD ACC]]*Table21[[#This Row],[Duration
(747-400)]]</f>
        <v>0</v>
      </c>
      <c r="Q32" s="284">
        <f>IFERROR(VLOOKUP(Table21[[#This Row],[ROUTE]],PRICING!A:B,2,FALSE),0)</f>
        <v>2012</v>
      </c>
      <c r="R32" s="282">
        <f>Table21[[#This Row],[C_DEMAND]]-Table21[[#This Row],[R-DEMAND]]</f>
        <v>2640</v>
      </c>
      <c r="S32" s="287">
        <f>Table21[[#This Row],[SEATS SOLD]]*Table21[[#This Row],[ECO SEAT]]</f>
        <v>5311680</v>
      </c>
      <c r="V32" s="53"/>
      <c r="W32" s="53"/>
      <c r="X32" s="53"/>
    </row>
    <row r="33" spans="1:24" x14ac:dyDescent="0.25">
      <c r="A33" s="16" t="s">
        <v>16705</v>
      </c>
      <c r="B33" s="16" t="s">
        <v>4725</v>
      </c>
      <c r="C33" s="16" t="s">
        <v>2</v>
      </c>
      <c r="D33" s="16">
        <v>3</v>
      </c>
      <c r="E33" s="16" t="s">
        <v>142</v>
      </c>
      <c r="F33" s="16" t="s">
        <v>12670</v>
      </c>
      <c r="G33" s="179" t="s">
        <v>10855</v>
      </c>
      <c r="H33" s="254">
        <v>2036</v>
      </c>
      <c r="I33" s="180">
        <v>6.75</v>
      </c>
      <c r="J33" s="102">
        <v>162442347</v>
      </c>
      <c r="K33" s="102">
        <f>IFERROR(Table21[[#This Row],[ROUTE COST]]/Table21[[#This Row],[O - DEMAND]],0)</f>
        <v>66384.285655905187</v>
      </c>
      <c r="L33" s="26">
        <v>2447</v>
      </c>
      <c r="M33" s="26">
        <f>IFERROR(VLOOKUP(Table21[[#This Row],[ROUTE]],DEMAND!A:F,5,FALSE),0)</f>
        <v>2537</v>
      </c>
      <c r="N33" s="26">
        <f>IFERROR(VLOOKUP(Table21[[#This Row],[ROUTE]],DEMAND!A:F,6,FALSE),0)</f>
        <v>1217</v>
      </c>
      <c r="O33" s="26">
        <f>ROUNDDOWN(Table21[[#This Row],[R-DEMAND]]/1320,0)</f>
        <v>0</v>
      </c>
      <c r="P33" s="26">
        <f>Table21[[#This Row],[ADD ACC]]*Table21[[#This Row],[Duration
(747-400)]]</f>
        <v>0</v>
      </c>
      <c r="Q33" s="284">
        <f>IFERROR(VLOOKUP(Table21[[#This Row],[ROUTE]],PRICING!A:B,2,FALSE),0)</f>
        <v>668</v>
      </c>
      <c r="R33" s="282">
        <f>Table21[[#This Row],[C_DEMAND]]-Table21[[#This Row],[R-DEMAND]]</f>
        <v>1320</v>
      </c>
      <c r="S33" s="287">
        <f>Table21[[#This Row],[SEATS SOLD]]*Table21[[#This Row],[ECO SEAT]]</f>
        <v>881760</v>
      </c>
      <c r="V33" s="53"/>
      <c r="W33" s="53"/>
      <c r="X33" s="53"/>
    </row>
    <row r="34" spans="1:24" x14ac:dyDescent="0.25">
      <c r="A34" s="16" t="s">
        <v>16597</v>
      </c>
      <c r="B34" s="16" t="s">
        <v>3628</v>
      </c>
      <c r="C34" s="16" t="s">
        <v>2</v>
      </c>
      <c r="D34" s="16">
        <v>2</v>
      </c>
      <c r="E34" s="16" t="s">
        <v>197</v>
      </c>
      <c r="F34" s="16" t="s">
        <v>12670</v>
      </c>
      <c r="G34" s="179" t="s">
        <v>12003</v>
      </c>
      <c r="H34" s="254">
        <v>4583</v>
      </c>
      <c r="I34" s="180">
        <v>12.25</v>
      </c>
      <c r="J34" s="102">
        <v>178506861</v>
      </c>
      <c r="K34" s="102">
        <f>IFERROR(Table21[[#This Row],[ROUTE COST]]/Table21[[#This Row],[O - DEMAND]],0)</f>
        <v>49270.455699696387</v>
      </c>
      <c r="L34" s="26">
        <v>3623</v>
      </c>
      <c r="M34" s="26">
        <f>IFERROR(VLOOKUP(Table21[[#This Row],[ROUTE]],DEMAND!A:F,5,FALSE),0)</f>
        <v>3853</v>
      </c>
      <c r="N34" s="26">
        <f>IFERROR(VLOOKUP(Table21[[#This Row],[ROUTE]],DEMAND!A:F,6,FALSE),0)</f>
        <v>1213</v>
      </c>
      <c r="O34" s="26">
        <f>ROUNDDOWN(Table21[[#This Row],[R-DEMAND]]/1320,0)</f>
        <v>0</v>
      </c>
      <c r="P34" s="26">
        <f>Table21[[#This Row],[ADD ACC]]*Table21[[#This Row],[Duration
(747-400)]]</f>
        <v>0</v>
      </c>
      <c r="Q34" s="284">
        <f>IFERROR(VLOOKUP(Table21[[#This Row],[ROUTE]],PRICING!A:B,2,FALSE),0)</f>
        <v>1247</v>
      </c>
      <c r="R34" s="282">
        <f>Table21[[#This Row],[C_DEMAND]]-Table21[[#This Row],[R-DEMAND]]</f>
        <v>2640</v>
      </c>
      <c r="S34" s="287">
        <f>Table21[[#This Row],[SEATS SOLD]]*Table21[[#This Row],[ECO SEAT]]</f>
        <v>3292080</v>
      </c>
      <c r="V34" s="53"/>
      <c r="W34" s="53"/>
      <c r="X34" s="53"/>
    </row>
    <row r="35" spans="1:24" x14ac:dyDescent="0.25">
      <c r="A35" s="16" t="s">
        <v>16251</v>
      </c>
      <c r="B35" s="16" t="s">
        <v>2394</v>
      </c>
      <c r="C35" s="16" t="s">
        <v>2</v>
      </c>
      <c r="D35" s="16">
        <v>1</v>
      </c>
      <c r="E35" s="16" t="s">
        <v>881</v>
      </c>
      <c r="F35" s="16" t="s">
        <v>12671</v>
      </c>
      <c r="G35" s="179" t="s">
        <v>9934</v>
      </c>
      <c r="H35" s="254">
        <v>9146</v>
      </c>
      <c r="I35" s="180">
        <v>22.5</v>
      </c>
      <c r="J35" s="102">
        <v>217844726</v>
      </c>
      <c r="K35" s="102">
        <f>IFERROR(Table21[[#This Row],[ROUTE COST]]/Table21[[#This Row],[O - DEMAND]],0)</f>
        <v>58845.144786601835</v>
      </c>
      <c r="L35" s="26">
        <v>3702</v>
      </c>
      <c r="M35" s="26">
        <f>IFERROR(VLOOKUP(Table21[[#This Row],[ROUTE]],DEMAND!A:F,5,FALSE),0)</f>
        <v>3851</v>
      </c>
      <c r="N35" s="26">
        <f>IFERROR(VLOOKUP(Table21[[#This Row],[ROUTE]],DEMAND!A:F,6,FALSE),0)</f>
        <v>1211</v>
      </c>
      <c r="O35" s="26">
        <f>ROUNDDOWN(Table21[[#This Row],[R-DEMAND]]/1320,0)</f>
        <v>0</v>
      </c>
      <c r="P35" s="26">
        <f>Table21[[#This Row],[ADD ACC]]*Table21[[#This Row],[Duration
(747-400)]]</f>
        <v>0</v>
      </c>
      <c r="Q35" s="284">
        <f>IFERROR(VLOOKUP(Table21[[#This Row],[ROUTE]],PRICING!A:B,2,FALSE),0)</f>
        <v>2600</v>
      </c>
      <c r="R35" s="282">
        <f>Table21[[#This Row],[C_DEMAND]]-Table21[[#This Row],[R-DEMAND]]</f>
        <v>2640</v>
      </c>
      <c r="S35" s="287">
        <f>Table21[[#This Row],[SEATS SOLD]]*Table21[[#This Row],[ECO SEAT]]</f>
        <v>6864000</v>
      </c>
      <c r="V35" s="53"/>
      <c r="W35" s="53"/>
      <c r="X35" s="53"/>
    </row>
    <row r="36" spans="1:24" x14ac:dyDescent="0.25">
      <c r="A36" s="16" t="s">
        <v>16020</v>
      </c>
      <c r="B36" s="16" t="s">
        <v>5480</v>
      </c>
      <c r="C36" s="16" t="s">
        <v>2</v>
      </c>
      <c r="D36" s="16">
        <v>4</v>
      </c>
      <c r="E36" s="16" t="s">
        <v>1749</v>
      </c>
      <c r="F36" s="16" t="s">
        <v>12688</v>
      </c>
      <c r="G36" s="179" t="s">
        <v>13219</v>
      </c>
      <c r="H36" s="254">
        <v>12113</v>
      </c>
      <c r="I36" s="180">
        <v>29</v>
      </c>
      <c r="J36" s="102">
        <v>279221676</v>
      </c>
      <c r="K36" s="102">
        <f>IFERROR(Table21[[#This Row],[ROUTE COST]]/Table21[[#This Row],[O - DEMAND]],0)</f>
        <v>75669.830894308936</v>
      </c>
      <c r="L36" s="26">
        <v>3690</v>
      </c>
      <c r="M36" s="26">
        <f>IFERROR(VLOOKUP(Table21[[#This Row],[ROUTE]],DEMAND!A:F,5,FALSE),0)</f>
        <v>3850</v>
      </c>
      <c r="N36" s="26">
        <f>IFERROR(VLOOKUP(Table21[[#This Row],[ROUTE]],DEMAND!A:F,6,FALSE),0)</f>
        <v>1210</v>
      </c>
      <c r="O36" s="26">
        <f>ROUNDDOWN(Table21[[#This Row],[R-DEMAND]]/1320,0)</f>
        <v>0</v>
      </c>
      <c r="P36" s="26">
        <f>Table21[[#This Row],[ADD ACC]]*Table21[[#This Row],[Duration
(747-400)]]</f>
        <v>0</v>
      </c>
      <c r="Q36" s="284">
        <f>IFERROR(VLOOKUP(Table21[[#This Row],[ROUTE]],PRICING!A:B,2,FALSE),0)</f>
        <v>3371</v>
      </c>
      <c r="R36" s="282">
        <f>Table21[[#This Row],[C_DEMAND]]-Table21[[#This Row],[R-DEMAND]]</f>
        <v>2640</v>
      </c>
      <c r="S36" s="287">
        <f>Table21[[#This Row],[SEATS SOLD]]*Table21[[#This Row],[ECO SEAT]]</f>
        <v>8899440</v>
      </c>
      <c r="V36" s="53"/>
      <c r="W36" s="53"/>
      <c r="X36" s="53"/>
    </row>
    <row r="37" spans="1:24" x14ac:dyDescent="0.25">
      <c r="A37" s="16" t="s">
        <v>16685</v>
      </c>
      <c r="B37" s="16" t="s">
        <v>68</v>
      </c>
      <c r="C37" s="16" t="s">
        <v>2</v>
      </c>
      <c r="D37" s="16">
        <v>4</v>
      </c>
      <c r="E37" s="16" t="s">
        <v>14</v>
      </c>
      <c r="F37" s="16" t="s">
        <v>12670</v>
      </c>
      <c r="G37" s="179" t="s">
        <v>12091</v>
      </c>
      <c r="H37" s="254">
        <v>2518</v>
      </c>
      <c r="I37" s="180">
        <v>7.75</v>
      </c>
      <c r="J37" s="102">
        <v>184199587</v>
      </c>
      <c r="K37" s="102">
        <f>IFERROR(Table21[[#This Row],[ROUTE COST]]/Table21[[#This Row],[O - DEMAND]],0)</f>
        <v>50410.396004378767</v>
      </c>
      <c r="L37" s="26">
        <v>3654</v>
      </c>
      <c r="M37" s="26">
        <f>IFERROR(VLOOKUP(Table21[[#This Row],[ROUTE]],DEMAND!A:F,5,FALSE),0)</f>
        <v>3848</v>
      </c>
      <c r="N37" s="26">
        <f>IFERROR(VLOOKUP(Table21[[#This Row],[ROUTE]],DEMAND!A:F,6,FALSE),0)</f>
        <v>1208</v>
      </c>
      <c r="O37" s="26">
        <f>ROUNDDOWN(Table21[[#This Row],[R-DEMAND]]/1320,0)</f>
        <v>0</v>
      </c>
      <c r="P37" s="26">
        <f>Table21[[#This Row],[ADD ACC]]*Table21[[#This Row],[Duration
(747-400)]]</f>
        <v>0</v>
      </c>
      <c r="Q37" s="284">
        <f>IFERROR(VLOOKUP(Table21[[#This Row],[ROUTE]],PRICING!A:B,2,FALSE),0)</f>
        <v>756</v>
      </c>
      <c r="R37" s="282">
        <f>Table21[[#This Row],[C_DEMAND]]-Table21[[#This Row],[R-DEMAND]]</f>
        <v>2640</v>
      </c>
      <c r="S37" s="287">
        <f>Table21[[#This Row],[SEATS SOLD]]*Table21[[#This Row],[ECO SEAT]]</f>
        <v>1995840</v>
      </c>
      <c r="V37" s="53"/>
      <c r="W37" s="53"/>
      <c r="X37" s="53"/>
    </row>
    <row r="38" spans="1:24" x14ac:dyDescent="0.25">
      <c r="A38" s="16" t="s">
        <v>16127</v>
      </c>
      <c r="B38" s="16" t="s">
        <v>4136</v>
      </c>
      <c r="C38" s="16" t="s">
        <v>2</v>
      </c>
      <c r="D38" s="16">
        <v>2</v>
      </c>
      <c r="E38" s="16" t="s">
        <v>514</v>
      </c>
      <c r="F38" s="16" t="s">
        <v>12688</v>
      </c>
      <c r="G38" s="179" t="s">
        <v>13172</v>
      </c>
      <c r="H38" s="254">
        <v>10613</v>
      </c>
      <c r="I38" s="180">
        <v>25.75</v>
      </c>
      <c r="J38" s="102">
        <v>242195055</v>
      </c>
      <c r="K38" s="102">
        <f>IFERROR(Table21[[#This Row],[ROUTE COST]]/Table21[[#This Row],[O - DEMAND]],0)</f>
        <v>100246.29759933775</v>
      </c>
      <c r="L38" s="26">
        <v>2416</v>
      </c>
      <c r="M38" s="26">
        <f>IFERROR(VLOOKUP(Table21[[#This Row],[ROUTE]],DEMAND!A:F,5,FALSE),0)</f>
        <v>2521</v>
      </c>
      <c r="N38" s="26">
        <f>IFERROR(VLOOKUP(Table21[[#This Row],[ROUTE]],DEMAND!A:F,6,FALSE),0)</f>
        <v>1201</v>
      </c>
      <c r="O38" s="26">
        <f>ROUNDDOWN(Table21[[#This Row],[R-DEMAND]]/1320,0)</f>
        <v>0</v>
      </c>
      <c r="P38" s="26">
        <f>Table21[[#This Row],[ADD ACC]]*Table21[[#This Row],[Duration
(747-400)]]</f>
        <v>0</v>
      </c>
      <c r="Q38" s="284">
        <f>IFERROR(VLOOKUP(Table21[[#This Row],[ROUTE]],PRICING!A:B,2,FALSE),0)</f>
        <v>2966</v>
      </c>
      <c r="R38" s="282">
        <f>Table21[[#This Row],[C_DEMAND]]-Table21[[#This Row],[R-DEMAND]]</f>
        <v>1320</v>
      </c>
      <c r="S38" s="287">
        <f>Table21[[#This Row],[SEATS SOLD]]*Table21[[#This Row],[ECO SEAT]]</f>
        <v>3915120</v>
      </c>
      <c r="V38" s="53"/>
      <c r="W38" s="53"/>
      <c r="X38" s="53"/>
    </row>
    <row r="39" spans="1:24" x14ac:dyDescent="0.25">
      <c r="A39" s="16" t="s">
        <v>16453</v>
      </c>
      <c r="B39" s="16" t="s">
        <v>5317</v>
      </c>
      <c r="C39" s="16" t="s">
        <v>2</v>
      </c>
      <c r="D39" s="16">
        <v>4</v>
      </c>
      <c r="E39" s="16" t="s">
        <v>2711</v>
      </c>
      <c r="F39" s="16" t="s">
        <v>12670</v>
      </c>
      <c r="G39" s="179" t="s">
        <v>11892</v>
      </c>
      <c r="H39" s="254">
        <v>7071</v>
      </c>
      <c r="I39" s="180">
        <v>17.75</v>
      </c>
      <c r="J39" s="102">
        <v>223651691</v>
      </c>
      <c r="K39" s="102">
        <f>IFERROR(Table21[[#This Row],[ROUTE COST]]/Table21[[#This Row],[O - DEMAND]],0)</f>
        <v>61341.659626988483</v>
      </c>
      <c r="L39" s="26">
        <v>3646</v>
      </c>
      <c r="M39" s="26">
        <f>IFERROR(VLOOKUP(Table21[[#This Row],[ROUTE]],DEMAND!A:F,5,FALSE),0)</f>
        <v>3840</v>
      </c>
      <c r="N39" s="26">
        <f>IFERROR(VLOOKUP(Table21[[#This Row],[ROUTE]],DEMAND!A:F,6,FALSE),0)</f>
        <v>1200</v>
      </c>
      <c r="O39" s="26">
        <f>ROUNDDOWN(Table21[[#This Row],[R-DEMAND]]/1320,0)</f>
        <v>0</v>
      </c>
      <c r="P39" s="26">
        <f>Table21[[#This Row],[ADD ACC]]*Table21[[#This Row],[Duration
(747-400)]]</f>
        <v>0</v>
      </c>
      <c r="Q39" s="284">
        <f>IFERROR(VLOOKUP(Table21[[#This Row],[ROUTE]],PRICING!A:B,2,FALSE),0)</f>
        <v>1942</v>
      </c>
      <c r="R39" s="282">
        <f>Table21[[#This Row],[C_DEMAND]]-Table21[[#This Row],[R-DEMAND]]</f>
        <v>2640</v>
      </c>
      <c r="S39" s="287">
        <f>Table21[[#This Row],[SEATS SOLD]]*Table21[[#This Row],[ECO SEAT]]</f>
        <v>5126880</v>
      </c>
      <c r="V39" s="53"/>
      <c r="W39" s="53"/>
      <c r="X39" s="53"/>
    </row>
    <row r="40" spans="1:24" x14ac:dyDescent="0.25">
      <c r="A40" s="16" t="s">
        <v>16643</v>
      </c>
      <c r="B40" s="16" t="s">
        <v>4677</v>
      </c>
      <c r="C40" s="16" t="s">
        <v>2</v>
      </c>
      <c r="D40" s="16">
        <v>2</v>
      </c>
      <c r="E40" s="16" t="s">
        <v>588</v>
      </c>
      <c r="F40" s="16" t="s">
        <v>12674</v>
      </c>
      <c r="G40" s="179" t="s">
        <v>11948</v>
      </c>
      <c r="H40" s="254">
        <v>3653</v>
      </c>
      <c r="I40" s="180">
        <v>10.25</v>
      </c>
      <c r="J40" s="102">
        <v>177413333</v>
      </c>
      <c r="K40" s="102">
        <f>IFERROR(Table21[[#This Row],[ROUTE COST]]/Table21[[#This Row],[O - DEMAND]],0)</f>
        <v>49009.208011049726</v>
      </c>
      <c r="L40" s="26">
        <v>3620</v>
      </c>
      <c r="M40" s="26">
        <f>IFERROR(VLOOKUP(Table21[[#This Row],[ROUTE]],DEMAND!A:F,5,FALSE),0)</f>
        <v>3837</v>
      </c>
      <c r="N40" s="26">
        <f>IFERROR(VLOOKUP(Table21[[#This Row],[ROUTE]],DEMAND!A:F,6,FALSE),0)</f>
        <v>1197</v>
      </c>
      <c r="O40" s="26">
        <f>ROUNDDOWN(Table21[[#This Row],[R-DEMAND]]/1320,0)</f>
        <v>0</v>
      </c>
      <c r="P40" s="26">
        <f>Table21[[#This Row],[ADD ACC]]*Table21[[#This Row],[Duration
(747-400)]]</f>
        <v>0</v>
      </c>
      <c r="Q40" s="284">
        <f>IFERROR(VLOOKUP(Table21[[#This Row],[ROUTE]],PRICING!A:B,2,FALSE),0)</f>
        <v>1026</v>
      </c>
      <c r="R40" s="282">
        <f>Table21[[#This Row],[C_DEMAND]]-Table21[[#This Row],[R-DEMAND]]</f>
        <v>2640</v>
      </c>
      <c r="S40" s="287">
        <f>Table21[[#This Row],[SEATS SOLD]]*Table21[[#This Row],[ECO SEAT]]</f>
        <v>2708640</v>
      </c>
      <c r="V40" s="53"/>
      <c r="W40" s="53"/>
      <c r="X40" s="53"/>
    </row>
    <row r="41" spans="1:24" x14ac:dyDescent="0.25">
      <c r="A41" s="16" t="s">
        <v>16614</v>
      </c>
      <c r="B41" s="16" t="s">
        <v>128</v>
      </c>
      <c r="C41" s="16" t="s">
        <v>2</v>
      </c>
      <c r="D41" s="16">
        <v>3</v>
      </c>
      <c r="E41" s="16" t="s">
        <v>709</v>
      </c>
      <c r="F41" s="16" t="s">
        <v>12670</v>
      </c>
      <c r="G41" s="179" t="s">
        <v>12109</v>
      </c>
      <c r="H41" s="254">
        <v>4199</v>
      </c>
      <c r="I41" s="180">
        <v>11.5</v>
      </c>
      <c r="J41" s="102">
        <v>191101276</v>
      </c>
      <c r="K41" s="102">
        <f>IFERROR(Table21[[#This Row],[ROUTE COST]]/Table21[[#This Row],[O - DEMAND]],0)</f>
        <v>52951.309504017736</v>
      </c>
      <c r="L41" s="26">
        <v>3609</v>
      </c>
      <c r="M41" s="26">
        <f>IFERROR(VLOOKUP(Table21[[#This Row],[ROUTE]],DEMAND!A:F,5,FALSE),0)</f>
        <v>3837</v>
      </c>
      <c r="N41" s="26">
        <f>IFERROR(VLOOKUP(Table21[[#This Row],[ROUTE]],DEMAND!A:F,6,FALSE),0)</f>
        <v>1197</v>
      </c>
      <c r="O41" s="26">
        <f>ROUNDDOWN(Table21[[#This Row],[R-DEMAND]]/1320,0)</f>
        <v>0</v>
      </c>
      <c r="P41" s="26">
        <f>Table21[[#This Row],[ADD ACC]]*Table21[[#This Row],[Duration
(747-400)]]</f>
        <v>0</v>
      </c>
      <c r="Q41" s="284">
        <f>IFERROR(VLOOKUP(Table21[[#This Row],[ROUTE]],PRICING!A:B,2,FALSE),0)</f>
        <v>1151</v>
      </c>
      <c r="R41" s="282">
        <f>Table21[[#This Row],[C_DEMAND]]-Table21[[#This Row],[R-DEMAND]]</f>
        <v>2640</v>
      </c>
      <c r="S41" s="287">
        <f>Table21[[#This Row],[SEATS SOLD]]*Table21[[#This Row],[ECO SEAT]]</f>
        <v>3038640</v>
      </c>
      <c r="V41" s="53"/>
      <c r="W41" s="53"/>
      <c r="X41" s="53"/>
    </row>
    <row r="42" spans="1:24" x14ac:dyDescent="0.25">
      <c r="A42" s="16" t="s">
        <v>16599</v>
      </c>
      <c r="B42" s="16" t="s">
        <v>395</v>
      </c>
      <c r="C42" s="16" t="s">
        <v>2</v>
      </c>
      <c r="D42" s="16">
        <v>3</v>
      </c>
      <c r="E42" s="16" t="s">
        <v>1261</v>
      </c>
      <c r="F42" s="16" t="s">
        <v>12670</v>
      </c>
      <c r="G42" s="179" t="s">
        <v>12116</v>
      </c>
      <c r="H42" s="254">
        <v>4512</v>
      </c>
      <c r="I42" s="180">
        <v>12</v>
      </c>
      <c r="J42" s="102">
        <v>195387463</v>
      </c>
      <c r="K42" s="102">
        <f>IFERROR(Table21[[#This Row],[ROUTE COST]]/Table21[[#This Row],[O - DEMAND]],0)</f>
        <v>52821.69856718032</v>
      </c>
      <c r="L42" s="26">
        <v>3699</v>
      </c>
      <c r="M42" s="26">
        <f>IFERROR(VLOOKUP(Table21[[#This Row],[ROUTE]],DEMAND!A:F,5,FALSE),0)</f>
        <v>3835</v>
      </c>
      <c r="N42" s="26">
        <f>IFERROR(VLOOKUP(Table21[[#This Row],[ROUTE]],DEMAND!A:F,6,FALSE),0)</f>
        <v>1195</v>
      </c>
      <c r="O42" s="26">
        <f>ROUNDDOWN(Table21[[#This Row],[R-DEMAND]]/1320,0)</f>
        <v>0</v>
      </c>
      <c r="P42" s="26">
        <f>Table21[[#This Row],[ADD ACC]]*Table21[[#This Row],[Duration
(747-400)]]</f>
        <v>0</v>
      </c>
      <c r="Q42" s="284">
        <f>IFERROR(VLOOKUP(Table21[[#This Row],[ROUTE]],PRICING!A:B,2,FALSE),0)</f>
        <v>1351</v>
      </c>
      <c r="R42" s="282">
        <f>Table21[[#This Row],[C_DEMAND]]-Table21[[#This Row],[R-DEMAND]]</f>
        <v>2640</v>
      </c>
      <c r="S42" s="287">
        <f>Table21[[#This Row],[SEATS SOLD]]*Table21[[#This Row],[ECO SEAT]]</f>
        <v>3566640</v>
      </c>
    </row>
    <row r="43" spans="1:24" x14ac:dyDescent="0.25">
      <c r="A43" s="16" t="s">
        <v>16602</v>
      </c>
      <c r="B43" s="16" t="s">
        <v>263</v>
      </c>
      <c r="C43" s="16" t="s">
        <v>2</v>
      </c>
      <c r="D43" s="16">
        <v>4</v>
      </c>
      <c r="E43" s="16" t="s">
        <v>1070</v>
      </c>
      <c r="F43" s="16" t="s">
        <v>12670</v>
      </c>
      <c r="G43" s="179" t="s">
        <v>11078</v>
      </c>
      <c r="H43" s="254">
        <v>4454</v>
      </c>
      <c r="I43" s="180">
        <v>12</v>
      </c>
      <c r="J43" s="102">
        <v>203796764</v>
      </c>
      <c r="K43" s="102">
        <f>IFERROR(Table21[[#This Row],[ROUTE COST]]/Table21[[#This Row],[O - DEMAND]],0)</f>
        <v>42037.286303630361</v>
      </c>
      <c r="L43" s="26">
        <v>4848</v>
      </c>
      <c r="M43" s="26">
        <f>IFERROR(VLOOKUP(Table21[[#This Row],[ROUTE]],DEMAND!A:F,5,FALSE),0)</f>
        <v>5155</v>
      </c>
      <c r="N43" s="26">
        <f>IFERROR(VLOOKUP(Table21[[#This Row],[ROUTE]],DEMAND!A:F,6,FALSE),0)</f>
        <v>1195</v>
      </c>
      <c r="O43" s="26">
        <f>ROUNDDOWN(Table21[[#This Row],[R-DEMAND]]/1320,0)</f>
        <v>0</v>
      </c>
      <c r="P43" s="26">
        <f>Table21[[#This Row],[ADD ACC]]*Table21[[#This Row],[Duration
(747-400)]]</f>
        <v>0</v>
      </c>
      <c r="Q43" s="284">
        <f>IFERROR(VLOOKUP(Table21[[#This Row],[ROUTE]],PRICING!A:B,2,FALSE),0)</f>
        <v>1215</v>
      </c>
      <c r="R43" s="282">
        <f>Table21[[#This Row],[C_DEMAND]]-Table21[[#This Row],[R-DEMAND]]</f>
        <v>3960</v>
      </c>
      <c r="S43" s="287">
        <f>Table21[[#This Row],[SEATS SOLD]]*Table21[[#This Row],[ECO SEAT]]</f>
        <v>4811400</v>
      </c>
    </row>
    <row r="44" spans="1:24" x14ac:dyDescent="0.25">
      <c r="A44" s="16" t="s">
        <v>16037</v>
      </c>
      <c r="B44" s="16" t="s">
        <v>209</v>
      </c>
      <c r="C44" s="16" t="s">
        <v>2</v>
      </c>
      <c r="D44" s="16">
        <v>3</v>
      </c>
      <c r="E44" s="16" t="s">
        <v>644</v>
      </c>
      <c r="F44" s="16" t="s">
        <v>12671</v>
      </c>
      <c r="G44" s="179" t="s">
        <v>11811</v>
      </c>
      <c r="H44" s="254">
        <v>11777</v>
      </c>
      <c r="I44" s="180">
        <v>28.25</v>
      </c>
      <c r="J44" s="102">
        <v>266431801</v>
      </c>
      <c r="K44" s="102">
        <f>IFERROR(Table21[[#This Row],[ROUTE COST]]/Table21[[#This Row],[O - DEMAND]],0)</f>
        <v>54285.208027709865</v>
      </c>
      <c r="L44" s="26">
        <v>4908</v>
      </c>
      <c r="M44" s="26">
        <f>IFERROR(VLOOKUP(Table21[[#This Row],[ROUTE]],DEMAND!A:F,5,FALSE),0)</f>
        <v>5154</v>
      </c>
      <c r="N44" s="26">
        <f>IFERROR(VLOOKUP(Table21[[#This Row],[ROUTE]],DEMAND!A:F,6,FALSE),0)</f>
        <v>1194</v>
      </c>
      <c r="O44" s="26">
        <f>ROUNDDOWN(Table21[[#This Row],[R-DEMAND]]/1320,0)</f>
        <v>0</v>
      </c>
      <c r="P44" s="26">
        <f>Table21[[#This Row],[ADD ACC]]*Table21[[#This Row],[Duration
(747-400)]]</f>
        <v>0</v>
      </c>
      <c r="Q44" s="284">
        <f>IFERROR(VLOOKUP(Table21[[#This Row],[ROUTE]],PRICING!A:B,2,FALSE),0)</f>
        <v>3204</v>
      </c>
      <c r="R44" s="282">
        <f>Table21[[#This Row],[C_DEMAND]]-Table21[[#This Row],[R-DEMAND]]</f>
        <v>3960</v>
      </c>
      <c r="S44" s="287">
        <f>Table21[[#This Row],[SEATS SOLD]]*Table21[[#This Row],[ECO SEAT]]</f>
        <v>12687840</v>
      </c>
    </row>
    <row r="45" spans="1:24" x14ac:dyDescent="0.25">
      <c r="A45" s="251" t="s">
        <v>16744</v>
      </c>
      <c r="B45" s="251" t="s">
        <v>15</v>
      </c>
      <c r="C45" s="16" t="s">
        <v>2</v>
      </c>
      <c r="D45" s="251">
        <v>4</v>
      </c>
      <c r="E45" s="251" t="s">
        <v>14</v>
      </c>
      <c r="F45" s="251" t="s">
        <v>12670</v>
      </c>
      <c r="G45" s="252" t="s">
        <v>13</v>
      </c>
      <c r="H45" s="254">
        <v>933</v>
      </c>
      <c r="I45" s="180">
        <v>4.25</v>
      </c>
      <c r="J45" s="102">
        <v>176775028</v>
      </c>
      <c r="K45" s="253">
        <f>IFERROR(Table21[[#This Row],[ROUTE COST]]/Table21[[#This Row],[O - DEMAND]],0)</f>
        <v>48128.240675197383</v>
      </c>
      <c r="L45" s="26">
        <v>3673</v>
      </c>
      <c r="M45" s="26">
        <f>IFERROR(VLOOKUP(Table21[[#This Row],[ROUTE]],DEMAND!A:F,5,FALSE),0)</f>
        <v>3823</v>
      </c>
      <c r="N45" s="26">
        <f>IFERROR(VLOOKUP(Table21[[#This Row],[ROUTE]],DEMAND!A:F,6,FALSE),0)</f>
        <v>1183</v>
      </c>
      <c r="O45" s="26">
        <f>ROUNDDOWN(Table21[[#This Row],[R-DEMAND]]/1320,0)</f>
        <v>0</v>
      </c>
      <c r="P45" s="26">
        <f>Table21[[#This Row],[ADD ACC]]*Table21[[#This Row],[Duration
(747-400)]]</f>
        <v>0</v>
      </c>
      <c r="Q45" s="284">
        <f>IFERROR(VLOOKUP(Table21[[#This Row],[ROUTE]],PRICING!A:B,2,FALSE),0)</f>
        <v>359</v>
      </c>
      <c r="R45" s="282">
        <f>Table21[[#This Row],[C_DEMAND]]-Table21[[#This Row],[R-DEMAND]]</f>
        <v>2640</v>
      </c>
      <c r="S45" s="287">
        <f>Table21[[#This Row],[SEATS SOLD]]*Table21[[#This Row],[ECO SEAT]]</f>
        <v>947760</v>
      </c>
    </row>
    <row r="46" spans="1:24" x14ac:dyDescent="0.25">
      <c r="A46" s="16" t="s">
        <v>16038</v>
      </c>
      <c r="B46" s="16" t="s">
        <v>5463</v>
      </c>
      <c r="C46" s="16" t="s">
        <v>2</v>
      </c>
      <c r="D46" s="16">
        <v>4</v>
      </c>
      <c r="E46" s="16" t="s">
        <v>1749</v>
      </c>
      <c r="F46" s="16" t="s">
        <v>12688</v>
      </c>
      <c r="G46" s="179" t="s">
        <v>13218</v>
      </c>
      <c r="H46" s="254">
        <v>11769</v>
      </c>
      <c r="I46" s="180">
        <v>28.25</v>
      </c>
      <c r="J46" s="102">
        <v>274428925</v>
      </c>
      <c r="K46" s="102">
        <f>IFERROR(Table21[[#This Row],[ROUTE COST]]/Table21[[#This Row],[O - DEMAND]],0)</f>
        <v>75021.575997813008</v>
      </c>
      <c r="L46" s="26">
        <v>3658</v>
      </c>
      <c r="M46" s="26">
        <f>IFERROR(VLOOKUP(Table21[[#This Row],[ROUTE]],DEMAND!A:F,5,FALSE),0)</f>
        <v>3817</v>
      </c>
      <c r="N46" s="26">
        <f>IFERROR(VLOOKUP(Table21[[#This Row],[ROUTE]],DEMAND!A:F,6,FALSE),0)</f>
        <v>1177</v>
      </c>
      <c r="O46" s="26">
        <f>ROUNDDOWN(Table21[[#This Row],[R-DEMAND]]/1320,0)</f>
        <v>0</v>
      </c>
      <c r="P46" s="26">
        <f>Table21[[#This Row],[ADD ACC]]*Table21[[#This Row],[Duration
(747-400)]]</f>
        <v>0</v>
      </c>
      <c r="Q46" s="284">
        <f>IFERROR(VLOOKUP(Table21[[#This Row],[ROUTE]],PRICING!A:B,2,FALSE),0)</f>
        <v>3278</v>
      </c>
      <c r="R46" s="282">
        <f>Table21[[#This Row],[C_DEMAND]]-Table21[[#This Row],[R-DEMAND]]</f>
        <v>2640</v>
      </c>
      <c r="S46" s="287">
        <f>Table21[[#This Row],[SEATS SOLD]]*Table21[[#This Row],[ECO SEAT]]</f>
        <v>8653920</v>
      </c>
    </row>
    <row r="47" spans="1:24" x14ac:dyDescent="0.25">
      <c r="A47" s="16" t="s">
        <v>16064</v>
      </c>
      <c r="B47" s="16" t="s">
        <v>3515</v>
      </c>
      <c r="C47" s="16" t="s">
        <v>2</v>
      </c>
      <c r="D47" s="16">
        <v>2</v>
      </c>
      <c r="E47" s="16" t="s">
        <v>761</v>
      </c>
      <c r="F47" s="16" t="s">
        <v>12671</v>
      </c>
      <c r="G47" s="179" t="s">
        <v>8016</v>
      </c>
      <c r="H47" s="254">
        <v>11386</v>
      </c>
      <c r="I47" s="180">
        <v>27.25</v>
      </c>
      <c r="J47" s="102">
        <v>247884918</v>
      </c>
      <c r="K47" s="102">
        <f>IFERROR(Table21[[#This Row],[ROUTE COST]]/Table21[[#This Row],[O - DEMAND]],0)</f>
        <v>50900.393839835728</v>
      </c>
      <c r="L47" s="26">
        <v>4870</v>
      </c>
      <c r="M47" s="26">
        <f>IFERROR(VLOOKUP(Table21[[#This Row],[ROUTE]],DEMAND!A:F,5,FALSE),0)</f>
        <v>5130</v>
      </c>
      <c r="N47" s="26">
        <f>IFERROR(VLOOKUP(Table21[[#This Row],[ROUTE]],DEMAND!A:F,6,FALSE),0)</f>
        <v>1170</v>
      </c>
      <c r="O47" s="26">
        <f>ROUNDDOWN(Table21[[#This Row],[R-DEMAND]]/1320,0)</f>
        <v>0</v>
      </c>
      <c r="P47" s="26">
        <f>Table21[[#This Row],[ADD ACC]]*Table21[[#This Row],[Duration
(747-400)]]</f>
        <v>0</v>
      </c>
      <c r="Q47" s="284">
        <f>IFERROR(VLOOKUP(Table21[[#This Row],[ROUTE]],PRICING!A:B,2,FALSE),0)</f>
        <v>3065</v>
      </c>
      <c r="R47" s="282">
        <f>Table21[[#This Row],[C_DEMAND]]-Table21[[#This Row],[R-DEMAND]]</f>
        <v>3960</v>
      </c>
      <c r="S47" s="287">
        <f>Table21[[#This Row],[SEATS SOLD]]*Table21[[#This Row],[ECO SEAT]]</f>
        <v>12137400</v>
      </c>
    </row>
    <row r="48" spans="1:24" x14ac:dyDescent="0.25">
      <c r="A48" s="16" t="s">
        <v>16585</v>
      </c>
      <c r="B48" s="16" t="s">
        <v>504</v>
      </c>
      <c r="C48" s="16" t="s">
        <v>2</v>
      </c>
      <c r="D48" s="16">
        <v>1</v>
      </c>
      <c r="E48" s="16" t="s">
        <v>502</v>
      </c>
      <c r="F48" s="16" t="s">
        <v>12670</v>
      </c>
      <c r="G48" s="179" t="s">
        <v>11986</v>
      </c>
      <c r="H48" s="254">
        <v>4997</v>
      </c>
      <c r="I48" s="180">
        <v>13.25</v>
      </c>
      <c r="J48" s="102">
        <v>163729544</v>
      </c>
      <c r="K48" s="102">
        <f>IFERROR(Table21[[#This Row],[ROUTE COST]]/Table21[[#This Row],[O - DEMAND]],0)</f>
        <v>69850.488054607515</v>
      </c>
      <c r="L48" s="26">
        <v>2344</v>
      </c>
      <c r="M48" s="26">
        <f>IFERROR(VLOOKUP(Table21[[#This Row],[ROUTE]],DEMAND!A:F,5,FALSE),0)</f>
        <v>2485</v>
      </c>
      <c r="N48" s="26">
        <f>IFERROR(VLOOKUP(Table21[[#This Row],[ROUTE]],DEMAND!A:F,6,FALSE),0)</f>
        <v>1165</v>
      </c>
      <c r="O48" s="26">
        <f>ROUNDDOWN(Table21[[#This Row],[R-DEMAND]]/1320,0)</f>
        <v>0</v>
      </c>
      <c r="P48" s="26">
        <f>Table21[[#This Row],[ADD ACC]]*Table21[[#This Row],[Duration
(747-400)]]</f>
        <v>0</v>
      </c>
      <c r="Q48" s="284">
        <f>IFERROR(VLOOKUP(Table21[[#This Row],[ROUTE]],PRICING!A:B,2,FALSE),0)</f>
        <v>1368</v>
      </c>
      <c r="R48" s="282">
        <f>Table21[[#This Row],[C_DEMAND]]-Table21[[#This Row],[R-DEMAND]]</f>
        <v>1320</v>
      </c>
      <c r="S48" s="287">
        <f>Table21[[#This Row],[SEATS SOLD]]*Table21[[#This Row],[ECO SEAT]]</f>
        <v>1805760</v>
      </c>
    </row>
    <row r="49" spans="1:19" x14ac:dyDescent="0.25">
      <c r="A49" s="16" t="s">
        <v>16035</v>
      </c>
      <c r="B49" s="16" t="s">
        <v>3868</v>
      </c>
      <c r="C49" s="16" t="s">
        <v>2</v>
      </c>
      <c r="D49" s="16">
        <v>2</v>
      </c>
      <c r="E49" s="16" t="s">
        <v>1625</v>
      </c>
      <c r="F49" s="16" t="s">
        <v>12671</v>
      </c>
      <c r="G49" s="179" t="s">
        <v>11869</v>
      </c>
      <c r="H49" s="254">
        <v>11790</v>
      </c>
      <c r="I49" s="180">
        <v>28.25</v>
      </c>
      <c r="J49" s="102">
        <v>251686642</v>
      </c>
      <c r="K49" s="102">
        <f>IFERROR(Table21[[#This Row],[ROUTE COST]]/Table21[[#This Row],[O - DEMAND]],0)</f>
        <v>68355.959261271055</v>
      </c>
      <c r="L49" s="26">
        <v>3682</v>
      </c>
      <c r="M49" s="26">
        <f>IFERROR(VLOOKUP(Table21[[#This Row],[ROUTE]],DEMAND!A:F,5,FALSE),0)</f>
        <v>3805</v>
      </c>
      <c r="N49" s="26">
        <f>IFERROR(VLOOKUP(Table21[[#This Row],[ROUTE]],DEMAND!A:F,6,FALSE),0)</f>
        <v>1165</v>
      </c>
      <c r="O49" s="26">
        <f>ROUNDDOWN(Table21[[#This Row],[R-DEMAND]]/1320,0)</f>
        <v>0</v>
      </c>
      <c r="P49" s="26">
        <f>Table21[[#This Row],[ADD ACC]]*Table21[[#This Row],[Duration
(747-400)]]</f>
        <v>0</v>
      </c>
      <c r="Q49" s="284">
        <f>IFERROR(VLOOKUP(Table21[[#This Row],[ROUTE]],PRICING!A:B,2,FALSE),0)</f>
        <v>3396</v>
      </c>
      <c r="R49" s="282">
        <f>Table21[[#This Row],[C_DEMAND]]-Table21[[#This Row],[R-DEMAND]]</f>
        <v>2640</v>
      </c>
      <c r="S49" s="287">
        <f>Table21[[#This Row],[SEATS SOLD]]*Table21[[#This Row],[ECO SEAT]]</f>
        <v>8965440</v>
      </c>
    </row>
    <row r="50" spans="1:19" x14ac:dyDescent="0.25">
      <c r="A50" s="16" t="s">
        <v>16529</v>
      </c>
      <c r="B50" s="16" t="s">
        <v>3165</v>
      </c>
      <c r="C50" s="16" t="s">
        <v>2</v>
      </c>
      <c r="D50" s="16">
        <v>2</v>
      </c>
      <c r="E50" s="16" t="s">
        <v>3163</v>
      </c>
      <c r="F50" s="16" t="s">
        <v>12670</v>
      </c>
      <c r="G50" s="179" t="s">
        <v>11937</v>
      </c>
      <c r="H50" s="254">
        <v>6189</v>
      </c>
      <c r="I50" s="180">
        <v>15.75</v>
      </c>
      <c r="J50" s="102">
        <v>191617180</v>
      </c>
      <c r="K50" s="102">
        <f>IFERROR(Table21[[#This Row],[ROUTE COST]]/Table21[[#This Row],[O - DEMAND]],0)</f>
        <v>53794.82874789444</v>
      </c>
      <c r="L50" s="26">
        <v>3562</v>
      </c>
      <c r="M50" s="26">
        <f>IFERROR(VLOOKUP(Table21[[#This Row],[ROUTE]],DEMAND!A:F,5,FALSE),0)</f>
        <v>3800</v>
      </c>
      <c r="N50" s="26">
        <f>IFERROR(VLOOKUP(Table21[[#This Row],[ROUTE]],DEMAND!A:F,6,FALSE),0)</f>
        <v>1160</v>
      </c>
      <c r="O50" s="26">
        <f>ROUNDDOWN(Table21[[#This Row],[R-DEMAND]]/1320,0)</f>
        <v>0</v>
      </c>
      <c r="P50" s="26">
        <f>Table21[[#This Row],[ADD ACC]]*Table21[[#This Row],[Duration
(747-400)]]</f>
        <v>0</v>
      </c>
      <c r="Q50" s="284">
        <f>IFERROR(VLOOKUP(Table21[[#This Row],[ROUTE]],PRICING!A:B,2,FALSE),0)</f>
        <v>1630</v>
      </c>
      <c r="R50" s="282">
        <f>Table21[[#This Row],[C_DEMAND]]-Table21[[#This Row],[R-DEMAND]]</f>
        <v>2640</v>
      </c>
      <c r="S50" s="287">
        <f>Table21[[#This Row],[SEATS SOLD]]*Table21[[#This Row],[ECO SEAT]]</f>
        <v>4303200</v>
      </c>
    </row>
    <row r="51" spans="1:19" x14ac:dyDescent="0.25">
      <c r="A51" s="16" t="s">
        <v>15973</v>
      </c>
      <c r="B51" s="16" t="s">
        <v>4335</v>
      </c>
      <c r="C51" s="16" t="s">
        <v>2</v>
      </c>
      <c r="D51" s="16">
        <v>2</v>
      </c>
      <c r="E51" s="16" t="s">
        <v>3350</v>
      </c>
      <c r="F51" s="16" t="s">
        <v>12688</v>
      </c>
      <c r="G51" s="179" t="s">
        <v>13210</v>
      </c>
      <c r="H51" s="254">
        <v>13343</v>
      </c>
      <c r="I51" s="180">
        <v>31.75</v>
      </c>
      <c r="J51" s="102">
        <v>270326812</v>
      </c>
      <c r="K51" s="102">
        <f>IFERROR(Table21[[#This Row],[ROUTE COST]]/Table21[[#This Row],[O - DEMAND]],0)</f>
        <v>74347.308030803077</v>
      </c>
      <c r="L51" s="26">
        <v>3636</v>
      </c>
      <c r="M51" s="26">
        <f>IFERROR(VLOOKUP(Table21[[#This Row],[ROUTE]],DEMAND!A:F,5,FALSE),0)</f>
        <v>3794</v>
      </c>
      <c r="N51" s="26">
        <f>IFERROR(VLOOKUP(Table21[[#This Row],[ROUTE]],DEMAND!A:F,6,FALSE),0)</f>
        <v>1154</v>
      </c>
      <c r="O51" s="26">
        <f>ROUNDDOWN(Table21[[#This Row],[R-DEMAND]]/1320,0)</f>
        <v>0</v>
      </c>
      <c r="P51" s="26">
        <f>Table21[[#This Row],[ADD ACC]]*Table21[[#This Row],[Duration
(747-400)]]</f>
        <v>0</v>
      </c>
      <c r="Q51" s="284">
        <f>IFERROR(VLOOKUP(Table21[[#This Row],[ROUTE]],PRICING!A:B,2,FALSE),0)</f>
        <v>3702</v>
      </c>
      <c r="R51" s="282">
        <f>Table21[[#This Row],[C_DEMAND]]-Table21[[#This Row],[R-DEMAND]]</f>
        <v>2640</v>
      </c>
      <c r="S51" s="287">
        <f>Table21[[#This Row],[SEATS SOLD]]*Table21[[#This Row],[ECO SEAT]]</f>
        <v>9773280</v>
      </c>
    </row>
    <row r="52" spans="1:19" x14ac:dyDescent="0.25">
      <c r="A52" s="16" t="s">
        <v>16283</v>
      </c>
      <c r="B52" s="16" t="s">
        <v>5304</v>
      </c>
      <c r="C52" s="16" t="s">
        <v>2</v>
      </c>
      <c r="D52" s="16">
        <v>3</v>
      </c>
      <c r="E52" s="16" t="s">
        <v>971</v>
      </c>
      <c r="F52" s="16" t="s">
        <v>12671</v>
      </c>
      <c r="G52" s="179" t="s">
        <v>11775</v>
      </c>
      <c r="H52" s="254">
        <v>8682</v>
      </c>
      <c r="I52" s="180">
        <v>21.25</v>
      </c>
      <c r="J52" s="102">
        <v>238861562</v>
      </c>
      <c r="K52" s="102">
        <f>IFERROR(Table21[[#This Row],[ROUTE COST]]/Table21[[#This Row],[O - DEMAND]],0)</f>
        <v>66350.433888888889</v>
      </c>
      <c r="L52" s="26">
        <v>3600</v>
      </c>
      <c r="M52" s="26">
        <f>IFERROR(VLOOKUP(Table21[[#This Row],[ROUTE]],DEMAND!A:F,5,FALSE),0)</f>
        <v>3792</v>
      </c>
      <c r="N52" s="26">
        <f>IFERROR(VLOOKUP(Table21[[#This Row],[ROUTE]],DEMAND!A:F,6,FALSE),0)</f>
        <v>1152</v>
      </c>
      <c r="O52" s="26">
        <f>ROUNDDOWN(Table21[[#This Row],[R-DEMAND]]/1320,0)</f>
        <v>0</v>
      </c>
      <c r="P52" s="26">
        <f>Table21[[#This Row],[ADD ACC]]*Table21[[#This Row],[Duration
(747-400)]]</f>
        <v>0</v>
      </c>
      <c r="Q52" s="284">
        <f>IFERROR(VLOOKUP(Table21[[#This Row],[ROUTE]],PRICING!A:B,2,FALSE),0)</f>
        <v>2361</v>
      </c>
      <c r="R52" s="282">
        <f>Table21[[#This Row],[C_DEMAND]]-Table21[[#This Row],[R-DEMAND]]</f>
        <v>2640</v>
      </c>
      <c r="S52" s="287">
        <f>Table21[[#This Row],[SEATS SOLD]]*Table21[[#This Row],[ECO SEAT]]</f>
        <v>6233040</v>
      </c>
    </row>
    <row r="53" spans="1:19" x14ac:dyDescent="0.25">
      <c r="A53" s="16" t="s">
        <v>16174</v>
      </c>
      <c r="B53" s="16" t="s">
        <v>3652</v>
      </c>
      <c r="C53" s="16" t="s">
        <v>2</v>
      </c>
      <c r="D53" s="16">
        <v>2</v>
      </c>
      <c r="E53" s="16" t="s">
        <v>514</v>
      </c>
      <c r="F53" s="16" t="s">
        <v>12688</v>
      </c>
      <c r="G53" s="179" t="s">
        <v>13175</v>
      </c>
      <c r="H53" s="254">
        <v>10081</v>
      </c>
      <c r="I53" s="180">
        <v>24.5</v>
      </c>
      <c r="J53" s="102">
        <v>233097223</v>
      </c>
      <c r="K53" s="102">
        <f>IFERROR(Table21[[#This Row],[ROUTE COST]]/Table21[[#This Row],[O - DEMAND]],0)</f>
        <v>100300.00989672978</v>
      </c>
      <c r="L53" s="26">
        <v>2324</v>
      </c>
      <c r="M53" s="26">
        <f>IFERROR(VLOOKUP(Table21[[#This Row],[ROUTE]],DEMAND!A:F,5,FALSE),0)</f>
        <v>2472</v>
      </c>
      <c r="N53" s="26">
        <f>IFERROR(VLOOKUP(Table21[[#This Row],[ROUTE]],DEMAND!A:F,6,FALSE),0)</f>
        <v>1152</v>
      </c>
      <c r="O53" s="26">
        <f>ROUNDDOWN(Table21[[#This Row],[R-DEMAND]]/1320,0)</f>
        <v>0</v>
      </c>
      <c r="P53" s="26">
        <f>Table21[[#This Row],[ADD ACC]]*Table21[[#This Row],[Duration
(747-400)]]</f>
        <v>0</v>
      </c>
      <c r="Q53" s="284">
        <f>IFERROR(VLOOKUP(Table21[[#This Row],[ROUTE]],PRICING!A:B,2,FALSE),0)</f>
        <v>2628</v>
      </c>
      <c r="R53" s="282">
        <f>Table21[[#This Row],[C_DEMAND]]-Table21[[#This Row],[R-DEMAND]]</f>
        <v>1320</v>
      </c>
      <c r="S53" s="287">
        <f>Table21[[#This Row],[SEATS SOLD]]*Table21[[#This Row],[ECO SEAT]]</f>
        <v>3468960</v>
      </c>
    </row>
    <row r="54" spans="1:19" x14ac:dyDescent="0.25">
      <c r="A54" s="16" t="s">
        <v>16670</v>
      </c>
      <c r="B54" s="16" t="s">
        <v>4928</v>
      </c>
      <c r="C54" s="16" t="s">
        <v>2</v>
      </c>
      <c r="D54" s="16">
        <v>3</v>
      </c>
      <c r="E54" s="16" t="s">
        <v>78</v>
      </c>
      <c r="F54" s="16" t="s">
        <v>12674</v>
      </c>
      <c r="G54" s="179" t="s">
        <v>11949</v>
      </c>
      <c r="H54" s="254">
        <v>2996</v>
      </c>
      <c r="I54" s="180">
        <v>8.75</v>
      </c>
      <c r="J54" s="102">
        <v>173879007</v>
      </c>
      <c r="K54" s="102">
        <f>IFERROR(Table21[[#This Row],[ROUTE COST]]/Table21[[#This Row],[O - DEMAND]],0)</f>
        <v>48232.734257975033</v>
      </c>
      <c r="L54" s="26">
        <v>3605</v>
      </c>
      <c r="M54" s="26">
        <f>IFERROR(VLOOKUP(Table21[[#This Row],[ROUTE]],DEMAND!A:F,5,FALSE),0)</f>
        <v>3786</v>
      </c>
      <c r="N54" s="26">
        <f>IFERROR(VLOOKUP(Table21[[#This Row],[ROUTE]],DEMAND!A:F,6,FALSE),0)</f>
        <v>1146</v>
      </c>
      <c r="O54" s="26">
        <f>ROUNDDOWN(Table21[[#This Row],[R-DEMAND]]/1320,0)</f>
        <v>0</v>
      </c>
      <c r="P54" s="26">
        <f>Table21[[#This Row],[ADD ACC]]*Table21[[#This Row],[Duration
(747-400)]]</f>
        <v>0</v>
      </c>
      <c r="Q54" s="284">
        <f>IFERROR(VLOOKUP(Table21[[#This Row],[ROUTE]],PRICING!A:B,2,FALSE),0)</f>
        <v>890</v>
      </c>
      <c r="R54" s="282">
        <f>Table21[[#This Row],[C_DEMAND]]-Table21[[#This Row],[R-DEMAND]]</f>
        <v>2640</v>
      </c>
      <c r="S54" s="287">
        <f>Table21[[#This Row],[SEATS SOLD]]*Table21[[#This Row],[ECO SEAT]]</f>
        <v>2349600</v>
      </c>
    </row>
    <row r="55" spans="1:19" x14ac:dyDescent="0.25">
      <c r="A55" s="16" t="s">
        <v>16555</v>
      </c>
      <c r="B55" s="16" t="s">
        <v>5511</v>
      </c>
      <c r="C55" s="16" t="s">
        <v>2</v>
      </c>
      <c r="D55" s="16">
        <v>4</v>
      </c>
      <c r="E55" s="16" t="s">
        <v>78</v>
      </c>
      <c r="F55" s="16" t="s">
        <v>12674</v>
      </c>
      <c r="G55" s="179" t="s">
        <v>11030</v>
      </c>
      <c r="H55" s="254">
        <v>5818</v>
      </c>
      <c r="I55" s="180">
        <v>15</v>
      </c>
      <c r="J55" s="102">
        <v>216914718</v>
      </c>
      <c r="K55" s="102">
        <f>IFERROR(Table21[[#This Row],[ROUTE COST]]/Table21[[#This Row],[O - DEMAND]],0)</f>
        <v>60556.872696817423</v>
      </c>
      <c r="L55" s="26">
        <v>3582</v>
      </c>
      <c r="M55" s="26">
        <f>IFERROR(VLOOKUP(Table21[[#This Row],[ROUTE]],DEMAND!A:F,5,FALSE),0)</f>
        <v>3785</v>
      </c>
      <c r="N55" s="26">
        <f>IFERROR(VLOOKUP(Table21[[#This Row],[ROUTE]],DEMAND!A:F,6,FALSE),0)</f>
        <v>1145</v>
      </c>
      <c r="O55" s="26">
        <f>ROUNDDOWN(Table21[[#This Row],[R-DEMAND]]/1320,0)</f>
        <v>0</v>
      </c>
      <c r="P55" s="26">
        <f>Table21[[#This Row],[ADD ACC]]*Table21[[#This Row],[Duration
(747-400)]]</f>
        <v>0</v>
      </c>
      <c r="Q55" s="284">
        <f>IFERROR(VLOOKUP(Table21[[#This Row],[ROUTE]],PRICING!A:B,2,FALSE),0)</f>
        <v>1596</v>
      </c>
      <c r="R55" s="282">
        <f>Table21[[#This Row],[C_DEMAND]]-Table21[[#This Row],[R-DEMAND]]</f>
        <v>2640</v>
      </c>
      <c r="S55" s="287">
        <f>Table21[[#This Row],[SEATS SOLD]]*Table21[[#This Row],[ECO SEAT]]</f>
        <v>4213440</v>
      </c>
    </row>
    <row r="56" spans="1:19" x14ac:dyDescent="0.25">
      <c r="A56" s="16" t="s">
        <v>16415</v>
      </c>
      <c r="B56" s="16" t="s">
        <v>454</v>
      </c>
      <c r="C56" s="16" t="s">
        <v>2</v>
      </c>
      <c r="D56" s="16">
        <v>4</v>
      </c>
      <c r="E56" s="16" t="s">
        <v>172</v>
      </c>
      <c r="F56" s="16" t="s">
        <v>12670</v>
      </c>
      <c r="G56" s="179" t="s">
        <v>10941</v>
      </c>
      <c r="H56" s="254">
        <v>7368</v>
      </c>
      <c r="I56" s="180">
        <v>18.5</v>
      </c>
      <c r="J56" s="102">
        <v>240254939</v>
      </c>
      <c r="K56" s="102">
        <f>IFERROR(Table21[[#This Row],[ROUTE COST]]/Table21[[#This Row],[O - DEMAND]],0)</f>
        <v>66295.512969094925</v>
      </c>
      <c r="L56" s="26">
        <v>3624</v>
      </c>
      <c r="M56" s="26">
        <f>IFERROR(VLOOKUP(Table21[[#This Row],[ROUTE]],DEMAND!A:F,5,FALSE),0)</f>
        <v>3782</v>
      </c>
      <c r="N56" s="26">
        <f>IFERROR(VLOOKUP(Table21[[#This Row],[ROUTE]],DEMAND!A:F,6,FALSE),0)</f>
        <v>1142</v>
      </c>
      <c r="O56" s="26">
        <f>ROUNDDOWN(Table21[[#This Row],[R-DEMAND]]/1320,0)</f>
        <v>0</v>
      </c>
      <c r="P56" s="26">
        <f>Table21[[#This Row],[ADD ACC]]*Table21[[#This Row],[Duration
(747-400)]]</f>
        <v>0</v>
      </c>
      <c r="Q56" s="284">
        <f>IFERROR(VLOOKUP(Table21[[#This Row],[ROUTE]],PRICING!A:B,2,FALSE),0)</f>
        <v>2091</v>
      </c>
      <c r="R56" s="282">
        <f>Table21[[#This Row],[C_DEMAND]]-Table21[[#This Row],[R-DEMAND]]</f>
        <v>2640</v>
      </c>
      <c r="S56" s="287">
        <f>Table21[[#This Row],[SEATS SOLD]]*Table21[[#This Row],[ECO SEAT]]</f>
        <v>5520240</v>
      </c>
    </row>
    <row r="57" spans="1:19" x14ac:dyDescent="0.25">
      <c r="A57" s="16" t="s">
        <v>16639</v>
      </c>
      <c r="B57" s="16" t="s">
        <v>322</v>
      </c>
      <c r="C57" s="16" t="s">
        <v>2</v>
      </c>
      <c r="D57" s="16">
        <v>3</v>
      </c>
      <c r="E57" s="16" t="s">
        <v>717</v>
      </c>
      <c r="F57" s="16" t="s">
        <v>12670</v>
      </c>
      <c r="G57" s="179" t="s">
        <v>12094</v>
      </c>
      <c r="H57" s="254">
        <v>3774</v>
      </c>
      <c r="I57" s="180">
        <v>10.5</v>
      </c>
      <c r="J57" s="102">
        <v>183473816</v>
      </c>
      <c r="K57" s="102">
        <f>IFERROR(Table21[[#This Row],[ROUTE COST]]/Table21[[#This Row],[O - DEMAND]],0)</f>
        <v>50211.772304324026</v>
      </c>
      <c r="L57" s="26">
        <v>3654</v>
      </c>
      <c r="M57" s="26">
        <f>IFERROR(VLOOKUP(Table21[[#This Row],[ROUTE]],DEMAND!A:F,5,FALSE),0)</f>
        <v>3775</v>
      </c>
      <c r="N57" s="26">
        <f>IFERROR(VLOOKUP(Table21[[#This Row],[ROUTE]],DEMAND!A:F,6,FALSE),0)</f>
        <v>1135</v>
      </c>
      <c r="O57" s="26">
        <f>ROUNDDOWN(Table21[[#This Row],[R-DEMAND]]/1320,0)</f>
        <v>0</v>
      </c>
      <c r="P57" s="26">
        <f>Table21[[#This Row],[ADD ACC]]*Table21[[#This Row],[Duration
(747-400)]]</f>
        <v>0</v>
      </c>
      <c r="Q57" s="284">
        <f>IFERROR(VLOOKUP(Table21[[#This Row],[ROUTE]],PRICING!A:B,2,FALSE),0)</f>
        <v>1160</v>
      </c>
      <c r="R57" s="282">
        <f>Table21[[#This Row],[C_DEMAND]]-Table21[[#This Row],[R-DEMAND]]</f>
        <v>2640</v>
      </c>
      <c r="S57" s="287">
        <f>Table21[[#This Row],[SEATS SOLD]]*Table21[[#This Row],[ECO SEAT]]</f>
        <v>3062400</v>
      </c>
    </row>
    <row r="58" spans="1:19" x14ac:dyDescent="0.25">
      <c r="A58" s="16" t="s">
        <v>16354</v>
      </c>
      <c r="B58" s="16" t="s">
        <v>4891</v>
      </c>
      <c r="C58" s="16" t="s">
        <v>2</v>
      </c>
      <c r="D58" s="16">
        <v>3</v>
      </c>
      <c r="E58" s="16" t="s">
        <v>4889</v>
      </c>
      <c r="F58" s="16" t="s">
        <v>12674</v>
      </c>
      <c r="G58" s="179" t="s">
        <v>4889</v>
      </c>
      <c r="H58" s="254">
        <v>7948</v>
      </c>
      <c r="I58" s="180">
        <v>19.75</v>
      </c>
      <c r="J58" s="102">
        <v>224081826</v>
      </c>
      <c r="K58" s="102">
        <f>IFERROR(Table21[[#This Row],[ROUTE COST]]/Table21[[#This Row],[O - DEMAND]],0)</f>
        <v>94990.176345909291</v>
      </c>
      <c r="L58" s="26">
        <v>2359</v>
      </c>
      <c r="M58" s="26">
        <f>IFERROR(VLOOKUP(Table21[[#This Row],[ROUTE]],DEMAND!A:F,5,FALSE),0)</f>
        <v>2453</v>
      </c>
      <c r="N58" s="26">
        <f>IFERROR(VLOOKUP(Table21[[#This Row],[ROUTE]],DEMAND!A:F,6,FALSE),0)</f>
        <v>1133</v>
      </c>
      <c r="O58" s="26">
        <f>ROUNDDOWN(Table21[[#This Row],[R-DEMAND]]/1320,0)</f>
        <v>0</v>
      </c>
      <c r="P58" s="26">
        <f>Table21[[#This Row],[ADD ACC]]*Table21[[#This Row],[Duration
(747-400)]]</f>
        <v>0</v>
      </c>
      <c r="Q58" s="284">
        <f>IFERROR(VLOOKUP(Table21[[#This Row],[ROUTE]],PRICING!A:B,2,FALSE),0)</f>
        <v>2273</v>
      </c>
      <c r="R58" s="282">
        <f>Table21[[#This Row],[C_DEMAND]]-Table21[[#This Row],[R-DEMAND]]</f>
        <v>1320</v>
      </c>
      <c r="S58" s="287">
        <f>Table21[[#This Row],[SEATS SOLD]]*Table21[[#This Row],[ECO SEAT]]</f>
        <v>3000360</v>
      </c>
    </row>
    <row r="59" spans="1:19" x14ac:dyDescent="0.25">
      <c r="A59" s="16" t="s">
        <v>16605</v>
      </c>
      <c r="B59" s="16" t="s">
        <v>1904</v>
      </c>
      <c r="C59" s="16" t="s">
        <v>2</v>
      </c>
      <c r="D59" s="16">
        <v>3</v>
      </c>
      <c r="E59" s="16" t="s">
        <v>197</v>
      </c>
      <c r="F59" s="16" t="s">
        <v>12670</v>
      </c>
      <c r="G59" s="179" t="s">
        <v>12014</v>
      </c>
      <c r="H59" s="254">
        <v>4398</v>
      </c>
      <c r="I59" s="180">
        <v>11.75</v>
      </c>
      <c r="J59" s="102">
        <v>168040820</v>
      </c>
      <c r="K59" s="102">
        <f>IFERROR(Table21[[#This Row],[ROUTE COST]]/Table21[[#This Row],[O - DEMAND]],0)</f>
        <v>46215.847084708468</v>
      </c>
      <c r="L59" s="26">
        <v>3636</v>
      </c>
      <c r="M59" s="26">
        <f>IFERROR(VLOOKUP(Table21[[#This Row],[ROUTE]],DEMAND!A:F,5,FALSE),0)</f>
        <v>3770</v>
      </c>
      <c r="N59" s="26">
        <f>IFERROR(VLOOKUP(Table21[[#This Row],[ROUTE]],DEMAND!A:F,6,FALSE),0)</f>
        <v>1130</v>
      </c>
      <c r="O59" s="26">
        <f>ROUNDDOWN(Table21[[#This Row],[R-DEMAND]]/1320,0)</f>
        <v>0</v>
      </c>
      <c r="P59" s="26">
        <f>Table21[[#This Row],[ADD ACC]]*Table21[[#This Row],[Duration
(747-400)]]</f>
        <v>0</v>
      </c>
      <c r="Q59" s="284">
        <f>IFERROR(VLOOKUP(Table21[[#This Row],[ROUTE]],PRICING!A:B,2,FALSE),0)</f>
        <v>1319</v>
      </c>
      <c r="R59" s="282">
        <f>Table21[[#This Row],[C_DEMAND]]-Table21[[#This Row],[R-DEMAND]]</f>
        <v>2640</v>
      </c>
      <c r="S59" s="287">
        <f>Table21[[#This Row],[SEATS SOLD]]*Table21[[#This Row],[ECO SEAT]]</f>
        <v>3482160</v>
      </c>
    </row>
    <row r="60" spans="1:19" x14ac:dyDescent="0.25">
      <c r="A60" s="16" t="s">
        <v>16457</v>
      </c>
      <c r="B60" s="16" t="s">
        <v>5526</v>
      </c>
      <c r="C60" s="16" t="s">
        <v>2</v>
      </c>
      <c r="D60" s="16">
        <v>4</v>
      </c>
      <c r="E60" s="16" t="s">
        <v>1420</v>
      </c>
      <c r="F60" s="16" t="s">
        <v>12674</v>
      </c>
      <c r="G60" s="179" t="s">
        <v>11108</v>
      </c>
      <c r="H60" s="254">
        <v>7059</v>
      </c>
      <c r="I60" s="180">
        <v>17.75</v>
      </c>
      <c r="J60" s="102">
        <v>229897263</v>
      </c>
      <c r="K60" s="102">
        <f>IFERROR(Table21[[#This Row],[ROUTE COST]]/Table21[[#This Row],[O - DEMAND]],0)</f>
        <v>64961.08024865781</v>
      </c>
      <c r="L60" s="26">
        <v>3539</v>
      </c>
      <c r="M60" s="26">
        <f>IFERROR(VLOOKUP(Table21[[#This Row],[ROUTE]],DEMAND!A:F,5,FALSE),0)</f>
        <v>3764</v>
      </c>
      <c r="N60" s="26">
        <f>IFERROR(VLOOKUP(Table21[[#This Row],[ROUTE]],DEMAND!A:F,6,FALSE),0)</f>
        <v>1124</v>
      </c>
      <c r="O60" s="26">
        <f>ROUNDDOWN(Table21[[#This Row],[R-DEMAND]]/1320,0)</f>
        <v>0</v>
      </c>
      <c r="P60" s="26">
        <f>Table21[[#This Row],[ADD ACC]]*Table21[[#This Row],[Duration
(747-400)]]</f>
        <v>0</v>
      </c>
      <c r="Q60" s="284">
        <f>IFERROR(VLOOKUP(Table21[[#This Row],[ROUTE]],PRICING!A:B,2,FALSE),0)</f>
        <v>1869</v>
      </c>
      <c r="R60" s="282">
        <f>Table21[[#This Row],[C_DEMAND]]-Table21[[#This Row],[R-DEMAND]]</f>
        <v>2640</v>
      </c>
      <c r="S60" s="287">
        <f>Table21[[#This Row],[SEATS SOLD]]*Table21[[#This Row],[ECO SEAT]]</f>
        <v>4934160</v>
      </c>
    </row>
    <row r="61" spans="1:19" x14ac:dyDescent="0.25">
      <c r="A61" s="16" t="s">
        <v>16115</v>
      </c>
      <c r="B61" s="16" t="s">
        <v>3313</v>
      </c>
      <c r="C61" s="16" t="s">
        <v>2</v>
      </c>
      <c r="D61" s="16">
        <v>2</v>
      </c>
      <c r="E61" s="16" t="s">
        <v>11823</v>
      </c>
      <c r="F61" s="16" t="s">
        <v>12671</v>
      </c>
      <c r="G61" s="179" t="s">
        <v>11873</v>
      </c>
      <c r="H61" s="254">
        <v>10757</v>
      </c>
      <c r="I61" s="180">
        <v>26</v>
      </c>
      <c r="J61" s="102">
        <v>240754494</v>
      </c>
      <c r="K61" s="102">
        <f>IFERROR(Table21[[#This Row],[ROUTE COST]]/Table21[[#This Row],[O - DEMAND]],0)</f>
        <v>49783.807692307695</v>
      </c>
      <c r="L61" s="26">
        <v>4836</v>
      </c>
      <c r="M61" s="26">
        <f>IFERROR(VLOOKUP(Table21[[#This Row],[ROUTE]],DEMAND!A:F,5,FALSE),0)</f>
        <v>5079</v>
      </c>
      <c r="N61" s="26">
        <f>IFERROR(VLOOKUP(Table21[[#This Row],[ROUTE]],DEMAND!A:F,6,FALSE),0)</f>
        <v>1119</v>
      </c>
      <c r="O61" s="26">
        <f>ROUNDDOWN(Table21[[#This Row],[R-DEMAND]]/1320,0)</f>
        <v>0</v>
      </c>
      <c r="P61" s="26">
        <f>Table21[[#This Row],[ADD ACC]]*Table21[[#This Row],[Duration
(747-400)]]</f>
        <v>0</v>
      </c>
      <c r="Q61" s="284">
        <f>IFERROR(VLOOKUP(Table21[[#This Row],[ROUTE]],PRICING!A:B,2,FALSE),0)</f>
        <v>2935</v>
      </c>
      <c r="R61" s="282">
        <f>Table21[[#This Row],[C_DEMAND]]-Table21[[#This Row],[R-DEMAND]]</f>
        <v>3960</v>
      </c>
      <c r="S61" s="287">
        <f>Table21[[#This Row],[SEATS SOLD]]*Table21[[#This Row],[ECO SEAT]]</f>
        <v>11622600</v>
      </c>
    </row>
    <row r="62" spans="1:19" x14ac:dyDescent="0.25">
      <c r="A62" s="251" t="s">
        <v>16738</v>
      </c>
      <c r="B62" s="251" t="s">
        <v>259</v>
      </c>
      <c r="C62" s="16" t="s">
        <v>2</v>
      </c>
      <c r="D62" s="251">
        <v>5</v>
      </c>
      <c r="E62" s="251" t="s">
        <v>258</v>
      </c>
      <c r="F62" s="251" t="s">
        <v>12670</v>
      </c>
      <c r="G62" s="252" t="s">
        <v>257</v>
      </c>
      <c r="H62" s="254">
        <v>902</v>
      </c>
      <c r="I62" s="180">
        <v>4</v>
      </c>
      <c r="J62" s="102">
        <v>188380342</v>
      </c>
      <c r="K62" s="253">
        <f>IFERROR(Table21[[#This Row],[ROUTE COST]]/Table21[[#This Row],[O - DEMAND]],0)</f>
        <v>52488.253552521594</v>
      </c>
      <c r="L62" s="26">
        <v>3589</v>
      </c>
      <c r="M62" s="26">
        <f>IFERROR(VLOOKUP(Table21[[#This Row],[ROUTE]],DEMAND!A:F,5,FALSE),0)</f>
        <v>3757</v>
      </c>
      <c r="N62" s="26">
        <f>IFERROR(VLOOKUP(Table21[[#This Row],[ROUTE]],DEMAND!A:F,6,FALSE),0)</f>
        <v>1117</v>
      </c>
      <c r="O62" s="26">
        <f>ROUNDDOWN(Table21[[#This Row],[R-DEMAND]]/1320,0)</f>
        <v>0</v>
      </c>
      <c r="P62" s="26">
        <f>Table21[[#This Row],[ADD ACC]]*Table21[[#This Row],[Duration
(747-400)]]</f>
        <v>0</v>
      </c>
      <c r="Q62" s="284">
        <f>IFERROR(VLOOKUP(Table21[[#This Row],[ROUTE]],PRICING!A:B,2,FALSE),0)</f>
        <v>343</v>
      </c>
      <c r="R62" s="282">
        <f>Table21[[#This Row],[C_DEMAND]]-Table21[[#This Row],[R-DEMAND]]</f>
        <v>2640</v>
      </c>
      <c r="S62" s="287">
        <f>Table21[[#This Row],[SEATS SOLD]]*Table21[[#This Row],[ECO SEAT]]</f>
        <v>905520</v>
      </c>
    </row>
    <row r="63" spans="1:19" x14ac:dyDescent="0.25">
      <c r="A63" s="16" t="s">
        <v>16017</v>
      </c>
      <c r="B63" s="16" t="s">
        <v>4529</v>
      </c>
      <c r="C63" s="16" t="s">
        <v>2</v>
      </c>
      <c r="D63" s="16">
        <v>2</v>
      </c>
      <c r="E63" s="16" t="s">
        <v>499</v>
      </c>
      <c r="F63" s="16" t="s">
        <v>12671</v>
      </c>
      <c r="G63" s="179" t="s">
        <v>11688</v>
      </c>
      <c r="H63" s="254">
        <v>12138</v>
      </c>
      <c r="I63" s="180">
        <v>29</v>
      </c>
      <c r="J63" s="102">
        <v>262700008</v>
      </c>
      <c r="K63" s="102">
        <f>IFERROR(Table21[[#This Row],[ROUTE COST]]/Table21[[#This Row],[O - DEMAND]],0)</f>
        <v>54075.752984767394</v>
      </c>
      <c r="L63" s="26">
        <v>4858</v>
      </c>
      <c r="M63" s="26">
        <f>IFERROR(VLOOKUP(Table21[[#This Row],[ROUTE]],DEMAND!A:F,5,FALSE),0)</f>
        <v>5068</v>
      </c>
      <c r="N63" s="26">
        <f>IFERROR(VLOOKUP(Table21[[#This Row],[ROUTE]],DEMAND!A:F,6,FALSE),0)</f>
        <v>1108</v>
      </c>
      <c r="O63" s="26">
        <f>ROUNDDOWN(Table21[[#This Row],[R-DEMAND]]/1320,0)</f>
        <v>0</v>
      </c>
      <c r="P63" s="26">
        <f>Table21[[#This Row],[ADD ACC]]*Table21[[#This Row],[Duration
(747-400)]]</f>
        <v>0</v>
      </c>
      <c r="Q63" s="284">
        <f>IFERROR(VLOOKUP(Table21[[#This Row],[ROUTE]],PRICING!A:B,2,FALSE),0)</f>
        <v>3377</v>
      </c>
      <c r="R63" s="282">
        <f>Table21[[#This Row],[C_DEMAND]]-Table21[[#This Row],[R-DEMAND]]</f>
        <v>3960</v>
      </c>
      <c r="S63" s="287">
        <f>Table21[[#This Row],[SEATS SOLD]]*Table21[[#This Row],[ECO SEAT]]</f>
        <v>13372920</v>
      </c>
    </row>
    <row r="64" spans="1:19" x14ac:dyDescent="0.25">
      <c r="A64" s="16" t="s">
        <v>16424</v>
      </c>
      <c r="B64" s="16" t="s">
        <v>5221</v>
      </c>
      <c r="C64" s="16" t="s">
        <v>2</v>
      </c>
      <c r="D64" s="16">
        <v>3</v>
      </c>
      <c r="E64" s="16" t="s">
        <v>700</v>
      </c>
      <c r="F64" s="16" t="s">
        <v>12670</v>
      </c>
      <c r="G64" s="179" t="s">
        <v>10068</v>
      </c>
      <c r="H64" s="254">
        <v>7328</v>
      </c>
      <c r="I64" s="180">
        <v>18.25</v>
      </c>
      <c r="J64" s="102">
        <v>223142313</v>
      </c>
      <c r="K64" s="102">
        <f>IFERROR(Table21[[#This Row],[ROUTE COST]]/Table21[[#This Row],[O - DEMAND]],0)</f>
        <v>62945.645416078987</v>
      </c>
      <c r="L64" s="26">
        <v>3545</v>
      </c>
      <c r="M64" s="26">
        <f>IFERROR(VLOOKUP(Table21[[#This Row],[ROUTE]],DEMAND!A:F,5,FALSE),0)</f>
        <v>3746</v>
      </c>
      <c r="N64" s="26">
        <f>IFERROR(VLOOKUP(Table21[[#This Row],[ROUTE]],DEMAND!A:F,6,FALSE),0)</f>
        <v>1106</v>
      </c>
      <c r="O64" s="26">
        <f>ROUNDDOWN(Table21[[#This Row],[R-DEMAND]]/1320,0)</f>
        <v>0</v>
      </c>
      <c r="P64" s="26">
        <f>Table21[[#This Row],[ADD ACC]]*Table21[[#This Row],[Duration
(747-400)]]</f>
        <v>0</v>
      </c>
      <c r="Q64" s="284">
        <f>IFERROR(VLOOKUP(Table21[[#This Row],[ROUTE]],PRICING!A:B,2,FALSE),0)</f>
        <v>1984</v>
      </c>
      <c r="R64" s="282">
        <f>Table21[[#This Row],[C_DEMAND]]-Table21[[#This Row],[R-DEMAND]]</f>
        <v>2640</v>
      </c>
      <c r="S64" s="287">
        <f>Table21[[#This Row],[SEATS SOLD]]*Table21[[#This Row],[ECO SEAT]]</f>
        <v>5237760</v>
      </c>
    </row>
    <row r="65" spans="1:19" x14ac:dyDescent="0.25">
      <c r="A65" s="16" t="s">
        <v>16673</v>
      </c>
      <c r="B65" s="16" t="s">
        <v>166</v>
      </c>
      <c r="C65" s="16" t="s">
        <v>2</v>
      </c>
      <c r="D65" s="16">
        <v>5</v>
      </c>
      <c r="E65" s="16" t="s">
        <v>717</v>
      </c>
      <c r="F65" s="16" t="s">
        <v>12670</v>
      </c>
      <c r="G65" s="179" t="s">
        <v>12089</v>
      </c>
      <c r="H65" s="254">
        <v>2876</v>
      </c>
      <c r="I65" s="180">
        <v>8.5</v>
      </c>
      <c r="J65" s="102">
        <v>202179951</v>
      </c>
      <c r="K65" s="102">
        <f>IFERROR(Table21[[#This Row],[ROUTE COST]]/Table21[[#This Row],[O - DEMAND]],0)</f>
        <v>42350.220150816924</v>
      </c>
      <c r="L65" s="26">
        <v>4774</v>
      </c>
      <c r="M65" s="26">
        <f>IFERROR(VLOOKUP(Table21[[#This Row],[ROUTE]],DEMAND!A:F,5,FALSE),0)</f>
        <v>5061</v>
      </c>
      <c r="N65" s="26">
        <f>IFERROR(VLOOKUP(Table21[[#This Row],[ROUTE]],DEMAND!A:F,6,FALSE),0)</f>
        <v>1101</v>
      </c>
      <c r="O65" s="26">
        <f>ROUNDDOWN(Table21[[#This Row],[R-DEMAND]]/1320,0)</f>
        <v>0</v>
      </c>
      <c r="P65" s="26">
        <f>Table21[[#This Row],[ADD ACC]]*Table21[[#This Row],[Duration
(747-400)]]</f>
        <v>0</v>
      </c>
      <c r="Q65" s="284">
        <f>IFERROR(VLOOKUP(Table21[[#This Row],[ROUTE]],PRICING!A:B,2,FALSE),0)</f>
        <v>829</v>
      </c>
      <c r="R65" s="282">
        <f>Table21[[#This Row],[C_DEMAND]]-Table21[[#This Row],[R-DEMAND]]</f>
        <v>3960</v>
      </c>
      <c r="S65" s="287">
        <f>Table21[[#This Row],[SEATS SOLD]]*Table21[[#This Row],[ECO SEAT]]</f>
        <v>3282840</v>
      </c>
    </row>
    <row r="66" spans="1:19" x14ac:dyDescent="0.25">
      <c r="A66" s="16" t="s">
        <v>16563</v>
      </c>
      <c r="B66" s="16" t="s">
        <v>5283</v>
      </c>
      <c r="C66" s="16" t="s">
        <v>2</v>
      </c>
      <c r="D66" s="16">
        <v>3</v>
      </c>
      <c r="E66" s="16" t="s">
        <v>502</v>
      </c>
      <c r="F66" s="16" t="s">
        <v>12670</v>
      </c>
      <c r="G66" s="179" t="s">
        <v>11941</v>
      </c>
      <c r="H66" s="254">
        <v>5647</v>
      </c>
      <c r="I66" s="180">
        <v>14.75</v>
      </c>
      <c r="J66" s="102">
        <v>208675845</v>
      </c>
      <c r="K66" s="102">
        <f>IFERROR(Table21[[#This Row],[ROUTE COST]]/Table21[[#This Row],[O - DEMAND]],0)</f>
        <v>58387.197817571352</v>
      </c>
      <c r="L66" s="26">
        <v>3574</v>
      </c>
      <c r="M66" s="26">
        <f>IFERROR(VLOOKUP(Table21[[#This Row],[ROUTE]],DEMAND!A:F,5,FALSE),0)</f>
        <v>3741</v>
      </c>
      <c r="N66" s="26">
        <f>IFERROR(VLOOKUP(Table21[[#This Row],[ROUTE]],DEMAND!A:F,6,FALSE),0)</f>
        <v>1101</v>
      </c>
      <c r="O66" s="26">
        <f>ROUNDDOWN(Table21[[#This Row],[R-DEMAND]]/1320,0)</f>
        <v>0</v>
      </c>
      <c r="P66" s="26">
        <f>Table21[[#This Row],[ADD ACC]]*Table21[[#This Row],[Duration
(747-400)]]</f>
        <v>0</v>
      </c>
      <c r="Q66" s="284">
        <f>IFERROR(VLOOKUP(Table21[[#This Row],[ROUTE]],PRICING!A:B,2,FALSE),0)</f>
        <v>1608</v>
      </c>
      <c r="R66" s="282">
        <f>Table21[[#This Row],[C_DEMAND]]-Table21[[#This Row],[R-DEMAND]]</f>
        <v>2640</v>
      </c>
      <c r="S66" s="287">
        <f>Table21[[#This Row],[SEATS SOLD]]*Table21[[#This Row],[ECO SEAT]]</f>
        <v>4245120</v>
      </c>
    </row>
    <row r="67" spans="1:19" x14ac:dyDescent="0.25">
      <c r="A67" s="16" t="s">
        <v>16380</v>
      </c>
      <c r="B67" s="16" t="s">
        <v>5019</v>
      </c>
      <c r="C67" s="16" t="s">
        <v>2</v>
      </c>
      <c r="D67" s="16">
        <v>3</v>
      </c>
      <c r="E67" s="16" t="s">
        <v>1124</v>
      </c>
      <c r="F67" s="16" t="s">
        <v>12671</v>
      </c>
      <c r="G67" s="179" t="s">
        <v>11872</v>
      </c>
      <c r="H67" s="254">
        <v>7714</v>
      </c>
      <c r="I67" s="180">
        <v>19.25</v>
      </c>
      <c r="J67" s="102">
        <v>222809524</v>
      </c>
      <c r="K67" s="102">
        <f>IFERROR(Table21[[#This Row],[ROUTE COST]]/Table21[[#This Row],[O - DEMAND]],0)</f>
        <v>62185.186715043259</v>
      </c>
      <c r="L67" s="26">
        <v>3583</v>
      </c>
      <c r="M67" s="26">
        <f>IFERROR(VLOOKUP(Table21[[#This Row],[ROUTE]],DEMAND!A:F,5,FALSE),0)</f>
        <v>3739</v>
      </c>
      <c r="N67" s="26">
        <f>IFERROR(VLOOKUP(Table21[[#This Row],[ROUTE]],DEMAND!A:F,6,FALSE),0)</f>
        <v>1099</v>
      </c>
      <c r="O67" s="26">
        <f>ROUNDDOWN(Table21[[#This Row],[R-DEMAND]]/1320,0)</f>
        <v>0</v>
      </c>
      <c r="P67" s="26">
        <f>Table21[[#This Row],[ADD ACC]]*Table21[[#This Row],[Duration
(747-400)]]</f>
        <v>0</v>
      </c>
      <c r="Q67" s="284">
        <f>IFERROR(VLOOKUP(Table21[[#This Row],[ROUTE]],PRICING!A:B,2,FALSE),0)</f>
        <v>2184</v>
      </c>
      <c r="R67" s="282">
        <f>Table21[[#This Row],[C_DEMAND]]-Table21[[#This Row],[R-DEMAND]]</f>
        <v>2640</v>
      </c>
      <c r="S67" s="287">
        <f>Table21[[#This Row],[SEATS SOLD]]*Table21[[#This Row],[ECO SEAT]]</f>
        <v>5765760</v>
      </c>
    </row>
    <row r="68" spans="1:19" x14ac:dyDescent="0.25">
      <c r="A68" s="16" t="s">
        <v>16198</v>
      </c>
      <c r="B68" s="16" t="s">
        <v>50</v>
      </c>
      <c r="C68" s="16" t="s">
        <v>2</v>
      </c>
      <c r="D68" s="16">
        <v>2</v>
      </c>
      <c r="E68" s="16" t="s">
        <v>608</v>
      </c>
      <c r="F68" s="16" t="s">
        <v>12671</v>
      </c>
      <c r="G68" s="179" t="s">
        <v>11682</v>
      </c>
      <c r="H68" s="254">
        <v>9741</v>
      </c>
      <c r="I68" s="180">
        <v>23.75</v>
      </c>
      <c r="J68" s="102">
        <v>232131346</v>
      </c>
      <c r="K68" s="102">
        <f>IFERROR(Table21[[#This Row],[ROUTE COST]]/Table21[[#This Row],[O - DEMAND]],0)</f>
        <v>65425.971251409246</v>
      </c>
      <c r="L68" s="26">
        <v>3548</v>
      </c>
      <c r="M68" s="26">
        <f>IFERROR(VLOOKUP(Table21[[#This Row],[ROUTE]],DEMAND!A:F,5,FALSE),0)</f>
        <v>3738</v>
      </c>
      <c r="N68" s="26">
        <f>IFERROR(VLOOKUP(Table21[[#This Row],[ROUTE]],DEMAND!A:F,6,FALSE),0)</f>
        <v>1098</v>
      </c>
      <c r="O68" s="26">
        <f>ROUNDDOWN(Table21[[#This Row],[R-DEMAND]]/1320,0)</f>
        <v>0</v>
      </c>
      <c r="P68" s="26">
        <f>Table21[[#This Row],[ADD ACC]]*Table21[[#This Row],[Duration
(747-400)]]</f>
        <v>0</v>
      </c>
      <c r="Q68" s="284">
        <f>IFERROR(VLOOKUP(Table21[[#This Row],[ROUTE]],PRICING!A:B,2,FALSE),0)</f>
        <v>2636</v>
      </c>
      <c r="R68" s="282">
        <f>Table21[[#This Row],[C_DEMAND]]-Table21[[#This Row],[R-DEMAND]]</f>
        <v>2640</v>
      </c>
      <c r="S68" s="287">
        <f>Table21[[#This Row],[SEATS SOLD]]*Table21[[#This Row],[ECO SEAT]]</f>
        <v>6959040</v>
      </c>
    </row>
    <row r="69" spans="1:19" x14ac:dyDescent="0.25">
      <c r="A69" s="16" t="s">
        <v>16243</v>
      </c>
      <c r="B69" s="16" t="s">
        <v>152</v>
      </c>
      <c r="C69" s="16" t="s">
        <v>2</v>
      </c>
      <c r="D69" s="16">
        <v>3</v>
      </c>
      <c r="E69" s="16" t="s">
        <v>1189</v>
      </c>
      <c r="F69" s="16" t="s">
        <v>12671</v>
      </c>
      <c r="G69" s="179" t="s">
        <v>11926</v>
      </c>
      <c r="H69" s="254">
        <v>9227</v>
      </c>
      <c r="I69" s="180">
        <v>22.5</v>
      </c>
      <c r="J69" s="102">
        <v>248316868</v>
      </c>
      <c r="K69" s="102">
        <f>IFERROR(Table21[[#This Row],[ROUTE COST]]/Table21[[#This Row],[O - DEMAND]],0)</f>
        <v>51571.519833852544</v>
      </c>
      <c r="L69" s="26">
        <v>4815</v>
      </c>
      <c r="M69" s="26">
        <f>IFERROR(VLOOKUP(Table21[[#This Row],[ROUTE]],DEMAND!A:F,5,FALSE),0)</f>
        <v>5056</v>
      </c>
      <c r="N69" s="26">
        <f>IFERROR(VLOOKUP(Table21[[#This Row],[ROUTE]],DEMAND!A:F,6,FALSE),0)</f>
        <v>1096</v>
      </c>
      <c r="O69" s="26">
        <f>ROUNDDOWN(Table21[[#This Row],[R-DEMAND]]/1320,0)</f>
        <v>0</v>
      </c>
      <c r="P69" s="26">
        <f>Table21[[#This Row],[ADD ACC]]*Table21[[#This Row],[Duration
(747-400)]]</f>
        <v>0</v>
      </c>
      <c r="Q69" s="284">
        <f>IFERROR(VLOOKUP(Table21[[#This Row],[ROUTE]],PRICING!A:B,2,FALSE),0)</f>
        <v>2533</v>
      </c>
      <c r="R69" s="282">
        <f>Table21[[#This Row],[C_DEMAND]]-Table21[[#This Row],[R-DEMAND]]</f>
        <v>3960</v>
      </c>
      <c r="S69" s="287">
        <f>Table21[[#This Row],[SEATS SOLD]]*Table21[[#This Row],[ECO SEAT]]</f>
        <v>10030680</v>
      </c>
    </row>
    <row r="70" spans="1:19" x14ac:dyDescent="0.25">
      <c r="A70" s="251" t="s">
        <v>16747</v>
      </c>
      <c r="B70" s="251" t="s">
        <v>147</v>
      </c>
      <c r="C70" s="16" t="s">
        <v>2</v>
      </c>
      <c r="D70" s="251">
        <v>4</v>
      </c>
      <c r="E70" s="251" t="s">
        <v>14</v>
      </c>
      <c r="F70" s="251" t="s">
        <v>12670</v>
      </c>
      <c r="G70" s="252" t="s">
        <v>146</v>
      </c>
      <c r="H70" s="254">
        <v>921</v>
      </c>
      <c r="I70" s="180">
        <v>4.25</v>
      </c>
      <c r="J70" s="102">
        <v>172220093</v>
      </c>
      <c r="K70" s="253">
        <f>IFERROR(Table21[[#This Row],[ROUTE COST]]/Table21[[#This Row],[O - DEMAND]],0)</f>
        <v>48594.834367945827</v>
      </c>
      <c r="L70" s="26">
        <v>3544</v>
      </c>
      <c r="M70" s="26">
        <f>IFERROR(VLOOKUP(Table21[[#This Row],[ROUTE]],DEMAND!A:F,5,FALSE),0)</f>
        <v>3734</v>
      </c>
      <c r="N70" s="26">
        <f>IFERROR(VLOOKUP(Table21[[#This Row],[ROUTE]],DEMAND!A:F,6,FALSE),0)</f>
        <v>1094</v>
      </c>
      <c r="O70" s="26">
        <f>ROUNDDOWN(Table21[[#This Row],[R-DEMAND]]/1320,0)</f>
        <v>0</v>
      </c>
      <c r="P70" s="26">
        <f>Table21[[#This Row],[ADD ACC]]*Table21[[#This Row],[Duration
(747-400)]]</f>
        <v>0</v>
      </c>
      <c r="Q70" s="284">
        <f>IFERROR(VLOOKUP(Table21[[#This Row],[ROUTE]],PRICING!A:B,2,FALSE),0)</f>
        <v>340</v>
      </c>
      <c r="R70" s="282">
        <f>Table21[[#This Row],[C_DEMAND]]-Table21[[#This Row],[R-DEMAND]]</f>
        <v>2640</v>
      </c>
      <c r="S70" s="287">
        <f>Table21[[#This Row],[SEATS SOLD]]*Table21[[#This Row],[ECO SEAT]]</f>
        <v>897600</v>
      </c>
    </row>
    <row r="71" spans="1:19" x14ac:dyDescent="0.25">
      <c r="A71" s="16" t="s">
        <v>16060</v>
      </c>
      <c r="B71" s="16" t="s">
        <v>163</v>
      </c>
      <c r="C71" s="16" t="s">
        <v>2</v>
      </c>
      <c r="D71" s="16">
        <v>2</v>
      </c>
      <c r="E71" s="16" t="s">
        <v>926</v>
      </c>
      <c r="F71" s="16" t="s">
        <v>12671</v>
      </c>
      <c r="G71" s="179" t="s">
        <v>11907</v>
      </c>
      <c r="H71" s="254">
        <v>11433</v>
      </c>
      <c r="I71" s="180">
        <v>27.5</v>
      </c>
      <c r="J71" s="102">
        <v>244152600</v>
      </c>
      <c r="K71" s="102">
        <f>IFERROR(Table21[[#This Row],[ROUTE COST]]/Table21[[#This Row],[O - DEMAND]],0)</f>
        <v>67990.142021720967</v>
      </c>
      <c r="L71" s="26">
        <v>3591</v>
      </c>
      <c r="M71" s="26">
        <f>IFERROR(VLOOKUP(Table21[[#This Row],[ROUTE]],DEMAND!A:F,5,FALSE),0)</f>
        <v>3734</v>
      </c>
      <c r="N71" s="26">
        <f>IFERROR(VLOOKUP(Table21[[#This Row],[ROUTE]],DEMAND!A:F,6,FALSE),0)</f>
        <v>1094</v>
      </c>
      <c r="O71" s="26">
        <f>ROUNDDOWN(Table21[[#This Row],[R-DEMAND]]/1320,0)</f>
        <v>0</v>
      </c>
      <c r="P71" s="26">
        <f>Table21[[#This Row],[ADD ACC]]*Table21[[#This Row],[Duration
(747-400)]]</f>
        <v>0</v>
      </c>
      <c r="Q71" s="284">
        <f>IFERROR(VLOOKUP(Table21[[#This Row],[ROUTE]],PRICING!A:B,2,FALSE),0)</f>
        <v>3224</v>
      </c>
      <c r="R71" s="282">
        <f>Table21[[#This Row],[C_DEMAND]]-Table21[[#This Row],[R-DEMAND]]</f>
        <v>2640</v>
      </c>
      <c r="S71" s="287">
        <f>Table21[[#This Row],[SEATS SOLD]]*Table21[[#This Row],[ECO SEAT]]</f>
        <v>8511360</v>
      </c>
    </row>
    <row r="72" spans="1:19" x14ac:dyDescent="0.25">
      <c r="A72" s="16" t="s">
        <v>16689</v>
      </c>
      <c r="B72" s="16" t="s">
        <v>34</v>
      </c>
      <c r="C72" s="16" t="s">
        <v>2</v>
      </c>
      <c r="D72" s="16">
        <v>4</v>
      </c>
      <c r="E72" s="16" t="s">
        <v>14</v>
      </c>
      <c r="F72" s="16" t="s">
        <v>12670</v>
      </c>
      <c r="G72" s="179" t="s">
        <v>33</v>
      </c>
      <c r="H72" s="254">
        <v>2430</v>
      </c>
      <c r="I72" s="180">
        <v>7.5</v>
      </c>
      <c r="J72" s="102">
        <v>181160736</v>
      </c>
      <c r="K72" s="102">
        <f>IFERROR(Table21[[#This Row],[ROUTE COST]]/Table21[[#This Row],[O - DEMAND]],0)</f>
        <v>50476.66090833101</v>
      </c>
      <c r="L72" s="26">
        <v>3589</v>
      </c>
      <c r="M72" s="26">
        <f>IFERROR(VLOOKUP(Table21[[#This Row],[ROUTE]],DEMAND!A:F,5,FALSE),0)</f>
        <v>3722</v>
      </c>
      <c r="N72" s="26">
        <f>IFERROR(VLOOKUP(Table21[[#This Row],[ROUTE]],DEMAND!A:F,6,FALSE),0)</f>
        <v>1082</v>
      </c>
      <c r="O72" s="26">
        <f>ROUNDDOWN(Table21[[#This Row],[R-DEMAND]]/1320,0)</f>
        <v>0</v>
      </c>
      <c r="P72" s="26">
        <f>Table21[[#This Row],[ADD ACC]]*Table21[[#This Row],[Duration
(747-400)]]</f>
        <v>0</v>
      </c>
      <c r="Q72" s="284">
        <f>IFERROR(VLOOKUP(Table21[[#This Row],[ROUTE]],PRICING!A:B,2,FALSE),0)</f>
        <v>776</v>
      </c>
      <c r="R72" s="282">
        <f>Table21[[#This Row],[C_DEMAND]]-Table21[[#This Row],[R-DEMAND]]</f>
        <v>2640</v>
      </c>
      <c r="S72" s="287">
        <f>Table21[[#This Row],[SEATS SOLD]]*Table21[[#This Row],[ECO SEAT]]</f>
        <v>2048640</v>
      </c>
    </row>
    <row r="73" spans="1:19" x14ac:dyDescent="0.25">
      <c r="A73" s="16" t="s">
        <v>16525</v>
      </c>
      <c r="B73" s="16" t="s">
        <v>5483</v>
      </c>
      <c r="C73" s="16" t="s">
        <v>2</v>
      </c>
      <c r="D73" s="16">
        <v>4</v>
      </c>
      <c r="E73" s="16" t="s">
        <v>5481</v>
      </c>
      <c r="F73" s="16" t="s">
        <v>12670</v>
      </c>
      <c r="G73" s="179" t="s">
        <v>11068</v>
      </c>
      <c r="H73" s="254">
        <v>6239</v>
      </c>
      <c r="I73" s="180">
        <v>16</v>
      </c>
      <c r="J73" s="102">
        <v>222423299</v>
      </c>
      <c r="K73" s="102">
        <f>IFERROR(Table21[[#This Row],[ROUTE COST]]/Table21[[#This Row],[O - DEMAND]],0)</f>
        <v>63549.514000000003</v>
      </c>
      <c r="L73" s="26">
        <v>3500</v>
      </c>
      <c r="M73" s="26">
        <f>IFERROR(VLOOKUP(Table21[[#This Row],[ROUTE]],DEMAND!A:F,5,FALSE),0)</f>
        <v>3722</v>
      </c>
      <c r="N73" s="26">
        <f>IFERROR(VLOOKUP(Table21[[#This Row],[ROUTE]],DEMAND!A:F,6,FALSE),0)</f>
        <v>1082</v>
      </c>
      <c r="O73" s="26">
        <f>ROUNDDOWN(Table21[[#This Row],[R-DEMAND]]/1320,0)</f>
        <v>0</v>
      </c>
      <c r="P73" s="26">
        <f>Table21[[#This Row],[ADD ACC]]*Table21[[#This Row],[Duration
(747-400)]]</f>
        <v>0</v>
      </c>
      <c r="Q73" s="284">
        <f>IFERROR(VLOOKUP(Table21[[#This Row],[ROUTE]],PRICING!A:B,2,FALSE),0)</f>
        <v>1663</v>
      </c>
      <c r="R73" s="282">
        <f>Table21[[#This Row],[C_DEMAND]]-Table21[[#This Row],[R-DEMAND]]</f>
        <v>2640</v>
      </c>
      <c r="S73" s="287">
        <f>Table21[[#This Row],[SEATS SOLD]]*Table21[[#This Row],[ECO SEAT]]</f>
        <v>4390320</v>
      </c>
    </row>
    <row r="74" spans="1:19" x14ac:dyDescent="0.25">
      <c r="A74" s="16" t="s">
        <v>16175</v>
      </c>
      <c r="B74" s="16" t="s">
        <v>3339</v>
      </c>
      <c r="C74" s="16" t="s">
        <v>2</v>
      </c>
      <c r="D74" s="16">
        <v>2</v>
      </c>
      <c r="E74" s="16" t="s">
        <v>11823</v>
      </c>
      <c r="F74" s="16" t="s">
        <v>12671</v>
      </c>
      <c r="G74" s="179" t="s">
        <v>11859</v>
      </c>
      <c r="H74" s="254">
        <v>10081</v>
      </c>
      <c r="I74" s="180">
        <v>24.5</v>
      </c>
      <c r="J74" s="102">
        <v>234116034</v>
      </c>
      <c r="K74" s="102">
        <f>IFERROR(Table21[[#This Row],[ROUTE COST]]/Table21[[#This Row],[O - DEMAND]],0)</f>
        <v>48351.101610904581</v>
      </c>
      <c r="L74" s="26">
        <v>4842</v>
      </c>
      <c r="M74" s="26">
        <f>IFERROR(VLOOKUP(Table21[[#This Row],[ROUTE]],DEMAND!A:F,5,FALSE),0)</f>
        <v>5036</v>
      </c>
      <c r="N74" s="26">
        <f>IFERROR(VLOOKUP(Table21[[#This Row],[ROUTE]],DEMAND!A:F,6,FALSE),0)</f>
        <v>1076</v>
      </c>
      <c r="O74" s="26">
        <f>ROUNDDOWN(Table21[[#This Row],[R-DEMAND]]/1320,0)</f>
        <v>0</v>
      </c>
      <c r="P74" s="26">
        <f>Table21[[#This Row],[ADD ACC]]*Table21[[#This Row],[Duration
(747-400)]]</f>
        <v>0</v>
      </c>
      <c r="Q74" s="284">
        <f>IFERROR(VLOOKUP(Table21[[#This Row],[ROUTE]],PRICING!A:B,2,FALSE),0)</f>
        <v>2855</v>
      </c>
      <c r="R74" s="282">
        <f>Table21[[#This Row],[C_DEMAND]]-Table21[[#This Row],[R-DEMAND]]</f>
        <v>3960</v>
      </c>
      <c r="S74" s="287">
        <f>Table21[[#This Row],[SEATS SOLD]]*Table21[[#This Row],[ECO SEAT]]</f>
        <v>11305800</v>
      </c>
    </row>
    <row r="75" spans="1:19" x14ac:dyDescent="0.25">
      <c r="A75" s="251" t="s">
        <v>16753</v>
      </c>
      <c r="B75" s="251" t="s">
        <v>18</v>
      </c>
      <c r="C75" s="16" t="s">
        <v>2</v>
      </c>
      <c r="D75" s="251">
        <v>4</v>
      </c>
      <c r="E75" s="251" t="s">
        <v>14</v>
      </c>
      <c r="F75" s="251" t="s">
        <v>12670</v>
      </c>
      <c r="G75" s="252" t="s">
        <v>11028</v>
      </c>
      <c r="H75" s="254">
        <v>1056</v>
      </c>
      <c r="I75" s="180">
        <v>4.5</v>
      </c>
      <c r="J75" s="102">
        <v>174042042</v>
      </c>
      <c r="K75" s="253">
        <f>IFERROR(Table21[[#This Row],[ROUTE COST]]/Table21[[#This Row],[O - DEMAND]],0)</f>
        <v>48888.214044943823</v>
      </c>
      <c r="L75" s="26">
        <v>3560</v>
      </c>
      <c r="M75" s="26">
        <f>IFERROR(VLOOKUP(Table21[[#This Row],[ROUTE]],DEMAND!A:F,5,FALSE),0)</f>
        <v>3716</v>
      </c>
      <c r="N75" s="26">
        <f>IFERROR(VLOOKUP(Table21[[#This Row],[ROUTE]],DEMAND!A:F,6,FALSE),0)</f>
        <v>1076</v>
      </c>
      <c r="O75" s="26">
        <f>ROUNDDOWN(Table21[[#This Row],[R-DEMAND]]/1320,0)</f>
        <v>0</v>
      </c>
      <c r="P75" s="26">
        <f>Table21[[#This Row],[ADD ACC]]*Table21[[#This Row],[Duration
(747-400)]]</f>
        <v>0</v>
      </c>
      <c r="Q75" s="284">
        <f>IFERROR(VLOOKUP(Table21[[#This Row],[ROUTE]],PRICING!A:B,2,FALSE),0)</f>
        <v>388</v>
      </c>
      <c r="R75" s="282">
        <f>Table21[[#This Row],[C_DEMAND]]-Table21[[#This Row],[R-DEMAND]]</f>
        <v>2640</v>
      </c>
      <c r="S75" s="287">
        <f>Table21[[#This Row],[SEATS SOLD]]*Table21[[#This Row],[ECO SEAT]]</f>
        <v>1024320</v>
      </c>
    </row>
    <row r="76" spans="1:19" x14ac:dyDescent="0.25">
      <c r="A76" s="16" t="s">
        <v>16655</v>
      </c>
      <c r="B76" s="16" t="s">
        <v>117</v>
      </c>
      <c r="C76" s="16" t="s">
        <v>2</v>
      </c>
      <c r="D76" s="16">
        <v>3</v>
      </c>
      <c r="E76" s="16" t="s">
        <v>4853</v>
      </c>
      <c r="F76" s="16" t="s">
        <v>12670</v>
      </c>
      <c r="G76" s="179" t="s">
        <v>12103</v>
      </c>
      <c r="H76" s="254">
        <v>3376</v>
      </c>
      <c r="I76" s="180">
        <v>9.5</v>
      </c>
      <c r="J76" s="102">
        <v>178904723</v>
      </c>
      <c r="K76" s="102">
        <f>IFERROR(Table21[[#This Row],[ROUTE COST]]/Table21[[#This Row],[O - DEMAND]],0)</f>
        <v>37775.490498310814</v>
      </c>
      <c r="L76" s="26">
        <v>4736</v>
      </c>
      <c r="M76" s="26">
        <f>IFERROR(VLOOKUP(Table21[[#This Row],[ROUTE]],DEMAND!A:F,5,FALSE),0)</f>
        <v>5036</v>
      </c>
      <c r="N76" s="26">
        <f>IFERROR(VLOOKUP(Table21[[#This Row],[ROUTE]],DEMAND!A:F,6,FALSE),0)</f>
        <v>1076</v>
      </c>
      <c r="O76" s="26">
        <f>ROUNDDOWN(Table21[[#This Row],[R-DEMAND]]/1320,0)</f>
        <v>0</v>
      </c>
      <c r="P76" s="26">
        <f>Table21[[#This Row],[ADD ACC]]*Table21[[#This Row],[Duration
(747-400)]]</f>
        <v>0</v>
      </c>
      <c r="Q76" s="284">
        <f>IFERROR(VLOOKUP(Table21[[#This Row],[ROUTE]],PRICING!A:B,2,FALSE),0)</f>
        <v>944</v>
      </c>
      <c r="R76" s="282">
        <f>Table21[[#This Row],[C_DEMAND]]-Table21[[#This Row],[R-DEMAND]]</f>
        <v>3960</v>
      </c>
      <c r="S76" s="287">
        <f>Table21[[#This Row],[SEATS SOLD]]*Table21[[#This Row],[ECO SEAT]]</f>
        <v>3738240</v>
      </c>
    </row>
    <row r="77" spans="1:19" x14ac:dyDescent="0.25">
      <c r="A77" s="16" t="s">
        <v>16697</v>
      </c>
      <c r="B77" s="16" t="s">
        <v>145</v>
      </c>
      <c r="C77" s="16" t="s">
        <v>2</v>
      </c>
      <c r="D77" s="16">
        <v>5</v>
      </c>
      <c r="E77" s="16" t="s">
        <v>142</v>
      </c>
      <c r="F77" s="16" t="s">
        <v>12670</v>
      </c>
      <c r="G77" s="179" t="s">
        <v>144</v>
      </c>
      <c r="H77" s="254">
        <v>2135</v>
      </c>
      <c r="I77" s="180">
        <v>6.75</v>
      </c>
      <c r="J77" s="102">
        <v>202816480</v>
      </c>
      <c r="K77" s="102">
        <f>IFERROR(Table21[[#This Row],[ROUTE COST]]/Table21[[#This Row],[O - DEMAND]],0)</f>
        <v>57881.415525114156</v>
      </c>
      <c r="L77" s="26">
        <v>3504</v>
      </c>
      <c r="M77" s="26">
        <f>IFERROR(VLOOKUP(Table21[[#This Row],[ROUTE]],DEMAND!A:F,5,FALSE),0)</f>
        <v>3715</v>
      </c>
      <c r="N77" s="26">
        <f>IFERROR(VLOOKUP(Table21[[#This Row],[ROUTE]],DEMAND!A:F,6,FALSE),0)</f>
        <v>1075</v>
      </c>
      <c r="O77" s="26">
        <f>ROUNDDOWN(Table21[[#This Row],[R-DEMAND]]/1320,0)</f>
        <v>0</v>
      </c>
      <c r="P77" s="26">
        <f>Table21[[#This Row],[ADD ACC]]*Table21[[#This Row],[Duration
(747-400)]]</f>
        <v>0</v>
      </c>
      <c r="Q77" s="284">
        <f>IFERROR(VLOOKUP(Table21[[#This Row],[ROUTE]],PRICING!A:B,2,FALSE),0)</f>
        <v>640</v>
      </c>
      <c r="R77" s="282">
        <f>Table21[[#This Row],[C_DEMAND]]-Table21[[#This Row],[R-DEMAND]]</f>
        <v>2640</v>
      </c>
      <c r="S77" s="287">
        <f>Table21[[#This Row],[SEATS SOLD]]*Table21[[#This Row],[ECO SEAT]]</f>
        <v>1689600</v>
      </c>
    </row>
    <row r="78" spans="1:19" x14ac:dyDescent="0.25">
      <c r="A78" s="16" t="s">
        <v>16461</v>
      </c>
      <c r="B78" s="16" t="s">
        <v>3078</v>
      </c>
      <c r="C78" s="16" t="s">
        <v>2</v>
      </c>
      <c r="D78" s="16">
        <v>3</v>
      </c>
      <c r="E78" s="16" t="s">
        <v>1289</v>
      </c>
      <c r="F78" s="16" t="s">
        <v>12670</v>
      </c>
      <c r="G78" s="179" t="s">
        <v>11968</v>
      </c>
      <c r="H78" s="254">
        <v>7037</v>
      </c>
      <c r="I78" s="180">
        <v>17.75</v>
      </c>
      <c r="J78" s="102">
        <v>200227650</v>
      </c>
      <c r="K78" s="102">
        <f>IFERROR(Table21[[#This Row],[ROUTE COST]]/Table21[[#This Row],[O - DEMAND]],0)</f>
        <v>56818.288876276958</v>
      </c>
      <c r="L78" s="26">
        <v>3524</v>
      </c>
      <c r="M78" s="26">
        <f>IFERROR(VLOOKUP(Table21[[#This Row],[ROUTE]],DEMAND!A:F,5,FALSE),0)</f>
        <v>3713</v>
      </c>
      <c r="N78" s="26">
        <f>IFERROR(VLOOKUP(Table21[[#This Row],[ROUTE]],DEMAND!A:F,6,FALSE),0)</f>
        <v>1073</v>
      </c>
      <c r="O78" s="26">
        <f>ROUNDDOWN(Table21[[#This Row],[R-DEMAND]]/1320,0)</f>
        <v>0</v>
      </c>
      <c r="P78" s="26">
        <f>Table21[[#This Row],[ADD ACC]]*Table21[[#This Row],[Duration
(747-400)]]</f>
        <v>0</v>
      </c>
      <c r="Q78" s="284">
        <f>IFERROR(VLOOKUP(Table21[[#This Row],[ROUTE]],PRICING!A:B,2,FALSE),0)</f>
        <v>1932</v>
      </c>
      <c r="R78" s="282">
        <f>Table21[[#This Row],[C_DEMAND]]-Table21[[#This Row],[R-DEMAND]]</f>
        <v>2640</v>
      </c>
      <c r="S78" s="287">
        <f>Table21[[#This Row],[SEATS SOLD]]*Table21[[#This Row],[ECO SEAT]]</f>
        <v>5100480</v>
      </c>
    </row>
    <row r="79" spans="1:19" x14ac:dyDescent="0.25">
      <c r="A79" s="16" t="s">
        <v>16608</v>
      </c>
      <c r="B79" s="16" t="s">
        <v>5047</v>
      </c>
      <c r="C79" s="16" t="s">
        <v>2</v>
      </c>
      <c r="D79" s="16">
        <v>3</v>
      </c>
      <c r="E79" s="16" t="s">
        <v>78</v>
      </c>
      <c r="F79" s="16" t="s">
        <v>12674</v>
      </c>
      <c r="G79" s="179" t="s">
        <v>11914</v>
      </c>
      <c r="H79" s="254">
        <v>4365</v>
      </c>
      <c r="I79" s="180">
        <v>11.75</v>
      </c>
      <c r="J79" s="102">
        <v>189859004</v>
      </c>
      <c r="K79" s="102">
        <f>IFERROR(Table21[[#This Row],[ROUTE COST]]/Table21[[#This Row],[O - DEMAND]],0)</f>
        <v>54214.450028555111</v>
      </c>
      <c r="L79" s="26">
        <v>3502</v>
      </c>
      <c r="M79" s="26">
        <f>IFERROR(VLOOKUP(Table21[[#This Row],[ROUTE]],DEMAND!A:F,5,FALSE),0)</f>
        <v>3713</v>
      </c>
      <c r="N79" s="26">
        <f>IFERROR(VLOOKUP(Table21[[#This Row],[ROUTE]],DEMAND!A:F,6,FALSE),0)</f>
        <v>1073</v>
      </c>
      <c r="O79" s="26">
        <f>ROUNDDOWN(Table21[[#This Row],[R-DEMAND]]/1320,0)</f>
        <v>0</v>
      </c>
      <c r="P79" s="26">
        <f>Table21[[#This Row],[ADD ACC]]*Table21[[#This Row],[Duration
(747-400)]]</f>
        <v>0</v>
      </c>
      <c r="Q79" s="284">
        <f>IFERROR(VLOOKUP(Table21[[#This Row],[ROUTE]],PRICING!A:B,2,FALSE),0)</f>
        <v>1207</v>
      </c>
      <c r="R79" s="282">
        <f>Table21[[#This Row],[C_DEMAND]]-Table21[[#This Row],[R-DEMAND]]</f>
        <v>2640</v>
      </c>
      <c r="S79" s="287">
        <f>Table21[[#This Row],[SEATS SOLD]]*Table21[[#This Row],[ECO SEAT]]</f>
        <v>3186480</v>
      </c>
    </row>
    <row r="80" spans="1:19" x14ac:dyDescent="0.25">
      <c r="A80" s="16" t="s">
        <v>16290</v>
      </c>
      <c r="B80" s="16" t="s">
        <v>5295</v>
      </c>
      <c r="C80" s="16" t="s">
        <v>2</v>
      </c>
      <c r="D80" s="16">
        <v>3</v>
      </c>
      <c r="E80" s="16" t="s">
        <v>971</v>
      </c>
      <c r="F80" s="16" t="s">
        <v>12671</v>
      </c>
      <c r="G80" s="179" t="s">
        <v>11767</v>
      </c>
      <c r="H80" s="254">
        <v>8637</v>
      </c>
      <c r="I80" s="180">
        <v>21.25</v>
      </c>
      <c r="J80" s="102">
        <v>238197029</v>
      </c>
      <c r="K80" s="102">
        <f>IFERROR(Table21[[#This Row],[ROUTE COST]]/Table21[[#This Row],[O - DEMAND]],0)</f>
        <v>66294.747843028104</v>
      </c>
      <c r="L80" s="26">
        <v>3593</v>
      </c>
      <c r="M80" s="26">
        <f>IFERROR(VLOOKUP(Table21[[#This Row],[ROUTE]],DEMAND!A:F,5,FALSE),0)</f>
        <v>3713</v>
      </c>
      <c r="N80" s="26">
        <f>IFERROR(VLOOKUP(Table21[[#This Row],[ROUTE]],DEMAND!A:F,6,FALSE),0)</f>
        <v>1073</v>
      </c>
      <c r="O80" s="26">
        <f>ROUNDDOWN(Table21[[#This Row],[R-DEMAND]]/1320,0)</f>
        <v>0</v>
      </c>
      <c r="P80" s="26">
        <f>Table21[[#This Row],[ADD ACC]]*Table21[[#This Row],[Duration
(747-400)]]</f>
        <v>0</v>
      </c>
      <c r="Q80" s="284">
        <f>IFERROR(VLOOKUP(Table21[[#This Row],[ROUTE]],PRICING!A:B,2,FALSE),0)</f>
        <v>2517</v>
      </c>
      <c r="R80" s="282">
        <f>Table21[[#This Row],[C_DEMAND]]-Table21[[#This Row],[R-DEMAND]]</f>
        <v>2640</v>
      </c>
      <c r="S80" s="287">
        <f>Table21[[#This Row],[SEATS SOLD]]*Table21[[#This Row],[ECO SEAT]]</f>
        <v>6644880</v>
      </c>
    </row>
    <row r="81" spans="1:19" x14ac:dyDescent="0.25">
      <c r="A81" s="16" t="s">
        <v>16277</v>
      </c>
      <c r="B81" s="16" t="s">
        <v>883</v>
      </c>
      <c r="C81" s="16" t="s">
        <v>2</v>
      </c>
      <c r="D81" s="16">
        <v>1</v>
      </c>
      <c r="E81" s="16" t="s">
        <v>881</v>
      </c>
      <c r="F81" s="16" t="s">
        <v>12671</v>
      </c>
      <c r="G81" s="179" t="s">
        <v>9981</v>
      </c>
      <c r="H81" s="254">
        <v>8766</v>
      </c>
      <c r="I81" s="180">
        <v>21.5</v>
      </c>
      <c r="J81" s="102">
        <v>208288913</v>
      </c>
      <c r="K81" s="102">
        <f>IFERROR(Table21[[#This Row],[ROUTE COST]]/Table21[[#This Row],[O - DEMAND]],0)</f>
        <v>59922.011795166858</v>
      </c>
      <c r="L81" s="26">
        <v>3476</v>
      </c>
      <c r="M81" s="26">
        <f>IFERROR(VLOOKUP(Table21[[#This Row],[ROUTE]],DEMAND!A:F,5,FALSE),0)</f>
        <v>3708</v>
      </c>
      <c r="N81" s="26">
        <f>IFERROR(VLOOKUP(Table21[[#This Row],[ROUTE]],DEMAND!A:F,6,FALSE),0)</f>
        <v>1068</v>
      </c>
      <c r="O81" s="26">
        <f>ROUNDDOWN(Table21[[#This Row],[R-DEMAND]]/1320,0)</f>
        <v>0</v>
      </c>
      <c r="P81" s="26">
        <f>Table21[[#This Row],[ADD ACC]]*Table21[[#This Row],[Duration
(747-400)]]</f>
        <v>0</v>
      </c>
      <c r="Q81" s="284">
        <f>IFERROR(VLOOKUP(Table21[[#This Row],[ROUTE]],PRICING!A:B,2,FALSE),0)</f>
        <v>2269</v>
      </c>
      <c r="R81" s="282">
        <f>Table21[[#This Row],[C_DEMAND]]-Table21[[#This Row],[R-DEMAND]]</f>
        <v>2640</v>
      </c>
      <c r="S81" s="287">
        <f>Table21[[#This Row],[SEATS SOLD]]*Table21[[#This Row],[ECO SEAT]]</f>
        <v>5990160</v>
      </c>
    </row>
    <row r="82" spans="1:19" x14ac:dyDescent="0.25">
      <c r="A82" s="16" t="s">
        <v>16411</v>
      </c>
      <c r="B82" s="16" t="s">
        <v>5128</v>
      </c>
      <c r="C82" s="16" t="s">
        <v>2</v>
      </c>
      <c r="D82" s="16">
        <v>3</v>
      </c>
      <c r="E82" s="16" t="s">
        <v>700</v>
      </c>
      <c r="F82" s="16" t="s">
        <v>12670</v>
      </c>
      <c r="G82" s="179" t="s">
        <v>11849</v>
      </c>
      <c r="H82" s="254">
        <v>7379</v>
      </c>
      <c r="I82" s="180">
        <v>18.5</v>
      </c>
      <c r="J82" s="102">
        <v>221881126</v>
      </c>
      <c r="K82" s="102">
        <f>IFERROR(Table21[[#This Row],[ROUTE COST]]/Table21[[#This Row],[O - DEMAND]],0)</f>
        <v>63667.468005738883</v>
      </c>
      <c r="L82" s="26">
        <v>3485</v>
      </c>
      <c r="M82" s="26">
        <f>IFERROR(VLOOKUP(Table21[[#This Row],[ROUTE]],DEMAND!A:F,5,FALSE),0)</f>
        <v>3706</v>
      </c>
      <c r="N82" s="26">
        <f>IFERROR(VLOOKUP(Table21[[#This Row],[ROUTE]],DEMAND!A:F,6,FALSE),0)</f>
        <v>1066</v>
      </c>
      <c r="O82" s="26">
        <f>ROUNDDOWN(Table21[[#This Row],[R-DEMAND]]/1320,0)</f>
        <v>0</v>
      </c>
      <c r="P82" s="26">
        <f>Table21[[#This Row],[ADD ACC]]*Table21[[#This Row],[Duration
(747-400)]]</f>
        <v>0</v>
      </c>
      <c r="Q82" s="284">
        <f>IFERROR(VLOOKUP(Table21[[#This Row],[ROUTE]],PRICING!A:B,2,FALSE),0)</f>
        <v>1949</v>
      </c>
      <c r="R82" s="282">
        <f>Table21[[#This Row],[C_DEMAND]]-Table21[[#This Row],[R-DEMAND]]</f>
        <v>2640</v>
      </c>
      <c r="S82" s="287">
        <f>Table21[[#This Row],[SEATS SOLD]]*Table21[[#This Row],[ECO SEAT]]</f>
        <v>5145360</v>
      </c>
    </row>
    <row r="83" spans="1:19" x14ac:dyDescent="0.25">
      <c r="A83" s="16" t="s">
        <v>15975</v>
      </c>
      <c r="B83" s="16" t="s">
        <v>4675</v>
      </c>
      <c r="C83" s="16" t="s">
        <v>2</v>
      </c>
      <c r="D83" s="16">
        <v>2</v>
      </c>
      <c r="E83" s="16" t="s">
        <v>2791</v>
      </c>
      <c r="F83" s="16" t="s">
        <v>12688</v>
      </c>
      <c r="G83" s="179" t="s">
        <v>13195</v>
      </c>
      <c r="H83" s="254">
        <v>13323</v>
      </c>
      <c r="I83" s="180">
        <v>31.75</v>
      </c>
      <c r="J83" s="102">
        <v>273640389</v>
      </c>
      <c r="K83" s="102">
        <f>IFERROR(Table21[[#This Row],[ROUTE COST]]/Table21[[#This Row],[O - DEMAND]],0)</f>
        <v>77125.25056369786</v>
      </c>
      <c r="L83" s="26">
        <v>3548</v>
      </c>
      <c r="M83" s="26">
        <f>IFERROR(VLOOKUP(Table21[[#This Row],[ROUTE]],DEMAND!A:F,5,FALSE),0)</f>
        <v>3702</v>
      </c>
      <c r="N83" s="26">
        <f>IFERROR(VLOOKUP(Table21[[#This Row],[ROUTE]],DEMAND!A:F,6,FALSE),0)</f>
        <v>1062</v>
      </c>
      <c r="O83" s="26">
        <f>ROUNDDOWN(Table21[[#This Row],[R-DEMAND]]/1320,0)</f>
        <v>0</v>
      </c>
      <c r="P83" s="26">
        <f>Table21[[#This Row],[ADD ACC]]*Table21[[#This Row],[Duration
(747-400)]]</f>
        <v>0</v>
      </c>
      <c r="Q83" s="284">
        <f>IFERROR(VLOOKUP(Table21[[#This Row],[ROUTE]],PRICING!A:B,2,FALSE),0)</f>
        <v>3697</v>
      </c>
      <c r="R83" s="282">
        <f>Table21[[#This Row],[C_DEMAND]]-Table21[[#This Row],[R-DEMAND]]</f>
        <v>2640</v>
      </c>
      <c r="S83" s="287">
        <f>Table21[[#This Row],[SEATS SOLD]]*Table21[[#This Row],[ECO SEAT]]</f>
        <v>9760080</v>
      </c>
    </row>
    <row r="84" spans="1:19" x14ac:dyDescent="0.25">
      <c r="A84" s="16" t="s">
        <v>16488</v>
      </c>
      <c r="B84" s="16" t="s">
        <v>4814</v>
      </c>
      <c r="C84" s="16" t="s">
        <v>2</v>
      </c>
      <c r="D84" s="16">
        <v>3</v>
      </c>
      <c r="E84" s="16" t="s">
        <v>1654</v>
      </c>
      <c r="F84" s="16" t="s">
        <v>12670</v>
      </c>
      <c r="G84" s="179" t="s">
        <v>11886</v>
      </c>
      <c r="H84" s="254">
        <v>6716</v>
      </c>
      <c r="I84" s="180">
        <v>17</v>
      </c>
      <c r="J84" s="102">
        <v>211057430</v>
      </c>
      <c r="K84" s="102">
        <f>IFERROR(Table21[[#This Row],[ROUTE COST]]/Table21[[#This Row],[O - DEMAND]],0)</f>
        <v>60302.122857142858</v>
      </c>
      <c r="L84" s="26">
        <v>3500</v>
      </c>
      <c r="M84" s="26">
        <f>IFERROR(VLOOKUP(Table21[[#This Row],[ROUTE]],DEMAND!A:F,5,FALSE),0)</f>
        <v>3699</v>
      </c>
      <c r="N84" s="26">
        <f>IFERROR(VLOOKUP(Table21[[#This Row],[ROUTE]],DEMAND!A:F,6,FALSE),0)</f>
        <v>1059</v>
      </c>
      <c r="O84" s="26">
        <f>ROUNDDOWN(Table21[[#This Row],[R-DEMAND]]/1320,0)</f>
        <v>0</v>
      </c>
      <c r="P84" s="26">
        <f>Table21[[#This Row],[ADD ACC]]*Table21[[#This Row],[Duration
(747-400)]]</f>
        <v>0</v>
      </c>
      <c r="Q84" s="284">
        <f>IFERROR(VLOOKUP(Table21[[#This Row],[ROUTE]],PRICING!A:B,2,FALSE),0)</f>
        <v>1826</v>
      </c>
      <c r="R84" s="282">
        <f>Table21[[#This Row],[C_DEMAND]]-Table21[[#This Row],[R-DEMAND]]</f>
        <v>2640</v>
      </c>
      <c r="S84" s="287">
        <f>Table21[[#This Row],[SEATS SOLD]]*Table21[[#This Row],[ECO SEAT]]</f>
        <v>4820640</v>
      </c>
    </row>
    <row r="85" spans="1:19" x14ac:dyDescent="0.25">
      <c r="A85" s="16" t="s">
        <v>16042</v>
      </c>
      <c r="B85" s="16" t="s">
        <v>273</v>
      </c>
      <c r="C85" s="16" t="s">
        <v>2</v>
      </c>
      <c r="D85" s="16">
        <v>2</v>
      </c>
      <c r="E85" s="16" t="s">
        <v>926</v>
      </c>
      <c r="F85" s="16" t="s">
        <v>12671</v>
      </c>
      <c r="G85" s="179" t="s">
        <v>11889</v>
      </c>
      <c r="H85" s="254">
        <v>11723</v>
      </c>
      <c r="I85" s="180">
        <v>28</v>
      </c>
      <c r="J85" s="102">
        <v>245767102</v>
      </c>
      <c r="K85" s="102">
        <f>IFERROR(Table21[[#This Row],[ROUTE COST]]/Table21[[#This Row],[O - DEMAND]],0)</f>
        <v>69386.533596837951</v>
      </c>
      <c r="L85" s="26">
        <v>3542</v>
      </c>
      <c r="M85" s="26">
        <f>IFERROR(VLOOKUP(Table21[[#This Row],[ROUTE]],DEMAND!A:F,5,FALSE),0)</f>
        <v>3695</v>
      </c>
      <c r="N85" s="26">
        <f>IFERROR(VLOOKUP(Table21[[#This Row],[ROUTE]],DEMAND!A:F,6,FALSE),0)</f>
        <v>1055</v>
      </c>
      <c r="O85" s="26">
        <f>ROUNDDOWN(Table21[[#This Row],[R-DEMAND]]/1320,0)</f>
        <v>0</v>
      </c>
      <c r="P85" s="26">
        <f>Table21[[#This Row],[ADD ACC]]*Table21[[#This Row],[Duration
(747-400)]]</f>
        <v>0</v>
      </c>
      <c r="Q85" s="284">
        <f>IFERROR(VLOOKUP(Table21[[#This Row],[ROUTE]],PRICING!A:B,2,FALSE),0)</f>
        <v>3265</v>
      </c>
      <c r="R85" s="282">
        <f>Table21[[#This Row],[C_DEMAND]]-Table21[[#This Row],[R-DEMAND]]</f>
        <v>2640</v>
      </c>
      <c r="S85" s="287">
        <f>Table21[[#This Row],[SEATS SOLD]]*Table21[[#This Row],[ECO SEAT]]</f>
        <v>8619600</v>
      </c>
    </row>
    <row r="86" spans="1:19" x14ac:dyDescent="0.25">
      <c r="A86" s="16" t="s">
        <v>16069</v>
      </c>
      <c r="B86" s="16" t="s">
        <v>4629</v>
      </c>
      <c r="C86" s="16" t="s">
        <v>2</v>
      </c>
      <c r="D86" s="16">
        <v>2</v>
      </c>
      <c r="E86" s="16" t="s">
        <v>2059</v>
      </c>
      <c r="F86" s="16" t="s">
        <v>12671</v>
      </c>
      <c r="G86" s="179" t="s">
        <v>11754</v>
      </c>
      <c r="H86" s="254">
        <v>11292</v>
      </c>
      <c r="I86" s="180">
        <v>27.25</v>
      </c>
      <c r="J86" s="102">
        <v>254592944</v>
      </c>
      <c r="K86" s="102">
        <f>IFERROR(Table21[[#This Row],[ROUTE COST]]/Table21[[#This Row],[O - DEMAND]],0)</f>
        <v>53508.395124001683</v>
      </c>
      <c r="L86" s="26">
        <v>4758</v>
      </c>
      <c r="M86" s="26">
        <f>IFERROR(VLOOKUP(Table21[[#This Row],[ROUTE]],DEMAND!A:F,5,FALSE),0)</f>
        <v>5013</v>
      </c>
      <c r="N86" s="26">
        <f>IFERROR(VLOOKUP(Table21[[#This Row],[ROUTE]],DEMAND!A:F,6,FALSE),0)</f>
        <v>1053</v>
      </c>
      <c r="O86" s="26">
        <f>ROUNDDOWN(Table21[[#This Row],[R-DEMAND]]/1320,0)</f>
        <v>0</v>
      </c>
      <c r="P86" s="26">
        <f>Table21[[#This Row],[ADD ACC]]*Table21[[#This Row],[Duration
(747-400)]]</f>
        <v>0</v>
      </c>
      <c r="Q86" s="284">
        <f>IFERROR(VLOOKUP(Table21[[#This Row],[ROUTE]],PRICING!A:B,2,FALSE),0)</f>
        <v>3040</v>
      </c>
      <c r="R86" s="282">
        <f>Table21[[#This Row],[C_DEMAND]]-Table21[[#This Row],[R-DEMAND]]</f>
        <v>3960</v>
      </c>
      <c r="S86" s="287">
        <f>Table21[[#This Row],[SEATS SOLD]]*Table21[[#This Row],[ECO SEAT]]</f>
        <v>12038400</v>
      </c>
    </row>
    <row r="87" spans="1:19" x14ac:dyDescent="0.25">
      <c r="A87" s="16" t="s">
        <v>16430</v>
      </c>
      <c r="B87" s="16" t="s">
        <v>3363</v>
      </c>
      <c r="C87" s="16" t="s">
        <v>2</v>
      </c>
      <c r="D87" s="16">
        <v>3</v>
      </c>
      <c r="E87" s="16" t="s">
        <v>1216</v>
      </c>
      <c r="F87" s="16" t="s">
        <v>12670</v>
      </c>
      <c r="G87" s="179" t="s">
        <v>11876</v>
      </c>
      <c r="H87" s="254">
        <v>7271</v>
      </c>
      <c r="I87" s="180">
        <v>18.25</v>
      </c>
      <c r="J87" s="102">
        <v>202541008</v>
      </c>
      <c r="K87" s="102">
        <f>IFERROR(Table21[[#This Row],[ROUTE COST]]/Table21[[#This Row],[O - DEMAND]],0)</f>
        <v>89146.570422535209</v>
      </c>
      <c r="L87" s="26">
        <v>2272</v>
      </c>
      <c r="M87" s="26">
        <f>IFERROR(VLOOKUP(Table21[[#This Row],[ROUTE]],DEMAND!A:F,5,FALSE),0)</f>
        <v>2371</v>
      </c>
      <c r="N87" s="26">
        <f>IFERROR(VLOOKUP(Table21[[#This Row],[ROUTE]],DEMAND!A:F,6,FALSE),0)</f>
        <v>1051</v>
      </c>
      <c r="O87" s="26">
        <f>ROUNDDOWN(Table21[[#This Row],[R-DEMAND]]/1320,0)</f>
        <v>0</v>
      </c>
      <c r="P87" s="26">
        <f>Table21[[#This Row],[ADD ACC]]*Table21[[#This Row],[Duration
(747-400)]]</f>
        <v>0</v>
      </c>
      <c r="Q87" s="284">
        <f>IFERROR(VLOOKUP(Table21[[#This Row],[ROUTE]],PRICING!A:B,2,FALSE),0)</f>
        <v>2065</v>
      </c>
      <c r="R87" s="282">
        <f>Table21[[#This Row],[C_DEMAND]]-Table21[[#This Row],[R-DEMAND]]</f>
        <v>1320</v>
      </c>
      <c r="S87" s="287">
        <f>Table21[[#This Row],[SEATS SOLD]]*Table21[[#This Row],[ECO SEAT]]</f>
        <v>2725800</v>
      </c>
    </row>
    <row r="88" spans="1:19" x14ac:dyDescent="0.25">
      <c r="A88" s="16" t="s">
        <v>16032</v>
      </c>
      <c r="B88" s="16" t="s">
        <v>4631</v>
      </c>
      <c r="C88" s="16" t="s">
        <v>2</v>
      </c>
      <c r="D88" s="16">
        <v>2</v>
      </c>
      <c r="E88" s="16" t="s">
        <v>1441</v>
      </c>
      <c r="F88" s="16" t="s">
        <v>12671</v>
      </c>
      <c r="G88" s="179" t="s">
        <v>11704</v>
      </c>
      <c r="H88" s="254">
        <v>11818</v>
      </c>
      <c r="I88" s="180">
        <v>28.25</v>
      </c>
      <c r="J88" s="102">
        <v>260556469</v>
      </c>
      <c r="K88" s="102">
        <f>IFERROR(Table21[[#This Row],[ROUTE COST]]/Table21[[#This Row],[O - DEMAND]],0)</f>
        <v>54430.012325046999</v>
      </c>
      <c r="L88" s="26">
        <v>4787</v>
      </c>
      <c r="M88" s="26">
        <f>IFERROR(VLOOKUP(Table21[[#This Row],[ROUTE]],DEMAND!A:F,5,FALSE),0)</f>
        <v>5010</v>
      </c>
      <c r="N88" s="26">
        <f>IFERROR(VLOOKUP(Table21[[#This Row],[ROUTE]],DEMAND!A:F,6,FALSE),0)</f>
        <v>1050</v>
      </c>
      <c r="O88" s="26">
        <f>ROUNDDOWN(Table21[[#This Row],[R-DEMAND]]/1320,0)</f>
        <v>0</v>
      </c>
      <c r="P88" s="26">
        <f>Table21[[#This Row],[ADD ACC]]*Table21[[#This Row],[Duration
(747-400)]]</f>
        <v>0</v>
      </c>
      <c r="Q88" s="284">
        <f>IFERROR(VLOOKUP(Table21[[#This Row],[ROUTE]],PRICING!A:B,2,FALSE),0)</f>
        <v>3253</v>
      </c>
      <c r="R88" s="282">
        <f>Table21[[#This Row],[C_DEMAND]]-Table21[[#This Row],[R-DEMAND]]</f>
        <v>3960</v>
      </c>
      <c r="S88" s="287">
        <f>Table21[[#This Row],[SEATS SOLD]]*Table21[[#This Row],[ECO SEAT]]</f>
        <v>12881880</v>
      </c>
    </row>
    <row r="89" spans="1:19" x14ac:dyDescent="0.25">
      <c r="A89" s="16" t="s">
        <v>16209</v>
      </c>
      <c r="B89" s="16" t="s">
        <v>3743</v>
      </c>
      <c r="C89" s="16" t="s">
        <v>2</v>
      </c>
      <c r="D89" s="16">
        <v>2</v>
      </c>
      <c r="E89" s="16" t="s">
        <v>608</v>
      </c>
      <c r="F89" s="16" t="s">
        <v>12671</v>
      </c>
      <c r="G89" s="179" t="s">
        <v>11697</v>
      </c>
      <c r="H89" s="254">
        <v>9580</v>
      </c>
      <c r="I89" s="180">
        <v>23.25</v>
      </c>
      <c r="J89" s="102">
        <v>227987702</v>
      </c>
      <c r="K89" s="102">
        <f>IFERROR(Table21[[#This Row],[ROUTE COST]]/Table21[[#This Row],[O - DEMAND]],0)</f>
        <v>65911.448973691819</v>
      </c>
      <c r="L89" s="26">
        <v>3459</v>
      </c>
      <c r="M89" s="26">
        <f>IFERROR(VLOOKUP(Table21[[#This Row],[ROUTE]],DEMAND!A:F,5,FALSE),0)</f>
        <v>3690</v>
      </c>
      <c r="N89" s="26">
        <f>IFERROR(VLOOKUP(Table21[[#This Row],[ROUTE]],DEMAND!A:F,6,FALSE),0)</f>
        <v>1050</v>
      </c>
      <c r="O89" s="26">
        <f>ROUNDDOWN(Table21[[#This Row],[R-DEMAND]]/1320,0)</f>
        <v>0</v>
      </c>
      <c r="P89" s="26">
        <f>Table21[[#This Row],[ADD ACC]]*Table21[[#This Row],[Duration
(747-400)]]</f>
        <v>0</v>
      </c>
      <c r="Q89" s="284">
        <f>IFERROR(VLOOKUP(Table21[[#This Row],[ROUTE]],PRICING!A:B,2,FALSE),0)</f>
        <v>2471</v>
      </c>
      <c r="R89" s="282">
        <f>Table21[[#This Row],[C_DEMAND]]-Table21[[#This Row],[R-DEMAND]]</f>
        <v>2640</v>
      </c>
      <c r="S89" s="287">
        <f>Table21[[#This Row],[SEATS SOLD]]*Table21[[#This Row],[ECO SEAT]]</f>
        <v>6523440</v>
      </c>
    </row>
    <row r="90" spans="1:19" x14ac:dyDescent="0.25">
      <c r="A90" s="16" t="s">
        <v>16336</v>
      </c>
      <c r="B90" s="16" t="s">
        <v>2958</v>
      </c>
      <c r="C90" s="16" t="s">
        <v>2</v>
      </c>
      <c r="D90" s="16">
        <v>2</v>
      </c>
      <c r="E90" s="16" t="s">
        <v>600</v>
      </c>
      <c r="F90" s="16" t="s">
        <v>12688</v>
      </c>
      <c r="G90" s="179" t="s">
        <v>11673</v>
      </c>
      <c r="H90" s="254">
        <v>8059</v>
      </c>
      <c r="I90" s="180">
        <v>20</v>
      </c>
      <c r="J90" s="102">
        <v>208768391</v>
      </c>
      <c r="K90" s="102">
        <f>IFERROR(Table21[[#This Row],[ROUTE COST]]/Table21[[#This Row],[O - DEMAND]],0)</f>
        <v>93660.112606550028</v>
      </c>
      <c r="L90" s="26">
        <v>2229</v>
      </c>
      <c r="M90" s="26">
        <f>IFERROR(VLOOKUP(Table21[[#This Row],[ROUTE]],DEMAND!A:F,5,FALSE),0)</f>
        <v>2370</v>
      </c>
      <c r="N90" s="26">
        <f>IFERROR(VLOOKUP(Table21[[#This Row],[ROUTE]],DEMAND!A:F,6,FALSE),0)</f>
        <v>1050</v>
      </c>
      <c r="O90" s="26">
        <f>ROUNDDOWN(Table21[[#This Row],[R-DEMAND]]/1320,0)</f>
        <v>0</v>
      </c>
      <c r="P90" s="26">
        <f>Table21[[#This Row],[ADD ACC]]*Table21[[#This Row],[Duration
(747-400)]]</f>
        <v>0</v>
      </c>
      <c r="Q90" s="284">
        <f>IFERROR(VLOOKUP(Table21[[#This Row],[ROUTE]],PRICING!A:B,2,FALSE),0)</f>
        <v>2120</v>
      </c>
      <c r="R90" s="282">
        <f>Table21[[#This Row],[C_DEMAND]]-Table21[[#This Row],[R-DEMAND]]</f>
        <v>1320</v>
      </c>
      <c r="S90" s="287">
        <f>Table21[[#This Row],[SEATS SOLD]]*Table21[[#This Row],[ECO SEAT]]</f>
        <v>2798400</v>
      </c>
    </row>
    <row r="91" spans="1:19" x14ac:dyDescent="0.25">
      <c r="A91" s="16" t="s">
        <v>16266</v>
      </c>
      <c r="B91" s="16" t="s">
        <v>71</v>
      </c>
      <c r="C91" s="16" t="s">
        <v>2</v>
      </c>
      <c r="D91" s="16">
        <v>5</v>
      </c>
      <c r="E91" s="16" t="s">
        <v>774</v>
      </c>
      <c r="F91" s="16" t="s">
        <v>12682</v>
      </c>
      <c r="G91" s="179" t="s">
        <v>12010</v>
      </c>
      <c r="H91" s="254">
        <v>8967</v>
      </c>
      <c r="I91" s="180">
        <v>22</v>
      </c>
      <c r="J91" s="102">
        <v>272394903</v>
      </c>
      <c r="K91" s="102">
        <f>IFERROR(Table21[[#This Row],[ROUTE COST]]/Table21[[#This Row],[O - DEMAND]],0)</f>
        <v>78590.566358915181</v>
      </c>
      <c r="L91" s="26">
        <v>3466</v>
      </c>
      <c r="M91" s="26">
        <f>IFERROR(VLOOKUP(Table21[[#This Row],[ROUTE]],DEMAND!A:F,5,FALSE),0)</f>
        <v>3686</v>
      </c>
      <c r="N91" s="26">
        <f>IFERROR(VLOOKUP(Table21[[#This Row],[ROUTE]],DEMAND!A:F,6,FALSE),0)</f>
        <v>1046</v>
      </c>
      <c r="O91" s="26">
        <f>ROUNDDOWN(Table21[[#This Row],[R-DEMAND]]/1320,0)</f>
        <v>0</v>
      </c>
      <c r="P91" s="26">
        <f>Table21[[#This Row],[ADD ACC]]*Table21[[#This Row],[Duration
(747-400)]]</f>
        <v>0</v>
      </c>
      <c r="Q91" s="284">
        <f>IFERROR(VLOOKUP(Table21[[#This Row],[ROUTE]],PRICING!A:B,2,FALSE),0)</f>
        <v>2348</v>
      </c>
      <c r="R91" s="282">
        <f>Table21[[#This Row],[C_DEMAND]]-Table21[[#This Row],[R-DEMAND]]</f>
        <v>2640</v>
      </c>
      <c r="S91" s="287">
        <f>Table21[[#This Row],[SEATS SOLD]]*Table21[[#This Row],[ECO SEAT]]</f>
        <v>6198720</v>
      </c>
    </row>
    <row r="92" spans="1:19" x14ac:dyDescent="0.25">
      <c r="A92" s="16" t="s">
        <v>16158</v>
      </c>
      <c r="B92" s="16" t="s">
        <v>5269</v>
      </c>
      <c r="C92" s="16" t="s">
        <v>2</v>
      </c>
      <c r="D92" s="16">
        <v>3</v>
      </c>
      <c r="E92" s="16" t="s">
        <v>1749</v>
      </c>
      <c r="F92" s="16" t="s">
        <v>12688</v>
      </c>
      <c r="G92" s="179" t="s">
        <v>13213</v>
      </c>
      <c r="H92" s="254">
        <v>10245</v>
      </c>
      <c r="I92" s="180">
        <v>24.75</v>
      </c>
      <c r="J92" s="102">
        <v>253717250</v>
      </c>
      <c r="K92" s="102">
        <f>IFERROR(Table21[[#This Row],[ROUTE COST]]/Table21[[#This Row],[O - DEMAND]],0)</f>
        <v>72844.458799885149</v>
      </c>
      <c r="L92" s="26">
        <v>3483</v>
      </c>
      <c r="M92" s="26">
        <f>IFERROR(VLOOKUP(Table21[[#This Row],[ROUTE]],DEMAND!A:F,5,FALSE),0)</f>
        <v>3681</v>
      </c>
      <c r="N92" s="26">
        <f>IFERROR(VLOOKUP(Table21[[#This Row],[ROUTE]],DEMAND!A:F,6,FALSE),0)</f>
        <v>1041</v>
      </c>
      <c r="O92" s="26">
        <f>ROUNDDOWN(Table21[[#This Row],[R-DEMAND]]/1320,0)</f>
        <v>0</v>
      </c>
      <c r="P92" s="26">
        <f>Table21[[#This Row],[ADD ACC]]*Table21[[#This Row],[Duration
(747-400)]]</f>
        <v>0</v>
      </c>
      <c r="Q92" s="284">
        <f>IFERROR(VLOOKUP(Table21[[#This Row],[ROUTE]],PRICING!A:B,2,FALSE),0)</f>
        <v>2734</v>
      </c>
      <c r="R92" s="282">
        <f>Table21[[#This Row],[C_DEMAND]]-Table21[[#This Row],[R-DEMAND]]</f>
        <v>2640</v>
      </c>
      <c r="S92" s="287">
        <f>Table21[[#This Row],[SEATS SOLD]]*Table21[[#This Row],[ECO SEAT]]</f>
        <v>7217760</v>
      </c>
    </row>
    <row r="93" spans="1:19" x14ac:dyDescent="0.25">
      <c r="A93" s="16" t="s">
        <v>16163</v>
      </c>
      <c r="B93" s="16" t="s">
        <v>2569</v>
      </c>
      <c r="C93" s="16" t="s">
        <v>2</v>
      </c>
      <c r="D93" s="16">
        <v>2</v>
      </c>
      <c r="E93" s="16" t="s">
        <v>608</v>
      </c>
      <c r="F93" s="16" t="s">
        <v>12671</v>
      </c>
      <c r="G93" s="179" t="s">
        <v>7996</v>
      </c>
      <c r="H93" s="254">
        <v>10208</v>
      </c>
      <c r="I93" s="180">
        <v>24.75</v>
      </c>
      <c r="J93" s="102">
        <v>227329073</v>
      </c>
      <c r="K93" s="102">
        <f>IFERROR(Table21[[#This Row],[ROUTE COST]]/Table21[[#This Row],[O - DEMAND]],0)</f>
        <v>64914.069960022847</v>
      </c>
      <c r="L93" s="26">
        <v>3502</v>
      </c>
      <c r="M93" s="26">
        <f>IFERROR(VLOOKUP(Table21[[#This Row],[ROUTE]],DEMAND!A:F,5,FALSE),0)</f>
        <v>3678</v>
      </c>
      <c r="N93" s="26">
        <f>IFERROR(VLOOKUP(Table21[[#This Row],[ROUTE]],DEMAND!A:F,6,FALSE),0)</f>
        <v>1038</v>
      </c>
      <c r="O93" s="26">
        <f>ROUNDDOWN(Table21[[#This Row],[R-DEMAND]]/1320,0)</f>
        <v>0</v>
      </c>
      <c r="P93" s="26">
        <f>Table21[[#This Row],[ADD ACC]]*Table21[[#This Row],[Duration
(747-400)]]</f>
        <v>0</v>
      </c>
      <c r="Q93" s="284">
        <f>IFERROR(VLOOKUP(Table21[[#This Row],[ROUTE]],PRICING!A:B,2,FALSE),0)</f>
        <v>2791</v>
      </c>
      <c r="R93" s="282">
        <f>Table21[[#This Row],[C_DEMAND]]-Table21[[#This Row],[R-DEMAND]]</f>
        <v>2640</v>
      </c>
      <c r="S93" s="287">
        <f>Table21[[#This Row],[SEATS SOLD]]*Table21[[#This Row],[ECO SEAT]]</f>
        <v>7368240</v>
      </c>
    </row>
    <row r="94" spans="1:19" x14ac:dyDescent="0.25">
      <c r="A94" s="16" t="s">
        <v>16133</v>
      </c>
      <c r="B94" s="16" t="s">
        <v>5721</v>
      </c>
      <c r="C94" s="16" t="s">
        <v>2</v>
      </c>
      <c r="D94" s="16">
        <v>5</v>
      </c>
      <c r="E94" s="16" t="s">
        <v>514</v>
      </c>
      <c r="F94" s="16" t="s">
        <v>12688</v>
      </c>
      <c r="G94" s="179" t="s">
        <v>13171</v>
      </c>
      <c r="H94" s="254">
        <v>10563</v>
      </c>
      <c r="I94" s="180">
        <v>25.5</v>
      </c>
      <c r="J94" s="102">
        <v>286060394</v>
      </c>
      <c r="K94" s="102">
        <f>IFERROR(Table21[[#This Row],[ROUTE COST]]/Table21[[#This Row],[O - DEMAND]],0)</f>
        <v>81684.864077669903</v>
      </c>
      <c r="L94" s="26">
        <v>3502</v>
      </c>
      <c r="M94" s="26">
        <f>IFERROR(VLOOKUP(Table21[[#This Row],[ROUTE]],DEMAND!A:F,5,FALSE),0)</f>
        <v>3678</v>
      </c>
      <c r="N94" s="26">
        <f>IFERROR(VLOOKUP(Table21[[#This Row],[ROUTE]],DEMAND!A:F,6,FALSE),0)</f>
        <v>1038</v>
      </c>
      <c r="O94" s="26">
        <f>ROUNDDOWN(Table21[[#This Row],[R-DEMAND]]/1320,0)</f>
        <v>0</v>
      </c>
      <c r="P94" s="26">
        <f>Table21[[#This Row],[ADD ACC]]*Table21[[#This Row],[Duration
(747-400)]]</f>
        <v>0</v>
      </c>
      <c r="Q94" s="284">
        <f>IFERROR(VLOOKUP(Table21[[#This Row],[ROUTE]],PRICING!A:B,2,FALSE),0)</f>
        <v>2884</v>
      </c>
      <c r="R94" s="282">
        <f>Table21[[#This Row],[C_DEMAND]]-Table21[[#This Row],[R-DEMAND]]</f>
        <v>2640</v>
      </c>
      <c r="S94" s="287">
        <f>Table21[[#This Row],[SEATS SOLD]]*Table21[[#This Row],[ECO SEAT]]</f>
        <v>7613760</v>
      </c>
    </row>
    <row r="95" spans="1:19" x14ac:dyDescent="0.25">
      <c r="A95" s="16" t="s">
        <v>16235</v>
      </c>
      <c r="B95" s="16" t="s">
        <v>651</v>
      </c>
      <c r="C95" s="16" t="s">
        <v>2</v>
      </c>
      <c r="D95" s="16">
        <v>1</v>
      </c>
      <c r="E95" s="16" t="s">
        <v>637</v>
      </c>
      <c r="F95" s="16" t="s">
        <v>12671</v>
      </c>
      <c r="G95" s="179" t="s">
        <v>6840</v>
      </c>
      <c r="H95" s="254">
        <v>9325</v>
      </c>
      <c r="I95" s="180">
        <v>22.75</v>
      </c>
      <c r="J95" s="102">
        <v>212226304</v>
      </c>
      <c r="K95" s="102">
        <f>IFERROR(Table21[[#This Row],[ROUTE COST]]/Table21[[#This Row],[O - DEMAND]],0)</f>
        <v>61550.552204176332</v>
      </c>
      <c r="L95" s="26">
        <v>3448</v>
      </c>
      <c r="M95" s="26">
        <f>IFERROR(VLOOKUP(Table21[[#This Row],[ROUTE]],DEMAND!A:F,5,FALSE),0)</f>
        <v>3678</v>
      </c>
      <c r="N95" s="26">
        <f>IFERROR(VLOOKUP(Table21[[#This Row],[ROUTE]],DEMAND!A:F,6,FALSE),0)</f>
        <v>1038</v>
      </c>
      <c r="O95" s="26">
        <f>ROUNDDOWN(Table21[[#This Row],[R-DEMAND]]/1320,0)</f>
        <v>0</v>
      </c>
      <c r="P95" s="26">
        <f>Table21[[#This Row],[ADD ACC]]*Table21[[#This Row],[Duration
(747-400)]]</f>
        <v>0</v>
      </c>
      <c r="Q95" s="284">
        <f>IFERROR(VLOOKUP(Table21[[#This Row],[ROUTE]],PRICING!A:B,2,FALSE),0)</f>
        <v>2408</v>
      </c>
      <c r="R95" s="282">
        <f>Table21[[#This Row],[C_DEMAND]]-Table21[[#This Row],[R-DEMAND]]</f>
        <v>2640</v>
      </c>
      <c r="S95" s="287">
        <f>Table21[[#This Row],[SEATS SOLD]]*Table21[[#This Row],[ECO SEAT]]</f>
        <v>6357120</v>
      </c>
    </row>
    <row r="96" spans="1:19" x14ac:dyDescent="0.25">
      <c r="A96" s="16" t="s">
        <v>16107</v>
      </c>
      <c r="B96" s="16" t="s">
        <v>364</v>
      </c>
      <c r="C96" s="16" t="s">
        <v>2</v>
      </c>
      <c r="D96" s="16">
        <v>3</v>
      </c>
      <c r="E96" s="16" t="s">
        <v>730</v>
      </c>
      <c r="F96" s="16" t="s">
        <v>12682</v>
      </c>
      <c r="G96" s="179" t="s">
        <v>11933</v>
      </c>
      <c r="H96" s="254">
        <v>10855</v>
      </c>
      <c r="I96" s="180">
        <v>26.25</v>
      </c>
      <c r="J96" s="102">
        <v>265449581</v>
      </c>
      <c r="K96" s="102">
        <f>IFERROR(Table21[[#This Row],[ROUTE COST]]/Table21[[#This Row],[O - DEMAND]],0)</f>
        <v>74964.580909347642</v>
      </c>
      <c r="L96" s="26">
        <v>3541</v>
      </c>
      <c r="M96" s="26">
        <f>IFERROR(VLOOKUP(Table21[[#This Row],[ROUTE]],DEMAND!A:F,5,FALSE),0)</f>
        <v>3671</v>
      </c>
      <c r="N96" s="26">
        <f>IFERROR(VLOOKUP(Table21[[#This Row],[ROUTE]],DEMAND!A:F,6,FALSE),0)</f>
        <v>1031</v>
      </c>
      <c r="O96" s="26">
        <f>ROUNDDOWN(Table21[[#This Row],[R-DEMAND]]/1320,0)</f>
        <v>0</v>
      </c>
      <c r="P96" s="26">
        <f>Table21[[#This Row],[ADD ACC]]*Table21[[#This Row],[Duration
(747-400)]]</f>
        <v>0</v>
      </c>
      <c r="Q96" s="284">
        <f>IFERROR(VLOOKUP(Table21[[#This Row],[ROUTE]],PRICING!A:B,2,FALSE),0)</f>
        <v>3101</v>
      </c>
      <c r="R96" s="282">
        <f>Table21[[#This Row],[C_DEMAND]]-Table21[[#This Row],[R-DEMAND]]</f>
        <v>2640</v>
      </c>
      <c r="S96" s="287">
        <f>Table21[[#This Row],[SEATS SOLD]]*Table21[[#This Row],[ECO SEAT]]</f>
        <v>8186640</v>
      </c>
    </row>
    <row r="97" spans="1:19" x14ac:dyDescent="0.25">
      <c r="A97" s="16" t="s">
        <v>16553</v>
      </c>
      <c r="B97" s="16" t="s">
        <v>5035</v>
      </c>
      <c r="C97" s="16" t="s">
        <v>2</v>
      </c>
      <c r="D97" s="16">
        <v>3</v>
      </c>
      <c r="E97" s="16" t="s">
        <v>502</v>
      </c>
      <c r="F97" s="16" t="s">
        <v>12670</v>
      </c>
      <c r="G97" s="179" t="s">
        <v>11957</v>
      </c>
      <c r="H97" s="254">
        <v>5834</v>
      </c>
      <c r="I97" s="180">
        <v>15</v>
      </c>
      <c r="J97" s="102">
        <v>205502958</v>
      </c>
      <c r="K97" s="102">
        <f>IFERROR(Table21[[#This Row],[ROUTE COST]]/Table21[[#This Row],[O - DEMAND]],0)</f>
        <v>59154.564766839379</v>
      </c>
      <c r="L97" s="26">
        <v>3474</v>
      </c>
      <c r="M97" s="26">
        <f>IFERROR(VLOOKUP(Table21[[#This Row],[ROUTE]],DEMAND!A:F,5,FALSE),0)</f>
        <v>3671</v>
      </c>
      <c r="N97" s="26">
        <f>IFERROR(VLOOKUP(Table21[[#This Row],[ROUTE]],DEMAND!A:F,6,FALSE),0)</f>
        <v>1031</v>
      </c>
      <c r="O97" s="26">
        <f>ROUNDDOWN(Table21[[#This Row],[R-DEMAND]]/1320,0)</f>
        <v>0</v>
      </c>
      <c r="P97" s="26">
        <f>Table21[[#This Row],[ADD ACC]]*Table21[[#This Row],[Duration
(747-400)]]</f>
        <v>0</v>
      </c>
      <c r="Q97" s="284">
        <f>IFERROR(VLOOKUP(Table21[[#This Row],[ROUTE]],PRICING!A:B,2,FALSE),0)</f>
        <v>1600</v>
      </c>
      <c r="R97" s="282">
        <f>Table21[[#This Row],[C_DEMAND]]-Table21[[#This Row],[R-DEMAND]]</f>
        <v>2640</v>
      </c>
      <c r="S97" s="287">
        <f>Table21[[#This Row],[SEATS SOLD]]*Table21[[#This Row],[ECO SEAT]]</f>
        <v>4224000</v>
      </c>
    </row>
    <row r="98" spans="1:19" x14ac:dyDescent="0.25">
      <c r="A98" s="16" t="s">
        <v>16511</v>
      </c>
      <c r="B98" s="16" t="s">
        <v>5419</v>
      </c>
      <c r="C98" s="16" t="s">
        <v>2</v>
      </c>
      <c r="D98" s="16">
        <v>3</v>
      </c>
      <c r="E98" s="16" t="s">
        <v>722</v>
      </c>
      <c r="F98" s="16" t="s">
        <v>12674</v>
      </c>
      <c r="G98" s="179" t="s">
        <v>11845</v>
      </c>
      <c r="H98" s="254">
        <v>6432</v>
      </c>
      <c r="I98" s="180">
        <v>16.25</v>
      </c>
      <c r="J98" s="102">
        <v>219842697</v>
      </c>
      <c r="K98" s="102">
        <f>IFERROR(Table21[[#This Row],[ROUTE COST]]/Table21[[#This Row],[O - DEMAND]],0)</f>
        <v>62508.586010804662</v>
      </c>
      <c r="L98" s="26">
        <v>3517</v>
      </c>
      <c r="M98" s="26">
        <f>IFERROR(VLOOKUP(Table21[[#This Row],[ROUTE]],DEMAND!A:F,5,FALSE),0)</f>
        <v>3670</v>
      </c>
      <c r="N98" s="26">
        <f>IFERROR(VLOOKUP(Table21[[#This Row],[ROUTE]],DEMAND!A:F,6,FALSE),0)</f>
        <v>1030</v>
      </c>
      <c r="O98" s="26">
        <f>ROUNDDOWN(Table21[[#This Row],[R-DEMAND]]/1320,0)</f>
        <v>0</v>
      </c>
      <c r="P98" s="26">
        <f>Table21[[#This Row],[ADD ACC]]*Table21[[#This Row],[Duration
(747-400)]]</f>
        <v>0</v>
      </c>
      <c r="Q98" s="284">
        <f>IFERROR(VLOOKUP(Table21[[#This Row],[ROUTE]],PRICING!A:B,2,FALSE),0)</f>
        <v>1838</v>
      </c>
      <c r="R98" s="282">
        <f>Table21[[#This Row],[C_DEMAND]]-Table21[[#This Row],[R-DEMAND]]</f>
        <v>2640</v>
      </c>
      <c r="S98" s="287">
        <f>Table21[[#This Row],[SEATS SOLD]]*Table21[[#This Row],[ECO SEAT]]</f>
        <v>4852320</v>
      </c>
    </row>
    <row r="99" spans="1:19" x14ac:dyDescent="0.25">
      <c r="A99" s="16" t="s">
        <v>16172</v>
      </c>
      <c r="B99" s="16" t="s">
        <v>3274</v>
      </c>
      <c r="C99" s="16" t="s">
        <v>2</v>
      </c>
      <c r="D99" s="16">
        <v>2</v>
      </c>
      <c r="E99" s="16" t="s">
        <v>3272</v>
      </c>
      <c r="F99" s="16" t="s">
        <v>12671</v>
      </c>
      <c r="G99" s="179" t="s">
        <v>11810</v>
      </c>
      <c r="H99" s="254">
        <v>10102</v>
      </c>
      <c r="I99" s="180">
        <v>24.5</v>
      </c>
      <c r="J99" s="102">
        <v>233060635</v>
      </c>
      <c r="K99" s="102">
        <f>IFERROR(Table21[[#This Row],[ROUTE COST]]/Table21[[#This Row],[O - DEMAND]],0)</f>
        <v>48272.708160729082</v>
      </c>
      <c r="L99" s="26">
        <v>4828</v>
      </c>
      <c r="M99" s="26">
        <f>IFERROR(VLOOKUP(Table21[[#This Row],[ROUTE]],DEMAND!A:F,5,FALSE),0)</f>
        <v>4989</v>
      </c>
      <c r="N99" s="26">
        <f>IFERROR(VLOOKUP(Table21[[#This Row],[ROUTE]],DEMAND!A:F,6,FALSE),0)</f>
        <v>1029</v>
      </c>
      <c r="O99" s="26">
        <f>ROUNDDOWN(Table21[[#This Row],[R-DEMAND]]/1320,0)</f>
        <v>0</v>
      </c>
      <c r="P99" s="26">
        <f>Table21[[#This Row],[ADD ACC]]*Table21[[#This Row],[Duration
(747-400)]]</f>
        <v>0</v>
      </c>
      <c r="Q99" s="284">
        <f>IFERROR(VLOOKUP(Table21[[#This Row],[ROUTE]],PRICING!A:B,2,FALSE),0)</f>
        <v>2925</v>
      </c>
      <c r="R99" s="282">
        <f>Table21[[#This Row],[C_DEMAND]]-Table21[[#This Row],[R-DEMAND]]</f>
        <v>3960</v>
      </c>
      <c r="S99" s="287">
        <f>Table21[[#This Row],[SEATS SOLD]]*Table21[[#This Row],[ECO SEAT]]</f>
        <v>11583000</v>
      </c>
    </row>
    <row r="100" spans="1:19" x14ac:dyDescent="0.25">
      <c r="A100" s="16" t="s">
        <v>16242</v>
      </c>
      <c r="B100" s="16" t="s">
        <v>1600</v>
      </c>
      <c r="C100" s="16" t="s">
        <v>2</v>
      </c>
      <c r="D100" s="16">
        <v>1</v>
      </c>
      <c r="E100" s="16" t="s">
        <v>1189</v>
      </c>
      <c r="F100" s="16" t="s">
        <v>12671</v>
      </c>
      <c r="G100" s="179" t="s">
        <v>11920</v>
      </c>
      <c r="H100" s="254">
        <v>9245</v>
      </c>
      <c r="I100" s="180">
        <v>22.5</v>
      </c>
      <c r="J100" s="102">
        <v>215623063</v>
      </c>
      <c r="K100" s="102">
        <f>IFERROR(Table21[[#This Row],[ROUTE COST]]/Table21[[#This Row],[O - DEMAND]],0)</f>
        <v>60996.623196605375</v>
      </c>
      <c r="L100" s="26">
        <v>3535</v>
      </c>
      <c r="M100" s="26">
        <f>IFERROR(VLOOKUP(Table21[[#This Row],[ROUTE]],DEMAND!A:F,5,FALSE),0)</f>
        <v>3664</v>
      </c>
      <c r="N100" s="26">
        <f>IFERROR(VLOOKUP(Table21[[#This Row],[ROUTE]],DEMAND!A:F,6,FALSE),0)</f>
        <v>1024</v>
      </c>
      <c r="O100" s="26">
        <f>ROUNDDOWN(Table21[[#This Row],[R-DEMAND]]/1320,0)</f>
        <v>0</v>
      </c>
      <c r="P100" s="26">
        <f>Table21[[#This Row],[ADD ACC]]*Table21[[#This Row],[Duration
(747-400)]]</f>
        <v>0</v>
      </c>
      <c r="Q100" s="284">
        <f>IFERROR(VLOOKUP(Table21[[#This Row],[ROUTE]],PRICING!A:B,2,FALSE),0)</f>
        <v>2656</v>
      </c>
      <c r="R100" s="282">
        <f>Table21[[#This Row],[C_DEMAND]]-Table21[[#This Row],[R-DEMAND]]</f>
        <v>2640</v>
      </c>
      <c r="S100" s="287">
        <f>Table21[[#This Row],[SEATS SOLD]]*Table21[[#This Row],[ECO SEAT]]</f>
        <v>7011840</v>
      </c>
    </row>
    <row r="101" spans="1:19" x14ac:dyDescent="0.25">
      <c r="A101" s="16" t="s">
        <v>16607</v>
      </c>
      <c r="B101" s="16" t="s">
        <v>3539</v>
      </c>
      <c r="C101" s="16" t="s">
        <v>2</v>
      </c>
      <c r="D101" s="16">
        <v>2</v>
      </c>
      <c r="E101" s="16" t="s">
        <v>2764</v>
      </c>
      <c r="F101" s="16" t="s">
        <v>12670</v>
      </c>
      <c r="G101" s="179" t="s">
        <v>11969</v>
      </c>
      <c r="H101" s="254">
        <v>4378</v>
      </c>
      <c r="I101" s="180">
        <v>11.75</v>
      </c>
      <c r="J101" s="102">
        <v>173839623</v>
      </c>
      <c r="K101" s="102">
        <f>IFERROR(Table21[[#This Row],[ROUTE COST]]/Table21[[#This Row],[O - DEMAND]],0)</f>
        <v>49696.86192109777</v>
      </c>
      <c r="L101" s="26">
        <v>3498</v>
      </c>
      <c r="M101" s="26">
        <f>IFERROR(VLOOKUP(Table21[[#This Row],[ROUTE]],DEMAND!A:F,5,FALSE),0)</f>
        <v>3662</v>
      </c>
      <c r="N101" s="26">
        <f>IFERROR(VLOOKUP(Table21[[#This Row],[ROUTE]],DEMAND!A:F,6,FALSE),0)</f>
        <v>1022</v>
      </c>
      <c r="O101" s="26">
        <f>ROUNDDOWN(Table21[[#This Row],[R-DEMAND]]/1320,0)</f>
        <v>0</v>
      </c>
      <c r="P101" s="26">
        <f>Table21[[#This Row],[ADD ACC]]*Table21[[#This Row],[Duration
(747-400)]]</f>
        <v>0</v>
      </c>
      <c r="Q101" s="284">
        <f>IFERROR(VLOOKUP(Table21[[#This Row],[ROUTE]],PRICING!A:B,2,FALSE),0)</f>
        <v>1270</v>
      </c>
      <c r="R101" s="282">
        <f>Table21[[#This Row],[C_DEMAND]]-Table21[[#This Row],[R-DEMAND]]</f>
        <v>2640</v>
      </c>
      <c r="S101" s="287">
        <f>Table21[[#This Row],[SEATS SOLD]]*Table21[[#This Row],[ECO SEAT]]</f>
        <v>3352800</v>
      </c>
    </row>
    <row r="102" spans="1:19" x14ac:dyDescent="0.25">
      <c r="A102" s="16" t="s">
        <v>16194</v>
      </c>
      <c r="B102" s="16" t="s">
        <v>4104</v>
      </c>
      <c r="C102" s="16" t="s">
        <v>2</v>
      </c>
      <c r="D102" s="16">
        <v>2</v>
      </c>
      <c r="E102" s="16" t="s">
        <v>608</v>
      </c>
      <c r="F102" s="16" t="s">
        <v>12671</v>
      </c>
      <c r="G102" s="179" t="s">
        <v>11686</v>
      </c>
      <c r="H102" s="254">
        <v>9837</v>
      </c>
      <c r="I102" s="180">
        <v>24</v>
      </c>
      <c r="J102" s="102">
        <v>233185520</v>
      </c>
      <c r="K102" s="102">
        <f>IFERROR(Table21[[#This Row],[ROUTE COST]]/Table21[[#This Row],[O - DEMAND]],0)</f>
        <v>66453.553719008269</v>
      </c>
      <c r="L102" s="26">
        <v>3509</v>
      </c>
      <c r="M102" s="26">
        <f>IFERROR(VLOOKUP(Table21[[#This Row],[ROUTE]],DEMAND!A:F,5,FALSE),0)</f>
        <v>3650</v>
      </c>
      <c r="N102" s="26">
        <f>IFERROR(VLOOKUP(Table21[[#This Row],[ROUTE]],DEMAND!A:F,6,FALSE),0)</f>
        <v>1010</v>
      </c>
      <c r="O102" s="26">
        <f>ROUNDDOWN(Table21[[#This Row],[R-DEMAND]]/1320,0)</f>
        <v>0</v>
      </c>
      <c r="P102" s="26">
        <f>Table21[[#This Row],[ADD ACC]]*Table21[[#This Row],[Duration
(747-400)]]</f>
        <v>0</v>
      </c>
      <c r="Q102" s="284">
        <f>IFERROR(VLOOKUP(Table21[[#This Row],[ROUTE]],PRICING!A:B,2,FALSE),0)</f>
        <v>2788</v>
      </c>
      <c r="R102" s="282">
        <f>Table21[[#This Row],[C_DEMAND]]-Table21[[#This Row],[R-DEMAND]]</f>
        <v>2640</v>
      </c>
      <c r="S102" s="287">
        <f>Table21[[#This Row],[SEATS SOLD]]*Table21[[#This Row],[ECO SEAT]]</f>
        <v>7360320</v>
      </c>
    </row>
    <row r="103" spans="1:19" x14ac:dyDescent="0.25">
      <c r="A103" s="16" t="s">
        <v>16096</v>
      </c>
      <c r="B103" s="16" t="s">
        <v>190</v>
      </c>
      <c r="C103" s="16" t="s">
        <v>2</v>
      </c>
      <c r="D103" s="16">
        <v>2</v>
      </c>
      <c r="E103" s="16" t="s">
        <v>1323</v>
      </c>
      <c r="F103" s="16" t="s">
        <v>12671</v>
      </c>
      <c r="G103" s="179" t="s">
        <v>11893</v>
      </c>
      <c r="H103" s="254">
        <v>10945</v>
      </c>
      <c r="I103" s="180">
        <v>26.25</v>
      </c>
      <c r="J103" s="102">
        <v>247782892</v>
      </c>
      <c r="K103" s="102">
        <f>IFERROR(Table21[[#This Row],[ROUTE COST]]/Table21[[#This Row],[O - DEMAND]],0)</f>
        <v>52440.823703703703</v>
      </c>
      <c r="L103" s="26">
        <v>4725</v>
      </c>
      <c r="M103" s="26">
        <f>IFERROR(VLOOKUP(Table21[[#This Row],[ROUTE]],DEMAND!A:F,5,FALSE),0)</f>
        <v>4962</v>
      </c>
      <c r="N103" s="26">
        <f>IFERROR(VLOOKUP(Table21[[#This Row],[ROUTE]],DEMAND!A:F,6,FALSE),0)</f>
        <v>1002</v>
      </c>
      <c r="O103" s="26">
        <f>ROUNDDOWN(Table21[[#This Row],[R-DEMAND]]/1320,0)</f>
        <v>0</v>
      </c>
      <c r="P103" s="26">
        <f>Table21[[#This Row],[ADD ACC]]*Table21[[#This Row],[Duration
(747-400)]]</f>
        <v>0</v>
      </c>
      <c r="Q103" s="284">
        <f>IFERROR(VLOOKUP(Table21[[#This Row],[ROUTE]],PRICING!A:B,2,FALSE),0)</f>
        <v>2985</v>
      </c>
      <c r="R103" s="282">
        <f>Table21[[#This Row],[C_DEMAND]]-Table21[[#This Row],[R-DEMAND]]</f>
        <v>3960</v>
      </c>
      <c r="S103" s="287">
        <f>Table21[[#This Row],[SEATS SOLD]]*Table21[[#This Row],[ECO SEAT]]</f>
        <v>11820600</v>
      </c>
    </row>
    <row r="104" spans="1:19" x14ac:dyDescent="0.25">
      <c r="A104" s="16" t="s">
        <v>15992</v>
      </c>
      <c r="B104" s="16" t="s">
        <v>3537</v>
      </c>
      <c r="C104" s="16" t="s">
        <v>2</v>
      </c>
      <c r="D104" s="16">
        <v>2</v>
      </c>
      <c r="E104" s="16" t="s">
        <v>3535</v>
      </c>
      <c r="F104" s="16" t="s">
        <v>12671</v>
      </c>
      <c r="G104" s="179" t="s">
        <v>11666</v>
      </c>
      <c r="H104" s="254">
        <v>12493</v>
      </c>
      <c r="I104" s="180">
        <v>29.75</v>
      </c>
      <c r="J104" s="102">
        <v>257483619</v>
      </c>
      <c r="K104" s="102">
        <f>IFERROR(Table21[[#This Row],[ROUTE COST]]/Table21[[#This Row],[O - DEMAND]],0)</f>
        <v>54493.887619047622</v>
      </c>
      <c r="L104" s="26">
        <v>4725</v>
      </c>
      <c r="M104" s="26">
        <f>IFERROR(VLOOKUP(Table21[[#This Row],[ROUTE]],DEMAND!A:F,5,FALSE),0)</f>
        <v>4961</v>
      </c>
      <c r="N104" s="26">
        <f>IFERROR(VLOOKUP(Table21[[#This Row],[ROUTE]],DEMAND!A:F,6,FALSE),0)</f>
        <v>1001</v>
      </c>
      <c r="O104" s="26">
        <f>ROUNDDOWN(Table21[[#This Row],[R-DEMAND]]/1320,0)</f>
        <v>0</v>
      </c>
      <c r="P104" s="26">
        <f>Table21[[#This Row],[ADD ACC]]*Table21[[#This Row],[Duration
(747-400)]]</f>
        <v>0</v>
      </c>
      <c r="Q104" s="284">
        <f>IFERROR(VLOOKUP(Table21[[#This Row],[ROUTE]],PRICING!A:B,2,FALSE),0)</f>
        <v>3393</v>
      </c>
      <c r="R104" s="282">
        <f>Table21[[#This Row],[C_DEMAND]]-Table21[[#This Row],[R-DEMAND]]</f>
        <v>3960</v>
      </c>
      <c r="S104" s="287">
        <f>Table21[[#This Row],[SEATS SOLD]]*Table21[[#This Row],[ECO SEAT]]</f>
        <v>13436280</v>
      </c>
    </row>
    <row r="105" spans="1:19" x14ac:dyDescent="0.25">
      <c r="A105" s="16" t="s">
        <v>16072</v>
      </c>
      <c r="B105" s="16" t="s">
        <v>3618</v>
      </c>
      <c r="C105" s="16" t="s">
        <v>2</v>
      </c>
      <c r="D105" s="16">
        <v>2</v>
      </c>
      <c r="E105" s="16" t="s">
        <v>3616</v>
      </c>
      <c r="F105" s="16" t="s">
        <v>12671</v>
      </c>
      <c r="G105" s="179" t="s">
        <v>11776</v>
      </c>
      <c r="H105" s="254">
        <v>11242</v>
      </c>
      <c r="I105" s="180">
        <v>27</v>
      </c>
      <c r="J105" s="102">
        <v>243848695</v>
      </c>
      <c r="K105" s="102">
        <f>IFERROR(Table21[[#This Row],[ROUTE COST]]/Table21[[#This Row],[O - DEMAND]],0)</f>
        <v>69255.52257881283</v>
      </c>
      <c r="L105" s="26">
        <v>3521</v>
      </c>
      <c r="M105" s="26">
        <f>IFERROR(VLOOKUP(Table21[[#This Row],[ROUTE]],DEMAND!A:F,5,FALSE),0)</f>
        <v>3639</v>
      </c>
      <c r="N105" s="26">
        <f>IFERROR(VLOOKUP(Table21[[#This Row],[ROUTE]],DEMAND!A:F,6,FALSE),0)</f>
        <v>999</v>
      </c>
      <c r="O105" s="26">
        <f>ROUNDDOWN(Table21[[#This Row],[R-DEMAND]]/1320,0)</f>
        <v>0</v>
      </c>
      <c r="P105" s="26">
        <f>Table21[[#This Row],[ADD ACC]]*Table21[[#This Row],[Duration
(747-400)]]</f>
        <v>0</v>
      </c>
      <c r="Q105" s="284">
        <f>IFERROR(VLOOKUP(Table21[[#This Row],[ROUTE]],PRICING!A:B,2,FALSE),0)</f>
        <v>3244</v>
      </c>
      <c r="R105" s="282">
        <f>Table21[[#This Row],[C_DEMAND]]-Table21[[#This Row],[R-DEMAND]]</f>
        <v>2640</v>
      </c>
      <c r="S105" s="287">
        <f>Table21[[#This Row],[SEATS SOLD]]*Table21[[#This Row],[ECO SEAT]]</f>
        <v>8564160</v>
      </c>
    </row>
    <row r="106" spans="1:19" x14ac:dyDescent="0.25">
      <c r="A106" s="16" t="s">
        <v>16536</v>
      </c>
      <c r="B106" s="16" t="s">
        <v>4964</v>
      </c>
      <c r="C106" s="16" t="s">
        <v>2</v>
      </c>
      <c r="D106" s="16">
        <v>3</v>
      </c>
      <c r="E106" s="16" t="s">
        <v>502</v>
      </c>
      <c r="F106" s="16" t="s">
        <v>12670</v>
      </c>
      <c r="G106" s="179" t="s">
        <v>10765</v>
      </c>
      <c r="H106" s="254">
        <v>6055</v>
      </c>
      <c r="I106" s="180">
        <v>15.5</v>
      </c>
      <c r="J106" s="102">
        <v>206231443</v>
      </c>
      <c r="K106" s="102">
        <f>IFERROR(Table21[[#This Row],[ROUTE COST]]/Table21[[#This Row],[O - DEMAND]],0)</f>
        <v>60231.145735981307</v>
      </c>
      <c r="L106" s="26">
        <v>3424</v>
      </c>
      <c r="M106" s="26">
        <f>IFERROR(VLOOKUP(Table21[[#This Row],[ROUTE]],DEMAND!A:F,5,FALSE),0)</f>
        <v>3629</v>
      </c>
      <c r="N106" s="26">
        <f>IFERROR(VLOOKUP(Table21[[#This Row],[ROUTE]],DEMAND!A:F,6,FALSE),0)</f>
        <v>989</v>
      </c>
      <c r="O106" s="26">
        <f>ROUNDDOWN(Table21[[#This Row],[R-DEMAND]]/1320,0)</f>
        <v>0</v>
      </c>
      <c r="P106" s="26">
        <f>Table21[[#This Row],[ADD ACC]]*Table21[[#This Row],[Duration
(747-400)]]</f>
        <v>0</v>
      </c>
      <c r="Q106" s="284">
        <f>IFERROR(VLOOKUP(Table21[[#This Row],[ROUTE]],PRICING!A:B,2,FALSE),0)</f>
        <v>1637</v>
      </c>
      <c r="R106" s="282">
        <f>Table21[[#This Row],[C_DEMAND]]-Table21[[#This Row],[R-DEMAND]]</f>
        <v>2640</v>
      </c>
      <c r="S106" s="287">
        <f>Table21[[#This Row],[SEATS SOLD]]*Table21[[#This Row],[ECO SEAT]]</f>
        <v>4321680</v>
      </c>
    </row>
    <row r="107" spans="1:19" x14ac:dyDescent="0.25">
      <c r="A107" s="16" t="s">
        <v>16324</v>
      </c>
      <c r="B107" s="16" t="s">
        <v>195</v>
      </c>
      <c r="C107" s="16" t="s">
        <v>2</v>
      </c>
      <c r="D107" s="16">
        <v>5</v>
      </c>
      <c r="E107" s="16" t="s">
        <v>83</v>
      </c>
      <c r="F107" s="16" t="s">
        <v>12674</v>
      </c>
      <c r="G107" s="179" t="s">
        <v>11066</v>
      </c>
      <c r="H107" s="254">
        <v>8155</v>
      </c>
      <c r="I107" s="180">
        <v>20.25</v>
      </c>
      <c r="J107" s="102">
        <v>269323616</v>
      </c>
      <c r="K107" s="102">
        <f>IFERROR(Table21[[#This Row],[ROUTE COST]]/Table21[[#This Row],[O - DEMAND]],0)</f>
        <v>79166.259847148729</v>
      </c>
      <c r="L107" s="26">
        <v>3402</v>
      </c>
      <c r="M107" s="26">
        <f>IFERROR(VLOOKUP(Table21[[#This Row],[ROUTE]],DEMAND!A:F,5,FALSE),0)</f>
        <v>3629</v>
      </c>
      <c r="N107" s="26">
        <f>IFERROR(VLOOKUP(Table21[[#This Row],[ROUTE]],DEMAND!A:F,6,FALSE),0)</f>
        <v>989</v>
      </c>
      <c r="O107" s="26">
        <f>ROUNDDOWN(Table21[[#This Row],[R-DEMAND]]/1320,0)</f>
        <v>0</v>
      </c>
      <c r="P107" s="26">
        <f>Table21[[#This Row],[ADD ACC]]*Table21[[#This Row],[Duration
(747-400)]]</f>
        <v>0</v>
      </c>
      <c r="Q107" s="284">
        <f>IFERROR(VLOOKUP(Table21[[#This Row],[ROUTE]],PRICING!A:B,2,FALSE),0)</f>
        <v>2118</v>
      </c>
      <c r="R107" s="282">
        <f>Table21[[#This Row],[C_DEMAND]]-Table21[[#This Row],[R-DEMAND]]</f>
        <v>2640</v>
      </c>
      <c r="S107" s="287">
        <f>Table21[[#This Row],[SEATS SOLD]]*Table21[[#This Row],[ECO SEAT]]</f>
        <v>5591520</v>
      </c>
    </row>
    <row r="108" spans="1:19" x14ac:dyDescent="0.25">
      <c r="A108" s="16" t="s">
        <v>16170</v>
      </c>
      <c r="B108" s="16" t="s">
        <v>2974</v>
      </c>
      <c r="C108" s="16" t="s">
        <v>2</v>
      </c>
      <c r="D108" s="16">
        <v>2</v>
      </c>
      <c r="E108" s="16" t="s">
        <v>514</v>
      </c>
      <c r="F108" s="16" t="s">
        <v>12688</v>
      </c>
      <c r="G108" s="179" t="s">
        <v>13167</v>
      </c>
      <c r="H108" s="254">
        <v>10115</v>
      </c>
      <c r="I108" s="180">
        <v>24.5</v>
      </c>
      <c r="J108" s="102">
        <v>229660221</v>
      </c>
      <c r="K108" s="102">
        <f>IFERROR(Table21[[#This Row],[ROUTE COST]]/Table21[[#This Row],[O - DEMAND]],0)</f>
        <v>102802.24753804834</v>
      </c>
      <c r="L108" s="26">
        <v>2234</v>
      </c>
      <c r="M108" s="26">
        <f>IFERROR(VLOOKUP(Table21[[#This Row],[ROUTE]],DEMAND!A:F,5,FALSE),0)</f>
        <v>2308</v>
      </c>
      <c r="N108" s="26">
        <f>IFERROR(VLOOKUP(Table21[[#This Row],[ROUTE]],DEMAND!A:F,6,FALSE),0)</f>
        <v>988</v>
      </c>
      <c r="O108" s="26">
        <f>ROUNDDOWN(Table21[[#This Row],[R-DEMAND]]/1320,0)</f>
        <v>0</v>
      </c>
      <c r="P108" s="26">
        <f>Table21[[#This Row],[ADD ACC]]*Table21[[#This Row],[Duration
(747-400)]]</f>
        <v>0</v>
      </c>
      <c r="Q108" s="284">
        <f>IFERROR(VLOOKUP(Table21[[#This Row],[ROUTE]],PRICING!A:B,2,FALSE),0)</f>
        <v>2929</v>
      </c>
      <c r="R108" s="282">
        <f>Table21[[#This Row],[C_DEMAND]]-Table21[[#This Row],[R-DEMAND]]</f>
        <v>1320</v>
      </c>
      <c r="S108" s="287">
        <f>Table21[[#This Row],[SEATS SOLD]]*Table21[[#This Row],[ECO SEAT]]</f>
        <v>3866280</v>
      </c>
    </row>
    <row r="109" spans="1:19" x14ac:dyDescent="0.25">
      <c r="A109" s="16" t="s">
        <v>16535</v>
      </c>
      <c r="B109" s="16" t="s">
        <v>204</v>
      </c>
      <c r="C109" s="16" t="s">
        <v>2</v>
      </c>
      <c r="D109" s="16">
        <v>3</v>
      </c>
      <c r="E109" s="16" t="s">
        <v>78</v>
      </c>
      <c r="F109" s="16" t="s">
        <v>12674</v>
      </c>
      <c r="G109" s="179" t="s">
        <v>11832</v>
      </c>
      <c r="H109" s="254">
        <v>6058</v>
      </c>
      <c r="I109" s="180">
        <v>15.5</v>
      </c>
      <c r="J109" s="102">
        <v>216736742</v>
      </c>
      <c r="K109" s="102">
        <f>IFERROR(Table21[[#This Row],[ROUTE COST]]/Table21[[#This Row],[O - DEMAND]],0)</f>
        <v>61995.635583524025</v>
      </c>
      <c r="L109" s="26">
        <v>3496</v>
      </c>
      <c r="M109" s="26">
        <f>IFERROR(VLOOKUP(Table21[[#This Row],[ROUTE]],DEMAND!A:F,5,FALSE),0)</f>
        <v>3624</v>
      </c>
      <c r="N109" s="26">
        <f>IFERROR(VLOOKUP(Table21[[#This Row],[ROUTE]],DEMAND!A:F,6,FALSE),0)</f>
        <v>984</v>
      </c>
      <c r="O109" s="26">
        <f>ROUNDDOWN(Table21[[#This Row],[R-DEMAND]]/1320,0)</f>
        <v>0</v>
      </c>
      <c r="P109" s="26">
        <f>Table21[[#This Row],[ADD ACC]]*Table21[[#This Row],[Duration
(747-400)]]</f>
        <v>0</v>
      </c>
      <c r="Q109" s="284">
        <f>IFERROR(VLOOKUP(Table21[[#This Row],[ROUTE]],PRICING!A:B,2,FALSE),0)</f>
        <v>1777</v>
      </c>
      <c r="R109" s="282">
        <f>Table21[[#This Row],[C_DEMAND]]-Table21[[#This Row],[R-DEMAND]]</f>
        <v>2640</v>
      </c>
      <c r="S109" s="287">
        <f>Table21[[#This Row],[SEATS SOLD]]*Table21[[#This Row],[ECO SEAT]]</f>
        <v>4691280</v>
      </c>
    </row>
    <row r="110" spans="1:19" x14ac:dyDescent="0.25">
      <c r="A110" s="16" t="s">
        <v>15979</v>
      </c>
      <c r="B110" s="16" t="s">
        <v>353</v>
      </c>
      <c r="C110" s="16" t="s">
        <v>2</v>
      </c>
      <c r="D110" s="16">
        <v>4</v>
      </c>
      <c r="E110" s="16" t="s">
        <v>926</v>
      </c>
      <c r="F110" s="16" t="s">
        <v>12671</v>
      </c>
      <c r="G110" s="179" t="s">
        <v>11094</v>
      </c>
      <c r="H110" s="254">
        <v>12970</v>
      </c>
      <c r="I110" s="180">
        <v>30.75</v>
      </c>
      <c r="J110" s="102">
        <v>289917614</v>
      </c>
      <c r="K110" s="102">
        <f>IFERROR(Table21[[#This Row],[ROUTE COST]]/Table21[[#This Row],[O - DEMAND]],0)</f>
        <v>61086.728613569321</v>
      </c>
      <c r="L110" s="26">
        <v>4746</v>
      </c>
      <c r="M110" s="26">
        <f>IFERROR(VLOOKUP(Table21[[#This Row],[ROUTE]],DEMAND!A:F,5,FALSE),0)</f>
        <v>4936</v>
      </c>
      <c r="N110" s="26">
        <f>IFERROR(VLOOKUP(Table21[[#This Row],[ROUTE]],DEMAND!A:F,6,FALSE),0)</f>
        <v>976</v>
      </c>
      <c r="O110" s="26">
        <f>ROUNDDOWN(Table21[[#This Row],[R-DEMAND]]/1320,0)</f>
        <v>0</v>
      </c>
      <c r="P110" s="26">
        <f>Table21[[#This Row],[ADD ACC]]*Table21[[#This Row],[Duration
(747-400)]]</f>
        <v>0</v>
      </c>
      <c r="Q110" s="284">
        <f>IFERROR(VLOOKUP(Table21[[#This Row],[ROUTE]],PRICING!A:B,2,FALSE),0)</f>
        <v>3643</v>
      </c>
      <c r="R110" s="282">
        <f>Table21[[#This Row],[C_DEMAND]]-Table21[[#This Row],[R-DEMAND]]</f>
        <v>3960</v>
      </c>
      <c r="S110" s="287">
        <f>Table21[[#This Row],[SEATS SOLD]]*Table21[[#This Row],[ECO SEAT]]</f>
        <v>14426280</v>
      </c>
    </row>
    <row r="111" spans="1:19" x14ac:dyDescent="0.25">
      <c r="A111" s="16" t="s">
        <v>16188</v>
      </c>
      <c r="B111" s="16" t="s">
        <v>3799</v>
      </c>
      <c r="C111" s="16" t="s">
        <v>2</v>
      </c>
      <c r="D111" s="16">
        <v>2</v>
      </c>
      <c r="E111" s="16" t="s">
        <v>608</v>
      </c>
      <c r="F111" s="16" t="s">
        <v>12671</v>
      </c>
      <c r="G111" s="179" t="s">
        <v>11678</v>
      </c>
      <c r="H111" s="254">
        <v>9933</v>
      </c>
      <c r="I111" s="180">
        <v>24</v>
      </c>
      <c r="J111" s="102">
        <v>232140243</v>
      </c>
      <c r="K111" s="102">
        <f>IFERROR(Table21[[#This Row],[ROUTE COST]]/Table21[[#This Row],[O - DEMAND]],0)</f>
        <v>66687.803217466251</v>
      </c>
      <c r="L111" s="26">
        <v>3481</v>
      </c>
      <c r="M111" s="26">
        <f>IFERROR(VLOOKUP(Table21[[#This Row],[ROUTE]],DEMAND!A:F,5,FALSE),0)</f>
        <v>3609</v>
      </c>
      <c r="N111" s="26">
        <f>IFERROR(VLOOKUP(Table21[[#This Row],[ROUTE]],DEMAND!A:F,6,FALSE),0)</f>
        <v>969</v>
      </c>
      <c r="O111" s="26">
        <f>ROUNDDOWN(Table21[[#This Row],[R-DEMAND]]/1320,0)</f>
        <v>0</v>
      </c>
      <c r="P111" s="26">
        <f>Table21[[#This Row],[ADD ACC]]*Table21[[#This Row],[Duration
(747-400)]]</f>
        <v>0</v>
      </c>
      <c r="Q111" s="284">
        <f>IFERROR(VLOOKUP(Table21[[#This Row],[ROUTE]],PRICING!A:B,2,FALSE),0)</f>
        <v>2847</v>
      </c>
      <c r="R111" s="282">
        <f>Table21[[#This Row],[C_DEMAND]]-Table21[[#This Row],[R-DEMAND]]</f>
        <v>2640</v>
      </c>
      <c r="S111" s="287">
        <f>Table21[[#This Row],[SEATS SOLD]]*Table21[[#This Row],[ECO SEAT]]</f>
        <v>7516080</v>
      </c>
    </row>
    <row r="112" spans="1:19" x14ac:dyDescent="0.25">
      <c r="A112" s="16" t="s">
        <v>16002</v>
      </c>
      <c r="B112" s="16" t="s">
        <v>3726</v>
      </c>
      <c r="C112" s="16" t="s">
        <v>2</v>
      </c>
      <c r="D112" s="16">
        <v>2</v>
      </c>
      <c r="E112" s="16" t="s">
        <v>3724</v>
      </c>
      <c r="F112" s="16" t="s">
        <v>12671</v>
      </c>
      <c r="G112" s="179" t="s">
        <v>13205</v>
      </c>
      <c r="H112" s="254">
        <v>12367</v>
      </c>
      <c r="I112" s="180">
        <v>29.5</v>
      </c>
      <c r="J112" s="102">
        <v>258478512</v>
      </c>
      <c r="K112" s="102">
        <f>IFERROR(Table21[[#This Row],[ROUTE COST]]/Table21[[#This Row],[O - DEMAND]],0)</f>
        <v>54913.641810070105</v>
      </c>
      <c r="L112" s="26">
        <v>4707</v>
      </c>
      <c r="M112" s="26">
        <f>IFERROR(VLOOKUP(Table21[[#This Row],[ROUTE]],DEMAND!A:F,5,FALSE),0)</f>
        <v>4927</v>
      </c>
      <c r="N112" s="26">
        <f>IFERROR(VLOOKUP(Table21[[#This Row],[ROUTE]],DEMAND!A:F,6,FALSE),0)</f>
        <v>967</v>
      </c>
      <c r="O112" s="26">
        <f>ROUNDDOWN(Table21[[#This Row],[R-DEMAND]]/1320,0)</f>
        <v>0</v>
      </c>
      <c r="P112" s="26">
        <f>Table21[[#This Row],[ADD ACC]]*Table21[[#This Row],[Duration
(747-400)]]</f>
        <v>0</v>
      </c>
      <c r="Q112" s="284">
        <f>IFERROR(VLOOKUP(Table21[[#This Row],[ROUTE]],PRICING!A:B,2,FALSE),0)</f>
        <v>3399</v>
      </c>
      <c r="R112" s="282">
        <f>Table21[[#This Row],[C_DEMAND]]-Table21[[#This Row],[R-DEMAND]]</f>
        <v>3960</v>
      </c>
      <c r="S112" s="287">
        <f>Table21[[#This Row],[SEATS SOLD]]*Table21[[#This Row],[ECO SEAT]]</f>
        <v>13460040</v>
      </c>
    </row>
    <row r="113" spans="1:19" x14ac:dyDescent="0.25">
      <c r="A113" s="251" t="s">
        <v>16734</v>
      </c>
      <c r="B113" s="251" t="s">
        <v>95</v>
      </c>
      <c r="C113" s="16" t="s">
        <v>2</v>
      </c>
      <c r="D113" s="251">
        <v>4</v>
      </c>
      <c r="E113" s="251" t="s">
        <v>14</v>
      </c>
      <c r="F113" s="251" t="s">
        <v>12670</v>
      </c>
      <c r="G113" s="252" t="s">
        <v>94</v>
      </c>
      <c r="H113" s="254">
        <v>605</v>
      </c>
      <c r="I113" s="180">
        <v>3.5</v>
      </c>
      <c r="J113" s="102">
        <v>164346803</v>
      </c>
      <c r="K113" s="253">
        <f>IFERROR(Table21[[#This Row],[ROUTE COST]]/Table21[[#This Row],[O - DEMAND]],0)</f>
        <v>48068.675928634104</v>
      </c>
      <c r="L113" s="26">
        <v>3419</v>
      </c>
      <c r="M113" s="26">
        <f>IFERROR(VLOOKUP(Table21[[#This Row],[ROUTE]],DEMAND!A:F,5,FALSE),0)</f>
        <v>3604</v>
      </c>
      <c r="N113" s="26">
        <f>IFERROR(VLOOKUP(Table21[[#This Row],[ROUTE]],DEMAND!A:F,6,FALSE),0)</f>
        <v>964</v>
      </c>
      <c r="O113" s="26">
        <f>ROUNDDOWN(Table21[[#This Row],[R-DEMAND]]/1320,0)</f>
        <v>0</v>
      </c>
      <c r="P113" s="26">
        <f>Table21[[#This Row],[ADD ACC]]*Table21[[#This Row],[Duration
(747-400)]]</f>
        <v>0</v>
      </c>
      <c r="Q113" s="284">
        <f>IFERROR(VLOOKUP(Table21[[#This Row],[ROUTE]],PRICING!A:B,2,FALSE),0)</f>
        <v>257</v>
      </c>
      <c r="R113" s="282">
        <f>Table21[[#This Row],[C_DEMAND]]-Table21[[#This Row],[R-DEMAND]]</f>
        <v>2640</v>
      </c>
      <c r="S113" s="287">
        <f>Table21[[#This Row],[SEATS SOLD]]*Table21[[#This Row],[ECO SEAT]]</f>
        <v>678480</v>
      </c>
    </row>
    <row r="114" spans="1:19" x14ac:dyDescent="0.25">
      <c r="A114" s="16" t="s">
        <v>16467</v>
      </c>
      <c r="B114" s="16" t="s">
        <v>5395</v>
      </c>
      <c r="C114" s="16" t="s">
        <v>2</v>
      </c>
      <c r="D114" s="16">
        <v>3</v>
      </c>
      <c r="E114" s="16" t="s">
        <v>5393</v>
      </c>
      <c r="F114" s="16" t="s">
        <v>12670</v>
      </c>
      <c r="G114" s="179" t="s">
        <v>11877</v>
      </c>
      <c r="H114" s="254">
        <v>6987</v>
      </c>
      <c r="I114" s="180">
        <v>17.5</v>
      </c>
      <c r="J114" s="102">
        <v>224828198</v>
      </c>
      <c r="K114" s="102">
        <f>IFERROR(Table21[[#This Row],[ROUTE COST]]/Table21[[#This Row],[O - DEMAND]],0)</f>
        <v>65739.239181286554</v>
      </c>
      <c r="L114" s="26">
        <v>3420</v>
      </c>
      <c r="M114" s="26">
        <f>IFERROR(VLOOKUP(Table21[[#This Row],[ROUTE]],DEMAND!A:F,5,FALSE),0)</f>
        <v>3602</v>
      </c>
      <c r="N114" s="26">
        <f>IFERROR(VLOOKUP(Table21[[#This Row],[ROUTE]],DEMAND!A:F,6,FALSE),0)</f>
        <v>962</v>
      </c>
      <c r="O114" s="26">
        <f>ROUNDDOWN(Table21[[#This Row],[R-DEMAND]]/1320,0)</f>
        <v>0</v>
      </c>
      <c r="P114" s="26">
        <f>Table21[[#This Row],[ADD ACC]]*Table21[[#This Row],[Duration
(747-400)]]</f>
        <v>0</v>
      </c>
      <c r="Q114" s="284">
        <f>IFERROR(VLOOKUP(Table21[[#This Row],[ROUTE]],PRICING!A:B,2,FALSE),0)</f>
        <v>1919</v>
      </c>
      <c r="R114" s="282">
        <f>Table21[[#This Row],[C_DEMAND]]-Table21[[#This Row],[R-DEMAND]]</f>
        <v>2640</v>
      </c>
      <c r="S114" s="287">
        <f>Table21[[#This Row],[SEATS SOLD]]*Table21[[#This Row],[ECO SEAT]]</f>
        <v>5066160</v>
      </c>
    </row>
    <row r="115" spans="1:19" x14ac:dyDescent="0.25">
      <c r="A115" s="16" t="s">
        <v>16372</v>
      </c>
      <c r="B115" s="16" t="s">
        <v>306</v>
      </c>
      <c r="C115" s="16" t="s">
        <v>2</v>
      </c>
      <c r="D115" s="16">
        <v>5</v>
      </c>
      <c r="E115" s="16" t="s">
        <v>1427</v>
      </c>
      <c r="F115" s="16" t="s">
        <v>12674</v>
      </c>
      <c r="G115" s="179" t="s">
        <v>11086</v>
      </c>
      <c r="H115" s="254">
        <v>7789</v>
      </c>
      <c r="I115" s="180">
        <v>19.5</v>
      </c>
      <c r="J115" s="102">
        <v>265853774</v>
      </c>
      <c r="K115" s="102">
        <f>IFERROR(Table21[[#This Row],[ROUTE COST]]/Table21[[#This Row],[O - DEMAND]],0)</f>
        <v>78146.318048206944</v>
      </c>
      <c r="L115" s="26">
        <v>3402</v>
      </c>
      <c r="M115" s="26">
        <f>IFERROR(VLOOKUP(Table21[[#This Row],[ROUTE]],DEMAND!A:F,5,FALSE),0)</f>
        <v>3584</v>
      </c>
      <c r="N115" s="26">
        <f>IFERROR(VLOOKUP(Table21[[#This Row],[ROUTE]],DEMAND!A:F,6,FALSE),0)</f>
        <v>944</v>
      </c>
      <c r="O115" s="26">
        <f>ROUNDDOWN(Table21[[#This Row],[R-DEMAND]]/1320,0)</f>
        <v>0</v>
      </c>
      <c r="P115" s="26">
        <f>Table21[[#This Row],[ADD ACC]]*Table21[[#This Row],[Duration
(747-400)]]</f>
        <v>0</v>
      </c>
      <c r="Q115" s="284">
        <f>IFERROR(VLOOKUP(Table21[[#This Row],[ROUTE]],PRICING!A:B,2,FALSE),0)</f>
        <v>2128</v>
      </c>
      <c r="R115" s="282">
        <f>Table21[[#This Row],[C_DEMAND]]-Table21[[#This Row],[R-DEMAND]]</f>
        <v>2640</v>
      </c>
      <c r="S115" s="287">
        <f>Table21[[#This Row],[SEATS SOLD]]*Table21[[#This Row],[ECO SEAT]]</f>
        <v>5617920</v>
      </c>
    </row>
    <row r="116" spans="1:19" x14ac:dyDescent="0.25">
      <c r="A116" s="16" t="s">
        <v>16273</v>
      </c>
      <c r="B116" s="16" t="s">
        <v>5068</v>
      </c>
      <c r="C116" s="16" t="s">
        <v>2</v>
      </c>
      <c r="D116" s="16">
        <v>3</v>
      </c>
      <c r="E116" s="16" t="s">
        <v>971</v>
      </c>
      <c r="F116" s="16" t="s">
        <v>12671</v>
      </c>
      <c r="G116" s="179" t="s">
        <v>11777</v>
      </c>
      <c r="H116" s="254">
        <v>8819</v>
      </c>
      <c r="I116" s="180">
        <v>21.75</v>
      </c>
      <c r="J116" s="102">
        <v>234875497</v>
      </c>
      <c r="K116" s="102">
        <f>IFERROR(Table21[[#This Row],[ROUTE COST]]/Table21[[#This Row],[O - DEMAND]],0)</f>
        <v>68436.916375291374</v>
      </c>
      <c r="L116" s="26">
        <v>3432</v>
      </c>
      <c r="M116" s="26">
        <f>IFERROR(VLOOKUP(Table21[[#This Row],[ROUTE]],DEMAND!A:F,5,FALSE),0)</f>
        <v>3581</v>
      </c>
      <c r="N116" s="26">
        <f>IFERROR(VLOOKUP(Table21[[#This Row],[ROUTE]],DEMAND!A:F,6,FALSE),0)</f>
        <v>941</v>
      </c>
      <c r="O116" s="26">
        <f>ROUNDDOWN(Table21[[#This Row],[R-DEMAND]]/1320,0)</f>
        <v>0</v>
      </c>
      <c r="P116" s="26">
        <f>Table21[[#This Row],[ADD ACC]]*Table21[[#This Row],[Duration
(747-400)]]</f>
        <v>0</v>
      </c>
      <c r="Q116" s="284">
        <f>IFERROR(VLOOKUP(Table21[[#This Row],[ROUTE]],PRICING!A:B,2,FALSE),0)</f>
        <v>2482</v>
      </c>
      <c r="R116" s="282">
        <f>Table21[[#This Row],[C_DEMAND]]-Table21[[#This Row],[R-DEMAND]]</f>
        <v>2640</v>
      </c>
      <c r="S116" s="287">
        <f>Table21[[#This Row],[SEATS SOLD]]*Table21[[#This Row],[ECO SEAT]]</f>
        <v>6552480</v>
      </c>
    </row>
    <row r="117" spans="1:19" x14ac:dyDescent="0.25">
      <c r="A117" s="16" t="s">
        <v>16561</v>
      </c>
      <c r="B117" s="16" t="s">
        <v>4935</v>
      </c>
      <c r="C117" s="16" t="s">
        <v>2</v>
      </c>
      <c r="D117" s="16">
        <v>3</v>
      </c>
      <c r="E117" s="16" t="s">
        <v>502</v>
      </c>
      <c r="F117" s="16" t="s">
        <v>12670</v>
      </c>
      <c r="G117" s="179" t="s">
        <v>11947</v>
      </c>
      <c r="H117" s="254">
        <v>5723</v>
      </c>
      <c r="I117" s="180">
        <v>14.75</v>
      </c>
      <c r="J117" s="102">
        <v>201554909</v>
      </c>
      <c r="K117" s="102">
        <f>IFERROR(Table21[[#This Row],[ROUTE COST]]/Table21[[#This Row],[O - DEMAND]],0)</f>
        <v>59193.805873715122</v>
      </c>
      <c r="L117" s="26">
        <v>3405</v>
      </c>
      <c r="M117" s="26">
        <f>IFERROR(VLOOKUP(Table21[[#This Row],[ROUTE]],DEMAND!A:F,5,FALSE),0)</f>
        <v>3575</v>
      </c>
      <c r="N117" s="26">
        <f>IFERROR(VLOOKUP(Table21[[#This Row],[ROUTE]],DEMAND!A:F,6,FALSE),0)</f>
        <v>935</v>
      </c>
      <c r="O117" s="26">
        <f>ROUNDDOWN(Table21[[#This Row],[R-DEMAND]]/1320,0)</f>
        <v>0</v>
      </c>
      <c r="P117" s="26">
        <f>Table21[[#This Row],[ADD ACC]]*Table21[[#This Row],[Duration
(747-400)]]</f>
        <v>0</v>
      </c>
      <c r="Q117" s="284">
        <f>IFERROR(VLOOKUP(Table21[[#This Row],[ROUTE]],PRICING!A:B,2,FALSE),0)</f>
        <v>1609</v>
      </c>
      <c r="R117" s="282">
        <f>Table21[[#This Row],[C_DEMAND]]-Table21[[#This Row],[R-DEMAND]]</f>
        <v>2640</v>
      </c>
      <c r="S117" s="287">
        <f>Table21[[#This Row],[SEATS SOLD]]*Table21[[#This Row],[ECO SEAT]]</f>
        <v>4247760</v>
      </c>
    </row>
    <row r="118" spans="1:19" x14ac:dyDescent="0.25">
      <c r="A118" s="16" t="s">
        <v>16590</v>
      </c>
      <c r="B118" s="16" t="s">
        <v>414</v>
      </c>
      <c r="C118" s="16" t="s">
        <v>2</v>
      </c>
      <c r="D118" s="16">
        <v>4</v>
      </c>
      <c r="E118" s="16" t="s">
        <v>1070</v>
      </c>
      <c r="F118" s="16" t="s">
        <v>12670</v>
      </c>
      <c r="G118" s="179" t="s">
        <v>12064</v>
      </c>
      <c r="H118" s="254">
        <v>4823</v>
      </c>
      <c r="I118" s="180">
        <v>12.75</v>
      </c>
      <c r="J118" s="102">
        <v>213104541</v>
      </c>
      <c r="K118" s="102">
        <f>IFERROR(Table21[[#This Row],[ROUTE COST]]/Table21[[#This Row],[O - DEMAND]],0)</f>
        <v>46347.225097868635</v>
      </c>
      <c r="L118" s="26">
        <v>4598</v>
      </c>
      <c r="M118" s="26">
        <f>IFERROR(VLOOKUP(Table21[[#This Row],[ROUTE]],DEMAND!A:F,5,FALSE),0)</f>
        <v>4889</v>
      </c>
      <c r="N118" s="26">
        <f>IFERROR(VLOOKUP(Table21[[#This Row],[ROUTE]],DEMAND!A:F,6,FALSE),0)</f>
        <v>929</v>
      </c>
      <c r="O118" s="26">
        <f>ROUNDDOWN(Table21[[#This Row],[R-DEMAND]]/1320,0)</f>
        <v>0</v>
      </c>
      <c r="P118" s="26">
        <f>Table21[[#This Row],[ADD ACC]]*Table21[[#This Row],[Duration
(747-400)]]</f>
        <v>0</v>
      </c>
      <c r="Q118" s="284">
        <f>IFERROR(VLOOKUP(Table21[[#This Row],[ROUTE]],PRICING!A:B,2,FALSE),0)</f>
        <v>1308</v>
      </c>
      <c r="R118" s="282">
        <f>Table21[[#This Row],[C_DEMAND]]-Table21[[#This Row],[R-DEMAND]]</f>
        <v>3960</v>
      </c>
      <c r="S118" s="287">
        <f>Table21[[#This Row],[SEATS SOLD]]*Table21[[#This Row],[ECO SEAT]]</f>
        <v>5179680</v>
      </c>
    </row>
    <row r="119" spans="1:19" x14ac:dyDescent="0.25">
      <c r="A119" s="16" t="s">
        <v>16203</v>
      </c>
      <c r="B119" s="16" t="s">
        <v>3705</v>
      </c>
      <c r="C119" s="16" t="s">
        <v>2</v>
      </c>
      <c r="D119" s="16">
        <v>2</v>
      </c>
      <c r="E119" s="16" t="s">
        <v>608</v>
      </c>
      <c r="F119" s="16" t="s">
        <v>12671</v>
      </c>
      <c r="G119" s="179" t="s">
        <v>11692</v>
      </c>
      <c r="H119" s="254">
        <v>9631</v>
      </c>
      <c r="I119" s="180">
        <v>23.5</v>
      </c>
      <c r="J119" s="102">
        <v>228373877</v>
      </c>
      <c r="K119" s="102">
        <f>IFERROR(Table21[[#This Row],[ROUTE COST]]/Table21[[#This Row],[O - DEMAND]],0)</f>
        <v>66137.815522733858</v>
      </c>
      <c r="L119" s="26">
        <v>3453</v>
      </c>
      <c r="M119" s="26">
        <f>IFERROR(VLOOKUP(Table21[[#This Row],[ROUTE]],DEMAND!A:F,5,FALSE),0)</f>
        <v>3569</v>
      </c>
      <c r="N119" s="26">
        <f>IFERROR(VLOOKUP(Table21[[#This Row],[ROUTE]],DEMAND!A:F,6,FALSE),0)</f>
        <v>929</v>
      </c>
      <c r="O119" s="26">
        <f>ROUNDDOWN(Table21[[#This Row],[R-DEMAND]]/1320,0)</f>
        <v>0</v>
      </c>
      <c r="P119" s="26">
        <f>Table21[[#This Row],[ADD ACC]]*Table21[[#This Row],[Duration
(747-400)]]</f>
        <v>0</v>
      </c>
      <c r="Q119" s="284">
        <f>IFERROR(VLOOKUP(Table21[[#This Row],[ROUTE]],PRICING!A:B,2,FALSE),0)</f>
        <v>2794</v>
      </c>
      <c r="R119" s="282">
        <f>Table21[[#This Row],[C_DEMAND]]-Table21[[#This Row],[R-DEMAND]]</f>
        <v>2640</v>
      </c>
      <c r="S119" s="287">
        <f>Table21[[#This Row],[SEATS SOLD]]*Table21[[#This Row],[ECO SEAT]]</f>
        <v>7376160</v>
      </c>
    </row>
    <row r="120" spans="1:19" x14ac:dyDescent="0.25">
      <c r="A120" s="16" t="s">
        <v>16654</v>
      </c>
      <c r="B120" s="16" t="s">
        <v>373</v>
      </c>
      <c r="C120" s="16" t="s">
        <v>2</v>
      </c>
      <c r="D120" s="16">
        <v>3</v>
      </c>
      <c r="E120" s="16" t="s">
        <v>717</v>
      </c>
      <c r="F120" s="16" t="s">
        <v>12670</v>
      </c>
      <c r="G120" s="179" t="s">
        <v>12093</v>
      </c>
      <c r="H120" s="254">
        <v>3390</v>
      </c>
      <c r="I120" s="180">
        <v>9.75</v>
      </c>
      <c r="J120" s="102">
        <v>190731597</v>
      </c>
      <c r="K120" s="102">
        <f>IFERROR(Table21[[#This Row],[ROUTE COST]]/Table21[[#This Row],[O - DEMAND]],0)</f>
        <v>40615.757453151622</v>
      </c>
      <c r="L120" s="26">
        <v>4696</v>
      </c>
      <c r="M120" s="26">
        <f>IFERROR(VLOOKUP(Table21[[#This Row],[ROUTE]],DEMAND!A:F,5,FALSE),0)</f>
        <v>4885</v>
      </c>
      <c r="N120" s="26">
        <f>IFERROR(VLOOKUP(Table21[[#This Row],[ROUTE]],DEMAND!A:F,6,FALSE),0)</f>
        <v>925</v>
      </c>
      <c r="O120" s="26">
        <f>ROUNDDOWN(Table21[[#This Row],[R-DEMAND]]/1320,0)</f>
        <v>0</v>
      </c>
      <c r="P120" s="26">
        <f>Table21[[#This Row],[ADD ACC]]*Table21[[#This Row],[Duration
(747-400)]]</f>
        <v>0</v>
      </c>
      <c r="Q120" s="284">
        <f>IFERROR(VLOOKUP(Table21[[#This Row],[ROUTE]],PRICING!A:B,2,FALSE),0)</f>
        <v>1029</v>
      </c>
      <c r="R120" s="282">
        <f>Table21[[#This Row],[C_DEMAND]]-Table21[[#This Row],[R-DEMAND]]</f>
        <v>3960</v>
      </c>
      <c r="S120" s="287">
        <f>Table21[[#This Row],[SEATS SOLD]]*Table21[[#This Row],[ECO SEAT]]</f>
        <v>4074840</v>
      </c>
    </row>
    <row r="121" spans="1:19" x14ac:dyDescent="0.25">
      <c r="A121" s="16" t="s">
        <v>16633</v>
      </c>
      <c r="B121" s="16" t="s">
        <v>198</v>
      </c>
      <c r="C121" s="16" t="s">
        <v>2</v>
      </c>
      <c r="D121" s="16">
        <v>3</v>
      </c>
      <c r="E121" s="16" t="s">
        <v>197</v>
      </c>
      <c r="F121" s="16" t="s">
        <v>12670</v>
      </c>
      <c r="G121" s="179" t="s">
        <v>12017</v>
      </c>
      <c r="H121" s="254">
        <v>3884</v>
      </c>
      <c r="I121" s="180">
        <v>10.75</v>
      </c>
      <c r="J121" s="102">
        <v>189140471</v>
      </c>
      <c r="K121" s="102">
        <f>IFERROR(Table21[[#This Row],[ROUTE COST]]/Table21[[#This Row],[O - DEMAND]],0)</f>
        <v>40225.536154827736</v>
      </c>
      <c r="L121" s="26">
        <v>4702</v>
      </c>
      <c r="M121" s="26">
        <f>IFERROR(VLOOKUP(Table21[[#This Row],[ROUTE]],DEMAND!A:F,5,FALSE),0)</f>
        <v>4875</v>
      </c>
      <c r="N121" s="26">
        <f>IFERROR(VLOOKUP(Table21[[#This Row],[ROUTE]],DEMAND!A:F,6,FALSE),0)</f>
        <v>915</v>
      </c>
      <c r="O121" s="26">
        <f>ROUNDDOWN(Table21[[#This Row],[R-DEMAND]]/1320,0)</f>
        <v>0</v>
      </c>
      <c r="P121" s="26">
        <f>Table21[[#This Row],[ADD ACC]]*Table21[[#This Row],[Duration
(747-400)]]</f>
        <v>0</v>
      </c>
      <c r="Q121" s="284">
        <f>IFERROR(VLOOKUP(Table21[[#This Row],[ROUTE]],PRICING!A:B,2,FALSE),0)</f>
        <v>1178</v>
      </c>
      <c r="R121" s="282">
        <f>Table21[[#This Row],[C_DEMAND]]-Table21[[#This Row],[R-DEMAND]]</f>
        <v>3960</v>
      </c>
      <c r="S121" s="287">
        <f>Table21[[#This Row],[SEATS SOLD]]*Table21[[#This Row],[ECO SEAT]]</f>
        <v>4664880</v>
      </c>
    </row>
    <row r="122" spans="1:19" x14ac:dyDescent="0.25">
      <c r="A122" s="16" t="s">
        <v>16468</v>
      </c>
      <c r="B122" s="16" t="s">
        <v>140</v>
      </c>
      <c r="C122" s="16" t="s">
        <v>2</v>
      </c>
      <c r="D122" s="16">
        <v>4</v>
      </c>
      <c r="E122" s="16" t="s">
        <v>605</v>
      </c>
      <c r="F122" s="16" t="s">
        <v>12674</v>
      </c>
      <c r="G122" s="179" t="s">
        <v>11051</v>
      </c>
      <c r="H122" s="254">
        <v>6984</v>
      </c>
      <c r="I122" s="180">
        <v>17.5</v>
      </c>
      <c r="J122" s="102">
        <v>242009568</v>
      </c>
      <c r="K122" s="102">
        <f>IFERROR(Table21[[#This Row],[ROUTE COST]]/Table21[[#This Row],[O - DEMAND]],0)</f>
        <v>71962.404995539691</v>
      </c>
      <c r="L122" s="26">
        <v>3363</v>
      </c>
      <c r="M122" s="26">
        <f>IFERROR(VLOOKUP(Table21[[#This Row],[ROUTE]],DEMAND!A:F,5,FALSE),0)</f>
        <v>3554</v>
      </c>
      <c r="N122" s="26">
        <f>IFERROR(VLOOKUP(Table21[[#This Row],[ROUTE]],DEMAND!A:F,6,FALSE),0)</f>
        <v>914</v>
      </c>
      <c r="O122" s="26">
        <f>ROUNDDOWN(Table21[[#This Row],[R-DEMAND]]/1320,0)</f>
        <v>0</v>
      </c>
      <c r="P122" s="26">
        <f>Table21[[#This Row],[ADD ACC]]*Table21[[#This Row],[Duration
(747-400)]]</f>
        <v>0</v>
      </c>
      <c r="Q122" s="284">
        <f>IFERROR(VLOOKUP(Table21[[#This Row],[ROUTE]],PRICING!A:B,2,FALSE),0)</f>
        <v>1896</v>
      </c>
      <c r="R122" s="282">
        <f>Table21[[#This Row],[C_DEMAND]]-Table21[[#This Row],[R-DEMAND]]</f>
        <v>2640</v>
      </c>
      <c r="S122" s="287">
        <f>Table21[[#This Row],[SEATS SOLD]]*Table21[[#This Row],[ECO SEAT]]</f>
        <v>5005440</v>
      </c>
    </row>
    <row r="123" spans="1:19" x14ac:dyDescent="0.25">
      <c r="A123" s="16" t="s">
        <v>16201</v>
      </c>
      <c r="B123" s="16" t="s">
        <v>193</v>
      </c>
      <c r="C123" s="16" t="s">
        <v>2</v>
      </c>
      <c r="D123" s="16">
        <v>4</v>
      </c>
      <c r="E123" s="16" t="s">
        <v>733</v>
      </c>
      <c r="F123" s="16" t="s">
        <v>12674</v>
      </c>
      <c r="G123" s="179" t="s">
        <v>11065</v>
      </c>
      <c r="H123" s="254">
        <v>9659</v>
      </c>
      <c r="I123" s="180">
        <v>23.5</v>
      </c>
      <c r="J123" s="102">
        <v>262997314</v>
      </c>
      <c r="K123" s="102">
        <f>IFERROR(Table21[[#This Row],[ROUTE COST]]/Table21[[#This Row],[O - DEMAND]],0)</f>
        <v>76787.536934306569</v>
      </c>
      <c r="L123" s="26">
        <v>3425</v>
      </c>
      <c r="M123" s="26">
        <f>IFERROR(VLOOKUP(Table21[[#This Row],[ROUTE]],DEMAND!A:F,5,FALSE),0)</f>
        <v>3551</v>
      </c>
      <c r="N123" s="26">
        <f>IFERROR(VLOOKUP(Table21[[#This Row],[ROUTE]],DEMAND!A:F,6,FALSE),0)</f>
        <v>911</v>
      </c>
      <c r="O123" s="26">
        <f>ROUNDDOWN(Table21[[#This Row],[R-DEMAND]]/1320,0)</f>
        <v>0</v>
      </c>
      <c r="P123" s="26">
        <f>Table21[[#This Row],[ADD ACC]]*Table21[[#This Row],[Duration
(747-400)]]</f>
        <v>0</v>
      </c>
      <c r="Q123" s="284">
        <f>IFERROR(VLOOKUP(Table21[[#This Row],[ROUTE]],PRICING!A:B,2,FALSE),0)</f>
        <v>2771</v>
      </c>
      <c r="R123" s="282">
        <f>Table21[[#This Row],[C_DEMAND]]-Table21[[#This Row],[R-DEMAND]]</f>
        <v>2640</v>
      </c>
      <c r="S123" s="287">
        <f>Table21[[#This Row],[SEATS SOLD]]*Table21[[#This Row],[ECO SEAT]]</f>
        <v>7315440</v>
      </c>
    </row>
    <row r="124" spans="1:19" x14ac:dyDescent="0.25">
      <c r="A124" s="16" t="s">
        <v>16078</v>
      </c>
      <c r="B124" s="16" t="s">
        <v>4324</v>
      </c>
      <c r="C124" s="16" t="s">
        <v>2</v>
      </c>
      <c r="D124" s="16">
        <v>2</v>
      </c>
      <c r="E124" s="16" t="s">
        <v>11782</v>
      </c>
      <c r="F124" s="16" t="s">
        <v>12671</v>
      </c>
      <c r="G124" s="179" t="s">
        <v>11783</v>
      </c>
      <c r="H124" s="254">
        <v>11140</v>
      </c>
      <c r="I124" s="180">
        <v>26.75</v>
      </c>
      <c r="J124" s="102">
        <v>250303283</v>
      </c>
      <c r="K124" s="102">
        <f>IFERROR(Table21[[#This Row],[ROUTE COST]]/Table21[[#This Row],[O - DEMAND]],0)</f>
        <v>53817.089443130506</v>
      </c>
      <c r="L124" s="26">
        <v>4651</v>
      </c>
      <c r="M124" s="26">
        <f>IFERROR(VLOOKUP(Table21[[#This Row],[ROUTE]],DEMAND!A:F,5,FALSE),0)</f>
        <v>4869</v>
      </c>
      <c r="N124" s="26">
        <f>IFERROR(VLOOKUP(Table21[[#This Row],[ROUTE]],DEMAND!A:F,6,FALSE),0)</f>
        <v>909</v>
      </c>
      <c r="O124" s="26">
        <f>ROUNDDOWN(Table21[[#This Row],[R-DEMAND]]/1320,0)</f>
        <v>0</v>
      </c>
      <c r="P124" s="26">
        <f>Table21[[#This Row],[ADD ACC]]*Table21[[#This Row],[Duration
(747-400)]]</f>
        <v>0</v>
      </c>
      <c r="Q124" s="284">
        <f>IFERROR(VLOOKUP(Table21[[#This Row],[ROUTE]],PRICING!A:B,2,FALSE),0)</f>
        <v>3072</v>
      </c>
      <c r="R124" s="282">
        <f>Table21[[#This Row],[C_DEMAND]]-Table21[[#This Row],[R-DEMAND]]</f>
        <v>3960</v>
      </c>
      <c r="S124" s="287">
        <f>Table21[[#This Row],[SEATS SOLD]]*Table21[[#This Row],[ECO SEAT]]</f>
        <v>12165120</v>
      </c>
    </row>
    <row r="125" spans="1:19" x14ac:dyDescent="0.25">
      <c r="A125" s="16" t="s">
        <v>15972</v>
      </c>
      <c r="B125" s="16" t="s">
        <v>3461</v>
      </c>
      <c r="C125" s="16" t="s">
        <v>2</v>
      </c>
      <c r="D125" s="16">
        <v>2</v>
      </c>
      <c r="E125" s="16" t="s">
        <v>3350</v>
      </c>
      <c r="F125" s="16" t="s">
        <v>12688</v>
      </c>
      <c r="G125" s="179" t="s">
        <v>13211</v>
      </c>
      <c r="H125" s="254">
        <v>13354</v>
      </c>
      <c r="I125" s="180">
        <v>31.75</v>
      </c>
      <c r="J125" s="102">
        <v>263580429</v>
      </c>
      <c r="K125" s="102">
        <f>IFERROR(Table21[[#This Row],[ROUTE COST]]/Table21[[#This Row],[O - DEMAND]],0)</f>
        <v>77752.338938053101</v>
      </c>
      <c r="L125" s="26">
        <v>3390</v>
      </c>
      <c r="M125" s="26">
        <f>IFERROR(VLOOKUP(Table21[[#This Row],[ROUTE]],DEMAND!A:F,5,FALSE),0)</f>
        <v>3549</v>
      </c>
      <c r="N125" s="26">
        <f>IFERROR(VLOOKUP(Table21[[#This Row],[ROUTE]],DEMAND!A:F,6,FALSE),0)</f>
        <v>909</v>
      </c>
      <c r="O125" s="26">
        <f>ROUNDDOWN(Table21[[#This Row],[R-DEMAND]]/1320,0)</f>
        <v>0</v>
      </c>
      <c r="P125" s="26">
        <f>Table21[[#This Row],[ADD ACC]]*Table21[[#This Row],[Duration
(747-400)]]</f>
        <v>0</v>
      </c>
      <c r="Q125" s="284">
        <f>IFERROR(VLOOKUP(Table21[[#This Row],[ROUTE]],PRICING!A:B,2,FALSE),0)</f>
        <v>3662</v>
      </c>
      <c r="R125" s="282">
        <f>Table21[[#This Row],[C_DEMAND]]-Table21[[#This Row],[R-DEMAND]]</f>
        <v>2640</v>
      </c>
      <c r="S125" s="287">
        <f>Table21[[#This Row],[SEATS SOLD]]*Table21[[#This Row],[ECO SEAT]]</f>
        <v>9667680</v>
      </c>
    </row>
    <row r="126" spans="1:19" x14ac:dyDescent="0.25">
      <c r="A126" s="251" t="s">
        <v>16733</v>
      </c>
      <c r="B126" s="251" t="s">
        <v>5489</v>
      </c>
      <c r="C126" s="16" t="s">
        <v>2</v>
      </c>
      <c r="D126" s="251">
        <v>4</v>
      </c>
      <c r="E126" s="251" t="s">
        <v>14</v>
      </c>
      <c r="F126" s="251" t="s">
        <v>12670</v>
      </c>
      <c r="G126" s="252" t="s">
        <v>11098</v>
      </c>
      <c r="H126" s="254">
        <v>664</v>
      </c>
      <c r="I126" s="180">
        <v>3.5</v>
      </c>
      <c r="J126" s="102">
        <v>164720579</v>
      </c>
      <c r="K126" s="253">
        <f>IFERROR(Table21[[#This Row],[ROUTE COST]]/Table21[[#This Row],[O - DEMAND]],0)</f>
        <v>48276.840269636574</v>
      </c>
      <c r="L126" s="26">
        <v>3412</v>
      </c>
      <c r="M126" s="26">
        <f>IFERROR(VLOOKUP(Table21[[#This Row],[ROUTE]],DEMAND!A:F,5,FALSE),0)</f>
        <v>3548</v>
      </c>
      <c r="N126" s="26">
        <f>IFERROR(VLOOKUP(Table21[[#This Row],[ROUTE]],DEMAND!A:F,6,FALSE),0)</f>
        <v>908</v>
      </c>
      <c r="O126" s="26">
        <f>ROUNDDOWN(Table21[[#This Row],[R-DEMAND]]/1320,0)</f>
        <v>0</v>
      </c>
      <c r="P126" s="26">
        <f>Table21[[#This Row],[ADD ACC]]*Table21[[#This Row],[Duration
(747-400)]]</f>
        <v>0</v>
      </c>
      <c r="Q126" s="284">
        <f>IFERROR(VLOOKUP(Table21[[#This Row],[ROUTE]],PRICING!A:B,2,FALSE),0)</f>
        <v>286</v>
      </c>
      <c r="R126" s="282">
        <f>Table21[[#This Row],[C_DEMAND]]-Table21[[#This Row],[R-DEMAND]]</f>
        <v>2640</v>
      </c>
      <c r="S126" s="287">
        <f>Table21[[#This Row],[SEATS SOLD]]*Table21[[#This Row],[ECO SEAT]]</f>
        <v>755040</v>
      </c>
    </row>
    <row r="127" spans="1:19" x14ac:dyDescent="0.25">
      <c r="A127" s="16" t="s">
        <v>16245</v>
      </c>
      <c r="B127" s="16" t="s">
        <v>185</v>
      </c>
      <c r="C127" s="16" t="s">
        <v>2</v>
      </c>
      <c r="D127" s="16">
        <v>5</v>
      </c>
      <c r="E127" s="16" t="s">
        <v>119</v>
      </c>
      <c r="F127" s="16" t="s">
        <v>12674</v>
      </c>
      <c r="G127" s="179" t="s">
        <v>11061</v>
      </c>
      <c r="H127" s="254">
        <v>9206</v>
      </c>
      <c r="I127" s="180">
        <v>22.5</v>
      </c>
      <c r="J127" s="102">
        <v>280497584</v>
      </c>
      <c r="K127" s="102">
        <f>IFERROR(Table21[[#This Row],[ROUTE COST]]/Table21[[#This Row],[O - DEMAND]],0)</f>
        <v>82742.650147492619</v>
      </c>
      <c r="L127" s="26">
        <v>3390</v>
      </c>
      <c r="M127" s="26">
        <f>IFERROR(VLOOKUP(Table21[[#This Row],[ROUTE]],DEMAND!A:F,5,FALSE),0)</f>
        <v>3548</v>
      </c>
      <c r="N127" s="26">
        <f>IFERROR(VLOOKUP(Table21[[#This Row],[ROUTE]],DEMAND!A:F,6,FALSE),0)</f>
        <v>908</v>
      </c>
      <c r="O127" s="26">
        <f>ROUNDDOWN(Table21[[#This Row],[R-DEMAND]]/1320,0)</f>
        <v>0</v>
      </c>
      <c r="P127" s="26">
        <f>Table21[[#This Row],[ADD ACC]]*Table21[[#This Row],[Duration
(747-400)]]</f>
        <v>0</v>
      </c>
      <c r="Q127" s="284">
        <f>IFERROR(VLOOKUP(Table21[[#This Row],[ROUTE]],PRICING!A:B,2,FALSE),0)</f>
        <v>2556</v>
      </c>
      <c r="R127" s="282">
        <f>Table21[[#This Row],[C_DEMAND]]-Table21[[#This Row],[R-DEMAND]]</f>
        <v>2640</v>
      </c>
      <c r="S127" s="287">
        <f>Table21[[#This Row],[SEATS SOLD]]*Table21[[#This Row],[ECO SEAT]]</f>
        <v>6747840</v>
      </c>
    </row>
    <row r="128" spans="1:19" x14ac:dyDescent="0.25">
      <c r="A128" s="16" t="s">
        <v>16263</v>
      </c>
      <c r="B128" s="16" t="s">
        <v>4804</v>
      </c>
      <c r="C128" s="16" t="s">
        <v>2</v>
      </c>
      <c r="D128" s="16">
        <v>3</v>
      </c>
      <c r="E128" s="16" t="s">
        <v>2356</v>
      </c>
      <c r="F128" s="16" t="s">
        <v>12682</v>
      </c>
      <c r="G128" s="179" t="s">
        <v>11925</v>
      </c>
      <c r="H128" s="254">
        <v>8995</v>
      </c>
      <c r="I128" s="180">
        <v>22</v>
      </c>
      <c r="J128" s="102">
        <v>232245689</v>
      </c>
      <c r="K128" s="102">
        <f>IFERROR(Table21[[#This Row],[ROUTE COST]]/Table21[[#This Row],[O - DEMAND]],0)</f>
        <v>68107.240175953077</v>
      </c>
      <c r="L128" s="26">
        <v>3410</v>
      </c>
      <c r="M128" s="26">
        <f>IFERROR(VLOOKUP(Table21[[#This Row],[ROUTE]],DEMAND!A:F,5,FALSE),0)</f>
        <v>3547</v>
      </c>
      <c r="N128" s="26">
        <f>IFERROR(VLOOKUP(Table21[[#This Row],[ROUTE]],DEMAND!A:F,6,FALSE),0)</f>
        <v>907</v>
      </c>
      <c r="O128" s="26">
        <f>ROUNDDOWN(Table21[[#This Row],[R-DEMAND]]/1320,0)</f>
        <v>0</v>
      </c>
      <c r="P128" s="26">
        <f>Table21[[#This Row],[ADD ACC]]*Table21[[#This Row],[Duration
(747-400)]]</f>
        <v>0</v>
      </c>
      <c r="Q128" s="284">
        <f>IFERROR(VLOOKUP(Table21[[#This Row],[ROUTE]],PRICING!A:B,2,FALSE),0)</f>
        <v>2559</v>
      </c>
      <c r="R128" s="282">
        <f>Table21[[#This Row],[C_DEMAND]]-Table21[[#This Row],[R-DEMAND]]</f>
        <v>2640</v>
      </c>
      <c r="S128" s="287">
        <f>Table21[[#This Row],[SEATS SOLD]]*Table21[[#This Row],[ECO SEAT]]</f>
        <v>6755760</v>
      </c>
    </row>
    <row r="129" spans="1:19" x14ac:dyDescent="0.25">
      <c r="A129" s="16" t="s">
        <v>16577</v>
      </c>
      <c r="B129" s="16" t="s">
        <v>5126</v>
      </c>
      <c r="C129" s="16" t="s">
        <v>2</v>
      </c>
      <c r="D129" s="16">
        <v>3</v>
      </c>
      <c r="E129" s="16" t="s">
        <v>5124</v>
      </c>
      <c r="F129" s="16" t="s">
        <v>12670</v>
      </c>
      <c r="G129" s="179" t="s">
        <v>12078</v>
      </c>
      <c r="H129" s="254">
        <v>5165</v>
      </c>
      <c r="I129" s="180">
        <v>13.5</v>
      </c>
      <c r="J129" s="102">
        <v>199396743</v>
      </c>
      <c r="K129" s="102">
        <f>IFERROR(Table21[[#This Row],[ROUTE COST]]/Table21[[#This Row],[O - DEMAND]],0)</f>
        <v>58663.354810238307</v>
      </c>
      <c r="L129" s="26">
        <v>3399</v>
      </c>
      <c r="M129" s="26">
        <f>IFERROR(VLOOKUP(Table21[[#This Row],[ROUTE]],DEMAND!A:F,5,FALSE),0)</f>
        <v>3547</v>
      </c>
      <c r="N129" s="26">
        <f>IFERROR(VLOOKUP(Table21[[#This Row],[ROUTE]],DEMAND!A:F,6,FALSE),0)</f>
        <v>907</v>
      </c>
      <c r="O129" s="26">
        <f>ROUNDDOWN(Table21[[#This Row],[R-DEMAND]]/1320,0)</f>
        <v>0</v>
      </c>
      <c r="P129" s="26">
        <f>Table21[[#This Row],[ADD ACC]]*Table21[[#This Row],[Duration
(747-400)]]</f>
        <v>0</v>
      </c>
      <c r="Q129" s="284">
        <f>IFERROR(VLOOKUP(Table21[[#This Row],[ROUTE]],PRICING!A:B,2,FALSE),0)</f>
        <v>1497</v>
      </c>
      <c r="R129" s="282">
        <f>Table21[[#This Row],[C_DEMAND]]-Table21[[#This Row],[R-DEMAND]]</f>
        <v>2640</v>
      </c>
      <c r="S129" s="287">
        <f>Table21[[#This Row],[SEATS SOLD]]*Table21[[#This Row],[ECO SEAT]]</f>
        <v>3952080</v>
      </c>
    </row>
    <row r="130" spans="1:19" x14ac:dyDescent="0.25">
      <c r="A130" s="16" t="s">
        <v>16367</v>
      </c>
      <c r="B130" s="16" t="s">
        <v>4640</v>
      </c>
      <c r="C130" s="16" t="s">
        <v>2</v>
      </c>
      <c r="D130" s="16">
        <v>2</v>
      </c>
      <c r="E130" s="16" t="s">
        <v>1124</v>
      </c>
      <c r="F130" s="16" t="s">
        <v>12671</v>
      </c>
      <c r="G130" s="179" t="s">
        <v>11878</v>
      </c>
      <c r="H130" s="254">
        <v>7816</v>
      </c>
      <c r="I130" s="180">
        <v>19.5</v>
      </c>
      <c r="J130" s="102">
        <v>218292937</v>
      </c>
      <c r="K130" s="102">
        <f>IFERROR(Table21[[#This Row],[ROUTE COST]]/Table21[[#This Row],[O - DEMAND]],0)</f>
        <v>64166.060258671372</v>
      </c>
      <c r="L130" s="26">
        <v>3402</v>
      </c>
      <c r="M130" s="26">
        <f>IFERROR(VLOOKUP(Table21[[#This Row],[ROUTE]],DEMAND!A:F,5,FALSE),0)</f>
        <v>3538</v>
      </c>
      <c r="N130" s="26">
        <f>IFERROR(VLOOKUP(Table21[[#This Row],[ROUTE]],DEMAND!A:F,6,FALSE),0)</f>
        <v>898</v>
      </c>
      <c r="O130" s="26">
        <f>ROUNDDOWN(Table21[[#This Row],[R-DEMAND]]/1320,0)</f>
        <v>0</v>
      </c>
      <c r="P130" s="26">
        <f>Table21[[#This Row],[ADD ACC]]*Table21[[#This Row],[Duration
(747-400)]]</f>
        <v>0</v>
      </c>
      <c r="Q130" s="284">
        <f>IFERROR(VLOOKUP(Table21[[#This Row],[ROUTE]],PRICING!A:B,2,FALSE),0)</f>
        <v>2236</v>
      </c>
      <c r="R130" s="282">
        <f>Table21[[#This Row],[C_DEMAND]]-Table21[[#This Row],[R-DEMAND]]</f>
        <v>2640</v>
      </c>
      <c r="S130" s="287">
        <f>Table21[[#This Row],[SEATS SOLD]]*Table21[[#This Row],[ECO SEAT]]</f>
        <v>5903040</v>
      </c>
    </row>
    <row r="131" spans="1:19" x14ac:dyDescent="0.25">
      <c r="A131" s="16" t="s">
        <v>16025</v>
      </c>
      <c r="B131" s="16" t="s">
        <v>5210</v>
      </c>
      <c r="C131" s="16" t="s">
        <v>2</v>
      </c>
      <c r="D131" s="16">
        <v>3</v>
      </c>
      <c r="E131" s="16" t="s">
        <v>1749</v>
      </c>
      <c r="F131" s="16" t="s">
        <v>12688</v>
      </c>
      <c r="G131" s="179" t="s">
        <v>13216</v>
      </c>
      <c r="H131" s="254">
        <v>11991</v>
      </c>
      <c r="I131" s="180">
        <v>28.75</v>
      </c>
      <c r="J131" s="102">
        <v>269280434</v>
      </c>
      <c r="K131" s="102">
        <f>IFERROR(Table21[[#This Row],[ROUTE COST]]/Table21[[#This Row],[O - DEMAND]],0)</f>
        <v>78667.96202161847</v>
      </c>
      <c r="L131" s="26">
        <v>3423</v>
      </c>
      <c r="M131" s="26">
        <f>IFERROR(VLOOKUP(Table21[[#This Row],[ROUTE]],DEMAND!A:F,5,FALSE),0)</f>
        <v>3537</v>
      </c>
      <c r="N131" s="26">
        <f>IFERROR(VLOOKUP(Table21[[#This Row],[ROUTE]],DEMAND!A:F,6,FALSE),0)</f>
        <v>897</v>
      </c>
      <c r="O131" s="26">
        <f>ROUNDDOWN(Table21[[#This Row],[R-DEMAND]]/1320,0)</f>
        <v>0</v>
      </c>
      <c r="P131" s="26">
        <f>Table21[[#This Row],[ADD ACC]]*Table21[[#This Row],[Duration
(747-400)]]</f>
        <v>0</v>
      </c>
      <c r="Q131" s="284">
        <f>IFERROR(VLOOKUP(Table21[[#This Row],[ROUTE]],PRICING!A:B,2,FALSE),0)</f>
        <v>3453</v>
      </c>
      <c r="R131" s="282">
        <f>Table21[[#This Row],[C_DEMAND]]-Table21[[#This Row],[R-DEMAND]]</f>
        <v>2640</v>
      </c>
      <c r="S131" s="287">
        <f>Table21[[#This Row],[SEATS SOLD]]*Table21[[#This Row],[ECO SEAT]]</f>
        <v>9115920</v>
      </c>
    </row>
    <row r="132" spans="1:19" x14ac:dyDescent="0.25">
      <c r="A132" s="16" t="s">
        <v>16015</v>
      </c>
      <c r="B132" s="16" t="s">
        <v>2374</v>
      </c>
      <c r="C132" s="16" t="s">
        <v>2</v>
      </c>
      <c r="D132" s="16">
        <v>1</v>
      </c>
      <c r="E132" s="16" t="s">
        <v>926</v>
      </c>
      <c r="F132" s="16" t="s">
        <v>12671</v>
      </c>
      <c r="G132" s="179" t="s">
        <v>11866</v>
      </c>
      <c r="H132" s="254">
        <v>12163</v>
      </c>
      <c r="I132" s="180">
        <v>29</v>
      </c>
      <c r="J132" s="102">
        <v>246325960</v>
      </c>
      <c r="K132" s="102">
        <f>IFERROR(Table21[[#This Row],[ROUTE COST]]/Table21[[#This Row],[O - DEMAND]],0)</f>
        <v>72470.126507796405</v>
      </c>
      <c r="L132" s="26">
        <v>3399</v>
      </c>
      <c r="M132" s="26">
        <f>IFERROR(VLOOKUP(Table21[[#This Row],[ROUTE]],DEMAND!A:F,5,FALSE),0)</f>
        <v>3535</v>
      </c>
      <c r="N132" s="26">
        <f>IFERROR(VLOOKUP(Table21[[#This Row],[ROUTE]],DEMAND!A:F,6,FALSE),0)</f>
        <v>895</v>
      </c>
      <c r="O132" s="26">
        <f>ROUNDDOWN(Table21[[#This Row],[R-DEMAND]]/1320,0)</f>
        <v>0</v>
      </c>
      <c r="P132" s="26">
        <f>Table21[[#This Row],[ADD ACC]]*Table21[[#This Row],[Duration
(747-400)]]</f>
        <v>0</v>
      </c>
      <c r="Q132" s="284">
        <f>IFERROR(VLOOKUP(Table21[[#This Row],[ROUTE]],PRICING!A:B,2,FALSE),0)</f>
        <v>3423</v>
      </c>
      <c r="R132" s="282">
        <f>Table21[[#This Row],[C_DEMAND]]-Table21[[#This Row],[R-DEMAND]]</f>
        <v>2640</v>
      </c>
      <c r="S132" s="287">
        <f>Table21[[#This Row],[SEATS SOLD]]*Table21[[#This Row],[ECO SEAT]]</f>
        <v>9036720</v>
      </c>
    </row>
    <row r="133" spans="1:19" x14ac:dyDescent="0.25">
      <c r="A133" s="16" t="s">
        <v>16227</v>
      </c>
      <c r="B133" s="16" t="s">
        <v>4636</v>
      </c>
      <c r="C133" s="16" t="s">
        <v>2</v>
      </c>
      <c r="D133" s="16">
        <v>2</v>
      </c>
      <c r="E133" s="16" t="s">
        <v>493</v>
      </c>
      <c r="F133" s="16" t="s">
        <v>12671</v>
      </c>
      <c r="G133" s="179" t="s">
        <v>11702</v>
      </c>
      <c r="H133" s="254">
        <v>9430</v>
      </c>
      <c r="I133" s="180">
        <v>23</v>
      </c>
      <c r="J133" s="102">
        <v>234819356</v>
      </c>
      <c r="K133" s="102">
        <f>IFERROR(Table21[[#This Row],[ROUTE COST]]/Table21[[#This Row],[O - DEMAND]],0)</f>
        <v>69803.613555291318</v>
      </c>
      <c r="L133" s="26">
        <v>3364</v>
      </c>
      <c r="M133" s="26">
        <f>IFERROR(VLOOKUP(Table21[[#This Row],[ROUTE]],DEMAND!A:F,5,FALSE),0)</f>
        <v>3532</v>
      </c>
      <c r="N133" s="26">
        <f>IFERROR(VLOOKUP(Table21[[#This Row],[ROUTE]],DEMAND!A:F,6,FALSE),0)</f>
        <v>892</v>
      </c>
      <c r="O133" s="26">
        <f>ROUNDDOWN(Table21[[#This Row],[R-DEMAND]]/1320,0)</f>
        <v>0</v>
      </c>
      <c r="P133" s="26">
        <f>Table21[[#This Row],[ADD ACC]]*Table21[[#This Row],[Duration
(747-400)]]</f>
        <v>0</v>
      </c>
      <c r="Q133" s="284">
        <f>IFERROR(VLOOKUP(Table21[[#This Row],[ROUTE]],PRICING!A:B,2,FALSE),0)</f>
        <v>2586</v>
      </c>
      <c r="R133" s="282">
        <f>Table21[[#This Row],[C_DEMAND]]-Table21[[#This Row],[R-DEMAND]]</f>
        <v>2640</v>
      </c>
      <c r="S133" s="287">
        <f>Table21[[#This Row],[SEATS SOLD]]*Table21[[#This Row],[ECO SEAT]]</f>
        <v>6827040</v>
      </c>
    </row>
    <row r="134" spans="1:19" x14ac:dyDescent="0.25">
      <c r="A134" s="16" t="s">
        <v>16393</v>
      </c>
      <c r="B134" s="16" t="s">
        <v>1989</v>
      </c>
      <c r="C134" s="16" t="s">
        <v>2</v>
      </c>
      <c r="D134" s="16">
        <v>3</v>
      </c>
      <c r="E134" s="16" t="s">
        <v>1289</v>
      </c>
      <c r="F134" s="16" t="s">
        <v>12670</v>
      </c>
      <c r="G134" s="179" t="s">
        <v>11946</v>
      </c>
      <c r="H134" s="254">
        <v>7549</v>
      </c>
      <c r="I134" s="180">
        <v>18.75</v>
      </c>
      <c r="J134" s="102">
        <v>200141617</v>
      </c>
      <c r="K134" s="102">
        <f>IFERROR(Table21[[#This Row],[ROUTE COST]]/Table21[[#This Row],[O - DEMAND]],0)</f>
        <v>60084.544280996699</v>
      </c>
      <c r="L134" s="26">
        <v>3331</v>
      </c>
      <c r="M134" s="26">
        <f>IFERROR(VLOOKUP(Table21[[#This Row],[ROUTE]],DEMAND!A:F,5,FALSE),0)</f>
        <v>3531</v>
      </c>
      <c r="N134" s="26">
        <f>IFERROR(VLOOKUP(Table21[[#This Row],[ROUTE]],DEMAND!A:F,6,FALSE),0)</f>
        <v>891</v>
      </c>
      <c r="O134" s="26">
        <f>ROUNDDOWN(Table21[[#This Row],[R-DEMAND]]/1320,0)</f>
        <v>0</v>
      </c>
      <c r="P134" s="26">
        <f>Table21[[#This Row],[ADD ACC]]*Table21[[#This Row],[Duration
(747-400)]]</f>
        <v>0</v>
      </c>
      <c r="Q134" s="284">
        <f>IFERROR(VLOOKUP(Table21[[#This Row],[ROUTE]],PRICING!A:B,2,FALSE),0)</f>
        <v>2017</v>
      </c>
      <c r="R134" s="282">
        <f>Table21[[#This Row],[C_DEMAND]]-Table21[[#This Row],[R-DEMAND]]</f>
        <v>2640</v>
      </c>
      <c r="S134" s="287">
        <f>Table21[[#This Row],[SEATS SOLD]]*Table21[[#This Row],[ECO SEAT]]</f>
        <v>5324880</v>
      </c>
    </row>
    <row r="135" spans="1:19" x14ac:dyDescent="0.25">
      <c r="A135" s="16" t="s">
        <v>16391</v>
      </c>
      <c r="B135" s="16" t="s">
        <v>4445</v>
      </c>
      <c r="C135" s="16" t="s">
        <v>2</v>
      </c>
      <c r="D135" s="16">
        <v>2</v>
      </c>
      <c r="E135" s="16" t="s">
        <v>1124</v>
      </c>
      <c r="F135" s="16" t="s">
        <v>12671</v>
      </c>
      <c r="G135" s="179" t="s">
        <v>11894</v>
      </c>
      <c r="H135" s="254">
        <v>7568</v>
      </c>
      <c r="I135" s="180">
        <v>19</v>
      </c>
      <c r="J135" s="102">
        <v>213615224</v>
      </c>
      <c r="K135" s="102">
        <f>IFERROR(Table21[[#This Row],[ROUTE COST]]/Table21[[#This Row],[O - DEMAND]],0)</f>
        <v>64167.985581255634</v>
      </c>
      <c r="L135" s="26">
        <v>3329</v>
      </c>
      <c r="M135" s="26">
        <f>IFERROR(VLOOKUP(Table21[[#This Row],[ROUTE]],DEMAND!A:F,5,FALSE),0)</f>
        <v>3529</v>
      </c>
      <c r="N135" s="26">
        <f>IFERROR(VLOOKUP(Table21[[#This Row],[ROUTE]],DEMAND!A:F,6,FALSE),0)</f>
        <v>889</v>
      </c>
      <c r="O135" s="26">
        <f>ROUNDDOWN(Table21[[#This Row],[R-DEMAND]]/1320,0)</f>
        <v>0</v>
      </c>
      <c r="P135" s="26">
        <f>Table21[[#This Row],[ADD ACC]]*Table21[[#This Row],[Duration
(747-400)]]</f>
        <v>0</v>
      </c>
      <c r="Q135" s="284">
        <f>IFERROR(VLOOKUP(Table21[[#This Row],[ROUTE]],PRICING!A:B,2,FALSE),0)</f>
        <v>2022</v>
      </c>
      <c r="R135" s="282">
        <f>Table21[[#This Row],[C_DEMAND]]-Table21[[#This Row],[R-DEMAND]]</f>
        <v>2640</v>
      </c>
      <c r="S135" s="287">
        <f>Table21[[#This Row],[SEATS SOLD]]*Table21[[#This Row],[ECO SEAT]]</f>
        <v>5338080</v>
      </c>
    </row>
    <row r="136" spans="1:19" x14ac:dyDescent="0.25">
      <c r="A136" s="16" t="s">
        <v>16099</v>
      </c>
      <c r="B136" s="16" t="s">
        <v>266</v>
      </c>
      <c r="C136" s="16" t="s">
        <v>2</v>
      </c>
      <c r="D136" s="16">
        <v>3</v>
      </c>
      <c r="E136" s="16" t="s">
        <v>542</v>
      </c>
      <c r="F136" s="16" t="s">
        <v>12671</v>
      </c>
      <c r="G136" s="179" t="s">
        <v>11906</v>
      </c>
      <c r="H136" s="254">
        <v>10912</v>
      </c>
      <c r="I136" s="180">
        <v>26.25</v>
      </c>
      <c r="J136" s="102">
        <v>246937326</v>
      </c>
      <c r="K136" s="102">
        <f>IFERROR(Table21[[#This Row],[ROUTE COST]]/Table21[[#This Row],[O - DEMAND]],0)</f>
        <v>53987.172278093574</v>
      </c>
      <c r="L136" s="26">
        <v>4574</v>
      </c>
      <c r="M136" s="26">
        <f>IFERROR(VLOOKUP(Table21[[#This Row],[ROUTE]],DEMAND!A:F,5,FALSE),0)</f>
        <v>4849</v>
      </c>
      <c r="N136" s="26">
        <f>IFERROR(VLOOKUP(Table21[[#This Row],[ROUTE]],DEMAND!A:F,6,FALSE),0)</f>
        <v>889</v>
      </c>
      <c r="O136" s="26">
        <f>ROUNDDOWN(Table21[[#This Row],[R-DEMAND]]/1320,0)</f>
        <v>0</v>
      </c>
      <c r="P136" s="26">
        <f>Table21[[#This Row],[ADD ACC]]*Table21[[#This Row],[Duration
(747-400)]]</f>
        <v>0</v>
      </c>
      <c r="Q136" s="284">
        <f>IFERROR(VLOOKUP(Table21[[#This Row],[ROUTE]],PRICING!A:B,2,FALSE),0)</f>
        <v>2871</v>
      </c>
      <c r="R136" s="282">
        <f>Table21[[#This Row],[C_DEMAND]]-Table21[[#This Row],[R-DEMAND]]</f>
        <v>3960</v>
      </c>
      <c r="S136" s="287">
        <f>Table21[[#This Row],[SEATS SOLD]]*Table21[[#This Row],[ECO SEAT]]</f>
        <v>11369160</v>
      </c>
    </row>
    <row r="137" spans="1:19" x14ac:dyDescent="0.25">
      <c r="A137" s="16" t="s">
        <v>16054</v>
      </c>
      <c r="B137" s="16" t="s">
        <v>5114</v>
      </c>
      <c r="C137" s="16" t="s">
        <v>2</v>
      </c>
      <c r="D137" s="16">
        <v>3</v>
      </c>
      <c r="E137" s="16" t="s">
        <v>1749</v>
      </c>
      <c r="F137" s="16" t="s">
        <v>12688</v>
      </c>
      <c r="G137" s="179" t="s">
        <v>13214</v>
      </c>
      <c r="H137" s="254">
        <v>11508</v>
      </c>
      <c r="I137" s="180">
        <v>27.5</v>
      </c>
      <c r="J137" s="102">
        <v>262487722</v>
      </c>
      <c r="K137" s="102">
        <f>IFERROR(Table21[[#This Row],[ROUTE COST]]/Table21[[#This Row],[O - DEMAND]],0)</f>
        <v>78098.102350490924</v>
      </c>
      <c r="L137" s="26">
        <v>3361</v>
      </c>
      <c r="M137" s="26">
        <f>IFERROR(VLOOKUP(Table21[[#This Row],[ROUTE]],DEMAND!A:F,5,FALSE),0)</f>
        <v>3529</v>
      </c>
      <c r="N137" s="26">
        <f>IFERROR(VLOOKUP(Table21[[#This Row],[ROUTE]],DEMAND!A:F,6,FALSE),0)</f>
        <v>889</v>
      </c>
      <c r="O137" s="26">
        <f>ROUNDDOWN(Table21[[#This Row],[R-DEMAND]]/1320,0)</f>
        <v>0</v>
      </c>
      <c r="P137" s="26">
        <f>Table21[[#This Row],[ADD ACC]]*Table21[[#This Row],[Duration
(747-400)]]</f>
        <v>0</v>
      </c>
      <c r="Q137" s="284">
        <f>IFERROR(VLOOKUP(Table21[[#This Row],[ROUTE]],PRICING!A:B,2,FALSE),0)</f>
        <v>3133</v>
      </c>
      <c r="R137" s="282">
        <f>Table21[[#This Row],[C_DEMAND]]-Table21[[#This Row],[R-DEMAND]]</f>
        <v>2640</v>
      </c>
      <c r="S137" s="287">
        <f>Table21[[#This Row],[SEATS SOLD]]*Table21[[#This Row],[ECO SEAT]]</f>
        <v>8271120</v>
      </c>
    </row>
    <row r="138" spans="1:19" x14ac:dyDescent="0.25">
      <c r="A138" s="16" t="s">
        <v>16047</v>
      </c>
      <c r="B138" s="16" t="s">
        <v>3678</v>
      </c>
      <c r="C138" s="16" t="s">
        <v>2</v>
      </c>
      <c r="D138" s="16">
        <v>2</v>
      </c>
      <c r="E138" s="16" t="s">
        <v>490</v>
      </c>
      <c r="F138" s="16" t="s">
        <v>12671</v>
      </c>
      <c r="G138" s="179" t="s">
        <v>11711</v>
      </c>
      <c r="H138" s="254">
        <v>11662</v>
      </c>
      <c r="I138" s="180">
        <v>28</v>
      </c>
      <c r="J138" s="102">
        <v>250741246</v>
      </c>
      <c r="K138" s="102">
        <f>IFERROR(Table21[[#This Row],[ROUTE COST]]/Table21[[#This Row],[O - DEMAND]],0)</f>
        <v>55180.731954225354</v>
      </c>
      <c r="L138" s="26">
        <v>4544</v>
      </c>
      <c r="M138" s="26">
        <f>IFERROR(VLOOKUP(Table21[[#This Row],[ROUTE]],DEMAND!A:F,5,FALSE),0)</f>
        <v>4847</v>
      </c>
      <c r="N138" s="26">
        <f>IFERROR(VLOOKUP(Table21[[#This Row],[ROUTE]],DEMAND!A:F,6,FALSE),0)</f>
        <v>887</v>
      </c>
      <c r="O138" s="26">
        <f>ROUNDDOWN(Table21[[#This Row],[R-DEMAND]]/1320,0)</f>
        <v>0</v>
      </c>
      <c r="P138" s="26">
        <f>Table21[[#This Row],[ADD ACC]]*Table21[[#This Row],[Duration
(747-400)]]</f>
        <v>0</v>
      </c>
      <c r="Q138" s="284">
        <f>IFERROR(VLOOKUP(Table21[[#This Row],[ROUTE]],PRICING!A:B,2,FALSE),0)</f>
        <v>2988</v>
      </c>
      <c r="R138" s="282">
        <f>Table21[[#This Row],[C_DEMAND]]-Table21[[#This Row],[R-DEMAND]]</f>
        <v>3960</v>
      </c>
      <c r="S138" s="287">
        <f>Table21[[#This Row],[SEATS SOLD]]*Table21[[#This Row],[ECO SEAT]]</f>
        <v>11832480</v>
      </c>
    </row>
    <row r="139" spans="1:19" x14ac:dyDescent="0.25">
      <c r="A139" s="16" t="s">
        <v>16255</v>
      </c>
      <c r="B139" s="16" t="s">
        <v>170</v>
      </c>
      <c r="C139" s="16" t="s">
        <v>2</v>
      </c>
      <c r="D139" s="16">
        <v>5</v>
      </c>
      <c r="E139" s="16" t="s">
        <v>774</v>
      </c>
      <c r="F139" s="16" t="s">
        <v>12682</v>
      </c>
      <c r="G139" s="179" t="s">
        <v>11060</v>
      </c>
      <c r="H139" s="254">
        <v>9115</v>
      </c>
      <c r="I139" s="180">
        <v>22.25</v>
      </c>
      <c r="J139" s="102">
        <v>269374025</v>
      </c>
      <c r="K139" s="102">
        <f>IFERROR(Table21[[#This Row],[ROUTE COST]]/Table21[[#This Row],[O - DEMAND]],0)</f>
        <v>80242.485850461715</v>
      </c>
      <c r="L139" s="26">
        <v>3357</v>
      </c>
      <c r="M139" s="26">
        <f>IFERROR(VLOOKUP(Table21[[#This Row],[ROUTE]],DEMAND!A:F,5,FALSE),0)</f>
        <v>3525</v>
      </c>
      <c r="N139" s="26">
        <f>IFERROR(VLOOKUP(Table21[[#This Row],[ROUTE]],DEMAND!A:F,6,FALSE),0)</f>
        <v>885</v>
      </c>
      <c r="O139" s="26">
        <f>ROUNDDOWN(Table21[[#This Row],[R-DEMAND]]/1320,0)</f>
        <v>0</v>
      </c>
      <c r="P139" s="26">
        <f>Table21[[#This Row],[ADD ACC]]*Table21[[#This Row],[Duration
(747-400)]]</f>
        <v>0</v>
      </c>
      <c r="Q139" s="284">
        <f>IFERROR(VLOOKUP(Table21[[#This Row],[ROUTE]],PRICING!A:B,2,FALSE),0)</f>
        <v>2503</v>
      </c>
      <c r="R139" s="282">
        <f>Table21[[#This Row],[C_DEMAND]]-Table21[[#This Row],[R-DEMAND]]</f>
        <v>2640</v>
      </c>
      <c r="S139" s="287">
        <f>Table21[[#This Row],[SEATS SOLD]]*Table21[[#This Row],[ECO SEAT]]</f>
        <v>6607920</v>
      </c>
    </row>
    <row r="140" spans="1:19" x14ac:dyDescent="0.25">
      <c r="A140" s="16" t="s">
        <v>16588</v>
      </c>
      <c r="B140" s="16" t="s">
        <v>4824</v>
      </c>
      <c r="C140" s="16" t="s">
        <v>2</v>
      </c>
      <c r="D140" s="16">
        <v>3</v>
      </c>
      <c r="E140" s="16" t="s">
        <v>502</v>
      </c>
      <c r="F140" s="16" t="s">
        <v>12670</v>
      </c>
      <c r="G140" s="179" t="s">
        <v>11965</v>
      </c>
      <c r="H140" s="254">
        <v>4913</v>
      </c>
      <c r="I140" s="180">
        <v>13</v>
      </c>
      <c r="J140" s="102">
        <v>192965668</v>
      </c>
      <c r="K140" s="102">
        <f>IFERROR(Table21[[#This Row],[ROUTE COST]]/Table21[[#This Row],[O - DEMAND]],0)</f>
        <v>57584.502536556254</v>
      </c>
      <c r="L140" s="26">
        <v>3351</v>
      </c>
      <c r="M140" s="26">
        <f>IFERROR(VLOOKUP(Table21[[#This Row],[ROUTE]],DEMAND!A:F,5,FALSE),0)</f>
        <v>3519</v>
      </c>
      <c r="N140" s="26">
        <f>IFERROR(VLOOKUP(Table21[[#This Row],[ROUTE]],DEMAND!A:F,6,FALSE),0)</f>
        <v>879</v>
      </c>
      <c r="O140" s="26">
        <f>ROUNDDOWN(Table21[[#This Row],[R-DEMAND]]/1320,0)</f>
        <v>0</v>
      </c>
      <c r="P140" s="26">
        <f>Table21[[#This Row],[ADD ACC]]*Table21[[#This Row],[Duration
(747-400)]]</f>
        <v>0</v>
      </c>
      <c r="Q140" s="284">
        <f>IFERROR(VLOOKUP(Table21[[#This Row],[ROUTE]],PRICING!A:B,2,FALSE),0)</f>
        <v>1396</v>
      </c>
      <c r="R140" s="282">
        <f>Table21[[#This Row],[C_DEMAND]]-Table21[[#This Row],[R-DEMAND]]</f>
        <v>2640</v>
      </c>
      <c r="S140" s="287">
        <f>Table21[[#This Row],[SEATS SOLD]]*Table21[[#This Row],[ECO SEAT]]</f>
        <v>3685440</v>
      </c>
    </row>
    <row r="141" spans="1:19" x14ac:dyDescent="0.25">
      <c r="A141" s="16" t="s">
        <v>15998</v>
      </c>
      <c r="B141" s="16" t="s">
        <v>5070</v>
      </c>
      <c r="C141" s="16" t="s">
        <v>2</v>
      </c>
      <c r="D141" s="16">
        <v>3</v>
      </c>
      <c r="E141" s="16" t="s">
        <v>1749</v>
      </c>
      <c r="F141" s="16" t="s">
        <v>12688</v>
      </c>
      <c r="G141" s="179" t="s">
        <v>13224</v>
      </c>
      <c r="H141" s="254">
        <v>12424</v>
      </c>
      <c r="I141" s="180">
        <v>29.75</v>
      </c>
      <c r="J141" s="102">
        <v>270984854</v>
      </c>
      <c r="K141" s="102">
        <f>IFERROR(Table21[[#This Row],[ROUTE COST]]/Table21[[#This Row],[O - DEMAND]],0)</f>
        <v>81206.129457596646</v>
      </c>
      <c r="L141" s="26">
        <v>3337</v>
      </c>
      <c r="M141" s="26">
        <f>IFERROR(VLOOKUP(Table21[[#This Row],[ROUTE]],DEMAND!A:F,5,FALSE),0)</f>
        <v>3515</v>
      </c>
      <c r="N141" s="26">
        <f>IFERROR(VLOOKUP(Table21[[#This Row],[ROUTE]],DEMAND!A:F,6,FALSE),0)</f>
        <v>875</v>
      </c>
      <c r="O141" s="26">
        <f>ROUNDDOWN(Table21[[#This Row],[R-DEMAND]]/1320,0)</f>
        <v>0</v>
      </c>
      <c r="P141" s="26">
        <f>Table21[[#This Row],[ADD ACC]]*Table21[[#This Row],[Duration
(747-400)]]</f>
        <v>0</v>
      </c>
      <c r="Q141" s="284">
        <f>IFERROR(VLOOKUP(Table21[[#This Row],[ROUTE]],PRICING!A:B,2,FALSE),0)</f>
        <v>3335</v>
      </c>
      <c r="R141" s="282">
        <f>Table21[[#This Row],[C_DEMAND]]-Table21[[#This Row],[R-DEMAND]]</f>
        <v>2640</v>
      </c>
      <c r="S141" s="287">
        <f>Table21[[#This Row],[SEATS SOLD]]*Table21[[#This Row],[ECO SEAT]]</f>
        <v>8804400</v>
      </c>
    </row>
    <row r="142" spans="1:19" x14ac:dyDescent="0.25">
      <c r="A142" s="16" t="s">
        <v>16531</v>
      </c>
      <c r="B142" s="16" t="s">
        <v>5636</v>
      </c>
      <c r="C142" s="16" t="s">
        <v>2</v>
      </c>
      <c r="D142" s="16">
        <v>4</v>
      </c>
      <c r="E142" s="16" t="s">
        <v>5634</v>
      </c>
      <c r="F142" s="16" t="s">
        <v>12670</v>
      </c>
      <c r="G142" s="179" t="s">
        <v>11090</v>
      </c>
      <c r="H142" s="254">
        <v>6168</v>
      </c>
      <c r="I142" s="180">
        <v>15.75</v>
      </c>
      <c r="J142" s="102">
        <v>230277849</v>
      </c>
      <c r="K142" s="102">
        <f>IFERROR(Table21[[#This Row],[ROUTE COST]]/Table21[[#This Row],[O - DEMAND]],0)</f>
        <v>69908.272313296897</v>
      </c>
      <c r="L142" s="26">
        <v>3294</v>
      </c>
      <c r="M142" s="26">
        <f>IFERROR(VLOOKUP(Table21[[#This Row],[ROUTE]],DEMAND!A:F,5,FALSE),0)</f>
        <v>3514</v>
      </c>
      <c r="N142" s="26">
        <f>IFERROR(VLOOKUP(Table21[[#This Row],[ROUTE]],DEMAND!A:F,6,FALSE),0)</f>
        <v>874</v>
      </c>
      <c r="O142" s="26">
        <f>ROUNDDOWN(Table21[[#This Row],[R-DEMAND]]/1320,0)</f>
        <v>0</v>
      </c>
      <c r="P142" s="26">
        <f>Table21[[#This Row],[ADD ACC]]*Table21[[#This Row],[Duration
(747-400)]]</f>
        <v>0</v>
      </c>
      <c r="Q142" s="284">
        <f>IFERROR(VLOOKUP(Table21[[#This Row],[ROUTE]],PRICING!A:B,2,FALSE),0)</f>
        <v>1625</v>
      </c>
      <c r="R142" s="282">
        <f>Table21[[#This Row],[C_DEMAND]]-Table21[[#This Row],[R-DEMAND]]</f>
        <v>2640</v>
      </c>
      <c r="S142" s="287">
        <f>Table21[[#This Row],[SEATS SOLD]]*Table21[[#This Row],[ECO SEAT]]</f>
        <v>4290000</v>
      </c>
    </row>
    <row r="143" spans="1:19" x14ac:dyDescent="0.25">
      <c r="A143" s="16" t="s">
        <v>16594</v>
      </c>
      <c r="B143" s="16" t="s">
        <v>187</v>
      </c>
      <c r="C143" s="16" t="s">
        <v>2</v>
      </c>
      <c r="D143" s="16">
        <v>4</v>
      </c>
      <c r="E143" s="16" t="s">
        <v>1070</v>
      </c>
      <c r="F143" s="16" t="s">
        <v>12670</v>
      </c>
      <c r="G143" s="179" t="s">
        <v>11062</v>
      </c>
      <c r="H143" s="254">
        <v>4655</v>
      </c>
      <c r="I143" s="180">
        <v>12.5</v>
      </c>
      <c r="J143" s="102">
        <v>211837425</v>
      </c>
      <c r="K143" s="102">
        <f>IFERROR(Table21[[#This Row],[ROUTE COST]]/Table21[[#This Row],[O - DEMAND]],0)</f>
        <v>45901.933911159264</v>
      </c>
      <c r="L143" s="26">
        <v>4615</v>
      </c>
      <c r="M143" s="26">
        <f>IFERROR(VLOOKUP(Table21[[#This Row],[ROUTE]],DEMAND!A:F,5,FALSE),0)</f>
        <v>4831</v>
      </c>
      <c r="N143" s="26">
        <f>IFERROR(VLOOKUP(Table21[[#This Row],[ROUTE]],DEMAND!A:F,6,FALSE),0)</f>
        <v>-449</v>
      </c>
      <c r="O143" s="26">
        <f>ROUNDDOWN(Table21[[#This Row],[R-DEMAND]]/1320,0)</f>
        <v>0</v>
      </c>
      <c r="P143" s="26">
        <f>Table21[[#This Row],[ADD ACC]]*Table21[[#This Row],[Duration
(747-400)]]</f>
        <v>0</v>
      </c>
      <c r="Q143" s="284">
        <f>IFERROR(VLOOKUP(Table21[[#This Row],[ROUTE]],PRICING!A:B,2,FALSE),0)</f>
        <v>1344</v>
      </c>
      <c r="R143" s="282">
        <f>Table21[[#This Row],[C_DEMAND]]-Table21[[#This Row],[R-DEMAND]]</f>
        <v>5280</v>
      </c>
      <c r="S143" s="287">
        <f>Table21[[#This Row],[SEATS SOLD]]*Table21[[#This Row],[ECO SEAT]]</f>
        <v>7096320</v>
      </c>
    </row>
    <row r="144" spans="1:19" x14ac:dyDescent="0.25">
      <c r="A144" s="16" t="s">
        <v>16063</v>
      </c>
      <c r="B144" s="16" t="s">
        <v>1393</v>
      </c>
      <c r="C144" s="16" t="s">
        <v>2</v>
      </c>
      <c r="D144" s="16">
        <v>1</v>
      </c>
      <c r="E144" s="16" t="s">
        <v>608</v>
      </c>
      <c r="F144" s="16" t="s">
        <v>12671</v>
      </c>
      <c r="G144" s="179" t="s">
        <v>6718</v>
      </c>
      <c r="H144" s="254">
        <v>11387</v>
      </c>
      <c r="I144" s="180">
        <v>27.25</v>
      </c>
      <c r="J144" s="102">
        <v>234948473</v>
      </c>
      <c r="K144" s="102">
        <f>IFERROR(Table21[[#This Row],[ROUTE COST]]/Table21[[#This Row],[O - DEMAND]],0)</f>
        <v>69821.24011887073</v>
      </c>
      <c r="L144" s="26">
        <v>3365</v>
      </c>
      <c r="M144" s="26">
        <f>IFERROR(VLOOKUP(Table21[[#This Row],[ROUTE]],DEMAND!A:F,5,FALSE),0)</f>
        <v>3511</v>
      </c>
      <c r="N144" s="26">
        <f>IFERROR(VLOOKUP(Table21[[#This Row],[ROUTE]],DEMAND!A:F,6,FALSE),0)</f>
        <v>871</v>
      </c>
      <c r="O144" s="26">
        <f>ROUNDDOWN(Table21[[#This Row],[R-DEMAND]]/1320,0)</f>
        <v>0</v>
      </c>
      <c r="P144" s="26">
        <f>Table21[[#This Row],[ADD ACC]]*Table21[[#This Row],[Duration
(747-400)]]</f>
        <v>0</v>
      </c>
      <c r="Q144" s="284">
        <f>IFERROR(VLOOKUP(Table21[[#This Row],[ROUTE]],PRICING!A:B,2,FALSE),0)</f>
        <v>3174</v>
      </c>
      <c r="R144" s="282">
        <f>Table21[[#This Row],[C_DEMAND]]-Table21[[#This Row],[R-DEMAND]]</f>
        <v>2640</v>
      </c>
      <c r="S144" s="287">
        <f>Table21[[#This Row],[SEATS SOLD]]*Table21[[#This Row],[ECO SEAT]]</f>
        <v>8379360</v>
      </c>
    </row>
    <row r="145" spans="1:19" x14ac:dyDescent="0.25">
      <c r="A145" s="16" t="s">
        <v>16665</v>
      </c>
      <c r="B145" s="16" t="s">
        <v>412</v>
      </c>
      <c r="C145" s="16" t="s">
        <v>2</v>
      </c>
      <c r="D145" s="16">
        <v>2</v>
      </c>
      <c r="E145" s="16" t="s">
        <v>1314</v>
      </c>
      <c r="F145" s="16" t="s">
        <v>12670</v>
      </c>
      <c r="G145" s="179" t="s">
        <v>12101</v>
      </c>
      <c r="H145" s="254">
        <v>3159</v>
      </c>
      <c r="I145" s="180">
        <v>9</v>
      </c>
      <c r="J145" s="102">
        <v>157595904</v>
      </c>
      <c r="K145" s="102">
        <f>IFERROR(Table21[[#This Row],[ROUTE COST]]/Table21[[#This Row],[O - DEMAND]],0)</f>
        <v>47756.334545454549</v>
      </c>
      <c r="L145" s="26">
        <v>3300</v>
      </c>
      <c r="M145" s="26">
        <f>IFERROR(VLOOKUP(Table21[[#This Row],[ROUTE]],DEMAND!A:F,5,FALSE),0)</f>
        <v>3509</v>
      </c>
      <c r="N145" s="26">
        <f>IFERROR(VLOOKUP(Table21[[#This Row],[ROUTE]],DEMAND!A:F,6,FALSE),0)</f>
        <v>869</v>
      </c>
      <c r="O145" s="26">
        <f>ROUNDDOWN(Table21[[#This Row],[R-DEMAND]]/1320,0)</f>
        <v>0</v>
      </c>
      <c r="P145" s="26">
        <f>Table21[[#This Row],[ADD ACC]]*Table21[[#This Row],[Duration
(747-400)]]</f>
        <v>0</v>
      </c>
      <c r="Q145" s="284">
        <f>IFERROR(VLOOKUP(Table21[[#This Row],[ROUTE]],PRICING!A:B,2,FALSE),0)</f>
        <v>890</v>
      </c>
      <c r="R145" s="282">
        <f>Table21[[#This Row],[C_DEMAND]]-Table21[[#This Row],[R-DEMAND]]</f>
        <v>2640</v>
      </c>
      <c r="S145" s="287">
        <f>Table21[[#This Row],[SEATS SOLD]]*Table21[[#This Row],[ECO SEAT]]</f>
        <v>2349600</v>
      </c>
    </row>
    <row r="146" spans="1:19" x14ac:dyDescent="0.25">
      <c r="A146" s="16" t="s">
        <v>16660</v>
      </c>
      <c r="B146" s="16" t="s">
        <v>113</v>
      </c>
      <c r="C146" s="16" t="s">
        <v>2</v>
      </c>
      <c r="D146" s="16">
        <v>3</v>
      </c>
      <c r="E146" s="16" t="s">
        <v>11046</v>
      </c>
      <c r="F146" s="16" t="s">
        <v>12670</v>
      </c>
      <c r="G146" s="179" t="s">
        <v>12088</v>
      </c>
      <c r="H146" s="254">
        <v>3244</v>
      </c>
      <c r="I146" s="180">
        <v>9.25</v>
      </c>
      <c r="J146" s="102">
        <v>187145076</v>
      </c>
      <c r="K146" s="102">
        <f>IFERROR(Table21[[#This Row],[ROUTE COST]]/Table21[[#This Row],[O - DEMAND]],0)</f>
        <v>32434.155285961871</v>
      </c>
      <c r="L146" s="26">
        <v>5770</v>
      </c>
      <c r="M146" s="26">
        <f>IFERROR(VLOOKUP(Table21[[#This Row],[ROUTE]],DEMAND!A:F,5,FALSE),0)</f>
        <v>6135</v>
      </c>
      <c r="N146" s="26">
        <f>IFERROR(VLOOKUP(Table21[[#This Row],[ROUTE]],DEMAND!A:F,6,FALSE),0)</f>
        <v>855</v>
      </c>
      <c r="O146" s="26">
        <f>ROUNDDOWN(Table21[[#This Row],[R-DEMAND]]/1320,0)</f>
        <v>0</v>
      </c>
      <c r="P146" s="26">
        <f>Table21[[#This Row],[ADD ACC]]*Table21[[#This Row],[Duration
(747-400)]]</f>
        <v>0</v>
      </c>
      <c r="Q146" s="284">
        <f>IFERROR(VLOOKUP(Table21[[#This Row],[ROUTE]],PRICING!A:B,2,FALSE),0)</f>
        <v>911</v>
      </c>
      <c r="R146" s="282">
        <f>Table21[[#This Row],[C_DEMAND]]-Table21[[#This Row],[R-DEMAND]]</f>
        <v>5280</v>
      </c>
      <c r="S146" s="287">
        <f>Table21[[#This Row],[SEATS SOLD]]*Table21[[#This Row],[ECO SEAT]]</f>
        <v>4810080</v>
      </c>
    </row>
    <row r="147" spans="1:19" x14ac:dyDescent="0.25">
      <c r="A147" s="16" t="s">
        <v>16041</v>
      </c>
      <c r="B147" s="16" t="s">
        <v>326</v>
      </c>
      <c r="C147" s="16" t="s">
        <v>2</v>
      </c>
      <c r="D147" s="16">
        <v>3</v>
      </c>
      <c r="E147" s="16" t="s">
        <v>926</v>
      </c>
      <c r="F147" s="16" t="s">
        <v>12671</v>
      </c>
      <c r="G147" s="179" t="s">
        <v>11905</v>
      </c>
      <c r="H147" s="254">
        <v>11723</v>
      </c>
      <c r="I147" s="180">
        <v>28</v>
      </c>
      <c r="J147" s="102">
        <v>270377916</v>
      </c>
      <c r="K147" s="102">
        <f>IFERROR(Table21[[#This Row],[ROUTE COST]]/Table21[[#This Row],[O - DEMAND]],0)</f>
        <v>59371.523056653488</v>
      </c>
      <c r="L147" s="26">
        <v>4554</v>
      </c>
      <c r="M147" s="26">
        <f>IFERROR(VLOOKUP(Table21[[#This Row],[ROUTE]],DEMAND!A:F,5,FALSE),0)</f>
        <v>4813</v>
      </c>
      <c r="N147" s="26">
        <f>IFERROR(VLOOKUP(Table21[[#This Row],[ROUTE]],DEMAND!A:F,6,FALSE),0)</f>
        <v>853</v>
      </c>
      <c r="O147" s="26">
        <f>ROUNDDOWN(Table21[[#This Row],[R-DEMAND]]/1320,0)</f>
        <v>0</v>
      </c>
      <c r="P147" s="26">
        <f>Table21[[#This Row],[ADD ACC]]*Table21[[#This Row],[Duration
(747-400)]]</f>
        <v>0</v>
      </c>
      <c r="Q147" s="284">
        <f>IFERROR(VLOOKUP(Table21[[#This Row],[ROUTE]],PRICING!A:B,2,FALSE),0)</f>
        <v>3115</v>
      </c>
      <c r="R147" s="282">
        <f>Table21[[#This Row],[C_DEMAND]]-Table21[[#This Row],[R-DEMAND]]</f>
        <v>3960</v>
      </c>
      <c r="S147" s="287">
        <f>Table21[[#This Row],[SEATS SOLD]]*Table21[[#This Row],[ECO SEAT]]</f>
        <v>12335400</v>
      </c>
    </row>
    <row r="148" spans="1:19" x14ac:dyDescent="0.25">
      <c r="A148" s="16" t="s">
        <v>16458</v>
      </c>
      <c r="B148" s="16" t="s">
        <v>5358</v>
      </c>
      <c r="C148" s="16" t="s">
        <v>2</v>
      </c>
      <c r="D148" s="16">
        <v>3</v>
      </c>
      <c r="E148" s="16" t="s">
        <v>1420</v>
      </c>
      <c r="F148" s="16" t="s">
        <v>12674</v>
      </c>
      <c r="G148" s="179" t="s">
        <v>11837</v>
      </c>
      <c r="H148" s="254">
        <v>7055</v>
      </c>
      <c r="I148" s="180">
        <v>17.75</v>
      </c>
      <c r="J148" s="102">
        <v>224453309</v>
      </c>
      <c r="K148" s="102">
        <f>IFERROR(Table21[[#This Row],[ROUTE COST]]/Table21[[#This Row],[O - DEMAND]],0)</f>
        <v>66662.69943569944</v>
      </c>
      <c r="L148" s="26">
        <v>3367</v>
      </c>
      <c r="M148" s="26">
        <f>IFERROR(VLOOKUP(Table21[[#This Row],[ROUTE]],DEMAND!A:F,5,FALSE),0)</f>
        <v>3490</v>
      </c>
      <c r="N148" s="26">
        <f>IFERROR(VLOOKUP(Table21[[#This Row],[ROUTE]],DEMAND!A:F,6,FALSE),0)</f>
        <v>850</v>
      </c>
      <c r="O148" s="26">
        <f>ROUNDDOWN(Table21[[#This Row],[R-DEMAND]]/1320,0)</f>
        <v>0</v>
      </c>
      <c r="P148" s="26">
        <f>Table21[[#This Row],[ADD ACC]]*Table21[[#This Row],[Duration
(747-400)]]</f>
        <v>0</v>
      </c>
      <c r="Q148" s="284">
        <f>IFERROR(VLOOKUP(Table21[[#This Row],[ROUTE]],PRICING!A:B,2,FALSE),0)</f>
        <v>2053</v>
      </c>
      <c r="R148" s="282">
        <f>Table21[[#This Row],[C_DEMAND]]-Table21[[#This Row],[R-DEMAND]]</f>
        <v>2640</v>
      </c>
      <c r="S148" s="287">
        <f>Table21[[#This Row],[SEATS SOLD]]*Table21[[#This Row],[ECO SEAT]]</f>
        <v>5419920</v>
      </c>
    </row>
    <row r="149" spans="1:19" x14ac:dyDescent="0.25">
      <c r="A149" s="16" t="s">
        <v>16634</v>
      </c>
      <c r="B149" s="16" t="s">
        <v>302</v>
      </c>
      <c r="C149" s="16" t="s">
        <v>2</v>
      </c>
      <c r="D149" s="16">
        <v>2</v>
      </c>
      <c r="E149" s="16" t="s">
        <v>717</v>
      </c>
      <c r="F149" s="16" t="s">
        <v>12670</v>
      </c>
      <c r="G149" s="179" t="s">
        <v>12097</v>
      </c>
      <c r="H149" s="254">
        <v>3878</v>
      </c>
      <c r="I149" s="180">
        <v>10.75</v>
      </c>
      <c r="J149" s="102">
        <v>172673956</v>
      </c>
      <c r="K149" s="102">
        <f>IFERROR(Table21[[#This Row],[ROUTE COST]]/Table21[[#This Row],[O - DEMAND]],0)</f>
        <v>52660.5538273864</v>
      </c>
      <c r="L149" s="26">
        <v>3279</v>
      </c>
      <c r="M149" s="26">
        <f>IFERROR(VLOOKUP(Table21[[#This Row],[ROUTE]],DEMAND!A:F,5,FALSE),0)</f>
        <v>3487</v>
      </c>
      <c r="N149" s="26">
        <f>IFERROR(VLOOKUP(Table21[[#This Row],[ROUTE]],DEMAND!A:F,6,FALSE),0)</f>
        <v>847</v>
      </c>
      <c r="O149" s="26">
        <f>ROUNDDOWN(Table21[[#This Row],[R-DEMAND]]/1320,0)</f>
        <v>0</v>
      </c>
      <c r="P149" s="26">
        <f>Table21[[#This Row],[ADD ACC]]*Table21[[#This Row],[Duration
(747-400)]]</f>
        <v>0</v>
      </c>
      <c r="Q149" s="284">
        <f>IFERROR(VLOOKUP(Table21[[#This Row],[ROUTE]],PRICING!A:B,2,FALSE),0)</f>
        <v>1070</v>
      </c>
      <c r="R149" s="282">
        <f>Table21[[#This Row],[C_DEMAND]]-Table21[[#This Row],[R-DEMAND]]</f>
        <v>2640</v>
      </c>
      <c r="S149" s="287">
        <f>Table21[[#This Row],[SEATS SOLD]]*Table21[[#This Row],[ECO SEAT]]</f>
        <v>2824800</v>
      </c>
    </row>
    <row r="150" spans="1:19" x14ac:dyDescent="0.25">
      <c r="A150" s="251" t="s">
        <v>16742</v>
      </c>
      <c r="B150" s="251" t="s">
        <v>268</v>
      </c>
      <c r="C150" s="16" t="s">
        <v>2</v>
      </c>
      <c r="D150" s="251">
        <v>4</v>
      </c>
      <c r="E150" s="251" t="s">
        <v>14</v>
      </c>
      <c r="F150" s="251" t="s">
        <v>12670</v>
      </c>
      <c r="G150" s="252" t="s">
        <v>11995</v>
      </c>
      <c r="H150" s="254">
        <v>999</v>
      </c>
      <c r="I150" s="180">
        <v>4.25</v>
      </c>
      <c r="J150" s="102">
        <v>166700158</v>
      </c>
      <c r="K150" s="253">
        <f>IFERROR(Table21[[#This Row],[ROUTE COST]]/Table21[[#This Row],[O - DEMAND]],0)</f>
        <v>49392.639407407405</v>
      </c>
      <c r="L150" s="26">
        <v>3375</v>
      </c>
      <c r="M150" s="26">
        <f>IFERROR(VLOOKUP(Table21[[#This Row],[ROUTE]],DEMAND!A:F,5,FALSE),0)</f>
        <v>3487</v>
      </c>
      <c r="N150" s="26">
        <f>IFERROR(VLOOKUP(Table21[[#This Row],[ROUTE]],DEMAND!A:F,6,FALSE),0)</f>
        <v>847</v>
      </c>
      <c r="O150" s="26">
        <f>ROUNDDOWN(Table21[[#This Row],[R-DEMAND]]/1320,0)</f>
        <v>0</v>
      </c>
      <c r="P150" s="26">
        <f>Table21[[#This Row],[ADD ACC]]*Table21[[#This Row],[Duration
(747-400)]]</f>
        <v>0</v>
      </c>
      <c r="Q150" s="284">
        <f>IFERROR(VLOOKUP(Table21[[#This Row],[ROUTE]],PRICING!A:B,2,FALSE),0)</f>
        <v>386</v>
      </c>
      <c r="R150" s="282">
        <f>Table21[[#This Row],[C_DEMAND]]-Table21[[#This Row],[R-DEMAND]]</f>
        <v>2640</v>
      </c>
      <c r="S150" s="287">
        <f>Table21[[#This Row],[SEATS SOLD]]*Table21[[#This Row],[ECO SEAT]]</f>
        <v>1019040</v>
      </c>
    </row>
    <row r="151" spans="1:19" x14ac:dyDescent="0.25">
      <c r="A151" s="16" t="s">
        <v>16675</v>
      </c>
      <c r="B151" s="16" t="s">
        <v>175</v>
      </c>
      <c r="C151" s="16" t="s">
        <v>2</v>
      </c>
      <c r="D151" s="16">
        <v>3</v>
      </c>
      <c r="E151" s="16" t="s">
        <v>11046</v>
      </c>
      <c r="F151" s="16" t="s">
        <v>12670</v>
      </c>
      <c r="G151" s="179" t="s">
        <v>4748</v>
      </c>
      <c r="H151" s="254">
        <v>2822</v>
      </c>
      <c r="I151" s="180">
        <v>8.5</v>
      </c>
      <c r="J151" s="102">
        <v>170131801</v>
      </c>
      <c r="K151" s="102">
        <f>IFERROR(Table21[[#This Row],[ROUTE COST]]/Table21[[#This Row],[O - DEMAND]],0)</f>
        <v>37790.271212794316</v>
      </c>
      <c r="L151" s="26">
        <v>4502</v>
      </c>
      <c r="M151" s="26">
        <f>IFERROR(VLOOKUP(Table21[[#This Row],[ROUTE]],DEMAND!A:F,5,FALSE),0)</f>
        <v>4802</v>
      </c>
      <c r="N151" s="26">
        <f>IFERROR(VLOOKUP(Table21[[#This Row],[ROUTE]],DEMAND!A:F,6,FALSE),0)</f>
        <v>842</v>
      </c>
      <c r="O151" s="26">
        <f>ROUNDDOWN(Table21[[#This Row],[R-DEMAND]]/1320,0)</f>
        <v>0</v>
      </c>
      <c r="P151" s="26">
        <f>Table21[[#This Row],[ADD ACC]]*Table21[[#This Row],[Duration
(747-400)]]</f>
        <v>0</v>
      </c>
      <c r="Q151" s="284">
        <f>IFERROR(VLOOKUP(Table21[[#This Row],[ROUTE]],PRICING!A:B,2,FALSE),0)</f>
        <v>795</v>
      </c>
      <c r="R151" s="282">
        <f>Table21[[#This Row],[C_DEMAND]]-Table21[[#This Row],[R-DEMAND]]</f>
        <v>3960</v>
      </c>
      <c r="S151" s="287">
        <f>Table21[[#This Row],[SEATS SOLD]]*Table21[[#This Row],[ECO SEAT]]</f>
        <v>3148200</v>
      </c>
    </row>
    <row r="152" spans="1:19" x14ac:dyDescent="0.25">
      <c r="A152" s="16" t="s">
        <v>16379</v>
      </c>
      <c r="B152" s="16" t="s">
        <v>157</v>
      </c>
      <c r="C152" s="16" t="s">
        <v>2</v>
      </c>
      <c r="D152" s="16">
        <v>5</v>
      </c>
      <c r="E152" s="16" t="s">
        <v>1427</v>
      </c>
      <c r="F152" s="16" t="s">
        <v>12674</v>
      </c>
      <c r="G152" s="179" t="s">
        <v>11057</v>
      </c>
      <c r="H152" s="254">
        <v>7722</v>
      </c>
      <c r="I152" s="180">
        <v>19.25</v>
      </c>
      <c r="J152" s="102">
        <v>259201576</v>
      </c>
      <c r="K152" s="102">
        <f>IFERROR(Table21[[#This Row],[ROUTE COST]]/Table21[[#This Row],[O - DEMAND]],0)</f>
        <v>79339.325374961743</v>
      </c>
      <c r="L152" s="26">
        <v>3267</v>
      </c>
      <c r="M152" s="26">
        <f>IFERROR(VLOOKUP(Table21[[#This Row],[ROUTE]],DEMAND!A:F,5,FALSE),0)</f>
        <v>3474</v>
      </c>
      <c r="N152" s="26">
        <f>IFERROR(VLOOKUP(Table21[[#This Row],[ROUTE]],DEMAND!A:F,6,FALSE),0)</f>
        <v>834</v>
      </c>
      <c r="O152" s="26">
        <f>ROUNDDOWN(Table21[[#This Row],[R-DEMAND]]/1320,0)</f>
        <v>0</v>
      </c>
      <c r="P152" s="26">
        <f>Table21[[#This Row],[ADD ACC]]*Table21[[#This Row],[Duration
(747-400)]]</f>
        <v>0</v>
      </c>
      <c r="Q152" s="284">
        <f>IFERROR(VLOOKUP(Table21[[#This Row],[ROUTE]],PRICING!A:B,2,FALSE),0)</f>
        <v>2035</v>
      </c>
      <c r="R152" s="282">
        <f>Table21[[#This Row],[C_DEMAND]]-Table21[[#This Row],[R-DEMAND]]</f>
        <v>2640</v>
      </c>
      <c r="S152" s="287">
        <f>Table21[[#This Row],[SEATS SOLD]]*Table21[[#This Row],[ECO SEAT]]</f>
        <v>5372400</v>
      </c>
    </row>
    <row r="153" spans="1:19" x14ac:dyDescent="0.25">
      <c r="A153" s="16" t="s">
        <v>16615</v>
      </c>
      <c r="B153" s="16" t="s">
        <v>232</v>
      </c>
      <c r="C153" s="16" t="s">
        <v>2</v>
      </c>
      <c r="D153" s="16">
        <v>3</v>
      </c>
      <c r="E153" s="16" t="s">
        <v>567</v>
      </c>
      <c r="F153" s="16" t="s">
        <v>12670</v>
      </c>
      <c r="G153" s="179" t="s">
        <v>12000</v>
      </c>
      <c r="H153" s="254">
        <v>4185</v>
      </c>
      <c r="I153" s="180">
        <v>11.5</v>
      </c>
      <c r="J153" s="102">
        <v>187870730</v>
      </c>
      <c r="K153" s="102">
        <f>IFERROR(Table21[[#This Row],[ROUTE COST]]/Table21[[#This Row],[O - DEMAND]],0)</f>
        <v>56621.67872212176</v>
      </c>
      <c r="L153" s="26">
        <v>3318</v>
      </c>
      <c r="M153" s="26">
        <f>IFERROR(VLOOKUP(Table21[[#This Row],[ROUTE]],DEMAND!A:F,5,FALSE),0)</f>
        <v>3473</v>
      </c>
      <c r="N153" s="26">
        <f>IFERROR(VLOOKUP(Table21[[#This Row],[ROUTE]],DEMAND!A:F,6,FALSE),0)</f>
        <v>833</v>
      </c>
      <c r="O153" s="26">
        <f>ROUNDDOWN(Table21[[#This Row],[R-DEMAND]]/1320,0)</f>
        <v>0</v>
      </c>
      <c r="P153" s="26">
        <f>Table21[[#This Row],[ADD ACC]]*Table21[[#This Row],[Duration
(747-400)]]</f>
        <v>0</v>
      </c>
      <c r="Q153" s="284">
        <f>IFERROR(VLOOKUP(Table21[[#This Row],[ROUTE]],PRICING!A:B,2,FALSE),0)</f>
        <v>1218</v>
      </c>
      <c r="R153" s="282">
        <f>Table21[[#This Row],[C_DEMAND]]-Table21[[#This Row],[R-DEMAND]]</f>
        <v>2640</v>
      </c>
      <c r="S153" s="287">
        <f>Table21[[#This Row],[SEATS SOLD]]*Table21[[#This Row],[ECO SEAT]]</f>
        <v>3215520</v>
      </c>
    </row>
    <row r="154" spans="1:19" x14ac:dyDescent="0.25">
      <c r="A154" s="16" t="s">
        <v>16259</v>
      </c>
      <c r="B154" s="16" t="s">
        <v>160</v>
      </c>
      <c r="C154" s="16" t="s">
        <v>2</v>
      </c>
      <c r="D154" s="16">
        <v>3</v>
      </c>
      <c r="E154" s="16" t="s">
        <v>5096</v>
      </c>
      <c r="F154" s="16" t="s">
        <v>12671</v>
      </c>
      <c r="G154" s="179" t="s">
        <v>12011</v>
      </c>
      <c r="H154" s="254">
        <v>9079</v>
      </c>
      <c r="I154" s="180">
        <v>22.25</v>
      </c>
      <c r="J154" s="102">
        <v>237831832</v>
      </c>
      <c r="K154" s="102">
        <f>IFERROR(Table21[[#This Row],[ROUTE COST]]/Table21[[#This Row],[O - DEMAND]],0)</f>
        <v>72887.475329451423</v>
      </c>
      <c r="L154" s="26">
        <v>3263</v>
      </c>
      <c r="M154" s="26">
        <f>IFERROR(VLOOKUP(Table21[[#This Row],[ROUTE]],DEMAND!A:F,5,FALSE),0)</f>
        <v>3470</v>
      </c>
      <c r="N154" s="26">
        <f>IFERROR(VLOOKUP(Table21[[#This Row],[ROUTE]],DEMAND!A:F,6,FALSE),0)</f>
        <v>830</v>
      </c>
      <c r="O154" s="26">
        <f>ROUNDDOWN(Table21[[#This Row],[R-DEMAND]]/1320,0)</f>
        <v>0</v>
      </c>
      <c r="P154" s="26">
        <f>Table21[[#This Row],[ADD ACC]]*Table21[[#This Row],[Duration
(747-400)]]</f>
        <v>0</v>
      </c>
      <c r="Q154" s="284">
        <f>IFERROR(VLOOKUP(Table21[[#This Row],[ROUTE]],PRICING!A:B,2,FALSE),0)</f>
        <v>2376</v>
      </c>
      <c r="R154" s="282">
        <f>Table21[[#This Row],[C_DEMAND]]-Table21[[#This Row],[R-DEMAND]]</f>
        <v>2640</v>
      </c>
      <c r="S154" s="287">
        <f>Table21[[#This Row],[SEATS SOLD]]*Table21[[#This Row],[ECO SEAT]]</f>
        <v>6272640</v>
      </c>
    </row>
    <row r="155" spans="1:19" x14ac:dyDescent="0.25">
      <c r="A155" s="16" t="s">
        <v>16366</v>
      </c>
      <c r="B155" s="16" t="s">
        <v>446</v>
      </c>
      <c r="C155" s="16" t="s">
        <v>2</v>
      </c>
      <c r="D155" s="16">
        <v>5</v>
      </c>
      <c r="E155" s="16" t="s">
        <v>3204</v>
      </c>
      <c r="F155" s="16" t="s">
        <v>12674</v>
      </c>
      <c r="G155" s="179" t="s">
        <v>11111</v>
      </c>
      <c r="H155" s="254">
        <v>7828</v>
      </c>
      <c r="I155" s="180">
        <v>19.5</v>
      </c>
      <c r="J155" s="102">
        <v>265120968</v>
      </c>
      <c r="K155" s="102">
        <f>IFERROR(Table21[[#This Row],[ROUTE COST]]/Table21[[#This Row],[O - DEMAND]],0)</f>
        <v>79496.542128935529</v>
      </c>
      <c r="L155" s="26">
        <v>3335</v>
      </c>
      <c r="M155" s="26">
        <f>IFERROR(VLOOKUP(Table21[[#This Row],[ROUTE]],DEMAND!A:F,5,FALSE),0)</f>
        <v>3468</v>
      </c>
      <c r="N155" s="26">
        <f>IFERROR(VLOOKUP(Table21[[#This Row],[ROUTE]],DEMAND!A:F,6,FALSE),0)</f>
        <v>828</v>
      </c>
      <c r="O155" s="26">
        <f>ROUNDDOWN(Table21[[#This Row],[R-DEMAND]]/1320,0)</f>
        <v>0</v>
      </c>
      <c r="P155" s="26">
        <f>Table21[[#This Row],[ADD ACC]]*Table21[[#This Row],[Duration
(747-400)]]</f>
        <v>0</v>
      </c>
      <c r="Q155" s="284">
        <f>IFERROR(VLOOKUP(Table21[[#This Row],[ROUTE]],PRICING!A:B,2,FALSE),0)</f>
        <v>2240</v>
      </c>
      <c r="R155" s="282">
        <f>Table21[[#This Row],[C_DEMAND]]-Table21[[#This Row],[R-DEMAND]]</f>
        <v>2640</v>
      </c>
      <c r="S155" s="287">
        <f>Table21[[#This Row],[SEATS SOLD]]*Table21[[#This Row],[ECO SEAT]]</f>
        <v>5913600</v>
      </c>
    </row>
    <row r="156" spans="1:19" x14ac:dyDescent="0.25">
      <c r="A156" s="16" t="s">
        <v>15999</v>
      </c>
      <c r="B156" s="16" t="s">
        <v>1851</v>
      </c>
      <c r="C156" s="16" t="s">
        <v>2</v>
      </c>
      <c r="D156" s="16">
        <v>1</v>
      </c>
      <c r="E156" s="16" t="s">
        <v>926</v>
      </c>
      <c r="F156" s="16" t="s">
        <v>12671</v>
      </c>
      <c r="G156" s="179" t="s">
        <v>6801</v>
      </c>
      <c r="H156" s="254">
        <v>12416</v>
      </c>
      <c r="I156" s="180">
        <v>29.5</v>
      </c>
      <c r="J156" s="102">
        <v>247295015</v>
      </c>
      <c r="K156" s="102">
        <f>IFERROR(Table21[[#This Row],[ROUTE COST]]/Table21[[#This Row],[O - DEMAND]],0)</f>
        <v>74419.204032500755</v>
      </c>
      <c r="L156" s="26">
        <v>3323</v>
      </c>
      <c r="M156" s="26">
        <f>IFERROR(VLOOKUP(Table21[[#This Row],[ROUTE]],DEMAND!A:F,5,FALSE),0)</f>
        <v>3467</v>
      </c>
      <c r="N156" s="26">
        <f>IFERROR(VLOOKUP(Table21[[#This Row],[ROUTE]],DEMAND!A:F,6,FALSE),0)</f>
        <v>827</v>
      </c>
      <c r="O156" s="26">
        <f>ROUNDDOWN(Table21[[#This Row],[R-DEMAND]]/1320,0)</f>
        <v>0</v>
      </c>
      <c r="P156" s="26">
        <f>Table21[[#This Row],[ADD ACC]]*Table21[[#This Row],[Duration
(747-400)]]</f>
        <v>0</v>
      </c>
      <c r="Q156" s="284">
        <f>IFERROR(VLOOKUP(Table21[[#This Row],[ROUTE]],PRICING!A:B,2,FALSE),0)</f>
        <v>3452</v>
      </c>
      <c r="R156" s="282">
        <f>Table21[[#This Row],[C_DEMAND]]-Table21[[#This Row],[R-DEMAND]]</f>
        <v>2640</v>
      </c>
      <c r="S156" s="287">
        <f>Table21[[#This Row],[SEATS SOLD]]*Table21[[#This Row],[ECO SEAT]]</f>
        <v>9113280</v>
      </c>
    </row>
    <row r="157" spans="1:19" x14ac:dyDescent="0.25">
      <c r="A157" s="16" t="s">
        <v>16603</v>
      </c>
      <c r="B157" s="16" t="s">
        <v>215</v>
      </c>
      <c r="C157" s="16" t="s">
        <v>2</v>
      </c>
      <c r="D157" s="16">
        <v>4</v>
      </c>
      <c r="E157" s="16" t="s">
        <v>1261</v>
      </c>
      <c r="F157" s="16" t="s">
        <v>12670</v>
      </c>
      <c r="G157" s="179" t="s">
        <v>11070</v>
      </c>
      <c r="H157" s="254">
        <v>4427</v>
      </c>
      <c r="I157" s="180">
        <v>12</v>
      </c>
      <c r="J157" s="102">
        <v>209269837</v>
      </c>
      <c r="K157" s="102">
        <f>IFERROR(Table21[[#This Row],[ROUTE COST]]/Table21[[#This Row],[O - DEMAND]],0)</f>
        <v>46525.08603823922</v>
      </c>
      <c r="L157" s="26">
        <v>4498</v>
      </c>
      <c r="M157" s="26">
        <f>IFERROR(VLOOKUP(Table21[[#This Row],[ROUTE]],DEMAND!A:F,5,FALSE),0)</f>
        <v>4784</v>
      </c>
      <c r="N157" s="26">
        <f>IFERROR(VLOOKUP(Table21[[#This Row],[ROUTE]],DEMAND!A:F,6,FALSE),0)</f>
        <v>824</v>
      </c>
      <c r="O157" s="26">
        <f>ROUNDDOWN(Table21[[#This Row],[R-DEMAND]]/1320,0)</f>
        <v>0</v>
      </c>
      <c r="P157" s="26">
        <f>Table21[[#This Row],[ADD ACC]]*Table21[[#This Row],[Duration
(747-400)]]</f>
        <v>0</v>
      </c>
      <c r="Q157" s="284">
        <f>IFERROR(VLOOKUP(Table21[[#This Row],[ROUTE]],PRICING!A:B,2,FALSE),0)</f>
        <v>1208</v>
      </c>
      <c r="R157" s="282">
        <f>Table21[[#This Row],[C_DEMAND]]-Table21[[#This Row],[R-DEMAND]]</f>
        <v>3960</v>
      </c>
      <c r="S157" s="287">
        <f>Table21[[#This Row],[SEATS SOLD]]*Table21[[#This Row],[ECO SEAT]]</f>
        <v>4783680</v>
      </c>
    </row>
    <row r="158" spans="1:19" x14ac:dyDescent="0.25">
      <c r="A158" s="16" t="s">
        <v>16090</v>
      </c>
      <c r="B158" s="16" t="s">
        <v>238</v>
      </c>
      <c r="C158" s="16" t="s">
        <v>2</v>
      </c>
      <c r="D158" s="16">
        <v>5</v>
      </c>
      <c r="E158" s="16" t="s">
        <v>11732</v>
      </c>
      <c r="F158" s="16" t="s">
        <v>15969</v>
      </c>
      <c r="G158" s="179" t="s">
        <v>13346</v>
      </c>
      <c r="H158" s="254">
        <v>10981</v>
      </c>
      <c r="I158" s="180">
        <v>26.5</v>
      </c>
      <c r="J158" s="102">
        <v>298769600</v>
      </c>
      <c r="K158" s="102">
        <f>IFERROR(Table21[[#This Row],[ROUTE COST]]/Table21[[#This Row],[O - DEMAND]],0)</f>
        <v>92155.953115360884</v>
      </c>
      <c r="L158" s="26">
        <v>3242</v>
      </c>
      <c r="M158" s="26">
        <f>IFERROR(VLOOKUP(Table21[[#This Row],[ROUTE]],DEMAND!A:F,5,FALSE),0)</f>
        <v>3458</v>
      </c>
      <c r="N158" s="26">
        <f>IFERROR(VLOOKUP(Table21[[#This Row],[ROUTE]],DEMAND!A:F,6,FALSE),0)</f>
        <v>818</v>
      </c>
      <c r="O158" s="26">
        <f>ROUNDDOWN(Table21[[#This Row],[R-DEMAND]]/1320,0)</f>
        <v>0</v>
      </c>
      <c r="P158" s="26">
        <f>Table21[[#This Row],[ADD ACC]]*Table21[[#This Row],[Duration
(747-400)]]</f>
        <v>0</v>
      </c>
      <c r="Q158" s="284">
        <f>IFERROR(VLOOKUP(Table21[[#This Row],[ROUTE]],PRICING!A:B,2,FALSE),0)</f>
        <v>2819</v>
      </c>
      <c r="R158" s="282">
        <f>Table21[[#This Row],[C_DEMAND]]-Table21[[#This Row],[R-DEMAND]]</f>
        <v>2640</v>
      </c>
      <c r="S158" s="287">
        <f>Table21[[#This Row],[SEATS SOLD]]*Table21[[#This Row],[ECO SEAT]]</f>
        <v>7442160</v>
      </c>
    </row>
    <row r="159" spans="1:19" x14ac:dyDescent="0.25">
      <c r="A159" s="16" t="s">
        <v>16562</v>
      </c>
      <c r="B159" s="16" t="s">
        <v>180</v>
      </c>
      <c r="C159" s="16" t="s">
        <v>2</v>
      </c>
      <c r="D159" s="16">
        <v>3</v>
      </c>
      <c r="E159" s="16" t="s">
        <v>1456</v>
      </c>
      <c r="F159" s="16" t="s">
        <v>12670</v>
      </c>
      <c r="G159" s="179" t="s">
        <v>11992</v>
      </c>
      <c r="H159" s="254">
        <v>5698</v>
      </c>
      <c r="I159" s="180">
        <v>14.75</v>
      </c>
      <c r="J159" s="102">
        <v>209169823</v>
      </c>
      <c r="K159" s="102">
        <f>IFERROR(Table21[[#This Row],[ROUTE COST]]/Table21[[#This Row],[O - DEMAND]],0)</f>
        <v>64320.363776137761</v>
      </c>
      <c r="L159" s="26">
        <v>3252</v>
      </c>
      <c r="M159" s="26">
        <f>IFERROR(VLOOKUP(Table21[[#This Row],[ROUTE]],DEMAND!A:F,5,FALSE),0)</f>
        <v>3458</v>
      </c>
      <c r="N159" s="26">
        <f>IFERROR(VLOOKUP(Table21[[#This Row],[ROUTE]],DEMAND!A:F,6,FALSE),0)</f>
        <v>818</v>
      </c>
      <c r="O159" s="26">
        <f>ROUNDDOWN(Table21[[#This Row],[R-DEMAND]]/1320,0)</f>
        <v>0</v>
      </c>
      <c r="P159" s="26">
        <f>Table21[[#This Row],[ADD ACC]]*Table21[[#This Row],[Duration
(747-400)]]</f>
        <v>0</v>
      </c>
      <c r="Q159" s="284">
        <f>IFERROR(VLOOKUP(Table21[[#This Row],[ROUTE]],PRICING!A:B,2,FALSE),0)</f>
        <v>1527</v>
      </c>
      <c r="R159" s="282">
        <f>Table21[[#This Row],[C_DEMAND]]-Table21[[#This Row],[R-DEMAND]]</f>
        <v>2640</v>
      </c>
      <c r="S159" s="287">
        <f>Table21[[#This Row],[SEATS SOLD]]*Table21[[#This Row],[ECO SEAT]]</f>
        <v>4031280</v>
      </c>
    </row>
    <row r="160" spans="1:19" x14ac:dyDescent="0.25">
      <c r="A160" s="16" t="s">
        <v>16401</v>
      </c>
      <c r="B160" s="16" t="s">
        <v>5602</v>
      </c>
      <c r="C160" s="16" t="s">
        <v>2</v>
      </c>
      <c r="D160" s="16">
        <v>4</v>
      </c>
      <c r="E160" s="16" t="s">
        <v>11049</v>
      </c>
      <c r="F160" s="16" t="s">
        <v>12674</v>
      </c>
      <c r="G160" s="179" t="s">
        <v>11048</v>
      </c>
      <c r="H160" s="254">
        <v>7462</v>
      </c>
      <c r="I160" s="180">
        <v>18.75</v>
      </c>
      <c r="J160" s="102">
        <v>238832976</v>
      </c>
      <c r="K160" s="102">
        <f>IFERROR(Table21[[#This Row],[ROUTE COST]]/Table21[[#This Row],[O - DEMAND]],0)</f>
        <v>72748.393542491627</v>
      </c>
      <c r="L160" s="26">
        <v>3283</v>
      </c>
      <c r="M160" s="26">
        <f>IFERROR(VLOOKUP(Table21[[#This Row],[ROUTE]],DEMAND!A:F,5,FALSE),0)</f>
        <v>3458</v>
      </c>
      <c r="N160" s="26">
        <f>IFERROR(VLOOKUP(Table21[[#This Row],[ROUTE]],DEMAND!A:F,6,FALSE),0)</f>
        <v>818</v>
      </c>
      <c r="O160" s="26">
        <f>ROUNDDOWN(Table21[[#This Row],[R-DEMAND]]/1320,0)</f>
        <v>0</v>
      </c>
      <c r="P160" s="26">
        <f>Table21[[#This Row],[ADD ACC]]*Table21[[#This Row],[Duration
(747-400)]]</f>
        <v>0</v>
      </c>
      <c r="Q160" s="284">
        <f>IFERROR(VLOOKUP(Table21[[#This Row],[ROUTE]],PRICING!A:B,2,FALSE),0)</f>
        <v>2043</v>
      </c>
      <c r="R160" s="282">
        <f>Table21[[#This Row],[C_DEMAND]]-Table21[[#This Row],[R-DEMAND]]</f>
        <v>2640</v>
      </c>
      <c r="S160" s="287">
        <f>Table21[[#This Row],[SEATS SOLD]]*Table21[[#This Row],[ECO SEAT]]</f>
        <v>5393520</v>
      </c>
    </row>
    <row r="161" spans="1:19" x14ac:dyDescent="0.25">
      <c r="A161" s="16" t="s">
        <v>16390</v>
      </c>
      <c r="B161" s="16" t="s">
        <v>1475</v>
      </c>
      <c r="C161" s="16" t="s">
        <v>2</v>
      </c>
      <c r="D161" s="16">
        <v>3</v>
      </c>
      <c r="E161" s="16" t="s">
        <v>1289</v>
      </c>
      <c r="F161" s="16" t="s">
        <v>12670</v>
      </c>
      <c r="G161" s="179" t="s">
        <v>11942</v>
      </c>
      <c r="H161" s="254">
        <v>7576</v>
      </c>
      <c r="I161" s="180">
        <v>19</v>
      </c>
      <c r="J161" s="102">
        <v>198540473</v>
      </c>
      <c r="K161" s="102">
        <f>IFERROR(Table21[[#This Row],[ROUTE COST]]/Table21[[#This Row],[O - DEMAND]],0)</f>
        <v>60901.985582822083</v>
      </c>
      <c r="L161" s="26">
        <v>3260</v>
      </c>
      <c r="M161" s="26">
        <f>IFERROR(VLOOKUP(Table21[[#This Row],[ROUTE]],DEMAND!A:F,5,FALSE),0)</f>
        <v>3456</v>
      </c>
      <c r="N161" s="26">
        <f>IFERROR(VLOOKUP(Table21[[#This Row],[ROUTE]],DEMAND!A:F,6,FALSE),0)</f>
        <v>816</v>
      </c>
      <c r="O161" s="26">
        <f>ROUNDDOWN(Table21[[#This Row],[R-DEMAND]]/1320,0)</f>
        <v>0</v>
      </c>
      <c r="P161" s="26">
        <f>Table21[[#This Row],[ADD ACC]]*Table21[[#This Row],[Duration
(747-400)]]</f>
        <v>0</v>
      </c>
      <c r="Q161" s="284">
        <f>IFERROR(VLOOKUP(Table21[[#This Row],[ROUTE]],PRICING!A:B,2,FALSE),0)</f>
        <v>2023</v>
      </c>
      <c r="R161" s="282">
        <f>Table21[[#This Row],[C_DEMAND]]-Table21[[#This Row],[R-DEMAND]]</f>
        <v>2640</v>
      </c>
      <c r="S161" s="287">
        <f>Table21[[#This Row],[SEATS SOLD]]*Table21[[#This Row],[ECO SEAT]]</f>
        <v>5340720</v>
      </c>
    </row>
    <row r="162" spans="1:19" x14ac:dyDescent="0.25">
      <c r="A162" s="16" t="s">
        <v>16547</v>
      </c>
      <c r="B162" s="16" t="s">
        <v>4611</v>
      </c>
      <c r="C162" s="16" t="s">
        <v>2</v>
      </c>
      <c r="D162" s="16">
        <v>2</v>
      </c>
      <c r="E162" s="16" t="s">
        <v>502</v>
      </c>
      <c r="F162" s="16" t="s">
        <v>12670</v>
      </c>
      <c r="G162" s="179" t="s">
        <v>11921</v>
      </c>
      <c r="H162" s="254">
        <v>5909</v>
      </c>
      <c r="I162" s="180">
        <v>15.25</v>
      </c>
      <c r="J162" s="102">
        <v>199990533</v>
      </c>
      <c r="K162" s="102">
        <f>IFERROR(Table21[[#This Row],[ROUTE COST]]/Table21[[#This Row],[O - DEMAND]],0)</f>
        <v>61573.439963054188</v>
      </c>
      <c r="L162" s="26">
        <v>3248</v>
      </c>
      <c r="M162" s="26">
        <f>IFERROR(VLOOKUP(Table21[[#This Row],[ROUTE]],DEMAND!A:F,5,FALSE),0)</f>
        <v>3454</v>
      </c>
      <c r="N162" s="26">
        <f>IFERROR(VLOOKUP(Table21[[#This Row],[ROUTE]],DEMAND!A:F,6,FALSE),0)</f>
        <v>814</v>
      </c>
      <c r="O162" s="26">
        <f>ROUNDDOWN(Table21[[#This Row],[R-DEMAND]]/1320,0)</f>
        <v>0</v>
      </c>
      <c r="P162" s="26">
        <f>Table21[[#This Row],[ADD ACC]]*Table21[[#This Row],[Duration
(747-400)]]</f>
        <v>0</v>
      </c>
      <c r="Q162" s="284">
        <f>IFERROR(VLOOKUP(Table21[[#This Row],[ROUTE]],PRICING!A:B,2,FALSE),0)</f>
        <v>1580</v>
      </c>
      <c r="R162" s="282">
        <f>Table21[[#This Row],[C_DEMAND]]-Table21[[#This Row],[R-DEMAND]]</f>
        <v>2640</v>
      </c>
      <c r="S162" s="287">
        <f>Table21[[#This Row],[SEATS SOLD]]*Table21[[#This Row],[ECO SEAT]]</f>
        <v>4171200</v>
      </c>
    </row>
    <row r="163" spans="1:19" x14ac:dyDescent="0.25">
      <c r="A163" s="16" t="s">
        <v>16013</v>
      </c>
      <c r="B163" s="16" t="s">
        <v>1465</v>
      </c>
      <c r="C163" s="16" t="s">
        <v>2</v>
      </c>
      <c r="D163" s="16">
        <v>1</v>
      </c>
      <c r="E163" s="16" t="s">
        <v>580</v>
      </c>
      <c r="F163" s="16" t="s">
        <v>12671</v>
      </c>
      <c r="G163" s="179" t="s">
        <v>8079</v>
      </c>
      <c r="H163" s="254">
        <v>12167</v>
      </c>
      <c r="I163" s="180">
        <v>29</v>
      </c>
      <c r="J163" s="102">
        <v>243521931</v>
      </c>
      <c r="K163" s="102">
        <f>IFERROR(Table21[[#This Row],[ROUTE COST]]/Table21[[#This Row],[O - DEMAND]],0)</f>
        <v>73794.524545454551</v>
      </c>
      <c r="L163" s="26">
        <v>3300</v>
      </c>
      <c r="M163" s="26">
        <f>IFERROR(VLOOKUP(Table21[[#This Row],[ROUTE]],DEMAND!A:F,5,FALSE),0)</f>
        <v>3454</v>
      </c>
      <c r="N163" s="26">
        <f>IFERROR(VLOOKUP(Table21[[#This Row],[ROUTE]],DEMAND!A:F,6,FALSE),0)</f>
        <v>814</v>
      </c>
      <c r="O163" s="26">
        <f>ROUNDDOWN(Table21[[#This Row],[R-DEMAND]]/1320,0)</f>
        <v>0</v>
      </c>
      <c r="P163" s="26">
        <f>Table21[[#This Row],[ADD ACC]]*Table21[[#This Row],[Duration
(747-400)]]</f>
        <v>0</v>
      </c>
      <c r="Q163" s="284">
        <f>IFERROR(VLOOKUP(Table21[[#This Row],[ROUTE]],PRICING!A:B,2,FALSE),0)</f>
        <v>3346</v>
      </c>
      <c r="R163" s="282">
        <f>Table21[[#This Row],[C_DEMAND]]-Table21[[#This Row],[R-DEMAND]]</f>
        <v>2640</v>
      </c>
      <c r="S163" s="287">
        <f>Table21[[#This Row],[SEATS SOLD]]*Table21[[#This Row],[ECO SEAT]]</f>
        <v>8833440</v>
      </c>
    </row>
    <row r="164" spans="1:19" x14ac:dyDescent="0.25">
      <c r="A164" s="16" t="s">
        <v>16699</v>
      </c>
      <c r="B164" s="16" t="s">
        <v>349</v>
      </c>
      <c r="C164" s="16" t="s">
        <v>2</v>
      </c>
      <c r="D164" s="16">
        <v>4</v>
      </c>
      <c r="E164" s="16" t="s">
        <v>142</v>
      </c>
      <c r="F164" s="16" t="s">
        <v>12670</v>
      </c>
      <c r="G164" s="179" t="s">
        <v>11093</v>
      </c>
      <c r="H164" s="254">
        <v>2107</v>
      </c>
      <c r="I164" s="180">
        <v>6.75</v>
      </c>
      <c r="J164" s="102">
        <v>192348819</v>
      </c>
      <c r="K164" s="102">
        <f>IFERROR(Table21[[#This Row],[ROUTE COST]]/Table21[[#This Row],[O - DEMAND]],0)</f>
        <v>59238.934093008931</v>
      </c>
      <c r="L164" s="26">
        <v>3247</v>
      </c>
      <c r="M164" s="26">
        <f>IFERROR(VLOOKUP(Table21[[#This Row],[ROUTE]],DEMAND!A:F,5,FALSE),0)</f>
        <v>3453</v>
      </c>
      <c r="N164" s="26">
        <f>IFERROR(VLOOKUP(Table21[[#This Row],[ROUTE]],DEMAND!A:F,6,FALSE),0)</f>
        <v>813</v>
      </c>
      <c r="O164" s="26">
        <f>ROUNDDOWN(Table21[[#This Row],[R-DEMAND]]/1320,0)</f>
        <v>0</v>
      </c>
      <c r="P164" s="26">
        <f>Table21[[#This Row],[ADD ACC]]*Table21[[#This Row],[Duration
(747-400)]]</f>
        <v>0</v>
      </c>
      <c r="Q164" s="284">
        <f>IFERROR(VLOOKUP(Table21[[#This Row],[ROUTE]],PRICING!A:B,2,FALSE),0)</f>
        <v>626</v>
      </c>
      <c r="R164" s="282">
        <f>Table21[[#This Row],[C_DEMAND]]-Table21[[#This Row],[R-DEMAND]]</f>
        <v>2640</v>
      </c>
      <c r="S164" s="287">
        <f>Table21[[#This Row],[SEATS SOLD]]*Table21[[#This Row],[ECO SEAT]]</f>
        <v>1652640</v>
      </c>
    </row>
    <row r="165" spans="1:19" x14ac:dyDescent="0.25">
      <c r="A165" s="16" t="s">
        <v>16298</v>
      </c>
      <c r="B165" s="16" t="s">
        <v>3941</v>
      </c>
      <c r="C165" s="16" t="s">
        <v>2</v>
      </c>
      <c r="D165" s="16">
        <v>2</v>
      </c>
      <c r="E165" s="16" t="s">
        <v>2527</v>
      </c>
      <c r="F165" s="16" t="s">
        <v>12671</v>
      </c>
      <c r="G165" s="179" t="s">
        <v>11929</v>
      </c>
      <c r="H165" s="254">
        <v>8492</v>
      </c>
      <c r="I165" s="180">
        <v>21</v>
      </c>
      <c r="J165" s="102">
        <v>222285443</v>
      </c>
      <c r="K165" s="102">
        <f>IFERROR(Table21[[#This Row],[ROUTE COST]]/Table21[[#This Row],[O - DEMAND]],0)</f>
        <v>49221.754428697961</v>
      </c>
      <c r="L165" s="26">
        <v>4516</v>
      </c>
      <c r="M165" s="26">
        <f>IFERROR(VLOOKUP(Table21[[#This Row],[ROUTE]],DEMAND!A:F,5,FALSE),0)</f>
        <v>4772</v>
      </c>
      <c r="N165" s="26">
        <f>IFERROR(VLOOKUP(Table21[[#This Row],[ROUTE]],DEMAND!A:F,6,FALSE),0)</f>
        <v>812</v>
      </c>
      <c r="O165" s="26">
        <f>ROUNDDOWN(Table21[[#This Row],[R-DEMAND]]/1320,0)</f>
        <v>0</v>
      </c>
      <c r="P165" s="26">
        <f>Table21[[#This Row],[ADD ACC]]*Table21[[#This Row],[Duration
(747-400)]]</f>
        <v>0</v>
      </c>
      <c r="Q165" s="284">
        <f>IFERROR(VLOOKUP(Table21[[#This Row],[ROUTE]],PRICING!A:B,2,FALSE),0)</f>
        <v>2284</v>
      </c>
      <c r="R165" s="282">
        <f>Table21[[#This Row],[C_DEMAND]]-Table21[[#This Row],[R-DEMAND]]</f>
        <v>3960</v>
      </c>
      <c r="S165" s="287">
        <f>Table21[[#This Row],[SEATS SOLD]]*Table21[[#This Row],[ECO SEAT]]</f>
        <v>9044640</v>
      </c>
    </row>
    <row r="166" spans="1:19" x14ac:dyDescent="0.25">
      <c r="A166" s="16" t="s">
        <v>16422</v>
      </c>
      <c r="B166" s="16" t="s">
        <v>393</v>
      </c>
      <c r="C166" s="16" t="s">
        <v>2</v>
      </c>
      <c r="D166" s="16">
        <v>4</v>
      </c>
      <c r="E166" s="16" t="s">
        <v>2729</v>
      </c>
      <c r="F166" s="16" t="s">
        <v>12674</v>
      </c>
      <c r="G166" s="179" t="s">
        <v>11102</v>
      </c>
      <c r="H166" s="254">
        <v>7330</v>
      </c>
      <c r="I166" s="180">
        <v>18.25</v>
      </c>
      <c r="J166" s="102">
        <v>233351520</v>
      </c>
      <c r="K166" s="102">
        <f>IFERROR(Table21[[#This Row],[ROUTE COST]]/Table21[[#This Row],[O - DEMAND]],0)</f>
        <v>71712.206515058395</v>
      </c>
      <c r="L166" s="26">
        <v>3254</v>
      </c>
      <c r="M166" s="26">
        <f>IFERROR(VLOOKUP(Table21[[#This Row],[ROUTE]],DEMAND!A:F,5,FALSE),0)</f>
        <v>3450</v>
      </c>
      <c r="N166" s="26">
        <f>IFERROR(VLOOKUP(Table21[[#This Row],[ROUTE]],DEMAND!A:F,6,FALSE),0)</f>
        <v>810</v>
      </c>
      <c r="O166" s="26">
        <f>ROUNDDOWN(Table21[[#This Row],[R-DEMAND]]/1320,0)</f>
        <v>0</v>
      </c>
      <c r="P166" s="26">
        <f>Table21[[#This Row],[ADD ACC]]*Table21[[#This Row],[Duration
(747-400)]]</f>
        <v>0</v>
      </c>
      <c r="Q166" s="284">
        <f>IFERROR(VLOOKUP(Table21[[#This Row],[ROUTE]],PRICING!A:B,2,FALSE),0)</f>
        <v>1961</v>
      </c>
      <c r="R166" s="282">
        <f>Table21[[#This Row],[C_DEMAND]]-Table21[[#This Row],[R-DEMAND]]</f>
        <v>2640</v>
      </c>
      <c r="S166" s="287">
        <f>Table21[[#This Row],[SEATS SOLD]]*Table21[[#This Row],[ECO SEAT]]</f>
        <v>5177040</v>
      </c>
    </row>
    <row r="167" spans="1:19" x14ac:dyDescent="0.25">
      <c r="A167" s="16" t="s">
        <v>16471</v>
      </c>
      <c r="B167" s="16" t="s">
        <v>5567</v>
      </c>
      <c r="C167" s="16" t="s">
        <v>2</v>
      </c>
      <c r="D167" s="16">
        <v>4</v>
      </c>
      <c r="E167" s="16" t="s">
        <v>758</v>
      </c>
      <c r="F167" s="16" t="s">
        <v>12674</v>
      </c>
      <c r="G167" s="179" t="s">
        <v>11029</v>
      </c>
      <c r="H167" s="254">
        <v>6945</v>
      </c>
      <c r="I167" s="180">
        <v>17.5</v>
      </c>
      <c r="J167" s="102">
        <v>230876245</v>
      </c>
      <c r="K167" s="102">
        <f>IFERROR(Table21[[#This Row],[ROUTE COST]]/Table21[[#This Row],[O - DEMAND]],0)</f>
        <v>70089.934729811779</v>
      </c>
      <c r="L167" s="26">
        <v>3294</v>
      </c>
      <c r="M167" s="26">
        <f>IFERROR(VLOOKUP(Table21[[#This Row],[ROUTE]],DEMAND!A:F,5,FALSE),0)</f>
        <v>3449</v>
      </c>
      <c r="N167" s="26">
        <f>IFERROR(VLOOKUP(Table21[[#This Row],[ROUTE]],DEMAND!A:F,6,FALSE),0)</f>
        <v>809</v>
      </c>
      <c r="O167" s="26">
        <f>ROUNDDOWN(Table21[[#This Row],[R-DEMAND]]/1320,0)</f>
        <v>0</v>
      </c>
      <c r="P167" s="26">
        <f>Table21[[#This Row],[ADD ACC]]*Table21[[#This Row],[Duration
(747-400)]]</f>
        <v>0</v>
      </c>
      <c r="Q167" s="284">
        <f>IFERROR(VLOOKUP(Table21[[#This Row],[ROUTE]],PRICING!A:B,2,FALSE),0)</f>
        <v>1953</v>
      </c>
      <c r="R167" s="282">
        <f>Table21[[#This Row],[C_DEMAND]]-Table21[[#This Row],[R-DEMAND]]</f>
        <v>2640</v>
      </c>
      <c r="S167" s="287">
        <f>Table21[[#This Row],[SEATS SOLD]]*Table21[[#This Row],[ECO SEAT]]</f>
        <v>5155920</v>
      </c>
    </row>
    <row r="168" spans="1:19" x14ac:dyDescent="0.25">
      <c r="A168" s="16" t="s">
        <v>16130</v>
      </c>
      <c r="B168" s="16" t="s">
        <v>5762</v>
      </c>
      <c r="C168" s="16" t="s">
        <v>2</v>
      </c>
      <c r="D168" s="16">
        <v>5</v>
      </c>
      <c r="E168" s="16" t="s">
        <v>11732</v>
      </c>
      <c r="F168" s="16" t="s">
        <v>15969</v>
      </c>
      <c r="G168" s="179" t="s">
        <v>13309</v>
      </c>
      <c r="H168" s="254">
        <v>10565</v>
      </c>
      <c r="I168" s="180">
        <v>25.5</v>
      </c>
      <c r="J168" s="102">
        <v>294668185</v>
      </c>
      <c r="K168" s="102">
        <f>IFERROR(Table21[[#This Row],[ROUTE COST]]/Table21[[#This Row],[O - DEMAND]],0)</f>
        <v>90583.518290808483</v>
      </c>
      <c r="L168" s="26">
        <v>3253</v>
      </c>
      <c r="M168" s="26">
        <f>IFERROR(VLOOKUP(Table21[[#This Row],[ROUTE]],DEMAND!A:F,5,FALSE),0)</f>
        <v>3448</v>
      </c>
      <c r="N168" s="26">
        <f>IFERROR(VLOOKUP(Table21[[#This Row],[ROUTE]],DEMAND!A:F,6,FALSE),0)</f>
        <v>808</v>
      </c>
      <c r="O168" s="26">
        <f>ROUNDDOWN(Table21[[#This Row],[R-DEMAND]]/1320,0)</f>
        <v>0</v>
      </c>
      <c r="P168" s="26">
        <f>Table21[[#This Row],[ADD ACC]]*Table21[[#This Row],[Duration
(747-400)]]</f>
        <v>0</v>
      </c>
      <c r="Q168" s="284">
        <f>IFERROR(VLOOKUP(Table21[[#This Row],[ROUTE]],PRICING!A:B,2,FALSE),0)</f>
        <v>2783</v>
      </c>
      <c r="R168" s="282">
        <f>Table21[[#This Row],[C_DEMAND]]-Table21[[#This Row],[R-DEMAND]]</f>
        <v>2640</v>
      </c>
      <c r="S168" s="287">
        <f>Table21[[#This Row],[SEATS SOLD]]*Table21[[#This Row],[ECO SEAT]]</f>
        <v>7347120</v>
      </c>
    </row>
    <row r="169" spans="1:19" x14ac:dyDescent="0.25">
      <c r="A169" s="16" t="s">
        <v>15984</v>
      </c>
      <c r="B169" s="16" t="s">
        <v>4729</v>
      </c>
      <c r="C169" s="16" t="s">
        <v>2</v>
      </c>
      <c r="D169" s="16">
        <v>2</v>
      </c>
      <c r="E169" s="16" t="s">
        <v>683</v>
      </c>
      <c r="F169" s="16" t="s">
        <v>12688</v>
      </c>
      <c r="G169" s="179" t="s">
        <v>13187</v>
      </c>
      <c r="H169" s="254">
        <v>12756</v>
      </c>
      <c r="I169" s="180">
        <v>30.5</v>
      </c>
      <c r="J169" s="102">
        <v>267891462</v>
      </c>
      <c r="K169" s="102">
        <f>IFERROR(Table21[[#This Row],[ROUTE COST]]/Table21[[#This Row],[O - DEMAND]],0)</f>
        <v>81873.918704156473</v>
      </c>
      <c r="L169" s="26">
        <v>3272</v>
      </c>
      <c r="M169" s="26">
        <f>IFERROR(VLOOKUP(Table21[[#This Row],[ROUTE]],DEMAND!A:F,5,FALSE),0)</f>
        <v>3446</v>
      </c>
      <c r="N169" s="26">
        <f>IFERROR(VLOOKUP(Table21[[#This Row],[ROUTE]],DEMAND!A:F,6,FALSE),0)</f>
        <v>806</v>
      </c>
      <c r="O169" s="26">
        <f>ROUNDDOWN(Table21[[#This Row],[R-DEMAND]]/1320,0)</f>
        <v>0</v>
      </c>
      <c r="P169" s="26">
        <f>Table21[[#This Row],[ADD ACC]]*Table21[[#This Row],[Duration
(747-400)]]</f>
        <v>0</v>
      </c>
      <c r="Q169" s="284">
        <f>IFERROR(VLOOKUP(Table21[[#This Row],[ROUTE]],PRICING!A:B,2,FALSE),0)</f>
        <v>3422</v>
      </c>
      <c r="R169" s="282">
        <f>Table21[[#This Row],[C_DEMAND]]-Table21[[#This Row],[R-DEMAND]]</f>
        <v>2640</v>
      </c>
      <c r="S169" s="287">
        <f>Table21[[#This Row],[SEATS SOLD]]*Table21[[#This Row],[ECO SEAT]]</f>
        <v>9034080</v>
      </c>
    </row>
    <row r="170" spans="1:19" x14ac:dyDescent="0.25">
      <c r="A170" s="251" t="s">
        <v>16786</v>
      </c>
      <c r="B170" s="251" t="s">
        <v>47</v>
      </c>
      <c r="C170" s="16" t="s">
        <v>2</v>
      </c>
      <c r="D170" s="251">
        <v>5</v>
      </c>
      <c r="E170" s="251" t="s">
        <v>46</v>
      </c>
      <c r="F170" s="251" t="s">
        <v>12670</v>
      </c>
      <c r="G170" s="252" t="s">
        <v>45</v>
      </c>
      <c r="H170" s="254">
        <v>1723</v>
      </c>
      <c r="I170" s="180">
        <v>6</v>
      </c>
      <c r="J170" s="102">
        <v>193543369</v>
      </c>
      <c r="K170" s="253">
        <f>IFERROR(Table21[[#This Row],[ROUTE COST]]/Table21[[#This Row],[O - DEMAND]],0)</f>
        <v>58437.007548309179</v>
      </c>
      <c r="L170" s="26">
        <v>3312</v>
      </c>
      <c r="M170" s="26">
        <f>IFERROR(VLOOKUP(Table21[[#This Row],[ROUTE]],DEMAND!A:F,5,FALSE),0)</f>
        <v>3445</v>
      </c>
      <c r="N170" s="26">
        <f>IFERROR(VLOOKUP(Table21[[#This Row],[ROUTE]],DEMAND!A:F,6,FALSE),0)</f>
        <v>805</v>
      </c>
      <c r="O170" s="26">
        <f>ROUNDDOWN(Table21[[#This Row],[R-DEMAND]]/1320,0)</f>
        <v>0</v>
      </c>
      <c r="P170" s="26">
        <f>Table21[[#This Row],[ADD ACC]]*Table21[[#This Row],[Duration
(747-400)]]</f>
        <v>0</v>
      </c>
      <c r="Q170" s="284">
        <f>IFERROR(VLOOKUP(Table21[[#This Row],[ROUTE]],PRICING!A:B,2,FALSE),0)</f>
        <v>575</v>
      </c>
      <c r="R170" s="282">
        <f>Table21[[#This Row],[C_DEMAND]]-Table21[[#This Row],[R-DEMAND]]</f>
        <v>2640</v>
      </c>
      <c r="S170" s="287">
        <f>Table21[[#This Row],[SEATS SOLD]]*Table21[[#This Row],[ECO SEAT]]</f>
        <v>1518000</v>
      </c>
    </row>
    <row r="171" spans="1:19" x14ac:dyDescent="0.25">
      <c r="A171" s="16" t="s">
        <v>16616</v>
      </c>
      <c r="B171" s="16" t="s">
        <v>2766</v>
      </c>
      <c r="C171" s="16" t="s">
        <v>2</v>
      </c>
      <c r="D171" s="16">
        <v>2</v>
      </c>
      <c r="E171" s="16" t="s">
        <v>2764</v>
      </c>
      <c r="F171" s="16" t="s">
        <v>12670</v>
      </c>
      <c r="G171" s="179" t="s">
        <v>11978</v>
      </c>
      <c r="H171" s="254">
        <v>4176</v>
      </c>
      <c r="I171" s="180">
        <v>11.25</v>
      </c>
      <c r="J171" s="102">
        <v>169539899</v>
      </c>
      <c r="K171" s="102">
        <f>IFERROR(Table21[[#This Row],[ROUTE COST]]/Table21[[#This Row],[O - DEMAND]],0)</f>
        <v>50897.598018613025</v>
      </c>
      <c r="L171" s="26">
        <v>3331</v>
      </c>
      <c r="M171" s="26">
        <f>IFERROR(VLOOKUP(Table21[[#This Row],[ROUTE]],DEMAND!A:F,5,FALSE),0)</f>
        <v>3443</v>
      </c>
      <c r="N171" s="26">
        <f>IFERROR(VLOOKUP(Table21[[#This Row],[ROUTE]],DEMAND!A:F,6,FALSE),0)</f>
        <v>803</v>
      </c>
      <c r="O171" s="26">
        <f>ROUNDDOWN(Table21[[#This Row],[R-DEMAND]]/1320,0)</f>
        <v>0</v>
      </c>
      <c r="P171" s="26">
        <f>Table21[[#This Row],[ADD ACC]]*Table21[[#This Row],[Duration
(747-400)]]</f>
        <v>0</v>
      </c>
      <c r="Q171" s="284">
        <f>IFERROR(VLOOKUP(Table21[[#This Row],[ROUTE]],PRICING!A:B,2,FALSE),0)</f>
        <v>1272</v>
      </c>
      <c r="R171" s="282">
        <f>Table21[[#This Row],[C_DEMAND]]-Table21[[#This Row],[R-DEMAND]]</f>
        <v>2640</v>
      </c>
      <c r="S171" s="287">
        <f>Table21[[#This Row],[SEATS SOLD]]*Table21[[#This Row],[ECO SEAT]]</f>
        <v>3358080</v>
      </c>
    </row>
    <row r="172" spans="1:19" x14ac:dyDescent="0.25">
      <c r="A172" s="16" t="s">
        <v>16341</v>
      </c>
      <c r="B172" s="16" t="s">
        <v>4229</v>
      </c>
      <c r="C172" s="16" t="s">
        <v>2</v>
      </c>
      <c r="D172" s="16">
        <v>2</v>
      </c>
      <c r="E172" s="16" t="s">
        <v>1124</v>
      </c>
      <c r="F172" s="16" t="s">
        <v>12671</v>
      </c>
      <c r="G172" s="179" t="s">
        <v>11001</v>
      </c>
      <c r="H172" s="254">
        <v>8021</v>
      </c>
      <c r="I172" s="180">
        <v>20</v>
      </c>
      <c r="J172" s="102">
        <v>216246503</v>
      </c>
      <c r="K172" s="102">
        <f>IFERROR(Table21[[#This Row],[ROUTE COST]]/Table21[[#This Row],[O - DEMAND]],0)</f>
        <v>66191.154882154879</v>
      </c>
      <c r="L172" s="26">
        <v>3267</v>
      </c>
      <c r="M172" s="26">
        <f>IFERROR(VLOOKUP(Table21[[#This Row],[ROUTE]],DEMAND!A:F,5,FALSE),0)</f>
        <v>3441</v>
      </c>
      <c r="N172" s="26">
        <f>IFERROR(VLOOKUP(Table21[[#This Row],[ROUTE]],DEMAND!A:F,6,FALSE),0)</f>
        <v>801</v>
      </c>
      <c r="O172" s="26">
        <f>ROUNDDOWN(Table21[[#This Row],[R-DEMAND]]/1320,0)</f>
        <v>0</v>
      </c>
      <c r="P172" s="26">
        <f>Table21[[#This Row],[ADD ACC]]*Table21[[#This Row],[Duration
(747-400)]]</f>
        <v>0</v>
      </c>
      <c r="Q172" s="284">
        <f>IFERROR(VLOOKUP(Table21[[#This Row],[ROUTE]],PRICING!A:B,2,FALSE),0)</f>
        <v>2189</v>
      </c>
      <c r="R172" s="282">
        <f>Table21[[#This Row],[C_DEMAND]]-Table21[[#This Row],[R-DEMAND]]</f>
        <v>2640</v>
      </c>
      <c r="S172" s="287">
        <f>Table21[[#This Row],[SEATS SOLD]]*Table21[[#This Row],[ECO SEAT]]</f>
        <v>5778960</v>
      </c>
    </row>
    <row r="173" spans="1:19" x14ac:dyDescent="0.25">
      <c r="A173" s="16" t="s">
        <v>16052</v>
      </c>
      <c r="B173" s="16" t="s">
        <v>5768</v>
      </c>
      <c r="C173" s="16" t="s">
        <v>2</v>
      </c>
      <c r="D173" s="16">
        <v>5</v>
      </c>
      <c r="E173" s="16" t="s">
        <v>11732</v>
      </c>
      <c r="F173" s="16" t="s">
        <v>15969</v>
      </c>
      <c r="G173" s="179" t="s">
        <v>13354</v>
      </c>
      <c r="H173" s="254">
        <v>11541</v>
      </c>
      <c r="I173" s="180">
        <v>27.75</v>
      </c>
      <c r="J173" s="102">
        <v>304009736</v>
      </c>
      <c r="K173" s="102">
        <f>IFERROR(Table21[[#This Row],[ROUTE COST]]/Table21[[#This Row],[O - DEMAND]],0)</f>
        <v>93455.190900707035</v>
      </c>
      <c r="L173" s="26">
        <v>3253</v>
      </c>
      <c r="M173" s="26">
        <f>IFERROR(VLOOKUP(Table21[[#This Row],[ROUTE]],DEMAND!A:F,5,FALSE),0)</f>
        <v>3426</v>
      </c>
      <c r="N173" s="26">
        <f>IFERROR(VLOOKUP(Table21[[#This Row],[ROUTE]],DEMAND!A:F,6,FALSE),0)</f>
        <v>786</v>
      </c>
      <c r="O173" s="26">
        <f>ROUNDDOWN(Table21[[#This Row],[R-DEMAND]]/1320,0)</f>
        <v>0</v>
      </c>
      <c r="P173" s="26">
        <f>Table21[[#This Row],[ADD ACC]]*Table21[[#This Row],[Duration
(747-400)]]</f>
        <v>0</v>
      </c>
      <c r="Q173" s="284">
        <f>IFERROR(VLOOKUP(Table21[[#This Row],[ROUTE]],PRICING!A:B,2,FALSE),0)</f>
        <v>3105</v>
      </c>
      <c r="R173" s="282">
        <f>Table21[[#This Row],[C_DEMAND]]-Table21[[#This Row],[R-DEMAND]]</f>
        <v>2640</v>
      </c>
      <c r="S173" s="287">
        <f>Table21[[#This Row],[SEATS SOLD]]*Table21[[#This Row],[ECO SEAT]]</f>
        <v>8197200</v>
      </c>
    </row>
    <row r="174" spans="1:19" x14ac:dyDescent="0.25">
      <c r="A174" s="16" t="s">
        <v>16567</v>
      </c>
      <c r="B174" s="16" t="s">
        <v>4962</v>
      </c>
      <c r="C174" s="16" t="s">
        <v>2</v>
      </c>
      <c r="D174" s="16">
        <v>3</v>
      </c>
      <c r="E174" s="16" t="s">
        <v>1377</v>
      </c>
      <c r="F174" s="16" t="s">
        <v>12674</v>
      </c>
      <c r="G174" s="179" t="s">
        <v>11927</v>
      </c>
      <c r="H174" s="254">
        <v>5504</v>
      </c>
      <c r="I174" s="180">
        <v>14.25</v>
      </c>
      <c r="J174" s="102">
        <v>199835403</v>
      </c>
      <c r="K174" s="102">
        <f>IFERROR(Table21[[#This Row],[ROUTE COST]]/Table21[[#This Row],[O - DEMAND]],0)</f>
        <v>60999.817765567765</v>
      </c>
      <c r="L174" s="26">
        <v>3276</v>
      </c>
      <c r="M174" s="26">
        <f>IFERROR(VLOOKUP(Table21[[#This Row],[ROUTE]],DEMAND!A:F,5,FALSE),0)</f>
        <v>3418</v>
      </c>
      <c r="N174" s="26">
        <f>IFERROR(VLOOKUP(Table21[[#This Row],[ROUTE]],DEMAND!A:F,6,FALSE),0)</f>
        <v>778</v>
      </c>
      <c r="O174" s="26">
        <f>ROUNDDOWN(Table21[[#This Row],[R-DEMAND]]/1320,0)</f>
        <v>0</v>
      </c>
      <c r="P174" s="26">
        <f>Table21[[#This Row],[ADD ACC]]*Table21[[#This Row],[Duration
(747-400)]]</f>
        <v>0</v>
      </c>
      <c r="Q174" s="284">
        <f>IFERROR(VLOOKUP(Table21[[#This Row],[ROUTE]],PRICING!A:B,2,FALSE),0)</f>
        <v>1588</v>
      </c>
      <c r="R174" s="282">
        <f>Table21[[#This Row],[C_DEMAND]]-Table21[[#This Row],[R-DEMAND]]</f>
        <v>2640</v>
      </c>
      <c r="S174" s="287">
        <f>Table21[[#This Row],[SEATS SOLD]]*Table21[[#This Row],[ECO SEAT]]</f>
        <v>4192320</v>
      </c>
    </row>
    <row r="175" spans="1:19" x14ac:dyDescent="0.25">
      <c r="A175" s="16" t="s">
        <v>16465</v>
      </c>
      <c r="B175" s="16" t="s">
        <v>1755</v>
      </c>
      <c r="C175" s="16" t="s">
        <v>2</v>
      </c>
      <c r="D175" s="16">
        <v>1</v>
      </c>
      <c r="E175" s="16" t="s">
        <v>1289</v>
      </c>
      <c r="F175" s="16" t="s">
        <v>12670</v>
      </c>
      <c r="G175" s="179" t="s">
        <v>11964</v>
      </c>
      <c r="H175" s="254">
        <v>6999</v>
      </c>
      <c r="I175" s="180">
        <v>17.75</v>
      </c>
      <c r="J175" s="102">
        <v>193713255</v>
      </c>
      <c r="K175" s="102">
        <f>IFERROR(Table21[[#This Row],[ROUTE COST]]/Table21[[#This Row],[O - DEMAND]],0)</f>
        <v>58790.062215477999</v>
      </c>
      <c r="L175" s="26">
        <v>3295</v>
      </c>
      <c r="M175" s="26">
        <f>IFERROR(VLOOKUP(Table21[[#This Row],[ROUTE]],DEMAND!A:F,5,FALSE),0)</f>
        <v>3416</v>
      </c>
      <c r="N175" s="26">
        <f>IFERROR(VLOOKUP(Table21[[#This Row],[ROUTE]],DEMAND!A:F,6,FALSE),0)</f>
        <v>776</v>
      </c>
      <c r="O175" s="26">
        <f>ROUNDDOWN(Table21[[#This Row],[R-DEMAND]]/1320,0)</f>
        <v>0</v>
      </c>
      <c r="P175" s="26">
        <f>Table21[[#This Row],[ADD ACC]]*Table21[[#This Row],[Duration
(747-400)]]</f>
        <v>0</v>
      </c>
      <c r="Q175" s="284">
        <f>IFERROR(VLOOKUP(Table21[[#This Row],[ROUTE]],PRICING!A:B,2,FALSE),0)</f>
        <v>2037</v>
      </c>
      <c r="R175" s="282">
        <f>Table21[[#This Row],[C_DEMAND]]-Table21[[#This Row],[R-DEMAND]]</f>
        <v>2640</v>
      </c>
      <c r="S175" s="287">
        <f>Table21[[#This Row],[SEATS SOLD]]*Table21[[#This Row],[ECO SEAT]]</f>
        <v>5377680</v>
      </c>
    </row>
    <row r="176" spans="1:19" x14ac:dyDescent="0.25">
      <c r="A176" s="16" t="s">
        <v>16325</v>
      </c>
      <c r="B176" s="16" t="s">
        <v>309</v>
      </c>
      <c r="C176" s="16" t="s">
        <v>2</v>
      </c>
      <c r="D176" s="16">
        <v>5</v>
      </c>
      <c r="E176" s="16" t="s">
        <v>308</v>
      </c>
      <c r="F176" s="16" t="s">
        <v>12674</v>
      </c>
      <c r="G176" s="179" t="s">
        <v>307</v>
      </c>
      <c r="H176" s="254">
        <v>8149</v>
      </c>
      <c r="I176" s="180">
        <v>20.25</v>
      </c>
      <c r="J176" s="102">
        <v>264309792</v>
      </c>
      <c r="K176" s="102">
        <f>IFERROR(Table21[[#This Row],[ROUTE COST]]/Table21[[#This Row],[O - DEMAND]],0)</f>
        <v>81526.771128932756</v>
      </c>
      <c r="L176" s="26">
        <v>3242</v>
      </c>
      <c r="M176" s="26">
        <f>IFERROR(VLOOKUP(Table21[[#This Row],[ROUTE]],DEMAND!A:F,5,FALSE),0)</f>
        <v>3416</v>
      </c>
      <c r="N176" s="26">
        <f>IFERROR(VLOOKUP(Table21[[#This Row],[ROUTE]],DEMAND!A:F,6,FALSE),0)</f>
        <v>776</v>
      </c>
      <c r="O176" s="26">
        <f>ROUNDDOWN(Table21[[#This Row],[R-DEMAND]]/1320,0)</f>
        <v>0</v>
      </c>
      <c r="P176" s="26">
        <f>Table21[[#This Row],[ADD ACC]]*Table21[[#This Row],[Duration
(747-400)]]</f>
        <v>0</v>
      </c>
      <c r="Q176" s="284">
        <f>IFERROR(VLOOKUP(Table21[[#This Row],[ROUTE]],PRICING!A:B,2,FALSE),0)</f>
        <v>2222</v>
      </c>
      <c r="R176" s="282">
        <f>Table21[[#This Row],[C_DEMAND]]-Table21[[#This Row],[R-DEMAND]]</f>
        <v>2640</v>
      </c>
      <c r="S176" s="287">
        <f>Table21[[#This Row],[SEATS SOLD]]*Table21[[#This Row],[ECO SEAT]]</f>
        <v>5866080</v>
      </c>
    </row>
    <row r="177" spans="1:19" x14ac:dyDescent="0.25">
      <c r="A177" s="16" t="s">
        <v>16601</v>
      </c>
      <c r="B177" s="16" t="s">
        <v>236</v>
      </c>
      <c r="C177" s="16" t="s">
        <v>2</v>
      </c>
      <c r="D177" s="16">
        <v>3</v>
      </c>
      <c r="E177" s="16" t="s">
        <v>709</v>
      </c>
      <c r="F177" s="16" t="s">
        <v>12670</v>
      </c>
      <c r="G177" s="179" t="s">
        <v>12115</v>
      </c>
      <c r="H177" s="254">
        <v>4470</v>
      </c>
      <c r="I177" s="180">
        <v>12</v>
      </c>
      <c r="J177" s="102">
        <v>186021943</v>
      </c>
      <c r="K177" s="102">
        <f>IFERROR(Table21[[#This Row],[ROUTE COST]]/Table21[[#This Row],[O - DEMAND]],0)</f>
        <v>57663.342529448229</v>
      </c>
      <c r="L177" s="26">
        <v>3226</v>
      </c>
      <c r="M177" s="26">
        <f>IFERROR(VLOOKUP(Table21[[#This Row],[ROUTE]],DEMAND!A:F,5,FALSE),0)</f>
        <v>3409</v>
      </c>
      <c r="N177" s="26">
        <f>IFERROR(VLOOKUP(Table21[[#This Row],[ROUTE]],DEMAND!A:F,6,FALSE),0)</f>
        <v>769</v>
      </c>
      <c r="O177" s="26">
        <f>ROUNDDOWN(Table21[[#This Row],[R-DEMAND]]/1320,0)</f>
        <v>0</v>
      </c>
      <c r="P177" s="26">
        <f>Table21[[#This Row],[ADD ACC]]*Table21[[#This Row],[Duration
(747-400)]]</f>
        <v>0</v>
      </c>
      <c r="Q177" s="284">
        <f>IFERROR(VLOOKUP(Table21[[#This Row],[ROUTE]],PRICING!A:B,2,FALSE),0)</f>
        <v>1249</v>
      </c>
      <c r="R177" s="282">
        <f>Table21[[#This Row],[C_DEMAND]]-Table21[[#This Row],[R-DEMAND]]</f>
        <v>2640</v>
      </c>
      <c r="S177" s="287">
        <f>Table21[[#This Row],[SEATS SOLD]]*Table21[[#This Row],[ECO SEAT]]</f>
        <v>3297360</v>
      </c>
    </row>
    <row r="178" spans="1:19" x14ac:dyDescent="0.25">
      <c r="A178" s="16" t="s">
        <v>16315</v>
      </c>
      <c r="B178" s="16" t="s">
        <v>2258</v>
      </c>
      <c r="C178" s="16" t="s">
        <v>2</v>
      </c>
      <c r="D178" s="16">
        <v>1</v>
      </c>
      <c r="E178" s="16" t="s">
        <v>1513</v>
      </c>
      <c r="F178" s="16" t="s">
        <v>12671</v>
      </c>
      <c r="G178" s="179" t="s">
        <v>11963</v>
      </c>
      <c r="H178" s="254">
        <v>8281</v>
      </c>
      <c r="I178" s="180">
        <v>20.5</v>
      </c>
      <c r="J178" s="102">
        <v>211500824</v>
      </c>
      <c r="K178" s="102">
        <f>IFERROR(Table21[[#This Row],[ROUTE COST]]/Table21[[#This Row],[O - DEMAND]],0)</f>
        <v>46524.598328200613</v>
      </c>
      <c r="L178" s="26">
        <v>4546</v>
      </c>
      <c r="M178" s="26">
        <f>IFERROR(VLOOKUP(Table21[[#This Row],[ROUTE]],DEMAND!A:F,5,FALSE),0)</f>
        <v>4728</v>
      </c>
      <c r="N178" s="26">
        <f>IFERROR(VLOOKUP(Table21[[#This Row],[ROUTE]],DEMAND!A:F,6,FALSE),0)</f>
        <v>768</v>
      </c>
      <c r="O178" s="26">
        <f>ROUNDDOWN(Table21[[#This Row],[R-DEMAND]]/1320,0)</f>
        <v>0</v>
      </c>
      <c r="P178" s="26">
        <f>Table21[[#This Row],[ADD ACC]]*Table21[[#This Row],[Duration
(747-400)]]</f>
        <v>0</v>
      </c>
      <c r="Q178" s="284">
        <f>IFERROR(VLOOKUP(Table21[[#This Row],[ROUTE]],PRICING!A:B,2,FALSE),0)</f>
        <v>2364</v>
      </c>
      <c r="R178" s="282">
        <f>Table21[[#This Row],[C_DEMAND]]-Table21[[#This Row],[R-DEMAND]]</f>
        <v>3960</v>
      </c>
      <c r="S178" s="287">
        <f>Table21[[#This Row],[SEATS SOLD]]*Table21[[#This Row],[ECO SEAT]]</f>
        <v>9361440</v>
      </c>
    </row>
    <row r="179" spans="1:19" x14ac:dyDescent="0.25">
      <c r="A179" s="16" t="s">
        <v>16076</v>
      </c>
      <c r="B179" s="16" t="s">
        <v>5758</v>
      </c>
      <c r="C179" s="16" t="s">
        <v>2</v>
      </c>
      <c r="D179" s="16">
        <v>5</v>
      </c>
      <c r="E179" s="16" t="s">
        <v>11732</v>
      </c>
      <c r="F179" s="16" t="s">
        <v>15969</v>
      </c>
      <c r="G179" s="179" t="s">
        <v>13316</v>
      </c>
      <c r="H179" s="254">
        <v>11197</v>
      </c>
      <c r="I179" s="180">
        <v>27</v>
      </c>
      <c r="J179" s="102">
        <v>301168748</v>
      </c>
      <c r="K179" s="102">
        <f>IFERROR(Table21[[#This Row],[ROUTE COST]]/Table21[[#This Row],[O - DEMAND]],0)</f>
        <v>92581.846910544118</v>
      </c>
      <c r="L179" s="26">
        <v>3253</v>
      </c>
      <c r="M179" s="26">
        <f>IFERROR(VLOOKUP(Table21[[#This Row],[ROUTE]],DEMAND!A:F,5,FALSE),0)</f>
        <v>3405</v>
      </c>
      <c r="N179" s="26">
        <f>IFERROR(VLOOKUP(Table21[[#This Row],[ROUTE]],DEMAND!A:F,6,FALSE),0)</f>
        <v>765</v>
      </c>
      <c r="O179" s="26">
        <f>ROUNDDOWN(Table21[[#This Row],[R-DEMAND]]/1320,0)</f>
        <v>0</v>
      </c>
      <c r="P179" s="26">
        <f>Table21[[#This Row],[ADD ACC]]*Table21[[#This Row],[Duration
(747-400)]]</f>
        <v>0</v>
      </c>
      <c r="Q179" s="284">
        <f>IFERROR(VLOOKUP(Table21[[#This Row],[ROUTE]],PRICING!A:B,2,FALSE),0)</f>
        <v>3088</v>
      </c>
      <c r="R179" s="282">
        <f>Table21[[#This Row],[C_DEMAND]]-Table21[[#This Row],[R-DEMAND]]</f>
        <v>2640</v>
      </c>
      <c r="S179" s="287">
        <f>Table21[[#This Row],[SEATS SOLD]]*Table21[[#This Row],[ECO SEAT]]</f>
        <v>8152320</v>
      </c>
    </row>
    <row r="180" spans="1:19" x14ac:dyDescent="0.25">
      <c r="A180" s="16" t="s">
        <v>16306</v>
      </c>
      <c r="B180" s="16" t="s">
        <v>410</v>
      </c>
      <c r="C180" s="16" t="s">
        <v>2</v>
      </c>
      <c r="D180" s="16">
        <v>5</v>
      </c>
      <c r="E180" s="16" t="s">
        <v>774</v>
      </c>
      <c r="F180" s="16" t="s">
        <v>12682</v>
      </c>
      <c r="G180" s="179" t="s">
        <v>11104</v>
      </c>
      <c r="H180" s="254">
        <v>8401</v>
      </c>
      <c r="I180" s="180">
        <v>20.75</v>
      </c>
      <c r="J180" s="102">
        <v>256741215</v>
      </c>
      <c r="K180" s="102">
        <f>IFERROR(Table21[[#This Row],[ROUTE COST]]/Table21[[#This Row],[O - DEMAND]],0)</f>
        <v>79733.296583850926</v>
      </c>
      <c r="L180" s="26">
        <v>3220</v>
      </c>
      <c r="M180" s="26">
        <f>IFERROR(VLOOKUP(Table21[[#This Row],[ROUTE]],DEMAND!A:F,5,FALSE),0)</f>
        <v>3403</v>
      </c>
      <c r="N180" s="26">
        <f>IFERROR(VLOOKUP(Table21[[#This Row],[ROUTE]],DEMAND!A:F,6,FALSE),0)</f>
        <v>763</v>
      </c>
      <c r="O180" s="26">
        <f>ROUNDDOWN(Table21[[#This Row],[R-DEMAND]]/1320,0)</f>
        <v>0</v>
      </c>
      <c r="P180" s="26">
        <f>Table21[[#This Row],[ADD ACC]]*Table21[[#This Row],[Duration
(747-400)]]</f>
        <v>0</v>
      </c>
      <c r="Q180" s="284">
        <f>IFERROR(VLOOKUP(Table21[[#This Row],[ROUTE]],PRICING!A:B,2,FALSE),0)</f>
        <v>2260</v>
      </c>
      <c r="R180" s="282">
        <f>Table21[[#This Row],[C_DEMAND]]-Table21[[#This Row],[R-DEMAND]]</f>
        <v>2640</v>
      </c>
      <c r="S180" s="287">
        <f>Table21[[#This Row],[SEATS SOLD]]*Table21[[#This Row],[ECO SEAT]]</f>
        <v>5966400</v>
      </c>
    </row>
    <row r="181" spans="1:19" x14ac:dyDescent="0.25">
      <c r="A181" s="16" t="s">
        <v>16280</v>
      </c>
      <c r="B181" s="16" t="s">
        <v>5171</v>
      </c>
      <c r="C181" s="16" t="s">
        <v>2</v>
      </c>
      <c r="D181" s="16">
        <v>3</v>
      </c>
      <c r="E181" s="16" t="s">
        <v>4549</v>
      </c>
      <c r="F181" s="16" t="s">
        <v>12671</v>
      </c>
      <c r="G181" s="179" t="s">
        <v>11792</v>
      </c>
      <c r="H181" s="254">
        <v>8740</v>
      </c>
      <c r="I181" s="180">
        <v>21.5</v>
      </c>
      <c r="J181" s="102">
        <v>236327007</v>
      </c>
      <c r="K181" s="102">
        <f>IFERROR(Table21[[#This Row],[ROUTE COST]]/Table21[[#This Row],[O - DEMAND]],0)</f>
        <v>73166.256037151703</v>
      </c>
      <c r="L181" s="26">
        <v>3230</v>
      </c>
      <c r="M181" s="26">
        <f>IFERROR(VLOOKUP(Table21[[#This Row],[ROUTE]],DEMAND!A:F,5,FALSE),0)</f>
        <v>3402</v>
      </c>
      <c r="N181" s="26">
        <f>IFERROR(VLOOKUP(Table21[[#This Row],[ROUTE]],DEMAND!A:F,6,FALSE),0)</f>
        <v>762</v>
      </c>
      <c r="O181" s="26">
        <f>ROUNDDOWN(Table21[[#This Row],[R-DEMAND]]/1320,0)</f>
        <v>0</v>
      </c>
      <c r="P181" s="26">
        <f>Table21[[#This Row],[ADD ACC]]*Table21[[#This Row],[Duration
(747-400)]]</f>
        <v>0</v>
      </c>
      <c r="Q181" s="284">
        <f>IFERROR(VLOOKUP(Table21[[#This Row],[ROUTE]],PRICING!A:B,2,FALSE),0)</f>
        <v>2376</v>
      </c>
      <c r="R181" s="282">
        <f>Table21[[#This Row],[C_DEMAND]]-Table21[[#This Row],[R-DEMAND]]</f>
        <v>2640</v>
      </c>
      <c r="S181" s="287">
        <f>Table21[[#This Row],[SEATS SOLD]]*Table21[[#This Row],[ECO SEAT]]</f>
        <v>6272640</v>
      </c>
    </row>
    <row r="182" spans="1:19" x14ac:dyDescent="0.25">
      <c r="A182" s="16" t="s">
        <v>16680</v>
      </c>
      <c r="B182" s="16" t="s">
        <v>304</v>
      </c>
      <c r="C182" s="16" t="s">
        <v>2</v>
      </c>
      <c r="D182" s="16">
        <v>3</v>
      </c>
      <c r="E182" s="16" t="s">
        <v>1070</v>
      </c>
      <c r="F182" s="16" t="s">
        <v>12670</v>
      </c>
      <c r="G182" s="179" t="s">
        <v>12062</v>
      </c>
      <c r="H182" s="254">
        <v>2784</v>
      </c>
      <c r="I182" s="180">
        <v>8.25</v>
      </c>
      <c r="J182" s="102">
        <v>173336094</v>
      </c>
      <c r="K182" s="102">
        <f>IFERROR(Table21[[#This Row],[ROUTE COST]]/Table21[[#This Row],[O - DEMAND]],0)</f>
        <v>38213.424603174601</v>
      </c>
      <c r="L182" s="26">
        <v>4536</v>
      </c>
      <c r="M182" s="26">
        <f>IFERROR(VLOOKUP(Table21[[#This Row],[ROUTE]],DEMAND!A:F,5,FALSE),0)</f>
        <v>4718</v>
      </c>
      <c r="N182" s="26">
        <f>IFERROR(VLOOKUP(Table21[[#This Row],[ROUTE]],DEMAND!A:F,6,FALSE),0)</f>
        <v>758</v>
      </c>
      <c r="O182" s="26">
        <f>ROUNDDOWN(Table21[[#This Row],[R-DEMAND]]/1320,0)</f>
        <v>0</v>
      </c>
      <c r="P182" s="26">
        <f>Table21[[#This Row],[ADD ACC]]*Table21[[#This Row],[Duration
(747-400)]]</f>
        <v>0</v>
      </c>
      <c r="Q182" s="284">
        <f>IFERROR(VLOOKUP(Table21[[#This Row],[ROUTE]],PRICING!A:B,2,FALSE),0)</f>
        <v>865</v>
      </c>
      <c r="R182" s="282">
        <f>Table21[[#This Row],[C_DEMAND]]-Table21[[#This Row],[R-DEMAND]]</f>
        <v>3960</v>
      </c>
      <c r="S182" s="287">
        <f>Table21[[#This Row],[SEATS SOLD]]*Table21[[#This Row],[ECO SEAT]]</f>
        <v>3425400</v>
      </c>
    </row>
    <row r="183" spans="1:19" x14ac:dyDescent="0.25">
      <c r="A183" s="16" t="s">
        <v>16543</v>
      </c>
      <c r="B183" s="16" t="s">
        <v>4779</v>
      </c>
      <c r="C183" s="16" t="s">
        <v>2</v>
      </c>
      <c r="D183" s="16">
        <v>3</v>
      </c>
      <c r="E183" s="16" t="s">
        <v>1270</v>
      </c>
      <c r="F183" s="16" t="s">
        <v>12670</v>
      </c>
      <c r="G183" s="179" t="s">
        <v>11912</v>
      </c>
      <c r="H183" s="254">
        <v>5956</v>
      </c>
      <c r="I183" s="180">
        <v>15.25</v>
      </c>
      <c r="J183" s="102">
        <v>201854849</v>
      </c>
      <c r="K183" s="102">
        <f>IFERROR(Table21[[#This Row],[ROUTE COST]]/Table21[[#This Row],[O - DEMAND]],0)</f>
        <v>62843.975404732257</v>
      </c>
      <c r="L183" s="26">
        <v>3212</v>
      </c>
      <c r="M183" s="26">
        <f>IFERROR(VLOOKUP(Table21[[#This Row],[ROUTE]],DEMAND!A:F,5,FALSE),0)</f>
        <v>3394</v>
      </c>
      <c r="N183" s="26">
        <f>IFERROR(VLOOKUP(Table21[[#This Row],[ROUTE]],DEMAND!A:F,6,FALSE),0)</f>
        <v>754</v>
      </c>
      <c r="O183" s="26">
        <f>ROUNDDOWN(Table21[[#This Row],[R-DEMAND]]/1320,0)</f>
        <v>0</v>
      </c>
      <c r="P183" s="26">
        <f>Table21[[#This Row],[ADD ACC]]*Table21[[#This Row],[Duration
(747-400)]]</f>
        <v>0</v>
      </c>
      <c r="Q183" s="284">
        <f>IFERROR(VLOOKUP(Table21[[#This Row],[ROUTE]],PRICING!A:B,2,FALSE),0)</f>
        <v>1631</v>
      </c>
      <c r="R183" s="282">
        <f>Table21[[#This Row],[C_DEMAND]]-Table21[[#This Row],[R-DEMAND]]</f>
        <v>2640</v>
      </c>
      <c r="S183" s="287">
        <f>Table21[[#This Row],[SEATS SOLD]]*Table21[[#This Row],[ECO SEAT]]</f>
        <v>4305840</v>
      </c>
    </row>
    <row r="184" spans="1:19" x14ac:dyDescent="0.25">
      <c r="A184" s="16" t="s">
        <v>16589</v>
      </c>
      <c r="B184" s="16" t="s">
        <v>224</v>
      </c>
      <c r="C184" s="16" t="s">
        <v>2</v>
      </c>
      <c r="D184" s="16">
        <v>3</v>
      </c>
      <c r="E184" s="16" t="s">
        <v>197</v>
      </c>
      <c r="F184" s="16" t="s">
        <v>12670</v>
      </c>
      <c r="G184" s="179" t="s">
        <v>12012</v>
      </c>
      <c r="H184" s="254">
        <v>4865</v>
      </c>
      <c r="I184" s="180">
        <v>13</v>
      </c>
      <c r="J184" s="102">
        <v>204960972</v>
      </c>
      <c r="K184" s="102">
        <f>IFERROR(Table21[[#This Row],[ROUTE COST]]/Table21[[#This Row],[O - DEMAND]],0)</f>
        <v>45375.464246181094</v>
      </c>
      <c r="L184" s="26">
        <v>4517</v>
      </c>
      <c r="M184" s="26">
        <f>IFERROR(VLOOKUP(Table21[[#This Row],[ROUTE]],DEMAND!A:F,5,FALSE),0)</f>
        <v>4713</v>
      </c>
      <c r="N184" s="26">
        <f>IFERROR(VLOOKUP(Table21[[#This Row],[ROUTE]],DEMAND!A:F,6,FALSE),0)</f>
        <v>753</v>
      </c>
      <c r="O184" s="26">
        <f>ROUNDDOWN(Table21[[#This Row],[R-DEMAND]]/1320,0)</f>
        <v>0</v>
      </c>
      <c r="P184" s="26">
        <f>Table21[[#This Row],[ADD ACC]]*Table21[[#This Row],[Duration
(747-400)]]</f>
        <v>0</v>
      </c>
      <c r="Q184" s="284">
        <f>IFERROR(VLOOKUP(Table21[[#This Row],[ROUTE]],PRICING!A:B,2,FALSE),0)</f>
        <v>1416</v>
      </c>
      <c r="R184" s="282">
        <f>Table21[[#This Row],[C_DEMAND]]-Table21[[#This Row],[R-DEMAND]]</f>
        <v>3960</v>
      </c>
      <c r="S184" s="287">
        <f>Table21[[#This Row],[SEATS SOLD]]*Table21[[#This Row],[ECO SEAT]]</f>
        <v>5607360</v>
      </c>
    </row>
    <row r="185" spans="1:19" x14ac:dyDescent="0.25">
      <c r="A185" s="251" t="s">
        <v>16745</v>
      </c>
      <c r="B185" s="251" t="s">
        <v>5625</v>
      </c>
      <c r="C185" s="16" t="s">
        <v>2</v>
      </c>
      <c r="D185" s="251">
        <v>4</v>
      </c>
      <c r="E185" s="251" t="s">
        <v>258</v>
      </c>
      <c r="F185" s="251" t="s">
        <v>12670</v>
      </c>
      <c r="G185" s="252" t="s">
        <v>11085</v>
      </c>
      <c r="H185" s="254">
        <v>927</v>
      </c>
      <c r="I185" s="180">
        <v>4.25</v>
      </c>
      <c r="J185" s="102">
        <v>176291705</v>
      </c>
      <c r="K185" s="253">
        <f>IFERROR(Table21[[#This Row],[ROUTE COST]]/Table21[[#This Row],[O - DEMAND]],0)</f>
        <v>54427.818771225684</v>
      </c>
      <c r="L185" s="26">
        <v>3239</v>
      </c>
      <c r="M185" s="26">
        <f>IFERROR(VLOOKUP(Table21[[#This Row],[ROUTE]],DEMAND!A:F,5,FALSE),0)</f>
        <v>3391</v>
      </c>
      <c r="N185" s="26">
        <f>IFERROR(VLOOKUP(Table21[[#This Row],[ROUTE]],DEMAND!A:F,6,FALSE),0)</f>
        <v>751</v>
      </c>
      <c r="O185" s="26">
        <f>ROUNDDOWN(Table21[[#This Row],[R-DEMAND]]/1320,0)</f>
        <v>0</v>
      </c>
      <c r="P185" s="26">
        <f>Table21[[#This Row],[ADD ACC]]*Table21[[#This Row],[Duration
(747-400)]]</f>
        <v>0</v>
      </c>
      <c r="Q185" s="284">
        <f>IFERROR(VLOOKUP(Table21[[#This Row],[ROUTE]],PRICING!A:B,2,FALSE),0)</f>
        <v>350</v>
      </c>
      <c r="R185" s="282">
        <f>Table21[[#This Row],[C_DEMAND]]-Table21[[#This Row],[R-DEMAND]]</f>
        <v>2640</v>
      </c>
      <c r="S185" s="287">
        <f>Table21[[#This Row],[SEATS SOLD]]*Table21[[#This Row],[ECO SEAT]]</f>
        <v>924000</v>
      </c>
    </row>
    <row r="186" spans="1:19" x14ac:dyDescent="0.25">
      <c r="A186" s="16" t="s">
        <v>15990</v>
      </c>
      <c r="B186" s="16" t="s">
        <v>3152</v>
      </c>
      <c r="C186" s="16" t="s">
        <v>2</v>
      </c>
      <c r="D186" s="16">
        <v>2</v>
      </c>
      <c r="E186" s="16" t="s">
        <v>2454</v>
      </c>
      <c r="F186" s="16" t="s">
        <v>12671</v>
      </c>
      <c r="G186" s="179" t="s">
        <v>11672</v>
      </c>
      <c r="H186" s="254">
        <v>12544</v>
      </c>
      <c r="I186" s="180">
        <v>30</v>
      </c>
      <c r="J186" s="102">
        <v>256763320</v>
      </c>
      <c r="K186" s="102">
        <f>IFERROR(Table21[[#This Row],[ROUTE COST]]/Table21[[#This Row],[O - DEMAND]],0)</f>
        <v>56506.012323943665</v>
      </c>
      <c r="L186" s="26">
        <v>4544</v>
      </c>
      <c r="M186" s="26">
        <f>IFERROR(VLOOKUP(Table21[[#This Row],[ROUTE]],DEMAND!A:F,5,FALSE),0)</f>
        <v>4711</v>
      </c>
      <c r="N186" s="26">
        <f>IFERROR(VLOOKUP(Table21[[#This Row],[ROUTE]],DEMAND!A:F,6,FALSE),0)</f>
        <v>751</v>
      </c>
      <c r="O186" s="26">
        <f>ROUNDDOWN(Table21[[#This Row],[R-DEMAND]]/1320,0)</f>
        <v>0</v>
      </c>
      <c r="P186" s="26">
        <f>Table21[[#This Row],[ADD ACC]]*Table21[[#This Row],[Duration
(747-400)]]</f>
        <v>0</v>
      </c>
      <c r="Q186" s="284">
        <f>IFERROR(VLOOKUP(Table21[[#This Row],[ROUTE]],PRICING!A:B,2,FALSE),0)</f>
        <v>3567</v>
      </c>
      <c r="R186" s="282">
        <f>Table21[[#This Row],[C_DEMAND]]-Table21[[#This Row],[R-DEMAND]]</f>
        <v>3960</v>
      </c>
      <c r="S186" s="287">
        <f>Table21[[#This Row],[SEATS SOLD]]*Table21[[#This Row],[ECO SEAT]]</f>
        <v>14125320</v>
      </c>
    </row>
    <row r="187" spans="1:19" x14ac:dyDescent="0.25">
      <c r="A187" s="16" t="s">
        <v>16481</v>
      </c>
      <c r="B187" s="16" t="s">
        <v>1291</v>
      </c>
      <c r="C187" s="16" t="s">
        <v>2</v>
      </c>
      <c r="D187" s="16">
        <v>3</v>
      </c>
      <c r="E187" s="16" t="s">
        <v>1289</v>
      </c>
      <c r="F187" s="16" t="s">
        <v>12670</v>
      </c>
      <c r="G187" s="179" t="s">
        <v>11994</v>
      </c>
      <c r="H187" s="254">
        <v>6794</v>
      </c>
      <c r="I187" s="180">
        <v>17.25</v>
      </c>
      <c r="J187" s="102">
        <v>190016995</v>
      </c>
      <c r="K187" s="102">
        <f>IFERROR(Table21[[#This Row],[ROUTE COST]]/Table21[[#This Row],[O - DEMAND]],0)</f>
        <v>58737.865533230295</v>
      </c>
      <c r="L187" s="26">
        <v>3235</v>
      </c>
      <c r="M187" s="26">
        <f>IFERROR(VLOOKUP(Table21[[#This Row],[ROUTE]],DEMAND!A:F,5,FALSE),0)</f>
        <v>3386</v>
      </c>
      <c r="N187" s="26">
        <f>IFERROR(VLOOKUP(Table21[[#This Row],[ROUTE]],DEMAND!A:F,6,FALSE),0)</f>
        <v>746</v>
      </c>
      <c r="O187" s="26">
        <f>ROUNDDOWN(Table21[[#This Row],[R-DEMAND]]/1320,0)</f>
        <v>0</v>
      </c>
      <c r="P187" s="26">
        <f>Table21[[#This Row],[ADD ACC]]*Table21[[#This Row],[Duration
(747-400)]]</f>
        <v>0</v>
      </c>
      <c r="Q187" s="284">
        <f>IFERROR(VLOOKUP(Table21[[#This Row],[ROUTE]],PRICING!A:B,2,FALSE),0)</f>
        <v>1914</v>
      </c>
      <c r="R187" s="282">
        <f>Table21[[#This Row],[C_DEMAND]]-Table21[[#This Row],[R-DEMAND]]</f>
        <v>2640</v>
      </c>
      <c r="S187" s="287">
        <f>Table21[[#This Row],[SEATS SOLD]]*Table21[[#This Row],[ECO SEAT]]</f>
        <v>5052960</v>
      </c>
    </row>
    <row r="188" spans="1:19" x14ac:dyDescent="0.25">
      <c r="A188" s="16" t="s">
        <v>16050</v>
      </c>
      <c r="B188" s="16" t="s">
        <v>5741</v>
      </c>
      <c r="C188" s="16" t="s">
        <v>2</v>
      </c>
      <c r="D188" s="16">
        <v>5</v>
      </c>
      <c r="E188" s="16" t="s">
        <v>11732</v>
      </c>
      <c r="F188" s="16" t="s">
        <v>15969</v>
      </c>
      <c r="G188" s="179" t="s">
        <v>13335</v>
      </c>
      <c r="H188" s="254">
        <v>11559</v>
      </c>
      <c r="I188" s="180">
        <v>27.75</v>
      </c>
      <c r="J188" s="102">
        <v>301296992</v>
      </c>
      <c r="K188" s="102">
        <f>IFERROR(Table21[[#This Row],[ROUTE COST]]/Table21[[#This Row],[O - DEMAND]],0)</f>
        <v>94361.726276229252</v>
      </c>
      <c r="L188" s="26">
        <v>3193</v>
      </c>
      <c r="M188" s="26">
        <f>IFERROR(VLOOKUP(Table21[[#This Row],[ROUTE]],DEMAND!A:F,5,FALSE),0)</f>
        <v>3385</v>
      </c>
      <c r="N188" s="26">
        <f>IFERROR(VLOOKUP(Table21[[#This Row],[ROUTE]],DEMAND!A:F,6,FALSE),0)</f>
        <v>745</v>
      </c>
      <c r="O188" s="26">
        <f>ROUNDDOWN(Table21[[#This Row],[R-DEMAND]]/1320,0)</f>
        <v>0</v>
      </c>
      <c r="P188" s="26">
        <f>Table21[[#This Row],[ADD ACC]]*Table21[[#This Row],[Duration
(747-400)]]</f>
        <v>0</v>
      </c>
      <c r="Q188" s="284">
        <f>IFERROR(VLOOKUP(Table21[[#This Row],[ROUTE]],PRICING!A:B,2,FALSE),0)</f>
        <v>3036</v>
      </c>
      <c r="R188" s="282">
        <f>Table21[[#This Row],[C_DEMAND]]-Table21[[#This Row],[R-DEMAND]]</f>
        <v>2640</v>
      </c>
      <c r="S188" s="287">
        <f>Table21[[#This Row],[SEATS SOLD]]*Table21[[#This Row],[ECO SEAT]]</f>
        <v>8015040</v>
      </c>
    </row>
    <row r="189" spans="1:19" x14ac:dyDescent="0.25">
      <c r="A189" s="16" t="s">
        <v>16164</v>
      </c>
      <c r="B189" s="16" t="s">
        <v>5765</v>
      </c>
      <c r="C189" s="16" t="s">
        <v>2</v>
      </c>
      <c r="D189" s="16">
        <v>5</v>
      </c>
      <c r="E189" s="16" t="s">
        <v>11732</v>
      </c>
      <c r="F189" s="16" t="s">
        <v>15969</v>
      </c>
      <c r="G189" s="179" t="s">
        <v>13288</v>
      </c>
      <c r="H189" s="254">
        <v>10194</v>
      </c>
      <c r="I189" s="180">
        <v>24.75</v>
      </c>
      <c r="J189" s="102">
        <v>291861936</v>
      </c>
      <c r="K189" s="102">
        <f>IFERROR(Table21[[#This Row],[ROUTE COST]]/Table21[[#This Row],[O - DEMAND]],0)</f>
        <v>89720.853366123585</v>
      </c>
      <c r="L189" s="26">
        <v>3253</v>
      </c>
      <c r="M189" s="26">
        <f>IFERROR(VLOOKUP(Table21[[#This Row],[ROUTE]],DEMAND!A:F,5,FALSE),0)</f>
        <v>3383</v>
      </c>
      <c r="N189" s="26">
        <f>IFERROR(VLOOKUP(Table21[[#This Row],[ROUTE]],DEMAND!A:F,6,FALSE),0)</f>
        <v>743</v>
      </c>
      <c r="O189" s="26">
        <f>ROUNDDOWN(Table21[[#This Row],[R-DEMAND]]/1320,0)</f>
        <v>0</v>
      </c>
      <c r="P189" s="26">
        <f>Table21[[#This Row],[ADD ACC]]*Table21[[#This Row],[Duration
(747-400)]]</f>
        <v>0</v>
      </c>
      <c r="Q189" s="284">
        <f>IFERROR(VLOOKUP(Table21[[#This Row],[ROUTE]],PRICING!A:B,2,FALSE),0)</f>
        <v>2886</v>
      </c>
      <c r="R189" s="282">
        <f>Table21[[#This Row],[C_DEMAND]]-Table21[[#This Row],[R-DEMAND]]</f>
        <v>2640</v>
      </c>
      <c r="S189" s="287">
        <f>Table21[[#This Row],[SEATS SOLD]]*Table21[[#This Row],[ECO SEAT]]</f>
        <v>7619040</v>
      </c>
    </row>
    <row r="190" spans="1:19" x14ac:dyDescent="0.25">
      <c r="A190" s="16" t="s">
        <v>16618</v>
      </c>
      <c r="B190" s="16" t="s">
        <v>202</v>
      </c>
      <c r="C190" s="16" t="s">
        <v>2</v>
      </c>
      <c r="D190" s="16">
        <v>2</v>
      </c>
      <c r="E190" s="16" t="s">
        <v>709</v>
      </c>
      <c r="F190" s="16" t="s">
        <v>12670</v>
      </c>
      <c r="G190" s="179" t="s">
        <v>12107</v>
      </c>
      <c r="H190" s="254">
        <v>4113</v>
      </c>
      <c r="I190" s="180">
        <v>11.25</v>
      </c>
      <c r="J190" s="102">
        <v>181304080</v>
      </c>
      <c r="K190" s="102">
        <f>IFERROR(Table21[[#This Row],[ROUTE COST]]/Table21[[#This Row],[O - DEMAND]],0)</f>
        <v>56131.294117647056</v>
      </c>
      <c r="L190" s="26">
        <v>3230</v>
      </c>
      <c r="M190" s="26">
        <f>IFERROR(VLOOKUP(Table21[[#This Row],[ROUTE]],DEMAND!A:F,5,FALSE),0)</f>
        <v>3381</v>
      </c>
      <c r="N190" s="26">
        <f>IFERROR(VLOOKUP(Table21[[#This Row],[ROUTE]],DEMAND!A:F,6,FALSE),0)</f>
        <v>741</v>
      </c>
      <c r="O190" s="26">
        <f>ROUNDDOWN(Table21[[#This Row],[R-DEMAND]]/1320,0)</f>
        <v>0</v>
      </c>
      <c r="P190" s="26">
        <f>Table21[[#This Row],[ADD ACC]]*Table21[[#This Row],[Duration
(747-400)]]</f>
        <v>0</v>
      </c>
      <c r="Q190" s="284">
        <f>IFERROR(VLOOKUP(Table21[[#This Row],[ROUTE]],PRICING!A:B,2,FALSE),0)</f>
        <v>1199</v>
      </c>
      <c r="R190" s="282">
        <f>Table21[[#This Row],[C_DEMAND]]-Table21[[#This Row],[R-DEMAND]]</f>
        <v>2640</v>
      </c>
      <c r="S190" s="287">
        <f>Table21[[#This Row],[SEATS SOLD]]*Table21[[#This Row],[ECO SEAT]]</f>
        <v>3165360</v>
      </c>
    </row>
    <row r="191" spans="1:19" x14ac:dyDescent="0.25">
      <c r="A191" s="16" t="s">
        <v>16322</v>
      </c>
      <c r="B191" s="16" t="s">
        <v>200</v>
      </c>
      <c r="C191" s="16" t="s">
        <v>2</v>
      </c>
      <c r="D191" s="16">
        <v>5</v>
      </c>
      <c r="E191" s="16" t="s">
        <v>83</v>
      </c>
      <c r="F191" s="16" t="s">
        <v>12674</v>
      </c>
      <c r="G191" s="179" t="s">
        <v>11067</v>
      </c>
      <c r="H191" s="254">
        <v>8167</v>
      </c>
      <c r="I191" s="180">
        <v>20.25</v>
      </c>
      <c r="J191" s="102">
        <v>262900259</v>
      </c>
      <c r="K191" s="102">
        <f>IFERROR(Table21[[#This Row],[ROUTE COST]]/Table21[[#This Row],[O - DEMAND]],0)</f>
        <v>80619.521312480836</v>
      </c>
      <c r="L191" s="26">
        <v>3261</v>
      </c>
      <c r="M191" s="26">
        <f>IFERROR(VLOOKUP(Table21[[#This Row],[ROUTE]],DEMAND!A:F,5,FALSE),0)</f>
        <v>3380</v>
      </c>
      <c r="N191" s="26">
        <f>IFERROR(VLOOKUP(Table21[[#This Row],[ROUTE]],DEMAND!A:F,6,FALSE),0)</f>
        <v>740</v>
      </c>
      <c r="O191" s="26">
        <f>ROUNDDOWN(Table21[[#This Row],[R-DEMAND]]/1320,0)</f>
        <v>0</v>
      </c>
      <c r="P191" s="26">
        <f>Table21[[#This Row],[ADD ACC]]*Table21[[#This Row],[Duration
(747-400)]]</f>
        <v>0</v>
      </c>
      <c r="Q191" s="284">
        <f>IFERROR(VLOOKUP(Table21[[#This Row],[ROUTE]],PRICING!A:B,2,FALSE),0)</f>
        <v>2359</v>
      </c>
      <c r="R191" s="282">
        <f>Table21[[#This Row],[C_DEMAND]]-Table21[[#This Row],[R-DEMAND]]</f>
        <v>2640</v>
      </c>
      <c r="S191" s="287">
        <f>Table21[[#This Row],[SEATS SOLD]]*Table21[[#This Row],[ECO SEAT]]</f>
        <v>6227760</v>
      </c>
    </row>
    <row r="192" spans="1:19" x14ac:dyDescent="0.25">
      <c r="A192" s="16" t="s">
        <v>16455</v>
      </c>
      <c r="B192" s="16" t="s">
        <v>252</v>
      </c>
      <c r="C192" s="16" t="s">
        <v>2</v>
      </c>
      <c r="D192" s="16">
        <v>5</v>
      </c>
      <c r="E192" s="16" t="s">
        <v>700</v>
      </c>
      <c r="F192" s="16" t="s">
        <v>12670</v>
      </c>
      <c r="G192" s="179" t="s">
        <v>11077</v>
      </c>
      <c r="H192" s="254">
        <v>7062</v>
      </c>
      <c r="I192" s="180">
        <v>17.75</v>
      </c>
      <c r="J192" s="102">
        <v>258182877</v>
      </c>
      <c r="K192" s="102">
        <f>IFERROR(Table21[[#This Row],[ROUTE COST]]/Table21[[#This Row],[O - DEMAND]],0)</f>
        <v>79197.201533742336</v>
      </c>
      <c r="L192" s="26">
        <v>3260</v>
      </c>
      <c r="M192" s="26">
        <f>IFERROR(VLOOKUP(Table21[[#This Row],[ROUTE]],DEMAND!A:F,5,FALSE),0)</f>
        <v>3379</v>
      </c>
      <c r="N192" s="26">
        <f>IFERROR(VLOOKUP(Table21[[#This Row],[ROUTE]],DEMAND!A:F,6,FALSE),0)</f>
        <v>739</v>
      </c>
      <c r="O192" s="26">
        <f>ROUNDDOWN(Table21[[#This Row],[R-DEMAND]]/1320,0)</f>
        <v>0</v>
      </c>
      <c r="P192" s="26">
        <f>Table21[[#This Row],[ADD ACC]]*Table21[[#This Row],[Duration
(747-400)]]</f>
        <v>0</v>
      </c>
      <c r="Q192" s="284">
        <f>IFERROR(VLOOKUP(Table21[[#This Row],[ROUTE]],PRICING!A:B,2,FALSE),0)</f>
        <v>2055</v>
      </c>
      <c r="R192" s="282">
        <f>Table21[[#This Row],[C_DEMAND]]-Table21[[#This Row],[R-DEMAND]]</f>
        <v>2640</v>
      </c>
      <c r="S192" s="287">
        <f>Table21[[#This Row],[SEATS SOLD]]*Table21[[#This Row],[ECO SEAT]]</f>
        <v>5425200</v>
      </c>
    </row>
    <row r="193" spans="1:19" x14ac:dyDescent="0.25">
      <c r="A193" s="16" t="s">
        <v>16058</v>
      </c>
      <c r="B193" s="16" t="s">
        <v>5732</v>
      </c>
      <c r="C193" s="16" t="s">
        <v>2</v>
      </c>
      <c r="D193" s="16">
        <v>5</v>
      </c>
      <c r="E193" s="16" t="s">
        <v>11732</v>
      </c>
      <c r="F193" s="16" t="s">
        <v>15969</v>
      </c>
      <c r="G193" s="179" t="s">
        <v>13358</v>
      </c>
      <c r="H193" s="254">
        <v>11455</v>
      </c>
      <c r="I193" s="180">
        <v>27.5</v>
      </c>
      <c r="J193" s="102">
        <v>298900579</v>
      </c>
      <c r="K193" s="102">
        <f>IFERROR(Table21[[#This Row],[ROUTE COST]]/Table21[[#This Row],[O - DEMAND]],0)</f>
        <v>94171.57498424701</v>
      </c>
      <c r="L193" s="26">
        <v>3174</v>
      </c>
      <c r="M193" s="26">
        <f>IFERROR(VLOOKUP(Table21[[#This Row],[ROUTE]],DEMAND!A:F,5,FALSE),0)</f>
        <v>3375</v>
      </c>
      <c r="N193" s="26">
        <f>IFERROR(VLOOKUP(Table21[[#This Row],[ROUTE]],DEMAND!A:F,6,FALSE),0)</f>
        <v>735</v>
      </c>
      <c r="O193" s="26">
        <f>ROUNDDOWN(Table21[[#This Row],[R-DEMAND]]/1320,0)</f>
        <v>0</v>
      </c>
      <c r="P193" s="26">
        <f>Table21[[#This Row],[ADD ACC]]*Table21[[#This Row],[Duration
(747-400)]]</f>
        <v>0</v>
      </c>
      <c r="Q193" s="284">
        <f>IFERROR(VLOOKUP(Table21[[#This Row],[ROUTE]],PRICING!A:B,2,FALSE),0)</f>
        <v>2973</v>
      </c>
      <c r="R193" s="282">
        <f>Table21[[#This Row],[C_DEMAND]]-Table21[[#This Row],[R-DEMAND]]</f>
        <v>2640</v>
      </c>
      <c r="S193" s="287">
        <f>Table21[[#This Row],[SEATS SOLD]]*Table21[[#This Row],[ECO SEAT]]</f>
        <v>7848720</v>
      </c>
    </row>
    <row r="194" spans="1:19" x14ac:dyDescent="0.25">
      <c r="A194" s="251" t="s">
        <v>16720</v>
      </c>
      <c r="B194" s="251" t="s">
        <v>143</v>
      </c>
      <c r="C194" s="16" t="s">
        <v>2</v>
      </c>
      <c r="D194" s="251">
        <v>4</v>
      </c>
      <c r="E194" s="251" t="s">
        <v>16711</v>
      </c>
      <c r="F194" s="251" t="s">
        <v>12670</v>
      </c>
      <c r="G194" s="252" t="s">
        <v>16715</v>
      </c>
      <c r="H194" s="254">
        <v>18552</v>
      </c>
      <c r="I194" s="180">
        <v>6.25</v>
      </c>
      <c r="J194" s="102">
        <v>186263708</v>
      </c>
      <c r="K194" s="253">
        <f>IFERROR(Table21[[#This Row],[ROUTE COST]]/Table21[[#This Row],[O - DEMAND]],0)</f>
        <v>59112.569977784828</v>
      </c>
      <c r="L194" s="26">
        <v>3151</v>
      </c>
      <c r="M194" s="26">
        <f>IFERROR(VLOOKUP(Table21[[#This Row],[ROUTE]],DEMAND!A:F,5,FALSE),0)</f>
        <v>3361</v>
      </c>
      <c r="N194" s="26">
        <f>IFERROR(VLOOKUP(Table21[[#This Row],[ROUTE]],DEMAND!A:F,6,FALSE),0)</f>
        <v>721</v>
      </c>
      <c r="O194" s="26">
        <f>ROUNDDOWN(Table21[[#This Row],[R-DEMAND]]/1320,0)</f>
        <v>0</v>
      </c>
      <c r="P194" s="26">
        <f>Table21[[#This Row],[ADD ACC]]*Table21[[#This Row],[Duration
(747-400)]]</f>
        <v>0</v>
      </c>
      <c r="Q194" s="284">
        <f>IFERROR(VLOOKUP(Table21[[#This Row],[ROUTE]],PRICING!A:B,2,FALSE),0)</f>
        <v>555</v>
      </c>
      <c r="R194" s="282">
        <f>Table21[[#This Row],[C_DEMAND]]-Table21[[#This Row],[R-DEMAND]]</f>
        <v>2640</v>
      </c>
      <c r="S194" s="287">
        <f>Table21[[#This Row],[SEATS SOLD]]*Table21[[#This Row],[ECO SEAT]]</f>
        <v>1465200</v>
      </c>
    </row>
    <row r="195" spans="1:19" x14ac:dyDescent="0.25">
      <c r="A195" s="16" t="s">
        <v>16381</v>
      </c>
      <c r="B195" s="16" t="s">
        <v>433</v>
      </c>
      <c r="C195" s="16" t="s">
        <v>2</v>
      </c>
      <c r="D195" s="16">
        <v>2</v>
      </c>
      <c r="E195" s="16" t="s">
        <v>1513</v>
      </c>
      <c r="F195" s="16" t="s">
        <v>12671</v>
      </c>
      <c r="G195" s="179" t="s">
        <v>10731</v>
      </c>
      <c r="H195" s="254">
        <v>7710</v>
      </c>
      <c r="I195" s="180">
        <v>19.25</v>
      </c>
      <c r="J195" s="102">
        <v>208364866</v>
      </c>
      <c r="K195" s="102">
        <f>IFERROR(Table21[[#This Row],[ROUTE COST]]/Table21[[#This Row],[O - DEMAND]],0)</f>
        <v>46666.263381858902</v>
      </c>
      <c r="L195" s="26">
        <v>4465</v>
      </c>
      <c r="M195" s="26">
        <f>IFERROR(VLOOKUP(Table21[[#This Row],[ROUTE]],DEMAND!A:F,5,FALSE),0)</f>
        <v>4673</v>
      </c>
      <c r="N195" s="26">
        <f>IFERROR(VLOOKUP(Table21[[#This Row],[ROUTE]],DEMAND!A:F,6,FALSE),0)</f>
        <v>713</v>
      </c>
      <c r="O195" s="26">
        <f>ROUNDDOWN(Table21[[#This Row],[R-DEMAND]]/1320,0)</f>
        <v>0</v>
      </c>
      <c r="P195" s="26">
        <f>Table21[[#This Row],[ADD ACC]]*Table21[[#This Row],[Duration
(747-400)]]</f>
        <v>0</v>
      </c>
      <c r="Q195" s="284">
        <f>IFERROR(VLOOKUP(Table21[[#This Row],[ROUTE]],PRICING!A:B,2,FALSE),0)</f>
        <v>2158</v>
      </c>
      <c r="R195" s="282">
        <f>Table21[[#This Row],[C_DEMAND]]-Table21[[#This Row],[R-DEMAND]]</f>
        <v>3960</v>
      </c>
      <c r="S195" s="287">
        <f>Table21[[#This Row],[SEATS SOLD]]*Table21[[#This Row],[ECO SEAT]]</f>
        <v>8545680</v>
      </c>
    </row>
    <row r="196" spans="1:19" x14ac:dyDescent="0.25">
      <c r="A196" s="16" t="s">
        <v>16274</v>
      </c>
      <c r="B196" s="16" t="s">
        <v>430</v>
      </c>
      <c r="C196" s="16" t="s">
        <v>2</v>
      </c>
      <c r="D196" s="16">
        <v>5</v>
      </c>
      <c r="E196" s="16" t="s">
        <v>119</v>
      </c>
      <c r="F196" s="16" t="s">
        <v>12674</v>
      </c>
      <c r="G196" s="179" t="s">
        <v>11107</v>
      </c>
      <c r="H196" s="254">
        <v>8814</v>
      </c>
      <c r="I196" s="180">
        <v>21.75</v>
      </c>
      <c r="J196" s="102">
        <v>267497245</v>
      </c>
      <c r="K196" s="102">
        <f>IFERROR(Table21[[#This Row],[ROUTE COST]]/Table21[[#This Row],[O - DEMAND]],0)</f>
        <v>83566.774445485789</v>
      </c>
      <c r="L196" s="26">
        <v>3201</v>
      </c>
      <c r="M196" s="26">
        <f>IFERROR(VLOOKUP(Table21[[#This Row],[ROUTE]],DEMAND!A:F,5,FALSE),0)</f>
        <v>3351</v>
      </c>
      <c r="N196" s="26">
        <f>IFERROR(VLOOKUP(Table21[[#This Row],[ROUTE]],DEMAND!A:F,6,FALSE),0)</f>
        <v>711</v>
      </c>
      <c r="O196" s="26">
        <f>ROUNDDOWN(Table21[[#This Row],[R-DEMAND]]/1320,0)</f>
        <v>0</v>
      </c>
      <c r="P196" s="26">
        <f>Table21[[#This Row],[ADD ACC]]*Table21[[#This Row],[Duration
(747-400)]]</f>
        <v>0</v>
      </c>
      <c r="Q196" s="284">
        <f>IFERROR(VLOOKUP(Table21[[#This Row],[ROUTE]],PRICING!A:B,2,FALSE),0)</f>
        <v>2452</v>
      </c>
      <c r="R196" s="282">
        <f>Table21[[#This Row],[C_DEMAND]]-Table21[[#This Row],[R-DEMAND]]</f>
        <v>2640</v>
      </c>
      <c r="S196" s="287">
        <f>Table21[[#This Row],[SEATS SOLD]]*Table21[[#This Row],[ECO SEAT]]</f>
        <v>6473280</v>
      </c>
    </row>
    <row r="197" spans="1:19" x14ac:dyDescent="0.25">
      <c r="A197" s="16" t="s">
        <v>16215</v>
      </c>
      <c r="B197" s="16" t="s">
        <v>4562</v>
      </c>
      <c r="C197" s="16" t="s">
        <v>2</v>
      </c>
      <c r="D197" s="16">
        <v>2</v>
      </c>
      <c r="E197" s="16" t="s">
        <v>637</v>
      </c>
      <c r="F197" s="16" t="s">
        <v>12671</v>
      </c>
      <c r="G197" s="179" t="s">
        <v>11908</v>
      </c>
      <c r="H197" s="254">
        <v>9509</v>
      </c>
      <c r="I197" s="180">
        <v>23.25</v>
      </c>
      <c r="J197" s="102">
        <v>236758382</v>
      </c>
      <c r="K197" s="102">
        <f>IFERROR(Table21[[#This Row],[ROUTE COST]]/Table21[[#This Row],[O - DEMAND]],0)</f>
        <v>54153.33531564501</v>
      </c>
      <c r="L197" s="26">
        <v>4372</v>
      </c>
      <c r="M197" s="26">
        <f>IFERROR(VLOOKUP(Table21[[#This Row],[ROUTE]],DEMAND!A:F,5,FALSE),0)</f>
        <v>4663</v>
      </c>
      <c r="N197" s="26">
        <f>IFERROR(VLOOKUP(Table21[[#This Row],[ROUTE]],DEMAND!A:F,6,FALSE),0)</f>
        <v>703</v>
      </c>
      <c r="O197" s="26">
        <f>ROUNDDOWN(Table21[[#This Row],[R-DEMAND]]/1320,0)</f>
        <v>0</v>
      </c>
      <c r="P197" s="26">
        <f>Table21[[#This Row],[ADD ACC]]*Table21[[#This Row],[Duration
(747-400)]]</f>
        <v>0</v>
      </c>
      <c r="Q197" s="284">
        <f>IFERROR(VLOOKUP(Table21[[#This Row],[ROUTE]],PRICING!A:B,2,FALSE),0)</f>
        <v>2453</v>
      </c>
      <c r="R197" s="282">
        <f>Table21[[#This Row],[C_DEMAND]]-Table21[[#This Row],[R-DEMAND]]</f>
        <v>3960</v>
      </c>
      <c r="S197" s="287">
        <f>Table21[[#This Row],[SEATS SOLD]]*Table21[[#This Row],[ECO SEAT]]</f>
        <v>9713880</v>
      </c>
    </row>
    <row r="198" spans="1:19" x14ac:dyDescent="0.25">
      <c r="A198" s="16" t="s">
        <v>16491</v>
      </c>
      <c r="B198" s="16" t="s">
        <v>5653</v>
      </c>
      <c r="C198" s="16" t="s">
        <v>2</v>
      </c>
      <c r="D198" s="16">
        <v>3</v>
      </c>
      <c r="E198" s="16" t="s">
        <v>585</v>
      </c>
      <c r="F198" s="16" t="s">
        <v>12674</v>
      </c>
      <c r="G198" s="179" t="s">
        <v>11802</v>
      </c>
      <c r="H198" s="254">
        <v>6692</v>
      </c>
      <c r="I198" s="180">
        <v>17</v>
      </c>
      <c r="J198" s="102">
        <v>237018025</v>
      </c>
      <c r="K198" s="102">
        <f>IFERROR(Table21[[#This Row],[ROUTE COST]]/Table21[[#This Row],[O - DEMAND]],0)</f>
        <v>75435.399427116485</v>
      </c>
      <c r="L198" s="26">
        <v>3142</v>
      </c>
      <c r="M198" s="26">
        <f>IFERROR(VLOOKUP(Table21[[#This Row],[ROUTE]],DEMAND!A:F,5,FALSE),0)</f>
        <v>3342</v>
      </c>
      <c r="N198" s="26">
        <f>IFERROR(VLOOKUP(Table21[[#This Row],[ROUTE]],DEMAND!A:F,6,FALSE),0)</f>
        <v>702</v>
      </c>
      <c r="O198" s="26">
        <f>ROUNDDOWN(Table21[[#This Row],[R-DEMAND]]/1320,0)</f>
        <v>0</v>
      </c>
      <c r="P198" s="26">
        <f>Table21[[#This Row],[ADD ACC]]*Table21[[#This Row],[Duration
(747-400)]]</f>
        <v>0</v>
      </c>
      <c r="Q198" s="284">
        <f>IFERROR(VLOOKUP(Table21[[#This Row],[ROUTE]],PRICING!A:B,2,FALSE),0)</f>
        <v>1777</v>
      </c>
      <c r="R198" s="282">
        <f>Table21[[#This Row],[C_DEMAND]]-Table21[[#This Row],[R-DEMAND]]</f>
        <v>2640</v>
      </c>
      <c r="S198" s="287">
        <f>Table21[[#This Row],[SEATS SOLD]]*Table21[[#This Row],[ECO SEAT]]</f>
        <v>4691280</v>
      </c>
    </row>
    <row r="199" spans="1:19" x14ac:dyDescent="0.25">
      <c r="A199" s="16" t="s">
        <v>16606</v>
      </c>
      <c r="B199" s="16" t="s">
        <v>4439</v>
      </c>
      <c r="C199" s="16" t="s">
        <v>2</v>
      </c>
      <c r="D199" s="16">
        <v>2</v>
      </c>
      <c r="E199" s="16" t="s">
        <v>709</v>
      </c>
      <c r="F199" s="16" t="s">
        <v>12670</v>
      </c>
      <c r="G199" s="179" t="s">
        <v>12112</v>
      </c>
      <c r="H199" s="254">
        <v>4379</v>
      </c>
      <c r="I199" s="180">
        <v>11.75</v>
      </c>
      <c r="J199" s="102">
        <v>181553499</v>
      </c>
      <c r="K199" s="102">
        <f>IFERROR(Table21[[#This Row],[ROUTE COST]]/Table21[[#This Row],[O - DEMAND]],0)</f>
        <v>57672.648983481573</v>
      </c>
      <c r="L199" s="26">
        <v>3148</v>
      </c>
      <c r="M199" s="26">
        <f>IFERROR(VLOOKUP(Table21[[#This Row],[ROUTE]],DEMAND!A:F,5,FALSE),0)</f>
        <v>3337</v>
      </c>
      <c r="N199" s="26">
        <f>IFERROR(VLOOKUP(Table21[[#This Row],[ROUTE]],DEMAND!A:F,6,FALSE),0)</f>
        <v>697</v>
      </c>
      <c r="O199" s="26">
        <f>ROUNDDOWN(Table21[[#This Row],[R-DEMAND]]/1320,0)</f>
        <v>0</v>
      </c>
      <c r="P199" s="26">
        <f>Table21[[#This Row],[ADD ACC]]*Table21[[#This Row],[Duration
(747-400)]]</f>
        <v>0</v>
      </c>
      <c r="Q199" s="284">
        <f>IFERROR(VLOOKUP(Table21[[#This Row],[ROUTE]],PRICING!A:B,2,FALSE),0)</f>
        <v>1211</v>
      </c>
      <c r="R199" s="282">
        <f>Table21[[#This Row],[C_DEMAND]]-Table21[[#This Row],[R-DEMAND]]</f>
        <v>2640</v>
      </c>
      <c r="S199" s="287">
        <f>Table21[[#This Row],[SEATS SOLD]]*Table21[[#This Row],[ECO SEAT]]</f>
        <v>3197040</v>
      </c>
    </row>
    <row r="200" spans="1:19" x14ac:dyDescent="0.25">
      <c r="A200" s="16" t="s">
        <v>16147</v>
      </c>
      <c r="B200" s="16" t="s">
        <v>5734</v>
      </c>
      <c r="C200" s="16" t="s">
        <v>2</v>
      </c>
      <c r="D200" s="16">
        <v>5</v>
      </c>
      <c r="E200" s="16" t="s">
        <v>11732</v>
      </c>
      <c r="F200" s="16" t="s">
        <v>15969</v>
      </c>
      <c r="G200" s="179" t="s">
        <v>13283</v>
      </c>
      <c r="H200" s="254">
        <v>10441</v>
      </c>
      <c r="I200" s="180">
        <v>25.25</v>
      </c>
      <c r="J200" s="102">
        <v>289106416</v>
      </c>
      <c r="K200" s="102">
        <f>IFERROR(Table21[[#This Row],[ROUTE COST]]/Table21[[#This Row],[O - DEMAND]],0)</f>
        <v>90999.816178785011</v>
      </c>
      <c r="L200" s="26">
        <v>3177</v>
      </c>
      <c r="M200" s="26">
        <f>IFERROR(VLOOKUP(Table21[[#This Row],[ROUTE]],DEMAND!A:F,5,FALSE),0)</f>
        <v>3336</v>
      </c>
      <c r="N200" s="26">
        <f>IFERROR(VLOOKUP(Table21[[#This Row],[ROUTE]],DEMAND!A:F,6,FALSE),0)</f>
        <v>696</v>
      </c>
      <c r="O200" s="26">
        <f>ROUNDDOWN(Table21[[#This Row],[R-DEMAND]]/1320,0)</f>
        <v>0</v>
      </c>
      <c r="P200" s="26">
        <f>Table21[[#This Row],[ADD ACC]]*Table21[[#This Row],[Duration
(747-400)]]</f>
        <v>0</v>
      </c>
      <c r="Q200" s="284">
        <f>IFERROR(VLOOKUP(Table21[[#This Row],[ROUTE]],PRICING!A:B,2,FALSE),0)</f>
        <v>2852</v>
      </c>
      <c r="R200" s="282">
        <f>Table21[[#This Row],[C_DEMAND]]-Table21[[#This Row],[R-DEMAND]]</f>
        <v>2640</v>
      </c>
      <c r="S200" s="287">
        <f>Table21[[#This Row],[SEATS SOLD]]*Table21[[#This Row],[ECO SEAT]]</f>
        <v>7529280</v>
      </c>
    </row>
    <row r="201" spans="1:19" x14ac:dyDescent="0.25">
      <c r="A201" s="16" t="s">
        <v>15988</v>
      </c>
      <c r="B201" s="16" t="s">
        <v>5179</v>
      </c>
      <c r="C201" s="16" t="s">
        <v>2</v>
      </c>
      <c r="D201" s="16">
        <v>3</v>
      </c>
      <c r="E201" s="16" t="s">
        <v>13119</v>
      </c>
      <c r="F201" s="16" t="s">
        <v>12688</v>
      </c>
      <c r="G201" s="179" t="s">
        <v>13146</v>
      </c>
      <c r="H201" s="254">
        <v>12632</v>
      </c>
      <c r="I201" s="180">
        <v>30</v>
      </c>
      <c r="J201" s="102">
        <v>275108244</v>
      </c>
      <c r="K201" s="102">
        <f>IFERROR(Table21[[#This Row],[ROUTE COST]]/Table21[[#This Row],[O - DEMAND]],0)</f>
        <v>85756.933915211965</v>
      </c>
      <c r="L201" s="26">
        <v>3208</v>
      </c>
      <c r="M201" s="26">
        <f>IFERROR(VLOOKUP(Table21[[#This Row],[ROUTE]],DEMAND!A:F,5,FALSE),0)</f>
        <v>3336</v>
      </c>
      <c r="N201" s="26">
        <f>IFERROR(VLOOKUP(Table21[[#This Row],[ROUTE]],DEMAND!A:F,6,FALSE),0)</f>
        <v>696</v>
      </c>
      <c r="O201" s="26">
        <f>ROUNDDOWN(Table21[[#This Row],[R-DEMAND]]/1320,0)</f>
        <v>0</v>
      </c>
      <c r="P201" s="26">
        <f>Table21[[#This Row],[ADD ACC]]*Table21[[#This Row],[Duration
(747-400)]]</f>
        <v>0</v>
      </c>
      <c r="Q201" s="284">
        <f>IFERROR(VLOOKUP(Table21[[#This Row],[ROUTE]],PRICING!A:B,2,FALSE),0)</f>
        <v>3550</v>
      </c>
      <c r="R201" s="282">
        <f>Table21[[#This Row],[C_DEMAND]]-Table21[[#This Row],[R-DEMAND]]</f>
        <v>2640</v>
      </c>
      <c r="S201" s="287">
        <f>Table21[[#This Row],[SEATS SOLD]]*Table21[[#This Row],[ECO SEAT]]</f>
        <v>9372000</v>
      </c>
    </row>
    <row r="202" spans="1:19" x14ac:dyDescent="0.25">
      <c r="A202" s="251" t="s">
        <v>16764</v>
      </c>
      <c r="B202" s="251" t="s">
        <v>5608</v>
      </c>
      <c r="C202" s="16" t="s">
        <v>2</v>
      </c>
      <c r="D202" s="251">
        <v>4</v>
      </c>
      <c r="E202" s="251" t="s">
        <v>258</v>
      </c>
      <c r="F202" s="251" t="s">
        <v>12670</v>
      </c>
      <c r="G202" s="252" t="s">
        <v>11097</v>
      </c>
      <c r="H202" s="254">
        <v>1144</v>
      </c>
      <c r="I202" s="180">
        <v>4.75</v>
      </c>
      <c r="J202" s="102">
        <v>176647338</v>
      </c>
      <c r="K202" s="253">
        <f>IFERROR(Table21[[#This Row],[ROUTE COST]]/Table21[[#This Row],[O - DEMAND]],0)</f>
        <v>55323.312871907299</v>
      </c>
      <c r="L202" s="26">
        <v>3193</v>
      </c>
      <c r="M202" s="26">
        <f>IFERROR(VLOOKUP(Table21[[#This Row],[ROUTE]],DEMAND!A:F,5,FALSE),0)</f>
        <v>3332</v>
      </c>
      <c r="N202" s="26">
        <f>IFERROR(VLOOKUP(Table21[[#This Row],[ROUTE]],DEMAND!A:F,6,FALSE),0)</f>
        <v>692</v>
      </c>
      <c r="O202" s="26">
        <f>ROUNDDOWN(Table21[[#This Row],[R-DEMAND]]/1320,0)</f>
        <v>0</v>
      </c>
      <c r="P202" s="26">
        <f>Table21[[#This Row],[ADD ACC]]*Table21[[#This Row],[Duration
(747-400)]]</f>
        <v>0</v>
      </c>
      <c r="Q202" s="284">
        <f>IFERROR(VLOOKUP(Table21[[#This Row],[ROUTE]],PRICING!A:B,2,FALSE),0)</f>
        <v>412</v>
      </c>
      <c r="R202" s="282">
        <f>Table21[[#This Row],[C_DEMAND]]-Table21[[#This Row],[R-DEMAND]]</f>
        <v>2640</v>
      </c>
      <c r="S202" s="287">
        <f>Table21[[#This Row],[SEATS SOLD]]*Table21[[#This Row],[ECO SEAT]]</f>
        <v>1087680</v>
      </c>
    </row>
    <row r="203" spans="1:19" x14ac:dyDescent="0.25">
      <c r="A203" s="16" t="s">
        <v>16011</v>
      </c>
      <c r="B203" s="16" t="s">
        <v>5727</v>
      </c>
      <c r="C203" s="16" t="s">
        <v>2</v>
      </c>
      <c r="D203" s="16">
        <v>5</v>
      </c>
      <c r="E203" s="16" t="s">
        <v>11732</v>
      </c>
      <c r="F203" s="16" t="s">
        <v>15969</v>
      </c>
      <c r="G203" s="179" t="s">
        <v>13368</v>
      </c>
      <c r="H203" s="254">
        <v>12179</v>
      </c>
      <c r="I203" s="180">
        <v>29</v>
      </c>
      <c r="J203" s="102">
        <v>304795040</v>
      </c>
      <c r="K203" s="102">
        <f>IFERROR(Table21[[#This Row],[ROUTE COST]]/Table21[[#This Row],[O - DEMAND]],0)</f>
        <v>96975.832007636011</v>
      </c>
      <c r="L203" s="26">
        <v>3143</v>
      </c>
      <c r="M203" s="26">
        <f>IFERROR(VLOOKUP(Table21[[#This Row],[ROUTE]],DEMAND!A:F,5,FALSE),0)</f>
        <v>3332</v>
      </c>
      <c r="N203" s="26">
        <f>IFERROR(VLOOKUP(Table21[[#This Row],[ROUTE]],DEMAND!A:F,6,FALSE),0)</f>
        <v>692</v>
      </c>
      <c r="O203" s="26">
        <f>ROUNDDOWN(Table21[[#This Row],[R-DEMAND]]/1320,0)</f>
        <v>0</v>
      </c>
      <c r="P203" s="26">
        <f>Table21[[#This Row],[ADD ACC]]*Table21[[#This Row],[Duration
(747-400)]]</f>
        <v>0</v>
      </c>
      <c r="Q203" s="284">
        <f>IFERROR(VLOOKUP(Table21[[#This Row],[ROUTE]],PRICING!A:B,2,FALSE),0)</f>
        <v>3193</v>
      </c>
      <c r="R203" s="282">
        <f>Table21[[#This Row],[C_DEMAND]]-Table21[[#This Row],[R-DEMAND]]</f>
        <v>2640</v>
      </c>
      <c r="S203" s="287">
        <f>Table21[[#This Row],[SEATS SOLD]]*Table21[[#This Row],[ECO SEAT]]</f>
        <v>8429520</v>
      </c>
    </row>
    <row r="204" spans="1:19" x14ac:dyDescent="0.25">
      <c r="A204" s="16" t="s">
        <v>16524</v>
      </c>
      <c r="B204" s="16" t="s">
        <v>5260</v>
      </c>
      <c r="C204" s="16" t="s">
        <v>2</v>
      </c>
      <c r="D204" s="16">
        <v>3</v>
      </c>
      <c r="E204" s="16" t="s">
        <v>172</v>
      </c>
      <c r="F204" s="16" t="s">
        <v>12670</v>
      </c>
      <c r="G204" s="179" t="s">
        <v>11951</v>
      </c>
      <c r="H204" s="254">
        <v>6245</v>
      </c>
      <c r="I204" s="180">
        <v>16</v>
      </c>
      <c r="J204" s="102">
        <v>213626861</v>
      </c>
      <c r="K204" s="102">
        <f>IFERROR(Table21[[#This Row],[ROUTE COST]]/Table21[[#This Row],[O - DEMAND]],0)</f>
        <v>67560.677103099311</v>
      </c>
      <c r="L204" s="26">
        <v>3162</v>
      </c>
      <c r="M204" s="26">
        <f>IFERROR(VLOOKUP(Table21[[#This Row],[ROUTE]],DEMAND!A:F,5,FALSE),0)</f>
        <v>3331</v>
      </c>
      <c r="N204" s="26">
        <f>IFERROR(VLOOKUP(Table21[[#This Row],[ROUTE]],DEMAND!A:F,6,FALSE),0)</f>
        <v>691</v>
      </c>
      <c r="O204" s="26">
        <f>ROUNDDOWN(Table21[[#This Row],[R-DEMAND]]/1320,0)</f>
        <v>0</v>
      </c>
      <c r="P204" s="26">
        <f>Table21[[#This Row],[ADD ACC]]*Table21[[#This Row],[Duration
(747-400)]]</f>
        <v>0</v>
      </c>
      <c r="Q204" s="284">
        <f>IFERROR(VLOOKUP(Table21[[#This Row],[ROUTE]],PRICING!A:B,2,FALSE),0)</f>
        <v>1726</v>
      </c>
      <c r="R204" s="282">
        <f>Table21[[#This Row],[C_DEMAND]]-Table21[[#This Row],[R-DEMAND]]</f>
        <v>2640</v>
      </c>
      <c r="S204" s="287">
        <f>Table21[[#This Row],[SEATS SOLD]]*Table21[[#This Row],[ECO SEAT]]</f>
        <v>4556640</v>
      </c>
    </row>
    <row r="205" spans="1:19" x14ac:dyDescent="0.25">
      <c r="A205" s="16" t="s">
        <v>15974</v>
      </c>
      <c r="B205" s="16" t="s">
        <v>5121</v>
      </c>
      <c r="C205" s="16" t="s">
        <v>2</v>
      </c>
      <c r="D205" s="16">
        <v>3</v>
      </c>
      <c r="E205" s="16" t="s">
        <v>5119</v>
      </c>
      <c r="F205" s="16" t="s">
        <v>12688</v>
      </c>
      <c r="G205" s="179" t="s">
        <v>13207</v>
      </c>
      <c r="H205" s="254">
        <v>13325</v>
      </c>
      <c r="I205" s="180">
        <v>31.75</v>
      </c>
      <c r="J205" s="102">
        <v>281114722</v>
      </c>
      <c r="K205" s="102">
        <f>IFERROR(Table21[[#This Row],[ROUTE COST]]/Table21[[#This Row],[O - DEMAND]],0)</f>
        <v>63889.709545454549</v>
      </c>
      <c r="L205" s="26">
        <v>4400</v>
      </c>
      <c r="M205" s="26">
        <f>IFERROR(VLOOKUP(Table21[[#This Row],[ROUTE]],DEMAND!A:F,5,FALSE),0)</f>
        <v>4650</v>
      </c>
      <c r="N205" s="26">
        <f>IFERROR(VLOOKUP(Table21[[#This Row],[ROUTE]],DEMAND!A:F,6,FALSE),0)</f>
        <v>690</v>
      </c>
      <c r="O205" s="26">
        <f>ROUNDDOWN(Table21[[#This Row],[R-DEMAND]]/1320,0)</f>
        <v>0</v>
      </c>
      <c r="P205" s="26">
        <f>Table21[[#This Row],[ADD ACC]]*Table21[[#This Row],[Duration
(747-400)]]</f>
        <v>0</v>
      </c>
      <c r="Q205" s="284">
        <f>IFERROR(VLOOKUP(Table21[[#This Row],[ROUTE]],PRICING!A:B,2,FALSE),0)</f>
        <v>3527</v>
      </c>
      <c r="R205" s="282">
        <f>Table21[[#This Row],[C_DEMAND]]-Table21[[#This Row],[R-DEMAND]]</f>
        <v>3960</v>
      </c>
      <c r="S205" s="287">
        <f>Table21[[#This Row],[SEATS SOLD]]*Table21[[#This Row],[ECO SEAT]]</f>
        <v>13966920</v>
      </c>
    </row>
    <row r="206" spans="1:19" x14ac:dyDescent="0.25">
      <c r="A206" s="251" t="s">
        <v>16713</v>
      </c>
      <c r="B206" s="251" t="s">
        <v>249</v>
      </c>
      <c r="C206" s="16" t="s">
        <v>2</v>
      </c>
      <c r="D206" s="251">
        <v>4</v>
      </c>
      <c r="E206" s="251" t="s">
        <v>16711</v>
      </c>
      <c r="F206" s="251" t="s">
        <v>12670</v>
      </c>
      <c r="G206" s="252" t="s">
        <v>16712</v>
      </c>
      <c r="H206" s="254">
        <v>1762</v>
      </c>
      <c r="I206" s="180">
        <v>6</v>
      </c>
      <c r="J206" s="102">
        <v>189230564</v>
      </c>
      <c r="K206" s="253">
        <f>IFERROR(Table21[[#This Row],[ROUTE COST]]/Table21[[#This Row],[O - DEMAND]],0)</f>
        <v>59939.994931897374</v>
      </c>
      <c r="L206" s="26">
        <v>3157</v>
      </c>
      <c r="M206" s="26">
        <f>IFERROR(VLOOKUP(Table21[[#This Row],[ROUTE]],DEMAND!A:F,5,FALSE),0)</f>
        <v>3326</v>
      </c>
      <c r="N206" s="26">
        <f>IFERROR(VLOOKUP(Table21[[#This Row],[ROUTE]],DEMAND!A:F,6,FALSE),0)</f>
        <v>686</v>
      </c>
      <c r="O206" s="26">
        <f>ROUNDDOWN(Table21[[#This Row],[R-DEMAND]]/1320,0)</f>
        <v>0</v>
      </c>
      <c r="P206" s="26">
        <f>Table21[[#This Row],[ADD ACC]]*Table21[[#This Row],[Duration
(747-400)]]</f>
        <v>0</v>
      </c>
      <c r="Q206" s="284">
        <f>IFERROR(VLOOKUP(Table21[[#This Row],[ROUTE]],PRICING!A:B,2,FALSE),0)</f>
        <v>559</v>
      </c>
      <c r="R206" s="282">
        <f>Table21[[#This Row],[C_DEMAND]]-Table21[[#This Row],[R-DEMAND]]</f>
        <v>2640</v>
      </c>
      <c r="S206" s="287">
        <f>Table21[[#This Row],[SEATS SOLD]]*Table21[[#This Row],[ECO SEAT]]</f>
        <v>1475760</v>
      </c>
    </row>
    <row r="207" spans="1:19" x14ac:dyDescent="0.25">
      <c r="A207" s="16" t="s">
        <v>15997</v>
      </c>
      <c r="B207" s="16" t="s">
        <v>2024</v>
      </c>
      <c r="C207" s="16" t="s">
        <v>2</v>
      </c>
      <c r="D207" s="16">
        <v>1</v>
      </c>
      <c r="E207" s="16" t="s">
        <v>2022</v>
      </c>
      <c r="F207" s="16" t="s">
        <v>12671</v>
      </c>
      <c r="G207" s="179" t="s">
        <v>13208</v>
      </c>
      <c r="H207" s="254">
        <v>12429</v>
      </c>
      <c r="I207" s="180">
        <v>29.75</v>
      </c>
      <c r="J207" s="102">
        <v>250901617</v>
      </c>
      <c r="K207" s="102">
        <f>IFERROR(Table21[[#This Row],[ROUTE COST]]/Table21[[#This Row],[O - DEMAND]],0)</f>
        <v>55805.519795373664</v>
      </c>
      <c r="L207" s="26">
        <v>4496</v>
      </c>
      <c r="M207" s="26">
        <f>IFERROR(VLOOKUP(Table21[[#This Row],[ROUTE]],DEMAND!A:F,5,FALSE),0)</f>
        <v>4646</v>
      </c>
      <c r="N207" s="26">
        <f>IFERROR(VLOOKUP(Table21[[#This Row],[ROUTE]],DEMAND!A:F,6,FALSE),0)</f>
        <v>686</v>
      </c>
      <c r="O207" s="26">
        <f>ROUNDDOWN(Table21[[#This Row],[R-DEMAND]]/1320,0)</f>
        <v>0</v>
      </c>
      <c r="P207" s="26">
        <f>Table21[[#This Row],[ADD ACC]]*Table21[[#This Row],[Duration
(747-400)]]</f>
        <v>0</v>
      </c>
      <c r="Q207" s="284">
        <f>IFERROR(VLOOKUP(Table21[[#This Row],[ROUTE]],PRICING!A:B,2,FALSE),0)</f>
        <v>3574</v>
      </c>
      <c r="R207" s="282">
        <f>Table21[[#This Row],[C_DEMAND]]-Table21[[#This Row],[R-DEMAND]]</f>
        <v>3960</v>
      </c>
      <c r="S207" s="287">
        <f>Table21[[#This Row],[SEATS SOLD]]*Table21[[#This Row],[ECO SEAT]]</f>
        <v>14153040</v>
      </c>
    </row>
    <row r="208" spans="1:19" x14ac:dyDescent="0.25">
      <c r="A208" s="16" t="s">
        <v>16569</v>
      </c>
      <c r="B208" s="16" t="s">
        <v>4256</v>
      </c>
      <c r="C208" s="16" t="s">
        <v>2</v>
      </c>
      <c r="D208" s="16">
        <v>2</v>
      </c>
      <c r="E208" s="16" t="s">
        <v>502</v>
      </c>
      <c r="F208" s="16" t="s">
        <v>12670</v>
      </c>
      <c r="G208" s="179" t="s">
        <v>11971</v>
      </c>
      <c r="H208" s="254">
        <v>5428</v>
      </c>
      <c r="I208" s="180">
        <v>14.25</v>
      </c>
      <c r="J208" s="102">
        <v>191622733</v>
      </c>
      <c r="K208" s="102">
        <f>IFERROR(Table21[[#This Row],[ROUTE COST]]/Table21[[#This Row],[O - DEMAND]],0)</f>
        <v>61476.654796278475</v>
      </c>
      <c r="L208" s="26">
        <v>3117</v>
      </c>
      <c r="M208" s="26">
        <f>IFERROR(VLOOKUP(Table21[[#This Row],[ROUTE]],DEMAND!A:F,5,FALSE),0)</f>
        <v>3325</v>
      </c>
      <c r="N208" s="26">
        <f>IFERROR(VLOOKUP(Table21[[#This Row],[ROUTE]],DEMAND!A:F,6,FALSE),0)</f>
        <v>685</v>
      </c>
      <c r="O208" s="26">
        <f>ROUNDDOWN(Table21[[#This Row],[R-DEMAND]]/1320,0)</f>
        <v>0</v>
      </c>
      <c r="P208" s="26">
        <f>Table21[[#This Row],[ADD ACC]]*Table21[[#This Row],[Duration
(747-400)]]</f>
        <v>0</v>
      </c>
      <c r="Q208" s="284">
        <f>IFERROR(VLOOKUP(Table21[[#This Row],[ROUTE]],PRICING!A:B,2,FALSE),0)</f>
        <v>1441</v>
      </c>
      <c r="R208" s="282">
        <f>Table21[[#This Row],[C_DEMAND]]-Table21[[#This Row],[R-DEMAND]]</f>
        <v>2640</v>
      </c>
      <c r="S208" s="287">
        <f>Table21[[#This Row],[SEATS SOLD]]*Table21[[#This Row],[ECO SEAT]]</f>
        <v>3804240</v>
      </c>
    </row>
    <row r="209" spans="1:19" x14ac:dyDescent="0.25">
      <c r="A209" s="16" t="s">
        <v>16523</v>
      </c>
      <c r="B209" s="16" t="s">
        <v>4987</v>
      </c>
      <c r="C209" s="16" t="s">
        <v>2</v>
      </c>
      <c r="D209" s="16">
        <v>3</v>
      </c>
      <c r="E209" s="16" t="s">
        <v>722</v>
      </c>
      <c r="F209" s="16" t="s">
        <v>12674</v>
      </c>
      <c r="G209" s="179" t="s">
        <v>11855</v>
      </c>
      <c r="H209" s="254">
        <v>6249</v>
      </c>
      <c r="I209" s="180">
        <v>16</v>
      </c>
      <c r="J209" s="102">
        <v>207324008</v>
      </c>
      <c r="K209" s="102">
        <f>IFERROR(Table21[[#This Row],[ROUTE COST]]/Table21[[#This Row],[O - DEMAND]],0)</f>
        <v>64930.788600062639</v>
      </c>
      <c r="L209" s="26">
        <v>3193</v>
      </c>
      <c r="M209" s="26">
        <f>IFERROR(VLOOKUP(Table21[[#This Row],[ROUTE]],DEMAND!A:F,5,FALSE),0)</f>
        <v>3321</v>
      </c>
      <c r="N209" s="26">
        <f>IFERROR(VLOOKUP(Table21[[#This Row],[ROUTE]],DEMAND!A:F,6,FALSE),0)</f>
        <v>681</v>
      </c>
      <c r="O209" s="26">
        <f>ROUNDDOWN(Table21[[#This Row],[R-DEMAND]]/1320,0)</f>
        <v>0</v>
      </c>
      <c r="P209" s="26">
        <f>Table21[[#This Row],[ADD ACC]]*Table21[[#This Row],[Duration
(747-400)]]</f>
        <v>0</v>
      </c>
      <c r="Q209" s="284">
        <f>IFERROR(VLOOKUP(Table21[[#This Row],[ROUTE]],PRICING!A:B,2,FALSE),0)</f>
        <v>1810</v>
      </c>
      <c r="R209" s="282">
        <f>Table21[[#This Row],[C_DEMAND]]-Table21[[#This Row],[R-DEMAND]]</f>
        <v>2640</v>
      </c>
      <c r="S209" s="287">
        <f>Table21[[#This Row],[SEATS SOLD]]*Table21[[#This Row],[ECO SEAT]]</f>
        <v>4778400</v>
      </c>
    </row>
    <row r="210" spans="1:19" x14ac:dyDescent="0.25">
      <c r="A210" s="251" t="s">
        <v>16721</v>
      </c>
      <c r="B210" s="251" t="s">
        <v>5661</v>
      </c>
      <c r="C210" s="16" t="s">
        <v>2</v>
      </c>
      <c r="D210" s="251">
        <v>4</v>
      </c>
      <c r="E210" s="251" t="s">
        <v>16711</v>
      </c>
      <c r="F210" s="251" t="s">
        <v>12670</v>
      </c>
      <c r="G210" s="252" t="s">
        <v>16716</v>
      </c>
      <c r="H210" s="254">
        <v>1427</v>
      </c>
      <c r="I210" s="180">
        <v>5.25</v>
      </c>
      <c r="J210" s="102">
        <v>185263029</v>
      </c>
      <c r="K210" s="253">
        <f>IFERROR(Table21[[#This Row],[ROUTE COST]]/Table21[[#This Row],[O - DEMAND]],0)</f>
        <v>58982.180515759312</v>
      </c>
      <c r="L210" s="26">
        <v>3141</v>
      </c>
      <c r="M210" s="26">
        <f>IFERROR(VLOOKUP(Table21[[#This Row],[ROUTE]],DEMAND!A:F,5,FALSE),0)</f>
        <v>3320</v>
      </c>
      <c r="N210" s="26">
        <f>IFERROR(VLOOKUP(Table21[[#This Row],[ROUTE]],DEMAND!A:F,6,FALSE),0)</f>
        <v>680</v>
      </c>
      <c r="O210" s="26">
        <f>ROUNDDOWN(Table21[[#This Row],[R-DEMAND]]/1320,0)</f>
        <v>0</v>
      </c>
      <c r="P210" s="26">
        <f>Table21[[#This Row],[ADD ACC]]*Table21[[#This Row],[Duration
(747-400)]]</f>
        <v>0</v>
      </c>
      <c r="Q210" s="284">
        <f>IFERROR(VLOOKUP(Table21[[#This Row],[ROUTE]],PRICING!A:B,2,FALSE),0)</f>
        <v>466</v>
      </c>
      <c r="R210" s="282">
        <f>Table21[[#This Row],[C_DEMAND]]-Table21[[#This Row],[R-DEMAND]]</f>
        <v>2640</v>
      </c>
      <c r="S210" s="287">
        <f>Table21[[#This Row],[SEATS SOLD]]*Table21[[#This Row],[ECO SEAT]]</f>
        <v>1230240</v>
      </c>
    </row>
    <row r="211" spans="1:19" x14ac:dyDescent="0.25">
      <c r="A211" s="16" t="s">
        <v>15986</v>
      </c>
      <c r="B211" s="16" t="s">
        <v>4735</v>
      </c>
      <c r="C211" s="16" t="s">
        <v>2</v>
      </c>
      <c r="D211" s="16">
        <v>3</v>
      </c>
      <c r="E211" s="16" t="s">
        <v>1749</v>
      </c>
      <c r="F211" s="16" t="s">
        <v>12688</v>
      </c>
      <c r="G211" s="179" t="s">
        <v>13228</v>
      </c>
      <c r="H211" s="254">
        <v>12708</v>
      </c>
      <c r="I211" s="180">
        <v>30.25</v>
      </c>
      <c r="J211" s="102">
        <v>268175557</v>
      </c>
      <c r="K211" s="102">
        <f>IFERROR(Table21[[#This Row],[ROUTE COST]]/Table21[[#This Row],[O - DEMAND]],0)</f>
        <v>84812.004111321949</v>
      </c>
      <c r="L211" s="26">
        <v>3162</v>
      </c>
      <c r="M211" s="26">
        <f>IFERROR(VLOOKUP(Table21[[#This Row],[ROUTE]],DEMAND!A:F,5,FALSE),0)</f>
        <v>3320</v>
      </c>
      <c r="N211" s="26">
        <f>IFERROR(VLOOKUP(Table21[[#This Row],[ROUTE]],DEMAND!A:F,6,FALSE),0)</f>
        <v>680</v>
      </c>
      <c r="O211" s="26">
        <f>ROUNDDOWN(Table21[[#This Row],[R-DEMAND]]/1320,0)</f>
        <v>0</v>
      </c>
      <c r="P211" s="26">
        <f>Table21[[#This Row],[ADD ACC]]*Table21[[#This Row],[Duration
(747-400)]]</f>
        <v>0</v>
      </c>
      <c r="Q211" s="284">
        <f>IFERROR(VLOOKUP(Table21[[#This Row],[ROUTE]],PRICING!A:B,2,FALSE),0)</f>
        <v>3450</v>
      </c>
      <c r="R211" s="282">
        <f>Table21[[#This Row],[C_DEMAND]]-Table21[[#This Row],[R-DEMAND]]</f>
        <v>2640</v>
      </c>
      <c r="S211" s="287">
        <f>Table21[[#This Row],[SEATS SOLD]]*Table21[[#This Row],[ECO SEAT]]</f>
        <v>9108000</v>
      </c>
    </row>
    <row r="212" spans="1:19" x14ac:dyDescent="0.25">
      <c r="A212" s="16" t="s">
        <v>15993</v>
      </c>
      <c r="B212" s="16" t="s">
        <v>168</v>
      </c>
      <c r="C212" s="16" t="s">
        <v>2</v>
      </c>
      <c r="D212" s="16">
        <v>5</v>
      </c>
      <c r="E212" s="16" t="s">
        <v>11732</v>
      </c>
      <c r="F212" s="16" t="s">
        <v>15969</v>
      </c>
      <c r="G212" s="179" t="s">
        <v>13373</v>
      </c>
      <c r="H212" s="254">
        <v>12488</v>
      </c>
      <c r="I212" s="180">
        <v>29.75</v>
      </c>
      <c r="J212" s="102">
        <v>308527315</v>
      </c>
      <c r="K212" s="102">
        <f>IFERROR(Table21[[#This Row],[ROUTE COST]]/Table21[[#This Row],[O - DEMAND]],0)</f>
        <v>97914.095525230092</v>
      </c>
      <c r="L212" s="26">
        <v>3151</v>
      </c>
      <c r="M212" s="26">
        <f>IFERROR(VLOOKUP(Table21[[#This Row],[ROUTE]],DEMAND!A:F,5,FALSE),0)</f>
        <v>3319</v>
      </c>
      <c r="N212" s="26">
        <f>IFERROR(VLOOKUP(Table21[[#This Row],[ROUTE]],DEMAND!A:F,6,FALSE),0)</f>
        <v>679</v>
      </c>
      <c r="O212" s="26">
        <f>ROUNDDOWN(Table21[[#This Row],[R-DEMAND]]/1320,0)</f>
        <v>0</v>
      </c>
      <c r="P212" s="26">
        <f>Table21[[#This Row],[ADD ACC]]*Table21[[#This Row],[Duration
(747-400)]]</f>
        <v>0</v>
      </c>
      <c r="Q212" s="284">
        <f>IFERROR(VLOOKUP(Table21[[#This Row],[ROUTE]],PRICING!A:B,2,FALSE),0)</f>
        <v>3352</v>
      </c>
      <c r="R212" s="282">
        <f>Table21[[#This Row],[C_DEMAND]]-Table21[[#This Row],[R-DEMAND]]</f>
        <v>2640</v>
      </c>
      <c r="S212" s="287">
        <f>Table21[[#This Row],[SEATS SOLD]]*Table21[[#This Row],[ECO SEAT]]</f>
        <v>8849280</v>
      </c>
    </row>
    <row r="213" spans="1:19" x14ac:dyDescent="0.25">
      <c r="A213" s="16" t="s">
        <v>16604</v>
      </c>
      <c r="B213" s="16" t="s">
        <v>211</v>
      </c>
      <c r="C213" s="16" t="s">
        <v>2</v>
      </c>
      <c r="D213" s="16">
        <v>5</v>
      </c>
      <c r="E213" s="16" t="s">
        <v>709</v>
      </c>
      <c r="F213" s="16" t="s">
        <v>12670</v>
      </c>
      <c r="G213" s="179" t="s">
        <v>11069</v>
      </c>
      <c r="H213" s="254">
        <v>4414</v>
      </c>
      <c r="I213" s="180">
        <v>12</v>
      </c>
      <c r="J213" s="102">
        <v>221301238</v>
      </c>
      <c r="K213" s="102">
        <f>IFERROR(Table21[[#This Row],[ROUTE COST]]/Table21[[#This Row],[O - DEMAND]],0)</f>
        <v>50444.777296558015</v>
      </c>
      <c r="L213" s="26">
        <v>4387</v>
      </c>
      <c r="M213" s="26">
        <f>IFERROR(VLOOKUP(Table21[[#This Row],[ROUTE]],DEMAND!A:F,5,FALSE),0)</f>
        <v>4636</v>
      </c>
      <c r="N213" s="26">
        <f>IFERROR(VLOOKUP(Table21[[#This Row],[ROUTE]],DEMAND!A:F,6,FALSE),0)</f>
        <v>676</v>
      </c>
      <c r="O213" s="26">
        <f>ROUNDDOWN(Table21[[#This Row],[R-DEMAND]]/1320,0)</f>
        <v>0</v>
      </c>
      <c r="P213" s="26">
        <f>Table21[[#This Row],[ADD ACC]]*Table21[[#This Row],[Duration
(747-400)]]</f>
        <v>0</v>
      </c>
      <c r="Q213" s="284">
        <f>IFERROR(VLOOKUP(Table21[[#This Row],[ROUTE]],PRICING!A:B,2,FALSE),0)</f>
        <v>1235</v>
      </c>
      <c r="R213" s="282">
        <f>Table21[[#This Row],[C_DEMAND]]-Table21[[#This Row],[R-DEMAND]]</f>
        <v>3960</v>
      </c>
      <c r="S213" s="287">
        <f>Table21[[#This Row],[SEATS SOLD]]*Table21[[#This Row],[ECO SEAT]]</f>
        <v>4890600</v>
      </c>
    </row>
    <row r="214" spans="1:19" x14ac:dyDescent="0.25">
      <c r="A214" s="251" t="s">
        <v>16719</v>
      </c>
      <c r="B214" s="251" t="s">
        <v>219</v>
      </c>
      <c r="C214" s="16" t="s">
        <v>2</v>
      </c>
      <c r="D214" s="251">
        <v>4</v>
      </c>
      <c r="E214" s="251" t="s">
        <v>16711</v>
      </c>
      <c r="F214" s="251" t="s">
        <v>12670</v>
      </c>
      <c r="G214" s="252" t="s">
        <v>16714</v>
      </c>
      <c r="H214" s="254">
        <v>1763</v>
      </c>
      <c r="I214" s="180">
        <v>6</v>
      </c>
      <c r="J214" s="102">
        <v>187897593</v>
      </c>
      <c r="K214" s="253">
        <f>IFERROR(Table21[[#This Row],[ROUTE COST]]/Table21[[#This Row],[O - DEMAND]],0)</f>
        <v>60475.569037656904</v>
      </c>
      <c r="L214" s="26">
        <v>3107</v>
      </c>
      <c r="M214" s="26">
        <f>IFERROR(VLOOKUP(Table21[[#This Row],[ROUTE]],DEMAND!A:F,5,FALSE),0)</f>
        <v>3315</v>
      </c>
      <c r="N214" s="26">
        <f>IFERROR(VLOOKUP(Table21[[#This Row],[ROUTE]],DEMAND!A:F,6,FALSE),0)</f>
        <v>675</v>
      </c>
      <c r="O214" s="26">
        <f>ROUNDDOWN(Table21[[#This Row],[R-DEMAND]]/1320,0)</f>
        <v>0</v>
      </c>
      <c r="P214" s="26">
        <f>Table21[[#This Row],[ADD ACC]]*Table21[[#This Row],[Duration
(747-400)]]</f>
        <v>0</v>
      </c>
      <c r="Q214" s="284">
        <f>IFERROR(VLOOKUP(Table21[[#This Row],[ROUTE]],PRICING!A:B,2,FALSE),0)</f>
        <v>532</v>
      </c>
      <c r="R214" s="282">
        <f>Table21[[#This Row],[C_DEMAND]]-Table21[[#This Row],[R-DEMAND]]</f>
        <v>2640</v>
      </c>
      <c r="S214" s="287">
        <f>Table21[[#This Row],[SEATS SOLD]]*Table21[[#This Row],[ECO SEAT]]</f>
        <v>1404480</v>
      </c>
    </row>
    <row r="215" spans="1:19" x14ac:dyDescent="0.25">
      <c r="A215" s="16" t="s">
        <v>16225</v>
      </c>
      <c r="B215" s="16" t="s">
        <v>4716</v>
      </c>
      <c r="C215" s="16" t="s">
        <v>2</v>
      </c>
      <c r="D215" s="16">
        <v>3</v>
      </c>
      <c r="E215" s="16" t="s">
        <v>1516</v>
      </c>
      <c r="F215" s="16" t="s">
        <v>12671</v>
      </c>
      <c r="G215" s="179" t="s">
        <v>11939</v>
      </c>
      <c r="H215" s="254">
        <v>9443</v>
      </c>
      <c r="I215" s="180">
        <v>23</v>
      </c>
      <c r="J215" s="102">
        <v>237153617</v>
      </c>
      <c r="K215" s="102">
        <f>IFERROR(Table21[[#This Row],[ROUTE COST]]/Table21[[#This Row],[O - DEMAND]],0)</f>
        <v>54605.944508404325</v>
      </c>
      <c r="L215" s="26">
        <v>4343</v>
      </c>
      <c r="M215" s="26">
        <f>IFERROR(VLOOKUP(Table21[[#This Row],[ROUTE]],DEMAND!A:F,5,FALSE),0)</f>
        <v>4633</v>
      </c>
      <c r="N215" s="26">
        <f>IFERROR(VLOOKUP(Table21[[#This Row],[ROUTE]],DEMAND!A:F,6,FALSE),0)</f>
        <v>673</v>
      </c>
      <c r="O215" s="26">
        <f>ROUNDDOWN(Table21[[#This Row],[R-DEMAND]]/1320,0)</f>
        <v>0</v>
      </c>
      <c r="P215" s="26">
        <f>Table21[[#This Row],[ADD ACC]]*Table21[[#This Row],[Duration
(747-400)]]</f>
        <v>0</v>
      </c>
      <c r="Q215" s="284">
        <f>IFERROR(VLOOKUP(Table21[[#This Row],[ROUTE]],PRICING!A:B,2,FALSE),0)</f>
        <v>2437</v>
      </c>
      <c r="R215" s="282">
        <f>Table21[[#This Row],[C_DEMAND]]-Table21[[#This Row],[R-DEMAND]]</f>
        <v>3960</v>
      </c>
      <c r="S215" s="287">
        <f>Table21[[#This Row],[SEATS SOLD]]*Table21[[#This Row],[ECO SEAT]]</f>
        <v>9650520</v>
      </c>
    </row>
    <row r="216" spans="1:19" x14ac:dyDescent="0.25">
      <c r="A216" s="16" t="s">
        <v>16420</v>
      </c>
      <c r="B216" s="16" t="s">
        <v>5190</v>
      </c>
      <c r="C216" s="16" t="s">
        <v>2</v>
      </c>
      <c r="D216" s="16">
        <v>3</v>
      </c>
      <c r="E216" s="16" t="s">
        <v>1459</v>
      </c>
      <c r="F216" s="16" t="s">
        <v>12674</v>
      </c>
      <c r="G216" s="179" t="s">
        <v>7386</v>
      </c>
      <c r="H216" s="254">
        <v>7349</v>
      </c>
      <c r="I216" s="180">
        <v>18.5</v>
      </c>
      <c r="J216" s="102">
        <v>222479363</v>
      </c>
      <c r="K216" s="102">
        <f>IFERROR(Table21[[#This Row],[ROUTE COST]]/Table21[[#This Row],[O - DEMAND]],0)</f>
        <v>70785.670696786503</v>
      </c>
      <c r="L216" s="26">
        <v>3143</v>
      </c>
      <c r="M216" s="26">
        <f>IFERROR(VLOOKUP(Table21[[#This Row],[ROUTE]],DEMAND!A:F,5,FALSE),0)</f>
        <v>3311</v>
      </c>
      <c r="N216" s="26">
        <f>IFERROR(VLOOKUP(Table21[[#This Row],[ROUTE]],DEMAND!A:F,6,FALSE),0)</f>
        <v>671</v>
      </c>
      <c r="O216" s="26">
        <f>ROUNDDOWN(Table21[[#This Row],[R-DEMAND]]/1320,0)</f>
        <v>0</v>
      </c>
      <c r="P216" s="26">
        <f>Table21[[#This Row],[ADD ACC]]*Table21[[#This Row],[Duration
(747-400)]]</f>
        <v>0</v>
      </c>
      <c r="Q216" s="284">
        <f>IFERROR(VLOOKUP(Table21[[#This Row],[ROUTE]],PRICING!A:B,2,FALSE),0)</f>
        <v>2014</v>
      </c>
      <c r="R216" s="282">
        <f>Table21[[#This Row],[C_DEMAND]]-Table21[[#This Row],[R-DEMAND]]</f>
        <v>2640</v>
      </c>
      <c r="S216" s="287">
        <f>Table21[[#This Row],[SEATS SOLD]]*Table21[[#This Row],[ECO SEAT]]</f>
        <v>5316960</v>
      </c>
    </row>
    <row r="217" spans="1:19" x14ac:dyDescent="0.25">
      <c r="A217" s="16" t="s">
        <v>16493</v>
      </c>
      <c r="B217" s="16" t="s">
        <v>4985</v>
      </c>
      <c r="C217" s="16" t="s">
        <v>2</v>
      </c>
      <c r="D217" s="16">
        <v>3</v>
      </c>
      <c r="E217" s="16" t="s">
        <v>722</v>
      </c>
      <c r="F217" s="16" t="s">
        <v>12674</v>
      </c>
      <c r="G217" s="179" t="s">
        <v>11850</v>
      </c>
      <c r="H217" s="254">
        <v>6643</v>
      </c>
      <c r="I217" s="180">
        <v>16.75</v>
      </c>
      <c r="J217" s="102">
        <v>211276530</v>
      </c>
      <c r="K217" s="102">
        <f>IFERROR(Table21[[#This Row],[ROUTE COST]]/Table21[[#This Row],[O - DEMAND]],0)</f>
        <v>66168.659567804571</v>
      </c>
      <c r="L217" s="26">
        <v>3193</v>
      </c>
      <c r="M217" s="26">
        <f>IFERROR(VLOOKUP(Table21[[#This Row],[ROUTE]],DEMAND!A:F,5,FALSE),0)</f>
        <v>3310</v>
      </c>
      <c r="N217" s="26">
        <f>IFERROR(VLOOKUP(Table21[[#This Row],[ROUTE]],DEMAND!A:F,6,FALSE),0)</f>
        <v>670</v>
      </c>
      <c r="O217" s="26">
        <f>ROUNDDOWN(Table21[[#This Row],[R-DEMAND]]/1320,0)</f>
        <v>0</v>
      </c>
      <c r="P217" s="26">
        <f>Table21[[#This Row],[ADD ACC]]*Table21[[#This Row],[Duration
(747-400)]]</f>
        <v>0</v>
      </c>
      <c r="Q217" s="284">
        <f>IFERROR(VLOOKUP(Table21[[#This Row],[ROUTE]],PRICING!A:B,2,FALSE),0)</f>
        <v>1939</v>
      </c>
      <c r="R217" s="282">
        <f>Table21[[#This Row],[C_DEMAND]]-Table21[[#This Row],[R-DEMAND]]</f>
        <v>2640</v>
      </c>
      <c r="S217" s="287">
        <f>Table21[[#This Row],[SEATS SOLD]]*Table21[[#This Row],[ECO SEAT]]</f>
        <v>5118960</v>
      </c>
    </row>
    <row r="218" spans="1:19" x14ac:dyDescent="0.25">
      <c r="A218" s="16" t="s">
        <v>16122</v>
      </c>
      <c r="B218" s="16" t="s">
        <v>5715</v>
      </c>
      <c r="C218" s="16" t="s">
        <v>2</v>
      </c>
      <c r="D218" s="16">
        <v>5</v>
      </c>
      <c r="E218" s="16" t="s">
        <v>11732</v>
      </c>
      <c r="F218" s="16" t="s">
        <v>15969</v>
      </c>
      <c r="G218" s="179" t="s">
        <v>13318</v>
      </c>
      <c r="H218" s="254">
        <v>10649</v>
      </c>
      <c r="I218" s="180">
        <v>25.75</v>
      </c>
      <c r="J218" s="102">
        <v>287109234</v>
      </c>
      <c r="K218" s="102">
        <f>IFERROR(Table21[[#This Row],[ROUTE COST]]/Table21[[#This Row],[O - DEMAND]],0)</f>
        <v>92645.767666989355</v>
      </c>
      <c r="L218" s="26">
        <v>3099</v>
      </c>
      <c r="M218" s="26">
        <f>IFERROR(VLOOKUP(Table21[[#This Row],[ROUTE]],DEMAND!A:F,5,FALSE),0)</f>
        <v>3306</v>
      </c>
      <c r="N218" s="26">
        <f>IFERROR(VLOOKUP(Table21[[#This Row],[ROUTE]],DEMAND!A:F,6,FALSE),0)</f>
        <v>666</v>
      </c>
      <c r="O218" s="26">
        <f>ROUNDDOWN(Table21[[#This Row],[R-DEMAND]]/1320,0)</f>
        <v>0</v>
      </c>
      <c r="P218" s="26">
        <f>Table21[[#This Row],[ADD ACC]]*Table21[[#This Row],[Duration
(747-400)]]</f>
        <v>0</v>
      </c>
      <c r="Q218" s="284">
        <f>IFERROR(VLOOKUP(Table21[[#This Row],[ROUTE]],PRICING!A:B,2,FALSE),0)</f>
        <v>2736</v>
      </c>
      <c r="R218" s="282">
        <f>Table21[[#This Row],[C_DEMAND]]-Table21[[#This Row],[R-DEMAND]]</f>
        <v>2640</v>
      </c>
      <c r="S218" s="287">
        <f>Table21[[#This Row],[SEATS SOLD]]*Table21[[#This Row],[ECO SEAT]]</f>
        <v>7223040</v>
      </c>
    </row>
    <row r="219" spans="1:19" x14ac:dyDescent="0.25">
      <c r="A219" s="16" t="s">
        <v>15977</v>
      </c>
      <c r="B219" s="16" t="s">
        <v>4391</v>
      </c>
      <c r="C219" s="16" t="s">
        <v>2</v>
      </c>
      <c r="D219" s="16">
        <v>2</v>
      </c>
      <c r="E219" s="16" t="s">
        <v>683</v>
      </c>
      <c r="F219" s="16" t="s">
        <v>12688</v>
      </c>
      <c r="G219" s="179" t="s">
        <v>13192</v>
      </c>
      <c r="H219" s="254">
        <v>13119</v>
      </c>
      <c r="I219" s="180">
        <v>31.25</v>
      </c>
      <c r="J219" s="102">
        <v>268437948</v>
      </c>
      <c r="K219" s="102">
        <f>IFERROR(Table21[[#This Row],[ROUTE COST]]/Table21[[#This Row],[O - DEMAND]],0)</f>
        <v>85544.279158699806</v>
      </c>
      <c r="L219" s="26">
        <v>3138</v>
      </c>
      <c r="M219" s="26">
        <f>IFERROR(VLOOKUP(Table21[[#This Row],[ROUTE]],DEMAND!A:F,5,FALSE),0)</f>
        <v>3306</v>
      </c>
      <c r="N219" s="26">
        <f>IFERROR(VLOOKUP(Table21[[#This Row],[ROUTE]],DEMAND!A:F,6,FALSE),0)</f>
        <v>666</v>
      </c>
      <c r="O219" s="26">
        <f>ROUNDDOWN(Table21[[#This Row],[R-DEMAND]]/1320,0)</f>
        <v>0</v>
      </c>
      <c r="P219" s="26">
        <f>Table21[[#This Row],[ADD ACC]]*Table21[[#This Row],[Duration
(747-400)]]</f>
        <v>0</v>
      </c>
      <c r="Q219" s="284">
        <f>IFERROR(VLOOKUP(Table21[[#This Row],[ROUTE]],PRICING!A:B,2,FALSE),0)</f>
        <v>3516</v>
      </c>
      <c r="R219" s="282">
        <f>Table21[[#This Row],[C_DEMAND]]-Table21[[#This Row],[R-DEMAND]]</f>
        <v>2640</v>
      </c>
      <c r="S219" s="287">
        <f>Table21[[#This Row],[SEATS SOLD]]*Table21[[#This Row],[ECO SEAT]]</f>
        <v>9282240</v>
      </c>
    </row>
    <row r="220" spans="1:19" x14ac:dyDescent="0.25">
      <c r="A220" s="16" t="s">
        <v>16238</v>
      </c>
      <c r="B220" s="16" t="s">
        <v>3984</v>
      </c>
      <c r="C220" s="16" t="s">
        <v>2</v>
      </c>
      <c r="D220" s="16">
        <v>2</v>
      </c>
      <c r="E220" s="16" t="s">
        <v>493</v>
      </c>
      <c r="F220" s="16" t="s">
        <v>12671</v>
      </c>
      <c r="G220" s="179" t="s">
        <v>11731</v>
      </c>
      <c r="H220" s="254">
        <v>9303</v>
      </c>
      <c r="I220" s="180">
        <v>22.75</v>
      </c>
      <c r="J220" s="102">
        <v>227355260</v>
      </c>
      <c r="K220" s="102">
        <f>IFERROR(Table21[[#This Row],[ROUTE COST]]/Table21[[#This Row],[O - DEMAND]],0)</f>
        <v>72061.889064976232</v>
      </c>
      <c r="L220" s="26">
        <v>3155</v>
      </c>
      <c r="M220" s="26">
        <f>IFERROR(VLOOKUP(Table21[[#This Row],[ROUTE]],DEMAND!A:F,5,FALSE),0)</f>
        <v>3302</v>
      </c>
      <c r="N220" s="26">
        <f>IFERROR(VLOOKUP(Table21[[#This Row],[ROUTE]],DEMAND!A:F,6,FALSE),0)</f>
        <v>662</v>
      </c>
      <c r="O220" s="26">
        <f>ROUNDDOWN(Table21[[#This Row],[R-DEMAND]]/1320,0)</f>
        <v>0</v>
      </c>
      <c r="P220" s="26">
        <f>Table21[[#This Row],[ADD ACC]]*Table21[[#This Row],[Duration
(747-400)]]</f>
        <v>0</v>
      </c>
      <c r="Q220" s="284">
        <f>IFERROR(VLOOKUP(Table21[[#This Row],[ROUTE]],PRICING!A:B,2,FALSE),0)</f>
        <v>2582</v>
      </c>
      <c r="R220" s="282">
        <f>Table21[[#This Row],[C_DEMAND]]-Table21[[#This Row],[R-DEMAND]]</f>
        <v>2640</v>
      </c>
      <c r="S220" s="287">
        <f>Table21[[#This Row],[SEATS SOLD]]*Table21[[#This Row],[ECO SEAT]]</f>
        <v>6816480</v>
      </c>
    </row>
    <row r="221" spans="1:19" x14ac:dyDescent="0.25">
      <c r="A221" s="16" t="s">
        <v>16151</v>
      </c>
      <c r="B221" s="16" t="s">
        <v>3295</v>
      </c>
      <c r="C221" s="16" t="s">
        <v>2</v>
      </c>
      <c r="D221" s="16">
        <v>2</v>
      </c>
      <c r="E221" s="16" t="s">
        <v>3293</v>
      </c>
      <c r="F221" s="16" t="s">
        <v>12671</v>
      </c>
      <c r="G221" s="179" t="s">
        <v>11917</v>
      </c>
      <c r="H221" s="254">
        <v>10395</v>
      </c>
      <c r="I221" s="180">
        <v>25.25</v>
      </c>
      <c r="J221" s="102">
        <v>235540557</v>
      </c>
      <c r="K221" s="102">
        <f>IFERROR(Table21[[#This Row],[ROUTE COST]]/Table21[[#This Row],[O - DEMAND]],0)</f>
        <v>53241.536392405062</v>
      </c>
      <c r="L221" s="26">
        <v>4424</v>
      </c>
      <c r="M221" s="26">
        <f>IFERROR(VLOOKUP(Table21[[#This Row],[ROUTE]],DEMAND!A:F,5,FALSE),0)</f>
        <v>4616</v>
      </c>
      <c r="N221" s="26">
        <f>IFERROR(VLOOKUP(Table21[[#This Row],[ROUTE]],DEMAND!A:F,6,FALSE),0)</f>
        <v>656</v>
      </c>
      <c r="O221" s="26">
        <f>ROUNDDOWN(Table21[[#This Row],[R-DEMAND]]/1320,0)</f>
        <v>0</v>
      </c>
      <c r="P221" s="26">
        <f>Table21[[#This Row],[ADD ACC]]*Table21[[#This Row],[Duration
(747-400)]]</f>
        <v>0</v>
      </c>
      <c r="Q221" s="284">
        <f>IFERROR(VLOOKUP(Table21[[#This Row],[ROUTE]],PRICING!A:B,2,FALSE),0)</f>
        <v>2907</v>
      </c>
      <c r="R221" s="282">
        <f>Table21[[#This Row],[C_DEMAND]]-Table21[[#This Row],[R-DEMAND]]</f>
        <v>3960</v>
      </c>
      <c r="S221" s="287">
        <f>Table21[[#This Row],[SEATS SOLD]]*Table21[[#This Row],[ECO SEAT]]</f>
        <v>11511720</v>
      </c>
    </row>
    <row r="222" spans="1:19" x14ac:dyDescent="0.25">
      <c r="A222" s="16" t="s">
        <v>16181</v>
      </c>
      <c r="B222" s="16" t="s">
        <v>359</v>
      </c>
      <c r="C222" s="16" t="s">
        <v>2</v>
      </c>
      <c r="D222" s="16">
        <v>3</v>
      </c>
      <c r="E222" s="16" t="s">
        <v>608</v>
      </c>
      <c r="F222" s="16" t="s">
        <v>12671</v>
      </c>
      <c r="G222" s="179" t="s">
        <v>11676</v>
      </c>
      <c r="H222" s="254">
        <v>10040</v>
      </c>
      <c r="I222" s="180">
        <v>24.25</v>
      </c>
      <c r="J222" s="102">
        <v>257103370</v>
      </c>
      <c r="K222" s="102">
        <f>IFERROR(Table21[[#This Row],[ROUTE COST]]/Table21[[#This Row],[O - DEMAND]],0)</f>
        <v>59432.124364308831</v>
      </c>
      <c r="L222" s="26">
        <v>4326</v>
      </c>
      <c r="M222" s="26">
        <f>IFERROR(VLOOKUP(Table21[[#This Row],[ROUTE]],DEMAND!A:F,5,FALSE),0)</f>
        <v>4615</v>
      </c>
      <c r="N222" s="26">
        <f>IFERROR(VLOOKUP(Table21[[#This Row],[ROUTE]],DEMAND!A:F,6,FALSE),0)</f>
        <v>655</v>
      </c>
      <c r="O222" s="26">
        <f>ROUNDDOWN(Table21[[#This Row],[R-DEMAND]]/1320,0)</f>
        <v>0</v>
      </c>
      <c r="P222" s="26">
        <f>Table21[[#This Row],[ADD ACC]]*Table21[[#This Row],[Duration
(747-400)]]</f>
        <v>0</v>
      </c>
      <c r="Q222" s="284">
        <f>IFERROR(VLOOKUP(Table21[[#This Row],[ROUTE]],PRICING!A:B,2,FALSE),0)</f>
        <v>2585</v>
      </c>
      <c r="R222" s="282">
        <f>Table21[[#This Row],[C_DEMAND]]-Table21[[#This Row],[R-DEMAND]]</f>
        <v>3960</v>
      </c>
      <c r="S222" s="287">
        <f>Table21[[#This Row],[SEATS SOLD]]*Table21[[#This Row],[ECO SEAT]]</f>
        <v>10236600</v>
      </c>
    </row>
    <row r="223" spans="1:19" x14ac:dyDescent="0.25">
      <c r="A223" s="16" t="s">
        <v>16564</v>
      </c>
      <c r="B223" s="16" t="s">
        <v>4410</v>
      </c>
      <c r="C223" s="16" t="s">
        <v>2</v>
      </c>
      <c r="D223" s="16">
        <v>2</v>
      </c>
      <c r="E223" s="16" t="s">
        <v>502</v>
      </c>
      <c r="F223" s="16" t="s">
        <v>12670</v>
      </c>
      <c r="G223" s="179" t="s">
        <v>11974</v>
      </c>
      <c r="H223" s="254">
        <v>5645</v>
      </c>
      <c r="I223" s="180">
        <v>14.75</v>
      </c>
      <c r="J223" s="102">
        <v>195085779</v>
      </c>
      <c r="K223" s="102">
        <f>IFERROR(Table21[[#This Row],[ROUTE COST]]/Table21[[#This Row],[O - DEMAND]],0)</f>
        <v>61619.007896399242</v>
      </c>
      <c r="L223" s="26">
        <v>3166</v>
      </c>
      <c r="M223" s="26">
        <f>IFERROR(VLOOKUP(Table21[[#This Row],[ROUTE]],DEMAND!A:F,5,FALSE),0)</f>
        <v>3293</v>
      </c>
      <c r="N223" s="26">
        <f>IFERROR(VLOOKUP(Table21[[#This Row],[ROUTE]],DEMAND!A:F,6,FALSE),0)</f>
        <v>653</v>
      </c>
      <c r="O223" s="26">
        <f>ROUNDDOWN(Table21[[#This Row],[R-DEMAND]]/1320,0)</f>
        <v>0</v>
      </c>
      <c r="P223" s="26">
        <f>Table21[[#This Row],[ADD ACC]]*Table21[[#This Row],[Duration
(747-400)]]</f>
        <v>0</v>
      </c>
      <c r="Q223" s="284">
        <f>IFERROR(VLOOKUP(Table21[[#This Row],[ROUTE]],PRICING!A:B,2,FALSE),0)</f>
        <v>1644</v>
      </c>
      <c r="R223" s="282">
        <f>Table21[[#This Row],[C_DEMAND]]-Table21[[#This Row],[R-DEMAND]]</f>
        <v>2640</v>
      </c>
      <c r="S223" s="287">
        <f>Table21[[#This Row],[SEATS SOLD]]*Table21[[#This Row],[ECO SEAT]]</f>
        <v>4340160</v>
      </c>
    </row>
    <row r="224" spans="1:19" x14ac:dyDescent="0.25">
      <c r="A224" s="16" t="s">
        <v>16161</v>
      </c>
      <c r="B224" s="16" t="s">
        <v>5155</v>
      </c>
      <c r="C224" s="16" t="s">
        <v>2</v>
      </c>
      <c r="D224" s="16">
        <v>3</v>
      </c>
      <c r="E224" s="16" t="s">
        <v>608</v>
      </c>
      <c r="F224" s="16" t="s">
        <v>12671</v>
      </c>
      <c r="G224" s="179" t="s">
        <v>11675</v>
      </c>
      <c r="H224" s="254">
        <v>10219</v>
      </c>
      <c r="I224" s="180">
        <v>24.75</v>
      </c>
      <c r="J224" s="102">
        <v>251075240</v>
      </c>
      <c r="K224" s="102">
        <f>IFERROR(Table21[[#This Row],[ROUTE COST]]/Table21[[#This Row],[O - DEMAND]],0)</f>
        <v>56548.477477477478</v>
      </c>
      <c r="L224" s="26">
        <v>4440</v>
      </c>
      <c r="M224" s="26">
        <f>IFERROR(VLOOKUP(Table21[[#This Row],[ROUTE]],DEMAND!A:F,5,FALSE),0)</f>
        <v>4603</v>
      </c>
      <c r="N224" s="26">
        <f>IFERROR(VLOOKUP(Table21[[#This Row],[ROUTE]],DEMAND!A:F,6,FALSE),0)</f>
        <v>643</v>
      </c>
      <c r="O224" s="26">
        <f>ROUNDDOWN(Table21[[#This Row],[R-DEMAND]]/1320,0)</f>
        <v>0</v>
      </c>
      <c r="P224" s="26">
        <f>Table21[[#This Row],[ADD ACC]]*Table21[[#This Row],[Duration
(747-400)]]</f>
        <v>0</v>
      </c>
      <c r="Q224" s="284">
        <f>IFERROR(VLOOKUP(Table21[[#This Row],[ROUTE]],PRICING!A:B,2,FALSE),0)</f>
        <v>2925</v>
      </c>
      <c r="R224" s="282">
        <f>Table21[[#This Row],[C_DEMAND]]-Table21[[#This Row],[R-DEMAND]]</f>
        <v>3960</v>
      </c>
      <c r="S224" s="287">
        <f>Table21[[#This Row],[SEATS SOLD]]*Table21[[#This Row],[ECO SEAT]]</f>
        <v>11583000</v>
      </c>
    </row>
    <row r="225" spans="1:19" x14ac:dyDescent="0.25">
      <c r="A225" s="16" t="s">
        <v>16275</v>
      </c>
      <c r="B225" s="16" t="s">
        <v>4054</v>
      </c>
      <c r="C225" s="16" t="s">
        <v>2</v>
      </c>
      <c r="D225" s="16">
        <v>2</v>
      </c>
      <c r="E225" s="16" t="s">
        <v>493</v>
      </c>
      <c r="F225" s="16" t="s">
        <v>12671</v>
      </c>
      <c r="G225" s="179" t="s">
        <v>11743</v>
      </c>
      <c r="H225" s="254">
        <v>8800</v>
      </c>
      <c r="I225" s="180">
        <v>21.5</v>
      </c>
      <c r="J225" s="102">
        <v>222997260</v>
      </c>
      <c r="K225" s="102">
        <f>IFERROR(Table21[[#This Row],[ROUTE COST]]/Table21[[#This Row],[O - DEMAND]],0)</f>
        <v>70191.142587346549</v>
      </c>
      <c r="L225" s="26">
        <v>3177</v>
      </c>
      <c r="M225" s="26">
        <f>IFERROR(VLOOKUP(Table21[[#This Row],[ROUTE]],DEMAND!A:F,5,FALSE),0)</f>
        <v>3283</v>
      </c>
      <c r="N225" s="26">
        <f>IFERROR(VLOOKUP(Table21[[#This Row],[ROUTE]],DEMAND!A:F,6,FALSE),0)</f>
        <v>643</v>
      </c>
      <c r="O225" s="26">
        <f>ROUNDDOWN(Table21[[#This Row],[R-DEMAND]]/1320,0)</f>
        <v>0</v>
      </c>
      <c r="P225" s="26">
        <f>Table21[[#This Row],[ADD ACC]]*Table21[[#This Row],[Duration
(747-400)]]</f>
        <v>0</v>
      </c>
      <c r="Q225" s="284">
        <f>IFERROR(VLOOKUP(Table21[[#This Row],[ROUTE]],PRICING!A:B,2,FALSE),0)</f>
        <v>2563</v>
      </c>
      <c r="R225" s="282">
        <f>Table21[[#This Row],[C_DEMAND]]-Table21[[#This Row],[R-DEMAND]]</f>
        <v>2640</v>
      </c>
      <c r="S225" s="287">
        <f>Table21[[#This Row],[SEATS SOLD]]*Table21[[#This Row],[ECO SEAT]]</f>
        <v>6766320</v>
      </c>
    </row>
    <row r="226" spans="1:19" x14ac:dyDescent="0.25">
      <c r="A226" s="16" t="s">
        <v>16542</v>
      </c>
      <c r="B226" s="16" t="s">
        <v>435</v>
      </c>
      <c r="C226" s="16" t="s">
        <v>2</v>
      </c>
      <c r="D226" s="16">
        <v>4</v>
      </c>
      <c r="E226" s="16" t="s">
        <v>1847</v>
      </c>
      <c r="F226" s="16" t="s">
        <v>12670</v>
      </c>
      <c r="G226" s="179" t="s">
        <v>11109</v>
      </c>
      <c r="H226" s="254">
        <v>5957</v>
      </c>
      <c r="I226" s="180">
        <v>15.25</v>
      </c>
      <c r="J226" s="102">
        <v>220837613</v>
      </c>
      <c r="K226" s="102">
        <f>IFERROR(Table21[[#This Row],[ROUTE COST]]/Table21[[#This Row],[O - DEMAND]],0)</f>
        <v>70690.657170294493</v>
      </c>
      <c r="L226" s="26">
        <v>3124</v>
      </c>
      <c r="M226" s="26">
        <f>IFERROR(VLOOKUP(Table21[[#This Row],[ROUTE]],DEMAND!A:F,5,FALSE),0)</f>
        <v>3281</v>
      </c>
      <c r="N226" s="26">
        <f>IFERROR(VLOOKUP(Table21[[#This Row],[ROUTE]],DEMAND!A:F,6,FALSE),0)</f>
        <v>641</v>
      </c>
      <c r="O226" s="26">
        <f>ROUNDDOWN(Table21[[#This Row],[R-DEMAND]]/1320,0)</f>
        <v>0</v>
      </c>
      <c r="P226" s="26">
        <f>Table21[[#This Row],[ADD ACC]]*Table21[[#This Row],[Duration
(747-400)]]</f>
        <v>0</v>
      </c>
      <c r="Q226" s="284">
        <f>IFERROR(VLOOKUP(Table21[[#This Row],[ROUTE]],PRICING!A:B,2,FALSE),0)</f>
        <v>1671</v>
      </c>
      <c r="R226" s="282">
        <f>Table21[[#This Row],[C_DEMAND]]-Table21[[#This Row],[R-DEMAND]]</f>
        <v>2640</v>
      </c>
      <c r="S226" s="287">
        <f>Table21[[#This Row],[SEATS SOLD]]*Table21[[#This Row],[ECO SEAT]]</f>
        <v>4411440</v>
      </c>
    </row>
    <row r="227" spans="1:19" x14ac:dyDescent="0.25">
      <c r="A227" s="16" t="s">
        <v>16268</v>
      </c>
      <c r="B227" s="16" t="s">
        <v>3693</v>
      </c>
      <c r="C227" s="16" t="s">
        <v>2</v>
      </c>
      <c r="D227" s="16">
        <v>2</v>
      </c>
      <c r="E227" s="16" t="s">
        <v>493</v>
      </c>
      <c r="F227" s="16" t="s">
        <v>12671</v>
      </c>
      <c r="G227" s="179" t="s">
        <v>11738</v>
      </c>
      <c r="H227" s="254">
        <v>8918</v>
      </c>
      <c r="I227" s="180">
        <v>22</v>
      </c>
      <c r="J227" s="102">
        <v>221608689</v>
      </c>
      <c r="K227" s="102">
        <f>IFERROR(Table21[[#This Row],[ROUTE COST]]/Table21[[#This Row],[O - DEMAND]],0)</f>
        <v>72044.437256176854</v>
      </c>
      <c r="L227" s="26">
        <v>3076</v>
      </c>
      <c r="M227" s="26">
        <f>IFERROR(VLOOKUP(Table21[[#This Row],[ROUTE]],DEMAND!A:F,5,FALSE),0)</f>
        <v>3281</v>
      </c>
      <c r="N227" s="26">
        <f>IFERROR(VLOOKUP(Table21[[#This Row],[ROUTE]],DEMAND!A:F,6,FALSE),0)</f>
        <v>641</v>
      </c>
      <c r="O227" s="26">
        <f>ROUNDDOWN(Table21[[#This Row],[R-DEMAND]]/1320,0)</f>
        <v>0</v>
      </c>
      <c r="P227" s="26">
        <f>Table21[[#This Row],[ADD ACC]]*Table21[[#This Row],[Duration
(747-400)]]</f>
        <v>0</v>
      </c>
      <c r="Q227" s="284">
        <f>IFERROR(VLOOKUP(Table21[[#This Row],[ROUTE]],PRICING!A:B,2,FALSE),0)</f>
        <v>2307</v>
      </c>
      <c r="R227" s="282">
        <f>Table21[[#This Row],[C_DEMAND]]-Table21[[#This Row],[R-DEMAND]]</f>
        <v>2640</v>
      </c>
      <c r="S227" s="287">
        <f>Table21[[#This Row],[SEATS SOLD]]*Table21[[#This Row],[ECO SEAT]]</f>
        <v>6090480</v>
      </c>
    </row>
    <row r="228" spans="1:19" x14ac:dyDescent="0.25">
      <c r="A228" s="16" t="s">
        <v>16444</v>
      </c>
      <c r="B228" s="16" t="s">
        <v>55</v>
      </c>
      <c r="C228" s="16" t="s">
        <v>2</v>
      </c>
      <c r="D228" s="16">
        <v>4</v>
      </c>
      <c r="E228" s="16" t="s">
        <v>1216</v>
      </c>
      <c r="F228" s="16" t="s">
        <v>12670</v>
      </c>
      <c r="G228" s="179" t="s">
        <v>11036</v>
      </c>
      <c r="H228" s="254">
        <v>7142</v>
      </c>
      <c r="I228" s="180">
        <v>18</v>
      </c>
      <c r="J228" s="102">
        <v>235374213</v>
      </c>
      <c r="K228" s="102">
        <f>IFERROR(Table21[[#This Row],[ROUTE COST]]/Table21[[#This Row],[O - DEMAND]],0)</f>
        <v>75610.090909090912</v>
      </c>
      <c r="L228" s="26">
        <v>3113</v>
      </c>
      <c r="M228" s="26">
        <f>IFERROR(VLOOKUP(Table21[[#This Row],[ROUTE]],DEMAND!A:F,5,FALSE),0)</f>
        <v>3280</v>
      </c>
      <c r="N228" s="26">
        <f>IFERROR(VLOOKUP(Table21[[#This Row],[ROUTE]],DEMAND!A:F,6,FALSE),0)</f>
        <v>640</v>
      </c>
      <c r="O228" s="26">
        <f>ROUNDDOWN(Table21[[#This Row],[R-DEMAND]]/1320,0)</f>
        <v>0</v>
      </c>
      <c r="P228" s="26">
        <f>Table21[[#This Row],[ADD ACC]]*Table21[[#This Row],[Duration
(747-400)]]</f>
        <v>0</v>
      </c>
      <c r="Q228" s="284">
        <f>IFERROR(VLOOKUP(Table21[[#This Row],[ROUTE]],PRICING!A:B,2,FALSE),0)</f>
        <v>1960</v>
      </c>
      <c r="R228" s="282">
        <f>Table21[[#This Row],[C_DEMAND]]-Table21[[#This Row],[R-DEMAND]]</f>
        <v>2640</v>
      </c>
      <c r="S228" s="287">
        <f>Table21[[#This Row],[SEATS SOLD]]*Table21[[#This Row],[ECO SEAT]]</f>
        <v>5174400</v>
      </c>
    </row>
    <row r="229" spans="1:19" x14ac:dyDescent="0.25">
      <c r="A229" s="16" t="s">
        <v>16402</v>
      </c>
      <c r="B229" s="16" t="s">
        <v>27</v>
      </c>
      <c r="C229" s="16" t="s">
        <v>2</v>
      </c>
      <c r="D229" s="16">
        <v>5</v>
      </c>
      <c r="E229" s="16" t="s">
        <v>3915</v>
      </c>
      <c r="F229" s="16" t="s">
        <v>12674</v>
      </c>
      <c r="G229" s="179" t="s">
        <v>11031</v>
      </c>
      <c r="H229" s="254">
        <v>7454</v>
      </c>
      <c r="I229" s="180">
        <v>18.75</v>
      </c>
      <c r="J229" s="102">
        <v>247077836</v>
      </c>
      <c r="K229" s="102">
        <f>IFERROR(Table21[[#This Row],[ROUTE COST]]/Table21[[#This Row],[O - DEMAND]],0)</f>
        <v>79191.614102564097</v>
      </c>
      <c r="L229" s="26">
        <v>3120</v>
      </c>
      <c r="M229" s="26">
        <f>IFERROR(VLOOKUP(Table21[[#This Row],[ROUTE]],DEMAND!A:F,5,FALSE),0)</f>
        <v>3277</v>
      </c>
      <c r="N229" s="26">
        <f>IFERROR(VLOOKUP(Table21[[#This Row],[ROUTE]],DEMAND!A:F,6,FALSE),0)</f>
        <v>637</v>
      </c>
      <c r="O229" s="26">
        <f>ROUNDDOWN(Table21[[#This Row],[R-DEMAND]]/1320,0)</f>
        <v>0</v>
      </c>
      <c r="P229" s="26">
        <f>Table21[[#This Row],[ADD ACC]]*Table21[[#This Row],[Duration
(747-400)]]</f>
        <v>0</v>
      </c>
      <c r="Q229" s="284">
        <f>IFERROR(VLOOKUP(Table21[[#This Row],[ROUTE]],PRICING!A:B,2,FALSE),0)</f>
        <v>2065</v>
      </c>
      <c r="R229" s="282">
        <f>Table21[[#This Row],[C_DEMAND]]-Table21[[#This Row],[R-DEMAND]]</f>
        <v>2640</v>
      </c>
      <c r="S229" s="287">
        <f>Table21[[#This Row],[SEATS SOLD]]*Table21[[#This Row],[ECO SEAT]]</f>
        <v>5451600</v>
      </c>
    </row>
    <row r="230" spans="1:19" x14ac:dyDescent="0.25">
      <c r="A230" s="251" t="s">
        <v>16710</v>
      </c>
      <c r="B230" s="251" t="s">
        <v>277</v>
      </c>
      <c r="C230" s="16" t="s">
        <v>2</v>
      </c>
      <c r="D230" s="251">
        <v>4</v>
      </c>
      <c r="E230" s="251" t="s">
        <v>14</v>
      </c>
      <c r="F230" s="251" t="s">
        <v>12670</v>
      </c>
      <c r="G230" s="252" t="s">
        <v>16708</v>
      </c>
      <c r="H230" s="254" t="s">
        <v>16709</v>
      </c>
      <c r="I230" s="180">
        <v>6.5</v>
      </c>
      <c r="J230" s="102">
        <v>206849043</v>
      </c>
      <c r="K230" s="253">
        <f>IFERROR(Table21[[#This Row],[ROUTE COST]]/Table21[[#This Row],[O - DEMAND]],0)</f>
        <v>46514.288958848665</v>
      </c>
      <c r="L230" s="26">
        <v>4447</v>
      </c>
      <c r="M230" s="26">
        <f>IFERROR(VLOOKUP(Table21[[#This Row],[ROUTE]],DEMAND!A:F,5,FALSE),0)</f>
        <v>4595</v>
      </c>
      <c r="N230" s="26">
        <f>IFERROR(VLOOKUP(Table21[[#This Row],[ROUTE]],DEMAND!A:F,6,FALSE),0)</f>
        <v>635</v>
      </c>
      <c r="O230" s="26">
        <f>ROUNDDOWN(Table21[[#This Row],[R-DEMAND]]/1320,0)</f>
        <v>0</v>
      </c>
      <c r="P230" s="26">
        <f>Table21[[#This Row],[ADD ACC]]*Table21[[#This Row],[Duration
(747-400)]]</f>
        <v>0</v>
      </c>
      <c r="Q230" s="284">
        <f>IFERROR(VLOOKUP(Table21[[#This Row],[ROUTE]],PRICING!A:B,2,FALSE),0)</f>
        <v>663</v>
      </c>
      <c r="R230" s="282">
        <f>Table21[[#This Row],[C_DEMAND]]-Table21[[#This Row],[R-DEMAND]]</f>
        <v>3960</v>
      </c>
      <c r="S230" s="287">
        <f>Table21[[#This Row],[SEATS SOLD]]*Table21[[#This Row],[ECO SEAT]]</f>
        <v>2625480</v>
      </c>
    </row>
    <row r="231" spans="1:19" x14ac:dyDescent="0.25">
      <c r="A231" s="16" t="s">
        <v>16612</v>
      </c>
      <c r="B231" s="16" t="s">
        <v>107</v>
      </c>
      <c r="C231" s="16" t="s">
        <v>2</v>
      </c>
      <c r="D231" s="16">
        <v>2</v>
      </c>
      <c r="E231" s="16" t="s">
        <v>709</v>
      </c>
      <c r="F231" s="16" t="s">
        <v>12670</v>
      </c>
      <c r="G231" s="179" t="s">
        <v>12114</v>
      </c>
      <c r="H231" s="254">
        <v>4231</v>
      </c>
      <c r="I231" s="180">
        <v>11.5</v>
      </c>
      <c r="J231" s="102">
        <v>180084788</v>
      </c>
      <c r="K231" s="102">
        <f>IFERROR(Table21[[#This Row],[ROUTE COST]]/Table21[[#This Row],[O - DEMAND]],0)</f>
        <v>57206.095298602289</v>
      </c>
      <c r="L231" s="26">
        <v>3148</v>
      </c>
      <c r="M231" s="26">
        <f>IFERROR(VLOOKUP(Table21[[#This Row],[ROUTE]],DEMAND!A:F,5,FALSE),0)</f>
        <v>3274</v>
      </c>
      <c r="N231" s="26">
        <f>IFERROR(VLOOKUP(Table21[[#This Row],[ROUTE]],DEMAND!A:F,6,FALSE),0)</f>
        <v>634</v>
      </c>
      <c r="O231" s="26">
        <f>ROUNDDOWN(Table21[[#This Row],[R-DEMAND]]/1320,0)</f>
        <v>0</v>
      </c>
      <c r="P231" s="26">
        <f>Table21[[#This Row],[ADD ACC]]*Table21[[#This Row],[Duration
(747-400)]]</f>
        <v>0</v>
      </c>
      <c r="Q231" s="284">
        <f>IFERROR(VLOOKUP(Table21[[#This Row],[ROUTE]],PRICING!A:B,2,FALSE),0)</f>
        <v>1259</v>
      </c>
      <c r="R231" s="282">
        <f>Table21[[#This Row],[C_DEMAND]]-Table21[[#This Row],[R-DEMAND]]</f>
        <v>2640</v>
      </c>
      <c r="S231" s="287">
        <f>Table21[[#This Row],[SEATS SOLD]]*Table21[[#This Row],[ECO SEAT]]</f>
        <v>3323760</v>
      </c>
    </row>
    <row r="232" spans="1:19" x14ac:dyDescent="0.25">
      <c r="A232" s="16" t="s">
        <v>16128</v>
      </c>
      <c r="B232" s="16" t="s">
        <v>5064</v>
      </c>
      <c r="C232" s="16" t="s">
        <v>2</v>
      </c>
      <c r="D232" s="16">
        <v>3</v>
      </c>
      <c r="E232" s="16" t="s">
        <v>733</v>
      </c>
      <c r="F232" s="16" t="s">
        <v>12674</v>
      </c>
      <c r="G232" s="179" t="s">
        <v>13247</v>
      </c>
      <c r="H232" s="254">
        <v>10611</v>
      </c>
      <c r="I232" s="180">
        <v>25.75</v>
      </c>
      <c r="J232" s="102">
        <v>253200721</v>
      </c>
      <c r="K232" s="102">
        <f>IFERROR(Table21[[#This Row],[ROUTE COST]]/Table21[[#This Row],[O - DEMAND]],0)</f>
        <v>80483.382390336934</v>
      </c>
      <c r="L232" s="26">
        <v>3146</v>
      </c>
      <c r="M232" s="26">
        <f>IFERROR(VLOOKUP(Table21[[#This Row],[ROUTE]],DEMAND!A:F,5,FALSE),0)</f>
        <v>3273</v>
      </c>
      <c r="N232" s="26">
        <f>IFERROR(VLOOKUP(Table21[[#This Row],[ROUTE]],DEMAND!A:F,6,FALSE),0)</f>
        <v>633</v>
      </c>
      <c r="O232" s="26">
        <f>ROUNDDOWN(Table21[[#This Row],[R-DEMAND]]/1320,0)</f>
        <v>0</v>
      </c>
      <c r="P232" s="26">
        <f>Table21[[#This Row],[ADD ACC]]*Table21[[#This Row],[Duration
(747-400)]]</f>
        <v>0</v>
      </c>
      <c r="Q232" s="284">
        <f>IFERROR(VLOOKUP(Table21[[#This Row],[ROUTE]],PRICING!A:B,2,FALSE),0)</f>
        <v>2999</v>
      </c>
      <c r="R232" s="282">
        <f>Table21[[#This Row],[C_DEMAND]]-Table21[[#This Row],[R-DEMAND]]</f>
        <v>2640</v>
      </c>
      <c r="S232" s="287">
        <f>Table21[[#This Row],[SEATS SOLD]]*Table21[[#This Row],[ECO SEAT]]</f>
        <v>7917360</v>
      </c>
    </row>
    <row r="233" spans="1:19" x14ac:dyDescent="0.25">
      <c r="A233" s="16" t="s">
        <v>16171</v>
      </c>
      <c r="B233" s="16" t="s">
        <v>5719</v>
      </c>
      <c r="C233" s="16" t="s">
        <v>2</v>
      </c>
      <c r="D233" s="16">
        <v>5</v>
      </c>
      <c r="E233" s="16" t="s">
        <v>11732</v>
      </c>
      <c r="F233" s="16" t="s">
        <v>15969</v>
      </c>
      <c r="G233" s="179" t="s">
        <v>13294</v>
      </c>
      <c r="H233" s="254">
        <v>10112</v>
      </c>
      <c r="I233" s="180">
        <v>24.5</v>
      </c>
      <c r="J233" s="102">
        <v>281903006</v>
      </c>
      <c r="K233" s="102">
        <f>IFERROR(Table21[[#This Row],[ROUTE COST]]/Table21[[#This Row],[O - DEMAND]],0)</f>
        <v>90760.787508048932</v>
      </c>
      <c r="L233" s="26">
        <v>3106</v>
      </c>
      <c r="M233" s="26">
        <f>IFERROR(VLOOKUP(Table21[[#This Row],[ROUTE]],DEMAND!A:F,5,FALSE),0)</f>
        <v>3272</v>
      </c>
      <c r="N233" s="26">
        <f>IFERROR(VLOOKUP(Table21[[#This Row],[ROUTE]],DEMAND!A:F,6,FALSE),0)</f>
        <v>632</v>
      </c>
      <c r="O233" s="26">
        <f>ROUNDDOWN(Table21[[#This Row],[R-DEMAND]]/1320,0)</f>
        <v>0</v>
      </c>
      <c r="P233" s="26">
        <f>Table21[[#This Row],[ADD ACC]]*Table21[[#This Row],[Duration
(747-400)]]</f>
        <v>0</v>
      </c>
      <c r="Q233" s="284">
        <f>IFERROR(VLOOKUP(Table21[[#This Row],[ROUTE]],PRICING!A:B,2,FALSE),0)</f>
        <v>2733</v>
      </c>
      <c r="R233" s="282">
        <f>Table21[[#This Row],[C_DEMAND]]-Table21[[#This Row],[R-DEMAND]]</f>
        <v>2640</v>
      </c>
      <c r="S233" s="287">
        <f>Table21[[#This Row],[SEATS SOLD]]*Table21[[#This Row],[ECO SEAT]]</f>
        <v>7215120</v>
      </c>
    </row>
    <row r="234" spans="1:19" x14ac:dyDescent="0.25">
      <c r="A234" s="16" t="s">
        <v>16092</v>
      </c>
      <c r="B234" s="16" t="s">
        <v>5583</v>
      </c>
      <c r="C234" s="16" t="s">
        <v>2</v>
      </c>
      <c r="D234" s="16">
        <v>4</v>
      </c>
      <c r="E234" s="16" t="s">
        <v>119</v>
      </c>
      <c r="F234" s="16" t="s">
        <v>12674</v>
      </c>
      <c r="G234" s="179" t="s">
        <v>13252</v>
      </c>
      <c r="H234" s="254">
        <v>10973</v>
      </c>
      <c r="I234" s="180">
        <v>26.5</v>
      </c>
      <c r="J234" s="102">
        <v>272860109</v>
      </c>
      <c r="K234" s="102">
        <f>IFERROR(Table21[[#This Row],[ROUTE COST]]/Table21[[#This Row],[O - DEMAND]],0)</f>
        <v>87792.82786357787</v>
      </c>
      <c r="L234" s="26">
        <v>3108</v>
      </c>
      <c r="M234" s="26">
        <f>IFERROR(VLOOKUP(Table21[[#This Row],[ROUTE]],DEMAND!A:F,5,FALSE),0)</f>
        <v>3263</v>
      </c>
      <c r="N234" s="26">
        <f>IFERROR(VLOOKUP(Table21[[#This Row],[ROUTE]],DEMAND!A:F,6,FALSE),0)</f>
        <v>623</v>
      </c>
      <c r="O234" s="26">
        <f>ROUNDDOWN(Table21[[#This Row],[R-DEMAND]]/1320,0)</f>
        <v>0</v>
      </c>
      <c r="P234" s="26">
        <f>Table21[[#This Row],[ADD ACC]]*Table21[[#This Row],[Duration
(747-400)]]</f>
        <v>0</v>
      </c>
      <c r="Q234" s="284">
        <f>IFERROR(VLOOKUP(Table21[[#This Row],[ROUTE]],PRICING!A:B,2,FALSE),0)</f>
        <v>2992</v>
      </c>
      <c r="R234" s="282">
        <f>Table21[[#This Row],[C_DEMAND]]-Table21[[#This Row],[R-DEMAND]]</f>
        <v>2640</v>
      </c>
      <c r="S234" s="287">
        <f>Table21[[#This Row],[SEATS SOLD]]*Table21[[#This Row],[ECO SEAT]]</f>
        <v>7898880</v>
      </c>
    </row>
    <row r="235" spans="1:19" x14ac:dyDescent="0.25">
      <c r="A235" s="16" t="s">
        <v>16014</v>
      </c>
      <c r="B235" s="16" t="s">
        <v>4638</v>
      </c>
      <c r="C235" s="16" t="s">
        <v>2</v>
      </c>
      <c r="D235" s="16">
        <v>2</v>
      </c>
      <c r="E235" s="16" t="s">
        <v>1749</v>
      </c>
      <c r="F235" s="16" t="s">
        <v>12688</v>
      </c>
      <c r="G235" s="179" t="s">
        <v>13222</v>
      </c>
      <c r="H235" s="254">
        <v>12165</v>
      </c>
      <c r="I235" s="180">
        <v>29</v>
      </c>
      <c r="J235" s="102">
        <v>261614253</v>
      </c>
      <c r="K235" s="102">
        <f>IFERROR(Table21[[#This Row],[ROUTE COST]]/Table21[[#This Row],[O - DEMAND]],0)</f>
        <v>83689.780230326302</v>
      </c>
      <c r="L235" s="26">
        <v>3126</v>
      </c>
      <c r="M235" s="26">
        <f>IFERROR(VLOOKUP(Table21[[#This Row],[ROUTE]],DEMAND!A:F,5,FALSE),0)</f>
        <v>3261</v>
      </c>
      <c r="N235" s="26">
        <f>IFERROR(VLOOKUP(Table21[[#This Row],[ROUTE]],DEMAND!A:F,6,FALSE),0)</f>
        <v>621</v>
      </c>
      <c r="O235" s="26">
        <f>ROUNDDOWN(Table21[[#This Row],[R-DEMAND]]/1320,0)</f>
        <v>0</v>
      </c>
      <c r="P235" s="26">
        <f>Table21[[#This Row],[ADD ACC]]*Table21[[#This Row],[Duration
(747-400)]]</f>
        <v>0</v>
      </c>
      <c r="Q235" s="284">
        <f>IFERROR(VLOOKUP(Table21[[#This Row],[ROUTE]],PRICING!A:B,2,FALSE),0)</f>
        <v>3385</v>
      </c>
      <c r="R235" s="282">
        <f>Table21[[#This Row],[C_DEMAND]]-Table21[[#This Row],[R-DEMAND]]</f>
        <v>2640</v>
      </c>
      <c r="S235" s="287">
        <f>Table21[[#This Row],[SEATS SOLD]]*Table21[[#This Row],[ECO SEAT]]</f>
        <v>8936400</v>
      </c>
    </row>
    <row r="236" spans="1:19" x14ac:dyDescent="0.25">
      <c r="A236" s="16" t="s">
        <v>16377</v>
      </c>
      <c r="B236" s="16" t="s">
        <v>2007</v>
      </c>
      <c r="C236" s="16" t="s">
        <v>2</v>
      </c>
      <c r="D236" s="16">
        <v>1</v>
      </c>
      <c r="E236" s="16" t="s">
        <v>1513</v>
      </c>
      <c r="F236" s="16" t="s">
        <v>12671</v>
      </c>
      <c r="G236" s="179" t="s">
        <v>11967</v>
      </c>
      <c r="H236" s="254">
        <v>7754</v>
      </c>
      <c r="I236" s="180">
        <v>19.25</v>
      </c>
      <c r="J236" s="102">
        <v>205900820</v>
      </c>
      <c r="K236" s="102">
        <f>IFERROR(Table21[[#This Row],[ROUTE COST]]/Table21[[#This Row],[O - DEMAND]],0)</f>
        <v>47508.264882325799</v>
      </c>
      <c r="L236" s="26">
        <v>4334</v>
      </c>
      <c r="M236" s="26">
        <f>IFERROR(VLOOKUP(Table21[[#This Row],[ROUTE]],DEMAND!A:F,5,FALSE),0)</f>
        <v>4580</v>
      </c>
      <c r="N236" s="26">
        <f>IFERROR(VLOOKUP(Table21[[#This Row],[ROUTE]],DEMAND!A:F,6,FALSE),0)</f>
        <v>620</v>
      </c>
      <c r="O236" s="26">
        <f>ROUNDDOWN(Table21[[#This Row],[R-DEMAND]]/1320,0)</f>
        <v>0</v>
      </c>
      <c r="P236" s="26">
        <f>Table21[[#This Row],[ADD ACC]]*Table21[[#This Row],[Duration
(747-400)]]</f>
        <v>0</v>
      </c>
      <c r="Q236" s="284">
        <f>IFERROR(VLOOKUP(Table21[[#This Row],[ROUTE]],PRICING!A:B,2,FALSE),0)</f>
        <v>2094</v>
      </c>
      <c r="R236" s="282">
        <f>Table21[[#This Row],[C_DEMAND]]-Table21[[#This Row],[R-DEMAND]]</f>
        <v>3960</v>
      </c>
      <c r="S236" s="287">
        <f>Table21[[#This Row],[SEATS SOLD]]*Table21[[#This Row],[ECO SEAT]]</f>
        <v>8292240</v>
      </c>
    </row>
    <row r="237" spans="1:19" x14ac:dyDescent="0.25">
      <c r="A237" s="16" t="s">
        <v>16426</v>
      </c>
      <c r="B237" s="16" t="s">
        <v>3373</v>
      </c>
      <c r="C237" s="16" t="s">
        <v>2</v>
      </c>
      <c r="D237" s="16">
        <v>2</v>
      </c>
      <c r="E237" s="16" t="s">
        <v>1124</v>
      </c>
      <c r="F237" s="16" t="s">
        <v>12671</v>
      </c>
      <c r="G237" s="179" t="s">
        <v>11882</v>
      </c>
      <c r="H237" s="254">
        <v>7299</v>
      </c>
      <c r="I237" s="180">
        <v>18.25</v>
      </c>
      <c r="J237" s="102">
        <v>202784752</v>
      </c>
      <c r="K237" s="102">
        <f>IFERROR(Table21[[#This Row],[ROUTE COST]]/Table21[[#This Row],[O - DEMAND]],0)</f>
        <v>66247.877164325386</v>
      </c>
      <c r="L237" s="26">
        <v>3061</v>
      </c>
      <c r="M237" s="26">
        <f>IFERROR(VLOOKUP(Table21[[#This Row],[ROUTE]],DEMAND!A:F,5,FALSE),0)</f>
        <v>3255</v>
      </c>
      <c r="N237" s="26">
        <f>IFERROR(VLOOKUP(Table21[[#This Row],[ROUTE]],DEMAND!A:F,6,FALSE),0)</f>
        <v>615</v>
      </c>
      <c r="O237" s="26">
        <f>ROUNDDOWN(Table21[[#This Row],[R-DEMAND]]/1320,0)</f>
        <v>0</v>
      </c>
      <c r="P237" s="26">
        <f>Table21[[#This Row],[ADD ACC]]*Table21[[#This Row],[Duration
(747-400)]]</f>
        <v>0</v>
      </c>
      <c r="Q237" s="284">
        <f>IFERROR(VLOOKUP(Table21[[#This Row],[ROUTE]],PRICING!A:B,2,FALSE),0)</f>
        <v>1929</v>
      </c>
      <c r="R237" s="282">
        <f>Table21[[#This Row],[C_DEMAND]]-Table21[[#This Row],[R-DEMAND]]</f>
        <v>2640</v>
      </c>
      <c r="S237" s="287">
        <f>Table21[[#This Row],[SEATS SOLD]]*Table21[[#This Row],[ECO SEAT]]</f>
        <v>5092560</v>
      </c>
    </row>
    <row r="238" spans="1:19" x14ac:dyDescent="0.25">
      <c r="A238" s="16" t="s">
        <v>16093</v>
      </c>
      <c r="B238" s="16" t="s">
        <v>314</v>
      </c>
      <c r="C238" s="16" t="s">
        <v>2</v>
      </c>
      <c r="D238" s="16">
        <v>5</v>
      </c>
      <c r="E238" s="16" t="s">
        <v>11732</v>
      </c>
      <c r="F238" s="16" t="s">
        <v>15969</v>
      </c>
      <c r="G238" s="179" t="s">
        <v>13345</v>
      </c>
      <c r="H238" s="254">
        <v>10970</v>
      </c>
      <c r="I238" s="180">
        <v>26.5</v>
      </c>
      <c r="J238" s="102">
        <v>291678317</v>
      </c>
      <c r="K238" s="102">
        <f>IFERROR(Table21[[#This Row],[ROUTE COST]]/Table21[[#This Row],[O - DEMAND]],0)</f>
        <v>93277.36392708667</v>
      </c>
      <c r="L238" s="26">
        <v>3127</v>
      </c>
      <c r="M238" s="26">
        <f>IFERROR(VLOOKUP(Table21[[#This Row],[ROUTE]],DEMAND!A:F,5,FALSE),0)</f>
        <v>3253</v>
      </c>
      <c r="N238" s="26">
        <f>IFERROR(VLOOKUP(Table21[[#This Row],[ROUTE]],DEMAND!A:F,6,FALSE),0)</f>
        <v>613</v>
      </c>
      <c r="O238" s="26">
        <f>ROUNDDOWN(Table21[[#This Row],[R-DEMAND]]/1320,0)</f>
        <v>0</v>
      </c>
      <c r="P238" s="26">
        <f>Table21[[#This Row],[ADD ACC]]*Table21[[#This Row],[Duration
(747-400)]]</f>
        <v>0</v>
      </c>
      <c r="Q238" s="284">
        <f>IFERROR(VLOOKUP(Table21[[#This Row],[ROUTE]],PRICING!A:B,2,FALSE),0)</f>
        <v>3097</v>
      </c>
      <c r="R238" s="282">
        <f>Table21[[#This Row],[C_DEMAND]]-Table21[[#This Row],[R-DEMAND]]</f>
        <v>2640</v>
      </c>
      <c r="S238" s="287">
        <f>Table21[[#This Row],[SEATS SOLD]]*Table21[[#This Row],[ECO SEAT]]</f>
        <v>8176080</v>
      </c>
    </row>
    <row r="239" spans="1:19" x14ac:dyDescent="0.25">
      <c r="A239" s="16" t="s">
        <v>16376</v>
      </c>
      <c r="B239" s="16" t="s">
        <v>3751</v>
      </c>
      <c r="C239" s="16" t="s">
        <v>2</v>
      </c>
      <c r="D239" s="16">
        <v>2</v>
      </c>
      <c r="E239" s="16" t="s">
        <v>1124</v>
      </c>
      <c r="F239" s="16" t="s">
        <v>12671</v>
      </c>
      <c r="G239" s="179" t="s">
        <v>11864</v>
      </c>
      <c r="H239" s="254">
        <v>7763</v>
      </c>
      <c r="I239" s="180">
        <v>19.25</v>
      </c>
      <c r="J239" s="102">
        <v>209657253</v>
      </c>
      <c r="K239" s="102">
        <f>IFERROR(Table21[[#This Row],[ROUTE COST]]/Table21[[#This Row],[O - DEMAND]],0)</f>
        <v>66833.679630219951</v>
      </c>
      <c r="L239" s="26">
        <v>3137</v>
      </c>
      <c r="M239" s="26">
        <f>IFERROR(VLOOKUP(Table21[[#This Row],[ROUTE]],DEMAND!A:F,5,FALSE),0)</f>
        <v>3252</v>
      </c>
      <c r="N239" s="26">
        <f>IFERROR(VLOOKUP(Table21[[#This Row],[ROUTE]],DEMAND!A:F,6,FALSE),0)</f>
        <v>612</v>
      </c>
      <c r="O239" s="26">
        <f>ROUNDDOWN(Table21[[#This Row],[R-DEMAND]]/1320,0)</f>
        <v>0</v>
      </c>
      <c r="P239" s="26">
        <f>Table21[[#This Row],[ADD ACC]]*Table21[[#This Row],[Duration
(747-400)]]</f>
        <v>0</v>
      </c>
      <c r="Q239" s="284">
        <f>IFERROR(VLOOKUP(Table21[[#This Row],[ROUTE]],PRICING!A:B,2,FALSE),0)</f>
        <v>2248</v>
      </c>
      <c r="R239" s="282">
        <f>Table21[[#This Row],[C_DEMAND]]-Table21[[#This Row],[R-DEMAND]]</f>
        <v>2640</v>
      </c>
      <c r="S239" s="287">
        <f>Table21[[#This Row],[SEATS SOLD]]*Table21[[#This Row],[ECO SEAT]]</f>
        <v>5934720</v>
      </c>
    </row>
    <row r="240" spans="1:19" x14ac:dyDescent="0.25">
      <c r="A240" s="16" t="s">
        <v>16385</v>
      </c>
      <c r="B240" s="16" t="s">
        <v>3463</v>
      </c>
      <c r="C240" s="16" t="s">
        <v>2</v>
      </c>
      <c r="D240" s="16">
        <v>2</v>
      </c>
      <c r="E240" s="16" t="s">
        <v>1124</v>
      </c>
      <c r="F240" s="16" t="s">
        <v>12671</v>
      </c>
      <c r="G240" s="179" t="s">
        <v>11857</v>
      </c>
      <c r="H240" s="254">
        <v>7619</v>
      </c>
      <c r="I240" s="180">
        <v>19</v>
      </c>
      <c r="J240" s="102">
        <v>206341577</v>
      </c>
      <c r="K240" s="102">
        <f>IFERROR(Table21[[#This Row],[ROUTE COST]]/Table21[[#This Row],[O - DEMAND]],0)</f>
        <v>67081.136866059824</v>
      </c>
      <c r="L240" s="26">
        <v>3076</v>
      </c>
      <c r="M240" s="26">
        <f>IFERROR(VLOOKUP(Table21[[#This Row],[ROUTE]],DEMAND!A:F,5,FALSE),0)</f>
        <v>3251</v>
      </c>
      <c r="N240" s="26">
        <f>IFERROR(VLOOKUP(Table21[[#This Row],[ROUTE]],DEMAND!A:F,6,FALSE),0)</f>
        <v>611</v>
      </c>
      <c r="O240" s="26">
        <f>ROUNDDOWN(Table21[[#This Row],[R-DEMAND]]/1320,0)</f>
        <v>0</v>
      </c>
      <c r="P240" s="26">
        <f>Table21[[#This Row],[ADD ACC]]*Table21[[#This Row],[Duration
(747-400)]]</f>
        <v>0</v>
      </c>
      <c r="Q240" s="284">
        <f>IFERROR(VLOOKUP(Table21[[#This Row],[ROUTE]],PRICING!A:B,2,FALSE),0)</f>
        <v>2059</v>
      </c>
      <c r="R240" s="282">
        <f>Table21[[#This Row],[C_DEMAND]]-Table21[[#This Row],[R-DEMAND]]</f>
        <v>2640</v>
      </c>
      <c r="S240" s="287">
        <f>Table21[[#This Row],[SEATS SOLD]]*Table21[[#This Row],[ECO SEAT]]</f>
        <v>5435760</v>
      </c>
    </row>
    <row r="241" spans="1:19" x14ac:dyDescent="0.25">
      <c r="A241" s="16" t="s">
        <v>16228</v>
      </c>
      <c r="B241" s="16" t="s">
        <v>5321</v>
      </c>
      <c r="C241" s="16" t="s">
        <v>2</v>
      </c>
      <c r="D241" s="16">
        <v>3</v>
      </c>
      <c r="E241" s="16" t="s">
        <v>733</v>
      </c>
      <c r="F241" s="16" t="s">
        <v>12674</v>
      </c>
      <c r="G241" s="179" t="s">
        <v>11677</v>
      </c>
      <c r="H241" s="254">
        <v>9420</v>
      </c>
      <c r="I241" s="180">
        <v>23</v>
      </c>
      <c r="J241" s="102">
        <v>247373362</v>
      </c>
      <c r="K241" s="102">
        <f>IFERROR(Table21[[#This Row],[ROUTE COST]]/Table21[[#This Row],[O - DEMAND]],0)</f>
        <v>81185.875287167699</v>
      </c>
      <c r="L241" s="26">
        <v>3047</v>
      </c>
      <c r="M241" s="26">
        <f>IFERROR(VLOOKUP(Table21[[#This Row],[ROUTE]],DEMAND!A:F,5,FALSE),0)</f>
        <v>3250</v>
      </c>
      <c r="N241" s="26">
        <f>IFERROR(VLOOKUP(Table21[[#This Row],[ROUTE]],DEMAND!A:F,6,FALSE),0)</f>
        <v>610</v>
      </c>
      <c r="O241" s="26">
        <f>ROUNDDOWN(Table21[[#This Row],[R-DEMAND]]/1320,0)</f>
        <v>0</v>
      </c>
      <c r="P241" s="26">
        <f>Table21[[#This Row],[ADD ACC]]*Table21[[#This Row],[Duration
(747-400)]]</f>
        <v>0</v>
      </c>
      <c r="Q241" s="284">
        <f>IFERROR(VLOOKUP(Table21[[#This Row],[ROUTE]],PRICING!A:B,2,FALSE),0)</f>
        <v>2432</v>
      </c>
      <c r="R241" s="282">
        <f>Table21[[#This Row],[C_DEMAND]]-Table21[[#This Row],[R-DEMAND]]</f>
        <v>2640</v>
      </c>
      <c r="S241" s="287">
        <f>Table21[[#This Row],[SEATS SOLD]]*Table21[[#This Row],[ECO SEAT]]</f>
        <v>6420480</v>
      </c>
    </row>
    <row r="242" spans="1:19" x14ac:dyDescent="0.25">
      <c r="A242" s="16" t="s">
        <v>16113</v>
      </c>
      <c r="B242" s="16" t="s">
        <v>404</v>
      </c>
      <c r="C242" s="16" t="s">
        <v>2</v>
      </c>
      <c r="D242" s="16">
        <v>5</v>
      </c>
      <c r="E242" s="16" t="s">
        <v>11732</v>
      </c>
      <c r="F242" s="16" t="s">
        <v>15969</v>
      </c>
      <c r="G242" s="179" t="s">
        <v>13343</v>
      </c>
      <c r="H242" s="254">
        <v>10819</v>
      </c>
      <c r="I242" s="180">
        <v>26</v>
      </c>
      <c r="J242" s="102">
        <v>285339222</v>
      </c>
      <c r="K242" s="102">
        <f>IFERROR(Table21[[#This Row],[ROUTE COST]]/Table21[[#This Row],[O - DEMAND]],0)</f>
        <v>93892.471865745305</v>
      </c>
      <c r="L242" s="26">
        <v>3039</v>
      </c>
      <c r="M242" s="26">
        <f>IFERROR(VLOOKUP(Table21[[#This Row],[ROUTE]],DEMAND!A:F,5,FALSE),0)</f>
        <v>3242</v>
      </c>
      <c r="N242" s="26">
        <f>IFERROR(VLOOKUP(Table21[[#This Row],[ROUTE]],DEMAND!A:F,6,FALSE),0)</f>
        <v>602</v>
      </c>
      <c r="O242" s="26">
        <f>ROUNDDOWN(Table21[[#This Row],[R-DEMAND]]/1320,0)</f>
        <v>0</v>
      </c>
      <c r="P242" s="26">
        <f>Table21[[#This Row],[ADD ACC]]*Table21[[#This Row],[Duration
(747-400)]]</f>
        <v>0</v>
      </c>
      <c r="Q242" s="284">
        <f>IFERROR(VLOOKUP(Table21[[#This Row],[ROUTE]],PRICING!A:B,2,FALSE),0)</f>
        <v>2778</v>
      </c>
      <c r="R242" s="282">
        <f>Table21[[#This Row],[C_DEMAND]]-Table21[[#This Row],[R-DEMAND]]</f>
        <v>2640</v>
      </c>
      <c r="S242" s="287">
        <f>Table21[[#This Row],[SEATS SOLD]]*Table21[[#This Row],[ECO SEAT]]</f>
        <v>7333920</v>
      </c>
    </row>
    <row r="243" spans="1:19" x14ac:dyDescent="0.25">
      <c r="A243" s="16" t="s">
        <v>16303</v>
      </c>
      <c r="B243" s="16" t="s">
        <v>5185</v>
      </c>
      <c r="C243" s="16" t="s">
        <v>2</v>
      </c>
      <c r="D243" s="16">
        <v>3</v>
      </c>
      <c r="E243" s="16" t="s">
        <v>5183</v>
      </c>
      <c r="F243" s="16" t="s">
        <v>12674</v>
      </c>
      <c r="G243" s="179" t="s">
        <v>11797</v>
      </c>
      <c r="H243" s="254">
        <v>8419</v>
      </c>
      <c r="I243" s="180">
        <v>20.75</v>
      </c>
      <c r="J243" s="102">
        <v>233445556</v>
      </c>
      <c r="K243" s="102">
        <f>IFERROR(Table21[[#This Row],[ROUTE COST]]/Table21[[#This Row],[O - DEMAND]],0)</f>
        <v>74726.490396927024</v>
      </c>
      <c r="L243" s="26">
        <v>3124</v>
      </c>
      <c r="M243" s="26">
        <f>IFERROR(VLOOKUP(Table21[[#This Row],[ROUTE]],DEMAND!A:F,5,FALSE),0)</f>
        <v>3239</v>
      </c>
      <c r="N243" s="26">
        <f>IFERROR(VLOOKUP(Table21[[#This Row],[ROUTE]],DEMAND!A:F,6,FALSE),0)</f>
        <v>599</v>
      </c>
      <c r="O243" s="26">
        <f>ROUNDDOWN(Table21[[#This Row],[R-DEMAND]]/1320,0)</f>
        <v>0</v>
      </c>
      <c r="P243" s="26">
        <f>Table21[[#This Row],[ADD ACC]]*Table21[[#This Row],[Duration
(747-400)]]</f>
        <v>0</v>
      </c>
      <c r="Q243" s="284">
        <f>IFERROR(VLOOKUP(Table21[[#This Row],[ROUTE]],PRICING!A:B,2,FALSE),0)</f>
        <v>2428</v>
      </c>
      <c r="R243" s="282">
        <f>Table21[[#This Row],[C_DEMAND]]-Table21[[#This Row],[R-DEMAND]]</f>
        <v>2640</v>
      </c>
      <c r="S243" s="287">
        <f>Table21[[#This Row],[SEATS SOLD]]*Table21[[#This Row],[ECO SEAT]]</f>
        <v>6409920</v>
      </c>
    </row>
    <row r="244" spans="1:19" x14ac:dyDescent="0.25">
      <c r="A244" s="251" t="s">
        <v>16722</v>
      </c>
      <c r="B244" s="251" t="s">
        <v>149</v>
      </c>
      <c r="C244" s="16" t="s">
        <v>2</v>
      </c>
      <c r="D244" s="251">
        <v>4</v>
      </c>
      <c r="E244" s="251" t="s">
        <v>16711</v>
      </c>
      <c r="F244" s="251" t="s">
        <v>12670</v>
      </c>
      <c r="G244" s="252" t="s">
        <v>16717</v>
      </c>
      <c r="H244" s="254">
        <v>1872</v>
      </c>
      <c r="I244" s="180">
        <v>6.25</v>
      </c>
      <c r="J244" s="102">
        <v>184476464</v>
      </c>
      <c r="K244" s="253">
        <f>IFERROR(Table21[[#This Row],[ROUTE COST]]/Table21[[#This Row],[O - DEMAND]],0)</f>
        <v>59681.80653510191</v>
      </c>
      <c r="L244" s="26">
        <v>3091</v>
      </c>
      <c r="M244" s="26">
        <f>IFERROR(VLOOKUP(Table21[[#This Row],[ROUTE]],DEMAND!A:F,5,FALSE),0)</f>
        <v>3236</v>
      </c>
      <c r="N244" s="26">
        <f>IFERROR(VLOOKUP(Table21[[#This Row],[ROUTE]],DEMAND!A:F,6,FALSE),0)</f>
        <v>596</v>
      </c>
      <c r="O244" s="26">
        <f>ROUNDDOWN(Table21[[#This Row],[R-DEMAND]]/1320,0)</f>
        <v>0</v>
      </c>
      <c r="P244" s="26">
        <f>Table21[[#This Row],[ADD ACC]]*Table21[[#This Row],[Duration
(747-400)]]</f>
        <v>0</v>
      </c>
      <c r="Q244" s="284">
        <f>IFERROR(VLOOKUP(Table21[[#This Row],[ROUTE]],PRICING!A:B,2,FALSE),0)</f>
        <v>602</v>
      </c>
      <c r="R244" s="282">
        <f>Table21[[#This Row],[C_DEMAND]]-Table21[[#This Row],[R-DEMAND]]</f>
        <v>2640</v>
      </c>
      <c r="S244" s="287">
        <f>Table21[[#This Row],[SEATS SOLD]]*Table21[[#This Row],[ECO SEAT]]</f>
        <v>1589280</v>
      </c>
    </row>
    <row r="245" spans="1:19" x14ac:dyDescent="0.25">
      <c r="A245" s="16" t="s">
        <v>15971</v>
      </c>
      <c r="B245" s="16" t="s">
        <v>2793</v>
      </c>
      <c r="C245" s="16" t="s">
        <v>2</v>
      </c>
      <c r="D245" s="16">
        <v>2</v>
      </c>
      <c r="E245" s="16" t="s">
        <v>2791</v>
      </c>
      <c r="F245" s="16" t="s">
        <v>12688</v>
      </c>
      <c r="G245" s="179" t="s">
        <v>13196</v>
      </c>
      <c r="H245" s="254">
        <v>13387</v>
      </c>
      <c r="I245" s="180">
        <v>31.75</v>
      </c>
      <c r="J245" s="102">
        <v>260337487</v>
      </c>
      <c r="K245" s="102">
        <f>IFERROR(Table21[[#This Row],[ROUTE COST]]/Table21[[#This Row],[O - DEMAND]],0)</f>
        <v>84552.61026307242</v>
      </c>
      <c r="L245" s="26">
        <v>3079</v>
      </c>
      <c r="M245" s="26">
        <f>IFERROR(VLOOKUP(Table21[[#This Row],[ROUTE]],DEMAND!A:F,5,FALSE),0)</f>
        <v>3233</v>
      </c>
      <c r="N245" s="26">
        <f>IFERROR(VLOOKUP(Table21[[#This Row],[ROUTE]],DEMAND!A:F,6,FALSE),0)</f>
        <v>593</v>
      </c>
      <c r="O245" s="26">
        <f>ROUNDDOWN(Table21[[#This Row],[R-DEMAND]]/1320,0)</f>
        <v>0</v>
      </c>
      <c r="P245" s="26">
        <f>Table21[[#This Row],[ADD ACC]]*Table21[[#This Row],[Duration
(747-400)]]</f>
        <v>0</v>
      </c>
      <c r="Q245" s="284">
        <f>IFERROR(VLOOKUP(Table21[[#This Row],[ROUTE]],PRICING!A:B,2,FALSE),0)</f>
        <v>3628</v>
      </c>
      <c r="R245" s="282">
        <f>Table21[[#This Row],[C_DEMAND]]-Table21[[#This Row],[R-DEMAND]]</f>
        <v>2640</v>
      </c>
      <c r="S245" s="287">
        <f>Table21[[#This Row],[SEATS SOLD]]*Table21[[#This Row],[ECO SEAT]]</f>
        <v>9577920</v>
      </c>
    </row>
    <row r="246" spans="1:19" x14ac:dyDescent="0.25">
      <c r="A246" s="16" t="s">
        <v>16070</v>
      </c>
      <c r="B246" s="16" t="s">
        <v>4548</v>
      </c>
      <c r="C246" s="16" t="s">
        <v>2</v>
      </c>
      <c r="D246" s="16">
        <v>2</v>
      </c>
      <c r="E246" s="16" t="s">
        <v>4546</v>
      </c>
      <c r="F246" s="16" t="s">
        <v>12671</v>
      </c>
      <c r="G246" s="179" t="s">
        <v>11821</v>
      </c>
      <c r="H246" s="254">
        <v>11278</v>
      </c>
      <c r="I246" s="180">
        <v>27</v>
      </c>
      <c r="J246" s="102">
        <v>252644900</v>
      </c>
      <c r="K246" s="102">
        <f>IFERROR(Table21[[#This Row],[ROUTE COST]]/Table21[[#This Row],[O - DEMAND]],0)</f>
        <v>58836.725663716818</v>
      </c>
      <c r="L246" s="26">
        <v>4294</v>
      </c>
      <c r="M246" s="26">
        <f>IFERROR(VLOOKUP(Table21[[#This Row],[ROUTE]],DEMAND!A:F,5,FALSE),0)</f>
        <v>4551</v>
      </c>
      <c r="N246" s="26">
        <f>IFERROR(VLOOKUP(Table21[[#This Row],[ROUTE]],DEMAND!A:F,6,FALSE),0)</f>
        <v>591</v>
      </c>
      <c r="O246" s="26">
        <f>ROUNDDOWN(Table21[[#This Row],[R-DEMAND]]/1320,0)</f>
        <v>0</v>
      </c>
      <c r="P246" s="26">
        <f>Table21[[#This Row],[ADD ACC]]*Table21[[#This Row],[Duration
(747-400)]]</f>
        <v>0</v>
      </c>
      <c r="Q246" s="284">
        <f>IFERROR(VLOOKUP(Table21[[#This Row],[ROUTE]],PRICING!A:B,2,FALSE),0)</f>
        <v>2965</v>
      </c>
      <c r="R246" s="282">
        <f>Table21[[#This Row],[C_DEMAND]]-Table21[[#This Row],[R-DEMAND]]</f>
        <v>3960</v>
      </c>
      <c r="S246" s="287">
        <f>Table21[[#This Row],[SEATS SOLD]]*Table21[[#This Row],[ECO SEAT]]</f>
        <v>11741400</v>
      </c>
    </row>
    <row r="247" spans="1:19" x14ac:dyDescent="0.25">
      <c r="A247" s="16" t="s">
        <v>16370</v>
      </c>
      <c r="B247" s="16" t="s">
        <v>324</v>
      </c>
      <c r="C247" s="16" t="s">
        <v>2</v>
      </c>
      <c r="D247" s="16">
        <v>4</v>
      </c>
      <c r="E247" s="16" t="s">
        <v>1427</v>
      </c>
      <c r="F247" s="16" t="s">
        <v>12674</v>
      </c>
      <c r="G247" s="179" t="s">
        <v>11088</v>
      </c>
      <c r="H247" s="254">
        <v>7798</v>
      </c>
      <c r="I247" s="180">
        <v>19.5</v>
      </c>
      <c r="J247" s="102">
        <v>249079007</v>
      </c>
      <c r="K247" s="102">
        <f>IFERROR(Table21[[#This Row],[ROUTE COST]]/Table21[[#This Row],[O - DEMAND]],0)</f>
        <v>82177.171560541072</v>
      </c>
      <c r="L247" s="26">
        <v>3031</v>
      </c>
      <c r="M247" s="26">
        <f>IFERROR(VLOOKUP(Table21[[#This Row],[ROUTE]],DEMAND!A:F,5,FALSE),0)</f>
        <v>3223</v>
      </c>
      <c r="N247" s="26">
        <f>IFERROR(VLOOKUP(Table21[[#This Row],[ROUTE]],DEMAND!A:F,6,FALSE),0)</f>
        <v>583</v>
      </c>
      <c r="O247" s="26">
        <f>ROUNDDOWN(Table21[[#This Row],[R-DEMAND]]/1320,0)</f>
        <v>0</v>
      </c>
      <c r="P247" s="26">
        <f>Table21[[#This Row],[ADD ACC]]*Table21[[#This Row],[Duration
(747-400)]]</f>
        <v>0</v>
      </c>
      <c r="Q247" s="284">
        <f>IFERROR(VLOOKUP(Table21[[#This Row],[ROUTE]],PRICING!A:B,2,FALSE),0)</f>
        <v>2054</v>
      </c>
      <c r="R247" s="282">
        <f>Table21[[#This Row],[C_DEMAND]]-Table21[[#This Row],[R-DEMAND]]</f>
        <v>2640</v>
      </c>
      <c r="S247" s="287">
        <f>Table21[[#This Row],[SEATS SOLD]]*Table21[[#This Row],[ECO SEAT]]</f>
        <v>5422560</v>
      </c>
    </row>
    <row r="248" spans="1:19" x14ac:dyDescent="0.25">
      <c r="A248" s="16" t="s">
        <v>16625</v>
      </c>
      <c r="B248" s="16" t="s">
        <v>240</v>
      </c>
      <c r="C248" s="16" t="s">
        <v>2</v>
      </c>
      <c r="D248" s="16">
        <v>3</v>
      </c>
      <c r="E248" s="16" t="s">
        <v>1070</v>
      </c>
      <c r="F248" s="16" t="s">
        <v>12670</v>
      </c>
      <c r="G248" s="179" t="s">
        <v>12028</v>
      </c>
      <c r="H248" s="254">
        <v>4019</v>
      </c>
      <c r="I248" s="180">
        <v>11</v>
      </c>
      <c r="J248" s="102">
        <v>184344274</v>
      </c>
      <c r="K248" s="102">
        <f>IFERROR(Table21[[#This Row],[ROUTE COST]]/Table21[[#This Row],[O - DEMAND]],0)</f>
        <v>43324.153701527612</v>
      </c>
      <c r="L248" s="26">
        <v>4255</v>
      </c>
      <c r="M248" s="26">
        <f>IFERROR(VLOOKUP(Table21[[#This Row],[ROUTE]],DEMAND!A:F,5,FALSE),0)</f>
        <v>4539</v>
      </c>
      <c r="N248" s="26">
        <f>IFERROR(VLOOKUP(Table21[[#This Row],[ROUTE]],DEMAND!A:F,6,FALSE),0)</f>
        <v>579</v>
      </c>
      <c r="O248" s="26">
        <f>ROUNDDOWN(Table21[[#This Row],[R-DEMAND]]/1320,0)</f>
        <v>0</v>
      </c>
      <c r="P248" s="26">
        <f>Table21[[#This Row],[ADD ACC]]*Table21[[#This Row],[Duration
(747-400)]]</f>
        <v>0</v>
      </c>
      <c r="Q248" s="284">
        <f>IFERROR(VLOOKUP(Table21[[#This Row],[ROUTE]],PRICING!A:B,2,FALSE),0)</f>
        <v>1092</v>
      </c>
      <c r="R248" s="282">
        <f>Table21[[#This Row],[C_DEMAND]]-Table21[[#This Row],[R-DEMAND]]</f>
        <v>3960</v>
      </c>
      <c r="S248" s="287">
        <f>Table21[[#This Row],[SEATS SOLD]]*Table21[[#This Row],[ECO SEAT]]</f>
        <v>4324320</v>
      </c>
    </row>
    <row r="249" spans="1:19" x14ac:dyDescent="0.25">
      <c r="A249" s="16" t="s">
        <v>16311</v>
      </c>
      <c r="B249" s="16" t="s">
        <v>457</v>
      </c>
      <c r="C249" s="16" t="s">
        <v>2</v>
      </c>
      <c r="D249" s="16">
        <v>4</v>
      </c>
      <c r="E249" s="16" t="s">
        <v>2527</v>
      </c>
      <c r="F249" s="16" t="s">
        <v>12671</v>
      </c>
      <c r="G249" s="179" t="s">
        <v>11119</v>
      </c>
      <c r="H249" s="254">
        <v>8331</v>
      </c>
      <c r="I249" s="180">
        <v>20.5</v>
      </c>
      <c r="J249" s="102">
        <v>243499357</v>
      </c>
      <c r="K249" s="102">
        <f>IFERROR(Table21[[#This Row],[ROUTE COST]]/Table21[[#This Row],[O - DEMAND]],0)</f>
        <v>44345.175195774907</v>
      </c>
      <c r="L249" s="26">
        <v>5491</v>
      </c>
      <c r="M249" s="26">
        <f>IFERROR(VLOOKUP(Table21[[#This Row],[ROUTE]],DEMAND!A:F,5,FALSE),0)</f>
        <v>5857</v>
      </c>
      <c r="N249" s="26">
        <f>IFERROR(VLOOKUP(Table21[[#This Row],[ROUTE]],DEMAND!A:F,6,FALSE),0)</f>
        <v>577</v>
      </c>
      <c r="O249" s="26">
        <f>ROUNDDOWN(Table21[[#This Row],[R-DEMAND]]/1320,0)</f>
        <v>0</v>
      </c>
      <c r="P249" s="26">
        <f>Table21[[#This Row],[ADD ACC]]*Table21[[#This Row],[Duration
(747-400)]]</f>
        <v>0</v>
      </c>
      <c r="Q249" s="284">
        <f>IFERROR(VLOOKUP(Table21[[#This Row],[ROUTE]],PRICING!A:B,2,FALSE),0)</f>
        <v>2161</v>
      </c>
      <c r="R249" s="282">
        <f>Table21[[#This Row],[C_DEMAND]]-Table21[[#This Row],[R-DEMAND]]</f>
        <v>5280</v>
      </c>
      <c r="S249" s="287">
        <f>Table21[[#This Row],[SEATS SOLD]]*Table21[[#This Row],[ECO SEAT]]</f>
        <v>11410080</v>
      </c>
    </row>
    <row r="250" spans="1:19" x14ac:dyDescent="0.25">
      <c r="A250" s="16" t="s">
        <v>16330</v>
      </c>
      <c r="B250" s="16" t="s">
        <v>182</v>
      </c>
      <c r="C250" s="16" t="s">
        <v>2</v>
      </c>
      <c r="D250" s="16">
        <v>5</v>
      </c>
      <c r="E250" s="16" t="s">
        <v>83</v>
      </c>
      <c r="F250" s="16" t="s">
        <v>12674</v>
      </c>
      <c r="G250" s="179" t="s">
        <v>181</v>
      </c>
      <c r="H250" s="254">
        <v>8094</v>
      </c>
      <c r="I250" s="180">
        <v>20</v>
      </c>
      <c r="J250" s="102">
        <v>255459812</v>
      </c>
      <c r="K250" s="102">
        <f>IFERROR(Table21[[#This Row],[ROUTE COST]]/Table21[[#This Row],[O - DEMAND]],0)</f>
        <v>82194.276705276701</v>
      </c>
      <c r="L250" s="26">
        <v>3108</v>
      </c>
      <c r="M250" s="26">
        <f>IFERROR(VLOOKUP(Table21[[#This Row],[ROUTE]],DEMAND!A:F,5,FALSE),0)</f>
        <v>3211</v>
      </c>
      <c r="N250" s="26">
        <f>IFERROR(VLOOKUP(Table21[[#This Row],[ROUTE]],DEMAND!A:F,6,FALSE),0)</f>
        <v>571</v>
      </c>
      <c r="O250" s="26">
        <f>ROUNDDOWN(Table21[[#This Row],[R-DEMAND]]/1320,0)</f>
        <v>0</v>
      </c>
      <c r="P250" s="26">
        <f>Table21[[#This Row],[ADD ACC]]*Table21[[#This Row],[Duration
(747-400)]]</f>
        <v>0</v>
      </c>
      <c r="Q250" s="284">
        <f>IFERROR(VLOOKUP(Table21[[#This Row],[ROUTE]],PRICING!A:B,2,FALSE),0)</f>
        <v>2366</v>
      </c>
      <c r="R250" s="282">
        <f>Table21[[#This Row],[C_DEMAND]]-Table21[[#This Row],[R-DEMAND]]</f>
        <v>2640</v>
      </c>
      <c r="S250" s="287">
        <f>Table21[[#This Row],[SEATS SOLD]]*Table21[[#This Row],[ECO SEAT]]</f>
        <v>6246240</v>
      </c>
    </row>
    <row r="251" spans="1:19" x14ac:dyDescent="0.25">
      <c r="A251" s="16" t="s">
        <v>16221</v>
      </c>
      <c r="B251" s="16" t="s">
        <v>3708</v>
      </c>
      <c r="C251" s="16" t="s">
        <v>2</v>
      </c>
      <c r="D251" s="16">
        <v>2</v>
      </c>
      <c r="E251" s="16" t="s">
        <v>3706</v>
      </c>
      <c r="F251" s="16" t="s">
        <v>12682</v>
      </c>
      <c r="G251" s="179" t="s">
        <v>11862</v>
      </c>
      <c r="H251" s="254">
        <v>9481</v>
      </c>
      <c r="I251" s="180">
        <v>23</v>
      </c>
      <c r="J251" s="102">
        <v>226540064</v>
      </c>
      <c r="K251" s="102">
        <f>IFERROR(Table21[[#This Row],[ROUTE COST]]/Table21[[#This Row],[O - DEMAND]],0)</f>
        <v>74642.525205930811</v>
      </c>
      <c r="L251" s="26">
        <v>3035</v>
      </c>
      <c r="M251" s="26">
        <f>IFERROR(VLOOKUP(Table21[[#This Row],[ROUTE]],DEMAND!A:F,5,FALSE),0)</f>
        <v>3208</v>
      </c>
      <c r="N251" s="26">
        <f>IFERROR(VLOOKUP(Table21[[#This Row],[ROUTE]],DEMAND!A:F,6,FALSE),0)</f>
        <v>568</v>
      </c>
      <c r="O251" s="26">
        <f>ROUNDDOWN(Table21[[#This Row],[R-DEMAND]]/1320,0)</f>
        <v>0</v>
      </c>
      <c r="P251" s="26">
        <f>Table21[[#This Row],[ADD ACC]]*Table21[[#This Row],[Duration
(747-400)]]</f>
        <v>0</v>
      </c>
      <c r="Q251" s="284">
        <f>IFERROR(VLOOKUP(Table21[[#This Row],[ROUTE]],PRICING!A:B,2,FALSE),0)</f>
        <v>2538</v>
      </c>
      <c r="R251" s="282">
        <f>Table21[[#This Row],[C_DEMAND]]-Table21[[#This Row],[R-DEMAND]]</f>
        <v>2640</v>
      </c>
      <c r="S251" s="287">
        <f>Table21[[#This Row],[SEATS SOLD]]*Table21[[#This Row],[ECO SEAT]]</f>
        <v>6700320</v>
      </c>
    </row>
    <row r="252" spans="1:19" x14ac:dyDescent="0.25">
      <c r="A252" s="16" t="s">
        <v>16005</v>
      </c>
      <c r="B252" s="16" t="s">
        <v>4266</v>
      </c>
      <c r="C252" s="16" t="s">
        <v>2</v>
      </c>
      <c r="D252" s="16">
        <v>2</v>
      </c>
      <c r="E252" s="16" t="s">
        <v>1749</v>
      </c>
      <c r="F252" s="16" t="s">
        <v>12688</v>
      </c>
      <c r="G252" s="179" t="s">
        <v>13223</v>
      </c>
      <c r="H252" s="254">
        <v>12299</v>
      </c>
      <c r="I252" s="180">
        <v>29.25</v>
      </c>
      <c r="J252" s="102">
        <v>259127914</v>
      </c>
      <c r="K252" s="102">
        <f>IFERROR(Table21[[#This Row],[ROUTE COST]]/Table21[[#This Row],[O - DEMAND]],0)</f>
        <v>86203.564204923488</v>
      </c>
      <c r="L252" s="26">
        <v>3006</v>
      </c>
      <c r="M252" s="26">
        <f>IFERROR(VLOOKUP(Table21[[#This Row],[ROUTE]],DEMAND!A:F,5,FALSE),0)</f>
        <v>3207</v>
      </c>
      <c r="N252" s="26">
        <f>IFERROR(VLOOKUP(Table21[[#This Row],[ROUTE]],DEMAND!A:F,6,FALSE),0)</f>
        <v>567</v>
      </c>
      <c r="O252" s="26">
        <f>ROUNDDOWN(Table21[[#This Row],[R-DEMAND]]/1320,0)</f>
        <v>0</v>
      </c>
      <c r="P252" s="26">
        <f>Table21[[#This Row],[ADD ACC]]*Table21[[#This Row],[Duration
(747-400)]]</f>
        <v>0</v>
      </c>
      <c r="Q252" s="284">
        <f>IFERROR(VLOOKUP(Table21[[#This Row],[ROUTE]],PRICING!A:B,2,FALSE),0)</f>
        <v>3145</v>
      </c>
      <c r="R252" s="282">
        <f>Table21[[#This Row],[C_DEMAND]]-Table21[[#This Row],[R-DEMAND]]</f>
        <v>2640</v>
      </c>
      <c r="S252" s="287">
        <f>Table21[[#This Row],[SEATS SOLD]]*Table21[[#This Row],[ECO SEAT]]</f>
        <v>8302800</v>
      </c>
    </row>
    <row r="253" spans="1:19" x14ac:dyDescent="0.25">
      <c r="A253" s="16" t="s">
        <v>16533</v>
      </c>
      <c r="B253" s="16" t="s">
        <v>4860</v>
      </c>
      <c r="C253" s="16" t="s">
        <v>2</v>
      </c>
      <c r="D253" s="16">
        <v>3</v>
      </c>
      <c r="E253" s="16" t="s">
        <v>78</v>
      </c>
      <c r="F253" s="16" t="s">
        <v>12674</v>
      </c>
      <c r="G253" s="179" t="s">
        <v>11870</v>
      </c>
      <c r="H253" s="254">
        <v>6119</v>
      </c>
      <c r="I253" s="180">
        <v>15.75</v>
      </c>
      <c r="J253" s="102">
        <v>204146723</v>
      </c>
      <c r="K253" s="102">
        <f>IFERROR(Table21[[#This Row],[ROUTE COST]]/Table21[[#This Row],[O - DEMAND]],0)</f>
        <v>66216.90658449562</v>
      </c>
      <c r="L253" s="26">
        <v>3083</v>
      </c>
      <c r="M253" s="26">
        <f>IFERROR(VLOOKUP(Table21[[#This Row],[ROUTE]],DEMAND!A:F,5,FALSE),0)</f>
        <v>3206</v>
      </c>
      <c r="N253" s="26">
        <f>IFERROR(VLOOKUP(Table21[[#This Row],[ROUTE]],DEMAND!A:F,6,FALSE),0)</f>
        <v>566</v>
      </c>
      <c r="O253" s="26">
        <f>ROUNDDOWN(Table21[[#This Row],[R-DEMAND]]/1320,0)</f>
        <v>0</v>
      </c>
      <c r="P253" s="26">
        <f>Table21[[#This Row],[ADD ACC]]*Table21[[#This Row],[Duration
(747-400)]]</f>
        <v>0</v>
      </c>
      <c r="Q253" s="284">
        <f>IFERROR(VLOOKUP(Table21[[#This Row],[ROUTE]],PRICING!A:B,2,FALSE),0)</f>
        <v>1774</v>
      </c>
      <c r="R253" s="282">
        <f>Table21[[#This Row],[C_DEMAND]]-Table21[[#This Row],[R-DEMAND]]</f>
        <v>2640</v>
      </c>
      <c r="S253" s="287">
        <f>Table21[[#This Row],[SEATS SOLD]]*Table21[[#This Row],[ECO SEAT]]</f>
        <v>4683360</v>
      </c>
    </row>
    <row r="254" spans="1:19" x14ac:dyDescent="0.25">
      <c r="A254" s="251" t="s">
        <v>16788</v>
      </c>
      <c r="B254" s="251" t="s">
        <v>385</v>
      </c>
      <c r="C254" s="16" t="s">
        <v>2</v>
      </c>
      <c r="D254" s="251">
        <v>5</v>
      </c>
      <c r="E254" s="251" t="s">
        <v>14</v>
      </c>
      <c r="F254" s="251" t="s">
        <v>12670</v>
      </c>
      <c r="G254" s="252" t="s">
        <v>384</v>
      </c>
      <c r="H254" s="254">
        <v>1881</v>
      </c>
      <c r="I254" s="180">
        <v>6.25</v>
      </c>
      <c r="J254" s="102">
        <v>202756223</v>
      </c>
      <c r="K254" s="253">
        <f>IFERROR(Table21[[#This Row],[ROUTE COST]]/Table21[[#This Row],[O - DEMAND]],0)</f>
        <v>46482.398670334711</v>
      </c>
      <c r="L254" s="26">
        <v>4362</v>
      </c>
      <c r="M254" s="26">
        <f>IFERROR(VLOOKUP(Table21[[#This Row],[ROUTE]],DEMAND!A:F,5,FALSE),0)</f>
        <v>4524</v>
      </c>
      <c r="N254" s="26">
        <f>IFERROR(VLOOKUP(Table21[[#This Row],[ROUTE]],DEMAND!A:F,6,FALSE),0)</f>
        <v>564</v>
      </c>
      <c r="O254" s="26">
        <f>ROUNDDOWN(Table21[[#This Row],[R-DEMAND]]/1320,0)</f>
        <v>0</v>
      </c>
      <c r="P254" s="26">
        <f>Table21[[#This Row],[ADD ACC]]*Table21[[#This Row],[Duration
(747-400)]]</f>
        <v>0</v>
      </c>
      <c r="Q254" s="284">
        <f>IFERROR(VLOOKUP(Table21[[#This Row],[ROUTE]],PRICING!A:B,2,FALSE),0)</f>
        <v>625</v>
      </c>
      <c r="R254" s="282">
        <f>Table21[[#This Row],[C_DEMAND]]-Table21[[#This Row],[R-DEMAND]]</f>
        <v>3960</v>
      </c>
      <c r="S254" s="287">
        <f>Table21[[#This Row],[SEATS SOLD]]*Table21[[#This Row],[ECO SEAT]]</f>
        <v>2475000</v>
      </c>
    </row>
    <row r="255" spans="1:19" x14ac:dyDescent="0.25">
      <c r="A255" s="16" t="s">
        <v>16560</v>
      </c>
      <c r="B255" s="16" t="s">
        <v>14216</v>
      </c>
      <c r="C255" s="16" t="s">
        <v>2</v>
      </c>
      <c r="D255" s="16">
        <v>3</v>
      </c>
      <c r="E255" s="16" t="s">
        <v>78</v>
      </c>
      <c r="F255" s="16" t="s">
        <v>12674</v>
      </c>
      <c r="G255" s="179" t="s">
        <v>14215</v>
      </c>
      <c r="H255" s="254">
        <v>5768</v>
      </c>
      <c r="I255" s="180">
        <v>15</v>
      </c>
      <c r="J255" s="102">
        <v>199921895</v>
      </c>
      <c r="K255" s="102">
        <f>IFERROR(Table21[[#This Row],[ROUTE COST]]/Table21[[#This Row],[O - DEMAND]],0)</f>
        <v>65959.054767403504</v>
      </c>
      <c r="L255" s="26">
        <v>3031</v>
      </c>
      <c r="M255" s="26">
        <f>IFERROR(VLOOKUP(Table21[[#This Row],[ROUTE]],DEMAND!A:F,5,FALSE),0)</f>
        <v>3203</v>
      </c>
      <c r="N255" s="26">
        <f>IFERROR(VLOOKUP(Table21[[#This Row],[ROUTE]],DEMAND!A:F,6,FALSE),0)</f>
        <v>563</v>
      </c>
      <c r="O255" s="26">
        <f>ROUNDDOWN(Table21[[#This Row],[R-DEMAND]]/1320,0)</f>
        <v>0</v>
      </c>
      <c r="P255" s="26">
        <f>Table21[[#This Row],[ADD ACC]]*Table21[[#This Row],[Duration
(747-400)]]</f>
        <v>0</v>
      </c>
      <c r="Q255" s="284">
        <f>IFERROR(VLOOKUP(Table21[[#This Row],[ROUTE]],PRICING!A:B,2,FALSE),0)</f>
        <v>1583</v>
      </c>
      <c r="R255" s="282">
        <f>Table21[[#This Row],[C_DEMAND]]-Table21[[#This Row],[R-DEMAND]]</f>
        <v>2640</v>
      </c>
      <c r="S255" s="287">
        <f>Table21[[#This Row],[SEATS SOLD]]*Table21[[#This Row],[ECO SEAT]]</f>
        <v>4179120</v>
      </c>
    </row>
    <row r="256" spans="1:19" x14ac:dyDescent="0.25">
      <c r="A256" s="16" t="s">
        <v>16185</v>
      </c>
      <c r="B256" s="16" t="s">
        <v>2614</v>
      </c>
      <c r="C256" s="16" t="s">
        <v>2</v>
      </c>
      <c r="D256" s="16">
        <v>2</v>
      </c>
      <c r="E256" s="16" t="s">
        <v>2612</v>
      </c>
      <c r="F256" s="16" t="s">
        <v>12671</v>
      </c>
      <c r="G256" s="179" t="s">
        <v>11891</v>
      </c>
      <c r="H256" s="254">
        <v>10016</v>
      </c>
      <c r="I256" s="180">
        <v>24.25</v>
      </c>
      <c r="J256" s="102">
        <v>229783883</v>
      </c>
      <c r="K256" s="102">
        <f>IFERROR(Table21[[#This Row],[ROUTE COST]]/Table21[[#This Row],[O - DEMAND]],0)</f>
        <v>53851.390438247014</v>
      </c>
      <c r="L256" s="26">
        <v>4267</v>
      </c>
      <c r="M256" s="26">
        <f>IFERROR(VLOOKUP(Table21[[#This Row],[ROUTE]],DEMAND!A:F,5,FALSE),0)</f>
        <v>4523</v>
      </c>
      <c r="N256" s="26">
        <f>IFERROR(VLOOKUP(Table21[[#This Row],[ROUTE]],DEMAND!A:F,6,FALSE),0)</f>
        <v>563</v>
      </c>
      <c r="O256" s="26">
        <f>ROUNDDOWN(Table21[[#This Row],[R-DEMAND]]/1320,0)</f>
        <v>0</v>
      </c>
      <c r="P256" s="26">
        <f>Table21[[#This Row],[ADD ACC]]*Table21[[#This Row],[Duration
(747-400)]]</f>
        <v>0</v>
      </c>
      <c r="Q256" s="284">
        <f>IFERROR(VLOOKUP(Table21[[#This Row],[ROUTE]],PRICING!A:B,2,FALSE),0)</f>
        <v>2643</v>
      </c>
      <c r="R256" s="282">
        <f>Table21[[#This Row],[C_DEMAND]]-Table21[[#This Row],[R-DEMAND]]</f>
        <v>3960</v>
      </c>
      <c r="S256" s="287">
        <f>Table21[[#This Row],[SEATS SOLD]]*Table21[[#This Row],[ECO SEAT]]</f>
        <v>10466280</v>
      </c>
    </row>
    <row r="257" spans="1:19" x14ac:dyDescent="0.25">
      <c r="A257" s="16" t="s">
        <v>16270</v>
      </c>
      <c r="B257" s="16" t="s">
        <v>120</v>
      </c>
      <c r="C257" s="16" t="s">
        <v>2</v>
      </c>
      <c r="D257" s="16">
        <v>5</v>
      </c>
      <c r="E257" s="16" t="s">
        <v>119</v>
      </c>
      <c r="F257" s="16" t="s">
        <v>12674</v>
      </c>
      <c r="G257" s="179" t="s">
        <v>118</v>
      </c>
      <c r="H257" s="254">
        <v>8912</v>
      </c>
      <c r="I257" s="180">
        <v>21.75</v>
      </c>
      <c r="J257" s="102">
        <v>263738099</v>
      </c>
      <c r="K257" s="102">
        <f>IFERROR(Table21[[#This Row],[ROUTE COST]]/Table21[[#This Row],[O - DEMAND]],0)</f>
        <v>85131.729825693998</v>
      </c>
      <c r="L257" s="26">
        <v>3098</v>
      </c>
      <c r="M257" s="26">
        <f>IFERROR(VLOOKUP(Table21[[#This Row],[ROUTE]],DEMAND!A:F,5,FALSE),0)</f>
        <v>3202</v>
      </c>
      <c r="N257" s="26">
        <f>IFERROR(VLOOKUP(Table21[[#This Row],[ROUTE]],DEMAND!A:F,6,FALSE),0)</f>
        <v>562</v>
      </c>
      <c r="O257" s="26">
        <f>ROUNDDOWN(Table21[[#This Row],[R-DEMAND]]/1320,0)</f>
        <v>0</v>
      </c>
      <c r="P257" s="26">
        <f>Table21[[#This Row],[ADD ACC]]*Table21[[#This Row],[Duration
(747-400)]]</f>
        <v>0</v>
      </c>
      <c r="Q257" s="284">
        <f>IFERROR(VLOOKUP(Table21[[#This Row],[ROUTE]],PRICING!A:B,2,FALSE),0)</f>
        <v>2593</v>
      </c>
      <c r="R257" s="282">
        <f>Table21[[#This Row],[C_DEMAND]]-Table21[[#This Row],[R-DEMAND]]</f>
        <v>2640</v>
      </c>
      <c r="S257" s="287">
        <f>Table21[[#This Row],[SEATS SOLD]]*Table21[[#This Row],[ECO SEAT]]</f>
        <v>6845520</v>
      </c>
    </row>
    <row r="258" spans="1:19" x14ac:dyDescent="0.25">
      <c r="A258" s="16" t="s">
        <v>16333</v>
      </c>
      <c r="B258" s="16" t="s">
        <v>84</v>
      </c>
      <c r="C258" s="16" t="s">
        <v>2</v>
      </c>
      <c r="D258" s="16">
        <v>5</v>
      </c>
      <c r="E258" s="16" t="s">
        <v>83</v>
      </c>
      <c r="F258" s="16" t="s">
        <v>12674</v>
      </c>
      <c r="G258" s="179" t="s">
        <v>82</v>
      </c>
      <c r="H258" s="254">
        <v>8088</v>
      </c>
      <c r="I258" s="180">
        <v>20</v>
      </c>
      <c r="J258" s="102">
        <v>254959790</v>
      </c>
      <c r="K258" s="102">
        <f>IFERROR(Table21[[#This Row],[ROUTE COST]]/Table21[[#This Row],[O - DEMAND]],0)</f>
        <v>82298.189154293097</v>
      </c>
      <c r="L258" s="26">
        <v>3098</v>
      </c>
      <c r="M258" s="26">
        <f>IFERROR(VLOOKUP(Table21[[#This Row],[ROUTE]],DEMAND!A:F,5,FALSE),0)</f>
        <v>3202</v>
      </c>
      <c r="N258" s="26">
        <f>IFERROR(VLOOKUP(Table21[[#This Row],[ROUTE]],DEMAND!A:F,6,FALSE),0)</f>
        <v>562</v>
      </c>
      <c r="O258" s="26">
        <f>ROUNDDOWN(Table21[[#This Row],[R-DEMAND]]/1320,0)</f>
        <v>0</v>
      </c>
      <c r="P258" s="26">
        <f>Table21[[#This Row],[ADD ACC]]*Table21[[#This Row],[Duration
(747-400)]]</f>
        <v>0</v>
      </c>
      <c r="Q258" s="284">
        <f>IFERROR(VLOOKUP(Table21[[#This Row],[ROUTE]],PRICING!A:B,2,FALSE),0)</f>
        <v>2364</v>
      </c>
      <c r="R258" s="282">
        <f>Table21[[#This Row],[C_DEMAND]]-Table21[[#This Row],[R-DEMAND]]</f>
        <v>2640</v>
      </c>
      <c r="S258" s="287">
        <f>Table21[[#This Row],[SEATS SOLD]]*Table21[[#This Row],[ECO SEAT]]</f>
        <v>6240960</v>
      </c>
    </row>
    <row r="259" spans="1:19" x14ac:dyDescent="0.25">
      <c r="A259" s="16" t="s">
        <v>16538</v>
      </c>
      <c r="B259" s="16" t="s">
        <v>4160</v>
      </c>
      <c r="C259" s="16" t="s">
        <v>2</v>
      </c>
      <c r="D259" s="16">
        <v>2</v>
      </c>
      <c r="E259" s="16" t="s">
        <v>502</v>
      </c>
      <c r="F259" s="16" t="s">
        <v>12670</v>
      </c>
      <c r="G259" s="179" t="s">
        <v>11930</v>
      </c>
      <c r="H259" s="254">
        <v>6026</v>
      </c>
      <c r="I259" s="180">
        <v>15.5</v>
      </c>
      <c r="J259" s="102">
        <v>196685371</v>
      </c>
      <c r="K259" s="102">
        <f>IFERROR(Table21[[#This Row],[ROUTE COST]]/Table21[[#This Row],[O - DEMAND]],0)</f>
        <v>63714.081956592163</v>
      </c>
      <c r="L259" s="26">
        <v>3087</v>
      </c>
      <c r="M259" s="26">
        <f>IFERROR(VLOOKUP(Table21[[#This Row],[ROUTE]],DEMAND!A:F,5,FALSE),0)</f>
        <v>3201</v>
      </c>
      <c r="N259" s="26">
        <f>IFERROR(VLOOKUP(Table21[[#This Row],[ROUTE]],DEMAND!A:F,6,FALSE),0)</f>
        <v>561</v>
      </c>
      <c r="O259" s="26">
        <f>ROUNDDOWN(Table21[[#This Row],[R-DEMAND]]/1320,0)</f>
        <v>0</v>
      </c>
      <c r="P259" s="26">
        <f>Table21[[#This Row],[ADD ACC]]*Table21[[#This Row],[Duration
(747-400)]]</f>
        <v>0</v>
      </c>
      <c r="Q259" s="284">
        <f>IFERROR(VLOOKUP(Table21[[#This Row],[ROUTE]],PRICING!A:B,2,FALSE),0)</f>
        <v>1769</v>
      </c>
      <c r="R259" s="282">
        <f>Table21[[#This Row],[C_DEMAND]]-Table21[[#This Row],[R-DEMAND]]</f>
        <v>2640</v>
      </c>
      <c r="S259" s="287">
        <f>Table21[[#This Row],[SEATS SOLD]]*Table21[[#This Row],[ECO SEAT]]</f>
        <v>4670160</v>
      </c>
    </row>
    <row r="260" spans="1:19" x14ac:dyDescent="0.25">
      <c r="A260" s="16" t="s">
        <v>16674</v>
      </c>
      <c r="B260" s="16" t="s">
        <v>3</v>
      </c>
      <c r="C260" s="16" t="s">
        <v>2</v>
      </c>
      <c r="D260" s="16">
        <v>2</v>
      </c>
      <c r="E260" s="16" t="s">
        <v>1710</v>
      </c>
      <c r="F260" s="16" t="s">
        <v>12670</v>
      </c>
      <c r="G260" s="179" t="s">
        <v>12068</v>
      </c>
      <c r="H260" s="254">
        <v>2847</v>
      </c>
      <c r="I260" s="180">
        <v>8.5</v>
      </c>
      <c r="J260" s="102">
        <v>160023848</v>
      </c>
      <c r="K260" s="102">
        <f>IFERROR(Table21[[#This Row],[ROUTE COST]]/Table21[[#This Row],[O - DEMAND]],0)</f>
        <v>37180.262081784385</v>
      </c>
      <c r="L260" s="26">
        <v>4304</v>
      </c>
      <c r="M260" s="26">
        <f>IFERROR(VLOOKUP(Table21[[#This Row],[ROUTE]],DEMAND!A:F,5,FALSE),0)</f>
        <v>4520</v>
      </c>
      <c r="N260" s="26">
        <f>IFERROR(VLOOKUP(Table21[[#This Row],[ROUTE]],DEMAND!A:F,6,FALSE),0)</f>
        <v>560</v>
      </c>
      <c r="O260" s="26">
        <f>ROUNDDOWN(Table21[[#This Row],[R-DEMAND]]/1320,0)</f>
        <v>0</v>
      </c>
      <c r="P260" s="26">
        <f>Table21[[#This Row],[ADD ACC]]*Table21[[#This Row],[Duration
(747-400)]]</f>
        <v>0</v>
      </c>
      <c r="Q260" s="284">
        <f>IFERROR(VLOOKUP(Table21[[#This Row],[ROUTE]],PRICING!A:B,2,FALSE),0)</f>
        <v>851</v>
      </c>
      <c r="R260" s="282">
        <f>Table21[[#This Row],[C_DEMAND]]-Table21[[#This Row],[R-DEMAND]]</f>
        <v>3960</v>
      </c>
      <c r="S260" s="287">
        <f>Table21[[#This Row],[SEATS SOLD]]*Table21[[#This Row],[ECO SEAT]]</f>
        <v>3369960</v>
      </c>
    </row>
    <row r="261" spans="1:19" x14ac:dyDescent="0.25">
      <c r="A261" s="251" t="s">
        <v>16758</v>
      </c>
      <c r="B261" s="251" t="s">
        <v>5497</v>
      </c>
      <c r="C261" s="16" t="s">
        <v>2</v>
      </c>
      <c r="D261" s="251">
        <v>4</v>
      </c>
      <c r="E261" s="251" t="s">
        <v>258</v>
      </c>
      <c r="F261" s="251" t="s">
        <v>12670</v>
      </c>
      <c r="G261" s="252" t="s">
        <v>11047</v>
      </c>
      <c r="H261" s="254">
        <v>1215</v>
      </c>
      <c r="I261" s="180">
        <v>4.75</v>
      </c>
      <c r="J261" s="102">
        <v>171030473</v>
      </c>
      <c r="K261" s="253">
        <f>IFERROR(Table21[[#This Row],[ROUTE COST]]/Table21[[#This Row],[O - DEMAND]],0)</f>
        <v>55278.110213316097</v>
      </c>
      <c r="L261" s="26">
        <v>3094</v>
      </c>
      <c r="M261" s="26">
        <f>IFERROR(VLOOKUP(Table21[[#This Row],[ROUTE]],DEMAND!A:F,5,FALSE),0)</f>
        <v>3198</v>
      </c>
      <c r="N261" s="26">
        <f>IFERROR(VLOOKUP(Table21[[#This Row],[ROUTE]],DEMAND!A:F,6,FALSE),0)</f>
        <v>558</v>
      </c>
      <c r="O261" s="26">
        <f>ROUNDDOWN(Table21[[#This Row],[R-DEMAND]]/1320,0)</f>
        <v>0</v>
      </c>
      <c r="P261" s="26">
        <f>Table21[[#This Row],[ADD ACC]]*Table21[[#This Row],[Duration
(747-400)]]</f>
        <v>0</v>
      </c>
      <c r="Q261" s="284">
        <f>IFERROR(VLOOKUP(Table21[[#This Row],[ROUTE]],PRICING!A:B,2,FALSE),0)</f>
        <v>446</v>
      </c>
      <c r="R261" s="282">
        <f>Table21[[#This Row],[C_DEMAND]]-Table21[[#This Row],[R-DEMAND]]</f>
        <v>2640</v>
      </c>
      <c r="S261" s="287">
        <f>Table21[[#This Row],[SEATS SOLD]]*Table21[[#This Row],[ECO SEAT]]</f>
        <v>1177440</v>
      </c>
    </row>
    <row r="262" spans="1:19" x14ac:dyDescent="0.25">
      <c r="A262" s="16" t="s">
        <v>16083</v>
      </c>
      <c r="B262" s="16" t="s">
        <v>124</v>
      </c>
      <c r="C262" s="16" t="s">
        <v>2</v>
      </c>
      <c r="D262" s="16">
        <v>5</v>
      </c>
      <c r="E262" s="16" t="s">
        <v>11732</v>
      </c>
      <c r="F262" s="16" t="s">
        <v>15969</v>
      </c>
      <c r="G262" s="179" t="s">
        <v>13349</v>
      </c>
      <c r="H262" s="254">
        <v>11047</v>
      </c>
      <c r="I262" s="180">
        <v>26.5</v>
      </c>
      <c r="J262" s="102">
        <v>290546198</v>
      </c>
      <c r="K262" s="102">
        <f>IFERROR(Table21[[#This Row],[ROUTE COST]]/Table21[[#This Row],[O - DEMAND]],0)</f>
        <v>93906.33419521655</v>
      </c>
      <c r="L262" s="26">
        <v>3094</v>
      </c>
      <c r="M262" s="26">
        <f>IFERROR(VLOOKUP(Table21[[#This Row],[ROUTE]],DEMAND!A:F,5,FALSE),0)</f>
        <v>3198</v>
      </c>
      <c r="N262" s="26">
        <f>IFERROR(VLOOKUP(Table21[[#This Row],[ROUTE]],DEMAND!A:F,6,FALSE),0)</f>
        <v>558</v>
      </c>
      <c r="O262" s="26">
        <f>ROUNDDOWN(Table21[[#This Row],[R-DEMAND]]/1320,0)</f>
        <v>0</v>
      </c>
      <c r="P262" s="26">
        <f>Table21[[#This Row],[ADD ACC]]*Table21[[#This Row],[Duration
(747-400)]]</f>
        <v>0</v>
      </c>
      <c r="Q262" s="284">
        <f>IFERROR(VLOOKUP(Table21[[#This Row],[ROUTE]],PRICING!A:B,2,FALSE),0)</f>
        <v>3189</v>
      </c>
      <c r="R262" s="282">
        <f>Table21[[#This Row],[C_DEMAND]]-Table21[[#This Row],[R-DEMAND]]</f>
        <v>2640</v>
      </c>
      <c r="S262" s="287">
        <f>Table21[[#This Row],[SEATS SOLD]]*Table21[[#This Row],[ECO SEAT]]</f>
        <v>8418960</v>
      </c>
    </row>
    <row r="263" spans="1:19" x14ac:dyDescent="0.25">
      <c r="A263" s="16" t="s">
        <v>15987</v>
      </c>
      <c r="B263" s="16" t="s">
        <v>4469</v>
      </c>
      <c r="C263" s="16" t="s">
        <v>2</v>
      </c>
      <c r="D263" s="16">
        <v>2</v>
      </c>
      <c r="E263" s="16" t="s">
        <v>1749</v>
      </c>
      <c r="F263" s="16" t="s">
        <v>12688</v>
      </c>
      <c r="G263" s="179" t="s">
        <v>13227</v>
      </c>
      <c r="H263" s="254">
        <v>12664</v>
      </c>
      <c r="I263" s="180">
        <v>30.25</v>
      </c>
      <c r="J263" s="102">
        <v>264585751</v>
      </c>
      <c r="K263" s="102">
        <f>IFERROR(Table21[[#This Row],[ROUTE COST]]/Table21[[#This Row],[O - DEMAND]],0)</f>
        <v>86353.051892950389</v>
      </c>
      <c r="L263" s="26">
        <v>3064</v>
      </c>
      <c r="M263" s="26">
        <f>IFERROR(VLOOKUP(Table21[[#This Row],[ROUTE]],DEMAND!A:F,5,FALSE),0)</f>
        <v>3197</v>
      </c>
      <c r="N263" s="26">
        <f>IFERROR(VLOOKUP(Table21[[#This Row],[ROUTE]],DEMAND!A:F,6,FALSE),0)</f>
        <v>557</v>
      </c>
      <c r="O263" s="26">
        <f>ROUNDDOWN(Table21[[#This Row],[R-DEMAND]]/1320,0)</f>
        <v>0</v>
      </c>
      <c r="P263" s="26">
        <f>Table21[[#This Row],[ADD ACC]]*Table21[[#This Row],[Duration
(747-400)]]</f>
        <v>0</v>
      </c>
      <c r="Q263" s="284">
        <f>IFERROR(VLOOKUP(Table21[[#This Row],[ROUTE]],PRICING!A:B,2,FALSE),0)</f>
        <v>3519</v>
      </c>
      <c r="R263" s="282">
        <f>Table21[[#This Row],[C_DEMAND]]-Table21[[#This Row],[R-DEMAND]]</f>
        <v>2640</v>
      </c>
      <c r="S263" s="287">
        <f>Table21[[#This Row],[SEATS SOLD]]*Table21[[#This Row],[ECO SEAT]]</f>
        <v>9290160</v>
      </c>
    </row>
    <row r="264" spans="1:19" x14ac:dyDescent="0.25">
      <c r="A264" s="16" t="s">
        <v>16186</v>
      </c>
      <c r="B264" s="16" t="s">
        <v>853</v>
      </c>
      <c r="C264" s="16" t="s">
        <v>2</v>
      </c>
      <c r="D264" s="16">
        <v>1</v>
      </c>
      <c r="E264" s="16" t="s">
        <v>608</v>
      </c>
      <c r="F264" s="16" t="s">
        <v>12671</v>
      </c>
      <c r="G264" s="179" t="s">
        <v>11687</v>
      </c>
      <c r="H264" s="254">
        <v>9969</v>
      </c>
      <c r="I264" s="180">
        <v>24.25</v>
      </c>
      <c r="J264" s="102">
        <v>218598042</v>
      </c>
      <c r="K264" s="102">
        <f>IFERROR(Table21[[#This Row],[ROUTE COST]]/Table21[[#This Row],[O - DEMAND]],0)</f>
        <v>72938.952952952954</v>
      </c>
      <c r="L264" s="26">
        <v>2997</v>
      </c>
      <c r="M264" s="26">
        <f>IFERROR(VLOOKUP(Table21[[#This Row],[ROUTE]],DEMAND!A:F,5,FALSE),0)</f>
        <v>3187</v>
      </c>
      <c r="N264" s="26">
        <f>IFERROR(VLOOKUP(Table21[[#This Row],[ROUTE]],DEMAND!A:F,6,FALSE),0)</f>
        <v>547</v>
      </c>
      <c r="O264" s="26">
        <f>ROUNDDOWN(Table21[[#This Row],[R-DEMAND]]/1320,0)</f>
        <v>0</v>
      </c>
      <c r="P264" s="26">
        <f>Table21[[#This Row],[ADD ACC]]*Table21[[#This Row],[Duration
(747-400)]]</f>
        <v>0</v>
      </c>
      <c r="Q264" s="284">
        <f>IFERROR(VLOOKUP(Table21[[#This Row],[ROUTE]],PRICING!A:B,2,FALSE),0)</f>
        <v>2600</v>
      </c>
      <c r="R264" s="282">
        <f>Table21[[#This Row],[C_DEMAND]]-Table21[[#This Row],[R-DEMAND]]</f>
        <v>2640</v>
      </c>
      <c r="S264" s="287">
        <f>Table21[[#This Row],[SEATS SOLD]]*Table21[[#This Row],[ECO SEAT]]</f>
        <v>6864000</v>
      </c>
    </row>
    <row r="265" spans="1:19" x14ac:dyDescent="0.25">
      <c r="A265" s="16" t="s">
        <v>16049</v>
      </c>
      <c r="B265" s="16" t="s">
        <v>4835</v>
      </c>
      <c r="C265" s="16" t="s">
        <v>2</v>
      </c>
      <c r="D265" s="16">
        <v>3</v>
      </c>
      <c r="E265" s="16" t="s">
        <v>662</v>
      </c>
      <c r="F265" s="16" t="s">
        <v>12682</v>
      </c>
      <c r="G265" s="179" t="s">
        <v>11741</v>
      </c>
      <c r="H265" s="254">
        <v>11572</v>
      </c>
      <c r="I265" s="180">
        <v>27.75</v>
      </c>
      <c r="J265" s="102">
        <v>258444051</v>
      </c>
      <c r="K265" s="102">
        <f>IFERROR(Table21[[#This Row],[ROUTE COST]]/Table21[[#This Row],[O - DEMAND]],0)</f>
        <v>83883.171372930869</v>
      </c>
      <c r="L265" s="26">
        <v>3081</v>
      </c>
      <c r="M265" s="26">
        <f>IFERROR(VLOOKUP(Table21[[#This Row],[ROUTE]],DEMAND!A:F,5,FALSE),0)</f>
        <v>3184</v>
      </c>
      <c r="N265" s="26">
        <f>IFERROR(VLOOKUP(Table21[[#This Row],[ROUTE]],DEMAND!A:F,6,FALSE),0)</f>
        <v>544</v>
      </c>
      <c r="O265" s="26">
        <f>ROUNDDOWN(Table21[[#This Row],[R-DEMAND]]/1320,0)</f>
        <v>0</v>
      </c>
      <c r="P265" s="26">
        <f>Table21[[#This Row],[ADD ACC]]*Table21[[#This Row],[Duration
(747-400)]]</f>
        <v>0</v>
      </c>
      <c r="Q265" s="284">
        <f>IFERROR(VLOOKUP(Table21[[#This Row],[ROUTE]],PRICING!A:B,2,FALSE),0)</f>
        <v>3336</v>
      </c>
      <c r="R265" s="282">
        <f>Table21[[#This Row],[C_DEMAND]]-Table21[[#This Row],[R-DEMAND]]</f>
        <v>2640</v>
      </c>
      <c r="S265" s="287">
        <f>Table21[[#This Row],[SEATS SOLD]]*Table21[[#This Row],[ECO SEAT]]</f>
        <v>8807040</v>
      </c>
    </row>
    <row r="266" spans="1:19" x14ac:dyDescent="0.25">
      <c r="A266" s="16" t="s">
        <v>16532</v>
      </c>
      <c r="B266" s="16" t="s">
        <v>4828</v>
      </c>
      <c r="C266" s="16" t="s">
        <v>2</v>
      </c>
      <c r="D266" s="16">
        <v>3</v>
      </c>
      <c r="E266" s="16" t="s">
        <v>78</v>
      </c>
      <c r="F266" s="16" t="s">
        <v>12674</v>
      </c>
      <c r="G266" s="179" t="s">
        <v>11879</v>
      </c>
      <c r="H266" s="254">
        <v>6135</v>
      </c>
      <c r="I266" s="180">
        <v>15.75</v>
      </c>
      <c r="J266" s="102">
        <v>203906342</v>
      </c>
      <c r="K266" s="102">
        <f>IFERROR(Table21[[#This Row],[ROUTE COST]]/Table21[[#This Row],[O - DEMAND]],0)</f>
        <v>66440.645812968389</v>
      </c>
      <c r="L266" s="26">
        <v>3069</v>
      </c>
      <c r="M266" s="26">
        <f>IFERROR(VLOOKUP(Table21[[#This Row],[ROUTE]],DEMAND!A:F,5,FALSE),0)</f>
        <v>3182</v>
      </c>
      <c r="N266" s="26">
        <f>IFERROR(VLOOKUP(Table21[[#This Row],[ROUTE]],DEMAND!A:F,6,FALSE),0)</f>
        <v>542</v>
      </c>
      <c r="O266" s="26">
        <f>ROUNDDOWN(Table21[[#This Row],[R-DEMAND]]/1320,0)</f>
        <v>0</v>
      </c>
      <c r="P266" s="26">
        <f>Table21[[#This Row],[ADD ACC]]*Table21[[#This Row],[Duration
(747-400)]]</f>
        <v>0</v>
      </c>
      <c r="Q266" s="284">
        <f>IFERROR(VLOOKUP(Table21[[#This Row],[ROUTE]],PRICING!A:B,2,FALSE),0)</f>
        <v>1798</v>
      </c>
      <c r="R266" s="282">
        <f>Table21[[#This Row],[C_DEMAND]]-Table21[[#This Row],[R-DEMAND]]</f>
        <v>2640</v>
      </c>
      <c r="S266" s="287">
        <f>Table21[[#This Row],[SEATS SOLD]]*Table21[[#This Row],[ECO SEAT]]</f>
        <v>4746720</v>
      </c>
    </row>
    <row r="267" spans="1:19" x14ac:dyDescent="0.25">
      <c r="A267" s="16" t="s">
        <v>16132</v>
      </c>
      <c r="B267" s="16" t="s">
        <v>2103</v>
      </c>
      <c r="C267" s="16" t="s">
        <v>2</v>
      </c>
      <c r="D267" s="16">
        <v>1</v>
      </c>
      <c r="E267" s="16" t="s">
        <v>493</v>
      </c>
      <c r="F267" s="16" t="s">
        <v>12671</v>
      </c>
      <c r="G267" s="179" t="s">
        <v>7142</v>
      </c>
      <c r="H267" s="254">
        <v>10564</v>
      </c>
      <c r="I267" s="180">
        <v>25.5</v>
      </c>
      <c r="J267" s="102">
        <v>230959689</v>
      </c>
      <c r="K267" s="102">
        <f>IFERROR(Table21[[#This Row],[ROUTE COST]]/Table21[[#This Row],[O - DEMAND]],0)</f>
        <v>75255.682306940376</v>
      </c>
      <c r="L267" s="26">
        <v>3069</v>
      </c>
      <c r="M267" s="26">
        <f>IFERROR(VLOOKUP(Table21[[#This Row],[ROUTE]],DEMAND!A:F,5,FALSE),0)</f>
        <v>3172</v>
      </c>
      <c r="N267" s="26">
        <f>IFERROR(VLOOKUP(Table21[[#This Row],[ROUTE]],DEMAND!A:F,6,FALSE),0)</f>
        <v>532</v>
      </c>
      <c r="O267" s="26">
        <f>ROUNDDOWN(Table21[[#This Row],[R-DEMAND]]/1320,0)</f>
        <v>0</v>
      </c>
      <c r="P267" s="26">
        <f>Table21[[#This Row],[ADD ACC]]*Table21[[#This Row],[Duration
(747-400)]]</f>
        <v>0</v>
      </c>
      <c r="Q267" s="284">
        <f>IFERROR(VLOOKUP(Table21[[#This Row],[ROUTE]],PRICING!A:B,2,FALSE),0)</f>
        <v>3054</v>
      </c>
      <c r="R267" s="282">
        <f>Table21[[#This Row],[C_DEMAND]]-Table21[[#This Row],[R-DEMAND]]</f>
        <v>2640</v>
      </c>
      <c r="S267" s="287">
        <f>Table21[[#This Row],[SEATS SOLD]]*Table21[[#This Row],[ECO SEAT]]</f>
        <v>8062560</v>
      </c>
    </row>
    <row r="268" spans="1:19" x14ac:dyDescent="0.25">
      <c r="A268" s="16" t="s">
        <v>16440</v>
      </c>
      <c r="B268" s="16" t="s">
        <v>5658</v>
      </c>
      <c r="C268" s="16" t="s">
        <v>2</v>
      </c>
      <c r="D268" s="16">
        <v>4</v>
      </c>
      <c r="E268" s="16" t="s">
        <v>876</v>
      </c>
      <c r="F268" s="16" t="s">
        <v>12674</v>
      </c>
      <c r="G268" s="179" t="s">
        <v>11095</v>
      </c>
      <c r="H268" s="254">
        <v>7196</v>
      </c>
      <c r="I268" s="180">
        <v>18</v>
      </c>
      <c r="J268" s="102">
        <v>242452768</v>
      </c>
      <c r="K268" s="102">
        <f>IFERROR(Table21[[#This Row],[ROUTE COST]]/Table21[[#This Row],[O - DEMAND]],0)</f>
        <v>81578.993270524894</v>
      </c>
      <c r="L268" s="26">
        <v>2972</v>
      </c>
      <c r="M268" s="26">
        <f>IFERROR(VLOOKUP(Table21[[#This Row],[ROUTE]],DEMAND!A:F,5,FALSE),0)</f>
        <v>3171</v>
      </c>
      <c r="N268" s="26">
        <f>IFERROR(VLOOKUP(Table21[[#This Row],[ROUTE]],DEMAND!A:F,6,FALSE),0)</f>
        <v>531</v>
      </c>
      <c r="O268" s="26">
        <f>ROUNDDOWN(Table21[[#This Row],[R-DEMAND]]/1320,0)</f>
        <v>0</v>
      </c>
      <c r="P268" s="26">
        <f>Table21[[#This Row],[ADD ACC]]*Table21[[#This Row],[Duration
(747-400)]]</f>
        <v>0</v>
      </c>
      <c r="Q268" s="284">
        <f>IFERROR(VLOOKUP(Table21[[#This Row],[ROUTE]],PRICING!A:B,2,FALSE),0)</f>
        <v>1880</v>
      </c>
      <c r="R268" s="282">
        <f>Table21[[#This Row],[C_DEMAND]]-Table21[[#This Row],[R-DEMAND]]</f>
        <v>2640</v>
      </c>
      <c r="S268" s="287">
        <f>Table21[[#This Row],[SEATS SOLD]]*Table21[[#This Row],[ECO SEAT]]</f>
        <v>4963200</v>
      </c>
    </row>
    <row r="269" spans="1:19" x14ac:dyDescent="0.25">
      <c r="A269" s="16" t="s">
        <v>16566</v>
      </c>
      <c r="B269" s="16" t="s">
        <v>3790</v>
      </c>
      <c r="C269" s="16" t="s">
        <v>2</v>
      </c>
      <c r="D269" s="16">
        <v>2</v>
      </c>
      <c r="E269" s="16" t="s">
        <v>502</v>
      </c>
      <c r="F269" s="16" t="s">
        <v>12670</v>
      </c>
      <c r="G269" s="179" t="s">
        <v>11961</v>
      </c>
      <c r="H269" s="254">
        <v>5566</v>
      </c>
      <c r="I269" s="180">
        <v>14.5</v>
      </c>
      <c r="J269" s="102">
        <v>187818087</v>
      </c>
      <c r="K269" s="102">
        <f>IFERROR(Table21[[#This Row],[ROUTE COST]]/Table21[[#This Row],[O - DEMAND]],0)</f>
        <v>63005.061053337806</v>
      </c>
      <c r="L269" s="26">
        <v>2981</v>
      </c>
      <c r="M269" s="26">
        <f>IFERROR(VLOOKUP(Table21[[#This Row],[ROUTE]],DEMAND!A:F,5,FALSE),0)</f>
        <v>3170</v>
      </c>
      <c r="N269" s="26">
        <f>IFERROR(VLOOKUP(Table21[[#This Row],[ROUTE]],DEMAND!A:F,6,FALSE),0)</f>
        <v>530</v>
      </c>
      <c r="O269" s="26">
        <f>ROUNDDOWN(Table21[[#This Row],[R-DEMAND]]/1320,0)</f>
        <v>0</v>
      </c>
      <c r="P269" s="26">
        <f>Table21[[#This Row],[ADD ACC]]*Table21[[#This Row],[Duration
(747-400)]]</f>
        <v>0</v>
      </c>
      <c r="Q269" s="284">
        <f>IFERROR(VLOOKUP(Table21[[#This Row],[ROUTE]],PRICING!A:B,2,FALSE),0)</f>
        <v>1494</v>
      </c>
      <c r="R269" s="282">
        <f>Table21[[#This Row],[C_DEMAND]]-Table21[[#This Row],[R-DEMAND]]</f>
        <v>2640</v>
      </c>
      <c r="S269" s="287">
        <f>Table21[[#This Row],[SEATS SOLD]]*Table21[[#This Row],[ECO SEAT]]</f>
        <v>3944160</v>
      </c>
    </row>
    <row r="270" spans="1:19" x14ac:dyDescent="0.25">
      <c r="A270" s="16" t="s">
        <v>16045</v>
      </c>
      <c r="B270" s="16" t="s">
        <v>763</v>
      </c>
      <c r="C270" s="16" t="s">
        <v>2</v>
      </c>
      <c r="D270" s="16">
        <v>1</v>
      </c>
      <c r="E270" s="16" t="s">
        <v>761</v>
      </c>
      <c r="F270" s="16" t="s">
        <v>12671</v>
      </c>
      <c r="G270" s="179" t="s">
        <v>11684</v>
      </c>
      <c r="H270" s="254">
        <v>11693</v>
      </c>
      <c r="I270" s="180">
        <v>28</v>
      </c>
      <c r="J270" s="102">
        <v>238367013</v>
      </c>
      <c r="K270" s="102">
        <f>IFERROR(Table21[[#This Row],[ROUTE COST]]/Table21[[#This Row],[O - DEMAND]],0)</f>
        <v>55395.541017894495</v>
      </c>
      <c r="L270" s="26">
        <v>4303</v>
      </c>
      <c r="M270" s="26">
        <f>IFERROR(VLOOKUP(Table21[[#This Row],[ROUTE]],DEMAND!A:F,5,FALSE),0)</f>
        <v>4490</v>
      </c>
      <c r="N270" s="26">
        <f>IFERROR(VLOOKUP(Table21[[#This Row],[ROUTE]],DEMAND!A:F,6,FALSE),0)</f>
        <v>530</v>
      </c>
      <c r="O270" s="26">
        <f>ROUNDDOWN(Table21[[#This Row],[R-DEMAND]]/1320,0)</f>
        <v>0</v>
      </c>
      <c r="P270" s="26">
        <f>Table21[[#This Row],[ADD ACC]]*Table21[[#This Row],[Duration
(747-400)]]</f>
        <v>0</v>
      </c>
      <c r="Q270" s="284">
        <f>IFERROR(VLOOKUP(Table21[[#This Row],[ROUTE]],PRICING!A:B,2,FALSE),0)</f>
        <v>3257</v>
      </c>
      <c r="R270" s="282">
        <f>Table21[[#This Row],[C_DEMAND]]-Table21[[#This Row],[R-DEMAND]]</f>
        <v>3960</v>
      </c>
      <c r="S270" s="287">
        <f>Table21[[#This Row],[SEATS SOLD]]*Table21[[#This Row],[ECO SEAT]]</f>
        <v>12897720</v>
      </c>
    </row>
    <row r="271" spans="1:19" x14ac:dyDescent="0.25">
      <c r="A271" s="16" t="s">
        <v>16637</v>
      </c>
      <c r="B271" s="16" t="s">
        <v>339</v>
      </c>
      <c r="C271" s="16" t="s">
        <v>2</v>
      </c>
      <c r="D271" s="16">
        <v>5</v>
      </c>
      <c r="E271" s="16" t="s">
        <v>1070</v>
      </c>
      <c r="F271" s="16" t="s">
        <v>12670</v>
      </c>
      <c r="G271" s="179" t="s">
        <v>12027</v>
      </c>
      <c r="H271" s="254">
        <v>3809</v>
      </c>
      <c r="I271" s="180">
        <v>10.5</v>
      </c>
      <c r="J271" s="102">
        <v>217808326</v>
      </c>
      <c r="K271" s="102">
        <f>IFERROR(Table21[[#This Row],[ROUTE COST]]/Table21[[#This Row],[O - DEMAND]],0)</f>
        <v>38873.518829198641</v>
      </c>
      <c r="L271" s="26">
        <v>5603</v>
      </c>
      <c r="M271" s="26">
        <f>IFERROR(VLOOKUP(Table21[[#This Row],[ROUTE]],DEMAND!A:F,5,FALSE),0)</f>
        <v>5809</v>
      </c>
      <c r="N271" s="26">
        <f>IFERROR(VLOOKUP(Table21[[#This Row],[ROUTE]],DEMAND!A:F,6,FALSE),0)</f>
        <v>529</v>
      </c>
      <c r="O271" s="26">
        <f>ROUNDDOWN(Table21[[#This Row],[R-DEMAND]]/1320,0)</f>
        <v>0</v>
      </c>
      <c r="P271" s="26">
        <f>Table21[[#This Row],[ADD ACC]]*Table21[[#This Row],[Duration
(747-400)]]</f>
        <v>0</v>
      </c>
      <c r="Q271" s="284">
        <f>IFERROR(VLOOKUP(Table21[[#This Row],[ROUTE]],PRICING!A:B,2,FALSE),0)</f>
        <v>1157</v>
      </c>
      <c r="R271" s="282">
        <f>Table21[[#This Row],[C_DEMAND]]-Table21[[#This Row],[R-DEMAND]]</f>
        <v>5280</v>
      </c>
      <c r="S271" s="287">
        <f>Table21[[#This Row],[SEATS SOLD]]*Table21[[#This Row],[ECO SEAT]]</f>
        <v>6108960</v>
      </c>
    </row>
    <row r="272" spans="1:19" x14ac:dyDescent="0.25">
      <c r="A272" s="16" t="s">
        <v>16355</v>
      </c>
      <c r="B272" s="16" t="s">
        <v>402</v>
      </c>
      <c r="C272" s="16" t="s">
        <v>2</v>
      </c>
      <c r="D272" s="16">
        <v>4</v>
      </c>
      <c r="E272" s="16" t="s">
        <v>3180</v>
      </c>
      <c r="F272" s="16" t="s">
        <v>12674</v>
      </c>
      <c r="G272" s="179" t="s">
        <v>11103</v>
      </c>
      <c r="H272" s="254">
        <v>7946</v>
      </c>
      <c r="I272" s="180">
        <v>19.75</v>
      </c>
      <c r="J272" s="102">
        <v>251045204</v>
      </c>
      <c r="K272" s="102">
        <f>IFERROR(Table21[[#This Row],[ROUTE COST]]/Table21[[#This Row],[O - DEMAND]],0)</f>
        <v>83961.606688963206</v>
      </c>
      <c r="L272" s="26">
        <v>2990</v>
      </c>
      <c r="M272" s="26">
        <f>IFERROR(VLOOKUP(Table21[[#This Row],[ROUTE]],DEMAND!A:F,5,FALSE),0)</f>
        <v>3169</v>
      </c>
      <c r="N272" s="26">
        <f>IFERROR(VLOOKUP(Table21[[#This Row],[ROUTE]],DEMAND!A:F,6,FALSE),0)</f>
        <v>529</v>
      </c>
      <c r="O272" s="26">
        <f>ROUNDDOWN(Table21[[#This Row],[R-DEMAND]]/1320,0)</f>
        <v>0</v>
      </c>
      <c r="P272" s="26">
        <f>Table21[[#This Row],[ADD ACC]]*Table21[[#This Row],[Duration
(747-400)]]</f>
        <v>0</v>
      </c>
      <c r="Q272" s="284">
        <f>IFERROR(VLOOKUP(Table21[[#This Row],[ROUTE]],PRICING!A:B,2,FALSE),0)</f>
        <v>2118</v>
      </c>
      <c r="R272" s="282">
        <f>Table21[[#This Row],[C_DEMAND]]-Table21[[#This Row],[R-DEMAND]]</f>
        <v>2640</v>
      </c>
      <c r="S272" s="287">
        <f>Table21[[#This Row],[SEATS SOLD]]*Table21[[#This Row],[ECO SEAT]]</f>
        <v>5591520</v>
      </c>
    </row>
    <row r="273" spans="1:19" x14ac:dyDescent="0.25">
      <c r="A273" s="16" t="s">
        <v>16387</v>
      </c>
      <c r="B273" s="16" t="s">
        <v>440</v>
      </c>
      <c r="C273" s="16" t="s">
        <v>2</v>
      </c>
      <c r="D273" s="16">
        <v>4</v>
      </c>
      <c r="E273" s="16" t="s">
        <v>597</v>
      </c>
      <c r="F273" s="16" t="s">
        <v>12674</v>
      </c>
      <c r="G273" s="179" t="s">
        <v>11110</v>
      </c>
      <c r="H273" s="254">
        <v>7608</v>
      </c>
      <c r="I273" s="180">
        <v>19</v>
      </c>
      <c r="J273" s="102">
        <v>245998908</v>
      </c>
      <c r="K273" s="102">
        <f>IFERROR(Table21[[#This Row],[ROUTE COST]]/Table21[[#This Row],[O - DEMAND]],0)</f>
        <v>81537.589658601253</v>
      </c>
      <c r="L273" s="26">
        <v>3017</v>
      </c>
      <c r="M273" s="26">
        <f>IFERROR(VLOOKUP(Table21[[#This Row],[ROUTE]],DEMAND!A:F,5,FALSE),0)</f>
        <v>3168</v>
      </c>
      <c r="N273" s="26">
        <f>IFERROR(VLOOKUP(Table21[[#This Row],[ROUTE]],DEMAND!A:F,6,FALSE),0)</f>
        <v>528</v>
      </c>
      <c r="O273" s="26">
        <f>ROUNDDOWN(Table21[[#This Row],[R-DEMAND]]/1320,0)</f>
        <v>0</v>
      </c>
      <c r="P273" s="26">
        <f>Table21[[#This Row],[ADD ACC]]*Table21[[#This Row],[Duration
(747-400)]]</f>
        <v>0</v>
      </c>
      <c r="Q273" s="284">
        <f>IFERROR(VLOOKUP(Table21[[#This Row],[ROUTE]],PRICING!A:B,2,FALSE),0)</f>
        <v>2106</v>
      </c>
      <c r="R273" s="282">
        <f>Table21[[#This Row],[C_DEMAND]]-Table21[[#This Row],[R-DEMAND]]</f>
        <v>2640</v>
      </c>
      <c r="S273" s="287">
        <f>Table21[[#This Row],[SEATS SOLD]]*Table21[[#This Row],[ECO SEAT]]</f>
        <v>5559840</v>
      </c>
    </row>
    <row r="274" spans="1:19" x14ac:dyDescent="0.25">
      <c r="A274" s="16" t="s">
        <v>16510</v>
      </c>
      <c r="B274" s="16" t="s">
        <v>4572</v>
      </c>
      <c r="C274" s="16" t="s">
        <v>2</v>
      </c>
      <c r="D274" s="16">
        <v>2</v>
      </c>
      <c r="E274" s="16" t="s">
        <v>1959</v>
      </c>
      <c r="F274" s="16" t="s">
        <v>12674</v>
      </c>
      <c r="G274" s="179" t="s">
        <v>11833</v>
      </c>
      <c r="H274" s="254">
        <v>6439</v>
      </c>
      <c r="I274" s="180">
        <v>16.5</v>
      </c>
      <c r="J274" s="102">
        <v>203872547</v>
      </c>
      <c r="K274" s="102">
        <f>IFERROR(Table21[[#This Row],[ROUTE COST]]/Table21[[#This Row],[O - DEMAND]],0)</f>
        <v>68782.91059379217</v>
      </c>
      <c r="L274" s="26">
        <v>2964</v>
      </c>
      <c r="M274" s="26">
        <f>IFERROR(VLOOKUP(Table21[[#This Row],[ROUTE]],DEMAND!A:F,5,FALSE),0)</f>
        <v>3162</v>
      </c>
      <c r="N274" s="26">
        <f>IFERROR(VLOOKUP(Table21[[#This Row],[ROUTE]],DEMAND!A:F,6,FALSE),0)</f>
        <v>522</v>
      </c>
      <c r="O274" s="26">
        <f>ROUNDDOWN(Table21[[#This Row],[R-DEMAND]]/1320,0)</f>
        <v>0</v>
      </c>
      <c r="P274" s="26">
        <f>Table21[[#This Row],[ADD ACC]]*Table21[[#This Row],[Duration
(747-400)]]</f>
        <v>0</v>
      </c>
      <c r="Q274" s="284">
        <f>IFERROR(VLOOKUP(Table21[[#This Row],[ROUTE]],PRICING!A:B,2,FALSE),0)</f>
        <v>1692</v>
      </c>
      <c r="R274" s="282">
        <f>Table21[[#This Row],[C_DEMAND]]-Table21[[#This Row],[R-DEMAND]]</f>
        <v>2640</v>
      </c>
      <c r="S274" s="287">
        <f>Table21[[#This Row],[SEATS SOLD]]*Table21[[#This Row],[ECO SEAT]]</f>
        <v>4466880</v>
      </c>
    </row>
    <row r="275" spans="1:19" x14ac:dyDescent="0.25">
      <c r="A275" s="16" t="s">
        <v>16080</v>
      </c>
      <c r="B275" s="16" t="s">
        <v>5682</v>
      </c>
      <c r="C275" s="16" t="s">
        <v>2</v>
      </c>
      <c r="D275" s="16">
        <v>5</v>
      </c>
      <c r="E275" s="16" t="s">
        <v>11732</v>
      </c>
      <c r="F275" s="16" t="s">
        <v>15969</v>
      </c>
      <c r="G275" s="179" t="s">
        <v>13351</v>
      </c>
      <c r="H275" s="254">
        <v>11103</v>
      </c>
      <c r="I275" s="180">
        <v>26.75</v>
      </c>
      <c r="J275" s="102">
        <v>285096991</v>
      </c>
      <c r="K275" s="102">
        <f>IFERROR(Table21[[#This Row],[ROUTE COST]]/Table21[[#This Row],[O - DEMAND]],0)</f>
        <v>95638.037906742698</v>
      </c>
      <c r="L275" s="26">
        <v>2981</v>
      </c>
      <c r="M275" s="26">
        <f>IFERROR(VLOOKUP(Table21[[#This Row],[ROUTE]],DEMAND!A:F,5,FALSE),0)</f>
        <v>3160</v>
      </c>
      <c r="N275" s="26">
        <f>IFERROR(VLOOKUP(Table21[[#This Row],[ROUTE]],DEMAND!A:F,6,FALSE),0)</f>
        <v>520</v>
      </c>
      <c r="O275" s="26">
        <f>ROUNDDOWN(Table21[[#This Row],[R-DEMAND]]/1320,0)</f>
        <v>0</v>
      </c>
      <c r="P275" s="26">
        <f>Table21[[#This Row],[ADD ACC]]*Table21[[#This Row],[Duration
(747-400)]]</f>
        <v>0</v>
      </c>
      <c r="Q275" s="284">
        <f>IFERROR(VLOOKUP(Table21[[#This Row],[ROUTE]],PRICING!A:B,2,FALSE),0)</f>
        <v>2920</v>
      </c>
      <c r="R275" s="282">
        <f>Table21[[#This Row],[C_DEMAND]]-Table21[[#This Row],[R-DEMAND]]</f>
        <v>2640</v>
      </c>
      <c r="S275" s="287">
        <f>Table21[[#This Row],[SEATS SOLD]]*Table21[[#This Row],[ECO SEAT]]</f>
        <v>7708800</v>
      </c>
    </row>
    <row r="276" spans="1:19" x14ac:dyDescent="0.25">
      <c r="A276" s="16" t="s">
        <v>16088</v>
      </c>
      <c r="B276" s="16" t="s">
        <v>3361</v>
      </c>
      <c r="C276" s="16" t="s">
        <v>2</v>
      </c>
      <c r="D276" s="16">
        <v>2</v>
      </c>
      <c r="E276" s="16" t="s">
        <v>11782</v>
      </c>
      <c r="F276" s="16" t="s">
        <v>12671</v>
      </c>
      <c r="G276" s="179" t="s">
        <v>11796</v>
      </c>
      <c r="H276" s="254">
        <v>11009</v>
      </c>
      <c r="I276" s="180">
        <v>26.5</v>
      </c>
      <c r="J276" s="102">
        <v>241696505</v>
      </c>
      <c r="K276" s="102">
        <f>IFERROR(Table21[[#This Row],[ROUTE COST]]/Table21[[#This Row],[O - DEMAND]],0)</f>
        <v>55754.672433679356</v>
      </c>
      <c r="L276" s="26">
        <v>4335</v>
      </c>
      <c r="M276" s="26">
        <f>IFERROR(VLOOKUP(Table21[[#This Row],[ROUTE]],DEMAND!A:F,5,FALSE),0)</f>
        <v>4480</v>
      </c>
      <c r="N276" s="26">
        <f>IFERROR(VLOOKUP(Table21[[#This Row],[ROUTE]],DEMAND!A:F,6,FALSE),0)</f>
        <v>520</v>
      </c>
      <c r="O276" s="26">
        <f>ROUNDDOWN(Table21[[#This Row],[R-DEMAND]]/1320,0)</f>
        <v>0</v>
      </c>
      <c r="P276" s="26">
        <f>Table21[[#This Row],[ADD ACC]]*Table21[[#This Row],[Duration
(747-400)]]</f>
        <v>0</v>
      </c>
      <c r="Q276" s="284">
        <f>IFERROR(VLOOKUP(Table21[[#This Row],[ROUTE]],PRICING!A:B,2,FALSE),0)</f>
        <v>3178</v>
      </c>
      <c r="R276" s="282">
        <f>Table21[[#This Row],[C_DEMAND]]-Table21[[#This Row],[R-DEMAND]]</f>
        <v>3960</v>
      </c>
      <c r="S276" s="287">
        <f>Table21[[#This Row],[SEATS SOLD]]*Table21[[#This Row],[ECO SEAT]]</f>
        <v>12584880</v>
      </c>
    </row>
    <row r="277" spans="1:19" x14ac:dyDescent="0.25">
      <c r="A277" s="16" t="s">
        <v>16246</v>
      </c>
      <c r="B277" s="16" t="s">
        <v>4644</v>
      </c>
      <c r="C277" s="16" t="s">
        <v>2</v>
      </c>
      <c r="D277" s="16">
        <v>2</v>
      </c>
      <c r="E277" s="16" t="s">
        <v>1189</v>
      </c>
      <c r="F277" s="16" t="s">
        <v>12671</v>
      </c>
      <c r="G277" s="179" t="s">
        <v>11940</v>
      </c>
      <c r="H277" s="254">
        <v>9201</v>
      </c>
      <c r="I277" s="180">
        <v>22.5</v>
      </c>
      <c r="J277" s="102">
        <v>233821334</v>
      </c>
      <c r="K277" s="102">
        <f>IFERROR(Table21[[#This Row],[ROUTE COST]]/Table21[[#This Row],[O - DEMAND]],0)</f>
        <v>54823.290504103163</v>
      </c>
      <c r="L277" s="26">
        <v>4265</v>
      </c>
      <c r="M277" s="26">
        <f>IFERROR(VLOOKUP(Table21[[#This Row],[ROUTE]],DEMAND!A:F,5,FALSE),0)</f>
        <v>4479</v>
      </c>
      <c r="N277" s="26">
        <f>IFERROR(VLOOKUP(Table21[[#This Row],[ROUTE]],DEMAND!A:F,6,FALSE),0)</f>
        <v>519</v>
      </c>
      <c r="O277" s="26">
        <f>ROUNDDOWN(Table21[[#This Row],[R-DEMAND]]/1320,0)</f>
        <v>0</v>
      </c>
      <c r="P277" s="26">
        <f>Table21[[#This Row],[ADD ACC]]*Table21[[#This Row],[Duration
(747-400)]]</f>
        <v>0</v>
      </c>
      <c r="Q277" s="284">
        <f>IFERROR(VLOOKUP(Table21[[#This Row],[ROUTE]],PRICING!A:B,2,FALSE),0)</f>
        <v>2526</v>
      </c>
      <c r="R277" s="282">
        <f>Table21[[#This Row],[C_DEMAND]]-Table21[[#This Row],[R-DEMAND]]</f>
        <v>3960</v>
      </c>
      <c r="S277" s="287">
        <f>Table21[[#This Row],[SEATS SOLD]]*Table21[[#This Row],[ECO SEAT]]</f>
        <v>10002960</v>
      </c>
    </row>
    <row r="278" spans="1:19" x14ac:dyDescent="0.25">
      <c r="A278" s="16" t="s">
        <v>16111</v>
      </c>
      <c r="B278" s="16" t="s">
        <v>2907</v>
      </c>
      <c r="C278" s="16" t="s">
        <v>2</v>
      </c>
      <c r="D278" s="16">
        <v>2</v>
      </c>
      <c r="E278" s="16" t="s">
        <v>2059</v>
      </c>
      <c r="F278" s="16" t="s">
        <v>12671</v>
      </c>
      <c r="G278" s="179" t="s">
        <v>11751</v>
      </c>
      <c r="H278" s="254">
        <v>10831</v>
      </c>
      <c r="I278" s="180">
        <v>26</v>
      </c>
      <c r="J278" s="102">
        <v>237213867</v>
      </c>
      <c r="K278" s="102">
        <f>IFERROR(Table21[[#This Row],[ROUTE COST]]/Table21[[#This Row],[O - DEMAND]],0)</f>
        <v>56331.956067442414</v>
      </c>
      <c r="L278" s="26">
        <v>4211</v>
      </c>
      <c r="M278" s="26">
        <f>IFERROR(VLOOKUP(Table21[[#This Row],[ROUTE]],DEMAND!A:F,5,FALSE),0)</f>
        <v>4478</v>
      </c>
      <c r="N278" s="26">
        <f>IFERROR(VLOOKUP(Table21[[#This Row],[ROUTE]],DEMAND!A:F,6,FALSE),0)</f>
        <v>518</v>
      </c>
      <c r="O278" s="26">
        <f>ROUNDDOWN(Table21[[#This Row],[R-DEMAND]]/1320,0)</f>
        <v>0</v>
      </c>
      <c r="P278" s="26">
        <f>Table21[[#This Row],[ADD ACC]]*Table21[[#This Row],[Duration
(747-400)]]</f>
        <v>0</v>
      </c>
      <c r="Q278" s="284">
        <f>IFERROR(VLOOKUP(Table21[[#This Row],[ROUTE]],PRICING!A:B,2,FALSE),0)</f>
        <v>2816</v>
      </c>
      <c r="R278" s="282">
        <f>Table21[[#This Row],[C_DEMAND]]-Table21[[#This Row],[R-DEMAND]]</f>
        <v>3960</v>
      </c>
      <c r="S278" s="287">
        <f>Table21[[#This Row],[SEATS SOLD]]*Table21[[#This Row],[ECO SEAT]]</f>
        <v>11151360</v>
      </c>
    </row>
    <row r="279" spans="1:19" x14ac:dyDescent="0.25">
      <c r="A279" s="16" t="s">
        <v>16452</v>
      </c>
      <c r="B279" s="16" t="s">
        <v>4975</v>
      </c>
      <c r="C279" s="16" t="s">
        <v>2</v>
      </c>
      <c r="D279" s="16">
        <v>3</v>
      </c>
      <c r="E279" s="16" t="s">
        <v>1459</v>
      </c>
      <c r="F279" s="16" t="s">
        <v>12674</v>
      </c>
      <c r="G279" s="179" t="s">
        <v>11842</v>
      </c>
      <c r="H279" s="254">
        <v>7073</v>
      </c>
      <c r="I279" s="180">
        <v>17.75</v>
      </c>
      <c r="J279" s="102">
        <v>215301901</v>
      </c>
      <c r="K279" s="102">
        <f>IFERROR(Table21[[#This Row],[ROUTE COST]]/Table21[[#This Row],[O - DEMAND]],0)</f>
        <v>71386.571949602119</v>
      </c>
      <c r="L279" s="26">
        <v>3016</v>
      </c>
      <c r="M279" s="26">
        <f>IFERROR(VLOOKUP(Table21[[#This Row],[ROUTE]],DEMAND!A:F,5,FALSE),0)</f>
        <v>3157</v>
      </c>
      <c r="N279" s="26">
        <f>IFERROR(VLOOKUP(Table21[[#This Row],[ROUTE]],DEMAND!A:F,6,FALSE),0)</f>
        <v>517</v>
      </c>
      <c r="O279" s="26">
        <f>ROUNDDOWN(Table21[[#This Row],[R-DEMAND]]/1320,0)</f>
        <v>0</v>
      </c>
      <c r="P279" s="26">
        <f>Table21[[#This Row],[ADD ACC]]*Table21[[#This Row],[Duration
(747-400)]]</f>
        <v>0</v>
      </c>
      <c r="Q279" s="284">
        <f>IFERROR(VLOOKUP(Table21[[#This Row],[ROUTE]],PRICING!A:B,2,FALSE),0)</f>
        <v>1988</v>
      </c>
      <c r="R279" s="282">
        <f>Table21[[#This Row],[C_DEMAND]]-Table21[[#This Row],[R-DEMAND]]</f>
        <v>2640</v>
      </c>
      <c r="S279" s="287">
        <f>Table21[[#This Row],[SEATS SOLD]]*Table21[[#This Row],[ECO SEAT]]</f>
        <v>5248320</v>
      </c>
    </row>
    <row r="280" spans="1:19" x14ac:dyDescent="0.25">
      <c r="A280" s="16" t="s">
        <v>16319</v>
      </c>
      <c r="B280" s="16" t="s">
        <v>376</v>
      </c>
      <c r="C280" s="16" t="s">
        <v>2</v>
      </c>
      <c r="D280" s="16">
        <v>5</v>
      </c>
      <c r="E280" s="16" t="s">
        <v>560</v>
      </c>
      <c r="F280" s="16" t="s">
        <v>12674</v>
      </c>
      <c r="G280" s="179" t="s">
        <v>11100</v>
      </c>
      <c r="H280" s="254">
        <v>8191</v>
      </c>
      <c r="I280" s="180">
        <v>20.25</v>
      </c>
      <c r="J280" s="102">
        <v>271208419</v>
      </c>
      <c r="K280" s="102">
        <f>IFERROR(Table21[[#This Row],[ROUTE COST]]/Table21[[#This Row],[O - DEMAND]],0)</f>
        <v>91377.499663072769</v>
      </c>
      <c r="L280" s="26">
        <v>2968</v>
      </c>
      <c r="M280" s="26">
        <f>IFERROR(VLOOKUP(Table21[[#This Row],[ROUTE]],DEMAND!A:F,5,FALSE),0)</f>
        <v>3157</v>
      </c>
      <c r="N280" s="26">
        <f>IFERROR(VLOOKUP(Table21[[#This Row],[ROUTE]],DEMAND!A:F,6,FALSE),0)</f>
        <v>517</v>
      </c>
      <c r="O280" s="26">
        <f>ROUNDDOWN(Table21[[#This Row],[R-DEMAND]]/1320,0)</f>
        <v>0</v>
      </c>
      <c r="P280" s="26">
        <f>Table21[[#This Row],[ADD ACC]]*Table21[[#This Row],[Duration
(747-400)]]</f>
        <v>0</v>
      </c>
      <c r="Q280" s="284">
        <f>IFERROR(VLOOKUP(Table21[[#This Row],[ROUTE]],PRICING!A:B,2,FALSE),0)</f>
        <v>2153</v>
      </c>
      <c r="R280" s="282">
        <f>Table21[[#This Row],[C_DEMAND]]-Table21[[#This Row],[R-DEMAND]]</f>
        <v>2640</v>
      </c>
      <c r="S280" s="287">
        <f>Table21[[#This Row],[SEATS SOLD]]*Table21[[#This Row],[ECO SEAT]]</f>
        <v>5683920</v>
      </c>
    </row>
    <row r="281" spans="1:19" x14ac:dyDescent="0.25">
      <c r="A281" s="16" t="s">
        <v>16530</v>
      </c>
      <c r="B281" s="16" t="s">
        <v>5430</v>
      </c>
      <c r="C281" s="16" t="s">
        <v>2</v>
      </c>
      <c r="D281" s="16">
        <v>3</v>
      </c>
      <c r="E281" s="16" t="s">
        <v>5428</v>
      </c>
      <c r="F281" s="16" t="s">
        <v>12670</v>
      </c>
      <c r="G281" s="179" t="s">
        <v>11956</v>
      </c>
      <c r="H281" s="254">
        <v>6187</v>
      </c>
      <c r="I281" s="180">
        <v>15.75</v>
      </c>
      <c r="J281" s="102">
        <v>218360161</v>
      </c>
      <c r="K281" s="102">
        <f>IFERROR(Table21[[#This Row],[ROUTE COST]]/Table21[[#This Row],[O - DEMAND]],0)</f>
        <v>72256.836863004632</v>
      </c>
      <c r="L281" s="26">
        <v>3022</v>
      </c>
      <c r="M281" s="26">
        <f>IFERROR(VLOOKUP(Table21[[#This Row],[ROUTE]],DEMAND!A:F,5,FALSE),0)</f>
        <v>3153</v>
      </c>
      <c r="N281" s="26">
        <f>IFERROR(VLOOKUP(Table21[[#This Row],[ROUTE]],DEMAND!A:F,6,FALSE),0)</f>
        <v>513</v>
      </c>
      <c r="O281" s="26">
        <f>ROUNDDOWN(Table21[[#This Row],[R-DEMAND]]/1320,0)</f>
        <v>0</v>
      </c>
      <c r="P281" s="26">
        <f>Table21[[#This Row],[ADD ACC]]*Table21[[#This Row],[Duration
(747-400)]]</f>
        <v>0</v>
      </c>
      <c r="Q281" s="284">
        <f>IFERROR(VLOOKUP(Table21[[#This Row],[ROUTE]],PRICING!A:B,2,FALSE),0)</f>
        <v>1772</v>
      </c>
      <c r="R281" s="282">
        <f>Table21[[#This Row],[C_DEMAND]]-Table21[[#This Row],[R-DEMAND]]</f>
        <v>2640</v>
      </c>
      <c r="S281" s="287">
        <f>Table21[[#This Row],[SEATS SOLD]]*Table21[[#This Row],[ECO SEAT]]</f>
        <v>4678080</v>
      </c>
    </row>
    <row r="282" spans="1:19" x14ac:dyDescent="0.25">
      <c r="A282" s="16" t="s">
        <v>16079</v>
      </c>
      <c r="B282" s="16" t="s">
        <v>261</v>
      </c>
      <c r="C282" s="16" t="s">
        <v>2</v>
      </c>
      <c r="D282" s="16">
        <v>5</v>
      </c>
      <c r="E282" s="16" t="s">
        <v>11732</v>
      </c>
      <c r="F282" s="16" t="s">
        <v>15969</v>
      </c>
      <c r="G282" s="179" t="s">
        <v>13348</v>
      </c>
      <c r="H282" s="254">
        <v>11115</v>
      </c>
      <c r="I282" s="180">
        <v>26.75</v>
      </c>
      <c r="J282" s="102">
        <v>286541214</v>
      </c>
      <c r="K282" s="102">
        <f>IFERROR(Table21[[#This Row],[ROUTE COST]]/Table21[[#This Row],[O - DEMAND]],0)</f>
        <v>95418.319680319677</v>
      </c>
      <c r="L282" s="26">
        <v>3003</v>
      </c>
      <c r="M282" s="26">
        <f>IFERROR(VLOOKUP(Table21[[#This Row],[ROUTE]],DEMAND!A:F,5,FALSE),0)</f>
        <v>3153</v>
      </c>
      <c r="N282" s="26">
        <f>IFERROR(VLOOKUP(Table21[[#This Row],[ROUTE]],DEMAND!A:F,6,FALSE),0)</f>
        <v>513</v>
      </c>
      <c r="O282" s="26">
        <f>ROUNDDOWN(Table21[[#This Row],[R-DEMAND]]/1320,0)</f>
        <v>0</v>
      </c>
      <c r="P282" s="26">
        <f>Table21[[#This Row],[ADD ACC]]*Table21[[#This Row],[Duration
(747-400)]]</f>
        <v>0</v>
      </c>
      <c r="Q282" s="284">
        <f>IFERROR(VLOOKUP(Table21[[#This Row],[ROUTE]],PRICING!A:B,2,FALSE),0)</f>
        <v>3030</v>
      </c>
      <c r="R282" s="282">
        <f>Table21[[#This Row],[C_DEMAND]]-Table21[[#This Row],[R-DEMAND]]</f>
        <v>2640</v>
      </c>
      <c r="S282" s="287">
        <f>Table21[[#This Row],[SEATS SOLD]]*Table21[[#This Row],[ECO SEAT]]</f>
        <v>7999200</v>
      </c>
    </row>
    <row r="283" spans="1:19" x14ac:dyDescent="0.25">
      <c r="A283" s="16" t="s">
        <v>16394</v>
      </c>
      <c r="B283" s="16" t="s">
        <v>388</v>
      </c>
      <c r="C283" s="16" t="s">
        <v>2</v>
      </c>
      <c r="D283" s="16">
        <v>4</v>
      </c>
      <c r="E283" s="16" t="s">
        <v>1124</v>
      </c>
      <c r="F283" s="16" t="s">
        <v>12671</v>
      </c>
      <c r="G283" s="179" t="s">
        <v>11101</v>
      </c>
      <c r="H283" s="254">
        <v>7534</v>
      </c>
      <c r="I283" s="180">
        <v>18.75</v>
      </c>
      <c r="J283" s="102">
        <v>242538379</v>
      </c>
      <c r="K283" s="102">
        <f>IFERROR(Table21[[#This Row],[ROUTE COST]]/Table21[[#This Row],[O - DEMAND]],0)</f>
        <v>56614.934407096174</v>
      </c>
      <c r="L283" s="26">
        <v>4284</v>
      </c>
      <c r="M283" s="26">
        <f>IFERROR(VLOOKUP(Table21[[#This Row],[ROUTE]],DEMAND!A:F,5,FALSE),0)</f>
        <v>4470</v>
      </c>
      <c r="N283" s="26">
        <f>IFERROR(VLOOKUP(Table21[[#This Row],[ROUTE]],DEMAND!A:F,6,FALSE),0)</f>
        <v>510</v>
      </c>
      <c r="O283" s="26">
        <f>ROUNDDOWN(Table21[[#This Row],[R-DEMAND]]/1320,0)</f>
        <v>0</v>
      </c>
      <c r="P283" s="26">
        <f>Table21[[#This Row],[ADD ACC]]*Table21[[#This Row],[Duration
(747-400)]]</f>
        <v>0</v>
      </c>
      <c r="Q283" s="284">
        <f>IFERROR(VLOOKUP(Table21[[#This Row],[ROUTE]],PRICING!A:B,2,FALSE),0)</f>
        <v>2135</v>
      </c>
      <c r="R283" s="282">
        <f>Table21[[#This Row],[C_DEMAND]]-Table21[[#This Row],[R-DEMAND]]</f>
        <v>3960</v>
      </c>
      <c r="S283" s="287">
        <f>Table21[[#This Row],[SEATS SOLD]]*Table21[[#This Row],[ECO SEAT]]</f>
        <v>8454600</v>
      </c>
    </row>
    <row r="284" spans="1:19" x14ac:dyDescent="0.25">
      <c r="A284" s="16" t="s">
        <v>16441</v>
      </c>
      <c r="B284" s="16" t="s">
        <v>5663</v>
      </c>
      <c r="C284" s="16" t="s">
        <v>2</v>
      </c>
      <c r="D284" s="16">
        <v>4</v>
      </c>
      <c r="E284" s="16" t="s">
        <v>700</v>
      </c>
      <c r="F284" s="16" t="s">
        <v>12670</v>
      </c>
      <c r="G284" s="179" t="s">
        <v>10756</v>
      </c>
      <c r="H284" s="254">
        <v>7167</v>
      </c>
      <c r="I284" s="180">
        <v>18</v>
      </c>
      <c r="J284" s="102">
        <v>242235020</v>
      </c>
      <c r="K284" s="102">
        <f>IFERROR(Table21[[#This Row],[ROUTE COST]]/Table21[[#This Row],[O - DEMAND]],0)</f>
        <v>57023.309792843691</v>
      </c>
      <c r="L284" s="26">
        <v>4248</v>
      </c>
      <c r="M284" s="26">
        <f>IFERROR(VLOOKUP(Table21[[#This Row],[ROUTE]],DEMAND!A:F,5,FALSE),0)</f>
        <v>4461</v>
      </c>
      <c r="N284" s="26">
        <f>IFERROR(VLOOKUP(Table21[[#This Row],[ROUTE]],DEMAND!A:F,6,FALSE),0)</f>
        <v>501</v>
      </c>
      <c r="O284" s="26">
        <f>ROUNDDOWN(Table21[[#This Row],[R-DEMAND]]/1320,0)</f>
        <v>0</v>
      </c>
      <c r="P284" s="26">
        <f>Table21[[#This Row],[ADD ACC]]*Table21[[#This Row],[Duration
(747-400)]]</f>
        <v>0</v>
      </c>
      <c r="Q284" s="284">
        <f>IFERROR(VLOOKUP(Table21[[#This Row],[ROUTE]],PRICING!A:B,2,FALSE),0)</f>
        <v>1989</v>
      </c>
      <c r="R284" s="282">
        <f>Table21[[#This Row],[C_DEMAND]]-Table21[[#This Row],[R-DEMAND]]</f>
        <v>3960</v>
      </c>
      <c r="S284" s="287">
        <f>Table21[[#This Row],[SEATS SOLD]]*Table21[[#This Row],[ECO SEAT]]</f>
        <v>7876440</v>
      </c>
    </row>
    <row r="285" spans="1:19" x14ac:dyDescent="0.25">
      <c r="A285" s="16" t="s">
        <v>16085</v>
      </c>
      <c r="B285" s="16" t="s">
        <v>5536</v>
      </c>
      <c r="C285" s="16" t="s">
        <v>2</v>
      </c>
      <c r="D285" s="16">
        <v>4</v>
      </c>
      <c r="E285" s="16" t="s">
        <v>119</v>
      </c>
      <c r="F285" s="16" t="s">
        <v>12674</v>
      </c>
      <c r="G285" s="179" t="s">
        <v>13253</v>
      </c>
      <c r="H285" s="254">
        <v>11029</v>
      </c>
      <c r="I285" s="180">
        <v>26.5</v>
      </c>
      <c r="J285" s="102">
        <v>270767663</v>
      </c>
      <c r="K285" s="102">
        <f>IFERROR(Table21[[#This Row],[ROUTE COST]]/Table21[[#This Row],[O - DEMAND]],0)</f>
        <v>89068.310197368424</v>
      </c>
      <c r="L285" s="26">
        <v>3040</v>
      </c>
      <c r="M285" s="26">
        <f>IFERROR(VLOOKUP(Table21[[#This Row],[ROUTE]],DEMAND!A:F,5,FALSE),0)</f>
        <v>3141</v>
      </c>
      <c r="N285" s="26">
        <f>IFERROR(VLOOKUP(Table21[[#This Row],[ROUTE]],DEMAND!A:F,6,FALSE),0)</f>
        <v>501</v>
      </c>
      <c r="O285" s="26">
        <f>ROUNDDOWN(Table21[[#This Row],[R-DEMAND]]/1320,0)</f>
        <v>0</v>
      </c>
      <c r="P285" s="26">
        <f>Table21[[#This Row],[ADD ACC]]*Table21[[#This Row],[Duration
(747-400)]]</f>
        <v>0</v>
      </c>
      <c r="Q285" s="284">
        <f>IFERROR(VLOOKUP(Table21[[#This Row],[ROUTE]],PRICING!A:B,2,FALSE),0)</f>
        <v>3184</v>
      </c>
      <c r="R285" s="282">
        <f>Table21[[#This Row],[C_DEMAND]]-Table21[[#This Row],[R-DEMAND]]</f>
        <v>2640</v>
      </c>
      <c r="S285" s="287">
        <f>Table21[[#This Row],[SEATS SOLD]]*Table21[[#This Row],[ECO SEAT]]</f>
        <v>8405760</v>
      </c>
    </row>
    <row r="286" spans="1:19" x14ac:dyDescent="0.25">
      <c r="A286" s="16" t="s">
        <v>16125</v>
      </c>
      <c r="B286" s="16" t="s">
        <v>5452</v>
      </c>
      <c r="C286" s="16" t="s">
        <v>2</v>
      </c>
      <c r="D286" s="16">
        <v>4</v>
      </c>
      <c r="E286" s="16" t="s">
        <v>2059</v>
      </c>
      <c r="F286" s="16" t="s">
        <v>12671</v>
      </c>
      <c r="G286" s="179" t="s">
        <v>11073</v>
      </c>
      <c r="H286" s="254">
        <v>10633</v>
      </c>
      <c r="I286" s="180">
        <v>25.75</v>
      </c>
      <c r="J286" s="102">
        <v>264667950</v>
      </c>
      <c r="K286" s="102">
        <f>IFERROR(Table21[[#This Row],[ROUTE COST]]/Table21[[#This Row],[O - DEMAND]],0)</f>
        <v>48235.456533624929</v>
      </c>
      <c r="L286" s="26">
        <v>5487</v>
      </c>
      <c r="M286" s="26">
        <f>IFERROR(VLOOKUP(Table21[[#This Row],[ROUTE]],DEMAND!A:F,5,FALSE),0)</f>
        <v>5780</v>
      </c>
      <c r="N286" s="26">
        <f>IFERROR(VLOOKUP(Table21[[#This Row],[ROUTE]],DEMAND!A:F,6,FALSE),0)</f>
        <v>500</v>
      </c>
      <c r="O286" s="26">
        <f>ROUNDDOWN(Table21[[#This Row],[R-DEMAND]]/1320,0)</f>
        <v>0</v>
      </c>
      <c r="P286" s="26">
        <f>Table21[[#This Row],[ADD ACC]]*Table21[[#This Row],[Duration
(747-400)]]</f>
        <v>0</v>
      </c>
      <c r="Q286" s="284">
        <f>IFERROR(VLOOKUP(Table21[[#This Row],[ROUTE]],PRICING!A:B,2,FALSE),0)</f>
        <v>2869</v>
      </c>
      <c r="R286" s="282">
        <f>Table21[[#This Row],[C_DEMAND]]-Table21[[#This Row],[R-DEMAND]]</f>
        <v>5280</v>
      </c>
      <c r="S286" s="287">
        <f>Table21[[#This Row],[SEATS SOLD]]*Table21[[#This Row],[ECO SEAT]]</f>
        <v>15148320</v>
      </c>
    </row>
    <row r="287" spans="1:19" x14ac:dyDescent="0.25">
      <c r="A287" s="16" t="s">
        <v>16331</v>
      </c>
      <c r="B287" s="16" t="s">
        <v>5672</v>
      </c>
      <c r="C287" s="16" t="s">
        <v>2</v>
      </c>
      <c r="D287" s="16">
        <v>4</v>
      </c>
      <c r="E287" s="16" t="s">
        <v>308</v>
      </c>
      <c r="F287" s="16" t="s">
        <v>12674</v>
      </c>
      <c r="G287" s="179" t="s">
        <v>11056</v>
      </c>
      <c r="H287" s="254">
        <v>8094</v>
      </c>
      <c r="I287" s="180">
        <v>20</v>
      </c>
      <c r="J287" s="102">
        <v>253051828</v>
      </c>
      <c r="K287" s="102">
        <f>IFERROR(Table21[[#This Row],[ROUTE COST]]/Table21[[#This Row],[O - DEMAND]],0)</f>
        <v>84406.88058705804</v>
      </c>
      <c r="L287" s="26">
        <v>2998</v>
      </c>
      <c r="M287" s="26">
        <f>IFERROR(VLOOKUP(Table21[[#This Row],[ROUTE]],DEMAND!A:F,5,FALSE),0)</f>
        <v>3138</v>
      </c>
      <c r="N287" s="26">
        <f>IFERROR(VLOOKUP(Table21[[#This Row],[ROUTE]],DEMAND!A:F,6,FALSE),0)</f>
        <v>498</v>
      </c>
      <c r="O287" s="26">
        <f>ROUNDDOWN(Table21[[#This Row],[R-DEMAND]]/1320,0)</f>
        <v>0</v>
      </c>
      <c r="P287" s="26">
        <f>Table21[[#This Row],[ADD ACC]]*Table21[[#This Row],[Duration
(747-400)]]</f>
        <v>0</v>
      </c>
      <c r="Q287" s="284">
        <f>IFERROR(VLOOKUP(Table21[[#This Row],[ROUTE]],PRICING!A:B,2,FALSE),0)</f>
        <v>2260</v>
      </c>
      <c r="R287" s="282">
        <f>Table21[[#This Row],[C_DEMAND]]-Table21[[#This Row],[R-DEMAND]]</f>
        <v>2640</v>
      </c>
      <c r="S287" s="287">
        <f>Table21[[#This Row],[SEATS SOLD]]*Table21[[#This Row],[ECO SEAT]]</f>
        <v>5966400</v>
      </c>
    </row>
    <row r="288" spans="1:19" x14ac:dyDescent="0.25">
      <c r="A288" s="16" t="s">
        <v>16180</v>
      </c>
      <c r="B288" s="16" t="s">
        <v>5754</v>
      </c>
      <c r="C288" s="16" t="s">
        <v>2</v>
      </c>
      <c r="D288" s="16">
        <v>5</v>
      </c>
      <c r="E288" s="16" t="s">
        <v>11732</v>
      </c>
      <c r="F288" s="16" t="s">
        <v>15969</v>
      </c>
      <c r="G288" s="179" t="s">
        <v>13269</v>
      </c>
      <c r="H288" s="254">
        <v>10040</v>
      </c>
      <c r="I288" s="180">
        <v>24.25</v>
      </c>
      <c r="J288" s="102">
        <v>289248862</v>
      </c>
      <c r="K288" s="102">
        <f>IFERROR(Table21[[#This Row],[ROUTE COST]]/Table21[[#This Row],[O - DEMAND]],0)</f>
        <v>97455.816037735844</v>
      </c>
      <c r="L288" s="26">
        <v>2968</v>
      </c>
      <c r="M288" s="26">
        <f>IFERROR(VLOOKUP(Table21[[#This Row],[ROUTE]],DEMAND!A:F,5,FALSE),0)</f>
        <v>3137</v>
      </c>
      <c r="N288" s="26">
        <f>IFERROR(VLOOKUP(Table21[[#This Row],[ROUTE]],DEMAND!A:F,6,FALSE),0)</f>
        <v>497</v>
      </c>
      <c r="O288" s="26">
        <f>ROUNDDOWN(Table21[[#This Row],[R-DEMAND]]/1320,0)</f>
        <v>0</v>
      </c>
      <c r="P288" s="26">
        <f>Table21[[#This Row],[ADD ACC]]*Table21[[#This Row],[Duration
(747-400)]]</f>
        <v>0</v>
      </c>
      <c r="Q288" s="284">
        <f>IFERROR(VLOOKUP(Table21[[#This Row],[ROUTE]],PRICING!A:B,2,FALSE),0)</f>
        <v>2682</v>
      </c>
      <c r="R288" s="282">
        <f>Table21[[#This Row],[C_DEMAND]]-Table21[[#This Row],[R-DEMAND]]</f>
        <v>2640</v>
      </c>
      <c r="S288" s="287">
        <f>Table21[[#This Row],[SEATS SOLD]]*Table21[[#This Row],[ECO SEAT]]</f>
        <v>7080480</v>
      </c>
    </row>
    <row r="289" spans="1:19" x14ac:dyDescent="0.25">
      <c r="A289" s="251" t="s">
        <v>16766</v>
      </c>
      <c r="B289" s="251" t="s">
        <v>21</v>
      </c>
      <c r="C289" s="16" t="s">
        <v>2</v>
      </c>
      <c r="D289" s="251">
        <v>3</v>
      </c>
      <c r="E289" s="251" t="s">
        <v>78</v>
      </c>
      <c r="F289" s="251" t="s">
        <v>12674</v>
      </c>
      <c r="G289" s="252" t="s">
        <v>11996</v>
      </c>
      <c r="H289" s="254">
        <v>1341</v>
      </c>
      <c r="I289" s="180">
        <v>5</v>
      </c>
      <c r="J289" s="102">
        <v>154421155</v>
      </c>
      <c r="K289" s="253">
        <f>IFERROR(Table21[[#This Row],[ROUTE COST]]/Table21[[#This Row],[O - DEMAND]],0)</f>
        <v>52028.691037735851</v>
      </c>
      <c r="L289" s="26">
        <v>2968</v>
      </c>
      <c r="M289" s="26">
        <f>IFERROR(VLOOKUP(Table21[[#This Row],[ROUTE]],DEMAND!A:F,5,FALSE),0)</f>
        <v>3136</v>
      </c>
      <c r="N289" s="26">
        <f>IFERROR(VLOOKUP(Table21[[#This Row],[ROUTE]],DEMAND!A:F,6,FALSE),0)</f>
        <v>496</v>
      </c>
      <c r="O289" s="26">
        <f>ROUNDDOWN(Table21[[#This Row],[R-DEMAND]]/1320,0)</f>
        <v>0</v>
      </c>
      <c r="P289" s="26">
        <f>Table21[[#This Row],[ADD ACC]]*Table21[[#This Row],[Duration
(747-400)]]</f>
        <v>0</v>
      </c>
      <c r="Q289" s="284">
        <f>IFERROR(VLOOKUP(Table21[[#This Row],[ROUTE]],PRICING!A:B,2,FALSE),0)</f>
        <v>444</v>
      </c>
      <c r="R289" s="282">
        <f>Table21[[#This Row],[C_DEMAND]]-Table21[[#This Row],[R-DEMAND]]</f>
        <v>2640</v>
      </c>
      <c r="S289" s="287">
        <f>Table21[[#This Row],[SEATS SOLD]]*Table21[[#This Row],[ECO SEAT]]</f>
        <v>1172160</v>
      </c>
    </row>
    <row r="290" spans="1:19" x14ac:dyDescent="0.25">
      <c r="A290" s="16" t="s">
        <v>16179</v>
      </c>
      <c r="B290" s="16" t="s">
        <v>2946</v>
      </c>
      <c r="C290" s="16" t="s">
        <v>2</v>
      </c>
      <c r="D290" s="16">
        <v>2</v>
      </c>
      <c r="E290" s="16" t="s">
        <v>493</v>
      </c>
      <c r="F290" s="16" t="s">
        <v>12671</v>
      </c>
      <c r="G290" s="179" t="s">
        <v>11727</v>
      </c>
      <c r="H290" s="254">
        <v>10041</v>
      </c>
      <c r="I290" s="180">
        <v>24.25</v>
      </c>
      <c r="J290" s="102">
        <v>229246689</v>
      </c>
      <c r="K290" s="102">
        <f>IFERROR(Table21[[#This Row],[ROUTE COST]]/Table21[[#This Row],[O - DEMAND]],0)</f>
        <v>78107.900851788756</v>
      </c>
      <c r="L290" s="26">
        <v>2935</v>
      </c>
      <c r="M290" s="26">
        <f>IFERROR(VLOOKUP(Table21[[#This Row],[ROUTE]],DEMAND!A:F,5,FALSE),0)</f>
        <v>3131</v>
      </c>
      <c r="N290" s="26">
        <f>IFERROR(VLOOKUP(Table21[[#This Row],[ROUTE]],DEMAND!A:F,6,FALSE),0)</f>
        <v>491</v>
      </c>
      <c r="O290" s="26">
        <f>ROUNDDOWN(Table21[[#This Row],[R-DEMAND]]/1320,0)</f>
        <v>0</v>
      </c>
      <c r="P290" s="26">
        <f>Table21[[#This Row],[ADD ACC]]*Table21[[#This Row],[Duration
(747-400)]]</f>
        <v>0</v>
      </c>
      <c r="Q290" s="284">
        <f>IFERROR(VLOOKUP(Table21[[#This Row],[ROUTE]],PRICING!A:B,2,FALSE),0)</f>
        <v>2585</v>
      </c>
      <c r="R290" s="282">
        <f>Table21[[#This Row],[C_DEMAND]]-Table21[[#This Row],[R-DEMAND]]</f>
        <v>2640</v>
      </c>
      <c r="S290" s="287">
        <f>Table21[[#This Row],[SEATS SOLD]]*Table21[[#This Row],[ECO SEAT]]</f>
        <v>6824400</v>
      </c>
    </row>
    <row r="291" spans="1:19" x14ac:dyDescent="0.25">
      <c r="A291" s="16" t="s">
        <v>16575</v>
      </c>
      <c r="B291" s="16" t="s">
        <v>272</v>
      </c>
      <c r="C291" s="16" t="s">
        <v>2</v>
      </c>
      <c r="D291" s="16">
        <v>2</v>
      </c>
      <c r="E291" s="16" t="s">
        <v>1261</v>
      </c>
      <c r="F291" s="16" t="s">
        <v>12670</v>
      </c>
      <c r="G291" s="179" t="s">
        <v>12117</v>
      </c>
      <c r="H291" s="254">
        <v>5249</v>
      </c>
      <c r="I291" s="180">
        <v>13.75</v>
      </c>
      <c r="J291" s="102">
        <v>183085492</v>
      </c>
      <c r="K291" s="102">
        <f>IFERROR(Table21[[#This Row],[ROUTE COST]]/Table21[[#This Row],[O - DEMAND]],0)</f>
        <v>60464.165125495376</v>
      </c>
      <c r="L291" s="26">
        <v>3028</v>
      </c>
      <c r="M291" s="26">
        <f>IFERROR(VLOOKUP(Table21[[#This Row],[ROUTE]],DEMAND!A:F,5,FALSE),0)</f>
        <v>3129</v>
      </c>
      <c r="N291" s="26">
        <f>IFERROR(VLOOKUP(Table21[[#This Row],[ROUTE]],DEMAND!A:F,6,FALSE),0)</f>
        <v>489</v>
      </c>
      <c r="O291" s="26">
        <f>ROUNDDOWN(Table21[[#This Row],[R-DEMAND]]/1320,0)</f>
        <v>0</v>
      </c>
      <c r="P291" s="26">
        <f>Table21[[#This Row],[ADD ACC]]*Table21[[#This Row],[Duration
(747-400)]]</f>
        <v>0</v>
      </c>
      <c r="Q291" s="284">
        <f>IFERROR(VLOOKUP(Table21[[#This Row],[ROUTE]],PRICING!A:B,2,FALSE),0)</f>
        <v>1572</v>
      </c>
      <c r="R291" s="282">
        <f>Table21[[#This Row],[C_DEMAND]]-Table21[[#This Row],[R-DEMAND]]</f>
        <v>2640</v>
      </c>
      <c r="S291" s="287">
        <f>Table21[[#This Row],[SEATS SOLD]]*Table21[[#This Row],[ECO SEAT]]</f>
        <v>4150080</v>
      </c>
    </row>
    <row r="292" spans="1:19" x14ac:dyDescent="0.25">
      <c r="A292" s="16" t="s">
        <v>16149</v>
      </c>
      <c r="B292" s="16" t="s">
        <v>4816</v>
      </c>
      <c r="C292" s="16" t="s">
        <v>2</v>
      </c>
      <c r="D292" s="16">
        <v>3</v>
      </c>
      <c r="E292" s="16" t="s">
        <v>608</v>
      </c>
      <c r="F292" s="16" t="s">
        <v>12671</v>
      </c>
      <c r="G292" s="179" t="s">
        <v>11674</v>
      </c>
      <c r="H292" s="254">
        <v>10412</v>
      </c>
      <c r="I292" s="180">
        <v>25.25</v>
      </c>
      <c r="J292" s="102">
        <v>246941461</v>
      </c>
      <c r="K292" s="102">
        <f>IFERROR(Table21[[#This Row],[ROUTE COST]]/Table21[[#This Row],[O - DEMAND]],0)</f>
        <v>58753.619081608376</v>
      </c>
      <c r="L292" s="26">
        <v>4203</v>
      </c>
      <c r="M292" s="26">
        <f>IFERROR(VLOOKUP(Table21[[#This Row],[ROUTE]],DEMAND!A:F,5,FALSE),0)</f>
        <v>4441</v>
      </c>
      <c r="N292" s="26">
        <f>IFERROR(VLOOKUP(Table21[[#This Row],[ROUTE]],DEMAND!A:F,6,FALSE),0)</f>
        <v>481</v>
      </c>
      <c r="O292" s="26">
        <f>ROUNDDOWN(Table21[[#This Row],[R-DEMAND]]/1320,0)</f>
        <v>0</v>
      </c>
      <c r="P292" s="26">
        <f>Table21[[#This Row],[ADD ACC]]*Table21[[#This Row],[Duration
(747-400)]]</f>
        <v>0</v>
      </c>
      <c r="Q292" s="284">
        <f>IFERROR(VLOOKUP(Table21[[#This Row],[ROUTE]],PRICING!A:B,2,FALSE),0)</f>
        <v>2778</v>
      </c>
      <c r="R292" s="282">
        <f>Table21[[#This Row],[C_DEMAND]]-Table21[[#This Row],[R-DEMAND]]</f>
        <v>3960</v>
      </c>
      <c r="S292" s="287">
        <f>Table21[[#This Row],[SEATS SOLD]]*Table21[[#This Row],[ECO SEAT]]</f>
        <v>11000880</v>
      </c>
    </row>
    <row r="293" spans="1:19" x14ac:dyDescent="0.25">
      <c r="A293" s="16" t="s">
        <v>16316</v>
      </c>
      <c r="B293" s="16" t="s">
        <v>4551</v>
      </c>
      <c r="C293" s="16" t="s">
        <v>2</v>
      </c>
      <c r="D293" s="16">
        <v>2</v>
      </c>
      <c r="E293" s="16" t="s">
        <v>4549</v>
      </c>
      <c r="F293" s="16" t="s">
        <v>12671</v>
      </c>
      <c r="G293" s="179" t="s">
        <v>11826</v>
      </c>
      <c r="H293" s="254">
        <v>8262</v>
      </c>
      <c r="I293" s="180">
        <v>20.5</v>
      </c>
      <c r="J293" s="102">
        <v>221811886</v>
      </c>
      <c r="K293" s="102">
        <f>IFERROR(Table21[[#This Row],[ROUTE COST]]/Table21[[#This Row],[O - DEMAND]],0)</f>
        <v>75885.010605542251</v>
      </c>
      <c r="L293" s="26">
        <v>2923</v>
      </c>
      <c r="M293" s="26">
        <f>IFERROR(VLOOKUP(Table21[[#This Row],[ROUTE]],DEMAND!A:F,5,FALSE),0)</f>
        <v>3118</v>
      </c>
      <c r="N293" s="26">
        <f>IFERROR(VLOOKUP(Table21[[#This Row],[ROUTE]],DEMAND!A:F,6,FALSE),0)</f>
        <v>478</v>
      </c>
      <c r="O293" s="26">
        <f>ROUNDDOWN(Table21[[#This Row],[R-DEMAND]]/1320,0)</f>
        <v>0</v>
      </c>
      <c r="P293" s="26">
        <f>Table21[[#This Row],[ADD ACC]]*Table21[[#This Row],[Duration
(747-400)]]</f>
        <v>0</v>
      </c>
      <c r="Q293" s="284">
        <f>IFERROR(VLOOKUP(Table21[[#This Row],[ROUTE]],PRICING!A:B,2,FALSE),0)</f>
        <v>2144</v>
      </c>
      <c r="R293" s="282">
        <f>Table21[[#This Row],[C_DEMAND]]-Table21[[#This Row],[R-DEMAND]]</f>
        <v>2640</v>
      </c>
      <c r="S293" s="287">
        <f>Table21[[#This Row],[SEATS SOLD]]*Table21[[#This Row],[ECO SEAT]]</f>
        <v>5660160</v>
      </c>
    </row>
    <row r="294" spans="1:19" x14ac:dyDescent="0.25">
      <c r="A294" s="16" t="s">
        <v>16233</v>
      </c>
      <c r="B294" s="16" t="s">
        <v>3008</v>
      </c>
      <c r="C294" s="16" t="s">
        <v>2</v>
      </c>
      <c r="D294" s="16">
        <v>2</v>
      </c>
      <c r="E294" s="16" t="s">
        <v>493</v>
      </c>
      <c r="F294" s="16" t="s">
        <v>12671</v>
      </c>
      <c r="G294" s="179" t="s">
        <v>11764</v>
      </c>
      <c r="H294" s="254">
        <v>9333</v>
      </c>
      <c r="I294" s="180">
        <v>22.75</v>
      </c>
      <c r="J294" s="102">
        <v>221934689</v>
      </c>
      <c r="K294" s="102">
        <f>IFERROR(Table21[[#This Row],[ROUTE COST]]/Table21[[#This Row],[O - DEMAND]],0)</f>
        <v>75283.137381275446</v>
      </c>
      <c r="L294" s="26">
        <v>2948</v>
      </c>
      <c r="M294" s="26">
        <f>IFERROR(VLOOKUP(Table21[[#This Row],[ROUTE]],DEMAND!A:F,5,FALSE),0)</f>
        <v>3115</v>
      </c>
      <c r="N294" s="26">
        <f>IFERROR(VLOOKUP(Table21[[#This Row],[ROUTE]],DEMAND!A:F,6,FALSE),0)</f>
        <v>475</v>
      </c>
      <c r="O294" s="26">
        <f>ROUNDDOWN(Table21[[#This Row],[R-DEMAND]]/1320,0)</f>
        <v>0</v>
      </c>
      <c r="P294" s="26">
        <f>Table21[[#This Row],[ADD ACC]]*Table21[[#This Row],[Duration
(747-400)]]</f>
        <v>0</v>
      </c>
      <c r="Q294" s="284">
        <f>IFERROR(VLOOKUP(Table21[[#This Row],[ROUTE]],PRICING!A:B,2,FALSE),0)</f>
        <v>2500</v>
      </c>
      <c r="R294" s="282">
        <f>Table21[[#This Row],[C_DEMAND]]-Table21[[#This Row],[R-DEMAND]]</f>
        <v>2640</v>
      </c>
      <c r="S294" s="287">
        <f>Table21[[#This Row],[SEATS SOLD]]*Table21[[#This Row],[ECO SEAT]]</f>
        <v>6600000</v>
      </c>
    </row>
    <row r="295" spans="1:19" x14ac:dyDescent="0.25">
      <c r="A295" s="16" t="s">
        <v>16617</v>
      </c>
      <c r="B295" s="16" t="s">
        <v>154</v>
      </c>
      <c r="C295" s="16" t="s">
        <v>2</v>
      </c>
      <c r="D295" s="16">
        <v>3</v>
      </c>
      <c r="E295" s="16" t="s">
        <v>1070</v>
      </c>
      <c r="F295" s="16" t="s">
        <v>12670</v>
      </c>
      <c r="G295" s="179" t="s">
        <v>12055</v>
      </c>
      <c r="H295" s="254">
        <v>4124</v>
      </c>
      <c r="I295" s="180">
        <v>11.25</v>
      </c>
      <c r="J295" s="102">
        <v>182887291</v>
      </c>
      <c r="K295" s="102">
        <f>IFERROR(Table21[[#This Row],[ROUTE COST]]/Table21[[#This Row],[O - DEMAND]],0)</f>
        <v>43910.514045618249</v>
      </c>
      <c r="L295" s="26">
        <v>4165</v>
      </c>
      <c r="M295" s="26">
        <f>IFERROR(VLOOKUP(Table21[[#This Row],[ROUTE]],DEMAND!A:F,5,FALSE),0)</f>
        <v>4429</v>
      </c>
      <c r="N295" s="26">
        <f>IFERROR(VLOOKUP(Table21[[#This Row],[ROUTE]],DEMAND!A:F,6,FALSE),0)</f>
        <v>1789</v>
      </c>
      <c r="O295" s="26">
        <f>ROUNDDOWN(Table21[[#This Row],[R-DEMAND]]/1320,0)</f>
        <v>1</v>
      </c>
      <c r="P295" s="26">
        <f>Table21[[#This Row],[ADD ACC]]*Table21[[#This Row],[Duration
(747-400)]]</f>
        <v>11.25</v>
      </c>
      <c r="Q295" s="284">
        <f>IFERROR(VLOOKUP(Table21[[#This Row],[ROUTE]],PRICING!A:B,2,FALSE),0)</f>
        <v>1132</v>
      </c>
      <c r="R295" s="282">
        <f>Table21[[#This Row],[C_DEMAND]]-Table21[[#This Row],[R-DEMAND]]</f>
        <v>2640</v>
      </c>
      <c r="S295" s="287">
        <f>Table21[[#This Row],[SEATS SOLD]]*Table21[[#This Row],[ECO SEAT]]</f>
        <v>2988480</v>
      </c>
    </row>
    <row r="296" spans="1:19" x14ac:dyDescent="0.25">
      <c r="A296" s="16" t="s">
        <v>16598</v>
      </c>
      <c r="B296" s="16" t="s">
        <v>448</v>
      </c>
      <c r="C296" s="16" t="s">
        <v>2</v>
      </c>
      <c r="D296" s="16">
        <v>3</v>
      </c>
      <c r="E296" s="16" t="s">
        <v>1070</v>
      </c>
      <c r="F296" s="16" t="s">
        <v>12670</v>
      </c>
      <c r="G296" s="179" t="s">
        <v>12031</v>
      </c>
      <c r="H296" s="254">
        <v>4516</v>
      </c>
      <c r="I296" s="180">
        <v>12.25</v>
      </c>
      <c r="J296" s="102">
        <v>196928676</v>
      </c>
      <c r="K296" s="102">
        <f>IFERROR(Table21[[#This Row],[ROUTE COST]]/Table21[[#This Row],[O - DEMAND]],0)</f>
        <v>47327.247296322996</v>
      </c>
      <c r="L296" s="26">
        <v>4161</v>
      </c>
      <c r="M296" s="26">
        <f>IFERROR(VLOOKUP(Table21[[#This Row],[ROUTE]],DEMAND!A:F,5,FALSE),0)</f>
        <v>4425</v>
      </c>
      <c r="N296" s="26">
        <f>IFERROR(VLOOKUP(Table21[[#This Row],[ROUTE]],DEMAND!A:F,6,FALSE),0)</f>
        <v>465</v>
      </c>
      <c r="O296" s="26">
        <f>ROUNDDOWN(Table21[[#This Row],[R-DEMAND]]/1320,0)</f>
        <v>0</v>
      </c>
      <c r="P296" s="26">
        <f>Table21[[#This Row],[ADD ACC]]*Table21[[#This Row],[Duration
(747-400)]]</f>
        <v>0</v>
      </c>
      <c r="Q296" s="284">
        <f>IFERROR(VLOOKUP(Table21[[#This Row],[ROUTE]],PRICING!A:B,2,FALSE),0)</f>
        <v>1230</v>
      </c>
      <c r="R296" s="282">
        <f>Table21[[#This Row],[C_DEMAND]]-Table21[[#This Row],[R-DEMAND]]</f>
        <v>3960</v>
      </c>
      <c r="S296" s="287">
        <f>Table21[[#This Row],[SEATS SOLD]]*Table21[[#This Row],[ECO SEAT]]</f>
        <v>4870800</v>
      </c>
    </row>
    <row r="297" spans="1:19" x14ac:dyDescent="0.25">
      <c r="A297" s="16" t="s">
        <v>16183</v>
      </c>
      <c r="B297" s="16" t="s">
        <v>5739</v>
      </c>
      <c r="C297" s="16" t="s">
        <v>2</v>
      </c>
      <c r="D297" s="16">
        <v>5</v>
      </c>
      <c r="E297" s="16" t="s">
        <v>11732</v>
      </c>
      <c r="F297" s="16" t="s">
        <v>15969</v>
      </c>
      <c r="G297" s="179" t="s">
        <v>13274</v>
      </c>
      <c r="H297" s="254">
        <v>10034</v>
      </c>
      <c r="I297" s="180">
        <v>24.25</v>
      </c>
      <c r="J297" s="102">
        <v>286308774</v>
      </c>
      <c r="K297" s="102">
        <f>IFERROR(Table21[[#This Row],[ROUTE COST]]/Table21[[#This Row],[O - DEMAND]],0)</f>
        <v>98421.716741148164</v>
      </c>
      <c r="L297" s="26">
        <v>2909</v>
      </c>
      <c r="M297" s="26">
        <f>IFERROR(VLOOKUP(Table21[[#This Row],[ROUTE]],DEMAND!A:F,5,FALSE),0)</f>
        <v>3102</v>
      </c>
      <c r="N297" s="26">
        <f>IFERROR(VLOOKUP(Table21[[#This Row],[ROUTE]],DEMAND!A:F,6,FALSE),0)</f>
        <v>462</v>
      </c>
      <c r="O297" s="26">
        <f>ROUNDDOWN(Table21[[#This Row],[R-DEMAND]]/1320,0)</f>
        <v>0</v>
      </c>
      <c r="P297" s="26">
        <f>Table21[[#This Row],[ADD ACC]]*Table21[[#This Row],[Duration
(747-400)]]</f>
        <v>0</v>
      </c>
      <c r="Q297" s="284">
        <f>IFERROR(VLOOKUP(Table21[[#This Row],[ROUTE]],PRICING!A:B,2,FALSE),0)</f>
        <v>2584</v>
      </c>
      <c r="R297" s="282">
        <f>Table21[[#This Row],[C_DEMAND]]-Table21[[#This Row],[R-DEMAND]]</f>
        <v>2640</v>
      </c>
      <c r="S297" s="287">
        <f>Table21[[#This Row],[SEATS SOLD]]*Table21[[#This Row],[ECO SEAT]]</f>
        <v>6821760</v>
      </c>
    </row>
    <row r="298" spans="1:19" x14ac:dyDescent="0.25">
      <c r="A298" s="16" t="s">
        <v>16012</v>
      </c>
      <c r="B298" s="16" t="s">
        <v>3292</v>
      </c>
      <c r="C298" s="16" t="s">
        <v>2</v>
      </c>
      <c r="D298" s="16">
        <v>2</v>
      </c>
      <c r="E298" s="16" t="s">
        <v>644</v>
      </c>
      <c r="F298" s="16" t="s">
        <v>12671</v>
      </c>
      <c r="G298" s="179" t="s">
        <v>11815</v>
      </c>
      <c r="H298" s="254">
        <v>12168</v>
      </c>
      <c r="I298" s="180">
        <v>29</v>
      </c>
      <c r="J298" s="102">
        <v>252685767</v>
      </c>
      <c r="K298" s="102">
        <f>IFERROR(Table21[[#This Row],[ROUTE COST]]/Table21[[#This Row],[O - DEMAND]],0)</f>
        <v>60770.987734487731</v>
      </c>
      <c r="L298" s="26">
        <v>4158</v>
      </c>
      <c r="M298" s="26">
        <f>IFERROR(VLOOKUP(Table21[[#This Row],[ROUTE]],DEMAND!A:F,5,FALSE),0)</f>
        <v>4422</v>
      </c>
      <c r="N298" s="26">
        <f>IFERROR(VLOOKUP(Table21[[#This Row],[ROUTE]],DEMAND!A:F,6,FALSE),0)</f>
        <v>462</v>
      </c>
      <c r="O298" s="26">
        <f>ROUNDDOWN(Table21[[#This Row],[R-DEMAND]]/1320,0)</f>
        <v>0</v>
      </c>
      <c r="P298" s="26">
        <f>Table21[[#This Row],[ADD ACC]]*Table21[[#This Row],[Duration
(747-400)]]</f>
        <v>0</v>
      </c>
      <c r="Q298" s="284">
        <f>IFERROR(VLOOKUP(Table21[[#This Row],[ROUTE]],PRICING!A:B,2,FALSE),0)</f>
        <v>3152</v>
      </c>
      <c r="R298" s="282">
        <f>Table21[[#This Row],[C_DEMAND]]-Table21[[#This Row],[R-DEMAND]]</f>
        <v>3960</v>
      </c>
      <c r="S298" s="287">
        <f>Table21[[#This Row],[SEATS SOLD]]*Table21[[#This Row],[ECO SEAT]]</f>
        <v>12481920</v>
      </c>
    </row>
    <row r="299" spans="1:19" x14ac:dyDescent="0.25">
      <c r="A299" s="16" t="s">
        <v>16620</v>
      </c>
      <c r="B299" s="16" t="s">
        <v>61</v>
      </c>
      <c r="C299" s="16" t="s">
        <v>2</v>
      </c>
      <c r="D299" s="16">
        <v>2</v>
      </c>
      <c r="E299" s="16" t="s">
        <v>709</v>
      </c>
      <c r="F299" s="16" t="s">
        <v>12670</v>
      </c>
      <c r="G299" s="179" t="s">
        <v>12111</v>
      </c>
      <c r="H299" s="254">
        <v>4088</v>
      </c>
      <c r="I299" s="180">
        <v>11.25</v>
      </c>
      <c r="J299" s="102">
        <v>175263446</v>
      </c>
      <c r="K299" s="102">
        <f>IFERROR(Table21[[#This Row],[ROUTE COST]]/Table21[[#This Row],[O - DEMAND]],0)</f>
        <v>58460.122081387592</v>
      </c>
      <c r="L299" s="26">
        <v>2998</v>
      </c>
      <c r="M299" s="26">
        <f>IFERROR(VLOOKUP(Table21[[#This Row],[ROUTE]],DEMAND!A:F,5,FALSE),0)</f>
        <v>3098</v>
      </c>
      <c r="N299" s="26">
        <f>IFERROR(VLOOKUP(Table21[[#This Row],[ROUTE]],DEMAND!A:F,6,FALSE),0)</f>
        <v>458</v>
      </c>
      <c r="O299" s="26">
        <f>ROUNDDOWN(Table21[[#This Row],[R-DEMAND]]/1320,0)</f>
        <v>0</v>
      </c>
      <c r="P299" s="26">
        <f>Table21[[#This Row],[ADD ACC]]*Table21[[#This Row],[Duration
(747-400)]]</f>
        <v>0</v>
      </c>
      <c r="Q299" s="284">
        <f>IFERROR(VLOOKUP(Table21[[#This Row],[ROUTE]],PRICING!A:B,2,FALSE),0)</f>
        <v>1248</v>
      </c>
      <c r="R299" s="282">
        <f>Table21[[#This Row],[C_DEMAND]]-Table21[[#This Row],[R-DEMAND]]</f>
        <v>2640</v>
      </c>
      <c r="S299" s="287">
        <f>Table21[[#This Row],[SEATS SOLD]]*Table21[[#This Row],[ECO SEAT]]</f>
        <v>3294720</v>
      </c>
    </row>
    <row r="300" spans="1:19" x14ac:dyDescent="0.25">
      <c r="A300" s="16" t="s">
        <v>16023</v>
      </c>
      <c r="B300" s="16" t="s">
        <v>3925</v>
      </c>
      <c r="C300" s="16" t="s">
        <v>2</v>
      </c>
      <c r="D300" s="16">
        <v>2</v>
      </c>
      <c r="E300" s="16" t="s">
        <v>1749</v>
      </c>
      <c r="F300" s="16" t="s">
        <v>12688</v>
      </c>
      <c r="G300" s="179" t="s">
        <v>13220</v>
      </c>
      <c r="H300" s="254">
        <v>12053</v>
      </c>
      <c r="I300" s="180">
        <v>28.75</v>
      </c>
      <c r="J300" s="102">
        <v>253959751</v>
      </c>
      <c r="K300" s="102">
        <f>IFERROR(Table21[[#This Row],[ROUTE COST]]/Table21[[#This Row],[O - DEMAND]],0)</f>
        <v>86942.742553919888</v>
      </c>
      <c r="L300" s="26">
        <v>2921</v>
      </c>
      <c r="M300" s="26">
        <f>IFERROR(VLOOKUP(Table21[[#This Row],[ROUTE]],DEMAND!A:F,5,FALSE),0)</f>
        <v>3097</v>
      </c>
      <c r="N300" s="26">
        <f>IFERROR(VLOOKUP(Table21[[#This Row],[ROUTE]],DEMAND!A:F,6,FALSE),0)</f>
        <v>457</v>
      </c>
      <c r="O300" s="26">
        <f>ROUNDDOWN(Table21[[#This Row],[R-DEMAND]]/1320,0)</f>
        <v>0</v>
      </c>
      <c r="P300" s="26">
        <f>Table21[[#This Row],[ADD ACC]]*Table21[[#This Row],[Duration
(747-400)]]</f>
        <v>0</v>
      </c>
      <c r="Q300" s="284">
        <f>IFERROR(VLOOKUP(Table21[[#This Row],[ROUTE]],PRICING!A:B,2,FALSE),0)</f>
        <v>3161</v>
      </c>
      <c r="R300" s="282">
        <f>Table21[[#This Row],[C_DEMAND]]-Table21[[#This Row],[R-DEMAND]]</f>
        <v>2640</v>
      </c>
      <c r="S300" s="287">
        <f>Table21[[#This Row],[SEATS SOLD]]*Table21[[#This Row],[ECO SEAT]]</f>
        <v>8345040</v>
      </c>
    </row>
    <row r="301" spans="1:19" x14ac:dyDescent="0.25">
      <c r="A301" s="16" t="s">
        <v>15995</v>
      </c>
      <c r="B301" s="16" t="s">
        <v>5703</v>
      </c>
      <c r="C301" s="16" t="s">
        <v>2</v>
      </c>
      <c r="D301" s="16">
        <v>5</v>
      </c>
      <c r="E301" s="16" t="s">
        <v>1749</v>
      </c>
      <c r="F301" s="16" t="s">
        <v>12688</v>
      </c>
      <c r="G301" s="179" t="s">
        <v>13225</v>
      </c>
      <c r="H301" s="254">
        <v>12439</v>
      </c>
      <c r="I301" s="180">
        <v>29.75</v>
      </c>
      <c r="J301" s="102">
        <v>300609892</v>
      </c>
      <c r="K301" s="102">
        <f>IFERROR(Table21[[#This Row],[ROUTE COST]]/Table21[[#This Row],[O - DEMAND]],0)</f>
        <v>70582.270955623389</v>
      </c>
      <c r="L301" s="26">
        <v>4259</v>
      </c>
      <c r="M301" s="26">
        <f>IFERROR(VLOOKUP(Table21[[#This Row],[ROUTE]],DEMAND!A:F,5,FALSE),0)</f>
        <v>4416</v>
      </c>
      <c r="N301" s="26">
        <f>IFERROR(VLOOKUP(Table21[[#This Row],[ROUTE]],DEMAND!A:F,6,FALSE),0)</f>
        <v>456</v>
      </c>
      <c r="O301" s="26">
        <f>ROUNDDOWN(Table21[[#This Row],[R-DEMAND]]/1320,0)</f>
        <v>0</v>
      </c>
      <c r="P301" s="26">
        <f>Table21[[#This Row],[ADD ACC]]*Table21[[#This Row],[Duration
(747-400)]]</f>
        <v>0</v>
      </c>
      <c r="Q301" s="284">
        <f>IFERROR(VLOOKUP(Table21[[#This Row],[ROUTE]],PRICING!A:B,2,FALSE),0)</f>
        <v>3538</v>
      </c>
      <c r="R301" s="282">
        <f>Table21[[#This Row],[C_DEMAND]]-Table21[[#This Row],[R-DEMAND]]</f>
        <v>3960</v>
      </c>
      <c r="S301" s="287">
        <f>Table21[[#This Row],[SEATS SOLD]]*Table21[[#This Row],[ECO SEAT]]</f>
        <v>14010480</v>
      </c>
    </row>
    <row r="302" spans="1:19" x14ac:dyDescent="0.25">
      <c r="A302" s="16" t="s">
        <v>16297</v>
      </c>
      <c r="B302" s="16" t="s">
        <v>483</v>
      </c>
      <c r="C302" s="16" t="s">
        <v>2</v>
      </c>
      <c r="D302" s="16">
        <v>4</v>
      </c>
      <c r="E302" s="16" t="s">
        <v>514</v>
      </c>
      <c r="F302" s="16" t="s">
        <v>12688</v>
      </c>
      <c r="G302" s="179" t="s">
        <v>11026</v>
      </c>
      <c r="H302" s="254">
        <v>8494</v>
      </c>
      <c r="I302" s="180">
        <v>21</v>
      </c>
      <c r="J302" s="102">
        <v>255901394</v>
      </c>
      <c r="K302" s="102">
        <f>IFERROR(Table21[[#This Row],[ROUTE COST]]/Table21[[#This Row],[O - DEMAND]],0)</f>
        <v>85700.399866041524</v>
      </c>
      <c r="L302" s="26">
        <v>2986</v>
      </c>
      <c r="M302" s="26">
        <f>IFERROR(VLOOKUP(Table21[[#This Row],[ROUTE]],DEMAND!A:F,5,FALSE),0)</f>
        <v>3095</v>
      </c>
      <c r="N302" s="26">
        <f>IFERROR(VLOOKUP(Table21[[#This Row],[ROUTE]],DEMAND!A:F,6,FALSE),0)</f>
        <v>455</v>
      </c>
      <c r="O302" s="26">
        <f>ROUNDDOWN(Table21[[#This Row],[R-DEMAND]]/1320,0)</f>
        <v>0</v>
      </c>
      <c r="P302" s="26">
        <f>Table21[[#This Row],[ADD ACC]]*Table21[[#This Row],[Duration
(747-400)]]</f>
        <v>0</v>
      </c>
      <c r="Q302" s="284">
        <f>IFERROR(VLOOKUP(Table21[[#This Row],[ROUTE]],PRICING!A:B,2,FALSE),0)</f>
        <v>2450</v>
      </c>
      <c r="R302" s="282">
        <f>Table21[[#This Row],[C_DEMAND]]-Table21[[#This Row],[R-DEMAND]]</f>
        <v>2640</v>
      </c>
      <c r="S302" s="287">
        <f>Table21[[#This Row],[SEATS SOLD]]*Table21[[#This Row],[ECO SEAT]]</f>
        <v>6468000</v>
      </c>
    </row>
    <row r="303" spans="1:19" x14ac:dyDescent="0.25">
      <c r="A303" s="16" t="s">
        <v>16417</v>
      </c>
      <c r="B303" s="16" t="s">
        <v>5631</v>
      </c>
      <c r="C303" s="16" t="s">
        <v>2</v>
      </c>
      <c r="D303" s="16">
        <v>4</v>
      </c>
      <c r="E303" s="16" t="s">
        <v>1427</v>
      </c>
      <c r="F303" s="16" t="s">
        <v>12674</v>
      </c>
      <c r="G303" s="179" t="s">
        <v>11034</v>
      </c>
      <c r="H303" s="254">
        <v>7358</v>
      </c>
      <c r="I303" s="180">
        <v>18.5</v>
      </c>
      <c r="J303" s="102">
        <v>241165818</v>
      </c>
      <c r="K303" s="102">
        <f>IFERROR(Table21[[#This Row],[ROUTE COST]]/Table21[[#This Row],[O - DEMAND]],0)</f>
        <v>81806.586838534597</v>
      </c>
      <c r="L303" s="26">
        <v>2948</v>
      </c>
      <c r="M303" s="26">
        <f>IFERROR(VLOOKUP(Table21[[#This Row],[ROUTE]],DEMAND!A:F,5,FALSE),0)</f>
        <v>3095</v>
      </c>
      <c r="N303" s="26">
        <f>IFERROR(VLOOKUP(Table21[[#This Row],[ROUTE]],DEMAND!A:F,6,FALSE),0)</f>
        <v>455</v>
      </c>
      <c r="O303" s="26">
        <f>ROUNDDOWN(Table21[[#This Row],[R-DEMAND]]/1320,0)</f>
        <v>0</v>
      </c>
      <c r="P303" s="26">
        <f>Table21[[#This Row],[ADD ACC]]*Table21[[#This Row],[Duration
(747-400)]]</f>
        <v>0</v>
      </c>
      <c r="Q303" s="284">
        <f>IFERROR(VLOOKUP(Table21[[#This Row],[ROUTE]],PRICING!A:B,2,FALSE),0)</f>
        <v>2040</v>
      </c>
      <c r="R303" s="282">
        <f>Table21[[#This Row],[C_DEMAND]]-Table21[[#This Row],[R-DEMAND]]</f>
        <v>2640</v>
      </c>
      <c r="S303" s="287">
        <f>Table21[[#This Row],[SEATS SOLD]]*Table21[[#This Row],[ECO SEAT]]</f>
        <v>5385600</v>
      </c>
    </row>
    <row r="304" spans="1:19" x14ac:dyDescent="0.25">
      <c r="A304" s="16" t="s">
        <v>16384</v>
      </c>
      <c r="B304" s="16" t="s">
        <v>5025</v>
      </c>
      <c r="C304" s="16" t="s">
        <v>2</v>
      </c>
      <c r="D304" s="16">
        <v>3</v>
      </c>
      <c r="E304" s="16" t="s">
        <v>1117</v>
      </c>
      <c r="F304" s="16" t="s">
        <v>12674</v>
      </c>
      <c r="G304" s="179" t="s">
        <v>11801</v>
      </c>
      <c r="H304" s="254">
        <v>7638</v>
      </c>
      <c r="I304" s="180">
        <v>19</v>
      </c>
      <c r="J304" s="102">
        <v>221994056</v>
      </c>
      <c r="K304" s="102">
        <f>IFERROR(Table21[[#This Row],[ROUTE COST]]/Table21[[#This Row],[O - DEMAND]],0)</f>
        <v>75559.583390061263</v>
      </c>
      <c r="L304" s="26">
        <v>2938</v>
      </c>
      <c r="M304" s="26">
        <f>IFERROR(VLOOKUP(Table21[[#This Row],[ROUTE]],DEMAND!A:F,5,FALSE),0)</f>
        <v>3094</v>
      </c>
      <c r="N304" s="26">
        <f>IFERROR(VLOOKUP(Table21[[#This Row],[ROUTE]],DEMAND!A:F,6,FALSE),0)</f>
        <v>454</v>
      </c>
      <c r="O304" s="26">
        <f>ROUNDDOWN(Table21[[#This Row],[R-DEMAND]]/1320,0)</f>
        <v>0</v>
      </c>
      <c r="P304" s="26">
        <f>Table21[[#This Row],[ADD ACC]]*Table21[[#This Row],[Duration
(747-400)]]</f>
        <v>0</v>
      </c>
      <c r="Q304" s="284">
        <f>IFERROR(VLOOKUP(Table21[[#This Row],[ROUTE]],PRICING!A:B,2,FALSE),0)</f>
        <v>2089</v>
      </c>
      <c r="R304" s="282">
        <f>Table21[[#This Row],[C_DEMAND]]-Table21[[#This Row],[R-DEMAND]]</f>
        <v>2640</v>
      </c>
      <c r="S304" s="287">
        <f>Table21[[#This Row],[SEATS SOLD]]*Table21[[#This Row],[ECO SEAT]]</f>
        <v>5514960</v>
      </c>
    </row>
    <row r="305" spans="1:19" x14ac:dyDescent="0.25">
      <c r="A305" s="16" t="s">
        <v>16408</v>
      </c>
      <c r="B305" s="16" t="s">
        <v>5031</v>
      </c>
      <c r="C305" s="16" t="s">
        <v>2</v>
      </c>
      <c r="D305" s="16">
        <v>3</v>
      </c>
      <c r="E305" s="16" t="s">
        <v>659</v>
      </c>
      <c r="F305" s="16" t="s">
        <v>12674</v>
      </c>
      <c r="G305" s="179" t="s">
        <v>11804</v>
      </c>
      <c r="H305" s="254">
        <v>7411</v>
      </c>
      <c r="I305" s="180">
        <v>18.5</v>
      </c>
      <c r="J305" s="102">
        <v>219975346</v>
      </c>
      <c r="K305" s="102">
        <f>IFERROR(Table21[[#This Row],[ROUTE COST]]/Table21[[#This Row],[O - DEMAND]],0)</f>
        <v>75879.733011383229</v>
      </c>
      <c r="L305" s="26">
        <v>2899</v>
      </c>
      <c r="M305" s="26">
        <f>IFERROR(VLOOKUP(Table21[[#This Row],[ROUTE]],DEMAND!A:F,5,FALSE),0)</f>
        <v>3093</v>
      </c>
      <c r="N305" s="26">
        <f>IFERROR(VLOOKUP(Table21[[#This Row],[ROUTE]],DEMAND!A:F,6,FALSE),0)</f>
        <v>453</v>
      </c>
      <c r="O305" s="26">
        <f>ROUNDDOWN(Table21[[#This Row],[R-DEMAND]]/1320,0)</f>
        <v>0</v>
      </c>
      <c r="P305" s="26">
        <f>Table21[[#This Row],[ADD ACC]]*Table21[[#This Row],[Duration
(747-400)]]</f>
        <v>0</v>
      </c>
      <c r="Q305" s="284">
        <f>IFERROR(VLOOKUP(Table21[[#This Row],[ROUTE]],PRICING!A:B,2,FALSE),0)</f>
        <v>1933</v>
      </c>
      <c r="R305" s="282">
        <f>Table21[[#This Row],[C_DEMAND]]-Table21[[#This Row],[R-DEMAND]]</f>
        <v>2640</v>
      </c>
      <c r="S305" s="287">
        <f>Table21[[#This Row],[SEATS SOLD]]*Table21[[#This Row],[ECO SEAT]]</f>
        <v>5103120</v>
      </c>
    </row>
    <row r="306" spans="1:19" x14ac:dyDescent="0.25">
      <c r="A306" s="16" t="s">
        <v>16010</v>
      </c>
      <c r="B306" s="16" t="s">
        <v>5647</v>
      </c>
      <c r="C306" s="16" t="s">
        <v>2</v>
      </c>
      <c r="D306" s="16">
        <v>4</v>
      </c>
      <c r="E306" s="16" t="s">
        <v>11732</v>
      </c>
      <c r="F306" s="16" t="s">
        <v>15969</v>
      </c>
      <c r="G306" s="179" t="s">
        <v>13366</v>
      </c>
      <c r="H306" s="254">
        <v>12197</v>
      </c>
      <c r="I306" s="180">
        <v>29.25</v>
      </c>
      <c r="J306" s="102">
        <v>292779888</v>
      </c>
      <c r="K306" s="102">
        <f>IFERROR(Table21[[#This Row],[ROUTE COST]]/Table21[[#This Row],[O - DEMAND]],0)</f>
        <v>100370.20500514227</v>
      </c>
      <c r="L306" s="26">
        <v>2917</v>
      </c>
      <c r="M306" s="26">
        <f>IFERROR(VLOOKUP(Table21[[#This Row],[ROUTE]],DEMAND!A:F,5,FALSE),0)</f>
        <v>3092</v>
      </c>
      <c r="N306" s="26">
        <f>IFERROR(VLOOKUP(Table21[[#This Row],[ROUTE]],DEMAND!A:F,6,FALSE),0)</f>
        <v>452</v>
      </c>
      <c r="O306" s="26">
        <f>ROUNDDOWN(Table21[[#This Row],[R-DEMAND]]/1320,0)</f>
        <v>0</v>
      </c>
      <c r="P306" s="26">
        <f>Table21[[#This Row],[ADD ACC]]*Table21[[#This Row],[Duration
(747-400)]]</f>
        <v>0</v>
      </c>
      <c r="Q306" s="284">
        <f>IFERROR(VLOOKUP(Table21[[#This Row],[ROUTE]],PRICING!A:B,2,FALSE),0)</f>
        <v>3198</v>
      </c>
      <c r="R306" s="282">
        <f>Table21[[#This Row],[C_DEMAND]]-Table21[[#This Row],[R-DEMAND]]</f>
        <v>2640</v>
      </c>
      <c r="S306" s="287">
        <f>Table21[[#This Row],[SEATS SOLD]]*Table21[[#This Row],[ECO SEAT]]</f>
        <v>8442720</v>
      </c>
    </row>
    <row r="307" spans="1:19" x14ac:dyDescent="0.25">
      <c r="A307" s="16" t="s">
        <v>16611</v>
      </c>
      <c r="B307" s="16" t="s">
        <v>213</v>
      </c>
      <c r="C307" s="16" t="s">
        <v>2</v>
      </c>
      <c r="D307" s="16">
        <v>2</v>
      </c>
      <c r="E307" s="16" t="s">
        <v>709</v>
      </c>
      <c r="F307" s="16" t="s">
        <v>12670</v>
      </c>
      <c r="G307" s="179" t="s">
        <v>12113</v>
      </c>
      <c r="H307" s="254">
        <v>4255</v>
      </c>
      <c r="I307" s="180">
        <v>11.5</v>
      </c>
      <c r="J307" s="102">
        <v>173702405</v>
      </c>
      <c r="K307" s="102">
        <f>IFERROR(Table21[[#This Row],[ROUTE COST]]/Table21[[#This Row],[O - DEMAND]],0)</f>
        <v>58683.244932432433</v>
      </c>
      <c r="L307" s="26">
        <v>2960</v>
      </c>
      <c r="M307" s="26">
        <f>IFERROR(VLOOKUP(Table21[[#This Row],[ROUTE]],DEMAND!A:F,5,FALSE),0)</f>
        <v>3089</v>
      </c>
      <c r="N307" s="26">
        <f>IFERROR(VLOOKUP(Table21[[#This Row],[ROUTE]],DEMAND!A:F,6,FALSE),0)</f>
        <v>449</v>
      </c>
      <c r="O307" s="26">
        <f>ROUNDDOWN(Table21[[#This Row],[R-DEMAND]]/1320,0)</f>
        <v>0</v>
      </c>
      <c r="P307" s="26">
        <f>Table21[[#This Row],[ADD ACC]]*Table21[[#This Row],[Duration
(747-400)]]</f>
        <v>0</v>
      </c>
      <c r="Q307" s="284">
        <f>IFERROR(VLOOKUP(Table21[[#This Row],[ROUTE]],PRICING!A:B,2,FALSE),0)</f>
        <v>1251</v>
      </c>
      <c r="R307" s="282">
        <f>Table21[[#This Row],[C_DEMAND]]-Table21[[#This Row],[R-DEMAND]]</f>
        <v>2640</v>
      </c>
      <c r="S307" s="287">
        <f>Table21[[#This Row],[SEATS SOLD]]*Table21[[#This Row],[ECO SEAT]]</f>
        <v>3302640</v>
      </c>
    </row>
    <row r="308" spans="1:19" x14ac:dyDescent="0.25">
      <c r="A308" s="16" t="s">
        <v>16656</v>
      </c>
      <c r="B308" s="16" t="s">
        <v>415</v>
      </c>
      <c r="C308" s="16" t="s">
        <v>2</v>
      </c>
      <c r="D308" s="16">
        <v>5</v>
      </c>
      <c r="E308" s="16" t="s">
        <v>332</v>
      </c>
      <c r="F308" s="16" t="s">
        <v>12670</v>
      </c>
      <c r="G308" s="179" t="s">
        <v>11105</v>
      </c>
      <c r="H308" s="254">
        <v>3317</v>
      </c>
      <c r="I308" s="180">
        <v>9.5</v>
      </c>
      <c r="J308" s="102">
        <v>218379021</v>
      </c>
      <c r="K308" s="102">
        <f>IFERROR(Table21[[#This Row],[ROUTE COST]]/Table21[[#This Row],[O - DEMAND]],0)</f>
        <v>40298.767484775788</v>
      </c>
      <c r="L308" s="26">
        <v>5419</v>
      </c>
      <c r="M308" s="26">
        <f>IFERROR(VLOOKUP(Table21[[#This Row],[ROUTE]],DEMAND!A:F,5,FALSE),0)</f>
        <v>5728</v>
      </c>
      <c r="N308" s="26">
        <f>IFERROR(VLOOKUP(Table21[[#This Row],[ROUTE]],DEMAND!A:F,6,FALSE),0)</f>
        <v>448</v>
      </c>
      <c r="O308" s="26">
        <f>ROUNDDOWN(Table21[[#This Row],[R-DEMAND]]/1320,0)</f>
        <v>0</v>
      </c>
      <c r="P308" s="26">
        <f>Table21[[#This Row],[ADD ACC]]*Table21[[#This Row],[Duration
(747-400)]]</f>
        <v>0</v>
      </c>
      <c r="Q308" s="284">
        <f>IFERROR(VLOOKUP(Table21[[#This Row],[ROUTE]],PRICING!A:B,2,FALSE),0)</f>
        <v>952</v>
      </c>
      <c r="R308" s="282">
        <f>Table21[[#This Row],[C_DEMAND]]-Table21[[#This Row],[R-DEMAND]]</f>
        <v>5280</v>
      </c>
      <c r="S308" s="287">
        <f>Table21[[#This Row],[SEATS SOLD]]*Table21[[#This Row],[ECO SEAT]]</f>
        <v>5026560</v>
      </c>
    </row>
    <row r="309" spans="1:19" x14ac:dyDescent="0.25">
      <c r="A309" s="16" t="s">
        <v>16502</v>
      </c>
      <c r="B309" s="16" t="s">
        <v>5255</v>
      </c>
      <c r="C309" s="16" t="s">
        <v>2</v>
      </c>
      <c r="D309" s="16">
        <v>3</v>
      </c>
      <c r="E309" s="16" t="s">
        <v>496</v>
      </c>
      <c r="F309" s="16" t="s">
        <v>12674</v>
      </c>
      <c r="G309" s="179" t="s">
        <v>11819</v>
      </c>
      <c r="H309" s="254">
        <v>6521</v>
      </c>
      <c r="I309" s="180">
        <v>16.5</v>
      </c>
      <c r="J309" s="102">
        <v>215741386</v>
      </c>
      <c r="K309" s="102">
        <f>IFERROR(Table21[[#This Row],[ROUTE COST]]/Table21[[#This Row],[O - DEMAND]],0)</f>
        <v>73356.472628357704</v>
      </c>
      <c r="L309" s="26">
        <v>2941</v>
      </c>
      <c r="M309" s="26">
        <f>IFERROR(VLOOKUP(Table21[[#This Row],[ROUTE]],DEMAND!A:F,5,FALSE),0)</f>
        <v>3088</v>
      </c>
      <c r="N309" s="26">
        <f>IFERROR(VLOOKUP(Table21[[#This Row],[ROUTE]],DEMAND!A:F,6,FALSE),0)</f>
        <v>448</v>
      </c>
      <c r="O309" s="26">
        <f>ROUNDDOWN(Table21[[#This Row],[R-DEMAND]]/1320,0)</f>
        <v>0</v>
      </c>
      <c r="P309" s="26">
        <f>Table21[[#This Row],[ADD ACC]]*Table21[[#This Row],[Duration
(747-400)]]</f>
        <v>0</v>
      </c>
      <c r="Q309" s="284">
        <f>IFERROR(VLOOKUP(Table21[[#This Row],[ROUTE]],PRICING!A:B,2,FALSE),0)</f>
        <v>1819</v>
      </c>
      <c r="R309" s="282">
        <f>Table21[[#This Row],[C_DEMAND]]-Table21[[#This Row],[R-DEMAND]]</f>
        <v>2640</v>
      </c>
      <c r="S309" s="287">
        <f>Table21[[#This Row],[SEATS SOLD]]*Table21[[#This Row],[ECO SEAT]]</f>
        <v>4802160</v>
      </c>
    </row>
    <row r="310" spans="1:19" x14ac:dyDescent="0.25">
      <c r="A310" s="16" t="s">
        <v>16291</v>
      </c>
      <c r="B310" s="16" t="s">
        <v>4032</v>
      </c>
      <c r="C310" s="16" t="s">
        <v>2</v>
      </c>
      <c r="D310" s="16">
        <v>2</v>
      </c>
      <c r="E310" s="16" t="s">
        <v>523</v>
      </c>
      <c r="F310" s="16" t="s">
        <v>12682</v>
      </c>
      <c r="G310" s="179" t="s">
        <v>11972</v>
      </c>
      <c r="H310" s="254">
        <v>8609</v>
      </c>
      <c r="I310" s="180">
        <v>21.25</v>
      </c>
      <c r="J310" s="102">
        <v>220283063</v>
      </c>
      <c r="K310" s="102">
        <f>IFERROR(Table21[[#This Row],[ROUTE COST]]/Table21[[#This Row],[O - DEMAND]],0)</f>
        <v>74951.705682204833</v>
      </c>
      <c r="L310" s="26">
        <v>2939</v>
      </c>
      <c r="M310" s="26">
        <f>IFERROR(VLOOKUP(Table21[[#This Row],[ROUTE]],DEMAND!A:F,5,FALSE),0)</f>
        <v>3087</v>
      </c>
      <c r="N310" s="26">
        <f>IFERROR(VLOOKUP(Table21[[#This Row],[ROUTE]],DEMAND!A:F,6,FALSE),0)</f>
        <v>447</v>
      </c>
      <c r="O310" s="26">
        <f>ROUNDDOWN(Table21[[#This Row],[R-DEMAND]]/1320,0)</f>
        <v>0</v>
      </c>
      <c r="P310" s="26">
        <f>Table21[[#This Row],[ADD ACC]]*Table21[[#This Row],[Duration
(747-400)]]</f>
        <v>0</v>
      </c>
      <c r="Q310" s="284">
        <f>IFERROR(VLOOKUP(Table21[[#This Row],[ROUTE]],PRICING!A:B,2,FALSE),0)</f>
        <v>2369</v>
      </c>
      <c r="R310" s="282">
        <f>Table21[[#This Row],[C_DEMAND]]-Table21[[#This Row],[R-DEMAND]]</f>
        <v>2640</v>
      </c>
      <c r="S310" s="287">
        <f>Table21[[#This Row],[SEATS SOLD]]*Table21[[#This Row],[ECO SEAT]]</f>
        <v>6254160</v>
      </c>
    </row>
    <row r="311" spans="1:19" x14ac:dyDescent="0.25">
      <c r="A311" s="16" t="s">
        <v>16677</v>
      </c>
      <c r="B311" s="16" t="s">
        <v>3996</v>
      </c>
      <c r="C311" s="16" t="s">
        <v>2</v>
      </c>
      <c r="D311" s="16">
        <v>2</v>
      </c>
      <c r="E311" s="16" t="s">
        <v>974</v>
      </c>
      <c r="F311" s="16" t="s">
        <v>12670</v>
      </c>
      <c r="G311" s="179" t="s">
        <v>12092</v>
      </c>
      <c r="H311" s="254">
        <v>2801</v>
      </c>
      <c r="I311" s="180">
        <v>8.25</v>
      </c>
      <c r="J311" s="102">
        <v>163428762</v>
      </c>
      <c r="K311" s="102">
        <f>IFERROR(Table21[[#This Row],[ROUTE COST]]/Table21[[#This Row],[O - DEMAND]],0)</f>
        <v>39200.950347805228</v>
      </c>
      <c r="L311" s="26">
        <v>4169</v>
      </c>
      <c r="M311" s="26">
        <f>IFERROR(VLOOKUP(Table21[[#This Row],[ROUTE]],DEMAND!A:F,5,FALSE),0)</f>
        <v>4405</v>
      </c>
      <c r="N311" s="26">
        <f>IFERROR(VLOOKUP(Table21[[#This Row],[ROUTE]],DEMAND!A:F,6,FALSE),0)</f>
        <v>445</v>
      </c>
      <c r="O311" s="26">
        <f>ROUNDDOWN(Table21[[#This Row],[R-DEMAND]]/1320,0)</f>
        <v>0</v>
      </c>
      <c r="P311" s="26">
        <f>Table21[[#This Row],[ADD ACC]]*Table21[[#This Row],[Duration
(747-400)]]</f>
        <v>0</v>
      </c>
      <c r="Q311" s="284">
        <f>IFERROR(VLOOKUP(Table21[[#This Row],[ROUTE]],PRICING!A:B,2,FALSE),0)</f>
        <v>820</v>
      </c>
      <c r="R311" s="282">
        <f>Table21[[#This Row],[C_DEMAND]]-Table21[[#This Row],[R-DEMAND]]</f>
        <v>3960</v>
      </c>
      <c r="S311" s="287">
        <f>Table21[[#This Row],[SEATS SOLD]]*Table21[[#This Row],[ECO SEAT]]</f>
        <v>3247200</v>
      </c>
    </row>
    <row r="312" spans="1:19" x14ac:dyDescent="0.25">
      <c r="A312" s="16" t="s">
        <v>16520</v>
      </c>
      <c r="B312" s="16" t="s">
        <v>282</v>
      </c>
      <c r="C312" s="16" t="s">
        <v>2</v>
      </c>
      <c r="D312" s="16">
        <v>4</v>
      </c>
      <c r="E312" s="16" t="s">
        <v>807</v>
      </c>
      <c r="F312" s="16" t="s">
        <v>12674</v>
      </c>
      <c r="G312" s="179" t="s">
        <v>11082</v>
      </c>
      <c r="H312" s="254">
        <v>6309</v>
      </c>
      <c r="I312" s="180">
        <v>16</v>
      </c>
      <c r="J312" s="102">
        <v>229378464</v>
      </c>
      <c r="K312" s="102">
        <f>IFERROR(Table21[[#This Row],[ROUTE COST]]/Table21[[#This Row],[O - DEMAND]],0)</f>
        <v>77309.896865520728</v>
      </c>
      <c r="L312" s="26">
        <v>2967</v>
      </c>
      <c r="M312" s="26">
        <f>IFERROR(VLOOKUP(Table21[[#This Row],[ROUTE]],DEMAND!A:F,5,FALSE),0)</f>
        <v>3076</v>
      </c>
      <c r="N312" s="26">
        <f>IFERROR(VLOOKUP(Table21[[#This Row],[ROUTE]],DEMAND!A:F,6,FALSE),0)</f>
        <v>436</v>
      </c>
      <c r="O312" s="26">
        <f>ROUNDDOWN(Table21[[#This Row],[R-DEMAND]]/1320,0)</f>
        <v>0</v>
      </c>
      <c r="P312" s="26">
        <f>Table21[[#This Row],[ADD ACC]]*Table21[[#This Row],[Duration
(747-400)]]</f>
        <v>0</v>
      </c>
      <c r="Q312" s="284">
        <f>IFERROR(VLOOKUP(Table21[[#This Row],[ROUTE]],PRICING!A:B,2,FALSE),0)</f>
        <v>1846</v>
      </c>
      <c r="R312" s="282">
        <f>Table21[[#This Row],[C_DEMAND]]-Table21[[#This Row],[R-DEMAND]]</f>
        <v>2640</v>
      </c>
      <c r="S312" s="287">
        <f>Table21[[#This Row],[SEATS SOLD]]*Table21[[#This Row],[ECO SEAT]]</f>
        <v>4873440</v>
      </c>
    </row>
    <row r="313" spans="1:19" x14ac:dyDescent="0.25">
      <c r="A313" s="16" t="s">
        <v>16210</v>
      </c>
      <c r="B313" s="16" t="s">
        <v>5619</v>
      </c>
      <c r="C313" s="16" t="s">
        <v>2</v>
      </c>
      <c r="D313" s="16">
        <v>4</v>
      </c>
      <c r="E313" s="16" t="s">
        <v>119</v>
      </c>
      <c r="F313" s="16" t="s">
        <v>12674</v>
      </c>
      <c r="G313" s="179" t="s">
        <v>11117</v>
      </c>
      <c r="H313" s="254">
        <v>9578</v>
      </c>
      <c r="I313" s="180">
        <v>23.25</v>
      </c>
      <c r="J313" s="102">
        <v>261908721</v>
      </c>
      <c r="K313" s="102">
        <f>IFERROR(Table21[[#This Row],[ROUTE COST]]/Table21[[#This Row],[O - DEMAND]],0)</f>
        <v>90157.907401032702</v>
      </c>
      <c r="L313" s="26">
        <v>2905</v>
      </c>
      <c r="M313" s="26">
        <f>IFERROR(VLOOKUP(Table21[[#This Row],[ROUTE]],DEMAND!A:F,5,FALSE),0)</f>
        <v>3070</v>
      </c>
      <c r="N313" s="26">
        <f>IFERROR(VLOOKUP(Table21[[#This Row],[ROUTE]],DEMAND!A:F,6,FALSE),0)</f>
        <v>430</v>
      </c>
      <c r="O313" s="26">
        <f>ROUNDDOWN(Table21[[#This Row],[R-DEMAND]]/1320,0)</f>
        <v>0</v>
      </c>
      <c r="P313" s="26">
        <f>Table21[[#This Row],[ADD ACC]]*Table21[[#This Row],[Duration
(747-400)]]</f>
        <v>0</v>
      </c>
      <c r="Q313" s="284">
        <f>IFERROR(VLOOKUP(Table21[[#This Row],[ROUTE]],PRICING!A:B,2,FALSE),0)</f>
        <v>2563</v>
      </c>
      <c r="R313" s="282">
        <f>Table21[[#This Row],[C_DEMAND]]-Table21[[#This Row],[R-DEMAND]]</f>
        <v>2640</v>
      </c>
      <c r="S313" s="287">
        <f>Table21[[#This Row],[SEATS SOLD]]*Table21[[#This Row],[ECO SEAT]]</f>
        <v>6766320</v>
      </c>
    </row>
    <row r="314" spans="1:19" x14ac:dyDescent="0.25">
      <c r="A314" s="16" t="s">
        <v>16162</v>
      </c>
      <c r="B314" s="16" t="s">
        <v>5651</v>
      </c>
      <c r="C314" s="16" t="s">
        <v>2</v>
      </c>
      <c r="D314" s="16">
        <v>4</v>
      </c>
      <c r="E314" s="16" t="s">
        <v>11732</v>
      </c>
      <c r="F314" s="16" t="s">
        <v>15969</v>
      </c>
      <c r="G314" s="179" t="s">
        <v>13276</v>
      </c>
      <c r="H314" s="254">
        <v>10215</v>
      </c>
      <c r="I314" s="180">
        <v>24.75</v>
      </c>
      <c r="J314" s="102">
        <v>273078974</v>
      </c>
      <c r="K314" s="102">
        <f>IFERROR(Table21[[#This Row],[ROUTE COST]]/Table21[[#This Row],[O - DEMAND]],0)</f>
        <v>93424.212795073559</v>
      </c>
      <c r="L314" s="26">
        <v>2923</v>
      </c>
      <c r="M314" s="26">
        <f>IFERROR(VLOOKUP(Table21[[#This Row],[ROUTE]],DEMAND!A:F,5,FALSE),0)</f>
        <v>3070</v>
      </c>
      <c r="N314" s="26">
        <f>IFERROR(VLOOKUP(Table21[[#This Row],[ROUTE]],DEMAND!A:F,6,FALSE),0)</f>
        <v>430</v>
      </c>
      <c r="O314" s="26">
        <f>ROUNDDOWN(Table21[[#This Row],[R-DEMAND]]/1320,0)</f>
        <v>0</v>
      </c>
      <c r="P314" s="26">
        <f>Table21[[#This Row],[ADD ACC]]*Table21[[#This Row],[Duration
(747-400)]]</f>
        <v>0</v>
      </c>
      <c r="Q314" s="284">
        <f>IFERROR(VLOOKUP(Table21[[#This Row],[ROUTE]],PRICING!A:B,2,FALSE),0)</f>
        <v>2793</v>
      </c>
      <c r="R314" s="282">
        <f>Table21[[#This Row],[C_DEMAND]]-Table21[[#This Row],[R-DEMAND]]</f>
        <v>2640</v>
      </c>
      <c r="S314" s="287">
        <f>Table21[[#This Row],[SEATS SOLD]]*Table21[[#This Row],[ECO SEAT]]</f>
        <v>7373520</v>
      </c>
    </row>
    <row r="315" spans="1:19" x14ac:dyDescent="0.25">
      <c r="A315" s="16" t="s">
        <v>16554</v>
      </c>
      <c r="B315" s="16" t="s">
        <v>5369</v>
      </c>
      <c r="C315" s="16" t="s">
        <v>2</v>
      </c>
      <c r="D315" s="16">
        <v>3</v>
      </c>
      <c r="E315" s="16" t="s">
        <v>1847</v>
      </c>
      <c r="F315" s="16" t="s">
        <v>12670</v>
      </c>
      <c r="G315" s="179" t="s">
        <v>11977</v>
      </c>
      <c r="H315" s="254">
        <v>5829</v>
      </c>
      <c r="I315" s="180">
        <v>15</v>
      </c>
      <c r="J315" s="102">
        <v>213175528</v>
      </c>
      <c r="K315" s="102">
        <f>IFERROR(Table21[[#This Row],[ROUTE COST]]/Table21[[#This Row],[O - DEMAND]],0)</f>
        <v>72067.45368492225</v>
      </c>
      <c r="L315" s="26">
        <v>2958</v>
      </c>
      <c r="M315" s="26">
        <f>IFERROR(VLOOKUP(Table21[[#This Row],[ROUTE]],DEMAND!A:F,5,FALSE),0)</f>
        <v>3067</v>
      </c>
      <c r="N315" s="26">
        <f>IFERROR(VLOOKUP(Table21[[#This Row],[ROUTE]],DEMAND!A:F,6,FALSE),0)</f>
        <v>427</v>
      </c>
      <c r="O315" s="26">
        <f>ROUNDDOWN(Table21[[#This Row],[R-DEMAND]]/1320,0)</f>
        <v>0</v>
      </c>
      <c r="P315" s="26">
        <f>Table21[[#This Row],[ADD ACC]]*Table21[[#This Row],[Duration
(747-400)]]</f>
        <v>0</v>
      </c>
      <c r="Q315" s="284">
        <f>IFERROR(VLOOKUP(Table21[[#This Row],[ROUTE]],PRICING!A:B,2,FALSE),0)</f>
        <v>1714</v>
      </c>
      <c r="R315" s="282">
        <f>Table21[[#This Row],[C_DEMAND]]-Table21[[#This Row],[R-DEMAND]]</f>
        <v>2640</v>
      </c>
      <c r="S315" s="287">
        <f>Table21[[#This Row],[SEATS SOLD]]*Table21[[#This Row],[ECO SEAT]]</f>
        <v>4524960</v>
      </c>
    </row>
    <row r="316" spans="1:19" x14ac:dyDescent="0.25">
      <c r="A316" s="16" t="s">
        <v>16443</v>
      </c>
      <c r="B316" s="16" t="s">
        <v>5061</v>
      </c>
      <c r="C316" s="16" t="s">
        <v>2</v>
      </c>
      <c r="D316" s="16">
        <v>3</v>
      </c>
      <c r="E316" s="16" t="s">
        <v>758</v>
      </c>
      <c r="F316" s="16" t="s">
        <v>12674</v>
      </c>
      <c r="G316" s="179" t="s">
        <v>11808</v>
      </c>
      <c r="H316" s="254">
        <v>7156</v>
      </c>
      <c r="I316" s="180">
        <v>18</v>
      </c>
      <c r="J316" s="102">
        <v>218257985</v>
      </c>
      <c r="K316" s="102">
        <f>IFERROR(Table21[[#This Row],[ROUTE COST]]/Table21[[#This Row],[O - DEMAND]],0)</f>
        <v>75942.235560194851</v>
      </c>
      <c r="L316" s="26">
        <v>2874</v>
      </c>
      <c r="M316" s="26">
        <f>IFERROR(VLOOKUP(Table21[[#This Row],[ROUTE]],DEMAND!A:F,5,FALSE),0)</f>
        <v>3066</v>
      </c>
      <c r="N316" s="26">
        <f>IFERROR(VLOOKUP(Table21[[#This Row],[ROUTE]],DEMAND!A:F,6,FALSE),0)</f>
        <v>426</v>
      </c>
      <c r="O316" s="26">
        <f>ROUNDDOWN(Table21[[#This Row],[R-DEMAND]]/1320,0)</f>
        <v>0</v>
      </c>
      <c r="P316" s="26">
        <f>Table21[[#This Row],[ADD ACC]]*Table21[[#This Row],[Duration
(747-400)]]</f>
        <v>0</v>
      </c>
      <c r="Q316" s="284">
        <f>IFERROR(VLOOKUP(Table21[[#This Row],[ROUTE]],PRICING!A:B,2,FALSE),0)</f>
        <v>1870</v>
      </c>
      <c r="R316" s="282">
        <f>Table21[[#This Row],[C_DEMAND]]-Table21[[#This Row],[R-DEMAND]]</f>
        <v>2640</v>
      </c>
      <c r="S316" s="287">
        <f>Table21[[#This Row],[SEATS SOLD]]*Table21[[#This Row],[ECO SEAT]]</f>
        <v>4936800</v>
      </c>
    </row>
    <row r="317" spans="1:19" x14ac:dyDescent="0.25">
      <c r="A317" s="16" t="s">
        <v>16576</v>
      </c>
      <c r="B317" s="16" t="s">
        <v>355</v>
      </c>
      <c r="C317" s="16" t="s">
        <v>2</v>
      </c>
      <c r="D317" s="16">
        <v>3</v>
      </c>
      <c r="E317" s="16" t="s">
        <v>1070</v>
      </c>
      <c r="F317" s="16" t="s">
        <v>12670</v>
      </c>
      <c r="G317" s="179" t="s">
        <v>12069</v>
      </c>
      <c r="H317" s="254">
        <v>5167</v>
      </c>
      <c r="I317" s="180">
        <v>13.5</v>
      </c>
      <c r="J317" s="102">
        <v>204883598</v>
      </c>
      <c r="K317" s="102">
        <f>IFERROR(Table21[[#This Row],[ROUTE COST]]/Table21[[#This Row],[O - DEMAND]],0)</f>
        <v>48933.269166467639</v>
      </c>
      <c r="L317" s="26">
        <v>4187</v>
      </c>
      <c r="M317" s="26">
        <f>IFERROR(VLOOKUP(Table21[[#This Row],[ROUTE]],DEMAND!A:F,5,FALSE),0)</f>
        <v>4383</v>
      </c>
      <c r="N317" s="26">
        <f>IFERROR(VLOOKUP(Table21[[#This Row],[ROUTE]],DEMAND!A:F,6,FALSE),0)</f>
        <v>423</v>
      </c>
      <c r="O317" s="26">
        <f>ROUNDDOWN(Table21[[#This Row],[R-DEMAND]]/1320,0)</f>
        <v>0</v>
      </c>
      <c r="P317" s="26">
        <f>Table21[[#This Row],[ADD ACC]]*Table21[[#This Row],[Duration
(747-400)]]</f>
        <v>0</v>
      </c>
      <c r="Q317" s="284">
        <f>IFERROR(VLOOKUP(Table21[[#This Row],[ROUTE]],PRICING!A:B,2,FALSE),0)</f>
        <v>1480</v>
      </c>
      <c r="R317" s="282">
        <f>Table21[[#This Row],[C_DEMAND]]-Table21[[#This Row],[R-DEMAND]]</f>
        <v>3960</v>
      </c>
      <c r="S317" s="287">
        <f>Table21[[#This Row],[SEATS SOLD]]*Table21[[#This Row],[ECO SEAT]]</f>
        <v>5860800</v>
      </c>
    </row>
    <row r="318" spans="1:19" x14ac:dyDescent="0.25">
      <c r="A318" s="16" t="s">
        <v>16285</v>
      </c>
      <c r="B318" s="16" t="s">
        <v>3381</v>
      </c>
      <c r="C318" s="16" t="s">
        <v>2</v>
      </c>
      <c r="D318" s="16">
        <v>2</v>
      </c>
      <c r="E318" s="16" t="s">
        <v>971</v>
      </c>
      <c r="F318" s="16" t="s">
        <v>12671</v>
      </c>
      <c r="G318" s="179" t="s">
        <v>11770</v>
      </c>
      <c r="H318" s="254">
        <v>8680</v>
      </c>
      <c r="I318" s="180">
        <v>21.25</v>
      </c>
      <c r="J318" s="102">
        <v>216353089</v>
      </c>
      <c r="K318" s="102">
        <f>IFERROR(Table21[[#This Row],[ROUTE COST]]/Table21[[#This Row],[O - DEMAND]],0)</f>
        <v>74476.106368330467</v>
      </c>
      <c r="L318" s="26">
        <v>2905</v>
      </c>
      <c r="M318" s="26">
        <f>IFERROR(VLOOKUP(Table21[[#This Row],[ROUTE]],DEMAND!A:F,5,FALSE),0)</f>
        <v>3060</v>
      </c>
      <c r="N318" s="26">
        <f>IFERROR(VLOOKUP(Table21[[#This Row],[ROUTE]],DEMAND!A:F,6,FALSE),0)</f>
        <v>420</v>
      </c>
      <c r="O318" s="26">
        <f>ROUNDDOWN(Table21[[#This Row],[R-DEMAND]]/1320,0)</f>
        <v>0</v>
      </c>
      <c r="P318" s="26">
        <f>Table21[[#This Row],[ADD ACC]]*Table21[[#This Row],[Duration
(747-400)]]</f>
        <v>0</v>
      </c>
      <c r="Q318" s="284">
        <f>IFERROR(VLOOKUP(Table21[[#This Row],[ROUTE]],PRICING!A:B,2,FALSE),0)</f>
        <v>2360</v>
      </c>
      <c r="R318" s="282">
        <f>Table21[[#This Row],[C_DEMAND]]-Table21[[#This Row],[R-DEMAND]]</f>
        <v>2640</v>
      </c>
      <c r="S318" s="287">
        <f>Table21[[#This Row],[SEATS SOLD]]*Table21[[#This Row],[ECO SEAT]]</f>
        <v>6230400</v>
      </c>
    </row>
    <row r="319" spans="1:19" x14ac:dyDescent="0.25">
      <c r="A319" s="16" t="s">
        <v>16572</v>
      </c>
      <c r="B319" s="16" t="s">
        <v>81</v>
      </c>
      <c r="C319" s="16" t="s">
        <v>2</v>
      </c>
      <c r="D319" s="16">
        <v>4</v>
      </c>
      <c r="E319" s="16" t="s">
        <v>1261</v>
      </c>
      <c r="F319" s="16" t="s">
        <v>12670</v>
      </c>
      <c r="G319" s="179" t="s">
        <v>11040</v>
      </c>
      <c r="H319" s="254">
        <v>5293</v>
      </c>
      <c r="I319" s="180">
        <v>13.75</v>
      </c>
      <c r="J319" s="102">
        <v>215323744</v>
      </c>
      <c r="K319" s="102">
        <f>IFERROR(Table21[[#This Row],[ROUTE COST]]/Table21[[#This Row],[O - DEMAND]],0)</f>
        <v>52111.264278799616</v>
      </c>
      <c r="L319" s="26">
        <v>4132</v>
      </c>
      <c r="M319" s="26">
        <f>IFERROR(VLOOKUP(Table21[[#This Row],[ROUTE]],DEMAND!A:F,5,FALSE),0)</f>
        <v>4380</v>
      </c>
      <c r="N319" s="26">
        <f>IFERROR(VLOOKUP(Table21[[#This Row],[ROUTE]],DEMAND!A:F,6,FALSE),0)</f>
        <v>1740</v>
      </c>
      <c r="O319" s="26">
        <f>ROUNDDOWN(Table21[[#This Row],[R-DEMAND]]/1320,0)</f>
        <v>1</v>
      </c>
      <c r="P319" s="26">
        <f>Table21[[#This Row],[ADD ACC]]*Table21[[#This Row],[Duration
(747-400)]]</f>
        <v>13.75</v>
      </c>
      <c r="Q319" s="284">
        <f>IFERROR(VLOOKUP(Table21[[#This Row],[ROUTE]],PRICING!A:B,2,FALSE),0)</f>
        <v>1443</v>
      </c>
      <c r="R319" s="282">
        <f>Table21[[#This Row],[C_DEMAND]]-Table21[[#This Row],[R-DEMAND]]</f>
        <v>2640</v>
      </c>
      <c r="S319" s="287">
        <f>Table21[[#This Row],[SEATS SOLD]]*Table21[[#This Row],[ECO SEAT]]</f>
        <v>3809520</v>
      </c>
    </row>
    <row r="320" spans="1:19" x14ac:dyDescent="0.25">
      <c r="A320" s="16" t="s">
        <v>16688</v>
      </c>
      <c r="B320" s="16" t="s">
        <v>206</v>
      </c>
      <c r="C320" s="16" t="s">
        <v>2</v>
      </c>
      <c r="D320" s="16">
        <v>2</v>
      </c>
      <c r="E320" s="16" t="s">
        <v>717</v>
      </c>
      <c r="F320" s="16" t="s">
        <v>12670</v>
      </c>
      <c r="G320" s="179" t="s">
        <v>12081</v>
      </c>
      <c r="H320" s="254">
        <v>2465</v>
      </c>
      <c r="I320" s="180">
        <v>7.5</v>
      </c>
      <c r="J320" s="102">
        <v>153427463</v>
      </c>
      <c r="K320" s="102">
        <f>IFERROR(Table21[[#This Row],[ROUTE COST]]/Table21[[#This Row],[O - DEMAND]],0)</f>
        <v>53421.818593314762</v>
      </c>
      <c r="L320" s="26">
        <v>2872</v>
      </c>
      <c r="M320" s="26">
        <f>IFERROR(VLOOKUP(Table21[[#This Row],[ROUTE]],DEMAND!A:F,5,FALSE),0)</f>
        <v>3045</v>
      </c>
      <c r="N320" s="26">
        <f>IFERROR(VLOOKUP(Table21[[#This Row],[ROUTE]],DEMAND!A:F,6,FALSE),0)</f>
        <v>405</v>
      </c>
      <c r="O320" s="26">
        <f>ROUNDDOWN(Table21[[#This Row],[R-DEMAND]]/1320,0)</f>
        <v>0</v>
      </c>
      <c r="P320" s="26">
        <f>Table21[[#This Row],[ADD ACC]]*Table21[[#This Row],[Duration
(747-400)]]</f>
        <v>0</v>
      </c>
      <c r="Q320" s="284">
        <f>IFERROR(VLOOKUP(Table21[[#This Row],[ROUTE]],PRICING!A:B,2,FALSE),0)</f>
        <v>724</v>
      </c>
      <c r="R320" s="282">
        <f>Table21[[#This Row],[C_DEMAND]]-Table21[[#This Row],[R-DEMAND]]</f>
        <v>2640</v>
      </c>
      <c r="S320" s="287">
        <f>Table21[[#This Row],[SEATS SOLD]]*Table21[[#This Row],[ECO SEAT]]</f>
        <v>1911360</v>
      </c>
    </row>
    <row r="321" spans="1:19" x14ac:dyDescent="0.25">
      <c r="A321" s="16" t="s">
        <v>16029</v>
      </c>
      <c r="B321" s="16" t="s">
        <v>3972</v>
      </c>
      <c r="C321" s="16" t="s">
        <v>2</v>
      </c>
      <c r="D321" s="16">
        <v>2</v>
      </c>
      <c r="E321" s="16" t="s">
        <v>1749</v>
      </c>
      <c r="F321" s="16" t="s">
        <v>12688</v>
      </c>
      <c r="G321" s="179" t="s">
        <v>13217</v>
      </c>
      <c r="H321" s="254">
        <v>11919</v>
      </c>
      <c r="I321" s="180">
        <v>28.5</v>
      </c>
      <c r="J321" s="102">
        <v>252997925</v>
      </c>
      <c r="K321" s="102">
        <f>IFERROR(Table21[[#This Row],[ROUTE COST]]/Table21[[#This Row],[O - DEMAND]],0)</f>
        <v>86259.09478349812</v>
      </c>
      <c r="L321" s="26">
        <v>2933</v>
      </c>
      <c r="M321" s="26">
        <f>IFERROR(VLOOKUP(Table21[[#This Row],[ROUTE]],DEMAND!A:F,5,FALSE),0)</f>
        <v>3041</v>
      </c>
      <c r="N321" s="26">
        <f>IFERROR(VLOOKUP(Table21[[#This Row],[ROUTE]],DEMAND!A:F,6,FALSE),0)</f>
        <v>401</v>
      </c>
      <c r="O321" s="26">
        <f>ROUNDDOWN(Table21[[#This Row],[R-DEMAND]]/1320,0)</f>
        <v>0</v>
      </c>
      <c r="P321" s="26">
        <f>Table21[[#This Row],[ADD ACC]]*Table21[[#This Row],[Duration
(747-400)]]</f>
        <v>0</v>
      </c>
      <c r="Q321" s="284">
        <f>IFERROR(VLOOKUP(Table21[[#This Row],[ROUTE]],PRICING!A:B,2,FALSE),0)</f>
        <v>3394</v>
      </c>
      <c r="R321" s="282">
        <f>Table21[[#This Row],[C_DEMAND]]-Table21[[#This Row],[R-DEMAND]]</f>
        <v>2640</v>
      </c>
      <c r="S321" s="287">
        <f>Table21[[#This Row],[SEATS SOLD]]*Table21[[#This Row],[ECO SEAT]]</f>
        <v>8960160</v>
      </c>
    </row>
    <row r="322" spans="1:19" x14ac:dyDescent="0.25">
      <c r="A322" s="16" t="s">
        <v>16271</v>
      </c>
      <c r="B322" s="16" t="s">
        <v>2579</v>
      </c>
      <c r="C322" s="16" t="s">
        <v>2</v>
      </c>
      <c r="D322" s="16">
        <v>2</v>
      </c>
      <c r="E322" s="16" t="s">
        <v>493</v>
      </c>
      <c r="F322" s="16" t="s">
        <v>12671</v>
      </c>
      <c r="G322" s="179" t="s">
        <v>11749</v>
      </c>
      <c r="H322" s="254">
        <v>8883</v>
      </c>
      <c r="I322" s="180">
        <v>21.75</v>
      </c>
      <c r="J322" s="102">
        <v>215050689</v>
      </c>
      <c r="K322" s="102">
        <f>IFERROR(Table21[[#This Row],[ROUTE COST]]/Table21[[#This Row],[O - DEMAND]],0)</f>
        <v>74982.806485355643</v>
      </c>
      <c r="L322" s="26">
        <v>2868</v>
      </c>
      <c r="M322" s="26">
        <f>IFERROR(VLOOKUP(Table21[[#This Row],[ROUTE]],DEMAND!A:F,5,FALSE),0)</f>
        <v>3041</v>
      </c>
      <c r="N322" s="26">
        <f>IFERROR(VLOOKUP(Table21[[#This Row],[ROUTE]],DEMAND!A:F,6,FALSE),0)</f>
        <v>401</v>
      </c>
      <c r="O322" s="26">
        <f>ROUNDDOWN(Table21[[#This Row],[R-DEMAND]]/1320,0)</f>
        <v>0</v>
      </c>
      <c r="P322" s="26">
        <f>Table21[[#This Row],[ADD ACC]]*Table21[[#This Row],[Duration
(747-400)]]</f>
        <v>0</v>
      </c>
      <c r="Q322" s="284">
        <f>IFERROR(VLOOKUP(Table21[[#This Row],[ROUTE]],PRICING!A:B,2,FALSE),0)</f>
        <v>2355</v>
      </c>
      <c r="R322" s="282">
        <f>Table21[[#This Row],[C_DEMAND]]-Table21[[#This Row],[R-DEMAND]]</f>
        <v>2640</v>
      </c>
      <c r="S322" s="287">
        <f>Table21[[#This Row],[SEATS SOLD]]*Table21[[#This Row],[ECO SEAT]]</f>
        <v>6217200</v>
      </c>
    </row>
    <row r="323" spans="1:19" x14ac:dyDescent="0.25">
      <c r="A323" s="16" t="s">
        <v>16218</v>
      </c>
      <c r="B323" s="16" t="s">
        <v>5737</v>
      </c>
      <c r="C323" s="16" t="s">
        <v>2</v>
      </c>
      <c r="D323" s="16">
        <v>5</v>
      </c>
      <c r="E323" s="16" t="s">
        <v>11732</v>
      </c>
      <c r="F323" s="16" t="s">
        <v>15969</v>
      </c>
      <c r="G323" s="179" t="s">
        <v>13258</v>
      </c>
      <c r="H323" s="254">
        <v>9496</v>
      </c>
      <c r="I323" s="180">
        <v>23.25</v>
      </c>
      <c r="J323" s="102">
        <v>280064546</v>
      </c>
      <c r="K323" s="102">
        <f>IFERROR(Table21[[#This Row],[ROUTE COST]]/Table21[[#This Row],[O - DEMAND]],0)</f>
        <v>96407.761101549055</v>
      </c>
      <c r="L323" s="26">
        <v>2905</v>
      </c>
      <c r="M323" s="26">
        <f>IFERROR(VLOOKUP(Table21[[#This Row],[ROUTE]],DEMAND!A:F,5,FALSE),0)</f>
        <v>3040</v>
      </c>
      <c r="N323" s="26">
        <f>IFERROR(VLOOKUP(Table21[[#This Row],[ROUTE]],DEMAND!A:F,6,FALSE),0)</f>
        <v>400</v>
      </c>
      <c r="O323" s="26">
        <f>ROUNDDOWN(Table21[[#This Row],[R-DEMAND]]/1320,0)</f>
        <v>0</v>
      </c>
      <c r="P323" s="26">
        <f>Table21[[#This Row],[ADD ACC]]*Table21[[#This Row],[Duration
(747-400)]]</f>
        <v>0</v>
      </c>
      <c r="Q323" s="284">
        <f>IFERROR(VLOOKUP(Table21[[#This Row],[ROUTE]],PRICING!A:B,2,FALSE),0)</f>
        <v>2634</v>
      </c>
      <c r="R323" s="282">
        <f>Table21[[#This Row],[C_DEMAND]]-Table21[[#This Row],[R-DEMAND]]</f>
        <v>2640</v>
      </c>
      <c r="S323" s="287">
        <f>Table21[[#This Row],[SEATS SOLD]]*Table21[[#This Row],[ECO SEAT]]</f>
        <v>6953760</v>
      </c>
    </row>
    <row r="324" spans="1:19" x14ac:dyDescent="0.25">
      <c r="A324" s="16" t="s">
        <v>16289</v>
      </c>
      <c r="B324" s="16" t="s">
        <v>5487</v>
      </c>
      <c r="C324" s="16" t="s">
        <v>2</v>
      </c>
      <c r="D324" s="16">
        <v>4</v>
      </c>
      <c r="E324" s="16" t="s">
        <v>774</v>
      </c>
      <c r="F324" s="16" t="s">
        <v>12682</v>
      </c>
      <c r="G324" s="179" t="s">
        <v>11118</v>
      </c>
      <c r="H324" s="254">
        <v>8642</v>
      </c>
      <c r="I324" s="180">
        <v>21.25</v>
      </c>
      <c r="J324" s="102">
        <v>245394175</v>
      </c>
      <c r="K324" s="102">
        <f>IFERROR(Table21[[#This Row],[ROUTE COST]]/Table21[[#This Row],[O - DEMAND]],0)</f>
        <v>85413.914027149323</v>
      </c>
      <c r="L324" s="26">
        <v>2873</v>
      </c>
      <c r="M324" s="26">
        <f>IFERROR(VLOOKUP(Table21[[#This Row],[ROUTE]],DEMAND!A:F,5,FALSE),0)</f>
        <v>3036</v>
      </c>
      <c r="N324" s="26">
        <f>IFERROR(VLOOKUP(Table21[[#This Row],[ROUTE]],DEMAND!A:F,6,FALSE),0)</f>
        <v>396</v>
      </c>
      <c r="O324" s="26">
        <f>ROUNDDOWN(Table21[[#This Row],[R-DEMAND]]/1320,0)</f>
        <v>0</v>
      </c>
      <c r="P324" s="26">
        <f>Table21[[#This Row],[ADD ACC]]*Table21[[#This Row],[Duration
(747-400)]]</f>
        <v>0</v>
      </c>
      <c r="Q324" s="284">
        <f>IFERROR(VLOOKUP(Table21[[#This Row],[ROUTE]],PRICING!A:B,2,FALSE),0)</f>
        <v>2323</v>
      </c>
      <c r="R324" s="282">
        <f>Table21[[#This Row],[C_DEMAND]]-Table21[[#This Row],[R-DEMAND]]</f>
        <v>2640</v>
      </c>
      <c r="S324" s="287">
        <f>Table21[[#This Row],[SEATS SOLD]]*Table21[[#This Row],[ECO SEAT]]</f>
        <v>6132720</v>
      </c>
    </row>
    <row r="325" spans="1:19" x14ac:dyDescent="0.25">
      <c r="A325" s="16" t="s">
        <v>15991</v>
      </c>
      <c r="B325" s="16" t="s">
        <v>3792</v>
      </c>
      <c r="C325" s="16" t="s">
        <v>2</v>
      </c>
      <c r="D325" s="16">
        <v>2</v>
      </c>
      <c r="E325" s="16" t="s">
        <v>1749</v>
      </c>
      <c r="F325" s="16" t="s">
        <v>12688</v>
      </c>
      <c r="G325" s="179" t="s">
        <v>13226</v>
      </c>
      <c r="H325" s="254">
        <v>12501</v>
      </c>
      <c r="I325" s="180">
        <v>29.75</v>
      </c>
      <c r="J325" s="102">
        <v>257301649</v>
      </c>
      <c r="K325" s="102">
        <f>IFERROR(Table21[[#This Row],[ROUTE COST]]/Table21[[#This Row],[O - DEMAND]],0)</f>
        <v>89124.228957395215</v>
      </c>
      <c r="L325" s="26">
        <v>2887</v>
      </c>
      <c r="M325" s="26">
        <f>IFERROR(VLOOKUP(Table21[[#This Row],[ROUTE]],DEMAND!A:F,5,FALSE),0)</f>
        <v>3032</v>
      </c>
      <c r="N325" s="26">
        <f>IFERROR(VLOOKUP(Table21[[#This Row],[ROUTE]],DEMAND!A:F,6,FALSE),0)</f>
        <v>392</v>
      </c>
      <c r="O325" s="26">
        <f>ROUNDDOWN(Table21[[#This Row],[R-DEMAND]]/1320,0)</f>
        <v>0</v>
      </c>
      <c r="P325" s="26">
        <f>Table21[[#This Row],[ADD ACC]]*Table21[[#This Row],[Duration
(747-400)]]</f>
        <v>0</v>
      </c>
      <c r="Q325" s="284">
        <f>IFERROR(VLOOKUP(Table21[[#This Row],[ROUTE]],PRICING!A:B,2,FALSE),0)</f>
        <v>3395</v>
      </c>
      <c r="R325" s="282">
        <f>Table21[[#This Row],[C_DEMAND]]-Table21[[#This Row],[R-DEMAND]]</f>
        <v>2640</v>
      </c>
      <c r="S325" s="287">
        <f>Table21[[#This Row],[SEATS SOLD]]*Table21[[#This Row],[ECO SEAT]]</f>
        <v>8962800</v>
      </c>
    </row>
    <row r="326" spans="1:19" x14ac:dyDescent="0.25">
      <c r="A326" s="16" t="s">
        <v>16669</v>
      </c>
      <c r="B326" s="16" t="s">
        <v>248</v>
      </c>
      <c r="C326" s="16" t="s">
        <v>2</v>
      </c>
      <c r="D326" s="16">
        <v>2</v>
      </c>
      <c r="E326" s="16" t="s">
        <v>1070</v>
      </c>
      <c r="F326" s="16" t="s">
        <v>12670</v>
      </c>
      <c r="G326" s="179" t="s">
        <v>9270</v>
      </c>
      <c r="H326" s="254">
        <v>2998</v>
      </c>
      <c r="I326" s="180">
        <v>8.75</v>
      </c>
      <c r="J326" s="102">
        <v>167290984</v>
      </c>
      <c r="K326" s="102">
        <f>IFERROR(Table21[[#This Row],[ROUTE COST]]/Table21[[#This Row],[O - DEMAND]],0)</f>
        <v>39746.016631028746</v>
      </c>
      <c r="L326" s="26">
        <v>4209</v>
      </c>
      <c r="M326" s="26">
        <f>IFERROR(VLOOKUP(Table21[[#This Row],[ROUTE]],DEMAND!A:F,5,FALSE),0)</f>
        <v>4349</v>
      </c>
      <c r="N326" s="26">
        <f>IFERROR(VLOOKUP(Table21[[#This Row],[ROUTE]],DEMAND!A:F,6,FALSE),0)</f>
        <v>389</v>
      </c>
      <c r="O326" s="26">
        <f>ROUNDDOWN(Table21[[#This Row],[R-DEMAND]]/1320,0)</f>
        <v>0</v>
      </c>
      <c r="P326" s="26">
        <f>Table21[[#This Row],[ADD ACC]]*Table21[[#This Row],[Duration
(747-400)]]</f>
        <v>0</v>
      </c>
      <c r="Q326" s="284">
        <f>IFERROR(VLOOKUP(Table21[[#This Row],[ROUTE]],PRICING!A:B,2,FALSE),0)</f>
        <v>944</v>
      </c>
      <c r="R326" s="282">
        <f>Table21[[#This Row],[C_DEMAND]]-Table21[[#This Row],[R-DEMAND]]</f>
        <v>3960</v>
      </c>
      <c r="S326" s="287">
        <f>Table21[[#This Row],[SEATS SOLD]]*Table21[[#This Row],[ECO SEAT]]</f>
        <v>3738240</v>
      </c>
    </row>
    <row r="327" spans="1:19" x14ac:dyDescent="0.25">
      <c r="A327" s="16" t="s">
        <v>16193</v>
      </c>
      <c r="B327" s="16" t="s">
        <v>2962</v>
      </c>
      <c r="C327" s="16" t="s">
        <v>2</v>
      </c>
      <c r="D327" s="16">
        <v>2</v>
      </c>
      <c r="E327" s="16" t="s">
        <v>1352</v>
      </c>
      <c r="F327" s="16" t="s">
        <v>12671</v>
      </c>
      <c r="G327" s="179" t="s">
        <v>11897</v>
      </c>
      <c r="H327" s="254">
        <v>9849</v>
      </c>
      <c r="I327" s="180">
        <v>24</v>
      </c>
      <c r="J327" s="102">
        <v>228892371</v>
      </c>
      <c r="K327" s="102">
        <f>IFERROR(Table21[[#This Row],[ROUTE COST]]/Table21[[#This Row],[O - DEMAND]],0)</f>
        <v>56156.126349362123</v>
      </c>
      <c r="L327" s="26">
        <v>4076</v>
      </c>
      <c r="M327" s="26">
        <f>IFERROR(VLOOKUP(Table21[[#This Row],[ROUTE]],DEMAND!A:F,5,FALSE),0)</f>
        <v>4348</v>
      </c>
      <c r="N327" s="26">
        <f>IFERROR(VLOOKUP(Table21[[#This Row],[ROUTE]],DEMAND!A:F,6,FALSE),0)</f>
        <v>388</v>
      </c>
      <c r="O327" s="26">
        <f>ROUNDDOWN(Table21[[#This Row],[R-DEMAND]]/1320,0)</f>
        <v>0</v>
      </c>
      <c r="P327" s="26">
        <f>Table21[[#This Row],[ADD ACC]]*Table21[[#This Row],[Duration
(747-400)]]</f>
        <v>0</v>
      </c>
      <c r="Q327" s="284">
        <f>IFERROR(VLOOKUP(Table21[[#This Row],[ROUTE]],PRICING!A:B,2,FALSE),0)</f>
        <v>2538</v>
      </c>
      <c r="R327" s="282">
        <f>Table21[[#This Row],[C_DEMAND]]-Table21[[#This Row],[R-DEMAND]]</f>
        <v>3960</v>
      </c>
      <c r="S327" s="287">
        <f>Table21[[#This Row],[SEATS SOLD]]*Table21[[#This Row],[ECO SEAT]]</f>
        <v>10050480</v>
      </c>
    </row>
    <row r="328" spans="1:19" x14ac:dyDescent="0.25">
      <c r="A328" s="16" t="s">
        <v>16018</v>
      </c>
      <c r="B328" s="16" t="s">
        <v>3371</v>
      </c>
      <c r="C328" s="16" t="s">
        <v>2</v>
      </c>
      <c r="D328" s="16">
        <v>2</v>
      </c>
      <c r="E328" s="16" t="s">
        <v>644</v>
      </c>
      <c r="F328" s="16" t="s">
        <v>12671</v>
      </c>
      <c r="G328" s="179" t="s">
        <v>11831</v>
      </c>
      <c r="H328" s="254">
        <v>12133</v>
      </c>
      <c r="I328" s="180">
        <v>29</v>
      </c>
      <c r="J328" s="102">
        <v>252652325</v>
      </c>
      <c r="K328" s="102">
        <f>IFERROR(Table21[[#This Row],[ROUTE COST]]/Table21[[#This Row],[O - DEMAND]],0)</f>
        <v>60530.025155725925</v>
      </c>
      <c r="L328" s="26">
        <v>4174</v>
      </c>
      <c r="M328" s="26">
        <f>IFERROR(VLOOKUP(Table21[[#This Row],[ROUTE]],DEMAND!A:F,5,FALSE),0)</f>
        <v>4341</v>
      </c>
      <c r="N328" s="26">
        <f>IFERROR(VLOOKUP(Table21[[#This Row],[ROUTE]],DEMAND!A:F,6,FALSE),0)</f>
        <v>381</v>
      </c>
      <c r="O328" s="26">
        <f>ROUNDDOWN(Table21[[#This Row],[R-DEMAND]]/1320,0)</f>
        <v>0</v>
      </c>
      <c r="P328" s="26">
        <f>Table21[[#This Row],[ADD ACC]]*Table21[[#This Row],[Duration
(747-400)]]</f>
        <v>0</v>
      </c>
      <c r="Q328" s="284">
        <f>IFERROR(VLOOKUP(Table21[[#This Row],[ROUTE]],PRICING!A:B,2,FALSE),0)</f>
        <v>3415</v>
      </c>
      <c r="R328" s="282">
        <f>Table21[[#This Row],[C_DEMAND]]-Table21[[#This Row],[R-DEMAND]]</f>
        <v>3960</v>
      </c>
      <c r="S328" s="287">
        <f>Table21[[#This Row],[SEATS SOLD]]*Table21[[#This Row],[ECO SEAT]]</f>
        <v>13523400</v>
      </c>
    </row>
    <row r="329" spans="1:19" x14ac:dyDescent="0.25">
      <c r="A329" s="16" t="s">
        <v>16264</v>
      </c>
      <c r="B329" s="16" t="s">
        <v>2512</v>
      </c>
      <c r="C329" s="16" t="s">
        <v>2</v>
      </c>
      <c r="D329" s="16">
        <v>2</v>
      </c>
      <c r="E329" s="16" t="s">
        <v>493</v>
      </c>
      <c r="F329" s="16" t="s">
        <v>12671</v>
      </c>
      <c r="G329" s="179" t="s">
        <v>11734</v>
      </c>
      <c r="H329" s="254">
        <v>8978</v>
      </c>
      <c r="I329" s="180">
        <v>22</v>
      </c>
      <c r="J329" s="102">
        <v>216876689</v>
      </c>
      <c r="K329" s="102">
        <f>IFERROR(Table21[[#This Row],[ROUTE COST]]/Table21[[#This Row],[O - DEMAND]],0)</f>
        <v>75831.01013986014</v>
      </c>
      <c r="L329" s="26">
        <v>2860</v>
      </c>
      <c r="M329" s="26">
        <f>IFERROR(VLOOKUP(Table21[[#This Row],[ROUTE]],DEMAND!A:F,5,FALSE),0)</f>
        <v>3013</v>
      </c>
      <c r="N329" s="26">
        <f>IFERROR(VLOOKUP(Table21[[#This Row],[ROUTE]],DEMAND!A:F,6,FALSE),0)</f>
        <v>373</v>
      </c>
      <c r="O329" s="26">
        <f>ROUNDDOWN(Table21[[#This Row],[R-DEMAND]]/1320,0)</f>
        <v>0</v>
      </c>
      <c r="P329" s="26">
        <f>Table21[[#This Row],[ADD ACC]]*Table21[[#This Row],[Duration
(747-400)]]</f>
        <v>0</v>
      </c>
      <c r="Q329" s="284">
        <f>IFERROR(VLOOKUP(Table21[[#This Row],[ROUTE]],PRICING!A:B,2,FALSE),0)</f>
        <v>2438</v>
      </c>
      <c r="R329" s="282">
        <f>Table21[[#This Row],[C_DEMAND]]-Table21[[#This Row],[R-DEMAND]]</f>
        <v>2640</v>
      </c>
      <c r="S329" s="287">
        <f>Table21[[#This Row],[SEATS SOLD]]*Table21[[#This Row],[ECO SEAT]]</f>
        <v>6436320</v>
      </c>
    </row>
    <row r="330" spans="1:19" x14ac:dyDescent="0.25">
      <c r="A330" s="16" t="s">
        <v>16682</v>
      </c>
      <c r="B330" s="16" t="s">
        <v>8728</v>
      </c>
      <c r="C330" s="16" t="s">
        <v>2</v>
      </c>
      <c r="D330" s="16">
        <v>3</v>
      </c>
      <c r="E330" s="16" t="s">
        <v>14</v>
      </c>
      <c r="F330" s="16" t="s">
        <v>12670</v>
      </c>
      <c r="G330" s="179" t="s">
        <v>12054</v>
      </c>
      <c r="H330" s="254">
        <v>2624</v>
      </c>
      <c r="I330" s="180">
        <v>8</v>
      </c>
      <c r="J330" s="102">
        <v>178725063</v>
      </c>
      <c r="K330" s="102">
        <f>IFERROR(Table21[[#This Row],[ROUTE COST]]/Table21[[#This Row],[O - DEMAND]],0)</f>
        <v>43794.428571428572</v>
      </c>
      <c r="L330" s="26">
        <v>4081</v>
      </c>
      <c r="M330" s="26">
        <f>IFERROR(VLOOKUP(Table21[[#This Row],[ROUTE]],DEMAND!A:F,5,FALSE),0)</f>
        <v>4326</v>
      </c>
      <c r="N330" s="26">
        <f>IFERROR(VLOOKUP(Table21[[#This Row],[ROUTE]],DEMAND!A:F,6,FALSE),0)</f>
        <v>366</v>
      </c>
      <c r="O330" s="26">
        <f>ROUNDDOWN(Table21[[#This Row],[R-DEMAND]]/1320,0)</f>
        <v>0</v>
      </c>
      <c r="P330" s="26">
        <f>Table21[[#This Row],[ADD ACC]]*Table21[[#This Row],[Duration
(747-400)]]</f>
        <v>0</v>
      </c>
      <c r="Q330" s="284">
        <f>IFERROR(VLOOKUP(Table21[[#This Row],[ROUTE]],PRICING!A:B,2,FALSE),0)</f>
        <v>765</v>
      </c>
      <c r="R330" s="282">
        <f>Table21[[#This Row],[C_DEMAND]]-Table21[[#This Row],[R-DEMAND]]</f>
        <v>3960</v>
      </c>
      <c r="S330" s="287">
        <f>Table21[[#This Row],[SEATS SOLD]]*Table21[[#This Row],[ECO SEAT]]</f>
        <v>3029400</v>
      </c>
    </row>
    <row r="331" spans="1:19" x14ac:dyDescent="0.25">
      <c r="A331" s="16" t="s">
        <v>16091</v>
      </c>
      <c r="B331" s="16" t="s">
        <v>5277</v>
      </c>
      <c r="C331" s="16" t="s">
        <v>2</v>
      </c>
      <c r="D331" s="16">
        <v>3</v>
      </c>
      <c r="E331" s="16" t="s">
        <v>119</v>
      </c>
      <c r="F331" s="16" t="s">
        <v>12674</v>
      </c>
      <c r="G331" s="179" t="s">
        <v>13251</v>
      </c>
      <c r="H331" s="254">
        <v>10976</v>
      </c>
      <c r="I331" s="180">
        <v>26.5</v>
      </c>
      <c r="J331" s="102">
        <v>262320109</v>
      </c>
      <c r="K331" s="102">
        <f>IFERROR(Table21[[#This Row],[ROUTE COST]]/Table21[[#This Row],[O - DEMAND]],0)</f>
        <v>92366.23556338028</v>
      </c>
      <c r="L331" s="26">
        <v>2840</v>
      </c>
      <c r="M331" s="26">
        <f>IFERROR(VLOOKUP(Table21[[#This Row],[ROUTE]],DEMAND!A:F,5,FALSE),0)</f>
        <v>3001</v>
      </c>
      <c r="N331" s="26">
        <f>IFERROR(VLOOKUP(Table21[[#This Row],[ROUTE]],DEMAND!A:F,6,FALSE),0)</f>
        <v>361</v>
      </c>
      <c r="O331" s="26">
        <f>ROUNDDOWN(Table21[[#This Row],[R-DEMAND]]/1320,0)</f>
        <v>0</v>
      </c>
      <c r="P331" s="26">
        <f>Table21[[#This Row],[ADD ACC]]*Table21[[#This Row],[Duration
(747-400)]]</f>
        <v>0</v>
      </c>
      <c r="Q331" s="284">
        <f>IFERROR(VLOOKUP(Table21[[#This Row],[ROUTE]],PRICING!A:B,2,FALSE),0)</f>
        <v>2923</v>
      </c>
      <c r="R331" s="282">
        <f>Table21[[#This Row],[C_DEMAND]]-Table21[[#This Row],[R-DEMAND]]</f>
        <v>2640</v>
      </c>
      <c r="S331" s="287">
        <f>Table21[[#This Row],[SEATS SOLD]]*Table21[[#This Row],[ECO SEAT]]</f>
        <v>7716720</v>
      </c>
    </row>
    <row r="332" spans="1:19" x14ac:dyDescent="0.25">
      <c r="A332" s="16" t="s">
        <v>16027</v>
      </c>
      <c r="B332" s="16" t="s">
        <v>4429</v>
      </c>
      <c r="C332" s="16" t="s">
        <v>2</v>
      </c>
      <c r="D332" s="16">
        <v>2</v>
      </c>
      <c r="E332" s="16" t="s">
        <v>4427</v>
      </c>
      <c r="F332" s="16" t="s">
        <v>12688</v>
      </c>
      <c r="G332" s="179" t="s">
        <v>13148</v>
      </c>
      <c r="H332" s="254">
        <v>11961</v>
      </c>
      <c r="I332" s="180">
        <v>28.5</v>
      </c>
      <c r="J332" s="102">
        <v>257559804</v>
      </c>
      <c r="K332" s="102">
        <f>IFERROR(Table21[[#This Row],[ROUTE COST]]/Table21[[#This Row],[O - DEMAND]],0)</f>
        <v>91074.895332390384</v>
      </c>
      <c r="L332" s="26">
        <v>2828</v>
      </c>
      <c r="M332" s="26">
        <f>IFERROR(VLOOKUP(Table21[[#This Row],[ROUTE]],DEMAND!A:F,5,FALSE),0)</f>
        <v>2998</v>
      </c>
      <c r="N332" s="26">
        <f>IFERROR(VLOOKUP(Table21[[#This Row],[ROUTE]],DEMAND!A:F,6,FALSE),0)</f>
        <v>358</v>
      </c>
      <c r="O332" s="26">
        <f>ROUNDDOWN(Table21[[#This Row],[R-DEMAND]]/1320,0)</f>
        <v>0</v>
      </c>
      <c r="P332" s="26">
        <f>Table21[[#This Row],[ADD ACC]]*Table21[[#This Row],[Duration
(747-400)]]</f>
        <v>0</v>
      </c>
      <c r="Q332" s="284">
        <f>IFERROR(VLOOKUP(Table21[[#This Row],[ROUTE]],PRICING!A:B,2,FALSE),0)</f>
        <v>3138</v>
      </c>
      <c r="R332" s="282">
        <f>Table21[[#This Row],[C_DEMAND]]-Table21[[#This Row],[R-DEMAND]]</f>
        <v>2640</v>
      </c>
      <c r="S332" s="287">
        <f>Table21[[#This Row],[SEATS SOLD]]*Table21[[#This Row],[ECO SEAT]]</f>
        <v>8284320</v>
      </c>
    </row>
    <row r="333" spans="1:19" x14ac:dyDescent="0.25">
      <c r="A333" s="16" t="s">
        <v>16667</v>
      </c>
      <c r="B333" s="16" t="s">
        <v>343</v>
      </c>
      <c r="C333" s="16" t="s">
        <v>2</v>
      </c>
      <c r="D333" s="16">
        <v>3</v>
      </c>
      <c r="E333" s="16" t="s">
        <v>1710</v>
      </c>
      <c r="F333" s="16" t="s">
        <v>12670</v>
      </c>
      <c r="G333" s="179" t="s">
        <v>12070</v>
      </c>
      <c r="H333" s="254">
        <v>3040</v>
      </c>
      <c r="I333" s="180">
        <v>8.75</v>
      </c>
      <c r="J333" s="102">
        <v>186046833</v>
      </c>
      <c r="K333" s="102">
        <f>IFERROR(Table21[[#This Row],[ROUTE COST]]/Table21[[#This Row],[O - DEMAND]],0)</f>
        <v>34594.055968761619</v>
      </c>
      <c r="L333" s="26">
        <v>5378</v>
      </c>
      <c r="M333" s="26">
        <f>IFERROR(VLOOKUP(Table21[[#This Row],[ROUTE]],DEMAND!A:F,5,FALSE),0)</f>
        <v>5630</v>
      </c>
      <c r="N333" s="26">
        <f>IFERROR(VLOOKUP(Table21[[#This Row],[ROUTE]],DEMAND!A:F,6,FALSE),0)</f>
        <v>350</v>
      </c>
      <c r="O333" s="26">
        <f>ROUNDDOWN(Table21[[#This Row],[R-DEMAND]]/1320,0)</f>
        <v>0</v>
      </c>
      <c r="P333" s="26">
        <f>Table21[[#This Row],[ADD ACC]]*Table21[[#This Row],[Duration
(747-400)]]</f>
        <v>0</v>
      </c>
      <c r="Q333" s="284">
        <f>IFERROR(VLOOKUP(Table21[[#This Row],[ROUTE]],PRICING!A:B,2,FALSE),0)</f>
        <v>913</v>
      </c>
      <c r="R333" s="282">
        <f>Table21[[#This Row],[C_DEMAND]]-Table21[[#This Row],[R-DEMAND]]</f>
        <v>5280</v>
      </c>
      <c r="S333" s="287">
        <f>Table21[[#This Row],[SEATS SOLD]]*Table21[[#This Row],[ECO SEAT]]</f>
        <v>4820640</v>
      </c>
    </row>
    <row r="334" spans="1:19" x14ac:dyDescent="0.25">
      <c r="A334" s="16" t="s">
        <v>15976</v>
      </c>
      <c r="B334" s="16" t="s">
        <v>3452</v>
      </c>
      <c r="C334" s="16" t="s">
        <v>2</v>
      </c>
      <c r="D334" s="16">
        <v>2</v>
      </c>
      <c r="E334" s="16" t="s">
        <v>683</v>
      </c>
      <c r="F334" s="16" t="s">
        <v>12688</v>
      </c>
      <c r="G334" s="179" t="s">
        <v>13193</v>
      </c>
      <c r="H334" s="254">
        <v>13218</v>
      </c>
      <c r="I334" s="180">
        <v>31.5</v>
      </c>
      <c r="J334" s="102">
        <v>261394462</v>
      </c>
      <c r="K334" s="102">
        <f>IFERROR(Table21[[#This Row],[ROUTE COST]]/Table21[[#This Row],[O - DEMAND]],0)</f>
        <v>90636.082524271842</v>
      </c>
      <c r="L334" s="26">
        <v>2884</v>
      </c>
      <c r="M334" s="26">
        <f>IFERROR(VLOOKUP(Table21[[#This Row],[ROUTE]],DEMAND!A:F,5,FALSE),0)</f>
        <v>2990</v>
      </c>
      <c r="N334" s="26">
        <f>IFERROR(VLOOKUP(Table21[[#This Row],[ROUTE]],DEMAND!A:F,6,FALSE),0)</f>
        <v>350</v>
      </c>
      <c r="O334" s="26">
        <f>ROUNDDOWN(Table21[[#This Row],[R-DEMAND]]/1320,0)</f>
        <v>0</v>
      </c>
      <c r="P334" s="26">
        <f>Table21[[#This Row],[ADD ACC]]*Table21[[#This Row],[Duration
(747-400)]]</f>
        <v>0</v>
      </c>
      <c r="Q334" s="284">
        <f>IFERROR(VLOOKUP(Table21[[#This Row],[ROUTE]],PRICING!A:B,2,FALSE),0)</f>
        <v>3753</v>
      </c>
      <c r="R334" s="282">
        <f>Table21[[#This Row],[C_DEMAND]]-Table21[[#This Row],[R-DEMAND]]</f>
        <v>2640</v>
      </c>
      <c r="S334" s="287">
        <f>Table21[[#This Row],[SEATS SOLD]]*Table21[[#This Row],[ECO SEAT]]</f>
        <v>9907920</v>
      </c>
    </row>
    <row r="335" spans="1:19" x14ac:dyDescent="0.25">
      <c r="A335" s="16" t="s">
        <v>16346</v>
      </c>
      <c r="B335" s="16" t="s">
        <v>126</v>
      </c>
      <c r="C335" s="16" t="s">
        <v>2</v>
      </c>
      <c r="D335" s="16">
        <v>4</v>
      </c>
      <c r="E335" s="16" t="s">
        <v>774</v>
      </c>
      <c r="F335" s="16" t="s">
        <v>12682</v>
      </c>
      <c r="G335" s="179" t="s">
        <v>11050</v>
      </c>
      <c r="H335" s="254">
        <v>8011</v>
      </c>
      <c r="I335" s="180">
        <v>19.75</v>
      </c>
      <c r="J335" s="102">
        <v>244271931</v>
      </c>
      <c r="K335" s="102">
        <f>IFERROR(Table21[[#This Row],[ROUTE COST]]/Table21[[#This Row],[O - DEMAND]],0)</f>
        <v>84640.308731808735</v>
      </c>
      <c r="L335" s="26">
        <v>2886</v>
      </c>
      <c r="M335" s="26">
        <f>IFERROR(VLOOKUP(Table21[[#This Row],[ROUTE]],DEMAND!A:F,5,FALSE),0)</f>
        <v>2983</v>
      </c>
      <c r="N335" s="26">
        <f>IFERROR(VLOOKUP(Table21[[#This Row],[ROUTE]],DEMAND!A:F,6,FALSE),0)</f>
        <v>343</v>
      </c>
      <c r="O335" s="26">
        <f>ROUNDDOWN(Table21[[#This Row],[R-DEMAND]]/1320,0)</f>
        <v>0</v>
      </c>
      <c r="P335" s="26">
        <f>Table21[[#This Row],[ADD ACC]]*Table21[[#This Row],[Duration
(747-400)]]</f>
        <v>0</v>
      </c>
      <c r="Q335" s="284">
        <f>IFERROR(VLOOKUP(Table21[[#This Row],[ROUTE]],PRICING!A:B,2,FALSE),0)</f>
        <v>2342</v>
      </c>
      <c r="R335" s="282">
        <f>Table21[[#This Row],[C_DEMAND]]-Table21[[#This Row],[R-DEMAND]]</f>
        <v>2640</v>
      </c>
      <c r="S335" s="287">
        <f>Table21[[#This Row],[SEATS SOLD]]*Table21[[#This Row],[ECO SEAT]]</f>
        <v>6182880</v>
      </c>
    </row>
    <row r="336" spans="1:19" x14ac:dyDescent="0.25">
      <c r="A336" s="16" t="s">
        <v>16022</v>
      </c>
      <c r="B336" s="16" t="s">
        <v>3574</v>
      </c>
      <c r="C336" s="16" t="s">
        <v>2</v>
      </c>
      <c r="D336" s="16">
        <v>2</v>
      </c>
      <c r="E336" s="16" t="s">
        <v>1749</v>
      </c>
      <c r="F336" s="16" t="s">
        <v>12688</v>
      </c>
      <c r="G336" s="179" t="s">
        <v>13221</v>
      </c>
      <c r="H336" s="254">
        <v>12071</v>
      </c>
      <c r="I336" s="180">
        <v>28.75</v>
      </c>
      <c r="J336" s="102">
        <v>251401064</v>
      </c>
      <c r="K336" s="102">
        <f>IFERROR(Table21[[#This Row],[ROUTE COST]]/Table21[[#This Row],[O - DEMAND]],0)</f>
        <v>88615.108917870995</v>
      </c>
      <c r="L336" s="26">
        <v>2837</v>
      </c>
      <c r="M336" s="26">
        <f>IFERROR(VLOOKUP(Table21[[#This Row],[ROUTE]],DEMAND!A:F,5,FALSE),0)</f>
        <v>2979</v>
      </c>
      <c r="N336" s="26">
        <f>IFERROR(VLOOKUP(Table21[[#This Row],[ROUTE]],DEMAND!A:F,6,FALSE),0)</f>
        <v>339</v>
      </c>
      <c r="O336" s="26">
        <f>ROUNDDOWN(Table21[[#This Row],[R-DEMAND]]/1320,0)</f>
        <v>0</v>
      </c>
      <c r="P336" s="26">
        <f>Table21[[#This Row],[ADD ACC]]*Table21[[#This Row],[Duration
(747-400)]]</f>
        <v>0</v>
      </c>
      <c r="Q336" s="284">
        <f>IFERROR(VLOOKUP(Table21[[#This Row],[ROUTE]],PRICING!A:B,2,FALSE),0)</f>
        <v>3282</v>
      </c>
      <c r="R336" s="282">
        <f>Table21[[#This Row],[C_DEMAND]]-Table21[[#This Row],[R-DEMAND]]</f>
        <v>2640</v>
      </c>
      <c r="S336" s="287">
        <f>Table21[[#This Row],[SEATS SOLD]]*Table21[[#This Row],[ECO SEAT]]</f>
        <v>8664480</v>
      </c>
    </row>
    <row r="337" spans="1:19" x14ac:dyDescent="0.25">
      <c r="A337" s="16" t="s">
        <v>16279</v>
      </c>
      <c r="B337" s="16" t="s">
        <v>5613</v>
      </c>
      <c r="C337" s="16" t="s">
        <v>2</v>
      </c>
      <c r="D337" s="16">
        <v>4</v>
      </c>
      <c r="E337" s="16" t="s">
        <v>514</v>
      </c>
      <c r="F337" s="16" t="s">
        <v>12688</v>
      </c>
      <c r="G337" s="179" t="s">
        <v>13164</v>
      </c>
      <c r="H337" s="254">
        <v>8751</v>
      </c>
      <c r="I337" s="180">
        <v>21.5</v>
      </c>
      <c r="J337" s="102">
        <v>253621848</v>
      </c>
      <c r="K337" s="102">
        <f>IFERROR(Table21[[#This Row],[ROUTE COST]]/Table21[[#This Row],[O - DEMAND]],0)</f>
        <v>88308.442896935929</v>
      </c>
      <c r="L337" s="26">
        <v>2872</v>
      </c>
      <c r="M337" s="26">
        <f>IFERROR(VLOOKUP(Table21[[#This Row],[ROUTE]],DEMAND!A:F,5,FALSE),0)</f>
        <v>2978</v>
      </c>
      <c r="N337" s="26">
        <f>IFERROR(VLOOKUP(Table21[[#This Row],[ROUTE]],DEMAND!A:F,6,FALSE),0)</f>
        <v>338</v>
      </c>
      <c r="O337" s="26">
        <f>ROUNDDOWN(Table21[[#This Row],[R-DEMAND]]/1320,0)</f>
        <v>0</v>
      </c>
      <c r="P337" s="26">
        <f>Table21[[#This Row],[ADD ACC]]*Table21[[#This Row],[Duration
(747-400)]]</f>
        <v>0</v>
      </c>
      <c r="Q337" s="284">
        <f>IFERROR(VLOOKUP(Table21[[#This Row],[ROUTE]],PRICING!A:B,2,FALSE),0)</f>
        <v>2520</v>
      </c>
      <c r="R337" s="282">
        <f>Table21[[#This Row],[C_DEMAND]]-Table21[[#This Row],[R-DEMAND]]</f>
        <v>2640</v>
      </c>
      <c r="S337" s="287">
        <f>Table21[[#This Row],[SEATS SOLD]]*Table21[[#This Row],[ECO SEAT]]</f>
        <v>6652800</v>
      </c>
    </row>
    <row r="338" spans="1:19" x14ac:dyDescent="0.25">
      <c r="A338" s="16" t="s">
        <v>16659</v>
      </c>
      <c r="B338" s="16" t="s">
        <v>5253</v>
      </c>
      <c r="C338" s="16" t="s">
        <v>2</v>
      </c>
      <c r="D338" s="16">
        <v>3</v>
      </c>
      <c r="E338" s="16" t="s">
        <v>588</v>
      </c>
      <c r="F338" s="16" t="s">
        <v>12674</v>
      </c>
      <c r="G338" s="179" t="s">
        <v>11991</v>
      </c>
      <c r="H338" s="254">
        <v>3272</v>
      </c>
      <c r="I338" s="180">
        <v>9.25</v>
      </c>
      <c r="J338" s="102">
        <v>184884689</v>
      </c>
      <c r="K338" s="102">
        <f>IFERROR(Table21[[#This Row],[ROUTE COST]]/Table21[[#This Row],[O - DEMAND]],0)</f>
        <v>45071.840321794247</v>
      </c>
      <c r="L338" s="26">
        <v>4102</v>
      </c>
      <c r="M338" s="26">
        <f>IFERROR(VLOOKUP(Table21[[#This Row],[ROUTE]],DEMAND!A:F,5,FALSE),0)</f>
        <v>4293</v>
      </c>
      <c r="N338" s="26">
        <f>IFERROR(VLOOKUP(Table21[[#This Row],[ROUTE]],DEMAND!A:F,6,FALSE),0)</f>
        <v>333</v>
      </c>
      <c r="O338" s="26">
        <f>ROUNDDOWN(Table21[[#This Row],[R-DEMAND]]/1320,0)</f>
        <v>0</v>
      </c>
      <c r="P338" s="26">
        <f>Table21[[#This Row],[ADD ACC]]*Table21[[#This Row],[Duration
(747-400)]]</f>
        <v>0</v>
      </c>
      <c r="Q338" s="284">
        <f>IFERROR(VLOOKUP(Table21[[#This Row],[ROUTE]],PRICING!A:B,2,FALSE),0)</f>
        <v>975</v>
      </c>
      <c r="R338" s="282">
        <f>Table21[[#This Row],[C_DEMAND]]-Table21[[#This Row],[R-DEMAND]]</f>
        <v>3960</v>
      </c>
      <c r="S338" s="287">
        <f>Table21[[#This Row],[SEATS SOLD]]*Table21[[#This Row],[ECO SEAT]]</f>
        <v>3861000</v>
      </c>
    </row>
    <row r="339" spans="1:19" x14ac:dyDescent="0.25">
      <c r="A339" s="16" t="s">
        <v>16240</v>
      </c>
      <c r="B339" s="16" t="s">
        <v>4979</v>
      </c>
      <c r="C339" s="16" t="s">
        <v>2</v>
      </c>
      <c r="D339" s="16">
        <v>3</v>
      </c>
      <c r="E339" s="16" t="s">
        <v>2860</v>
      </c>
      <c r="F339" s="16" t="s">
        <v>12671</v>
      </c>
      <c r="G339" s="179" t="s">
        <v>12005</v>
      </c>
      <c r="H339" s="254">
        <v>9267</v>
      </c>
      <c r="I339" s="180">
        <v>22.75</v>
      </c>
      <c r="J339" s="102">
        <v>237485281</v>
      </c>
      <c r="K339" s="102">
        <f>IFERROR(Table21[[#This Row],[ROUTE COST]]/Table21[[#This Row],[O - DEMAND]],0)</f>
        <v>84154.954287739194</v>
      </c>
      <c r="L339" s="26">
        <v>2822</v>
      </c>
      <c r="M339" s="26">
        <f>IFERROR(VLOOKUP(Table21[[#This Row],[ROUTE]],DEMAND!A:F,5,FALSE),0)</f>
        <v>2973</v>
      </c>
      <c r="N339" s="26">
        <f>IFERROR(VLOOKUP(Table21[[#This Row],[ROUTE]],DEMAND!A:F,6,FALSE),0)</f>
        <v>333</v>
      </c>
      <c r="O339" s="26">
        <f>ROUNDDOWN(Table21[[#This Row],[R-DEMAND]]/1320,0)</f>
        <v>0</v>
      </c>
      <c r="P339" s="26">
        <f>Table21[[#This Row],[ADD ACC]]*Table21[[#This Row],[Duration
(747-400)]]</f>
        <v>0</v>
      </c>
      <c r="Q339" s="284">
        <f>IFERROR(VLOOKUP(Table21[[#This Row],[ROUTE]],PRICING!A:B,2,FALSE),0)</f>
        <v>2513</v>
      </c>
      <c r="R339" s="282">
        <f>Table21[[#This Row],[C_DEMAND]]-Table21[[#This Row],[R-DEMAND]]</f>
        <v>2640</v>
      </c>
      <c r="S339" s="287">
        <f>Table21[[#This Row],[SEATS SOLD]]*Table21[[#This Row],[ECO SEAT]]</f>
        <v>6634320</v>
      </c>
    </row>
    <row r="340" spans="1:19" x14ac:dyDescent="0.25">
      <c r="A340" s="16" t="s">
        <v>16407</v>
      </c>
      <c r="B340" s="16" t="s">
        <v>4756</v>
      </c>
      <c r="C340" s="16" t="s">
        <v>2</v>
      </c>
      <c r="D340" s="16">
        <v>3</v>
      </c>
      <c r="E340" s="16" t="s">
        <v>1289</v>
      </c>
      <c r="F340" s="16" t="s">
        <v>12670</v>
      </c>
      <c r="G340" s="179" t="s">
        <v>11945</v>
      </c>
      <c r="H340" s="254">
        <v>7421</v>
      </c>
      <c r="I340" s="180">
        <v>18.5</v>
      </c>
      <c r="J340" s="102">
        <v>216552284</v>
      </c>
      <c r="K340" s="102">
        <f>IFERROR(Table21[[#This Row],[ROUTE COST]]/Table21[[#This Row],[O - DEMAND]],0)</f>
        <v>53681.775904809125</v>
      </c>
      <c r="L340" s="26">
        <v>4034</v>
      </c>
      <c r="M340" s="26">
        <f>IFERROR(VLOOKUP(Table21[[#This Row],[ROUTE]],DEMAND!A:F,5,FALSE),0)</f>
        <v>4289</v>
      </c>
      <c r="N340" s="26">
        <f>IFERROR(VLOOKUP(Table21[[#This Row],[ROUTE]],DEMAND!A:F,6,FALSE),0)</f>
        <v>329</v>
      </c>
      <c r="O340" s="26">
        <f>ROUNDDOWN(Table21[[#This Row],[R-DEMAND]]/1320,0)</f>
        <v>0</v>
      </c>
      <c r="P340" s="26">
        <f>Table21[[#This Row],[ADD ACC]]*Table21[[#This Row],[Duration
(747-400)]]</f>
        <v>0</v>
      </c>
      <c r="Q340" s="284">
        <f>IFERROR(VLOOKUP(Table21[[#This Row],[ROUTE]],PRICING!A:B,2,FALSE),0)</f>
        <v>1960</v>
      </c>
      <c r="R340" s="282">
        <f>Table21[[#This Row],[C_DEMAND]]-Table21[[#This Row],[R-DEMAND]]</f>
        <v>3960</v>
      </c>
      <c r="S340" s="287">
        <f>Table21[[#This Row],[SEATS SOLD]]*Table21[[#This Row],[ECO SEAT]]</f>
        <v>7761600</v>
      </c>
    </row>
    <row r="341" spans="1:19" x14ac:dyDescent="0.25">
      <c r="A341" s="251" t="s">
        <v>16792</v>
      </c>
      <c r="B341" s="251" t="s">
        <v>65</v>
      </c>
      <c r="C341" s="16" t="s">
        <v>2</v>
      </c>
      <c r="D341" s="251">
        <v>5</v>
      </c>
      <c r="E341" s="251" t="s">
        <v>14</v>
      </c>
      <c r="F341" s="251" t="s">
        <v>12670</v>
      </c>
      <c r="G341" s="252" t="s">
        <v>11039</v>
      </c>
      <c r="H341" s="254">
        <v>1957</v>
      </c>
      <c r="I341" s="180">
        <v>6.5</v>
      </c>
      <c r="J341" s="102">
        <v>194307406</v>
      </c>
      <c r="K341" s="253">
        <f>IFERROR(Table21[[#This Row],[ROUTE COST]]/Table21[[#This Row],[O - DEMAND]],0)</f>
        <v>47288.246775371139</v>
      </c>
      <c r="L341" s="26">
        <v>4109</v>
      </c>
      <c r="M341" s="26">
        <f>IFERROR(VLOOKUP(Table21[[#This Row],[ROUTE]],DEMAND!A:F,5,FALSE),0)</f>
        <v>4289</v>
      </c>
      <c r="N341" s="26">
        <f>IFERROR(VLOOKUP(Table21[[#This Row],[ROUTE]],DEMAND!A:F,6,FALSE),0)</f>
        <v>329</v>
      </c>
      <c r="O341" s="26">
        <f>ROUNDDOWN(Table21[[#This Row],[R-DEMAND]]/1320,0)</f>
        <v>0</v>
      </c>
      <c r="P341" s="26">
        <f>Table21[[#This Row],[ADD ACC]]*Table21[[#This Row],[Duration
(747-400)]]</f>
        <v>0</v>
      </c>
      <c r="Q341" s="284">
        <f>IFERROR(VLOOKUP(Table21[[#This Row],[ROUTE]],PRICING!A:B,2,FALSE),0)</f>
        <v>631</v>
      </c>
      <c r="R341" s="282">
        <f>Table21[[#This Row],[C_DEMAND]]-Table21[[#This Row],[R-DEMAND]]</f>
        <v>3960</v>
      </c>
      <c r="S341" s="287">
        <f>Table21[[#This Row],[SEATS SOLD]]*Table21[[#This Row],[ECO SEAT]]</f>
        <v>2498760</v>
      </c>
    </row>
    <row r="342" spans="1:19" x14ac:dyDescent="0.25">
      <c r="A342" s="16" t="s">
        <v>16044</v>
      </c>
      <c r="B342" s="16" t="s">
        <v>3483</v>
      </c>
      <c r="C342" s="16" t="s">
        <v>2</v>
      </c>
      <c r="D342" s="16">
        <v>2</v>
      </c>
      <c r="E342" s="16" t="s">
        <v>1749</v>
      </c>
      <c r="F342" s="16" t="s">
        <v>12688</v>
      </c>
      <c r="G342" s="179" t="s">
        <v>13215</v>
      </c>
      <c r="H342" s="254">
        <v>11706</v>
      </c>
      <c r="I342" s="180">
        <v>28</v>
      </c>
      <c r="J342" s="102">
        <v>247190733</v>
      </c>
      <c r="K342" s="102">
        <f>IFERROR(Table21[[#This Row],[ROUTE COST]]/Table21[[#This Row],[O - DEMAND]],0)</f>
        <v>87718.5</v>
      </c>
      <c r="L342" s="26">
        <v>2818</v>
      </c>
      <c r="M342" s="26">
        <f>IFERROR(VLOOKUP(Table21[[#This Row],[ROUTE]],DEMAND!A:F,5,FALSE),0)</f>
        <v>2968</v>
      </c>
      <c r="N342" s="26">
        <f>IFERROR(VLOOKUP(Table21[[#This Row],[ROUTE]],DEMAND!A:F,6,FALSE),0)</f>
        <v>328</v>
      </c>
      <c r="O342" s="26">
        <f>ROUNDDOWN(Table21[[#This Row],[R-DEMAND]]/1320,0)</f>
        <v>0</v>
      </c>
      <c r="P342" s="26">
        <f>Table21[[#This Row],[ADD ACC]]*Table21[[#This Row],[Duration
(747-400)]]</f>
        <v>0</v>
      </c>
      <c r="Q342" s="284">
        <f>IFERROR(VLOOKUP(Table21[[#This Row],[ROUTE]],PRICING!A:B,2,FALSE),0)</f>
        <v>3148</v>
      </c>
      <c r="R342" s="282">
        <f>Table21[[#This Row],[C_DEMAND]]-Table21[[#This Row],[R-DEMAND]]</f>
        <v>2640</v>
      </c>
      <c r="S342" s="287">
        <f>Table21[[#This Row],[SEATS SOLD]]*Table21[[#This Row],[ECO SEAT]]</f>
        <v>8310720</v>
      </c>
    </row>
    <row r="343" spans="1:19" x14ac:dyDescent="0.25">
      <c r="A343" s="16" t="s">
        <v>16573</v>
      </c>
      <c r="B343" s="16" t="s">
        <v>11164</v>
      </c>
      <c r="C343" s="16" t="s">
        <v>2</v>
      </c>
      <c r="D343" s="16">
        <v>4</v>
      </c>
      <c r="E343" s="16" t="s">
        <v>1261</v>
      </c>
      <c r="F343" s="16" t="s">
        <v>12670</v>
      </c>
      <c r="G343" s="179" t="s">
        <v>15967</v>
      </c>
      <c r="H343" s="254">
        <v>5268</v>
      </c>
      <c r="I343" s="180">
        <v>13.75</v>
      </c>
      <c r="J343" s="102">
        <v>215051832</v>
      </c>
      <c r="K343" s="102">
        <f>IFERROR(Table21[[#This Row],[ROUTE COST]]/Table21[[#This Row],[O - DEMAND]],0)</f>
        <v>52007.698186215239</v>
      </c>
      <c r="L343" s="26">
        <v>4135</v>
      </c>
      <c r="M343" s="26">
        <f>IFERROR(VLOOKUP(Table21[[#This Row],[ROUTE]],DEMAND!A:F,5,FALSE),0)</f>
        <v>4287</v>
      </c>
      <c r="N343" s="26">
        <f>IFERROR(VLOOKUP(Table21[[#This Row],[ROUTE]],DEMAND!A:F,6,FALSE),0)</f>
        <v>-993</v>
      </c>
      <c r="O343" s="26">
        <f>ROUNDDOWN(Table21[[#This Row],[R-DEMAND]]/1320,0)</f>
        <v>0</v>
      </c>
      <c r="P343" s="26">
        <f>Table21[[#This Row],[ADD ACC]]*Table21[[#This Row],[Duration
(747-400)]]</f>
        <v>0</v>
      </c>
      <c r="Q343" s="284">
        <f>IFERROR(VLOOKUP(Table21[[#This Row],[ROUTE]],PRICING!A:B,2,FALSE),0)</f>
        <v>1560</v>
      </c>
      <c r="R343" s="282">
        <f>Table21[[#This Row],[C_DEMAND]]-Table21[[#This Row],[R-DEMAND]]</f>
        <v>5280</v>
      </c>
      <c r="S343" s="287">
        <f>Table21[[#This Row],[SEATS SOLD]]*Table21[[#This Row],[ECO SEAT]]</f>
        <v>8236800</v>
      </c>
    </row>
    <row r="344" spans="1:19" x14ac:dyDescent="0.25">
      <c r="A344" s="16" t="s">
        <v>16368</v>
      </c>
      <c r="B344" s="16" t="s">
        <v>5587</v>
      </c>
      <c r="C344" s="16" t="s">
        <v>2</v>
      </c>
      <c r="D344" s="16">
        <v>4</v>
      </c>
      <c r="E344" s="16" t="s">
        <v>1427</v>
      </c>
      <c r="F344" s="16" t="s">
        <v>12674</v>
      </c>
      <c r="G344" s="179" t="s">
        <v>11099</v>
      </c>
      <c r="H344" s="254">
        <v>7808</v>
      </c>
      <c r="I344" s="180">
        <v>19.5</v>
      </c>
      <c r="J344" s="102">
        <v>241504276</v>
      </c>
      <c r="K344" s="102">
        <f>IFERROR(Table21[[#This Row],[ROUTE COST]]/Table21[[#This Row],[O - DEMAND]],0)</f>
        <v>84946.984171649659</v>
      </c>
      <c r="L344" s="26">
        <v>2843</v>
      </c>
      <c r="M344" s="26">
        <f>IFERROR(VLOOKUP(Table21[[#This Row],[ROUTE]],DEMAND!A:F,5,FALSE),0)</f>
        <v>2967</v>
      </c>
      <c r="N344" s="26">
        <f>IFERROR(VLOOKUP(Table21[[#This Row],[ROUTE]],DEMAND!A:F,6,FALSE),0)</f>
        <v>327</v>
      </c>
      <c r="O344" s="26">
        <f>ROUNDDOWN(Table21[[#This Row],[R-DEMAND]]/1320,0)</f>
        <v>0</v>
      </c>
      <c r="P344" s="26">
        <f>Table21[[#This Row],[ADD ACC]]*Table21[[#This Row],[Duration
(747-400)]]</f>
        <v>0</v>
      </c>
      <c r="Q344" s="284">
        <f>IFERROR(VLOOKUP(Table21[[#This Row],[ROUTE]],PRICING!A:B,2,FALSE),0)</f>
        <v>2209</v>
      </c>
      <c r="R344" s="282">
        <f>Table21[[#This Row],[C_DEMAND]]-Table21[[#This Row],[R-DEMAND]]</f>
        <v>2640</v>
      </c>
      <c r="S344" s="287">
        <f>Table21[[#This Row],[SEATS SOLD]]*Table21[[#This Row],[ECO SEAT]]</f>
        <v>5831760</v>
      </c>
    </row>
    <row r="345" spans="1:19" x14ac:dyDescent="0.25">
      <c r="A345" s="16" t="s">
        <v>16657</v>
      </c>
      <c r="B345" s="16" t="s">
        <v>333</v>
      </c>
      <c r="C345" s="16" t="s">
        <v>2</v>
      </c>
      <c r="D345" s="16">
        <v>5</v>
      </c>
      <c r="E345" s="16" t="s">
        <v>332</v>
      </c>
      <c r="F345" s="16" t="s">
        <v>12670</v>
      </c>
      <c r="G345" s="179" t="s">
        <v>12098</v>
      </c>
      <c r="H345" s="254">
        <v>3301</v>
      </c>
      <c r="I345" s="180">
        <v>9.5</v>
      </c>
      <c r="J345" s="102">
        <v>216251736</v>
      </c>
      <c r="K345" s="102">
        <f>IFERROR(Table21[[#This Row],[ROUTE COST]]/Table21[[#This Row],[O - DEMAND]],0)</f>
        <v>40390.686589465819</v>
      </c>
      <c r="L345" s="26">
        <v>5354</v>
      </c>
      <c r="M345" s="26">
        <f>IFERROR(VLOOKUP(Table21[[#This Row],[ROUTE]],DEMAND!A:F,5,FALSE),0)</f>
        <v>5605</v>
      </c>
      <c r="N345" s="26">
        <f>IFERROR(VLOOKUP(Table21[[#This Row],[ROUTE]],DEMAND!A:F,6,FALSE),0)</f>
        <v>325</v>
      </c>
      <c r="O345" s="26">
        <f>ROUNDDOWN(Table21[[#This Row],[R-DEMAND]]/1320,0)</f>
        <v>0</v>
      </c>
      <c r="P345" s="26">
        <f>Table21[[#This Row],[ADD ACC]]*Table21[[#This Row],[Duration
(747-400)]]</f>
        <v>0</v>
      </c>
      <c r="Q345" s="284">
        <f>IFERROR(VLOOKUP(Table21[[#This Row],[ROUTE]],PRICING!A:B,2,FALSE),0)</f>
        <v>982</v>
      </c>
      <c r="R345" s="282">
        <f>Table21[[#This Row],[C_DEMAND]]-Table21[[#This Row],[R-DEMAND]]</f>
        <v>5280</v>
      </c>
      <c r="S345" s="287">
        <f>Table21[[#This Row],[SEATS SOLD]]*Table21[[#This Row],[ECO SEAT]]</f>
        <v>5184960</v>
      </c>
    </row>
    <row r="346" spans="1:19" x14ac:dyDescent="0.25">
      <c r="A346" s="16" t="s">
        <v>16636</v>
      </c>
      <c r="B346" s="16" t="s">
        <v>437</v>
      </c>
      <c r="C346" s="16" t="s">
        <v>2</v>
      </c>
      <c r="D346" s="16">
        <v>2</v>
      </c>
      <c r="E346" s="16" t="s">
        <v>1070</v>
      </c>
      <c r="F346" s="16" t="s">
        <v>12670</v>
      </c>
      <c r="G346" s="179" t="s">
        <v>12018</v>
      </c>
      <c r="H346" s="254">
        <v>3841</v>
      </c>
      <c r="I346" s="180">
        <v>10.75</v>
      </c>
      <c r="J346" s="102">
        <v>175695856</v>
      </c>
      <c r="K346" s="102">
        <f>IFERROR(Table21[[#This Row],[ROUTE COST]]/Table21[[#This Row],[O - DEMAND]],0)</f>
        <v>43618.633565044685</v>
      </c>
      <c r="L346" s="26">
        <v>4028</v>
      </c>
      <c r="M346" s="26">
        <f>IFERROR(VLOOKUP(Table21[[#This Row],[ROUTE]],DEMAND!A:F,5,FALSE),0)</f>
        <v>4284</v>
      </c>
      <c r="N346" s="26">
        <f>IFERROR(VLOOKUP(Table21[[#This Row],[ROUTE]],DEMAND!A:F,6,FALSE),0)</f>
        <v>324</v>
      </c>
      <c r="O346" s="26">
        <f>ROUNDDOWN(Table21[[#This Row],[R-DEMAND]]/1320,0)</f>
        <v>0</v>
      </c>
      <c r="P346" s="26">
        <f>Table21[[#This Row],[ADD ACC]]*Table21[[#This Row],[Duration
(747-400)]]</f>
        <v>0</v>
      </c>
      <c r="Q346" s="284">
        <f>IFERROR(VLOOKUP(Table21[[#This Row],[ROUTE]],PRICING!A:B,2,FALSE),0)</f>
        <v>1061</v>
      </c>
      <c r="R346" s="282">
        <f>Table21[[#This Row],[C_DEMAND]]-Table21[[#This Row],[R-DEMAND]]</f>
        <v>3960</v>
      </c>
      <c r="S346" s="287">
        <f>Table21[[#This Row],[SEATS SOLD]]*Table21[[#This Row],[ECO SEAT]]</f>
        <v>4201560</v>
      </c>
    </row>
    <row r="347" spans="1:19" x14ac:dyDescent="0.25">
      <c r="A347" s="16" t="s">
        <v>16550</v>
      </c>
      <c r="B347" s="16" t="s">
        <v>4080</v>
      </c>
      <c r="C347" s="16" t="s">
        <v>2</v>
      </c>
      <c r="D347" s="16">
        <v>2</v>
      </c>
      <c r="E347" s="16" t="s">
        <v>78</v>
      </c>
      <c r="F347" s="16" t="s">
        <v>12674</v>
      </c>
      <c r="G347" s="179" t="s">
        <v>8419</v>
      </c>
      <c r="H347" s="254">
        <v>5871</v>
      </c>
      <c r="I347" s="180">
        <v>15.25</v>
      </c>
      <c r="J347" s="102">
        <v>193431147</v>
      </c>
      <c r="K347" s="102">
        <f>IFERROR(Table21[[#This Row],[ROUTE COST]]/Table21[[#This Row],[O - DEMAND]],0)</f>
        <v>68568.290322580651</v>
      </c>
      <c r="L347" s="26">
        <v>2821</v>
      </c>
      <c r="M347" s="26">
        <f>IFERROR(VLOOKUP(Table21[[#This Row],[ROUTE]],DEMAND!A:F,5,FALSE),0)</f>
        <v>2962</v>
      </c>
      <c r="N347" s="26">
        <f>IFERROR(VLOOKUP(Table21[[#This Row],[ROUTE]],DEMAND!A:F,6,FALSE),0)</f>
        <v>322</v>
      </c>
      <c r="O347" s="26">
        <f>ROUNDDOWN(Table21[[#This Row],[R-DEMAND]]/1320,0)</f>
        <v>0</v>
      </c>
      <c r="P347" s="26">
        <f>Table21[[#This Row],[ADD ACC]]*Table21[[#This Row],[Duration
(747-400)]]</f>
        <v>0</v>
      </c>
      <c r="Q347" s="284">
        <f>IFERROR(VLOOKUP(Table21[[#This Row],[ROUTE]],PRICING!A:B,2,FALSE),0)</f>
        <v>1649</v>
      </c>
      <c r="R347" s="282">
        <f>Table21[[#This Row],[C_DEMAND]]-Table21[[#This Row],[R-DEMAND]]</f>
        <v>2640</v>
      </c>
      <c r="S347" s="287">
        <f>Table21[[#This Row],[SEATS SOLD]]*Table21[[#This Row],[ECO SEAT]]</f>
        <v>4353360</v>
      </c>
    </row>
    <row r="348" spans="1:19" x14ac:dyDescent="0.25">
      <c r="A348" s="16" t="s">
        <v>16026</v>
      </c>
      <c r="B348" s="16" t="s">
        <v>2106</v>
      </c>
      <c r="C348" s="16" t="s">
        <v>2</v>
      </c>
      <c r="D348" s="16">
        <v>1</v>
      </c>
      <c r="E348" s="16" t="s">
        <v>2104</v>
      </c>
      <c r="F348" s="16" t="s">
        <v>12671</v>
      </c>
      <c r="G348" s="179" t="s">
        <v>11881</v>
      </c>
      <c r="H348" s="254">
        <v>11988</v>
      </c>
      <c r="I348" s="180">
        <v>28.75</v>
      </c>
      <c r="J348" s="102">
        <v>245562548</v>
      </c>
      <c r="K348" s="102">
        <f>IFERROR(Table21[[#This Row],[ROUTE COST]]/Table21[[#This Row],[O - DEMAND]],0)</f>
        <v>60245.963689892051</v>
      </c>
      <c r="L348" s="26">
        <v>4076</v>
      </c>
      <c r="M348" s="26">
        <f>IFERROR(VLOOKUP(Table21[[#This Row],[ROUTE]],DEMAND!A:F,5,FALSE),0)</f>
        <v>4280</v>
      </c>
      <c r="N348" s="26">
        <f>IFERROR(VLOOKUP(Table21[[#This Row],[ROUTE]],DEMAND!A:F,6,FALSE),0)</f>
        <v>320</v>
      </c>
      <c r="O348" s="26">
        <f>ROUNDDOWN(Table21[[#This Row],[R-DEMAND]]/1320,0)</f>
        <v>0</v>
      </c>
      <c r="P348" s="26">
        <f>Table21[[#This Row],[ADD ACC]]*Table21[[#This Row],[Duration
(747-400)]]</f>
        <v>0</v>
      </c>
      <c r="Q348" s="284">
        <f>IFERROR(VLOOKUP(Table21[[#This Row],[ROUTE]],PRICING!A:B,2,FALSE),0)</f>
        <v>3260</v>
      </c>
      <c r="R348" s="282">
        <f>Table21[[#This Row],[C_DEMAND]]-Table21[[#This Row],[R-DEMAND]]</f>
        <v>3960</v>
      </c>
      <c r="S348" s="287">
        <f>Table21[[#This Row],[SEATS SOLD]]*Table21[[#This Row],[ECO SEAT]]</f>
        <v>12909600</v>
      </c>
    </row>
    <row r="349" spans="1:19" x14ac:dyDescent="0.25">
      <c r="A349" s="16" t="s">
        <v>16641</v>
      </c>
      <c r="B349" s="16" t="s">
        <v>74</v>
      </c>
      <c r="C349" s="16" t="s">
        <v>2</v>
      </c>
      <c r="D349" s="16">
        <v>2</v>
      </c>
      <c r="E349" s="16" t="s">
        <v>1070</v>
      </c>
      <c r="F349" s="16" t="s">
        <v>12670</v>
      </c>
      <c r="G349" s="179" t="s">
        <v>12009</v>
      </c>
      <c r="H349" s="254">
        <v>3738</v>
      </c>
      <c r="I349" s="180">
        <v>10.5</v>
      </c>
      <c r="J349" s="102">
        <v>177729803</v>
      </c>
      <c r="K349" s="102">
        <f>IFERROR(Table21[[#This Row],[ROUTE COST]]/Table21[[#This Row],[O - DEMAND]],0)</f>
        <v>43211.719669341117</v>
      </c>
      <c r="L349" s="26">
        <v>4113</v>
      </c>
      <c r="M349" s="26">
        <f>IFERROR(VLOOKUP(Table21[[#This Row],[ROUTE]],DEMAND!A:F,5,FALSE),0)</f>
        <v>4279</v>
      </c>
      <c r="N349" s="26">
        <f>IFERROR(VLOOKUP(Table21[[#This Row],[ROUTE]],DEMAND!A:F,6,FALSE),0)</f>
        <v>319</v>
      </c>
      <c r="O349" s="26">
        <f>ROUNDDOWN(Table21[[#This Row],[R-DEMAND]]/1320,0)</f>
        <v>0</v>
      </c>
      <c r="P349" s="26">
        <f>Table21[[#This Row],[ADD ACC]]*Table21[[#This Row],[Duration
(747-400)]]</f>
        <v>0</v>
      </c>
      <c r="Q349" s="284">
        <f>IFERROR(VLOOKUP(Table21[[#This Row],[ROUTE]],PRICING!A:B,2,FALSE),0)</f>
        <v>1124</v>
      </c>
      <c r="R349" s="282">
        <f>Table21[[#This Row],[C_DEMAND]]-Table21[[#This Row],[R-DEMAND]]</f>
        <v>3960</v>
      </c>
      <c r="S349" s="287">
        <f>Table21[[#This Row],[SEATS SOLD]]*Table21[[#This Row],[ECO SEAT]]</f>
        <v>4451040</v>
      </c>
    </row>
    <row r="350" spans="1:19" x14ac:dyDescent="0.25">
      <c r="A350" s="16" t="s">
        <v>16404</v>
      </c>
      <c r="B350" s="16" t="s">
        <v>5513</v>
      </c>
      <c r="C350" s="16" t="s">
        <v>2</v>
      </c>
      <c r="D350" s="16">
        <v>4</v>
      </c>
      <c r="E350" s="16" t="s">
        <v>1124</v>
      </c>
      <c r="F350" s="16" t="s">
        <v>12671</v>
      </c>
      <c r="G350" s="179" t="s">
        <v>11042</v>
      </c>
      <c r="H350" s="254">
        <v>7430</v>
      </c>
      <c r="I350" s="180">
        <v>18.5</v>
      </c>
      <c r="J350" s="102">
        <v>233112586</v>
      </c>
      <c r="K350" s="102">
        <f>IFERROR(Table21[[#This Row],[ROUTE COST]]/Table21[[#This Row],[O - DEMAND]],0)</f>
        <v>57988.205472636815</v>
      </c>
      <c r="L350" s="26">
        <v>4020</v>
      </c>
      <c r="M350" s="26">
        <f>IFERROR(VLOOKUP(Table21[[#This Row],[ROUTE]],DEMAND!A:F,5,FALSE),0)</f>
        <v>4275</v>
      </c>
      <c r="N350" s="26">
        <f>IFERROR(VLOOKUP(Table21[[#This Row],[ROUTE]],DEMAND!A:F,6,FALSE),0)</f>
        <v>315</v>
      </c>
      <c r="O350" s="26">
        <f>ROUNDDOWN(Table21[[#This Row],[R-DEMAND]]/1320,0)</f>
        <v>0</v>
      </c>
      <c r="P350" s="26">
        <f>Table21[[#This Row],[ADD ACC]]*Table21[[#This Row],[Duration
(747-400)]]</f>
        <v>0</v>
      </c>
      <c r="Q350" s="284">
        <f>IFERROR(VLOOKUP(Table21[[#This Row],[ROUTE]],PRICING!A:B,2,FALSE),0)</f>
        <v>1962</v>
      </c>
      <c r="R350" s="282">
        <f>Table21[[#This Row],[C_DEMAND]]-Table21[[#This Row],[R-DEMAND]]</f>
        <v>3960</v>
      </c>
      <c r="S350" s="287">
        <f>Table21[[#This Row],[SEATS SOLD]]*Table21[[#This Row],[ECO SEAT]]</f>
        <v>7769520</v>
      </c>
    </row>
    <row r="351" spans="1:19" x14ac:dyDescent="0.25">
      <c r="A351" s="16" t="s">
        <v>16204</v>
      </c>
      <c r="B351" s="16" t="s">
        <v>1838</v>
      </c>
      <c r="C351" s="16" t="s">
        <v>2</v>
      </c>
      <c r="D351" s="16">
        <v>1</v>
      </c>
      <c r="E351" s="16" t="s">
        <v>493</v>
      </c>
      <c r="F351" s="16" t="s">
        <v>12671</v>
      </c>
      <c r="G351" s="179" t="s">
        <v>11763</v>
      </c>
      <c r="H351" s="254">
        <v>9631</v>
      </c>
      <c r="I351" s="180">
        <v>23.5</v>
      </c>
      <c r="J351" s="102">
        <v>220670689</v>
      </c>
      <c r="K351" s="102">
        <f>IFERROR(Table21[[#This Row],[ROUTE COST]]/Table21[[#This Row],[O - DEMAND]],0)</f>
        <v>79693.278801011198</v>
      </c>
      <c r="L351" s="26">
        <v>2769</v>
      </c>
      <c r="M351" s="26">
        <f>IFERROR(VLOOKUP(Table21[[#This Row],[ROUTE]],DEMAND!A:F,5,FALSE),0)</f>
        <v>2954</v>
      </c>
      <c r="N351" s="26">
        <f>IFERROR(VLOOKUP(Table21[[#This Row],[ROUTE]],DEMAND!A:F,6,FALSE),0)</f>
        <v>314</v>
      </c>
      <c r="O351" s="26">
        <f>ROUNDDOWN(Table21[[#This Row],[R-DEMAND]]/1320,0)</f>
        <v>0</v>
      </c>
      <c r="P351" s="26">
        <f>Table21[[#This Row],[ADD ACC]]*Table21[[#This Row],[Duration
(747-400)]]</f>
        <v>0</v>
      </c>
      <c r="Q351" s="284">
        <f>IFERROR(VLOOKUP(Table21[[#This Row],[ROUTE]],PRICING!A:B,2,FALSE),0)</f>
        <v>2484</v>
      </c>
      <c r="R351" s="282">
        <f>Table21[[#This Row],[C_DEMAND]]-Table21[[#This Row],[R-DEMAND]]</f>
        <v>2640</v>
      </c>
      <c r="S351" s="287">
        <f>Table21[[#This Row],[SEATS SOLD]]*Table21[[#This Row],[ECO SEAT]]</f>
        <v>6557760</v>
      </c>
    </row>
    <row r="352" spans="1:19" x14ac:dyDescent="0.25">
      <c r="A352" s="16" t="s">
        <v>16146</v>
      </c>
      <c r="B352" s="16" t="s">
        <v>12</v>
      </c>
      <c r="C352" s="16" t="s">
        <v>2</v>
      </c>
      <c r="D352" s="16">
        <v>3</v>
      </c>
      <c r="E352" s="16" t="s">
        <v>514</v>
      </c>
      <c r="F352" s="16" t="s">
        <v>12688</v>
      </c>
      <c r="G352" s="179" t="s">
        <v>13170</v>
      </c>
      <c r="H352" s="254">
        <v>10443</v>
      </c>
      <c r="I352" s="180">
        <v>25.25</v>
      </c>
      <c r="J352" s="102">
        <v>257402866</v>
      </c>
      <c r="K352" s="102">
        <f>IFERROR(Table21[[#This Row],[ROUTE COST]]/Table21[[#This Row],[O - DEMAND]],0)</f>
        <v>90955.076325088346</v>
      </c>
      <c r="L352" s="26">
        <v>2830</v>
      </c>
      <c r="M352" s="26">
        <f>IFERROR(VLOOKUP(Table21[[#This Row],[ROUTE]],DEMAND!A:F,5,FALSE),0)</f>
        <v>2953</v>
      </c>
      <c r="N352" s="26">
        <f>IFERROR(VLOOKUP(Table21[[#This Row],[ROUTE]],DEMAND!A:F,6,FALSE),0)</f>
        <v>313</v>
      </c>
      <c r="O352" s="26">
        <f>ROUNDDOWN(Table21[[#This Row],[R-DEMAND]]/1320,0)</f>
        <v>0</v>
      </c>
      <c r="P352" s="26">
        <f>Table21[[#This Row],[ADD ACC]]*Table21[[#This Row],[Duration
(747-400)]]</f>
        <v>0</v>
      </c>
      <c r="Q352" s="284">
        <f>IFERROR(VLOOKUP(Table21[[#This Row],[ROUTE]],PRICING!A:B,2,FALSE),0)</f>
        <v>2920</v>
      </c>
      <c r="R352" s="282">
        <f>Table21[[#This Row],[C_DEMAND]]-Table21[[#This Row],[R-DEMAND]]</f>
        <v>2640</v>
      </c>
      <c r="S352" s="287">
        <f>Table21[[#This Row],[SEATS SOLD]]*Table21[[#This Row],[ECO SEAT]]</f>
        <v>7708800</v>
      </c>
    </row>
    <row r="353" spans="1:19" x14ac:dyDescent="0.25">
      <c r="A353" s="16" t="s">
        <v>15994</v>
      </c>
      <c r="B353" s="16" t="s">
        <v>3891</v>
      </c>
      <c r="C353" s="16" t="s">
        <v>2</v>
      </c>
      <c r="D353" s="16">
        <v>2</v>
      </c>
      <c r="E353" s="16" t="s">
        <v>13119</v>
      </c>
      <c r="F353" s="16" t="s">
        <v>12688</v>
      </c>
      <c r="G353" s="179" t="s">
        <v>13145</v>
      </c>
      <c r="H353" s="254">
        <v>12441</v>
      </c>
      <c r="I353" s="180">
        <v>29.75</v>
      </c>
      <c r="J353" s="102">
        <v>257498950</v>
      </c>
      <c r="K353" s="102">
        <f>IFERROR(Table21[[#This Row],[ROUTE COST]]/Table21[[#This Row],[O - DEMAND]],0)</f>
        <v>92161.39942734431</v>
      </c>
      <c r="L353" s="26">
        <v>2794</v>
      </c>
      <c r="M353" s="26">
        <f>IFERROR(VLOOKUP(Table21[[#This Row],[ROUTE]],DEMAND!A:F,5,FALSE),0)</f>
        <v>2952</v>
      </c>
      <c r="N353" s="26">
        <f>IFERROR(VLOOKUP(Table21[[#This Row],[ROUTE]],DEMAND!A:F,6,FALSE),0)</f>
        <v>312</v>
      </c>
      <c r="O353" s="26">
        <f>ROUNDDOWN(Table21[[#This Row],[R-DEMAND]]/1320,0)</f>
        <v>0</v>
      </c>
      <c r="P353" s="26">
        <f>Table21[[#This Row],[ADD ACC]]*Table21[[#This Row],[Duration
(747-400)]]</f>
        <v>0</v>
      </c>
      <c r="Q353" s="284">
        <f>IFERROR(VLOOKUP(Table21[[#This Row],[ROUTE]],PRICING!A:B,2,FALSE),0)</f>
        <v>3300</v>
      </c>
      <c r="R353" s="282">
        <f>Table21[[#This Row],[C_DEMAND]]-Table21[[#This Row],[R-DEMAND]]</f>
        <v>2640</v>
      </c>
      <c r="S353" s="287">
        <f>Table21[[#This Row],[SEATS SOLD]]*Table21[[#This Row],[ECO SEAT]]</f>
        <v>8712000</v>
      </c>
    </row>
    <row r="354" spans="1:19" x14ac:dyDescent="0.25">
      <c r="A354" s="251" t="s">
        <v>16791</v>
      </c>
      <c r="B354" s="251" t="s">
        <v>5275</v>
      </c>
      <c r="C354" s="16" t="s">
        <v>2</v>
      </c>
      <c r="D354" s="251">
        <v>3</v>
      </c>
      <c r="E354" s="251" t="s">
        <v>46</v>
      </c>
      <c r="F354" s="251" t="s">
        <v>12670</v>
      </c>
      <c r="G354" s="252" t="s">
        <v>12076</v>
      </c>
      <c r="H354" s="254">
        <v>1978</v>
      </c>
      <c r="I354" s="180">
        <v>6.5</v>
      </c>
      <c r="J354" s="102">
        <v>172153203</v>
      </c>
      <c r="K354" s="253">
        <f>IFERROR(Table21[[#This Row],[ROUTE COST]]/Table21[[#This Row],[O - DEMAND]],0)</f>
        <v>62081.934006491167</v>
      </c>
      <c r="L354" s="26">
        <v>2773</v>
      </c>
      <c r="M354" s="26">
        <f>IFERROR(VLOOKUP(Table21[[#This Row],[ROUTE]],DEMAND!A:F,5,FALSE),0)</f>
        <v>2950</v>
      </c>
      <c r="N354" s="26">
        <f>IFERROR(VLOOKUP(Table21[[#This Row],[ROUTE]],DEMAND!A:F,6,FALSE),0)</f>
        <v>310</v>
      </c>
      <c r="O354" s="26">
        <f>ROUNDDOWN(Table21[[#This Row],[R-DEMAND]]/1320,0)</f>
        <v>0</v>
      </c>
      <c r="P354" s="26">
        <f>Table21[[#This Row],[ADD ACC]]*Table21[[#This Row],[Duration
(747-400)]]</f>
        <v>0</v>
      </c>
      <c r="Q354" s="284">
        <f>IFERROR(VLOOKUP(Table21[[#This Row],[ROUTE]],PRICING!A:B,2,FALSE),0)</f>
        <v>593</v>
      </c>
      <c r="R354" s="282">
        <f>Table21[[#This Row],[C_DEMAND]]-Table21[[#This Row],[R-DEMAND]]</f>
        <v>2640</v>
      </c>
      <c r="S354" s="287">
        <f>Table21[[#This Row],[SEATS SOLD]]*Table21[[#This Row],[ECO SEAT]]</f>
        <v>1565520</v>
      </c>
    </row>
    <row r="355" spans="1:19" x14ac:dyDescent="0.25">
      <c r="A355" s="16" t="s">
        <v>15980</v>
      </c>
      <c r="B355" s="16" t="s">
        <v>2844</v>
      </c>
      <c r="C355" s="16" t="s">
        <v>2</v>
      </c>
      <c r="D355" s="16">
        <v>2</v>
      </c>
      <c r="E355" s="16" t="s">
        <v>683</v>
      </c>
      <c r="F355" s="16" t="s">
        <v>12688</v>
      </c>
      <c r="G355" s="179" t="s">
        <v>13188</v>
      </c>
      <c r="H355" s="254">
        <v>12905</v>
      </c>
      <c r="I355" s="180">
        <v>30.75</v>
      </c>
      <c r="J355" s="102">
        <v>255802650</v>
      </c>
      <c r="K355" s="102">
        <f>IFERROR(Table21[[#This Row],[ROUTE COST]]/Table21[[#This Row],[O - DEMAND]],0)</f>
        <v>92181.135135135133</v>
      </c>
      <c r="L355" s="26">
        <v>2775</v>
      </c>
      <c r="M355" s="26">
        <f>IFERROR(VLOOKUP(Table21[[#This Row],[ROUTE]],DEMAND!A:F,5,FALSE),0)</f>
        <v>2950</v>
      </c>
      <c r="N355" s="26">
        <f>IFERROR(VLOOKUP(Table21[[#This Row],[ROUTE]],DEMAND!A:F,6,FALSE),0)</f>
        <v>310</v>
      </c>
      <c r="O355" s="26">
        <f>ROUNDDOWN(Table21[[#This Row],[R-DEMAND]]/1320,0)</f>
        <v>0</v>
      </c>
      <c r="P355" s="26">
        <f>Table21[[#This Row],[ADD ACC]]*Table21[[#This Row],[Duration
(747-400)]]</f>
        <v>0</v>
      </c>
      <c r="Q355" s="284">
        <f>IFERROR(VLOOKUP(Table21[[#This Row],[ROUTE]],PRICING!A:B,2,FALSE),0)</f>
        <v>3337</v>
      </c>
      <c r="R355" s="282">
        <f>Table21[[#This Row],[C_DEMAND]]-Table21[[#This Row],[R-DEMAND]]</f>
        <v>2640</v>
      </c>
      <c r="S355" s="287">
        <f>Table21[[#This Row],[SEATS SOLD]]*Table21[[#This Row],[ECO SEAT]]</f>
        <v>8809680</v>
      </c>
    </row>
    <row r="356" spans="1:19" x14ac:dyDescent="0.25">
      <c r="A356" s="16" t="s">
        <v>16586</v>
      </c>
      <c r="B356" s="16" t="s">
        <v>300</v>
      </c>
      <c r="C356" s="16" t="s">
        <v>2</v>
      </c>
      <c r="D356" s="16">
        <v>3</v>
      </c>
      <c r="E356" s="16" t="s">
        <v>1070</v>
      </c>
      <c r="F356" s="16" t="s">
        <v>12670</v>
      </c>
      <c r="G356" s="179" t="s">
        <v>12052</v>
      </c>
      <c r="H356" s="254">
        <v>4956</v>
      </c>
      <c r="I356" s="180">
        <v>13</v>
      </c>
      <c r="J356" s="102">
        <v>198435679</v>
      </c>
      <c r="K356" s="102">
        <f>IFERROR(Table21[[#This Row],[ROUTE COST]]/Table21[[#This Row],[O - DEMAND]],0)</f>
        <v>48803.659370388588</v>
      </c>
      <c r="L356" s="26">
        <v>4066</v>
      </c>
      <c r="M356" s="26">
        <f>IFERROR(VLOOKUP(Table21[[#This Row],[ROUTE]],DEMAND!A:F,5,FALSE),0)</f>
        <v>4270</v>
      </c>
      <c r="N356" s="26">
        <f>IFERROR(VLOOKUP(Table21[[#This Row],[ROUTE]],DEMAND!A:F,6,FALSE),0)</f>
        <v>310</v>
      </c>
      <c r="O356" s="26">
        <f>ROUNDDOWN(Table21[[#This Row],[R-DEMAND]]/1320,0)</f>
        <v>0</v>
      </c>
      <c r="P356" s="26">
        <f>Table21[[#This Row],[ADD ACC]]*Table21[[#This Row],[Duration
(747-400)]]</f>
        <v>0</v>
      </c>
      <c r="Q356" s="284">
        <f>IFERROR(VLOOKUP(Table21[[#This Row],[ROUTE]],PRICING!A:B,2,FALSE),0)</f>
        <v>1407</v>
      </c>
      <c r="R356" s="282">
        <f>Table21[[#This Row],[C_DEMAND]]-Table21[[#This Row],[R-DEMAND]]</f>
        <v>3960</v>
      </c>
      <c r="S356" s="287">
        <f>Table21[[#This Row],[SEATS SOLD]]*Table21[[#This Row],[ECO SEAT]]</f>
        <v>5571720</v>
      </c>
    </row>
    <row r="357" spans="1:19" x14ac:dyDescent="0.25">
      <c r="A357" s="16" t="s">
        <v>16244</v>
      </c>
      <c r="B357" s="16" t="s">
        <v>5570</v>
      </c>
      <c r="C357" s="16" t="s">
        <v>2</v>
      </c>
      <c r="D357" s="16">
        <v>4</v>
      </c>
      <c r="E357" s="16" t="s">
        <v>119</v>
      </c>
      <c r="F357" s="16" t="s">
        <v>12674</v>
      </c>
      <c r="G357" s="179" t="s">
        <v>11113</v>
      </c>
      <c r="H357" s="254">
        <v>9212</v>
      </c>
      <c r="I357" s="180">
        <v>22.5</v>
      </c>
      <c r="J357" s="102">
        <v>254386075</v>
      </c>
      <c r="K357" s="102">
        <f>IFERROR(Table21[[#This Row],[ROUTE COST]]/Table21[[#This Row],[O - DEMAND]],0)</f>
        <v>90303.895988640405</v>
      </c>
      <c r="L357" s="26">
        <v>2817</v>
      </c>
      <c r="M357" s="26">
        <f>IFERROR(VLOOKUP(Table21[[#This Row],[ROUTE]],DEMAND!A:F,5,FALSE),0)</f>
        <v>2949</v>
      </c>
      <c r="N357" s="26">
        <f>IFERROR(VLOOKUP(Table21[[#This Row],[ROUTE]],DEMAND!A:F,6,FALSE),0)</f>
        <v>309</v>
      </c>
      <c r="O357" s="26">
        <f>ROUNDDOWN(Table21[[#This Row],[R-DEMAND]]/1320,0)</f>
        <v>0</v>
      </c>
      <c r="P357" s="26">
        <f>Table21[[#This Row],[ADD ACC]]*Table21[[#This Row],[Duration
(747-400)]]</f>
        <v>0</v>
      </c>
      <c r="Q357" s="284">
        <f>IFERROR(VLOOKUP(Table21[[#This Row],[ROUTE]],PRICING!A:B,2,FALSE),0)</f>
        <v>2558</v>
      </c>
      <c r="R357" s="282">
        <f>Table21[[#This Row],[C_DEMAND]]-Table21[[#This Row],[R-DEMAND]]</f>
        <v>2640</v>
      </c>
      <c r="S357" s="287">
        <f>Table21[[#This Row],[SEATS SOLD]]*Table21[[#This Row],[ECO SEAT]]</f>
        <v>6753120</v>
      </c>
    </row>
    <row r="358" spans="1:19" x14ac:dyDescent="0.25">
      <c r="A358" s="16" t="s">
        <v>16613</v>
      </c>
      <c r="B358" s="16" t="s">
        <v>419</v>
      </c>
      <c r="C358" s="16" t="s">
        <v>2</v>
      </c>
      <c r="D358" s="16">
        <v>4</v>
      </c>
      <c r="E358" s="16" t="s">
        <v>197</v>
      </c>
      <c r="F358" s="16" t="s">
        <v>12670</v>
      </c>
      <c r="G358" s="179" t="s">
        <v>418</v>
      </c>
      <c r="H358" s="254">
        <v>4224</v>
      </c>
      <c r="I358" s="180">
        <v>11.5</v>
      </c>
      <c r="J358" s="102">
        <v>205350760</v>
      </c>
      <c r="K358" s="102">
        <f>IFERROR(Table21[[#This Row],[ROUTE COST]]/Table21[[#This Row],[O - DEMAND]],0)</f>
        <v>39211.525682642736</v>
      </c>
      <c r="L358" s="26">
        <v>5237</v>
      </c>
      <c r="M358" s="26">
        <f>IFERROR(VLOOKUP(Table21[[#This Row],[ROUTE]],DEMAND!A:F,5,FALSE),0)</f>
        <v>5587</v>
      </c>
      <c r="N358" s="26">
        <f>IFERROR(VLOOKUP(Table21[[#This Row],[ROUTE]],DEMAND!A:F,6,FALSE),0)</f>
        <v>307</v>
      </c>
      <c r="O358" s="26">
        <f>ROUNDDOWN(Table21[[#This Row],[R-DEMAND]]/1320,0)</f>
        <v>0</v>
      </c>
      <c r="P358" s="26">
        <f>Table21[[#This Row],[ADD ACC]]*Table21[[#This Row],[Duration
(747-400)]]</f>
        <v>0</v>
      </c>
      <c r="Q358" s="284">
        <f>IFERROR(VLOOKUP(Table21[[#This Row],[ROUTE]],PRICING!A:B,2,FALSE),0)</f>
        <v>1143</v>
      </c>
      <c r="R358" s="282">
        <f>Table21[[#This Row],[C_DEMAND]]-Table21[[#This Row],[R-DEMAND]]</f>
        <v>5280</v>
      </c>
      <c r="S358" s="287">
        <f>Table21[[#This Row],[SEATS SOLD]]*Table21[[#This Row],[ECO SEAT]]</f>
        <v>6035040</v>
      </c>
    </row>
    <row r="359" spans="1:19" x14ac:dyDescent="0.25">
      <c r="A359" s="16" t="s">
        <v>16350</v>
      </c>
      <c r="B359" s="16" t="s">
        <v>6</v>
      </c>
      <c r="C359" s="16" t="s">
        <v>2</v>
      </c>
      <c r="D359" s="16">
        <v>5</v>
      </c>
      <c r="E359" s="16" t="s">
        <v>1674</v>
      </c>
      <c r="F359" s="16" t="s">
        <v>12674</v>
      </c>
      <c r="G359" s="179" t="s">
        <v>11025</v>
      </c>
      <c r="H359" s="254">
        <v>7972</v>
      </c>
      <c r="I359" s="180">
        <v>19.75</v>
      </c>
      <c r="J359" s="102">
        <v>254059155</v>
      </c>
      <c r="K359" s="102">
        <f>IFERROR(Table21[[#This Row],[ROUTE COST]]/Table21[[#This Row],[O - DEMAND]],0)</f>
        <v>89805.286320254512</v>
      </c>
      <c r="L359" s="26">
        <v>2829</v>
      </c>
      <c r="M359" s="26">
        <f>IFERROR(VLOOKUP(Table21[[#This Row],[ROUTE]],DEMAND!A:F,5,FALSE),0)</f>
        <v>2942</v>
      </c>
      <c r="N359" s="26">
        <f>IFERROR(VLOOKUP(Table21[[#This Row],[ROUTE]],DEMAND!A:F,6,FALSE),0)</f>
        <v>302</v>
      </c>
      <c r="O359" s="26">
        <f>ROUNDDOWN(Table21[[#This Row],[R-DEMAND]]/1320,0)</f>
        <v>0</v>
      </c>
      <c r="P359" s="26">
        <f>Table21[[#This Row],[ADD ACC]]*Table21[[#This Row],[Duration
(747-400)]]</f>
        <v>0</v>
      </c>
      <c r="Q359" s="284">
        <f>IFERROR(VLOOKUP(Table21[[#This Row],[ROUTE]],PRICING!A:B,2,FALSE),0)</f>
        <v>2280</v>
      </c>
      <c r="R359" s="282">
        <f>Table21[[#This Row],[C_DEMAND]]-Table21[[#This Row],[R-DEMAND]]</f>
        <v>2640</v>
      </c>
      <c r="S359" s="287">
        <f>Table21[[#This Row],[SEATS SOLD]]*Table21[[#This Row],[ECO SEAT]]</f>
        <v>6019200</v>
      </c>
    </row>
    <row r="360" spans="1:19" x14ac:dyDescent="0.25">
      <c r="A360" s="16" t="s">
        <v>16400</v>
      </c>
      <c r="B360" s="16" t="s">
        <v>4414</v>
      </c>
      <c r="C360" s="16" t="s">
        <v>2</v>
      </c>
      <c r="D360" s="16">
        <v>2</v>
      </c>
      <c r="E360" s="16" t="s">
        <v>172</v>
      </c>
      <c r="F360" s="16" t="s">
        <v>12670</v>
      </c>
      <c r="G360" s="179" t="s">
        <v>9697</v>
      </c>
      <c r="H360" s="254">
        <v>7464</v>
      </c>
      <c r="I360" s="180">
        <v>18.75</v>
      </c>
      <c r="J360" s="102">
        <v>212073634</v>
      </c>
      <c r="K360" s="102">
        <f>IFERROR(Table21[[#This Row],[ROUTE COST]]/Table21[[#This Row],[O - DEMAND]],0)</f>
        <v>76727.074529667152</v>
      </c>
      <c r="L360" s="26">
        <v>2764</v>
      </c>
      <c r="M360" s="26">
        <f>IFERROR(VLOOKUP(Table21[[#This Row],[ROUTE]],DEMAND!A:F,5,FALSE),0)</f>
        <v>2940</v>
      </c>
      <c r="N360" s="26">
        <f>IFERROR(VLOOKUP(Table21[[#This Row],[ROUTE]],DEMAND!A:F,6,FALSE),0)</f>
        <v>300</v>
      </c>
      <c r="O360" s="26">
        <f>ROUNDDOWN(Table21[[#This Row],[R-DEMAND]]/1320,0)</f>
        <v>0</v>
      </c>
      <c r="P360" s="26">
        <f>Table21[[#This Row],[ADD ACC]]*Table21[[#This Row],[Duration
(747-400)]]</f>
        <v>0</v>
      </c>
      <c r="Q360" s="284">
        <f>IFERROR(VLOOKUP(Table21[[#This Row],[ROUTE]],PRICING!A:B,2,FALSE),0)</f>
        <v>1970</v>
      </c>
      <c r="R360" s="282">
        <f>Table21[[#This Row],[C_DEMAND]]-Table21[[#This Row],[R-DEMAND]]</f>
        <v>2640</v>
      </c>
      <c r="S360" s="287">
        <f>Table21[[#This Row],[SEATS SOLD]]*Table21[[#This Row],[ECO SEAT]]</f>
        <v>5200800</v>
      </c>
    </row>
    <row r="361" spans="1:19" x14ac:dyDescent="0.25">
      <c r="A361" s="16" t="s">
        <v>16593</v>
      </c>
      <c r="B361" s="16" t="s">
        <v>3365</v>
      </c>
      <c r="C361" s="16" t="s">
        <v>2</v>
      </c>
      <c r="D361" s="16">
        <v>2</v>
      </c>
      <c r="E361" s="16" t="s">
        <v>588</v>
      </c>
      <c r="F361" s="16" t="s">
        <v>12674</v>
      </c>
      <c r="G361" s="179" t="s">
        <v>11924</v>
      </c>
      <c r="H361" s="254">
        <v>4661</v>
      </c>
      <c r="I361" s="180">
        <v>12.5</v>
      </c>
      <c r="J361" s="102">
        <v>176515765</v>
      </c>
      <c r="K361" s="102">
        <f>IFERROR(Table21[[#This Row],[ROUTE COST]]/Table21[[#This Row],[O - DEMAND]],0)</f>
        <v>63267.29928315412</v>
      </c>
      <c r="L361" s="26">
        <v>2790</v>
      </c>
      <c r="M361" s="26">
        <f>IFERROR(VLOOKUP(Table21[[#This Row],[ROUTE]],DEMAND!A:F,5,FALSE),0)</f>
        <v>2939</v>
      </c>
      <c r="N361" s="26">
        <f>IFERROR(VLOOKUP(Table21[[#This Row],[ROUTE]],DEMAND!A:F,6,FALSE),0)</f>
        <v>299</v>
      </c>
      <c r="O361" s="26">
        <f>ROUNDDOWN(Table21[[#This Row],[R-DEMAND]]/1320,0)</f>
        <v>0</v>
      </c>
      <c r="P361" s="26">
        <f>Table21[[#This Row],[ADD ACC]]*Table21[[#This Row],[Duration
(747-400)]]</f>
        <v>0</v>
      </c>
      <c r="Q361" s="284">
        <f>IFERROR(VLOOKUP(Table21[[#This Row],[ROUTE]],PRICING!A:B,2,FALSE),0)</f>
        <v>1313</v>
      </c>
      <c r="R361" s="282">
        <f>Table21[[#This Row],[C_DEMAND]]-Table21[[#This Row],[R-DEMAND]]</f>
        <v>2640</v>
      </c>
      <c r="S361" s="287">
        <f>Table21[[#This Row],[SEATS SOLD]]*Table21[[#This Row],[ECO SEAT]]</f>
        <v>3466320</v>
      </c>
    </row>
    <row r="362" spans="1:19" x14ac:dyDescent="0.25">
      <c r="A362" s="16" t="s">
        <v>16200</v>
      </c>
      <c r="B362" s="16" t="s">
        <v>4211</v>
      </c>
      <c r="C362" s="16" t="s">
        <v>2</v>
      </c>
      <c r="D362" s="16">
        <v>2</v>
      </c>
      <c r="E362" s="16" t="s">
        <v>938</v>
      </c>
      <c r="F362" s="16" t="s">
        <v>12671</v>
      </c>
      <c r="G362" s="179" t="s">
        <v>11975</v>
      </c>
      <c r="H362" s="254">
        <v>9686</v>
      </c>
      <c r="I362" s="180">
        <v>23.5</v>
      </c>
      <c r="J362" s="102">
        <v>234524826</v>
      </c>
      <c r="K362" s="102">
        <f>IFERROR(Table21[[#This Row],[ROUTE COST]]/Table21[[#This Row],[O - DEMAND]],0)</f>
        <v>57117.590355577202</v>
      </c>
      <c r="L362" s="26">
        <v>4106</v>
      </c>
      <c r="M362" s="26">
        <f>IFERROR(VLOOKUP(Table21[[#This Row],[ROUTE]],DEMAND!A:F,5,FALSE),0)</f>
        <v>4257</v>
      </c>
      <c r="N362" s="26">
        <f>IFERROR(VLOOKUP(Table21[[#This Row],[ROUTE]],DEMAND!A:F,6,FALSE),0)</f>
        <v>297</v>
      </c>
      <c r="O362" s="26">
        <f>ROUNDDOWN(Table21[[#This Row],[R-DEMAND]]/1320,0)</f>
        <v>0</v>
      </c>
      <c r="P362" s="26">
        <f>Table21[[#This Row],[ADD ACC]]*Table21[[#This Row],[Duration
(747-400)]]</f>
        <v>0</v>
      </c>
      <c r="Q362" s="284">
        <f>IFERROR(VLOOKUP(Table21[[#This Row],[ROUTE]],PRICING!A:B,2,FALSE),0)</f>
        <v>2778</v>
      </c>
      <c r="R362" s="282">
        <f>Table21[[#This Row],[C_DEMAND]]-Table21[[#This Row],[R-DEMAND]]</f>
        <v>3960</v>
      </c>
      <c r="S362" s="287">
        <f>Table21[[#This Row],[SEATS SOLD]]*Table21[[#This Row],[ECO SEAT]]</f>
        <v>11000880</v>
      </c>
    </row>
    <row r="363" spans="1:19" x14ac:dyDescent="0.25">
      <c r="A363" s="16" t="s">
        <v>16363</v>
      </c>
      <c r="B363" s="16" t="s">
        <v>5585</v>
      </c>
      <c r="C363" s="16" t="s">
        <v>2</v>
      </c>
      <c r="D363" s="16">
        <v>4</v>
      </c>
      <c r="E363" s="16" t="s">
        <v>1427</v>
      </c>
      <c r="F363" s="16" t="s">
        <v>12674</v>
      </c>
      <c r="G363" s="179" t="s">
        <v>11041</v>
      </c>
      <c r="H363" s="254">
        <v>7848</v>
      </c>
      <c r="I363" s="180">
        <v>19.5</v>
      </c>
      <c r="J363" s="102">
        <v>241661355</v>
      </c>
      <c r="K363" s="102">
        <f>IFERROR(Table21[[#This Row],[ROUTE COST]]/Table21[[#This Row],[O - DEMAND]],0)</f>
        <v>85032.144616467282</v>
      </c>
      <c r="L363" s="26">
        <v>2842</v>
      </c>
      <c r="M363" s="26">
        <f>IFERROR(VLOOKUP(Table21[[#This Row],[ROUTE]],DEMAND!A:F,5,FALSE),0)</f>
        <v>2937</v>
      </c>
      <c r="N363" s="26">
        <f>IFERROR(VLOOKUP(Table21[[#This Row],[ROUTE]],DEMAND!A:F,6,FALSE),0)</f>
        <v>297</v>
      </c>
      <c r="O363" s="26">
        <f>ROUNDDOWN(Table21[[#This Row],[R-DEMAND]]/1320,0)</f>
        <v>0</v>
      </c>
      <c r="P363" s="26">
        <f>Table21[[#This Row],[ADD ACC]]*Table21[[#This Row],[Duration
(747-400)]]</f>
        <v>0</v>
      </c>
      <c r="Q363" s="284">
        <f>IFERROR(VLOOKUP(Table21[[#This Row],[ROUTE]],PRICING!A:B,2,FALSE),0)</f>
        <v>2296</v>
      </c>
      <c r="R363" s="282">
        <f>Table21[[#This Row],[C_DEMAND]]-Table21[[#This Row],[R-DEMAND]]</f>
        <v>2640</v>
      </c>
      <c r="S363" s="287">
        <f>Table21[[#This Row],[SEATS SOLD]]*Table21[[#This Row],[ECO SEAT]]</f>
        <v>6061440</v>
      </c>
    </row>
    <row r="364" spans="1:19" x14ac:dyDescent="0.25">
      <c r="A364" s="16" t="s">
        <v>16317</v>
      </c>
      <c r="B364" s="16" t="s">
        <v>5706</v>
      </c>
      <c r="C364" s="16" t="s">
        <v>2</v>
      </c>
      <c r="D364" s="16">
        <v>5</v>
      </c>
      <c r="E364" s="16" t="s">
        <v>560</v>
      </c>
      <c r="F364" s="16" t="s">
        <v>12674</v>
      </c>
      <c r="G364" s="179" t="s">
        <v>11052</v>
      </c>
      <c r="H364" s="254">
        <v>8222</v>
      </c>
      <c r="I364" s="180">
        <v>20.25</v>
      </c>
      <c r="J364" s="102">
        <v>260952253</v>
      </c>
      <c r="K364" s="102">
        <f>IFERROR(Table21[[#This Row],[ROUTE COST]]/Table21[[#This Row],[O - DEMAND]],0)</f>
        <v>93363.954561717357</v>
      </c>
      <c r="L364" s="26">
        <v>2795</v>
      </c>
      <c r="M364" s="26">
        <f>IFERROR(VLOOKUP(Table21[[#This Row],[ROUTE]],DEMAND!A:F,5,FALSE),0)</f>
        <v>2935</v>
      </c>
      <c r="N364" s="26">
        <f>IFERROR(VLOOKUP(Table21[[#This Row],[ROUTE]],DEMAND!A:F,6,FALSE),0)</f>
        <v>295</v>
      </c>
      <c r="O364" s="26">
        <f>ROUNDDOWN(Table21[[#This Row],[R-DEMAND]]/1320,0)</f>
        <v>0</v>
      </c>
      <c r="P364" s="26">
        <f>Table21[[#This Row],[ADD ACC]]*Table21[[#This Row],[Duration
(747-400)]]</f>
        <v>0</v>
      </c>
      <c r="Q364" s="284">
        <f>IFERROR(VLOOKUP(Table21[[#This Row],[ROUTE]],PRICING!A:B,2,FALSE),0)</f>
        <v>2267</v>
      </c>
      <c r="R364" s="282">
        <f>Table21[[#This Row],[C_DEMAND]]-Table21[[#This Row],[R-DEMAND]]</f>
        <v>2640</v>
      </c>
      <c r="S364" s="287">
        <f>Table21[[#This Row],[SEATS SOLD]]*Table21[[#This Row],[ECO SEAT]]</f>
        <v>5984880</v>
      </c>
    </row>
    <row r="365" spans="1:19" x14ac:dyDescent="0.25">
      <c r="A365" s="16" t="s">
        <v>16302</v>
      </c>
      <c r="B365" s="16" t="s">
        <v>87</v>
      </c>
      <c r="C365" s="16" t="s">
        <v>2</v>
      </c>
      <c r="D365" s="16">
        <v>3</v>
      </c>
      <c r="E365" s="16" t="s">
        <v>1858</v>
      </c>
      <c r="F365" s="16" t="s">
        <v>12674</v>
      </c>
      <c r="G365" s="179" t="s">
        <v>11689</v>
      </c>
      <c r="H365" s="254">
        <v>8446</v>
      </c>
      <c r="I365" s="180">
        <v>20.75</v>
      </c>
      <c r="J365" s="102">
        <v>233234291</v>
      </c>
      <c r="K365" s="102">
        <f>IFERROR(Table21[[#This Row],[ROUTE COST]]/Table21[[#This Row],[O - DEMAND]],0)</f>
        <v>82648.579376328838</v>
      </c>
      <c r="L365" s="26">
        <v>2822</v>
      </c>
      <c r="M365" s="26">
        <f>IFERROR(VLOOKUP(Table21[[#This Row],[ROUTE]],DEMAND!A:F,5,FALSE),0)</f>
        <v>2935</v>
      </c>
      <c r="N365" s="26">
        <f>IFERROR(VLOOKUP(Table21[[#This Row],[ROUTE]],DEMAND!A:F,6,FALSE),0)</f>
        <v>295</v>
      </c>
      <c r="O365" s="26">
        <f>ROUNDDOWN(Table21[[#This Row],[R-DEMAND]]/1320,0)</f>
        <v>0</v>
      </c>
      <c r="P365" s="26">
        <f>Table21[[#This Row],[ADD ACC]]*Table21[[#This Row],[Duration
(747-400)]]</f>
        <v>0</v>
      </c>
      <c r="Q365" s="284">
        <f>IFERROR(VLOOKUP(Table21[[#This Row],[ROUTE]],PRICING!A:B,2,FALSE),0)</f>
        <v>2409</v>
      </c>
      <c r="R365" s="282">
        <f>Table21[[#This Row],[C_DEMAND]]-Table21[[#This Row],[R-DEMAND]]</f>
        <v>2640</v>
      </c>
      <c r="S365" s="287">
        <f>Table21[[#This Row],[SEATS SOLD]]*Table21[[#This Row],[ECO SEAT]]</f>
        <v>6359760</v>
      </c>
    </row>
    <row r="366" spans="1:19" x14ac:dyDescent="0.25">
      <c r="A366" s="16" t="s">
        <v>16646</v>
      </c>
      <c r="B366" s="16" t="s">
        <v>5436</v>
      </c>
      <c r="C366" s="16" t="s">
        <v>2</v>
      </c>
      <c r="D366" s="16">
        <v>3</v>
      </c>
      <c r="E366" s="16" t="s">
        <v>78</v>
      </c>
      <c r="F366" s="16" t="s">
        <v>12674</v>
      </c>
      <c r="G366" s="179" t="s">
        <v>11938</v>
      </c>
      <c r="H366" s="254">
        <v>3571</v>
      </c>
      <c r="I366" s="180">
        <v>10</v>
      </c>
      <c r="J366" s="102">
        <v>191644646</v>
      </c>
      <c r="K366" s="102">
        <f>IFERROR(Table21[[#This Row],[ROUTE COST]]/Table21[[#This Row],[O - DEMAND]],0)</f>
        <v>47331.35243269943</v>
      </c>
      <c r="L366" s="26">
        <v>4049</v>
      </c>
      <c r="M366" s="26">
        <f>IFERROR(VLOOKUP(Table21[[#This Row],[ROUTE]],DEMAND!A:F,5,FALSE),0)</f>
        <v>4252</v>
      </c>
      <c r="N366" s="26">
        <f>IFERROR(VLOOKUP(Table21[[#This Row],[ROUTE]],DEMAND!A:F,6,FALSE),0)</f>
        <v>292</v>
      </c>
      <c r="O366" s="26">
        <f>ROUNDDOWN(Table21[[#This Row],[R-DEMAND]]/1320,0)</f>
        <v>0</v>
      </c>
      <c r="P366" s="26">
        <f>Table21[[#This Row],[ADD ACC]]*Table21[[#This Row],[Duration
(747-400)]]</f>
        <v>0</v>
      </c>
      <c r="Q366" s="284">
        <f>IFERROR(VLOOKUP(Table21[[#This Row],[ROUTE]],PRICING!A:B,2,FALSE),0)</f>
        <v>1042</v>
      </c>
      <c r="R366" s="282">
        <f>Table21[[#This Row],[C_DEMAND]]-Table21[[#This Row],[R-DEMAND]]</f>
        <v>3960</v>
      </c>
      <c r="S366" s="287">
        <f>Table21[[#This Row],[SEATS SOLD]]*Table21[[#This Row],[ECO SEAT]]</f>
        <v>4126320</v>
      </c>
    </row>
    <row r="367" spans="1:19" x14ac:dyDescent="0.25">
      <c r="A367" s="251" t="s">
        <v>16749</v>
      </c>
      <c r="B367" s="251" t="s">
        <v>114</v>
      </c>
      <c r="C367" s="16" t="s">
        <v>2</v>
      </c>
      <c r="D367" s="251">
        <v>5</v>
      </c>
      <c r="E367" s="251" t="s">
        <v>14</v>
      </c>
      <c r="F367" s="251" t="s">
        <v>12670</v>
      </c>
      <c r="G367" s="252" t="s">
        <v>12045</v>
      </c>
      <c r="H367" s="254">
        <v>1099</v>
      </c>
      <c r="I367" s="180">
        <v>4.5</v>
      </c>
      <c r="J367" s="102">
        <v>194905738</v>
      </c>
      <c r="K367" s="253">
        <f>IFERROR(Table21[[#This Row],[ROUTE COST]]/Table21[[#This Row],[O - DEMAND]],0)</f>
        <v>47549.582337155407</v>
      </c>
      <c r="L367" s="26">
        <v>4099</v>
      </c>
      <c r="M367" s="26">
        <f>IFERROR(VLOOKUP(Table21[[#This Row],[ROUTE]],DEMAND!A:F,5,FALSE),0)</f>
        <v>4251</v>
      </c>
      <c r="N367" s="26">
        <f>IFERROR(VLOOKUP(Table21[[#This Row],[ROUTE]],DEMAND!A:F,6,FALSE),0)</f>
        <v>291</v>
      </c>
      <c r="O367" s="26">
        <f>ROUNDDOWN(Table21[[#This Row],[R-DEMAND]]/1320,0)</f>
        <v>0</v>
      </c>
      <c r="P367" s="26">
        <f>Table21[[#This Row],[ADD ACC]]*Table21[[#This Row],[Duration
(747-400)]]</f>
        <v>0</v>
      </c>
      <c r="Q367" s="284">
        <f>IFERROR(VLOOKUP(Table21[[#This Row],[ROUTE]],PRICING!A:B,2,FALSE),0)</f>
        <v>409</v>
      </c>
      <c r="R367" s="282">
        <f>Table21[[#This Row],[C_DEMAND]]-Table21[[#This Row],[R-DEMAND]]</f>
        <v>3960</v>
      </c>
      <c r="S367" s="287">
        <f>Table21[[#This Row],[SEATS SOLD]]*Table21[[#This Row],[ECO SEAT]]</f>
        <v>1619640</v>
      </c>
    </row>
    <row r="368" spans="1:19" x14ac:dyDescent="0.25">
      <c r="A368" s="16" t="s">
        <v>15996</v>
      </c>
      <c r="B368" s="16" t="s">
        <v>4570</v>
      </c>
      <c r="C368" s="16" t="s">
        <v>2</v>
      </c>
      <c r="D368" s="16">
        <v>2</v>
      </c>
      <c r="E368" s="16" t="s">
        <v>886</v>
      </c>
      <c r="F368" s="16" t="s">
        <v>12671</v>
      </c>
      <c r="G368" s="179" t="s">
        <v>13176</v>
      </c>
      <c r="H368" s="254">
        <v>12439</v>
      </c>
      <c r="I368" s="180">
        <v>29.75</v>
      </c>
      <c r="J368" s="102">
        <v>265161073</v>
      </c>
      <c r="K368" s="102">
        <f>IFERROR(Table21[[#This Row],[ROUTE COST]]/Table21[[#This Row],[O - DEMAND]],0)</f>
        <v>66323.429964982497</v>
      </c>
      <c r="L368" s="26">
        <v>3998</v>
      </c>
      <c r="M368" s="26">
        <f>IFERROR(VLOOKUP(Table21[[#This Row],[ROUTE]],DEMAND!A:F,5,FALSE),0)</f>
        <v>4251</v>
      </c>
      <c r="N368" s="26">
        <f>IFERROR(VLOOKUP(Table21[[#This Row],[ROUTE]],DEMAND!A:F,6,FALSE),0)</f>
        <v>291</v>
      </c>
      <c r="O368" s="26">
        <f>ROUNDDOWN(Table21[[#This Row],[R-DEMAND]]/1320,0)</f>
        <v>0</v>
      </c>
      <c r="P368" s="26">
        <f>Table21[[#This Row],[ADD ACC]]*Table21[[#This Row],[Duration
(747-400)]]</f>
        <v>0</v>
      </c>
      <c r="Q368" s="284">
        <f>IFERROR(VLOOKUP(Table21[[#This Row],[ROUTE]],PRICING!A:B,2,FALSE),0)</f>
        <v>3220</v>
      </c>
      <c r="R368" s="282">
        <f>Table21[[#This Row],[C_DEMAND]]-Table21[[#This Row],[R-DEMAND]]</f>
        <v>3960</v>
      </c>
      <c r="S368" s="287">
        <f>Table21[[#This Row],[SEATS SOLD]]*Table21[[#This Row],[ECO SEAT]]</f>
        <v>12751200</v>
      </c>
    </row>
    <row r="369" spans="1:19" x14ac:dyDescent="0.25">
      <c r="A369" s="16" t="s">
        <v>16229</v>
      </c>
      <c r="B369" s="16" t="s">
        <v>2079</v>
      </c>
      <c r="C369" s="16" t="s">
        <v>2</v>
      </c>
      <c r="D369" s="16">
        <v>1</v>
      </c>
      <c r="E369" s="16" t="s">
        <v>493</v>
      </c>
      <c r="F369" s="16" t="s">
        <v>12671</v>
      </c>
      <c r="G369" s="179" t="s">
        <v>11721</v>
      </c>
      <c r="H369" s="254">
        <v>9406</v>
      </c>
      <c r="I369" s="180">
        <v>23</v>
      </c>
      <c r="J369" s="102">
        <v>219468689</v>
      </c>
      <c r="K369" s="102">
        <f>IFERROR(Table21[[#This Row],[ROUTE COST]]/Table21[[#This Row],[O - DEMAND]],0)</f>
        <v>78437.701572551829</v>
      </c>
      <c r="L369" s="26">
        <v>2798</v>
      </c>
      <c r="M369" s="26">
        <f>IFERROR(VLOOKUP(Table21[[#This Row],[ROUTE]],DEMAND!A:F,5,FALSE),0)</f>
        <v>2929</v>
      </c>
      <c r="N369" s="26">
        <f>IFERROR(VLOOKUP(Table21[[#This Row],[ROUTE]],DEMAND!A:F,6,FALSE),0)</f>
        <v>289</v>
      </c>
      <c r="O369" s="26">
        <f>ROUNDDOWN(Table21[[#This Row],[R-DEMAND]]/1320,0)</f>
        <v>0</v>
      </c>
      <c r="P369" s="26">
        <f>Table21[[#This Row],[ADD ACC]]*Table21[[#This Row],[Duration
(747-400)]]</f>
        <v>0</v>
      </c>
      <c r="Q369" s="284">
        <f>IFERROR(VLOOKUP(Table21[[#This Row],[ROUTE]],PRICING!A:B,2,FALSE),0)</f>
        <v>2610</v>
      </c>
      <c r="R369" s="282">
        <f>Table21[[#This Row],[C_DEMAND]]-Table21[[#This Row],[R-DEMAND]]</f>
        <v>2640</v>
      </c>
      <c r="S369" s="287">
        <f>Table21[[#This Row],[SEATS SOLD]]*Table21[[#This Row],[ECO SEAT]]</f>
        <v>6890400</v>
      </c>
    </row>
    <row r="370" spans="1:19" x14ac:dyDescent="0.25">
      <c r="A370" s="16" t="s">
        <v>16230</v>
      </c>
      <c r="B370" s="16" t="s">
        <v>1643</v>
      </c>
      <c r="C370" s="16" t="s">
        <v>2</v>
      </c>
      <c r="D370" s="16">
        <v>1</v>
      </c>
      <c r="E370" s="16" t="s">
        <v>493</v>
      </c>
      <c r="F370" s="16" t="s">
        <v>12671</v>
      </c>
      <c r="G370" s="179" t="s">
        <v>11719</v>
      </c>
      <c r="H370" s="254">
        <v>9395</v>
      </c>
      <c r="I370" s="180">
        <v>23</v>
      </c>
      <c r="J370" s="102">
        <v>217476689</v>
      </c>
      <c r="K370" s="102">
        <f>IFERROR(Table21[[#This Row],[ROUTE COST]]/Table21[[#This Row],[O - DEMAND]],0)</f>
        <v>79313.161560904453</v>
      </c>
      <c r="L370" s="26">
        <v>2742</v>
      </c>
      <c r="M370" s="26">
        <f>IFERROR(VLOOKUP(Table21[[#This Row],[ROUTE]],DEMAND!A:F,5,FALSE),0)</f>
        <v>2925</v>
      </c>
      <c r="N370" s="26">
        <f>IFERROR(VLOOKUP(Table21[[#This Row],[ROUTE]],DEMAND!A:F,6,FALSE),0)</f>
        <v>285</v>
      </c>
      <c r="O370" s="26">
        <f>ROUNDDOWN(Table21[[#This Row],[R-DEMAND]]/1320,0)</f>
        <v>0</v>
      </c>
      <c r="P370" s="26">
        <f>Table21[[#This Row],[ADD ACC]]*Table21[[#This Row],[Duration
(747-400)]]</f>
        <v>0</v>
      </c>
      <c r="Q370" s="284">
        <f>IFERROR(VLOOKUP(Table21[[#This Row],[ROUTE]],PRICING!A:B,2,FALSE),0)</f>
        <v>2425</v>
      </c>
      <c r="R370" s="282">
        <f>Table21[[#This Row],[C_DEMAND]]-Table21[[#This Row],[R-DEMAND]]</f>
        <v>2640</v>
      </c>
      <c r="S370" s="287">
        <f>Table21[[#This Row],[SEATS SOLD]]*Table21[[#This Row],[ECO SEAT]]</f>
        <v>6402000</v>
      </c>
    </row>
    <row r="371" spans="1:19" x14ac:dyDescent="0.25">
      <c r="A371" s="16" t="s">
        <v>16383</v>
      </c>
      <c r="B371" s="16" t="s">
        <v>4651</v>
      </c>
      <c r="C371" s="16" t="s">
        <v>2</v>
      </c>
      <c r="D371" s="16">
        <v>3</v>
      </c>
      <c r="E371" s="16" t="s">
        <v>1117</v>
      </c>
      <c r="F371" s="16" t="s">
        <v>12674</v>
      </c>
      <c r="G371" s="179" t="s">
        <v>10122</v>
      </c>
      <c r="H371" s="254">
        <v>7704</v>
      </c>
      <c r="I371" s="180">
        <v>19.25</v>
      </c>
      <c r="J371" s="102">
        <v>217264592</v>
      </c>
      <c r="K371" s="102">
        <f>IFERROR(Table21[[#This Row],[ROUTE COST]]/Table21[[#This Row],[O - DEMAND]],0)</f>
        <v>78237.159524666902</v>
      </c>
      <c r="L371" s="26">
        <v>2777</v>
      </c>
      <c r="M371" s="26">
        <f>IFERROR(VLOOKUP(Table21[[#This Row],[ROUTE]],DEMAND!A:F,5,FALSE),0)</f>
        <v>2925</v>
      </c>
      <c r="N371" s="26">
        <f>IFERROR(VLOOKUP(Table21[[#This Row],[ROUTE]],DEMAND!A:F,6,FALSE),0)</f>
        <v>285</v>
      </c>
      <c r="O371" s="26">
        <f>ROUNDDOWN(Table21[[#This Row],[R-DEMAND]]/1320,0)</f>
        <v>0</v>
      </c>
      <c r="P371" s="26">
        <f>Table21[[#This Row],[ADD ACC]]*Table21[[#This Row],[Duration
(747-400)]]</f>
        <v>0</v>
      </c>
      <c r="Q371" s="284">
        <f>IFERROR(VLOOKUP(Table21[[#This Row],[ROUTE]],PRICING!A:B,2,FALSE),0)</f>
        <v>2106</v>
      </c>
      <c r="R371" s="282">
        <f>Table21[[#This Row],[C_DEMAND]]-Table21[[#This Row],[R-DEMAND]]</f>
        <v>2640</v>
      </c>
      <c r="S371" s="287">
        <f>Table21[[#This Row],[SEATS SOLD]]*Table21[[#This Row],[ECO SEAT]]</f>
        <v>5559840</v>
      </c>
    </row>
    <row r="372" spans="1:19" x14ac:dyDescent="0.25">
      <c r="A372" s="16" t="s">
        <v>16284</v>
      </c>
      <c r="B372" s="16" t="s">
        <v>5717</v>
      </c>
      <c r="C372" s="16" t="s">
        <v>2</v>
      </c>
      <c r="D372" s="16">
        <v>5</v>
      </c>
      <c r="E372" s="16" t="s">
        <v>11732</v>
      </c>
      <c r="F372" s="16" t="s">
        <v>15969</v>
      </c>
      <c r="G372" s="179" t="s">
        <v>13256</v>
      </c>
      <c r="H372" s="254">
        <v>8681</v>
      </c>
      <c r="I372" s="180">
        <v>21.25</v>
      </c>
      <c r="J372" s="102">
        <v>267468203</v>
      </c>
      <c r="K372" s="102">
        <f>IFERROR(Table21[[#This Row],[ROUTE COST]]/Table21[[#This Row],[O - DEMAND]],0)</f>
        <v>94545.140685754683</v>
      </c>
      <c r="L372" s="26">
        <v>2829</v>
      </c>
      <c r="M372" s="26">
        <f>IFERROR(VLOOKUP(Table21[[#This Row],[ROUTE]],DEMAND!A:F,5,FALSE),0)</f>
        <v>2924</v>
      </c>
      <c r="N372" s="26">
        <f>IFERROR(VLOOKUP(Table21[[#This Row],[ROUTE]],DEMAND!A:F,6,FALSE),0)</f>
        <v>284</v>
      </c>
      <c r="O372" s="26">
        <f>ROUNDDOWN(Table21[[#This Row],[R-DEMAND]]/1320,0)</f>
        <v>0</v>
      </c>
      <c r="P372" s="26">
        <f>Table21[[#This Row],[ADD ACC]]*Table21[[#This Row],[Duration
(747-400)]]</f>
        <v>0</v>
      </c>
      <c r="Q372" s="284">
        <f>IFERROR(VLOOKUP(Table21[[#This Row],[ROUTE]],PRICING!A:B,2,FALSE),0)</f>
        <v>2529</v>
      </c>
      <c r="R372" s="282">
        <f>Table21[[#This Row],[C_DEMAND]]-Table21[[#This Row],[R-DEMAND]]</f>
        <v>2640</v>
      </c>
      <c r="S372" s="287">
        <f>Table21[[#This Row],[SEATS SOLD]]*Table21[[#This Row],[ECO SEAT]]</f>
        <v>6676560</v>
      </c>
    </row>
    <row r="373" spans="1:19" x14ac:dyDescent="0.25">
      <c r="A373" s="16" t="s">
        <v>16399</v>
      </c>
      <c r="B373" s="16" t="s">
        <v>288</v>
      </c>
      <c r="C373" s="16" t="s">
        <v>2</v>
      </c>
      <c r="D373" s="16">
        <v>4</v>
      </c>
      <c r="E373" s="16" t="s">
        <v>1427</v>
      </c>
      <c r="F373" s="16" t="s">
        <v>12674</v>
      </c>
      <c r="G373" s="179" t="s">
        <v>11083</v>
      </c>
      <c r="H373" s="254">
        <v>7464</v>
      </c>
      <c r="I373" s="180">
        <v>18.75</v>
      </c>
      <c r="J373" s="102">
        <v>237412627</v>
      </c>
      <c r="K373" s="102">
        <f>IFERROR(Table21[[#This Row],[ROUTE COST]]/Table21[[#This Row],[O - DEMAND]],0)</f>
        <v>83921.041710851889</v>
      </c>
      <c r="L373" s="26">
        <v>2829</v>
      </c>
      <c r="M373" s="26">
        <f>IFERROR(VLOOKUP(Table21[[#This Row],[ROUTE]],DEMAND!A:F,5,FALSE),0)</f>
        <v>2924</v>
      </c>
      <c r="N373" s="26">
        <f>IFERROR(VLOOKUP(Table21[[#This Row],[ROUTE]],DEMAND!A:F,6,FALSE),0)</f>
        <v>284</v>
      </c>
      <c r="O373" s="26">
        <f>ROUNDDOWN(Table21[[#This Row],[R-DEMAND]]/1320,0)</f>
        <v>0</v>
      </c>
      <c r="P373" s="26">
        <f>Table21[[#This Row],[ADD ACC]]*Table21[[#This Row],[Duration
(747-400)]]</f>
        <v>0</v>
      </c>
      <c r="Q373" s="284">
        <f>IFERROR(VLOOKUP(Table21[[#This Row],[ROUTE]],PRICING!A:B,2,FALSE),0)</f>
        <v>2189</v>
      </c>
      <c r="R373" s="282">
        <f>Table21[[#This Row],[C_DEMAND]]-Table21[[#This Row],[R-DEMAND]]</f>
        <v>2640</v>
      </c>
      <c r="S373" s="287">
        <f>Table21[[#This Row],[SEATS SOLD]]*Table21[[#This Row],[ECO SEAT]]</f>
        <v>5778960</v>
      </c>
    </row>
    <row r="374" spans="1:19" x14ac:dyDescent="0.25">
      <c r="A374" s="16" t="s">
        <v>16024</v>
      </c>
      <c r="B374" s="16" t="s">
        <v>2531</v>
      </c>
      <c r="C374" s="16" t="s">
        <v>2</v>
      </c>
      <c r="D374" s="16">
        <v>2</v>
      </c>
      <c r="E374" s="16" t="s">
        <v>644</v>
      </c>
      <c r="F374" s="16" t="s">
        <v>12671</v>
      </c>
      <c r="G374" s="179" t="s">
        <v>11812</v>
      </c>
      <c r="H374" s="254">
        <v>12008</v>
      </c>
      <c r="I374" s="180">
        <v>28.75</v>
      </c>
      <c r="J374" s="102">
        <v>247050861</v>
      </c>
      <c r="K374" s="102">
        <f>IFERROR(Table21[[#This Row],[ROUTE COST]]/Table21[[#This Row],[O - DEMAND]],0)</f>
        <v>61979.644004014051</v>
      </c>
      <c r="L374" s="26">
        <v>3986</v>
      </c>
      <c r="M374" s="26">
        <f>IFERROR(VLOOKUP(Table21[[#This Row],[ROUTE]],DEMAND!A:F,5,FALSE),0)</f>
        <v>4238</v>
      </c>
      <c r="N374" s="26">
        <f>IFERROR(VLOOKUP(Table21[[#This Row],[ROUTE]],DEMAND!A:F,6,FALSE),0)</f>
        <v>278</v>
      </c>
      <c r="O374" s="26">
        <f>ROUNDDOWN(Table21[[#This Row],[R-DEMAND]]/1320,0)</f>
        <v>0</v>
      </c>
      <c r="P374" s="26">
        <f>Table21[[#This Row],[ADD ACC]]*Table21[[#This Row],[Duration
(747-400)]]</f>
        <v>0</v>
      </c>
      <c r="Q374" s="284">
        <f>IFERROR(VLOOKUP(Table21[[#This Row],[ROUTE]],PRICING!A:B,2,FALSE),0)</f>
        <v>3112</v>
      </c>
      <c r="R374" s="282">
        <f>Table21[[#This Row],[C_DEMAND]]-Table21[[#This Row],[R-DEMAND]]</f>
        <v>3960</v>
      </c>
      <c r="S374" s="287">
        <f>Table21[[#This Row],[SEATS SOLD]]*Table21[[#This Row],[ECO SEAT]]</f>
        <v>12323520</v>
      </c>
    </row>
    <row r="375" spans="1:19" x14ac:dyDescent="0.25">
      <c r="A375" s="16" t="s">
        <v>16206</v>
      </c>
      <c r="B375" s="16" t="s">
        <v>2625</v>
      </c>
      <c r="C375" s="16" t="s">
        <v>2</v>
      </c>
      <c r="D375" s="16">
        <v>2</v>
      </c>
      <c r="E375" s="16" t="s">
        <v>2623</v>
      </c>
      <c r="F375" s="16" t="s">
        <v>12682</v>
      </c>
      <c r="G375" s="179" t="s">
        <v>11860</v>
      </c>
      <c r="H375" s="254">
        <v>9621</v>
      </c>
      <c r="I375" s="180">
        <v>23.5</v>
      </c>
      <c r="J375" s="102">
        <v>221711939</v>
      </c>
      <c r="K375" s="102">
        <f>IFERROR(Table21[[#This Row],[ROUTE COST]]/Table21[[#This Row],[O - DEMAND]],0)</f>
        <v>79126.31655960028</v>
      </c>
      <c r="L375" s="26">
        <v>2802</v>
      </c>
      <c r="M375" s="26">
        <f>IFERROR(VLOOKUP(Table21[[#This Row],[ROUTE]],DEMAND!A:F,5,FALSE),0)</f>
        <v>2915</v>
      </c>
      <c r="N375" s="26">
        <f>IFERROR(VLOOKUP(Table21[[#This Row],[ROUTE]],DEMAND!A:F,6,FALSE),0)</f>
        <v>275</v>
      </c>
      <c r="O375" s="26">
        <f>ROUNDDOWN(Table21[[#This Row],[R-DEMAND]]/1320,0)</f>
        <v>0</v>
      </c>
      <c r="P375" s="26">
        <f>Table21[[#This Row],[ADD ACC]]*Table21[[#This Row],[Duration
(747-400)]]</f>
        <v>0</v>
      </c>
      <c r="Q375" s="284">
        <f>IFERROR(VLOOKUP(Table21[[#This Row],[ROUTE]],PRICING!A:B,2,FALSE),0)</f>
        <v>2729</v>
      </c>
      <c r="R375" s="282">
        <f>Table21[[#This Row],[C_DEMAND]]-Table21[[#This Row],[R-DEMAND]]</f>
        <v>2640</v>
      </c>
      <c r="S375" s="287">
        <f>Table21[[#This Row],[SEATS SOLD]]*Table21[[#This Row],[ECO SEAT]]</f>
        <v>7204560</v>
      </c>
    </row>
    <row r="376" spans="1:19" x14ac:dyDescent="0.25">
      <c r="A376" s="16" t="s">
        <v>16470</v>
      </c>
      <c r="B376" s="16" t="s">
        <v>4900</v>
      </c>
      <c r="C376" s="16" t="s">
        <v>2</v>
      </c>
      <c r="D376" s="16">
        <v>3</v>
      </c>
      <c r="E376" s="16" t="s">
        <v>758</v>
      </c>
      <c r="F376" s="16" t="s">
        <v>12674</v>
      </c>
      <c r="G376" s="179" t="s">
        <v>11805</v>
      </c>
      <c r="H376" s="254">
        <v>6961</v>
      </c>
      <c r="I376" s="180">
        <v>17.5</v>
      </c>
      <c r="J376" s="102">
        <v>213297256</v>
      </c>
      <c r="K376" s="102">
        <f>IFERROR(Table21[[#This Row],[ROUTE COST]]/Table21[[#This Row],[O - DEMAND]],0)</f>
        <v>76478.040874865546</v>
      </c>
      <c r="L376" s="26">
        <v>2789</v>
      </c>
      <c r="M376" s="26">
        <f>IFERROR(VLOOKUP(Table21[[#This Row],[ROUTE]],DEMAND!A:F,5,FALSE),0)</f>
        <v>2910</v>
      </c>
      <c r="N376" s="26">
        <f>IFERROR(VLOOKUP(Table21[[#This Row],[ROUTE]],DEMAND!A:F,6,FALSE),0)</f>
        <v>270</v>
      </c>
      <c r="O376" s="26">
        <f>ROUNDDOWN(Table21[[#This Row],[R-DEMAND]]/1320,0)</f>
        <v>0</v>
      </c>
      <c r="P376" s="26">
        <f>Table21[[#This Row],[ADD ACC]]*Table21[[#This Row],[Duration
(747-400)]]</f>
        <v>0</v>
      </c>
      <c r="Q376" s="284">
        <f>IFERROR(VLOOKUP(Table21[[#This Row],[ROUTE]],PRICING!A:B,2,FALSE),0)</f>
        <v>1980</v>
      </c>
      <c r="R376" s="282">
        <f>Table21[[#This Row],[C_DEMAND]]-Table21[[#This Row],[R-DEMAND]]</f>
        <v>2640</v>
      </c>
      <c r="S376" s="287">
        <f>Table21[[#This Row],[SEATS SOLD]]*Table21[[#This Row],[ECO SEAT]]</f>
        <v>5227200</v>
      </c>
    </row>
    <row r="377" spans="1:19" x14ac:dyDescent="0.25">
      <c r="A377" s="16" t="s">
        <v>16622</v>
      </c>
      <c r="B377" s="16" t="s">
        <v>24</v>
      </c>
      <c r="C377" s="16" t="s">
        <v>2</v>
      </c>
      <c r="D377" s="16">
        <v>2</v>
      </c>
      <c r="E377" s="16" t="s">
        <v>1070</v>
      </c>
      <c r="F377" s="16" t="s">
        <v>12670</v>
      </c>
      <c r="G377" s="179" t="s">
        <v>6654</v>
      </c>
      <c r="H377" s="254">
        <v>4050</v>
      </c>
      <c r="I377" s="180">
        <v>11</v>
      </c>
      <c r="J377" s="102">
        <v>178094922</v>
      </c>
      <c r="K377" s="102">
        <f>IFERROR(Table21[[#This Row],[ROUTE COST]]/Table21[[#This Row],[O - DEMAND]],0)</f>
        <v>44423.777001746072</v>
      </c>
      <c r="L377" s="26">
        <v>4009</v>
      </c>
      <c r="M377" s="26">
        <f>IFERROR(VLOOKUP(Table21[[#This Row],[ROUTE]],DEMAND!A:F,5,FALSE),0)</f>
        <v>4222</v>
      </c>
      <c r="N377" s="26">
        <f>IFERROR(VLOOKUP(Table21[[#This Row],[ROUTE]],DEMAND!A:F,6,FALSE),0)</f>
        <v>262</v>
      </c>
      <c r="O377" s="26">
        <f>ROUNDDOWN(Table21[[#This Row],[R-DEMAND]]/1320,0)</f>
        <v>0</v>
      </c>
      <c r="P377" s="26">
        <f>Table21[[#This Row],[ADD ACC]]*Table21[[#This Row],[Duration
(747-400)]]</f>
        <v>0</v>
      </c>
      <c r="Q377" s="284">
        <f>IFERROR(VLOOKUP(Table21[[#This Row],[ROUTE]],PRICING!A:B,2,FALSE),0)</f>
        <v>1155</v>
      </c>
      <c r="R377" s="282">
        <f>Table21[[#This Row],[C_DEMAND]]-Table21[[#This Row],[R-DEMAND]]</f>
        <v>3960</v>
      </c>
      <c r="S377" s="287">
        <f>Table21[[#This Row],[SEATS SOLD]]*Table21[[#This Row],[ECO SEAT]]</f>
        <v>4573800</v>
      </c>
    </row>
    <row r="378" spans="1:19" x14ac:dyDescent="0.25">
      <c r="A378" s="16" t="s">
        <v>16515</v>
      </c>
      <c r="B378" s="16" t="s">
        <v>4930</v>
      </c>
      <c r="C378" s="16" t="s">
        <v>2</v>
      </c>
      <c r="D378" s="16">
        <v>3</v>
      </c>
      <c r="E378" s="16" t="s">
        <v>520</v>
      </c>
      <c r="F378" s="16" t="s">
        <v>12674</v>
      </c>
      <c r="G378" s="179" t="s">
        <v>11818</v>
      </c>
      <c r="H378" s="254">
        <v>6358</v>
      </c>
      <c r="I378" s="180">
        <v>16.25</v>
      </c>
      <c r="J378" s="102">
        <v>207667914</v>
      </c>
      <c r="K378" s="102">
        <f>IFERROR(Table21[[#This Row],[ROUTE COST]]/Table21[[#This Row],[O - DEMAND]],0)</f>
        <v>76180.452677916357</v>
      </c>
      <c r="L378" s="26">
        <v>2726</v>
      </c>
      <c r="M378" s="26">
        <f>IFERROR(VLOOKUP(Table21[[#This Row],[ROUTE]],DEMAND!A:F,5,FALSE),0)</f>
        <v>2899</v>
      </c>
      <c r="N378" s="26">
        <f>IFERROR(VLOOKUP(Table21[[#This Row],[ROUTE]],DEMAND!A:F,6,FALSE),0)</f>
        <v>259</v>
      </c>
      <c r="O378" s="26">
        <f>ROUNDDOWN(Table21[[#This Row],[R-DEMAND]]/1320,0)</f>
        <v>0</v>
      </c>
      <c r="P378" s="26">
        <f>Table21[[#This Row],[ADD ACC]]*Table21[[#This Row],[Duration
(747-400)]]</f>
        <v>0</v>
      </c>
      <c r="Q378" s="284">
        <f>IFERROR(VLOOKUP(Table21[[#This Row],[ROUTE]],PRICING!A:B,2,FALSE),0)</f>
        <v>1692</v>
      </c>
      <c r="R378" s="282">
        <f>Table21[[#This Row],[C_DEMAND]]-Table21[[#This Row],[R-DEMAND]]</f>
        <v>2640</v>
      </c>
      <c r="S378" s="287">
        <f>Table21[[#This Row],[SEATS SOLD]]*Table21[[#This Row],[ECO SEAT]]</f>
        <v>4466880</v>
      </c>
    </row>
    <row r="379" spans="1:19" x14ac:dyDescent="0.25">
      <c r="A379" s="16" t="s">
        <v>16396</v>
      </c>
      <c r="B379" s="16" t="s">
        <v>5471</v>
      </c>
      <c r="C379" s="16" t="s">
        <v>2</v>
      </c>
      <c r="D379" s="16">
        <v>4</v>
      </c>
      <c r="E379" s="16" t="s">
        <v>1124</v>
      </c>
      <c r="F379" s="16" t="s">
        <v>12671</v>
      </c>
      <c r="G379" s="179" t="s">
        <v>11079</v>
      </c>
      <c r="H379" s="254">
        <v>7529</v>
      </c>
      <c r="I379" s="180">
        <v>18.75</v>
      </c>
      <c r="J379" s="102">
        <v>232783417</v>
      </c>
      <c r="K379" s="102">
        <f>IFERROR(Table21[[#This Row],[ROUTE COST]]/Table21[[#This Row],[O - DEMAND]],0)</f>
        <v>58709.562925598992</v>
      </c>
      <c r="L379" s="26">
        <v>3965</v>
      </c>
      <c r="M379" s="26">
        <f>IFERROR(VLOOKUP(Table21[[#This Row],[ROUTE]],DEMAND!A:F,5,FALSE),0)</f>
        <v>4217</v>
      </c>
      <c r="N379" s="26">
        <f>IFERROR(VLOOKUP(Table21[[#This Row],[ROUTE]],DEMAND!A:F,6,FALSE),0)</f>
        <v>257</v>
      </c>
      <c r="O379" s="26">
        <f>ROUNDDOWN(Table21[[#This Row],[R-DEMAND]]/1320,0)</f>
        <v>0</v>
      </c>
      <c r="P379" s="26">
        <f>Table21[[#This Row],[ADD ACC]]*Table21[[#This Row],[Duration
(747-400)]]</f>
        <v>0</v>
      </c>
      <c r="Q379" s="284">
        <f>IFERROR(VLOOKUP(Table21[[#This Row],[ROUTE]],PRICING!A:B,2,FALSE),0)</f>
        <v>1986</v>
      </c>
      <c r="R379" s="282">
        <f>Table21[[#This Row],[C_DEMAND]]-Table21[[#This Row],[R-DEMAND]]</f>
        <v>3960</v>
      </c>
      <c r="S379" s="287">
        <f>Table21[[#This Row],[SEATS SOLD]]*Table21[[#This Row],[ECO SEAT]]</f>
        <v>7864560</v>
      </c>
    </row>
    <row r="380" spans="1:19" x14ac:dyDescent="0.25">
      <c r="A380" s="16" t="s">
        <v>16139</v>
      </c>
      <c r="B380" s="16" t="s">
        <v>2061</v>
      </c>
      <c r="C380" s="16" t="s">
        <v>2</v>
      </c>
      <c r="D380" s="16">
        <v>1</v>
      </c>
      <c r="E380" s="16" t="s">
        <v>2059</v>
      </c>
      <c r="F380" s="16" t="s">
        <v>12671</v>
      </c>
      <c r="G380" s="179" t="s">
        <v>11799</v>
      </c>
      <c r="H380" s="254">
        <v>10527</v>
      </c>
      <c r="I380" s="180">
        <v>25.5</v>
      </c>
      <c r="J380" s="102">
        <v>230205820</v>
      </c>
      <c r="K380" s="102">
        <f>IFERROR(Table21[[#This Row],[ROUTE COST]]/Table21[[#This Row],[O - DEMAND]],0)</f>
        <v>56953.443839683328</v>
      </c>
      <c r="L380" s="26">
        <v>4042</v>
      </c>
      <c r="M380" s="26">
        <f>IFERROR(VLOOKUP(Table21[[#This Row],[ROUTE]],DEMAND!A:F,5,FALSE),0)</f>
        <v>4217</v>
      </c>
      <c r="N380" s="26">
        <f>IFERROR(VLOOKUP(Table21[[#This Row],[ROUTE]],DEMAND!A:F,6,FALSE),0)</f>
        <v>257</v>
      </c>
      <c r="O380" s="26">
        <f>ROUNDDOWN(Table21[[#This Row],[R-DEMAND]]/1320,0)</f>
        <v>0</v>
      </c>
      <c r="P380" s="26">
        <f>Table21[[#This Row],[ADD ACC]]*Table21[[#This Row],[Duration
(747-400)]]</f>
        <v>0</v>
      </c>
      <c r="Q380" s="284">
        <f>IFERROR(VLOOKUP(Table21[[#This Row],[ROUTE]],PRICING!A:B,2,FALSE),0)</f>
        <v>2943</v>
      </c>
      <c r="R380" s="282">
        <f>Table21[[#This Row],[C_DEMAND]]-Table21[[#This Row],[R-DEMAND]]</f>
        <v>3960</v>
      </c>
      <c r="S380" s="287">
        <f>Table21[[#This Row],[SEATS SOLD]]*Table21[[#This Row],[ECO SEAT]]</f>
        <v>11654280</v>
      </c>
    </row>
    <row r="381" spans="1:19" x14ac:dyDescent="0.25">
      <c r="A381" s="16" t="s">
        <v>16454</v>
      </c>
      <c r="B381" s="16" t="s">
        <v>5365</v>
      </c>
      <c r="C381" s="16" t="s">
        <v>2</v>
      </c>
      <c r="D381" s="16">
        <v>3</v>
      </c>
      <c r="E381" s="16" t="s">
        <v>4909</v>
      </c>
      <c r="F381" s="16" t="s">
        <v>12674</v>
      </c>
      <c r="G381" s="179" t="s">
        <v>8912</v>
      </c>
      <c r="H381" s="254">
        <v>7070</v>
      </c>
      <c r="I381" s="180">
        <v>17.75</v>
      </c>
      <c r="J381" s="102">
        <v>225443547</v>
      </c>
      <c r="K381" s="102">
        <f>IFERROR(Table21[[#This Row],[ROUTE COST]]/Table21[[#This Row],[O - DEMAND]],0)</f>
        <v>80688.456335003575</v>
      </c>
      <c r="L381" s="26">
        <v>2794</v>
      </c>
      <c r="M381" s="26">
        <f>IFERROR(VLOOKUP(Table21[[#This Row],[ROUTE]],DEMAND!A:F,5,FALSE),0)</f>
        <v>2896</v>
      </c>
      <c r="N381" s="26">
        <f>IFERROR(VLOOKUP(Table21[[#This Row],[ROUTE]],DEMAND!A:F,6,FALSE),0)</f>
        <v>256</v>
      </c>
      <c r="O381" s="26">
        <f>ROUNDDOWN(Table21[[#This Row],[R-DEMAND]]/1320,0)</f>
        <v>0</v>
      </c>
      <c r="P381" s="26">
        <f>Table21[[#This Row],[ADD ACC]]*Table21[[#This Row],[Duration
(747-400)]]</f>
        <v>0</v>
      </c>
      <c r="Q381" s="284">
        <f>IFERROR(VLOOKUP(Table21[[#This Row],[ROUTE]],PRICING!A:B,2,FALSE),0)</f>
        <v>2056</v>
      </c>
      <c r="R381" s="282">
        <f>Table21[[#This Row],[C_DEMAND]]-Table21[[#This Row],[R-DEMAND]]</f>
        <v>2640</v>
      </c>
      <c r="S381" s="287">
        <f>Table21[[#This Row],[SEATS SOLD]]*Table21[[#This Row],[ECO SEAT]]</f>
        <v>5427840</v>
      </c>
    </row>
    <row r="382" spans="1:19" x14ac:dyDescent="0.25">
      <c r="A382" s="16" t="s">
        <v>16258</v>
      </c>
      <c r="B382" s="16" t="s">
        <v>1695</v>
      </c>
      <c r="C382" s="16" t="s">
        <v>2</v>
      </c>
      <c r="D382" s="16">
        <v>1</v>
      </c>
      <c r="E382" s="16" t="s">
        <v>493</v>
      </c>
      <c r="F382" s="16" t="s">
        <v>12671</v>
      </c>
      <c r="G382" s="179" t="s">
        <v>11728</v>
      </c>
      <c r="H382" s="254">
        <v>9091</v>
      </c>
      <c r="I382" s="180">
        <v>22.25</v>
      </c>
      <c r="J382" s="102">
        <v>214546689</v>
      </c>
      <c r="K382" s="102">
        <f>IFERROR(Table21[[#This Row],[ROUTE COST]]/Table21[[#This Row],[O - DEMAND]],0)</f>
        <v>78045.357948344856</v>
      </c>
      <c r="L382" s="26">
        <v>2749</v>
      </c>
      <c r="M382" s="26">
        <f>IFERROR(VLOOKUP(Table21[[#This Row],[ROUTE]],DEMAND!A:F,5,FALSE),0)</f>
        <v>2896</v>
      </c>
      <c r="N382" s="26">
        <f>IFERROR(VLOOKUP(Table21[[#This Row],[ROUTE]],DEMAND!A:F,6,FALSE),0)</f>
        <v>256</v>
      </c>
      <c r="O382" s="26">
        <f>ROUNDDOWN(Table21[[#This Row],[R-DEMAND]]/1320,0)</f>
        <v>0</v>
      </c>
      <c r="P382" s="26">
        <f>Table21[[#This Row],[ADD ACC]]*Table21[[#This Row],[Duration
(747-400)]]</f>
        <v>0</v>
      </c>
      <c r="Q382" s="284">
        <f>IFERROR(VLOOKUP(Table21[[#This Row],[ROUTE]],PRICING!A:B,2,FALSE),0)</f>
        <v>2467</v>
      </c>
      <c r="R382" s="282">
        <f>Table21[[#This Row],[C_DEMAND]]-Table21[[#This Row],[R-DEMAND]]</f>
        <v>2640</v>
      </c>
      <c r="S382" s="287">
        <f>Table21[[#This Row],[SEATS SOLD]]*Table21[[#This Row],[ECO SEAT]]</f>
        <v>6512880</v>
      </c>
    </row>
    <row r="383" spans="1:19" x14ac:dyDescent="0.25">
      <c r="A383" s="16" t="s">
        <v>16568</v>
      </c>
      <c r="B383" s="16" t="s">
        <v>328</v>
      </c>
      <c r="C383" s="16" t="s">
        <v>2</v>
      </c>
      <c r="D383" s="16">
        <v>4</v>
      </c>
      <c r="E383" s="16" t="s">
        <v>1261</v>
      </c>
      <c r="F383" s="16" t="s">
        <v>12670</v>
      </c>
      <c r="G383" s="179" t="s">
        <v>11089</v>
      </c>
      <c r="H383" s="254">
        <v>5432</v>
      </c>
      <c r="I383" s="180">
        <v>14.25</v>
      </c>
      <c r="J383" s="102">
        <v>211508127</v>
      </c>
      <c r="K383" s="102">
        <f>IFERROR(Table21[[#This Row],[ROUTE COST]]/Table21[[#This Row],[O - DEMAND]],0)</f>
        <v>53532.808656036446</v>
      </c>
      <c r="L383" s="26">
        <v>3951</v>
      </c>
      <c r="M383" s="26">
        <f>IFERROR(VLOOKUP(Table21[[#This Row],[ROUTE]],DEMAND!A:F,5,FALSE),0)</f>
        <v>4215</v>
      </c>
      <c r="N383" s="26">
        <f>IFERROR(VLOOKUP(Table21[[#This Row],[ROUTE]],DEMAND!A:F,6,FALSE),0)</f>
        <v>255</v>
      </c>
      <c r="O383" s="26">
        <f>ROUNDDOWN(Table21[[#This Row],[R-DEMAND]]/1320,0)</f>
        <v>0</v>
      </c>
      <c r="P383" s="26">
        <f>Table21[[#This Row],[ADD ACC]]*Table21[[#This Row],[Duration
(747-400)]]</f>
        <v>0</v>
      </c>
      <c r="Q383" s="284">
        <f>IFERROR(VLOOKUP(Table21[[#This Row],[ROUTE]],PRICING!A:B,2,FALSE),0)</f>
        <v>1442</v>
      </c>
      <c r="R383" s="282">
        <f>Table21[[#This Row],[C_DEMAND]]-Table21[[#This Row],[R-DEMAND]]</f>
        <v>3960</v>
      </c>
      <c r="S383" s="287">
        <f>Table21[[#This Row],[SEATS SOLD]]*Table21[[#This Row],[ECO SEAT]]</f>
        <v>5710320</v>
      </c>
    </row>
    <row r="384" spans="1:19" x14ac:dyDescent="0.25">
      <c r="A384" s="16" t="s">
        <v>16629</v>
      </c>
      <c r="B384" s="16" t="s">
        <v>4969</v>
      </c>
      <c r="C384" s="16" t="s">
        <v>2</v>
      </c>
      <c r="D384" s="16">
        <v>3</v>
      </c>
      <c r="E384" s="16" t="s">
        <v>2764</v>
      </c>
      <c r="F384" s="16" t="s">
        <v>12670</v>
      </c>
      <c r="G384" s="179" t="s">
        <v>11981</v>
      </c>
      <c r="H384" s="254">
        <v>3942</v>
      </c>
      <c r="I384" s="180">
        <v>10.75</v>
      </c>
      <c r="J384" s="102">
        <v>185633937</v>
      </c>
      <c r="K384" s="102">
        <f>IFERROR(Table21[[#This Row],[ROUTE COST]]/Table21[[#This Row],[O - DEMAND]],0)</f>
        <v>45576.709305180455</v>
      </c>
      <c r="L384" s="26">
        <v>4073</v>
      </c>
      <c r="M384" s="26">
        <f>IFERROR(VLOOKUP(Table21[[#This Row],[ROUTE]],DEMAND!A:F,5,FALSE),0)</f>
        <v>4210</v>
      </c>
      <c r="N384" s="26">
        <f>IFERROR(VLOOKUP(Table21[[#This Row],[ROUTE]],DEMAND!A:F,6,FALSE),0)</f>
        <v>250</v>
      </c>
      <c r="O384" s="26">
        <f>ROUNDDOWN(Table21[[#This Row],[R-DEMAND]]/1320,0)</f>
        <v>0</v>
      </c>
      <c r="P384" s="26">
        <f>Table21[[#This Row],[ADD ACC]]*Table21[[#This Row],[Duration
(747-400)]]</f>
        <v>0</v>
      </c>
      <c r="Q384" s="284">
        <f>IFERROR(VLOOKUP(Table21[[#This Row],[ROUTE]],PRICING!A:B,2,FALSE),0)</f>
        <v>1207</v>
      </c>
      <c r="R384" s="282">
        <f>Table21[[#This Row],[C_DEMAND]]-Table21[[#This Row],[R-DEMAND]]</f>
        <v>3960</v>
      </c>
      <c r="S384" s="287">
        <f>Table21[[#This Row],[SEATS SOLD]]*Table21[[#This Row],[ECO SEAT]]</f>
        <v>4779720</v>
      </c>
    </row>
    <row r="385" spans="1:19" x14ac:dyDescent="0.25">
      <c r="A385" s="16" t="s">
        <v>16278</v>
      </c>
      <c r="B385" s="16" t="s">
        <v>2476</v>
      </c>
      <c r="C385" s="16" t="s">
        <v>2</v>
      </c>
      <c r="D385" s="16">
        <v>1</v>
      </c>
      <c r="E385" s="16" t="s">
        <v>971</v>
      </c>
      <c r="F385" s="16" t="s">
        <v>12671</v>
      </c>
      <c r="G385" s="179" t="s">
        <v>11774</v>
      </c>
      <c r="H385" s="254">
        <v>8763</v>
      </c>
      <c r="I385" s="180">
        <v>21.5</v>
      </c>
      <c r="J385" s="102">
        <v>212504747</v>
      </c>
      <c r="K385" s="102">
        <f>IFERROR(Table21[[#This Row],[ROUTE COST]]/Table21[[#This Row],[O - DEMAND]],0)</f>
        <v>76966.587106120976</v>
      </c>
      <c r="L385" s="26">
        <v>2761</v>
      </c>
      <c r="M385" s="26">
        <f>IFERROR(VLOOKUP(Table21[[#This Row],[ROUTE]],DEMAND!A:F,5,FALSE),0)</f>
        <v>2890</v>
      </c>
      <c r="N385" s="26">
        <f>IFERROR(VLOOKUP(Table21[[#This Row],[ROUTE]],DEMAND!A:F,6,FALSE),0)</f>
        <v>250</v>
      </c>
      <c r="O385" s="26">
        <f>ROUNDDOWN(Table21[[#This Row],[R-DEMAND]]/1320,0)</f>
        <v>0</v>
      </c>
      <c r="P385" s="26">
        <f>Table21[[#This Row],[ADD ACC]]*Table21[[#This Row],[Duration
(747-400)]]</f>
        <v>0</v>
      </c>
      <c r="Q385" s="284">
        <f>IFERROR(VLOOKUP(Table21[[#This Row],[ROUTE]],PRICING!A:B,2,FALSE),0)</f>
        <v>2438</v>
      </c>
      <c r="R385" s="282">
        <f>Table21[[#This Row],[C_DEMAND]]-Table21[[#This Row],[R-DEMAND]]</f>
        <v>2640</v>
      </c>
      <c r="S385" s="287">
        <f>Table21[[#This Row],[SEATS SOLD]]*Table21[[#This Row],[ECO SEAT]]</f>
        <v>6436320</v>
      </c>
    </row>
    <row r="386" spans="1:19" x14ac:dyDescent="0.25">
      <c r="A386" s="16" t="s">
        <v>16262</v>
      </c>
      <c r="B386" s="16" t="s">
        <v>2665</v>
      </c>
      <c r="C386" s="16" t="s">
        <v>2</v>
      </c>
      <c r="D386" s="16">
        <v>2</v>
      </c>
      <c r="E386" s="16" t="s">
        <v>971</v>
      </c>
      <c r="F386" s="16" t="s">
        <v>12671</v>
      </c>
      <c r="G386" s="179" t="s">
        <v>11748</v>
      </c>
      <c r="H386" s="254">
        <v>8997</v>
      </c>
      <c r="I386" s="180">
        <v>22</v>
      </c>
      <c r="J386" s="102">
        <v>215659703</v>
      </c>
      <c r="K386" s="102">
        <f>IFERROR(Table21[[#This Row],[ROUTE COST]]/Table21[[#This Row],[O - DEMAND]],0)</f>
        <v>77408.364321608038</v>
      </c>
      <c r="L386" s="26">
        <v>2786</v>
      </c>
      <c r="M386" s="26">
        <f>IFERROR(VLOOKUP(Table21[[#This Row],[ROUTE]],DEMAND!A:F,5,FALSE),0)</f>
        <v>2889</v>
      </c>
      <c r="N386" s="26">
        <f>IFERROR(VLOOKUP(Table21[[#This Row],[ROUTE]],DEMAND!A:F,6,FALSE),0)</f>
        <v>249</v>
      </c>
      <c r="O386" s="26">
        <f>ROUNDDOWN(Table21[[#This Row],[R-DEMAND]]/1320,0)</f>
        <v>0</v>
      </c>
      <c r="P386" s="26">
        <f>Table21[[#This Row],[ADD ACC]]*Table21[[#This Row],[Duration
(747-400)]]</f>
        <v>0</v>
      </c>
      <c r="Q386" s="284">
        <f>IFERROR(VLOOKUP(Table21[[#This Row],[ROUTE]],PRICING!A:B,2,FALSE),0)</f>
        <v>2589</v>
      </c>
      <c r="R386" s="282">
        <f>Table21[[#This Row],[C_DEMAND]]-Table21[[#This Row],[R-DEMAND]]</f>
        <v>2640</v>
      </c>
      <c r="S386" s="287">
        <f>Table21[[#This Row],[SEATS SOLD]]*Table21[[#This Row],[ECO SEAT]]</f>
        <v>6834960</v>
      </c>
    </row>
    <row r="387" spans="1:19" x14ac:dyDescent="0.25">
      <c r="A387" s="16" t="s">
        <v>16182</v>
      </c>
      <c r="B387" s="16" t="s">
        <v>1920</v>
      </c>
      <c r="C387" s="16" t="s">
        <v>2</v>
      </c>
      <c r="D387" s="16">
        <v>1</v>
      </c>
      <c r="E387" s="16" t="s">
        <v>493</v>
      </c>
      <c r="F387" s="16" t="s">
        <v>12671</v>
      </c>
      <c r="G387" s="179" t="s">
        <v>11701</v>
      </c>
      <c r="H387" s="254">
        <v>10036</v>
      </c>
      <c r="I387" s="180">
        <v>24.25</v>
      </c>
      <c r="J387" s="102">
        <v>224992689</v>
      </c>
      <c r="K387" s="102">
        <f>IFERROR(Table21[[#This Row],[ROUTE COST]]/Table21[[#This Row],[O - DEMAND]],0)</f>
        <v>80961.744872256211</v>
      </c>
      <c r="L387" s="26">
        <v>2779</v>
      </c>
      <c r="M387" s="26">
        <f>IFERROR(VLOOKUP(Table21[[#This Row],[ROUTE]],DEMAND!A:F,5,FALSE),0)</f>
        <v>2881</v>
      </c>
      <c r="N387" s="26">
        <f>IFERROR(VLOOKUP(Table21[[#This Row],[ROUTE]],DEMAND!A:F,6,FALSE),0)</f>
        <v>241</v>
      </c>
      <c r="O387" s="26">
        <f>ROUNDDOWN(Table21[[#This Row],[R-DEMAND]]/1320,0)</f>
        <v>0</v>
      </c>
      <c r="P387" s="26">
        <f>Table21[[#This Row],[ADD ACC]]*Table21[[#This Row],[Duration
(747-400)]]</f>
        <v>0</v>
      </c>
      <c r="Q387" s="284">
        <f>IFERROR(VLOOKUP(Table21[[#This Row],[ROUTE]],PRICING!A:B,2,FALSE),0)</f>
        <v>2875</v>
      </c>
      <c r="R387" s="282">
        <f>Table21[[#This Row],[C_DEMAND]]-Table21[[#This Row],[R-DEMAND]]</f>
        <v>2640</v>
      </c>
      <c r="S387" s="287">
        <f>Table21[[#This Row],[SEATS SOLD]]*Table21[[#This Row],[ECO SEAT]]</f>
        <v>7590000</v>
      </c>
    </row>
    <row r="388" spans="1:19" x14ac:dyDescent="0.25">
      <c r="A388" s="16" t="s">
        <v>16216</v>
      </c>
      <c r="B388" s="16" t="s">
        <v>1433</v>
      </c>
      <c r="C388" s="16" t="s">
        <v>2</v>
      </c>
      <c r="D388" s="16">
        <v>1</v>
      </c>
      <c r="E388" s="16" t="s">
        <v>493</v>
      </c>
      <c r="F388" s="16" t="s">
        <v>12671</v>
      </c>
      <c r="G388" s="179" t="s">
        <v>11756</v>
      </c>
      <c r="H388" s="254">
        <v>9507</v>
      </c>
      <c r="I388" s="180">
        <v>23.25</v>
      </c>
      <c r="J388" s="102">
        <v>217878689</v>
      </c>
      <c r="K388" s="102">
        <f>IFERROR(Table21[[#This Row],[ROUTE COST]]/Table21[[#This Row],[O - DEMAND]],0)</f>
        <v>80161.401398086833</v>
      </c>
      <c r="L388" s="26">
        <v>2718</v>
      </c>
      <c r="M388" s="26">
        <f>IFERROR(VLOOKUP(Table21[[#This Row],[ROUTE]],DEMAND!A:F,5,FALSE),0)</f>
        <v>2881</v>
      </c>
      <c r="N388" s="26">
        <f>IFERROR(VLOOKUP(Table21[[#This Row],[ROUTE]],DEMAND!A:F,6,FALSE),0)</f>
        <v>241</v>
      </c>
      <c r="O388" s="26">
        <f>ROUNDDOWN(Table21[[#This Row],[R-DEMAND]]/1320,0)</f>
        <v>0</v>
      </c>
      <c r="P388" s="26">
        <f>Table21[[#This Row],[ADD ACC]]*Table21[[#This Row],[Duration
(747-400)]]</f>
        <v>0</v>
      </c>
      <c r="Q388" s="284">
        <f>IFERROR(VLOOKUP(Table21[[#This Row],[ROUTE]],PRICING!A:B,2,FALSE),0)</f>
        <v>2514</v>
      </c>
      <c r="R388" s="282">
        <f>Table21[[#This Row],[C_DEMAND]]-Table21[[#This Row],[R-DEMAND]]</f>
        <v>2640</v>
      </c>
      <c r="S388" s="287">
        <f>Table21[[#This Row],[SEATS SOLD]]*Table21[[#This Row],[ECO SEAT]]</f>
        <v>6636960</v>
      </c>
    </row>
    <row r="389" spans="1:19" x14ac:dyDescent="0.25">
      <c r="A389" s="16" t="s">
        <v>16428</v>
      </c>
      <c r="B389" s="16" t="s">
        <v>1126</v>
      </c>
      <c r="C389" s="16" t="s">
        <v>2</v>
      </c>
      <c r="D389" s="16">
        <v>1</v>
      </c>
      <c r="E389" s="16" t="s">
        <v>1124</v>
      </c>
      <c r="F389" s="16" t="s">
        <v>12671</v>
      </c>
      <c r="G389" s="179" t="s">
        <v>11871</v>
      </c>
      <c r="H389" s="254">
        <v>7282</v>
      </c>
      <c r="I389" s="180">
        <v>18.25</v>
      </c>
      <c r="J389" s="102">
        <v>192651663</v>
      </c>
      <c r="K389" s="102">
        <f>IFERROR(Table21[[#This Row],[ROUTE COST]]/Table21[[#This Row],[O - DEMAND]],0)</f>
        <v>70259.541575492345</v>
      </c>
      <c r="L389" s="26">
        <v>2742</v>
      </c>
      <c r="M389" s="26">
        <f>IFERROR(VLOOKUP(Table21[[#This Row],[ROUTE]],DEMAND!A:F,5,FALSE),0)</f>
        <v>2880</v>
      </c>
      <c r="N389" s="26">
        <f>IFERROR(VLOOKUP(Table21[[#This Row],[ROUTE]],DEMAND!A:F,6,FALSE),0)</f>
        <v>240</v>
      </c>
      <c r="O389" s="26">
        <f>ROUNDDOWN(Table21[[#This Row],[R-DEMAND]]/1320,0)</f>
        <v>0</v>
      </c>
      <c r="P389" s="26">
        <f>Table21[[#This Row],[ADD ACC]]*Table21[[#This Row],[Duration
(747-400)]]</f>
        <v>0</v>
      </c>
      <c r="Q389" s="284">
        <f>IFERROR(VLOOKUP(Table21[[#This Row],[ROUTE]],PRICING!A:B,2,FALSE),0)</f>
        <v>2020</v>
      </c>
      <c r="R389" s="282">
        <f>Table21[[#This Row],[C_DEMAND]]-Table21[[#This Row],[R-DEMAND]]</f>
        <v>2640</v>
      </c>
      <c r="S389" s="287">
        <f>Table21[[#This Row],[SEATS SOLD]]*Table21[[#This Row],[ECO SEAT]]</f>
        <v>5332800</v>
      </c>
    </row>
    <row r="390" spans="1:19" x14ac:dyDescent="0.25">
      <c r="A390" s="16" t="s">
        <v>16580</v>
      </c>
      <c r="B390" s="16" t="s">
        <v>383</v>
      </c>
      <c r="C390" s="16" t="s">
        <v>2</v>
      </c>
      <c r="D390" s="16">
        <v>3</v>
      </c>
      <c r="E390" s="16" t="s">
        <v>1070</v>
      </c>
      <c r="F390" s="16" t="s">
        <v>12670</v>
      </c>
      <c r="G390" s="179" t="s">
        <v>12063</v>
      </c>
      <c r="H390" s="254">
        <v>5121</v>
      </c>
      <c r="I390" s="180">
        <v>13.5</v>
      </c>
      <c r="J390" s="102">
        <v>197237535</v>
      </c>
      <c r="K390" s="102">
        <f>IFERROR(Table21[[#This Row],[ROUTE COST]]/Table21[[#This Row],[O - DEMAND]],0)</f>
        <v>50123.897077509529</v>
      </c>
      <c r="L390" s="26">
        <v>3935</v>
      </c>
      <c r="M390" s="26">
        <f>IFERROR(VLOOKUP(Table21[[#This Row],[ROUTE]],DEMAND!A:F,5,FALSE),0)</f>
        <v>4198</v>
      </c>
      <c r="N390" s="26">
        <f>IFERROR(VLOOKUP(Table21[[#This Row],[ROUTE]],DEMAND!A:F,6,FALSE),0)</f>
        <v>238</v>
      </c>
      <c r="O390" s="26">
        <f>ROUNDDOWN(Table21[[#This Row],[R-DEMAND]]/1320,0)</f>
        <v>0</v>
      </c>
      <c r="P390" s="26">
        <f>Table21[[#This Row],[ADD ACC]]*Table21[[#This Row],[Duration
(747-400)]]</f>
        <v>0</v>
      </c>
      <c r="Q390" s="284">
        <f>IFERROR(VLOOKUP(Table21[[#This Row],[ROUTE]],PRICING!A:B,2,FALSE),0)</f>
        <v>1365</v>
      </c>
      <c r="R390" s="282">
        <f>Table21[[#This Row],[C_DEMAND]]-Table21[[#This Row],[R-DEMAND]]</f>
        <v>3960</v>
      </c>
      <c r="S390" s="287">
        <f>Table21[[#This Row],[SEATS SOLD]]*Table21[[#This Row],[ECO SEAT]]</f>
        <v>5405400</v>
      </c>
    </row>
    <row r="391" spans="1:19" x14ac:dyDescent="0.25">
      <c r="A391" s="16" t="s">
        <v>15981</v>
      </c>
      <c r="B391" s="16" t="s">
        <v>2710</v>
      </c>
      <c r="C391" s="16" t="s">
        <v>2</v>
      </c>
      <c r="D391" s="16">
        <v>2</v>
      </c>
      <c r="E391" s="16" t="s">
        <v>683</v>
      </c>
      <c r="F391" s="16" t="s">
        <v>12688</v>
      </c>
      <c r="G391" s="179" t="s">
        <v>13190</v>
      </c>
      <c r="H391" s="254">
        <v>12884</v>
      </c>
      <c r="I391" s="180">
        <v>30.75</v>
      </c>
      <c r="J391" s="102">
        <v>254829904</v>
      </c>
      <c r="K391" s="102">
        <f>IFERROR(Table21[[#This Row],[ROUTE COST]]/Table21[[#This Row],[O - DEMAND]],0)</f>
        <v>92699.128410331032</v>
      </c>
      <c r="L391" s="26">
        <v>2749</v>
      </c>
      <c r="M391" s="26">
        <f>IFERROR(VLOOKUP(Table21[[#This Row],[ROUTE]],DEMAND!A:F,5,FALSE),0)</f>
        <v>2877</v>
      </c>
      <c r="N391" s="26">
        <f>IFERROR(VLOOKUP(Table21[[#This Row],[ROUTE]],DEMAND!A:F,6,FALSE),0)</f>
        <v>237</v>
      </c>
      <c r="O391" s="26">
        <f>ROUNDDOWN(Table21[[#This Row],[R-DEMAND]]/1320,0)</f>
        <v>0</v>
      </c>
      <c r="P391" s="26">
        <f>Table21[[#This Row],[ADD ACC]]*Table21[[#This Row],[Duration
(747-400)]]</f>
        <v>0</v>
      </c>
      <c r="Q391" s="284">
        <f>IFERROR(VLOOKUP(Table21[[#This Row],[ROUTE]],PRICING!A:B,2,FALSE),0)</f>
        <v>3538</v>
      </c>
      <c r="R391" s="282">
        <f>Table21[[#This Row],[C_DEMAND]]-Table21[[#This Row],[R-DEMAND]]</f>
        <v>2640</v>
      </c>
      <c r="S391" s="287">
        <f>Table21[[#This Row],[SEATS SOLD]]*Table21[[#This Row],[ECO SEAT]]</f>
        <v>9340320</v>
      </c>
    </row>
    <row r="392" spans="1:19" x14ac:dyDescent="0.25">
      <c r="A392" s="16" t="s">
        <v>16305</v>
      </c>
      <c r="B392" s="16" t="s">
        <v>3650</v>
      </c>
      <c r="C392" s="16" t="s">
        <v>2</v>
      </c>
      <c r="D392" s="16">
        <v>2</v>
      </c>
      <c r="E392" s="16" t="s">
        <v>881</v>
      </c>
      <c r="F392" s="16" t="s">
        <v>12671</v>
      </c>
      <c r="G392" s="179" t="s">
        <v>11896</v>
      </c>
      <c r="H392" s="254">
        <v>8402</v>
      </c>
      <c r="I392" s="180">
        <v>20.75</v>
      </c>
      <c r="J392" s="102">
        <v>217237052</v>
      </c>
      <c r="K392" s="102">
        <f>IFERROR(Table21[[#This Row],[ROUTE COST]]/Table21[[#This Row],[O - DEMAND]],0)</f>
        <v>54692.107754279961</v>
      </c>
      <c r="L392" s="26">
        <v>3972</v>
      </c>
      <c r="M392" s="26">
        <f>IFERROR(VLOOKUP(Table21[[#This Row],[ROUTE]],DEMAND!A:F,5,FALSE),0)</f>
        <v>4197</v>
      </c>
      <c r="N392" s="26">
        <f>IFERROR(VLOOKUP(Table21[[#This Row],[ROUTE]],DEMAND!A:F,6,FALSE),0)</f>
        <v>237</v>
      </c>
      <c r="O392" s="26">
        <f>ROUNDDOWN(Table21[[#This Row],[R-DEMAND]]/1320,0)</f>
        <v>0</v>
      </c>
      <c r="P392" s="26">
        <f>Table21[[#This Row],[ADD ACC]]*Table21[[#This Row],[Duration
(747-400)]]</f>
        <v>0</v>
      </c>
      <c r="Q392" s="284">
        <f>IFERROR(VLOOKUP(Table21[[#This Row],[ROUTE]],PRICING!A:B,2,FALSE),0)</f>
        <v>2260</v>
      </c>
      <c r="R392" s="282">
        <f>Table21[[#This Row],[C_DEMAND]]-Table21[[#This Row],[R-DEMAND]]</f>
        <v>3960</v>
      </c>
      <c r="S392" s="287">
        <f>Table21[[#This Row],[SEATS SOLD]]*Table21[[#This Row],[ECO SEAT]]</f>
        <v>8949600</v>
      </c>
    </row>
    <row r="393" spans="1:19" x14ac:dyDescent="0.25">
      <c r="A393" s="16" t="s">
        <v>16281</v>
      </c>
      <c r="B393" s="16" t="s">
        <v>2434</v>
      </c>
      <c r="C393" s="16" t="s">
        <v>2</v>
      </c>
      <c r="D393" s="16">
        <v>1</v>
      </c>
      <c r="E393" s="16" t="s">
        <v>971</v>
      </c>
      <c r="F393" s="16" t="s">
        <v>12671</v>
      </c>
      <c r="G393" s="179" t="s">
        <v>11757</v>
      </c>
      <c r="H393" s="254">
        <v>8718</v>
      </c>
      <c r="I393" s="180">
        <v>21.5</v>
      </c>
      <c r="J393" s="102">
        <v>211866808</v>
      </c>
      <c r="K393" s="102">
        <f>IFERROR(Table21[[#This Row],[ROUTE COST]]/Table21[[#This Row],[O - DEMAND]],0)</f>
        <v>76930.576615831524</v>
      </c>
      <c r="L393" s="26">
        <v>2754</v>
      </c>
      <c r="M393" s="26">
        <f>IFERROR(VLOOKUP(Table21[[#This Row],[ROUTE]],DEMAND!A:F,5,FALSE),0)</f>
        <v>2874</v>
      </c>
      <c r="N393" s="26">
        <f>IFERROR(VLOOKUP(Table21[[#This Row],[ROUTE]],DEMAND!A:F,6,FALSE),0)</f>
        <v>234</v>
      </c>
      <c r="O393" s="26">
        <f>ROUNDDOWN(Table21[[#This Row],[R-DEMAND]]/1320,0)</f>
        <v>0</v>
      </c>
      <c r="P393" s="26">
        <f>Table21[[#This Row],[ADD ACC]]*Table21[[#This Row],[Duration
(747-400)]]</f>
        <v>0</v>
      </c>
      <c r="Q393" s="284">
        <f>IFERROR(VLOOKUP(Table21[[#This Row],[ROUTE]],PRICING!A:B,2,FALSE),0)</f>
        <v>2455</v>
      </c>
      <c r="R393" s="282">
        <f>Table21[[#This Row],[C_DEMAND]]-Table21[[#This Row],[R-DEMAND]]</f>
        <v>2640</v>
      </c>
      <c r="S393" s="287">
        <f>Table21[[#This Row],[SEATS SOLD]]*Table21[[#This Row],[ECO SEAT]]</f>
        <v>6481200</v>
      </c>
    </row>
    <row r="394" spans="1:19" x14ac:dyDescent="0.25">
      <c r="A394" s="16" t="s">
        <v>16338</v>
      </c>
      <c r="B394" s="16" t="s">
        <v>5507</v>
      </c>
      <c r="C394" s="16" t="s">
        <v>2</v>
      </c>
      <c r="D394" s="16">
        <v>4</v>
      </c>
      <c r="E394" s="16" t="s">
        <v>308</v>
      </c>
      <c r="F394" s="16" t="s">
        <v>12674</v>
      </c>
      <c r="G394" s="179" t="s">
        <v>11106</v>
      </c>
      <c r="H394" s="254">
        <v>8032</v>
      </c>
      <c r="I394" s="180">
        <v>20</v>
      </c>
      <c r="J394" s="102">
        <v>239874987</v>
      </c>
      <c r="K394" s="102">
        <f>IFERROR(Table21[[#This Row],[ROUTE COST]]/Table21[[#This Row],[O - DEMAND]],0)</f>
        <v>88384.298820928525</v>
      </c>
      <c r="L394" s="26">
        <v>2714</v>
      </c>
      <c r="M394" s="26">
        <f>IFERROR(VLOOKUP(Table21[[#This Row],[ROUTE]],DEMAND!A:F,5,FALSE),0)</f>
        <v>2868</v>
      </c>
      <c r="N394" s="26">
        <f>IFERROR(VLOOKUP(Table21[[#This Row],[ROUTE]],DEMAND!A:F,6,FALSE),0)</f>
        <v>228</v>
      </c>
      <c r="O394" s="26">
        <f>ROUNDDOWN(Table21[[#This Row],[R-DEMAND]]/1320,0)</f>
        <v>0</v>
      </c>
      <c r="P394" s="26">
        <f>Table21[[#This Row],[ADD ACC]]*Table21[[#This Row],[Duration
(747-400)]]</f>
        <v>0</v>
      </c>
      <c r="Q394" s="284">
        <f>IFERROR(VLOOKUP(Table21[[#This Row],[ROUTE]],PRICING!A:B,2,FALSE),0)</f>
        <v>2165</v>
      </c>
      <c r="R394" s="282">
        <f>Table21[[#This Row],[C_DEMAND]]-Table21[[#This Row],[R-DEMAND]]</f>
        <v>2640</v>
      </c>
      <c r="S394" s="287">
        <f>Table21[[#This Row],[SEATS SOLD]]*Table21[[#This Row],[ECO SEAT]]</f>
        <v>5715600</v>
      </c>
    </row>
    <row r="395" spans="1:19" x14ac:dyDescent="0.25">
      <c r="A395" s="16" t="s">
        <v>16318</v>
      </c>
      <c r="B395" s="16" t="s">
        <v>295</v>
      </c>
      <c r="C395" s="16" t="s">
        <v>2</v>
      </c>
      <c r="D395" s="16">
        <v>4</v>
      </c>
      <c r="E395" s="16" t="s">
        <v>1674</v>
      </c>
      <c r="F395" s="16" t="s">
        <v>12674</v>
      </c>
      <c r="G395" s="179" t="s">
        <v>11084</v>
      </c>
      <c r="H395" s="254">
        <v>8202</v>
      </c>
      <c r="I395" s="180">
        <v>20.25</v>
      </c>
      <c r="J395" s="102">
        <v>247451793</v>
      </c>
      <c r="K395" s="102">
        <f>IFERROR(Table21[[#This Row],[ROUTE COST]]/Table21[[#This Row],[O - DEMAND]],0)</f>
        <v>89754.005440696405</v>
      </c>
      <c r="L395" s="26">
        <v>2757</v>
      </c>
      <c r="M395" s="26">
        <f>IFERROR(VLOOKUP(Table21[[#This Row],[ROUTE]],DEMAND!A:F,5,FALSE),0)</f>
        <v>2867</v>
      </c>
      <c r="N395" s="26">
        <f>IFERROR(VLOOKUP(Table21[[#This Row],[ROUTE]],DEMAND!A:F,6,FALSE),0)</f>
        <v>227</v>
      </c>
      <c r="O395" s="26">
        <f>ROUNDDOWN(Table21[[#This Row],[R-DEMAND]]/1320,0)</f>
        <v>0</v>
      </c>
      <c r="P395" s="26">
        <f>Table21[[#This Row],[ADD ACC]]*Table21[[#This Row],[Duration
(747-400)]]</f>
        <v>0</v>
      </c>
      <c r="Q395" s="284">
        <f>IFERROR(VLOOKUP(Table21[[#This Row],[ROUTE]],PRICING!A:B,2,FALSE),0)</f>
        <v>2342</v>
      </c>
      <c r="R395" s="282">
        <f>Table21[[#This Row],[C_DEMAND]]-Table21[[#This Row],[R-DEMAND]]</f>
        <v>2640</v>
      </c>
      <c r="S395" s="287">
        <f>Table21[[#This Row],[SEATS SOLD]]*Table21[[#This Row],[ECO SEAT]]</f>
        <v>6182880</v>
      </c>
    </row>
    <row r="396" spans="1:19" x14ac:dyDescent="0.25">
      <c r="A396" s="16" t="s">
        <v>16623</v>
      </c>
      <c r="B396" s="16" t="s">
        <v>5082</v>
      </c>
      <c r="C396" s="16" t="s">
        <v>2</v>
      </c>
      <c r="D396" s="16">
        <v>3</v>
      </c>
      <c r="E396" s="16" t="s">
        <v>5080</v>
      </c>
      <c r="F396" s="16" t="s">
        <v>12682</v>
      </c>
      <c r="G396" s="179" t="s">
        <v>12038</v>
      </c>
      <c r="H396" s="254">
        <v>4038</v>
      </c>
      <c r="I396" s="180">
        <v>11</v>
      </c>
      <c r="J396" s="102">
        <v>187772522</v>
      </c>
      <c r="K396" s="102">
        <f>IFERROR(Table21[[#This Row],[ROUTE COST]]/Table21[[#This Row],[O - DEMAND]],0)</f>
        <v>68806.347379992672</v>
      </c>
      <c r="L396" s="26">
        <v>2729</v>
      </c>
      <c r="M396" s="26">
        <f>IFERROR(VLOOKUP(Table21[[#This Row],[ROUTE]],DEMAND!A:F,5,FALSE),0)</f>
        <v>2866</v>
      </c>
      <c r="N396" s="26">
        <f>IFERROR(VLOOKUP(Table21[[#This Row],[ROUTE]],DEMAND!A:F,6,FALSE),0)</f>
        <v>226</v>
      </c>
      <c r="O396" s="26">
        <f>ROUNDDOWN(Table21[[#This Row],[R-DEMAND]]/1320,0)</f>
        <v>0</v>
      </c>
      <c r="P396" s="26">
        <f>Table21[[#This Row],[ADD ACC]]*Table21[[#This Row],[Duration
(747-400)]]</f>
        <v>0</v>
      </c>
      <c r="Q396" s="284">
        <f>IFERROR(VLOOKUP(Table21[[#This Row],[ROUTE]],PRICING!A:B,2,FALSE),0)</f>
        <v>1165</v>
      </c>
      <c r="R396" s="282">
        <f>Table21[[#This Row],[C_DEMAND]]-Table21[[#This Row],[R-DEMAND]]</f>
        <v>2640</v>
      </c>
      <c r="S396" s="287">
        <f>Table21[[#This Row],[SEATS SOLD]]*Table21[[#This Row],[ECO SEAT]]</f>
        <v>3075600</v>
      </c>
    </row>
    <row r="397" spans="1:19" x14ac:dyDescent="0.25">
      <c r="A397" s="16" t="s">
        <v>16148</v>
      </c>
      <c r="B397" s="16" t="s">
        <v>452</v>
      </c>
      <c r="C397" s="16" t="s">
        <v>2</v>
      </c>
      <c r="D397" s="16">
        <v>4</v>
      </c>
      <c r="E397" s="16" t="s">
        <v>730</v>
      </c>
      <c r="F397" s="16" t="s">
        <v>12682</v>
      </c>
      <c r="G397" s="179" t="s">
        <v>11116</v>
      </c>
      <c r="H397" s="254">
        <v>10429</v>
      </c>
      <c r="I397" s="180">
        <v>25.25</v>
      </c>
      <c r="J397" s="102">
        <v>271307444</v>
      </c>
      <c r="K397" s="102">
        <f>IFERROR(Table21[[#This Row],[ROUTE COST]]/Table21[[#This Row],[O - DEMAND]],0)</f>
        <v>69175.788883222849</v>
      </c>
      <c r="L397" s="26">
        <v>3922</v>
      </c>
      <c r="M397" s="26">
        <f>IFERROR(VLOOKUP(Table21[[#This Row],[ROUTE]],DEMAND!A:F,5,FALSE),0)</f>
        <v>4184</v>
      </c>
      <c r="N397" s="26">
        <f>IFERROR(VLOOKUP(Table21[[#This Row],[ROUTE]],DEMAND!A:F,6,FALSE),0)</f>
        <v>224</v>
      </c>
      <c r="O397" s="26">
        <f>ROUNDDOWN(Table21[[#This Row],[R-DEMAND]]/1320,0)</f>
        <v>0</v>
      </c>
      <c r="P397" s="26">
        <f>Table21[[#This Row],[ADD ACC]]*Table21[[#This Row],[Duration
(747-400)]]</f>
        <v>0</v>
      </c>
      <c r="Q397" s="284">
        <f>IFERROR(VLOOKUP(Table21[[#This Row],[ROUTE]],PRICING!A:B,2,FALSE),0)</f>
        <v>2681</v>
      </c>
      <c r="R397" s="282">
        <f>Table21[[#This Row],[C_DEMAND]]-Table21[[#This Row],[R-DEMAND]]</f>
        <v>3960</v>
      </c>
      <c r="S397" s="287">
        <f>Table21[[#This Row],[SEATS SOLD]]*Table21[[#This Row],[ECO SEAT]]</f>
        <v>10616760</v>
      </c>
    </row>
    <row r="398" spans="1:19" x14ac:dyDescent="0.25">
      <c r="A398" s="16" t="s">
        <v>16197</v>
      </c>
      <c r="B398" s="16" t="s">
        <v>5676</v>
      </c>
      <c r="C398" s="16" t="s">
        <v>2</v>
      </c>
      <c r="D398" s="16">
        <v>5</v>
      </c>
      <c r="E398" s="16" t="s">
        <v>11732</v>
      </c>
      <c r="F398" s="16" t="s">
        <v>15969</v>
      </c>
      <c r="G398" s="179" t="s">
        <v>13273</v>
      </c>
      <c r="H398" s="254">
        <v>9773</v>
      </c>
      <c r="I398" s="180">
        <v>23.75</v>
      </c>
      <c r="J398" s="102">
        <v>271399049</v>
      </c>
      <c r="K398" s="102">
        <f>IFERROR(Table21[[#This Row],[ROUTE COST]]/Table21[[#This Row],[O - DEMAND]],0)</f>
        <v>100184.21889996309</v>
      </c>
      <c r="L398" s="26">
        <v>2709</v>
      </c>
      <c r="M398" s="26">
        <f>IFERROR(VLOOKUP(Table21[[#This Row],[ROUTE]],DEMAND!A:F,5,FALSE),0)</f>
        <v>2863</v>
      </c>
      <c r="N398" s="26">
        <f>IFERROR(VLOOKUP(Table21[[#This Row],[ROUTE]],DEMAND!A:F,6,FALSE),0)</f>
        <v>223</v>
      </c>
      <c r="O398" s="26">
        <f>ROUNDDOWN(Table21[[#This Row],[R-DEMAND]]/1320,0)</f>
        <v>0</v>
      </c>
      <c r="P398" s="26">
        <f>Table21[[#This Row],[ADD ACC]]*Table21[[#This Row],[Duration
(747-400)]]</f>
        <v>0</v>
      </c>
      <c r="Q398" s="284">
        <f>IFERROR(VLOOKUP(Table21[[#This Row],[ROUTE]],PRICING!A:B,2,FALSE),0)</f>
        <v>2613</v>
      </c>
      <c r="R398" s="282">
        <f>Table21[[#This Row],[C_DEMAND]]-Table21[[#This Row],[R-DEMAND]]</f>
        <v>2640</v>
      </c>
      <c r="S398" s="287">
        <f>Table21[[#This Row],[SEATS SOLD]]*Table21[[#This Row],[ECO SEAT]]</f>
        <v>6898320</v>
      </c>
    </row>
    <row r="399" spans="1:19" x14ac:dyDescent="0.25">
      <c r="A399" s="16" t="s">
        <v>16234</v>
      </c>
      <c r="B399" s="16" t="s">
        <v>1553</v>
      </c>
      <c r="C399" s="16" t="s">
        <v>2</v>
      </c>
      <c r="D399" s="16">
        <v>1</v>
      </c>
      <c r="E399" s="16" t="s">
        <v>493</v>
      </c>
      <c r="F399" s="16" t="s">
        <v>12671</v>
      </c>
      <c r="G399" s="179" t="s">
        <v>11726</v>
      </c>
      <c r="H399" s="254">
        <v>9333</v>
      </c>
      <c r="I399" s="180">
        <v>22.75</v>
      </c>
      <c r="J399" s="102">
        <v>216618689</v>
      </c>
      <c r="K399" s="102">
        <f>IFERROR(Table21[[#This Row],[ROUTE COST]]/Table21[[#This Row],[O - DEMAND]],0)</f>
        <v>79231.41514264814</v>
      </c>
      <c r="L399" s="26">
        <v>2734</v>
      </c>
      <c r="M399" s="26">
        <f>IFERROR(VLOOKUP(Table21[[#This Row],[ROUTE]],DEMAND!A:F,5,FALSE),0)</f>
        <v>2861</v>
      </c>
      <c r="N399" s="26">
        <f>IFERROR(VLOOKUP(Table21[[#This Row],[ROUTE]],DEMAND!A:F,6,FALSE),0)</f>
        <v>221</v>
      </c>
      <c r="O399" s="26">
        <f>ROUNDDOWN(Table21[[#This Row],[R-DEMAND]]/1320,0)</f>
        <v>0</v>
      </c>
      <c r="P399" s="26">
        <f>Table21[[#This Row],[ADD ACC]]*Table21[[#This Row],[Duration
(747-400)]]</f>
        <v>0</v>
      </c>
      <c r="Q399" s="284">
        <f>IFERROR(VLOOKUP(Table21[[#This Row],[ROUTE]],PRICING!A:B,2,FALSE),0)</f>
        <v>2591</v>
      </c>
      <c r="R399" s="282">
        <f>Table21[[#This Row],[C_DEMAND]]-Table21[[#This Row],[R-DEMAND]]</f>
        <v>2640</v>
      </c>
      <c r="S399" s="287">
        <f>Table21[[#This Row],[SEATS SOLD]]*Table21[[#This Row],[ECO SEAT]]</f>
        <v>6840240</v>
      </c>
    </row>
    <row r="400" spans="1:19" x14ac:dyDescent="0.25">
      <c r="A400" s="16" t="s">
        <v>16003</v>
      </c>
      <c r="B400" s="16" t="s">
        <v>4327</v>
      </c>
      <c r="C400" s="16" t="s">
        <v>2</v>
      </c>
      <c r="D400" s="16">
        <v>2</v>
      </c>
      <c r="E400" s="16" t="s">
        <v>580</v>
      </c>
      <c r="F400" s="16" t="s">
        <v>12671</v>
      </c>
      <c r="G400" s="179" t="s">
        <v>11841</v>
      </c>
      <c r="H400" s="254">
        <v>12345</v>
      </c>
      <c r="I400" s="180">
        <v>29.5</v>
      </c>
      <c r="J400" s="102">
        <v>261532296</v>
      </c>
      <c r="K400" s="102">
        <f>IFERROR(Table21[[#This Row],[ROUTE COST]]/Table21[[#This Row],[O - DEMAND]],0)</f>
        <v>66530.729076570846</v>
      </c>
      <c r="L400" s="26">
        <v>3931</v>
      </c>
      <c r="M400" s="26">
        <f>IFERROR(VLOOKUP(Table21[[#This Row],[ROUTE]],DEMAND!A:F,5,FALSE),0)</f>
        <v>4181</v>
      </c>
      <c r="N400" s="26">
        <f>IFERROR(VLOOKUP(Table21[[#This Row],[ROUTE]],DEMAND!A:F,6,FALSE),0)</f>
        <v>221</v>
      </c>
      <c r="O400" s="26">
        <f>ROUNDDOWN(Table21[[#This Row],[R-DEMAND]]/1320,0)</f>
        <v>0</v>
      </c>
      <c r="P400" s="26">
        <f>Table21[[#This Row],[ADD ACC]]*Table21[[#This Row],[Duration
(747-400)]]</f>
        <v>0</v>
      </c>
      <c r="Q400" s="284">
        <f>IFERROR(VLOOKUP(Table21[[#This Row],[ROUTE]],PRICING!A:B,2,FALSE),0)</f>
        <v>3196</v>
      </c>
      <c r="R400" s="282">
        <f>Table21[[#This Row],[C_DEMAND]]-Table21[[#This Row],[R-DEMAND]]</f>
        <v>3960</v>
      </c>
      <c r="S400" s="287">
        <f>Table21[[#This Row],[SEATS SOLD]]*Table21[[#This Row],[ECO SEAT]]</f>
        <v>12656160</v>
      </c>
    </row>
    <row r="401" spans="1:19" x14ac:dyDescent="0.25">
      <c r="A401" s="16" t="s">
        <v>16254</v>
      </c>
      <c r="B401" s="16" t="s">
        <v>1163</v>
      </c>
      <c r="C401" s="16" t="s">
        <v>2</v>
      </c>
      <c r="D401" s="16">
        <v>1</v>
      </c>
      <c r="E401" s="16" t="s">
        <v>493</v>
      </c>
      <c r="F401" s="16" t="s">
        <v>12671</v>
      </c>
      <c r="G401" s="179" t="s">
        <v>11739</v>
      </c>
      <c r="H401" s="254">
        <v>9119</v>
      </c>
      <c r="I401" s="180">
        <v>22.25</v>
      </c>
      <c r="J401" s="102">
        <v>212942689</v>
      </c>
      <c r="K401" s="102">
        <f>IFERROR(Table21[[#This Row],[ROUTE COST]]/Table21[[#This Row],[O - DEMAND]],0)</f>
        <v>79367.383153186733</v>
      </c>
      <c r="L401" s="26">
        <v>2683</v>
      </c>
      <c r="M401" s="26">
        <f>IFERROR(VLOOKUP(Table21[[#This Row],[ROUTE]],DEMAND!A:F,5,FALSE),0)</f>
        <v>2853</v>
      </c>
      <c r="N401" s="26">
        <f>IFERROR(VLOOKUP(Table21[[#This Row],[ROUTE]],DEMAND!A:F,6,FALSE),0)</f>
        <v>213</v>
      </c>
      <c r="O401" s="26">
        <f>ROUNDDOWN(Table21[[#This Row],[R-DEMAND]]/1320,0)</f>
        <v>0</v>
      </c>
      <c r="P401" s="26">
        <f>Table21[[#This Row],[ADD ACC]]*Table21[[#This Row],[Duration
(747-400)]]</f>
        <v>0</v>
      </c>
      <c r="Q401" s="284">
        <f>IFERROR(VLOOKUP(Table21[[#This Row],[ROUTE]],PRICING!A:B,2,FALSE),0)</f>
        <v>2386</v>
      </c>
      <c r="R401" s="282">
        <f>Table21[[#This Row],[C_DEMAND]]-Table21[[#This Row],[R-DEMAND]]</f>
        <v>2640</v>
      </c>
      <c r="S401" s="287">
        <f>Table21[[#This Row],[SEATS SOLD]]*Table21[[#This Row],[ECO SEAT]]</f>
        <v>6299040</v>
      </c>
    </row>
    <row r="402" spans="1:19" x14ac:dyDescent="0.25">
      <c r="A402" s="16" t="s">
        <v>16192</v>
      </c>
      <c r="B402" s="16" t="s">
        <v>1522</v>
      </c>
      <c r="C402" s="16" t="s">
        <v>2</v>
      </c>
      <c r="D402" s="16">
        <v>1</v>
      </c>
      <c r="E402" s="16" t="s">
        <v>493</v>
      </c>
      <c r="F402" s="16" t="s">
        <v>12671</v>
      </c>
      <c r="G402" s="179" t="s">
        <v>11693</v>
      </c>
      <c r="H402" s="254">
        <v>9860</v>
      </c>
      <c r="I402" s="180">
        <v>24</v>
      </c>
      <c r="J402" s="102">
        <v>222572689</v>
      </c>
      <c r="K402" s="102">
        <f>IFERROR(Table21[[#This Row],[ROUTE COST]]/Table21[[#This Row],[O - DEMAND]],0)</f>
        <v>81468.773426061496</v>
      </c>
      <c r="L402" s="26">
        <v>2732</v>
      </c>
      <c r="M402" s="26">
        <f>IFERROR(VLOOKUP(Table21[[#This Row],[ROUTE]],DEMAND!A:F,5,FALSE),0)</f>
        <v>2851</v>
      </c>
      <c r="N402" s="26">
        <f>IFERROR(VLOOKUP(Table21[[#This Row],[ROUTE]],DEMAND!A:F,6,FALSE),0)</f>
        <v>211</v>
      </c>
      <c r="O402" s="26">
        <f>ROUNDDOWN(Table21[[#This Row],[R-DEMAND]]/1320,0)</f>
        <v>0</v>
      </c>
      <c r="P402" s="26">
        <f>Table21[[#This Row],[ADD ACC]]*Table21[[#This Row],[Duration
(747-400)]]</f>
        <v>0</v>
      </c>
      <c r="Q402" s="284">
        <f>IFERROR(VLOOKUP(Table21[[#This Row],[ROUTE]],PRICING!A:B,2,FALSE),0)</f>
        <v>2763</v>
      </c>
      <c r="R402" s="282">
        <f>Table21[[#This Row],[C_DEMAND]]-Table21[[#This Row],[R-DEMAND]]</f>
        <v>2640</v>
      </c>
      <c r="S402" s="287">
        <f>Table21[[#This Row],[SEATS SOLD]]*Table21[[#This Row],[ECO SEAT]]</f>
        <v>7294320</v>
      </c>
    </row>
    <row r="403" spans="1:19" x14ac:dyDescent="0.25">
      <c r="A403" s="16" t="s">
        <v>16548</v>
      </c>
      <c r="B403" s="16" t="s">
        <v>320</v>
      </c>
      <c r="C403" s="16" t="s">
        <v>2</v>
      </c>
      <c r="D403" s="16">
        <v>3</v>
      </c>
      <c r="E403" s="16" t="s">
        <v>1847</v>
      </c>
      <c r="F403" s="16" t="s">
        <v>12670</v>
      </c>
      <c r="G403" s="179" t="s">
        <v>11976</v>
      </c>
      <c r="H403" s="254">
        <v>5885</v>
      </c>
      <c r="I403" s="180">
        <v>15.25</v>
      </c>
      <c r="J403" s="102">
        <v>197644239</v>
      </c>
      <c r="K403" s="102">
        <f>IFERROR(Table21[[#This Row],[ROUTE COST]]/Table21[[#This Row],[O - DEMAND]],0)</f>
        <v>73174.468345057379</v>
      </c>
      <c r="L403" s="26">
        <v>2701</v>
      </c>
      <c r="M403" s="26">
        <f>IFERROR(VLOOKUP(Table21[[#This Row],[ROUTE]],DEMAND!A:F,5,FALSE),0)</f>
        <v>2846</v>
      </c>
      <c r="N403" s="26">
        <f>IFERROR(VLOOKUP(Table21[[#This Row],[ROUTE]],DEMAND!A:F,6,FALSE),0)</f>
        <v>206</v>
      </c>
      <c r="O403" s="26">
        <f>ROUNDDOWN(Table21[[#This Row],[R-DEMAND]]/1320,0)</f>
        <v>0</v>
      </c>
      <c r="P403" s="26">
        <f>Table21[[#This Row],[ADD ACC]]*Table21[[#This Row],[Duration
(747-400)]]</f>
        <v>0</v>
      </c>
      <c r="Q403" s="284">
        <f>IFERROR(VLOOKUP(Table21[[#This Row],[ROUTE]],PRICING!A:B,2,FALSE),0)</f>
        <v>1632</v>
      </c>
      <c r="R403" s="282">
        <f>Table21[[#This Row],[C_DEMAND]]-Table21[[#This Row],[R-DEMAND]]</f>
        <v>2640</v>
      </c>
      <c r="S403" s="287">
        <f>Table21[[#This Row],[SEATS SOLD]]*Table21[[#This Row],[ECO SEAT]]</f>
        <v>4308480</v>
      </c>
    </row>
    <row r="404" spans="1:19" x14ac:dyDescent="0.25">
      <c r="A404" s="16" t="s">
        <v>16429</v>
      </c>
      <c r="B404" s="16" t="s">
        <v>2713</v>
      </c>
      <c r="C404" s="16" t="s">
        <v>2</v>
      </c>
      <c r="D404" s="16">
        <v>3</v>
      </c>
      <c r="E404" s="16" t="s">
        <v>2711</v>
      </c>
      <c r="F404" s="16" t="s">
        <v>12670</v>
      </c>
      <c r="G404" s="179" t="s">
        <v>11887</v>
      </c>
      <c r="H404" s="254">
        <v>7278</v>
      </c>
      <c r="I404" s="180">
        <v>18.25</v>
      </c>
      <c r="J404" s="102">
        <v>199053904</v>
      </c>
      <c r="K404" s="102">
        <f>IFERROR(Table21[[#This Row],[ROUTE COST]]/Table21[[#This Row],[O - DEMAND]],0)</f>
        <v>72304.360334180892</v>
      </c>
      <c r="L404" s="26">
        <v>2753</v>
      </c>
      <c r="M404" s="26">
        <f>IFERROR(VLOOKUP(Table21[[#This Row],[ROUTE]],DEMAND!A:F,5,FALSE),0)</f>
        <v>2845</v>
      </c>
      <c r="N404" s="26">
        <f>IFERROR(VLOOKUP(Table21[[#This Row],[ROUTE]],DEMAND!A:F,6,FALSE),0)</f>
        <v>205</v>
      </c>
      <c r="O404" s="26">
        <f>ROUNDDOWN(Table21[[#This Row],[R-DEMAND]]/1320,0)</f>
        <v>0</v>
      </c>
      <c r="P404" s="26">
        <f>Table21[[#This Row],[ADD ACC]]*Table21[[#This Row],[Duration
(747-400)]]</f>
        <v>0</v>
      </c>
      <c r="Q404" s="284">
        <f>IFERROR(VLOOKUP(Table21[[#This Row],[ROUTE]],PRICING!A:B,2,FALSE),0)</f>
        <v>2138</v>
      </c>
      <c r="R404" s="282">
        <f>Table21[[#This Row],[C_DEMAND]]-Table21[[#This Row],[R-DEMAND]]</f>
        <v>2640</v>
      </c>
      <c r="S404" s="287">
        <f>Table21[[#This Row],[SEATS SOLD]]*Table21[[#This Row],[ECO SEAT]]</f>
        <v>5644320</v>
      </c>
    </row>
    <row r="405" spans="1:19" x14ac:dyDescent="0.25">
      <c r="A405" s="16" t="s">
        <v>16631</v>
      </c>
      <c r="B405" s="16" t="s">
        <v>4831</v>
      </c>
      <c r="C405" s="16" t="s">
        <v>2</v>
      </c>
      <c r="D405" s="16">
        <v>3</v>
      </c>
      <c r="E405" s="16" t="s">
        <v>4829</v>
      </c>
      <c r="F405" s="16" t="s">
        <v>12670</v>
      </c>
      <c r="G405" s="179" t="s">
        <v>12108</v>
      </c>
      <c r="H405" s="254">
        <v>3911</v>
      </c>
      <c r="I405" s="180">
        <v>10.75</v>
      </c>
      <c r="J405" s="102">
        <v>182315380</v>
      </c>
      <c r="K405" s="102">
        <f>IFERROR(Table21[[#This Row],[ROUTE COST]]/Table21[[#This Row],[O - DEMAND]],0)</f>
        <v>67724.881129271918</v>
      </c>
      <c r="L405" s="26">
        <v>2692</v>
      </c>
      <c r="M405" s="26">
        <f>IFERROR(VLOOKUP(Table21[[#This Row],[ROUTE]],DEMAND!A:F,5,FALSE),0)</f>
        <v>2845</v>
      </c>
      <c r="N405" s="26">
        <f>IFERROR(VLOOKUP(Table21[[#This Row],[ROUTE]],DEMAND!A:F,6,FALSE),0)</f>
        <v>205</v>
      </c>
      <c r="O405" s="26">
        <f>ROUNDDOWN(Table21[[#This Row],[R-DEMAND]]/1320,0)</f>
        <v>0</v>
      </c>
      <c r="P405" s="26">
        <f>Table21[[#This Row],[ADD ACC]]*Table21[[#This Row],[Duration
(747-400)]]</f>
        <v>0</v>
      </c>
      <c r="Q405" s="284">
        <f>IFERROR(VLOOKUP(Table21[[#This Row],[ROUTE]],PRICING!A:B,2,FALSE),0)</f>
        <v>1105</v>
      </c>
      <c r="R405" s="282">
        <f>Table21[[#This Row],[C_DEMAND]]-Table21[[#This Row],[R-DEMAND]]</f>
        <v>2640</v>
      </c>
      <c r="S405" s="287">
        <f>Table21[[#This Row],[SEATS SOLD]]*Table21[[#This Row],[ECO SEAT]]</f>
        <v>2917200</v>
      </c>
    </row>
    <row r="406" spans="1:19" x14ac:dyDescent="0.25">
      <c r="A406" s="251" t="s">
        <v>16723</v>
      </c>
      <c r="B406" s="251" t="s">
        <v>5408</v>
      </c>
      <c r="C406" s="16" t="s">
        <v>2</v>
      </c>
      <c r="D406" s="251">
        <v>4</v>
      </c>
      <c r="E406" s="251" t="s">
        <v>16711</v>
      </c>
      <c r="F406" s="251" t="s">
        <v>12670</v>
      </c>
      <c r="G406" s="252" t="s">
        <v>16718</v>
      </c>
      <c r="H406" s="254">
        <v>1567</v>
      </c>
      <c r="I406" s="180">
        <v>5.5</v>
      </c>
      <c r="J406" s="102">
        <v>171861794</v>
      </c>
      <c r="K406" s="253">
        <f>IFERROR(Table21[[#This Row],[ROUTE COST]]/Table21[[#This Row],[O - DEMAND]],0)</f>
        <v>62586.232337946101</v>
      </c>
      <c r="L406" s="26">
        <v>2746</v>
      </c>
      <c r="M406" s="26">
        <f>IFERROR(VLOOKUP(Table21[[#This Row],[ROUTE]],DEMAND!A:F,5,FALSE),0)</f>
        <v>2838</v>
      </c>
      <c r="N406" s="26">
        <f>IFERROR(VLOOKUP(Table21[[#This Row],[ROUTE]],DEMAND!A:F,6,FALSE),0)</f>
        <v>198</v>
      </c>
      <c r="O406" s="26">
        <f>ROUNDDOWN(Table21[[#This Row],[R-DEMAND]]/1320,0)</f>
        <v>0</v>
      </c>
      <c r="P406" s="26">
        <f>Table21[[#This Row],[ADD ACC]]*Table21[[#This Row],[Duration
(747-400)]]</f>
        <v>0</v>
      </c>
      <c r="Q406" s="284">
        <f>IFERROR(VLOOKUP(Table21[[#This Row],[ROUTE]],PRICING!A:B,2,FALSE),0)</f>
        <v>544</v>
      </c>
      <c r="R406" s="282">
        <f>Table21[[#This Row],[C_DEMAND]]-Table21[[#This Row],[R-DEMAND]]</f>
        <v>2640</v>
      </c>
      <c r="S406" s="287">
        <f>Table21[[#This Row],[SEATS SOLD]]*Table21[[#This Row],[ECO SEAT]]</f>
        <v>1436160</v>
      </c>
    </row>
    <row r="407" spans="1:19" x14ac:dyDescent="0.25">
      <c r="A407" s="16" t="s">
        <v>15982</v>
      </c>
      <c r="B407" s="16" t="s">
        <v>2484</v>
      </c>
      <c r="C407" s="16" t="s">
        <v>2</v>
      </c>
      <c r="D407" s="16">
        <v>1</v>
      </c>
      <c r="E407" s="16" t="s">
        <v>683</v>
      </c>
      <c r="F407" s="16" t="s">
        <v>12688</v>
      </c>
      <c r="G407" s="179" t="s">
        <v>13189</v>
      </c>
      <c r="H407" s="254">
        <v>12853</v>
      </c>
      <c r="I407" s="180">
        <v>30.5</v>
      </c>
      <c r="J407" s="102">
        <v>253432052</v>
      </c>
      <c r="K407" s="102">
        <f>IFERROR(Table21[[#This Row],[ROUTE COST]]/Table21[[#This Row],[O - DEMAND]],0)</f>
        <v>93482.866838804868</v>
      </c>
      <c r="L407" s="26">
        <v>2711</v>
      </c>
      <c r="M407" s="26">
        <f>IFERROR(VLOOKUP(Table21[[#This Row],[ROUTE]],DEMAND!A:F,5,FALSE),0)</f>
        <v>2837</v>
      </c>
      <c r="N407" s="26">
        <f>IFERROR(VLOOKUP(Table21[[#This Row],[ROUTE]],DEMAND!A:F,6,FALSE),0)</f>
        <v>197</v>
      </c>
      <c r="O407" s="26">
        <f>ROUNDDOWN(Table21[[#This Row],[R-DEMAND]]/1320,0)</f>
        <v>0</v>
      </c>
      <c r="P407" s="26">
        <f>Table21[[#This Row],[ADD ACC]]*Table21[[#This Row],[Duration
(747-400)]]</f>
        <v>0</v>
      </c>
      <c r="Q407" s="284">
        <f>IFERROR(VLOOKUP(Table21[[#This Row],[ROUTE]],PRICING!A:B,2,FALSE),0)</f>
        <v>3529</v>
      </c>
      <c r="R407" s="282">
        <f>Table21[[#This Row],[C_DEMAND]]-Table21[[#This Row],[R-DEMAND]]</f>
        <v>2640</v>
      </c>
      <c r="S407" s="287">
        <f>Table21[[#This Row],[SEATS SOLD]]*Table21[[#This Row],[ECO SEAT]]</f>
        <v>9316560</v>
      </c>
    </row>
    <row r="408" spans="1:19" x14ac:dyDescent="0.25">
      <c r="A408" s="16" t="s">
        <v>16056</v>
      </c>
      <c r="B408" s="16" t="s">
        <v>484</v>
      </c>
      <c r="C408" s="16" t="s">
        <v>2</v>
      </c>
      <c r="D408" s="16">
        <v>4</v>
      </c>
      <c r="E408" s="16" t="s">
        <v>2059</v>
      </c>
      <c r="F408" s="16" t="s">
        <v>12671</v>
      </c>
      <c r="G408" s="179" t="s">
        <v>11064</v>
      </c>
      <c r="H408" s="254">
        <v>11466</v>
      </c>
      <c r="I408" s="180">
        <v>27.5</v>
      </c>
      <c r="J408" s="102">
        <v>273064984</v>
      </c>
      <c r="K408" s="102">
        <f>IFERROR(Table21[[#This Row],[ROUTE COST]]/Table21[[#This Row],[O - DEMAND]],0)</f>
        <v>49865.775018261505</v>
      </c>
      <c r="L408" s="26">
        <v>5476</v>
      </c>
      <c r="M408" s="26">
        <f>IFERROR(VLOOKUP(Table21[[#This Row],[ROUTE]],DEMAND!A:F,5,FALSE),0)</f>
        <v>5476</v>
      </c>
      <c r="N408" s="26">
        <f>IFERROR(VLOOKUP(Table21[[#This Row],[ROUTE]],DEMAND!A:F,6,FALSE),0)</f>
        <v>196</v>
      </c>
      <c r="O408" s="26">
        <f>ROUNDDOWN(Table21[[#This Row],[R-DEMAND]]/1320,0)</f>
        <v>0</v>
      </c>
      <c r="P408" s="26">
        <f>Table21[[#This Row],[ADD ACC]]*Table21[[#This Row],[Duration
(747-400)]]</f>
        <v>0</v>
      </c>
      <c r="Q408" s="284">
        <f>IFERROR(VLOOKUP(Table21[[#This Row],[ROUTE]],PRICING!A:B,2,FALSE),0)</f>
        <v>3674</v>
      </c>
      <c r="R408" s="282">
        <f>Table21[[#This Row],[C_DEMAND]]-Table21[[#This Row],[R-DEMAND]]</f>
        <v>5280</v>
      </c>
      <c r="S408" s="287">
        <f>Table21[[#This Row],[SEATS SOLD]]*Table21[[#This Row],[ECO SEAT]]</f>
        <v>19398720</v>
      </c>
    </row>
    <row r="409" spans="1:19" x14ac:dyDescent="0.25">
      <c r="A409" s="16" t="s">
        <v>16666</v>
      </c>
      <c r="B409" s="16" t="s">
        <v>368</v>
      </c>
      <c r="C409" s="16" t="s">
        <v>2</v>
      </c>
      <c r="D409" s="16">
        <v>3</v>
      </c>
      <c r="E409" s="16" t="s">
        <v>1710</v>
      </c>
      <c r="F409" s="16" t="s">
        <v>12670</v>
      </c>
      <c r="G409" s="179" t="s">
        <v>12075</v>
      </c>
      <c r="H409" s="254">
        <v>3061</v>
      </c>
      <c r="I409" s="180">
        <v>9</v>
      </c>
      <c r="J409" s="102">
        <v>182917072</v>
      </c>
      <c r="K409" s="102">
        <f>IFERROR(Table21[[#This Row],[ROUTE COST]]/Table21[[#This Row],[O - DEMAND]],0)</f>
        <v>34987.963274674825</v>
      </c>
      <c r="L409" s="26">
        <v>5228</v>
      </c>
      <c r="M409" s="26">
        <f>IFERROR(VLOOKUP(Table21[[#This Row],[ROUTE]],DEMAND!A:F,5,FALSE),0)</f>
        <v>5472</v>
      </c>
      <c r="N409" s="26">
        <f>IFERROR(VLOOKUP(Table21[[#This Row],[ROUTE]],DEMAND!A:F,6,FALSE),0)</f>
        <v>192</v>
      </c>
      <c r="O409" s="26">
        <f>ROUNDDOWN(Table21[[#This Row],[R-DEMAND]]/1320,0)</f>
        <v>0</v>
      </c>
      <c r="P409" s="26">
        <f>Table21[[#This Row],[ADD ACC]]*Table21[[#This Row],[Duration
(747-400)]]</f>
        <v>0</v>
      </c>
      <c r="Q409" s="284">
        <f>IFERROR(VLOOKUP(Table21[[#This Row],[ROUTE]],PRICING!A:B,2,FALSE),0)</f>
        <v>918</v>
      </c>
      <c r="R409" s="282">
        <f>Table21[[#This Row],[C_DEMAND]]-Table21[[#This Row],[R-DEMAND]]</f>
        <v>5280</v>
      </c>
      <c r="S409" s="287">
        <f>Table21[[#This Row],[SEATS SOLD]]*Table21[[#This Row],[ECO SEAT]]</f>
        <v>4847040</v>
      </c>
    </row>
    <row r="410" spans="1:19" x14ac:dyDescent="0.25">
      <c r="A410" s="16" t="s">
        <v>15978</v>
      </c>
      <c r="B410" s="16" t="s">
        <v>2520</v>
      </c>
      <c r="C410" s="16" t="s">
        <v>2</v>
      </c>
      <c r="D410" s="16">
        <v>2</v>
      </c>
      <c r="E410" s="16" t="s">
        <v>683</v>
      </c>
      <c r="F410" s="16" t="s">
        <v>12688</v>
      </c>
      <c r="G410" s="179" t="s">
        <v>13191</v>
      </c>
      <c r="H410" s="254">
        <v>13018</v>
      </c>
      <c r="I410" s="180">
        <v>31</v>
      </c>
      <c r="J410" s="102">
        <v>255277535</v>
      </c>
      <c r="K410" s="102">
        <f>IFERROR(Table21[[#This Row],[ROUTE COST]]/Table21[[#This Row],[O - DEMAND]],0)</f>
        <v>93921.09455481972</v>
      </c>
      <c r="L410" s="26">
        <v>2718</v>
      </c>
      <c r="M410" s="26">
        <f>IFERROR(VLOOKUP(Table21[[#This Row],[ROUTE]],DEMAND!A:F,5,FALSE),0)</f>
        <v>2827</v>
      </c>
      <c r="N410" s="26">
        <f>IFERROR(VLOOKUP(Table21[[#This Row],[ROUTE]],DEMAND!A:F,6,FALSE),0)</f>
        <v>187</v>
      </c>
      <c r="O410" s="26">
        <f>ROUNDDOWN(Table21[[#This Row],[R-DEMAND]]/1320,0)</f>
        <v>0</v>
      </c>
      <c r="P410" s="26">
        <f>Table21[[#This Row],[ADD ACC]]*Table21[[#This Row],[Duration
(747-400)]]</f>
        <v>0</v>
      </c>
      <c r="Q410" s="284">
        <f>IFERROR(VLOOKUP(Table21[[#This Row],[ROUTE]],PRICING!A:B,2,FALSE),0)</f>
        <v>3656</v>
      </c>
      <c r="R410" s="282">
        <f>Table21[[#This Row],[C_DEMAND]]-Table21[[#This Row],[R-DEMAND]]</f>
        <v>2640</v>
      </c>
      <c r="S410" s="287">
        <f>Table21[[#This Row],[SEATS SOLD]]*Table21[[#This Row],[ECO SEAT]]</f>
        <v>9651840</v>
      </c>
    </row>
    <row r="411" spans="1:19" x14ac:dyDescent="0.25">
      <c r="A411" s="16" t="s">
        <v>16189</v>
      </c>
      <c r="B411" s="16" t="s">
        <v>1169</v>
      </c>
      <c r="C411" s="16" t="s">
        <v>2</v>
      </c>
      <c r="D411" s="16">
        <v>1</v>
      </c>
      <c r="E411" s="16" t="s">
        <v>493</v>
      </c>
      <c r="F411" s="16" t="s">
        <v>12671</v>
      </c>
      <c r="G411" s="179" t="s">
        <v>11715</v>
      </c>
      <c r="H411" s="254">
        <v>9899</v>
      </c>
      <c r="I411" s="180">
        <v>24</v>
      </c>
      <c r="J411" s="102">
        <v>220774689</v>
      </c>
      <c r="K411" s="102">
        <f>IFERROR(Table21[[#This Row],[ROUTE COST]]/Table21[[#This Row],[O - DEMAND]],0)</f>
        <v>82286.503540812526</v>
      </c>
      <c r="L411" s="26">
        <v>2683</v>
      </c>
      <c r="M411" s="26">
        <f>IFERROR(VLOOKUP(Table21[[#This Row],[ROUTE]],DEMAND!A:F,5,FALSE),0)</f>
        <v>2818</v>
      </c>
      <c r="N411" s="26">
        <f>IFERROR(VLOOKUP(Table21[[#This Row],[ROUTE]],DEMAND!A:F,6,FALSE),0)</f>
        <v>178</v>
      </c>
      <c r="O411" s="26">
        <f>ROUNDDOWN(Table21[[#This Row],[R-DEMAND]]/1320,0)</f>
        <v>0</v>
      </c>
      <c r="P411" s="26">
        <f>Table21[[#This Row],[ADD ACC]]*Table21[[#This Row],[Duration
(747-400)]]</f>
        <v>0</v>
      </c>
      <c r="Q411" s="284">
        <f>IFERROR(VLOOKUP(Table21[[#This Row],[ROUTE]],PRICING!A:B,2,FALSE),0)</f>
        <v>2709</v>
      </c>
      <c r="R411" s="282">
        <f>Table21[[#This Row],[C_DEMAND]]-Table21[[#This Row],[R-DEMAND]]</f>
        <v>2640</v>
      </c>
      <c r="S411" s="287">
        <f>Table21[[#This Row],[SEATS SOLD]]*Table21[[#This Row],[ECO SEAT]]</f>
        <v>7151760</v>
      </c>
    </row>
    <row r="412" spans="1:19" x14ac:dyDescent="0.25">
      <c r="A412" s="16" t="s">
        <v>16571</v>
      </c>
      <c r="B412" s="16" t="s">
        <v>14211</v>
      </c>
      <c r="C412" s="16" t="s">
        <v>2</v>
      </c>
      <c r="D412" s="16">
        <v>3</v>
      </c>
      <c r="E412" s="16" t="s">
        <v>1261</v>
      </c>
      <c r="F412" s="16" t="s">
        <v>12670</v>
      </c>
      <c r="G412" s="179" t="s">
        <v>14210</v>
      </c>
      <c r="H412" s="254">
        <v>5361</v>
      </c>
      <c r="I412" s="180">
        <v>14</v>
      </c>
      <c r="J412" s="102">
        <v>210541127</v>
      </c>
      <c r="K412" s="102">
        <f>IFERROR(Table21[[#This Row],[ROUTE COST]]/Table21[[#This Row],[O - DEMAND]],0)</f>
        <v>54123.683033419024</v>
      </c>
      <c r="L412" s="26">
        <v>3890</v>
      </c>
      <c r="M412" s="26">
        <f>IFERROR(VLOOKUP(Table21[[#This Row],[ROUTE]],DEMAND!A:F,5,FALSE),0)</f>
        <v>4137</v>
      </c>
      <c r="N412" s="26">
        <f>IFERROR(VLOOKUP(Table21[[#This Row],[ROUTE]],DEMAND!A:F,6,FALSE),0)</f>
        <v>-1143</v>
      </c>
      <c r="O412" s="26">
        <f>ROUNDDOWN(Table21[[#This Row],[R-DEMAND]]/1320,0)</f>
        <v>0</v>
      </c>
      <c r="P412" s="26">
        <f>Table21[[#This Row],[ADD ACC]]*Table21[[#This Row],[Duration
(747-400)]]</f>
        <v>0</v>
      </c>
      <c r="Q412" s="284">
        <f>IFERROR(VLOOKUP(Table21[[#This Row],[ROUTE]],PRICING!A:B,2,FALSE),0)</f>
        <v>1442</v>
      </c>
      <c r="R412" s="282">
        <f>Table21[[#This Row],[C_DEMAND]]-Table21[[#This Row],[R-DEMAND]]</f>
        <v>5280</v>
      </c>
      <c r="S412" s="287">
        <f>Table21[[#This Row],[SEATS SOLD]]*Table21[[#This Row],[ECO SEAT]]</f>
        <v>7613760</v>
      </c>
    </row>
    <row r="413" spans="1:19" x14ac:dyDescent="0.25">
      <c r="A413" s="16" t="s">
        <v>16145</v>
      </c>
      <c r="B413" s="16" t="s">
        <v>1769</v>
      </c>
      <c r="C413" s="16" t="s">
        <v>2</v>
      </c>
      <c r="D413" s="16">
        <v>1</v>
      </c>
      <c r="E413" s="16" t="s">
        <v>11782</v>
      </c>
      <c r="F413" s="16" t="s">
        <v>12671</v>
      </c>
      <c r="G413" s="179" t="s">
        <v>11803</v>
      </c>
      <c r="H413" s="254">
        <v>10444</v>
      </c>
      <c r="I413" s="180">
        <v>25.25</v>
      </c>
      <c r="J413" s="102">
        <v>227641596</v>
      </c>
      <c r="K413" s="102">
        <f>IFERROR(Table21[[#This Row],[ROUTE COST]]/Table21[[#This Row],[O - DEMAND]],0)</f>
        <v>56867.748188858357</v>
      </c>
      <c r="L413" s="26">
        <v>4003</v>
      </c>
      <c r="M413" s="26">
        <f>IFERROR(VLOOKUP(Table21[[#This Row],[ROUTE]],DEMAND!A:F,5,FALSE),0)</f>
        <v>4137</v>
      </c>
      <c r="N413" s="26">
        <f>IFERROR(VLOOKUP(Table21[[#This Row],[ROUTE]],DEMAND!A:F,6,FALSE),0)</f>
        <v>177</v>
      </c>
      <c r="O413" s="26">
        <f>ROUNDDOWN(Table21[[#This Row],[R-DEMAND]]/1320,0)</f>
        <v>0</v>
      </c>
      <c r="P413" s="26">
        <f>Table21[[#This Row],[ADD ACC]]*Table21[[#This Row],[Duration
(747-400)]]</f>
        <v>0</v>
      </c>
      <c r="Q413" s="284">
        <f>IFERROR(VLOOKUP(Table21[[#This Row],[ROUTE]],PRICING!A:B,2,FALSE),0)</f>
        <v>3021</v>
      </c>
      <c r="R413" s="282">
        <f>Table21[[#This Row],[C_DEMAND]]-Table21[[#This Row],[R-DEMAND]]</f>
        <v>3960</v>
      </c>
      <c r="S413" s="287">
        <f>Table21[[#This Row],[SEATS SOLD]]*Table21[[#This Row],[ECO SEAT]]</f>
        <v>11963160</v>
      </c>
    </row>
    <row r="414" spans="1:19" x14ac:dyDescent="0.25">
      <c r="A414" s="16" t="s">
        <v>16648</v>
      </c>
      <c r="B414" s="16" t="s">
        <v>244</v>
      </c>
      <c r="C414" s="16" t="s">
        <v>2</v>
      </c>
      <c r="D414" s="16">
        <v>2</v>
      </c>
      <c r="E414" s="16" t="s">
        <v>1070</v>
      </c>
      <c r="F414" s="16" t="s">
        <v>12670</v>
      </c>
      <c r="G414" s="179" t="s">
        <v>12015</v>
      </c>
      <c r="H414" s="254">
        <v>3496</v>
      </c>
      <c r="I414" s="180">
        <v>9.75</v>
      </c>
      <c r="J414" s="102">
        <v>166513679</v>
      </c>
      <c r="K414" s="102">
        <f>IFERROR(Table21[[#This Row],[ROUTE COST]]/Table21[[#This Row],[O - DEMAND]],0)</f>
        <v>41869.167462911741</v>
      </c>
      <c r="L414" s="26">
        <v>3977</v>
      </c>
      <c r="M414" s="26">
        <f>IFERROR(VLOOKUP(Table21[[#This Row],[ROUTE]],DEMAND!A:F,5,FALSE),0)</f>
        <v>4137</v>
      </c>
      <c r="N414" s="26">
        <f>IFERROR(VLOOKUP(Table21[[#This Row],[ROUTE]],DEMAND!A:F,6,FALSE),0)</f>
        <v>177</v>
      </c>
      <c r="O414" s="26">
        <f>ROUNDDOWN(Table21[[#This Row],[R-DEMAND]]/1320,0)</f>
        <v>0</v>
      </c>
      <c r="P414" s="26">
        <f>Table21[[#This Row],[ADD ACC]]*Table21[[#This Row],[Duration
(747-400)]]</f>
        <v>0</v>
      </c>
      <c r="Q414" s="284">
        <f>IFERROR(VLOOKUP(Table21[[#This Row],[ROUTE]],PRICING!A:B,2,FALSE),0)</f>
        <v>1058</v>
      </c>
      <c r="R414" s="282">
        <f>Table21[[#This Row],[C_DEMAND]]-Table21[[#This Row],[R-DEMAND]]</f>
        <v>3960</v>
      </c>
      <c r="S414" s="287">
        <f>Table21[[#This Row],[SEATS SOLD]]*Table21[[#This Row],[ECO SEAT]]</f>
        <v>4189680</v>
      </c>
    </row>
    <row r="415" spans="1:19" x14ac:dyDescent="0.25">
      <c r="A415" s="251" t="s">
        <v>16775</v>
      </c>
      <c r="B415" s="251" t="s">
        <v>347</v>
      </c>
      <c r="C415" s="16" t="s">
        <v>2</v>
      </c>
      <c r="D415" s="251">
        <v>5</v>
      </c>
      <c r="E415" s="251" t="s">
        <v>14</v>
      </c>
      <c r="F415" s="251" t="s">
        <v>12670</v>
      </c>
      <c r="G415" s="252" t="s">
        <v>11092</v>
      </c>
      <c r="H415" s="254">
        <v>1545</v>
      </c>
      <c r="I415" s="180">
        <v>5.5</v>
      </c>
      <c r="J415" s="102">
        <v>189058035</v>
      </c>
      <c r="K415" s="253">
        <f>IFERROR(Table21[[#This Row],[ROUTE COST]]/Table21[[#This Row],[O - DEMAND]],0)</f>
        <v>47874.913902253735</v>
      </c>
      <c r="L415" s="26">
        <v>3949</v>
      </c>
      <c r="M415" s="26">
        <f>IFERROR(VLOOKUP(Table21[[#This Row],[ROUTE]],DEMAND!A:F,5,FALSE),0)</f>
        <v>4134</v>
      </c>
      <c r="N415" s="26">
        <f>IFERROR(VLOOKUP(Table21[[#This Row],[ROUTE]],DEMAND!A:F,6,FALSE),0)</f>
        <v>174</v>
      </c>
      <c r="O415" s="26">
        <f>ROUNDDOWN(Table21[[#This Row],[R-DEMAND]]/1320,0)</f>
        <v>0</v>
      </c>
      <c r="P415" s="26">
        <f>Table21[[#This Row],[ADD ACC]]*Table21[[#This Row],[Duration
(747-400)]]</f>
        <v>0</v>
      </c>
      <c r="Q415" s="284">
        <f>IFERROR(VLOOKUP(Table21[[#This Row],[ROUTE]],PRICING!A:B,2,FALSE),0)</f>
        <v>514</v>
      </c>
      <c r="R415" s="282">
        <f>Table21[[#This Row],[C_DEMAND]]-Table21[[#This Row],[R-DEMAND]]</f>
        <v>3960</v>
      </c>
      <c r="S415" s="287">
        <f>Table21[[#This Row],[SEATS SOLD]]*Table21[[#This Row],[ECO SEAT]]</f>
        <v>2035440</v>
      </c>
    </row>
    <row r="416" spans="1:19" x14ac:dyDescent="0.25">
      <c r="A416" s="16" t="s">
        <v>16224</v>
      </c>
      <c r="B416" s="16" t="s">
        <v>293</v>
      </c>
      <c r="C416" s="16" t="s">
        <v>2</v>
      </c>
      <c r="D416" s="16">
        <v>2</v>
      </c>
      <c r="E416" s="16" t="s">
        <v>1135</v>
      </c>
      <c r="F416" s="16" t="s">
        <v>12671</v>
      </c>
      <c r="G416" s="179" t="s">
        <v>11960</v>
      </c>
      <c r="H416" s="254">
        <v>9458</v>
      </c>
      <c r="I416" s="180">
        <v>23</v>
      </c>
      <c r="J416" s="102">
        <v>231008926</v>
      </c>
      <c r="K416" s="102">
        <f>IFERROR(Table21[[#This Row],[ROUTE COST]]/Table21[[#This Row],[O - DEMAND]],0)</f>
        <v>58676.384556769117</v>
      </c>
      <c r="L416" s="26">
        <v>3937</v>
      </c>
      <c r="M416" s="26">
        <f>IFERROR(VLOOKUP(Table21[[#This Row],[ROUTE]],DEMAND!A:F,5,FALSE),0)</f>
        <v>4134</v>
      </c>
      <c r="N416" s="26">
        <f>IFERROR(VLOOKUP(Table21[[#This Row],[ROUTE]],DEMAND!A:F,6,FALSE),0)</f>
        <v>174</v>
      </c>
      <c r="O416" s="26">
        <f>ROUNDDOWN(Table21[[#This Row],[R-DEMAND]]/1320,0)</f>
        <v>0</v>
      </c>
      <c r="P416" s="26">
        <f>Table21[[#This Row],[ADD ACC]]*Table21[[#This Row],[Duration
(747-400)]]</f>
        <v>0</v>
      </c>
      <c r="Q416" s="284">
        <f>IFERROR(VLOOKUP(Table21[[#This Row],[ROUTE]],PRICING!A:B,2,FALSE),0)</f>
        <v>2593</v>
      </c>
      <c r="R416" s="282">
        <f>Table21[[#This Row],[C_DEMAND]]-Table21[[#This Row],[R-DEMAND]]</f>
        <v>3960</v>
      </c>
      <c r="S416" s="287">
        <f>Table21[[#This Row],[SEATS SOLD]]*Table21[[#This Row],[ECO SEAT]]</f>
        <v>10268280</v>
      </c>
    </row>
    <row r="417" spans="1:19" x14ac:dyDescent="0.25">
      <c r="A417" s="16" t="s">
        <v>16649</v>
      </c>
      <c r="B417" s="16" t="s">
        <v>4239</v>
      </c>
      <c r="C417" s="16" t="s">
        <v>2</v>
      </c>
      <c r="D417" s="16">
        <v>2</v>
      </c>
      <c r="E417" s="16" t="s">
        <v>3265</v>
      </c>
      <c r="F417" s="16" t="s">
        <v>12670</v>
      </c>
      <c r="G417" s="179" t="s">
        <v>11985</v>
      </c>
      <c r="H417" s="254">
        <v>3482</v>
      </c>
      <c r="I417" s="180">
        <v>9.75</v>
      </c>
      <c r="J417" s="102">
        <v>173341752</v>
      </c>
      <c r="K417" s="102">
        <f>IFERROR(Table21[[#This Row],[ROUTE COST]]/Table21[[#This Row],[O - DEMAND]],0)</f>
        <v>43335.438000000002</v>
      </c>
      <c r="L417" s="26">
        <v>4000</v>
      </c>
      <c r="M417" s="26">
        <f>IFERROR(VLOOKUP(Table21[[#This Row],[ROUTE]],DEMAND!A:F,5,FALSE),0)</f>
        <v>4133</v>
      </c>
      <c r="N417" s="26">
        <f>IFERROR(VLOOKUP(Table21[[#This Row],[ROUTE]],DEMAND!A:F,6,FALSE),0)</f>
        <v>173</v>
      </c>
      <c r="O417" s="26">
        <f>ROUNDDOWN(Table21[[#This Row],[R-DEMAND]]/1320,0)</f>
        <v>0</v>
      </c>
      <c r="P417" s="26">
        <f>Table21[[#This Row],[ADD ACC]]*Table21[[#This Row],[Duration
(747-400)]]</f>
        <v>0</v>
      </c>
      <c r="Q417" s="284">
        <f>IFERROR(VLOOKUP(Table21[[#This Row],[ROUTE]],PRICING!A:B,2,FALSE),0)</f>
        <v>1079</v>
      </c>
      <c r="R417" s="282">
        <f>Table21[[#This Row],[C_DEMAND]]-Table21[[#This Row],[R-DEMAND]]</f>
        <v>3960</v>
      </c>
      <c r="S417" s="287">
        <f>Table21[[#This Row],[SEATS SOLD]]*Table21[[#This Row],[ECO SEAT]]</f>
        <v>4272840</v>
      </c>
    </row>
    <row r="418" spans="1:19" x14ac:dyDescent="0.25">
      <c r="A418" s="16" t="s">
        <v>16630</v>
      </c>
      <c r="B418" s="16" t="s">
        <v>242</v>
      </c>
      <c r="C418" s="16" t="s">
        <v>2</v>
      </c>
      <c r="D418" s="16">
        <v>2</v>
      </c>
      <c r="E418" s="16" t="s">
        <v>1070</v>
      </c>
      <c r="F418" s="16" t="s">
        <v>12670</v>
      </c>
      <c r="G418" s="179" t="s">
        <v>12095</v>
      </c>
      <c r="H418" s="254">
        <v>3935</v>
      </c>
      <c r="I418" s="180">
        <v>10.75</v>
      </c>
      <c r="J418" s="102">
        <v>175497950</v>
      </c>
      <c r="K418" s="102">
        <f>IFERROR(Table21[[#This Row],[ROUTE COST]]/Table21[[#This Row],[O - DEMAND]],0)</f>
        <v>44351.263583522872</v>
      </c>
      <c r="L418" s="26">
        <v>3957</v>
      </c>
      <c r="M418" s="26">
        <f>IFERROR(VLOOKUP(Table21[[#This Row],[ROUTE]],DEMAND!A:F,5,FALSE),0)</f>
        <v>4129</v>
      </c>
      <c r="N418" s="26">
        <f>IFERROR(VLOOKUP(Table21[[#This Row],[ROUTE]],DEMAND!A:F,6,FALSE),0)</f>
        <v>169</v>
      </c>
      <c r="O418" s="26">
        <f>ROUNDDOWN(Table21[[#This Row],[R-DEMAND]]/1320,0)</f>
        <v>0</v>
      </c>
      <c r="P418" s="26">
        <f>Table21[[#This Row],[ADD ACC]]*Table21[[#This Row],[Duration
(747-400)]]</f>
        <v>0</v>
      </c>
      <c r="Q418" s="284">
        <f>IFERROR(VLOOKUP(Table21[[#This Row],[ROUTE]],PRICING!A:B,2,FALSE),0)</f>
        <v>1164</v>
      </c>
      <c r="R418" s="282">
        <f>Table21[[#This Row],[C_DEMAND]]-Table21[[#This Row],[R-DEMAND]]</f>
        <v>3960</v>
      </c>
      <c r="S418" s="287">
        <f>Table21[[#This Row],[SEATS SOLD]]*Table21[[#This Row],[ECO SEAT]]</f>
        <v>4609440</v>
      </c>
    </row>
    <row r="419" spans="1:19" x14ac:dyDescent="0.25">
      <c r="A419" s="16" t="s">
        <v>16094</v>
      </c>
      <c r="B419" s="16" t="s">
        <v>5267</v>
      </c>
      <c r="C419" s="16" t="s">
        <v>2</v>
      </c>
      <c r="D419" s="16">
        <v>3</v>
      </c>
      <c r="E419" s="16" t="s">
        <v>2059</v>
      </c>
      <c r="F419" s="16" t="s">
        <v>12671</v>
      </c>
      <c r="G419" s="179" t="s">
        <v>11753</v>
      </c>
      <c r="H419" s="254">
        <v>10965</v>
      </c>
      <c r="I419" s="180">
        <v>26.5</v>
      </c>
      <c r="J419" s="102">
        <v>262957738</v>
      </c>
      <c r="K419" s="102">
        <f>IFERROR(Table21[[#This Row],[ROUTE COST]]/Table21[[#This Row],[O - DEMAND]],0)</f>
        <v>50049.055576703468</v>
      </c>
      <c r="L419" s="26">
        <v>5254</v>
      </c>
      <c r="M419" s="26">
        <f>IFERROR(VLOOKUP(Table21[[#This Row],[ROUTE]],DEMAND!A:F,5,FALSE),0)</f>
        <v>5448</v>
      </c>
      <c r="N419" s="26">
        <f>IFERROR(VLOOKUP(Table21[[#This Row],[ROUTE]],DEMAND!A:F,6,FALSE),0)</f>
        <v>168</v>
      </c>
      <c r="O419" s="26">
        <f>ROUNDDOWN(Table21[[#This Row],[R-DEMAND]]/1320,0)</f>
        <v>0</v>
      </c>
      <c r="P419" s="26">
        <f>Table21[[#This Row],[ADD ACC]]*Table21[[#This Row],[Duration
(747-400)]]</f>
        <v>0</v>
      </c>
      <c r="Q419" s="284">
        <f>IFERROR(VLOOKUP(Table21[[#This Row],[ROUTE]],PRICING!A:B,2,FALSE),0)</f>
        <v>3131</v>
      </c>
      <c r="R419" s="282">
        <f>Table21[[#This Row],[C_DEMAND]]-Table21[[#This Row],[R-DEMAND]]</f>
        <v>5280</v>
      </c>
      <c r="S419" s="287">
        <f>Table21[[#This Row],[SEATS SOLD]]*Table21[[#This Row],[ECO SEAT]]</f>
        <v>16531680</v>
      </c>
    </row>
    <row r="420" spans="1:19" x14ac:dyDescent="0.25">
      <c r="A420" s="16" t="s">
        <v>16696</v>
      </c>
      <c r="B420" s="16" t="s">
        <v>1267</v>
      </c>
      <c r="C420" s="16" t="s">
        <v>2</v>
      </c>
      <c r="D420" s="16">
        <v>1</v>
      </c>
      <c r="E420" s="16" t="s">
        <v>533</v>
      </c>
      <c r="F420" s="16" t="s">
        <v>12670</v>
      </c>
      <c r="G420" s="179" t="s">
        <v>11993</v>
      </c>
      <c r="H420" s="254">
        <v>2167</v>
      </c>
      <c r="I420" s="180">
        <v>7</v>
      </c>
      <c r="J420" s="102">
        <v>141942280</v>
      </c>
      <c r="K420" s="102">
        <f>IFERROR(Table21[[#This Row],[ROUTE COST]]/Table21[[#This Row],[O - DEMAND]],0)</f>
        <v>52786.269988843436</v>
      </c>
      <c r="L420" s="26">
        <v>2689</v>
      </c>
      <c r="M420" s="26">
        <f>IFERROR(VLOOKUP(Table21[[#This Row],[ROUTE]],DEMAND!A:F,5,FALSE),0)</f>
        <v>2806</v>
      </c>
      <c r="N420" s="26">
        <f>IFERROR(VLOOKUP(Table21[[#This Row],[ROUTE]],DEMAND!A:F,6,FALSE),0)</f>
        <v>166</v>
      </c>
      <c r="O420" s="26">
        <f>ROUNDDOWN(Table21[[#This Row],[R-DEMAND]]/1320,0)</f>
        <v>0</v>
      </c>
      <c r="P420" s="26">
        <f>Table21[[#This Row],[ADD ACC]]*Table21[[#This Row],[Duration
(747-400)]]</f>
        <v>0</v>
      </c>
      <c r="Q420" s="284">
        <f>IFERROR(VLOOKUP(Table21[[#This Row],[ROUTE]],PRICING!A:B,2,FALSE),0)</f>
        <v>688</v>
      </c>
      <c r="R420" s="282">
        <f>Table21[[#This Row],[C_DEMAND]]-Table21[[#This Row],[R-DEMAND]]</f>
        <v>2640</v>
      </c>
      <c r="S420" s="287">
        <f>Table21[[#This Row],[SEATS SOLD]]*Table21[[#This Row],[ECO SEAT]]</f>
        <v>1816320</v>
      </c>
    </row>
    <row r="421" spans="1:19" x14ac:dyDescent="0.25">
      <c r="A421" s="16" t="s">
        <v>16700</v>
      </c>
      <c r="B421" s="16" t="s">
        <v>5204</v>
      </c>
      <c r="C421" s="16" t="s">
        <v>2</v>
      </c>
      <c r="D421" s="16">
        <v>3</v>
      </c>
      <c r="E421" s="16" t="s">
        <v>142</v>
      </c>
      <c r="F421" s="16" t="s">
        <v>12670</v>
      </c>
      <c r="G421" s="179" t="s">
        <v>11997</v>
      </c>
      <c r="H421" s="254">
        <v>2104</v>
      </c>
      <c r="I421" s="180">
        <v>6.75</v>
      </c>
      <c r="J421" s="102">
        <v>171347156</v>
      </c>
      <c r="K421" s="102">
        <f>IFERROR(Table21[[#This Row],[ROUTE COST]]/Table21[[#This Row],[O - DEMAND]],0)</f>
        <v>64150.938225383754</v>
      </c>
      <c r="L421" s="26">
        <v>2671</v>
      </c>
      <c r="M421" s="26">
        <f>IFERROR(VLOOKUP(Table21[[#This Row],[ROUTE]],DEMAND!A:F,5,FALSE),0)</f>
        <v>2804</v>
      </c>
      <c r="N421" s="26">
        <f>IFERROR(VLOOKUP(Table21[[#This Row],[ROUTE]],DEMAND!A:F,6,FALSE),0)</f>
        <v>164</v>
      </c>
      <c r="O421" s="26">
        <f>ROUNDDOWN(Table21[[#This Row],[R-DEMAND]]/1320,0)</f>
        <v>0</v>
      </c>
      <c r="P421" s="26">
        <f>Table21[[#This Row],[ADD ACC]]*Table21[[#This Row],[Duration
(747-400)]]</f>
        <v>0</v>
      </c>
      <c r="Q421" s="284">
        <f>IFERROR(VLOOKUP(Table21[[#This Row],[ROUTE]],PRICING!A:B,2,FALSE),0)</f>
        <v>656</v>
      </c>
      <c r="R421" s="282">
        <f>Table21[[#This Row],[C_DEMAND]]-Table21[[#This Row],[R-DEMAND]]</f>
        <v>2640</v>
      </c>
      <c r="S421" s="287">
        <f>Table21[[#This Row],[SEATS SOLD]]*Table21[[#This Row],[ECO SEAT]]</f>
        <v>1731840</v>
      </c>
    </row>
    <row r="422" spans="1:19" x14ac:dyDescent="0.25">
      <c r="A422" s="16" t="s">
        <v>16261</v>
      </c>
      <c r="B422" s="16" t="s">
        <v>5200</v>
      </c>
      <c r="C422" s="16" t="s">
        <v>2</v>
      </c>
      <c r="D422" s="16">
        <v>3</v>
      </c>
      <c r="E422" s="16" t="s">
        <v>774</v>
      </c>
      <c r="F422" s="16" t="s">
        <v>12682</v>
      </c>
      <c r="G422" s="179" t="s">
        <v>10392</v>
      </c>
      <c r="H422" s="254">
        <v>9025</v>
      </c>
      <c r="I422" s="180">
        <v>22</v>
      </c>
      <c r="J422" s="102">
        <v>240315705</v>
      </c>
      <c r="K422" s="102">
        <f>IFERROR(Table21[[#This Row],[ROUTE COST]]/Table21[[#This Row],[O - DEMAND]],0)</f>
        <v>90719.405436013592</v>
      </c>
      <c r="L422" s="26">
        <v>2649</v>
      </c>
      <c r="M422" s="26">
        <f>IFERROR(VLOOKUP(Table21[[#This Row],[ROUTE]],DEMAND!A:F,5,FALSE),0)</f>
        <v>2800</v>
      </c>
      <c r="N422" s="26">
        <f>IFERROR(VLOOKUP(Table21[[#This Row],[ROUTE]],DEMAND!A:F,6,FALSE),0)</f>
        <v>160</v>
      </c>
      <c r="O422" s="26">
        <f>ROUNDDOWN(Table21[[#This Row],[R-DEMAND]]/1320,0)</f>
        <v>0</v>
      </c>
      <c r="P422" s="26">
        <f>Table21[[#This Row],[ADD ACC]]*Table21[[#This Row],[Duration
(747-400)]]</f>
        <v>0</v>
      </c>
      <c r="Q422" s="284">
        <f>IFERROR(VLOOKUP(Table21[[#This Row],[ROUTE]],PRICING!A:B,2,FALSE),0)</f>
        <v>2421</v>
      </c>
      <c r="R422" s="282">
        <f>Table21[[#This Row],[C_DEMAND]]-Table21[[#This Row],[R-DEMAND]]</f>
        <v>2640</v>
      </c>
      <c r="S422" s="287">
        <f>Table21[[#This Row],[SEATS SOLD]]*Table21[[#This Row],[ECO SEAT]]</f>
        <v>6391440</v>
      </c>
    </row>
    <row r="423" spans="1:19" x14ac:dyDescent="0.25">
      <c r="A423" s="16" t="s">
        <v>16519</v>
      </c>
      <c r="B423" s="16" t="s">
        <v>422</v>
      </c>
      <c r="C423" s="16" t="s">
        <v>2</v>
      </c>
      <c r="D423" s="16">
        <v>2</v>
      </c>
      <c r="E423" s="16" t="s">
        <v>3163</v>
      </c>
      <c r="F423" s="16" t="s">
        <v>12670</v>
      </c>
      <c r="G423" s="179" t="s">
        <v>11923</v>
      </c>
      <c r="H423" s="254">
        <v>6320</v>
      </c>
      <c r="I423" s="180">
        <v>16</v>
      </c>
      <c r="J423" s="102">
        <v>203575751</v>
      </c>
      <c r="K423" s="102">
        <f>IFERROR(Table21[[#This Row],[ROUTE COST]]/Table21[[#This Row],[O - DEMAND]],0)</f>
        <v>51446.992923932274</v>
      </c>
      <c r="L423" s="26">
        <v>3957</v>
      </c>
      <c r="M423" s="26">
        <f>IFERROR(VLOOKUP(Table21[[#This Row],[ROUTE]],DEMAND!A:F,5,FALSE),0)</f>
        <v>4115</v>
      </c>
      <c r="N423" s="26">
        <f>IFERROR(VLOOKUP(Table21[[#This Row],[ROUTE]],DEMAND!A:F,6,FALSE),0)</f>
        <v>155</v>
      </c>
      <c r="O423" s="26">
        <f>ROUNDDOWN(Table21[[#This Row],[R-DEMAND]]/1320,0)</f>
        <v>0</v>
      </c>
      <c r="P423" s="26">
        <f>Table21[[#This Row],[ADD ACC]]*Table21[[#This Row],[Duration
(747-400)]]</f>
        <v>0</v>
      </c>
      <c r="Q423" s="284">
        <f>IFERROR(VLOOKUP(Table21[[#This Row],[ROUTE]],PRICING!A:B,2,FALSE),0)</f>
        <v>1829</v>
      </c>
      <c r="R423" s="282">
        <f>Table21[[#This Row],[C_DEMAND]]-Table21[[#This Row],[R-DEMAND]]</f>
        <v>3960</v>
      </c>
      <c r="S423" s="287">
        <f>Table21[[#This Row],[SEATS SOLD]]*Table21[[#This Row],[ECO SEAT]]</f>
        <v>7242840</v>
      </c>
    </row>
    <row r="424" spans="1:19" x14ac:dyDescent="0.25">
      <c r="A424" s="16" t="s">
        <v>16679</v>
      </c>
      <c r="B424" s="16" t="s">
        <v>341</v>
      </c>
      <c r="C424" s="16" t="s">
        <v>2</v>
      </c>
      <c r="D424" s="16">
        <v>3</v>
      </c>
      <c r="E424" s="16" t="s">
        <v>1314</v>
      </c>
      <c r="F424" s="16" t="s">
        <v>12670</v>
      </c>
      <c r="G424" s="179" t="s">
        <v>12096</v>
      </c>
      <c r="H424" s="254">
        <v>2793</v>
      </c>
      <c r="I424" s="180">
        <v>8.25</v>
      </c>
      <c r="J424" s="102">
        <v>170028094</v>
      </c>
      <c r="K424" s="102">
        <f>IFERROR(Table21[[#This Row],[ROUTE COST]]/Table21[[#This Row],[O - DEMAND]],0)</f>
        <v>43697.78822924698</v>
      </c>
      <c r="L424" s="26">
        <v>3891</v>
      </c>
      <c r="M424" s="26">
        <f>IFERROR(VLOOKUP(Table21[[#This Row],[ROUTE]],DEMAND!A:F,5,FALSE),0)</f>
        <v>4113</v>
      </c>
      <c r="N424" s="26">
        <f>IFERROR(VLOOKUP(Table21[[#This Row],[ROUTE]],DEMAND!A:F,6,FALSE),0)</f>
        <v>153</v>
      </c>
      <c r="O424" s="26">
        <f>ROUNDDOWN(Table21[[#This Row],[R-DEMAND]]/1320,0)</f>
        <v>0</v>
      </c>
      <c r="P424" s="26">
        <f>Table21[[#This Row],[ADD ACC]]*Table21[[#This Row],[Duration
(747-400)]]</f>
        <v>0</v>
      </c>
      <c r="Q424" s="284">
        <f>IFERROR(VLOOKUP(Table21[[#This Row],[ROUTE]],PRICING!A:B,2,FALSE),0)</f>
        <v>817</v>
      </c>
      <c r="R424" s="282">
        <f>Table21[[#This Row],[C_DEMAND]]-Table21[[#This Row],[R-DEMAND]]</f>
        <v>3960</v>
      </c>
      <c r="S424" s="287">
        <f>Table21[[#This Row],[SEATS SOLD]]*Table21[[#This Row],[ECO SEAT]]</f>
        <v>3235320</v>
      </c>
    </row>
    <row r="425" spans="1:19" x14ac:dyDescent="0.25">
      <c r="A425" s="16" t="s">
        <v>16293</v>
      </c>
      <c r="B425" s="16" t="s">
        <v>5454</v>
      </c>
      <c r="C425" s="16" t="s">
        <v>2</v>
      </c>
      <c r="D425" s="16">
        <v>4</v>
      </c>
      <c r="E425" s="16" t="s">
        <v>514</v>
      </c>
      <c r="F425" s="16" t="s">
        <v>12688</v>
      </c>
      <c r="G425" s="179" t="s">
        <v>13163</v>
      </c>
      <c r="H425" s="254">
        <v>8574</v>
      </c>
      <c r="I425" s="180">
        <v>21</v>
      </c>
      <c r="J425" s="102">
        <v>243326209</v>
      </c>
      <c r="K425" s="102">
        <f>IFERROR(Table21[[#This Row],[ROUTE COST]]/Table21[[#This Row],[O - DEMAND]],0)</f>
        <v>90590.546909903205</v>
      </c>
      <c r="L425" s="26">
        <v>2686</v>
      </c>
      <c r="M425" s="26">
        <f>IFERROR(VLOOKUP(Table21[[#This Row],[ROUTE]],DEMAND!A:F,5,FALSE),0)</f>
        <v>2793</v>
      </c>
      <c r="N425" s="26">
        <f>IFERROR(VLOOKUP(Table21[[#This Row],[ROUTE]],DEMAND!A:F,6,FALSE),0)</f>
        <v>153</v>
      </c>
      <c r="O425" s="26">
        <f>ROUNDDOWN(Table21[[#This Row],[R-DEMAND]]/1320,0)</f>
        <v>0</v>
      </c>
      <c r="P425" s="26">
        <f>Table21[[#This Row],[ADD ACC]]*Table21[[#This Row],[Duration
(747-400)]]</f>
        <v>0</v>
      </c>
      <c r="Q425" s="284">
        <f>IFERROR(VLOOKUP(Table21[[#This Row],[ROUTE]],PRICING!A:B,2,FALSE),0)</f>
        <v>2443</v>
      </c>
      <c r="R425" s="282">
        <f>Table21[[#This Row],[C_DEMAND]]-Table21[[#This Row],[R-DEMAND]]</f>
        <v>2640</v>
      </c>
      <c r="S425" s="287">
        <f>Table21[[#This Row],[SEATS SOLD]]*Table21[[#This Row],[ECO SEAT]]</f>
        <v>6449520</v>
      </c>
    </row>
    <row r="426" spans="1:19" x14ac:dyDescent="0.25">
      <c r="A426" s="16" t="s">
        <v>16257</v>
      </c>
      <c r="B426" s="16" t="s">
        <v>450</v>
      </c>
      <c r="C426" s="16" t="s">
        <v>2</v>
      </c>
      <c r="D426" s="16">
        <v>4</v>
      </c>
      <c r="E426" s="16" t="s">
        <v>493</v>
      </c>
      <c r="F426" s="16" t="s">
        <v>12671</v>
      </c>
      <c r="G426" s="179" t="s">
        <v>11112</v>
      </c>
      <c r="H426" s="254">
        <v>9106</v>
      </c>
      <c r="I426" s="180">
        <v>22.25</v>
      </c>
      <c r="J426" s="102">
        <v>249020689</v>
      </c>
      <c r="K426" s="102">
        <f>IFERROR(Table21[[#This Row],[ROUTE COST]]/Table21[[#This Row],[O - DEMAND]],0)</f>
        <v>62630.957997987927</v>
      </c>
      <c r="L426" s="26">
        <v>3976</v>
      </c>
      <c r="M426" s="26">
        <f>IFERROR(VLOOKUP(Table21[[#This Row],[ROUTE]],DEMAND!A:F,5,FALSE),0)</f>
        <v>4109</v>
      </c>
      <c r="N426" s="26">
        <f>IFERROR(VLOOKUP(Table21[[#This Row],[ROUTE]],DEMAND!A:F,6,FALSE),0)</f>
        <v>149</v>
      </c>
      <c r="O426" s="26">
        <f>ROUNDDOWN(Table21[[#This Row],[R-DEMAND]]/1320,0)</f>
        <v>0</v>
      </c>
      <c r="P426" s="26">
        <f>Table21[[#This Row],[ADD ACC]]*Table21[[#This Row],[Duration
(747-400)]]</f>
        <v>0</v>
      </c>
      <c r="Q426" s="284">
        <f>IFERROR(VLOOKUP(Table21[[#This Row],[ROUTE]],PRICING!A:B,2,FALSE),0)</f>
        <v>2647</v>
      </c>
      <c r="R426" s="282">
        <f>Table21[[#This Row],[C_DEMAND]]-Table21[[#This Row],[R-DEMAND]]</f>
        <v>3960</v>
      </c>
      <c r="S426" s="287">
        <f>Table21[[#This Row],[SEATS SOLD]]*Table21[[#This Row],[ECO SEAT]]</f>
        <v>10482120</v>
      </c>
    </row>
    <row r="427" spans="1:19" x14ac:dyDescent="0.25">
      <c r="A427" s="16" t="s">
        <v>16247</v>
      </c>
      <c r="B427" s="16" t="s">
        <v>820</v>
      </c>
      <c r="C427" s="16" t="s">
        <v>2</v>
      </c>
      <c r="D427" s="16">
        <v>1</v>
      </c>
      <c r="E427" s="16" t="s">
        <v>493</v>
      </c>
      <c r="F427" s="16" t="s">
        <v>12671</v>
      </c>
      <c r="G427" s="179" t="s">
        <v>11730</v>
      </c>
      <c r="H427" s="254">
        <v>9200</v>
      </c>
      <c r="I427" s="180">
        <v>22.5</v>
      </c>
      <c r="J427" s="102">
        <v>214002022</v>
      </c>
      <c r="K427" s="102">
        <f>IFERROR(Table21[[#This Row],[ROUTE COST]]/Table21[[#This Row],[O - DEMAND]],0)</f>
        <v>81369.590114068444</v>
      </c>
      <c r="L427" s="26">
        <v>2630</v>
      </c>
      <c r="M427" s="26">
        <f>IFERROR(VLOOKUP(Table21[[#This Row],[ROUTE]],DEMAND!A:F,5,FALSE),0)</f>
        <v>2788</v>
      </c>
      <c r="N427" s="26">
        <f>IFERROR(VLOOKUP(Table21[[#This Row],[ROUTE]],DEMAND!A:F,6,FALSE),0)</f>
        <v>148</v>
      </c>
      <c r="O427" s="26">
        <f>ROUNDDOWN(Table21[[#This Row],[R-DEMAND]]/1320,0)</f>
        <v>0</v>
      </c>
      <c r="P427" s="26">
        <f>Table21[[#This Row],[ADD ACC]]*Table21[[#This Row],[Duration
(747-400)]]</f>
        <v>0</v>
      </c>
      <c r="Q427" s="284">
        <f>IFERROR(VLOOKUP(Table21[[#This Row],[ROUTE]],PRICING!A:B,2,FALSE),0)</f>
        <v>2437</v>
      </c>
      <c r="R427" s="282">
        <f>Table21[[#This Row],[C_DEMAND]]-Table21[[#This Row],[R-DEMAND]]</f>
        <v>2640</v>
      </c>
      <c r="S427" s="287">
        <f>Table21[[#This Row],[SEATS SOLD]]*Table21[[#This Row],[ECO SEAT]]</f>
        <v>6433680</v>
      </c>
    </row>
    <row r="428" spans="1:19" x14ac:dyDescent="0.25">
      <c r="A428" s="16" t="s">
        <v>16360</v>
      </c>
      <c r="B428" s="16" t="s">
        <v>5473</v>
      </c>
      <c r="C428" s="16" t="s">
        <v>2</v>
      </c>
      <c r="D428" s="16">
        <v>4</v>
      </c>
      <c r="E428" s="16" t="s">
        <v>308</v>
      </c>
      <c r="F428" s="16" t="s">
        <v>12674</v>
      </c>
      <c r="G428" s="179" t="s">
        <v>11032</v>
      </c>
      <c r="H428" s="254">
        <v>7884</v>
      </c>
      <c r="I428" s="180">
        <v>19.5</v>
      </c>
      <c r="J428" s="102">
        <v>237169499</v>
      </c>
      <c r="K428" s="102">
        <f>IFERROR(Table21[[#This Row],[ROUTE COST]]/Table21[[#This Row],[O - DEMAND]],0)</f>
        <v>88397.129705553481</v>
      </c>
      <c r="L428" s="26">
        <v>2683</v>
      </c>
      <c r="M428" s="26">
        <f>IFERROR(VLOOKUP(Table21[[#This Row],[ROUTE]],DEMAND!A:F,5,FALSE),0)</f>
        <v>2782</v>
      </c>
      <c r="N428" s="26">
        <f>IFERROR(VLOOKUP(Table21[[#This Row],[ROUTE]],DEMAND!A:F,6,FALSE),0)</f>
        <v>142</v>
      </c>
      <c r="O428" s="26">
        <f>ROUNDDOWN(Table21[[#This Row],[R-DEMAND]]/1320,0)</f>
        <v>0</v>
      </c>
      <c r="P428" s="26">
        <f>Table21[[#This Row],[ADD ACC]]*Table21[[#This Row],[Duration
(747-400)]]</f>
        <v>0</v>
      </c>
      <c r="Q428" s="284">
        <f>IFERROR(VLOOKUP(Table21[[#This Row],[ROUTE]],PRICING!A:B,2,FALSE),0)</f>
        <v>2281</v>
      </c>
      <c r="R428" s="282">
        <f>Table21[[#This Row],[C_DEMAND]]-Table21[[#This Row],[R-DEMAND]]</f>
        <v>2640</v>
      </c>
      <c r="S428" s="287">
        <f>Table21[[#This Row],[SEATS SOLD]]*Table21[[#This Row],[ECO SEAT]]</f>
        <v>6021840</v>
      </c>
    </row>
    <row r="429" spans="1:19" x14ac:dyDescent="0.25">
      <c r="A429" s="16" t="s">
        <v>15983</v>
      </c>
      <c r="B429" s="16" t="s">
        <v>5616</v>
      </c>
      <c r="C429" s="16" t="s">
        <v>2</v>
      </c>
      <c r="D429" s="16">
        <v>4</v>
      </c>
      <c r="E429" s="16" t="s">
        <v>1749</v>
      </c>
      <c r="F429" s="16" t="s">
        <v>12688</v>
      </c>
      <c r="G429" s="179" t="s">
        <v>13229</v>
      </c>
      <c r="H429" s="254">
        <v>12800</v>
      </c>
      <c r="I429" s="180">
        <v>30.5</v>
      </c>
      <c r="J429" s="102">
        <v>293024636</v>
      </c>
      <c r="K429" s="102">
        <f>IFERROR(Table21[[#This Row],[ROUTE COST]]/Table21[[#This Row],[O - DEMAND]],0)</f>
        <v>74808.434005616538</v>
      </c>
      <c r="L429" s="26">
        <v>3917</v>
      </c>
      <c r="M429" s="26">
        <f>IFERROR(VLOOKUP(Table21[[#This Row],[ROUTE]],DEMAND!A:F,5,FALSE),0)</f>
        <v>4100</v>
      </c>
      <c r="N429" s="26">
        <f>IFERROR(VLOOKUP(Table21[[#This Row],[ROUTE]],DEMAND!A:F,6,FALSE),0)</f>
        <v>140</v>
      </c>
      <c r="O429" s="26">
        <f>ROUNDDOWN(Table21[[#This Row],[R-DEMAND]]/1320,0)</f>
        <v>0</v>
      </c>
      <c r="P429" s="26">
        <f>Table21[[#This Row],[ADD ACC]]*Table21[[#This Row],[Duration
(747-400)]]</f>
        <v>0</v>
      </c>
      <c r="Q429" s="284">
        <f>IFERROR(VLOOKUP(Table21[[#This Row],[ROUTE]],PRICING!A:B,2,FALSE),0)</f>
        <v>3515</v>
      </c>
      <c r="R429" s="282">
        <f>Table21[[#This Row],[C_DEMAND]]-Table21[[#This Row],[R-DEMAND]]</f>
        <v>3960</v>
      </c>
      <c r="S429" s="287">
        <f>Table21[[#This Row],[SEATS SOLD]]*Table21[[#This Row],[ECO SEAT]]</f>
        <v>13919400</v>
      </c>
    </row>
    <row r="430" spans="1:19" x14ac:dyDescent="0.25">
      <c r="A430" s="16" t="s">
        <v>16231</v>
      </c>
      <c r="B430" s="16" t="s">
        <v>3668</v>
      </c>
      <c r="C430" s="16" t="s">
        <v>2</v>
      </c>
      <c r="D430" s="16">
        <v>2</v>
      </c>
      <c r="E430" s="16" t="s">
        <v>1516</v>
      </c>
      <c r="F430" s="16" t="s">
        <v>12671</v>
      </c>
      <c r="G430" s="179" t="s">
        <v>11928</v>
      </c>
      <c r="H430" s="254">
        <v>9368</v>
      </c>
      <c r="I430" s="180">
        <v>22.75</v>
      </c>
      <c r="J430" s="102">
        <v>226838235</v>
      </c>
      <c r="K430" s="102">
        <f>IFERROR(Table21[[#This Row],[ROUTE COST]]/Table21[[#This Row],[O - DEMAND]],0)</f>
        <v>57210.147540983606</v>
      </c>
      <c r="L430" s="26">
        <v>3965</v>
      </c>
      <c r="M430" s="26">
        <f>IFERROR(VLOOKUP(Table21[[#This Row],[ROUTE]],DEMAND!A:F,5,FALSE),0)</f>
        <v>4098</v>
      </c>
      <c r="N430" s="26">
        <f>IFERROR(VLOOKUP(Table21[[#This Row],[ROUTE]],DEMAND!A:F,6,FALSE),0)</f>
        <v>138</v>
      </c>
      <c r="O430" s="26">
        <f>ROUNDDOWN(Table21[[#This Row],[R-DEMAND]]/1320,0)</f>
        <v>0</v>
      </c>
      <c r="P430" s="26">
        <f>Table21[[#This Row],[ADD ACC]]*Table21[[#This Row],[Duration
(747-400)]]</f>
        <v>0</v>
      </c>
      <c r="Q430" s="284">
        <f>IFERROR(VLOOKUP(Table21[[#This Row],[ROUTE]],PRICING!A:B,2,FALSE),0)</f>
        <v>2721</v>
      </c>
      <c r="R430" s="282">
        <f>Table21[[#This Row],[C_DEMAND]]-Table21[[#This Row],[R-DEMAND]]</f>
        <v>3960</v>
      </c>
      <c r="S430" s="287">
        <f>Table21[[#This Row],[SEATS SOLD]]*Table21[[#This Row],[ECO SEAT]]</f>
        <v>10775160</v>
      </c>
    </row>
    <row r="431" spans="1:19" x14ac:dyDescent="0.25">
      <c r="A431" s="16" t="s">
        <v>16043</v>
      </c>
      <c r="B431" s="16" t="s">
        <v>234</v>
      </c>
      <c r="C431" s="16" t="s">
        <v>2</v>
      </c>
      <c r="D431" s="16">
        <v>4</v>
      </c>
      <c r="E431" s="16" t="s">
        <v>926</v>
      </c>
      <c r="F431" s="16" t="s">
        <v>12671</v>
      </c>
      <c r="G431" s="179" t="s">
        <v>11074</v>
      </c>
      <c r="H431" s="254">
        <v>11711</v>
      </c>
      <c r="I431" s="180">
        <v>28</v>
      </c>
      <c r="J431" s="102">
        <v>288319772</v>
      </c>
      <c r="K431" s="102">
        <f>IFERROR(Table21[[#This Row],[ROUTE COST]]/Table21[[#This Row],[O - DEMAND]],0)</f>
        <v>56093.340856031129</v>
      </c>
      <c r="L431" s="26">
        <v>5140</v>
      </c>
      <c r="M431" s="26">
        <f>IFERROR(VLOOKUP(Table21[[#This Row],[ROUTE]],DEMAND!A:F,5,FALSE),0)</f>
        <v>5414</v>
      </c>
      <c r="N431" s="26">
        <f>IFERROR(VLOOKUP(Table21[[#This Row],[ROUTE]],DEMAND!A:F,6,FALSE),0)</f>
        <v>134</v>
      </c>
      <c r="O431" s="26">
        <f>ROUNDDOWN(Table21[[#This Row],[R-DEMAND]]/1320,0)</f>
        <v>0</v>
      </c>
      <c r="P431" s="26">
        <f>Table21[[#This Row],[ADD ACC]]*Table21[[#This Row],[Duration
(747-400)]]</f>
        <v>0</v>
      </c>
      <c r="Q431" s="284">
        <f>IFERROR(VLOOKUP(Table21[[#This Row],[ROUTE]],PRICING!A:B,2,FALSE),0)</f>
        <v>3150</v>
      </c>
      <c r="R431" s="282">
        <f>Table21[[#This Row],[C_DEMAND]]-Table21[[#This Row],[R-DEMAND]]</f>
        <v>5280</v>
      </c>
      <c r="S431" s="287">
        <f>Table21[[#This Row],[SEATS SOLD]]*Table21[[#This Row],[ECO SEAT]]</f>
        <v>16632000</v>
      </c>
    </row>
    <row r="432" spans="1:19" x14ac:dyDescent="0.25">
      <c r="A432" s="16" t="s">
        <v>16626</v>
      </c>
      <c r="B432" s="16" t="s">
        <v>3243</v>
      </c>
      <c r="C432" s="16" t="s">
        <v>2</v>
      </c>
      <c r="D432" s="16">
        <v>2</v>
      </c>
      <c r="E432" s="16" t="s">
        <v>197</v>
      </c>
      <c r="F432" s="16" t="s">
        <v>12670</v>
      </c>
      <c r="G432" s="179" t="s">
        <v>12013</v>
      </c>
      <c r="H432" s="254">
        <v>4011</v>
      </c>
      <c r="I432" s="180">
        <v>11</v>
      </c>
      <c r="J432" s="102">
        <v>170702230</v>
      </c>
      <c r="K432" s="102">
        <f>IFERROR(Table21[[#This Row],[ROUTE COST]]/Table21[[#This Row],[O - DEMAND]],0)</f>
        <v>43814.740759753593</v>
      </c>
      <c r="L432" s="26">
        <v>3896</v>
      </c>
      <c r="M432" s="26">
        <f>IFERROR(VLOOKUP(Table21[[#This Row],[ROUTE]],DEMAND!A:F,5,FALSE),0)</f>
        <v>4091</v>
      </c>
      <c r="N432" s="26">
        <f>IFERROR(VLOOKUP(Table21[[#This Row],[ROUTE]],DEMAND!A:F,6,FALSE),0)</f>
        <v>131</v>
      </c>
      <c r="O432" s="26">
        <f>ROUNDDOWN(Table21[[#This Row],[R-DEMAND]]/1320,0)</f>
        <v>0</v>
      </c>
      <c r="P432" s="26">
        <f>Table21[[#This Row],[ADD ACC]]*Table21[[#This Row],[Duration
(747-400)]]</f>
        <v>0</v>
      </c>
      <c r="Q432" s="284">
        <f>IFERROR(VLOOKUP(Table21[[#This Row],[ROUTE]],PRICING!A:B,2,FALSE),0)</f>
        <v>1158</v>
      </c>
      <c r="R432" s="282">
        <f>Table21[[#This Row],[C_DEMAND]]-Table21[[#This Row],[R-DEMAND]]</f>
        <v>3960</v>
      </c>
      <c r="S432" s="287">
        <f>Table21[[#This Row],[SEATS SOLD]]*Table21[[#This Row],[ECO SEAT]]</f>
        <v>4585680</v>
      </c>
    </row>
    <row r="433" spans="1:19" x14ac:dyDescent="0.25">
      <c r="A433" s="16" t="s">
        <v>16450</v>
      </c>
      <c r="B433" s="16" t="s">
        <v>5285</v>
      </c>
      <c r="C433" s="16" t="s">
        <v>2</v>
      </c>
      <c r="D433" s="16">
        <v>3</v>
      </c>
      <c r="E433" s="16" t="s">
        <v>585</v>
      </c>
      <c r="F433" s="16" t="s">
        <v>12674</v>
      </c>
      <c r="G433" s="179" t="s">
        <v>11781</v>
      </c>
      <c r="H433" s="254">
        <v>7086</v>
      </c>
      <c r="I433" s="180">
        <v>17.75</v>
      </c>
      <c r="J433" s="102">
        <v>223600052</v>
      </c>
      <c r="K433" s="102">
        <f>IFERROR(Table21[[#This Row],[ROUTE COST]]/Table21[[#This Row],[O - DEMAND]],0)</f>
        <v>83370.638329604772</v>
      </c>
      <c r="L433" s="26">
        <v>2682</v>
      </c>
      <c r="M433" s="26">
        <f>IFERROR(VLOOKUP(Table21[[#This Row],[ROUTE]],DEMAND!A:F,5,FALSE),0)</f>
        <v>2771</v>
      </c>
      <c r="N433" s="26">
        <f>IFERROR(VLOOKUP(Table21[[#This Row],[ROUTE]],DEMAND!A:F,6,FALSE),0)</f>
        <v>131</v>
      </c>
      <c r="O433" s="26">
        <f>ROUNDDOWN(Table21[[#This Row],[R-DEMAND]]/1320,0)</f>
        <v>0</v>
      </c>
      <c r="P433" s="26">
        <f>Table21[[#This Row],[ADD ACC]]*Table21[[#This Row],[Duration
(747-400)]]</f>
        <v>0</v>
      </c>
      <c r="Q433" s="284">
        <f>IFERROR(VLOOKUP(Table21[[#This Row],[ROUTE]],PRICING!A:B,2,FALSE),0)</f>
        <v>2084</v>
      </c>
      <c r="R433" s="282">
        <f>Table21[[#This Row],[C_DEMAND]]-Table21[[#This Row],[R-DEMAND]]</f>
        <v>2640</v>
      </c>
      <c r="S433" s="287">
        <f>Table21[[#This Row],[SEATS SOLD]]*Table21[[#This Row],[ECO SEAT]]</f>
        <v>5501760</v>
      </c>
    </row>
    <row r="434" spans="1:19" x14ac:dyDescent="0.25">
      <c r="A434" s="16" t="s">
        <v>16034</v>
      </c>
      <c r="B434" s="16" t="s">
        <v>1965</v>
      </c>
      <c r="C434" s="16" t="s">
        <v>2</v>
      </c>
      <c r="D434" s="16">
        <v>1</v>
      </c>
      <c r="E434" s="16" t="s">
        <v>644</v>
      </c>
      <c r="F434" s="16" t="s">
        <v>12671</v>
      </c>
      <c r="G434" s="179" t="s">
        <v>11839</v>
      </c>
      <c r="H434" s="254">
        <v>11799</v>
      </c>
      <c r="I434" s="180">
        <v>28.25</v>
      </c>
      <c r="J434" s="102">
        <v>242504379</v>
      </c>
      <c r="K434" s="102">
        <f>IFERROR(Table21[[#This Row],[ROUTE COST]]/Table21[[#This Row],[O - DEMAND]],0)</f>
        <v>62452.840329642029</v>
      </c>
      <c r="L434" s="26">
        <v>3883</v>
      </c>
      <c r="M434" s="26">
        <f>IFERROR(VLOOKUP(Table21[[#This Row],[ROUTE]],DEMAND!A:F,5,FALSE),0)</f>
        <v>4091</v>
      </c>
      <c r="N434" s="26">
        <f>IFERROR(VLOOKUP(Table21[[#This Row],[ROUTE]],DEMAND!A:F,6,FALSE),0)</f>
        <v>131</v>
      </c>
      <c r="O434" s="26">
        <f>ROUNDDOWN(Table21[[#This Row],[R-DEMAND]]/1320,0)</f>
        <v>0</v>
      </c>
      <c r="P434" s="26">
        <f>Table21[[#This Row],[ADD ACC]]*Table21[[#This Row],[Duration
(747-400)]]</f>
        <v>0</v>
      </c>
      <c r="Q434" s="284">
        <f>IFERROR(VLOOKUP(Table21[[#This Row],[ROUTE]],PRICING!A:B,2,FALSE),0)</f>
        <v>3172</v>
      </c>
      <c r="R434" s="282">
        <f>Table21[[#This Row],[C_DEMAND]]-Table21[[#This Row],[R-DEMAND]]</f>
        <v>3960</v>
      </c>
      <c r="S434" s="287">
        <f>Table21[[#This Row],[SEATS SOLD]]*Table21[[#This Row],[ECO SEAT]]</f>
        <v>12561120</v>
      </c>
    </row>
    <row r="435" spans="1:19" x14ac:dyDescent="0.25">
      <c r="A435" s="16" t="s">
        <v>16506</v>
      </c>
      <c r="B435" s="16" t="s">
        <v>90</v>
      </c>
      <c r="C435" s="16" t="s">
        <v>2</v>
      </c>
      <c r="D435" s="16">
        <v>2</v>
      </c>
      <c r="E435" s="16" t="s">
        <v>1456</v>
      </c>
      <c r="F435" s="16" t="s">
        <v>12670</v>
      </c>
      <c r="G435" s="179" t="s">
        <v>11987</v>
      </c>
      <c r="H435" s="254">
        <v>6476</v>
      </c>
      <c r="I435" s="180">
        <v>16.5</v>
      </c>
      <c r="J435" s="102">
        <v>197958830</v>
      </c>
      <c r="K435" s="102">
        <f>IFERROR(Table21[[#This Row],[ROUTE COST]]/Table21[[#This Row],[O - DEMAND]],0)</f>
        <v>74058.671904227464</v>
      </c>
      <c r="L435" s="26">
        <v>2673</v>
      </c>
      <c r="M435" s="26">
        <f>IFERROR(VLOOKUP(Table21[[#This Row],[ROUTE]],DEMAND!A:F,5,FALSE),0)</f>
        <v>2771</v>
      </c>
      <c r="N435" s="26">
        <f>IFERROR(VLOOKUP(Table21[[#This Row],[ROUTE]],DEMAND!A:F,6,FALSE),0)</f>
        <v>131</v>
      </c>
      <c r="O435" s="26">
        <f>ROUNDDOWN(Table21[[#This Row],[R-DEMAND]]/1320,0)</f>
        <v>0</v>
      </c>
      <c r="P435" s="26">
        <f>Table21[[#This Row],[ADD ACC]]*Table21[[#This Row],[Duration
(747-400)]]</f>
        <v>0</v>
      </c>
      <c r="Q435" s="284">
        <f>IFERROR(VLOOKUP(Table21[[#This Row],[ROUTE]],PRICING!A:B,2,FALSE),0)</f>
        <v>1893</v>
      </c>
      <c r="R435" s="282">
        <f>Table21[[#This Row],[C_DEMAND]]-Table21[[#This Row],[R-DEMAND]]</f>
        <v>2640</v>
      </c>
      <c r="S435" s="287">
        <f>Table21[[#This Row],[SEATS SOLD]]*Table21[[#This Row],[ECO SEAT]]</f>
        <v>4997520</v>
      </c>
    </row>
    <row r="436" spans="1:19" x14ac:dyDescent="0.25">
      <c r="A436" s="16" t="s">
        <v>16071</v>
      </c>
      <c r="B436" s="16" t="s">
        <v>4088</v>
      </c>
      <c r="C436" s="16" t="s">
        <v>2</v>
      </c>
      <c r="D436" s="16">
        <v>2</v>
      </c>
      <c r="E436" s="16" t="s">
        <v>11823</v>
      </c>
      <c r="F436" s="16" t="s">
        <v>12671</v>
      </c>
      <c r="G436" s="179" t="s">
        <v>11824</v>
      </c>
      <c r="H436" s="254">
        <v>11271</v>
      </c>
      <c r="I436" s="180">
        <v>27</v>
      </c>
      <c r="J436" s="102">
        <v>251711767</v>
      </c>
      <c r="K436" s="102">
        <f>IFERROR(Table21[[#This Row],[ROUTE COST]]/Table21[[#This Row],[O - DEMAND]],0)</f>
        <v>49520.316151878811</v>
      </c>
      <c r="L436" s="26">
        <v>5083</v>
      </c>
      <c r="M436" s="26">
        <f>IFERROR(VLOOKUP(Table21[[#This Row],[ROUTE]],DEMAND!A:F,5,FALSE),0)</f>
        <v>5405</v>
      </c>
      <c r="N436" s="26">
        <f>IFERROR(VLOOKUP(Table21[[#This Row],[ROUTE]],DEMAND!A:F,6,FALSE),0)</f>
        <v>125</v>
      </c>
      <c r="O436" s="26">
        <f>ROUNDDOWN(Table21[[#This Row],[R-DEMAND]]/1320,0)</f>
        <v>0</v>
      </c>
      <c r="P436" s="26">
        <f>Table21[[#This Row],[ADD ACC]]*Table21[[#This Row],[Duration
(747-400)]]</f>
        <v>0</v>
      </c>
      <c r="Q436" s="284">
        <f>IFERROR(VLOOKUP(Table21[[#This Row],[ROUTE]],PRICING!A:B,2,FALSE),0)</f>
        <v>2927</v>
      </c>
      <c r="R436" s="282">
        <f>Table21[[#This Row],[C_DEMAND]]-Table21[[#This Row],[R-DEMAND]]</f>
        <v>5280</v>
      </c>
      <c r="S436" s="287">
        <f>Table21[[#This Row],[SEATS SOLD]]*Table21[[#This Row],[ECO SEAT]]</f>
        <v>15454560</v>
      </c>
    </row>
    <row r="437" spans="1:19" x14ac:dyDescent="0.25">
      <c r="A437" s="16" t="s">
        <v>16202</v>
      </c>
      <c r="B437" s="16" t="s">
        <v>3329</v>
      </c>
      <c r="C437" s="16" t="s">
        <v>2</v>
      </c>
      <c r="D437" s="16">
        <v>2</v>
      </c>
      <c r="E437" s="16" t="s">
        <v>1516</v>
      </c>
      <c r="F437" s="16" t="s">
        <v>12671</v>
      </c>
      <c r="G437" s="179" t="s">
        <v>8355</v>
      </c>
      <c r="H437" s="254">
        <v>9646</v>
      </c>
      <c r="I437" s="180">
        <v>23.5</v>
      </c>
      <c r="J437" s="102">
        <v>227625947</v>
      </c>
      <c r="K437" s="102">
        <f>IFERROR(Table21[[#This Row],[ROUTE COST]]/Table21[[#This Row],[O - DEMAND]],0)</f>
        <v>58530.714065312422</v>
      </c>
      <c r="L437" s="26">
        <v>3889</v>
      </c>
      <c r="M437" s="26">
        <f>IFERROR(VLOOKUP(Table21[[#This Row],[ROUTE]],DEMAND!A:F,5,FALSE),0)</f>
        <v>4084</v>
      </c>
      <c r="N437" s="26">
        <f>IFERROR(VLOOKUP(Table21[[#This Row],[ROUTE]],DEMAND!A:F,6,FALSE),0)</f>
        <v>124</v>
      </c>
      <c r="O437" s="26">
        <f>ROUNDDOWN(Table21[[#This Row],[R-DEMAND]]/1320,0)</f>
        <v>0</v>
      </c>
      <c r="P437" s="26">
        <f>Table21[[#This Row],[ADD ACC]]*Table21[[#This Row],[Duration
(747-400)]]</f>
        <v>0</v>
      </c>
      <c r="Q437" s="284">
        <f>IFERROR(VLOOKUP(Table21[[#This Row],[ROUTE]],PRICING!A:B,2,FALSE),0)</f>
        <v>2643</v>
      </c>
      <c r="R437" s="282">
        <f>Table21[[#This Row],[C_DEMAND]]-Table21[[#This Row],[R-DEMAND]]</f>
        <v>3960</v>
      </c>
      <c r="S437" s="287">
        <f>Table21[[#This Row],[SEATS SOLD]]*Table21[[#This Row],[ECO SEAT]]</f>
        <v>10466280</v>
      </c>
    </row>
    <row r="438" spans="1:19" x14ac:dyDescent="0.25">
      <c r="A438" s="16" t="s">
        <v>16392</v>
      </c>
      <c r="B438" s="16" t="s">
        <v>5343</v>
      </c>
      <c r="C438" s="16" t="s">
        <v>2</v>
      </c>
      <c r="D438" s="16">
        <v>3</v>
      </c>
      <c r="E438" s="16" t="s">
        <v>1427</v>
      </c>
      <c r="F438" s="16" t="s">
        <v>12674</v>
      </c>
      <c r="G438" s="179" t="s">
        <v>11762</v>
      </c>
      <c r="H438" s="254">
        <v>7559</v>
      </c>
      <c r="I438" s="180">
        <v>18.75</v>
      </c>
      <c r="J438" s="102">
        <v>230348478</v>
      </c>
      <c r="K438" s="102">
        <f>IFERROR(Table21[[#This Row],[ROUTE COST]]/Table21[[#This Row],[O - DEMAND]],0)</f>
        <v>87286.274346343314</v>
      </c>
      <c r="L438" s="26">
        <v>2639</v>
      </c>
      <c r="M438" s="26">
        <f>IFERROR(VLOOKUP(Table21[[#This Row],[ROUTE]],DEMAND!A:F,5,FALSE),0)</f>
        <v>2762</v>
      </c>
      <c r="N438" s="26">
        <f>IFERROR(VLOOKUP(Table21[[#This Row],[ROUTE]],DEMAND!A:F,6,FALSE),0)</f>
        <v>122</v>
      </c>
      <c r="O438" s="26">
        <f>ROUNDDOWN(Table21[[#This Row],[R-DEMAND]]/1320,0)</f>
        <v>0</v>
      </c>
      <c r="P438" s="26">
        <f>Table21[[#This Row],[ADD ACC]]*Table21[[#This Row],[Duration
(747-400)]]</f>
        <v>0</v>
      </c>
      <c r="Q438" s="284">
        <f>IFERROR(VLOOKUP(Table21[[#This Row],[ROUTE]],PRICING!A:B,2,FALSE),0)</f>
        <v>2118</v>
      </c>
      <c r="R438" s="282">
        <f>Table21[[#This Row],[C_DEMAND]]-Table21[[#This Row],[R-DEMAND]]</f>
        <v>2640</v>
      </c>
      <c r="S438" s="287">
        <f>Table21[[#This Row],[SEATS SOLD]]*Table21[[#This Row],[ECO SEAT]]</f>
        <v>5591520</v>
      </c>
    </row>
    <row r="439" spans="1:19" x14ac:dyDescent="0.25">
      <c r="A439" s="16" t="s">
        <v>16658</v>
      </c>
      <c r="B439" s="16" t="s">
        <v>378</v>
      </c>
      <c r="C439" s="16" t="s">
        <v>2</v>
      </c>
      <c r="D439" s="16">
        <v>4</v>
      </c>
      <c r="E439" s="16" t="s">
        <v>1070</v>
      </c>
      <c r="F439" s="16" t="s">
        <v>12670</v>
      </c>
      <c r="G439" s="179" t="s">
        <v>12071</v>
      </c>
      <c r="H439" s="254">
        <v>3277</v>
      </c>
      <c r="I439" s="180">
        <v>9.5</v>
      </c>
      <c r="J439" s="102">
        <v>195670609</v>
      </c>
      <c r="K439" s="102">
        <f>IFERROR(Table21[[#This Row],[ROUTE COST]]/Table21[[#This Row],[O - DEMAND]],0)</f>
        <v>37441.754496747031</v>
      </c>
      <c r="L439" s="26">
        <v>5226</v>
      </c>
      <c r="M439" s="26">
        <f>IFERROR(VLOOKUP(Table21[[#This Row],[ROUTE]],DEMAND!A:F,5,FALSE),0)</f>
        <v>5401</v>
      </c>
      <c r="N439" s="26">
        <f>IFERROR(VLOOKUP(Table21[[#This Row],[ROUTE]],DEMAND!A:F,6,FALSE),0)</f>
        <v>121</v>
      </c>
      <c r="O439" s="26">
        <f>ROUNDDOWN(Table21[[#This Row],[R-DEMAND]]/1320,0)</f>
        <v>0</v>
      </c>
      <c r="P439" s="26">
        <f>Table21[[#This Row],[ADD ACC]]*Table21[[#This Row],[Duration
(747-400)]]</f>
        <v>0</v>
      </c>
      <c r="Q439" s="284">
        <f>IFERROR(VLOOKUP(Table21[[#This Row],[ROUTE]],PRICING!A:B,2,FALSE),0)</f>
        <v>1021</v>
      </c>
      <c r="R439" s="282">
        <f>Table21[[#This Row],[C_DEMAND]]-Table21[[#This Row],[R-DEMAND]]</f>
        <v>5280</v>
      </c>
      <c r="S439" s="287">
        <f>Table21[[#This Row],[SEATS SOLD]]*Table21[[#This Row],[ECO SEAT]]</f>
        <v>5390880</v>
      </c>
    </row>
    <row r="440" spans="1:19" x14ac:dyDescent="0.25">
      <c r="A440" s="16" t="s">
        <v>15985</v>
      </c>
      <c r="B440" s="16" t="s">
        <v>5465</v>
      </c>
      <c r="C440" s="16" t="s">
        <v>2</v>
      </c>
      <c r="D440" s="16">
        <v>4</v>
      </c>
      <c r="E440" s="16" t="s">
        <v>683</v>
      </c>
      <c r="F440" s="16" t="s">
        <v>12688</v>
      </c>
      <c r="G440" s="179" t="s">
        <v>13186</v>
      </c>
      <c r="H440" s="254">
        <v>12734</v>
      </c>
      <c r="I440" s="180">
        <v>30.25</v>
      </c>
      <c r="J440" s="102">
        <v>284471422</v>
      </c>
      <c r="K440" s="102">
        <f>IFERROR(Table21[[#This Row],[ROUTE COST]]/Table21[[#This Row],[O - DEMAND]],0)</f>
        <v>74352.175117616309</v>
      </c>
      <c r="L440" s="26">
        <v>3826</v>
      </c>
      <c r="M440" s="26">
        <f>IFERROR(VLOOKUP(Table21[[#This Row],[ROUTE]],DEMAND!A:F,5,FALSE),0)</f>
        <v>4081</v>
      </c>
      <c r="N440" s="26">
        <f>IFERROR(VLOOKUP(Table21[[#This Row],[ROUTE]],DEMAND!A:F,6,FALSE),0)</f>
        <v>121</v>
      </c>
      <c r="O440" s="26">
        <f>ROUNDDOWN(Table21[[#This Row],[R-DEMAND]]/1320,0)</f>
        <v>0</v>
      </c>
      <c r="P440" s="26">
        <f>Table21[[#This Row],[ADD ACC]]*Table21[[#This Row],[Duration
(747-400)]]</f>
        <v>0</v>
      </c>
      <c r="Q440" s="284">
        <f>IFERROR(VLOOKUP(Table21[[#This Row],[ROUTE]],PRICING!A:B,2,FALSE),0)</f>
        <v>3253</v>
      </c>
      <c r="R440" s="282">
        <f>Table21[[#This Row],[C_DEMAND]]-Table21[[#This Row],[R-DEMAND]]</f>
        <v>3960</v>
      </c>
      <c r="S440" s="287">
        <f>Table21[[#This Row],[SEATS SOLD]]*Table21[[#This Row],[ECO SEAT]]</f>
        <v>12881880</v>
      </c>
    </row>
    <row r="441" spans="1:19" x14ac:dyDescent="0.25">
      <c r="A441" s="251" t="s">
        <v>16730</v>
      </c>
      <c r="B441" s="251" t="s">
        <v>63</v>
      </c>
      <c r="C441" s="16" t="s">
        <v>2</v>
      </c>
      <c r="D441" s="251">
        <v>4</v>
      </c>
      <c r="E441" s="251" t="s">
        <v>14</v>
      </c>
      <c r="F441" s="251" t="s">
        <v>12670</v>
      </c>
      <c r="G441" s="252" t="s">
        <v>62</v>
      </c>
      <c r="H441" s="254">
        <v>538</v>
      </c>
      <c r="I441" s="180">
        <v>3.25</v>
      </c>
      <c r="J441" s="102">
        <v>166819952</v>
      </c>
      <c r="K441" s="253">
        <f>IFERROR(Table21[[#This Row],[ROUTE COST]]/Table21[[#This Row],[O - DEMAND]],0)</f>
        <v>63720.378915202447</v>
      </c>
      <c r="L441" s="26">
        <v>2618</v>
      </c>
      <c r="M441" s="26">
        <f>IFERROR(VLOOKUP(Table21[[#This Row],[ROUTE]],DEMAND!A:F,5,FALSE),0)</f>
        <v>2758</v>
      </c>
      <c r="N441" s="26">
        <f>IFERROR(VLOOKUP(Table21[[#This Row],[ROUTE]],DEMAND!A:F,6,FALSE),0)</f>
        <v>118</v>
      </c>
      <c r="O441" s="26">
        <f>ROUNDDOWN(Table21[[#This Row],[R-DEMAND]]/1320,0)</f>
        <v>0</v>
      </c>
      <c r="P441" s="26">
        <f>Table21[[#This Row],[ADD ACC]]*Table21[[#This Row],[Duration
(747-400)]]</f>
        <v>0</v>
      </c>
      <c r="Q441" s="284">
        <f>IFERROR(VLOOKUP(Table21[[#This Row],[ROUTE]],PRICING!A:B,2,FALSE),0)</f>
        <v>240</v>
      </c>
      <c r="R441" s="282">
        <f>Table21[[#This Row],[C_DEMAND]]-Table21[[#This Row],[R-DEMAND]]</f>
        <v>2640</v>
      </c>
      <c r="S441" s="287">
        <f>Table21[[#This Row],[SEATS SOLD]]*Table21[[#This Row],[ECO SEAT]]</f>
        <v>633600</v>
      </c>
    </row>
    <row r="442" spans="1:19" x14ac:dyDescent="0.25">
      <c r="A442" s="16" t="s">
        <v>16382</v>
      </c>
      <c r="B442" s="16" t="s">
        <v>4822</v>
      </c>
      <c r="C442" s="16" t="s">
        <v>2</v>
      </c>
      <c r="D442" s="16">
        <v>3</v>
      </c>
      <c r="E442" s="16" t="s">
        <v>992</v>
      </c>
      <c r="F442" s="16" t="s">
        <v>12674</v>
      </c>
      <c r="G442" s="179" t="s">
        <v>11794</v>
      </c>
      <c r="H442" s="254">
        <v>7706</v>
      </c>
      <c r="I442" s="180">
        <v>19.25</v>
      </c>
      <c r="J442" s="102">
        <v>220310173</v>
      </c>
      <c r="K442" s="102">
        <f>IFERROR(Table21[[#This Row],[ROUTE COST]]/Table21[[#This Row],[O - DEMAND]],0)</f>
        <v>84442.381372173244</v>
      </c>
      <c r="L442" s="26">
        <v>2609</v>
      </c>
      <c r="M442" s="26">
        <f>IFERROR(VLOOKUP(Table21[[#This Row],[ROUTE]],DEMAND!A:F,5,FALSE),0)</f>
        <v>2757</v>
      </c>
      <c r="N442" s="26">
        <f>IFERROR(VLOOKUP(Table21[[#This Row],[ROUTE]],DEMAND!A:F,6,FALSE),0)</f>
        <v>117</v>
      </c>
      <c r="O442" s="26">
        <f>ROUNDDOWN(Table21[[#This Row],[R-DEMAND]]/1320,0)</f>
        <v>0</v>
      </c>
      <c r="P442" s="26">
        <f>Table21[[#This Row],[ADD ACC]]*Table21[[#This Row],[Duration
(747-400)]]</f>
        <v>0</v>
      </c>
      <c r="Q442" s="284">
        <f>IFERROR(VLOOKUP(Table21[[#This Row],[ROUTE]],PRICING!A:B,2,FALSE),0)</f>
        <v>2081</v>
      </c>
      <c r="R442" s="282">
        <f>Table21[[#This Row],[C_DEMAND]]-Table21[[#This Row],[R-DEMAND]]</f>
        <v>2640</v>
      </c>
      <c r="S442" s="287">
        <f>Table21[[#This Row],[SEATS SOLD]]*Table21[[#This Row],[ECO SEAT]]</f>
        <v>5493840</v>
      </c>
    </row>
    <row r="443" spans="1:19" x14ac:dyDescent="0.25">
      <c r="A443" s="16" t="s">
        <v>16557</v>
      </c>
      <c r="B443" s="16" t="s">
        <v>79</v>
      </c>
      <c r="C443" s="16" t="s">
        <v>2</v>
      </c>
      <c r="D443" s="16">
        <v>4</v>
      </c>
      <c r="E443" s="16" t="s">
        <v>78</v>
      </c>
      <c r="F443" s="16" t="s">
        <v>12674</v>
      </c>
      <c r="G443" s="179" t="s">
        <v>77</v>
      </c>
      <c r="H443" s="254">
        <v>5796</v>
      </c>
      <c r="I443" s="180">
        <v>15</v>
      </c>
      <c r="J443" s="102">
        <v>225653938</v>
      </c>
      <c r="K443" s="102">
        <f>IFERROR(Table21[[#This Row],[ROUTE COST]]/Table21[[#This Row],[O - DEMAND]],0)</f>
        <v>58414.169816205023</v>
      </c>
      <c r="L443" s="26">
        <v>3863</v>
      </c>
      <c r="M443" s="26">
        <f>IFERROR(VLOOKUP(Table21[[#This Row],[ROUTE]],DEMAND!A:F,5,FALSE),0)</f>
        <v>4069</v>
      </c>
      <c r="N443" s="26">
        <f>IFERROR(VLOOKUP(Table21[[#This Row],[ROUTE]],DEMAND!A:F,6,FALSE),0)</f>
        <v>109</v>
      </c>
      <c r="O443" s="26">
        <f>ROUNDDOWN(Table21[[#This Row],[R-DEMAND]]/1320,0)</f>
        <v>0</v>
      </c>
      <c r="P443" s="26">
        <f>Table21[[#This Row],[ADD ACC]]*Table21[[#This Row],[Duration
(747-400)]]</f>
        <v>0</v>
      </c>
      <c r="Q443" s="284">
        <f>IFERROR(VLOOKUP(Table21[[#This Row],[ROUTE]],PRICING!A:B,2,FALSE),0)</f>
        <v>1609</v>
      </c>
      <c r="R443" s="282">
        <f>Table21[[#This Row],[C_DEMAND]]-Table21[[#This Row],[R-DEMAND]]</f>
        <v>3960</v>
      </c>
      <c r="S443" s="287">
        <f>Table21[[#This Row],[SEATS SOLD]]*Table21[[#This Row],[ECO SEAT]]</f>
        <v>6371640</v>
      </c>
    </row>
    <row r="444" spans="1:19" x14ac:dyDescent="0.25">
      <c r="A444" s="16" t="s">
        <v>16141</v>
      </c>
      <c r="B444" s="16" t="s">
        <v>3388</v>
      </c>
      <c r="C444" s="16" t="s">
        <v>2</v>
      </c>
      <c r="D444" s="16">
        <v>3</v>
      </c>
      <c r="E444" s="16" t="s">
        <v>733</v>
      </c>
      <c r="F444" s="16" t="s">
        <v>12674</v>
      </c>
      <c r="G444" s="179" t="s">
        <v>13245</v>
      </c>
      <c r="H444" s="254">
        <v>10505</v>
      </c>
      <c r="I444" s="180">
        <v>25.5</v>
      </c>
      <c r="J444" s="102">
        <v>235117312</v>
      </c>
      <c r="K444" s="102">
        <f>IFERROR(Table21[[#This Row],[ROUTE COST]]/Table21[[#This Row],[O - DEMAND]],0)</f>
        <v>89876.648318042819</v>
      </c>
      <c r="L444" s="26">
        <v>2616</v>
      </c>
      <c r="M444" s="26">
        <f>IFERROR(VLOOKUP(Table21[[#This Row],[ROUTE]],DEMAND!A:F,5,FALSE),0)</f>
        <v>2747</v>
      </c>
      <c r="N444" s="26">
        <f>IFERROR(VLOOKUP(Table21[[#This Row],[ROUTE]],DEMAND!A:F,6,FALSE),0)</f>
        <v>107</v>
      </c>
      <c r="O444" s="26">
        <f>ROUNDDOWN(Table21[[#This Row],[R-DEMAND]]/1320,0)</f>
        <v>0</v>
      </c>
      <c r="P444" s="26">
        <f>Table21[[#This Row],[ADD ACC]]*Table21[[#This Row],[Duration
(747-400)]]</f>
        <v>0</v>
      </c>
      <c r="Q444" s="284">
        <f>IFERROR(VLOOKUP(Table21[[#This Row],[ROUTE]],PRICING!A:B,2,FALSE),0)</f>
        <v>2869</v>
      </c>
      <c r="R444" s="282">
        <f>Table21[[#This Row],[C_DEMAND]]-Table21[[#This Row],[R-DEMAND]]</f>
        <v>2640</v>
      </c>
      <c r="S444" s="287">
        <f>Table21[[#This Row],[SEATS SOLD]]*Table21[[#This Row],[ECO SEAT]]</f>
        <v>7574160</v>
      </c>
    </row>
    <row r="445" spans="1:19" x14ac:dyDescent="0.25">
      <c r="A445" s="251" t="s">
        <v>16750</v>
      </c>
      <c r="B445" s="251" t="s">
        <v>97</v>
      </c>
      <c r="C445" s="16" t="s">
        <v>2</v>
      </c>
      <c r="D445" s="251">
        <v>5</v>
      </c>
      <c r="E445" s="251" t="s">
        <v>14</v>
      </c>
      <c r="F445" s="251" t="s">
        <v>12670</v>
      </c>
      <c r="G445" s="252" t="s">
        <v>12046</v>
      </c>
      <c r="H445" s="254">
        <v>1076</v>
      </c>
      <c r="I445" s="180">
        <v>4.5</v>
      </c>
      <c r="J445" s="102">
        <v>185878539</v>
      </c>
      <c r="K445" s="253">
        <f>IFERROR(Table21[[#This Row],[ROUTE COST]]/Table21[[#This Row],[O - DEMAND]],0)</f>
        <v>47956.279411764706</v>
      </c>
      <c r="L445" s="26">
        <v>3876</v>
      </c>
      <c r="M445" s="26">
        <f>IFERROR(VLOOKUP(Table21[[#This Row],[ROUTE]],DEMAND!A:F,5,FALSE),0)</f>
        <v>4059</v>
      </c>
      <c r="N445" s="26">
        <f>IFERROR(VLOOKUP(Table21[[#This Row],[ROUTE]],DEMAND!A:F,6,FALSE),0)</f>
        <v>99</v>
      </c>
      <c r="O445" s="26">
        <f>ROUNDDOWN(Table21[[#This Row],[R-DEMAND]]/1320,0)</f>
        <v>0</v>
      </c>
      <c r="P445" s="26">
        <f>Table21[[#This Row],[ADD ACC]]*Table21[[#This Row],[Duration
(747-400)]]</f>
        <v>0</v>
      </c>
      <c r="Q445" s="284">
        <f>IFERROR(VLOOKUP(Table21[[#This Row],[ROUTE]],PRICING!A:B,2,FALSE),0)</f>
        <v>389</v>
      </c>
      <c r="R445" s="282">
        <f>Table21[[#This Row],[C_DEMAND]]-Table21[[#This Row],[R-DEMAND]]</f>
        <v>3960</v>
      </c>
      <c r="S445" s="287">
        <f>Table21[[#This Row],[SEATS SOLD]]*Table21[[#This Row],[ECO SEAT]]</f>
        <v>1540440</v>
      </c>
    </row>
    <row r="446" spans="1:19" x14ac:dyDescent="0.25">
      <c r="A446" s="16" t="s">
        <v>16359</v>
      </c>
      <c r="B446" s="16" t="s">
        <v>227</v>
      </c>
      <c r="C446" s="16" t="s">
        <v>2</v>
      </c>
      <c r="D446" s="16">
        <v>3</v>
      </c>
      <c r="E446" s="16" t="s">
        <v>630</v>
      </c>
      <c r="F446" s="16" t="s">
        <v>12674</v>
      </c>
      <c r="G446" s="179" t="s">
        <v>11683</v>
      </c>
      <c r="H446" s="254">
        <v>7903</v>
      </c>
      <c r="I446" s="180">
        <v>19.75</v>
      </c>
      <c r="J446" s="102">
        <v>225438214</v>
      </c>
      <c r="K446" s="102">
        <f>IFERROR(Table21[[#This Row],[ROUTE COST]]/Table21[[#This Row],[O - DEMAND]],0)</f>
        <v>85458.003790750576</v>
      </c>
      <c r="L446" s="26">
        <v>2638</v>
      </c>
      <c r="M446" s="26">
        <f>IFERROR(VLOOKUP(Table21[[#This Row],[ROUTE]],DEMAND!A:F,5,FALSE),0)</f>
        <v>2734</v>
      </c>
      <c r="N446" s="26">
        <f>IFERROR(VLOOKUP(Table21[[#This Row],[ROUTE]],DEMAND!A:F,6,FALSE),0)</f>
        <v>94</v>
      </c>
      <c r="O446" s="26">
        <f>ROUNDDOWN(Table21[[#This Row],[R-DEMAND]]/1320,0)</f>
        <v>0</v>
      </c>
      <c r="P446" s="26">
        <f>Table21[[#This Row],[ADD ACC]]*Table21[[#This Row],[Duration
(747-400)]]</f>
        <v>0</v>
      </c>
      <c r="Q446" s="284">
        <f>IFERROR(VLOOKUP(Table21[[#This Row],[ROUTE]],PRICING!A:B,2,FALSE),0)</f>
        <v>2286</v>
      </c>
      <c r="R446" s="282">
        <f>Table21[[#This Row],[C_DEMAND]]-Table21[[#This Row],[R-DEMAND]]</f>
        <v>2640</v>
      </c>
      <c r="S446" s="287">
        <f>Table21[[#This Row],[SEATS SOLD]]*Table21[[#This Row],[ECO SEAT]]</f>
        <v>6035040</v>
      </c>
    </row>
    <row r="447" spans="1:19" x14ac:dyDescent="0.25">
      <c r="A447" s="16" t="s">
        <v>16272</v>
      </c>
      <c r="B447" s="16" t="s">
        <v>5620</v>
      </c>
      <c r="C447" s="16" t="s">
        <v>67</v>
      </c>
      <c r="D447" s="16">
        <v>4</v>
      </c>
      <c r="E447" s="16" t="s">
        <v>11732</v>
      </c>
      <c r="F447" s="16" t="s">
        <v>15969</v>
      </c>
      <c r="G447" s="179" t="s">
        <v>13257</v>
      </c>
      <c r="H447" s="254">
        <v>8820</v>
      </c>
      <c r="I447" s="299">
        <v>21.75</v>
      </c>
      <c r="J447" s="102">
        <v>255485065</v>
      </c>
      <c r="K447" s="102">
        <f>IFERROR(Table21[[#This Row],[ROUTE COST]]/Table21[[#This Row],[O - DEMAND]],0)</f>
        <v>98225.707420222985</v>
      </c>
      <c r="L447" s="26">
        <v>2601</v>
      </c>
      <c r="M447" s="26">
        <f>IFERROR(VLOOKUP(Table21[[#This Row],[ROUTE]],DEMAND!A:F,5,FALSE),0)</f>
        <v>2732</v>
      </c>
      <c r="N447" s="26">
        <f>IFERROR(VLOOKUP(Table21[[#This Row],[ROUTE]],DEMAND!A:F,6,FALSE),0)</f>
        <v>92</v>
      </c>
      <c r="O447" s="26">
        <f>ROUNDDOWN(Table21[[#This Row],[R-DEMAND]]/1320,0)</f>
        <v>0</v>
      </c>
      <c r="P447" s="26">
        <f>Table21[[#This Row],[ADD ACC]]*Table21[[#This Row],[Duration
(747-400)]]</f>
        <v>0</v>
      </c>
      <c r="Q447" s="284">
        <f>IFERROR(VLOOKUP(Table21[[#This Row],[ROUTE]],PRICING!A:B,2,FALSE),0)</f>
        <v>2425</v>
      </c>
      <c r="R447" s="282">
        <f>Table21[[#This Row],[C_DEMAND]]-Table21[[#This Row],[R-DEMAND]]</f>
        <v>2640</v>
      </c>
      <c r="S447" s="287">
        <f>Table21[[#This Row],[SEATS SOLD]]*Table21[[#This Row],[ECO SEAT]]</f>
        <v>6402000</v>
      </c>
    </row>
    <row r="448" spans="1:19" x14ac:dyDescent="0.25">
      <c r="A448" s="16" t="s">
        <v>16207</v>
      </c>
      <c r="B448" s="16" t="s">
        <v>615</v>
      </c>
      <c r="C448" s="16" t="s">
        <v>2</v>
      </c>
      <c r="D448" s="16">
        <v>1</v>
      </c>
      <c r="E448" s="16" t="s">
        <v>493</v>
      </c>
      <c r="F448" s="16" t="s">
        <v>12671</v>
      </c>
      <c r="G448" s="179" t="s">
        <v>11716</v>
      </c>
      <c r="H448" s="254">
        <v>9611</v>
      </c>
      <c r="I448" s="180">
        <v>23.5</v>
      </c>
      <c r="J448" s="102">
        <v>216224022</v>
      </c>
      <c r="K448" s="102">
        <f>IFERROR(Table21[[#This Row],[ROUTE COST]]/Table21[[#This Row],[O - DEMAND]],0)</f>
        <v>84265.012470771631</v>
      </c>
      <c r="L448" s="26">
        <v>2566</v>
      </c>
      <c r="M448" s="26">
        <f>IFERROR(VLOOKUP(Table21[[#This Row],[ROUTE]],DEMAND!A:F,5,FALSE),0)</f>
        <v>2729</v>
      </c>
      <c r="N448" s="26">
        <f>IFERROR(VLOOKUP(Table21[[#This Row],[ROUTE]],DEMAND!A:F,6,FALSE),0)</f>
        <v>89</v>
      </c>
      <c r="O448" s="26">
        <f>ROUNDDOWN(Table21[[#This Row],[R-DEMAND]]/1320,0)</f>
        <v>0</v>
      </c>
      <c r="P448" s="26">
        <f>Table21[[#This Row],[ADD ACC]]*Table21[[#This Row],[Duration
(747-400)]]</f>
        <v>0</v>
      </c>
      <c r="Q448" s="284">
        <f>IFERROR(VLOOKUP(Table21[[#This Row],[ROUTE]],PRICING!A:B,2,FALSE),0)</f>
        <v>2510</v>
      </c>
      <c r="R448" s="282">
        <f>Table21[[#This Row],[C_DEMAND]]-Table21[[#This Row],[R-DEMAND]]</f>
        <v>2640</v>
      </c>
      <c r="S448" s="287">
        <f>Table21[[#This Row],[SEATS SOLD]]*Table21[[#This Row],[ECO SEAT]]</f>
        <v>6626400</v>
      </c>
    </row>
    <row r="449" spans="1:19" x14ac:dyDescent="0.25">
      <c r="A449" s="16" t="s">
        <v>16190</v>
      </c>
      <c r="B449" s="16" t="s">
        <v>673</v>
      </c>
      <c r="C449" s="16" t="s">
        <v>2</v>
      </c>
      <c r="D449" s="16">
        <v>1</v>
      </c>
      <c r="E449" s="16" t="s">
        <v>493</v>
      </c>
      <c r="F449" s="16" t="s">
        <v>12671</v>
      </c>
      <c r="G449" s="179" t="s">
        <v>7071</v>
      </c>
      <c r="H449" s="254">
        <v>9892</v>
      </c>
      <c r="I449" s="180">
        <v>24</v>
      </c>
      <c r="J449" s="102">
        <v>219642022</v>
      </c>
      <c r="K449" s="102">
        <f>IFERROR(Table21[[#This Row],[ROUTE COST]]/Table21[[#This Row],[O - DEMAND]],0)</f>
        <v>84935.04331013147</v>
      </c>
      <c r="L449" s="26">
        <v>2586</v>
      </c>
      <c r="M449" s="26">
        <f>IFERROR(VLOOKUP(Table21[[#This Row],[ROUTE]],DEMAND!A:F,5,FALSE),0)</f>
        <v>2716</v>
      </c>
      <c r="N449" s="26">
        <f>IFERROR(VLOOKUP(Table21[[#This Row],[ROUTE]],DEMAND!A:F,6,FALSE),0)</f>
        <v>76</v>
      </c>
      <c r="O449" s="26">
        <f>ROUNDDOWN(Table21[[#This Row],[R-DEMAND]]/1320,0)</f>
        <v>0</v>
      </c>
      <c r="P449" s="26">
        <f>Table21[[#This Row],[ADD ACC]]*Table21[[#This Row],[Duration
(747-400)]]</f>
        <v>0</v>
      </c>
      <c r="Q449" s="284">
        <f>IFERROR(VLOOKUP(Table21[[#This Row],[ROUTE]],PRICING!A:B,2,FALSE),0)</f>
        <v>2708</v>
      </c>
      <c r="R449" s="282">
        <f>Table21[[#This Row],[C_DEMAND]]-Table21[[#This Row],[R-DEMAND]]</f>
        <v>2640</v>
      </c>
      <c r="S449" s="287">
        <f>Table21[[#This Row],[SEATS SOLD]]*Table21[[#This Row],[ECO SEAT]]</f>
        <v>7149120</v>
      </c>
    </row>
    <row r="450" spans="1:19" x14ac:dyDescent="0.25">
      <c r="A450" s="16" t="s">
        <v>16208</v>
      </c>
      <c r="B450" s="16" t="s">
        <v>5313</v>
      </c>
      <c r="C450" s="16" t="s">
        <v>2</v>
      </c>
      <c r="D450" s="16">
        <v>3</v>
      </c>
      <c r="E450" s="16" t="s">
        <v>119</v>
      </c>
      <c r="F450" s="16" t="s">
        <v>12674</v>
      </c>
      <c r="G450" s="179" t="s">
        <v>11685</v>
      </c>
      <c r="H450" s="254">
        <v>9596</v>
      </c>
      <c r="I450" s="180">
        <v>23.5</v>
      </c>
      <c r="J450" s="102">
        <v>249352268</v>
      </c>
      <c r="K450" s="102">
        <f>IFERROR(Table21[[#This Row],[ROUTE COST]]/Table21[[#This Row],[O - DEMAND]],0)</f>
        <v>95500.677135197242</v>
      </c>
      <c r="L450" s="26">
        <v>2611</v>
      </c>
      <c r="M450" s="26">
        <f>IFERROR(VLOOKUP(Table21[[#This Row],[ROUTE]],DEMAND!A:F,5,FALSE),0)</f>
        <v>2707</v>
      </c>
      <c r="N450" s="26">
        <f>IFERROR(VLOOKUP(Table21[[#This Row],[ROUTE]],DEMAND!A:F,6,FALSE),0)</f>
        <v>67</v>
      </c>
      <c r="O450" s="26">
        <f>ROUNDDOWN(Table21[[#This Row],[R-DEMAND]]/1320,0)</f>
        <v>0</v>
      </c>
      <c r="P450" s="26">
        <f>Table21[[#This Row],[ADD ACC]]*Table21[[#This Row],[Duration
(747-400)]]</f>
        <v>0</v>
      </c>
      <c r="Q450" s="284">
        <f>IFERROR(VLOOKUP(Table21[[#This Row],[ROUTE]],PRICING!A:B,2,FALSE),0)</f>
        <v>2753</v>
      </c>
      <c r="R450" s="282">
        <f>Table21[[#This Row],[C_DEMAND]]-Table21[[#This Row],[R-DEMAND]]</f>
        <v>2640</v>
      </c>
      <c r="S450" s="287">
        <f>Table21[[#This Row],[SEATS SOLD]]*Table21[[#This Row],[ECO SEAT]]</f>
        <v>7267920</v>
      </c>
    </row>
    <row r="451" spans="1:19" x14ac:dyDescent="0.25">
      <c r="A451" s="251" t="s">
        <v>16726</v>
      </c>
      <c r="B451" s="251" t="s">
        <v>337</v>
      </c>
      <c r="C451" s="16" t="s">
        <v>2</v>
      </c>
      <c r="D451" s="251">
        <v>4</v>
      </c>
      <c r="E451" s="251" t="s">
        <v>14</v>
      </c>
      <c r="F451" s="251" t="s">
        <v>12670</v>
      </c>
      <c r="G451" s="252" t="s">
        <v>336</v>
      </c>
      <c r="H451" s="254">
        <v>442</v>
      </c>
      <c r="I451" s="180">
        <v>3</v>
      </c>
      <c r="J451" s="102">
        <v>165688476</v>
      </c>
      <c r="K451" s="253">
        <f>IFERROR(Table21[[#This Row],[ROUTE COST]]/Table21[[#This Row],[O - DEMAND]],0)</f>
        <v>63360.793881453152</v>
      </c>
      <c r="L451" s="26">
        <v>2615</v>
      </c>
      <c r="M451" s="26">
        <f>IFERROR(VLOOKUP(Table21[[#This Row],[ROUTE]],DEMAND!A:F,5,FALSE),0)</f>
        <v>2703</v>
      </c>
      <c r="N451" s="26">
        <f>IFERROR(VLOOKUP(Table21[[#This Row],[ROUTE]],DEMAND!A:F,6,FALSE),0)</f>
        <v>63</v>
      </c>
      <c r="O451" s="26">
        <f>ROUNDDOWN(Table21[[#This Row],[R-DEMAND]]/1320,0)</f>
        <v>0</v>
      </c>
      <c r="P451" s="26">
        <f>Table21[[#This Row],[ADD ACC]]*Table21[[#This Row],[Duration
(747-400)]]</f>
        <v>0</v>
      </c>
      <c r="Q451" s="284">
        <f>IFERROR(VLOOKUP(Table21[[#This Row],[ROUTE]],PRICING!A:B,2,FALSE),0)</f>
        <v>231</v>
      </c>
      <c r="R451" s="282">
        <f>Table21[[#This Row],[C_DEMAND]]-Table21[[#This Row],[R-DEMAND]]</f>
        <v>2640</v>
      </c>
      <c r="S451" s="287">
        <f>Table21[[#This Row],[SEATS SOLD]]*Table21[[#This Row],[ECO SEAT]]</f>
        <v>609840</v>
      </c>
    </row>
    <row r="452" spans="1:19" x14ac:dyDescent="0.25">
      <c r="A452" s="16" t="s">
        <v>16373</v>
      </c>
      <c r="B452" s="16" t="s">
        <v>3215</v>
      </c>
      <c r="C452" s="16" t="s">
        <v>2</v>
      </c>
      <c r="D452" s="16">
        <v>2</v>
      </c>
      <c r="E452" s="16" t="s">
        <v>3213</v>
      </c>
      <c r="F452" s="16" t="s">
        <v>12671</v>
      </c>
      <c r="G452" s="179" t="s">
        <v>11944</v>
      </c>
      <c r="H452" s="254">
        <v>7780</v>
      </c>
      <c r="I452" s="180">
        <v>19.25</v>
      </c>
      <c r="J452" s="102">
        <v>209026154</v>
      </c>
      <c r="K452" s="102">
        <f>IFERROR(Table21[[#This Row],[ROUTE COST]]/Table21[[#This Row],[O - DEMAND]],0)</f>
        <v>55079.355467720685</v>
      </c>
      <c r="L452" s="26">
        <v>3795</v>
      </c>
      <c r="M452" s="26">
        <f>IFERROR(VLOOKUP(Table21[[#This Row],[ROUTE]],DEMAND!A:F,5,FALSE),0)</f>
        <v>4023</v>
      </c>
      <c r="N452" s="26">
        <f>IFERROR(VLOOKUP(Table21[[#This Row],[ROUTE]],DEMAND!A:F,6,FALSE),0)</f>
        <v>63</v>
      </c>
      <c r="O452" s="26">
        <f>ROUNDDOWN(Table21[[#This Row],[R-DEMAND]]/1320,0)</f>
        <v>0</v>
      </c>
      <c r="P452" s="26">
        <f>Table21[[#This Row],[ADD ACC]]*Table21[[#This Row],[Duration
(747-400)]]</f>
        <v>0</v>
      </c>
      <c r="Q452" s="284">
        <f>IFERROR(VLOOKUP(Table21[[#This Row],[ROUTE]],PRICING!A:B,2,FALSE),0)</f>
        <v>2075</v>
      </c>
      <c r="R452" s="282">
        <f>Table21[[#This Row],[C_DEMAND]]-Table21[[#This Row],[R-DEMAND]]</f>
        <v>3960</v>
      </c>
      <c r="S452" s="287">
        <f>Table21[[#This Row],[SEATS SOLD]]*Table21[[#This Row],[ECO SEAT]]</f>
        <v>8217000</v>
      </c>
    </row>
    <row r="453" spans="1:19" x14ac:dyDescent="0.25">
      <c r="A453" s="16" t="s">
        <v>16438</v>
      </c>
      <c r="B453" s="16" t="s">
        <v>173</v>
      </c>
      <c r="C453" s="16" t="s">
        <v>2</v>
      </c>
      <c r="D453" s="16">
        <v>5</v>
      </c>
      <c r="E453" s="16" t="s">
        <v>172</v>
      </c>
      <c r="F453" s="16" t="s">
        <v>12670</v>
      </c>
      <c r="G453" s="179" t="s">
        <v>171</v>
      </c>
      <c r="H453" s="254">
        <v>7209</v>
      </c>
      <c r="I453" s="180">
        <v>18</v>
      </c>
      <c r="J453" s="102">
        <v>247334934</v>
      </c>
      <c r="K453" s="102">
        <f>IFERROR(Table21[[#This Row],[ROUTE COST]]/Table21[[#This Row],[O - DEMAND]],0)</f>
        <v>64578.31174934726</v>
      </c>
      <c r="L453" s="26">
        <v>3830</v>
      </c>
      <c r="M453" s="26">
        <f>IFERROR(VLOOKUP(Table21[[#This Row],[ROUTE]],DEMAND!A:F,5,FALSE),0)</f>
        <v>4022</v>
      </c>
      <c r="N453" s="26">
        <f>IFERROR(VLOOKUP(Table21[[#This Row],[ROUTE]],DEMAND!A:F,6,FALSE),0)</f>
        <v>62</v>
      </c>
      <c r="O453" s="26">
        <f>ROUNDDOWN(Table21[[#This Row],[R-DEMAND]]/1320,0)</f>
        <v>0</v>
      </c>
      <c r="P453" s="26">
        <f>Table21[[#This Row],[ADD ACC]]*Table21[[#This Row],[Duration
(747-400)]]</f>
        <v>0</v>
      </c>
      <c r="Q453" s="284">
        <f>IFERROR(VLOOKUP(Table21[[#This Row],[ROUTE]],PRICING!A:B,2,FALSE),0)</f>
        <v>2000</v>
      </c>
      <c r="R453" s="282">
        <f>Table21[[#This Row],[C_DEMAND]]-Table21[[#This Row],[R-DEMAND]]</f>
        <v>3960</v>
      </c>
      <c r="S453" s="287">
        <f>Table21[[#This Row],[SEATS SOLD]]*Table21[[#This Row],[ECO SEAT]]</f>
        <v>7920000</v>
      </c>
    </row>
    <row r="454" spans="1:19" x14ac:dyDescent="0.25">
      <c r="A454" s="16" t="s">
        <v>16551</v>
      </c>
      <c r="B454" s="16" t="s">
        <v>319</v>
      </c>
      <c r="C454" s="16" t="s">
        <v>2</v>
      </c>
      <c r="D454" s="16">
        <v>5</v>
      </c>
      <c r="E454" s="16" t="s">
        <v>1847</v>
      </c>
      <c r="F454" s="16" t="s">
        <v>12670</v>
      </c>
      <c r="G454" s="179" t="s">
        <v>11087</v>
      </c>
      <c r="H454" s="254">
        <v>5846</v>
      </c>
      <c r="I454" s="180">
        <v>15</v>
      </c>
      <c r="J454" s="102">
        <v>245904792</v>
      </c>
      <c r="K454" s="102">
        <f>IFERROR(Table21[[#This Row],[ROUTE COST]]/Table21[[#This Row],[O - DEMAND]],0)</f>
        <v>64779.976817702845</v>
      </c>
      <c r="L454" s="26">
        <v>3796</v>
      </c>
      <c r="M454" s="26">
        <f>IFERROR(VLOOKUP(Table21[[#This Row],[ROUTE]],DEMAND!A:F,5,FALSE),0)</f>
        <v>4012</v>
      </c>
      <c r="N454" s="26">
        <f>IFERROR(VLOOKUP(Table21[[#This Row],[ROUTE]],DEMAND!A:F,6,FALSE),0)</f>
        <v>52</v>
      </c>
      <c r="O454" s="26">
        <f>ROUNDDOWN(Table21[[#This Row],[R-DEMAND]]/1320,0)</f>
        <v>0</v>
      </c>
      <c r="P454" s="26">
        <f>Table21[[#This Row],[ADD ACC]]*Table21[[#This Row],[Duration
(747-400)]]</f>
        <v>0</v>
      </c>
      <c r="Q454" s="284">
        <f>IFERROR(VLOOKUP(Table21[[#This Row],[ROUTE]],PRICING!A:B,2,FALSE),0)</f>
        <v>1603</v>
      </c>
      <c r="R454" s="282">
        <f>Table21[[#This Row],[C_DEMAND]]-Table21[[#This Row],[R-DEMAND]]</f>
        <v>3960</v>
      </c>
      <c r="S454" s="287">
        <f>Table21[[#This Row],[SEATS SOLD]]*Table21[[#This Row],[ECO SEAT]]</f>
        <v>6347880</v>
      </c>
    </row>
    <row r="455" spans="1:19" x14ac:dyDescent="0.25">
      <c r="A455" s="16" t="s">
        <v>16704</v>
      </c>
      <c r="B455" s="16" t="s">
        <v>5008</v>
      </c>
      <c r="C455" s="16" t="s">
        <v>2</v>
      </c>
      <c r="D455" s="16">
        <v>3</v>
      </c>
      <c r="E455" s="16" t="s">
        <v>142</v>
      </c>
      <c r="F455" s="16" t="s">
        <v>12670</v>
      </c>
      <c r="G455" s="179" t="s">
        <v>9502</v>
      </c>
      <c r="H455" s="254">
        <v>2038</v>
      </c>
      <c r="I455" s="180">
        <v>6.75</v>
      </c>
      <c r="J455" s="102">
        <v>166641252</v>
      </c>
      <c r="K455" s="102">
        <f>IFERROR(Table21[[#This Row],[ROUTE COST]]/Table21[[#This Row],[O - DEMAND]],0)</f>
        <v>65094.239062499997</v>
      </c>
      <c r="L455" s="26">
        <v>2560</v>
      </c>
      <c r="M455" s="26">
        <f>IFERROR(VLOOKUP(Table21[[#This Row],[ROUTE]],DEMAND!A:F,5,FALSE),0)</f>
        <v>2689</v>
      </c>
      <c r="N455" s="26">
        <f>IFERROR(VLOOKUP(Table21[[#This Row],[ROUTE]],DEMAND!A:F,6,FALSE),0)</f>
        <v>49</v>
      </c>
      <c r="O455" s="26">
        <f>ROUNDDOWN(Table21[[#This Row],[R-DEMAND]]/1320,0)</f>
        <v>0</v>
      </c>
      <c r="P455" s="26">
        <f>Table21[[#This Row],[ADD ACC]]*Table21[[#This Row],[Duration
(747-400)]]</f>
        <v>0</v>
      </c>
      <c r="Q455" s="284">
        <f>IFERROR(VLOOKUP(Table21[[#This Row],[ROUTE]],PRICING!A:B,2,FALSE),0)</f>
        <v>638</v>
      </c>
      <c r="R455" s="282">
        <f>Table21[[#This Row],[C_DEMAND]]-Table21[[#This Row],[R-DEMAND]]</f>
        <v>2640</v>
      </c>
      <c r="S455" s="287">
        <f>Table21[[#This Row],[SEATS SOLD]]*Table21[[#This Row],[ECO SEAT]]</f>
        <v>1684320</v>
      </c>
    </row>
    <row r="456" spans="1:19" x14ac:dyDescent="0.25">
      <c r="A456" s="16" t="s">
        <v>16312</v>
      </c>
      <c r="B456" s="16" t="s">
        <v>5591</v>
      </c>
      <c r="C456" s="16" t="s">
        <v>2</v>
      </c>
      <c r="D456" s="16">
        <v>4</v>
      </c>
      <c r="E456" s="16" t="s">
        <v>560</v>
      </c>
      <c r="F456" s="16" t="s">
        <v>12674</v>
      </c>
      <c r="G456" s="179" t="s">
        <v>11055</v>
      </c>
      <c r="H456" s="254">
        <v>8327</v>
      </c>
      <c r="I456" s="180">
        <v>20.5</v>
      </c>
      <c r="J456" s="102">
        <v>247728464</v>
      </c>
      <c r="K456" s="102">
        <f>IFERROR(Table21[[#This Row],[ROUTE COST]]/Table21[[#This Row],[O - DEMAND]],0)</f>
        <v>97034.259302781036</v>
      </c>
      <c r="L456" s="26">
        <v>2553</v>
      </c>
      <c r="M456" s="26">
        <f>IFERROR(VLOOKUP(Table21[[#This Row],[ROUTE]],DEMAND!A:F,5,FALSE),0)</f>
        <v>2689</v>
      </c>
      <c r="N456" s="26">
        <f>IFERROR(VLOOKUP(Table21[[#This Row],[ROUTE]],DEMAND!A:F,6,FALSE),0)</f>
        <v>49</v>
      </c>
      <c r="O456" s="26">
        <f>ROUNDDOWN(Table21[[#This Row],[R-DEMAND]]/1320,0)</f>
        <v>0</v>
      </c>
      <c r="P456" s="26">
        <f>Table21[[#This Row],[ADD ACC]]*Table21[[#This Row],[Duration
(747-400)]]</f>
        <v>0</v>
      </c>
      <c r="Q456" s="284">
        <f>IFERROR(VLOOKUP(Table21[[#This Row],[ROUTE]],PRICING!A:B,2,FALSE),0)</f>
        <v>2268</v>
      </c>
      <c r="R456" s="282">
        <f>Table21[[#This Row],[C_DEMAND]]-Table21[[#This Row],[R-DEMAND]]</f>
        <v>2640</v>
      </c>
      <c r="S456" s="287">
        <f>Table21[[#This Row],[SEATS SOLD]]*Table21[[#This Row],[ECO SEAT]]</f>
        <v>5987520</v>
      </c>
    </row>
    <row r="457" spans="1:19" x14ac:dyDescent="0.25">
      <c r="A457" s="16" t="s">
        <v>16222</v>
      </c>
      <c r="B457" s="16" t="s">
        <v>5240</v>
      </c>
      <c r="C457" s="16" t="s">
        <v>2</v>
      </c>
      <c r="D457" s="16">
        <v>3</v>
      </c>
      <c r="E457" s="16" t="s">
        <v>514</v>
      </c>
      <c r="F457" s="16" t="s">
        <v>12688</v>
      </c>
      <c r="G457" s="179" t="s">
        <v>13166</v>
      </c>
      <c r="H457" s="254">
        <v>9479</v>
      </c>
      <c r="I457" s="180">
        <v>23</v>
      </c>
      <c r="J457" s="102">
        <v>246073369</v>
      </c>
      <c r="K457" s="102">
        <f>IFERROR(Table21[[#This Row],[ROUTE COST]]/Table21[[#This Row],[O - DEMAND]],0)</f>
        <v>96726.953223270437</v>
      </c>
      <c r="L457" s="26">
        <v>2544</v>
      </c>
      <c r="M457" s="26">
        <f>IFERROR(VLOOKUP(Table21[[#This Row],[ROUTE]],DEMAND!A:F,5,FALSE),0)</f>
        <v>2688</v>
      </c>
      <c r="N457" s="26">
        <f>IFERROR(VLOOKUP(Table21[[#This Row],[ROUTE]],DEMAND!A:F,6,FALSE),0)</f>
        <v>48</v>
      </c>
      <c r="O457" s="26">
        <f>ROUNDDOWN(Table21[[#This Row],[R-DEMAND]]/1320,0)</f>
        <v>0</v>
      </c>
      <c r="P457" s="26">
        <f>Table21[[#This Row],[ADD ACC]]*Table21[[#This Row],[Duration
(747-400)]]</f>
        <v>0</v>
      </c>
      <c r="Q457" s="284">
        <f>IFERROR(VLOOKUP(Table21[[#This Row],[ROUTE]],PRICING!A:B,2,FALSE),0)</f>
        <v>2538</v>
      </c>
      <c r="R457" s="282">
        <f>Table21[[#This Row],[C_DEMAND]]-Table21[[#This Row],[R-DEMAND]]</f>
        <v>2640</v>
      </c>
      <c r="S457" s="287">
        <f>Table21[[#This Row],[SEATS SOLD]]*Table21[[#This Row],[ECO SEAT]]</f>
        <v>6700320</v>
      </c>
    </row>
    <row r="458" spans="1:19" x14ac:dyDescent="0.25">
      <c r="A458" s="16" t="s">
        <v>15970</v>
      </c>
      <c r="B458" s="16" t="s">
        <v>137</v>
      </c>
      <c r="C458" s="16" t="s">
        <v>2</v>
      </c>
      <c r="D458" s="16">
        <v>4</v>
      </c>
      <c r="E458" s="16" t="s">
        <v>5476</v>
      </c>
      <c r="F458" s="16" t="s">
        <v>12688</v>
      </c>
      <c r="G458" s="179" t="s">
        <v>13209</v>
      </c>
      <c r="H458" s="254">
        <v>13431</v>
      </c>
      <c r="I458" s="180">
        <v>31.75</v>
      </c>
      <c r="J458" s="102">
        <v>292662253</v>
      </c>
      <c r="K458" s="102">
        <f>IFERROR(Table21[[#This Row],[ROUTE COST]]/Table21[[#This Row],[O - DEMAND]],0)</f>
        <v>55001.363089644801</v>
      </c>
      <c r="L458" s="26">
        <v>5321</v>
      </c>
      <c r="M458" s="26">
        <f>IFERROR(VLOOKUP(Table21[[#This Row],[ROUTE]],DEMAND!A:F,5,FALSE),0)</f>
        <v>5321</v>
      </c>
      <c r="N458" s="26">
        <f>IFERROR(VLOOKUP(Table21[[#This Row],[ROUTE]],DEMAND!A:F,6,FALSE),0)</f>
        <v>41</v>
      </c>
      <c r="O458" s="26">
        <f>ROUNDDOWN(Table21[[#This Row],[R-DEMAND]]/1320,0)</f>
        <v>0</v>
      </c>
      <c r="P458" s="26">
        <f>Table21[[#This Row],[ADD ACC]]*Table21[[#This Row],[Duration
(747-400)]]</f>
        <v>0</v>
      </c>
      <c r="Q458" s="284">
        <f>IFERROR(VLOOKUP(Table21[[#This Row],[ROUTE]],PRICING!A:B,2,FALSE),0)</f>
        <v>4283</v>
      </c>
      <c r="R458" s="282">
        <f>Table21[[#This Row],[C_DEMAND]]-Table21[[#This Row],[R-DEMAND]]</f>
        <v>5280</v>
      </c>
      <c r="S458" s="287">
        <f>Table21[[#This Row],[SEATS SOLD]]*Table21[[#This Row],[ECO SEAT]]</f>
        <v>22614240</v>
      </c>
    </row>
    <row r="459" spans="1:19" x14ac:dyDescent="0.25">
      <c r="A459" s="16" t="s">
        <v>16269</v>
      </c>
      <c r="B459" s="16" t="s">
        <v>973</v>
      </c>
      <c r="C459" s="16" t="s">
        <v>2</v>
      </c>
      <c r="D459" s="16">
        <v>1</v>
      </c>
      <c r="E459" s="16" t="s">
        <v>971</v>
      </c>
      <c r="F459" s="16" t="s">
        <v>12671</v>
      </c>
      <c r="G459" s="179" t="s">
        <v>11755</v>
      </c>
      <c r="H459" s="254">
        <v>8913</v>
      </c>
      <c r="I459" s="180">
        <v>21.75</v>
      </c>
      <c r="J459" s="102">
        <v>208219178</v>
      </c>
      <c r="K459" s="102">
        <f>IFERROR(Table21[[#This Row],[ROUTE COST]]/Table21[[#This Row],[O - DEMAND]],0)</f>
        <v>80549.00502901354</v>
      </c>
      <c r="L459" s="26">
        <v>2585</v>
      </c>
      <c r="M459" s="26">
        <f>IFERROR(VLOOKUP(Table21[[#This Row],[ROUTE]],DEMAND!A:F,5,FALSE),0)</f>
        <v>2680</v>
      </c>
      <c r="N459" s="26">
        <f>IFERROR(VLOOKUP(Table21[[#This Row],[ROUTE]],DEMAND!A:F,6,FALSE),0)</f>
        <v>40</v>
      </c>
      <c r="O459" s="26">
        <f>ROUNDDOWN(Table21[[#This Row],[R-DEMAND]]/1320,0)</f>
        <v>0</v>
      </c>
      <c r="P459" s="26">
        <f>Table21[[#This Row],[ADD ACC]]*Table21[[#This Row],[Duration
(747-400)]]</f>
        <v>0</v>
      </c>
      <c r="Q459" s="284">
        <f>IFERROR(VLOOKUP(Table21[[#This Row],[ROUTE]],PRICING!A:B,2,FALSE),0)</f>
        <v>2565</v>
      </c>
      <c r="R459" s="282">
        <f>Table21[[#This Row],[C_DEMAND]]-Table21[[#This Row],[R-DEMAND]]</f>
        <v>2640</v>
      </c>
      <c r="S459" s="287">
        <f>Table21[[#This Row],[SEATS SOLD]]*Table21[[#This Row],[ECO SEAT]]</f>
        <v>6771600</v>
      </c>
    </row>
    <row r="460" spans="1:19" x14ac:dyDescent="0.25">
      <c r="A460" s="16" t="s">
        <v>16232</v>
      </c>
      <c r="B460" s="16" t="s">
        <v>575</v>
      </c>
      <c r="C460" s="16" t="s">
        <v>2</v>
      </c>
      <c r="D460" s="16">
        <v>1</v>
      </c>
      <c r="E460" s="16" t="s">
        <v>493</v>
      </c>
      <c r="F460" s="16" t="s">
        <v>12671</v>
      </c>
      <c r="G460" s="179" t="s">
        <v>11717</v>
      </c>
      <c r="H460" s="254">
        <v>9355</v>
      </c>
      <c r="I460" s="180">
        <v>22.75</v>
      </c>
      <c r="J460" s="102">
        <v>214051022</v>
      </c>
      <c r="K460" s="102">
        <f>IFERROR(Table21[[#This Row],[ROUTE COST]]/Table21[[#This Row],[O - DEMAND]],0)</f>
        <v>83875.79231974922</v>
      </c>
      <c r="L460" s="26">
        <v>2552</v>
      </c>
      <c r="M460" s="26">
        <f>IFERROR(VLOOKUP(Table21[[#This Row],[ROUTE]],DEMAND!A:F,5,FALSE),0)</f>
        <v>2679</v>
      </c>
      <c r="N460" s="26">
        <f>IFERROR(VLOOKUP(Table21[[#This Row],[ROUTE]],DEMAND!A:F,6,FALSE),0)</f>
        <v>39</v>
      </c>
      <c r="O460" s="26">
        <f>ROUNDDOWN(Table21[[#This Row],[R-DEMAND]]/1320,0)</f>
        <v>0</v>
      </c>
      <c r="P460" s="26">
        <f>Table21[[#This Row],[ADD ACC]]*Table21[[#This Row],[Duration
(747-400)]]</f>
        <v>0</v>
      </c>
      <c r="Q460" s="284">
        <f>IFERROR(VLOOKUP(Table21[[#This Row],[ROUTE]],PRICING!A:B,2,FALSE),0)</f>
        <v>2567</v>
      </c>
      <c r="R460" s="282">
        <f>Table21[[#This Row],[C_DEMAND]]-Table21[[#This Row],[R-DEMAND]]</f>
        <v>2640</v>
      </c>
      <c r="S460" s="287">
        <f>Table21[[#This Row],[SEATS SOLD]]*Table21[[#This Row],[ECO SEAT]]</f>
        <v>6776880</v>
      </c>
    </row>
    <row r="461" spans="1:19" x14ac:dyDescent="0.25">
      <c r="A461" s="16" t="s">
        <v>16678</v>
      </c>
      <c r="B461" s="16" t="s">
        <v>351</v>
      </c>
      <c r="C461" s="16" t="s">
        <v>2</v>
      </c>
      <c r="D461" s="16">
        <v>2</v>
      </c>
      <c r="E461" s="16" t="s">
        <v>717</v>
      </c>
      <c r="F461" s="16" t="s">
        <v>12670</v>
      </c>
      <c r="G461" s="179" t="s">
        <v>12087</v>
      </c>
      <c r="H461" s="254">
        <v>2795</v>
      </c>
      <c r="I461" s="180">
        <v>8.25</v>
      </c>
      <c r="J461" s="102">
        <v>165073080</v>
      </c>
      <c r="K461" s="102">
        <f>IFERROR(Table21[[#This Row],[ROUTE COST]]/Table21[[#This Row],[O - DEMAND]],0)</f>
        <v>43497.517786561264</v>
      </c>
      <c r="L461" s="26">
        <v>3795</v>
      </c>
      <c r="M461" s="26">
        <f>IFERROR(VLOOKUP(Table21[[#This Row],[ROUTE]],DEMAND!A:F,5,FALSE),0)</f>
        <v>3998</v>
      </c>
      <c r="N461" s="26">
        <f>IFERROR(VLOOKUP(Table21[[#This Row],[ROUTE]],DEMAND!A:F,6,FALSE),0)</f>
        <v>38</v>
      </c>
      <c r="O461" s="26">
        <f>ROUNDDOWN(Table21[[#This Row],[R-DEMAND]]/1320,0)</f>
        <v>0</v>
      </c>
      <c r="P461" s="26">
        <f>Table21[[#This Row],[ADD ACC]]*Table21[[#This Row],[Duration
(747-400)]]</f>
        <v>0</v>
      </c>
      <c r="Q461" s="284">
        <f>IFERROR(VLOOKUP(Table21[[#This Row],[ROUTE]],PRICING!A:B,2,FALSE),0)</f>
        <v>828</v>
      </c>
      <c r="R461" s="282">
        <f>Table21[[#This Row],[C_DEMAND]]-Table21[[#This Row],[R-DEMAND]]</f>
        <v>3960</v>
      </c>
      <c r="S461" s="287">
        <f>Table21[[#This Row],[SEATS SOLD]]*Table21[[#This Row],[ECO SEAT]]</f>
        <v>3278880</v>
      </c>
    </row>
    <row r="462" spans="1:19" x14ac:dyDescent="0.25">
      <c r="A462" s="16" t="s">
        <v>16409</v>
      </c>
      <c r="B462" s="16" t="s">
        <v>5219</v>
      </c>
      <c r="C462" s="16" t="s">
        <v>2</v>
      </c>
      <c r="D462" s="16">
        <v>3</v>
      </c>
      <c r="E462" s="16" t="s">
        <v>597</v>
      </c>
      <c r="F462" s="16" t="s">
        <v>12674</v>
      </c>
      <c r="G462" s="179" t="s">
        <v>11851</v>
      </c>
      <c r="H462" s="254">
        <v>7399</v>
      </c>
      <c r="I462" s="180">
        <v>18.5</v>
      </c>
      <c r="J462" s="102">
        <v>224426244</v>
      </c>
      <c r="K462" s="102">
        <f>IFERROR(Table21[[#This Row],[ROUTE COST]]/Table21[[#This Row],[O - DEMAND]],0)</f>
        <v>87666.501562499994</v>
      </c>
      <c r="L462" s="26">
        <v>2560</v>
      </c>
      <c r="M462" s="26">
        <f>IFERROR(VLOOKUP(Table21[[#This Row],[ROUTE]],DEMAND!A:F,5,FALSE),0)</f>
        <v>2672</v>
      </c>
      <c r="N462" s="26">
        <f>IFERROR(VLOOKUP(Table21[[#This Row],[ROUTE]],DEMAND!A:F,6,FALSE),0)</f>
        <v>32</v>
      </c>
      <c r="O462" s="26">
        <f>ROUNDDOWN(Table21[[#This Row],[R-DEMAND]]/1320,0)</f>
        <v>0</v>
      </c>
      <c r="P462" s="26">
        <f>Table21[[#This Row],[ADD ACC]]*Table21[[#This Row],[Duration
(747-400)]]</f>
        <v>0</v>
      </c>
      <c r="Q462" s="284">
        <f>IFERROR(VLOOKUP(Table21[[#This Row],[ROUTE]],PRICING!A:B,2,FALSE),0)</f>
        <v>2099</v>
      </c>
      <c r="R462" s="282">
        <f>Table21[[#This Row],[C_DEMAND]]-Table21[[#This Row],[R-DEMAND]]</f>
        <v>2640</v>
      </c>
      <c r="S462" s="287">
        <f>Table21[[#This Row],[SEATS SOLD]]*Table21[[#This Row],[ECO SEAT]]</f>
        <v>5541360</v>
      </c>
    </row>
    <row r="463" spans="1:19" x14ac:dyDescent="0.25">
      <c r="A463" s="16" t="s">
        <v>16314</v>
      </c>
      <c r="B463" s="16" t="s">
        <v>5543</v>
      </c>
      <c r="C463" s="16" t="s">
        <v>2</v>
      </c>
      <c r="D463" s="16">
        <v>4</v>
      </c>
      <c r="E463" s="16" t="s">
        <v>560</v>
      </c>
      <c r="F463" s="16" t="s">
        <v>12674</v>
      </c>
      <c r="G463" s="179" t="s">
        <v>11063</v>
      </c>
      <c r="H463" s="254">
        <v>8300</v>
      </c>
      <c r="I463" s="180">
        <v>20.5</v>
      </c>
      <c r="J463" s="102">
        <v>245164111</v>
      </c>
      <c r="K463" s="102">
        <f>IFERROR(Table21[[#This Row],[ROUTE COST]]/Table21[[#This Row],[O - DEMAND]],0)</f>
        <v>97830.850359138072</v>
      </c>
      <c r="L463" s="26">
        <v>2506</v>
      </c>
      <c r="M463" s="26">
        <f>IFERROR(VLOOKUP(Table21[[#This Row],[ROUTE]],DEMAND!A:F,5,FALSE),0)</f>
        <v>2665</v>
      </c>
      <c r="N463" s="26">
        <f>IFERROR(VLOOKUP(Table21[[#This Row],[ROUTE]],DEMAND!A:F,6,FALSE),0)</f>
        <v>25</v>
      </c>
      <c r="O463" s="26">
        <f>ROUNDDOWN(Table21[[#This Row],[R-DEMAND]]/1320,0)</f>
        <v>0</v>
      </c>
      <c r="P463" s="26">
        <f>Table21[[#This Row],[ADD ACC]]*Table21[[#This Row],[Duration
(747-400)]]</f>
        <v>0</v>
      </c>
      <c r="Q463" s="284">
        <f>IFERROR(VLOOKUP(Table21[[#This Row],[ROUTE]],PRICING!A:B,2,FALSE),0)</f>
        <v>2181</v>
      </c>
      <c r="R463" s="282">
        <f>Table21[[#This Row],[C_DEMAND]]-Table21[[#This Row],[R-DEMAND]]</f>
        <v>2640</v>
      </c>
      <c r="S463" s="287">
        <f>Table21[[#This Row],[SEATS SOLD]]*Table21[[#This Row],[ECO SEAT]]</f>
        <v>5757840</v>
      </c>
    </row>
    <row r="464" spans="1:19" x14ac:dyDescent="0.25">
      <c r="A464" s="16" t="s">
        <v>16074</v>
      </c>
      <c r="B464" s="16" t="s">
        <v>1598</v>
      </c>
      <c r="C464" s="16" t="s">
        <v>2</v>
      </c>
      <c r="D464" s="16">
        <v>1</v>
      </c>
      <c r="E464" s="16" t="s">
        <v>644</v>
      </c>
      <c r="F464" s="16" t="s">
        <v>12671</v>
      </c>
      <c r="G464" s="179" t="s">
        <v>11848</v>
      </c>
      <c r="H464" s="254">
        <v>11223</v>
      </c>
      <c r="I464" s="180">
        <v>27</v>
      </c>
      <c r="J464" s="102">
        <v>235411232</v>
      </c>
      <c r="K464" s="102">
        <f>IFERROR(Table21[[#This Row],[ROUTE COST]]/Table21[[#This Row],[O - DEMAND]],0)</f>
        <v>61529.334030318874</v>
      </c>
      <c r="L464" s="26">
        <v>3826</v>
      </c>
      <c r="M464" s="26">
        <f>IFERROR(VLOOKUP(Table21[[#This Row],[ROUTE]],DEMAND!A:F,5,FALSE),0)</f>
        <v>3979</v>
      </c>
      <c r="N464" s="26">
        <f>IFERROR(VLOOKUP(Table21[[#This Row],[ROUTE]],DEMAND!A:F,6,FALSE),0)</f>
        <v>19</v>
      </c>
      <c r="O464" s="26">
        <f>ROUNDDOWN(Table21[[#This Row],[R-DEMAND]]/1320,0)</f>
        <v>0</v>
      </c>
      <c r="P464" s="26">
        <f>Table21[[#This Row],[ADD ACC]]*Table21[[#This Row],[Duration
(747-400)]]</f>
        <v>0</v>
      </c>
      <c r="Q464" s="284">
        <f>IFERROR(VLOOKUP(Table21[[#This Row],[ROUTE]],PRICING!A:B,2,FALSE),0)</f>
        <v>3167</v>
      </c>
      <c r="R464" s="282">
        <f>Table21[[#This Row],[C_DEMAND]]-Table21[[#This Row],[R-DEMAND]]</f>
        <v>3960</v>
      </c>
      <c r="S464" s="287">
        <f>Table21[[#This Row],[SEATS SOLD]]*Table21[[#This Row],[ECO SEAT]]</f>
        <v>12541320</v>
      </c>
    </row>
    <row r="465" spans="1:19" x14ac:dyDescent="0.25">
      <c r="A465" s="16" t="s">
        <v>16087</v>
      </c>
      <c r="B465" s="16" t="s">
        <v>3081</v>
      </c>
      <c r="C465" s="16" t="s">
        <v>2</v>
      </c>
      <c r="D465" s="16">
        <v>2</v>
      </c>
      <c r="E465" s="16" t="s">
        <v>3079</v>
      </c>
      <c r="F465" s="16" t="s">
        <v>12671</v>
      </c>
      <c r="G465" s="179" t="s">
        <v>11713</v>
      </c>
      <c r="H465" s="254">
        <v>11017</v>
      </c>
      <c r="I465" s="180">
        <v>26.5</v>
      </c>
      <c r="J465" s="102">
        <v>241362788</v>
      </c>
      <c r="K465" s="102">
        <f>IFERROR(Table21[[#This Row],[ROUTE COST]]/Table21[[#This Row],[O - DEMAND]],0)</f>
        <v>48593.273203140729</v>
      </c>
      <c r="L465" s="26">
        <v>4967</v>
      </c>
      <c r="M465" s="26">
        <f>IFERROR(VLOOKUP(Table21[[#This Row],[ROUTE]],DEMAND!A:F,5,FALSE),0)</f>
        <v>5298</v>
      </c>
      <c r="N465" s="26">
        <f>IFERROR(VLOOKUP(Table21[[#This Row],[ROUTE]],DEMAND!A:F,6,FALSE),0)</f>
        <v>18</v>
      </c>
      <c r="O465" s="26">
        <f>ROUNDDOWN(Table21[[#This Row],[R-DEMAND]]/1320,0)</f>
        <v>0</v>
      </c>
      <c r="P465" s="26">
        <f>Table21[[#This Row],[ADD ACC]]*Table21[[#This Row],[Duration
(747-400)]]</f>
        <v>0</v>
      </c>
      <c r="Q465" s="284">
        <f>IFERROR(VLOOKUP(Table21[[#This Row],[ROUTE]],PRICING!A:B,2,FALSE),0)</f>
        <v>2828</v>
      </c>
      <c r="R465" s="282">
        <f>Table21[[#This Row],[C_DEMAND]]-Table21[[#This Row],[R-DEMAND]]</f>
        <v>5280</v>
      </c>
      <c r="S465" s="287">
        <f>Table21[[#This Row],[SEATS SOLD]]*Table21[[#This Row],[ECO SEAT]]</f>
        <v>14931840</v>
      </c>
    </row>
    <row r="466" spans="1:19" x14ac:dyDescent="0.25">
      <c r="A466" s="16" t="s">
        <v>16473</v>
      </c>
      <c r="B466" s="16" t="s">
        <v>5196</v>
      </c>
      <c r="C466" s="16" t="s">
        <v>2</v>
      </c>
      <c r="D466" s="16">
        <v>3</v>
      </c>
      <c r="E466" s="16" t="s">
        <v>1654</v>
      </c>
      <c r="F466" s="16" t="s">
        <v>12670</v>
      </c>
      <c r="G466" s="179" t="s">
        <v>11890</v>
      </c>
      <c r="H466" s="254">
        <v>6930</v>
      </c>
      <c r="I466" s="180">
        <v>17.5</v>
      </c>
      <c r="J466" s="102">
        <v>220001029</v>
      </c>
      <c r="K466" s="102">
        <f>IFERROR(Table21[[#This Row],[ROUTE COST]]/Table21[[#This Row],[O - DEMAND]],0)</f>
        <v>58651.300719808052</v>
      </c>
      <c r="L466" s="26">
        <v>3751</v>
      </c>
      <c r="M466" s="26">
        <f>IFERROR(VLOOKUP(Table21[[#This Row],[ROUTE]],DEMAND!A:F,5,FALSE),0)</f>
        <v>3977</v>
      </c>
      <c r="N466" s="26">
        <f>IFERROR(VLOOKUP(Table21[[#This Row],[ROUTE]],DEMAND!A:F,6,FALSE),0)</f>
        <v>17</v>
      </c>
      <c r="O466" s="26">
        <f>ROUNDDOWN(Table21[[#This Row],[R-DEMAND]]/1320,0)</f>
        <v>0</v>
      </c>
      <c r="P466" s="26">
        <f>Table21[[#This Row],[ADD ACC]]*Table21[[#This Row],[Duration
(747-400)]]</f>
        <v>0</v>
      </c>
      <c r="Q466" s="284">
        <f>IFERROR(VLOOKUP(Table21[[#This Row],[ROUTE]],PRICING!A:B,2,FALSE),0)</f>
        <v>1859</v>
      </c>
      <c r="R466" s="282">
        <f>Table21[[#This Row],[C_DEMAND]]-Table21[[#This Row],[R-DEMAND]]</f>
        <v>3960</v>
      </c>
      <c r="S466" s="287">
        <f>Table21[[#This Row],[SEATS SOLD]]*Table21[[#This Row],[ECO SEAT]]</f>
        <v>7361640</v>
      </c>
    </row>
    <row r="467" spans="1:19" x14ac:dyDescent="0.25">
      <c r="A467" s="16" t="s">
        <v>16352</v>
      </c>
      <c r="B467" s="16" t="s">
        <v>3772</v>
      </c>
      <c r="C467" s="16" t="s">
        <v>2</v>
      </c>
      <c r="D467" s="16">
        <v>2</v>
      </c>
      <c r="E467" s="16" t="s">
        <v>2851</v>
      </c>
      <c r="F467" s="16" t="s">
        <v>12671</v>
      </c>
      <c r="G467" s="179" t="s">
        <v>12007</v>
      </c>
      <c r="H467" s="254">
        <v>7957</v>
      </c>
      <c r="I467" s="180">
        <v>19.75</v>
      </c>
      <c r="J467" s="102">
        <v>211690543</v>
      </c>
      <c r="K467" s="102">
        <f>IFERROR(Table21[[#This Row],[ROUTE COST]]/Table21[[#This Row],[O - DEMAND]],0)</f>
        <v>82369.861089494167</v>
      </c>
      <c r="L467" s="26">
        <v>2570</v>
      </c>
      <c r="M467" s="26">
        <f>IFERROR(VLOOKUP(Table21[[#This Row],[ROUTE]],DEMAND!A:F,5,FALSE),0)</f>
        <v>2656</v>
      </c>
      <c r="N467" s="26">
        <f>IFERROR(VLOOKUP(Table21[[#This Row],[ROUTE]],DEMAND!A:F,6,FALSE),0)</f>
        <v>16</v>
      </c>
      <c r="O467" s="26">
        <f>ROUNDDOWN(Table21[[#This Row],[R-DEMAND]]/1320,0)</f>
        <v>0</v>
      </c>
      <c r="P467" s="26">
        <f>Table21[[#This Row],[ADD ACC]]*Table21[[#This Row],[Duration
(747-400)]]</f>
        <v>0</v>
      </c>
      <c r="Q467" s="284">
        <f>IFERROR(VLOOKUP(Table21[[#This Row],[ROUTE]],PRICING!A:B,2,FALSE),0)</f>
        <v>2327</v>
      </c>
      <c r="R467" s="282">
        <f>Table21[[#This Row],[C_DEMAND]]-Table21[[#This Row],[R-DEMAND]]</f>
        <v>2640</v>
      </c>
      <c r="S467" s="287">
        <f>Table21[[#This Row],[SEATS SOLD]]*Table21[[#This Row],[ECO SEAT]]</f>
        <v>6143280</v>
      </c>
    </row>
    <row r="468" spans="1:19" x14ac:dyDescent="0.25">
      <c r="A468" s="16" t="s">
        <v>16596</v>
      </c>
      <c r="B468" s="16" t="s">
        <v>3674</v>
      </c>
      <c r="C468" s="16" t="s">
        <v>2</v>
      </c>
      <c r="D468" s="16">
        <v>2</v>
      </c>
      <c r="E468" s="16" t="s">
        <v>567</v>
      </c>
      <c r="F468" s="16" t="s">
        <v>12670</v>
      </c>
      <c r="G468" s="179" t="s">
        <v>11998</v>
      </c>
      <c r="H468" s="254">
        <v>4610</v>
      </c>
      <c r="I468" s="180">
        <v>12.25</v>
      </c>
      <c r="J468" s="102">
        <v>178213820</v>
      </c>
      <c r="K468" s="102">
        <f>IFERROR(Table21[[#This Row],[ROUTE COST]]/Table21[[#This Row],[O - DEMAND]],0)</f>
        <v>70495.973101265816</v>
      </c>
      <c r="L468" s="26">
        <v>2528</v>
      </c>
      <c r="M468" s="26">
        <f>IFERROR(VLOOKUP(Table21[[#This Row],[ROUTE]],DEMAND!A:F,5,FALSE),0)</f>
        <v>2655</v>
      </c>
      <c r="N468" s="26">
        <f>IFERROR(VLOOKUP(Table21[[#This Row],[ROUTE]],DEMAND!A:F,6,FALSE),0)</f>
        <v>15</v>
      </c>
      <c r="O468" s="26">
        <f>ROUNDDOWN(Table21[[#This Row],[R-DEMAND]]/1320,0)</f>
        <v>0</v>
      </c>
      <c r="P468" s="26">
        <f>Table21[[#This Row],[ADD ACC]]*Table21[[#This Row],[Duration
(747-400)]]</f>
        <v>0</v>
      </c>
      <c r="Q468" s="284">
        <f>IFERROR(VLOOKUP(Table21[[#This Row],[ROUTE]],PRICING!A:B,2,FALSE),0)</f>
        <v>1316</v>
      </c>
      <c r="R468" s="282">
        <f>Table21[[#This Row],[C_DEMAND]]-Table21[[#This Row],[R-DEMAND]]</f>
        <v>2640</v>
      </c>
      <c r="S468" s="287">
        <f>Table21[[#This Row],[SEATS SOLD]]*Table21[[#This Row],[ECO SEAT]]</f>
        <v>3474240</v>
      </c>
    </row>
    <row r="469" spans="1:19" x14ac:dyDescent="0.25">
      <c r="A469" s="16" t="s">
        <v>16236</v>
      </c>
      <c r="B469" s="16" t="s">
        <v>527</v>
      </c>
      <c r="C469" s="16" t="s">
        <v>2</v>
      </c>
      <c r="D469" s="16">
        <v>1</v>
      </c>
      <c r="E469" s="16" t="s">
        <v>493</v>
      </c>
      <c r="F469" s="16" t="s">
        <v>12671</v>
      </c>
      <c r="G469" s="179" t="s">
        <v>11710</v>
      </c>
      <c r="H469" s="254">
        <v>9324</v>
      </c>
      <c r="I469" s="180">
        <v>22.75</v>
      </c>
      <c r="J469" s="102">
        <v>211850022</v>
      </c>
      <c r="K469" s="102">
        <f>IFERROR(Table21[[#This Row],[ROUTE COST]]/Table21[[#This Row],[O - DEMAND]],0)</f>
        <v>84201.121621621627</v>
      </c>
      <c r="L469" s="26">
        <v>2516</v>
      </c>
      <c r="M469" s="26">
        <f>IFERROR(VLOOKUP(Table21[[#This Row],[ROUTE]],DEMAND!A:F,5,FALSE),0)</f>
        <v>2651</v>
      </c>
      <c r="N469" s="26">
        <f>IFERROR(VLOOKUP(Table21[[#This Row],[ROUTE]],DEMAND!A:F,6,FALSE),0)</f>
        <v>11</v>
      </c>
      <c r="O469" s="26">
        <f>ROUNDDOWN(Table21[[#This Row],[R-DEMAND]]/1320,0)</f>
        <v>0</v>
      </c>
      <c r="P469" s="26">
        <f>Table21[[#This Row],[ADD ACC]]*Table21[[#This Row],[Duration
(747-400)]]</f>
        <v>0</v>
      </c>
      <c r="Q469" s="284">
        <f>IFERROR(VLOOKUP(Table21[[#This Row],[ROUTE]],PRICING!A:B,2,FALSE),0)</f>
        <v>2528</v>
      </c>
      <c r="R469" s="282">
        <f>Table21[[#This Row],[C_DEMAND]]-Table21[[#This Row],[R-DEMAND]]</f>
        <v>2640</v>
      </c>
      <c r="S469" s="287">
        <f>Table21[[#This Row],[SEATS SOLD]]*Table21[[#This Row],[ECO SEAT]]</f>
        <v>6673920</v>
      </c>
    </row>
    <row r="470" spans="1:19" x14ac:dyDescent="0.25">
      <c r="A470" s="16" t="s">
        <v>16496</v>
      </c>
      <c r="B470" s="16" t="s">
        <v>110</v>
      </c>
      <c r="C470" s="16" t="s">
        <v>2</v>
      </c>
      <c r="D470" s="16">
        <v>5</v>
      </c>
      <c r="E470" s="16" t="s">
        <v>172</v>
      </c>
      <c r="F470" s="16" t="s">
        <v>12670</v>
      </c>
      <c r="G470" s="179" t="s">
        <v>11045</v>
      </c>
      <c r="H470" s="254">
        <v>6598</v>
      </c>
      <c r="I470" s="180">
        <v>16.75</v>
      </c>
      <c r="J470" s="102">
        <v>239644772</v>
      </c>
      <c r="K470" s="102">
        <f>IFERROR(Table21[[#This Row],[ROUTE COST]]/Table21[[#This Row],[O - DEMAND]],0)</f>
        <v>62783.539952842548</v>
      </c>
      <c r="L470" s="26">
        <v>3817</v>
      </c>
      <c r="M470" s="26">
        <f>IFERROR(VLOOKUP(Table21[[#This Row],[ROUTE]],DEMAND!A:F,5,FALSE),0)</f>
        <v>3969</v>
      </c>
      <c r="N470" s="26">
        <f>IFERROR(VLOOKUP(Table21[[#This Row],[ROUTE]],DEMAND!A:F,6,FALSE),0)</f>
        <v>9</v>
      </c>
      <c r="O470" s="26">
        <f>ROUNDDOWN(Table21[[#This Row],[R-DEMAND]]/1320,0)</f>
        <v>0</v>
      </c>
      <c r="P470" s="26">
        <f>Table21[[#This Row],[ADD ACC]]*Table21[[#This Row],[Duration
(747-400)]]</f>
        <v>0</v>
      </c>
      <c r="Q470" s="284">
        <f>IFERROR(VLOOKUP(Table21[[#This Row],[ROUTE]],PRICING!A:B,2,FALSE),0)</f>
        <v>1905</v>
      </c>
      <c r="R470" s="282">
        <f>Table21[[#This Row],[C_DEMAND]]-Table21[[#This Row],[R-DEMAND]]</f>
        <v>3960</v>
      </c>
      <c r="S470" s="287">
        <f>Table21[[#This Row],[SEATS SOLD]]*Table21[[#This Row],[ECO SEAT]]</f>
        <v>7543800</v>
      </c>
    </row>
    <row r="471" spans="1:19" x14ac:dyDescent="0.25">
      <c r="A471" s="251" t="s">
        <v>16770</v>
      </c>
      <c r="B471" s="251" t="s">
        <v>361</v>
      </c>
      <c r="C471" s="16" t="s">
        <v>2</v>
      </c>
      <c r="D471" s="251">
        <v>4</v>
      </c>
      <c r="E471" s="251" t="s">
        <v>14</v>
      </c>
      <c r="F471" s="251" t="s">
        <v>12670</v>
      </c>
      <c r="G471" s="252" t="s">
        <v>11096</v>
      </c>
      <c r="H471" s="254">
        <v>1464</v>
      </c>
      <c r="I471" s="180">
        <v>5.25</v>
      </c>
      <c r="J471" s="102">
        <v>180953869</v>
      </c>
      <c r="K471" s="253">
        <f>IFERROR(Table21[[#This Row],[ROUTE COST]]/Table21[[#This Row],[O - DEMAND]],0)</f>
        <v>48254.365066666665</v>
      </c>
      <c r="L471" s="26">
        <v>3750</v>
      </c>
      <c r="M471" s="26">
        <f>IFERROR(VLOOKUP(Table21[[#This Row],[ROUTE]],DEMAND!A:F,5,FALSE),0)</f>
        <v>3964</v>
      </c>
      <c r="N471" s="26">
        <f>IFERROR(VLOOKUP(Table21[[#This Row],[ROUTE]],DEMAND!A:F,6,FALSE),0)</f>
        <v>4</v>
      </c>
      <c r="O471" s="26">
        <f>ROUNDDOWN(Table21[[#This Row],[R-DEMAND]]/1320,0)</f>
        <v>0</v>
      </c>
      <c r="P471" s="26">
        <f>Table21[[#This Row],[ADD ACC]]*Table21[[#This Row],[Duration
(747-400)]]</f>
        <v>0</v>
      </c>
      <c r="Q471" s="284">
        <f>IFERROR(VLOOKUP(Table21[[#This Row],[ROUTE]],PRICING!A:B,2,FALSE),0)</f>
        <v>475</v>
      </c>
      <c r="R471" s="282">
        <f>Table21[[#This Row],[C_DEMAND]]-Table21[[#This Row],[R-DEMAND]]</f>
        <v>3960</v>
      </c>
      <c r="S471" s="287">
        <f>Table21[[#This Row],[SEATS SOLD]]*Table21[[#This Row],[ECO SEAT]]</f>
        <v>1881000</v>
      </c>
    </row>
    <row r="472" spans="1:19" x14ac:dyDescent="0.25">
      <c r="A472" s="16" t="s">
        <v>16480</v>
      </c>
      <c r="B472" s="16" t="s">
        <v>316</v>
      </c>
      <c r="C472" s="16" t="s">
        <v>2</v>
      </c>
      <c r="D472" s="16">
        <v>3</v>
      </c>
      <c r="E472" s="16" t="s">
        <v>700</v>
      </c>
      <c r="F472" s="16" t="s">
        <v>12670</v>
      </c>
      <c r="G472" s="179" t="s">
        <v>11858</v>
      </c>
      <c r="H472" s="254">
        <v>6817</v>
      </c>
      <c r="I472" s="180">
        <v>17.25</v>
      </c>
      <c r="J472" s="102">
        <v>224506797</v>
      </c>
      <c r="K472" s="102">
        <f>IFERROR(Table21[[#This Row],[ROUTE COST]]/Table21[[#This Row],[O - DEMAND]],0)</f>
        <v>59709.254521276598</v>
      </c>
      <c r="L472" s="26">
        <v>3760</v>
      </c>
      <c r="M472" s="26">
        <f>IFERROR(VLOOKUP(Table21[[#This Row],[ROUTE]],DEMAND!A:F,5,FALSE),0)</f>
        <v>3961</v>
      </c>
      <c r="N472" s="26">
        <f>IFERROR(VLOOKUP(Table21[[#This Row],[ROUTE]],DEMAND!A:F,6,FALSE),0)</f>
        <v>1</v>
      </c>
      <c r="O472" s="26">
        <f>ROUNDDOWN(Table21[[#This Row],[R-DEMAND]]/1320,0)</f>
        <v>0</v>
      </c>
      <c r="P472" s="26">
        <f>Table21[[#This Row],[ADD ACC]]*Table21[[#This Row],[Duration
(747-400)]]</f>
        <v>0</v>
      </c>
      <c r="Q472" s="284">
        <f>IFERROR(VLOOKUP(Table21[[#This Row],[ROUTE]],PRICING!A:B,2,FALSE),0)</f>
        <v>1875</v>
      </c>
      <c r="R472" s="282">
        <f>Table21[[#This Row],[C_DEMAND]]-Table21[[#This Row],[R-DEMAND]]</f>
        <v>3960</v>
      </c>
      <c r="S472" s="287">
        <f>Table21[[#This Row],[SEATS SOLD]]*Table21[[#This Row],[ECO SEAT]]</f>
        <v>7425000</v>
      </c>
    </row>
    <row r="473" spans="1:19" x14ac:dyDescent="0.25">
      <c r="A473" s="16" t="s">
        <v>16549</v>
      </c>
      <c r="B473" s="16" t="s">
        <v>2872</v>
      </c>
      <c r="D473" s="16">
        <v>2</v>
      </c>
      <c r="E473" s="16" t="s">
        <v>1847</v>
      </c>
      <c r="F473" s="16" t="s">
        <v>12670</v>
      </c>
      <c r="G473" s="179" t="s">
        <v>11982</v>
      </c>
      <c r="H473" s="254">
        <v>5885</v>
      </c>
      <c r="I473" s="180">
        <v>15.25</v>
      </c>
      <c r="K473" s="102">
        <f>IFERROR(Table21[[#This Row],[ROUTE COST]]/Table21[[#This Row],[O - DEMAND]],0)</f>
        <v>0</v>
      </c>
      <c r="M473" s="26">
        <f>IFERROR(VLOOKUP(Table21[[#This Row],[ROUTE]],DEMAND!A:F,5,FALSE),0)</f>
        <v>0</v>
      </c>
      <c r="N473" s="26">
        <f>IFERROR(VLOOKUP(Table21[[#This Row],[ROUTE]],DEMAND!A:F,6,FALSE),0)</f>
        <v>0</v>
      </c>
      <c r="O473" s="26">
        <f>ROUNDDOWN(Table21[[#This Row],[R-DEMAND]]/1320,0)</f>
        <v>0</v>
      </c>
      <c r="P473" s="26">
        <f>Table21[[#This Row],[ADD ACC]]*Table21[[#This Row],[Duration
(747-400)]]</f>
        <v>0</v>
      </c>
      <c r="Q473" s="284">
        <f>IFERROR(VLOOKUP(Table21[[#This Row],[ROUTE]],PRICING!A:B,2,FALSE),0)</f>
        <v>0</v>
      </c>
      <c r="R473" s="282">
        <f>Table21[[#This Row],[C_DEMAND]]-Table21[[#This Row],[R-DEMAND]]</f>
        <v>0</v>
      </c>
      <c r="S473" s="287">
        <f>Table21[[#This Row],[SEATS SOLD]]*Table21[[#This Row],[ECO SEAT]]</f>
        <v>0</v>
      </c>
    </row>
    <row r="474" spans="1:19" x14ac:dyDescent="0.25">
      <c r="A474" s="16" t="s">
        <v>16435</v>
      </c>
      <c r="B474" s="16" t="s">
        <v>4164</v>
      </c>
      <c r="D474" s="16">
        <v>2</v>
      </c>
      <c r="E474" s="16" t="s">
        <v>876</v>
      </c>
      <c r="F474" s="16" t="s">
        <v>12674</v>
      </c>
      <c r="G474" s="179" t="s">
        <v>11772</v>
      </c>
      <c r="H474" s="254">
        <v>7255</v>
      </c>
      <c r="I474" s="180">
        <v>18.25</v>
      </c>
      <c r="K474" s="102">
        <f>IFERROR(Table21[[#This Row],[ROUTE COST]]/Table21[[#This Row],[O - DEMAND]],0)</f>
        <v>0</v>
      </c>
      <c r="M474" s="26">
        <f>IFERROR(VLOOKUP(Table21[[#This Row],[ROUTE]],DEMAND!A:F,5,FALSE),0)</f>
        <v>0</v>
      </c>
      <c r="N474" s="26">
        <f>IFERROR(VLOOKUP(Table21[[#This Row],[ROUTE]],DEMAND!A:F,6,FALSE),0)</f>
        <v>0</v>
      </c>
      <c r="O474" s="26">
        <f>ROUNDDOWN(Table21[[#This Row],[R-DEMAND]]/1320,0)</f>
        <v>0</v>
      </c>
      <c r="P474" s="26">
        <f>Table21[[#This Row],[ADD ACC]]*Table21[[#This Row],[Duration
(747-400)]]</f>
        <v>0</v>
      </c>
      <c r="Q474" s="284">
        <f>IFERROR(VLOOKUP(Table21[[#This Row],[ROUTE]],PRICING!A:B,2,FALSE),0)</f>
        <v>0</v>
      </c>
      <c r="R474" s="282">
        <f>Table21[[#This Row],[C_DEMAND]]-Table21[[#This Row],[R-DEMAND]]</f>
        <v>0</v>
      </c>
      <c r="S474" s="287">
        <f>Table21[[#This Row],[SEATS SOLD]]*Table21[[#This Row],[ECO SEAT]]</f>
        <v>0</v>
      </c>
    </row>
    <row r="475" spans="1:19" x14ac:dyDescent="0.25">
      <c r="A475" s="16" t="s">
        <v>16690</v>
      </c>
      <c r="B475" s="16" t="s">
        <v>2268</v>
      </c>
      <c r="D475" s="16">
        <v>1</v>
      </c>
      <c r="E475" s="16" t="s">
        <v>78</v>
      </c>
      <c r="F475" s="16" t="s">
        <v>12674</v>
      </c>
      <c r="G475" s="179" t="s">
        <v>11013</v>
      </c>
      <c r="H475" s="254">
        <v>2421</v>
      </c>
      <c r="I475" s="180">
        <v>7.5</v>
      </c>
      <c r="K475" s="102">
        <f>IFERROR(Table21[[#This Row],[ROUTE COST]]/Table21[[#This Row],[O - DEMAND]],0)</f>
        <v>0</v>
      </c>
      <c r="M475" s="26">
        <f>IFERROR(VLOOKUP(Table21[[#This Row],[ROUTE]],DEMAND!A:F,5,FALSE),0)</f>
        <v>0</v>
      </c>
      <c r="N475" s="26">
        <f>IFERROR(VLOOKUP(Table21[[#This Row],[ROUTE]],DEMAND!A:F,6,FALSE),0)</f>
        <v>0</v>
      </c>
      <c r="O475" s="26">
        <f>ROUNDDOWN(Table21[[#This Row],[R-DEMAND]]/1320,0)</f>
        <v>0</v>
      </c>
      <c r="P475" s="26">
        <f>Table21[[#This Row],[ADD ACC]]*Table21[[#This Row],[Duration
(747-400)]]</f>
        <v>0</v>
      </c>
      <c r="Q475" s="284">
        <f>IFERROR(VLOOKUP(Table21[[#This Row],[ROUTE]],PRICING!A:B,2,FALSE),0)</f>
        <v>0</v>
      </c>
      <c r="R475" s="282">
        <f>Table21[[#This Row],[C_DEMAND]]-Table21[[#This Row],[R-DEMAND]]</f>
        <v>0</v>
      </c>
      <c r="S475" s="287">
        <f>Table21[[#This Row],[SEATS SOLD]]*Table21[[#This Row],[ECO SEAT]]</f>
        <v>0</v>
      </c>
    </row>
    <row r="476" spans="1:19" x14ac:dyDescent="0.25">
      <c r="A476" s="16" t="s">
        <v>16425</v>
      </c>
      <c r="B476" s="16" t="s">
        <v>3497</v>
      </c>
      <c r="D476" s="16">
        <v>2</v>
      </c>
      <c r="E476" s="16" t="s">
        <v>172</v>
      </c>
      <c r="F476" s="16" t="s">
        <v>12670</v>
      </c>
      <c r="G476" s="179" t="s">
        <v>11931</v>
      </c>
      <c r="H476" s="254">
        <v>7320</v>
      </c>
      <c r="I476" s="180">
        <v>18.25</v>
      </c>
      <c r="K476" s="102">
        <f>IFERROR(Table21[[#This Row],[ROUTE COST]]/Table21[[#This Row],[O - DEMAND]],0)</f>
        <v>0</v>
      </c>
      <c r="M476" s="26">
        <f>IFERROR(VLOOKUP(Table21[[#This Row],[ROUTE]],DEMAND!A:F,5,FALSE),0)</f>
        <v>0</v>
      </c>
      <c r="N476" s="26">
        <f>IFERROR(VLOOKUP(Table21[[#This Row],[ROUTE]],DEMAND!A:F,6,FALSE),0)</f>
        <v>0</v>
      </c>
      <c r="O476" s="26">
        <f>ROUNDDOWN(Table21[[#This Row],[R-DEMAND]]/1320,0)</f>
        <v>0</v>
      </c>
      <c r="P476" s="26">
        <f>Table21[[#This Row],[ADD ACC]]*Table21[[#This Row],[Duration
(747-400)]]</f>
        <v>0</v>
      </c>
      <c r="Q476" s="284">
        <f>IFERROR(VLOOKUP(Table21[[#This Row],[ROUTE]],PRICING!A:B,2,FALSE),0)</f>
        <v>0</v>
      </c>
      <c r="R476" s="282">
        <f>Table21[[#This Row],[C_DEMAND]]-Table21[[#This Row],[R-DEMAND]]</f>
        <v>0</v>
      </c>
      <c r="S476" s="287">
        <f>Table21[[#This Row],[SEATS SOLD]]*Table21[[#This Row],[ECO SEAT]]</f>
        <v>0</v>
      </c>
    </row>
    <row r="477" spans="1:19" x14ac:dyDescent="0.25">
      <c r="A477" s="16" t="s">
        <v>16000</v>
      </c>
      <c r="B477" s="16" t="s">
        <v>132</v>
      </c>
      <c r="D477" s="16">
        <v>4</v>
      </c>
      <c r="E477" s="16" t="s">
        <v>11732</v>
      </c>
      <c r="F477" s="16" t="s">
        <v>15969</v>
      </c>
      <c r="G477" s="179" t="s">
        <v>13372</v>
      </c>
      <c r="H477" s="254">
        <v>12396</v>
      </c>
      <c r="I477" s="180">
        <v>29.5</v>
      </c>
      <c r="K477" s="102">
        <f>IFERROR(Table21[[#This Row],[ROUTE COST]]/Table21[[#This Row],[O - DEMAND]],0)</f>
        <v>0</v>
      </c>
      <c r="M477" s="26">
        <f>IFERROR(VLOOKUP(Table21[[#This Row],[ROUTE]],DEMAND!A:F,5,FALSE),0)</f>
        <v>0</v>
      </c>
      <c r="N477" s="26">
        <f>IFERROR(VLOOKUP(Table21[[#This Row],[ROUTE]],DEMAND!A:F,6,FALSE),0)</f>
        <v>0</v>
      </c>
      <c r="O477" s="26">
        <f>ROUNDDOWN(Table21[[#This Row],[R-DEMAND]]/1320,0)</f>
        <v>0</v>
      </c>
      <c r="P477" s="26">
        <f>Table21[[#This Row],[ADD ACC]]*Table21[[#This Row],[Duration
(747-400)]]</f>
        <v>0</v>
      </c>
      <c r="Q477" s="284">
        <f>IFERROR(VLOOKUP(Table21[[#This Row],[ROUTE]],PRICING!A:B,2,FALSE),0)</f>
        <v>0</v>
      </c>
      <c r="R477" s="282">
        <f>Table21[[#This Row],[C_DEMAND]]-Table21[[#This Row],[R-DEMAND]]</f>
        <v>0</v>
      </c>
      <c r="S477" s="287">
        <f>Table21[[#This Row],[SEATS SOLD]]*Table21[[#This Row],[ECO SEAT]]</f>
        <v>0</v>
      </c>
    </row>
    <row r="478" spans="1:19" x14ac:dyDescent="0.25">
      <c r="A478" s="16" t="s">
        <v>16008</v>
      </c>
      <c r="B478" s="16" t="s">
        <v>3433</v>
      </c>
      <c r="D478" s="16">
        <v>2</v>
      </c>
      <c r="E478" s="16" t="s">
        <v>11732</v>
      </c>
      <c r="F478" s="16" t="s">
        <v>15969</v>
      </c>
      <c r="G478" s="179" t="s">
        <v>13370</v>
      </c>
      <c r="H478" s="254">
        <v>12230</v>
      </c>
      <c r="I478" s="180">
        <v>29.25</v>
      </c>
      <c r="K478" s="102">
        <f>IFERROR(Table21[[#This Row],[ROUTE COST]]/Table21[[#This Row],[O - DEMAND]],0)</f>
        <v>0</v>
      </c>
      <c r="M478" s="26">
        <f>IFERROR(VLOOKUP(Table21[[#This Row],[ROUTE]],DEMAND!A:F,5,FALSE),0)</f>
        <v>0</v>
      </c>
      <c r="N478" s="26">
        <f>IFERROR(VLOOKUP(Table21[[#This Row],[ROUTE]],DEMAND!A:F,6,FALSE),0)</f>
        <v>0</v>
      </c>
      <c r="O478" s="26">
        <f>ROUNDDOWN(Table21[[#This Row],[R-DEMAND]]/1320,0)</f>
        <v>0</v>
      </c>
      <c r="P478" s="26">
        <f>Table21[[#This Row],[ADD ACC]]*Table21[[#This Row],[Duration
(747-400)]]</f>
        <v>0</v>
      </c>
      <c r="Q478" s="284">
        <f>IFERROR(VLOOKUP(Table21[[#This Row],[ROUTE]],PRICING!A:B,2,FALSE),0)</f>
        <v>0</v>
      </c>
      <c r="R478" s="282">
        <f>Table21[[#This Row],[C_DEMAND]]-Table21[[#This Row],[R-DEMAND]]</f>
        <v>0</v>
      </c>
      <c r="S478" s="287">
        <f>Table21[[#This Row],[SEATS SOLD]]*Table21[[#This Row],[ECO SEAT]]</f>
        <v>0</v>
      </c>
    </row>
    <row r="479" spans="1:19" x14ac:dyDescent="0.25">
      <c r="A479" s="16" t="s">
        <v>16299</v>
      </c>
      <c r="B479" s="16" t="s">
        <v>4776</v>
      </c>
      <c r="D479" s="16">
        <v>3</v>
      </c>
      <c r="E479" s="16" t="s">
        <v>308</v>
      </c>
      <c r="F479" s="16" t="s">
        <v>12674</v>
      </c>
      <c r="G479" s="179" t="s">
        <v>11750</v>
      </c>
      <c r="H479" s="254">
        <v>8485</v>
      </c>
      <c r="I479" s="180">
        <v>21</v>
      </c>
      <c r="K479" s="102">
        <f>IFERROR(Table21[[#This Row],[ROUTE COST]]/Table21[[#This Row],[O - DEMAND]],0)</f>
        <v>0</v>
      </c>
      <c r="M479" s="26">
        <f>IFERROR(VLOOKUP(Table21[[#This Row],[ROUTE]],DEMAND!A:F,5,FALSE),0)</f>
        <v>0</v>
      </c>
      <c r="N479" s="26">
        <f>IFERROR(VLOOKUP(Table21[[#This Row],[ROUTE]],DEMAND!A:F,6,FALSE),0)</f>
        <v>0</v>
      </c>
      <c r="O479" s="26">
        <f>ROUNDDOWN(Table21[[#This Row],[R-DEMAND]]/1320,0)</f>
        <v>0</v>
      </c>
      <c r="P479" s="26">
        <f>Table21[[#This Row],[ADD ACC]]*Table21[[#This Row],[Duration
(747-400)]]</f>
        <v>0</v>
      </c>
      <c r="Q479" s="284">
        <f>IFERROR(VLOOKUP(Table21[[#This Row],[ROUTE]],PRICING!A:B,2,FALSE),0)</f>
        <v>0</v>
      </c>
      <c r="R479" s="282">
        <f>Table21[[#This Row],[C_DEMAND]]-Table21[[#This Row],[R-DEMAND]]</f>
        <v>0</v>
      </c>
      <c r="S479" s="287">
        <f>Table21[[#This Row],[SEATS SOLD]]*Table21[[#This Row],[ECO SEAT]]</f>
        <v>0</v>
      </c>
    </row>
    <row r="480" spans="1:19" x14ac:dyDescent="0.25">
      <c r="A480" s="16" t="s">
        <v>16477</v>
      </c>
      <c r="B480" s="16" t="s">
        <v>4494</v>
      </c>
      <c r="D480" s="16">
        <v>2</v>
      </c>
      <c r="E480" s="16" t="s">
        <v>172</v>
      </c>
      <c r="F480" s="16" t="s">
        <v>12670</v>
      </c>
      <c r="G480" s="179" t="s">
        <v>10925</v>
      </c>
      <c r="H480" s="254">
        <v>6855</v>
      </c>
      <c r="I480" s="180">
        <v>17.25</v>
      </c>
      <c r="K480" s="102">
        <f>IFERROR(Table21[[#This Row],[ROUTE COST]]/Table21[[#This Row],[O - DEMAND]],0)</f>
        <v>0</v>
      </c>
      <c r="M480" s="26">
        <f>IFERROR(VLOOKUP(Table21[[#This Row],[ROUTE]],DEMAND!A:F,5,FALSE),0)</f>
        <v>0</v>
      </c>
      <c r="N480" s="26">
        <f>IFERROR(VLOOKUP(Table21[[#This Row],[ROUTE]],DEMAND!A:F,6,FALSE),0)</f>
        <v>0</v>
      </c>
      <c r="O480" s="26">
        <f>ROUNDDOWN(Table21[[#This Row],[R-DEMAND]]/1320,0)</f>
        <v>0</v>
      </c>
      <c r="P480" s="26">
        <f>Table21[[#This Row],[ADD ACC]]*Table21[[#This Row],[Duration
(747-400)]]</f>
        <v>0</v>
      </c>
      <c r="Q480" s="284">
        <f>IFERROR(VLOOKUP(Table21[[#This Row],[ROUTE]],PRICING!A:B,2,FALSE),0)</f>
        <v>0</v>
      </c>
      <c r="R480" s="282">
        <f>Table21[[#This Row],[C_DEMAND]]-Table21[[#This Row],[R-DEMAND]]</f>
        <v>0</v>
      </c>
      <c r="S480" s="287">
        <f>Table21[[#This Row],[SEATS SOLD]]*Table21[[#This Row],[ECO SEAT]]</f>
        <v>0</v>
      </c>
    </row>
    <row r="481" spans="1:19" x14ac:dyDescent="0.25">
      <c r="A481" s="16" t="s">
        <v>16009</v>
      </c>
      <c r="B481" s="16" t="s">
        <v>4389</v>
      </c>
      <c r="D481" s="16">
        <v>2</v>
      </c>
      <c r="E481" s="16" t="s">
        <v>11732</v>
      </c>
      <c r="F481" s="16" t="s">
        <v>15969</v>
      </c>
      <c r="G481" s="179" t="s">
        <v>13365</v>
      </c>
      <c r="H481" s="254">
        <v>12200</v>
      </c>
      <c r="I481" s="180">
        <v>29.25</v>
      </c>
      <c r="K481" s="102">
        <f>IFERROR(Table21[[#This Row],[ROUTE COST]]/Table21[[#This Row],[O - DEMAND]],0)</f>
        <v>0</v>
      </c>
      <c r="M481" s="26">
        <f>IFERROR(VLOOKUP(Table21[[#This Row],[ROUTE]],DEMAND!A:F,5,FALSE),0)</f>
        <v>0</v>
      </c>
      <c r="N481" s="26">
        <f>IFERROR(VLOOKUP(Table21[[#This Row],[ROUTE]],DEMAND!A:F,6,FALSE),0)</f>
        <v>0</v>
      </c>
      <c r="O481" s="26">
        <f>ROUNDDOWN(Table21[[#This Row],[R-DEMAND]]/1320,0)</f>
        <v>0</v>
      </c>
      <c r="P481" s="26">
        <f>Table21[[#This Row],[ADD ACC]]*Table21[[#This Row],[Duration
(747-400)]]</f>
        <v>0</v>
      </c>
      <c r="Q481" s="284">
        <f>IFERROR(VLOOKUP(Table21[[#This Row],[ROUTE]],PRICING!A:B,2,FALSE),0)</f>
        <v>0</v>
      </c>
      <c r="R481" s="282">
        <f>Table21[[#This Row],[C_DEMAND]]-Table21[[#This Row],[R-DEMAND]]</f>
        <v>0</v>
      </c>
      <c r="S481" s="287">
        <f>Table21[[#This Row],[SEATS SOLD]]*Table21[[#This Row],[ECO SEAT]]</f>
        <v>0</v>
      </c>
    </row>
    <row r="482" spans="1:19" x14ac:dyDescent="0.25">
      <c r="A482" s="16" t="s">
        <v>16001</v>
      </c>
      <c r="B482" s="16" t="s">
        <v>5491</v>
      </c>
      <c r="D482" s="16">
        <v>4</v>
      </c>
      <c r="E482" s="16" t="s">
        <v>11732</v>
      </c>
      <c r="F482" s="16" t="s">
        <v>15969</v>
      </c>
      <c r="G482" s="179" t="s">
        <v>13371</v>
      </c>
      <c r="H482" s="254">
        <v>12371</v>
      </c>
      <c r="I482" s="180">
        <v>29.5</v>
      </c>
      <c r="K482" s="102">
        <f>IFERROR(Table21[[#This Row],[ROUTE COST]]/Table21[[#This Row],[O - DEMAND]],0)</f>
        <v>0</v>
      </c>
      <c r="M482" s="26">
        <f>IFERROR(VLOOKUP(Table21[[#This Row],[ROUTE]],DEMAND!A:F,5,FALSE),0)</f>
        <v>0</v>
      </c>
      <c r="N482" s="26">
        <f>IFERROR(VLOOKUP(Table21[[#This Row],[ROUTE]],DEMAND!A:F,6,FALSE),0)</f>
        <v>0</v>
      </c>
      <c r="O482" s="26">
        <f>ROUNDDOWN(Table21[[#This Row],[R-DEMAND]]/1320,0)</f>
        <v>0</v>
      </c>
      <c r="P482" s="26">
        <f>Table21[[#This Row],[ADD ACC]]*Table21[[#This Row],[Duration
(747-400)]]</f>
        <v>0</v>
      </c>
      <c r="Q482" s="284">
        <f>IFERROR(VLOOKUP(Table21[[#This Row],[ROUTE]],PRICING!A:B,2,FALSE),0)</f>
        <v>0</v>
      </c>
      <c r="R482" s="282">
        <f>Table21[[#This Row],[C_DEMAND]]-Table21[[#This Row],[R-DEMAND]]</f>
        <v>0</v>
      </c>
      <c r="S482" s="287">
        <f>Table21[[#This Row],[SEATS SOLD]]*Table21[[#This Row],[ECO SEAT]]</f>
        <v>0</v>
      </c>
    </row>
    <row r="483" spans="1:19" x14ac:dyDescent="0.25">
      <c r="A483" s="16" t="s">
        <v>16353</v>
      </c>
      <c r="B483" s="16" t="s">
        <v>4092</v>
      </c>
      <c r="D483" s="16">
        <v>2</v>
      </c>
      <c r="E483" s="16" t="s">
        <v>308</v>
      </c>
      <c r="F483" s="16" t="s">
        <v>12674</v>
      </c>
      <c r="G483" s="179" t="s">
        <v>11789</v>
      </c>
      <c r="H483" s="254">
        <v>7951</v>
      </c>
      <c r="I483" s="180">
        <v>19.75</v>
      </c>
      <c r="K483" s="102">
        <f>IFERROR(Table21[[#This Row],[ROUTE COST]]/Table21[[#This Row],[O - DEMAND]],0)</f>
        <v>0</v>
      </c>
      <c r="M483" s="26">
        <f>IFERROR(VLOOKUP(Table21[[#This Row],[ROUTE]],DEMAND!A:F,5,FALSE),0)</f>
        <v>0</v>
      </c>
      <c r="N483" s="26">
        <f>IFERROR(VLOOKUP(Table21[[#This Row],[ROUTE]],DEMAND!A:F,6,FALSE),0)</f>
        <v>0</v>
      </c>
      <c r="O483" s="26">
        <f>ROUNDDOWN(Table21[[#This Row],[R-DEMAND]]/1320,0)</f>
        <v>0</v>
      </c>
      <c r="P483" s="26">
        <f>Table21[[#This Row],[ADD ACC]]*Table21[[#This Row],[Duration
(747-400)]]</f>
        <v>0</v>
      </c>
      <c r="Q483" s="284">
        <f>IFERROR(VLOOKUP(Table21[[#This Row],[ROUTE]],PRICING!A:B,2,FALSE),0)</f>
        <v>0</v>
      </c>
      <c r="R483" s="282">
        <f>Table21[[#This Row],[C_DEMAND]]-Table21[[#This Row],[R-DEMAND]]</f>
        <v>0</v>
      </c>
      <c r="S483" s="287">
        <f>Table21[[#This Row],[SEATS SOLD]]*Table21[[#This Row],[ECO SEAT]]</f>
        <v>0</v>
      </c>
    </row>
    <row r="484" spans="1:19" x14ac:dyDescent="0.25">
      <c r="A484" s="251" t="s">
        <v>16751</v>
      </c>
      <c r="B484" s="251" t="s">
        <v>1678</v>
      </c>
      <c r="D484" s="251">
        <v>1</v>
      </c>
      <c r="E484" s="251" t="s">
        <v>14</v>
      </c>
      <c r="F484" s="251" t="s">
        <v>12670</v>
      </c>
      <c r="G484" s="252" t="s">
        <v>12056</v>
      </c>
      <c r="H484" s="254">
        <v>1057</v>
      </c>
      <c r="I484" s="180">
        <v>4.5</v>
      </c>
      <c r="K484" s="253">
        <f>IFERROR(Table21[[#This Row],[ROUTE COST]]/Table21[[#This Row],[O - DEMAND]],0)</f>
        <v>0</v>
      </c>
      <c r="M484" s="26">
        <f>IFERROR(VLOOKUP(Table21[[#This Row],[ROUTE]],DEMAND!A:F,5,FALSE),0)</f>
        <v>0</v>
      </c>
      <c r="N484" s="26">
        <f>IFERROR(VLOOKUP(Table21[[#This Row],[ROUTE]],DEMAND!A:F,6,FALSE),0)</f>
        <v>0</v>
      </c>
      <c r="O484" s="26">
        <f>ROUNDDOWN(Table21[[#This Row],[R-DEMAND]]/1320,0)</f>
        <v>0</v>
      </c>
      <c r="P484" s="26">
        <f>Table21[[#This Row],[ADD ACC]]*Table21[[#This Row],[Duration
(747-400)]]</f>
        <v>0</v>
      </c>
      <c r="Q484" s="284">
        <f>IFERROR(VLOOKUP(Table21[[#This Row],[ROUTE]],PRICING!A:B,2,FALSE),0)</f>
        <v>0</v>
      </c>
      <c r="R484" s="282">
        <f>Table21[[#This Row],[C_DEMAND]]-Table21[[#This Row],[R-DEMAND]]</f>
        <v>0</v>
      </c>
      <c r="S484" s="287">
        <f>Table21[[#This Row],[SEATS SOLD]]*Table21[[#This Row],[ECO SEAT]]</f>
        <v>0</v>
      </c>
    </row>
    <row r="485" spans="1:19" x14ac:dyDescent="0.25">
      <c r="A485" s="16" t="s">
        <v>16508</v>
      </c>
      <c r="B485" s="16" t="s">
        <v>4543</v>
      </c>
      <c r="D485" s="16">
        <v>2</v>
      </c>
      <c r="E485" s="16" t="s">
        <v>172</v>
      </c>
      <c r="F485" s="16" t="s">
        <v>12670</v>
      </c>
      <c r="G485" s="179" t="s">
        <v>11936</v>
      </c>
      <c r="H485" s="254">
        <v>6444</v>
      </c>
      <c r="I485" s="180">
        <v>16.5</v>
      </c>
      <c r="K485" s="102">
        <f>IFERROR(Table21[[#This Row],[ROUTE COST]]/Table21[[#This Row],[O - DEMAND]],0)</f>
        <v>0</v>
      </c>
      <c r="M485" s="26">
        <f>IFERROR(VLOOKUP(Table21[[#This Row],[ROUTE]],DEMAND!A:F,5,FALSE),0)</f>
        <v>0</v>
      </c>
      <c r="N485" s="26">
        <f>IFERROR(VLOOKUP(Table21[[#This Row],[ROUTE]],DEMAND!A:F,6,FALSE),0)</f>
        <v>0</v>
      </c>
      <c r="O485" s="26">
        <f>ROUNDDOWN(Table21[[#This Row],[R-DEMAND]]/1320,0)</f>
        <v>0</v>
      </c>
      <c r="P485" s="26">
        <f>Table21[[#This Row],[ADD ACC]]*Table21[[#This Row],[Duration
(747-400)]]</f>
        <v>0</v>
      </c>
      <c r="Q485" s="284">
        <f>IFERROR(VLOOKUP(Table21[[#This Row],[ROUTE]],PRICING!A:B,2,FALSE),0)</f>
        <v>0</v>
      </c>
      <c r="R485" s="282">
        <f>Table21[[#This Row],[C_DEMAND]]-Table21[[#This Row],[R-DEMAND]]</f>
        <v>0</v>
      </c>
      <c r="S485" s="287">
        <f>Table21[[#This Row],[SEATS SOLD]]*Table21[[#This Row],[ECO SEAT]]</f>
        <v>0</v>
      </c>
    </row>
    <row r="486" spans="1:19" x14ac:dyDescent="0.25">
      <c r="A486" s="16" t="s">
        <v>16587</v>
      </c>
      <c r="B486" s="16" t="s">
        <v>4499</v>
      </c>
      <c r="D486" s="16">
        <v>2</v>
      </c>
      <c r="E486" s="16" t="s">
        <v>4497</v>
      </c>
      <c r="F486" s="16" t="s">
        <v>12670</v>
      </c>
      <c r="G486" s="179" t="s">
        <v>11958</v>
      </c>
      <c r="H486" s="254">
        <v>4944</v>
      </c>
      <c r="I486" s="180">
        <v>13</v>
      </c>
      <c r="K486" s="102">
        <f>IFERROR(Table21[[#This Row],[ROUTE COST]]/Table21[[#This Row],[O - DEMAND]],0)</f>
        <v>0</v>
      </c>
      <c r="M486" s="26">
        <f>IFERROR(VLOOKUP(Table21[[#This Row],[ROUTE]],DEMAND!A:F,5,FALSE),0)</f>
        <v>0</v>
      </c>
      <c r="N486" s="26">
        <f>IFERROR(VLOOKUP(Table21[[#This Row],[ROUTE]],DEMAND!A:F,6,FALSE),0)</f>
        <v>0</v>
      </c>
      <c r="O486" s="26">
        <f>ROUNDDOWN(Table21[[#This Row],[R-DEMAND]]/1320,0)</f>
        <v>0</v>
      </c>
      <c r="P486" s="26">
        <f>Table21[[#This Row],[ADD ACC]]*Table21[[#This Row],[Duration
(747-400)]]</f>
        <v>0</v>
      </c>
      <c r="Q486" s="284">
        <f>IFERROR(VLOOKUP(Table21[[#This Row],[ROUTE]],PRICING!A:B,2,FALSE),0)</f>
        <v>0</v>
      </c>
      <c r="R486" s="282">
        <f>Table21[[#This Row],[C_DEMAND]]-Table21[[#This Row],[R-DEMAND]]</f>
        <v>0</v>
      </c>
      <c r="S486" s="287">
        <f>Table21[[#This Row],[SEATS SOLD]]*Table21[[#This Row],[ECO SEAT]]</f>
        <v>0</v>
      </c>
    </row>
    <row r="487" spans="1:19" x14ac:dyDescent="0.25">
      <c r="A487" s="16" t="s">
        <v>16489</v>
      </c>
      <c r="B487" s="16" t="s">
        <v>4404</v>
      </c>
      <c r="D487" s="16">
        <v>2</v>
      </c>
      <c r="E487" s="16" t="s">
        <v>700</v>
      </c>
      <c r="F487" s="16" t="s">
        <v>12670</v>
      </c>
      <c r="G487" s="179" t="s">
        <v>11867</v>
      </c>
      <c r="H487" s="254">
        <v>6706</v>
      </c>
      <c r="I487" s="180">
        <v>17</v>
      </c>
      <c r="K487" s="102">
        <f>IFERROR(Table21[[#This Row],[ROUTE COST]]/Table21[[#This Row],[O - DEMAND]],0)</f>
        <v>0</v>
      </c>
      <c r="M487" s="26">
        <f>IFERROR(VLOOKUP(Table21[[#This Row],[ROUTE]],DEMAND!A:F,5,FALSE),0)</f>
        <v>0</v>
      </c>
      <c r="N487" s="26">
        <f>IFERROR(VLOOKUP(Table21[[#This Row],[ROUTE]],DEMAND!A:F,6,FALSE),0)</f>
        <v>0</v>
      </c>
      <c r="O487" s="26">
        <f>ROUNDDOWN(Table21[[#This Row],[R-DEMAND]]/1320,0)</f>
        <v>0</v>
      </c>
      <c r="P487" s="26">
        <f>Table21[[#This Row],[ADD ACC]]*Table21[[#This Row],[Duration
(747-400)]]</f>
        <v>0</v>
      </c>
      <c r="Q487" s="284">
        <f>IFERROR(VLOOKUP(Table21[[#This Row],[ROUTE]],PRICING!A:B,2,FALSE),0)</f>
        <v>0</v>
      </c>
      <c r="R487" s="282">
        <f>Table21[[#This Row],[C_DEMAND]]-Table21[[#This Row],[R-DEMAND]]</f>
        <v>0</v>
      </c>
      <c r="S487" s="287">
        <f>Table21[[#This Row],[SEATS SOLD]]*Table21[[#This Row],[ECO SEAT]]</f>
        <v>0</v>
      </c>
    </row>
    <row r="488" spans="1:19" x14ac:dyDescent="0.25">
      <c r="A488" s="16" t="s">
        <v>16021</v>
      </c>
      <c r="B488" s="16" t="s">
        <v>3897</v>
      </c>
      <c r="D488" s="16">
        <v>2</v>
      </c>
      <c r="E488" s="16" t="s">
        <v>11732</v>
      </c>
      <c r="F488" s="16" t="s">
        <v>15969</v>
      </c>
      <c r="G488" s="179" t="s">
        <v>13364</v>
      </c>
      <c r="H488" s="254">
        <v>12104</v>
      </c>
      <c r="I488" s="180">
        <v>29</v>
      </c>
      <c r="K488" s="102">
        <f>IFERROR(Table21[[#This Row],[ROUTE COST]]/Table21[[#This Row],[O - DEMAND]],0)</f>
        <v>0</v>
      </c>
      <c r="M488" s="26">
        <f>IFERROR(VLOOKUP(Table21[[#This Row],[ROUTE]],DEMAND!A:F,5,FALSE),0)</f>
        <v>0</v>
      </c>
      <c r="N488" s="26">
        <f>IFERROR(VLOOKUP(Table21[[#This Row],[ROUTE]],DEMAND!A:F,6,FALSE),0)</f>
        <v>0</v>
      </c>
      <c r="O488" s="26">
        <f>ROUNDDOWN(Table21[[#This Row],[R-DEMAND]]/1320,0)</f>
        <v>0</v>
      </c>
      <c r="P488" s="26">
        <f>Table21[[#This Row],[ADD ACC]]*Table21[[#This Row],[Duration
(747-400)]]</f>
        <v>0</v>
      </c>
      <c r="Q488" s="284">
        <f>IFERROR(VLOOKUP(Table21[[#This Row],[ROUTE]],PRICING!A:B,2,FALSE),0)</f>
        <v>0</v>
      </c>
      <c r="R488" s="282">
        <f>Table21[[#This Row],[C_DEMAND]]-Table21[[#This Row],[R-DEMAND]]</f>
        <v>0</v>
      </c>
      <c r="S488" s="287">
        <f>Table21[[#This Row],[SEATS SOLD]]*Table21[[#This Row],[ECO SEAT]]</f>
        <v>0</v>
      </c>
    </row>
    <row r="489" spans="1:19" x14ac:dyDescent="0.25">
      <c r="A489" s="16" t="s">
        <v>16252</v>
      </c>
      <c r="B489" s="16" t="s">
        <v>2692</v>
      </c>
      <c r="D489" s="16">
        <v>2</v>
      </c>
      <c r="E489" s="16" t="s">
        <v>774</v>
      </c>
      <c r="F489" s="16" t="s">
        <v>12682</v>
      </c>
      <c r="G489" s="179" t="s">
        <v>12022</v>
      </c>
      <c r="H489" s="254">
        <v>9141</v>
      </c>
      <c r="I489" s="180">
        <v>22.25</v>
      </c>
      <c r="K489" s="102">
        <f>IFERROR(Table21[[#This Row],[ROUTE COST]]/Table21[[#This Row],[O - DEMAND]],0)</f>
        <v>0</v>
      </c>
      <c r="M489" s="26">
        <f>IFERROR(VLOOKUP(Table21[[#This Row],[ROUTE]],DEMAND!A:F,5,FALSE),0)</f>
        <v>0</v>
      </c>
      <c r="N489" s="26">
        <f>IFERROR(VLOOKUP(Table21[[#This Row],[ROUTE]],DEMAND!A:F,6,FALSE),0)</f>
        <v>0</v>
      </c>
      <c r="O489" s="26">
        <f>ROUNDDOWN(Table21[[#This Row],[R-DEMAND]]/1320,0)</f>
        <v>0</v>
      </c>
      <c r="P489" s="26">
        <f>Table21[[#This Row],[ADD ACC]]*Table21[[#This Row],[Duration
(747-400)]]</f>
        <v>0</v>
      </c>
      <c r="Q489" s="284">
        <f>IFERROR(VLOOKUP(Table21[[#This Row],[ROUTE]],PRICING!A:B,2,FALSE),0)</f>
        <v>0</v>
      </c>
      <c r="R489" s="282">
        <f>Table21[[#This Row],[C_DEMAND]]-Table21[[#This Row],[R-DEMAND]]</f>
        <v>0</v>
      </c>
      <c r="S489" s="287">
        <f>Table21[[#This Row],[SEATS SOLD]]*Table21[[#This Row],[ECO SEAT]]</f>
        <v>0</v>
      </c>
    </row>
    <row r="490" spans="1:19" x14ac:dyDescent="0.25">
      <c r="A490" s="16" t="s">
        <v>16007</v>
      </c>
      <c r="B490" s="16" t="s">
        <v>4758</v>
      </c>
      <c r="D490" s="16">
        <v>3</v>
      </c>
      <c r="E490" s="16" t="s">
        <v>11732</v>
      </c>
      <c r="F490" s="16" t="s">
        <v>15969</v>
      </c>
      <c r="G490" s="179" t="s">
        <v>13369</v>
      </c>
      <c r="H490" s="254">
        <v>12258</v>
      </c>
      <c r="I490" s="180">
        <v>29.25</v>
      </c>
      <c r="K490" s="102">
        <f>IFERROR(Table21[[#This Row],[ROUTE COST]]/Table21[[#This Row],[O - DEMAND]],0)</f>
        <v>0</v>
      </c>
      <c r="M490" s="26">
        <f>IFERROR(VLOOKUP(Table21[[#This Row],[ROUTE]],DEMAND!A:F,5,FALSE),0)</f>
        <v>0</v>
      </c>
      <c r="N490" s="26">
        <f>IFERROR(VLOOKUP(Table21[[#This Row],[ROUTE]],DEMAND!A:F,6,FALSE),0)</f>
        <v>0</v>
      </c>
      <c r="O490" s="26">
        <f>ROUNDDOWN(Table21[[#This Row],[R-DEMAND]]/1320,0)</f>
        <v>0</v>
      </c>
      <c r="P490" s="26">
        <f>Table21[[#This Row],[ADD ACC]]*Table21[[#This Row],[Duration
(747-400)]]</f>
        <v>0</v>
      </c>
      <c r="Q490" s="284">
        <f>IFERROR(VLOOKUP(Table21[[#This Row],[ROUTE]],PRICING!A:B,2,FALSE),0)</f>
        <v>0</v>
      </c>
      <c r="R490" s="282">
        <f>Table21[[#This Row],[C_DEMAND]]-Table21[[#This Row],[R-DEMAND]]</f>
        <v>0</v>
      </c>
      <c r="S490" s="287">
        <f>Table21[[#This Row],[SEATS SOLD]]*Table21[[#This Row],[ECO SEAT]]</f>
        <v>0</v>
      </c>
    </row>
    <row r="491" spans="1:19" x14ac:dyDescent="0.25">
      <c r="A491" s="16" t="s">
        <v>16518</v>
      </c>
      <c r="B491" s="16" t="s">
        <v>3129</v>
      </c>
      <c r="D491" s="16">
        <v>2</v>
      </c>
      <c r="E491" s="16" t="s">
        <v>700</v>
      </c>
      <c r="F491" s="16" t="s">
        <v>12670</v>
      </c>
      <c r="G491" s="179" t="s">
        <v>10746</v>
      </c>
      <c r="H491" s="254">
        <v>6320</v>
      </c>
      <c r="I491" s="180">
        <v>16</v>
      </c>
      <c r="K491" s="102">
        <f>IFERROR(Table21[[#This Row],[ROUTE COST]]/Table21[[#This Row],[O - DEMAND]],0)</f>
        <v>0</v>
      </c>
      <c r="M491" s="26">
        <f>IFERROR(VLOOKUP(Table21[[#This Row],[ROUTE]],DEMAND!A:F,5,FALSE),0)</f>
        <v>0</v>
      </c>
      <c r="N491" s="26">
        <f>IFERROR(VLOOKUP(Table21[[#This Row],[ROUTE]],DEMAND!A:F,6,FALSE),0)</f>
        <v>0</v>
      </c>
      <c r="O491" s="26">
        <f>ROUNDDOWN(Table21[[#This Row],[R-DEMAND]]/1320,0)</f>
        <v>0</v>
      </c>
      <c r="P491" s="26">
        <f>Table21[[#This Row],[ADD ACC]]*Table21[[#This Row],[Duration
(747-400)]]</f>
        <v>0</v>
      </c>
      <c r="Q491" s="284">
        <f>IFERROR(VLOOKUP(Table21[[#This Row],[ROUTE]],PRICING!A:B,2,FALSE),0)</f>
        <v>0</v>
      </c>
      <c r="R491" s="282">
        <f>Table21[[#This Row],[C_DEMAND]]-Table21[[#This Row],[R-DEMAND]]</f>
        <v>0</v>
      </c>
      <c r="S491" s="287">
        <f>Table21[[#This Row],[SEATS SOLD]]*Table21[[#This Row],[ECO SEAT]]</f>
        <v>0</v>
      </c>
    </row>
    <row r="492" spans="1:19" x14ac:dyDescent="0.25">
      <c r="A492" s="16" t="s">
        <v>16016</v>
      </c>
      <c r="B492" s="16" t="s">
        <v>4880</v>
      </c>
      <c r="D492" s="16">
        <v>3</v>
      </c>
      <c r="E492" s="16" t="s">
        <v>11732</v>
      </c>
      <c r="F492" s="16" t="s">
        <v>15969</v>
      </c>
      <c r="G492" s="179" t="s">
        <v>13367</v>
      </c>
      <c r="H492" s="254">
        <v>12143</v>
      </c>
      <c r="I492" s="180">
        <v>29</v>
      </c>
      <c r="K492" s="102">
        <f>IFERROR(Table21[[#This Row],[ROUTE COST]]/Table21[[#This Row],[O - DEMAND]],0)</f>
        <v>0</v>
      </c>
      <c r="M492" s="26">
        <f>IFERROR(VLOOKUP(Table21[[#This Row],[ROUTE]],DEMAND!A:F,5,FALSE),0)</f>
        <v>0</v>
      </c>
      <c r="N492" s="26">
        <f>IFERROR(VLOOKUP(Table21[[#This Row],[ROUTE]],DEMAND!A:F,6,FALSE),0)</f>
        <v>0</v>
      </c>
      <c r="O492" s="26">
        <f>ROUNDDOWN(Table21[[#This Row],[R-DEMAND]]/1320,0)</f>
        <v>0</v>
      </c>
      <c r="P492" s="26">
        <f>Table21[[#This Row],[ADD ACC]]*Table21[[#This Row],[Duration
(747-400)]]</f>
        <v>0</v>
      </c>
      <c r="Q492" s="284">
        <f>IFERROR(VLOOKUP(Table21[[#This Row],[ROUTE]],PRICING!A:B,2,FALSE),0)</f>
        <v>0</v>
      </c>
      <c r="R492" s="282">
        <f>Table21[[#This Row],[C_DEMAND]]-Table21[[#This Row],[R-DEMAND]]</f>
        <v>0</v>
      </c>
      <c r="S492" s="287">
        <f>Table21[[#This Row],[SEATS SOLD]]*Table21[[#This Row],[ECO SEAT]]</f>
        <v>0</v>
      </c>
    </row>
    <row r="493" spans="1:19" x14ac:dyDescent="0.25">
      <c r="A493" s="16" t="s">
        <v>16405</v>
      </c>
      <c r="B493" s="16" t="s">
        <v>5110</v>
      </c>
      <c r="D493" s="16">
        <v>3</v>
      </c>
      <c r="E493" s="16" t="s">
        <v>1683</v>
      </c>
      <c r="F493" s="16" t="s">
        <v>12674</v>
      </c>
      <c r="G493" s="179" t="s">
        <v>11813</v>
      </c>
      <c r="H493" s="254">
        <v>7426</v>
      </c>
      <c r="I493" s="180">
        <v>18.5</v>
      </c>
      <c r="K493" s="102">
        <f>IFERROR(Table21[[#This Row],[ROUTE COST]]/Table21[[#This Row],[O - DEMAND]],0)</f>
        <v>0</v>
      </c>
      <c r="M493" s="26">
        <f>IFERROR(VLOOKUP(Table21[[#This Row],[ROUTE]],DEMAND!A:F,5,FALSE),0)</f>
        <v>0</v>
      </c>
      <c r="N493" s="26">
        <f>IFERROR(VLOOKUP(Table21[[#This Row],[ROUTE]],DEMAND!A:F,6,FALSE),0)</f>
        <v>0</v>
      </c>
      <c r="O493" s="26">
        <f>ROUNDDOWN(Table21[[#This Row],[R-DEMAND]]/1320,0)</f>
        <v>0</v>
      </c>
      <c r="P493" s="26">
        <f>Table21[[#This Row],[ADD ACC]]*Table21[[#This Row],[Duration
(747-400)]]</f>
        <v>0</v>
      </c>
      <c r="Q493" s="284">
        <f>IFERROR(VLOOKUP(Table21[[#This Row],[ROUTE]],PRICING!A:B,2,FALSE),0)</f>
        <v>0</v>
      </c>
      <c r="R493" s="282">
        <f>Table21[[#This Row],[C_DEMAND]]-Table21[[#This Row],[R-DEMAND]]</f>
        <v>0</v>
      </c>
      <c r="S493" s="287">
        <f>Table21[[#This Row],[SEATS SOLD]]*Table21[[#This Row],[ECO SEAT]]</f>
        <v>0</v>
      </c>
    </row>
    <row r="494" spans="1:19" x14ac:dyDescent="0.25">
      <c r="A494" s="16" t="s">
        <v>16292</v>
      </c>
      <c r="B494" s="16" t="s">
        <v>4553</v>
      </c>
      <c r="D494" s="16">
        <v>2</v>
      </c>
      <c r="E494" s="16" t="s">
        <v>560</v>
      </c>
      <c r="F494" s="16" t="s">
        <v>12674</v>
      </c>
      <c r="G494" s="179" t="s">
        <v>11698</v>
      </c>
      <c r="H494" s="254">
        <v>8594</v>
      </c>
      <c r="I494" s="180">
        <v>21.25</v>
      </c>
      <c r="K494" s="102">
        <f>IFERROR(Table21[[#This Row],[ROUTE COST]]/Table21[[#This Row],[O - DEMAND]],0)</f>
        <v>0</v>
      </c>
      <c r="M494" s="26">
        <f>IFERROR(VLOOKUP(Table21[[#This Row],[ROUTE]],DEMAND!A:F,5,FALSE),0)</f>
        <v>0</v>
      </c>
      <c r="N494" s="26">
        <f>IFERROR(VLOOKUP(Table21[[#This Row],[ROUTE]],DEMAND!A:F,6,FALSE),0)</f>
        <v>0</v>
      </c>
      <c r="O494" s="26">
        <f>ROUNDDOWN(Table21[[#This Row],[R-DEMAND]]/1320,0)</f>
        <v>0</v>
      </c>
      <c r="P494" s="26">
        <f>Table21[[#This Row],[ADD ACC]]*Table21[[#This Row],[Duration
(747-400)]]</f>
        <v>0</v>
      </c>
      <c r="Q494" s="284">
        <f>IFERROR(VLOOKUP(Table21[[#This Row],[ROUTE]],PRICING!A:B,2,FALSE),0)</f>
        <v>0</v>
      </c>
      <c r="R494" s="282">
        <f>Table21[[#This Row],[C_DEMAND]]-Table21[[#This Row],[R-DEMAND]]</f>
        <v>0</v>
      </c>
      <c r="S494" s="287">
        <f>Table21[[#This Row],[SEATS SOLD]]*Table21[[#This Row],[ECO SEAT]]</f>
        <v>0</v>
      </c>
    </row>
    <row r="495" spans="1:19" x14ac:dyDescent="0.25">
      <c r="A495" s="16" t="s">
        <v>16028</v>
      </c>
      <c r="B495" s="16" t="s">
        <v>5397</v>
      </c>
      <c r="D495" s="16">
        <v>4</v>
      </c>
      <c r="E495" s="16" t="s">
        <v>11732</v>
      </c>
      <c r="F495" s="16" t="s">
        <v>15969</v>
      </c>
      <c r="G495" s="179" t="s">
        <v>13363</v>
      </c>
      <c r="H495" s="254">
        <v>11948</v>
      </c>
      <c r="I495" s="180">
        <v>28.5</v>
      </c>
      <c r="K495" s="102">
        <f>IFERROR(Table21[[#This Row],[ROUTE COST]]/Table21[[#This Row],[O - DEMAND]],0)</f>
        <v>0</v>
      </c>
      <c r="M495" s="26">
        <f>IFERROR(VLOOKUP(Table21[[#This Row],[ROUTE]],DEMAND!A:F,5,FALSE),0)</f>
        <v>0</v>
      </c>
      <c r="N495" s="26">
        <f>IFERROR(VLOOKUP(Table21[[#This Row],[ROUTE]],DEMAND!A:F,6,FALSE),0)</f>
        <v>0</v>
      </c>
      <c r="O495" s="26">
        <f>ROUNDDOWN(Table21[[#This Row],[R-DEMAND]]/1320,0)</f>
        <v>0</v>
      </c>
      <c r="P495" s="26">
        <f>Table21[[#This Row],[ADD ACC]]*Table21[[#This Row],[Duration
(747-400)]]</f>
        <v>0</v>
      </c>
      <c r="Q495" s="284">
        <f>IFERROR(VLOOKUP(Table21[[#This Row],[ROUTE]],PRICING!A:B,2,FALSE),0)</f>
        <v>0</v>
      </c>
      <c r="R495" s="282">
        <f>Table21[[#This Row],[C_DEMAND]]-Table21[[#This Row],[R-DEMAND]]</f>
        <v>0</v>
      </c>
      <c r="S495" s="287">
        <f>Table21[[#This Row],[SEATS SOLD]]*Table21[[#This Row],[ECO SEAT]]</f>
        <v>0</v>
      </c>
    </row>
    <row r="496" spans="1:19" x14ac:dyDescent="0.25">
      <c r="A496" s="16" t="s">
        <v>16031</v>
      </c>
      <c r="B496" s="16" t="s">
        <v>5161</v>
      </c>
      <c r="D496" s="16">
        <v>3</v>
      </c>
      <c r="E496" s="16" t="s">
        <v>11732</v>
      </c>
      <c r="F496" s="16" t="s">
        <v>15969</v>
      </c>
      <c r="G496" s="179" t="s">
        <v>13232</v>
      </c>
      <c r="H496" s="254">
        <v>11852</v>
      </c>
      <c r="I496" s="180">
        <v>28.5</v>
      </c>
      <c r="K496" s="102">
        <f>IFERROR(Table21[[#This Row],[ROUTE COST]]/Table21[[#This Row],[O - DEMAND]],0)</f>
        <v>0</v>
      </c>
      <c r="M496" s="26">
        <f>IFERROR(VLOOKUP(Table21[[#This Row],[ROUTE]],DEMAND!A:F,5,FALSE),0)</f>
        <v>0</v>
      </c>
      <c r="N496" s="26">
        <f>IFERROR(VLOOKUP(Table21[[#This Row],[ROUTE]],DEMAND!A:F,6,FALSE),0)</f>
        <v>0</v>
      </c>
      <c r="O496" s="26">
        <f>ROUNDDOWN(Table21[[#This Row],[R-DEMAND]]/1320,0)</f>
        <v>0</v>
      </c>
      <c r="P496" s="26">
        <f>Table21[[#This Row],[ADD ACC]]*Table21[[#This Row],[Duration
(747-400)]]</f>
        <v>0</v>
      </c>
      <c r="Q496" s="284">
        <f>IFERROR(VLOOKUP(Table21[[#This Row],[ROUTE]],PRICING!A:B,2,FALSE),0)</f>
        <v>0</v>
      </c>
      <c r="R496" s="282">
        <f>Table21[[#This Row],[C_DEMAND]]-Table21[[#This Row],[R-DEMAND]]</f>
        <v>0</v>
      </c>
      <c r="S496" s="287">
        <f>Table21[[#This Row],[SEATS SOLD]]*Table21[[#This Row],[ECO SEAT]]</f>
        <v>0</v>
      </c>
    </row>
    <row r="497" spans="1:19" x14ac:dyDescent="0.25">
      <c r="A497" s="16" t="s">
        <v>16040</v>
      </c>
      <c r="B497" s="16" t="s">
        <v>5516</v>
      </c>
      <c r="D497" s="16">
        <v>4</v>
      </c>
      <c r="E497" s="16" t="s">
        <v>11732</v>
      </c>
      <c r="F497" s="16" t="s">
        <v>15969</v>
      </c>
      <c r="G497" s="179" t="s">
        <v>13353</v>
      </c>
      <c r="H497" s="254">
        <v>11748</v>
      </c>
      <c r="I497" s="180">
        <v>28.25</v>
      </c>
      <c r="K497" s="102">
        <f>IFERROR(Table21[[#This Row],[ROUTE COST]]/Table21[[#This Row],[O - DEMAND]],0)</f>
        <v>0</v>
      </c>
      <c r="M497" s="26">
        <f>IFERROR(VLOOKUP(Table21[[#This Row],[ROUTE]],DEMAND!A:F,5,FALSE),0)</f>
        <v>0</v>
      </c>
      <c r="N497" s="26">
        <f>IFERROR(VLOOKUP(Table21[[#This Row],[ROUTE]],DEMAND!A:F,6,FALSE),0)</f>
        <v>0</v>
      </c>
      <c r="O497" s="26">
        <f>ROUNDDOWN(Table21[[#This Row],[R-DEMAND]]/1320,0)</f>
        <v>0</v>
      </c>
      <c r="P497" s="26">
        <f>Table21[[#This Row],[ADD ACC]]*Table21[[#This Row],[Duration
(747-400)]]</f>
        <v>0</v>
      </c>
      <c r="Q497" s="284">
        <f>IFERROR(VLOOKUP(Table21[[#This Row],[ROUTE]],PRICING!A:B,2,FALSE),0)</f>
        <v>0</v>
      </c>
      <c r="R497" s="282">
        <f>Table21[[#This Row],[C_DEMAND]]-Table21[[#This Row],[R-DEMAND]]</f>
        <v>0</v>
      </c>
      <c r="S497" s="287">
        <f>Table21[[#This Row],[SEATS SOLD]]*Table21[[#This Row],[ECO SEAT]]</f>
        <v>0</v>
      </c>
    </row>
    <row r="498" spans="1:19" x14ac:dyDescent="0.25">
      <c r="A498" s="16" t="s">
        <v>16323</v>
      </c>
      <c r="B498" s="16" t="s">
        <v>424</v>
      </c>
      <c r="D498" s="16">
        <v>3</v>
      </c>
      <c r="E498" s="16" t="s">
        <v>83</v>
      </c>
      <c r="F498" s="16" t="s">
        <v>12674</v>
      </c>
      <c r="G498" s="179" t="s">
        <v>11700</v>
      </c>
      <c r="H498" s="254">
        <v>8165</v>
      </c>
      <c r="I498" s="180">
        <v>20.25</v>
      </c>
      <c r="K498" s="102">
        <f>IFERROR(Table21[[#This Row],[ROUTE COST]]/Table21[[#This Row],[O - DEMAND]],0)</f>
        <v>0</v>
      </c>
      <c r="M498" s="26">
        <f>IFERROR(VLOOKUP(Table21[[#This Row],[ROUTE]],DEMAND!A:F,5,FALSE),0)</f>
        <v>0</v>
      </c>
      <c r="N498" s="26">
        <f>IFERROR(VLOOKUP(Table21[[#This Row],[ROUTE]],DEMAND!A:F,6,FALSE),0)</f>
        <v>0</v>
      </c>
      <c r="O498" s="26">
        <f>ROUNDDOWN(Table21[[#This Row],[R-DEMAND]]/1320,0)</f>
        <v>0</v>
      </c>
      <c r="P498" s="26">
        <f>Table21[[#This Row],[ADD ACC]]*Table21[[#This Row],[Duration
(747-400)]]</f>
        <v>0</v>
      </c>
      <c r="Q498" s="284">
        <f>IFERROR(VLOOKUP(Table21[[#This Row],[ROUTE]],PRICING!A:B,2,FALSE),0)</f>
        <v>0</v>
      </c>
      <c r="R498" s="282">
        <f>Table21[[#This Row],[C_DEMAND]]-Table21[[#This Row],[R-DEMAND]]</f>
        <v>0</v>
      </c>
      <c r="S498" s="287">
        <f>Table21[[#This Row],[SEATS SOLD]]*Table21[[#This Row],[ECO SEAT]]</f>
        <v>0</v>
      </c>
    </row>
    <row r="499" spans="1:19" x14ac:dyDescent="0.25">
      <c r="A499" s="16" t="s">
        <v>16436</v>
      </c>
      <c r="B499" s="16" t="s">
        <v>5356</v>
      </c>
      <c r="D499" s="16">
        <v>3</v>
      </c>
      <c r="E499" s="16" t="s">
        <v>605</v>
      </c>
      <c r="F499" s="16" t="s">
        <v>12674</v>
      </c>
      <c r="G499" s="179" t="s">
        <v>11742</v>
      </c>
      <c r="H499" s="254">
        <v>7240</v>
      </c>
      <c r="I499" s="180">
        <v>18.25</v>
      </c>
      <c r="K499" s="102">
        <f>IFERROR(Table21[[#This Row],[ROUTE COST]]/Table21[[#This Row],[O - DEMAND]],0)</f>
        <v>0</v>
      </c>
      <c r="M499" s="26">
        <f>IFERROR(VLOOKUP(Table21[[#This Row],[ROUTE]],DEMAND!A:F,5,FALSE),0)</f>
        <v>0</v>
      </c>
      <c r="N499" s="26">
        <f>IFERROR(VLOOKUP(Table21[[#This Row],[ROUTE]],DEMAND!A:F,6,FALSE),0)</f>
        <v>0</v>
      </c>
      <c r="O499" s="26">
        <f>ROUNDDOWN(Table21[[#This Row],[R-DEMAND]]/1320,0)</f>
        <v>0</v>
      </c>
      <c r="P499" s="26">
        <f>Table21[[#This Row],[ADD ACC]]*Table21[[#This Row],[Duration
(747-400)]]</f>
        <v>0</v>
      </c>
      <c r="Q499" s="284">
        <f>IFERROR(VLOOKUP(Table21[[#This Row],[ROUTE]],PRICING!A:B,2,FALSE),0)</f>
        <v>0</v>
      </c>
      <c r="R499" s="282">
        <f>Table21[[#This Row],[C_DEMAND]]-Table21[[#This Row],[R-DEMAND]]</f>
        <v>0</v>
      </c>
      <c r="S499" s="287">
        <f>Table21[[#This Row],[SEATS SOLD]]*Table21[[#This Row],[ECO SEAT]]</f>
        <v>0</v>
      </c>
    </row>
    <row r="500" spans="1:19" x14ac:dyDescent="0.25">
      <c r="A500" s="16" t="s">
        <v>16033</v>
      </c>
      <c r="B500" s="16" t="s">
        <v>4371</v>
      </c>
      <c r="D500" s="16">
        <v>2</v>
      </c>
      <c r="E500" s="16" t="s">
        <v>11732</v>
      </c>
      <c r="F500" s="16" t="s">
        <v>15969</v>
      </c>
      <c r="G500" s="179" t="s">
        <v>13360</v>
      </c>
      <c r="H500" s="254">
        <v>11817</v>
      </c>
      <c r="I500" s="180">
        <v>28.25</v>
      </c>
      <c r="K500" s="102">
        <f>IFERROR(Table21[[#This Row],[ROUTE COST]]/Table21[[#This Row],[O - DEMAND]],0)</f>
        <v>0</v>
      </c>
      <c r="M500" s="26">
        <f>IFERROR(VLOOKUP(Table21[[#This Row],[ROUTE]],DEMAND!A:F,5,FALSE),0)</f>
        <v>0</v>
      </c>
      <c r="N500" s="26">
        <f>IFERROR(VLOOKUP(Table21[[#This Row],[ROUTE]],DEMAND!A:F,6,FALSE),0)</f>
        <v>0</v>
      </c>
      <c r="O500" s="26">
        <f>ROUNDDOWN(Table21[[#This Row],[R-DEMAND]]/1320,0)</f>
        <v>0</v>
      </c>
      <c r="P500" s="26">
        <f>Table21[[#This Row],[ADD ACC]]*Table21[[#This Row],[Duration
(747-400)]]</f>
        <v>0</v>
      </c>
      <c r="Q500" s="284">
        <f>IFERROR(VLOOKUP(Table21[[#This Row],[ROUTE]],PRICING!A:B,2,FALSE),0)</f>
        <v>0</v>
      </c>
      <c r="R500" s="282">
        <f>Table21[[#This Row],[C_DEMAND]]-Table21[[#This Row],[R-DEMAND]]</f>
        <v>0</v>
      </c>
      <c r="S500" s="287">
        <f>Table21[[#This Row],[SEATS SOLD]]*Table21[[#This Row],[ECO SEAT]]</f>
        <v>0</v>
      </c>
    </row>
    <row r="501" spans="1:19" x14ac:dyDescent="0.25">
      <c r="A501" s="16" t="s">
        <v>16434</v>
      </c>
      <c r="B501" s="16" t="s">
        <v>3469</v>
      </c>
      <c r="D501" s="16">
        <v>2</v>
      </c>
      <c r="E501" s="16" t="s">
        <v>172</v>
      </c>
      <c r="F501" s="16" t="s">
        <v>12670</v>
      </c>
      <c r="G501" s="179" t="s">
        <v>10659</v>
      </c>
      <c r="H501" s="254">
        <v>7257</v>
      </c>
      <c r="I501" s="180">
        <v>18.25</v>
      </c>
      <c r="K501" s="102">
        <f>IFERROR(Table21[[#This Row],[ROUTE COST]]/Table21[[#This Row],[O - DEMAND]],0)</f>
        <v>0</v>
      </c>
      <c r="M501" s="26">
        <f>IFERROR(VLOOKUP(Table21[[#This Row],[ROUTE]],DEMAND!A:F,5,FALSE),0)</f>
        <v>0</v>
      </c>
      <c r="N501" s="26">
        <f>IFERROR(VLOOKUP(Table21[[#This Row],[ROUTE]],DEMAND!A:F,6,FALSE),0)</f>
        <v>0</v>
      </c>
      <c r="O501" s="26">
        <f>ROUNDDOWN(Table21[[#This Row],[R-DEMAND]]/1320,0)</f>
        <v>0</v>
      </c>
      <c r="P501" s="26">
        <f>Table21[[#This Row],[ADD ACC]]*Table21[[#This Row],[Duration
(747-400)]]</f>
        <v>0</v>
      </c>
      <c r="Q501" s="284">
        <f>IFERROR(VLOOKUP(Table21[[#This Row],[ROUTE]],PRICING!A:B,2,FALSE),0)</f>
        <v>0</v>
      </c>
      <c r="R501" s="282">
        <f>Table21[[#This Row],[C_DEMAND]]-Table21[[#This Row],[R-DEMAND]]</f>
        <v>0</v>
      </c>
      <c r="S501" s="287">
        <f>Table21[[#This Row],[SEATS SOLD]]*Table21[[#This Row],[ECO SEAT]]</f>
        <v>0</v>
      </c>
    </row>
    <row r="502" spans="1:19" x14ac:dyDescent="0.25">
      <c r="A502" s="16" t="s">
        <v>16039</v>
      </c>
      <c r="B502" s="16" t="s">
        <v>4837</v>
      </c>
      <c r="D502" s="16">
        <v>3</v>
      </c>
      <c r="E502" s="16" t="s">
        <v>11732</v>
      </c>
      <c r="F502" s="16" t="s">
        <v>15969</v>
      </c>
      <c r="G502" s="179" t="s">
        <v>13357</v>
      </c>
      <c r="H502" s="254">
        <v>11755</v>
      </c>
      <c r="I502" s="180">
        <v>28.25</v>
      </c>
      <c r="K502" s="102">
        <f>IFERROR(Table21[[#This Row],[ROUTE COST]]/Table21[[#This Row],[O - DEMAND]],0)</f>
        <v>0</v>
      </c>
      <c r="M502" s="26">
        <f>IFERROR(VLOOKUP(Table21[[#This Row],[ROUTE]],DEMAND!A:F,5,FALSE),0)</f>
        <v>0</v>
      </c>
      <c r="N502" s="26">
        <f>IFERROR(VLOOKUP(Table21[[#This Row],[ROUTE]],DEMAND!A:F,6,FALSE),0)</f>
        <v>0</v>
      </c>
      <c r="O502" s="26">
        <f>ROUNDDOWN(Table21[[#This Row],[R-DEMAND]]/1320,0)</f>
        <v>0</v>
      </c>
      <c r="P502" s="26">
        <f>Table21[[#This Row],[ADD ACC]]*Table21[[#This Row],[Duration
(747-400)]]</f>
        <v>0</v>
      </c>
      <c r="Q502" s="284">
        <f>IFERROR(VLOOKUP(Table21[[#This Row],[ROUTE]],PRICING!A:B,2,FALSE),0)</f>
        <v>0</v>
      </c>
      <c r="R502" s="282">
        <f>Table21[[#This Row],[C_DEMAND]]-Table21[[#This Row],[R-DEMAND]]</f>
        <v>0</v>
      </c>
      <c r="S502" s="287">
        <f>Table21[[#This Row],[SEATS SOLD]]*Table21[[#This Row],[ECO SEAT]]</f>
        <v>0</v>
      </c>
    </row>
    <row r="503" spans="1:19" x14ac:dyDescent="0.25">
      <c r="A503" s="16" t="s">
        <v>16695</v>
      </c>
      <c r="B503" s="16" t="s">
        <v>4064</v>
      </c>
      <c r="D503" s="16">
        <v>2</v>
      </c>
      <c r="E503" s="16" t="s">
        <v>14</v>
      </c>
      <c r="F503" s="16" t="s">
        <v>12670</v>
      </c>
      <c r="G503" s="179" t="s">
        <v>12082</v>
      </c>
      <c r="H503" s="254">
        <v>2174</v>
      </c>
      <c r="I503" s="180">
        <v>7</v>
      </c>
      <c r="K503" s="102">
        <f>IFERROR(Table21[[#This Row],[ROUTE COST]]/Table21[[#This Row],[O - DEMAND]],0)</f>
        <v>0</v>
      </c>
      <c r="M503" s="26">
        <f>IFERROR(VLOOKUP(Table21[[#This Row],[ROUTE]],DEMAND!A:F,5,FALSE),0)</f>
        <v>0</v>
      </c>
      <c r="N503" s="26">
        <f>IFERROR(VLOOKUP(Table21[[#This Row],[ROUTE]],DEMAND!A:F,6,FALSE),0)</f>
        <v>0</v>
      </c>
      <c r="O503" s="26">
        <f>ROUNDDOWN(Table21[[#This Row],[R-DEMAND]]/1320,0)</f>
        <v>0</v>
      </c>
      <c r="P503" s="26">
        <f>Table21[[#This Row],[ADD ACC]]*Table21[[#This Row],[Duration
(747-400)]]</f>
        <v>0</v>
      </c>
      <c r="Q503" s="284">
        <f>IFERROR(VLOOKUP(Table21[[#This Row],[ROUTE]],PRICING!A:B,2,FALSE),0)</f>
        <v>0</v>
      </c>
      <c r="R503" s="282">
        <f>Table21[[#This Row],[C_DEMAND]]-Table21[[#This Row],[R-DEMAND]]</f>
        <v>0</v>
      </c>
      <c r="S503" s="287">
        <f>Table21[[#This Row],[SEATS SOLD]]*Table21[[#This Row],[ECO SEAT]]</f>
        <v>0</v>
      </c>
    </row>
    <row r="504" spans="1:19" x14ac:dyDescent="0.25">
      <c r="A504" s="16" t="s">
        <v>16053</v>
      </c>
      <c r="B504" s="16" t="s">
        <v>3721</v>
      </c>
      <c r="D504" s="16">
        <v>2</v>
      </c>
      <c r="E504" s="16" t="s">
        <v>11732</v>
      </c>
      <c r="F504" s="16" t="s">
        <v>15969</v>
      </c>
      <c r="G504" s="179" t="s">
        <v>13337</v>
      </c>
      <c r="H504" s="254">
        <v>11529</v>
      </c>
      <c r="I504" s="180">
        <v>27.75</v>
      </c>
      <c r="K504" s="102">
        <f>IFERROR(Table21[[#This Row],[ROUTE COST]]/Table21[[#This Row],[O - DEMAND]],0)</f>
        <v>0</v>
      </c>
      <c r="M504" s="26">
        <f>IFERROR(VLOOKUP(Table21[[#This Row],[ROUTE]],DEMAND!A:F,5,FALSE),0)</f>
        <v>0</v>
      </c>
      <c r="N504" s="26">
        <f>IFERROR(VLOOKUP(Table21[[#This Row],[ROUTE]],DEMAND!A:F,6,FALSE),0)</f>
        <v>0</v>
      </c>
      <c r="O504" s="26">
        <f>ROUNDDOWN(Table21[[#This Row],[R-DEMAND]]/1320,0)</f>
        <v>0</v>
      </c>
      <c r="P504" s="26">
        <f>Table21[[#This Row],[ADD ACC]]*Table21[[#This Row],[Duration
(747-400)]]</f>
        <v>0</v>
      </c>
      <c r="Q504" s="284">
        <f>IFERROR(VLOOKUP(Table21[[#This Row],[ROUTE]],PRICING!A:B,2,FALSE),0)</f>
        <v>0</v>
      </c>
      <c r="R504" s="282">
        <f>Table21[[#This Row],[C_DEMAND]]-Table21[[#This Row],[R-DEMAND]]</f>
        <v>0</v>
      </c>
      <c r="S504" s="287">
        <f>Table21[[#This Row],[SEATS SOLD]]*Table21[[#This Row],[ECO SEAT]]</f>
        <v>0</v>
      </c>
    </row>
    <row r="505" spans="1:19" x14ac:dyDescent="0.25">
      <c r="A505" s="16" t="s">
        <v>16214</v>
      </c>
      <c r="B505" s="16" t="s">
        <v>2553</v>
      </c>
      <c r="D505" s="16">
        <v>2</v>
      </c>
      <c r="E505" s="16" t="s">
        <v>119</v>
      </c>
      <c r="F505" s="16" t="s">
        <v>12674</v>
      </c>
      <c r="G505" s="179" t="s">
        <v>11681</v>
      </c>
      <c r="H505" s="254">
        <v>9523</v>
      </c>
      <c r="I505" s="180">
        <v>23.25</v>
      </c>
      <c r="K505" s="102">
        <f>IFERROR(Table21[[#This Row],[ROUTE COST]]/Table21[[#This Row],[O - DEMAND]],0)</f>
        <v>0</v>
      </c>
      <c r="M505" s="26">
        <f>IFERROR(VLOOKUP(Table21[[#This Row],[ROUTE]],DEMAND!A:F,5,FALSE),0)</f>
        <v>0</v>
      </c>
      <c r="N505" s="26">
        <f>IFERROR(VLOOKUP(Table21[[#This Row],[ROUTE]],DEMAND!A:F,6,FALSE),0)</f>
        <v>0</v>
      </c>
      <c r="O505" s="26">
        <f>ROUNDDOWN(Table21[[#This Row],[R-DEMAND]]/1320,0)</f>
        <v>0</v>
      </c>
      <c r="P505" s="26">
        <f>Table21[[#This Row],[ADD ACC]]*Table21[[#This Row],[Duration
(747-400)]]</f>
        <v>0</v>
      </c>
      <c r="Q505" s="284">
        <f>IFERROR(VLOOKUP(Table21[[#This Row],[ROUTE]],PRICING!A:B,2,FALSE),0)</f>
        <v>0</v>
      </c>
      <c r="R505" s="282">
        <f>Table21[[#This Row],[C_DEMAND]]-Table21[[#This Row],[R-DEMAND]]</f>
        <v>0</v>
      </c>
      <c r="S505" s="287">
        <f>Table21[[#This Row],[SEATS SOLD]]*Table21[[#This Row],[ECO SEAT]]</f>
        <v>0</v>
      </c>
    </row>
    <row r="506" spans="1:19" x14ac:dyDescent="0.25">
      <c r="A506" s="16" t="s">
        <v>16344</v>
      </c>
      <c r="B506" s="16" t="s">
        <v>5392</v>
      </c>
      <c r="D506" s="16">
        <v>3</v>
      </c>
      <c r="E506" s="16" t="s">
        <v>308</v>
      </c>
      <c r="F506" s="16" t="s">
        <v>12674</v>
      </c>
      <c r="G506" s="179" t="s">
        <v>11778</v>
      </c>
      <c r="H506" s="254">
        <v>8016</v>
      </c>
      <c r="I506" s="180">
        <v>20</v>
      </c>
      <c r="K506" s="102">
        <f>IFERROR(Table21[[#This Row],[ROUTE COST]]/Table21[[#This Row],[O - DEMAND]],0)</f>
        <v>0</v>
      </c>
      <c r="M506" s="26">
        <f>IFERROR(VLOOKUP(Table21[[#This Row],[ROUTE]],DEMAND!A:F,5,FALSE),0)</f>
        <v>0</v>
      </c>
      <c r="N506" s="26">
        <f>IFERROR(VLOOKUP(Table21[[#This Row],[ROUTE]],DEMAND!A:F,6,FALSE),0)</f>
        <v>0</v>
      </c>
      <c r="O506" s="26">
        <f>ROUNDDOWN(Table21[[#This Row],[R-DEMAND]]/1320,0)</f>
        <v>0</v>
      </c>
      <c r="P506" s="26">
        <f>Table21[[#This Row],[ADD ACC]]*Table21[[#This Row],[Duration
(747-400)]]</f>
        <v>0</v>
      </c>
      <c r="Q506" s="284">
        <f>IFERROR(VLOOKUP(Table21[[#This Row],[ROUTE]],PRICING!A:B,2,FALSE),0)</f>
        <v>0</v>
      </c>
      <c r="R506" s="282">
        <f>Table21[[#This Row],[C_DEMAND]]-Table21[[#This Row],[R-DEMAND]]</f>
        <v>0</v>
      </c>
      <c r="S506" s="287">
        <f>Table21[[#This Row],[SEATS SOLD]]*Table21[[#This Row],[ECO SEAT]]</f>
        <v>0</v>
      </c>
    </row>
    <row r="507" spans="1:19" x14ac:dyDescent="0.25">
      <c r="A507" s="16" t="s">
        <v>16051</v>
      </c>
      <c r="B507" s="16" t="s">
        <v>1846</v>
      </c>
      <c r="D507" s="16">
        <v>1</v>
      </c>
      <c r="E507" s="16" t="s">
        <v>11732</v>
      </c>
      <c r="F507" s="16" t="s">
        <v>15969</v>
      </c>
      <c r="G507" s="179" t="s">
        <v>13347</v>
      </c>
      <c r="H507" s="254">
        <v>11554</v>
      </c>
      <c r="I507" s="180">
        <v>27.75</v>
      </c>
      <c r="K507" s="102">
        <f>IFERROR(Table21[[#This Row],[ROUTE COST]]/Table21[[#This Row],[O - DEMAND]],0)</f>
        <v>0</v>
      </c>
      <c r="M507" s="26">
        <f>IFERROR(VLOOKUP(Table21[[#This Row],[ROUTE]],DEMAND!A:F,5,FALSE),0)</f>
        <v>0</v>
      </c>
      <c r="N507" s="26">
        <f>IFERROR(VLOOKUP(Table21[[#This Row],[ROUTE]],DEMAND!A:F,6,FALSE),0)</f>
        <v>0</v>
      </c>
      <c r="O507" s="26">
        <f>ROUNDDOWN(Table21[[#This Row],[R-DEMAND]]/1320,0)</f>
        <v>0</v>
      </c>
      <c r="P507" s="26">
        <f>Table21[[#This Row],[ADD ACC]]*Table21[[#This Row],[Duration
(747-400)]]</f>
        <v>0</v>
      </c>
      <c r="Q507" s="284">
        <f>IFERROR(VLOOKUP(Table21[[#This Row],[ROUTE]],PRICING!A:B,2,FALSE),0)</f>
        <v>0</v>
      </c>
      <c r="R507" s="282">
        <f>Table21[[#This Row],[C_DEMAND]]-Table21[[#This Row],[R-DEMAND]]</f>
        <v>0</v>
      </c>
      <c r="S507" s="287">
        <f>Table21[[#This Row],[SEATS SOLD]]*Table21[[#This Row],[ECO SEAT]]</f>
        <v>0</v>
      </c>
    </row>
    <row r="508" spans="1:19" x14ac:dyDescent="0.25">
      <c r="A508" s="16" t="s">
        <v>16048</v>
      </c>
      <c r="B508" s="16" t="s">
        <v>937</v>
      </c>
      <c r="D508" s="16">
        <v>1</v>
      </c>
      <c r="E508" s="16" t="s">
        <v>11732</v>
      </c>
      <c r="F508" s="16" t="s">
        <v>15969</v>
      </c>
      <c r="G508" s="179" t="s">
        <v>13332</v>
      </c>
      <c r="H508" s="254">
        <v>11608</v>
      </c>
      <c r="I508" s="180">
        <v>27.75</v>
      </c>
      <c r="K508" s="102">
        <f>IFERROR(Table21[[#This Row],[ROUTE COST]]/Table21[[#This Row],[O - DEMAND]],0)</f>
        <v>0</v>
      </c>
      <c r="M508" s="26">
        <f>IFERROR(VLOOKUP(Table21[[#This Row],[ROUTE]],DEMAND!A:F,5,FALSE),0)</f>
        <v>0</v>
      </c>
      <c r="N508" s="26">
        <f>IFERROR(VLOOKUP(Table21[[#This Row],[ROUTE]],DEMAND!A:F,6,FALSE),0)</f>
        <v>0</v>
      </c>
      <c r="O508" s="26">
        <f>ROUNDDOWN(Table21[[#This Row],[R-DEMAND]]/1320,0)</f>
        <v>0</v>
      </c>
      <c r="P508" s="26">
        <f>Table21[[#This Row],[ADD ACC]]*Table21[[#This Row],[Duration
(747-400)]]</f>
        <v>0</v>
      </c>
      <c r="Q508" s="284">
        <f>IFERROR(VLOOKUP(Table21[[#This Row],[ROUTE]],PRICING!A:B,2,FALSE),0)</f>
        <v>0</v>
      </c>
      <c r="R508" s="282">
        <f>Table21[[#This Row],[C_DEMAND]]-Table21[[#This Row],[R-DEMAND]]</f>
        <v>0</v>
      </c>
      <c r="S508" s="287">
        <f>Table21[[#This Row],[SEATS SOLD]]*Table21[[#This Row],[ECO SEAT]]</f>
        <v>0</v>
      </c>
    </row>
    <row r="509" spans="1:19" x14ac:dyDescent="0.25">
      <c r="A509" s="16" t="s">
        <v>16282</v>
      </c>
      <c r="B509" s="16" t="s">
        <v>5281</v>
      </c>
      <c r="D509" s="16">
        <v>3</v>
      </c>
      <c r="E509" s="16" t="s">
        <v>560</v>
      </c>
      <c r="F509" s="16" t="s">
        <v>12674</v>
      </c>
      <c r="G509" s="179" t="s">
        <v>11708</v>
      </c>
      <c r="H509" s="254">
        <v>8694</v>
      </c>
      <c r="I509" s="180">
        <v>21.5</v>
      </c>
      <c r="K509" s="102">
        <f>IFERROR(Table21[[#This Row],[ROUTE COST]]/Table21[[#This Row],[O - DEMAND]],0)</f>
        <v>0</v>
      </c>
      <c r="M509" s="26">
        <f>IFERROR(VLOOKUP(Table21[[#This Row],[ROUTE]],DEMAND!A:F,5,FALSE),0)</f>
        <v>0</v>
      </c>
      <c r="N509" s="26">
        <f>IFERROR(VLOOKUP(Table21[[#This Row],[ROUTE]],DEMAND!A:F,6,FALSE),0)</f>
        <v>0</v>
      </c>
      <c r="O509" s="26">
        <f>ROUNDDOWN(Table21[[#This Row],[R-DEMAND]]/1320,0)</f>
        <v>0</v>
      </c>
      <c r="P509" s="26">
        <f>Table21[[#This Row],[ADD ACC]]*Table21[[#This Row],[Duration
(747-400)]]</f>
        <v>0</v>
      </c>
      <c r="Q509" s="284">
        <f>IFERROR(VLOOKUP(Table21[[#This Row],[ROUTE]],PRICING!A:B,2,FALSE),0)</f>
        <v>0</v>
      </c>
      <c r="R509" s="282">
        <f>Table21[[#This Row],[C_DEMAND]]-Table21[[#This Row],[R-DEMAND]]</f>
        <v>0</v>
      </c>
      <c r="S509" s="287">
        <f>Table21[[#This Row],[SEATS SOLD]]*Table21[[#This Row],[ECO SEAT]]</f>
        <v>0</v>
      </c>
    </row>
    <row r="510" spans="1:19" x14ac:dyDescent="0.25">
      <c r="A510" s="16" t="s">
        <v>16036</v>
      </c>
      <c r="B510" s="16" t="s">
        <v>4852</v>
      </c>
      <c r="D510" s="16">
        <v>3</v>
      </c>
      <c r="E510" s="16" t="s">
        <v>11732</v>
      </c>
      <c r="F510" s="16" t="s">
        <v>15969</v>
      </c>
      <c r="G510" s="179" t="s">
        <v>13362</v>
      </c>
      <c r="H510" s="254">
        <v>11783</v>
      </c>
      <c r="I510" s="180">
        <v>28.25</v>
      </c>
      <c r="K510" s="102">
        <f>IFERROR(Table21[[#This Row],[ROUTE COST]]/Table21[[#This Row],[O - DEMAND]],0)</f>
        <v>0</v>
      </c>
      <c r="M510" s="26">
        <f>IFERROR(VLOOKUP(Table21[[#This Row],[ROUTE]],DEMAND!A:F,5,FALSE),0)</f>
        <v>0</v>
      </c>
      <c r="N510" s="26">
        <f>IFERROR(VLOOKUP(Table21[[#This Row],[ROUTE]],DEMAND!A:F,6,FALSE),0)</f>
        <v>0</v>
      </c>
      <c r="O510" s="26">
        <f>ROUNDDOWN(Table21[[#This Row],[R-DEMAND]]/1320,0)</f>
        <v>0</v>
      </c>
      <c r="P510" s="26">
        <f>Table21[[#This Row],[ADD ACC]]*Table21[[#This Row],[Duration
(747-400)]]</f>
        <v>0</v>
      </c>
      <c r="Q510" s="284">
        <f>IFERROR(VLOOKUP(Table21[[#This Row],[ROUTE]],PRICING!A:B,2,FALSE),0)</f>
        <v>0</v>
      </c>
      <c r="R510" s="282">
        <f>Table21[[#This Row],[C_DEMAND]]-Table21[[#This Row],[R-DEMAND]]</f>
        <v>0</v>
      </c>
      <c r="S510" s="287">
        <f>Table21[[#This Row],[SEATS SOLD]]*Table21[[#This Row],[ECO SEAT]]</f>
        <v>0</v>
      </c>
    </row>
    <row r="511" spans="1:19" x14ac:dyDescent="0.25">
      <c r="A511" s="16" t="s">
        <v>16509</v>
      </c>
      <c r="B511" s="16" t="s">
        <v>4865</v>
      </c>
      <c r="D511" s="16">
        <v>3</v>
      </c>
      <c r="E511" s="16" t="s">
        <v>605</v>
      </c>
      <c r="F511" s="16" t="s">
        <v>12674</v>
      </c>
      <c r="G511" s="179" t="s">
        <v>10545</v>
      </c>
      <c r="H511" s="254">
        <v>6440</v>
      </c>
      <c r="I511" s="180">
        <v>16.5</v>
      </c>
      <c r="K511" s="102">
        <f>IFERROR(Table21[[#This Row],[ROUTE COST]]/Table21[[#This Row],[O - DEMAND]],0)</f>
        <v>0</v>
      </c>
      <c r="M511" s="26">
        <f>IFERROR(VLOOKUP(Table21[[#This Row],[ROUTE]],DEMAND!A:F,5,FALSE),0)</f>
        <v>0</v>
      </c>
      <c r="N511" s="26">
        <f>IFERROR(VLOOKUP(Table21[[#This Row],[ROUTE]],DEMAND!A:F,6,FALSE),0)</f>
        <v>0</v>
      </c>
      <c r="O511" s="26">
        <f>ROUNDDOWN(Table21[[#This Row],[R-DEMAND]]/1320,0)</f>
        <v>0</v>
      </c>
      <c r="P511" s="26">
        <f>Table21[[#This Row],[ADD ACC]]*Table21[[#This Row],[Duration
(747-400)]]</f>
        <v>0</v>
      </c>
      <c r="Q511" s="284">
        <f>IFERROR(VLOOKUP(Table21[[#This Row],[ROUTE]],PRICING!A:B,2,FALSE),0)</f>
        <v>0</v>
      </c>
      <c r="R511" s="282">
        <f>Table21[[#This Row],[C_DEMAND]]-Table21[[#This Row],[R-DEMAND]]</f>
        <v>0</v>
      </c>
      <c r="S511" s="287">
        <f>Table21[[#This Row],[SEATS SOLD]]*Table21[[#This Row],[ECO SEAT]]</f>
        <v>0</v>
      </c>
    </row>
    <row r="512" spans="1:19" x14ac:dyDescent="0.25">
      <c r="A512" s="16" t="s">
        <v>16703</v>
      </c>
      <c r="B512" s="16" t="s">
        <v>2496</v>
      </c>
      <c r="D512" s="16">
        <v>1</v>
      </c>
      <c r="E512" s="16" t="s">
        <v>14</v>
      </c>
      <c r="F512" s="16" t="s">
        <v>12670</v>
      </c>
      <c r="G512" s="179" t="s">
        <v>12057</v>
      </c>
      <c r="H512" s="254">
        <v>2054</v>
      </c>
      <c r="I512" s="180">
        <v>6.75</v>
      </c>
      <c r="K512" s="102">
        <f>IFERROR(Table21[[#This Row],[ROUTE COST]]/Table21[[#This Row],[O - DEMAND]],0)</f>
        <v>0</v>
      </c>
      <c r="M512" s="26">
        <f>IFERROR(VLOOKUP(Table21[[#This Row],[ROUTE]],DEMAND!A:F,5,FALSE),0)</f>
        <v>0</v>
      </c>
      <c r="N512" s="26">
        <f>IFERROR(VLOOKUP(Table21[[#This Row],[ROUTE]],DEMAND!A:F,6,FALSE),0)</f>
        <v>0</v>
      </c>
      <c r="O512" s="26">
        <f>ROUNDDOWN(Table21[[#This Row],[R-DEMAND]]/1320,0)</f>
        <v>0</v>
      </c>
      <c r="P512" s="26">
        <f>Table21[[#This Row],[ADD ACC]]*Table21[[#This Row],[Duration
(747-400)]]</f>
        <v>0</v>
      </c>
      <c r="Q512" s="284">
        <f>IFERROR(VLOOKUP(Table21[[#This Row],[ROUTE]],PRICING!A:B,2,FALSE),0)</f>
        <v>0</v>
      </c>
      <c r="R512" s="282">
        <f>Table21[[#This Row],[C_DEMAND]]-Table21[[#This Row],[R-DEMAND]]</f>
        <v>0</v>
      </c>
      <c r="S512" s="287">
        <f>Table21[[#This Row],[SEATS SOLD]]*Table21[[#This Row],[ECO SEAT]]</f>
        <v>0</v>
      </c>
    </row>
    <row r="513" spans="1:19" x14ac:dyDescent="0.25">
      <c r="A513" s="251" t="s">
        <v>16773</v>
      </c>
      <c r="B513" s="251" t="s">
        <v>2870</v>
      </c>
      <c r="D513" s="251">
        <v>2</v>
      </c>
      <c r="E513" s="251" t="s">
        <v>78</v>
      </c>
      <c r="F513" s="251" t="s">
        <v>12674</v>
      </c>
      <c r="G513" s="252" t="s">
        <v>11973</v>
      </c>
      <c r="H513" s="254">
        <v>1426</v>
      </c>
      <c r="I513" s="180">
        <v>5.25</v>
      </c>
      <c r="K513" s="253">
        <f>IFERROR(Table21[[#This Row],[ROUTE COST]]/Table21[[#This Row],[O - DEMAND]],0)</f>
        <v>0</v>
      </c>
      <c r="M513" s="26">
        <f>IFERROR(VLOOKUP(Table21[[#This Row],[ROUTE]],DEMAND!A:F,5,FALSE),0)</f>
        <v>0</v>
      </c>
      <c r="N513" s="26">
        <f>IFERROR(VLOOKUP(Table21[[#This Row],[ROUTE]],DEMAND!A:F,6,FALSE),0)</f>
        <v>0</v>
      </c>
      <c r="O513" s="26">
        <f>ROUNDDOWN(Table21[[#This Row],[R-DEMAND]]/1320,0)</f>
        <v>0</v>
      </c>
      <c r="P513" s="26">
        <f>Table21[[#This Row],[ADD ACC]]*Table21[[#This Row],[Duration
(747-400)]]</f>
        <v>0</v>
      </c>
      <c r="Q513" s="284">
        <f>IFERROR(VLOOKUP(Table21[[#This Row],[ROUTE]],PRICING!A:B,2,FALSE),0)</f>
        <v>0</v>
      </c>
      <c r="R513" s="282">
        <f>Table21[[#This Row],[C_DEMAND]]-Table21[[#This Row],[R-DEMAND]]</f>
        <v>0</v>
      </c>
      <c r="S513" s="287">
        <f>Table21[[#This Row],[SEATS SOLD]]*Table21[[#This Row],[ECO SEAT]]</f>
        <v>0</v>
      </c>
    </row>
    <row r="514" spans="1:19" x14ac:dyDescent="0.25">
      <c r="A514" s="251" t="s">
        <v>16771</v>
      </c>
      <c r="B514" s="251" t="s">
        <v>390</v>
      </c>
      <c r="D514" s="251">
        <v>1</v>
      </c>
      <c r="E514" s="251" t="s">
        <v>533</v>
      </c>
      <c r="F514" s="251" t="s">
        <v>12670</v>
      </c>
      <c r="G514" s="252" t="s">
        <v>12004</v>
      </c>
      <c r="H514" s="254">
        <v>1452</v>
      </c>
      <c r="I514" s="180">
        <v>5.25</v>
      </c>
      <c r="K514" s="253">
        <f>IFERROR(Table21[[#This Row],[ROUTE COST]]/Table21[[#This Row],[O - DEMAND]],0)</f>
        <v>0</v>
      </c>
      <c r="M514" s="26">
        <f>IFERROR(VLOOKUP(Table21[[#This Row],[ROUTE]],DEMAND!A:F,5,FALSE),0)</f>
        <v>0</v>
      </c>
      <c r="N514" s="26">
        <f>IFERROR(VLOOKUP(Table21[[#This Row],[ROUTE]],DEMAND!A:F,6,FALSE),0)</f>
        <v>0</v>
      </c>
      <c r="O514" s="26">
        <f>ROUNDDOWN(Table21[[#This Row],[R-DEMAND]]/1320,0)</f>
        <v>0</v>
      </c>
      <c r="P514" s="26">
        <f>Table21[[#This Row],[ADD ACC]]*Table21[[#This Row],[Duration
(747-400)]]</f>
        <v>0</v>
      </c>
      <c r="Q514" s="284">
        <f>IFERROR(VLOOKUP(Table21[[#This Row],[ROUTE]],PRICING!A:B,2,FALSE),0)</f>
        <v>0</v>
      </c>
      <c r="R514" s="282">
        <f>Table21[[#This Row],[C_DEMAND]]-Table21[[#This Row],[R-DEMAND]]</f>
        <v>0</v>
      </c>
      <c r="S514" s="287">
        <f>Table21[[#This Row],[SEATS SOLD]]*Table21[[#This Row],[ECO SEAT]]</f>
        <v>0</v>
      </c>
    </row>
    <row r="515" spans="1:19" x14ac:dyDescent="0.25">
      <c r="A515" s="16" t="s">
        <v>16296</v>
      </c>
      <c r="B515" s="16" t="s">
        <v>5231</v>
      </c>
      <c r="D515" s="16">
        <v>3</v>
      </c>
      <c r="E515" s="16" t="s">
        <v>308</v>
      </c>
      <c r="F515" s="16" t="s">
        <v>12674</v>
      </c>
      <c r="G515" s="179" t="s">
        <v>11760</v>
      </c>
      <c r="H515" s="254">
        <v>8538</v>
      </c>
      <c r="I515" s="180">
        <v>21</v>
      </c>
      <c r="K515" s="102">
        <f>IFERROR(Table21[[#This Row],[ROUTE COST]]/Table21[[#This Row],[O - DEMAND]],0)</f>
        <v>0</v>
      </c>
      <c r="M515" s="26">
        <f>IFERROR(VLOOKUP(Table21[[#This Row],[ROUTE]],DEMAND!A:F,5,FALSE),0)</f>
        <v>0</v>
      </c>
      <c r="N515" s="26">
        <f>IFERROR(VLOOKUP(Table21[[#This Row],[ROUTE]],DEMAND!A:F,6,FALSE),0)</f>
        <v>0</v>
      </c>
      <c r="O515" s="26">
        <f>ROUNDDOWN(Table21[[#This Row],[R-DEMAND]]/1320,0)</f>
        <v>0</v>
      </c>
      <c r="P515" s="26">
        <f>Table21[[#This Row],[ADD ACC]]*Table21[[#This Row],[Duration
(747-400)]]</f>
        <v>0</v>
      </c>
      <c r="Q515" s="284">
        <f>IFERROR(VLOOKUP(Table21[[#This Row],[ROUTE]],PRICING!A:B,2,FALSE),0)</f>
        <v>0</v>
      </c>
      <c r="R515" s="282">
        <f>Table21[[#This Row],[C_DEMAND]]-Table21[[#This Row],[R-DEMAND]]</f>
        <v>0</v>
      </c>
      <c r="S515" s="287">
        <f>Table21[[#This Row],[SEATS SOLD]]*Table21[[#This Row],[ECO SEAT]]</f>
        <v>0</v>
      </c>
    </row>
    <row r="516" spans="1:19" x14ac:dyDescent="0.25">
      <c r="A516" s="16" t="s">
        <v>16334</v>
      </c>
      <c r="B516" s="16" t="s">
        <v>847</v>
      </c>
      <c r="D516" s="16">
        <v>1</v>
      </c>
      <c r="E516" s="16" t="s">
        <v>83</v>
      </c>
      <c r="F516" s="16" t="s">
        <v>12674</v>
      </c>
      <c r="G516" s="179" t="s">
        <v>10413</v>
      </c>
      <c r="H516" s="254">
        <v>8078</v>
      </c>
      <c r="I516" s="180">
        <v>20</v>
      </c>
      <c r="K516" s="102">
        <f>IFERROR(Table21[[#This Row],[ROUTE COST]]/Table21[[#This Row],[O - DEMAND]],0)</f>
        <v>0</v>
      </c>
      <c r="M516" s="26">
        <f>IFERROR(VLOOKUP(Table21[[#This Row],[ROUTE]],DEMAND!A:F,5,FALSE),0)</f>
        <v>0</v>
      </c>
      <c r="N516" s="26">
        <f>IFERROR(VLOOKUP(Table21[[#This Row],[ROUTE]],DEMAND!A:F,6,FALSE),0)</f>
        <v>0</v>
      </c>
      <c r="O516" s="26">
        <f>ROUNDDOWN(Table21[[#This Row],[R-DEMAND]]/1320,0)</f>
        <v>0</v>
      </c>
      <c r="P516" s="26">
        <f>Table21[[#This Row],[ADD ACC]]*Table21[[#This Row],[Duration
(747-400)]]</f>
        <v>0</v>
      </c>
      <c r="Q516" s="284">
        <f>IFERROR(VLOOKUP(Table21[[#This Row],[ROUTE]],PRICING!A:B,2,FALSE),0)</f>
        <v>0</v>
      </c>
      <c r="R516" s="282">
        <f>Table21[[#This Row],[C_DEMAND]]-Table21[[#This Row],[R-DEMAND]]</f>
        <v>0</v>
      </c>
      <c r="S516" s="287">
        <f>Table21[[#This Row],[SEATS SOLD]]*Table21[[#This Row],[ECO SEAT]]</f>
        <v>0</v>
      </c>
    </row>
    <row r="517" spans="1:19" x14ac:dyDescent="0.25">
      <c r="A517" s="16" t="s">
        <v>16046</v>
      </c>
      <c r="B517" s="16" t="s">
        <v>4785</v>
      </c>
      <c r="D517" s="16">
        <v>3</v>
      </c>
      <c r="E517" s="16" t="s">
        <v>11732</v>
      </c>
      <c r="F517" s="16" t="s">
        <v>15969</v>
      </c>
      <c r="G517" s="179" t="s">
        <v>13361</v>
      </c>
      <c r="H517" s="254">
        <v>11663</v>
      </c>
      <c r="I517" s="180">
        <v>28</v>
      </c>
      <c r="K517" s="102">
        <f>IFERROR(Table21[[#This Row],[ROUTE COST]]/Table21[[#This Row],[O - DEMAND]],0)</f>
        <v>0</v>
      </c>
      <c r="M517" s="26">
        <f>IFERROR(VLOOKUP(Table21[[#This Row],[ROUTE]],DEMAND!A:F,5,FALSE),0)</f>
        <v>0</v>
      </c>
      <c r="N517" s="26">
        <f>IFERROR(VLOOKUP(Table21[[#This Row],[ROUTE]],DEMAND!A:F,6,FALSE),0)</f>
        <v>0</v>
      </c>
      <c r="O517" s="26">
        <f>ROUNDDOWN(Table21[[#This Row],[R-DEMAND]]/1320,0)</f>
        <v>0</v>
      </c>
      <c r="P517" s="26">
        <f>Table21[[#This Row],[ADD ACC]]*Table21[[#This Row],[Duration
(747-400)]]</f>
        <v>0</v>
      </c>
      <c r="Q517" s="284">
        <f>IFERROR(VLOOKUP(Table21[[#This Row],[ROUTE]],PRICING!A:B,2,FALSE),0)</f>
        <v>0</v>
      </c>
      <c r="R517" s="282">
        <f>Table21[[#This Row],[C_DEMAND]]-Table21[[#This Row],[R-DEMAND]]</f>
        <v>0</v>
      </c>
      <c r="S517" s="287">
        <f>Table21[[#This Row],[SEATS SOLD]]*Table21[[#This Row],[ECO SEAT]]</f>
        <v>0</v>
      </c>
    </row>
    <row r="518" spans="1:19" x14ac:dyDescent="0.25">
      <c r="A518" s="16" t="s">
        <v>16681</v>
      </c>
      <c r="B518" s="16" t="s">
        <v>371</v>
      </c>
      <c r="D518" s="16">
        <v>2</v>
      </c>
      <c r="E518" s="16" t="s">
        <v>332</v>
      </c>
      <c r="F518" s="16" t="s">
        <v>12670</v>
      </c>
      <c r="G518" s="179" t="s">
        <v>12084</v>
      </c>
      <c r="H518" s="254">
        <v>2746</v>
      </c>
      <c r="I518" s="180">
        <v>8.25</v>
      </c>
      <c r="K518" s="102">
        <f>IFERROR(Table21[[#This Row],[ROUTE COST]]/Table21[[#This Row],[O - DEMAND]],0)</f>
        <v>0</v>
      </c>
      <c r="M518" s="26">
        <f>IFERROR(VLOOKUP(Table21[[#This Row],[ROUTE]],DEMAND!A:F,5,FALSE),0)</f>
        <v>0</v>
      </c>
      <c r="N518" s="26">
        <f>IFERROR(VLOOKUP(Table21[[#This Row],[ROUTE]],DEMAND!A:F,6,FALSE),0)</f>
        <v>0</v>
      </c>
      <c r="O518" s="26">
        <f>ROUNDDOWN(Table21[[#This Row],[R-DEMAND]]/1320,0)</f>
        <v>0</v>
      </c>
      <c r="P518" s="26">
        <f>Table21[[#This Row],[ADD ACC]]*Table21[[#This Row],[Duration
(747-400)]]</f>
        <v>0</v>
      </c>
      <c r="Q518" s="284">
        <f>IFERROR(VLOOKUP(Table21[[#This Row],[ROUTE]],PRICING!A:B,2,FALSE),0)</f>
        <v>0</v>
      </c>
      <c r="R518" s="282">
        <f>Table21[[#This Row],[C_DEMAND]]-Table21[[#This Row],[R-DEMAND]]</f>
        <v>0</v>
      </c>
      <c r="S518" s="287">
        <f>Table21[[#This Row],[SEATS SOLD]]*Table21[[#This Row],[ECO SEAT]]</f>
        <v>0</v>
      </c>
    </row>
    <row r="519" spans="1:19" x14ac:dyDescent="0.25">
      <c r="A519" s="16" t="s">
        <v>16304</v>
      </c>
      <c r="B519" s="16" t="s">
        <v>3885</v>
      </c>
      <c r="D519" s="16">
        <v>2</v>
      </c>
      <c r="E519" s="16" t="s">
        <v>560</v>
      </c>
      <c r="F519" s="16" t="s">
        <v>12674</v>
      </c>
      <c r="G519" s="179" t="s">
        <v>11722</v>
      </c>
      <c r="H519" s="254">
        <v>8404</v>
      </c>
      <c r="I519" s="180">
        <v>20.75</v>
      </c>
      <c r="K519" s="102">
        <f>IFERROR(Table21[[#This Row],[ROUTE COST]]/Table21[[#This Row],[O - DEMAND]],0)</f>
        <v>0</v>
      </c>
      <c r="M519" s="26">
        <f>IFERROR(VLOOKUP(Table21[[#This Row],[ROUTE]],DEMAND!A:F,5,FALSE),0)</f>
        <v>0</v>
      </c>
      <c r="N519" s="26">
        <f>IFERROR(VLOOKUP(Table21[[#This Row],[ROUTE]],DEMAND!A:F,6,FALSE),0)</f>
        <v>0</v>
      </c>
      <c r="O519" s="26">
        <f>ROUNDDOWN(Table21[[#This Row],[R-DEMAND]]/1320,0)</f>
        <v>0</v>
      </c>
      <c r="P519" s="26">
        <f>Table21[[#This Row],[ADD ACC]]*Table21[[#This Row],[Duration
(747-400)]]</f>
        <v>0</v>
      </c>
      <c r="Q519" s="284">
        <f>IFERROR(VLOOKUP(Table21[[#This Row],[ROUTE]],PRICING!A:B,2,FALSE),0)</f>
        <v>0</v>
      </c>
      <c r="R519" s="282">
        <f>Table21[[#This Row],[C_DEMAND]]-Table21[[#This Row],[R-DEMAND]]</f>
        <v>0</v>
      </c>
      <c r="S519" s="287">
        <f>Table21[[#This Row],[SEATS SOLD]]*Table21[[#This Row],[ECO SEAT]]</f>
        <v>0</v>
      </c>
    </row>
    <row r="520" spans="1:19" x14ac:dyDescent="0.25">
      <c r="A520" s="251" t="s">
        <v>16740</v>
      </c>
      <c r="B520" s="251" t="s">
        <v>366</v>
      </c>
      <c r="D520" s="251">
        <v>3</v>
      </c>
      <c r="E520" s="251" t="s">
        <v>14</v>
      </c>
      <c r="F520" s="251" t="s">
        <v>12670</v>
      </c>
      <c r="G520" s="252" t="s">
        <v>12002</v>
      </c>
      <c r="H520" s="254">
        <v>868</v>
      </c>
      <c r="I520" s="180">
        <v>4</v>
      </c>
      <c r="K520" s="253">
        <f>IFERROR(Table21[[#This Row],[ROUTE COST]]/Table21[[#This Row],[O - DEMAND]],0)</f>
        <v>0</v>
      </c>
      <c r="M520" s="26">
        <f>IFERROR(VLOOKUP(Table21[[#This Row],[ROUTE]],DEMAND!A:F,5,FALSE),0)</f>
        <v>0</v>
      </c>
      <c r="N520" s="26">
        <f>IFERROR(VLOOKUP(Table21[[#This Row],[ROUTE]],DEMAND!A:F,6,FALSE),0)</f>
        <v>0</v>
      </c>
      <c r="O520" s="26">
        <f>ROUNDDOWN(Table21[[#This Row],[R-DEMAND]]/1320,0)</f>
        <v>0</v>
      </c>
      <c r="P520" s="26">
        <f>Table21[[#This Row],[ADD ACC]]*Table21[[#This Row],[Duration
(747-400)]]</f>
        <v>0</v>
      </c>
      <c r="Q520" s="284">
        <f>IFERROR(VLOOKUP(Table21[[#This Row],[ROUTE]],PRICING!A:B,2,FALSE),0)</f>
        <v>0</v>
      </c>
      <c r="R520" s="282">
        <f>Table21[[#This Row],[C_DEMAND]]-Table21[[#This Row],[R-DEMAND]]</f>
        <v>0</v>
      </c>
      <c r="S520" s="287">
        <f>Table21[[#This Row],[SEATS SOLD]]*Table21[[#This Row],[ECO SEAT]]</f>
        <v>0</v>
      </c>
    </row>
    <row r="521" spans="1:19" x14ac:dyDescent="0.25">
      <c r="A521" s="16" t="s">
        <v>16378</v>
      </c>
      <c r="B521" s="16" t="s">
        <v>4924</v>
      </c>
      <c r="D521" s="16">
        <v>3</v>
      </c>
      <c r="E521" s="16" t="s">
        <v>597</v>
      </c>
      <c r="F521" s="16" t="s">
        <v>12674</v>
      </c>
      <c r="G521" s="179" t="s">
        <v>11838</v>
      </c>
      <c r="H521" s="254">
        <v>7747</v>
      </c>
      <c r="I521" s="180">
        <v>19.25</v>
      </c>
      <c r="K521" s="102">
        <f>IFERROR(Table21[[#This Row],[ROUTE COST]]/Table21[[#This Row],[O - DEMAND]],0)</f>
        <v>0</v>
      </c>
      <c r="M521" s="26">
        <f>IFERROR(VLOOKUP(Table21[[#This Row],[ROUTE]],DEMAND!A:F,5,FALSE),0)</f>
        <v>0</v>
      </c>
      <c r="N521" s="26">
        <f>IFERROR(VLOOKUP(Table21[[#This Row],[ROUTE]],DEMAND!A:F,6,FALSE),0)</f>
        <v>0</v>
      </c>
      <c r="O521" s="26">
        <f>ROUNDDOWN(Table21[[#This Row],[R-DEMAND]]/1320,0)</f>
        <v>0</v>
      </c>
      <c r="P521" s="26">
        <f>Table21[[#This Row],[ADD ACC]]*Table21[[#This Row],[Duration
(747-400)]]</f>
        <v>0</v>
      </c>
      <c r="Q521" s="284">
        <f>IFERROR(VLOOKUP(Table21[[#This Row],[ROUTE]],PRICING!A:B,2,FALSE),0)</f>
        <v>0</v>
      </c>
      <c r="R521" s="282">
        <f>Table21[[#This Row],[C_DEMAND]]-Table21[[#This Row],[R-DEMAND]]</f>
        <v>0</v>
      </c>
      <c r="S521" s="287">
        <f>Table21[[#This Row],[SEATS SOLD]]*Table21[[#This Row],[ECO SEAT]]</f>
        <v>0</v>
      </c>
    </row>
    <row r="522" spans="1:19" x14ac:dyDescent="0.25">
      <c r="A522" s="16" t="s">
        <v>16307</v>
      </c>
      <c r="B522" s="16" t="s">
        <v>584</v>
      </c>
      <c r="D522" s="16">
        <v>1</v>
      </c>
      <c r="E522" s="16" t="s">
        <v>560</v>
      </c>
      <c r="F522" s="16" t="s">
        <v>12674</v>
      </c>
      <c r="G522" s="179" t="s">
        <v>11718</v>
      </c>
      <c r="H522" s="254">
        <v>8401</v>
      </c>
      <c r="I522" s="180">
        <v>20.75</v>
      </c>
      <c r="K522" s="102">
        <f>IFERROR(Table21[[#This Row],[ROUTE COST]]/Table21[[#This Row],[O - DEMAND]],0)</f>
        <v>0</v>
      </c>
      <c r="M522" s="26">
        <f>IFERROR(VLOOKUP(Table21[[#This Row],[ROUTE]],DEMAND!A:F,5,FALSE),0)</f>
        <v>0</v>
      </c>
      <c r="N522" s="26">
        <f>IFERROR(VLOOKUP(Table21[[#This Row],[ROUTE]],DEMAND!A:F,6,FALSE),0)</f>
        <v>0</v>
      </c>
      <c r="O522" s="26">
        <f>ROUNDDOWN(Table21[[#This Row],[R-DEMAND]]/1320,0)</f>
        <v>0</v>
      </c>
      <c r="P522" s="26">
        <f>Table21[[#This Row],[ADD ACC]]*Table21[[#This Row],[Duration
(747-400)]]</f>
        <v>0</v>
      </c>
      <c r="Q522" s="284">
        <f>IFERROR(VLOOKUP(Table21[[#This Row],[ROUTE]],PRICING!A:B,2,FALSE),0)</f>
        <v>0</v>
      </c>
      <c r="R522" s="282">
        <f>Table21[[#This Row],[C_DEMAND]]-Table21[[#This Row],[R-DEMAND]]</f>
        <v>0</v>
      </c>
      <c r="S522" s="287">
        <f>Table21[[#This Row],[SEATS SOLD]]*Table21[[#This Row],[ECO SEAT]]</f>
        <v>0</v>
      </c>
    </row>
    <row r="523" spans="1:19" x14ac:dyDescent="0.25">
      <c r="A523" s="16" t="s">
        <v>16059</v>
      </c>
      <c r="B523" s="16" t="s">
        <v>5524</v>
      </c>
      <c r="D523" s="16">
        <v>4</v>
      </c>
      <c r="E523" s="16" t="s">
        <v>11732</v>
      </c>
      <c r="F523" s="16" t="s">
        <v>15969</v>
      </c>
      <c r="G523" s="179" t="s">
        <v>13324</v>
      </c>
      <c r="H523" s="254">
        <v>11442</v>
      </c>
      <c r="I523" s="180">
        <v>27.5</v>
      </c>
      <c r="K523" s="102">
        <f>IFERROR(Table21[[#This Row],[ROUTE COST]]/Table21[[#This Row],[O - DEMAND]],0)</f>
        <v>0</v>
      </c>
      <c r="M523" s="26">
        <f>IFERROR(VLOOKUP(Table21[[#This Row],[ROUTE]],DEMAND!A:F,5,FALSE),0)</f>
        <v>0</v>
      </c>
      <c r="N523" s="26">
        <f>IFERROR(VLOOKUP(Table21[[#This Row],[ROUTE]],DEMAND!A:F,6,FALSE),0)</f>
        <v>0</v>
      </c>
      <c r="O523" s="26">
        <f>ROUNDDOWN(Table21[[#This Row],[R-DEMAND]]/1320,0)</f>
        <v>0</v>
      </c>
      <c r="P523" s="26">
        <f>Table21[[#This Row],[ADD ACC]]*Table21[[#This Row],[Duration
(747-400)]]</f>
        <v>0</v>
      </c>
      <c r="Q523" s="284">
        <f>IFERROR(VLOOKUP(Table21[[#This Row],[ROUTE]],PRICING!A:B,2,FALSE),0)</f>
        <v>0</v>
      </c>
      <c r="R523" s="282">
        <f>Table21[[#This Row],[C_DEMAND]]-Table21[[#This Row],[R-DEMAND]]</f>
        <v>0</v>
      </c>
      <c r="S523" s="287">
        <f>Table21[[#This Row],[SEATS SOLD]]*Table21[[#This Row],[ECO SEAT]]</f>
        <v>0</v>
      </c>
    </row>
    <row r="524" spans="1:19" x14ac:dyDescent="0.25">
      <c r="A524" s="16" t="s">
        <v>16474</v>
      </c>
      <c r="B524" s="16" t="s">
        <v>4408</v>
      </c>
      <c r="D524" s="16">
        <v>2</v>
      </c>
      <c r="E524" s="16" t="s">
        <v>1420</v>
      </c>
      <c r="F524" s="16" t="s">
        <v>12674</v>
      </c>
      <c r="G524" s="179" t="s">
        <v>11844</v>
      </c>
      <c r="H524" s="254">
        <v>6904</v>
      </c>
      <c r="I524" s="180">
        <v>17.5</v>
      </c>
      <c r="K524" s="102">
        <f>IFERROR(Table21[[#This Row],[ROUTE COST]]/Table21[[#This Row],[O - DEMAND]],0)</f>
        <v>0</v>
      </c>
      <c r="M524" s="26">
        <f>IFERROR(VLOOKUP(Table21[[#This Row],[ROUTE]],DEMAND!A:F,5,FALSE),0)</f>
        <v>0</v>
      </c>
      <c r="N524" s="26">
        <f>IFERROR(VLOOKUP(Table21[[#This Row],[ROUTE]],DEMAND!A:F,6,FALSE),0)</f>
        <v>0</v>
      </c>
      <c r="O524" s="26">
        <f>ROUNDDOWN(Table21[[#This Row],[R-DEMAND]]/1320,0)</f>
        <v>0</v>
      </c>
      <c r="P524" s="26">
        <f>Table21[[#This Row],[ADD ACC]]*Table21[[#This Row],[Duration
(747-400)]]</f>
        <v>0</v>
      </c>
      <c r="Q524" s="284">
        <f>IFERROR(VLOOKUP(Table21[[#This Row],[ROUTE]],PRICING!A:B,2,FALSE),0)</f>
        <v>0</v>
      </c>
      <c r="R524" s="282">
        <f>Table21[[#This Row],[C_DEMAND]]-Table21[[#This Row],[R-DEMAND]]</f>
        <v>0</v>
      </c>
      <c r="S524" s="287">
        <f>Table21[[#This Row],[SEATS SOLD]]*Table21[[#This Row],[ECO SEAT]]</f>
        <v>0</v>
      </c>
    </row>
    <row r="525" spans="1:19" x14ac:dyDescent="0.25">
      <c r="A525" s="16" t="s">
        <v>16462</v>
      </c>
      <c r="B525" s="16" t="s">
        <v>5262</v>
      </c>
      <c r="D525" s="16">
        <v>3</v>
      </c>
      <c r="E525" s="16" t="s">
        <v>774</v>
      </c>
      <c r="F525" s="16" t="s">
        <v>12682</v>
      </c>
      <c r="G525" s="179" t="s">
        <v>12048</v>
      </c>
      <c r="H525" s="254">
        <v>7018</v>
      </c>
      <c r="I525" s="180">
        <v>17.75</v>
      </c>
      <c r="K525" s="102">
        <f>IFERROR(Table21[[#This Row],[ROUTE COST]]/Table21[[#This Row],[O - DEMAND]],0)</f>
        <v>0</v>
      </c>
      <c r="M525" s="26">
        <f>IFERROR(VLOOKUP(Table21[[#This Row],[ROUTE]],DEMAND!A:F,5,FALSE),0)</f>
        <v>0</v>
      </c>
      <c r="N525" s="26">
        <f>IFERROR(VLOOKUP(Table21[[#This Row],[ROUTE]],DEMAND!A:F,6,FALSE),0)</f>
        <v>0</v>
      </c>
      <c r="O525" s="26">
        <f>ROUNDDOWN(Table21[[#This Row],[R-DEMAND]]/1320,0)</f>
        <v>0</v>
      </c>
      <c r="P525" s="26">
        <f>Table21[[#This Row],[ADD ACC]]*Table21[[#This Row],[Duration
(747-400)]]</f>
        <v>0</v>
      </c>
      <c r="Q525" s="284">
        <f>IFERROR(VLOOKUP(Table21[[#This Row],[ROUTE]],PRICING!A:B,2,FALSE),0)</f>
        <v>0</v>
      </c>
      <c r="R525" s="282">
        <f>Table21[[#This Row],[C_DEMAND]]-Table21[[#This Row],[R-DEMAND]]</f>
        <v>0</v>
      </c>
      <c r="S525" s="287">
        <f>Table21[[#This Row],[SEATS SOLD]]*Table21[[#This Row],[ECO SEAT]]</f>
        <v>0</v>
      </c>
    </row>
    <row r="526" spans="1:19" x14ac:dyDescent="0.25">
      <c r="A526" s="16" t="s">
        <v>16671</v>
      </c>
      <c r="B526" s="16" t="s">
        <v>357</v>
      </c>
      <c r="D526" s="16">
        <v>3</v>
      </c>
      <c r="E526" s="16" t="s">
        <v>332</v>
      </c>
      <c r="F526" s="16" t="s">
        <v>12670</v>
      </c>
      <c r="G526" s="179" t="s">
        <v>12086</v>
      </c>
      <c r="H526" s="254">
        <v>2909</v>
      </c>
      <c r="I526" s="180">
        <v>8.5</v>
      </c>
      <c r="K526" s="102">
        <f>IFERROR(Table21[[#This Row],[ROUTE COST]]/Table21[[#This Row],[O - DEMAND]],0)</f>
        <v>0</v>
      </c>
      <c r="M526" s="26">
        <f>IFERROR(VLOOKUP(Table21[[#This Row],[ROUTE]],DEMAND!A:F,5,FALSE),0)</f>
        <v>0</v>
      </c>
      <c r="N526" s="26">
        <f>IFERROR(VLOOKUP(Table21[[#This Row],[ROUTE]],DEMAND!A:F,6,FALSE),0)</f>
        <v>0</v>
      </c>
      <c r="O526" s="26">
        <f>ROUNDDOWN(Table21[[#This Row],[R-DEMAND]]/1320,0)</f>
        <v>0</v>
      </c>
      <c r="P526" s="26">
        <f>Table21[[#This Row],[ADD ACC]]*Table21[[#This Row],[Duration
(747-400)]]</f>
        <v>0</v>
      </c>
      <c r="Q526" s="284">
        <f>IFERROR(VLOOKUP(Table21[[#This Row],[ROUTE]],PRICING!A:B,2,FALSE),0)</f>
        <v>0</v>
      </c>
      <c r="R526" s="282">
        <f>Table21[[#This Row],[C_DEMAND]]-Table21[[#This Row],[R-DEMAND]]</f>
        <v>0</v>
      </c>
      <c r="S526" s="287">
        <f>Table21[[#This Row],[SEATS SOLD]]*Table21[[#This Row],[ECO SEAT]]</f>
        <v>0</v>
      </c>
    </row>
    <row r="527" spans="1:19" x14ac:dyDescent="0.25">
      <c r="A527" s="16" t="s">
        <v>16062</v>
      </c>
      <c r="B527" s="16" t="s">
        <v>5553</v>
      </c>
      <c r="D527" s="16">
        <v>4</v>
      </c>
      <c r="E527" s="16" t="s">
        <v>11732</v>
      </c>
      <c r="F527" s="16" t="s">
        <v>15969</v>
      </c>
      <c r="G527" s="179" t="s">
        <v>13359</v>
      </c>
      <c r="H527" s="254">
        <v>11426</v>
      </c>
      <c r="I527" s="180">
        <v>27.5</v>
      </c>
      <c r="K527" s="102">
        <f>IFERROR(Table21[[#This Row],[ROUTE COST]]/Table21[[#This Row],[O - DEMAND]],0)</f>
        <v>0</v>
      </c>
      <c r="M527" s="26">
        <f>IFERROR(VLOOKUP(Table21[[#This Row],[ROUTE]],DEMAND!A:F,5,FALSE),0)</f>
        <v>0</v>
      </c>
      <c r="N527" s="26">
        <f>IFERROR(VLOOKUP(Table21[[#This Row],[ROUTE]],DEMAND!A:F,6,FALSE),0)</f>
        <v>0</v>
      </c>
      <c r="O527" s="26">
        <f>ROUNDDOWN(Table21[[#This Row],[R-DEMAND]]/1320,0)</f>
        <v>0</v>
      </c>
      <c r="P527" s="26">
        <f>Table21[[#This Row],[ADD ACC]]*Table21[[#This Row],[Duration
(747-400)]]</f>
        <v>0</v>
      </c>
      <c r="Q527" s="284">
        <f>IFERROR(VLOOKUP(Table21[[#This Row],[ROUTE]],PRICING!A:B,2,FALSE),0)</f>
        <v>0</v>
      </c>
      <c r="R527" s="282">
        <f>Table21[[#This Row],[C_DEMAND]]-Table21[[#This Row],[R-DEMAND]]</f>
        <v>0</v>
      </c>
      <c r="S527" s="287">
        <f>Table21[[#This Row],[SEATS SOLD]]*Table21[[#This Row],[ECO SEAT]]</f>
        <v>0</v>
      </c>
    </row>
    <row r="528" spans="1:19" x14ac:dyDescent="0.25">
      <c r="A528" s="16" t="s">
        <v>16055</v>
      </c>
      <c r="B528" s="16" t="s">
        <v>5145</v>
      </c>
      <c r="D528" s="16">
        <v>3</v>
      </c>
      <c r="E528" s="16" t="s">
        <v>11732</v>
      </c>
      <c r="F528" s="16" t="s">
        <v>15969</v>
      </c>
      <c r="G528" s="179" t="s">
        <v>13350</v>
      </c>
      <c r="H528" s="254">
        <v>11486</v>
      </c>
      <c r="I528" s="180">
        <v>27.5</v>
      </c>
      <c r="K528" s="102">
        <f>IFERROR(Table21[[#This Row],[ROUTE COST]]/Table21[[#This Row],[O - DEMAND]],0)</f>
        <v>0</v>
      </c>
      <c r="M528" s="26">
        <f>IFERROR(VLOOKUP(Table21[[#This Row],[ROUTE]],DEMAND!A:F,5,FALSE),0)</f>
        <v>0</v>
      </c>
      <c r="N528" s="26">
        <f>IFERROR(VLOOKUP(Table21[[#This Row],[ROUTE]],DEMAND!A:F,6,FALSE),0)</f>
        <v>0</v>
      </c>
      <c r="O528" s="26">
        <f>ROUNDDOWN(Table21[[#This Row],[R-DEMAND]]/1320,0)</f>
        <v>0</v>
      </c>
      <c r="P528" s="26">
        <f>Table21[[#This Row],[ADD ACC]]*Table21[[#This Row],[Duration
(747-400)]]</f>
        <v>0</v>
      </c>
      <c r="Q528" s="284">
        <f>IFERROR(VLOOKUP(Table21[[#This Row],[ROUTE]],PRICING!A:B,2,FALSE),0)</f>
        <v>0</v>
      </c>
      <c r="R528" s="282">
        <f>Table21[[#This Row],[C_DEMAND]]-Table21[[#This Row],[R-DEMAND]]</f>
        <v>0</v>
      </c>
      <c r="S528" s="287">
        <f>Table21[[#This Row],[SEATS SOLD]]*Table21[[#This Row],[ECO SEAT]]</f>
        <v>0</v>
      </c>
    </row>
    <row r="529" spans="1:19" x14ac:dyDescent="0.25">
      <c r="A529" s="16" t="s">
        <v>16057</v>
      </c>
      <c r="B529" s="16" t="s">
        <v>4718</v>
      </c>
      <c r="D529" s="16">
        <v>3</v>
      </c>
      <c r="E529" s="16" t="s">
        <v>11732</v>
      </c>
      <c r="F529" s="16" t="s">
        <v>15969</v>
      </c>
      <c r="G529" s="179" t="s">
        <v>13355</v>
      </c>
      <c r="H529" s="254">
        <v>11461</v>
      </c>
      <c r="I529" s="180">
        <v>27.5</v>
      </c>
      <c r="K529" s="102">
        <f>IFERROR(Table21[[#This Row],[ROUTE COST]]/Table21[[#This Row],[O - DEMAND]],0)</f>
        <v>0</v>
      </c>
      <c r="M529" s="26">
        <f>IFERROR(VLOOKUP(Table21[[#This Row],[ROUTE]],DEMAND!A:F,5,FALSE),0)</f>
        <v>0</v>
      </c>
      <c r="N529" s="26">
        <f>IFERROR(VLOOKUP(Table21[[#This Row],[ROUTE]],DEMAND!A:F,6,FALSE),0)</f>
        <v>0</v>
      </c>
      <c r="O529" s="26">
        <f>ROUNDDOWN(Table21[[#This Row],[R-DEMAND]]/1320,0)</f>
        <v>0</v>
      </c>
      <c r="P529" s="26">
        <f>Table21[[#This Row],[ADD ACC]]*Table21[[#This Row],[Duration
(747-400)]]</f>
        <v>0</v>
      </c>
      <c r="Q529" s="284">
        <f>IFERROR(VLOOKUP(Table21[[#This Row],[ROUTE]],PRICING!A:B,2,FALSE),0)</f>
        <v>0</v>
      </c>
      <c r="R529" s="282">
        <f>Table21[[#This Row],[C_DEMAND]]-Table21[[#This Row],[R-DEMAND]]</f>
        <v>0</v>
      </c>
      <c r="S529" s="287">
        <f>Table21[[#This Row],[SEATS SOLD]]*Table21[[#This Row],[ECO SEAT]]</f>
        <v>0</v>
      </c>
    </row>
    <row r="530" spans="1:19" x14ac:dyDescent="0.25">
      <c r="A530" s="16" t="s">
        <v>16067</v>
      </c>
      <c r="B530" s="16" t="s">
        <v>4011</v>
      </c>
      <c r="D530" s="16">
        <v>2</v>
      </c>
      <c r="E530" s="16" t="s">
        <v>11732</v>
      </c>
      <c r="F530" s="16" t="s">
        <v>15969</v>
      </c>
      <c r="G530" s="179" t="s">
        <v>13321</v>
      </c>
      <c r="H530" s="254">
        <v>11348</v>
      </c>
      <c r="I530" s="180">
        <v>27.25</v>
      </c>
      <c r="K530" s="102">
        <f>IFERROR(Table21[[#This Row],[ROUTE COST]]/Table21[[#This Row],[O - DEMAND]],0)</f>
        <v>0</v>
      </c>
      <c r="M530" s="26">
        <f>IFERROR(VLOOKUP(Table21[[#This Row],[ROUTE]],DEMAND!A:F,5,FALSE),0)</f>
        <v>0</v>
      </c>
      <c r="N530" s="26">
        <f>IFERROR(VLOOKUP(Table21[[#This Row],[ROUTE]],DEMAND!A:F,6,FALSE),0)</f>
        <v>0</v>
      </c>
      <c r="O530" s="26">
        <f>ROUNDDOWN(Table21[[#This Row],[R-DEMAND]]/1320,0)</f>
        <v>0</v>
      </c>
      <c r="P530" s="26">
        <f>Table21[[#This Row],[ADD ACC]]*Table21[[#This Row],[Duration
(747-400)]]</f>
        <v>0</v>
      </c>
      <c r="Q530" s="284">
        <f>IFERROR(VLOOKUP(Table21[[#This Row],[ROUTE]],PRICING!A:B,2,FALSE),0)</f>
        <v>0</v>
      </c>
      <c r="R530" s="282">
        <f>Table21[[#This Row],[C_DEMAND]]-Table21[[#This Row],[R-DEMAND]]</f>
        <v>0</v>
      </c>
      <c r="S530" s="287">
        <f>Table21[[#This Row],[SEATS SOLD]]*Table21[[#This Row],[ECO SEAT]]</f>
        <v>0</v>
      </c>
    </row>
    <row r="531" spans="1:19" x14ac:dyDescent="0.25">
      <c r="A531" s="251" t="s">
        <v>16743</v>
      </c>
      <c r="B531" s="251" t="s">
        <v>4118</v>
      </c>
      <c r="D531" s="251">
        <v>2</v>
      </c>
      <c r="E531" s="251" t="s">
        <v>14</v>
      </c>
      <c r="F531" s="251" t="s">
        <v>12670</v>
      </c>
      <c r="G531" s="252" t="s">
        <v>12044</v>
      </c>
      <c r="H531" s="254">
        <v>951</v>
      </c>
      <c r="I531" s="180">
        <v>4.25</v>
      </c>
      <c r="K531" s="253">
        <f>IFERROR(Table21[[#This Row],[ROUTE COST]]/Table21[[#This Row],[O - DEMAND]],0)</f>
        <v>0</v>
      </c>
      <c r="M531" s="26">
        <f>IFERROR(VLOOKUP(Table21[[#This Row],[ROUTE]],DEMAND!A:F,5,FALSE),0)</f>
        <v>0</v>
      </c>
      <c r="N531" s="26">
        <f>IFERROR(VLOOKUP(Table21[[#This Row],[ROUTE]],DEMAND!A:F,6,FALSE),0)</f>
        <v>0</v>
      </c>
      <c r="O531" s="26">
        <f>ROUNDDOWN(Table21[[#This Row],[R-DEMAND]]/1320,0)</f>
        <v>0</v>
      </c>
      <c r="P531" s="26">
        <f>Table21[[#This Row],[ADD ACC]]*Table21[[#This Row],[Duration
(747-400)]]</f>
        <v>0</v>
      </c>
      <c r="Q531" s="284">
        <f>IFERROR(VLOOKUP(Table21[[#This Row],[ROUTE]],PRICING!A:B,2,FALSE),0)</f>
        <v>0</v>
      </c>
      <c r="R531" s="282">
        <f>Table21[[#This Row],[C_DEMAND]]-Table21[[#This Row],[R-DEMAND]]</f>
        <v>0</v>
      </c>
      <c r="S531" s="287">
        <f>Table21[[#This Row],[SEATS SOLD]]*Table21[[#This Row],[ECO SEAT]]</f>
        <v>0</v>
      </c>
    </row>
    <row r="532" spans="1:19" x14ac:dyDescent="0.25">
      <c r="A532" s="16" t="s">
        <v>16068</v>
      </c>
      <c r="B532" s="16" t="s">
        <v>2132</v>
      </c>
      <c r="D532" s="16">
        <v>1</v>
      </c>
      <c r="E532" s="16" t="s">
        <v>11732</v>
      </c>
      <c r="F532" s="16" t="s">
        <v>15969</v>
      </c>
      <c r="G532" s="179" t="s">
        <v>13327</v>
      </c>
      <c r="H532" s="254">
        <v>11341</v>
      </c>
      <c r="I532" s="180">
        <v>27.25</v>
      </c>
      <c r="K532" s="102">
        <f>IFERROR(Table21[[#This Row],[ROUTE COST]]/Table21[[#This Row],[O - DEMAND]],0)</f>
        <v>0</v>
      </c>
      <c r="M532" s="26">
        <f>IFERROR(VLOOKUP(Table21[[#This Row],[ROUTE]],DEMAND!A:F,5,FALSE),0)</f>
        <v>0</v>
      </c>
      <c r="N532" s="26">
        <f>IFERROR(VLOOKUP(Table21[[#This Row],[ROUTE]],DEMAND!A:F,6,FALSE),0)</f>
        <v>0</v>
      </c>
      <c r="O532" s="26">
        <f>ROUNDDOWN(Table21[[#This Row],[R-DEMAND]]/1320,0)</f>
        <v>0</v>
      </c>
      <c r="P532" s="26">
        <f>Table21[[#This Row],[ADD ACC]]*Table21[[#This Row],[Duration
(747-400)]]</f>
        <v>0</v>
      </c>
      <c r="Q532" s="284">
        <f>IFERROR(VLOOKUP(Table21[[#This Row],[ROUTE]],PRICING!A:B,2,FALSE),0)</f>
        <v>0</v>
      </c>
      <c r="R532" s="282">
        <f>Table21[[#This Row],[C_DEMAND]]-Table21[[#This Row],[R-DEMAND]]</f>
        <v>0</v>
      </c>
      <c r="S532" s="287">
        <f>Table21[[#This Row],[SEATS SOLD]]*Table21[[#This Row],[ECO SEAT]]</f>
        <v>0</v>
      </c>
    </row>
    <row r="533" spans="1:19" x14ac:dyDescent="0.25">
      <c r="A533" s="16" t="s">
        <v>16065</v>
      </c>
      <c r="B533" s="16" t="s">
        <v>4902</v>
      </c>
      <c r="D533" s="16">
        <v>3</v>
      </c>
      <c r="E533" s="16" t="s">
        <v>11732</v>
      </c>
      <c r="F533" s="16" t="s">
        <v>15969</v>
      </c>
      <c r="G533" s="179" t="s">
        <v>13356</v>
      </c>
      <c r="H533" s="254">
        <v>11380</v>
      </c>
      <c r="I533" s="180">
        <v>27.25</v>
      </c>
      <c r="K533" s="102">
        <f>IFERROR(Table21[[#This Row],[ROUTE COST]]/Table21[[#This Row],[O - DEMAND]],0)</f>
        <v>0</v>
      </c>
      <c r="M533" s="26">
        <f>IFERROR(VLOOKUP(Table21[[#This Row],[ROUTE]],DEMAND!A:F,5,FALSE),0)</f>
        <v>0</v>
      </c>
      <c r="N533" s="26">
        <f>IFERROR(VLOOKUP(Table21[[#This Row],[ROUTE]],DEMAND!A:F,6,FALSE),0)</f>
        <v>0</v>
      </c>
      <c r="O533" s="26">
        <f>ROUNDDOWN(Table21[[#This Row],[R-DEMAND]]/1320,0)</f>
        <v>0</v>
      </c>
      <c r="P533" s="26">
        <f>Table21[[#This Row],[ADD ACC]]*Table21[[#This Row],[Duration
(747-400)]]</f>
        <v>0</v>
      </c>
      <c r="Q533" s="284">
        <f>IFERROR(VLOOKUP(Table21[[#This Row],[ROUTE]],PRICING!A:B,2,FALSE),0)</f>
        <v>0</v>
      </c>
      <c r="R533" s="282">
        <f>Table21[[#This Row],[C_DEMAND]]-Table21[[#This Row],[R-DEMAND]]</f>
        <v>0</v>
      </c>
      <c r="S533" s="287">
        <f>Table21[[#This Row],[SEATS SOLD]]*Table21[[#This Row],[ECO SEAT]]</f>
        <v>0</v>
      </c>
    </row>
    <row r="534" spans="1:19" x14ac:dyDescent="0.25">
      <c r="A534" s="16" t="s">
        <v>16507</v>
      </c>
      <c r="B534" s="16" t="s">
        <v>1937</v>
      </c>
      <c r="D534" s="16">
        <v>1</v>
      </c>
      <c r="E534" s="16" t="s">
        <v>774</v>
      </c>
      <c r="F534" s="16" t="s">
        <v>12682</v>
      </c>
      <c r="G534" s="179" t="s">
        <v>12099</v>
      </c>
      <c r="H534" s="254">
        <v>6457</v>
      </c>
      <c r="I534" s="180">
        <v>16.5</v>
      </c>
      <c r="K534" s="102">
        <f>IFERROR(Table21[[#This Row],[ROUTE COST]]/Table21[[#This Row],[O - DEMAND]],0)</f>
        <v>0</v>
      </c>
      <c r="M534" s="26">
        <f>IFERROR(VLOOKUP(Table21[[#This Row],[ROUTE]],DEMAND!A:F,5,FALSE),0)</f>
        <v>0</v>
      </c>
      <c r="N534" s="26">
        <f>IFERROR(VLOOKUP(Table21[[#This Row],[ROUTE]],DEMAND!A:F,6,FALSE),0)</f>
        <v>0</v>
      </c>
      <c r="O534" s="26">
        <f>ROUNDDOWN(Table21[[#This Row],[R-DEMAND]]/1320,0)</f>
        <v>0</v>
      </c>
      <c r="P534" s="26">
        <f>Table21[[#This Row],[ADD ACC]]*Table21[[#This Row],[Duration
(747-400)]]</f>
        <v>0</v>
      </c>
      <c r="Q534" s="284">
        <f>IFERROR(VLOOKUP(Table21[[#This Row],[ROUTE]],PRICING!A:B,2,FALSE),0)</f>
        <v>0</v>
      </c>
      <c r="R534" s="282">
        <f>Table21[[#This Row],[C_DEMAND]]-Table21[[#This Row],[R-DEMAND]]</f>
        <v>0</v>
      </c>
      <c r="S534" s="287">
        <f>Table21[[#This Row],[SEATS SOLD]]*Table21[[#This Row],[ECO SEAT]]</f>
        <v>0</v>
      </c>
    </row>
    <row r="535" spans="1:19" x14ac:dyDescent="0.25">
      <c r="A535" s="16" t="s">
        <v>16500</v>
      </c>
      <c r="B535" s="16" t="s">
        <v>2067</v>
      </c>
      <c r="D535" s="16">
        <v>1</v>
      </c>
      <c r="E535" s="16" t="s">
        <v>1654</v>
      </c>
      <c r="F535" s="16" t="s">
        <v>12670</v>
      </c>
      <c r="G535" s="179" t="s">
        <v>11900</v>
      </c>
      <c r="H535" s="254">
        <v>6535</v>
      </c>
      <c r="I535" s="180">
        <v>16.5</v>
      </c>
      <c r="K535" s="102">
        <f>IFERROR(Table21[[#This Row],[ROUTE COST]]/Table21[[#This Row],[O - DEMAND]],0)</f>
        <v>0</v>
      </c>
      <c r="M535" s="26">
        <f>IFERROR(VLOOKUP(Table21[[#This Row],[ROUTE]],DEMAND!A:F,5,FALSE),0)</f>
        <v>0</v>
      </c>
      <c r="N535" s="26">
        <f>IFERROR(VLOOKUP(Table21[[#This Row],[ROUTE]],DEMAND!A:F,6,FALSE),0)</f>
        <v>0</v>
      </c>
      <c r="O535" s="26">
        <f>ROUNDDOWN(Table21[[#This Row],[R-DEMAND]]/1320,0)</f>
        <v>0</v>
      </c>
      <c r="P535" s="26">
        <f>Table21[[#This Row],[ADD ACC]]*Table21[[#This Row],[Duration
(747-400)]]</f>
        <v>0</v>
      </c>
      <c r="Q535" s="284">
        <f>IFERROR(VLOOKUP(Table21[[#This Row],[ROUTE]],PRICING!A:B,2,FALSE),0)</f>
        <v>0</v>
      </c>
      <c r="R535" s="282">
        <f>Table21[[#This Row],[C_DEMAND]]-Table21[[#This Row],[R-DEMAND]]</f>
        <v>0</v>
      </c>
      <c r="S535" s="287">
        <f>Table21[[#This Row],[SEATS SOLD]]*Table21[[#This Row],[ECO SEAT]]</f>
        <v>0</v>
      </c>
    </row>
    <row r="536" spans="1:19" x14ac:dyDescent="0.25">
      <c r="A536" s="16" t="s">
        <v>16702</v>
      </c>
      <c r="B536" s="16" t="s">
        <v>3435</v>
      </c>
      <c r="D536" s="16">
        <v>2</v>
      </c>
      <c r="E536" s="16" t="s">
        <v>14</v>
      </c>
      <c r="F536" s="16" t="s">
        <v>12670</v>
      </c>
      <c r="G536" s="179" t="s">
        <v>12065</v>
      </c>
      <c r="H536" s="254">
        <v>2067</v>
      </c>
      <c r="I536" s="180">
        <v>6.75</v>
      </c>
      <c r="K536" s="102">
        <f>IFERROR(Table21[[#This Row],[ROUTE COST]]/Table21[[#This Row],[O - DEMAND]],0)</f>
        <v>0</v>
      </c>
      <c r="M536" s="26">
        <f>IFERROR(VLOOKUP(Table21[[#This Row],[ROUTE]],DEMAND!A:F,5,FALSE),0)</f>
        <v>0</v>
      </c>
      <c r="N536" s="26">
        <f>IFERROR(VLOOKUP(Table21[[#This Row],[ROUTE]],DEMAND!A:F,6,FALSE),0)</f>
        <v>0</v>
      </c>
      <c r="O536" s="26">
        <f>ROUNDDOWN(Table21[[#This Row],[R-DEMAND]]/1320,0)</f>
        <v>0</v>
      </c>
      <c r="P536" s="26">
        <f>Table21[[#This Row],[ADD ACC]]*Table21[[#This Row],[Duration
(747-400)]]</f>
        <v>0</v>
      </c>
      <c r="Q536" s="284">
        <f>IFERROR(VLOOKUP(Table21[[#This Row],[ROUTE]],PRICING!A:B,2,FALSE),0)</f>
        <v>0</v>
      </c>
      <c r="R536" s="282">
        <f>Table21[[#This Row],[C_DEMAND]]-Table21[[#This Row],[R-DEMAND]]</f>
        <v>0</v>
      </c>
      <c r="S536" s="287">
        <f>Table21[[#This Row],[SEATS SOLD]]*Table21[[#This Row],[ECO SEAT]]</f>
        <v>0</v>
      </c>
    </row>
    <row r="537" spans="1:19" x14ac:dyDescent="0.25">
      <c r="A537" s="16" t="s">
        <v>16512</v>
      </c>
      <c r="B537" s="16" t="s">
        <v>4609</v>
      </c>
      <c r="D537" s="16">
        <v>2</v>
      </c>
      <c r="E537" s="16" t="s">
        <v>700</v>
      </c>
      <c r="F537" s="16" t="s">
        <v>12670</v>
      </c>
      <c r="G537" s="179" t="s">
        <v>10085</v>
      </c>
      <c r="H537" s="254">
        <v>6393</v>
      </c>
      <c r="I537" s="180">
        <v>16.25</v>
      </c>
      <c r="K537" s="102">
        <f>IFERROR(Table21[[#This Row],[ROUTE COST]]/Table21[[#This Row],[O - DEMAND]],0)</f>
        <v>0</v>
      </c>
      <c r="M537" s="26">
        <f>IFERROR(VLOOKUP(Table21[[#This Row],[ROUTE]],DEMAND!A:F,5,FALSE),0)</f>
        <v>0</v>
      </c>
      <c r="N537" s="26">
        <f>IFERROR(VLOOKUP(Table21[[#This Row],[ROUTE]],DEMAND!A:F,6,FALSE),0)</f>
        <v>0</v>
      </c>
      <c r="O537" s="26">
        <f>ROUNDDOWN(Table21[[#This Row],[R-DEMAND]]/1320,0)</f>
        <v>0</v>
      </c>
      <c r="P537" s="26">
        <f>Table21[[#This Row],[ADD ACC]]*Table21[[#This Row],[Duration
(747-400)]]</f>
        <v>0</v>
      </c>
      <c r="Q537" s="284">
        <f>IFERROR(VLOOKUP(Table21[[#This Row],[ROUTE]],PRICING!A:B,2,FALSE),0)</f>
        <v>0</v>
      </c>
      <c r="R537" s="282">
        <f>Table21[[#This Row],[C_DEMAND]]-Table21[[#This Row],[R-DEMAND]]</f>
        <v>0</v>
      </c>
      <c r="S537" s="287">
        <f>Table21[[#This Row],[SEATS SOLD]]*Table21[[#This Row],[ECO SEAT]]</f>
        <v>0</v>
      </c>
    </row>
    <row r="538" spans="1:19" x14ac:dyDescent="0.25">
      <c r="A538" s="16" t="s">
        <v>16066</v>
      </c>
      <c r="B538" s="16" t="s">
        <v>4653</v>
      </c>
      <c r="D538" s="16">
        <v>3</v>
      </c>
      <c r="E538" s="16" t="s">
        <v>11732</v>
      </c>
      <c r="F538" s="16" t="s">
        <v>15969</v>
      </c>
      <c r="G538" s="179" t="s">
        <v>13344</v>
      </c>
      <c r="H538" s="254">
        <v>11371</v>
      </c>
      <c r="I538" s="180">
        <v>27.25</v>
      </c>
      <c r="K538" s="102">
        <f>IFERROR(Table21[[#This Row],[ROUTE COST]]/Table21[[#This Row],[O - DEMAND]],0)</f>
        <v>0</v>
      </c>
      <c r="M538" s="26">
        <f>IFERROR(VLOOKUP(Table21[[#This Row],[ROUTE]],DEMAND!A:F,5,FALSE),0)</f>
        <v>0</v>
      </c>
      <c r="N538" s="26">
        <f>IFERROR(VLOOKUP(Table21[[#This Row],[ROUTE]],DEMAND!A:F,6,FALSE),0)</f>
        <v>0</v>
      </c>
      <c r="O538" s="26">
        <f>ROUNDDOWN(Table21[[#This Row],[R-DEMAND]]/1320,0)</f>
        <v>0</v>
      </c>
      <c r="P538" s="26">
        <f>Table21[[#This Row],[ADD ACC]]*Table21[[#This Row],[Duration
(747-400)]]</f>
        <v>0</v>
      </c>
      <c r="Q538" s="284">
        <f>IFERROR(VLOOKUP(Table21[[#This Row],[ROUTE]],PRICING!A:B,2,FALSE),0)</f>
        <v>0</v>
      </c>
      <c r="R538" s="282">
        <f>Table21[[#This Row],[C_DEMAND]]-Table21[[#This Row],[R-DEMAND]]</f>
        <v>0</v>
      </c>
      <c r="S538" s="287">
        <f>Table21[[#This Row],[SEATS SOLD]]*Table21[[#This Row],[ECO SEAT]]</f>
        <v>0</v>
      </c>
    </row>
    <row r="539" spans="1:19" x14ac:dyDescent="0.25">
      <c r="A539" s="251" t="s">
        <v>16789</v>
      </c>
      <c r="B539" s="251" t="s">
        <v>3070</v>
      </c>
      <c r="D539" s="251">
        <v>2</v>
      </c>
      <c r="E539" s="251" t="s">
        <v>14</v>
      </c>
      <c r="F539" s="251" t="s">
        <v>12670</v>
      </c>
      <c r="G539" s="252" t="s">
        <v>10058</v>
      </c>
      <c r="H539" s="254">
        <v>1847</v>
      </c>
      <c r="I539" s="180">
        <v>6.25</v>
      </c>
      <c r="K539" s="253">
        <f>IFERROR(Table21[[#This Row],[ROUTE COST]]/Table21[[#This Row],[O - DEMAND]],0)</f>
        <v>0</v>
      </c>
      <c r="M539" s="26">
        <f>IFERROR(VLOOKUP(Table21[[#This Row],[ROUTE]],DEMAND!A:F,5,FALSE),0)</f>
        <v>0</v>
      </c>
      <c r="N539" s="26">
        <f>IFERROR(VLOOKUP(Table21[[#This Row],[ROUTE]],DEMAND!A:F,6,FALSE),0)</f>
        <v>0</v>
      </c>
      <c r="O539" s="26">
        <f>ROUNDDOWN(Table21[[#This Row],[R-DEMAND]]/1320,0)</f>
        <v>0</v>
      </c>
      <c r="P539" s="26">
        <f>Table21[[#This Row],[ADD ACC]]*Table21[[#This Row],[Duration
(747-400)]]</f>
        <v>0</v>
      </c>
      <c r="Q539" s="284">
        <f>IFERROR(VLOOKUP(Table21[[#This Row],[ROUTE]],PRICING!A:B,2,FALSE),0)</f>
        <v>0</v>
      </c>
      <c r="R539" s="282">
        <f>Table21[[#This Row],[C_DEMAND]]-Table21[[#This Row],[R-DEMAND]]</f>
        <v>0</v>
      </c>
      <c r="S539" s="287">
        <f>Table21[[#This Row],[SEATS SOLD]]*Table21[[#This Row],[ECO SEAT]]</f>
        <v>0</v>
      </c>
    </row>
    <row r="540" spans="1:19" x14ac:dyDescent="0.25">
      <c r="A540" s="16" t="s">
        <v>16439</v>
      </c>
      <c r="B540" s="16" t="s">
        <v>3046</v>
      </c>
      <c r="D540" s="16">
        <v>2</v>
      </c>
      <c r="E540" s="16" t="s">
        <v>700</v>
      </c>
      <c r="F540" s="16" t="s">
        <v>12670</v>
      </c>
      <c r="G540" s="179" t="s">
        <v>11853</v>
      </c>
      <c r="H540" s="254">
        <v>7196</v>
      </c>
      <c r="I540" s="180">
        <v>18</v>
      </c>
      <c r="K540" s="102">
        <f>IFERROR(Table21[[#This Row],[ROUTE COST]]/Table21[[#This Row],[O - DEMAND]],0)</f>
        <v>0</v>
      </c>
      <c r="M540" s="26">
        <f>IFERROR(VLOOKUP(Table21[[#This Row],[ROUTE]],DEMAND!A:F,5,FALSE),0)</f>
        <v>0</v>
      </c>
      <c r="N540" s="26">
        <f>IFERROR(VLOOKUP(Table21[[#This Row],[ROUTE]],DEMAND!A:F,6,FALSE),0)</f>
        <v>0</v>
      </c>
      <c r="O540" s="26">
        <f>ROUNDDOWN(Table21[[#This Row],[R-DEMAND]]/1320,0)</f>
        <v>0</v>
      </c>
      <c r="P540" s="26">
        <f>Table21[[#This Row],[ADD ACC]]*Table21[[#This Row],[Duration
(747-400)]]</f>
        <v>0</v>
      </c>
      <c r="Q540" s="284">
        <f>IFERROR(VLOOKUP(Table21[[#This Row],[ROUTE]],PRICING!A:B,2,FALSE),0)</f>
        <v>0</v>
      </c>
      <c r="R540" s="282">
        <f>Table21[[#This Row],[C_DEMAND]]-Table21[[#This Row],[R-DEMAND]]</f>
        <v>0</v>
      </c>
      <c r="S540" s="287">
        <f>Table21[[#This Row],[SEATS SOLD]]*Table21[[#This Row],[ECO SEAT]]</f>
        <v>0</v>
      </c>
    </row>
    <row r="541" spans="1:19" x14ac:dyDescent="0.25">
      <c r="A541" s="16" t="s">
        <v>16077</v>
      </c>
      <c r="B541" s="16" t="s">
        <v>4183</v>
      </c>
      <c r="D541" s="16">
        <v>2</v>
      </c>
      <c r="E541" s="16" t="s">
        <v>11732</v>
      </c>
      <c r="F541" s="16" t="s">
        <v>15969</v>
      </c>
      <c r="G541" s="179" t="s">
        <v>13315</v>
      </c>
      <c r="H541" s="254">
        <v>11177</v>
      </c>
      <c r="I541" s="180">
        <v>27</v>
      </c>
      <c r="K541" s="102">
        <f>IFERROR(Table21[[#This Row],[ROUTE COST]]/Table21[[#This Row],[O - DEMAND]],0)</f>
        <v>0</v>
      </c>
      <c r="M541" s="26">
        <f>IFERROR(VLOOKUP(Table21[[#This Row],[ROUTE]],DEMAND!A:F,5,FALSE),0)</f>
        <v>0</v>
      </c>
      <c r="N541" s="26">
        <f>IFERROR(VLOOKUP(Table21[[#This Row],[ROUTE]],DEMAND!A:F,6,FALSE),0)</f>
        <v>0</v>
      </c>
      <c r="O541" s="26">
        <f>ROUNDDOWN(Table21[[#This Row],[R-DEMAND]]/1320,0)</f>
        <v>0</v>
      </c>
      <c r="P541" s="26">
        <f>Table21[[#This Row],[ADD ACC]]*Table21[[#This Row],[Duration
(747-400)]]</f>
        <v>0</v>
      </c>
      <c r="Q541" s="284">
        <f>IFERROR(VLOOKUP(Table21[[#This Row],[ROUTE]],PRICING!A:B,2,FALSE),0)</f>
        <v>0</v>
      </c>
      <c r="R541" s="282">
        <f>Table21[[#This Row],[C_DEMAND]]-Table21[[#This Row],[R-DEMAND]]</f>
        <v>0</v>
      </c>
      <c r="S541" s="287">
        <f>Table21[[#This Row],[SEATS SOLD]]*Table21[[#This Row],[ECO SEAT]]</f>
        <v>0</v>
      </c>
    </row>
    <row r="542" spans="1:19" x14ac:dyDescent="0.25">
      <c r="A542" s="16" t="s">
        <v>16406</v>
      </c>
      <c r="B542" s="16" t="s">
        <v>4937</v>
      </c>
      <c r="D542" s="16">
        <v>3</v>
      </c>
      <c r="E542" s="16" t="s">
        <v>1427</v>
      </c>
      <c r="F542" s="16" t="s">
        <v>12674</v>
      </c>
      <c r="G542" s="179" t="s">
        <v>11791</v>
      </c>
      <c r="H542" s="254">
        <v>7423</v>
      </c>
      <c r="I542" s="180">
        <v>18.5</v>
      </c>
      <c r="K542" s="102">
        <f>IFERROR(Table21[[#This Row],[ROUTE COST]]/Table21[[#This Row],[O - DEMAND]],0)</f>
        <v>0</v>
      </c>
      <c r="M542" s="26">
        <f>IFERROR(VLOOKUP(Table21[[#This Row],[ROUTE]],DEMAND!A:F,5,FALSE),0)</f>
        <v>0</v>
      </c>
      <c r="N542" s="26">
        <f>IFERROR(VLOOKUP(Table21[[#This Row],[ROUTE]],DEMAND!A:F,6,FALSE),0)</f>
        <v>0</v>
      </c>
      <c r="O542" s="26">
        <f>ROUNDDOWN(Table21[[#This Row],[R-DEMAND]]/1320,0)</f>
        <v>0</v>
      </c>
      <c r="P542" s="26">
        <f>Table21[[#This Row],[ADD ACC]]*Table21[[#This Row],[Duration
(747-400)]]</f>
        <v>0</v>
      </c>
      <c r="Q542" s="284">
        <f>IFERROR(VLOOKUP(Table21[[#This Row],[ROUTE]],PRICING!A:B,2,FALSE),0)</f>
        <v>0</v>
      </c>
      <c r="R542" s="282">
        <f>Table21[[#This Row],[C_DEMAND]]-Table21[[#This Row],[R-DEMAND]]</f>
        <v>0</v>
      </c>
      <c r="S542" s="287">
        <f>Table21[[#This Row],[SEATS SOLD]]*Table21[[#This Row],[ECO SEAT]]</f>
        <v>0</v>
      </c>
    </row>
    <row r="543" spans="1:19" x14ac:dyDescent="0.25">
      <c r="A543" s="16" t="s">
        <v>16539</v>
      </c>
      <c r="B543" s="16" t="s">
        <v>4884</v>
      </c>
      <c r="D543" s="16">
        <v>3</v>
      </c>
      <c r="E543" s="16" t="s">
        <v>774</v>
      </c>
      <c r="F543" s="16" t="s">
        <v>12682</v>
      </c>
      <c r="G543" s="179" t="s">
        <v>12090</v>
      </c>
      <c r="H543" s="254">
        <v>6022</v>
      </c>
      <c r="I543" s="180">
        <v>15.5</v>
      </c>
      <c r="K543" s="102">
        <f>IFERROR(Table21[[#This Row],[ROUTE COST]]/Table21[[#This Row],[O - DEMAND]],0)</f>
        <v>0</v>
      </c>
      <c r="M543" s="26">
        <f>IFERROR(VLOOKUP(Table21[[#This Row],[ROUTE]],DEMAND!A:F,5,FALSE),0)</f>
        <v>0</v>
      </c>
      <c r="N543" s="26">
        <f>IFERROR(VLOOKUP(Table21[[#This Row],[ROUTE]],DEMAND!A:F,6,FALSE),0)</f>
        <v>0</v>
      </c>
      <c r="O543" s="26">
        <f>ROUNDDOWN(Table21[[#This Row],[R-DEMAND]]/1320,0)</f>
        <v>0</v>
      </c>
      <c r="P543" s="26">
        <f>Table21[[#This Row],[ADD ACC]]*Table21[[#This Row],[Duration
(747-400)]]</f>
        <v>0</v>
      </c>
      <c r="Q543" s="284">
        <f>IFERROR(VLOOKUP(Table21[[#This Row],[ROUTE]],PRICING!A:B,2,FALSE),0)</f>
        <v>0</v>
      </c>
      <c r="R543" s="282">
        <f>Table21[[#This Row],[C_DEMAND]]-Table21[[#This Row],[R-DEMAND]]</f>
        <v>0</v>
      </c>
      <c r="S543" s="287">
        <f>Table21[[#This Row],[SEATS SOLD]]*Table21[[#This Row],[ECO SEAT]]</f>
        <v>0</v>
      </c>
    </row>
    <row r="544" spans="1:19" x14ac:dyDescent="0.25">
      <c r="A544" s="16" t="s">
        <v>16340</v>
      </c>
      <c r="B544" s="16" t="s">
        <v>4533</v>
      </c>
      <c r="D544" s="16">
        <v>2</v>
      </c>
      <c r="E544" s="16" t="s">
        <v>83</v>
      </c>
      <c r="F544" s="16" t="s">
        <v>12674</v>
      </c>
      <c r="G544" s="179" t="s">
        <v>11714</v>
      </c>
      <c r="H544" s="254">
        <v>8025</v>
      </c>
      <c r="I544" s="180">
        <v>20</v>
      </c>
      <c r="K544" s="102">
        <f>IFERROR(Table21[[#This Row],[ROUTE COST]]/Table21[[#This Row],[O - DEMAND]],0)</f>
        <v>0</v>
      </c>
      <c r="M544" s="26">
        <f>IFERROR(VLOOKUP(Table21[[#This Row],[ROUTE]],DEMAND!A:F,5,FALSE),0)</f>
        <v>0</v>
      </c>
      <c r="N544" s="26">
        <f>IFERROR(VLOOKUP(Table21[[#This Row],[ROUTE]],DEMAND!A:F,6,FALSE),0)</f>
        <v>0</v>
      </c>
      <c r="O544" s="26">
        <f>ROUNDDOWN(Table21[[#This Row],[R-DEMAND]]/1320,0)</f>
        <v>0</v>
      </c>
      <c r="P544" s="26">
        <f>Table21[[#This Row],[ADD ACC]]*Table21[[#This Row],[Duration
(747-400)]]</f>
        <v>0</v>
      </c>
      <c r="Q544" s="284">
        <f>IFERROR(VLOOKUP(Table21[[#This Row],[ROUTE]],PRICING!A:B,2,FALSE),0)</f>
        <v>0</v>
      </c>
      <c r="R544" s="282">
        <f>Table21[[#This Row],[C_DEMAND]]-Table21[[#This Row],[R-DEMAND]]</f>
        <v>0</v>
      </c>
      <c r="S544" s="287">
        <f>Table21[[#This Row],[SEATS SOLD]]*Table21[[#This Row],[ECO SEAT]]</f>
        <v>0</v>
      </c>
    </row>
    <row r="545" spans="1:19" x14ac:dyDescent="0.25">
      <c r="A545" s="16" t="s">
        <v>16479</v>
      </c>
      <c r="B545" s="16" t="s">
        <v>1269</v>
      </c>
      <c r="D545" s="16">
        <v>1</v>
      </c>
      <c r="E545" s="16" t="s">
        <v>172</v>
      </c>
      <c r="F545" s="16" t="s">
        <v>12670</v>
      </c>
      <c r="G545" s="179" t="s">
        <v>11934</v>
      </c>
      <c r="H545" s="254">
        <v>6846</v>
      </c>
      <c r="I545" s="180">
        <v>17.25</v>
      </c>
      <c r="K545" s="102">
        <f>IFERROR(Table21[[#This Row],[ROUTE COST]]/Table21[[#This Row],[O - DEMAND]],0)</f>
        <v>0</v>
      </c>
      <c r="M545" s="26">
        <f>IFERROR(VLOOKUP(Table21[[#This Row],[ROUTE]],DEMAND!A:F,5,FALSE),0)</f>
        <v>0</v>
      </c>
      <c r="N545" s="26">
        <f>IFERROR(VLOOKUP(Table21[[#This Row],[ROUTE]],DEMAND!A:F,6,FALSE),0)</f>
        <v>0</v>
      </c>
      <c r="O545" s="26">
        <f>ROUNDDOWN(Table21[[#This Row],[R-DEMAND]]/1320,0)</f>
        <v>0</v>
      </c>
      <c r="P545" s="26">
        <f>Table21[[#This Row],[ADD ACC]]*Table21[[#This Row],[Duration
(747-400)]]</f>
        <v>0</v>
      </c>
      <c r="Q545" s="284">
        <f>IFERROR(VLOOKUP(Table21[[#This Row],[ROUTE]],PRICING!A:B,2,FALSE),0)</f>
        <v>0</v>
      </c>
      <c r="R545" s="282">
        <f>Table21[[#This Row],[C_DEMAND]]-Table21[[#This Row],[R-DEMAND]]</f>
        <v>0</v>
      </c>
      <c r="S545" s="287">
        <f>Table21[[#This Row],[SEATS SOLD]]*Table21[[#This Row],[ECO SEAT]]</f>
        <v>0</v>
      </c>
    </row>
    <row r="546" spans="1:19" x14ac:dyDescent="0.25">
      <c r="A546" s="16" t="s">
        <v>16591</v>
      </c>
      <c r="B546" s="16" t="s">
        <v>1653</v>
      </c>
      <c r="D546" s="16">
        <v>1</v>
      </c>
      <c r="E546" s="16" t="s">
        <v>78</v>
      </c>
      <c r="F546" s="16" t="s">
        <v>12674</v>
      </c>
      <c r="G546" s="179" t="s">
        <v>11836</v>
      </c>
      <c r="H546" s="254">
        <v>4703</v>
      </c>
      <c r="I546" s="180">
        <v>12.5</v>
      </c>
      <c r="K546" s="102">
        <f>IFERROR(Table21[[#This Row],[ROUTE COST]]/Table21[[#This Row],[O - DEMAND]],0)</f>
        <v>0</v>
      </c>
      <c r="M546" s="26">
        <f>IFERROR(VLOOKUP(Table21[[#This Row],[ROUTE]],DEMAND!A:F,5,FALSE),0)</f>
        <v>0</v>
      </c>
      <c r="N546" s="26">
        <f>IFERROR(VLOOKUP(Table21[[#This Row],[ROUTE]],DEMAND!A:F,6,FALSE),0)</f>
        <v>0</v>
      </c>
      <c r="O546" s="26">
        <f>ROUNDDOWN(Table21[[#This Row],[R-DEMAND]]/1320,0)</f>
        <v>0</v>
      </c>
      <c r="P546" s="26">
        <f>Table21[[#This Row],[ADD ACC]]*Table21[[#This Row],[Duration
(747-400)]]</f>
        <v>0</v>
      </c>
      <c r="Q546" s="284">
        <f>IFERROR(VLOOKUP(Table21[[#This Row],[ROUTE]],PRICING!A:B,2,FALSE),0)</f>
        <v>0</v>
      </c>
      <c r="R546" s="282">
        <f>Table21[[#This Row],[C_DEMAND]]-Table21[[#This Row],[R-DEMAND]]</f>
        <v>0</v>
      </c>
      <c r="S546" s="287">
        <f>Table21[[#This Row],[SEATS SOLD]]*Table21[[#This Row],[ECO SEAT]]</f>
        <v>0</v>
      </c>
    </row>
    <row r="547" spans="1:19" x14ac:dyDescent="0.25">
      <c r="A547" s="16" t="s">
        <v>16621</v>
      </c>
      <c r="B547" s="16" t="s">
        <v>4454</v>
      </c>
      <c r="D547" s="16">
        <v>2</v>
      </c>
      <c r="E547" s="16" t="s">
        <v>4452</v>
      </c>
      <c r="F547" s="16" t="s">
        <v>12670</v>
      </c>
      <c r="G547" s="179" t="s">
        <v>11988</v>
      </c>
      <c r="H547" s="254">
        <v>4063</v>
      </c>
      <c r="I547" s="180">
        <v>11</v>
      </c>
      <c r="K547" s="102">
        <f>IFERROR(Table21[[#This Row],[ROUTE COST]]/Table21[[#This Row],[O - DEMAND]],0)</f>
        <v>0</v>
      </c>
      <c r="M547" s="26">
        <f>IFERROR(VLOOKUP(Table21[[#This Row],[ROUTE]],DEMAND!A:F,5,FALSE),0)</f>
        <v>0</v>
      </c>
      <c r="N547" s="26">
        <f>IFERROR(VLOOKUP(Table21[[#This Row],[ROUTE]],DEMAND!A:F,6,FALSE),0)</f>
        <v>0</v>
      </c>
      <c r="O547" s="26">
        <f>ROUNDDOWN(Table21[[#This Row],[R-DEMAND]]/1320,0)</f>
        <v>0</v>
      </c>
      <c r="P547" s="26">
        <f>Table21[[#This Row],[ADD ACC]]*Table21[[#This Row],[Duration
(747-400)]]</f>
        <v>0</v>
      </c>
      <c r="Q547" s="284">
        <f>IFERROR(VLOOKUP(Table21[[#This Row],[ROUTE]],PRICING!A:B,2,FALSE),0)</f>
        <v>0</v>
      </c>
      <c r="R547" s="282">
        <f>Table21[[#This Row],[C_DEMAND]]-Table21[[#This Row],[R-DEMAND]]</f>
        <v>0</v>
      </c>
      <c r="S547" s="287">
        <f>Table21[[#This Row],[SEATS SOLD]]*Table21[[#This Row],[ECO SEAT]]</f>
        <v>0</v>
      </c>
    </row>
    <row r="548" spans="1:19" x14ac:dyDescent="0.25">
      <c r="A548" s="16" t="s">
        <v>16433</v>
      </c>
      <c r="B548" s="16" t="s">
        <v>3939</v>
      </c>
      <c r="D548" s="16">
        <v>2</v>
      </c>
      <c r="E548" s="16" t="s">
        <v>172</v>
      </c>
      <c r="F548" s="16" t="s">
        <v>12670</v>
      </c>
      <c r="G548" s="179" t="s">
        <v>9989</v>
      </c>
      <c r="H548" s="254">
        <v>7261</v>
      </c>
      <c r="I548" s="180">
        <v>18.25</v>
      </c>
      <c r="K548" s="102">
        <f>IFERROR(Table21[[#This Row],[ROUTE COST]]/Table21[[#This Row],[O - DEMAND]],0)</f>
        <v>0</v>
      </c>
      <c r="M548" s="26">
        <f>IFERROR(VLOOKUP(Table21[[#This Row],[ROUTE]],DEMAND!A:F,5,FALSE),0)</f>
        <v>0</v>
      </c>
      <c r="N548" s="26">
        <f>IFERROR(VLOOKUP(Table21[[#This Row],[ROUTE]],DEMAND!A:F,6,FALSE),0)</f>
        <v>0</v>
      </c>
      <c r="O548" s="26">
        <f>ROUNDDOWN(Table21[[#This Row],[R-DEMAND]]/1320,0)</f>
        <v>0</v>
      </c>
      <c r="P548" s="26">
        <f>Table21[[#This Row],[ADD ACC]]*Table21[[#This Row],[Duration
(747-400)]]</f>
        <v>0</v>
      </c>
      <c r="Q548" s="284">
        <f>IFERROR(VLOOKUP(Table21[[#This Row],[ROUTE]],PRICING!A:B,2,FALSE),0)</f>
        <v>0</v>
      </c>
      <c r="R548" s="282">
        <f>Table21[[#This Row],[C_DEMAND]]-Table21[[#This Row],[R-DEMAND]]</f>
        <v>0</v>
      </c>
      <c r="S548" s="287">
        <f>Table21[[#This Row],[SEATS SOLD]]*Table21[[#This Row],[ECO SEAT]]</f>
        <v>0</v>
      </c>
    </row>
    <row r="549" spans="1:19" x14ac:dyDescent="0.25">
      <c r="A549" s="16" t="s">
        <v>16081</v>
      </c>
      <c r="B549" s="16" t="s">
        <v>4605</v>
      </c>
      <c r="D549" s="16">
        <v>2</v>
      </c>
      <c r="E549" s="16" t="s">
        <v>11732</v>
      </c>
      <c r="F549" s="16" t="s">
        <v>15969</v>
      </c>
      <c r="G549" s="179" t="s">
        <v>13352</v>
      </c>
      <c r="H549" s="254">
        <v>11101</v>
      </c>
      <c r="I549" s="180">
        <v>26.75</v>
      </c>
      <c r="K549" s="102">
        <f>IFERROR(Table21[[#This Row],[ROUTE COST]]/Table21[[#This Row],[O - DEMAND]],0)</f>
        <v>0</v>
      </c>
      <c r="M549" s="26">
        <f>IFERROR(VLOOKUP(Table21[[#This Row],[ROUTE]],DEMAND!A:F,5,FALSE),0)</f>
        <v>0</v>
      </c>
      <c r="N549" s="26">
        <f>IFERROR(VLOOKUP(Table21[[#This Row],[ROUTE]],DEMAND!A:F,6,FALSE),0)</f>
        <v>0</v>
      </c>
      <c r="O549" s="26">
        <f>ROUNDDOWN(Table21[[#This Row],[R-DEMAND]]/1320,0)</f>
        <v>0</v>
      </c>
      <c r="P549" s="26">
        <f>Table21[[#This Row],[ADD ACC]]*Table21[[#This Row],[Duration
(747-400)]]</f>
        <v>0</v>
      </c>
      <c r="Q549" s="284">
        <f>IFERROR(VLOOKUP(Table21[[#This Row],[ROUTE]],PRICING!A:B,2,FALSE),0)</f>
        <v>0</v>
      </c>
      <c r="R549" s="282">
        <f>Table21[[#This Row],[C_DEMAND]]-Table21[[#This Row],[R-DEMAND]]</f>
        <v>0</v>
      </c>
      <c r="S549" s="287">
        <f>Table21[[#This Row],[SEATS SOLD]]*Table21[[#This Row],[ECO SEAT]]</f>
        <v>0</v>
      </c>
    </row>
    <row r="550" spans="1:19" x14ac:dyDescent="0.25">
      <c r="A550" s="16" t="s">
        <v>16362</v>
      </c>
      <c r="B550" s="16" t="s">
        <v>4898</v>
      </c>
      <c r="D550" s="16">
        <v>3</v>
      </c>
      <c r="E550" s="16" t="s">
        <v>3204</v>
      </c>
      <c r="F550" s="16" t="s">
        <v>12674</v>
      </c>
      <c r="G550" s="179" t="s">
        <v>11736</v>
      </c>
      <c r="H550" s="254">
        <v>7859</v>
      </c>
      <c r="I550" s="180">
        <v>19.5</v>
      </c>
      <c r="K550" s="102">
        <f>IFERROR(Table21[[#This Row],[ROUTE COST]]/Table21[[#This Row],[O - DEMAND]],0)</f>
        <v>0</v>
      </c>
      <c r="M550" s="26">
        <f>IFERROR(VLOOKUP(Table21[[#This Row],[ROUTE]],DEMAND!A:F,5,FALSE),0)</f>
        <v>0</v>
      </c>
      <c r="N550" s="26">
        <f>IFERROR(VLOOKUP(Table21[[#This Row],[ROUTE]],DEMAND!A:F,6,FALSE),0)</f>
        <v>0</v>
      </c>
      <c r="O550" s="26">
        <f>ROUNDDOWN(Table21[[#This Row],[R-DEMAND]]/1320,0)</f>
        <v>0</v>
      </c>
      <c r="P550" s="26">
        <f>Table21[[#This Row],[ADD ACC]]*Table21[[#This Row],[Duration
(747-400)]]</f>
        <v>0</v>
      </c>
      <c r="Q550" s="284">
        <f>IFERROR(VLOOKUP(Table21[[#This Row],[ROUTE]],PRICING!A:B,2,FALSE),0)</f>
        <v>0</v>
      </c>
      <c r="R550" s="282">
        <f>Table21[[#This Row],[C_DEMAND]]-Table21[[#This Row],[R-DEMAND]]</f>
        <v>0</v>
      </c>
      <c r="S550" s="287">
        <f>Table21[[#This Row],[SEATS SOLD]]*Table21[[#This Row],[ECO SEAT]]</f>
        <v>0</v>
      </c>
    </row>
    <row r="551" spans="1:19" x14ac:dyDescent="0.25">
      <c r="A551" s="16" t="s">
        <v>16413</v>
      </c>
      <c r="B551" s="16" t="s">
        <v>1939</v>
      </c>
      <c r="D551" s="16">
        <v>1</v>
      </c>
      <c r="E551" s="16" t="s">
        <v>172</v>
      </c>
      <c r="F551" s="16" t="s">
        <v>12670</v>
      </c>
      <c r="G551" s="179" t="s">
        <v>9941</v>
      </c>
      <c r="H551" s="254">
        <v>7372</v>
      </c>
      <c r="I551" s="180">
        <v>18.5</v>
      </c>
      <c r="K551" s="102">
        <f>IFERROR(Table21[[#This Row],[ROUTE COST]]/Table21[[#This Row],[O - DEMAND]],0)</f>
        <v>0</v>
      </c>
      <c r="M551" s="26">
        <f>IFERROR(VLOOKUP(Table21[[#This Row],[ROUTE]],DEMAND!A:F,5,FALSE),0)</f>
        <v>0</v>
      </c>
      <c r="N551" s="26">
        <f>IFERROR(VLOOKUP(Table21[[#This Row],[ROUTE]],DEMAND!A:F,6,FALSE),0)</f>
        <v>0</v>
      </c>
      <c r="O551" s="26">
        <f>ROUNDDOWN(Table21[[#This Row],[R-DEMAND]]/1320,0)</f>
        <v>0</v>
      </c>
      <c r="P551" s="26">
        <f>Table21[[#This Row],[ADD ACC]]*Table21[[#This Row],[Duration
(747-400)]]</f>
        <v>0</v>
      </c>
      <c r="Q551" s="284">
        <f>IFERROR(VLOOKUP(Table21[[#This Row],[ROUTE]],PRICING!A:B,2,FALSE),0)</f>
        <v>0</v>
      </c>
      <c r="R551" s="282">
        <f>Table21[[#This Row],[C_DEMAND]]-Table21[[#This Row],[R-DEMAND]]</f>
        <v>0</v>
      </c>
      <c r="S551" s="287">
        <f>Table21[[#This Row],[SEATS SOLD]]*Table21[[#This Row],[ECO SEAT]]</f>
        <v>0</v>
      </c>
    </row>
    <row r="552" spans="1:19" x14ac:dyDescent="0.25">
      <c r="A552" s="16" t="s">
        <v>16082</v>
      </c>
      <c r="B552" s="16" t="s">
        <v>4473</v>
      </c>
      <c r="D552" s="16">
        <v>2</v>
      </c>
      <c r="E552" s="16" t="s">
        <v>11732</v>
      </c>
      <c r="F552" s="16" t="s">
        <v>15969</v>
      </c>
      <c r="G552" s="179" t="s">
        <v>13304</v>
      </c>
      <c r="H552" s="254">
        <v>11069</v>
      </c>
      <c r="I552" s="180">
        <v>26.75</v>
      </c>
      <c r="K552" s="102">
        <f>IFERROR(Table21[[#This Row],[ROUTE COST]]/Table21[[#This Row],[O - DEMAND]],0)</f>
        <v>0</v>
      </c>
      <c r="M552" s="26">
        <f>IFERROR(VLOOKUP(Table21[[#This Row],[ROUTE]],DEMAND!A:F,5,FALSE),0)</f>
        <v>0</v>
      </c>
      <c r="N552" s="26">
        <f>IFERROR(VLOOKUP(Table21[[#This Row],[ROUTE]],DEMAND!A:F,6,FALSE),0)</f>
        <v>0</v>
      </c>
      <c r="O552" s="26">
        <f>ROUNDDOWN(Table21[[#This Row],[R-DEMAND]]/1320,0)</f>
        <v>0</v>
      </c>
      <c r="P552" s="26">
        <f>Table21[[#This Row],[ADD ACC]]*Table21[[#This Row],[Duration
(747-400)]]</f>
        <v>0</v>
      </c>
      <c r="Q552" s="284">
        <f>IFERROR(VLOOKUP(Table21[[#This Row],[ROUTE]],PRICING!A:B,2,FALSE),0)</f>
        <v>0</v>
      </c>
      <c r="R552" s="282">
        <f>Table21[[#This Row],[C_DEMAND]]-Table21[[#This Row],[R-DEMAND]]</f>
        <v>0</v>
      </c>
      <c r="S552" s="287">
        <f>Table21[[#This Row],[SEATS SOLD]]*Table21[[#This Row],[ECO SEAT]]</f>
        <v>0</v>
      </c>
    </row>
    <row r="553" spans="1:19" x14ac:dyDescent="0.25">
      <c r="A553" s="16" t="s">
        <v>16486</v>
      </c>
      <c r="B553" s="16" t="s">
        <v>3883</v>
      </c>
      <c r="D553" s="16">
        <v>2</v>
      </c>
      <c r="E553" s="16" t="s">
        <v>172</v>
      </c>
      <c r="F553" s="16" t="s">
        <v>12670</v>
      </c>
      <c r="G553" s="179" t="s">
        <v>9929</v>
      </c>
      <c r="H553" s="254">
        <v>6761</v>
      </c>
      <c r="I553" s="180">
        <v>17</v>
      </c>
      <c r="K553" s="102">
        <f>IFERROR(Table21[[#This Row],[ROUTE COST]]/Table21[[#This Row],[O - DEMAND]],0)</f>
        <v>0</v>
      </c>
      <c r="M553" s="26">
        <f>IFERROR(VLOOKUP(Table21[[#This Row],[ROUTE]],DEMAND!A:F,5,FALSE),0)</f>
        <v>0</v>
      </c>
      <c r="N553" s="26">
        <f>IFERROR(VLOOKUP(Table21[[#This Row],[ROUTE]],DEMAND!A:F,6,FALSE),0)</f>
        <v>0</v>
      </c>
      <c r="O553" s="26">
        <f>ROUNDDOWN(Table21[[#This Row],[R-DEMAND]]/1320,0)</f>
        <v>0</v>
      </c>
      <c r="P553" s="26">
        <f>Table21[[#This Row],[ADD ACC]]*Table21[[#This Row],[Duration
(747-400)]]</f>
        <v>0</v>
      </c>
      <c r="Q553" s="284">
        <f>IFERROR(VLOOKUP(Table21[[#This Row],[ROUTE]],PRICING!A:B,2,FALSE),0)</f>
        <v>0</v>
      </c>
      <c r="R553" s="282">
        <f>Table21[[#This Row],[C_DEMAND]]-Table21[[#This Row],[R-DEMAND]]</f>
        <v>0</v>
      </c>
      <c r="S553" s="287">
        <f>Table21[[#This Row],[SEATS SOLD]]*Table21[[#This Row],[ECO SEAT]]</f>
        <v>0</v>
      </c>
    </row>
    <row r="554" spans="1:19" x14ac:dyDescent="0.25">
      <c r="A554" s="16" t="s">
        <v>16332</v>
      </c>
      <c r="B554" s="16" t="s">
        <v>5401</v>
      </c>
      <c r="D554" s="16">
        <v>3</v>
      </c>
      <c r="E554" s="16" t="s">
        <v>83</v>
      </c>
      <c r="F554" s="16" t="s">
        <v>12674</v>
      </c>
      <c r="G554" s="179" t="s">
        <v>11712</v>
      </c>
      <c r="H554" s="254">
        <v>8090</v>
      </c>
      <c r="I554" s="180">
        <v>20</v>
      </c>
      <c r="K554" s="102">
        <f>IFERROR(Table21[[#This Row],[ROUTE COST]]/Table21[[#This Row],[O - DEMAND]],0)</f>
        <v>0</v>
      </c>
      <c r="M554" s="26">
        <f>IFERROR(VLOOKUP(Table21[[#This Row],[ROUTE]],DEMAND!A:F,5,FALSE),0)</f>
        <v>0</v>
      </c>
      <c r="N554" s="26">
        <f>IFERROR(VLOOKUP(Table21[[#This Row],[ROUTE]],DEMAND!A:F,6,FALSE),0)</f>
        <v>0</v>
      </c>
      <c r="O554" s="26">
        <f>ROUNDDOWN(Table21[[#This Row],[R-DEMAND]]/1320,0)</f>
        <v>0</v>
      </c>
      <c r="P554" s="26">
        <f>Table21[[#This Row],[ADD ACC]]*Table21[[#This Row],[Duration
(747-400)]]</f>
        <v>0</v>
      </c>
      <c r="Q554" s="284">
        <f>IFERROR(VLOOKUP(Table21[[#This Row],[ROUTE]],PRICING!A:B,2,FALSE),0)</f>
        <v>0</v>
      </c>
      <c r="R554" s="282">
        <f>Table21[[#This Row],[C_DEMAND]]-Table21[[#This Row],[R-DEMAND]]</f>
        <v>0</v>
      </c>
      <c r="S554" s="287">
        <f>Table21[[#This Row],[SEATS SOLD]]*Table21[[#This Row],[ECO SEAT]]</f>
        <v>0</v>
      </c>
    </row>
    <row r="555" spans="1:19" x14ac:dyDescent="0.25">
      <c r="A555" s="251" t="s">
        <v>16737</v>
      </c>
      <c r="B555" s="251" t="s">
        <v>2618</v>
      </c>
      <c r="D555" s="251">
        <v>2</v>
      </c>
      <c r="E555" s="251" t="s">
        <v>14</v>
      </c>
      <c r="F555" s="251" t="s">
        <v>12670</v>
      </c>
      <c r="G555" s="252" t="s">
        <v>12036</v>
      </c>
      <c r="H555" s="254">
        <v>722</v>
      </c>
      <c r="I555" s="180">
        <v>3.75</v>
      </c>
      <c r="K555" s="253">
        <f>IFERROR(Table21[[#This Row],[ROUTE COST]]/Table21[[#This Row],[O - DEMAND]],0)</f>
        <v>0</v>
      </c>
      <c r="M555" s="26">
        <f>IFERROR(VLOOKUP(Table21[[#This Row],[ROUTE]],DEMAND!A:F,5,FALSE),0)</f>
        <v>0</v>
      </c>
      <c r="N555" s="26">
        <f>IFERROR(VLOOKUP(Table21[[#This Row],[ROUTE]],DEMAND!A:F,6,FALSE),0)</f>
        <v>0</v>
      </c>
      <c r="O555" s="26">
        <f>ROUNDDOWN(Table21[[#This Row],[R-DEMAND]]/1320,0)</f>
        <v>0</v>
      </c>
      <c r="P555" s="26">
        <f>Table21[[#This Row],[ADD ACC]]*Table21[[#This Row],[Duration
(747-400)]]</f>
        <v>0</v>
      </c>
      <c r="Q555" s="284">
        <f>IFERROR(VLOOKUP(Table21[[#This Row],[ROUTE]],PRICING!A:B,2,FALSE),0)</f>
        <v>0</v>
      </c>
      <c r="R555" s="282">
        <f>Table21[[#This Row],[C_DEMAND]]-Table21[[#This Row],[R-DEMAND]]</f>
        <v>0</v>
      </c>
      <c r="S555" s="287">
        <f>Table21[[#This Row],[SEATS SOLD]]*Table21[[#This Row],[ECO SEAT]]</f>
        <v>0</v>
      </c>
    </row>
    <row r="556" spans="1:19" x14ac:dyDescent="0.25">
      <c r="A556" s="16" t="s">
        <v>16516</v>
      </c>
      <c r="B556" s="16" t="s">
        <v>2914</v>
      </c>
      <c r="D556" s="16">
        <v>2</v>
      </c>
      <c r="E556" s="16" t="s">
        <v>700</v>
      </c>
      <c r="F556" s="16" t="s">
        <v>12670</v>
      </c>
      <c r="G556" s="179" t="s">
        <v>9893</v>
      </c>
      <c r="H556" s="254">
        <v>6350</v>
      </c>
      <c r="I556" s="180">
        <v>16.25</v>
      </c>
      <c r="K556" s="102">
        <f>IFERROR(Table21[[#This Row],[ROUTE COST]]/Table21[[#This Row],[O - DEMAND]],0)</f>
        <v>0</v>
      </c>
      <c r="M556" s="26">
        <f>IFERROR(VLOOKUP(Table21[[#This Row],[ROUTE]],DEMAND!A:F,5,FALSE),0)</f>
        <v>0</v>
      </c>
      <c r="N556" s="26">
        <f>IFERROR(VLOOKUP(Table21[[#This Row],[ROUTE]],DEMAND!A:F,6,FALSE),0)</f>
        <v>0</v>
      </c>
      <c r="O556" s="26">
        <f>ROUNDDOWN(Table21[[#This Row],[R-DEMAND]]/1320,0)</f>
        <v>0</v>
      </c>
      <c r="P556" s="26">
        <f>Table21[[#This Row],[ADD ACC]]*Table21[[#This Row],[Duration
(747-400)]]</f>
        <v>0</v>
      </c>
      <c r="Q556" s="284">
        <f>IFERROR(VLOOKUP(Table21[[#This Row],[ROUTE]],PRICING!A:B,2,FALSE),0)</f>
        <v>0</v>
      </c>
      <c r="R556" s="282">
        <f>Table21[[#This Row],[C_DEMAND]]-Table21[[#This Row],[R-DEMAND]]</f>
        <v>0</v>
      </c>
      <c r="S556" s="287">
        <f>Table21[[#This Row],[SEATS SOLD]]*Table21[[#This Row],[ECO SEAT]]</f>
        <v>0</v>
      </c>
    </row>
    <row r="557" spans="1:19" x14ac:dyDescent="0.25">
      <c r="A557" s="16" t="s">
        <v>16527</v>
      </c>
      <c r="B557" s="16" t="s">
        <v>4198</v>
      </c>
      <c r="D557" s="16">
        <v>2</v>
      </c>
      <c r="E557" s="16" t="s">
        <v>700</v>
      </c>
      <c r="F557" s="16" t="s">
        <v>12670</v>
      </c>
      <c r="G557" s="179" t="s">
        <v>9890</v>
      </c>
      <c r="H557" s="254">
        <v>6213</v>
      </c>
      <c r="I557" s="180">
        <v>16</v>
      </c>
      <c r="K557" s="102">
        <f>IFERROR(Table21[[#This Row],[ROUTE COST]]/Table21[[#This Row],[O - DEMAND]],0)</f>
        <v>0</v>
      </c>
      <c r="M557" s="26">
        <f>IFERROR(VLOOKUP(Table21[[#This Row],[ROUTE]],DEMAND!A:F,5,FALSE),0)</f>
        <v>0</v>
      </c>
      <c r="N557" s="26">
        <f>IFERROR(VLOOKUP(Table21[[#This Row],[ROUTE]],DEMAND!A:F,6,FALSE),0)</f>
        <v>0</v>
      </c>
      <c r="O557" s="26">
        <f>ROUNDDOWN(Table21[[#This Row],[R-DEMAND]]/1320,0)</f>
        <v>0</v>
      </c>
      <c r="P557" s="26">
        <f>Table21[[#This Row],[ADD ACC]]*Table21[[#This Row],[Duration
(747-400)]]</f>
        <v>0</v>
      </c>
      <c r="Q557" s="284">
        <f>IFERROR(VLOOKUP(Table21[[#This Row],[ROUTE]],PRICING!A:B,2,FALSE),0)</f>
        <v>0</v>
      </c>
      <c r="R557" s="282">
        <f>Table21[[#This Row],[C_DEMAND]]-Table21[[#This Row],[R-DEMAND]]</f>
        <v>0</v>
      </c>
      <c r="S557" s="287">
        <f>Table21[[#This Row],[SEATS SOLD]]*Table21[[#This Row],[ECO SEAT]]</f>
        <v>0</v>
      </c>
    </row>
    <row r="558" spans="1:19" x14ac:dyDescent="0.25">
      <c r="A558" s="16" t="s">
        <v>16348</v>
      </c>
      <c r="B558" s="16" t="s">
        <v>3607</v>
      </c>
      <c r="D558" s="16">
        <v>2</v>
      </c>
      <c r="E558" s="16" t="s">
        <v>560</v>
      </c>
      <c r="F558" s="16" t="s">
        <v>12674</v>
      </c>
      <c r="G558" s="179" t="s">
        <v>11740</v>
      </c>
      <c r="H558" s="254">
        <v>7993</v>
      </c>
      <c r="I558" s="180">
        <v>19.75</v>
      </c>
      <c r="K558" s="102">
        <f>IFERROR(Table21[[#This Row],[ROUTE COST]]/Table21[[#This Row],[O - DEMAND]],0)</f>
        <v>0</v>
      </c>
      <c r="M558" s="26">
        <f>IFERROR(VLOOKUP(Table21[[#This Row],[ROUTE]],DEMAND!A:F,5,FALSE),0)</f>
        <v>0</v>
      </c>
      <c r="N558" s="26">
        <f>IFERROR(VLOOKUP(Table21[[#This Row],[ROUTE]],DEMAND!A:F,6,FALSE),0)</f>
        <v>0</v>
      </c>
      <c r="O558" s="26">
        <f>ROUNDDOWN(Table21[[#This Row],[R-DEMAND]]/1320,0)</f>
        <v>0</v>
      </c>
      <c r="P558" s="26">
        <f>Table21[[#This Row],[ADD ACC]]*Table21[[#This Row],[Duration
(747-400)]]</f>
        <v>0</v>
      </c>
      <c r="Q558" s="284">
        <f>IFERROR(VLOOKUP(Table21[[#This Row],[ROUTE]],PRICING!A:B,2,FALSE),0)</f>
        <v>0</v>
      </c>
      <c r="R558" s="282">
        <f>Table21[[#This Row],[C_DEMAND]]-Table21[[#This Row],[R-DEMAND]]</f>
        <v>0</v>
      </c>
      <c r="S558" s="287">
        <f>Table21[[#This Row],[SEATS SOLD]]*Table21[[#This Row],[ECO SEAT]]</f>
        <v>0</v>
      </c>
    </row>
    <row r="559" spans="1:19" x14ac:dyDescent="0.25">
      <c r="A559" s="16" t="s">
        <v>16521</v>
      </c>
      <c r="B559" s="16" t="s">
        <v>4142</v>
      </c>
      <c r="D559" s="16">
        <v>2</v>
      </c>
      <c r="E559" s="16" t="s">
        <v>605</v>
      </c>
      <c r="F559" s="16" t="s">
        <v>12674</v>
      </c>
      <c r="G559" s="179" t="s">
        <v>11795</v>
      </c>
      <c r="H559" s="254">
        <v>6293</v>
      </c>
      <c r="I559" s="180">
        <v>16</v>
      </c>
      <c r="K559" s="102">
        <f>IFERROR(Table21[[#This Row],[ROUTE COST]]/Table21[[#This Row],[O - DEMAND]],0)</f>
        <v>0</v>
      </c>
      <c r="M559" s="26">
        <f>IFERROR(VLOOKUP(Table21[[#This Row],[ROUTE]],DEMAND!A:F,5,FALSE),0)</f>
        <v>0</v>
      </c>
      <c r="N559" s="26">
        <f>IFERROR(VLOOKUP(Table21[[#This Row],[ROUTE]],DEMAND!A:F,6,FALSE),0)</f>
        <v>0</v>
      </c>
      <c r="O559" s="26">
        <f>ROUNDDOWN(Table21[[#This Row],[R-DEMAND]]/1320,0)</f>
        <v>0</v>
      </c>
      <c r="P559" s="26">
        <f>Table21[[#This Row],[ADD ACC]]*Table21[[#This Row],[Duration
(747-400)]]</f>
        <v>0</v>
      </c>
      <c r="Q559" s="284">
        <f>IFERROR(VLOOKUP(Table21[[#This Row],[ROUTE]],PRICING!A:B,2,FALSE),0)</f>
        <v>0</v>
      </c>
      <c r="R559" s="282">
        <f>Table21[[#This Row],[C_DEMAND]]-Table21[[#This Row],[R-DEMAND]]</f>
        <v>0</v>
      </c>
      <c r="S559" s="287">
        <f>Table21[[#This Row],[SEATS SOLD]]*Table21[[#This Row],[ECO SEAT]]</f>
        <v>0</v>
      </c>
    </row>
    <row r="560" spans="1:19" x14ac:dyDescent="0.25">
      <c r="A560" s="16" t="s">
        <v>16075</v>
      </c>
      <c r="B560" s="16" t="s">
        <v>5551</v>
      </c>
      <c r="D560" s="16">
        <v>4</v>
      </c>
      <c r="E560" s="16" t="s">
        <v>11732</v>
      </c>
      <c r="F560" s="16" t="s">
        <v>15969</v>
      </c>
      <c r="G560" s="179" t="s">
        <v>13336</v>
      </c>
      <c r="H560" s="254">
        <v>11216</v>
      </c>
      <c r="I560" s="180">
        <v>27</v>
      </c>
      <c r="K560" s="102">
        <f>IFERROR(Table21[[#This Row],[ROUTE COST]]/Table21[[#This Row],[O - DEMAND]],0)</f>
        <v>0</v>
      </c>
      <c r="M560" s="26">
        <f>IFERROR(VLOOKUP(Table21[[#This Row],[ROUTE]],DEMAND!A:F,5,FALSE),0)</f>
        <v>0</v>
      </c>
      <c r="N560" s="26">
        <f>IFERROR(VLOOKUP(Table21[[#This Row],[ROUTE]],DEMAND!A:F,6,FALSE),0)</f>
        <v>0</v>
      </c>
      <c r="O560" s="26">
        <f>ROUNDDOWN(Table21[[#This Row],[R-DEMAND]]/1320,0)</f>
        <v>0</v>
      </c>
      <c r="P560" s="26">
        <f>Table21[[#This Row],[ADD ACC]]*Table21[[#This Row],[Duration
(747-400)]]</f>
        <v>0</v>
      </c>
      <c r="Q560" s="284">
        <f>IFERROR(VLOOKUP(Table21[[#This Row],[ROUTE]],PRICING!A:B,2,FALSE),0)</f>
        <v>0</v>
      </c>
      <c r="R560" s="282">
        <f>Table21[[#This Row],[C_DEMAND]]-Table21[[#This Row],[R-DEMAND]]</f>
        <v>0</v>
      </c>
      <c r="S560" s="287">
        <f>Table21[[#This Row],[SEATS SOLD]]*Table21[[#This Row],[ECO SEAT]]</f>
        <v>0</v>
      </c>
    </row>
    <row r="561" spans="1:19" x14ac:dyDescent="0.25">
      <c r="A561" s="16" t="s">
        <v>16073</v>
      </c>
      <c r="B561" s="16" t="s">
        <v>5579</v>
      </c>
      <c r="D561" s="16">
        <v>4</v>
      </c>
      <c r="E561" s="16" t="s">
        <v>11732</v>
      </c>
      <c r="F561" s="16" t="s">
        <v>15969</v>
      </c>
      <c r="G561" s="179" t="s">
        <v>13331</v>
      </c>
      <c r="H561" s="254">
        <v>11232</v>
      </c>
      <c r="I561" s="180">
        <v>27</v>
      </c>
      <c r="K561" s="102">
        <f>IFERROR(Table21[[#This Row],[ROUTE COST]]/Table21[[#This Row],[O - DEMAND]],0)</f>
        <v>0</v>
      </c>
      <c r="M561" s="26">
        <f>IFERROR(VLOOKUP(Table21[[#This Row],[ROUTE]],DEMAND!A:F,5,FALSE),0)</f>
        <v>0</v>
      </c>
      <c r="N561" s="26">
        <f>IFERROR(VLOOKUP(Table21[[#This Row],[ROUTE]],DEMAND!A:F,6,FALSE),0)</f>
        <v>0</v>
      </c>
      <c r="O561" s="26">
        <f>ROUNDDOWN(Table21[[#This Row],[R-DEMAND]]/1320,0)</f>
        <v>0</v>
      </c>
      <c r="P561" s="26">
        <f>Table21[[#This Row],[ADD ACC]]*Table21[[#This Row],[Duration
(747-400)]]</f>
        <v>0</v>
      </c>
      <c r="Q561" s="284">
        <f>IFERROR(VLOOKUP(Table21[[#This Row],[ROUTE]],PRICING!A:B,2,FALSE),0)</f>
        <v>0</v>
      </c>
      <c r="R561" s="282">
        <f>Table21[[#This Row],[C_DEMAND]]-Table21[[#This Row],[R-DEMAND]]</f>
        <v>0</v>
      </c>
      <c r="S561" s="287">
        <f>Table21[[#This Row],[SEATS SOLD]]*Table21[[#This Row],[ECO SEAT]]</f>
        <v>0</v>
      </c>
    </row>
    <row r="562" spans="1:19" x14ac:dyDescent="0.25">
      <c r="A562" s="16" t="s">
        <v>16559</v>
      </c>
      <c r="B562" s="16" t="s">
        <v>1849</v>
      </c>
      <c r="D562" s="16">
        <v>1</v>
      </c>
      <c r="E562" s="16" t="s">
        <v>1847</v>
      </c>
      <c r="F562" s="16" t="s">
        <v>12670</v>
      </c>
      <c r="G562" s="179" t="s">
        <v>11983</v>
      </c>
      <c r="H562" s="254">
        <v>5773</v>
      </c>
      <c r="I562" s="180">
        <v>15</v>
      </c>
      <c r="K562" s="102">
        <f>IFERROR(Table21[[#This Row],[ROUTE COST]]/Table21[[#This Row],[O - DEMAND]],0)</f>
        <v>0</v>
      </c>
      <c r="M562" s="26">
        <f>IFERROR(VLOOKUP(Table21[[#This Row],[ROUTE]],DEMAND!A:F,5,FALSE),0)</f>
        <v>0</v>
      </c>
      <c r="N562" s="26">
        <f>IFERROR(VLOOKUP(Table21[[#This Row],[ROUTE]],DEMAND!A:F,6,FALSE),0)</f>
        <v>0</v>
      </c>
      <c r="O562" s="26">
        <f>ROUNDDOWN(Table21[[#This Row],[R-DEMAND]]/1320,0)</f>
        <v>0</v>
      </c>
      <c r="P562" s="26">
        <f>Table21[[#This Row],[ADD ACC]]*Table21[[#This Row],[Duration
(747-400)]]</f>
        <v>0</v>
      </c>
      <c r="Q562" s="284">
        <f>IFERROR(VLOOKUP(Table21[[#This Row],[ROUTE]],PRICING!A:B,2,FALSE),0)</f>
        <v>0</v>
      </c>
      <c r="R562" s="282">
        <f>Table21[[#This Row],[C_DEMAND]]-Table21[[#This Row],[R-DEMAND]]</f>
        <v>0</v>
      </c>
      <c r="S562" s="287">
        <f>Table21[[#This Row],[SEATS SOLD]]*Table21[[#This Row],[ECO SEAT]]</f>
        <v>0</v>
      </c>
    </row>
    <row r="563" spans="1:19" x14ac:dyDescent="0.25">
      <c r="A563" s="16" t="s">
        <v>16358</v>
      </c>
      <c r="B563" s="16" t="s">
        <v>4661</v>
      </c>
      <c r="D563" s="16">
        <v>2</v>
      </c>
      <c r="E563" s="16" t="s">
        <v>1427</v>
      </c>
      <c r="F563" s="16" t="s">
        <v>12674</v>
      </c>
      <c r="G563" s="179" t="s">
        <v>11752</v>
      </c>
      <c r="H563" s="254">
        <v>7905</v>
      </c>
      <c r="I563" s="180">
        <v>19.75</v>
      </c>
      <c r="K563" s="102">
        <f>IFERROR(Table21[[#This Row],[ROUTE COST]]/Table21[[#This Row],[O - DEMAND]],0)</f>
        <v>0</v>
      </c>
      <c r="M563" s="26">
        <f>IFERROR(VLOOKUP(Table21[[#This Row],[ROUTE]],DEMAND!A:F,5,FALSE),0)</f>
        <v>0</v>
      </c>
      <c r="N563" s="26">
        <f>IFERROR(VLOOKUP(Table21[[#This Row],[ROUTE]],DEMAND!A:F,6,FALSE),0)</f>
        <v>0</v>
      </c>
      <c r="O563" s="26">
        <f>ROUNDDOWN(Table21[[#This Row],[R-DEMAND]]/1320,0)</f>
        <v>0</v>
      </c>
      <c r="P563" s="26">
        <f>Table21[[#This Row],[ADD ACC]]*Table21[[#This Row],[Duration
(747-400)]]</f>
        <v>0</v>
      </c>
      <c r="Q563" s="284">
        <f>IFERROR(VLOOKUP(Table21[[#This Row],[ROUTE]],PRICING!A:B,2,FALSE),0)</f>
        <v>0</v>
      </c>
      <c r="R563" s="282">
        <f>Table21[[#This Row],[C_DEMAND]]-Table21[[#This Row],[R-DEMAND]]</f>
        <v>0</v>
      </c>
      <c r="S563" s="287">
        <f>Table21[[#This Row],[SEATS SOLD]]*Table21[[#This Row],[ECO SEAT]]</f>
        <v>0</v>
      </c>
    </row>
    <row r="564" spans="1:19" x14ac:dyDescent="0.25">
      <c r="A564" s="16" t="s">
        <v>16364</v>
      </c>
      <c r="B564" s="16" t="s">
        <v>4003</v>
      </c>
      <c r="D564" s="16">
        <v>2</v>
      </c>
      <c r="E564" s="16" t="s">
        <v>1427</v>
      </c>
      <c r="F564" s="16" t="s">
        <v>12674</v>
      </c>
      <c r="G564" s="179" t="s">
        <v>11766</v>
      </c>
      <c r="H564" s="254">
        <v>7838</v>
      </c>
      <c r="I564" s="180">
        <v>19.5</v>
      </c>
      <c r="K564" s="102">
        <f>IFERROR(Table21[[#This Row],[ROUTE COST]]/Table21[[#This Row],[O - DEMAND]],0)</f>
        <v>0</v>
      </c>
      <c r="M564" s="26">
        <f>IFERROR(VLOOKUP(Table21[[#This Row],[ROUTE]],DEMAND!A:F,5,FALSE),0)</f>
        <v>0</v>
      </c>
      <c r="N564" s="26">
        <f>IFERROR(VLOOKUP(Table21[[#This Row],[ROUTE]],DEMAND!A:F,6,FALSE),0)</f>
        <v>0</v>
      </c>
      <c r="O564" s="26">
        <f>ROUNDDOWN(Table21[[#This Row],[R-DEMAND]]/1320,0)</f>
        <v>0</v>
      </c>
      <c r="P564" s="26">
        <f>Table21[[#This Row],[ADD ACC]]*Table21[[#This Row],[Duration
(747-400)]]</f>
        <v>0</v>
      </c>
      <c r="Q564" s="284">
        <f>IFERROR(VLOOKUP(Table21[[#This Row],[ROUTE]],PRICING!A:B,2,FALSE),0)</f>
        <v>0</v>
      </c>
      <c r="R564" s="282">
        <f>Table21[[#This Row],[C_DEMAND]]-Table21[[#This Row],[R-DEMAND]]</f>
        <v>0</v>
      </c>
      <c r="S564" s="287">
        <f>Table21[[#This Row],[SEATS SOLD]]*Table21[[#This Row],[ECO SEAT]]</f>
        <v>0</v>
      </c>
    </row>
    <row r="565" spans="1:19" x14ac:dyDescent="0.25">
      <c r="A565" s="251" t="s">
        <v>16780</v>
      </c>
      <c r="B565" s="251" t="s">
        <v>5386</v>
      </c>
      <c r="D565" s="251">
        <v>3</v>
      </c>
      <c r="E565" s="251" t="s">
        <v>14</v>
      </c>
      <c r="F565" s="251" t="s">
        <v>12670</v>
      </c>
      <c r="G565" s="252" t="s">
        <v>12066</v>
      </c>
      <c r="H565" s="254">
        <v>1598</v>
      </c>
      <c r="I565" s="180">
        <v>5.75</v>
      </c>
      <c r="K565" s="253">
        <f>IFERROR(Table21[[#This Row],[ROUTE COST]]/Table21[[#This Row],[O - DEMAND]],0)</f>
        <v>0</v>
      </c>
      <c r="M565" s="26">
        <f>IFERROR(VLOOKUP(Table21[[#This Row],[ROUTE]],DEMAND!A:F,5,FALSE),0)</f>
        <v>0</v>
      </c>
      <c r="N565" s="26">
        <f>IFERROR(VLOOKUP(Table21[[#This Row],[ROUTE]],DEMAND!A:F,6,FALSE),0)</f>
        <v>0</v>
      </c>
      <c r="O565" s="26">
        <f>ROUNDDOWN(Table21[[#This Row],[R-DEMAND]]/1320,0)</f>
        <v>0</v>
      </c>
      <c r="P565" s="26">
        <f>Table21[[#This Row],[ADD ACC]]*Table21[[#This Row],[Duration
(747-400)]]</f>
        <v>0</v>
      </c>
      <c r="Q565" s="284">
        <f>IFERROR(VLOOKUP(Table21[[#This Row],[ROUTE]],PRICING!A:B,2,FALSE),0)</f>
        <v>0</v>
      </c>
      <c r="R565" s="282">
        <f>Table21[[#This Row],[C_DEMAND]]-Table21[[#This Row],[R-DEMAND]]</f>
        <v>0</v>
      </c>
      <c r="S565" s="287">
        <f>Table21[[#This Row],[SEATS SOLD]]*Table21[[#This Row],[ECO SEAT]]</f>
        <v>0</v>
      </c>
    </row>
    <row r="566" spans="1:19" x14ac:dyDescent="0.25">
      <c r="A566" s="16" t="s">
        <v>16095</v>
      </c>
      <c r="B566" s="16" t="s">
        <v>5589</v>
      </c>
      <c r="D566" s="16">
        <v>4</v>
      </c>
      <c r="E566" s="16" t="s">
        <v>11732</v>
      </c>
      <c r="F566" s="16" t="s">
        <v>15969</v>
      </c>
      <c r="G566" s="179" t="s">
        <v>13328</v>
      </c>
      <c r="H566" s="254">
        <v>10958</v>
      </c>
      <c r="I566" s="180">
        <v>26.5</v>
      </c>
      <c r="K566" s="102">
        <f>IFERROR(Table21[[#This Row],[ROUTE COST]]/Table21[[#This Row],[O - DEMAND]],0)</f>
        <v>0</v>
      </c>
      <c r="M566" s="26">
        <f>IFERROR(VLOOKUP(Table21[[#This Row],[ROUTE]],DEMAND!A:F,5,FALSE),0)</f>
        <v>0</v>
      </c>
      <c r="N566" s="26">
        <f>IFERROR(VLOOKUP(Table21[[#This Row],[ROUTE]],DEMAND!A:F,6,FALSE),0)</f>
        <v>0</v>
      </c>
      <c r="O566" s="26">
        <f>ROUNDDOWN(Table21[[#This Row],[R-DEMAND]]/1320,0)</f>
        <v>0</v>
      </c>
      <c r="P566" s="26">
        <f>Table21[[#This Row],[ADD ACC]]*Table21[[#This Row],[Duration
(747-400)]]</f>
        <v>0</v>
      </c>
      <c r="Q566" s="284">
        <f>IFERROR(VLOOKUP(Table21[[#This Row],[ROUTE]],PRICING!A:B,2,FALSE),0)</f>
        <v>0</v>
      </c>
      <c r="R566" s="282">
        <f>Table21[[#This Row],[C_DEMAND]]-Table21[[#This Row],[R-DEMAND]]</f>
        <v>0</v>
      </c>
      <c r="S566" s="287">
        <f>Table21[[#This Row],[SEATS SOLD]]*Table21[[#This Row],[ECO SEAT]]</f>
        <v>0</v>
      </c>
    </row>
    <row r="567" spans="1:19" x14ac:dyDescent="0.25">
      <c r="A567" s="16" t="s">
        <v>16661</v>
      </c>
      <c r="B567" s="16" t="s">
        <v>2401</v>
      </c>
      <c r="D567" s="16">
        <v>1</v>
      </c>
      <c r="E567" s="16" t="s">
        <v>78</v>
      </c>
      <c r="F567" s="16" t="s">
        <v>12674</v>
      </c>
      <c r="G567" s="179" t="s">
        <v>11902</v>
      </c>
      <c r="H567" s="254">
        <v>3225</v>
      </c>
      <c r="I567" s="180">
        <v>9.25</v>
      </c>
      <c r="K567" s="102">
        <f>IFERROR(Table21[[#This Row],[ROUTE COST]]/Table21[[#This Row],[O - DEMAND]],0)</f>
        <v>0</v>
      </c>
      <c r="M567" s="26">
        <f>IFERROR(VLOOKUP(Table21[[#This Row],[ROUTE]],DEMAND!A:F,5,FALSE),0)</f>
        <v>0</v>
      </c>
      <c r="N567" s="26">
        <f>IFERROR(VLOOKUP(Table21[[#This Row],[ROUTE]],DEMAND!A:F,6,FALSE),0)</f>
        <v>0</v>
      </c>
      <c r="O567" s="26">
        <f>ROUNDDOWN(Table21[[#This Row],[R-DEMAND]]/1320,0)</f>
        <v>0</v>
      </c>
      <c r="P567" s="26">
        <f>Table21[[#This Row],[ADD ACC]]*Table21[[#This Row],[Duration
(747-400)]]</f>
        <v>0</v>
      </c>
      <c r="Q567" s="284">
        <f>IFERROR(VLOOKUP(Table21[[#This Row],[ROUTE]],PRICING!A:B,2,FALSE),0)</f>
        <v>0</v>
      </c>
      <c r="R567" s="282">
        <f>Table21[[#This Row],[C_DEMAND]]-Table21[[#This Row],[R-DEMAND]]</f>
        <v>0</v>
      </c>
      <c r="S567" s="287">
        <f>Table21[[#This Row],[SEATS SOLD]]*Table21[[#This Row],[ECO SEAT]]</f>
        <v>0</v>
      </c>
    </row>
    <row r="568" spans="1:19" x14ac:dyDescent="0.25">
      <c r="A568" s="16" t="s">
        <v>16084</v>
      </c>
      <c r="B568" s="16" t="s">
        <v>2635</v>
      </c>
      <c r="D568" s="16">
        <v>2</v>
      </c>
      <c r="E568" s="16" t="s">
        <v>11732</v>
      </c>
      <c r="F568" s="16" t="s">
        <v>15969</v>
      </c>
      <c r="G568" s="179" t="s">
        <v>13310</v>
      </c>
      <c r="H568" s="254">
        <v>11029</v>
      </c>
      <c r="I568" s="180">
        <v>26.5</v>
      </c>
      <c r="K568" s="102">
        <f>IFERROR(Table21[[#This Row],[ROUTE COST]]/Table21[[#This Row],[O - DEMAND]],0)</f>
        <v>0</v>
      </c>
      <c r="M568" s="26">
        <f>IFERROR(VLOOKUP(Table21[[#This Row],[ROUTE]],DEMAND!A:F,5,FALSE),0)</f>
        <v>0</v>
      </c>
      <c r="N568" s="26">
        <f>IFERROR(VLOOKUP(Table21[[#This Row],[ROUTE]],DEMAND!A:F,6,FALSE),0)</f>
        <v>0</v>
      </c>
      <c r="O568" s="26">
        <f>ROUNDDOWN(Table21[[#This Row],[R-DEMAND]]/1320,0)</f>
        <v>0</v>
      </c>
      <c r="P568" s="26">
        <f>Table21[[#This Row],[ADD ACC]]*Table21[[#This Row],[Duration
(747-400)]]</f>
        <v>0</v>
      </c>
      <c r="Q568" s="284">
        <f>IFERROR(VLOOKUP(Table21[[#This Row],[ROUTE]],PRICING!A:B,2,FALSE),0)</f>
        <v>0</v>
      </c>
      <c r="R568" s="282">
        <f>Table21[[#This Row],[C_DEMAND]]-Table21[[#This Row],[R-DEMAND]]</f>
        <v>0</v>
      </c>
      <c r="S568" s="287">
        <f>Table21[[#This Row],[SEATS SOLD]]*Table21[[#This Row],[ECO SEAT]]</f>
        <v>0</v>
      </c>
    </row>
    <row r="569" spans="1:19" x14ac:dyDescent="0.25">
      <c r="A569" s="16" t="s">
        <v>16089</v>
      </c>
      <c r="B569" s="16" t="s">
        <v>4707</v>
      </c>
      <c r="D569" s="16">
        <v>3</v>
      </c>
      <c r="E569" s="16" t="s">
        <v>11732</v>
      </c>
      <c r="F569" s="16" t="s">
        <v>15969</v>
      </c>
      <c r="G569" s="179" t="s">
        <v>13342</v>
      </c>
      <c r="H569" s="254">
        <v>10990</v>
      </c>
      <c r="I569" s="180">
        <v>26.5</v>
      </c>
      <c r="K569" s="102">
        <f>IFERROR(Table21[[#This Row],[ROUTE COST]]/Table21[[#This Row],[O - DEMAND]],0)</f>
        <v>0</v>
      </c>
      <c r="M569" s="26">
        <f>IFERROR(VLOOKUP(Table21[[#This Row],[ROUTE]],DEMAND!A:F,5,FALSE),0)</f>
        <v>0</v>
      </c>
      <c r="N569" s="26">
        <f>IFERROR(VLOOKUP(Table21[[#This Row],[ROUTE]],DEMAND!A:F,6,FALSE),0)</f>
        <v>0</v>
      </c>
      <c r="O569" s="26">
        <f>ROUNDDOWN(Table21[[#This Row],[R-DEMAND]]/1320,0)</f>
        <v>0</v>
      </c>
      <c r="P569" s="26">
        <f>Table21[[#This Row],[ADD ACC]]*Table21[[#This Row],[Duration
(747-400)]]</f>
        <v>0</v>
      </c>
      <c r="Q569" s="284">
        <f>IFERROR(VLOOKUP(Table21[[#This Row],[ROUTE]],PRICING!A:B,2,FALSE),0)</f>
        <v>0</v>
      </c>
      <c r="R569" s="282">
        <f>Table21[[#This Row],[C_DEMAND]]-Table21[[#This Row],[R-DEMAND]]</f>
        <v>0</v>
      </c>
      <c r="S569" s="287">
        <f>Table21[[#This Row],[SEATS SOLD]]*Table21[[#This Row],[ECO SEAT]]</f>
        <v>0</v>
      </c>
    </row>
    <row r="570" spans="1:19" x14ac:dyDescent="0.25">
      <c r="A570" s="16" t="s">
        <v>16313</v>
      </c>
      <c r="B570" s="16" t="s">
        <v>3774</v>
      </c>
      <c r="D570" s="16">
        <v>2</v>
      </c>
      <c r="E570" s="16" t="s">
        <v>560</v>
      </c>
      <c r="F570" s="16" t="s">
        <v>12674</v>
      </c>
      <c r="G570" s="179" t="s">
        <v>11729</v>
      </c>
      <c r="H570" s="254">
        <v>8312</v>
      </c>
      <c r="I570" s="180">
        <v>20.5</v>
      </c>
      <c r="K570" s="102">
        <f>IFERROR(Table21[[#This Row],[ROUTE COST]]/Table21[[#This Row],[O - DEMAND]],0)</f>
        <v>0</v>
      </c>
      <c r="M570" s="26">
        <f>IFERROR(VLOOKUP(Table21[[#This Row],[ROUTE]],DEMAND!A:F,5,FALSE),0)</f>
        <v>0</v>
      </c>
      <c r="N570" s="26">
        <f>IFERROR(VLOOKUP(Table21[[#This Row],[ROUTE]],DEMAND!A:F,6,FALSE),0)</f>
        <v>0</v>
      </c>
      <c r="O570" s="26">
        <f>ROUNDDOWN(Table21[[#This Row],[R-DEMAND]]/1320,0)</f>
        <v>0</v>
      </c>
      <c r="P570" s="26">
        <f>Table21[[#This Row],[ADD ACC]]*Table21[[#This Row],[Duration
(747-400)]]</f>
        <v>0</v>
      </c>
      <c r="Q570" s="284">
        <f>IFERROR(VLOOKUP(Table21[[#This Row],[ROUTE]],PRICING!A:B,2,FALSE),0)</f>
        <v>0</v>
      </c>
      <c r="R570" s="282">
        <f>Table21[[#This Row],[C_DEMAND]]-Table21[[#This Row],[R-DEMAND]]</f>
        <v>0</v>
      </c>
      <c r="S570" s="287">
        <f>Table21[[#This Row],[SEATS SOLD]]*Table21[[#This Row],[ECO SEAT]]</f>
        <v>0</v>
      </c>
    </row>
    <row r="571" spans="1:19" x14ac:dyDescent="0.25">
      <c r="A571" s="16" t="s">
        <v>16321</v>
      </c>
      <c r="B571" s="16" t="s">
        <v>299</v>
      </c>
      <c r="D571" s="16">
        <v>3</v>
      </c>
      <c r="E571" s="16" t="s">
        <v>308</v>
      </c>
      <c r="F571" s="16" t="s">
        <v>12674</v>
      </c>
      <c r="G571" s="179" t="s">
        <v>11758</v>
      </c>
      <c r="H571" s="254">
        <v>8175</v>
      </c>
      <c r="I571" s="180">
        <v>20.25</v>
      </c>
      <c r="K571" s="102">
        <f>IFERROR(Table21[[#This Row],[ROUTE COST]]/Table21[[#This Row],[O - DEMAND]],0)</f>
        <v>0</v>
      </c>
      <c r="M571" s="26">
        <f>IFERROR(VLOOKUP(Table21[[#This Row],[ROUTE]],DEMAND!A:F,5,FALSE),0)</f>
        <v>0</v>
      </c>
      <c r="N571" s="26">
        <f>IFERROR(VLOOKUP(Table21[[#This Row],[ROUTE]],DEMAND!A:F,6,FALSE),0)</f>
        <v>0</v>
      </c>
      <c r="O571" s="26">
        <f>ROUNDDOWN(Table21[[#This Row],[R-DEMAND]]/1320,0)</f>
        <v>0</v>
      </c>
      <c r="P571" s="26">
        <f>Table21[[#This Row],[ADD ACC]]*Table21[[#This Row],[Duration
(747-400)]]</f>
        <v>0</v>
      </c>
      <c r="Q571" s="284">
        <f>IFERROR(VLOOKUP(Table21[[#This Row],[ROUTE]],PRICING!A:B,2,FALSE),0)</f>
        <v>0</v>
      </c>
      <c r="R571" s="282">
        <f>Table21[[#This Row],[C_DEMAND]]-Table21[[#This Row],[R-DEMAND]]</f>
        <v>0</v>
      </c>
      <c r="S571" s="287">
        <f>Table21[[#This Row],[SEATS SOLD]]*Table21[[#This Row],[ECO SEAT]]</f>
        <v>0</v>
      </c>
    </row>
    <row r="572" spans="1:19" x14ac:dyDescent="0.25">
      <c r="A572" s="16" t="s">
        <v>16570</v>
      </c>
      <c r="B572" s="16" t="s">
        <v>3615</v>
      </c>
      <c r="D572" s="16">
        <v>2</v>
      </c>
      <c r="E572" s="16" t="s">
        <v>78</v>
      </c>
      <c r="F572" s="16" t="s">
        <v>12674</v>
      </c>
      <c r="G572" s="179" t="s">
        <v>11861</v>
      </c>
      <c r="H572" s="254">
        <v>5408</v>
      </c>
      <c r="I572" s="180">
        <v>14</v>
      </c>
      <c r="K572" s="102">
        <f>IFERROR(Table21[[#This Row],[ROUTE COST]]/Table21[[#This Row],[O - DEMAND]],0)</f>
        <v>0</v>
      </c>
      <c r="M572" s="26">
        <f>IFERROR(VLOOKUP(Table21[[#This Row],[ROUTE]],DEMAND!A:F,5,FALSE),0)</f>
        <v>0</v>
      </c>
      <c r="N572" s="26">
        <f>IFERROR(VLOOKUP(Table21[[#This Row],[ROUTE]],DEMAND!A:F,6,FALSE),0)</f>
        <v>0</v>
      </c>
      <c r="O572" s="26">
        <f>ROUNDDOWN(Table21[[#This Row],[R-DEMAND]]/1320,0)</f>
        <v>0</v>
      </c>
      <c r="P572" s="26">
        <f>Table21[[#This Row],[ADD ACC]]*Table21[[#This Row],[Duration
(747-400)]]</f>
        <v>0</v>
      </c>
      <c r="Q572" s="284">
        <f>IFERROR(VLOOKUP(Table21[[#This Row],[ROUTE]],PRICING!A:B,2,FALSE),0)</f>
        <v>0</v>
      </c>
      <c r="R572" s="282">
        <f>Table21[[#This Row],[C_DEMAND]]-Table21[[#This Row],[R-DEMAND]]</f>
        <v>0</v>
      </c>
      <c r="S572" s="287">
        <f>Table21[[#This Row],[SEATS SOLD]]*Table21[[#This Row],[ECO SEAT]]</f>
        <v>0</v>
      </c>
    </row>
    <row r="573" spans="1:19" x14ac:dyDescent="0.25">
      <c r="A573" s="251" t="s">
        <v>16793</v>
      </c>
      <c r="B573" s="251" t="s">
        <v>1882</v>
      </c>
      <c r="D573" s="251">
        <v>1</v>
      </c>
      <c r="E573" s="251" t="s">
        <v>14</v>
      </c>
      <c r="F573" s="251" t="s">
        <v>12670</v>
      </c>
      <c r="G573" s="252" t="s">
        <v>9663</v>
      </c>
      <c r="H573" s="254">
        <v>1942</v>
      </c>
      <c r="I573" s="180">
        <v>6.5</v>
      </c>
      <c r="K573" s="253">
        <f>IFERROR(Table21[[#This Row],[ROUTE COST]]/Table21[[#This Row],[O - DEMAND]],0)</f>
        <v>0</v>
      </c>
      <c r="M573" s="26">
        <f>IFERROR(VLOOKUP(Table21[[#This Row],[ROUTE]],DEMAND!A:F,5,FALSE),0)</f>
        <v>0</v>
      </c>
      <c r="N573" s="26">
        <f>IFERROR(VLOOKUP(Table21[[#This Row],[ROUTE]],DEMAND!A:F,6,FALSE),0)</f>
        <v>0</v>
      </c>
      <c r="O573" s="26">
        <f>ROUNDDOWN(Table21[[#This Row],[R-DEMAND]]/1320,0)</f>
        <v>0</v>
      </c>
      <c r="P573" s="26">
        <f>Table21[[#This Row],[ADD ACC]]*Table21[[#This Row],[Duration
(747-400)]]</f>
        <v>0</v>
      </c>
      <c r="Q573" s="284">
        <f>IFERROR(VLOOKUP(Table21[[#This Row],[ROUTE]],PRICING!A:B,2,FALSE),0)</f>
        <v>0</v>
      </c>
      <c r="R573" s="282">
        <f>Table21[[#This Row],[C_DEMAND]]-Table21[[#This Row],[R-DEMAND]]</f>
        <v>0</v>
      </c>
      <c r="S573" s="287">
        <f>Table21[[#This Row],[SEATS SOLD]]*Table21[[#This Row],[ECO SEAT]]</f>
        <v>0</v>
      </c>
    </row>
    <row r="574" spans="1:19" x14ac:dyDescent="0.25">
      <c r="A574" s="16" t="s">
        <v>16374</v>
      </c>
      <c r="B574" s="16" t="s">
        <v>2571</v>
      </c>
      <c r="D574" s="16">
        <v>2</v>
      </c>
      <c r="E574" s="16" t="s">
        <v>597</v>
      </c>
      <c r="F574" s="16" t="s">
        <v>12674</v>
      </c>
      <c r="G574" s="179" t="s">
        <v>11827</v>
      </c>
      <c r="H574" s="254">
        <v>7774</v>
      </c>
      <c r="I574" s="180">
        <v>19.25</v>
      </c>
      <c r="K574" s="102">
        <f>IFERROR(Table21[[#This Row],[ROUTE COST]]/Table21[[#This Row],[O - DEMAND]],0)</f>
        <v>0</v>
      </c>
      <c r="M574" s="26">
        <f>IFERROR(VLOOKUP(Table21[[#This Row],[ROUTE]],DEMAND!A:F,5,FALSE),0)</f>
        <v>0</v>
      </c>
      <c r="N574" s="26">
        <f>IFERROR(VLOOKUP(Table21[[#This Row],[ROUTE]],DEMAND!A:F,6,FALSE),0)</f>
        <v>0</v>
      </c>
      <c r="O574" s="26">
        <f>ROUNDDOWN(Table21[[#This Row],[R-DEMAND]]/1320,0)</f>
        <v>0</v>
      </c>
      <c r="P574" s="26">
        <f>Table21[[#This Row],[ADD ACC]]*Table21[[#This Row],[Duration
(747-400)]]</f>
        <v>0</v>
      </c>
      <c r="Q574" s="284">
        <f>IFERROR(VLOOKUP(Table21[[#This Row],[ROUTE]],PRICING!A:B,2,FALSE),0)</f>
        <v>0</v>
      </c>
      <c r="R574" s="282">
        <f>Table21[[#This Row],[C_DEMAND]]-Table21[[#This Row],[R-DEMAND]]</f>
        <v>0</v>
      </c>
      <c r="S574" s="287">
        <f>Table21[[#This Row],[SEATS SOLD]]*Table21[[#This Row],[ECO SEAT]]</f>
        <v>0</v>
      </c>
    </row>
    <row r="575" spans="1:19" x14ac:dyDescent="0.25">
      <c r="A575" s="16" t="s">
        <v>16086</v>
      </c>
      <c r="B575" s="16" t="s">
        <v>5206</v>
      </c>
      <c r="D575" s="16">
        <v>3</v>
      </c>
      <c r="E575" s="16" t="s">
        <v>11732</v>
      </c>
      <c r="F575" s="16" t="s">
        <v>15969</v>
      </c>
      <c r="G575" s="179" t="s">
        <v>13330</v>
      </c>
      <c r="H575" s="254">
        <v>11024</v>
      </c>
      <c r="I575" s="180">
        <v>26.5</v>
      </c>
      <c r="K575" s="102">
        <f>IFERROR(Table21[[#This Row],[ROUTE COST]]/Table21[[#This Row],[O - DEMAND]],0)</f>
        <v>0</v>
      </c>
      <c r="M575" s="26">
        <f>IFERROR(VLOOKUP(Table21[[#This Row],[ROUTE]],DEMAND!A:F,5,FALSE),0)</f>
        <v>0</v>
      </c>
      <c r="N575" s="26">
        <f>IFERROR(VLOOKUP(Table21[[#This Row],[ROUTE]],DEMAND!A:F,6,FALSE),0)</f>
        <v>0</v>
      </c>
      <c r="O575" s="26">
        <f>ROUNDDOWN(Table21[[#This Row],[R-DEMAND]]/1320,0)</f>
        <v>0</v>
      </c>
      <c r="P575" s="26">
        <f>Table21[[#This Row],[ADD ACC]]*Table21[[#This Row],[Duration
(747-400)]]</f>
        <v>0</v>
      </c>
      <c r="Q575" s="284">
        <f>IFERROR(VLOOKUP(Table21[[#This Row],[ROUTE]],PRICING!A:B,2,FALSE),0)</f>
        <v>0</v>
      </c>
      <c r="R575" s="282">
        <f>Table21[[#This Row],[C_DEMAND]]-Table21[[#This Row],[R-DEMAND]]</f>
        <v>0</v>
      </c>
      <c r="S575" s="287">
        <f>Table21[[#This Row],[SEATS SOLD]]*Table21[[#This Row],[ECO SEAT]]</f>
        <v>0</v>
      </c>
    </row>
    <row r="576" spans="1:19" x14ac:dyDescent="0.25">
      <c r="A576" s="16" t="s">
        <v>16102</v>
      </c>
      <c r="B576" s="16" t="s">
        <v>5441</v>
      </c>
      <c r="D576" s="16">
        <v>4</v>
      </c>
      <c r="E576" s="16" t="s">
        <v>11732</v>
      </c>
      <c r="F576" s="16" t="s">
        <v>15969</v>
      </c>
      <c r="G576" s="179" t="s">
        <v>13329</v>
      </c>
      <c r="H576" s="254">
        <v>10897</v>
      </c>
      <c r="I576" s="180">
        <v>26.25</v>
      </c>
      <c r="K576" s="102">
        <f>IFERROR(Table21[[#This Row],[ROUTE COST]]/Table21[[#This Row],[O - DEMAND]],0)</f>
        <v>0</v>
      </c>
      <c r="M576" s="26">
        <f>IFERROR(VLOOKUP(Table21[[#This Row],[ROUTE]],DEMAND!A:F,5,FALSE),0)</f>
        <v>0</v>
      </c>
      <c r="N576" s="26">
        <f>IFERROR(VLOOKUP(Table21[[#This Row],[ROUTE]],DEMAND!A:F,6,FALSE),0)</f>
        <v>0</v>
      </c>
      <c r="O576" s="26">
        <f>ROUNDDOWN(Table21[[#This Row],[R-DEMAND]]/1320,0)</f>
        <v>0</v>
      </c>
      <c r="P576" s="26">
        <f>Table21[[#This Row],[ADD ACC]]*Table21[[#This Row],[Duration
(747-400)]]</f>
        <v>0</v>
      </c>
      <c r="Q576" s="284">
        <f>IFERROR(VLOOKUP(Table21[[#This Row],[ROUTE]],PRICING!A:B,2,FALSE),0)</f>
        <v>0</v>
      </c>
      <c r="R576" s="282">
        <f>Table21[[#This Row],[C_DEMAND]]-Table21[[#This Row],[R-DEMAND]]</f>
        <v>0</v>
      </c>
      <c r="S576" s="287">
        <f>Table21[[#This Row],[SEATS SOLD]]*Table21[[#This Row],[ECO SEAT]]</f>
        <v>0</v>
      </c>
    </row>
    <row r="577" spans="1:19" x14ac:dyDescent="0.25">
      <c r="A577" s="16" t="s">
        <v>16219</v>
      </c>
      <c r="B577" s="16" t="s">
        <v>4789</v>
      </c>
      <c r="D577" s="16">
        <v>3</v>
      </c>
      <c r="E577" s="16" t="s">
        <v>119</v>
      </c>
      <c r="F577" s="16" t="s">
        <v>12674</v>
      </c>
      <c r="G577" s="179" t="s">
        <v>11691</v>
      </c>
      <c r="H577" s="254">
        <v>9493</v>
      </c>
      <c r="I577" s="180">
        <v>23.25</v>
      </c>
      <c r="K577" s="102">
        <f>IFERROR(Table21[[#This Row],[ROUTE COST]]/Table21[[#This Row],[O - DEMAND]],0)</f>
        <v>0</v>
      </c>
      <c r="M577" s="26">
        <f>IFERROR(VLOOKUP(Table21[[#This Row],[ROUTE]],DEMAND!A:F,5,FALSE),0)</f>
        <v>0</v>
      </c>
      <c r="N577" s="26">
        <f>IFERROR(VLOOKUP(Table21[[#This Row],[ROUTE]],DEMAND!A:F,6,FALSE),0)</f>
        <v>0</v>
      </c>
      <c r="O577" s="26">
        <f>ROUNDDOWN(Table21[[#This Row],[R-DEMAND]]/1320,0)</f>
        <v>0</v>
      </c>
      <c r="P577" s="26">
        <f>Table21[[#This Row],[ADD ACC]]*Table21[[#This Row],[Duration
(747-400)]]</f>
        <v>0</v>
      </c>
      <c r="Q577" s="284">
        <f>IFERROR(VLOOKUP(Table21[[#This Row],[ROUTE]],PRICING!A:B,2,FALSE),0)</f>
        <v>0</v>
      </c>
      <c r="R577" s="282">
        <f>Table21[[#This Row],[C_DEMAND]]-Table21[[#This Row],[R-DEMAND]]</f>
        <v>0</v>
      </c>
      <c r="S577" s="287">
        <f>Table21[[#This Row],[SEATS SOLD]]*Table21[[#This Row],[ECO SEAT]]</f>
        <v>0</v>
      </c>
    </row>
    <row r="578" spans="1:19" x14ac:dyDescent="0.25">
      <c r="A578" s="16" t="s">
        <v>16388</v>
      </c>
      <c r="B578" s="16" t="s">
        <v>4568</v>
      </c>
      <c r="D578" s="16">
        <v>2</v>
      </c>
      <c r="E578" s="16" t="s">
        <v>3915</v>
      </c>
      <c r="F578" s="16" t="s">
        <v>12674</v>
      </c>
      <c r="G578" s="179" t="s">
        <v>11798</v>
      </c>
      <c r="H578" s="254">
        <v>7595</v>
      </c>
      <c r="I578" s="180">
        <v>19</v>
      </c>
      <c r="K578" s="102">
        <f>IFERROR(Table21[[#This Row],[ROUTE COST]]/Table21[[#This Row],[O - DEMAND]],0)</f>
        <v>0</v>
      </c>
      <c r="M578" s="26">
        <f>IFERROR(VLOOKUP(Table21[[#This Row],[ROUTE]],DEMAND!A:F,5,FALSE),0)</f>
        <v>0</v>
      </c>
      <c r="N578" s="26">
        <f>IFERROR(VLOOKUP(Table21[[#This Row],[ROUTE]],DEMAND!A:F,6,FALSE),0)</f>
        <v>0</v>
      </c>
      <c r="O578" s="26">
        <f>ROUNDDOWN(Table21[[#This Row],[R-DEMAND]]/1320,0)</f>
        <v>0</v>
      </c>
      <c r="P578" s="26">
        <f>Table21[[#This Row],[ADD ACC]]*Table21[[#This Row],[Duration
(747-400)]]</f>
        <v>0</v>
      </c>
      <c r="Q578" s="284">
        <f>IFERROR(VLOOKUP(Table21[[#This Row],[ROUTE]],PRICING!A:B,2,FALSE),0)</f>
        <v>0</v>
      </c>
      <c r="R578" s="282">
        <f>Table21[[#This Row],[C_DEMAND]]-Table21[[#This Row],[R-DEMAND]]</f>
        <v>0</v>
      </c>
      <c r="S578" s="287">
        <f>Table21[[#This Row],[SEATS SOLD]]*Table21[[#This Row],[ECO SEAT]]</f>
        <v>0</v>
      </c>
    </row>
    <row r="579" spans="1:19" x14ac:dyDescent="0.25">
      <c r="A579" s="16" t="s">
        <v>16109</v>
      </c>
      <c r="B579" s="16" t="s">
        <v>5499</v>
      </c>
      <c r="D579" s="16">
        <v>4</v>
      </c>
      <c r="E579" s="16" t="s">
        <v>11732</v>
      </c>
      <c r="F579" s="16" t="s">
        <v>15969</v>
      </c>
      <c r="G579" s="179" t="s">
        <v>13322</v>
      </c>
      <c r="H579" s="254">
        <v>10846</v>
      </c>
      <c r="I579" s="180">
        <v>26.25</v>
      </c>
      <c r="K579" s="102">
        <f>IFERROR(Table21[[#This Row],[ROUTE COST]]/Table21[[#This Row],[O - DEMAND]],0)</f>
        <v>0</v>
      </c>
      <c r="M579" s="26">
        <f>IFERROR(VLOOKUP(Table21[[#This Row],[ROUTE]],DEMAND!A:F,5,FALSE),0)</f>
        <v>0</v>
      </c>
      <c r="N579" s="26">
        <f>IFERROR(VLOOKUP(Table21[[#This Row],[ROUTE]],DEMAND!A:F,6,FALSE),0)</f>
        <v>0</v>
      </c>
      <c r="O579" s="26">
        <f>ROUNDDOWN(Table21[[#This Row],[R-DEMAND]]/1320,0)</f>
        <v>0</v>
      </c>
      <c r="P579" s="26">
        <f>Table21[[#This Row],[ADD ACC]]*Table21[[#This Row],[Duration
(747-400)]]</f>
        <v>0</v>
      </c>
      <c r="Q579" s="284">
        <f>IFERROR(VLOOKUP(Table21[[#This Row],[ROUTE]],PRICING!A:B,2,FALSE),0)</f>
        <v>0</v>
      </c>
      <c r="R579" s="282">
        <f>Table21[[#This Row],[C_DEMAND]]-Table21[[#This Row],[R-DEMAND]]</f>
        <v>0</v>
      </c>
      <c r="S579" s="287">
        <f>Table21[[#This Row],[SEATS SOLD]]*Table21[[#This Row],[ECO SEAT]]</f>
        <v>0</v>
      </c>
    </row>
    <row r="580" spans="1:19" x14ac:dyDescent="0.25">
      <c r="A580" s="16" t="s">
        <v>16101</v>
      </c>
      <c r="B580" s="16" t="s">
        <v>5519</v>
      </c>
      <c r="D580" s="16">
        <v>4</v>
      </c>
      <c r="E580" s="16" t="s">
        <v>11732</v>
      </c>
      <c r="F580" s="16" t="s">
        <v>15969</v>
      </c>
      <c r="G580" s="179" t="s">
        <v>13334</v>
      </c>
      <c r="H580" s="254">
        <v>10898</v>
      </c>
      <c r="I580" s="180">
        <v>26.25</v>
      </c>
      <c r="K580" s="102">
        <f>IFERROR(Table21[[#This Row],[ROUTE COST]]/Table21[[#This Row],[O - DEMAND]],0)</f>
        <v>0</v>
      </c>
      <c r="M580" s="26">
        <f>IFERROR(VLOOKUP(Table21[[#This Row],[ROUTE]],DEMAND!A:F,5,FALSE),0)</f>
        <v>0</v>
      </c>
      <c r="N580" s="26">
        <f>IFERROR(VLOOKUP(Table21[[#This Row],[ROUTE]],DEMAND!A:F,6,FALSE),0)</f>
        <v>0</v>
      </c>
      <c r="O580" s="26">
        <f>ROUNDDOWN(Table21[[#This Row],[R-DEMAND]]/1320,0)</f>
        <v>0</v>
      </c>
      <c r="P580" s="26">
        <f>Table21[[#This Row],[ADD ACC]]*Table21[[#This Row],[Duration
(747-400)]]</f>
        <v>0</v>
      </c>
      <c r="Q580" s="284">
        <f>IFERROR(VLOOKUP(Table21[[#This Row],[ROUTE]],PRICING!A:B,2,FALSE),0)</f>
        <v>0</v>
      </c>
      <c r="R580" s="282">
        <f>Table21[[#This Row],[C_DEMAND]]-Table21[[#This Row],[R-DEMAND]]</f>
        <v>0</v>
      </c>
      <c r="S580" s="287">
        <f>Table21[[#This Row],[SEATS SOLD]]*Table21[[#This Row],[ECO SEAT]]</f>
        <v>0</v>
      </c>
    </row>
    <row r="581" spans="1:19" x14ac:dyDescent="0.25">
      <c r="A581" s="16" t="s">
        <v>16108</v>
      </c>
      <c r="B581" s="16" t="s">
        <v>428</v>
      </c>
      <c r="D581" s="16">
        <v>3</v>
      </c>
      <c r="E581" s="16" t="s">
        <v>11732</v>
      </c>
      <c r="F581" s="16" t="s">
        <v>15969</v>
      </c>
      <c r="G581" s="179" t="s">
        <v>13341</v>
      </c>
      <c r="H581" s="254">
        <v>10850</v>
      </c>
      <c r="I581" s="180">
        <v>26.25</v>
      </c>
      <c r="K581" s="102">
        <f>IFERROR(Table21[[#This Row],[ROUTE COST]]/Table21[[#This Row],[O - DEMAND]],0)</f>
        <v>0</v>
      </c>
      <c r="M581" s="26">
        <f>IFERROR(VLOOKUP(Table21[[#This Row],[ROUTE]],DEMAND!A:F,5,FALSE),0)</f>
        <v>0</v>
      </c>
      <c r="N581" s="26">
        <f>IFERROR(VLOOKUP(Table21[[#This Row],[ROUTE]],DEMAND!A:F,6,FALSE),0)</f>
        <v>0</v>
      </c>
      <c r="O581" s="26">
        <f>ROUNDDOWN(Table21[[#This Row],[R-DEMAND]]/1320,0)</f>
        <v>0</v>
      </c>
      <c r="P581" s="26">
        <f>Table21[[#This Row],[ADD ACC]]*Table21[[#This Row],[Duration
(747-400)]]</f>
        <v>0</v>
      </c>
      <c r="Q581" s="284">
        <f>IFERROR(VLOOKUP(Table21[[#This Row],[ROUTE]],PRICING!A:B,2,FALSE),0)</f>
        <v>0</v>
      </c>
      <c r="R581" s="282">
        <f>Table21[[#This Row],[C_DEMAND]]-Table21[[#This Row],[R-DEMAND]]</f>
        <v>0</v>
      </c>
      <c r="S581" s="287">
        <f>Table21[[#This Row],[SEATS SOLD]]*Table21[[#This Row],[ECO SEAT]]</f>
        <v>0</v>
      </c>
    </row>
    <row r="582" spans="1:19" x14ac:dyDescent="0.25">
      <c r="A582" s="16" t="s">
        <v>16105</v>
      </c>
      <c r="B582" s="16" t="s">
        <v>5074</v>
      </c>
      <c r="D582" s="16">
        <v>3</v>
      </c>
      <c r="E582" s="16" t="s">
        <v>11732</v>
      </c>
      <c r="F582" s="16" t="s">
        <v>15969</v>
      </c>
      <c r="G582" s="179" t="s">
        <v>13325</v>
      </c>
      <c r="H582" s="254">
        <v>10877</v>
      </c>
      <c r="I582" s="180">
        <v>26.25</v>
      </c>
      <c r="K582" s="102">
        <f>IFERROR(Table21[[#This Row],[ROUTE COST]]/Table21[[#This Row],[O - DEMAND]],0)</f>
        <v>0</v>
      </c>
      <c r="M582" s="26">
        <f>IFERROR(VLOOKUP(Table21[[#This Row],[ROUTE]],DEMAND!A:F,5,FALSE),0)</f>
        <v>0</v>
      </c>
      <c r="N582" s="26">
        <f>IFERROR(VLOOKUP(Table21[[#This Row],[ROUTE]],DEMAND!A:F,6,FALSE),0)</f>
        <v>0</v>
      </c>
      <c r="O582" s="26">
        <f>ROUNDDOWN(Table21[[#This Row],[R-DEMAND]]/1320,0)</f>
        <v>0</v>
      </c>
      <c r="P582" s="26">
        <f>Table21[[#This Row],[ADD ACC]]*Table21[[#This Row],[Duration
(747-400)]]</f>
        <v>0</v>
      </c>
      <c r="Q582" s="284">
        <f>IFERROR(VLOOKUP(Table21[[#This Row],[ROUTE]],PRICING!A:B,2,FALSE),0)</f>
        <v>0</v>
      </c>
      <c r="R582" s="282">
        <f>Table21[[#This Row],[C_DEMAND]]-Table21[[#This Row],[R-DEMAND]]</f>
        <v>0</v>
      </c>
      <c r="S582" s="287">
        <f>Table21[[#This Row],[SEATS SOLD]]*Table21[[#This Row],[ECO SEAT]]</f>
        <v>0</v>
      </c>
    </row>
    <row r="583" spans="1:19" x14ac:dyDescent="0.25">
      <c r="A583" s="16" t="s">
        <v>16579</v>
      </c>
      <c r="B583" s="16" t="s">
        <v>590</v>
      </c>
      <c r="D583" s="16">
        <v>1</v>
      </c>
      <c r="E583" s="16" t="s">
        <v>588</v>
      </c>
      <c r="F583" s="16" t="s">
        <v>12674</v>
      </c>
      <c r="G583" s="179" t="s">
        <v>9615</v>
      </c>
      <c r="H583" s="254">
        <v>5124</v>
      </c>
      <c r="I583" s="180">
        <v>13.5</v>
      </c>
      <c r="K583" s="102">
        <f>IFERROR(Table21[[#This Row],[ROUTE COST]]/Table21[[#This Row],[O - DEMAND]],0)</f>
        <v>0</v>
      </c>
      <c r="M583" s="26">
        <f>IFERROR(VLOOKUP(Table21[[#This Row],[ROUTE]],DEMAND!A:F,5,FALSE),0)</f>
        <v>0</v>
      </c>
      <c r="N583" s="26">
        <f>IFERROR(VLOOKUP(Table21[[#This Row],[ROUTE]],DEMAND!A:F,6,FALSE),0)</f>
        <v>0</v>
      </c>
      <c r="O583" s="26">
        <f>ROUNDDOWN(Table21[[#This Row],[R-DEMAND]]/1320,0)</f>
        <v>0</v>
      </c>
      <c r="P583" s="26">
        <f>Table21[[#This Row],[ADD ACC]]*Table21[[#This Row],[Duration
(747-400)]]</f>
        <v>0</v>
      </c>
      <c r="Q583" s="284">
        <f>IFERROR(VLOOKUP(Table21[[#This Row],[ROUTE]],PRICING!A:B,2,FALSE),0)</f>
        <v>0</v>
      </c>
      <c r="R583" s="282">
        <f>Table21[[#This Row],[C_DEMAND]]-Table21[[#This Row],[R-DEMAND]]</f>
        <v>0</v>
      </c>
      <c r="S583" s="287">
        <f>Table21[[#This Row],[SEATS SOLD]]*Table21[[#This Row],[ECO SEAT]]</f>
        <v>0</v>
      </c>
    </row>
    <row r="584" spans="1:19" x14ac:dyDescent="0.25">
      <c r="A584" s="16" t="s">
        <v>16492</v>
      </c>
      <c r="B584" s="16" t="s">
        <v>4447</v>
      </c>
      <c r="D584" s="16">
        <v>2</v>
      </c>
      <c r="E584" s="16" t="s">
        <v>700</v>
      </c>
      <c r="F584" s="16" t="s">
        <v>12670</v>
      </c>
      <c r="G584" s="179" t="s">
        <v>11884</v>
      </c>
      <c r="H584" s="254">
        <v>6654</v>
      </c>
      <c r="I584" s="180">
        <v>16.75</v>
      </c>
      <c r="K584" s="102">
        <f>IFERROR(Table21[[#This Row],[ROUTE COST]]/Table21[[#This Row],[O - DEMAND]],0)</f>
        <v>0</v>
      </c>
      <c r="M584" s="26">
        <f>IFERROR(VLOOKUP(Table21[[#This Row],[ROUTE]],DEMAND!A:F,5,FALSE),0)</f>
        <v>0</v>
      </c>
      <c r="N584" s="26">
        <f>IFERROR(VLOOKUP(Table21[[#This Row],[ROUTE]],DEMAND!A:F,6,FALSE),0)</f>
        <v>0</v>
      </c>
      <c r="O584" s="26">
        <f>ROUNDDOWN(Table21[[#This Row],[R-DEMAND]]/1320,0)</f>
        <v>0</v>
      </c>
      <c r="P584" s="26">
        <f>Table21[[#This Row],[ADD ACC]]*Table21[[#This Row],[Duration
(747-400)]]</f>
        <v>0</v>
      </c>
      <c r="Q584" s="284">
        <f>IFERROR(VLOOKUP(Table21[[#This Row],[ROUTE]],PRICING!A:B,2,FALSE),0)</f>
        <v>0</v>
      </c>
      <c r="R584" s="282">
        <f>Table21[[#This Row],[C_DEMAND]]-Table21[[#This Row],[R-DEMAND]]</f>
        <v>0</v>
      </c>
      <c r="S584" s="287">
        <f>Table21[[#This Row],[SEATS SOLD]]*Table21[[#This Row],[ECO SEAT]]</f>
        <v>0</v>
      </c>
    </row>
    <row r="585" spans="1:19" x14ac:dyDescent="0.25">
      <c r="A585" s="16" t="s">
        <v>16475</v>
      </c>
      <c r="B585" s="16" t="s">
        <v>3906</v>
      </c>
      <c r="D585" s="16">
        <v>2</v>
      </c>
      <c r="E585" s="16" t="s">
        <v>172</v>
      </c>
      <c r="F585" s="16" t="s">
        <v>12670</v>
      </c>
      <c r="G585" s="179" t="s">
        <v>9572</v>
      </c>
      <c r="H585" s="254">
        <v>6866</v>
      </c>
      <c r="I585" s="180">
        <v>17.25</v>
      </c>
      <c r="K585" s="102">
        <f>IFERROR(Table21[[#This Row],[ROUTE COST]]/Table21[[#This Row],[O - DEMAND]],0)</f>
        <v>0</v>
      </c>
      <c r="M585" s="26">
        <f>IFERROR(VLOOKUP(Table21[[#This Row],[ROUTE]],DEMAND!A:F,5,FALSE),0)</f>
        <v>0</v>
      </c>
      <c r="N585" s="26">
        <f>IFERROR(VLOOKUP(Table21[[#This Row],[ROUTE]],DEMAND!A:F,6,FALSE),0)</f>
        <v>0</v>
      </c>
      <c r="O585" s="26">
        <f>ROUNDDOWN(Table21[[#This Row],[R-DEMAND]]/1320,0)</f>
        <v>0</v>
      </c>
      <c r="P585" s="26">
        <f>Table21[[#This Row],[ADD ACC]]*Table21[[#This Row],[Duration
(747-400)]]</f>
        <v>0</v>
      </c>
      <c r="Q585" s="284">
        <f>IFERROR(VLOOKUP(Table21[[#This Row],[ROUTE]],PRICING!A:B,2,FALSE),0)</f>
        <v>0</v>
      </c>
      <c r="R585" s="282">
        <f>Table21[[#This Row],[C_DEMAND]]-Table21[[#This Row],[R-DEMAND]]</f>
        <v>0</v>
      </c>
      <c r="S585" s="287">
        <f>Table21[[#This Row],[SEATS SOLD]]*Table21[[#This Row],[ECO SEAT]]</f>
        <v>0</v>
      </c>
    </row>
    <row r="586" spans="1:19" x14ac:dyDescent="0.25">
      <c r="A586" s="16" t="s">
        <v>16503</v>
      </c>
      <c r="B586" s="16" t="s">
        <v>902</v>
      </c>
      <c r="D586" s="16">
        <v>1</v>
      </c>
      <c r="E586" s="16" t="s">
        <v>172</v>
      </c>
      <c r="F586" s="16" t="s">
        <v>12670</v>
      </c>
      <c r="G586" s="179" t="s">
        <v>11935</v>
      </c>
      <c r="H586" s="254">
        <v>6519</v>
      </c>
      <c r="I586" s="180">
        <v>16.5</v>
      </c>
      <c r="K586" s="102">
        <f>IFERROR(Table21[[#This Row],[ROUTE COST]]/Table21[[#This Row],[O - DEMAND]],0)</f>
        <v>0</v>
      </c>
      <c r="M586" s="26">
        <f>IFERROR(VLOOKUP(Table21[[#This Row],[ROUTE]],DEMAND!A:F,5,FALSE),0)</f>
        <v>0</v>
      </c>
      <c r="N586" s="26">
        <f>IFERROR(VLOOKUP(Table21[[#This Row],[ROUTE]],DEMAND!A:F,6,FALSE),0)</f>
        <v>0</v>
      </c>
      <c r="O586" s="26">
        <f>ROUNDDOWN(Table21[[#This Row],[R-DEMAND]]/1320,0)</f>
        <v>0</v>
      </c>
      <c r="P586" s="26">
        <f>Table21[[#This Row],[ADD ACC]]*Table21[[#This Row],[Duration
(747-400)]]</f>
        <v>0</v>
      </c>
      <c r="Q586" s="284">
        <f>IFERROR(VLOOKUP(Table21[[#This Row],[ROUTE]],PRICING!A:B,2,FALSE),0)</f>
        <v>0</v>
      </c>
      <c r="R586" s="282">
        <f>Table21[[#This Row],[C_DEMAND]]-Table21[[#This Row],[R-DEMAND]]</f>
        <v>0</v>
      </c>
      <c r="S586" s="287">
        <f>Table21[[#This Row],[SEATS SOLD]]*Table21[[#This Row],[ECO SEAT]]</f>
        <v>0</v>
      </c>
    </row>
    <row r="587" spans="1:19" x14ac:dyDescent="0.25">
      <c r="A587" s="16" t="s">
        <v>16103</v>
      </c>
      <c r="B587" s="16" t="s">
        <v>5157</v>
      </c>
      <c r="D587" s="16">
        <v>3</v>
      </c>
      <c r="E587" s="16" t="s">
        <v>11732</v>
      </c>
      <c r="F587" s="16" t="s">
        <v>15969</v>
      </c>
      <c r="G587" s="179" t="s">
        <v>13295</v>
      </c>
      <c r="H587" s="254">
        <v>10882</v>
      </c>
      <c r="I587" s="180">
        <v>26.25</v>
      </c>
      <c r="K587" s="102">
        <f>IFERROR(Table21[[#This Row],[ROUTE COST]]/Table21[[#This Row],[O - DEMAND]],0)</f>
        <v>0</v>
      </c>
      <c r="M587" s="26">
        <f>IFERROR(VLOOKUP(Table21[[#This Row],[ROUTE]],DEMAND!A:F,5,FALSE),0)</f>
        <v>0</v>
      </c>
      <c r="N587" s="26">
        <f>IFERROR(VLOOKUP(Table21[[#This Row],[ROUTE]],DEMAND!A:F,6,FALSE),0)</f>
        <v>0</v>
      </c>
      <c r="O587" s="26">
        <f>ROUNDDOWN(Table21[[#This Row],[R-DEMAND]]/1320,0)</f>
        <v>0</v>
      </c>
      <c r="P587" s="26">
        <f>Table21[[#This Row],[ADD ACC]]*Table21[[#This Row],[Duration
(747-400)]]</f>
        <v>0</v>
      </c>
      <c r="Q587" s="284">
        <f>IFERROR(VLOOKUP(Table21[[#This Row],[ROUTE]],PRICING!A:B,2,FALSE),0)</f>
        <v>0</v>
      </c>
      <c r="R587" s="282">
        <f>Table21[[#This Row],[C_DEMAND]]-Table21[[#This Row],[R-DEMAND]]</f>
        <v>0</v>
      </c>
      <c r="S587" s="287">
        <f>Table21[[#This Row],[SEATS SOLD]]*Table21[[#This Row],[ECO SEAT]]</f>
        <v>0</v>
      </c>
    </row>
    <row r="588" spans="1:19" x14ac:dyDescent="0.25">
      <c r="A588" s="16" t="s">
        <v>16624</v>
      </c>
      <c r="B588" s="16" t="s">
        <v>284</v>
      </c>
      <c r="D588" s="16">
        <v>3</v>
      </c>
      <c r="E588" s="16" t="s">
        <v>332</v>
      </c>
      <c r="F588" s="16" t="s">
        <v>12670</v>
      </c>
      <c r="G588" s="179" t="s">
        <v>12106</v>
      </c>
      <c r="H588" s="254">
        <v>4024</v>
      </c>
      <c r="I588" s="180">
        <v>11</v>
      </c>
      <c r="K588" s="102">
        <f>IFERROR(Table21[[#This Row],[ROUTE COST]]/Table21[[#This Row],[O - DEMAND]],0)</f>
        <v>0</v>
      </c>
      <c r="M588" s="26">
        <f>IFERROR(VLOOKUP(Table21[[#This Row],[ROUTE]],DEMAND!A:F,5,FALSE),0)</f>
        <v>0</v>
      </c>
      <c r="N588" s="26">
        <f>IFERROR(VLOOKUP(Table21[[#This Row],[ROUTE]],DEMAND!A:F,6,FALSE),0)</f>
        <v>0</v>
      </c>
      <c r="O588" s="26">
        <f>ROUNDDOWN(Table21[[#This Row],[R-DEMAND]]/1320,0)</f>
        <v>0</v>
      </c>
      <c r="P588" s="26">
        <f>Table21[[#This Row],[ADD ACC]]*Table21[[#This Row],[Duration
(747-400)]]</f>
        <v>0</v>
      </c>
      <c r="Q588" s="284">
        <f>IFERROR(VLOOKUP(Table21[[#This Row],[ROUTE]],PRICING!A:B,2,FALSE),0)</f>
        <v>0</v>
      </c>
      <c r="R588" s="282">
        <f>Table21[[#This Row],[C_DEMAND]]-Table21[[#This Row],[R-DEMAND]]</f>
        <v>0</v>
      </c>
      <c r="S588" s="287">
        <f>Table21[[#This Row],[SEATS SOLD]]*Table21[[#This Row],[ECO SEAT]]</f>
        <v>0</v>
      </c>
    </row>
    <row r="589" spans="1:19" x14ac:dyDescent="0.25">
      <c r="A589" s="251" t="s">
        <v>16728</v>
      </c>
      <c r="B589" s="251" t="s">
        <v>5149</v>
      </c>
      <c r="D589" s="251">
        <v>3</v>
      </c>
      <c r="E589" s="251" t="s">
        <v>14</v>
      </c>
      <c r="F589" s="251" t="s">
        <v>12670</v>
      </c>
      <c r="G589" s="252" t="s">
        <v>12019</v>
      </c>
      <c r="H589" s="254">
        <v>411</v>
      </c>
      <c r="I589" s="180">
        <v>3</v>
      </c>
      <c r="K589" s="253">
        <f>IFERROR(Table21[[#This Row],[ROUTE COST]]/Table21[[#This Row],[O - DEMAND]],0)</f>
        <v>0</v>
      </c>
      <c r="M589" s="26">
        <f>IFERROR(VLOOKUP(Table21[[#This Row],[ROUTE]],DEMAND!A:F,5,FALSE),0)</f>
        <v>0</v>
      </c>
      <c r="N589" s="26">
        <f>IFERROR(VLOOKUP(Table21[[#This Row],[ROUTE]],DEMAND!A:F,6,FALSE),0)</f>
        <v>0</v>
      </c>
      <c r="O589" s="26">
        <f>ROUNDDOWN(Table21[[#This Row],[R-DEMAND]]/1320,0)</f>
        <v>0</v>
      </c>
      <c r="P589" s="26">
        <f>Table21[[#This Row],[ADD ACC]]*Table21[[#This Row],[Duration
(747-400)]]</f>
        <v>0</v>
      </c>
      <c r="Q589" s="284">
        <f>IFERROR(VLOOKUP(Table21[[#This Row],[ROUTE]],PRICING!A:B,2,FALSE),0)</f>
        <v>0</v>
      </c>
      <c r="R589" s="282">
        <f>Table21[[#This Row],[C_DEMAND]]-Table21[[#This Row],[R-DEMAND]]</f>
        <v>0</v>
      </c>
      <c r="S589" s="287">
        <f>Table21[[#This Row],[SEATS SOLD]]*Table21[[#This Row],[ECO SEAT]]</f>
        <v>0</v>
      </c>
    </row>
    <row r="590" spans="1:19" x14ac:dyDescent="0.25">
      <c r="A590" s="251" t="s">
        <v>16746</v>
      </c>
      <c r="B590" s="251" t="s">
        <v>5194</v>
      </c>
      <c r="D590" s="251">
        <v>3</v>
      </c>
      <c r="E590" s="251" t="s">
        <v>14</v>
      </c>
      <c r="F590" s="251" t="s">
        <v>12670</v>
      </c>
      <c r="G590" s="252" t="s">
        <v>12050</v>
      </c>
      <c r="H590" s="254">
        <v>925</v>
      </c>
      <c r="I590" s="180">
        <v>4.25</v>
      </c>
      <c r="K590" s="253">
        <f>IFERROR(Table21[[#This Row],[ROUTE COST]]/Table21[[#This Row],[O - DEMAND]],0)</f>
        <v>0</v>
      </c>
      <c r="M590" s="26">
        <f>IFERROR(VLOOKUP(Table21[[#This Row],[ROUTE]],DEMAND!A:F,5,FALSE),0)</f>
        <v>0</v>
      </c>
      <c r="N590" s="26">
        <f>IFERROR(VLOOKUP(Table21[[#This Row],[ROUTE]],DEMAND!A:F,6,FALSE),0)</f>
        <v>0</v>
      </c>
      <c r="O590" s="26">
        <f>ROUNDDOWN(Table21[[#This Row],[R-DEMAND]]/1320,0)</f>
        <v>0</v>
      </c>
      <c r="P590" s="26">
        <f>Table21[[#This Row],[ADD ACC]]*Table21[[#This Row],[Duration
(747-400)]]</f>
        <v>0</v>
      </c>
      <c r="Q590" s="284">
        <f>IFERROR(VLOOKUP(Table21[[#This Row],[ROUTE]],PRICING!A:B,2,FALSE),0)</f>
        <v>0</v>
      </c>
      <c r="R590" s="282">
        <f>Table21[[#This Row],[C_DEMAND]]-Table21[[#This Row],[R-DEMAND]]</f>
        <v>0</v>
      </c>
      <c r="S590" s="287">
        <f>Table21[[#This Row],[SEATS SOLD]]*Table21[[#This Row],[ECO SEAT]]</f>
        <v>0</v>
      </c>
    </row>
    <row r="591" spans="1:19" x14ac:dyDescent="0.25">
      <c r="A591" s="16" t="s">
        <v>16627</v>
      </c>
      <c r="B591" s="16" t="s">
        <v>275</v>
      </c>
      <c r="D591" s="16">
        <v>3</v>
      </c>
      <c r="E591" s="16" t="s">
        <v>332</v>
      </c>
      <c r="F591" s="16" t="s">
        <v>12670</v>
      </c>
      <c r="G591" s="179" t="s">
        <v>12104</v>
      </c>
      <c r="H591" s="254">
        <v>3991</v>
      </c>
      <c r="I591" s="180">
        <v>11</v>
      </c>
      <c r="K591" s="102">
        <f>IFERROR(Table21[[#This Row],[ROUTE COST]]/Table21[[#This Row],[O - DEMAND]],0)</f>
        <v>0</v>
      </c>
      <c r="M591" s="26">
        <f>IFERROR(VLOOKUP(Table21[[#This Row],[ROUTE]],DEMAND!A:F,5,FALSE),0)</f>
        <v>0</v>
      </c>
      <c r="N591" s="26">
        <f>IFERROR(VLOOKUP(Table21[[#This Row],[ROUTE]],DEMAND!A:F,6,FALSE),0)</f>
        <v>0</v>
      </c>
      <c r="O591" s="26">
        <f>ROUNDDOWN(Table21[[#This Row],[R-DEMAND]]/1320,0)</f>
        <v>0</v>
      </c>
      <c r="P591" s="26">
        <f>Table21[[#This Row],[ADD ACC]]*Table21[[#This Row],[Duration
(747-400)]]</f>
        <v>0</v>
      </c>
      <c r="Q591" s="284">
        <f>IFERROR(VLOOKUP(Table21[[#This Row],[ROUTE]],PRICING!A:B,2,FALSE),0)</f>
        <v>0</v>
      </c>
      <c r="R591" s="282">
        <f>Table21[[#This Row],[C_DEMAND]]-Table21[[#This Row],[R-DEMAND]]</f>
        <v>0</v>
      </c>
      <c r="S591" s="287">
        <f>Table21[[#This Row],[SEATS SOLD]]*Table21[[#This Row],[ECO SEAT]]</f>
        <v>0</v>
      </c>
    </row>
    <row r="592" spans="1:19" x14ac:dyDescent="0.25">
      <c r="A592" s="16" t="s">
        <v>16098</v>
      </c>
      <c r="B592" s="16" t="s">
        <v>4613</v>
      </c>
      <c r="D592" s="16">
        <v>2</v>
      </c>
      <c r="E592" s="16" t="s">
        <v>11732</v>
      </c>
      <c r="F592" s="16" t="s">
        <v>15969</v>
      </c>
      <c r="G592" s="179" t="s">
        <v>13301</v>
      </c>
      <c r="H592" s="254">
        <v>10919</v>
      </c>
      <c r="I592" s="180">
        <v>26.25</v>
      </c>
      <c r="K592" s="102">
        <f>IFERROR(Table21[[#This Row],[ROUTE COST]]/Table21[[#This Row],[O - DEMAND]],0)</f>
        <v>0</v>
      </c>
      <c r="M592" s="26">
        <f>IFERROR(VLOOKUP(Table21[[#This Row],[ROUTE]],DEMAND!A:F,5,FALSE),0)</f>
        <v>0</v>
      </c>
      <c r="N592" s="26">
        <f>IFERROR(VLOOKUP(Table21[[#This Row],[ROUTE]],DEMAND!A:F,6,FALSE),0)</f>
        <v>0</v>
      </c>
      <c r="O592" s="26">
        <f>ROUNDDOWN(Table21[[#This Row],[R-DEMAND]]/1320,0)</f>
        <v>0</v>
      </c>
      <c r="P592" s="26">
        <f>Table21[[#This Row],[ADD ACC]]*Table21[[#This Row],[Duration
(747-400)]]</f>
        <v>0</v>
      </c>
      <c r="Q592" s="284">
        <f>IFERROR(VLOOKUP(Table21[[#This Row],[ROUTE]],PRICING!A:B,2,FALSE),0)</f>
        <v>0</v>
      </c>
      <c r="R592" s="282">
        <f>Table21[[#This Row],[C_DEMAND]]-Table21[[#This Row],[R-DEMAND]]</f>
        <v>0</v>
      </c>
      <c r="S592" s="287">
        <f>Table21[[#This Row],[SEATS SOLD]]*Table21[[#This Row],[ECO SEAT]]</f>
        <v>0</v>
      </c>
    </row>
    <row r="593" spans="1:19" x14ac:dyDescent="0.25">
      <c r="A593" s="16" t="s">
        <v>16517</v>
      </c>
      <c r="B593" s="16" t="s">
        <v>1703</v>
      </c>
      <c r="D593" s="16">
        <v>1</v>
      </c>
      <c r="E593" s="16" t="s">
        <v>172</v>
      </c>
      <c r="F593" s="16" t="s">
        <v>12670</v>
      </c>
      <c r="G593" s="179" t="s">
        <v>11952</v>
      </c>
      <c r="H593" s="254">
        <v>6343</v>
      </c>
      <c r="I593" s="180">
        <v>16.25</v>
      </c>
      <c r="K593" s="102">
        <f>IFERROR(Table21[[#This Row],[ROUTE COST]]/Table21[[#This Row],[O - DEMAND]],0)</f>
        <v>0</v>
      </c>
      <c r="M593" s="26">
        <f>IFERROR(VLOOKUP(Table21[[#This Row],[ROUTE]],DEMAND!A:F,5,FALSE),0)</f>
        <v>0</v>
      </c>
      <c r="N593" s="26">
        <f>IFERROR(VLOOKUP(Table21[[#This Row],[ROUTE]],DEMAND!A:F,6,FALSE),0)</f>
        <v>0</v>
      </c>
      <c r="O593" s="26">
        <f>ROUNDDOWN(Table21[[#This Row],[R-DEMAND]]/1320,0)</f>
        <v>0</v>
      </c>
      <c r="P593" s="26">
        <f>Table21[[#This Row],[ADD ACC]]*Table21[[#This Row],[Duration
(747-400)]]</f>
        <v>0</v>
      </c>
      <c r="Q593" s="284">
        <f>IFERROR(VLOOKUP(Table21[[#This Row],[ROUTE]],PRICING!A:B,2,FALSE),0)</f>
        <v>0</v>
      </c>
      <c r="R593" s="282">
        <f>Table21[[#This Row],[C_DEMAND]]-Table21[[#This Row],[R-DEMAND]]</f>
        <v>0</v>
      </c>
      <c r="S593" s="287">
        <f>Table21[[#This Row],[SEATS SOLD]]*Table21[[#This Row],[ECO SEAT]]</f>
        <v>0</v>
      </c>
    </row>
    <row r="594" spans="1:19" x14ac:dyDescent="0.25">
      <c r="A594" s="16" t="s">
        <v>16104</v>
      </c>
      <c r="B594" s="16" t="s">
        <v>76</v>
      </c>
      <c r="D594" s="16">
        <v>2</v>
      </c>
      <c r="E594" s="16" t="s">
        <v>11732</v>
      </c>
      <c r="F594" s="16" t="s">
        <v>15969</v>
      </c>
      <c r="G594" s="179" t="s">
        <v>13340</v>
      </c>
      <c r="H594" s="254">
        <v>10882</v>
      </c>
      <c r="I594" s="180">
        <v>26.25</v>
      </c>
      <c r="K594" s="102">
        <f>IFERROR(Table21[[#This Row],[ROUTE COST]]/Table21[[#This Row],[O - DEMAND]],0)</f>
        <v>0</v>
      </c>
      <c r="M594" s="26">
        <f>IFERROR(VLOOKUP(Table21[[#This Row],[ROUTE]],DEMAND!A:F,5,FALSE),0)</f>
        <v>0</v>
      </c>
      <c r="N594" s="26">
        <f>IFERROR(VLOOKUP(Table21[[#This Row],[ROUTE]],DEMAND!A:F,6,FALSE),0)</f>
        <v>0</v>
      </c>
      <c r="O594" s="26">
        <f>ROUNDDOWN(Table21[[#This Row],[R-DEMAND]]/1320,0)</f>
        <v>0</v>
      </c>
      <c r="P594" s="26">
        <f>Table21[[#This Row],[ADD ACC]]*Table21[[#This Row],[Duration
(747-400)]]</f>
        <v>0</v>
      </c>
      <c r="Q594" s="284">
        <f>IFERROR(VLOOKUP(Table21[[#This Row],[ROUTE]],PRICING!A:B,2,FALSE),0)</f>
        <v>0</v>
      </c>
      <c r="R594" s="282">
        <f>Table21[[#This Row],[C_DEMAND]]-Table21[[#This Row],[R-DEMAND]]</f>
        <v>0</v>
      </c>
      <c r="S594" s="287">
        <f>Table21[[#This Row],[SEATS SOLD]]*Table21[[#This Row],[ECO SEAT]]</f>
        <v>0</v>
      </c>
    </row>
    <row r="595" spans="1:19" x14ac:dyDescent="0.25">
      <c r="A595" s="251" t="s">
        <v>16765</v>
      </c>
      <c r="B595" s="251" t="s">
        <v>2986</v>
      </c>
      <c r="D595" s="251">
        <v>2</v>
      </c>
      <c r="E595" s="251" t="s">
        <v>78</v>
      </c>
      <c r="F595" s="251" t="s">
        <v>12674</v>
      </c>
      <c r="G595" s="252" t="s">
        <v>11980</v>
      </c>
      <c r="H595" s="254">
        <v>1352</v>
      </c>
      <c r="I595" s="180">
        <v>5</v>
      </c>
      <c r="K595" s="253">
        <f>IFERROR(Table21[[#This Row],[ROUTE COST]]/Table21[[#This Row],[O - DEMAND]],0)</f>
        <v>0</v>
      </c>
      <c r="M595" s="26">
        <f>IFERROR(VLOOKUP(Table21[[#This Row],[ROUTE]],DEMAND!A:F,5,FALSE),0)</f>
        <v>0</v>
      </c>
      <c r="N595" s="26">
        <f>IFERROR(VLOOKUP(Table21[[#This Row],[ROUTE]],DEMAND!A:F,6,FALSE),0)</f>
        <v>0</v>
      </c>
      <c r="O595" s="26">
        <f>ROUNDDOWN(Table21[[#This Row],[R-DEMAND]]/1320,0)</f>
        <v>0</v>
      </c>
      <c r="P595" s="26">
        <f>Table21[[#This Row],[ADD ACC]]*Table21[[#This Row],[Duration
(747-400)]]</f>
        <v>0</v>
      </c>
      <c r="Q595" s="284">
        <f>IFERROR(VLOOKUP(Table21[[#This Row],[ROUTE]],PRICING!A:B,2,FALSE),0)</f>
        <v>0</v>
      </c>
      <c r="R595" s="282">
        <f>Table21[[#This Row],[C_DEMAND]]-Table21[[#This Row],[R-DEMAND]]</f>
        <v>0</v>
      </c>
      <c r="S595" s="287">
        <f>Table21[[#This Row],[SEATS SOLD]]*Table21[[#This Row],[ECO SEAT]]</f>
        <v>0</v>
      </c>
    </row>
    <row r="596" spans="1:19" x14ac:dyDescent="0.25">
      <c r="A596" s="16" t="s">
        <v>16663</v>
      </c>
      <c r="B596" s="16" t="s">
        <v>3235</v>
      </c>
      <c r="D596" s="16">
        <v>2</v>
      </c>
      <c r="E596" s="16" t="s">
        <v>14</v>
      </c>
      <c r="F596" s="16" t="s">
        <v>12670</v>
      </c>
      <c r="G596" s="179" t="s">
        <v>9438</v>
      </c>
      <c r="H596" s="254">
        <v>3188</v>
      </c>
      <c r="I596" s="180">
        <v>9.25</v>
      </c>
      <c r="K596" s="102">
        <f>IFERROR(Table21[[#This Row],[ROUTE COST]]/Table21[[#This Row],[O - DEMAND]],0)</f>
        <v>0</v>
      </c>
      <c r="M596" s="26">
        <f>IFERROR(VLOOKUP(Table21[[#This Row],[ROUTE]],DEMAND!A:F,5,FALSE),0)</f>
        <v>0</v>
      </c>
      <c r="N596" s="26">
        <f>IFERROR(VLOOKUP(Table21[[#This Row],[ROUTE]],DEMAND!A:F,6,FALSE),0)</f>
        <v>0</v>
      </c>
      <c r="O596" s="26">
        <f>ROUNDDOWN(Table21[[#This Row],[R-DEMAND]]/1320,0)</f>
        <v>0</v>
      </c>
      <c r="P596" s="26">
        <f>Table21[[#This Row],[ADD ACC]]*Table21[[#This Row],[Duration
(747-400)]]</f>
        <v>0</v>
      </c>
      <c r="Q596" s="284">
        <f>IFERROR(VLOOKUP(Table21[[#This Row],[ROUTE]],PRICING!A:B,2,FALSE),0)</f>
        <v>0</v>
      </c>
      <c r="R596" s="282">
        <f>Table21[[#This Row],[C_DEMAND]]-Table21[[#This Row],[R-DEMAND]]</f>
        <v>0</v>
      </c>
      <c r="S596" s="287">
        <f>Table21[[#This Row],[SEATS SOLD]]*Table21[[#This Row],[ECO SEAT]]</f>
        <v>0</v>
      </c>
    </row>
    <row r="597" spans="1:19" x14ac:dyDescent="0.25">
      <c r="A597" s="16" t="s">
        <v>16485</v>
      </c>
      <c r="B597" s="16" t="s">
        <v>3753</v>
      </c>
      <c r="D597" s="16">
        <v>2</v>
      </c>
      <c r="E597" s="16" t="s">
        <v>700</v>
      </c>
      <c r="F597" s="16" t="s">
        <v>12670</v>
      </c>
      <c r="G597" s="179" t="s">
        <v>11874</v>
      </c>
      <c r="H597" s="254">
        <v>6779</v>
      </c>
      <c r="I597" s="180">
        <v>17.25</v>
      </c>
      <c r="K597" s="102">
        <f>IFERROR(Table21[[#This Row],[ROUTE COST]]/Table21[[#This Row],[O - DEMAND]],0)</f>
        <v>0</v>
      </c>
      <c r="M597" s="26">
        <f>IFERROR(VLOOKUP(Table21[[#This Row],[ROUTE]],DEMAND!A:F,5,FALSE),0)</f>
        <v>0</v>
      </c>
      <c r="N597" s="26">
        <f>IFERROR(VLOOKUP(Table21[[#This Row],[ROUTE]],DEMAND!A:F,6,FALSE),0)</f>
        <v>0</v>
      </c>
      <c r="O597" s="26">
        <f>ROUNDDOWN(Table21[[#This Row],[R-DEMAND]]/1320,0)</f>
        <v>0</v>
      </c>
      <c r="P597" s="26">
        <f>Table21[[#This Row],[ADD ACC]]*Table21[[#This Row],[Duration
(747-400)]]</f>
        <v>0</v>
      </c>
      <c r="Q597" s="284">
        <f>IFERROR(VLOOKUP(Table21[[#This Row],[ROUTE]],PRICING!A:B,2,FALSE),0)</f>
        <v>0</v>
      </c>
      <c r="R597" s="282">
        <f>Table21[[#This Row],[C_DEMAND]]-Table21[[#This Row],[R-DEMAND]]</f>
        <v>0</v>
      </c>
      <c r="S597" s="287">
        <f>Table21[[#This Row],[SEATS SOLD]]*Table21[[#This Row],[ECO SEAT]]</f>
        <v>0</v>
      </c>
    </row>
    <row r="598" spans="1:19" x14ac:dyDescent="0.25">
      <c r="A598" s="16" t="s">
        <v>16106</v>
      </c>
      <c r="B598" s="16" t="s">
        <v>2207</v>
      </c>
      <c r="D598" s="16">
        <v>1</v>
      </c>
      <c r="E598" s="16" t="s">
        <v>11732</v>
      </c>
      <c r="F598" s="16" t="s">
        <v>15969</v>
      </c>
      <c r="G598" s="179" t="s">
        <v>13317</v>
      </c>
      <c r="H598" s="254">
        <v>10871</v>
      </c>
      <c r="I598" s="180">
        <v>26.25</v>
      </c>
      <c r="K598" s="102">
        <f>IFERROR(Table21[[#This Row],[ROUTE COST]]/Table21[[#This Row],[O - DEMAND]],0)</f>
        <v>0</v>
      </c>
      <c r="M598" s="26">
        <f>IFERROR(VLOOKUP(Table21[[#This Row],[ROUTE]],DEMAND!A:F,5,FALSE),0)</f>
        <v>0</v>
      </c>
      <c r="N598" s="26">
        <f>IFERROR(VLOOKUP(Table21[[#This Row],[ROUTE]],DEMAND!A:F,6,FALSE),0)</f>
        <v>0</v>
      </c>
      <c r="O598" s="26">
        <f>ROUNDDOWN(Table21[[#This Row],[R-DEMAND]]/1320,0)</f>
        <v>0</v>
      </c>
      <c r="P598" s="26">
        <f>Table21[[#This Row],[ADD ACC]]*Table21[[#This Row],[Duration
(747-400)]]</f>
        <v>0</v>
      </c>
      <c r="Q598" s="284">
        <f>IFERROR(VLOOKUP(Table21[[#This Row],[ROUTE]],PRICING!A:B,2,FALSE),0)</f>
        <v>0</v>
      </c>
      <c r="R598" s="282">
        <f>Table21[[#This Row],[C_DEMAND]]-Table21[[#This Row],[R-DEMAND]]</f>
        <v>0</v>
      </c>
      <c r="S598" s="287">
        <f>Table21[[#This Row],[SEATS SOLD]]*Table21[[#This Row],[ECO SEAT]]</f>
        <v>0</v>
      </c>
    </row>
    <row r="599" spans="1:19" x14ac:dyDescent="0.25">
      <c r="A599" s="16" t="s">
        <v>16260</v>
      </c>
      <c r="B599" s="16" t="s">
        <v>5333</v>
      </c>
      <c r="D599" s="16">
        <v>3</v>
      </c>
      <c r="E599" s="16" t="s">
        <v>119</v>
      </c>
      <c r="F599" s="16" t="s">
        <v>12674</v>
      </c>
      <c r="G599" s="179" t="s">
        <v>9386</v>
      </c>
      <c r="H599" s="254">
        <v>9048</v>
      </c>
      <c r="I599" s="180">
        <v>22.25</v>
      </c>
      <c r="K599" s="102">
        <f>IFERROR(Table21[[#This Row],[ROUTE COST]]/Table21[[#This Row],[O - DEMAND]],0)</f>
        <v>0</v>
      </c>
      <c r="M599" s="26">
        <f>IFERROR(VLOOKUP(Table21[[#This Row],[ROUTE]],DEMAND!A:F,5,FALSE),0)</f>
        <v>0</v>
      </c>
      <c r="N599" s="26">
        <f>IFERROR(VLOOKUP(Table21[[#This Row],[ROUTE]],DEMAND!A:F,6,FALSE),0)</f>
        <v>0</v>
      </c>
      <c r="O599" s="26">
        <f>ROUNDDOWN(Table21[[#This Row],[R-DEMAND]]/1320,0)</f>
        <v>0</v>
      </c>
      <c r="P599" s="26">
        <f>Table21[[#This Row],[ADD ACC]]*Table21[[#This Row],[Duration
(747-400)]]</f>
        <v>0</v>
      </c>
      <c r="Q599" s="284">
        <f>IFERROR(VLOOKUP(Table21[[#This Row],[ROUTE]],PRICING!A:B,2,FALSE),0)</f>
        <v>0</v>
      </c>
      <c r="R599" s="282">
        <f>Table21[[#This Row],[C_DEMAND]]-Table21[[#This Row],[R-DEMAND]]</f>
        <v>0</v>
      </c>
      <c r="S599" s="287">
        <f>Table21[[#This Row],[SEATS SOLD]]*Table21[[#This Row],[ECO SEAT]]</f>
        <v>0</v>
      </c>
    </row>
    <row r="600" spans="1:19" x14ac:dyDescent="0.25">
      <c r="A600" s="16" t="s">
        <v>16097</v>
      </c>
      <c r="B600" s="16" t="s">
        <v>5217</v>
      </c>
      <c r="D600" s="16">
        <v>3</v>
      </c>
      <c r="E600" s="16" t="s">
        <v>11732</v>
      </c>
      <c r="F600" s="16" t="s">
        <v>15969</v>
      </c>
      <c r="G600" s="179" t="s">
        <v>13308</v>
      </c>
      <c r="H600" s="254">
        <v>10925</v>
      </c>
      <c r="I600" s="180">
        <v>26.25</v>
      </c>
      <c r="K600" s="102">
        <f>IFERROR(Table21[[#This Row],[ROUTE COST]]/Table21[[#This Row],[O - DEMAND]],0)</f>
        <v>0</v>
      </c>
      <c r="M600" s="26">
        <f>IFERROR(VLOOKUP(Table21[[#This Row],[ROUTE]],DEMAND!A:F,5,FALSE),0)</f>
        <v>0</v>
      </c>
      <c r="N600" s="26">
        <f>IFERROR(VLOOKUP(Table21[[#This Row],[ROUTE]],DEMAND!A:F,6,FALSE),0)</f>
        <v>0</v>
      </c>
      <c r="O600" s="26">
        <f>ROUNDDOWN(Table21[[#This Row],[R-DEMAND]]/1320,0)</f>
        <v>0</v>
      </c>
      <c r="P600" s="26">
        <f>Table21[[#This Row],[ADD ACC]]*Table21[[#This Row],[Duration
(747-400)]]</f>
        <v>0</v>
      </c>
      <c r="Q600" s="284">
        <f>IFERROR(VLOOKUP(Table21[[#This Row],[ROUTE]],PRICING!A:B,2,FALSE),0)</f>
        <v>0</v>
      </c>
      <c r="R600" s="282">
        <f>Table21[[#This Row],[C_DEMAND]]-Table21[[#This Row],[R-DEMAND]]</f>
        <v>0</v>
      </c>
      <c r="S600" s="287">
        <f>Table21[[#This Row],[SEATS SOLD]]*Table21[[#This Row],[ECO SEAT]]</f>
        <v>0</v>
      </c>
    </row>
    <row r="601" spans="1:19" x14ac:dyDescent="0.25">
      <c r="A601" s="16" t="s">
        <v>16644</v>
      </c>
      <c r="B601" s="16" t="s">
        <v>1467</v>
      </c>
      <c r="D601" s="16">
        <v>1</v>
      </c>
      <c r="E601" s="16" t="s">
        <v>78</v>
      </c>
      <c r="F601" s="16" t="s">
        <v>12674</v>
      </c>
      <c r="G601" s="179" t="s">
        <v>9359</v>
      </c>
      <c r="H601" s="254">
        <v>3583</v>
      </c>
      <c r="I601" s="180">
        <v>10</v>
      </c>
      <c r="K601" s="102">
        <f>IFERROR(Table21[[#This Row],[ROUTE COST]]/Table21[[#This Row],[O - DEMAND]],0)</f>
        <v>0</v>
      </c>
      <c r="M601" s="26">
        <f>IFERROR(VLOOKUP(Table21[[#This Row],[ROUTE]],DEMAND!A:F,5,FALSE),0)</f>
        <v>0</v>
      </c>
      <c r="N601" s="26">
        <f>IFERROR(VLOOKUP(Table21[[#This Row],[ROUTE]],DEMAND!A:F,6,FALSE),0)</f>
        <v>0</v>
      </c>
      <c r="O601" s="26">
        <f>ROUNDDOWN(Table21[[#This Row],[R-DEMAND]]/1320,0)</f>
        <v>0</v>
      </c>
      <c r="P601" s="26">
        <f>Table21[[#This Row],[ADD ACC]]*Table21[[#This Row],[Duration
(747-400)]]</f>
        <v>0</v>
      </c>
      <c r="Q601" s="284">
        <f>IFERROR(VLOOKUP(Table21[[#This Row],[ROUTE]],PRICING!A:B,2,FALSE),0)</f>
        <v>0</v>
      </c>
      <c r="R601" s="282">
        <f>Table21[[#This Row],[C_DEMAND]]-Table21[[#This Row],[R-DEMAND]]</f>
        <v>0</v>
      </c>
      <c r="S601" s="287">
        <f>Table21[[#This Row],[SEATS SOLD]]*Table21[[#This Row],[ECO SEAT]]</f>
        <v>0</v>
      </c>
    </row>
    <row r="602" spans="1:19" x14ac:dyDescent="0.25">
      <c r="A602" s="251" t="s">
        <v>16779</v>
      </c>
      <c r="B602" s="251" t="s">
        <v>4582</v>
      </c>
      <c r="D602" s="251">
        <v>2</v>
      </c>
      <c r="E602" s="251" t="s">
        <v>78</v>
      </c>
      <c r="F602" s="251" t="s">
        <v>12674</v>
      </c>
      <c r="G602" s="252" t="s">
        <v>9358</v>
      </c>
      <c r="H602" s="254">
        <v>1644</v>
      </c>
      <c r="I602" s="180">
        <v>5.75</v>
      </c>
      <c r="K602" s="253">
        <f>IFERROR(Table21[[#This Row],[ROUTE COST]]/Table21[[#This Row],[O - DEMAND]],0)</f>
        <v>0</v>
      </c>
      <c r="M602" s="26">
        <f>IFERROR(VLOOKUP(Table21[[#This Row],[ROUTE]],DEMAND!A:F,5,FALSE),0)</f>
        <v>0</v>
      </c>
      <c r="N602" s="26">
        <f>IFERROR(VLOOKUP(Table21[[#This Row],[ROUTE]],DEMAND!A:F,6,FALSE),0)</f>
        <v>0</v>
      </c>
      <c r="O602" s="26">
        <f>ROUNDDOWN(Table21[[#This Row],[R-DEMAND]]/1320,0)</f>
        <v>0</v>
      </c>
      <c r="P602" s="26">
        <f>Table21[[#This Row],[ADD ACC]]*Table21[[#This Row],[Duration
(747-400)]]</f>
        <v>0</v>
      </c>
      <c r="Q602" s="284">
        <f>IFERROR(VLOOKUP(Table21[[#This Row],[ROUTE]],PRICING!A:B,2,FALSE),0)</f>
        <v>0</v>
      </c>
      <c r="R602" s="282">
        <f>Table21[[#This Row],[C_DEMAND]]-Table21[[#This Row],[R-DEMAND]]</f>
        <v>0</v>
      </c>
      <c r="S602" s="287">
        <f>Table21[[#This Row],[SEATS SOLD]]*Table21[[#This Row],[ECO SEAT]]</f>
        <v>0</v>
      </c>
    </row>
    <row r="603" spans="1:19" x14ac:dyDescent="0.25">
      <c r="A603" s="251" t="s">
        <v>16739</v>
      </c>
      <c r="B603" s="251" t="s">
        <v>5043</v>
      </c>
      <c r="D603" s="251">
        <v>3</v>
      </c>
      <c r="E603" s="251" t="s">
        <v>14</v>
      </c>
      <c r="F603" s="251" t="s">
        <v>12670</v>
      </c>
      <c r="G603" s="252" t="s">
        <v>12029</v>
      </c>
      <c r="H603" s="254">
        <v>899</v>
      </c>
      <c r="I603" s="180">
        <v>4</v>
      </c>
      <c r="K603" s="253">
        <f>IFERROR(Table21[[#This Row],[ROUTE COST]]/Table21[[#This Row],[O - DEMAND]],0)</f>
        <v>0</v>
      </c>
      <c r="M603" s="26">
        <f>IFERROR(VLOOKUP(Table21[[#This Row],[ROUTE]],DEMAND!A:F,5,FALSE),0)</f>
        <v>0</v>
      </c>
      <c r="N603" s="26">
        <f>IFERROR(VLOOKUP(Table21[[#This Row],[ROUTE]],DEMAND!A:F,6,FALSE),0)</f>
        <v>0</v>
      </c>
      <c r="O603" s="26">
        <f>ROUNDDOWN(Table21[[#This Row],[R-DEMAND]]/1320,0)</f>
        <v>0</v>
      </c>
      <c r="P603" s="26">
        <f>Table21[[#This Row],[ADD ACC]]*Table21[[#This Row],[Duration
(747-400)]]</f>
        <v>0</v>
      </c>
      <c r="Q603" s="284">
        <f>IFERROR(VLOOKUP(Table21[[#This Row],[ROUTE]],PRICING!A:B,2,FALSE),0)</f>
        <v>0</v>
      </c>
      <c r="R603" s="282">
        <f>Table21[[#This Row],[C_DEMAND]]-Table21[[#This Row],[R-DEMAND]]</f>
        <v>0</v>
      </c>
      <c r="S603" s="287">
        <f>Table21[[#This Row],[SEATS SOLD]]*Table21[[#This Row],[ECO SEAT]]</f>
        <v>0</v>
      </c>
    </row>
    <row r="604" spans="1:19" x14ac:dyDescent="0.25">
      <c r="A604" s="16" t="s">
        <v>16100</v>
      </c>
      <c r="B604" s="16" t="s">
        <v>5139</v>
      </c>
      <c r="D604" s="16">
        <v>3</v>
      </c>
      <c r="E604" s="16" t="s">
        <v>11732</v>
      </c>
      <c r="F604" s="16" t="s">
        <v>15969</v>
      </c>
      <c r="G604" s="179" t="s">
        <v>13311</v>
      </c>
      <c r="H604" s="254">
        <v>10909</v>
      </c>
      <c r="I604" s="180">
        <v>26.25</v>
      </c>
      <c r="K604" s="102">
        <f>IFERROR(Table21[[#This Row],[ROUTE COST]]/Table21[[#This Row],[O - DEMAND]],0)</f>
        <v>0</v>
      </c>
      <c r="M604" s="26">
        <f>IFERROR(VLOOKUP(Table21[[#This Row],[ROUTE]],DEMAND!A:F,5,FALSE),0)</f>
        <v>0</v>
      </c>
      <c r="N604" s="26">
        <f>IFERROR(VLOOKUP(Table21[[#This Row],[ROUTE]],DEMAND!A:F,6,FALSE),0)</f>
        <v>0</v>
      </c>
      <c r="O604" s="26">
        <f>ROUNDDOWN(Table21[[#This Row],[R-DEMAND]]/1320,0)</f>
        <v>0</v>
      </c>
      <c r="P604" s="26">
        <f>Table21[[#This Row],[ADD ACC]]*Table21[[#This Row],[Duration
(747-400)]]</f>
        <v>0</v>
      </c>
      <c r="Q604" s="284">
        <f>IFERROR(VLOOKUP(Table21[[#This Row],[ROUTE]],PRICING!A:B,2,FALSE),0)</f>
        <v>0</v>
      </c>
      <c r="R604" s="282">
        <f>Table21[[#This Row],[C_DEMAND]]-Table21[[#This Row],[R-DEMAND]]</f>
        <v>0</v>
      </c>
      <c r="S604" s="287">
        <f>Table21[[#This Row],[SEATS SOLD]]*Table21[[#This Row],[ECO SEAT]]</f>
        <v>0</v>
      </c>
    </row>
    <row r="605" spans="1:19" x14ac:dyDescent="0.25">
      <c r="A605" s="16" t="s">
        <v>16445</v>
      </c>
      <c r="B605" s="16" t="s">
        <v>1211</v>
      </c>
      <c r="D605" s="16">
        <v>1</v>
      </c>
      <c r="E605" s="16" t="s">
        <v>700</v>
      </c>
      <c r="F605" s="16" t="s">
        <v>12670</v>
      </c>
      <c r="G605" s="179" t="s">
        <v>11854</v>
      </c>
      <c r="H605" s="254">
        <v>7142</v>
      </c>
      <c r="I605" s="180">
        <v>18</v>
      </c>
      <c r="K605" s="102">
        <f>IFERROR(Table21[[#This Row],[ROUTE COST]]/Table21[[#This Row],[O - DEMAND]],0)</f>
        <v>0</v>
      </c>
      <c r="M605" s="26">
        <f>IFERROR(VLOOKUP(Table21[[#This Row],[ROUTE]],DEMAND!A:F,5,FALSE),0)</f>
        <v>0</v>
      </c>
      <c r="N605" s="26">
        <f>IFERROR(VLOOKUP(Table21[[#This Row],[ROUTE]],DEMAND!A:F,6,FALSE),0)</f>
        <v>0</v>
      </c>
      <c r="O605" s="26">
        <f>ROUNDDOWN(Table21[[#This Row],[R-DEMAND]]/1320,0)</f>
        <v>0</v>
      </c>
      <c r="P605" s="26">
        <f>Table21[[#This Row],[ADD ACC]]*Table21[[#This Row],[Duration
(747-400)]]</f>
        <v>0</v>
      </c>
      <c r="Q605" s="284">
        <f>IFERROR(VLOOKUP(Table21[[#This Row],[ROUTE]],PRICING!A:B,2,FALSE),0)</f>
        <v>0</v>
      </c>
      <c r="R605" s="282">
        <f>Table21[[#This Row],[C_DEMAND]]-Table21[[#This Row],[R-DEMAND]]</f>
        <v>0</v>
      </c>
      <c r="S605" s="287">
        <f>Table21[[#This Row],[SEATS SOLD]]*Table21[[#This Row],[ECO SEAT]]</f>
        <v>0</v>
      </c>
    </row>
    <row r="606" spans="1:19" x14ac:dyDescent="0.25">
      <c r="A606" s="16" t="s">
        <v>16114</v>
      </c>
      <c r="B606" s="16" t="s">
        <v>4416</v>
      </c>
      <c r="D606" s="16">
        <v>2</v>
      </c>
      <c r="E606" s="16" t="s">
        <v>11732</v>
      </c>
      <c r="F606" s="16" t="s">
        <v>15969</v>
      </c>
      <c r="G606" s="179" t="s">
        <v>13300</v>
      </c>
      <c r="H606" s="254">
        <v>10772</v>
      </c>
      <c r="I606" s="180">
        <v>26</v>
      </c>
      <c r="K606" s="102">
        <f>IFERROR(Table21[[#This Row],[ROUTE COST]]/Table21[[#This Row],[O - DEMAND]],0)</f>
        <v>0</v>
      </c>
      <c r="M606" s="26">
        <f>IFERROR(VLOOKUP(Table21[[#This Row],[ROUTE]],DEMAND!A:F,5,FALSE),0)</f>
        <v>0</v>
      </c>
      <c r="N606" s="26">
        <f>IFERROR(VLOOKUP(Table21[[#This Row],[ROUTE]],DEMAND!A:F,6,FALSE),0)</f>
        <v>0</v>
      </c>
      <c r="O606" s="26">
        <f>ROUNDDOWN(Table21[[#This Row],[R-DEMAND]]/1320,0)</f>
        <v>0</v>
      </c>
      <c r="P606" s="26">
        <f>Table21[[#This Row],[ADD ACC]]*Table21[[#This Row],[Duration
(747-400)]]</f>
        <v>0</v>
      </c>
      <c r="Q606" s="284">
        <f>IFERROR(VLOOKUP(Table21[[#This Row],[ROUTE]],PRICING!A:B,2,FALSE),0)</f>
        <v>0</v>
      </c>
      <c r="R606" s="282">
        <f>Table21[[#This Row],[C_DEMAND]]-Table21[[#This Row],[R-DEMAND]]</f>
        <v>0</v>
      </c>
      <c r="S606" s="287">
        <f>Table21[[#This Row],[SEATS SOLD]]*Table21[[#This Row],[ECO SEAT]]</f>
        <v>0</v>
      </c>
    </row>
    <row r="607" spans="1:19" x14ac:dyDescent="0.25">
      <c r="A607" s="16" t="s">
        <v>16118</v>
      </c>
      <c r="B607" s="16" t="s">
        <v>4094</v>
      </c>
      <c r="D607" s="16">
        <v>2</v>
      </c>
      <c r="E607" s="243" t="s">
        <v>11732</v>
      </c>
      <c r="F607" s="16" t="s">
        <v>15969</v>
      </c>
      <c r="G607" s="179" t="s">
        <v>13319</v>
      </c>
      <c r="H607" s="254">
        <v>10739</v>
      </c>
      <c r="I607" s="180">
        <v>26</v>
      </c>
      <c r="K607" s="102">
        <f>IFERROR(Table21[[#This Row],[ROUTE COST]]/Table21[[#This Row],[O - DEMAND]],0)</f>
        <v>0</v>
      </c>
      <c r="M607" s="26">
        <f>IFERROR(VLOOKUP(Table21[[#This Row],[ROUTE]],DEMAND!A:F,5,FALSE),0)</f>
        <v>0</v>
      </c>
      <c r="N607" s="26">
        <f>IFERROR(VLOOKUP(Table21[[#This Row],[ROUTE]],DEMAND!A:F,6,FALSE),0)</f>
        <v>0</v>
      </c>
      <c r="O607" s="26">
        <f>ROUNDDOWN(Table21[[#This Row],[R-DEMAND]]/1320,0)</f>
        <v>0</v>
      </c>
      <c r="P607" s="26">
        <f>Table21[[#This Row],[ADD ACC]]*Table21[[#This Row],[Duration
(747-400)]]</f>
        <v>0</v>
      </c>
      <c r="Q607" s="284">
        <f>IFERROR(VLOOKUP(Table21[[#This Row],[ROUTE]],PRICING!A:B,2,FALSE),0)</f>
        <v>0</v>
      </c>
      <c r="R607" s="282">
        <f>Table21[[#This Row],[C_DEMAND]]-Table21[[#This Row],[R-DEMAND]]</f>
        <v>0</v>
      </c>
      <c r="S607" s="287">
        <f>Table21[[#This Row],[SEATS SOLD]]*Table21[[#This Row],[ECO SEAT]]</f>
        <v>0</v>
      </c>
    </row>
    <row r="608" spans="1:19" x14ac:dyDescent="0.25">
      <c r="A608" s="251" t="s">
        <v>16760</v>
      </c>
      <c r="B608" s="251" t="s">
        <v>2313</v>
      </c>
      <c r="D608" s="251">
        <v>1</v>
      </c>
      <c r="E608" s="251" t="s">
        <v>14</v>
      </c>
      <c r="F608" s="251" t="s">
        <v>12670</v>
      </c>
      <c r="G608" s="252" t="s">
        <v>12060</v>
      </c>
      <c r="H608" s="254">
        <v>1181</v>
      </c>
      <c r="I608" s="180">
        <v>4.75</v>
      </c>
      <c r="K608" s="253">
        <f>IFERROR(Table21[[#This Row],[ROUTE COST]]/Table21[[#This Row],[O - DEMAND]],0)</f>
        <v>0</v>
      </c>
      <c r="M608" s="26">
        <f>IFERROR(VLOOKUP(Table21[[#This Row],[ROUTE]],DEMAND!A:F,5,FALSE),0)</f>
        <v>0</v>
      </c>
      <c r="N608" s="26">
        <f>IFERROR(VLOOKUP(Table21[[#This Row],[ROUTE]],DEMAND!A:F,6,FALSE),0)</f>
        <v>0</v>
      </c>
      <c r="O608" s="26">
        <f>ROUNDDOWN(Table21[[#This Row],[R-DEMAND]]/1320,0)</f>
        <v>0</v>
      </c>
      <c r="P608" s="26">
        <f>Table21[[#This Row],[ADD ACC]]*Table21[[#This Row],[Duration
(747-400)]]</f>
        <v>0</v>
      </c>
      <c r="Q608" s="284">
        <f>IFERROR(VLOOKUP(Table21[[#This Row],[ROUTE]],PRICING!A:B,2,FALSE),0)</f>
        <v>0</v>
      </c>
      <c r="R608" s="282">
        <f>Table21[[#This Row],[C_DEMAND]]-Table21[[#This Row],[R-DEMAND]]</f>
        <v>0</v>
      </c>
      <c r="S608" s="287">
        <f>Table21[[#This Row],[SEATS SOLD]]*Table21[[#This Row],[ECO SEAT]]</f>
        <v>0</v>
      </c>
    </row>
    <row r="609" spans="1:19" x14ac:dyDescent="0.25">
      <c r="A609" s="251" t="s">
        <v>16731</v>
      </c>
      <c r="B609" s="251" t="s">
        <v>2868</v>
      </c>
      <c r="D609" s="251">
        <v>2</v>
      </c>
      <c r="E609" s="251" t="s">
        <v>14</v>
      </c>
      <c r="F609" s="251" t="s">
        <v>12670</v>
      </c>
      <c r="G609" s="252" t="s">
        <v>12039</v>
      </c>
      <c r="H609" s="254">
        <v>532</v>
      </c>
      <c r="I609" s="180">
        <v>3.25</v>
      </c>
      <c r="K609" s="253">
        <f>IFERROR(Table21[[#This Row],[ROUTE COST]]/Table21[[#This Row],[O - DEMAND]],0)</f>
        <v>0</v>
      </c>
      <c r="M609" s="26">
        <f>IFERROR(VLOOKUP(Table21[[#This Row],[ROUTE]],DEMAND!A:F,5,FALSE),0)</f>
        <v>0</v>
      </c>
      <c r="N609" s="26">
        <f>IFERROR(VLOOKUP(Table21[[#This Row],[ROUTE]],DEMAND!A:F,6,FALSE),0)</f>
        <v>0</v>
      </c>
      <c r="O609" s="26">
        <f>ROUNDDOWN(Table21[[#This Row],[R-DEMAND]]/1320,0)</f>
        <v>0</v>
      </c>
      <c r="P609" s="26">
        <f>Table21[[#This Row],[ADD ACC]]*Table21[[#This Row],[Duration
(747-400)]]</f>
        <v>0</v>
      </c>
      <c r="Q609" s="284">
        <f>IFERROR(VLOOKUP(Table21[[#This Row],[ROUTE]],PRICING!A:B,2,FALSE),0)</f>
        <v>0</v>
      </c>
      <c r="R609" s="282">
        <f>Table21[[#This Row],[C_DEMAND]]-Table21[[#This Row],[R-DEMAND]]</f>
        <v>0</v>
      </c>
      <c r="S609" s="287">
        <f>Table21[[#This Row],[SEATS SOLD]]*Table21[[#This Row],[ECO SEAT]]</f>
        <v>0</v>
      </c>
    </row>
    <row r="610" spans="1:19" x14ac:dyDescent="0.25">
      <c r="A610" s="251" t="s">
        <v>16774</v>
      </c>
      <c r="B610" s="251" t="s">
        <v>4915</v>
      </c>
      <c r="D610" s="251">
        <v>3</v>
      </c>
      <c r="E610" s="251" t="s">
        <v>14</v>
      </c>
      <c r="F610" s="251" t="s">
        <v>12670</v>
      </c>
      <c r="G610" s="252" t="s">
        <v>12051</v>
      </c>
      <c r="H610" s="254">
        <v>1403</v>
      </c>
      <c r="I610" s="180">
        <v>5.25</v>
      </c>
      <c r="K610" s="253">
        <f>IFERROR(Table21[[#This Row],[ROUTE COST]]/Table21[[#This Row],[O - DEMAND]],0)</f>
        <v>0</v>
      </c>
      <c r="M610" s="26">
        <f>IFERROR(VLOOKUP(Table21[[#This Row],[ROUTE]],DEMAND!A:F,5,FALSE),0)</f>
        <v>0</v>
      </c>
      <c r="N610" s="26">
        <f>IFERROR(VLOOKUP(Table21[[#This Row],[ROUTE]],DEMAND!A:F,6,FALSE),0)</f>
        <v>0</v>
      </c>
      <c r="O610" s="26">
        <f>ROUNDDOWN(Table21[[#This Row],[R-DEMAND]]/1320,0)</f>
        <v>0</v>
      </c>
      <c r="P610" s="26">
        <f>Table21[[#This Row],[ADD ACC]]*Table21[[#This Row],[Duration
(747-400)]]</f>
        <v>0</v>
      </c>
      <c r="Q610" s="284">
        <f>IFERROR(VLOOKUP(Table21[[#This Row],[ROUTE]],PRICING!A:B,2,FALSE),0)</f>
        <v>0</v>
      </c>
      <c r="R610" s="282">
        <f>Table21[[#This Row],[C_DEMAND]]-Table21[[#This Row],[R-DEMAND]]</f>
        <v>0</v>
      </c>
      <c r="S610" s="287">
        <f>Table21[[#This Row],[SEATS SOLD]]*Table21[[#This Row],[ECO SEAT]]</f>
        <v>0</v>
      </c>
    </row>
    <row r="611" spans="1:19" x14ac:dyDescent="0.25">
      <c r="A611" s="16" t="s">
        <v>16513</v>
      </c>
      <c r="B611" s="16" t="s">
        <v>1656</v>
      </c>
      <c r="D611" s="16">
        <v>1</v>
      </c>
      <c r="E611" s="16" t="s">
        <v>1654</v>
      </c>
      <c r="F611" s="16" t="s">
        <v>12670</v>
      </c>
      <c r="G611" s="179" t="s">
        <v>11901</v>
      </c>
      <c r="H611" s="254">
        <v>6361</v>
      </c>
      <c r="I611" s="180">
        <v>16.25</v>
      </c>
      <c r="K611" s="102">
        <f>IFERROR(Table21[[#This Row],[ROUTE COST]]/Table21[[#This Row],[O - DEMAND]],0)</f>
        <v>0</v>
      </c>
      <c r="M611" s="26">
        <f>IFERROR(VLOOKUP(Table21[[#This Row],[ROUTE]],DEMAND!A:F,5,FALSE),0)</f>
        <v>0</v>
      </c>
      <c r="N611" s="26">
        <f>IFERROR(VLOOKUP(Table21[[#This Row],[ROUTE]],DEMAND!A:F,6,FALSE),0)</f>
        <v>0</v>
      </c>
      <c r="O611" s="26">
        <f>ROUNDDOWN(Table21[[#This Row],[R-DEMAND]]/1320,0)</f>
        <v>0</v>
      </c>
      <c r="P611" s="26">
        <f>Table21[[#This Row],[ADD ACC]]*Table21[[#This Row],[Duration
(747-400)]]</f>
        <v>0</v>
      </c>
      <c r="Q611" s="284">
        <f>IFERROR(VLOOKUP(Table21[[#This Row],[ROUTE]],PRICING!A:B,2,FALSE),0)</f>
        <v>0</v>
      </c>
      <c r="R611" s="282">
        <f>Table21[[#This Row],[C_DEMAND]]-Table21[[#This Row],[R-DEMAND]]</f>
        <v>0</v>
      </c>
      <c r="S611" s="287">
        <f>Table21[[#This Row],[SEATS SOLD]]*Table21[[#This Row],[ECO SEAT]]</f>
        <v>0</v>
      </c>
    </row>
    <row r="612" spans="1:19" x14ac:dyDescent="0.25">
      <c r="A612" s="16" t="s">
        <v>16628</v>
      </c>
      <c r="B612" s="16" t="s">
        <v>229</v>
      </c>
      <c r="D612" s="16">
        <v>2</v>
      </c>
      <c r="E612" s="16" t="s">
        <v>332</v>
      </c>
      <c r="F612" s="16" t="s">
        <v>12670</v>
      </c>
      <c r="G612" s="179" t="s">
        <v>9107</v>
      </c>
      <c r="H612" s="254">
        <v>3963</v>
      </c>
      <c r="I612" s="180">
        <v>11</v>
      </c>
      <c r="K612" s="102">
        <f>IFERROR(Table21[[#This Row],[ROUTE COST]]/Table21[[#This Row],[O - DEMAND]],0)</f>
        <v>0</v>
      </c>
      <c r="M612" s="26">
        <f>IFERROR(VLOOKUP(Table21[[#This Row],[ROUTE]],DEMAND!A:F,5,FALSE),0)</f>
        <v>0</v>
      </c>
      <c r="N612" s="26">
        <f>IFERROR(VLOOKUP(Table21[[#This Row],[ROUTE]],DEMAND!A:F,6,FALSE),0)</f>
        <v>0</v>
      </c>
      <c r="O612" s="26">
        <f>ROUNDDOWN(Table21[[#This Row],[R-DEMAND]]/1320,0)</f>
        <v>0</v>
      </c>
      <c r="P612" s="26">
        <f>Table21[[#This Row],[ADD ACC]]*Table21[[#This Row],[Duration
(747-400)]]</f>
        <v>0</v>
      </c>
      <c r="Q612" s="284">
        <f>IFERROR(VLOOKUP(Table21[[#This Row],[ROUTE]],PRICING!A:B,2,FALSE),0)</f>
        <v>0</v>
      </c>
      <c r="R612" s="282">
        <f>Table21[[#This Row],[C_DEMAND]]-Table21[[#This Row],[R-DEMAND]]</f>
        <v>0</v>
      </c>
      <c r="S612" s="287">
        <f>Table21[[#This Row],[SEATS SOLD]]*Table21[[#This Row],[ECO SEAT]]</f>
        <v>0</v>
      </c>
    </row>
    <row r="613" spans="1:19" x14ac:dyDescent="0.25">
      <c r="A613" s="16" t="s">
        <v>16676</v>
      </c>
      <c r="B613" s="16" t="s">
        <v>3588</v>
      </c>
      <c r="D613" s="16">
        <v>2</v>
      </c>
      <c r="E613" s="16" t="s">
        <v>78</v>
      </c>
      <c r="F613" s="16" t="s">
        <v>12674</v>
      </c>
      <c r="G613" s="179" t="s">
        <v>11953</v>
      </c>
      <c r="H613" s="254">
        <v>2802</v>
      </c>
      <c r="I613" s="180">
        <v>8.25</v>
      </c>
      <c r="K613" s="102">
        <f>IFERROR(Table21[[#This Row],[ROUTE COST]]/Table21[[#This Row],[O - DEMAND]],0)</f>
        <v>0</v>
      </c>
      <c r="M613" s="26">
        <f>IFERROR(VLOOKUP(Table21[[#This Row],[ROUTE]],DEMAND!A:F,5,FALSE),0)</f>
        <v>0</v>
      </c>
      <c r="N613" s="26">
        <f>IFERROR(VLOOKUP(Table21[[#This Row],[ROUTE]],DEMAND!A:F,6,FALSE),0)</f>
        <v>0</v>
      </c>
      <c r="O613" s="26">
        <f>ROUNDDOWN(Table21[[#This Row],[R-DEMAND]]/1320,0)</f>
        <v>0</v>
      </c>
      <c r="P613" s="26">
        <f>Table21[[#This Row],[ADD ACC]]*Table21[[#This Row],[Duration
(747-400)]]</f>
        <v>0</v>
      </c>
      <c r="Q613" s="284">
        <f>IFERROR(VLOOKUP(Table21[[#This Row],[ROUTE]],PRICING!A:B,2,FALSE),0)</f>
        <v>0</v>
      </c>
      <c r="R613" s="282">
        <f>Table21[[#This Row],[C_DEMAND]]-Table21[[#This Row],[R-DEMAND]]</f>
        <v>0</v>
      </c>
      <c r="S613" s="287">
        <f>Table21[[#This Row],[SEATS SOLD]]*Table21[[#This Row],[ECO SEAT]]</f>
        <v>0</v>
      </c>
    </row>
    <row r="614" spans="1:19" x14ac:dyDescent="0.25">
      <c r="A614" s="16" t="s">
        <v>16647</v>
      </c>
      <c r="B614" s="16" t="s">
        <v>2601</v>
      </c>
      <c r="D614" s="16">
        <v>2</v>
      </c>
      <c r="E614" s="16" t="s">
        <v>588</v>
      </c>
      <c r="F614" s="16" t="s">
        <v>12674</v>
      </c>
      <c r="G614" s="179" t="s">
        <v>11959</v>
      </c>
      <c r="H614" s="254">
        <v>3517</v>
      </c>
      <c r="I614" s="180">
        <v>10</v>
      </c>
      <c r="K614" s="102">
        <f>IFERROR(Table21[[#This Row],[ROUTE COST]]/Table21[[#This Row],[O - DEMAND]],0)</f>
        <v>0</v>
      </c>
      <c r="M614" s="26">
        <f>IFERROR(VLOOKUP(Table21[[#This Row],[ROUTE]],DEMAND!A:F,5,FALSE),0)</f>
        <v>0</v>
      </c>
      <c r="N614" s="26">
        <f>IFERROR(VLOOKUP(Table21[[#This Row],[ROUTE]],DEMAND!A:F,6,FALSE),0)</f>
        <v>0</v>
      </c>
      <c r="O614" s="26">
        <f>ROUNDDOWN(Table21[[#This Row],[R-DEMAND]]/1320,0)</f>
        <v>0</v>
      </c>
      <c r="P614" s="26">
        <f>Table21[[#This Row],[ADD ACC]]*Table21[[#This Row],[Duration
(747-400)]]</f>
        <v>0</v>
      </c>
      <c r="Q614" s="284">
        <f>IFERROR(VLOOKUP(Table21[[#This Row],[ROUTE]],PRICING!A:B,2,FALSE),0)</f>
        <v>0</v>
      </c>
      <c r="R614" s="282">
        <f>Table21[[#This Row],[C_DEMAND]]-Table21[[#This Row],[R-DEMAND]]</f>
        <v>0</v>
      </c>
      <c r="S614" s="287">
        <f>Table21[[#This Row],[SEATS SOLD]]*Table21[[#This Row],[ECO SEAT]]</f>
        <v>0</v>
      </c>
    </row>
    <row r="615" spans="1:19" x14ac:dyDescent="0.25">
      <c r="A615" s="16" t="s">
        <v>16651</v>
      </c>
      <c r="B615" s="16" t="s">
        <v>4172</v>
      </c>
      <c r="D615" s="16">
        <v>2</v>
      </c>
      <c r="E615" s="16" t="s">
        <v>14</v>
      </c>
      <c r="F615" s="16" t="s">
        <v>12670</v>
      </c>
      <c r="G615" s="179" t="s">
        <v>12001</v>
      </c>
      <c r="H615" s="254">
        <v>3435</v>
      </c>
      <c r="I615" s="180">
        <v>9.75</v>
      </c>
      <c r="K615" s="102">
        <f>IFERROR(Table21[[#This Row],[ROUTE COST]]/Table21[[#This Row],[O - DEMAND]],0)</f>
        <v>0</v>
      </c>
      <c r="M615" s="26">
        <f>IFERROR(VLOOKUP(Table21[[#This Row],[ROUTE]],DEMAND!A:F,5,FALSE),0)</f>
        <v>0</v>
      </c>
      <c r="N615" s="26">
        <f>IFERROR(VLOOKUP(Table21[[#This Row],[ROUTE]],DEMAND!A:F,6,FALSE),0)</f>
        <v>0</v>
      </c>
      <c r="O615" s="26">
        <f>ROUNDDOWN(Table21[[#This Row],[R-DEMAND]]/1320,0)</f>
        <v>0</v>
      </c>
      <c r="P615" s="26">
        <f>Table21[[#This Row],[ADD ACC]]*Table21[[#This Row],[Duration
(747-400)]]</f>
        <v>0</v>
      </c>
      <c r="Q615" s="284">
        <f>IFERROR(VLOOKUP(Table21[[#This Row],[ROUTE]],PRICING!A:B,2,FALSE),0)</f>
        <v>0</v>
      </c>
      <c r="R615" s="282">
        <f>Table21[[#This Row],[C_DEMAND]]-Table21[[#This Row],[R-DEMAND]]</f>
        <v>0</v>
      </c>
      <c r="S615" s="287">
        <f>Table21[[#This Row],[SEATS SOLD]]*Table21[[#This Row],[ECO SEAT]]</f>
        <v>0</v>
      </c>
    </row>
    <row r="616" spans="1:19" x14ac:dyDescent="0.25">
      <c r="A616" s="251" t="s">
        <v>16769</v>
      </c>
      <c r="B616" s="251" t="s">
        <v>5265</v>
      </c>
      <c r="D616" s="251">
        <v>3</v>
      </c>
      <c r="E616" s="251" t="s">
        <v>14</v>
      </c>
      <c r="F616" s="251" t="s">
        <v>12670</v>
      </c>
      <c r="G616" s="252" t="s">
        <v>12061</v>
      </c>
      <c r="H616" s="254">
        <v>1248</v>
      </c>
      <c r="I616" s="180">
        <v>5</v>
      </c>
      <c r="K616" s="253">
        <f>IFERROR(Table21[[#This Row],[ROUTE COST]]/Table21[[#This Row],[O - DEMAND]],0)</f>
        <v>0</v>
      </c>
      <c r="M616" s="26">
        <f>IFERROR(VLOOKUP(Table21[[#This Row],[ROUTE]],DEMAND!A:F,5,FALSE),0)</f>
        <v>0</v>
      </c>
      <c r="N616" s="26">
        <f>IFERROR(VLOOKUP(Table21[[#This Row],[ROUTE]],DEMAND!A:F,6,FALSE),0)</f>
        <v>0</v>
      </c>
      <c r="O616" s="26">
        <f>ROUNDDOWN(Table21[[#This Row],[R-DEMAND]]/1320,0)</f>
        <v>0</v>
      </c>
      <c r="P616" s="26">
        <f>Table21[[#This Row],[ADD ACC]]*Table21[[#This Row],[Duration
(747-400)]]</f>
        <v>0</v>
      </c>
      <c r="Q616" s="284">
        <f>IFERROR(VLOOKUP(Table21[[#This Row],[ROUTE]],PRICING!A:B,2,FALSE),0)</f>
        <v>0</v>
      </c>
      <c r="R616" s="282">
        <f>Table21[[#This Row],[C_DEMAND]]-Table21[[#This Row],[R-DEMAND]]</f>
        <v>0</v>
      </c>
      <c r="S616" s="287">
        <f>Table21[[#This Row],[SEATS SOLD]]*Table21[[#This Row],[ECO SEAT]]</f>
        <v>0</v>
      </c>
    </row>
    <row r="617" spans="1:19" x14ac:dyDescent="0.25">
      <c r="A617" s="251" t="s">
        <v>16784</v>
      </c>
      <c r="B617" s="251" t="s">
        <v>221</v>
      </c>
      <c r="D617" s="251">
        <v>2</v>
      </c>
      <c r="E617" s="251" t="s">
        <v>78</v>
      </c>
      <c r="F617" s="251" t="s">
        <v>12674</v>
      </c>
      <c r="G617" s="252" t="s">
        <v>11970</v>
      </c>
      <c r="H617" s="254">
        <v>1746</v>
      </c>
      <c r="I617" s="180">
        <v>6</v>
      </c>
      <c r="K617" s="253">
        <f>IFERROR(Table21[[#This Row],[ROUTE COST]]/Table21[[#This Row],[O - DEMAND]],0)</f>
        <v>0</v>
      </c>
      <c r="M617" s="26">
        <f>IFERROR(VLOOKUP(Table21[[#This Row],[ROUTE]],DEMAND!A:F,5,FALSE),0)</f>
        <v>0</v>
      </c>
      <c r="N617" s="26">
        <f>IFERROR(VLOOKUP(Table21[[#This Row],[ROUTE]],DEMAND!A:F,6,FALSE),0)</f>
        <v>0</v>
      </c>
      <c r="O617" s="26">
        <f>ROUNDDOWN(Table21[[#This Row],[R-DEMAND]]/1320,0)</f>
        <v>0</v>
      </c>
      <c r="P617" s="26">
        <f>Table21[[#This Row],[ADD ACC]]*Table21[[#This Row],[Duration
(747-400)]]</f>
        <v>0</v>
      </c>
      <c r="Q617" s="284">
        <f>IFERROR(VLOOKUP(Table21[[#This Row],[ROUTE]],PRICING!A:B,2,FALSE),0)</f>
        <v>0</v>
      </c>
      <c r="R617" s="282">
        <f>Table21[[#This Row],[C_DEMAND]]-Table21[[#This Row],[R-DEMAND]]</f>
        <v>0</v>
      </c>
      <c r="S617" s="287">
        <f>Table21[[#This Row],[SEATS SOLD]]*Table21[[#This Row],[ECO SEAT]]</f>
        <v>0</v>
      </c>
    </row>
    <row r="618" spans="1:19" x14ac:dyDescent="0.25">
      <c r="A618" s="16" t="s">
        <v>16487</v>
      </c>
      <c r="B618" s="16" t="s">
        <v>4436</v>
      </c>
      <c r="D618" s="16">
        <v>2</v>
      </c>
      <c r="E618" s="16" t="s">
        <v>4434</v>
      </c>
      <c r="F618" s="16" t="s">
        <v>12674</v>
      </c>
      <c r="G618" s="179" t="s">
        <v>11843</v>
      </c>
      <c r="H618" s="254">
        <v>6734</v>
      </c>
      <c r="I618" s="180">
        <v>17</v>
      </c>
      <c r="K618" s="102">
        <f>IFERROR(Table21[[#This Row],[ROUTE COST]]/Table21[[#This Row],[O - DEMAND]],0)</f>
        <v>0</v>
      </c>
      <c r="M618" s="26">
        <f>IFERROR(VLOOKUP(Table21[[#This Row],[ROUTE]],DEMAND!A:F,5,FALSE),0)</f>
        <v>0</v>
      </c>
      <c r="N618" s="26">
        <f>IFERROR(VLOOKUP(Table21[[#This Row],[ROUTE]],DEMAND!A:F,6,FALSE),0)</f>
        <v>0</v>
      </c>
      <c r="O618" s="26">
        <f>ROUNDDOWN(Table21[[#This Row],[R-DEMAND]]/1320,0)</f>
        <v>0</v>
      </c>
      <c r="P618" s="26">
        <f>Table21[[#This Row],[ADD ACC]]*Table21[[#This Row],[Duration
(747-400)]]</f>
        <v>0</v>
      </c>
      <c r="Q618" s="284">
        <f>IFERROR(VLOOKUP(Table21[[#This Row],[ROUTE]],PRICING!A:B,2,FALSE),0)</f>
        <v>0</v>
      </c>
      <c r="R618" s="282">
        <f>Table21[[#This Row],[C_DEMAND]]-Table21[[#This Row],[R-DEMAND]]</f>
        <v>0</v>
      </c>
      <c r="S618" s="287">
        <f>Table21[[#This Row],[SEATS SOLD]]*Table21[[#This Row],[ECO SEAT]]</f>
        <v>0</v>
      </c>
    </row>
    <row r="619" spans="1:19" x14ac:dyDescent="0.25">
      <c r="A619" s="16" t="s">
        <v>16686</v>
      </c>
      <c r="B619" s="16" t="s">
        <v>4663</v>
      </c>
      <c r="D619" s="16">
        <v>2</v>
      </c>
      <c r="E619" s="16" t="s">
        <v>78</v>
      </c>
      <c r="F619" s="16" t="s">
        <v>12674</v>
      </c>
      <c r="G619" s="179" t="s">
        <v>11954</v>
      </c>
      <c r="H619" s="254">
        <v>2505</v>
      </c>
      <c r="I619" s="180">
        <v>7.75</v>
      </c>
      <c r="K619" s="102">
        <f>IFERROR(Table21[[#This Row],[ROUTE COST]]/Table21[[#This Row],[O - DEMAND]],0)</f>
        <v>0</v>
      </c>
      <c r="M619" s="26">
        <f>IFERROR(VLOOKUP(Table21[[#This Row],[ROUTE]],DEMAND!A:F,5,FALSE),0)</f>
        <v>0</v>
      </c>
      <c r="N619" s="26">
        <f>IFERROR(VLOOKUP(Table21[[#This Row],[ROUTE]],DEMAND!A:F,6,FALSE),0)</f>
        <v>0</v>
      </c>
      <c r="O619" s="26">
        <f>ROUNDDOWN(Table21[[#This Row],[R-DEMAND]]/1320,0)</f>
        <v>0</v>
      </c>
      <c r="P619" s="26">
        <f>Table21[[#This Row],[ADD ACC]]*Table21[[#This Row],[Duration
(747-400)]]</f>
        <v>0</v>
      </c>
      <c r="Q619" s="284">
        <f>IFERROR(VLOOKUP(Table21[[#This Row],[ROUTE]],PRICING!A:B,2,FALSE),0)</f>
        <v>0</v>
      </c>
      <c r="R619" s="282">
        <f>Table21[[#This Row],[C_DEMAND]]-Table21[[#This Row],[R-DEMAND]]</f>
        <v>0</v>
      </c>
      <c r="S619" s="287">
        <f>Table21[[#This Row],[SEATS SOLD]]*Table21[[#This Row],[ECO SEAT]]</f>
        <v>0</v>
      </c>
    </row>
    <row r="620" spans="1:19" x14ac:dyDescent="0.25">
      <c r="A620" s="16" t="s">
        <v>16369</v>
      </c>
      <c r="B620" s="16" t="s">
        <v>2808</v>
      </c>
      <c r="D620" s="16">
        <v>2</v>
      </c>
      <c r="E620" s="16" t="s">
        <v>597</v>
      </c>
      <c r="F620" s="16" t="s">
        <v>12674</v>
      </c>
      <c r="G620" s="179" t="s">
        <v>11828</v>
      </c>
      <c r="H620" s="254">
        <v>7802</v>
      </c>
      <c r="I620" s="180">
        <v>19.5</v>
      </c>
      <c r="K620" s="102">
        <f>IFERROR(Table21[[#This Row],[ROUTE COST]]/Table21[[#This Row],[O - DEMAND]],0)</f>
        <v>0</v>
      </c>
      <c r="M620" s="26">
        <f>IFERROR(VLOOKUP(Table21[[#This Row],[ROUTE]],DEMAND!A:F,5,FALSE),0)</f>
        <v>0</v>
      </c>
      <c r="N620" s="26">
        <f>IFERROR(VLOOKUP(Table21[[#This Row],[ROUTE]],DEMAND!A:F,6,FALSE),0)</f>
        <v>0</v>
      </c>
      <c r="O620" s="26">
        <f>ROUNDDOWN(Table21[[#This Row],[R-DEMAND]]/1320,0)</f>
        <v>0</v>
      </c>
      <c r="P620" s="26">
        <f>Table21[[#This Row],[ADD ACC]]*Table21[[#This Row],[Duration
(747-400)]]</f>
        <v>0</v>
      </c>
      <c r="Q620" s="284">
        <f>IFERROR(VLOOKUP(Table21[[#This Row],[ROUTE]],PRICING!A:B,2,FALSE),0)</f>
        <v>0</v>
      </c>
      <c r="R620" s="282">
        <f>Table21[[#This Row],[C_DEMAND]]-Table21[[#This Row],[R-DEMAND]]</f>
        <v>0</v>
      </c>
      <c r="S620" s="287">
        <f>Table21[[#This Row],[SEATS SOLD]]*Table21[[#This Row],[ECO SEAT]]</f>
        <v>0</v>
      </c>
    </row>
    <row r="621" spans="1:19" x14ac:dyDescent="0.25">
      <c r="A621" s="251" t="s">
        <v>16777</v>
      </c>
      <c r="B621" s="251" t="s">
        <v>5187</v>
      </c>
      <c r="D621" s="251">
        <v>3</v>
      </c>
      <c r="E621" s="251" t="s">
        <v>142</v>
      </c>
      <c r="F621" s="251" t="s">
        <v>12670</v>
      </c>
      <c r="G621" s="252" t="s">
        <v>12024</v>
      </c>
      <c r="H621" s="254">
        <v>1506</v>
      </c>
      <c r="I621" s="180">
        <v>5.5</v>
      </c>
      <c r="K621" s="253">
        <f>IFERROR(Table21[[#This Row],[ROUTE COST]]/Table21[[#This Row],[O - DEMAND]],0)</f>
        <v>0</v>
      </c>
      <c r="M621" s="26">
        <f>IFERROR(VLOOKUP(Table21[[#This Row],[ROUTE]],DEMAND!A:F,5,FALSE),0)</f>
        <v>0</v>
      </c>
      <c r="N621" s="26">
        <f>IFERROR(VLOOKUP(Table21[[#This Row],[ROUTE]],DEMAND!A:F,6,FALSE),0)</f>
        <v>0</v>
      </c>
      <c r="O621" s="26">
        <f>ROUNDDOWN(Table21[[#This Row],[R-DEMAND]]/1320,0)</f>
        <v>0</v>
      </c>
      <c r="P621" s="26">
        <f>Table21[[#This Row],[ADD ACC]]*Table21[[#This Row],[Duration
(747-400)]]</f>
        <v>0</v>
      </c>
      <c r="Q621" s="284">
        <f>IFERROR(VLOOKUP(Table21[[#This Row],[ROUTE]],PRICING!A:B,2,FALSE),0)</f>
        <v>0</v>
      </c>
      <c r="R621" s="282">
        <f>Table21[[#This Row],[C_DEMAND]]-Table21[[#This Row],[R-DEMAND]]</f>
        <v>0</v>
      </c>
      <c r="S621" s="287">
        <f>Table21[[#This Row],[SEATS SOLD]]*Table21[[#This Row],[ECO SEAT]]</f>
        <v>0</v>
      </c>
    </row>
    <row r="622" spans="1:19" x14ac:dyDescent="0.25">
      <c r="A622" s="16" t="s">
        <v>16117</v>
      </c>
      <c r="B622" s="16" t="s">
        <v>2735</v>
      </c>
      <c r="D622" s="16">
        <v>2</v>
      </c>
      <c r="E622" s="242" t="s">
        <v>11732</v>
      </c>
      <c r="F622" s="16" t="s">
        <v>15969</v>
      </c>
      <c r="G622" s="179" t="s">
        <v>13339</v>
      </c>
      <c r="H622" s="254">
        <v>10741</v>
      </c>
      <c r="I622" s="180">
        <v>26</v>
      </c>
      <c r="K622" s="102">
        <f>IFERROR(Table21[[#This Row],[ROUTE COST]]/Table21[[#This Row],[O - DEMAND]],0)</f>
        <v>0</v>
      </c>
      <c r="M622" s="26">
        <f>IFERROR(VLOOKUP(Table21[[#This Row],[ROUTE]],DEMAND!A:F,5,FALSE),0)</f>
        <v>0</v>
      </c>
      <c r="N622" s="26">
        <f>IFERROR(VLOOKUP(Table21[[#This Row],[ROUTE]],DEMAND!A:F,6,FALSE),0)</f>
        <v>0</v>
      </c>
      <c r="O622" s="26">
        <f>ROUNDDOWN(Table21[[#This Row],[R-DEMAND]]/1320,0)</f>
        <v>0</v>
      </c>
      <c r="P622" s="26">
        <f>Table21[[#This Row],[ADD ACC]]*Table21[[#This Row],[Duration
(747-400)]]</f>
        <v>0</v>
      </c>
      <c r="Q622" s="284">
        <f>IFERROR(VLOOKUP(Table21[[#This Row],[ROUTE]],PRICING!A:B,2,FALSE),0)</f>
        <v>0</v>
      </c>
      <c r="R622" s="282">
        <f>Table21[[#This Row],[C_DEMAND]]-Table21[[#This Row],[R-DEMAND]]</f>
        <v>0</v>
      </c>
      <c r="S622" s="287">
        <f>Table21[[#This Row],[SEATS SOLD]]*Table21[[#This Row],[ECO SEAT]]</f>
        <v>0</v>
      </c>
    </row>
    <row r="623" spans="1:19" x14ac:dyDescent="0.25">
      <c r="A623" s="16" t="s">
        <v>16684</v>
      </c>
      <c r="B623" s="16" t="s">
        <v>3586</v>
      </c>
      <c r="D623" s="16">
        <v>2</v>
      </c>
      <c r="E623" s="16" t="s">
        <v>14</v>
      </c>
      <c r="F623" s="16" t="s">
        <v>12670</v>
      </c>
      <c r="G623" s="179" t="s">
        <v>12006</v>
      </c>
      <c r="H623" s="254">
        <v>2553</v>
      </c>
      <c r="I623" s="180">
        <v>7.75</v>
      </c>
      <c r="K623" s="102">
        <f>IFERROR(Table21[[#This Row],[ROUTE COST]]/Table21[[#This Row],[O - DEMAND]],0)</f>
        <v>0</v>
      </c>
      <c r="M623" s="26">
        <f>IFERROR(VLOOKUP(Table21[[#This Row],[ROUTE]],DEMAND!A:F,5,FALSE),0)</f>
        <v>0</v>
      </c>
      <c r="N623" s="26">
        <f>IFERROR(VLOOKUP(Table21[[#This Row],[ROUTE]],DEMAND!A:F,6,FALSE),0)</f>
        <v>0</v>
      </c>
      <c r="O623" s="26">
        <f>ROUNDDOWN(Table21[[#This Row],[R-DEMAND]]/1320,0)</f>
        <v>0</v>
      </c>
      <c r="P623" s="26">
        <f>Table21[[#This Row],[ADD ACC]]*Table21[[#This Row],[Duration
(747-400)]]</f>
        <v>0</v>
      </c>
      <c r="Q623" s="284">
        <f>IFERROR(VLOOKUP(Table21[[#This Row],[ROUTE]],PRICING!A:B,2,FALSE),0)</f>
        <v>0</v>
      </c>
      <c r="R623" s="282">
        <f>Table21[[#This Row],[C_DEMAND]]-Table21[[#This Row],[R-DEMAND]]</f>
        <v>0</v>
      </c>
      <c r="S623" s="287">
        <f>Table21[[#This Row],[SEATS SOLD]]*Table21[[#This Row],[ECO SEAT]]</f>
        <v>0</v>
      </c>
    </row>
    <row r="624" spans="1:19" x14ac:dyDescent="0.25">
      <c r="A624" s="16" t="s">
        <v>16423</v>
      </c>
      <c r="B624" s="16" t="s">
        <v>3664</v>
      </c>
      <c r="D624" s="16">
        <v>2</v>
      </c>
      <c r="E624" s="16" t="s">
        <v>876</v>
      </c>
      <c r="F624" s="16" t="s">
        <v>12674</v>
      </c>
      <c r="G624" s="179" t="s">
        <v>11761</v>
      </c>
      <c r="H624" s="254">
        <v>7330</v>
      </c>
      <c r="I624" s="180">
        <v>18.25</v>
      </c>
      <c r="K624" s="102">
        <f>IFERROR(Table21[[#This Row],[ROUTE COST]]/Table21[[#This Row],[O - DEMAND]],0)</f>
        <v>0</v>
      </c>
      <c r="M624" s="26">
        <f>IFERROR(VLOOKUP(Table21[[#This Row],[ROUTE]],DEMAND!A:F,5,FALSE),0)</f>
        <v>0</v>
      </c>
      <c r="N624" s="26">
        <f>IFERROR(VLOOKUP(Table21[[#This Row],[ROUTE]],DEMAND!A:F,6,FALSE),0)</f>
        <v>0</v>
      </c>
      <c r="O624" s="26">
        <f>ROUNDDOWN(Table21[[#This Row],[R-DEMAND]]/1320,0)</f>
        <v>0</v>
      </c>
      <c r="P624" s="26">
        <f>Table21[[#This Row],[ADD ACC]]*Table21[[#This Row],[Duration
(747-400)]]</f>
        <v>0</v>
      </c>
      <c r="Q624" s="284">
        <f>IFERROR(VLOOKUP(Table21[[#This Row],[ROUTE]],PRICING!A:B,2,FALSE),0)</f>
        <v>0</v>
      </c>
      <c r="R624" s="282">
        <f>Table21[[#This Row],[C_DEMAND]]-Table21[[#This Row],[R-DEMAND]]</f>
        <v>0</v>
      </c>
      <c r="S624" s="287">
        <f>Table21[[#This Row],[SEATS SOLD]]*Table21[[#This Row],[ECO SEAT]]</f>
        <v>0</v>
      </c>
    </row>
    <row r="625" spans="1:19" x14ac:dyDescent="0.25">
      <c r="A625" s="16" t="s">
        <v>16446</v>
      </c>
      <c r="B625" s="16" t="s">
        <v>4187</v>
      </c>
      <c r="D625" s="16">
        <v>2</v>
      </c>
      <c r="E625" s="16" t="s">
        <v>659</v>
      </c>
      <c r="F625" s="16" t="s">
        <v>12674</v>
      </c>
      <c r="G625" s="179" t="s">
        <v>11814</v>
      </c>
      <c r="H625" s="254">
        <v>7132</v>
      </c>
      <c r="I625" s="180">
        <v>18</v>
      </c>
      <c r="K625" s="102">
        <f>IFERROR(Table21[[#This Row],[ROUTE COST]]/Table21[[#This Row],[O - DEMAND]],0)</f>
        <v>0</v>
      </c>
      <c r="M625" s="26">
        <f>IFERROR(VLOOKUP(Table21[[#This Row],[ROUTE]],DEMAND!A:F,5,FALSE),0)</f>
        <v>0</v>
      </c>
      <c r="N625" s="26">
        <f>IFERROR(VLOOKUP(Table21[[#This Row],[ROUTE]],DEMAND!A:F,6,FALSE),0)</f>
        <v>0</v>
      </c>
      <c r="O625" s="26">
        <f>ROUNDDOWN(Table21[[#This Row],[R-DEMAND]]/1320,0)</f>
        <v>0</v>
      </c>
      <c r="P625" s="26">
        <f>Table21[[#This Row],[ADD ACC]]*Table21[[#This Row],[Duration
(747-400)]]</f>
        <v>0</v>
      </c>
      <c r="Q625" s="284">
        <f>IFERROR(VLOOKUP(Table21[[#This Row],[ROUTE]],PRICING!A:B,2,FALSE),0)</f>
        <v>0</v>
      </c>
      <c r="R625" s="282">
        <f>Table21[[#This Row],[C_DEMAND]]-Table21[[#This Row],[R-DEMAND]]</f>
        <v>0</v>
      </c>
      <c r="S625" s="287">
        <f>Table21[[#This Row],[SEATS SOLD]]*Table21[[#This Row],[ECO SEAT]]</f>
        <v>0</v>
      </c>
    </row>
    <row r="626" spans="1:19" x14ac:dyDescent="0.25">
      <c r="A626" s="16" t="s">
        <v>16537</v>
      </c>
      <c r="B626" s="16" t="s">
        <v>3640</v>
      </c>
      <c r="D626" s="16">
        <v>2</v>
      </c>
      <c r="E626" s="16" t="s">
        <v>700</v>
      </c>
      <c r="F626" s="16" t="s">
        <v>12670</v>
      </c>
      <c r="G626" s="179" t="s">
        <v>11904</v>
      </c>
      <c r="H626" s="254">
        <v>6035</v>
      </c>
      <c r="I626" s="180">
        <v>15.5</v>
      </c>
      <c r="K626" s="102">
        <f>IFERROR(Table21[[#This Row],[ROUTE COST]]/Table21[[#This Row],[O - DEMAND]],0)</f>
        <v>0</v>
      </c>
      <c r="M626" s="26">
        <f>IFERROR(VLOOKUP(Table21[[#This Row],[ROUTE]],DEMAND!A:F,5,FALSE),0)</f>
        <v>0</v>
      </c>
      <c r="N626" s="26">
        <f>IFERROR(VLOOKUP(Table21[[#This Row],[ROUTE]],DEMAND!A:F,6,FALSE),0)</f>
        <v>0</v>
      </c>
      <c r="O626" s="26">
        <f>ROUNDDOWN(Table21[[#This Row],[R-DEMAND]]/1320,0)</f>
        <v>0</v>
      </c>
      <c r="P626" s="26">
        <f>Table21[[#This Row],[ADD ACC]]*Table21[[#This Row],[Duration
(747-400)]]</f>
        <v>0</v>
      </c>
      <c r="Q626" s="284">
        <f>IFERROR(VLOOKUP(Table21[[#This Row],[ROUTE]],PRICING!A:B,2,FALSE),0)</f>
        <v>0</v>
      </c>
      <c r="R626" s="282">
        <f>Table21[[#This Row],[C_DEMAND]]-Table21[[#This Row],[R-DEMAND]]</f>
        <v>0</v>
      </c>
      <c r="S626" s="287">
        <f>Table21[[#This Row],[SEATS SOLD]]*Table21[[#This Row],[ECO SEAT]]</f>
        <v>0</v>
      </c>
    </row>
    <row r="627" spans="1:19" x14ac:dyDescent="0.25">
      <c r="A627" s="16" t="s">
        <v>16664</v>
      </c>
      <c r="B627" s="16" t="s">
        <v>5037</v>
      </c>
      <c r="D627" s="16">
        <v>3</v>
      </c>
      <c r="E627" s="16" t="s">
        <v>867</v>
      </c>
      <c r="F627" s="16" t="s">
        <v>12670</v>
      </c>
      <c r="G627" s="179" t="s">
        <v>12049</v>
      </c>
      <c r="H627" s="254">
        <v>3173</v>
      </c>
      <c r="I627" s="180">
        <v>9.25</v>
      </c>
      <c r="K627" s="102">
        <f>IFERROR(Table21[[#This Row],[ROUTE COST]]/Table21[[#This Row],[O - DEMAND]],0)</f>
        <v>0</v>
      </c>
      <c r="M627" s="26">
        <f>IFERROR(VLOOKUP(Table21[[#This Row],[ROUTE]],DEMAND!A:F,5,FALSE),0)</f>
        <v>0</v>
      </c>
      <c r="N627" s="26">
        <f>IFERROR(VLOOKUP(Table21[[#This Row],[ROUTE]],DEMAND!A:F,6,FALSE),0)</f>
        <v>0</v>
      </c>
      <c r="O627" s="26">
        <f>ROUNDDOWN(Table21[[#This Row],[R-DEMAND]]/1320,0)</f>
        <v>0</v>
      </c>
      <c r="P627" s="26">
        <f>Table21[[#This Row],[ADD ACC]]*Table21[[#This Row],[Duration
(747-400)]]</f>
        <v>0</v>
      </c>
      <c r="Q627" s="284">
        <f>IFERROR(VLOOKUP(Table21[[#This Row],[ROUTE]],PRICING!A:B,2,FALSE),0)</f>
        <v>0</v>
      </c>
      <c r="R627" s="282">
        <f>Table21[[#This Row],[C_DEMAND]]-Table21[[#This Row],[R-DEMAND]]</f>
        <v>0</v>
      </c>
      <c r="S627" s="287">
        <f>Table21[[#This Row],[SEATS SOLD]]*Table21[[#This Row],[ECO SEAT]]</f>
        <v>0</v>
      </c>
    </row>
    <row r="628" spans="1:19" x14ac:dyDescent="0.25">
      <c r="A628" s="16" t="s">
        <v>16582</v>
      </c>
      <c r="B628" s="16" t="s">
        <v>4703</v>
      </c>
      <c r="D628" s="16">
        <v>2</v>
      </c>
      <c r="E628" s="16" t="s">
        <v>78</v>
      </c>
      <c r="F628" s="16" t="s">
        <v>12674</v>
      </c>
      <c r="G628" s="179" t="s">
        <v>11898</v>
      </c>
      <c r="H628" s="254">
        <v>5072</v>
      </c>
      <c r="I628" s="180">
        <v>13.25</v>
      </c>
      <c r="K628" s="102">
        <f>IFERROR(Table21[[#This Row],[ROUTE COST]]/Table21[[#This Row],[O - DEMAND]],0)</f>
        <v>0</v>
      </c>
      <c r="M628" s="26">
        <f>IFERROR(VLOOKUP(Table21[[#This Row],[ROUTE]],DEMAND!A:F,5,FALSE),0)</f>
        <v>0</v>
      </c>
      <c r="N628" s="26">
        <f>IFERROR(VLOOKUP(Table21[[#This Row],[ROUTE]],DEMAND!A:F,6,FALSE),0)</f>
        <v>0</v>
      </c>
      <c r="O628" s="26">
        <f>ROUNDDOWN(Table21[[#This Row],[R-DEMAND]]/1320,0)</f>
        <v>0</v>
      </c>
      <c r="P628" s="26">
        <f>Table21[[#This Row],[ADD ACC]]*Table21[[#This Row],[Duration
(747-400)]]</f>
        <v>0</v>
      </c>
      <c r="Q628" s="284">
        <f>IFERROR(VLOOKUP(Table21[[#This Row],[ROUTE]],PRICING!A:B,2,FALSE),0)</f>
        <v>0</v>
      </c>
      <c r="R628" s="282">
        <f>Table21[[#This Row],[C_DEMAND]]-Table21[[#This Row],[R-DEMAND]]</f>
        <v>0</v>
      </c>
      <c r="S628" s="287">
        <f>Table21[[#This Row],[SEATS SOLD]]*Table21[[#This Row],[ECO SEAT]]</f>
        <v>0</v>
      </c>
    </row>
    <row r="629" spans="1:19" x14ac:dyDescent="0.25">
      <c r="A629" s="16" t="s">
        <v>16534</v>
      </c>
      <c r="B629" s="16" t="s">
        <v>3551</v>
      </c>
      <c r="D629" s="16">
        <v>2</v>
      </c>
      <c r="E629" s="16" t="s">
        <v>807</v>
      </c>
      <c r="F629" s="16" t="s">
        <v>12674</v>
      </c>
      <c r="G629" s="179" t="s">
        <v>9001</v>
      </c>
      <c r="H629" s="254">
        <v>6059</v>
      </c>
      <c r="I629" s="180">
        <v>15.5</v>
      </c>
      <c r="K629" s="102">
        <f>IFERROR(Table21[[#This Row],[ROUTE COST]]/Table21[[#This Row],[O - DEMAND]],0)</f>
        <v>0</v>
      </c>
      <c r="M629" s="26">
        <f>IFERROR(VLOOKUP(Table21[[#This Row],[ROUTE]],DEMAND!A:F,5,FALSE),0)</f>
        <v>0</v>
      </c>
      <c r="N629" s="26">
        <f>IFERROR(VLOOKUP(Table21[[#This Row],[ROUTE]],DEMAND!A:F,6,FALSE),0)</f>
        <v>0</v>
      </c>
      <c r="O629" s="26">
        <f>ROUNDDOWN(Table21[[#This Row],[R-DEMAND]]/1320,0)</f>
        <v>0</v>
      </c>
      <c r="P629" s="26">
        <f>Table21[[#This Row],[ADD ACC]]*Table21[[#This Row],[Duration
(747-400)]]</f>
        <v>0</v>
      </c>
      <c r="Q629" s="284">
        <f>IFERROR(VLOOKUP(Table21[[#This Row],[ROUTE]],PRICING!A:B,2,FALSE),0)</f>
        <v>0</v>
      </c>
      <c r="R629" s="282">
        <f>Table21[[#This Row],[C_DEMAND]]-Table21[[#This Row],[R-DEMAND]]</f>
        <v>0</v>
      </c>
      <c r="S629" s="287">
        <f>Table21[[#This Row],[SEATS SOLD]]*Table21[[#This Row],[ECO SEAT]]</f>
        <v>0</v>
      </c>
    </row>
    <row r="630" spans="1:19" x14ac:dyDescent="0.25">
      <c r="A630" s="16" t="s">
        <v>16412</v>
      </c>
      <c r="B630" s="16" t="s">
        <v>3763</v>
      </c>
      <c r="D630" s="16">
        <v>2</v>
      </c>
      <c r="E630" s="16" t="s">
        <v>597</v>
      </c>
      <c r="F630" s="16" t="s">
        <v>12674</v>
      </c>
      <c r="G630" s="179" t="s">
        <v>11834</v>
      </c>
      <c r="H630" s="254">
        <v>7375</v>
      </c>
      <c r="I630" s="180">
        <v>18.5</v>
      </c>
      <c r="K630" s="102">
        <f>IFERROR(Table21[[#This Row],[ROUTE COST]]/Table21[[#This Row],[O - DEMAND]],0)</f>
        <v>0</v>
      </c>
      <c r="M630" s="26">
        <f>IFERROR(VLOOKUP(Table21[[#This Row],[ROUTE]],DEMAND!A:F,5,FALSE),0)</f>
        <v>0</v>
      </c>
      <c r="N630" s="26">
        <f>IFERROR(VLOOKUP(Table21[[#This Row],[ROUTE]],DEMAND!A:F,6,FALSE),0)</f>
        <v>0</v>
      </c>
      <c r="O630" s="26">
        <f>ROUNDDOWN(Table21[[#This Row],[R-DEMAND]]/1320,0)</f>
        <v>0</v>
      </c>
      <c r="P630" s="26">
        <f>Table21[[#This Row],[ADD ACC]]*Table21[[#This Row],[Duration
(747-400)]]</f>
        <v>0</v>
      </c>
      <c r="Q630" s="284">
        <f>IFERROR(VLOOKUP(Table21[[#This Row],[ROUTE]],PRICING!A:B,2,FALSE),0)</f>
        <v>0</v>
      </c>
      <c r="R630" s="282">
        <f>Table21[[#This Row],[C_DEMAND]]-Table21[[#This Row],[R-DEMAND]]</f>
        <v>0</v>
      </c>
      <c r="S630" s="287">
        <f>Table21[[#This Row],[SEATS SOLD]]*Table21[[#This Row],[ECO SEAT]]</f>
        <v>0</v>
      </c>
    </row>
    <row r="631" spans="1:19" x14ac:dyDescent="0.25">
      <c r="A631" s="251" t="s">
        <v>16782</v>
      </c>
      <c r="B631" s="251" t="s">
        <v>5406</v>
      </c>
      <c r="D631" s="251">
        <v>3</v>
      </c>
      <c r="E631" s="251" t="s">
        <v>14</v>
      </c>
      <c r="F631" s="251" t="s">
        <v>12670</v>
      </c>
      <c r="G631" s="252" t="s">
        <v>12074</v>
      </c>
      <c r="H631" s="254">
        <v>1782</v>
      </c>
      <c r="I631" s="180">
        <v>6</v>
      </c>
      <c r="K631" s="253">
        <f>IFERROR(Table21[[#This Row],[ROUTE COST]]/Table21[[#This Row],[O - DEMAND]],0)</f>
        <v>0</v>
      </c>
      <c r="M631" s="26">
        <f>IFERROR(VLOOKUP(Table21[[#This Row],[ROUTE]],DEMAND!A:F,5,FALSE),0)</f>
        <v>0</v>
      </c>
      <c r="N631" s="26">
        <f>IFERROR(VLOOKUP(Table21[[#This Row],[ROUTE]],DEMAND!A:F,6,FALSE),0)</f>
        <v>0</v>
      </c>
      <c r="O631" s="26">
        <f>ROUNDDOWN(Table21[[#This Row],[R-DEMAND]]/1320,0)</f>
        <v>0</v>
      </c>
      <c r="P631" s="26">
        <f>Table21[[#This Row],[ADD ACC]]*Table21[[#This Row],[Duration
(747-400)]]</f>
        <v>0</v>
      </c>
      <c r="Q631" s="284">
        <f>IFERROR(VLOOKUP(Table21[[#This Row],[ROUTE]],PRICING!A:B,2,FALSE),0)</f>
        <v>0</v>
      </c>
      <c r="R631" s="282">
        <f>Table21[[#This Row],[C_DEMAND]]-Table21[[#This Row],[R-DEMAND]]</f>
        <v>0</v>
      </c>
      <c r="S631" s="287">
        <f>Table21[[#This Row],[SEATS SOLD]]*Table21[[#This Row],[ECO SEAT]]</f>
        <v>0</v>
      </c>
    </row>
    <row r="632" spans="1:19" x14ac:dyDescent="0.25">
      <c r="A632" s="251" t="s">
        <v>16783</v>
      </c>
      <c r="B632" s="251" t="s">
        <v>5373</v>
      </c>
      <c r="D632" s="251">
        <v>3</v>
      </c>
      <c r="E632" s="251" t="s">
        <v>14</v>
      </c>
      <c r="F632" s="251" t="s">
        <v>12670</v>
      </c>
      <c r="G632" s="252" t="s">
        <v>12077</v>
      </c>
      <c r="H632" s="254">
        <v>1761</v>
      </c>
      <c r="I632" s="180">
        <v>6</v>
      </c>
      <c r="K632" s="253">
        <f>IFERROR(Table21[[#This Row],[ROUTE COST]]/Table21[[#This Row],[O - DEMAND]],0)</f>
        <v>0</v>
      </c>
      <c r="M632" s="26">
        <f>IFERROR(VLOOKUP(Table21[[#This Row],[ROUTE]],DEMAND!A:F,5,FALSE),0)</f>
        <v>0</v>
      </c>
      <c r="N632" s="26">
        <f>IFERROR(VLOOKUP(Table21[[#This Row],[ROUTE]],DEMAND!A:F,6,FALSE),0)</f>
        <v>0</v>
      </c>
      <c r="O632" s="26">
        <f>ROUNDDOWN(Table21[[#This Row],[R-DEMAND]]/1320,0)</f>
        <v>0</v>
      </c>
      <c r="P632" s="26">
        <f>Table21[[#This Row],[ADD ACC]]*Table21[[#This Row],[Duration
(747-400)]]</f>
        <v>0</v>
      </c>
      <c r="Q632" s="284">
        <f>IFERROR(VLOOKUP(Table21[[#This Row],[ROUTE]],PRICING!A:B,2,FALSE),0)</f>
        <v>0</v>
      </c>
      <c r="R632" s="282">
        <f>Table21[[#This Row],[C_DEMAND]]-Table21[[#This Row],[R-DEMAND]]</f>
        <v>0</v>
      </c>
      <c r="S632" s="287">
        <f>Table21[[#This Row],[SEATS SOLD]]*Table21[[#This Row],[ECO SEAT]]</f>
        <v>0</v>
      </c>
    </row>
    <row r="633" spans="1:19" x14ac:dyDescent="0.25">
      <c r="A633" s="16" t="s">
        <v>16469</v>
      </c>
      <c r="B633" s="16" t="s">
        <v>3699</v>
      </c>
      <c r="D633" s="16">
        <v>2</v>
      </c>
      <c r="E633" s="16" t="s">
        <v>700</v>
      </c>
      <c r="F633" s="16" t="s">
        <v>12670</v>
      </c>
      <c r="G633" s="179" t="s">
        <v>8961</v>
      </c>
      <c r="H633" s="254">
        <v>6971</v>
      </c>
      <c r="I633" s="180">
        <v>17.5</v>
      </c>
      <c r="K633" s="102">
        <f>IFERROR(Table21[[#This Row],[ROUTE COST]]/Table21[[#This Row],[O - DEMAND]],0)</f>
        <v>0</v>
      </c>
      <c r="M633" s="26">
        <f>IFERROR(VLOOKUP(Table21[[#This Row],[ROUTE]],DEMAND!A:F,5,FALSE),0)</f>
        <v>0</v>
      </c>
      <c r="N633" s="26">
        <f>IFERROR(VLOOKUP(Table21[[#This Row],[ROUTE]],DEMAND!A:F,6,FALSE),0)</f>
        <v>0</v>
      </c>
      <c r="O633" s="26">
        <f>ROUNDDOWN(Table21[[#This Row],[R-DEMAND]]/1320,0)</f>
        <v>0</v>
      </c>
      <c r="P633" s="26">
        <f>Table21[[#This Row],[ADD ACC]]*Table21[[#This Row],[Duration
(747-400)]]</f>
        <v>0</v>
      </c>
      <c r="Q633" s="284">
        <f>IFERROR(VLOOKUP(Table21[[#This Row],[ROUTE]],PRICING!A:B,2,FALSE),0)</f>
        <v>0</v>
      </c>
      <c r="R633" s="282">
        <f>Table21[[#This Row],[C_DEMAND]]-Table21[[#This Row],[R-DEMAND]]</f>
        <v>0</v>
      </c>
      <c r="S633" s="287">
        <f>Table21[[#This Row],[SEATS SOLD]]*Table21[[#This Row],[ECO SEAT]]</f>
        <v>0</v>
      </c>
    </row>
    <row r="634" spans="1:19" x14ac:dyDescent="0.25">
      <c r="A634" s="16" t="s">
        <v>16581</v>
      </c>
      <c r="B634" s="16" t="s">
        <v>4705</v>
      </c>
      <c r="D634" s="16">
        <v>2</v>
      </c>
      <c r="E634" s="16" t="s">
        <v>78</v>
      </c>
      <c r="F634" s="16" t="s">
        <v>12674</v>
      </c>
      <c r="G634" s="179" t="s">
        <v>11880</v>
      </c>
      <c r="H634" s="254">
        <v>5086</v>
      </c>
      <c r="I634" s="180">
        <v>13.5</v>
      </c>
      <c r="K634" s="102">
        <f>IFERROR(Table21[[#This Row],[ROUTE COST]]/Table21[[#This Row],[O - DEMAND]],0)</f>
        <v>0</v>
      </c>
      <c r="M634" s="26">
        <f>IFERROR(VLOOKUP(Table21[[#This Row],[ROUTE]],DEMAND!A:F,5,FALSE),0)</f>
        <v>0</v>
      </c>
      <c r="N634" s="26">
        <f>IFERROR(VLOOKUP(Table21[[#This Row],[ROUTE]],DEMAND!A:F,6,FALSE),0)</f>
        <v>0</v>
      </c>
      <c r="O634" s="26">
        <f>ROUNDDOWN(Table21[[#This Row],[R-DEMAND]]/1320,0)</f>
        <v>0</v>
      </c>
      <c r="P634" s="26">
        <f>Table21[[#This Row],[ADD ACC]]*Table21[[#This Row],[Duration
(747-400)]]</f>
        <v>0</v>
      </c>
      <c r="Q634" s="284">
        <f>IFERROR(VLOOKUP(Table21[[#This Row],[ROUTE]],PRICING!A:B,2,FALSE),0)</f>
        <v>0</v>
      </c>
      <c r="R634" s="282">
        <f>Table21[[#This Row],[C_DEMAND]]-Table21[[#This Row],[R-DEMAND]]</f>
        <v>0</v>
      </c>
      <c r="S634" s="287">
        <f>Table21[[#This Row],[SEATS SOLD]]*Table21[[#This Row],[ECO SEAT]]</f>
        <v>0</v>
      </c>
    </row>
    <row r="635" spans="1:19" x14ac:dyDescent="0.25">
      <c r="A635" s="16" t="s">
        <v>16112</v>
      </c>
      <c r="B635" s="16" t="s">
        <v>2494</v>
      </c>
      <c r="D635" s="16">
        <v>2</v>
      </c>
      <c r="E635" s="16" t="s">
        <v>11732</v>
      </c>
      <c r="F635" s="16" t="s">
        <v>15969</v>
      </c>
      <c r="G635" s="179" t="s">
        <v>13298</v>
      </c>
      <c r="H635" s="254">
        <v>10830</v>
      </c>
      <c r="I635" s="180">
        <v>26</v>
      </c>
      <c r="K635" s="102">
        <f>IFERROR(Table21[[#This Row],[ROUTE COST]]/Table21[[#This Row],[O - DEMAND]],0)</f>
        <v>0</v>
      </c>
      <c r="M635" s="26">
        <f>IFERROR(VLOOKUP(Table21[[#This Row],[ROUTE]],DEMAND!A:F,5,FALSE),0)</f>
        <v>0</v>
      </c>
      <c r="N635" s="26">
        <f>IFERROR(VLOOKUP(Table21[[#This Row],[ROUTE]],DEMAND!A:F,6,FALSE),0)</f>
        <v>0</v>
      </c>
      <c r="O635" s="26">
        <f>ROUNDDOWN(Table21[[#This Row],[R-DEMAND]]/1320,0)</f>
        <v>0</v>
      </c>
      <c r="P635" s="26">
        <f>Table21[[#This Row],[ADD ACC]]*Table21[[#This Row],[Duration
(747-400)]]</f>
        <v>0</v>
      </c>
      <c r="Q635" s="284">
        <f>IFERROR(VLOOKUP(Table21[[#This Row],[ROUTE]],PRICING!A:B,2,FALSE),0)</f>
        <v>0</v>
      </c>
      <c r="R635" s="282">
        <f>Table21[[#This Row],[C_DEMAND]]-Table21[[#This Row],[R-DEMAND]]</f>
        <v>0</v>
      </c>
      <c r="S635" s="287">
        <f>Table21[[#This Row],[SEATS SOLD]]*Table21[[#This Row],[ECO SEAT]]</f>
        <v>0</v>
      </c>
    </row>
    <row r="636" spans="1:19" x14ac:dyDescent="0.25">
      <c r="A636" s="16" t="s">
        <v>16276</v>
      </c>
      <c r="B636" s="16" t="s">
        <v>3990</v>
      </c>
      <c r="D636" s="16">
        <v>2</v>
      </c>
      <c r="E636" s="16" t="s">
        <v>560</v>
      </c>
      <c r="F636" s="16" t="s">
        <v>12674</v>
      </c>
      <c r="G636" s="179" t="s">
        <v>11709</v>
      </c>
      <c r="H636" s="254">
        <v>8786</v>
      </c>
      <c r="I636" s="180">
        <v>21.5</v>
      </c>
      <c r="K636" s="102">
        <f>IFERROR(Table21[[#This Row],[ROUTE COST]]/Table21[[#This Row],[O - DEMAND]],0)</f>
        <v>0</v>
      </c>
      <c r="M636" s="26">
        <f>IFERROR(VLOOKUP(Table21[[#This Row],[ROUTE]],DEMAND!A:F,5,FALSE),0)</f>
        <v>0</v>
      </c>
      <c r="N636" s="26">
        <f>IFERROR(VLOOKUP(Table21[[#This Row],[ROUTE]],DEMAND!A:F,6,FALSE),0)</f>
        <v>0</v>
      </c>
      <c r="O636" s="26">
        <f>ROUNDDOWN(Table21[[#This Row],[R-DEMAND]]/1320,0)</f>
        <v>0</v>
      </c>
      <c r="P636" s="26">
        <f>Table21[[#This Row],[ADD ACC]]*Table21[[#This Row],[Duration
(747-400)]]</f>
        <v>0</v>
      </c>
      <c r="Q636" s="284">
        <f>IFERROR(VLOOKUP(Table21[[#This Row],[ROUTE]],PRICING!A:B,2,FALSE),0)</f>
        <v>0</v>
      </c>
      <c r="R636" s="282">
        <f>Table21[[#This Row],[C_DEMAND]]-Table21[[#This Row],[R-DEMAND]]</f>
        <v>0</v>
      </c>
      <c r="S636" s="287">
        <f>Table21[[#This Row],[SEATS SOLD]]*Table21[[#This Row],[ECO SEAT]]</f>
        <v>0</v>
      </c>
    </row>
    <row r="637" spans="1:19" x14ac:dyDescent="0.25">
      <c r="A637" s="16" t="s">
        <v>16472</v>
      </c>
      <c r="B637" s="16" t="s">
        <v>2231</v>
      </c>
      <c r="D637" s="16">
        <v>1</v>
      </c>
      <c r="E637" s="16" t="s">
        <v>774</v>
      </c>
      <c r="F637" s="16" t="s">
        <v>12682</v>
      </c>
      <c r="G637" s="179" t="s">
        <v>8897</v>
      </c>
      <c r="H637" s="254">
        <v>6935</v>
      </c>
      <c r="I637" s="180">
        <v>17.5</v>
      </c>
      <c r="K637" s="102">
        <f>IFERROR(Table21[[#This Row],[ROUTE COST]]/Table21[[#This Row],[O - DEMAND]],0)</f>
        <v>0</v>
      </c>
      <c r="M637" s="26">
        <f>IFERROR(VLOOKUP(Table21[[#This Row],[ROUTE]],DEMAND!A:F,5,FALSE),0)</f>
        <v>0</v>
      </c>
      <c r="N637" s="26">
        <f>IFERROR(VLOOKUP(Table21[[#This Row],[ROUTE]],DEMAND!A:F,6,FALSE),0)</f>
        <v>0</v>
      </c>
      <c r="O637" s="26">
        <f>ROUNDDOWN(Table21[[#This Row],[R-DEMAND]]/1320,0)</f>
        <v>0</v>
      </c>
      <c r="P637" s="26">
        <f>Table21[[#This Row],[ADD ACC]]*Table21[[#This Row],[Duration
(747-400)]]</f>
        <v>0</v>
      </c>
      <c r="Q637" s="284">
        <f>IFERROR(VLOOKUP(Table21[[#This Row],[ROUTE]],PRICING!A:B,2,FALSE),0)</f>
        <v>0</v>
      </c>
      <c r="R637" s="282">
        <f>Table21[[#This Row],[C_DEMAND]]-Table21[[#This Row],[R-DEMAND]]</f>
        <v>0</v>
      </c>
      <c r="S637" s="287">
        <f>Table21[[#This Row],[SEATS SOLD]]*Table21[[#This Row],[ECO SEAT]]</f>
        <v>0</v>
      </c>
    </row>
    <row r="638" spans="1:19" x14ac:dyDescent="0.25">
      <c r="A638" s="16" t="s">
        <v>16226</v>
      </c>
      <c r="B638" s="16" t="s">
        <v>4590</v>
      </c>
      <c r="D638" s="16">
        <v>2</v>
      </c>
      <c r="E638" s="16" t="s">
        <v>119</v>
      </c>
      <c r="F638" s="16" t="s">
        <v>12674</v>
      </c>
      <c r="G638" s="179" t="s">
        <v>11696</v>
      </c>
      <c r="H638" s="254">
        <v>9438</v>
      </c>
      <c r="I638" s="180">
        <v>23</v>
      </c>
      <c r="K638" s="102">
        <f>IFERROR(Table21[[#This Row],[ROUTE COST]]/Table21[[#This Row],[O - DEMAND]],0)</f>
        <v>0</v>
      </c>
      <c r="M638" s="26">
        <f>IFERROR(VLOOKUP(Table21[[#This Row],[ROUTE]],DEMAND!A:F,5,FALSE),0)</f>
        <v>0</v>
      </c>
      <c r="N638" s="26">
        <f>IFERROR(VLOOKUP(Table21[[#This Row],[ROUTE]],DEMAND!A:F,6,FALSE),0)</f>
        <v>0</v>
      </c>
      <c r="O638" s="26">
        <f>ROUNDDOWN(Table21[[#This Row],[R-DEMAND]]/1320,0)</f>
        <v>0</v>
      </c>
      <c r="P638" s="26">
        <f>Table21[[#This Row],[ADD ACC]]*Table21[[#This Row],[Duration
(747-400)]]</f>
        <v>0</v>
      </c>
      <c r="Q638" s="284">
        <f>IFERROR(VLOOKUP(Table21[[#This Row],[ROUTE]],PRICING!A:B,2,FALSE),0)</f>
        <v>0</v>
      </c>
      <c r="R638" s="282">
        <f>Table21[[#This Row],[C_DEMAND]]-Table21[[#This Row],[R-DEMAND]]</f>
        <v>0</v>
      </c>
      <c r="S638" s="287">
        <f>Table21[[#This Row],[SEATS SOLD]]*Table21[[#This Row],[ECO SEAT]]</f>
        <v>0</v>
      </c>
    </row>
    <row r="639" spans="1:19" x14ac:dyDescent="0.25">
      <c r="A639" s="16" t="s">
        <v>16398</v>
      </c>
      <c r="B639" s="16" t="s">
        <v>5051</v>
      </c>
      <c r="D639" s="16">
        <v>3</v>
      </c>
      <c r="E639" s="16" t="s">
        <v>1427</v>
      </c>
      <c r="F639" s="16" t="s">
        <v>12674</v>
      </c>
      <c r="G639" s="179" t="s">
        <v>11780</v>
      </c>
      <c r="H639" s="254">
        <v>7492</v>
      </c>
      <c r="I639" s="180">
        <v>18.75</v>
      </c>
      <c r="K639" s="102">
        <f>IFERROR(Table21[[#This Row],[ROUTE COST]]/Table21[[#This Row],[O - DEMAND]],0)</f>
        <v>0</v>
      </c>
      <c r="M639" s="26">
        <f>IFERROR(VLOOKUP(Table21[[#This Row],[ROUTE]],DEMAND!A:F,5,FALSE),0)</f>
        <v>0</v>
      </c>
      <c r="N639" s="26">
        <f>IFERROR(VLOOKUP(Table21[[#This Row],[ROUTE]],DEMAND!A:F,6,FALSE),0)</f>
        <v>0</v>
      </c>
      <c r="O639" s="26">
        <f>ROUNDDOWN(Table21[[#This Row],[R-DEMAND]]/1320,0)</f>
        <v>0</v>
      </c>
      <c r="P639" s="26">
        <f>Table21[[#This Row],[ADD ACC]]*Table21[[#This Row],[Duration
(747-400)]]</f>
        <v>0</v>
      </c>
      <c r="Q639" s="284">
        <f>IFERROR(VLOOKUP(Table21[[#This Row],[ROUTE]],PRICING!A:B,2,FALSE),0)</f>
        <v>0</v>
      </c>
      <c r="R639" s="282">
        <f>Table21[[#This Row],[C_DEMAND]]-Table21[[#This Row],[R-DEMAND]]</f>
        <v>0</v>
      </c>
      <c r="S639" s="287">
        <f>Table21[[#This Row],[SEATS SOLD]]*Table21[[#This Row],[ECO SEAT]]</f>
        <v>0</v>
      </c>
    </row>
    <row r="640" spans="1:19" x14ac:dyDescent="0.25">
      <c r="A640" s="16" t="s">
        <v>16110</v>
      </c>
      <c r="B640" s="16" t="s">
        <v>5606</v>
      </c>
      <c r="D640" s="16">
        <v>4</v>
      </c>
      <c r="E640" s="16" t="s">
        <v>11732</v>
      </c>
      <c r="F640" s="16" t="s">
        <v>15969</v>
      </c>
      <c r="G640" s="179" t="s">
        <v>13314</v>
      </c>
      <c r="H640" s="254">
        <v>10834</v>
      </c>
      <c r="I640" s="180">
        <v>26</v>
      </c>
      <c r="K640" s="102">
        <f>IFERROR(Table21[[#This Row],[ROUTE COST]]/Table21[[#This Row],[O - DEMAND]],0)</f>
        <v>0</v>
      </c>
      <c r="M640" s="26">
        <f>IFERROR(VLOOKUP(Table21[[#This Row],[ROUTE]],DEMAND!A:F,5,FALSE),0)</f>
        <v>0</v>
      </c>
      <c r="N640" s="26">
        <f>IFERROR(VLOOKUP(Table21[[#This Row],[ROUTE]],DEMAND!A:F,6,FALSE),0)</f>
        <v>0</v>
      </c>
      <c r="O640" s="26">
        <f>ROUNDDOWN(Table21[[#This Row],[R-DEMAND]]/1320,0)</f>
        <v>0</v>
      </c>
      <c r="P640" s="26">
        <f>Table21[[#This Row],[ADD ACC]]*Table21[[#This Row],[Duration
(747-400)]]</f>
        <v>0</v>
      </c>
      <c r="Q640" s="284">
        <f>IFERROR(VLOOKUP(Table21[[#This Row],[ROUTE]],PRICING!A:B,2,FALSE),0)</f>
        <v>0</v>
      </c>
      <c r="R640" s="282">
        <f>Table21[[#This Row],[C_DEMAND]]-Table21[[#This Row],[R-DEMAND]]</f>
        <v>0</v>
      </c>
      <c r="S640" s="287">
        <f>Table21[[#This Row],[SEATS SOLD]]*Table21[[#This Row],[ECO SEAT]]</f>
        <v>0</v>
      </c>
    </row>
    <row r="641" spans="1:19" x14ac:dyDescent="0.25">
      <c r="A641" s="16" t="s">
        <v>16356</v>
      </c>
      <c r="B641" s="16" t="s">
        <v>3929</v>
      </c>
      <c r="D641" s="16">
        <v>2</v>
      </c>
      <c r="E641" s="16" t="s">
        <v>3180</v>
      </c>
      <c r="F641" s="16" t="s">
        <v>12674</v>
      </c>
      <c r="G641" s="179" t="s">
        <v>11735</v>
      </c>
      <c r="H641" s="254">
        <v>7915</v>
      </c>
      <c r="I641" s="180">
        <v>19.75</v>
      </c>
      <c r="K641" s="102">
        <f>IFERROR(Table21[[#This Row],[ROUTE COST]]/Table21[[#This Row],[O - DEMAND]],0)</f>
        <v>0</v>
      </c>
      <c r="M641" s="26">
        <f>IFERROR(VLOOKUP(Table21[[#This Row],[ROUTE]],DEMAND!A:F,5,FALSE),0)</f>
        <v>0</v>
      </c>
      <c r="N641" s="26">
        <f>IFERROR(VLOOKUP(Table21[[#This Row],[ROUTE]],DEMAND!A:F,6,FALSE),0)</f>
        <v>0</v>
      </c>
      <c r="O641" s="26">
        <f>ROUNDDOWN(Table21[[#This Row],[R-DEMAND]]/1320,0)</f>
        <v>0</v>
      </c>
      <c r="P641" s="26">
        <f>Table21[[#This Row],[ADD ACC]]*Table21[[#This Row],[Duration
(747-400)]]</f>
        <v>0</v>
      </c>
      <c r="Q641" s="284">
        <f>IFERROR(VLOOKUP(Table21[[#This Row],[ROUTE]],PRICING!A:B,2,FALSE),0)</f>
        <v>0</v>
      </c>
      <c r="R641" s="282">
        <f>Table21[[#This Row],[C_DEMAND]]-Table21[[#This Row],[R-DEMAND]]</f>
        <v>0</v>
      </c>
      <c r="S641" s="287">
        <f>Table21[[#This Row],[SEATS SOLD]]*Table21[[#This Row],[ECO SEAT]]</f>
        <v>0</v>
      </c>
    </row>
    <row r="642" spans="1:19" x14ac:dyDescent="0.25">
      <c r="A642" s="251" t="s">
        <v>16759</v>
      </c>
      <c r="B642" s="251" t="s">
        <v>5141</v>
      </c>
      <c r="D642" s="251">
        <v>3</v>
      </c>
      <c r="E642" s="251" t="s">
        <v>14</v>
      </c>
      <c r="F642" s="251" t="s">
        <v>12670</v>
      </c>
      <c r="G642" s="252" t="s">
        <v>12037</v>
      </c>
      <c r="H642" s="254">
        <v>1198</v>
      </c>
      <c r="I642" s="180">
        <v>4.75</v>
      </c>
      <c r="K642" s="253">
        <f>IFERROR(Table21[[#This Row],[ROUTE COST]]/Table21[[#This Row],[O - DEMAND]],0)</f>
        <v>0</v>
      </c>
      <c r="M642" s="26">
        <f>IFERROR(VLOOKUP(Table21[[#This Row],[ROUTE]],DEMAND!A:F,5,FALSE),0)</f>
        <v>0</v>
      </c>
      <c r="N642" s="26">
        <f>IFERROR(VLOOKUP(Table21[[#This Row],[ROUTE]],DEMAND!A:F,6,FALSE),0)</f>
        <v>0</v>
      </c>
      <c r="O642" s="26">
        <f>ROUNDDOWN(Table21[[#This Row],[R-DEMAND]]/1320,0)</f>
        <v>0</v>
      </c>
      <c r="P642" s="26">
        <f>Table21[[#This Row],[ADD ACC]]*Table21[[#This Row],[Duration
(747-400)]]</f>
        <v>0</v>
      </c>
      <c r="Q642" s="284">
        <f>IFERROR(VLOOKUP(Table21[[#This Row],[ROUTE]],PRICING!A:B,2,FALSE),0)</f>
        <v>0</v>
      </c>
      <c r="R642" s="282">
        <f>Table21[[#This Row],[C_DEMAND]]-Table21[[#This Row],[R-DEMAND]]</f>
        <v>0</v>
      </c>
      <c r="S642" s="287">
        <f>Table21[[#This Row],[SEATS SOLD]]*Table21[[#This Row],[ECO SEAT]]</f>
        <v>0</v>
      </c>
    </row>
    <row r="643" spans="1:19" x14ac:dyDescent="0.25">
      <c r="A643" s="16" t="s">
        <v>16337</v>
      </c>
      <c r="B643" s="16" t="s">
        <v>4671</v>
      </c>
      <c r="D643" s="16">
        <v>2</v>
      </c>
      <c r="E643" s="16" t="s">
        <v>560</v>
      </c>
      <c r="F643" s="16" t="s">
        <v>12674</v>
      </c>
      <c r="G643" s="179" t="s">
        <v>11724</v>
      </c>
      <c r="H643" s="254">
        <v>8045</v>
      </c>
      <c r="I643" s="180">
        <v>20</v>
      </c>
      <c r="K643" s="102">
        <f>IFERROR(Table21[[#This Row],[ROUTE COST]]/Table21[[#This Row],[O - DEMAND]],0)</f>
        <v>0</v>
      </c>
      <c r="M643" s="26">
        <f>IFERROR(VLOOKUP(Table21[[#This Row],[ROUTE]],DEMAND!A:F,5,FALSE),0)</f>
        <v>0</v>
      </c>
      <c r="N643" s="26">
        <f>IFERROR(VLOOKUP(Table21[[#This Row],[ROUTE]],DEMAND!A:F,6,FALSE),0)</f>
        <v>0</v>
      </c>
      <c r="O643" s="26">
        <f>ROUNDDOWN(Table21[[#This Row],[R-DEMAND]]/1320,0)</f>
        <v>0</v>
      </c>
      <c r="P643" s="26">
        <f>Table21[[#This Row],[ADD ACC]]*Table21[[#This Row],[Duration
(747-400)]]</f>
        <v>0</v>
      </c>
      <c r="Q643" s="284">
        <f>IFERROR(VLOOKUP(Table21[[#This Row],[ROUTE]],PRICING!A:B,2,FALSE),0)</f>
        <v>0</v>
      </c>
      <c r="R643" s="282">
        <f>Table21[[#This Row],[C_DEMAND]]-Table21[[#This Row],[R-DEMAND]]</f>
        <v>0</v>
      </c>
      <c r="S643" s="287">
        <f>Table21[[#This Row],[SEATS SOLD]]*Table21[[#This Row],[ECO SEAT]]</f>
        <v>0</v>
      </c>
    </row>
    <row r="644" spans="1:19" x14ac:dyDescent="0.25">
      <c r="A644" s="16" t="s">
        <v>16544</v>
      </c>
      <c r="B644" s="16" t="s">
        <v>2266</v>
      </c>
      <c r="D644" s="16">
        <v>1</v>
      </c>
      <c r="E644" s="16" t="s">
        <v>605</v>
      </c>
      <c r="F644" s="16" t="s">
        <v>12674</v>
      </c>
      <c r="G644" s="179" t="s">
        <v>11809</v>
      </c>
      <c r="H644" s="254">
        <v>5925</v>
      </c>
      <c r="I644" s="180">
        <v>15.25</v>
      </c>
      <c r="K644" s="102">
        <f>IFERROR(Table21[[#This Row],[ROUTE COST]]/Table21[[#This Row],[O - DEMAND]],0)</f>
        <v>0</v>
      </c>
      <c r="M644" s="26">
        <f>IFERROR(VLOOKUP(Table21[[#This Row],[ROUTE]],DEMAND!A:F,5,FALSE),0)</f>
        <v>0</v>
      </c>
      <c r="N644" s="26">
        <f>IFERROR(VLOOKUP(Table21[[#This Row],[ROUTE]],DEMAND!A:F,6,FALSE),0)</f>
        <v>0</v>
      </c>
      <c r="O644" s="26">
        <f>ROUNDDOWN(Table21[[#This Row],[R-DEMAND]]/1320,0)</f>
        <v>0</v>
      </c>
      <c r="P644" s="26">
        <f>Table21[[#This Row],[ADD ACC]]*Table21[[#This Row],[Duration
(747-400)]]</f>
        <v>0</v>
      </c>
      <c r="Q644" s="284">
        <f>IFERROR(VLOOKUP(Table21[[#This Row],[ROUTE]],PRICING!A:B,2,FALSE),0)</f>
        <v>0</v>
      </c>
      <c r="R644" s="282">
        <f>Table21[[#This Row],[C_DEMAND]]-Table21[[#This Row],[R-DEMAND]]</f>
        <v>0</v>
      </c>
      <c r="S644" s="287">
        <f>Table21[[#This Row],[SEATS SOLD]]*Table21[[#This Row],[ECO SEAT]]</f>
        <v>0</v>
      </c>
    </row>
    <row r="645" spans="1:19" x14ac:dyDescent="0.25">
      <c r="A645" s="16" t="s">
        <v>16528</v>
      </c>
      <c r="B645" s="16" t="s">
        <v>4545</v>
      </c>
      <c r="D645" s="16">
        <v>2</v>
      </c>
      <c r="E645" s="16" t="s">
        <v>585</v>
      </c>
      <c r="F645" s="16" t="s">
        <v>12674</v>
      </c>
      <c r="G645" s="179" t="s">
        <v>11807</v>
      </c>
      <c r="H645" s="254">
        <v>6211</v>
      </c>
      <c r="I645" s="180">
        <v>16</v>
      </c>
      <c r="K645" s="102">
        <f>IFERROR(Table21[[#This Row],[ROUTE COST]]/Table21[[#This Row],[O - DEMAND]],0)</f>
        <v>0</v>
      </c>
      <c r="M645" s="26">
        <f>IFERROR(VLOOKUP(Table21[[#This Row],[ROUTE]],DEMAND!A:F,5,FALSE),0)</f>
        <v>0</v>
      </c>
      <c r="N645" s="26">
        <f>IFERROR(VLOOKUP(Table21[[#This Row],[ROUTE]],DEMAND!A:F,6,FALSE),0)</f>
        <v>0</v>
      </c>
      <c r="O645" s="26">
        <f>ROUNDDOWN(Table21[[#This Row],[R-DEMAND]]/1320,0)</f>
        <v>0</v>
      </c>
      <c r="P645" s="26">
        <f>Table21[[#This Row],[ADD ACC]]*Table21[[#This Row],[Duration
(747-400)]]</f>
        <v>0</v>
      </c>
      <c r="Q645" s="284">
        <f>IFERROR(VLOOKUP(Table21[[#This Row],[ROUTE]],PRICING!A:B,2,FALSE),0)</f>
        <v>0</v>
      </c>
      <c r="R645" s="282">
        <f>Table21[[#This Row],[C_DEMAND]]-Table21[[#This Row],[R-DEMAND]]</f>
        <v>0</v>
      </c>
      <c r="S645" s="287">
        <f>Table21[[#This Row],[SEATS SOLD]]*Table21[[#This Row],[ECO SEAT]]</f>
        <v>0</v>
      </c>
    </row>
    <row r="646" spans="1:19" x14ac:dyDescent="0.25">
      <c r="A646" s="16" t="s">
        <v>16116</v>
      </c>
      <c r="B646" s="16" t="s">
        <v>5192</v>
      </c>
      <c r="D646" s="16">
        <v>3</v>
      </c>
      <c r="E646" s="242" t="s">
        <v>11732</v>
      </c>
      <c r="F646" s="16" t="s">
        <v>15969</v>
      </c>
      <c r="G646" s="179" t="s">
        <v>13338</v>
      </c>
      <c r="H646" s="254">
        <v>10752</v>
      </c>
      <c r="I646" s="180">
        <v>26</v>
      </c>
      <c r="K646" s="102">
        <f>IFERROR(Table21[[#This Row],[ROUTE COST]]/Table21[[#This Row],[O - DEMAND]],0)</f>
        <v>0</v>
      </c>
      <c r="M646" s="26">
        <f>IFERROR(VLOOKUP(Table21[[#This Row],[ROUTE]],DEMAND!A:F,5,FALSE),0)</f>
        <v>0</v>
      </c>
      <c r="N646" s="26">
        <f>IFERROR(VLOOKUP(Table21[[#This Row],[ROUTE]],DEMAND!A:F,6,FALSE),0)</f>
        <v>0</v>
      </c>
      <c r="O646" s="26">
        <f>ROUNDDOWN(Table21[[#This Row],[R-DEMAND]]/1320,0)</f>
        <v>0</v>
      </c>
      <c r="P646" s="26">
        <f>Table21[[#This Row],[ADD ACC]]*Table21[[#This Row],[Duration
(747-400)]]</f>
        <v>0</v>
      </c>
      <c r="Q646" s="284">
        <f>IFERROR(VLOOKUP(Table21[[#This Row],[ROUTE]],PRICING!A:B,2,FALSE),0)</f>
        <v>0</v>
      </c>
      <c r="R646" s="282">
        <f>Table21[[#This Row],[C_DEMAND]]-Table21[[#This Row],[R-DEMAND]]</f>
        <v>0</v>
      </c>
      <c r="S646" s="287">
        <f>Table21[[#This Row],[SEATS SOLD]]*Table21[[#This Row],[ECO SEAT]]</f>
        <v>0</v>
      </c>
    </row>
    <row r="647" spans="1:19" x14ac:dyDescent="0.25">
      <c r="A647" s="16" t="s">
        <v>16124</v>
      </c>
      <c r="B647" s="16" t="s">
        <v>5574</v>
      </c>
      <c r="D647" s="16">
        <v>4</v>
      </c>
      <c r="E647" s="16" t="s">
        <v>11732</v>
      </c>
      <c r="F647" s="16" t="s">
        <v>15969</v>
      </c>
      <c r="G647" s="179" t="s">
        <v>13303</v>
      </c>
      <c r="H647" s="254">
        <v>10636</v>
      </c>
      <c r="I647" s="180">
        <v>25.75</v>
      </c>
      <c r="K647" s="102">
        <f>IFERROR(Table21[[#This Row],[ROUTE COST]]/Table21[[#This Row],[O - DEMAND]],0)</f>
        <v>0</v>
      </c>
      <c r="M647" s="26">
        <f>IFERROR(VLOOKUP(Table21[[#This Row],[ROUTE]],DEMAND!A:F,5,FALSE),0)</f>
        <v>0</v>
      </c>
      <c r="N647" s="26">
        <f>IFERROR(VLOOKUP(Table21[[#This Row],[ROUTE]],DEMAND!A:F,6,FALSE),0)</f>
        <v>0</v>
      </c>
      <c r="O647" s="26">
        <f>ROUNDDOWN(Table21[[#This Row],[R-DEMAND]]/1320,0)</f>
        <v>0</v>
      </c>
      <c r="P647" s="26">
        <f>Table21[[#This Row],[ADD ACC]]*Table21[[#This Row],[Duration
(747-400)]]</f>
        <v>0</v>
      </c>
      <c r="Q647" s="284">
        <f>IFERROR(VLOOKUP(Table21[[#This Row],[ROUTE]],PRICING!A:B,2,FALSE),0)</f>
        <v>0</v>
      </c>
      <c r="R647" s="282">
        <f>Table21[[#This Row],[C_DEMAND]]-Table21[[#This Row],[R-DEMAND]]</f>
        <v>0</v>
      </c>
      <c r="S647" s="287">
        <f>Table21[[#This Row],[SEATS SOLD]]*Table21[[#This Row],[ECO SEAT]]</f>
        <v>0</v>
      </c>
    </row>
    <row r="648" spans="1:19" x14ac:dyDescent="0.25">
      <c r="A648" s="16" t="s">
        <v>16389</v>
      </c>
      <c r="B648" s="16" t="s">
        <v>4402</v>
      </c>
      <c r="D648" s="16">
        <v>2</v>
      </c>
      <c r="E648" s="16" t="s">
        <v>3915</v>
      </c>
      <c r="F648" s="16" t="s">
        <v>12674</v>
      </c>
      <c r="G648" s="179" t="s">
        <v>11793</v>
      </c>
      <c r="H648" s="254">
        <v>7589</v>
      </c>
      <c r="I648" s="180">
        <v>19</v>
      </c>
      <c r="K648" s="102">
        <f>IFERROR(Table21[[#This Row],[ROUTE COST]]/Table21[[#This Row],[O - DEMAND]],0)</f>
        <v>0</v>
      </c>
      <c r="M648" s="26">
        <f>IFERROR(VLOOKUP(Table21[[#This Row],[ROUTE]],DEMAND!A:F,5,FALSE),0)</f>
        <v>0</v>
      </c>
      <c r="N648" s="26">
        <f>IFERROR(VLOOKUP(Table21[[#This Row],[ROUTE]],DEMAND!A:F,6,FALSE),0)</f>
        <v>0</v>
      </c>
      <c r="O648" s="26">
        <f>ROUNDDOWN(Table21[[#This Row],[R-DEMAND]]/1320,0)</f>
        <v>0</v>
      </c>
      <c r="P648" s="26">
        <f>Table21[[#This Row],[ADD ACC]]*Table21[[#This Row],[Duration
(747-400)]]</f>
        <v>0</v>
      </c>
      <c r="Q648" s="284">
        <f>IFERROR(VLOOKUP(Table21[[#This Row],[ROUTE]],PRICING!A:B,2,FALSE),0)</f>
        <v>0</v>
      </c>
      <c r="R648" s="282">
        <f>Table21[[#This Row],[C_DEMAND]]-Table21[[#This Row],[R-DEMAND]]</f>
        <v>0</v>
      </c>
      <c r="S648" s="287">
        <f>Table21[[#This Row],[SEATS SOLD]]*Table21[[#This Row],[ECO SEAT]]</f>
        <v>0</v>
      </c>
    </row>
    <row r="649" spans="1:19" x14ac:dyDescent="0.25">
      <c r="A649" s="16" t="s">
        <v>16476</v>
      </c>
      <c r="B649" s="16" t="s">
        <v>2972</v>
      </c>
      <c r="D649" s="16">
        <v>2</v>
      </c>
      <c r="E649" s="16" t="s">
        <v>1654</v>
      </c>
      <c r="F649" s="16" t="s">
        <v>12670</v>
      </c>
      <c r="G649" s="179" t="s">
        <v>11875</v>
      </c>
      <c r="H649" s="254">
        <v>6859</v>
      </c>
      <c r="I649" s="180">
        <v>17.25</v>
      </c>
      <c r="K649" s="102">
        <f>IFERROR(Table21[[#This Row],[ROUTE COST]]/Table21[[#This Row],[O - DEMAND]],0)</f>
        <v>0</v>
      </c>
      <c r="M649" s="26">
        <f>IFERROR(VLOOKUP(Table21[[#This Row],[ROUTE]],DEMAND!A:F,5,FALSE),0)</f>
        <v>0</v>
      </c>
      <c r="N649" s="26">
        <f>IFERROR(VLOOKUP(Table21[[#This Row],[ROUTE]],DEMAND!A:F,6,FALSE),0)</f>
        <v>0</v>
      </c>
      <c r="O649" s="26">
        <f>ROUNDDOWN(Table21[[#This Row],[R-DEMAND]]/1320,0)</f>
        <v>0</v>
      </c>
      <c r="P649" s="26">
        <f>Table21[[#This Row],[ADD ACC]]*Table21[[#This Row],[Duration
(747-400)]]</f>
        <v>0</v>
      </c>
      <c r="Q649" s="284">
        <f>IFERROR(VLOOKUP(Table21[[#This Row],[ROUTE]],PRICING!A:B,2,FALSE),0)</f>
        <v>0</v>
      </c>
      <c r="R649" s="282">
        <f>Table21[[#This Row],[C_DEMAND]]-Table21[[#This Row],[R-DEMAND]]</f>
        <v>0</v>
      </c>
      <c r="S649" s="287">
        <f>Table21[[#This Row],[SEATS SOLD]]*Table21[[#This Row],[ECO SEAT]]</f>
        <v>0</v>
      </c>
    </row>
    <row r="650" spans="1:19" x14ac:dyDescent="0.25">
      <c r="A650" s="16" t="s">
        <v>16410</v>
      </c>
      <c r="B650" s="16" t="s">
        <v>2922</v>
      </c>
      <c r="D650" s="16">
        <v>2</v>
      </c>
      <c r="E650" s="16" t="s">
        <v>597</v>
      </c>
      <c r="F650" s="16" t="s">
        <v>12674</v>
      </c>
      <c r="G650" s="179" t="s">
        <v>11840</v>
      </c>
      <c r="H650" s="254">
        <v>7392</v>
      </c>
      <c r="I650" s="180">
        <v>18.5</v>
      </c>
      <c r="K650" s="102">
        <f>IFERROR(Table21[[#This Row],[ROUTE COST]]/Table21[[#This Row],[O - DEMAND]],0)</f>
        <v>0</v>
      </c>
      <c r="M650" s="26">
        <f>IFERROR(VLOOKUP(Table21[[#This Row],[ROUTE]],DEMAND!A:F,5,FALSE),0)</f>
        <v>0</v>
      </c>
      <c r="N650" s="26">
        <f>IFERROR(VLOOKUP(Table21[[#This Row],[ROUTE]],DEMAND!A:F,6,FALSE),0)</f>
        <v>0</v>
      </c>
      <c r="O650" s="26">
        <f>ROUNDDOWN(Table21[[#This Row],[R-DEMAND]]/1320,0)</f>
        <v>0</v>
      </c>
      <c r="P650" s="26">
        <f>Table21[[#This Row],[ADD ACC]]*Table21[[#This Row],[Duration
(747-400)]]</f>
        <v>0</v>
      </c>
      <c r="Q650" s="284">
        <f>IFERROR(VLOOKUP(Table21[[#This Row],[ROUTE]],PRICING!A:B,2,FALSE),0)</f>
        <v>0</v>
      </c>
      <c r="R650" s="282">
        <f>Table21[[#This Row],[C_DEMAND]]-Table21[[#This Row],[R-DEMAND]]</f>
        <v>0</v>
      </c>
      <c r="S650" s="287">
        <f>Table21[[#This Row],[SEATS SOLD]]*Table21[[#This Row],[ECO SEAT]]</f>
        <v>0</v>
      </c>
    </row>
    <row r="651" spans="1:19" x14ac:dyDescent="0.25">
      <c r="A651" s="16" t="s">
        <v>16691</v>
      </c>
      <c r="B651" s="16" t="s">
        <v>2884</v>
      </c>
      <c r="D651" s="16">
        <v>2</v>
      </c>
      <c r="E651" s="16" t="s">
        <v>14</v>
      </c>
      <c r="F651" s="16" t="s">
        <v>12670</v>
      </c>
      <c r="G651" s="179" t="s">
        <v>12058</v>
      </c>
      <c r="H651" s="254">
        <v>2351</v>
      </c>
      <c r="I651" s="180">
        <v>7.25</v>
      </c>
      <c r="K651" s="102">
        <f>IFERROR(Table21[[#This Row],[ROUTE COST]]/Table21[[#This Row],[O - DEMAND]],0)</f>
        <v>0</v>
      </c>
      <c r="M651" s="26">
        <f>IFERROR(VLOOKUP(Table21[[#This Row],[ROUTE]],DEMAND!A:F,5,FALSE),0)</f>
        <v>0</v>
      </c>
      <c r="N651" s="26">
        <f>IFERROR(VLOOKUP(Table21[[#This Row],[ROUTE]],DEMAND!A:F,6,FALSE),0)</f>
        <v>0</v>
      </c>
      <c r="O651" s="26">
        <f>ROUNDDOWN(Table21[[#This Row],[R-DEMAND]]/1320,0)</f>
        <v>0</v>
      </c>
      <c r="P651" s="26">
        <f>Table21[[#This Row],[ADD ACC]]*Table21[[#This Row],[Duration
(747-400)]]</f>
        <v>0</v>
      </c>
      <c r="Q651" s="284">
        <f>IFERROR(VLOOKUP(Table21[[#This Row],[ROUTE]],PRICING!A:B,2,FALSE),0)</f>
        <v>0</v>
      </c>
      <c r="R651" s="282">
        <f>Table21[[#This Row],[C_DEMAND]]-Table21[[#This Row],[R-DEMAND]]</f>
        <v>0</v>
      </c>
      <c r="S651" s="287">
        <f>Table21[[#This Row],[SEATS SOLD]]*Table21[[#This Row],[ECO SEAT]]</f>
        <v>0</v>
      </c>
    </row>
    <row r="652" spans="1:19" x14ac:dyDescent="0.25">
      <c r="A652" s="16" t="s">
        <v>16121</v>
      </c>
      <c r="B652" s="16" t="s">
        <v>4036</v>
      </c>
      <c r="D652" s="16">
        <v>2</v>
      </c>
      <c r="E652" s="16" t="s">
        <v>11732</v>
      </c>
      <c r="F652" s="16" t="s">
        <v>15969</v>
      </c>
      <c r="G652" s="179" t="s">
        <v>13312</v>
      </c>
      <c r="H652" s="254">
        <v>10654</v>
      </c>
      <c r="I652" s="180">
        <v>25.75</v>
      </c>
      <c r="K652" s="102">
        <f>IFERROR(Table21[[#This Row],[ROUTE COST]]/Table21[[#This Row],[O - DEMAND]],0)</f>
        <v>0</v>
      </c>
      <c r="M652" s="26">
        <f>IFERROR(VLOOKUP(Table21[[#This Row],[ROUTE]],DEMAND!A:F,5,FALSE),0)</f>
        <v>0</v>
      </c>
      <c r="N652" s="26">
        <f>IFERROR(VLOOKUP(Table21[[#This Row],[ROUTE]],DEMAND!A:F,6,FALSE),0)</f>
        <v>0</v>
      </c>
      <c r="O652" s="26">
        <f>ROUNDDOWN(Table21[[#This Row],[R-DEMAND]]/1320,0)</f>
        <v>0</v>
      </c>
      <c r="P652" s="26">
        <f>Table21[[#This Row],[ADD ACC]]*Table21[[#This Row],[Duration
(747-400)]]</f>
        <v>0</v>
      </c>
      <c r="Q652" s="284">
        <f>IFERROR(VLOOKUP(Table21[[#This Row],[ROUTE]],PRICING!A:B,2,FALSE),0)</f>
        <v>0</v>
      </c>
      <c r="R652" s="282">
        <f>Table21[[#This Row],[C_DEMAND]]-Table21[[#This Row],[R-DEMAND]]</f>
        <v>0</v>
      </c>
      <c r="S652" s="287">
        <f>Table21[[#This Row],[SEATS SOLD]]*Table21[[#This Row],[ECO SEAT]]</f>
        <v>0</v>
      </c>
    </row>
    <row r="653" spans="1:19" x14ac:dyDescent="0.25">
      <c r="A653" s="16" t="s">
        <v>16119</v>
      </c>
      <c r="B653" s="16" t="s">
        <v>3223</v>
      </c>
      <c r="D653" s="16">
        <v>2</v>
      </c>
      <c r="E653" s="243" t="s">
        <v>11732</v>
      </c>
      <c r="F653" s="16" t="s">
        <v>15969</v>
      </c>
      <c r="G653" s="179" t="s">
        <v>13320</v>
      </c>
      <c r="H653" s="254">
        <v>10706</v>
      </c>
      <c r="I653" s="180">
        <v>25.75</v>
      </c>
      <c r="K653" s="102">
        <f>IFERROR(Table21[[#This Row],[ROUTE COST]]/Table21[[#This Row],[O - DEMAND]],0)</f>
        <v>0</v>
      </c>
      <c r="M653" s="26">
        <f>IFERROR(VLOOKUP(Table21[[#This Row],[ROUTE]],DEMAND!A:F,5,FALSE),0)</f>
        <v>0</v>
      </c>
      <c r="N653" s="26">
        <f>IFERROR(VLOOKUP(Table21[[#This Row],[ROUTE]],DEMAND!A:F,6,FALSE),0)</f>
        <v>0</v>
      </c>
      <c r="O653" s="26">
        <f>ROUNDDOWN(Table21[[#This Row],[R-DEMAND]]/1320,0)</f>
        <v>0</v>
      </c>
      <c r="P653" s="26">
        <f>Table21[[#This Row],[ADD ACC]]*Table21[[#This Row],[Duration
(747-400)]]</f>
        <v>0</v>
      </c>
      <c r="Q653" s="284">
        <f>IFERROR(VLOOKUP(Table21[[#This Row],[ROUTE]],PRICING!A:B,2,FALSE),0)</f>
        <v>0</v>
      </c>
      <c r="R653" s="282">
        <f>Table21[[#This Row],[C_DEMAND]]-Table21[[#This Row],[R-DEMAND]]</f>
        <v>0</v>
      </c>
      <c r="S653" s="287">
        <f>Table21[[#This Row],[SEATS SOLD]]*Table21[[#This Row],[ECO SEAT]]</f>
        <v>0</v>
      </c>
    </row>
    <row r="654" spans="1:19" x14ac:dyDescent="0.25">
      <c r="A654" s="16" t="s">
        <v>16123</v>
      </c>
      <c r="B654" s="16" t="s">
        <v>811</v>
      </c>
      <c r="D654" s="16">
        <v>1</v>
      </c>
      <c r="E654" s="16" t="s">
        <v>11732</v>
      </c>
      <c r="F654" s="16" t="s">
        <v>15969</v>
      </c>
      <c r="G654" s="179" t="s">
        <v>13323</v>
      </c>
      <c r="H654" s="254">
        <v>10637</v>
      </c>
      <c r="I654" s="180">
        <v>25.75</v>
      </c>
      <c r="K654" s="102">
        <f>IFERROR(Table21[[#This Row],[ROUTE COST]]/Table21[[#This Row],[O - DEMAND]],0)</f>
        <v>0</v>
      </c>
      <c r="M654" s="26">
        <f>IFERROR(VLOOKUP(Table21[[#This Row],[ROUTE]],DEMAND!A:F,5,FALSE),0)</f>
        <v>0</v>
      </c>
      <c r="N654" s="26">
        <f>IFERROR(VLOOKUP(Table21[[#This Row],[ROUTE]],DEMAND!A:F,6,FALSE),0)</f>
        <v>0</v>
      </c>
      <c r="O654" s="26">
        <f>ROUNDDOWN(Table21[[#This Row],[R-DEMAND]]/1320,0)</f>
        <v>0</v>
      </c>
      <c r="P654" s="26">
        <f>Table21[[#This Row],[ADD ACC]]*Table21[[#This Row],[Duration
(747-400)]]</f>
        <v>0</v>
      </c>
      <c r="Q654" s="284">
        <f>IFERROR(VLOOKUP(Table21[[#This Row],[ROUTE]],PRICING!A:B,2,FALSE),0)</f>
        <v>0</v>
      </c>
      <c r="R654" s="282">
        <f>Table21[[#This Row],[C_DEMAND]]-Table21[[#This Row],[R-DEMAND]]</f>
        <v>0</v>
      </c>
      <c r="S654" s="287">
        <f>Table21[[#This Row],[SEATS SOLD]]*Table21[[#This Row],[ECO SEAT]]</f>
        <v>0</v>
      </c>
    </row>
    <row r="655" spans="1:19" x14ac:dyDescent="0.25">
      <c r="A655" s="16" t="s">
        <v>16120</v>
      </c>
      <c r="B655" s="16" t="s">
        <v>4798</v>
      </c>
      <c r="D655" s="16">
        <v>3</v>
      </c>
      <c r="E655" s="243" t="s">
        <v>11732</v>
      </c>
      <c r="F655" s="16" t="s">
        <v>15969</v>
      </c>
      <c r="G655" s="179" t="s">
        <v>13302</v>
      </c>
      <c r="H655" s="254">
        <v>10705</v>
      </c>
      <c r="I655" s="180">
        <v>25.75</v>
      </c>
      <c r="K655" s="102">
        <f>IFERROR(Table21[[#This Row],[ROUTE COST]]/Table21[[#This Row],[O - DEMAND]],0)</f>
        <v>0</v>
      </c>
      <c r="M655" s="26">
        <f>IFERROR(VLOOKUP(Table21[[#This Row],[ROUTE]],DEMAND!A:F,5,FALSE),0)</f>
        <v>0</v>
      </c>
      <c r="N655" s="26">
        <f>IFERROR(VLOOKUP(Table21[[#This Row],[ROUTE]],DEMAND!A:F,6,FALSE),0)</f>
        <v>0</v>
      </c>
      <c r="O655" s="26">
        <f>ROUNDDOWN(Table21[[#This Row],[R-DEMAND]]/1320,0)</f>
        <v>0</v>
      </c>
      <c r="P655" s="26">
        <f>Table21[[#This Row],[ADD ACC]]*Table21[[#This Row],[Duration
(747-400)]]</f>
        <v>0</v>
      </c>
      <c r="Q655" s="284">
        <f>IFERROR(VLOOKUP(Table21[[#This Row],[ROUTE]],PRICING!A:B,2,FALSE),0)</f>
        <v>0</v>
      </c>
      <c r="R655" s="282">
        <f>Table21[[#This Row],[C_DEMAND]]-Table21[[#This Row],[R-DEMAND]]</f>
        <v>0</v>
      </c>
      <c r="S655" s="287">
        <f>Table21[[#This Row],[SEATS SOLD]]*Table21[[#This Row],[ECO SEAT]]</f>
        <v>0</v>
      </c>
    </row>
    <row r="656" spans="1:19" x14ac:dyDescent="0.25">
      <c r="A656" s="16" t="s">
        <v>16126</v>
      </c>
      <c r="B656" s="16" t="s">
        <v>5244</v>
      </c>
      <c r="D656" s="16">
        <v>3</v>
      </c>
      <c r="E656" s="16" t="s">
        <v>11732</v>
      </c>
      <c r="F656" s="16" t="s">
        <v>15969</v>
      </c>
      <c r="G656" s="179" t="s">
        <v>13289</v>
      </c>
      <c r="H656" s="254">
        <v>10618</v>
      </c>
      <c r="I656" s="180">
        <v>25.75</v>
      </c>
      <c r="K656" s="102">
        <f>IFERROR(Table21[[#This Row],[ROUTE COST]]/Table21[[#This Row],[O - DEMAND]],0)</f>
        <v>0</v>
      </c>
      <c r="M656" s="26">
        <f>IFERROR(VLOOKUP(Table21[[#This Row],[ROUTE]],DEMAND!A:F,5,FALSE),0)</f>
        <v>0</v>
      </c>
      <c r="N656" s="26">
        <f>IFERROR(VLOOKUP(Table21[[#This Row],[ROUTE]],DEMAND!A:F,6,FALSE),0)</f>
        <v>0</v>
      </c>
      <c r="O656" s="26">
        <f>ROUNDDOWN(Table21[[#This Row],[R-DEMAND]]/1320,0)</f>
        <v>0</v>
      </c>
      <c r="P656" s="26">
        <f>Table21[[#This Row],[ADD ACC]]*Table21[[#This Row],[Duration
(747-400)]]</f>
        <v>0</v>
      </c>
      <c r="Q656" s="284">
        <f>IFERROR(VLOOKUP(Table21[[#This Row],[ROUTE]],PRICING!A:B,2,FALSE),0)</f>
        <v>0</v>
      </c>
      <c r="R656" s="282">
        <f>Table21[[#This Row],[C_DEMAND]]-Table21[[#This Row],[R-DEMAND]]</f>
        <v>0</v>
      </c>
      <c r="S656" s="287">
        <f>Table21[[#This Row],[SEATS SOLD]]*Table21[[#This Row],[ECO SEAT]]</f>
        <v>0</v>
      </c>
    </row>
    <row r="657" spans="1:19" x14ac:dyDescent="0.25">
      <c r="A657" s="251" t="s">
        <v>16790</v>
      </c>
      <c r="B657" s="251" t="s">
        <v>5300</v>
      </c>
      <c r="D657" s="251">
        <v>3</v>
      </c>
      <c r="E657" s="251" t="s">
        <v>14</v>
      </c>
      <c r="F657" s="251" t="s">
        <v>12670</v>
      </c>
      <c r="G657" s="252" t="s">
        <v>12079</v>
      </c>
      <c r="H657" s="254">
        <v>2014</v>
      </c>
      <c r="I657" s="180">
        <v>6.5</v>
      </c>
      <c r="K657" s="253">
        <f>IFERROR(Table21[[#This Row],[ROUTE COST]]/Table21[[#This Row],[O - DEMAND]],0)</f>
        <v>0</v>
      </c>
      <c r="M657" s="26">
        <f>IFERROR(VLOOKUP(Table21[[#This Row],[ROUTE]],DEMAND!A:F,5,FALSE),0)</f>
        <v>0</v>
      </c>
      <c r="N657" s="26">
        <f>IFERROR(VLOOKUP(Table21[[#This Row],[ROUTE]],DEMAND!A:F,6,FALSE),0)</f>
        <v>0</v>
      </c>
      <c r="O657" s="26">
        <f>ROUNDDOWN(Table21[[#This Row],[R-DEMAND]]/1320,0)</f>
        <v>0</v>
      </c>
      <c r="P657" s="26">
        <f>Table21[[#This Row],[ADD ACC]]*Table21[[#This Row],[Duration
(747-400)]]</f>
        <v>0</v>
      </c>
      <c r="Q657" s="284">
        <f>IFERROR(VLOOKUP(Table21[[#This Row],[ROUTE]],PRICING!A:B,2,FALSE),0)</f>
        <v>0</v>
      </c>
      <c r="R657" s="282">
        <f>Table21[[#This Row],[C_DEMAND]]-Table21[[#This Row],[R-DEMAND]]</f>
        <v>0</v>
      </c>
      <c r="S657" s="287">
        <f>Table21[[#This Row],[SEATS SOLD]]*Table21[[#This Row],[ECO SEAT]]</f>
        <v>0</v>
      </c>
    </row>
    <row r="658" spans="1:19" x14ac:dyDescent="0.25">
      <c r="A658" s="16" t="s">
        <v>16134</v>
      </c>
      <c r="B658" s="16" t="s">
        <v>4406</v>
      </c>
      <c r="D658" s="16">
        <v>2</v>
      </c>
      <c r="E658" s="16" t="s">
        <v>11732</v>
      </c>
      <c r="F658" s="16" t="s">
        <v>15969</v>
      </c>
      <c r="G658" s="179" t="s">
        <v>13333</v>
      </c>
      <c r="H658" s="254">
        <v>10563</v>
      </c>
      <c r="I658" s="180">
        <v>25.5</v>
      </c>
      <c r="K658" s="102">
        <f>IFERROR(Table21[[#This Row],[ROUTE COST]]/Table21[[#This Row],[O - DEMAND]],0)</f>
        <v>0</v>
      </c>
      <c r="M658" s="26">
        <f>IFERROR(VLOOKUP(Table21[[#This Row],[ROUTE]],DEMAND!A:F,5,FALSE),0)</f>
        <v>0</v>
      </c>
      <c r="N658" s="26">
        <f>IFERROR(VLOOKUP(Table21[[#This Row],[ROUTE]],DEMAND!A:F,6,FALSE),0)</f>
        <v>0</v>
      </c>
      <c r="O658" s="26">
        <f>ROUNDDOWN(Table21[[#This Row],[R-DEMAND]]/1320,0)</f>
        <v>0</v>
      </c>
      <c r="P658" s="26">
        <f>Table21[[#This Row],[ADD ACC]]*Table21[[#This Row],[Duration
(747-400)]]</f>
        <v>0</v>
      </c>
      <c r="Q658" s="284">
        <f>IFERROR(VLOOKUP(Table21[[#This Row],[ROUTE]],PRICING!A:B,2,FALSE),0)</f>
        <v>0</v>
      </c>
      <c r="R658" s="282">
        <f>Table21[[#This Row],[C_DEMAND]]-Table21[[#This Row],[R-DEMAND]]</f>
        <v>0</v>
      </c>
      <c r="S658" s="287">
        <f>Table21[[#This Row],[SEATS SOLD]]*Table21[[#This Row],[ECO SEAT]]</f>
        <v>0</v>
      </c>
    </row>
    <row r="659" spans="1:19" x14ac:dyDescent="0.25">
      <c r="A659" s="16" t="s">
        <v>16687</v>
      </c>
      <c r="B659" s="16" t="s">
        <v>3626</v>
      </c>
      <c r="D659" s="16">
        <v>2</v>
      </c>
      <c r="E659" s="16" t="s">
        <v>78</v>
      </c>
      <c r="F659" s="16" t="s">
        <v>12674</v>
      </c>
      <c r="G659" s="179" t="s">
        <v>11932</v>
      </c>
      <c r="H659" s="254">
        <v>2503</v>
      </c>
      <c r="I659" s="180">
        <v>7.75</v>
      </c>
      <c r="K659" s="102">
        <f>IFERROR(Table21[[#This Row],[ROUTE COST]]/Table21[[#This Row],[O - DEMAND]],0)</f>
        <v>0</v>
      </c>
      <c r="M659" s="26">
        <f>IFERROR(VLOOKUP(Table21[[#This Row],[ROUTE]],DEMAND!A:F,5,FALSE),0)</f>
        <v>0</v>
      </c>
      <c r="N659" s="26">
        <f>IFERROR(VLOOKUP(Table21[[#This Row],[ROUTE]],DEMAND!A:F,6,FALSE),0)</f>
        <v>0</v>
      </c>
      <c r="O659" s="26">
        <f>ROUNDDOWN(Table21[[#This Row],[R-DEMAND]]/1320,0)</f>
        <v>0</v>
      </c>
      <c r="P659" s="26">
        <f>Table21[[#This Row],[ADD ACC]]*Table21[[#This Row],[Duration
(747-400)]]</f>
        <v>0</v>
      </c>
      <c r="Q659" s="284">
        <f>IFERROR(VLOOKUP(Table21[[#This Row],[ROUTE]],PRICING!A:B,2,FALSE),0)</f>
        <v>0</v>
      </c>
      <c r="R659" s="282">
        <f>Table21[[#This Row],[C_DEMAND]]-Table21[[#This Row],[R-DEMAND]]</f>
        <v>0</v>
      </c>
      <c r="S659" s="287">
        <f>Table21[[#This Row],[SEATS SOLD]]*Table21[[#This Row],[ECO SEAT]]</f>
        <v>0</v>
      </c>
    </row>
    <row r="660" spans="1:19" x14ac:dyDescent="0.25">
      <c r="A660" s="16" t="s">
        <v>16136</v>
      </c>
      <c r="B660" s="16" t="s">
        <v>4518</v>
      </c>
      <c r="D660" s="16">
        <v>2</v>
      </c>
      <c r="E660" s="16" t="s">
        <v>11732</v>
      </c>
      <c r="F660" s="16" t="s">
        <v>15969</v>
      </c>
      <c r="G660" s="179" t="s">
        <v>13305</v>
      </c>
      <c r="H660" s="254">
        <v>10548</v>
      </c>
      <c r="I660" s="180">
        <v>25.5</v>
      </c>
      <c r="K660" s="102">
        <f>IFERROR(Table21[[#This Row],[ROUTE COST]]/Table21[[#This Row],[O - DEMAND]],0)</f>
        <v>0</v>
      </c>
      <c r="M660" s="26">
        <f>IFERROR(VLOOKUP(Table21[[#This Row],[ROUTE]],DEMAND!A:F,5,FALSE),0)</f>
        <v>0</v>
      </c>
      <c r="N660" s="26">
        <f>IFERROR(VLOOKUP(Table21[[#This Row],[ROUTE]],DEMAND!A:F,6,FALSE),0)</f>
        <v>0</v>
      </c>
      <c r="O660" s="26">
        <f>ROUNDDOWN(Table21[[#This Row],[R-DEMAND]]/1320,0)</f>
        <v>0</v>
      </c>
      <c r="P660" s="26">
        <f>Table21[[#This Row],[ADD ACC]]*Table21[[#This Row],[Duration
(747-400)]]</f>
        <v>0</v>
      </c>
      <c r="Q660" s="284">
        <f>IFERROR(VLOOKUP(Table21[[#This Row],[ROUTE]],PRICING!A:B,2,FALSE),0)</f>
        <v>0</v>
      </c>
      <c r="R660" s="282">
        <f>Table21[[#This Row],[C_DEMAND]]-Table21[[#This Row],[R-DEMAND]]</f>
        <v>0</v>
      </c>
      <c r="S660" s="287">
        <f>Table21[[#This Row],[SEATS SOLD]]*Table21[[#This Row],[ECO SEAT]]</f>
        <v>0</v>
      </c>
    </row>
    <row r="661" spans="1:19" x14ac:dyDescent="0.25">
      <c r="A661" s="16" t="s">
        <v>16137</v>
      </c>
      <c r="B661" s="16" t="s">
        <v>134</v>
      </c>
      <c r="D661" s="16">
        <v>2</v>
      </c>
      <c r="E661" s="16" t="s">
        <v>11732</v>
      </c>
      <c r="F661" s="16" t="s">
        <v>15969</v>
      </c>
      <c r="G661" s="179" t="s">
        <v>13326</v>
      </c>
      <c r="H661" s="254">
        <v>10542</v>
      </c>
      <c r="I661" s="180">
        <v>25.5</v>
      </c>
      <c r="K661" s="102">
        <f>IFERROR(Table21[[#This Row],[ROUTE COST]]/Table21[[#This Row],[O - DEMAND]],0)</f>
        <v>0</v>
      </c>
      <c r="M661" s="26">
        <f>IFERROR(VLOOKUP(Table21[[#This Row],[ROUTE]],DEMAND!A:F,5,FALSE),0)</f>
        <v>0</v>
      </c>
      <c r="N661" s="26">
        <f>IFERROR(VLOOKUP(Table21[[#This Row],[ROUTE]],DEMAND!A:F,6,FALSE),0)</f>
        <v>0</v>
      </c>
      <c r="O661" s="26">
        <f>ROUNDDOWN(Table21[[#This Row],[R-DEMAND]]/1320,0)</f>
        <v>0</v>
      </c>
      <c r="P661" s="26">
        <f>Table21[[#This Row],[ADD ACC]]*Table21[[#This Row],[Duration
(747-400)]]</f>
        <v>0</v>
      </c>
      <c r="Q661" s="284">
        <f>IFERROR(VLOOKUP(Table21[[#This Row],[ROUTE]],PRICING!A:B,2,FALSE),0)</f>
        <v>0</v>
      </c>
      <c r="R661" s="282">
        <f>Table21[[#This Row],[C_DEMAND]]-Table21[[#This Row],[R-DEMAND]]</f>
        <v>0</v>
      </c>
      <c r="S661" s="287">
        <f>Table21[[#This Row],[SEATS SOLD]]*Table21[[#This Row],[ECO SEAT]]</f>
        <v>0</v>
      </c>
    </row>
    <row r="662" spans="1:19" x14ac:dyDescent="0.25">
      <c r="A662" s="16" t="s">
        <v>16343</v>
      </c>
      <c r="B662" s="16" t="s">
        <v>5350</v>
      </c>
      <c r="D662" s="16">
        <v>3</v>
      </c>
      <c r="E662" s="16" t="s">
        <v>560</v>
      </c>
      <c r="F662" s="16" t="s">
        <v>12674</v>
      </c>
      <c r="G662" s="179" t="s">
        <v>11747</v>
      </c>
      <c r="H662" s="254">
        <v>8021</v>
      </c>
      <c r="I662" s="180">
        <v>20</v>
      </c>
      <c r="K662" s="102">
        <f>IFERROR(Table21[[#This Row],[ROUTE COST]]/Table21[[#This Row],[O - DEMAND]],0)</f>
        <v>0</v>
      </c>
      <c r="M662" s="26">
        <f>IFERROR(VLOOKUP(Table21[[#This Row],[ROUTE]],DEMAND!A:F,5,FALSE),0)</f>
        <v>0</v>
      </c>
      <c r="N662" s="26">
        <f>IFERROR(VLOOKUP(Table21[[#This Row],[ROUTE]],DEMAND!A:F,6,FALSE),0)</f>
        <v>0</v>
      </c>
      <c r="O662" s="26">
        <f>ROUNDDOWN(Table21[[#This Row],[R-DEMAND]]/1320,0)</f>
        <v>0</v>
      </c>
      <c r="P662" s="26">
        <f>Table21[[#This Row],[ADD ACC]]*Table21[[#This Row],[Duration
(747-400)]]</f>
        <v>0</v>
      </c>
      <c r="Q662" s="284">
        <f>IFERROR(VLOOKUP(Table21[[#This Row],[ROUTE]],PRICING!A:B,2,FALSE),0)</f>
        <v>0</v>
      </c>
      <c r="R662" s="282">
        <f>Table21[[#This Row],[C_DEMAND]]-Table21[[#This Row],[R-DEMAND]]</f>
        <v>0</v>
      </c>
      <c r="S662" s="287">
        <f>Table21[[#This Row],[SEATS SOLD]]*Table21[[#This Row],[ECO SEAT]]</f>
        <v>0</v>
      </c>
    </row>
    <row r="663" spans="1:19" x14ac:dyDescent="0.25">
      <c r="A663" s="16" t="s">
        <v>16140</v>
      </c>
      <c r="B663" s="16" t="s">
        <v>3284</v>
      </c>
      <c r="D663" s="16">
        <v>2</v>
      </c>
      <c r="E663" s="16" t="s">
        <v>11732</v>
      </c>
      <c r="F663" s="16" t="s">
        <v>15969</v>
      </c>
      <c r="G663" s="179" t="s">
        <v>13307</v>
      </c>
      <c r="H663" s="254">
        <v>10510</v>
      </c>
      <c r="I663" s="180">
        <v>25.5</v>
      </c>
      <c r="K663" s="102">
        <f>IFERROR(Table21[[#This Row],[ROUTE COST]]/Table21[[#This Row],[O - DEMAND]],0)</f>
        <v>0</v>
      </c>
      <c r="M663" s="26">
        <f>IFERROR(VLOOKUP(Table21[[#This Row],[ROUTE]],DEMAND!A:F,5,FALSE),0)</f>
        <v>0</v>
      </c>
      <c r="N663" s="26">
        <f>IFERROR(VLOOKUP(Table21[[#This Row],[ROUTE]],DEMAND!A:F,6,FALSE),0)</f>
        <v>0</v>
      </c>
      <c r="O663" s="26">
        <f>ROUNDDOWN(Table21[[#This Row],[R-DEMAND]]/1320,0)</f>
        <v>0</v>
      </c>
      <c r="P663" s="26">
        <f>Table21[[#This Row],[ADD ACC]]*Table21[[#This Row],[Duration
(747-400)]]</f>
        <v>0</v>
      </c>
      <c r="Q663" s="284">
        <f>IFERROR(VLOOKUP(Table21[[#This Row],[ROUTE]],PRICING!A:B,2,FALSE),0)</f>
        <v>0</v>
      </c>
      <c r="R663" s="282">
        <f>Table21[[#This Row],[C_DEMAND]]-Table21[[#This Row],[R-DEMAND]]</f>
        <v>0</v>
      </c>
      <c r="S663" s="287">
        <f>Table21[[#This Row],[SEATS SOLD]]*Table21[[#This Row],[ECO SEAT]]</f>
        <v>0</v>
      </c>
    </row>
    <row r="664" spans="1:19" x14ac:dyDescent="0.25">
      <c r="A664" s="16" t="s">
        <v>16501</v>
      </c>
      <c r="B664" s="16" t="s">
        <v>4013</v>
      </c>
      <c r="D664" s="16">
        <v>2</v>
      </c>
      <c r="E664" s="16" t="s">
        <v>700</v>
      </c>
      <c r="F664" s="16" t="s">
        <v>12670</v>
      </c>
      <c r="G664" s="179" t="s">
        <v>11885</v>
      </c>
      <c r="H664" s="254">
        <v>6526</v>
      </c>
      <c r="I664" s="180">
        <v>16.5</v>
      </c>
      <c r="K664" s="102">
        <f>IFERROR(Table21[[#This Row],[ROUTE COST]]/Table21[[#This Row],[O - DEMAND]],0)</f>
        <v>0</v>
      </c>
      <c r="M664" s="26">
        <f>IFERROR(VLOOKUP(Table21[[#This Row],[ROUTE]],DEMAND!A:F,5,FALSE),0)</f>
        <v>0</v>
      </c>
      <c r="N664" s="26">
        <f>IFERROR(VLOOKUP(Table21[[#This Row],[ROUTE]],DEMAND!A:F,6,FALSE),0)</f>
        <v>0</v>
      </c>
      <c r="O664" s="26">
        <f>ROUNDDOWN(Table21[[#This Row],[R-DEMAND]]/1320,0)</f>
        <v>0</v>
      </c>
      <c r="P664" s="26">
        <f>Table21[[#This Row],[ADD ACC]]*Table21[[#This Row],[Duration
(747-400)]]</f>
        <v>0</v>
      </c>
      <c r="Q664" s="284">
        <f>IFERROR(VLOOKUP(Table21[[#This Row],[ROUTE]],PRICING!A:B,2,FALSE),0)</f>
        <v>0</v>
      </c>
      <c r="R664" s="282">
        <f>Table21[[#This Row],[C_DEMAND]]-Table21[[#This Row],[R-DEMAND]]</f>
        <v>0</v>
      </c>
      <c r="S664" s="287">
        <f>Table21[[#This Row],[SEATS SOLD]]*Table21[[#This Row],[ECO SEAT]]</f>
        <v>0</v>
      </c>
    </row>
    <row r="665" spans="1:19" x14ac:dyDescent="0.25">
      <c r="A665" s="16" t="s">
        <v>16442</v>
      </c>
      <c r="B665" s="16" t="s">
        <v>4851</v>
      </c>
      <c r="D665" s="16">
        <v>3</v>
      </c>
      <c r="E665" s="16" t="s">
        <v>585</v>
      </c>
      <c r="F665" s="16" t="s">
        <v>12674</v>
      </c>
      <c r="G665" s="179" t="s">
        <v>11786</v>
      </c>
      <c r="H665" s="254">
        <v>7164</v>
      </c>
      <c r="I665" s="180">
        <v>18</v>
      </c>
      <c r="K665" s="102">
        <f>IFERROR(Table21[[#This Row],[ROUTE COST]]/Table21[[#This Row],[O - DEMAND]],0)</f>
        <v>0</v>
      </c>
      <c r="M665" s="26">
        <f>IFERROR(VLOOKUP(Table21[[#This Row],[ROUTE]],DEMAND!A:F,5,FALSE),0)</f>
        <v>0</v>
      </c>
      <c r="N665" s="26">
        <f>IFERROR(VLOOKUP(Table21[[#This Row],[ROUTE]],DEMAND!A:F,6,FALSE),0)</f>
        <v>0</v>
      </c>
      <c r="O665" s="26">
        <f>ROUNDDOWN(Table21[[#This Row],[R-DEMAND]]/1320,0)</f>
        <v>0</v>
      </c>
      <c r="P665" s="26">
        <f>Table21[[#This Row],[ADD ACC]]*Table21[[#This Row],[Duration
(747-400)]]</f>
        <v>0</v>
      </c>
      <c r="Q665" s="284">
        <f>IFERROR(VLOOKUP(Table21[[#This Row],[ROUTE]],PRICING!A:B,2,FALSE),0)</f>
        <v>0</v>
      </c>
      <c r="R665" s="282">
        <f>Table21[[#This Row],[C_DEMAND]]-Table21[[#This Row],[R-DEMAND]]</f>
        <v>0</v>
      </c>
      <c r="S665" s="287">
        <f>Table21[[#This Row],[SEATS SOLD]]*Table21[[#This Row],[ECO SEAT]]</f>
        <v>0</v>
      </c>
    </row>
    <row r="666" spans="1:19" x14ac:dyDescent="0.25">
      <c r="A666" s="16" t="s">
        <v>16131</v>
      </c>
      <c r="B666" s="16" t="s">
        <v>5411</v>
      </c>
      <c r="D666" s="16">
        <v>4</v>
      </c>
      <c r="E666" s="16" t="s">
        <v>11732</v>
      </c>
      <c r="F666" s="16" t="s">
        <v>15969</v>
      </c>
      <c r="G666" s="179" t="s">
        <v>13292</v>
      </c>
      <c r="H666" s="254">
        <v>10565</v>
      </c>
      <c r="I666" s="180">
        <v>25.5</v>
      </c>
      <c r="K666" s="102">
        <f>IFERROR(Table21[[#This Row],[ROUTE COST]]/Table21[[#This Row],[O - DEMAND]],0)</f>
        <v>0</v>
      </c>
      <c r="M666" s="26">
        <f>IFERROR(VLOOKUP(Table21[[#This Row],[ROUTE]],DEMAND!A:F,5,FALSE),0)</f>
        <v>0</v>
      </c>
      <c r="N666" s="26">
        <f>IFERROR(VLOOKUP(Table21[[#This Row],[ROUTE]],DEMAND!A:F,6,FALSE),0)</f>
        <v>0</v>
      </c>
      <c r="O666" s="26">
        <f>ROUNDDOWN(Table21[[#This Row],[R-DEMAND]]/1320,0)</f>
        <v>0</v>
      </c>
      <c r="P666" s="26">
        <f>Table21[[#This Row],[ADD ACC]]*Table21[[#This Row],[Duration
(747-400)]]</f>
        <v>0</v>
      </c>
      <c r="Q666" s="284">
        <f>IFERROR(VLOOKUP(Table21[[#This Row],[ROUTE]],PRICING!A:B,2,FALSE),0)</f>
        <v>0</v>
      </c>
      <c r="R666" s="282">
        <f>Table21[[#This Row],[C_DEMAND]]-Table21[[#This Row],[R-DEMAND]]</f>
        <v>0</v>
      </c>
      <c r="S666" s="287">
        <f>Table21[[#This Row],[SEATS SOLD]]*Table21[[#This Row],[ECO SEAT]]</f>
        <v>0</v>
      </c>
    </row>
    <row r="667" spans="1:19" x14ac:dyDescent="0.25">
      <c r="A667" s="16" t="s">
        <v>16335</v>
      </c>
      <c r="B667" s="16" t="s">
        <v>1199</v>
      </c>
      <c r="D667" s="16">
        <v>1</v>
      </c>
      <c r="E667" s="16" t="s">
        <v>83</v>
      </c>
      <c r="F667" s="16" t="s">
        <v>12674</v>
      </c>
      <c r="G667" s="179" t="s">
        <v>11720</v>
      </c>
      <c r="H667" s="254">
        <v>8075</v>
      </c>
      <c r="I667" s="180">
        <v>20</v>
      </c>
      <c r="K667" s="102">
        <f>IFERROR(Table21[[#This Row],[ROUTE COST]]/Table21[[#This Row],[O - DEMAND]],0)</f>
        <v>0</v>
      </c>
      <c r="M667" s="26">
        <f>IFERROR(VLOOKUP(Table21[[#This Row],[ROUTE]],DEMAND!A:F,5,FALSE),0)</f>
        <v>0</v>
      </c>
      <c r="N667" s="26">
        <f>IFERROR(VLOOKUP(Table21[[#This Row],[ROUTE]],DEMAND!A:F,6,FALSE),0)</f>
        <v>0</v>
      </c>
      <c r="O667" s="26">
        <f>ROUNDDOWN(Table21[[#This Row],[R-DEMAND]]/1320,0)</f>
        <v>0</v>
      </c>
      <c r="P667" s="26">
        <f>Table21[[#This Row],[ADD ACC]]*Table21[[#This Row],[Duration
(747-400)]]</f>
        <v>0</v>
      </c>
      <c r="Q667" s="284">
        <f>IFERROR(VLOOKUP(Table21[[#This Row],[ROUTE]],PRICING!A:B,2,FALSE),0)</f>
        <v>0</v>
      </c>
      <c r="R667" s="282">
        <f>Table21[[#This Row],[C_DEMAND]]-Table21[[#This Row],[R-DEMAND]]</f>
        <v>0</v>
      </c>
      <c r="S667" s="287">
        <f>Table21[[#This Row],[SEATS SOLD]]*Table21[[#This Row],[ECO SEAT]]</f>
        <v>0</v>
      </c>
    </row>
    <row r="668" spans="1:19" x14ac:dyDescent="0.25">
      <c r="A668" s="16" t="s">
        <v>16138</v>
      </c>
      <c r="B668" s="16" t="s">
        <v>4917</v>
      </c>
      <c r="D668" s="16">
        <v>3</v>
      </c>
      <c r="E668" s="16" t="s">
        <v>11732</v>
      </c>
      <c r="F668" s="16" t="s">
        <v>15969</v>
      </c>
      <c r="G668" s="179" t="s">
        <v>13313</v>
      </c>
      <c r="H668" s="254">
        <v>10529</v>
      </c>
      <c r="I668" s="180">
        <v>25.5</v>
      </c>
      <c r="K668" s="102">
        <f>IFERROR(Table21[[#This Row],[ROUTE COST]]/Table21[[#This Row],[O - DEMAND]],0)</f>
        <v>0</v>
      </c>
      <c r="M668" s="26">
        <f>IFERROR(VLOOKUP(Table21[[#This Row],[ROUTE]],DEMAND!A:F,5,FALSE),0)</f>
        <v>0</v>
      </c>
      <c r="N668" s="26">
        <f>IFERROR(VLOOKUP(Table21[[#This Row],[ROUTE]],DEMAND!A:F,6,FALSE),0)</f>
        <v>0</v>
      </c>
      <c r="O668" s="26">
        <f>ROUNDDOWN(Table21[[#This Row],[R-DEMAND]]/1320,0)</f>
        <v>0</v>
      </c>
      <c r="P668" s="26">
        <f>Table21[[#This Row],[ADD ACC]]*Table21[[#This Row],[Duration
(747-400)]]</f>
        <v>0</v>
      </c>
      <c r="Q668" s="284">
        <f>IFERROR(VLOOKUP(Table21[[#This Row],[ROUTE]],PRICING!A:B,2,FALSE),0)</f>
        <v>0</v>
      </c>
      <c r="R668" s="282">
        <f>Table21[[#This Row],[C_DEMAND]]-Table21[[#This Row],[R-DEMAND]]</f>
        <v>0</v>
      </c>
      <c r="S668" s="287">
        <f>Table21[[#This Row],[SEATS SOLD]]*Table21[[#This Row],[ECO SEAT]]</f>
        <v>0</v>
      </c>
    </row>
    <row r="669" spans="1:19" x14ac:dyDescent="0.25">
      <c r="A669" s="16" t="s">
        <v>16526</v>
      </c>
      <c r="B669" s="16" t="s">
        <v>2846</v>
      </c>
      <c r="D669" s="16">
        <v>2</v>
      </c>
      <c r="E669" s="16" t="s">
        <v>700</v>
      </c>
      <c r="F669" s="16" t="s">
        <v>12670</v>
      </c>
      <c r="G669" s="179" t="s">
        <v>8406</v>
      </c>
      <c r="H669" s="254">
        <v>6236</v>
      </c>
      <c r="I669" s="180">
        <v>16</v>
      </c>
      <c r="K669" s="102">
        <f>IFERROR(Table21[[#This Row],[ROUTE COST]]/Table21[[#This Row],[O - DEMAND]],0)</f>
        <v>0</v>
      </c>
      <c r="M669" s="26">
        <f>IFERROR(VLOOKUP(Table21[[#This Row],[ROUTE]],DEMAND!A:F,5,FALSE),0)</f>
        <v>0</v>
      </c>
      <c r="N669" s="26">
        <f>IFERROR(VLOOKUP(Table21[[#This Row],[ROUTE]],DEMAND!A:F,6,FALSE),0)</f>
        <v>0</v>
      </c>
      <c r="O669" s="26">
        <f>ROUNDDOWN(Table21[[#This Row],[R-DEMAND]]/1320,0)</f>
        <v>0</v>
      </c>
      <c r="P669" s="26">
        <f>Table21[[#This Row],[ADD ACC]]*Table21[[#This Row],[Duration
(747-400)]]</f>
        <v>0</v>
      </c>
      <c r="Q669" s="284">
        <f>IFERROR(VLOOKUP(Table21[[#This Row],[ROUTE]],PRICING!A:B,2,FALSE),0)</f>
        <v>0</v>
      </c>
      <c r="R669" s="282">
        <f>Table21[[#This Row],[C_DEMAND]]-Table21[[#This Row],[R-DEMAND]]</f>
        <v>0</v>
      </c>
      <c r="S669" s="287">
        <f>Table21[[#This Row],[SEATS SOLD]]*Table21[[#This Row],[ECO SEAT]]</f>
        <v>0</v>
      </c>
    </row>
    <row r="670" spans="1:19" x14ac:dyDescent="0.25">
      <c r="A670" s="16" t="s">
        <v>16142</v>
      </c>
      <c r="B670" s="16" t="s">
        <v>4178</v>
      </c>
      <c r="D670" s="16">
        <v>2</v>
      </c>
      <c r="E670" s="16" t="s">
        <v>11732</v>
      </c>
      <c r="F670" s="16" t="s">
        <v>15969</v>
      </c>
      <c r="G670" s="179" t="s">
        <v>13285</v>
      </c>
      <c r="H670" s="254">
        <v>10471</v>
      </c>
      <c r="I670" s="180">
        <v>25.25</v>
      </c>
      <c r="K670" s="102">
        <f>IFERROR(Table21[[#This Row],[ROUTE COST]]/Table21[[#This Row],[O - DEMAND]],0)</f>
        <v>0</v>
      </c>
      <c r="M670" s="26">
        <f>IFERROR(VLOOKUP(Table21[[#This Row],[ROUTE]],DEMAND!A:F,5,FALSE),0)</f>
        <v>0</v>
      </c>
      <c r="N670" s="26">
        <f>IFERROR(VLOOKUP(Table21[[#This Row],[ROUTE]],DEMAND!A:F,6,FALSE),0)</f>
        <v>0</v>
      </c>
      <c r="O670" s="26">
        <f>ROUNDDOWN(Table21[[#This Row],[R-DEMAND]]/1320,0)</f>
        <v>0</v>
      </c>
      <c r="P670" s="26">
        <f>Table21[[#This Row],[ADD ACC]]*Table21[[#This Row],[Duration
(747-400)]]</f>
        <v>0</v>
      </c>
      <c r="Q670" s="284">
        <f>IFERROR(VLOOKUP(Table21[[#This Row],[ROUTE]],PRICING!A:B,2,FALSE),0)</f>
        <v>0</v>
      </c>
      <c r="R670" s="282">
        <f>Table21[[#This Row],[C_DEMAND]]-Table21[[#This Row],[R-DEMAND]]</f>
        <v>0</v>
      </c>
      <c r="S670" s="287">
        <f>Table21[[#This Row],[SEATS SOLD]]*Table21[[#This Row],[ECO SEAT]]</f>
        <v>0</v>
      </c>
    </row>
    <row r="671" spans="1:19" x14ac:dyDescent="0.25">
      <c r="A671" s="16" t="s">
        <v>16150</v>
      </c>
      <c r="B671" s="16" t="s">
        <v>3630</v>
      </c>
      <c r="D671" s="16">
        <v>2</v>
      </c>
      <c r="E671" s="16" t="s">
        <v>11732</v>
      </c>
      <c r="F671" s="16" t="s">
        <v>15969</v>
      </c>
      <c r="G671" s="179" t="s">
        <v>8820</v>
      </c>
      <c r="H671" s="254">
        <v>10407</v>
      </c>
      <c r="I671" s="180">
        <v>25.25</v>
      </c>
      <c r="K671" s="102">
        <f>IFERROR(Table21[[#This Row],[ROUTE COST]]/Table21[[#This Row],[O - DEMAND]],0)</f>
        <v>0</v>
      </c>
      <c r="M671" s="26">
        <f>IFERROR(VLOOKUP(Table21[[#This Row],[ROUTE]],DEMAND!A:F,5,FALSE),0)</f>
        <v>0</v>
      </c>
      <c r="N671" s="26">
        <f>IFERROR(VLOOKUP(Table21[[#This Row],[ROUTE]],DEMAND!A:F,6,FALSE),0)</f>
        <v>0</v>
      </c>
      <c r="O671" s="26">
        <f>ROUNDDOWN(Table21[[#This Row],[R-DEMAND]]/1320,0)</f>
        <v>0</v>
      </c>
      <c r="P671" s="26">
        <f>Table21[[#This Row],[ADD ACC]]*Table21[[#This Row],[Duration
(747-400)]]</f>
        <v>0</v>
      </c>
      <c r="Q671" s="284">
        <f>IFERROR(VLOOKUP(Table21[[#This Row],[ROUTE]],PRICING!A:B,2,FALSE),0)</f>
        <v>0</v>
      </c>
      <c r="R671" s="282">
        <f>Table21[[#This Row],[C_DEMAND]]-Table21[[#This Row],[R-DEMAND]]</f>
        <v>0</v>
      </c>
      <c r="S671" s="287">
        <f>Table21[[#This Row],[SEATS SOLD]]*Table21[[#This Row],[ECO SEAT]]</f>
        <v>0</v>
      </c>
    </row>
    <row r="672" spans="1:19" x14ac:dyDescent="0.25">
      <c r="A672" s="251" t="s">
        <v>16755</v>
      </c>
      <c r="B672" s="251" t="s">
        <v>2253</v>
      </c>
      <c r="D672" s="251">
        <v>1</v>
      </c>
      <c r="E672" s="251" t="s">
        <v>258</v>
      </c>
      <c r="F672" s="251" t="s">
        <v>12670</v>
      </c>
      <c r="G672" s="252" t="s">
        <v>12025</v>
      </c>
      <c r="H672" s="254">
        <v>1032</v>
      </c>
      <c r="I672" s="180">
        <v>4.5</v>
      </c>
      <c r="K672" s="253">
        <f>IFERROR(Table21[[#This Row],[ROUTE COST]]/Table21[[#This Row],[O - DEMAND]],0)</f>
        <v>0</v>
      </c>
      <c r="M672" s="26">
        <f>IFERROR(VLOOKUP(Table21[[#This Row],[ROUTE]],DEMAND!A:F,5,FALSE),0)</f>
        <v>0</v>
      </c>
      <c r="N672" s="26">
        <f>IFERROR(VLOOKUP(Table21[[#This Row],[ROUTE]],DEMAND!A:F,6,FALSE),0)</f>
        <v>0</v>
      </c>
      <c r="O672" s="26">
        <f>ROUNDDOWN(Table21[[#This Row],[R-DEMAND]]/1320,0)</f>
        <v>0</v>
      </c>
      <c r="P672" s="26">
        <f>Table21[[#This Row],[ADD ACC]]*Table21[[#This Row],[Duration
(747-400)]]</f>
        <v>0</v>
      </c>
      <c r="Q672" s="284">
        <f>IFERROR(VLOOKUP(Table21[[#This Row],[ROUTE]],PRICING!A:B,2,FALSE),0)</f>
        <v>0</v>
      </c>
      <c r="R672" s="282">
        <f>Table21[[#This Row],[C_DEMAND]]-Table21[[#This Row],[R-DEMAND]]</f>
        <v>0</v>
      </c>
      <c r="S672" s="287">
        <f>Table21[[#This Row],[SEATS SOLD]]*Table21[[#This Row],[ECO SEAT]]</f>
        <v>0</v>
      </c>
    </row>
    <row r="673" spans="1:19" x14ac:dyDescent="0.25">
      <c r="A673" s="16" t="s">
        <v>16143</v>
      </c>
      <c r="B673" s="16" t="s">
        <v>5505</v>
      </c>
      <c r="D673" s="16">
        <v>4</v>
      </c>
      <c r="E673" s="16" t="s">
        <v>11732</v>
      </c>
      <c r="F673" s="16" t="s">
        <v>15969</v>
      </c>
      <c r="G673" s="179" t="s">
        <v>13306</v>
      </c>
      <c r="H673" s="254">
        <v>10463</v>
      </c>
      <c r="I673" s="180">
        <v>25.25</v>
      </c>
      <c r="K673" s="102">
        <f>IFERROR(Table21[[#This Row],[ROUTE COST]]/Table21[[#This Row],[O - DEMAND]],0)</f>
        <v>0</v>
      </c>
      <c r="M673" s="26">
        <f>IFERROR(VLOOKUP(Table21[[#This Row],[ROUTE]],DEMAND!A:F,5,FALSE),0)</f>
        <v>0</v>
      </c>
      <c r="N673" s="26">
        <f>IFERROR(VLOOKUP(Table21[[#This Row],[ROUTE]],DEMAND!A:F,6,FALSE),0)</f>
        <v>0</v>
      </c>
      <c r="O673" s="26">
        <f>ROUNDDOWN(Table21[[#This Row],[R-DEMAND]]/1320,0)</f>
        <v>0</v>
      </c>
      <c r="P673" s="26">
        <f>Table21[[#This Row],[ADD ACC]]*Table21[[#This Row],[Duration
(747-400)]]</f>
        <v>0</v>
      </c>
      <c r="Q673" s="284">
        <f>IFERROR(VLOOKUP(Table21[[#This Row],[ROUTE]],PRICING!A:B,2,FALSE),0)</f>
        <v>0</v>
      </c>
      <c r="R673" s="282">
        <f>Table21[[#This Row],[C_DEMAND]]-Table21[[#This Row],[R-DEMAND]]</f>
        <v>0</v>
      </c>
      <c r="S673" s="287">
        <f>Table21[[#This Row],[SEATS SOLD]]*Table21[[#This Row],[ECO SEAT]]</f>
        <v>0</v>
      </c>
    </row>
    <row r="674" spans="1:19" x14ac:dyDescent="0.25">
      <c r="A674" s="16" t="s">
        <v>16497</v>
      </c>
      <c r="B674" s="16" t="s">
        <v>1916</v>
      </c>
      <c r="D674" s="16">
        <v>1</v>
      </c>
      <c r="E674" s="16" t="s">
        <v>700</v>
      </c>
      <c r="F674" s="16" t="s">
        <v>12670</v>
      </c>
      <c r="G674" s="179" t="s">
        <v>11865</v>
      </c>
      <c r="H674" s="254">
        <v>6593</v>
      </c>
      <c r="I674" s="180">
        <v>16.75</v>
      </c>
      <c r="K674" s="102">
        <f>IFERROR(Table21[[#This Row],[ROUTE COST]]/Table21[[#This Row],[O - DEMAND]],0)</f>
        <v>0</v>
      </c>
      <c r="M674" s="26">
        <f>IFERROR(VLOOKUP(Table21[[#This Row],[ROUTE]],DEMAND!A:F,5,FALSE),0)</f>
        <v>0</v>
      </c>
      <c r="N674" s="26">
        <f>IFERROR(VLOOKUP(Table21[[#This Row],[ROUTE]],DEMAND!A:F,6,FALSE),0)</f>
        <v>0</v>
      </c>
      <c r="O674" s="26">
        <f>ROUNDDOWN(Table21[[#This Row],[R-DEMAND]]/1320,0)</f>
        <v>0</v>
      </c>
      <c r="P674" s="26">
        <f>Table21[[#This Row],[ADD ACC]]*Table21[[#This Row],[Duration
(747-400)]]</f>
        <v>0</v>
      </c>
      <c r="Q674" s="284">
        <f>IFERROR(VLOOKUP(Table21[[#This Row],[ROUTE]],PRICING!A:B,2,FALSE),0)</f>
        <v>0</v>
      </c>
      <c r="R674" s="282">
        <f>Table21[[#This Row],[C_DEMAND]]-Table21[[#This Row],[R-DEMAND]]</f>
        <v>0</v>
      </c>
      <c r="S674" s="287">
        <f>Table21[[#This Row],[SEATS SOLD]]*Table21[[#This Row],[ECO SEAT]]</f>
        <v>0</v>
      </c>
    </row>
    <row r="675" spans="1:19" x14ac:dyDescent="0.25">
      <c r="A675" s="16" t="s">
        <v>16610</v>
      </c>
      <c r="B675" s="16" t="s">
        <v>3072</v>
      </c>
      <c r="D675" s="16">
        <v>2</v>
      </c>
      <c r="E675" s="16" t="s">
        <v>567</v>
      </c>
      <c r="F675" s="16" t="s">
        <v>12670</v>
      </c>
      <c r="G675" s="179" t="s">
        <v>11989</v>
      </c>
      <c r="H675" s="254">
        <v>4265</v>
      </c>
      <c r="I675" s="180">
        <v>11.5</v>
      </c>
      <c r="K675" s="102">
        <f>IFERROR(Table21[[#This Row],[ROUTE COST]]/Table21[[#This Row],[O - DEMAND]],0)</f>
        <v>0</v>
      </c>
      <c r="M675" s="26">
        <f>IFERROR(VLOOKUP(Table21[[#This Row],[ROUTE]],DEMAND!A:F,5,FALSE),0)</f>
        <v>0</v>
      </c>
      <c r="N675" s="26">
        <f>IFERROR(VLOOKUP(Table21[[#This Row],[ROUTE]],DEMAND!A:F,6,FALSE),0)</f>
        <v>0</v>
      </c>
      <c r="O675" s="26">
        <f>ROUNDDOWN(Table21[[#This Row],[R-DEMAND]]/1320,0)</f>
        <v>0</v>
      </c>
      <c r="P675" s="26">
        <f>Table21[[#This Row],[ADD ACC]]*Table21[[#This Row],[Duration
(747-400)]]</f>
        <v>0</v>
      </c>
      <c r="Q675" s="284">
        <f>IFERROR(VLOOKUP(Table21[[#This Row],[ROUTE]],PRICING!A:B,2,FALSE),0)</f>
        <v>0</v>
      </c>
      <c r="R675" s="282">
        <f>Table21[[#This Row],[C_DEMAND]]-Table21[[#This Row],[R-DEMAND]]</f>
        <v>0</v>
      </c>
      <c r="S675" s="287">
        <f>Table21[[#This Row],[SEATS SOLD]]*Table21[[#This Row],[ECO SEAT]]</f>
        <v>0</v>
      </c>
    </row>
    <row r="676" spans="1:19" x14ac:dyDescent="0.25">
      <c r="A676" s="16" t="s">
        <v>16545</v>
      </c>
      <c r="B676" s="16" t="s">
        <v>1379</v>
      </c>
      <c r="D676" s="16">
        <v>1</v>
      </c>
      <c r="E676" s="16" t="s">
        <v>1377</v>
      </c>
      <c r="F676" s="16" t="s">
        <v>12674</v>
      </c>
      <c r="G676" s="179" t="s">
        <v>11915</v>
      </c>
      <c r="H676" s="254">
        <v>5919</v>
      </c>
      <c r="I676" s="180">
        <v>15.25</v>
      </c>
      <c r="K676" s="102">
        <f>IFERROR(Table21[[#This Row],[ROUTE COST]]/Table21[[#This Row],[O - DEMAND]],0)</f>
        <v>0</v>
      </c>
      <c r="M676" s="26">
        <f>IFERROR(VLOOKUP(Table21[[#This Row],[ROUTE]],DEMAND!A:F,5,FALSE),0)</f>
        <v>0</v>
      </c>
      <c r="N676" s="26">
        <f>IFERROR(VLOOKUP(Table21[[#This Row],[ROUTE]],DEMAND!A:F,6,FALSE),0)</f>
        <v>0</v>
      </c>
      <c r="O676" s="26">
        <f>ROUNDDOWN(Table21[[#This Row],[R-DEMAND]]/1320,0)</f>
        <v>0</v>
      </c>
      <c r="P676" s="26">
        <f>Table21[[#This Row],[ADD ACC]]*Table21[[#This Row],[Duration
(747-400)]]</f>
        <v>0</v>
      </c>
      <c r="Q676" s="284">
        <f>IFERROR(VLOOKUP(Table21[[#This Row],[ROUTE]],PRICING!A:B,2,FALSE),0)</f>
        <v>0</v>
      </c>
      <c r="R676" s="282">
        <f>Table21[[#This Row],[C_DEMAND]]-Table21[[#This Row],[R-DEMAND]]</f>
        <v>0</v>
      </c>
      <c r="S676" s="287">
        <f>Table21[[#This Row],[SEATS SOLD]]*Table21[[#This Row],[ECO SEAT]]</f>
        <v>0</v>
      </c>
    </row>
    <row r="677" spans="1:19" x14ac:dyDescent="0.25">
      <c r="A677" s="16" t="s">
        <v>16484</v>
      </c>
      <c r="B677" s="16" t="s">
        <v>2890</v>
      </c>
      <c r="D677" s="16">
        <v>2</v>
      </c>
      <c r="E677" s="16" t="s">
        <v>700</v>
      </c>
      <c r="F677" s="16" t="s">
        <v>12670</v>
      </c>
      <c r="G677" s="179" t="s">
        <v>11863</v>
      </c>
      <c r="H677" s="254">
        <v>6779</v>
      </c>
      <c r="I677" s="180">
        <v>17.25</v>
      </c>
      <c r="K677" s="102">
        <f>IFERROR(Table21[[#This Row],[ROUTE COST]]/Table21[[#This Row],[O - DEMAND]],0)</f>
        <v>0</v>
      </c>
      <c r="M677" s="26">
        <f>IFERROR(VLOOKUP(Table21[[#This Row],[ROUTE]],DEMAND!A:F,5,FALSE),0)</f>
        <v>0</v>
      </c>
      <c r="N677" s="26">
        <f>IFERROR(VLOOKUP(Table21[[#This Row],[ROUTE]],DEMAND!A:F,6,FALSE),0)</f>
        <v>0</v>
      </c>
      <c r="O677" s="26">
        <f>ROUNDDOWN(Table21[[#This Row],[R-DEMAND]]/1320,0)</f>
        <v>0</v>
      </c>
      <c r="P677" s="26">
        <f>Table21[[#This Row],[ADD ACC]]*Table21[[#This Row],[Duration
(747-400)]]</f>
        <v>0</v>
      </c>
      <c r="Q677" s="284">
        <f>IFERROR(VLOOKUP(Table21[[#This Row],[ROUTE]],PRICING!A:B,2,FALSE),0)</f>
        <v>0</v>
      </c>
      <c r="R677" s="282">
        <f>Table21[[#This Row],[C_DEMAND]]-Table21[[#This Row],[R-DEMAND]]</f>
        <v>0</v>
      </c>
      <c r="S677" s="287">
        <f>Table21[[#This Row],[SEATS SOLD]]*Table21[[#This Row],[ECO SEAT]]</f>
        <v>0</v>
      </c>
    </row>
    <row r="678" spans="1:19" x14ac:dyDescent="0.25">
      <c r="A678" s="251" t="s">
        <v>16757</v>
      </c>
      <c r="B678" s="251" t="s">
        <v>5272</v>
      </c>
      <c r="D678" s="251">
        <v>3</v>
      </c>
      <c r="E678" s="251" t="s">
        <v>14</v>
      </c>
      <c r="F678" s="251" t="s">
        <v>12670</v>
      </c>
      <c r="G678" s="252" t="s">
        <v>12053</v>
      </c>
      <c r="H678" s="254">
        <v>1223</v>
      </c>
      <c r="I678" s="180">
        <v>4.75</v>
      </c>
      <c r="K678" s="253">
        <f>IFERROR(Table21[[#This Row],[ROUTE COST]]/Table21[[#This Row],[O - DEMAND]],0)</f>
        <v>0</v>
      </c>
      <c r="M678" s="26">
        <f>IFERROR(VLOOKUP(Table21[[#This Row],[ROUTE]],DEMAND!A:F,5,FALSE),0)</f>
        <v>0</v>
      </c>
      <c r="N678" s="26">
        <f>IFERROR(VLOOKUP(Table21[[#This Row],[ROUTE]],DEMAND!A:F,6,FALSE),0)</f>
        <v>0</v>
      </c>
      <c r="O678" s="26">
        <f>ROUNDDOWN(Table21[[#This Row],[R-DEMAND]]/1320,0)</f>
        <v>0</v>
      </c>
      <c r="P678" s="26">
        <f>Table21[[#This Row],[ADD ACC]]*Table21[[#This Row],[Duration
(747-400)]]</f>
        <v>0</v>
      </c>
      <c r="Q678" s="284">
        <f>IFERROR(VLOOKUP(Table21[[#This Row],[ROUTE]],PRICING!A:B,2,FALSE),0)</f>
        <v>0</v>
      </c>
      <c r="R678" s="282">
        <f>Table21[[#This Row],[C_DEMAND]]-Table21[[#This Row],[R-DEMAND]]</f>
        <v>0</v>
      </c>
      <c r="S678" s="287">
        <f>Table21[[#This Row],[SEATS SOLD]]*Table21[[#This Row],[ECO SEAT]]</f>
        <v>0</v>
      </c>
    </row>
    <row r="679" spans="1:19" x14ac:dyDescent="0.25">
      <c r="A679" s="251" t="s">
        <v>16772</v>
      </c>
      <c r="B679" s="251" t="s">
        <v>5108</v>
      </c>
      <c r="D679" s="251">
        <v>3</v>
      </c>
      <c r="E679" s="251" t="s">
        <v>142</v>
      </c>
      <c r="F679" s="251" t="s">
        <v>12670</v>
      </c>
      <c r="G679" s="252" t="s">
        <v>5107</v>
      </c>
      <c r="H679" s="254">
        <v>1431</v>
      </c>
      <c r="I679" s="180">
        <v>5.25</v>
      </c>
      <c r="K679" s="253">
        <f>IFERROR(Table21[[#This Row],[ROUTE COST]]/Table21[[#This Row],[O - DEMAND]],0)</f>
        <v>0</v>
      </c>
      <c r="M679" s="26">
        <f>IFERROR(VLOOKUP(Table21[[#This Row],[ROUTE]],DEMAND!A:F,5,FALSE),0)</f>
        <v>0</v>
      </c>
      <c r="N679" s="26">
        <f>IFERROR(VLOOKUP(Table21[[#This Row],[ROUTE]],DEMAND!A:F,6,FALSE),0)</f>
        <v>0</v>
      </c>
      <c r="O679" s="26">
        <f>ROUNDDOWN(Table21[[#This Row],[R-DEMAND]]/1320,0)</f>
        <v>0</v>
      </c>
      <c r="P679" s="26">
        <f>Table21[[#This Row],[ADD ACC]]*Table21[[#This Row],[Duration
(747-400)]]</f>
        <v>0</v>
      </c>
      <c r="Q679" s="284">
        <f>IFERROR(VLOOKUP(Table21[[#This Row],[ROUTE]],PRICING!A:B,2,FALSE),0)</f>
        <v>0</v>
      </c>
      <c r="R679" s="282">
        <f>Table21[[#This Row],[C_DEMAND]]-Table21[[#This Row],[R-DEMAND]]</f>
        <v>0</v>
      </c>
      <c r="S679" s="287">
        <f>Table21[[#This Row],[SEATS SOLD]]*Table21[[#This Row],[ECO SEAT]]</f>
        <v>0</v>
      </c>
    </row>
    <row r="680" spans="1:19" x14ac:dyDescent="0.25">
      <c r="A680" s="16" t="s">
        <v>16645</v>
      </c>
      <c r="B680" s="16" t="s">
        <v>3755</v>
      </c>
      <c r="D680" s="16">
        <v>2</v>
      </c>
      <c r="E680" s="16" t="s">
        <v>78</v>
      </c>
      <c r="F680" s="16" t="s">
        <v>12674</v>
      </c>
      <c r="G680" s="179" t="s">
        <v>8243</v>
      </c>
      <c r="H680" s="254">
        <v>3571</v>
      </c>
      <c r="I680" s="180">
        <v>10</v>
      </c>
      <c r="K680" s="102">
        <f>IFERROR(Table21[[#This Row],[ROUTE COST]]/Table21[[#This Row],[O - DEMAND]],0)</f>
        <v>0</v>
      </c>
      <c r="M680" s="26">
        <f>IFERROR(VLOOKUP(Table21[[#This Row],[ROUTE]],DEMAND!A:F,5,FALSE),0)</f>
        <v>0</v>
      </c>
      <c r="N680" s="26">
        <f>IFERROR(VLOOKUP(Table21[[#This Row],[ROUTE]],DEMAND!A:F,6,FALSE),0)</f>
        <v>0</v>
      </c>
      <c r="O680" s="26">
        <f>ROUNDDOWN(Table21[[#This Row],[R-DEMAND]]/1320,0)</f>
        <v>0</v>
      </c>
      <c r="P680" s="26">
        <f>Table21[[#This Row],[ADD ACC]]*Table21[[#This Row],[Duration
(747-400)]]</f>
        <v>0</v>
      </c>
      <c r="Q680" s="284">
        <f>IFERROR(VLOOKUP(Table21[[#This Row],[ROUTE]],PRICING!A:B,2,FALSE),0)</f>
        <v>0</v>
      </c>
      <c r="R680" s="282">
        <f>Table21[[#This Row],[C_DEMAND]]-Table21[[#This Row],[R-DEMAND]]</f>
        <v>0</v>
      </c>
      <c r="S680" s="287">
        <f>Table21[[#This Row],[SEATS SOLD]]*Table21[[#This Row],[ECO SEAT]]</f>
        <v>0</v>
      </c>
    </row>
    <row r="681" spans="1:19" x14ac:dyDescent="0.25">
      <c r="A681" s="16" t="s">
        <v>16642</v>
      </c>
      <c r="B681" s="16" t="s">
        <v>3876</v>
      </c>
      <c r="D681" s="16">
        <v>2</v>
      </c>
      <c r="E681" s="16" t="s">
        <v>78</v>
      </c>
      <c r="F681" s="16" t="s">
        <v>12674</v>
      </c>
      <c r="G681" s="179" t="s">
        <v>11895</v>
      </c>
      <c r="H681" s="254">
        <v>3676</v>
      </c>
      <c r="I681" s="180">
        <v>10.25</v>
      </c>
      <c r="K681" s="102">
        <f>IFERROR(Table21[[#This Row],[ROUTE COST]]/Table21[[#This Row],[O - DEMAND]],0)</f>
        <v>0</v>
      </c>
      <c r="M681" s="26">
        <f>IFERROR(VLOOKUP(Table21[[#This Row],[ROUTE]],DEMAND!A:F,5,FALSE),0)</f>
        <v>0</v>
      </c>
      <c r="N681" s="26">
        <f>IFERROR(VLOOKUP(Table21[[#This Row],[ROUTE]],DEMAND!A:F,6,FALSE),0)</f>
        <v>0</v>
      </c>
      <c r="O681" s="26">
        <f>ROUNDDOWN(Table21[[#This Row],[R-DEMAND]]/1320,0)</f>
        <v>0</v>
      </c>
      <c r="P681" s="26">
        <f>Table21[[#This Row],[ADD ACC]]*Table21[[#This Row],[Duration
(747-400)]]</f>
        <v>0</v>
      </c>
      <c r="Q681" s="284">
        <f>IFERROR(VLOOKUP(Table21[[#This Row],[ROUTE]],PRICING!A:B,2,FALSE),0)</f>
        <v>0</v>
      </c>
      <c r="R681" s="282">
        <f>Table21[[#This Row],[C_DEMAND]]-Table21[[#This Row],[R-DEMAND]]</f>
        <v>0</v>
      </c>
      <c r="S681" s="287">
        <f>Table21[[#This Row],[SEATS SOLD]]*Table21[[#This Row],[ECO SEAT]]</f>
        <v>0</v>
      </c>
    </row>
    <row r="682" spans="1:19" x14ac:dyDescent="0.25">
      <c r="A682" s="16" t="s">
        <v>16294</v>
      </c>
      <c r="B682" s="16" t="s">
        <v>5202</v>
      </c>
      <c r="D682" s="16">
        <v>3</v>
      </c>
      <c r="E682" s="16" t="s">
        <v>560</v>
      </c>
      <c r="F682" s="16" t="s">
        <v>12674</v>
      </c>
      <c r="G682" s="179" t="s">
        <v>11707</v>
      </c>
      <c r="H682" s="254">
        <v>8555</v>
      </c>
      <c r="I682" s="180">
        <v>21</v>
      </c>
      <c r="K682" s="102">
        <f>IFERROR(Table21[[#This Row],[ROUTE COST]]/Table21[[#This Row],[O - DEMAND]],0)</f>
        <v>0</v>
      </c>
      <c r="M682" s="26">
        <f>IFERROR(VLOOKUP(Table21[[#This Row],[ROUTE]],DEMAND!A:F,5,FALSE),0)</f>
        <v>0</v>
      </c>
      <c r="N682" s="26">
        <f>IFERROR(VLOOKUP(Table21[[#This Row],[ROUTE]],DEMAND!A:F,6,FALSE),0)</f>
        <v>0</v>
      </c>
      <c r="O682" s="26">
        <f>ROUNDDOWN(Table21[[#This Row],[R-DEMAND]]/1320,0)</f>
        <v>0</v>
      </c>
      <c r="P682" s="26">
        <f>Table21[[#This Row],[ADD ACC]]*Table21[[#This Row],[Duration
(747-400)]]</f>
        <v>0</v>
      </c>
      <c r="Q682" s="284">
        <f>IFERROR(VLOOKUP(Table21[[#This Row],[ROUTE]],PRICING!A:B,2,FALSE),0)</f>
        <v>0</v>
      </c>
      <c r="R682" s="282">
        <f>Table21[[#This Row],[C_DEMAND]]-Table21[[#This Row],[R-DEMAND]]</f>
        <v>0</v>
      </c>
      <c r="S682" s="287">
        <f>Table21[[#This Row],[SEATS SOLD]]*Table21[[#This Row],[ECO SEAT]]</f>
        <v>0</v>
      </c>
    </row>
    <row r="683" spans="1:19" x14ac:dyDescent="0.25">
      <c r="A683" s="16" t="s">
        <v>16483</v>
      </c>
      <c r="B683" s="16" t="s">
        <v>5084</v>
      </c>
      <c r="D683" s="16">
        <v>3</v>
      </c>
      <c r="E683" s="16" t="s">
        <v>585</v>
      </c>
      <c r="F683" s="16" t="s">
        <v>12674</v>
      </c>
      <c r="G683" s="179" t="s">
        <v>11800</v>
      </c>
      <c r="H683" s="254">
        <v>6790</v>
      </c>
      <c r="I683" s="180">
        <v>17.25</v>
      </c>
      <c r="K683" s="102">
        <f>IFERROR(Table21[[#This Row],[ROUTE COST]]/Table21[[#This Row],[O - DEMAND]],0)</f>
        <v>0</v>
      </c>
      <c r="M683" s="26">
        <f>IFERROR(VLOOKUP(Table21[[#This Row],[ROUTE]],DEMAND!A:F,5,FALSE),0)</f>
        <v>0</v>
      </c>
      <c r="N683" s="26">
        <f>IFERROR(VLOOKUP(Table21[[#This Row],[ROUTE]],DEMAND!A:F,6,FALSE),0)</f>
        <v>0</v>
      </c>
      <c r="O683" s="26">
        <f>ROUNDDOWN(Table21[[#This Row],[R-DEMAND]]/1320,0)</f>
        <v>0</v>
      </c>
      <c r="P683" s="26">
        <f>Table21[[#This Row],[ADD ACC]]*Table21[[#This Row],[Duration
(747-400)]]</f>
        <v>0</v>
      </c>
      <c r="Q683" s="284">
        <f>IFERROR(VLOOKUP(Table21[[#This Row],[ROUTE]],PRICING!A:B,2,FALSE),0)</f>
        <v>0</v>
      </c>
      <c r="R683" s="282">
        <f>Table21[[#This Row],[C_DEMAND]]-Table21[[#This Row],[R-DEMAND]]</f>
        <v>0</v>
      </c>
      <c r="S683" s="287">
        <f>Table21[[#This Row],[SEATS SOLD]]*Table21[[#This Row],[ECO SEAT]]</f>
        <v>0</v>
      </c>
    </row>
    <row r="684" spans="1:19" x14ac:dyDescent="0.25">
      <c r="A684" s="251" t="s">
        <v>16752</v>
      </c>
      <c r="B684" s="251" t="s">
        <v>3025</v>
      </c>
      <c r="D684" s="251">
        <v>2</v>
      </c>
      <c r="E684" s="251" t="s">
        <v>14</v>
      </c>
      <c r="F684" s="251" t="s">
        <v>12670</v>
      </c>
      <c r="G684" s="252" t="s">
        <v>11990</v>
      </c>
      <c r="H684" s="254">
        <v>1056</v>
      </c>
      <c r="I684" s="180">
        <v>4.5</v>
      </c>
      <c r="K684" s="253">
        <f>IFERROR(Table21[[#This Row],[ROUTE COST]]/Table21[[#This Row],[O - DEMAND]],0)</f>
        <v>0</v>
      </c>
      <c r="M684" s="26">
        <f>IFERROR(VLOOKUP(Table21[[#This Row],[ROUTE]],DEMAND!A:F,5,FALSE),0)</f>
        <v>0</v>
      </c>
      <c r="N684" s="26">
        <f>IFERROR(VLOOKUP(Table21[[#This Row],[ROUTE]],DEMAND!A:F,6,FALSE),0)</f>
        <v>0</v>
      </c>
      <c r="O684" s="26">
        <f>ROUNDDOWN(Table21[[#This Row],[R-DEMAND]]/1320,0)</f>
        <v>0</v>
      </c>
      <c r="P684" s="26">
        <f>Table21[[#This Row],[ADD ACC]]*Table21[[#This Row],[Duration
(747-400)]]</f>
        <v>0</v>
      </c>
      <c r="Q684" s="284">
        <f>IFERROR(VLOOKUP(Table21[[#This Row],[ROUTE]],PRICING!A:B,2,FALSE),0)</f>
        <v>0</v>
      </c>
      <c r="R684" s="282">
        <f>Table21[[#This Row],[C_DEMAND]]-Table21[[#This Row],[R-DEMAND]]</f>
        <v>0</v>
      </c>
      <c r="S684" s="287">
        <f>Table21[[#This Row],[SEATS SOLD]]*Table21[[#This Row],[ECO SEAT]]</f>
        <v>0</v>
      </c>
    </row>
    <row r="685" spans="1:19" x14ac:dyDescent="0.25">
      <c r="A685" s="16" t="s">
        <v>16155</v>
      </c>
      <c r="B685" s="16" t="s">
        <v>3672</v>
      </c>
      <c r="D685" s="16">
        <v>2</v>
      </c>
      <c r="E685" s="16" t="s">
        <v>11732</v>
      </c>
      <c r="F685" s="16" t="s">
        <v>15969</v>
      </c>
      <c r="G685" s="179" t="s">
        <v>13287</v>
      </c>
      <c r="H685" s="254">
        <v>10312</v>
      </c>
      <c r="I685" s="180">
        <v>25</v>
      </c>
      <c r="K685" s="102">
        <f>IFERROR(Table21[[#This Row],[ROUTE COST]]/Table21[[#This Row],[O - DEMAND]],0)</f>
        <v>0</v>
      </c>
      <c r="M685" s="26">
        <f>IFERROR(VLOOKUP(Table21[[#This Row],[ROUTE]],DEMAND!A:F,5,FALSE),0)</f>
        <v>0</v>
      </c>
      <c r="N685" s="26">
        <f>IFERROR(VLOOKUP(Table21[[#This Row],[ROUTE]],DEMAND!A:F,6,FALSE),0)</f>
        <v>0</v>
      </c>
      <c r="O685" s="26">
        <f>ROUNDDOWN(Table21[[#This Row],[R-DEMAND]]/1320,0)</f>
        <v>0</v>
      </c>
      <c r="P685" s="26">
        <f>Table21[[#This Row],[ADD ACC]]*Table21[[#This Row],[Duration
(747-400)]]</f>
        <v>0</v>
      </c>
      <c r="Q685" s="284">
        <f>IFERROR(VLOOKUP(Table21[[#This Row],[ROUTE]],PRICING!A:B,2,FALSE),0)</f>
        <v>0</v>
      </c>
      <c r="R685" s="282">
        <f>Table21[[#This Row],[C_DEMAND]]-Table21[[#This Row],[R-DEMAND]]</f>
        <v>0</v>
      </c>
      <c r="S685" s="287">
        <f>Table21[[#This Row],[SEATS SOLD]]*Table21[[#This Row],[ECO SEAT]]</f>
        <v>0</v>
      </c>
    </row>
    <row r="686" spans="1:19" x14ac:dyDescent="0.25">
      <c r="A686" s="16" t="s">
        <v>16556</v>
      </c>
      <c r="B686" s="16" t="s">
        <v>3271</v>
      </c>
      <c r="D686" s="16">
        <v>2</v>
      </c>
      <c r="E686" s="16" t="s">
        <v>78</v>
      </c>
      <c r="F686" s="16" t="s">
        <v>12674</v>
      </c>
      <c r="G686" s="179" t="s">
        <v>11903</v>
      </c>
      <c r="H686" s="254">
        <v>5802</v>
      </c>
      <c r="I686" s="180">
        <v>15</v>
      </c>
      <c r="K686" s="102">
        <f>IFERROR(Table21[[#This Row],[ROUTE COST]]/Table21[[#This Row],[O - DEMAND]],0)</f>
        <v>0</v>
      </c>
      <c r="M686" s="26">
        <f>IFERROR(VLOOKUP(Table21[[#This Row],[ROUTE]],DEMAND!A:F,5,FALSE),0)</f>
        <v>0</v>
      </c>
      <c r="N686" s="26">
        <f>IFERROR(VLOOKUP(Table21[[#This Row],[ROUTE]],DEMAND!A:F,6,FALSE),0)</f>
        <v>0</v>
      </c>
      <c r="O686" s="26">
        <f>ROUNDDOWN(Table21[[#This Row],[R-DEMAND]]/1320,0)</f>
        <v>0</v>
      </c>
      <c r="P686" s="26">
        <f>Table21[[#This Row],[ADD ACC]]*Table21[[#This Row],[Duration
(747-400)]]</f>
        <v>0</v>
      </c>
      <c r="Q686" s="284">
        <f>IFERROR(VLOOKUP(Table21[[#This Row],[ROUTE]],PRICING!A:B,2,FALSE),0)</f>
        <v>0</v>
      </c>
      <c r="R686" s="282">
        <f>Table21[[#This Row],[C_DEMAND]]-Table21[[#This Row],[R-DEMAND]]</f>
        <v>0</v>
      </c>
      <c r="S686" s="287">
        <f>Table21[[#This Row],[SEATS SOLD]]*Table21[[#This Row],[ECO SEAT]]</f>
        <v>0</v>
      </c>
    </row>
    <row r="687" spans="1:19" x14ac:dyDescent="0.25">
      <c r="A687" s="251" t="s">
        <v>16776</v>
      </c>
      <c r="B687" s="251" t="s">
        <v>4943</v>
      </c>
      <c r="D687" s="251">
        <v>3</v>
      </c>
      <c r="E687" s="251" t="s">
        <v>142</v>
      </c>
      <c r="F687" s="251" t="s">
        <v>12670</v>
      </c>
      <c r="G687" s="252" t="s">
        <v>8110</v>
      </c>
      <c r="H687" s="254">
        <v>1533</v>
      </c>
      <c r="I687" s="180">
        <v>5.5</v>
      </c>
      <c r="K687" s="253">
        <f>IFERROR(Table21[[#This Row],[ROUTE COST]]/Table21[[#This Row],[O - DEMAND]],0)</f>
        <v>0</v>
      </c>
      <c r="M687" s="26">
        <f>IFERROR(VLOOKUP(Table21[[#This Row],[ROUTE]],DEMAND!A:F,5,FALSE),0)</f>
        <v>0</v>
      </c>
      <c r="N687" s="26">
        <f>IFERROR(VLOOKUP(Table21[[#This Row],[ROUTE]],DEMAND!A:F,6,FALSE),0)</f>
        <v>0</v>
      </c>
      <c r="O687" s="26">
        <f>ROUNDDOWN(Table21[[#This Row],[R-DEMAND]]/1320,0)</f>
        <v>0</v>
      </c>
      <c r="P687" s="26">
        <f>Table21[[#This Row],[ADD ACC]]*Table21[[#This Row],[Duration
(747-400)]]</f>
        <v>0</v>
      </c>
      <c r="Q687" s="284">
        <f>IFERROR(VLOOKUP(Table21[[#This Row],[ROUTE]],PRICING!A:B,2,FALSE),0)</f>
        <v>0</v>
      </c>
      <c r="R687" s="282">
        <f>Table21[[#This Row],[C_DEMAND]]-Table21[[#This Row],[R-DEMAND]]</f>
        <v>0</v>
      </c>
      <c r="S687" s="287">
        <f>Table21[[#This Row],[SEATS SOLD]]*Table21[[#This Row],[ECO SEAT]]</f>
        <v>0</v>
      </c>
    </row>
    <row r="688" spans="1:19" x14ac:dyDescent="0.25">
      <c r="A688" s="16" t="s">
        <v>16153</v>
      </c>
      <c r="B688" s="16" t="s">
        <v>3091</v>
      </c>
      <c r="D688" s="16">
        <v>2</v>
      </c>
      <c r="E688" s="16" t="s">
        <v>11732</v>
      </c>
      <c r="F688" s="16" t="s">
        <v>15969</v>
      </c>
      <c r="G688" s="179" t="s">
        <v>13279</v>
      </c>
      <c r="H688" s="254">
        <v>10369</v>
      </c>
      <c r="I688" s="180">
        <v>25</v>
      </c>
      <c r="K688" s="102">
        <f>IFERROR(Table21[[#This Row],[ROUTE COST]]/Table21[[#This Row],[O - DEMAND]],0)</f>
        <v>0</v>
      </c>
      <c r="M688" s="26">
        <f>IFERROR(VLOOKUP(Table21[[#This Row],[ROUTE]],DEMAND!A:F,5,FALSE),0)</f>
        <v>0</v>
      </c>
      <c r="N688" s="26">
        <f>IFERROR(VLOOKUP(Table21[[#This Row],[ROUTE]],DEMAND!A:F,6,FALSE),0)</f>
        <v>0</v>
      </c>
      <c r="O688" s="26">
        <f>ROUNDDOWN(Table21[[#This Row],[R-DEMAND]]/1320,0)</f>
        <v>0</v>
      </c>
      <c r="P688" s="26">
        <f>Table21[[#This Row],[ADD ACC]]*Table21[[#This Row],[Duration
(747-400)]]</f>
        <v>0</v>
      </c>
      <c r="Q688" s="284">
        <f>IFERROR(VLOOKUP(Table21[[#This Row],[ROUTE]],PRICING!A:B,2,FALSE),0)</f>
        <v>0</v>
      </c>
      <c r="R688" s="282">
        <f>Table21[[#This Row],[C_DEMAND]]-Table21[[#This Row],[R-DEMAND]]</f>
        <v>0</v>
      </c>
      <c r="S688" s="287">
        <f>Table21[[#This Row],[SEATS SOLD]]*Table21[[#This Row],[ECO SEAT]]</f>
        <v>0</v>
      </c>
    </row>
    <row r="689" spans="1:19" x14ac:dyDescent="0.25">
      <c r="A689" s="16" t="s">
        <v>16154</v>
      </c>
      <c r="B689" s="16" t="s">
        <v>900</v>
      </c>
      <c r="D689" s="16">
        <v>1</v>
      </c>
      <c r="E689" s="16" t="s">
        <v>11732</v>
      </c>
      <c r="F689" s="16" t="s">
        <v>15969</v>
      </c>
      <c r="G689" s="179" t="s">
        <v>13291</v>
      </c>
      <c r="H689" s="254">
        <v>10352</v>
      </c>
      <c r="I689" s="180">
        <v>25</v>
      </c>
      <c r="K689" s="102">
        <f>IFERROR(Table21[[#This Row],[ROUTE COST]]/Table21[[#This Row],[O - DEMAND]],0)</f>
        <v>0</v>
      </c>
      <c r="M689" s="26">
        <f>IFERROR(VLOOKUP(Table21[[#This Row],[ROUTE]],DEMAND!A:F,5,FALSE),0)</f>
        <v>0</v>
      </c>
      <c r="N689" s="26">
        <f>IFERROR(VLOOKUP(Table21[[#This Row],[ROUTE]],DEMAND!A:F,6,FALSE),0)</f>
        <v>0</v>
      </c>
      <c r="O689" s="26">
        <f>ROUNDDOWN(Table21[[#This Row],[R-DEMAND]]/1320,0)</f>
        <v>0</v>
      </c>
      <c r="P689" s="26">
        <f>Table21[[#This Row],[ADD ACC]]*Table21[[#This Row],[Duration
(747-400)]]</f>
        <v>0</v>
      </c>
      <c r="Q689" s="284">
        <f>IFERROR(VLOOKUP(Table21[[#This Row],[ROUTE]],PRICING!A:B,2,FALSE),0)</f>
        <v>0</v>
      </c>
      <c r="R689" s="282">
        <f>Table21[[#This Row],[C_DEMAND]]-Table21[[#This Row],[R-DEMAND]]</f>
        <v>0</v>
      </c>
      <c r="S689" s="287">
        <f>Table21[[#This Row],[SEATS SOLD]]*Table21[[#This Row],[ECO SEAT]]</f>
        <v>0</v>
      </c>
    </row>
    <row r="690" spans="1:19" x14ac:dyDescent="0.25">
      <c r="A690" s="16" t="s">
        <v>16160</v>
      </c>
      <c r="B690" s="16" t="s">
        <v>2599</v>
      </c>
      <c r="D690" s="16">
        <v>2</v>
      </c>
      <c r="E690" s="16" t="s">
        <v>11732</v>
      </c>
      <c r="F690" s="16" t="s">
        <v>15969</v>
      </c>
      <c r="G690" s="179" t="s">
        <v>13286</v>
      </c>
      <c r="H690" s="254">
        <v>10220</v>
      </c>
      <c r="I690" s="180">
        <v>24.75</v>
      </c>
      <c r="K690" s="102">
        <f>IFERROR(Table21[[#This Row],[ROUTE COST]]/Table21[[#This Row],[O - DEMAND]],0)</f>
        <v>0</v>
      </c>
      <c r="M690" s="26">
        <f>IFERROR(VLOOKUP(Table21[[#This Row],[ROUTE]],DEMAND!A:F,5,FALSE),0)</f>
        <v>0</v>
      </c>
      <c r="N690" s="26">
        <f>IFERROR(VLOOKUP(Table21[[#This Row],[ROUTE]],DEMAND!A:F,6,FALSE),0)</f>
        <v>0</v>
      </c>
      <c r="O690" s="26">
        <f>ROUNDDOWN(Table21[[#This Row],[R-DEMAND]]/1320,0)</f>
        <v>0</v>
      </c>
      <c r="P690" s="26">
        <f>Table21[[#This Row],[ADD ACC]]*Table21[[#This Row],[Duration
(747-400)]]</f>
        <v>0</v>
      </c>
      <c r="Q690" s="284">
        <f>IFERROR(VLOOKUP(Table21[[#This Row],[ROUTE]],PRICING!A:B,2,FALSE),0)</f>
        <v>0</v>
      </c>
      <c r="R690" s="282">
        <f>Table21[[#This Row],[C_DEMAND]]-Table21[[#This Row],[R-DEMAND]]</f>
        <v>0</v>
      </c>
      <c r="S690" s="287">
        <f>Table21[[#This Row],[SEATS SOLD]]*Table21[[#This Row],[ECO SEAT]]</f>
        <v>0</v>
      </c>
    </row>
    <row r="691" spans="1:19" x14ac:dyDescent="0.25">
      <c r="A691" s="16" t="s">
        <v>16432</v>
      </c>
      <c r="B691" s="16" t="s">
        <v>3576</v>
      </c>
      <c r="D691" s="16">
        <v>2</v>
      </c>
      <c r="E691" s="16" t="s">
        <v>11049</v>
      </c>
      <c r="F691" s="16" t="s">
        <v>12674</v>
      </c>
      <c r="G691" s="179" t="s">
        <v>11806</v>
      </c>
      <c r="H691" s="254">
        <v>7261</v>
      </c>
      <c r="I691" s="180">
        <v>18.25</v>
      </c>
      <c r="K691" s="102">
        <f>IFERROR(Table21[[#This Row],[ROUTE COST]]/Table21[[#This Row],[O - DEMAND]],0)</f>
        <v>0</v>
      </c>
      <c r="M691" s="26">
        <f>IFERROR(VLOOKUP(Table21[[#This Row],[ROUTE]],DEMAND!A:F,5,FALSE),0)</f>
        <v>0</v>
      </c>
      <c r="N691" s="26">
        <f>IFERROR(VLOOKUP(Table21[[#This Row],[ROUTE]],DEMAND!A:F,6,FALSE),0)</f>
        <v>0</v>
      </c>
      <c r="O691" s="26">
        <f>ROUNDDOWN(Table21[[#This Row],[R-DEMAND]]/1320,0)</f>
        <v>0</v>
      </c>
      <c r="P691" s="26">
        <f>Table21[[#This Row],[ADD ACC]]*Table21[[#This Row],[Duration
(747-400)]]</f>
        <v>0</v>
      </c>
      <c r="Q691" s="284">
        <f>IFERROR(VLOOKUP(Table21[[#This Row],[ROUTE]],PRICING!A:B,2,FALSE),0)</f>
        <v>0</v>
      </c>
      <c r="R691" s="282">
        <f>Table21[[#This Row],[C_DEMAND]]-Table21[[#This Row],[R-DEMAND]]</f>
        <v>0</v>
      </c>
      <c r="S691" s="287">
        <f>Table21[[#This Row],[SEATS SOLD]]*Table21[[#This Row],[ECO SEAT]]</f>
        <v>0</v>
      </c>
    </row>
    <row r="692" spans="1:19" x14ac:dyDescent="0.25">
      <c r="A692" s="16" t="s">
        <v>16347</v>
      </c>
      <c r="B692" s="16" t="s">
        <v>3311</v>
      </c>
      <c r="D692" s="16">
        <v>2</v>
      </c>
      <c r="E692" s="16" t="s">
        <v>3180</v>
      </c>
      <c r="F692" s="16" t="s">
        <v>12674</v>
      </c>
      <c r="G692" s="179" t="s">
        <v>11723</v>
      </c>
      <c r="H692" s="254">
        <v>8008</v>
      </c>
      <c r="I692" s="180">
        <v>19.75</v>
      </c>
      <c r="K692" s="102">
        <f>IFERROR(Table21[[#This Row],[ROUTE COST]]/Table21[[#This Row],[O - DEMAND]],0)</f>
        <v>0</v>
      </c>
      <c r="M692" s="26">
        <f>IFERROR(VLOOKUP(Table21[[#This Row],[ROUTE]],DEMAND!A:F,5,FALSE),0)</f>
        <v>0</v>
      </c>
      <c r="N692" s="26">
        <f>IFERROR(VLOOKUP(Table21[[#This Row],[ROUTE]],DEMAND!A:F,6,FALSE),0)</f>
        <v>0</v>
      </c>
      <c r="O692" s="26">
        <f>ROUNDDOWN(Table21[[#This Row],[R-DEMAND]]/1320,0)</f>
        <v>0</v>
      </c>
      <c r="P692" s="26">
        <f>Table21[[#This Row],[ADD ACC]]*Table21[[#This Row],[Duration
(747-400)]]</f>
        <v>0</v>
      </c>
      <c r="Q692" s="284">
        <f>IFERROR(VLOOKUP(Table21[[#This Row],[ROUTE]],PRICING!A:B,2,FALSE),0)</f>
        <v>0</v>
      </c>
      <c r="R692" s="282">
        <f>Table21[[#This Row],[C_DEMAND]]-Table21[[#This Row],[R-DEMAND]]</f>
        <v>0</v>
      </c>
      <c r="S692" s="287">
        <f>Table21[[#This Row],[SEATS SOLD]]*Table21[[#This Row],[ECO SEAT]]</f>
        <v>0</v>
      </c>
    </row>
    <row r="693" spans="1:19" x14ac:dyDescent="0.25">
      <c r="A693" s="16" t="s">
        <v>16165</v>
      </c>
      <c r="B693" s="16" t="s">
        <v>3217</v>
      </c>
      <c r="D693" s="16">
        <v>2</v>
      </c>
      <c r="E693" s="16" t="s">
        <v>11732</v>
      </c>
      <c r="F693" s="16" t="s">
        <v>15969</v>
      </c>
      <c r="G693" s="179" t="s">
        <v>13282</v>
      </c>
      <c r="H693" s="254">
        <v>10177</v>
      </c>
      <c r="I693" s="180">
        <v>24.75</v>
      </c>
      <c r="K693" s="102">
        <f>IFERROR(Table21[[#This Row],[ROUTE COST]]/Table21[[#This Row],[O - DEMAND]],0)</f>
        <v>0</v>
      </c>
      <c r="M693" s="26">
        <f>IFERROR(VLOOKUP(Table21[[#This Row],[ROUTE]],DEMAND!A:F,5,FALSE),0)</f>
        <v>0</v>
      </c>
      <c r="N693" s="26">
        <f>IFERROR(VLOOKUP(Table21[[#This Row],[ROUTE]],DEMAND!A:F,6,FALSE),0)</f>
        <v>0</v>
      </c>
      <c r="O693" s="26">
        <f>ROUNDDOWN(Table21[[#This Row],[R-DEMAND]]/1320,0)</f>
        <v>0</v>
      </c>
      <c r="P693" s="26">
        <f>Table21[[#This Row],[ADD ACC]]*Table21[[#This Row],[Duration
(747-400)]]</f>
        <v>0</v>
      </c>
      <c r="Q693" s="284">
        <f>IFERROR(VLOOKUP(Table21[[#This Row],[ROUTE]],PRICING!A:B,2,FALSE),0)</f>
        <v>0</v>
      </c>
      <c r="R693" s="282">
        <f>Table21[[#This Row],[C_DEMAND]]-Table21[[#This Row],[R-DEMAND]]</f>
        <v>0</v>
      </c>
      <c r="S693" s="287">
        <f>Table21[[#This Row],[SEATS SOLD]]*Table21[[#This Row],[ECO SEAT]]</f>
        <v>0</v>
      </c>
    </row>
    <row r="694" spans="1:19" x14ac:dyDescent="0.25">
      <c r="A694" s="16" t="s">
        <v>16159</v>
      </c>
      <c r="B694" s="16" t="s">
        <v>3559</v>
      </c>
      <c r="D694" s="16">
        <v>2</v>
      </c>
      <c r="E694" s="16" t="s">
        <v>11732</v>
      </c>
      <c r="F694" s="16" t="s">
        <v>15969</v>
      </c>
      <c r="G694" s="179" t="s">
        <v>13296</v>
      </c>
      <c r="H694" s="254">
        <v>10234</v>
      </c>
      <c r="I694" s="180">
        <v>24.75</v>
      </c>
      <c r="K694" s="102">
        <f>IFERROR(Table21[[#This Row],[ROUTE COST]]/Table21[[#This Row],[O - DEMAND]],0)</f>
        <v>0</v>
      </c>
      <c r="M694" s="26">
        <f>IFERROR(VLOOKUP(Table21[[#This Row],[ROUTE]],DEMAND!A:F,5,FALSE),0)</f>
        <v>0</v>
      </c>
      <c r="N694" s="26">
        <f>IFERROR(VLOOKUP(Table21[[#This Row],[ROUTE]],DEMAND!A:F,6,FALSE),0)</f>
        <v>0</v>
      </c>
      <c r="O694" s="26">
        <f>ROUNDDOWN(Table21[[#This Row],[R-DEMAND]]/1320,0)</f>
        <v>0</v>
      </c>
      <c r="P694" s="26">
        <f>Table21[[#This Row],[ADD ACC]]*Table21[[#This Row],[Duration
(747-400)]]</f>
        <v>0</v>
      </c>
      <c r="Q694" s="284">
        <f>IFERROR(VLOOKUP(Table21[[#This Row],[ROUTE]],PRICING!A:B,2,FALSE),0)</f>
        <v>0</v>
      </c>
      <c r="R694" s="282">
        <f>Table21[[#This Row],[C_DEMAND]]-Table21[[#This Row],[R-DEMAND]]</f>
        <v>0</v>
      </c>
      <c r="S694" s="287">
        <f>Table21[[#This Row],[SEATS SOLD]]*Table21[[#This Row],[ECO SEAT]]</f>
        <v>0</v>
      </c>
    </row>
    <row r="695" spans="1:19" x14ac:dyDescent="0.25">
      <c r="A695" s="16" t="s">
        <v>16152</v>
      </c>
      <c r="B695" s="16" t="s">
        <v>5293</v>
      </c>
      <c r="D695" s="16">
        <v>3</v>
      </c>
      <c r="E695" s="16" t="s">
        <v>11732</v>
      </c>
      <c r="F695" s="16" t="s">
        <v>15969</v>
      </c>
      <c r="G695" s="179" t="s">
        <v>13297</v>
      </c>
      <c r="H695" s="254">
        <v>10392</v>
      </c>
      <c r="I695" s="180">
        <v>25.25</v>
      </c>
      <c r="K695" s="102">
        <f>IFERROR(Table21[[#This Row],[ROUTE COST]]/Table21[[#This Row],[O - DEMAND]],0)</f>
        <v>0</v>
      </c>
      <c r="M695" s="26">
        <f>IFERROR(VLOOKUP(Table21[[#This Row],[ROUTE]],DEMAND!A:F,5,FALSE),0)</f>
        <v>0</v>
      </c>
      <c r="N695" s="26">
        <f>IFERROR(VLOOKUP(Table21[[#This Row],[ROUTE]],DEMAND!A:F,6,FALSE),0)</f>
        <v>0</v>
      </c>
      <c r="O695" s="26">
        <f>ROUNDDOWN(Table21[[#This Row],[R-DEMAND]]/1320,0)</f>
        <v>0</v>
      </c>
      <c r="P695" s="26">
        <f>Table21[[#This Row],[ADD ACC]]*Table21[[#This Row],[Duration
(747-400)]]</f>
        <v>0</v>
      </c>
      <c r="Q695" s="284">
        <f>IFERROR(VLOOKUP(Table21[[#This Row],[ROUTE]],PRICING!A:B,2,FALSE),0)</f>
        <v>0</v>
      </c>
      <c r="R695" s="282">
        <f>Table21[[#This Row],[C_DEMAND]]-Table21[[#This Row],[R-DEMAND]]</f>
        <v>0</v>
      </c>
      <c r="S695" s="287">
        <f>Table21[[#This Row],[SEATS SOLD]]*Table21[[#This Row],[ECO SEAT]]</f>
        <v>0</v>
      </c>
    </row>
    <row r="696" spans="1:19" x14ac:dyDescent="0.25">
      <c r="A696" s="16" t="s">
        <v>16595</v>
      </c>
      <c r="B696" s="16" t="s">
        <v>4308</v>
      </c>
      <c r="D696" s="16">
        <v>2</v>
      </c>
      <c r="E696" s="16" t="s">
        <v>78</v>
      </c>
      <c r="F696" s="16" t="s">
        <v>12674</v>
      </c>
      <c r="G696" s="179" t="s">
        <v>11899</v>
      </c>
      <c r="H696" s="254">
        <v>4651</v>
      </c>
      <c r="I696" s="180">
        <v>12.5</v>
      </c>
      <c r="K696" s="102">
        <f>IFERROR(Table21[[#This Row],[ROUTE COST]]/Table21[[#This Row],[O - DEMAND]],0)</f>
        <v>0</v>
      </c>
      <c r="M696" s="26">
        <f>IFERROR(VLOOKUP(Table21[[#This Row],[ROUTE]],DEMAND!A:F,5,FALSE),0)</f>
        <v>0</v>
      </c>
      <c r="N696" s="26">
        <f>IFERROR(VLOOKUP(Table21[[#This Row],[ROUTE]],DEMAND!A:F,6,FALSE),0)</f>
        <v>0</v>
      </c>
      <c r="O696" s="26">
        <f>ROUNDDOWN(Table21[[#This Row],[R-DEMAND]]/1320,0)</f>
        <v>0</v>
      </c>
      <c r="P696" s="26">
        <f>Table21[[#This Row],[ADD ACC]]*Table21[[#This Row],[Duration
(747-400)]]</f>
        <v>0</v>
      </c>
      <c r="Q696" s="284">
        <f>IFERROR(VLOOKUP(Table21[[#This Row],[ROUTE]],PRICING!A:B,2,FALSE),0)</f>
        <v>0</v>
      </c>
      <c r="R696" s="282">
        <f>Table21[[#This Row],[C_DEMAND]]-Table21[[#This Row],[R-DEMAND]]</f>
        <v>0</v>
      </c>
      <c r="S696" s="287">
        <f>Table21[[#This Row],[SEATS SOLD]]*Table21[[#This Row],[ECO SEAT]]</f>
        <v>0</v>
      </c>
    </row>
    <row r="697" spans="1:19" x14ac:dyDescent="0.25">
      <c r="A697" s="16" t="s">
        <v>16156</v>
      </c>
      <c r="B697" s="16" t="s">
        <v>4947</v>
      </c>
      <c r="D697" s="16">
        <v>3</v>
      </c>
      <c r="E697" s="16" t="s">
        <v>11732</v>
      </c>
      <c r="F697" s="16" t="s">
        <v>15969</v>
      </c>
      <c r="G697" s="179" t="s">
        <v>13290</v>
      </c>
      <c r="H697" s="254">
        <v>10294</v>
      </c>
      <c r="I697" s="180">
        <v>25</v>
      </c>
      <c r="K697" s="102">
        <f>IFERROR(Table21[[#This Row],[ROUTE COST]]/Table21[[#This Row],[O - DEMAND]],0)</f>
        <v>0</v>
      </c>
      <c r="M697" s="26">
        <f>IFERROR(VLOOKUP(Table21[[#This Row],[ROUTE]],DEMAND!A:F,5,FALSE),0)</f>
        <v>0</v>
      </c>
      <c r="N697" s="26">
        <f>IFERROR(VLOOKUP(Table21[[#This Row],[ROUTE]],DEMAND!A:F,6,FALSE),0)</f>
        <v>0</v>
      </c>
      <c r="O697" s="26">
        <f>ROUNDDOWN(Table21[[#This Row],[R-DEMAND]]/1320,0)</f>
        <v>0</v>
      </c>
      <c r="P697" s="26">
        <f>Table21[[#This Row],[ADD ACC]]*Table21[[#This Row],[Duration
(747-400)]]</f>
        <v>0</v>
      </c>
      <c r="Q697" s="284">
        <f>IFERROR(VLOOKUP(Table21[[#This Row],[ROUTE]],PRICING!A:B,2,FALSE),0)</f>
        <v>0</v>
      </c>
      <c r="R697" s="282">
        <f>Table21[[#This Row],[C_DEMAND]]-Table21[[#This Row],[R-DEMAND]]</f>
        <v>0</v>
      </c>
      <c r="S697" s="287">
        <f>Table21[[#This Row],[SEATS SOLD]]*Table21[[#This Row],[ECO SEAT]]</f>
        <v>0</v>
      </c>
    </row>
    <row r="698" spans="1:19" x14ac:dyDescent="0.25">
      <c r="A698" s="16" t="s">
        <v>16178</v>
      </c>
      <c r="B698" s="16" t="s">
        <v>5135</v>
      </c>
      <c r="D698" s="16">
        <v>3</v>
      </c>
      <c r="E698" s="16" t="s">
        <v>11732</v>
      </c>
      <c r="F698" s="16" t="s">
        <v>15969</v>
      </c>
      <c r="G698" s="179" t="s">
        <v>13271</v>
      </c>
      <c r="H698" s="254">
        <v>10065</v>
      </c>
      <c r="I698" s="180">
        <v>24.5</v>
      </c>
      <c r="K698" s="102">
        <f>IFERROR(Table21[[#This Row],[ROUTE COST]]/Table21[[#This Row],[O - DEMAND]],0)</f>
        <v>0</v>
      </c>
      <c r="M698" s="26">
        <f>IFERROR(VLOOKUP(Table21[[#This Row],[ROUTE]],DEMAND!A:F,5,FALSE),0)</f>
        <v>0</v>
      </c>
      <c r="N698" s="26">
        <f>IFERROR(VLOOKUP(Table21[[#This Row],[ROUTE]],DEMAND!A:F,6,FALSE),0)</f>
        <v>0</v>
      </c>
      <c r="O698" s="26">
        <f>ROUNDDOWN(Table21[[#This Row],[R-DEMAND]]/1320,0)</f>
        <v>0</v>
      </c>
      <c r="P698" s="26">
        <f>Table21[[#This Row],[ADD ACC]]*Table21[[#This Row],[Duration
(747-400)]]</f>
        <v>0</v>
      </c>
      <c r="Q698" s="284">
        <f>IFERROR(VLOOKUP(Table21[[#This Row],[ROUTE]],PRICING!A:B,2,FALSE),0)</f>
        <v>0</v>
      </c>
      <c r="R698" s="282">
        <f>Table21[[#This Row],[C_DEMAND]]-Table21[[#This Row],[R-DEMAND]]</f>
        <v>0</v>
      </c>
      <c r="S698" s="287">
        <f>Table21[[#This Row],[SEATS SOLD]]*Table21[[#This Row],[ECO SEAT]]</f>
        <v>0</v>
      </c>
    </row>
    <row r="699" spans="1:19" x14ac:dyDescent="0.25">
      <c r="A699" s="16" t="s">
        <v>16173</v>
      </c>
      <c r="B699" s="16" t="s">
        <v>4005</v>
      </c>
      <c r="D699" s="16">
        <v>2</v>
      </c>
      <c r="E699" s="16" t="s">
        <v>11732</v>
      </c>
      <c r="F699" s="16" t="s">
        <v>15969</v>
      </c>
      <c r="G699" s="179" t="s">
        <v>13280</v>
      </c>
      <c r="H699" s="254">
        <v>10091</v>
      </c>
      <c r="I699" s="180">
        <v>24.5</v>
      </c>
      <c r="K699" s="102">
        <f>IFERROR(Table21[[#This Row],[ROUTE COST]]/Table21[[#This Row],[O - DEMAND]],0)</f>
        <v>0</v>
      </c>
      <c r="M699" s="26">
        <f>IFERROR(VLOOKUP(Table21[[#This Row],[ROUTE]],DEMAND!A:F,5,FALSE),0)</f>
        <v>0</v>
      </c>
      <c r="N699" s="26">
        <f>IFERROR(VLOOKUP(Table21[[#This Row],[ROUTE]],DEMAND!A:F,6,FALSE),0)</f>
        <v>0</v>
      </c>
      <c r="O699" s="26">
        <f>ROUNDDOWN(Table21[[#This Row],[R-DEMAND]]/1320,0)</f>
        <v>0</v>
      </c>
      <c r="P699" s="26">
        <f>Table21[[#This Row],[ADD ACC]]*Table21[[#This Row],[Duration
(747-400)]]</f>
        <v>0</v>
      </c>
      <c r="Q699" s="284">
        <f>IFERROR(VLOOKUP(Table21[[#This Row],[ROUTE]],PRICING!A:B,2,FALSE),0)</f>
        <v>0</v>
      </c>
      <c r="R699" s="282">
        <f>Table21[[#This Row],[C_DEMAND]]-Table21[[#This Row],[R-DEMAND]]</f>
        <v>0</v>
      </c>
      <c r="S699" s="287">
        <f>Table21[[#This Row],[SEATS SOLD]]*Table21[[#This Row],[ECO SEAT]]</f>
        <v>0</v>
      </c>
    </row>
    <row r="700" spans="1:19" x14ac:dyDescent="0.25">
      <c r="A700" s="16" t="s">
        <v>16339</v>
      </c>
      <c r="B700" s="16" t="s">
        <v>5057</v>
      </c>
      <c r="D700" s="16">
        <v>3</v>
      </c>
      <c r="E700" s="16" t="s">
        <v>83</v>
      </c>
      <c r="F700" s="16" t="s">
        <v>12674</v>
      </c>
      <c r="G700" s="179" t="s">
        <v>11706</v>
      </c>
      <c r="H700" s="254">
        <v>8026</v>
      </c>
      <c r="I700" s="180">
        <v>20</v>
      </c>
      <c r="K700" s="102">
        <f>IFERROR(Table21[[#This Row],[ROUTE COST]]/Table21[[#This Row],[O - DEMAND]],0)</f>
        <v>0</v>
      </c>
      <c r="M700" s="26">
        <f>IFERROR(VLOOKUP(Table21[[#This Row],[ROUTE]],DEMAND!A:F,5,FALSE),0)</f>
        <v>0</v>
      </c>
      <c r="N700" s="26">
        <f>IFERROR(VLOOKUP(Table21[[#This Row],[ROUTE]],DEMAND!A:F,6,FALSE),0)</f>
        <v>0</v>
      </c>
      <c r="O700" s="26">
        <f>ROUNDDOWN(Table21[[#This Row],[R-DEMAND]]/1320,0)</f>
        <v>0</v>
      </c>
      <c r="P700" s="26">
        <f>Table21[[#This Row],[ADD ACC]]*Table21[[#This Row],[Duration
(747-400)]]</f>
        <v>0</v>
      </c>
      <c r="Q700" s="284">
        <f>IFERROR(VLOOKUP(Table21[[#This Row],[ROUTE]],PRICING!A:B,2,FALSE),0)</f>
        <v>0</v>
      </c>
      <c r="R700" s="282">
        <f>Table21[[#This Row],[C_DEMAND]]-Table21[[#This Row],[R-DEMAND]]</f>
        <v>0</v>
      </c>
      <c r="S700" s="287">
        <f>Table21[[#This Row],[SEATS SOLD]]*Table21[[#This Row],[ECO SEAT]]</f>
        <v>0</v>
      </c>
    </row>
    <row r="701" spans="1:19" x14ac:dyDescent="0.25">
      <c r="A701" s="16" t="s">
        <v>16169</v>
      </c>
      <c r="B701" s="16" t="s">
        <v>2790</v>
      </c>
      <c r="D701" s="16">
        <v>2</v>
      </c>
      <c r="E701" s="16" t="s">
        <v>11732</v>
      </c>
      <c r="F701" s="16" t="s">
        <v>15969</v>
      </c>
      <c r="G701" s="179" t="s">
        <v>13299</v>
      </c>
      <c r="H701" s="254">
        <v>10116</v>
      </c>
      <c r="I701" s="180">
        <v>24.5</v>
      </c>
      <c r="K701" s="102">
        <f>IFERROR(Table21[[#This Row],[ROUTE COST]]/Table21[[#This Row],[O - DEMAND]],0)</f>
        <v>0</v>
      </c>
      <c r="M701" s="26">
        <f>IFERROR(VLOOKUP(Table21[[#This Row],[ROUTE]],DEMAND!A:F,5,FALSE),0)</f>
        <v>0</v>
      </c>
      <c r="N701" s="26">
        <f>IFERROR(VLOOKUP(Table21[[#This Row],[ROUTE]],DEMAND!A:F,6,FALSE),0)</f>
        <v>0</v>
      </c>
      <c r="O701" s="26">
        <f>ROUNDDOWN(Table21[[#This Row],[R-DEMAND]]/1320,0)</f>
        <v>0</v>
      </c>
      <c r="P701" s="26">
        <f>Table21[[#This Row],[ADD ACC]]*Table21[[#This Row],[Duration
(747-400)]]</f>
        <v>0</v>
      </c>
      <c r="Q701" s="284">
        <f>IFERROR(VLOOKUP(Table21[[#This Row],[ROUTE]],PRICING!A:B,2,FALSE),0)</f>
        <v>0</v>
      </c>
      <c r="R701" s="282">
        <f>Table21[[#This Row],[C_DEMAND]]-Table21[[#This Row],[R-DEMAND]]</f>
        <v>0</v>
      </c>
      <c r="S701" s="287">
        <f>Table21[[#This Row],[SEATS SOLD]]*Table21[[#This Row],[ECO SEAT]]</f>
        <v>0</v>
      </c>
    </row>
    <row r="702" spans="1:19" x14ac:dyDescent="0.25">
      <c r="A702" s="16" t="s">
        <v>16650</v>
      </c>
      <c r="B702" s="16" t="s">
        <v>2984</v>
      </c>
      <c r="D702" s="16">
        <v>2</v>
      </c>
      <c r="E702" s="16" t="s">
        <v>78</v>
      </c>
      <c r="F702" s="16" t="s">
        <v>12674</v>
      </c>
      <c r="G702" s="179" t="s">
        <v>11911</v>
      </c>
      <c r="H702" s="254">
        <v>3451</v>
      </c>
      <c r="I702" s="180">
        <v>9.75</v>
      </c>
      <c r="K702" s="102">
        <f>IFERROR(Table21[[#This Row],[ROUTE COST]]/Table21[[#This Row],[O - DEMAND]],0)</f>
        <v>0</v>
      </c>
      <c r="M702" s="26">
        <f>IFERROR(VLOOKUP(Table21[[#This Row],[ROUTE]],DEMAND!A:F,5,FALSE),0)</f>
        <v>0</v>
      </c>
      <c r="N702" s="26">
        <f>IFERROR(VLOOKUP(Table21[[#This Row],[ROUTE]],DEMAND!A:F,6,FALSE),0)</f>
        <v>0</v>
      </c>
      <c r="O702" s="26">
        <f>ROUNDDOWN(Table21[[#This Row],[R-DEMAND]]/1320,0)</f>
        <v>0</v>
      </c>
      <c r="P702" s="26">
        <f>Table21[[#This Row],[ADD ACC]]*Table21[[#This Row],[Duration
(747-400)]]</f>
        <v>0</v>
      </c>
      <c r="Q702" s="284">
        <f>IFERROR(VLOOKUP(Table21[[#This Row],[ROUTE]],PRICING!A:B,2,FALSE),0)</f>
        <v>0</v>
      </c>
      <c r="R702" s="282">
        <f>Table21[[#This Row],[C_DEMAND]]-Table21[[#This Row],[R-DEMAND]]</f>
        <v>0</v>
      </c>
      <c r="S702" s="287">
        <f>Table21[[#This Row],[SEATS SOLD]]*Table21[[#This Row],[ECO SEAT]]</f>
        <v>0</v>
      </c>
    </row>
    <row r="703" spans="1:19" x14ac:dyDescent="0.25">
      <c r="A703" s="16" t="s">
        <v>16668</v>
      </c>
      <c r="B703" s="16" t="s">
        <v>1335</v>
      </c>
      <c r="D703" s="16">
        <v>1</v>
      </c>
      <c r="E703" s="16" t="s">
        <v>588</v>
      </c>
      <c r="F703" s="16" t="s">
        <v>12674</v>
      </c>
      <c r="G703" s="179" t="s">
        <v>11966</v>
      </c>
      <c r="H703" s="254">
        <v>3031</v>
      </c>
      <c r="I703" s="180">
        <v>8.75</v>
      </c>
      <c r="K703" s="102">
        <f>IFERROR(Table21[[#This Row],[ROUTE COST]]/Table21[[#This Row],[O - DEMAND]],0)</f>
        <v>0</v>
      </c>
      <c r="M703" s="26">
        <f>IFERROR(VLOOKUP(Table21[[#This Row],[ROUTE]],DEMAND!A:F,5,FALSE),0)</f>
        <v>0</v>
      </c>
      <c r="N703" s="26">
        <f>IFERROR(VLOOKUP(Table21[[#This Row],[ROUTE]],DEMAND!A:F,6,FALSE),0)</f>
        <v>0</v>
      </c>
      <c r="O703" s="26">
        <f>ROUNDDOWN(Table21[[#This Row],[R-DEMAND]]/1320,0)</f>
        <v>0</v>
      </c>
      <c r="P703" s="26">
        <f>Table21[[#This Row],[ADD ACC]]*Table21[[#This Row],[Duration
(747-400)]]</f>
        <v>0</v>
      </c>
      <c r="Q703" s="284">
        <f>IFERROR(VLOOKUP(Table21[[#This Row],[ROUTE]],PRICING!A:B,2,FALSE),0)</f>
        <v>0</v>
      </c>
      <c r="R703" s="282">
        <f>Table21[[#This Row],[C_DEMAND]]-Table21[[#This Row],[R-DEMAND]]</f>
        <v>0</v>
      </c>
      <c r="S703" s="287">
        <f>Table21[[#This Row],[SEATS SOLD]]*Table21[[#This Row],[ECO SEAT]]</f>
        <v>0</v>
      </c>
    </row>
    <row r="704" spans="1:19" x14ac:dyDescent="0.25">
      <c r="A704" s="16" t="s">
        <v>16310</v>
      </c>
      <c r="B704" s="16" t="s">
        <v>5311</v>
      </c>
      <c r="D704" s="16">
        <v>3</v>
      </c>
      <c r="E704" s="16" t="s">
        <v>308</v>
      </c>
      <c r="F704" s="16" t="s">
        <v>12674</v>
      </c>
      <c r="G704" s="179" t="s">
        <v>11790</v>
      </c>
      <c r="H704" s="254">
        <v>8349</v>
      </c>
      <c r="I704" s="180">
        <v>20.5</v>
      </c>
      <c r="K704" s="102">
        <f>IFERROR(Table21[[#This Row],[ROUTE COST]]/Table21[[#This Row],[O - DEMAND]],0)</f>
        <v>0</v>
      </c>
      <c r="M704" s="26">
        <f>IFERROR(VLOOKUP(Table21[[#This Row],[ROUTE]],DEMAND!A:F,5,FALSE),0)</f>
        <v>0</v>
      </c>
      <c r="N704" s="26">
        <f>IFERROR(VLOOKUP(Table21[[#This Row],[ROUTE]],DEMAND!A:F,6,FALSE),0)</f>
        <v>0</v>
      </c>
      <c r="O704" s="26">
        <f>ROUNDDOWN(Table21[[#This Row],[R-DEMAND]]/1320,0)</f>
        <v>0</v>
      </c>
      <c r="P704" s="26">
        <f>Table21[[#This Row],[ADD ACC]]*Table21[[#This Row],[Duration
(747-400)]]</f>
        <v>0</v>
      </c>
      <c r="Q704" s="284">
        <f>IFERROR(VLOOKUP(Table21[[#This Row],[ROUTE]],PRICING!A:B,2,FALSE),0)</f>
        <v>0</v>
      </c>
      <c r="R704" s="282">
        <f>Table21[[#This Row],[C_DEMAND]]-Table21[[#This Row],[R-DEMAND]]</f>
        <v>0</v>
      </c>
      <c r="S704" s="287">
        <f>Table21[[#This Row],[SEATS SOLD]]*Table21[[#This Row],[ECO SEAT]]</f>
        <v>0</v>
      </c>
    </row>
    <row r="705" spans="1:19" x14ac:dyDescent="0.25">
      <c r="A705" s="16" t="s">
        <v>16328</v>
      </c>
      <c r="B705" s="16" t="s">
        <v>5279</v>
      </c>
      <c r="D705" s="16">
        <v>3</v>
      </c>
      <c r="E705" s="16" t="s">
        <v>308</v>
      </c>
      <c r="F705" s="16" t="s">
        <v>12674</v>
      </c>
      <c r="G705" s="179" t="s">
        <v>11769</v>
      </c>
      <c r="H705" s="254">
        <v>8132</v>
      </c>
      <c r="I705" s="180">
        <v>20.25</v>
      </c>
      <c r="K705" s="102">
        <f>IFERROR(Table21[[#This Row],[ROUTE COST]]/Table21[[#This Row],[O - DEMAND]],0)</f>
        <v>0</v>
      </c>
      <c r="M705" s="26">
        <f>IFERROR(VLOOKUP(Table21[[#This Row],[ROUTE]],DEMAND!A:F,5,FALSE),0)</f>
        <v>0</v>
      </c>
      <c r="N705" s="26">
        <f>IFERROR(VLOOKUP(Table21[[#This Row],[ROUTE]],DEMAND!A:F,6,FALSE),0)</f>
        <v>0</v>
      </c>
      <c r="O705" s="26">
        <f>ROUNDDOWN(Table21[[#This Row],[R-DEMAND]]/1320,0)</f>
        <v>0</v>
      </c>
      <c r="P705" s="26">
        <f>Table21[[#This Row],[ADD ACC]]*Table21[[#This Row],[Duration
(747-400)]]</f>
        <v>0</v>
      </c>
      <c r="Q705" s="284">
        <f>IFERROR(VLOOKUP(Table21[[#This Row],[ROUTE]],PRICING!A:B,2,FALSE),0)</f>
        <v>0</v>
      </c>
      <c r="R705" s="282">
        <f>Table21[[#This Row],[C_DEMAND]]-Table21[[#This Row],[R-DEMAND]]</f>
        <v>0</v>
      </c>
      <c r="S705" s="287">
        <f>Table21[[#This Row],[SEATS SOLD]]*Table21[[#This Row],[ECO SEAT]]</f>
        <v>0</v>
      </c>
    </row>
    <row r="706" spans="1:19" x14ac:dyDescent="0.25">
      <c r="A706" s="16" t="s">
        <v>16177</v>
      </c>
      <c r="B706" s="16" t="s">
        <v>1505</v>
      </c>
      <c r="D706" s="16">
        <v>1</v>
      </c>
      <c r="E706" s="16" t="s">
        <v>11732</v>
      </c>
      <c r="F706" s="16" t="s">
        <v>15969</v>
      </c>
      <c r="G706" s="179" t="s">
        <v>13284</v>
      </c>
      <c r="H706" s="254">
        <v>10065</v>
      </c>
      <c r="I706" s="180">
        <v>24.5</v>
      </c>
      <c r="K706" s="102">
        <f>IFERROR(Table21[[#This Row],[ROUTE COST]]/Table21[[#This Row],[O - DEMAND]],0)</f>
        <v>0</v>
      </c>
      <c r="M706" s="26">
        <f>IFERROR(VLOOKUP(Table21[[#This Row],[ROUTE]],DEMAND!A:F,5,FALSE),0)</f>
        <v>0</v>
      </c>
      <c r="N706" s="26">
        <f>IFERROR(VLOOKUP(Table21[[#This Row],[ROUTE]],DEMAND!A:F,6,FALSE),0)</f>
        <v>0</v>
      </c>
      <c r="O706" s="26">
        <f>ROUNDDOWN(Table21[[#This Row],[R-DEMAND]]/1320,0)</f>
        <v>0</v>
      </c>
      <c r="P706" s="26">
        <f>Table21[[#This Row],[ADD ACC]]*Table21[[#This Row],[Duration
(747-400)]]</f>
        <v>0</v>
      </c>
      <c r="Q706" s="284">
        <f>IFERROR(VLOOKUP(Table21[[#This Row],[ROUTE]],PRICING!A:B,2,FALSE),0)</f>
        <v>0</v>
      </c>
      <c r="R706" s="282">
        <f>Table21[[#This Row],[C_DEMAND]]-Table21[[#This Row],[R-DEMAND]]</f>
        <v>0</v>
      </c>
      <c r="S706" s="287">
        <f>Table21[[#This Row],[SEATS SOLD]]*Table21[[#This Row],[ECO SEAT]]</f>
        <v>0</v>
      </c>
    </row>
    <row r="707" spans="1:19" x14ac:dyDescent="0.25">
      <c r="A707" s="16" t="s">
        <v>16187</v>
      </c>
      <c r="B707" s="16" t="s">
        <v>3545</v>
      </c>
      <c r="D707" s="16">
        <v>2</v>
      </c>
      <c r="E707" s="16" t="s">
        <v>11732</v>
      </c>
      <c r="F707" s="16" t="s">
        <v>15969</v>
      </c>
      <c r="G707" s="179" t="s">
        <v>13293</v>
      </c>
      <c r="H707" s="254">
        <v>9940</v>
      </c>
      <c r="I707" s="180">
        <v>24.25</v>
      </c>
      <c r="K707" s="102">
        <f>IFERROR(Table21[[#This Row],[ROUTE COST]]/Table21[[#This Row],[O - DEMAND]],0)</f>
        <v>0</v>
      </c>
      <c r="M707" s="26">
        <f>IFERROR(VLOOKUP(Table21[[#This Row],[ROUTE]],DEMAND!A:F,5,FALSE),0)</f>
        <v>0</v>
      </c>
      <c r="N707" s="26">
        <f>IFERROR(VLOOKUP(Table21[[#This Row],[ROUTE]],DEMAND!A:F,6,FALSE),0)</f>
        <v>0</v>
      </c>
      <c r="O707" s="26">
        <f>ROUNDDOWN(Table21[[#This Row],[R-DEMAND]]/1320,0)</f>
        <v>0</v>
      </c>
      <c r="P707" s="26">
        <f>Table21[[#This Row],[ADD ACC]]*Table21[[#This Row],[Duration
(747-400)]]</f>
        <v>0</v>
      </c>
      <c r="Q707" s="284">
        <f>IFERROR(VLOOKUP(Table21[[#This Row],[ROUTE]],PRICING!A:B,2,FALSE),0)</f>
        <v>0</v>
      </c>
      <c r="R707" s="282">
        <f>Table21[[#This Row],[C_DEMAND]]-Table21[[#This Row],[R-DEMAND]]</f>
        <v>0</v>
      </c>
      <c r="S707" s="287">
        <f>Table21[[#This Row],[SEATS SOLD]]*Table21[[#This Row],[ECO SEAT]]</f>
        <v>0</v>
      </c>
    </row>
    <row r="708" spans="1:19" x14ac:dyDescent="0.25">
      <c r="A708" s="16" t="s">
        <v>16184</v>
      </c>
      <c r="B708" s="16" t="s">
        <v>3532</v>
      </c>
      <c r="D708" s="16">
        <v>2</v>
      </c>
      <c r="E708" s="16" t="s">
        <v>11732</v>
      </c>
      <c r="F708" s="16" t="s">
        <v>15969</v>
      </c>
      <c r="G708" s="179" t="s">
        <v>13281</v>
      </c>
      <c r="H708" s="254">
        <v>10023</v>
      </c>
      <c r="I708" s="180">
        <v>24.25</v>
      </c>
      <c r="K708" s="102">
        <f>IFERROR(Table21[[#This Row],[ROUTE COST]]/Table21[[#This Row],[O - DEMAND]],0)</f>
        <v>0</v>
      </c>
      <c r="M708" s="26">
        <f>IFERROR(VLOOKUP(Table21[[#This Row],[ROUTE]],DEMAND!A:F,5,FALSE),0)</f>
        <v>0</v>
      </c>
      <c r="N708" s="26">
        <f>IFERROR(VLOOKUP(Table21[[#This Row],[ROUTE]],DEMAND!A:F,6,FALSE),0)</f>
        <v>0</v>
      </c>
      <c r="O708" s="26">
        <f>ROUNDDOWN(Table21[[#This Row],[R-DEMAND]]/1320,0)</f>
        <v>0</v>
      </c>
      <c r="P708" s="26">
        <f>Table21[[#This Row],[ADD ACC]]*Table21[[#This Row],[Duration
(747-400)]]</f>
        <v>0</v>
      </c>
      <c r="Q708" s="284">
        <f>IFERROR(VLOOKUP(Table21[[#This Row],[ROUTE]],PRICING!A:B,2,FALSE),0)</f>
        <v>0</v>
      </c>
      <c r="R708" s="282">
        <f>Table21[[#This Row],[C_DEMAND]]-Table21[[#This Row],[R-DEMAND]]</f>
        <v>0</v>
      </c>
      <c r="S708" s="287">
        <f>Table21[[#This Row],[SEATS SOLD]]*Table21[[#This Row],[ECO SEAT]]</f>
        <v>0</v>
      </c>
    </row>
    <row r="709" spans="1:19" x14ac:dyDescent="0.25">
      <c r="A709" s="16" t="s">
        <v>16365</v>
      </c>
      <c r="B709" s="16" t="s">
        <v>3741</v>
      </c>
      <c r="D709" s="16">
        <v>2</v>
      </c>
      <c r="E709" s="16" t="s">
        <v>1117</v>
      </c>
      <c r="F709" s="16" t="s">
        <v>12674</v>
      </c>
      <c r="G709" s="179" t="s">
        <v>7722</v>
      </c>
      <c r="H709" s="254">
        <v>7829</v>
      </c>
      <c r="I709" s="180">
        <v>19.5</v>
      </c>
      <c r="K709" s="102">
        <f>IFERROR(Table21[[#This Row],[ROUTE COST]]/Table21[[#This Row],[O - DEMAND]],0)</f>
        <v>0</v>
      </c>
      <c r="M709" s="26">
        <f>IFERROR(VLOOKUP(Table21[[#This Row],[ROUTE]],DEMAND!A:F,5,FALSE),0)</f>
        <v>0</v>
      </c>
      <c r="N709" s="26">
        <f>IFERROR(VLOOKUP(Table21[[#This Row],[ROUTE]],DEMAND!A:F,6,FALSE),0)</f>
        <v>0</v>
      </c>
      <c r="O709" s="26">
        <f>ROUNDDOWN(Table21[[#This Row],[R-DEMAND]]/1320,0)</f>
        <v>0</v>
      </c>
      <c r="P709" s="26">
        <f>Table21[[#This Row],[ADD ACC]]*Table21[[#This Row],[Duration
(747-400)]]</f>
        <v>0</v>
      </c>
      <c r="Q709" s="284">
        <f>IFERROR(VLOOKUP(Table21[[#This Row],[ROUTE]],PRICING!A:B,2,FALSE),0)</f>
        <v>0</v>
      </c>
      <c r="R709" s="282">
        <f>Table21[[#This Row],[C_DEMAND]]-Table21[[#This Row],[R-DEMAND]]</f>
        <v>0</v>
      </c>
      <c r="S709" s="287">
        <f>Table21[[#This Row],[SEATS SOLD]]*Table21[[#This Row],[ECO SEAT]]</f>
        <v>0</v>
      </c>
    </row>
    <row r="710" spans="1:19" x14ac:dyDescent="0.25">
      <c r="A710" s="16" t="s">
        <v>16375</v>
      </c>
      <c r="B710" s="16" t="s">
        <v>3543</v>
      </c>
      <c r="D710" s="16">
        <v>2</v>
      </c>
      <c r="E710" s="16" t="s">
        <v>597</v>
      </c>
      <c r="F710" s="16" t="s">
        <v>12674</v>
      </c>
      <c r="G710" s="179" t="s">
        <v>11825</v>
      </c>
      <c r="H710" s="254">
        <v>7770</v>
      </c>
      <c r="I710" s="180">
        <v>19.25</v>
      </c>
      <c r="K710" s="102">
        <f>IFERROR(Table21[[#This Row],[ROUTE COST]]/Table21[[#This Row],[O - DEMAND]],0)</f>
        <v>0</v>
      </c>
      <c r="M710" s="26">
        <f>IFERROR(VLOOKUP(Table21[[#This Row],[ROUTE]],DEMAND!A:F,5,FALSE),0)</f>
        <v>0</v>
      </c>
      <c r="N710" s="26">
        <f>IFERROR(VLOOKUP(Table21[[#This Row],[ROUTE]],DEMAND!A:F,6,FALSE),0)</f>
        <v>0</v>
      </c>
      <c r="O710" s="26">
        <f>ROUNDDOWN(Table21[[#This Row],[R-DEMAND]]/1320,0)</f>
        <v>0</v>
      </c>
      <c r="P710" s="26">
        <f>Table21[[#This Row],[ADD ACC]]*Table21[[#This Row],[Duration
(747-400)]]</f>
        <v>0</v>
      </c>
      <c r="Q710" s="284">
        <f>IFERROR(VLOOKUP(Table21[[#This Row],[ROUTE]],PRICING!A:B,2,FALSE),0)</f>
        <v>0</v>
      </c>
      <c r="R710" s="282">
        <f>Table21[[#This Row],[C_DEMAND]]-Table21[[#This Row],[R-DEMAND]]</f>
        <v>0</v>
      </c>
      <c r="S710" s="287">
        <f>Table21[[#This Row],[SEATS SOLD]]*Table21[[#This Row],[ECO SEAT]]</f>
        <v>0</v>
      </c>
    </row>
    <row r="711" spans="1:19" x14ac:dyDescent="0.25">
      <c r="A711" s="16" t="s">
        <v>16135</v>
      </c>
      <c r="B711" s="16" t="s">
        <v>2886</v>
      </c>
      <c r="D711" s="16">
        <v>2</v>
      </c>
      <c r="E711" s="16" t="s">
        <v>733</v>
      </c>
      <c r="F711" s="16" t="s">
        <v>12674</v>
      </c>
      <c r="G711" s="179" t="s">
        <v>11665</v>
      </c>
      <c r="H711" s="254">
        <v>10555</v>
      </c>
      <c r="I711" s="180">
        <v>25.5</v>
      </c>
      <c r="K711" s="102">
        <f>IFERROR(Table21[[#This Row],[ROUTE COST]]/Table21[[#This Row],[O - DEMAND]],0)</f>
        <v>0</v>
      </c>
      <c r="M711" s="26">
        <f>IFERROR(VLOOKUP(Table21[[#This Row],[ROUTE]],DEMAND!A:F,5,FALSE),0)</f>
        <v>0</v>
      </c>
      <c r="N711" s="26">
        <f>IFERROR(VLOOKUP(Table21[[#This Row],[ROUTE]],DEMAND!A:F,6,FALSE),0)</f>
        <v>0</v>
      </c>
      <c r="O711" s="26">
        <f>ROUNDDOWN(Table21[[#This Row],[R-DEMAND]]/1320,0)</f>
        <v>0</v>
      </c>
      <c r="P711" s="26">
        <f>Table21[[#This Row],[ADD ACC]]*Table21[[#This Row],[Duration
(747-400)]]</f>
        <v>0</v>
      </c>
      <c r="Q711" s="284">
        <f>IFERROR(VLOOKUP(Table21[[#This Row],[ROUTE]],PRICING!A:B,2,FALSE),0)</f>
        <v>0</v>
      </c>
      <c r="R711" s="282">
        <f>Table21[[#This Row],[C_DEMAND]]-Table21[[#This Row],[R-DEMAND]]</f>
        <v>0</v>
      </c>
      <c r="S711" s="287">
        <f>Table21[[#This Row],[SEATS SOLD]]*Table21[[#This Row],[ECO SEAT]]</f>
        <v>0</v>
      </c>
    </row>
    <row r="712" spans="1:19" x14ac:dyDescent="0.25">
      <c r="A712" s="16" t="s">
        <v>16706</v>
      </c>
      <c r="B712" s="16" t="s">
        <v>3189</v>
      </c>
      <c r="D712" s="16">
        <v>2</v>
      </c>
      <c r="E712" s="16" t="s">
        <v>14</v>
      </c>
      <c r="F712" s="16" t="s">
        <v>12670</v>
      </c>
      <c r="G712" s="179" t="s">
        <v>12073</v>
      </c>
      <c r="H712" s="254">
        <v>2033</v>
      </c>
      <c r="I712" s="180">
        <v>6.75</v>
      </c>
      <c r="K712" s="102">
        <f>IFERROR(Table21[[#This Row],[ROUTE COST]]/Table21[[#This Row],[O - DEMAND]],0)</f>
        <v>0</v>
      </c>
      <c r="M712" s="26">
        <f>IFERROR(VLOOKUP(Table21[[#This Row],[ROUTE]],DEMAND!A:F,5,FALSE),0)</f>
        <v>0</v>
      </c>
      <c r="N712" s="26">
        <f>IFERROR(VLOOKUP(Table21[[#This Row],[ROUTE]],DEMAND!A:F,6,FALSE),0)</f>
        <v>0</v>
      </c>
      <c r="O712" s="26">
        <f>ROUNDDOWN(Table21[[#This Row],[R-DEMAND]]/1320,0)</f>
        <v>0</v>
      </c>
      <c r="P712" s="26">
        <f>Table21[[#This Row],[ADD ACC]]*Table21[[#This Row],[Duration
(747-400)]]</f>
        <v>0</v>
      </c>
      <c r="Q712" s="284">
        <f>IFERROR(VLOOKUP(Table21[[#This Row],[ROUTE]],PRICING!A:B,2,FALSE),0)</f>
        <v>0</v>
      </c>
      <c r="R712" s="282">
        <f>Table21[[#This Row],[C_DEMAND]]-Table21[[#This Row],[R-DEMAND]]</f>
        <v>0</v>
      </c>
      <c r="S712" s="287">
        <f>Table21[[#This Row],[SEATS SOLD]]*Table21[[#This Row],[ECO SEAT]]</f>
        <v>0</v>
      </c>
    </row>
    <row r="713" spans="1:19" x14ac:dyDescent="0.25">
      <c r="A713" s="16" t="s">
        <v>16490</v>
      </c>
      <c r="B713" s="16" t="s">
        <v>3074</v>
      </c>
      <c r="D713" s="16">
        <v>2</v>
      </c>
      <c r="E713" s="16" t="s">
        <v>172</v>
      </c>
      <c r="F713" s="16" t="s">
        <v>12670</v>
      </c>
      <c r="G713" s="179" t="s">
        <v>7651</v>
      </c>
      <c r="H713" s="254">
        <v>6705</v>
      </c>
      <c r="I713" s="180">
        <v>17</v>
      </c>
      <c r="K713" s="102">
        <f>IFERROR(Table21[[#This Row],[ROUTE COST]]/Table21[[#This Row],[O - DEMAND]],0)</f>
        <v>0</v>
      </c>
      <c r="M713" s="26">
        <f>IFERROR(VLOOKUP(Table21[[#This Row],[ROUTE]],DEMAND!A:F,5,FALSE),0)</f>
        <v>0</v>
      </c>
      <c r="N713" s="26">
        <f>IFERROR(VLOOKUP(Table21[[#This Row],[ROUTE]],DEMAND!A:F,6,FALSE),0)</f>
        <v>0</v>
      </c>
      <c r="O713" s="26">
        <f>ROUNDDOWN(Table21[[#This Row],[R-DEMAND]]/1320,0)</f>
        <v>0</v>
      </c>
      <c r="P713" s="26">
        <f>Table21[[#This Row],[ADD ACC]]*Table21[[#This Row],[Duration
(747-400)]]</f>
        <v>0</v>
      </c>
      <c r="Q713" s="284">
        <f>IFERROR(VLOOKUP(Table21[[#This Row],[ROUTE]],PRICING!A:B,2,FALSE),0)</f>
        <v>0</v>
      </c>
      <c r="R713" s="282">
        <f>Table21[[#This Row],[C_DEMAND]]-Table21[[#This Row],[R-DEMAND]]</f>
        <v>0</v>
      </c>
      <c r="S713" s="287">
        <f>Table21[[#This Row],[SEATS SOLD]]*Table21[[#This Row],[ECO SEAT]]</f>
        <v>0</v>
      </c>
    </row>
    <row r="714" spans="1:19" x14ac:dyDescent="0.25">
      <c r="A714" s="16" t="s">
        <v>16498</v>
      </c>
      <c r="B714" s="16" t="s">
        <v>1844</v>
      </c>
      <c r="D714" s="16">
        <v>1</v>
      </c>
      <c r="E714" s="16" t="s">
        <v>172</v>
      </c>
      <c r="F714" s="16" t="s">
        <v>12670</v>
      </c>
      <c r="G714" s="179" t="s">
        <v>7650</v>
      </c>
      <c r="H714" s="254">
        <v>6587</v>
      </c>
      <c r="I714" s="180">
        <v>16.75</v>
      </c>
      <c r="K714" s="102">
        <f>IFERROR(Table21[[#This Row],[ROUTE COST]]/Table21[[#This Row],[O - DEMAND]],0)</f>
        <v>0</v>
      </c>
      <c r="M714" s="26">
        <f>IFERROR(VLOOKUP(Table21[[#This Row],[ROUTE]],DEMAND!A:F,5,FALSE),0)</f>
        <v>0</v>
      </c>
      <c r="N714" s="26">
        <f>IFERROR(VLOOKUP(Table21[[#This Row],[ROUTE]],DEMAND!A:F,6,FALSE),0)</f>
        <v>0</v>
      </c>
      <c r="O714" s="26">
        <f>ROUNDDOWN(Table21[[#This Row],[R-DEMAND]]/1320,0)</f>
        <v>0</v>
      </c>
      <c r="P714" s="26">
        <f>Table21[[#This Row],[ADD ACC]]*Table21[[#This Row],[Duration
(747-400)]]</f>
        <v>0</v>
      </c>
      <c r="Q714" s="284">
        <f>IFERROR(VLOOKUP(Table21[[#This Row],[ROUTE]],PRICING!A:B,2,FALSE),0)</f>
        <v>0</v>
      </c>
      <c r="R714" s="282">
        <f>Table21[[#This Row],[C_DEMAND]]-Table21[[#This Row],[R-DEMAND]]</f>
        <v>0</v>
      </c>
      <c r="S714" s="287">
        <f>Table21[[#This Row],[SEATS SOLD]]*Table21[[#This Row],[ECO SEAT]]</f>
        <v>0</v>
      </c>
    </row>
    <row r="715" spans="1:19" x14ac:dyDescent="0.25">
      <c r="A715" s="16" t="s">
        <v>16191</v>
      </c>
      <c r="B715" s="16" t="s">
        <v>3337</v>
      </c>
      <c r="D715" s="16">
        <v>2</v>
      </c>
      <c r="E715" s="16" t="s">
        <v>11732</v>
      </c>
      <c r="F715" s="16" t="s">
        <v>15969</v>
      </c>
      <c r="G715" s="179" t="s">
        <v>13267</v>
      </c>
      <c r="H715" s="254">
        <v>9873</v>
      </c>
      <c r="I715" s="180">
        <v>24</v>
      </c>
      <c r="K715" s="102">
        <f>IFERROR(Table21[[#This Row],[ROUTE COST]]/Table21[[#This Row],[O - DEMAND]],0)</f>
        <v>0</v>
      </c>
      <c r="M715" s="26">
        <f>IFERROR(VLOOKUP(Table21[[#This Row],[ROUTE]],DEMAND!A:F,5,FALSE),0)</f>
        <v>0</v>
      </c>
      <c r="N715" s="26">
        <f>IFERROR(VLOOKUP(Table21[[#This Row],[ROUTE]],DEMAND!A:F,6,FALSE),0)</f>
        <v>0</v>
      </c>
      <c r="O715" s="26">
        <f>ROUNDDOWN(Table21[[#This Row],[R-DEMAND]]/1320,0)</f>
        <v>0</v>
      </c>
      <c r="P715" s="26">
        <f>Table21[[#This Row],[ADD ACC]]*Table21[[#This Row],[Duration
(747-400)]]</f>
        <v>0</v>
      </c>
      <c r="Q715" s="284">
        <f>IFERROR(VLOOKUP(Table21[[#This Row],[ROUTE]],PRICING!A:B,2,FALSE),0)</f>
        <v>0</v>
      </c>
      <c r="R715" s="282">
        <f>Table21[[#This Row],[C_DEMAND]]-Table21[[#This Row],[R-DEMAND]]</f>
        <v>0</v>
      </c>
      <c r="S715" s="287">
        <f>Table21[[#This Row],[SEATS SOLD]]*Table21[[#This Row],[ECO SEAT]]</f>
        <v>0</v>
      </c>
    </row>
    <row r="716" spans="1:19" x14ac:dyDescent="0.25">
      <c r="A716" s="16" t="s">
        <v>16196</v>
      </c>
      <c r="B716" s="16" t="s">
        <v>3035</v>
      </c>
      <c r="D716" s="16">
        <v>2</v>
      </c>
      <c r="E716" s="16" t="s">
        <v>11732</v>
      </c>
      <c r="F716" s="16" t="s">
        <v>15969</v>
      </c>
      <c r="G716" s="179" t="s">
        <v>13278</v>
      </c>
      <c r="H716" s="254">
        <v>9826</v>
      </c>
      <c r="I716" s="180">
        <v>24</v>
      </c>
      <c r="K716" s="102">
        <f>IFERROR(Table21[[#This Row],[ROUTE COST]]/Table21[[#This Row],[O - DEMAND]],0)</f>
        <v>0</v>
      </c>
      <c r="M716" s="26">
        <f>IFERROR(VLOOKUP(Table21[[#This Row],[ROUTE]],DEMAND!A:F,5,FALSE),0)</f>
        <v>0</v>
      </c>
      <c r="N716" s="26">
        <f>IFERROR(VLOOKUP(Table21[[#This Row],[ROUTE]],DEMAND!A:F,6,FALSE),0)</f>
        <v>0</v>
      </c>
      <c r="O716" s="26">
        <f>ROUNDDOWN(Table21[[#This Row],[R-DEMAND]]/1320,0)</f>
        <v>0</v>
      </c>
      <c r="P716" s="26">
        <f>Table21[[#This Row],[ADD ACC]]*Table21[[#This Row],[Duration
(747-400)]]</f>
        <v>0</v>
      </c>
      <c r="Q716" s="284">
        <f>IFERROR(VLOOKUP(Table21[[#This Row],[ROUTE]],PRICING!A:B,2,FALSE),0)</f>
        <v>0</v>
      </c>
      <c r="R716" s="282">
        <f>Table21[[#This Row],[C_DEMAND]]-Table21[[#This Row],[R-DEMAND]]</f>
        <v>0</v>
      </c>
      <c r="S716" s="287">
        <f>Table21[[#This Row],[SEATS SOLD]]*Table21[[#This Row],[ECO SEAT]]</f>
        <v>0</v>
      </c>
    </row>
    <row r="717" spans="1:19" x14ac:dyDescent="0.25">
      <c r="A717" s="16" t="s">
        <v>16195</v>
      </c>
      <c r="B717" s="16" t="s">
        <v>1898</v>
      </c>
      <c r="D717" s="16">
        <v>1</v>
      </c>
      <c r="E717" s="16" t="s">
        <v>11732</v>
      </c>
      <c r="F717" s="16" t="s">
        <v>15969</v>
      </c>
      <c r="G717" s="179" t="s">
        <v>13277</v>
      </c>
      <c r="H717" s="254">
        <v>9835</v>
      </c>
      <c r="I717" s="180">
        <v>24</v>
      </c>
      <c r="K717" s="102">
        <f>IFERROR(Table21[[#This Row],[ROUTE COST]]/Table21[[#This Row],[O - DEMAND]],0)</f>
        <v>0</v>
      </c>
      <c r="M717" s="26">
        <f>IFERROR(VLOOKUP(Table21[[#This Row],[ROUTE]],DEMAND!A:F,5,FALSE),0)</f>
        <v>0</v>
      </c>
      <c r="N717" s="26">
        <f>IFERROR(VLOOKUP(Table21[[#This Row],[ROUTE]],DEMAND!A:F,6,FALSE),0)</f>
        <v>0</v>
      </c>
      <c r="O717" s="26">
        <f>ROUNDDOWN(Table21[[#This Row],[R-DEMAND]]/1320,0)</f>
        <v>0</v>
      </c>
      <c r="P717" s="26">
        <f>Table21[[#This Row],[ADD ACC]]*Table21[[#This Row],[Duration
(747-400)]]</f>
        <v>0</v>
      </c>
      <c r="Q717" s="284">
        <f>IFERROR(VLOOKUP(Table21[[#This Row],[ROUTE]],PRICING!A:B,2,FALSE),0)</f>
        <v>0</v>
      </c>
      <c r="R717" s="282">
        <f>Table21[[#This Row],[C_DEMAND]]-Table21[[#This Row],[R-DEMAND]]</f>
        <v>0</v>
      </c>
      <c r="S717" s="287">
        <f>Table21[[#This Row],[SEATS SOLD]]*Table21[[#This Row],[ECO SEAT]]</f>
        <v>0</v>
      </c>
    </row>
    <row r="718" spans="1:19" x14ac:dyDescent="0.25">
      <c r="A718" s="16" t="s">
        <v>16558</v>
      </c>
      <c r="B718" s="16" t="s">
        <v>3141</v>
      </c>
      <c r="D718" s="16">
        <v>2</v>
      </c>
      <c r="E718" s="16" t="s">
        <v>1847</v>
      </c>
      <c r="F718" s="16" t="s">
        <v>12670</v>
      </c>
      <c r="G718" s="179" t="s">
        <v>11979</v>
      </c>
      <c r="H718" s="254">
        <v>5776</v>
      </c>
      <c r="I718" s="180">
        <v>15</v>
      </c>
      <c r="K718" s="102">
        <f>IFERROR(Table21[[#This Row],[ROUTE COST]]/Table21[[#This Row],[O - DEMAND]],0)</f>
        <v>0</v>
      </c>
      <c r="M718" s="26">
        <f>IFERROR(VLOOKUP(Table21[[#This Row],[ROUTE]],DEMAND!A:F,5,FALSE),0)</f>
        <v>0</v>
      </c>
      <c r="N718" s="26">
        <f>IFERROR(VLOOKUP(Table21[[#This Row],[ROUTE]],DEMAND!A:F,6,FALSE),0)</f>
        <v>0</v>
      </c>
      <c r="O718" s="26">
        <f>ROUNDDOWN(Table21[[#This Row],[R-DEMAND]]/1320,0)</f>
        <v>0</v>
      </c>
      <c r="P718" s="26">
        <f>Table21[[#This Row],[ADD ACC]]*Table21[[#This Row],[Duration
(747-400)]]</f>
        <v>0</v>
      </c>
      <c r="Q718" s="284">
        <f>IFERROR(VLOOKUP(Table21[[#This Row],[ROUTE]],PRICING!A:B,2,FALSE),0)</f>
        <v>0</v>
      </c>
      <c r="R718" s="282">
        <f>Table21[[#This Row],[C_DEMAND]]-Table21[[#This Row],[R-DEMAND]]</f>
        <v>0</v>
      </c>
      <c r="S718" s="287">
        <f>Table21[[#This Row],[SEATS SOLD]]*Table21[[#This Row],[ECO SEAT]]</f>
        <v>0</v>
      </c>
    </row>
    <row r="719" spans="1:19" x14ac:dyDescent="0.25">
      <c r="A719" s="16" t="s">
        <v>16351</v>
      </c>
      <c r="B719" s="16" t="s">
        <v>4144</v>
      </c>
      <c r="D719" s="16">
        <v>2</v>
      </c>
      <c r="E719" s="16" t="s">
        <v>308</v>
      </c>
      <c r="F719" s="16" t="s">
        <v>12674</v>
      </c>
      <c r="G719" s="179" t="s">
        <v>11785</v>
      </c>
      <c r="H719" s="254">
        <v>7971</v>
      </c>
      <c r="I719" s="180">
        <v>19.75</v>
      </c>
      <c r="K719" s="102">
        <f>IFERROR(Table21[[#This Row],[ROUTE COST]]/Table21[[#This Row],[O - DEMAND]],0)</f>
        <v>0</v>
      </c>
      <c r="M719" s="26">
        <f>IFERROR(VLOOKUP(Table21[[#This Row],[ROUTE]],DEMAND!A:F,5,FALSE),0)</f>
        <v>0</v>
      </c>
      <c r="N719" s="26">
        <f>IFERROR(VLOOKUP(Table21[[#This Row],[ROUTE]],DEMAND!A:F,6,FALSE),0)</f>
        <v>0</v>
      </c>
      <c r="O719" s="26">
        <f>ROUNDDOWN(Table21[[#This Row],[R-DEMAND]]/1320,0)</f>
        <v>0</v>
      </c>
      <c r="P719" s="26">
        <f>Table21[[#This Row],[ADD ACC]]*Table21[[#This Row],[Duration
(747-400)]]</f>
        <v>0</v>
      </c>
      <c r="Q719" s="284">
        <f>IFERROR(VLOOKUP(Table21[[#This Row],[ROUTE]],PRICING!A:B,2,FALSE),0)</f>
        <v>0</v>
      </c>
      <c r="R719" s="282">
        <f>Table21[[#This Row],[C_DEMAND]]-Table21[[#This Row],[R-DEMAND]]</f>
        <v>0</v>
      </c>
      <c r="S719" s="287">
        <f>Table21[[#This Row],[SEATS SOLD]]*Table21[[#This Row],[ECO SEAT]]</f>
        <v>0</v>
      </c>
    </row>
    <row r="720" spans="1:19" x14ac:dyDescent="0.25">
      <c r="A720" s="16" t="s">
        <v>16176</v>
      </c>
      <c r="B720" s="16" t="s">
        <v>5341</v>
      </c>
      <c r="D720" s="16">
        <v>3</v>
      </c>
      <c r="E720" s="16" t="s">
        <v>11732</v>
      </c>
      <c r="F720" s="16" t="s">
        <v>15969</v>
      </c>
      <c r="G720" s="179" t="s">
        <v>13272</v>
      </c>
      <c r="H720" s="254">
        <v>10076</v>
      </c>
      <c r="I720" s="180">
        <v>24.5</v>
      </c>
      <c r="K720" s="102">
        <f>IFERROR(Table21[[#This Row],[ROUTE COST]]/Table21[[#This Row],[O - DEMAND]],0)</f>
        <v>0</v>
      </c>
      <c r="M720" s="26">
        <f>IFERROR(VLOOKUP(Table21[[#This Row],[ROUTE]],DEMAND!A:F,5,FALSE),0)</f>
        <v>0</v>
      </c>
      <c r="N720" s="26">
        <f>IFERROR(VLOOKUP(Table21[[#This Row],[ROUTE]],DEMAND!A:F,6,FALSE),0)</f>
        <v>0</v>
      </c>
      <c r="O720" s="26">
        <f>ROUNDDOWN(Table21[[#This Row],[R-DEMAND]]/1320,0)</f>
        <v>0</v>
      </c>
      <c r="P720" s="26">
        <f>Table21[[#This Row],[ADD ACC]]*Table21[[#This Row],[Duration
(747-400)]]</f>
        <v>0</v>
      </c>
      <c r="Q720" s="284">
        <f>IFERROR(VLOOKUP(Table21[[#This Row],[ROUTE]],PRICING!A:B,2,FALSE),0)</f>
        <v>0</v>
      </c>
      <c r="R720" s="282">
        <f>Table21[[#This Row],[C_DEMAND]]-Table21[[#This Row],[R-DEMAND]]</f>
        <v>0</v>
      </c>
      <c r="S720" s="287">
        <f>Table21[[#This Row],[SEATS SOLD]]*Table21[[#This Row],[ECO SEAT]]</f>
        <v>0</v>
      </c>
    </row>
    <row r="721" spans="1:19" x14ac:dyDescent="0.25">
      <c r="A721" s="16" t="s">
        <v>16199</v>
      </c>
      <c r="B721" s="16" t="s">
        <v>4665</v>
      </c>
      <c r="D721" s="16">
        <v>3</v>
      </c>
      <c r="E721" s="16" t="s">
        <v>11732</v>
      </c>
      <c r="F721" s="16" t="s">
        <v>15969</v>
      </c>
      <c r="G721" s="179" t="s">
        <v>13266</v>
      </c>
      <c r="H721" s="254">
        <v>9720</v>
      </c>
      <c r="I721" s="180">
        <v>23.75</v>
      </c>
      <c r="K721" s="102">
        <f>IFERROR(Table21[[#This Row],[ROUTE COST]]/Table21[[#This Row],[O - DEMAND]],0)</f>
        <v>0</v>
      </c>
      <c r="M721" s="26">
        <f>IFERROR(VLOOKUP(Table21[[#This Row],[ROUTE]],DEMAND!A:F,5,FALSE),0)</f>
        <v>0</v>
      </c>
      <c r="N721" s="26">
        <f>IFERROR(VLOOKUP(Table21[[#This Row],[ROUTE]],DEMAND!A:F,6,FALSE),0)</f>
        <v>0</v>
      </c>
      <c r="O721" s="26">
        <f>ROUNDDOWN(Table21[[#This Row],[R-DEMAND]]/1320,0)</f>
        <v>0</v>
      </c>
      <c r="P721" s="26">
        <f>Table21[[#This Row],[ADD ACC]]*Table21[[#This Row],[Duration
(747-400)]]</f>
        <v>0</v>
      </c>
      <c r="Q721" s="284">
        <f>IFERROR(VLOOKUP(Table21[[#This Row],[ROUTE]],PRICING!A:B,2,FALSE),0)</f>
        <v>0</v>
      </c>
      <c r="R721" s="282">
        <f>Table21[[#This Row],[C_DEMAND]]-Table21[[#This Row],[R-DEMAND]]</f>
        <v>0</v>
      </c>
      <c r="S721" s="287">
        <f>Table21[[#This Row],[SEATS SOLD]]*Table21[[#This Row],[ECO SEAT]]</f>
        <v>0</v>
      </c>
    </row>
    <row r="722" spans="1:19" x14ac:dyDescent="0.25">
      <c r="A722" s="16" t="s">
        <v>16217</v>
      </c>
      <c r="B722" s="16" t="s">
        <v>5563</v>
      </c>
      <c r="D722" s="16">
        <v>4</v>
      </c>
      <c r="E722" s="16" t="s">
        <v>11732</v>
      </c>
      <c r="F722" s="16" t="s">
        <v>15969</v>
      </c>
      <c r="G722" s="179" t="s">
        <v>13259</v>
      </c>
      <c r="H722" s="254">
        <v>9497</v>
      </c>
      <c r="I722" s="180">
        <v>23.25</v>
      </c>
      <c r="K722" s="102">
        <f>IFERROR(Table21[[#This Row],[ROUTE COST]]/Table21[[#This Row],[O - DEMAND]],0)</f>
        <v>0</v>
      </c>
      <c r="M722" s="26">
        <f>IFERROR(VLOOKUP(Table21[[#This Row],[ROUTE]],DEMAND!A:F,5,FALSE),0)</f>
        <v>0</v>
      </c>
      <c r="N722" s="26">
        <f>IFERROR(VLOOKUP(Table21[[#This Row],[ROUTE]],DEMAND!A:F,6,FALSE),0)</f>
        <v>0</v>
      </c>
      <c r="O722" s="26">
        <f>ROUNDDOWN(Table21[[#This Row],[R-DEMAND]]/1320,0)</f>
        <v>0</v>
      </c>
      <c r="P722" s="26">
        <f>Table21[[#This Row],[ADD ACC]]*Table21[[#This Row],[Duration
(747-400)]]</f>
        <v>0</v>
      </c>
      <c r="Q722" s="284">
        <f>IFERROR(VLOOKUP(Table21[[#This Row],[ROUTE]],PRICING!A:B,2,FALSE),0)</f>
        <v>0</v>
      </c>
      <c r="R722" s="282">
        <f>Table21[[#This Row],[C_DEMAND]]-Table21[[#This Row],[R-DEMAND]]</f>
        <v>0</v>
      </c>
      <c r="S722" s="287">
        <f>Table21[[#This Row],[SEATS SOLD]]*Table21[[#This Row],[ECO SEAT]]</f>
        <v>0</v>
      </c>
    </row>
    <row r="723" spans="1:19" x14ac:dyDescent="0.25">
      <c r="A723" s="16" t="s">
        <v>16212</v>
      </c>
      <c r="B723" s="16" t="s">
        <v>5534</v>
      </c>
      <c r="D723" s="16">
        <v>4</v>
      </c>
      <c r="E723" s="16" t="s">
        <v>11732</v>
      </c>
      <c r="F723" s="16" t="s">
        <v>15969</v>
      </c>
      <c r="G723" s="179" t="s">
        <v>13260</v>
      </c>
      <c r="H723" s="254">
        <v>9544</v>
      </c>
      <c r="I723" s="180">
        <v>23.25</v>
      </c>
      <c r="K723" s="102">
        <f>IFERROR(Table21[[#This Row],[ROUTE COST]]/Table21[[#This Row],[O - DEMAND]],0)</f>
        <v>0</v>
      </c>
      <c r="M723" s="26">
        <f>IFERROR(VLOOKUP(Table21[[#This Row],[ROUTE]],DEMAND!A:F,5,FALSE),0)</f>
        <v>0</v>
      </c>
      <c r="N723" s="26">
        <f>IFERROR(VLOOKUP(Table21[[#This Row],[ROUTE]],DEMAND!A:F,6,FALSE),0)</f>
        <v>0</v>
      </c>
      <c r="O723" s="26">
        <f>ROUNDDOWN(Table21[[#This Row],[R-DEMAND]]/1320,0)</f>
        <v>0</v>
      </c>
      <c r="P723" s="26">
        <f>Table21[[#This Row],[ADD ACC]]*Table21[[#This Row],[Duration
(747-400)]]</f>
        <v>0</v>
      </c>
      <c r="Q723" s="284">
        <f>IFERROR(VLOOKUP(Table21[[#This Row],[ROUTE]],PRICING!A:B,2,FALSE),0)</f>
        <v>0</v>
      </c>
      <c r="R723" s="282">
        <f>Table21[[#This Row],[C_DEMAND]]-Table21[[#This Row],[R-DEMAND]]</f>
        <v>0</v>
      </c>
      <c r="S723" s="287">
        <f>Table21[[#This Row],[SEATS SOLD]]*Table21[[#This Row],[ECO SEAT]]</f>
        <v>0</v>
      </c>
    </row>
    <row r="724" spans="1:19" x14ac:dyDescent="0.25">
      <c r="A724" s="16" t="s">
        <v>16540</v>
      </c>
      <c r="B724" s="16" t="s">
        <v>3723</v>
      </c>
      <c r="D724" s="16">
        <v>2</v>
      </c>
      <c r="E724" s="16" t="s">
        <v>807</v>
      </c>
      <c r="F724" s="16" t="s">
        <v>12674</v>
      </c>
      <c r="G724" s="179" t="s">
        <v>7487</v>
      </c>
      <c r="H724" s="254">
        <v>6014</v>
      </c>
      <c r="I724" s="180">
        <v>15.5</v>
      </c>
      <c r="K724" s="102">
        <f>IFERROR(Table21[[#This Row],[ROUTE COST]]/Table21[[#This Row],[O - DEMAND]],0)</f>
        <v>0</v>
      </c>
      <c r="M724" s="26">
        <f>IFERROR(VLOOKUP(Table21[[#This Row],[ROUTE]],DEMAND!A:F,5,FALSE),0)</f>
        <v>0</v>
      </c>
      <c r="N724" s="26">
        <f>IFERROR(VLOOKUP(Table21[[#This Row],[ROUTE]],DEMAND!A:F,6,FALSE),0)</f>
        <v>0</v>
      </c>
      <c r="O724" s="26">
        <f>ROUNDDOWN(Table21[[#This Row],[R-DEMAND]]/1320,0)</f>
        <v>0</v>
      </c>
      <c r="P724" s="26">
        <f>Table21[[#This Row],[ADD ACC]]*Table21[[#This Row],[Duration
(747-400)]]</f>
        <v>0</v>
      </c>
      <c r="Q724" s="284">
        <f>IFERROR(VLOOKUP(Table21[[#This Row],[ROUTE]],PRICING!A:B,2,FALSE),0)</f>
        <v>0</v>
      </c>
      <c r="R724" s="282">
        <f>Table21[[#This Row],[C_DEMAND]]-Table21[[#This Row],[R-DEMAND]]</f>
        <v>0</v>
      </c>
      <c r="S724" s="287">
        <f>Table21[[#This Row],[SEATS SOLD]]*Table21[[#This Row],[ECO SEAT]]</f>
        <v>0</v>
      </c>
    </row>
    <row r="725" spans="1:19" x14ac:dyDescent="0.25">
      <c r="A725" s="16" t="s">
        <v>16464</v>
      </c>
      <c r="B725" s="16" t="s">
        <v>3597</v>
      </c>
      <c r="D725" s="16">
        <v>2</v>
      </c>
      <c r="E725" s="16" t="s">
        <v>758</v>
      </c>
      <c r="F725" s="16" t="s">
        <v>12674</v>
      </c>
      <c r="G725" s="179" t="s">
        <v>11817</v>
      </c>
      <c r="H725" s="254">
        <v>7000</v>
      </c>
      <c r="I725" s="180">
        <v>17.75</v>
      </c>
      <c r="K725" s="102">
        <f>IFERROR(Table21[[#This Row],[ROUTE COST]]/Table21[[#This Row],[O - DEMAND]],0)</f>
        <v>0</v>
      </c>
      <c r="M725" s="26">
        <f>IFERROR(VLOOKUP(Table21[[#This Row],[ROUTE]],DEMAND!A:F,5,FALSE),0)</f>
        <v>0</v>
      </c>
      <c r="N725" s="26">
        <f>IFERROR(VLOOKUP(Table21[[#This Row],[ROUTE]],DEMAND!A:F,6,FALSE),0)</f>
        <v>0</v>
      </c>
      <c r="O725" s="26">
        <f>ROUNDDOWN(Table21[[#This Row],[R-DEMAND]]/1320,0)</f>
        <v>0</v>
      </c>
      <c r="P725" s="26">
        <f>Table21[[#This Row],[ADD ACC]]*Table21[[#This Row],[Duration
(747-400)]]</f>
        <v>0</v>
      </c>
      <c r="Q725" s="284">
        <f>IFERROR(VLOOKUP(Table21[[#This Row],[ROUTE]],PRICING!A:B,2,FALSE),0)</f>
        <v>0</v>
      </c>
      <c r="R725" s="282">
        <f>Table21[[#This Row],[C_DEMAND]]-Table21[[#This Row],[R-DEMAND]]</f>
        <v>0</v>
      </c>
      <c r="S725" s="287">
        <f>Table21[[#This Row],[SEATS SOLD]]*Table21[[#This Row],[ECO SEAT]]</f>
        <v>0</v>
      </c>
    </row>
    <row r="726" spans="1:19" x14ac:dyDescent="0.25">
      <c r="A726" s="16" t="s">
        <v>16211</v>
      </c>
      <c r="B726" s="16" t="s">
        <v>1971</v>
      </c>
      <c r="D726" s="16">
        <v>1</v>
      </c>
      <c r="E726" s="16" t="s">
        <v>11732</v>
      </c>
      <c r="F726" s="16" t="s">
        <v>15969</v>
      </c>
      <c r="G726" s="179" t="s">
        <v>13268</v>
      </c>
      <c r="H726" s="254">
        <v>9550</v>
      </c>
      <c r="I726" s="180">
        <v>23.25</v>
      </c>
      <c r="K726" s="102">
        <f>IFERROR(Table21[[#This Row],[ROUTE COST]]/Table21[[#This Row],[O - DEMAND]],0)</f>
        <v>0</v>
      </c>
      <c r="M726" s="26">
        <f>IFERROR(VLOOKUP(Table21[[#This Row],[ROUTE]],DEMAND!A:F,5,FALSE),0)</f>
        <v>0</v>
      </c>
      <c r="N726" s="26">
        <f>IFERROR(VLOOKUP(Table21[[#This Row],[ROUTE]],DEMAND!A:F,6,FALSE),0)</f>
        <v>0</v>
      </c>
      <c r="O726" s="26">
        <f>ROUNDDOWN(Table21[[#This Row],[R-DEMAND]]/1320,0)</f>
        <v>0</v>
      </c>
      <c r="P726" s="26">
        <f>Table21[[#This Row],[ADD ACC]]*Table21[[#This Row],[Duration
(747-400)]]</f>
        <v>0</v>
      </c>
      <c r="Q726" s="284">
        <f>IFERROR(VLOOKUP(Table21[[#This Row],[ROUTE]],PRICING!A:B,2,FALSE),0)</f>
        <v>0</v>
      </c>
      <c r="R726" s="282">
        <f>Table21[[#This Row],[C_DEMAND]]-Table21[[#This Row],[R-DEMAND]]</f>
        <v>0</v>
      </c>
      <c r="S726" s="287">
        <f>Table21[[#This Row],[SEATS SOLD]]*Table21[[#This Row],[ECO SEAT]]</f>
        <v>0</v>
      </c>
    </row>
    <row r="727" spans="1:19" x14ac:dyDescent="0.25">
      <c r="A727" s="16" t="s">
        <v>16448</v>
      </c>
      <c r="B727" s="16" t="s">
        <v>105</v>
      </c>
      <c r="D727" s="16">
        <v>2</v>
      </c>
      <c r="E727" s="16" t="s">
        <v>1420</v>
      </c>
      <c r="F727" s="16" t="s">
        <v>12674</v>
      </c>
      <c r="G727" s="179" t="s">
        <v>11829</v>
      </c>
      <c r="H727" s="254">
        <v>7119</v>
      </c>
      <c r="I727" s="180">
        <v>18</v>
      </c>
      <c r="K727" s="102">
        <f>IFERROR(Table21[[#This Row],[ROUTE COST]]/Table21[[#This Row],[O - DEMAND]],0)</f>
        <v>0</v>
      </c>
      <c r="M727" s="26">
        <f>IFERROR(VLOOKUP(Table21[[#This Row],[ROUTE]],DEMAND!A:F,5,FALSE),0)</f>
        <v>0</v>
      </c>
      <c r="N727" s="26">
        <f>IFERROR(VLOOKUP(Table21[[#This Row],[ROUTE]],DEMAND!A:F,6,FALSE),0)</f>
        <v>0</v>
      </c>
      <c r="O727" s="26">
        <f>ROUNDDOWN(Table21[[#This Row],[R-DEMAND]]/1320,0)</f>
        <v>0</v>
      </c>
      <c r="P727" s="26">
        <f>Table21[[#This Row],[ADD ACC]]*Table21[[#This Row],[Duration
(747-400)]]</f>
        <v>0</v>
      </c>
      <c r="Q727" s="284">
        <f>IFERROR(VLOOKUP(Table21[[#This Row],[ROUTE]],PRICING!A:B,2,FALSE),0)</f>
        <v>0</v>
      </c>
      <c r="R727" s="282">
        <f>Table21[[#This Row],[C_DEMAND]]-Table21[[#This Row],[R-DEMAND]]</f>
        <v>0</v>
      </c>
      <c r="S727" s="287">
        <f>Table21[[#This Row],[SEATS SOLD]]*Table21[[#This Row],[ECO SEAT]]</f>
        <v>0</v>
      </c>
    </row>
    <row r="728" spans="1:19" x14ac:dyDescent="0.25">
      <c r="A728" s="16" t="s">
        <v>16213</v>
      </c>
      <c r="B728" s="16" t="s">
        <v>2247</v>
      </c>
      <c r="D728" s="16">
        <v>1</v>
      </c>
      <c r="E728" s="16" t="s">
        <v>11732</v>
      </c>
      <c r="F728" s="16" t="s">
        <v>15969</v>
      </c>
      <c r="G728" s="179" t="s">
        <v>13261</v>
      </c>
      <c r="H728" s="254">
        <v>9538</v>
      </c>
      <c r="I728" s="180">
        <v>23.25</v>
      </c>
      <c r="K728" s="102">
        <f>IFERROR(Table21[[#This Row],[ROUTE COST]]/Table21[[#This Row],[O - DEMAND]],0)</f>
        <v>0</v>
      </c>
      <c r="M728" s="26">
        <f>IFERROR(VLOOKUP(Table21[[#This Row],[ROUTE]],DEMAND!A:F,5,FALSE),0)</f>
        <v>0</v>
      </c>
      <c r="N728" s="26">
        <f>IFERROR(VLOOKUP(Table21[[#This Row],[ROUTE]],DEMAND!A:F,6,FALSE),0)</f>
        <v>0</v>
      </c>
      <c r="O728" s="26">
        <f>ROUNDDOWN(Table21[[#This Row],[R-DEMAND]]/1320,0)</f>
        <v>0</v>
      </c>
      <c r="P728" s="26">
        <f>Table21[[#This Row],[ADD ACC]]*Table21[[#This Row],[Duration
(747-400)]]</f>
        <v>0</v>
      </c>
      <c r="Q728" s="284">
        <f>IFERROR(VLOOKUP(Table21[[#This Row],[ROUTE]],PRICING!A:B,2,FALSE),0)</f>
        <v>0</v>
      </c>
      <c r="R728" s="282">
        <f>Table21[[#This Row],[C_DEMAND]]-Table21[[#This Row],[R-DEMAND]]</f>
        <v>0</v>
      </c>
      <c r="S728" s="287">
        <f>Table21[[#This Row],[SEATS SOLD]]*Table21[[#This Row],[ECO SEAT]]</f>
        <v>0</v>
      </c>
    </row>
    <row r="729" spans="1:19" x14ac:dyDescent="0.25">
      <c r="A729" s="16" t="s">
        <v>16241</v>
      </c>
      <c r="B729" s="16" t="s">
        <v>4955</v>
      </c>
      <c r="D729" s="16">
        <v>3</v>
      </c>
      <c r="E729" s="16" t="s">
        <v>119</v>
      </c>
      <c r="F729" s="16" t="s">
        <v>12674</v>
      </c>
      <c r="G729" s="179" t="s">
        <v>11680</v>
      </c>
      <c r="H729" s="254">
        <v>9264</v>
      </c>
      <c r="I729" s="180">
        <v>22.75</v>
      </c>
      <c r="K729" s="102">
        <f>IFERROR(Table21[[#This Row],[ROUTE COST]]/Table21[[#This Row],[O - DEMAND]],0)</f>
        <v>0</v>
      </c>
      <c r="M729" s="26">
        <f>IFERROR(VLOOKUP(Table21[[#This Row],[ROUTE]],DEMAND!A:F,5,FALSE),0)</f>
        <v>0</v>
      </c>
      <c r="N729" s="26">
        <f>IFERROR(VLOOKUP(Table21[[#This Row],[ROUTE]],DEMAND!A:F,6,FALSE),0)</f>
        <v>0</v>
      </c>
      <c r="O729" s="26">
        <f>ROUNDDOWN(Table21[[#This Row],[R-DEMAND]]/1320,0)</f>
        <v>0</v>
      </c>
      <c r="P729" s="26">
        <f>Table21[[#This Row],[ADD ACC]]*Table21[[#This Row],[Duration
(747-400)]]</f>
        <v>0</v>
      </c>
      <c r="Q729" s="284">
        <f>IFERROR(VLOOKUP(Table21[[#This Row],[ROUTE]],PRICING!A:B,2,FALSE),0)</f>
        <v>0</v>
      </c>
      <c r="R729" s="282">
        <f>Table21[[#This Row],[C_DEMAND]]-Table21[[#This Row],[R-DEMAND]]</f>
        <v>0</v>
      </c>
      <c r="S729" s="287">
        <f>Table21[[#This Row],[SEATS SOLD]]*Table21[[#This Row],[ECO SEAT]]</f>
        <v>0</v>
      </c>
    </row>
    <row r="730" spans="1:19" x14ac:dyDescent="0.25">
      <c r="A730" s="16" t="s">
        <v>16223</v>
      </c>
      <c r="B730" s="16" t="s">
        <v>4424</v>
      </c>
      <c r="D730" s="16">
        <v>2</v>
      </c>
      <c r="E730" s="16" t="s">
        <v>11732</v>
      </c>
      <c r="F730" s="16" t="s">
        <v>15969</v>
      </c>
      <c r="G730" s="179" t="s">
        <v>13270</v>
      </c>
      <c r="H730" s="254">
        <v>9465</v>
      </c>
      <c r="I730" s="180">
        <v>23</v>
      </c>
      <c r="K730" s="102">
        <f>IFERROR(Table21[[#This Row],[ROUTE COST]]/Table21[[#This Row],[O - DEMAND]],0)</f>
        <v>0</v>
      </c>
      <c r="M730" s="26">
        <f>IFERROR(VLOOKUP(Table21[[#This Row],[ROUTE]],DEMAND!A:F,5,FALSE),0)</f>
        <v>0</v>
      </c>
      <c r="N730" s="26">
        <f>IFERROR(VLOOKUP(Table21[[#This Row],[ROUTE]],DEMAND!A:F,6,FALSE),0)</f>
        <v>0</v>
      </c>
      <c r="O730" s="26">
        <f>ROUNDDOWN(Table21[[#This Row],[R-DEMAND]]/1320,0)</f>
        <v>0</v>
      </c>
      <c r="P730" s="26">
        <f>Table21[[#This Row],[ADD ACC]]*Table21[[#This Row],[Duration
(747-400)]]</f>
        <v>0</v>
      </c>
      <c r="Q730" s="284">
        <f>IFERROR(VLOOKUP(Table21[[#This Row],[ROUTE]],PRICING!A:B,2,FALSE),0)</f>
        <v>0</v>
      </c>
      <c r="R730" s="282">
        <f>Table21[[#This Row],[C_DEMAND]]-Table21[[#This Row],[R-DEMAND]]</f>
        <v>0</v>
      </c>
      <c r="S730" s="287">
        <f>Table21[[#This Row],[SEATS SOLD]]*Table21[[#This Row],[ECO SEAT]]</f>
        <v>0</v>
      </c>
    </row>
    <row r="731" spans="1:19" x14ac:dyDescent="0.25">
      <c r="A731" s="16" t="s">
        <v>16220</v>
      </c>
      <c r="B731" s="16" t="s">
        <v>5247</v>
      </c>
      <c r="D731" s="16">
        <v>3</v>
      </c>
      <c r="E731" s="16" t="s">
        <v>11732</v>
      </c>
      <c r="F731" s="16" t="s">
        <v>15969</v>
      </c>
      <c r="G731" s="179" t="s">
        <v>13263</v>
      </c>
      <c r="H731" s="254">
        <v>9484</v>
      </c>
      <c r="I731" s="180">
        <v>23.25</v>
      </c>
      <c r="K731" s="102">
        <f>IFERROR(Table21[[#This Row],[ROUTE COST]]/Table21[[#This Row],[O - DEMAND]],0)</f>
        <v>0</v>
      </c>
      <c r="M731" s="26">
        <f>IFERROR(VLOOKUP(Table21[[#This Row],[ROUTE]],DEMAND!A:F,5,FALSE),0)</f>
        <v>0</v>
      </c>
      <c r="N731" s="26">
        <f>IFERROR(VLOOKUP(Table21[[#This Row],[ROUTE]],DEMAND!A:F,6,FALSE),0)</f>
        <v>0</v>
      </c>
      <c r="O731" s="26">
        <f>ROUNDDOWN(Table21[[#This Row],[R-DEMAND]]/1320,0)</f>
        <v>0</v>
      </c>
      <c r="P731" s="26">
        <f>Table21[[#This Row],[ADD ACC]]*Table21[[#This Row],[Duration
(747-400)]]</f>
        <v>0</v>
      </c>
      <c r="Q731" s="284">
        <f>IFERROR(VLOOKUP(Table21[[#This Row],[ROUTE]],PRICING!A:B,2,FALSE),0)</f>
        <v>0</v>
      </c>
      <c r="R731" s="282">
        <f>Table21[[#This Row],[C_DEMAND]]-Table21[[#This Row],[R-DEMAND]]</f>
        <v>0</v>
      </c>
      <c r="S731" s="287">
        <f>Table21[[#This Row],[SEATS SOLD]]*Table21[[#This Row],[ECO SEAT]]</f>
        <v>0</v>
      </c>
    </row>
    <row r="732" spans="1:19" x14ac:dyDescent="0.25">
      <c r="A732" s="16" t="s">
        <v>16640</v>
      </c>
      <c r="B732" s="16" t="s">
        <v>4580</v>
      </c>
      <c r="D732" s="16">
        <v>2</v>
      </c>
      <c r="E732" s="16" t="s">
        <v>78</v>
      </c>
      <c r="F732" s="16" t="s">
        <v>12674</v>
      </c>
      <c r="G732" s="179" t="s">
        <v>11916</v>
      </c>
      <c r="H732" s="254">
        <v>3741</v>
      </c>
      <c r="I732" s="180">
        <v>10.5</v>
      </c>
      <c r="K732" s="102">
        <f>IFERROR(Table21[[#This Row],[ROUTE COST]]/Table21[[#This Row],[O - DEMAND]],0)</f>
        <v>0</v>
      </c>
      <c r="M732" s="26">
        <f>IFERROR(VLOOKUP(Table21[[#This Row],[ROUTE]],DEMAND!A:F,5,FALSE),0)</f>
        <v>0</v>
      </c>
      <c r="N732" s="26">
        <f>IFERROR(VLOOKUP(Table21[[#This Row],[ROUTE]],DEMAND!A:F,6,FALSE),0)</f>
        <v>0</v>
      </c>
      <c r="O732" s="26">
        <f>ROUNDDOWN(Table21[[#This Row],[R-DEMAND]]/1320,0)</f>
        <v>0</v>
      </c>
      <c r="P732" s="26">
        <f>Table21[[#This Row],[ADD ACC]]*Table21[[#This Row],[Duration
(747-400)]]</f>
        <v>0</v>
      </c>
      <c r="Q732" s="284">
        <f>IFERROR(VLOOKUP(Table21[[#This Row],[ROUTE]],PRICING!A:B,2,FALSE),0)</f>
        <v>0</v>
      </c>
      <c r="R732" s="282">
        <f>Table21[[#This Row],[C_DEMAND]]-Table21[[#This Row],[R-DEMAND]]</f>
        <v>0</v>
      </c>
      <c r="S732" s="287">
        <f>Table21[[#This Row],[SEATS SOLD]]*Table21[[#This Row],[ECO SEAT]]</f>
        <v>0</v>
      </c>
    </row>
    <row r="733" spans="1:19" x14ac:dyDescent="0.25">
      <c r="A733" s="16" t="s">
        <v>16460</v>
      </c>
      <c r="B733" s="16" t="s">
        <v>2557</v>
      </c>
      <c r="D733" s="16">
        <v>2</v>
      </c>
      <c r="E733" s="16" t="s">
        <v>172</v>
      </c>
      <c r="F733" s="16" t="s">
        <v>12670</v>
      </c>
      <c r="G733" s="179" t="s">
        <v>11955</v>
      </c>
      <c r="H733" s="254">
        <v>7040</v>
      </c>
      <c r="I733" s="180">
        <v>17.75</v>
      </c>
      <c r="K733" s="102">
        <f>IFERROR(Table21[[#This Row],[ROUTE COST]]/Table21[[#This Row],[O - DEMAND]],0)</f>
        <v>0</v>
      </c>
      <c r="M733" s="26">
        <f>IFERROR(VLOOKUP(Table21[[#This Row],[ROUTE]],DEMAND!A:F,5,FALSE),0)</f>
        <v>0</v>
      </c>
      <c r="N733" s="26">
        <f>IFERROR(VLOOKUP(Table21[[#This Row],[ROUTE]],DEMAND!A:F,6,FALSE),0)</f>
        <v>0</v>
      </c>
      <c r="O733" s="26">
        <f>ROUNDDOWN(Table21[[#This Row],[R-DEMAND]]/1320,0)</f>
        <v>0</v>
      </c>
      <c r="P733" s="26">
        <f>Table21[[#This Row],[ADD ACC]]*Table21[[#This Row],[Duration
(747-400)]]</f>
        <v>0</v>
      </c>
      <c r="Q733" s="284">
        <f>IFERROR(VLOOKUP(Table21[[#This Row],[ROUTE]],PRICING!A:B,2,FALSE),0)</f>
        <v>0</v>
      </c>
      <c r="R733" s="282">
        <f>Table21[[#This Row],[C_DEMAND]]-Table21[[#This Row],[R-DEMAND]]</f>
        <v>0</v>
      </c>
      <c r="S733" s="287">
        <f>Table21[[#This Row],[SEATS SOLD]]*Table21[[#This Row],[ECO SEAT]]</f>
        <v>0</v>
      </c>
    </row>
    <row r="734" spans="1:19" x14ac:dyDescent="0.25">
      <c r="A734" s="16" t="s">
        <v>16505</v>
      </c>
      <c r="B734" s="16" t="s">
        <v>4477</v>
      </c>
      <c r="D734" s="16">
        <v>2</v>
      </c>
      <c r="E734" s="16" t="s">
        <v>722</v>
      </c>
      <c r="F734" s="16" t="s">
        <v>12674</v>
      </c>
      <c r="G734" s="179" t="s">
        <v>11856</v>
      </c>
      <c r="H734" s="254">
        <v>6486</v>
      </c>
      <c r="I734" s="180">
        <v>16.5</v>
      </c>
      <c r="K734" s="102">
        <f>IFERROR(Table21[[#This Row],[ROUTE COST]]/Table21[[#This Row],[O - DEMAND]],0)</f>
        <v>0</v>
      </c>
      <c r="M734" s="26">
        <f>IFERROR(VLOOKUP(Table21[[#This Row],[ROUTE]],DEMAND!A:F,5,FALSE),0)</f>
        <v>0</v>
      </c>
      <c r="N734" s="26">
        <f>IFERROR(VLOOKUP(Table21[[#This Row],[ROUTE]],DEMAND!A:F,6,FALSE),0)</f>
        <v>0</v>
      </c>
      <c r="O734" s="26">
        <f>ROUNDDOWN(Table21[[#This Row],[R-DEMAND]]/1320,0)</f>
        <v>0</v>
      </c>
      <c r="P734" s="26">
        <f>Table21[[#This Row],[ADD ACC]]*Table21[[#This Row],[Duration
(747-400)]]</f>
        <v>0</v>
      </c>
      <c r="Q734" s="284">
        <f>IFERROR(VLOOKUP(Table21[[#This Row],[ROUTE]],PRICING!A:B,2,FALSE),0)</f>
        <v>0</v>
      </c>
      <c r="R734" s="282">
        <f>Table21[[#This Row],[C_DEMAND]]-Table21[[#This Row],[R-DEMAND]]</f>
        <v>0</v>
      </c>
      <c r="S734" s="287">
        <f>Table21[[#This Row],[SEATS SOLD]]*Table21[[#This Row],[ECO SEAT]]</f>
        <v>0</v>
      </c>
    </row>
    <row r="735" spans="1:19" x14ac:dyDescent="0.25">
      <c r="A735" s="16" t="s">
        <v>16248</v>
      </c>
      <c r="B735" s="16" t="s">
        <v>3666</v>
      </c>
      <c r="D735" s="16">
        <v>2</v>
      </c>
      <c r="E735" s="16" t="s">
        <v>11732</v>
      </c>
      <c r="F735" s="16" t="s">
        <v>15969</v>
      </c>
      <c r="G735" s="179" t="s">
        <v>13265</v>
      </c>
      <c r="H735" s="254">
        <v>9190</v>
      </c>
      <c r="I735" s="180">
        <v>22.5</v>
      </c>
      <c r="K735" s="102">
        <f>IFERROR(Table21[[#This Row],[ROUTE COST]]/Table21[[#This Row],[O - DEMAND]],0)</f>
        <v>0</v>
      </c>
      <c r="M735" s="26">
        <f>IFERROR(VLOOKUP(Table21[[#This Row],[ROUTE]],DEMAND!A:F,5,FALSE),0)</f>
        <v>0</v>
      </c>
      <c r="N735" s="26">
        <f>IFERROR(VLOOKUP(Table21[[#This Row],[ROUTE]],DEMAND!A:F,6,FALSE),0)</f>
        <v>0</v>
      </c>
      <c r="O735" s="26">
        <f>ROUNDDOWN(Table21[[#This Row],[R-DEMAND]]/1320,0)</f>
        <v>0</v>
      </c>
      <c r="P735" s="26">
        <f>Table21[[#This Row],[ADD ACC]]*Table21[[#This Row],[Duration
(747-400)]]</f>
        <v>0</v>
      </c>
      <c r="Q735" s="284">
        <f>IFERROR(VLOOKUP(Table21[[#This Row],[ROUTE]],PRICING!A:B,2,FALSE),0)</f>
        <v>0</v>
      </c>
      <c r="R735" s="282">
        <f>Table21[[#This Row],[C_DEMAND]]-Table21[[#This Row],[R-DEMAND]]</f>
        <v>0</v>
      </c>
      <c r="S735" s="287">
        <f>Table21[[#This Row],[SEATS SOLD]]*Table21[[#This Row],[ECO SEAT]]</f>
        <v>0</v>
      </c>
    </row>
    <row r="736" spans="1:19" x14ac:dyDescent="0.25">
      <c r="A736" s="251" t="s">
        <v>16725</v>
      </c>
      <c r="B736" s="251" t="s">
        <v>4750</v>
      </c>
      <c r="D736" s="251">
        <v>3</v>
      </c>
      <c r="E736" s="251" t="s">
        <v>14</v>
      </c>
      <c r="F736" s="251" t="s">
        <v>12670</v>
      </c>
      <c r="G736" s="252" t="s">
        <v>12026</v>
      </c>
      <c r="H736" s="254">
        <v>257</v>
      </c>
      <c r="I736" s="180">
        <v>2.75</v>
      </c>
      <c r="K736" s="253">
        <f>IFERROR(Table21[[#This Row],[ROUTE COST]]/Table21[[#This Row],[O - DEMAND]],0)</f>
        <v>0</v>
      </c>
      <c r="M736" s="26">
        <f>IFERROR(VLOOKUP(Table21[[#This Row],[ROUTE]],DEMAND!A:F,5,FALSE),0)</f>
        <v>0</v>
      </c>
      <c r="N736" s="26">
        <f>IFERROR(VLOOKUP(Table21[[#This Row],[ROUTE]],DEMAND!A:F,6,FALSE),0)</f>
        <v>0</v>
      </c>
      <c r="O736" s="26">
        <f>ROUNDDOWN(Table21[[#This Row],[R-DEMAND]]/1320,0)</f>
        <v>0</v>
      </c>
      <c r="P736" s="26">
        <f>Table21[[#This Row],[ADD ACC]]*Table21[[#This Row],[Duration
(747-400)]]</f>
        <v>0</v>
      </c>
      <c r="Q736" s="284">
        <f>IFERROR(VLOOKUP(Table21[[#This Row],[ROUTE]],PRICING!A:B,2,FALSE),0)</f>
        <v>0</v>
      </c>
      <c r="R736" s="282">
        <f>Table21[[#This Row],[C_DEMAND]]-Table21[[#This Row],[R-DEMAND]]</f>
        <v>0</v>
      </c>
      <c r="S736" s="287">
        <f>Table21[[#This Row],[SEATS SOLD]]*Table21[[#This Row],[ECO SEAT]]</f>
        <v>0</v>
      </c>
    </row>
    <row r="737" spans="1:19" x14ac:dyDescent="0.25">
      <c r="A737" s="16" t="s">
        <v>16397</v>
      </c>
      <c r="B737" s="16" t="s">
        <v>930</v>
      </c>
      <c r="D737" s="16">
        <v>1</v>
      </c>
      <c r="E737" s="16" t="s">
        <v>597</v>
      </c>
      <c r="F737" s="16" t="s">
        <v>12674</v>
      </c>
      <c r="G737" s="179" t="s">
        <v>11835</v>
      </c>
      <c r="H737" s="254">
        <v>7504</v>
      </c>
      <c r="I737" s="180">
        <v>18.75</v>
      </c>
      <c r="K737" s="102">
        <f>IFERROR(Table21[[#This Row],[ROUTE COST]]/Table21[[#This Row],[O - DEMAND]],0)</f>
        <v>0</v>
      </c>
      <c r="M737" s="26">
        <f>IFERROR(VLOOKUP(Table21[[#This Row],[ROUTE]],DEMAND!A:F,5,FALSE),0)</f>
        <v>0</v>
      </c>
      <c r="N737" s="26">
        <f>IFERROR(VLOOKUP(Table21[[#This Row],[ROUTE]],DEMAND!A:F,6,FALSE),0)</f>
        <v>0</v>
      </c>
      <c r="O737" s="26">
        <f>ROUNDDOWN(Table21[[#This Row],[R-DEMAND]]/1320,0)</f>
        <v>0</v>
      </c>
      <c r="P737" s="26">
        <f>Table21[[#This Row],[ADD ACC]]*Table21[[#This Row],[Duration
(747-400)]]</f>
        <v>0</v>
      </c>
      <c r="Q737" s="284">
        <f>IFERROR(VLOOKUP(Table21[[#This Row],[ROUTE]],PRICING!A:B,2,FALSE),0)</f>
        <v>0</v>
      </c>
      <c r="R737" s="282">
        <f>Table21[[#This Row],[C_DEMAND]]-Table21[[#This Row],[R-DEMAND]]</f>
        <v>0</v>
      </c>
      <c r="S737" s="287">
        <f>Table21[[#This Row],[SEATS SOLD]]*Table21[[#This Row],[ECO SEAT]]</f>
        <v>0</v>
      </c>
    </row>
    <row r="738" spans="1:19" x14ac:dyDescent="0.25">
      <c r="A738" s="16" t="s">
        <v>16129</v>
      </c>
      <c r="B738" s="16" t="s">
        <v>2686</v>
      </c>
      <c r="D738" s="16">
        <v>2</v>
      </c>
      <c r="E738" s="16" t="s">
        <v>733</v>
      </c>
      <c r="F738" s="16" t="s">
        <v>12674</v>
      </c>
      <c r="G738" s="179" t="s">
        <v>13246</v>
      </c>
      <c r="H738" s="254">
        <v>10603</v>
      </c>
      <c r="I738" s="180">
        <v>25.5</v>
      </c>
      <c r="K738" s="102">
        <f>IFERROR(Table21[[#This Row],[ROUTE COST]]/Table21[[#This Row],[O - DEMAND]],0)</f>
        <v>0</v>
      </c>
      <c r="M738" s="26">
        <f>IFERROR(VLOOKUP(Table21[[#This Row],[ROUTE]],DEMAND!A:F,5,FALSE),0)</f>
        <v>0</v>
      </c>
      <c r="N738" s="26">
        <f>IFERROR(VLOOKUP(Table21[[#This Row],[ROUTE]],DEMAND!A:F,6,FALSE),0)</f>
        <v>0</v>
      </c>
      <c r="O738" s="26">
        <f>ROUNDDOWN(Table21[[#This Row],[R-DEMAND]]/1320,0)</f>
        <v>0</v>
      </c>
      <c r="P738" s="26">
        <f>Table21[[#This Row],[ADD ACC]]*Table21[[#This Row],[Duration
(747-400)]]</f>
        <v>0</v>
      </c>
      <c r="Q738" s="284">
        <f>IFERROR(VLOOKUP(Table21[[#This Row],[ROUTE]],PRICING!A:B,2,FALSE),0)</f>
        <v>0</v>
      </c>
      <c r="R738" s="282">
        <f>Table21[[#This Row],[C_DEMAND]]-Table21[[#This Row],[R-DEMAND]]</f>
        <v>0</v>
      </c>
      <c r="S738" s="287">
        <f>Table21[[#This Row],[SEATS SOLD]]*Table21[[#This Row],[ECO SEAT]]</f>
        <v>0</v>
      </c>
    </row>
    <row r="739" spans="1:19" x14ac:dyDescent="0.25">
      <c r="A739" s="16" t="s">
        <v>16250</v>
      </c>
      <c r="B739" s="16" t="s">
        <v>1924</v>
      </c>
      <c r="D739" s="16">
        <v>1</v>
      </c>
      <c r="E739" s="16" t="s">
        <v>11732</v>
      </c>
      <c r="F739" s="16" t="s">
        <v>15969</v>
      </c>
      <c r="G739" s="179" t="s">
        <v>8825</v>
      </c>
      <c r="H739" s="254">
        <v>9152</v>
      </c>
      <c r="I739" s="180">
        <v>22.5</v>
      </c>
      <c r="K739" s="102">
        <f>IFERROR(Table21[[#This Row],[ROUTE COST]]/Table21[[#This Row],[O - DEMAND]],0)</f>
        <v>0</v>
      </c>
      <c r="M739" s="26">
        <f>IFERROR(VLOOKUP(Table21[[#This Row],[ROUTE]],DEMAND!A:F,5,FALSE),0)</f>
        <v>0</v>
      </c>
      <c r="N739" s="26">
        <f>IFERROR(VLOOKUP(Table21[[#This Row],[ROUTE]],DEMAND!A:F,6,FALSE),0)</f>
        <v>0</v>
      </c>
      <c r="O739" s="26">
        <f>ROUNDDOWN(Table21[[#This Row],[R-DEMAND]]/1320,0)</f>
        <v>0</v>
      </c>
      <c r="P739" s="26">
        <f>Table21[[#This Row],[ADD ACC]]*Table21[[#This Row],[Duration
(747-400)]]</f>
        <v>0</v>
      </c>
      <c r="Q739" s="284">
        <f>IFERROR(VLOOKUP(Table21[[#This Row],[ROUTE]],PRICING!A:B,2,FALSE),0)</f>
        <v>0</v>
      </c>
      <c r="R739" s="282">
        <f>Table21[[#This Row],[C_DEMAND]]-Table21[[#This Row],[R-DEMAND]]</f>
        <v>0</v>
      </c>
      <c r="S739" s="287">
        <f>Table21[[#This Row],[SEATS SOLD]]*Table21[[#This Row],[ECO SEAT]]</f>
        <v>0</v>
      </c>
    </row>
    <row r="740" spans="1:19" x14ac:dyDescent="0.25">
      <c r="A740" s="16" t="s">
        <v>16495</v>
      </c>
      <c r="B740" s="16" t="s">
        <v>510</v>
      </c>
      <c r="D740" s="16">
        <v>1</v>
      </c>
      <c r="E740" s="16" t="s">
        <v>508</v>
      </c>
      <c r="F740" s="16" t="s">
        <v>12674</v>
      </c>
      <c r="G740" s="179" t="s">
        <v>11816</v>
      </c>
      <c r="H740" s="254">
        <v>6605</v>
      </c>
      <c r="I740" s="180">
        <v>16.75</v>
      </c>
      <c r="K740" s="102">
        <f>IFERROR(Table21[[#This Row],[ROUTE COST]]/Table21[[#This Row],[O - DEMAND]],0)</f>
        <v>0</v>
      </c>
      <c r="M740" s="26">
        <f>IFERROR(VLOOKUP(Table21[[#This Row],[ROUTE]],DEMAND!A:F,5,FALSE),0)</f>
        <v>0</v>
      </c>
      <c r="N740" s="26">
        <f>IFERROR(VLOOKUP(Table21[[#This Row],[ROUTE]],DEMAND!A:F,6,FALSE),0)</f>
        <v>0</v>
      </c>
      <c r="O740" s="26">
        <f>ROUNDDOWN(Table21[[#This Row],[R-DEMAND]]/1320,0)</f>
        <v>0</v>
      </c>
      <c r="P740" s="26">
        <f>Table21[[#This Row],[ADD ACC]]*Table21[[#This Row],[Duration
(747-400)]]</f>
        <v>0</v>
      </c>
      <c r="Q740" s="284">
        <f>IFERROR(VLOOKUP(Table21[[#This Row],[ROUTE]],PRICING!A:B,2,FALSE),0)</f>
        <v>0</v>
      </c>
      <c r="R740" s="282">
        <f>Table21[[#This Row],[C_DEMAND]]-Table21[[#This Row],[R-DEMAND]]</f>
        <v>0</v>
      </c>
      <c r="S740" s="287">
        <f>Table21[[#This Row],[SEATS SOLD]]*Table21[[#This Row],[ECO SEAT]]</f>
        <v>0</v>
      </c>
    </row>
    <row r="741" spans="1:19" x14ac:dyDescent="0.25">
      <c r="A741" s="16" t="s">
        <v>16253</v>
      </c>
      <c r="B741" s="16" t="s">
        <v>4158</v>
      </c>
      <c r="D741" s="16">
        <v>2</v>
      </c>
      <c r="E741" s="16" t="s">
        <v>11732</v>
      </c>
      <c r="F741" s="16" t="s">
        <v>15969</v>
      </c>
      <c r="G741" s="179" t="s">
        <v>13262</v>
      </c>
      <c r="H741" s="254">
        <v>9121</v>
      </c>
      <c r="I741" s="180">
        <v>22.25</v>
      </c>
      <c r="K741" s="102">
        <f>IFERROR(Table21[[#This Row],[ROUTE COST]]/Table21[[#This Row],[O - DEMAND]],0)</f>
        <v>0</v>
      </c>
      <c r="M741" s="26">
        <f>IFERROR(VLOOKUP(Table21[[#This Row],[ROUTE]],DEMAND!A:F,5,FALSE),0)</f>
        <v>0</v>
      </c>
      <c r="N741" s="26">
        <f>IFERROR(VLOOKUP(Table21[[#This Row],[ROUTE]],DEMAND!A:F,6,FALSE),0)</f>
        <v>0</v>
      </c>
      <c r="O741" s="26">
        <f>ROUNDDOWN(Table21[[#This Row],[R-DEMAND]]/1320,0)</f>
        <v>0</v>
      </c>
      <c r="P741" s="26">
        <f>Table21[[#This Row],[ADD ACC]]*Table21[[#This Row],[Duration
(747-400)]]</f>
        <v>0</v>
      </c>
      <c r="Q741" s="284">
        <f>IFERROR(VLOOKUP(Table21[[#This Row],[ROUTE]],PRICING!A:B,2,FALSE),0)</f>
        <v>0</v>
      </c>
      <c r="R741" s="282">
        <f>Table21[[#This Row],[C_DEMAND]]-Table21[[#This Row],[R-DEMAND]]</f>
        <v>0</v>
      </c>
      <c r="S741" s="287">
        <f>Table21[[#This Row],[SEATS SOLD]]*Table21[[#This Row],[ECO SEAT]]</f>
        <v>0</v>
      </c>
    </row>
    <row r="742" spans="1:19" x14ac:dyDescent="0.25">
      <c r="A742" s="16" t="s">
        <v>16237</v>
      </c>
      <c r="B742" s="16" t="s">
        <v>5132</v>
      </c>
      <c r="D742" s="16">
        <v>3</v>
      </c>
      <c r="E742" s="16" t="s">
        <v>11732</v>
      </c>
      <c r="F742" s="16" t="s">
        <v>15969</v>
      </c>
      <c r="G742" s="179" t="s">
        <v>13264</v>
      </c>
      <c r="H742" s="254">
        <v>9317</v>
      </c>
      <c r="I742" s="180">
        <v>22.75</v>
      </c>
      <c r="K742" s="102">
        <f>IFERROR(Table21[[#This Row],[ROUTE COST]]/Table21[[#This Row],[O - DEMAND]],0)</f>
        <v>0</v>
      </c>
      <c r="M742" s="26">
        <f>IFERROR(VLOOKUP(Table21[[#This Row],[ROUTE]],DEMAND!A:F,5,FALSE),0)</f>
        <v>0</v>
      </c>
      <c r="N742" s="26">
        <f>IFERROR(VLOOKUP(Table21[[#This Row],[ROUTE]],DEMAND!A:F,6,FALSE),0)</f>
        <v>0</v>
      </c>
      <c r="O742" s="26">
        <f>ROUNDDOWN(Table21[[#This Row],[R-DEMAND]]/1320,0)</f>
        <v>0</v>
      </c>
      <c r="P742" s="26">
        <f>Table21[[#This Row],[ADD ACC]]*Table21[[#This Row],[Duration
(747-400)]]</f>
        <v>0</v>
      </c>
      <c r="Q742" s="284">
        <f>IFERROR(VLOOKUP(Table21[[#This Row],[ROUTE]],PRICING!A:B,2,FALSE),0)</f>
        <v>0</v>
      </c>
      <c r="R742" s="282">
        <f>Table21[[#This Row],[C_DEMAND]]-Table21[[#This Row],[R-DEMAND]]</f>
        <v>0</v>
      </c>
      <c r="S742" s="287">
        <f>Table21[[#This Row],[SEATS SOLD]]*Table21[[#This Row],[ECO SEAT]]</f>
        <v>0</v>
      </c>
    </row>
    <row r="743" spans="1:19" x14ac:dyDescent="0.25">
      <c r="A743" s="16" t="s">
        <v>16286</v>
      </c>
      <c r="B743" s="16" t="s">
        <v>2451</v>
      </c>
      <c r="D743" s="16">
        <v>1</v>
      </c>
      <c r="E743" s="16" t="s">
        <v>11732</v>
      </c>
      <c r="F743" s="16" t="s">
        <v>15969</v>
      </c>
      <c r="G743" s="179" t="s">
        <v>13255</v>
      </c>
      <c r="H743" s="254">
        <v>8675</v>
      </c>
      <c r="I743" s="180">
        <v>21.25</v>
      </c>
      <c r="K743" s="102">
        <f>IFERROR(Table21[[#This Row],[ROUTE COST]]/Table21[[#This Row],[O - DEMAND]],0)</f>
        <v>0</v>
      </c>
      <c r="M743" s="26">
        <f>IFERROR(VLOOKUP(Table21[[#This Row],[ROUTE]],DEMAND!A:F,5,FALSE),0)</f>
        <v>0</v>
      </c>
      <c r="N743" s="26">
        <f>IFERROR(VLOOKUP(Table21[[#This Row],[ROUTE]],DEMAND!A:F,6,FALSE),0)</f>
        <v>0</v>
      </c>
      <c r="O743" s="26">
        <f>ROUNDDOWN(Table21[[#This Row],[R-DEMAND]]/1320,0)</f>
        <v>0</v>
      </c>
      <c r="P743" s="26">
        <f>Table21[[#This Row],[ADD ACC]]*Table21[[#This Row],[Duration
(747-400)]]</f>
        <v>0</v>
      </c>
      <c r="Q743" s="284">
        <f>IFERROR(VLOOKUP(Table21[[#This Row],[ROUTE]],PRICING!A:B,2,FALSE),0)</f>
        <v>0</v>
      </c>
      <c r="R743" s="282">
        <f>Table21[[#This Row],[C_DEMAND]]-Table21[[#This Row],[R-DEMAND]]</f>
        <v>0</v>
      </c>
      <c r="S743" s="287">
        <f>Table21[[#This Row],[SEATS SOLD]]*Table21[[#This Row],[ECO SEAT]]</f>
        <v>0</v>
      </c>
    </row>
    <row r="744" spans="1:19" x14ac:dyDescent="0.25">
      <c r="A744" s="16" t="s">
        <v>16418</v>
      </c>
      <c r="B744" s="16" t="s">
        <v>4279</v>
      </c>
      <c r="D744" s="16">
        <v>2</v>
      </c>
      <c r="E744" s="16" t="s">
        <v>1427</v>
      </c>
      <c r="F744" s="16" t="s">
        <v>12674</v>
      </c>
      <c r="G744" s="179" t="s">
        <v>11787</v>
      </c>
      <c r="H744" s="254">
        <v>7357</v>
      </c>
      <c r="I744" s="180">
        <v>18.5</v>
      </c>
      <c r="K744" s="102">
        <f>IFERROR(Table21[[#This Row],[ROUTE COST]]/Table21[[#This Row],[O - DEMAND]],0)</f>
        <v>0</v>
      </c>
      <c r="M744" s="26">
        <f>IFERROR(VLOOKUP(Table21[[#This Row],[ROUTE]],DEMAND!A:F,5,FALSE),0)</f>
        <v>0</v>
      </c>
      <c r="N744" s="26">
        <f>IFERROR(VLOOKUP(Table21[[#This Row],[ROUTE]],DEMAND!A:F,6,FALSE),0)</f>
        <v>0</v>
      </c>
      <c r="O744" s="26">
        <f>ROUNDDOWN(Table21[[#This Row],[R-DEMAND]]/1320,0)</f>
        <v>0</v>
      </c>
      <c r="P744" s="26">
        <f>Table21[[#This Row],[ADD ACC]]*Table21[[#This Row],[Duration
(747-400)]]</f>
        <v>0</v>
      </c>
      <c r="Q744" s="284">
        <f>IFERROR(VLOOKUP(Table21[[#This Row],[ROUTE]],PRICING!A:B,2,FALSE),0)</f>
        <v>0</v>
      </c>
      <c r="R744" s="282">
        <f>Table21[[#This Row],[C_DEMAND]]-Table21[[#This Row],[R-DEMAND]]</f>
        <v>0</v>
      </c>
      <c r="S744" s="287">
        <f>Table21[[#This Row],[SEATS SOLD]]*Table21[[#This Row],[ECO SEAT]]</f>
        <v>0</v>
      </c>
    </row>
    <row r="745" spans="1:19" x14ac:dyDescent="0.25">
      <c r="A745" s="16" t="s">
        <v>16504</v>
      </c>
      <c r="B745" s="16" t="s">
        <v>4488</v>
      </c>
      <c r="D745" s="16">
        <v>2</v>
      </c>
      <c r="E745" s="16" t="s">
        <v>700</v>
      </c>
      <c r="F745" s="16" t="s">
        <v>12670</v>
      </c>
      <c r="G745" s="179" t="s">
        <v>11868</v>
      </c>
      <c r="H745" s="254">
        <v>6494</v>
      </c>
      <c r="I745" s="180">
        <v>16.5</v>
      </c>
      <c r="K745" s="102">
        <f>IFERROR(Table21[[#This Row],[ROUTE COST]]/Table21[[#This Row],[O - DEMAND]],0)</f>
        <v>0</v>
      </c>
      <c r="M745" s="26">
        <f>IFERROR(VLOOKUP(Table21[[#This Row],[ROUTE]],DEMAND!A:F,5,FALSE),0)</f>
        <v>0</v>
      </c>
      <c r="N745" s="26">
        <f>IFERROR(VLOOKUP(Table21[[#This Row],[ROUTE]],DEMAND!A:F,6,FALSE),0)</f>
        <v>0</v>
      </c>
      <c r="O745" s="26">
        <f>ROUNDDOWN(Table21[[#This Row],[R-DEMAND]]/1320,0)</f>
        <v>0</v>
      </c>
      <c r="P745" s="26">
        <f>Table21[[#This Row],[ADD ACC]]*Table21[[#This Row],[Duration
(747-400)]]</f>
        <v>0</v>
      </c>
      <c r="Q745" s="284">
        <f>IFERROR(VLOOKUP(Table21[[#This Row],[ROUTE]],PRICING!A:B,2,FALSE),0)</f>
        <v>0</v>
      </c>
      <c r="R745" s="282">
        <f>Table21[[#This Row],[C_DEMAND]]-Table21[[#This Row],[R-DEMAND]]</f>
        <v>0</v>
      </c>
      <c r="S745" s="287">
        <f>Table21[[#This Row],[SEATS SOLD]]*Table21[[#This Row],[ECO SEAT]]</f>
        <v>0</v>
      </c>
    </row>
    <row r="746" spans="1:19" x14ac:dyDescent="0.25">
      <c r="A746" s="251" t="s">
        <v>16762</v>
      </c>
      <c r="B746" s="251" t="s">
        <v>4683</v>
      </c>
      <c r="D746" s="251">
        <v>2</v>
      </c>
      <c r="E746" s="251" t="s">
        <v>258</v>
      </c>
      <c r="F746" s="251" t="s">
        <v>12670</v>
      </c>
      <c r="G746" s="252" t="s">
        <v>12021</v>
      </c>
      <c r="H746" s="254">
        <v>1155</v>
      </c>
      <c r="I746" s="180">
        <v>4.75</v>
      </c>
      <c r="K746" s="253">
        <f>IFERROR(Table21[[#This Row],[ROUTE COST]]/Table21[[#This Row],[O - DEMAND]],0)</f>
        <v>0</v>
      </c>
      <c r="M746" s="26">
        <f>IFERROR(VLOOKUP(Table21[[#This Row],[ROUTE]],DEMAND!A:F,5,FALSE),0)</f>
        <v>0</v>
      </c>
      <c r="N746" s="26">
        <f>IFERROR(VLOOKUP(Table21[[#This Row],[ROUTE]],DEMAND!A:F,6,FALSE),0)</f>
        <v>0</v>
      </c>
      <c r="O746" s="26">
        <f>ROUNDDOWN(Table21[[#This Row],[R-DEMAND]]/1320,0)</f>
        <v>0</v>
      </c>
      <c r="P746" s="26">
        <f>Table21[[#This Row],[ADD ACC]]*Table21[[#This Row],[Duration
(747-400)]]</f>
        <v>0</v>
      </c>
      <c r="Q746" s="284">
        <f>IFERROR(VLOOKUP(Table21[[#This Row],[ROUTE]],PRICING!A:B,2,FALSE),0)</f>
        <v>0</v>
      </c>
      <c r="R746" s="282">
        <f>Table21[[#This Row],[C_DEMAND]]-Table21[[#This Row],[R-DEMAND]]</f>
        <v>0</v>
      </c>
      <c r="S746" s="287">
        <f>Table21[[#This Row],[SEATS SOLD]]*Table21[[#This Row],[ECO SEAT]]</f>
        <v>0</v>
      </c>
    </row>
    <row r="747" spans="1:19" x14ac:dyDescent="0.25">
      <c r="A747" s="16" t="s">
        <v>16552</v>
      </c>
      <c r="B747" s="16" t="s">
        <v>4223</v>
      </c>
      <c r="D747" s="16">
        <v>2</v>
      </c>
      <c r="E747" s="16" t="s">
        <v>1578</v>
      </c>
      <c r="F747" s="16" t="s">
        <v>12674</v>
      </c>
      <c r="G747" s="179" t="s">
        <v>11910</v>
      </c>
      <c r="H747" s="254">
        <v>5844</v>
      </c>
      <c r="I747" s="180">
        <v>15</v>
      </c>
      <c r="K747" s="102">
        <f>IFERROR(Table21[[#This Row],[ROUTE COST]]/Table21[[#This Row],[O - DEMAND]],0)</f>
        <v>0</v>
      </c>
      <c r="M747" s="26">
        <f>IFERROR(VLOOKUP(Table21[[#This Row],[ROUTE]],DEMAND!A:F,5,FALSE),0)</f>
        <v>0</v>
      </c>
      <c r="N747" s="26">
        <f>IFERROR(VLOOKUP(Table21[[#This Row],[ROUTE]],DEMAND!A:F,6,FALSE),0)</f>
        <v>0</v>
      </c>
      <c r="O747" s="26">
        <f>ROUNDDOWN(Table21[[#This Row],[R-DEMAND]]/1320,0)</f>
        <v>0</v>
      </c>
      <c r="P747" s="26">
        <f>Table21[[#This Row],[ADD ACC]]*Table21[[#This Row],[Duration
(747-400)]]</f>
        <v>0</v>
      </c>
      <c r="Q747" s="284">
        <f>IFERROR(VLOOKUP(Table21[[#This Row],[ROUTE]],PRICING!A:B,2,FALSE),0)</f>
        <v>0</v>
      </c>
      <c r="R747" s="282">
        <f>Table21[[#This Row],[C_DEMAND]]-Table21[[#This Row],[R-DEMAND]]</f>
        <v>0</v>
      </c>
      <c r="S747" s="287">
        <f>Table21[[#This Row],[SEATS SOLD]]*Table21[[#This Row],[ECO SEAT]]</f>
        <v>0</v>
      </c>
    </row>
    <row r="748" spans="1:19" x14ac:dyDescent="0.25">
      <c r="A748" s="16" t="s">
        <v>16447</v>
      </c>
      <c r="B748" s="16" t="s">
        <v>1935</v>
      </c>
      <c r="D748" s="16">
        <v>1</v>
      </c>
      <c r="E748" s="16" t="s">
        <v>700</v>
      </c>
      <c r="F748" s="16" t="s">
        <v>12670</v>
      </c>
      <c r="G748" s="179" t="s">
        <v>11846</v>
      </c>
      <c r="H748" s="254">
        <v>7128</v>
      </c>
      <c r="I748" s="180">
        <v>18</v>
      </c>
      <c r="K748" s="102">
        <f>IFERROR(Table21[[#This Row],[ROUTE COST]]/Table21[[#This Row],[O - DEMAND]],0)</f>
        <v>0</v>
      </c>
      <c r="M748" s="26">
        <f>IFERROR(VLOOKUP(Table21[[#This Row],[ROUTE]],DEMAND!A:F,5,FALSE),0)</f>
        <v>0</v>
      </c>
      <c r="N748" s="26">
        <f>IFERROR(VLOOKUP(Table21[[#This Row],[ROUTE]],DEMAND!A:F,6,FALSE),0)</f>
        <v>0</v>
      </c>
      <c r="O748" s="26">
        <f>ROUNDDOWN(Table21[[#This Row],[R-DEMAND]]/1320,0)</f>
        <v>0</v>
      </c>
      <c r="P748" s="26">
        <f>Table21[[#This Row],[ADD ACC]]*Table21[[#This Row],[Duration
(747-400)]]</f>
        <v>0</v>
      </c>
      <c r="Q748" s="284">
        <f>IFERROR(VLOOKUP(Table21[[#This Row],[ROUTE]],PRICING!A:B,2,FALSE),0)</f>
        <v>0</v>
      </c>
      <c r="R748" s="282">
        <f>Table21[[#This Row],[C_DEMAND]]-Table21[[#This Row],[R-DEMAND]]</f>
        <v>0</v>
      </c>
      <c r="S748" s="287">
        <f>Table21[[#This Row],[SEATS SOLD]]*Table21[[#This Row],[ECO SEAT]]</f>
        <v>0</v>
      </c>
    </row>
    <row r="749" spans="1:19" x14ac:dyDescent="0.25">
      <c r="A749" s="251" t="s">
        <v>16748</v>
      </c>
      <c r="B749" s="251" t="s">
        <v>1463</v>
      </c>
      <c r="D749" s="251">
        <v>1</v>
      </c>
      <c r="E749" s="251" t="s">
        <v>14</v>
      </c>
      <c r="F749" s="251" t="s">
        <v>12670</v>
      </c>
      <c r="G749" s="252" t="s">
        <v>12043</v>
      </c>
      <c r="H749" s="254">
        <v>1128</v>
      </c>
      <c r="I749" s="180">
        <v>4.5</v>
      </c>
      <c r="K749" s="253">
        <f>IFERROR(Table21[[#This Row],[ROUTE COST]]/Table21[[#This Row],[O - DEMAND]],0)</f>
        <v>0</v>
      </c>
      <c r="M749" s="26">
        <f>IFERROR(VLOOKUP(Table21[[#This Row],[ROUTE]],DEMAND!A:F,5,FALSE),0)</f>
        <v>0</v>
      </c>
      <c r="N749" s="26">
        <f>IFERROR(VLOOKUP(Table21[[#This Row],[ROUTE]],DEMAND!A:F,6,FALSE),0)</f>
        <v>0</v>
      </c>
      <c r="O749" s="26">
        <f>ROUNDDOWN(Table21[[#This Row],[R-DEMAND]]/1320,0)</f>
        <v>0</v>
      </c>
      <c r="P749" s="26">
        <f>Table21[[#This Row],[ADD ACC]]*Table21[[#This Row],[Duration
(747-400)]]</f>
        <v>0</v>
      </c>
      <c r="Q749" s="284">
        <f>IFERROR(VLOOKUP(Table21[[#This Row],[ROUTE]],PRICING!A:B,2,FALSE),0)</f>
        <v>0</v>
      </c>
      <c r="R749" s="282">
        <f>Table21[[#This Row],[C_DEMAND]]-Table21[[#This Row],[R-DEMAND]]</f>
        <v>0</v>
      </c>
      <c r="S749" s="287">
        <f>Table21[[#This Row],[SEATS SOLD]]*Table21[[#This Row],[ECO SEAT]]</f>
        <v>0</v>
      </c>
    </row>
    <row r="750" spans="1:19" x14ac:dyDescent="0.25">
      <c r="A750" s="16" t="s">
        <v>16421</v>
      </c>
      <c r="B750" s="16" t="s">
        <v>3931</v>
      </c>
      <c r="D750" s="16">
        <v>2</v>
      </c>
      <c r="E750" s="16" t="s">
        <v>172</v>
      </c>
      <c r="F750" s="16" t="s">
        <v>12670</v>
      </c>
      <c r="G750" s="179" t="s">
        <v>7147</v>
      </c>
      <c r="H750" s="254">
        <v>7335</v>
      </c>
      <c r="I750" s="180">
        <v>18.25</v>
      </c>
      <c r="K750" s="102">
        <f>IFERROR(Table21[[#This Row],[ROUTE COST]]/Table21[[#This Row],[O - DEMAND]],0)</f>
        <v>0</v>
      </c>
      <c r="M750" s="26">
        <f>IFERROR(VLOOKUP(Table21[[#This Row],[ROUTE]],DEMAND!A:F,5,FALSE),0)</f>
        <v>0</v>
      </c>
      <c r="N750" s="26">
        <f>IFERROR(VLOOKUP(Table21[[#This Row],[ROUTE]],DEMAND!A:F,6,FALSE),0)</f>
        <v>0</v>
      </c>
      <c r="O750" s="26">
        <f>ROUNDDOWN(Table21[[#This Row],[R-DEMAND]]/1320,0)</f>
        <v>0</v>
      </c>
      <c r="P750" s="26">
        <f>Table21[[#This Row],[ADD ACC]]*Table21[[#This Row],[Duration
(747-400)]]</f>
        <v>0</v>
      </c>
      <c r="Q750" s="284">
        <f>IFERROR(VLOOKUP(Table21[[#This Row],[ROUTE]],PRICING!A:B,2,FALSE),0)</f>
        <v>0</v>
      </c>
      <c r="R750" s="282">
        <f>Table21[[#This Row],[C_DEMAND]]-Table21[[#This Row],[R-DEMAND]]</f>
        <v>0</v>
      </c>
      <c r="S750" s="287">
        <f>Table21[[#This Row],[SEATS SOLD]]*Table21[[#This Row],[ECO SEAT]]</f>
        <v>0</v>
      </c>
    </row>
    <row r="751" spans="1:19" x14ac:dyDescent="0.25">
      <c r="A751" s="16" t="s">
        <v>16619</v>
      </c>
      <c r="B751" s="16" t="s">
        <v>4510</v>
      </c>
      <c r="D751" s="16">
        <v>2</v>
      </c>
      <c r="E751" s="16" t="s">
        <v>78</v>
      </c>
      <c r="F751" s="16" t="s">
        <v>12674</v>
      </c>
      <c r="G751" s="179" t="s">
        <v>11919</v>
      </c>
      <c r="H751" s="254">
        <v>4094</v>
      </c>
      <c r="I751" s="180">
        <v>11.25</v>
      </c>
      <c r="K751" s="102">
        <f>IFERROR(Table21[[#This Row],[ROUTE COST]]/Table21[[#This Row],[O - DEMAND]],0)</f>
        <v>0</v>
      </c>
      <c r="M751" s="26">
        <f>IFERROR(VLOOKUP(Table21[[#This Row],[ROUTE]],DEMAND!A:F,5,FALSE),0)</f>
        <v>0</v>
      </c>
      <c r="N751" s="26">
        <f>IFERROR(VLOOKUP(Table21[[#This Row],[ROUTE]],DEMAND!A:F,6,FALSE),0)</f>
        <v>0</v>
      </c>
      <c r="O751" s="26">
        <f>ROUNDDOWN(Table21[[#This Row],[R-DEMAND]]/1320,0)</f>
        <v>0</v>
      </c>
      <c r="P751" s="26">
        <f>Table21[[#This Row],[ADD ACC]]*Table21[[#This Row],[Duration
(747-400)]]</f>
        <v>0</v>
      </c>
      <c r="Q751" s="284">
        <f>IFERROR(VLOOKUP(Table21[[#This Row],[ROUTE]],PRICING!A:B,2,FALSE),0)</f>
        <v>0</v>
      </c>
      <c r="R751" s="282">
        <f>Table21[[#This Row],[C_DEMAND]]-Table21[[#This Row],[R-DEMAND]]</f>
        <v>0</v>
      </c>
      <c r="S751" s="287">
        <f>Table21[[#This Row],[SEATS SOLD]]*Table21[[#This Row],[ECO SEAT]]</f>
        <v>0</v>
      </c>
    </row>
    <row r="752" spans="1:19" x14ac:dyDescent="0.25">
      <c r="A752" s="251" t="s">
        <v>16729</v>
      </c>
      <c r="B752" s="251" t="s">
        <v>52</v>
      </c>
      <c r="D752" s="251">
        <v>3</v>
      </c>
      <c r="E752" s="251" t="s">
        <v>14</v>
      </c>
      <c r="F752" s="251" t="s">
        <v>12670</v>
      </c>
      <c r="G752" s="252" t="s">
        <v>12033</v>
      </c>
      <c r="H752" s="254">
        <v>362</v>
      </c>
      <c r="I752" s="180">
        <v>3</v>
      </c>
      <c r="K752" s="253">
        <f>IFERROR(Table21[[#This Row],[ROUTE COST]]/Table21[[#This Row],[O - DEMAND]],0)</f>
        <v>0</v>
      </c>
      <c r="M752" s="26">
        <f>IFERROR(VLOOKUP(Table21[[#This Row],[ROUTE]],DEMAND!A:F,5,FALSE),0)</f>
        <v>0</v>
      </c>
      <c r="N752" s="26">
        <f>IFERROR(VLOOKUP(Table21[[#This Row],[ROUTE]],DEMAND!A:F,6,FALSE),0)</f>
        <v>0</v>
      </c>
      <c r="O752" s="26">
        <f>ROUNDDOWN(Table21[[#This Row],[R-DEMAND]]/1320,0)</f>
        <v>0</v>
      </c>
      <c r="P752" s="26">
        <f>Table21[[#This Row],[ADD ACC]]*Table21[[#This Row],[Duration
(747-400)]]</f>
        <v>0</v>
      </c>
      <c r="Q752" s="284">
        <f>IFERROR(VLOOKUP(Table21[[#This Row],[ROUTE]],PRICING!A:B,2,FALSE),0)</f>
        <v>0</v>
      </c>
      <c r="R752" s="282">
        <f>Table21[[#This Row],[C_DEMAND]]-Table21[[#This Row],[R-DEMAND]]</f>
        <v>0</v>
      </c>
      <c r="S752" s="287">
        <f>Table21[[#This Row],[SEATS SOLD]]*Table21[[#This Row],[ECO SEAT]]</f>
        <v>0</v>
      </c>
    </row>
    <row r="753" spans="1:19" x14ac:dyDescent="0.25">
      <c r="A753" s="16" t="s">
        <v>16300</v>
      </c>
      <c r="B753" s="16" t="s">
        <v>4744</v>
      </c>
      <c r="D753" s="16">
        <v>3</v>
      </c>
      <c r="E753" s="16" t="s">
        <v>11732</v>
      </c>
      <c r="F753" s="16" t="s">
        <v>15969</v>
      </c>
      <c r="G753" s="179" t="s">
        <v>11759</v>
      </c>
      <c r="H753" s="254">
        <v>8480</v>
      </c>
      <c r="I753" s="180">
        <v>21</v>
      </c>
      <c r="K753" s="102">
        <f>IFERROR(Table21[[#This Row],[ROUTE COST]]/Table21[[#This Row],[O - DEMAND]],0)</f>
        <v>0</v>
      </c>
      <c r="M753" s="26">
        <f>IFERROR(VLOOKUP(Table21[[#This Row],[ROUTE]],DEMAND!A:F,5,FALSE),0)</f>
        <v>0</v>
      </c>
      <c r="N753" s="26">
        <f>IFERROR(VLOOKUP(Table21[[#This Row],[ROUTE]],DEMAND!A:F,6,FALSE),0)</f>
        <v>0</v>
      </c>
      <c r="O753" s="26">
        <f>ROUNDDOWN(Table21[[#This Row],[R-DEMAND]]/1320,0)</f>
        <v>0</v>
      </c>
      <c r="P753" s="26">
        <f>Table21[[#This Row],[ADD ACC]]*Table21[[#This Row],[Duration
(747-400)]]</f>
        <v>0</v>
      </c>
      <c r="Q753" s="284">
        <f>IFERROR(VLOOKUP(Table21[[#This Row],[ROUTE]],PRICING!A:B,2,FALSE),0)</f>
        <v>0</v>
      </c>
      <c r="R753" s="282">
        <f>Table21[[#This Row],[C_DEMAND]]-Table21[[#This Row],[R-DEMAND]]</f>
        <v>0</v>
      </c>
      <c r="S753" s="287">
        <f>Table21[[#This Row],[SEATS SOLD]]*Table21[[#This Row],[ECO SEAT]]</f>
        <v>0</v>
      </c>
    </row>
    <row r="754" spans="1:19" x14ac:dyDescent="0.25">
      <c r="A754" s="16" t="s">
        <v>16482</v>
      </c>
      <c r="B754" s="16" t="s">
        <v>5234</v>
      </c>
      <c r="D754" s="16">
        <v>3</v>
      </c>
      <c r="E754" s="16" t="s">
        <v>605</v>
      </c>
      <c r="F754" s="16" t="s">
        <v>12674</v>
      </c>
      <c r="G754" s="179" t="s">
        <v>11779</v>
      </c>
      <c r="H754" s="254">
        <v>6792</v>
      </c>
      <c r="I754" s="180">
        <v>17.25</v>
      </c>
      <c r="K754" s="102">
        <f>IFERROR(Table21[[#This Row],[ROUTE COST]]/Table21[[#This Row],[O - DEMAND]],0)</f>
        <v>0</v>
      </c>
      <c r="M754" s="26">
        <f>IFERROR(VLOOKUP(Table21[[#This Row],[ROUTE]],DEMAND!A:F,5,FALSE),0)</f>
        <v>0</v>
      </c>
      <c r="N754" s="26">
        <f>IFERROR(VLOOKUP(Table21[[#This Row],[ROUTE]],DEMAND!A:F,6,FALSE),0)</f>
        <v>0</v>
      </c>
      <c r="O754" s="26">
        <f>ROUNDDOWN(Table21[[#This Row],[R-DEMAND]]/1320,0)</f>
        <v>0</v>
      </c>
      <c r="P754" s="26">
        <f>Table21[[#This Row],[ADD ACC]]*Table21[[#This Row],[Duration
(747-400)]]</f>
        <v>0</v>
      </c>
      <c r="Q754" s="284">
        <f>IFERROR(VLOOKUP(Table21[[#This Row],[ROUTE]],PRICING!A:B,2,FALSE),0)</f>
        <v>0</v>
      </c>
      <c r="R754" s="282">
        <f>Table21[[#This Row],[C_DEMAND]]-Table21[[#This Row],[R-DEMAND]]</f>
        <v>0</v>
      </c>
      <c r="S754" s="287">
        <f>Table21[[#This Row],[SEATS SOLD]]*Table21[[#This Row],[ECO SEAT]]</f>
        <v>0</v>
      </c>
    </row>
    <row r="755" spans="1:19" x14ac:dyDescent="0.25">
      <c r="A755" s="16" t="s">
        <v>16449</v>
      </c>
      <c r="B755" s="16" t="s">
        <v>4847</v>
      </c>
      <c r="D755" s="16">
        <v>3</v>
      </c>
      <c r="E755" s="16" t="s">
        <v>605</v>
      </c>
      <c r="F755" s="16" t="s">
        <v>12674</v>
      </c>
      <c r="G755" s="179" t="s">
        <v>11771</v>
      </c>
      <c r="H755" s="254">
        <v>7087</v>
      </c>
      <c r="I755" s="180">
        <v>17.75</v>
      </c>
      <c r="K755" s="102">
        <f>IFERROR(Table21[[#This Row],[ROUTE COST]]/Table21[[#This Row],[O - DEMAND]],0)</f>
        <v>0</v>
      </c>
      <c r="M755" s="26">
        <f>IFERROR(VLOOKUP(Table21[[#This Row],[ROUTE]],DEMAND!A:F,5,FALSE),0)</f>
        <v>0</v>
      </c>
      <c r="N755" s="26">
        <f>IFERROR(VLOOKUP(Table21[[#This Row],[ROUTE]],DEMAND!A:F,6,FALSE),0)</f>
        <v>0</v>
      </c>
      <c r="O755" s="26">
        <f>ROUNDDOWN(Table21[[#This Row],[R-DEMAND]]/1320,0)</f>
        <v>0</v>
      </c>
      <c r="P755" s="26">
        <f>Table21[[#This Row],[ADD ACC]]*Table21[[#This Row],[Duration
(747-400)]]</f>
        <v>0</v>
      </c>
      <c r="Q755" s="284">
        <f>IFERROR(VLOOKUP(Table21[[#This Row],[ROUTE]],PRICING!A:B,2,FALSE),0)</f>
        <v>0</v>
      </c>
      <c r="R755" s="282">
        <f>Table21[[#This Row],[C_DEMAND]]-Table21[[#This Row],[R-DEMAND]]</f>
        <v>0</v>
      </c>
      <c r="S755" s="287">
        <f>Table21[[#This Row],[SEATS SOLD]]*Table21[[#This Row],[ECO SEAT]]</f>
        <v>0</v>
      </c>
    </row>
    <row r="756" spans="1:19" x14ac:dyDescent="0.25">
      <c r="A756" s="16" t="s">
        <v>16320</v>
      </c>
      <c r="B756" s="16" t="s">
        <v>5236</v>
      </c>
      <c r="D756" s="16">
        <v>3</v>
      </c>
      <c r="E756" s="16" t="s">
        <v>308</v>
      </c>
      <c r="F756" s="16" t="s">
        <v>12674</v>
      </c>
      <c r="G756" s="179" t="s">
        <v>11744</v>
      </c>
      <c r="H756" s="254">
        <v>8189</v>
      </c>
      <c r="I756" s="180">
        <v>20.25</v>
      </c>
      <c r="K756" s="102">
        <f>IFERROR(Table21[[#This Row],[ROUTE COST]]/Table21[[#This Row],[O - DEMAND]],0)</f>
        <v>0</v>
      </c>
      <c r="M756" s="26">
        <f>IFERROR(VLOOKUP(Table21[[#This Row],[ROUTE]],DEMAND!A:F,5,FALSE),0)</f>
        <v>0</v>
      </c>
      <c r="N756" s="26">
        <f>IFERROR(VLOOKUP(Table21[[#This Row],[ROUTE]],DEMAND!A:F,6,FALSE),0)</f>
        <v>0</v>
      </c>
      <c r="O756" s="26">
        <f>ROUNDDOWN(Table21[[#This Row],[R-DEMAND]]/1320,0)</f>
        <v>0</v>
      </c>
      <c r="P756" s="26">
        <f>Table21[[#This Row],[ADD ACC]]*Table21[[#This Row],[Duration
(747-400)]]</f>
        <v>0</v>
      </c>
      <c r="Q756" s="284">
        <f>IFERROR(VLOOKUP(Table21[[#This Row],[ROUTE]],PRICING!A:B,2,FALSE),0)</f>
        <v>0</v>
      </c>
      <c r="R756" s="282">
        <f>Table21[[#This Row],[C_DEMAND]]-Table21[[#This Row],[R-DEMAND]]</f>
        <v>0</v>
      </c>
      <c r="S756" s="287">
        <f>Table21[[#This Row],[SEATS SOLD]]*Table21[[#This Row],[ECO SEAT]]</f>
        <v>0</v>
      </c>
    </row>
    <row r="757" spans="1:19" x14ac:dyDescent="0.25">
      <c r="A757" s="16" t="s">
        <v>16371</v>
      </c>
      <c r="B757" s="16" t="s">
        <v>4355</v>
      </c>
      <c r="D757" s="16">
        <v>2</v>
      </c>
      <c r="E757" s="16" t="s">
        <v>308</v>
      </c>
      <c r="F757" s="16" t="s">
        <v>12674</v>
      </c>
      <c r="G757" s="179" t="s">
        <v>11788</v>
      </c>
      <c r="H757" s="254">
        <v>7794</v>
      </c>
      <c r="I757" s="180">
        <v>19.5</v>
      </c>
      <c r="K757" s="102">
        <f>IFERROR(Table21[[#This Row],[ROUTE COST]]/Table21[[#This Row],[O - DEMAND]],0)</f>
        <v>0</v>
      </c>
      <c r="M757" s="26">
        <f>IFERROR(VLOOKUP(Table21[[#This Row],[ROUTE]],DEMAND!A:F,5,FALSE),0)</f>
        <v>0</v>
      </c>
      <c r="N757" s="26">
        <f>IFERROR(VLOOKUP(Table21[[#This Row],[ROUTE]],DEMAND!A:F,6,FALSE),0)</f>
        <v>0</v>
      </c>
      <c r="O757" s="26">
        <f>ROUNDDOWN(Table21[[#This Row],[R-DEMAND]]/1320,0)</f>
        <v>0</v>
      </c>
      <c r="P757" s="26">
        <f>Table21[[#This Row],[ADD ACC]]*Table21[[#This Row],[Duration
(747-400)]]</f>
        <v>0</v>
      </c>
      <c r="Q757" s="284">
        <f>IFERROR(VLOOKUP(Table21[[#This Row],[ROUTE]],PRICING!A:B,2,FALSE),0)</f>
        <v>0</v>
      </c>
      <c r="R757" s="282">
        <f>Table21[[#This Row],[C_DEMAND]]-Table21[[#This Row],[R-DEMAND]]</f>
        <v>0</v>
      </c>
      <c r="S757" s="287">
        <f>Table21[[#This Row],[SEATS SOLD]]*Table21[[#This Row],[ECO SEAT]]</f>
        <v>0</v>
      </c>
    </row>
    <row r="758" spans="1:19" x14ac:dyDescent="0.25">
      <c r="A758" s="251" t="s">
        <v>16724</v>
      </c>
      <c r="B758" s="251" t="s">
        <v>42</v>
      </c>
      <c r="D758" s="251">
        <v>3</v>
      </c>
      <c r="E758" s="251" t="s">
        <v>14</v>
      </c>
      <c r="F758" s="251" t="s">
        <v>12670</v>
      </c>
      <c r="G758" s="252" t="s">
        <v>12023</v>
      </c>
      <c r="H758" s="254">
        <v>124</v>
      </c>
      <c r="I758" s="180">
        <v>2.5</v>
      </c>
      <c r="K758" s="253">
        <f>IFERROR(Table21[[#This Row],[ROUTE COST]]/Table21[[#This Row],[O - DEMAND]],0)</f>
        <v>0</v>
      </c>
      <c r="M758" s="26">
        <f>IFERROR(VLOOKUP(Table21[[#This Row],[ROUTE]],DEMAND!A:F,5,FALSE),0)</f>
        <v>0</v>
      </c>
      <c r="N758" s="26">
        <f>IFERROR(VLOOKUP(Table21[[#This Row],[ROUTE]],DEMAND!A:F,6,FALSE),0)</f>
        <v>0</v>
      </c>
      <c r="O758" s="26">
        <f>ROUNDDOWN(Table21[[#This Row],[R-DEMAND]]/1320,0)</f>
        <v>0</v>
      </c>
      <c r="P758" s="26">
        <f>Table21[[#This Row],[ADD ACC]]*Table21[[#This Row],[Duration
(747-400)]]</f>
        <v>0</v>
      </c>
      <c r="Q758" s="284">
        <f>IFERROR(VLOOKUP(Table21[[#This Row],[ROUTE]],PRICING!A:B,2,FALSE),0)</f>
        <v>0</v>
      </c>
      <c r="R758" s="282">
        <f>Table21[[#This Row],[C_DEMAND]]-Table21[[#This Row],[R-DEMAND]]</f>
        <v>0</v>
      </c>
      <c r="S758" s="287">
        <f>Table21[[#This Row],[SEATS SOLD]]*Table21[[#This Row],[ECO SEAT]]</f>
        <v>0</v>
      </c>
    </row>
    <row r="759" spans="1:19" x14ac:dyDescent="0.25">
      <c r="A759" s="16" t="s">
        <v>16427</v>
      </c>
      <c r="B759" s="16" t="s">
        <v>4535</v>
      </c>
      <c r="D759" s="16">
        <v>2</v>
      </c>
      <c r="E759" s="16" t="s">
        <v>1420</v>
      </c>
      <c r="F759" s="16" t="s">
        <v>12674</v>
      </c>
      <c r="G759" s="179" t="s">
        <v>11820</v>
      </c>
      <c r="H759" s="254">
        <v>7297</v>
      </c>
      <c r="I759" s="180">
        <v>18.25</v>
      </c>
      <c r="K759" s="102">
        <f>IFERROR(Table21[[#This Row],[ROUTE COST]]/Table21[[#This Row],[O - DEMAND]],0)</f>
        <v>0</v>
      </c>
      <c r="M759" s="26">
        <f>IFERROR(VLOOKUP(Table21[[#This Row],[ROUTE]],DEMAND!A:F,5,FALSE),0)</f>
        <v>0</v>
      </c>
      <c r="N759" s="26">
        <f>IFERROR(VLOOKUP(Table21[[#This Row],[ROUTE]],DEMAND!A:F,6,FALSE),0)</f>
        <v>0</v>
      </c>
      <c r="O759" s="26">
        <f>ROUNDDOWN(Table21[[#This Row],[R-DEMAND]]/1320,0)</f>
        <v>0</v>
      </c>
      <c r="P759" s="26">
        <f>Table21[[#This Row],[ADD ACC]]*Table21[[#This Row],[Duration
(747-400)]]</f>
        <v>0</v>
      </c>
      <c r="Q759" s="284">
        <f>IFERROR(VLOOKUP(Table21[[#This Row],[ROUTE]],PRICING!A:B,2,FALSE),0)</f>
        <v>0</v>
      </c>
      <c r="R759" s="282">
        <f>Table21[[#This Row],[C_DEMAND]]-Table21[[#This Row],[R-DEMAND]]</f>
        <v>0</v>
      </c>
      <c r="S759" s="287">
        <f>Table21[[#This Row],[SEATS SOLD]]*Table21[[#This Row],[ECO SEAT]]</f>
        <v>0</v>
      </c>
    </row>
    <row r="760" spans="1:19" x14ac:dyDescent="0.25">
      <c r="A760" s="16" t="s">
        <v>16478</v>
      </c>
      <c r="B760" s="16" t="s">
        <v>1820</v>
      </c>
      <c r="D760" s="16">
        <v>1</v>
      </c>
      <c r="E760" s="16" t="s">
        <v>172</v>
      </c>
      <c r="F760" s="16" t="s">
        <v>12670</v>
      </c>
      <c r="G760" s="179" t="s">
        <v>6966</v>
      </c>
      <c r="H760" s="254">
        <v>6854</v>
      </c>
      <c r="I760" s="180">
        <v>17.25</v>
      </c>
      <c r="K760" s="102">
        <f>IFERROR(Table21[[#This Row],[ROUTE COST]]/Table21[[#This Row],[O - DEMAND]],0)</f>
        <v>0</v>
      </c>
      <c r="M760" s="26">
        <f>IFERROR(VLOOKUP(Table21[[#This Row],[ROUTE]],DEMAND!A:F,5,FALSE),0)</f>
        <v>0</v>
      </c>
      <c r="N760" s="26">
        <f>IFERROR(VLOOKUP(Table21[[#This Row],[ROUTE]],DEMAND!A:F,6,FALSE),0)</f>
        <v>0</v>
      </c>
      <c r="O760" s="26">
        <f>ROUNDDOWN(Table21[[#This Row],[R-DEMAND]]/1320,0)</f>
        <v>0</v>
      </c>
      <c r="P760" s="26">
        <f>Table21[[#This Row],[ADD ACC]]*Table21[[#This Row],[Duration
(747-400)]]</f>
        <v>0</v>
      </c>
      <c r="Q760" s="284">
        <f>IFERROR(VLOOKUP(Table21[[#This Row],[ROUTE]],PRICING!A:B,2,FALSE),0)</f>
        <v>0</v>
      </c>
      <c r="R760" s="282">
        <f>Table21[[#This Row],[C_DEMAND]]-Table21[[#This Row],[R-DEMAND]]</f>
        <v>0</v>
      </c>
      <c r="S760" s="287">
        <f>Table21[[#This Row],[SEATS SOLD]]*Table21[[#This Row],[ECO SEAT]]</f>
        <v>0</v>
      </c>
    </row>
    <row r="761" spans="1:19" x14ac:dyDescent="0.25">
      <c r="A761" s="16" t="s">
        <v>16308</v>
      </c>
      <c r="B761" s="16" t="s">
        <v>5095</v>
      </c>
      <c r="D761" s="16">
        <v>3</v>
      </c>
      <c r="E761" s="16" t="s">
        <v>11732</v>
      </c>
      <c r="F761" s="16" t="s">
        <v>15969</v>
      </c>
      <c r="G761" s="179" t="s">
        <v>11765</v>
      </c>
      <c r="H761" s="254">
        <v>8396</v>
      </c>
      <c r="I761" s="180">
        <v>20.75</v>
      </c>
      <c r="K761" s="102">
        <f>IFERROR(Table21[[#This Row],[ROUTE COST]]/Table21[[#This Row],[O - DEMAND]],0)</f>
        <v>0</v>
      </c>
      <c r="M761" s="26">
        <f>IFERROR(VLOOKUP(Table21[[#This Row],[ROUTE]],DEMAND!A:F,5,FALSE),0)</f>
        <v>0</v>
      </c>
      <c r="N761" s="26">
        <f>IFERROR(VLOOKUP(Table21[[#This Row],[ROUTE]],DEMAND!A:F,6,FALSE),0)</f>
        <v>0</v>
      </c>
      <c r="O761" s="26">
        <f>ROUNDDOWN(Table21[[#This Row],[R-DEMAND]]/1320,0)</f>
        <v>0</v>
      </c>
      <c r="P761" s="26">
        <f>Table21[[#This Row],[ADD ACC]]*Table21[[#This Row],[Duration
(747-400)]]</f>
        <v>0</v>
      </c>
      <c r="Q761" s="284">
        <f>IFERROR(VLOOKUP(Table21[[#This Row],[ROUTE]],PRICING!A:B,2,FALSE),0)</f>
        <v>0</v>
      </c>
      <c r="R761" s="282">
        <f>Table21[[#This Row],[C_DEMAND]]-Table21[[#This Row],[R-DEMAND]]</f>
        <v>0</v>
      </c>
      <c r="S761" s="287">
        <f>Table21[[#This Row],[SEATS SOLD]]*Table21[[#This Row],[ECO SEAT]]</f>
        <v>0</v>
      </c>
    </row>
    <row r="762" spans="1:19" x14ac:dyDescent="0.25">
      <c r="A762" s="16" t="s">
        <v>16327</v>
      </c>
      <c r="B762" s="16" t="s">
        <v>485</v>
      </c>
      <c r="D762" s="16">
        <v>4</v>
      </c>
      <c r="E762" s="16" t="s">
        <v>11732</v>
      </c>
      <c r="F762" s="16" t="s">
        <v>15969</v>
      </c>
      <c r="G762" s="179" t="s">
        <v>11080</v>
      </c>
      <c r="H762" s="254">
        <v>8133</v>
      </c>
      <c r="I762" s="180">
        <v>20.25</v>
      </c>
      <c r="K762" s="102">
        <f>IFERROR(Table21[[#This Row],[ROUTE COST]]/Table21[[#This Row],[O - DEMAND]],0)</f>
        <v>0</v>
      </c>
      <c r="M762" s="26">
        <f>IFERROR(VLOOKUP(Table21[[#This Row],[ROUTE]],DEMAND!A:F,5,FALSE),0)</f>
        <v>0</v>
      </c>
      <c r="N762" s="26">
        <f>IFERROR(VLOOKUP(Table21[[#This Row],[ROUTE]],DEMAND!A:F,6,FALSE),0)</f>
        <v>0</v>
      </c>
      <c r="O762" s="26">
        <f>ROUNDDOWN(Table21[[#This Row],[R-DEMAND]]/1320,0)</f>
        <v>0</v>
      </c>
      <c r="P762" s="26">
        <f>Table21[[#This Row],[ADD ACC]]*Table21[[#This Row],[Duration
(747-400)]]</f>
        <v>0</v>
      </c>
      <c r="Q762" s="284">
        <f>IFERROR(VLOOKUP(Table21[[#This Row],[ROUTE]],PRICING!A:B,2,FALSE),0)</f>
        <v>0</v>
      </c>
      <c r="R762" s="282">
        <f>Table21[[#This Row],[C_DEMAND]]-Table21[[#This Row],[R-DEMAND]]</f>
        <v>0</v>
      </c>
      <c r="S762" s="287">
        <f>Table21[[#This Row],[SEATS SOLD]]*Table21[[#This Row],[ECO SEAT]]</f>
        <v>0</v>
      </c>
    </row>
    <row r="763" spans="1:19" x14ac:dyDescent="0.25">
      <c r="A763" s="16" t="s">
        <v>16437</v>
      </c>
      <c r="B763" s="16" t="s">
        <v>4245</v>
      </c>
      <c r="D763" s="16">
        <v>2</v>
      </c>
      <c r="E763" s="16" t="s">
        <v>172</v>
      </c>
      <c r="F763" s="16" t="s">
        <v>12670</v>
      </c>
      <c r="G763" s="179" t="s">
        <v>6951</v>
      </c>
      <c r="H763" s="254">
        <v>7225</v>
      </c>
      <c r="I763" s="180">
        <v>18.25</v>
      </c>
      <c r="K763" s="102">
        <f>IFERROR(Table21[[#This Row],[ROUTE COST]]/Table21[[#This Row],[O - DEMAND]],0)</f>
        <v>0</v>
      </c>
      <c r="M763" s="26">
        <f>IFERROR(VLOOKUP(Table21[[#This Row],[ROUTE]],DEMAND!A:F,5,FALSE),0)</f>
        <v>0</v>
      </c>
      <c r="N763" s="26">
        <f>IFERROR(VLOOKUP(Table21[[#This Row],[ROUTE]],DEMAND!A:F,6,FALSE),0)</f>
        <v>0</v>
      </c>
      <c r="O763" s="26">
        <f>ROUNDDOWN(Table21[[#This Row],[R-DEMAND]]/1320,0)</f>
        <v>0</v>
      </c>
      <c r="P763" s="26">
        <f>Table21[[#This Row],[ADD ACC]]*Table21[[#This Row],[Duration
(747-400)]]</f>
        <v>0</v>
      </c>
      <c r="Q763" s="284">
        <f>IFERROR(VLOOKUP(Table21[[#This Row],[ROUTE]],PRICING!A:B,2,FALSE),0)</f>
        <v>0</v>
      </c>
      <c r="R763" s="282">
        <f>Table21[[#This Row],[C_DEMAND]]-Table21[[#This Row],[R-DEMAND]]</f>
        <v>0</v>
      </c>
      <c r="S763" s="287">
        <f>Table21[[#This Row],[SEATS SOLD]]*Table21[[#This Row],[ECO SEAT]]</f>
        <v>0</v>
      </c>
    </row>
    <row r="764" spans="1:19" x14ac:dyDescent="0.25">
      <c r="A764" s="251" t="s">
        <v>16727</v>
      </c>
      <c r="B764" s="251" t="s">
        <v>5331</v>
      </c>
      <c r="D764" s="251">
        <v>3</v>
      </c>
      <c r="E764" s="251" t="s">
        <v>14</v>
      </c>
      <c r="F764" s="251" t="s">
        <v>12670</v>
      </c>
      <c r="G764" s="252" t="s">
        <v>12032</v>
      </c>
      <c r="H764" s="254">
        <v>429</v>
      </c>
      <c r="I764" s="180">
        <v>3</v>
      </c>
      <c r="K764" s="253">
        <f>IFERROR(Table21[[#This Row],[ROUTE COST]]/Table21[[#This Row],[O - DEMAND]],0)</f>
        <v>0</v>
      </c>
      <c r="M764" s="26">
        <f>IFERROR(VLOOKUP(Table21[[#This Row],[ROUTE]],DEMAND!A:F,5,FALSE),0)</f>
        <v>0</v>
      </c>
      <c r="N764" s="26">
        <f>IFERROR(VLOOKUP(Table21[[#This Row],[ROUTE]],DEMAND!A:F,6,FALSE),0)</f>
        <v>0</v>
      </c>
      <c r="O764" s="26">
        <f>ROUNDDOWN(Table21[[#This Row],[R-DEMAND]]/1320,0)</f>
        <v>0</v>
      </c>
      <c r="P764" s="26">
        <f>Table21[[#This Row],[ADD ACC]]*Table21[[#This Row],[Duration
(747-400)]]</f>
        <v>0</v>
      </c>
      <c r="Q764" s="284">
        <f>IFERROR(VLOOKUP(Table21[[#This Row],[ROUTE]],PRICING!A:B,2,FALSE),0)</f>
        <v>0</v>
      </c>
      <c r="R764" s="282">
        <f>Table21[[#This Row],[C_DEMAND]]-Table21[[#This Row],[R-DEMAND]]</f>
        <v>0</v>
      </c>
      <c r="S764" s="287">
        <f>Table21[[#This Row],[SEATS SOLD]]*Table21[[#This Row],[ECO SEAT]]</f>
        <v>0</v>
      </c>
    </row>
    <row r="765" spans="1:19" x14ac:dyDescent="0.25">
      <c r="A765" s="16" t="s">
        <v>16592</v>
      </c>
      <c r="B765" s="16" t="s">
        <v>4685</v>
      </c>
      <c r="D765" s="16">
        <v>2</v>
      </c>
      <c r="E765" s="16" t="s">
        <v>78</v>
      </c>
      <c r="F765" s="16" t="s">
        <v>12674</v>
      </c>
      <c r="G765" s="179" t="s">
        <v>6880</v>
      </c>
      <c r="H765" s="254">
        <v>4686</v>
      </c>
      <c r="I765" s="180">
        <v>12.5</v>
      </c>
      <c r="K765" s="102">
        <f>IFERROR(Table21[[#This Row],[ROUTE COST]]/Table21[[#This Row],[O - DEMAND]],0)</f>
        <v>0</v>
      </c>
      <c r="M765" s="26">
        <f>IFERROR(VLOOKUP(Table21[[#This Row],[ROUTE]],DEMAND!A:F,5,FALSE),0)</f>
        <v>0</v>
      </c>
      <c r="N765" s="26">
        <f>IFERROR(VLOOKUP(Table21[[#This Row],[ROUTE]],DEMAND!A:F,6,FALSE),0)</f>
        <v>0</v>
      </c>
      <c r="O765" s="26">
        <f>ROUNDDOWN(Table21[[#This Row],[R-DEMAND]]/1320,0)</f>
        <v>0</v>
      </c>
      <c r="P765" s="26">
        <f>Table21[[#This Row],[ADD ACC]]*Table21[[#This Row],[Duration
(747-400)]]</f>
        <v>0</v>
      </c>
      <c r="Q765" s="284">
        <f>IFERROR(VLOOKUP(Table21[[#This Row],[ROUTE]],PRICING!A:B,2,FALSE),0)</f>
        <v>0</v>
      </c>
      <c r="R765" s="282">
        <f>Table21[[#This Row],[C_DEMAND]]-Table21[[#This Row],[R-DEMAND]]</f>
        <v>0</v>
      </c>
      <c r="S765" s="287">
        <f>Table21[[#This Row],[SEATS SOLD]]*Table21[[#This Row],[ECO SEAT]]</f>
        <v>0</v>
      </c>
    </row>
    <row r="766" spans="1:19" x14ac:dyDescent="0.25">
      <c r="A766" s="251" t="s">
        <v>16761</v>
      </c>
      <c r="B766" s="251" t="s">
        <v>40</v>
      </c>
      <c r="D766" s="251">
        <v>2</v>
      </c>
      <c r="E766" s="251" t="s">
        <v>533</v>
      </c>
      <c r="F766" s="251" t="s">
        <v>12670</v>
      </c>
      <c r="G766" s="252" t="s">
        <v>11999</v>
      </c>
      <c r="H766" s="254">
        <v>1165</v>
      </c>
      <c r="I766" s="180">
        <v>4.75</v>
      </c>
      <c r="K766" s="253">
        <f>IFERROR(Table21[[#This Row],[ROUTE COST]]/Table21[[#This Row],[O - DEMAND]],0)</f>
        <v>0</v>
      </c>
      <c r="M766" s="26">
        <f>IFERROR(VLOOKUP(Table21[[#This Row],[ROUTE]],DEMAND!A:F,5,FALSE),0)</f>
        <v>0</v>
      </c>
      <c r="N766" s="26">
        <f>IFERROR(VLOOKUP(Table21[[#This Row],[ROUTE]],DEMAND!A:F,6,FALSE),0)</f>
        <v>0</v>
      </c>
      <c r="O766" s="26">
        <f>ROUNDDOWN(Table21[[#This Row],[R-DEMAND]]/1320,0)</f>
        <v>0</v>
      </c>
      <c r="P766" s="26">
        <f>Table21[[#This Row],[ADD ACC]]*Table21[[#This Row],[Duration
(747-400)]]</f>
        <v>0</v>
      </c>
      <c r="Q766" s="284">
        <f>IFERROR(VLOOKUP(Table21[[#This Row],[ROUTE]],PRICING!A:B,2,FALSE),0)</f>
        <v>0</v>
      </c>
      <c r="R766" s="282">
        <f>Table21[[#This Row],[C_DEMAND]]-Table21[[#This Row],[R-DEMAND]]</f>
        <v>0</v>
      </c>
      <c r="S766" s="287">
        <f>Table21[[#This Row],[SEATS SOLD]]*Table21[[#This Row],[ECO SEAT]]</f>
        <v>0</v>
      </c>
    </row>
    <row r="767" spans="1:19" x14ac:dyDescent="0.25">
      <c r="A767" s="16" t="s">
        <v>16578</v>
      </c>
      <c r="B767" s="16" t="s">
        <v>2737</v>
      </c>
      <c r="D767" s="16">
        <v>2</v>
      </c>
      <c r="E767" s="16" t="s">
        <v>78</v>
      </c>
      <c r="F767" s="16" t="s">
        <v>12674</v>
      </c>
      <c r="G767" s="179" t="s">
        <v>11888</v>
      </c>
      <c r="H767" s="254">
        <v>5140</v>
      </c>
      <c r="I767" s="180">
        <v>13.5</v>
      </c>
      <c r="K767" s="102">
        <f>IFERROR(Table21[[#This Row],[ROUTE COST]]/Table21[[#This Row],[O - DEMAND]],0)</f>
        <v>0</v>
      </c>
      <c r="M767" s="26">
        <f>IFERROR(VLOOKUP(Table21[[#This Row],[ROUTE]],DEMAND!A:F,5,FALSE),0)</f>
        <v>0</v>
      </c>
      <c r="N767" s="26">
        <f>IFERROR(VLOOKUP(Table21[[#This Row],[ROUTE]],DEMAND!A:F,6,FALSE),0)</f>
        <v>0</v>
      </c>
      <c r="O767" s="26">
        <f>ROUNDDOWN(Table21[[#This Row],[R-DEMAND]]/1320,0)</f>
        <v>0</v>
      </c>
      <c r="P767" s="26">
        <f>Table21[[#This Row],[ADD ACC]]*Table21[[#This Row],[Duration
(747-400)]]</f>
        <v>0</v>
      </c>
      <c r="Q767" s="284">
        <f>IFERROR(VLOOKUP(Table21[[#This Row],[ROUTE]],PRICING!A:B,2,FALSE),0)</f>
        <v>0</v>
      </c>
      <c r="R767" s="282">
        <f>Table21[[#This Row],[C_DEMAND]]-Table21[[#This Row],[R-DEMAND]]</f>
        <v>0</v>
      </c>
      <c r="S767" s="287">
        <f>Table21[[#This Row],[SEATS SOLD]]*Table21[[#This Row],[ECO SEAT]]</f>
        <v>0</v>
      </c>
    </row>
    <row r="768" spans="1:19" x14ac:dyDescent="0.25">
      <c r="A768" s="16" t="s">
        <v>16635</v>
      </c>
      <c r="B768" s="16" t="s">
        <v>32</v>
      </c>
      <c r="D768" s="16">
        <v>2</v>
      </c>
      <c r="E768" s="16" t="s">
        <v>332</v>
      </c>
      <c r="F768" s="16" t="s">
        <v>12670</v>
      </c>
      <c r="G768" s="179" t="s">
        <v>6817</v>
      </c>
      <c r="H768" s="254">
        <v>3851</v>
      </c>
      <c r="I768" s="180">
        <v>10.75</v>
      </c>
      <c r="K768" s="102">
        <f>IFERROR(Table21[[#This Row],[ROUTE COST]]/Table21[[#This Row],[O - DEMAND]],0)</f>
        <v>0</v>
      </c>
      <c r="M768" s="26">
        <f>IFERROR(VLOOKUP(Table21[[#This Row],[ROUTE]],DEMAND!A:F,5,FALSE),0)</f>
        <v>0</v>
      </c>
      <c r="N768" s="26">
        <f>IFERROR(VLOOKUP(Table21[[#This Row],[ROUTE]],DEMAND!A:F,6,FALSE),0)</f>
        <v>0</v>
      </c>
      <c r="O768" s="26">
        <f>ROUNDDOWN(Table21[[#This Row],[R-DEMAND]]/1320,0)</f>
        <v>0</v>
      </c>
      <c r="P768" s="26">
        <f>Table21[[#This Row],[ADD ACC]]*Table21[[#This Row],[Duration
(747-400)]]</f>
        <v>0</v>
      </c>
      <c r="Q768" s="284">
        <f>IFERROR(VLOOKUP(Table21[[#This Row],[ROUTE]],PRICING!A:B,2,FALSE),0)</f>
        <v>0</v>
      </c>
      <c r="R768" s="282">
        <f>Table21[[#This Row],[C_DEMAND]]-Table21[[#This Row],[R-DEMAND]]</f>
        <v>0</v>
      </c>
      <c r="S768" s="287">
        <f>Table21[[#This Row],[SEATS SOLD]]*Table21[[#This Row],[ECO SEAT]]</f>
        <v>0</v>
      </c>
    </row>
    <row r="769" spans="1:19" x14ac:dyDescent="0.25">
      <c r="A769" s="16" t="s">
        <v>16466</v>
      </c>
      <c r="B769" s="16" t="s">
        <v>3048</v>
      </c>
      <c r="D769" s="16">
        <v>2</v>
      </c>
      <c r="E769" s="16" t="s">
        <v>172</v>
      </c>
      <c r="F769" s="16" t="s">
        <v>12670</v>
      </c>
      <c r="G769" s="179" t="s">
        <v>6814</v>
      </c>
      <c r="H769" s="254">
        <v>6987</v>
      </c>
      <c r="I769" s="180">
        <v>17.5</v>
      </c>
      <c r="K769" s="102">
        <f>IFERROR(Table21[[#This Row],[ROUTE COST]]/Table21[[#This Row],[O - DEMAND]],0)</f>
        <v>0</v>
      </c>
      <c r="M769" s="26">
        <f>IFERROR(VLOOKUP(Table21[[#This Row],[ROUTE]],DEMAND!A:F,5,FALSE),0)</f>
        <v>0</v>
      </c>
      <c r="N769" s="26">
        <f>IFERROR(VLOOKUP(Table21[[#This Row],[ROUTE]],DEMAND!A:F,6,FALSE),0)</f>
        <v>0</v>
      </c>
      <c r="O769" s="26">
        <f>ROUNDDOWN(Table21[[#This Row],[R-DEMAND]]/1320,0)</f>
        <v>0</v>
      </c>
      <c r="P769" s="26">
        <f>Table21[[#This Row],[ADD ACC]]*Table21[[#This Row],[Duration
(747-400)]]</f>
        <v>0</v>
      </c>
      <c r="Q769" s="284">
        <f>IFERROR(VLOOKUP(Table21[[#This Row],[ROUTE]],PRICING!A:B,2,FALSE),0)</f>
        <v>0</v>
      </c>
      <c r="R769" s="282">
        <f>Table21[[#This Row],[C_DEMAND]]-Table21[[#This Row],[R-DEMAND]]</f>
        <v>0</v>
      </c>
      <c r="S769" s="287">
        <f>Table21[[#This Row],[SEATS SOLD]]*Table21[[#This Row],[ECO SEAT]]</f>
        <v>0</v>
      </c>
    </row>
    <row r="770" spans="1:19" x14ac:dyDescent="0.25">
      <c r="A770" s="16" t="s">
        <v>16652</v>
      </c>
      <c r="B770" s="16" t="s">
        <v>30</v>
      </c>
      <c r="D770" s="16">
        <v>1</v>
      </c>
      <c r="E770" s="16" t="s">
        <v>332</v>
      </c>
      <c r="F770" s="16" t="s">
        <v>12670</v>
      </c>
      <c r="G770" s="179" t="s">
        <v>12100</v>
      </c>
      <c r="H770" s="254">
        <v>3407</v>
      </c>
      <c r="I770" s="180">
        <v>9.75</v>
      </c>
      <c r="K770" s="102">
        <f>IFERROR(Table21[[#This Row],[ROUTE COST]]/Table21[[#This Row],[O - DEMAND]],0)</f>
        <v>0</v>
      </c>
      <c r="M770" s="26">
        <f>IFERROR(VLOOKUP(Table21[[#This Row],[ROUTE]],DEMAND!A:F,5,FALSE),0)</f>
        <v>0</v>
      </c>
      <c r="N770" s="26">
        <f>IFERROR(VLOOKUP(Table21[[#This Row],[ROUTE]],DEMAND!A:F,6,FALSE),0)</f>
        <v>0</v>
      </c>
      <c r="O770" s="26">
        <f>ROUNDDOWN(Table21[[#This Row],[R-DEMAND]]/1320,0)</f>
        <v>0</v>
      </c>
      <c r="P770" s="26">
        <f>Table21[[#This Row],[ADD ACC]]*Table21[[#This Row],[Duration
(747-400)]]</f>
        <v>0</v>
      </c>
      <c r="Q770" s="284">
        <f>IFERROR(VLOOKUP(Table21[[#This Row],[ROUTE]],PRICING!A:B,2,FALSE),0)</f>
        <v>0</v>
      </c>
      <c r="R770" s="282">
        <f>Table21[[#This Row],[C_DEMAND]]-Table21[[#This Row],[R-DEMAND]]</f>
        <v>0</v>
      </c>
      <c r="S770" s="287">
        <f>Table21[[#This Row],[SEATS SOLD]]*Table21[[#This Row],[ECO SEAT]]</f>
        <v>0</v>
      </c>
    </row>
    <row r="771" spans="1:19" x14ac:dyDescent="0.25">
      <c r="A771" s="251" t="s">
        <v>16778</v>
      </c>
      <c r="B771" s="251" t="s">
        <v>3044</v>
      </c>
      <c r="D771" s="251">
        <v>2</v>
      </c>
      <c r="E771" s="251" t="s">
        <v>78</v>
      </c>
      <c r="F771" s="251" t="s">
        <v>12674</v>
      </c>
      <c r="G771" s="252" t="s">
        <v>11984</v>
      </c>
      <c r="H771" s="254">
        <v>1481</v>
      </c>
      <c r="I771" s="180">
        <v>5.5</v>
      </c>
      <c r="K771" s="253">
        <f>IFERROR(Table21[[#This Row],[ROUTE COST]]/Table21[[#This Row],[O - DEMAND]],0)</f>
        <v>0</v>
      </c>
      <c r="M771" s="26">
        <f>IFERROR(VLOOKUP(Table21[[#This Row],[ROUTE]],DEMAND!A:F,5,FALSE),0)</f>
        <v>0</v>
      </c>
      <c r="N771" s="26">
        <f>IFERROR(VLOOKUP(Table21[[#This Row],[ROUTE]],DEMAND!A:F,6,FALSE),0)</f>
        <v>0</v>
      </c>
      <c r="O771" s="26">
        <f>ROUNDDOWN(Table21[[#This Row],[R-DEMAND]]/1320,0)</f>
        <v>0</v>
      </c>
      <c r="P771" s="26">
        <f>Table21[[#This Row],[ADD ACC]]*Table21[[#This Row],[Duration
(747-400)]]</f>
        <v>0</v>
      </c>
      <c r="Q771" s="284">
        <f>IFERROR(VLOOKUP(Table21[[#This Row],[ROUTE]],PRICING!A:B,2,FALSE),0)</f>
        <v>0</v>
      </c>
      <c r="R771" s="282">
        <f>Table21[[#This Row],[C_DEMAND]]-Table21[[#This Row],[R-DEMAND]]</f>
        <v>0</v>
      </c>
      <c r="S771" s="287">
        <f>Table21[[#This Row],[SEATS SOLD]]*Table21[[#This Row],[ECO SEAT]]</f>
        <v>0</v>
      </c>
    </row>
    <row r="772" spans="1:19" x14ac:dyDescent="0.25">
      <c r="A772" s="16" t="s">
        <v>16694</v>
      </c>
      <c r="B772" s="16" t="s">
        <v>4181</v>
      </c>
      <c r="D772" s="16">
        <v>2</v>
      </c>
      <c r="E772" s="16" t="s">
        <v>78</v>
      </c>
      <c r="F772" s="16" t="s">
        <v>12674</v>
      </c>
      <c r="G772" s="179" t="s">
        <v>11962</v>
      </c>
      <c r="H772" s="254">
        <v>2228</v>
      </c>
      <c r="I772" s="180">
        <v>7</v>
      </c>
      <c r="K772" s="102">
        <f>IFERROR(Table21[[#This Row],[ROUTE COST]]/Table21[[#This Row],[O - DEMAND]],0)</f>
        <v>0</v>
      </c>
      <c r="M772" s="26">
        <f>IFERROR(VLOOKUP(Table21[[#This Row],[ROUTE]],DEMAND!A:F,5,FALSE),0)</f>
        <v>0</v>
      </c>
      <c r="N772" s="26">
        <f>IFERROR(VLOOKUP(Table21[[#This Row],[ROUTE]],DEMAND!A:F,6,FALSE),0)</f>
        <v>0</v>
      </c>
      <c r="O772" s="26">
        <f>ROUNDDOWN(Table21[[#This Row],[R-DEMAND]]/1320,0)</f>
        <v>0</v>
      </c>
      <c r="P772" s="26">
        <f>Table21[[#This Row],[ADD ACC]]*Table21[[#This Row],[Duration
(747-400)]]</f>
        <v>0</v>
      </c>
      <c r="Q772" s="284">
        <f>IFERROR(VLOOKUP(Table21[[#This Row],[ROUTE]],PRICING!A:B,2,FALSE),0)</f>
        <v>0</v>
      </c>
      <c r="R772" s="282">
        <f>Table21[[#This Row],[C_DEMAND]]-Table21[[#This Row],[R-DEMAND]]</f>
        <v>0</v>
      </c>
      <c r="S772" s="287">
        <f>Table21[[#This Row],[SEATS SOLD]]*Table21[[#This Row],[ECO SEAT]]</f>
        <v>0</v>
      </c>
    </row>
    <row r="773" spans="1:19" x14ac:dyDescent="0.25">
      <c r="A773" s="16" t="s">
        <v>16499</v>
      </c>
      <c r="B773" s="16" t="s">
        <v>2903</v>
      </c>
      <c r="D773" s="16">
        <v>2</v>
      </c>
      <c r="E773" s="16" t="s">
        <v>700</v>
      </c>
      <c r="F773" s="16" t="s">
        <v>12670</v>
      </c>
      <c r="G773" s="179" t="s">
        <v>6768</v>
      </c>
      <c r="H773" s="254">
        <v>6543</v>
      </c>
      <c r="I773" s="180">
        <v>16.5</v>
      </c>
      <c r="K773" s="102">
        <f>IFERROR(Table21[[#This Row],[ROUTE COST]]/Table21[[#This Row],[O - DEMAND]],0)</f>
        <v>0</v>
      </c>
      <c r="M773" s="26">
        <f>IFERROR(VLOOKUP(Table21[[#This Row],[ROUTE]],DEMAND!A:F,5,FALSE),0)</f>
        <v>0</v>
      </c>
      <c r="N773" s="26">
        <f>IFERROR(VLOOKUP(Table21[[#This Row],[ROUTE]],DEMAND!A:F,6,FALSE),0)</f>
        <v>0</v>
      </c>
      <c r="O773" s="26">
        <f>ROUNDDOWN(Table21[[#This Row],[R-DEMAND]]/1320,0)</f>
        <v>0</v>
      </c>
      <c r="P773" s="26">
        <f>Table21[[#This Row],[ADD ACC]]*Table21[[#This Row],[Duration
(747-400)]]</f>
        <v>0</v>
      </c>
      <c r="Q773" s="284">
        <f>IFERROR(VLOOKUP(Table21[[#This Row],[ROUTE]],PRICING!A:B,2,FALSE),0)</f>
        <v>0</v>
      </c>
      <c r="R773" s="282">
        <f>Table21[[#This Row],[C_DEMAND]]-Table21[[#This Row],[R-DEMAND]]</f>
        <v>0</v>
      </c>
      <c r="S773" s="287">
        <f>Table21[[#This Row],[SEATS SOLD]]*Table21[[#This Row],[ECO SEAT]]</f>
        <v>0</v>
      </c>
    </row>
    <row r="774" spans="1:19" x14ac:dyDescent="0.25">
      <c r="A774" s="16" t="s">
        <v>16345</v>
      </c>
      <c r="B774" s="16" t="s">
        <v>3127</v>
      </c>
      <c r="D774" s="16">
        <v>2</v>
      </c>
      <c r="E774" s="16" t="s">
        <v>308</v>
      </c>
      <c r="F774" s="16" t="s">
        <v>12674</v>
      </c>
      <c r="G774" s="179" t="s">
        <v>11768</v>
      </c>
      <c r="H774" s="254">
        <v>8012</v>
      </c>
      <c r="I774" s="180">
        <v>19.75</v>
      </c>
      <c r="K774" s="102">
        <f>IFERROR(Table21[[#This Row],[ROUTE COST]]/Table21[[#This Row],[O - DEMAND]],0)</f>
        <v>0</v>
      </c>
      <c r="M774" s="26">
        <f>IFERROR(VLOOKUP(Table21[[#This Row],[ROUTE]],DEMAND!A:F,5,FALSE),0)</f>
        <v>0</v>
      </c>
      <c r="N774" s="26">
        <f>IFERROR(VLOOKUP(Table21[[#This Row],[ROUTE]],DEMAND!A:F,6,FALSE),0)</f>
        <v>0</v>
      </c>
      <c r="O774" s="26">
        <f>ROUNDDOWN(Table21[[#This Row],[R-DEMAND]]/1320,0)</f>
        <v>0</v>
      </c>
      <c r="P774" s="26">
        <f>Table21[[#This Row],[ADD ACC]]*Table21[[#This Row],[Duration
(747-400)]]</f>
        <v>0</v>
      </c>
      <c r="Q774" s="284">
        <f>IFERROR(VLOOKUP(Table21[[#This Row],[ROUTE]],PRICING!A:B,2,FALSE),0)</f>
        <v>0</v>
      </c>
      <c r="R774" s="282">
        <f>Table21[[#This Row],[C_DEMAND]]-Table21[[#This Row],[R-DEMAND]]</f>
        <v>0</v>
      </c>
      <c r="S774" s="287">
        <f>Table21[[#This Row],[SEATS SOLD]]*Table21[[#This Row],[ECO SEAT]]</f>
        <v>0</v>
      </c>
    </row>
    <row r="775" spans="1:19" x14ac:dyDescent="0.25">
      <c r="A775" s="16" t="s">
        <v>16514</v>
      </c>
      <c r="B775" s="16" t="s">
        <v>5327</v>
      </c>
      <c r="D775" s="16">
        <v>3</v>
      </c>
      <c r="E775" s="16" t="s">
        <v>11732</v>
      </c>
      <c r="F775" s="16" t="s">
        <v>15969</v>
      </c>
      <c r="G775" s="179" t="s">
        <v>11737</v>
      </c>
      <c r="H775" s="254">
        <v>6359</v>
      </c>
      <c r="I775" s="180">
        <v>16.25</v>
      </c>
      <c r="K775" s="102">
        <f>IFERROR(Table21[[#This Row],[ROUTE COST]]/Table21[[#This Row],[O - DEMAND]],0)</f>
        <v>0</v>
      </c>
      <c r="M775" s="26">
        <f>IFERROR(VLOOKUP(Table21[[#This Row],[ROUTE]],DEMAND!A:F,5,FALSE),0)</f>
        <v>0</v>
      </c>
      <c r="N775" s="26">
        <f>IFERROR(VLOOKUP(Table21[[#This Row],[ROUTE]],DEMAND!A:F,6,FALSE),0)</f>
        <v>0</v>
      </c>
      <c r="O775" s="26">
        <f>ROUNDDOWN(Table21[[#This Row],[R-DEMAND]]/1320,0)</f>
        <v>0</v>
      </c>
      <c r="P775" s="26">
        <f>Table21[[#This Row],[ADD ACC]]*Table21[[#This Row],[Duration
(747-400)]]</f>
        <v>0</v>
      </c>
      <c r="Q775" s="284">
        <f>IFERROR(VLOOKUP(Table21[[#This Row],[ROUTE]],PRICING!A:B,2,FALSE),0)</f>
        <v>0</v>
      </c>
      <c r="R775" s="282">
        <f>Table21[[#This Row],[C_DEMAND]]-Table21[[#This Row],[R-DEMAND]]</f>
        <v>0</v>
      </c>
      <c r="S775" s="287">
        <f>Table21[[#This Row],[SEATS SOLD]]*Table21[[#This Row],[ECO SEAT]]</f>
        <v>0</v>
      </c>
    </row>
    <row r="776" spans="1:19" x14ac:dyDescent="0.25">
      <c r="A776" s="16" t="s">
        <v>16431</v>
      </c>
      <c r="B776" s="16" t="s">
        <v>2555</v>
      </c>
      <c r="D776" s="16">
        <v>2</v>
      </c>
      <c r="E776" s="16" t="s">
        <v>1216</v>
      </c>
      <c r="F776" s="16" t="s">
        <v>12670</v>
      </c>
      <c r="G776" s="179" t="s">
        <v>11883</v>
      </c>
      <c r="H776" s="254">
        <v>7264</v>
      </c>
      <c r="I776" s="180">
        <v>18.25</v>
      </c>
      <c r="K776" s="102">
        <f>IFERROR(Table21[[#This Row],[ROUTE COST]]/Table21[[#This Row],[O - DEMAND]],0)</f>
        <v>0</v>
      </c>
      <c r="M776" s="26">
        <f>IFERROR(VLOOKUP(Table21[[#This Row],[ROUTE]],DEMAND!A:F,5,FALSE),0)</f>
        <v>0</v>
      </c>
      <c r="N776" s="26">
        <f>IFERROR(VLOOKUP(Table21[[#This Row],[ROUTE]],DEMAND!A:F,6,FALSE),0)</f>
        <v>0</v>
      </c>
      <c r="O776" s="26">
        <f>ROUNDDOWN(Table21[[#This Row],[R-DEMAND]]/1320,0)</f>
        <v>0</v>
      </c>
      <c r="P776" s="26">
        <f>Table21[[#This Row],[ADD ACC]]*Table21[[#This Row],[Duration
(747-400)]]</f>
        <v>0</v>
      </c>
      <c r="Q776" s="284">
        <f>IFERROR(VLOOKUP(Table21[[#This Row],[ROUTE]],PRICING!A:B,2,FALSE),0)</f>
        <v>0</v>
      </c>
      <c r="R776" s="282">
        <f>Table21[[#This Row],[C_DEMAND]]-Table21[[#This Row],[R-DEMAND]]</f>
        <v>0</v>
      </c>
      <c r="S776" s="287">
        <f>Table21[[#This Row],[SEATS SOLD]]*Table21[[#This Row],[ECO SEAT]]</f>
        <v>0</v>
      </c>
    </row>
    <row r="777" spans="1:19" x14ac:dyDescent="0.25">
      <c r="A777" s="16" t="s">
        <v>16267</v>
      </c>
      <c r="B777" s="16" t="s">
        <v>2409</v>
      </c>
      <c r="D777" s="16">
        <v>1</v>
      </c>
      <c r="E777" s="16" t="s">
        <v>119</v>
      </c>
      <c r="F777" s="16" t="s">
        <v>12674</v>
      </c>
      <c r="G777" s="179" t="s">
        <v>11699</v>
      </c>
      <c r="H777" s="254">
        <v>8962</v>
      </c>
      <c r="I777" s="180">
        <v>22</v>
      </c>
      <c r="K777" s="102">
        <f>IFERROR(Table21[[#This Row],[ROUTE COST]]/Table21[[#This Row],[O - DEMAND]],0)</f>
        <v>0</v>
      </c>
      <c r="M777" s="26">
        <f>IFERROR(VLOOKUP(Table21[[#This Row],[ROUTE]],DEMAND!A:F,5,FALSE),0)</f>
        <v>0</v>
      </c>
      <c r="N777" s="26">
        <f>IFERROR(VLOOKUP(Table21[[#This Row],[ROUTE]],DEMAND!A:F,6,FALSE),0)</f>
        <v>0</v>
      </c>
      <c r="O777" s="26">
        <f>ROUNDDOWN(Table21[[#This Row],[R-DEMAND]]/1320,0)</f>
        <v>0</v>
      </c>
      <c r="P777" s="26">
        <f>Table21[[#This Row],[ADD ACC]]*Table21[[#This Row],[Duration
(747-400)]]</f>
        <v>0</v>
      </c>
      <c r="Q777" s="284">
        <f>IFERROR(VLOOKUP(Table21[[#This Row],[ROUTE]],PRICING!A:B,2,FALSE),0)</f>
        <v>0</v>
      </c>
      <c r="R777" s="282">
        <f>Table21[[#This Row],[C_DEMAND]]-Table21[[#This Row],[R-DEMAND]]</f>
        <v>0</v>
      </c>
      <c r="S777" s="287">
        <f>Table21[[#This Row],[SEATS SOLD]]*Table21[[#This Row],[ECO SEAT]]</f>
        <v>0</v>
      </c>
    </row>
    <row r="778" spans="1:19" x14ac:dyDescent="0.25">
      <c r="A778" s="16" t="s">
        <v>16256</v>
      </c>
      <c r="B778" s="16" t="s">
        <v>5416</v>
      </c>
      <c r="D778" s="16">
        <v>3</v>
      </c>
      <c r="E778" s="16" t="s">
        <v>119</v>
      </c>
      <c r="F778" s="16" t="s">
        <v>12674</v>
      </c>
      <c r="G778" s="179" t="s">
        <v>11705</v>
      </c>
      <c r="H778" s="254">
        <v>9109</v>
      </c>
      <c r="I778" s="180">
        <v>22.25</v>
      </c>
      <c r="K778" s="102">
        <f>IFERROR(Table21[[#This Row],[ROUTE COST]]/Table21[[#This Row],[O - DEMAND]],0)</f>
        <v>0</v>
      </c>
      <c r="M778" s="26">
        <f>IFERROR(VLOOKUP(Table21[[#This Row],[ROUTE]],DEMAND!A:F,5,FALSE),0)</f>
        <v>0</v>
      </c>
      <c r="N778" s="26">
        <f>IFERROR(VLOOKUP(Table21[[#This Row],[ROUTE]],DEMAND!A:F,6,FALSE),0)</f>
        <v>0</v>
      </c>
      <c r="O778" s="26">
        <f>ROUNDDOWN(Table21[[#This Row],[R-DEMAND]]/1320,0)</f>
        <v>0</v>
      </c>
      <c r="P778" s="26">
        <f>Table21[[#This Row],[ADD ACC]]*Table21[[#This Row],[Duration
(747-400)]]</f>
        <v>0</v>
      </c>
      <c r="Q778" s="284">
        <f>IFERROR(VLOOKUP(Table21[[#This Row],[ROUTE]],PRICING!A:B,2,FALSE),0)</f>
        <v>0</v>
      </c>
      <c r="R778" s="282">
        <f>Table21[[#This Row],[C_DEMAND]]-Table21[[#This Row],[R-DEMAND]]</f>
        <v>0</v>
      </c>
      <c r="S778" s="287">
        <f>Table21[[#This Row],[SEATS SOLD]]*Table21[[#This Row],[ECO SEAT]]</f>
        <v>0</v>
      </c>
    </row>
    <row r="779" spans="1:19" x14ac:dyDescent="0.25">
      <c r="A779" s="16" t="s">
        <v>16249</v>
      </c>
      <c r="B779" s="16" t="s">
        <v>4030</v>
      </c>
      <c r="D779" s="16">
        <v>2</v>
      </c>
      <c r="E779" s="16" t="s">
        <v>119</v>
      </c>
      <c r="F779" s="16" t="s">
        <v>12674</v>
      </c>
      <c r="G779" s="179" t="s">
        <v>11690</v>
      </c>
      <c r="H779" s="254">
        <v>9176</v>
      </c>
      <c r="I779" s="180">
        <v>22.5</v>
      </c>
      <c r="K779" s="102">
        <f>IFERROR(Table21[[#This Row],[ROUTE COST]]/Table21[[#This Row],[O - DEMAND]],0)</f>
        <v>0</v>
      </c>
      <c r="M779" s="26">
        <f>IFERROR(VLOOKUP(Table21[[#This Row],[ROUTE]],DEMAND!A:F,5,FALSE),0)</f>
        <v>0</v>
      </c>
      <c r="N779" s="26">
        <f>IFERROR(VLOOKUP(Table21[[#This Row],[ROUTE]],DEMAND!A:F,6,FALSE),0)</f>
        <v>0</v>
      </c>
      <c r="O779" s="26">
        <f>ROUNDDOWN(Table21[[#This Row],[R-DEMAND]]/1320,0)</f>
        <v>0</v>
      </c>
      <c r="P779" s="26">
        <f>Table21[[#This Row],[ADD ACC]]*Table21[[#This Row],[Duration
(747-400)]]</f>
        <v>0</v>
      </c>
      <c r="Q779" s="284">
        <f>IFERROR(VLOOKUP(Table21[[#This Row],[ROUTE]],PRICING!A:B,2,FALSE),0)</f>
        <v>0</v>
      </c>
      <c r="R779" s="282">
        <f>Table21[[#This Row],[C_DEMAND]]-Table21[[#This Row],[R-DEMAND]]</f>
        <v>0</v>
      </c>
      <c r="S779" s="287">
        <f>Table21[[#This Row],[SEATS SOLD]]*Table21[[#This Row],[ECO SEAT]]</f>
        <v>0</v>
      </c>
    </row>
    <row r="780" spans="1:19" x14ac:dyDescent="0.25">
      <c r="A780" s="16" t="s">
        <v>16386</v>
      </c>
      <c r="B780" s="16" t="s">
        <v>1057</v>
      </c>
      <c r="D780" s="16">
        <v>1</v>
      </c>
      <c r="E780" s="16" t="s">
        <v>597</v>
      </c>
      <c r="F780" s="16" t="s">
        <v>12674</v>
      </c>
      <c r="G780" s="179" t="s">
        <v>11830</v>
      </c>
      <c r="H780" s="254">
        <v>7609</v>
      </c>
      <c r="I780" s="180">
        <v>19</v>
      </c>
      <c r="K780" s="102">
        <f>IFERROR(Table21[[#This Row],[ROUTE COST]]/Table21[[#This Row],[O - DEMAND]],0)</f>
        <v>0</v>
      </c>
      <c r="M780" s="26">
        <f>IFERROR(VLOOKUP(Table21[[#This Row],[ROUTE]],DEMAND!A:F,5,FALSE),0)</f>
        <v>0</v>
      </c>
      <c r="N780" s="26">
        <f>IFERROR(VLOOKUP(Table21[[#This Row],[ROUTE]],DEMAND!A:F,6,FALSE),0)</f>
        <v>0</v>
      </c>
      <c r="O780" s="26">
        <f>ROUNDDOWN(Table21[[#This Row],[R-DEMAND]]/1320,0)</f>
        <v>0</v>
      </c>
      <c r="P780" s="26">
        <f>Table21[[#This Row],[ADD ACC]]*Table21[[#This Row],[Duration
(747-400)]]</f>
        <v>0</v>
      </c>
      <c r="Q780" s="284">
        <f>IFERROR(VLOOKUP(Table21[[#This Row],[ROUTE]],PRICING!A:B,2,FALSE),0)</f>
        <v>0</v>
      </c>
      <c r="R780" s="282">
        <f>Table21[[#This Row],[C_DEMAND]]-Table21[[#This Row],[R-DEMAND]]</f>
        <v>0</v>
      </c>
      <c r="S780" s="287">
        <f>Table21[[#This Row],[SEATS SOLD]]*Table21[[#This Row],[ECO SEAT]]</f>
        <v>0</v>
      </c>
    </row>
    <row r="781" spans="1:19" x14ac:dyDescent="0.25">
      <c r="A781" s="16" t="s">
        <v>16522</v>
      </c>
      <c r="B781" s="16" t="s">
        <v>4475</v>
      </c>
      <c r="D781" s="16">
        <v>2</v>
      </c>
      <c r="E781" s="16" t="s">
        <v>11732</v>
      </c>
      <c r="F781" s="16" t="s">
        <v>15969</v>
      </c>
      <c r="G781" s="179" t="s">
        <v>11733</v>
      </c>
      <c r="H781" s="254">
        <v>6290</v>
      </c>
      <c r="I781" s="180">
        <v>16</v>
      </c>
      <c r="K781" s="102">
        <f>IFERROR(Table21[[#This Row],[ROUTE COST]]/Table21[[#This Row],[O - DEMAND]],0)</f>
        <v>0</v>
      </c>
      <c r="M781" s="26">
        <f>IFERROR(VLOOKUP(Table21[[#This Row],[ROUTE]],DEMAND!A:F,5,FALSE),0)</f>
        <v>0</v>
      </c>
      <c r="N781" s="26">
        <f>IFERROR(VLOOKUP(Table21[[#This Row],[ROUTE]],DEMAND!A:F,6,FALSE),0)</f>
        <v>0</v>
      </c>
      <c r="O781" s="26">
        <f>ROUNDDOWN(Table21[[#This Row],[R-DEMAND]]/1320,0)</f>
        <v>0</v>
      </c>
      <c r="P781" s="26">
        <f>Table21[[#This Row],[ADD ACC]]*Table21[[#This Row],[Duration
(747-400)]]</f>
        <v>0</v>
      </c>
      <c r="Q781" s="284">
        <f>IFERROR(VLOOKUP(Table21[[#This Row],[ROUTE]],PRICING!A:B,2,FALSE),0)</f>
        <v>0</v>
      </c>
      <c r="R781" s="282">
        <f>Table21[[#This Row],[C_DEMAND]]-Table21[[#This Row],[R-DEMAND]]</f>
        <v>0</v>
      </c>
      <c r="S781" s="287">
        <f>Table21[[#This Row],[SEATS SOLD]]*Table21[[#This Row],[ECO SEAT]]</f>
        <v>0</v>
      </c>
    </row>
    <row r="782" spans="1:19" x14ac:dyDescent="0.25">
      <c r="A782" s="16" t="s">
        <v>16349</v>
      </c>
      <c r="B782" s="16" t="s">
        <v>5167</v>
      </c>
      <c r="D782" s="16">
        <v>3</v>
      </c>
      <c r="E782" s="16" t="s">
        <v>308</v>
      </c>
      <c r="F782" s="16" t="s">
        <v>12674</v>
      </c>
      <c r="G782" s="179" t="s">
        <v>11773</v>
      </c>
      <c r="H782" s="254">
        <v>7981</v>
      </c>
      <c r="I782" s="180">
        <v>19.75</v>
      </c>
      <c r="K782" s="102">
        <f>IFERROR(Table21[[#This Row],[ROUTE COST]]/Table21[[#This Row],[O - DEMAND]],0)</f>
        <v>0</v>
      </c>
      <c r="M782" s="26">
        <f>IFERROR(VLOOKUP(Table21[[#This Row],[ROUTE]],DEMAND!A:F,5,FALSE),0)</f>
        <v>0</v>
      </c>
      <c r="N782" s="26">
        <f>IFERROR(VLOOKUP(Table21[[#This Row],[ROUTE]],DEMAND!A:F,6,FALSE),0)</f>
        <v>0</v>
      </c>
      <c r="O782" s="26">
        <f>ROUNDDOWN(Table21[[#This Row],[R-DEMAND]]/1320,0)</f>
        <v>0</v>
      </c>
      <c r="P782" s="26">
        <f>Table21[[#This Row],[ADD ACC]]*Table21[[#This Row],[Duration
(747-400)]]</f>
        <v>0</v>
      </c>
      <c r="Q782" s="284">
        <f>IFERROR(VLOOKUP(Table21[[#This Row],[ROUTE]],PRICING!A:B,2,FALSE),0)</f>
        <v>0</v>
      </c>
      <c r="R782" s="282">
        <f>Table21[[#This Row],[C_DEMAND]]-Table21[[#This Row],[R-DEMAND]]</f>
        <v>0</v>
      </c>
      <c r="S782" s="287">
        <f>Table21[[#This Row],[SEATS SOLD]]*Table21[[#This Row],[ECO SEAT]]</f>
        <v>0</v>
      </c>
    </row>
    <row r="783" spans="1:19" x14ac:dyDescent="0.25">
      <c r="A783" s="16" t="s">
        <v>16463</v>
      </c>
      <c r="B783" s="16" t="s">
        <v>2653</v>
      </c>
      <c r="D783" s="16">
        <v>2</v>
      </c>
      <c r="E783" s="16" t="s">
        <v>172</v>
      </c>
      <c r="F783" s="16" t="s">
        <v>12670</v>
      </c>
      <c r="G783" s="179" t="s">
        <v>11943</v>
      </c>
      <c r="H783" s="254">
        <v>7005</v>
      </c>
      <c r="I783" s="180">
        <v>17.75</v>
      </c>
      <c r="K783" s="102">
        <f>IFERROR(Table21[[#This Row],[ROUTE COST]]/Table21[[#This Row],[O - DEMAND]],0)</f>
        <v>0</v>
      </c>
      <c r="M783" s="26">
        <f>IFERROR(VLOOKUP(Table21[[#This Row],[ROUTE]],DEMAND!A:F,5,FALSE),0)</f>
        <v>0</v>
      </c>
      <c r="N783" s="26">
        <f>IFERROR(VLOOKUP(Table21[[#This Row],[ROUTE]],DEMAND!A:F,6,FALSE),0)</f>
        <v>0</v>
      </c>
      <c r="O783" s="26">
        <f>ROUNDDOWN(Table21[[#This Row],[R-DEMAND]]/1320,0)</f>
        <v>0</v>
      </c>
      <c r="P783" s="26">
        <f>Table21[[#This Row],[ADD ACC]]*Table21[[#This Row],[Duration
(747-400)]]</f>
        <v>0</v>
      </c>
      <c r="Q783" s="284">
        <f>IFERROR(VLOOKUP(Table21[[#This Row],[ROUTE]],PRICING!A:B,2,FALSE),0)</f>
        <v>0</v>
      </c>
      <c r="R783" s="282">
        <f>Table21[[#This Row],[C_DEMAND]]-Table21[[#This Row],[R-DEMAND]]</f>
        <v>0</v>
      </c>
      <c r="S783" s="287">
        <f>Table21[[#This Row],[SEATS SOLD]]*Table21[[#This Row],[ECO SEAT]]</f>
        <v>0</v>
      </c>
    </row>
    <row r="784" spans="1:19" x14ac:dyDescent="0.25">
      <c r="A784" s="251" t="s">
        <v>16741</v>
      </c>
      <c r="B784" s="251" t="s">
        <v>5029</v>
      </c>
      <c r="D784" s="251">
        <v>3</v>
      </c>
      <c r="E784" s="251" t="s">
        <v>14</v>
      </c>
      <c r="F784" s="251" t="s">
        <v>12670</v>
      </c>
      <c r="G784" s="252" t="s">
        <v>12047</v>
      </c>
      <c r="H784" s="254">
        <v>1015</v>
      </c>
      <c r="I784" s="180">
        <v>4.25</v>
      </c>
      <c r="K784" s="253">
        <f>IFERROR(Table21[[#This Row],[ROUTE COST]]/Table21[[#This Row],[O - DEMAND]],0)</f>
        <v>0</v>
      </c>
      <c r="M784" s="26">
        <f>IFERROR(VLOOKUP(Table21[[#This Row],[ROUTE]],DEMAND!A:F,5,FALSE),0)</f>
        <v>0</v>
      </c>
      <c r="N784" s="26">
        <f>IFERROR(VLOOKUP(Table21[[#This Row],[ROUTE]],DEMAND!A:F,6,FALSE),0)</f>
        <v>0</v>
      </c>
      <c r="O784" s="26">
        <f>ROUNDDOWN(Table21[[#This Row],[R-DEMAND]]/1320,0)</f>
        <v>0</v>
      </c>
      <c r="P784" s="26">
        <f>Table21[[#This Row],[ADD ACC]]*Table21[[#This Row],[Duration
(747-400)]]</f>
        <v>0</v>
      </c>
      <c r="Q784" s="284">
        <f>IFERROR(VLOOKUP(Table21[[#This Row],[ROUTE]],PRICING!A:B,2,FALSE),0)</f>
        <v>0</v>
      </c>
      <c r="R784" s="282">
        <f>Table21[[#This Row],[C_DEMAND]]-Table21[[#This Row],[R-DEMAND]]</f>
        <v>0</v>
      </c>
      <c r="S784" s="287">
        <f>Table21[[#This Row],[SEATS SOLD]]*Table21[[#This Row],[ECO SEAT]]</f>
        <v>0</v>
      </c>
    </row>
    <row r="785" spans="1:19" x14ac:dyDescent="0.25">
      <c r="A785" s="251" t="s">
        <v>16768</v>
      </c>
      <c r="B785" s="251" t="s">
        <v>3358</v>
      </c>
      <c r="D785" s="251">
        <v>2</v>
      </c>
      <c r="E785" s="251" t="s">
        <v>14</v>
      </c>
      <c r="F785" s="251" t="s">
        <v>12670</v>
      </c>
      <c r="G785" s="252" t="s">
        <v>12059</v>
      </c>
      <c r="H785" s="254">
        <v>1268</v>
      </c>
      <c r="I785" s="180">
        <v>5</v>
      </c>
      <c r="K785" s="253">
        <f>IFERROR(Table21[[#This Row],[ROUTE COST]]/Table21[[#This Row],[O - DEMAND]],0)</f>
        <v>0</v>
      </c>
      <c r="M785" s="26">
        <f>IFERROR(VLOOKUP(Table21[[#This Row],[ROUTE]],DEMAND!A:F,5,FALSE),0)</f>
        <v>0</v>
      </c>
      <c r="N785" s="26">
        <f>IFERROR(VLOOKUP(Table21[[#This Row],[ROUTE]],DEMAND!A:F,6,FALSE),0)</f>
        <v>0</v>
      </c>
      <c r="O785" s="26">
        <f>ROUNDDOWN(Table21[[#This Row],[R-DEMAND]]/1320,0)</f>
        <v>0</v>
      </c>
      <c r="P785" s="26">
        <f>Table21[[#This Row],[ADD ACC]]*Table21[[#This Row],[Duration
(747-400)]]</f>
        <v>0</v>
      </c>
      <c r="Q785" s="284">
        <f>IFERROR(VLOOKUP(Table21[[#This Row],[ROUTE]],PRICING!A:B,2,FALSE),0)</f>
        <v>0</v>
      </c>
      <c r="R785" s="282">
        <f>Table21[[#This Row],[C_DEMAND]]-Table21[[#This Row],[R-DEMAND]]</f>
        <v>0</v>
      </c>
      <c r="S785" s="287">
        <f>Table21[[#This Row],[SEATS SOLD]]*Table21[[#This Row],[ECO SEAT]]</f>
        <v>0</v>
      </c>
    </row>
    <row r="786" spans="1:19" x14ac:dyDescent="0.25">
      <c r="A786" s="16" t="s">
        <v>16329</v>
      </c>
      <c r="B786" s="16" t="s">
        <v>2154</v>
      </c>
      <c r="D786" s="16">
        <v>1</v>
      </c>
      <c r="E786" s="16" t="s">
        <v>560</v>
      </c>
      <c r="F786" s="16" t="s">
        <v>12674</v>
      </c>
      <c r="G786" s="179" t="s">
        <v>11725</v>
      </c>
      <c r="H786" s="254">
        <v>8120</v>
      </c>
      <c r="I786" s="180">
        <v>20</v>
      </c>
      <c r="K786" s="102">
        <f>IFERROR(Table21[[#This Row],[ROUTE COST]]/Table21[[#This Row],[O - DEMAND]],0)</f>
        <v>0</v>
      </c>
      <c r="M786" s="26">
        <f>IFERROR(VLOOKUP(Table21[[#This Row],[ROUTE]],DEMAND!A:F,5,FALSE),0)</f>
        <v>0</v>
      </c>
      <c r="N786" s="26">
        <f>IFERROR(VLOOKUP(Table21[[#This Row],[ROUTE]],DEMAND!A:F,6,FALSE),0)</f>
        <v>0</v>
      </c>
      <c r="O786" s="26">
        <f>ROUNDDOWN(Table21[[#This Row],[R-DEMAND]]/1320,0)</f>
        <v>0</v>
      </c>
      <c r="P786" s="26">
        <f>Table21[[#This Row],[ADD ACC]]*Table21[[#This Row],[Duration
(747-400)]]</f>
        <v>0</v>
      </c>
      <c r="Q786" s="284">
        <f>IFERROR(VLOOKUP(Table21[[#This Row],[ROUTE]],PRICING!A:B,2,FALSE),0)</f>
        <v>0</v>
      </c>
      <c r="R786" s="282">
        <f>Table21[[#This Row],[C_DEMAND]]-Table21[[#This Row],[R-DEMAND]]</f>
        <v>0</v>
      </c>
      <c r="S786" s="287">
        <f>Table21[[#This Row],[SEATS SOLD]]*Table21[[#This Row],[ECO SEAT]]</f>
        <v>0</v>
      </c>
    </row>
    <row r="787" spans="1:19" x14ac:dyDescent="0.25">
      <c r="A787" s="251" t="s">
        <v>16787</v>
      </c>
      <c r="B787" s="251" t="s">
        <v>3842</v>
      </c>
      <c r="D787" s="251">
        <v>2</v>
      </c>
      <c r="E787" s="251" t="s">
        <v>14</v>
      </c>
      <c r="F787" s="251" t="s">
        <v>12670</v>
      </c>
      <c r="G787" s="252" t="s">
        <v>12067</v>
      </c>
      <c r="H787" s="254">
        <v>1884</v>
      </c>
      <c r="I787" s="180">
        <v>6.25</v>
      </c>
      <c r="K787" s="253">
        <f>IFERROR(Table21[[#This Row],[ROUTE COST]]/Table21[[#This Row],[O - DEMAND]],0)</f>
        <v>0</v>
      </c>
      <c r="M787" s="26">
        <f>IFERROR(VLOOKUP(Table21[[#This Row],[ROUTE]],DEMAND!A:F,5,FALSE),0)</f>
        <v>0</v>
      </c>
      <c r="N787" s="26">
        <f>IFERROR(VLOOKUP(Table21[[#This Row],[ROUTE]],DEMAND!A:F,6,FALSE),0)</f>
        <v>0</v>
      </c>
      <c r="O787" s="26">
        <f>ROUNDDOWN(Table21[[#This Row],[R-DEMAND]]/1320,0)</f>
        <v>0</v>
      </c>
      <c r="P787" s="26">
        <f>Table21[[#This Row],[ADD ACC]]*Table21[[#This Row],[Duration
(747-400)]]</f>
        <v>0</v>
      </c>
      <c r="Q787" s="284">
        <f>IFERROR(VLOOKUP(Table21[[#This Row],[ROUTE]],PRICING!A:B,2,FALSE),0)</f>
        <v>0</v>
      </c>
      <c r="R787" s="282">
        <f>Table21[[#This Row],[C_DEMAND]]-Table21[[#This Row],[R-DEMAND]]</f>
        <v>0</v>
      </c>
      <c r="S787" s="287">
        <f>Table21[[#This Row],[SEATS SOLD]]*Table21[[#This Row],[ECO SEAT]]</f>
        <v>0</v>
      </c>
    </row>
    <row r="788" spans="1:19" x14ac:dyDescent="0.25">
      <c r="A788" s="251" t="s">
        <v>16767</v>
      </c>
      <c r="B788" s="251" t="s">
        <v>4760</v>
      </c>
      <c r="D788" s="251">
        <v>3</v>
      </c>
      <c r="E788" s="251" t="s">
        <v>14</v>
      </c>
      <c r="F788" s="251" t="s">
        <v>12670</v>
      </c>
      <c r="G788" s="252" t="s">
        <v>12035</v>
      </c>
      <c r="H788" s="254">
        <v>1327</v>
      </c>
      <c r="I788" s="180">
        <v>5</v>
      </c>
      <c r="K788" s="253">
        <f>IFERROR(Table21[[#This Row],[ROUTE COST]]/Table21[[#This Row],[O - DEMAND]],0)</f>
        <v>0</v>
      </c>
      <c r="M788" s="26">
        <f>IFERROR(VLOOKUP(Table21[[#This Row],[ROUTE]],DEMAND!A:F,5,FALSE),0)</f>
        <v>0</v>
      </c>
      <c r="N788" s="26">
        <f>IFERROR(VLOOKUP(Table21[[#This Row],[ROUTE]],DEMAND!A:F,6,FALSE),0)</f>
        <v>0</v>
      </c>
      <c r="O788" s="26">
        <f>ROUNDDOWN(Table21[[#This Row],[R-DEMAND]]/1320,0)</f>
        <v>0</v>
      </c>
      <c r="P788" s="26">
        <f>Table21[[#This Row],[ADD ACC]]*Table21[[#This Row],[Duration
(747-400)]]</f>
        <v>0</v>
      </c>
      <c r="Q788" s="284">
        <f>IFERROR(VLOOKUP(Table21[[#This Row],[ROUTE]],PRICING!A:B,2,FALSE),0)</f>
        <v>0</v>
      </c>
      <c r="R788" s="282">
        <f>Table21[[#This Row],[C_DEMAND]]-Table21[[#This Row],[R-DEMAND]]</f>
        <v>0</v>
      </c>
      <c r="S788" s="287">
        <f>Table21[[#This Row],[SEATS SOLD]]*Table21[[#This Row],[ECO SEAT]]</f>
        <v>0</v>
      </c>
    </row>
    <row r="789" spans="1:19" x14ac:dyDescent="0.25">
      <c r="A789" s="251" t="s">
        <v>16732</v>
      </c>
      <c r="B789" s="251" t="s">
        <v>4072</v>
      </c>
      <c r="D789" s="251">
        <v>2</v>
      </c>
      <c r="E789" s="251" t="s">
        <v>14</v>
      </c>
      <c r="F789" s="251" t="s">
        <v>12670</v>
      </c>
      <c r="G789" s="252" t="s">
        <v>12041</v>
      </c>
      <c r="H789" s="254">
        <v>675</v>
      </c>
      <c r="I789" s="180">
        <v>3.5</v>
      </c>
      <c r="K789" s="253">
        <f>IFERROR(Table21[[#This Row],[ROUTE COST]]/Table21[[#This Row],[O - DEMAND]],0)</f>
        <v>0</v>
      </c>
      <c r="M789" s="26">
        <f>IFERROR(VLOOKUP(Table21[[#This Row],[ROUTE]],DEMAND!A:F,5,FALSE),0)</f>
        <v>0</v>
      </c>
      <c r="N789" s="26">
        <f>IFERROR(VLOOKUP(Table21[[#This Row],[ROUTE]],DEMAND!A:F,6,FALSE),0)</f>
        <v>0</v>
      </c>
      <c r="O789" s="26">
        <f>ROUNDDOWN(Table21[[#This Row],[R-DEMAND]]/1320,0)</f>
        <v>0</v>
      </c>
      <c r="P789" s="26">
        <f>Table21[[#This Row],[ADD ACC]]*Table21[[#This Row],[Duration
(747-400)]]</f>
        <v>0</v>
      </c>
      <c r="Q789" s="284">
        <f>IFERROR(VLOOKUP(Table21[[#This Row],[ROUTE]],PRICING!A:B,2,FALSE),0)</f>
        <v>0</v>
      </c>
      <c r="R789" s="282">
        <f>Table21[[#This Row],[C_DEMAND]]-Table21[[#This Row],[R-DEMAND]]</f>
        <v>0</v>
      </c>
      <c r="S789" s="287">
        <f>Table21[[#This Row],[SEATS SOLD]]*Table21[[#This Row],[ECO SEAT]]</f>
        <v>0</v>
      </c>
    </row>
    <row r="790" spans="1:19" x14ac:dyDescent="0.25">
      <c r="A790" s="16" t="s">
        <v>16166</v>
      </c>
      <c r="B790" s="16" t="s">
        <v>2651</v>
      </c>
      <c r="D790" s="16">
        <v>2</v>
      </c>
      <c r="E790" s="16" t="s">
        <v>514</v>
      </c>
      <c r="F790" s="16" t="s">
        <v>12688</v>
      </c>
      <c r="G790" s="179" t="s">
        <v>13169</v>
      </c>
      <c r="H790" s="254">
        <v>10158</v>
      </c>
      <c r="I790" s="180">
        <v>24.5</v>
      </c>
      <c r="K790" s="102">
        <f>IFERROR(Table21[[#This Row],[ROUTE COST]]/Table21[[#This Row],[O - DEMAND]],0)</f>
        <v>0</v>
      </c>
      <c r="M790" s="26">
        <f>IFERROR(VLOOKUP(Table21[[#This Row],[ROUTE]],DEMAND!A:F,5,FALSE),0)</f>
        <v>0</v>
      </c>
      <c r="N790" s="26">
        <f>IFERROR(VLOOKUP(Table21[[#This Row],[ROUTE]],DEMAND!A:F,6,FALSE),0)</f>
        <v>0</v>
      </c>
      <c r="O790" s="26">
        <f>ROUNDDOWN(Table21[[#This Row],[R-DEMAND]]/1320,0)</f>
        <v>0</v>
      </c>
      <c r="P790" s="26">
        <f>Table21[[#This Row],[ADD ACC]]*Table21[[#This Row],[Duration
(747-400)]]</f>
        <v>0</v>
      </c>
      <c r="Q790" s="284">
        <f>IFERROR(VLOOKUP(Table21[[#This Row],[ROUTE]],PRICING!A:B,2,FALSE),0)</f>
        <v>0</v>
      </c>
      <c r="R790" s="282">
        <f>Table21[[#This Row],[C_DEMAND]]-Table21[[#This Row],[R-DEMAND]]</f>
        <v>0</v>
      </c>
      <c r="S790" s="287">
        <f>Table21[[#This Row],[SEATS SOLD]]*Table21[[#This Row],[ECO SEAT]]</f>
        <v>0</v>
      </c>
    </row>
    <row r="791" spans="1:19" x14ac:dyDescent="0.25">
      <c r="A791" s="251" t="s">
        <v>16736</v>
      </c>
      <c r="B791" s="251" t="s">
        <v>4070</v>
      </c>
      <c r="D791" s="251">
        <v>2</v>
      </c>
      <c r="E791" s="251" t="s">
        <v>14</v>
      </c>
      <c r="F791" s="251" t="s">
        <v>12670</v>
      </c>
      <c r="G791" s="252" t="s">
        <v>12042</v>
      </c>
      <c r="H791" s="254">
        <v>736</v>
      </c>
      <c r="I791" s="180">
        <v>3.75</v>
      </c>
      <c r="K791" s="253">
        <f>IFERROR(Table21[[#This Row],[ROUTE COST]]/Table21[[#This Row],[O - DEMAND]],0)</f>
        <v>0</v>
      </c>
      <c r="M791" s="26">
        <f>IFERROR(VLOOKUP(Table21[[#This Row],[ROUTE]],DEMAND!A:F,5,FALSE),0)</f>
        <v>0</v>
      </c>
      <c r="N791" s="26">
        <f>IFERROR(VLOOKUP(Table21[[#This Row],[ROUTE]],DEMAND!A:F,6,FALSE),0)</f>
        <v>0</v>
      </c>
      <c r="O791" s="26">
        <f>ROUNDDOWN(Table21[[#This Row],[R-DEMAND]]/1320,0)</f>
        <v>0</v>
      </c>
      <c r="P791" s="26">
        <f>Table21[[#This Row],[ADD ACC]]*Table21[[#This Row],[Duration
(747-400)]]</f>
        <v>0</v>
      </c>
      <c r="Q791" s="284">
        <f>IFERROR(VLOOKUP(Table21[[#This Row],[ROUTE]],PRICING!A:B,2,FALSE),0)</f>
        <v>0</v>
      </c>
      <c r="R791" s="282">
        <f>Table21[[#This Row],[C_DEMAND]]-Table21[[#This Row],[R-DEMAND]]</f>
        <v>0</v>
      </c>
      <c r="S791" s="287">
        <f>Table21[[#This Row],[SEATS SOLD]]*Table21[[#This Row],[ECO SEAT]]</f>
        <v>0</v>
      </c>
    </row>
    <row r="792" spans="1:19" x14ac:dyDescent="0.25">
      <c r="A792" s="16" t="s">
        <v>16456</v>
      </c>
      <c r="B792" s="16" t="s">
        <v>2466</v>
      </c>
      <c r="D792" s="16">
        <v>1</v>
      </c>
      <c r="E792" s="16" t="s">
        <v>700</v>
      </c>
      <c r="F792" s="16" t="s">
        <v>12670</v>
      </c>
      <c r="G792" s="179" t="s">
        <v>11852</v>
      </c>
      <c r="H792" s="254">
        <v>7061</v>
      </c>
      <c r="I792" s="180">
        <v>17.75</v>
      </c>
      <c r="K792" s="102">
        <f>IFERROR(Table21[[#This Row],[ROUTE COST]]/Table21[[#This Row],[O - DEMAND]],0)</f>
        <v>0</v>
      </c>
      <c r="M792" s="26">
        <f>IFERROR(VLOOKUP(Table21[[#This Row],[ROUTE]],DEMAND!A:F,5,FALSE),0)</f>
        <v>0</v>
      </c>
      <c r="N792" s="26">
        <f>IFERROR(VLOOKUP(Table21[[#This Row],[ROUTE]],DEMAND!A:F,6,FALSE),0)</f>
        <v>0</v>
      </c>
      <c r="O792" s="26">
        <f>ROUNDDOWN(Table21[[#This Row],[R-DEMAND]]/1320,0)</f>
        <v>0</v>
      </c>
      <c r="P792" s="26">
        <f>Table21[[#This Row],[ADD ACC]]*Table21[[#This Row],[Duration
(747-400)]]</f>
        <v>0</v>
      </c>
      <c r="Q792" s="284">
        <f>IFERROR(VLOOKUP(Table21[[#This Row],[ROUTE]],PRICING!A:B,2,FALSE),0)</f>
        <v>0</v>
      </c>
      <c r="R792" s="282">
        <f>Table21[[#This Row],[C_DEMAND]]-Table21[[#This Row],[R-DEMAND]]</f>
        <v>0</v>
      </c>
      <c r="S792" s="287">
        <f>Table21[[#This Row],[SEATS SOLD]]*Table21[[#This Row],[ECO SEAT]]</f>
        <v>0</v>
      </c>
    </row>
    <row r="793" spans="1:19" x14ac:dyDescent="0.25">
      <c r="A793" s="16" t="s">
        <v>16168</v>
      </c>
      <c r="B793" s="16" t="s">
        <v>1477</v>
      </c>
      <c r="D793" s="16">
        <v>1</v>
      </c>
      <c r="E793" s="16" t="s">
        <v>514</v>
      </c>
      <c r="F793" s="16" t="s">
        <v>12688</v>
      </c>
      <c r="G793" s="179" t="s">
        <v>13174</v>
      </c>
      <c r="H793" s="254">
        <v>10151</v>
      </c>
      <c r="I793" s="180">
        <v>24.5</v>
      </c>
      <c r="K793" s="102">
        <f>IFERROR(Table21[[#This Row],[ROUTE COST]]/Table21[[#This Row],[O - DEMAND]],0)</f>
        <v>0</v>
      </c>
      <c r="M793" s="26">
        <f>IFERROR(VLOOKUP(Table21[[#This Row],[ROUTE]],DEMAND!A:F,5,FALSE),0)</f>
        <v>0</v>
      </c>
      <c r="N793" s="26">
        <f>IFERROR(VLOOKUP(Table21[[#This Row],[ROUTE]],DEMAND!A:F,6,FALSE),0)</f>
        <v>0</v>
      </c>
      <c r="O793" s="26">
        <f>ROUNDDOWN(Table21[[#This Row],[R-DEMAND]]/1320,0)</f>
        <v>0</v>
      </c>
      <c r="P793" s="26">
        <f>Table21[[#This Row],[ADD ACC]]*Table21[[#This Row],[Duration
(747-400)]]</f>
        <v>0</v>
      </c>
      <c r="Q793" s="284">
        <f>IFERROR(VLOOKUP(Table21[[#This Row],[ROUTE]],PRICING!A:B,2,FALSE),0)</f>
        <v>0</v>
      </c>
      <c r="R793" s="282">
        <f>Table21[[#This Row],[C_DEMAND]]-Table21[[#This Row],[R-DEMAND]]</f>
        <v>0</v>
      </c>
      <c r="S793" s="287">
        <f>Table21[[#This Row],[SEATS SOLD]]*Table21[[#This Row],[ECO SEAT]]</f>
        <v>0</v>
      </c>
    </row>
    <row r="794" spans="1:19" x14ac:dyDescent="0.25">
      <c r="A794" s="16" t="s">
        <v>16683</v>
      </c>
      <c r="B794" s="16" t="s">
        <v>4106</v>
      </c>
      <c r="D794" s="16">
        <v>2</v>
      </c>
      <c r="E794" s="16" t="s">
        <v>78</v>
      </c>
      <c r="F794" s="16" t="s">
        <v>12674</v>
      </c>
      <c r="G794" s="179" t="s">
        <v>6123</v>
      </c>
      <c r="H794" s="254">
        <v>2604</v>
      </c>
      <c r="I794" s="180">
        <v>8</v>
      </c>
      <c r="K794" s="102">
        <f>IFERROR(Table21[[#This Row],[ROUTE COST]]/Table21[[#This Row],[O - DEMAND]],0)</f>
        <v>0</v>
      </c>
      <c r="M794" s="26">
        <f>IFERROR(VLOOKUP(Table21[[#This Row],[ROUTE]],DEMAND!A:F,5,FALSE),0)</f>
        <v>0</v>
      </c>
      <c r="N794" s="26">
        <f>IFERROR(VLOOKUP(Table21[[#This Row],[ROUTE]],DEMAND!A:F,6,FALSE),0)</f>
        <v>0</v>
      </c>
      <c r="O794" s="26">
        <f>ROUNDDOWN(Table21[[#This Row],[R-DEMAND]]/1320,0)</f>
        <v>0</v>
      </c>
      <c r="P794" s="26">
        <f>Table21[[#This Row],[ADD ACC]]*Table21[[#This Row],[Duration
(747-400)]]</f>
        <v>0</v>
      </c>
      <c r="Q794" s="284">
        <f>IFERROR(VLOOKUP(Table21[[#This Row],[ROUTE]],PRICING!A:B,2,FALSE),0)</f>
        <v>0</v>
      </c>
      <c r="R794" s="282">
        <f>Table21[[#This Row],[C_DEMAND]]-Table21[[#This Row],[R-DEMAND]]</f>
        <v>0</v>
      </c>
      <c r="S794" s="287">
        <f>Table21[[#This Row],[SEATS SOLD]]*Table21[[#This Row],[ECO SEAT]]</f>
        <v>0</v>
      </c>
    </row>
    <row r="795" spans="1:19" x14ac:dyDescent="0.25">
      <c r="A795" s="16" t="s">
        <v>16414</v>
      </c>
      <c r="B795" s="16" t="s">
        <v>3219</v>
      </c>
      <c r="D795" s="16">
        <v>2</v>
      </c>
      <c r="E795" s="16" t="s">
        <v>172</v>
      </c>
      <c r="F795" s="16" t="s">
        <v>12670</v>
      </c>
      <c r="G795" s="179" t="s">
        <v>11913</v>
      </c>
      <c r="H795" s="254">
        <v>7371</v>
      </c>
      <c r="I795" s="180">
        <v>18.5</v>
      </c>
      <c r="K795" s="102">
        <f>IFERROR(Table21[[#This Row],[ROUTE COST]]/Table21[[#This Row],[O - DEMAND]],0)</f>
        <v>0</v>
      </c>
      <c r="M795" s="26">
        <f>IFERROR(VLOOKUP(Table21[[#This Row],[ROUTE]],DEMAND!A:F,5,FALSE),0)</f>
        <v>0</v>
      </c>
      <c r="N795" s="26">
        <f>IFERROR(VLOOKUP(Table21[[#This Row],[ROUTE]],DEMAND!A:F,6,FALSE),0)</f>
        <v>0</v>
      </c>
      <c r="O795" s="26">
        <f>ROUNDDOWN(Table21[[#This Row],[R-DEMAND]]/1320,0)</f>
        <v>0</v>
      </c>
      <c r="P795" s="26">
        <f>Table21[[#This Row],[ADD ACC]]*Table21[[#This Row],[Duration
(747-400)]]</f>
        <v>0</v>
      </c>
      <c r="Q795" s="284">
        <f>IFERROR(VLOOKUP(Table21[[#This Row],[ROUTE]],PRICING!A:B,2,FALSE),0)</f>
        <v>0</v>
      </c>
      <c r="R795" s="282">
        <f>Table21[[#This Row],[C_DEMAND]]-Table21[[#This Row],[R-DEMAND]]</f>
        <v>0</v>
      </c>
      <c r="S795" s="287">
        <f>Table21[[#This Row],[SEATS SOLD]]*Table21[[#This Row],[ECO SEAT]]</f>
        <v>0</v>
      </c>
    </row>
    <row r="796" spans="1:19" x14ac:dyDescent="0.25">
      <c r="A796" s="16" t="s">
        <v>16309</v>
      </c>
      <c r="B796" s="16" t="s">
        <v>3507</v>
      </c>
      <c r="D796" s="16">
        <v>2</v>
      </c>
      <c r="E796" s="16" t="s">
        <v>514</v>
      </c>
      <c r="F796" s="16" t="s">
        <v>12688</v>
      </c>
      <c r="G796" s="179" t="s">
        <v>6041</v>
      </c>
      <c r="H796" s="254">
        <v>8368</v>
      </c>
      <c r="I796" s="180">
        <v>20.75</v>
      </c>
      <c r="K796" s="102">
        <f>IFERROR(Table21[[#This Row],[ROUTE COST]]/Table21[[#This Row],[O - DEMAND]],0)</f>
        <v>0</v>
      </c>
      <c r="M796" s="26">
        <f>IFERROR(VLOOKUP(Table21[[#This Row],[ROUTE]],DEMAND!A:F,5,FALSE),0)</f>
        <v>0</v>
      </c>
      <c r="N796" s="26">
        <f>IFERROR(VLOOKUP(Table21[[#This Row],[ROUTE]],DEMAND!A:F,6,FALSE),0)</f>
        <v>0</v>
      </c>
      <c r="O796" s="26">
        <f>ROUNDDOWN(Table21[[#This Row],[R-DEMAND]]/1320,0)</f>
        <v>0</v>
      </c>
      <c r="P796" s="26">
        <f>Table21[[#This Row],[ADD ACC]]*Table21[[#This Row],[Duration
(747-400)]]</f>
        <v>0</v>
      </c>
      <c r="Q796" s="284">
        <f>IFERROR(VLOOKUP(Table21[[#This Row],[ROUTE]],PRICING!A:B,2,FALSE),0)</f>
        <v>0</v>
      </c>
      <c r="R796" s="282">
        <f>Table21[[#This Row],[C_DEMAND]]-Table21[[#This Row],[R-DEMAND]]</f>
        <v>0</v>
      </c>
      <c r="S796" s="287">
        <f>Table21[[#This Row],[SEATS SOLD]]*Table21[[#This Row],[ECO SEAT]]</f>
        <v>0</v>
      </c>
    </row>
    <row r="797" spans="1:19" x14ac:dyDescent="0.25">
      <c r="A797" s="16" t="s">
        <v>16546</v>
      </c>
      <c r="B797" s="16" t="s">
        <v>5377</v>
      </c>
      <c r="D797" s="16">
        <v>3</v>
      </c>
      <c r="E797" s="16" t="s">
        <v>11732</v>
      </c>
      <c r="F797" s="16" t="s">
        <v>15969</v>
      </c>
      <c r="G797" s="179" t="s">
        <v>10380</v>
      </c>
      <c r="H797" s="254">
        <v>5914</v>
      </c>
      <c r="I797" s="180">
        <v>15.25</v>
      </c>
      <c r="K797" s="102">
        <f>IFERROR(Table21[[#This Row],[ROUTE COST]]/Table21[[#This Row],[O - DEMAND]],0)</f>
        <v>0</v>
      </c>
      <c r="M797" s="26">
        <f>IFERROR(VLOOKUP(Table21[[#This Row],[ROUTE]],DEMAND!A:F,5,FALSE),0)</f>
        <v>0</v>
      </c>
      <c r="N797" s="26">
        <f>IFERROR(VLOOKUP(Table21[[#This Row],[ROUTE]],DEMAND!A:F,6,FALSE),0)</f>
        <v>0</v>
      </c>
      <c r="O797" s="26">
        <f>ROUNDDOWN(Table21[[#This Row],[R-DEMAND]]/1320,0)</f>
        <v>0</v>
      </c>
      <c r="P797" s="26">
        <f>Table21[[#This Row],[ADD ACC]]*Table21[[#This Row],[Duration
(747-400)]]</f>
        <v>0</v>
      </c>
      <c r="Q797" s="284">
        <f>IFERROR(VLOOKUP(Table21[[#This Row],[ROUTE]],PRICING!A:B,2,FALSE),0)</f>
        <v>0</v>
      </c>
      <c r="R797" s="282">
        <f>Table21[[#This Row],[C_DEMAND]]-Table21[[#This Row],[R-DEMAND]]</f>
        <v>0</v>
      </c>
      <c r="S797" s="287">
        <f>Table21[[#This Row],[SEATS SOLD]]*Table21[[#This Row],[ECO SEAT]]</f>
        <v>0</v>
      </c>
    </row>
    <row r="798" spans="1:19" x14ac:dyDescent="0.25">
      <c r="A798" s="16" t="s">
        <v>16326</v>
      </c>
      <c r="B798" s="16" t="s">
        <v>3904</v>
      </c>
      <c r="D798" s="16">
        <v>2</v>
      </c>
      <c r="E798" s="16" t="s">
        <v>514</v>
      </c>
      <c r="F798" s="16" t="s">
        <v>12688</v>
      </c>
      <c r="G798" s="179" t="s">
        <v>11671</v>
      </c>
      <c r="H798" s="254">
        <v>8137</v>
      </c>
      <c r="I798" s="180">
        <v>20.25</v>
      </c>
      <c r="K798" s="102">
        <f>IFERROR(Table21[[#This Row],[ROUTE COST]]/Table21[[#This Row],[O - DEMAND]],0)</f>
        <v>0</v>
      </c>
      <c r="M798" s="26">
        <f>IFERROR(VLOOKUP(Table21[[#This Row],[ROUTE]],DEMAND!A:F,5,FALSE),0)</f>
        <v>0</v>
      </c>
      <c r="N798" s="26">
        <f>IFERROR(VLOOKUP(Table21[[#This Row],[ROUTE]],DEMAND!A:F,6,FALSE),0)</f>
        <v>0</v>
      </c>
      <c r="O798" s="26">
        <f>ROUNDDOWN(Table21[[#This Row],[R-DEMAND]]/1320,0)</f>
        <v>0</v>
      </c>
      <c r="P798" s="26">
        <f>Table21[[#This Row],[ADD ACC]]*Table21[[#This Row],[Duration
(747-400)]]</f>
        <v>0</v>
      </c>
      <c r="Q798" s="284">
        <f>IFERROR(VLOOKUP(Table21[[#This Row],[ROUTE]],PRICING!A:B,2,FALSE),0)</f>
        <v>0</v>
      </c>
      <c r="R798" s="282">
        <f>Table21[[#This Row],[C_DEMAND]]-Table21[[#This Row],[R-DEMAND]]</f>
        <v>0</v>
      </c>
      <c r="S798" s="287">
        <f>Table21[[#This Row],[SEATS SOLD]]*Table21[[#This Row],[ECO SEAT]]</f>
        <v>0</v>
      </c>
    </row>
    <row r="799" spans="1:19" x14ac:dyDescent="0.25">
      <c r="A799" s="16" t="s">
        <v>16295</v>
      </c>
      <c r="B799" s="16" t="s">
        <v>4062</v>
      </c>
      <c r="D799" s="16">
        <v>2</v>
      </c>
      <c r="E799" s="16" t="s">
        <v>514</v>
      </c>
      <c r="F799" s="16" t="s">
        <v>12688</v>
      </c>
      <c r="G799" s="179" t="s">
        <v>11667</v>
      </c>
      <c r="H799" s="254">
        <v>8549</v>
      </c>
      <c r="I799" s="180">
        <v>21</v>
      </c>
      <c r="K799" s="102">
        <f>IFERROR(Table21[[#This Row],[ROUTE COST]]/Table21[[#This Row],[O - DEMAND]],0)</f>
        <v>0</v>
      </c>
      <c r="M799" s="26">
        <f>IFERROR(VLOOKUP(Table21[[#This Row],[ROUTE]],DEMAND!A:F,5,FALSE),0)</f>
        <v>0</v>
      </c>
      <c r="N799" s="26">
        <f>IFERROR(VLOOKUP(Table21[[#This Row],[ROUTE]],DEMAND!A:F,6,FALSE),0)</f>
        <v>0</v>
      </c>
      <c r="O799" s="26">
        <f>ROUNDDOWN(Table21[[#This Row],[R-DEMAND]]/1320,0)</f>
        <v>0</v>
      </c>
      <c r="P799" s="26">
        <f>Table21[[#This Row],[ADD ACC]]*Table21[[#This Row],[Duration
(747-400)]]</f>
        <v>0</v>
      </c>
      <c r="Q799" s="284">
        <f>IFERROR(VLOOKUP(Table21[[#This Row],[ROUTE]],PRICING!A:B,2,FALSE),0)</f>
        <v>0</v>
      </c>
      <c r="R799" s="282">
        <f>Table21[[#This Row],[C_DEMAND]]-Table21[[#This Row],[R-DEMAND]]</f>
        <v>0</v>
      </c>
      <c r="S799" s="287">
        <f>Table21[[#This Row],[SEATS SOLD]]*Table21[[#This Row],[ECO SEAT]]</f>
        <v>0</v>
      </c>
    </row>
    <row r="800" spans="1:19" x14ac:dyDescent="0.25">
      <c r="A800" s="16" t="s">
        <v>16451</v>
      </c>
      <c r="B800" s="16" t="s">
        <v>3269</v>
      </c>
      <c r="D800" s="16">
        <v>2</v>
      </c>
      <c r="E800" s="16" t="s">
        <v>514</v>
      </c>
      <c r="F800" s="16" t="s">
        <v>12688</v>
      </c>
      <c r="G800" s="179" t="s">
        <v>11695</v>
      </c>
      <c r="H800" s="254">
        <v>7080</v>
      </c>
      <c r="I800" s="180">
        <v>17.75</v>
      </c>
      <c r="K800" s="102">
        <f>IFERROR(Table21[[#This Row],[ROUTE COST]]/Table21[[#This Row],[O - DEMAND]],0)</f>
        <v>0</v>
      </c>
      <c r="M800" s="26">
        <f>IFERROR(VLOOKUP(Table21[[#This Row],[ROUTE]],DEMAND!A:F,5,FALSE),0)</f>
        <v>0</v>
      </c>
      <c r="N800" s="26">
        <f>IFERROR(VLOOKUP(Table21[[#This Row],[ROUTE]],DEMAND!A:F,6,FALSE),0)</f>
        <v>0</v>
      </c>
      <c r="O800" s="26">
        <f>ROUNDDOWN(Table21[[#This Row],[R-DEMAND]]/1320,0)</f>
        <v>0</v>
      </c>
      <c r="P800" s="26">
        <f>Table21[[#This Row],[ADD ACC]]*Table21[[#This Row],[Duration
(747-400)]]</f>
        <v>0</v>
      </c>
      <c r="Q800" s="284">
        <f>IFERROR(VLOOKUP(Table21[[#This Row],[ROUTE]],PRICING!A:B,2,FALSE),0)</f>
        <v>0</v>
      </c>
      <c r="R800" s="282">
        <f>Table21[[#This Row],[C_DEMAND]]-Table21[[#This Row],[R-DEMAND]]</f>
        <v>0</v>
      </c>
      <c r="S800" s="287">
        <f>Table21[[#This Row],[SEATS SOLD]]*Table21[[#This Row],[ECO SEAT]]</f>
        <v>0</v>
      </c>
    </row>
    <row r="801" spans="1:19" x14ac:dyDescent="0.25">
      <c r="A801" s="16" t="s">
        <v>16157</v>
      </c>
      <c r="B801" s="16" t="s">
        <v>2321</v>
      </c>
      <c r="D801" s="16">
        <v>1</v>
      </c>
      <c r="E801" s="16" t="s">
        <v>514</v>
      </c>
      <c r="F801" s="16" t="s">
        <v>12688</v>
      </c>
      <c r="G801" s="179" t="s">
        <v>13168</v>
      </c>
      <c r="H801" s="254">
        <v>10275</v>
      </c>
      <c r="I801" s="180">
        <v>25</v>
      </c>
      <c r="K801" s="102">
        <f>IFERROR(Table21[[#This Row],[ROUTE COST]]/Table21[[#This Row],[O - DEMAND]],0)</f>
        <v>0</v>
      </c>
      <c r="M801" s="26">
        <f>IFERROR(VLOOKUP(Table21[[#This Row],[ROUTE]],DEMAND!A:F,5,FALSE),0)</f>
        <v>0</v>
      </c>
      <c r="N801" s="26">
        <f>IFERROR(VLOOKUP(Table21[[#This Row],[ROUTE]],DEMAND!A:F,6,FALSE),0)</f>
        <v>0</v>
      </c>
      <c r="O801" s="26">
        <f>ROUNDDOWN(Table21[[#This Row],[R-DEMAND]]/1320,0)</f>
        <v>0</v>
      </c>
      <c r="P801" s="26">
        <f>Table21[[#This Row],[ADD ACC]]*Table21[[#This Row],[Duration
(747-400)]]</f>
        <v>0</v>
      </c>
      <c r="Q801" s="284">
        <f>IFERROR(VLOOKUP(Table21[[#This Row],[ROUTE]],PRICING!A:B,2,FALSE),0)</f>
        <v>0</v>
      </c>
      <c r="R801" s="282">
        <f>Table21[[#This Row],[C_DEMAND]]-Table21[[#This Row],[R-DEMAND]]</f>
        <v>0</v>
      </c>
      <c r="S801" s="287">
        <f>Table21[[#This Row],[SEATS SOLD]]*Table21[[#This Row],[ECO SEAT]]</f>
        <v>0</v>
      </c>
    </row>
    <row r="802" spans="1:19" x14ac:dyDescent="0.25">
      <c r="A802" s="16" t="s">
        <v>16288</v>
      </c>
      <c r="B802" s="16" t="s">
        <v>2759</v>
      </c>
      <c r="D802" s="16">
        <v>2</v>
      </c>
      <c r="E802" s="16" t="s">
        <v>514</v>
      </c>
      <c r="F802" s="16" t="s">
        <v>12688</v>
      </c>
      <c r="G802" s="179" t="s">
        <v>13165</v>
      </c>
      <c r="H802" s="254">
        <v>8669</v>
      </c>
      <c r="I802" s="180">
        <v>21.25</v>
      </c>
      <c r="K802" s="102">
        <f>IFERROR(Table21[[#This Row],[ROUTE COST]]/Table21[[#This Row],[O - DEMAND]],0)</f>
        <v>0</v>
      </c>
      <c r="M802" s="26">
        <f>IFERROR(VLOOKUP(Table21[[#This Row],[ROUTE]],DEMAND!A:F,5,FALSE),0)</f>
        <v>0</v>
      </c>
      <c r="N802" s="26">
        <f>IFERROR(VLOOKUP(Table21[[#This Row],[ROUTE]],DEMAND!A:F,6,FALSE),0)</f>
        <v>0</v>
      </c>
      <c r="O802" s="26">
        <f>ROUNDDOWN(Table21[[#This Row],[R-DEMAND]]/1320,0)</f>
        <v>0</v>
      </c>
      <c r="P802" s="26">
        <f>Table21[[#This Row],[ADD ACC]]*Table21[[#This Row],[Duration
(747-400)]]</f>
        <v>0</v>
      </c>
      <c r="Q802" s="284">
        <f>IFERROR(VLOOKUP(Table21[[#This Row],[ROUTE]],PRICING!A:B,2,FALSE),0)</f>
        <v>0</v>
      </c>
      <c r="R802" s="282">
        <f>Table21[[#This Row],[C_DEMAND]]-Table21[[#This Row],[R-DEMAND]]</f>
        <v>0</v>
      </c>
      <c r="S802" s="287">
        <f>Table21[[#This Row],[SEATS SOLD]]*Table21[[#This Row],[ECO SEAT]]</f>
        <v>0</v>
      </c>
    </row>
    <row r="803" spans="1:19" x14ac:dyDescent="0.25">
      <c r="A803" s="16" t="s">
        <v>16205</v>
      </c>
      <c r="B803" s="16" t="s">
        <v>3398</v>
      </c>
      <c r="D803" s="16">
        <v>2</v>
      </c>
      <c r="E803" s="16" t="s">
        <v>514</v>
      </c>
      <c r="F803" s="16" t="s">
        <v>12688</v>
      </c>
      <c r="G803" s="179" t="s">
        <v>5935</v>
      </c>
      <c r="H803" s="254">
        <v>9628</v>
      </c>
      <c r="I803" s="180">
        <v>23.5</v>
      </c>
      <c r="K803" s="102">
        <f>IFERROR(Table21[[#This Row],[ROUTE COST]]/Table21[[#This Row],[O - DEMAND]],0)</f>
        <v>0</v>
      </c>
      <c r="M803" s="26">
        <f>IFERROR(VLOOKUP(Table21[[#This Row],[ROUTE]],DEMAND!A:F,5,FALSE),0)</f>
        <v>0</v>
      </c>
      <c r="N803" s="26">
        <f>IFERROR(VLOOKUP(Table21[[#This Row],[ROUTE]],DEMAND!A:F,6,FALSE),0)</f>
        <v>0</v>
      </c>
      <c r="O803" s="26">
        <f>ROUNDDOWN(Table21[[#This Row],[R-DEMAND]]/1320,0)</f>
        <v>0</v>
      </c>
      <c r="P803" s="26">
        <f>Table21[[#This Row],[ADD ACC]]*Table21[[#This Row],[Duration
(747-400)]]</f>
        <v>0</v>
      </c>
      <c r="Q803" s="284">
        <f>IFERROR(VLOOKUP(Table21[[#This Row],[ROUTE]],PRICING!A:B,2,FALSE),0)</f>
        <v>0</v>
      </c>
      <c r="R803" s="282">
        <f>Table21[[#This Row],[C_DEMAND]]-Table21[[#This Row],[R-DEMAND]]</f>
        <v>0</v>
      </c>
      <c r="S803" s="287">
        <f>Table21[[#This Row],[SEATS SOLD]]*Table21[[#This Row],[ECO SEAT]]</f>
        <v>0</v>
      </c>
    </row>
    <row r="804" spans="1:19" x14ac:dyDescent="0.25">
      <c r="A804" s="16" t="s">
        <v>16265</v>
      </c>
      <c r="B804" s="16" t="s">
        <v>4194</v>
      </c>
      <c r="D804" s="16">
        <v>2</v>
      </c>
      <c r="E804" s="16" t="s">
        <v>119</v>
      </c>
      <c r="F804" s="16" t="s">
        <v>12674</v>
      </c>
      <c r="G804" s="179" t="s">
        <v>11703</v>
      </c>
      <c r="H804" s="254">
        <v>8967</v>
      </c>
      <c r="I804" s="180">
        <v>22</v>
      </c>
      <c r="K804" s="102">
        <f>IFERROR(Table21[[#This Row],[ROUTE COST]]/Table21[[#This Row],[O - DEMAND]],0)</f>
        <v>0</v>
      </c>
      <c r="M804" s="26">
        <f>IFERROR(VLOOKUP(Table21[[#This Row],[ROUTE]],DEMAND!A:F,5,FALSE),0)</f>
        <v>0</v>
      </c>
      <c r="N804" s="26">
        <f>IFERROR(VLOOKUP(Table21[[#This Row],[ROUTE]],DEMAND!A:F,6,FALSE),0)</f>
        <v>0</v>
      </c>
      <c r="O804" s="26">
        <f>ROUNDDOWN(Table21[[#This Row],[R-DEMAND]]/1320,0)</f>
        <v>0</v>
      </c>
      <c r="P804" s="26">
        <f>Table21[[#This Row],[ADD ACC]]*Table21[[#This Row],[Duration
(747-400)]]</f>
        <v>0</v>
      </c>
      <c r="Q804" s="284">
        <f>IFERROR(VLOOKUP(Table21[[#This Row],[ROUTE]],PRICING!A:B,2,FALSE),0)</f>
        <v>0</v>
      </c>
      <c r="R804" s="282">
        <f>Table21[[#This Row],[C_DEMAND]]-Table21[[#This Row],[R-DEMAND]]</f>
        <v>0</v>
      </c>
      <c r="S804" s="287">
        <f>Table21[[#This Row],[SEATS SOLD]]*Table21[[#This Row],[ECO SEAT]]</f>
        <v>0</v>
      </c>
    </row>
    <row r="805" spans="1:19" x14ac:dyDescent="0.25">
      <c r="A805" s="251" t="s">
        <v>16756</v>
      </c>
      <c r="B805" s="251" t="s">
        <v>1963</v>
      </c>
      <c r="D805" s="251">
        <v>1</v>
      </c>
      <c r="E805" s="251" t="s">
        <v>14</v>
      </c>
      <c r="F805" s="251" t="s">
        <v>12670</v>
      </c>
      <c r="G805" s="252" t="s">
        <v>12034</v>
      </c>
      <c r="H805" s="254">
        <v>1028</v>
      </c>
      <c r="I805" s="180">
        <v>4.5</v>
      </c>
      <c r="K805" s="253">
        <f>IFERROR(Table21[[#This Row],[ROUTE COST]]/Table21[[#This Row],[O - DEMAND]],0)</f>
        <v>0</v>
      </c>
      <c r="M805" s="26">
        <f>IFERROR(VLOOKUP(Table21[[#This Row],[ROUTE]],DEMAND!A:F,5,FALSE),0)</f>
        <v>0</v>
      </c>
      <c r="N805" s="26">
        <f>IFERROR(VLOOKUP(Table21[[#This Row],[ROUTE]],DEMAND!A:F,6,FALSE),0)</f>
        <v>0</v>
      </c>
      <c r="O805" s="26">
        <f>ROUNDDOWN(Table21[[#This Row],[R-DEMAND]]/1320,0)</f>
        <v>0</v>
      </c>
      <c r="P805" s="26">
        <f>Table21[[#This Row],[ADD ACC]]*Table21[[#This Row],[Duration
(747-400)]]</f>
        <v>0</v>
      </c>
      <c r="Q805" s="284">
        <f>IFERROR(VLOOKUP(Table21[[#This Row],[ROUTE]],PRICING!A:B,2,FALSE),0)</f>
        <v>0</v>
      </c>
      <c r="R805" s="282">
        <f>Table21[[#This Row],[C_DEMAND]]-Table21[[#This Row],[R-DEMAND]]</f>
        <v>0</v>
      </c>
      <c r="S805" s="287">
        <f>Table21[[#This Row],[SEATS SOLD]]*Table21[[#This Row],[ECO SEAT]]</f>
        <v>0</v>
      </c>
    </row>
    <row r="806" spans="1:19" x14ac:dyDescent="0.25">
      <c r="A806" s="16" t="s">
        <v>16357</v>
      </c>
      <c r="B806" s="16" t="s">
        <v>3638</v>
      </c>
      <c r="D806" s="16">
        <v>2</v>
      </c>
      <c r="E806" s="16" t="s">
        <v>1427</v>
      </c>
      <c r="F806" s="16" t="s">
        <v>12674</v>
      </c>
      <c r="G806" s="179" t="s">
        <v>11745</v>
      </c>
      <c r="H806" s="254">
        <v>7912</v>
      </c>
      <c r="I806" s="180">
        <v>19.75</v>
      </c>
      <c r="K806" s="102">
        <f>IFERROR(Table21[[#This Row],[ROUTE COST]]/Table21[[#This Row],[O - DEMAND]],0)</f>
        <v>0</v>
      </c>
      <c r="M806" s="26">
        <f>IFERROR(VLOOKUP(Table21[[#This Row],[ROUTE]],DEMAND!A:F,5,FALSE),0)</f>
        <v>0</v>
      </c>
      <c r="N806" s="26">
        <f>IFERROR(VLOOKUP(Table21[[#This Row],[ROUTE]],DEMAND!A:F,6,FALSE),0)</f>
        <v>0</v>
      </c>
      <c r="O806" s="26">
        <f>ROUNDDOWN(Table21[[#This Row],[R-DEMAND]]/1320,0)</f>
        <v>0</v>
      </c>
      <c r="P806" s="26">
        <f>Table21[[#This Row],[ADD ACC]]*Table21[[#This Row],[Duration
(747-400)]]</f>
        <v>0</v>
      </c>
      <c r="Q806" s="284">
        <f>IFERROR(VLOOKUP(Table21[[#This Row],[ROUTE]],PRICING!A:B,2,FALSE),0)</f>
        <v>0</v>
      </c>
      <c r="R806" s="282">
        <f>Table21[[#This Row],[C_DEMAND]]-Table21[[#This Row],[R-DEMAND]]</f>
        <v>0</v>
      </c>
      <c r="S806" s="287">
        <f>Table21[[#This Row],[SEATS SOLD]]*Table21[[#This Row],[ECO SEAT]]</f>
        <v>0</v>
      </c>
    </row>
    <row r="807" spans="1:19" x14ac:dyDescent="0.25">
      <c r="A807" s="16" t="s">
        <v>16707</v>
      </c>
      <c r="B807" s="16" t="s">
        <v>4781</v>
      </c>
      <c r="D807" s="16">
        <v>3</v>
      </c>
      <c r="E807" s="16" t="s">
        <v>14</v>
      </c>
      <c r="F807" s="16" t="s">
        <v>12670</v>
      </c>
      <c r="G807" s="179" t="s">
        <v>12080</v>
      </c>
      <c r="H807" s="254">
        <v>2032</v>
      </c>
      <c r="I807" s="180">
        <v>6.75</v>
      </c>
      <c r="K807" s="102">
        <f>IFERROR(Table21[[#This Row],[ROUTE COST]]/Table21[[#This Row],[O - DEMAND]],0)</f>
        <v>0</v>
      </c>
      <c r="M807" s="26">
        <f>IFERROR(VLOOKUP(Table21[[#This Row],[ROUTE]],DEMAND!A:F,5,FALSE),0)</f>
        <v>0</v>
      </c>
      <c r="N807" s="26">
        <f>IFERROR(VLOOKUP(Table21[[#This Row],[ROUTE]],DEMAND!A:F,6,FALSE),0)</f>
        <v>0</v>
      </c>
      <c r="O807" s="26">
        <f>ROUNDDOWN(Table21[[#This Row],[R-DEMAND]]/1320,0)</f>
        <v>0</v>
      </c>
      <c r="P807" s="26">
        <f>Table21[[#This Row],[ADD ACC]]*Table21[[#This Row],[Duration
(747-400)]]</f>
        <v>0</v>
      </c>
      <c r="Q807" s="284">
        <f>IFERROR(VLOOKUP(Table21[[#This Row],[ROUTE]],PRICING!A:B,2,FALSE),0)</f>
        <v>0</v>
      </c>
      <c r="R807" s="282">
        <f>Table21[[#This Row],[C_DEMAND]]-Table21[[#This Row],[R-DEMAND]]</f>
        <v>0</v>
      </c>
      <c r="S807" s="287">
        <f>Table21[[#This Row],[SEATS SOLD]]*Table21[[#This Row],[ECO SEAT]]</f>
        <v>0</v>
      </c>
    </row>
    <row r="808" spans="1:19" x14ac:dyDescent="0.25">
      <c r="A808" s="16" t="s">
        <v>16698</v>
      </c>
      <c r="B808" s="16" t="s">
        <v>217</v>
      </c>
      <c r="C808" s="16" t="s">
        <v>2</v>
      </c>
      <c r="D808" s="16">
        <v>4</v>
      </c>
      <c r="E808" s="16" t="s">
        <v>14</v>
      </c>
      <c r="F808" s="16" t="s">
        <v>12670</v>
      </c>
      <c r="G808" s="179" t="s">
        <v>11071</v>
      </c>
      <c r="H808" s="254">
        <v>2115</v>
      </c>
      <c r="I808" s="180">
        <v>6.75</v>
      </c>
      <c r="J808" s="102">
        <v>192135126</v>
      </c>
      <c r="K808" s="102">
        <f>IFERROR(Table21[[#This Row],[ROUTE COST]]/Table21[[#This Row],[O - DEMAND]],0)</f>
        <v>48105.940410615927</v>
      </c>
      <c r="L808" s="26">
        <v>3994</v>
      </c>
      <c r="M808" s="26">
        <f>IFERROR(VLOOKUP(Table21[[#This Row],[ROUTE]],DEMAND!A:F,5,FALSE),0)</f>
        <v>4261</v>
      </c>
      <c r="N808" s="26">
        <f>IFERROR(VLOOKUP(Table21[[#This Row],[ROUTE]],DEMAND!A:F,6,FALSE),0)</f>
        <v>301</v>
      </c>
      <c r="O808" s="26">
        <f>ROUNDDOWN(Table21[[#This Row],[R-DEMAND]]/1320,0)</f>
        <v>0</v>
      </c>
      <c r="P808" s="26">
        <f>Table21[[#This Row],[ADD ACC]]*Table21[[#This Row],[Duration
(747-400)]]</f>
        <v>0</v>
      </c>
      <c r="Q808" s="284">
        <f>IFERROR(VLOOKUP(Table21[[#This Row],[ROUTE]],PRICING!A:B,2,FALSE),0)</f>
        <v>620</v>
      </c>
      <c r="R808" s="282">
        <f>Table21[[#This Row],[C_DEMAND]]-Table21[[#This Row],[R-DEMAND]]</f>
        <v>3960</v>
      </c>
      <c r="S808" s="287">
        <f>Table21[[#This Row],[SEATS SOLD]]*Table21[[#This Row],[ECO SEAT]]</f>
        <v>2455200</v>
      </c>
    </row>
    <row r="809" spans="1:19" x14ac:dyDescent="0.25">
      <c r="A809" s="16" t="s">
        <v>16006</v>
      </c>
      <c r="B809" s="16" t="s">
        <v>5163</v>
      </c>
      <c r="C809" s="16" t="s">
        <v>2</v>
      </c>
      <c r="D809" s="16">
        <v>3</v>
      </c>
      <c r="E809" s="16" t="s">
        <v>611</v>
      </c>
      <c r="F809" s="16" t="s">
        <v>12671</v>
      </c>
      <c r="G809" s="179" t="s">
        <v>13250</v>
      </c>
      <c r="H809" s="254">
        <v>12274</v>
      </c>
      <c r="I809" s="180">
        <v>29.25</v>
      </c>
      <c r="J809" s="102">
        <v>272350567</v>
      </c>
      <c r="K809" s="102">
        <f>IFERROR(Table21[[#This Row],[ROUTE COST]]/Table21[[#This Row],[O - DEMAND]],0)</f>
        <v>51905.959024204305</v>
      </c>
      <c r="L809" s="26">
        <v>5247</v>
      </c>
      <c r="M809" s="26">
        <f>IFERROR(VLOOKUP(Table21[[#This Row],[ROUTE]],DEMAND!A:F,5,FALSE),0)</f>
        <v>5247</v>
      </c>
      <c r="N809" s="26">
        <f>IFERROR(VLOOKUP(Table21[[#This Row],[ROUTE]],DEMAND!A:F,6,FALSE),0)</f>
        <v>-33</v>
      </c>
      <c r="O809" s="26">
        <f>ROUNDDOWN(Table21[[#This Row],[R-DEMAND]]/1320,0)</f>
        <v>0</v>
      </c>
      <c r="P809" s="26">
        <f>Table21[[#This Row],[ADD ACC]]*Table21[[#This Row],[Duration
(747-400)]]</f>
        <v>0</v>
      </c>
      <c r="Q809" s="284">
        <f>IFERROR(VLOOKUP(Table21[[#This Row],[ROUTE]],PRICING!A:B,2,FALSE),0)</f>
        <v>3924</v>
      </c>
      <c r="R809" s="282">
        <f>Table21[[#This Row],[C_DEMAND]]-Table21[[#This Row],[R-DEMAND]]</f>
        <v>5280</v>
      </c>
      <c r="S809" s="287">
        <f>Table21[[#This Row],[SEATS SOLD]]*Table21[[#This Row],[ECO SEAT]]</f>
        <v>20718720</v>
      </c>
    </row>
    <row r="810" spans="1:19" x14ac:dyDescent="0.25">
      <c r="A810" s="16" t="s">
        <v>16167</v>
      </c>
      <c r="B810" s="16" t="s">
        <v>4802</v>
      </c>
      <c r="C810" s="16" t="s">
        <v>67</v>
      </c>
      <c r="D810" s="16">
        <v>3</v>
      </c>
      <c r="E810" s="16" t="s">
        <v>11732</v>
      </c>
      <c r="F810" s="16" t="s">
        <v>15969</v>
      </c>
      <c r="G810" s="179" t="s">
        <v>13275</v>
      </c>
      <c r="H810" s="254">
        <v>10158</v>
      </c>
      <c r="I810" s="299">
        <v>24.5</v>
      </c>
      <c r="J810" s="102">
        <v>245934044</v>
      </c>
      <c r="K810" s="102">
        <f>IFERROR(Table21[[#This Row],[ROUTE COST]]/Table21[[#This Row],[O - DEMAND]],0)</f>
        <v>101962.70480928689</v>
      </c>
      <c r="L810" s="26">
        <v>2412</v>
      </c>
      <c r="M810" s="26">
        <f>IFERROR(VLOOKUP(Table21[[#This Row],[ROUTE]],DEMAND!A:F,5,FALSE),0)</f>
        <v>2557</v>
      </c>
      <c r="N810" s="26">
        <f>IFERROR(VLOOKUP(Table21[[#This Row],[ROUTE]],DEMAND!A:F,6,FALSE),0)</f>
        <v>-83</v>
      </c>
      <c r="O810" s="26">
        <f>ROUNDDOWN(Table21[[#This Row],[R-DEMAND]]/1320,0)</f>
        <v>0</v>
      </c>
      <c r="P810" s="26">
        <f>Table21[[#This Row],[ADD ACC]]*Table21[[#This Row],[Duration
(747-400)]]</f>
        <v>0</v>
      </c>
      <c r="Q810" s="284">
        <f>IFERROR(VLOOKUP(Table21[[#This Row],[ROUTE]],PRICING!A:B,2,FALSE),0)</f>
        <v>2679</v>
      </c>
      <c r="R810" s="282">
        <f>Table21[[#This Row],[C_DEMAND]]-Table21[[#This Row],[R-DEMAND]]</f>
        <v>2640</v>
      </c>
      <c r="S810" s="287">
        <f>Table21[[#This Row],[SEATS SOLD]]*Table21[[#This Row],[ECO SEAT]]</f>
        <v>7072560</v>
      </c>
    </row>
    <row r="811" spans="1:19" x14ac:dyDescent="0.25">
      <c r="A811" s="16" t="s">
        <v>16632</v>
      </c>
      <c r="B811" s="16" t="s">
        <v>254</v>
      </c>
      <c r="C811" s="16" t="s">
        <v>2</v>
      </c>
      <c r="D811" s="16">
        <v>3</v>
      </c>
      <c r="E811" s="16" t="s">
        <v>197</v>
      </c>
      <c r="F811" s="16" t="s">
        <v>12670</v>
      </c>
      <c r="G811" s="179" t="s">
        <v>12008</v>
      </c>
      <c r="H811" s="254">
        <v>3897</v>
      </c>
      <c r="I811" s="180">
        <v>10.75</v>
      </c>
      <c r="J811" s="102">
        <v>193744268</v>
      </c>
      <c r="K811" s="102">
        <f>IFERROR(Table21[[#This Row],[ROUTE COST]]/Table21[[#This Row],[O - DEMAND]],0)</f>
        <v>39636.716039279869</v>
      </c>
      <c r="L811" s="26">
        <v>4888</v>
      </c>
      <c r="M811" s="26">
        <f>IFERROR(VLOOKUP(Table21[[#This Row],[ROUTE]],DEMAND!A:F,5,FALSE),0)</f>
        <v>5116</v>
      </c>
      <c r="N811" s="26">
        <f>IFERROR(VLOOKUP(Table21[[#This Row],[ROUTE]],DEMAND!A:F,6,FALSE),0)</f>
        <v>-164</v>
      </c>
      <c r="O811" s="26">
        <f>ROUNDDOWN(Table21[[#This Row],[R-DEMAND]]/1320,0)</f>
        <v>0</v>
      </c>
      <c r="P811" s="26">
        <f>Table21[[#This Row],[ADD ACC]]*Table21[[#This Row],[Duration
(747-400)]]</f>
        <v>0</v>
      </c>
      <c r="Q811" s="284">
        <f>IFERROR(VLOOKUP(Table21[[#This Row],[ROUTE]],PRICING!A:B,2,FALSE),0)</f>
        <v>1142</v>
      </c>
      <c r="R811" s="282">
        <f>Table21[[#This Row],[C_DEMAND]]-Table21[[#This Row],[R-DEMAND]]</f>
        <v>5280</v>
      </c>
      <c r="S811" s="287">
        <f>Table21[[#This Row],[SEATS SOLD]]*Table21[[#This Row],[ECO SEAT]]</f>
        <v>6029760</v>
      </c>
    </row>
    <row r="812" spans="1:19" x14ac:dyDescent="0.25">
      <c r="A812" s="16" t="s">
        <v>16030</v>
      </c>
      <c r="B812" s="16" t="s">
        <v>5089</v>
      </c>
      <c r="C812" s="16" t="s">
        <v>2</v>
      </c>
      <c r="D812" s="16">
        <v>3</v>
      </c>
      <c r="E812" s="16" t="s">
        <v>2547</v>
      </c>
      <c r="F812" s="16" t="s">
        <v>12671</v>
      </c>
      <c r="G812" s="179" t="s">
        <v>8242</v>
      </c>
      <c r="H812" s="254">
        <v>11896</v>
      </c>
      <c r="I812" s="180">
        <v>28.5</v>
      </c>
      <c r="J812" s="102">
        <v>267841950</v>
      </c>
      <c r="K812" s="102">
        <f>IFERROR(Table21[[#This Row],[ROUTE COST]]/Table21[[#This Row],[O - DEMAND]],0)</f>
        <v>52662.59339362957</v>
      </c>
      <c r="L812" s="26">
        <v>5086</v>
      </c>
      <c r="M812" s="26">
        <f>IFERROR(VLOOKUP(Table21[[#This Row],[ROUTE]],DEMAND!A:F,5,FALSE),0)</f>
        <v>5086</v>
      </c>
      <c r="N812" s="26">
        <f>IFERROR(VLOOKUP(Table21[[#This Row],[ROUTE]],DEMAND!A:F,6,FALSE),0)</f>
        <v>-194</v>
      </c>
      <c r="O812" s="26">
        <f>ROUNDDOWN(Table21[[#This Row],[R-DEMAND]]/1320,0)</f>
        <v>0</v>
      </c>
      <c r="P812" s="26">
        <f>Table21[[#This Row],[ADD ACC]]*Table21[[#This Row],[Duration
(747-400)]]</f>
        <v>0</v>
      </c>
      <c r="Q812" s="284">
        <f>IFERROR(VLOOKUP(Table21[[#This Row],[ROUTE]],PRICING!A:B,2,FALSE),0)</f>
        <v>3807</v>
      </c>
      <c r="R812" s="282">
        <f>Table21[[#This Row],[C_DEMAND]]-Table21[[#This Row],[R-DEMAND]]</f>
        <v>5280</v>
      </c>
      <c r="S812" s="287">
        <f>Table21[[#This Row],[SEATS SOLD]]*Table21[[#This Row],[ECO SEAT]]</f>
        <v>20100960</v>
      </c>
    </row>
    <row r="813" spans="1:19" x14ac:dyDescent="0.25">
      <c r="A813" s="16" t="s">
        <v>16144</v>
      </c>
      <c r="B813" s="16" t="s">
        <v>9</v>
      </c>
      <c r="C813" s="16" t="s">
        <v>2</v>
      </c>
      <c r="D813" s="16">
        <v>4</v>
      </c>
      <c r="E813" s="16" t="s">
        <v>514</v>
      </c>
      <c r="F813" s="16" t="s">
        <v>12688</v>
      </c>
      <c r="G813" s="179" t="s">
        <v>13173</v>
      </c>
      <c r="H813" s="254">
        <v>10449</v>
      </c>
      <c r="I813" s="180">
        <v>25.25</v>
      </c>
      <c r="J813" s="102">
        <v>270664065</v>
      </c>
      <c r="K813" s="102">
        <f>IFERROR(Table21[[#This Row],[ROUTE COST]]/Table21[[#This Row],[O - DEMAND]],0)</f>
        <v>85788.927099841516</v>
      </c>
      <c r="L813" s="26">
        <v>3155</v>
      </c>
      <c r="M813" s="26">
        <f>IFERROR(VLOOKUP(Table21[[#This Row],[ROUTE]],DEMAND!A:F,5,FALSE),0)</f>
        <v>3355</v>
      </c>
      <c r="N813" s="26">
        <f>IFERROR(VLOOKUP(Table21[[#This Row],[ROUTE]],DEMAND!A:F,6,FALSE),0)</f>
        <v>-605</v>
      </c>
      <c r="O813" s="26">
        <f>ROUNDDOWN(Table21[[#This Row],[R-DEMAND]]/1320,0)</f>
        <v>0</v>
      </c>
      <c r="P813" s="26">
        <f>Table21[[#This Row],[ADD ACC]]*Table21[[#This Row],[Duration
(747-400)]]</f>
        <v>0</v>
      </c>
      <c r="Q813" s="284">
        <f>IFERROR(VLOOKUP(Table21[[#This Row],[ROUTE]],PRICING!A:B,2,FALSE),0)</f>
        <v>2720</v>
      </c>
      <c r="R813" s="282">
        <f>Table21[[#This Row],[C_DEMAND]]-Table21[[#This Row],[R-DEMAND]]</f>
        <v>3960</v>
      </c>
      <c r="S813" s="287">
        <f>Table21[[#This Row],[SEATS SOLD]]*Table21[[#This Row],[ECO SEAT]]</f>
        <v>10771200</v>
      </c>
    </row>
    <row r="814" spans="1:19" x14ac:dyDescent="0.25">
      <c r="A814" s="16" t="s">
        <v>16565</v>
      </c>
      <c r="B814" s="16" t="s">
        <v>58</v>
      </c>
      <c r="C814" s="16" t="s">
        <v>2</v>
      </c>
      <c r="D814" s="16">
        <v>4</v>
      </c>
      <c r="E814" s="16" t="s">
        <v>502</v>
      </c>
      <c r="F814" s="16" t="s">
        <v>12670</v>
      </c>
      <c r="G814" s="179" t="s">
        <v>11038</v>
      </c>
      <c r="H814" s="254">
        <v>5620</v>
      </c>
      <c r="I814" s="180">
        <v>14.5</v>
      </c>
      <c r="J814" s="102">
        <v>217665089</v>
      </c>
      <c r="K814" s="102">
        <f>IFERROR(Table21[[#This Row],[ROUTE COST]]/Table21[[#This Row],[O - DEMAND]],0)</f>
        <v>54552.653884711777</v>
      </c>
      <c r="L814" s="26">
        <v>3990</v>
      </c>
      <c r="M814" s="26">
        <f>IFERROR(VLOOKUP(Table21[[#This Row],[ROUTE]],DEMAND!A:F,5,FALSE),0)</f>
        <v>4216</v>
      </c>
      <c r="N814" s="26">
        <f>IFERROR(VLOOKUP(Table21[[#This Row],[ROUTE]],DEMAND!A:F,6,FALSE),0)</f>
        <v>256</v>
      </c>
      <c r="O814" s="26">
        <f>ROUNDDOWN(Table21[[#This Row],[R-DEMAND]]/1320,0)</f>
        <v>0</v>
      </c>
      <c r="P814" s="26">
        <f>Table21[[#This Row],[ADD ACC]]*Table21[[#This Row],[Duration
(747-400)]]</f>
        <v>0</v>
      </c>
      <c r="Q814" s="284">
        <f>IFERROR(VLOOKUP(Table21[[#This Row],[ROUTE]],PRICING!A:B,2,FALSE),0)</f>
        <v>1545</v>
      </c>
      <c r="R814" s="282">
        <f>Table21[[#This Row],[C_DEMAND]]-Table21[[#This Row],[R-DEMAND]]</f>
        <v>3960</v>
      </c>
      <c r="S814" s="287">
        <f>Table21[[#This Row],[SEATS SOLD]]*Table21[[#This Row],[ECO SEAT]]</f>
        <v>6118200</v>
      </c>
    </row>
    <row r="815" spans="1:19" x14ac:dyDescent="0.25">
      <c r="A815" s="251" t="s">
        <v>16735</v>
      </c>
      <c r="B815" s="251" t="s">
        <v>2893</v>
      </c>
      <c r="C815" s="16" t="s">
        <v>2</v>
      </c>
      <c r="D815" s="251">
        <v>2</v>
      </c>
      <c r="E815" s="251" t="s">
        <v>2891</v>
      </c>
      <c r="F815" s="251" t="s">
        <v>12670</v>
      </c>
      <c r="G815" s="252" t="s">
        <v>12016</v>
      </c>
      <c r="H815" s="254">
        <v>783</v>
      </c>
      <c r="I815" s="180">
        <v>3.75</v>
      </c>
      <c r="J815" s="102">
        <v>135767829</v>
      </c>
      <c r="K815" s="253">
        <f>IFERROR(Table21[[#This Row],[ROUTE COST]]/Table21[[#This Row],[O - DEMAND]],0)</f>
        <v>49478.071793002913</v>
      </c>
      <c r="L815" s="26">
        <v>2744</v>
      </c>
      <c r="M815" s="26">
        <f>IFERROR(VLOOKUP(Table21[[#This Row],[ROUTE]],DEMAND!A:F,5,FALSE),0)</f>
        <v>2891</v>
      </c>
      <c r="N815" s="26">
        <f>IFERROR(VLOOKUP(Table21[[#This Row],[ROUTE]],DEMAND!A:F,6,FALSE),0)</f>
        <v>-1069</v>
      </c>
      <c r="O815" s="26">
        <f>ROUNDDOWN(Table21[[#This Row],[R-DEMAND]]/1320,0)</f>
        <v>0</v>
      </c>
      <c r="P815" s="26">
        <f>Table21[[#This Row],[ADD ACC]]*Table21[[#This Row],[Duration
(747-400)]]</f>
        <v>0</v>
      </c>
      <c r="Q815" s="284">
        <f>IFERROR(VLOOKUP(Table21[[#This Row],[ROUTE]],PRICING!A:B,2,FALSE),0)</f>
        <v>304</v>
      </c>
      <c r="R815" s="282">
        <f>Table21[[#This Row],[C_DEMAND]]-Table21[[#This Row],[R-DEMAND]]</f>
        <v>3960</v>
      </c>
      <c r="S815" s="287">
        <f>Table21[[#This Row],[SEATS SOLD]]*Table21[[#This Row],[ECO SEAT]]</f>
        <v>1203840</v>
      </c>
    </row>
    <row r="816" spans="1:19" x14ac:dyDescent="0.25">
      <c r="A816" s="16" t="s">
        <v>16574</v>
      </c>
      <c r="B816" s="16" t="s">
        <v>44</v>
      </c>
      <c r="C816" s="16" t="s">
        <v>2</v>
      </c>
      <c r="D816" s="16">
        <v>3</v>
      </c>
      <c r="E816" s="16" t="s">
        <v>1070</v>
      </c>
      <c r="F816" s="16" t="s">
        <v>12670</v>
      </c>
      <c r="G816" s="179" t="s">
        <v>12072</v>
      </c>
      <c r="H816" s="254">
        <v>5266</v>
      </c>
      <c r="I816" s="180">
        <v>13.75</v>
      </c>
      <c r="J816" s="102">
        <v>200337066</v>
      </c>
      <c r="K816" s="102">
        <f>IFERROR(Table21[[#This Row],[ROUTE COST]]/Table21[[#This Row],[O - DEMAND]],0)</f>
        <v>50071.748562859284</v>
      </c>
      <c r="L816" s="26">
        <v>4001</v>
      </c>
      <c r="M816" s="26">
        <f>IFERROR(VLOOKUP(Table21[[#This Row],[ROUTE]],DEMAND!A:F,5,FALSE),0)</f>
        <v>4188</v>
      </c>
      <c r="N816" s="26">
        <f>IFERROR(VLOOKUP(Table21[[#This Row],[ROUTE]],DEMAND!A:F,6,FALSE),0)</f>
        <v>228</v>
      </c>
      <c r="O816" s="26">
        <f>ROUNDDOWN(Table21[[#This Row],[R-DEMAND]]/1320,0)</f>
        <v>0</v>
      </c>
      <c r="P816" s="26">
        <f>Table21[[#This Row],[ADD ACC]]*Table21[[#This Row],[Duration
(747-400)]]</f>
        <v>0</v>
      </c>
      <c r="Q816" s="284">
        <f>IFERROR(VLOOKUP(Table21[[#This Row],[ROUTE]],PRICING!A:B,2,FALSE),0)</f>
        <v>1506</v>
      </c>
      <c r="R816" s="282">
        <f>Table21[[#This Row],[C_DEMAND]]-Table21[[#This Row],[R-DEMAND]]</f>
        <v>3960</v>
      </c>
      <c r="S816" s="287">
        <f>Table21[[#This Row],[SEATS SOLD]]*Table21[[#This Row],[ECO SEAT]]</f>
        <v>5963760</v>
      </c>
    </row>
    <row r="817" spans="1:19" x14ac:dyDescent="0.25">
      <c r="A817" s="16" t="s">
        <v>16609</v>
      </c>
      <c r="B817" s="16" t="s">
        <v>5438</v>
      </c>
      <c r="C817" s="16" t="s">
        <v>2</v>
      </c>
      <c r="D817" s="16">
        <v>3</v>
      </c>
      <c r="E817" s="16" t="s">
        <v>78</v>
      </c>
      <c r="F817" s="16" t="s">
        <v>12674</v>
      </c>
      <c r="G817" s="179" t="s">
        <v>11918</v>
      </c>
      <c r="H817" s="254">
        <v>4322</v>
      </c>
      <c r="I817" s="180">
        <v>11.75</v>
      </c>
      <c r="J817" s="102">
        <v>199190194</v>
      </c>
      <c r="K817" s="102">
        <f>IFERROR(Table21[[#This Row],[ROUTE COST]]/Table21[[#This Row],[O - DEMAND]],0)</f>
        <v>51831.952641165757</v>
      </c>
      <c r="L817" s="26">
        <v>3843</v>
      </c>
      <c r="M817" s="26">
        <f>IFERROR(VLOOKUP(Table21[[#This Row],[ROUTE]],DEMAND!A:F,5,FALSE),0)</f>
        <v>4100</v>
      </c>
      <c r="N817" s="26">
        <f>IFERROR(VLOOKUP(Table21[[#This Row],[ROUTE]],DEMAND!A:F,6,FALSE),0)</f>
        <v>-1180</v>
      </c>
      <c r="O817" s="26">
        <f>ROUNDDOWN(Table21[[#This Row],[R-DEMAND]]/1320,0)</f>
        <v>0</v>
      </c>
      <c r="P817" s="26">
        <f>Table21[[#This Row],[ADD ACC]]*Table21[[#This Row],[Duration
(747-400)]]</f>
        <v>0</v>
      </c>
      <c r="Q817" s="284">
        <f>IFERROR(VLOOKUP(Table21[[#This Row],[ROUTE]],PRICING!A:B,2,FALSE),0)</f>
        <v>1167</v>
      </c>
      <c r="R817" s="282">
        <f>Table21[[#This Row],[C_DEMAND]]-Table21[[#This Row],[R-DEMAND]]</f>
        <v>5280</v>
      </c>
      <c r="S817" s="287">
        <f>Table21[[#This Row],[SEATS SOLD]]*Table21[[#This Row],[ECO SEAT]]</f>
        <v>6161760</v>
      </c>
    </row>
    <row r="822" spans="1:19" x14ac:dyDescent="0.25">
      <c r="B822"/>
      <c r="C822"/>
      <c r="D822"/>
      <c r="E822"/>
    </row>
    <row r="823" spans="1:19" x14ac:dyDescent="0.25">
      <c r="B823" s="301" t="s">
        <v>254</v>
      </c>
      <c r="C823">
        <v>10.75</v>
      </c>
      <c r="D823">
        <v>1</v>
      </c>
      <c r="E823"/>
    </row>
    <row r="824" spans="1:19" x14ac:dyDescent="0.25">
      <c r="B824" s="298" t="s">
        <v>12</v>
      </c>
      <c r="C824">
        <v>25.25</v>
      </c>
      <c r="D824">
        <v>1</v>
      </c>
      <c r="E824"/>
      <c r="F824" s="298"/>
      <c r="G824" s="300"/>
      <c r="H824" s="254"/>
      <c r="J824" s="253"/>
      <c r="K824" s="253"/>
      <c r="L824" s="61"/>
      <c r="M824" s="61"/>
      <c r="N824" s="61"/>
      <c r="O824" s="61"/>
    </row>
    <row r="825" spans="1:19" x14ac:dyDescent="0.25">
      <c r="B825" s="301" t="s">
        <v>5196</v>
      </c>
      <c r="C825">
        <v>17.5</v>
      </c>
      <c r="D825">
        <v>-1</v>
      </c>
      <c r="E825"/>
      <c r="F825" s="298"/>
      <c r="G825" s="300"/>
      <c r="H825" s="254"/>
      <c r="J825" s="253"/>
      <c r="K825" s="253"/>
      <c r="L825" s="61"/>
      <c r="M825" s="61"/>
      <c r="N825" s="61"/>
      <c r="O825" s="61"/>
    </row>
    <row r="826" spans="1:19" x14ac:dyDescent="0.25">
      <c r="B826" s="298" t="s">
        <v>9</v>
      </c>
      <c r="C826">
        <v>25.25</v>
      </c>
      <c r="D826">
        <v>-1</v>
      </c>
      <c r="E826"/>
    </row>
    <row r="827" spans="1:19" x14ac:dyDescent="0.25">
      <c r="B827" s="302" t="s">
        <v>5438</v>
      </c>
      <c r="C827">
        <v>11.75</v>
      </c>
      <c r="D827">
        <v>-2</v>
      </c>
      <c r="E827"/>
    </row>
    <row r="828" spans="1:19" x14ac:dyDescent="0.25">
      <c r="B828"/>
      <c r="C828"/>
      <c r="D828"/>
      <c r="E828"/>
    </row>
    <row r="829" spans="1:19" x14ac:dyDescent="0.25">
      <c r="B829"/>
      <c r="C829"/>
      <c r="D829"/>
      <c r="E829"/>
    </row>
    <row r="830" spans="1:19" x14ac:dyDescent="0.25">
      <c r="B830"/>
      <c r="C830"/>
      <c r="D830"/>
      <c r="E830"/>
    </row>
    <row r="831" spans="1:19" x14ac:dyDescent="0.25">
      <c r="B831"/>
      <c r="C831"/>
      <c r="D831"/>
      <c r="E831"/>
    </row>
    <row r="832" spans="1:19" x14ac:dyDescent="0.25">
      <c r="B832"/>
      <c r="C832"/>
      <c r="D832"/>
      <c r="E832"/>
    </row>
    <row r="833" spans="2:5" x14ac:dyDescent="0.25">
      <c r="B833"/>
      <c r="C833"/>
      <c r="D833"/>
      <c r="E833"/>
    </row>
    <row r="834" spans="2:5" x14ac:dyDescent="0.25">
      <c r="B834"/>
      <c r="C834"/>
      <c r="D834"/>
      <c r="E834"/>
    </row>
    <row r="835" spans="2:5" x14ac:dyDescent="0.25">
      <c r="B835"/>
      <c r="C835"/>
      <c r="D835"/>
      <c r="E835"/>
    </row>
    <row r="836" spans="2:5" x14ac:dyDescent="0.25">
      <c r="B836"/>
      <c r="C836"/>
      <c r="D836"/>
      <c r="E836"/>
    </row>
    <row r="837" spans="2:5" x14ac:dyDescent="0.25">
      <c r="B837"/>
      <c r="C837"/>
      <c r="D837"/>
      <c r="E837"/>
    </row>
    <row r="838" spans="2:5" x14ac:dyDescent="0.25">
      <c r="B838"/>
      <c r="C838"/>
      <c r="D838"/>
      <c r="E838"/>
    </row>
    <row r="839" spans="2:5" x14ac:dyDescent="0.25">
      <c r="B839"/>
      <c r="C839"/>
      <c r="D839"/>
      <c r="E839"/>
    </row>
    <row r="840" spans="2:5" x14ac:dyDescent="0.25">
      <c r="B840"/>
      <c r="C840"/>
      <c r="D840"/>
      <c r="E840"/>
    </row>
    <row r="841" spans="2:5" x14ac:dyDescent="0.25">
      <c r="B841"/>
      <c r="C841"/>
      <c r="D841"/>
      <c r="E841"/>
    </row>
    <row r="842" spans="2:5" x14ac:dyDescent="0.25">
      <c r="B842"/>
      <c r="C842"/>
      <c r="D842"/>
      <c r="E842"/>
    </row>
    <row r="843" spans="2:5" x14ac:dyDescent="0.25">
      <c r="B843"/>
      <c r="C843"/>
      <c r="D843"/>
      <c r="E843"/>
    </row>
    <row r="844" spans="2:5" x14ac:dyDescent="0.25">
      <c r="B844"/>
      <c r="C844"/>
      <c r="D844"/>
      <c r="E844"/>
    </row>
    <row r="845" spans="2:5" x14ac:dyDescent="0.25">
      <c r="B845"/>
      <c r="C845"/>
      <c r="D845"/>
      <c r="E845"/>
    </row>
    <row r="846" spans="2:5" x14ac:dyDescent="0.25">
      <c r="B846"/>
      <c r="C846"/>
      <c r="D846"/>
      <c r="E846"/>
    </row>
    <row r="847" spans="2:5" x14ac:dyDescent="0.25">
      <c r="B847"/>
      <c r="C847"/>
      <c r="D847"/>
      <c r="E847"/>
    </row>
    <row r="848" spans="2:5" x14ac:dyDescent="0.25">
      <c r="B848"/>
      <c r="C848"/>
      <c r="D848"/>
      <c r="E848"/>
    </row>
    <row r="849" spans="2:5" x14ac:dyDescent="0.25">
      <c r="B849"/>
      <c r="C849"/>
      <c r="D849"/>
      <c r="E849"/>
    </row>
    <row r="850" spans="2:5" x14ac:dyDescent="0.25">
      <c r="B850"/>
      <c r="C850"/>
      <c r="D850"/>
      <c r="E850"/>
    </row>
    <row r="851" spans="2:5" x14ac:dyDescent="0.25">
      <c r="B851"/>
      <c r="C851"/>
      <c r="D851"/>
      <c r="E851"/>
    </row>
    <row r="852" spans="2:5" x14ac:dyDescent="0.25">
      <c r="B852"/>
      <c r="C852"/>
      <c r="D852"/>
      <c r="E852"/>
    </row>
    <row r="853" spans="2:5" x14ac:dyDescent="0.25">
      <c r="B853"/>
      <c r="C853"/>
      <c r="D853"/>
      <c r="E853"/>
    </row>
    <row r="854" spans="2:5" x14ac:dyDescent="0.25">
      <c r="B854"/>
      <c r="C854"/>
      <c r="D854"/>
      <c r="E854"/>
    </row>
    <row r="855" spans="2:5" x14ac:dyDescent="0.25">
      <c r="B855"/>
      <c r="C855"/>
      <c r="D855"/>
      <c r="E855"/>
    </row>
    <row r="856" spans="2:5" x14ac:dyDescent="0.25">
      <c r="B856"/>
      <c r="C856"/>
      <c r="D856"/>
      <c r="E856"/>
    </row>
    <row r="857" spans="2:5" x14ac:dyDescent="0.25">
      <c r="B857"/>
      <c r="C857"/>
      <c r="D857"/>
      <c r="E857"/>
    </row>
  </sheetData>
  <conditionalFormatting sqref="B1:B821 B858:B1048576">
    <cfRule type="duplicateValues" dxfId="120" priority="69"/>
    <cfRule type="duplicateValues" dxfId="119" priority="70"/>
  </conditionalFormatting>
  <conditionalFormatting sqref="B1:B821 B858:B1048576">
    <cfRule type="duplicateValues" dxfId="118" priority="443"/>
  </conditionalFormatting>
  <conditionalFormatting sqref="D1:D821 D858:D1048576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N823 L826:N1048576">
    <cfRule type="cellIs" dxfId="117" priority="57" operator="greaterThan">
      <formula>5281</formula>
    </cfRule>
    <cfRule type="cellIs" dxfId="116" priority="58" operator="between">
      <formula>3961</formula>
      <formula>5280</formula>
    </cfRule>
    <cfRule type="cellIs" dxfId="115" priority="59" operator="between">
      <formula>2641</formula>
      <formula>3960</formula>
    </cfRule>
    <cfRule type="cellIs" dxfId="114" priority="60" operator="between">
      <formula>1321</formula>
      <formula>2640</formula>
    </cfRule>
    <cfRule type="cellIs" dxfId="113" priority="61" operator="between">
      <formula>0</formula>
      <formula>1320</formula>
    </cfRule>
  </conditionalFormatting>
  <conditionalFormatting sqref="V1:V2 B1:B821 V42:V1048576 B858:B1048576">
    <cfRule type="duplicateValues" dxfId="112" priority="53"/>
  </conditionalFormatting>
  <conditionalFormatting sqref="V14:X41 B1:B821 B858:B1048576">
    <cfRule type="duplicateValues" dxfId="111" priority="482"/>
  </conditionalFormatting>
  <conditionalFormatting sqref="B1:B821 B858:B1048576">
    <cfRule type="duplicateValues" dxfId="110" priority="51"/>
  </conditionalFormatting>
  <conditionalFormatting sqref="L824:N824">
    <cfRule type="cellIs" dxfId="109" priority="21" operator="greaterThan">
      <formula>5281</formula>
    </cfRule>
    <cfRule type="cellIs" dxfId="108" priority="22" operator="between">
      <formula>3961</formula>
      <formula>5280</formula>
    </cfRule>
    <cfRule type="cellIs" dxfId="107" priority="23" operator="between">
      <formula>2641</formula>
      <formula>3960</formula>
    </cfRule>
    <cfRule type="cellIs" dxfId="106" priority="24" operator="between">
      <formula>1321</formula>
      <formula>2640</formula>
    </cfRule>
    <cfRule type="cellIs" dxfId="105" priority="25" operator="between">
      <formula>0</formula>
      <formula>1320</formula>
    </cfRule>
  </conditionalFormatting>
  <conditionalFormatting sqref="L825:N825">
    <cfRule type="cellIs" dxfId="104" priority="9" operator="greaterThan">
      <formula>5281</formula>
    </cfRule>
    <cfRule type="cellIs" dxfId="103" priority="10" operator="between">
      <formula>3961</formula>
      <formula>5280</formula>
    </cfRule>
    <cfRule type="cellIs" dxfId="102" priority="11" operator="between">
      <formula>2641</formula>
      <formula>3960</formula>
    </cfRule>
    <cfRule type="cellIs" dxfId="101" priority="12" operator="between">
      <formula>1321</formula>
      <formula>2640</formula>
    </cfRule>
    <cfRule type="cellIs" dxfId="100" priority="13" operator="between">
      <formula>0</formula>
      <formula>1320</formula>
    </cfRule>
  </conditionalFormatting>
  <conditionalFormatting sqref="B823:B827">
    <cfRule type="duplicateValues" dxfId="99" priority="3"/>
    <cfRule type="duplicateValues" dxfId="98" priority="4"/>
  </conditionalFormatting>
  <conditionalFormatting sqref="B823:B827">
    <cfRule type="duplicateValues" dxfId="97" priority="5"/>
  </conditionalFormatting>
  <conditionalFormatting sqref="B823:B827">
    <cfRule type="duplicateValues" dxfId="96" priority="2"/>
  </conditionalFormatting>
  <conditionalFormatting sqref="B823:B827">
    <cfRule type="duplicateValues" dxfId="95" priority="6"/>
  </conditionalFormatting>
  <conditionalFormatting sqref="B823:B827">
    <cfRule type="duplicateValues" dxfId="94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34D99-CE8D-4ACC-98C7-67E5DE1F0CAB}">
  <sheetPr>
    <tabColor rgb="FFFF0000"/>
  </sheetPr>
  <dimension ref="A1:Z21"/>
  <sheetViews>
    <sheetView workbookViewId="0">
      <selection activeCell="K17" sqref="K1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9" bestFit="1" customWidth="1"/>
    <col min="4" max="4" width="13.5703125" bestFit="1" customWidth="1"/>
    <col min="5" max="5" width="19" bestFit="1" customWidth="1"/>
    <col min="6" max="6" width="18.5703125" bestFit="1" customWidth="1"/>
    <col min="7" max="7" width="24" bestFit="1" customWidth="1"/>
    <col min="8" max="9" width="11.28515625" bestFit="1" customWidth="1"/>
    <col min="10" max="10" width="10.7109375" bestFit="1" customWidth="1"/>
    <col min="12" max="12" width="2.28515625" customWidth="1"/>
    <col min="14" max="14" width="13.5703125" bestFit="1" customWidth="1"/>
    <col min="15" max="15" width="16.28515625" bestFit="1" customWidth="1"/>
    <col min="16" max="17" width="4" bestFit="1" customWidth="1"/>
    <col min="18" max="19" width="3" bestFit="1" customWidth="1"/>
    <col min="20" max="20" width="15.42578125" bestFit="1" customWidth="1"/>
    <col min="21" max="21" width="13.5703125" bestFit="1" customWidth="1"/>
    <col min="22" max="22" width="15.42578125" bestFit="1" customWidth="1"/>
    <col min="23" max="23" width="13.5703125" bestFit="1" customWidth="1"/>
    <col min="24" max="24" width="15.42578125" bestFit="1" customWidth="1"/>
    <col min="25" max="25" width="18.5703125" bestFit="1" customWidth="1"/>
    <col min="26" max="26" width="30.140625" bestFit="1" customWidth="1"/>
  </cols>
  <sheetData>
    <row r="1" spans="1:26" x14ac:dyDescent="0.25">
      <c r="N1" s="266" t="s">
        <v>16799</v>
      </c>
    </row>
    <row r="5" spans="1:26" x14ac:dyDescent="0.25">
      <c r="A5" s="152" t="s">
        <v>11661</v>
      </c>
      <c r="B5" t="s">
        <v>14064</v>
      </c>
    </row>
    <row r="7" spans="1:26" x14ac:dyDescent="0.25">
      <c r="B7" s="152" t="s">
        <v>15101</v>
      </c>
      <c r="N7" s="152" t="s">
        <v>15099</v>
      </c>
      <c r="O7" s="152" t="s">
        <v>15101</v>
      </c>
    </row>
    <row r="8" spans="1:26" x14ac:dyDescent="0.25">
      <c r="B8" t="s">
        <v>14078</v>
      </c>
      <c r="D8" t="s">
        <v>2</v>
      </c>
      <c r="F8" t="s">
        <v>16807</v>
      </c>
      <c r="G8" t="s">
        <v>16808</v>
      </c>
      <c r="N8" s="279" t="s">
        <v>14058</v>
      </c>
      <c r="O8">
        <v>1</v>
      </c>
      <c r="P8">
        <v>2</v>
      </c>
      <c r="Q8">
        <v>3</v>
      </c>
      <c r="R8">
        <v>4</v>
      </c>
      <c r="S8">
        <v>5</v>
      </c>
    </row>
    <row r="9" spans="1:26" s="278" customFormat="1" x14ac:dyDescent="0.25">
      <c r="A9" s="152" t="s">
        <v>14058</v>
      </c>
      <c r="B9" t="s">
        <v>15099</v>
      </c>
      <c r="C9" t="s">
        <v>16809</v>
      </c>
      <c r="D9" t="s">
        <v>15099</v>
      </c>
      <c r="E9" t="s">
        <v>16809</v>
      </c>
      <c r="F9"/>
      <c r="G9"/>
      <c r="H9"/>
      <c r="I9"/>
      <c r="J9"/>
      <c r="N9" s="17" t="s">
        <v>14078</v>
      </c>
      <c r="O9" s="153">
        <v>54</v>
      </c>
      <c r="P9" s="153">
        <v>173</v>
      </c>
      <c r="Q9" s="153">
        <v>90</v>
      </c>
      <c r="R9" s="153">
        <v>20</v>
      </c>
      <c r="S9" s="153"/>
      <c r="T9"/>
      <c r="U9"/>
      <c r="V9"/>
      <c r="W9"/>
      <c r="X9"/>
      <c r="Y9"/>
      <c r="Z9"/>
    </row>
    <row r="10" spans="1:26" x14ac:dyDescent="0.25">
      <c r="A10" s="17" t="s">
        <v>12670</v>
      </c>
      <c r="B10" s="153">
        <v>105</v>
      </c>
      <c r="C10" s="153">
        <v>10.923809523809524</v>
      </c>
      <c r="D10" s="153">
        <v>169</v>
      </c>
      <c r="E10" s="153">
        <v>11.291420118343195</v>
      </c>
      <c r="F10" s="153">
        <v>274</v>
      </c>
      <c r="G10" s="153">
        <v>11.150547445255475</v>
      </c>
      <c r="N10" s="191" t="s">
        <v>12674</v>
      </c>
      <c r="O10" s="153">
        <v>16</v>
      </c>
      <c r="P10" s="153">
        <v>69</v>
      </c>
      <c r="Q10" s="153">
        <v>29</v>
      </c>
      <c r="R10" s="153"/>
      <c r="S10" s="153"/>
    </row>
    <row r="11" spans="1:26" x14ac:dyDescent="0.25">
      <c r="A11" s="17" t="s">
        <v>12674</v>
      </c>
      <c r="B11" s="153">
        <v>114</v>
      </c>
      <c r="C11" s="153">
        <v>16.989035087719298</v>
      </c>
      <c r="D11" s="153">
        <v>92</v>
      </c>
      <c r="E11" s="153">
        <v>18.369565217391305</v>
      </c>
      <c r="F11" s="153">
        <v>206</v>
      </c>
      <c r="G11" s="153">
        <v>17.605582524271846</v>
      </c>
      <c r="N11" s="191" t="s">
        <v>12670</v>
      </c>
      <c r="O11" s="153">
        <v>22</v>
      </c>
      <c r="P11" s="153">
        <v>57</v>
      </c>
      <c r="Q11" s="153">
        <v>26</v>
      </c>
      <c r="R11" s="153"/>
      <c r="S11" s="153"/>
    </row>
    <row r="12" spans="1:26" x14ac:dyDescent="0.25">
      <c r="A12" s="17" t="s">
        <v>12671</v>
      </c>
      <c r="B12" s="153"/>
      <c r="C12" s="153"/>
      <c r="D12" s="153">
        <v>133</v>
      </c>
      <c r="E12" s="153">
        <v>24.315789473684209</v>
      </c>
      <c r="F12" s="153">
        <v>133</v>
      </c>
      <c r="G12" s="153">
        <v>24.315789473684209</v>
      </c>
      <c r="N12" s="191" t="s">
        <v>15969</v>
      </c>
      <c r="O12" s="153">
        <v>12</v>
      </c>
      <c r="P12" s="153">
        <v>39</v>
      </c>
      <c r="Q12" s="153">
        <v>33</v>
      </c>
      <c r="R12" s="153">
        <v>20</v>
      </c>
      <c r="S12" s="153"/>
    </row>
    <row r="13" spans="1:26" x14ac:dyDescent="0.25">
      <c r="A13" s="276" t="s">
        <v>15969</v>
      </c>
      <c r="B13" s="277">
        <v>104</v>
      </c>
      <c r="C13" s="277">
        <v>25.442307692307693</v>
      </c>
      <c r="D13" s="277">
        <v>24</v>
      </c>
      <c r="E13" s="277">
        <v>26.010416666666668</v>
      </c>
      <c r="F13" s="277">
        <v>128</v>
      </c>
      <c r="G13" s="277">
        <v>25.548828125</v>
      </c>
      <c r="N13" s="191" t="s">
        <v>12688</v>
      </c>
      <c r="O13" s="153">
        <v>2</v>
      </c>
      <c r="P13" s="153">
        <v>7</v>
      </c>
      <c r="Q13" s="153"/>
      <c r="R13" s="153"/>
      <c r="S13" s="153"/>
    </row>
    <row r="14" spans="1:26" x14ac:dyDescent="0.25">
      <c r="A14" s="17" t="s">
        <v>12688</v>
      </c>
      <c r="B14" s="153">
        <v>9</v>
      </c>
      <c r="C14" s="153">
        <v>22.055555555555557</v>
      </c>
      <c r="D14" s="153">
        <v>45</v>
      </c>
      <c r="E14" s="153">
        <v>28.294444444444444</v>
      </c>
      <c r="F14" s="153">
        <v>54</v>
      </c>
      <c r="G14" s="153">
        <v>27.25462962962963</v>
      </c>
      <c r="N14" s="191" t="s">
        <v>12682</v>
      </c>
      <c r="O14" s="153">
        <v>2</v>
      </c>
      <c r="P14" s="153">
        <v>1</v>
      </c>
      <c r="Q14" s="153">
        <v>2</v>
      </c>
      <c r="R14" s="153"/>
      <c r="S14" s="153"/>
    </row>
    <row r="15" spans="1:26" x14ac:dyDescent="0.25">
      <c r="A15" s="17" t="s">
        <v>12682</v>
      </c>
      <c r="B15" s="153">
        <v>5</v>
      </c>
      <c r="C15" s="153">
        <v>17.899999999999999</v>
      </c>
      <c r="D15" s="153">
        <v>15</v>
      </c>
      <c r="E15" s="153">
        <v>22.5</v>
      </c>
      <c r="F15" s="153">
        <v>20</v>
      </c>
      <c r="G15" s="153">
        <v>21.35</v>
      </c>
      <c r="N15" s="17" t="s">
        <v>2</v>
      </c>
      <c r="O15" s="153">
        <v>46</v>
      </c>
      <c r="P15" s="153">
        <v>133</v>
      </c>
      <c r="Q15" s="153">
        <v>140</v>
      </c>
      <c r="R15" s="153">
        <v>98</v>
      </c>
      <c r="S15" s="153">
        <v>61</v>
      </c>
    </row>
    <row r="16" spans="1:26" x14ac:dyDescent="0.25">
      <c r="A16" s="17" t="s">
        <v>14059</v>
      </c>
      <c r="B16" s="153">
        <v>337</v>
      </c>
      <c r="C16" s="153">
        <v>17.856824925816024</v>
      </c>
      <c r="D16" s="153">
        <v>478</v>
      </c>
      <c r="E16" s="153">
        <v>18.969142259414227</v>
      </c>
      <c r="F16" s="153">
        <v>815</v>
      </c>
      <c r="G16" s="153">
        <v>18.509202453987729</v>
      </c>
      <c r="N16" s="191" t="s">
        <v>12670</v>
      </c>
      <c r="O16" s="153">
        <v>4</v>
      </c>
      <c r="P16" s="153">
        <v>36</v>
      </c>
      <c r="Q16" s="153">
        <v>64</v>
      </c>
      <c r="R16" s="153">
        <v>46</v>
      </c>
      <c r="S16" s="153">
        <v>19</v>
      </c>
    </row>
    <row r="17" spans="14:19" x14ac:dyDescent="0.25">
      <c r="N17" s="191" t="s">
        <v>12671</v>
      </c>
      <c r="O17" s="153">
        <v>40</v>
      </c>
      <c r="P17" s="153">
        <v>66</v>
      </c>
      <c r="Q17" s="153">
        <v>18</v>
      </c>
      <c r="R17" s="153">
        <v>9</v>
      </c>
      <c r="S17" s="153"/>
    </row>
    <row r="18" spans="14:19" x14ac:dyDescent="0.25">
      <c r="N18" s="191" t="s">
        <v>12674</v>
      </c>
      <c r="O18" s="153"/>
      <c r="P18" s="153">
        <v>4</v>
      </c>
      <c r="Q18" s="153">
        <v>44</v>
      </c>
      <c r="R18" s="153">
        <v>29</v>
      </c>
      <c r="S18" s="153">
        <v>15</v>
      </c>
    </row>
    <row r="19" spans="14:19" x14ac:dyDescent="0.25">
      <c r="N19" s="191" t="s">
        <v>12688</v>
      </c>
      <c r="O19" s="153">
        <v>1</v>
      </c>
      <c r="P19" s="153">
        <v>24</v>
      </c>
      <c r="Q19" s="153">
        <v>9</v>
      </c>
      <c r="R19" s="153">
        <v>9</v>
      </c>
      <c r="S19" s="153">
        <v>2</v>
      </c>
    </row>
    <row r="20" spans="14:19" x14ac:dyDescent="0.25">
      <c r="N20" s="191" t="s">
        <v>15969</v>
      </c>
      <c r="O20" s="153"/>
      <c r="P20" s="153"/>
      <c r="Q20" s="153"/>
      <c r="R20" s="153">
        <v>2</v>
      </c>
      <c r="S20" s="153">
        <v>22</v>
      </c>
    </row>
    <row r="21" spans="14:19" x14ac:dyDescent="0.25">
      <c r="N21" s="191" t="s">
        <v>12682</v>
      </c>
      <c r="O21" s="153">
        <v>1</v>
      </c>
      <c r="P21" s="153">
        <v>3</v>
      </c>
      <c r="Q21" s="153">
        <v>5</v>
      </c>
      <c r="R21" s="153">
        <v>3</v>
      </c>
      <c r="S21" s="153">
        <v>3</v>
      </c>
    </row>
  </sheetData>
  <pageMargins left="0.7" right="0.7" top="0.75" bottom="0.75" header="0.3" footer="0.3"/>
  <pageSetup orientation="portrait" horizontalDpi="0" verticalDpi="0"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D308-641D-4647-879E-55A2FE1795F6}">
  <sheetPr>
    <tabColor rgb="FFFF0000"/>
  </sheetPr>
  <dimension ref="A1:BT119"/>
  <sheetViews>
    <sheetView zoomScale="55" zoomScaleNormal="55" workbookViewId="0">
      <selection activeCell="AZ76" sqref="AZ76"/>
    </sheetView>
  </sheetViews>
  <sheetFormatPr defaultColWidth="9.140625" defaultRowHeight="15" x14ac:dyDescent="0.25"/>
  <cols>
    <col min="1" max="15" width="9.7109375" style="53" customWidth="1"/>
    <col min="16" max="25" width="9.7109375" style="47" customWidth="1"/>
    <col min="26" max="50" width="9.140625" style="47"/>
    <col min="51" max="51" width="9.140625" style="126"/>
    <col min="52" max="61" width="9.140625" style="47"/>
    <col min="62" max="68" width="9.140625" style="53"/>
    <col min="69" max="16384" width="9.140625" style="47"/>
  </cols>
  <sheetData>
    <row r="1" spans="1:72" ht="44.25" customHeight="1" thickBot="1" x14ac:dyDescent="0.3">
      <c r="A1" s="679" t="s">
        <v>19836</v>
      </c>
      <c r="B1" s="679"/>
      <c r="C1" s="679"/>
      <c r="D1" s="679"/>
      <c r="E1" s="679"/>
      <c r="F1" s="679"/>
      <c r="G1" s="679"/>
      <c r="H1" s="679"/>
      <c r="I1" s="679"/>
      <c r="J1" s="679"/>
      <c r="K1" s="679"/>
      <c r="L1" s="679"/>
      <c r="M1" s="679"/>
      <c r="N1" s="679"/>
      <c r="O1" s="679"/>
      <c r="P1" s="679"/>
      <c r="Q1" s="679"/>
      <c r="R1" s="679"/>
      <c r="S1" s="679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79"/>
      <c r="AL1" s="679"/>
      <c r="AM1" s="679"/>
      <c r="AN1" s="679"/>
      <c r="AO1" s="679"/>
      <c r="AP1" s="679"/>
      <c r="AQ1" s="679"/>
      <c r="AR1" s="679"/>
      <c r="AS1" s="679"/>
      <c r="AT1" s="679"/>
      <c r="AU1" s="679"/>
      <c r="AV1" s="679"/>
      <c r="AW1" s="679"/>
      <c r="AX1" s="679"/>
      <c r="AY1" s="679"/>
      <c r="AZ1" s="53"/>
      <c r="BA1" s="53"/>
      <c r="BB1" s="53"/>
      <c r="BC1" s="53"/>
      <c r="BD1" s="53"/>
      <c r="BE1" s="53"/>
      <c r="BF1" s="53"/>
      <c r="BG1" s="53"/>
      <c r="BH1" s="53"/>
      <c r="BI1" s="53"/>
      <c r="BQ1" s="53"/>
      <c r="BR1" s="53"/>
      <c r="BS1" s="53"/>
      <c r="BT1" s="53"/>
    </row>
    <row r="2" spans="1:72" x14ac:dyDescent="0.25">
      <c r="A2" s="527"/>
      <c r="B2" s="539"/>
      <c r="C2" s="602" t="s">
        <v>12664</v>
      </c>
      <c r="D2" s="527" t="s">
        <v>1920</v>
      </c>
      <c r="E2" s="539">
        <v>24.25</v>
      </c>
      <c r="F2" s="596" t="s">
        <v>12663</v>
      </c>
      <c r="G2" s="527" t="s">
        <v>5064</v>
      </c>
      <c r="H2" s="539">
        <v>25.75</v>
      </c>
      <c r="I2" s="596" t="s">
        <v>12663</v>
      </c>
      <c r="J2" s="527" t="s">
        <v>5587</v>
      </c>
      <c r="K2" s="539">
        <v>19.5</v>
      </c>
      <c r="L2" s="596" t="s">
        <v>12663</v>
      </c>
      <c r="M2" s="527" t="s">
        <v>5253</v>
      </c>
      <c r="N2" s="539">
        <v>9.25</v>
      </c>
      <c r="O2" s="596" t="s">
        <v>12664</v>
      </c>
      <c r="P2" s="527" t="s">
        <v>5489</v>
      </c>
      <c r="Q2" s="539">
        <v>3.5</v>
      </c>
      <c r="R2" s="596" t="s">
        <v>12663</v>
      </c>
      <c r="S2" s="527" t="s">
        <v>4429</v>
      </c>
      <c r="T2" s="539">
        <v>28.5</v>
      </c>
      <c r="U2" s="600" t="s">
        <v>12663</v>
      </c>
      <c r="V2" s="527" t="s">
        <v>4716</v>
      </c>
      <c r="W2" s="539">
        <v>23</v>
      </c>
      <c r="X2" s="596" t="s">
        <v>12663</v>
      </c>
      <c r="Y2" s="527" t="s">
        <v>5487</v>
      </c>
      <c r="Z2" s="539">
        <v>21.25</v>
      </c>
      <c r="AA2" s="596" t="s">
        <v>12663</v>
      </c>
      <c r="AB2" s="527" t="s">
        <v>2793</v>
      </c>
      <c r="AC2" s="539">
        <v>31.75</v>
      </c>
      <c r="AD2" s="596" t="s">
        <v>12663</v>
      </c>
      <c r="AE2" s="527" t="s">
        <v>437</v>
      </c>
      <c r="AF2" s="539">
        <v>10.75</v>
      </c>
      <c r="AG2" s="596" t="s">
        <v>12663</v>
      </c>
      <c r="AH2" s="527" t="s">
        <v>4529</v>
      </c>
      <c r="AI2" s="539">
        <v>29</v>
      </c>
      <c r="AJ2" s="596" t="s">
        <v>12663</v>
      </c>
      <c r="AK2" s="527" t="s">
        <v>3537</v>
      </c>
      <c r="AL2" s="539">
        <v>29.75</v>
      </c>
      <c r="AM2" s="596" t="s">
        <v>12663</v>
      </c>
      <c r="AN2" s="527" t="s">
        <v>388</v>
      </c>
      <c r="AO2" s="539">
        <v>18.75</v>
      </c>
      <c r="AP2" s="596" t="s">
        <v>12663</v>
      </c>
      <c r="AQ2" s="527" t="s">
        <v>415</v>
      </c>
      <c r="AR2" s="539">
        <v>9.5</v>
      </c>
      <c r="AS2" s="596" t="s">
        <v>12663</v>
      </c>
      <c r="AT2" s="527" t="s">
        <v>5267</v>
      </c>
      <c r="AU2" s="539">
        <v>26.5</v>
      </c>
      <c r="AV2" s="596" t="s">
        <v>12663</v>
      </c>
      <c r="AW2" s="527" t="s">
        <v>3363</v>
      </c>
      <c r="AX2" s="539">
        <v>18.25</v>
      </c>
      <c r="AY2" s="596" t="s">
        <v>12663</v>
      </c>
      <c r="BJ2" s="47"/>
      <c r="BK2" s="47"/>
      <c r="BL2" s="47"/>
      <c r="BM2" s="47"/>
      <c r="BN2" s="47"/>
      <c r="BO2" s="47"/>
      <c r="BP2" s="47"/>
    </row>
    <row r="3" spans="1:72" x14ac:dyDescent="0.25">
      <c r="A3" s="478" t="s">
        <v>254</v>
      </c>
      <c r="B3" s="481">
        <v>10.75</v>
      </c>
      <c r="C3" s="603"/>
      <c r="D3" s="540" t="s">
        <v>5765</v>
      </c>
      <c r="E3" s="541">
        <v>24.75</v>
      </c>
      <c r="F3" s="597"/>
      <c r="G3" s="540" t="s">
        <v>4962</v>
      </c>
      <c r="H3" s="541">
        <v>14.25</v>
      </c>
      <c r="I3" s="597"/>
      <c r="J3" s="540" t="s">
        <v>5126</v>
      </c>
      <c r="K3" s="541">
        <v>13.5</v>
      </c>
      <c r="L3" s="597"/>
      <c r="M3" s="540" t="s">
        <v>412</v>
      </c>
      <c r="N3" s="541">
        <v>9</v>
      </c>
      <c r="O3" s="597"/>
      <c r="P3" s="540" t="s">
        <v>349</v>
      </c>
      <c r="Q3" s="541">
        <v>6.75</v>
      </c>
      <c r="R3" s="597"/>
      <c r="S3" s="540" t="s">
        <v>3483</v>
      </c>
      <c r="T3" s="541">
        <v>28</v>
      </c>
      <c r="U3" s="598"/>
      <c r="V3" s="540" t="s">
        <v>4562</v>
      </c>
      <c r="W3" s="541">
        <v>23.25</v>
      </c>
      <c r="X3" s="597"/>
      <c r="Y3" s="540" t="s">
        <v>5304</v>
      </c>
      <c r="Z3" s="541">
        <v>21.25</v>
      </c>
      <c r="AA3" s="597"/>
      <c r="AB3" s="540" t="s">
        <v>417</v>
      </c>
      <c r="AC3" s="541">
        <v>10.5</v>
      </c>
      <c r="AD3" s="597"/>
      <c r="AE3" s="540" t="s">
        <v>385</v>
      </c>
      <c r="AF3" s="541">
        <v>6.25</v>
      </c>
      <c r="AG3" s="597"/>
      <c r="AH3" s="540" t="s">
        <v>450</v>
      </c>
      <c r="AI3" s="541">
        <v>22.25</v>
      </c>
      <c r="AJ3" s="597"/>
      <c r="AK3" s="540" t="s">
        <v>353</v>
      </c>
      <c r="AL3" s="541">
        <v>30.75</v>
      </c>
      <c r="AM3" s="597"/>
      <c r="AN3" s="540" t="s">
        <v>3148</v>
      </c>
      <c r="AO3" s="541">
        <v>30</v>
      </c>
      <c r="AP3" s="597"/>
      <c r="AQ3" s="540" t="s">
        <v>368</v>
      </c>
      <c r="AR3" s="541">
        <v>9</v>
      </c>
      <c r="AS3" s="597"/>
      <c r="AT3" s="540" t="s">
        <v>457</v>
      </c>
      <c r="AU3" s="541">
        <v>20.5</v>
      </c>
      <c r="AV3" s="597"/>
      <c r="AW3" s="540" t="s">
        <v>1333</v>
      </c>
      <c r="AX3" s="541">
        <v>29.5</v>
      </c>
      <c r="AY3" s="597"/>
      <c r="BJ3" s="47"/>
      <c r="BK3" s="47"/>
      <c r="BL3" s="47"/>
      <c r="BM3" s="47"/>
      <c r="BN3" s="47"/>
      <c r="BO3" s="47"/>
      <c r="BP3" s="47"/>
    </row>
    <row r="4" spans="1:72" x14ac:dyDescent="0.25">
      <c r="A4" s="478"/>
      <c r="B4" s="481"/>
      <c r="C4" s="603"/>
      <c r="D4" s="540" t="s">
        <v>2569</v>
      </c>
      <c r="E4" s="541">
        <v>24.75</v>
      </c>
      <c r="F4" s="597"/>
      <c r="G4" s="540" t="s">
        <v>5583</v>
      </c>
      <c r="H4" s="541">
        <v>26.5</v>
      </c>
      <c r="I4" s="597"/>
      <c r="J4" s="540" t="s">
        <v>4651</v>
      </c>
      <c r="K4" s="541">
        <v>19.25</v>
      </c>
      <c r="L4" s="597"/>
      <c r="M4" s="540" t="s">
        <v>373</v>
      </c>
      <c r="N4" s="541">
        <v>9.75</v>
      </c>
      <c r="O4" s="597"/>
      <c r="P4" s="540" t="s">
        <v>5661</v>
      </c>
      <c r="Q4" s="541">
        <v>5.25</v>
      </c>
      <c r="R4" s="597"/>
      <c r="S4" s="540" t="s">
        <v>314</v>
      </c>
      <c r="T4" s="541">
        <v>26.5</v>
      </c>
      <c r="U4" s="598"/>
      <c r="V4" s="540" t="s">
        <v>293</v>
      </c>
      <c r="W4" s="541">
        <v>23</v>
      </c>
      <c r="X4" s="597"/>
      <c r="Y4" s="540" t="s">
        <v>3381</v>
      </c>
      <c r="Z4" s="541">
        <v>21.25</v>
      </c>
      <c r="AA4" s="597"/>
      <c r="AB4" s="540" t="s">
        <v>3461</v>
      </c>
      <c r="AC4" s="541">
        <v>31.75</v>
      </c>
      <c r="AD4" s="597"/>
      <c r="AE4" s="540" t="s">
        <v>347</v>
      </c>
      <c r="AF4" s="541">
        <v>5.5</v>
      </c>
      <c r="AG4" s="597"/>
      <c r="AH4" s="540" t="s">
        <v>3726</v>
      </c>
      <c r="AI4" s="541">
        <v>29.5</v>
      </c>
      <c r="AJ4" s="597"/>
      <c r="AK4" s="540" t="s">
        <v>5616</v>
      </c>
      <c r="AL4" s="541">
        <v>30.5</v>
      </c>
      <c r="AM4" s="597"/>
      <c r="AN4" s="540" t="s">
        <v>5703</v>
      </c>
      <c r="AO4" s="541">
        <v>29.75</v>
      </c>
      <c r="AP4" s="597"/>
      <c r="AQ4" s="540" t="s">
        <v>339</v>
      </c>
      <c r="AR4" s="541">
        <v>10.5</v>
      </c>
      <c r="AS4" s="597"/>
      <c r="AT4" s="540" t="s">
        <v>378</v>
      </c>
      <c r="AU4" s="541">
        <v>9.5</v>
      </c>
      <c r="AV4" s="597"/>
      <c r="AW4" s="540" t="s">
        <v>268</v>
      </c>
      <c r="AX4" s="541">
        <v>4.25</v>
      </c>
      <c r="AY4" s="597"/>
      <c r="BJ4" s="47"/>
      <c r="BK4" s="47"/>
      <c r="BL4" s="47"/>
      <c r="BM4" s="47"/>
      <c r="BN4" s="47"/>
      <c r="BO4" s="47"/>
      <c r="BP4" s="47"/>
    </row>
    <row r="5" spans="1:72" x14ac:dyDescent="0.25">
      <c r="A5" s="540" t="s">
        <v>198</v>
      </c>
      <c r="B5" s="541">
        <v>10.75</v>
      </c>
      <c r="C5" s="603"/>
      <c r="D5" s="540" t="s">
        <v>4445</v>
      </c>
      <c r="E5" s="541">
        <v>19</v>
      </c>
      <c r="F5" s="597"/>
      <c r="G5" s="540" t="s">
        <v>5321</v>
      </c>
      <c r="H5" s="541">
        <v>23</v>
      </c>
      <c r="I5" s="597"/>
      <c r="J5" s="540" t="s">
        <v>324</v>
      </c>
      <c r="K5" s="541">
        <v>19.5</v>
      </c>
      <c r="L5" s="597"/>
      <c r="M5" s="540" t="s">
        <v>345</v>
      </c>
      <c r="N5" s="541">
        <v>9.25</v>
      </c>
      <c r="O5" s="597"/>
      <c r="P5" s="540" t="s">
        <v>290</v>
      </c>
      <c r="Q5" s="541">
        <v>7.25</v>
      </c>
      <c r="R5" s="597"/>
      <c r="S5" s="540" t="s">
        <v>3868</v>
      </c>
      <c r="T5" s="541">
        <v>28.25</v>
      </c>
      <c r="U5" s="598"/>
      <c r="V5" s="540" t="s">
        <v>3668</v>
      </c>
      <c r="W5" s="541">
        <v>22.75</v>
      </c>
      <c r="X5" s="597"/>
      <c r="Y5" s="540" t="s">
        <v>2434</v>
      </c>
      <c r="Z5" s="541">
        <v>21.5</v>
      </c>
      <c r="AA5" s="597"/>
      <c r="AB5" s="540" t="s">
        <v>4675</v>
      </c>
      <c r="AC5" s="541">
        <v>31.75</v>
      </c>
      <c r="AD5" s="597"/>
      <c r="AE5" s="540" t="s">
        <v>4239</v>
      </c>
      <c r="AF5" s="541">
        <v>9.75</v>
      </c>
      <c r="AG5" s="597"/>
      <c r="AH5" s="540" t="s">
        <v>2531</v>
      </c>
      <c r="AI5" s="541">
        <v>28.75</v>
      </c>
      <c r="AJ5" s="597"/>
      <c r="AK5" s="540" t="s">
        <v>319</v>
      </c>
      <c r="AL5" s="541">
        <v>15</v>
      </c>
      <c r="AM5" s="597"/>
      <c r="AN5" s="540" t="s">
        <v>2024</v>
      </c>
      <c r="AO5" s="541">
        <v>29.75</v>
      </c>
      <c r="AP5" s="597"/>
      <c r="AQ5" s="540" t="s">
        <v>4088</v>
      </c>
      <c r="AR5" s="541">
        <v>27</v>
      </c>
      <c r="AS5" s="597"/>
      <c r="AT5" s="540" t="s">
        <v>343</v>
      </c>
      <c r="AU5" s="541">
        <v>8.75</v>
      </c>
      <c r="AV5" s="597"/>
      <c r="AW5" s="540" t="s">
        <v>1272</v>
      </c>
      <c r="AX5" s="541">
        <v>15.25</v>
      </c>
      <c r="AY5" s="597"/>
      <c r="BJ5" s="47"/>
      <c r="BK5" s="47"/>
      <c r="BL5" s="47"/>
      <c r="BM5" s="47"/>
      <c r="BN5" s="47"/>
      <c r="BO5" s="47"/>
      <c r="BP5" s="47"/>
    </row>
    <row r="6" spans="1:72" x14ac:dyDescent="0.25">
      <c r="A6" s="540"/>
      <c r="B6" s="541"/>
      <c r="C6" s="603"/>
      <c r="D6" s="540" t="s">
        <v>5651</v>
      </c>
      <c r="E6" s="541">
        <v>24.75</v>
      </c>
      <c r="F6" s="597"/>
      <c r="G6" s="540" t="s">
        <v>3388</v>
      </c>
      <c r="H6" s="541">
        <v>25.5</v>
      </c>
      <c r="I6" s="597"/>
      <c r="J6" s="540" t="s">
        <v>1475</v>
      </c>
      <c r="K6" s="541">
        <v>19</v>
      </c>
      <c r="L6" s="597"/>
      <c r="M6" s="540" t="s">
        <v>322</v>
      </c>
      <c r="N6" s="541">
        <v>10.5</v>
      </c>
      <c r="O6" s="597"/>
      <c r="P6" s="540" t="s">
        <v>5008</v>
      </c>
      <c r="Q6" s="541">
        <v>6.75</v>
      </c>
      <c r="R6" s="597"/>
      <c r="S6" s="540" t="s">
        <v>5463</v>
      </c>
      <c r="T6" s="541">
        <v>28.25</v>
      </c>
      <c r="U6" s="598"/>
      <c r="V6" s="540" t="s">
        <v>3650</v>
      </c>
      <c r="W6" s="541">
        <v>20.75</v>
      </c>
      <c r="X6" s="597"/>
      <c r="Y6" s="540" t="s">
        <v>5171</v>
      </c>
      <c r="Z6" s="541">
        <v>21.5</v>
      </c>
      <c r="AA6" s="597"/>
      <c r="AB6" s="540" t="s">
        <v>4335</v>
      </c>
      <c r="AC6" s="541">
        <v>31.75</v>
      </c>
      <c r="AD6" s="597"/>
      <c r="AE6" s="540" t="s">
        <v>277</v>
      </c>
      <c r="AF6" s="541">
        <v>6.5</v>
      </c>
      <c r="AG6" s="597"/>
      <c r="AH6" s="540" t="s">
        <v>3292</v>
      </c>
      <c r="AI6" s="541">
        <v>29</v>
      </c>
      <c r="AJ6" s="597"/>
      <c r="AK6" s="540" t="s">
        <v>5121</v>
      </c>
      <c r="AL6" s="541">
        <v>31.75</v>
      </c>
      <c r="AM6" s="597"/>
      <c r="AN6" s="540" t="s">
        <v>3152</v>
      </c>
      <c r="AO6" s="541">
        <v>30</v>
      </c>
      <c r="AP6" s="597"/>
      <c r="AQ6" s="540" t="s">
        <v>234</v>
      </c>
      <c r="AR6" s="541">
        <v>28</v>
      </c>
      <c r="AS6" s="597"/>
      <c r="AT6" s="540" t="s">
        <v>333</v>
      </c>
      <c r="AU6" s="541">
        <v>9.5</v>
      </c>
      <c r="AV6" s="597"/>
      <c r="AW6" s="540" t="s">
        <v>14212</v>
      </c>
      <c r="AX6" s="541">
        <v>6</v>
      </c>
      <c r="AY6" s="597"/>
      <c r="BJ6" s="47"/>
      <c r="BK6" s="47"/>
      <c r="BL6" s="47"/>
      <c r="BM6" s="47"/>
      <c r="BN6" s="47"/>
      <c r="BO6" s="47"/>
      <c r="BP6" s="47"/>
    </row>
    <row r="7" spans="1:72" ht="15.75" thickBot="1" x14ac:dyDescent="0.3">
      <c r="A7" s="540" t="s">
        <v>5438</v>
      </c>
      <c r="B7" s="541">
        <v>11.75</v>
      </c>
      <c r="C7" s="603"/>
      <c r="D7" s="540" t="s">
        <v>12</v>
      </c>
      <c r="E7" s="541">
        <v>25.25</v>
      </c>
      <c r="F7" s="597"/>
      <c r="G7" s="540" t="s">
        <v>5277</v>
      </c>
      <c r="H7" s="541">
        <v>26.5</v>
      </c>
      <c r="I7" s="597"/>
      <c r="J7" s="540" t="s">
        <v>4822</v>
      </c>
      <c r="K7" s="541">
        <v>19.25</v>
      </c>
      <c r="L7" s="597"/>
      <c r="M7" s="540" t="s">
        <v>2893</v>
      </c>
      <c r="N7" s="541">
        <v>3.75</v>
      </c>
      <c r="O7" s="597"/>
      <c r="P7" s="540" t="s">
        <v>270</v>
      </c>
      <c r="Q7" s="541">
        <v>6.75</v>
      </c>
      <c r="R7" s="597"/>
      <c r="S7" s="542" t="s">
        <v>3972</v>
      </c>
      <c r="T7" s="543">
        <v>28.5</v>
      </c>
      <c r="U7" s="599"/>
      <c r="V7" s="540" t="s">
        <v>3329</v>
      </c>
      <c r="W7" s="541">
        <v>23.5</v>
      </c>
      <c r="X7" s="597"/>
      <c r="Y7" s="540" t="s">
        <v>27</v>
      </c>
      <c r="Z7" s="541">
        <v>18.75</v>
      </c>
      <c r="AA7" s="597"/>
      <c r="AB7" s="542" t="s">
        <v>2484</v>
      </c>
      <c r="AC7" s="543">
        <v>30.5</v>
      </c>
      <c r="AD7" s="601"/>
      <c r="AE7" s="540" t="s">
        <v>263</v>
      </c>
      <c r="AF7" s="541">
        <v>12</v>
      </c>
      <c r="AG7" s="597"/>
      <c r="AH7" s="542" t="s">
        <v>4327</v>
      </c>
      <c r="AI7" s="543">
        <v>29.5</v>
      </c>
      <c r="AJ7" s="601"/>
      <c r="AK7" s="542" t="s">
        <v>5465</v>
      </c>
      <c r="AL7" s="543">
        <v>30.25</v>
      </c>
      <c r="AM7" s="601"/>
      <c r="AN7" s="542" t="s">
        <v>4570</v>
      </c>
      <c r="AO7" s="543">
        <v>29.75</v>
      </c>
      <c r="AP7" s="601"/>
      <c r="AQ7" s="540" t="s">
        <v>5452</v>
      </c>
      <c r="AR7" s="541">
        <v>25.75</v>
      </c>
      <c r="AS7" s="597"/>
      <c r="AT7" s="540" t="s">
        <v>5163</v>
      </c>
      <c r="AU7" s="541">
        <v>29.25</v>
      </c>
      <c r="AV7" s="597"/>
      <c r="AW7" s="540" t="s">
        <v>2958</v>
      </c>
      <c r="AX7" s="541">
        <v>20</v>
      </c>
      <c r="AY7" s="597"/>
      <c r="BJ7" s="47"/>
      <c r="BK7" s="47"/>
      <c r="BL7" s="47"/>
      <c r="BM7" s="47"/>
      <c r="BN7" s="47"/>
      <c r="BO7" s="47"/>
      <c r="BP7" s="47"/>
    </row>
    <row r="8" spans="1:72" ht="15.75" thickBot="1" x14ac:dyDescent="0.3">
      <c r="A8" s="540"/>
      <c r="B8" s="541"/>
      <c r="C8" s="603"/>
      <c r="D8" s="486" t="s">
        <v>12</v>
      </c>
      <c r="E8" s="659">
        <v>25.25</v>
      </c>
      <c r="F8" s="601"/>
      <c r="G8" s="542" t="s">
        <v>5536</v>
      </c>
      <c r="H8" s="543">
        <v>26.5</v>
      </c>
      <c r="I8" s="601"/>
      <c r="J8" s="540" t="s">
        <v>5585</v>
      </c>
      <c r="K8" s="541">
        <v>19.5</v>
      </c>
      <c r="L8" s="597"/>
      <c r="M8" s="540" t="s">
        <v>286</v>
      </c>
      <c r="N8" s="541">
        <v>7.25</v>
      </c>
      <c r="O8" s="597"/>
      <c r="P8" s="540" t="s">
        <v>1267</v>
      </c>
      <c r="Q8" s="541">
        <v>7</v>
      </c>
      <c r="R8" s="597"/>
      <c r="S8" s="527" t="s">
        <v>4429</v>
      </c>
      <c r="T8" s="539">
        <v>28.5</v>
      </c>
      <c r="U8" s="600" t="s">
        <v>12663</v>
      </c>
      <c r="V8" s="540" t="s">
        <v>4211</v>
      </c>
      <c r="W8" s="541">
        <v>23.5</v>
      </c>
      <c r="X8" s="597"/>
      <c r="Y8" s="540" t="s">
        <v>5454</v>
      </c>
      <c r="Z8" s="541">
        <v>21</v>
      </c>
      <c r="AA8" s="597"/>
      <c r="AB8" s="527" t="s">
        <v>2793</v>
      </c>
      <c r="AC8" s="539">
        <v>31.75</v>
      </c>
      <c r="AD8" s="596" t="s">
        <v>12663</v>
      </c>
      <c r="AE8" s="540" t="s">
        <v>244</v>
      </c>
      <c r="AF8" s="541">
        <v>9.75</v>
      </c>
      <c r="AG8" s="597"/>
      <c r="AH8" s="527" t="s">
        <v>3726</v>
      </c>
      <c r="AI8" s="539">
        <v>29.5</v>
      </c>
      <c r="AJ8" s="596" t="s">
        <v>12663</v>
      </c>
      <c r="AK8" s="527" t="s">
        <v>5121</v>
      </c>
      <c r="AL8" s="539">
        <v>31.75</v>
      </c>
      <c r="AM8" s="596" t="s">
        <v>12663</v>
      </c>
      <c r="AN8" s="527" t="s">
        <v>3148</v>
      </c>
      <c r="AO8" s="539">
        <v>30</v>
      </c>
      <c r="AP8" s="596" t="s">
        <v>12663</v>
      </c>
      <c r="AQ8" s="540" t="s">
        <v>3081</v>
      </c>
      <c r="AR8" s="541">
        <v>26.5</v>
      </c>
      <c r="AS8" s="597"/>
      <c r="AT8" s="540" t="s">
        <v>484</v>
      </c>
      <c r="AU8" s="541">
        <v>27.5</v>
      </c>
      <c r="AV8" s="597"/>
      <c r="AW8" s="540" t="s">
        <v>4136</v>
      </c>
      <c r="AX8" s="541">
        <v>25.75</v>
      </c>
      <c r="AY8" s="597"/>
      <c r="BJ8" s="47"/>
      <c r="BK8" s="47"/>
      <c r="BL8" s="47"/>
      <c r="BM8" s="47"/>
      <c r="BN8" s="47"/>
      <c r="BO8" s="47"/>
      <c r="BP8" s="47"/>
    </row>
    <row r="9" spans="1:72" ht="15.75" thickBot="1" x14ac:dyDescent="0.3">
      <c r="A9" s="540" t="s">
        <v>5317</v>
      </c>
      <c r="B9" s="541">
        <v>17.75</v>
      </c>
      <c r="C9" s="603"/>
      <c r="D9" s="124" t="s">
        <v>2713</v>
      </c>
      <c r="E9" s="395">
        <v>18.25</v>
      </c>
      <c r="F9" s="596" t="s">
        <v>12663</v>
      </c>
      <c r="G9" s="527" t="s">
        <v>5583</v>
      </c>
      <c r="H9" s="539">
        <v>26.5</v>
      </c>
      <c r="I9" s="596" t="s">
        <v>12663</v>
      </c>
      <c r="J9" s="540" t="s">
        <v>5473</v>
      </c>
      <c r="K9" s="541">
        <v>19.5</v>
      </c>
      <c r="L9" s="597"/>
      <c r="M9" s="540" t="s">
        <v>254</v>
      </c>
      <c r="N9" s="541">
        <v>10.75</v>
      </c>
      <c r="O9" s="597"/>
      <c r="P9" s="540" t="s">
        <v>4935</v>
      </c>
      <c r="Q9" s="541">
        <v>14.75</v>
      </c>
      <c r="R9" s="597"/>
      <c r="S9" s="540" t="s">
        <v>3972</v>
      </c>
      <c r="T9" s="541">
        <v>28.5</v>
      </c>
      <c r="U9" s="598"/>
      <c r="V9" s="542" t="s">
        <v>3996</v>
      </c>
      <c r="W9" s="543">
        <v>8.25</v>
      </c>
      <c r="X9" s="601"/>
      <c r="Y9" s="542" t="s">
        <v>5613</v>
      </c>
      <c r="Z9" s="543">
        <v>21.5</v>
      </c>
      <c r="AA9" s="601"/>
      <c r="AB9" s="540" t="s">
        <v>3461</v>
      </c>
      <c r="AC9" s="541">
        <v>31.75</v>
      </c>
      <c r="AD9" s="597"/>
      <c r="AE9" s="540" t="s">
        <v>242</v>
      </c>
      <c r="AF9" s="541">
        <v>10.75</v>
      </c>
      <c r="AG9" s="597"/>
      <c r="AH9" s="540" t="s">
        <v>4327</v>
      </c>
      <c r="AI9" s="541">
        <v>29.5</v>
      </c>
      <c r="AJ9" s="597"/>
      <c r="AK9" s="540" t="s">
        <v>353</v>
      </c>
      <c r="AL9" s="541">
        <v>30.75</v>
      </c>
      <c r="AM9" s="597"/>
      <c r="AN9" s="540" t="s">
        <v>3152</v>
      </c>
      <c r="AO9" s="541">
        <v>30</v>
      </c>
      <c r="AP9" s="597"/>
      <c r="AQ9" s="542" t="s">
        <v>137</v>
      </c>
      <c r="AR9" s="543">
        <v>31.75</v>
      </c>
      <c r="AS9" s="601"/>
      <c r="AT9" s="540" t="s">
        <v>5089</v>
      </c>
      <c r="AU9" s="541">
        <v>28.5</v>
      </c>
      <c r="AV9" s="597"/>
      <c r="AW9" s="540" t="s">
        <v>3652</v>
      </c>
      <c r="AX9" s="541">
        <v>24.5</v>
      </c>
      <c r="AY9" s="597"/>
      <c r="BJ9" s="47"/>
      <c r="BK9" s="47"/>
      <c r="BL9" s="47"/>
      <c r="BM9" s="47"/>
      <c r="BN9" s="47"/>
      <c r="BO9" s="47"/>
      <c r="BP9" s="47"/>
    </row>
    <row r="10" spans="1:72" ht="15.75" thickBot="1" x14ac:dyDescent="0.3">
      <c r="A10" s="540" t="s">
        <v>254</v>
      </c>
      <c r="B10" s="541">
        <v>10.75</v>
      </c>
      <c r="C10" s="603"/>
      <c r="D10" s="123" t="s">
        <v>4725</v>
      </c>
      <c r="E10" s="397">
        <v>6.75</v>
      </c>
      <c r="F10" s="597"/>
      <c r="G10" s="540" t="s">
        <v>5277</v>
      </c>
      <c r="H10" s="541">
        <v>26.5</v>
      </c>
      <c r="I10" s="597"/>
      <c r="J10" s="542" t="s">
        <v>5025</v>
      </c>
      <c r="K10" s="543">
        <v>19</v>
      </c>
      <c r="L10" s="601"/>
      <c r="M10" s="540" t="s">
        <v>206</v>
      </c>
      <c r="N10" s="541">
        <v>7.5</v>
      </c>
      <c r="O10" s="597"/>
      <c r="P10" s="540" t="s">
        <v>249</v>
      </c>
      <c r="Q10" s="541">
        <v>6</v>
      </c>
      <c r="R10" s="597"/>
      <c r="S10" s="540" t="s">
        <v>3868</v>
      </c>
      <c r="T10" s="541">
        <v>28.25</v>
      </c>
      <c r="U10" s="598"/>
      <c r="V10" s="527" t="s">
        <v>3329</v>
      </c>
      <c r="W10" s="539">
        <v>23.5</v>
      </c>
      <c r="X10" s="596" t="s">
        <v>12663</v>
      </c>
      <c r="Y10" s="527" t="s">
        <v>2434</v>
      </c>
      <c r="Z10" s="539">
        <v>21.5</v>
      </c>
      <c r="AA10" s="596" t="s">
        <v>12663</v>
      </c>
      <c r="AB10" s="540" t="s">
        <v>4675</v>
      </c>
      <c r="AC10" s="541">
        <v>31.75</v>
      </c>
      <c r="AD10" s="597"/>
      <c r="AE10" s="540" t="s">
        <v>240</v>
      </c>
      <c r="AF10" s="541">
        <v>11</v>
      </c>
      <c r="AG10" s="597"/>
      <c r="AH10" s="540" t="s">
        <v>4529</v>
      </c>
      <c r="AI10" s="541">
        <v>29</v>
      </c>
      <c r="AJ10" s="597"/>
      <c r="AK10" s="540" t="s">
        <v>5616</v>
      </c>
      <c r="AL10" s="541">
        <v>30.5</v>
      </c>
      <c r="AM10" s="597"/>
      <c r="AN10" s="540" t="s">
        <v>5703</v>
      </c>
      <c r="AO10" s="541">
        <v>29.75</v>
      </c>
      <c r="AP10" s="597"/>
      <c r="AQ10" s="527" t="s">
        <v>137</v>
      </c>
      <c r="AR10" s="539">
        <v>31.75</v>
      </c>
      <c r="AS10" s="596" t="s">
        <v>12663</v>
      </c>
      <c r="AT10" s="542" t="s">
        <v>8728</v>
      </c>
      <c r="AU10" s="543">
        <v>8</v>
      </c>
      <c r="AV10" s="601"/>
      <c r="AW10" s="542" t="s">
        <v>2974</v>
      </c>
      <c r="AX10" s="543">
        <v>24.5</v>
      </c>
      <c r="AY10" s="601"/>
      <c r="BJ10" s="47"/>
      <c r="BK10" s="47"/>
      <c r="BL10" s="47"/>
      <c r="BM10" s="47"/>
      <c r="BN10" s="47"/>
      <c r="BO10" s="47"/>
      <c r="BP10" s="47"/>
    </row>
    <row r="11" spans="1:72" x14ac:dyDescent="0.25">
      <c r="A11" s="540" t="s">
        <v>5317</v>
      </c>
      <c r="B11" s="541">
        <v>17.75</v>
      </c>
      <c r="C11" s="603"/>
      <c r="D11" s="540" t="s">
        <v>9</v>
      </c>
      <c r="E11" s="541">
        <v>25.25</v>
      </c>
      <c r="F11" s="597"/>
      <c r="G11" s="540" t="s">
        <v>5536</v>
      </c>
      <c r="H11" s="541">
        <v>26.5</v>
      </c>
      <c r="I11" s="597"/>
      <c r="J11" s="527" t="s">
        <v>5587</v>
      </c>
      <c r="K11" s="539">
        <v>19.5</v>
      </c>
      <c r="L11" s="596" t="s">
        <v>12663</v>
      </c>
      <c r="M11" s="540" t="s">
        <v>198</v>
      </c>
      <c r="N11" s="541">
        <v>10.75</v>
      </c>
      <c r="O11" s="597"/>
      <c r="P11" s="540" t="s">
        <v>246</v>
      </c>
      <c r="Q11" s="541">
        <v>13.25</v>
      </c>
      <c r="R11" s="597"/>
      <c r="S11" s="540" t="s">
        <v>5463</v>
      </c>
      <c r="T11" s="541">
        <v>28.25</v>
      </c>
      <c r="U11" s="598"/>
      <c r="V11" s="540" t="s">
        <v>4211</v>
      </c>
      <c r="W11" s="541">
        <v>23.5</v>
      </c>
      <c r="X11" s="597"/>
      <c r="Y11" s="540" t="s">
        <v>5171</v>
      </c>
      <c r="Z11" s="541">
        <v>21.5</v>
      </c>
      <c r="AA11" s="597"/>
      <c r="AB11" s="540" t="s">
        <v>4335</v>
      </c>
      <c r="AC11" s="541">
        <v>31.75</v>
      </c>
      <c r="AD11" s="597"/>
      <c r="AE11" s="540" t="s">
        <v>217</v>
      </c>
      <c r="AF11" s="541">
        <v>6.75</v>
      </c>
      <c r="AG11" s="597"/>
      <c r="AH11" s="540" t="s">
        <v>3292</v>
      </c>
      <c r="AI11" s="541">
        <v>29</v>
      </c>
      <c r="AJ11" s="597"/>
      <c r="AK11" s="540" t="s">
        <v>5465</v>
      </c>
      <c r="AL11" s="541">
        <v>30.25</v>
      </c>
      <c r="AM11" s="597"/>
      <c r="AN11" s="540" t="s">
        <v>2024</v>
      </c>
      <c r="AO11" s="541">
        <v>29.75</v>
      </c>
      <c r="AP11" s="597"/>
      <c r="AQ11" s="540" t="s">
        <v>234</v>
      </c>
      <c r="AR11" s="541">
        <v>28</v>
      </c>
      <c r="AS11" s="597"/>
      <c r="AT11" s="527" t="s">
        <v>5163</v>
      </c>
      <c r="AU11" s="539">
        <v>29.25</v>
      </c>
      <c r="AV11" s="596" t="s">
        <v>12663</v>
      </c>
      <c r="AW11" s="527" t="s">
        <v>3295</v>
      </c>
      <c r="AX11" s="539">
        <v>25.25</v>
      </c>
      <c r="AY11" s="596" t="s">
        <v>12663</v>
      </c>
      <c r="BJ11" s="47"/>
      <c r="BK11" s="47"/>
      <c r="BL11" s="47"/>
      <c r="BM11" s="47"/>
      <c r="BN11" s="47"/>
      <c r="BO11" s="47"/>
      <c r="BP11" s="47"/>
    </row>
    <row r="12" spans="1:72" ht="15.75" thickBot="1" x14ac:dyDescent="0.3">
      <c r="A12" s="542" t="s">
        <v>2713</v>
      </c>
      <c r="B12" s="543">
        <v>18.25</v>
      </c>
      <c r="C12" s="604"/>
      <c r="D12" s="540" t="s">
        <v>5765</v>
      </c>
      <c r="E12" s="541">
        <v>24.75</v>
      </c>
      <c r="F12" s="597"/>
      <c r="G12" s="540" t="s">
        <v>5064</v>
      </c>
      <c r="H12" s="541">
        <v>25.75</v>
      </c>
      <c r="I12" s="597"/>
      <c r="J12" s="540" t="s">
        <v>324</v>
      </c>
      <c r="K12" s="541">
        <v>19.5</v>
      </c>
      <c r="L12" s="597"/>
      <c r="M12" s="540" t="s">
        <v>166</v>
      </c>
      <c r="N12" s="541">
        <v>8.5</v>
      </c>
      <c r="O12" s="597"/>
      <c r="P12" s="540" t="s">
        <v>5275</v>
      </c>
      <c r="Q12" s="541">
        <v>6.5</v>
      </c>
      <c r="R12" s="597"/>
      <c r="S12" s="540" t="s">
        <v>3483</v>
      </c>
      <c r="T12" s="541">
        <v>28</v>
      </c>
      <c r="U12" s="598"/>
      <c r="V12" s="540" t="s">
        <v>4562</v>
      </c>
      <c r="W12" s="541">
        <v>23.25</v>
      </c>
      <c r="X12" s="597"/>
      <c r="Y12" s="540" t="s">
        <v>5613</v>
      </c>
      <c r="Z12" s="541">
        <v>21.5</v>
      </c>
      <c r="AA12" s="597"/>
      <c r="AB12" s="540" t="s">
        <v>2484</v>
      </c>
      <c r="AC12" s="541">
        <v>30.5</v>
      </c>
      <c r="AD12" s="597"/>
      <c r="AE12" s="540" t="s">
        <v>215</v>
      </c>
      <c r="AF12" s="541">
        <v>12</v>
      </c>
      <c r="AG12" s="597"/>
      <c r="AH12" s="540" t="s">
        <v>2531</v>
      </c>
      <c r="AI12" s="541">
        <v>28.75</v>
      </c>
      <c r="AJ12" s="597"/>
      <c r="AK12" s="540" t="s">
        <v>3537</v>
      </c>
      <c r="AL12" s="541">
        <v>29.75</v>
      </c>
      <c r="AM12" s="597"/>
      <c r="AN12" s="540" t="s">
        <v>4570</v>
      </c>
      <c r="AO12" s="541">
        <v>29.75</v>
      </c>
      <c r="AP12" s="597"/>
      <c r="AQ12" s="540" t="s">
        <v>4088</v>
      </c>
      <c r="AR12" s="541">
        <v>27</v>
      </c>
      <c r="AS12" s="597"/>
      <c r="AT12" s="540" t="s">
        <v>5089</v>
      </c>
      <c r="AU12" s="541">
        <v>28.5</v>
      </c>
      <c r="AV12" s="597"/>
      <c r="AW12" s="540" t="s">
        <v>5155</v>
      </c>
      <c r="AX12" s="541">
        <v>24.75</v>
      </c>
      <c r="AY12" s="597"/>
      <c r="BJ12" s="47"/>
      <c r="BK12" s="47"/>
      <c r="BL12" s="47"/>
      <c r="BM12" s="47"/>
      <c r="BN12" s="47"/>
      <c r="BO12" s="47"/>
      <c r="BP12" s="47"/>
    </row>
    <row r="13" spans="1:72" ht="15.75" thickBot="1" x14ac:dyDescent="0.3">
      <c r="A13" s="527" t="s">
        <v>5253</v>
      </c>
      <c r="B13" s="539">
        <v>9.25</v>
      </c>
      <c r="C13" s="596" t="s">
        <v>12664</v>
      </c>
      <c r="D13" s="540" t="s">
        <v>2569</v>
      </c>
      <c r="E13" s="541">
        <v>24.75</v>
      </c>
      <c r="F13" s="597"/>
      <c r="G13" s="540" t="s">
        <v>3388</v>
      </c>
      <c r="H13" s="541">
        <v>25.5</v>
      </c>
      <c r="I13" s="597"/>
      <c r="J13" s="540" t="s">
        <v>5585</v>
      </c>
      <c r="K13" s="541">
        <v>19.5</v>
      </c>
      <c r="L13" s="597"/>
      <c r="M13" s="540" t="s">
        <v>147</v>
      </c>
      <c r="N13" s="541">
        <v>4.25</v>
      </c>
      <c r="O13" s="597"/>
      <c r="P13" s="540" t="s">
        <v>219</v>
      </c>
      <c r="Q13" s="541">
        <v>6</v>
      </c>
      <c r="R13" s="597"/>
      <c r="S13" s="542" t="s">
        <v>314</v>
      </c>
      <c r="T13" s="543">
        <v>26.5</v>
      </c>
      <c r="U13" s="599"/>
      <c r="V13" s="540" t="s">
        <v>4716</v>
      </c>
      <c r="W13" s="541">
        <v>23</v>
      </c>
      <c r="X13" s="597"/>
      <c r="Y13" s="540" t="s">
        <v>5487</v>
      </c>
      <c r="Z13" s="541">
        <v>21.25</v>
      </c>
      <c r="AA13" s="597"/>
      <c r="AB13" s="542" t="s">
        <v>417</v>
      </c>
      <c r="AC13" s="543">
        <v>10.5</v>
      </c>
      <c r="AD13" s="601"/>
      <c r="AE13" s="540" t="s">
        <v>211</v>
      </c>
      <c r="AF13" s="541">
        <v>12</v>
      </c>
      <c r="AG13" s="597"/>
      <c r="AH13" s="542" t="s">
        <v>450</v>
      </c>
      <c r="AI13" s="543">
        <v>22.25</v>
      </c>
      <c r="AJ13" s="601"/>
      <c r="AK13" s="542" t="s">
        <v>319</v>
      </c>
      <c r="AL13" s="543">
        <v>15</v>
      </c>
      <c r="AM13" s="601"/>
      <c r="AN13" s="542" t="s">
        <v>388</v>
      </c>
      <c r="AO13" s="543">
        <v>18.75</v>
      </c>
      <c r="AP13" s="601"/>
      <c r="AQ13" s="540" t="s">
        <v>3081</v>
      </c>
      <c r="AR13" s="541">
        <v>26.5</v>
      </c>
      <c r="AS13" s="597"/>
      <c r="AT13" s="540" t="s">
        <v>484</v>
      </c>
      <c r="AU13" s="541">
        <v>27.5</v>
      </c>
      <c r="AV13" s="597"/>
      <c r="AW13" s="540" t="s">
        <v>3339</v>
      </c>
      <c r="AX13" s="541">
        <v>24.5</v>
      </c>
      <c r="AY13" s="597"/>
      <c r="BJ13" s="47"/>
      <c r="BK13" s="47"/>
      <c r="BL13" s="47"/>
      <c r="BM13" s="47"/>
      <c r="BN13" s="47"/>
      <c r="BO13" s="47"/>
      <c r="BP13" s="47"/>
    </row>
    <row r="14" spans="1:72" x14ac:dyDescent="0.25">
      <c r="A14" s="540" t="s">
        <v>373</v>
      </c>
      <c r="B14" s="541">
        <v>9.75</v>
      </c>
      <c r="C14" s="597"/>
      <c r="D14" s="540" t="s">
        <v>5651</v>
      </c>
      <c r="E14" s="541">
        <v>24.75</v>
      </c>
      <c r="F14" s="597"/>
      <c r="G14" s="540" t="s">
        <v>5321</v>
      </c>
      <c r="H14" s="541">
        <v>23</v>
      </c>
      <c r="I14" s="597"/>
      <c r="J14" s="540" t="s">
        <v>5473</v>
      </c>
      <c r="K14" s="541">
        <v>19.5</v>
      </c>
      <c r="L14" s="597"/>
      <c r="M14" s="540" t="s">
        <v>5436</v>
      </c>
      <c r="N14" s="541">
        <v>10</v>
      </c>
      <c r="O14" s="597"/>
      <c r="P14" s="540" t="s">
        <v>5408</v>
      </c>
      <c r="Q14" s="541">
        <v>5.5</v>
      </c>
      <c r="R14" s="597"/>
      <c r="S14" s="527" t="s">
        <v>3790</v>
      </c>
      <c r="T14" s="539">
        <v>14.5</v>
      </c>
      <c r="U14" s="596" t="s">
        <v>12663</v>
      </c>
      <c r="V14" s="540" t="s">
        <v>293</v>
      </c>
      <c r="W14" s="541">
        <v>23</v>
      </c>
      <c r="X14" s="597"/>
      <c r="Y14" s="540" t="s">
        <v>5304</v>
      </c>
      <c r="Z14" s="541">
        <v>21.25</v>
      </c>
      <c r="AA14" s="597"/>
      <c r="AB14" s="527" t="s">
        <v>501</v>
      </c>
      <c r="AC14" s="539">
        <v>29</v>
      </c>
      <c r="AD14" s="596" t="s">
        <v>12663</v>
      </c>
      <c r="AE14" s="540" t="s">
        <v>117</v>
      </c>
      <c r="AF14" s="541">
        <v>9.5</v>
      </c>
      <c r="AG14" s="597"/>
      <c r="AH14" s="527" t="s">
        <v>3726</v>
      </c>
      <c r="AI14" s="539">
        <v>29.5</v>
      </c>
      <c r="AJ14" s="596" t="s">
        <v>12663</v>
      </c>
      <c r="AK14" s="527" t="s">
        <v>5121</v>
      </c>
      <c r="AL14" s="539">
        <v>31.75</v>
      </c>
      <c r="AM14" s="596" t="s">
        <v>12663</v>
      </c>
      <c r="AN14" s="527" t="s">
        <v>3148</v>
      </c>
      <c r="AO14" s="539">
        <v>30</v>
      </c>
      <c r="AP14" s="596" t="s">
        <v>12663</v>
      </c>
      <c r="AQ14" s="540" t="s">
        <v>5452</v>
      </c>
      <c r="AR14" s="541">
        <v>25.75</v>
      </c>
      <c r="AS14" s="597"/>
      <c r="AT14" s="540" t="s">
        <v>5267</v>
      </c>
      <c r="AU14" s="541">
        <v>26.5</v>
      </c>
      <c r="AV14" s="597"/>
      <c r="AW14" s="540" t="s">
        <v>3274</v>
      </c>
      <c r="AX14" s="541">
        <v>24.5</v>
      </c>
      <c r="AY14" s="597"/>
      <c r="BJ14" s="47"/>
      <c r="BK14" s="47"/>
      <c r="BL14" s="47"/>
      <c r="BM14" s="47"/>
      <c r="BN14" s="47"/>
      <c r="BO14" s="47"/>
      <c r="BP14" s="47"/>
    </row>
    <row r="15" spans="1:72" ht="15.75" thickBot="1" x14ac:dyDescent="0.3">
      <c r="A15" s="540" t="s">
        <v>351</v>
      </c>
      <c r="B15" s="541">
        <v>8.25</v>
      </c>
      <c r="C15" s="597"/>
      <c r="D15" s="540" t="s">
        <v>1920</v>
      </c>
      <c r="E15" s="541">
        <v>24.25</v>
      </c>
      <c r="F15" s="597"/>
      <c r="G15" s="542" t="s">
        <v>4962</v>
      </c>
      <c r="H15" s="543">
        <v>14.25</v>
      </c>
      <c r="I15" s="601"/>
      <c r="J15" s="540" t="s">
        <v>4651</v>
      </c>
      <c r="K15" s="541">
        <v>19.25</v>
      </c>
      <c r="L15" s="597"/>
      <c r="M15" s="540" t="s">
        <v>4928</v>
      </c>
      <c r="N15" s="541">
        <v>8.75</v>
      </c>
      <c r="O15" s="597"/>
      <c r="P15" s="540" t="s">
        <v>149</v>
      </c>
      <c r="Q15" s="541">
        <v>6.25</v>
      </c>
      <c r="R15" s="597"/>
      <c r="S15" s="540" t="s">
        <v>404</v>
      </c>
      <c r="T15" s="541">
        <v>26</v>
      </c>
      <c r="U15" s="597"/>
      <c r="V15" s="540" t="s">
        <v>3668</v>
      </c>
      <c r="W15" s="541">
        <v>22.75</v>
      </c>
      <c r="X15" s="597"/>
      <c r="Y15" s="540" t="s">
        <v>3381</v>
      </c>
      <c r="Z15" s="541">
        <v>21.25</v>
      </c>
      <c r="AA15" s="597"/>
      <c r="AB15" s="540" t="s">
        <v>4638</v>
      </c>
      <c r="AC15" s="541">
        <v>29</v>
      </c>
      <c r="AD15" s="597"/>
      <c r="AE15" s="540" t="s">
        <v>114</v>
      </c>
      <c r="AF15" s="541">
        <v>4.5</v>
      </c>
      <c r="AG15" s="597"/>
      <c r="AH15" s="540" t="s">
        <v>4327</v>
      </c>
      <c r="AI15" s="541">
        <v>29.5</v>
      </c>
      <c r="AJ15" s="597"/>
      <c r="AK15" s="540" t="s">
        <v>353</v>
      </c>
      <c r="AL15" s="541">
        <v>30.75</v>
      </c>
      <c r="AM15" s="597"/>
      <c r="AN15" s="540" t="s">
        <v>3152</v>
      </c>
      <c r="AO15" s="541">
        <v>30</v>
      </c>
      <c r="AP15" s="597"/>
      <c r="AQ15" s="540" t="s">
        <v>339</v>
      </c>
      <c r="AR15" s="541">
        <v>10.5</v>
      </c>
      <c r="AS15" s="597"/>
      <c r="AT15" s="540" t="s">
        <v>457</v>
      </c>
      <c r="AU15" s="541">
        <v>20.5</v>
      </c>
      <c r="AV15" s="597"/>
      <c r="AW15" s="540" t="s">
        <v>2962</v>
      </c>
      <c r="AX15" s="541">
        <v>24</v>
      </c>
      <c r="AY15" s="597"/>
      <c r="BJ15" s="47"/>
      <c r="BK15" s="47"/>
      <c r="BL15" s="47"/>
      <c r="BM15" s="47"/>
      <c r="BN15" s="47"/>
      <c r="BO15" s="47"/>
      <c r="BP15" s="47"/>
    </row>
    <row r="16" spans="1:72" ht="15.75" thickBot="1" x14ac:dyDescent="0.3">
      <c r="A16" s="540" t="s">
        <v>341</v>
      </c>
      <c r="B16" s="541">
        <v>8.25</v>
      </c>
      <c r="C16" s="597"/>
      <c r="D16" s="542" t="s">
        <v>4445</v>
      </c>
      <c r="E16" s="543">
        <v>19</v>
      </c>
      <c r="F16" s="601"/>
      <c r="G16" s="527" t="s">
        <v>5619</v>
      </c>
      <c r="H16" s="539">
        <v>23.25</v>
      </c>
      <c r="I16" s="596" t="s">
        <v>12663</v>
      </c>
      <c r="J16" s="540" t="s">
        <v>4822</v>
      </c>
      <c r="K16" s="541">
        <v>19.25</v>
      </c>
      <c r="L16" s="597"/>
      <c r="M16" s="540" t="s">
        <v>5497</v>
      </c>
      <c r="N16" s="541">
        <v>4.75</v>
      </c>
      <c r="O16" s="597"/>
      <c r="P16" s="540" t="s">
        <v>145</v>
      </c>
      <c r="Q16" s="541">
        <v>6.75</v>
      </c>
      <c r="R16" s="597"/>
      <c r="S16" s="540" t="s">
        <v>5715</v>
      </c>
      <c r="T16" s="541">
        <v>25.75</v>
      </c>
      <c r="U16" s="598"/>
      <c r="V16" s="540" t="s">
        <v>3650</v>
      </c>
      <c r="W16" s="541">
        <v>20.75</v>
      </c>
      <c r="X16" s="597"/>
      <c r="Y16" s="540" t="s">
        <v>5454</v>
      </c>
      <c r="Z16" s="541">
        <v>21</v>
      </c>
      <c r="AA16" s="597"/>
      <c r="AB16" s="540" t="s">
        <v>5480</v>
      </c>
      <c r="AC16" s="541">
        <v>29</v>
      </c>
      <c r="AD16" s="597"/>
      <c r="AE16" s="540" t="s">
        <v>97</v>
      </c>
      <c r="AF16" s="541">
        <v>4.5</v>
      </c>
      <c r="AG16" s="597"/>
      <c r="AH16" s="540" t="s">
        <v>4529</v>
      </c>
      <c r="AI16" s="541">
        <v>29</v>
      </c>
      <c r="AJ16" s="597"/>
      <c r="AK16" s="540" t="s">
        <v>5616</v>
      </c>
      <c r="AL16" s="541">
        <v>30.5</v>
      </c>
      <c r="AM16" s="597"/>
      <c r="AN16" s="540" t="s">
        <v>5703</v>
      </c>
      <c r="AO16" s="541">
        <v>29.75</v>
      </c>
      <c r="AP16" s="597"/>
      <c r="AQ16" s="540" t="s">
        <v>415</v>
      </c>
      <c r="AR16" s="541">
        <v>9.5</v>
      </c>
      <c r="AS16" s="597"/>
      <c r="AT16" s="540" t="s">
        <v>378</v>
      </c>
      <c r="AU16" s="541">
        <v>9.5</v>
      </c>
      <c r="AV16" s="597"/>
      <c r="AW16" s="540" t="s">
        <v>4644</v>
      </c>
      <c r="AX16" s="541">
        <v>22.5</v>
      </c>
      <c r="AY16" s="597"/>
      <c r="BJ16" s="47"/>
      <c r="BK16" s="47"/>
      <c r="BL16" s="47"/>
      <c r="BM16" s="47"/>
      <c r="BN16" s="47"/>
      <c r="BO16" s="47"/>
      <c r="BP16" s="47"/>
    </row>
    <row r="17" spans="1:68" ht="15.75" thickBot="1" x14ac:dyDescent="0.3">
      <c r="A17" s="540" t="s">
        <v>5436</v>
      </c>
      <c r="B17" s="541">
        <v>10</v>
      </c>
      <c r="C17" s="597"/>
      <c r="D17" s="527" t="s">
        <v>5663</v>
      </c>
      <c r="E17" s="539">
        <v>18</v>
      </c>
      <c r="F17" s="596" t="s">
        <v>12663</v>
      </c>
      <c r="G17" s="540" t="s">
        <v>5570</v>
      </c>
      <c r="H17" s="541">
        <v>22.5</v>
      </c>
      <c r="I17" s="597"/>
      <c r="J17" s="540" t="s">
        <v>1475</v>
      </c>
      <c r="K17" s="541">
        <v>19</v>
      </c>
      <c r="L17" s="597"/>
      <c r="M17" s="540" t="s">
        <v>63</v>
      </c>
      <c r="N17" s="541">
        <v>3.25</v>
      </c>
      <c r="O17" s="597"/>
      <c r="P17" s="540" t="s">
        <v>143</v>
      </c>
      <c r="Q17" s="541">
        <v>6.25</v>
      </c>
      <c r="R17" s="597"/>
      <c r="S17" s="540" t="s">
        <v>5762</v>
      </c>
      <c r="T17" s="541">
        <v>25.5</v>
      </c>
      <c r="U17" s="598"/>
      <c r="V17" s="542" t="s">
        <v>3996</v>
      </c>
      <c r="W17" s="543">
        <v>8.25</v>
      </c>
      <c r="X17" s="601"/>
      <c r="Y17" s="542" t="s">
        <v>27</v>
      </c>
      <c r="Z17" s="543">
        <v>18.75</v>
      </c>
      <c r="AA17" s="601"/>
      <c r="AB17" s="540" t="s">
        <v>3984</v>
      </c>
      <c r="AC17" s="541">
        <v>22.75</v>
      </c>
      <c r="AD17" s="597"/>
      <c r="AE17" s="540" t="s">
        <v>74</v>
      </c>
      <c r="AF17" s="541">
        <v>10.5</v>
      </c>
      <c r="AG17" s="597"/>
      <c r="AH17" s="540" t="s">
        <v>3292</v>
      </c>
      <c r="AI17" s="541">
        <v>29</v>
      </c>
      <c r="AJ17" s="597"/>
      <c r="AK17" s="540" t="s">
        <v>5465</v>
      </c>
      <c r="AL17" s="541">
        <v>30.25</v>
      </c>
      <c r="AM17" s="597"/>
      <c r="AN17" s="540" t="s">
        <v>2024</v>
      </c>
      <c r="AO17" s="541">
        <v>29.75</v>
      </c>
      <c r="AP17" s="597"/>
      <c r="AQ17" s="542" t="s">
        <v>368</v>
      </c>
      <c r="AR17" s="543">
        <v>9</v>
      </c>
      <c r="AS17" s="601"/>
      <c r="AT17" s="540" t="s">
        <v>333</v>
      </c>
      <c r="AU17" s="541">
        <v>9.5</v>
      </c>
      <c r="AV17" s="597"/>
      <c r="AW17" s="542" t="s">
        <v>152</v>
      </c>
      <c r="AX17" s="543">
        <v>22.5</v>
      </c>
      <c r="AY17" s="601"/>
      <c r="BJ17" s="47"/>
      <c r="BK17" s="47"/>
      <c r="BL17" s="47"/>
      <c r="BM17" s="47"/>
      <c r="BN17" s="47"/>
      <c r="BO17" s="47"/>
      <c r="BP17" s="47"/>
    </row>
    <row r="18" spans="1:68" x14ac:dyDescent="0.25">
      <c r="A18" s="540" t="s">
        <v>5620</v>
      </c>
      <c r="B18" s="541">
        <v>21.75</v>
      </c>
      <c r="C18" s="597"/>
      <c r="D18" s="540" t="s">
        <v>419</v>
      </c>
      <c r="E18" s="541">
        <v>11.5</v>
      </c>
      <c r="F18" s="597"/>
      <c r="G18" s="540" t="s">
        <v>5002</v>
      </c>
      <c r="H18" s="541">
        <v>8.5</v>
      </c>
      <c r="I18" s="597"/>
      <c r="J18" s="540" t="s">
        <v>5025</v>
      </c>
      <c r="K18" s="541">
        <v>19</v>
      </c>
      <c r="L18" s="597"/>
      <c r="M18" s="540" t="s">
        <v>4969</v>
      </c>
      <c r="N18" s="541">
        <v>10.75</v>
      </c>
      <c r="O18" s="597"/>
      <c r="P18" s="540" t="s">
        <v>5204</v>
      </c>
      <c r="Q18" s="541">
        <v>6.75</v>
      </c>
      <c r="R18" s="597"/>
      <c r="S18" s="540" t="s">
        <v>5734</v>
      </c>
      <c r="T18" s="541">
        <v>25.25</v>
      </c>
      <c r="U18" s="598"/>
      <c r="V18" s="527" t="s">
        <v>3329</v>
      </c>
      <c r="W18" s="539">
        <v>23.5</v>
      </c>
      <c r="X18" s="596" t="s">
        <v>12663</v>
      </c>
      <c r="Y18" s="527" t="s">
        <v>1126</v>
      </c>
      <c r="Z18" s="539">
        <v>18.25</v>
      </c>
      <c r="AA18" s="596" t="s">
        <v>12663</v>
      </c>
      <c r="AB18" s="540" t="s">
        <v>2374</v>
      </c>
      <c r="AC18" s="541">
        <v>29</v>
      </c>
      <c r="AD18" s="597"/>
      <c r="AE18" s="540" t="s">
        <v>65</v>
      </c>
      <c r="AF18" s="541">
        <v>6.5</v>
      </c>
      <c r="AG18" s="597"/>
      <c r="AH18" s="540" t="s">
        <v>2531</v>
      </c>
      <c r="AI18" s="541">
        <v>28.75</v>
      </c>
      <c r="AJ18" s="597"/>
      <c r="AK18" s="540" t="s">
        <v>3537</v>
      </c>
      <c r="AL18" s="541">
        <v>29.75</v>
      </c>
      <c r="AM18" s="597"/>
      <c r="AN18" s="540" t="s">
        <v>4570</v>
      </c>
      <c r="AO18" s="541">
        <v>29.75</v>
      </c>
      <c r="AP18" s="597"/>
      <c r="AQ18" s="527" t="s">
        <v>137</v>
      </c>
      <c r="AR18" s="539">
        <v>31.75</v>
      </c>
      <c r="AS18" s="596" t="s">
        <v>12663</v>
      </c>
      <c r="AT18" s="540" t="s">
        <v>343</v>
      </c>
      <c r="AU18" s="541">
        <v>8.75</v>
      </c>
      <c r="AV18" s="597"/>
      <c r="AW18" s="527" t="s">
        <v>273</v>
      </c>
      <c r="AX18" s="539">
        <v>28</v>
      </c>
      <c r="AY18" s="596" t="s">
        <v>12663</v>
      </c>
      <c r="BJ18" s="47"/>
      <c r="BK18" s="47"/>
      <c r="BL18" s="47"/>
      <c r="BM18" s="47"/>
      <c r="BN18" s="47"/>
      <c r="BO18" s="47"/>
      <c r="BP18" s="47"/>
    </row>
    <row r="19" spans="1:68" ht="15.75" thickBot="1" x14ac:dyDescent="0.3">
      <c r="A19" s="540" t="s">
        <v>4802</v>
      </c>
      <c r="B19" s="541">
        <v>24.5</v>
      </c>
      <c r="C19" s="597"/>
      <c r="D19" s="540" t="s">
        <v>5438</v>
      </c>
      <c r="E19" s="541">
        <v>11.75</v>
      </c>
      <c r="F19" s="597"/>
      <c r="G19" s="540" t="s">
        <v>193</v>
      </c>
      <c r="H19" s="541">
        <v>23.5</v>
      </c>
      <c r="I19" s="597"/>
      <c r="J19" s="542" t="s">
        <v>5126</v>
      </c>
      <c r="K19" s="543">
        <v>13.5</v>
      </c>
      <c r="L19" s="601"/>
      <c r="M19" s="540" t="s">
        <v>21</v>
      </c>
      <c r="N19" s="541">
        <v>5</v>
      </c>
      <c r="O19" s="597"/>
      <c r="P19" s="540" t="s">
        <v>95</v>
      </c>
      <c r="Q19" s="541">
        <v>3.5</v>
      </c>
      <c r="R19" s="597"/>
      <c r="S19" s="540" t="s">
        <v>2103</v>
      </c>
      <c r="T19" s="541">
        <v>25.5</v>
      </c>
      <c r="U19" s="598"/>
      <c r="V19" s="540" t="s">
        <v>4211</v>
      </c>
      <c r="W19" s="541">
        <v>23.5</v>
      </c>
      <c r="X19" s="597"/>
      <c r="Y19" s="540" t="s">
        <v>446</v>
      </c>
      <c r="Z19" s="541">
        <v>19.5</v>
      </c>
      <c r="AA19" s="597"/>
      <c r="AB19" s="542" t="s">
        <v>5647</v>
      </c>
      <c r="AC19" s="543">
        <v>29.25</v>
      </c>
      <c r="AD19" s="601"/>
      <c r="AE19" s="540" t="s">
        <v>24</v>
      </c>
      <c r="AF19" s="541">
        <v>11</v>
      </c>
      <c r="AG19" s="597"/>
      <c r="AH19" s="542" t="s">
        <v>450</v>
      </c>
      <c r="AI19" s="543">
        <v>22.25</v>
      </c>
      <c r="AJ19" s="601"/>
      <c r="AK19" s="542" t="s">
        <v>319</v>
      </c>
      <c r="AL19" s="543">
        <v>15</v>
      </c>
      <c r="AM19" s="601"/>
      <c r="AN19" s="542" t="s">
        <v>388</v>
      </c>
      <c r="AO19" s="543">
        <v>18.75</v>
      </c>
      <c r="AP19" s="601"/>
      <c r="AQ19" s="540" t="s">
        <v>234</v>
      </c>
      <c r="AR19" s="541">
        <v>28</v>
      </c>
      <c r="AS19" s="597"/>
      <c r="AT19" s="542" t="s">
        <v>8728</v>
      </c>
      <c r="AU19" s="543">
        <v>8</v>
      </c>
      <c r="AV19" s="601"/>
      <c r="AW19" s="540" t="s">
        <v>5768</v>
      </c>
      <c r="AX19" s="541">
        <v>27.75</v>
      </c>
      <c r="AY19" s="597"/>
      <c r="BJ19" s="47"/>
      <c r="BK19" s="47"/>
      <c r="BL19" s="47"/>
      <c r="BM19" s="47"/>
      <c r="BN19" s="47"/>
      <c r="BO19" s="47"/>
      <c r="BP19" s="47"/>
    </row>
    <row r="20" spans="1:68" ht="15.75" thickBot="1" x14ac:dyDescent="0.3">
      <c r="A20" s="540" t="s">
        <v>113</v>
      </c>
      <c r="B20" s="541">
        <v>9.25</v>
      </c>
      <c r="C20" s="597"/>
      <c r="D20" s="540" t="s">
        <v>5196</v>
      </c>
      <c r="E20" s="541">
        <v>17.5</v>
      </c>
      <c r="F20" s="597"/>
      <c r="G20" s="540" t="s">
        <v>5185</v>
      </c>
      <c r="H20" s="541">
        <v>20.75</v>
      </c>
      <c r="I20" s="597"/>
      <c r="J20" s="527" t="s">
        <v>5443</v>
      </c>
      <c r="K20" s="539">
        <v>18.5</v>
      </c>
      <c r="L20" s="596" t="s">
        <v>12663</v>
      </c>
      <c r="M20" s="540" t="s">
        <v>18</v>
      </c>
      <c r="N20" s="541">
        <v>4.5</v>
      </c>
      <c r="O20" s="597"/>
      <c r="P20" s="540" t="s">
        <v>93</v>
      </c>
      <c r="Q20" s="541">
        <v>12</v>
      </c>
      <c r="R20" s="597"/>
      <c r="S20" s="542" t="s">
        <v>5721</v>
      </c>
      <c r="T20" s="543">
        <v>25.5</v>
      </c>
      <c r="U20" s="599"/>
      <c r="V20" s="540" t="s">
        <v>4562</v>
      </c>
      <c r="W20" s="541">
        <v>23.25</v>
      </c>
      <c r="X20" s="597"/>
      <c r="Y20" s="540" t="s">
        <v>306</v>
      </c>
      <c r="Z20" s="541">
        <v>19.5</v>
      </c>
      <c r="AA20" s="597"/>
      <c r="AB20" s="527" t="s">
        <v>5647</v>
      </c>
      <c r="AC20" s="539">
        <v>29.25</v>
      </c>
      <c r="AD20" s="596" t="s">
        <v>12663</v>
      </c>
      <c r="AE20" s="542" t="s">
        <v>3</v>
      </c>
      <c r="AF20" s="543">
        <v>8.5</v>
      </c>
      <c r="AG20" s="601"/>
      <c r="AH20" s="527" t="s">
        <v>4816</v>
      </c>
      <c r="AI20" s="539">
        <v>25.25</v>
      </c>
      <c r="AJ20" s="596" t="s">
        <v>12663</v>
      </c>
      <c r="AK20" s="527" t="s">
        <v>2614</v>
      </c>
      <c r="AL20" s="539">
        <v>24.25</v>
      </c>
      <c r="AM20" s="596" t="s">
        <v>12663</v>
      </c>
      <c r="AN20" s="527" t="s">
        <v>4548</v>
      </c>
      <c r="AO20" s="539">
        <v>27</v>
      </c>
      <c r="AP20" s="596" t="s">
        <v>12663</v>
      </c>
      <c r="AQ20" s="540" t="s">
        <v>4088</v>
      </c>
      <c r="AR20" s="541">
        <v>27</v>
      </c>
      <c r="AS20" s="597"/>
      <c r="AT20" s="527" t="s">
        <v>5163</v>
      </c>
      <c r="AU20" s="539">
        <v>29.25</v>
      </c>
      <c r="AV20" s="596" t="s">
        <v>12663</v>
      </c>
      <c r="AW20" s="540" t="s">
        <v>5741</v>
      </c>
      <c r="AX20" s="541">
        <v>27.75</v>
      </c>
      <c r="AY20" s="597"/>
      <c r="BJ20" s="47"/>
      <c r="BK20" s="47"/>
      <c r="BL20" s="47"/>
      <c r="BM20" s="47"/>
      <c r="BN20" s="47"/>
      <c r="BO20" s="47"/>
      <c r="BP20" s="47"/>
    </row>
    <row r="21" spans="1:68" x14ac:dyDescent="0.25">
      <c r="A21" s="540" t="s">
        <v>100</v>
      </c>
      <c r="B21" s="541">
        <v>9.75</v>
      </c>
      <c r="C21" s="597"/>
      <c r="D21" s="540" t="s">
        <v>316</v>
      </c>
      <c r="E21" s="541">
        <v>17.25</v>
      </c>
      <c r="F21" s="597"/>
      <c r="G21" s="540" t="s">
        <v>87</v>
      </c>
      <c r="H21" s="541">
        <v>20.75</v>
      </c>
      <c r="I21" s="597"/>
      <c r="J21" s="540" t="s">
        <v>3950</v>
      </c>
      <c r="K21" s="541">
        <v>18.75</v>
      </c>
      <c r="L21" s="597"/>
      <c r="M21" s="540" t="s">
        <v>15</v>
      </c>
      <c r="N21" s="541">
        <v>4.25</v>
      </c>
      <c r="O21" s="597"/>
      <c r="P21" s="540" t="s">
        <v>4439</v>
      </c>
      <c r="Q21" s="541">
        <v>11.75</v>
      </c>
      <c r="R21" s="597"/>
      <c r="S21" s="527" t="s">
        <v>404</v>
      </c>
      <c r="T21" s="539">
        <v>26</v>
      </c>
      <c r="U21" s="596" t="s">
        <v>12663</v>
      </c>
      <c r="V21" s="540" t="s">
        <v>4716</v>
      </c>
      <c r="W21" s="541">
        <v>23</v>
      </c>
      <c r="X21" s="597"/>
      <c r="Y21" s="540" t="s">
        <v>279</v>
      </c>
      <c r="Z21" s="541">
        <v>4.75</v>
      </c>
      <c r="AA21" s="597"/>
      <c r="AB21" s="540" t="s">
        <v>501</v>
      </c>
      <c r="AC21" s="541">
        <v>29</v>
      </c>
      <c r="AD21" s="597"/>
      <c r="AE21" s="527" t="s">
        <v>263</v>
      </c>
      <c r="AF21" s="539">
        <v>12</v>
      </c>
      <c r="AG21" s="596" t="s">
        <v>12663</v>
      </c>
      <c r="AH21" s="540" t="s">
        <v>452</v>
      </c>
      <c r="AI21" s="541">
        <v>25.25</v>
      </c>
      <c r="AJ21" s="597"/>
      <c r="AK21" s="540" t="s">
        <v>763</v>
      </c>
      <c r="AL21" s="541">
        <v>28</v>
      </c>
      <c r="AM21" s="597"/>
      <c r="AN21" s="540" t="s">
        <v>4324</v>
      </c>
      <c r="AO21" s="541">
        <v>26.75</v>
      </c>
      <c r="AP21" s="597"/>
      <c r="AQ21" s="540" t="s">
        <v>3081</v>
      </c>
      <c r="AR21" s="541">
        <v>26.5</v>
      </c>
      <c r="AS21" s="597"/>
      <c r="AT21" s="540" t="s">
        <v>5089</v>
      </c>
      <c r="AU21" s="541">
        <v>28.5</v>
      </c>
      <c r="AV21" s="597"/>
      <c r="AW21" s="540" t="s">
        <v>4835</v>
      </c>
      <c r="AX21" s="541">
        <v>27.75</v>
      </c>
      <c r="AY21" s="597"/>
      <c r="BJ21" s="47"/>
      <c r="BK21" s="47"/>
      <c r="BL21" s="47"/>
      <c r="BM21" s="47"/>
      <c r="BN21" s="47"/>
      <c r="BO21" s="47"/>
      <c r="BP21" s="47"/>
    </row>
    <row r="22" spans="1:68" x14ac:dyDescent="0.25">
      <c r="A22" s="540" t="s">
        <v>4969</v>
      </c>
      <c r="B22" s="541">
        <v>10.75</v>
      </c>
      <c r="C22" s="597"/>
      <c r="D22" s="540" t="s">
        <v>224</v>
      </c>
      <c r="E22" s="541">
        <v>13</v>
      </c>
      <c r="F22" s="597"/>
      <c r="G22" s="540" t="s">
        <v>5313</v>
      </c>
      <c r="H22" s="541">
        <v>23.5</v>
      </c>
      <c r="I22" s="597"/>
      <c r="J22" s="540" t="s">
        <v>454</v>
      </c>
      <c r="K22" s="541">
        <v>18.5</v>
      </c>
      <c r="L22" s="597"/>
      <c r="M22" s="540" t="s">
        <v>166</v>
      </c>
      <c r="N22" s="541">
        <v>8.5</v>
      </c>
      <c r="O22" s="597"/>
      <c r="P22" s="540" t="s">
        <v>47</v>
      </c>
      <c r="Q22" s="541">
        <v>6</v>
      </c>
      <c r="R22" s="597"/>
      <c r="S22" s="540" t="s">
        <v>5715</v>
      </c>
      <c r="T22" s="541">
        <v>25.75</v>
      </c>
      <c r="U22" s="597"/>
      <c r="V22" s="540" t="s">
        <v>293</v>
      </c>
      <c r="W22" s="541">
        <v>23</v>
      </c>
      <c r="X22" s="597"/>
      <c r="Y22" s="540" t="s">
        <v>5019</v>
      </c>
      <c r="Z22" s="541">
        <v>19.25</v>
      </c>
      <c r="AA22" s="597"/>
      <c r="AB22" s="540" t="s">
        <v>4638</v>
      </c>
      <c r="AC22" s="541">
        <v>29</v>
      </c>
      <c r="AD22" s="597"/>
      <c r="AE22" s="540" t="s">
        <v>215</v>
      </c>
      <c r="AF22" s="541">
        <v>12</v>
      </c>
      <c r="AG22" s="597"/>
      <c r="AH22" s="540" t="s">
        <v>422</v>
      </c>
      <c r="AI22" s="541">
        <v>16</v>
      </c>
      <c r="AJ22" s="597"/>
      <c r="AK22" s="540" t="s">
        <v>361</v>
      </c>
      <c r="AL22" s="541">
        <v>5.25</v>
      </c>
      <c r="AM22" s="597"/>
      <c r="AN22" s="540" t="s">
        <v>304</v>
      </c>
      <c r="AO22" s="541">
        <v>8.25</v>
      </c>
      <c r="AP22" s="597"/>
      <c r="AQ22" s="540" t="s">
        <v>5452</v>
      </c>
      <c r="AR22" s="541">
        <v>25.75</v>
      </c>
      <c r="AS22" s="597"/>
      <c r="AT22" s="540" t="s">
        <v>484</v>
      </c>
      <c r="AU22" s="541">
        <v>27.5</v>
      </c>
      <c r="AV22" s="597"/>
      <c r="AW22" s="540" t="s">
        <v>5732</v>
      </c>
      <c r="AX22" s="541">
        <v>27.5</v>
      </c>
      <c r="AY22" s="597"/>
      <c r="BJ22" s="47"/>
      <c r="BK22" s="47"/>
      <c r="BL22" s="47"/>
      <c r="BM22" s="47"/>
      <c r="BN22" s="47"/>
      <c r="BO22" s="47"/>
      <c r="BP22" s="47"/>
    </row>
    <row r="23" spans="1:68" ht="15.75" thickBot="1" x14ac:dyDescent="0.3">
      <c r="A23" s="540" t="s">
        <v>5620</v>
      </c>
      <c r="B23" s="541">
        <v>21.75</v>
      </c>
      <c r="C23" s="597"/>
      <c r="D23" s="540" t="s">
        <v>3243</v>
      </c>
      <c r="E23" s="541">
        <v>11</v>
      </c>
      <c r="F23" s="598"/>
      <c r="G23" s="542" t="s">
        <v>9</v>
      </c>
      <c r="H23" s="543">
        <v>25.25</v>
      </c>
      <c r="I23" s="601"/>
      <c r="J23" s="540" t="s">
        <v>5128</v>
      </c>
      <c r="K23" s="541">
        <v>18.5</v>
      </c>
      <c r="L23" s="597"/>
      <c r="M23" s="542" t="s">
        <v>68</v>
      </c>
      <c r="N23" s="543">
        <v>7.75</v>
      </c>
      <c r="O23" s="601"/>
      <c r="P23" s="540" t="s">
        <v>34</v>
      </c>
      <c r="Q23" s="541">
        <v>7.5</v>
      </c>
      <c r="R23" s="597"/>
      <c r="S23" s="540" t="s">
        <v>5762</v>
      </c>
      <c r="T23" s="541">
        <v>25.5</v>
      </c>
      <c r="U23" s="598"/>
      <c r="V23" s="540" t="s">
        <v>3668</v>
      </c>
      <c r="W23" s="541">
        <v>22.75</v>
      </c>
      <c r="X23" s="597"/>
      <c r="Y23" s="540" t="s">
        <v>157</v>
      </c>
      <c r="Z23" s="541">
        <v>19.25</v>
      </c>
      <c r="AA23" s="597"/>
      <c r="AB23" s="540" t="s">
        <v>5480</v>
      </c>
      <c r="AC23" s="541">
        <v>29</v>
      </c>
      <c r="AD23" s="597"/>
      <c r="AE23" s="540" t="s">
        <v>211</v>
      </c>
      <c r="AF23" s="541">
        <v>12</v>
      </c>
      <c r="AG23" s="597"/>
      <c r="AH23" s="540" t="s">
        <v>359</v>
      </c>
      <c r="AI23" s="541">
        <v>24.25</v>
      </c>
      <c r="AJ23" s="597"/>
      <c r="AK23" s="540" t="s">
        <v>326</v>
      </c>
      <c r="AL23" s="541">
        <v>28</v>
      </c>
      <c r="AM23" s="597"/>
      <c r="AN23" s="540" t="s">
        <v>266</v>
      </c>
      <c r="AO23" s="541">
        <v>26.25</v>
      </c>
      <c r="AP23" s="597"/>
      <c r="AQ23" s="540" t="s">
        <v>339</v>
      </c>
      <c r="AR23" s="541">
        <v>10.5</v>
      </c>
      <c r="AS23" s="597"/>
      <c r="AT23" s="540" t="s">
        <v>5267</v>
      </c>
      <c r="AU23" s="541">
        <v>26.5</v>
      </c>
      <c r="AV23" s="597"/>
      <c r="AW23" s="540" t="s">
        <v>5035</v>
      </c>
      <c r="AX23" s="541">
        <v>15</v>
      </c>
      <c r="AY23" s="597"/>
      <c r="BJ23" s="47"/>
      <c r="BK23" s="47"/>
      <c r="BL23" s="47"/>
      <c r="BM23" s="47"/>
      <c r="BN23" s="47"/>
      <c r="BO23" s="47"/>
      <c r="BP23" s="47"/>
    </row>
    <row r="24" spans="1:68" ht="15.75" thickBot="1" x14ac:dyDescent="0.3">
      <c r="A24" s="542" t="s">
        <v>4802</v>
      </c>
      <c r="B24" s="543">
        <v>24.5</v>
      </c>
      <c r="C24" s="601"/>
      <c r="D24" s="540" t="s">
        <v>175</v>
      </c>
      <c r="E24" s="541">
        <v>8.5</v>
      </c>
      <c r="F24" s="598"/>
      <c r="G24" s="527" t="s">
        <v>9</v>
      </c>
      <c r="H24" s="539">
        <v>25.25</v>
      </c>
      <c r="I24" s="596" t="s">
        <v>12663</v>
      </c>
      <c r="J24" s="540" t="s">
        <v>4414</v>
      </c>
      <c r="K24" s="541">
        <v>18.75</v>
      </c>
      <c r="L24" s="597"/>
      <c r="M24" s="527" t="s">
        <v>5253</v>
      </c>
      <c r="N24" s="539">
        <v>9.25</v>
      </c>
      <c r="O24" s="596" t="s">
        <v>12664</v>
      </c>
      <c r="P24" s="542" t="s">
        <v>5597</v>
      </c>
      <c r="Q24" s="543">
        <v>6</v>
      </c>
      <c r="R24" s="601"/>
      <c r="S24" s="540" t="s">
        <v>2103</v>
      </c>
      <c r="T24" s="541">
        <v>25.5</v>
      </c>
      <c r="U24" s="598"/>
      <c r="V24" s="540" t="s">
        <v>3650</v>
      </c>
      <c r="W24" s="541">
        <v>20.75</v>
      </c>
      <c r="X24" s="597"/>
      <c r="Y24" s="540" t="s">
        <v>128</v>
      </c>
      <c r="Z24" s="541">
        <v>11.5</v>
      </c>
      <c r="AA24" s="597"/>
      <c r="AB24" s="540" t="s">
        <v>2374</v>
      </c>
      <c r="AC24" s="541">
        <v>29</v>
      </c>
      <c r="AD24" s="597"/>
      <c r="AE24" s="540" t="s">
        <v>240</v>
      </c>
      <c r="AF24" s="541">
        <v>11</v>
      </c>
      <c r="AG24" s="597"/>
      <c r="AH24" s="540" t="s">
        <v>3313</v>
      </c>
      <c r="AI24" s="541">
        <v>26</v>
      </c>
      <c r="AJ24" s="597"/>
      <c r="AK24" s="540" t="s">
        <v>3678</v>
      </c>
      <c r="AL24" s="541">
        <v>28</v>
      </c>
      <c r="AM24" s="597"/>
      <c r="AN24" s="540" t="s">
        <v>190</v>
      </c>
      <c r="AO24" s="541">
        <v>26.25</v>
      </c>
      <c r="AP24" s="597"/>
      <c r="AQ24" s="540" t="s">
        <v>415</v>
      </c>
      <c r="AR24" s="541">
        <v>9.5</v>
      </c>
      <c r="AS24" s="597"/>
      <c r="AT24" s="540" t="s">
        <v>457</v>
      </c>
      <c r="AU24" s="541">
        <v>20.5</v>
      </c>
      <c r="AV24" s="597"/>
      <c r="AW24" s="542" t="s">
        <v>4256</v>
      </c>
      <c r="AX24" s="543">
        <v>14.25</v>
      </c>
      <c r="AY24" s="601"/>
      <c r="BJ24" s="47"/>
      <c r="BK24" s="47"/>
      <c r="BL24" s="47"/>
      <c r="BM24" s="47"/>
      <c r="BN24" s="47"/>
      <c r="BO24" s="47"/>
      <c r="BP24" s="47"/>
    </row>
    <row r="25" spans="1:68" ht="15.75" thickBot="1" x14ac:dyDescent="0.3">
      <c r="A25" s="527" t="s">
        <v>5526</v>
      </c>
      <c r="B25" s="539">
        <v>17.75</v>
      </c>
      <c r="C25" s="596" t="s">
        <v>12664</v>
      </c>
      <c r="D25" s="540" t="s">
        <v>113</v>
      </c>
      <c r="E25" s="541">
        <v>9.25</v>
      </c>
      <c r="F25" s="598"/>
      <c r="G25" s="540" t="s">
        <v>193</v>
      </c>
      <c r="H25" s="541">
        <v>23.5</v>
      </c>
      <c r="I25" s="597"/>
      <c r="J25" s="540" t="s">
        <v>5343</v>
      </c>
      <c r="K25" s="541">
        <v>18.75</v>
      </c>
      <c r="L25" s="597"/>
      <c r="M25" s="540" t="s">
        <v>412</v>
      </c>
      <c r="N25" s="541">
        <v>9</v>
      </c>
      <c r="O25" s="597"/>
      <c r="P25" s="527" t="s">
        <v>5489</v>
      </c>
      <c r="Q25" s="539">
        <v>3.5</v>
      </c>
      <c r="R25" s="596" t="s">
        <v>12663</v>
      </c>
      <c r="S25" s="540" t="s">
        <v>5721</v>
      </c>
      <c r="T25" s="541">
        <v>25.5</v>
      </c>
      <c r="U25" s="598"/>
      <c r="V25" s="542" t="s">
        <v>3996</v>
      </c>
      <c r="W25" s="543">
        <v>8.25</v>
      </c>
      <c r="X25" s="601"/>
      <c r="Y25" s="540" t="s">
        <v>3373</v>
      </c>
      <c r="Z25" s="541">
        <v>18.25</v>
      </c>
      <c r="AA25" s="597"/>
      <c r="AB25" s="542" t="s">
        <v>3984</v>
      </c>
      <c r="AC25" s="543">
        <v>22.75</v>
      </c>
      <c r="AD25" s="601"/>
      <c r="AE25" s="540" t="s">
        <v>24</v>
      </c>
      <c r="AF25" s="541">
        <v>11</v>
      </c>
      <c r="AG25" s="597"/>
      <c r="AH25" s="540" t="s">
        <v>1769</v>
      </c>
      <c r="AI25" s="541">
        <v>25.25</v>
      </c>
      <c r="AJ25" s="597"/>
      <c r="AK25" s="540" t="s">
        <v>3515</v>
      </c>
      <c r="AL25" s="541">
        <v>27.25</v>
      </c>
      <c r="AM25" s="597"/>
      <c r="AN25" s="540" t="s">
        <v>3361</v>
      </c>
      <c r="AO25" s="541">
        <v>26.5</v>
      </c>
      <c r="AP25" s="597"/>
      <c r="AQ25" s="542" t="s">
        <v>368</v>
      </c>
      <c r="AR25" s="543">
        <v>9</v>
      </c>
      <c r="AS25" s="601"/>
      <c r="AT25" s="540" t="s">
        <v>378</v>
      </c>
      <c r="AU25" s="541">
        <v>9.5</v>
      </c>
      <c r="AV25" s="597"/>
      <c r="AY25" s="47"/>
      <c r="BJ25" s="47"/>
      <c r="BK25" s="47"/>
      <c r="BL25" s="47"/>
      <c r="BM25" s="47"/>
      <c r="BN25" s="47"/>
      <c r="BO25" s="47"/>
      <c r="BP25" s="47"/>
    </row>
    <row r="26" spans="1:68" ht="15.75" thickBot="1" x14ac:dyDescent="0.3">
      <c r="A26" s="540" t="s">
        <v>4975</v>
      </c>
      <c r="B26" s="541">
        <v>17.75</v>
      </c>
      <c r="C26" s="597"/>
      <c r="D26" s="540" t="s">
        <v>110</v>
      </c>
      <c r="E26" s="541">
        <v>16.75</v>
      </c>
      <c r="F26" s="598"/>
      <c r="G26" s="540" t="s">
        <v>5313</v>
      </c>
      <c r="H26" s="541">
        <v>23.5</v>
      </c>
      <c r="I26" s="597"/>
      <c r="J26" s="540" t="s">
        <v>288</v>
      </c>
      <c r="K26" s="541">
        <v>18.75</v>
      </c>
      <c r="L26" s="597"/>
      <c r="M26" s="540" t="s">
        <v>373</v>
      </c>
      <c r="N26" s="541">
        <v>9.75</v>
      </c>
      <c r="O26" s="597"/>
      <c r="P26" s="540" t="s">
        <v>95</v>
      </c>
      <c r="Q26" s="541">
        <v>3.5</v>
      </c>
      <c r="R26" s="597"/>
      <c r="S26" s="540" t="s">
        <v>5734</v>
      </c>
      <c r="T26" s="541">
        <v>25.25</v>
      </c>
      <c r="U26" s="598"/>
      <c r="V26" s="527" t="s">
        <v>1522</v>
      </c>
      <c r="W26" s="539">
        <v>24</v>
      </c>
      <c r="X26" s="596" t="s">
        <v>12663</v>
      </c>
      <c r="Y26" s="540" t="s">
        <v>55</v>
      </c>
      <c r="Z26" s="541">
        <v>18</v>
      </c>
      <c r="AA26" s="597"/>
      <c r="AB26" s="527" t="s">
        <v>5758</v>
      </c>
      <c r="AC26" s="539">
        <v>27</v>
      </c>
      <c r="AD26" s="596" t="s">
        <v>12663</v>
      </c>
      <c r="AE26" s="540" t="s">
        <v>437</v>
      </c>
      <c r="AF26" s="541">
        <v>10.75</v>
      </c>
      <c r="AG26" s="597"/>
      <c r="AH26" s="542" t="s">
        <v>2907</v>
      </c>
      <c r="AI26" s="543">
        <v>26</v>
      </c>
      <c r="AJ26" s="601"/>
      <c r="AK26" s="542" t="s">
        <v>4629</v>
      </c>
      <c r="AL26" s="543">
        <v>27.25</v>
      </c>
      <c r="AM26" s="601"/>
      <c r="AN26" s="542" t="s">
        <v>1598</v>
      </c>
      <c r="AO26" s="543">
        <v>27</v>
      </c>
      <c r="AP26" s="601"/>
      <c r="AQ26" s="527" t="s">
        <v>137</v>
      </c>
      <c r="AR26" s="539">
        <v>31.75</v>
      </c>
      <c r="AS26" s="596" t="s">
        <v>12663</v>
      </c>
      <c r="AT26" s="540" t="s">
        <v>333</v>
      </c>
      <c r="AU26" s="541">
        <v>9.5</v>
      </c>
      <c r="AV26" s="597"/>
      <c r="AY26" s="47"/>
      <c r="BJ26" s="47"/>
      <c r="BK26" s="47"/>
      <c r="BL26" s="47"/>
      <c r="BM26" s="47"/>
      <c r="BN26" s="47"/>
      <c r="BO26" s="47"/>
      <c r="BP26" s="47"/>
    </row>
    <row r="27" spans="1:68" ht="15.75" thickBot="1" x14ac:dyDescent="0.3">
      <c r="A27" s="540" t="s">
        <v>341</v>
      </c>
      <c r="B27" s="541">
        <v>8.25</v>
      </c>
      <c r="C27" s="597"/>
      <c r="D27" s="540" t="s">
        <v>4756</v>
      </c>
      <c r="E27" s="541">
        <v>18.5</v>
      </c>
      <c r="F27" s="598"/>
      <c r="G27" s="540" t="s">
        <v>5619</v>
      </c>
      <c r="H27" s="541">
        <v>23.25</v>
      </c>
      <c r="I27" s="597"/>
      <c r="J27" s="540" t="s">
        <v>5602</v>
      </c>
      <c r="K27" s="541">
        <v>18.75</v>
      </c>
      <c r="L27" s="597"/>
      <c r="M27" s="540" t="s">
        <v>345</v>
      </c>
      <c r="N27" s="541">
        <v>9.25</v>
      </c>
      <c r="O27" s="597"/>
      <c r="P27" s="540" t="s">
        <v>5661</v>
      </c>
      <c r="Q27" s="541">
        <v>5.25</v>
      </c>
      <c r="R27" s="597"/>
      <c r="S27" s="542" t="s">
        <v>3790</v>
      </c>
      <c r="T27" s="543">
        <v>14.5</v>
      </c>
      <c r="U27" s="599"/>
      <c r="V27" s="540" t="s">
        <v>853</v>
      </c>
      <c r="W27" s="541">
        <v>24.25</v>
      </c>
      <c r="X27" s="597"/>
      <c r="Y27" s="542" t="s">
        <v>6</v>
      </c>
      <c r="Z27" s="543">
        <v>19.75</v>
      </c>
      <c r="AA27" s="601"/>
      <c r="AB27" s="540" t="s">
        <v>5625</v>
      </c>
      <c r="AC27" s="541">
        <v>4.25</v>
      </c>
      <c r="AD27" s="597"/>
      <c r="AE27" s="540" t="s">
        <v>242</v>
      </c>
      <c r="AF27" s="541">
        <v>10.75</v>
      </c>
      <c r="AG27" s="597"/>
      <c r="AH27" s="527" t="s">
        <v>3313</v>
      </c>
      <c r="AI27" s="539">
        <v>26</v>
      </c>
      <c r="AJ27" s="596" t="s">
        <v>12663</v>
      </c>
      <c r="AK27" s="527" t="s">
        <v>763</v>
      </c>
      <c r="AL27" s="539">
        <v>28</v>
      </c>
      <c r="AM27" s="596" t="s">
        <v>12663</v>
      </c>
      <c r="AN27" s="527" t="s">
        <v>4548</v>
      </c>
      <c r="AO27" s="539">
        <v>27</v>
      </c>
      <c r="AP27" s="596" t="s">
        <v>12663</v>
      </c>
      <c r="AQ27" s="540" t="s">
        <v>234</v>
      </c>
      <c r="AR27" s="541">
        <v>28</v>
      </c>
      <c r="AS27" s="597"/>
      <c r="AT27" s="540" t="s">
        <v>343</v>
      </c>
      <c r="AU27" s="541">
        <v>8.75</v>
      </c>
      <c r="AV27" s="597"/>
      <c r="AY27" s="47"/>
      <c r="BJ27" s="47"/>
      <c r="BK27" s="47"/>
      <c r="BL27" s="47"/>
      <c r="BM27" s="47"/>
      <c r="BN27" s="47"/>
      <c r="BO27" s="47"/>
      <c r="BP27" s="47"/>
    </row>
    <row r="28" spans="1:68" ht="15.75" thickBot="1" x14ac:dyDescent="0.3">
      <c r="A28" s="540" t="s">
        <v>4900</v>
      </c>
      <c r="B28" s="541">
        <v>17.5</v>
      </c>
      <c r="C28" s="597"/>
      <c r="D28" s="542" t="s">
        <v>79</v>
      </c>
      <c r="E28" s="543">
        <v>15</v>
      </c>
      <c r="F28" s="599"/>
      <c r="G28" s="540" t="s">
        <v>5570</v>
      </c>
      <c r="H28" s="541">
        <v>22.5</v>
      </c>
      <c r="I28" s="597"/>
      <c r="J28" s="542" t="s">
        <v>1989</v>
      </c>
      <c r="K28" s="543">
        <v>18.75</v>
      </c>
      <c r="L28" s="601"/>
      <c r="M28" s="540" t="s">
        <v>322</v>
      </c>
      <c r="N28" s="541">
        <v>10.5</v>
      </c>
      <c r="O28" s="597"/>
      <c r="P28" s="540" t="s">
        <v>5408</v>
      </c>
      <c r="Q28" s="541">
        <v>5.5</v>
      </c>
      <c r="R28" s="597"/>
      <c r="S28" s="527" t="s">
        <v>1838</v>
      </c>
      <c r="T28" s="539">
        <v>23.5</v>
      </c>
      <c r="U28" s="596" t="s">
        <v>12663</v>
      </c>
      <c r="V28" s="540" t="s">
        <v>5082</v>
      </c>
      <c r="W28" s="541">
        <v>11</v>
      </c>
      <c r="X28" s="597"/>
      <c r="Y28" s="527" t="s">
        <v>6</v>
      </c>
      <c r="Z28" s="539">
        <v>19.75</v>
      </c>
      <c r="AA28" s="596" t="s">
        <v>12663</v>
      </c>
      <c r="AB28" s="540" t="s">
        <v>4349</v>
      </c>
      <c r="AC28" s="541">
        <v>27.5</v>
      </c>
      <c r="AD28" s="597"/>
      <c r="AE28" s="540" t="s">
        <v>74</v>
      </c>
      <c r="AF28" s="541">
        <v>10.5</v>
      </c>
      <c r="AG28" s="597"/>
      <c r="AH28" s="540" t="s">
        <v>2907</v>
      </c>
      <c r="AI28" s="541">
        <v>26</v>
      </c>
      <c r="AJ28" s="597"/>
      <c r="AK28" s="540" t="s">
        <v>326</v>
      </c>
      <c r="AL28" s="541">
        <v>28</v>
      </c>
      <c r="AM28" s="597"/>
      <c r="AN28" s="540" t="s">
        <v>1598</v>
      </c>
      <c r="AO28" s="541">
        <v>27</v>
      </c>
      <c r="AP28" s="597"/>
      <c r="AQ28" s="540" t="s">
        <v>4088</v>
      </c>
      <c r="AR28" s="541">
        <v>27</v>
      </c>
      <c r="AS28" s="597"/>
      <c r="AT28" s="542" t="s">
        <v>8728</v>
      </c>
      <c r="AU28" s="543">
        <v>8</v>
      </c>
      <c r="AV28" s="601"/>
      <c r="AY28" s="47"/>
      <c r="BJ28" s="47"/>
      <c r="BK28" s="47"/>
      <c r="BL28" s="47"/>
      <c r="BM28" s="47"/>
      <c r="BN28" s="47"/>
      <c r="BO28" s="47"/>
      <c r="BP28" s="47"/>
    </row>
    <row r="29" spans="1:68" x14ac:dyDescent="0.25">
      <c r="A29" s="540" t="s">
        <v>5285</v>
      </c>
      <c r="B29" s="541">
        <v>17.75</v>
      </c>
      <c r="C29" s="597"/>
      <c r="D29" s="527" t="s">
        <v>4756</v>
      </c>
      <c r="E29" s="539">
        <v>18.5</v>
      </c>
      <c r="F29" s="600" t="s">
        <v>12663</v>
      </c>
      <c r="G29" s="540" t="s">
        <v>5185</v>
      </c>
      <c r="H29" s="541">
        <v>20.75</v>
      </c>
      <c r="I29" s="597"/>
      <c r="J29" s="527" t="s">
        <v>3950</v>
      </c>
      <c r="K29" s="539">
        <v>18.75</v>
      </c>
      <c r="L29" s="596" t="s">
        <v>12663</v>
      </c>
      <c r="M29" s="540" t="s">
        <v>2893</v>
      </c>
      <c r="N29" s="541">
        <v>3.75</v>
      </c>
      <c r="O29" s="597"/>
      <c r="P29" s="540" t="s">
        <v>249</v>
      </c>
      <c r="Q29" s="541">
        <v>6</v>
      </c>
      <c r="R29" s="597"/>
      <c r="S29" s="540" t="s">
        <v>4104</v>
      </c>
      <c r="T29" s="541">
        <v>24</v>
      </c>
      <c r="U29" s="597"/>
      <c r="V29" s="540" t="s">
        <v>5739</v>
      </c>
      <c r="W29" s="541">
        <v>24.25</v>
      </c>
      <c r="X29" s="597"/>
      <c r="Y29" s="540" t="s">
        <v>446</v>
      </c>
      <c r="Z29" s="541">
        <v>19.5</v>
      </c>
      <c r="AA29" s="597"/>
      <c r="AB29" s="540" t="s">
        <v>163</v>
      </c>
      <c r="AC29" s="541">
        <v>27.5</v>
      </c>
      <c r="AD29" s="597"/>
      <c r="AE29" s="540" t="s">
        <v>4239</v>
      </c>
      <c r="AF29" s="541">
        <v>9.75</v>
      </c>
      <c r="AG29" s="597"/>
      <c r="AH29" s="540" t="s">
        <v>4816</v>
      </c>
      <c r="AI29" s="541">
        <v>25.25</v>
      </c>
      <c r="AJ29" s="597"/>
      <c r="AK29" s="540" t="s">
        <v>3678</v>
      </c>
      <c r="AL29" s="541">
        <v>28</v>
      </c>
      <c r="AM29" s="597"/>
      <c r="AN29" s="540" t="s">
        <v>4324</v>
      </c>
      <c r="AO29" s="541">
        <v>26.75</v>
      </c>
      <c r="AP29" s="597"/>
      <c r="AQ29" s="540" t="s">
        <v>3081</v>
      </c>
      <c r="AR29" s="541">
        <v>26.5</v>
      </c>
      <c r="AS29" s="597"/>
      <c r="AT29" s="527" t="s">
        <v>5267</v>
      </c>
      <c r="AU29" s="539">
        <v>26.5</v>
      </c>
      <c r="AV29" s="596" t="s">
        <v>12663</v>
      </c>
      <c r="AY29" s="47"/>
      <c r="BJ29" s="47"/>
      <c r="BK29" s="47"/>
      <c r="BL29" s="47"/>
      <c r="BM29" s="47"/>
      <c r="BN29" s="47"/>
      <c r="BO29" s="47"/>
      <c r="BP29" s="47"/>
    </row>
    <row r="30" spans="1:68" x14ac:dyDescent="0.25">
      <c r="A30" s="540" t="s">
        <v>1755</v>
      </c>
      <c r="B30" s="541">
        <v>17.75</v>
      </c>
      <c r="C30" s="597"/>
      <c r="D30" s="540" t="s">
        <v>5663</v>
      </c>
      <c r="E30" s="541">
        <v>18</v>
      </c>
      <c r="F30" s="598"/>
      <c r="G30" s="540" t="s">
        <v>87</v>
      </c>
      <c r="H30" s="541">
        <v>20.75</v>
      </c>
      <c r="I30" s="597"/>
      <c r="J30" s="540" t="s">
        <v>4414</v>
      </c>
      <c r="K30" s="541">
        <v>18.75</v>
      </c>
      <c r="L30" s="597"/>
      <c r="M30" s="540" t="s">
        <v>286</v>
      </c>
      <c r="N30" s="541">
        <v>7.25</v>
      </c>
      <c r="O30" s="597"/>
      <c r="P30" s="540" t="s">
        <v>219</v>
      </c>
      <c r="Q30" s="541">
        <v>6</v>
      </c>
      <c r="R30" s="597"/>
      <c r="S30" s="540" t="s">
        <v>1169</v>
      </c>
      <c r="T30" s="541">
        <v>24</v>
      </c>
      <c r="U30" s="597"/>
      <c r="V30" s="540" t="s">
        <v>5754</v>
      </c>
      <c r="W30" s="541">
        <v>24.25</v>
      </c>
      <c r="X30" s="597"/>
      <c r="Y30" s="540" t="s">
        <v>306</v>
      </c>
      <c r="Z30" s="541">
        <v>19.5</v>
      </c>
      <c r="AA30" s="597"/>
      <c r="AB30" s="540" t="s">
        <v>5114</v>
      </c>
      <c r="AC30" s="541">
        <v>27.5</v>
      </c>
      <c r="AD30" s="597"/>
      <c r="AE30" s="540" t="s">
        <v>244</v>
      </c>
      <c r="AF30" s="541">
        <v>9.75</v>
      </c>
      <c r="AG30" s="597"/>
      <c r="AH30" s="540" t="s">
        <v>452</v>
      </c>
      <c r="AI30" s="541">
        <v>25.25</v>
      </c>
      <c r="AJ30" s="597"/>
      <c r="AK30" s="540" t="s">
        <v>3515</v>
      </c>
      <c r="AL30" s="541">
        <v>27.25</v>
      </c>
      <c r="AM30" s="597"/>
      <c r="AN30" s="540" t="s">
        <v>3361</v>
      </c>
      <c r="AO30" s="541">
        <v>26.5</v>
      </c>
      <c r="AP30" s="597"/>
      <c r="AQ30" s="540" t="s">
        <v>5452</v>
      </c>
      <c r="AR30" s="541">
        <v>25.75</v>
      </c>
      <c r="AS30" s="597"/>
      <c r="AT30" s="540" t="s">
        <v>457</v>
      </c>
      <c r="AU30" s="541">
        <v>20.5</v>
      </c>
      <c r="AV30" s="597"/>
      <c r="AY30" s="47"/>
      <c r="BJ30" s="47"/>
      <c r="BK30" s="47"/>
      <c r="BL30" s="47"/>
      <c r="BM30" s="47"/>
      <c r="BN30" s="47"/>
      <c r="BO30" s="47"/>
      <c r="BP30" s="47"/>
    </row>
    <row r="31" spans="1:68" ht="15.75" thickBot="1" x14ac:dyDescent="0.3">
      <c r="A31" s="540" t="s">
        <v>5061</v>
      </c>
      <c r="B31" s="541">
        <v>18</v>
      </c>
      <c r="C31" s="597"/>
      <c r="D31" s="540" t="s">
        <v>5196</v>
      </c>
      <c r="E31" s="541">
        <v>17.5</v>
      </c>
      <c r="F31" s="597"/>
      <c r="G31" s="542" t="s">
        <v>5002</v>
      </c>
      <c r="H31" s="543">
        <v>8.5</v>
      </c>
      <c r="I31" s="601"/>
      <c r="J31" s="540" t="s">
        <v>5343</v>
      </c>
      <c r="K31" s="541">
        <v>18.75</v>
      </c>
      <c r="L31" s="597"/>
      <c r="M31" s="540" t="s">
        <v>254</v>
      </c>
      <c r="N31" s="541">
        <v>10.75</v>
      </c>
      <c r="O31" s="597"/>
      <c r="P31" s="540" t="s">
        <v>47</v>
      </c>
      <c r="Q31" s="541">
        <v>6</v>
      </c>
      <c r="R31" s="597"/>
      <c r="S31" s="540" t="s">
        <v>232</v>
      </c>
      <c r="T31" s="541">
        <v>11.5</v>
      </c>
      <c r="U31" s="597"/>
      <c r="V31" s="540" t="s">
        <v>202</v>
      </c>
      <c r="W31" s="541">
        <v>11.25</v>
      </c>
      <c r="X31" s="597"/>
      <c r="Y31" s="540" t="s">
        <v>5019</v>
      </c>
      <c r="Z31" s="541">
        <v>19.25</v>
      </c>
      <c r="AA31" s="597"/>
      <c r="AB31" s="540" t="s">
        <v>3618</v>
      </c>
      <c r="AC31" s="541">
        <v>27</v>
      </c>
      <c r="AD31" s="597"/>
      <c r="AE31" s="540" t="s">
        <v>117</v>
      </c>
      <c r="AF31" s="541">
        <v>9.5</v>
      </c>
      <c r="AG31" s="597"/>
      <c r="AH31" s="540" t="s">
        <v>1769</v>
      </c>
      <c r="AI31" s="541">
        <v>25.25</v>
      </c>
      <c r="AJ31" s="597"/>
      <c r="AK31" s="540" t="s">
        <v>4629</v>
      </c>
      <c r="AL31" s="541">
        <v>27.25</v>
      </c>
      <c r="AM31" s="597"/>
      <c r="AN31" s="540" t="s">
        <v>266</v>
      </c>
      <c r="AO31" s="541">
        <v>26.25</v>
      </c>
      <c r="AP31" s="597"/>
      <c r="AQ31" s="540" t="s">
        <v>339</v>
      </c>
      <c r="AR31" s="541">
        <v>10.5</v>
      </c>
      <c r="AS31" s="597"/>
      <c r="AT31" s="540" t="s">
        <v>378</v>
      </c>
      <c r="AU31" s="541">
        <v>9.5</v>
      </c>
      <c r="AV31" s="597"/>
      <c r="AY31" s="47"/>
      <c r="BJ31" s="47"/>
      <c r="BK31" s="47"/>
      <c r="BL31" s="47"/>
      <c r="BM31" s="47"/>
      <c r="BN31" s="47"/>
      <c r="BO31" s="47"/>
      <c r="BP31" s="47"/>
    </row>
    <row r="32" spans="1:68" ht="15.75" thickBot="1" x14ac:dyDescent="0.3">
      <c r="A32" s="540" t="s">
        <v>5365</v>
      </c>
      <c r="B32" s="541">
        <v>17.75</v>
      </c>
      <c r="C32" s="597"/>
      <c r="D32" s="540" t="s">
        <v>316</v>
      </c>
      <c r="E32" s="541">
        <v>17.25</v>
      </c>
      <c r="F32" s="597"/>
      <c r="G32" s="527" t="s">
        <v>440</v>
      </c>
      <c r="H32" s="539">
        <v>19</v>
      </c>
      <c r="I32" s="596" t="s">
        <v>12663</v>
      </c>
      <c r="J32" s="540" t="s">
        <v>288</v>
      </c>
      <c r="K32" s="541">
        <v>18.75</v>
      </c>
      <c r="L32" s="597"/>
      <c r="M32" s="540" t="s">
        <v>206</v>
      </c>
      <c r="N32" s="541">
        <v>7.5</v>
      </c>
      <c r="O32" s="597"/>
      <c r="P32" s="540" t="s">
        <v>5597</v>
      </c>
      <c r="Q32" s="541">
        <v>6</v>
      </c>
      <c r="R32" s="597"/>
      <c r="S32" s="540" t="s">
        <v>3799</v>
      </c>
      <c r="T32" s="541">
        <v>24</v>
      </c>
      <c r="U32" s="597"/>
      <c r="V32" s="540" t="s">
        <v>5269</v>
      </c>
      <c r="W32" s="541">
        <v>24.75</v>
      </c>
      <c r="X32" s="597"/>
      <c r="Y32" s="540" t="s">
        <v>157</v>
      </c>
      <c r="Z32" s="541">
        <v>19.25</v>
      </c>
      <c r="AA32" s="597"/>
      <c r="AB32" s="542" t="s">
        <v>1393</v>
      </c>
      <c r="AC32" s="543">
        <v>27.25</v>
      </c>
      <c r="AD32" s="601"/>
      <c r="AE32" s="540" t="s">
        <v>3</v>
      </c>
      <c r="AF32" s="541">
        <v>8.5</v>
      </c>
      <c r="AG32" s="597"/>
      <c r="AH32" s="540" t="s">
        <v>359</v>
      </c>
      <c r="AI32" s="541">
        <v>24.25</v>
      </c>
      <c r="AJ32" s="597"/>
      <c r="AK32" s="540" t="s">
        <v>2614</v>
      </c>
      <c r="AL32" s="541">
        <v>24.25</v>
      </c>
      <c r="AM32" s="597"/>
      <c r="AN32" s="540" t="s">
        <v>190</v>
      </c>
      <c r="AO32" s="541">
        <v>26.25</v>
      </c>
      <c r="AP32" s="597"/>
      <c r="AQ32" s="540" t="s">
        <v>415</v>
      </c>
      <c r="AR32" s="541">
        <v>9.5</v>
      </c>
      <c r="AS32" s="597"/>
      <c r="AT32" s="540" t="s">
        <v>343</v>
      </c>
      <c r="AU32" s="541">
        <v>8.75</v>
      </c>
      <c r="AV32" s="597"/>
      <c r="AY32" s="47"/>
      <c r="BJ32" s="47"/>
      <c r="BK32" s="47"/>
      <c r="BL32" s="47"/>
      <c r="BM32" s="47"/>
      <c r="BN32" s="47"/>
      <c r="BO32" s="47"/>
      <c r="BP32" s="47"/>
    </row>
    <row r="33" spans="1:68" ht="15.75" thickBot="1" x14ac:dyDescent="0.3">
      <c r="A33" s="540" t="s">
        <v>5358</v>
      </c>
      <c r="B33" s="541">
        <v>17.75</v>
      </c>
      <c r="C33" s="597"/>
      <c r="D33" s="540" t="s">
        <v>110</v>
      </c>
      <c r="E33" s="541">
        <v>16.75</v>
      </c>
      <c r="F33" s="597"/>
      <c r="G33" s="540" t="s">
        <v>5507</v>
      </c>
      <c r="H33" s="541">
        <v>20</v>
      </c>
      <c r="I33" s="597"/>
      <c r="J33" s="540" t="s">
        <v>5602</v>
      </c>
      <c r="K33" s="541">
        <v>18.75</v>
      </c>
      <c r="L33" s="597"/>
      <c r="M33" s="540" t="s">
        <v>198</v>
      </c>
      <c r="N33" s="541">
        <v>10.75</v>
      </c>
      <c r="O33" s="597"/>
      <c r="P33" s="540" t="s">
        <v>149</v>
      </c>
      <c r="Q33" s="541">
        <v>6.25</v>
      </c>
      <c r="R33" s="597"/>
      <c r="S33" s="540" t="s">
        <v>673</v>
      </c>
      <c r="T33" s="541">
        <v>24</v>
      </c>
      <c r="U33" s="597"/>
      <c r="V33" s="542" t="s">
        <v>2946</v>
      </c>
      <c r="W33" s="543">
        <v>24.25</v>
      </c>
      <c r="X33" s="601"/>
      <c r="Y33" s="540" t="s">
        <v>1126</v>
      </c>
      <c r="Z33" s="541">
        <v>18.25</v>
      </c>
      <c r="AA33" s="597"/>
      <c r="AB33" s="527" t="s">
        <v>4349</v>
      </c>
      <c r="AC33" s="539">
        <v>27.5</v>
      </c>
      <c r="AD33" s="596" t="s">
        <v>12663</v>
      </c>
      <c r="AE33" s="540" t="s">
        <v>217</v>
      </c>
      <c r="AF33" s="541">
        <v>6.75</v>
      </c>
      <c r="AG33" s="597"/>
      <c r="AH33" s="542" t="s">
        <v>422</v>
      </c>
      <c r="AI33" s="543">
        <v>16</v>
      </c>
      <c r="AJ33" s="601"/>
      <c r="AK33" s="542" t="s">
        <v>361</v>
      </c>
      <c r="AL33" s="543">
        <v>5.25</v>
      </c>
      <c r="AM33" s="601"/>
      <c r="AN33" s="542" t="s">
        <v>304</v>
      </c>
      <c r="AO33" s="543">
        <v>8.25</v>
      </c>
      <c r="AP33" s="601"/>
      <c r="AQ33" s="542" t="s">
        <v>368</v>
      </c>
      <c r="AR33" s="543">
        <v>9</v>
      </c>
      <c r="AS33" s="601"/>
      <c r="AT33" s="540" t="s">
        <v>333</v>
      </c>
      <c r="AU33" s="541">
        <v>9.5</v>
      </c>
      <c r="AV33" s="597"/>
      <c r="AY33" s="47"/>
      <c r="BJ33" s="47"/>
      <c r="BK33" s="47"/>
      <c r="BL33" s="47"/>
      <c r="BM33" s="47"/>
      <c r="BN33" s="47"/>
      <c r="BO33" s="47"/>
      <c r="BP33" s="47"/>
    </row>
    <row r="34" spans="1:68" ht="15.75" thickBot="1" x14ac:dyDescent="0.3">
      <c r="A34" s="542" t="s">
        <v>3078</v>
      </c>
      <c r="B34" s="543">
        <v>17.75</v>
      </c>
      <c r="C34" s="601"/>
      <c r="D34" s="540" t="s">
        <v>79</v>
      </c>
      <c r="E34" s="541">
        <v>15</v>
      </c>
      <c r="F34" s="597"/>
      <c r="G34" s="540" t="s">
        <v>402</v>
      </c>
      <c r="H34" s="541">
        <v>19.75</v>
      </c>
      <c r="I34" s="597"/>
      <c r="J34" s="540" t="s">
        <v>1989</v>
      </c>
      <c r="K34" s="541">
        <v>18.75</v>
      </c>
      <c r="L34" s="597"/>
      <c r="M34" s="540" t="s">
        <v>166</v>
      </c>
      <c r="N34" s="541">
        <v>8.5</v>
      </c>
      <c r="O34" s="597"/>
      <c r="P34" s="540" t="s">
        <v>143</v>
      </c>
      <c r="Q34" s="541">
        <v>6.25</v>
      </c>
      <c r="R34" s="597"/>
      <c r="S34" s="540" t="s">
        <v>50</v>
      </c>
      <c r="T34" s="541">
        <v>23.75</v>
      </c>
      <c r="U34" s="597"/>
      <c r="V34" s="527" t="s">
        <v>5269</v>
      </c>
      <c r="W34" s="539">
        <v>24.75</v>
      </c>
      <c r="X34" s="596" t="s">
        <v>12663</v>
      </c>
      <c r="Y34" s="540" t="s">
        <v>3373</v>
      </c>
      <c r="Z34" s="541">
        <v>18.25</v>
      </c>
      <c r="AA34" s="597"/>
      <c r="AB34" s="540" t="s">
        <v>163</v>
      </c>
      <c r="AC34" s="541">
        <v>27.5</v>
      </c>
      <c r="AD34" s="597"/>
      <c r="AE34" s="540" t="s">
        <v>277</v>
      </c>
      <c r="AF34" s="541">
        <v>6.5</v>
      </c>
      <c r="AG34" s="597"/>
      <c r="AH34" s="527" t="s">
        <v>3313</v>
      </c>
      <c r="AI34" s="539">
        <v>26</v>
      </c>
      <c r="AJ34" s="596" t="s">
        <v>12663</v>
      </c>
      <c r="AK34" s="527" t="s">
        <v>763</v>
      </c>
      <c r="AL34" s="539">
        <v>28</v>
      </c>
      <c r="AM34" s="596" t="s">
        <v>12663</v>
      </c>
      <c r="AN34" s="527" t="s">
        <v>4548</v>
      </c>
      <c r="AO34" s="539">
        <v>27</v>
      </c>
      <c r="AP34" s="596" t="s">
        <v>12663</v>
      </c>
      <c r="AQ34" s="527" t="s">
        <v>448</v>
      </c>
      <c r="AR34" s="466">
        <v>12.25</v>
      </c>
      <c r="AS34" s="596" t="s">
        <v>12663</v>
      </c>
      <c r="AT34" s="540" t="s">
        <v>5163</v>
      </c>
      <c r="AU34" s="541">
        <v>29.25</v>
      </c>
      <c r="AV34" s="597"/>
      <c r="AY34" s="47"/>
      <c r="BJ34" s="47"/>
      <c r="BK34" s="47"/>
      <c r="BL34" s="47"/>
      <c r="BM34" s="47"/>
      <c r="BN34" s="47"/>
      <c r="BO34" s="47"/>
      <c r="BP34" s="47"/>
    </row>
    <row r="35" spans="1:68" ht="15.75" thickBot="1" x14ac:dyDescent="0.3">
      <c r="A35" s="527" t="s">
        <v>5061</v>
      </c>
      <c r="B35" s="539">
        <v>18</v>
      </c>
      <c r="C35" s="596" t="s">
        <v>12664</v>
      </c>
      <c r="D35" s="540" t="s">
        <v>224</v>
      </c>
      <c r="E35" s="541">
        <v>13</v>
      </c>
      <c r="F35" s="597"/>
      <c r="G35" s="540" t="s">
        <v>351</v>
      </c>
      <c r="H35" s="541">
        <v>8.25</v>
      </c>
      <c r="I35" s="597"/>
      <c r="J35" s="540" t="s">
        <v>5443</v>
      </c>
      <c r="K35" s="541">
        <v>18.5</v>
      </c>
      <c r="L35" s="597"/>
      <c r="M35" s="540" t="s">
        <v>147</v>
      </c>
      <c r="N35" s="541">
        <v>4.25</v>
      </c>
      <c r="O35" s="597"/>
      <c r="P35" s="540" t="s">
        <v>5275</v>
      </c>
      <c r="Q35" s="541">
        <v>6.5</v>
      </c>
      <c r="R35" s="597"/>
      <c r="S35" s="542" t="s">
        <v>37</v>
      </c>
      <c r="T35" s="543">
        <v>13.25</v>
      </c>
      <c r="U35" s="601"/>
      <c r="V35" s="540" t="s">
        <v>853</v>
      </c>
      <c r="W35" s="541">
        <v>24.25</v>
      </c>
      <c r="X35" s="597"/>
      <c r="Y35" s="540" t="s">
        <v>55</v>
      </c>
      <c r="Z35" s="541">
        <v>18</v>
      </c>
      <c r="AA35" s="597"/>
      <c r="AB35" s="540" t="s">
        <v>5114</v>
      </c>
      <c r="AC35" s="541">
        <v>27.5</v>
      </c>
      <c r="AD35" s="597"/>
      <c r="AE35" s="540" t="s">
        <v>65</v>
      </c>
      <c r="AF35" s="541">
        <v>6.5</v>
      </c>
      <c r="AG35" s="597"/>
      <c r="AH35" s="540" t="s">
        <v>2907</v>
      </c>
      <c r="AI35" s="541">
        <v>26</v>
      </c>
      <c r="AJ35" s="597"/>
      <c r="AK35" s="540" t="s">
        <v>326</v>
      </c>
      <c r="AL35" s="541">
        <v>28</v>
      </c>
      <c r="AM35" s="597"/>
      <c r="AN35" s="540" t="s">
        <v>1598</v>
      </c>
      <c r="AO35" s="541">
        <v>27</v>
      </c>
      <c r="AP35" s="597"/>
      <c r="AQ35" s="540" t="s">
        <v>414</v>
      </c>
      <c r="AR35" s="467">
        <v>12.75</v>
      </c>
      <c r="AS35" s="597"/>
      <c r="AT35" s="540" t="s">
        <v>484</v>
      </c>
      <c r="AU35" s="541">
        <v>27.5</v>
      </c>
      <c r="AV35" s="597"/>
      <c r="AY35" s="47"/>
      <c r="BJ35" s="47"/>
      <c r="BK35" s="47"/>
      <c r="BL35" s="47"/>
      <c r="BM35" s="47"/>
      <c r="BN35" s="47"/>
      <c r="BO35" s="47"/>
      <c r="BP35" s="47"/>
    </row>
    <row r="36" spans="1:68" x14ac:dyDescent="0.25">
      <c r="A36" s="540" t="s">
        <v>5526</v>
      </c>
      <c r="B36" s="541">
        <v>17.75</v>
      </c>
      <c r="C36" s="597"/>
      <c r="D36" s="540" t="s">
        <v>5438</v>
      </c>
      <c r="E36" s="541">
        <v>11.75</v>
      </c>
      <c r="F36" s="597"/>
      <c r="G36" s="540" t="s">
        <v>295</v>
      </c>
      <c r="H36" s="541">
        <v>20.25</v>
      </c>
      <c r="I36" s="597"/>
      <c r="J36" s="540" t="s">
        <v>454</v>
      </c>
      <c r="K36" s="541">
        <v>18.5</v>
      </c>
      <c r="L36" s="597"/>
      <c r="M36" s="540" t="s">
        <v>5436</v>
      </c>
      <c r="N36" s="541">
        <v>10</v>
      </c>
      <c r="O36" s="597"/>
      <c r="P36" s="540" t="s">
        <v>349</v>
      </c>
      <c r="Q36" s="541">
        <v>6.75</v>
      </c>
      <c r="R36" s="597"/>
      <c r="S36" s="527" t="s">
        <v>4104</v>
      </c>
      <c r="T36" s="539">
        <v>24</v>
      </c>
      <c r="U36" s="596" t="s">
        <v>12663</v>
      </c>
      <c r="V36" s="540" t="s">
        <v>5739</v>
      </c>
      <c r="W36" s="541">
        <v>24.25</v>
      </c>
      <c r="X36" s="597"/>
      <c r="Y36" s="540" t="s">
        <v>128</v>
      </c>
      <c r="Z36" s="541">
        <v>11.5</v>
      </c>
      <c r="AA36" s="597"/>
      <c r="AB36" s="540" t="s">
        <v>1393</v>
      </c>
      <c r="AC36" s="541">
        <v>27.25</v>
      </c>
      <c r="AD36" s="597"/>
      <c r="AE36" s="540" t="s">
        <v>385</v>
      </c>
      <c r="AF36" s="541">
        <v>6.25</v>
      </c>
      <c r="AG36" s="597"/>
      <c r="AH36" s="540" t="s">
        <v>4816</v>
      </c>
      <c r="AI36" s="541">
        <v>25.25</v>
      </c>
      <c r="AJ36" s="597"/>
      <c r="AK36" s="540" t="s">
        <v>3678</v>
      </c>
      <c r="AL36" s="541">
        <v>28</v>
      </c>
      <c r="AM36" s="597"/>
      <c r="AN36" s="540" t="s">
        <v>4324</v>
      </c>
      <c r="AO36" s="541">
        <v>26.75</v>
      </c>
      <c r="AP36" s="597"/>
      <c r="AQ36" s="540" t="s">
        <v>355</v>
      </c>
      <c r="AR36" s="467">
        <v>13.5</v>
      </c>
      <c r="AS36" s="597"/>
      <c r="AT36" s="540" t="s">
        <v>5089</v>
      </c>
      <c r="AU36" s="541">
        <v>28.5</v>
      </c>
      <c r="AV36" s="597"/>
      <c r="AY36" s="47"/>
      <c r="BJ36" s="47"/>
      <c r="BK36" s="47"/>
      <c r="BL36" s="47"/>
      <c r="BM36" s="47"/>
      <c r="BN36" s="47"/>
      <c r="BO36" s="47"/>
      <c r="BP36" s="47"/>
    </row>
    <row r="37" spans="1:68" ht="15.75" thickBot="1" x14ac:dyDescent="0.3">
      <c r="A37" s="540" t="s">
        <v>4975</v>
      </c>
      <c r="B37" s="541">
        <v>17.75</v>
      </c>
      <c r="C37" s="597"/>
      <c r="D37" s="540" t="s">
        <v>419</v>
      </c>
      <c r="E37" s="541">
        <v>11.5</v>
      </c>
      <c r="F37" s="597"/>
      <c r="G37" s="540" t="s">
        <v>227</v>
      </c>
      <c r="H37" s="541">
        <v>19.75</v>
      </c>
      <c r="I37" s="597"/>
      <c r="J37" s="542" t="s">
        <v>5128</v>
      </c>
      <c r="K37" s="543">
        <v>18.5</v>
      </c>
      <c r="L37" s="601"/>
      <c r="M37" s="540" t="s">
        <v>4928</v>
      </c>
      <c r="N37" s="541">
        <v>8.75</v>
      </c>
      <c r="O37" s="597"/>
      <c r="P37" s="540" t="s">
        <v>5008</v>
      </c>
      <c r="Q37" s="541">
        <v>6.75</v>
      </c>
      <c r="R37" s="597"/>
      <c r="S37" s="540" t="s">
        <v>1169</v>
      </c>
      <c r="T37" s="541">
        <v>24</v>
      </c>
      <c r="U37" s="597"/>
      <c r="V37" s="540" t="s">
        <v>5754</v>
      </c>
      <c r="W37" s="541">
        <v>24.25</v>
      </c>
      <c r="X37" s="597"/>
      <c r="Y37" s="542" t="s">
        <v>279</v>
      </c>
      <c r="Z37" s="543">
        <v>4.75</v>
      </c>
      <c r="AA37" s="601"/>
      <c r="AB37" s="540" t="s">
        <v>5758</v>
      </c>
      <c r="AC37" s="541">
        <v>27</v>
      </c>
      <c r="AD37" s="597"/>
      <c r="AE37" s="540" t="s">
        <v>347</v>
      </c>
      <c r="AF37" s="541">
        <v>5.5</v>
      </c>
      <c r="AG37" s="597"/>
      <c r="AH37" s="540" t="s">
        <v>452</v>
      </c>
      <c r="AI37" s="541">
        <v>25.25</v>
      </c>
      <c r="AJ37" s="597"/>
      <c r="AK37" s="540" t="s">
        <v>3515</v>
      </c>
      <c r="AL37" s="541">
        <v>27.25</v>
      </c>
      <c r="AM37" s="597"/>
      <c r="AN37" s="540" t="s">
        <v>3361</v>
      </c>
      <c r="AO37" s="541">
        <v>26.5</v>
      </c>
      <c r="AP37" s="597"/>
      <c r="AQ37" s="540" t="s">
        <v>328</v>
      </c>
      <c r="AR37" s="467">
        <v>14.25</v>
      </c>
      <c r="AS37" s="597"/>
      <c r="AT37" s="542" t="s">
        <v>68</v>
      </c>
      <c r="AU37" s="543">
        <v>7.75</v>
      </c>
      <c r="AV37" s="601"/>
      <c r="AY37" s="47"/>
      <c r="BJ37" s="47"/>
      <c r="BK37" s="47"/>
      <c r="BL37" s="47"/>
      <c r="BM37" s="47"/>
      <c r="BN37" s="47"/>
      <c r="BO37" s="47"/>
      <c r="BP37" s="47"/>
    </row>
    <row r="38" spans="1:68" x14ac:dyDescent="0.25">
      <c r="A38" s="540" t="s">
        <v>5285</v>
      </c>
      <c r="B38" s="541">
        <v>17.75</v>
      </c>
      <c r="C38" s="597"/>
      <c r="D38" s="540" t="s">
        <v>3243</v>
      </c>
      <c r="E38" s="541">
        <v>11</v>
      </c>
      <c r="F38" s="597"/>
      <c r="G38" s="540" t="s">
        <v>5543</v>
      </c>
      <c r="H38" s="541">
        <v>20.5</v>
      </c>
      <c r="I38" s="597"/>
      <c r="J38" s="527" t="s">
        <v>5653</v>
      </c>
      <c r="K38" s="539">
        <v>17</v>
      </c>
      <c r="L38" s="596" t="s">
        <v>12663</v>
      </c>
      <c r="M38" s="540" t="s">
        <v>5497</v>
      </c>
      <c r="N38" s="541">
        <v>4.75</v>
      </c>
      <c r="O38" s="597"/>
      <c r="P38" s="540" t="s">
        <v>270</v>
      </c>
      <c r="Q38" s="541">
        <v>6.75</v>
      </c>
      <c r="R38" s="597"/>
      <c r="S38" s="540" t="s">
        <v>3799</v>
      </c>
      <c r="T38" s="541">
        <v>24</v>
      </c>
      <c r="U38" s="597"/>
      <c r="V38" s="540" t="s">
        <v>2946</v>
      </c>
      <c r="W38" s="541">
        <v>24.25</v>
      </c>
      <c r="X38" s="597"/>
      <c r="Y38" s="527" t="s">
        <v>410</v>
      </c>
      <c r="Z38" s="539">
        <v>20.75</v>
      </c>
      <c r="AA38" s="596" t="s">
        <v>12663</v>
      </c>
      <c r="AB38" s="540" t="s">
        <v>3618</v>
      </c>
      <c r="AC38" s="541">
        <v>27</v>
      </c>
      <c r="AD38" s="597"/>
      <c r="AE38" s="540" t="s">
        <v>114</v>
      </c>
      <c r="AF38" s="541">
        <v>4.5</v>
      </c>
      <c r="AG38" s="597"/>
      <c r="AH38" s="540" t="s">
        <v>1769</v>
      </c>
      <c r="AI38" s="541">
        <v>25.25</v>
      </c>
      <c r="AJ38" s="597"/>
      <c r="AK38" s="540" t="s">
        <v>4629</v>
      </c>
      <c r="AL38" s="541">
        <v>27.25</v>
      </c>
      <c r="AM38" s="597"/>
      <c r="AN38" s="540" t="s">
        <v>266</v>
      </c>
      <c r="AO38" s="541">
        <v>26.25</v>
      </c>
      <c r="AP38" s="597"/>
      <c r="AQ38" s="540" t="s">
        <v>300</v>
      </c>
      <c r="AR38" s="467">
        <v>13</v>
      </c>
      <c r="AS38" s="597"/>
      <c r="AT38" s="527" t="s">
        <v>3941</v>
      </c>
      <c r="AU38" s="539">
        <v>21</v>
      </c>
      <c r="AV38" s="596" t="s">
        <v>12663</v>
      </c>
      <c r="AY38" s="47"/>
      <c r="BJ38" s="47"/>
      <c r="BK38" s="47"/>
      <c r="BL38" s="47"/>
      <c r="BM38" s="47"/>
      <c r="BN38" s="47"/>
      <c r="BO38" s="47"/>
      <c r="BP38" s="47"/>
    </row>
    <row r="39" spans="1:68" ht="15.75" thickBot="1" x14ac:dyDescent="0.3">
      <c r="A39" s="540" t="s">
        <v>1755</v>
      </c>
      <c r="B39" s="541">
        <v>17.75</v>
      </c>
      <c r="C39" s="597"/>
      <c r="D39" s="540" t="s">
        <v>113</v>
      </c>
      <c r="E39" s="541">
        <v>9.25</v>
      </c>
      <c r="F39" s="597"/>
      <c r="G39" s="540" t="s">
        <v>5672</v>
      </c>
      <c r="H39" s="541">
        <v>20</v>
      </c>
      <c r="I39" s="597"/>
      <c r="J39" s="540" t="s">
        <v>180</v>
      </c>
      <c r="K39" s="541">
        <v>14.75</v>
      </c>
      <c r="L39" s="597"/>
      <c r="M39" s="540" t="s">
        <v>63</v>
      </c>
      <c r="N39" s="541">
        <v>3.25</v>
      </c>
      <c r="O39" s="597"/>
      <c r="P39" s="540" t="s">
        <v>145</v>
      </c>
      <c r="Q39" s="541">
        <v>6.75</v>
      </c>
      <c r="R39" s="597"/>
      <c r="S39" s="540" t="s">
        <v>673</v>
      </c>
      <c r="T39" s="541">
        <v>24</v>
      </c>
      <c r="U39" s="597"/>
      <c r="V39" s="540" t="s">
        <v>1522</v>
      </c>
      <c r="W39" s="541">
        <v>24</v>
      </c>
      <c r="X39" s="597"/>
      <c r="Y39" s="540" t="s">
        <v>376</v>
      </c>
      <c r="Z39" s="541">
        <v>20.25</v>
      </c>
      <c r="AA39" s="597"/>
      <c r="AB39" s="542" t="s">
        <v>5625</v>
      </c>
      <c r="AC39" s="543">
        <v>4.25</v>
      </c>
      <c r="AD39" s="601"/>
      <c r="AE39" s="542" t="s">
        <v>97</v>
      </c>
      <c r="AF39" s="543">
        <v>4.5</v>
      </c>
      <c r="AG39" s="601"/>
      <c r="AH39" s="540" t="s">
        <v>359</v>
      </c>
      <c r="AI39" s="541">
        <v>24.25</v>
      </c>
      <c r="AJ39" s="597"/>
      <c r="AK39" s="540" t="s">
        <v>2614</v>
      </c>
      <c r="AL39" s="541">
        <v>24.25</v>
      </c>
      <c r="AM39" s="597"/>
      <c r="AN39" s="540" t="s">
        <v>190</v>
      </c>
      <c r="AO39" s="541">
        <v>26.25</v>
      </c>
      <c r="AP39" s="597"/>
      <c r="AQ39" s="540" t="s">
        <v>248</v>
      </c>
      <c r="AR39" s="467">
        <v>8.75</v>
      </c>
      <c r="AS39" s="597"/>
      <c r="AT39" s="540" t="s">
        <v>433</v>
      </c>
      <c r="AU39" s="541">
        <v>19.25</v>
      </c>
      <c r="AV39" s="597"/>
      <c r="AY39" s="47"/>
      <c r="BJ39" s="47"/>
      <c r="BK39" s="47"/>
      <c r="BL39" s="47"/>
      <c r="BM39" s="47"/>
      <c r="BN39" s="47"/>
      <c r="BO39" s="47"/>
      <c r="BP39" s="47"/>
    </row>
    <row r="40" spans="1:68" ht="15.75" thickBot="1" x14ac:dyDescent="0.3">
      <c r="A40" s="540" t="s">
        <v>5365</v>
      </c>
      <c r="B40" s="541">
        <v>17.75</v>
      </c>
      <c r="C40" s="597"/>
      <c r="D40" s="542" t="s">
        <v>175</v>
      </c>
      <c r="E40" s="543">
        <v>8.5</v>
      </c>
      <c r="F40" s="601"/>
      <c r="G40" s="542" t="s">
        <v>5591</v>
      </c>
      <c r="H40" s="543">
        <v>20.5</v>
      </c>
      <c r="I40" s="601"/>
      <c r="J40" s="540" t="s">
        <v>4572</v>
      </c>
      <c r="K40" s="541">
        <v>16.5</v>
      </c>
      <c r="L40" s="597"/>
      <c r="M40" s="540" t="s">
        <v>4969</v>
      </c>
      <c r="N40" s="541">
        <v>10.75</v>
      </c>
      <c r="O40" s="597"/>
      <c r="P40" s="540" t="s">
        <v>5204</v>
      </c>
      <c r="Q40" s="541">
        <v>6.75</v>
      </c>
      <c r="R40" s="597"/>
      <c r="S40" s="540" t="s">
        <v>50</v>
      </c>
      <c r="T40" s="541">
        <v>23.75</v>
      </c>
      <c r="U40" s="597"/>
      <c r="V40" s="540" t="s">
        <v>202</v>
      </c>
      <c r="W40" s="541">
        <v>11.25</v>
      </c>
      <c r="X40" s="597"/>
      <c r="Y40" s="540" t="s">
        <v>337</v>
      </c>
      <c r="Z40" s="541">
        <v>3</v>
      </c>
      <c r="AA40" s="597"/>
      <c r="AB40" s="527" t="s">
        <v>3751</v>
      </c>
      <c r="AC40" s="539">
        <v>19.25</v>
      </c>
      <c r="AD40" s="596" t="s">
        <v>12663</v>
      </c>
      <c r="AE40" s="527" t="s">
        <v>263</v>
      </c>
      <c r="AF40" s="539">
        <v>12</v>
      </c>
      <c r="AG40" s="596" t="s">
        <v>12663</v>
      </c>
      <c r="AH40" s="542" t="s">
        <v>422</v>
      </c>
      <c r="AI40" s="543">
        <v>16</v>
      </c>
      <c r="AJ40" s="601"/>
      <c r="AK40" s="542" t="s">
        <v>361</v>
      </c>
      <c r="AL40" s="543">
        <v>5.25</v>
      </c>
      <c r="AM40" s="601"/>
      <c r="AN40" s="542" t="s">
        <v>304</v>
      </c>
      <c r="AO40" s="543">
        <v>8.25</v>
      </c>
      <c r="AP40" s="601"/>
      <c r="AQ40" s="540" t="s">
        <v>11164</v>
      </c>
      <c r="AR40" s="467">
        <v>13.75</v>
      </c>
      <c r="AS40" s="597"/>
      <c r="AT40" s="540" t="s">
        <v>383</v>
      </c>
      <c r="AU40" s="541">
        <v>13.5</v>
      </c>
      <c r="AV40" s="597"/>
      <c r="AY40" s="47"/>
      <c r="BJ40" s="47"/>
      <c r="BK40" s="47"/>
      <c r="BL40" s="47"/>
      <c r="BM40" s="47"/>
      <c r="BN40" s="47"/>
      <c r="BO40" s="47"/>
      <c r="BP40" s="47"/>
    </row>
    <row r="41" spans="1:68" ht="15.75" thickBot="1" x14ac:dyDescent="0.3">
      <c r="A41" s="540" t="s">
        <v>5358</v>
      </c>
      <c r="B41" s="541">
        <v>17.75</v>
      </c>
      <c r="C41" s="597"/>
      <c r="D41" s="527" t="s">
        <v>4756</v>
      </c>
      <c r="E41" s="539">
        <v>18.5</v>
      </c>
      <c r="F41" s="596" t="s">
        <v>12663</v>
      </c>
      <c r="G41" s="527" t="s">
        <v>5543</v>
      </c>
      <c r="H41" s="539">
        <v>20.5</v>
      </c>
      <c r="I41" s="596" t="s">
        <v>12663</v>
      </c>
      <c r="J41" s="540" t="s">
        <v>4985</v>
      </c>
      <c r="K41" s="541">
        <v>16.75</v>
      </c>
      <c r="L41" s="597"/>
      <c r="M41" s="540" t="s">
        <v>21</v>
      </c>
      <c r="N41" s="541">
        <v>5</v>
      </c>
      <c r="O41" s="597"/>
      <c r="P41" s="540" t="s">
        <v>1267</v>
      </c>
      <c r="Q41" s="541">
        <v>7</v>
      </c>
      <c r="R41" s="597"/>
      <c r="S41" s="540" t="s">
        <v>1838</v>
      </c>
      <c r="T41" s="541">
        <v>23.5</v>
      </c>
      <c r="U41" s="597"/>
      <c r="V41" s="542" t="s">
        <v>5082</v>
      </c>
      <c r="W41" s="543">
        <v>11</v>
      </c>
      <c r="X41" s="601"/>
      <c r="Y41" s="540" t="s">
        <v>309</v>
      </c>
      <c r="Z41" s="541">
        <v>20.25</v>
      </c>
      <c r="AA41" s="597"/>
      <c r="AB41" s="540" t="s">
        <v>2079</v>
      </c>
      <c r="AC41" s="541">
        <v>23</v>
      </c>
      <c r="AD41" s="597"/>
      <c r="AE41" s="540" t="s">
        <v>215</v>
      </c>
      <c r="AF41" s="541">
        <v>12</v>
      </c>
      <c r="AG41" s="597"/>
      <c r="AH41" s="527" t="s">
        <v>4631</v>
      </c>
      <c r="AI41" s="539">
        <v>28.25</v>
      </c>
      <c r="AJ41" s="596" t="s">
        <v>12664</v>
      </c>
      <c r="AK41" s="527" t="s">
        <v>4469</v>
      </c>
      <c r="AL41" s="539">
        <v>30.25</v>
      </c>
      <c r="AM41" s="596" t="s">
        <v>12663</v>
      </c>
      <c r="AN41" s="527" t="s">
        <v>4640</v>
      </c>
      <c r="AO41" s="539">
        <v>19.5</v>
      </c>
      <c r="AP41" s="596" t="s">
        <v>12663</v>
      </c>
      <c r="AQ41" s="540" t="s">
        <v>187</v>
      </c>
      <c r="AR41" s="467">
        <v>12.5</v>
      </c>
      <c r="AS41" s="597"/>
      <c r="AT41" s="540" t="s">
        <v>2007</v>
      </c>
      <c r="AU41" s="541">
        <v>19.25</v>
      </c>
      <c r="AV41" s="597"/>
      <c r="AY41" s="47"/>
      <c r="BJ41" s="47"/>
      <c r="BK41" s="47"/>
      <c r="BL41" s="47"/>
      <c r="BM41" s="47"/>
      <c r="BN41" s="47"/>
      <c r="BO41" s="47"/>
      <c r="BP41" s="47"/>
    </row>
    <row r="42" spans="1:68" x14ac:dyDescent="0.25">
      <c r="A42" s="540" t="s">
        <v>3078</v>
      </c>
      <c r="B42" s="541">
        <v>17.75</v>
      </c>
      <c r="C42" s="597"/>
      <c r="D42" s="540" t="s">
        <v>5663</v>
      </c>
      <c r="E42" s="541">
        <v>18</v>
      </c>
      <c r="F42" s="597"/>
      <c r="G42" s="540" t="s">
        <v>5591</v>
      </c>
      <c r="H42" s="541">
        <v>20.5</v>
      </c>
      <c r="I42" s="597"/>
      <c r="J42" s="540" t="s">
        <v>140</v>
      </c>
      <c r="K42" s="541">
        <v>17.5</v>
      </c>
      <c r="L42" s="597"/>
      <c r="M42" s="540" t="s">
        <v>18</v>
      </c>
      <c r="N42" s="541">
        <v>4.5</v>
      </c>
      <c r="O42" s="597"/>
      <c r="P42" s="540" t="s">
        <v>290</v>
      </c>
      <c r="Q42" s="541">
        <v>7.25</v>
      </c>
      <c r="R42" s="597"/>
      <c r="S42" s="540" t="s">
        <v>37</v>
      </c>
      <c r="T42" s="541">
        <v>13.25</v>
      </c>
      <c r="U42" s="597"/>
      <c r="V42" s="527" t="s">
        <v>5068</v>
      </c>
      <c r="W42" s="539">
        <v>21.75</v>
      </c>
      <c r="X42" s="596" t="s">
        <v>12663</v>
      </c>
      <c r="Y42" s="540" t="s">
        <v>3463</v>
      </c>
      <c r="Z42" s="541">
        <v>19</v>
      </c>
      <c r="AA42" s="597"/>
      <c r="AB42" s="540" t="s">
        <v>1643</v>
      </c>
      <c r="AC42" s="541">
        <v>23</v>
      </c>
      <c r="AD42" s="597"/>
      <c r="AE42" s="540" t="s">
        <v>211</v>
      </c>
      <c r="AF42" s="541">
        <v>12</v>
      </c>
      <c r="AG42" s="597"/>
      <c r="AH42" s="540" t="s">
        <v>209</v>
      </c>
      <c r="AI42" s="541">
        <v>28.25</v>
      </c>
      <c r="AJ42" s="597"/>
      <c r="AK42" s="540" t="s">
        <v>5395</v>
      </c>
      <c r="AL42" s="541">
        <v>17.5</v>
      </c>
      <c r="AM42" s="597"/>
      <c r="AN42" s="540" t="s">
        <v>3891</v>
      </c>
      <c r="AO42" s="541">
        <v>29.75</v>
      </c>
      <c r="AP42" s="597"/>
      <c r="AQ42" s="540" t="s">
        <v>154</v>
      </c>
      <c r="AR42" s="467">
        <v>11.25</v>
      </c>
      <c r="AS42" s="597"/>
      <c r="AT42" s="540" t="s">
        <v>5471</v>
      </c>
      <c r="AU42" s="541">
        <v>18.75</v>
      </c>
      <c r="AV42" s="597"/>
      <c r="AY42" s="47"/>
      <c r="BJ42" s="47"/>
      <c r="BK42" s="47"/>
      <c r="BL42" s="47"/>
      <c r="BM42" s="47"/>
      <c r="BN42" s="47"/>
      <c r="BO42" s="47"/>
      <c r="BP42" s="47"/>
    </row>
    <row r="43" spans="1:68" ht="15.75" thickBot="1" x14ac:dyDescent="0.3">
      <c r="A43" s="540" t="s">
        <v>4900</v>
      </c>
      <c r="B43" s="541">
        <v>17.5</v>
      </c>
      <c r="C43" s="597"/>
      <c r="D43" s="540" t="s">
        <v>5196</v>
      </c>
      <c r="E43" s="541">
        <v>17.5</v>
      </c>
      <c r="F43" s="597"/>
      <c r="G43" s="540" t="s">
        <v>295</v>
      </c>
      <c r="H43" s="541">
        <v>20.25</v>
      </c>
      <c r="I43" s="597"/>
      <c r="J43" s="540" t="s">
        <v>5255</v>
      </c>
      <c r="K43" s="541">
        <v>16.5</v>
      </c>
      <c r="L43" s="597"/>
      <c r="M43" s="540" t="s">
        <v>15</v>
      </c>
      <c r="N43" s="541">
        <v>4.25</v>
      </c>
      <c r="O43" s="597"/>
      <c r="P43" s="540" t="s">
        <v>34</v>
      </c>
      <c r="Q43" s="541">
        <v>7.5</v>
      </c>
      <c r="R43" s="597"/>
      <c r="S43" s="542" t="s">
        <v>232</v>
      </c>
      <c r="T43" s="543">
        <v>11.5</v>
      </c>
      <c r="U43" s="601"/>
      <c r="V43" s="540" t="s">
        <v>883</v>
      </c>
      <c r="W43" s="541">
        <v>21.5</v>
      </c>
      <c r="X43" s="597"/>
      <c r="Y43" s="540" t="s">
        <v>4032</v>
      </c>
      <c r="Z43" s="541">
        <v>21.25</v>
      </c>
      <c r="AA43" s="597"/>
      <c r="AB43" s="540" t="s">
        <v>3008</v>
      </c>
      <c r="AC43" s="541">
        <v>22.75</v>
      </c>
      <c r="AD43" s="597"/>
      <c r="AE43" s="540" t="s">
        <v>240</v>
      </c>
      <c r="AF43" s="541">
        <v>11</v>
      </c>
      <c r="AG43" s="597"/>
      <c r="AH43" s="540" t="s">
        <v>2106</v>
      </c>
      <c r="AI43" s="541">
        <v>28.75</v>
      </c>
      <c r="AJ43" s="597"/>
      <c r="AK43" s="540" t="s">
        <v>2844</v>
      </c>
      <c r="AL43" s="541">
        <v>30.75</v>
      </c>
      <c r="AM43" s="597"/>
      <c r="AN43" s="540" t="s">
        <v>168</v>
      </c>
      <c r="AO43" s="541">
        <v>29.75</v>
      </c>
      <c r="AP43" s="597"/>
      <c r="AQ43" s="540" t="s">
        <v>81</v>
      </c>
      <c r="AR43" s="467">
        <v>13.75</v>
      </c>
      <c r="AS43" s="597"/>
      <c r="AT43" s="540" t="s">
        <v>3215</v>
      </c>
      <c r="AU43" s="541">
        <v>19.25</v>
      </c>
      <c r="AV43" s="597"/>
      <c r="AY43" s="47"/>
      <c r="BJ43" s="47"/>
      <c r="BK43" s="47"/>
      <c r="BL43" s="47"/>
      <c r="BM43" s="47"/>
      <c r="BN43" s="47"/>
      <c r="BO43" s="47"/>
      <c r="BP43" s="47"/>
    </row>
    <row r="44" spans="1:68" ht="15.75" thickBot="1" x14ac:dyDescent="0.3">
      <c r="A44" s="542" t="s">
        <v>341</v>
      </c>
      <c r="B44" s="543">
        <v>8.25</v>
      </c>
      <c r="C44" s="601"/>
      <c r="D44" s="540" t="s">
        <v>316</v>
      </c>
      <c r="E44" s="541">
        <v>17.25</v>
      </c>
      <c r="F44" s="597"/>
      <c r="G44" s="540" t="s">
        <v>5507</v>
      </c>
      <c r="H44" s="541">
        <v>20</v>
      </c>
      <c r="I44" s="597"/>
      <c r="J44" s="540" t="s">
        <v>5457</v>
      </c>
      <c r="K44" s="541">
        <v>17.75</v>
      </c>
      <c r="L44" s="597"/>
      <c r="M44" s="540" t="s">
        <v>419</v>
      </c>
      <c r="N44" s="541">
        <v>11.5</v>
      </c>
      <c r="O44" s="597"/>
      <c r="P44" s="540" t="s">
        <v>4439</v>
      </c>
      <c r="Q44" s="541">
        <v>11.75</v>
      </c>
      <c r="R44" s="597"/>
      <c r="S44" s="527" t="s">
        <v>2512</v>
      </c>
      <c r="T44" s="539">
        <v>22</v>
      </c>
      <c r="U44" s="596" t="s">
        <v>12663</v>
      </c>
      <c r="V44" s="540" t="s">
        <v>973</v>
      </c>
      <c r="W44" s="541">
        <v>21.75</v>
      </c>
      <c r="X44" s="597"/>
      <c r="Y44" s="540" t="s">
        <v>5717</v>
      </c>
      <c r="Z44" s="541">
        <v>21.25</v>
      </c>
      <c r="AA44" s="597"/>
      <c r="AB44" s="540" t="s">
        <v>575</v>
      </c>
      <c r="AC44" s="541">
        <v>22.75</v>
      </c>
      <c r="AD44" s="597"/>
      <c r="AE44" s="540" t="s">
        <v>24</v>
      </c>
      <c r="AF44" s="541">
        <v>11</v>
      </c>
      <c r="AG44" s="597"/>
      <c r="AH44" s="540" t="s">
        <v>1965</v>
      </c>
      <c r="AI44" s="541">
        <v>28.25</v>
      </c>
      <c r="AJ44" s="597"/>
      <c r="AK44" s="540" t="s">
        <v>4735</v>
      </c>
      <c r="AL44" s="541">
        <v>30.25</v>
      </c>
      <c r="AM44" s="597"/>
      <c r="AN44" s="540" t="s">
        <v>3792</v>
      </c>
      <c r="AO44" s="541">
        <v>29.75</v>
      </c>
      <c r="AP44" s="597"/>
      <c r="AQ44" s="540" t="s">
        <v>58</v>
      </c>
      <c r="AR44" s="467">
        <v>14.5</v>
      </c>
      <c r="AS44" s="597"/>
      <c r="AT44" s="540" t="s">
        <v>173</v>
      </c>
      <c r="AU44" s="541">
        <v>18</v>
      </c>
      <c r="AV44" s="597"/>
      <c r="AY44" s="47"/>
      <c r="BJ44" s="47"/>
      <c r="BK44" s="47"/>
      <c r="BL44" s="47"/>
      <c r="BM44" s="47"/>
      <c r="BN44" s="47"/>
      <c r="BO44" s="47"/>
      <c r="BP44" s="47"/>
    </row>
    <row r="45" spans="1:68" ht="15.75" thickBot="1" x14ac:dyDescent="0.3">
      <c r="A45" s="527" t="s">
        <v>435</v>
      </c>
      <c r="B45" s="539">
        <v>15.25</v>
      </c>
      <c r="C45" s="596" t="s">
        <v>12664</v>
      </c>
      <c r="D45" s="540" t="s">
        <v>110</v>
      </c>
      <c r="E45" s="541">
        <v>16.75</v>
      </c>
      <c r="F45" s="597"/>
      <c r="G45" s="540" t="s">
        <v>5672</v>
      </c>
      <c r="H45" s="541">
        <v>20</v>
      </c>
      <c r="I45" s="597"/>
      <c r="J45" s="540" t="s">
        <v>1291</v>
      </c>
      <c r="K45" s="541">
        <v>17.25</v>
      </c>
      <c r="L45" s="597"/>
      <c r="M45" s="542" t="s">
        <v>4764</v>
      </c>
      <c r="N45" s="543">
        <v>4.5</v>
      </c>
      <c r="O45" s="601"/>
      <c r="P45" s="540" t="s">
        <v>93</v>
      </c>
      <c r="Q45" s="541">
        <v>12</v>
      </c>
      <c r="R45" s="597"/>
      <c r="S45" s="540" t="s">
        <v>1695</v>
      </c>
      <c r="T45" s="541">
        <v>22.25</v>
      </c>
      <c r="U45" s="597"/>
      <c r="V45" s="540" t="s">
        <v>252</v>
      </c>
      <c r="W45" s="541">
        <v>17.75</v>
      </c>
      <c r="X45" s="597"/>
      <c r="Y45" s="540" t="s">
        <v>5295</v>
      </c>
      <c r="Z45" s="541">
        <v>21.25</v>
      </c>
      <c r="AA45" s="597"/>
      <c r="AB45" s="540" t="s">
        <v>4636</v>
      </c>
      <c r="AC45" s="541">
        <v>23</v>
      </c>
      <c r="AD45" s="597"/>
      <c r="AE45" s="540" t="s">
        <v>437</v>
      </c>
      <c r="AF45" s="541">
        <v>10.75</v>
      </c>
      <c r="AG45" s="597"/>
      <c r="AH45" s="540" t="s">
        <v>3371</v>
      </c>
      <c r="AI45" s="541">
        <v>29</v>
      </c>
      <c r="AJ45" s="597"/>
      <c r="AK45" s="540" t="s">
        <v>4266</v>
      </c>
      <c r="AL45" s="541">
        <v>29.25</v>
      </c>
      <c r="AM45" s="597"/>
      <c r="AN45" s="540" t="s">
        <v>5070</v>
      </c>
      <c r="AO45" s="541">
        <v>29.75</v>
      </c>
      <c r="AP45" s="597"/>
      <c r="AQ45" s="540" t="s">
        <v>44</v>
      </c>
      <c r="AR45" s="467">
        <v>13.75</v>
      </c>
      <c r="AS45" s="597"/>
      <c r="AT45" s="540" t="s">
        <v>2258</v>
      </c>
      <c r="AU45" s="541">
        <v>20.5</v>
      </c>
      <c r="AV45" s="597"/>
      <c r="AY45" s="47"/>
      <c r="BJ45" s="47"/>
      <c r="BK45" s="47"/>
      <c r="BL45" s="47"/>
      <c r="BM45" s="47"/>
      <c r="BN45" s="47"/>
      <c r="BO45" s="47"/>
      <c r="BP45" s="47"/>
    </row>
    <row r="46" spans="1:68" ht="15.75" thickBot="1" x14ac:dyDescent="0.3">
      <c r="A46" s="540" t="s">
        <v>320</v>
      </c>
      <c r="B46" s="541">
        <v>15.25</v>
      </c>
      <c r="C46" s="597"/>
      <c r="D46" s="540" t="s">
        <v>79</v>
      </c>
      <c r="E46" s="541">
        <v>15</v>
      </c>
      <c r="F46" s="597"/>
      <c r="G46" s="540" t="s">
        <v>402</v>
      </c>
      <c r="H46" s="541">
        <v>19.75</v>
      </c>
      <c r="I46" s="597"/>
      <c r="J46" s="540" t="s">
        <v>90</v>
      </c>
      <c r="K46" s="541">
        <v>16.5</v>
      </c>
      <c r="L46" s="597"/>
      <c r="M46" s="527" t="s">
        <v>504</v>
      </c>
      <c r="N46" s="539">
        <v>13.25</v>
      </c>
      <c r="O46" s="596" t="s">
        <v>12664</v>
      </c>
      <c r="P46" s="540" t="s">
        <v>246</v>
      </c>
      <c r="Q46" s="541">
        <v>13.25</v>
      </c>
      <c r="R46" s="597"/>
      <c r="S46" s="540" t="s">
        <v>395</v>
      </c>
      <c r="T46" s="541">
        <v>12</v>
      </c>
      <c r="U46" s="597"/>
      <c r="V46" s="540" t="s">
        <v>195</v>
      </c>
      <c r="W46" s="541">
        <v>20.25</v>
      </c>
      <c r="X46" s="597"/>
      <c r="Y46" s="542" t="s">
        <v>483</v>
      </c>
      <c r="Z46" s="543">
        <v>21</v>
      </c>
      <c r="AA46" s="601"/>
      <c r="AB46" s="540" t="s">
        <v>61</v>
      </c>
      <c r="AC46" s="541">
        <v>11.25</v>
      </c>
      <c r="AD46" s="597"/>
      <c r="AE46" s="540" t="s">
        <v>242</v>
      </c>
      <c r="AF46" s="541">
        <v>10.75</v>
      </c>
      <c r="AG46" s="597"/>
      <c r="AH46" s="542" t="s">
        <v>2061</v>
      </c>
      <c r="AI46" s="543">
        <v>25.5</v>
      </c>
      <c r="AJ46" s="601"/>
      <c r="AK46" s="542" t="s">
        <v>5179</v>
      </c>
      <c r="AL46" s="543">
        <v>30</v>
      </c>
      <c r="AM46" s="601"/>
      <c r="AN46" s="542" t="s">
        <v>1851</v>
      </c>
      <c r="AO46" s="543">
        <v>29.5</v>
      </c>
      <c r="AP46" s="601"/>
      <c r="AQ46" s="542" t="s">
        <v>14211</v>
      </c>
      <c r="AR46" s="468">
        <v>14</v>
      </c>
      <c r="AS46" s="601"/>
      <c r="AT46" s="542" t="s">
        <v>5513</v>
      </c>
      <c r="AU46" s="543">
        <v>18.5</v>
      </c>
      <c r="AV46" s="601"/>
      <c r="AY46" s="47"/>
      <c r="BJ46" s="47"/>
      <c r="BK46" s="47"/>
      <c r="BL46" s="47"/>
      <c r="BM46" s="47"/>
      <c r="BN46" s="47"/>
      <c r="BO46" s="47"/>
      <c r="BP46" s="47"/>
    </row>
    <row r="47" spans="1:68" ht="15.75" thickBot="1" x14ac:dyDescent="0.3">
      <c r="A47" s="540" t="s">
        <v>4080</v>
      </c>
      <c r="B47" s="541">
        <v>15.25</v>
      </c>
      <c r="C47" s="597"/>
      <c r="D47" s="540" t="s">
        <v>224</v>
      </c>
      <c r="E47" s="541">
        <v>13</v>
      </c>
      <c r="F47" s="597"/>
      <c r="G47" s="540" t="s">
        <v>227</v>
      </c>
      <c r="H47" s="541">
        <v>19.75</v>
      </c>
      <c r="I47" s="597"/>
      <c r="J47" s="542" t="s">
        <v>5567</v>
      </c>
      <c r="K47" s="543">
        <v>17.5</v>
      </c>
      <c r="L47" s="601"/>
      <c r="M47" s="540" t="s">
        <v>5091</v>
      </c>
      <c r="N47" s="541">
        <v>18.5</v>
      </c>
      <c r="O47" s="597"/>
      <c r="P47" s="542" t="s">
        <v>4935</v>
      </c>
      <c r="Q47" s="543">
        <v>14.75</v>
      </c>
      <c r="R47" s="601"/>
      <c r="S47" s="540" t="s">
        <v>1163</v>
      </c>
      <c r="T47" s="541">
        <v>22.25</v>
      </c>
      <c r="U47" s="597"/>
      <c r="V47" s="540" t="s">
        <v>120</v>
      </c>
      <c r="W47" s="541">
        <v>21.75</v>
      </c>
      <c r="X47" s="597"/>
      <c r="Y47" s="527" t="s">
        <v>410</v>
      </c>
      <c r="Z47" s="539">
        <v>20.75</v>
      </c>
      <c r="AA47" s="596" t="s">
        <v>12663</v>
      </c>
      <c r="AB47" s="542" t="s">
        <v>5240</v>
      </c>
      <c r="AC47" s="543">
        <v>23</v>
      </c>
      <c r="AD47" s="601"/>
      <c r="AE47" s="540" t="s">
        <v>74</v>
      </c>
      <c r="AF47" s="541">
        <v>10.5</v>
      </c>
      <c r="AG47" s="597"/>
      <c r="AH47" s="527" t="s">
        <v>3371</v>
      </c>
      <c r="AI47" s="539">
        <v>29</v>
      </c>
      <c r="AJ47" s="596" t="s">
        <v>12664</v>
      </c>
      <c r="AK47" s="527" t="s">
        <v>2844</v>
      </c>
      <c r="AL47" s="539">
        <v>30.75</v>
      </c>
      <c r="AM47" s="596" t="s">
        <v>12663</v>
      </c>
      <c r="AN47" s="527" t="s">
        <v>3891</v>
      </c>
      <c r="AO47" s="539">
        <v>29.75</v>
      </c>
      <c r="AP47" s="596" t="s">
        <v>12663</v>
      </c>
      <c r="AQ47" s="527" t="s">
        <v>58</v>
      </c>
      <c r="AR47" s="466">
        <v>14.5</v>
      </c>
      <c r="AS47" s="596" t="s">
        <v>12663</v>
      </c>
      <c r="AT47" s="527" t="s">
        <v>3941</v>
      </c>
      <c r="AU47" s="539">
        <v>21</v>
      </c>
      <c r="AV47" s="596" t="s">
        <v>12663</v>
      </c>
      <c r="AY47" s="47"/>
      <c r="BJ47" s="47"/>
      <c r="BK47" s="47"/>
      <c r="BL47" s="47"/>
      <c r="BM47" s="47"/>
      <c r="BN47" s="47"/>
      <c r="BO47" s="47"/>
      <c r="BP47" s="47"/>
    </row>
    <row r="48" spans="1:68" x14ac:dyDescent="0.25">
      <c r="A48" s="540" t="s">
        <v>5511</v>
      </c>
      <c r="B48" s="541">
        <v>15</v>
      </c>
      <c r="C48" s="597"/>
      <c r="D48" s="540" t="s">
        <v>5438</v>
      </c>
      <c r="E48" s="541">
        <v>11.75</v>
      </c>
      <c r="F48" s="597"/>
      <c r="G48" s="540" t="s">
        <v>440</v>
      </c>
      <c r="H48" s="541">
        <v>19</v>
      </c>
      <c r="I48" s="597"/>
      <c r="J48" s="527" t="s">
        <v>5457</v>
      </c>
      <c r="K48" s="539">
        <v>17.75</v>
      </c>
      <c r="L48" s="596" t="s">
        <v>12663</v>
      </c>
      <c r="M48" s="540" t="s">
        <v>397</v>
      </c>
      <c r="N48" s="541">
        <v>20</v>
      </c>
      <c r="O48" s="597"/>
      <c r="P48" s="527" t="s">
        <v>4964</v>
      </c>
      <c r="Q48" s="539">
        <v>15.5</v>
      </c>
      <c r="R48" s="600" t="s">
        <v>12663</v>
      </c>
      <c r="S48" s="540" t="s">
        <v>185</v>
      </c>
      <c r="T48" s="541">
        <v>22.5</v>
      </c>
      <c r="U48" s="597"/>
      <c r="V48" s="540" t="s">
        <v>2476</v>
      </c>
      <c r="W48" s="541">
        <v>21.5</v>
      </c>
      <c r="X48" s="597"/>
      <c r="Y48" s="540" t="s">
        <v>376</v>
      </c>
      <c r="Z48" s="541">
        <v>20.25</v>
      </c>
      <c r="AA48" s="597"/>
      <c r="AB48" s="527" t="s">
        <v>2079</v>
      </c>
      <c r="AC48" s="539">
        <v>23</v>
      </c>
      <c r="AD48" s="596" t="s">
        <v>12663</v>
      </c>
      <c r="AE48" s="540" t="s">
        <v>4239</v>
      </c>
      <c r="AF48" s="541">
        <v>9.75</v>
      </c>
      <c r="AG48" s="597"/>
      <c r="AH48" s="540" t="s">
        <v>2106</v>
      </c>
      <c r="AI48" s="541">
        <v>28.75</v>
      </c>
      <c r="AJ48" s="597"/>
      <c r="AK48" s="540" t="s">
        <v>4469</v>
      </c>
      <c r="AL48" s="541">
        <v>30.25</v>
      </c>
      <c r="AM48" s="597"/>
      <c r="AN48" s="540" t="s">
        <v>168</v>
      </c>
      <c r="AO48" s="541">
        <v>29.75</v>
      </c>
      <c r="AP48" s="597"/>
      <c r="AQ48" s="540" t="s">
        <v>328</v>
      </c>
      <c r="AR48" s="467">
        <v>14.25</v>
      </c>
      <c r="AS48" s="597"/>
      <c r="AT48" s="540" t="s">
        <v>2258</v>
      </c>
      <c r="AU48" s="541">
        <v>20.5</v>
      </c>
      <c r="AV48" s="597"/>
      <c r="AY48" s="47"/>
      <c r="BJ48" s="47"/>
      <c r="BK48" s="47"/>
      <c r="BL48" s="47"/>
      <c r="BM48" s="47"/>
      <c r="BN48" s="47"/>
      <c r="BO48" s="47"/>
      <c r="BP48" s="47"/>
    </row>
    <row r="49" spans="1:68" ht="15.75" thickBot="1" x14ac:dyDescent="0.3">
      <c r="A49" s="540" t="s">
        <v>14216</v>
      </c>
      <c r="B49" s="541">
        <v>15</v>
      </c>
      <c r="C49" s="597"/>
      <c r="D49" s="540" t="s">
        <v>419</v>
      </c>
      <c r="E49" s="541">
        <v>11.5</v>
      </c>
      <c r="F49" s="597"/>
      <c r="G49" s="542" t="s">
        <v>351</v>
      </c>
      <c r="H49" s="543">
        <v>8.25</v>
      </c>
      <c r="I49" s="601"/>
      <c r="J49" s="540" t="s">
        <v>140</v>
      </c>
      <c r="K49" s="541">
        <v>17.5</v>
      </c>
      <c r="L49" s="597"/>
      <c r="M49" s="540" t="s">
        <v>5010</v>
      </c>
      <c r="N49" s="541">
        <v>19.5</v>
      </c>
      <c r="O49" s="597"/>
      <c r="P49" s="540" t="s">
        <v>5430</v>
      </c>
      <c r="Q49" s="541">
        <v>15.75</v>
      </c>
      <c r="R49" s="598"/>
      <c r="S49" s="540" t="s">
        <v>170</v>
      </c>
      <c r="T49" s="541">
        <v>22.25</v>
      </c>
      <c r="U49" s="597"/>
      <c r="V49" s="542" t="s">
        <v>2579</v>
      </c>
      <c r="W49" s="543">
        <v>21.75</v>
      </c>
      <c r="X49" s="601"/>
      <c r="Y49" s="540" t="s">
        <v>337</v>
      </c>
      <c r="Z49" s="541">
        <v>3</v>
      </c>
      <c r="AA49" s="597"/>
      <c r="AB49" s="540" t="s">
        <v>1643</v>
      </c>
      <c r="AC49" s="541">
        <v>23</v>
      </c>
      <c r="AD49" s="597"/>
      <c r="AE49" s="540" t="s">
        <v>244</v>
      </c>
      <c r="AF49" s="541">
        <v>9.75</v>
      </c>
      <c r="AG49" s="597"/>
      <c r="AH49" s="540" t="s">
        <v>4631</v>
      </c>
      <c r="AI49" s="541">
        <v>28.25</v>
      </c>
      <c r="AJ49" s="597"/>
      <c r="AK49" s="540" t="s">
        <v>4735</v>
      </c>
      <c r="AL49" s="541">
        <v>30.25</v>
      </c>
      <c r="AM49" s="597"/>
      <c r="AN49" s="540" t="s">
        <v>3792</v>
      </c>
      <c r="AO49" s="541">
        <v>29.75</v>
      </c>
      <c r="AP49" s="597"/>
      <c r="AQ49" s="540" t="s">
        <v>14211</v>
      </c>
      <c r="AR49" s="467">
        <v>14</v>
      </c>
      <c r="AS49" s="597"/>
      <c r="AT49" s="540" t="s">
        <v>433</v>
      </c>
      <c r="AU49" s="541">
        <v>19.25</v>
      </c>
      <c r="AV49" s="597"/>
      <c r="AY49" s="47"/>
      <c r="BJ49" s="47"/>
      <c r="BK49" s="47"/>
      <c r="BL49" s="47"/>
      <c r="BM49" s="47"/>
      <c r="BN49" s="47"/>
      <c r="BO49" s="47"/>
      <c r="BP49" s="47"/>
    </row>
    <row r="50" spans="1:68" x14ac:dyDescent="0.25">
      <c r="A50" s="540" t="s">
        <v>3365</v>
      </c>
      <c r="B50" s="541">
        <v>12.5</v>
      </c>
      <c r="C50" s="597"/>
      <c r="D50" s="540" t="s">
        <v>3243</v>
      </c>
      <c r="E50" s="541">
        <v>11</v>
      </c>
      <c r="F50" s="597"/>
      <c r="G50" s="527" t="s">
        <v>4814</v>
      </c>
      <c r="H50" s="539">
        <v>17</v>
      </c>
      <c r="I50" s="596" t="s">
        <v>12663</v>
      </c>
      <c r="J50" s="540" t="s">
        <v>5567</v>
      </c>
      <c r="K50" s="541">
        <v>17.5</v>
      </c>
      <c r="L50" s="597"/>
      <c r="M50" s="540" t="s">
        <v>268</v>
      </c>
      <c r="N50" s="541">
        <v>4.25</v>
      </c>
      <c r="O50" s="597"/>
      <c r="P50" s="540" t="s">
        <v>4410</v>
      </c>
      <c r="Q50" s="541">
        <v>14.75</v>
      </c>
      <c r="R50" s="598"/>
      <c r="S50" s="540" t="s">
        <v>160</v>
      </c>
      <c r="T50" s="541">
        <v>22.25</v>
      </c>
      <c r="U50" s="597"/>
      <c r="V50" s="527" t="s">
        <v>5068</v>
      </c>
      <c r="W50" s="539">
        <v>21.75</v>
      </c>
      <c r="X50" s="596" t="s">
        <v>12663</v>
      </c>
      <c r="Y50" s="540" t="s">
        <v>309</v>
      </c>
      <c r="Z50" s="541">
        <v>20.25</v>
      </c>
      <c r="AA50" s="597"/>
      <c r="AB50" s="540" t="s">
        <v>4636</v>
      </c>
      <c r="AC50" s="541">
        <v>23</v>
      </c>
      <c r="AD50" s="597"/>
      <c r="AE50" s="540" t="s">
        <v>117</v>
      </c>
      <c r="AF50" s="541">
        <v>9.5</v>
      </c>
      <c r="AG50" s="597"/>
      <c r="AH50" s="540" t="s">
        <v>209</v>
      </c>
      <c r="AI50" s="541">
        <v>28.25</v>
      </c>
      <c r="AJ50" s="597"/>
      <c r="AK50" s="540" t="s">
        <v>5179</v>
      </c>
      <c r="AL50" s="541">
        <v>30</v>
      </c>
      <c r="AM50" s="597"/>
      <c r="AN50" s="540" t="s">
        <v>5070</v>
      </c>
      <c r="AO50" s="541">
        <v>29.75</v>
      </c>
      <c r="AP50" s="597"/>
      <c r="AQ50" s="540" t="s">
        <v>11164</v>
      </c>
      <c r="AR50" s="467">
        <v>13.75</v>
      </c>
      <c r="AS50" s="597"/>
      <c r="AT50" s="540" t="s">
        <v>2007</v>
      </c>
      <c r="AU50" s="541">
        <v>19.25</v>
      </c>
      <c r="AV50" s="597"/>
      <c r="AY50" s="47"/>
      <c r="BJ50" s="47"/>
      <c r="BK50" s="47"/>
      <c r="BL50" s="47"/>
      <c r="BM50" s="47"/>
      <c r="BN50" s="47"/>
      <c r="BO50" s="47"/>
      <c r="BP50" s="47"/>
    </row>
    <row r="51" spans="1:68" ht="15.75" thickBot="1" x14ac:dyDescent="0.3">
      <c r="A51" s="540" t="s">
        <v>3628</v>
      </c>
      <c r="B51" s="541">
        <v>12.25</v>
      </c>
      <c r="C51" s="597"/>
      <c r="D51" s="540" t="s">
        <v>113</v>
      </c>
      <c r="E51" s="541">
        <v>9.25</v>
      </c>
      <c r="F51" s="597"/>
      <c r="G51" s="540" t="s">
        <v>5031</v>
      </c>
      <c r="H51" s="541">
        <v>18.5</v>
      </c>
      <c r="I51" s="597"/>
      <c r="J51" s="540" t="s">
        <v>1291</v>
      </c>
      <c r="K51" s="541">
        <v>17.25</v>
      </c>
      <c r="L51" s="597"/>
      <c r="M51" s="540" t="s">
        <v>3999</v>
      </c>
      <c r="N51" s="541">
        <v>16.75</v>
      </c>
      <c r="O51" s="597"/>
      <c r="P51" s="540" t="s">
        <v>3165</v>
      </c>
      <c r="Q51" s="541">
        <v>15.75</v>
      </c>
      <c r="R51" s="598"/>
      <c r="S51" s="542" t="s">
        <v>820</v>
      </c>
      <c r="T51" s="543">
        <v>22.5</v>
      </c>
      <c r="U51" s="601"/>
      <c r="V51" s="540" t="s">
        <v>973</v>
      </c>
      <c r="W51" s="541">
        <v>21.75</v>
      </c>
      <c r="X51" s="597"/>
      <c r="Y51" s="540" t="s">
        <v>3463</v>
      </c>
      <c r="Z51" s="541">
        <v>19</v>
      </c>
      <c r="AA51" s="597"/>
      <c r="AB51" s="540" t="s">
        <v>5240</v>
      </c>
      <c r="AC51" s="541">
        <v>23</v>
      </c>
      <c r="AD51" s="597"/>
      <c r="AE51" s="540" t="s">
        <v>3</v>
      </c>
      <c r="AF51" s="541">
        <v>8.5</v>
      </c>
      <c r="AG51" s="597"/>
      <c r="AH51" s="540" t="s">
        <v>1965</v>
      </c>
      <c r="AI51" s="541">
        <v>28.25</v>
      </c>
      <c r="AJ51" s="597"/>
      <c r="AK51" s="540" t="s">
        <v>4266</v>
      </c>
      <c r="AL51" s="541">
        <v>29.25</v>
      </c>
      <c r="AM51" s="597"/>
      <c r="AN51" s="540" t="s">
        <v>1851</v>
      </c>
      <c r="AO51" s="541">
        <v>29.5</v>
      </c>
      <c r="AP51" s="597"/>
      <c r="AQ51" s="540" t="s">
        <v>81</v>
      </c>
      <c r="AR51" s="467">
        <v>13.75</v>
      </c>
      <c r="AS51" s="597"/>
      <c r="AT51" s="540" t="s">
        <v>3215</v>
      </c>
      <c r="AU51" s="541">
        <v>19.25</v>
      </c>
      <c r="AV51" s="597"/>
      <c r="AY51" s="47"/>
      <c r="BJ51" s="47"/>
      <c r="BK51" s="47"/>
      <c r="BL51" s="47"/>
      <c r="BM51" s="47"/>
      <c r="BN51" s="47"/>
      <c r="BO51" s="47"/>
      <c r="BP51" s="47"/>
    </row>
    <row r="52" spans="1:68" ht="15.75" thickBot="1" x14ac:dyDescent="0.3">
      <c r="A52" s="540" t="s">
        <v>3539</v>
      </c>
      <c r="B52" s="541">
        <v>11.75</v>
      </c>
      <c r="C52" s="597"/>
      <c r="D52" s="542" t="s">
        <v>175</v>
      </c>
      <c r="E52" s="543">
        <v>8.5</v>
      </c>
      <c r="F52" s="601"/>
      <c r="G52" s="540" t="s">
        <v>393</v>
      </c>
      <c r="H52" s="541">
        <v>18.25</v>
      </c>
      <c r="I52" s="597"/>
      <c r="J52" s="540" t="s">
        <v>5653</v>
      </c>
      <c r="K52" s="541">
        <v>17</v>
      </c>
      <c r="L52" s="597"/>
      <c r="M52" s="540" t="s">
        <v>4891</v>
      </c>
      <c r="N52" s="541">
        <v>19.75</v>
      </c>
      <c r="O52" s="597"/>
      <c r="P52" s="540" t="s">
        <v>4779</v>
      </c>
      <c r="Q52" s="541">
        <v>15.25</v>
      </c>
      <c r="R52" s="598"/>
      <c r="S52" s="527" t="s">
        <v>185</v>
      </c>
      <c r="T52" s="539">
        <v>22.5</v>
      </c>
      <c r="U52" s="596" t="s">
        <v>12663</v>
      </c>
      <c r="V52" s="540" t="s">
        <v>120</v>
      </c>
      <c r="W52" s="541">
        <v>21.75</v>
      </c>
      <c r="X52" s="597"/>
      <c r="Y52" s="540" t="s">
        <v>4032</v>
      </c>
      <c r="Z52" s="541">
        <v>21.25</v>
      </c>
      <c r="AA52" s="597"/>
      <c r="AB52" s="540" t="s">
        <v>3008</v>
      </c>
      <c r="AC52" s="541">
        <v>22.75</v>
      </c>
      <c r="AD52" s="597"/>
      <c r="AE52" s="540" t="s">
        <v>217</v>
      </c>
      <c r="AF52" s="541">
        <v>6.75</v>
      </c>
      <c r="AG52" s="597"/>
      <c r="AH52" s="542" t="s">
        <v>2061</v>
      </c>
      <c r="AI52" s="543">
        <v>25.5</v>
      </c>
      <c r="AJ52" s="601"/>
      <c r="AK52" s="542" t="s">
        <v>5395</v>
      </c>
      <c r="AL52" s="543">
        <v>17.5</v>
      </c>
      <c r="AM52" s="601"/>
      <c r="AN52" s="542" t="s">
        <v>4640</v>
      </c>
      <c r="AO52" s="543">
        <v>19.5</v>
      </c>
      <c r="AP52" s="601"/>
      <c r="AQ52" s="540" t="s">
        <v>44</v>
      </c>
      <c r="AR52" s="467">
        <v>13.75</v>
      </c>
      <c r="AS52" s="597"/>
      <c r="AT52" s="540" t="s">
        <v>5471</v>
      </c>
      <c r="AU52" s="541">
        <v>18.75</v>
      </c>
      <c r="AV52" s="597"/>
      <c r="AY52" s="47"/>
      <c r="BJ52" s="47"/>
      <c r="BK52" s="47"/>
      <c r="BL52" s="47"/>
      <c r="BM52" s="47"/>
      <c r="BN52" s="47"/>
      <c r="BO52" s="47"/>
      <c r="BP52" s="47"/>
    </row>
    <row r="53" spans="1:68" x14ac:dyDescent="0.25">
      <c r="A53" s="540" t="s">
        <v>1904</v>
      </c>
      <c r="B53" s="541">
        <v>11.75</v>
      </c>
      <c r="C53" s="597"/>
      <c r="D53" s="527" t="s">
        <v>3295</v>
      </c>
      <c r="E53" s="539">
        <v>25.25</v>
      </c>
      <c r="F53" s="596" t="s">
        <v>12663</v>
      </c>
      <c r="G53" s="540" t="s">
        <v>5658</v>
      </c>
      <c r="H53" s="541">
        <v>18</v>
      </c>
      <c r="I53" s="597"/>
      <c r="J53" s="540" t="s">
        <v>4985</v>
      </c>
      <c r="K53" s="541">
        <v>16.75</v>
      </c>
      <c r="L53" s="597"/>
      <c r="M53" s="540" t="s">
        <v>5495</v>
      </c>
      <c r="N53" s="541">
        <v>20.75</v>
      </c>
      <c r="O53" s="597"/>
      <c r="P53" s="540" t="s">
        <v>272</v>
      </c>
      <c r="Q53" s="541">
        <v>13.75</v>
      </c>
      <c r="R53" s="598"/>
      <c r="S53" s="540" t="s">
        <v>820</v>
      </c>
      <c r="T53" s="541">
        <v>22.5</v>
      </c>
      <c r="U53" s="597"/>
      <c r="V53" s="540" t="s">
        <v>2579</v>
      </c>
      <c r="W53" s="541">
        <v>21.75</v>
      </c>
      <c r="X53" s="597"/>
      <c r="Y53" s="540" t="s">
        <v>5717</v>
      </c>
      <c r="Z53" s="541">
        <v>21.25</v>
      </c>
      <c r="AA53" s="597"/>
      <c r="AB53" s="540" t="s">
        <v>575</v>
      </c>
      <c r="AC53" s="541">
        <v>22.75</v>
      </c>
      <c r="AD53" s="597"/>
      <c r="AE53" s="540" t="s">
        <v>277</v>
      </c>
      <c r="AF53" s="541">
        <v>6.5</v>
      </c>
      <c r="AG53" s="597"/>
      <c r="AH53" s="527" t="s">
        <v>3371</v>
      </c>
      <c r="AI53" s="539">
        <v>29</v>
      </c>
      <c r="AJ53" s="596" t="s">
        <v>12664</v>
      </c>
      <c r="AK53" s="527" t="s">
        <v>2844</v>
      </c>
      <c r="AL53" s="539">
        <v>30.75</v>
      </c>
      <c r="AM53" s="596" t="s">
        <v>12663</v>
      </c>
      <c r="AN53" s="527" t="s">
        <v>2710</v>
      </c>
      <c r="AO53" s="539">
        <v>30.75</v>
      </c>
      <c r="AP53" s="596" t="s">
        <v>12663</v>
      </c>
      <c r="AQ53" s="540" t="s">
        <v>355</v>
      </c>
      <c r="AR53" s="467">
        <v>13.5</v>
      </c>
      <c r="AS53" s="597"/>
      <c r="AT53" s="540" t="s">
        <v>5513</v>
      </c>
      <c r="AU53" s="541">
        <v>18.5</v>
      </c>
      <c r="AV53" s="597"/>
      <c r="AY53" s="47"/>
      <c r="BJ53" s="47"/>
      <c r="BK53" s="47"/>
      <c r="BL53" s="47"/>
      <c r="BM53" s="47"/>
      <c r="BN53" s="47"/>
      <c r="BO53" s="47"/>
      <c r="BP53" s="47"/>
    </row>
    <row r="54" spans="1:68" x14ac:dyDescent="0.25">
      <c r="A54" s="540" t="s">
        <v>5047</v>
      </c>
      <c r="B54" s="541">
        <v>11.75</v>
      </c>
      <c r="C54" s="597"/>
      <c r="D54" s="540" t="s">
        <v>5155</v>
      </c>
      <c r="E54" s="541">
        <v>24.75</v>
      </c>
      <c r="F54" s="597"/>
      <c r="G54" s="540" t="s">
        <v>5221</v>
      </c>
      <c r="H54" s="541">
        <v>18.25</v>
      </c>
      <c r="I54" s="597"/>
      <c r="J54" s="540" t="s">
        <v>4572</v>
      </c>
      <c r="K54" s="541">
        <v>16.5</v>
      </c>
      <c r="L54" s="597"/>
      <c r="M54" s="540" t="s">
        <v>5475</v>
      </c>
      <c r="N54" s="541">
        <v>21.25</v>
      </c>
      <c r="O54" s="597"/>
      <c r="P54" s="540" t="s">
        <v>3674</v>
      </c>
      <c r="Q54" s="541">
        <v>12.25</v>
      </c>
      <c r="R54" s="598"/>
      <c r="S54" s="540" t="s">
        <v>1695</v>
      </c>
      <c r="T54" s="541">
        <v>22.25</v>
      </c>
      <c r="U54" s="597"/>
      <c r="V54" s="136" t="s">
        <v>883</v>
      </c>
      <c r="W54" s="541">
        <v>21.5</v>
      </c>
      <c r="X54" s="597"/>
      <c r="Y54" s="540" t="s">
        <v>5295</v>
      </c>
      <c r="Z54" s="541">
        <v>21.25</v>
      </c>
      <c r="AA54" s="597"/>
      <c r="AB54" s="540" t="s">
        <v>3751</v>
      </c>
      <c r="AC54" s="541">
        <v>19.25</v>
      </c>
      <c r="AD54" s="597"/>
      <c r="AE54" s="540" t="s">
        <v>65</v>
      </c>
      <c r="AF54" s="541">
        <v>6.5</v>
      </c>
      <c r="AG54" s="597"/>
      <c r="AH54" s="540" t="s">
        <v>2106</v>
      </c>
      <c r="AI54" s="541">
        <v>28.75</v>
      </c>
      <c r="AJ54" s="597"/>
      <c r="AK54" s="540" t="s">
        <v>4469</v>
      </c>
      <c r="AL54" s="541">
        <v>30.25</v>
      </c>
      <c r="AM54" s="597"/>
      <c r="AN54" s="540" t="s">
        <v>2520</v>
      </c>
      <c r="AO54" s="541">
        <v>31</v>
      </c>
      <c r="AP54" s="597"/>
      <c r="AQ54" s="540" t="s">
        <v>300</v>
      </c>
      <c r="AR54" s="467">
        <v>13</v>
      </c>
      <c r="AS54" s="597"/>
      <c r="AT54" s="540" t="s">
        <v>173</v>
      </c>
      <c r="AU54" s="541">
        <v>18</v>
      </c>
      <c r="AV54" s="597"/>
      <c r="AY54" s="47"/>
      <c r="BJ54" s="47"/>
      <c r="BK54" s="47"/>
      <c r="BL54" s="47"/>
      <c r="BM54" s="47"/>
      <c r="BN54" s="47"/>
      <c r="BO54" s="47"/>
      <c r="BP54" s="47"/>
    </row>
    <row r="55" spans="1:68" ht="15.75" thickBot="1" x14ac:dyDescent="0.3">
      <c r="A55" s="540" t="s">
        <v>2766</v>
      </c>
      <c r="B55" s="541">
        <v>11.25</v>
      </c>
      <c r="C55" s="597"/>
      <c r="D55" s="540" t="s">
        <v>3339</v>
      </c>
      <c r="E55" s="541">
        <v>24.5</v>
      </c>
      <c r="F55" s="597"/>
      <c r="G55" s="540" t="s">
        <v>259</v>
      </c>
      <c r="H55" s="541">
        <v>4</v>
      </c>
      <c r="I55" s="597"/>
      <c r="J55" s="540" t="s">
        <v>5255</v>
      </c>
      <c r="K55" s="541">
        <v>16.5</v>
      </c>
      <c r="L55" s="597"/>
      <c r="M55" s="542" t="s">
        <v>14211</v>
      </c>
      <c r="N55" s="543">
        <v>14</v>
      </c>
      <c r="O55" s="601"/>
      <c r="P55" s="540" t="s">
        <v>4160</v>
      </c>
      <c r="Q55" s="541">
        <v>15.5</v>
      </c>
      <c r="R55" s="598"/>
      <c r="S55" s="540" t="s">
        <v>1163</v>
      </c>
      <c r="T55" s="541">
        <v>22.25</v>
      </c>
      <c r="U55" s="597"/>
      <c r="V55" s="136" t="s">
        <v>2476</v>
      </c>
      <c r="W55" s="541">
        <v>21.5</v>
      </c>
      <c r="X55" s="597"/>
      <c r="Y55" s="542" t="s">
        <v>483</v>
      </c>
      <c r="Z55" s="543">
        <v>21</v>
      </c>
      <c r="AA55" s="601"/>
      <c r="AB55" s="542" t="s">
        <v>61</v>
      </c>
      <c r="AC55" s="543">
        <v>11.25</v>
      </c>
      <c r="AD55" s="601"/>
      <c r="AE55" s="540" t="s">
        <v>385</v>
      </c>
      <c r="AF55" s="541">
        <v>6.25</v>
      </c>
      <c r="AG55" s="597"/>
      <c r="AH55" s="540" t="s">
        <v>4631</v>
      </c>
      <c r="AI55" s="541">
        <v>28.25</v>
      </c>
      <c r="AJ55" s="597"/>
      <c r="AK55" s="540" t="s">
        <v>4735</v>
      </c>
      <c r="AL55" s="541">
        <v>30.25</v>
      </c>
      <c r="AM55" s="597"/>
      <c r="AN55" s="540" t="s">
        <v>4391</v>
      </c>
      <c r="AO55" s="541">
        <v>31.25</v>
      </c>
      <c r="AP55" s="597"/>
      <c r="AQ55" s="540" t="s">
        <v>414</v>
      </c>
      <c r="AR55" s="467">
        <v>12.75</v>
      </c>
      <c r="AS55" s="597"/>
      <c r="AT55" s="542" t="s">
        <v>383</v>
      </c>
      <c r="AU55" s="543">
        <v>13.5</v>
      </c>
      <c r="AV55" s="601"/>
      <c r="AY55" s="47"/>
      <c r="BJ55" s="47"/>
      <c r="BK55" s="47"/>
      <c r="BL55" s="47"/>
      <c r="BM55" s="47"/>
      <c r="BN55" s="47"/>
      <c r="BO55" s="47"/>
      <c r="BP55" s="47"/>
    </row>
    <row r="56" spans="1:68" x14ac:dyDescent="0.25">
      <c r="A56" s="540" t="s">
        <v>302</v>
      </c>
      <c r="B56" s="541">
        <v>10.75</v>
      </c>
      <c r="C56" s="597"/>
      <c r="D56" s="540" t="s">
        <v>3274</v>
      </c>
      <c r="E56" s="541">
        <v>24.5</v>
      </c>
      <c r="F56" s="597"/>
      <c r="G56" s="540" t="s">
        <v>5639</v>
      </c>
      <c r="H56" s="541">
        <v>18.5</v>
      </c>
      <c r="I56" s="597"/>
      <c r="J56" s="540" t="s">
        <v>90</v>
      </c>
      <c r="K56" s="541">
        <v>16.5</v>
      </c>
      <c r="L56" s="597"/>
      <c r="M56" s="527" t="s">
        <v>3365</v>
      </c>
      <c r="N56" s="539">
        <v>12.5</v>
      </c>
      <c r="O56" s="596" t="s">
        <v>12664</v>
      </c>
      <c r="P56" s="540" t="s">
        <v>213</v>
      </c>
      <c r="Q56" s="541">
        <v>11.5</v>
      </c>
      <c r="R56" s="598"/>
      <c r="S56" s="540" t="s">
        <v>170</v>
      </c>
      <c r="T56" s="541">
        <v>22.25</v>
      </c>
      <c r="U56" s="597"/>
      <c r="V56" s="136" t="s">
        <v>195</v>
      </c>
      <c r="W56" s="541">
        <v>20.25</v>
      </c>
      <c r="X56" s="597"/>
      <c r="Y56" s="527" t="s">
        <v>4229</v>
      </c>
      <c r="Z56" s="539">
        <v>20</v>
      </c>
      <c r="AA56" s="596" t="s">
        <v>12663</v>
      </c>
      <c r="AB56" s="527" t="s">
        <v>4551</v>
      </c>
      <c r="AC56" s="539">
        <v>20.5</v>
      </c>
      <c r="AD56" s="596" t="s">
        <v>12663</v>
      </c>
      <c r="AE56" s="540" t="s">
        <v>347</v>
      </c>
      <c r="AF56" s="541">
        <v>5.5</v>
      </c>
      <c r="AG56" s="597"/>
      <c r="AH56" s="540" t="s">
        <v>209</v>
      </c>
      <c r="AI56" s="541">
        <v>28.25</v>
      </c>
      <c r="AJ56" s="597"/>
      <c r="AK56" s="540" t="s">
        <v>5179</v>
      </c>
      <c r="AL56" s="541">
        <v>30</v>
      </c>
      <c r="AM56" s="597"/>
      <c r="AN56" s="540" t="s">
        <v>4824</v>
      </c>
      <c r="AO56" s="541">
        <v>13</v>
      </c>
      <c r="AP56" s="597"/>
      <c r="AQ56" s="540" t="s">
        <v>187</v>
      </c>
      <c r="AR56" s="467">
        <v>12.5</v>
      </c>
      <c r="AS56" s="597"/>
      <c r="AT56" s="527" t="s">
        <v>3941</v>
      </c>
      <c r="AU56" s="539">
        <v>21</v>
      </c>
      <c r="AV56" s="596" t="s">
        <v>12663</v>
      </c>
      <c r="AY56" s="47"/>
      <c r="BJ56" s="47"/>
      <c r="BK56" s="47"/>
      <c r="BL56" s="47"/>
      <c r="BM56" s="47"/>
      <c r="BN56" s="47"/>
      <c r="BO56" s="47"/>
      <c r="BP56" s="47"/>
    </row>
    <row r="57" spans="1:68" ht="15.75" thickBot="1" x14ac:dyDescent="0.3">
      <c r="A57" s="542" t="s">
        <v>4677</v>
      </c>
      <c r="B57" s="543">
        <v>10.25</v>
      </c>
      <c r="C57" s="601"/>
      <c r="D57" s="540" t="s">
        <v>2962</v>
      </c>
      <c r="E57" s="541">
        <v>24</v>
      </c>
      <c r="F57" s="597"/>
      <c r="G57" s="540" t="s">
        <v>5219</v>
      </c>
      <c r="H57" s="541">
        <v>18.5</v>
      </c>
      <c r="I57" s="597"/>
      <c r="J57" s="542" t="s">
        <v>180</v>
      </c>
      <c r="K57" s="543">
        <v>14.75</v>
      </c>
      <c r="L57" s="601"/>
      <c r="M57" s="540" t="s">
        <v>435</v>
      </c>
      <c r="N57" s="541">
        <v>15.25</v>
      </c>
      <c r="O57" s="597"/>
      <c r="P57" s="540" t="s">
        <v>4979</v>
      </c>
      <c r="Q57" s="541">
        <v>22.75</v>
      </c>
      <c r="R57" s="598"/>
      <c r="S57" s="540" t="s">
        <v>160</v>
      </c>
      <c r="T57" s="541">
        <v>22.25</v>
      </c>
      <c r="U57" s="597"/>
      <c r="V57" s="545" t="s">
        <v>252</v>
      </c>
      <c r="W57" s="543">
        <v>17.75</v>
      </c>
      <c r="X57" s="601"/>
      <c r="Y57" s="540" t="s">
        <v>236</v>
      </c>
      <c r="Z57" s="541">
        <v>12</v>
      </c>
      <c r="AA57" s="597"/>
      <c r="AB57" s="540" t="s">
        <v>1600</v>
      </c>
      <c r="AC57" s="541">
        <v>22.5</v>
      </c>
      <c r="AD57" s="597"/>
      <c r="AE57" s="540" t="s">
        <v>114</v>
      </c>
      <c r="AF57" s="541">
        <v>4.5</v>
      </c>
      <c r="AG57" s="597"/>
      <c r="AH57" s="540" t="s">
        <v>1965</v>
      </c>
      <c r="AI57" s="541">
        <v>28.25</v>
      </c>
      <c r="AJ57" s="597"/>
      <c r="AK57" s="540" t="s">
        <v>4266</v>
      </c>
      <c r="AL57" s="541">
        <v>29.25</v>
      </c>
      <c r="AM57" s="597"/>
      <c r="AN57" s="540" t="s">
        <v>3452</v>
      </c>
      <c r="AO57" s="541">
        <v>31.5</v>
      </c>
      <c r="AP57" s="597"/>
      <c r="AQ57" s="540" t="s">
        <v>448</v>
      </c>
      <c r="AR57" s="467">
        <v>12.25</v>
      </c>
      <c r="AS57" s="597"/>
      <c r="AT57" s="540" t="s">
        <v>2258</v>
      </c>
      <c r="AU57" s="541">
        <v>20.5</v>
      </c>
      <c r="AV57" s="597"/>
      <c r="AY57" s="47"/>
      <c r="BJ57" s="47"/>
      <c r="BK57" s="47"/>
      <c r="BL57" s="47"/>
      <c r="BM57" s="47"/>
      <c r="BN57" s="47"/>
      <c r="BO57" s="47"/>
      <c r="BP57" s="47"/>
    </row>
    <row r="58" spans="1:68" ht="15.75" thickBot="1" x14ac:dyDescent="0.3">
      <c r="A58" s="527" t="s">
        <v>5419</v>
      </c>
      <c r="B58" s="539">
        <v>16.25</v>
      </c>
      <c r="C58" s="596" t="s">
        <v>12663</v>
      </c>
      <c r="D58" s="540" t="s">
        <v>4644</v>
      </c>
      <c r="E58" s="541">
        <v>22.5</v>
      </c>
      <c r="F58" s="597"/>
      <c r="G58" s="540" t="s">
        <v>5190</v>
      </c>
      <c r="H58" s="541">
        <v>18.5</v>
      </c>
      <c r="I58" s="597"/>
      <c r="J58" s="527" t="s">
        <v>4828</v>
      </c>
      <c r="K58" s="539">
        <v>15.75</v>
      </c>
      <c r="L58" s="596" t="s">
        <v>12663</v>
      </c>
      <c r="M58" s="540" t="s">
        <v>3539</v>
      </c>
      <c r="N58" s="541">
        <v>11.75</v>
      </c>
      <c r="O58" s="597"/>
      <c r="P58" s="542" t="s">
        <v>4611</v>
      </c>
      <c r="Q58" s="543">
        <v>15.25</v>
      </c>
      <c r="R58" s="599"/>
      <c r="S58" s="540" t="s">
        <v>2512</v>
      </c>
      <c r="T58" s="541">
        <v>22</v>
      </c>
      <c r="U58" s="597"/>
      <c r="V58" s="527" t="s">
        <v>3339</v>
      </c>
      <c r="W58" s="539">
        <v>24.5</v>
      </c>
      <c r="X58" s="596" t="s">
        <v>12663</v>
      </c>
      <c r="Y58" s="540" t="s">
        <v>5483</v>
      </c>
      <c r="Z58" s="541">
        <v>16</v>
      </c>
      <c r="AA58" s="597"/>
      <c r="AB58" s="540" t="s">
        <v>2394</v>
      </c>
      <c r="AC58" s="541">
        <v>22.5</v>
      </c>
      <c r="AD58" s="597"/>
      <c r="AE58" s="542" t="s">
        <v>97</v>
      </c>
      <c r="AF58" s="543">
        <v>4.5</v>
      </c>
      <c r="AG58" s="601"/>
      <c r="AH58" s="542" t="s">
        <v>2061</v>
      </c>
      <c r="AI58" s="543">
        <v>25.5</v>
      </c>
      <c r="AJ58" s="601"/>
      <c r="AK58" s="542" t="s">
        <v>5395</v>
      </c>
      <c r="AL58" s="543">
        <v>17.5</v>
      </c>
      <c r="AM58" s="601"/>
      <c r="AN58" s="542" t="s">
        <v>4729</v>
      </c>
      <c r="AO58" s="543">
        <v>30.5</v>
      </c>
      <c r="AP58" s="601"/>
      <c r="AQ58" s="540" t="s">
        <v>154</v>
      </c>
      <c r="AR58" s="467">
        <v>11.25</v>
      </c>
      <c r="AS58" s="597"/>
      <c r="AT58" s="540" t="s">
        <v>433</v>
      </c>
      <c r="AU58" s="541">
        <v>19.25</v>
      </c>
      <c r="AV58" s="597"/>
      <c r="AY58" s="47"/>
      <c r="BJ58" s="47"/>
      <c r="BK58" s="47"/>
      <c r="BL58" s="47"/>
      <c r="BM58" s="47"/>
      <c r="BN58" s="47"/>
      <c r="BO58" s="47"/>
      <c r="BP58" s="47"/>
    </row>
    <row r="59" spans="1:68" ht="15.75" thickBot="1" x14ac:dyDescent="0.3">
      <c r="A59" s="540" t="s">
        <v>4930</v>
      </c>
      <c r="B59" s="541">
        <v>16.25</v>
      </c>
      <c r="C59" s="597"/>
      <c r="D59" s="542" t="s">
        <v>152</v>
      </c>
      <c r="E59" s="543">
        <v>22.5</v>
      </c>
      <c r="F59" s="601"/>
      <c r="G59" s="542" t="s">
        <v>5631</v>
      </c>
      <c r="H59" s="543">
        <v>18.5</v>
      </c>
      <c r="I59" s="601"/>
      <c r="J59" s="540" t="s">
        <v>5260</v>
      </c>
      <c r="K59" s="541">
        <v>16</v>
      </c>
      <c r="L59" s="597"/>
      <c r="M59" s="540" t="s">
        <v>320</v>
      </c>
      <c r="N59" s="541">
        <v>15.25</v>
      </c>
      <c r="O59" s="597"/>
      <c r="P59" s="527" t="s">
        <v>4979</v>
      </c>
      <c r="Q59" s="539">
        <v>22.75</v>
      </c>
      <c r="R59" s="600" t="s">
        <v>12663</v>
      </c>
      <c r="S59" s="542" t="s">
        <v>395</v>
      </c>
      <c r="T59" s="543">
        <v>12</v>
      </c>
      <c r="U59" s="601"/>
      <c r="V59" s="540" t="s">
        <v>2962</v>
      </c>
      <c r="W59" s="541">
        <v>24</v>
      </c>
      <c r="X59" s="597"/>
      <c r="Y59" s="540" t="s">
        <v>200</v>
      </c>
      <c r="Z59" s="541">
        <v>20.25</v>
      </c>
      <c r="AA59" s="597"/>
      <c r="AB59" s="540" t="s">
        <v>1553</v>
      </c>
      <c r="AC59" s="541">
        <v>22.75</v>
      </c>
      <c r="AD59" s="597"/>
      <c r="AE59" s="527" t="s">
        <v>5682</v>
      </c>
      <c r="AF59" s="539">
        <v>26.75</v>
      </c>
      <c r="AG59" s="596" t="s">
        <v>12663</v>
      </c>
      <c r="AH59" s="527" t="s">
        <v>3339</v>
      </c>
      <c r="AI59" s="539">
        <v>24.5</v>
      </c>
      <c r="AJ59" s="596" t="s">
        <v>12663</v>
      </c>
      <c r="AK59" s="527" t="s">
        <v>5727</v>
      </c>
      <c r="AL59" s="539">
        <v>29</v>
      </c>
      <c r="AM59" s="596" t="s">
        <v>12663</v>
      </c>
      <c r="AN59" s="527" t="s">
        <v>3452</v>
      </c>
      <c r="AO59" s="539">
        <v>31.5</v>
      </c>
      <c r="AP59" s="596" t="s">
        <v>12663</v>
      </c>
      <c r="AQ59" s="542" t="s">
        <v>248</v>
      </c>
      <c r="AR59" s="468">
        <v>8.75</v>
      </c>
      <c r="AS59" s="601"/>
      <c r="AT59" s="540" t="s">
        <v>2007</v>
      </c>
      <c r="AU59" s="541">
        <v>19.25</v>
      </c>
      <c r="AV59" s="597"/>
      <c r="AY59" s="47"/>
      <c r="BJ59" s="47"/>
      <c r="BK59" s="47"/>
      <c r="BL59" s="47"/>
      <c r="BM59" s="47"/>
      <c r="BN59" s="47"/>
      <c r="BO59" s="47"/>
      <c r="BP59" s="47"/>
    </row>
    <row r="60" spans="1:68" x14ac:dyDescent="0.25">
      <c r="A60" s="540" t="s">
        <v>5260</v>
      </c>
      <c r="B60" s="541">
        <v>16</v>
      </c>
      <c r="C60" s="597"/>
      <c r="D60" s="527" t="s">
        <v>3708</v>
      </c>
      <c r="E60" s="539">
        <v>23</v>
      </c>
      <c r="F60" s="596" t="s">
        <v>12663</v>
      </c>
      <c r="G60" s="527" t="s">
        <v>5031</v>
      </c>
      <c r="H60" s="539">
        <v>18.5</v>
      </c>
      <c r="I60" s="596" t="s">
        <v>12663</v>
      </c>
      <c r="J60" s="540" t="s">
        <v>4987</v>
      </c>
      <c r="K60" s="541">
        <v>16</v>
      </c>
      <c r="L60" s="597"/>
      <c r="M60" s="540" t="s">
        <v>302</v>
      </c>
      <c r="N60" s="541">
        <v>10.75</v>
      </c>
      <c r="O60" s="597"/>
      <c r="P60" s="540" t="s">
        <v>5430</v>
      </c>
      <c r="Q60" s="541">
        <v>15.75</v>
      </c>
      <c r="R60" s="598"/>
      <c r="S60" s="527" t="s">
        <v>4054</v>
      </c>
      <c r="T60" s="539">
        <v>21.5</v>
      </c>
      <c r="U60" s="596" t="s">
        <v>12663</v>
      </c>
      <c r="V60" s="540" t="s">
        <v>3295</v>
      </c>
      <c r="W60" s="541">
        <v>25.25</v>
      </c>
      <c r="X60" s="597"/>
      <c r="Y60" s="540" t="s">
        <v>182</v>
      </c>
      <c r="Z60" s="541">
        <v>20</v>
      </c>
      <c r="AA60" s="597"/>
      <c r="AB60" s="540" t="s">
        <v>107</v>
      </c>
      <c r="AC60" s="541">
        <v>11.5</v>
      </c>
      <c r="AD60" s="597"/>
      <c r="AE60" s="540" t="s">
        <v>261</v>
      </c>
      <c r="AF60" s="541">
        <v>26.75</v>
      </c>
      <c r="AG60" s="597"/>
      <c r="AH60" s="540" t="s">
        <v>2962</v>
      </c>
      <c r="AI60" s="541">
        <v>24</v>
      </c>
      <c r="AJ60" s="597"/>
      <c r="AK60" s="540" t="s">
        <v>1465</v>
      </c>
      <c r="AL60" s="541">
        <v>29</v>
      </c>
      <c r="AM60" s="597"/>
      <c r="AN60" s="540" t="s">
        <v>4391</v>
      </c>
      <c r="AO60" s="541">
        <v>31.25</v>
      </c>
      <c r="AP60" s="597"/>
      <c r="AQ60" s="527" t="s">
        <v>58</v>
      </c>
      <c r="AR60" s="466">
        <v>14.5</v>
      </c>
      <c r="AS60" s="596" t="s">
        <v>12663</v>
      </c>
      <c r="AT60" s="540" t="s">
        <v>3215</v>
      </c>
      <c r="AU60" s="541">
        <v>19.25</v>
      </c>
      <c r="AV60" s="597"/>
      <c r="AY60" s="47"/>
      <c r="BJ60" s="47"/>
      <c r="BK60" s="47"/>
      <c r="BL60" s="47"/>
      <c r="BM60" s="47"/>
      <c r="BN60" s="47"/>
      <c r="BO60" s="47"/>
      <c r="BP60" s="47"/>
    </row>
    <row r="61" spans="1:68" x14ac:dyDescent="0.25">
      <c r="A61" s="540" t="s">
        <v>4987</v>
      </c>
      <c r="B61" s="541">
        <v>16</v>
      </c>
      <c r="C61" s="597"/>
      <c r="D61" s="540" t="s">
        <v>5608</v>
      </c>
      <c r="E61" s="541">
        <v>4.75</v>
      </c>
      <c r="F61" s="597"/>
      <c r="G61" s="540" t="s">
        <v>5639</v>
      </c>
      <c r="H61" s="541">
        <v>18.5</v>
      </c>
      <c r="I61" s="597"/>
      <c r="J61" s="540" t="s">
        <v>5636</v>
      </c>
      <c r="K61" s="541">
        <v>15.75</v>
      </c>
      <c r="L61" s="597"/>
      <c r="M61" s="540" t="s">
        <v>4080</v>
      </c>
      <c r="N61" s="541">
        <v>15.25</v>
      </c>
      <c r="O61" s="597"/>
      <c r="P61" s="540" t="s">
        <v>3165</v>
      </c>
      <c r="Q61" s="541">
        <v>15.75</v>
      </c>
      <c r="R61" s="598"/>
      <c r="S61" s="540" t="s">
        <v>430</v>
      </c>
      <c r="T61" s="541">
        <v>21.75</v>
      </c>
      <c r="U61" s="597"/>
      <c r="V61" s="540" t="s">
        <v>4644</v>
      </c>
      <c r="W61" s="541">
        <v>22.5</v>
      </c>
      <c r="X61" s="597"/>
      <c r="Y61" s="540" t="s">
        <v>5706</v>
      </c>
      <c r="Z61" s="541">
        <v>20.25</v>
      </c>
      <c r="AA61" s="597"/>
      <c r="AB61" s="540" t="s">
        <v>527</v>
      </c>
      <c r="AC61" s="541">
        <v>22.75</v>
      </c>
      <c r="AD61" s="597"/>
      <c r="AE61" s="540" t="s">
        <v>238</v>
      </c>
      <c r="AF61" s="541">
        <v>26.5</v>
      </c>
      <c r="AG61" s="597"/>
      <c r="AH61" s="540" t="s">
        <v>3295</v>
      </c>
      <c r="AI61" s="541">
        <v>25.25</v>
      </c>
      <c r="AJ61" s="597"/>
      <c r="AK61" s="540" t="s">
        <v>3925</v>
      </c>
      <c r="AL61" s="541">
        <v>28.75</v>
      </c>
      <c r="AM61" s="597"/>
      <c r="AN61" s="540" t="s">
        <v>2520</v>
      </c>
      <c r="AO61" s="541">
        <v>31</v>
      </c>
      <c r="AP61" s="597"/>
      <c r="AQ61" s="540" t="s">
        <v>328</v>
      </c>
      <c r="AR61" s="467">
        <v>14.25</v>
      </c>
      <c r="AS61" s="597"/>
      <c r="AT61" s="540" t="s">
        <v>5471</v>
      </c>
      <c r="AU61" s="541">
        <v>18.75</v>
      </c>
      <c r="AV61" s="597"/>
      <c r="AY61" s="47"/>
      <c r="BJ61" s="47"/>
      <c r="BK61" s="47"/>
      <c r="BL61" s="47"/>
      <c r="BM61" s="47"/>
      <c r="BN61" s="47"/>
      <c r="BO61" s="47"/>
      <c r="BP61" s="47"/>
    </row>
    <row r="62" spans="1:68" x14ac:dyDescent="0.25">
      <c r="A62" s="540" t="s">
        <v>282</v>
      </c>
      <c r="B62" s="541">
        <v>16</v>
      </c>
      <c r="C62" s="597"/>
      <c r="D62" s="540" t="s">
        <v>615</v>
      </c>
      <c r="E62" s="541">
        <v>23.5</v>
      </c>
      <c r="F62" s="597"/>
      <c r="G62" s="540" t="s">
        <v>5219</v>
      </c>
      <c r="H62" s="541">
        <v>18.5</v>
      </c>
      <c r="I62" s="597"/>
      <c r="J62" s="540" t="s">
        <v>282</v>
      </c>
      <c r="K62" s="541">
        <v>16</v>
      </c>
      <c r="L62" s="597"/>
      <c r="M62" s="540" t="s">
        <v>1904</v>
      </c>
      <c r="N62" s="541">
        <v>11.75</v>
      </c>
      <c r="O62" s="597"/>
      <c r="P62" s="540" t="s">
        <v>4964</v>
      </c>
      <c r="Q62" s="541">
        <v>15.5</v>
      </c>
      <c r="R62" s="598"/>
      <c r="S62" s="540" t="s">
        <v>5200</v>
      </c>
      <c r="T62" s="541">
        <v>22</v>
      </c>
      <c r="U62" s="598"/>
      <c r="V62" s="540" t="s">
        <v>152</v>
      </c>
      <c r="W62" s="541">
        <v>22.5</v>
      </c>
      <c r="X62" s="597"/>
      <c r="Y62" s="540" t="s">
        <v>126</v>
      </c>
      <c r="Z62" s="541">
        <v>19.75</v>
      </c>
      <c r="AA62" s="597"/>
      <c r="AB62" s="540" t="s">
        <v>651</v>
      </c>
      <c r="AC62" s="541">
        <v>22.75</v>
      </c>
      <c r="AD62" s="597"/>
      <c r="AE62" s="540" t="s">
        <v>124</v>
      </c>
      <c r="AF62" s="541">
        <v>26.5</v>
      </c>
      <c r="AG62" s="597"/>
      <c r="AH62" s="540" t="s">
        <v>4644</v>
      </c>
      <c r="AI62" s="541">
        <v>22.5</v>
      </c>
      <c r="AJ62" s="597"/>
      <c r="AK62" s="540" t="s">
        <v>5210</v>
      </c>
      <c r="AL62" s="541">
        <v>28.75</v>
      </c>
      <c r="AM62" s="597"/>
      <c r="AN62" s="540" t="s">
        <v>2710</v>
      </c>
      <c r="AO62" s="541">
        <v>30.75</v>
      </c>
      <c r="AP62" s="597"/>
      <c r="AQ62" s="540" t="s">
        <v>14211</v>
      </c>
      <c r="AR62" s="467">
        <v>14</v>
      </c>
      <c r="AS62" s="597"/>
      <c r="AT62" s="540" t="s">
        <v>5513</v>
      </c>
      <c r="AU62" s="541">
        <v>18.5</v>
      </c>
      <c r="AV62" s="597"/>
      <c r="AY62" s="47"/>
      <c r="BJ62" s="47"/>
      <c r="BK62" s="47"/>
      <c r="BL62" s="47"/>
      <c r="BM62" s="47"/>
      <c r="BN62" s="47"/>
      <c r="BO62" s="47"/>
      <c r="BP62" s="47"/>
    </row>
    <row r="63" spans="1:68" ht="15.75" thickBot="1" x14ac:dyDescent="0.3">
      <c r="A63" s="540" t="s">
        <v>4828</v>
      </c>
      <c r="B63" s="541">
        <v>15.75</v>
      </c>
      <c r="C63" s="597"/>
      <c r="D63" s="540" t="s">
        <v>3705</v>
      </c>
      <c r="E63" s="541">
        <v>23.5</v>
      </c>
      <c r="F63" s="597"/>
      <c r="G63" s="540" t="s">
        <v>5190</v>
      </c>
      <c r="H63" s="541">
        <v>18.5</v>
      </c>
      <c r="I63" s="597"/>
      <c r="J63" s="540" t="s">
        <v>5419</v>
      </c>
      <c r="K63" s="541">
        <v>16.25</v>
      </c>
      <c r="L63" s="597"/>
      <c r="M63" s="540" t="s">
        <v>2766</v>
      </c>
      <c r="N63" s="541">
        <v>11.25</v>
      </c>
      <c r="O63" s="597"/>
      <c r="P63" s="540" t="s">
        <v>4160</v>
      </c>
      <c r="Q63" s="541">
        <v>15.5</v>
      </c>
      <c r="R63" s="598"/>
      <c r="S63" s="540" t="s">
        <v>3693</v>
      </c>
      <c r="T63" s="541">
        <v>22</v>
      </c>
      <c r="U63" s="598"/>
      <c r="V63" s="540" t="s">
        <v>3274</v>
      </c>
      <c r="W63" s="541">
        <v>24.5</v>
      </c>
      <c r="X63" s="597"/>
      <c r="Y63" s="540" t="s">
        <v>3772</v>
      </c>
      <c r="Z63" s="541">
        <v>19.75</v>
      </c>
      <c r="AA63" s="597"/>
      <c r="AB63" s="542" t="s">
        <v>2490</v>
      </c>
      <c r="AC63" s="543">
        <v>22.75</v>
      </c>
      <c r="AD63" s="601"/>
      <c r="AE63" s="540" t="s">
        <v>364</v>
      </c>
      <c r="AF63" s="541">
        <v>26.25</v>
      </c>
      <c r="AG63" s="597"/>
      <c r="AH63" s="540" t="s">
        <v>152</v>
      </c>
      <c r="AI63" s="541">
        <v>22.5</v>
      </c>
      <c r="AJ63" s="597"/>
      <c r="AK63" s="540" t="s">
        <v>3574</v>
      </c>
      <c r="AL63" s="541">
        <v>28.75</v>
      </c>
      <c r="AM63" s="597"/>
      <c r="AN63" s="540" t="s">
        <v>4729</v>
      </c>
      <c r="AO63" s="541">
        <v>30.5</v>
      </c>
      <c r="AP63" s="597"/>
      <c r="AQ63" s="540" t="s">
        <v>11164</v>
      </c>
      <c r="AR63" s="467">
        <v>13.75</v>
      </c>
      <c r="AS63" s="597"/>
      <c r="AT63" s="540" t="s">
        <v>173</v>
      </c>
      <c r="AU63" s="541">
        <v>18</v>
      </c>
      <c r="AV63" s="597"/>
      <c r="AY63" s="47"/>
      <c r="BJ63" s="47"/>
      <c r="BK63" s="47"/>
      <c r="BL63" s="47"/>
      <c r="BM63" s="47"/>
      <c r="BN63" s="47"/>
      <c r="BO63" s="47"/>
      <c r="BP63" s="47"/>
    </row>
    <row r="64" spans="1:68" ht="15.75" thickBot="1" x14ac:dyDescent="0.3">
      <c r="A64" s="540" t="s">
        <v>5636</v>
      </c>
      <c r="B64" s="541">
        <v>15.75</v>
      </c>
      <c r="C64" s="597"/>
      <c r="D64" s="540" t="s">
        <v>3743</v>
      </c>
      <c r="E64" s="541">
        <v>23.25</v>
      </c>
      <c r="F64" s="597"/>
      <c r="G64" s="540" t="s">
        <v>5631</v>
      </c>
      <c r="H64" s="541">
        <v>18.5</v>
      </c>
      <c r="I64" s="597"/>
      <c r="J64" s="540" t="s">
        <v>4860</v>
      </c>
      <c r="K64" s="541">
        <v>15.75</v>
      </c>
      <c r="L64" s="597"/>
      <c r="M64" s="540" t="s">
        <v>5047</v>
      </c>
      <c r="N64" s="541">
        <v>11.75</v>
      </c>
      <c r="O64" s="597"/>
      <c r="P64" s="540" t="s">
        <v>4779</v>
      </c>
      <c r="Q64" s="541">
        <v>15.25</v>
      </c>
      <c r="R64" s="598"/>
      <c r="S64" s="540" t="s">
        <v>5283</v>
      </c>
      <c r="T64" s="541">
        <v>14.75</v>
      </c>
      <c r="U64" s="598"/>
      <c r="V64" s="542" t="s">
        <v>5155</v>
      </c>
      <c r="W64" s="543">
        <v>24.75</v>
      </c>
      <c r="X64" s="601"/>
      <c r="Y64" s="542" t="s">
        <v>84</v>
      </c>
      <c r="Z64" s="543">
        <v>20</v>
      </c>
      <c r="AA64" s="601"/>
      <c r="AB64" s="527" t="s">
        <v>1553</v>
      </c>
      <c r="AC64" s="539">
        <v>22.75</v>
      </c>
      <c r="AD64" s="596" t="s">
        <v>12663</v>
      </c>
      <c r="AE64" s="540" t="s">
        <v>5719</v>
      </c>
      <c r="AF64" s="541">
        <v>24.5</v>
      </c>
      <c r="AG64" s="597"/>
      <c r="AH64" s="540" t="s">
        <v>3274</v>
      </c>
      <c r="AI64" s="541">
        <v>24.5</v>
      </c>
      <c r="AJ64" s="597"/>
      <c r="AK64" s="542" t="s">
        <v>5676</v>
      </c>
      <c r="AL64" s="543">
        <v>23.75</v>
      </c>
      <c r="AM64" s="601"/>
      <c r="AN64" s="542" t="s">
        <v>4824</v>
      </c>
      <c r="AO64" s="543">
        <v>13</v>
      </c>
      <c r="AP64" s="601"/>
      <c r="AQ64" s="540" t="s">
        <v>81</v>
      </c>
      <c r="AR64" s="467">
        <v>13.75</v>
      </c>
      <c r="AS64" s="597"/>
      <c r="AT64" s="542" t="s">
        <v>383</v>
      </c>
      <c r="AU64" s="543">
        <v>13.5</v>
      </c>
      <c r="AV64" s="601"/>
      <c r="AY64" s="47"/>
      <c r="BJ64" s="47"/>
      <c r="BK64" s="47"/>
      <c r="BL64" s="47"/>
      <c r="BM64" s="47"/>
      <c r="BN64" s="47"/>
      <c r="BO64" s="47"/>
      <c r="BP64" s="47"/>
    </row>
    <row r="65" spans="1:68" ht="15.75" thickBot="1" x14ac:dyDescent="0.3">
      <c r="A65" s="540" t="s">
        <v>4860</v>
      </c>
      <c r="B65" s="541">
        <v>15.75</v>
      </c>
      <c r="C65" s="597"/>
      <c r="D65" s="540" t="s">
        <v>2625</v>
      </c>
      <c r="E65" s="541">
        <v>23.5</v>
      </c>
      <c r="F65" s="597"/>
      <c r="G65" s="540" t="s">
        <v>393</v>
      </c>
      <c r="H65" s="541">
        <v>18.25</v>
      </c>
      <c r="I65" s="597"/>
      <c r="J65" s="540" t="s">
        <v>204</v>
      </c>
      <c r="K65" s="541">
        <v>15.5</v>
      </c>
      <c r="L65" s="597"/>
      <c r="M65" s="540" t="s">
        <v>4677</v>
      </c>
      <c r="N65" s="541">
        <v>10.25</v>
      </c>
      <c r="O65" s="597"/>
      <c r="P65" s="540" t="s">
        <v>4611</v>
      </c>
      <c r="Q65" s="541">
        <v>15.25</v>
      </c>
      <c r="R65" s="598"/>
      <c r="S65" s="540" t="s">
        <v>4804</v>
      </c>
      <c r="T65" s="541">
        <v>22</v>
      </c>
      <c r="U65" s="598"/>
      <c r="V65" s="527" t="s">
        <v>3295</v>
      </c>
      <c r="W65" s="539">
        <v>25.25</v>
      </c>
      <c r="X65" s="596" t="s">
        <v>12663</v>
      </c>
      <c r="Y65" s="527" t="s">
        <v>4229</v>
      </c>
      <c r="Z65" s="539">
        <v>20</v>
      </c>
      <c r="AA65" s="596" t="s">
        <v>12663</v>
      </c>
      <c r="AB65" s="540" t="s">
        <v>527</v>
      </c>
      <c r="AC65" s="541">
        <v>22.75</v>
      </c>
      <c r="AD65" s="597"/>
      <c r="AE65" s="542" t="s">
        <v>4831</v>
      </c>
      <c r="AF65" s="543">
        <v>10.75</v>
      </c>
      <c r="AG65" s="601"/>
      <c r="AH65" s="542" t="s">
        <v>5155</v>
      </c>
      <c r="AI65" s="543">
        <v>24.75</v>
      </c>
      <c r="AJ65" s="601"/>
      <c r="AK65" s="527" t="s">
        <v>5682</v>
      </c>
      <c r="AL65" s="539">
        <v>26.75</v>
      </c>
      <c r="AM65" s="596" t="s">
        <v>12663</v>
      </c>
      <c r="AN65" s="527" t="s">
        <v>3925</v>
      </c>
      <c r="AO65" s="539">
        <v>28.75</v>
      </c>
      <c r="AP65" s="596" t="s">
        <v>12663</v>
      </c>
      <c r="AQ65" s="540" t="s">
        <v>44</v>
      </c>
      <c r="AR65" s="467">
        <v>13.75</v>
      </c>
      <c r="AS65" s="597"/>
      <c r="AT65" s="527" t="s">
        <v>5768</v>
      </c>
      <c r="AU65" s="539">
        <v>27.75</v>
      </c>
      <c r="AV65" s="596" t="s">
        <v>12663</v>
      </c>
      <c r="AY65" s="47"/>
      <c r="BJ65" s="47"/>
      <c r="BK65" s="47"/>
      <c r="BL65" s="47"/>
      <c r="BM65" s="47"/>
      <c r="BN65" s="47"/>
      <c r="BO65" s="47"/>
      <c r="BP65" s="47"/>
    </row>
    <row r="66" spans="1:68" x14ac:dyDescent="0.25">
      <c r="A66" s="540" t="s">
        <v>204</v>
      </c>
      <c r="B66" s="541">
        <v>15.5</v>
      </c>
      <c r="C66" s="597"/>
      <c r="D66" s="540" t="s">
        <v>5737</v>
      </c>
      <c r="E66" s="541">
        <v>23.25</v>
      </c>
      <c r="F66" s="597"/>
      <c r="G66" s="540" t="s">
        <v>5221</v>
      </c>
      <c r="H66" s="541">
        <v>18.25</v>
      </c>
      <c r="I66" s="597"/>
      <c r="J66" s="540" t="s">
        <v>100</v>
      </c>
      <c r="K66" s="541">
        <v>9.75</v>
      </c>
      <c r="L66" s="597"/>
      <c r="M66" s="540" t="s">
        <v>3628</v>
      </c>
      <c r="N66" s="541">
        <v>12.25</v>
      </c>
      <c r="O66" s="597"/>
      <c r="P66" s="540" t="s">
        <v>4410</v>
      </c>
      <c r="Q66" s="541">
        <v>14.75</v>
      </c>
      <c r="R66" s="598"/>
      <c r="S66" s="540" t="s">
        <v>71</v>
      </c>
      <c r="T66" s="541">
        <v>22</v>
      </c>
      <c r="U66" s="598"/>
      <c r="V66" s="540" t="s">
        <v>5155</v>
      </c>
      <c r="W66" s="541">
        <v>24.75</v>
      </c>
      <c r="X66" s="597"/>
      <c r="Y66" s="540" t="s">
        <v>236</v>
      </c>
      <c r="Z66" s="541">
        <v>12</v>
      </c>
      <c r="AA66" s="597"/>
      <c r="AB66" s="540" t="s">
        <v>651</v>
      </c>
      <c r="AC66" s="541">
        <v>22.75</v>
      </c>
      <c r="AD66" s="597"/>
      <c r="AE66" s="527" t="s">
        <v>3708</v>
      </c>
      <c r="AF66" s="539">
        <v>23</v>
      </c>
      <c r="AG66" s="596" t="s">
        <v>12663</v>
      </c>
      <c r="AH66" s="527" t="s">
        <v>3295</v>
      </c>
      <c r="AI66" s="539">
        <v>25.25</v>
      </c>
      <c r="AJ66" s="596" t="s">
        <v>12663</v>
      </c>
      <c r="AK66" s="540" t="s">
        <v>4831</v>
      </c>
      <c r="AL66" s="541">
        <v>10.75</v>
      </c>
      <c r="AM66" s="597"/>
      <c r="AN66" s="540" t="s">
        <v>5727</v>
      </c>
      <c r="AO66" s="541">
        <v>29</v>
      </c>
      <c r="AP66" s="597"/>
      <c r="AQ66" s="540" t="s">
        <v>355</v>
      </c>
      <c r="AR66" s="467">
        <v>13.5</v>
      </c>
      <c r="AS66" s="597"/>
      <c r="AT66" s="540" t="s">
        <v>5732</v>
      </c>
      <c r="AU66" s="541">
        <v>27.5</v>
      </c>
      <c r="AV66" s="597"/>
      <c r="AY66" s="47"/>
      <c r="BJ66" s="47"/>
      <c r="BK66" s="47"/>
      <c r="BL66" s="47"/>
      <c r="BM66" s="47"/>
      <c r="BN66" s="47"/>
      <c r="BO66" s="47"/>
      <c r="BP66" s="47"/>
    </row>
    <row r="67" spans="1:68" ht="15.75" thickBot="1" x14ac:dyDescent="0.3">
      <c r="A67" s="540" t="s">
        <v>5369</v>
      </c>
      <c r="B67" s="541">
        <v>15</v>
      </c>
      <c r="C67" s="597"/>
      <c r="D67" s="542" t="s">
        <v>1433</v>
      </c>
      <c r="E67" s="543">
        <v>23.25</v>
      </c>
      <c r="F67" s="601"/>
      <c r="G67" s="540" t="s">
        <v>5658</v>
      </c>
      <c r="H67" s="541">
        <v>18</v>
      </c>
      <c r="I67" s="597"/>
      <c r="J67" s="540" t="s">
        <v>5369</v>
      </c>
      <c r="K67" s="541">
        <v>15</v>
      </c>
      <c r="L67" s="597"/>
      <c r="M67" s="540" t="s">
        <v>5511</v>
      </c>
      <c r="N67" s="541">
        <v>15</v>
      </c>
      <c r="O67" s="597"/>
      <c r="P67" s="540" t="s">
        <v>272</v>
      </c>
      <c r="Q67" s="541">
        <v>13.75</v>
      </c>
      <c r="R67" s="598"/>
      <c r="S67" s="542" t="s">
        <v>2665</v>
      </c>
      <c r="T67" s="543">
        <v>22</v>
      </c>
      <c r="U67" s="599"/>
      <c r="V67" s="540" t="s">
        <v>3339</v>
      </c>
      <c r="W67" s="541">
        <v>24.5</v>
      </c>
      <c r="X67" s="597"/>
      <c r="Y67" s="540" t="s">
        <v>5483</v>
      </c>
      <c r="Z67" s="541">
        <v>16</v>
      </c>
      <c r="AA67" s="597"/>
      <c r="AB67" s="540" t="s">
        <v>2490</v>
      </c>
      <c r="AC67" s="541">
        <v>22.75</v>
      </c>
      <c r="AD67" s="597"/>
      <c r="AE67" s="540" t="s">
        <v>5608</v>
      </c>
      <c r="AF67" s="541">
        <v>4.75</v>
      </c>
      <c r="AG67" s="597"/>
      <c r="AH67" s="540" t="s">
        <v>5155</v>
      </c>
      <c r="AI67" s="541">
        <v>24.75</v>
      </c>
      <c r="AJ67" s="597"/>
      <c r="AK67" s="540" t="s">
        <v>364</v>
      </c>
      <c r="AL67" s="541">
        <v>26.25</v>
      </c>
      <c r="AM67" s="597"/>
      <c r="AN67" s="540" t="s">
        <v>1465</v>
      </c>
      <c r="AO67" s="541">
        <v>29</v>
      </c>
      <c r="AP67" s="597"/>
      <c r="AQ67" s="540" t="s">
        <v>300</v>
      </c>
      <c r="AR67" s="467">
        <v>13</v>
      </c>
      <c r="AS67" s="597"/>
      <c r="AT67" s="540" t="s">
        <v>273</v>
      </c>
      <c r="AU67" s="541">
        <v>28</v>
      </c>
      <c r="AV67" s="597"/>
      <c r="AY67" s="47"/>
      <c r="BJ67" s="47"/>
      <c r="BK67" s="47"/>
      <c r="BL67" s="47"/>
      <c r="BM67" s="47"/>
      <c r="BN67" s="47"/>
      <c r="BO67" s="47"/>
      <c r="BP67" s="47"/>
    </row>
    <row r="68" spans="1:68" ht="15.75" thickBot="1" x14ac:dyDescent="0.3">
      <c r="A68" s="542" t="s">
        <v>100</v>
      </c>
      <c r="B68" s="543">
        <v>9.75</v>
      </c>
      <c r="C68" s="601"/>
      <c r="D68" s="136"/>
      <c r="E68" s="136"/>
      <c r="F68" s="136"/>
      <c r="G68" s="540" t="s">
        <v>4814</v>
      </c>
      <c r="H68" s="541">
        <v>17</v>
      </c>
      <c r="I68" s="597"/>
      <c r="J68" s="542" t="s">
        <v>4930</v>
      </c>
      <c r="K68" s="543">
        <v>16.25</v>
      </c>
      <c r="L68" s="601"/>
      <c r="M68" s="542" t="s">
        <v>14216</v>
      </c>
      <c r="N68" s="543">
        <v>15</v>
      </c>
      <c r="O68" s="601"/>
      <c r="P68" s="540" t="s">
        <v>3674</v>
      </c>
      <c r="Q68" s="541">
        <v>12.25</v>
      </c>
      <c r="R68" s="598"/>
      <c r="S68" s="527" t="s">
        <v>5200</v>
      </c>
      <c r="T68" s="539">
        <v>22</v>
      </c>
      <c r="U68" s="596" t="s">
        <v>12663</v>
      </c>
      <c r="V68" s="540" t="s">
        <v>3274</v>
      </c>
      <c r="W68" s="541">
        <v>24.5</v>
      </c>
      <c r="X68" s="597"/>
      <c r="Y68" s="540" t="s">
        <v>200</v>
      </c>
      <c r="Z68" s="541">
        <v>20.25</v>
      </c>
      <c r="AA68" s="597"/>
      <c r="AB68" s="540" t="s">
        <v>1600</v>
      </c>
      <c r="AC68" s="541">
        <v>22.5</v>
      </c>
      <c r="AD68" s="597"/>
      <c r="AE68" s="540" t="s">
        <v>615</v>
      </c>
      <c r="AF68" s="541">
        <v>23.5</v>
      </c>
      <c r="AG68" s="597"/>
      <c r="AH68" s="540" t="s">
        <v>3339</v>
      </c>
      <c r="AI68" s="541">
        <v>24.5</v>
      </c>
      <c r="AJ68" s="597"/>
      <c r="AK68" s="540" t="s">
        <v>261</v>
      </c>
      <c r="AL68" s="541">
        <v>26.75</v>
      </c>
      <c r="AM68" s="597"/>
      <c r="AN68" s="540" t="s">
        <v>5210</v>
      </c>
      <c r="AO68" s="541">
        <v>28.75</v>
      </c>
      <c r="AP68" s="597"/>
      <c r="AQ68" s="540" t="s">
        <v>414</v>
      </c>
      <c r="AR68" s="467">
        <v>12.75</v>
      </c>
      <c r="AS68" s="597"/>
      <c r="AT68" s="540" t="s">
        <v>5741</v>
      </c>
      <c r="AU68" s="541">
        <v>27.75</v>
      </c>
      <c r="AV68" s="597"/>
      <c r="AY68" s="47"/>
      <c r="BJ68" s="47"/>
      <c r="BK68" s="47"/>
      <c r="BL68" s="47"/>
      <c r="BM68" s="47"/>
      <c r="BN68" s="47"/>
      <c r="BO68" s="47"/>
      <c r="BP68" s="47"/>
    </row>
    <row r="69" spans="1:68" ht="15.75" thickBot="1" x14ac:dyDescent="0.3">
      <c r="A69" s="136"/>
      <c r="B69" s="136"/>
      <c r="C69" s="136"/>
      <c r="D69" s="136"/>
      <c r="E69" s="136"/>
      <c r="F69" s="136"/>
      <c r="G69" s="542" t="s">
        <v>259</v>
      </c>
      <c r="H69" s="543">
        <v>4</v>
      </c>
      <c r="I69" s="601"/>
      <c r="J69" s="47"/>
      <c r="K69" s="47"/>
      <c r="L69" s="47"/>
      <c r="M69" s="47"/>
      <c r="N69" s="47"/>
      <c r="O69" s="47"/>
      <c r="P69" s="542" t="s">
        <v>213</v>
      </c>
      <c r="Q69" s="543">
        <v>11.5</v>
      </c>
      <c r="R69" s="599"/>
      <c r="S69" s="540" t="s">
        <v>3693</v>
      </c>
      <c r="T69" s="541">
        <v>22</v>
      </c>
      <c r="U69" s="597"/>
      <c r="V69" s="540" t="s">
        <v>2962</v>
      </c>
      <c r="W69" s="541">
        <v>24</v>
      </c>
      <c r="X69" s="597"/>
      <c r="Y69" s="540" t="s">
        <v>182</v>
      </c>
      <c r="Z69" s="541">
        <v>20</v>
      </c>
      <c r="AA69" s="597"/>
      <c r="AB69" s="540" t="s">
        <v>2394</v>
      </c>
      <c r="AC69" s="541">
        <v>22.5</v>
      </c>
      <c r="AD69" s="597"/>
      <c r="AE69" s="540" t="s">
        <v>3705</v>
      </c>
      <c r="AF69" s="541">
        <v>23.5</v>
      </c>
      <c r="AG69" s="597"/>
      <c r="AH69" s="540" t="s">
        <v>3274</v>
      </c>
      <c r="AI69" s="541">
        <v>24.5</v>
      </c>
      <c r="AJ69" s="597"/>
      <c r="AK69" s="540" t="s">
        <v>238</v>
      </c>
      <c r="AL69" s="541">
        <v>26.5</v>
      </c>
      <c r="AM69" s="597"/>
      <c r="AN69" s="540" t="s">
        <v>5676</v>
      </c>
      <c r="AO69" s="541">
        <v>23.75</v>
      </c>
      <c r="AP69" s="597"/>
      <c r="AQ69" s="540" t="s">
        <v>187</v>
      </c>
      <c r="AR69" s="467">
        <v>12.5</v>
      </c>
      <c r="AS69" s="597"/>
      <c r="AT69" s="540" t="s">
        <v>4256</v>
      </c>
      <c r="AU69" s="541">
        <v>14.25</v>
      </c>
      <c r="AV69" s="597"/>
      <c r="AY69" s="47"/>
      <c r="BJ69" s="47"/>
      <c r="BK69" s="47"/>
      <c r="BL69" s="47"/>
      <c r="BM69" s="47"/>
      <c r="BN69" s="47"/>
      <c r="BO69" s="47"/>
      <c r="BP69" s="47"/>
    </row>
    <row r="70" spans="1:68" ht="15.75" thickBot="1" x14ac:dyDescent="0.3">
      <c r="A70" s="136"/>
      <c r="B70" s="136"/>
      <c r="C70" s="136"/>
      <c r="D70" s="136"/>
      <c r="E70" s="136"/>
      <c r="F70" s="136"/>
      <c r="G70" s="136"/>
      <c r="H70" s="136"/>
      <c r="I70" s="136"/>
      <c r="J70" s="47"/>
      <c r="K70" s="47"/>
      <c r="L70" s="47"/>
      <c r="M70" s="47"/>
      <c r="N70" s="47"/>
      <c r="O70" s="47"/>
      <c r="S70" s="540" t="s">
        <v>4804</v>
      </c>
      <c r="T70" s="541">
        <v>22</v>
      </c>
      <c r="U70" s="597"/>
      <c r="V70" s="540" t="s">
        <v>4644</v>
      </c>
      <c r="W70" s="541">
        <v>22.5</v>
      </c>
      <c r="X70" s="597"/>
      <c r="Y70" s="540" t="s">
        <v>5706</v>
      </c>
      <c r="Z70" s="541">
        <v>20.25</v>
      </c>
      <c r="AA70" s="597"/>
      <c r="AB70" s="540" t="s">
        <v>4551</v>
      </c>
      <c r="AC70" s="541">
        <v>20.5</v>
      </c>
      <c r="AD70" s="597"/>
      <c r="AE70" s="540" t="s">
        <v>3743</v>
      </c>
      <c r="AF70" s="541">
        <v>23.25</v>
      </c>
      <c r="AG70" s="597"/>
      <c r="AH70" s="540" t="s">
        <v>2962</v>
      </c>
      <c r="AI70" s="541">
        <v>24</v>
      </c>
      <c r="AJ70" s="597"/>
      <c r="AK70" s="540" t="s">
        <v>5719</v>
      </c>
      <c r="AL70" s="541">
        <v>24.5</v>
      </c>
      <c r="AM70" s="597"/>
      <c r="AN70" s="542" t="s">
        <v>3574</v>
      </c>
      <c r="AO70" s="543">
        <v>28.75</v>
      </c>
      <c r="AP70" s="601"/>
      <c r="AQ70" s="540" t="s">
        <v>448</v>
      </c>
      <c r="AR70" s="467">
        <v>12.25</v>
      </c>
      <c r="AS70" s="597"/>
      <c r="AT70" s="540" t="s">
        <v>4835</v>
      </c>
      <c r="AU70" s="541">
        <v>27.75</v>
      </c>
      <c r="AV70" s="597"/>
      <c r="AY70" s="47"/>
      <c r="BJ70" s="47"/>
      <c r="BK70" s="47"/>
      <c r="BL70" s="47"/>
      <c r="BM70" s="47"/>
      <c r="BN70" s="47"/>
      <c r="BO70" s="47"/>
      <c r="BP70" s="47"/>
    </row>
    <row r="71" spans="1:68" ht="15.75" thickBot="1" x14ac:dyDescent="0.3">
      <c r="A71" s="136"/>
      <c r="B71" s="136"/>
      <c r="C71" s="136"/>
      <c r="D71" s="136"/>
      <c r="E71" s="136"/>
      <c r="F71" s="136"/>
      <c r="G71" s="136"/>
      <c r="H71" s="136"/>
      <c r="I71" s="136"/>
      <c r="J71" s="47"/>
      <c r="K71" s="47"/>
      <c r="L71" s="47"/>
      <c r="M71" s="47"/>
      <c r="N71" s="47"/>
      <c r="O71" s="47"/>
      <c r="S71" s="540" t="s">
        <v>71</v>
      </c>
      <c r="T71" s="541">
        <v>22</v>
      </c>
      <c r="U71" s="597"/>
      <c r="V71" s="542" t="s">
        <v>152</v>
      </c>
      <c r="W71" s="543">
        <v>22.5</v>
      </c>
      <c r="X71" s="601"/>
      <c r="Y71" s="540" t="s">
        <v>126</v>
      </c>
      <c r="Z71" s="541">
        <v>19.75</v>
      </c>
      <c r="AA71" s="597"/>
      <c r="AB71" s="542" t="s">
        <v>107</v>
      </c>
      <c r="AC71" s="543">
        <v>11.5</v>
      </c>
      <c r="AD71" s="601"/>
      <c r="AE71" s="540" t="s">
        <v>2625</v>
      </c>
      <c r="AF71" s="541">
        <v>23.5</v>
      </c>
      <c r="AG71" s="597"/>
      <c r="AH71" s="540" t="s">
        <v>4644</v>
      </c>
      <c r="AI71" s="541">
        <v>22.5</v>
      </c>
      <c r="AJ71" s="597"/>
      <c r="AK71" s="542" t="s">
        <v>124</v>
      </c>
      <c r="AL71" s="543">
        <v>26.5</v>
      </c>
      <c r="AM71" s="601"/>
      <c r="AN71" s="470"/>
      <c r="AO71" s="470"/>
      <c r="AP71" s="470"/>
      <c r="AQ71" s="540" t="s">
        <v>154</v>
      </c>
      <c r="AR71" s="467">
        <v>11.25</v>
      </c>
      <c r="AS71" s="597"/>
      <c r="AT71" s="542" t="s">
        <v>5035</v>
      </c>
      <c r="AU71" s="543">
        <v>15</v>
      </c>
      <c r="AV71" s="601"/>
      <c r="AY71" s="47"/>
      <c r="BJ71" s="47"/>
      <c r="BK71" s="47"/>
      <c r="BL71" s="47"/>
      <c r="BM71" s="47"/>
      <c r="BN71" s="47"/>
      <c r="BO71" s="47"/>
      <c r="BP71" s="47"/>
    </row>
    <row r="72" spans="1:68" ht="15.75" thickBot="1" x14ac:dyDescent="0.3">
      <c r="A72" s="136"/>
      <c r="B72" s="136"/>
      <c r="C72" s="136"/>
      <c r="D72" s="136"/>
      <c r="E72" s="136"/>
      <c r="F72" s="136"/>
      <c r="G72" s="136"/>
      <c r="H72" s="136"/>
      <c r="I72" s="136"/>
      <c r="J72" s="47"/>
      <c r="K72" s="47"/>
      <c r="L72" s="47"/>
      <c r="M72" s="47"/>
      <c r="N72" s="47"/>
      <c r="O72" s="47"/>
      <c r="S72" s="540" t="s">
        <v>2665</v>
      </c>
      <c r="T72" s="541">
        <v>22</v>
      </c>
      <c r="U72" s="597"/>
      <c r="Y72" s="540" t="s">
        <v>3772</v>
      </c>
      <c r="Z72" s="541">
        <v>19.75</v>
      </c>
      <c r="AA72" s="597"/>
      <c r="AE72" s="540" t="s">
        <v>5737</v>
      </c>
      <c r="AF72" s="541">
        <v>23.25</v>
      </c>
      <c r="AG72" s="597"/>
      <c r="AH72" s="542" t="s">
        <v>152</v>
      </c>
      <c r="AI72" s="543">
        <v>22.5</v>
      </c>
      <c r="AJ72" s="601"/>
      <c r="AK72" s="470"/>
      <c r="AL72" s="470"/>
      <c r="AM72" s="470"/>
      <c r="AN72" s="470"/>
      <c r="AO72" s="470"/>
      <c r="AP72" s="470"/>
      <c r="AQ72" s="542" t="s">
        <v>248</v>
      </c>
      <c r="AR72" s="468">
        <v>8.75</v>
      </c>
      <c r="AS72" s="601"/>
      <c r="AY72" s="47"/>
      <c r="BJ72" s="47"/>
      <c r="BK72" s="47"/>
      <c r="BL72" s="47"/>
      <c r="BM72" s="47"/>
      <c r="BN72" s="47"/>
      <c r="BO72" s="47"/>
      <c r="BP72" s="47"/>
    </row>
    <row r="73" spans="1:68" ht="15.75" thickBot="1" x14ac:dyDescent="0.3">
      <c r="A73" s="136"/>
      <c r="B73" s="136"/>
      <c r="C73" s="136"/>
      <c r="D73" s="136"/>
      <c r="E73" s="136"/>
      <c r="F73" s="136"/>
      <c r="G73" s="136"/>
      <c r="H73" s="136"/>
      <c r="I73" s="136"/>
      <c r="J73" s="47"/>
      <c r="K73" s="47"/>
      <c r="L73" s="47"/>
      <c r="M73" s="47"/>
      <c r="N73" s="47"/>
      <c r="O73" s="47"/>
      <c r="S73" s="540" t="s">
        <v>430</v>
      </c>
      <c r="T73" s="541">
        <v>21.75</v>
      </c>
      <c r="U73" s="597"/>
      <c r="Y73" s="542" t="s">
        <v>84</v>
      </c>
      <c r="Z73" s="543">
        <v>20</v>
      </c>
      <c r="AA73" s="601"/>
      <c r="AE73" s="542" t="s">
        <v>1433</v>
      </c>
      <c r="AF73" s="543">
        <v>23.25</v>
      </c>
      <c r="AG73" s="601"/>
      <c r="AK73" s="470"/>
      <c r="AL73" s="470"/>
      <c r="AM73" s="470"/>
      <c r="AN73" s="470"/>
      <c r="AO73" s="470"/>
      <c r="AP73" s="470"/>
      <c r="AQ73" s="470"/>
      <c r="AR73" s="470"/>
      <c r="AS73" s="470"/>
      <c r="AY73" s="47"/>
      <c r="BJ73" s="47"/>
      <c r="BK73" s="47"/>
      <c r="BL73" s="47"/>
      <c r="BM73" s="47"/>
      <c r="BN73" s="47"/>
      <c r="BO73" s="47"/>
      <c r="BP73" s="47"/>
    </row>
    <row r="74" spans="1:68" x14ac:dyDescent="0.25">
      <c r="A74" s="470"/>
      <c r="B74" s="470"/>
      <c r="C74" s="470"/>
      <c r="D74" s="470"/>
      <c r="E74" s="470"/>
      <c r="F74" s="470"/>
      <c r="G74" s="470"/>
      <c r="H74" s="470"/>
      <c r="I74" s="470"/>
      <c r="J74" s="47"/>
      <c r="K74" s="47"/>
      <c r="L74" s="47"/>
      <c r="M74" s="47"/>
      <c r="N74" s="47"/>
      <c r="O74" s="47"/>
      <c r="S74" s="540" t="s">
        <v>4054</v>
      </c>
      <c r="T74" s="541">
        <v>21.5</v>
      </c>
      <c r="U74" s="597"/>
      <c r="Y74" s="470"/>
      <c r="Z74" s="470"/>
      <c r="AA74" s="470"/>
      <c r="AK74" s="470"/>
      <c r="AL74" s="470"/>
      <c r="AM74" s="470"/>
      <c r="AN74" s="470"/>
      <c r="AO74" s="470"/>
      <c r="AP74" s="470"/>
      <c r="AQ74" s="470"/>
      <c r="AR74" s="470"/>
      <c r="AS74" s="470"/>
      <c r="AY74" s="47"/>
      <c r="BJ74" s="47"/>
      <c r="BK74" s="47"/>
      <c r="BL74" s="47"/>
      <c r="BM74" s="47"/>
      <c r="BN74" s="47"/>
      <c r="BO74" s="47"/>
      <c r="BP74" s="47"/>
    </row>
    <row r="75" spans="1:68" ht="15.75" thickBot="1" x14ac:dyDescent="0.3">
      <c r="A75" s="470"/>
      <c r="B75" s="470"/>
      <c r="C75" s="470"/>
      <c r="D75" s="470"/>
      <c r="E75" s="470"/>
      <c r="F75" s="470"/>
      <c r="G75" s="470"/>
      <c r="H75" s="470"/>
      <c r="I75" s="470"/>
      <c r="J75" s="47"/>
      <c r="K75" s="47"/>
      <c r="L75" s="47"/>
      <c r="M75" s="47"/>
      <c r="N75" s="47"/>
      <c r="O75" s="47"/>
      <c r="S75" s="542" t="s">
        <v>5283</v>
      </c>
      <c r="T75" s="543">
        <v>14.75</v>
      </c>
      <c r="U75" s="601"/>
      <c r="Y75" s="470"/>
      <c r="Z75" s="470"/>
      <c r="AA75" s="470"/>
      <c r="AK75" s="470"/>
      <c r="AL75" s="470"/>
      <c r="AM75" s="470"/>
      <c r="AN75" s="470"/>
      <c r="AO75" s="470"/>
      <c r="AP75" s="470"/>
      <c r="AQ75" s="470"/>
      <c r="AR75" s="470"/>
      <c r="AS75" s="470"/>
      <c r="AY75" s="47"/>
      <c r="BJ75" s="47"/>
      <c r="BK75" s="47"/>
      <c r="BL75" s="47"/>
      <c r="BM75" s="47"/>
      <c r="BN75" s="47"/>
      <c r="BO75" s="47"/>
      <c r="BP75" s="47"/>
    </row>
    <row r="76" spans="1:68" x14ac:dyDescent="0.25">
      <c r="A76" s="470"/>
      <c r="B76" s="470"/>
      <c r="C76" s="470"/>
      <c r="D76" s="470"/>
      <c r="E76" s="470"/>
      <c r="F76" s="470"/>
      <c r="G76" s="470"/>
      <c r="H76" s="470"/>
      <c r="I76" s="470"/>
      <c r="J76" s="47"/>
      <c r="K76" s="47"/>
      <c r="L76" s="47"/>
      <c r="M76" s="47"/>
      <c r="N76" s="47"/>
      <c r="O76" s="47"/>
      <c r="S76" s="470"/>
      <c r="T76" s="470"/>
      <c r="U76" s="470"/>
      <c r="Y76" s="470"/>
      <c r="Z76" s="470"/>
      <c r="AA76" s="470"/>
      <c r="AK76" s="470"/>
      <c r="AL76" s="470"/>
      <c r="AM76" s="470"/>
      <c r="AN76" s="470"/>
      <c r="AO76" s="470"/>
      <c r="AP76" s="470"/>
      <c r="AQ76" s="470"/>
      <c r="AR76" s="470"/>
      <c r="AS76" s="470"/>
      <c r="AY76" s="47"/>
      <c r="BJ76" s="47"/>
      <c r="BK76" s="47"/>
      <c r="BL76" s="47"/>
      <c r="BM76" s="47"/>
      <c r="BN76" s="47"/>
      <c r="BO76" s="47"/>
      <c r="BP76" s="47"/>
    </row>
    <row r="77" spans="1:68" x14ac:dyDescent="0.25">
      <c r="A77" s="470"/>
      <c r="B77" s="470"/>
      <c r="C77" s="470"/>
      <c r="D77" s="470"/>
      <c r="E77" s="470"/>
      <c r="F77" s="470"/>
      <c r="G77" s="470"/>
      <c r="H77" s="470"/>
      <c r="I77" s="470"/>
      <c r="J77" s="47"/>
      <c r="K77" s="47"/>
      <c r="L77" s="47"/>
      <c r="M77" s="47"/>
      <c r="N77" s="47"/>
      <c r="O77" s="47"/>
      <c r="S77" s="470"/>
      <c r="T77" s="470"/>
      <c r="U77" s="470"/>
      <c r="Y77" s="470"/>
      <c r="Z77" s="470"/>
      <c r="AA77" s="470"/>
      <c r="AK77" s="470"/>
      <c r="AL77" s="470"/>
      <c r="AM77" s="470"/>
      <c r="AN77" s="470"/>
      <c r="AO77" s="470"/>
      <c r="AP77" s="470"/>
      <c r="AQ77" s="470"/>
      <c r="AR77" s="470"/>
      <c r="AS77" s="470"/>
      <c r="AY77" s="47"/>
      <c r="BJ77" s="47"/>
      <c r="BK77" s="47"/>
      <c r="BL77" s="47"/>
      <c r="BM77" s="47"/>
      <c r="BN77" s="47"/>
      <c r="BO77" s="47"/>
      <c r="BP77" s="47"/>
    </row>
    <row r="78" spans="1:68" x14ac:dyDescent="0.25">
      <c r="A78" s="470"/>
      <c r="B78" s="470"/>
      <c r="C78" s="470"/>
      <c r="D78" s="470"/>
      <c r="E78" s="470"/>
      <c r="F78" s="470"/>
      <c r="G78" s="470"/>
      <c r="H78" s="470"/>
      <c r="I78" s="470"/>
      <c r="J78" s="47"/>
      <c r="K78" s="47"/>
      <c r="L78" s="47"/>
      <c r="M78" s="47"/>
      <c r="N78" s="47"/>
      <c r="O78" s="47"/>
      <c r="S78" s="470"/>
      <c r="T78" s="470"/>
      <c r="U78" s="470"/>
      <c r="Y78" s="470"/>
      <c r="Z78" s="470"/>
      <c r="AA78" s="470"/>
      <c r="AK78" s="470"/>
      <c r="AL78" s="470"/>
      <c r="AM78" s="470"/>
      <c r="AN78" s="470"/>
      <c r="AO78" s="470"/>
      <c r="AP78" s="470"/>
      <c r="AQ78" s="470"/>
      <c r="AR78" s="470"/>
      <c r="AS78" s="470"/>
      <c r="AY78" s="47"/>
      <c r="BJ78" s="47"/>
      <c r="BK78" s="47"/>
      <c r="BL78" s="47"/>
      <c r="BM78" s="47"/>
      <c r="BN78" s="47"/>
      <c r="BO78" s="47"/>
      <c r="BP78" s="47"/>
    </row>
    <row r="79" spans="1:68" x14ac:dyDescent="0.25">
      <c r="A79" s="470"/>
      <c r="B79" s="470"/>
      <c r="C79" s="470"/>
      <c r="D79" s="470"/>
      <c r="E79" s="470"/>
      <c r="F79" s="470"/>
      <c r="G79" s="470"/>
      <c r="H79" s="470"/>
      <c r="I79" s="470"/>
      <c r="J79" s="47"/>
      <c r="K79" s="47"/>
      <c r="L79" s="47"/>
      <c r="M79" s="47"/>
      <c r="N79" s="47"/>
      <c r="O79" s="47"/>
      <c r="S79" s="470"/>
      <c r="T79" s="470"/>
      <c r="U79" s="470"/>
      <c r="V79" s="470"/>
      <c r="W79" s="470"/>
      <c r="X79" s="470"/>
      <c r="Y79" s="470"/>
      <c r="Z79" s="470"/>
      <c r="AA79" s="470"/>
      <c r="AK79" s="470"/>
      <c r="AL79" s="470"/>
      <c r="AM79" s="470"/>
      <c r="AN79" s="470"/>
      <c r="AO79" s="470"/>
      <c r="AP79" s="470"/>
      <c r="AQ79" s="470"/>
      <c r="AR79" s="470"/>
      <c r="AS79" s="470"/>
      <c r="AT79" s="470"/>
      <c r="AU79" s="470"/>
      <c r="AV79" s="470"/>
      <c r="AY79" s="47"/>
      <c r="BJ79" s="47"/>
      <c r="BK79" s="47"/>
      <c r="BL79" s="47"/>
      <c r="BM79" s="47"/>
      <c r="BN79" s="47"/>
      <c r="BO79" s="47"/>
      <c r="BP79" s="47"/>
    </row>
    <row r="80" spans="1:68" x14ac:dyDescent="0.25">
      <c r="A80" s="470"/>
      <c r="B80" s="470"/>
      <c r="C80" s="470"/>
      <c r="D80" s="470"/>
      <c r="E80" s="470"/>
      <c r="F80" s="470"/>
      <c r="G80" s="470"/>
      <c r="H80" s="470"/>
      <c r="I80" s="470"/>
      <c r="J80" s="470"/>
      <c r="K80" s="470"/>
      <c r="L80" s="470"/>
      <c r="M80" s="47"/>
      <c r="N80" s="47"/>
      <c r="O80" s="47"/>
      <c r="S80" s="470"/>
      <c r="T80" s="470"/>
      <c r="U80" s="470"/>
      <c r="V80" s="470"/>
      <c r="W80" s="470"/>
      <c r="X80" s="470"/>
      <c r="Y80" s="470"/>
      <c r="Z80" s="470"/>
      <c r="AA80" s="470"/>
      <c r="AH80" s="470"/>
      <c r="AI80" s="470"/>
      <c r="AJ80" s="470"/>
      <c r="AK80" s="470"/>
      <c r="AL80" s="470"/>
      <c r="AM80" s="470"/>
      <c r="AN80" s="470"/>
      <c r="AO80" s="470"/>
      <c r="AP80" s="470"/>
      <c r="AQ80" s="470"/>
      <c r="AR80" s="470"/>
      <c r="AS80" s="470"/>
      <c r="AT80" s="470"/>
      <c r="AU80" s="470"/>
      <c r="AV80" s="470"/>
      <c r="AY80" s="47"/>
      <c r="BJ80" s="47"/>
      <c r="BK80" s="47"/>
      <c r="BL80" s="47"/>
      <c r="BM80" s="47"/>
      <c r="BN80" s="47"/>
      <c r="BO80" s="47"/>
      <c r="BP80" s="47"/>
    </row>
    <row r="81" spans="1:68" x14ac:dyDescent="0.25">
      <c r="A81" s="470"/>
      <c r="B81" s="470"/>
      <c r="C81" s="470"/>
      <c r="D81" s="470"/>
      <c r="E81" s="470"/>
      <c r="F81" s="470"/>
      <c r="G81" s="470"/>
      <c r="H81" s="470"/>
      <c r="I81" s="470"/>
      <c r="J81" s="470"/>
      <c r="K81" s="470"/>
      <c r="L81" s="470"/>
      <c r="M81" s="47"/>
      <c r="N81" s="47"/>
      <c r="O81" s="47"/>
      <c r="S81" s="470"/>
      <c r="T81" s="470"/>
      <c r="U81" s="470"/>
      <c r="V81" s="470"/>
      <c r="W81" s="470"/>
      <c r="X81" s="470"/>
      <c r="Y81" s="470"/>
      <c r="Z81" s="470"/>
      <c r="AA81" s="470"/>
      <c r="AB81" s="470"/>
      <c r="AC81" s="470"/>
      <c r="AD81" s="470"/>
      <c r="AH81" s="470"/>
      <c r="AI81" s="470"/>
      <c r="AJ81" s="470"/>
      <c r="AK81" s="470"/>
      <c r="AL81" s="470"/>
      <c r="AM81" s="470"/>
      <c r="AN81" s="470"/>
      <c r="AO81" s="470"/>
      <c r="AP81" s="470"/>
      <c r="AQ81" s="470"/>
      <c r="AR81" s="470"/>
      <c r="AS81" s="470"/>
      <c r="AT81" s="470"/>
      <c r="AU81" s="470"/>
      <c r="AV81" s="470"/>
      <c r="AY81" s="47"/>
      <c r="BJ81" s="47"/>
      <c r="BK81" s="47"/>
      <c r="BL81" s="47"/>
      <c r="BM81" s="47"/>
      <c r="BN81" s="47"/>
      <c r="BO81" s="47"/>
      <c r="BP81" s="47"/>
    </row>
    <row r="82" spans="1:68" x14ac:dyDescent="0.25">
      <c r="A82" s="470"/>
      <c r="B82" s="470"/>
      <c r="C82" s="470"/>
      <c r="D82" s="470"/>
      <c r="E82" s="470"/>
      <c r="F82" s="470"/>
      <c r="G82" s="470"/>
      <c r="H82" s="470"/>
      <c r="I82" s="470"/>
      <c r="J82" s="470"/>
      <c r="K82" s="470"/>
      <c r="L82" s="470"/>
      <c r="M82" s="470"/>
      <c r="N82" s="470"/>
      <c r="O82" s="470"/>
      <c r="S82" s="470"/>
      <c r="T82" s="470"/>
      <c r="U82" s="470"/>
      <c r="V82" s="470"/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470"/>
      <c r="AI82" s="470"/>
      <c r="AJ82" s="470"/>
      <c r="AK82" s="470"/>
      <c r="AL82" s="470"/>
      <c r="AM82" s="470"/>
      <c r="AN82" s="470"/>
      <c r="AO82" s="470"/>
      <c r="AP82" s="470"/>
      <c r="AQ82" s="470"/>
      <c r="AR82" s="470"/>
      <c r="AS82" s="470"/>
      <c r="AT82" s="470"/>
      <c r="AU82" s="470"/>
      <c r="AV82" s="470"/>
      <c r="AY82" s="47"/>
      <c r="BJ82" s="47"/>
      <c r="BK82" s="47"/>
      <c r="BL82" s="47"/>
      <c r="BM82" s="47"/>
      <c r="BN82" s="47"/>
      <c r="BO82" s="47"/>
      <c r="BP82" s="47"/>
    </row>
    <row r="83" spans="1:68" x14ac:dyDescent="0.25">
      <c r="A83" s="470"/>
      <c r="B83" s="470"/>
      <c r="C83" s="470"/>
      <c r="D83" s="470"/>
      <c r="E83" s="470"/>
      <c r="F83" s="470"/>
      <c r="G83" s="470"/>
      <c r="H83" s="470"/>
      <c r="I83" s="470"/>
      <c r="J83" s="470"/>
      <c r="K83" s="470"/>
      <c r="L83" s="470"/>
      <c r="M83" s="470"/>
      <c r="N83" s="470"/>
      <c r="O83" s="470"/>
      <c r="S83" s="470"/>
      <c r="T83" s="470"/>
      <c r="U83" s="470"/>
      <c r="V83" s="470"/>
      <c r="W83" s="470"/>
      <c r="X83" s="470"/>
      <c r="Y83" s="470"/>
      <c r="Z83" s="470"/>
      <c r="AA83" s="470"/>
      <c r="AB83" s="470"/>
      <c r="AC83" s="470"/>
      <c r="AD83" s="470"/>
      <c r="AE83" s="470"/>
      <c r="AF83" s="470"/>
      <c r="AG83" s="470"/>
      <c r="AH83" s="470"/>
      <c r="AI83" s="470"/>
      <c r="AJ83" s="470"/>
      <c r="AK83" s="470"/>
      <c r="AL83" s="470"/>
      <c r="AM83" s="470"/>
      <c r="AN83" s="470"/>
      <c r="AO83" s="470"/>
      <c r="AP83" s="470"/>
      <c r="AQ83" s="470"/>
      <c r="AR83" s="470"/>
      <c r="AS83" s="470"/>
      <c r="AT83" s="470"/>
      <c r="AU83" s="470"/>
      <c r="AV83" s="470"/>
      <c r="AY83" s="47"/>
      <c r="BJ83" s="47"/>
      <c r="BK83" s="47"/>
      <c r="BL83" s="47"/>
      <c r="BM83" s="47"/>
      <c r="BN83" s="47"/>
      <c r="BO83" s="47"/>
      <c r="BP83" s="47"/>
    </row>
    <row r="84" spans="1:68" x14ac:dyDescent="0.25">
      <c r="A84" s="470"/>
      <c r="B84" s="470"/>
      <c r="C84" s="470"/>
      <c r="D84" s="470"/>
      <c r="E84" s="470"/>
      <c r="F84" s="470"/>
      <c r="G84" s="470"/>
      <c r="H84" s="470"/>
      <c r="I84" s="470"/>
      <c r="J84" s="470"/>
      <c r="K84" s="470"/>
      <c r="L84" s="470"/>
      <c r="M84" s="470"/>
      <c r="N84" s="470"/>
      <c r="O84" s="470"/>
      <c r="S84" s="470"/>
      <c r="T84" s="470"/>
      <c r="U84" s="470"/>
      <c r="V84" s="470"/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470"/>
      <c r="AJ84" s="470"/>
      <c r="AK84" s="470"/>
      <c r="AL84" s="470"/>
      <c r="AM84" s="470"/>
      <c r="AN84" s="470"/>
      <c r="AO84" s="470"/>
      <c r="AP84" s="470"/>
      <c r="AQ84" s="470"/>
      <c r="AR84" s="470"/>
      <c r="AS84" s="470"/>
      <c r="AT84" s="470"/>
      <c r="AU84" s="470"/>
      <c r="AV84" s="470"/>
      <c r="AY84" s="47"/>
      <c r="BJ84" s="47"/>
      <c r="BK84" s="47"/>
      <c r="BL84" s="47"/>
      <c r="BM84" s="47"/>
      <c r="BN84" s="47"/>
      <c r="BO84" s="47"/>
      <c r="BP84" s="47"/>
    </row>
    <row r="85" spans="1:68" x14ac:dyDescent="0.25">
      <c r="A85" s="470"/>
      <c r="B85" s="470"/>
      <c r="C85" s="470"/>
      <c r="D85" s="470"/>
      <c r="E85" s="470"/>
      <c r="F85" s="470"/>
      <c r="G85" s="470"/>
      <c r="H85" s="470"/>
      <c r="I85" s="470"/>
      <c r="J85" s="470"/>
      <c r="K85" s="470"/>
      <c r="L85" s="470"/>
      <c r="M85" s="470"/>
      <c r="N85" s="470"/>
      <c r="O85" s="470"/>
      <c r="S85" s="470"/>
      <c r="T85" s="470"/>
      <c r="U85" s="470"/>
      <c r="V85" s="470"/>
      <c r="W85" s="470"/>
      <c r="X85" s="470"/>
      <c r="Y85" s="470"/>
      <c r="Z85" s="470"/>
      <c r="AA85" s="470"/>
      <c r="AB85" s="470"/>
      <c r="AC85" s="470"/>
      <c r="AD85" s="470"/>
      <c r="AE85" s="470"/>
      <c r="AF85" s="470"/>
      <c r="AG85" s="470"/>
      <c r="AH85" s="470"/>
      <c r="AI85" s="470"/>
      <c r="AJ85" s="470"/>
      <c r="AK85" s="470"/>
      <c r="AL85" s="470"/>
      <c r="AM85" s="470"/>
      <c r="AN85" s="470"/>
      <c r="AO85" s="470"/>
      <c r="AP85" s="470"/>
      <c r="AQ85" s="470"/>
      <c r="AR85" s="470"/>
      <c r="AS85" s="470"/>
      <c r="AT85" s="470"/>
      <c r="AU85" s="470"/>
      <c r="AV85" s="470"/>
      <c r="AY85" s="47"/>
      <c r="BJ85" s="47"/>
      <c r="BK85" s="47"/>
      <c r="BL85" s="47"/>
      <c r="BM85" s="47"/>
      <c r="BN85" s="47"/>
      <c r="BO85" s="47"/>
      <c r="BP85" s="47"/>
    </row>
    <row r="86" spans="1:68" x14ac:dyDescent="0.25">
      <c r="A86" s="470"/>
      <c r="B86" s="470"/>
      <c r="C86" s="470"/>
      <c r="D86" s="470"/>
      <c r="E86" s="470"/>
      <c r="F86" s="470"/>
      <c r="G86" s="470"/>
      <c r="H86" s="470"/>
      <c r="I86" s="470"/>
      <c r="J86" s="470"/>
      <c r="K86" s="470"/>
      <c r="L86" s="470"/>
      <c r="M86" s="470"/>
      <c r="N86" s="470"/>
      <c r="O86" s="470"/>
      <c r="S86" s="470"/>
      <c r="T86" s="470"/>
      <c r="U86" s="470"/>
      <c r="V86" s="470"/>
      <c r="W86" s="470"/>
      <c r="X86" s="470"/>
      <c r="Y86" s="470"/>
      <c r="Z86" s="470"/>
      <c r="AA86" s="470"/>
      <c r="AB86" s="470"/>
      <c r="AC86" s="470"/>
      <c r="AD86" s="470"/>
      <c r="AE86" s="470"/>
      <c r="AF86" s="470"/>
      <c r="AG86" s="470"/>
      <c r="AH86" s="470"/>
      <c r="AI86" s="470"/>
      <c r="AJ86" s="470"/>
      <c r="AK86" s="470"/>
      <c r="AL86" s="470"/>
      <c r="AM86" s="470"/>
      <c r="AN86" s="470"/>
      <c r="AO86" s="470"/>
      <c r="AP86" s="470"/>
      <c r="AQ86" s="470"/>
      <c r="AR86" s="470"/>
      <c r="AS86" s="470"/>
      <c r="AT86" s="470"/>
      <c r="AU86" s="470"/>
      <c r="AV86" s="470"/>
      <c r="AY86" s="47"/>
      <c r="BJ86" s="47"/>
      <c r="BK86" s="47"/>
      <c r="BL86" s="47"/>
      <c r="BM86" s="47"/>
      <c r="BN86" s="47"/>
      <c r="BO86" s="47"/>
      <c r="BP86" s="47"/>
    </row>
    <row r="87" spans="1:68" x14ac:dyDescent="0.25">
      <c r="A87" s="136"/>
      <c r="B87" s="136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S87" s="470"/>
      <c r="T87" s="470"/>
      <c r="U87" s="470"/>
      <c r="V87" s="470"/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70"/>
      <c r="AJ87" s="470"/>
      <c r="AK87" s="470"/>
      <c r="AL87" s="470"/>
      <c r="AM87" s="470"/>
      <c r="AN87" s="470"/>
      <c r="AO87" s="470"/>
      <c r="AP87" s="470"/>
      <c r="AQ87" s="470"/>
      <c r="AR87" s="470"/>
      <c r="AS87" s="470"/>
      <c r="AT87" s="470"/>
      <c r="AU87" s="470"/>
      <c r="AV87" s="470"/>
      <c r="AY87" s="47"/>
      <c r="BJ87" s="47"/>
      <c r="BK87" s="47"/>
      <c r="BL87" s="47"/>
      <c r="BM87" s="47"/>
      <c r="BN87" s="47"/>
      <c r="BO87" s="47"/>
      <c r="BP87" s="47"/>
    </row>
    <row r="88" spans="1:68" x14ac:dyDescent="0.25">
      <c r="A88" s="136"/>
      <c r="B88" s="136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S88" s="470"/>
      <c r="T88" s="470"/>
      <c r="U88" s="470"/>
      <c r="V88" s="470"/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70"/>
      <c r="AJ88" s="470"/>
      <c r="AK88" s="470"/>
      <c r="AL88" s="470"/>
      <c r="AM88" s="470"/>
      <c r="AN88" s="470"/>
      <c r="AO88" s="470"/>
      <c r="AP88" s="470"/>
      <c r="AQ88" s="470"/>
      <c r="AR88" s="470"/>
      <c r="AS88" s="470"/>
      <c r="AT88" s="470"/>
      <c r="AU88" s="470"/>
      <c r="AV88" s="470"/>
      <c r="AY88" s="47"/>
      <c r="BJ88" s="47"/>
      <c r="BK88" s="47"/>
      <c r="BL88" s="47"/>
      <c r="BM88" s="47"/>
      <c r="BN88" s="47"/>
      <c r="BO88" s="47"/>
      <c r="BP88" s="47"/>
    </row>
    <row r="89" spans="1:68" x14ac:dyDescent="0.25">
      <c r="A89" s="136"/>
      <c r="B89" s="136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S89" s="470"/>
      <c r="T89" s="470"/>
      <c r="U89" s="470"/>
      <c r="V89" s="470"/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470"/>
      <c r="AJ89" s="470"/>
      <c r="AK89" s="470"/>
      <c r="AL89" s="470"/>
      <c r="AM89" s="470"/>
      <c r="AN89" s="470"/>
      <c r="AO89" s="470"/>
      <c r="AP89" s="470"/>
      <c r="AQ89" s="470"/>
      <c r="AR89" s="470"/>
      <c r="AS89" s="470"/>
      <c r="AT89" s="470"/>
      <c r="AU89" s="470"/>
      <c r="AV89" s="470"/>
      <c r="AY89" s="47"/>
      <c r="BJ89" s="47"/>
      <c r="BK89" s="47"/>
      <c r="BL89" s="47"/>
      <c r="BM89" s="47"/>
      <c r="BN89" s="47"/>
      <c r="BO89" s="47"/>
      <c r="BP89" s="47"/>
    </row>
    <row r="90" spans="1:68" x14ac:dyDescent="0.25">
      <c r="AY90" s="47"/>
      <c r="BJ90" s="47"/>
      <c r="BK90" s="47"/>
      <c r="BL90" s="47"/>
      <c r="BM90" s="47"/>
      <c r="BN90" s="47"/>
      <c r="BO90" s="47"/>
      <c r="BP90" s="47"/>
    </row>
    <row r="91" spans="1:68" x14ac:dyDescent="0.25">
      <c r="AY91" s="47"/>
      <c r="BJ91" s="47"/>
      <c r="BK91" s="47"/>
      <c r="BL91" s="47"/>
      <c r="BM91" s="47"/>
      <c r="BN91" s="47"/>
      <c r="BO91" s="47"/>
      <c r="BP91" s="47"/>
    </row>
    <row r="92" spans="1:68" x14ac:dyDescent="0.25">
      <c r="AY92" s="47"/>
      <c r="BJ92" s="47"/>
      <c r="BK92" s="47"/>
      <c r="BL92" s="47"/>
      <c r="BM92" s="47"/>
      <c r="BN92" s="47"/>
      <c r="BO92" s="47"/>
      <c r="BP92" s="47"/>
    </row>
    <row r="93" spans="1:68" x14ac:dyDescent="0.25">
      <c r="AY93" s="47"/>
      <c r="BJ93" s="47"/>
      <c r="BK93" s="47"/>
      <c r="BL93" s="47"/>
      <c r="BM93" s="47"/>
      <c r="BN93" s="47"/>
      <c r="BO93" s="47"/>
      <c r="BP93" s="47"/>
    </row>
    <row r="94" spans="1:68" x14ac:dyDescent="0.25">
      <c r="AY94" s="47"/>
      <c r="BJ94" s="47"/>
      <c r="BK94" s="47"/>
      <c r="BL94" s="47"/>
      <c r="BM94" s="47"/>
      <c r="BN94" s="47"/>
      <c r="BO94" s="47"/>
      <c r="BP94" s="47"/>
    </row>
    <row r="95" spans="1:68" x14ac:dyDescent="0.25">
      <c r="AY95" s="47"/>
      <c r="BJ95" s="47"/>
      <c r="BK95" s="47"/>
      <c r="BL95" s="47"/>
      <c r="BM95" s="47"/>
      <c r="BN95" s="47"/>
      <c r="BO95" s="47"/>
      <c r="BP95" s="47"/>
    </row>
    <row r="96" spans="1:68" x14ac:dyDescent="0.25">
      <c r="AY96" s="47"/>
      <c r="BJ96" s="47"/>
      <c r="BK96" s="47"/>
      <c r="BL96" s="47"/>
      <c r="BM96" s="47"/>
      <c r="BN96" s="47"/>
      <c r="BO96" s="47"/>
      <c r="BP96" s="47"/>
    </row>
    <row r="97" spans="26:68" x14ac:dyDescent="0.25">
      <c r="AY97" s="47"/>
      <c r="BJ97" s="47"/>
      <c r="BK97" s="47"/>
      <c r="BL97" s="47"/>
      <c r="BM97" s="47"/>
      <c r="BN97" s="47"/>
      <c r="BO97" s="47"/>
      <c r="BP97" s="47"/>
    </row>
    <row r="98" spans="26:68" x14ac:dyDescent="0.25">
      <c r="AY98" s="47"/>
      <c r="BJ98" s="47"/>
      <c r="BK98" s="47"/>
      <c r="BL98" s="47"/>
      <c r="BM98" s="47"/>
      <c r="BN98" s="47"/>
      <c r="BO98" s="47"/>
      <c r="BP98" s="47"/>
    </row>
    <row r="99" spans="26:68" x14ac:dyDescent="0.25">
      <c r="AY99" s="47"/>
      <c r="BJ99" s="47"/>
      <c r="BK99" s="47"/>
      <c r="BL99" s="47"/>
      <c r="BM99" s="47"/>
      <c r="BN99" s="47"/>
      <c r="BO99" s="47"/>
      <c r="BP99" s="47"/>
    </row>
    <row r="100" spans="26:68" x14ac:dyDescent="0.25">
      <c r="AY100" s="47"/>
      <c r="BJ100" s="47"/>
      <c r="BK100" s="47"/>
      <c r="BL100" s="47"/>
      <c r="BM100" s="47"/>
      <c r="BN100" s="47"/>
      <c r="BO100" s="47"/>
      <c r="BP100" s="47"/>
    </row>
    <row r="101" spans="26:68" x14ac:dyDescent="0.25">
      <c r="AY101" s="47"/>
      <c r="BJ101" s="47"/>
      <c r="BK101" s="47"/>
      <c r="BL101" s="47"/>
      <c r="BM101" s="47"/>
      <c r="BN101" s="47"/>
      <c r="BO101" s="47"/>
      <c r="BP101" s="47"/>
    </row>
    <row r="102" spans="26:68" x14ac:dyDescent="0.25">
      <c r="AY102" s="47"/>
      <c r="BJ102" s="47"/>
      <c r="BK102" s="47"/>
      <c r="BL102" s="47"/>
      <c r="BM102" s="47"/>
      <c r="BN102" s="47"/>
      <c r="BO102" s="47"/>
      <c r="BP102" s="47"/>
    </row>
    <row r="103" spans="26:68" x14ac:dyDescent="0.25">
      <c r="AY103" s="47"/>
      <c r="BJ103" s="47"/>
      <c r="BK103" s="47"/>
      <c r="BL103" s="47"/>
      <c r="BM103" s="47"/>
      <c r="BN103" s="47"/>
      <c r="BO103" s="47"/>
      <c r="BP103" s="47"/>
    </row>
    <row r="104" spans="26:68" x14ac:dyDescent="0.25">
      <c r="AY104" s="47"/>
      <c r="BJ104" s="47"/>
      <c r="BK104" s="47"/>
      <c r="BL104" s="47"/>
      <c r="BM104" s="47"/>
      <c r="BN104" s="47"/>
      <c r="BO104" s="47"/>
      <c r="BP104" s="47"/>
    </row>
    <row r="105" spans="26:68" x14ac:dyDescent="0.25">
      <c r="AY105" s="47"/>
      <c r="BJ105" s="47"/>
      <c r="BK105" s="47"/>
      <c r="BL105" s="47"/>
      <c r="BM105" s="47"/>
      <c r="BN105" s="47"/>
      <c r="BO105" s="47"/>
      <c r="BP105" s="47"/>
    </row>
    <row r="106" spans="26:68" x14ac:dyDescent="0.25">
      <c r="Z106" s="53"/>
      <c r="AA106" s="53"/>
      <c r="AB106" s="53"/>
      <c r="AC106" s="53"/>
      <c r="AD106" s="53"/>
      <c r="AY106" s="47"/>
      <c r="BJ106" s="47"/>
      <c r="BK106" s="47"/>
      <c r="BL106" s="47"/>
      <c r="BM106" s="47"/>
      <c r="BN106" s="47"/>
      <c r="BO106" s="47"/>
      <c r="BP106" s="47"/>
    </row>
    <row r="107" spans="26:68" x14ac:dyDescent="0.25">
      <c r="Z107" s="53"/>
      <c r="AA107" s="53"/>
      <c r="AB107" s="53"/>
      <c r="AC107" s="53"/>
      <c r="AD107" s="53"/>
      <c r="AY107" s="47"/>
      <c r="BJ107" s="47"/>
      <c r="BK107" s="47"/>
      <c r="BL107" s="47"/>
      <c r="BM107" s="47"/>
      <c r="BN107" s="47"/>
      <c r="BO107" s="47"/>
      <c r="BP107" s="47"/>
    </row>
    <row r="108" spans="26:68" x14ac:dyDescent="0.25">
      <c r="Z108" s="53"/>
      <c r="AA108" s="53"/>
      <c r="AB108" s="53"/>
      <c r="AC108" s="53"/>
      <c r="AD108" s="53"/>
      <c r="AY108" s="47"/>
      <c r="BJ108" s="47"/>
      <c r="BK108" s="47"/>
      <c r="BL108" s="47"/>
      <c r="BM108" s="47"/>
      <c r="BN108" s="47"/>
      <c r="BO108" s="47"/>
      <c r="BP108" s="47"/>
    </row>
    <row r="109" spans="26:68" x14ac:dyDescent="0.25">
      <c r="Z109" s="53"/>
      <c r="AA109" s="53"/>
      <c r="AB109" s="53"/>
      <c r="AC109" s="53"/>
      <c r="AD109" s="53"/>
      <c r="AY109" s="47"/>
      <c r="BJ109" s="47"/>
      <c r="BK109" s="47"/>
      <c r="BL109" s="47"/>
      <c r="BM109" s="47"/>
      <c r="BN109" s="47"/>
      <c r="BO109" s="47"/>
      <c r="BP109" s="47"/>
    </row>
    <row r="110" spans="26:68" x14ac:dyDescent="0.25">
      <c r="Z110" s="53"/>
      <c r="AA110" s="53"/>
      <c r="AB110" s="53"/>
      <c r="AC110" s="53"/>
      <c r="AD110" s="53"/>
      <c r="AE110" s="53"/>
      <c r="AF110" s="53"/>
      <c r="AG110" s="53"/>
      <c r="AH110" s="53"/>
      <c r="AY110" s="47"/>
      <c r="BJ110" s="47"/>
      <c r="BK110" s="47"/>
      <c r="BL110" s="47"/>
      <c r="BM110" s="47"/>
      <c r="BN110" s="47"/>
      <c r="BO110" s="47"/>
      <c r="BP110" s="47"/>
    </row>
    <row r="111" spans="26:68" x14ac:dyDescent="0.25">
      <c r="Z111" s="53"/>
      <c r="AA111" s="53"/>
      <c r="AB111" s="53"/>
      <c r="AC111" s="53"/>
      <c r="AD111" s="53"/>
      <c r="AE111" s="53"/>
      <c r="AF111" s="53"/>
      <c r="AG111" s="53"/>
      <c r="AH111" s="53"/>
      <c r="AY111" s="47"/>
      <c r="BJ111" s="47"/>
      <c r="BK111" s="47"/>
      <c r="BL111" s="47"/>
      <c r="BM111" s="47"/>
      <c r="BN111" s="47"/>
      <c r="BO111" s="47"/>
      <c r="BP111" s="47"/>
    </row>
    <row r="112" spans="26:68" x14ac:dyDescent="0.25">
      <c r="Z112" s="53"/>
      <c r="AA112" s="53"/>
      <c r="AB112" s="53"/>
      <c r="AC112" s="53"/>
      <c r="AD112" s="53"/>
      <c r="AE112" s="53"/>
      <c r="AF112" s="53"/>
      <c r="AG112" s="53"/>
      <c r="AH112" s="53"/>
      <c r="AY112" s="47"/>
      <c r="BJ112" s="47"/>
      <c r="BK112" s="47"/>
      <c r="BL112" s="47"/>
      <c r="BM112" s="47"/>
      <c r="BN112" s="47"/>
      <c r="BO112" s="47"/>
      <c r="BP112" s="47"/>
    </row>
    <row r="113" spans="28:68" x14ac:dyDescent="0.25">
      <c r="AB113" s="53"/>
      <c r="AC113" s="53"/>
      <c r="AD113" s="53"/>
      <c r="AE113" s="53"/>
      <c r="AF113" s="53"/>
      <c r="AG113" s="53"/>
      <c r="AH113" s="53"/>
      <c r="AY113" s="47"/>
      <c r="BJ113" s="47"/>
      <c r="BK113" s="47"/>
      <c r="BL113" s="47"/>
      <c r="BM113" s="47"/>
      <c r="BN113" s="47"/>
      <c r="BO113" s="47"/>
      <c r="BP113" s="47"/>
    </row>
    <row r="114" spans="28:68" x14ac:dyDescent="0.25">
      <c r="AB114" s="53"/>
      <c r="AC114" s="53"/>
      <c r="AD114" s="53"/>
      <c r="AE114" s="53"/>
      <c r="AF114" s="53"/>
      <c r="AG114" s="53"/>
      <c r="AH114" s="53"/>
      <c r="AY114" s="47"/>
      <c r="BJ114" s="47"/>
      <c r="BK114" s="47"/>
      <c r="BL114" s="47"/>
      <c r="BM114" s="47"/>
      <c r="BN114" s="47"/>
      <c r="BO114" s="47"/>
      <c r="BP114" s="47"/>
    </row>
    <row r="115" spans="28:68" x14ac:dyDescent="0.25">
      <c r="AB115" s="53"/>
      <c r="AC115" s="53"/>
      <c r="AD115" s="53"/>
      <c r="AE115" s="53"/>
      <c r="AF115" s="53"/>
      <c r="AG115" s="53"/>
      <c r="AH115" s="53"/>
      <c r="AY115" s="47"/>
      <c r="BJ115" s="47"/>
      <c r="BK115" s="47"/>
      <c r="BL115" s="47"/>
      <c r="BM115" s="47"/>
      <c r="BN115" s="47"/>
      <c r="BO115" s="47"/>
      <c r="BP115" s="47"/>
    </row>
    <row r="116" spans="28:68" x14ac:dyDescent="0.25">
      <c r="AB116" s="53"/>
      <c r="AC116" s="53"/>
      <c r="AD116" s="53"/>
      <c r="AE116" s="53"/>
      <c r="AF116" s="53"/>
      <c r="AG116" s="53"/>
      <c r="AH116" s="53"/>
      <c r="AY116" s="47"/>
      <c r="BJ116" s="47"/>
      <c r="BK116" s="47"/>
      <c r="BL116" s="47"/>
      <c r="BM116" s="47"/>
      <c r="BN116" s="47"/>
      <c r="BO116" s="47"/>
      <c r="BP116" s="47"/>
    </row>
    <row r="117" spans="28:68" x14ac:dyDescent="0.25">
      <c r="AB117" s="53"/>
      <c r="AC117" s="53"/>
      <c r="AD117" s="53"/>
      <c r="AE117" s="53"/>
      <c r="AF117" s="53"/>
      <c r="AG117" s="53"/>
      <c r="AH117" s="53"/>
      <c r="AY117" s="47"/>
      <c r="BJ117" s="47"/>
      <c r="BK117" s="47"/>
      <c r="BL117" s="47"/>
      <c r="BM117" s="47"/>
      <c r="BN117" s="47"/>
      <c r="BO117" s="47"/>
      <c r="BP117" s="47"/>
    </row>
    <row r="118" spans="28:68" x14ac:dyDescent="0.25">
      <c r="AB118" s="53"/>
      <c r="AC118" s="53"/>
      <c r="AD118" s="53"/>
      <c r="AE118" s="53"/>
      <c r="AF118" s="53"/>
      <c r="AG118" s="53"/>
      <c r="AH118" s="53"/>
      <c r="AY118" s="47"/>
      <c r="BJ118" s="47"/>
      <c r="BK118" s="47"/>
      <c r="BL118" s="47"/>
      <c r="BM118" s="47"/>
      <c r="BN118" s="47"/>
      <c r="BO118" s="47"/>
      <c r="BP118" s="47"/>
    </row>
    <row r="119" spans="28:68" x14ac:dyDescent="0.25">
      <c r="AB119" s="53"/>
      <c r="AC119" s="53"/>
      <c r="AD119" s="53"/>
      <c r="AE119" s="53"/>
      <c r="AF119" s="53"/>
      <c r="AG119" s="53"/>
      <c r="AH119" s="53"/>
      <c r="AY119" s="47"/>
      <c r="BJ119" s="47"/>
      <c r="BK119" s="47"/>
      <c r="BL119" s="47"/>
      <c r="BM119" s="47"/>
      <c r="BN119" s="47"/>
      <c r="BO119" s="47"/>
      <c r="BP119" s="47"/>
    </row>
  </sheetData>
  <mergeCells count="130">
    <mergeCell ref="A1:AY1"/>
    <mergeCell ref="AG59:AG65"/>
    <mergeCell ref="U21:U27"/>
    <mergeCell ref="X50:X57"/>
    <mergeCell ref="AJ66:AJ72"/>
    <mergeCell ref="AY11:AY17"/>
    <mergeCell ref="AA47:AA55"/>
    <mergeCell ref="AA65:AA73"/>
    <mergeCell ref="AA18:AA27"/>
    <mergeCell ref="AA28:AA37"/>
    <mergeCell ref="AA56:AA64"/>
    <mergeCell ref="AA38:AA46"/>
    <mergeCell ref="X26:X33"/>
    <mergeCell ref="AJ27:AJ33"/>
    <mergeCell ref="F60:F67"/>
    <mergeCell ref="AY2:AY10"/>
    <mergeCell ref="X34:X41"/>
    <mergeCell ref="X42:X49"/>
    <mergeCell ref="U44:U51"/>
    <mergeCell ref="U60:U67"/>
    <mergeCell ref="AD64:AD71"/>
    <mergeCell ref="U52:U59"/>
    <mergeCell ref="U68:U75"/>
    <mergeCell ref="AD26:AD32"/>
    <mergeCell ref="F53:F59"/>
    <mergeCell ref="AV65:AV71"/>
    <mergeCell ref="AD20:AD25"/>
    <mergeCell ref="AM59:AM64"/>
    <mergeCell ref="AY18:AY24"/>
    <mergeCell ref="AV38:AV46"/>
    <mergeCell ref="AS34:AS46"/>
    <mergeCell ref="AG2:AG20"/>
    <mergeCell ref="AG21:AG39"/>
    <mergeCell ref="AV47:AV55"/>
    <mergeCell ref="AJ2:AJ7"/>
    <mergeCell ref="AM47:AM52"/>
    <mergeCell ref="AG66:AG73"/>
    <mergeCell ref="AD40:AD47"/>
    <mergeCell ref="AD48:AD55"/>
    <mergeCell ref="AD56:AD63"/>
    <mergeCell ref="AV2:AV10"/>
    <mergeCell ref="AV11:AV19"/>
    <mergeCell ref="AV20:AV28"/>
    <mergeCell ref="AV29:AV37"/>
    <mergeCell ref="AG40:AG58"/>
    <mergeCell ref="AV56:AV64"/>
    <mergeCell ref="AS60:AS72"/>
    <mergeCell ref="AM14:AM19"/>
    <mergeCell ref="AP14:AP19"/>
    <mergeCell ref="AM8:AM13"/>
    <mergeCell ref="AP8:AP13"/>
    <mergeCell ref="AJ8:AJ13"/>
    <mergeCell ref="AJ47:AJ52"/>
    <mergeCell ref="AS2:AS9"/>
    <mergeCell ref="AS10:AS17"/>
    <mergeCell ref="AS18:AS25"/>
    <mergeCell ref="AS26:AS33"/>
    <mergeCell ref="AD2:AD7"/>
    <mergeCell ref="AM41:AM46"/>
    <mergeCell ref="AP41:AP46"/>
    <mergeCell ref="AD8:AD13"/>
    <mergeCell ref="AM2:AM7"/>
    <mergeCell ref="AP2:AP7"/>
    <mergeCell ref="AP47:AP52"/>
    <mergeCell ref="AJ14:AJ19"/>
    <mergeCell ref="AM20:AM26"/>
    <mergeCell ref="AP20:AP26"/>
    <mergeCell ref="AJ20:AJ26"/>
    <mergeCell ref="AD14:AD19"/>
    <mergeCell ref="AD33:AD39"/>
    <mergeCell ref="AS47:AS59"/>
    <mergeCell ref="AM27:AM33"/>
    <mergeCell ref="AP27:AP33"/>
    <mergeCell ref="AM34:AM40"/>
    <mergeCell ref="AP34:AP40"/>
    <mergeCell ref="AJ34:AJ40"/>
    <mergeCell ref="AM53:AM58"/>
    <mergeCell ref="AJ41:AJ46"/>
    <mergeCell ref="AP53:AP58"/>
    <mergeCell ref="AP59:AP64"/>
    <mergeCell ref="AJ53:AJ58"/>
    <mergeCell ref="AJ59:AJ65"/>
    <mergeCell ref="AP65:AP70"/>
    <mergeCell ref="AM65:AM71"/>
    <mergeCell ref="AA2:AA9"/>
    <mergeCell ref="AA10:AA17"/>
    <mergeCell ref="X10:X17"/>
    <mergeCell ref="U28:U35"/>
    <mergeCell ref="U36:U43"/>
    <mergeCell ref="X18:X25"/>
    <mergeCell ref="U14:U20"/>
    <mergeCell ref="C2:C12"/>
    <mergeCell ref="C13:C24"/>
    <mergeCell ref="L2:L10"/>
    <mergeCell ref="L11:L19"/>
    <mergeCell ref="L20:L28"/>
    <mergeCell ref="I60:I69"/>
    <mergeCell ref="L29:L37"/>
    <mergeCell ref="F17:F28"/>
    <mergeCell ref="F29:F40"/>
    <mergeCell ref="F41:F52"/>
    <mergeCell ref="F9:F16"/>
    <mergeCell ref="X2:X9"/>
    <mergeCell ref="U2:U7"/>
    <mergeCell ref="U8:U13"/>
    <mergeCell ref="F2:F8"/>
    <mergeCell ref="I2:I8"/>
    <mergeCell ref="I9:I15"/>
    <mergeCell ref="I16:I23"/>
    <mergeCell ref="I24:I31"/>
    <mergeCell ref="I32:I40"/>
    <mergeCell ref="I41:I49"/>
    <mergeCell ref="R48:R58"/>
    <mergeCell ref="R2:R24"/>
    <mergeCell ref="I50:I59"/>
    <mergeCell ref="X58:X64"/>
    <mergeCell ref="X65:X71"/>
    <mergeCell ref="O2:O23"/>
    <mergeCell ref="O24:O45"/>
    <mergeCell ref="O46:O55"/>
    <mergeCell ref="R59:R69"/>
    <mergeCell ref="R25:R47"/>
    <mergeCell ref="O56:O68"/>
    <mergeCell ref="C45:C57"/>
    <mergeCell ref="C25:C34"/>
    <mergeCell ref="C35:C44"/>
    <mergeCell ref="L38:L47"/>
    <mergeCell ref="L48:L57"/>
    <mergeCell ref="L58:L68"/>
    <mergeCell ref="C58:C68"/>
  </mergeCells>
  <conditionalFormatting sqref="D8">
    <cfRule type="duplicateValues" dxfId="93" priority="19"/>
    <cfRule type="duplicateValues" dxfId="92" priority="20"/>
  </conditionalFormatting>
  <conditionalFormatting sqref="D8">
    <cfRule type="duplicateValues" dxfId="91" priority="21"/>
  </conditionalFormatting>
  <conditionalFormatting sqref="D8">
    <cfRule type="duplicateValues" dxfId="90" priority="18"/>
  </conditionalFormatting>
  <conditionalFormatting sqref="D8">
    <cfRule type="duplicateValues" dxfId="89" priority="22"/>
  </conditionalFormatting>
  <conditionalFormatting sqref="D8">
    <cfRule type="duplicateValues" dxfId="88" priority="17"/>
  </conditionalFormatting>
  <conditionalFormatting sqref="A3">
    <cfRule type="duplicateValues" dxfId="87" priority="13"/>
    <cfRule type="duplicateValues" dxfId="86" priority="14"/>
  </conditionalFormatting>
  <conditionalFormatting sqref="A3">
    <cfRule type="duplicateValues" dxfId="85" priority="15"/>
  </conditionalFormatting>
  <conditionalFormatting sqref="A3">
    <cfRule type="duplicateValues" dxfId="84" priority="16"/>
  </conditionalFormatting>
  <conditionalFormatting sqref="A4">
    <cfRule type="duplicateValues" dxfId="83" priority="9"/>
    <cfRule type="duplicateValues" dxfId="82" priority="10"/>
  </conditionalFormatting>
  <conditionalFormatting sqref="A4">
    <cfRule type="duplicateValues" dxfId="81" priority="11"/>
  </conditionalFormatting>
  <conditionalFormatting sqref="A4">
    <cfRule type="duplicateValues" dxfId="80" priority="12"/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6C3FA-35E8-47B8-B5DF-FFAC421B12C5}">
  <sheetPr>
    <tabColor theme="4"/>
  </sheetPr>
  <dimension ref="A1:AD1099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B54" sqref="AB54"/>
    </sheetView>
  </sheetViews>
  <sheetFormatPr defaultColWidth="8.85546875" defaultRowHeight="15.75" customHeight="1" x14ac:dyDescent="0.25"/>
  <cols>
    <col min="1" max="1" width="16.28515625" style="17" bestFit="1" customWidth="1"/>
    <col min="2" max="2" width="11.7109375" style="16" bestFit="1" customWidth="1"/>
    <col min="3" max="3" width="13.7109375" style="16" customWidth="1"/>
    <col min="4" max="4" width="12.7109375" style="181" bestFit="1" customWidth="1"/>
    <col min="5" max="5" width="19.7109375" style="16" bestFit="1" customWidth="1"/>
    <col min="6" max="6" width="12.7109375" style="16" bestFit="1" customWidth="1"/>
    <col min="7" max="7" width="18.85546875" style="179" customWidth="1"/>
    <col min="8" max="8" width="15.7109375" style="16" bestFit="1" customWidth="1"/>
    <col min="9" max="9" width="14.140625" style="16" hidden="1" customWidth="1"/>
    <col min="10" max="10" width="16.28515625" style="196" hidden="1" customWidth="1"/>
    <col min="11" max="11" width="13.7109375" style="182" hidden="1" customWidth="1"/>
    <col min="12" max="12" width="10.28515625" style="16" hidden="1" customWidth="1"/>
    <col min="13" max="13" width="11" style="16" customWidth="1"/>
    <col min="14" max="14" width="10.7109375" style="16" customWidth="1"/>
    <col min="15" max="15" width="0" style="16" hidden="1" customWidth="1"/>
    <col min="16" max="16" width="14.28515625" style="16" hidden="1" customWidth="1"/>
    <col min="17" max="17" width="14.28515625" style="196" hidden="1" customWidth="1"/>
    <col min="18" max="18" width="0" style="196" hidden="1" customWidth="1"/>
    <col min="19" max="19" width="21.5703125" style="196" hidden="1" customWidth="1"/>
    <col min="20" max="21" width="11.140625" style="409" bestFit="1" customWidth="1"/>
    <col min="22" max="22" width="2.28515625" style="409" customWidth="1"/>
    <col min="23" max="23" width="14.5703125" style="16" customWidth="1"/>
    <col min="24" max="24" width="15.28515625" style="16" bestFit="1" customWidth="1"/>
    <col min="25" max="29" width="8.85546875" style="16"/>
    <col min="30" max="30" width="11.140625" bestFit="1" customWidth="1"/>
    <col min="31" max="16384" width="8.85546875" style="16"/>
  </cols>
  <sheetData>
    <row r="1" spans="1:30" ht="15.75" customHeight="1" x14ac:dyDescent="0.25">
      <c r="B1" s="16">
        <v>1320</v>
      </c>
      <c r="C1" s="16">
        <f>B1*2</f>
        <v>2640</v>
      </c>
      <c r="D1" s="16">
        <f>C1+$B$1</f>
        <v>3960</v>
      </c>
      <c r="E1" s="16">
        <f>D1+$B$1</f>
        <v>5280</v>
      </c>
      <c r="F1" s="16">
        <f>E1+$B$1</f>
        <v>6600</v>
      </c>
      <c r="G1" s="16">
        <f>F1+$B$1</f>
        <v>7920</v>
      </c>
      <c r="H1" s="16">
        <f>G1+$B$1</f>
        <v>9240</v>
      </c>
      <c r="O1" s="288">
        <f>SUM(O3:O815)</f>
        <v>444</v>
      </c>
      <c r="P1" s="281">
        <f>SUM(P3:P1198)</f>
        <v>6411.5</v>
      </c>
      <c r="Q1" s="104"/>
      <c r="R1" s="104"/>
      <c r="S1" s="405">
        <f>SUM(S3:S1204)</f>
        <v>1048850506</v>
      </c>
      <c r="T1" s="417"/>
      <c r="U1" s="288">
        <f>SUM(U3:U815)</f>
        <v>83</v>
      </c>
      <c r="V1" s="417"/>
      <c r="X1" s="181">
        <f>SUM(X3:X1204)</f>
        <v>647</v>
      </c>
      <c r="Y1" s="181">
        <f>SUM(Y3:Y1204)</f>
        <v>9703.5</v>
      </c>
      <c r="Z1" s="16">
        <f>ROUNDDOWN(Y1/168,0)</f>
        <v>57</v>
      </c>
    </row>
    <row r="2" spans="1:30" s="26" customFormat="1" ht="25.9" customHeight="1" x14ac:dyDescent="0.25">
      <c r="A2" s="197" t="s">
        <v>467</v>
      </c>
      <c r="B2" s="198" t="s">
        <v>466</v>
      </c>
      <c r="C2" s="198" t="s">
        <v>465</v>
      </c>
      <c r="D2" s="199" t="s">
        <v>14057</v>
      </c>
      <c r="E2" s="198" t="s">
        <v>464</v>
      </c>
      <c r="F2" s="198" t="s">
        <v>15097</v>
      </c>
      <c r="G2" s="198" t="s">
        <v>463</v>
      </c>
      <c r="H2" s="199" t="s">
        <v>462</v>
      </c>
      <c r="I2" s="200" t="s">
        <v>15111</v>
      </c>
      <c r="J2" s="201" t="s">
        <v>460</v>
      </c>
      <c r="K2" s="202" t="s">
        <v>14209</v>
      </c>
      <c r="L2" s="203" t="s">
        <v>458</v>
      </c>
      <c r="M2" s="411" t="s">
        <v>16795</v>
      </c>
      <c r="N2" s="256" t="s">
        <v>16796</v>
      </c>
      <c r="O2" s="256" t="s">
        <v>16797</v>
      </c>
      <c r="P2" s="286" t="s">
        <v>16798</v>
      </c>
      <c r="Q2" s="406" t="s">
        <v>16804</v>
      </c>
      <c r="R2" s="406" t="s">
        <v>16805</v>
      </c>
      <c r="S2" s="407" t="s">
        <v>16806</v>
      </c>
      <c r="T2" s="418" t="s">
        <v>474</v>
      </c>
      <c r="U2" s="418" t="s">
        <v>475</v>
      </c>
      <c r="V2" s="418" t="s">
        <v>19814</v>
      </c>
      <c r="W2" s="240" t="s">
        <v>19818</v>
      </c>
      <c r="X2" s="286" t="s">
        <v>19819</v>
      </c>
      <c r="Y2" s="344" t="s">
        <v>18364</v>
      </c>
      <c r="Z2" s="26" t="s">
        <v>18365</v>
      </c>
      <c r="AD2"/>
    </row>
    <row r="3" spans="1:30" ht="15.75" customHeight="1" x14ac:dyDescent="0.25">
      <c r="A3" s="210" t="s">
        <v>15790</v>
      </c>
      <c r="B3" s="204" t="s">
        <v>457</v>
      </c>
      <c r="C3" s="204" t="s">
        <v>67</v>
      </c>
      <c r="D3" s="205">
        <v>4</v>
      </c>
      <c r="E3" s="204" t="s">
        <v>2527</v>
      </c>
      <c r="F3" s="204" t="str">
        <f>VLOOKUP(E3,Table10[[COUNTRY NAME]:[CONTINENT CODE]],3,FALSE)</f>
        <v>AF</v>
      </c>
      <c r="G3" s="206" t="s">
        <v>11119</v>
      </c>
      <c r="H3" s="207">
        <v>3835</v>
      </c>
      <c r="I3" s="208">
        <v>10.5</v>
      </c>
      <c r="J3" s="345"/>
      <c r="K3" s="345">
        <f>IFERROR(Table15[[#This Row],[ROUTE $]]/Table15[[#This Row],[E - DEMAND]],0)</f>
        <v>0</v>
      </c>
      <c r="L3" s="204"/>
      <c r="M3" s="412">
        <f>IFERROR(VLOOKUP(Table15[[#This Row],[ROUTE]],DEMAND!A:F,5,FALSE),0)</f>
        <v>6878</v>
      </c>
      <c r="N3" s="16">
        <f>IFERROR(VLOOKUP(Table15[[#This Row],[ROUTE]],DEMAND!A:F,6,FALSE),0)</f>
        <v>6878</v>
      </c>
      <c r="O3" s="16">
        <f>IFERROR(ROUNDDOWN(Table15[[#This Row],[R-DEMAND]]/1706,0),0)</f>
        <v>4</v>
      </c>
      <c r="P3" s="16">
        <f>IFERROR(Table15[[#This Row],[ADD ACC]]*Table15[[#This Row],[RT TIME 
(380-800)]],0)</f>
        <v>42</v>
      </c>
      <c r="Q3" s="421">
        <f>IFERROR(VLOOKUP(Table15[[#This Row],[ROUTE]],PRICING!A:B,2,FALSE),0)</f>
        <v>0</v>
      </c>
      <c r="R3" s="235">
        <f>IFERROR(Table15[[#This Row],[C_DEMAND]]-Table15[[#This Row],[R-DEMAND]],0)</f>
        <v>0</v>
      </c>
      <c r="S3" s="408">
        <f t="shared" ref="S3:S66" si="0">IFERROR(R3*Q3,0)</f>
        <v>0</v>
      </c>
      <c r="T3" s="419">
        <f>Table15[[#This Row],[R-DEMAND]]-(Table15[[#This Row],[ADD ACC]]*1706)</f>
        <v>54</v>
      </c>
      <c r="U3" s="419">
        <f>ROUNDDOWN(Table15[[#This Row],[Column1]]/1360,0)</f>
        <v>0</v>
      </c>
      <c r="V3" s="419"/>
      <c r="W3" s="251">
        <v>10.5</v>
      </c>
      <c r="X3" s="251">
        <f>ROUNDDOWN(Table15[[#This Row],[R-DEMAND]]/1320,0)</f>
        <v>5</v>
      </c>
      <c r="Y3" s="251">
        <f>IFERROR(Table15[[#This Row],[ADD ACC
(660/1320)]]*Table15[[#This Row],[Duration
(B744)]],0)</f>
        <v>52.5</v>
      </c>
      <c r="Z3" s="251"/>
    </row>
    <row r="4" spans="1:30" ht="15.75" customHeight="1" x14ac:dyDescent="0.25">
      <c r="A4" s="210" t="s">
        <v>15824</v>
      </c>
      <c r="B4" s="204" t="s">
        <v>2258</v>
      </c>
      <c r="C4" s="204" t="s">
        <v>2</v>
      </c>
      <c r="D4" s="205">
        <v>1</v>
      </c>
      <c r="E4" s="204" t="s">
        <v>1513</v>
      </c>
      <c r="F4" s="204" t="str">
        <f>VLOOKUP(E4,Table10[[COUNTRY NAME]:[CONTINENT CODE]],3,FALSE)</f>
        <v>AF</v>
      </c>
      <c r="G4" s="206" t="s">
        <v>11963</v>
      </c>
      <c r="H4" s="207">
        <v>3551</v>
      </c>
      <c r="I4" s="208">
        <v>10</v>
      </c>
      <c r="J4" s="345"/>
      <c r="K4" s="345">
        <f>IFERROR(Table15[[#This Row],[ROUTE $]]/Table15[[#This Row],[E - DEMAND]],0)</f>
        <v>0</v>
      </c>
      <c r="L4" s="204"/>
      <c r="M4" s="412">
        <f>IFERROR(VLOOKUP(Table15[[#This Row],[ROUTE]],DEMAND!A:F,5,FALSE),0)</f>
        <v>5817</v>
      </c>
      <c r="N4" s="16">
        <f>IFERROR(VLOOKUP(Table15[[#This Row],[ROUTE]],DEMAND!A:F,6,FALSE),0)</f>
        <v>5817</v>
      </c>
      <c r="O4" s="16">
        <f>IFERROR(ROUNDDOWN(Table15[[#This Row],[R-DEMAND]]/1706,0),0)</f>
        <v>3</v>
      </c>
      <c r="P4" s="16">
        <f>IFERROR(Table15[[#This Row],[ADD ACC]]*Table15[[#This Row],[RT TIME 
(380-800)]],0)</f>
        <v>30</v>
      </c>
      <c r="Q4" s="415">
        <f>IFERROR(VLOOKUP(Table15[[#This Row],[ROUTE]],PRICING!A:B,2,FALSE),0)</f>
        <v>0</v>
      </c>
      <c r="R4" s="235">
        <f>IFERROR(Table15[[#This Row],[C_DEMAND]]-Table15[[#This Row],[R-DEMAND]],0)</f>
        <v>0</v>
      </c>
      <c r="S4" s="408">
        <f t="shared" si="0"/>
        <v>0</v>
      </c>
      <c r="T4" s="419">
        <f>Table15[[#This Row],[R-DEMAND]]-(Table15[[#This Row],[ADD ACC]]*1706)</f>
        <v>699</v>
      </c>
      <c r="U4" s="419">
        <f>ROUNDDOWN(Table15[[#This Row],[Column1]]/1360,0)</f>
        <v>0</v>
      </c>
      <c r="V4" s="419"/>
      <c r="W4" s="251">
        <v>10</v>
      </c>
      <c r="X4" s="251">
        <f>ROUNDDOWN(Table15[[#This Row],[R-DEMAND]]/1320,0)</f>
        <v>4</v>
      </c>
      <c r="Y4" s="251">
        <f>IFERROR(Table15[[#This Row],[ADD ACC
(660/1320)]]*Table15[[#This Row],[Duration
(B744)]],0)</f>
        <v>40</v>
      </c>
      <c r="Z4" s="251"/>
    </row>
    <row r="5" spans="1:30" ht="15.75" customHeight="1" x14ac:dyDescent="0.25">
      <c r="A5" s="210" t="s">
        <v>15729</v>
      </c>
      <c r="B5" s="204" t="s">
        <v>388</v>
      </c>
      <c r="C5" s="204" t="s">
        <v>2</v>
      </c>
      <c r="D5" s="205">
        <v>4</v>
      </c>
      <c r="E5" s="204" t="s">
        <v>1124</v>
      </c>
      <c r="F5" s="204" t="str">
        <f>VLOOKUP(E5,Table10[[COUNTRY NAME]:[CONTINENT CODE]],3,FALSE)</f>
        <v>AF</v>
      </c>
      <c r="G5" s="206" t="s">
        <v>11101</v>
      </c>
      <c r="H5" s="207">
        <v>4342</v>
      </c>
      <c r="I5" s="208">
        <v>11.75</v>
      </c>
      <c r="J5" s="345"/>
      <c r="K5" s="345">
        <f>IFERROR(Table15[[#This Row],[ROUTE $]]/Table15[[#This Row],[E - DEMAND]],0)</f>
        <v>0</v>
      </c>
      <c r="L5" s="204"/>
      <c r="M5" s="412">
        <f>IFERROR(VLOOKUP(Table15[[#This Row],[ROUTE]],DEMAND!A:F,5,FALSE),0)</f>
        <v>5758</v>
      </c>
      <c r="N5" s="16">
        <f>IFERROR(VLOOKUP(Table15[[#This Row],[ROUTE]],DEMAND!A:F,6,FALSE),0)</f>
        <v>5758</v>
      </c>
      <c r="O5" s="16">
        <f>IFERROR(ROUNDDOWN(Table15[[#This Row],[R-DEMAND]]/1706,0),0)</f>
        <v>3</v>
      </c>
      <c r="P5" s="16">
        <f>IFERROR(Table15[[#This Row],[ADD ACC]]*Table15[[#This Row],[RT TIME 
(380-800)]],0)</f>
        <v>35.25</v>
      </c>
      <c r="Q5" s="415">
        <f>IFERROR(VLOOKUP(Table15[[#This Row],[ROUTE]],PRICING!A:B,2,FALSE),0)</f>
        <v>0</v>
      </c>
      <c r="R5" s="235">
        <f>IFERROR(Table15[[#This Row],[C_DEMAND]]-Table15[[#This Row],[R-DEMAND]],0)</f>
        <v>0</v>
      </c>
      <c r="S5" s="408">
        <f t="shared" si="0"/>
        <v>0</v>
      </c>
      <c r="T5" s="419">
        <f>Table15[[#This Row],[R-DEMAND]]-(Table15[[#This Row],[ADD ACC]]*1706)</f>
        <v>640</v>
      </c>
      <c r="U5" s="419">
        <f>ROUNDDOWN(Table15[[#This Row],[Column1]]/1360,0)</f>
        <v>0</v>
      </c>
      <c r="V5" s="419"/>
      <c r="W5" s="251">
        <v>11.75</v>
      </c>
      <c r="X5" s="251">
        <f>ROUNDDOWN(Table15[[#This Row],[R-DEMAND]]/1320,0)</f>
        <v>4</v>
      </c>
      <c r="Y5" s="251">
        <f>IFERROR(Table15[[#This Row],[ADD ACC
(660/1320)]]*Table15[[#This Row],[Duration
(B744)]],0)</f>
        <v>47</v>
      </c>
      <c r="Z5" s="251"/>
    </row>
    <row r="6" spans="1:30" ht="15.75" customHeight="1" x14ac:dyDescent="0.25">
      <c r="A6" s="210" t="s">
        <v>15460</v>
      </c>
      <c r="B6" s="204" t="s">
        <v>5452</v>
      </c>
      <c r="C6" s="204" t="s">
        <v>2</v>
      </c>
      <c r="D6" s="205">
        <v>4</v>
      </c>
      <c r="E6" s="204" t="s">
        <v>2059</v>
      </c>
      <c r="F6" s="204" t="str">
        <f>VLOOKUP(E6,Table10[[COUNTRY NAME]:[CONTINENT CODE]],3,FALSE)</f>
        <v>AF</v>
      </c>
      <c r="G6" s="206" t="s">
        <v>11073</v>
      </c>
      <c r="H6" s="207">
        <v>6903</v>
      </c>
      <c r="I6" s="208">
        <v>17.5</v>
      </c>
      <c r="J6" s="345"/>
      <c r="K6" s="345">
        <f>IFERROR(Table15[[#This Row],[ROUTE $]]/Table15[[#This Row],[E - DEMAND]],0)</f>
        <v>0</v>
      </c>
      <c r="L6" s="204"/>
      <c r="M6" s="412">
        <f>IFERROR(VLOOKUP(Table15[[#This Row],[ROUTE]],DEMAND!A:F,5,FALSE),0)</f>
        <v>5730</v>
      </c>
      <c r="N6" s="16">
        <f>IFERROR(VLOOKUP(Table15[[#This Row],[ROUTE]],DEMAND!A:F,6,FALSE),0)</f>
        <v>5730</v>
      </c>
      <c r="O6" s="16">
        <f>IFERROR(ROUNDDOWN(Table15[[#This Row],[R-DEMAND]]/1706,0),0)</f>
        <v>3</v>
      </c>
      <c r="P6" s="16">
        <f>IFERROR(Table15[[#This Row],[ADD ACC]]*Table15[[#This Row],[RT TIME 
(380-800)]],0)</f>
        <v>52.5</v>
      </c>
      <c r="Q6" s="415">
        <f>IFERROR(VLOOKUP(Table15[[#This Row],[ROUTE]],PRICING!A:B,2,FALSE),0)</f>
        <v>0</v>
      </c>
      <c r="R6" s="235">
        <f>IFERROR(Table15[[#This Row],[C_DEMAND]]-Table15[[#This Row],[R-DEMAND]],0)</f>
        <v>0</v>
      </c>
      <c r="S6" s="408">
        <f t="shared" si="0"/>
        <v>0</v>
      </c>
      <c r="T6" s="419">
        <f>Table15[[#This Row],[R-DEMAND]]-(Table15[[#This Row],[ADD ACC]]*1706)</f>
        <v>612</v>
      </c>
      <c r="U6" s="419">
        <f>ROUNDDOWN(Table15[[#This Row],[Column1]]/1360,0)</f>
        <v>0</v>
      </c>
      <c r="V6" s="419"/>
      <c r="W6" s="251">
        <v>17.5</v>
      </c>
      <c r="X6" s="251">
        <f>ROUNDDOWN(Table15[[#This Row],[R-DEMAND]]/1320,0)</f>
        <v>4</v>
      </c>
      <c r="Y6" s="251">
        <f>IFERROR(Table15[[#This Row],[ADD ACC
(660/1320)]]*Table15[[#This Row],[Duration
(B744)]],0)</f>
        <v>70</v>
      </c>
      <c r="Z6" s="251"/>
    </row>
    <row r="7" spans="1:30" ht="15.75" customHeight="1" x14ac:dyDescent="0.25">
      <c r="A7" s="210" t="s">
        <v>15802</v>
      </c>
      <c r="B7" s="204" t="s">
        <v>100</v>
      </c>
      <c r="C7" s="204" t="s">
        <v>2</v>
      </c>
      <c r="D7" s="205">
        <v>4</v>
      </c>
      <c r="E7" s="204" t="s">
        <v>1314</v>
      </c>
      <c r="F7" s="204" t="str">
        <f>VLOOKUP(E7,Table10[[COUNTRY NAME]:[CONTINENT CODE]],3,FALSE)</f>
        <v>AS</v>
      </c>
      <c r="G7" s="206" t="s">
        <v>11043</v>
      </c>
      <c r="H7" s="207">
        <v>3737</v>
      </c>
      <c r="I7" s="208">
        <v>10.5</v>
      </c>
      <c r="J7" s="345"/>
      <c r="K7" s="345">
        <f>IFERROR(Table15[[#This Row],[ROUTE $]]/Table15[[#This Row],[E - DEMAND]],0)</f>
        <v>0</v>
      </c>
      <c r="L7" s="204"/>
      <c r="M7" s="412">
        <f>IFERROR(VLOOKUP(Table15[[#This Row],[ROUTE]],DEMAND!A:F,5,FALSE),0)</f>
        <v>5697</v>
      </c>
      <c r="N7" s="16">
        <f>IFERROR(VLOOKUP(Table15[[#This Row],[ROUTE]],DEMAND!A:F,6,FALSE),0)</f>
        <v>5697</v>
      </c>
      <c r="O7" s="16">
        <f>IFERROR(ROUNDDOWN(Table15[[#This Row],[R-DEMAND]]/1706,0),0)</f>
        <v>3</v>
      </c>
      <c r="P7" s="16">
        <f>IFERROR(Table15[[#This Row],[ADD ACC]]*Table15[[#This Row],[RT TIME 
(380-800)]],0)</f>
        <v>31.5</v>
      </c>
      <c r="Q7" s="415">
        <f>IFERROR(VLOOKUP(Table15[[#This Row],[ROUTE]],PRICING!A:B,2,FALSE),0)</f>
        <v>0</v>
      </c>
      <c r="R7" s="235">
        <f>IFERROR(Table15[[#This Row],[C_DEMAND]]-Table15[[#This Row],[R-DEMAND]],0)</f>
        <v>0</v>
      </c>
      <c r="S7" s="408">
        <f t="shared" si="0"/>
        <v>0</v>
      </c>
      <c r="T7" s="419">
        <f>Table15[[#This Row],[R-DEMAND]]-(Table15[[#This Row],[ADD ACC]]*1706)</f>
        <v>579</v>
      </c>
      <c r="U7" s="419">
        <f>ROUNDDOWN(Table15[[#This Row],[Column1]]/1360,0)</f>
        <v>0</v>
      </c>
      <c r="V7" s="419"/>
      <c r="W7" s="251">
        <v>10.5</v>
      </c>
      <c r="X7" s="251">
        <f>ROUNDDOWN(Table15[[#This Row],[R-DEMAND]]/1320,0)</f>
        <v>4</v>
      </c>
      <c r="Y7" s="251">
        <f>IFERROR(Table15[[#This Row],[ADD ACC
(660/1320)]]*Table15[[#This Row],[Duration
(B744)]],0)</f>
        <v>42</v>
      </c>
      <c r="Z7" s="251"/>
    </row>
    <row r="8" spans="1:30" ht="15.75" customHeight="1" x14ac:dyDescent="0.25">
      <c r="A8" s="210" t="s">
        <v>15388</v>
      </c>
      <c r="B8" s="204" t="s">
        <v>484</v>
      </c>
      <c r="C8" s="204" t="s">
        <v>2</v>
      </c>
      <c r="D8" s="205">
        <v>4</v>
      </c>
      <c r="E8" s="204" t="s">
        <v>2059</v>
      </c>
      <c r="F8" s="204" t="str">
        <f>VLOOKUP(E8,Table10[[COUNTRY NAME]:[CONTINENT CODE]],3,FALSE)</f>
        <v>AF</v>
      </c>
      <c r="G8" s="206" t="s">
        <v>11064</v>
      </c>
      <c r="H8" s="207">
        <v>7625</v>
      </c>
      <c r="I8" s="208">
        <v>19</v>
      </c>
      <c r="J8" s="345"/>
      <c r="K8" s="345">
        <f>IFERROR(Table15[[#This Row],[ROUTE $]]/Table15[[#This Row],[E - DEMAND]],0)</f>
        <v>0</v>
      </c>
      <c r="L8" s="204"/>
      <c r="M8" s="412">
        <f>IFERROR(VLOOKUP(Table15[[#This Row],[ROUTE]],DEMAND!A:F,5,FALSE),0)</f>
        <v>5662</v>
      </c>
      <c r="N8" s="16">
        <f>IFERROR(VLOOKUP(Table15[[#This Row],[ROUTE]],DEMAND!A:F,6,FALSE),0)</f>
        <v>5662</v>
      </c>
      <c r="O8" s="16">
        <f>IFERROR(ROUNDDOWN(Table15[[#This Row],[R-DEMAND]]/1706,0),0)</f>
        <v>3</v>
      </c>
      <c r="P8" s="16">
        <f>IFERROR(Table15[[#This Row],[ADD ACC]]*Table15[[#This Row],[RT TIME 
(380-800)]],0)</f>
        <v>57</v>
      </c>
      <c r="Q8" s="415">
        <f>IFERROR(VLOOKUP(Table15[[#This Row],[ROUTE]],PRICING!A:B,2,FALSE),0)</f>
        <v>0</v>
      </c>
      <c r="R8" s="235">
        <f>IFERROR(Table15[[#This Row],[C_DEMAND]]-Table15[[#This Row],[R-DEMAND]],0)</f>
        <v>0</v>
      </c>
      <c r="S8" s="408">
        <f t="shared" si="0"/>
        <v>0</v>
      </c>
      <c r="T8" s="419">
        <f>Table15[[#This Row],[R-DEMAND]]-(Table15[[#This Row],[ADD ACC]]*1706)</f>
        <v>544</v>
      </c>
      <c r="U8" s="419">
        <f>ROUNDDOWN(Table15[[#This Row],[Column1]]/1360,0)</f>
        <v>0</v>
      </c>
      <c r="V8" s="419"/>
      <c r="W8" s="251">
        <v>19</v>
      </c>
      <c r="X8" s="251">
        <f>ROUNDDOWN(Table15[[#This Row],[R-DEMAND]]/1320,0)</f>
        <v>4</v>
      </c>
      <c r="Y8" s="251">
        <f>IFERROR(Table15[[#This Row],[ADD ACC
(660/1320)]]*Table15[[#This Row],[Duration
(B744)]],0)</f>
        <v>76</v>
      </c>
      <c r="Z8" s="251"/>
    </row>
    <row r="9" spans="1:30" ht="15.75" customHeight="1" x14ac:dyDescent="0.25">
      <c r="A9" s="210" t="s">
        <v>15344</v>
      </c>
      <c r="B9" s="204" t="s">
        <v>5163</v>
      </c>
      <c r="C9" s="204" t="s">
        <v>2</v>
      </c>
      <c r="D9" s="205">
        <v>3</v>
      </c>
      <c r="E9" s="204" t="s">
        <v>611</v>
      </c>
      <c r="F9" s="204" t="str">
        <f>VLOOKUP(E9,Table10[[COUNTRY NAME]:[CONTINENT CODE]],3,FALSE)</f>
        <v>AF</v>
      </c>
      <c r="G9" s="206" t="s">
        <v>13250</v>
      </c>
      <c r="H9" s="207">
        <v>9475</v>
      </c>
      <c r="I9" s="208">
        <v>23</v>
      </c>
      <c r="J9" s="345"/>
      <c r="K9" s="345">
        <f>IFERROR(Table15[[#This Row],[ROUTE $]]/Table15[[#This Row],[E - DEMAND]],0)</f>
        <v>0</v>
      </c>
      <c r="L9" s="204"/>
      <c r="M9" s="412">
        <f>IFERROR(VLOOKUP(Table15[[#This Row],[ROUTE]],DEMAND!A:F,5,FALSE),0)</f>
        <v>5652</v>
      </c>
      <c r="N9" s="16">
        <f>IFERROR(VLOOKUP(Table15[[#This Row],[ROUTE]],DEMAND!A:F,6,FALSE),0)</f>
        <v>5652</v>
      </c>
      <c r="O9" s="16">
        <f>IFERROR(ROUNDDOWN(Table15[[#This Row],[R-DEMAND]]/1706,0),0)</f>
        <v>3</v>
      </c>
      <c r="P9" s="16">
        <f>IFERROR(Table15[[#This Row],[ADD ACC]]*Table15[[#This Row],[RT TIME 
(380-800)]],0)</f>
        <v>69</v>
      </c>
      <c r="Q9" s="415">
        <f>IFERROR(VLOOKUP(Table15[[#This Row],[ROUTE]],PRICING!A:B,2,FALSE),0)</f>
        <v>0</v>
      </c>
      <c r="R9" s="235">
        <f>IFERROR(Table15[[#This Row],[C_DEMAND]]-Table15[[#This Row],[R-DEMAND]],0)</f>
        <v>0</v>
      </c>
      <c r="S9" s="408">
        <f t="shared" si="0"/>
        <v>0</v>
      </c>
      <c r="T9" s="419">
        <f>Table15[[#This Row],[R-DEMAND]]-(Table15[[#This Row],[ADD ACC]]*1706)</f>
        <v>534</v>
      </c>
      <c r="U9" s="419">
        <f>ROUNDDOWN(Table15[[#This Row],[Column1]]/1360,0)</f>
        <v>0</v>
      </c>
      <c r="V9" s="419"/>
      <c r="W9" s="251">
        <v>23</v>
      </c>
      <c r="X9" s="251">
        <f>ROUNDDOWN(Table15[[#This Row],[R-DEMAND]]/1320,0)</f>
        <v>4</v>
      </c>
      <c r="Y9" s="251">
        <f>IFERROR(Table15[[#This Row],[ADD ACC
(660/1320)]]*Table15[[#This Row],[Duration
(B744)]],0)</f>
        <v>92</v>
      </c>
      <c r="Z9" s="251"/>
    </row>
    <row r="10" spans="1:30" ht="15.75" customHeight="1" x14ac:dyDescent="0.25">
      <c r="A10" s="210" t="s">
        <v>15776</v>
      </c>
      <c r="B10" s="204" t="s">
        <v>3941</v>
      </c>
      <c r="C10" s="204" t="s">
        <v>2</v>
      </c>
      <c r="D10" s="205">
        <v>2</v>
      </c>
      <c r="E10" s="204" t="s">
        <v>2527</v>
      </c>
      <c r="F10" s="204" t="str">
        <f>VLOOKUP(E10,Table10[[COUNTRY NAME]:[CONTINENT CODE]],3,FALSE)</f>
        <v>AF</v>
      </c>
      <c r="G10" s="206" t="s">
        <v>11929</v>
      </c>
      <c r="H10" s="207">
        <v>3946</v>
      </c>
      <c r="I10" s="208">
        <v>10.75</v>
      </c>
      <c r="J10" s="345"/>
      <c r="K10" s="345">
        <f>IFERROR(Table15[[#This Row],[ROUTE $]]/Table15[[#This Row],[E - DEMAND]],0)</f>
        <v>0</v>
      </c>
      <c r="L10" s="204"/>
      <c r="M10" s="412">
        <f>IFERROR(VLOOKUP(Table15[[#This Row],[ROUTE]],DEMAND!A:F,5,FALSE),0)</f>
        <v>5582</v>
      </c>
      <c r="N10" s="16">
        <f>IFERROR(VLOOKUP(Table15[[#This Row],[ROUTE]],DEMAND!A:F,6,FALSE),0)</f>
        <v>5582</v>
      </c>
      <c r="O10" s="16">
        <f>IFERROR(ROUNDDOWN(Table15[[#This Row],[R-DEMAND]]/1706,0),0)</f>
        <v>3</v>
      </c>
      <c r="P10" s="16">
        <f>IFERROR(Table15[[#This Row],[ADD ACC]]*Table15[[#This Row],[RT TIME 
(380-800)]],0)</f>
        <v>32.25</v>
      </c>
      <c r="Q10" s="415">
        <f>IFERROR(VLOOKUP(Table15[[#This Row],[ROUTE]],PRICING!A:B,2,FALSE),0)</f>
        <v>0</v>
      </c>
      <c r="R10" s="235">
        <f>IFERROR(Table15[[#This Row],[C_DEMAND]]-Table15[[#This Row],[R-DEMAND]],0)</f>
        <v>0</v>
      </c>
      <c r="S10" s="408">
        <f t="shared" si="0"/>
        <v>0</v>
      </c>
      <c r="T10" s="419">
        <f>Table15[[#This Row],[R-DEMAND]]-(Table15[[#This Row],[ADD ACC]]*1706)</f>
        <v>464</v>
      </c>
      <c r="U10" s="419">
        <f>ROUNDDOWN(Table15[[#This Row],[Column1]]/1360,0)</f>
        <v>0</v>
      </c>
      <c r="V10" s="419"/>
      <c r="W10" s="251">
        <v>10.75</v>
      </c>
      <c r="X10" s="251">
        <f>ROUNDDOWN(Table15[[#This Row],[R-DEMAND]]/1320,0)</f>
        <v>4</v>
      </c>
      <c r="Y10" s="251">
        <f>IFERROR(Table15[[#This Row],[ADD ACC
(660/1320)]]*Table15[[#This Row],[Duration
(B744)]],0)</f>
        <v>43</v>
      </c>
      <c r="Z10" s="251"/>
    </row>
    <row r="11" spans="1:30" ht="15.75" customHeight="1" x14ac:dyDescent="0.25">
      <c r="A11" s="210" t="s">
        <v>15884</v>
      </c>
      <c r="B11" s="204" t="s">
        <v>58</v>
      </c>
      <c r="C11" s="204" t="s">
        <v>67</v>
      </c>
      <c r="D11" s="205">
        <v>4</v>
      </c>
      <c r="E11" s="204" t="s">
        <v>502</v>
      </c>
      <c r="F11" s="204" t="str">
        <f>VLOOKUP(E11,Table10[[COUNTRY NAME]:[CONTINENT CODE]],3,FALSE)</f>
        <v>AS</v>
      </c>
      <c r="G11" s="206" t="s">
        <v>11038</v>
      </c>
      <c r="H11" s="207">
        <v>2805</v>
      </c>
      <c r="I11" s="208">
        <v>8.25</v>
      </c>
      <c r="J11" s="345"/>
      <c r="K11" s="345">
        <f>IFERROR(Table15[[#This Row],[ROUTE $]]/Table15[[#This Row],[E - DEMAND]],0)</f>
        <v>0</v>
      </c>
      <c r="L11" s="204"/>
      <c r="M11" s="412">
        <f>IFERROR(VLOOKUP(Table15[[#This Row],[ROUTE]],DEMAND!A:F,5,FALSE),0)</f>
        <v>5502</v>
      </c>
      <c r="N11" s="16">
        <f>IFERROR(VLOOKUP(Table15[[#This Row],[ROUTE]],DEMAND!A:F,6,FALSE),0)</f>
        <v>5502</v>
      </c>
      <c r="O11" s="16">
        <f>IFERROR(ROUNDDOWN(Table15[[#This Row],[R-DEMAND]]/1706,0),0)</f>
        <v>3</v>
      </c>
      <c r="P11" s="16">
        <f>IFERROR(Table15[[#This Row],[ADD ACC]]*Table15[[#This Row],[RT TIME 
(380-800)]],0)</f>
        <v>24.75</v>
      </c>
      <c r="Q11" s="415">
        <f>IFERROR(VLOOKUP(Table15[[#This Row],[ROUTE]],PRICING!A:B,2,FALSE),0)</f>
        <v>0</v>
      </c>
      <c r="R11" s="235">
        <f>IFERROR(Table15[[#This Row],[C_DEMAND]]-Table15[[#This Row],[R-DEMAND]],0)</f>
        <v>0</v>
      </c>
      <c r="S11" s="408">
        <f t="shared" si="0"/>
        <v>0</v>
      </c>
      <c r="T11" s="419">
        <f>Table15[[#This Row],[R-DEMAND]]-(Table15[[#This Row],[ADD ACC]]*1706)</f>
        <v>384</v>
      </c>
      <c r="U11" s="419">
        <f>ROUNDDOWN(Table15[[#This Row],[Column1]]/1360,0)</f>
        <v>0</v>
      </c>
      <c r="V11" s="419"/>
      <c r="W11" s="251">
        <v>8.25</v>
      </c>
      <c r="X11" s="251">
        <f>ROUNDDOWN(Table15[[#This Row],[R-DEMAND]]/1320,0)</f>
        <v>4</v>
      </c>
      <c r="Y11" s="251">
        <f>IFERROR(Table15[[#This Row],[ADD ACC
(660/1320)]]*Table15[[#This Row],[Duration
(B744)]],0)</f>
        <v>33</v>
      </c>
      <c r="Z11" s="251"/>
    </row>
    <row r="12" spans="1:30" ht="15.75" customHeight="1" x14ac:dyDescent="0.25">
      <c r="A12" s="210" t="s">
        <v>15857</v>
      </c>
      <c r="B12" s="204" t="s">
        <v>217</v>
      </c>
      <c r="C12" s="204" t="s">
        <v>2</v>
      </c>
      <c r="D12" s="205">
        <v>4</v>
      </c>
      <c r="E12" s="204" t="s">
        <v>14</v>
      </c>
      <c r="F12" s="204" t="str">
        <f>VLOOKUP(E12,Table10[[COUNTRY NAME]:[CONTINENT CODE]],3,FALSE)</f>
        <v>AS</v>
      </c>
      <c r="G12" s="206" t="s">
        <v>11071</v>
      </c>
      <c r="H12" s="207">
        <v>3142</v>
      </c>
      <c r="I12" s="208">
        <v>9</v>
      </c>
      <c r="J12" s="345"/>
      <c r="K12" s="345">
        <f>IFERROR(Table15[[#This Row],[ROUTE $]]/Table15[[#This Row],[E - DEMAND]],0)</f>
        <v>0</v>
      </c>
      <c r="L12" s="204"/>
      <c r="M12" s="412">
        <f>IFERROR(VLOOKUP(Table15[[#This Row],[ROUTE]],DEMAND!A:F,5,FALSE),0)</f>
        <v>5443</v>
      </c>
      <c r="N12" s="16">
        <f>IFERROR(VLOOKUP(Table15[[#This Row],[ROUTE]],DEMAND!A:F,6,FALSE),0)</f>
        <v>5443</v>
      </c>
      <c r="O12" s="16">
        <f>IFERROR(ROUNDDOWN(Table15[[#This Row],[R-DEMAND]]/1706,0),0)</f>
        <v>3</v>
      </c>
      <c r="P12" s="16">
        <f>IFERROR(Table15[[#This Row],[ADD ACC]]*Table15[[#This Row],[RT TIME 
(380-800)]],0)</f>
        <v>27</v>
      </c>
      <c r="Q12" s="415">
        <f>IFERROR(VLOOKUP(Table15[[#This Row],[ROUTE]],PRICING!A:B,2,FALSE),0)</f>
        <v>0</v>
      </c>
      <c r="R12" s="235">
        <f>IFERROR(Table15[[#This Row],[C_DEMAND]]-Table15[[#This Row],[R-DEMAND]],0)</f>
        <v>0</v>
      </c>
      <c r="S12" s="408">
        <f t="shared" si="0"/>
        <v>0</v>
      </c>
      <c r="T12" s="419">
        <f>Table15[[#This Row],[R-DEMAND]]-(Table15[[#This Row],[ADD ACC]]*1706)</f>
        <v>325</v>
      </c>
      <c r="U12" s="419">
        <f>ROUNDDOWN(Table15[[#This Row],[Column1]]/1360,0)</f>
        <v>0</v>
      </c>
      <c r="V12" s="419"/>
      <c r="W12" s="251">
        <v>9</v>
      </c>
      <c r="X12" s="251">
        <f>ROUNDDOWN(Table15[[#This Row],[R-DEMAND]]/1320,0)</f>
        <v>4</v>
      </c>
      <c r="Y12" s="251">
        <f>IFERROR(Table15[[#This Row],[ADD ACC
(660/1320)]]*Table15[[#This Row],[Duration
(B744)]],0)</f>
        <v>36</v>
      </c>
      <c r="Z12" s="251"/>
    </row>
    <row r="13" spans="1:30" ht="15.75" customHeight="1" x14ac:dyDescent="0.25">
      <c r="A13" s="210" t="s">
        <v>15433</v>
      </c>
      <c r="B13" s="204" t="s">
        <v>5267</v>
      </c>
      <c r="C13" s="204" t="s">
        <v>2</v>
      </c>
      <c r="D13" s="205">
        <v>3</v>
      </c>
      <c r="E13" s="204" t="s">
        <v>2059</v>
      </c>
      <c r="F13" s="204" t="str">
        <f>VLOOKUP(E13,Table10[[COUNTRY NAME]:[CONTINENT CODE]],3,FALSE)</f>
        <v>AF</v>
      </c>
      <c r="G13" s="206" t="s">
        <v>11753</v>
      </c>
      <c r="H13" s="207">
        <v>7130</v>
      </c>
      <c r="I13" s="208">
        <v>18</v>
      </c>
      <c r="J13" s="345"/>
      <c r="K13" s="345">
        <f>IFERROR(Table15[[#This Row],[ROUTE $]]/Table15[[#This Row],[E - DEMAND]],0)</f>
        <v>0</v>
      </c>
      <c r="L13" s="204"/>
      <c r="M13" s="412">
        <f>IFERROR(VLOOKUP(Table15[[#This Row],[ROUTE]],DEMAND!A:F,5,FALSE),0)</f>
        <v>5415</v>
      </c>
      <c r="N13" s="16">
        <f>IFERROR(VLOOKUP(Table15[[#This Row],[ROUTE]],DEMAND!A:F,6,FALSE),0)</f>
        <v>5415</v>
      </c>
      <c r="O13" s="16">
        <f>IFERROR(ROUNDDOWN(Table15[[#This Row],[R-DEMAND]]/1706,0),0)</f>
        <v>3</v>
      </c>
      <c r="P13" s="16">
        <f>IFERROR(Table15[[#This Row],[ADD ACC]]*Table15[[#This Row],[RT TIME 
(380-800)]],0)</f>
        <v>54</v>
      </c>
      <c r="Q13" s="415">
        <f>IFERROR(VLOOKUP(Table15[[#This Row],[ROUTE]],PRICING!A:B,2,FALSE),0)</f>
        <v>0</v>
      </c>
      <c r="R13" s="235">
        <f>IFERROR(Table15[[#This Row],[C_DEMAND]]-Table15[[#This Row],[R-DEMAND]],0)</f>
        <v>0</v>
      </c>
      <c r="S13" s="408">
        <f t="shared" si="0"/>
        <v>0</v>
      </c>
      <c r="T13" s="419">
        <f>Table15[[#This Row],[R-DEMAND]]-(Table15[[#This Row],[ADD ACC]]*1706)</f>
        <v>297</v>
      </c>
      <c r="U13" s="419">
        <f>ROUNDDOWN(Table15[[#This Row],[Column1]]/1360,0)</f>
        <v>0</v>
      </c>
      <c r="V13" s="419"/>
      <c r="W13" s="251">
        <v>18</v>
      </c>
      <c r="X13" s="251">
        <f>ROUNDDOWN(Table15[[#This Row],[R-DEMAND]]/1320,0)</f>
        <v>4</v>
      </c>
      <c r="Y13" s="251">
        <f>IFERROR(Table15[[#This Row],[ADD ACC
(660/1320)]]*Table15[[#This Row],[Duration
(B744)]],0)</f>
        <v>72</v>
      </c>
      <c r="Z13" s="251"/>
    </row>
    <row r="14" spans="1:30" ht="15.75" customHeight="1" x14ac:dyDescent="0.25">
      <c r="A14" s="210" t="s">
        <v>15453</v>
      </c>
      <c r="B14" s="204" t="s">
        <v>234</v>
      </c>
      <c r="C14" s="204" t="s">
        <v>2</v>
      </c>
      <c r="D14" s="205">
        <v>4</v>
      </c>
      <c r="E14" s="204" t="s">
        <v>926</v>
      </c>
      <c r="F14" s="204" t="str">
        <f>VLOOKUP(E14,Table10[[COUNTRY NAME]:[CONTINENT CODE]],3,FALSE)</f>
        <v>AF</v>
      </c>
      <c r="G14" s="206" t="s">
        <v>11074</v>
      </c>
      <c r="H14" s="207">
        <v>6965</v>
      </c>
      <c r="I14" s="208">
        <v>17.5</v>
      </c>
      <c r="J14" s="345"/>
      <c r="K14" s="345">
        <f>IFERROR(Table15[[#This Row],[ROUTE $]]/Table15[[#This Row],[E - DEMAND]],0)</f>
        <v>0</v>
      </c>
      <c r="L14" s="204"/>
      <c r="M14" s="412">
        <f>IFERROR(VLOOKUP(Table15[[#This Row],[ROUTE]],DEMAND!A:F,5,FALSE),0)</f>
        <v>5400</v>
      </c>
      <c r="N14" s="16">
        <f>IFERROR(VLOOKUP(Table15[[#This Row],[ROUTE]],DEMAND!A:F,6,FALSE),0)</f>
        <v>5400</v>
      </c>
      <c r="O14" s="16">
        <f>IFERROR(ROUNDDOWN(Table15[[#This Row],[R-DEMAND]]/1706,0),0)</f>
        <v>3</v>
      </c>
      <c r="P14" s="16">
        <f>IFERROR(Table15[[#This Row],[ADD ACC]]*Table15[[#This Row],[RT TIME 
(380-800)]],0)</f>
        <v>52.5</v>
      </c>
      <c r="Q14" s="415">
        <f>IFERROR(VLOOKUP(Table15[[#This Row],[ROUTE]],PRICING!A:B,2,FALSE),0)</f>
        <v>0</v>
      </c>
      <c r="R14" s="235">
        <f>IFERROR(Table15[[#This Row],[C_DEMAND]]-Table15[[#This Row],[R-DEMAND]],0)</f>
        <v>0</v>
      </c>
      <c r="S14" s="408">
        <f t="shared" si="0"/>
        <v>0</v>
      </c>
      <c r="T14" s="419">
        <f>Table15[[#This Row],[R-DEMAND]]-(Table15[[#This Row],[ADD ACC]]*1706)</f>
        <v>282</v>
      </c>
      <c r="U14" s="419">
        <f>ROUNDDOWN(Table15[[#This Row],[Column1]]/1360,0)</f>
        <v>0</v>
      </c>
      <c r="V14" s="419"/>
      <c r="W14" s="251">
        <v>17.5</v>
      </c>
      <c r="X14" s="251">
        <f>ROUNDDOWN(Table15[[#This Row],[R-DEMAND]]/1320,0)</f>
        <v>4</v>
      </c>
      <c r="Y14" s="251">
        <f>IFERROR(Table15[[#This Row],[ADD ACC
(660/1320)]]*Table15[[#This Row],[Duration
(B744)]],0)</f>
        <v>70</v>
      </c>
      <c r="Z14" s="251"/>
    </row>
    <row r="15" spans="1:30" ht="15.75" customHeight="1" x14ac:dyDescent="0.25">
      <c r="A15" s="210" t="s">
        <v>15362</v>
      </c>
      <c r="B15" s="204" t="s">
        <v>4529</v>
      </c>
      <c r="C15" s="204" t="s">
        <v>2</v>
      </c>
      <c r="D15" s="205">
        <v>2</v>
      </c>
      <c r="E15" s="204" t="s">
        <v>499</v>
      </c>
      <c r="F15" s="204" t="str">
        <f>VLOOKUP(E15,Table10[[COUNTRY NAME]:[CONTINENT CODE]],3,FALSE)</f>
        <v>AF</v>
      </c>
      <c r="G15" s="206" t="s">
        <v>11688</v>
      </c>
      <c r="H15" s="207">
        <v>8433</v>
      </c>
      <c r="I15" s="208">
        <v>20.75</v>
      </c>
      <c r="J15" s="345"/>
      <c r="K15" s="345">
        <f>IFERROR(Table15[[#This Row],[ROUTE $]]/Table15[[#This Row],[E - DEMAND]],0)</f>
        <v>0</v>
      </c>
      <c r="L15" s="204"/>
      <c r="M15" s="412">
        <f>IFERROR(VLOOKUP(Table15[[#This Row],[ROUTE]],DEMAND!A:F,5,FALSE),0)</f>
        <v>5327</v>
      </c>
      <c r="N15" s="16">
        <f>IFERROR(VLOOKUP(Table15[[#This Row],[ROUTE]],DEMAND!A:F,6,FALSE),0)</f>
        <v>5327</v>
      </c>
      <c r="O15" s="16">
        <f>IFERROR(ROUNDDOWN(Table15[[#This Row],[R-DEMAND]]/1706,0),0)</f>
        <v>3</v>
      </c>
      <c r="P15" s="16">
        <f>IFERROR(Table15[[#This Row],[ADD ACC]]*Table15[[#This Row],[RT TIME 
(380-800)]],0)</f>
        <v>62.25</v>
      </c>
      <c r="Q15" s="415">
        <f>IFERROR(VLOOKUP(Table15[[#This Row],[ROUTE]],PRICING!A:B,2,FALSE),0)</f>
        <v>0</v>
      </c>
      <c r="R15" s="235">
        <f>IFERROR(Table15[[#This Row],[C_DEMAND]]-Table15[[#This Row],[R-DEMAND]],0)</f>
        <v>0</v>
      </c>
      <c r="S15" s="408">
        <f t="shared" si="0"/>
        <v>0</v>
      </c>
      <c r="T15" s="419">
        <f>Table15[[#This Row],[R-DEMAND]]-(Table15[[#This Row],[ADD ACC]]*1706)</f>
        <v>209</v>
      </c>
      <c r="U15" s="419">
        <f>ROUNDDOWN(Table15[[#This Row],[Column1]]/1360,0)</f>
        <v>0</v>
      </c>
      <c r="V15" s="419"/>
      <c r="W15" s="251">
        <v>20.75</v>
      </c>
      <c r="X15" s="251">
        <f>ROUNDDOWN(Table15[[#This Row],[R-DEMAND]]/1320,0)</f>
        <v>4</v>
      </c>
      <c r="Y15" s="251">
        <f>IFERROR(Table15[[#This Row],[ADD ACC
(660/1320)]]*Table15[[#This Row],[Duration
(B744)]],0)</f>
        <v>83</v>
      </c>
      <c r="Z15" s="251"/>
    </row>
    <row r="16" spans="1:30" ht="15.75" customHeight="1" x14ac:dyDescent="0.25">
      <c r="A16" s="210" t="s">
        <v>15819</v>
      </c>
      <c r="B16" s="204" t="s">
        <v>361</v>
      </c>
      <c r="C16" s="204" t="s">
        <v>2</v>
      </c>
      <c r="D16" s="205">
        <v>4</v>
      </c>
      <c r="E16" s="204" t="s">
        <v>14</v>
      </c>
      <c r="F16" s="204" t="str">
        <f>VLOOKUP(E16,Table10[[COUNTRY NAME]:[CONTINENT CODE]],3,FALSE)</f>
        <v>AS</v>
      </c>
      <c r="G16" s="206" t="s">
        <v>11096</v>
      </c>
      <c r="H16" s="207">
        <v>3603</v>
      </c>
      <c r="I16" s="208">
        <v>10</v>
      </c>
      <c r="J16" s="345"/>
      <c r="K16" s="345">
        <f>IFERROR(Table15[[#This Row],[ROUTE $]]/Table15[[#This Row],[E - DEMAND]],0)</f>
        <v>0</v>
      </c>
      <c r="L16" s="204"/>
      <c r="M16" s="412">
        <f>IFERROR(VLOOKUP(Table15[[#This Row],[ROUTE]],DEMAND!A:F,5,FALSE),0)</f>
        <v>5311</v>
      </c>
      <c r="N16" s="16">
        <f>IFERROR(VLOOKUP(Table15[[#This Row],[ROUTE]],DEMAND!A:F,6,FALSE),0)</f>
        <v>5311</v>
      </c>
      <c r="O16" s="16">
        <f>IFERROR(ROUNDDOWN(Table15[[#This Row],[R-DEMAND]]/1706,0),0)</f>
        <v>3</v>
      </c>
      <c r="P16" s="16">
        <f>IFERROR(Table15[[#This Row],[ADD ACC]]*Table15[[#This Row],[RT TIME 
(380-800)]],0)</f>
        <v>30</v>
      </c>
      <c r="Q16" s="415">
        <f>IFERROR(VLOOKUP(Table15[[#This Row],[ROUTE]],PRICING!A:B,2,FALSE),0)</f>
        <v>0</v>
      </c>
      <c r="R16" s="235">
        <f>IFERROR(Table15[[#This Row],[C_DEMAND]]-Table15[[#This Row],[R-DEMAND]],0)</f>
        <v>0</v>
      </c>
      <c r="S16" s="408">
        <f t="shared" si="0"/>
        <v>0</v>
      </c>
      <c r="T16" s="419">
        <f>Table15[[#This Row],[R-DEMAND]]-(Table15[[#This Row],[ADD ACC]]*1706)</f>
        <v>193</v>
      </c>
      <c r="U16" s="419">
        <f>ROUNDDOWN(Table15[[#This Row],[Column1]]/1360,0)</f>
        <v>0</v>
      </c>
      <c r="V16" s="419"/>
      <c r="W16" s="251">
        <v>10</v>
      </c>
      <c r="X16" s="251">
        <f>ROUNDDOWN(Table15[[#This Row],[R-DEMAND]]/1320,0)</f>
        <v>4</v>
      </c>
      <c r="Y16" s="251">
        <f>IFERROR(Table15[[#This Row],[ADD ACC
(660/1320)]]*Table15[[#This Row],[Duration
(B744)]],0)</f>
        <v>40</v>
      </c>
      <c r="Z16" s="251"/>
    </row>
    <row r="17" spans="1:26" ht="15.75" customHeight="1" x14ac:dyDescent="0.25">
      <c r="A17" s="210" t="s">
        <v>15764</v>
      </c>
      <c r="B17" s="204" t="s">
        <v>5513</v>
      </c>
      <c r="C17" s="204" t="s">
        <v>2</v>
      </c>
      <c r="D17" s="205">
        <v>4</v>
      </c>
      <c r="E17" s="204" t="s">
        <v>1124</v>
      </c>
      <c r="F17" s="204" t="str">
        <f>VLOOKUP(E17,Table10[[COUNTRY NAME]:[CONTINENT CODE]],3,FALSE)</f>
        <v>AF</v>
      </c>
      <c r="G17" s="206" t="s">
        <v>11042</v>
      </c>
      <c r="H17" s="207">
        <v>4028</v>
      </c>
      <c r="I17" s="208">
        <v>11</v>
      </c>
      <c r="J17" s="345"/>
      <c r="K17" s="345">
        <f>IFERROR(Table15[[#This Row],[ROUTE $]]/Table15[[#This Row],[E - DEMAND]],0)</f>
        <v>0</v>
      </c>
      <c r="L17" s="204"/>
      <c r="M17" s="412">
        <f>IFERROR(VLOOKUP(Table15[[#This Row],[ROUTE]],DEMAND!A:F,5,FALSE),0)</f>
        <v>5227</v>
      </c>
      <c r="N17" s="16">
        <f>IFERROR(VLOOKUP(Table15[[#This Row],[ROUTE]],DEMAND!A:F,6,FALSE),0)</f>
        <v>5227</v>
      </c>
      <c r="O17" s="16">
        <f>IFERROR(ROUNDDOWN(Table15[[#This Row],[R-DEMAND]]/1706,0),0)</f>
        <v>3</v>
      </c>
      <c r="P17" s="16">
        <f>IFERROR(Table15[[#This Row],[ADD ACC]]*Table15[[#This Row],[RT TIME 
(380-800)]],0)</f>
        <v>33</v>
      </c>
      <c r="Q17" s="415">
        <f>IFERROR(VLOOKUP(Table15[[#This Row],[ROUTE]],PRICING!A:B,2,FALSE),0)</f>
        <v>0</v>
      </c>
      <c r="R17" s="235">
        <f>IFERROR(Table15[[#This Row],[C_DEMAND]]-Table15[[#This Row],[R-DEMAND]],0)</f>
        <v>0</v>
      </c>
      <c r="S17" s="408">
        <f t="shared" si="0"/>
        <v>0</v>
      </c>
      <c r="T17" s="419">
        <f>Table15[[#This Row],[R-DEMAND]]-(Table15[[#This Row],[ADD ACC]]*1706)</f>
        <v>109</v>
      </c>
      <c r="U17" s="419">
        <f>ROUNDDOWN(Table15[[#This Row],[Column1]]/1360,0)</f>
        <v>0</v>
      </c>
      <c r="V17" s="419"/>
      <c r="W17" s="251">
        <v>11</v>
      </c>
      <c r="X17" s="251">
        <f>ROUNDDOWN(Table15[[#This Row],[R-DEMAND]]/1320,0)</f>
        <v>3</v>
      </c>
      <c r="Y17" s="251">
        <f>IFERROR(Table15[[#This Row],[ADD ACC
(660/1320)]]*Table15[[#This Row],[Duration
(B744)]],0)</f>
        <v>33</v>
      </c>
      <c r="Z17" s="251"/>
    </row>
    <row r="18" spans="1:26" ht="15.75" customHeight="1" x14ac:dyDescent="0.25">
      <c r="A18" s="210" t="s">
        <v>15758</v>
      </c>
      <c r="B18" s="204" t="s">
        <v>5471</v>
      </c>
      <c r="C18" s="204" t="s">
        <v>2</v>
      </c>
      <c r="D18" s="205">
        <v>4</v>
      </c>
      <c r="E18" s="204" t="s">
        <v>1124</v>
      </c>
      <c r="F18" s="204" t="str">
        <f>VLOOKUP(E18,Table10[[COUNTRY NAME]:[CONTINENT CODE]],3,FALSE)</f>
        <v>AF</v>
      </c>
      <c r="G18" s="206" t="s">
        <v>11079</v>
      </c>
      <c r="H18" s="207">
        <v>4078</v>
      </c>
      <c r="I18" s="208">
        <v>11.25</v>
      </c>
      <c r="J18" s="345"/>
      <c r="K18" s="345">
        <f>IFERROR(Table15[[#This Row],[ROUTE $]]/Table15[[#This Row],[E - DEMAND]],0)</f>
        <v>0</v>
      </c>
      <c r="L18" s="204"/>
      <c r="M18" s="412">
        <f>IFERROR(VLOOKUP(Table15[[#This Row],[ROUTE]],DEMAND!A:F,5,FALSE),0)</f>
        <v>5200</v>
      </c>
      <c r="N18" s="16">
        <f>IFERROR(VLOOKUP(Table15[[#This Row],[ROUTE]],DEMAND!A:F,6,FALSE),0)</f>
        <v>5200</v>
      </c>
      <c r="O18" s="16">
        <f>IFERROR(ROUNDDOWN(Table15[[#This Row],[R-DEMAND]]/1706,0),0)</f>
        <v>3</v>
      </c>
      <c r="P18" s="16">
        <f>IFERROR(Table15[[#This Row],[ADD ACC]]*Table15[[#This Row],[RT TIME 
(380-800)]],0)</f>
        <v>33.75</v>
      </c>
      <c r="Q18" s="415">
        <f>IFERROR(VLOOKUP(Table15[[#This Row],[ROUTE]],PRICING!A:B,2,FALSE),0)</f>
        <v>0</v>
      </c>
      <c r="R18" s="235">
        <f>IFERROR(Table15[[#This Row],[C_DEMAND]]-Table15[[#This Row],[R-DEMAND]],0)</f>
        <v>0</v>
      </c>
      <c r="S18" s="408">
        <f t="shared" si="0"/>
        <v>0</v>
      </c>
      <c r="T18" s="419">
        <f>Table15[[#This Row],[R-DEMAND]]-(Table15[[#This Row],[ADD ACC]]*1706)</f>
        <v>82</v>
      </c>
      <c r="U18" s="419">
        <f>ROUNDDOWN(Table15[[#This Row],[Column1]]/1360,0)</f>
        <v>0</v>
      </c>
      <c r="V18" s="419"/>
      <c r="W18" s="251">
        <v>11.25</v>
      </c>
      <c r="X18" s="251">
        <f>ROUNDDOWN(Table15[[#This Row],[R-DEMAND]]/1320,0)</f>
        <v>3</v>
      </c>
      <c r="Y18" s="251">
        <f>IFERROR(Table15[[#This Row],[ADD ACC
(660/1320)]]*Table15[[#This Row],[Duration
(B744)]],0)</f>
        <v>33.75</v>
      </c>
      <c r="Z18" s="251"/>
    </row>
    <row r="19" spans="1:26" ht="15.75" customHeight="1" x14ac:dyDescent="0.25">
      <c r="A19" s="210" t="s">
        <v>15957</v>
      </c>
      <c r="B19" s="204" t="s">
        <v>414</v>
      </c>
      <c r="C19" s="204" t="s">
        <v>11122</v>
      </c>
      <c r="D19" s="205">
        <v>4</v>
      </c>
      <c r="E19" s="204" t="s">
        <v>1070</v>
      </c>
      <c r="F19" s="204" t="str">
        <f>VLOOKUP(E19,Table10[[COUNTRY NAME]:[CONTINENT CODE]],3,FALSE)</f>
        <v>AS</v>
      </c>
      <c r="G19" s="206" t="s">
        <v>12064</v>
      </c>
      <c r="H19" s="207">
        <v>834</v>
      </c>
      <c r="I19" s="208">
        <v>4</v>
      </c>
      <c r="J19" s="345">
        <v>164960374</v>
      </c>
      <c r="K19" s="345">
        <f>IFERROR(Table15[[#This Row],[ROUTE $]]/Table15[[#This Row],[E - DEMAND]],0)</f>
        <v>32834.46934713376</v>
      </c>
      <c r="L19" s="204">
        <v>5024</v>
      </c>
      <c r="M19" s="412">
        <f>IFERROR(VLOOKUP(Table15[[#This Row],[ROUTE]],DEMAND!A:F,5,FALSE),0)</f>
        <v>5192</v>
      </c>
      <c r="N19" s="16">
        <f>IFERROR(VLOOKUP(Table15[[#This Row],[ROUTE]],DEMAND!A:F,6,FALSE),0)</f>
        <v>5192</v>
      </c>
      <c r="O19" s="16">
        <f>IFERROR(ROUNDDOWN(Table15[[#This Row],[R-DEMAND]]/1706,0),0)</f>
        <v>3</v>
      </c>
      <c r="P19" s="16">
        <f>IFERROR(Table15[[#This Row],[ADD ACC]]*Table15[[#This Row],[RT TIME 
(380-800)]],0)</f>
        <v>12</v>
      </c>
      <c r="Q19" s="415">
        <f>IFERROR(VLOOKUP(Table15[[#This Row],[ROUTE]],PRICING!A:B,2,FALSE),0)</f>
        <v>0</v>
      </c>
      <c r="R19" s="235">
        <f>IFERROR(Table15[[#This Row],[C_DEMAND]]-Table15[[#This Row],[R-DEMAND]],0)</f>
        <v>0</v>
      </c>
      <c r="S19" s="408">
        <f t="shared" si="0"/>
        <v>0</v>
      </c>
      <c r="T19" s="419">
        <f>Table15[[#This Row],[R-DEMAND]]-(Table15[[#This Row],[ADD ACC]]*1706)</f>
        <v>74</v>
      </c>
      <c r="U19" s="419">
        <f>ROUNDDOWN(Table15[[#This Row],[Column1]]/1360,0)</f>
        <v>0</v>
      </c>
      <c r="V19" s="419"/>
      <c r="W19" s="251">
        <v>4</v>
      </c>
      <c r="X19" s="251">
        <f>ROUNDDOWN(Table15[[#This Row],[R-DEMAND]]/1320,0)</f>
        <v>3</v>
      </c>
      <c r="Y19" s="251">
        <f>IFERROR(Table15[[#This Row],[ADD ACC
(660/1320)]]*Table15[[#This Row],[Duration
(B744)]],0)</f>
        <v>12</v>
      </c>
      <c r="Z19" s="251"/>
    </row>
    <row r="20" spans="1:26" ht="15.75" customHeight="1" x14ac:dyDescent="0.25">
      <c r="A20" s="210" t="s">
        <v>15853</v>
      </c>
      <c r="B20" s="204" t="s">
        <v>454</v>
      </c>
      <c r="C20" s="204" t="s">
        <v>2</v>
      </c>
      <c r="D20" s="205">
        <v>4</v>
      </c>
      <c r="E20" s="204" t="s">
        <v>172</v>
      </c>
      <c r="F20" s="204" t="str">
        <f>VLOOKUP(E20,Table10[[COUNTRY NAME]:[CONTINENT CODE]],3,FALSE)</f>
        <v>AS</v>
      </c>
      <c r="G20" s="206" t="s">
        <v>10941</v>
      </c>
      <c r="H20" s="207">
        <v>3181</v>
      </c>
      <c r="I20" s="208">
        <v>9.25</v>
      </c>
      <c r="J20" s="345"/>
      <c r="K20" s="345">
        <f>IFERROR(Table15[[#This Row],[ROUTE $]]/Table15[[#This Row],[E - DEMAND]],0)</f>
        <v>0</v>
      </c>
      <c r="L20" s="204"/>
      <c r="M20" s="412">
        <f>IFERROR(VLOOKUP(Table15[[#This Row],[ROUTE]],DEMAND!A:F,5,FALSE),0)</f>
        <v>5162</v>
      </c>
      <c r="N20" s="16">
        <f>IFERROR(VLOOKUP(Table15[[#This Row],[ROUTE]],DEMAND!A:F,6,FALSE),0)</f>
        <v>5162</v>
      </c>
      <c r="O20" s="16">
        <f>IFERROR(ROUNDDOWN(Table15[[#This Row],[R-DEMAND]]/1706,0),0)</f>
        <v>3</v>
      </c>
      <c r="P20" s="16">
        <f>IFERROR(Table15[[#This Row],[ADD ACC]]*Table15[[#This Row],[RT TIME 
(380-800)]],0)</f>
        <v>27.75</v>
      </c>
      <c r="Q20" s="415">
        <f>IFERROR(VLOOKUP(Table15[[#This Row],[ROUTE]],PRICING!A:B,2,FALSE),0)</f>
        <v>0</v>
      </c>
      <c r="R20" s="235">
        <f>IFERROR(Table15[[#This Row],[C_DEMAND]]-Table15[[#This Row],[R-DEMAND]],0)</f>
        <v>0</v>
      </c>
      <c r="S20" s="408">
        <f t="shared" si="0"/>
        <v>0</v>
      </c>
      <c r="T20" s="419">
        <f>Table15[[#This Row],[R-DEMAND]]-(Table15[[#This Row],[ADD ACC]]*1706)</f>
        <v>44</v>
      </c>
      <c r="U20" s="419">
        <f>ROUNDDOWN(Table15[[#This Row],[Column1]]/1360,0)</f>
        <v>0</v>
      </c>
      <c r="V20" s="419"/>
      <c r="W20" s="251">
        <v>9.25</v>
      </c>
      <c r="X20" s="251">
        <f>ROUNDDOWN(Table15[[#This Row],[R-DEMAND]]/1320,0)</f>
        <v>3</v>
      </c>
      <c r="Y20" s="251">
        <f>IFERROR(Table15[[#This Row],[ADD ACC
(660/1320)]]*Table15[[#This Row],[Duration
(B744)]],0)</f>
        <v>27.75</v>
      </c>
      <c r="Z20" s="251"/>
    </row>
    <row r="21" spans="1:26" ht="15.75" customHeight="1" x14ac:dyDescent="0.25">
      <c r="A21" s="210" t="s">
        <v>15783</v>
      </c>
      <c r="B21" s="204" t="s">
        <v>15</v>
      </c>
      <c r="C21" s="204" t="s">
        <v>2</v>
      </c>
      <c r="D21" s="205">
        <v>4</v>
      </c>
      <c r="E21" s="204" t="s">
        <v>14</v>
      </c>
      <c r="F21" s="204" t="str">
        <f>VLOOKUP(E21,Table10[[COUNTRY NAME]:[CONTINENT CODE]],3,FALSE)</f>
        <v>AS</v>
      </c>
      <c r="G21" s="206" t="s">
        <v>13</v>
      </c>
      <c r="H21" s="207">
        <v>3923</v>
      </c>
      <c r="I21" s="208">
        <v>10.75</v>
      </c>
      <c r="J21" s="345"/>
      <c r="K21" s="345">
        <f>IFERROR(Table15[[#This Row],[ROUTE $]]/Table15[[#This Row],[E - DEMAND]],0)</f>
        <v>0</v>
      </c>
      <c r="L21" s="204"/>
      <c r="M21" s="412">
        <f>IFERROR(VLOOKUP(Table15[[#This Row],[ROUTE]],DEMAND!A:F,5,FALSE),0)</f>
        <v>5156</v>
      </c>
      <c r="N21" s="16">
        <f>IFERROR(VLOOKUP(Table15[[#This Row],[ROUTE]],DEMAND!A:F,6,FALSE),0)</f>
        <v>5156</v>
      </c>
      <c r="O21" s="16">
        <f>IFERROR(ROUNDDOWN(Table15[[#This Row],[R-DEMAND]]/1706,0),0)</f>
        <v>3</v>
      </c>
      <c r="P21" s="16">
        <f>IFERROR(Table15[[#This Row],[ADD ACC]]*Table15[[#This Row],[RT TIME 
(380-800)]],0)</f>
        <v>32.25</v>
      </c>
      <c r="Q21" s="415">
        <f>IFERROR(VLOOKUP(Table15[[#This Row],[ROUTE]],PRICING!A:B,2,FALSE),0)</f>
        <v>0</v>
      </c>
      <c r="R21" s="235">
        <f>IFERROR(Table15[[#This Row],[C_DEMAND]]-Table15[[#This Row],[R-DEMAND]],0)</f>
        <v>0</v>
      </c>
      <c r="S21" s="408">
        <f t="shared" si="0"/>
        <v>0</v>
      </c>
      <c r="T21" s="419">
        <f>Table15[[#This Row],[R-DEMAND]]-(Table15[[#This Row],[ADD ACC]]*1706)</f>
        <v>38</v>
      </c>
      <c r="U21" s="419">
        <f>ROUNDDOWN(Table15[[#This Row],[Column1]]/1360,0)</f>
        <v>0</v>
      </c>
      <c r="V21" s="419"/>
      <c r="W21" s="251">
        <v>10.75</v>
      </c>
      <c r="X21" s="251">
        <f>ROUNDDOWN(Table15[[#This Row],[R-DEMAND]]/1320,0)</f>
        <v>3</v>
      </c>
      <c r="Y21" s="251">
        <f>IFERROR(Table15[[#This Row],[ADD ACC
(660/1320)]]*Table15[[#This Row],[Duration
(B744)]],0)</f>
        <v>32.25</v>
      </c>
      <c r="Z21" s="251"/>
    </row>
    <row r="22" spans="1:26" ht="15.75" customHeight="1" x14ac:dyDescent="0.25">
      <c r="A22" s="210" t="s">
        <v>15366</v>
      </c>
      <c r="B22" s="204" t="s">
        <v>353</v>
      </c>
      <c r="C22" s="204" t="s">
        <v>2</v>
      </c>
      <c r="D22" s="205">
        <v>4</v>
      </c>
      <c r="E22" s="204" t="s">
        <v>926</v>
      </c>
      <c r="F22" s="204" t="str">
        <f>VLOOKUP(E22,Table10[[COUNTRY NAME]:[CONTINENT CODE]],3,FALSE)</f>
        <v>AF</v>
      </c>
      <c r="G22" s="206" t="s">
        <v>11094</v>
      </c>
      <c r="H22" s="207">
        <v>8235</v>
      </c>
      <c r="I22" s="208">
        <v>20.25</v>
      </c>
      <c r="J22" s="345"/>
      <c r="K22" s="345">
        <f>IFERROR(Table15[[#This Row],[ROUTE $]]/Table15[[#This Row],[E - DEMAND]],0)</f>
        <v>0</v>
      </c>
      <c r="L22" s="204"/>
      <c r="M22" s="412">
        <f>IFERROR(VLOOKUP(Table15[[#This Row],[ROUTE]],DEMAND!A:F,5,FALSE),0)</f>
        <v>5139</v>
      </c>
      <c r="N22" s="16">
        <f>IFERROR(VLOOKUP(Table15[[#This Row],[ROUTE]],DEMAND!A:F,6,FALSE),0)</f>
        <v>5139</v>
      </c>
      <c r="O22" s="16">
        <f>IFERROR(ROUNDDOWN(Table15[[#This Row],[R-DEMAND]]/1706,0),0)</f>
        <v>3</v>
      </c>
      <c r="P22" s="16">
        <f>IFERROR(Table15[[#This Row],[ADD ACC]]*Table15[[#This Row],[RT TIME 
(380-800)]],0)</f>
        <v>60.75</v>
      </c>
      <c r="Q22" s="415">
        <f>IFERROR(VLOOKUP(Table15[[#This Row],[ROUTE]],PRICING!A:B,2,FALSE),0)</f>
        <v>0</v>
      </c>
      <c r="R22" s="235">
        <f>IFERROR(Table15[[#This Row],[C_DEMAND]]-Table15[[#This Row],[R-DEMAND]],0)</f>
        <v>0</v>
      </c>
      <c r="S22" s="408">
        <f t="shared" si="0"/>
        <v>0</v>
      </c>
      <c r="T22" s="419">
        <f>Table15[[#This Row],[R-DEMAND]]-(Table15[[#This Row],[ADD ACC]]*1706)</f>
        <v>21</v>
      </c>
      <c r="U22" s="419">
        <f>ROUNDDOWN(Table15[[#This Row],[Column1]]/1360,0)</f>
        <v>0</v>
      </c>
      <c r="V22" s="419"/>
      <c r="W22" s="251">
        <v>20.25</v>
      </c>
      <c r="X22" s="251">
        <f>ROUNDDOWN(Table15[[#This Row],[R-DEMAND]]/1320,0)</f>
        <v>3</v>
      </c>
      <c r="Y22" s="251">
        <f>IFERROR(Table15[[#This Row],[ADD ACC
(660/1320)]]*Table15[[#This Row],[Duration
(B744)]],0)</f>
        <v>60.75</v>
      </c>
      <c r="Z22" s="251"/>
    </row>
    <row r="23" spans="1:26" ht="15.75" customHeight="1" x14ac:dyDescent="0.25">
      <c r="A23" s="210" t="s">
        <v>15712</v>
      </c>
      <c r="B23" s="204" t="s">
        <v>5663</v>
      </c>
      <c r="C23" s="204" t="s">
        <v>2</v>
      </c>
      <c r="D23" s="205">
        <v>4</v>
      </c>
      <c r="E23" s="204" t="s">
        <v>700</v>
      </c>
      <c r="F23" s="204" t="str">
        <f>VLOOKUP(E23,Table10[[COUNTRY NAME]:[CONTINENT CODE]],3,FALSE)</f>
        <v>AS</v>
      </c>
      <c r="G23" s="206" t="s">
        <v>10756</v>
      </c>
      <c r="H23" s="207">
        <v>4534</v>
      </c>
      <c r="I23" s="208">
        <v>12.25</v>
      </c>
      <c r="J23" s="345"/>
      <c r="K23" s="345">
        <f>IFERROR(Table15[[#This Row],[ROUTE $]]/Table15[[#This Row],[E - DEMAND]],0)</f>
        <v>0</v>
      </c>
      <c r="L23" s="204"/>
      <c r="M23" s="412">
        <f>IFERROR(VLOOKUP(Table15[[#This Row],[ROUTE]],DEMAND!A:F,5,FALSE),0)</f>
        <v>5138</v>
      </c>
      <c r="N23" s="16">
        <f>IFERROR(VLOOKUP(Table15[[#This Row],[ROUTE]],DEMAND!A:F,6,FALSE),0)</f>
        <v>5138</v>
      </c>
      <c r="O23" s="16">
        <f>IFERROR(ROUNDDOWN(Table15[[#This Row],[R-DEMAND]]/1706,0),0)</f>
        <v>3</v>
      </c>
      <c r="P23" s="16">
        <f>IFERROR(Table15[[#This Row],[ADD ACC]]*Table15[[#This Row],[RT TIME 
(380-800)]],0)</f>
        <v>36.75</v>
      </c>
      <c r="Q23" s="415">
        <f>IFERROR(VLOOKUP(Table15[[#This Row],[ROUTE]],PRICING!A:B,2,FALSE),0)</f>
        <v>0</v>
      </c>
      <c r="R23" s="235">
        <f>IFERROR(Table15[[#This Row],[C_DEMAND]]-Table15[[#This Row],[R-DEMAND]],0)</f>
        <v>0</v>
      </c>
      <c r="S23" s="408">
        <f t="shared" si="0"/>
        <v>0</v>
      </c>
      <c r="T23" s="419">
        <f>Table15[[#This Row],[R-DEMAND]]-(Table15[[#This Row],[ADD ACC]]*1706)</f>
        <v>20</v>
      </c>
      <c r="U23" s="419">
        <f>ROUNDDOWN(Table15[[#This Row],[Column1]]/1360,0)</f>
        <v>0</v>
      </c>
      <c r="V23" s="419"/>
      <c r="W23" s="251">
        <v>12.25</v>
      </c>
      <c r="X23" s="251">
        <f>ROUNDDOWN(Table15[[#This Row],[R-DEMAND]]/1320,0)</f>
        <v>3</v>
      </c>
      <c r="Y23" s="251">
        <f>IFERROR(Table15[[#This Row],[ADD ACC
(660/1320)]]*Table15[[#This Row],[Duration
(B744)]],0)</f>
        <v>36.75</v>
      </c>
      <c r="Z23" s="251"/>
    </row>
    <row r="24" spans="1:26" ht="15.75" customHeight="1" x14ac:dyDescent="0.25">
      <c r="A24" s="210" t="s">
        <v>15956</v>
      </c>
      <c r="B24" s="204" t="s">
        <v>224</v>
      </c>
      <c r="C24" s="204" t="s">
        <v>11122</v>
      </c>
      <c r="D24" s="205">
        <v>3</v>
      </c>
      <c r="E24" s="204" t="s">
        <v>197</v>
      </c>
      <c r="F24" s="204" t="str">
        <f>VLOOKUP(E24,Table10[[COUNTRY NAME]:[CONTINENT CODE]],3,FALSE)</f>
        <v>AS</v>
      </c>
      <c r="G24" s="206" t="s">
        <v>12012</v>
      </c>
      <c r="H24" s="207">
        <v>874</v>
      </c>
      <c r="I24" s="208">
        <v>4</v>
      </c>
      <c r="J24" s="345">
        <v>155956304</v>
      </c>
      <c r="K24" s="345">
        <f>IFERROR(Table15[[#This Row],[ROUTE $]]/Table15[[#This Row],[E - DEMAND]],0)</f>
        <v>32674.691808087158</v>
      </c>
      <c r="L24" s="204">
        <v>4773</v>
      </c>
      <c r="M24" s="412">
        <f>IFERROR(VLOOKUP(Table15[[#This Row],[ROUTE]],DEMAND!A:F,5,FALSE),0)</f>
        <v>5128</v>
      </c>
      <c r="N24" s="16">
        <f>IFERROR(VLOOKUP(Table15[[#This Row],[ROUTE]],DEMAND!A:F,6,FALSE),0)</f>
        <v>5128</v>
      </c>
      <c r="O24" s="16">
        <f>IFERROR(ROUNDDOWN(Table15[[#This Row],[R-DEMAND]]/1706,0),0)</f>
        <v>3</v>
      </c>
      <c r="P24" s="16">
        <f>IFERROR(Table15[[#This Row],[ADD ACC]]*Table15[[#This Row],[RT TIME 
(380-800)]],0)</f>
        <v>12</v>
      </c>
      <c r="Q24" s="415">
        <f>IFERROR(VLOOKUP(Table15[[#This Row],[ROUTE]],PRICING!A:B,2,FALSE),0)</f>
        <v>0</v>
      </c>
      <c r="R24" s="235">
        <f>IFERROR(Table15[[#This Row],[C_DEMAND]]-Table15[[#This Row],[R-DEMAND]],0)</f>
        <v>0</v>
      </c>
      <c r="S24" s="408">
        <f t="shared" si="0"/>
        <v>0</v>
      </c>
      <c r="T24" s="419">
        <f>Table15[[#This Row],[R-DEMAND]]-(Table15[[#This Row],[ADD ACC]]*1706)</f>
        <v>10</v>
      </c>
      <c r="U24" s="419">
        <f>ROUNDDOWN(Table15[[#This Row],[Column1]]/1360,0)</f>
        <v>0</v>
      </c>
      <c r="V24" s="419"/>
      <c r="W24" s="251">
        <v>4</v>
      </c>
      <c r="X24" s="251">
        <f>ROUNDDOWN(Table15[[#This Row],[R-DEMAND]]/1320,0)</f>
        <v>3</v>
      </c>
      <c r="Y24" s="251">
        <f>IFERROR(Table15[[#This Row],[ADD ACC
(660/1320)]]*Table15[[#This Row],[Duration
(B744)]],0)</f>
        <v>12</v>
      </c>
      <c r="Z24" s="251"/>
    </row>
    <row r="25" spans="1:26" ht="15.75" customHeight="1" x14ac:dyDescent="0.25">
      <c r="A25" s="210" t="s">
        <v>15828</v>
      </c>
      <c r="B25" s="204" t="s">
        <v>5639</v>
      </c>
      <c r="C25" s="204" t="s">
        <v>2</v>
      </c>
      <c r="D25" s="205">
        <v>4</v>
      </c>
      <c r="E25" s="204" t="s">
        <v>172</v>
      </c>
      <c r="F25" s="204" t="str">
        <f>VLOOKUP(E25,Table10[[COUNTRY NAME]:[CONTINENT CODE]],3,FALSE)</f>
        <v>AS</v>
      </c>
      <c r="G25" s="206" t="s">
        <v>11075</v>
      </c>
      <c r="H25" s="207">
        <v>3519</v>
      </c>
      <c r="I25" s="208">
        <v>10</v>
      </c>
      <c r="J25" s="345"/>
      <c r="K25" s="345">
        <f>IFERROR(Table15[[#This Row],[ROUTE $]]/Table15[[#This Row],[E - DEMAND]],0)</f>
        <v>0</v>
      </c>
      <c r="L25" s="204"/>
      <c r="M25" s="412">
        <f>IFERROR(VLOOKUP(Table15[[#This Row],[ROUTE]],DEMAND!A:F,5,FALSE),0)</f>
        <v>5076</v>
      </c>
      <c r="N25" s="16">
        <f>IFERROR(VLOOKUP(Table15[[#This Row],[ROUTE]],DEMAND!A:F,6,FALSE),0)</f>
        <v>5076</v>
      </c>
      <c r="O25" s="16">
        <f>IFERROR(ROUNDDOWN(Table15[[#This Row],[R-DEMAND]]/1706,0),0)</f>
        <v>2</v>
      </c>
      <c r="P25" s="16">
        <f>IFERROR(Table15[[#This Row],[ADD ACC]]*Table15[[#This Row],[RT TIME 
(380-800)]],0)</f>
        <v>20</v>
      </c>
      <c r="Q25" s="415">
        <f>IFERROR(VLOOKUP(Table15[[#This Row],[ROUTE]],PRICING!A:B,2,FALSE),0)</f>
        <v>0</v>
      </c>
      <c r="R25" s="235">
        <f>IFERROR(Table15[[#This Row],[C_DEMAND]]-Table15[[#This Row],[R-DEMAND]],0)</f>
        <v>0</v>
      </c>
      <c r="S25" s="408">
        <f t="shared" si="0"/>
        <v>0</v>
      </c>
      <c r="T25" s="419">
        <f>Table15[[#This Row],[R-DEMAND]]-(Table15[[#This Row],[ADD ACC]]*1706)</f>
        <v>1664</v>
      </c>
      <c r="U25" s="419">
        <f>ROUNDDOWN(Table15[[#This Row],[Column1]]/1360,0)</f>
        <v>1</v>
      </c>
      <c r="V25" s="419"/>
      <c r="W25" s="251">
        <v>10</v>
      </c>
      <c r="X25" s="251">
        <f>ROUNDDOWN(Table15[[#This Row],[R-DEMAND]]/1320,0)</f>
        <v>3</v>
      </c>
      <c r="Y25" s="251">
        <f>IFERROR(Table15[[#This Row],[ADD ACC
(660/1320)]]*Table15[[#This Row],[Duration
(B744)]],0)</f>
        <v>30</v>
      </c>
      <c r="Z25" s="251"/>
    </row>
    <row r="26" spans="1:26" ht="15.75" customHeight="1" x14ac:dyDescent="0.25">
      <c r="A26" s="210" t="s">
        <v>15348</v>
      </c>
      <c r="B26" s="204" t="s">
        <v>3537</v>
      </c>
      <c r="C26" s="204" t="s">
        <v>2</v>
      </c>
      <c r="D26" s="205">
        <v>2</v>
      </c>
      <c r="E26" s="204" t="s">
        <v>3535</v>
      </c>
      <c r="F26" s="204" t="str">
        <f>VLOOKUP(E26,Table10[[COUNTRY NAME]:[CONTINENT CODE]],3,FALSE)</f>
        <v>AF</v>
      </c>
      <c r="G26" s="206" t="s">
        <v>11666</v>
      </c>
      <c r="H26" s="207">
        <v>9297</v>
      </c>
      <c r="I26" s="208">
        <v>22.75</v>
      </c>
      <c r="J26" s="345"/>
      <c r="K26" s="345">
        <f>IFERROR(Table15[[#This Row],[ROUTE $]]/Table15[[#This Row],[E - DEMAND]],0)</f>
        <v>0</v>
      </c>
      <c r="L26" s="204"/>
      <c r="M26" s="412">
        <f>IFERROR(VLOOKUP(Table15[[#This Row],[ROUTE]],DEMAND!A:F,5,FALSE),0)</f>
        <v>5056</v>
      </c>
      <c r="N26" s="16">
        <f>IFERROR(VLOOKUP(Table15[[#This Row],[ROUTE]],DEMAND!A:F,6,FALSE),0)</f>
        <v>5056</v>
      </c>
      <c r="O26" s="16">
        <f>IFERROR(ROUNDDOWN(Table15[[#This Row],[R-DEMAND]]/1706,0),0)</f>
        <v>2</v>
      </c>
      <c r="P26" s="16">
        <f>IFERROR(Table15[[#This Row],[ADD ACC]]*Table15[[#This Row],[RT TIME 
(380-800)]],0)</f>
        <v>45.5</v>
      </c>
      <c r="Q26" s="415">
        <f>IFERROR(VLOOKUP(Table15[[#This Row],[ROUTE]],PRICING!A:B,2,FALSE),0)</f>
        <v>0</v>
      </c>
      <c r="R26" s="235">
        <f>IFERROR(Table15[[#This Row],[C_DEMAND]]-Table15[[#This Row],[R-DEMAND]],0)</f>
        <v>0</v>
      </c>
      <c r="S26" s="408">
        <f t="shared" si="0"/>
        <v>0</v>
      </c>
      <c r="T26" s="419">
        <f>Table15[[#This Row],[R-DEMAND]]-(Table15[[#This Row],[ADD ACC]]*1706)</f>
        <v>1644</v>
      </c>
      <c r="U26" s="419">
        <f>ROUNDDOWN(Table15[[#This Row],[Column1]]/1360,0)</f>
        <v>1</v>
      </c>
      <c r="V26" s="419"/>
      <c r="W26" s="251">
        <v>22.75</v>
      </c>
      <c r="X26" s="251">
        <f>ROUNDDOWN(Table15[[#This Row],[R-DEMAND]]/1320,0)</f>
        <v>3</v>
      </c>
      <c r="Y26" s="251">
        <f>IFERROR(Table15[[#This Row],[ADD ACC
(660/1320)]]*Table15[[#This Row],[Duration
(B744)]],0)</f>
        <v>68.25</v>
      </c>
      <c r="Z26" s="251"/>
    </row>
    <row r="27" spans="1:26" ht="15.75" customHeight="1" x14ac:dyDescent="0.25">
      <c r="A27" s="210" t="s">
        <v>15834</v>
      </c>
      <c r="B27" s="204" t="s">
        <v>286</v>
      </c>
      <c r="C27" s="204" t="s">
        <v>2</v>
      </c>
      <c r="D27" s="205">
        <v>3</v>
      </c>
      <c r="E27" s="204" t="s">
        <v>1314</v>
      </c>
      <c r="F27" s="204" t="str">
        <f>VLOOKUP(E27,Table10[[COUNTRY NAME]:[CONTINENT CODE]],3,FALSE)</f>
        <v>AS</v>
      </c>
      <c r="G27" s="206" t="s">
        <v>12083</v>
      </c>
      <c r="H27" s="207">
        <v>3441</v>
      </c>
      <c r="I27" s="208">
        <v>9.75</v>
      </c>
      <c r="J27" s="345"/>
      <c r="K27" s="345">
        <f>IFERROR(Table15[[#This Row],[ROUTE $]]/Table15[[#This Row],[E - DEMAND]],0)</f>
        <v>0</v>
      </c>
      <c r="L27" s="204"/>
      <c r="M27" s="412">
        <f>IFERROR(VLOOKUP(Table15[[#This Row],[ROUTE]],DEMAND!A:F,5,FALSE),0)</f>
        <v>5050</v>
      </c>
      <c r="N27" s="16">
        <f>IFERROR(VLOOKUP(Table15[[#This Row],[ROUTE]],DEMAND!A:F,6,FALSE),0)</f>
        <v>5050</v>
      </c>
      <c r="O27" s="16">
        <f>IFERROR(ROUNDDOWN(Table15[[#This Row],[R-DEMAND]]/1706,0),0)</f>
        <v>2</v>
      </c>
      <c r="P27" s="16">
        <f>IFERROR(Table15[[#This Row],[ADD ACC]]*Table15[[#This Row],[RT TIME 
(380-800)]],0)</f>
        <v>19.5</v>
      </c>
      <c r="Q27" s="415">
        <f>IFERROR(VLOOKUP(Table15[[#This Row],[ROUTE]],PRICING!A:B,2,FALSE),0)</f>
        <v>0</v>
      </c>
      <c r="R27" s="235">
        <f>IFERROR(Table15[[#This Row],[C_DEMAND]]-Table15[[#This Row],[R-DEMAND]],0)</f>
        <v>0</v>
      </c>
      <c r="S27" s="408">
        <f t="shared" si="0"/>
        <v>0</v>
      </c>
      <c r="T27" s="419">
        <f>Table15[[#This Row],[R-DEMAND]]-(Table15[[#This Row],[ADD ACC]]*1706)</f>
        <v>1638</v>
      </c>
      <c r="U27" s="419">
        <f>ROUNDDOWN(Table15[[#This Row],[Column1]]/1360,0)</f>
        <v>1</v>
      </c>
      <c r="V27" s="419"/>
      <c r="W27" s="251">
        <v>9.75</v>
      </c>
      <c r="X27" s="251">
        <f>ROUNDDOWN(Table15[[#This Row],[R-DEMAND]]/1320,0)</f>
        <v>3</v>
      </c>
      <c r="Y27" s="251">
        <f>IFERROR(Table15[[#This Row],[ADD ACC
(660/1320)]]*Table15[[#This Row],[Duration
(B744)]],0)</f>
        <v>29.25</v>
      </c>
      <c r="Z27" s="251"/>
    </row>
    <row r="28" spans="1:26" ht="15.75" customHeight="1" x14ac:dyDescent="0.25">
      <c r="A28" s="210" t="s">
        <v>15960</v>
      </c>
      <c r="B28" s="204" t="s">
        <v>263</v>
      </c>
      <c r="C28" s="204" t="s">
        <v>11122</v>
      </c>
      <c r="D28" s="205">
        <v>4</v>
      </c>
      <c r="E28" s="204" t="s">
        <v>1070</v>
      </c>
      <c r="F28" s="204" t="str">
        <f>VLOOKUP(E28,Table10[[COUNTRY NAME]:[CONTINENT CODE]],3,FALSE)</f>
        <v>AS</v>
      </c>
      <c r="G28" s="206" t="s">
        <v>11078</v>
      </c>
      <c r="H28" s="207">
        <v>622</v>
      </c>
      <c r="I28" s="208">
        <v>3.5</v>
      </c>
      <c r="J28" s="345">
        <v>157222597</v>
      </c>
      <c r="K28" s="345">
        <f>IFERROR(Table15[[#This Row],[ROUTE $]]/Table15[[#This Row],[E - DEMAND]],0)</f>
        <v>32727.434845961699</v>
      </c>
      <c r="L28" s="204">
        <v>4804</v>
      </c>
      <c r="M28" s="412">
        <f>IFERROR(VLOOKUP(Table15[[#This Row],[ROUTE]],DEMAND!A:F,5,FALSE),0)</f>
        <v>5045</v>
      </c>
      <c r="N28" s="16">
        <f>IFERROR(VLOOKUP(Table15[[#This Row],[ROUTE]],DEMAND!A:F,6,FALSE),0)</f>
        <v>5045</v>
      </c>
      <c r="O28" s="16">
        <f>IFERROR(ROUNDDOWN(Table15[[#This Row],[R-DEMAND]]/1706,0),0)</f>
        <v>2</v>
      </c>
      <c r="P28" s="16">
        <f>IFERROR(Table15[[#This Row],[ADD ACC]]*Table15[[#This Row],[RT TIME 
(380-800)]],0)</f>
        <v>7</v>
      </c>
      <c r="Q28" s="415">
        <f>IFERROR(VLOOKUP(Table15[[#This Row],[ROUTE]],PRICING!A:B,2,FALSE),0)</f>
        <v>0</v>
      </c>
      <c r="R28" s="235">
        <f>IFERROR(Table15[[#This Row],[C_DEMAND]]-Table15[[#This Row],[R-DEMAND]],0)</f>
        <v>0</v>
      </c>
      <c r="S28" s="408">
        <f t="shared" si="0"/>
        <v>0</v>
      </c>
      <c r="T28" s="419">
        <f>Table15[[#This Row],[R-DEMAND]]-(Table15[[#This Row],[ADD ACC]]*1706)</f>
        <v>1633</v>
      </c>
      <c r="U28" s="419">
        <f>ROUNDDOWN(Table15[[#This Row],[Column1]]/1360,0)</f>
        <v>1</v>
      </c>
      <c r="V28" s="419"/>
      <c r="W28" s="251">
        <v>3.5</v>
      </c>
      <c r="X28" s="251">
        <f>ROUNDDOWN(Table15[[#This Row],[R-DEMAND]]/1320,0)</f>
        <v>3</v>
      </c>
      <c r="Y28" s="251">
        <f>IFERROR(Table15[[#This Row],[ADD ACC
(660/1320)]]*Table15[[#This Row],[Duration
(B744)]],0)</f>
        <v>10.5</v>
      </c>
      <c r="Z28" s="251"/>
    </row>
    <row r="29" spans="1:26" ht="15.75" customHeight="1" x14ac:dyDescent="0.25">
      <c r="A29" s="210" t="s">
        <v>15370</v>
      </c>
      <c r="B29" s="204" t="s">
        <v>4631</v>
      </c>
      <c r="C29" s="204" t="s">
        <v>2</v>
      </c>
      <c r="D29" s="205">
        <v>2</v>
      </c>
      <c r="E29" s="204" t="s">
        <v>1441</v>
      </c>
      <c r="F29" s="204" t="str">
        <f>VLOOKUP(E29,Table10[[COUNTRY NAME]:[CONTINENT CODE]],3,FALSE)</f>
        <v>AF</v>
      </c>
      <c r="G29" s="206" t="s">
        <v>11704</v>
      </c>
      <c r="H29" s="207">
        <v>8026</v>
      </c>
      <c r="I29" s="208">
        <v>20</v>
      </c>
      <c r="J29" s="345"/>
      <c r="K29" s="345">
        <f>IFERROR(Table15[[#This Row],[ROUTE $]]/Table15[[#This Row],[E - DEMAND]],0)</f>
        <v>0</v>
      </c>
      <c r="L29" s="204"/>
      <c r="M29" s="412">
        <f>IFERROR(VLOOKUP(Table15[[#This Row],[ROUTE]],DEMAND!A:F,5,FALSE),0)</f>
        <v>5044</v>
      </c>
      <c r="N29" s="16">
        <f>IFERROR(VLOOKUP(Table15[[#This Row],[ROUTE]],DEMAND!A:F,6,FALSE),0)</f>
        <v>5044</v>
      </c>
      <c r="O29" s="16">
        <f>IFERROR(ROUNDDOWN(Table15[[#This Row],[R-DEMAND]]/1706,0),0)</f>
        <v>2</v>
      </c>
      <c r="P29" s="16">
        <f>IFERROR(Table15[[#This Row],[ADD ACC]]*Table15[[#This Row],[RT TIME 
(380-800)]],0)</f>
        <v>40</v>
      </c>
      <c r="Q29" s="415">
        <f>IFERROR(VLOOKUP(Table15[[#This Row],[ROUTE]],PRICING!A:B,2,FALSE),0)</f>
        <v>0</v>
      </c>
      <c r="R29" s="235">
        <f>IFERROR(Table15[[#This Row],[C_DEMAND]]-Table15[[#This Row],[R-DEMAND]],0)</f>
        <v>0</v>
      </c>
      <c r="S29" s="408">
        <f t="shared" si="0"/>
        <v>0</v>
      </c>
      <c r="T29" s="419">
        <f>Table15[[#This Row],[R-DEMAND]]-(Table15[[#This Row],[ADD ACC]]*1706)</f>
        <v>1632</v>
      </c>
      <c r="U29" s="419">
        <f>ROUNDDOWN(Table15[[#This Row],[Column1]]/1360,0)</f>
        <v>1</v>
      </c>
      <c r="V29" s="419"/>
      <c r="W29" s="251">
        <v>20</v>
      </c>
      <c r="X29" s="251">
        <f>ROUNDDOWN(Table15[[#This Row],[R-DEMAND]]/1320,0)</f>
        <v>3</v>
      </c>
      <c r="Y29" s="251">
        <f>IFERROR(Table15[[#This Row],[ADD ACC
(660/1320)]]*Table15[[#This Row],[Duration
(B744)]],0)</f>
        <v>60</v>
      </c>
      <c r="Z29" s="251"/>
    </row>
    <row r="30" spans="1:26" ht="15.75" customHeight="1" x14ac:dyDescent="0.25">
      <c r="A30" s="210" t="s">
        <v>15779</v>
      </c>
      <c r="B30" s="204" t="s">
        <v>5196</v>
      </c>
      <c r="C30" s="204" t="s">
        <v>2</v>
      </c>
      <c r="D30" s="205">
        <v>3</v>
      </c>
      <c r="E30" s="204" t="s">
        <v>1654</v>
      </c>
      <c r="F30" s="204" t="str">
        <f>VLOOKUP(E30,Table10[[COUNTRY NAME]:[CONTINENT CODE]],3,FALSE)</f>
        <v>AS</v>
      </c>
      <c r="G30" s="206" t="s">
        <v>11890</v>
      </c>
      <c r="H30" s="207">
        <v>3934</v>
      </c>
      <c r="I30" s="208">
        <v>10.75</v>
      </c>
      <c r="J30" s="345"/>
      <c r="K30" s="345">
        <f>IFERROR(Table15[[#This Row],[ROUTE $]]/Table15[[#This Row],[E - DEMAND]],0)</f>
        <v>0</v>
      </c>
      <c r="L30" s="204"/>
      <c r="M30" s="412">
        <f>IFERROR(VLOOKUP(Table15[[#This Row],[ROUTE]],DEMAND!A:F,5,FALSE),0)</f>
        <v>5029</v>
      </c>
      <c r="N30" s="16">
        <f>IFERROR(VLOOKUP(Table15[[#This Row],[ROUTE]],DEMAND!A:F,6,FALSE),0)</f>
        <v>5029</v>
      </c>
      <c r="O30" s="16">
        <f>IFERROR(ROUNDDOWN(Table15[[#This Row],[R-DEMAND]]/1706,0),0)</f>
        <v>2</v>
      </c>
      <c r="P30" s="16">
        <f>IFERROR(Table15[[#This Row],[ADD ACC]]*Table15[[#This Row],[RT TIME 
(380-800)]],0)</f>
        <v>21.5</v>
      </c>
      <c r="Q30" s="415">
        <f>IFERROR(VLOOKUP(Table15[[#This Row],[ROUTE]],PRICING!A:B,2,FALSE),0)</f>
        <v>0</v>
      </c>
      <c r="R30" s="235">
        <f>IFERROR(Table15[[#This Row],[C_DEMAND]]-Table15[[#This Row],[R-DEMAND]],0)</f>
        <v>0</v>
      </c>
      <c r="S30" s="408">
        <f t="shared" si="0"/>
        <v>0</v>
      </c>
      <c r="T30" s="419">
        <f>Table15[[#This Row],[R-DEMAND]]-(Table15[[#This Row],[ADD ACC]]*1706)</f>
        <v>1617</v>
      </c>
      <c r="U30" s="419">
        <f>ROUNDDOWN(Table15[[#This Row],[Column1]]/1360,0)</f>
        <v>1</v>
      </c>
      <c r="V30" s="419"/>
      <c r="W30" s="251">
        <v>10.75</v>
      </c>
      <c r="X30" s="251">
        <f>ROUNDDOWN(Table15[[#This Row],[R-DEMAND]]/1320,0)</f>
        <v>3</v>
      </c>
      <c r="Y30" s="251">
        <f>IFERROR(Table15[[#This Row],[ADD ACC
(660/1320)]]*Table15[[#This Row],[Duration
(B744)]],0)</f>
        <v>32.25</v>
      </c>
      <c r="Z30" s="251"/>
    </row>
    <row r="31" spans="1:26" ht="15.75" customHeight="1" x14ac:dyDescent="0.25">
      <c r="A31" s="210" t="s">
        <v>15720</v>
      </c>
      <c r="B31" s="204" t="s">
        <v>316</v>
      </c>
      <c r="C31" s="204" t="s">
        <v>2</v>
      </c>
      <c r="D31" s="205">
        <v>3</v>
      </c>
      <c r="E31" s="204" t="s">
        <v>700</v>
      </c>
      <c r="F31" s="204" t="str">
        <f>VLOOKUP(E31,Table10[[COUNTRY NAME]:[CONTINENT CODE]],3,FALSE)</f>
        <v>AS</v>
      </c>
      <c r="G31" s="206" t="s">
        <v>11858</v>
      </c>
      <c r="H31" s="207">
        <v>4456</v>
      </c>
      <c r="I31" s="208">
        <v>12</v>
      </c>
      <c r="J31" s="345"/>
      <c r="K31" s="345">
        <f>IFERROR(Table15[[#This Row],[ROUTE $]]/Table15[[#This Row],[E - DEMAND]],0)</f>
        <v>0</v>
      </c>
      <c r="L31" s="204"/>
      <c r="M31" s="412">
        <f>IFERROR(VLOOKUP(Table15[[#This Row],[ROUTE]],DEMAND!A:F,5,FALSE),0)</f>
        <v>4961</v>
      </c>
      <c r="N31" s="16">
        <f>IFERROR(VLOOKUP(Table15[[#This Row],[ROUTE]],DEMAND!A:F,6,FALSE),0)</f>
        <v>4961</v>
      </c>
      <c r="O31" s="16">
        <f>IFERROR(ROUNDDOWN(Table15[[#This Row],[R-DEMAND]]/1706,0),0)</f>
        <v>2</v>
      </c>
      <c r="P31" s="16">
        <f>IFERROR(Table15[[#This Row],[ADD ACC]]*Table15[[#This Row],[RT TIME 
(380-800)]],0)</f>
        <v>24</v>
      </c>
      <c r="Q31" s="415">
        <f>IFERROR(VLOOKUP(Table15[[#This Row],[ROUTE]],PRICING!A:B,2,FALSE),0)</f>
        <v>0</v>
      </c>
      <c r="R31" s="235">
        <f>IFERROR(Table15[[#This Row],[C_DEMAND]]-Table15[[#This Row],[R-DEMAND]],0)</f>
        <v>0</v>
      </c>
      <c r="S31" s="408">
        <f t="shared" si="0"/>
        <v>0</v>
      </c>
      <c r="T31" s="419">
        <f>Table15[[#This Row],[R-DEMAND]]-(Table15[[#This Row],[ADD ACC]]*1706)</f>
        <v>1549</v>
      </c>
      <c r="U31" s="419">
        <f>ROUNDDOWN(Table15[[#This Row],[Column1]]/1360,0)</f>
        <v>1</v>
      </c>
      <c r="V31" s="419"/>
      <c r="W31" s="251">
        <v>12</v>
      </c>
      <c r="X31" s="251">
        <f>ROUNDDOWN(Table15[[#This Row],[R-DEMAND]]/1320,0)</f>
        <v>3</v>
      </c>
      <c r="Y31" s="251">
        <f>IFERROR(Table15[[#This Row],[ADD ACC
(660/1320)]]*Table15[[#This Row],[Duration
(B744)]],0)</f>
        <v>36</v>
      </c>
      <c r="Z31" s="251"/>
    </row>
    <row r="32" spans="1:26" ht="15.75" customHeight="1" x14ac:dyDescent="0.25">
      <c r="A32" s="210" t="s">
        <v>15615</v>
      </c>
      <c r="B32" s="204" t="s">
        <v>373</v>
      </c>
      <c r="C32" s="204" t="s">
        <v>2</v>
      </c>
      <c r="D32" s="205">
        <v>3</v>
      </c>
      <c r="E32" s="204" t="s">
        <v>717</v>
      </c>
      <c r="F32" s="204" t="str">
        <f>VLOOKUP(E32,Table10[[COUNTRY NAME]:[CONTINENT CODE]],3,FALSE)</f>
        <v>AS</v>
      </c>
      <c r="G32" s="206" t="s">
        <v>12093</v>
      </c>
      <c r="H32" s="207">
        <v>5565</v>
      </c>
      <c r="I32" s="208">
        <v>14.5</v>
      </c>
      <c r="J32" s="345"/>
      <c r="K32" s="345">
        <f>IFERROR(Table15[[#This Row],[ROUTE $]]/Table15[[#This Row],[E - DEMAND]],0)</f>
        <v>0</v>
      </c>
      <c r="L32" s="204"/>
      <c r="M32" s="412">
        <f>IFERROR(VLOOKUP(Table15[[#This Row],[ROUTE]],DEMAND!A:F,5,FALSE),0)</f>
        <v>4955</v>
      </c>
      <c r="N32" s="16">
        <f>IFERROR(VLOOKUP(Table15[[#This Row],[ROUTE]],DEMAND!A:F,6,FALSE),0)</f>
        <v>4955</v>
      </c>
      <c r="O32" s="16">
        <f>IFERROR(ROUNDDOWN(Table15[[#This Row],[R-DEMAND]]/1706,0),0)</f>
        <v>2</v>
      </c>
      <c r="P32" s="16">
        <f>IFERROR(Table15[[#This Row],[ADD ACC]]*Table15[[#This Row],[RT TIME 
(380-800)]],0)</f>
        <v>29</v>
      </c>
      <c r="Q32" s="415">
        <f>IFERROR(VLOOKUP(Table15[[#This Row],[ROUTE]],PRICING!A:B,2,FALSE),0)</f>
        <v>0</v>
      </c>
      <c r="R32" s="235">
        <f>IFERROR(Table15[[#This Row],[C_DEMAND]]-Table15[[#This Row],[R-DEMAND]],0)</f>
        <v>0</v>
      </c>
      <c r="S32" s="408">
        <f t="shared" si="0"/>
        <v>0</v>
      </c>
      <c r="T32" s="419">
        <f>Table15[[#This Row],[R-DEMAND]]-(Table15[[#This Row],[ADD ACC]]*1706)</f>
        <v>1543</v>
      </c>
      <c r="U32" s="419">
        <f>ROUNDDOWN(Table15[[#This Row],[Column1]]/1360,0)</f>
        <v>1</v>
      </c>
      <c r="V32" s="419"/>
      <c r="W32" s="251">
        <v>14.5</v>
      </c>
      <c r="X32" s="251">
        <f>ROUNDDOWN(Table15[[#This Row],[R-DEMAND]]/1320,0)</f>
        <v>3</v>
      </c>
      <c r="Y32" s="251">
        <f>IFERROR(Table15[[#This Row],[ADD ACC
(660/1320)]]*Table15[[#This Row],[Duration
(B744)]],0)</f>
        <v>43.5</v>
      </c>
      <c r="Z32" s="251"/>
    </row>
    <row r="33" spans="1:26" ht="15.75" customHeight="1" x14ac:dyDescent="0.25">
      <c r="A33" s="210" t="s">
        <v>15939</v>
      </c>
      <c r="B33" s="204" t="s">
        <v>5037</v>
      </c>
      <c r="C33" s="204" t="s">
        <v>2</v>
      </c>
      <c r="D33" s="205">
        <v>3</v>
      </c>
      <c r="E33" s="204" t="s">
        <v>867</v>
      </c>
      <c r="F33" s="204" t="str">
        <f>VLOOKUP(E33,Table10[[COUNTRY NAME]:[CONTINENT CODE]],3,FALSE)</f>
        <v>AS</v>
      </c>
      <c r="G33" s="206" t="s">
        <v>12049</v>
      </c>
      <c r="H33" s="207">
        <v>1592</v>
      </c>
      <c r="I33" s="208">
        <v>5.75</v>
      </c>
      <c r="J33" s="345"/>
      <c r="K33" s="345">
        <f>IFERROR(Table15[[#This Row],[ROUTE $]]/Table15[[#This Row],[E - DEMAND]],0)</f>
        <v>0</v>
      </c>
      <c r="L33" s="204"/>
      <c r="M33" s="412">
        <f>IFERROR(VLOOKUP(Table15[[#This Row],[ROUTE]],DEMAND!A:F,5,FALSE),0)</f>
        <v>4951</v>
      </c>
      <c r="N33" s="16">
        <f>IFERROR(VLOOKUP(Table15[[#This Row],[ROUTE]],DEMAND!A:F,6,FALSE),0)</f>
        <v>4951</v>
      </c>
      <c r="O33" s="16">
        <f>IFERROR(ROUNDDOWN(Table15[[#This Row],[R-DEMAND]]/1706,0),0)</f>
        <v>2</v>
      </c>
      <c r="P33" s="16">
        <f>IFERROR(Table15[[#This Row],[ADD ACC]]*Table15[[#This Row],[RT TIME 
(380-800)]],0)</f>
        <v>11.5</v>
      </c>
      <c r="Q33" s="415">
        <f>IFERROR(VLOOKUP(Table15[[#This Row],[ROUTE]],PRICING!A:B,2,FALSE),0)</f>
        <v>0</v>
      </c>
      <c r="R33" s="235">
        <f>IFERROR(Table15[[#This Row],[C_DEMAND]]-Table15[[#This Row],[R-DEMAND]],0)</f>
        <v>0</v>
      </c>
      <c r="S33" s="408">
        <f t="shared" si="0"/>
        <v>0</v>
      </c>
      <c r="T33" s="419">
        <f>Table15[[#This Row],[R-DEMAND]]-(Table15[[#This Row],[ADD ACC]]*1706)</f>
        <v>1539</v>
      </c>
      <c r="U33" s="419">
        <f>ROUNDDOWN(Table15[[#This Row],[Column1]]/1360,0)</f>
        <v>1</v>
      </c>
      <c r="V33" s="419"/>
      <c r="W33" s="251">
        <v>5.75</v>
      </c>
      <c r="X33" s="251">
        <f>ROUNDDOWN(Table15[[#This Row],[R-DEMAND]]/1320,0)</f>
        <v>3</v>
      </c>
      <c r="Y33" s="251">
        <f>IFERROR(Table15[[#This Row],[ADD ACC
(660/1320)]]*Table15[[#This Row],[Duration
(B744)]],0)</f>
        <v>17.25</v>
      </c>
      <c r="Z33" s="251"/>
    </row>
    <row r="34" spans="1:26" ht="15.75" customHeight="1" x14ac:dyDescent="0.25">
      <c r="A34" s="210" t="s">
        <v>15885</v>
      </c>
      <c r="B34" s="204" t="s">
        <v>5283</v>
      </c>
      <c r="C34" s="204" t="s">
        <v>2</v>
      </c>
      <c r="D34" s="205">
        <v>3</v>
      </c>
      <c r="E34" s="204" t="s">
        <v>502</v>
      </c>
      <c r="F34" s="204" t="str">
        <f>VLOOKUP(E34,Table10[[COUNTRY NAME]:[CONTINENT CODE]],3,FALSE)</f>
        <v>AS</v>
      </c>
      <c r="G34" s="206" t="s">
        <v>11941</v>
      </c>
      <c r="H34" s="207">
        <v>2800</v>
      </c>
      <c r="I34" s="208">
        <v>8.25</v>
      </c>
      <c r="J34" s="345"/>
      <c r="K34" s="345">
        <f>IFERROR(Table15[[#This Row],[ROUTE $]]/Table15[[#This Row],[E - DEMAND]],0)</f>
        <v>0</v>
      </c>
      <c r="L34" s="204"/>
      <c r="M34" s="412">
        <f>IFERROR(VLOOKUP(Table15[[#This Row],[ROUTE]],DEMAND!A:F,5,FALSE),0)</f>
        <v>4940</v>
      </c>
      <c r="N34" s="16">
        <f>IFERROR(VLOOKUP(Table15[[#This Row],[ROUTE]],DEMAND!A:F,6,FALSE),0)</f>
        <v>4940</v>
      </c>
      <c r="O34" s="16">
        <f>IFERROR(ROUNDDOWN(Table15[[#This Row],[R-DEMAND]]/1706,0),0)</f>
        <v>2</v>
      </c>
      <c r="P34" s="16">
        <f>IFERROR(Table15[[#This Row],[ADD ACC]]*Table15[[#This Row],[RT TIME 
(380-800)]],0)</f>
        <v>16.5</v>
      </c>
      <c r="Q34" s="415">
        <f>IFERROR(VLOOKUP(Table15[[#This Row],[ROUTE]],PRICING!A:B,2,FALSE),0)</f>
        <v>0</v>
      </c>
      <c r="R34" s="235">
        <f>IFERROR(Table15[[#This Row],[C_DEMAND]]-Table15[[#This Row],[R-DEMAND]],0)</f>
        <v>0</v>
      </c>
      <c r="S34" s="408">
        <f t="shared" si="0"/>
        <v>0</v>
      </c>
      <c r="T34" s="419">
        <f>Table15[[#This Row],[R-DEMAND]]-(Table15[[#This Row],[ADD ACC]]*1706)</f>
        <v>1528</v>
      </c>
      <c r="U34" s="419">
        <f>ROUNDDOWN(Table15[[#This Row],[Column1]]/1360,0)</f>
        <v>1</v>
      </c>
      <c r="V34" s="419"/>
      <c r="W34" s="251">
        <v>8.25</v>
      </c>
      <c r="X34" s="251">
        <f>ROUNDDOWN(Table15[[#This Row],[R-DEMAND]]/1320,0)</f>
        <v>3</v>
      </c>
      <c r="Y34" s="251">
        <f>IFERROR(Table15[[#This Row],[ADD ACC
(660/1320)]]*Table15[[#This Row],[Duration
(B744)]],0)</f>
        <v>24.75</v>
      </c>
      <c r="Z34" s="251"/>
    </row>
    <row r="35" spans="1:26" ht="15.75" customHeight="1" x14ac:dyDescent="0.25">
      <c r="A35" s="210" t="s">
        <v>15863</v>
      </c>
      <c r="B35" s="204" t="s">
        <v>34</v>
      </c>
      <c r="C35" s="204" t="s">
        <v>2</v>
      </c>
      <c r="D35" s="205">
        <v>4</v>
      </c>
      <c r="E35" s="204" t="s">
        <v>14</v>
      </c>
      <c r="F35" s="204" t="str">
        <f>VLOOKUP(E35,Table10[[COUNTRY NAME]:[CONTINENT CODE]],3,FALSE)</f>
        <v>AS</v>
      </c>
      <c r="G35" s="206" t="s">
        <v>33</v>
      </c>
      <c r="H35" s="207">
        <v>3077</v>
      </c>
      <c r="I35" s="208">
        <v>9</v>
      </c>
      <c r="J35" s="345"/>
      <c r="K35" s="345">
        <f>IFERROR(Table15[[#This Row],[ROUTE $]]/Table15[[#This Row],[E - DEMAND]],0)</f>
        <v>0</v>
      </c>
      <c r="L35" s="204"/>
      <c r="M35" s="412">
        <f>IFERROR(VLOOKUP(Table15[[#This Row],[ROUTE]],DEMAND!A:F,5,FALSE),0)</f>
        <v>4900</v>
      </c>
      <c r="N35" s="16">
        <f>IFERROR(VLOOKUP(Table15[[#This Row],[ROUTE]],DEMAND!A:F,6,FALSE),0)</f>
        <v>4900</v>
      </c>
      <c r="O35" s="16">
        <f>IFERROR(ROUNDDOWN(Table15[[#This Row],[R-DEMAND]]/1706,0),0)</f>
        <v>2</v>
      </c>
      <c r="P35" s="16">
        <f>IFERROR(Table15[[#This Row],[ADD ACC]]*Table15[[#This Row],[RT TIME 
(380-800)]],0)</f>
        <v>18</v>
      </c>
      <c r="Q35" s="415">
        <f>IFERROR(VLOOKUP(Table15[[#This Row],[ROUTE]],PRICING!A:B,2,FALSE),0)</f>
        <v>0</v>
      </c>
      <c r="R35" s="235">
        <f>IFERROR(Table15[[#This Row],[C_DEMAND]]-Table15[[#This Row],[R-DEMAND]],0)</f>
        <v>0</v>
      </c>
      <c r="S35" s="408">
        <f t="shared" si="0"/>
        <v>0</v>
      </c>
      <c r="T35" s="419">
        <f>Table15[[#This Row],[R-DEMAND]]-(Table15[[#This Row],[ADD ACC]]*1706)</f>
        <v>1488</v>
      </c>
      <c r="U35" s="419">
        <f>ROUNDDOWN(Table15[[#This Row],[Column1]]/1360,0)</f>
        <v>1</v>
      </c>
      <c r="V35" s="419"/>
      <c r="W35" s="251">
        <v>9</v>
      </c>
      <c r="X35" s="251">
        <f>ROUNDDOWN(Table15[[#This Row],[R-DEMAND]]/1320,0)</f>
        <v>3</v>
      </c>
      <c r="Y35" s="251">
        <f>IFERROR(Table15[[#This Row],[ADD ACC
(660/1320)]]*Table15[[#This Row],[Duration
(B744)]],0)</f>
        <v>27</v>
      </c>
      <c r="Z35" s="251"/>
    </row>
    <row r="36" spans="1:26" ht="15.75" customHeight="1" x14ac:dyDescent="0.25">
      <c r="A36" s="210" t="s">
        <v>15414</v>
      </c>
      <c r="B36" s="204" t="s">
        <v>4629</v>
      </c>
      <c r="C36" s="204" t="s">
        <v>2</v>
      </c>
      <c r="D36" s="205">
        <v>2</v>
      </c>
      <c r="E36" s="204" t="s">
        <v>2059</v>
      </c>
      <c r="F36" s="204" t="str">
        <f>VLOOKUP(E36,Table10[[COUNTRY NAME]:[CONTINENT CODE]],3,FALSE)</f>
        <v>AF</v>
      </c>
      <c r="G36" s="206" t="s">
        <v>11754</v>
      </c>
      <c r="H36" s="207">
        <v>7299</v>
      </c>
      <c r="I36" s="208">
        <v>18.25</v>
      </c>
      <c r="J36" s="345"/>
      <c r="K36" s="345">
        <f>IFERROR(Table15[[#This Row],[ROUTE $]]/Table15[[#This Row],[E - DEMAND]],0)</f>
        <v>0</v>
      </c>
      <c r="L36" s="204"/>
      <c r="M36" s="412">
        <f>IFERROR(VLOOKUP(Table15[[#This Row],[ROUTE]],DEMAND!A:F,5,FALSE),0)</f>
        <v>4880</v>
      </c>
      <c r="N36" s="16">
        <f>IFERROR(VLOOKUP(Table15[[#This Row],[ROUTE]],DEMAND!A:F,6,FALSE),0)</f>
        <v>4880</v>
      </c>
      <c r="O36" s="16">
        <f>IFERROR(ROUNDDOWN(Table15[[#This Row],[R-DEMAND]]/1706,0),0)</f>
        <v>2</v>
      </c>
      <c r="P36" s="16">
        <f>IFERROR(Table15[[#This Row],[ADD ACC]]*Table15[[#This Row],[RT TIME 
(380-800)]],0)</f>
        <v>36.5</v>
      </c>
      <c r="Q36" s="415">
        <f>IFERROR(VLOOKUP(Table15[[#This Row],[ROUTE]],PRICING!A:B,2,FALSE),0)</f>
        <v>0</v>
      </c>
      <c r="R36" s="235">
        <f>IFERROR(Table15[[#This Row],[C_DEMAND]]-Table15[[#This Row],[R-DEMAND]],0)</f>
        <v>0</v>
      </c>
      <c r="S36" s="408">
        <f t="shared" si="0"/>
        <v>0</v>
      </c>
      <c r="T36" s="419">
        <f>Table15[[#This Row],[R-DEMAND]]-(Table15[[#This Row],[ADD ACC]]*1706)</f>
        <v>1468</v>
      </c>
      <c r="U36" s="419">
        <f>ROUNDDOWN(Table15[[#This Row],[Column1]]/1360,0)</f>
        <v>1</v>
      </c>
      <c r="V36" s="419"/>
      <c r="W36" s="251">
        <v>18.25</v>
      </c>
      <c r="X36" s="251">
        <f>ROUNDDOWN(Table15[[#This Row],[R-DEMAND]]/1320,0)</f>
        <v>3</v>
      </c>
      <c r="Y36" s="251">
        <f>IFERROR(Table15[[#This Row],[ADD ACC
(660/1320)]]*Table15[[#This Row],[Duration
(B744)]],0)</f>
        <v>54.75</v>
      </c>
      <c r="Z36" s="251"/>
    </row>
    <row r="37" spans="1:26" ht="15.75" customHeight="1" x14ac:dyDescent="0.25">
      <c r="A37" s="210" t="s">
        <v>15730</v>
      </c>
      <c r="B37" s="204" t="s">
        <v>18</v>
      </c>
      <c r="C37" s="204" t="s">
        <v>2</v>
      </c>
      <c r="D37" s="205">
        <v>4</v>
      </c>
      <c r="E37" s="204" t="s">
        <v>14</v>
      </c>
      <c r="F37" s="204" t="str">
        <f>VLOOKUP(E37,Table10[[COUNTRY NAME]:[CONTINENT CODE]],3,FALSE)</f>
        <v>AS</v>
      </c>
      <c r="G37" s="206" t="s">
        <v>11028</v>
      </c>
      <c r="H37" s="207">
        <v>4340</v>
      </c>
      <c r="I37" s="208">
        <v>11.75</v>
      </c>
      <c r="J37" s="345"/>
      <c r="K37" s="345">
        <f>IFERROR(Table15[[#This Row],[ROUTE $]]/Table15[[#This Row],[E - DEMAND]],0)</f>
        <v>0</v>
      </c>
      <c r="L37" s="204"/>
      <c r="M37" s="412">
        <f>IFERROR(VLOOKUP(Table15[[#This Row],[ROUTE]],DEMAND!A:F,5,FALSE),0)</f>
        <v>4861</v>
      </c>
      <c r="N37" s="16">
        <f>IFERROR(VLOOKUP(Table15[[#This Row],[ROUTE]],DEMAND!A:F,6,FALSE),0)</f>
        <v>4861</v>
      </c>
      <c r="O37" s="16">
        <f>IFERROR(ROUNDDOWN(Table15[[#This Row],[R-DEMAND]]/1706,0),0)</f>
        <v>2</v>
      </c>
      <c r="P37" s="16">
        <f>IFERROR(Table15[[#This Row],[ADD ACC]]*Table15[[#This Row],[RT TIME 
(380-800)]],0)</f>
        <v>23.5</v>
      </c>
      <c r="Q37" s="415">
        <f>IFERROR(VLOOKUP(Table15[[#This Row],[ROUTE]],PRICING!A:B,2,FALSE),0)</f>
        <v>0</v>
      </c>
      <c r="R37" s="235">
        <f>IFERROR(Table15[[#This Row],[C_DEMAND]]-Table15[[#This Row],[R-DEMAND]],0)</f>
        <v>0</v>
      </c>
      <c r="S37" s="408">
        <f t="shared" si="0"/>
        <v>0</v>
      </c>
      <c r="T37" s="419">
        <f>Table15[[#This Row],[R-DEMAND]]-(Table15[[#This Row],[ADD ACC]]*1706)</f>
        <v>1449</v>
      </c>
      <c r="U37" s="419">
        <f>ROUNDDOWN(Table15[[#This Row],[Column1]]/1360,0)</f>
        <v>1</v>
      </c>
      <c r="V37" s="419"/>
      <c r="W37" s="251">
        <v>11.75</v>
      </c>
      <c r="X37" s="251">
        <f>ROUNDDOWN(Table15[[#This Row],[R-DEMAND]]/1320,0)</f>
        <v>3</v>
      </c>
      <c r="Y37" s="251">
        <f>IFERROR(Table15[[#This Row],[ADD ACC
(660/1320)]]*Table15[[#This Row],[Duration
(B744)]],0)</f>
        <v>35.25</v>
      </c>
      <c r="Z37" s="251"/>
    </row>
    <row r="38" spans="1:26" ht="15.75" customHeight="1" x14ac:dyDescent="0.25">
      <c r="A38" s="210" t="s">
        <v>15826</v>
      </c>
      <c r="B38" s="204" t="s">
        <v>5406</v>
      </c>
      <c r="C38" s="204" t="s">
        <v>2</v>
      </c>
      <c r="D38" s="205">
        <v>3</v>
      </c>
      <c r="E38" s="204" t="s">
        <v>14</v>
      </c>
      <c r="F38" s="204" t="str">
        <f>VLOOKUP(E38,Table10[[COUNTRY NAME]:[CONTINENT CODE]],3,FALSE)</f>
        <v>AS</v>
      </c>
      <c r="G38" s="206" t="s">
        <v>12074</v>
      </c>
      <c r="H38" s="207">
        <v>3536</v>
      </c>
      <c r="I38" s="208">
        <v>10</v>
      </c>
      <c r="J38" s="345"/>
      <c r="K38" s="345">
        <f>IFERROR(Table15[[#This Row],[ROUTE $]]/Table15[[#This Row],[E - DEMAND]],0)</f>
        <v>0</v>
      </c>
      <c r="L38" s="204"/>
      <c r="M38" s="412">
        <f>IFERROR(VLOOKUP(Table15[[#This Row],[ROUTE]],DEMAND!A:F,5,FALSE),0)</f>
        <v>4861</v>
      </c>
      <c r="N38" s="16">
        <f>IFERROR(VLOOKUP(Table15[[#This Row],[ROUTE]],DEMAND!A:F,6,FALSE),0)</f>
        <v>4861</v>
      </c>
      <c r="O38" s="16">
        <f>IFERROR(ROUNDDOWN(Table15[[#This Row],[R-DEMAND]]/1706,0),0)</f>
        <v>2</v>
      </c>
      <c r="P38" s="16">
        <f>IFERROR(Table15[[#This Row],[ADD ACC]]*Table15[[#This Row],[RT TIME 
(380-800)]],0)</f>
        <v>20</v>
      </c>
      <c r="Q38" s="415">
        <f>IFERROR(VLOOKUP(Table15[[#This Row],[ROUTE]],PRICING!A:B,2,FALSE),0)</f>
        <v>0</v>
      </c>
      <c r="R38" s="235">
        <f>IFERROR(Table15[[#This Row],[C_DEMAND]]-Table15[[#This Row],[R-DEMAND]],0)</f>
        <v>0</v>
      </c>
      <c r="S38" s="408">
        <f t="shared" si="0"/>
        <v>0</v>
      </c>
      <c r="T38" s="419">
        <f>Table15[[#This Row],[R-DEMAND]]-(Table15[[#This Row],[ADD ACC]]*1706)</f>
        <v>1449</v>
      </c>
      <c r="U38" s="419">
        <f>ROUNDDOWN(Table15[[#This Row],[Column1]]/1360,0)</f>
        <v>1</v>
      </c>
      <c r="V38" s="419"/>
      <c r="W38" s="251">
        <v>10</v>
      </c>
      <c r="X38" s="251">
        <f>ROUNDDOWN(Table15[[#This Row],[R-DEMAND]]/1320,0)</f>
        <v>3</v>
      </c>
      <c r="Y38" s="251">
        <f>IFERROR(Table15[[#This Row],[ADD ACC
(660/1320)]]*Table15[[#This Row],[Duration
(B744)]],0)</f>
        <v>30</v>
      </c>
      <c r="Z38" s="251"/>
    </row>
    <row r="39" spans="1:26" ht="15.75" customHeight="1" x14ac:dyDescent="0.25">
      <c r="A39" s="210" t="s">
        <v>15780</v>
      </c>
      <c r="B39" s="204" t="s">
        <v>290</v>
      </c>
      <c r="C39" s="204" t="s">
        <v>2</v>
      </c>
      <c r="D39" s="205">
        <v>4</v>
      </c>
      <c r="E39" s="204" t="s">
        <v>14</v>
      </c>
      <c r="F39" s="204" t="str">
        <f>VLOOKUP(E39,Table10[[COUNTRY NAME]:[CONTINENT CODE]],3,FALSE)</f>
        <v>AS</v>
      </c>
      <c r="G39" s="206" t="s">
        <v>12085</v>
      </c>
      <c r="H39" s="207">
        <v>3933</v>
      </c>
      <c r="I39" s="208">
        <v>10.75</v>
      </c>
      <c r="J39" s="345"/>
      <c r="K39" s="345">
        <f>IFERROR(Table15[[#This Row],[ROUTE $]]/Table15[[#This Row],[E - DEMAND]],0)</f>
        <v>0</v>
      </c>
      <c r="L39" s="204"/>
      <c r="M39" s="412">
        <f>IFERROR(VLOOKUP(Table15[[#This Row],[ROUTE]],DEMAND!A:F,5,FALSE),0)</f>
        <v>4846</v>
      </c>
      <c r="N39" s="16">
        <f>IFERROR(VLOOKUP(Table15[[#This Row],[ROUTE]],DEMAND!A:F,6,FALSE),0)</f>
        <v>4846</v>
      </c>
      <c r="O39" s="16">
        <f>IFERROR(ROUNDDOWN(Table15[[#This Row],[R-DEMAND]]/1706,0),0)</f>
        <v>2</v>
      </c>
      <c r="P39" s="16">
        <f>IFERROR(Table15[[#This Row],[ADD ACC]]*Table15[[#This Row],[RT TIME 
(380-800)]],0)</f>
        <v>21.5</v>
      </c>
      <c r="Q39" s="415">
        <f>IFERROR(VLOOKUP(Table15[[#This Row],[ROUTE]],PRICING!A:B,2,FALSE),0)</f>
        <v>0</v>
      </c>
      <c r="R39" s="235">
        <f>IFERROR(Table15[[#This Row],[C_DEMAND]]-Table15[[#This Row],[R-DEMAND]],0)</f>
        <v>0</v>
      </c>
      <c r="S39" s="408">
        <f t="shared" si="0"/>
        <v>0</v>
      </c>
      <c r="T39" s="419">
        <f>Table15[[#This Row],[R-DEMAND]]-(Table15[[#This Row],[ADD ACC]]*1706)</f>
        <v>1434</v>
      </c>
      <c r="U39" s="419">
        <f>ROUNDDOWN(Table15[[#This Row],[Column1]]/1360,0)</f>
        <v>1</v>
      </c>
      <c r="V39" s="419"/>
      <c r="W39" s="251">
        <v>10.75</v>
      </c>
      <c r="X39" s="251">
        <f>ROUNDDOWN(Table15[[#This Row],[R-DEMAND]]/1320,0)</f>
        <v>3</v>
      </c>
      <c r="Y39" s="251">
        <f>IFERROR(Table15[[#This Row],[ADD ACC
(660/1320)]]*Table15[[#This Row],[Duration
(B744)]],0)</f>
        <v>32.25</v>
      </c>
      <c r="Z39" s="251"/>
    </row>
    <row r="40" spans="1:26" ht="15.75" customHeight="1" x14ac:dyDescent="0.25">
      <c r="A40" s="210" t="s">
        <v>15778</v>
      </c>
      <c r="B40" s="204" t="s">
        <v>5317</v>
      </c>
      <c r="C40" s="204" t="s">
        <v>2</v>
      </c>
      <c r="D40" s="205">
        <v>3</v>
      </c>
      <c r="E40" s="204" t="s">
        <v>2711</v>
      </c>
      <c r="F40" s="204" t="str">
        <f>VLOOKUP(E40,Table10[[COUNTRY NAME]:[CONTINENT CODE]],3,FALSE)</f>
        <v>AS</v>
      </c>
      <c r="G40" s="206" t="s">
        <v>11892</v>
      </c>
      <c r="H40" s="207">
        <v>3939</v>
      </c>
      <c r="I40" s="208">
        <v>10.75</v>
      </c>
      <c r="J40" s="345"/>
      <c r="K40" s="345">
        <f>IFERROR(Table15[[#This Row],[ROUTE $]]/Table15[[#This Row],[E - DEMAND]],0)</f>
        <v>0</v>
      </c>
      <c r="L40" s="204"/>
      <c r="M40" s="412">
        <f>IFERROR(VLOOKUP(Table15[[#This Row],[ROUTE]],DEMAND!A:F,5,FALSE),0)</f>
        <v>4799</v>
      </c>
      <c r="N40" s="16">
        <f>IFERROR(VLOOKUP(Table15[[#This Row],[ROUTE]],DEMAND!A:F,6,FALSE),0)</f>
        <v>4799</v>
      </c>
      <c r="O40" s="16">
        <f>IFERROR(ROUNDDOWN(Table15[[#This Row],[R-DEMAND]]/1706,0),0)</f>
        <v>2</v>
      </c>
      <c r="P40" s="16">
        <f>IFERROR(Table15[[#This Row],[ADD ACC]]*Table15[[#This Row],[RT TIME 
(380-800)]],0)</f>
        <v>21.5</v>
      </c>
      <c r="Q40" s="415">
        <f>IFERROR(VLOOKUP(Table15[[#This Row],[ROUTE]],PRICING!A:B,2,FALSE),0)</f>
        <v>1153</v>
      </c>
      <c r="R40" s="235">
        <f>IFERROR(Table15[[#This Row],[C_DEMAND]]-Table15[[#This Row],[R-DEMAND]],0)</f>
        <v>0</v>
      </c>
      <c r="S40" s="408">
        <f t="shared" si="0"/>
        <v>0</v>
      </c>
      <c r="T40" s="419">
        <f>Table15[[#This Row],[R-DEMAND]]-(Table15[[#This Row],[ADD ACC]]*1706)</f>
        <v>1387</v>
      </c>
      <c r="U40" s="419">
        <f>ROUNDDOWN(Table15[[#This Row],[Column1]]/1360,0)</f>
        <v>1</v>
      </c>
      <c r="V40" s="419"/>
      <c r="W40" s="251">
        <v>10.75</v>
      </c>
      <c r="X40" s="251">
        <f>ROUNDDOWN(Table15[[#This Row],[R-DEMAND]]/1320,0)</f>
        <v>3</v>
      </c>
      <c r="Y40" s="251">
        <f>IFERROR(Table15[[#This Row],[ADD ACC
(660/1320)]]*Table15[[#This Row],[Duration
(B744)]],0)</f>
        <v>32.25</v>
      </c>
      <c r="Z40" s="251"/>
    </row>
    <row r="41" spans="1:26" ht="15.75" customHeight="1" x14ac:dyDescent="0.25">
      <c r="A41" s="210" t="s">
        <v>15789</v>
      </c>
      <c r="B41" s="204" t="s">
        <v>68</v>
      </c>
      <c r="C41" s="204" t="s">
        <v>2</v>
      </c>
      <c r="D41" s="205">
        <v>4</v>
      </c>
      <c r="E41" s="204" t="s">
        <v>14</v>
      </c>
      <c r="F41" s="204" t="str">
        <f>VLOOKUP(E41,Table10[[COUNTRY NAME]:[CONTINENT CODE]],3,FALSE)</f>
        <v>AS</v>
      </c>
      <c r="G41" s="206" t="s">
        <v>12091</v>
      </c>
      <c r="H41" s="207">
        <v>3844</v>
      </c>
      <c r="I41" s="208">
        <v>10.75</v>
      </c>
      <c r="J41" s="345"/>
      <c r="K41" s="345">
        <f>IFERROR(Table15[[#This Row],[ROUTE $]]/Table15[[#This Row],[E - DEMAND]],0)</f>
        <v>0</v>
      </c>
      <c r="L41" s="204"/>
      <c r="M41" s="412">
        <f>IFERROR(VLOOKUP(Table15[[#This Row],[ROUTE]],DEMAND!A:F,5,FALSE),0)</f>
        <v>4786</v>
      </c>
      <c r="N41" s="16">
        <f>IFERROR(VLOOKUP(Table15[[#This Row],[ROUTE]],DEMAND!A:F,6,FALSE),0)</f>
        <v>4786</v>
      </c>
      <c r="O41" s="16">
        <f>IFERROR(ROUNDDOWN(Table15[[#This Row],[R-DEMAND]]/1706,0),0)</f>
        <v>2</v>
      </c>
      <c r="P41" s="16">
        <f>IFERROR(Table15[[#This Row],[ADD ACC]]*Table15[[#This Row],[RT TIME 
(380-800)]],0)</f>
        <v>21.5</v>
      </c>
      <c r="Q41" s="415">
        <f>IFERROR(VLOOKUP(Table15[[#This Row],[ROUTE]],PRICING!A:B,2,FALSE),0)</f>
        <v>0</v>
      </c>
      <c r="R41" s="235">
        <f>IFERROR(Table15[[#This Row],[C_DEMAND]]-Table15[[#This Row],[R-DEMAND]],0)</f>
        <v>0</v>
      </c>
      <c r="S41" s="408">
        <f t="shared" si="0"/>
        <v>0</v>
      </c>
      <c r="T41" s="419">
        <f>Table15[[#This Row],[R-DEMAND]]-(Table15[[#This Row],[ADD ACC]]*1706)</f>
        <v>1374</v>
      </c>
      <c r="U41" s="419">
        <f>ROUNDDOWN(Table15[[#This Row],[Column1]]/1360,0)</f>
        <v>1</v>
      </c>
      <c r="V41" s="419"/>
      <c r="W41" s="251">
        <v>10.75</v>
      </c>
      <c r="X41" s="251">
        <f>ROUNDDOWN(Table15[[#This Row],[R-DEMAND]]/1320,0)</f>
        <v>3</v>
      </c>
      <c r="Y41" s="251">
        <f>IFERROR(Table15[[#This Row],[ADD ACC
(660/1320)]]*Table15[[#This Row],[Duration
(B744)]],0)</f>
        <v>32.25</v>
      </c>
      <c r="Z41" s="251"/>
    </row>
    <row r="42" spans="1:26" ht="15.75" customHeight="1" x14ac:dyDescent="0.25">
      <c r="A42" s="210" t="s">
        <v>15444</v>
      </c>
      <c r="B42" s="204" t="s">
        <v>326</v>
      </c>
      <c r="C42" s="204" t="s">
        <v>2</v>
      </c>
      <c r="D42" s="205">
        <v>3</v>
      </c>
      <c r="E42" s="204" t="s">
        <v>926</v>
      </c>
      <c r="F42" s="204" t="str">
        <f>VLOOKUP(E42,Table10[[COUNTRY NAME]:[CONTINENT CODE]],3,FALSE)</f>
        <v>AF</v>
      </c>
      <c r="G42" s="206" t="s">
        <v>11905</v>
      </c>
      <c r="H42" s="207">
        <v>7026</v>
      </c>
      <c r="I42" s="208">
        <v>17.75</v>
      </c>
      <c r="J42" s="345"/>
      <c r="K42" s="345">
        <f>IFERROR(Table15[[#This Row],[ROUTE $]]/Table15[[#This Row],[E - DEMAND]],0)</f>
        <v>0</v>
      </c>
      <c r="L42" s="204"/>
      <c r="M42" s="412">
        <f>IFERROR(VLOOKUP(Table15[[#This Row],[ROUTE]],DEMAND!A:F,5,FALSE),0)</f>
        <v>4759</v>
      </c>
      <c r="N42" s="16">
        <f>IFERROR(VLOOKUP(Table15[[#This Row],[ROUTE]],DEMAND!A:F,6,FALSE),0)</f>
        <v>4759</v>
      </c>
      <c r="O42" s="16">
        <f>IFERROR(ROUNDDOWN(Table15[[#This Row],[R-DEMAND]]/1706,0),0)</f>
        <v>2</v>
      </c>
      <c r="P42" s="16">
        <f>IFERROR(Table15[[#This Row],[ADD ACC]]*Table15[[#This Row],[RT TIME 
(380-800)]],0)</f>
        <v>35.5</v>
      </c>
      <c r="Q42" s="415">
        <f>IFERROR(VLOOKUP(Table15[[#This Row],[ROUTE]],PRICING!A:B,2,FALSE),0)</f>
        <v>0</v>
      </c>
      <c r="R42" s="235">
        <f>IFERROR(Table15[[#This Row],[C_DEMAND]]-Table15[[#This Row],[R-DEMAND]],0)</f>
        <v>0</v>
      </c>
      <c r="S42" s="408">
        <f t="shared" si="0"/>
        <v>0</v>
      </c>
      <c r="T42" s="419">
        <f>Table15[[#This Row],[R-DEMAND]]-(Table15[[#This Row],[ADD ACC]]*1706)</f>
        <v>1347</v>
      </c>
      <c r="U42" s="419">
        <f>ROUNDDOWN(Table15[[#This Row],[Column1]]/1360,0)</f>
        <v>0</v>
      </c>
      <c r="V42" s="419"/>
      <c r="W42" s="251">
        <v>17.75</v>
      </c>
      <c r="X42" s="251">
        <f>ROUNDDOWN(Table15[[#This Row],[R-DEMAND]]/1320,0)</f>
        <v>3</v>
      </c>
      <c r="Y42" s="251">
        <f>IFERROR(Table15[[#This Row],[ADD ACC
(660/1320)]]*Table15[[#This Row],[Duration
(B744)]],0)</f>
        <v>53.25</v>
      </c>
      <c r="Z42" s="251"/>
    </row>
    <row r="43" spans="1:26" ht="15.75" customHeight="1" x14ac:dyDescent="0.25">
      <c r="A43" s="210" t="s">
        <v>15748</v>
      </c>
      <c r="B43" s="204" t="s">
        <v>5019</v>
      </c>
      <c r="C43" s="204" t="s">
        <v>2</v>
      </c>
      <c r="D43" s="205">
        <v>3</v>
      </c>
      <c r="E43" s="204" t="s">
        <v>1124</v>
      </c>
      <c r="F43" s="204" t="str">
        <f>VLOOKUP(E43,Table10[[COUNTRY NAME]:[CONTINENT CODE]],3,FALSE)</f>
        <v>AF</v>
      </c>
      <c r="G43" s="206" t="s">
        <v>11872</v>
      </c>
      <c r="H43" s="207">
        <v>4178</v>
      </c>
      <c r="I43" s="208">
        <v>11.5</v>
      </c>
      <c r="J43" s="345"/>
      <c r="K43" s="345">
        <f>IFERROR(Table15[[#This Row],[ROUTE $]]/Table15[[#This Row],[E - DEMAND]],0)</f>
        <v>0</v>
      </c>
      <c r="L43" s="204"/>
      <c r="M43" s="412">
        <f>IFERROR(VLOOKUP(Table15[[#This Row],[ROUTE]],DEMAND!A:F,5,FALSE),0)</f>
        <v>4737</v>
      </c>
      <c r="N43" s="16">
        <f>IFERROR(VLOOKUP(Table15[[#This Row],[ROUTE]],DEMAND!A:F,6,FALSE),0)</f>
        <v>4737</v>
      </c>
      <c r="O43" s="16">
        <f>IFERROR(ROUNDDOWN(Table15[[#This Row],[R-DEMAND]]/1706,0),0)</f>
        <v>2</v>
      </c>
      <c r="P43" s="16">
        <f>IFERROR(Table15[[#This Row],[ADD ACC]]*Table15[[#This Row],[RT TIME 
(380-800)]],0)</f>
        <v>23</v>
      </c>
      <c r="Q43" s="415">
        <f>IFERROR(VLOOKUP(Table15[[#This Row],[ROUTE]],PRICING!A:B,2,FALSE),0)</f>
        <v>0</v>
      </c>
      <c r="R43" s="235">
        <f>IFERROR(Table15[[#This Row],[C_DEMAND]]-Table15[[#This Row],[R-DEMAND]],0)</f>
        <v>0</v>
      </c>
      <c r="S43" s="408">
        <f t="shared" si="0"/>
        <v>0</v>
      </c>
      <c r="T43" s="419">
        <f>Table15[[#This Row],[R-DEMAND]]-(Table15[[#This Row],[ADD ACC]]*1706)</f>
        <v>1325</v>
      </c>
      <c r="U43" s="419">
        <f>ROUNDDOWN(Table15[[#This Row],[Column1]]/1360,0)</f>
        <v>0</v>
      </c>
      <c r="V43" s="419"/>
      <c r="W43" s="251">
        <v>11.5</v>
      </c>
      <c r="X43" s="251">
        <f>ROUNDDOWN(Table15[[#This Row],[R-DEMAND]]/1320,0)</f>
        <v>3</v>
      </c>
      <c r="Y43" s="251">
        <f>IFERROR(Table15[[#This Row],[ADD ACC
(660/1320)]]*Table15[[#This Row],[Duration
(B744)]],0)</f>
        <v>34.5</v>
      </c>
      <c r="Z43" s="251"/>
    </row>
    <row r="44" spans="1:26" ht="15.75" customHeight="1" x14ac:dyDescent="0.25">
      <c r="A44" s="210" t="s">
        <v>15651</v>
      </c>
      <c r="B44" s="204" t="s">
        <v>79</v>
      </c>
      <c r="C44" s="204" t="s">
        <v>2</v>
      </c>
      <c r="D44" s="205">
        <v>4</v>
      </c>
      <c r="E44" s="204" t="s">
        <v>78</v>
      </c>
      <c r="F44" s="204" t="str">
        <f>VLOOKUP(E44,Table10[[COUNTRY NAME]:[CONTINENT CODE]],3,FALSE)</f>
        <v>EU</v>
      </c>
      <c r="G44" s="210" t="s">
        <v>77</v>
      </c>
      <c r="H44" s="207">
        <v>5052</v>
      </c>
      <c r="I44" s="208">
        <v>13.25</v>
      </c>
      <c r="J44" s="345"/>
      <c r="K44" s="345">
        <f>IFERROR(Table15[[#This Row],[ROUTE $]]/Table15[[#This Row],[E - DEMAND]],0)</f>
        <v>0</v>
      </c>
      <c r="L44" s="204"/>
      <c r="M44" s="412">
        <f>IFERROR(VLOOKUP(Table15[[#This Row],[ROUTE]],DEMAND!A:F,5,FALSE),0)</f>
        <v>4711</v>
      </c>
      <c r="N44" s="16">
        <f>IFERROR(VLOOKUP(Table15[[#This Row],[ROUTE]],DEMAND!A:F,6,FALSE),0)</f>
        <v>4711</v>
      </c>
      <c r="O44" s="16">
        <f>IFERROR(ROUNDDOWN(Table15[[#This Row],[R-DEMAND]]/1706,0),0)</f>
        <v>2</v>
      </c>
      <c r="P44" s="16">
        <f>IFERROR(Table15[[#This Row],[ADD ACC]]*Table15[[#This Row],[RT TIME 
(380-800)]],0)</f>
        <v>26.5</v>
      </c>
      <c r="Q44" s="415">
        <f>IFERROR(VLOOKUP(Table15[[#This Row],[ROUTE]],PRICING!A:B,2,FALSE),0)</f>
        <v>0</v>
      </c>
      <c r="R44" s="235">
        <f>IFERROR(Table15[[#This Row],[C_DEMAND]]-Table15[[#This Row],[R-DEMAND]],0)</f>
        <v>0</v>
      </c>
      <c r="S44" s="408">
        <f t="shared" si="0"/>
        <v>0</v>
      </c>
      <c r="T44" s="419">
        <f>Table15[[#This Row],[R-DEMAND]]-(Table15[[#This Row],[ADD ACC]]*1706)</f>
        <v>1299</v>
      </c>
      <c r="U44" s="419">
        <f>ROUNDDOWN(Table15[[#This Row],[Column1]]/1360,0)</f>
        <v>0</v>
      </c>
      <c r="V44" s="419"/>
      <c r="W44" s="251">
        <v>13.25</v>
      </c>
      <c r="X44" s="251">
        <f>ROUNDDOWN(Table15[[#This Row],[R-DEMAND]]/1320,0)</f>
        <v>3</v>
      </c>
      <c r="Y44" s="251">
        <f>IFERROR(Table15[[#This Row],[ADD ACC
(660/1320)]]*Table15[[#This Row],[Duration
(B744)]],0)</f>
        <v>39.75</v>
      </c>
      <c r="Z44" s="251"/>
    </row>
    <row r="45" spans="1:26" ht="15.75" customHeight="1" x14ac:dyDescent="0.25">
      <c r="A45" s="210" t="s">
        <v>15726</v>
      </c>
      <c r="B45" s="204" t="s">
        <v>5489</v>
      </c>
      <c r="C45" s="204" t="s">
        <v>2</v>
      </c>
      <c r="D45" s="205">
        <v>4</v>
      </c>
      <c r="E45" s="204" t="s">
        <v>14</v>
      </c>
      <c r="F45" s="204" t="str">
        <f>VLOOKUP(E45,Table10[[COUNTRY NAME]:[CONTINENT CODE]],3,FALSE)</f>
        <v>AS</v>
      </c>
      <c r="G45" s="206" t="s">
        <v>11098</v>
      </c>
      <c r="H45" s="207">
        <v>4377</v>
      </c>
      <c r="I45" s="208">
        <v>11.75</v>
      </c>
      <c r="J45" s="345"/>
      <c r="K45" s="345">
        <f>IFERROR(Table15[[#This Row],[ROUTE $]]/Table15[[#This Row],[E - DEMAND]],0)</f>
        <v>0</v>
      </c>
      <c r="L45" s="204"/>
      <c r="M45" s="412">
        <f>IFERROR(VLOOKUP(Table15[[#This Row],[ROUTE]],DEMAND!A:F,5,FALSE),0)</f>
        <v>4704</v>
      </c>
      <c r="N45" s="16">
        <f>IFERROR(VLOOKUP(Table15[[#This Row],[ROUTE]],DEMAND!A:F,6,FALSE),0)</f>
        <v>4704</v>
      </c>
      <c r="O45" s="16">
        <f>IFERROR(ROUNDDOWN(Table15[[#This Row],[R-DEMAND]]/1706,0),0)</f>
        <v>2</v>
      </c>
      <c r="P45" s="16">
        <f>IFERROR(Table15[[#This Row],[ADD ACC]]*Table15[[#This Row],[RT TIME 
(380-800)]],0)</f>
        <v>23.5</v>
      </c>
      <c r="Q45" s="415">
        <f>IFERROR(VLOOKUP(Table15[[#This Row],[ROUTE]],PRICING!A:B,2,FALSE),0)</f>
        <v>0</v>
      </c>
      <c r="R45" s="235">
        <f>IFERROR(Table15[[#This Row],[C_DEMAND]]-Table15[[#This Row],[R-DEMAND]],0)</f>
        <v>0</v>
      </c>
      <c r="S45" s="408">
        <f t="shared" si="0"/>
        <v>0</v>
      </c>
      <c r="T45" s="419">
        <f>Table15[[#This Row],[R-DEMAND]]-(Table15[[#This Row],[ADD ACC]]*1706)</f>
        <v>1292</v>
      </c>
      <c r="U45" s="419">
        <f>ROUNDDOWN(Table15[[#This Row],[Column1]]/1360,0)</f>
        <v>0</v>
      </c>
      <c r="V45" s="419"/>
      <c r="W45" s="251">
        <v>11.75</v>
      </c>
      <c r="X45" s="251">
        <f>ROUNDDOWN(Table15[[#This Row],[R-DEMAND]]/1320,0)</f>
        <v>3</v>
      </c>
      <c r="Y45" s="251">
        <f>IFERROR(Table15[[#This Row],[ADD ACC
(660/1320)]]*Table15[[#This Row],[Duration
(B744)]],0)</f>
        <v>35.25</v>
      </c>
      <c r="Z45" s="251"/>
    </row>
    <row r="46" spans="1:26" ht="15.75" customHeight="1" x14ac:dyDescent="0.25">
      <c r="A46" s="210" t="s">
        <v>15667</v>
      </c>
      <c r="B46" s="204" t="s">
        <v>279</v>
      </c>
      <c r="C46" s="204" t="s">
        <v>2</v>
      </c>
      <c r="D46" s="205">
        <v>4</v>
      </c>
      <c r="E46" s="204" t="s">
        <v>14</v>
      </c>
      <c r="F46" s="204" t="str">
        <f>VLOOKUP(E46,Table10[[COUNTRY NAME]:[CONTINENT CODE]],3,FALSE)</f>
        <v>AS</v>
      </c>
      <c r="G46" s="206" t="s">
        <v>278</v>
      </c>
      <c r="H46" s="207">
        <v>4928</v>
      </c>
      <c r="I46" s="208">
        <v>13</v>
      </c>
      <c r="J46" s="345"/>
      <c r="K46" s="345">
        <f>IFERROR(Table15[[#This Row],[ROUTE $]]/Table15[[#This Row],[E - DEMAND]],0)</f>
        <v>0</v>
      </c>
      <c r="L46" s="204"/>
      <c r="M46" s="412">
        <f>IFERROR(VLOOKUP(Table15[[#This Row],[ROUTE]],DEMAND!A:F,5,FALSE),0)</f>
        <v>4690</v>
      </c>
      <c r="N46" s="16">
        <f>IFERROR(VLOOKUP(Table15[[#This Row],[ROUTE]],DEMAND!A:F,6,FALSE),0)</f>
        <v>4690</v>
      </c>
      <c r="O46" s="16">
        <f>IFERROR(ROUNDDOWN(Table15[[#This Row],[R-DEMAND]]/1706,0),0)</f>
        <v>2</v>
      </c>
      <c r="P46" s="16">
        <f>IFERROR(Table15[[#This Row],[ADD ACC]]*Table15[[#This Row],[RT TIME 
(380-800)]],0)</f>
        <v>26</v>
      </c>
      <c r="Q46" s="415">
        <f>IFERROR(VLOOKUP(Table15[[#This Row],[ROUTE]],PRICING!A:B,2,FALSE),0)</f>
        <v>0</v>
      </c>
      <c r="R46" s="235">
        <f>IFERROR(Table15[[#This Row],[C_DEMAND]]-Table15[[#This Row],[R-DEMAND]],0)</f>
        <v>0</v>
      </c>
      <c r="S46" s="408">
        <f t="shared" si="0"/>
        <v>0</v>
      </c>
      <c r="T46" s="419">
        <f>Table15[[#This Row],[R-DEMAND]]-(Table15[[#This Row],[ADD ACC]]*1706)</f>
        <v>1278</v>
      </c>
      <c r="U46" s="419">
        <f>ROUNDDOWN(Table15[[#This Row],[Column1]]/1360,0)</f>
        <v>0</v>
      </c>
      <c r="V46" s="419"/>
      <c r="W46" s="251">
        <v>13</v>
      </c>
      <c r="X46" s="251">
        <f>ROUNDDOWN(Table15[[#This Row],[R-DEMAND]]/1320,0)</f>
        <v>3</v>
      </c>
      <c r="Y46" s="251">
        <f>IFERROR(Table15[[#This Row],[ADD ACC
(660/1320)]]*Table15[[#This Row],[Duration
(B744)]],0)</f>
        <v>39</v>
      </c>
      <c r="Z46" s="251"/>
    </row>
    <row r="47" spans="1:26" ht="15.75" customHeight="1" x14ac:dyDescent="0.25">
      <c r="A47" s="210" t="s">
        <v>15886</v>
      </c>
      <c r="B47" s="204" t="s">
        <v>4964</v>
      </c>
      <c r="C47" s="204" t="s">
        <v>2</v>
      </c>
      <c r="D47" s="205">
        <v>3</v>
      </c>
      <c r="E47" s="204" t="s">
        <v>502</v>
      </c>
      <c r="F47" s="204" t="str">
        <f>VLOOKUP(E47,Table10[[COUNTRY NAME]:[CONTINENT CODE]],3,FALSE)</f>
        <v>AS</v>
      </c>
      <c r="G47" s="206" t="s">
        <v>10765</v>
      </c>
      <c r="H47" s="207">
        <v>2772</v>
      </c>
      <c r="I47" s="208">
        <v>8.25</v>
      </c>
      <c r="J47" s="345"/>
      <c r="K47" s="345">
        <f>IFERROR(Table15[[#This Row],[ROUTE $]]/Table15[[#This Row],[E - DEMAND]],0)</f>
        <v>0</v>
      </c>
      <c r="L47" s="204"/>
      <c r="M47" s="412">
        <f>IFERROR(VLOOKUP(Table15[[#This Row],[ROUTE]],DEMAND!A:F,5,FALSE),0)</f>
        <v>4686</v>
      </c>
      <c r="N47" s="16">
        <f>IFERROR(VLOOKUP(Table15[[#This Row],[ROUTE]],DEMAND!A:F,6,FALSE),0)</f>
        <v>4686</v>
      </c>
      <c r="O47" s="16">
        <f>IFERROR(ROUNDDOWN(Table15[[#This Row],[R-DEMAND]]/1706,0),0)</f>
        <v>2</v>
      </c>
      <c r="P47" s="16">
        <f>IFERROR(Table15[[#This Row],[ADD ACC]]*Table15[[#This Row],[RT TIME 
(380-800)]],0)</f>
        <v>16.5</v>
      </c>
      <c r="Q47" s="415">
        <f>IFERROR(VLOOKUP(Table15[[#This Row],[ROUTE]],PRICING!A:B,2,FALSE),0)</f>
        <v>0</v>
      </c>
      <c r="R47" s="235">
        <f>IFERROR(Table15[[#This Row],[C_DEMAND]]-Table15[[#This Row],[R-DEMAND]],0)</f>
        <v>0</v>
      </c>
      <c r="S47" s="408">
        <f t="shared" si="0"/>
        <v>0</v>
      </c>
      <c r="T47" s="419">
        <f>Table15[[#This Row],[R-DEMAND]]-(Table15[[#This Row],[ADD ACC]]*1706)</f>
        <v>1274</v>
      </c>
      <c r="U47" s="419">
        <f>ROUNDDOWN(Table15[[#This Row],[Column1]]/1360,0)</f>
        <v>0</v>
      </c>
      <c r="V47" s="419"/>
      <c r="W47" s="251">
        <v>8.25</v>
      </c>
      <c r="X47" s="251">
        <f>ROUNDDOWN(Table15[[#This Row],[R-DEMAND]]/1320,0)</f>
        <v>3</v>
      </c>
      <c r="Y47" s="251">
        <f>IFERROR(Table15[[#This Row],[ADD ACC
(660/1320)]]*Table15[[#This Row],[Duration
(B744)]],0)</f>
        <v>24.75</v>
      </c>
      <c r="Z47" s="251"/>
    </row>
    <row r="48" spans="1:26" ht="15.75" customHeight="1" x14ac:dyDescent="0.25">
      <c r="A48" s="210" t="s">
        <v>15452</v>
      </c>
      <c r="B48" s="204" t="s">
        <v>450</v>
      </c>
      <c r="C48" s="204" t="s">
        <v>2</v>
      </c>
      <c r="D48" s="205">
        <v>4</v>
      </c>
      <c r="E48" s="204" t="s">
        <v>493</v>
      </c>
      <c r="F48" s="204" t="str">
        <f>VLOOKUP(E48,Table10[[COUNTRY NAME]:[CONTINENT CODE]],3,FALSE)</f>
        <v>AF</v>
      </c>
      <c r="G48" s="206" t="s">
        <v>11112</v>
      </c>
      <c r="H48" s="207">
        <v>6972</v>
      </c>
      <c r="I48" s="208">
        <v>17.5</v>
      </c>
      <c r="J48" s="345"/>
      <c r="K48" s="345">
        <f>IFERROR(Table15[[#This Row],[ROUTE $]]/Table15[[#This Row],[E - DEMAND]],0)</f>
        <v>0</v>
      </c>
      <c r="L48" s="204"/>
      <c r="M48" s="412">
        <f>IFERROR(VLOOKUP(Table15[[#This Row],[ROUTE]],DEMAND!A:F,5,FALSE),0)</f>
        <v>4675</v>
      </c>
      <c r="N48" s="16">
        <f>IFERROR(VLOOKUP(Table15[[#This Row],[ROUTE]],DEMAND!A:F,6,FALSE),0)</f>
        <v>4675</v>
      </c>
      <c r="O48" s="16">
        <f>IFERROR(ROUNDDOWN(Table15[[#This Row],[R-DEMAND]]/1706,0),0)</f>
        <v>2</v>
      </c>
      <c r="P48" s="16">
        <f>IFERROR(Table15[[#This Row],[ADD ACC]]*Table15[[#This Row],[RT TIME 
(380-800)]],0)</f>
        <v>35</v>
      </c>
      <c r="Q48" s="415">
        <f>IFERROR(VLOOKUP(Table15[[#This Row],[ROUTE]],PRICING!A:B,2,FALSE),0)</f>
        <v>0</v>
      </c>
      <c r="R48" s="235">
        <f>IFERROR(Table15[[#This Row],[C_DEMAND]]-Table15[[#This Row],[R-DEMAND]],0)</f>
        <v>0</v>
      </c>
      <c r="S48" s="408">
        <f t="shared" si="0"/>
        <v>0</v>
      </c>
      <c r="T48" s="419">
        <f>Table15[[#This Row],[R-DEMAND]]-(Table15[[#This Row],[ADD ACC]]*1706)</f>
        <v>1263</v>
      </c>
      <c r="U48" s="419">
        <f>ROUNDDOWN(Table15[[#This Row],[Column1]]/1360,0)</f>
        <v>0</v>
      </c>
      <c r="V48" s="419"/>
      <c r="W48" s="251">
        <v>17.5</v>
      </c>
      <c r="X48" s="251">
        <f>ROUNDDOWN(Table15[[#This Row],[R-DEMAND]]/1320,0)</f>
        <v>3</v>
      </c>
      <c r="Y48" s="251">
        <f>IFERROR(Table15[[#This Row],[ADD ACC
(660/1320)]]*Table15[[#This Row],[Duration
(B744)]],0)</f>
        <v>52.5</v>
      </c>
      <c r="Z48" s="251"/>
    </row>
    <row r="49" spans="1:26" ht="15.75" customHeight="1" x14ac:dyDescent="0.25">
      <c r="A49" s="210" t="s">
        <v>15672</v>
      </c>
      <c r="B49" s="204" t="s">
        <v>5443</v>
      </c>
      <c r="C49" s="204" t="s">
        <v>2</v>
      </c>
      <c r="D49" s="205">
        <v>3</v>
      </c>
      <c r="E49" s="204" t="s">
        <v>700</v>
      </c>
      <c r="F49" s="204" t="str">
        <f>VLOOKUP(E49,Table10[[COUNTRY NAME]:[CONTINENT CODE]],3,FALSE)</f>
        <v>AS</v>
      </c>
      <c r="G49" s="206" t="s">
        <v>11847</v>
      </c>
      <c r="H49" s="207">
        <v>4882</v>
      </c>
      <c r="I49" s="208">
        <v>13</v>
      </c>
      <c r="J49" s="345"/>
      <c r="K49" s="345">
        <f>IFERROR(Table15[[#This Row],[ROUTE $]]/Table15[[#This Row],[E - DEMAND]],0)</f>
        <v>0</v>
      </c>
      <c r="L49" s="204"/>
      <c r="M49" s="412">
        <f>IFERROR(VLOOKUP(Table15[[#This Row],[ROUTE]],DEMAND!A:F,5,FALSE),0)</f>
        <v>4607</v>
      </c>
      <c r="N49" s="16">
        <f>IFERROR(VLOOKUP(Table15[[#This Row],[ROUTE]],DEMAND!A:F,6,FALSE),0)</f>
        <v>4607</v>
      </c>
      <c r="O49" s="16">
        <f>IFERROR(ROUNDDOWN(Table15[[#This Row],[R-DEMAND]]/1706,0),0)</f>
        <v>2</v>
      </c>
      <c r="P49" s="16">
        <f>IFERROR(Table15[[#This Row],[ADD ACC]]*Table15[[#This Row],[RT TIME 
(380-800)]],0)</f>
        <v>26</v>
      </c>
      <c r="Q49" s="415">
        <f>IFERROR(VLOOKUP(Table15[[#This Row],[ROUTE]],PRICING!A:B,2,FALSE),0)</f>
        <v>0</v>
      </c>
      <c r="R49" s="235">
        <f>IFERROR(Table15[[#This Row],[C_DEMAND]]-Table15[[#This Row],[R-DEMAND]],0)</f>
        <v>0</v>
      </c>
      <c r="S49" s="408">
        <f t="shared" si="0"/>
        <v>0</v>
      </c>
      <c r="T49" s="419">
        <f>Table15[[#This Row],[R-DEMAND]]-(Table15[[#This Row],[ADD ACC]]*1706)</f>
        <v>1195</v>
      </c>
      <c r="U49" s="419">
        <f>ROUNDDOWN(Table15[[#This Row],[Column1]]/1360,0)</f>
        <v>0</v>
      </c>
      <c r="V49" s="419"/>
      <c r="W49" s="251">
        <v>13</v>
      </c>
      <c r="X49" s="251">
        <f>ROUNDDOWN(Table15[[#This Row],[R-DEMAND]]/1320,0)</f>
        <v>3</v>
      </c>
      <c r="Y49" s="251">
        <f>IFERROR(Table15[[#This Row],[ADD ACC
(660/1320)]]*Table15[[#This Row],[Duration
(B744)]],0)</f>
        <v>39</v>
      </c>
      <c r="Z49" s="251"/>
    </row>
    <row r="50" spans="1:26" ht="15.75" customHeight="1" x14ac:dyDescent="0.25">
      <c r="A50" s="210" t="s">
        <v>15682</v>
      </c>
      <c r="B50" s="204" t="s">
        <v>5457</v>
      </c>
      <c r="C50" s="204" t="s">
        <v>2</v>
      </c>
      <c r="D50" s="205">
        <v>4</v>
      </c>
      <c r="E50" s="204" t="s">
        <v>700</v>
      </c>
      <c r="F50" s="204" t="str">
        <f>VLOOKUP(E50,Table10[[COUNTRY NAME]:[CONTINENT CODE]],3,FALSE)</f>
        <v>AS</v>
      </c>
      <c r="G50" s="206" t="s">
        <v>11044</v>
      </c>
      <c r="H50" s="207">
        <v>4779</v>
      </c>
      <c r="I50" s="208">
        <v>12.75</v>
      </c>
      <c r="J50" s="345"/>
      <c r="K50" s="345">
        <f>IFERROR(Table15[[#This Row],[ROUTE $]]/Table15[[#This Row],[E - DEMAND]],0)</f>
        <v>0</v>
      </c>
      <c r="L50" s="204"/>
      <c r="M50" s="412">
        <f>IFERROR(VLOOKUP(Table15[[#This Row],[ROUTE]],DEMAND!A:F,5,FALSE),0)</f>
        <v>4590</v>
      </c>
      <c r="N50" s="16">
        <f>IFERROR(VLOOKUP(Table15[[#This Row],[ROUTE]],DEMAND!A:F,6,FALSE),0)</f>
        <v>4590</v>
      </c>
      <c r="O50" s="16">
        <f>IFERROR(ROUNDDOWN(Table15[[#This Row],[R-DEMAND]]/1706,0),0)</f>
        <v>2</v>
      </c>
      <c r="P50" s="16">
        <f>IFERROR(Table15[[#This Row],[ADD ACC]]*Table15[[#This Row],[RT TIME 
(380-800)]],0)</f>
        <v>25.5</v>
      </c>
      <c r="Q50" s="415">
        <f>IFERROR(VLOOKUP(Table15[[#This Row],[ROUTE]],PRICING!A:B,2,FALSE),0)</f>
        <v>0</v>
      </c>
      <c r="R50" s="235">
        <f>IFERROR(Table15[[#This Row],[C_DEMAND]]-Table15[[#This Row],[R-DEMAND]],0)</f>
        <v>0</v>
      </c>
      <c r="S50" s="408">
        <f t="shared" si="0"/>
        <v>0</v>
      </c>
      <c r="T50" s="419">
        <f>Table15[[#This Row],[R-DEMAND]]-(Table15[[#This Row],[ADD ACC]]*1706)</f>
        <v>1178</v>
      </c>
      <c r="U50" s="419">
        <f>ROUNDDOWN(Table15[[#This Row],[Column1]]/1360,0)</f>
        <v>0</v>
      </c>
      <c r="V50" s="419"/>
      <c r="W50" s="251">
        <v>12.75</v>
      </c>
      <c r="X50" s="251">
        <f>ROUNDDOWN(Table15[[#This Row],[R-DEMAND]]/1320,0)</f>
        <v>3</v>
      </c>
      <c r="Y50" s="251">
        <f>IFERROR(Table15[[#This Row],[ADD ACC
(660/1320)]]*Table15[[#This Row],[Duration
(B744)]],0)</f>
        <v>38.25</v>
      </c>
      <c r="Z50" s="251"/>
    </row>
    <row r="51" spans="1:26" ht="15.75" customHeight="1" x14ac:dyDescent="0.25">
      <c r="A51" s="210" t="s">
        <v>15774</v>
      </c>
      <c r="B51" s="204" t="s">
        <v>4814</v>
      </c>
      <c r="C51" s="204" t="s">
        <v>2</v>
      </c>
      <c r="D51" s="205">
        <v>3</v>
      </c>
      <c r="E51" s="204" t="s">
        <v>1654</v>
      </c>
      <c r="F51" s="204" t="str">
        <f>VLOOKUP(E51,Table10[[COUNTRY NAME]:[CONTINENT CODE]],3,FALSE)</f>
        <v>AS</v>
      </c>
      <c r="G51" s="206" t="s">
        <v>11886</v>
      </c>
      <c r="H51" s="207">
        <v>3961</v>
      </c>
      <c r="I51" s="208">
        <v>11</v>
      </c>
      <c r="J51" s="345"/>
      <c r="K51" s="345">
        <f>IFERROR(Table15[[#This Row],[ROUTE $]]/Table15[[#This Row],[E - DEMAND]],0)</f>
        <v>0</v>
      </c>
      <c r="L51" s="204"/>
      <c r="M51" s="412">
        <f>IFERROR(VLOOKUP(Table15[[#This Row],[ROUTE]],DEMAND!A:F,5,FALSE),0)</f>
        <v>4566</v>
      </c>
      <c r="N51" s="16">
        <f>IFERROR(VLOOKUP(Table15[[#This Row],[ROUTE]],DEMAND!A:F,6,FALSE),0)</f>
        <v>4566</v>
      </c>
      <c r="O51" s="16">
        <f>IFERROR(ROUNDDOWN(Table15[[#This Row],[R-DEMAND]]/1706,0),0)</f>
        <v>2</v>
      </c>
      <c r="P51" s="16">
        <f>IFERROR(Table15[[#This Row],[ADD ACC]]*Table15[[#This Row],[RT TIME 
(380-800)]],0)</f>
        <v>22</v>
      </c>
      <c r="Q51" s="415">
        <f>IFERROR(VLOOKUP(Table15[[#This Row],[ROUTE]],PRICING!A:B,2,FALSE),0)</f>
        <v>0</v>
      </c>
      <c r="R51" s="235">
        <f>IFERROR(Table15[[#This Row],[C_DEMAND]]-Table15[[#This Row],[R-DEMAND]],0)</f>
        <v>0</v>
      </c>
      <c r="S51" s="408">
        <f t="shared" si="0"/>
        <v>0</v>
      </c>
      <c r="T51" s="419">
        <f>Table15[[#This Row],[R-DEMAND]]-(Table15[[#This Row],[ADD ACC]]*1706)</f>
        <v>1154</v>
      </c>
      <c r="U51" s="419">
        <f>ROUNDDOWN(Table15[[#This Row],[Column1]]/1360,0)</f>
        <v>0</v>
      </c>
      <c r="V51" s="419"/>
      <c r="W51" s="251">
        <v>11</v>
      </c>
      <c r="X51" s="251">
        <f>ROUNDDOWN(Table15[[#This Row],[R-DEMAND]]/1320,0)</f>
        <v>3</v>
      </c>
      <c r="Y51" s="251">
        <f>IFERROR(Table15[[#This Row],[ADD ACC
(660/1320)]]*Table15[[#This Row],[Duration
(B744)]],0)</f>
        <v>33</v>
      </c>
      <c r="Z51" s="251"/>
    </row>
    <row r="52" spans="1:26" ht="15.75" customHeight="1" x14ac:dyDescent="0.25">
      <c r="A52" s="210" t="s">
        <v>15822</v>
      </c>
      <c r="B52" s="204" t="s">
        <v>5141</v>
      </c>
      <c r="C52" s="204" t="s">
        <v>2</v>
      </c>
      <c r="D52" s="205">
        <v>3</v>
      </c>
      <c r="E52" s="204" t="s">
        <v>14</v>
      </c>
      <c r="F52" s="204" t="str">
        <f>VLOOKUP(E52,Table10[[COUNTRY NAME]:[CONTINENT CODE]],3,FALSE)</f>
        <v>AS</v>
      </c>
      <c r="G52" s="206" t="s">
        <v>12037</v>
      </c>
      <c r="H52" s="207">
        <v>3567</v>
      </c>
      <c r="I52" s="208">
        <v>10</v>
      </c>
      <c r="J52" s="345"/>
      <c r="K52" s="345">
        <f>IFERROR(Table15[[#This Row],[ROUTE $]]/Table15[[#This Row],[E - DEMAND]],0)</f>
        <v>0</v>
      </c>
      <c r="L52" s="204"/>
      <c r="M52" s="412">
        <f>IFERROR(VLOOKUP(Table15[[#This Row],[ROUTE]],DEMAND!A:F,5,FALSE),0)</f>
        <v>4556</v>
      </c>
      <c r="N52" s="16">
        <f>IFERROR(VLOOKUP(Table15[[#This Row],[ROUTE]],DEMAND!A:F,6,FALSE),0)</f>
        <v>4556</v>
      </c>
      <c r="O52" s="16">
        <f>IFERROR(ROUNDDOWN(Table15[[#This Row],[R-DEMAND]]/1706,0),0)</f>
        <v>2</v>
      </c>
      <c r="P52" s="16">
        <f>IFERROR(Table15[[#This Row],[ADD ACC]]*Table15[[#This Row],[RT TIME 
(380-800)]],0)</f>
        <v>20</v>
      </c>
      <c r="Q52" s="415">
        <f>IFERROR(VLOOKUP(Table15[[#This Row],[ROUTE]],PRICING!A:B,2,FALSE),0)</f>
        <v>0</v>
      </c>
      <c r="R52" s="235">
        <f>IFERROR(Table15[[#This Row],[C_DEMAND]]-Table15[[#This Row],[R-DEMAND]],0)</f>
        <v>0</v>
      </c>
      <c r="S52" s="408">
        <f t="shared" si="0"/>
        <v>0</v>
      </c>
      <c r="T52" s="419">
        <f>Table15[[#This Row],[R-DEMAND]]-(Table15[[#This Row],[ADD ACC]]*1706)</f>
        <v>1144</v>
      </c>
      <c r="U52" s="419">
        <f>ROUNDDOWN(Table15[[#This Row],[Column1]]/1360,0)</f>
        <v>0</v>
      </c>
      <c r="V52" s="419"/>
      <c r="W52" s="251">
        <v>10</v>
      </c>
      <c r="X52" s="251">
        <f>ROUNDDOWN(Table15[[#This Row],[R-DEMAND]]/1320,0)</f>
        <v>3</v>
      </c>
      <c r="Y52" s="251">
        <f>IFERROR(Table15[[#This Row],[ADD ACC
(660/1320)]]*Table15[[#This Row],[Duration
(B744)]],0)</f>
        <v>30</v>
      </c>
      <c r="Z52" s="251"/>
    </row>
    <row r="53" spans="1:26" ht="15.75" customHeight="1" x14ac:dyDescent="0.25">
      <c r="A53" s="210" t="s">
        <v>15840</v>
      </c>
      <c r="B53" s="204" t="s">
        <v>4611</v>
      </c>
      <c r="C53" s="204" t="s">
        <v>2</v>
      </c>
      <c r="D53" s="205">
        <v>2</v>
      </c>
      <c r="E53" s="204" t="s">
        <v>502</v>
      </c>
      <c r="F53" s="204" t="str">
        <f>VLOOKUP(E53,Table10[[COUNTRY NAME]:[CONTINENT CODE]],3,FALSE)</f>
        <v>AS</v>
      </c>
      <c r="G53" s="206" t="s">
        <v>11921</v>
      </c>
      <c r="H53" s="207">
        <v>3332</v>
      </c>
      <c r="I53" s="208">
        <v>9.5</v>
      </c>
      <c r="J53" s="345"/>
      <c r="K53" s="345">
        <f>IFERROR(Table15[[#This Row],[ROUTE $]]/Table15[[#This Row],[E - DEMAND]],0)</f>
        <v>0</v>
      </c>
      <c r="L53" s="204"/>
      <c r="M53" s="412">
        <f>IFERROR(VLOOKUP(Table15[[#This Row],[ROUTE]],DEMAND!A:F,5,FALSE),0)</f>
        <v>4542</v>
      </c>
      <c r="N53" s="16">
        <f>IFERROR(VLOOKUP(Table15[[#This Row],[ROUTE]],DEMAND!A:F,6,FALSE),0)</f>
        <v>4542</v>
      </c>
      <c r="O53" s="16">
        <f>IFERROR(ROUNDDOWN(Table15[[#This Row],[R-DEMAND]]/1706,0),0)</f>
        <v>2</v>
      </c>
      <c r="P53" s="16">
        <f>IFERROR(Table15[[#This Row],[ADD ACC]]*Table15[[#This Row],[RT TIME 
(380-800)]],0)</f>
        <v>19</v>
      </c>
      <c r="Q53" s="415">
        <f>IFERROR(VLOOKUP(Table15[[#This Row],[ROUTE]],PRICING!A:B,2,FALSE),0)</f>
        <v>0</v>
      </c>
      <c r="R53" s="235">
        <f>IFERROR(Table15[[#This Row],[C_DEMAND]]-Table15[[#This Row],[R-DEMAND]],0)</f>
        <v>0</v>
      </c>
      <c r="S53" s="408">
        <f t="shared" si="0"/>
        <v>0</v>
      </c>
      <c r="T53" s="419">
        <f>Table15[[#This Row],[R-DEMAND]]-(Table15[[#This Row],[ADD ACC]]*1706)</f>
        <v>1130</v>
      </c>
      <c r="U53" s="419">
        <f>ROUNDDOWN(Table15[[#This Row],[Column1]]/1360,0)</f>
        <v>0</v>
      </c>
      <c r="V53" s="419"/>
      <c r="W53" s="251">
        <v>9.5</v>
      </c>
      <c r="X53" s="251">
        <f>ROUNDDOWN(Table15[[#This Row],[R-DEMAND]]/1320,0)</f>
        <v>3</v>
      </c>
      <c r="Y53" s="251">
        <f>IFERROR(Table15[[#This Row],[ADD ACC
(660/1320)]]*Table15[[#This Row],[Duration
(B744)]],0)</f>
        <v>28.5</v>
      </c>
      <c r="Z53" s="251"/>
    </row>
    <row r="54" spans="1:26" ht="15.75" customHeight="1" x14ac:dyDescent="0.25">
      <c r="A54" s="210" t="s">
        <v>15740</v>
      </c>
      <c r="B54" s="204" t="s">
        <v>5300</v>
      </c>
      <c r="C54" s="204" t="s">
        <v>2</v>
      </c>
      <c r="D54" s="205">
        <v>3</v>
      </c>
      <c r="E54" s="204" t="s">
        <v>14</v>
      </c>
      <c r="F54" s="204" t="str">
        <f>VLOOKUP(E54,Table10[[COUNTRY NAME]:[CONTINENT CODE]],3,FALSE)</f>
        <v>AS</v>
      </c>
      <c r="G54" s="206" t="s">
        <v>12079</v>
      </c>
      <c r="H54" s="207">
        <v>4240</v>
      </c>
      <c r="I54" s="208">
        <v>11.5</v>
      </c>
      <c r="J54" s="345"/>
      <c r="K54" s="345">
        <f>IFERROR(Table15[[#This Row],[ROUTE $]]/Table15[[#This Row],[E - DEMAND]],0)</f>
        <v>0</v>
      </c>
      <c r="L54" s="204"/>
      <c r="M54" s="412">
        <f>IFERROR(VLOOKUP(Table15[[#This Row],[ROUTE]],DEMAND!A:F,5,FALSE),0)</f>
        <v>4529</v>
      </c>
      <c r="N54" s="16">
        <f>IFERROR(VLOOKUP(Table15[[#This Row],[ROUTE]],DEMAND!A:F,6,FALSE),0)</f>
        <v>4529</v>
      </c>
      <c r="O54" s="16">
        <f>IFERROR(ROUNDDOWN(Table15[[#This Row],[R-DEMAND]]/1706,0),0)</f>
        <v>2</v>
      </c>
      <c r="P54" s="16">
        <f>IFERROR(Table15[[#This Row],[ADD ACC]]*Table15[[#This Row],[RT TIME 
(380-800)]],0)</f>
        <v>23</v>
      </c>
      <c r="Q54" s="415">
        <f>IFERROR(VLOOKUP(Table15[[#This Row],[ROUTE]],PRICING!A:B,2,FALSE),0)</f>
        <v>0</v>
      </c>
      <c r="R54" s="235">
        <f>IFERROR(Table15[[#This Row],[C_DEMAND]]-Table15[[#This Row],[R-DEMAND]],0)</f>
        <v>0</v>
      </c>
      <c r="S54" s="408">
        <f t="shared" si="0"/>
        <v>0</v>
      </c>
      <c r="T54" s="419">
        <f>Table15[[#This Row],[R-DEMAND]]-(Table15[[#This Row],[ADD ACC]]*1706)</f>
        <v>1117</v>
      </c>
      <c r="U54" s="419">
        <f>ROUNDDOWN(Table15[[#This Row],[Column1]]/1360,0)</f>
        <v>0</v>
      </c>
      <c r="V54" s="419"/>
      <c r="W54" s="251">
        <v>11.5</v>
      </c>
      <c r="X54" s="251">
        <f>ROUNDDOWN(Table15[[#This Row],[R-DEMAND]]/1320,0)</f>
        <v>3</v>
      </c>
      <c r="Y54" s="251">
        <f>IFERROR(Table15[[#This Row],[ADD ACC
(660/1320)]]*Table15[[#This Row],[Duration
(B744)]],0)</f>
        <v>34.5</v>
      </c>
      <c r="Z54" s="251"/>
    </row>
    <row r="55" spans="1:26" ht="15.75" customHeight="1" x14ac:dyDescent="0.25">
      <c r="A55" s="210" t="s">
        <v>15680</v>
      </c>
      <c r="B55" s="204" t="s">
        <v>147</v>
      </c>
      <c r="C55" s="204" t="s">
        <v>2</v>
      </c>
      <c r="D55" s="205">
        <v>4</v>
      </c>
      <c r="E55" s="204" t="s">
        <v>14</v>
      </c>
      <c r="F55" s="204" t="str">
        <f>VLOOKUP(E55,Table10[[COUNTRY NAME]:[CONTINENT CODE]],3,FALSE)</f>
        <v>AS</v>
      </c>
      <c r="G55" s="206" t="s">
        <v>146</v>
      </c>
      <c r="H55" s="207">
        <v>4789</v>
      </c>
      <c r="I55" s="208">
        <v>12.75</v>
      </c>
      <c r="J55" s="345"/>
      <c r="K55" s="345">
        <f>IFERROR(Table15[[#This Row],[ROUTE $]]/Table15[[#This Row],[E - DEMAND]],0)</f>
        <v>0</v>
      </c>
      <c r="L55" s="204"/>
      <c r="M55" s="412">
        <f>IFERROR(VLOOKUP(Table15[[#This Row],[ROUTE]],DEMAND!A:F,5,FALSE),0)</f>
        <v>4527</v>
      </c>
      <c r="N55" s="16">
        <f>IFERROR(VLOOKUP(Table15[[#This Row],[ROUTE]],DEMAND!A:F,6,FALSE),0)</f>
        <v>4527</v>
      </c>
      <c r="O55" s="16">
        <f>IFERROR(ROUNDDOWN(Table15[[#This Row],[R-DEMAND]]/1706,0),0)</f>
        <v>2</v>
      </c>
      <c r="P55" s="16">
        <f>IFERROR(Table15[[#This Row],[ADD ACC]]*Table15[[#This Row],[RT TIME 
(380-800)]],0)</f>
        <v>25.5</v>
      </c>
      <c r="Q55" s="415">
        <f>IFERROR(VLOOKUP(Table15[[#This Row],[ROUTE]],PRICING!A:B,2,FALSE),0)</f>
        <v>0</v>
      </c>
      <c r="R55" s="235">
        <f>IFERROR(Table15[[#This Row],[C_DEMAND]]-Table15[[#This Row],[R-DEMAND]],0)</f>
        <v>0</v>
      </c>
      <c r="S55" s="408">
        <f t="shared" si="0"/>
        <v>0</v>
      </c>
      <c r="T55" s="419">
        <f>Table15[[#This Row],[R-DEMAND]]-(Table15[[#This Row],[ADD ACC]]*1706)</f>
        <v>1115</v>
      </c>
      <c r="U55" s="419">
        <f>ROUNDDOWN(Table15[[#This Row],[Column1]]/1360,0)</f>
        <v>0</v>
      </c>
      <c r="V55" s="419"/>
      <c r="W55" s="251">
        <v>12.75</v>
      </c>
      <c r="X55" s="251">
        <f>ROUNDDOWN(Table15[[#This Row],[R-DEMAND]]/1320,0)</f>
        <v>3</v>
      </c>
      <c r="Y55" s="251">
        <f>IFERROR(Table15[[#This Row],[ADD ACC
(660/1320)]]*Table15[[#This Row],[Duration
(B744)]],0)</f>
        <v>38.25</v>
      </c>
      <c r="Z55" s="251"/>
    </row>
    <row r="56" spans="1:26" ht="15.75" customHeight="1" x14ac:dyDescent="0.25">
      <c r="A56" s="210" t="s">
        <v>15727</v>
      </c>
      <c r="B56" s="204" t="s">
        <v>5331</v>
      </c>
      <c r="C56" s="204" t="s">
        <v>2</v>
      </c>
      <c r="D56" s="205">
        <v>3</v>
      </c>
      <c r="E56" s="204" t="s">
        <v>14</v>
      </c>
      <c r="F56" s="204" t="str">
        <f>VLOOKUP(E56,Table10[[COUNTRY NAME]:[CONTINENT CODE]],3,FALSE)</f>
        <v>AS</v>
      </c>
      <c r="G56" s="206" t="s">
        <v>12032</v>
      </c>
      <c r="H56" s="207">
        <v>4363</v>
      </c>
      <c r="I56" s="208">
        <v>11.75</v>
      </c>
      <c r="J56" s="345"/>
      <c r="K56" s="345">
        <f>IFERROR(Table15[[#This Row],[ROUTE $]]/Table15[[#This Row],[E - DEMAND]],0)</f>
        <v>0</v>
      </c>
      <c r="L56" s="204"/>
      <c r="M56" s="412">
        <f>IFERROR(VLOOKUP(Table15[[#This Row],[ROUTE]],DEMAND!A:F,5,FALSE),0)</f>
        <v>4522</v>
      </c>
      <c r="N56" s="16">
        <f>IFERROR(VLOOKUP(Table15[[#This Row],[ROUTE]],DEMAND!A:F,6,FALSE),0)</f>
        <v>4522</v>
      </c>
      <c r="O56" s="16">
        <f>IFERROR(ROUNDDOWN(Table15[[#This Row],[R-DEMAND]]/1706,0),0)</f>
        <v>2</v>
      </c>
      <c r="P56" s="16">
        <f>IFERROR(Table15[[#This Row],[ADD ACC]]*Table15[[#This Row],[RT TIME 
(380-800)]],0)</f>
        <v>23.5</v>
      </c>
      <c r="Q56" s="415">
        <f>IFERROR(VLOOKUP(Table15[[#This Row],[ROUTE]],PRICING!A:B,2,FALSE),0)</f>
        <v>0</v>
      </c>
      <c r="R56" s="235">
        <f>IFERROR(Table15[[#This Row],[C_DEMAND]]-Table15[[#This Row],[R-DEMAND]],0)</f>
        <v>0</v>
      </c>
      <c r="S56" s="408">
        <f t="shared" si="0"/>
        <v>0</v>
      </c>
      <c r="T56" s="419">
        <f>Table15[[#This Row],[R-DEMAND]]-(Table15[[#This Row],[ADD ACC]]*1706)</f>
        <v>1110</v>
      </c>
      <c r="U56" s="419">
        <f>ROUNDDOWN(Table15[[#This Row],[Column1]]/1360,0)</f>
        <v>0</v>
      </c>
      <c r="V56" s="419"/>
      <c r="W56" s="251">
        <v>11.75</v>
      </c>
      <c r="X56" s="251">
        <f>ROUNDDOWN(Table15[[#This Row],[R-DEMAND]]/1320,0)</f>
        <v>3</v>
      </c>
      <c r="Y56" s="251">
        <f>IFERROR(Table15[[#This Row],[ADD ACC
(660/1320)]]*Table15[[#This Row],[Duration
(B744)]],0)</f>
        <v>35.25</v>
      </c>
      <c r="Z56" s="251"/>
    </row>
    <row r="57" spans="1:26" ht="15.75" customHeight="1" x14ac:dyDescent="0.25">
      <c r="A57" s="210" t="s">
        <v>15786</v>
      </c>
      <c r="B57" s="204" t="s">
        <v>5373</v>
      </c>
      <c r="C57" s="204" t="s">
        <v>2</v>
      </c>
      <c r="D57" s="205">
        <v>3</v>
      </c>
      <c r="E57" s="204" t="s">
        <v>14</v>
      </c>
      <c r="F57" s="204" t="str">
        <f>VLOOKUP(E57,Table10[[COUNTRY NAME]:[CONTINENT CODE]],3,FALSE)</f>
        <v>AS</v>
      </c>
      <c r="G57" s="206" t="s">
        <v>12077</v>
      </c>
      <c r="H57" s="207">
        <v>3876</v>
      </c>
      <c r="I57" s="208">
        <v>10.75</v>
      </c>
      <c r="J57" s="345"/>
      <c r="K57" s="345">
        <f>IFERROR(Table15[[#This Row],[ROUTE $]]/Table15[[#This Row],[E - DEMAND]],0)</f>
        <v>0</v>
      </c>
      <c r="L57" s="204"/>
      <c r="M57" s="412">
        <f>IFERROR(VLOOKUP(Table15[[#This Row],[ROUTE]],DEMAND!A:F,5,FALSE),0)</f>
        <v>4496</v>
      </c>
      <c r="N57" s="16">
        <f>IFERROR(VLOOKUP(Table15[[#This Row],[ROUTE]],DEMAND!A:F,6,FALSE),0)</f>
        <v>4496</v>
      </c>
      <c r="O57" s="16">
        <f>IFERROR(ROUNDDOWN(Table15[[#This Row],[R-DEMAND]]/1706,0),0)</f>
        <v>2</v>
      </c>
      <c r="P57" s="16">
        <f>IFERROR(Table15[[#This Row],[ADD ACC]]*Table15[[#This Row],[RT TIME 
(380-800)]],0)</f>
        <v>21.5</v>
      </c>
      <c r="Q57" s="415">
        <f>IFERROR(VLOOKUP(Table15[[#This Row],[ROUTE]],PRICING!A:B,2,FALSE),0)</f>
        <v>0</v>
      </c>
      <c r="R57" s="235">
        <f>IFERROR(Table15[[#This Row],[C_DEMAND]]-Table15[[#This Row],[R-DEMAND]],0)</f>
        <v>0</v>
      </c>
      <c r="S57" s="408">
        <f t="shared" si="0"/>
        <v>0</v>
      </c>
      <c r="T57" s="419">
        <f>Table15[[#This Row],[R-DEMAND]]-(Table15[[#This Row],[ADD ACC]]*1706)</f>
        <v>1084</v>
      </c>
      <c r="U57" s="419">
        <f>ROUNDDOWN(Table15[[#This Row],[Column1]]/1360,0)</f>
        <v>0</v>
      </c>
      <c r="V57" s="419"/>
      <c r="W57" s="251">
        <v>10.75</v>
      </c>
      <c r="X57" s="251">
        <f>ROUNDDOWN(Table15[[#This Row],[R-DEMAND]]/1320,0)</f>
        <v>3</v>
      </c>
      <c r="Y57" s="251">
        <f>IFERROR(Table15[[#This Row],[ADD ACC
(660/1320)]]*Table15[[#This Row],[Duration
(B744)]],0)</f>
        <v>32.25</v>
      </c>
      <c r="Z57" s="251"/>
    </row>
    <row r="58" spans="1:26" ht="15.75" customHeight="1" x14ac:dyDescent="0.25">
      <c r="A58" s="210" t="s">
        <v>15639</v>
      </c>
      <c r="B58" s="204" t="s">
        <v>337</v>
      </c>
      <c r="C58" s="204" t="s">
        <v>2</v>
      </c>
      <c r="D58" s="205">
        <v>4</v>
      </c>
      <c r="E58" s="204" t="s">
        <v>14</v>
      </c>
      <c r="F58" s="204" t="str">
        <f>VLOOKUP(E58,Table10[[COUNTRY NAME]:[CONTINENT CODE]],3,FALSE)</f>
        <v>AS</v>
      </c>
      <c r="G58" s="206" t="s">
        <v>336</v>
      </c>
      <c r="H58" s="207">
        <v>5149</v>
      </c>
      <c r="I58" s="208">
        <v>13.5</v>
      </c>
      <c r="J58" s="345"/>
      <c r="K58" s="345">
        <f>IFERROR(Table15[[#This Row],[ROUTE $]]/Table15[[#This Row],[E - DEMAND]],0)</f>
        <v>0</v>
      </c>
      <c r="L58" s="204"/>
      <c r="M58" s="412">
        <f>IFERROR(VLOOKUP(Table15[[#This Row],[ROUTE]],DEMAND!A:F,5,FALSE),0)</f>
        <v>4467</v>
      </c>
      <c r="N58" s="16">
        <f>IFERROR(VLOOKUP(Table15[[#This Row],[ROUTE]],DEMAND!A:F,6,FALSE),0)</f>
        <v>4467</v>
      </c>
      <c r="O58" s="16">
        <f>IFERROR(ROUNDDOWN(Table15[[#This Row],[R-DEMAND]]/1706,0),0)</f>
        <v>2</v>
      </c>
      <c r="P58" s="16">
        <f>IFERROR(Table15[[#This Row],[ADD ACC]]*Table15[[#This Row],[RT TIME 
(380-800)]],0)</f>
        <v>27</v>
      </c>
      <c r="Q58" s="415">
        <f>IFERROR(VLOOKUP(Table15[[#This Row],[ROUTE]],PRICING!A:B,2,FALSE),0)</f>
        <v>0</v>
      </c>
      <c r="R58" s="235">
        <f>IFERROR(Table15[[#This Row],[C_DEMAND]]-Table15[[#This Row],[R-DEMAND]],0)</f>
        <v>0</v>
      </c>
      <c r="S58" s="408">
        <f t="shared" si="0"/>
        <v>0</v>
      </c>
      <c r="T58" s="419">
        <f>Table15[[#This Row],[R-DEMAND]]-(Table15[[#This Row],[ADD ACC]]*1706)</f>
        <v>1055</v>
      </c>
      <c r="U58" s="419">
        <f>ROUNDDOWN(Table15[[#This Row],[Column1]]/1360,0)</f>
        <v>0</v>
      </c>
      <c r="V58" s="419"/>
      <c r="W58" s="251">
        <v>13.5</v>
      </c>
      <c r="X58" s="251">
        <f>ROUNDDOWN(Table15[[#This Row],[R-DEMAND]]/1320,0)</f>
        <v>3</v>
      </c>
      <c r="Y58" s="251">
        <f>IFERROR(Table15[[#This Row],[ADD ACC
(660/1320)]]*Table15[[#This Row],[Duration
(B744)]],0)</f>
        <v>40.5</v>
      </c>
      <c r="Z58" s="251"/>
    </row>
    <row r="59" spans="1:26" ht="15.75" customHeight="1" x14ac:dyDescent="0.25">
      <c r="A59" s="210" t="s">
        <v>15696</v>
      </c>
      <c r="B59" s="204" t="s">
        <v>5597</v>
      </c>
      <c r="C59" s="204" t="s">
        <v>2</v>
      </c>
      <c r="D59" s="205">
        <v>4</v>
      </c>
      <c r="E59" s="204" t="s">
        <v>14</v>
      </c>
      <c r="F59" s="204" t="str">
        <f>VLOOKUP(E59,Table10[[COUNTRY NAME]:[CONTINENT CODE]],3,FALSE)</f>
        <v>AS</v>
      </c>
      <c r="G59" s="206" t="s">
        <v>11027</v>
      </c>
      <c r="H59" s="207">
        <v>4692</v>
      </c>
      <c r="I59" s="208">
        <v>12.5</v>
      </c>
      <c r="J59" s="345"/>
      <c r="K59" s="345">
        <f>IFERROR(Table15[[#This Row],[ROUTE $]]/Table15[[#This Row],[E - DEMAND]],0)</f>
        <v>0</v>
      </c>
      <c r="L59" s="204"/>
      <c r="M59" s="412">
        <f>IFERROR(VLOOKUP(Table15[[#This Row],[ROUTE]],DEMAND!A:F,5,FALSE),0)</f>
        <v>4464</v>
      </c>
      <c r="N59" s="16">
        <f>IFERROR(VLOOKUP(Table15[[#This Row],[ROUTE]],DEMAND!A:F,6,FALSE),0)</f>
        <v>4464</v>
      </c>
      <c r="O59" s="16">
        <f>IFERROR(ROUNDDOWN(Table15[[#This Row],[R-DEMAND]]/1706,0),0)</f>
        <v>2</v>
      </c>
      <c r="P59" s="16">
        <f>IFERROR(Table15[[#This Row],[ADD ACC]]*Table15[[#This Row],[RT TIME 
(380-800)]],0)</f>
        <v>25</v>
      </c>
      <c r="Q59" s="415">
        <f>IFERROR(VLOOKUP(Table15[[#This Row],[ROUTE]],PRICING!A:B,2,FALSE),0)</f>
        <v>0</v>
      </c>
      <c r="R59" s="235">
        <f>IFERROR(Table15[[#This Row],[C_DEMAND]]-Table15[[#This Row],[R-DEMAND]],0)</f>
        <v>0</v>
      </c>
      <c r="S59" s="408">
        <f t="shared" si="0"/>
        <v>0</v>
      </c>
      <c r="T59" s="419">
        <f>Table15[[#This Row],[R-DEMAND]]-(Table15[[#This Row],[ADD ACC]]*1706)</f>
        <v>1052</v>
      </c>
      <c r="U59" s="419">
        <f>ROUNDDOWN(Table15[[#This Row],[Column1]]/1360,0)</f>
        <v>0</v>
      </c>
      <c r="V59" s="419"/>
      <c r="W59" s="251">
        <v>12.5</v>
      </c>
      <c r="X59" s="251">
        <f>ROUNDDOWN(Table15[[#This Row],[R-DEMAND]]/1320,0)</f>
        <v>3</v>
      </c>
      <c r="Y59" s="251">
        <f>IFERROR(Table15[[#This Row],[ADD ACC
(660/1320)]]*Table15[[#This Row],[Duration
(B744)]],0)</f>
        <v>37.5</v>
      </c>
      <c r="Z59" s="251"/>
    </row>
    <row r="60" spans="1:26" ht="15.75" customHeight="1" x14ac:dyDescent="0.25">
      <c r="A60" s="210" t="s">
        <v>15751</v>
      </c>
      <c r="B60" s="204" t="s">
        <v>4640</v>
      </c>
      <c r="C60" s="204" t="s">
        <v>2</v>
      </c>
      <c r="D60" s="205">
        <v>2</v>
      </c>
      <c r="E60" s="204" t="s">
        <v>1124</v>
      </c>
      <c r="F60" s="204" t="str">
        <f>VLOOKUP(E60,Table10[[COUNTRY NAME]:[CONTINENT CODE]],3,FALSE)</f>
        <v>AF</v>
      </c>
      <c r="G60" s="206" t="s">
        <v>11878</v>
      </c>
      <c r="H60" s="207">
        <v>4165</v>
      </c>
      <c r="I60" s="208">
        <v>11.25</v>
      </c>
      <c r="J60" s="345"/>
      <c r="K60" s="345">
        <f>IFERROR(Table15[[#This Row],[ROUTE $]]/Table15[[#This Row],[E - DEMAND]],0)</f>
        <v>0</v>
      </c>
      <c r="L60" s="204"/>
      <c r="M60" s="412">
        <f>IFERROR(VLOOKUP(Table15[[#This Row],[ROUTE]],DEMAND!A:F,5,FALSE),0)</f>
        <v>4463</v>
      </c>
      <c r="N60" s="16">
        <f>IFERROR(VLOOKUP(Table15[[#This Row],[ROUTE]],DEMAND!A:F,6,FALSE),0)</f>
        <v>4463</v>
      </c>
      <c r="O60" s="16">
        <f>IFERROR(ROUNDDOWN(Table15[[#This Row],[R-DEMAND]]/1706,0),0)</f>
        <v>2</v>
      </c>
      <c r="P60" s="16">
        <f>IFERROR(Table15[[#This Row],[ADD ACC]]*Table15[[#This Row],[RT TIME 
(380-800)]],0)</f>
        <v>22.5</v>
      </c>
      <c r="Q60" s="415">
        <f>IFERROR(VLOOKUP(Table15[[#This Row],[ROUTE]],PRICING!A:B,2,FALSE),0)</f>
        <v>0</v>
      </c>
      <c r="R60" s="235">
        <f>IFERROR(Table15[[#This Row],[C_DEMAND]]-Table15[[#This Row],[R-DEMAND]],0)</f>
        <v>0</v>
      </c>
      <c r="S60" s="408">
        <f t="shared" si="0"/>
        <v>0</v>
      </c>
      <c r="T60" s="419">
        <f>Table15[[#This Row],[R-DEMAND]]-(Table15[[#This Row],[ADD ACC]]*1706)</f>
        <v>1051</v>
      </c>
      <c r="U60" s="419">
        <f>ROUNDDOWN(Table15[[#This Row],[Column1]]/1360,0)</f>
        <v>0</v>
      </c>
      <c r="V60" s="419"/>
      <c r="W60" s="251">
        <v>11.25</v>
      </c>
      <c r="X60" s="251">
        <f>ROUNDDOWN(Table15[[#This Row],[R-DEMAND]]/1320,0)</f>
        <v>3</v>
      </c>
      <c r="Y60" s="251">
        <f>IFERROR(Table15[[#This Row],[ADD ACC
(660/1320)]]*Table15[[#This Row],[Duration
(B744)]],0)</f>
        <v>33.75</v>
      </c>
      <c r="Z60" s="251"/>
    </row>
    <row r="61" spans="1:26" ht="15.75" customHeight="1" x14ac:dyDescent="0.25">
      <c r="A61" s="210" t="s">
        <v>15717</v>
      </c>
      <c r="B61" s="204" t="s">
        <v>5265</v>
      </c>
      <c r="C61" s="204" t="s">
        <v>2</v>
      </c>
      <c r="D61" s="205">
        <v>3</v>
      </c>
      <c r="E61" s="204" t="s">
        <v>14</v>
      </c>
      <c r="F61" s="204" t="str">
        <f>VLOOKUP(E61,Table10[[COUNTRY NAME]:[CONTINENT CODE]],3,FALSE)</f>
        <v>AS</v>
      </c>
      <c r="G61" s="206" t="s">
        <v>12061</v>
      </c>
      <c r="H61" s="207">
        <v>4480</v>
      </c>
      <c r="I61" s="208">
        <v>12</v>
      </c>
      <c r="J61" s="345"/>
      <c r="K61" s="345">
        <f>IFERROR(Table15[[#This Row],[ROUTE $]]/Table15[[#This Row],[E - DEMAND]],0)</f>
        <v>0</v>
      </c>
      <c r="L61" s="204"/>
      <c r="M61" s="412">
        <f>IFERROR(VLOOKUP(Table15[[#This Row],[ROUTE]],DEMAND!A:F,5,FALSE),0)</f>
        <v>4397</v>
      </c>
      <c r="N61" s="16">
        <f>IFERROR(VLOOKUP(Table15[[#This Row],[ROUTE]],DEMAND!A:F,6,FALSE),0)</f>
        <v>4397</v>
      </c>
      <c r="O61" s="16">
        <f>IFERROR(ROUNDDOWN(Table15[[#This Row],[R-DEMAND]]/1706,0),0)</f>
        <v>2</v>
      </c>
      <c r="P61" s="16">
        <f>IFERROR(Table15[[#This Row],[ADD ACC]]*Table15[[#This Row],[RT TIME 
(380-800)]],0)</f>
        <v>24</v>
      </c>
      <c r="Q61" s="415">
        <f>IFERROR(VLOOKUP(Table15[[#This Row],[ROUTE]],PRICING!A:B,2,FALSE),0)</f>
        <v>0</v>
      </c>
      <c r="R61" s="235">
        <f>IFERROR(Table15[[#This Row],[C_DEMAND]]-Table15[[#This Row],[R-DEMAND]],0)</f>
        <v>0</v>
      </c>
      <c r="S61" s="408">
        <f t="shared" si="0"/>
        <v>0</v>
      </c>
      <c r="T61" s="419">
        <f>Table15[[#This Row],[R-DEMAND]]-(Table15[[#This Row],[ADD ACC]]*1706)</f>
        <v>985</v>
      </c>
      <c r="U61" s="419">
        <f>ROUNDDOWN(Table15[[#This Row],[Column1]]/1360,0)</f>
        <v>0</v>
      </c>
      <c r="V61" s="419"/>
      <c r="W61" s="251">
        <v>12</v>
      </c>
      <c r="X61" s="251">
        <f>ROUNDDOWN(Table15[[#This Row],[R-DEMAND]]/1320,0)</f>
        <v>3</v>
      </c>
      <c r="Y61" s="251">
        <f>IFERROR(Table15[[#This Row],[ADD ACC
(660/1320)]]*Table15[[#This Row],[Duration
(B744)]],0)</f>
        <v>36</v>
      </c>
      <c r="Z61" s="251"/>
    </row>
    <row r="62" spans="1:26" ht="15.75" customHeight="1" x14ac:dyDescent="0.25">
      <c r="A62" s="210" t="s">
        <v>15768</v>
      </c>
      <c r="B62" s="204" t="s">
        <v>4445</v>
      </c>
      <c r="C62" s="204" t="s">
        <v>2</v>
      </c>
      <c r="D62" s="205">
        <v>2</v>
      </c>
      <c r="E62" s="204" t="s">
        <v>1124</v>
      </c>
      <c r="F62" s="204" t="str">
        <f>VLOOKUP(E62,Table10[[COUNTRY NAME]:[CONTINENT CODE]],3,FALSE)</f>
        <v>AF</v>
      </c>
      <c r="G62" s="206" t="s">
        <v>11894</v>
      </c>
      <c r="H62" s="207">
        <v>3990</v>
      </c>
      <c r="I62" s="208">
        <v>11</v>
      </c>
      <c r="J62" s="345"/>
      <c r="K62" s="345">
        <f>IFERROR(Table15[[#This Row],[ROUTE $]]/Table15[[#This Row],[E - DEMAND]],0)</f>
        <v>0</v>
      </c>
      <c r="L62" s="204"/>
      <c r="M62" s="412">
        <f>IFERROR(VLOOKUP(Table15[[#This Row],[ROUTE]],DEMAND!A:F,5,FALSE),0)</f>
        <v>4389</v>
      </c>
      <c r="N62" s="16">
        <f>IFERROR(VLOOKUP(Table15[[#This Row],[ROUTE]],DEMAND!A:F,6,FALSE),0)</f>
        <v>4389</v>
      </c>
      <c r="O62" s="16">
        <f>IFERROR(ROUNDDOWN(Table15[[#This Row],[R-DEMAND]]/1706,0),0)</f>
        <v>2</v>
      </c>
      <c r="P62" s="16">
        <f>IFERROR(Table15[[#This Row],[ADD ACC]]*Table15[[#This Row],[RT TIME 
(380-800)]],0)</f>
        <v>22</v>
      </c>
      <c r="Q62" s="415">
        <f>IFERROR(VLOOKUP(Table15[[#This Row],[ROUTE]],PRICING!A:B,2,FALSE),0)</f>
        <v>0</v>
      </c>
      <c r="R62" s="235">
        <f>IFERROR(Table15[[#This Row],[C_DEMAND]]-Table15[[#This Row],[R-DEMAND]],0)</f>
        <v>0</v>
      </c>
      <c r="S62" s="408">
        <f t="shared" si="0"/>
        <v>0</v>
      </c>
      <c r="T62" s="419">
        <f>Table15[[#This Row],[R-DEMAND]]-(Table15[[#This Row],[ADD ACC]]*1706)</f>
        <v>977</v>
      </c>
      <c r="U62" s="419">
        <f>ROUNDDOWN(Table15[[#This Row],[Column1]]/1360,0)</f>
        <v>0</v>
      </c>
      <c r="V62" s="419"/>
      <c r="W62" s="251">
        <v>11</v>
      </c>
      <c r="X62" s="251">
        <f>ROUNDDOWN(Table15[[#This Row],[R-DEMAND]]/1320,0)</f>
        <v>3</v>
      </c>
      <c r="Y62" s="251">
        <f>IFERROR(Table15[[#This Row],[ADD ACC
(660/1320)]]*Table15[[#This Row],[Duration
(B744)]],0)</f>
        <v>33</v>
      </c>
      <c r="Z62" s="251"/>
    </row>
    <row r="63" spans="1:26" ht="15.75" customHeight="1" x14ac:dyDescent="0.25">
      <c r="A63" s="210" t="s">
        <v>15654</v>
      </c>
      <c r="B63" s="204" t="s">
        <v>5511</v>
      </c>
      <c r="C63" s="204" t="s">
        <v>2</v>
      </c>
      <c r="D63" s="205">
        <v>4</v>
      </c>
      <c r="E63" s="204" t="s">
        <v>78</v>
      </c>
      <c r="F63" s="204" t="str">
        <f>VLOOKUP(E63,Table10[[COUNTRY NAME]:[CONTINENT CODE]],3,FALSE)</f>
        <v>EU</v>
      </c>
      <c r="G63" s="210" t="s">
        <v>11030</v>
      </c>
      <c r="H63" s="207">
        <v>5033</v>
      </c>
      <c r="I63" s="208">
        <v>13.25</v>
      </c>
      <c r="J63" s="345"/>
      <c r="K63" s="345">
        <f>IFERROR(Table15[[#This Row],[ROUTE $]]/Table15[[#This Row],[E - DEMAND]],0)</f>
        <v>0</v>
      </c>
      <c r="L63" s="204"/>
      <c r="M63" s="412">
        <f>IFERROR(VLOOKUP(Table15[[#This Row],[ROUTE]],DEMAND!A:F,5,FALSE),0)</f>
        <v>4388</v>
      </c>
      <c r="N63" s="16">
        <f>IFERROR(VLOOKUP(Table15[[#This Row],[ROUTE]],DEMAND!A:F,6,FALSE),0)</f>
        <v>4388</v>
      </c>
      <c r="O63" s="16">
        <f>IFERROR(ROUNDDOWN(Table15[[#This Row],[R-DEMAND]]/1706,0),0)</f>
        <v>2</v>
      </c>
      <c r="P63" s="16">
        <f>IFERROR(Table15[[#This Row],[ADD ACC]]*Table15[[#This Row],[RT TIME 
(380-800)]],0)</f>
        <v>26.5</v>
      </c>
      <c r="Q63" s="415">
        <f>IFERROR(VLOOKUP(Table15[[#This Row],[ROUTE]],PRICING!A:B,2,FALSE),0)</f>
        <v>0</v>
      </c>
      <c r="R63" s="235">
        <f>IFERROR(Table15[[#This Row],[C_DEMAND]]-Table15[[#This Row],[R-DEMAND]],0)</f>
        <v>0</v>
      </c>
      <c r="S63" s="408">
        <f t="shared" si="0"/>
        <v>0</v>
      </c>
      <c r="T63" s="419">
        <f>Table15[[#This Row],[R-DEMAND]]-(Table15[[#This Row],[ADD ACC]]*1706)</f>
        <v>976</v>
      </c>
      <c r="U63" s="419">
        <f>ROUNDDOWN(Table15[[#This Row],[Column1]]/1360,0)</f>
        <v>0</v>
      </c>
      <c r="V63" s="419"/>
      <c r="W63" s="251">
        <v>13.25</v>
      </c>
      <c r="X63" s="251">
        <f>ROUNDDOWN(Table15[[#This Row],[R-DEMAND]]/1320,0)</f>
        <v>3</v>
      </c>
      <c r="Y63" s="251">
        <f>IFERROR(Table15[[#This Row],[ADD ACC
(660/1320)]]*Table15[[#This Row],[Duration
(B744)]],0)</f>
        <v>39.75</v>
      </c>
      <c r="Z63" s="251"/>
    </row>
    <row r="64" spans="1:26" ht="15.75" customHeight="1" x14ac:dyDescent="0.25">
      <c r="A64" s="210" t="s">
        <v>15800</v>
      </c>
      <c r="B64" s="204" t="s">
        <v>341</v>
      </c>
      <c r="C64" s="204" t="s">
        <v>2</v>
      </c>
      <c r="D64" s="205">
        <v>3</v>
      </c>
      <c r="E64" s="204" t="s">
        <v>1314</v>
      </c>
      <c r="F64" s="204" t="str">
        <f>VLOOKUP(E64,Table10[[COUNTRY NAME]:[CONTINENT CODE]],3,FALSE)</f>
        <v>AS</v>
      </c>
      <c r="G64" s="206" t="s">
        <v>12096</v>
      </c>
      <c r="H64" s="207">
        <v>3755</v>
      </c>
      <c r="I64" s="208">
        <v>10.5</v>
      </c>
      <c r="J64" s="345"/>
      <c r="K64" s="345">
        <f>IFERROR(Table15[[#This Row],[ROUTE $]]/Table15[[#This Row],[E - DEMAND]],0)</f>
        <v>0</v>
      </c>
      <c r="L64" s="204"/>
      <c r="M64" s="412">
        <f>IFERROR(VLOOKUP(Table15[[#This Row],[ROUTE]],DEMAND!A:F,5,FALSE),0)</f>
        <v>4376</v>
      </c>
      <c r="N64" s="16">
        <f>IFERROR(VLOOKUP(Table15[[#This Row],[ROUTE]],DEMAND!A:F,6,FALSE),0)</f>
        <v>4376</v>
      </c>
      <c r="O64" s="16">
        <f>IFERROR(ROUNDDOWN(Table15[[#This Row],[R-DEMAND]]/1706,0),0)</f>
        <v>2</v>
      </c>
      <c r="P64" s="16">
        <f>IFERROR(Table15[[#This Row],[ADD ACC]]*Table15[[#This Row],[RT TIME 
(380-800)]],0)</f>
        <v>21</v>
      </c>
      <c r="Q64" s="415">
        <f>IFERROR(VLOOKUP(Table15[[#This Row],[ROUTE]],PRICING!A:B,2,FALSE),0)</f>
        <v>0</v>
      </c>
      <c r="R64" s="235">
        <f>IFERROR(Table15[[#This Row],[C_DEMAND]]-Table15[[#This Row],[R-DEMAND]],0)</f>
        <v>0</v>
      </c>
      <c r="S64" s="408">
        <f t="shared" si="0"/>
        <v>0</v>
      </c>
      <c r="T64" s="419">
        <f>Table15[[#This Row],[R-DEMAND]]-(Table15[[#This Row],[ADD ACC]]*1706)</f>
        <v>964</v>
      </c>
      <c r="U64" s="419">
        <f>ROUNDDOWN(Table15[[#This Row],[Column1]]/1360,0)</f>
        <v>0</v>
      </c>
      <c r="V64" s="419"/>
      <c r="W64" s="251">
        <v>10.5</v>
      </c>
      <c r="X64" s="251">
        <f>ROUNDDOWN(Table15[[#This Row],[R-DEMAND]]/1320,0)</f>
        <v>3</v>
      </c>
      <c r="Y64" s="251">
        <f>IFERROR(Table15[[#This Row],[ADD ACC
(660/1320)]]*Table15[[#This Row],[Duration
(B744)]],0)</f>
        <v>31.5</v>
      </c>
      <c r="Z64" s="251"/>
    </row>
    <row r="65" spans="1:26" ht="15.75" customHeight="1" x14ac:dyDescent="0.25">
      <c r="A65" s="210" t="s">
        <v>15725</v>
      </c>
      <c r="B65" s="204" t="s">
        <v>5149</v>
      </c>
      <c r="C65" s="204" t="s">
        <v>2</v>
      </c>
      <c r="D65" s="205">
        <v>3</v>
      </c>
      <c r="E65" s="204" t="s">
        <v>14</v>
      </c>
      <c r="F65" s="204" t="str">
        <f>VLOOKUP(E65,Table10[[COUNTRY NAME]:[CONTINENT CODE]],3,FALSE)</f>
        <v>AS</v>
      </c>
      <c r="G65" s="206" t="s">
        <v>12019</v>
      </c>
      <c r="H65" s="207">
        <v>4411</v>
      </c>
      <c r="I65" s="208">
        <v>12</v>
      </c>
      <c r="J65" s="345"/>
      <c r="K65" s="345">
        <f>IFERROR(Table15[[#This Row],[ROUTE $]]/Table15[[#This Row],[E - DEMAND]],0)</f>
        <v>0</v>
      </c>
      <c r="L65" s="204"/>
      <c r="M65" s="412">
        <f>IFERROR(VLOOKUP(Table15[[#This Row],[ROUTE]],DEMAND!A:F,5,FALSE),0)</f>
        <v>4358</v>
      </c>
      <c r="N65" s="16">
        <f>IFERROR(VLOOKUP(Table15[[#This Row],[ROUTE]],DEMAND!A:F,6,FALSE),0)</f>
        <v>4358</v>
      </c>
      <c r="O65" s="16">
        <f>IFERROR(ROUNDDOWN(Table15[[#This Row],[R-DEMAND]]/1706,0),0)</f>
        <v>2</v>
      </c>
      <c r="P65" s="16">
        <f>IFERROR(Table15[[#This Row],[ADD ACC]]*Table15[[#This Row],[RT TIME 
(380-800)]],0)</f>
        <v>24</v>
      </c>
      <c r="Q65" s="415">
        <f>IFERROR(VLOOKUP(Table15[[#This Row],[ROUTE]],PRICING!A:B,2,FALSE),0)</f>
        <v>0</v>
      </c>
      <c r="R65" s="235">
        <f>IFERROR(Table15[[#This Row],[C_DEMAND]]-Table15[[#This Row],[R-DEMAND]],0)</f>
        <v>0</v>
      </c>
      <c r="S65" s="408">
        <f t="shared" si="0"/>
        <v>0</v>
      </c>
      <c r="T65" s="419">
        <f>Table15[[#This Row],[R-DEMAND]]-(Table15[[#This Row],[ADD ACC]]*1706)</f>
        <v>946</v>
      </c>
      <c r="U65" s="419">
        <f>ROUNDDOWN(Table15[[#This Row],[Column1]]/1360,0)</f>
        <v>0</v>
      </c>
      <c r="V65" s="419"/>
      <c r="W65" s="251">
        <v>12</v>
      </c>
      <c r="X65" s="251">
        <f>ROUNDDOWN(Table15[[#This Row],[R-DEMAND]]/1320,0)</f>
        <v>3</v>
      </c>
      <c r="Y65" s="251">
        <f>IFERROR(Table15[[#This Row],[ADD ACC
(660/1320)]]*Table15[[#This Row],[Duration
(B744)]],0)</f>
        <v>36</v>
      </c>
      <c r="Z65" s="251"/>
    </row>
    <row r="66" spans="1:26" ht="15.75" customHeight="1" x14ac:dyDescent="0.25">
      <c r="A66" s="210" t="s">
        <v>15627</v>
      </c>
      <c r="B66" s="204" t="s">
        <v>95</v>
      </c>
      <c r="C66" s="204" t="s">
        <v>2</v>
      </c>
      <c r="D66" s="205">
        <v>4</v>
      </c>
      <c r="E66" s="204" t="s">
        <v>14</v>
      </c>
      <c r="F66" s="204" t="str">
        <f>VLOOKUP(E66,Table10[[COUNTRY NAME]:[CONTINENT CODE]],3,FALSE)</f>
        <v>AS</v>
      </c>
      <c r="G66" s="206" t="s">
        <v>94</v>
      </c>
      <c r="H66" s="207">
        <v>5370</v>
      </c>
      <c r="I66" s="208">
        <v>14</v>
      </c>
      <c r="J66" s="345"/>
      <c r="K66" s="345">
        <f>IFERROR(Table15[[#This Row],[ROUTE $]]/Table15[[#This Row],[E - DEMAND]],0)</f>
        <v>0</v>
      </c>
      <c r="L66" s="204"/>
      <c r="M66" s="412">
        <f>IFERROR(VLOOKUP(Table15[[#This Row],[ROUTE]],DEMAND!A:F,5,FALSE),0)</f>
        <v>4356</v>
      </c>
      <c r="N66" s="16">
        <f>IFERROR(VLOOKUP(Table15[[#This Row],[ROUTE]],DEMAND!A:F,6,FALSE),0)</f>
        <v>4356</v>
      </c>
      <c r="O66" s="16">
        <f>IFERROR(ROUNDDOWN(Table15[[#This Row],[R-DEMAND]]/1706,0),0)</f>
        <v>2</v>
      </c>
      <c r="P66" s="16">
        <f>IFERROR(Table15[[#This Row],[ADD ACC]]*Table15[[#This Row],[RT TIME 
(380-800)]],0)</f>
        <v>28</v>
      </c>
      <c r="Q66" s="415">
        <f>IFERROR(VLOOKUP(Table15[[#This Row],[ROUTE]],PRICING!A:B,2,FALSE),0)</f>
        <v>0</v>
      </c>
      <c r="R66" s="235">
        <f>IFERROR(Table15[[#This Row],[C_DEMAND]]-Table15[[#This Row],[R-DEMAND]],0)</f>
        <v>0</v>
      </c>
      <c r="S66" s="408">
        <f t="shared" si="0"/>
        <v>0</v>
      </c>
      <c r="T66" s="419">
        <f>Table15[[#This Row],[R-DEMAND]]-(Table15[[#This Row],[ADD ACC]]*1706)</f>
        <v>944</v>
      </c>
      <c r="U66" s="419">
        <f>ROUNDDOWN(Table15[[#This Row],[Column1]]/1360,0)</f>
        <v>0</v>
      </c>
      <c r="V66" s="419"/>
      <c r="W66" s="251">
        <v>14</v>
      </c>
      <c r="X66" s="251">
        <f>ROUNDDOWN(Table15[[#This Row],[R-DEMAND]]/1320,0)</f>
        <v>3</v>
      </c>
      <c r="Y66" s="251">
        <f>IFERROR(Table15[[#This Row],[ADD ACC
(660/1320)]]*Table15[[#This Row],[Duration
(B744)]],0)</f>
        <v>42</v>
      </c>
      <c r="Z66" s="251"/>
    </row>
    <row r="67" spans="1:26" ht="15.75" customHeight="1" x14ac:dyDescent="0.25">
      <c r="A67" s="210" t="s">
        <v>15915</v>
      </c>
      <c r="B67" s="204" t="s">
        <v>8728</v>
      </c>
      <c r="C67" s="204" t="s">
        <v>67</v>
      </c>
      <c r="D67" s="205">
        <v>3</v>
      </c>
      <c r="E67" s="204" t="s">
        <v>14</v>
      </c>
      <c r="F67" s="204" t="str">
        <f>VLOOKUP(E67,Table10[[COUNTRY NAME]:[CONTINENT CODE]],3,FALSE)</f>
        <v>AS</v>
      </c>
      <c r="G67" s="206" t="s">
        <v>12054</v>
      </c>
      <c r="H67" s="207">
        <v>2148</v>
      </c>
      <c r="I67" s="208">
        <v>7</v>
      </c>
      <c r="J67" s="345"/>
      <c r="K67" s="345">
        <f>IFERROR(Table15[[#This Row],[ROUTE $]]/Table15[[#This Row],[E - DEMAND]],0)</f>
        <v>0</v>
      </c>
      <c r="L67" s="204"/>
      <c r="M67" s="412">
        <f>IFERROR(VLOOKUP(Table15[[#This Row],[ROUTE]],DEMAND!A:F,5,FALSE),0)</f>
        <v>4346</v>
      </c>
      <c r="N67" s="16">
        <f>IFERROR(VLOOKUP(Table15[[#This Row],[ROUTE]],DEMAND!A:F,6,FALSE),0)</f>
        <v>4346</v>
      </c>
      <c r="O67" s="16">
        <f>IFERROR(ROUNDDOWN(Table15[[#This Row],[R-DEMAND]]/1706,0),0)</f>
        <v>2</v>
      </c>
      <c r="P67" s="16">
        <f>IFERROR(Table15[[#This Row],[ADD ACC]]*Table15[[#This Row],[RT TIME 
(380-800)]],0)</f>
        <v>14</v>
      </c>
      <c r="Q67" s="415">
        <f>IFERROR(VLOOKUP(Table15[[#This Row],[ROUTE]],PRICING!A:B,2,FALSE),0)</f>
        <v>0</v>
      </c>
      <c r="R67" s="235">
        <f>IFERROR(Table15[[#This Row],[C_DEMAND]]-Table15[[#This Row],[R-DEMAND]],0)</f>
        <v>0</v>
      </c>
      <c r="S67" s="408">
        <f t="shared" ref="S67:S130" si="1">IFERROR(R67*Q67,0)</f>
        <v>0</v>
      </c>
      <c r="T67" s="419">
        <f>Table15[[#This Row],[R-DEMAND]]-(Table15[[#This Row],[ADD ACC]]*1706)</f>
        <v>934</v>
      </c>
      <c r="U67" s="419">
        <f>ROUNDDOWN(Table15[[#This Row],[Column1]]/1360,0)</f>
        <v>0</v>
      </c>
      <c r="V67" s="419"/>
      <c r="W67" s="251">
        <v>7</v>
      </c>
      <c r="X67" s="251">
        <f>ROUNDDOWN(Table15[[#This Row],[R-DEMAND]]/1320,0)</f>
        <v>3</v>
      </c>
      <c r="Y67" s="251">
        <f>IFERROR(Table15[[#This Row],[ADD ACC
(660/1320)]]*Table15[[#This Row],[Duration
(B744)]],0)</f>
        <v>21</v>
      </c>
      <c r="Z67" s="251"/>
    </row>
    <row r="68" spans="1:26" ht="15.75" customHeight="1" x14ac:dyDescent="0.25">
      <c r="A68" s="210" t="s">
        <v>15659</v>
      </c>
      <c r="B68" s="204" t="s">
        <v>63</v>
      </c>
      <c r="C68" s="204" t="s">
        <v>2</v>
      </c>
      <c r="D68" s="205">
        <v>4</v>
      </c>
      <c r="E68" s="204" t="s">
        <v>14</v>
      </c>
      <c r="F68" s="204" t="str">
        <f>VLOOKUP(E68,Table10[[COUNTRY NAME]:[CONTINENT CODE]],3,FALSE)</f>
        <v>AS</v>
      </c>
      <c r="G68" s="206" t="s">
        <v>62</v>
      </c>
      <c r="H68" s="207">
        <v>4995</v>
      </c>
      <c r="I68" s="208">
        <v>13.25</v>
      </c>
      <c r="J68" s="345"/>
      <c r="K68" s="345">
        <f>IFERROR(Table15[[#This Row],[ROUTE $]]/Table15[[#This Row],[E - DEMAND]],0)</f>
        <v>0</v>
      </c>
      <c r="L68" s="204"/>
      <c r="M68" s="412">
        <f>IFERROR(VLOOKUP(Table15[[#This Row],[ROUTE]],DEMAND!A:F,5,FALSE),0)</f>
        <v>4345</v>
      </c>
      <c r="N68" s="16">
        <f>IFERROR(VLOOKUP(Table15[[#This Row],[ROUTE]],DEMAND!A:F,6,FALSE),0)</f>
        <v>4345</v>
      </c>
      <c r="O68" s="16">
        <f>IFERROR(ROUNDDOWN(Table15[[#This Row],[R-DEMAND]]/1706,0),0)</f>
        <v>2</v>
      </c>
      <c r="P68" s="16">
        <f>IFERROR(Table15[[#This Row],[ADD ACC]]*Table15[[#This Row],[RT TIME 
(380-800)]],0)</f>
        <v>26.5</v>
      </c>
      <c r="Q68" s="415">
        <f>IFERROR(VLOOKUP(Table15[[#This Row],[ROUTE]],PRICING!A:B,2,FALSE),0)</f>
        <v>0</v>
      </c>
      <c r="R68" s="235">
        <f>IFERROR(Table15[[#This Row],[C_DEMAND]]-Table15[[#This Row],[R-DEMAND]],0)</f>
        <v>0</v>
      </c>
      <c r="S68" s="408">
        <f t="shared" si="1"/>
        <v>0</v>
      </c>
      <c r="T68" s="419">
        <f>Table15[[#This Row],[R-DEMAND]]-(Table15[[#This Row],[ADD ACC]]*1706)</f>
        <v>933</v>
      </c>
      <c r="U68" s="419">
        <f>ROUNDDOWN(Table15[[#This Row],[Column1]]/1360,0)</f>
        <v>0</v>
      </c>
      <c r="V68" s="419"/>
      <c r="W68" s="251">
        <v>13.25</v>
      </c>
      <c r="X68" s="251">
        <f>ROUNDDOWN(Table15[[#This Row],[R-DEMAND]]/1320,0)</f>
        <v>3</v>
      </c>
      <c r="Y68" s="251">
        <f>IFERROR(Table15[[#This Row],[ADD ACC
(660/1320)]]*Table15[[#This Row],[Duration
(B744)]],0)</f>
        <v>39.75</v>
      </c>
      <c r="Z68" s="251"/>
    </row>
    <row r="69" spans="1:26" ht="15.75" customHeight="1" x14ac:dyDescent="0.25">
      <c r="A69" s="210" t="s">
        <v>15439</v>
      </c>
      <c r="B69" s="204" t="s">
        <v>2907</v>
      </c>
      <c r="C69" s="204" t="s">
        <v>2</v>
      </c>
      <c r="D69" s="205">
        <v>2</v>
      </c>
      <c r="E69" s="204" t="s">
        <v>2059</v>
      </c>
      <c r="F69" s="204" t="str">
        <f>VLOOKUP(E69,Table10[[COUNTRY NAME]:[CONTINENT CODE]],3,FALSE)</f>
        <v>AF</v>
      </c>
      <c r="G69" s="206" t="s">
        <v>11751</v>
      </c>
      <c r="H69" s="207">
        <v>7070</v>
      </c>
      <c r="I69" s="208">
        <v>17.75</v>
      </c>
      <c r="J69" s="345"/>
      <c r="K69" s="345">
        <f>IFERROR(Table15[[#This Row],[ROUTE $]]/Table15[[#This Row],[E - DEMAND]],0)</f>
        <v>0</v>
      </c>
      <c r="L69" s="204"/>
      <c r="M69" s="412">
        <f>IFERROR(VLOOKUP(Table15[[#This Row],[ROUTE]],DEMAND!A:F,5,FALSE),0)</f>
        <v>4337</v>
      </c>
      <c r="N69" s="16">
        <f>IFERROR(VLOOKUP(Table15[[#This Row],[ROUTE]],DEMAND!A:F,6,FALSE),0)</f>
        <v>4337</v>
      </c>
      <c r="O69" s="16">
        <f>IFERROR(ROUNDDOWN(Table15[[#This Row],[R-DEMAND]]/1706,0),0)</f>
        <v>2</v>
      </c>
      <c r="P69" s="16">
        <f>IFERROR(Table15[[#This Row],[ADD ACC]]*Table15[[#This Row],[RT TIME 
(380-800)]],0)</f>
        <v>35.5</v>
      </c>
      <c r="Q69" s="415">
        <f>IFERROR(VLOOKUP(Table15[[#This Row],[ROUTE]],PRICING!A:B,2,FALSE),0)</f>
        <v>0</v>
      </c>
      <c r="R69" s="235">
        <f>IFERROR(Table15[[#This Row],[C_DEMAND]]-Table15[[#This Row],[R-DEMAND]],0)</f>
        <v>0</v>
      </c>
      <c r="S69" s="408">
        <f t="shared" si="1"/>
        <v>0</v>
      </c>
      <c r="T69" s="419">
        <f>Table15[[#This Row],[R-DEMAND]]-(Table15[[#This Row],[ADD ACC]]*1706)</f>
        <v>925</v>
      </c>
      <c r="U69" s="419">
        <f>ROUNDDOWN(Table15[[#This Row],[Column1]]/1360,0)</f>
        <v>0</v>
      </c>
      <c r="V69" s="419"/>
      <c r="W69" s="251">
        <v>17.75</v>
      </c>
      <c r="X69" s="251">
        <f>ROUNDDOWN(Table15[[#This Row],[R-DEMAND]]/1320,0)</f>
        <v>3</v>
      </c>
      <c r="Y69" s="251">
        <f>IFERROR(Table15[[#This Row],[ADD ACC
(660/1320)]]*Table15[[#This Row],[Duration
(B744)]],0)</f>
        <v>53.25</v>
      </c>
      <c r="Z69" s="251"/>
    </row>
    <row r="70" spans="1:26" ht="15.75" customHeight="1" x14ac:dyDescent="0.25">
      <c r="A70" s="210" t="s">
        <v>15955</v>
      </c>
      <c r="B70" s="204" t="s">
        <v>240</v>
      </c>
      <c r="C70" s="204" t="s">
        <v>11122</v>
      </c>
      <c r="D70" s="205">
        <v>3</v>
      </c>
      <c r="E70" s="204" t="s">
        <v>1070</v>
      </c>
      <c r="F70" s="204" t="str">
        <f>VLOOKUP(E70,Table10[[COUNTRY NAME]:[CONTINENT CODE]],3,FALSE)</f>
        <v>AS</v>
      </c>
      <c r="G70" s="206" t="s">
        <v>12028</v>
      </c>
      <c r="H70" s="207">
        <v>911</v>
      </c>
      <c r="I70" s="208">
        <v>4.25</v>
      </c>
      <c r="J70" s="345">
        <v>145010107</v>
      </c>
      <c r="K70" s="345">
        <f>IFERROR(Table15[[#This Row],[ROUTE $]]/Table15[[#This Row],[E - DEMAND]],0)</f>
        <v>34749.606278456748</v>
      </c>
      <c r="L70" s="204">
        <v>4173</v>
      </c>
      <c r="M70" s="412">
        <f>IFERROR(VLOOKUP(Table15[[#This Row],[ROUTE]],DEMAND!A:F,5,FALSE),0)</f>
        <v>4315</v>
      </c>
      <c r="N70" s="16">
        <f>IFERROR(VLOOKUP(Table15[[#This Row],[ROUTE]],DEMAND!A:F,6,FALSE),0)</f>
        <v>4315</v>
      </c>
      <c r="O70" s="16">
        <f>IFERROR(ROUNDDOWN(Table15[[#This Row],[R-DEMAND]]/1706,0),0)</f>
        <v>2</v>
      </c>
      <c r="P70" s="16">
        <f>IFERROR(Table15[[#This Row],[ADD ACC]]*Table15[[#This Row],[RT TIME 
(380-800)]],0)</f>
        <v>8.5</v>
      </c>
      <c r="Q70" s="415">
        <f>IFERROR(VLOOKUP(Table15[[#This Row],[ROUTE]],PRICING!A:B,2,FALSE),0)</f>
        <v>0</v>
      </c>
      <c r="R70" s="235">
        <f>IFERROR(Table15[[#This Row],[C_DEMAND]]-Table15[[#This Row],[R-DEMAND]],0)</f>
        <v>0</v>
      </c>
      <c r="S70" s="408">
        <f t="shared" si="1"/>
        <v>0</v>
      </c>
      <c r="T70" s="419">
        <f>Table15[[#This Row],[R-DEMAND]]-(Table15[[#This Row],[ADD ACC]]*1706)</f>
        <v>903</v>
      </c>
      <c r="U70" s="419">
        <f>ROUNDDOWN(Table15[[#This Row],[Column1]]/1360,0)</f>
        <v>0</v>
      </c>
      <c r="V70" s="419"/>
      <c r="W70" s="251">
        <v>4.25</v>
      </c>
      <c r="X70" s="251">
        <f>ROUNDDOWN(Table15[[#This Row],[R-DEMAND]]/1320,0)</f>
        <v>3</v>
      </c>
      <c r="Y70" s="251">
        <f>IFERROR(Table15[[#This Row],[ADD ACC
(660/1320)]]*Table15[[#This Row],[Duration
(B744)]],0)</f>
        <v>12.75</v>
      </c>
      <c r="Z70" s="251"/>
    </row>
    <row r="71" spans="1:26" ht="15.75" customHeight="1" x14ac:dyDescent="0.25">
      <c r="A71" s="210" t="s">
        <v>15835</v>
      </c>
      <c r="B71" s="204" t="s">
        <v>4915</v>
      </c>
      <c r="C71" s="204" t="s">
        <v>2</v>
      </c>
      <c r="D71" s="205">
        <v>3</v>
      </c>
      <c r="E71" s="204" t="s">
        <v>14</v>
      </c>
      <c r="F71" s="204" t="str">
        <f>VLOOKUP(E71,Table10[[COUNTRY NAME]:[CONTINENT CODE]],3,FALSE)</f>
        <v>AS</v>
      </c>
      <c r="G71" s="206" t="s">
        <v>12051</v>
      </c>
      <c r="H71" s="207">
        <v>3422</v>
      </c>
      <c r="I71" s="208">
        <v>9.75</v>
      </c>
      <c r="J71" s="345"/>
      <c r="K71" s="345">
        <f>IFERROR(Table15[[#This Row],[ROUTE $]]/Table15[[#This Row],[E - DEMAND]],0)</f>
        <v>0</v>
      </c>
      <c r="L71" s="204"/>
      <c r="M71" s="412">
        <f>IFERROR(VLOOKUP(Table15[[#This Row],[ROUTE]],DEMAND!A:F,5,FALSE),0)</f>
        <v>4314</v>
      </c>
      <c r="N71" s="16">
        <f>IFERROR(VLOOKUP(Table15[[#This Row],[ROUTE]],DEMAND!A:F,6,FALSE),0)</f>
        <v>4314</v>
      </c>
      <c r="O71" s="16">
        <f>IFERROR(ROUNDDOWN(Table15[[#This Row],[R-DEMAND]]/1706,0),0)</f>
        <v>2</v>
      </c>
      <c r="P71" s="16">
        <f>IFERROR(Table15[[#This Row],[ADD ACC]]*Table15[[#This Row],[RT TIME 
(380-800)]],0)</f>
        <v>19.5</v>
      </c>
      <c r="Q71" s="415">
        <f>IFERROR(VLOOKUP(Table15[[#This Row],[ROUTE]],PRICING!A:B,2,FALSE),0)</f>
        <v>0</v>
      </c>
      <c r="R71" s="235">
        <f>IFERROR(Table15[[#This Row],[C_DEMAND]]-Table15[[#This Row],[R-DEMAND]],0)</f>
        <v>0</v>
      </c>
      <c r="S71" s="408">
        <f t="shared" si="1"/>
        <v>0</v>
      </c>
      <c r="T71" s="419">
        <f>Table15[[#This Row],[R-DEMAND]]-(Table15[[#This Row],[ADD ACC]]*1706)</f>
        <v>902</v>
      </c>
      <c r="U71" s="419">
        <f>ROUNDDOWN(Table15[[#This Row],[Column1]]/1360,0)</f>
        <v>0</v>
      </c>
      <c r="V71" s="419"/>
      <c r="W71" s="251">
        <v>9.75</v>
      </c>
      <c r="X71" s="251">
        <f>ROUNDDOWN(Table15[[#This Row],[R-DEMAND]]/1320,0)</f>
        <v>3</v>
      </c>
      <c r="Y71" s="251">
        <f>IFERROR(Table15[[#This Row],[ADD ACC
(660/1320)]]*Table15[[#This Row],[Duration
(B744)]],0)</f>
        <v>29.25</v>
      </c>
      <c r="Z71" s="251"/>
    </row>
    <row r="72" spans="1:26" ht="15.75" customHeight="1" x14ac:dyDescent="0.25">
      <c r="A72" s="210" t="s">
        <v>15732</v>
      </c>
      <c r="B72" s="204" t="s">
        <v>4229</v>
      </c>
      <c r="C72" s="204" t="s">
        <v>2</v>
      </c>
      <c r="D72" s="205">
        <v>2</v>
      </c>
      <c r="E72" s="204" t="s">
        <v>1124</v>
      </c>
      <c r="F72" s="204" t="str">
        <f>VLOOKUP(E72,Table10[[COUNTRY NAME]:[CONTINENT CODE]],3,FALSE)</f>
        <v>AF</v>
      </c>
      <c r="G72" s="206" t="s">
        <v>11001</v>
      </c>
      <c r="H72" s="207">
        <v>4294</v>
      </c>
      <c r="I72" s="208">
        <v>11.75</v>
      </c>
      <c r="J72" s="345"/>
      <c r="K72" s="345">
        <f>IFERROR(Table15[[#This Row],[ROUTE $]]/Table15[[#This Row],[E - DEMAND]],0)</f>
        <v>0</v>
      </c>
      <c r="L72" s="204"/>
      <c r="M72" s="412">
        <f>IFERROR(VLOOKUP(Table15[[#This Row],[ROUTE]],DEMAND!A:F,5,FALSE),0)</f>
        <v>4299</v>
      </c>
      <c r="N72" s="16">
        <f>IFERROR(VLOOKUP(Table15[[#This Row],[ROUTE]],DEMAND!A:F,6,FALSE),0)</f>
        <v>4299</v>
      </c>
      <c r="O72" s="16">
        <f>IFERROR(ROUNDDOWN(Table15[[#This Row],[R-DEMAND]]/1706,0),0)</f>
        <v>2</v>
      </c>
      <c r="P72" s="16">
        <f>IFERROR(Table15[[#This Row],[ADD ACC]]*Table15[[#This Row],[RT TIME 
(380-800)]],0)</f>
        <v>23.5</v>
      </c>
      <c r="Q72" s="415">
        <f>IFERROR(VLOOKUP(Table15[[#This Row],[ROUTE]],PRICING!A:B,2,FALSE),0)</f>
        <v>0</v>
      </c>
      <c r="R72" s="235">
        <f>IFERROR(Table15[[#This Row],[C_DEMAND]]-Table15[[#This Row],[R-DEMAND]],0)</f>
        <v>0</v>
      </c>
      <c r="S72" s="408">
        <f t="shared" si="1"/>
        <v>0</v>
      </c>
      <c r="T72" s="419">
        <f>Table15[[#This Row],[R-DEMAND]]-(Table15[[#This Row],[ADD ACC]]*1706)</f>
        <v>887</v>
      </c>
      <c r="U72" s="419">
        <f>ROUNDDOWN(Table15[[#This Row],[Column1]]/1360,0)</f>
        <v>0</v>
      </c>
      <c r="V72" s="419"/>
      <c r="W72" s="251">
        <v>11.75</v>
      </c>
      <c r="X72" s="251">
        <f>ROUNDDOWN(Table15[[#This Row],[R-DEMAND]]/1320,0)</f>
        <v>3</v>
      </c>
      <c r="Y72" s="251">
        <f>IFERROR(Table15[[#This Row],[ADD ACC
(660/1320)]]*Table15[[#This Row],[Duration
(B744)]],0)</f>
        <v>35.25</v>
      </c>
      <c r="Z72" s="251"/>
    </row>
    <row r="73" spans="1:26" ht="15.75" customHeight="1" x14ac:dyDescent="0.25">
      <c r="A73" s="210" t="s">
        <v>15833</v>
      </c>
      <c r="B73" s="204" t="s">
        <v>4760</v>
      </c>
      <c r="C73" s="204" t="s">
        <v>2</v>
      </c>
      <c r="D73" s="205">
        <v>3</v>
      </c>
      <c r="E73" s="204" t="s">
        <v>14</v>
      </c>
      <c r="F73" s="204" t="str">
        <f>VLOOKUP(E73,Table10[[COUNTRY NAME]:[CONTINENT CODE]],3,FALSE)</f>
        <v>AS</v>
      </c>
      <c r="G73" s="206" t="s">
        <v>12035</v>
      </c>
      <c r="H73" s="207">
        <v>3441</v>
      </c>
      <c r="I73" s="208">
        <v>9.75</v>
      </c>
      <c r="J73" s="345"/>
      <c r="K73" s="345">
        <f>IFERROR(Table15[[#This Row],[ROUTE $]]/Table15[[#This Row],[E - DEMAND]],0)</f>
        <v>0</v>
      </c>
      <c r="L73" s="204"/>
      <c r="M73" s="412">
        <f>IFERROR(VLOOKUP(Table15[[#This Row],[ROUTE]],DEMAND!A:F,5,FALSE),0)</f>
        <v>4292</v>
      </c>
      <c r="N73" s="16">
        <f>IFERROR(VLOOKUP(Table15[[#This Row],[ROUTE]],DEMAND!A:F,6,FALSE),0)</f>
        <v>4292</v>
      </c>
      <c r="O73" s="16">
        <f>IFERROR(ROUNDDOWN(Table15[[#This Row],[R-DEMAND]]/1706,0),0)</f>
        <v>2</v>
      </c>
      <c r="P73" s="16">
        <f>IFERROR(Table15[[#This Row],[ADD ACC]]*Table15[[#This Row],[RT TIME 
(380-800)]],0)</f>
        <v>19.5</v>
      </c>
      <c r="Q73" s="415">
        <f>IFERROR(VLOOKUP(Table15[[#This Row],[ROUTE]],PRICING!A:B,2,FALSE),0)</f>
        <v>0</v>
      </c>
      <c r="R73" s="235">
        <f>IFERROR(Table15[[#This Row],[C_DEMAND]]-Table15[[#This Row],[R-DEMAND]],0)</f>
        <v>0</v>
      </c>
      <c r="S73" s="408">
        <f t="shared" si="1"/>
        <v>0</v>
      </c>
      <c r="T73" s="419">
        <f>Table15[[#This Row],[R-DEMAND]]-(Table15[[#This Row],[ADD ACC]]*1706)</f>
        <v>880</v>
      </c>
      <c r="U73" s="419">
        <f>ROUNDDOWN(Table15[[#This Row],[Column1]]/1360,0)</f>
        <v>0</v>
      </c>
      <c r="V73" s="419"/>
      <c r="W73" s="251">
        <v>9.75</v>
      </c>
      <c r="X73" s="251">
        <f>ROUNDDOWN(Table15[[#This Row],[R-DEMAND]]/1320,0)</f>
        <v>3</v>
      </c>
      <c r="Y73" s="251">
        <f>IFERROR(Table15[[#This Row],[ADD ACC
(660/1320)]]*Table15[[#This Row],[Duration
(B744)]],0)</f>
        <v>29.25</v>
      </c>
      <c r="Z73" s="251"/>
    </row>
    <row r="74" spans="1:26" ht="15.75" customHeight="1" x14ac:dyDescent="0.25">
      <c r="A74" s="210" t="s">
        <v>15907</v>
      </c>
      <c r="B74" s="204" t="s">
        <v>5035</v>
      </c>
      <c r="C74" s="204" t="s">
        <v>2</v>
      </c>
      <c r="D74" s="205">
        <v>3</v>
      </c>
      <c r="E74" s="204" t="s">
        <v>502</v>
      </c>
      <c r="F74" s="204" t="str">
        <f>VLOOKUP(E74,Table10[[COUNTRY NAME]:[CONTINENT CODE]],3,FALSE)</f>
        <v>AS</v>
      </c>
      <c r="G74" s="206" t="s">
        <v>11957</v>
      </c>
      <c r="H74" s="207">
        <v>2355</v>
      </c>
      <c r="I74" s="208">
        <v>7.25</v>
      </c>
      <c r="J74" s="345"/>
      <c r="K74" s="345">
        <f>IFERROR(Table15[[#This Row],[ROUTE $]]/Table15[[#This Row],[E - DEMAND]],0)</f>
        <v>0</v>
      </c>
      <c r="L74" s="204"/>
      <c r="M74" s="412">
        <f>IFERROR(VLOOKUP(Table15[[#This Row],[ROUTE]],DEMAND!A:F,5,FALSE),0)</f>
        <v>4286</v>
      </c>
      <c r="N74" s="16">
        <f>IFERROR(VLOOKUP(Table15[[#This Row],[ROUTE]],DEMAND!A:F,6,FALSE),0)</f>
        <v>4286</v>
      </c>
      <c r="O74" s="16">
        <f>IFERROR(ROUNDDOWN(Table15[[#This Row],[R-DEMAND]]/1706,0),0)</f>
        <v>2</v>
      </c>
      <c r="P74" s="16">
        <f>IFERROR(Table15[[#This Row],[ADD ACC]]*Table15[[#This Row],[RT TIME 
(380-800)]],0)</f>
        <v>14.5</v>
      </c>
      <c r="Q74" s="415">
        <f>IFERROR(VLOOKUP(Table15[[#This Row],[ROUTE]],PRICING!A:B,2,FALSE),0)</f>
        <v>0</v>
      </c>
      <c r="R74" s="235">
        <f>IFERROR(Table15[[#This Row],[C_DEMAND]]-Table15[[#This Row],[R-DEMAND]],0)</f>
        <v>0</v>
      </c>
      <c r="S74" s="408">
        <f t="shared" si="1"/>
        <v>0</v>
      </c>
      <c r="T74" s="419">
        <f>Table15[[#This Row],[R-DEMAND]]-(Table15[[#This Row],[ADD ACC]]*1706)</f>
        <v>874</v>
      </c>
      <c r="U74" s="419">
        <f>ROUNDDOWN(Table15[[#This Row],[Column1]]/1360,0)</f>
        <v>0</v>
      </c>
      <c r="V74" s="419"/>
      <c r="W74" s="251">
        <v>7.25</v>
      </c>
      <c r="X74" s="251">
        <f>ROUNDDOWN(Table15[[#This Row],[R-DEMAND]]/1320,0)</f>
        <v>3</v>
      </c>
      <c r="Y74" s="251">
        <f>IFERROR(Table15[[#This Row],[ADD ACC
(660/1320)]]*Table15[[#This Row],[Duration
(B744)]],0)</f>
        <v>21.75</v>
      </c>
      <c r="Z74" s="251"/>
    </row>
    <row r="75" spans="1:26" ht="15.75" customHeight="1" x14ac:dyDescent="0.25">
      <c r="A75" s="210" t="s">
        <v>15959</v>
      </c>
      <c r="B75" s="204" t="s">
        <v>154</v>
      </c>
      <c r="C75" s="204" t="s">
        <v>2</v>
      </c>
      <c r="D75" s="205">
        <v>3</v>
      </c>
      <c r="E75" s="204" t="s">
        <v>1070</v>
      </c>
      <c r="F75" s="204" t="str">
        <f>VLOOKUP(E75,Table10[[COUNTRY NAME]:[CONTINENT CODE]],3,FALSE)</f>
        <v>AS</v>
      </c>
      <c r="G75" s="206" t="s">
        <v>12055</v>
      </c>
      <c r="H75" s="207">
        <v>682</v>
      </c>
      <c r="I75" s="208">
        <v>3.75</v>
      </c>
      <c r="J75" s="345"/>
      <c r="K75" s="345">
        <f>IFERROR(Table15[[#This Row],[ROUTE $]]/Table15[[#This Row],[E - DEMAND]],0)</f>
        <v>0</v>
      </c>
      <c r="L75" s="204"/>
      <c r="M75" s="412">
        <f>IFERROR(VLOOKUP(Table15[[#This Row],[ROUTE]],DEMAND!A:F,5,FALSE),0)</f>
        <v>4270</v>
      </c>
      <c r="N75" s="16">
        <f>IFERROR(VLOOKUP(Table15[[#This Row],[ROUTE]],DEMAND!A:F,6,FALSE),0)</f>
        <v>4270</v>
      </c>
      <c r="O75" s="16">
        <f>IFERROR(ROUNDDOWN(Table15[[#This Row],[R-DEMAND]]/1706,0),0)</f>
        <v>2</v>
      </c>
      <c r="P75" s="16">
        <f>IFERROR(Table15[[#This Row],[ADD ACC]]*Table15[[#This Row],[RT TIME 
(380-800)]],0)</f>
        <v>7.5</v>
      </c>
      <c r="Q75" s="415">
        <f>IFERROR(VLOOKUP(Table15[[#This Row],[ROUTE]],PRICING!A:B,2,FALSE),0)</f>
        <v>0</v>
      </c>
      <c r="R75" s="235">
        <f>IFERROR(Table15[[#This Row],[C_DEMAND]]-Table15[[#This Row],[R-DEMAND]],0)</f>
        <v>0</v>
      </c>
      <c r="S75" s="408">
        <f t="shared" si="1"/>
        <v>0</v>
      </c>
      <c r="T75" s="419">
        <f>Table15[[#This Row],[R-DEMAND]]-(Table15[[#This Row],[ADD ACC]]*1706)</f>
        <v>858</v>
      </c>
      <c r="U75" s="419">
        <f>ROUNDDOWN(Table15[[#This Row],[Column1]]/1360,0)</f>
        <v>0</v>
      </c>
      <c r="V75" s="419"/>
      <c r="W75" s="251">
        <v>3.75</v>
      </c>
      <c r="X75" s="251">
        <f>ROUNDDOWN(Table15[[#This Row],[R-DEMAND]]/1320,0)</f>
        <v>3</v>
      </c>
      <c r="Y75" s="251">
        <f>IFERROR(Table15[[#This Row],[ADD ACC
(660/1320)]]*Table15[[#This Row],[Duration
(B744)]],0)</f>
        <v>11.25</v>
      </c>
      <c r="Z75" s="251"/>
    </row>
    <row r="76" spans="1:26" ht="15.75" customHeight="1" x14ac:dyDescent="0.25">
      <c r="A76" s="210" t="s">
        <v>15603</v>
      </c>
      <c r="B76" s="204" t="s">
        <v>268</v>
      </c>
      <c r="C76" s="204" t="s">
        <v>2</v>
      </c>
      <c r="D76" s="205">
        <v>4</v>
      </c>
      <c r="E76" s="204" t="s">
        <v>14</v>
      </c>
      <c r="F76" s="204" t="str">
        <f>VLOOKUP(E76,Table10[[COUNTRY NAME]:[CONTINENT CODE]],3,FALSE)</f>
        <v>AS</v>
      </c>
      <c r="G76" s="206" t="s">
        <v>11995</v>
      </c>
      <c r="H76" s="207">
        <v>5683</v>
      </c>
      <c r="I76" s="208">
        <v>14.75</v>
      </c>
      <c r="J76" s="345"/>
      <c r="K76" s="345">
        <f>IFERROR(Table15[[#This Row],[ROUTE $]]/Table15[[#This Row],[E - DEMAND]],0)</f>
        <v>0</v>
      </c>
      <c r="L76" s="204"/>
      <c r="M76" s="412">
        <f>IFERROR(VLOOKUP(Table15[[#This Row],[ROUTE]],DEMAND!A:F,5,FALSE),0)</f>
        <v>4269</v>
      </c>
      <c r="N76" s="16">
        <f>IFERROR(VLOOKUP(Table15[[#This Row],[ROUTE]],DEMAND!A:F,6,FALSE),0)</f>
        <v>4269</v>
      </c>
      <c r="O76" s="16">
        <f>IFERROR(ROUNDDOWN(Table15[[#This Row],[R-DEMAND]]/1706,0),0)</f>
        <v>2</v>
      </c>
      <c r="P76" s="16">
        <f>IFERROR(Table15[[#This Row],[ADD ACC]]*Table15[[#This Row],[RT TIME 
(380-800)]],0)</f>
        <v>29.5</v>
      </c>
      <c r="Q76" s="415">
        <f>IFERROR(VLOOKUP(Table15[[#This Row],[ROUTE]],PRICING!A:B,2,FALSE),0)</f>
        <v>0</v>
      </c>
      <c r="R76" s="235">
        <f>IFERROR(Table15[[#This Row],[C_DEMAND]]-Table15[[#This Row],[R-DEMAND]],0)</f>
        <v>0</v>
      </c>
      <c r="S76" s="408">
        <f t="shared" si="1"/>
        <v>0</v>
      </c>
      <c r="T76" s="419">
        <f>Table15[[#This Row],[R-DEMAND]]-(Table15[[#This Row],[ADD ACC]]*1706)</f>
        <v>857</v>
      </c>
      <c r="U76" s="419">
        <f>ROUNDDOWN(Table15[[#This Row],[Column1]]/1360,0)</f>
        <v>0</v>
      </c>
      <c r="V76" s="419"/>
      <c r="W76" s="251">
        <v>14.75</v>
      </c>
      <c r="X76" s="251">
        <f>ROUNDDOWN(Table15[[#This Row],[R-DEMAND]]/1320,0)</f>
        <v>3</v>
      </c>
      <c r="Y76" s="251">
        <f>IFERROR(Table15[[#This Row],[ADD ACC
(660/1320)]]*Table15[[#This Row],[Duration
(B744)]],0)</f>
        <v>44.25</v>
      </c>
      <c r="Z76" s="251"/>
    </row>
    <row r="77" spans="1:26" ht="15.75" customHeight="1" x14ac:dyDescent="0.25">
      <c r="A77" s="210" t="s">
        <v>15691</v>
      </c>
      <c r="B77" s="204" t="s">
        <v>5221</v>
      </c>
      <c r="C77" s="204" t="s">
        <v>2</v>
      </c>
      <c r="D77" s="205">
        <v>3</v>
      </c>
      <c r="E77" s="204" t="s">
        <v>700</v>
      </c>
      <c r="F77" s="204" t="str">
        <f>VLOOKUP(E77,Table10[[COUNTRY NAME]:[CONTINENT CODE]],3,FALSE)</f>
        <v>AS</v>
      </c>
      <c r="G77" s="206" t="s">
        <v>10068</v>
      </c>
      <c r="H77" s="207">
        <v>4703</v>
      </c>
      <c r="I77" s="208">
        <v>12.5</v>
      </c>
      <c r="J77" s="345"/>
      <c r="K77" s="345">
        <f>IFERROR(Table15[[#This Row],[ROUTE $]]/Table15[[#This Row],[E - DEMAND]],0)</f>
        <v>0</v>
      </c>
      <c r="L77" s="204"/>
      <c r="M77" s="412">
        <f>IFERROR(VLOOKUP(Table15[[#This Row],[ROUTE]],DEMAND!A:F,5,FALSE),0)</f>
        <v>4249</v>
      </c>
      <c r="N77" s="16">
        <f>IFERROR(VLOOKUP(Table15[[#This Row],[ROUTE]],DEMAND!A:F,6,FALSE),0)</f>
        <v>4249</v>
      </c>
      <c r="O77" s="16">
        <f>IFERROR(ROUNDDOWN(Table15[[#This Row],[R-DEMAND]]/1706,0),0)</f>
        <v>2</v>
      </c>
      <c r="P77" s="16">
        <f>IFERROR(Table15[[#This Row],[ADD ACC]]*Table15[[#This Row],[RT TIME 
(380-800)]],0)</f>
        <v>25</v>
      </c>
      <c r="Q77" s="415">
        <f>IFERROR(VLOOKUP(Table15[[#This Row],[ROUTE]],PRICING!A:B,2,FALSE),0)</f>
        <v>0</v>
      </c>
      <c r="R77" s="235">
        <f>IFERROR(Table15[[#This Row],[C_DEMAND]]-Table15[[#This Row],[R-DEMAND]],0)</f>
        <v>0</v>
      </c>
      <c r="S77" s="408">
        <f t="shared" si="1"/>
        <v>0</v>
      </c>
      <c r="T77" s="419">
        <f>Table15[[#This Row],[R-DEMAND]]-(Table15[[#This Row],[ADD ACC]]*1706)</f>
        <v>837</v>
      </c>
      <c r="U77" s="419">
        <f>ROUNDDOWN(Table15[[#This Row],[Column1]]/1360,0)</f>
        <v>0</v>
      </c>
      <c r="V77" s="419"/>
      <c r="W77" s="251">
        <v>12.5</v>
      </c>
      <c r="X77" s="251">
        <f>ROUNDDOWN(Table15[[#This Row],[R-DEMAND]]/1320,0)</f>
        <v>3</v>
      </c>
      <c r="Y77" s="251">
        <f>IFERROR(Table15[[#This Row],[ADD ACC
(660/1320)]]*Table15[[#This Row],[Duration
(B744)]],0)</f>
        <v>37.5</v>
      </c>
      <c r="Z77" s="251"/>
    </row>
    <row r="78" spans="1:26" ht="15.75" customHeight="1" x14ac:dyDescent="0.25">
      <c r="A78" s="210" t="s">
        <v>15688</v>
      </c>
      <c r="B78" s="204" t="s">
        <v>52</v>
      </c>
      <c r="C78" s="204" t="s">
        <v>2</v>
      </c>
      <c r="D78" s="205">
        <v>3</v>
      </c>
      <c r="E78" s="204" t="s">
        <v>14</v>
      </c>
      <c r="F78" s="204" t="str">
        <f>VLOOKUP(E78,Table10[[COUNTRY NAME]:[CONTINENT CODE]],3,FALSE)</f>
        <v>AS</v>
      </c>
      <c r="G78" s="206" t="s">
        <v>12033</v>
      </c>
      <c r="H78" s="207">
        <v>4730</v>
      </c>
      <c r="I78" s="208">
        <v>12.5</v>
      </c>
      <c r="J78" s="345"/>
      <c r="K78" s="345">
        <f>IFERROR(Table15[[#This Row],[ROUTE $]]/Table15[[#This Row],[E - DEMAND]],0)</f>
        <v>0</v>
      </c>
      <c r="L78" s="204"/>
      <c r="M78" s="412">
        <f>IFERROR(VLOOKUP(Table15[[#This Row],[ROUTE]],DEMAND!A:F,5,FALSE),0)</f>
        <v>4248</v>
      </c>
      <c r="N78" s="16">
        <f>IFERROR(VLOOKUP(Table15[[#This Row],[ROUTE]],DEMAND!A:F,6,FALSE),0)</f>
        <v>4248</v>
      </c>
      <c r="O78" s="16">
        <f>IFERROR(ROUNDDOWN(Table15[[#This Row],[R-DEMAND]]/1706,0),0)</f>
        <v>2</v>
      </c>
      <c r="P78" s="16">
        <f>IFERROR(Table15[[#This Row],[ADD ACC]]*Table15[[#This Row],[RT TIME 
(380-800)]],0)</f>
        <v>25</v>
      </c>
      <c r="Q78" s="415">
        <f>IFERROR(VLOOKUP(Table15[[#This Row],[ROUTE]],PRICING!A:B,2,FALSE),0)</f>
        <v>0</v>
      </c>
      <c r="R78" s="235">
        <f>IFERROR(Table15[[#This Row],[C_DEMAND]]-Table15[[#This Row],[R-DEMAND]],0)</f>
        <v>0</v>
      </c>
      <c r="S78" s="408">
        <f t="shared" si="1"/>
        <v>0</v>
      </c>
      <c r="T78" s="419">
        <f>Table15[[#This Row],[R-DEMAND]]-(Table15[[#This Row],[ADD ACC]]*1706)</f>
        <v>836</v>
      </c>
      <c r="U78" s="419">
        <f>ROUNDDOWN(Table15[[#This Row],[Column1]]/1360,0)</f>
        <v>0</v>
      </c>
      <c r="V78" s="419"/>
      <c r="W78" s="251">
        <v>12.5</v>
      </c>
      <c r="X78" s="251">
        <f>ROUNDDOWN(Table15[[#This Row],[R-DEMAND]]/1320,0)</f>
        <v>3</v>
      </c>
      <c r="Y78" s="251">
        <f>IFERROR(Table15[[#This Row],[ADD ACC
(660/1320)]]*Table15[[#This Row],[Duration
(B744)]],0)</f>
        <v>37.5</v>
      </c>
      <c r="Z78" s="251"/>
    </row>
    <row r="79" spans="1:26" ht="15.75" customHeight="1" x14ac:dyDescent="0.25">
      <c r="A79" s="210" t="s">
        <v>15674</v>
      </c>
      <c r="B79" s="204" t="s">
        <v>5386</v>
      </c>
      <c r="C79" s="204" t="s">
        <v>2</v>
      </c>
      <c r="D79" s="205">
        <v>3</v>
      </c>
      <c r="E79" s="204" t="s">
        <v>14</v>
      </c>
      <c r="F79" s="204" t="str">
        <f>VLOOKUP(E79,Table10[[COUNTRY NAME]:[CONTINENT CODE]],3,FALSE)</f>
        <v>AS</v>
      </c>
      <c r="G79" s="206" t="s">
        <v>12066</v>
      </c>
      <c r="H79" s="207">
        <v>4843</v>
      </c>
      <c r="I79" s="208">
        <v>12.75</v>
      </c>
      <c r="J79" s="345"/>
      <c r="K79" s="345">
        <f>IFERROR(Table15[[#This Row],[ROUTE $]]/Table15[[#This Row],[E - DEMAND]],0)</f>
        <v>0</v>
      </c>
      <c r="L79" s="204"/>
      <c r="M79" s="412">
        <f>IFERROR(VLOOKUP(Table15[[#This Row],[ROUTE]],DEMAND!A:F,5,FALSE),0)</f>
        <v>4232</v>
      </c>
      <c r="N79" s="16">
        <f>IFERROR(VLOOKUP(Table15[[#This Row],[ROUTE]],DEMAND!A:F,6,FALSE),0)</f>
        <v>4232</v>
      </c>
      <c r="O79" s="16">
        <f>IFERROR(ROUNDDOWN(Table15[[#This Row],[R-DEMAND]]/1706,0),0)</f>
        <v>2</v>
      </c>
      <c r="P79" s="16">
        <f>IFERROR(Table15[[#This Row],[ADD ACC]]*Table15[[#This Row],[RT TIME 
(380-800)]],0)</f>
        <v>25.5</v>
      </c>
      <c r="Q79" s="415">
        <f>IFERROR(VLOOKUP(Table15[[#This Row],[ROUTE]],PRICING!A:B,2,FALSE),0)</f>
        <v>0</v>
      </c>
      <c r="R79" s="235">
        <f>IFERROR(Table15[[#This Row],[C_DEMAND]]-Table15[[#This Row],[R-DEMAND]],0)</f>
        <v>0</v>
      </c>
      <c r="S79" s="408">
        <f t="shared" si="1"/>
        <v>0</v>
      </c>
      <c r="T79" s="419">
        <f>Table15[[#This Row],[R-DEMAND]]-(Table15[[#This Row],[ADD ACC]]*1706)</f>
        <v>820</v>
      </c>
      <c r="U79" s="419">
        <f>ROUNDDOWN(Table15[[#This Row],[Column1]]/1360,0)</f>
        <v>0</v>
      </c>
      <c r="V79" s="419"/>
      <c r="W79" s="251">
        <v>12.75</v>
      </c>
      <c r="X79" s="251">
        <f>ROUNDDOWN(Table15[[#This Row],[R-DEMAND]]/1320,0)</f>
        <v>3</v>
      </c>
      <c r="Y79" s="251">
        <f>IFERROR(Table15[[#This Row],[ADD ACC
(660/1320)]]*Table15[[#This Row],[Duration
(B744)]],0)</f>
        <v>38.25</v>
      </c>
      <c r="Z79" s="251"/>
    </row>
    <row r="80" spans="1:26" ht="15.75" customHeight="1" x14ac:dyDescent="0.25">
      <c r="A80" s="210" t="s">
        <v>15679</v>
      </c>
      <c r="B80" s="204" t="s">
        <v>42</v>
      </c>
      <c r="C80" s="204" t="s">
        <v>2</v>
      </c>
      <c r="D80" s="205">
        <v>3</v>
      </c>
      <c r="E80" s="204" t="s">
        <v>14</v>
      </c>
      <c r="F80" s="204" t="str">
        <f>VLOOKUP(E80,Table10[[COUNTRY NAME]:[CONTINENT CODE]],3,FALSE)</f>
        <v>AS</v>
      </c>
      <c r="G80" s="206" t="s">
        <v>12023</v>
      </c>
      <c r="H80" s="207">
        <v>4800</v>
      </c>
      <c r="I80" s="208">
        <v>12.75</v>
      </c>
      <c r="J80" s="345"/>
      <c r="K80" s="345">
        <f>IFERROR(Table15[[#This Row],[ROUTE $]]/Table15[[#This Row],[E - DEMAND]],0)</f>
        <v>0</v>
      </c>
      <c r="L80" s="204"/>
      <c r="M80" s="412">
        <f>IFERROR(VLOOKUP(Table15[[#This Row],[ROUTE]],DEMAND!A:F,5,FALSE),0)</f>
        <v>4230</v>
      </c>
      <c r="N80" s="16">
        <f>IFERROR(VLOOKUP(Table15[[#This Row],[ROUTE]],DEMAND!A:F,6,FALSE),0)</f>
        <v>4230</v>
      </c>
      <c r="O80" s="16">
        <f>IFERROR(ROUNDDOWN(Table15[[#This Row],[R-DEMAND]]/1706,0),0)</f>
        <v>2</v>
      </c>
      <c r="P80" s="16">
        <f>IFERROR(Table15[[#This Row],[ADD ACC]]*Table15[[#This Row],[RT TIME 
(380-800)]],0)</f>
        <v>25.5</v>
      </c>
      <c r="Q80" s="415">
        <f>IFERROR(VLOOKUP(Table15[[#This Row],[ROUTE]],PRICING!A:B,2,FALSE),0)</f>
        <v>0</v>
      </c>
      <c r="R80" s="235">
        <f>IFERROR(Table15[[#This Row],[C_DEMAND]]-Table15[[#This Row],[R-DEMAND]],0)</f>
        <v>0</v>
      </c>
      <c r="S80" s="408">
        <f t="shared" si="1"/>
        <v>0</v>
      </c>
      <c r="T80" s="419">
        <f>Table15[[#This Row],[R-DEMAND]]-(Table15[[#This Row],[ADD ACC]]*1706)</f>
        <v>818</v>
      </c>
      <c r="U80" s="419">
        <f>ROUNDDOWN(Table15[[#This Row],[Column1]]/1360,0)</f>
        <v>0</v>
      </c>
      <c r="V80" s="419"/>
      <c r="W80" s="251">
        <v>12.75</v>
      </c>
      <c r="X80" s="251">
        <f>ROUNDDOWN(Table15[[#This Row],[R-DEMAND]]/1320,0)</f>
        <v>3</v>
      </c>
      <c r="Y80" s="251">
        <f>IFERROR(Table15[[#This Row],[ADD ACC
(660/1320)]]*Table15[[#This Row],[Duration
(B744)]],0)</f>
        <v>38.25</v>
      </c>
      <c r="Z80" s="251"/>
    </row>
    <row r="81" spans="1:26" ht="15.75" customHeight="1" x14ac:dyDescent="0.25">
      <c r="A81" s="210" t="s">
        <v>15943</v>
      </c>
      <c r="B81" s="204" t="s">
        <v>437</v>
      </c>
      <c r="C81" s="204" t="s">
        <v>67</v>
      </c>
      <c r="D81" s="205">
        <v>2</v>
      </c>
      <c r="E81" s="204" t="s">
        <v>1070</v>
      </c>
      <c r="F81" s="204" t="str">
        <f>VLOOKUP(E81,Table10[[COUNTRY NAME]:[CONTINENT CODE]],3,FALSE)</f>
        <v>AS</v>
      </c>
      <c r="G81" s="206" t="s">
        <v>12018</v>
      </c>
      <c r="H81" s="207">
        <v>1416</v>
      </c>
      <c r="I81" s="208">
        <v>5.25</v>
      </c>
      <c r="J81" s="345"/>
      <c r="K81" s="345">
        <f>IFERROR(Table15[[#This Row],[ROUTE $]]/Table15[[#This Row],[E - DEMAND]],0)</f>
        <v>0</v>
      </c>
      <c r="L81" s="204"/>
      <c r="M81" s="412">
        <f>IFERROR(VLOOKUP(Table15[[#This Row],[ROUTE]],DEMAND!A:F,5,FALSE),0)</f>
        <v>4228</v>
      </c>
      <c r="N81" s="16">
        <f>IFERROR(VLOOKUP(Table15[[#This Row],[ROUTE]],DEMAND!A:F,6,FALSE),0)</f>
        <v>4228</v>
      </c>
      <c r="O81" s="16">
        <f>IFERROR(ROUNDDOWN(Table15[[#This Row],[R-DEMAND]]/1706,0),0)</f>
        <v>2</v>
      </c>
      <c r="P81" s="16">
        <f>IFERROR(Table15[[#This Row],[ADD ACC]]*Table15[[#This Row],[RT TIME 
(380-800)]],0)</f>
        <v>10.5</v>
      </c>
      <c r="Q81" s="415">
        <f>IFERROR(VLOOKUP(Table15[[#This Row],[ROUTE]],PRICING!A:B,2,FALSE),0)</f>
        <v>0</v>
      </c>
      <c r="R81" s="235">
        <f>IFERROR(Table15[[#This Row],[C_DEMAND]]-Table15[[#This Row],[R-DEMAND]],0)</f>
        <v>0</v>
      </c>
      <c r="S81" s="408">
        <f t="shared" si="1"/>
        <v>0</v>
      </c>
      <c r="T81" s="419">
        <f>Table15[[#This Row],[R-DEMAND]]-(Table15[[#This Row],[ADD ACC]]*1706)</f>
        <v>816</v>
      </c>
      <c r="U81" s="419">
        <f>ROUNDDOWN(Table15[[#This Row],[Column1]]/1360,0)</f>
        <v>0</v>
      </c>
      <c r="V81" s="419"/>
      <c r="W81" s="251">
        <v>5.25</v>
      </c>
      <c r="X81" s="251">
        <f>ROUNDDOWN(Table15[[#This Row],[R-DEMAND]]/1320,0)</f>
        <v>3</v>
      </c>
      <c r="Y81" s="251">
        <f>IFERROR(Table15[[#This Row],[ADD ACC
(660/1320)]]*Table15[[#This Row],[Duration
(B744)]],0)</f>
        <v>15.75</v>
      </c>
      <c r="Z81" s="251"/>
    </row>
    <row r="82" spans="1:26" ht="15.75" customHeight="1" x14ac:dyDescent="0.25">
      <c r="A82" s="210" t="s">
        <v>15788</v>
      </c>
      <c r="B82" s="204" t="s">
        <v>5043</v>
      </c>
      <c r="C82" s="204" t="s">
        <v>2</v>
      </c>
      <c r="D82" s="205">
        <v>3</v>
      </c>
      <c r="E82" s="204" t="s">
        <v>14</v>
      </c>
      <c r="F82" s="204" t="str">
        <f>VLOOKUP(E82,Table10[[COUNTRY NAME]:[CONTINENT CODE]],3,FALSE)</f>
        <v>AS</v>
      </c>
      <c r="G82" s="206" t="s">
        <v>12029</v>
      </c>
      <c r="H82" s="207">
        <v>3874</v>
      </c>
      <c r="I82" s="208">
        <v>10.75</v>
      </c>
      <c r="J82" s="345"/>
      <c r="K82" s="345">
        <f>IFERROR(Table15[[#This Row],[ROUTE $]]/Table15[[#This Row],[E - DEMAND]],0)</f>
        <v>0</v>
      </c>
      <c r="L82" s="204"/>
      <c r="M82" s="412">
        <f>IFERROR(VLOOKUP(Table15[[#This Row],[ROUTE]],DEMAND!A:F,5,FALSE),0)</f>
        <v>4217</v>
      </c>
      <c r="N82" s="16">
        <f>IFERROR(VLOOKUP(Table15[[#This Row],[ROUTE]],DEMAND!A:F,6,FALSE),0)</f>
        <v>4217</v>
      </c>
      <c r="O82" s="16">
        <f>IFERROR(ROUNDDOWN(Table15[[#This Row],[R-DEMAND]]/1706,0),0)</f>
        <v>2</v>
      </c>
      <c r="P82" s="16">
        <f>IFERROR(Table15[[#This Row],[ADD ACC]]*Table15[[#This Row],[RT TIME 
(380-800)]],0)</f>
        <v>21.5</v>
      </c>
      <c r="Q82" s="415">
        <f>IFERROR(VLOOKUP(Table15[[#This Row],[ROUTE]],PRICING!A:B,2,FALSE),0)</f>
        <v>0</v>
      </c>
      <c r="R82" s="235">
        <f>IFERROR(Table15[[#This Row],[C_DEMAND]]-Table15[[#This Row],[R-DEMAND]],0)</f>
        <v>0</v>
      </c>
      <c r="S82" s="408">
        <f t="shared" si="1"/>
        <v>0</v>
      </c>
      <c r="T82" s="419">
        <f>Table15[[#This Row],[R-DEMAND]]-(Table15[[#This Row],[ADD ACC]]*1706)</f>
        <v>805</v>
      </c>
      <c r="U82" s="419">
        <f>ROUNDDOWN(Table15[[#This Row],[Column1]]/1360,0)</f>
        <v>0</v>
      </c>
      <c r="V82" s="419"/>
      <c r="W82" s="251">
        <v>10.75</v>
      </c>
      <c r="X82" s="251">
        <f>ROUNDDOWN(Table15[[#This Row],[R-DEMAND]]/1320,0)</f>
        <v>3</v>
      </c>
      <c r="Y82" s="251">
        <f>IFERROR(Table15[[#This Row],[ADD ACC
(660/1320)]]*Table15[[#This Row],[Duration
(B744)]],0)</f>
        <v>32.25</v>
      </c>
      <c r="Z82" s="251"/>
    </row>
    <row r="83" spans="1:26" ht="15.75" customHeight="1" x14ac:dyDescent="0.25">
      <c r="A83" s="210" t="s">
        <v>15678</v>
      </c>
      <c r="B83" s="204" t="s">
        <v>5128</v>
      </c>
      <c r="C83" s="204" t="s">
        <v>2</v>
      </c>
      <c r="D83" s="205">
        <v>3</v>
      </c>
      <c r="E83" s="204" t="s">
        <v>700</v>
      </c>
      <c r="F83" s="204" t="str">
        <f>VLOOKUP(E83,Table10[[COUNTRY NAME]:[CONTINENT CODE]],3,FALSE)</f>
        <v>AS</v>
      </c>
      <c r="G83" s="206" t="s">
        <v>11849</v>
      </c>
      <c r="H83" s="207">
        <v>4814</v>
      </c>
      <c r="I83" s="208">
        <v>12.75</v>
      </c>
      <c r="J83" s="345"/>
      <c r="K83" s="345">
        <f>IFERROR(Table15[[#This Row],[ROUTE $]]/Table15[[#This Row],[E - DEMAND]],0)</f>
        <v>0</v>
      </c>
      <c r="L83" s="204"/>
      <c r="M83" s="412">
        <f>IFERROR(VLOOKUP(Table15[[#This Row],[ROUTE]],DEMAND!A:F,5,FALSE),0)</f>
        <v>4212</v>
      </c>
      <c r="N83" s="16">
        <f>IFERROR(VLOOKUP(Table15[[#This Row],[ROUTE]],DEMAND!A:F,6,FALSE),0)</f>
        <v>4212</v>
      </c>
      <c r="O83" s="16">
        <f>IFERROR(ROUNDDOWN(Table15[[#This Row],[R-DEMAND]]/1706,0),0)</f>
        <v>2</v>
      </c>
      <c r="P83" s="16">
        <f>IFERROR(Table15[[#This Row],[ADD ACC]]*Table15[[#This Row],[RT TIME 
(380-800)]],0)</f>
        <v>25.5</v>
      </c>
      <c r="Q83" s="415">
        <f>IFERROR(VLOOKUP(Table15[[#This Row],[ROUTE]],PRICING!A:B,2,FALSE),0)</f>
        <v>0</v>
      </c>
      <c r="R83" s="235">
        <f>IFERROR(Table15[[#This Row],[C_DEMAND]]-Table15[[#This Row],[R-DEMAND]],0)</f>
        <v>0</v>
      </c>
      <c r="S83" s="408">
        <f t="shared" si="1"/>
        <v>0</v>
      </c>
      <c r="T83" s="419">
        <f>Table15[[#This Row],[R-DEMAND]]-(Table15[[#This Row],[ADD ACC]]*1706)</f>
        <v>800</v>
      </c>
      <c r="U83" s="419">
        <f>ROUNDDOWN(Table15[[#This Row],[Column1]]/1360,0)</f>
        <v>0</v>
      </c>
      <c r="V83" s="419"/>
      <c r="W83" s="251">
        <v>12.75</v>
      </c>
      <c r="X83" s="251">
        <f>ROUNDDOWN(Table15[[#This Row],[R-DEMAND]]/1320,0)</f>
        <v>3</v>
      </c>
      <c r="Y83" s="251">
        <f>IFERROR(Table15[[#This Row],[ADD ACC
(660/1320)]]*Table15[[#This Row],[Duration
(B744)]],0)</f>
        <v>38.25</v>
      </c>
      <c r="Z83" s="251"/>
    </row>
    <row r="84" spans="1:26" ht="15.75" customHeight="1" x14ac:dyDescent="0.25">
      <c r="A84" s="210" t="s">
        <v>15640</v>
      </c>
      <c r="B84" s="204" t="s">
        <v>5526</v>
      </c>
      <c r="C84" s="204" t="s">
        <v>2</v>
      </c>
      <c r="D84" s="205">
        <v>4</v>
      </c>
      <c r="E84" s="204" t="s">
        <v>1420</v>
      </c>
      <c r="F84" s="204" t="str">
        <f>VLOOKUP(E84,Table10[[COUNTRY NAME]:[CONTINENT CODE]],3,FALSE)</f>
        <v>EU</v>
      </c>
      <c r="G84" s="210" t="s">
        <v>11108</v>
      </c>
      <c r="H84" s="207">
        <v>5149</v>
      </c>
      <c r="I84" s="208">
        <v>13.5</v>
      </c>
      <c r="J84" s="345"/>
      <c r="K84" s="345">
        <f>IFERROR(Table15[[#This Row],[ROUTE $]]/Table15[[#This Row],[E - DEMAND]],0)</f>
        <v>0</v>
      </c>
      <c r="L84" s="204"/>
      <c r="M84" s="412">
        <f>IFERROR(VLOOKUP(Table15[[#This Row],[ROUTE]],DEMAND!A:F,5,FALSE),0)</f>
        <v>4204</v>
      </c>
      <c r="N84" s="16">
        <f>IFERROR(VLOOKUP(Table15[[#This Row],[ROUTE]],DEMAND!A:F,6,FALSE),0)</f>
        <v>4204</v>
      </c>
      <c r="O84" s="16">
        <f>IFERROR(ROUNDDOWN(Table15[[#This Row],[R-DEMAND]]/1706,0),0)</f>
        <v>2</v>
      </c>
      <c r="P84" s="16">
        <f>IFERROR(Table15[[#This Row],[ADD ACC]]*Table15[[#This Row],[RT TIME 
(380-800)]],0)</f>
        <v>27</v>
      </c>
      <c r="Q84" s="415">
        <f>IFERROR(VLOOKUP(Table15[[#This Row],[ROUTE]],PRICING!A:B,2,FALSE),0)</f>
        <v>0</v>
      </c>
      <c r="R84" s="235">
        <f>IFERROR(Table15[[#This Row],[C_DEMAND]]-Table15[[#This Row],[R-DEMAND]],0)</f>
        <v>0</v>
      </c>
      <c r="S84" s="408">
        <f t="shared" si="1"/>
        <v>0</v>
      </c>
      <c r="T84" s="419">
        <f>Table15[[#This Row],[R-DEMAND]]-(Table15[[#This Row],[ADD ACC]]*1706)</f>
        <v>792</v>
      </c>
      <c r="U84" s="419">
        <f>ROUNDDOWN(Table15[[#This Row],[Column1]]/1360,0)</f>
        <v>0</v>
      </c>
      <c r="V84" s="419"/>
      <c r="W84" s="251">
        <v>13.5</v>
      </c>
      <c r="X84" s="251">
        <f>ROUNDDOWN(Table15[[#This Row],[R-DEMAND]]/1320,0)</f>
        <v>3</v>
      </c>
      <c r="Y84" s="251">
        <f>IFERROR(Table15[[#This Row],[ADD ACC
(660/1320)]]*Table15[[#This Row],[Duration
(B744)]],0)</f>
        <v>40.5</v>
      </c>
      <c r="Z84" s="251"/>
    </row>
    <row r="85" spans="1:26" ht="15.75" customHeight="1" x14ac:dyDescent="0.25">
      <c r="A85" s="210" t="s">
        <v>15798</v>
      </c>
      <c r="B85" s="204" t="s">
        <v>4609</v>
      </c>
      <c r="C85" s="204" t="s">
        <v>2</v>
      </c>
      <c r="D85" s="205">
        <v>2</v>
      </c>
      <c r="E85" s="204" t="s">
        <v>700</v>
      </c>
      <c r="F85" s="204" t="str">
        <f>VLOOKUP(E85,Table10[[COUNTRY NAME]:[CONTINENT CODE]],3,FALSE)</f>
        <v>AS</v>
      </c>
      <c r="G85" s="206" t="s">
        <v>10085</v>
      </c>
      <c r="H85" s="207">
        <v>3786</v>
      </c>
      <c r="I85" s="208">
        <v>10.5</v>
      </c>
      <c r="J85" s="345"/>
      <c r="K85" s="345">
        <f>IFERROR(Table15[[#This Row],[ROUTE $]]/Table15[[#This Row],[E - DEMAND]],0)</f>
        <v>0</v>
      </c>
      <c r="L85" s="204"/>
      <c r="M85" s="412">
        <f>IFERROR(VLOOKUP(Table15[[#This Row],[ROUTE]],DEMAND!A:F,5,FALSE),0)</f>
        <v>4185</v>
      </c>
      <c r="N85" s="16">
        <f>IFERROR(VLOOKUP(Table15[[#This Row],[ROUTE]],DEMAND!A:F,6,FALSE),0)</f>
        <v>4185</v>
      </c>
      <c r="O85" s="16">
        <f>IFERROR(ROUNDDOWN(Table15[[#This Row],[R-DEMAND]]/1706,0),0)</f>
        <v>2</v>
      </c>
      <c r="P85" s="16">
        <f>IFERROR(Table15[[#This Row],[ADD ACC]]*Table15[[#This Row],[RT TIME 
(380-800)]],0)</f>
        <v>21</v>
      </c>
      <c r="Q85" s="415">
        <f>IFERROR(VLOOKUP(Table15[[#This Row],[ROUTE]],PRICING!A:B,2,FALSE),0)</f>
        <v>0</v>
      </c>
      <c r="R85" s="235">
        <f>IFERROR(Table15[[#This Row],[C_DEMAND]]-Table15[[#This Row],[R-DEMAND]],0)</f>
        <v>0</v>
      </c>
      <c r="S85" s="408">
        <f t="shared" si="1"/>
        <v>0</v>
      </c>
      <c r="T85" s="419">
        <f>Table15[[#This Row],[R-DEMAND]]-(Table15[[#This Row],[ADD ACC]]*1706)</f>
        <v>773</v>
      </c>
      <c r="U85" s="419">
        <f>ROUNDDOWN(Table15[[#This Row],[Column1]]/1360,0)</f>
        <v>0</v>
      </c>
      <c r="V85" s="419"/>
      <c r="W85" s="251">
        <v>10.5</v>
      </c>
      <c r="X85" s="251">
        <f>ROUNDDOWN(Table15[[#This Row],[R-DEMAND]]/1320,0)</f>
        <v>3</v>
      </c>
      <c r="Y85" s="251">
        <f>IFERROR(Table15[[#This Row],[ADD ACC
(660/1320)]]*Table15[[#This Row],[Duration
(B744)]],0)</f>
        <v>31.5</v>
      </c>
      <c r="Z85" s="251"/>
    </row>
    <row r="86" spans="1:26" ht="15.75" customHeight="1" x14ac:dyDescent="0.25">
      <c r="A86" s="210" t="s">
        <v>15869</v>
      </c>
      <c r="B86" s="204" t="s">
        <v>4160</v>
      </c>
      <c r="C86" s="204" t="s">
        <v>2</v>
      </c>
      <c r="D86" s="205">
        <v>2</v>
      </c>
      <c r="E86" s="204" t="s">
        <v>502</v>
      </c>
      <c r="F86" s="204" t="str">
        <f>VLOOKUP(E86,Table10[[COUNTRY NAME]:[CONTINENT CODE]],3,FALSE)</f>
        <v>AS</v>
      </c>
      <c r="G86" s="206" t="s">
        <v>11930</v>
      </c>
      <c r="H86" s="207">
        <v>3051</v>
      </c>
      <c r="I86" s="208">
        <v>9</v>
      </c>
      <c r="J86" s="345"/>
      <c r="K86" s="345">
        <f>IFERROR(Table15[[#This Row],[ROUTE $]]/Table15[[#This Row],[E - DEMAND]],0)</f>
        <v>0</v>
      </c>
      <c r="L86" s="204"/>
      <c r="M86" s="412">
        <f>IFERROR(VLOOKUP(Table15[[#This Row],[ROUTE]],DEMAND!A:F,5,FALSE),0)</f>
        <v>4179</v>
      </c>
      <c r="N86" s="16">
        <f>IFERROR(VLOOKUP(Table15[[#This Row],[ROUTE]],DEMAND!A:F,6,FALSE),0)</f>
        <v>4179</v>
      </c>
      <c r="O86" s="16">
        <f>IFERROR(ROUNDDOWN(Table15[[#This Row],[R-DEMAND]]/1706,0),0)</f>
        <v>2</v>
      </c>
      <c r="P86" s="16">
        <f>IFERROR(Table15[[#This Row],[ADD ACC]]*Table15[[#This Row],[RT TIME 
(380-800)]],0)</f>
        <v>18</v>
      </c>
      <c r="Q86" s="415">
        <f>IFERROR(VLOOKUP(Table15[[#This Row],[ROUTE]],PRICING!A:B,2,FALSE),0)</f>
        <v>0</v>
      </c>
      <c r="R86" s="235">
        <f>IFERROR(Table15[[#This Row],[C_DEMAND]]-Table15[[#This Row],[R-DEMAND]],0)</f>
        <v>0</v>
      </c>
      <c r="S86" s="408">
        <f t="shared" si="1"/>
        <v>0</v>
      </c>
      <c r="T86" s="419">
        <f>Table15[[#This Row],[R-DEMAND]]-(Table15[[#This Row],[ADD ACC]]*1706)</f>
        <v>767</v>
      </c>
      <c r="U86" s="419">
        <f>ROUNDDOWN(Table15[[#This Row],[Column1]]/1360,0)</f>
        <v>0</v>
      </c>
      <c r="V86" s="419"/>
      <c r="W86" s="251">
        <v>9</v>
      </c>
      <c r="X86" s="251">
        <f>ROUNDDOWN(Table15[[#This Row],[R-DEMAND]]/1320,0)</f>
        <v>3</v>
      </c>
      <c r="Y86" s="251">
        <f>IFERROR(Table15[[#This Row],[ADD ACC
(660/1320)]]*Table15[[#This Row],[Duration
(B744)]],0)</f>
        <v>27</v>
      </c>
      <c r="Z86" s="251"/>
    </row>
    <row r="87" spans="1:26" ht="15.75" customHeight="1" x14ac:dyDescent="0.25">
      <c r="A87" s="210" t="s">
        <v>15501</v>
      </c>
      <c r="B87" s="204" t="s">
        <v>140</v>
      </c>
      <c r="C87" s="204" t="s">
        <v>2</v>
      </c>
      <c r="D87" s="205">
        <v>4</v>
      </c>
      <c r="E87" s="204" t="s">
        <v>605</v>
      </c>
      <c r="F87" s="204" t="str">
        <f>VLOOKUP(E87,Table10[[COUNTRY NAME]:[CONTINENT CODE]],3,FALSE)</f>
        <v>EU</v>
      </c>
      <c r="G87" s="210" t="s">
        <v>11051</v>
      </c>
      <c r="H87" s="207">
        <v>6629</v>
      </c>
      <c r="I87" s="208">
        <v>16.75</v>
      </c>
      <c r="J87" s="345"/>
      <c r="K87" s="345">
        <f>IFERROR(Table15[[#This Row],[ROUTE $]]/Table15[[#This Row],[E - DEMAND]],0)</f>
        <v>0</v>
      </c>
      <c r="L87" s="204"/>
      <c r="M87" s="412">
        <f>IFERROR(VLOOKUP(Table15[[#This Row],[ROUTE]],DEMAND!A:F,5,FALSE),0)</f>
        <v>4175</v>
      </c>
      <c r="N87" s="16">
        <f>IFERROR(VLOOKUP(Table15[[#This Row],[ROUTE]],DEMAND!A:F,6,FALSE),0)</f>
        <v>4175</v>
      </c>
      <c r="O87" s="16">
        <f>IFERROR(ROUNDDOWN(Table15[[#This Row],[R-DEMAND]]/1706,0),0)</f>
        <v>2</v>
      </c>
      <c r="P87" s="16">
        <f>IFERROR(Table15[[#This Row],[ADD ACC]]*Table15[[#This Row],[RT TIME 
(380-800)]],0)</f>
        <v>33.5</v>
      </c>
      <c r="Q87" s="415">
        <f>IFERROR(VLOOKUP(Table15[[#This Row],[ROUTE]],PRICING!A:B,2,FALSE),0)</f>
        <v>0</v>
      </c>
      <c r="R87" s="235">
        <f>IFERROR(Table15[[#This Row],[C_DEMAND]]-Table15[[#This Row],[R-DEMAND]],0)</f>
        <v>0</v>
      </c>
      <c r="S87" s="408">
        <f t="shared" si="1"/>
        <v>0</v>
      </c>
      <c r="T87" s="419">
        <f>Table15[[#This Row],[R-DEMAND]]-(Table15[[#This Row],[ADD ACC]]*1706)</f>
        <v>763</v>
      </c>
      <c r="U87" s="419">
        <f>ROUNDDOWN(Table15[[#This Row],[Column1]]/1360,0)</f>
        <v>0</v>
      </c>
      <c r="V87" s="419"/>
      <c r="W87" s="251">
        <v>16.75</v>
      </c>
      <c r="X87" s="251">
        <f>ROUNDDOWN(Table15[[#This Row],[R-DEMAND]]/1320,0)</f>
        <v>3</v>
      </c>
      <c r="Y87" s="251">
        <f>IFERROR(Table15[[#This Row],[ADD ACC
(660/1320)]]*Table15[[#This Row],[Duration
(B744)]],0)</f>
        <v>50.25</v>
      </c>
      <c r="Z87" s="251"/>
    </row>
    <row r="88" spans="1:26" ht="15.75" customHeight="1" x14ac:dyDescent="0.25">
      <c r="A88" s="210" t="s">
        <v>15605</v>
      </c>
      <c r="B88" s="204" t="s">
        <v>204</v>
      </c>
      <c r="C88" s="204" t="s">
        <v>2</v>
      </c>
      <c r="D88" s="205">
        <v>3</v>
      </c>
      <c r="E88" s="204" t="s">
        <v>78</v>
      </c>
      <c r="F88" s="204" t="str">
        <f>VLOOKUP(E88,Table10[[COUNTRY NAME]:[CONTINENT CODE]],3,FALSE)</f>
        <v>EU</v>
      </c>
      <c r="G88" s="210" t="s">
        <v>11832</v>
      </c>
      <c r="H88" s="207">
        <v>5646</v>
      </c>
      <c r="I88" s="208">
        <v>14.75</v>
      </c>
      <c r="J88" s="345"/>
      <c r="K88" s="345">
        <f>IFERROR(Table15[[#This Row],[ROUTE $]]/Table15[[#This Row],[E - DEMAND]],0)</f>
        <v>0</v>
      </c>
      <c r="L88" s="204"/>
      <c r="M88" s="412">
        <f>IFERROR(VLOOKUP(Table15[[#This Row],[ROUTE]],DEMAND!A:F,5,FALSE),0)</f>
        <v>4169</v>
      </c>
      <c r="N88" s="16">
        <f>IFERROR(VLOOKUP(Table15[[#This Row],[ROUTE]],DEMAND!A:F,6,FALSE),0)</f>
        <v>4169</v>
      </c>
      <c r="O88" s="16">
        <f>IFERROR(ROUNDDOWN(Table15[[#This Row],[R-DEMAND]]/1706,0),0)</f>
        <v>2</v>
      </c>
      <c r="P88" s="16">
        <f>IFERROR(Table15[[#This Row],[ADD ACC]]*Table15[[#This Row],[RT TIME 
(380-800)]],0)</f>
        <v>29.5</v>
      </c>
      <c r="Q88" s="415">
        <f>IFERROR(VLOOKUP(Table15[[#This Row],[ROUTE]],PRICING!A:B,2,FALSE),0)</f>
        <v>0</v>
      </c>
      <c r="R88" s="235">
        <f>IFERROR(Table15[[#This Row],[C_DEMAND]]-Table15[[#This Row],[R-DEMAND]],0)</f>
        <v>0</v>
      </c>
      <c r="S88" s="408">
        <f t="shared" si="1"/>
        <v>0</v>
      </c>
      <c r="T88" s="419">
        <f>Table15[[#This Row],[R-DEMAND]]-(Table15[[#This Row],[ADD ACC]]*1706)</f>
        <v>757</v>
      </c>
      <c r="U88" s="419">
        <f>ROUNDDOWN(Table15[[#This Row],[Column1]]/1360,0)</f>
        <v>0</v>
      </c>
      <c r="V88" s="419"/>
      <c r="W88" s="251">
        <v>14.75</v>
      </c>
      <c r="X88" s="251">
        <f>ROUNDDOWN(Table15[[#This Row],[R-DEMAND]]/1320,0)</f>
        <v>3</v>
      </c>
      <c r="Y88" s="251">
        <f>IFERROR(Table15[[#This Row],[ADD ACC
(660/1320)]]*Table15[[#This Row],[Duration
(B744)]],0)</f>
        <v>44.25</v>
      </c>
      <c r="Z88" s="251"/>
    </row>
    <row r="89" spans="1:26" ht="15.75" customHeight="1" x14ac:dyDescent="0.25">
      <c r="A89" s="210" t="s">
        <v>15958</v>
      </c>
      <c r="B89" s="204" t="s">
        <v>246</v>
      </c>
      <c r="C89" s="204" t="s">
        <v>67</v>
      </c>
      <c r="D89" s="205">
        <v>2</v>
      </c>
      <c r="E89" s="204" t="s">
        <v>1070</v>
      </c>
      <c r="F89" s="204" t="str">
        <f>VLOOKUP(E89,Table10[[COUNTRY NAME]:[CONTINENT CODE]],3,FALSE)</f>
        <v>AS</v>
      </c>
      <c r="G89" s="206" t="s">
        <v>9268</v>
      </c>
      <c r="H89" s="207">
        <v>714</v>
      </c>
      <c r="I89" s="208">
        <v>3.75</v>
      </c>
      <c r="J89" s="345"/>
      <c r="K89" s="345">
        <f>IFERROR(Table15[[#This Row],[ROUTE $]]/Table15[[#This Row],[E - DEMAND]],0)</f>
        <v>0</v>
      </c>
      <c r="L89" s="204"/>
      <c r="M89" s="412">
        <f>IFERROR(VLOOKUP(Table15[[#This Row],[ROUTE]],DEMAND!A:F,5,FALSE),0)</f>
        <v>4162</v>
      </c>
      <c r="N89" s="16">
        <f>IFERROR(VLOOKUP(Table15[[#This Row],[ROUTE]],DEMAND!A:F,6,FALSE),0)</f>
        <v>4162</v>
      </c>
      <c r="O89" s="16">
        <f>IFERROR(ROUNDDOWN(Table15[[#This Row],[R-DEMAND]]/1706,0),0)</f>
        <v>2</v>
      </c>
      <c r="P89" s="16">
        <f>IFERROR(Table15[[#This Row],[ADD ACC]]*Table15[[#This Row],[RT TIME 
(380-800)]],0)</f>
        <v>7.5</v>
      </c>
      <c r="Q89" s="415">
        <f>IFERROR(VLOOKUP(Table15[[#This Row],[ROUTE]],PRICING!A:B,2,FALSE),0)</f>
        <v>0</v>
      </c>
      <c r="R89" s="235">
        <f>IFERROR(Table15[[#This Row],[C_DEMAND]]-Table15[[#This Row],[R-DEMAND]],0)</f>
        <v>0</v>
      </c>
      <c r="S89" s="408">
        <f t="shared" si="1"/>
        <v>0</v>
      </c>
      <c r="T89" s="419">
        <f>Table15[[#This Row],[R-DEMAND]]-(Table15[[#This Row],[ADD ACC]]*1706)</f>
        <v>750</v>
      </c>
      <c r="U89" s="419">
        <f>ROUNDDOWN(Table15[[#This Row],[Column1]]/1360,0)</f>
        <v>0</v>
      </c>
      <c r="V89" s="419"/>
      <c r="W89" s="251">
        <v>3.75</v>
      </c>
      <c r="X89" s="251">
        <f>ROUNDDOWN(Table15[[#This Row],[R-DEMAND]]/1320,0)</f>
        <v>3</v>
      </c>
      <c r="Y89" s="251">
        <f>IFERROR(Table15[[#This Row],[ADD ACC
(660/1320)]]*Table15[[#This Row],[Duration
(B744)]],0)</f>
        <v>11.25</v>
      </c>
      <c r="Z89" s="251"/>
    </row>
    <row r="90" spans="1:26" ht="15.75" customHeight="1" x14ac:dyDescent="0.25">
      <c r="A90" s="210" t="s">
        <v>15773</v>
      </c>
      <c r="B90" s="204" t="s">
        <v>345</v>
      </c>
      <c r="C90" s="204" t="s">
        <v>2</v>
      </c>
      <c r="D90" s="205">
        <v>2</v>
      </c>
      <c r="E90" s="204" t="s">
        <v>1314</v>
      </c>
      <c r="F90" s="204" t="str">
        <f>VLOOKUP(E90,Table10[[COUNTRY NAME]:[CONTINENT CODE]],3,FALSE)</f>
        <v>AS</v>
      </c>
      <c r="G90" s="206" t="s">
        <v>12102</v>
      </c>
      <c r="H90" s="207">
        <v>3966</v>
      </c>
      <c r="I90" s="208">
        <v>11</v>
      </c>
      <c r="J90" s="345"/>
      <c r="K90" s="345">
        <f>IFERROR(Table15[[#This Row],[ROUTE $]]/Table15[[#This Row],[E - DEMAND]],0)</f>
        <v>0</v>
      </c>
      <c r="L90" s="204"/>
      <c r="M90" s="412">
        <f>IFERROR(VLOOKUP(Table15[[#This Row],[ROUTE]],DEMAND!A:F,5,FALSE),0)</f>
        <v>4142</v>
      </c>
      <c r="N90" s="16">
        <f>IFERROR(VLOOKUP(Table15[[#This Row],[ROUTE]],DEMAND!A:F,6,FALSE),0)</f>
        <v>4142</v>
      </c>
      <c r="O90" s="16">
        <f>IFERROR(ROUNDDOWN(Table15[[#This Row],[R-DEMAND]]/1706,0),0)</f>
        <v>2</v>
      </c>
      <c r="P90" s="16">
        <f>IFERROR(Table15[[#This Row],[ADD ACC]]*Table15[[#This Row],[RT TIME 
(380-800)]],0)</f>
        <v>22</v>
      </c>
      <c r="Q90" s="415">
        <f>IFERROR(VLOOKUP(Table15[[#This Row],[ROUTE]],PRICING!A:B,2,FALSE),0)</f>
        <v>0</v>
      </c>
      <c r="R90" s="235">
        <f>IFERROR(Table15[[#This Row],[C_DEMAND]]-Table15[[#This Row],[R-DEMAND]],0)</f>
        <v>0</v>
      </c>
      <c r="S90" s="408">
        <f t="shared" si="1"/>
        <v>0</v>
      </c>
      <c r="T90" s="419">
        <f>Table15[[#This Row],[R-DEMAND]]-(Table15[[#This Row],[ADD ACC]]*1706)</f>
        <v>730</v>
      </c>
      <c r="U90" s="419">
        <f>ROUNDDOWN(Table15[[#This Row],[Column1]]/1360,0)</f>
        <v>0</v>
      </c>
      <c r="V90" s="419"/>
      <c r="W90" s="251">
        <v>11</v>
      </c>
      <c r="X90" s="251">
        <f>ROUNDDOWN(Table15[[#This Row],[R-DEMAND]]/1320,0)</f>
        <v>3</v>
      </c>
      <c r="Y90" s="251">
        <f>IFERROR(Table15[[#This Row],[ADD ACC
(660/1320)]]*Table15[[#This Row],[Duration
(B744)]],0)</f>
        <v>33</v>
      </c>
      <c r="Z90" s="251"/>
    </row>
    <row r="91" spans="1:26" ht="15.75" customHeight="1" x14ac:dyDescent="0.25">
      <c r="A91" s="210" t="s">
        <v>15946</v>
      </c>
      <c r="B91" s="204" t="s">
        <v>3243</v>
      </c>
      <c r="C91" s="204" t="s">
        <v>67</v>
      </c>
      <c r="D91" s="205">
        <v>2</v>
      </c>
      <c r="E91" s="204" t="s">
        <v>197</v>
      </c>
      <c r="F91" s="204" t="str">
        <f>VLOOKUP(E91,Table10[[COUNTRY NAME]:[CONTINENT CODE]],3,FALSE)</f>
        <v>AS</v>
      </c>
      <c r="G91" s="206" t="s">
        <v>12013</v>
      </c>
      <c r="H91" s="207">
        <v>1365</v>
      </c>
      <c r="I91" s="208">
        <v>5.25</v>
      </c>
      <c r="J91" s="345"/>
      <c r="K91" s="345">
        <f>IFERROR(Table15[[#This Row],[ROUTE $]]/Table15[[#This Row],[E - DEMAND]],0)</f>
        <v>0</v>
      </c>
      <c r="L91" s="204"/>
      <c r="M91" s="412">
        <f>IFERROR(VLOOKUP(Table15[[#This Row],[ROUTE]],DEMAND!A:F,5,FALSE),0)</f>
        <v>4138</v>
      </c>
      <c r="N91" s="16">
        <f>IFERROR(VLOOKUP(Table15[[#This Row],[ROUTE]],DEMAND!A:F,6,FALSE),0)</f>
        <v>4138</v>
      </c>
      <c r="O91" s="16">
        <f>IFERROR(ROUNDDOWN(Table15[[#This Row],[R-DEMAND]]/1706,0),0)</f>
        <v>2</v>
      </c>
      <c r="P91" s="16">
        <f>IFERROR(Table15[[#This Row],[ADD ACC]]*Table15[[#This Row],[RT TIME 
(380-800)]],0)</f>
        <v>10.5</v>
      </c>
      <c r="Q91" s="415">
        <f>IFERROR(VLOOKUP(Table15[[#This Row],[ROUTE]],PRICING!A:B,2,FALSE),0)</f>
        <v>0</v>
      </c>
      <c r="R91" s="235">
        <f>IFERROR(Table15[[#This Row],[C_DEMAND]]-Table15[[#This Row],[R-DEMAND]],0)</f>
        <v>0</v>
      </c>
      <c r="S91" s="408">
        <f t="shared" si="1"/>
        <v>0</v>
      </c>
      <c r="T91" s="419">
        <f>Table15[[#This Row],[R-DEMAND]]-(Table15[[#This Row],[ADD ACC]]*1706)</f>
        <v>726</v>
      </c>
      <c r="U91" s="419">
        <f>ROUNDDOWN(Table15[[#This Row],[Column1]]/1360,0)</f>
        <v>0</v>
      </c>
      <c r="V91" s="419"/>
      <c r="W91" s="251">
        <v>5.25</v>
      </c>
      <c r="X91" s="251">
        <f>ROUNDDOWN(Table15[[#This Row],[R-DEMAND]]/1320,0)</f>
        <v>3</v>
      </c>
      <c r="Y91" s="251">
        <f>IFERROR(Table15[[#This Row],[ADD ACC
(660/1320)]]*Table15[[#This Row],[Duration
(B744)]],0)</f>
        <v>15.75</v>
      </c>
      <c r="Z91" s="251"/>
    </row>
    <row r="92" spans="1:26" ht="15.75" customHeight="1" x14ac:dyDescent="0.25">
      <c r="A92" s="210" t="s">
        <v>15945</v>
      </c>
      <c r="B92" s="204" t="s">
        <v>3628</v>
      </c>
      <c r="C92" s="204" t="s">
        <v>2</v>
      </c>
      <c r="D92" s="205">
        <v>2</v>
      </c>
      <c r="E92" s="204" t="s">
        <v>197</v>
      </c>
      <c r="F92" s="204" t="str">
        <f>VLOOKUP(E92,Table10[[COUNTRY NAME]:[CONTINENT CODE]],3,FALSE)</f>
        <v>AS</v>
      </c>
      <c r="G92" s="206" t="s">
        <v>12003</v>
      </c>
      <c r="H92" s="207">
        <v>1378</v>
      </c>
      <c r="I92" s="208">
        <v>5.25</v>
      </c>
      <c r="J92" s="345"/>
      <c r="K92" s="345">
        <f>IFERROR(Table15[[#This Row],[ROUTE $]]/Table15[[#This Row],[E - DEMAND]],0)</f>
        <v>0</v>
      </c>
      <c r="L92" s="204"/>
      <c r="M92" s="412">
        <f>IFERROR(VLOOKUP(Table15[[#This Row],[ROUTE]],DEMAND!A:F,5,FALSE),0)</f>
        <v>4133</v>
      </c>
      <c r="N92" s="16">
        <f>IFERROR(VLOOKUP(Table15[[#This Row],[ROUTE]],DEMAND!A:F,6,FALSE),0)</f>
        <v>4133</v>
      </c>
      <c r="O92" s="16">
        <f>IFERROR(ROUNDDOWN(Table15[[#This Row],[R-DEMAND]]/1706,0),0)</f>
        <v>2</v>
      </c>
      <c r="P92" s="16">
        <f>IFERROR(Table15[[#This Row],[ADD ACC]]*Table15[[#This Row],[RT TIME 
(380-800)]],0)</f>
        <v>10.5</v>
      </c>
      <c r="Q92" s="415">
        <f>IFERROR(VLOOKUP(Table15[[#This Row],[ROUTE]],PRICING!A:B,2,FALSE),0)</f>
        <v>0</v>
      </c>
      <c r="R92" s="235">
        <f>IFERROR(Table15[[#This Row],[C_DEMAND]]-Table15[[#This Row],[R-DEMAND]],0)</f>
        <v>0</v>
      </c>
      <c r="S92" s="408">
        <f t="shared" si="1"/>
        <v>0</v>
      </c>
      <c r="T92" s="419">
        <f>Table15[[#This Row],[R-DEMAND]]-(Table15[[#This Row],[ADD ACC]]*1706)</f>
        <v>721</v>
      </c>
      <c r="U92" s="419">
        <f>ROUNDDOWN(Table15[[#This Row],[Column1]]/1360,0)</f>
        <v>0</v>
      </c>
      <c r="V92" s="419"/>
      <c r="W92" s="251">
        <v>5.25</v>
      </c>
      <c r="X92" s="251">
        <f>ROUNDDOWN(Table15[[#This Row],[R-DEMAND]]/1320,0)</f>
        <v>3</v>
      </c>
      <c r="Y92" s="251">
        <f>IFERROR(Table15[[#This Row],[ADD ACC
(660/1320)]]*Table15[[#This Row],[Duration
(B744)]],0)</f>
        <v>15.75</v>
      </c>
      <c r="Z92" s="251"/>
    </row>
    <row r="93" spans="1:26" ht="15.75" customHeight="1" x14ac:dyDescent="0.25">
      <c r="A93" s="210" t="s">
        <v>15507</v>
      </c>
      <c r="B93" s="204" t="s">
        <v>2061</v>
      </c>
      <c r="C93" s="204" t="s">
        <v>2</v>
      </c>
      <c r="D93" s="205">
        <v>1</v>
      </c>
      <c r="E93" s="204" t="s">
        <v>2059</v>
      </c>
      <c r="F93" s="204" t="str">
        <f>VLOOKUP(E93,Table10[[COUNTRY NAME]:[CONTINENT CODE]],3,FALSE)</f>
        <v>AF</v>
      </c>
      <c r="G93" s="206" t="s">
        <v>11799</v>
      </c>
      <c r="H93" s="207">
        <v>6579</v>
      </c>
      <c r="I93" s="208">
        <v>16.75</v>
      </c>
      <c r="J93" s="345"/>
      <c r="K93" s="345">
        <f>IFERROR(Table15[[#This Row],[ROUTE $]]/Table15[[#This Row],[E - DEMAND]],0)</f>
        <v>0</v>
      </c>
      <c r="L93" s="204"/>
      <c r="M93" s="412">
        <f>IFERROR(VLOOKUP(Table15[[#This Row],[ROUTE]],DEMAND!A:F,5,FALSE),0)</f>
        <v>4120</v>
      </c>
      <c r="N93" s="16">
        <f>IFERROR(VLOOKUP(Table15[[#This Row],[ROUTE]],DEMAND!A:F,6,FALSE),0)</f>
        <v>4120</v>
      </c>
      <c r="O93" s="16">
        <f>IFERROR(ROUNDDOWN(Table15[[#This Row],[R-DEMAND]]/1706,0),0)</f>
        <v>2</v>
      </c>
      <c r="P93" s="16">
        <f>IFERROR(Table15[[#This Row],[ADD ACC]]*Table15[[#This Row],[RT TIME 
(380-800)]],0)</f>
        <v>33.5</v>
      </c>
      <c r="Q93" s="415">
        <f>IFERROR(VLOOKUP(Table15[[#This Row],[ROUTE]],PRICING!A:B,2,FALSE),0)</f>
        <v>0</v>
      </c>
      <c r="R93" s="235">
        <f>IFERROR(Table15[[#This Row],[C_DEMAND]]-Table15[[#This Row],[R-DEMAND]],0)</f>
        <v>0</v>
      </c>
      <c r="S93" s="408">
        <f t="shared" si="1"/>
        <v>0</v>
      </c>
      <c r="T93" s="419">
        <f>Table15[[#This Row],[R-DEMAND]]-(Table15[[#This Row],[ADD ACC]]*1706)</f>
        <v>708</v>
      </c>
      <c r="U93" s="419">
        <f>ROUNDDOWN(Table15[[#This Row],[Column1]]/1360,0)</f>
        <v>0</v>
      </c>
      <c r="V93" s="419"/>
      <c r="W93" s="251">
        <v>16.75</v>
      </c>
      <c r="X93" s="251">
        <f>ROUNDDOWN(Table15[[#This Row],[R-DEMAND]]/1320,0)</f>
        <v>3</v>
      </c>
      <c r="Y93" s="251">
        <f>IFERROR(Table15[[#This Row],[ADD ACC
(660/1320)]]*Table15[[#This Row],[Duration
(B744)]],0)</f>
        <v>50.25</v>
      </c>
      <c r="Z93" s="251"/>
    </row>
    <row r="94" spans="1:26" ht="15.75" customHeight="1" x14ac:dyDescent="0.25">
      <c r="A94" s="210" t="s">
        <v>15655</v>
      </c>
      <c r="B94" s="204" t="s">
        <v>5272</v>
      </c>
      <c r="C94" s="204" t="s">
        <v>2</v>
      </c>
      <c r="D94" s="205">
        <v>3</v>
      </c>
      <c r="E94" s="204" t="s">
        <v>14</v>
      </c>
      <c r="F94" s="204" t="str">
        <f>VLOOKUP(E94,Table10[[COUNTRY NAME]:[CONTINENT CODE]],3,FALSE)</f>
        <v>AS</v>
      </c>
      <c r="G94" s="206" t="s">
        <v>12053</v>
      </c>
      <c r="H94" s="207">
        <v>5025</v>
      </c>
      <c r="I94" s="208">
        <v>13.25</v>
      </c>
      <c r="J94" s="345"/>
      <c r="K94" s="345">
        <f>IFERROR(Table15[[#This Row],[ROUTE $]]/Table15[[#This Row],[E - DEMAND]],0)</f>
        <v>0</v>
      </c>
      <c r="L94" s="204"/>
      <c r="M94" s="412">
        <f>IFERROR(VLOOKUP(Table15[[#This Row],[ROUTE]],DEMAND!A:F,5,FALSE),0)</f>
        <v>4111</v>
      </c>
      <c r="N94" s="16">
        <f>IFERROR(VLOOKUP(Table15[[#This Row],[ROUTE]],DEMAND!A:F,6,FALSE),0)</f>
        <v>4111</v>
      </c>
      <c r="O94" s="16">
        <f>IFERROR(ROUNDDOWN(Table15[[#This Row],[R-DEMAND]]/1706,0),0)</f>
        <v>2</v>
      </c>
      <c r="P94" s="16">
        <f>IFERROR(Table15[[#This Row],[ADD ACC]]*Table15[[#This Row],[RT TIME 
(380-800)]],0)</f>
        <v>26.5</v>
      </c>
      <c r="Q94" s="415">
        <f>IFERROR(VLOOKUP(Table15[[#This Row],[ROUTE]],PRICING!A:B,2,FALSE),0)</f>
        <v>0</v>
      </c>
      <c r="R94" s="235">
        <f>IFERROR(Table15[[#This Row],[C_DEMAND]]-Table15[[#This Row],[R-DEMAND]],0)</f>
        <v>0</v>
      </c>
      <c r="S94" s="408">
        <f t="shared" si="1"/>
        <v>0</v>
      </c>
      <c r="T94" s="419">
        <f>Table15[[#This Row],[R-DEMAND]]-(Table15[[#This Row],[ADD ACC]]*1706)</f>
        <v>699</v>
      </c>
      <c r="U94" s="419">
        <f>ROUNDDOWN(Table15[[#This Row],[Column1]]/1360,0)</f>
        <v>0</v>
      </c>
      <c r="V94" s="419"/>
      <c r="W94" s="251">
        <v>13.25</v>
      </c>
      <c r="X94" s="251">
        <f>ROUNDDOWN(Table15[[#This Row],[R-DEMAND]]/1320,0)</f>
        <v>3</v>
      </c>
      <c r="Y94" s="251">
        <f>IFERROR(Table15[[#This Row],[ADD ACC
(660/1320)]]*Table15[[#This Row],[Duration
(B744)]],0)</f>
        <v>39.75</v>
      </c>
      <c r="Z94" s="251"/>
    </row>
    <row r="95" spans="1:26" ht="15.75" customHeight="1" x14ac:dyDescent="0.25">
      <c r="A95" s="210" t="s">
        <v>15894</v>
      </c>
      <c r="B95" s="204" t="s">
        <v>4935</v>
      </c>
      <c r="C95" s="204" t="s">
        <v>2</v>
      </c>
      <c r="D95" s="205">
        <v>3</v>
      </c>
      <c r="E95" s="204" t="s">
        <v>502</v>
      </c>
      <c r="F95" s="204" t="str">
        <f>VLOOKUP(E95,Table10[[COUNTRY NAME]:[CONTINENT CODE]],3,FALSE)</f>
        <v>AS</v>
      </c>
      <c r="G95" s="206" t="s">
        <v>11947</v>
      </c>
      <c r="H95" s="207">
        <v>2584</v>
      </c>
      <c r="I95" s="208">
        <v>7.75</v>
      </c>
      <c r="J95" s="345"/>
      <c r="K95" s="345">
        <f>IFERROR(Table15[[#This Row],[ROUTE $]]/Table15[[#This Row],[E - DEMAND]],0)</f>
        <v>0</v>
      </c>
      <c r="L95" s="204"/>
      <c r="M95" s="412">
        <f>IFERROR(VLOOKUP(Table15[[#This Row],[ROUTE]],DEMAND!A:F,5,FALSE),0)</f>
        <v>4090</v>
      </c>
      <c r="N95" s="16">
        <f>IFERROR(VLOOKUP(Table15[[#This Row],[ROUTE]],DEMAND!A:F,6,FALSE),0)</f>
        <v>4090</v>
      </c>
      <c r="O95" s="16">
        <f>IFERROR(ROUNDDOWN(Table15[[#This Row],[R-DEMAND]]/1706,0),0)</f>
        <v>2</v>
      </c>
      <c r="P95" s="16">
        <f>IFERROR(Table15[[#This Row],[ADD ACC]]*Table15[[#This Row],[RT TIME 
(380-800)]],0)</f>
        <v>15.5</v>
      </c>
      <c r="Q95" s="415">
        <f>IFERROR(VLOOKUP(Table15[[#This Row],[ROUTE]],PRICING!A:B,2,FALSE),0)</f>
        <v>0</v>
      </c>
      <c r="R95" s="235">
        <f>IFERROR(Table15[[#This Row],[C_DEMAND]]-Table15[[#This Row],[R-DEMAND]],0)</f>
        <v>0</v>
      </c>
      <c r="S95" s="408">
        <f t="shared" si="1"/>
        <v>0</v>
      </c>
      <c r="T95" s="419">
        <f>Table15[[#This Row],[R-DEMAND]]-(Table15[[#This Row],[ADD ACC]]*1706)</f>
        <v>678</v>
      </c>
      <c r="U95" s="419">
        <f>ROUNDDOWN(Table15[[#This Row],[Column1]]/1360,0)</f>
        <v>0</v>
      </c>
      <c r="V95" s="419"/>
      <c r="W95" s="251">
        <v>7.75</v>
      </c>
      <c r="X95" s="251">
        <f>ROUNDDOWN(Table15[[#This Row],[R-DEMAND]]/1320,0)</f>
        <v>3</v>
      </c>
      <c r="Y95" s="251">
        <f>IFERROR(Table15[[#This Row],[ADD ACC
(660/1320)]]*Table15[[#This Row],[Duration
(B744)]],0)</f>
        <v>23.25</v>
      </c>
      <c r="Z95" s="251"/>
    </row>
    <row r="96" spans="1:26" ht="15.75" customHeight="1" x14ac:dyDescent="0.25">
      <c r="A96" s="210" t="s">
        <v>15637</v>
      </c>
      <c r="B96" s="204" t="s">
        <v>5358</v>
      </c>
      <c r="C96" s="204" t="s">
        <v>2</v>
      </c>
      <c r="D96" s="205">
        <v>3</v>
      </c>
      <c r="E96" s="204" t="s">
        <v>1420</v>
      </c>
      <c r="F96" s="204" t="str">
        <f>VLOOKUP(E96,Table10[[COUNTRY NAME]:[CONTINENT CODE]],3,FALSE)</f>
        <v>EU</v>
      </c>
      <c r="G96" s="210" t="s">
        <v>11837</v>
      </c>
      <c r="H96" s="207">
        <v>5151</v>
      </c>
      <c r="I96" s="208">
        <v>13.5</v>
      </c>
      <c r="J96" s="345"/>
      <c r="K96" s="345">
        <f>IFERROR(Table15[[#This Row],[ROUTE $]]/Table15[[#This Row],[E - DEMAND]],0)</f>
        <v>0</v>
      </c>
      <c r="L96" s="204"/>
      <c r="M96" s="412">
        <f>IFERROR(VLOOKUP(Table15[[#This Row],[ROUTE]],DEMAND!A:F,5,FALSE),0)</f>
        <v>4088</v>
      </c>
      <c r="N96" s="16">
        <f>IFERROR(VLOOKUP(Table15[[#This Row],[ROUTE]],DEMAND!A:F,6,FALSE),0)</f>
        <v>4088</v>
      </c>
      <c r="O96" s="16">
        <f>IFERROR(ROUNDDOWN(Table15[[#This Row],[R-DEMAND]]/1706,0),0)</f>
        <v>2</v>
      </c>
      <c r="P96" s="16">
        <f>IFERROR(Table15[[#This Row],[ADD ACC]]*Table15[[#This Row],[RT TIME 
(380-800)]],0)</f>
        <v>27</v>
      </c>
      <c r="Q96" s="415">
        <f>IFERROR(VLOOKUP(Table15[[#This Row],[ROUTE]],PRICING!A:B,2,FALSE),0)</f>
        <v>0</v>
      </c>
      <c r="R96" s="235">
        <f>IFERROR(Table15[[#This Row],[C_DEMAND]]-Table15[[#This Row],[R-DEMAND]],0)</f>
        <v>0</v>
      </c>
      <c r="S96" s="408">
        <f t="shared" si="1"/>
        <v>0</v>
      </c>
      <c r="T96" s="419">
        <f>Table15[[#This Row],[R-DEMAND]]-(Table15[[#This Row],[ADD ACC]]*1706)</f>
        <v>676</v>
      </c>
      <c r="U96" s="419">
        <f>ROUNDDOWN(Table15[[#This Row],[Column1]]/1360,0)</f>
        <v>0</v>
      </c>
      <c r="V96" s="419"/>
      <c r="W96" s="251">
        <v>13.5</v>
      </c>
      <c r="X96" s="251">
        <f>ROUNDDOWN(Table15[[#This Row],[R-DEMAND]]/1320,0)</f>
        <v>3</v>
      </c>
      <c r="Y96" s="251">
        <f>IFERROR(Table15[[#This Row],[ADD ACC
(660/1320)]]*Table15[[#This Row],[Duration
(B744)]],0)</f>
        <v>40.5</v>
      </c>
      <c r="Z96" s="251"/>
    </row>
    <row r="97" spans="1:26" ht="15.75" customHeight="1" x14ac:dyDescent="0.25">
      <c r="A97" s="210" t="s">
        <v>15669</v>
      </c>
      <c r="B97" s="204" t="s">
        <v>417</v>
      </c>
      <c r="C97" s="204" t="s">
        <v>2</v>
      </c>
      <c r="D97" s="205">
        <v>3</v>
      </c>
      <c r="E97" s="204" t="s">
        <v>709</v>
      </c>
      <c r="F97" s="204" t="str">
        <f>VLOOKUP(E97,Table10[[COUNTRY NAME]:[CONTINENT CODE]],3,FALSE)</f>
        <v>AS</v>
      </c>
      <c r="G97" s="206" t="s">
        <v>12105</v>
      </c>
      <c r="H97" s="207">
        <v>4895</v>
      </c>
      <c r="I97" s="208">
        <v>13</v>
      </c>
      <c r="J97" s="345"/>
      <c r="K97" s="345">
        <f>IFERROR(Table15[[#This Row],[ROUTE $]]/Table15[[#This Row],[E - DEMAND]],0)</f>
        <v>0</v>
      </c>
      <c r="L97" s="204"/>
      <c r="M97" s="412">
        <f>IFERROR(VLOOKUP(Table15[[#This Row],[ROUTE]],DEMAND!A:F,5,FALSE),0)</f>
        <v>4088</v>
      </c>
      <c r="N97" s="16">
        <f>IFERROR(VLOOKUP(Table15[[#This Row],[ROUTE]],DEMAND!A:F,6,FALSE),0)</f>
        <v>4088</v>
      </c>
      <c r="O97" s="16">
        <f>IFERROR(ROUNDDOWN(Table15[[#This Row],[R-DEMAND]]/1706,0),0)</f>
        <v>2</v>
      </c>
      <c r="P97" s="16">
        <f>IFERROR(Table15[[#This Row],[ADD ACC]]*Table15[[#This Row],[RT TIME 
(380-800)]],0)</f>
        <v>26</v>
      </c>
      <c r="Q97" s="415">
        <f>IFERROR(VLOOKUP(Table15[[#This Row],[ROUTE]],PRICING!A:B,2,FALSE),0)</f>
        <v>0</v>
      </c>
      <c r="R97" s="235">
        <f>IFERROR(Table15[[#This Row],[C_DEMAND]]-Table15[[#This Row],[R-DEMAND]],0)</f>
        <v>0</v>
      </c>
      <c r="S97" s="408">
        <f t="shared" si="1"/>
        <v>0</v>
      </c>
      <c r="T97" s="419">
        <f>Table15[[#This Row],[R-DEMAND]]-(Table15[[#This Row],[ADD ACC]]*1706)</f>
        <v>676</v>
      </c>
      <c r="U97" s="419">
        <f>ROUNDDOWN(Table15[[#This Row],[Column1]]/1360,0)</f>
        <v>0</v>
      </c>
      <c r="V97" s="419"/>
      <c r="W97" s="251">
        <v>13</v>
      </c>
      <c r="X97" s="251">
        <f>ROUNDDOWN(Table15[[#This Row],[R-DEMAND]]/1320,0)</f>
        <v>3</v>
      </c>
      <c r="Y97" s="251">
        <f>IFERROR(Table15[[#This Row],[ADD ACC
(660/1320)]]*Table15[[#This Row],[Duration
(B744)]],0)</f>
        <v>39</v>
      </c>
      <c r="Z97" s="251"/>
    </row>
    <row r="98" spans="1:26" ht="15.75" customHeight="1" x14ac:dyDescent="0.25">
      <c r="A98" s="210" t="s">
        <v>15950</v>
      </c>
      <c r="B98" s="204" t="s">
        <v>24</v>
      </c>
      <c r="C98" s="204" t="s">
        <v>67</v>
      </c>
      <c r="D98" s="205">
        <v>2</v>
      </c>
      <c r="E98" s="204" t="s">
        <v>1070</v>
      </c>
      <c r="F98" s="204" t="str">
        <f>VLOOKUP(E98,Table10[[COUNTRY NAME]:[CONTINENT CODE]],3,FALSE)</f>
        <v>AS</v>
      </c>
      <c r="G98" s="206" t="s">
        <v>6654</v>
      </c>
      <c r="H98" s="207">
        <v>1103</v>
      </c>
      <c r="I98" s="208">
        <v>4.5</v>
      </c>
      <c r="J98" s="345"/>
      <c r="K98" s="345">
        <f>IFERROR(Table15[[#This Row],[ROUTE $]]/Table15[[#This Row],[E - DEMAND]],0)</f>
        <v>0</v>
      </c>
      <c r="L98" s="204"/>
      <c r="M98" s="412">
        <f>IFERROR(VLOOKUP(Table15[[#This Row],[ROUTE]],DEMAND!A:F,5,FALSE),0)</f>
        <v>4069</v>
      </c>
      <c r="N98" s="16">
        <f>IFERROR(VLOOKUP(Table15[[#This Row],[ROUTE]],DEMAND!A:F,6,FALSE),0)</f>
        <v>4069</v>
      </c>
      <c r="O98" s="16">
        <f>IFERROR(ROUNDDOWN(Table15[[#This Row],[R-DEMAND]]/1706,0),0)</f>
        <v>2</v>
      </c>
      <c r="P98" s="16">
        <f>IFERROR(Table15[[#This Row],[ADD ACC]]*Table15[[#This Row],[RT TIME 
(380-800)]],0)</f>
        <v>9</v>
      </c>
      <c r="Q98" s="415">
        <f>IFERROR(VLOOKUP(Table15[[#This Row],[ROUTE]],PRICING!A:B,2,FALSE),0)</f>
        <v>0</v>
      </c>
      <c r="R98" s="235">
        <f>IFERROR(Table15[[#This Row],[C_DEMAND]]-Table15[[#This Row],[R-DEMAND]],0)</f>
        <v>0</v>
      </c>
      <c r="S98" s="408">
        <f t="shared" si="1"/>
        <v>0</v>
      </c>
      <c r="T98" s="419">
        <f>Table15[[#This Row],[R-DEMAND]]-(Table15[[#This Row],[ADD ACC]]*1706)</f>
        <v>657</v>
      </c>
      <c r="U98" s="419">
        <f>ROUNDDOWN(Table15[[#This Row],[Column1]]/1360,0)</f>
        <v>0</v>
      </c>
      <c r="V98" s="419"/>
      <c r="W98" s="251">
        <v>4.5</v>
      </c>
      <c r="X98" s="251">
        <f>ROUNDDOWN(Table15[[#This Row],[R-DEMAND]]/1320,0)</f>
        <v>3</v>
      </c>
      <c r="Y98" s="251">
        <f>IFERROR(Table15[[#This Row],[ADD ACC
(660/1320)]]*Table15[[#This Row],[Duration
(B744)]],0)</f>
        <v>13.5</v>
      </c>
      <c r="Z98" s="251"/>
    </row>
    <row r="99" spans="1:26" ht="15.75" customHeight="1" x14ac:dyDescent="0.25">
      <c r="A99" s="210" t="s">
        <v>15746</v>
      </c>
      <c r="B99" s="204" t="s">
        <v>4404</v>
      </c>
      <c r="C99" s="204" t="s">
        <v>2</v>
      </c>
      <c r="D99" s="205">
        <v>2</v>
      </c>
      <c r="E99" s="204" t="s">
        <v>700</v>
      </c>
      <c r="F99" s="204" t="str">
        <f>VLOOKUP(E99,Table10[[COUNTRY NAME]:[CONTINENT CODE]],3,FALSE)</f>
        <v>AS</v>
      </c>
      <c r="G99" s="206" t="s">
        <v>11867</v>
      </c>
      <c r="H99" s="207">
        <v>4202</v>
      </c>
      <c r="I99" s="208">
        <v>11.5</v>
      </c>
      <c r="J99" s="345"/>
      <c r="K99" s="345">
        <f>IFERROR(Table15[[#This Row],[ROUTE $]]/Table15[[#This Row],[E - DEMAND]],0)</f>
        <v>0</v>
      </c>
      <c r="L99" s="204"/>
      <c r="M99" s="412">
        <f>IFERROR(VLOOKUP(Table15[[#This Row],[ROUTE]],DEMAND!A:F,5,FALSE),0)</f>
        <v>4064</v>
      </c>
      <c r="N99" s="16">
        <f>IFERROR(VLOOKUP(Table15[[#This Row],[ROUTE]],DEMAND!A:F,6,FALSE),0)</f>
        <v>4064</v>
      </c>
      <c r="O99" s="16">
        <f>IFERROR(ROUNDDOWN(Table15[[#This Row],[R-DEMAND]]/1706,0),0)</f>
        <v>2</v>
      </c>
      <c r="P99" s="16">
        <f>IFERROR(Table15[[#This Row],[ADD ACC]]*Table15[[#This Row],[RT TIME 
(380-800)]],0)</f>
        <v>23</v>
      </c>
      <c r="Q99" s="415">
        <f>IFERROR(VLOOKUP(Table15[[#This Row],[ROUTE]],PRICING!A:B,2,FALSE),0)</f>
        <v>0</v>
      </c>
      <c r="R99" s="235">
        <f>IFERROR(Table15[[#This Row],[C_DEMAND]]-Table15[[#This Row],[R-DEMAND]],0)</f>
        <v>0</v>
      </c>
      <c r="S99" s="408">
        <f t="shared" si="1"/>
        <v>0</v>
      </c>
      <c r="T99" s="419">
        <f>Table15[[#This Row],[R-DEMAND]]-(Table15[[#This Row],[ADD ACC]]*1706)</f>
        <v>652</v>
      </c>
      <c r="U99" s="419">
        <f>ROUNDDOWN(Table15[[#This Row],[Column1]]/1360,0)</f>
        <v>0</v>
      </c>
      <c r="V99" s="419"/>
      <c r="W99" s="251">
        <v>11.5</v>
      </c>
      <c r="X99" s="251">
        <f>ROUNDDOWN(Table15[[#This Row],[R-DEMAND]]/1320,0)</f>
        <v>3</v>
      </c>
      <c r="Y99" s="251">
        <f>IFERROR(Table15[[#This Row],[ADD ACC
(660/1320)]]*Table15[[#This Row],[Duration
(B744)]],0)</f>
        <v>34.5</v>
      </c>
      <c r="Z99" s="251"/>
    </row>
    <row r="100" spans="1:26" ht="15.75" customHeight="1" x14ac:dyDescent="0.25">
      <c r="A100" s="210" t="s">
        <v>15743</v>
      </c>
      <c r="B100" s="204" t="s">
        <v>4488</v>
      </c>
      <c r="C100" s="204" t="s">
        <v>2</v>
      </c>
      <c r="D100" s="205">
        <v>2</v>
      </c>
      <c r="E100" s="204" t="s">
        <v>700</v>
      </c>
      <c r="F100" s="204" t="str">
        <f>VLOOKUP(E100,Table10[[COUNTRY NAME]:[CONTINENT CODE]],3,FALSE)</f>
        <v>AS</v>
      </c>
      <c r="G100" s="206" t="s">
        <v>11868</v>
      </c>
      <c r="H100" s="207">
        <v>4226</v>
      </c>
      <c r="I100" s="208">
        <v>11.5</v>
      </c>
      <c r="J100" s="345"/>
      <c r="K100" s="345">
        <f>IFERROR(Table15[[#This Row],[ROUTE $]]/Table15[[#This Row],[E - DEMAND]],0)</f>
        <v>0</v>
      </c>
      <c r="L100" s="204"/>
      <c r="M100" s="412">
        <f>IFERROR(VLOOKUP(Table15[[#This Row],[ROUTE]],DEMAND!A:F,5,FALSE),0)</f>
        <v>4061</v>
      </c>
      <c r="N100" s="16">
        <f>IFERROR(VLOOKUP(Table15[[#This Row],[ROUTE]],DEMAND!A:F,6,FALSE),0)</f>
        <v>4061</v>
      </c>
      <c r="O100" s="16">
        <f>IFERROR(ROUNDDOWN(Table15[[#This Row],[R-DEMAND]]/1706,0),0)</f>
        <v>2</v>
      </c>
      <c r="P100" s="16">
        <f>IFERROR(Table15[[#This Row],[ADD ACC]]*Table15[[#This Row],[RT TIME 
(380-800)]],0)</f>
        <v>23</v>
      </c>
      <c r="Q100" s="415">
        <f>IFERROR(VLOOKUP(Table15[[#This Row],[ROUTE]],PRICING!A:B,2,FALSE),0)</f>
        <v>0</v>
      </c>
      <c r="R100" s="235">
        <f>IFERROR(Table15[[#This Row],[C_DEMAND]]-Table15[[#This Row],[R-DEMAND]],0)</f>
        <v>0</v>
      </c>
      <c r="S100" s="408">
        <f t="shared" si="1"/>
        <v>0</v>
      </c>
      <c r="T100" s="419">
        <f>Table15[[#This Row],[R-DEMAND]]-(Table15[[#This Row],[ADD ACC]]*1706)</f>
        <v>649</v>
      </c>
      <c r="U100" s="419">
        <f>ROUNDDOWN(Table15[[#This Row],[Column1]]/1360,0)</f>
        <v>0</v>
      </c>
      <c r="V100" s="419"/>
      <c r="W100" s="251">
        <v>11.5</v>
      </c>
      <c r="X100" s="251">
        <f>ROUNDDOWN(Table15[[#This Row],[R-DEMAND]]/1320,0)</f>
        <v>3</v>
      </c>
      <c r="Y100" s="251">
        <f>IFERROR(Table15[[#This Row],[ADD ACC
(660/1320)]]*Table15[[#This Row],[Duration
(B744)]],0)</f>
        <v>34.5</v>
      </c>
      <c r="Z100" s="251"/>
    </row>
    <row r="101" spans="1:26" ht="15.75" customHeight="1" x14ac:dyDescent="0.25">
      <c r="A101" s="210" t="s">
        <v>15772</v>
      </c>
      <c r="B101" s="204" t="s">
        <v>4447</v>
      </c>
      <c r="C101" s="204" t="s">
        <v>2</v>
      </c>
      <c r="D101" s="205">
        <v>2</v>
      </c>
      <c r="E101" s="204" t="s">
        <v>700</v>
      </c>
      <c r="F101" s="204" t="str">
        <f>VLOOKUP(E101,Table10[[COUNTRY NAME]:[CONTINENT CODE]],3,FALSE)</f>
        <v>AS</v>
      </c>
      <c r="G101" s="206" t="s">
        <v>11884</v>
      </c>
      <c r="H101" s="207">
        <v>3968</v>
      </c>
      <c r="I101" s="208">
        <v>11</v>
      </c>
      <c r="J101" s="345"/>
      <c r="K101" s="345">
        <f>IFERROR(Table15[[#This Row],[ROUTE $]]/Table15[[#This Row],[E - DEMAND]],0)</f>
        <v>0</v>
      </c>
      <c r="L101" s="204"/>
      <c r="M101" s="412">
        <f>IFERROR(VLOOKUP(Table15[[#This Row],[ROUTE]],DEMAND!A:F,5,FALSE),0)</f>
        <v>4047</v>
      </c>
      <c r="N101" s="16">
        <f>IFERROR(VLOOKUP(Table15[[#This Row],[ROUTE]],DEMAND!A:F,6,FALSE),0)</f>
        <v>4047</v>
      </c>
      <c r="O101" s="16">
        <f>IFERROR(ROUNDDOWN(Table15[[#This Row],[R-DEMAND]]/1706,0),0)</f>
        <v>2</v>
      </c>
      <c r="P101" s="16">
        <f>IFERROR(Table15[[#This Row],[ADD ACC]]*Table15[[#This Row],[RT TIME 
(380-800)]],0)</f>
        <v>22</v>
      </c>
      <c r="Q101" s="415">
        <f>IFERROR(VLOOKUP(Table15[[#This Row],[ROUTE]],PRICING!A:B,2,FALSE),0)</f>
        <v>0</v>
      </c>
      <c r="R101" s="235">
        <f>IFERROR(Table15[[#This Row],[C_DEMAND]]-Table15[[#This Row],[R-DEMAND]],0)</f>
        <v>0</v>
      </c>
      <c r="S101" s="408">
        <f t="shared" si="1"/>
        <v>0</v>
      </c>
      <c r="T101" s="419">
        <f>Table15[[#This Row],[R-DEMAND]]-(Table15[[#This Row],[ADD ACC]]*1706)</f>
        <v>635</v>
      </c>
      <c r="U101" s="419">
        <f>ROUNDDOWN(Table15[[#This Row],[Column1]]/1360,0)</f>
        <v>0</v>
      </c>
      <c r="V101" s="419"/>
      <c r="W101" s="251">
        <v>11</v>
      </c>
      <c r="X101" s="251">
        <f>ROUNDDOWN(Table15[[#This Row],[R-DEMAND]]/1320,0)</f>
        <v>3</v>
      </c>
      <c r="Y101" s="251">
        <f>IFERROR(Table15[[#This Row],[ADD ACC
(660/1320)]]*Table15[[#This Row],[Duration
(B744)]],0)</f>
        <v>33</v>
      </c>
      <c r="Z101" s="251"/>
    </row>
    <row r="102" spans="1:26" ht="15.75" customHeight="1" x14ac:dyDescent="0.25">
      <c r="A102" s="210" t="s">
        <v>15595</v>
      </c>
      <c r="B102" s="204" t="s">
        <v>5567</v>
      </c>
      <c r="C102" s="204" t="s">
        <v>2</v>
      </c>
      <c r="D102" s="205">
        <v>4</v>
      </c>
      <c r="E102" s="204" t="s">
        <v>758</v>
      </c>
      <c r="F102" s="204" t="str">
        <f>VLOOKUP(E102,Table10[[COUNTRY NAME]:[CONTINENT CODE]],3,FALSE)</f>
        <v>EU</v>
      </c>
      <c r="G102" s="210" t="s">
        <v>11029</v>
      </c>
      <c r="H102" s="207">
        <v>5781</v>
      </c>
      <c r="I102" s="208">
        <v>15</v>
      </c>
      <c r="J102" s="345"/>
      <c r="K102" s="345">
        <f>IFERROR(Table15[[#This Row],[ROUTE $]]/Table15[[#This Row],[E - DEMAND]],0)</f>
        <v>0</v>
      </c>
      <c r="L102" s="204"/>
      <c r="M102" s="412">
        <f>IFERROR(VLOOKUP(Table15[[#This Row],[ROUTE]],DEMAND!A:F,5,FALSE),0)</f>
        <v>4043</v>
      </c>
      <c r="N102" s="16">
        <f>IFERROR(VLOOKUP(Table15[[#This Row],[ROUTE]],DEMAND!A:F,6,FALSE),0)</f>
        <v>4043</v>
      </c>
      <c r="O102" s="16">
        <f>IFERROR(ROUNDDOWN(Table15[[#This Row],[R-DEMAND]]/1706,0),0)</f>
        <v>2</v>
      </c>
      <c r="P102" s="16">
        <f>IFERROR(Table15[[#This Row],[ADD ACC]]*Table15[[#This Row],[RT TIME 
(380-800)]],0)</f>
        <v>30</v>
      </c>
      <c r="Q102" s="415">
        <f>IFERROR(VLOOKUP(Table15[[#This Row],[ROUTE]],PRICING!A:B,2,FALSE),0)</f>
        <v>0</v>
      </c>
      <c r="R102" s="235">
        <f>IFERROR(Table15[[#This Row],[C_DEMAND]]-Table15[[#This Row],[R-DEMAND]],0)</f>
        <v>0</v>
      </c>
      <c r="S102" s="408">
        <f t="shared" si="1"/>
        <v>0</v>
      </c>
      <c r="T102" s="419">
        <f>Table15[[#This Row],[R-DEMAND]]-(Table15[[#This Row],[ADD ACC]]*1706)</f>
        <v>631</v>
      </c>
      <c r="U102" s="419">
        <f>ROUNDDOWN(Table15[[#This Row],[Column1]]/1360,0)</f>
        <v>0</v>
      </c>
      <c r="V102" s="419"/>
      <c r="W102" s="251">
        <v>15</v>
      </c>
      <c r="X102" s="251">
        <f>ROUNDDOWN(Table15[[#This Row],[R-DEMAND]]/1320,0)</f>
        <v>3</v>
      </c>
      <c r="Y102" s="251">
        <f>IFERROR(Table15[[#This Row],[ADD ACC
(660/1320)]]*Table15[[#This Row],[Duration
(B744)]],0)</f>
        <v>45</v>
      </c>
      <c r="Z102" s="251"/>
    </row>
    <row r="103" spans="1:26" ht="15.75" customHeight="1" x14ac:dyDescent="0.25">
      <c r="A103" s="210" t="s">
        <v>15909</v>
      </c>
      <c r="B103" s="204" t="s">
        <v>4824</v>
      </c>
      <c r="C103" s="204" t="s">
        <v>67</v>
      </c>
      <c r="D103" s="205">
        <v>3</v>
      </c>
      <c r="E103" s="204" t="s">
        <v>502</v>
      </c>
      <c r="F103" s="204" t="str">
        <f>VLOOKUP(E103,Table10[[COUNTRY NAME]:[CONTINENT CODE]],3,FALSE)</f>
        <v>AS</v>
      </c>
      <c r="G103" s="206" t="s">
        <v>11965</v>
      </c>
      <c r="H103" s="207">
        <v>2304</v>
      </c>
      <c r="I103" s="208">
        <v>7.25</v>
      </c>
      <c r="J103" s="345"/>
      <c r="K103" s="345">
        <f>IFERROR(Table15[[#This Row],[ROUTE $]]/Table15[[#This Row],[E - DEMAND]],0)</f>
        <v>0</v>
      </c>
      <c r="L103" s="204"/>
      <c r="M103" s="412">
        <f>IFERROR(VLOOKUP(Table15[[#This Row],[ROUTE]],DEMAND!A:F,5,FALSE),0)</f>
        <v>4035</v>
      </c>
      <c r="N103" s="16">
        <f>IFERROR(VLOOKUP(Table15[[#This Row],[ROUTE]],DEMAND!A:F,6,FALSE),0)</f>
        <v>4035</v>
      </c>
      <c r="O103" s="16">
        <f>IFERROR(ROUNDDOWN(Table15[[#This Row],[R-DEMAND]]/1706,0),0)</f>
        <v>2</v>
      </c>
      <c r="P103" s="16">
        <f>IFERROR(Table15[[#This Row],[ADD ACC]]*Table15[[#This Row],[RT TIME 
(380-800)]],0)</f>
        <v>14.5</v>
      </c>
      <c r="Q103" s="415">
        <f>IFERROR(VLOOKUP(Table15[[#This Row],[ROUTE]],PRICING!A:B,2,FALSE),0)</f>
        <v>0</v>
      </c>
      <c r="R103" s="235">
        <f>IFERROR(Table15[[#This Row],[C_DEMAND]]-Table15[[#This Row],[R-DEMAND]],0)</f>
        <v>0</v>
      </c>
      <c r="S103" s="408">
        <f t="shared" si="1"/>
        <v>0</v>
      </c>
      <c r="T103" s="419">
        <f>Table15[[#This Row],[R-DEMAND]]-(Table15[[#This Row],[ADD ACC]]*1706)</f>
        <v>623</v>
      </c>
      <c r="U103" s="419">
        <f>ROUNDDOWN(Table15[[#This Row],[Column1]]/1360,0)</f>
        <v>0</v>
      </c>
      <c r="V103" s="419"/>
      <c r="W103" s="251">
        <v>7.25</v>
      </c>
      <c r="X103" s="251">
        <f>ROUNDDOWN(Table15[[#This Row],[R-DEMAND]]/1320,0)</f>
        <v>3</v>
      </c>
      <c r="Y103" s="251">
        <f>IFERROR(Table15[[#This Row],[ADD ACC
(660/1320)]]*Table15[[#This Row],[Duration
(B744)]],0)</f>
        <v>21.75</v>
      </c>
      <c r="Z103" s="251"/>
    </row>
    <row r="104" spans="1:26" ht="15.75" customHeight="1" x14ac:dyDescent="0.25">
      <c r="A104" s="210" t="s">
        <v>15744</v>
      </c>
      <c r="B104" s="204" t="s">
        <v>4781</v>
      </c>
      <c r="C104" s="204" t="s">
        <v>2</v>
      </c>
      <c r="D104" s="205">
        <v>3</v>
      </c>
      <c r="E104" s="204" t="s">
        <v>14</v>
      </c>
      <c r="F104" s="204" t="str">
        <f>VLOOKUP(E104,Table10[[COUNTRY NAME]:[CONTINENT CODE]],3,FALSE)</f>
        <v>AS</v>
      </c>
      <c r="G104" s="206" t="s">
        <v>12080</v>
      </c>
      <c r="H104" s="207">
        <v>4219</v>
      </c>
      <c r="I104" s="208">
        <v>11.5</v>
      </c>
      <c r="J104" s="345"/>
      <c r="K104" s="345">
        <f>IFERROR(Table15[[#This Row],[ROUTE $]]/Table15[[#This Row],[E - DEMAND]],0)</f>
        <v>0</v>
      </c>
      <c r="L104" s="204"/>
      <c r="M104" s="412">
        <f>IFERROR(VLOOKUP(Table15[[#This Row],[ROUTE]],DEMAND!A:F,5,FALSE),0)</f>
        <v>4032</v>
      </c>
      <c r="N104" s="16">
        <f>IFERROR(VLOOKUP(Table15[[#This Row],[ROUTE]],DEMAND!A:F,6,FALSE),0)</f>
        <v>4032</v>
      </c>
      <c r="O104" s="16">
        <f>IFERROR(ROUNDDOWN(Table15[[#This Row],[R-DEMAND]]/1706,0),0)</f>
        <v>2</v>
      </c>
      <c r="P104" s="16">
        <f>IFERROR(Table15[[#This Row],[ADD ACC]]*Table15[[#This Row],[RT TIME 
(380-800)]],0)</f>
        <v>23</v>
      </c>
      <c r="Q104" s="415">
        <f>IFERROR(VLOOKUP(Table15[[#This Row],[ROUTE]],PRICING!A:B,2,FALSE),0)</f>
        <v>0</v>
      </c>
      <c r="R104" s="235">
        <f>IFERROR(Table15[[#This Row],[C_DEMAND]]-Table15[[#This Row],[R-DEMAND]],0)</f>
        <v>0</v>
      </c>
      <c r="S104" s="408">
        <f t="shared" si="1"/>
        <v>0</v>
      </c>
      <c r="T104" s="419">
        <f>Table15[[#This Row],[R-DEMAND]]-(Table15[[#This Row],[ADD ACC]]*1706)</f>
        <v>620</v>
      </c>
      <c r="U104" s="419">
        <f>ROUNDDOWN(Table15[[#This Row],[Column1]]/1360,0)</f>
        <v>0</v>
      </c>
      <c r="V104" s="419"/>
      <c r="W104" s="251">
        <v>11.5</v>
      </c>
      <c r="X104" s="251">
        <f>ROUNDDOWN(Table15[[#This Row],[R-DEMAND]]/1320,0)</f>
        <v>3</v>
      </c>
      <c r="Y104" s="251">
        <f>IFERROR(Table15[[#This Row],[ADD ACC
(660/1320)]]*Table15[[#This Row],[Duration
(B744)]],0)</f>
        <v>34.5</v>
      </c>
      <c r="Z104" s="251"/>
    </row>
    <row r="105" spans="1:26" ht="15.75" customHeight="1" x14ac:dyDescent="0.25">
      <c r="A105" s="210" t="s">
        <v>15723</v>
      </c>
      <c r="B105" s="204" t="s">
        <v>40</v>
      </c>
      <c r="C105" s="204" t="s">
        <v>2</v>
      </c>
      <c r="D105" s="205">
        <v>2</v>
      </c>
      <c r="E105" s="204" t="s">
        <v>533</v>
      </c>
      <c r="F105" s="204" t="str">
        <f>VLOOKUP(E105,Table10[[COUNTRY NAME]:[CONTINENT CODE]],3,FALSE)</f>
        <v>AS</v>
      </c>
      <c r="G105" s="206" t="s">
        <v>11999</v>
      </c>
      <c r="H105" s="207">
        <v>4420</v>
      </c>
      <c r="I105" s="208">
        <v>12</v>
      </c>
      <c r="J105" s="345"/>
      <c r="K105" s="345">
        <f>IFERROR(Table15[[#This Row],[ROUTE $]]/Table15[[#This Row],[E - DEMAND]],0)</f>
        <v>0</v>
      </c>
      <c r="L105" s="204"/>
      <c r="M105" s="412">
        <f>IFERROR(VLOOKUP(Table15[[#This Row],[ROUTE]],DEMAND!A:F,5,FALSE),0)</f>
        <v>4029</v>
      </c>
      <c r="N105" s="16">
        <f>IFERROR(VLOOKUP(Table15[[#This Row],[ROUTE]],DEMAND!A:F,6,FALSE),0)</f>
        <v>4029</v>
      </c>
      <c r="O105" s="16">
        <f>IFERROR(ROUNDDOWN(Table15[[#This Row],[R-DEMAND]]/1706,0),0)</f>
        <v>2</v>
      </c>
      <c r="P105" s="16">
        <f>IFERROR(Table15[[#This Row],[ADD ACC]]*Table15[[#This Row],[RT TIME 
(380-800)]],0)</f>
        <v>24</v>
      </c>
      <c r="Q105" s="415">
        <f>IFERROR(VLOOKUP(Table15[[#This Row],[ROUTE]],PRICING!A:B,2,FALSE),0)</f>
        <v>0</v>
      </c>
      <c r="R105" s="235">
        <f>IFERROR(Table15[[#This Row],[C_DEMAND]]-Table15[[#This Row],[R-DEMAND]],0)</f>
        <v>0</v>
      </c>
      <c r="S105" s="408">
        <f t="shared" si="1"/>
        <v>0</v>
      </c>
      <c r="T105" s="419">
        <f>Table15[[#This Row],[R-DEMAND]]-(Table15[[#This Row],[ADD ACC]]*1706)</f>
        <v>617</v>
      </c>
      <c r="U105" s="419">
        <f>ROUNDDOWN(Table15[[#This Row],[Column1]]/1360,0)</f>
        <v>0</v>
      </c>
      <c r="V105" s="419"/>
      <c r="W105" s="251">
        <v>12</v>
      </c>
      <c r="X105" s="251">
        <f>ROUNDDOWN(Table15[[#This Row],[R-DEMAND]]/1320,0)</f>
        <v>3</v>
      </c>
      <c r="Y105" s="251">
        <f>IFERROR(Table15[[#This Row],[ADD ACC
(660/1320)]]*Table15[[#This Row],[Duration
(B744)]],0)</f>
        <v>36</v>
      </c>
      <c r="Z105" s="251"/>
    </row>
    <row r="106" spans="1:26" ht="15.75" customHeight="1" x14ac:dyDescent="0.25">
      <c r="A106" s="210" t="s">
        <v>15610</v>
      </c>
      <c r="B106" s="204" t="s">
        <v>366</v>
      </c>
      <c r="C106" s="204" t="s">
        <v>2</v>
      </c>
      <c r="D106" s="205">
        <v>3</v>
      </c>
      <c r="E106" s="204" t="s">
        <v>14</v>
      </c>
      <c r="F106" s="204" t="str">
        <f>VLOOKUP(E106,Table10[[COUNTRY NAME]:[CONTINENT CODE]],3,FALSE)</f>
        <v>AS</v>
      </c>
      <c r="G106" s="206" t="s">
        <v>12002</v>
      </c>
      <c r="H106" s="207">
        <v>5600</v>
      </c>
      <c r="I106" s="208">
        <v>14.5</v>
      </c>
      <c r="J106" s="345"/>
      <c r="K106" s="345">
        <f>IFERROR(Table15[[#This Row],[ROUTE $]]/Table15[[#This Row],[E - DEMAND]],0)</f>
        <v>0</v>
      </c>
      <c r="L106" s="204"/>
      <c r="M106" s="412">
        <f>IFERROR(VLOOKUP(Table15[[#This Row],[ROUTE]],DEMAND!A:F,5,FALSE),0)</f>
        <v>4019</v>
      </c>
      <c r="N106" s="16">
        <f>IFERROR(VLOOKUP(Table15[[#This Row],[ROUTE]],DEMAND!A:F,6,FALSE),0)</f>
        <v>4019</v>
      </c>
      <c r="O106" s="16">
        <f>IFERROR(ROUNDDOWN(Table15[[#This Row],[R-DEMAND]]/1706,0),0)</f>
        <v>2</v>
      </c>
      <c r="P106" s="16">
        <f>IFERROR(Table15[[#This Row],[ADD ACC]]*Table15[[#This Row],[RT TIME 
(380-800)]],0)</f>
        <v>29</v>
      </c>
      <c r="Q106" s="415">
        <f>IFERROR(VLOOKUP(Table15[[#This Row],[ROUTE]],PRICING!A:B,2,FALSE),0)</f>
        <v>0</v>
      </c>
      <c r="R106" s="235">
        <f>IFERROR(Table15[[#This Row],[C_DEMAND]]-Table15[[#This Row],[R-DEMAND]],0)</f>
        <v>0</v>
      </c>
      <c r="S106" s="408">
        <f t="shared" si="1"/>
        <v>0</v>
      </c>
      <c r="T106" s="419">
        <f>Table15[[#This Row],[R-DEMAND]]-(Table15[[#This Row],[ADD ACC]]*1706)</f>
        <v>607</v>
      </c>
      <c r="U106" s="419">
        <f>ROUNDDOWN(Table15[[#This Row],[Column1]]/1360,0)</f>
        <v>0</v>
      </c>
      <c r="V106" s="419"/>
      <c r="W106" s="251">
        <v>14.5</v>
      </c>
      <c r="X106" s="251">
        <f>ROUNDDOWN(Table15[[#This Row],[R-DEMAND]]/1320,0)</f>
        <v>3</v>
      </c>
      <c r="Y106" s="251">
        <f>IFERROR(Table15[[#This Row],[ADD ACC
(660/1320)]]*Table15[[#This Row],[Duration
(B744)]],0)</f>
        <v>43.5</v>
      </c>
      <c r="Z106" s="251"/>
    </row>
    <row r="107" spans="1:26" ht="15.75" customHeight="1" x14ac:dyDescent="0.25">
      <c r="A107" s="210" t="s">
        <v>15703</v>
      </c>
      <c r="B107" s="204" t="s">
        <v>5194</v>
      </c>
      <c r="C107" s="204" t="s">
        <v>2</v>
      </c>
      <c r="D107" s="205">
        <v>3</v>
      </c>
      <c r="E107" s="204" t="s">
        <v>14</v>
      </c>
      <c r="F107" s="204" t="str">
        <f>VLOOKUP(E107,Table10[[COUNTRY NAME]:[CONTINENT CODE]],3,FALSE)</f>
        <v>AS</v>
      </c>
      <c r="G107" s="206" t="s">
        <v>12050</v>
      </c>
      <c r="H107" s="207">
        <v>4645</v>
      </c>
      <c r="I107" s="208">
        <v>12.5</v>
      </c>
      <c r="J107" s="345"/>
      <c r="K107" s="345">
        <f>IFERROR(Table15[[#This Row],[ROUTE $]]/Table15[[#This Row],[E - DEMAND]],0)</f>
        <v>0</v>
      </c>
      <c r="L107" s="204"/>
      <c r="M107" s="412">
        <f>IFERROR(VLOOKUP(Table15[[#This Row],[ROUTE]],DEMAND!A:F,5,FALSE),0)</f>
        <v>3999</v>
      </c>
      <c r="N107" s="16">
        <f>IFERROR(VLOOKUP(Table15[[#This Row],[ROUTE]],DEMAND!A:F,6,FALSE),0)</f>
        <v>3999</v>
      </c>
      <c r="O107" s="16">
        <f>IFERROR(ROUNDDOWN(Table15[[#This Row],[R-DEMAND]]/1706,0),0)</f>
        <v>2</v>
      </c>
      <c r="P107" s="16">
        <f>IFERROR(Table15[[#This Row],[ADD ACC]]*Table15[[#This Row],[RT TIME 
(380-800)]],0)</f>
        <v>25</v>
      </c>
      <c r="Q107" s="415">
        <f>IFERROR(VLOOKUP(Table15[[#This Row],[ROUTE]],PRICING!A:B,2,FALSE),0)</f>
        <v>0</v>
      </c>
      <c r="R107" s="235">
        <f>IFERROR(Table15[[#This Row],[C_DEMAND]]-Table15[[#This Row],[R-DEMAND]],0)</f>
        <v>0</v>
      </c>
      <c r="S107" s="408">
        <f t="shared" si="1"/>
        <v>0</v>
      </c>
      <c r="T107" s="419">
        <f>Table15[[#This Row],[R-DEMAND]]-(Table15[[#This Row],[ADD ACC]]*1706)</f>
        <v>587</v>
      </c>
      <c r="U107" s="419">
        <f>ROUNDDOWN(Table15[[#This Row],[Column1]]/1360,0)</f>
        <v>0</v>
      </c>
      <c r="V107" s="419"/>
      <c r="W107" s="251">
        <v>12.5</v>
      </c>
      <c r="X107" s="251">
        <f>ROUNDDOWN(Table15[[#This Row],[R-DEMAND]]/1320,0)</f>
        <v>3</v>
      </c>
      <c r="Y107" s="251">
        <f>IFERROR(Table15[[#This Row],[ADD ACC
(660/1320)]]*Table15[[#This Row],[Duration
(B744)]],0)</f>
        <v>37.5</v>
      </c>
      <c r="Z107" s="251"/>
    </row>
    <row r="108" spans="1:26" ht="15.75" customHeight="1" x14ac:dyDescent="0.25">
      <c r="A108" s="210" t="s">
        <v>15911</v>
      </c>
      <c r="B108" s="204" t="s">
        <v>5636</v>
      </c>
      <c r="C108" s="204" t="s">
        <v>67</v>
      </c>
      <c r="D108" s="205">
        <v>4</v>
      </c>
      <c r="E108" s="204" t="s">
        <v>5634</v>
      </c>
      <c r="F108" s="204" t="str">
        <f>VLOOKUP(E108,Table10[[COUNTRY NAME]:[CONTINENT CODE]],3,FALSE)</f>
        <v>AS</v>
      </c>
      <c r="G108" s="206" t="s">
        <v>11090</v>
      </c>
      <c r="H108" s="207">
        <v>2295</v>
      </c>
      <c r="I108" s="208">
        <v>7.25</v>
      </c>
      <c r="J108" s="345"/>
      <c r="K108" s="345">
        <f>IFERROR(Table15[[#This Row],[ROUTE $]]/Table15[[#This Row],[E - DEMAND]],0)</f>
        <v>0</v>
      </c>
      <c r="L108" s="204"/>
      <c r="M108" s="412">
        <f>IFERROR(VLOOKUP(Table15[[#This Row],[ROUTE]],DEMAND!A:F,5,FALSE),0)</f>
        <v>3989</v>
      </c>
      <c r="N108" s="16">
        <f>IFERROR(VLOOKUP(Table15[[#This Row],[ROUTE]],DEMAND!A:F,6,FALSE),0)</f>
        <v>3989</v>
      </c>
      <c r="O108" s="16">
        <f>IFERROR(ROUNDDOWN(Table15[[#This Row],[R-DEMAND]]/1706,0),0)</f>
        <v>2</v>
      </c>
      <c r="P108" s="16">
        <f>IFERROR(Table15[[#This Row],[ADD ACC]]*Table15[[#This Row],[RT TIME 
(380-800)]],0)</f>
        <v>14.5</v>
      </c>
      <c r="Q108" s="415">
        <f>IFERROR(VLOOKUP(Table15[[#This Row],[ROUTE]],PRICING!A:B,2,FALSE),0)</f>
        <v>0</v>
      </c>
      <c r="R108" s="235">
        <f>IFERROR(Table15[[#This Row],[C_DEMAND]]-Table15[[#This Row],[R-DEMAND]],0)</f>
        <v>0</v>
      </c>
      <c r="S108" s="408">
        <f t="shared" si="1"/>
        <v>0</v>
      </c>
      <c r="T108" s="419">
        <f>Table15[[#This Row],[R-DEMAND]]-(Table15[[#This Row],[ADD ACC]]*1706)</f>
        <v>577</v>
      </c>
      <c r="U108" s="419">
        <f>ROUNDDOWN(Table15[[#This Row],[Column1]]/1360,0)</f>
        <v>0</v>
      </c>
      <c r="V108" s="419"/>
      <c r="W108" s="251">
        <v>7.25</v>
      </c>
      <c r="X108" s="251">
        <f>ROUNDDOWN(Table15[[#This Row],[R-DEMAND]]/1320,0)</f>
        <v>3</v>
      </c>
      <c r="Y108" s="251">
        <f>IFERROR(Table15[[#This Row],[ADD ACC
(660/1320)]]*Table15[[#This Row],[Duration
(B744)]],0)</f>
        <v>21.75</v>
      </c>
      <c r="Z108" s="251"/>
    </row>
    <row r="109" spans="1:26" ht="15.75" customHeight="1" x14ac:dyDescent="0.25">
      <c r="A109" s="210" t="s">
        <v>15590</v>
      </c>
      <c r="B109" s="204" t="s">
        <v>322</v>
      </c>
      <c r="C109" s="204" t="s">
        <v>2</v>
      </c>
      <c r="D109" s="205">
        <v>3</v>
      </c>
      <c r="E109" s="204" t="s">
        <v>717</v>
      </c>
      <c r="F109" s="204" t="str">
        <f>VLOOKUP(E109,Table10[[COUNTRY NAME]:[CONTINENT CODE]],3,FALSE)</f>
        <v>AS</v>
      </c>
      <c r="G109" s="206" t="s">
        <v>12094</v>
      </c>
      <c r="H109" s="207">
        <v>5847</v>
      </c>
      <c r="I109" s="208">
        <v>15</v>
      </c>
      <c r="J109" s="345"/>
      <c r="K109" s="345">
        <f>IFERROR(Table15[[#This Row],[ROUTE $]]/Table15[[#This Row],[E - DEMAND]],0)</f>
        <v>0</v>
      </c>
      <c r="L109" s="204"/>
      <c r="M109" s="412">
        <f>IFERROR(VLOOKUP(Table15[[#This Row],[ROUTE]],DEMAND!A:F,5,FALSE),0)</f>
        <v>3964</v>
      </c>
      <c r="N109" s="16">
        <f>IFERROR(VLOOKUP(Table15[[#This Row],[ROUTE]],DEMAND!A:F,6,FALSE),0)</f>
        <v>3964</v>
      </c>
      <c r="O109" s="16">
        <f>IFERROR(ROUNDDOWN(Table15[[#This Row],[R-DEMAND]]/1706,0),0)</f>
        <v>2</v>
      </c>
      <c r="P109" s="16">
        <f>IFERROR(Table15[[#This Row],[ADD ACC]]*Table15[[#This Row],[RT TIME 
(380-800)]],0)</f>
        <v>30</v>
      </c>
      <c r="Q109" s="415">
        <f>IFERROR(VLOOKUP(Table15[[#This Row],[ROUTE]],PRICING!A:B,2,FALSE),0)</f>
        <v>0</v>
      </c>
      <c r="R109" s="235">
        <f>IFERROR(Table15[[#This Row],[C_DEMAND]]-Table15[[#This Row],[R-DEMAND]],0)</f>
        <v>0</v>
      </c>
      <c r="S109" s="408">
        <f t="shared" si="1"/>
        <v>0</v>
      </c>
      <c r="T109" s="419">
        <f>Table15[[#This Row],[R-DEMAND]]-(Table15[[#This Row],[ADD ACC]]*1706)</f>
        <v>552</v>
      </c>
      <c r="U109" s="419">
        <f>ROUNDDOWN(Table15[[#This Row],[Column1]]/1360,0)</f>
        <v>0</v>
      </c>
      <c r="V109" s="419"/>
      <c r="W109" s="251">
        <v>15</v>
      </c>
      <c r="X109" s="251">
        <f>ROUNDDOWN(Table15[[#This Row],[R-DEMAND]]/1320,0)</f>
        <v>3</v>
      </c>
      <c r="Y109" s="251">
        <f>IFERROR(Table15[[#This Row],[ADD ACC
(660/1320)]]*Table15[[#This Row],[Duration
(B744)]],0)</f>
        <v>45</v>
      </c>
      <c r="Z109" s="251"/>
    </row>
    <row r="110" spans="1:26" ht="15.75" customHeight="1" x14ac:dyDescent="0.25">
      <c r="A110" s="210" t="s">
        <v>15935</v>
      </c>
      <c r="B110" s="204" t="s">
        <v>244</v>
      </c>
      <c r="C110" s="204" t="s">
        <v>67</v>
      </c>
      <c r="D110" s="205">
        <v>2</v>
      </c>
      <c r="E110" s="204" t="s">
        <v>1070</v>
      </c>
      <c r="F110" s="204" t="str">
        <f>VLOOKUP(E110,Table10[[COUNTRY NAME]:[CONTINENT CODE]],3,FALSE)</f>
        <v>AS</v>
      </c>
      <c r="G110" s="206" t="s">
        <v>12015</v>
      </c>
      <c r="H110" s="207">
        <v>1736</v>
      </c>
      <c r="I110" s="208">
        <v>6</v>
      </c>
      <c r="J110" s="345"/>
      <c r="K110" s="345">
        <f>IFERROR(Table15[[#This Row],[ROUTE $]]/Table15[[#This Row],[E - DEMAND]],0)</f>
        <v>0</v>
      </c>
      <c r="L110" s="204"/>
      <c r="M110" s="412">
        <f>IFERROR(VLOOKUP(Table15[[#This Row],[ROUTE]],DEMAND!A:F,5,FALSE),0)</f>
        <v>3953</v>
      </c>
      <c r="N110" s="16">
        <f>IFERROR(VLOOKUP(Table15[[#This Row],[ROUTE]],DEMAND!A:F,6,FALSE),0)</f>
        <v>3953</v>
      </c>
      <c r="O110" s="16">
        <f>IFERROR(ROUNDDOWN(Table15[[#This Row],[R-DEMAND]]/1706,0),0)</f>
        <v>2</v>
      </c>
      <c r="P110" s="16">
        <f>IFERROR(Table15[[#This Row],[ADD ACC]]*Table15[[#This Row],[RT TIME 
(380-800)]],0)</f>
        <v>12</v>
      </c>
      <c r="Q110" s="415">
        <f>IFERROR(VLOOKUP(Table15[[#This Row],[ROUTE]],PRICING!A:B,2,FALSE),0)</f>
        <v>0</v>
      </c>
      <c r="R110" s="235">
        <f>IFERROR(Table15[[#This Row],[C_DEMAND]]-Table15[[#This Row],[R-DEMAND]],0)</f>
        <v>0</v>
      </c>
      <c r="S110" s="408">
        <f t="shared" si="1"/>
        <v>0</v>
      </c>
      <c r="T110" s="419">
        <f>Table15[[#This Row],[R-DEMAND]]-(Table15[[#This Row],[ADD ACC]]*1706)</f>
        <v>541</v>
      </c>
      <c r="U110" s="419">
        <f>ROUNDDOWN(Table15[[#This Row],[Column1]]/1360,0)</f>
        <v>0</v>
      </c>
      <c r="V110" s="419"/>
      <c r="W110" s="251">
        <v>6</v>
      </c>
      <c r="X110" s="251">
        <f>ROUNDDOWN(Table15[[#This Row],[R-DEMAND]]/1320,0)</f>
        <v>2</v>
      </c>
      <c r="Y110" s="251">
        <f>IFERROR(Table15[[#This Row],[ADD ACC
(660/1320)]]*Table15[[#This Row],[Duration
(B744)]],0)</f>
        <v>12</v>
      </c>
      <c r="Z110" s="251"/>
    </row>
    <row r="111" spans="1:26" ht="15.75" customHeight="1" x14ac:dyDescent="0.25">
      <c r="A111" s="210" t="s">
        <v>15403</v>
      </c>
      <c r="B111" s="204" t="s">
        <v>3743</v>
      </c>
      <c r="C111" s="204" t="s">
        <v>67</v>
      </c>
      <c r="D111" s="205">
        <v>2</v>
      </c>
      <c r="E111" s="204" t="s">
        <v>608</v>
      </c>
      <c r="F111" s="204" t="str">
        <f>VLOOKUP(E111,Table10[[COUNTRY NAME]:[CONTINENT CODE]],3,FALSE)</f>
        <v>AF</v>
      </c>
      <c r="G111" s="206" t="s">
        <v>11697</v>
      </c>
      <c r="H111" s="207">
        <v>7456</v>
      </c>
      <c r="I111" s="208">
        <v>18.75</v>
      </c>
      <c r="J111" s="345"/>
      <c r="K111" s="345">
        <f>IFERROR(Table15[[#This Row],[ROUTE $]]/Table15[[#This Row],[E - DEMAND]],0)</f>
        <v>0</v>
      </c>
      <c r="L111" s="204"/>
      <c r="M111" s="412">
        <f>IFERROR(VLOOKUP(Table15[[#This Row],[ROUTE]],DEMAND!A:F,5,FALSE),0)</f>
        <v>3913</v>
      </c>
      <c r="N111" s="16">
        <f>IFERROR(VLOOKUP(Table15[[#This Row],[ROUTE]],DEMAND!A:F,6,FALSE),0)</f>
        <v>3913</v>
      </c>
      <c r="O111" s="16">
        <f>IFERROR(ROUNDDOWN(Table15[[#This Row],[R-DEMAND]]/1706,0),0)</f>
        <v>2</v>
      </c>
      <c r="P111" s="16">
        <f>IFERROR(Table15[[#This Row],[ADD ACC]]*Table15[[#This Row],[RT TIME 
(380-800)]],0)</f>
        <v>37.5</v>
      </c>
      <c r="Q111" s="415">
        <f>IFERROR(VLOOKUP(Table15[[#This Row],[ROUTE]],PRICING!A:B,2,FALSE),0)</f>
        <v>0</v>
      </c>
      <c r="R111" s="235">
        <f>IFERROR(Table15[[#This Row],[C_DEMAND]]-Table15[[#This Row],[R-DEMAND]],0)</f>
        <v>0</v>
      </c>
      <c r="S111" s="408">
        <f t="shared" si="1"/>
        <v>0</v>
      </c>
      <c r="T111" s="419">
        <f>Table15[[#This Row],[R-DEMAND]]-(Table15[[#This Row],[ADD ACC]]*1706)</f>
        <v>501</v>
      </c>
      <c r="U111" s="419">
        <f>ROUNDDOWN(Table15[[#This Row],[Column1]]/1360,0)</f>
        <v>0</v>
      </c>
      <c r="V111" s="419"/>
      <c r="W111" s="251">
        <v>18.75</v>
      </c>
      <c r="X111" s="251">
        <f>ROUNDDOWN(Table15[[#This Row],[R-DEMAND]]/1320,0)</f>
        <v>2</v>
      </c>
      <c r="Y111" s="251">
        <f>IFERROR(Table15[[#This Row],[ADD ACC
(660/1320)]]*Table15[[#This Row],[Duration
(B744)]],0)</f>
        <v>37.5</v>
      </c>
      <c r="Z111" s="251"/>
    </row>
    <row r="112" spans="1:26" ht="15.75" customHeight="1" x14ac:dyDescent="0.25">
      <c r="A112" s="210" t="s">
        <v>15245</v>
      </c>
      <c r="B112" s="204" t="s">
        <v>5732</v>
      </c>
      <c r="C112" s="204" t="s">
        <v>67</v>
      </c>
      <c r="D112" s="205">
        <v>5</v>
      </c>
      <c r="E112" s="16" t="s">
        <v>11732</v>
      </c>
      <c r="F112" s="204" t="str">
        <f>VLOOKUP(E112,Table10[[COUNTRY NAME]:[CONTINENT CODE]],3,FALSE)</f>
        <v>NA - US</v>
      </c>
      <c r="G112" s="206" t="s">
        <v>13358</v>
      </c>
      <c r="H112" s="207">
        <v>13378</v>
      </c>
      <c r="I112" s="208">
        <v>31.75</v>
      </c>
      <c r="J112" s="345"/>
      <c r="K112" s="345">
        <f>IFERROR(Table15[[#This Row],[ROUTE $]]/Table15[[#This Row],[E - DEMAND]],0)</f>
        <v>0</v>
      </c>
      <c r="L112" s="204"/>
      <c r="M112" s="412">
        <f>IFERROR(VLOOKUP(Table15[[#This Row],[ROUTE]],DEMAND!A:F,5,FALSE),0)</f>
        <v>3877</v>
      </c>
      <c r="N112" s="16">
        <f>IFERROR(VLOOKUP(Table15[[#This Row],[ROUTE]],DEMAND!A:F,6,FALSE),0)</f>
        <v>3877</v>
      </c>
      <c r="O112" s="16">
        <f>IFERROR(ROUNDDOWN(Table15[[#This Row],[R-DEMAND]]/1706,0),0)</f>
        <v>2</v>
      </c>
      <c r="P112" s="16">
        <f>IFERROR(Table15[[#This Row],[ADD ACC]]*Table15[[#This Row],[RT TIME 
(380-800)]],0)</f>
        <v>63.5</v>
      </c>
      <c r="Q112" s="415">
        <f>IFERROR(VLOOKUP(Table15[[#This Row],[ROUTE]],PRICING!A:B,2,FALSE),0)</f>
        <v>0</v>
      </c>
      <c r="R112" s="235">
        <f>IFERROR(Table15[[#This Row],[C_DEMAND]]-Table15[[#This Row],[R-DEMAND]],0)</f>
        <v>0</v>
      </c>
      <c r="S112" s="408">
        <f t="shared" si="1"/>
        <v>0</v>
      </c>
      <c r="T112" s="419">
        <f>Table15[[#This Row],[R-DEMAND]]-(Table15[[#This Row],[ADD ACC]]*1706)</f>
        <v>465</v>
      </c>
      <c r="U112" s="419">
        <f>ROUNDDOWN(Table15[[#This Row],[Column1]]/1360,0)</f>
        <v>0</v>
      </c>
      <c r="V112" s="419"/>
      <c r="W112" s="251">
        <v>31.75</v>
      </c>
      <c r="X112" s="251">
        <f>ROUNDDOWN(Table15[[#This Row],[R-DEMAND]]/1320,0)</f>
        <v>2</v>
      </c>
      <c r="Y112" s="251">
        <f>IFERROR(Table15[[#This Row],[ADD ACC
(660/1320)]]*Table15[[#This Row],[Duration
(B744)]],0)</f>
        <v>63.5</v>
      </c>
      <c r="Z112" s="251"/>
    </row>
    <row r="113" spans="1:26" ht="15.75" customHeight="1" x14ac:dyDescent="0.25">
      <c r="A113" s="210" t="s">
        <v>15899</v>
      </c>
      <c r="B113" s="204" t="s">
        <v>5260</v>
      </c>
      <c r="C113" s="204" t="s">
        <v>67</v>
      </c>
      <c r="D113" s="205">
        <v>3</v>
      </c>
      <c r="E113" s="204" t="s">
        <v>172</v>
      </c>
      <c r="F113" s="204" t="str">
        <f>VLOOKUP(E113,Table10[[COUNTRY NAME]:[CONTINENT CODE]],3,FALSE)</f>
        <v>AS</v>
      </c>
      <c r="G113" s="206" t="s">
        <v>11951</v>
      </c>
      <c r="H113" s="207">
        <v>2499</v>
      </c>
      <c r="I113" s="208">
        <v>7.75</v>
      </c>
      <c r="J113" s="345"/>
      <c r="K113" s="345">
        <f>IFERROR(Table15[[#This Row],[ROUTE $]]/Table15[[#This Row],[E - DEMAND]],0)</f>
        <v>0</v>
      </c>
      <c r="L113" s="204"/>
      <c r="M113" s="412">
        <f>IFERROR(VLOOKUP(Table15[[#This Row],[ROUTE]],DEMAND!A:F,5,FALSE),0)</f>
        <v>3843</v>
      </c>
      <c r="N113" s="16">
        <f>IFERROR(VLOOKUP(Table15[[#This Row],[ROUTE]],DEMAND!A:F,6,FALSE),0)</f>
        <v>3843</v>
      </c>
      <c r="O113" s="16">
        <f>IFERROR(ROUNDDOWN(Table15[[#This Row],[R-DEMAND]]/1706,0),0)</f>
        <v>2</v>
      </c>
      <c r="P113" s="16">
        <f>IFERROR(Table15[[#This Row],[ADD ACC]]*Table15[[#This Row],[RT TIME 
(380-800)]],0)</f>
        <v>15.5</v>
      </c>
      <c r="Q113" s="415">
        <f>IFERROR(VLOOKUP(Table15[[#This Row],[ROUTE]],PRICING!A:B,2,FALSE),0)</f>
        <v>0</v>
      </c>
      <c r="R113" s="235">
        <f>IFERROR(Table15[[#This Row],[C_DEMAND]]-Table15[[#This Row],[R-DEMAND]],0)</f>
        <v>0</v>
      </c>
      <c r="S113" s="408">
        <f t="shared" si="1"/>
        <v>0</v>
      </c>
      <c r="T113" s="419">
        <f>Table15[[#This Row],[R-DEMAND]]-(Table15[[#This Row],[ADD ACC]]*1706)</f>
        <v>431</v>
      </c>
      <c r="U113" s="419">
        <f>ROUNDDOWN(Table15[[#This Row],[Column1]]/1360,0)</f>
        <v>0</v>
      </c>
      <c r="V113" s="419"/>
      <c r="W113" s="251">
        <v>7.75</v>
      </c>
      <c r="X113" s="251">
        <f>ROUNDDOWN(Table15[[#This Row],[R-DEMAND]]/1320,0)</f>
        <v>2</v>
      </c>
      <c r="Y113" s="251">
        <f>IFERROR(Table15[[#This Row],[ADD ACC
(660/1320)]]*Table15[[#This Row],[Duration
(B744)]],0)</f>
        <v>15.5</v>
      </c>
      <c r="Z113" s="251"/>
    </row>
    <row r="114" spans="1:26" ht="15.75" customHeight="1" x14ac:dyDescent="0.25">
      <c r="A114" s="210" t="s">
        <v>15858</v>
      </c>
      <c r="B114" s="204" t="s">
        <v>3842</v>
      </c>
      <c r="C114" s="204" t="s">
        <v>67</v>
      </c>
      <c r="D114" s="205">
        <v>2</v>
      </c>
      <c r="E114" s="204" t="s">
        <v>14</v>
      </c>
      <c r="F114" s="204" t="str">
        <f>VLOOKUP(E114,Table10[[COUNTRY NAME]:[CONTINENT CODE]],3,FALSE)</f>
        <v>AS</v>
      </c>
      <c r="G114" s="206" t="s">
        <v>12067</v>
      </c>
      <c r="H114" s="207">
        <v>3139</v>
      </c>
      <c r="I114" s="208">
        <v>9</v>
      </c>
      <c r="J114" s="345"/>
      <c r="K114" s="345">
        <f>IFERROR(Table15[[#This Row],[ROUTE $]]/Table15[[#This Row],[E - DEMAND]],0)</f>
        <v>0</v>
      </c>
      <c r="L114" s="204"/>
      <c r="M114" s="412">
        <f>IFERROR(VLOOKUP(Table15[[#This Row],[ROUTE]],DEMAND!A:F,5,FALSE),0)</f>
        <v>3843</v>
      </c>
      <c r="N114" s="16">
        <f>IFERROR(VLOOKUP(Table15[[#This Row],[ROUTE]],DEMAND!A:F,6,FALSE),0)</f>
        <v>3843</v>
      </c>
      <c r="O114" s="16">
        <f>IFERROR(ROUNDDOWN(Table15[[#This Row],[R-DEMAND]]/1706,0),0)</f>
        <v>2</v>
      </c>
      <c r="P114" s="16">
        <f>IFERROR(Table15[[#This Row],[ADD ACC]]*Table15[[#This Row],[RT TIME 
(380-800)]],0)</f>
        <v>18</v>
      </c>
      <c r="Q114" s="415">
        <f>IFERROR(VLOOKUP(Table15[[#This Row],[ROUTE]],PRICING!A:B,2,FALSE),0)</f>
        <v>0</v>
      </c>
      <c r="R114" s="235">
        <f>IFERROR(Table15[[#This Row],[C_DEMAND]]-Table15[[#This Row],[R-DEMAND]],0)</f>
        <v>0</v>
      </c>
      <c r="S114" s="408">
        <f t="shared" si="1"/>
        <v>0</v>
      </c>
      <c r="T114" s="419">
        <f>Table15[[#This Row],[R-DEMAND]]-(Table15[[#This Row],[ADD ACC]]*1706)</f>
        <v>431</v>
      </c>
      <c r="U114" s="419">
        <f>ROUNDDOWN(Table15[[#This Row],[Column1]]/1360,0)</f>
        <v>0</v>
      </c>
      <c r="V114" s="419"/>
      <c r="W114" s="251">
        <v>9</v>
      </c>
      <c r="X114" s="251">
        <f>ROUNDDOWN(Table15[[#This Row],[R-DEMAND]]/1320,0)</f>
        <v>2</v>
      </c>
      <c r="Y114" s="251">
        <f>IFERROR(Table15[[#This Row],[ADD ACC
(660/1320)]]*Table15[[#This Row],[Duration
(B744)]],0)</f>
        <v>18</v>
      </c>
      <c r="Z114" s="251"/>
    </row>
    <row r="115" spans="1:26" ht="15.75" customHeight="1" x14ac:dyDescent="0.25">
      <c r="A115" s="210" t="s">
        <v>15829</v>
      </c>
      <c r="B115" s="204" t="s">
        <v>4494</v>
      </c>
      <c r="C115" s="204" t="s">
        <v>67</v>
      </c>
      <c r="D115" s="205">
        <v>2</v>
      </c>
      <c r="E115" s="204" t="s">
        <v>172</v>
      </c>
      <c r="F115" s="204" t="str">
        <f>VLOOKUP(E115,Table10[[COUNTRY NAME]:[CONTINENT CODE]],3,FALSE)</f>
        <v>AS</v>
      </c>
      <c r="G115" s="206" t="s">
        <v>10925</v>
      </c>
      <c r="H115" s="207">
        <v>3510</v>
      </c>
      <c r="I115" s="208">
        <v>10</v>
      </c>
      <c r="J115" s="345"/>
      <c r="K115" s="345">
        <f>IFERROR(Table15[[#This Row],[ROUTE $]]/Table15[[#This Row],[E - DEMAND]],0)</f>
        <v>0</v>
      </c>
      <c r="L115" s="204"/>
      <c r="M115" s="412">
        <f>IFERROR(VLOOKUP(Table15[[#This Row],[ROUTE]],DEMAND!A:F,5,FALSE),0)</f>
        <v>3839</v>
      </c>
      <c r="N115" s="16">
        <f>IFERROR(VLOOKUP(Table15[[#This Row],[ROUTE]],DEMAND!A:F,6,FALSE),0)</f>
        <v>3839</v>
      </c>
      <c r="O115" s="16">
        <f>IFERROR(ROUNDDOWN(Table15[[#This Row],[R-DEMAND]]/1706,0),0)</f>
        <v>2</v>
      </c>
      <c r="P115" s="16">
        <f>IFERROR(Table15[[#This Row],[ADD ACC]]*Table15[[#This Row],[RT TIME 
(380-800)]],0)</f>
        <v>20</v>
      </c>
      <c r="Q115" s="415">
        <f>IFERROR(VLOOKUP(Table15[[#This Row],[ROUTE]],PRICING!A:B,2,FALSE),0)</f>
        <v>0</v>
      </c>
      <c r="R115" s="235">
        <f>IFERROR(Table15[[#This Row],[C_DEMAND]]-Table15[[#This Row],[R-DEMAND]],0)</f>
        <v>0</v>
      </c>
      <c r="S115" s="408">
        <f t="shared" si="1"/>
        <v>0</v>
      </c>
      <c r="T115" s="419">
        <f>Table15[[#This Row],[R-DEMAND]]-(Table15[[#This Row],[ADD ACC]]*1706)</f>
        <v>427</v>
      </c>
      <c r="U115" s="419">
        <f>ROUNDDOWN(Table15[[#This Row],[Column1]]/1360,0)</f>
        <v>0</v>
      </c>
      <c r="V115" s="419"/>
      <c r="W115" s="251">
        <v>10</v>
      </c>
      <c r="X115" s="251">
        <f>ROUNDDOWN(Table15[[#This Row],[R-DEMAND]]/1320,0)</f>
        <v>2</v>
      </c>
      <c r="Y115" s="251">
        <f>IFERROR(Table15[[#This Row],[ADD ACC
(660/1320)]]*Table15[[#This Row],[Duration
(B744)]],0)</f>
        <v>20</v>
      </c>
      <c r="Z115" s="251"/>
    </row>
    <row r="116" spans="1:26" ht="15.75" customHeight="1" x14ac:dyDescent="0.25">
      <c r="A116" s="210" t="s">
        <v>15762</v>
      </c>
      <c r="B116" s="204" t="s">
        <v>2972</v>
      </c>
      <c r="C116" s="204" t="s">
        <v>67</v>
      </c>
      <c r="D116" s="205">
        <v>2</v>
      </c>
      <c r="E116" s="204" t="s">
        <v>1654</v>
      </c>
      <c r="F116" s="204" t="str">
        <f>VLOOKUP(E116,Table10[[COUNTRY NAME]:[CONTINENT CODE]],3,FALSE)</f>
        <v>AS</v>
      </c>
      <c r="G116" s="206" t="s">
        <v>11875</v>
      </c>
      <c r="H116" s="207">
        <v>4044</v>
      </c>
      <c r="I116" s="208">
        <v>11</v>
      </c>
      <c r="J116" s="345"/>
      <c r="K116" s="345">
        <f>IFERROR(Table15[[#This Row],[ROUTE $]]/Table15[[#This Row],[E - DEMAND]],0)</f>
        <v>0</v>
      </c>
      <c r="L116" s="204"/>
      <c r="M116" s="412">
        <f>IFERROR(VLOOKUP(Table15[[#This Row],[ROUTE]],DEMAND!A:F,5,FALSE),0)</f>
        <v>3839</v>
      </c>
      <c r="N116" s="16">
        <f>IFERROR(VLOOKUP(Table15[[#This Row],[ROUTE]],DEMAND!A:F,6,FALSE),0)</f>
        <v>3839</v>
      </c>
      <c r="O116" s="16">
        <f>IFERROR(ROUNDDOWN(Table15[[#This Row],[R-DEMAND]]/1706,0),0)</f>
        <v>2</v>
      </c>
      <c r="P116" s="16">
        <f>IFERROR(Table15[[#This Row],[ADD ACC]]*Table15[[#This Row],[RT TIME 
(380-800)]],0)</f>
        <v>22</v>
      </c>
      <c r="Q116" s="415">
        <f>IFERROR(VLOOKUP(Table15[[#This Row],[ROUTE]],PRICING!A:B,2,FALSE),0)</f>
        <v>0</v>
      </c>
      <c r="R116" s="235">
        <f>IFERROR(Table15[[#This Row],[C_DEMAND]]-Table15[[#This Row],[R-DEMAND]],0)</f>
        <v>0</v>
      </c>
      <c r="S116" s="408">
        <f t="shared" si="1"/>
        <v>0</v>
      </c>
      <c r="T116" s="419">
        <f>Table15[[#This Row],[R-DEMAND]]-(Table15[[#This Row],[ADD ACC]]*1706)</f>
        <v>427</v>
      </c>
      <c r="U116" s="419">
        <f>ROUNDDOWN(Table15[[#This Row],[Column1]]/1360,0)</f>
        <v>0</v>
      </c>
      <c r="V116" s="419"/>
      <c r="W116" s="251">
        <v>11</v>
      </c>
      <c r="X116" s="251">
        <f>ROUNDDOWN(Table15[[#This Row],[R-DEMAND]]/1320,0)</f>
        <v>2</v>
      </c>
      <c r="Y116" s="251">
        <f>IFERROR(Table15[[#This Row],[ADD ACC
(660/1320)]]*Table15[[#This Row],[Duration
(B744)]],0)</f>
        <v>22</v>
      </c>
      <c r="Z116" s="251"/>
    </row>
    <row r="117" spans="1:26" ht="15.75" customHeight="1" x14ac:dyDescent="0.25">
      <c r="A117" s="210" t="s">
        <v>15556</v>
      </c>
      <c r="B117" s="204" t="s">
        <v>5653</v>
      </c>
      <c r="C117" s="204" t="s">
        <v>67</v>
      </c>
      <c r="D117" s="205">
        <v>3</v>
      </c>
      <c r="E117" s="204" t="s">
        <v>585</v>
      </c>
      <c r="F117" s="204" t="str">
        <f>VLOOKUP(E117,Table10[[COUNTRY NAME]:[CONTINENT CODE]],3,FALSE)</f>
        <v>EU</v>
      </c>
      <c r="G117" s="210" t="s">
        <v>11802</v>
      </c>
      <c r="H117" s="207">
        <v>6249</v>
      </c>
      <c r="I117" s="208">
        <v>16</v>
      </c>
      <c r="J117" s="345"/>
      <c r="K117" s="345">
        <f>IFERROR(Table15[[#This Row],[ROUTE $]]/Table15[[#This Row],[E - DEMAND]],0)</f>
        <v>0</v>
      </c>
      <c r="L117" s="204"/>
      <c r="M117" s="412">
        <f>IFERROR(VLOOKUP(Table15[[#This Row],[ROUTE]],DEMAND!A:F,5,FALSE),0)</f>
        <v>3832</v>
      </c>
      <c r="N117" s="16">
        <f>IFERROR(VLOOKUP(Table15[[#This Row],[ROUTE]],DEMAND!A:F,6,FALSE),0)</f>
        <v>3832</v>
      </c>
      <c r="O117" s="16">
        <f>IFERROR(ROUNDDOWN(Table15[[#This Row],[R-DEMAND]]/1706,0),0)</f>
        <v>2</v>
      </c>
      <c r="P117" s="16">
        <f>IFERROR(Table15[[#This Row],[ADD ACC]]*Table15[[#This Row],[RT TIME 
(380-800)]],0)</f>
        <v>32</v>
      </c>
      <c r="Q117" s="415">
        <f>IFERROR(VLOOKUP(Table15[[#This Row],[ROUTE]],PRICING!A:B,2,FALSE),0)</f>
        <v>0</v>
      </c>
      <c r="R117" s="235">
        <f>IFERROR(Table15[[#This Row],[C_DEMAND]]-Table15[[#This Row],[R-DEMAND]],0)</f>
        <v>0</v>
      </c>
      <c r="S117" s="408">
        <f t="shared" si="1"/>
        <v>0</v>
      </c>
      <c r="T117" s="419">
        <f>Table15[[#This Row],[R-DEMAND]]-(Table15[[#This Row],[ADD ACC]]*1706)</f>
        <v>420</v>
      </c>
      <c r="U117" s="419">
        <f>ROUNDDOWN(Table15[[#This Row],[Column1]]/1360,0)</f>
        <v>0</v>
      </c>
      <c r="V117" s="419"/>
      <c r="W117" s="251">
        <v>16</v>
      </c>
      <c r="X117" s="251">
        <f>ROUNDDOWN(Table15[[#This Row],[R-DEMAND]]/1320,0)</f>
        <v>2</v>
      </c>
      <c r="Y117" s="251">
        <f>IFERROR(Table15[[#This Row],[ADD ACC
(660/1320)]]*Table15[[#This Row],[Duration
(B744)]],0)</f>
        <v>32</v>
      </c>
      <c r="Z117" s="251"/>
    </row>
    <row r="118" spans="1:26" ht="15.75" customHeight="1" x14ac:dyDescent="0.25">
      <c r="A118" s="210" t="s">
        <v>15665</v>
      </c>
      <c r="B118" s="204" t="s">
        <v>5029</v>
      </c>
      <c r="C118" s="204" t="s">
        <v>67</v>
      </c>
      <c r="D118" s="205">
        <v>3</v>
      </c>
      <c r="E118" s="204" t="s">
        <v>14</v>
      </c>
      <c r="F118" s="204" t="str">
        <f>VLOOKUP(E118,Table10[[COUNTRY NAME]:[CONTINENT CODE]],3,FALSE)</f>
        <v>AS</v>
      </c>
      <c r="G118" s="206" t="s">
        <v>12047</v>
      </c>
      <c r="H118" s="207">
        <v>4936</v>
      </c>
      <c r="I118" s="208">
        <v>13</v>
      </c>
      <c r="J118" s="345"/>
      <c r="K118" s="345">
        <f>IFERROR(Table15[[#This Row],[ROUTE $]]/Table15[[#This Row],[E - DEMAND]],0)</f>
        <v>0</v>
      </c>
      <c r="L118" s="204"/>
      <c r="M118" s="412">
        <f>IFERROR(VLOOKUP(Table15[[#This Row],[ROUTE]],DEMAND!A:F,5,FALSE),0)</f>
        <v>3811</v>
      </c>
      <c r="N118" s="16">
        <f>IFERROR(VLOOKUP(Table15[[#This Row],[ROUTE]],DEMAND!A:F,6,FALSE),0)</f>
        <v>3811</v>
      </c>
      <c r="O118" s="16">
        <f>IFERROR(ROUNDDOWN(Table15[[#This Row],[R-DEMAND]]/1706,0),0)</f>
        <v>2</v>
      </c>
      <c r="P118" s="16">
        <f>IFERROR(Table15[[#This Row],[ADD ACC]]*Table15[[#This Row],[RT TIME 
(380-800)]],0)</f>
        <v>26</v>
      </c>
      <c r="Q118" s="415">
        <f>IFERROR(VLOOKUP(Table15[[#This Row],[ROUTE]],PRICING!A:B,2,FALSE),0)</f>
        <v>0</v>
      </c>
      <c r="R118" s="235">
        <f>IFERROR(Table15[[#This Row],[C_DEMAND]]-Table15[[#This Row],[R-DEMAND]],0)</f>
        <v>0</v>
      </c>
      <c r="S118" s="408">
        <f t="shared" si="1"/>
        <v>0</v>
      </c>
      <c r="T118" s="419">
        <f>Table15[[#This Row],[R-DEMAND]]-(Table15[[#This Row],[ADD ACC]]*1706)</f>
        <v>399</v>
      </c>
      <c r="U118" s="419">
        <f>ROUNDDOWN(Table15[[#This Row],[Column1]]/1360,0)</f>
        <v>0</v>
      </c>
      <c r="V118" s="419"/>
      <c r="W118" s="251">
        <v>13</v>
      </c>
      <c r="X118" s="251">
        <f>ROUNDDOWN(Table15[[#This Row],[R-DEMAND]]/1320,0)</f>
        <v>2</v>
      </c>
      <c r="Y118" s="251">
        <f>IFERROR(Table15[[#This Row],[ADD ACC
(660/1320)]]*Table15[[#This Row],[Duration
(B744)]],0)</f>
        <v>26</v>
      </c>
      <c r="Z118" s="251"/>
    </row>
    <row r="119" spans="1:26" ht="15.75" customHeight="1" x14ac:dyDescent="0.25">
      <c r="A119" s="210" t="s">
        <v>15796</v>
      </c>
      <c r="B119" s="204" t="s">
        <v>4064</v>
      </c>
      <c r="C119" s="204" t="s">
        <v>67</v>
      </c>
      <c r="D119" s="205">
        <v>2</v>
      </c>
      <c r="E119" s="204" t="s">
        <v>14</v>
      </c>
      <c r="F119" s="204" t="str">
        <f>VLOOKUP(E119,Table10[[COUNTRY NAME]:[CONTINENT CODE]],3,FALSE)</f>
        <v>AS</v>
      </c>
      <c r="G119" s="206" t="s">
        <v>12082</v>
      </c>
      <c r="H119" s="207">
        <v>3800</v>
      </c>
      <c r="I119" s="208">
        <v>10.5</v>
      </c>
      <c r="J119" s="345"/>
      <c r="K119" s="345">
        <f>IFERROR(Table15[[#This Row],[ROUTE $]]/Table15[[#This Row],[E - DEMAND]],0)</f>
        <v>0</v>
      </c>
      <c r="L119" s="204"/>
      <c r="M119" s="412">
        <f>IFERROR(VLOOKUP(Table15[[#This Row],[ROUTE]],DEMAND!A:F,5,FALSE),0)</f>
        <v>3804</v>
      </c>
      <c r="N119" s="16">
        <f>IFERROR(VLOOKUP(Table15[[#This Row],[ROUTE]],DEMAND!A:F,6,FALSE),0)</f>
        <v>3804</v>
      </c>
      <c r="O119" s="16">
        <f>IFERROR(ROUNDDOWN(Table15[[#This Row],[R-DEMAND]]/1706,0),0)</f>
        <v>2</v>
      </c>
      <c r="P119" s="16">
        <f>IFERROR(Table15[[#This Row],[ADD ACC]]*Table15[[#This Row],[RT TIME 
(380-800)]],0)</f>
        <v>21</v>
      </c>
      <c r="Q119" s="415">
        <f>IFERROR(VLOOKUP(Table15[[#This Row],[ROUTE]],PRICING!A:B,2,FALSE),0)</f>
        <v>0</v>
      </c>
      <c r="R119" s="235">
        <f>IFERROR(Table15[[#This Row],[C_DEMAND]]-Table15[[#This Row],[R-DEMAND]],0)</f>
        <v>0</v>
      </c>
      <c r="S119" s="408">
        <f t="shared" si="1"/>
        <v>0</v>
      </c>
      <c r="T119" s="419">
        <f>Table15[[#This Row],[R-DEMAND]]-(Table15[[#This Row],[ADD ACC]]*1706)</f>
        <v>392</v>
      </c>
      <c r="U119" s="419">
        <f>ROUNDDOWN(Table15[[#This Row],[Column1]]/1360,0)</f>
        <v>0</v>
      </c>
      <c r="V119" s="419"/>
      <c r="W119" s="251">
        <v>10.5</v>
      </c>
      <c r="X119" s="251">
        <f>ROUNDDOWN(Table15[[#This Row],[R-DEMAND]]/1320,0)</f>
        <v>2</v>
      </c>
      <c r="Y119" s="251">
        <f>IFERROR(Table15[[#This Row],[ADD ACC
(660/1320)]]*Table15[[#This Row],[Duration
(B744)]],0)</f>
        <v>21</v>
      </c>
      <c r="Z119" s="251"/>
    </row>
    <row r="120" spans="1:26" ht="15.75" customHeight="1" x14ac:dyDescent="0.25">
      <c r="A120" s="210" t="s">
        <v>15694</v>
      </c>
      <c r="B120" s="204" t="s">
        <v>160</v>
      </c>
      <c r="C120" s="204" t="s">
        <v>67</v>
      </c>
      <c r="D120" s="205">
        <v>3</v>
      </c>
      <c r="E120" s="204" t="s">
        <v>5096</v>
      </c>
      <c r="F120" s="204" t="str">
        <f>VLOOKUP(E120,Table10[[COUNTRY NAME]:[CONTINENT CODE]],3,FALSE)</f>
        <v>AF</v>
      </c>
      <c r="G120" s="206" t="s">
        <v>12011</v>
      </c>
      <c r="H120" s="207">
        <v>4696</v>
      </c>
      <c r="I120" s="208">
        <v>12.5</v>
      </c>
      <c r="J120" s="345"/>
      <c r="K120" s="345">
        <f>IFERROR(Table15[[#This Row],[ROUTE $]]/Table15[[#This Row],[E - DEMAND]],0)</f>
        <v>0</v>
      </c>
      <c r="L120" s="204"/>
      <c r="M120" s="412">
        <f>IFERROR(VLOOKUP(Table15[[#This Row],[ROUTE]],DEMAND!A:F,5,FALSE),0)</f>
        <v>3801</v>
      </c>
      <c r="N120" s="16">
        <f>IFERROR(VLOOKUP(Table15[[#This Row],[ROUTE]],DEMAND!A:F,6,FALSE),0)</f>
        <v>3801</v>
      </c>
      <c r="O120" s="16">
        <f>IFERROR(ROUNDDOWN(Table15[[#This Row],[R-DEMAND]]/1706,0),0)</f>
        <v>2</v>
      </c>
      <c r="P120" s="16">
        <f>IFERROR(Table15[[#This Row],[ADD ACC]]*Table15[[#This Row],[RT TIME 
(380-800)]],0)</f>
        <v>25</v>
      </c>
      <c r="Q120" s="415">
        <f>IFERROR(VLOOKUP(Table15[[#This Row],[ROUTE]],PRICING!A:B,2,FALSE),0)</f>
        <v>0</v>
      </c>
      <c r="R120" s="235">
        <f>IFERROR(Table15[[#This Row],[C_DEMAND]]-Table15[[#This Row],[R-DEMAND]],0)</f>
        <v>0</v>
      </c>
      <c r="S120" s="408">
        <f t="shared" si="1"/>
        <v>0</v>
      </c>
      <c r="T120" s="419">
        <f>Table15[[#This Row],[R-DEMAND]]-(Table15[[#This Row],[ADD ACC]]*1706)</f>
        <v>389</v>
      </c>
      <c r="U120" s="419">
        <f>ROUNDDOWN(Table15[[#This Row],[Column1]]/1360,0)</f>
        <v>0</v>
      </c>
      <c r="V120" s="419"/>
      <c r="W120" s="251">
        <v>12.5</v>
      </c>
      <c r="X120" s="251">
        <f>ROUNDDOWN(Table15[[#This Row],[R-DEMAND]]/1320,0)</f>
        <v>2</v>
      </c>
      <c r="Y120" s="251">
        <f>IFERROR(Table15[[#This Row],[ADD ACC
(660/1320)]]*Table15[[#This Row],[Duration
(B744)]],0)</f>
        <v>25</v>
      </c>
      <c r="Z120" s="251"/>
    </row>
    <row r="121" spans="1:26" ht="15.75" customHeight="1" x14ac:dyDescent="0.25">
      <c r="A121" s="341" t="s">
        <v>18216</v>
      </c>
      <c r="B121" s="212" t="s">
        <v>2445</v>
      </c>
      <c r="C121" s="204" t="s">
        <v>67</v>
      </c>
      <c r="D121" s="226">
        <v>1</v>
      </c>
      <c r="E121" s="226" t="s">
        <v>608</v>
      </c>
      <c r="F121" s="212" t="s">
        <v>12671</v>
      </c>
      <c r="G121" s="226" t="s">
        <v>16935</v>
      </c>
      <c r="H121" s="343">
        <v>8684</v>
      </c>
      <c r="I121" s="342"/>
      <c r="J121" s="346"/>
      <c r="K121" s="345">
        <f>IFERROR(Table15[[#This Row],[ROUTE $]]/Table15[[#This Row],[E - DEMAND]],0)</f>
        <v>0</v>
      </c>
      <c r="L121" s="212"/>
      <c r="M121" s="413">
        <f>IFERROR(VLOOKUP(Table15[[#This Row],[ROUTE]],DEMAND!A:F,5,FALSE),0)</f>
        <v>3788</v>
      </c>
      <c r="N121" s="251">
        <f>IFERROR(VLOOKUP(Table15[[#This Row],[ROUTE]],DEMAND!A:F,6,FALSE),0)</f>
        <v>3788</v>
      </c>
      <c r="O121" s="349"/>
      <c r="P121" s="349"/>
      <c r="Q121" s="416">
        <f>IFERROR(VLOOKUP(Table15[[#This Row],[ROUTE]],PRICING!A:B,2,FALSE),0)</f>
        <v>0</v>
      </c>
      <c r="R121" s="409">
        <f>IFERROR(Table15[[#This Row],[C_DEMAND]]-Table15[[#This Row],[R-DEMAND]],0)</f>
        <v>0</v>
      </c>
      <c r="S121" s="410">
        <f t="shared" si="1"/>
        <v>0</v>
      </c>
      <c r="T121" s="420">
        <f>Table15[[#This Row],[R-DEMAND]]-(Table15[[#This Row],[ADD ACC]]*1706)</f>
        <v>3788</v>
      </c>
      <c r="U121" s="420">
        <f>ROUNDDOWN(Table15[[#This Row],[Column1]]/1360,0)</f>
        <v>2</v>
      </c>
      <c r="V121" s="420"/>
      <c r="W121" s="349"/>
      <c r="X121" s="349"/>
      <c r="Y121" s="349"/>
      <c r="Z121" s="349"/>
    </row>
    <row r="122" spans="1:26" ht="15.75" customHeight="1" x14ac:dyDescent="0.25">
      <c r="A122" s="210" t="s">
        <v>15290</v>
      </c>
      <c r="B122" s="204" t="s">
        <v>124</v>
      </c>
      <c r="C122" s="204" t="s">
        <v>67</v>
      </c>
      <c r="D122" s="205">
        <v>5</v>
      </c>
      <c r="E122" s="16" t="s">
        <v>11732</v>
      </c>
      <c r="F122" s="204" t="str">
        <f>VLOOKUP(E122,Table10[[COUNTRY NAME]:[CONTINENT CODE]],3,FALSE)</f>
        <v>NA - US</v>
      </c>
      <c r="G122" s="206" t="s">
        <v>13349</v>
      </c>
      <c r="H122" s="207">
        <v>12675</v>
      </c>
      <c r="I122" s="208">
        <v>30.25</v>
      </c>
      <c r="J122" s="345"/>
      <c r="K122" s="345">
        <f>IFERROR(Table15[[#This Row],[ROUTE $]]/Table15[[#This Row],[E - DEMAND]],0)</f>
        <v>0</v>
      </c>
      <c r="L122" s="204"/>
      <c r="M122" s="412">
        <f>IFERROR(VLOOKUP(Table15[[#This Row],[ROUTE]],DEMAND!A:F,5,FALSE),0)</f>
        <v>3785</v>
      </c>
      <c r="N122" s="16">
        <f>IFERROR(VLOOKUP(Table15[[#This Row],[ROUTE]],DEMAND!A:F,6,FALSE),0)</f>
        <v>3785</v>
      </c>
      <c r="O122" s="16">
        <f>IFERROR(ROUNDDOWN(Table15[[#This Row],[R-DEMAND]]/1706,0),0)</f>
        <v>2</v>
      </c>
      <c r="P122" s="16">
        <f>IFERROR(Table15[[#This Row],[ADD ACC]]*Table15[[#This Row],[RT TIME 
(380-800)]],0)</f>
        <v>60.5</v>
      </c>
      <c r="Q122" s="415">
        <f>IFERROR(VLOOKUP(Table15[[#This Row],[ROUTE]],PRICING!A:B,2,FALSE),0)</f>
        <v>0</v>
      </c>
      <c r="R122" s="235">
        <f>IFERROR(Table15[[#This Row],[C_DEMAND]]-Table15[[#This Row],[R-DEMAND]],0)</f>
        <v>0</v>
      </c>
      <c r="S122" s="408">
        <f t="shared" si="1"/>
        <v>0</v>
      </c>
      <c r="T122" s="419">
        <f>Table15[[#This Row],[R-DEMAND]]-(Table15[[#This Row],[ADD ACC]]*1706)</f>
        <v>373</v>
      </c>
      <c r="U122" s="419">
        <f>ROUNDDOWN(Table15[[#This Row],[Column1]]/1360,0)</f>
        <v>0</v>
      </c>
      <c r="V122" s="419"/>
      <c r="W122" s="251">
        <v>30.25</v>
      </c>
      <c r="X122" s="251">
        <f>ROUNDDOWN(Table15[[#This Row],[R-DEMAND]]/1320,0)</f>
        <v>2</v>
      </c>
      <c r="Y122" s="251">
        <f>IFERROR(Table15[[#This Row],[ADD ACC
(660/1320)]]*Table15[[#This Row],[Duration
(B744)]],0)</f>
        <v>60.5</v>
      </c>
      <c r="Z122" s="251"/>
    </row>
    <row r="123" spans="1:26" ht="15.75" customHeight="1" x14ac:dyDescent="0.25">
      <c r="A123" s="210" t="s">
        <v>15412</v>
      </c>
      <c r="B123" s="204" t="s">
        <v>4636</v>
      </c>
      <c r="C123" s="204" t="s">
        <v>67</v>
      </c>
      <c r="D123" s="205">
        <v>2</v>
      </c>
      <c r="E123" s="204" t="s">
        <v>493</v>
      </c>
      <c r="F123" s="204" t="str">
        <f>VLOOKUP(E123,Table10[[COUNTRY NAME]:[CONTINENT CODE]],3,FALSE)</f>
        <v>AF</v>
      </c>
      <c r="G123" s="206" t="s">
        <v>11702</v>
      </c>
      <c r="H123" s="207">
        <v>7325</v>
      </c>
      <c r="I123" s="208">
        <v>18.25</v>
      </c>
      <c r="J123" s="345"/>
      <c r="K123" s="345">
        <f>IFERROR(Table15[[#This Row],[ROUTE $]]/Table15[[#This Row],[E - DEMAND]],0)</f>
        <v>0</v>
      </c>
      <c r="L123" s="204"/>
      <c r="M123" s="412">
        <f>IFERROR(VLOOKUP(Table15[[#This Row],[ROUTE]],DEMAND!A:F,5,FALSE),0)</f>
        <v>3783</v>
      </c>
      <c r="N123" s="16">
        <f>IFERROR(VLOOKUP(Table15[[#This Row],[ROUTE]],DEMAND!A:F,6,FALSE),0)</f>
        <v>3783</v>
      </c>
      <c r="O123" s="16">
        <f>IFERROR(ROUNDDOWN(Table15[[#This Row],[R-DEMAND]]/1706,0),0)</f>
        <v>2</v>
      </c>
      <c r="P123" s="16">
        <f>IFERROR(Table15[[#This Row],[ADD ACC]]*Table15[[#This Row],[RT TIME 
(380-800)]],0)</f>
        <v>36.5</v>
      </c>
      <c r="Q123" s="415">
        <f>IFERROR(VLOOKUP(Table15[[#This Row],[ROUTE]],PRICING!A:B,2,FALSE),0)</f>
        <v>0</v>
      </c>
      <c r="R123" s="235">
        <f>IFERROR(Table15[[#This Row],[C_DEMAND]]-Table15[[#This Row],[R-DEMAND]],0)</f>
        <v>0</v>
      </c>
      <c r="S123" s="408">
        <f t="shared" si="1"/>
        <v>0</v>
      </c>
      <c r="T123" s="419">
        <f>Table15[[#This Row],[R-DEMAND]]-(Table15[[#This Row],[ADD ACC]]*1706)</f>
        <v>371</v>
      </c>
      <c r="U123" s="419">
        <f>ROUNDDOWN(Table15[[#This Row],[Column1]]/1360,0)</f>
        <v>0</v>
      </c>
      <c r="V123" s="419"/>
      <c r="W123" s="251">
        <v>18.25</v>
      </c>
      <c r="X123" s="251">
        <f>ROUNDDOWN(Table15[[#This Row],[R-DEMAND]]/1320,0)</f>
        <v>2</v>
      </c>
      <c r="Y123" s="251">
        <f>IFERROR(Table15[[#This Row],[ADD ACC
(660/1320)]]*Table15[[#This Row],[Duration
(B744)]],0)</f>
        <v>36.5</v>
      </c>
      <c r="Z123" s="251"/>
    </row>
    <row r="124" spans="1:26" ht="15.75" customHeight="1" x14ac:dyDescent="0.25">
      <c r="A124" s="210" t="s">
        <v>15286</v>
      </c>
      <c r="B124" s="204" t="s">
        <v>5719</v>
      </c>
      <c r="C124" s="204" t="s">
        <v>67</v>
      </c>
      <c r="D124" s="205">
        <v>5</v>
      </c>
      <c r="E124" s="16" t="s">
        <v>11732</v>
      </c>
      <c r="F124" s="204" t="str">
        <f>VLOOKUP(E124,Table10[[COUNTRY NAME]:[CONTINENT CODE]],3,FALSE)</f>
        <v>NA - US</v>
      </c>
      <c r="G124" s="206" t="s">
        <v>13294</v>
      </c>
      <c r="H124" s="207">
        <v>12766</v>
      </c>
      <c r="I124" s="208">
        <v>30.5</v>
      </c>
      <c r="J124" s="345"/>
      <c r="K124" s="345">
        <f>IFERROR(Table15[[#This Row],[ROUTE $]]/Table15[[#This Row],[E - DEMAND]],0)</f>
        <v>0</v>
      </c>
      <c r="L124" s="204"/>
      <c r="M124" s="412">
        <f>IFERROR(VLOOKUP(Table15[[#This Row],[ROUTE]],DEMAND!A:F,5,FALSE),0)</f>
        <v>3777</v>
      </c>
      <c r="N124" s="16">
        <f>IFERROR(VLOOKUP(Table15[[#This Row],[ROUTE]],DEMAND!A:F,6,FALSE),0)</f>
        <v>3777</v>
      </c>
      <c r="O124" s="16">
        <f>IFERROR(ROUNDDOWN(Table15[[#This Row],[R-DEMAND]]/1706,0),0)</f>
        <v>2</v>
      </c>
      <c r="P124" s="16">
        <f>IFERROR(Table15[[#This Row],[ADD ACC]]*Table15[[#This Row],[RT TIME 
(380-800)]],0)</f>
        <v>61</v>
      </c>
      <c r="Q124" s="415">
        <f>IFERROR(VLOOKUP(Table15[[#This Row],[ROUTE]],PRICING!A:B,2,FALSE),0)</f>
        <v>0</v>
      </c>
      <c r="R124" s="235">
        <f>IFERROR(Table15[[#This Row],[C_DEMAND]]-Table15[[#This Row],[R-DEMAND]],0)</f>
        <v>0</v>
      </c>
      <c r="S124" s="408">
        <f t="shared" si="1"/>
        <v>0</v>
      </c>
      <c r="T124" s="419">
        <f>Table15[[#This Row],[R-DEMAND]]-(Table15[[#This Row],[ADD ACC]]*1706)</f>
        <v>365</v>
      </c>
      <c r="U124" s="419">
        <f>ROUNDDOWN(Table15[[#This Row],[Column1]]/1360,0)</f>
        <v>0</v>
      </c>
      <c r="V124" s="419"/>
      <c r="W124" s="251">
        <v>30.5</v>
      </c>
      <c r="X124" s="251">
        <f>ROUNDDOWN(Table15[[#This Row],[R-DEMAND]]/1320,0)</f>
        <v>2</v>
      </c>
      <c r="Y124" s="251">
        <f>IFERROR(Table15[[#This Row],[ADD ACC
(660/1320)]]*Table15[[#This Row],[Duration
(B744)]],0)</f>
        <v>61</v>
      </c>
      <c r="Z124" s="251"/>
    </row>
    <row r="125" spans="1:26" ht="15.75" customHeight="1" x14ac:dyDescent="0.25">
      <c r="A125" s="210" t="s">
        <v>15851</v>
      </c>
      <c r="B125" s="204" t="s">
        <v>4414</v>
      </c>
      <c r="C125" s="204" t="s">
        <v>67</v>
      </c>
      <c r="D125" s="205">
        <v>2</v>
      </c>
      <c r="E125" s="204" t="s">
        <v>172</v>
      </c>
      <c r="F125" s="204" t="str">
        <f>VLOOKUP(E125,Table10[[COUNTRY NAME]:[CONTINENT CODE]],3,FALSE)</f>
        <v>AS</v>
      </c>
      <c r="G125" s="206" t="s">
        <v>9697</v>
      </c>
      <c r="H125" s="207">
        <v>3208</v>
      </c>
      <c r="I125" s="208">
        <v>9.25</v>
      </c>
      <c r="J125" s="345"/>
      <c r="K125" s="345">
        <f>IFERROR(Table15[[#This Row],[ROUTE $]]/Table15[[#This Row],[E - DEMAND]],0)</f>
        <v>0</v>
      </c>
      <c r="L125" s="204"/>
      <c r="M125" s="412">
        <f>IFERROR(VLOOKUP(Table15[[#This Row],[ROUTE]],DEMAND!A:F,5,FALSE),0)</f>
        <v>3774</v>
      </c>
      <c r="N125" s="16">
        <f>IFERROR(VLOOKUP(Table15[[#This Row],[ROUTE]],DEMAND!A:F,6,FALSE),0)</f>
        <v>3774</v>
      </c>
      <c r="O125" s="16">
        <f>IFERROR(ROUNDDOWN(Table15[[#This Row],[R-DEMAND]]/1706,0),0)</f>
        <v>2</v>
      </c>
      <c r="P125" s="16">
        <f>IFERROR(Table15[[#This Row],[ADD ACC]]*Table15[[#This Row],[RT TIME 
(380-800)]],0)</f>
        <v>18.5</v>
      </c>
      <c r="Q125" s="415">
        <f>IFERROR(VLOOKUP(Table15[[#This Row],[ROUTE]],PRICING!A:B,2,FALSE),0)</f>
        <v>0</v>
      </c>
      <c r="R125" s="235">
        <f>IFERROR(Table15[[#This Row],[C_DEMAND]]-Table15[[#This Row],[R-DEMAND]],0)</f>
        <v>0</v>
      </c>
      <c r="S125" s="408">
        <f t="shared" si="1"/>
        <v>0</v>
      </c>
      <c r="T125" s="419">
        <f>Table15[[#This Row],[R-DEMAND]]-(Table15[[#This Row],[ADD ACC]]*1706)</f>
        <v>362</v>
      </c>
      <c r="U125" s="419">
        <f>ROUNDDOWN(Table15[[#This Row],[Column1]]/1360,0)</f>
        <v>0</v>
      </c>
      <c r="V125" s="419"/>
      <c r="W125" s="251">
        <v>9.25</v>
      </c>
      <c r="X125" s="251">
        <f>ROUNDDOWN(Table15[[#This Row],[R-DEMAND]]/1320,0)</f>
        <v>2</v>
      </c>
      <c r="Y125" s="251">
        <f>IFERROR(Table15[[#This Row],[ADD ACC
(660/1320)]]*Table15[[#This Row],[Duration
(B744)]],0)</f>
        <v>18.5</v>
      </c>
      <c r="Z125" s="251"/>
    </row>
    <row r="126" spans="1:26" ht="15.75" customHeight="1" x14ac:dyDescent="0.25">
      <c r="A126" s="210" t="s">
        <v>15724</v>
      </c>
      <c r="B126" s="204" t="s">
        <v>3699</v>
      </c>
      <c r="C126" s="204" t="s">
        <v>67</v>
      </c>
      <c r="D126" s="205">
        <v>2</v>
      </c>
      <c r="E126" s="204" t="s">
        <v>700</v>
      </c>
      <c r="F126" s="204" t="str">
        <f>VLOOKUP(E126,Table10[[COUNTRY NAME]:[CONTINENT CODE]],3,FALSE)</f>
        <v>AS</v>
      </c>
      <c r="G126" s="206" t="s">
        <v>8961</v>
      </c>
      <c r="H126" s="207">
        <v>4416</v>
      </c>
      <c r="I126" s="208">
        <v>12</v>
      </c>
      <c r="J126" s="345"/>
      <c r="K126" s="345">
        <f>IFERROR(Table15[[#This Row],[ROUTE $]]/Table15[[#This Row],[E - DEMAND]],0)</f>
        <v>0</v>
      </c>
      <c r="L126" s="204"/>
      <c r="M126" s="412">
        <f>IFERROR(VLOOKUP(Table15[[#This Row],[ROUTE]],DEMAND!A:F,5,FALSE),0)</f>
        <v>3773</v>
      </c>
      <c r="N126" s="16">
        <f>IFERROR(VLOOKUP(Table15[[#This Row],[ROUTE]],DEMAND!A:F,6,FALSE),0)</f>
        <v>3773</v>
      </c>
      <c r="O126" s="16">
        <f>IFERROR(ROUNDDOWN(Table15[[#This Row],[R-DEMAND]]/1706,0),0)</f>
        <v>2</v>
      </c>
      <c r="P126" s="16">
        <f>IFERROR(Table15[[#This Row],[ADD ACC]]*Table15[[#This Row],[RT TIME 
(380-800)]],0)</f>
        <v>24</v>
      </c>
      <c r="Q126" s="415">
        <f>IFERROR(VLOOKUP(Table15[[#This Row],[ROUTE]],PRICING!A:B,2,FALSE),0)</f>
        <v>0</v>
      </c>
      <c r="R126" s="235">
        <f>IFERROR(Table15[[#This Row],[C_DEMAND]]-Table15[[#This Row],[R-DEMAND]],0)</f>
        <v>0</v>
      </c>
      <c r="S126" s="408">
        <f t="shared" si="1"/>
        <v>0</v>
      </c>
      <c r="T126" s="419">
        <f>Table15[[#This Row],[R-DEMAND]]-(Table15[[#This Row],[ADD ACC]]*1706)</f>
        <v>361</v>
      </c>
      <c r="U126" s="419">
        <f>ROUNDDOWN(Table15[[#This Row],[Column1]]/1360,0)</f>
        <v>0</v>
      </c>
      <c r="V126" s="419"/>
      <c r="W126" s="251">
        <v>12</v>
      </c>
      <c r="X126" s="251">
        <f>ROUNDDOWN(Table15[[#This Row],[R-DEMAND]]/1320,0)</f>
        <v>2</v>
      </c>
      <c r="Y126" s="251">
        <f>IFERROR(Table15[[#This Row],[ADD ACC
(660/1320)]]*Table15[[#This Row],[Duration
(B744)]],0)</f>
        <v>24</v>
      </c>
      <c r="Z126" s="251"/>
    </row>
    <row r="127" spans="1:26" ht="15.75" customHeight="1" x14ac:dyDescent="0.25">
      <c r="A127" s="210" t="s">
        <v>15809</v>
      </c>
      <c r="B127" s="204" t="s">
        <v>2067</v>
      </c>
      <c r="C127" s="204" t="s">
        <v>67</v>
      </c>
      <c r="D127" s="205">
        <v>1</v>
      </c>
      <c r="E127" s="204" t="s">
        <v>1654</v>
      </c>
      <c r="F127" s="204" t="str">
        <f>VLOOKUP(E127,Table10[[COUNTRY NAME]:[CONTINENT CODE]],3,FALSE)</f>
        <v>AS</v>
      </c>
      <c r="G127" s="206" t="s">
        <v>11900</v>
      </c>
      <c r="H127" s="207">
        <v>3677</v>
      </c>
      <c r="I127" s="208">
        <v>10.25</v>
      </c>
      <c r="J127" s="345"/>
      <c r="K127" s="345">
        <f>IFERROR(Table15[[#This Row],[ROUTE $]]/Table15[[#This Row],[E - DEMAND]],0)</f>
        <v>0</v>
      </c>
      <c r="L127" s="204"/>
      <c r="M127" s="412">
        <f>IFERROR(VLOOKUP(Table15[[#This Row],[ROUTE]],DEMAND!A:F,5,FALSE),0)</f>
        <v>3772</v>
      </c>
      <c r="N127" s="16">
        <f>IFERROR(VLOOKUP(Table15[[#This Row],[ROUTE]],DEMAND!A:F,6,FALSE),0)</f>
        <v>3772</v>
      </c>
      <c r="O127" s="16">
        <f>IFERROR(ROUNDDOWN(Table15[[#This Row],[R-DEMAND]]/1706,0),0)</f>
        <v>2</v>
      </c>
      <c r="P127" s="16">
        <f>IFERROR(Table15[[#This Row],[ADD ACC]]*Table15[[#This Row],[RT TIME 
(380-800)]],0)</f>
        <v>20.5</v>
      </c>
      <c r="Q127" s="415">
        <f>IFERROR(VLOOKUP(Table15[[#This Row],[ROUTE]],PRICING!A:B,2,FALSE),0)</f>
        <v>0</v>
      </c>
      <c r="R127" s="235">
        <f>IFERROR(Table15[[#This Row],[C_DEMAND]]-Table15[[#This Row],[R-DEMAND]],0)</f>
        <v>0</v>
      </c>
      <c r="S127" s="408">
        <f t="shared" si="1"/>
        <v>0</v>
      </c>
      <c r="T127" s="419">
        <f>Table15[[#This Row],[R-DEMAND]]-(Table15[[#This Row],[ADD ACC]]*1706)</f>
        <v>360</v>
      </c>
      <c r="U127" s="419">
        <f>ROUNDDOWN(Table15[[#This Row],[Column1]]/1360,0)</f>
        <v>0</v>
      </c>
      <c r="V127" s="419"/>
      <c r="W127" s="251">
        <v>10.25</v>
      </c>
      <c r="X127" s="251">
        <f>ROUNDDOWN(Table15[[#This Row],[R-DEMAND]]/1320,0)</f>
        <v>2</v>
      </c>
      <c r="Y127" s="251">
        <f>IFERROR(Table15[[#This Row],[ADD ACC
(660/1320)]]*Table15[[#This Row],[Duration
(B744)]],0)</f>
        <v>20.5</v>
      </c>
      <c r="Z127" s="251"/>
    </row>
    <row r="128" spans="1:26" ht="15.75" customHeight="1" x14ac:dyDescent="0.25">
      <c r="A128" s="210" t="s">
        <v>15883</v>
      </c>
      <c r="B128" s="204" t="s">
        <v>3586</v>
      </c>
      <c r="C128" s="204" t="s">
        <v>67</v>
      </c>
      <c r="D128" s="205">
        <v>2</v>
      </c>
      <c r="E128" s="204" t="s">
        <v>14</v>
      </c>
      <c r="F128" s="204" t="str">
        <f>VLOOKUP(E128,Table10[[COUNTRY NAME]:[CONTINENT CODE]],3,FALSE)</f>
        <v>AS</v>
      </c>
      <c r="G128" s="206" t="s">
        <v>12006</v>
      </c>
      <c r="H128" s="207">
        <v>2810</v>
      </c>
      <c r="I128" s="208">
        <v>8.25</v>
      </c>
      <c r="J128" s="345"/>
      <c r="K128" s="345">
        <f>IFERROR(Table15[[#This Row],[ROUTE $]]/Table15[[#This Row],[E - DEMAND]],0)</f>
        <v>0</v>
      </c>
      <c r="L128" s="204"/>
      <c r="M128" s="412">
        <f>IFERROR(VLOOKUP(Table15[[#This Row],[ROUTE]],DEMAND!A:F,5,FALSE),0)</f>
        <v>3767</v>
      </c>
      <c r="N128" s="16">
        <f>IFERROR(VLOOKUP(Table15[[#This Row],[ROUTE]],DEMAND!A:F,6,FALSE),0)</f>
        <v>3767</v>
      </c>
      <c r="O128" s="16">
        <f>IFERROR(ROUNDDOWN(Table15[[#This Row],[R-DEMAND]]/1706,0),0)</f>
        <v>2</v>
      </c>
      <c r="P128" s="16">
        <f>IFERROR(Table15[[#This Row],[ADD ACC]]*Table15[[#This Row],[RT TIME 
(380-800)]],0)</f>
        <v>16.5</v>
      </c>
      <c r="Q128" s="415">
        <f>IFERROR(VLOOKUP(Table15[[#This Row],[ROUTE]],PRICING!A:B,2,FALSE),0)</f>
        <v>0</v>
      </c>
      <c r="R128" s="235">
        <f>IFERROR(Table15[[#This Row],[C_DEMAND]]-Table15[[#This Row],[R-DEMAND]],0)</f>
        <v>0</v>
      </c>
      <c r="S128" s="408">
        <f t="shared" si="1"/>
        <v>0</v>
      </c>
      <c r="T128" s="419">
        <f>Table15[[#This Row],[R-DEMAND]]-(Table15[[#This Row],[ADD ACC]]*1706)</f>
        <v>355</v>
      </c>
      <c r="U128" s="419">
        <f>ROUNDDOWN(Table15[[#This Row],[Column1]]/1360,0)</f>
        <v>0</v>
      </c>
      <c r="V128" s="419"/>
      <c r="W128" s="251">
        <v>8.25</v>
      </c>
      <c r="X128" s="251">
        <f>ROUNDDOWN(Table15[[#This Row],[R-DEMAND]]/1320,0)</f>
        <v>2</v>
      </c>
      <c r="Y128" s="251">
        <f>IFERROR(Table15[[#This Row],[ADD ACC
(660/1320)]]*Table15[[#This Row],[Duration
(B744)]],0)</f>
        <v>16.5</v>
      </c>
      <c r="Z128" s="251"/>
    </row>
    <row r="129" spans="1:26" ht="15.75" customHeight="1" x14ac:dyDescent="0.25">
      <c r="A129" s="210" t="s">
        <v>15879</v>
      </c>
      <c r="B129" s="204" t="s">
        <v>3435</v>
      </c>
      <c r="C129" s="204" t="s">
        <v>67</v>
      </c>
      <c r="D129" s="205">
        <v>2</v>
      </c>
      <c r="E129" s="204" t="s">
        <v>14</v>
      </c>
      <c r="F129" s="204" t="str">
        <f>VLOOKUP(E129,Table10[[COUNTRY NAME]:[CONTINENT CODE]],3,FALSE)</f>
        <v>AS</v>
      </c>
      <c r="G129" s="206" t="s">
        <v>12065</v>
      </c>
      <c r="H129" s="207">
        <v>2894</v>
      </c>
      <c r="I129" s="208">
        <v>8.5</v>
      </c>
      <c r="J129" s="345"/>
      <c r="K129" s="345">
        <f>IFERROR(Table15[[#This Row],[ROUTE $]]/Table15[[#This Row],[E - DEMAND]],0)</f>
        <v>0</v>
      </c>
      <c r="L129" s="204"/>
      <c r="M129" s="412">
        <f>IFERROR(VLOOKUP(Table15[[#This Row],[ROUTE]],DEMAND!A:F,5,FALSE),0)</f>
        <v>3747</v>
      </c>
      <c r="N129" s="16">
        <f>IFERROR(VLOOKUP(Table15[[#This Row],[ROUTE]],DEMAND!A:F,6,FALSE),0)</f>
        <v>3747</v>
      </c>
      <c r="O129" s="16">
        <f>IFERROR(ROUNDDOWN(Table15[[#This Row],[R-DEMAND]]/1706,0),0)</f>
        <v>2</v>
      </c>
      <c r="P129" s="16">
        <f>IFERROR(Table15[[#This Row],[ADD ACC]]*Table15[[#This Row],[RT TIME 
(380-800)]],0)</f>
        <v>17</v>
      </c>
      <c r="Q129" s="415">
        <f>IFERROR(VLOOKUP(Table15[[#This Row],[ROUTE]],PRICING!A:B,2,FALSE),0)</f>
        <v>0</v>
      </c>
      <c r="R129" s="235">
        <f>IFERROR(Table15[[#This Row],[C_DEMAND]]-Table15[[#This Row],[R-DEMAND]],0)</f>
        <v>0</v>
      </c>
      <c r="S129" s="408">
        <f t="shared" si="1"/>
        <v>0</v>
      </c>
      <c r="T129" s="419">
        <f>Table15[[#This Row],[R-DEMAND]]-(Table15[[#This Row],[ADD ACC]]*1706)</f>
        <v>335</v>
      </c>
      <c r="U129" s="419">
        <f>ROUNDDOWN(Table15[[#This Row],[Column1]]/1360,0)</f>
        <v>0</v>
      </c>
      <c r="V129" s="419"/>
      <c r="W129" s="251">
        <v>8.5</v>
      </c>
      <c r="X129" s="251">
        <f>ROUNDDOWN(Table15[[#This Row],[R-DEMAND]]/1320,0)</f>
        <v>2</v>
      </c>
      <c r="Y129" s="251">
        <f>IFERROR(Table15[[#This Row],[ADD ACC
(660/1320)]]*Table15[[#This Row],[Duration
(B744)]],0)</f>
        <v>17</v>
      </c>
      <c r="Z129" s="251"/>
    </row>
    <row r="130" spans="1:26" ht="15.75" customHeight="1" x14ac:dyDescent="0.25">
      <c r="A130" s="210" t="s">
        <v>15752</v>
      </c>
      <c r="B130" s="204" t="s">
        <v>4070</v>
      </c>
      <c r="C130" s="204" t="s">
        <v>67</v>
      </c>
      <c r="D130" s="205">
        <v>2</v>
      </c>
      <c r="E130" s="204" t="s">
        <v>14</v>
      </c>
      <c r="F130" s="204" t="str">
        <f>VLOOKUP(E130,Table10[[COUNTRY NAME]:[CONTINENT CODE]],3,FALSE)</f>
        <v>AS</v>
      </c>
      <c r="G130" s="206" t="s">
        <v>12042</v>
      </c>
      <c r="H130" s="207">
        <v>4144</v>
      </c>
      <c r="I130" s="208">
        <v>11.25</v>
      </c>
      <c r="J130" s="345"/>
      <c r="K130" s="345">
        <f>IFERROR(Table15[[#This Row],[ROUTE $]]/Table15[[#This Row],[E - DEMAND]],0)</f>
        <v>0</v>
      </c>
      <c r="L130" s="204"/>
      <c r="M130" s="412">
        <f>IFERROR(VLOOKUP(Table15[[#This Row],[ROUTE]],DEMAND!A:F,5,FALSE),0)</f>
        <v>3745</v>
      </c>
      <c r="N130" s="16">
        <f>IFERROR(VLOOKUP(Table15[[#This Row],[ROUTE]],DEMAND!A:F,6,FALSE),0)</f>
        <v>3745</v>
      </c>
      <c r="O130" s="16">
        <f>IFERROR(ROUNDDOWN(Table15[[#This Row],[R-DEMAND]]/1706,0),0)</f>
        <v>2</v>
      </c>
      <c r="P130" s="16">
        <f>IFERROR(Table15[[#This Row],[ADD ACC]]*Table15[[#This Row],[RT TIME 
(380-800)]],0)</f>
        <v>22.5</v>
      </c>
      <c r="Q130" s="415">
        <f>IFERROR(VLOOKUP(Table15[[#This Row],[ROUTE]],PRICING!A:B,2,FALSE),0)</f>
        <v>0</v>
      </c>
      <c r="R130" s="235">
        <f>IFERROR(Table15[[#This Row],[C_DEMAND]]-Table15[[#This Row],[R-DEMAND]],0)</f>
        <v>0</v>
      </c>
      <c r="S130" s="408">
        <f t="shared" si="1"/>
        <v>0</v>
      </c>
      <c r="T130" s="419">
        <f>Table15[[#This Row],[R-DEMAND]]-(Table15[[#This Row],[ADD ACC]]*1706)</f>
        <v>333</v>
      </c>
      <c r="U130" s="419">
        <f>ROUNDDOWN(Table15[[#This Row],[Column1]]/1360,0)</f>
        <v>0</v>
      </c>
      <c r="V130" s="419"/>
      <c r="W130" s="251">
        <v>11.25</v>
      </c>
      <c r="X130" s="251">
        <f>ROUNDDOWN(Table15[[#This Row],[R-DEMAND]]/1320,0)</f>
        <v>2</v>
      </c>
      <c r="Y130" s="251">
        <f>IFERROR(Table15[[#This Row],[ADD ACC
(660/1320)]]*Table15[[#This Row],[Duration
(B744)]],0)</f>
        <v>22.5</v>
      </c>
      <c r="Z130" s="251"/>
    </row>
    <row r="131" spans="1:26" ht="15.75" customHeight="1" x14ac:dyDescent="0.25">
      <c r="A131" s="210" t="s">
        <v>15491</v>
      </c>
      <c r="B131" s="204" t="s">
        <v>163</v>
      </c>
      <c r="C131" s="204" t="s">
        <v>67</v>
      </c>
      <c r="D131" s="205">
        <v>2</v>
      </c>
      <c r="E131" s="204" t="s">
        <v>926</v>
      </c>
      <c r="F131" s="204" t="str">
        <f>VLOOKUP(E131,Table10[[COUNTRY NAME]:[CONTINENT CODE]],3,FALSE)</f>
        <v>AF</v>
      </c>
      <c r="G131" s="206" t="s">
        <v>11907</v>
      </c>
      <c r="H131" s="207">
        <v>6698</v>
      </c>
      <c r="I131" s="208">
        <v>17</v>
      </c>
      <c r="J131" s="345"/>
      <c r="K131" s="345">
        <f>IFERROR(Table15[[#This Row],[ROUTE $]]/Table15[[#This Row],[E - DEMAND]],0)</f>
        <v>0</v>
      </c>
      <c r="L131" s="204"/>
      <c r="M131" s="412">
        <f>IFERROR(VLOOKUP(Table15[[#This Row],[ROUTE]],DEMAND!A:F,5,FALSE),0)</f>
        <v>3736</v>
      </c>
      <c r="N131" s="16">
        <f>IFERROR(VLOOKUP(Table15[[#This Row],[ROUTE]],DEMAND!A:F,6,FALSE),0)</f>
        <v>3736</v>
      </c>
      <c r="O131" s="16">
        <f>IFERROR(ROUNDDOWN(Table15[[#This Row],[R-DEMAND]]/1706,0),0)</f>
        <v>2</v>
      </c>
      <c r="P131" s="16">
        <f>IFERROR(Table15[[#This Row],[ADD ACC]]*Table15[[#This Row],[RT TIME 
(380-800)]],0)</f>
        <v>34</v>
      </c>
      <c r="Q131" s="415">
        <f>IFERROR(VLOOKUP(Table15[[#This Row],[ROUTE]],PRICING!A:B,2,FALSE),0)</f>
        <v>0</v>
      </c>
      <c r="R131" s="235">
        <f>IFERROR(Table15[[#This Row],[C_DEMAND]]-Table15[[#This Row],[R-DEMAND]],0)</f>
        <v>0</v>
      </c>
      <c r="S131" s="408">
        <f t="shared" ref="S131:S194" si="2">IFERROR(R131*Q131,0)</f>
        <v>0</v>
      </c>
      <c r="T131" s="419">
        <f>Table15[[#This Row],[R-DEMAND]]-(Table15[[#This Row],[ADD ACC]]*1706)</f>
        <v>324</v>
      </c>
      <c r="U131" s="419">
        <f>ROUNDDOWN(Table15[[#This Row],[Column1]]/1360,0)</f>
        <v>0</v>
      </c>
      <c r="V131" s="419"/>
      <c r="W131" s="251">
        <v>17</v>
      </c>
      <c r="X131" s="251">
        <f>ROUNDDOWN(Table15[[#This Row],[R-DEMAND]]/1320,0)</f>
        <v>2</v>
      </c>
      <c r="Y131" s="251">
        <f>IFERROR(Table15[[#This Row],[ADD ACC
(660/1320)]]*Table15[[#This Row],[Duration
(B744)]],0)</f>
        <v>34</v>
      </c>
      <c r="Z131" s="251"/>
    </row>
    <row r="132" spans="1:26" ht="15.75" customHeight="1" x14ac:dyDescent="0.25">
      <c r="A132" s="210" t="s">
        <v>15951</v>
      </c>
      <c r="B132" s="204" t="s">
        <v>1904</v>
      </c>
      <c r="C132" s="204" t="s">
        <v>67</v>
      </c>
      <c r="D132" s="205">
        <v>1</v>
      </c>
      <c r="E132" s="204" t="s">
        <v>197</v>
      </c>
      <c r="F132" s="204" t="str">
        <f>VLOOKUP(E132,Table10[[COUNTRY NAME]:[CONTINENT CODE]],3,FALSE)</f>
        <v>AS</v>
      </c>
      <c r="G132" s="206" t="s">
        <v>12014</v>
      </c>
      <c r="H132" s="207">
        <v>1066</v>
      </c>
      <c r="I132" s="208">
        <v>4.5</v>
      </c>
      <c r="J132" s="345"/>
      <c r="K132" s="345">
        <f>IFERROR(Table15[[#This Row],[ROUTE $]]/Table15[[#This Row],[E - DEMAND]],0)</f>
        <v>0</v>
      </c>
      <c r="L132" s="204"/>
      <c r="M132" s="412">
        <f>IFERROR(VLOOKUP(Table15[[#This Row],[ROUTE]],DEMAND!A:F,5,FALSE),0)</f>
        <v>3732</v>
      </c>
      <c r="N132" s="16">
        <f>IFERROR(VLOOKUP(Table15[[#This Row],[ROUTE]],DEMAND!A:F,6,FALSE),0)</f>
        <v>3732</v>
      </c>
      <c r="O132" s="16">
        <f>IFERROR(ROUNDDOWN(Table15[[#This Row],[R-DEMAND]]/1706,0),0)</f>
        <v>2</v>
      </c>
      <c r="P132" s="16">
        <f>IFERROR(Table15[[#This Row],[ADD ACC]]*Table15[[#This Row],[RT TIME 
(380-800)]],0)</f>
        <v>9</v>
      </c>
      <c r="Q132" s="415">
        <f>IFERROR(VLOOKUP(Table15[[#This Row],[ROUTE]],PRICING!A:B,2,FALSE),0)</f>
        <v>0</v>
      </c>
      <c r="R132" s="235">
        <f>IFERROR(Table15[[#This Row],[C_DEMAND]]-Table15[[#This Row],[R-DEMAND]],0)</f>
        <v>0</v>
      </c>
      <c r="S132" s="408">
        <f t="shared" si="2"/>
        <v>0</v>
      </c>
      <c r="T132" s="419">
        <f>Table15[[#This Row],[R-DEMAND]]-(Table15[[#This Row],[ADD ACC]]*1706)</f>
        <v>320</v>
      </c>
      <c r="U132" s="419">
        <f>ROUNDDOWN(Table15[[#This Row],[Column1]]/1360,0)</f>
        <v>0</v>
      </c>
      <c r="V132" s="419"/>
      <c r="W132" s="251">
        <v>4.5</v>
      </c>
      <c r="X132" s="251">
        <f>ROUNDDOWN(Table15[[#This Row],[R-DEMAND]]/1320,0)</f>
        <v>2</v>
      </c>
      <c r="Y132" s="251">
        <f>IFERROR(Table15[[#This Row],[ADD ACC
(660/1320)]]*Table15[[#This Row],[Duration
(B744)]],0)</f>
        <v>9</v>
      </c>
      <c r="Z132" s="251"/>
    </row>
    <row r="133" spans="1:26" ht="15.75" customHeight="1" x14ac:dyDescent="0.25">
      <c r="A133" s="210" t="s">
        <v>15864</v>
      </c>
      <c r="B133" s="204" t="s">
        <v>3189</v>
      </c>
      <c r="C133" s="204" t="s">
        <v>67</v>
      </c>
      <c r="D133" s="205">
        <v>2</v>
      </c>
      <c r="E133" s="204" t="s">
        <v>14</v>
      </c>
      <c r="F133" s="204" t="str">
        <f>VLOOKUP(E133,Table10[[COUNTRY NAME]:[CONTINENT CODE]],3,FALSE)</f>
        <v>AS</v>
      </c>
      <c r="G133" s="206" t="s">
        <v>12073</v>
      </c>
      <c r="H133" s="207">
        <v>3071</v>
      </c>
      <c r="I133" s="208">
        <v>9</v>
      </c>
      <c r="J133" s="345"/>
      <c r="K133" s="345">
        <f>IFERROR(Table15[[#This Row],[ROUTE $]]/Table15[[#This Row],[E - DEMAND]],0)</f>
        <v>0</v>
      </c>
      <c r="L133" s="204"/>
      <c r="M133" s="412">
        <f>IFERROR(VLOOKUP(Table15[[#This Row],[ROUTE]],DEMAND!A:F,5,FALSE),0)</f>
        <v>3713</v>
      </c>
      <c r="N133" s="16">
        <f>IFERROR(VLOOKUP(Table15[[#This Row],[ROUTE]],DEMAND!A:F,6,FALSE),0)</f>
        <v>3713</v>
      </c>
      <c r="O133" s="16">
        <f>IFERROR(ROUNDDOWN(Table15[[#This Row],[R-DEMAND]]/1706,0),0)</f>
        <v>2</v>
      </c>
      <c r="P133" s="16">
        <f>IFERROR(Table15[[#This Row],[ADD ACC]]*Table15[[#This Row],[RT TIME 
(380-800)]],0)</f>
        <v>18</v>
      </c>
      <c r="Q133" s="415">
        <f>IFERROR(VLOOKUP(Table15[[#This Row],[ROUTE]],PRICING!A:B,2,FALSE),0)</f>
        <v>0</v>
      </c>
      <c r="R133" s="235">
        <f>IFERROR(Table15[[#This Row],[C_DEMAND]]-Table15[[#This Row],[R-DEMAND]],0)</f>
        <v>0</v>
      </c>
      <c r="S133" s="408">
        <f t="shared" si="2"/>
        <v>0</v>
      </c>
      <c r="T133" s="419">
        <f>Table15[[#This Row],[R-DEMAND]]-(Table15[[#This Row],[ADD ACC]]*1706)</f>
        <v>301</v>
      </c>
      <c r="U133" s="419">
        <f>ROUNDDOWN(Table15[[#This Row],[Column1]]/1360,0)</f>
        <v>0</v>
      </c>
      <c r="V133" s="419"/>
      <c r="W133" s="251">
        <v>9</v>
      </c>
      <c r="X133" s="251">
        <f>ROUNDDOWN(Table15[[#This Row],[R-DEMAND]]/1320,0)</f>
        <v>2</v>
      </c>
      <c r="Y133" s="251">
        <f>IFERROR(Table15[[#This Row],[ADD ACC
(660/1320)]]*Table15[[#This Row],[Duration
(B744)]],0)</f>
        <v>18</v>
      </c>
      <c r="Z133" s="251"/>
    </row>
    <row r="134" spans="1:26" ht="15.75" customHeight="1" x14ac:dyDescent="0.25">
      <c r="A134" s="210" t="s">
        <v>15285</v>
      </c>
      <c r="B134" s="204" t="s">
        <v>5715</v>
      </c>
      <c r="C134" s="204" t="s">
        <v>67</v>
      </c>
      <c r="D134" s="205">
        <v>5</v>
      </c>
      <c r="E134" s="16" t="s">
        <v>11732</v>
      </c>
      <c r="F134" s="204" t="str">
        <f>VLOOKUP(E134,Table10[[COUNTRY NAME]:[CONTINENT CODE]],3,FALSE)</f>
        <v>NA - US</v>
      </c>
      <c r="G134" s="206" t="s">
        <v>13318</v>
      </c>
      <c r="H134" s="207">
        <v>12778</v>
      </c>
      <c r="I134" s="208">
        <v>30.5</v>
      </c>
      <c r="J134" s="345"/>
      <c r="K134" s="345">
        <f>IFERROR(Table15[[#This Row],[ROUTE $]]/Table15[[#This Row],[E - DEMAND]],0)</f>
        <v>0</v>
      </c>
      <c r="L134" s="204"/>
      <c r="M134" s="412">
        <f>IFERROR(VLOOKUP(Table15[[#This Row],[ROUTE]],DEMAND!A:F,5,FALSE),0)</f>
        <v>3708</v>
      </c>
      <c r="N134" s="16">
        <f>IFERROR(VLOOKUP(Table15[[#This Row],[ROUTE]],DEMAND!A:F,6,FALSE),0)</f>
        <v>3708</v>
      </c>
      <c r="O134" s="16">
        <f>IFERROR(ROUNDDOWN(Table15[[#This Row],[R-DEMAND]]/1706,0),0)</f>
        <v>2</v>
      </c>
      <c r="P134" s="16">
        <f>IFERROR(Table15[[#This Row],[ADD ACC]]*Table15[[#This Row],[RT TIME 
(380-800)]],0)</f>
        <v>61</v>
      </c>
      <c r="Q134" s="415">
        <f>IFERROR(VLOOKUP(Table15[[#This Row],[ROUTE]],PRICING!A:B,2,FALSE),0)</f>
        <v>0</v>
      </c>
      <c r="R134" s="235">
        <f>IFERROR(Table15[[#This Row],[C_DEMAND]]-Table15[[#This Row],[R-DEMAND]],0)</f>
        <v>0</v>
      </c>
      <c r="S134" s="408">
        <f t="shared" si="2"/>
        <v>0</v>
      </c>
      <c r="T134" s="419">
        <f>Table15[[#This Row],[R-DEMAND]]-(Table15[[#This Row],[ADD ACC]]*1706)</f>
        <v>296</v>
      </c>
      <c r="U134" s="419">
        <f>ROUNDDOWN(Table15[[#This Row],[Column1]]/1360,0)</f>
        <v>0</v>
      </c>
      <c r="V134" s="419"/>
      <c r="W134" s="251">
        <v>30.5</v>
      </c>
      <c r="X134" s="251">
        <f>ROUNDDOWN(Table15[[#This Row],[R-DEMAND]]/1320,0)</f>
        <v>2</v>
      </c>
      <c r="Y134" s="251">
        <f>IFERROR(Table15[[#This Row],[ADD ACC
(660/1320)]]*Table15[[#This Row],[Duration
(B744)]],0)</f>
        <v>61</v>
      </c>
      <c r="Z134" s="251"/>
    </row>
    <row r="135" spans="1:26" ht="15.75" customHeight="1" x14ac:dyDescent="0.25">
      <c r="A135" s="210" t="s">
        <v>15811</v>
      </c>
      <c r="B135" s="204" t="s">
        <v>1656</v>
      </c>
      <c r="C135" s="204" t="s">
        <v>67</v>
      </c>
      <c r="D135" s="205">
        <v>1</v>
      </c>
      <c r="E135" s="204" t="s">
        <v>1654</v>
      </c>
      <c r="F135" s="204" t="str">
        <f>VLOOKUP(E135,Table10[[COUNTRY NAME]:[CONTINENT CODE]],3,FALSE)</f>
        <v>AS</v>
      </c>
      <c r="G135" s="206" t="s">
        <v>11901</v>
      </c>
      <c r="H135" s="207">
        <v>3666</v>
      </c>
      <c r="I135" s="208">
        <v>10.25</v>
      </c>
      <c r="J135" s="345"/>
      <c r="K135" s="345">
        <f>IFERROR(Table15[[#This Row],[ROUTE $]]/Table15[[#This Row],[E - DEMAND]],0)</f>
        <v>0</v>
      </c>
      <c r="L135" s="204"/>
      <c r="M135" s="412">
        <f>IFERROR(VLOOKUP(Table15[[#This Row],[ROUTE]],DEMAND!A:F,5,FALSE),0)</f>
        <v>3697</v>
      </c>
      <c r="N135" s="16">
        <f>IFERROR(VLOOKUP(Table15[[#This Row],[ROUTE]],DEMAND!A:F,6,FALSE),0)</f>
        <v>3697</v>
      </c>
      <c r="O135" s="16">
        <f>IFERROR(ROUNDDOWN(Table15[[#This Row],[R-DEMAND]]/1706,0),0)</f>
        <v>2</v>
      </c>
      <c r="P135" s="16">
        <f>IFERROR(Table15[[#This Row],[ADD ACC]]*Table15[[#This Row],[RT TIME 
(380-800)]],0)</f>
        <v>20.5</v>
      </c>
      <c r="Q135" s="415">
        <f>IFERROR(VLOOKUP(Table15[[#This Row],[ROUTE]],PRICING!A:B,2,FALSE),0)</f>
        <v>0</v>
      </c>
      <c r="R135" s="235">
        <f>IFERROR(Table15[[#This Row],[C_DEMAND]]-Table15[[#This Row],[R-DEMAND]],0)</f>
        <v>0</v>
      </c>
      <c r="S135" s="408">
        <f t="shared" si="2"/>
        <v>0</v>
      </c>
      <c r="T135" s="419">
        <f>Table15[[#This Row],[R-DEMAND]]-(Table15[[#This Row],[ADD ACC]]*1706)</f>
        <v>285</v>
      </c>
      <c r="U135" s="419">
        <f>ROUNDDOWN(Table15[[#This Row],[Column1]]/1360,0)</f>
        <v>0</v>
      </c>
      <c r="V135" s="419"/>
      <c r="W135" s="251">
        <v>10.25</v>
      </c>
      <c r="X135" s="251">
        <f>ROUNDDOWN(Table15[[#This Row],[R-DEMAND]]/1320,0)</f>
        <v>2</v>
      </c>
      <c r="Y135" s="251">
        <f>IFERROR(Table15[[#This Row],[ADD ACC
(660/1320)]]*Table15[[#This Row],[Duration
(B744)]],0)</f>
        <v>20.5</v>
      </c>
      <c r="Z135" s="251"/>
    </row>
    <row r="136" spans="1:26" ht="15.75" customHeight="1" x14ac:dyDescent="0.25">
      <c r="A136" s="210" t="s">
        <v>15711</v>
      </c>
      <c r="B136" s="204" t="s">
        <v>4750</v>
      </c>
      <c r="C136" s="204" t="s">
        <v>67</v>
      </c>
      <c r="D136" s="205">
        <v>3</v>
      </c>
      <c r="E136" s="204" t="s">
        <v>14</v>
      </c>
      <c r="F136" s="204" t="str">
        <f>VLOOKUP(E136,Table10[[COUNTRY NAME]:[CONTINENT CODE]],3,FALSE)</f>
        <v>AS</v>
      </c>
      <c r="G136" s="206" t="s">
        <v>12026</v>
      </c>
      <c r="H136" s="207">
        <v>4553</v>
      </c>
      <c r="I136" s="208">
        <v>12.25</v>
      </c>
      <c r="J136" s="345"/>
      <c r="K136" s="345">
        <f>IFERROR(Table15[[#This Row],[ROUTE $]]/Table15[[#This Row],[E - DEMAND]],0)</f>
        <v>0</v>
      </c>
      <c r="L136" s="204"/>
      <c r="M136" s="412">
        <f>IFERROR(VLOOKUP(Table15[[#This Row],[ROUTE]],DEMAND!A:F,5,FALSE),0)</f>
        <v>3687</v>
      </c>
      <c r="N136" s="16">
        <f>IFERROR(VLOOKUP(Table15[[#This Row],[ROUTE]],DEMAND!A:F,6,FALSE),0)</f>
        <v>3687</v>
      </c>
      <c r="O136" s="16">
        <f>IFERROR(ROUNDDOWN(Table15[[#This Row],[R-DEMAND]]/1706,0),0)</f>
        <v>2</v>
      </c>
      <c r="P136" s="16">
        <f>IFERROR(Table15[[#This Row],[ADD ACC]]*Table15[[#This Row],[RT TIME 
(380-800)]],0)</f>
        <v>24.5</v>
      </c>
      <c r="Q136" s="415">
        <f>IFERROR(VLOOKUP(Table15[[#This Row],[ROUTE]],PRICING!A:B,2,FALSE),0)</f>
        <v>0</v>
      </c>
      <c r="R136" s="235">
        <f>IFERROR(Table15[[#This Row],[C_DEMAND]]-Table15[[#This Row],[R-DEMAND]],0)</f>
        <v>0</v>
      </c>
      <c r="S136" s="408">
        <f t="shared" si="2"/>
        <v>0</v>
      </c>
      <c r="T136" s="419">
        <f>Table15[[#This Row],[R-DEMAND]]-(Table15[[#This Row],[ADD ACC]]*1706)</f>
        <v>275</v>
      </c>
      <c r="U136" s="419">
        <f>ROUNDDOWN(Table15[[#This Row],[Column1]]/1360,0)</f>
        <v>0</v>
      </c>
      <c r="V136" s="419"/>
      <c r="W136" s="251">
        <v>12.25</v>
      </c>
      <c r="X136" s="251">
        <f>ROUNDDOWN(Table15[[#This Row],[R-DEMAND]]/1320,0)</f>
        <v>2</v>
      </c>
      <c r="Y136" s="251">
        <f>IFERROR(Table15[[#This Row],[ADD ACC
(660/1320)]]*Table15[[#This Row],[Duration
(B744)]],0)</f>
        <v>24.5</v>
      </c>
      <c r="Z136" s="251"/>
    </row>
    <row r="137" spans="1:26" ht="15.75" customHeight="1" x14ac:dyDescent="0.25">
      <c r="A137" s="210" t="s">
        <v>15638</v>
      </c>
      <c r="B137" s="204" t="s">
        <v>440</v>
      </c>
      <c r="C137" s="204" t="s">
        <v>67</v>
      </c>
      <c r="D137" s="205">
        <v>4</v>
      </c>
      <c r="E137" s="204" t="s">
        <v>597</v>
      </c>
      <c r="F137" s="204" t="str">
        <f>VLOOKUP(E137,Table10[[COUNTRY NAME]:[CONTINENT CODE]],3,FALSE)</f>
        <v>EU</v>
      </c>
      <c r="G137" s="210" t="s">
        <v>11110</v>
      </c>
      <c r="H137" s="207">
        <v>5150</v>
      </c>
      <c r="I137" s="208">
        <v>13.5</v>
      </c>
      <c r="J137" s="345"/>
      <c r="K137" s="345">
        <f>IFERROR(Table15[[#This Row],[ROUTE $]]/Table15[[#This Row],[E - DEMAND]],0)</f>
        <v>0</v>
      </c>
      <c r="L137" s="204"/>
      <c r="M137" s="412">
        <f>IFERROR(VLOOKUP(Table15[[#This Row],[ROUTE]],DEMAND!A:F,5,FALSE),0)</f>
        <v>3675</v>
      </c>
      <c r="N137" s="16">
        <f>IFERROR(VLOOKUP(Table15[[#This Row],[ROUTE]],DEMAND!A:F,6,FALSE),0)</f>
        <v>3675</v>
      </c>
      <c r="O137" s="16">
        <f>IFERROR(ROUNDDOWN(Table15[[#This Row],[R-DEMAND]]/1706,0),0)</f>
        <v>2</v>
      </c>
      <c r="P137" s="16">
        <f>IFERROR(Table15[[#This Row],[ADD ACC]]*Table15[[#This Row],[RT TIME 
(380-800)]],0)</f>
        <v>27</v>
      </c>
      <c r="Q137" s="415">
        <f>IFERROR(VLOOKUP(Table15[[#This Row],[ROUTE]],PRICING!A:B,2,FALSE),0)</f>
        <v>0</v>
      </c>
      <c r="R137" s="235">
        <f>IFERROR(Table15[[#This Row],[C_DEMAND]]-Table15[[#This Row],[R-DEMAND]],0)</f>
        <v>0</v>
      </c>
      <c r="S137" s="408">
        <f t="shared" si="2"/>
        <v>0</v>
      </c>
      <c r="T137" s="419">
        <f>Table15[[#This Row],[R-DEMAND]]-(Table15[[#This Row],[ADD ACC]]*1706)</f>
        <v>263</v>
      </c>
      <c r="U137" s="419">
        <f>ROUNDDOWN(Table15[[#This Row],[Column1]]/1360,0)</f>
        <v>0</v>
      </c>
      <c r="V137" s="419"/>
      <c r="W137" s="251">
        <v>13.5</v>
      </c>
      <c r="X137" s="251">
        <f>ROUNDDOWN(Table15[[#This Row],[R-DEMAND]]/1320,0)</f>
        <v>2</v>
      </c>
      <c r="Y137" s="251">
        <f>IFERROR(Table15[[#This Row],[ADD ACC
(660/1320)]]*Table15[[#This Row],[Duration
(B744)]],0)</f>
        <v>27</v>
      </c>
      <c r="Z137" s="251"/>
    </row>
    <row r="138" spans="1:26" ht="15.75" customHeight="1" x14ac:dyDescent="0.25">
      <c r="A138" s="210" t="s">
        <v>15791</v>
      </c>
      <c r="B138" s="204" t="s">
        <v>412</v>
      </c>
      <c r="C138" s="204" t="s">
        <v>67</v>
      </c>
      <c r="D138" s="205">
        <v>2</v>
      </c>
      <c r="E138" s="204" t="s">
        <v>1314</v>
      </c>
      <c r="F138" s="204" t="str">
        <f>VLOOKUP(E138,Table10[[COUNTRY NAME]:[CONTINENT CODE]],3,FALSE)</f>
        <v>AS</v>
      </c>
      <c r="G138" s="206" t="s">
        <v>12101</v>
      </c>
      <c r="H138" s="207">
        <v>3831</v>
      </c>
      <c r="I138" s="208">
        <v>10.5</v>
      </c>
      <c r="J138" s="345"/>
      <c r="K138" s="345">
        <f>IFERROR(Table15[[#This Row],[ROUTE $]]/Table15[[#This Row],[E - DEMAND]],0)</f>
        <v>0</v>
      </c>
      <c r="L138" s="204"/>
      <c r="M138" s="412">
        <f>IFERROR(VLOOKUP(Table15[[#This Row],[ROUTE]],DEMAND!A:F,5,FALSE),0)</f>
        <v>3667</v>
      </c>
      <c r="N138" s="16">
        <f>IFERROR(VLOOKUP(Table15[[#This Row],[ROUTE]],DEMAND!A:F,6,FALSE),0)</f>
        <v>3667</v>
      </c>
      <c r="O138" s="16">
        <f>IFERROR(ROUNDDOWN(Table15[[#This Row],[R-DEMAND]]/1706,0),0)</f>
        <v>2</v>
      </c>
      <c r="P138" s="16">
        <f>IFERROR(Table15[[#This Row],[ADD ACC]]*Table15[[#This Row],[RT TIME 
(380-800)]],0)</f>
        <v>21</v>
      </c>
      <c r="Q138" s="415">
        <f>IFERROR(VLOOKUP(Table15[[#This Row],[ROUTE]],PRICING!A:B,2,FALSE),0)</f>
        <v>0</v>
      </c>
      <c r="R138" s="235">
        <f>IFERROR(Table15[[#This Row],[C_DEMAND]]-Table15[[#This Row],[R-DEMAND]],0)</f>
        <v>0</v>
      </c>
      <c r="S138" s="408">
        <f t="shared" si="2"/>
        <v>0</v>
      </c>
      <c r="T138" s="419">
        <f>Table15[[#This Row],[R-DEMAND]]-(Table15[[#This Row],[ADD ACC]]*1706)</f>
        <v>255</v>
      </c>
      <c r="U138" s="419">
        <f>ROUNDDOWN(Table15[[#This Row],[Column1]]/1360,0)</f>
        <v>0</v>
      </c>
      <c r="V138" s="419"/>
      <c r="W138" s="251">
        <v>10.5</v>
      </c>
      <c r="X138" s="251">
        <f>ROUNDDOWN(Table15[[#This Row],[R-DEMAND]]/1320,0)</f>
        <v>2</v>
      </c>
      <c r="Y138" s="251">
        <f>IFERROR(Table15[[#This Row],[ADD ACC
(660/1320)]]*Table15[[#This Row],[Duration
(B744)]],0)</f>
        <v>21</v>
      </c>
      <c r="Z138" s="251"/>
    </row>
    <row r="139" spans="1:26" ht="15.75" customHeight="1" x14ac:dyDescent="0.25">
      <c r="A139" s="210" t="s">
        <v>15856</v>
      </c>
      <c r="B139" s="204" t="s">
        <v>3070</v>
      </c>
      <c r="C139" s="204" t="s">
        <v>67</v>
      </c>
      <c r="D139" s="205">
        <v>2</v>
      </c>
      <c r="E139" s="204" t="s">
        <v>14</v>
      </c>
      <c r="F139" s="204" t="str">
        <f>VLOOKUP(E139,Table10[[COUNTRY NAME]:[CONTINENT CODE]],3,FALSE)</f>
        <v>AS</v>
      </c>
      <c r="G139" s="206" t="s">
        <v>10058</v>
      </c>
      <c r="H139" s="207">
        <v>3143</v>
      </c>
      <c r="I139" s="208">
        <v>9</v>
      </c>
      <c r="J139" s="345"/>
      <c r="K139" s="345">
        <f>IFERROR(Table15[[#This Row],[ROUTE $]]/Table15[[#This Row],[E - DEMAND]],0)</f>
        <v>0</v>
      </c>
      <c r="L139" s="204"/>
      <c r="M139" s="412">
        <f>IFERROR(VLOOKUP(Table15[[#This Row],[ROUTE]],DEMAND!A:F,5,FALSE),0)</f>
        <v>3659</v>
      </c>
      <c r="N139" s="16">
        <f>IFERROR(VLOOKUP(Table15[[#This Row],[ROUTE]],DEMAND!A:F,6,FALSE),0)</f>
        <v>3659</v>
      </c>
      <c r="O139" s="16">
        <f>IFERROR(ROUNDDOWN(Table15[[#This Row],[R-DEMAND]]/1706,0),0)</f>
        <v>2</v>
      </c>
      <c r="P139" s="16">
        <f>IFERROR(Table15[[#This Row],[ADD ACC]]*Table15[[#This Row],[RT TIME 
(380-800)]],0)</f>
        <v>18</v>
      </c>
      <c r="Q139" s="415">
        <f>IFERROR(VLOOKUP(Table15[[#This Row],[ROUTE]],PRICING!A:B,2,FALSE),0)</f>
        <v>0</v>
      </c>
      <c r="R139" s="235">
        <f>IFERROR(Table15[[#This Row],[C_DEMAND]]-Table15[[#This Row],[R-DEMAND]],0)</f>
        <v>0</v>
      </c>
      <c r="S139" s="408">
        <f t="shared" si="2"/>
        <v>0</v>
      </c>
      <c r="T139" s="419">
        <f>Table15[[#This Row],[R-DEMAND]]-(Table15[[#This Row],[ADD ACC]]*1706)</f>
        <v>247</v>
      </c>
      <c r="U139" s="419">
        <f>ROUNDDOWN(Table15[[#This Row],[Column1]]/1360,0)</f>
        <v>0</v>
      </c>
      <c r="V139" s="419"/>
      <c r="W139" s="251">
        <v>9</v>
      </c>
      <c r="X139" s="251">
        <f>ROUNDDOWN(Table15[[#This Row],[R-DEMAND]]/1320,0)</f>
        <v>2</v>
      </c>
      <c r="Y139" s="251">
        <f>IFERROR(Table15[[#This Row],[ADD ACC
(660/1320)]]*Table15[[#This Row],[Duration
(B744)]],0)</f>
        <v>18</v>
      </c>
      <c r="Z139" s="251"/>
    </row>
    <row r="140" spans="1:26" ht="15.75" customHeight="1" x14ac:dyDescent="0.25">
      <c r="A140" s="210" t="s">
        <v>15451</v>
      </c>
      <c r="B140" s="204" t="s">
        <v>273</v>
      </c>
      <c r="C140" s="204" t="s">
        <v>67</v>
      </c>
      <c r="D140" s="205">
        <v>2</v>
      </c>
      <c r="E140" s="204" t="s">
        <v>926</v>
      </c>
      <c r="F140" s="204" t="str">
        <f>VLOOKUP(E140,Table10[[COUNTRY NAME]:[CONTINENT CODE]],3,FALSE)</f>
        <v>AF</v>
      </c>
      <c r="G140" s="206" t="s">
        <v>11889</v>
      </c>
      <c r="H140" s="207">
        <v>6975</v>
      </c>
      <c r="I140" s="208">
        <v>17.5</v>
      </c>
      <c r="J140" s="345"/>
      <c r="K140" s="345">
        <f>IFERROR(Table15[[#This Row],[ROUTE $]]/Table15[[#This Row],[E - DEMAND]],0)</f>
        <v>0</v>
      </c>
      <c r="L140" s="204"/>
      <c r="M140" s="412">
        <f>IFERROR(VLOOKUP(Table15[[#This Row],[ROUTE]],DEMAND!A:F,5,FALSE),0)</f>
        <v>3622</v>
      </c>
      <c r="N140" s="16">
        <f>IFERROR(VLOOKUP(Table15[[#This Row],[ROUTE]],DEMAND!A:F,6,FALSE),0)</f>
        <v>3622</v>
      </c>
      <c r="O140" s="16">
        <f>IFERROR(ROUNDDOWN(Table15[[#This Row],[R-DEMAND]]/1706,0),0)</f>
        <v>2</v>
      </c>
      <c r="P140" s="16">
        <f>IFERROR(Table15[[#This Row],[ADD ACC]]*Table15[[#This Row],[RT TIME 
(380-800)]],0)</f>
        <v>35</v>
      </c>
      <c r="Q140" s="415">
        <f>IFERROR(VLOOKUP(Table15[[#This Row],[ROUTE]],PRICING!A:B,2,FALSE),0)</f>
        <v>0</v>
      </c>
      <c r="R140" s="235">
        <f>IFERROR(Table15[[#This Row],[C_DEMAND]]-Table15[[#This Row],[R-DEMAND]],0)</f>
        <v>0</v>
      </c>
      <c r="S140" s="408">
        <f t="shared" si="2"/>
        <v>0</v>
      </c>
      <c r="T140" s="419">
        <f>Table15[[#This Row],[R-DEMAND]]-(Table15[[#This Row],[ADD ACC]]*1706)</f>
        <v>210</v>
      </c>
      <c r="U140" s="419">
        <f>ROUNDDOWN(Table15[[#This Row],[Column1]]/1360,0)</f>
        <v>0</v>
      </c>
      <c r="V140" s="419"/>
      <c r="W140" s="251">
        <v>17.5</v>
      </c>
      <c r="X140" s="251">
        <f>ROUNDDOWN(Table15[[#This Row],[R-DEMAND]]/1320,0)</f>
        <v>2</v>
      </c>
      <c r="Y140" s="251">
        <f>IFERROR(Table15[[#This Row],[ADD ACC
(660/1320)]]*Table15[[#This Row],[Duration
(B744)]],0)</f>
        <v>35</v>
      </c>
      <c r="Z140" s="251"/>
    </row>
    <row r="141" spans="1:26" ht="15.75" customHeight="1" x14ac:dyDescent="0.25">
      <c r="A141" s="210" t="s">
        <v>15889</v>
      </c>
      <c r="B141" s="204" t="s">
        <v>2496</v>
      </c>
      <c r="C141" s="204" t="s">
        <v>67</v>
      </c>
      <c r="D141" s="205">
        <v>1</v>
      </c>
      <c r="E141" s="204" t="s">
        <v>14</v>
      </c>
      <c r="F141" s="204" t="str">
        <f>VLOOKUP(E141,Table10[[COUNTRY NAME]:[CONTINENT CODE]],3,FALSE)</f>
        <v>AS</v>
      </c>
      <c r="G141" s="206" t="s">
        <v>12057</v>
      </c>
      <c r="H141" s="207">
        <v>2750</v>
      </c>
      <c r="I141" s="208">
        <v>8.25</v>
      </c>
      <c r="J141" s="345"/>
      <c r="K141" s="345">
        <f>IFERROR(Table15[[#This Row],[ROUTE $]]/Table15[[#This Row],[E - DEMAND]],0)</f>
        <v>0</v>
      </c>
      <c r="L141" s="204"/>
      <c r="M141" s="412">
        <f>IFERROR(VLOOKUP(Table15[[#This Row],[ROUTE]],DEMAND!A:F,5,FALSE),0)</f>
        <v>3614</v>
      </c>
      <c r="N141" s="16">
        <f>IFERROR(VLOOKUP(Table15[[#This Row],[ROUTE]],DEMAND!A:F,6,FALSE),0)</f>
        <v>3614</v>
      </c>
      <c r="O141" s="16">
        <f>IFERROR(ROUNDDOWN(Table15[[#This Row],[R-DEMAND]]/1706,0),0)</f>
        <v>2</v>
      </c>
      <c r="P141" s="16">
        <f>IFERROR(Table15[[#This Row],[ADD ACC]]*Table15[[#This Row],[RT TIME 
(380-800)]],0)</f>
        <v>16.5</v>
      </c>
      <c r="Q141" s="415">
        <f>IFERROR(VLOOKUP(Table15[[#This Row],[ROUTE]],PRICING!A:B,2,FALSE),0)</f>
        <v>0</v>
      </c>
      <c r="R141" s="235">
        <f>IFERROR(Table15[[#This Row],[C_DEMAND]]-Table15[[#This Row],[R-DEMAND]],0)</f>
        <v>0</v>
      </c>
      <c r="S141" s="408">
        <f t="shared" si="2"/>
        <v>0</v>
      </c>
      <c r="T141" s="419">
        <f>Table15[[#This Row],[R-DEMAND]]-(Table15[[#This Row],[ADD ACC]]*1706)</f>
        <v>202</v>
      </c>
      <c r="U141" s="419">
        <f>ROUNDDOWN(Table15[[#This Row],[Column1]]/1360,0)</f>
        <v>0</v>
      </c>
      <c r="V141" s="419"/>
      <c r="W141" s="251">
        <v>8.25</v>
      </c>
      <c r="X141" s="251">
        <f>ROUNDDOWN(Table15[[#This Row],[R-DEMAND]]/1320,0)</f>
        <v>2</v>
      </c>
      <c r="Y141" s="251">
        <f>IFERROR(Table15[[#This Row],[ADD ACC
(660/1320)]]*Table15[[#This Row],[Duration
(B744)]],0)</f>
        <v>16.5</v>
      </c>
      <c r="Z141" s="251"/>
    </row>
    <row r="142" spans="1:26" ht="15.75" customHeight="1" x14ac:dyDescent="0.25">
      <c r="A142" s="210" t="s">
        <v>15536</v>
      </c>
      <c r="B142" s="204" t="s">
        <v>221</v>
      </c>
      <c r="C142" s="204" t="s">
        <v>67</v>
      </c>
      <c r="D142" s="205">
        <v>2</v>
      </c>
      <c r="E142" s="204" t="s">
        <v>78</v>
      </c>
      <c r="F142" s="204" t="str">
        <f>VLOOKUP(E142,Table10[[COUNTRY NAME]:[CONTINENT CODE]],3,FALSE)</f>
        <v>EU</v>
      </c>
      <c r="G142" s="210" t="s">
        <v>11970</v>
      </c>
      <c r="H142" s="207">
        <v>6407</v>
      </c>
      <c r="I142" s="208">
        <v>16.25</v>
      </c>
      <c r="J142" s="345"/>
      <c r="K142" s="345">
        <f>IFERROR(Table15[[#This Row],[ROUTE $]]/Table15[[#This Row],[E - DEMAND]],0)</f>
        <v>0</v>
      </c>
      <c r="L142" s="204"/>
      <c r="M142" s="412">
        <f>IFERROR(VLOOKUP(Table15[[#This Row],[ROUTE]],DEMAND!A:F,5,FALSE),0)</f>
        <v>3609</v>
      </c>
      <c r="N142" s="16">
        <f>IFERROR(VLOOKUP(Table15[[#This Row],[ROUTE]],DEMAND!A:F,6,FALSE),0)</f>
        <v>3609</v>
      </c>
      <c r="O142" s="16">
        <f>IFERROR(ROUNDDOWN(Table15[[#This Row],[R-DEMAND]]/1706,0),0)</f>
        <v>2</v>
      </c>
      <c r="P142" s="16">
        <f>IFERROR(Table15[[#This Row],[ADD ACC]]*Table15[[#This Row],[RT TIME 
(380-800)]],0)</f>
        <v>32.5</v>
      </c>
      <c r="Q142" s="415">
        <f>IFERROR(VLOOKUP(Table15[[#This Row],[ROUTE]],PRICING!A:B,2,FALSE),0)</f>
        <v>0</v>
      </c>
      <c r="R142" s="235">
        <f>IFERROR(Table15[[#This Row],[C_DEMAND]]-Table15[[#This Row],[R-DEMAND]],0)</f>
        <v>0</v>
      </c>
      <c r="S142" s="408">
        <f t="shared" si="2"/>
        <v>0</v>
      </c>
      <c r="T142" s="419">
        <f>Table15[[#This Row],[R-DEMAND]]-(Table15[[#This Row],[ADD ACC]]*1706)</f>
        <v>197</v>
      </c>
      <c r="U142" s="419">
        <f>ROUNDDOWN(Table15[[#This Row],[Column1]]/1360,0)</f>
        <v>0</v>
      </c>
      <c r="V142" s="419"/>
      <c r="W142" s="251">
        <v>16.25</v>
      </c>
      <c r="X142" s="251">
        <f>ROUNDDOWN(Table15[[#This Row],[R-DEMAND]]/1320,0)</f>
        <v>2</v>
      </c>
      <c r="Y142" s="251">
        <f>IFERROR(Table15[[#This Row],[ADD ACC
(660/1320)]]*Table15[[#This Row],[Duration
(B744)]],0)</f>
        <v>32.5</v>
      </c>
      <c r="Z142" s="251"/>
    </row>
    <row r="143" spans="1:26" ht="15.75" customHeight="1" x14ac:dyDescent="0.25">
      <c r="A143" s="210" t="s">
        <v>15797</v>
      </c>
      <c r="B143" s="204" t="s">
        <v>3358</v>
      </c>
      <c r="C143" s="204" t="s">
        <v>67</v>
      </c>
      <c r="D143" s="205">
        <v>2</v>
      </c>
      <c r="E143" s="204" t="s">
        <v>14</v>
      </c>
      <c r="F143" s="204" t="str">
        <f>VLOOKUP(E143,Table10[[COUNTRY NAME]:[CONTINENT CODE]],3,FALSE)</f>
        <v>AS</v>
      </c>
      <c r="G143" s="206" t="s">
        <v>12059</v>
      </c>
      <c r="H143" s="207">
        <v>3796</v>
      </c>
      <c r="I143" s="208">
        <v>10.5</v>
      </c>
      <c r="J143" s="345"/>
      <c r="K143" s="345">
        <f>IFERROR(Table15[[#This Row],[ROUTE $]]/Table15[[#This Row],[E - DEMAND]],0)</f>
        <v>0</v>
      </c>
      <c r="L143" s="204"/>
      <c r="M143" s="412">
        <f>IFERROR(VLOOKUP(Table15[[#This Row],[ROUTE]],DEMAND!A:F,5,FALSE),0)</f>
        <v>3601</v>
      </c>
      <c r="N143" s="16">
        <f>IFERROR(VLOOKUP(Table15[[#This Row],[ROUTE]],DEMAND!A:F,6,FALSE),0)</f>
        <v>3601</v>
      </c>
      <c r="O143" s="16">
        <f>IFERROR(ROUNDDOWN(Table15[[#This Row],[R-DEMAND]]/1706,0),0)</f>
        <v>2</v>
      </c>
      <c r="P143" s="16">
        <f>IFERROR(Table15[[#This Row],[ADD ACC]]*Table15[[#This Row],[RT TIME 
(380-800)]],0)</f>
        <v>21</v>
      </c>
      <c r="Q143" s="415">
        <f>IFERROR(VLOOKUP(Table15[[#This Row],[ROUTE]],PRICING!A:B,2,FALSE),0)</f>
        <v>0</v>
      </c>
      <c r="R143" s="235">
        <f>IFERROR(Table15[[#This Row],[C_DEMAND]]-Table15[[#This Row],[R-DEMAND]],0)</f>
        <v>0</v>
      </c>
      <c r="S143" s="408">
        <f t="shared" si="2"/>
        <v>0</v>
      </c>
      <c r="T143" s="419">
        <f>Table15[[#This Row],[R-DEMAND]]-(Table15[[#This Row],[ADD ACC]]*1706)</f>
        <v>189</v>
      </c>
      <c r="U143" s="419">
        <f>ROUNDDOWN(Table15[[#This Row],[Column1]]/1360,0)</f>
        <v>0</v>
      </c>
      <c r="V143" s="419"/>
      <c r="W143" s="251">
        <v>10.5</v>
      </c>
      <c r="X143" s="251">
        <f>ROUNDDOWN(Table15[[#This Row],[R-DEMAND]]/1320,0)</f>
        <v>2</v>
      </c>
      <c r="Y143" s="251">
        <f>IFERROR(Table15[[#This Row],[ADD ACC
(660/1320)]]*Table15[[#This Row],[Duration
(B744)]],0)</f>
        <v>21</v>
      </c>
      <c r="Z143" s="251"/>
    </row>
    <row r="144" spans="1:26" ht="15.75" customHeight="1" x14ac:dyDescent="0.25">
      <c r="A144" s="210" t="s">
        <v>15568</v>
      </c>
      <c r="B144" s="204" t="s">
        <v>21</v>
      </c>
      <c r="C144" s="204" t="s">
        <v>67</v>
      </c>
      <c r="D144" s="205">
        <v>3</v>
      </c>
      <c r="E144" s="204" t="s">
        <v>78</v>
      </c>
      <c r="F144" s="204" t="str">
        <f>VLOOKUP(E144,Table10[[COUNTRY NAME]:[CONTINENT CODE]],3,FALSE)</f>
        <v>EU</v>
      </c>
      <c r="G144" s="210" t="s">
        <v>11996</v>
      </c>
      <c r="H144" s="207">
        <v>6103</v>
      </c>
      <c r="I144" s="208">
        <v>15.75</v>
      </c>
      <c r="J144" s="345"/>
      <c r="K144" s="345">
        <f>IFERROR(Table15[[#This Row],[ROUTE $]]/Table15[[#This Row],[E - DEMAND]],0)</f>
        <v>0</v>
      </c>
      <c r="L144" s="204"/>
      <c r="M144" s="412">
        <f>IFERROR(VLOOKUP(Table15[[#This Row],[ROUTE]],DEMAND!A:F,5,FALSE),0)</f>
        <v>3597</v>
      </c>
      <c r="N144" s="16">
        <f>IFERROR(VLOOKUP(Table15[[#This Row],[ROUTE]],DEMAND!A:F,6,FALSE),0)</f>
        <v>3597</v>
      </c>
      <c r="O144" s="16">
        <f>IFERROR(ROUNDDOWN(Table15[[#This Row],[R-DEMAND]]/1706,0),0)</f>
        <v>2</v>
      </c>
      <c r="P144" s="16">
        <f>IFERROR(Table15[[#This Row],[ADD ACC]]*Table15[[#This Row],[RT TIME 
(380-800)]],0)</f>
        <v>31.5</v>
      </c>
      <c r="Q144" s="415">
        <f>IFERROR(VLOOKUP(Table15[[#This Row],[ROUTE]],PRICING!A:B,2,FALSE),0)</f>
        <v>0</v>
      </c>
      <c r="R144" s="235">
        <f>IFERROR(Table15[[#This Row],[C_DEMAND]]-Table15[[#This Row],[R-DEMAND]],0)</f>
        <v>0</v>
      </c>
      <c r="S144" s="408">
        <f t="shared" si="2"/>
        <v>0</v>
      </c>
      <c r="T144" s="419">
        <f>Table15[[#This Row],[R-DEMAND]]-(Table15[[#This Row],[ADD ACC]]*1706)</f>
        <v>185</v>
      </c>
      <c r="U144" s="419">
        <f>ROUNDDOWN(Table15[[#This Row],[Column1]]/1360,0)</f>
        <v>0</v>
      </c>
      <c r="V144" s="419"/>
      <c r="W144" s="251">
        <v>15.75</v>
      </c>
      <c r="X144" s="251">
        <f>ROUNDDOWN(Table15[[#This Row],[R-DEMAND]]/1320,0)</f>
        <v>2</v>
      </c>
      <c r="Y144" s="251">
        <f>IFERROR(Table15[[#This Row],[ADD ACC
(660/1320)]]*Table15[[#This Row],[Duration
(B744)]],0)</f>
        <v>31.5</v>
      </c>
      <c r="Z144" s="251"/>
    </row>
    <row r="145" spans="1:26" ht="15.75" customHeight="1" x14ac:dyDescent="0.25">
      <c r="A145" s="210" t="s">
        <v>15511</v>
      </c>
      <c r="B145" s="204" t="s">
        <v>4054</v>
      </c>
      <c r="C145" s="204" t="s">
        <v>67</v>
      </c>
      <c r="D145" s="205">
        <v>2</v>
      </c>
      <c r="E145" s="204" t="s">
        <v>493</v>
      </c>
      <c r="F145" s="204" t="str">
        <f>VLOOKUP(E145,Table10[[COUNTRY NAME]:[CONTINENT CODE]],3,FALSE)</f>
        <v>AF</v>
      </c>
      <c r="G145" s="206" t="s">
        <v>11743</v>
      </c>
      <c r="H145" s="207">
        <v>6562</v>
      </c>
      <c r="I145" s="208">
        <v>16.75</v>
      </c>
      <c r="J145" s="345"/>
      <c r="K145" s="345">
        <f>IFERROR(Table15[[#This Row],[ROUTE $]]/Table15[[#This Row],[E - DEMAND]],0)</f>
        <v>0</v>
      </c>
      <c r="L145" s="204"/>
      <c r="M145" s="412">
        <f>IFERROR(VLOOKUP(Table15[[#This Row],[ROUTE]],DEMAND!A:F,5,FALSE),0)</f>
        <v>3579</v>
      </c>
      <c r="N145" s="16">
        <f>IFERROR(VLOOKUP(Table15[[#This Row],[ROUTE]],DEMAND!A:F,6,FALSE),0)</f>
        <v>3579</v>
      </c>
      <c r="O145" s="16">
        <f>IFERROR(ROUNDDOWN(Table15[[#This Row],[R-DEMAND]]/1706,0),0)</f>
        <v>2</v>
      </c>
      <c r="P145" s="16">
        <f>IFERROR(Table15[[#This Row],[ADD ACC]]*Table15[[#This Row],[RT TIME 
(380-800)]],0)</f>
        <v>33.5</v>
      </c>
      <c r="Q145" s="415">
        <f>IFERROR(VLOOKUP(Table15[[#This Row],[ROUTE]],PRICING!A:B,2,FALSE),0)</f>
        <v>0</v>
      </c>
      <c r="R145" s="235">
        <f>IFERROR(Table15[[#This Row],[C_DEMAND]]-Table15[[#This Row],[R-DEMAND]],0)</f>
        <v>0</v>
      </c>
      <c r="S145" s="408">
        <f t="shared" si="2"/>
        <v>0</v>
      </c>
      <c r="T145" s="419">
        <f>Table15[[#This Row],[R-DEMAND]]-(Table15[[#This Row],[ADD ACC]]*1706)</f>
        <v>167</v>
      </c>
      <c r="U145" s="419">
        <f>ROUNDDOWN(Table15[[#This Row],[Column1]]/1360,0)</f>
        <v>0</v>
      </c>
      <c r="V145" s="419"/>
      <c r="W145" s="251">
        <v>16.75</v>
      </c>
      <c r="X145" s="251">
        <f>ROUNDDOWN(Table15[[#This Row],[R-DEMAND]]/1320,0)</f>
        <v>2</v>
      </c>
      <c r="Y145" s="251">
        <f>IFERROR(Table15[[#This Row],[ADD ACC
(660/1320)]]*Table15[[#This Row],[Duration
(B744)]],0)</f>
        <v>33.5</v>
      </c>
      <c r="Z145" s="251"/>
    </row>
    <row r="146" spans="1:26" ht="15.75" customHeight="1" x14ac:dyDescent="0.25">
      <c r="A146" s="210" t="s">
        <v>15250</v>
      </c>
      <c r="B146" s="204" t="s">
        <v>5676</v>
      </c>
      <c r="C146" s="204" t="s">
        <v>67</v>
      </c>
      <c r="D146" s="205">
        <v>5</v>
      </c>
      <c r="E146" s="16" t="s">
        <v>11732</v>
      </c>
      <c r="F146" s="204" t="str">
        <f>VLOOKUP(E146,Table10[[COUNTRY NAME]:[CONTINENT CODE]],3,FALSE)</f>
        <v>NA - US</v>
      </c>
      <c r="G146" s="206" t="s">
        <v>13273</v>
      </c>
      <c r="H146" s="207">
        <v>13342</v>
      </c>
      <c r="I146" s="208">
        <v>31.75</v>
      </c>
      <c r="J146" s="345"/>
      <c r="K146" s="345">
        <f>IFERROR(Table15[[#This Row],[ROUTE $]]/Table15[[#This Row],[E - DEMAND]],0)</f>
        <v>0</v>
      </c>
      <c r="L146" s="204"/>
      <c r="M146" s="412">
        <f>IFERROR(VLOOKUP(Table15[[#This Row],[ROUTE]],DEMAND!A:F,5,FALSE),0)</f>
        <v>3575</v>
      </c>
      <c r="N146" s="16">
        <f>IFERROR(VLOOKUP(Table15[[#This Row],[ROUTE]],DEMAND!A:F,6,FALSE),0)</f>
        <v>3575</v>
      </c>
      <c r="O146" s="16">
        <f>IFERROR(ROUNDDOWN(Table15[[#This Row],[R-DEMAND]]/1706,0),0)</f>
        <v>2</v>
      </c>
      <c r="P146" s="16">
        <f>IFERROR(Table15[[#This Row],[ADD ACC]]*Table15[[#This Row],[RT TIME 
(380-800)]],0)</f>
        <v>63.5</v>
      </c>
      <c r="Q146" s="415">
        <f>IFERROR(VLOOKUP(Table15[[#This Row],[ROUTE]],PRICING!A:B,2,FALSE),0)</f>
        <v>0</v>
      </c>
      <c r="R146" s="235">
        <f>IFERROR(Table15[[#This Row],[C_DEMAND]]-Table15[[#This Row],[R-DEMAND]],0)</f>
        <v>0</v>
      </c>
      <c r="S146" s="408">
        <f t="shared" si="2"/>
        <v>0</v>
      </c>
      <c r="T146" s="419">
        <f>Table15[[#This Row],[R-DEMAND]]-(Table15[[#This Row],[ADD ACC]]*1706)</f>
        <v>163</v>
      </c>
      <c r="U146" s="419">
        <f>ROUNDDOWN(Table15[[#This Row],[Column1]]/1360,0)</f>
        <v>0</v>
      </c>
      <c r="V146" s="419"/>
      <c r="W146" s="251">
        <v>31.75</v>
      </c>
      <c r="X146" s="251">
        <f>ROUNDDOWN(Table15[[#This Row],[R-DEMAND]]/1320,0)</f>
        <v>2</v>
      </c>
      <c r="Y146" s="251">
        <f>IFERROR(Table15[[#This Row],[ADD ACC
(660/1320)]]*Table15[[#This Row],[Duration
(B744)]],0)</f>
        <v>63.5</v>
      </c>
      <c r="Z146" s="251"/>
    </row>
    <row r="147" spans="1:26" ht="15.75" customHeight="1" x14ac:dyDescent="0.25">
      <c r="A147" s="210" t="s">
        <v>15792</v>
      </c>
      <c r="B147" s="204" t="s">
        <v>4245</v>
      </c>
      <c r="C147" s="204" t="s">
        <v>67</v>
      </c>
      <c r="D147" s="205">
        <v>2</v>
      </c>
      <c r="E147" s="204" t="s">
        <v>172</v>
      </c>
      <c r="F147" s="204" t="str">
        <f>VLOOKUP(E147,Table10[[COUNTRY NAME]:[CONTINENT CODE]],3,FALSE)</f>
        <v>AS</v>
      </c>
      <c r="G147" s="206" t="s">
        <v>6951</v>
      </c>
      <c r="H147" s="207">
        <v>3816</v>
      </c>
      <c r="I147" s="208">
        <v>10.5</v>
      </c>
      <c r="J147" s="345"/>
      <c r="K147" s="345">
        <f>IFERROR(Table15[[#This Row],[ROUTE $]]/Table15[[#This Row],[E - DEMAND]],0)</f>
        <v>0</v>
      </c>
      <c r="L147" s="204"/>
      <c r="M147" s="412">
        <f>IFERROR(VLOOKUP(Table15[[#This Row],[ROUTE]],DEMAND!A:F,5,FALSE),0)</f>
        <v>3568</v>
      </c>
      <c r="N147" s="16">
        <f>IFERROR(VLOOKUP(Table15[[#This Row],[ROUTE]],DEMAND!A:F,6,FALSE),0)</f>
        <v>3568</v>
      </c>
      <c r="O147" s="16">
        <f>IFERROR(ROUNDDOWN(Table15[[#This Row],[R-DEMAND]]/1706,0),0)</f>
        <v>2</v>
      </c>
      <c r="P147" s="16">
        <f>IFERROR(Table15[[#This Row],[ADD ACC]]*Table15[[#This Row],[RT TIME 
(380-800)]],0)</f>
        <v>21</v>
      </c>
      <c r="Q147" s="415">
        <f>IFERROR(VLOOKUP(Table15[[#This Row],[ROUTE]],PRICING!A:B,2,FALSE),0)</f>
        <v>0</v>
      </c>
      <c r="R147" s="235">
        <f>IFERROR(Table15[[#This Row],[C_DEMAND]]-Table15[[#This Row],[R-DEMAND]],0)</f>
        <v>0</v>
      </c>
      <c r="S147" s="408">
        <f t="shared" si="2"/>
        <v>0</v>
      </c>
      <c r="T147" s="419">
        <f>Table15[[#This Row],[R-DEMAND]]-(Table15[[#This Row],[ADD ACC]]*1706)</f>
        <v>156</v>
      </c>
      <c r="U147" s="419">
        <f>ROUNDDOWN(Table15[[#This Row],[Column1]]/1360,0)</f>
        <v>0</v>
      </c>
      <c r="V147" s="419"/>
      <c r="W147" s="251">
        <v>10.5</v>
      </c>
      <c r="X147" s="251">
        <f>ROUNDDOWN(Table15[[#This Row],[R-DEMAND]]/1320,0)</f>
        <v>2</v>
      </c>
      <c r="Y147" s="251">
        <f>IFERROR(Table15[[#This Row],[ADD ACC
(660/1320)]]*Table15[[#This Row],[Duration
(B744)]],0)</f>
        <v>21</v>
      </c>
      <c r="Z147" s="251"/>
    </row>
    <row r="148" spans="1:26" ht="15.75" customHeight="1" x14ac:dyDescent="0.25">
      <c r="A148" s="210" t="s">
        <v>15961</v>
      </c>
      <c r="B148" s="204" t="s">
        <v>448</v>
      </c>
      <c r="C148" s="204" t="s">
        <v>11122</v>
      </c>
      <c r="D148" s="205">
        <v>3</v>
      </c>
      <c r="E148" s="204" t="s">
        <v>1070</v>
      </c>
      <c r="F148" s="204" t="str">
        <f>VLOOKUP(E148,Table10[[COUNTRY NAME]:[CONTINENT CODE]],3,FALSE)</f>
        <v>AS</v>
      </c>
      <c r="G148" s="206" t="s">
        <v>12031</v>
      </c>
      <c r="H148" s="207">
        <v>444</v>
      </c>
      <c r="I148" s="208">
        <v>3</v>
      </c>
      <c r="J148" s="345">
        <v>147954509</v>
      </c>
      <c r="K148" s="345">
        <f>IFERROR(Table15[[#This Row],[ROUTE $]]/Table15[[#This Row],[E - DEMAND]],0)</f>
        <v>43877.375148279949</v>
      </c>
      <c r="L148" s="204">
        <v>3372</v>
      </c>
      <c r="M148" s="412">
        <f>IFERROR(VLOOKUP(Table15[[#This Row],[ROUTE]],DEMAND!A:F,5,FALSE),0)</f>
        <v>3565</v>
      </c>
      <c r="N148" s="16">
        <f>IFERROR(VLOOKUP(Table15[[#This Row],[ROUTE]],DEMAND!A:F,6,FALSE),0)</f>
        <v>3565</v>
      </c>
      <c r="O148" s="16">
        <f>IFERROR(ROUNDDOWN(Table15[[#This Row],[R-DEMAND]]/1706,0),0)</f>
        <v>2</v>
      </c>
      <c r="P148" s="16">
        <f>IFERROR(Table15[[#This Row],[ADD ACC]]*Table15[[#This Row],[RT TIME 
(380-800)]],0)</f>
        <v>6</v>
      </c>
      <c r="Q148" s="415">
        <f>IFERROR(VLOOKUP(Table15[[#This Row],[ROUTE]],PRICING!A:B,2,FALSE),0)</f>
        <v>0</v>
      </c>
      <c r="R148" s="235">
        <f>IFERROR(Table15[[#This Row],[C_DEMAND]]-Table15[[#This Row],[R-DEMAND]],0)</f>
        <v>0</v>
      </c>
      <c r="S148" s="408">
        <f t="shared" si="2"/>
        <v>0</v>
      </c>
      <c r="T148" s="419">
        <f>Table15[[#This Row],[R-DEMAND]]-(Table15[[#This Row],[ADD ACC]]*1706)</f>
        <v>153</v>
      </c>
      <c r="U148" s="419">
        <f>ROUNDDOWN(Table15[[#This Row],[Column1]]/1360,0)</f>
        <v>0</v>
      </c>
      <c r="V148" s="419"/>
      <c r="W148" s="251">
        <v>3</v>
      </c>
      <c r="X148" s="251">
        <f>ROUNDDOWN(Table15[[#This Row],[R-DEMAND]]/1320,0)</f>
        <v>2</v>
      </c>
      <c r="Y148" s="251">
        <f>IFERROR(Table15[[#This Row],[ADD ACC
(660/1320)]]*Table15[[#This Row],[Duration
(B744)]],0)</f>
        <v>6</v>
      </c>
      <c r="Z148" s="251"/>
    </row>
    <row r="149" spans="1:26" ht="15.75" customHeight="1" x14ac:dyDescent="0.25">
      <c r="A149" s="210" t="s">
        <v>15592</v>
      </c>
      <c r="B149" s="204" t="s">
        <v>302</v>
      </c>
      <c r="C149" s="204" t="s">
        <v>67</v>
      </c>
      <c r="D149" s="205">
        <v>2</v>
      </c>
      <c r="E149" s="204" t="s">
        <v>717</v>
      </c>
      <c r="F149" s="204" t="str">
        <f>VLOOKUP(E149,Table10[[COUNTRY NAME]:[CONTINENT CODE]],3,FALSE)</f>
        <v>AS</v>
      </c>
      <c r="G149" s="206" t="s">
        <v>12097</v>
      </c>
      <c r="H149" s="207">
        <v>5828</v>
      </c>
      <c r="I149" s="208">
        <v>15</v>
      </c>
      <c r="J149" s="345"/>
      <c r="K149" s="345">
        <f>IFERROR(Table15[[#This Row],[ROUTE $]]/Table15[[#This Row],[E - DEMAND]],0)</f>
        <v>0</v>
      </c>
      <c r="L149" s="204"/>
      <c r="M149" s="412">
        <f>IFERROR(VLOOKUP(Table15[[#This Row],[ROUTE]],DEMAND!A:F,5,FALSE),0)</f>
        <v>3557</v>
      </c>
      <c r="N149" s="16">
        <f>IFERROR(VLOOKUP(Table15[[#This Row],[ROUTE]],DEMAND!A:F,6,FALSE),0)</f>
        <v>3557</v>
      </c>
      <c r="O149" s="16">
        <f>IFERROR(ROUNDDOWN(Table15[[#This Row],[R-DEMAND]]/1706,0),0)</f>
        <v>2</v>
      </c>
      <c r="P149" s="16">
        <f>IFERROR(Table15[[#This Row],[ADD ACC]]*Table15[[#This Row],[RT TIME 
(380-800)]],0)</f>
        <v>30</v>
      </c>
      <c r="Q149" s="415">
        <f>IFERROR(VLOOKUP(Table15[[#This Row],[ROUTE]],PRICING!A:B,2,FALSE),0)</f>
        <v>0</v>
      </c>
      <c r="R149" s="235">
        <f>IFERROR(Table15[[#This Row],[C_DEMAND]]-Table15[[#This Row],[R-DEMAND]],0)</f>
        <v>0</v>
      </c>
      <c r="S149" s="408">
        <f t="shared" si="2"/>
        <v>0</v>
      </c>
      <c r="T149" s="419">
        <f>Table15[[#This Row],[R-DEMAND]]-(Table15[[#This Row],[ADD ACC]]*1706)</f>
        <v>145</v>
      </c>
      <c r="U149" s="419">
        <f>ROUNDDOWN(Table15[[#This Row],[Column1]]/1360,0)</f>
        <v>0</v>
      </c>
      <c r="V149" s="419"/>
      <c r="W149" s="251">
        <v>15</v>
      </c>
      <c r="X149" s="251">
        <f>ROUNDDOWN(Table15[[#This Row],[R-DEMAND]]/1320,0)</f>
        <v>2</v>
      </c>
      <c r="Y149" s="251">
        <f>IFERROR(Table15[[#This Row],[ADD ACC
(660/1320)]]*Table15[[#This Row],[Duration
(B744)]],0)</f>
        <v>30</v>
      </c>
      <c r="Z149" s="251"/>
    </row>
    <row r="150" spans="1:26" ht="15.75" customHeight="1" x14ac:dyDescent="0.25">
      <c r="A150" s="210" t="s">
        <v>15580</v>
      </c>
      <c r="B150" s="204" t="s">
        <v>5025</v>
      </c>
      <c r="C150" s="204" t="s">
        <v>67</v>
      </c>
      <c r="D150" s="205">
        <v>3</v>
      </c>
      <c r="E150" s="204" t="s">
        <v>1117</v>
      </c>
      <c r="F150" s="204" t="str">
        <f>VLOOKUP(E150,Table10[[COUNTRY NAME]:[CONTINENT CODE]],3,FALSE)</f>
        <v>EU</v>
      </c>
      <c r="G150" s="210" t="s">
        <v>11801</v>
      </c>
      <c r="H150" s="207">
        <v>5946</v>
      </c>
      <c r="I150" s="208">
        <v>15.25</v>
      </c>
      <c r="J150" s="345"/>
      <c r="K150" s="345">
        <f>IFERROR(Table15[[#This Row],[ROUTE $]]/Table15[[#This Row],[E - DEMAND]],0)</f>
        <v>0</v>
      </c>
      <c r="L150" s="204"/>
      <c r="M150" s="412">
        <f>IFERROR(VLOOKUP(Table15[[#This Row],[ROUTE]],DEMAND!A:F,5,FALSE),0)</f>
        <v>3536</v>
      </c>
      <c r="N150" s="16">
        <f>IFERROR(VLOOKUP(Table15[[#This Row],[ROUTE]],DEMAND!A:F,6,FALSE),0)</f>
        <v>3536</v>
      </c>
      <c r="O150" s="16">
        <f>IFERROR(ROUNDDOWN(Table15[[#This Row],[R-DEMAND]]/1706,0),0)</f>
        <v>2</v>
      </c>
      <c r="P150" s="16">
        <f>IFERROR(Table15[[#This Row],[ADD ACC]]*Table15[[#This Row],[RT TIME 
(380-800)]],0)</f>
        <v>30.5</v>
      </c>
      <c r="Q150" s="415">
        <f>IFERROR(VLOOKUP(Table15[[#This Row],[ROUTE]],PRICING!A:B,2,FALSE),0)</f>
        <v>0</v>
      </c>
      <c r="R150" s="235">
        <f>IFERROR(Table15[[#This Row],[C_DEMAND]]-Table15[[#This Row],[R-DEMAND]],0)</f>
        <v>0</v>
      </c>
      <c r="S150" s="408">
        <f t="shared" si="2"/>
        <v>0</v>
      </c>
      <c r="T150" s="419">
        <f>Table15[[#This Row],[R-DEMAND]]-(Table15[[#This Row],[ADD ACC]]*1706)</f>
        <v>124</v>
      </c>
      <c r="U150" s="419">
        <f>ROUNDDOWN(Table15[[#This Row],[Column1]]/1360,0)</f>
        <v>0</v>
      </c>
      <c r="V150" s="419"/>
      <c r="W150" s="251">
        <v>15.25</v>
      </c>
      <c r="X150" s="251">
        <f>ROUNDDOWN(Table15[[#This Row],[R-DEMAND]]/1320,0)</f>
        <v>2</v>
      </c>
      <c r="Y150" s="251">
        <f>IFERROR(Table15[[#This Row],[ADD ACC
(660/1320)]]*Table15[[#This Row],[Duration
(B744)]],0)</f>
        <v>30.5</v>
      </c>
      <c r="Z150" s="251"/>
    </row>
    <row r="151" spans="1:26" ht="15.75" customHeight="1" x14ac:dyDescent="0.25">
      <c r="A151" s="210" t="s">
        <v>15481</v>
      </c>
      <c r="B151" s="204" t="s">
        <v>3984</v>
      </c>
      <c r="C151" s="204" t="s">
        <v>67</v>
      </c>
      <c r="D151" s="205">
        <v>2</v>
      </c>
      <c r="E151" s="204" t="s">
        <v>493</v>
      </c>
      <c r="F151" s="204" t="str">
        <f>VLOOKUP(E151,Table10[[COUNTRY NAME]:[CONTINENT CODE]],3,FALSE)</f>
        <v>AF</v>
      </c>
      <c r="G151" s="206" t="s">
        <v>11731</v>
      </c>
      <c r="H151" s="207">
        <v>6750</v>
      </c>
      <c r="I151" s="208">
        <v>17</v>
      </c>
      <c r="J151" s="345"/>
      <c r="K151" s="345">
        <f>IFERROR(Table15[[#This Row],[ROUTE $]]/Table15[[#This Row],[E - DEMAND]],0)</f>
        <v>0</v>
      </c>
      <c r="L151" s="204"/>
      <c r="M151" s="412">
        <f>IFERROR(VLOOKUP(Table15[[#This Row],[ROUTE]],DEMAND!A:F,5,FALSE),0)</f>
        <v>3528</v>
      </c>
      <c r="N151" s="16">
        <f>IFERROR(VLOOKUP(Table15[[#This Row],[ROUTE]],DEMAND!A:F,6,FALSE),0)</f>
        <v>3528</v>
      </c>
      <c r="O151" s="16">
        <f>IFERROR(ROUNDDOWN(Table15[[#This Row],[R-DEMAND]]/1706,0),0)</f>
        <v>2</v>
      </c>
      <c r="P151" s="16">
        <f>IFERROR(Table15[[#This Row],[ADD ACC]]*Table15[[#This Row],[RT TIME 
(380-800)]],0)</f>
        <v>34</v>
      </c>
      <c r="Q151" s="415">
        <f>IFERROR(VLOOKUP(Table15[[#This Row],[ROUTE]],PRICING!A:B,2,FALSE),0)</f>
        <v>0</v>
      </c>
      <c r="R151" s="235">
        <f>IFERROR(Table15[[#This Row],[C_DEMAND]]-Table15[[#This Row],[R-DEMAND]],0)</f>
        <v>0</v>
      </c>
      <c r="S151" s="408">
        <f t="shared" si="2"/>
        <v>0</v>
      </c>
      <c r="T151" s="419">
        <f>Table15[[#This Row],[R-DEMAND]]-(Table15[[#This Row],[ADD ACC]]*1706)</f>
        <v>116</v>
      </c>
      <c r="U151" s="419">
        <f>ROUNDDOWN(Table15[[#This Row],[Column1]]/1360,0)</f>
        <v>0</v>
      </c>
      <c r="V151" s="419"/>
      <c r="W151" s="251">
        <v>17</v>
      </c>
      <c r="X151" s="251">
        <f>ROUNDDOWN(Table15[[#This Row],[R-DEMAND]]/1320,0)</f>
        <v>2</v>
      </c>
      <c r="Y151" s="251">
        <f>IFERROR(Table15[[#This Row],[ADD ACC
(660/1320)]]*Table15[[#This Row],[Duration
(B744)]],0)</f>
        <v>34</v>
      </c>
      <c r="Z151" s="251"/>
    </row>
    <row r="152" spans="1:26" ht="15.75" customHeight="1" x14ac:dyDescent="0.25">
      <c r="A152" s="210" t="s">
        <v>15483</v>
      </c>
      <c r="B152" s="204" t="s">
        <v>5234</v>
      </c>
      <c r="C152" s="204" t="s">
        <v>67</v>
      </c>
      <c r="D152" s="205">
        <v>3</v>
      </c>
      <c r="E152" s="204" t="s">
        <v>605</v>
      </c>
      <c r="F152" s="204" t="str">
        <f>VLOOKUP(E152,Table10[[COUNTRY NAME]:[CONTINENT CODE]],3,FALSE)</f>
        <v>EU</v>
      </c>
      <c r="G152" s="210" t="s">
        <v>11779</v>
      </c>
      <c r="H152" s="207">
        <v>6737</v>
      </c>
      <c r="I152" s="208">
        <v>17</v>
      </c>
      <c r="J152" s="345"/>
      <c r="K152" s="345">
        <f>IFERROR(Table15[[#This Row],[ROUTE $]]/Table15[[#This Row],[E - DEMAND]],0)</f>
        <v>0</v>
      </c>
      <c r="L152" s="204"/>
      <c r="M152" s="412">
        <f>IFERROR(VLOOKUP(Table15[[#This Row],[ROUTE]],DEMAND!A:F,5,FALSE),0)</f>
        <v>3523</v>
      </c>
      <c r="N152" s="16">
        <f>IFERROR(VLOOKUP(Table15[[#This Row],[ROUTE]],DEMAND!A:F,6,FALSE),0)</f>
        <v>3523</v>
      </c>
      <c r="O152" s="16">
        <f>IFERROR(ROUNDDOWN(Table15[[#This Row],[R-DEMAND]]/1706,0),0)</f>
        <v>2</v>
      </c>
      <c r="P152" s="16">
        <f>IFERROR(Table15[[#This Row],[ADD ACC]]*Table15[[#This Row],[RT TIME 
(380-800)]],0)</f>
        <v>34</v>
      </c>
      <c r="Q152" s="415">
        <f>IFERROR(VLOOKUP(Table15[[#This Row],[ROUTE]],PRICING!A:B,2,FALSE),0)</f>
        <v>0</v>
      </c>
      <c r="R152" s="235">
        <f>IFERROR(Table15[[#This Row],[C_DEMAND]]-Table15[[#This Row],[R-DEMAND]],0)</f>
        <v>0</v>
      </c>
      <c r="S152" s="408">
        <f t="shared" si="2"/>
        <v>0</v>
      </c>
      <c r="T152" s="419">
        <f>Table15[[#This Row],[R-DEMAND]]-(Table15[[#This Row],[ADD ACC]]*1706)</f>
        <v>111</v>
      </c>
      <c r="U152" s="419">
        <f>ROUNDDOWN(Table15[[#This Row],[Column1]]/1360,0)</f>
        <v>0</v>
      </c>
      <c r="V152" s="419"/>
      <c r="W152" s="251">
        <v>17</v>
      </c>
      <c r="X152" s="251">
        <f>ROUNDDOWN(Table15[[#This Row],[R-DEMAND]]/1320,0)</f>
        <v>2</v>
      </c>
      <c r="Y152" s="251">
        <f>IFERROR(Table15[[#This Row],[ADD ACC
(660/1320)]]*Table15[[#This Row],[Duration
(B744)]],0)</f>
        <v>34</v>
      </c>
      <c r="Z152" s="251"/>
    </row>
    <row r="153" spans="1:26" ht="15.75" customHeight="1" x14ac:dyDescent="0.25">
      <c r="A153" s="210" t="s">
        <v>15353</v>
      </c>
      <c r="B153" s="204" t="s">
        <v>1393</v>
      </c>
      <c r="C153" s="204" t="s">
        <v>67</v>
      </c>
      <c r="D153" s="205">
        <v>1</v>
      </c>
      <c r="E153" s="204" t="s">
        <v>608</v>
      </c>
      <c r="F153" s="204" t="str">
        <f>VLOOKUP(E153,Table10[[COUNTRY NAME]:[CONTINENT CODE]],3,FALSE)</f>
        <v>AF</v>
      </c>
      <c r="G153" s="206" t="s">
        <v>6718</v>
      </c>
      <c r="H153" s="207">
        <v>9053</v>
      </c>
      <c r="I153" s="208">
        <v>22.25</v>
      </c>
      <c r="J153" s="345">
        <v>203354306</v>
      </c>
      <c r="K153" s="345">
        <f>IFERROR(Table15[[#This Row],[ROUTE $]]/Table15[[#This Row],[E - DEMAND]],0)</f>
        <v>59810.09</v>
      </c>
      <c r="L153" s="204">
        <v>3400</v>
      </c>
      <c r="M153" s="412">
        <f>IFERROR(VLOOKUP(Table15[[#This Row],[ROUTE]],DEMAND!A:F,5,FALSE),0)</f>
        <v>3513</v>
      </c>
      <c r="N153" s="16">
        <f>IFERROR(VLOOKUP(Table15[[#This Row],[ROUTE]],DEMAND!A:F,6,FALSE),0)</f>
        <v>3513</v>
      </c>
      <c r="O153" s="16">
        <f>IFERROR(ROUNDDOWN(Table15[[#This Row],[R-DEMAND]]/1706,0),0)</f>
        <v>2</v>
      </c>
      <c r="P153" s="16">
        <f>IFERROR(Table15[[#This Row],[ADD ACC]]*Table15[[#This Row],[RT TIME 
(380-800)]],0)</f>
        <v>44.5</v>
      </c>
      <c r="Q153" s="415">
        <f>IFERROR(VLOOKUP(Table15[[#This Row],[ROUTE]],PRICING!A:B,2,FALSE),0)</f>
        <v>0</v>
      </c>
      <c r="R153" s="235">
        <f>IFERROR(Table15[[#This Row],[C_DEMAND]]-Table15[[#This Row],[R-DEMAND]],0)</f>
        <v>0</v>
      </c>
      <c r="S153" s="408">
        <f t="shared" si="2"/>
        <v>0</v>
      </c>
      <c r="T153" s="419">
        <f>Table15[[#This Row],[R-DEMAND]]-(Table15[[#This Row],[ADD ACC]]*1706)</f>
        <v>101</v>
      </c>
      <c r="U153" s="419">
        <f>ROUNDDOWN(Table15[[#This Row],[Column1]]/1360,0)</f>
        <v>0</v>
      </c>
      <c r="V153" s="419"/>
      <c r="W153" s="251">
        <v>22.25</v>
      </c>
      <c r="X153" s="251">
        <f>ROUNDDOWN(Table15[[#This Row],[R-DEMAND]]/1320,0)</f>
        <v>2</v>
      </c>
      <c r="Y153" s="251">
        <f>IFERROR(Table15[[#This Row],[ADD ACC
(660/1320)]]*Table15[[#This Row],[Duration
(B744)]],0)</f>
        <v>44.5</v>
      </c>
      <c r="Z153" s="251"/>
    </row>
    <row r="154" spans="1:26" ht="15.75" customHeight="1" x14ac:dyDescent="0.25">
      <c r="A154" s="210" t="s">
        <v>15770</v>
      </c>
      <c r="B154" s="204" t="s">
        <v>2713</v>
      </c>
      <c r="C154" s="204" t="s">
        <v>67</v>
      </c>
      <c r="D154" s="205">
        <v>2</v>
      </c>
      <c r="E154" s="204" t="s">
        <v>2711</v>
      </c>
      <c r="F154" s="204" t="str">
        <f>VLOOKUP(E154,Table10[[COUNTRY NAME]:[CONTINENT CODE]],3,FALSE)</f>
        <v>AS</v>
      </c>
      <c r="G154" s="206" t="s">
        <v>11887</v>
      </c>
      <c r="H154" s="207">
        <v>3989</v>
      </c>
      <c r="I154" s="208">
        <v>11</v>
      </c>
      <c r="J154" s="345"/>
      <c r="K154" s="345">
        <f>IFERROR(Table15[[#This Row],[ROUTE $]]/Table15[[#This Row],[E - DEMAND]],0)</f>
        <v>0</v>
      </c>
      <c r="L154" s="204"/>
      <c r="M154" s="412">
        <f>IFERROR(VLOOKUP(Table15[[#This Row],[ROUTE]],DEMAND!A:F,5,FALSE),0)</f>
        <v>3505</v>
      </c>
      <c r="N154" s="16">
        <f>IFERROR(VLOOKUP(Table15[[#This Row],[ROUTE]],DEMAND!A:F,6,FALSE),0)</f>
        <v>3505</v>
      </c>
      <c r="O154" s="16">
        <f>IFERROR(ROUNDDOWN(Table15[[#This Row],[R-DEMAND]]/1706,0),0)</f>
        <v>2</v>
      </c>
      <c r="P154" s="16">
        <f>IFERROR(Table15[[#This Row],[ADD ACC]]*Table15[[#This Row],[RT TIME 
(380-800)]],0)</f>
        <v>22</v>
      </c>
      <c r="Q154" s="415">
        <f>IFERROR(VLOOKUP(Table15[[#This Row],[ROUTE]],PRICING!A:B,2,FALSE),0)</f>
        <v>1206</v>
      </c>
      <c r="R154" s="235">
        <f>IFERROR(Table15[[#This Row],[C_DEMAND]]-Table15[[#This Row],[R-DEMAND]],0)</f>
        <v>0</v>
      </c>
      <c r="S154" s="408">
        <f t="shared" si="2"/>
        <v>0</v>
      </c>
      <c r="T154" s="419">
        <f>Table15[[#This Row],[R-DEMAND]]-(Table15[[#This Row],[ADD ACC]]*1706)</f>
        <v>93</v>
      </c>
      <c r="U154" s="419">
        <f>ROUNDDOWN(Table15[[#This Row],[Column1]]/1360,0)</f>
        <v>0</v>
      </c>
      <c r="V154" s="419"/>
      <c r="W154" s="251">
        <v>11</v>
      </c>
      <c r="X154" s="251">
        <f>ROUNDDOWN(Table15[[#This Row],[R-DEMAND]]/1320,0)</f>
        <v>2</v>
      </c>
      <c r="Y154" s="251">
        <f>IFERROR(Table15[[#This Row],[ADD ACC
(660/1320)]]*Table15[[#This Row],[Duration
(B744)]],0)</f>
        <v>22</v>
      </c>
      <c r="Z154" s="347"/>
    </row>
    <row r="155" spans="1:26" ht="15.75" customHeight="1" x14ac:dyDescent="0.25">
      <c r="A155" s="210" t="s">
        <v>15275</v>
      </c>
      <c r="B155" s="204" t="s">
        <v>485</v>
      </c>
      <c r="C155" s="204" t="s">
        <v>67</v>
      </c>
      <c r="D155" s="205">
        <v>4</v>
      </c>
      <c r="E155" s="16" t="s">
        <v>11732</v>
      </c>
      <c r="F155" s="204" t="str">
        <f>VLOOKUP(E155,Table10[[COUNTRY NAME]:[CONTINENT CODE]],3,FALSE)</f>
        <v>NA - US</v>
      </c>
      <c r="G155" s="206" t="s">
        <v>11080</v>
      </c>
      <c r="H155" s="207">
        <v>12896</v>
      </c>
      <c r="I155" s="208">
        <v>30.75</v>
      </c>
      <c r="J155" s="345"/>
      <c r="K155" s="345">
        <f>IFERROR(Table15[[#This Row],[ROUTE $]]/Table15[[#This Row],[E - DEMAND]],0)</f>
        <v>0</v>
      </c>
      <c r="L155" s="204"/>
      <c r="M155" s="412">
        <f>IFERROR(VLOOKUP(Table15[[#This Row],[ROUTE]],DEMAND!A:F,5,FALSE),0)</f>
        <v>3497</v>
      </c>
      <c r="N155" s="16">
        <f>IFERROR(VLOOKUP(Table15[[#This Row],[ROUTE]],DEMAND!A:F,6,FALSE),0)</f>
        <v>3497</v>
      </c>
      <c r="O155" s="16">
        <f>IFERROR(ROUNDDOWN(Table15[[#This Row],[R-DEMAND]]/1706,0),0)</f>
        <v>2</v>
      </c>
      <c r="P155" s="16">
        <f>IFERROR(Table15[[#This Row],[ADD ACC]]*Table15[[#This Row],[RT TIME 
(380-800)]],0)</f>
        <v>61.5</v>
      </c>
      <c r="Q155" s="415">
        <f>IFERROR(VLOOKUP(Table15[[#This Row],[ROUTE]],PRICING!A:B,2,FALSE),0)</f>
        <v>0</v>
      </c>
      <c r="R155" s="235">
        <f>IFERROR(Table15[[#This Row],[C_DEMAND]]-Table15[[#This Row],[R-DEMAND]],0)</f>
        <v>0</v>
      </c>
      <c r="S155" s="408">
        <f t="shared" si="2"/>
        <v>0</v>
      </c>
      <c r="T155" s="419">
        <f>Table15[[#This Row],[R-DEMAND]]-(Table15[[#This Row],[ADD ACC]]*1706)</f>
        <v>85</v>
      </c>
      <c r="U155" s="419">
        <f>ROUNDDOWN(Table15[[#This Row],[Column1]]/1360,0)</f>
        <v>0</v>
      </c>
      <c r="V155" s="419"/>
      <c r="W155" s="251">
        <v>30.75</v>
      </c>
      <c r="X155" s="251">
        <f>ROUNDDOWN(Table15[[#This Row],[R-DEMAND]]/1320,0)</f>
        <v>2</v>
      </c>
      <c r="Y155" s="251">
        <f>IFERROR(Table15[[#This Row],[ADD ACC
(660/1320)]]*Table15[[#This Row],[Duration
(B744)]],0)</f>
        <v>61.5</v>
      </c>
      <c r="Z155" s="251"/>
    </row>
    <row r="156" spans="1:26" ht="15.75" customHeight="1" x14ac:dyDescent="0.25">
      <c r="A156" s="210" t="s">
        <v>15458</v>
      </c>
      <c r="B156" s="204" t="s">
        <v>5356</v>
      </c>
      <c r="C156" s="204" t="s">
        <v>67</v>
      </c>
      <c r="D156" s="205">
        <v>3</v>
      </c>
      <c r="E156" s="204" t="s">
        <v>605</v>
      </c>
      <c r="F156" s="204" t="str">
        <f>VLOOKUP(E156,Table10[[COUNTRY NAME]:[CONTINENT CODE]],3,FALSE)</f>
        <v>EU</v>
      </c>
      <c r="G156" s="210" t="s">
        <v>11742</v>
      </c>
      <c r="H156" s="207">
        <v>6948</v>
      </c>
      <c r="I156" s="208">
        <v>17.5</v>
      </c>
      <c r="J156" s="345"/>
      <c r="K156" s="345">
        <f>IFERROR(Table15[[#This Row],[ROUTE $]]/Table15[[#This Row],[E - DEMAND]],0)</f>
        <v>0</v>
      </c>
      <c r="L156" s="204"/>
      <c r="M156" s="412">
        <f>IFERROR(VLOOKUP(Table15[[#This Row],[ROUTE]],DEMAND!A:F,5,FALSE),0)</f>
        <v>3476</v>
      </c>
      <c r="N156" s="16">
        <f>IFERROR(VLOOKUP(Table15[[#This Row],[ROUTE]],DEMAND!A:F,6,FALSE),0)</f>
        <v>3476</v>
      </c>
      <c r="O156" s="16">
        <f>IFERROR(ROUNDDOWN(Table15[[#This Row],[R-DEMAND]]/1706,0),0)</f>
        <v>2</v>
      </c>
      <c r="P156" s="16">
        <f>IFERROR(Table15[[#This Row],[ADD ACC]]*Table15[[#This Row],[RT TIME 
(380-800)]],0)</f>
        <v>35</v>
      </c>
      <c r="Q156" s="415">
        <f>IFERROR(VLOOKUP(Table15[[#This Row],[ROUTE]],PRICING!A:B,2,FALSE),0)</f>
        <v>0</v>
      </c>
      <c r="R156" s="235">
        <f>IFERROR(Table15[[#This Row],[C_DEMAND]]-Table15[[#This Row],[R-DEMAND]],0)</f>
        <v>0</v>
      </c>
      <c r="S156" s="408">
        <f t="shared" si="2"/>
        <v>0</v>
      </c>
      <c r="T156" s="419">
        <f>Table15[[#This Row],[R-DEMAND]]-(Table15[[#This Row],[ADD ACC]]*1706)</f>
        <v>64</v>
      </c>
      <c r="U156" s="419">
        <f>ROUNDDOWN(Table15[[#This Row],[Column1]]/1360,0)</f>
        <v>0</v>
      </c>
      <c r="V156" s="419"/>
      <c r="W156" s="251">
        <v>17.5</v>
      </c>
      <c r="X156" s="251">
        <f>ROUNDDOWN(Table15[[#This Row],[R-DEMAND]]/1320,0)</f>
        <v>2</v>
      </c>
      <c r="Y156" s="251">
        <f>IFERROR(Table15[[#This Row],[ADD ACC
(660/1320)]]*Table15[[#This Row],[Duration
(B744)]],0)</f>
        <v>35</v>
      </c>
      <c r="Z156" s="251"/>
    </row>
    <row r="157" spans="1:26" ht="15.75" customHeight="1" x14ac:dyDescent="0.25">
      <c r="A157" s="210" t="s">
        <v>15407</v>
      </c>
      <c r="B157" s="204" t="s">
        <v>2374</v>
      </c>
      <c r="C157" s="204" t="s">
        <v>67</v>
      </c>
      <c r="D157" s="205">
        <v>1</v>
      </c>
      <c r="E157" s="204" t="s">
        <v>926</v>
      </c>
      <c r="F157" s="204" t="str">
        <f>VLOOKUP(E157,Table10[[COUNTRY NAME]:[CONTINENT CODE]],3,FALSE)</f>
        <v>AF</v>
      </c>
      <c r="G157" s="206" t="s">
        <v>11866</v>
      </c>
      <c r="H157" s="207">
        <v>7419</v>
      </c>
      <c r="I157" s="208">
        <v>18.5</v>
      </c>
      <c r="J157" s="345"/>
      <c r="K157" s="345">
        <f>IFERROR(Table15[[#This Row],[ROUTE $]]/Table15[[#This Row],[E - DEMAND]],0)</f>
        <v>0</v>
      </c>
      <c r="L157" s="204"/>
      <c r="M157" s="412">
        <f>IFERROR(VLOOKUP(Table15[[#This Row],[ROUTE]],DEMAND!A:F,5,FALSE),0)</f>
        <v>3473</v>
      </c>
      <c r="N157" s="16">
        <f>IFERROR(VLOOKUP(Table15[[#This Row],[ROUTE]],DEMAND!A:F,6,FALSE),0)</f>
        <v>3473</v>
      </c>
      <c r="O157" s="16">
        <f>IFERROR(ROUNDDOWN(Table15[[#This Row],[R-DEMAND]]/1706,0),0)</f>
        <v>2</v>
      </c>
      <c r="P157" s="16">
        <f>IFERROR(Table15[[#This Row],[ADD ACC]]*Table15[[#This Row],[RT TIME 
(380-800)]],0)</f>
        <v>37</v>
      </c>
      <c r="Q157" s="415">
        <f>IFERROR(VLOOKUP(Table15[[#This Row],[ROUTE]],PRICING!A:B,2,FALSE),0)</f>
        <v>0</v>
      </c>
      <c r="R157" s="235">
        <f>IFERROR(Table15[[#This Row],[C_DEMAND]]-Table15[[#This Row],[R-DEMAND]],0)</f>
        <v>0</v>
      </c>
      <c r="S157" s="408">
        <f t="shared" si="2"/>
        <v>0</v>
      </c>
      <c r="T157" s="419">
        <f>Table15[[#This Row],[R-DEMAND]]-(Table15[[#This Row],[ADD ACC]]*1706)</f>
        <v>61</v>
      </c>
      <c r="U157" s="419">
        <f>ROUNDDOWN(Table15[[#This Row],[Column1]]/1360,0)</f>
        <v>0</v>
      </c>
      <c r="V157" s="419"/>
      <c r="W157" s="251">
        <v>18.5</v>
      </c>
      <c r="X157" s="251">
        <f>ROUNDDOWN(Table15[[#This Row],[R-DEMAND]]/1320,0)</f>
        <v>2</v>
      </c>
      <c r="Y157" s="251">
        <f>IFERROR(Table15[[#This Row],[ADD ACC
(660/1320)]]*Table15[[#This Row],[Duration
(B744)]],0)</f>
        <v>37</v>
      </c>
      <c r="Z157" s="251"/>
    </row>
    <row r="158" spans="1:26" ht="15.75" customHeight="1" x14ac:dyDescent="0.25">
      <c r="A158" s="210" t="s">
        <v>15521</v>
      </c>
      <c r="B158" s="204" t="s">
        <v>5585</v>
      </c>
      <c r="C158" s="204" t="s">
        <v>67</v>
      </c>
      <c r="D158" s="205">
        <v>4</v>
      </c>
      <c r="E158" s="204" t="s">
        <v>1427</v>
      </c>
      <c r="F158" s="204" t="str">
        <f>VLOOKUP(E158,Table10[[COUNTRY NAME]:[CONTINENT CODE]],3,FALSE)</f>
        <v>EU</v>
      </c>
      <c r="G158" s="210" t="s">
        <v>11041</v>
      </c>
      <c r="H158" s="207">
        <v>6506</v>
      </c>
      <c r="I158" s="208">
        <v>16.5</v>
      </c>
      <c r="J158" s="345"/>
      <c r="K158" s="345">
        <f>IFERROR(Table15[[#This Row],[ROUTE $]]/Table15[[#This Row],[E - DEMAND]],0)</f>
        <v>0</v>
      </c>
      <c r="L158" s="204"/>
      <c r="M158" s="412">
        <f>IFERROR(VLOOKUP(Table15[[#This Row],[ROUTE]],DEMAND!A:F,5,FALSE),0)</f>
        <v>3471</v>
      </c>
      <c r="N158" s="16">
        <f>IFERROR(VLOOKUP(Table15[[#This Row],[ROUTE]],DEMAND!A:F,6,FALSE),0)</f>
        <v>3471</v>
      </c>
      <c r="O158" s="16">
        <f>IFERROR(ROUNDDOWN(Table15[[#This Row],[R-DEMAND]]/1706,0),0)</f>
        <v>2</v>
      </c>
      <c r="P158" s="16">
        <f>IFERROR(Table15[[#This Row],[ADD ACC]]*Table15[[#This Row],[RT TIME 
(380-800)]],0)</f>
        <v>33</v>
      </c>
      <c r="Q158" s="415">
        <f>IFERROR(VLOOKUP(Table15[[#This Row],[ROUTE]],PRICING!A:B,2,FALSE),0)</f>
        <v>0</v>
      </c>
      <c r="R158" s="235">
        <f>IFERROR(Table15[[#This Row],[C_DEMAND]]-Table15[[#This Row],[R-DEMAND]],0)</f>
        <v>0</v>
      </c>
      <c r="S158" s="408">
        <f t="shared" si="2"/>
        <v>0</v>
      </c>
      <c r="T158" s="419">
        <f>Table15[[#This Row],[R-DEMAND]]-(Table15[[#This Row],[ADD ACC]]*1706)</f>
        <v>59</v>
      </c>
      <c r="U158" s="419">
        <f>ROUNDDOWN(Table15[[#This Row],[Column1]]/1360,0)</f>
        <v>0</v>
      </c>
      <c r="V158" s="419"/>
      <c r="W158" s="251">
        <v>16.5</v>
      </c>
      <c r="X158" s="251">
        <f>ROUNDDOWN(Table15[[#This Row],[R-DEMAND]]/1320,0)</f>
        <v>2</v>
      </c>
      <c r="Y158" s="251">
        <f>IFERROR(Table15[[#This Row],[ADD ACC
(660/1320)]]*Table15[[#This Row],[Duration
(B744)]],0)</f>
        <v>33</v>
      </c>
      <c r="Z158" s="251"/>
    </row>
    <row r="159" spans="1:26" ht="15.75" customHeight="1" x14ac:dyDescent="0.25">
      <c r="A159" s="210" t="s">
        <v>15910</v>
      </c>
      <c r="B159" s="204" t="s">
        <v>4172</v>
      </c>
      <c r="C159" s="204" t="s">
        <v>67</v>
      </c>
      <c r="D159" s="205">
        <v>2</v>
      </c>
      <c r="E159" s="204" t="s">
        <v>14</v>
      </c>
      <c r="F159" s="204" t="str">
        <f>VLOOKUP(E159,Table10[[COUNTRY NAME]:[CONTINENT CODE]],3,FALSE)</f>
        <v>AS</v>
      </c>
      <c r="G159" s="206" t="s">
        <v>12001</v>
      </c>
      <c r="H159" s="207">
        <v>2295</v>
      </c>
      <c r="I159" s="208">
        <v>7.25</v>
      </c>
      <c r="J159" s="345"/>
      <c r="K159" s="345">
        <f>IFERROR(Table15[[#This Row],[ROUTE $]]/Table15[[#This Row],[E - DEMAND]],0)</f>
        <v>0</v>
      </c>
      <c r="L159" s="204"/>
      <c r="M159" s="412">
        <f>IFERROR(VLOOKUP(Table15[[#This Row],[ROUTE]],DEMAND!A:F,5,FALSE),0)</f>
        <v>3470</v>
      </c>
      <c r="N159" s="16">
        <f>IFERROR(VLOOKUP(Table15[[#This Row],[ROUTE]],DEMAND!A:F,6,FALSE),0)</f>
        <v>3470</v>
      </c>
      <c r="O159" s="16">
        <f>IFERROR(ROUNDDOWN(Table15[[#This Row],[R-DEMAND]]/1706,0),0)</f>
        <v>2</v>
      </c>
      <c r="P159" s="16">
        <f>IFERROR(Table15[[#This Row],[ADD ACC]]*Table15[[#This Row],[RT TIME 
(380-800)]],0)</f>
        <v>14.5</v>
      </c>
      <c r="Q159" s="415">
        <f>IFERROR(VLOOKUP(Table15[[#This Row],[ROUTE]],PRICING!A:B,2,FALSE),0)</f>
        <v>0</v>
      </c>
      <c r="R159" s="235">
        <f>IFERROR(Table15[[#This Row],[C_DEMAND]]-Table15[[#This Row],[R-DEMAND]],0)</f>
        <v>0</v>
      </c>
      <c r="S159" s="408">
        <f t="shared" si="2"/>
        <v>0</v>
      </c>
      <c r="T159" s="419">
        <f>Table15[[#This Row],[R-DEMAND]]-(Table15[[#This Row],[ADD ACC]]*1706)</f>
        <v>58</v>
      </c>
      <c r="U159" s="419">
        <f>ROUNDDOWN(Table15[[#This Row],[Column1]]/1360,0)</f>
        <v>0</v>
      </c>
      <c r="V159" s="419"/>
      <c r="W159" s="251">
        <v>7.25</v>
      </c>
      <c r="X159" s="251">
        <f>ROUNDDOWN(Table15[[#This Row],[R-DEMAND]]/1320,0)</f>
        <v>2</v>
      </c>
      <c r="Y159" s="251">
        <f>IFERROR(Table15[[#This Row],[ADD ACC
(660/1320)]]*Table15[[#This Row],[Duration
(B744)]],0)</f>
        <v>14.5</v>
      </c>
      <c r="Z159" s="251"/>
    </row>
    <row r="160" spans="1:26" ht="15.75" customHeight="1" x14ac:dyDescent="0.25">
      <c r="A160" s="210" t="s">
        <v>15962</v>
      </c>
      <c r="B160" s="204" t="s">
        <v>300</v>
      </c>
      <c r="C160" s="204" t="s">
        <v>11122</v>
      </c>
      <c r="D160" s="205">
        <v>3</v>
      </c>
      <c r="E160" s="204" t="s">
        <v>1070</v>
      </c>
      <c r="F160" s="204" t="str">
        <f>VLOOKUP(E160,Table10[[COUNTRY NAME]:[CONTINENT CODE]],3,FALSE)</f>
        <v>AS</v>
      </c>
      <c r="G160" s="206" t="s">
        <v>12052</v>
      </c>
      <c r="H160" s="207">
        <v>424</v>
      </c>
      <c r="I160" s="208">
        <v>3</v>
      </c>
      <c r="J160" s="345">
        <v>144861512</v>
      </c>
      <c r="K160" s="345">
        <f>IFERROR(Table15[[#This Row],[ROUTE $]]/Table15[[#This Row],[E - DEMAND]],0)</f>
        <v>44044.242018850717</v>
      </c>
      <c r="L160" s="204">
        <v>3289</v>
      </c>
      <c r="M160" s="412">
        <f>IFERROR(VLOOKUP(Table15[[#This Row],[ROUTE]],DEMAND!A:F,5,FALSE),0)</f>
        <v>3468</v>
      </c>
      <c r="N160" s="16">
        <f>IFERROR(VLOOKUP(Table15[[#This Row],[ROUTE]],DEMAND!A:F,6,FALSE),0)</f>
        <v>3468</v>
      </c>
      <c r="O160" s="16">
        <f>IFERROR(ROUNDDOWN(Table15[[#This Row],[R-DEMAND]]/1706,0),0)</f>
        <v>2</v>
      </c>
      <c r="P160" s="16">
        <f>IFERROR(Table15[[#This Row],[ADD ACC]]*Table15[[#This Row],[RT TIME 
(380-800)]],0)</f>
        <v>6</v>
      </c>
      <c r="Q160" s="415">
        <f>IFERROR(VLOOKUP(Table15[[#This Row],[ROUTE]],PRICING!A:B,2,FALSE),0)</f>
        <v>0</v>
      </c>
      <c r="R160" s="235">
        <f>IFERROR(Table15[[#This Row],[C_DEMAND]]-Table15[[#This Row],[R-DEMAND]],0)</f>
        <v>0</v>
      </c>
      <c r="S160" s="408">
        <f t="shared" si="2"/>
        <v>0</v>
      </c>
      <c r="T160" s="419">
        <f>Table15[[#This Row],[R-DEMAND]]-(Table15[[#This Row],[ADD ACC]]*1706)</f>
        <v>56</v>
      </c>
      <c r="U160" s="419">
        <f>ROUNDDOWN(Table15[[#This Row],[Column1]]/1360,0)</f>
        <v>0</v>
      </c>
      <c r="V160" s="419"/>
      <c r="W160" s="251">
        <v>3</v>
      </c>
      <c r="X160" s="251">
        <f>ROUNDDOWN(Table15[[#This Row],[R-DEMAND]]/1320,0)</f>
        <v>2</v>
      </c>
      <c r="Y160" s="251">
        <f>IFERROR(Table15[[#This Row],[ADD ACC
(660/1320)]]*Table15[[#This Row],[Duration
(B744)]],0)</f>
        <v>6</v>
      </c>
      <c r="Z160" s="251"/>
    </row>
    <row r="161" spans="1:26" ht="15.75" customHeight="1" x14ac:dyDescent="0.25">
      <c r="A161" s="210" t="s">
        <v>15292</v>
      </c>
      <c r="B161" s="204" t="s">
        <v>5620</v>
      </c>
      <c r="C161" s="204" t="s">
        <v>67</v>
      </c>
      <c r="D161" s="205">
        <v>4</v>
      </c>
      <c r="E161" s="16" t="s">
        <v>11732</v>
      </c>
      <c r="F161" s="204" t="str">
        <f>VLOOKUP(E161,Table10[[COUNTRY NAME]:[CONTINENT CODE]],3,FALSE)</f>
        <v>NA - US</v>
      </c>
      <c r="G161" s="206" t="s">
        <v>13257</v>
      </c>
      <c r="H161" s="207">
        <v>12659</v>
      </c>
      <c r="I161" s="208">
        <v>30.25</v>
      </c>
      <c r="J161" s="345"/>
      <c r="K161" s="345">
        <f>IFERROR(Table15[[#This Row],[ROUTE $]]/Table15[[#This Row],[E - DEMAND]],0)</f>
        <v>0</v>
      </c>
      <c r="L161" s="204"/>
      <c r="M161" s="412">
        <f>IFERROR(VLOOKUP(Table15[[#This Row],[ROUTE]],DEMAND!A:F,5,FALSE),0)</f>
        <v>3466</v>
      </c>
      <c r="N161" s="16">
        <f>IFERROR(VLOOKUP(Table15[[#This Row],[ROUTE]],DEMAND!A:F,6,FALSE),0)</f>
        <v>3466</v>
      </c>
      <c r="O161" s="16">
        <f>IFERROR(ROUNDDOWN(Table15[[#This Row],[R-DEMAND]]/1706,0),0)</f>
        <v>2</v>
      </c>
      <c r="P161" s="16">
        <f>IFERROR(Table15[[#This Row],[ADD ACC]]*Table15[[#This Row],[RT TIME 
(380-800)]],0)</f>
        <v>60.5</v>
      </c>
      <c r="Q161" s="415">
        <f>IFERROR(VLOOKUP(Table15[[#This Row],[ROUTE]],PRICING!A:B,2,FALSE),0)</f>
        <v>0</v>
      </c>
      <c r="R161" s="235">
        <f>IFERROR(Table15[[#This Row],[C_DEMAND]]-Table15[[#This Row],[R-DEMAND]],0)</f>
        <v>0</v>
      </c>
      <c r="S161" s="408">
        <f t="shared" si="2"/>
        <v>0</v>
      </c>
      <c r="T161" s="419">
        <f>Table15[[#This Row],[R-DEMAND]]-(Table15[[#This Row],[ADD ACC]]*1706)</f>
        <v>54</v>
      </c>
      <c r="U161" s="419">
        <f>ROUNDDOWN(Table15[[#This Row],[Column1]]/1360,0)</f>
        <v>0</v>
      </c>
      <c r="V161" s="419"/>
      <c r="W161" s="251">
        <v>30.25</v>
      </c>
      <c r="X161" s="251">
        <f>ROUNDDOWN(Table15[[#This Row],[R-DEMAND]]/1320,0)</f>
        <v>2</v>
      </c>
      <c r="Y161" s="251">
        <f>IFERROR(Table15[[#This Row],[ADD ACC
(660/1320)]]*Table15[[#This Row],[Duration
(B744)]],0)</f>
        <v>60.5</v>
      </c>
      <c r="Z161" s="251"/>
    </row>
    <row r="162" spans="1:26" ht="15.75" customHeight="1" x14ac:dyDescent="0.25">
      <c r="A162" s="210" t="s">
        <v>15880</v>
      </c>
      <c r="B162" s="204" t="s">
        <v>1882</v>
      </c>
      <c r="C162" s="204" t="s">
        <v>67</v>
      </c>
      <c r="D162" s="205">
        <v>1</v>
      </c>
      <c r="E162" s="204" t="s">
        <v>14</v>
      </c>
      <c r="F162" s="204" t="str">
        <f>VLOOKUP(E162,Table10[[COUNTRY NAME]:[CONTINENT CODE]],3,FALSE)</f>
        <v>AS</v>
      </c>
      <c r="G162" s="206" t="s">
        <v>9663</v>
      </c>
      <c r="H162" s="207">
        <v>2878</v>
      </c>
      <c r="I162" s="208">
        <v>8.5</v>
      </c>
      <c r="J162" s="345"/>
      <c r="K162" s="345">
        <f>IFERROR(Table15[[#This Row],[ROUTE $]]/Table15[[#This Row],[E - DEMAND]],0)</f>
        <v>0</v>
      </c>
      <c r="L162" s="204"/>
      <c r="M162" s="412">
        <f>IFERROR(VLOOKUP(Table15[[#This Row],[ROUTE]],DEMAND!A:F,5,FALSE),0)</f>
        <v>3463</v>
      </c>
      <c r="N162" s="16">
        <f>IFERROR(VLOOKUP(Table15[[#This Row],[ROUTE]],DEMAND!A:F,6,FALSE),0)</f>
        <v>3463</v>
      </c>
      <c r="O162" s="16">
        <f>IFERROR(ROUNDDOWN(Table15[[#This Row],[R-DEMAND]]/1706,0),0)</f>
        <v>2</v>
      </c>
      <c r="P162" s="16">
        <f>IFERROR(Table15[[#This Row],[ADD ACC]]*Table15[[#This Row],[RT TIME 
(380-800)]],0)</f>
        <v>17</v>
      </c>
      <c r="Q162" s="415">
        <f>IFERROR(VLOOKUP(Table15[[#This Row],[ROUTE]],PRICING!A:B,2,FALSE),0)</f>
        <v>0</v>
      </c>
      <c r="R162" s="235">
        <f>IFERROR(Table15[[#This Row],[C_DEMAND]]-Table15[[#This Row],[R-DEMAND]],0)</f>
        <v>0</v>
      </c>
      <c r="S162" s="408">
        <f t="shared" si="2"/>
        <v>0</v>
      </c>
      <c r="T162" s="419">
        <f>Table15[[#This Row],[R-DEMAND]]-(Table15[[#This Row],[ADD ACC]]*1706)</f>
        <v>51</v>
      </c>
      <c r="U162" s="419">
        <f>ROUNDDOWN(Table15[[#This Row],[Column1]]/1360,0)</f>
        <v>0</v>
      </c>
      <c r="V162" s="419"/>
      <c r="W162" s="251">
        <v>8.5</v>
      </c>
      <c r="X162" s="251">
        <f>ROUNDDOWN(Table15[[#This Row],[R-DEMAND]]/1320,0)</f>
        <v>2</v>
      </c>
      <c r="Y162" s="251">
        <f>IFERROR(Table15[[#This Row],[ADD ACC
(660/1320)]]*Table15[[#This Row],[Duration
(B744)]],0)</f>
        <v>17</v>
      </c>
      <c r="Z162" s="251"/>
    </row>
    <row r="163" spans="1:26" ht="15.75" customHeight="1" x14ac:dyDescent="0.25">
      <c r="A163" s="210" t="s">
        <v>15692</v>
      </c>
      <c r="B163" s="204" t="s">
        <v>4072</v>
      </c>
      <c r="C163" s="204" t="s">
        <v>67</v>
      </c>
      <c r="D163" s="205">
        <v>2</v>
      </c>
      <c r="E163" s="204" t="s">
        <v>14</v>
      </c>
      <c r="F163" s="204" t="str">
        <f>VLOOKUP(E163,Table10[[COUNTRY NAME]:[CONTINENT CODE]],3,FALSE)</f>
        <v>AS</v>
      </c>
      <c r="G163" s="206" t="s">
        <v>12041</v>
      </c>
      <c r="H163" s="207">
        <v>4703</v>
      </c>
      <c r="I163" s="208">
        <v>12.5</v>
      </c>
      <c r="J163" s="345"/>
      <c r="K163" s="345">
        <f>IFERROR(Table15[[#This Row],[ROUTE $]]/Table15[[#This Row],[E - DEMAND]],0)</f>
        <v>0</v>
      </c>
      <c r="L163" s="204"/>
      <c r="M163" s="412">
        <f>IFERROR(VLOOKUP(Table15[[#This Row],[ROUTE]],DEMAND!A:F,5,FALSE),0)</f>
        <v>3441</v>
      </c>
      <c r="N163" s="16">
        <f>IFERROR(VLOOKUP(Table15[[#This Row],[ROUTE]],DEMAND!A:F,6,FALSE),0)</f>
        <v>3441</v>
      </c>
      <c r="O163" s="16">
        <f>IFERROR(ROUNDDOWN(Table15[[#This Row],[R-DEMAND]]/1706,0),0)</f>
        <v>2</v>
      </c>
      <c r="P163" s="16">
        <f>IFERROR(Table15[[#This Row],[ADD ACC]]*Table15[[#This Row],[RT TIME 
(380-800)]],0)</f>
        <v>25</v>
      </c>
      <c r="Q163" s="415">
        <f>IFERROR(VLOOKUP(Table15[[#This Row],[ROUTE]],PRICING!A:B,2,FALSE),0)</f>
        <v>0</v>
      </c>
      <c r="R163" s="235">
        <f>IFERROR(Table15[[#This Row],[C_DEMAND]]-Table15[[#This Row],[R-DEMAND]],0)</f>
        <v>0</v>
      </c>
      <c r="S163" s="408">
        <f t="shared" si="2"/>
        <v>0</v>
      </c>
      <c r="T163" s="419">
        <f>Table15[[#This Row],[R-DEMAND]]-(Table15[[#This Row],[ADD ACC]]*1706)</f>
        <v>29</v>
      </c>
      <c r="U163" s="419">
        <f>ROUNDDOWN(Table15[[#This Row],[Column1]]/1360,0)</f>
        <v>0</v>
      </c>
      <c r="V163" s="419"/>
      <c r="W163" s="251">
        <v>12.5</v>
      </c>
      <c r="X163" s="251">
        <f>ROUNDDOWN(Table15[[#This Row],[R-DEMAND]]/1320,0)</f>
        <v>2</v>
      </c>
      <c r="Y163" s="251">
        <f>IFERROR(Table15[[#This Row],[ADD ACC
(660/1320)]]*Table15[[#This Row],[Duration
(B744)]],0)</f>
        <v>25</v>
      </c>
      <c r="Z163" s="251"/>
    </row>
    <row r="164" spans="1:26" ht="15.75" customHeight="1" x14ac:dyDescent="0.25">
      <c r="A164" s="210" t="s">
        <v>15810</v>
      </c>
      <c r="B164" s="204" t="s">
        <v>1463</v>
      </c>
      <c r="C164" s="204" t="s">
        <v>67</v>
      </c>
      <c r="D164" s="205">
        <v>1</v>
      </c>
      <c r="E164" s="204" t="s">
        <v>14</v>
      </c>
      <c r="F164" s="204" t="str">
        <f>VLOOKUP(E164,Table10[[COUNTRY NAME]:[CONTINENT CODE]],3,FALSE)</f>
        <v>AS</v>
      </c>
      <c r="G164" s="206" t="s">
        <v>12043</v>
      </c>
      <c r="H164" s="207">
        <v>3675</v>
      </c>
      <c r="I164" s="208">
        <v>10.25</v>
      </c>
      <c r="J164" s="345"/>
      <c r="K164" s="345">
        <f>IFERROR(Table15[[#This Row],[ROUTE $]]/Table15[[#This Row],[E - DEMAND]],0)</f>
        <v>0</v>
      </c>
      <c r="L164" s="204"/>
      <c r="M164" s="412">
        <f>IFERROR(VLOOKUP(Table15[[#This Row],[ROUTE]],DEMAND!A:F,5,FALSE),0)</f>
        <v>3432</v>
      </c>
      <c r="N164" s="16">
        <f>IFERROR(VLOOKUP(Table15[[#This Row],[ROUTE]],DEMAND!A:F,6,FALSE),0)</f>
        <v>3432</v>
      </c>
      <c r="O164" s="16">
        <f>IFERROR(ROUNDDOWN(Table15[[#This Row],[R-DEMAND]]/1706,0),0)</f>
        <v>2</v>
      </c>
      <c r="P164" s="16">
        <f>IFERROR(Table15[[#This Row],[ADD ACC]]*Table15[[#This Row],[RT TIME 
(380-800)]],0)</f>
        <v>20.5</v>
      </c>
      <c r="Q164" s="415">
        <f>IFERROR(VLOOKUP(Table15[[#This Row],[ROUTE]],PRICING!A:B,2,FALSE),0)</f>
        <v>0</v>
      </c>
      <c r="R164" s="235">
        <f>IFERROR(Table15[[#This Row],[C_DEMAND]]-Table15[[#This Row],[R-DEMAND]],0)</f>
        <v>0</v>
      </c>
      <c r="S164" s="408">
        <f t="shared" si="2"/>
        <v>0</v>
      </c>
      <c r="T164" s="419">
        <f>Table15[[#This Row],[R-DEMAND]]-(Table15[[#This Row],[ADD ACC]]*1706)</f>
        <v>20</v>
      </c>
      <c r="U164" s="419">
        <f>ROUNDDOWN(Table15[[#This Row],[Column1]]/1360,0)</f>
        <v>0</v>
      </c>
      <c r="V164" s="419"/>
      <c r="W164" s="251">
        <v>10.25</v>
      </c>
      <c r="X164" s="251">
        <f>ROUNDDOWN(Table15[[#This Row],[R-DEMAND]]/1320,0)</f>
        <v>2</v>
      </c>
      <c r="Y164" s="251">
        <f>IFERROR(Table15[[#This Row],[ADD ACC
(660/1320)]]*Table15[[#This Row],[Duration
(B744)]],0)</f>
        <v>20.5</v>
      </c>
      <c r="Z164" s="251"/>
    </row>
    <row r="165" spans="1:26" ht="15.75" customHeight="1" x14ac:dyDescent="0.25">
      <c r="A165" s="210" t="s">
        <v>15248</v>
      </c>
      <c r="B165" s="204" t="s">
        <v>5606</v>
      </c>
      <c r="C165" s="204" t="s">
        <v>67</v>
      </c>
      <c r="D165" s="205">
        <v>4</v>
      </c>
      <c r="E165" s="16" t="s">
        <v>11732</v>
      </c>
      <c r="F165" s="204" t="str">
        <f>VLOOKUP(E165,Table10[[COUNTRY NAME]:[CONTINENT CODE]],3,FALSE)</f>
        <v>NA - US</v>
      </c>
      <c r="G165" s="206" t="s">
        <v>13314</v>
      </c>
      <c r="H165" s="207">
        <v>13354</v>
      </c>
      <c r="I165" s="208">
        <v>31.75</v>
      </c>
      <c r="J165" s="345"/>
      <c r="K165" s="345">
        <f>IFERROR(Table15[[#This Row],[ROUTE $]]/Table15[[#This Row],[E - DEMAND]],0)</f>
        <v>0</v>
      </c>
      <c r="L165" s="204"/>
      <c r="M165" s="412">
        <f>IFERROR(VLOOKUP(Table15[[#This Row],[ROUTE]],DEMAND!A:F,5,FALSE),0)</f>
        <v>3416</v>
      </c>
      <c r="N165" s="16">
        <f>IFERROR(VLOOKUP(Table15[[#This Row],[ROUTE]],DEMAND!A:F,6,FALSE),0)</f>
        <v>3416</v>
      </c>
      <c r="O165" s="16">
        <f>IFERROR(ROUNDDOWN(Table15[[#This Row],[R-DEMAND]]/1706,0),0)</f>
        <v>2</v>
      </c>
      <c r="P165" s="16">
        <f>IFERROR(Table15[[#This Row],[ADD ACC]]*Table15[[#This Row],[RT TIME 
(380-800)]],0)</f>
        <v>63.5</v>
      </c>
      <c r="Q165" s="415">
        <f>IFERROR(VLOOKUP(Table15[[#This Row],[ROUTE]],PRICING!A:B,2,FALSE),0)</f>
        <v>0</v>
      </c>
      <c r="R165" s="235">
        <f>IFERROR(Table15[[#This Row],[C_DEMAND]]-Table15[[#This Row],[R-DEMAND]],0)</f>
        <v>0</v>
      </c>
      <c r="S165" s="408">
        <f t="shared" si="2"/>
        <v>0</v>
      </c>
      <c r="T165" s="419">
        <f>Table15[[#This Row],[R-DEMAND]]-(Table15[[#This Row],[ADD ACC]]*1706)</f>
        <v>4</v>
      </c>
      <c r="U165" s="419">
        <f>ROUNDDOWN(Table15[[#This Row],[Column1]]/1360,0)</f>
        <v>0</v>
      </c>
      <c r="V165" s="419"/>
      <c r="W165" s="251">
        <v>31.75</v>
      </c>
      <c r="X165" s="251">
        <f>ROUNDDOWN(Table15[[#This Row],[R-DEMAND]]/1320,0)</f>
        <v>2</v>
      </c>
      <c r="Y165" s="251">
        <f>IFERROR(Table15[[#This Row],[ADD ACC
(660/1320)]]*Table15[[#This Row],[Duration
(B744)]],0)</f>
        <v>63.5</v>
      </c>
      <c r="Z165" s="251"/>
    </row>
    <row r="166" spans="1:26" ht="15.75" customHeight="1" x14ac:dyDescent="0.25">
      <c r="A166" s="210" t="s">
        <v>15702</v>
      </c>
      <c r="B166" s="204" t="s">
        <v>107</v>
      </c>
      <c r="C166" s="204" t="s">
        <v>67</v>
      </c>
      <c r="D166" s="205">
        <v>2</v>
      </c>
      <c r="E166" s="204" t="s">
        <v>709</v>
      </c>
      <c r="F166" s="204" t="str">
        <f>VLOOKUP(E166,Table10[[COUNTRY NAME]:[CONTINENT CODE]],3,FALSE)</f>
        <v>AS</v>
      </c>
      <c r="G166" s="206" t="s">
        <v>12114</v>
      </c>
      <c r="H166" s="207">
        <v>4648</v>
      </c>
      <c r="I166" s="208">
        <v>12.5</v>
      </c>
      <c r="J166" s="345"/>
      <c r="K166" s="345">
        <f>IFERROR(Table15[[#This Row],[ROUTE $]]/Table15[[#This Row],[E - DEMAND]],0)</f>
        <v>0</v>
      </c>
      <c r="L166" s="204"/>
      <c r="M166" s="412">
        <f>IFERROR(VLOOKUP(Table15[[#This Row],[ROUTE]],DEMAND!A:F,5,FALSE),0)</f>
        <v>3412</v>
      </c>
      <c r="N166" s="16">
        <f>IFERROR(VLOOKUP(Table15[[#This Row],[ROUTE]],DEMAND!A:F,6,FALSE),0)</f>
        <v>3412</v>
      </c>
      <c r="O166" s="16">
        <f>IFERROR(ROUNDDOWN(Table15[[#This Row],[R-DEMAND]]/1706,0),0)</f>
        <v>2</v>
      </c>
      <c r="P166" s="16">
        <f>IFERROR(Table15[[#This Row],[ADD ACC]]*Table15[[#This Row],[RT TIME 
(380-800)]],0)</f>
        <v>25</v>
      </c>
      <c r="Q166" s="415">
        <f>IFERROR(VLOOKUP(Table15[[#This Row],[ROUTE]],PRICING!A:B,2,FALSE),0)</f>
        <v>0</v>
      </c>
      <c r="R166" s="235">
        <f>IFERROR(Table15[[#This Row],[C_DEMAND]]-Table15[[#This Row],[R-DEMAND]],0)</f>
        <v>0</v>
      </c>
      <c r="S166" s="408">
        <f t="shared" si="2"/>
        <v>0</v>
      </c>
      <c r="T166" s="419">
        <f>Table15[[#This Row],[R-DEMAND]]-(Table15[[#This Row],[ADD ACC]]*1706)</f>
        <v>0</v>
      </c>
      <c r="U166" s="419">
        <f>ROUNDDOWN(Table15[[#This Row],[Column1]]/1360,0)</f>
        <v>0</v>
      </c>
      <c r="V166" s="419"/>
      <c r="W166" s="251">
        <v>12.5</v>
      </c>
      <c r="X166" s="251">
        <f>ROUNDDOWN(Table15[[#This Row],[R-DEMAND]]/1320,0)</f>
        <v>2</v>
      </c>
      <c r="Y166" s="251">
        <f>IFERROR(Table15[[#This Row],[ADD ACC
(660/1320)]]*Table15[[#This Row],[Duration
(B744)]],0)</f>
        <v>25</v>
      </c>
      <c r="Z166" s="251"/>
    </row>
    <row r="167" spans="1:26" ht="15.75" customHeight="1" x14ac:dyDescent="0.25">
      <c r="A167" s="210" t="s">
        <v>15315</v>
      </c>
      <c r="B167" s="204" t="s">
        <v>12</v>
      </c>
      <c r="C167" s="204" t="s">
        <v>67</v>
      </c>
      <c r="D167" s="205">
        <v>3</v>
      </c>
      <c r="E167" s="204" t="s">
        <v>514</v>
      </c>
      <c r="F167" s="204" t="str">
        <f>VLOOKUP(E167,Table10[[COUNTRY NAME]:[CONTINENT CODE]],3,FALSE)</f>
        <v>NA</v>
      </c>
      <c r="G167" s="206" t="s">
        <v>13170</v>
      </c>
      <c r="H167" s="207">
        <v>12182</v>
      </c>
      <c r="I167" s="208">
        <v>29</v>
      </c>
      <c r="J167" s="345"/>
      <c r="K167" s="345">
        <f>IFERROR(Table15[[#This Row],[ROUTE $]]/Table15[[#This Row],[E - DEMAND]],0)</f>
        <v>0</v>
      </c>
      <c r="L167" s="204"/>
      <c r="M167" s="412">
        <f>IFERROR(VLOOKUP(Table15[[#This Row],[ROUTE]],DEMAND!A:F,5,FALSE),0)</f>
        <v>3407</v>
      </c>
      <c r="N167" s="16">
        <f>IFERROR(VLOOKUP(Table15[[#This Row],[ROUTE]],DEMAND!A:F,6,FALSE),0)</f>
        <v>3407</v>
      </c>
      <c r="O167" s="16">
        <f>IFERROR(ROUNDDOWN(Table15[[#This Row],[R-DEMAND]]/1706,0),0)</f>
        <v>1</v>
      </c>
      <c r="P167" s="16">
        <f>IFERROR(Table15[[#This Row],[ADD ACC]]*Table15[[#This Row],[RT TIME 
(380-800)]],0)</f>
        <v>29</v>
      </c>
      <c r="Q167" s="415">
        <f>IFERROR(VLOOKUP(Table15[[#This Row],[ROUTE]],PRICING!A:B,2,FALSE),0)</f>
        <v>0</v>
      </c>
      <c r="R167" s="235">
        <f>IFERROR(Table15[[#This Row],[C_DEMAND]]-Table15[[#This Row],[R-DEMAND]],0)</f>
        <v>0</v>
      </c>
      <c r="S167" s="408">
        <f t="shared" si="2"/>
        <v>0</v>
      </c>
      <c r="T167" s="419">
        <f>Table15[[#This Row],[R-DEMAND]]-(Table15[[#This Row],[ADD ACC]]*1706)</f>
        <v>1701</v>
      </c>
      <c r="U167" s="419">
        <f>ROUNDDOWN(Table15[[#This Row],[Column1]]/1360,0)</f>
        <v>1</v>
      </c>
      <c r="V167" s="419"/>
      <c r="W167" s="251">
        <v>29</v>
      </c>
      <c r="X167" s="251">
        <f>ROUNDDOWN(Table15[[#This Row],[R-DEMAND]]/1320,0)</f>
        <v>2</v>
      </c>
      <c r="Y167" s="251">
        <f>IFERROR(Table15[[#This Row],[ADD ACC
(660/1320)]]*Table15[[#This Row],[Duration
(B744)]],0)</f>
        <v>58</v>
      </c>
      <c r="Z167" s="251"/>
    </row>
    <row r="168" spans="1:26" ht="15.75" customHeight="1" x14ac:dyDescent="0.25">
      <c r="A168" s="210" t="s">
        <v>15457</v>
      </c>
      <c r="B168" s="204" t="s">
        <v>4181</v>
      </c>
      <c r="C168" s="204" t="s">
        <v>67</v>
      </c>
      <c r="D168" s="205">
        <v>2</v>
      </c>
      <c r="E168" s="204" t="s">
        <v>78</v>
      </c>
      <c r="F168" s="204" t="str">
        <f>VLOOKUP(E168,Table10[[COUNTRY NAME]:[CONTINENT CODE]],3,FALSE)</f>
        <v>EU</v>
      </c>
      <c r="G168" s="210" t="s">
        <v>11962</v>
      </c>
      <c r="H168" s="207">
        <v>6955</v>
      </c>
      <c r="I168" s="208">
        <v>17.5</v>
      </c>
      <c r="J168" s="345"/>
      <c r="K168" s="345">
        <f>IFERROR(Table15[[#This Row],[ROUTE $]]/Table15[[#This Row],[E - DEMAND]],0)</f>
        <v>0</v>
      </c>
      <c r="L168" s="204"/>
      <c r="M168" s="412">
        <f>IFERROR(VLOOKUP(Table15[[#This Row],[ROUTE]],DEMAND!A:F,5,FALSE),0)</f>
        <v>3404</v>
      </c>
      <c r="N168" s="16">
        <f>IFERROR(VLOOKUP(Table15[[#This Row],[ROUTE]],DEMAND!A:F,6,FALSE),0)</f>
        <v>3404</v>
      </c>
      <c r="O168" s="16">
        <f>IFERROR(ROUNDDOWN(Table15[[#This Row],[R-DEMAND]]/1706,0),0)</f>
        <v>1</v>
      </c>
      <c r="P168" s="16">
        <f>IFERROR(Table15[[#This Row],[ADD ACC]]*Table15[[#This Row],[RT TIME 
(380-800)]],0)</f>
        <v>17.5</v>
      </c>
      <c r="Q168" s="415">
        <f>IFERROR(VLOOKUP(Table15[[#This Row],[ROUTE]],PRICING!A:B,2,FALSE),0)</f>
        <v>0</v>
      </c>
      <c r="R168" s="235">
        <f>IFERROR(Table15[[#This Row],[C_DEMAND]]-Table15[[#This Row],[R-DEMAND]],0)</f>
        <v>0</v>
      </c>
      <c r="S168" s="408">
        <f t="shared" si="2"/>
        <v>0</v>
      </c>
      <c r="T168" s="419">
        <f>Table15[[#This Row],[R-DEMAND]]-(Table15[[#This Row],[ADD ACC]]*1706)</f>
        <v>1698</v>
      </c>
      <c r="U168" s="419">
        <f>ROUNDDOWN(Table15[[#This Row],[Column1]]/1360,0)</f>
        <v>1</v>
      </c>
      <c r="V168" s="419"/>
      <c r="W168" s="251">
        <v>17.5</v>
      </c>
      <c r="X168" s="251">
        <f>ROUNDDOWN(Table15[[#This Row],[R-DEMAND]]/1320,0)</f>
        <v>2</v>
      </c>
      <c r="Y168" s="251">
        <f>IFERROR(Table15[[#This Row],[ADD ACC
(660/1320)]]*Table15[[#This Row],[Duration
(B744)]],0)</f>
        <v>35</v>
      </c>
      <c r="Z168" s="251"/>
    </row>
    <row r="169" spans="1:26" ht="15.75" customHeight="1" x14ac:dyDescent="0.25">
      <c r="A169" s="210" t="s">
        <v>15718</v>
      </c>
      <c r="B169" s="204" t="s">
        <v>2313</v>
      </c>
      <c r="C169" s="204" t="s">
        <v>67</v>
      </c>
      <c r="D169" s="205">
        <v>1</v>
      </c>
      <c r="E169" s="204" t="s">
        <v>14</v>
      </c>
      <c r="F169" s="204" t="str">
        <f>VLOOKUP(E169,Table10[[COUNTRY NAME]:[CONTINENT CODE]],3,FALSE)</f>
        <v>AS</v>
      </c>
      <c r="G169" s="206" t="s">
        <v>12060</v>
      </c>
      <c r="H169" s="207">
        <v>4476</v>
      </c>
      <c r="I169" s="208">
        <v>12</v>
      </c>
      <c r="J169" s="345"/>
      <c r="K169" s="345">
        <f>IFERROR(Table15[[#This Row],[ROUTE $]]/Table15[[#This Row],[E - DEMAND]],0)</f>
        <v>0</v>
      </c>
      <c r="L169" s="204"/>
      <c r="M169" s="412">
        <f>IFERROR(VLOOKUP(Table15[[#This Row],[ROUTE]],DEMAND!A:F,5,FALSE),0)</f>
        <v>3399</v>
      </c>
      <c r="N169" s="16">
        <f>IFERROR(VLOOKUP(Table15[[#This Row],[ROUTE]],DEMAND!A:F,6,FALSE),0)</f>
        <v>3399</v>
      </c>
      <c r="O169" s="16">
        <f>IFERROR(ROUNDDOWN(Table15[[#This Row],[R-DEMAND]]/1706,0),0)</f>
        <v>1</v>
      </c>
      <c r="P169" s="16">
        <f>IFERROR(Table15[[#This Row],[ADD ACC]]*Table15[[#This Row],[RT TIME 
(380-800)]],0)</f>
        <v>12</v>
      </c>
      <c r="Q169" s="415">
        <f>IFERROR(VLOOKUP(Table15[[#This Row],[ROUTE]],PRICING!A:B,2,FALSE),0)</f>
        <v>0</v>
      </c>
      <c r="R169" s="235">
        <f>IFERROR(Table15[[#This Row],[C_DEMAND]]-Table15[[#This Row],[R-DEMAND]],0)</f>
        <v>0</v>
      </c>
      <c r="S169" s="408">
        <f t="shared" si="2"/>
        <v>0</v>
      </c>
      <c r="T169" s="419">
        <f>Table15[[#This Row],[R-DEMAND]]-(Table15[[#This Row],[ADD ACC]]*1706)</f>
        <v>1693</v>
      </c>
      <c r="U169" s="419">
        <f>ROUNDDOWN(Table15[[#This Row],[Column1]]/1360,0)</f>
        <v>1</v>
      </c>
      <c r="V169" s="419"/>
      <c r="W169" s="251">
        <v>12</v>
      </c>
      <c r="X169" s="251">
        <f>ROUNDDOWN(Table15[[#This Row],[R-DEMAND]]/1320,0)</f>
        <v>2</v>
      </c>
      <c r="Y169" s="251">
        <f>IFERROR(Table15[[#This Row],[ADD ACC
(660/1320)]]*Table15[[#This Row],[Duration
(B744)]],0)</f>
        <v>24</v>
      </c>
      <c r="Z169" s="251"/>
    </row>
    <row r="170" spans="1:26" ht="15.75" customHeight="1" x14ac:dyDescent="0.25">
      <c r="A170" s="210" t="s">
        <v>15673</v>
      </c>
      <c r="B170" s="204" t="s">
        <v>4118</v>
      </c>
      <c r="C170" s="204" t="s">
        <v>67</v>
      </c>
      <c r="D170" s="205">
        <v>2</v>
      </c>
      <c r="E170" s="204" t="s">
        <v>14</v>
      </c>
      <c r="F170" s="204" t="str">
        <f>VLOOKUP(E170,Table10[[COUNTRY NAME]:[CONTINENT CODE]],3,FALSE)</f>
        <v>AS</v>
      </c>
      <c r="G170" s="206" t="s">
        <v>12044</v>
      </c>
      <c r="H170" s="207">
        <v>4879</v>
      </c>
      <c r="I170" s="208">
        <v>13</v>
      </c>
      <c r="J170" s="345"/>
      <c r="K170" s="345">
        <f>IFERROR(Table15[[#This Row],[ROUTE $]]/Table15[[#This Row],[E - DEMAND]],0)</f>
        <v>0</v>
      </c>
      <c r="L170" s="204"/>
      <c r="M170" s="412">
        <f>IFERROR(VLOOKUP(Table15[[#This Row],[ROUTE]],DEMAND!A:F,5,FALSE),0)</f>
        <v>3396</v>
      </c>
      <c r="N170" s="16">
        <f>IFERROR(VLOOKUP(Table15[[#This Row],[ROUTE]],DEMAND!A:F,6,FALSE),0)</f>
        <v>3396</v>
      </c>
      <c r="O170" s="16">
        <f>IFERROR(ROUNDDOWN(Table15[[#This Row],[R-DEMAND]]/1706,0),0)</f>
        <v>1</v>
      </c>
      <c r="P170" s="16">
        <f>IFERROR(Table15[[#This Row],[ADD ACC]]*Table15[[#This Row],[RT TIME 
(380-800)]],0)</f>
        <v>13</v>
      </c>
      <c r="Q170" s="415">
        <f>IFERROR(VLOOKUP(Table15[[#This Row],[ROUTE]],PRICING!A:B,2,FALSE),0)</f>
        <v>0</v>
      </c>
      <c r="R170" s="235">
        <f>IFERROR(Table15[[#This Row],[C_DEMAND]]-Table15[[#This Row],[R-DEMAND]],0)</f>
        <v>0</v>
      </c>
      <c r="S170" s="408">
        <f t="shared" si="2"/>
        <v>0</v>
      </c>
      <c r="T170" s="419">
        <f>Table15[[#This Row],[R-DEMAND]]-(Table15[[#This Row],[ADD ACC]]*1706)</f>
        <v>1690</v>
      </c>
      <c r="U170" s="419">
        <f>ROUNDDOWN(Table15[[#This Row],[Column1]]/1360,0)</f>
        <v>1</v>
      </c>
      <c r="V170" s="419"/>
      <c r="W170" s="251">
        <v>13</v>
      </c>
      <c r="X170" s="251">
        <f>ROUNDDOWN(Table15[[#This Row],[R-DEMAND]]/1320,0)</f>
        <v>2</v>
      </c>
      <c r="Y170" s="251">
        <f>IFERROR(Table15[[#This Row],[ADD ACC
(660/1320)]]*Table15[[#This Row],[Duration
(B744)]],0)</f>
        <v>26</v>
      </c>
      <c r="Z170" s="251"/>
    </row>
    <row r="171" spans="1:26" ht="15.75" customHeight="1" x14ac:dyDescent="0.25">
      <c r="A171" s="210" t="s">
        <v>15493</v>
      </c>
      <c r="B171" s="204" t="s">
        <v>5587</v>
      </c>
      <c r="C171" s="204" t="s">
        <v>67</v>
      </c>
      <c r="D171" s="205">
        <v>4</v>
      </c>
      <c r="E171" s="204" t="s">
        <v>1427</v>
      </c>
      <c r="F171" s="204" t="str">
        <f>VLOOKUP(E171,Table10[[COUNTRY NAME]:[CONTINENT CODE]],3,FALSE)</f>
        <v>EU</v>
      </c>
      <c r="G171" s="210" t="s">
        <v>11099</v>
      </c>
      <c r="H171" s="207">
        <v>6681</v>
      </c>
      <c r="I171" s="208">
        <v>17</v>
      </c>
      <c r="J171" s="345"/>
      <c r="K171" s="345">
        <f>IFERROR(Table15[[#This Row],[ROUTE $]]/Table15[[#This Row],[E - DEMAND]],0)</f>
        <v>0</v>
      </c>
      <c r="L171" s="204"/>
      <c r="M171" s="412">
        <f>IFERROR(VLOOKUP(Table15[[#This Row],[ROUTE]],DEMAND!A:F,5,FALSE),0)</f>
        <v>3395</v>
      </c>
      <c r="N171" s="16">
        <f>IFERROR(VLOOKUP(Table15[[#This Row],[ROUTE]],DEMAND!A:F,6,FALSE),0)</f>
        <v>3395</v>
      </c>
      <c r="O171" s="16">
        <f>IFERROR(ROUNDDOWN(Table15[[#This Row],[R-DEMAND]]/1706,0),0)</f>
        <v>1</v>
      </c>
      <c r="P171" s="16">
        <f>IFERROR(Table15[[#This Row],[ADD ACC]]*Table15[[#This Row],[RT TIME 
(380-800)]],0)</f>
        <v>17</v>
      </c>
      <c r="Q171" s="415">
        <f>IFERROR(VLOOKUP(Table15[[#This Row],[ROUTE]],PRICING!A:B,2,FALSE),0)</f>
        <v>0</v>
      </c>
      <c r="R171" s="235">
        <f>IFERROR(Table15[[#This Row],[C_DEMAND]]-Table15[[#This Row],[R-DEMAND]],0)</f>
        <v>0</v>
      </c>
      <c r="S171" s="408">
        <f t="shared" si="2"/>
        <v>0</v>
      </c>
      <c r="T171" s="419">
        <f>Table15[[#This Row],[R-DEMAND]]-(Table15[[#This Row],[ADD ACC]]*1706)</f>
        <v>1689</v>
      </c>
      <c r="U171" s="419">
        <f>ROUNDDOWN(Table15[[#This Row],[Column1]]/1360,0)</f>
        <v>1</v>
      </c>
      <c r="V171" s="419"/>
      <c r="W171" s="251">
        <v>17</v>
      </c>
      <c r="X171" s="251">
        <f>ROUNDDOWN(Table15[[#This Row],[R-DEMAND]]/1320,0)</f>
        <v>2</v>
      </c>
      <c r="Y171" s="251">
        <f>IFERROR(Table15[[#This Row],[ADD ACC
(660/1320)]]*Table15[[#This Row],[Duration
(B744)]],0)</f>
        <v>34</v>
      </c>
      <c r="Z171" s="251"/>
    </row>
    <row r="172" spans="1:26" ht="15.75" customHeight="1" x14ac:dyDescent="0.25">
      <c r="A172" s="210" t="s">
        <v>15759</v>
      </c>
      <c r="B172" s="204" t="s">
        <v>2618</v>
      </c>
      <c r="C172" s="204" t="s">
        <v>67</v>
      </c>
      <c r="D172" s="205">
        <v>2</v>
      </c>
      <c r="E172" s="204" t="s">
        <v>14</v>
      </c>
      <c r="F172" s="204" t="str">
        <f>VLOOKUP(E172,Table10[[COUNTRY NAME]:[CONTINENT CODE]],3,FALSE)</f>
        <v>AS</v>
      </c>
      <c r="G172" s="206" t="s">
        <v>12036</v>
      </c>
      <c r="H172" s="207">
        <v>4066</v>
      </c>
      <c r="I172" s="208">
        <v>11.25</v>
      </c>
      <c r="J172" s="345"/>
      <c r="K172" s="345">
        <f>IFERROR(Table15[[#This Row],[ROUTE $]]/Table15[[#This Row],[E - DEMAND]],0)</f>
        <v>0</v>
      </c>
      <c r="L172" s="204"/>
      <c r="M172" s="412">
        <f>IFERROR(VLOOKUP(Table15[[#This Row],[ROUTE]],DEMAND!A:F,5,FALSE),0)</f>
        <v>3374</v>
      </c>
      <c r="N172" s="16">
        <f>IFERROR(VLOOKUP(Table15[[#This Row],[ROUTE]],DEMAND!A:F,6,FALSE),0)</f>
        <v>3374</v>
      </c>
      <c r="O172" s="16">
        <f>IFERROR(ROUNDDOWN(Table15[[#This Row],[R-DEMAND]]/1706,0),0)</f>
        <v>1</v>
      </c>
      <c r="P172" s="16">
        <f>IFERROR(Table15[[#This Row],[ADD ACC]]*Table15[[#This Row],[RT TIME 
(380-800)]],0)</f>
        <v>11.25</v>
      </c>
      <c r="Q172" s="415">
        <f>IFERROR(VLOOKUP(Table15[[#This Row],[ROUTE]],PRICING!A:B,2,FALSE),0)</f>
        <v>0</v>
      </c>
      <c r="R172" s="235">
        <f>IFERROR(Table15[[#This Row],[C_DEMAND]]-Table15[[#This Row],[R-DEMAND]],0)</f>
        <v>0</v>
      </c>
      <c r="S172" s="408">
        <f t="shared" si="2"/>
        <v>0</v>
      </c>
      <c r="T172" s="419">
        <f>Table15[[#This Row],[R-DEMAND]]-(Table15[[#This Row],[ADD ACC]]*1706)</f>
        <v>1668</v>
      </c>
      <c r="U172" s="419">
        <f>ROUNDDOWN(Table15[[#This Row],[Column1]]/1360,0)</f>
        <v>1</v>
      </c>
      <c r="V172" s="419"/>
      <c r="W172" s="251">
        <v>11.25</v>
      </c>
      <c r="X172" s="251">
        <f>ROUNDDOWN(Table15[[#This Row],[R-DEMAND]]/1320,0)</f>
        <v>2</v>
      </c>
      <c r="Y172" s="251">
        <f>IFERROR(Table15[[#This Row],[ADD ACC
(660/1320)]]*Table15[[#This Row],[Duration
(B744)]],0)</f>
        <v>22.5</v>
      </c>
      <c r="Z172" s="251"/>
    </row>
    <row r="173" spans="1:26" ht="15.75" customHeight="1" x14ac:dyDescent="0.25">
      <c r="A173" s="210" t="s">
        <v>15308</v>
      </c>
      <c r="B173" s="204" t="s">
        <v>5240</v>
      </c>
      <c r="C173" s="204" t="s">
        <v>67</v>
      </c>
      <c r="D173" s="205">
        <v>3</v>
      </c>
      <c r="E173" s="204" t="s">
        <v>514</v>
      </c>
      <c r="F173" s="204" t="str">
        <f>VLOOKUP(E173,Table10[[COUNTRY NAME]:[CONTINENT CODE]],3,FALSE)</f>
        <v>NA</v>
      </c>
      <c r="G173" s="206" t="s">
        <v>13166</v>
      </c>
      <c r="H173" s="207">
        <v>12284</v>
      </c>
      <c r="I173" s="208">
        <v>29.25</v>
      </c>
      <c r="J173" s="345"/>
      <c r="K173" s="345">
        <f>IFERROR(Table15[[#This Row],[ROUTE $]]/Table15[[#This Row],[E - DEMAND]],0)</f>
        <v>0</v>
      </c>
      <c r="L173" s="204"/>
      <c r="M173" s="412">
        <f>IFERROR(VLOOKUP(Table15[[#This Row],[ROUTE]],DEMAND!A:F,5,FALSE),0)</f>
        <v>3373</v>
      </c>
      <c r="N173" s="16">
        <f>IFERROR(VLOOKUP(Table15[[#This Row],[ROUTE]],DEMAND!A:F,6,FALSE),0)</f>
        <v>3373</v>
      </c>
      <c r="O173" s="16">
        <f>IFERROR(ROUNDDOWN(Table15[[#This Row],[R-DEMAND]]/1706,0),0)</f>
        <v>1</v>
      </c>
      <c r="P173" s="16">
        <f>IFERROR(Table15[[#This Row],[ADD ACC]]*Table15[[#This Row],[RT TIME 
(380-800)]],0)</f>
        <v>29.25</v>
      </c>
      <c r="Q173" s="415">
        <f>IFERROR(VLOOKUP(Table15[[#This Row],[ROUTE]],PRICING!A:B,2,FALSE),0)</f>
        <v>0</v>
      </c>
      <c r="R173" s="235">
        <f>IFERROR(Table15[[#This Row],[C_DEMAND]]-Table15[[#This Row],[R-DEMAND]],0)</f>
        <v>0</v>
      </c>
      <c r="S173" s="408">
        <f t="shared" si="2"/>
        <v>0</v>
      </c>
      <c r="T173" s="419">
        <f>Table15[[#This Row],[R-DEMAND]]-(Table15[[#This Row],[ADD ACC]]*1706)</f>
        <v>1667</v>
      </c>
      <c r="U173" s="419">
        <f>ROUNDDOWN(Table15[[#This Row],[Column1]]/1360,0)</f>
        <v>1</v>
      </c>
      <c r="V173" s="419"/>
      <c r="W173" s="251">
        <v>29.25</v>
      </c>
      <c r="X173" s="251">
        <f>ROUNDDOWN(Table15[[#This Row],[R-DEMAND]]/1320,0)</f>
        <v>2</v>
      </c>
      <c r="Y173" s="251">
        <f>IFERROR(Table15[[#This Row],[ADD ACC
(660/1320)]]*Table15[[#This Row],[Duration
(B744)]],0)</f>
        <v>58.5</v>
      </c>
      <c r="Z173" s="251"/>
    </row>
    <row r="174" spans="1:26" ht="15.75" customHeight="1" x14ac:dyDescent="0.25">
      <c r="A174" s="210" t="s">
        <v>15516</v>
      </c>
      <c r="B174" s="204" t="s">
        <v>288</v>
      </c>
      <c r="C174" s="204" t="s">
        <v>67</v>
      </c>
      <c r="D174" s="205">
        <v>4</v>
      </c>
      <c r="E174" s="204" t="s">
        <v>1427</v>
      </c>
      <c r="F174" s="204" t="str">
        <f>VLOOKUP(E174,Table10[[COUNTRY NAME]:[CONTINENT CODE]],3,FALSE)</f>
        <v>EU</v>
      </c>
      <c r="G174" s="210" t="s">
        <v>11083</v>
      </c>
      <c r="H174" s="207">
        <v>6534</v>
      </c>
      <c r="I174" s="208">
        <v>16.5</v>
      </c>
      <c r="J174" s="345"/>
      <c r="K174" s="345">
        <f>IFERROR(Table15[[#This Row],[ROUTE $]]/Table15[[#This Row],[E - DEMAND]],0)</f>
        <v>0</v>
      </c>
      <c r="L174" s="204"/>
      <c r="M174" s="412">
        <f>IFERROR(VLOOKUP(Table15[[#This Row],[ROUTE]],DEMAND!A:F,5,FALSE),0)</f>
        <v>3367</v>
      </c>
      <c r="N174" s="16">
        <f>IFERROR(VLOOKUP(Table15[[#This Row],[ROUTE]],DEMAND!A:F,6,FALSE),0)</f>
        <v>3367</v>
      </c>
      <c r="O174" s="16">
        <f>IFERROR(ROUNDDOWN(Table15[[#This Row],[R-DEMAND]]/1706,0),0)</f>
        <v>1</v>
      </c>
      <c r="P174" s="16">
        <f>IFERROR(Table15[[#This Row],[ADD ACC]]*Table15[[#This Row],[RT TIME 
(380-800)]],0)</f>
        <v>16.5</v>
      </c>
      <c r="Q174" s="415">
        <f>IFERROR(VLOOKUP(Table15[[#This Row],[ROUTE]],PRICING!A:B,2,FALSE),0)</f>
        <v>0</v>
      </c>
      <c r="R174" s="235">
        <f>IFERROR(Table15[[#This Row],[C_DEMAND]]-Table15[[#This Row],[R-DEMAND]],0)</f>
        <v>0</v>
      </c>
      <c r="S174" s="408">
        <f t="shared" si="2"/>
        <v>0</v>
      </c>
      <c r="T174" s="419">
        <f>Table15[[#This Row],[R-DEMAND]]-(Table15[[#This Row],[ADD ACC]]*1706)</f>
        <v>1661</v>
      </c>
      <c r="U174" s="419">
        <f>ROUNDDOWN(Table15[[#This Row],[Column1]]/1360,0)</f>
        <v>1</v>
      </c>
      <c r="V174" s="419"/>
      <c r="W174" s="251">
        <v>16.5</v>
      </c>
      <c r="X174" s="251">
        <f>ROUNDDOWN(Table15[[#This Row],[R-DEMAND]]/1320,0)</f>
        <v>2</v>
      </c>
      <c r="Y174" s="251">
        <f>IFERROR(Table15[[#This Row],[ADD ACC
(660/1320)]]*Table15[[#This Row],[Duration
(B744)]],0)</f>
        <v>33</v>
      </c>
      <c r="Z174" s="251"/>
    </row>
    <row r="175" spans="1:26" ht="15.75" customHeight="1" x14ac:dyDescent="0.25">
      <c r="A175" s="210" t="s">
        <v>15243</v>
      </c>
      <c r="B175" s="204" t="s">
        <v>5574</v>
      </c>
      <c r="C175" s="204" t="s">
        <v>67</v>
      </c>
      <c r="D175" s="205">
        <v>4</v>
      </c>
      <c r="E175" s="16" t="s">
        <v>11732</v>
      </c>
      <c r="F175" s="204" t="str">
        <f>VLOOKUP(E175,Table10[[COUNTRY NAME]:[CONTINENT CODE]],3,FALSE)</f>
        <v>NA - US</v>
      </c>
      <c r="G175" s="206" t="s">
        <v>13303</v>
      </c>
      <c r="H175" s="207">
        <v>13399</v>
      </c>
      <c r="I175" s="208">
        <v>31.75</v>
      </c>
      <c r="J175" s="345"/>
      <c r="K175" s="345">
        <f>IFERROR(Table15[[#This Row],[ROUTE $]]/Table15[[#This Row],[E - DEMAND]],0)</f>
        <v>0</v>
      </c>
      <c r="L175" s="204"/>
      <c r="M175" s="412">
        <f>IFERROR(VLOOKUP(Table15[[#This Row],[ROUTE]],DEMAND!A:F,5,FALSE),0)</f>
        <v>3366</v>
      </c>
      <c r="N175" s="16">
        <f>IFERROR(VLOOKUP(Table15[[#This Row],[ROUTE]],DEMAND!A:F,6,FALSE),0)</f>
        <v>3366</v>
      </c>
      <c r="O175" s="16">
        <f>IFERROR(ROUNDDOWN(Table15[[#This Row],[R-DEMAND]]/1706,0),0)</f>
        <v>1</v>
      </c>
      <c r="P175" s="16">
        <f>IFERROR(Table15[[#This Row],[ADD ACC]]*Table15[[#This Row],[RT TIME 
(380-800)]],0)</f>
        <v>31.75</v>
      </c>
      <c r="Q175" s="415">
        <f>IFERROR(VLOOKUP(Table15[[#This Row],[ROUTE]],PRICING!A:B,2,FALSE),0)</f>
        <v>0</v>
      </c>
      <c r="R175" s="235">
        <f>IFERROR(Table15[[#This Row],[C_DEMAND]]-Table15[[#This Row],[R-DEMAND]],0)</f>
        <v>0</v>
      </c>
      <c r="S175" s="408">
        <f t="shared" si="2"/>
        <v>0</v>
      </c>
      <c r="T175" s="419">
        <f>Table15[[#This Row],[R-DEMAND]]-(Table15[[#This Row],[ADD ACC]]*1706)</f>
        <v>1660</v>
      </c>
      <c r="U175" s="419">
        <f>ROUNDDOWN(Table15[[#This Row],[Column1]]/1360,0)</f>
        <v>1</v>
      </c>
      <c r="V175" s="419"/>
      <c r="W175" s="251">
        <v>31.75</v>
      </c>
      <c r="X175" s="251">
        <f>ROUNDDOWN(Table15[[#This Row],[R-DEMAND]]/1320,0)</f>
        <v>2</v>
      </c>
      <c r="Y175" s="251">
        <f>IFERROR(Table15[[#This Row],[ADD ACC
(660/1320)]]*Table15[[#This Row],[Duration
(B744)]],0)</f>
        <v>63.5</v>
      </c>
      <c r="Z175" s="251"/>
    </row>
    <row r="176" spans="1:26" ht="15.75" customHeight="1" x14ac:dyDescent="0.25">
      <c r="A176" s="210" t="s">
        <v>15777</v>
      </c>
      <c r="B176" s="204" t="s">
        <v>390</v>
      </c>
      <c r="C176" s="204" t="s">
        <v>67</v>
      </c>
      <c r="D176" s="205">
        <v>1</v>
      </c>
      <c r="E176" s="204" t="s">
        <v>533</v>
      </c>
      <c r="F176" s="204" t="str">
        <f>VLOOKUP(E176,Table10[[COUNTRY NAME]:[CONTINENT CODE]],3,FALSE)</f>
        <v>AS</v>
      </c>
      <c r="G176" s="206" t="s">
        <v>12004</v>
      </c>
      <c r="H176" s="207">
        <v>3942</v>
      </c>
      <c r="I176" s="208">
        <v>10.75</v>
      </c>
      <c r="J176" s="345"/>
      <c r="K176" s="345">
        <f>IFERROR(Table15[[#This Row],[ROUTE $]]/Table15[[#This Row],[E - DEMAND]],0)</f>
        <v>0</v>
      </c>
      <c r="L176" s="204"/>
      <c r="M176" s="412">
        <f>IFERROR(VLOOKUP(Table15[[#This Row],[ROUTE]],DEMAND!A:F,5,FALSE),0)</f>
        <v>3353</v>
      </c>
      <c r="N176" s="16">
        <f>IFERROR(VLOOKUP(Table15[[#This Row],[ROUTE]],DEMAND!A:F,6,FALSE),0)</f>
        <v>3353</v>
      </c>
      <c r="O176" s="16">
        <f>IFERROR(ROUNDDOWN(Table15[[#This Row],[R-DEMAND]]/1706,0),0)</f>
        <v>1</v>
      </c>
      <c r="P176" s="16">
        <f>IFERROR(Table15[[#This Row],[ADD ACC]]*Table15[[#This Row],[RT TIME 
(380-800)]],0)</f>
        <v>10.75</v>
      </c>
      <c r="Q176" s="415">
        <f>IFERROR(VLOOKUP(Table15[[#This Row],[ROUTE]],PRICING!A:B,2,FALSE),0)</f>
        <v>0</v>
      </c>
      <c r="R176" s="235">
        <f>IFERROR(Table15[[#This Row],[C_DEMAND]]-Table15[[#This Row],[R-DEMAND]],0)</f>
        <v>0</v>
      </c>
      <c r="S176" s="408">
        <f t="shared" si="2"/>
        <v>0</v>
      </c>
      <c r="T176" s="419">
        <f>Table15[[#This Row],[R-DEMAND]]-(Table15[[#This Row],[ADD ACC]]*1706)</f>
        <v>1647</v>
      </c>
      <c r="U176" s="419">
        <f>ROUNDDOWN(Table15[[#This Row],[Column1]]/1360,0)</f>
        <v>1</v>
      </c>
      <c r="V176" s="419"/>
      <c r="W176" s="251">
        <v>10.75</v>
      </c>
      <c r="X176" s="251">
        <f>ROUNDDOWN(Table15[[#This Row],[R-DEMAND]]/1320,0)</f>
        <v>2</v>
      </c>
      <c r="Y176" s="251">
        <f>IFERROR(Table15[[#This Row],[ADD ACC
(660/1320)]]*Table15[[#This Row],[Duration
(B744)]],0)</f>
        <v>21.5</v>
      </c>
      <c r="Z176" s="251"/>
    </row>
    <row r="177" spans="1:26" ht="15.75" customHeight="1" x14ac:dyDescent="0.25">
      <c r="A177" s="210" t="s">
        <v>15385</v>
      </c>
      <c r="B177" s="204" t="s">
        <v>1851</v>
      </c>
      <c r="C177" s="204" t="s">
        <v>67</v>
      </c>
      <c r="D177" s="205">
        <v>1</v>
      </c>
      <c r="E177" s="204" t="s">
        <v>926</v>
      </c>
      <c r="F177" s="204" t="str">
        <f>VLOOKUP(E177,Table10[[COUNTRY NAME]:[CONTINENT CODE]],3,FALSE)</f>
        <v>AF</v>
      </c>
      <c r="G177" s="206" t="s">
        <v>6801</v>
      </c>
      <c r="H177" s="207">
        <v>7658</v>
      </c>
      <c r="I177" s="208">
        <v>19</v>
      </c>
      <c r="J177" s="345"/>
      <c r="K177" s="345">
        <f>IFERROR(Table15[[#This Row],[ROUTE $]]/Table15[[#This Row],[E - DEMAND]],0)</f>
        <v>0</v>
      </c>
      <c r="L177" s="204"/>
      <c r="M177" s="412">
        <f>IFERROR(VLOOKUP(Table15[[#This Row],[ROUTE]],DEMAND!A:F,5,FALSE),0)</f>
        <v>3344</v>
      </c>
      <c r="N177" s="16">
        <f>IFERROR(VLOOKUP(Table15[[#This Row],[ROUTE]],DEMAND!A:F,6,FALSE),0)</f>
        <v>3344</v>
      </c>
      <c r="O177" s="16">
        <f>IFERROR(ROUNDDOWN(Table15[[#This Row],[R-DEMAND]]/1706,0),0)</f>
        <v>1</v>
      </c>
      <c r="P177" s="16">
        <f>IFERROR(Table15[[#This Row],[ADD ACC]]*Table15[[#This Row],[RT TIME 
(380-800)]],0)</f>
        <v>19</v>
      </c>
      <c r="Q177" s="415">
        <f>IFERROR(VLOOKUP(Table15[[#This Row],[ROUTE]],PRICING!A:B,2,FALSE),0)</f>
        <v>0</v>
      </c>
      <c r="R177" s="235">
        <f>IFERROR(Table15[[#This Row],[C_DEMAND]]-Table15[[#This Row],[R-DEMAND]],0)</f>
        <v>0</v>
      </c>
      <c r="S177" s="408">
        <f t="shared" si="2"/>
        <v>0</v>
      </c>
      <c r="T177" s="419">
        <f>Table15[[#This Row],[R-DEMAND]]-(Table15[[#This Row],[ADD ACC]]*1706)</f>
        <v>1638</v>
      </c>
      <c r="U177" s="419">
        <f>ROUNDDOWN(Table15[[#This Row],[Column1]]/1360,0)</f>
        <v>1</v>
      </c>
      <c r="V177" s="419"/>
      <c r="W177" s="251">
        <v>19</v>
      </c>
      <c r="X177" s="251">
        <f>ROUNDDOWN(Table15[[#This Row],[R-DEMAND]]/1320,0)</f>
        <v>2</v>
      </c>
      <c r="Y177" s="251">
        <f>IFERROR(Table15[[#This Row],[ADD ACC
(660/1320)]]*Table15[[#This Row],[Duration
(B744)]],0)</f>
        <v>38</v>
      </c>
      <c r="Z177" s="251"/>
    </row>
    <row r="178" spans="1:26" ht="15.75" customHeight="1" x14ac:dyDescent="0.25">
      <c r="A178" s="210" t="s">
        <v>15261</v>
      </c>
      <c r="B178" s="204" t="s">
        <v>5589</v>
      </c>
      <c r="C178" s="204" t="s">
        <v>67</v>
      </c>
      <c r="D178" s="205">
        <v>4</v>
      </c>
      <c r="E178" s="16" t="s">
        <v>11732</v>
      </c>
      <c r="F178" s="204" t="str">
        <f>VLOOKUP(E178,Table10[[COUNTRY NAME]:[CONTINENT CODE]],3,FALSE)</f>
        <v>NA - US</v>
      </c>
      <c r="G178" s="206" t="s">
        <v>13328</v>
      </c>
      <c r="H178" s="207">
        <v>13144</v>
      </c>
      <c r="I178" s="208">
        <v>31.25</v>
      </c>
      <c r="J178" s="345"/>
      <c r="K178" s="345">
        <f>IFERROR(Table15[[#This Row],[ROUTE $]]/Table15[[#This Row],[E - DEMAND]],0)</f>
        <v>0</v>
      </c>
      <c r="L178" s="204"/>
      <c r="M178" s="412">
        <f>IFERROR(VLOOKUP(Table15[[#This Row],[ROUTE]],DEMAND!A:F,5,FALSE),0)</f>
        <v>3322</v>
      </c>
      <c r="N178" s="16">
        <f>IFERROR(VLOOKUP(Table15[[#This Row],[ROUTE]],DEMAND!A:F,6,FALSE),0)</f>
        <v>3322</v>
      </c>
      <c r="O178" s="16">
        <f>IFERROR(ROUNDDOWN(Table15[[#This Row],[R-DEMAND]]/1706,0),0)</f>
        <v>1</v>
      </c>
      <c r="P178" s="16">
        <f>IFERROR(Table15[[#This Row],[ADD ACC]]*Table15[[#This Row],[RT TIME 
(380-800)]],0)</f>
        <v>31.25</v>
      </c>
      <c r="Q178" s="415">
        <f>IFERROR(VLOOKUP(Table15[[#This Row],[ROUTE]],PRICING!A:B,2,FALSE),0)</f>
        <v>0</v>
      </c>
      <c r="R178" s="235">
        <f>IFERROR(Table15[[#This Row],[C_DEMAND]]-Table15[[#This Row],[R-DEMAND]],0)</f>
        <v>0</v>
      </c>
      <c r="S178" s="408">
        <f t="shared" si="2"/>
        <v>0</v>
      </c>
      <c r="T178" s="419">
        <f>Table15[[#This Row],[R-DEMAND]]-(Table15[[#This Row],[ADD ACC]]*1706)</f>
        <v>1616</v>
      </c>
      <c r="U178" s="419">
        <f>ROUNDDOWN(Table15[[#This Row],[Column1]]/1360,0)</f>
        <v>1</v>
      </c>
      <c r="V178" s="419"/>
      <c r="W178" s="251">
        <v>31.25</v>
      </c>
      <c r="X178" s="251">
        <f>ROUNDDOWN(Table15[[#This Row],[R-DEMAND]]/1320,0)</f>
        <v>2</v>
      </c>
      <c r="Y178" s="251">
        <f>IFERROR(Table15[[#This Row],[ADD ACC
(660/1320)]]*Table15[[#This Row],[Duration
(B744)]],0)</f>
        <v>62.5</v>
      </c>
      <c r="Z178" s="251"/>
    </row>
    <row r="179" spans="1:26" ht="15.75" customHeight="1" x14ac:dyDescent="0.25">
      <c r="A179" s="210" t="s">
        <v>15916</v>
      </c>
      <c r="B179" s="204" t="s">
        <v>3235</v>
      </c>
      <c r="C179" s="204" t="s">
        <v>67</v>
      </c>
      <c r="D179" s="205">
        <v>2</v>
      </c>
      <c r="E179" s="204" t="s">
        <v>14</v>
      </c>
      <c r="F179" s="204" t="str">
        <f>VLOOKUP(E179,Table10[[COUNTRY NAME]:[CONTINENT CODE]],3,FALSE)</f>
        <v>AS</v>
      </c>
      <c r="G179" s="206" t="s">
        <v>9438</v>
      </c>
      <c r="H179" s="207">
        <v>2109</v>
      </c>
      <c r="I179" s="208">
        <v>6.75</v>
      </c>
      <c r="J179" s="345"/>
      <c r="K179" s="345">
        <f>IFERROR(Table15[[#This Row],[ROUTE $]]/Table15[[#This Row],[E - DEMAND]],0)</f>
        <v>0</v>
      </c>
      <c r="L179" s="204"/>
      <c r="M179" s="412">
        <f>IFERROR(VLOOKUP(Table15[[#This Row],[ROUTE]],DEMAND!A:F,5,FALSE),0)</f>
        <v>3321</v>
      </c>
      <c r="N179" s="16">
        <f>IFERROR(VLOOKUP(Table15[[#This Row],[ROUTE]],DEMAND!A:F,6,FALSE),0)</f>
        <v>3321</v>
      </c>
      <c r="O179" s="16">
        <f>IFERROR(ROUNDDOWN(Table15[[#This Row],[R-DEMAND]]/1706,0),0)</f>
        <v>1</v>
      </c>
      <c r="P179" s="16">
        <f>IFERROR(Table15[[#This Row],[ADD ACC]]*Table15[[#This Row],[RT TIME 
(380-800)]],0)</f>
        <v>6.75</v>
      </c>
      <c r="Q179" s="415">
        <f>IFERROR(VLOOKUP(Table15[[#This Row],[ROUTE]],PRICING!A:B,2,FALSE),0)</f>
        <v>0</v>
      </c>
      <c r="R179" s="235">
        <f>IFERROR(Table15[[#This Row],[C_DEMAND]]-Table15[[#This Row],[R-DEMAND]],0)</f>
        <v>0</v>
      </c>
      <c r="S179" s="408">
        <f t="shared" si="2"/>
        <v>0</v>
      </c>
      <c r="T179" s="419">
        <f>Table15[[#This Row],[R-DEMAND]]-(Table15[[#This Row],[ADD ACC]]*1706)</f>
        <v>1615</v>
      </c>
      <c r="U179" s="419">
        <f>ROUNDDOWN(Table15[[#This Row],[Column1]]/1360,0)</f>
        <v>1</v>
      </c>
      <c r="V179" s="419"/>
      <c r="W179" s="251">
        <v>6.75</v>
      </c>
      <c r="X179" s="251">
        <f>ROUNDDOWN(Table15[[#This Row],[R-DEMAND]]/1320,0)</f>
        <v>2</v>
      </c>
      <c r="Y179" s="251">
        <f>IFERROR(Table15[[#This Row],[ADD ACC
(660/1320)]]*Table15[[#This Row],[Duration
(B744)]],0)</f>
        <v>13.5</v>
      </c>
      <c r="Z179" s="251"/>
    </row>
    <row r="180" spans="1:26" ht="15.75" customHeight="1" x14ac:dyDescent="0.25">
      <c r="A180" s="210" t="s">
        <v>15363</v>
      </c>
      <c r="B180" s="204" t="s">
        <v>227</v>
      </c>
      <c r="C180" s="204" t="s">
        <v>67</v>
      </c>
      <c r="D180" s="205">
        <v>3</v>
      </c>
      <c r="E180" s="204" t="s">
        <v>630</v>
      </c>
      <c r="F180" s="204" t="str">
        <f>VLOOKUP(E180,Table10[[COUNTRY NAME]:[CONTINENT CODE]],3,FALSE)</f>
        <v>EU</v>
      </c>
      <c r="G180" s="210" t="s">
        <v>11683</v>
      </c>
      <c r="H180" s="207">
        <v>8371</v>
      </c>
      <c r="I180" s="208">
        <v>20.75</v>
      </c>
      <c r="J180" s="345"/>
      <c r="K180" s="345">
        <f>IFERROR(Table15[[#This Row],[ROUTE $]]/Table15[[#This Row],[E - DEMAND]],0)</f>
        <v>0</v>
      </c>
      <c r="L180" s="204"/>
      <c r="M180" s="412">
        <f>IFERROR(VLOOKUP(Table15[[#This Row],[ROUTE]],DEMAND!A:F,5,FALSE),0)</f>
        <v>3307</v>
      </c>
      <c r="N180" s="16">
        <f>IFERROR(VLOOKUP(Table15[[#This Row],[ROUTE]],DEMAND!A:F,6,FALSE),0)</f>
        <v>3307</v>
      </c>
      <c r="O180" s="16">
        <f>IFERROR(ROUNDDOWN(Table15[[#This Row],[R-DEMAND]]/1706,0),0)</f>
        <v>1</v>
      </c>
      <c r="P180" s="16">
        <f>IFERROR(Table15[[#This Row],[ADD ACC]]*Table15[[#This Row],[RT TIME 
(380-800)]],0)</f>
        <v>20.75</v>
      </c>
      <c r="Q180" s="415">
        <f>IFERROR(VLOOKUP(Table15[[#This Row],[ROUTE]],PRICING!A:B,2,FALSE),0)</f>
        <v>0</v>
      </c>
      <c r="R180" s="235">
        <f>IFERROR(Table15[[#This Row],[C_DEMAND]]-Table15[[#This Row],[R-DEMAND]],0)</f>
        <v>0</v>
      </c>
      <c r="S180" s="408">
        <f t="shared" si="2"/>
        <v>0</v>
      </c>
      <c r="T180" s="419">
        <f>Table15[[#This Row],[R-DEMAND]]-(Table15[[#This Row],[ADD ACC]]*1706)</f>
        <v>1601</v>
      </c>
      <c r="U180" s="419">
        <f>ROUNDDOWN(Table15[[#This Row],[Column1]]/1360,0)</f>
        <v>1</v>
      </c>
      <c r="V180" s="419"/>
      <c r="W180" s="251">
        <v>20.75</v>
      </c>
      <c r="X180" s="251">
        <f>ROUNDDOWN(Table15[[#This Row],[R-DEMAND]]/1320,0)</f>
        <v>2</v>
      </c>
      <c r="Y180" s="251">
        <f>IFERROR(Table15[[#This Row],[ADD ACC
(660/1320)]]*Table15[[#This Row],[Duration
(B744)]],0)</f>
        <v>41.5</v>
      </c>
      <c r="Z180" s="251"/>
    </row>
    <row r="181" spans="1:26" ht="15.75" customHeight="1" x14ac:dyDescent="0.25">
      <c r="A181" s="210" t="s">
        <v>15287</v>
      </c>
      <c r="B181" s="204" t="s">
        <v>4429</v>
      </c>
      <c r="C181" s="204" t="s">
        <v>67</v>
      </c>
      <c r="D181" s="205">
        <v>2</v>
      </c>
      <c r="E181" s="204" t="s">
        <v>4427</v>
      </c>
      <c r="F181" s="204" t="str">
        <f>VLOOKUP(E181,Table10[[COUNTRY NAME]:[CONTINENT CODE]],3,FALSE)</f>
        <v>NA</v>
      </c>
      <c r="G181" s="206" t="s">
        <v>13148</v>
      </c>
      <c r="H181" s="207">
        <v>12729</v>
      </c>
      <c r="I181" s="208">
        <v>30.25</v>
      </c>
      <c r="J181" s="345"/>
      <c r="K181" s="345">
        <f>IFERROR(Table15[[#This Row],[ROUTE $]]/Table15[[#This Row],[E - DEMAND]],0)</f>
        <v>0</v>
      </c>
      <c r="L181" s="204"/>
      <c r="M181" s="412">
        <f>IFERROR(VLOOKUP(Table15[[#This Row],[ROUTE]],DEMAND!A:F,5,FALSE),0)</f>
        <v>3307</v>
      </c>
      <c r="N181" s="16">
        <f>IFERROR(VLOOKUP(Table15[[#This Row],[ROUTE]],DEMAND!A:F,6,FALSE),0)</f>
        <v>3307</v>
      </c>
      <c r="O181" s="16">
        <f>IFERROR(ROUNDDOWN(Table15[[#This Row],[R-DEMAND]]/1706,0),0)</f>
        <v>1</v>
      </c>
      <c r="P181" s="16">
        <f>IFERROR(Table15[[#This Row],[ADD ACC]]*Table15[[#This Row],[RT TIME 
(380-800)]],0)</f>
        <v>30.25</v>
      </c>
      <c r="Q181" s="415">
        <f>IFERROR(VLOOKUP(Table15[[#This Row],[ROUTE]],PRICING!A:B,2,FALSE),0)</f>
        <v>0</v>
      </c>
      <c r="R181" s="235">
        <f>IFERROR(Table15[[#This Row],[C_DEMAND]]-Table15[[#This Row],[R-DEMAND]],0)</f>
        <v>0</v>
      </c>
      <c r="S181" s="408">
        <f t="shared" si="2"/>
        <v>0</v>
      </c>
      <c r="T181" s="419">
        <f>Table15[[#This Row],[R-DEMAND]]-(Table15[[#This Row],[ADD ACC]]*1706)</f>
        <v>1601</v>
      </c>
      <c r="U181" s="419">
        <f>ROUNDDOWN(Table15[[#This Row],[Column1]]/1360,0)</f>
        <v>1</v>
      </c>
      <c r="V181" s="419"/>
      <c r="W181" s="251">
        <v>30.25</v>
      </c>
      <c r="X181" s="251">
        <f>ROUNDDOWN(Table15[[#This Row],[R-DEMAND]]/1320,0)</f>
        <v>2</v>
      </c>
      <c r="Y181" s="251">
        <f>IFERROR(Table15[[#This Row],[ADD ACC
(660/1320)]]*Table15[[#This Row],[Duration
(B744)]],0)</f>
        <v>60.5</v>
      </c>
      <c r="Z181" s="251"/>
    </row>
    <row r="182" spans="1:26" ht="15.75" customHeight="1" x14ac:dyDescent="0.25">
      <c r="A182" s="210" t="s">
        <v>15700</v>
      </c>
      <c r="B182" s="204" t="s">
        <v>3046</v>
      </c>
      <c r="C182" s="204" t="s">
        <v>67</v>
      </c>
      <c r="D182" s="205">
        <v>2</v>
      </c>
      <c r="E182" s="204" t="s">
        <v>700</v>
      </c>
      <c r="F182" s="204" t="str">
        <f>VLOOKUP(E182,Table10[[COUNTRY NAME]:[CONTINENT CODE]],3,FALSE)</f>
        <v>AS</v>
      </c>
      <c r="G182" s="206" t="s">
        <v>11853</v>
      </c>
      <c r="H182" s="207">
        <v>4652</v>
      </c>
      <c r="I182" s="208">
        <v>12.5</v>
      </c>
      <c r="J182" s="345"/>
      <c r="K182" s="345">
        <f>IFERROR(Table15[[#This Row],[ROUTE $]]/Table15[[#This Row],[E - DEMAND]],0)</f>
        <v>0</v>
      </c>
      <c r="L182" s="204"/>
      <c r="M182" s="412">
        <f>IFERROR(VLOOKUP(Table15[[#This Row],[ROUTE]],DEMAND!A:F,5,FALSE),0)</f>
        <v>3301</v>
      </c>
      <c r="N182" s="16">
        <f>IFERROR(VLOOKUP(Table15[[#This Row],[ROUTE]],DEMAND!A:F,6,FALSE),0)</f>
        <v>3301</v>
      </c>
      <c r="O182" s="16">
        <f>IFERROR(ROUNDDOWN(Table15[[#This Row],[R-DEMAND]]/1706,0),0)</f>
        <v>1</v>
      </c>
      <c r="P182" s="16">
        <f>IFERROR(Table15[[#This Row],[ADD ACC]]*Table15[[#This Row],[RT TIME 
(380-800)]],0)</f>
        <v>12.5</v>
      </c>
      <c r="Q182" s="415">
        <f>IFERROR(VLOOKUP(Table15[[#This Row],[ROUTE]],PRICING!A:B,2,FALSE),0)</f>
        <v>0</v>
      </c>
      <c r="R182" s="235">
        <f>IFERROR(Table15[[#This Row],[C_DEMAND]]-Table15[[#This Row],[R-DEMAND]],0)</f>
        <v>0</v>
      </c>
      <c r="S182" s="408">
        <f t="shared" si="2"/>
        <v>0</v>
      </c>
      <c r="T182" s="419">
        <f>Table15[[#This Row],[R-DEMAND]]-(Table15[[#This Row],[ADD ACC]]*1706)</f>
        <v>1595</v>
      </c>
      <c r="U182" s="419">
        <f>ROUNDDOWN(Table15[[#This Row],[Column1]]/1360,0)</f>
        <v>1</v>
      </c>
      <c r="V182" s="419"/>
      <c r="W182" s="251">
        <v>12.5</v>
      </c>
      <c r="X182" s="251">
        <f>ROUNDDOWN(Table15[[#This Row],[R-DEMAND]]/1320,0)</f>
        <v>2</v>
      </c>
      <c r="Y182" s="251">
        <f>IFERROR(Table15[[#This Row],[ADD ACC
(660/1320)]]*Table15[[#This Row],[Duration
(B744)]],0)</f>
        <v>25</v>
      </c>
      <c r="Z182" s="251"/>
    </row>
    <row r="183" spans="1:26" ht="15.75" customHeight="1" x14ac:dyDescent="0.25">
      <c r="A183" s="210" t="s">
        <v>15601</v>
      </c>
      <c r="B183" s="204" t="s">
        <v>4651</v>
      </c>
      <c r="C183" s="204" t="s">
        <v>67</v>
      </c>
      <c r="D183" s="205">
        <v>0</v>
      </c>
      <c r="E183" s="204" t="s">
        <v>1117</v>
      </c>
      <c r="F183" s="204" t="str">
        <f>VLOOKUP(E183,Table10[[COUNTRY NAME]:[CONTINENT CODE]],3,FALSE)</f>
        <v>EU</v>
      </c>
      <c r="G183" s="210" t="s">
        <v>10122</v>
      </c>
      <c r="H183" s="207">
        <v>5712</v>
      </c>
      <c r="I183" s="208">
        <v>14.75</v>
      </c>
      <c r="J183" s="345"/>
      <c r="K183" s="345">
        <f>IFERROR(Table15[[#This Row],[ROUTE $]]/Table15[[#This Row],[E - DEMAND]],0)</f>
        <v>0</v>
      </c>
      <c r="L183" s="204"/>
      <c r="M183" s="412">
        <f>IFERROR(VLOOKUP(Table15[[#This Row],[ROUTE]],DEMAND!A:F,5,FALSE),0)</f>
        <v>3298</v>
      </c>
      <c r="N183" s="16">
        <f>IFERROR(VLOOKUP(Table15[[#This Row],[ROUTE]],DEMAND!A:F,6,FALSE),0)</f>
        <v>3298</v>
      </c>
      <c r="O183" s="16">
        <f>IFERROR(ROUNDDOWN(Table15[[#This Row],[R-DEMAND]]/1706,0),0)</f>
        <v>1</v>
      </c>
      <c r="P183" s="16">
        <f>IFERROR(Table15[[#This Row],[ADD ACC]]*Table15[[#This Row],[RT TIME 
(380-800)]],0)</f>
        <v>14.75</v>
      </c>
      <c r="Q183" s="415">
        <f>IFERROR(VLOOKUP(Table15[[#This Row],[ROUTE]],PRICING!A:B,2,FALSE),0)</f>
        <v>0</v>
      </c>
      <c r="R183" s="235">
        <f>IFERROR(Table15[[#This Row],[C_DEMAND]]-Table15[[#This Row],[R-DEMAND]],0)</f>
        <v>0</v>
      </c>
      <c r="S183" s="408">
        <f t="shared" si="2"/>
        <v>0</v>
      </c>
      <c r="T183" s="419">
        <f>Table15[[#This Row],[R-DEMAND]]-(Table15[[#This Row],[ADD ACC]]*1706)</f>
        <v>1592</v>
      </c>
      <c r="U183" s="419">
        <f>ROUNDDOWN(Table15[[#This Row],[Column1]]/1360,0)</f>
        <v>1</v>
      </c>
      <c r="V183" s="419"/>
      <c r="W183" s="251">
        <v>14.75</v>
      </c>
      <c r="X183" s="251">
        <f>ROUNDDOWN(Table15[[#This Row],[R-DEMAND]]/1320,0)</f>
        <v>2</v>
      </c>
      <c r="Y183" s="251">
        <f>IFERROR(Table15[[#This Row],[ADD ACC
(660/1320)]]*Table15[[#This Row],[Duration
(B744)]],0)</f>
        <v>29.5</v>
      </c>
      <c r="Z183" s="251"/>
    </row>
    <row r="184" spans="1:26" ht="15.75" customHeight="1" x14ac:dyDescent="0.25">
      <c r="A184" s="210" t="s">
        <v>15801</v>
      </c>
      <c r="B184" s="204" t="s">
        <v>1963</v>
      </c>
      <c r="C184" s="204" t="s">
        <v>67</v>
      </c>
      <c r="D184" s="205">
        <v>1</v>
      </c>
      <c r="E184" s="204" t="s">
        <v>14</v>
      </c>
      <c r="F184" s="204" t="str">
        <f>VLOOKUP(E184,Table10[[COUNTRY NAME]:[CONTINENT CODE]],3,FALSE)</f>
        <v>AS</v>
      </c>
      <c r="G184" s="206" t="s">
        <v>12034</v>
      </c>
      <c r="H184" s="207">
        <v>3740</v>
      </c>
      <c r="I184" s="208">
        <v>10.5</v>
      </c>
      <c r="J184" s="345"/>
      <c r="K184" s="345">
        <f>IFERROR(Table15[[#This Row],[ROUTE $]]/Table15[[#This Row],[E - DEMAND]],0)</f>
        <v>0</v>
      </c>
      <c r="L184" s="204"/>
      <c r="M184" s="412">
        <f>IFERROR(VLOOKUP(Table15[[#This Row],[ROUTE]],DEMAND!A:F,5,FALSE),0)</f>
        <v>3288</v>
      </c>
      <c r="N184" s="16">
        <f>IFERROR(VLOOKUP(Table15[[#This Row],[ROUTE]],DEMAND!A:F,6,FALSE),0)</f>
        <v>3288</v>
      </c>
      <c r="O184" s="16">
        <f>IFERROR(ROUNDDOWN(Table15[[#This Row],[R-DEMAND]]/1706,0),0)</f>
        <v>1</v>
      </c>
      <c r="P184" s="16">
        <f>IFERROR(Table15[[#This Row],[ADD ACC]]*Table15[[#This Row],[RT TIME 
(380-800)]],0)</f>
        <v>10.5</v>
      </c>
      <c r="Q184" s="415">
        <f>IFERROR(VLOOKUP(Table15[[#This Row],[ROUTE]],PRICING!A:B,2,FALSE),0)</f>
        <v>0</v>
      </c>
      <c r="R184" s="235">
        <f>IFERROR(Table15[[#This Row],[C_DEMAND]]-Table15[[#This Row],[R-DEMAND]],0)</f>
        <v>0</v>
      </c>
      <c r="S184" s="408">
        <f t="shared" si="2"/>
        <v>0</v>
      </c>
      <c r="T184" s="419">
        <f>Table15[[#This Row],[R-DEMAND]]-(Table15[[#This Row],[ADD ACC]]*1706)</f>
        <v>1582</v>
      </c>
      <c r="U184" s="419">
        <f>ROUNDDOWN(Table15[[#This Row],[Column1]]/1360,0)</f>
        <v>1</v>
      </c>
      <c r="V184" s="419"/>
      <c r="W184" s="251">
        <v>10.5</v>
      </c>
      <c r="X184" s="251">
        <f>ROUNDDOWN(Table15[[#This Row],[R-DEMAND]]/1320,0)</f>
        <v>2</v>
      </c>
      <c r="Y184" s="251">
        <f>IFERROR(Table15[[#This Row],[ADD ACC
(660/1320)]]*Table15[[#This Row],[Duration
(B744)]],0)</f>
        <v>21</v>
      </c>
      <c r="Z184" s="251"/>
    </row>
    <row r="185" spans="1:26" ht="15.75" customHeight="1" x14ac:dyDescent="0.25">
      <c r="A185" s="210" t="s">
        <v>15417</v>
      </c>
      <c r="B185" s="204" t="s">
        <v>5570</v>
      </c>
      <c r="C185" s="204" t="s">
        <v>67</v>
      </c>
      <c r="D185" s="205">
        <v>4</v>
      </c>
      <c r="E185" s="204" t="s">
        <v>119</v>
      </c>
      <c r="F185" s="204" t="str">
        <f>VLOOKUP(E185,Table10[[COUNTRY NAME]:[CONTINENT CODE]],3,FALSE)</f>
        <v>EU</v>
      </c>
      <c r="G185" s="210" t="s">
        <v>11113</v>
      </c>
      <c r="H185" s="207">
        <v>7288</v>
      </c>
      <c r="I185" s="208">
        <v>18.25</v>
      </c>
      <c r="J185" s="345"/>
      <c r="K185" s="345">
        <f>IFERROR(Table15[[#This Row],[ROUTE $]]/Table15[[#This Row],[E - DEMAND]],0)</f>
        <v>0</v>
      </c>
      <c r="L185" s="204"/>
      <c r="M185" s="412">
        <f>IFERROR(VLOOKUP(Table15[[#This Row],[ROUTE]],DEMAND!A:F,5,FALSE),0)</f>
        <v>3273</v>
      </c>
      <c r="N185" s="16">
        <f>IFERROR(VLOOKUP(Table15[[#This Row],[ROUTE]],DEMAND!A:F,6,FALSE),0)</f>
        <v>3273</v>
      </c>
      <c r="O185" s="16">
        <f>IFERROR(ROUNDDOWN(Table15[[#This Row],[R-DEMAND]]/1706,0),0)</f>
        <v>1</v>
      </c>
      <c r="P185" s="16">
        <f>IFERROR(Table15[[#This Row],[ADD ACC]]*Table15[[#This Row],[RT TIME 
(380-800)]],0)</f>
        <v>18.25</v>
      </c>
      <c r="Q185" s="415">
        <f>IFERROR(VLOOKUP(Table15[[#This Row],[ROUTE]],PRICING!A:B,2,FALSE),0)</f>
        <v>0</v>
      </c>
      <c r="R185" s="235">
        <f>IFERROR(Table15[[#This Row],[C_DEMAND]]-Table15[[#This Row],[R-DEMAND]],0)</f>
        <v>0</v>
      </c>
      <c r="S185" s="408">
        <f t="shared" si="2"/>
        <v>0</v>
      </c>
      <c r="T185" s="419">
        <f>Table15[[#This Row],[R-DEMAND]]-(Table15[[#This Row],[ADD ACC]]*1706)</f>
        <v>1567</v>
      </c>
      <c r="U185" s="419">
        <f>ROUNDDOWN(Table15[[#This Row],[Column1]]/1360,0)</f>
        <v>1</v>
      </c>
      <c r="V185" s="419"/>
      <c r="W185" s="251">
        <v>18.25</v>
      </c>
      <c r="X185" s="251">
        <f>ROUNDDOWN(Table15[[#This Row],[R-DEMAND]]/1320,0)</f>
        <v>2</v>
      </c>
      <c r="Y185" s="251">
        <f>IFERROR(Table15[[#This Row],[ADD ACC
(660/1320)]]*Table15[[#This Row],[Duration
(B744)]],0)</f>
        <v>36.5</v>
      </c>
      <c r="Z185" s="251"/>
    </row>
    <row r="186" spans="1:26" ht="15.75" customHeight="1" x14ac:dyDescent="0.25">
      <c r="A186" s="210" t="s">
        <v>15258</v>
      </c>
      <c r="B186" s="204" t="s">
        <v>5553</v>
      </c>
      <c r="C186" s="204" t="s">
        <v>67</v>
      </c>
      <c r="D186" s="205">
        <v>4</v>
      </c>
      <c r="E186" s="16" t="s">
        <v>11732</v>
      </c>
      <c r="F186" s="204" t="str">
        <f>VLOOKUP(E186,Table10[[COUNTRY NAME]:[CONTINENT CODE]],3,FALSE)</f>
        <v>NA - US</v>
      </c>
      <c r="G186" s="206" t="s">
        <v>13359</v>
      </c>
      <c r="H186" s="207">
        <v>13217</v>
      </c>
      <c r="I186" s="208">
        <v>31.5</v>
      </c>
      <c r="J186" s="345"/>
      <c r="K186" s="345">
        <f>IFERROR(Table15[[#This Row],[ROUTE $]]/Table15[[#This Row],[E - DEMAND]],0)</f>
        <v>0</v>
      </c>
      <c r="L186" s="204"/>
      <c r="M186" s="412">
        <f>IFERROR(VLOOKUP(Table15[[#This Row],[ROUTE]],DEMAND!A:F,5,FALSE),0)</f>
        <v>3272</v>
      </c>
      <c r="N186" s="16">
        <f>IFERROR(VLOOKUP(Table15[[#This Row],[ROUTE]],DEMAND!A:F,6,FALSE),0)</f>
        <v>3272</v>
      </c>
      <c r="O186" s="16">
        <f>IFERROR(ROUNDDOWN(Table15[[#This Row],[R-DEMAND]]/1706,0),0)</f>
        <v>1</v>
      </c>
      <c r="P186" s="16">
        <f>IFERROR(Table15[[#This Row],[ADD ACC]]*Table15[[#This Row],[RT TIME 
(380-800)]],0)</f>
        <v>31.5</v>
      </c>
      <c r="Q186" s="415">
        <f>IFERROR(VLOOKUP(Table15[[#This Row],[ROUTE]],PRICING!A:B,2,FALSE),0)</f>
        <v>0</v>
      </c>
      <c r="R186" s="235">
        <f>IFERROR(Table15[[#This Row],[C_DEMAND]]-Table15[[#This Row],[R-DEMAND]],0)</f>
        <v>0</v>
      </c>
      <c r="S186" s="408">
        <f t="shared" si="2"/>
        <v>0</v>
      </c>
      <c r="T186" s="419">
        <f>Table15[[#This Row],[R-DEMAND]]-(Table15[[#This Row],[ADD ACC]]*1706)</f>
        <v>1566</v>
      </c>
      <c r="U186" s="419">
        <f>ROUNDDOWN(Table15[[#This Row],[Column1]]/1360,0)</f>
        <v>1</v>
      </c>
      <c r="V186" s="419"/>
      <c r="W186" s="251">
        <v>31.5</v>
      </c>
      <c r="X186" s="251">
        <f>ROUNDDOWN(Table15[[#This Row],[R-DEMAND]]/1320,0)</f>
        <v>2</v>
      </c>
      <c r="Y186" s="251">
        <f>IFERROR(Table15[[#This Row],[ADD ACC
(660/1320)]]*Table15[[#This Row],[Duration
(B744)]],0)</f>
        <v>63</v>
      </c>
      <c r="Z186" s="251"/>
    </row>
    <row r="187" spans="1:26" ht="15.75" customHeight="1" x14ac:dyDescent="0.25">
      <c r="A187" s="210" t="s">
        <v>15381</v>
      </c>
      <c r="B187" s="204" t="s">
        <v>87</v>
      </c>
      <c r="C187" s="204" t="s">
        <v>67</v>
      </c>
      <c r="D187" s="205">
        <v>3</v>
      </c>
      <c r="E187" s="204" t="s">
        <v>1858</v>
      </c>
      <c r="F187" s="204" t="str">
        <f>VLOOKUP(E187,Table10[[COUNTRY NAME]:[CONTINENT CODE]],3,FALSE)</f>
        <v>EU</v>
      </c>
      <c r="G187" s="210" t="s">
        <v>11689</v>
      </c>
      <c r="H187" s="207">
        <v>7786</v>
      </c>
      <c r="I187" s="208">
        <v>19.25</v>
      </c>
      <c r="J187" s="345"/>
      <c r="K187" s="345">
        <f>IFERROR(Table15[[#This Row],[ROUTE $]]/Table15[[#This Row],[E - DEMAND]],0)</f>
        <v>0</v>
      </c>
      <c r="L187" s="204"/>
      <c r="M187" s="412">
        <f>IFERROR(VLOOKUP(Table15[[#This Row],[ROUTE]],DEMAND!A:F,5,FALSE),0)</f>
        <v>3268</v>
      </c>
      <c r="N187" s="16">
        <f>IFERROR(VLOOKUP(Table15[[#This Row],[ROUTE]],DEMAND!A:F,6,FALSE),0)</f>
        <v>3268</v>
      </c>
      <c r="O187" s="16">
        <f>IFERROR(ROUNDDOWN(Table15[[#This Row],[R-DEMAND]]/1706,0),0)</f>
        <v>1</v>
      </c>
      <c r="P187" s="16">
        <f>IFERROR(Table15[[#This Row],[ADD ACC]]*Table15[[#This Row],[RT TIME 
(380-800)]],0)</f>
        <v>19.25</v>
      </c>
      <c r="Q187" s="415">
        <f>IFERROR(VLOOKUP(Table15[[#This Row],[ROUTE]],PRICING!A:B,2,FALSE),0)</f>
        <v>0</v>
      </c>
      <c r="R187" s="235">
        <f>IFERROR(Table15[[#This Row],[C_DEMAND]]-Table15[[#This Row],[R-DEMAND]],0)</f>
        <v>0</v>
      </c>
      <c r="S187" s="408">
        <f t="shared" si="2"/>
        <v>0</v>
      </c>
      <c r="T187" s="419">
        <f>Table15[[#This Row],[R-DEMAND]]-(Table15[[#This Row],[ADD ACC]]*1706)</f>
        <v>1562</v>
      </c>
      <c r="U187" s="419">
        <f>ROUNDDOWN(Table15[[#This Row],[Column1]]/1360,0)</f>
        <v>1</v>
      </c>
      <c r="V187" s="419"/>
      <c r="W187" s="251">
        <v>19.25</v>
      </c>
      <c r="X187" s="251">
        <f>ROUNDDOWN(Table15[[#This Row],[R-DEMAND]]/1320,0)</f>
        <v>2</v>
      </c>
      <c r="Y187" s="251">
        <f>IFERROR(Table15[[#This Row],[ADD ACC
(660/1320)]]*Table15[[#This Row],[Duration
(B744)]],0)</f>
        <v>38.5</v>
      </c>
      <c r="Z187" s="251"/>
    </row>
    <row r="188" spans="1:26" ht="15.75" customHeight="1" x14ac:dyDescent="0.25">
      <c r="A188" s="210" t="s">
        <v>15367</v>
      </c>
      <c r="B188" s="204" t="s">
        <v>2103</v>
      </c>
      <c r="C188" s="204" t="s">
        <v>67</v>
      </c>
      <c r="D188" s="205">
        <v>1</v>
      </c>
      <c r="E188" s="204" t="s">
        <v>493</v>
      </c>
      <c r="F188" s="204" t="str">
        <f>VLOOKUP(E188,Table10[[COUNTRY NAME]:[CONTINENT CODE]],3,FALSE)</f>
        <v>AF</v>
      </c>
      <c r="G188" s="206" t="s">
        <v>7142</v>
      </c>
      <c r="H188" s="207">
        <v>8185</v>
      </c>
      <c r="I188" s="208">
        <v>20.25</v>
      </c>
      <c r="J188" s="345"/>
      <c r="K188" s="345">
        <f>IFERROR(Table15[[#This Row],[ROUTE $]]/Table15[[#This Row],[E - DEMAND]],0)</f>
        <v>0</v>
      </c>
      <c r="L188" s="204"/>
      <c r="M188" s="412">
        <f>IFERROR(VLOOKUP(Table15[[#This Row],[ROUTE]],DEMAND!A:F,5,FALSE),0)</f>
        <v>3262</v>
      </c>
      <c r="N188" s="16">
        <f>IFERROR(VLOOKUP(Table15[[#This Row],[ROUTE]],DEMAND!A:F,6,FALSE),0)</f>
        <v>3262</v>
      </c>
      <c r="O188" s="16">
        <f>IFERROR(ROUNDDOWN(Table15[[#This Row],[R-DEMAND]]/1706,0),0)</f>
        <v>1</v>
      </c>
      <c r="P188" s="16">
        <f>IFERROR(Table15[[#This Row],[ADD ACC]]*Table15[[#This Row],[RT TIME 
(380-800)]],0)</f>
        <v>20.25</v>
      </c>
      <c r="Q188" s="415">
        <f>IFERROR(VLOOKUP(Table15[[#This Row],[ROUTE]],PRICING!A:B,2,FALSE),0)</f>
        <v>0</v>
      </c>
      <c r="R188" s="235">
        <f>IFERROR(Table15[[#This Row],[C_DEMAND]]-Table15[[#This Row],[R-DEMAND]],0)</f>
        <v>0</v>
      </c>
      <c r="S188" s="408">
        <f t="shared" si="2"/>
        <v>0</v>
      </c>
      <c r="T188" s="419">
        <f>Table15[[#This Row],[R-DEMAND]]-(Table15[[#This Row],[ADD ACC]]*1706)</f>
        <v>1556</v>
      </c>
      <c r="U188" s="419">
        <f>ROUNDDOWN(Table15[[#This Row],[Column1]]/1360,0)</f>
        <v>1</v>
      </c>
      <c r="V188" s="419"/>
      <c r="W188" s="251">
        <v>20.25</v>
      </c>
      <c r="X188" s="251">
        <f>ROUNDDOWN(Table15[[#This Row],[R-DEMAND]]/1320,0)</f>
        <v>2</v>
      </c>
      <c r="Y188" s="251">
        <f>IFERROR(Table15[[#This Row],[ADD ACC
(660/1320)]]*Table15[[#This Row],[Duration
(B744)]],0)</f>
        <v>40.5</v>
      </c>
      <c r="Z188" s="251"/>
    </row>
    <row r="189" spans="1:26" ht="15.75" customHeight="1" x14ac:dyDescent="0.25">
      <c r="A189" s="210" t="s">
        <v>15263</v>
      </c>
      <c r="B189" s="204" t="s">
        <v>5499</v>
      </c>
      <c r="C189" s="204" t="s">
        <v>67</v>
      </c>
      <c r="D189" s="205">
        <v>4</v>
      </c>
      <c r="E189" s="16" t="s">
        <v>11732</v>
      </c>
      <c r="F189" s="204" t="str">
        <f>VLOOKUP(E189,Table10[[COUNTRY NAME]:[CONTINENT CODE]],3,FALSE)</f>
        <v>NA - US</v>
      </c>
      <c r="G189" s="206" t="s">
        <v>13322</v>
      </c>
      <c r="H189" s="207">
        <v>13131</v>
      </c>
      <c r="I189" s="208">
        <v>31.25</v>
      </c>
      <c r="J189" s="345"/>
      <c r="K189" s="345">
        <f>IFERROR(Table15[[#This Row],[ROUTE $]]/Table15[[#This Row],[E - DEMAND]],0)</f>
        <v>0</v>
      </c>
      <c r="L189" s="204"/>
      <c r="M189" s="412">
        <f>IFERROR(VLOOKUP(Table15[[#This Row],[ROUTE]],DEMAND!A:F,5,FALSE),0)</f>
        <v>3241</v>
      </c>
      <c r="N189" s="16">
        <f>IFERROR(VLOOKUP(Table15[[#This Row],[ROUTE]],DEMAND!A:F,6,FALSE),0)</f>
        <v>3241</v>
      </c>
      <c r="O189" s="16">
        <f>IFERROR(ROUNDDOWN(Table15[[#This Row],[R-DEMAND]]/1706,0),0)</f>
        <v>1</v>
      </c>
      <c r="P189" s="16">
        <f>IFERROR(Table15[[#This Row],[ADD ACC]]*Table15[[#This Row],[RT TIME 
(380-800)]],0)</f>
        <v>31.25</v>
      </c>
      <c r="Q189" s="415">
        <f>IFERROR(VLOOKUP(Table15[[#This Row],[ROUTE]],PRICING!A:B,2,FALSE),0)</f>
        <v>0</v>
      </c>
      <c r="R189" s="235">
        <f>IFERROR(Table15[[#This Row],[C_DEMAND]]-Table15[[#This Row],[R-DEMAND]],0)</f>
        <v>0</v>
      </c>
      <c r="S189" s="408">
        <f t="shared" si="2"/>
        <v>0</v>
      </c>
      <c r="T189" s="419">
        <f>Table15[[#This Row],[R-DEMAND]]-(Table15[[#This Row],[ADD ACC]]*1706)</f>
        <v>1535</v>
      </c>
      <c r="U189" s="419">
        <f>ROUNDDOWN(Table15[[#This Row],[Column1]]/1360,0)</f>
        <v>1</v>
      </c>
      <c r="V189" s="419"/>
      <c r="W189" s="251">
        <v>31.25</v>
      </c>
      <c r="X189" s="251">
        <f>ROUNDDOWN(Table15[[#This Row],[R-DEMAND]]/1320,0)</f>
        <v>2</v>
      </c>
      <c r="Y189" s="251">
        <f>IFERROR(Table15[[#This Row],[ADD ACC
(660/1320)]]*Table15[[#This Row],[Duration
(B744)]],0)</f>
        <v>62.5</v>
      </c>
      <c r="Z189" s="251"/>
    </row>
    <row r="190" spans="1:26" ht="15.75" customHeight="1" x14ac:dyDescent="0.25">
      <c r="A190" s="210" t="s">
        <v>15271</v>
      </c>
      <c r="B190" s="204" t="s">
        <v>5441</v>
      </c>
      <c r="C190" s="204" t="s">
        <v>67</v>
      </c>
      <c r="D190" s="205">
        <v>4</v>
      </c>
      <c r="E190" s="16" t="s">
        <v>11732</v>
      </c>
      <c r="F190" s="204" t="str">
        <f>VLOOKUP(E190,Table10[[COUNTRY NAME]:[CONTINENT CODE]],3,FALSE)</f>
        <v>NA - US</v>
      </c>
      <c r="G190" s="206" t="s">
        <v>13329</v>
      </c>
      <c r="H190" s="207">
        <v>12984</v>
      </c>
      <c r="I190" s="208">
        <v>31</v>
      </c>
      <c r="J190" s="345"/>
      <c r="K190" s="345">
        <f>IFERROR(Table15[[#This Row],[ROUTE $]]/Table15[[#This Row],[E - DEMAND]],0)</f>
        <v>0</v>
      </c>
      <c r="L190" s="204"/>
      <c r="M190" s="412">
        <f>IFERROR(VLOOKUP(Table15[[#This Row],[ROUTE]],DEMAND!A:F,5,FALSE),0)</f>
        <v>3219</v>
      </c>
      <c r="N190" s="16">
        <f>IFERROR(VLOOKUP(Table15[[#This Row],[ROUTE]],DEMAND!A:F,6,FALSE),0)</f>
        <v>3219</v>
      </c>
      <c r="O190" s="16">
        <f>IFERROR(ROUNDDOWN(Table15[[#This Row],[R-DEMAND]]/1706,0),0)</f>
        <v>1</v>
      </c>
      <c r="P190" s="16">
        <f>IFERROR(Table15[[#This Row],[ADD ACC]]*Table15[[#This Row],[RT TIME 
(380-800)]],0)</f>
        <v>31</v>
      </c>
      <c r="Q190" s="415">
        <f>IFERROR(VLOOKUP(Table15[[#This Row],[ROUTE]],PRICING!A:B,2,FALSE),0)</f>
        <v>0</v>
      </c>
      <c r="R190" s="235">
        <f>IFERROR(Table15[[#This Row],[C_DEMAND]]-Table15[[#This Row],[R-DEMAND]],0)</f>
        <v>0</v>
      </c>
      <c r="S190" s="408">
        <f t="shared" si="2"/>
        <v>0</v>
      </c>
      <c r="T190" s="419">
        <f>Table15[[#This Row],[R-DEMAND]]-(Table15[[#This Row],[ADD ACC]]*1706)</f>
        <v>1513</v>
      </c>
      <c r="U190" s="419">
        <f>ROUNDDOWN(Table15[[#This Row],[Column1]]/1360,0)</f>
        <v>1</v>
      </c>
      <c r="V190" s="419"/>
      <c r="W190" s="251">
        <v>31</v>
      </c>
      <c r="X190" s="251">
        <f>ROUNDDOWN(Table15[[#This Row],[R-DEMAND]]/1320,0)</f>
        <v>2</v>
      </c>
      <c r="Y190" s="251">
        <f>IFERROR(Table15[[#This Row],[ADD ACC
(660/1320)]]*Table15[[#This Row],[Duration
(B744)]],0)</f>
        <v>62</v>
      </c>
      <c r="Z190" s="251"/>
    </row>
    <row r="191" spans="1:26" ht="15.75" customHeight="1" x14ac:dyDescent="0.25">
      <c r="A191" s="210" t="s">
        <v>15280</v>
      </c>
      <c r="B191" s="204" t="s">
        <v>5519</v>
      </c>
      <c r="C191" s="204" t="s">
        <v>67</v>
      </c>
      <c r="D191" s="205">
        <v>4</v>
      </c>
      <c r="E191" s="16" t="s">
        <v>11732</v>
      </c>
      <c r="F191" s="204" t="str">
        <f>VLOOKUP(E191,Table10[[COUNTRY NAME]:[CONTINENT CODE]],3,FALSE)</f>
        <v>NA - US</v>
      </c>
      <c r="G191" s="206" t="s">
        <v>13334</v>
      </c>
      <c r="H191" s="207">
        <v>12832</v>
      </c>
      <c r="I191" s="208">
        <v>30.5</v>
      </c>
      <c r="J191" s="345"/>
      <c r="K191" s="345">
        <f>IFERROR(Table15[[#This Row],[ROUTE $]]/Table15[[#This Row],[E - DEMAND]],0)</f>
        <v>0</v>
      </c>
      <c r="L191" s="204"/>
      <c r="M191" s="412">
        <f>IFERROR(VLOOKUP(Table15[[#This Row],[ROUTE]],DEMAND!A:F,5,FALSE),0)</f>
        <v>3218</v>
      </c>
      <c r="N191" s="16">
        <f>IFERROR(VLOOKUP(Table15[[#This Row],[ROUTE]],DEMAND!A:F,6,FALSE),0)</f>
        <v>3218</v>
      </c>
      <c r="O191" s="16">
        <f>IFERROR(ROUNDDOWN(Table15[[#This Row],[R-DEMAND]]/1706,0),0)</f>
        <v>1</v>
      </c>
      <c r="P191" s="16">
        <f>IFERROR(Table15[[#This Row],[ADD ACC]]*Table15[[#This Row],[RT TIME 
(380-800)]],0)</f>
        <v>30.5</v>
      </c>
      <c r="Q191" s="415">
        <f>IFERROR(VLOOKUP(Table15[[#This Row],[ROUTE]],PRICING!A:B,2,FALSE),0)</f>
        <v>0</v>
      </c>
      <c r="R191" s="235">
        <f>IFERROR(Table15[[#This Row],[C_DEMAND]]-Table15[[#This Row],[R-DEMAND]],0)</f>
        <v>0</v>
      </c>
      <c r="S191" s="408">
        <f t="shared" si="2"/>
        <v>0</v>
      </c>
      <c r="T191" s="419">
        <f>Table15[[#This Row],[R-DEMAND]]-(Table15[[#This Row],[ADD ACC]]*1706)</f>
        <v>1512</v>
      </c>
      <c r="U191" s="419">
        <f>ROUNDDOWN(Table15[[#This Row],[Column1]]/1360,0)</f>
        <v>1</v>
      </c>
      <c r="V191" s="419"/>
      <c r="W191" s="251">
        <v>30.5</v>
      </c>
      <c r="X191" s="251">
        <f>ROUNDDOWN(Table15[[#This Row],[R-DEMAND]]/1320,0)</f>
        <v>2</v>
      </c>
      <c r="Y191" s="251">
        <f>IFERROR(Table15[[#This Row],[ADD ACC
(660/1320)]]*Table15[[#This Row],[Duration
(B744)]],0)</f>
        <v>61</v>
      </c>
      <c r="Z191" s="251"/>
    </row>
    <row r="192" spans="1:26" ht="15.75" customHeight="1" x14ac:dyDescent="0.25">
      <c r="A192" s="210" t="s">
        <v>15418</v>
      </c>
      <c r="B192" s="204" t="s">
        <v>5401</v>
      </c>
      <c r="C192" s="204" t="s">
        <v>67</v>
      </c>
      <c r="D192" s="205">
        <v>3</v>
      </c>
      <c r="E192" s="204" t="s">
        <v>83</v>
      </c>
      <c r="F192" s="204" t="str">
        <f>VLOOKUP(E192,Table10[[COUNTRY NAME]:[CONTINENT CODE]],3,FALSE)</f>
        <v>EU</v>
      </c>
      <c r="G192" s="210" t="s">
        <v>11712</v>
      </c>
      <c r="H192" s="207">
        <v>7275</v>
      </c>
      <c r="I192" s="208">
        <v>18.25</v>
      </c>
      <c r="J192" s="345"/>
      <c r="K192" s="345">
        <f>IFERROR(Table15[[#This Row],[ROUTE $]]/Table15[[#This Row],[E - DEMAND]],0)</f>
        <v>0</v>
      </c>
      <c r="L192" s="204"/>
      <c r="M192" s="412">
        <f>IFERROR(VLOOKUP(Table15[[#This Row],[ROUTE]],DEMAND!A:F,5,FALSE),0)</f>
        <v>3216</v>
      </c>
      <c r="N192" s="16">
        <f>IFERROR(VLOOKUP(Table15[[#This Row],[ROUTE]],DEMAND!A:F,6,FALSE),0)</f>
        <v>3216</v>
      </c>
      <c r="O192" s="16">
        <f>IFERROR(ROUNDDOWN(Table15[[#This Row],[R-DEMAND]]/1706,0),0)</f>
        <v>1</v>
      </c>
      <c r="P192" s="16">
        <f>IFERROR(Table15[[#This Row],[ADD ACC]]*Table15[[#This Row],[RT TIME 
(380-800)]],0)</f>
        <v>18.25</v>
      </c>
      <c r="Q192" s="415">
        <f>IFERROR(VLOOKUP(Table15[[#This Row],[ROUTE]],PRICING!A:B,2,FALSE),0)</f>
        <v>0</v>
      </c>
      <c r="R192" s="235">
        <f>IFERROR(Table15[[#This Row],[C_DEMAND]]-Table15[[#This Row],[R-DEMAND]],0)</f>
        <v>0</v>
      </c>
      <c r="S192" s="408">
        <f t="shared" si="2"/>
        <v>0</v>
      </c>
      <c r="T192" s="419">
        <f>Table15[[#This Row],[R-DEMAND]]-(Table15[[#This Row],[ADD ACC]]*1706)</f>
        <v>1510</v>
      </c>
      <c r="U192" s="419">
        <f>ROUNDDOWN(Table15[[#This Row],[Column1]]/1360,0)</f>
        <v>1</v>
      </c>
      <c r="V192" s="419"/>
      <c r="W192" s="251">
        <v>18.25</v>
      </c>
      <c r="X192" s="251">
        <f>ROUNDDOWN(Table15[[#This Row],[R-DEMAND]]/1320,0)</f>
        <v>2</v>
      </c>
      <c r="Y192" s="251">
        <f>IFERROR(Table15[[#This Row],[ADD ACC
(660/1320)]]*Table15[[#This Row],[Duration
(B744)]],0)</f>
        <v>36.5</v>
      </c>
      <c r="Z192" s="251"/>
    </row>
    <row r="193" spans="1:26" ht="15.75" customHeight="1" x14ac:dyDescent="0.25">
      <c r="A193" s="210" t="s">
        <v>15338</v>
      </c>
      <c r="B193" s="204" t="s">
        <v>5200</v>
      </c>
      <c r="C193" s="204" t="s">
        <v>67</v>
      </c>
      <c r="D193" s="205">
        <v>3</v>
      </c>
      <c r="E193" s="204" t="s">
        <v>774</v>
      </c>
      <c r="F193" s="204" t="str">
        <f>VLOOKUP(E193,Table10[[COUNTRY NAME]:[CONTINENT CODE]],3,FALSE)</f>
        <v>OC</v>
      </c>
      <c r="G193" s="206" t="s">
        <v>10392</v>
      </c>
      <c r="H193" s="207">
        <v>10053</v>
      </c>
      <c r="I193" s="208">
        <v>24.5</v>
      </c>
      <c r="J193" s="345"/>
      <c r="K193" s="345">
        <f>IFERROR(Table15[[#This Row],[ROUTE $]]/Table15[[#This Row],[E - DEMAND]],0)</f>
        <v>0</v>
      </c>
      <c r="L193" s="204"/>
      <c r="M193" s="412">
        <f>IFERROR(VLOOKUP(Table15[[#This Row],[ROUTE]],DEMAND!A:F,5,FALSE),0)</f>
        <v>3216</v>
      </c>
      <c r="N193" s="16">
        <f>IFERROR(VLOOKUP(Table15[[#This Row],[ROUTE]],DEMAND!A:F,6,FALSE),0)</f>
        <v>3216</v>
      </c>
      <c r="O193" s="16">
        <f>IFERROR(ROUNDDOWN(Table15[[#This Row],[R-DEMAND]]/1706,0),0)</f>
        <v>1</v>
      </c>
      <c r="P193" s="16">
        <f>IFERROR(Table15[[#This Row],[ADD ACC]]*Table15[[#This Row],[RT TIME 
(380-800)]],0)</f>
        <v>24.5</v>
      </c>
      <c r="Q193" s="415">
        <f>IFERROR(VLOOKUP(Table15[[#This Row],[ROUTE]],PRICING!A:B,2,FALSE),0)</f>
        <v>0</v>
      </c>
      <c r="R193" s="235">
        <f>IFERROR(Table15[[#This Row],[C_DEMAND]]-Table15[[#This Row],[R-DEMAND]],0)</f>
        <v>0</v>
      </c>
      <c r="S193" s="408">
        <f t="shared" si="2"/>
        <v>0</v>
      </c>
      <c r="T193" s="419">
        <f>Table15[[#This Row],[R-DEMAND]]-(Table15[[#This Row],[ADD ACC]]*1706)</f>
        <v>1510</v>
      </c>
      <c r="U193" s="419">
        <f>ROUNDDOWN(Table15[[#This Row],[Column1]]/1360,0)</f>
        <v>1</v>
      </c>
      <c r="V193" s="419"/>
      <c r="W193" s="251">
        <v>24.5</v>
      </c>
      <c r="X193" s="251">
        <f>ROUNDDOWN(Table15[[#This Row],[R-DEMAND]]/1320,0)</f>
        <v>2</v>
      </c>
      <c r="Y193" s="251">
        <f>IFERROR(Table15[[#This Row],[ADD ACC
(660/1320)]]*Table15[[#This Row],[Duration
(B744)]],0)</f>
        <v>49</v>
      </c>
      <c r="Z193" s="251"/>
    </row>
    <row r="194" spans="1:26" ht="15.75" customHeight="1" x14ac:dyDescent="0.25">
      <c r="A194" s="210" t="s">
        <v>15523</v>
      </c>
      <c r="B194" s="204" t="s">
        <v>5285</v>
      </c>
      <c r="C194" s="204" t="s">
        <v>67</v>
      </c>
      <c r="D194" s="205">
        <v>3</v>
      </c>
      <c r="E194" s="204" t="s">
        <v>585</v>
      </c>
      <c r="F194" s="204" t="str">
        <f>VLOOKUP(E194,Table10[[COUNTRY NAME]:[CONTINENT CODE]],3,FALSE)</f>
        <v>EU</v>
      </c>
      <c r="G194" s="210" t="s">
        <v>11781</v>
      </c>
      <c r="H194" s="207">
        <v>6491</v>
      </c>
      <c r="I194" s="208">
        <v>16.5</v>
      </c>
      <c r="J194" s="345"/>
      <c r="K194" s="345">
        <f>IFERROR(Table15[[#This Row],[ROUTE $]]/Table15[[#This Row],[E - DEMAND]],0)</f>
        <v>0</v>
      </c>
      <c r="L194" s="204"/>
      <c r="M194" s="412">
        <f>IFERROR(VLOOKUP(Table15[[#This Row],[ROUTE]],DEMAND!A:F,5,FALSE),0)</f>
        <v>3206</v>
      </c>
      <c r="N194" s="16">
        <f>IFERROR(VLOOKUP(Table15[[#This Row],[ROUTE]],DEMAND!A:F,6,FALSE),0)</f>
        <v>3206</v>
      </c>
      <c r="O194" s="16">
        <f>IFERROR(ROUNDDOWN(Table15[[#This Row],[R-DEMAND]]/1706,0),0)</f>
        <v>1</v>
      </c>
      <c r="P194" s="16">
        <f>IFERROR(Table15[[#This Row],[ADD ACC]]*Table15[[#This Row],[RT TIME 
(380-800)]],0)</f>
        <v>16.5</v>
      </c>
      <c r="Q194" s="415">
        <f>IFERROR(VLOOKUP(Table15[[#This Row],[ROUTE]],PRICING!A:B,2,FALSE),0)</f>
        <v>0</v>
      </c>
      <c r="R194" s="235">
        <f>IFERROR(Table15[[#This Row],[C_DEMAND]]-Table15[[#This Row],[R-DEMAND]],0)</f>
        <v>0</v>
      </c>
      <c r="S194" s="408">
        <f t="shared" si="2"/>
        <v>0</v>
      </c>
      <c r="T194" s="419">
        <f>Table15[[#This Row],[R-DEMAND]]-(Table15[[#This Row],[ADD ACC]]*1706)</f>
        <v>1500</v>
      </c>
      <c r="U194" s="419">
        <f>ROUNDDOWN(Table15[[#This Row],[Column1]]/1360,0)</f>
        <v>1</v>
      </c>
      <c r="V194" s="419"/>
      <c r="W194" s="251">
        <v>16.5</v>
      </c>
      <c r="X194" s="251">
        <f>ROUNDDOWN(Table15[[#This Row],[R-DEMAND]]/1320,0)</f>
        <v>2</v>
      </c>
      <c r="Y194" s="251">
        <f>IFERROR(Table15[[#This Row],[ADD ACC
(660/1320)]]*Table15[[#This Row],[Duration
(B744)]],0)</f>
        <v>33</v>
      </c>
      <c r="Z194" s="251"/>
    </row>
    <row r="195" spans="1:26" ht="15.75" customHeight="1" x14ac:dyDescent="0.25">
      <c r="A195" s="210" t="s">
        <v>15279</v>
      </c>
      <c r="B195" s="204" t="s">
        <v>5505</v>
      </c>
      <c r="C195" s="204" t="s">
        <v>67</v>
      </c>
      <c r="D195" s="205">
        <v>4</v>
      </c>
      <c r="E195" s="16" t="s">
        <v>11732</v>
      </c>
      <c r="F195" s="204" t="str">
        <f>VLOOKUP(E195,Table10[[COUNTRY NAME]:[CONTINENT CODE]],3,FALSE)</f>
        <v>NA - US</v>
      </c>
      <c r="G195" s="206" t="s">
        <v>13306</v>
      </c>
      <c r="H195" s="207">
        <v>12845</v>
      </c>
      <c r="I195" s="208">
        <v>30.5</v>
      </c>
      <c r="J195" s="345"/>
      <c r="K195" s="345">
        <f>IFERROR(Table15[[#This Row],[ROUTE $]]/Table15[[#This Row],[E - DEMAND]],0)</f>
        <v>0</v>
      </c>
      <c r="L195" s="204"/>
      <c r="M195" s="412">
        <f>IFERROR(VLOOKUP(Table15[[#This Row],[ROUTE]],DEMAND!A:F,5,FALSE),0)</f>
        <v>3197</v>
      </c>
      <c r="N195" s="16">
        <f>IFERROR(VLOOKUP(Table15[[#This Row],[ROUTE]],DEMAND!A:F,6,FALSE),0)</f>
        <v>3197</v>
      </c>
      <c r="O195" s="16">
        <f>IFERROR(ROUNDDOWN(Table15[[#This Row],[R-DEMAND]]/1706,0),0)</f>
        <v>1</v>
      </c>
      <c r="P195" s="16">
        <f>IFERROR(Table15[[#This Row],[ADD ACC]]*Table15[[#This Row],[RT TIME 
(380-800)]],0)</f>
        <v>30.5</v>
      </c>
      <c r="Q195" s="415">
        <f>IFERROR(VLOOKUP(Table15[[#This Row],[ROUTE]],PRICING!A:B,2,FALSE),0)</f>
        <v>0</v>
      </c>
      <c r="R195" s="235">
        <f>IFERROR(Table15[[#This Row],[C_DEMAND]]-Table15[[#This Row],[R-DEMAND]],0)</f>
        <v>0</v>
      </c>
      <c r="S195" s="408">
        <f t="shared" ref="S195:S258" si="3">IFERROR(R195*Q195,0)</f>
        <v>0</v>
      </c>
      <c r="T195" s="419">
        <f>Table15[[#This Row],[R-DEMAND]]-(Table15[[#This Row],[ADD ACC]]*1706)</f>
        <v>1491</v>
      </c>
      <c r="U195" s="419">
        <f>ROUNDDOWN(Table15[[#This Row],[Column1]]/1360,0)</f>
        <v>1</v>
      </c>
      <c r="V195" s="419"/>
      <c r="W195" s="251">
        <v>30.5</v>
      </c>
      <c r="X195" s="251">
        <f>ROUNDDOWN(Table15[[#This Row],[R-DEMAND]]/1320,0)</f>
        <v>2</v>
      </c>
      <c r="Y195" s="251">
        <f>IFERROR(Table15[[#This Row],[ADD ACC
(660/1320)]]*Table15[[#This Row],[Duration
(B744)]],0)</f>
        <v>61</v>
      </c>
      <c r="Z195" s="251"/>
    </row>
    <row r="196" spans="1:26" ht="15.75" customHeight="1" x14ac:dyDescent="0.25">
      <c r="A196" s="210" t="s">
        <v>15356</v>
      </c>
      <c r="B196" s="204" t="s">
        <v>5262</v>
      </c>
      <c r="C196" s="204" t="s">
        <v>67</v>
      </c>
      <c r="D196" s="205">
        <v>3</v>
      </c>
      <c r="E196" s="204" t="s">
        <v>774</v>
      </c>
      <c r="F196" s="204" t="str">
        <f>VLOOKUP(E196,Table10[[COUNTRY NAME]:[CONTINENT CODE]],3,FALSE)</f>
        <v>OC</v>
      </c>
      <c r="G196" s="206" t="s">
        <v>12048</v>
      </c>
      <c r="H196" s="207">
        <v>8913</v>
      </c>
      <c r="I196" s="208">
        <v>21.75</v>
      </c>
      <c r="J196" s="345"/>
      <c r="K196" s="345">
        <f>IFERROR(Table15[[#This Row],[ROUTE $]]/Table15[[#This Row],[E - DEMAND]],0)</f>
        <v>0</v>
      </c>
      <c r="L196" s="204"/>
      <c r="M196" s="412">
        <f>IFERROR(VLOOKUP(Table15[[#This Row],[ROUTE]],DEMAND!A:F,5,FALSE),0)</f>
        <v>3193</v>
      </c>
      <c r="N196" s="16">
        <f>IFERROR(VLOOKUP(Table15[[#This Row],[ROUTE]],DEMAND!A:F,6,FALSE),0)</f>
        <v>3193</v>
      </c>
      <c r="O196" s="16">
        <f>IFERROR(ROUNDDOWN(Table15[[#This Row],[R-DEMAND]]/1706,0),0)</f>
        <v>1</v>
      </c>
      <c r="P196" s="16">
        <f>IFERROR(Table15[[#This Row],[ADD ACC]]*Table15[[#This Row],[RT TIME 
(380-800)]],0)</f>
        <v>21.75</v>
      </c>
      <c r="Q196" s="415">
        <f>IFERROR(VLOOKUP(Table15[[#This Row],[ROUTE]],PRICING!A:B,2,FALSE),0)</f>
        <v>0</v>
      </c>
      <c r="R196" s="235">
        <f>IFERROR(Table15[[#This Row],[C_DEMAND]]-Table15[[#This Row],[R-DEMAND]],0)</f>
        <v>0</v>
      </c>
      <c r="S196" s="408">
        <f t="shared" si="3"/>
        <v>0</v>
      </c>
      <c r="T196" s="419">
        <f>Table15[[#This Row],[R-DEMAND]]-(Table15[[#This Row],[ADD ACC]]*1706)</f>
        <v>1487</v>
      </c>
      <c r="U196" s="419">
        <f>ROUNDDOWN(Table15[[#This Row],[Column1]]/1360,0)</f>
        <v>1</v>
      </c>
      <c r="V196" s="419"/>
      <c r="W196" s="251">
        <v>21.75</v>
      </c>
      <c r="X196" s="251">
        <f>ROUNDDOWN(Table15[[#This Row],[R-DEMAND]]/1320,0)</f>
        <v>2</v>
      </c>
      <c r="Y196" s="251">
        <f>IFERROR(Table15[[#This Row],[ADD ACC
(660/1320)]]*Table15[[#This Row],[Duration
(B744)]],0)</f>
        <v>43.5</v>
      </c>
      <c r="Z196" s="251"/>
    </row>
    <row r="197" spans="1:26" ht="15.75" customHeight="1" x14ac:dyDescent="0.25">
      <c r="A197" s="210" t="s">
        <v>15634</v>
      </c>
      <c r="B197" s="204" t="s">
        <v>3025</v>
      </c>
      <c r="C197" s="204" t="s">
        <v>67</v>
      </c>
      <c r="D197" s="205">
        <v>2</v>
      </c>
      <c r="E197" s="204" t="s">
        <v>14</v>
      </c>
      <c r="F197" s="204" t="str">
        <f>VLOOKUP(E197,Table10[[COUNTRY NAME]:[CONTINENT CODE]],3,FALSE)</f>
        <v>AS</v>
      </c>
      <c r="G197" s="206" t="s">
        <v>11990</v>
      </c>
      <c r="H197" s="207">
        <v>5189</v>
      </c>
      <c r="I197" s="208">
        <v>13.5</v>
      </c>
      <c r="J197" s="345"/>
      <c r="K197" s="345">
        <f>IFERROR(Table15[[#This Row],[ROUTE $]]/Table15[[#This Row],[E - DEMAND]],0)</f>
        <v>0</v>
      </c>
      <c r="L197" s="204"/>
      <c r="M197" s="412">
        <f>IFERROR(VLOOKUP(Table15[[#This Row],[ROUTE]],DEMAND!A:F,5,FALSE),0)</f>
        <v>3183</v>
      </c>
      <c r="N197" s="16">
        <f>IFERROR(VLOOKUP(Table15[[#This Row],[ROUTE]],DEMAND!A:F,6,FALSE),0)</f>
        <v>3183</v>
      </c>
      <c r="O197" s="16">
        <f>IFERROR(ROUNDDOWN(Table15[[#This Row],[R-DEMAND]]/1706,0),0)</f>
        <v>1</v>
      </c>
      <c r="P197" s="16">
        <f>IFERROR(Table15[[#This Row],[ADD ACC]]*Table15[[#This Row],[RT TIME 
(380-800)]],0)</f>
        <v>13.5</v>
      </c>
      <c r="Q197" s="415">
        <f>IFERROR(VLOOKUP(Table15[[#This Row],[ROUTE]],PRICING!A:B,2,FALSE),0)</f>
        <v>0</v>
      </c>
      <c r="R197" s="235">
        <f>IFERROR(Table15[[#This Row],[C_DEMAND]]-Table15[[#This Row],[R-DEMAND]],0)</f>
        <v>0</v>
      </c>
      <c r="S197" s="408">
        <f t="shared" si="3"/>
        <v>0</v>
      </c>
      <c r="T197" s="419">
        <f>Table15[[#This Row],[R-DEMAND]]-(Table15[[#This Row],[ADD ACC]]*1706)</f>
        <v>1477</v>
      </c>
      <c r="U197" s="419">
        <f>ROUNDDOWN(Table15[[#This Row],[Column1]]/1360,0)</f>
        <v>1</v>
      </c>
      <c r="V197" s="419"/>
      <c r="W197" s="251">
        <v>13.5</v>
      </c>
      <c r="X197" s="251">
        <f>ROUNDDOWN(Table15[[#This Row],[R-DEMAND]]/1320,0)</f>
        <v>2</v>
      </c>
      <c r="Y197" s="251">
        <f>IFERROR(Table15[[#This Row],[ADD ACC
(660/1320)]]*Table15[[#This Row],[Duration
(B744)]],0)</f>
        <v>27</v>
      </c>
      <c r="Z197" s="251"/>
    </row>
    <row r="198" spans="1:26" ht="15.75" customHeight="1" x14ac:dyDescent="0.25">
      <c r="A198" s="210" t="s">
        <v>15557</v>
      </c>
      <c r="B198" s="204" t="s">
        <v>5473</v>
      </c>
      <c r="C198" s="204" t="s">
        <v>67</v>
      </c>
      <c r="D198" s="205">
        <v>4</v>
      </c>
      <c r="E198" s="204" t="s">
        <v>308</v>
      </c>
      <c r="F198" s="204" t="str">
        <f>VLOOKUP(E198,Table10[[COUNTRY NAME]:[CONTINENT CODE]],3,FALSE)</f>
        <v>EU</v>
      </c>
      <c r="G198" s="210" t="s">
        <v>11032</v>
      </c>
      <c r="H198" s="207">
        <v>6228</v>
      </c>
      <c r="I198" s="208">
        <v>16</v>
      </c>
      <c r="J198" s="345"/>
      <c r="K198" s="345">
        <f>IFERROR(Table15[[#This Row],[ROUTE $]]/Table15[[#This Row],[E - DEMAND]],0)</f>
        <v>0</v>
      </c>
      <c r="L198" s="204"/>
      <c r="M198" s="412">
        <f>IFERROR(VLOOKUP(Table15[[#This Row],[ROUTE]],DEMAND!A:F,5,FALSE),0)</f>
        <v>3177</v>
      </c>
      <c r="N198" s="16">
        <f>IFERROR(VLOOKUP(Table15[[#This Row],[ROUTE]],DEMAND!A:F,6,FALSE),0)</f>
        <v>3177</v>
      </c>
      <c r="O198" s="16">
        <f>IFERROR(ROUNDDOWN(Table15[[#This Row],[R-DEMAND]]/1706,0),0)</f>
        <v>1</v>
      </c>
      <c r="P198" s="16">
        <f>IFERROR(Table15[[#This Row],[ADD ACC]]*Table15[[#This Row],[RT TIME 
(380-800)]],0)</f>
        <v>16</v>
      </c>
      <c r="Q198" s="415">
        <f>IFERROR(VLOOKUP(Table15[[#This Row],[ROUTE]],PRICING!A:B,2,FALSE),0)</f>
        <v>0</v>
      </c>
      <c r="R198" s="235">
        <f>IFERROR(Table15[[#This Row],[C_DEMAND]]-Table15[[#This Row],[R-DEMAND]],0)</f>
        <v>0</v>
      </c>
      <c r="S198" s="408">
        <f t="shared" si="3"/>
        <v>0</v>
      </c>
      <c r="T198" s="419">
        <f>Table15[[#This Row],[R-DEMAND]]-(Table15[[#This Row],[ADD ACC]]*1706)</f>
        <v>1471</v>
      </c>
      <c r="U198" s="419">
        <f>ROUNDDOWN(Table15[[#This Row],[Column1]]/1360,0)</f>
        <v>1</v>
      </c>
      <c r="V198" s="419"/>
      <c r="W198" s="251">
        <v>16</v>
      </c>
      <c r="X198" s="251">
        <f>ROUNDDOWN(Table15[[#This Row],[R-DEMAND]]/1320,0)</f>
        <v>2</v>
      </c>
      <c r="Y198" s="251">
        <f>IFERROR(Table15[[#This Row],[ADD ACC
(660/1320)]]*Table15[[#This Row],[Duration
(B744)]],0)</f>
        <v>32</v>
      </c>
      <c r="Z198" s="251"/>
    </row>
    <row r="199" spans="1:26" ht="15.75" customHeight="1" x14ac:dyDescent="0.25">
      <c r="A199" s="210" t="s">
        <v>15390</v>
      </c>
      <c r="B199" s="204" t="s">
        <v>424</v>
      </c>
      <c r="C199" s="204" t="s">
        <v>67</v>
      </c>
      <c r="D199" s="205">
        <v>3</v>
      </c>
      <c r="E199" s="204" t="s">
        <v>83</v>
      </c>
      <c r="F199" s="204" t="str">
        <f>VLOOKUP(E199,Table10[[COUNTRY NAME]:[CONTINENT CODE]],3,FALSE)</f>
        <v>EU</v>
      </c>
      <c r="G199" s="210" t="s">
        <v>11700</v>
      </c>
      <c r="H199" s="207">
        <v>7593</v>
      </c>
      <c r="I199" s="208">
        <v>19</v>
      </c>
      <c r="J199" s="345"/>
      <c r="K199" s="345">
        <f>IFERROR(Table15[[#This Row],[ROUTE $]]/Table15[[#This Row],[E - DEMAND]],0)</f>
        <v>0</v>
      </c>
      <c r="L199" s="204"/>
      <c r="M199" s="412">
        <f>IFERROR(VLOOKUP(Table15[[#This Row],[ROUTE]],DEMAND!A:F,5,FALSE),0)</f>
        <v>3176</v>
      </c>
      <c r="N199" s="16">
        <f>IFERROR(VLOOKUP(Table15[[#This Row],[ROUTE]],DEMAND!A:F,6,FALSE),0)</f>
        <v>3176</v>
      </c>
      <c r="O199" s="16">
        <f>IFERROR(ROUNDDOWN(Table15[[#This Row],[R-DEMAND]]/1706,0),0)</f>
        <v>1</v>
      </c>
      <c r="P199" s="16">
        <f>IFERROR(Table15[[#This Row],[ADD ACC]]*Table15[[#This Row],[RT TIME 
(380-800)]],0)</f>
        <v>19</v>
      </c>
      <c r="Q199" s="415">
        <f>IFERROR(VLOOKUP(Table15[[#This Row],[ROUTE]],PRICING!A:B,2,FALSE),0)</f>
        <v>0</v>
      </c>
      <c r="R199" s="235">
        <f>IFERROR(Table15[[#This Row],[C_DEMAND]]-Table15[[#This Row],[R-DEMAND]],0)</f>
        <v>0</v>
      </c>
      <c r="S199" s="408">
        <f t="shared" si="3"/>
        <v>0</v>
      </c>
      <c r="T199" s="419">
        <f>Table15[[#This Row],[R-DEMAND]]-(Table15[[#This Row],[ADD ACC]]*1706)</f>
        <v>1470</v>
      </c>
      <c r="U199" s="419">
        <f>ROUNDDOWN(Table15[[#This Row],[Column1]]/1360,0)</f>
        <v>1</v>
      </c>
      <c r="V199" s="419"/>
      <c r="W199" s="251">
        <v>19</v>
      </c>
      <c r="X199" s="251">
        <f>ROUNDDOWN(Table15[[#This Row],[R-DEMAND]]/1320,0)</f>
        <v>2</v>
      </c>
      <c r="Y199" s="251">
        <f>IFERROR(Table15[[#This Row],[ADD ACC
(660/1320)]]*Table15[[#This Row],[Duration
(B744)]],0)</f>
        <v>38</v>
      </c>
      <c r="Z199" s="251"/>
    </row>
    <row r="200" spans="1:26" ht="15.75" customHeight="1" x14ac:dyDescent="0.25">
      <c r="A200" s="210" t="s">
        <v>15497</v>
      </c>
      <c r="B200" s="204" t="s">
        <v>4847</v>
      </c>
      <c r="C200" s="204" t="s">
        <v>67</v>
      </c>
      <c r="D200" s="205">
        <v>3</v>
      </c>
      <c r="E200" s="204" t="s">
        <v>605</v>
      </c>
      <c r="F200" s="204" t="str">
        <f>VLOOKUP(E200,Table10[[COUNTRY NAME]:[CONTINENT CODE]],3,FALSE)</f>
        <v>EU</v>
      </c>
      <c r="G200" s="210" t="s">
        <v>11771</v>
      </c>
      <c r="H200" s="207">
        <v>6647</v>
      </c>
      <c r="I200" s="208">
        <v>16.75</v>
      </c>
      <c r="J200" s="345"/>
      <c r="K200" s="345">
        <f>IFERROR(Table15[[#This Row],[ROUTE $]]/Table15[[#This Row],[E - DEMAND]],0)</f>
        <v>0</v>
      </c>
      <c r="L200" s="204"/>
      <c r="M200" s="412">
        <f>IFERROR(VLOOKUP(Table15[[#This Row],[ROUTE]],DEMAND!A:F,5,FALSE),0)</f>
        <v>3161</v>
      </c>
      <c r="N200" s="16">
        <f>IFERROR(VLOOKUP(Table15[[#This Row],[ROUTE]],DEMAND!A:F,6,FALSE),0)</f>
        <v>3161</v>
      </c>
      <c r="O200" s="16">
        <f>IFERROR(ROUNDDOWN(Table15[[#This Row],[R-DEMAND]]/1706,0),0)</f>
        <v>1</v>
      </c>
      <c r="P200" s="16">
        <f>IFERROR(Table15[[#This Row],[ADD ACC]]*Table15[[#This Row],[RT TIME 
(380-800)]],0)</f>
        <v>16.75</v>
      </c>
      <c r="Q200" s="415">
        <f>IFERROR(VLOOKUP(Table15[[#This Row],[ROUTE]],PRICING!A:B,2,FALSE),0)</f>
        <v>0</v>
      </c>
      <c r="R200" s="235">
        <f>IFERROR(Table15[[#This Row],[C_DEMAND]]-Table15[[#This Row],[R-DEMAND]],0)</f>
        <v>0</v>
      </c>
      <c r="S200" s="408">
        <f t="shared" si="3"/>
        <v>0</v>
      </c>
      <c r="T200" s="419">
        <f>Table15[[#This Row],[R-DEMAND]]-(Table15[[#This Row],[ADD ACC]]*1706)</f>
        <v>1455</v>
      </c>
      <c r="U200" s="419">
        <f>ROUNDDOWN(Table15[[#This Row],[Column1]]/1360,0)</f>
        <v>1</v>
      </c>
      <c r="V200" s="419"/>
      <c r="W200" s="251">
        <v>16.75</v>
      </c>
      <c r="X200" s="251">
        <f>ROUNDDOWN(Table15[[#This Row],[R-DEMAND]]/1320,0)</f>
        <v>2</v>
      </c>
      <c r="Y200" s="251">
        <f>IFERROR(Table15[[#This Row],[ADD ACC
(660/1320)]]*Table15[[#This Row],[Duration
(B744)]],0)</f>
        <v>33.5</v>
      </c>
      <c r="Z200" s="251"/>
    </row>
    <row r="201" spans="1:26" ht="15.75" customHeight="1" x14ac:dyDescent="0.25">
      <c r="A201" s="210" t="s">
        <v>15305</v>
      </c>
      <c r="B201" s="204" t="s">
        <v>428</v>
      </c>
      <c r="C201" s="204" t="s">
        <v>67</v>
      </c>
      <c r="D201" s="205">
        <v>3</v>
      </c>
      <c r="E201" s="16" t="s">
        <v>11732</v>
      </c>
      <c r="F201" s="204" t="str">
        <f>VLOOKUP(E201,Table10[[COUNTRY NAME]:[CONTINENT CODE]],3,FALSE)</f>
        <v>NA - US</v>
      </c>
      <c r="G201" s="206" t="s">
        <v>13341</v>
      </c>
      <c r="H201" s="207">
        <v>12364</v>
      </c>
      <c r="I201" s="208">
        <v>29.5</v>
      </c>
      <c r="J201" s="345"/>
      <c r="K201" s="345">
        <f>IFERROR(Table15[[#This Row],[ROUTE $]]/Table15[[#This Row],[E - DEMAND]],0)</f>
        <v>0</v>
      </c>
      <c r="L201" s="204"/>
      <c r="M201" s="412">
        <f>IFERROR(VLOOKUP(Table15[[#This Row],[ROUTE]],DEMAND!A:F,5,FALSE),0)</f>
        <v>3153</v>
      </c>
      <c r="N201" s="16">
        <f>IFERROR(VLOOKUP(Table15[[#This Row],[ROUTE]],DEMAND!A:F,6,FALSE),0)</f>
        <v>3153</v>
      </c>
      <c r="O201" s="16">
        <f>IFERROR(ROUNDDOWN(Table15[[#This Row],[R-DEMAND]]/1706,0),0)</f>
        <v>1</v>
      </c>
      <c r="P201" s="16">
        <f>IFERROR(Table15[[#This Row],[ADD ACC]]*Table15[[#This Row],[RT TIME 
(380-800)]],0)</f>
        <v>29.5</v>
      </c>
      <c r="Q201" s="415">
        <f>IFERROR(VLOOKUP(Table15[[#This Row],[ROUTE]],PRICING!A:B,2,FALSE),0)</f>
        <v>0</v>
      </c>
      <c r="R201" s="235">
        <f>IFERROR(Table15[[#This Row],[C_DEMAND]]-Table15[[#This Row],[R-DEMAND]],0)</f>
        <v>0</v>
      </c>
      <c r="S201" s="408">
        <f t="shared" si="3"/>
        <v>0</v>
      </c>
      <c r="T201" s="419">
        <f>Table15[[#This Row],[R-DEMAND]]-(Table15[[#This Row],[ADD ACC]]*1706)</f>
        <v>1447</v>
      </c>
      <c r="U201" s="419">
        <f>ROUNDDOWN(Table15[[#This Row],[Column1]]/1360,0)</f>
        <v>1</v>
      </c>
      <c r="V201" s="419"/>
      <c r="W201" s="251">
        <v>29.5</v>
      </c>
      <c r="X201" s="251">
        <f>ROUNDDOWN(Table15[[#This Row],[R-DEMAND]]/1320,0)</f>
        <v>2</v>
      </c>
      <c r="Y201" s="251">
        <f>IFERROR(Table15[[#This Row],[ADD ACC
(660/1320)]]*Table15[[#This Row],[Duration
(B744)]],0)</f>
        <v>59</v>
      </c>
      <c r="Z201" s="251"/>
    </row>
    <row r="202" spans="1:26" ht="15.75" customHeight="1" x14ac:dyDescent="0.25">
      <c r="A202" s="210" t="s">
        <v>15355</v>
      </c>
      <c r="B202" s="204" t="s">
        <v>5277</v>
      </c>
      <c r="C202" s="204" t="s">
        <v>67</v>
      </c>
      <c r="D202" s="205">
        <v>3</v>
      </c>
      <c r="E202" s="204" t="s">
        <v>119</v>
      </c>
      <c r="F202" s="204" t="str">
        <f>VLOOKUP(E202,Table10[[COUNTRY NAME]:[CONTINENT CODE]],3,FALSE)</f>
        <v>EU</v>
      </c>
      <c r="G202" s="210" t="s">
        <v>13251</v>
      </c>
      <c r="H202" s="207">
        <v>8938</v>
      </c>
      <c r="I202" s="208">
        <v>22</v>
      </c>
      <c r="J202" s="345"/>
      <c r="K202" s="345">
        <f>IFERROR(Table15[[#This Row],[ROUTE $]]/Table15[[#This Row],[E - DEMAND]],0)</f>
        <v>0</v>
      </c>
      <c r="L202" s="204"/>
      <c r="M202" s="412">
        <f>IFERROR(VLOOKUP(Table15[[#This Row],[ROUTE]],DEMAND!A:F,5,FALSE),0)</f>
        <v>3150</v>
      </c>
      <c r="N202" s="16">
        <f>IFERROR(VLOOKUP(Table15[[#This Row],[ROUTE]],DEMAND!A:F,6,FALSE),0)</f>
        <v>3150</v>
      </c>
      <c r="O202" s="16">
        <f>IFERROR(ROUNDDOWN(Table15[[#This Row],[R-DEMAND]]/1706,0),0)</f>
        <v>1</v>
      </c>
      <c r="P202" s="16">
        <f>IFERROR(Table15[[#This Row],[ADD ACC]]*Table15[[#This Row],[RT TIME 
(380-800)]],0)</f>
        <v>22</v>
      </c>
      <c r="Q202" s="415">
        <f>IFERROR(VLOOKUP(Table15[[#This Row],[ROUTE]],PRICING!A:B,2,FALSE),0)</f>
        <v>0</v>
      </c>
      <c r="R202" s="235">
        <f>IFERROR(Table15[[#This Row],[C_DEMAND]]-Table15[[#This Row],[R-DEMAND]],0)</f>
        <v>0</v>
      </c>
      <c r="S202" s="408">
        <f t="shared" si="3"/>
        <v>0</v>
      </c>
      <c r="T202" s="419">
        <f>Table15[[#This Row],[R-DEMAND]]-(Table15[[#This Row],[ADD ACC]]*1706)</f>
        <v>1444</v>
      </c>
      <c r="U202" s="419">
        <f>ROUNDDOWN(Table15[[#This Row],[Column1]]/1360,0)</f>
        <v>1</v>
      </c>
      <c r="V202" s="419"/>
      <c r="W202" s="251">
        <v>22</v>
      </c>
      <c r="X202" s="251">
        <f>ROUNDDOWN(Table15[[#This Row],[R-DEMAND]]/1320,0)</f>
        <v>2</v>
      </c>
      <c r="Y202" s="251">
        <f>IFERROR(Table15[[#This Row],[ADD ACC
(660/1320)]]*Table15[[#This Row],[Duration
(B744)]],0)</f>
        <v>44</v>
      </c>
      <c r="Z202" s="251"/>
    </row>
    <row r="203" spans="1:26" ht="15.75" customHeight="1" x14ac:dyDescent="0.25">
      <c r="A203" s="210" t="s">
        <v>15902</v>
      </c>
      <c r="B203" s="204" t="s">
        <v>2884</v>
      </c>
      <c r="C203" s="204" t="s">
        <v>67</v>
      </c>
      <c r="D203" s="205">
        <v>2</v>
      </c>
      <c r="E203" s="204" t="s">
        <v>14</v>
      </c>
      <c r="F203" s="204" t="str">
        <f>VLOOKUP(E203,Table10[[COUNTRY NAME]:[CONTINENT CODE]],3,FALSE)</f>
        <v>AS</v>
      </c>
      <c r="G203" s="206" t="s">
        <v>12058</v>
      </c>
      <c r="H203" s="207">
        <v>2450</v>
      </c>
      <c r="I203" s="208">
        <v>7.5</v>
      </c>
      <c r="J203" s="345"/>
      <c r="K203" s="345">
        <f>IFERROR(Table15[[#This Row],[ROUTE $]]/Table15[[#This Row],[E - DEMAND]],0)</f>
        <v>0</v>
      </c>
      <c r="L203" s="204"/>
      <c r="M203" s="412">
        <f>IFERROR(VLOOKUP(Table15[[#This Row],[ROUTE]],DEMAND!A:F,5,FALSE),0)</f>
        <v>3141</v>
      </c>
      <c r="N203" s="16">
        <f>IFERROR(VLOOKUP(Table15[[#This Row],[ROUTE]],DEMAND!A:F,6,FALSE),0)</f>
        <v>3141</v>
      </c>
      <c r="O203" s="16">
        <f>IFERROR(ROUNDDOWN(Table15[[#This Row],[R-DEMAND]]/1706,0),0)</f>
        <v>1</v>
      </c>
      <c r="P203" s="16">
        <f>IFERROR(Table15[[#This Row],[ADD ACC]]*Table15[[#This Row],[RT TIME 
(380-800)]],0)</f>
        <v>7.5</v>
      </c>
      <c r="Q203" s="415">
        <f>IFERROR(VLOOKUP(Table15[[#This Row],[ROUTE]],PRICING!A:B,2,FALSE),0)</f>
        <v>0</v>
      </c>
      <c r="R203" s="235">
        <f>IFERROR(Table15[[#This Row],[C_DEMAND]]-Table15[[#This Row],[R-DEMAND]],0)</f>
        <v>0</v>
      </c>
      <c r="S203" s="408">
        <f t="shared" si="3"/>
        <v>0</v>
      </c>
      <c r="T203" s="419">
        <f>Table15[[#This Row],[R-DEMAND]]-(Table15[[#This Row],[ADD ACC]]*1706)</f>
        <v>1435</v>
      </c>
      <c r="U203" s="419">
        <f>ROUNDDOWN(Table15[[#This Row],[Column1]]/1360,0)</f>
        <v>1</v>
      </c>
      <c r="V203" s="419"/>
      <c r="W203" s="251">
        <v>7.5</v>
      </c>
      <c r="X203" s="251">
        <f>ROUNDDOWN(Table15[[#This Row],[R-DEMAND]]/1320,0)</f>
        <v>2</v>
      </c>
      <c r="Y203" s="251">
        <f>IFERROR(Table15[[#This Row],[ADD ACC
(660/1320)]]*Table15[[#This Row],[Duration
(B744)]],0)</f>
        <v>15</v>
      </c>
      <c r="Z203" s="251"/>
    </row>
    <row r="204" spans="1:26" ht="15.75" customHeight="1" x14ac:dyDescent="0.25">
      <c r="A204" s="210" t="s">
        <v>15616</v>
      </c>
      <c r="B204" s="204" t="s">
        <v>4764</v>
      </c>
      <c r="C204" s="204" t="s">
        <v>67</v>
      </c>
      <c r="D204" s="205">
        <v>3</v>
      </c>
      <c r="E204" s="204" t="s">
        <v>258</v>
      </c>
      <c r="F204" s="204" t="str">
        <f>VLOOKUP(E204,Table10[[COUNTRY NAME]:[CONTINENT CODE]],3,FALSE)</f>
        <v>AS</v>
      </c>
      <c r="G204" s="206" t="s">
        <v>8977</v>
      </c>
      <c r="H204" s="207">
        <v>5558</v>
      </c>
      <c r="I204" s="208">
        <v>14.5</v>
      </c>
      <c r="J204" s="345"/>
      <c r="K204" s="345">
        <f>IFERROR(Table15[[#This Row],[ROUTE $]]/Table15[[#This Row],[E - DEMAND]],0)</f>
        <v>0</v>
      </c>
      <c r="L204" s="204"/>
      <c r="M204" s="412">
        <f>IFERROR(VLOOKUP(Table15[[#This Row],[ROUTE]],DEMAND!A:F,5,FALSE),0)</f>
        <v>3130</v>
      </c>
      <c r="N204" s="16">
        <f>IFERROR(VLOOKUP(Table15[[#This Row],[ROUTE]],DEMAND!A:F,6,FALSE),0)</f>
        <v>3130</v>
      </c>
      <c r="O204" s="16">
        <f>IFERROR(ROUNDDOWN(Table15[[#This Row],[R-DEMAND]]/1706,0),0)</f>
        <v>1</v>
      </c>
      <c r="P204" s="16">
        <f>IFERROR(Table15[[#This Row],[ADD ACC]]*Table15[[#This Row],[RT TIME 
(380-800)]],0)</f>
        <v>14.5</v>
      </c>
      <c r="Q204" s="415">
        <f>IFERROR(VLOOKUP(Table15[[#This Row],[ROUTE]],PRICING!A:B,2,FALSE),0)</f>
        <v>0</v>
      </c>
      <c r="R204" s="235">
        <f>IFERROR(Table15[[#This Row],[C_DEMAND]]-Table15[[#This Row],[R-DEMAND]],0)</f>
        <v>0</v>
      </c>
      <c r="S204" s="408">
        <f t="shared" si="3"/>
        <v>0</v>
      </c>
      <c r="T204" s="419">
        <f>Table15[[#This Row],[R-DEMAND]]-(Table15[[#This Row],[ADD ACC]]*1706)</f>
        <v>1424</v>
      </c>
      <c r="U204" s="419">
        <f>ROUNDDOWN(Table15[[#This Row],[Column1]]/1360,0)</f>
        <v>1</v>
      </c>
      <c r="V204" s="419"/>
      <c r="W204" s="251">
        <v>14.5</v>
      </c>
      <c r="X204" s="251">
        <f>ROUNDDOWN(Table15[[#This Row],[R-DEMAND]]/1320,0)</f>
        <v>2</v>
      </c>
      <c r="Y204" s="251">
        <f>IFERROR(Table15[[#This Row],[ADD ACC
(660/1320)]]*Table15[[#This Row],[Duration
(B744)]],0)</f>
        <v>29</v>
      </c>
      <c r="Z204" s="251"/>
    </row>
    <row r="205" spans="1:26" ht="15.75" customHeight="1" x14ac:dyDescent="0.25">
      <c r="A205" s="210" t="s">
        <v>15704</v>
      </c>
      <c r="B205" s="204" t="s">
        <v>2868</v>
      </c>
      <c r="C205" s="204" t="s">
        <v>67</v>
      </c>
      <c r="D205" s="205">
        <v>2</v>
      </c>
      <c r="E205" s="204" t="s">
        <v>14</v>
      </c>
      <c r="F205" s="204" t="str">
        <f>VLOOKUP(E205,Table10[[COUNTRY NAME]:[CONTINENT CODE]],3,FALSE)</f>
        <v>AS</v>
      </c>
      <c r="G205" s="206" t="s">
        <v>12039</v>
      </c>
      <c r="H205" s="207">
        <v>4618</v>
      </c>
      <c r="I205" s="208">
        <v>12.25</v>
      </c>
      <c r="J205" s="345"/>
      <c r="K205" s="345">
        <f>IFERROR(Table15[[#This Row],[ROUTE $]]/Table15[[#This Row],[E - DEMAND]],0)</f>
        <v>0</v>
      </c>
      <c r="L205" s="204"/>
      <c r="M205" s="412">
        <f>IFERROR(VLOOKUP(Table15[[#This Row],[ROUTE]],DEMAND!A:F,5,FALSE),0)</f>
        <v>3128</v>
      </c>
      <c r="N205" s="16">
        <f>IFERROR(VLOOKUP(Table15[[#This Row],[ROUTE]],DEMAND!A:F,6,FALSE),0)</f>
        <v>3128</v>
      </c>
      <c r="O205" s="16">
        <f>IFERROR(ROUNDDOWN(Table15[[#This Row],[R-DEMAND]]/1706,0),0)</f>
        <v>1</v>
      </c>
      <c r="P205" s="16">
        <f>IFERROR(Table15[[#This Row],[ADD ACC]]*Table15[[#This Row],[RT TIME 
(380-800)]],0)</f>
        <v>12.25</v>
      </c>
      <c r="Q205" s="415">
        <f>IFERROR(VLOOKUP(Table15[[#This Row],[ROUTE]],PRICING!A:B,2,FALSE),0)</f>
        <v>0</v>
      </c>
      <c r="R205" s="235">
        <f>IFERROR(Table15[[#This Row],[C_DEMAND]]-Table15[[#This Row],[R-DEMAND]],0)</f>
        <v>0</v>
      </c>
      <c r="S205" s="408">
        <f t="shared" si="3"/>
        <v>0</v>
      </c>
      <c r="T205" s="419">
        <f>Table15[[#This Row],[R-DEMAND]]-(Table15[[#This Row],[ADD ACC]]*1706)</f>
        <v>1422</v>
      </c>
      <c r="U205" s="419">
        <f>ROUNDDOWN(Table15[[#This Row],[Column1]]/1360,0)</f>
        <v>1</v>
      </c>
      <c r="V205" s="419"/>
      <c r="W205" s="251">
        <v>12.25</v>
      </c>
      <c r="X205" s="251">
        <f>ROUNDDOWN(Table15[[#This Row],[R-DEMAND]]/1320,0)</f>
        <v>2</v>
      </c>
      <c r="Y205" s="251">
        <f>IFERROR(Table15[[#This Row],[ADD ACC
(660/1320)]]*Table15[[#This Row],[Duration
(B744)]],0)</f>
        <v>24.5</v>
      </c>
      <c r="Z205" s="251"/>
    </row>
    <row r="206" spans="1:26" ht="15.75" customHeight="1" x14ac:dyDescent="0.25">
      <c r="A206" s="210" t="s">
        <v>15551</v>
      </c>
      <c r="B206" s="204" t="s">
        <v>5392</v>
      </c>
      <c r="C206" s="204" t="s">
        <v>67</v>
      </c>
      <c r="D206" s="205">
        <v>3</v>
      </c>
      <c r="E206" s="204" t="s">
        <v>308</v>
      </c>
      <c r="F206" s="204" t="str">
        <f>VLOOKUP(E206,Table10[[COUNTRY NAME]:[CONTINENT CODE]],3,FALSE)</f>
        <v>EU</v>
      </c>
      <c r="G206" s="210" t="s">
        <v>11778</v>
      </c>
      <c r="H206" s="207">
        <v>6298</v>
      </c>
      <c r="I206" s="208">
        <v>16</v>
      </c>
      <c r="J206" s="345"/>
      <c r="K206" s="345">
        <f>IFERROR(Table15[[#This Row],[ROUTE $]]/Table15[[#This Row],[E - DEMAND]],0)</f>
        <v>0</v>
      </c>
      <c r="L206" s="204"/>
      <c r="M206" s="412">
        <f>IFERROR(VLOOKUP(Table15[[#This Row],[ROUTE]],DEMAND!A:F,5,FALSE),0)</f>
        <v>3123</v>
      </c>
      <c r="N206" s="16">
        <f>IFERROR(VLOOKUP(Table15[[#This Row],[ROUTE]],DEMAND!A:F,6,FALSE),0)</f>
        <v>3123</v>
      </c>
      <c r="O206" s="16">
        <f>IFERROR(ROUNDDOWN(Table15[[#This Row],[R-DEMAND]]/1706,0),0)</f>
        <v>1</v>
      </c>
      <c r="P206" s="16">
        <f>IFERROR(Table15[[#This Row],[ADD ACC]]*Table15[[#This Row],[RT TIME 
(380-800)]],0)</f>
        <v>16</v>
      </c>
      <c r="Q206" s="415">
        <f>IFERROR(VLOOKUP(Table15[[#This Row],[ROUTE]],PRICING!A:B,2,FALSE),0)</f>
        <v>0</v>
      </c>
      <c r="R206" s="235">
        <f>IFERROR(Table15[[#This Row],[C_DEMAND]]-Table15[[#This Row],[R-DEMAND]],0)</f>
        <v>0</v>
      </c>
      <c r="S206" s="408">
        <f t="shared" si="3"/>
        <v>0</v>
      </c>
      <c r="T206" s="419">
        <f>Table15[[#This Row],[R-DEMAND]]-(Table15[[#This Row],[ADD ACC]]*1706)</f>
        <v>1417</v>
      </c>
      <c r="U206" s="419">
        <f>ROUNDDOWN(Table15[[#This Row],[Column1]]/1360,0)</f>
        <v>1</v>
      </c>
      <c r="V206" s="419"/>
      <c r="W206" s="251">
        <v>16</v>
      </c>
      <c r="X206" s="251">
        <f>ROUNDDOWN(Table15[[#This Row],[R-DEMAND]]/1320,0)</f>
        <v>2</v>
      </c>
      <c r="Y206" s="251">
        <f>IFERROR(Table15[[#This Row],[ADD ACC
(660/1320)]]*Table15[[#This Row],[Duration
(B744)]],0)</f>
        <v>32</v>
      </c>
      <c r="Z206" s="251"/>
    </row>
    <row r="207" spans="1:26" ht="15.75" customHeight="1" x14ac:dyDescent="0.25">
      <c r="A207" s="210" t="s">
        <v>15419</v>
      </c>
      <c r="B207" s="204" t="s">
        <v>5416</v>
      </c>
      <c r="C207" s="204" t="s">
        <v>67</v>
      </c>
      <c r="D207" s="205">
        <v>3</v>
      </c>
      <c r="E207" s="204" t="s">
        <v>119</v>
      </c>
      <c r="F207" s="204" t="str">
        <f>VLOOKUP(E207,Table10[[COUNTRY NAME]:[CONTINENT CODE]],3,FALSE)</f>
        <v>EU</v>
      </c>
      <c r="G207" s="210" t="s">
        <v>11705</v>
      </c>
      <c r="H207" s="207">
        <v>7268</v>
      </c>
      <c r="I207" s="208">
        <v>18.25</v>
      </c>
      <c r="J207" s="345"/>
      <c r="K207" s="345">
        <f>IFERROR(Table15[[#This Row],[ROUTE $]]/Table15[[#This Row],[E - DEMAND]],0)</f>
        <v>0</v>
      </c>
      <c r="L207" s="204"/>
      <c r="M207" s="412">
        <f>IFERROR(VLOOKUP(Table15[[#This Row],[ROUTE]],DEMAND!A:F,5,FALSE),0)</f>
        <v>3121</v>
      </c>
      <c r="N207" s="16">
        <f>IFERROR(VLOOKUP(Table15[[#This Row],[ROUTE]],DEMAND!A:F,6,FALSE),0)</f>
        <v>3121</v>
      </c>
      <c r="O207" s="16">
        <f>IFERROR(ROUNDDOWN(Table15[[#This Row],[R-DEMAND]]/1706,0),0)</f>
        <v>1</v>
      </c>
      <c r="P207" s="16">
        <f>IFERROR(Table15[[#This Row],[ADD ACC]]*Table15[[#This Row],[RT TIME 
(380-800)]],0)</f>
        <v>18.25</v>
      </c>
      <c r="Q207" s="415">
        <f>IFERROR(VLOOKUP(Table15[[#This Row],[ROUTE]],PRICING!A:B,2,FALSE),0)</f>
        <v>0</v>
      </c>
      <c r="R207" s="235">
        <f>IFERROR(Table15[[#This Row],[C_DEMAND]]-Table15[[#This Row],[R-DEMAND]],0)</f>
        <v>0</v>
      </c>
      <c r="S207" s="408">
        <f t="shared" si="3"/>
        <v>0</v>
      </c>
      <c r="T207" s="419">
        <f>Table15[[#This Row],[R-DEMAND]]-(Table15[[#This Row],[ADD ACC]]*1706)</f>
        <v>1415</v>
      </c>
      <c r="U207" s="419">
        <f>ROUNDDOWN(Table15[[#This Row],[Column1]]/1360,0)</f>
        <v>1</v>
      </c>
      <c r="V207" s="419"/>
      <c r="W207" s="251">
        <v>18.25</v>
      </c>
      <c r="X207" s="251">
        <f>ROUNDDOWN(Table15[[#This Row],[R-DEMAND]]/1320,0)</f>
        <v>2</v>
      </c>
      <c r="Y207" s="251">
        <f>IFERROR(Table15[[#This Row],[ADD ACC
(660/1320)]]*Table15[[#This Row],[Duration
(B744)]],0)</f>
        <v>36.5</v>
      </c>
      <c r="Z207" s="251"/>
    </row>
    <row r="208" spans="1:26" ht="15.75" customHeight="1" x14ac:dyDescent="0.25">
      <c r="A208" s="210" t="s">
        <v>15259</v>
      </c>
      <c r="B208" s="204" t="s">
        <v>5293</v>
      </c>
      <c r="C208" s="204" t="s">
        <v>67</v>
      </c>
      <c r="D208" s="205">
        <v>3</v>
      </c>
      <c r="E208" s="16" t="s">
        <v>11732</v>
      </c>
      <c r="F208" s="204" t="str">
        <f>VLOOKUP(E208,Table10[[COUNTRY NAME]:[CONTINENT CODE]],3,FALSE)</f>
        <v>NA - US</v>
      </c>
      <c r="G208" s="206" t="s">
        <v>13297</v>
      </c>
      <c r="H208" s="207">
        <v>13204</v>
      </c>
      <c r="I208" s="208">
        <v>31.25</v>
      </c>
      <c r="J208" s="345"/>
      <c r="K208" s="345">
        <f>IFERROR(Table15[[#This Row],[ROUTE $]]/Table15[[#This Row],[E - DEMAND]],0)</f>
        <v>0</v>
      </c>
      <c r="L208" s="204"/>
      <c r="M208" s="412">
        <f>IFERROR(VLOOKUP(Table15[[#This Row],[ROUTE]],DEMAND!A:F,5,FALSE),0)</f>
        <v>3121</v>
      </c>
      <c r="N208" s="16">
        <f>IFERROR(VLOOKUP(Table15[[#This Row],[ROUTE]],DEMAND!A:F,6,FALSE),0)</f>
        <v>3121</v>
      </c>
      <c r="O208" s="16">
        <f>IFERROR(ROUNDDOWN(Table15[[#This Row],[R-DEMAND]]/1706,0),0)</f>
        <v>1</v>
      </c>
      <c r="P208" s="16">
        <f>IFERROR(Table15[[#This Row],[ADD ACC]]*Table15[[#This Row],[RT TIME 
(380-800)]],0)</f>
        <v>31.25</v>
      </c>
      <c r="Q208" s="415">
        <f>IFERROR(VLOOKUP(Table15[[#This Row],[ROUTE]],PRICING!A:B,2,FALSE),0)</f>
        <v>0</v>
      </c>
      <c r="R208" s="235">
        <f>IFERROR(Table15[[#This Row],[C_DEMAND]]-Table15[[#This Row],[R-DEMAND]],0)</f>
        <v>0</v>
      </c>
      <c r="S208" s="408">
        <f t="shared" si="3"/>
        <v>0</v>
      </c>
      <c r="T208" s="419">
        <f>Table15[[#This Row],[R-DEMAND]]-(Table15[[#This Row],[ADD ACC]]*1706)</f>
        <v>1415</v>
      </c>
      <c r="U208" s="419">
        <f>ROUNDDOWN(Table15[[#This Row],[Column1]]/1360,0)</f>
        <v>1</v>
      </c>
      <c r="V208" s="419"/>
      <c r="W208" s="251">
        <v>31.25</v>
      </c>
      <c r="X208" s="251">
        <f>ROUNDDOWN(Table15[[#This Row],[R-DEMAND]]/1320,0)</f>
        <v>2</v>
      </c>
      <c r="Y208" s="251">
        <f>IFERROR(Table15[[#This Row],[ADD ACC
(660/1320)]]*Table15[[#This Row],[Duration
(B744)]],0)</f>
        <v>62.5</v>
      </c>
      <c r="Z208" s="251"/>
    </row>
    <row r="209" spans="1:26" ht="15.75" customHeight="1" x14ac:dyDescent="0.25">
      <c r="A209" s="210" t="s">
        <v>15517</v>
      </c>
      <c r="B209" s="204" t="s">
        <v>5343</v>
      </c>
      <c r="C209" s="204" t="s">
        <v>67</v>
      </c>
      <c r="D209" s="205">
        <v>3</v>
      </c>
      <c r="E209" s="204" t="s">
        <v>1427</v>
      </c>
      <c r="F209" s="204" t="str">
        <f>VLOOKUP(E209,Table10[[COUNTRY NAME]:[CONTINENT CODE]],3,FALSE)</f>
        <v>EU</v>
      </c>
      <c r="G209" s="210" t="s">
        <v>11762</v>
      </c>
      <c r="H209" s="207">
        <v>6531</v>
      </c>
      <c r="I209" s="208">
        <v>16.5</v>
      </c>
      <c r="J209" s="345"/>
      <c r="K209" s="345">
        <f>IFERROR(Table15[[#This Row],[ROUTE $]]/Table15[[#This Row],[E - DEMAND]],0)</f>
        <v>0</v>
      </c>
      <c r="L209" s="204"/>
      <c r="M209" s="412">
        <f>IFERROR(VLOOKUP(Table15[[#This Row],[ROUTE]],DEMAND!A:F,5,FALSE),0)</f>
        <v>3116</v>
      </c>
      <c r="N209" s="16">
        <f>IFERROR(VLOOKUP(Table15[[#This Row],[ROUTE]],DEMAND!A:F,6,FALSE),0)</f>
        <v>3116</v>
      </c>
      <c r="O209" s="16">
        <f>IFERROR(ROUNDDOWN(Table15[[#This Row],[R-DEMAND]]/1706,0),0)</f>
        <v>1</v>
      </c>
      <c r="P209" s="16">
        <f>IFERROR(Table15[[#This Row],[ADD ACC]]*Table15[[#This Row],[RT TIME 
(380-800)]],0)</f>
        <v>16.5</v>
      </c>
      <c r="Q209" s="415">
        <f>IFERROR(VLOOKUP(Table15[[#This Row],[ROUTE]],PRICING!A:B,2,FALSE),0)</f>
        <v>0</v>
      </c>
      <c r="R209" s="235">
        <f>IFERROR(Table15[[#This Row],[C_DEMAND]]-Table15[[#This Row],[R-DEMAND]],0)</f>
        <v>0</v>
      </c>
      <c r="S209" s="408">
        <f t="shared" si="3"/>
        <v>0</v>
      </c>
      <c r="T209" s="419">
        <f>Table15[[#This Row],[R-DEMAND]]-(Table15[[#This Row],[ADD ACC]]*1706)</f>
        <v>1410</v>
      </c>
      <c r="U209" s="419">
        <f>ROUNDDOWN(Table15[[#This Row],[Column1]]/1360,0)</f>
        <v>1</v>
      </c>
      <c r="V209" s="419"/>
      <c r="W209" s="251">
        <v>16.5</v>
      </c>
      <c r="X209" s="251">
        <f>ROUNDDOWN(Table15[[#This Row],[R-DEMAND]]/1320,0)</f>
        <v>2</v>
      </c>
      <c r="Y209" s="251">
        <f>IFERROR(Table15[[#This Row],[ADD ACC
(660/1320)]]*Table15[[#This Row],[Duration
(B744)]],0)</f>
        <v>33</v>
      </c>
      <c r="Z209" s="251"/>
    </row>
    <row r="210" spans="1:26" ht="15.75" customHeight="1" x14ac:dyDescent="0.25">
      <c r="A210" s="210" t="s">
        <v>15486</v>
      </c>
      <c r="B210" s="204" t="s">
        <v>4865</v>
      </c>
      <c r="C210" s="204" t="s">
        <v>67</v>
      </c>
      <c r="D210" s="205">
        <v>3</v>
      </c>
      <c r="E210" s="204" t="s">
        <v>605</v>
      </c>
      <c r="F210" s="204" t="str">
        <f>VLOOKUP(E210,Table10[[COUNTRY NAME]:[CONTINENT CODE]],3,FALSE)</f>
        <v>EU</v>
      </c>
      <c r="G210" s="210" t="s">
        <v>10545</v>
      </c>
      <c r="H210" s="207">
        <v>6729</v>
      </c>
      <c r="I210" s="208">
        <v>17</v>
      </c>
      <c r="J210" s="345"/>
      <c r="K210" s="345">
        <f>IFERROR(Table15[[#This Row],[ROUTE $]]/Table15[[#This Row],[E - DEMAND]],0)</f>
        <v>0</v>
      </c>
      <c r="L210" s="204"/>
      <c r="M210" s="412">
        <f>IFERROR(VLOOKUP(Table15[[#This Row],[ROUTE]],DEMAND!A:F,5,FALSE),0)</f>
        <v>3116</v>
      </c>
      <c r="N210" s="16">
        <f>IFERROR(VLOOKUP(Table15[[#This Row],[ROUTE]],DEMAND!A:F,6,FALSE),0)</f>
        <v>3116</v>
      </c>
      <c r="O210" s="16">
        <f>IFERROR(ROUNDDOWN(Table15[[#This Row],[R-DEMAND]]/1706,0),0)</f>
        <v>1</v>
      </c>
      <c r="P210" s="16">
        <f>IFERROR(Table15[[#This Row],[ADD ACC]]*Table15[[#This Row],[RT TIME 
(380-800)]],0)</f>
        <v>17</v>
      </c>
      <c r="Q210" s="415">
        <f>IFERROR(VLOOKUP(Table15[[#This Row],[ROUTE]],PRICING!A:B,2,FALSE),0)</f>
        <v>0</v>
      </c>
      <c r="R210" s="235">
        <f>IFERROR(Table15[[#This Row],[C_DEMAND]]-Table15[[#This Row],[R-DEMAND]],0)</f>
        <v>0</v>
      </c>
      <c r="S210" s="408">
        <f t="shared" si="3"/>
        <v>0</v>
      </c>
      <c r="T210" s="419">
        <f>Table15[[#This Row],[R-DEMAND]]-(Table15[[#This Row],[ADD ACC]]*1706)</f>
        <v>1410</v>
      </c>
      <c r="U210" s="419">
        <f>ROUNDDOWN(Table15[[#This Row],[Column1]]/1360,0)</f>
        <v>1</v>
      </c>
      <c r="V210" s="419"/>
      <c r="W210" s="251">
        <v>17</v>
      </c>
      <c r="X210" s="251">
        <f>ROUNDDOWN(Table15[[#This Row],[R-DEMAND]]/1320,0)</f>
        <v>2</v>
      </c>
      <c r="Y210" s="251">
        <f>IFERROR(Table15[[#This Row],[ADD ACC
(660/1320)]]*Table15[[#This Row],[Duration
(B744)]],0)</f>
        <v>34</v>
      </c>
      <c r="Z210" s="251"/>
    </row>
    <row r="211" spans="1:26" ht="15.75" customHeight="1" x14ac:dyDescent="0.25">
      <c r="A211" s="210" t="s">
        <v>15369</v>
      </c>
      <c r="B211" s="204" t="s">
        <v>2984</v>
      </c>
      <c r="C211" s="204" t="s">
        <v>67</v>
      </c>
      <c r="D211" s="205">
        <v>2</v>
      </c>
      <c r="E211" s="204" t="s">
        <v>78</v>
      </c>
      <c r="F211" s="204" t="str">
        <f>VLOOKUP(E211,Table10[[COUNTRY NAME]:[CONTINENT CODE]],3,FALSE)</f>
        <v>EU</v>
      </c>
      <c r="G211" s="210" t="s">
        <v>11911</v>
      </c>
      <c r="H211" s="207">
        <v>8032</v>
      </c>
      <c r="I211" s="208">
        <v>20</v>
      </c>
      <c r="J211" s="345"/>
      <c r="K211" s="345">
        <f>IFERROR(Table15[[#This Row],[ROUTE $]]/Table15[[#This Row],[E - DEMAND]],0)</f>
        <v>0</v>
      </c>
      <c r="L211" s="204"/>
      <c r="M211" s="412">
        <f>IFERROR(VLOOKUP(Table15[[#This Row],[ROUTE]],DEMAND!A:F,5,FALSE),0)</f>
        <v>3103</v>
      </c>
      <c r="N211" s="16">
        <f>IFERROR(VLOOKUP(Table15[[#This Row],[ROUTE]],DEMAND!A:F,6,FALSE),0)</f>
        <v>3103</v>
      </c>
      <c r="O211" s="16">
        <f>IFERROR(ROUNDDOWN(Table15[[#This Row],[R-DEMAND]]/1706,0),0)</f>
        <v>1</v>
      </c>
      <c r="P211" s="16">
        <f>IFERROR(Table15[[#This Row],[ADD ACC]]*Table15[[#This Row],[RT TIME 
(380-800)]],0)</f>
        <v>20</v>
      </c>
      <c r="Q211" s="415">
        <f>IFERROR(VLOOKUP(Table15[[#This Row],[ROUTE]],PRICING!A:B,2,FALSE),0)</f>
        <v>0</v>
      </c>
      <c r="R211" s="235">
        <f>IFERROR(Table15[[#This Row],[C_DEMAND]]-Table15[[#This Row],[R-DEMAND]],0)</f>
        <v>0</v>
      </c>
      <c r="S211" s="408">
        <f t="shared" si="3"/>
        <v>0</v>
      </c>
      <c r="T211" s="419">
        <f>Table15[[#This Row],[R-DEMAND]]-(Table15[[#This Row],[ADD ACC]]*1706)</f>
        <v>1397</v>
      </c>
      <c r="U211" s="419">
        <f>ROUNDDOWN(Table15[[#This Row],[Column1]]/1360,0)</f>
        <v>1</v>
      </c>
      <c r="V211" s="419"/>
      <c r="W211" s="251">
        <v>20</v>
      </c>
      <c r="X211" s="251">
        <f>ROUNDDOWN(Table15[[#This Row],[R-DEMAND]]/1320,0)</f>
        <v>2</v>
      </c>
      <c r="Y211" s="251">
        <f>IFERROR(Table15[[#This Row],[ADD ACC
(660/1320)]]*Table15[[#This Row],[Duration
(B744)]],0)</f>
        <v>40</v>
      </c>
      <c r="Z211" s="251"/>
    </row>
    <row r="212" spans="1:26" ht="15.75" customHeight="1" x14ac:dyDescent="0.25">
      <c r="A212" s="210" t="s">
        <v>15554</v>
      </c>
      <c r="B212" s="204" t="s">
        <v>5084</v>
      </c>
      <c r="C212" s="204" t="s">
        <v>67</v>
      </c>
      <c r="D212" s="205">
        <v>3</v>
      </c>
      <c r="E212" s="204" t="s">
        <v>585</v>
      </c>
      <c r="F212" s="204" t="str">
        <f>VLOOKUP(E212,Table10[[COUNTRY NAME]:[CONTINENT CODE]],3,FALSE)</f>
        <v>EU</v>
      </c>
      <c r="G212" s="210" t="s">
        <v>11800</v>
      </c>
      <c r="H212" s="207">
        <v>6269</v>
      </c>
      <c r="I212" s="208">
        <v>16</v>
      </c>
      <c r="J212" s="345"/>
      <c r="K212" s="345">
        <f>IFERROR(Table15[[#This Row],[ROUTE $]]/Table15[[#This Row],[E - DEMAND]],0)</f>
        <v>0</v>
      </c>
      <c r="L212" s="204"/>
      <c r="M212" s="412">
        <f>IFERROR(VLOOKUP(Table15[[#This Row],[ROUTE]],DEMAND!A:F,5,FALSE),0)</f>
        <v>3080</v>
      </c>
      <c r="N212" s="16">
        <f>IFERROR(VLOOKUP(Table15[[#This Row],[ROUTE]],DEMAND!A:F,6,FALSE),0)</f>
        <v>3080</v>
      </c>
      <c r="O212" s="16">
        <f>IFERROR(ROUNDDOWN(Table15[[#This Row],[R-DEMAND]]/1706,0),0)</f>
        <v>1</v>
      </c>
      <c r="P212" s="16">
        <f>IFERROR(Table15[[#This Row],[ADD ACC]]*Table15[[#This Row],[RT TIME 
(380-800)]],0)</f>
        <v>16</v>
      </c>
      <c r="Q212" s="415">
        <f>IFERROR(VLOOKUP(Table15[[#This Row],[ROUTE]],PRICING!A:B,2,FALSE),0)</f>
        <v>0</v>
      </c>
      <c r="R212" s="235">
        <f>IFERROR(Table15[[#This Row],[C_DEMAND]]-Table15[[#This Row],[R-DEMAND]],0)</f>
        <v>0</v>
      </c>
      <c r="S212" s="408">
        <f t="shared" si="3"/>
        <v>0</v>
      </c>
      <c r="T212" s="419">
        <f>Table15[[#This Row],[R-DEMAND]]-(Table15[[#This Row],[ADD ACC]]*1706)</f>
        <v>1374</v>
      </c>
      <c r="U212" s="419">
        <f>ROUNDDOWN(Table15[[#This Row],[Column1]]/1360,0)</f>
        <v>1</v>
      </c>
      <c r="V212" s="419"/>
      <c r="W212" s="251">
        <v>16</v>
      </c>
      <c r="X212" s="251">
        <f>ROUNDDOWN(Table15[[#This Row],[R-DEMAND]]/1320,0)</f>
        <v>2</v>
      </c>
      <c r="Y212" s="251">
        <f>IFERROR(Table15[[#This Row],[ADD ACC
(660/1320)]]*Table15[[#This Row],[Duration
(B744)]],0)</f>
        <v>32</v>
      </c>
      <c r="Z212" s="251"/>
    </row>
    <row r="213" spans="1:26" ht="15.75" customHeight="1" x14ac:dyDescent="0.25">
      <c r="A213" s="210" t="s">
        <v>15600</v>
      </c>
      <c r="B213" s="204" t="s">
        <v>4683</v>
      </c>
      <c r="C213" s="204" t="s">
        <v>67</v>
      </c>
      <c r="D213" s="205">
        <v>2</v>
      </c>
      <c r="E213" s="204" t="s">
        <v>258</v>
      </c>
      <c r="F213" s="204" t="str">
        <f>VLOOKUP(E213,Table10[[COUNTRY NAME]:[CONTINENT CODE]],3,FALSE)</f>
        <v>AS</v>
      </c>
      <c r="G213" s="206" t="s">
        <v>12021</v>
      </c>
      <c r="H213" s="207">
        <v>5731</v>
      </c>
      <c r="I213" s="208">
        <v>14.75</v>
      </c>
      <c r="J213" s="345"/>
      <c r="K213" s="345">
        <f>IFERROR(Table15[[#This Row],[ROUTE $]]/Table15[[#This Row],[E - DEMAND]],0)</f>
        <v>0</v>
      </c>
      <c r="L213" s="204"/>
      <c r="M213" s="412">
        <f>IFERROR(VLOOKUP(Table15[[#This Row],[ROUTE]],DEMAND!A:F,5,FALSE),0)</f>
        <v>3056</v>
      </c>
      <c r="N213" s="16">
        <f>IFERROR(VLOOKUP(Table15[[#This Row],[ROUTE]],DEMAND!A:F,6,FALSE),0)</f>
        <v>3056</v>
      </c>
      <c r="O213" s="16">
        <f>IFERROR(ROUNDDOWN(Table15[[#This Row],[R-DEMAND]]/1706,0),0)</f>
        <v>1</v>
      </c>
      <c r="P213" s="16">
        <f>IFERROR(Table15[[#This Row],[ADD ACC]]*Table15[[#This Row],[RT TIME 
(380-800)]],0)</f>
        <v>14.75</v>
      </c>
      <c r="Q213" s="415">
        <f>IFERROR(VLOOKUP(Table15[[#This Row],[ROUTE]],PRICING!A:B,2,FALSE),0)</f>
        <v>0</v>
      </c>
      <c r="R213" s="235">
        <f>IFERROR(Table15[[#This Row],[C_DEMAND]]-Table15[[#This Row],[R-DEMAND]],0)</f>
        <v>0</v>
      </c>
      <c r="S213" s="408">
        <f t="shared" si="3"/>
        <v>0</v>
      </c>
      <c r="T213" s="419">
        <f>Table15[[#This Row],[R-DEMAND]]-(Table15[[#This Row],[ADD ACC]]*1706)</f>
        <v>1350</v>
      </c>
      <c r="U213" s="419">
        <f>ROUNDDOWN(Table15[[#This Row],[Column1]]/1360,0)</f>
        <v>0</v>
      </c>
      <c r="V213" s="419"/>
      <c r="W213" s="251">
        <v>14.75</v>
      </c>
      <c r="X213" s="251">
        <f>ROUNDDOWN(Table15[[#This Row],[R-DEMAND]]/1320,0)</f>
        <v>2</v>
      </c>
      <c r="Y213" s="251">
        <f>IFERROR(Table15[[#This Row],[ADD ACC
(660/1320)]]*Table15[[#This Row],[Duration
(B744)]],0)</f>
        <v>29.5</v>
      </c>
      <c r="Z213" s="251"/>
    </row>
    <row r="214" spans="1:26" ht="15.75" customHeight="1" x14ac:dyDescent="0.25">
      <c r="A214" s="210" t="s">
        <v>15685</v>
      </c>
      <c r="B214" s="204" t="s">
        <v>5219</v>
      </c>
      <c r="C214" s="204" t="s">
        <v>67</v>
      </c>
      <c r="D214" s="205">
        <v>3</v>
      </c>
      <c r="E214" s="204" t="s">
        <v>597</v>
      </c>
      <c r="F214" s="204" t="str">
        <f>VLOOKUP(E214,Table10[[COUNTRY NAME]:[CONTINENT CODE]],3,FALSE)</f>
        <v>EU</v>
      </c>
      <c r="G214" s="210" t="s">
        <v>11851</v>
      </c>
      <c r="H214" s="207">
        <v>4758</v>
      </c>
      <c r="I214" s="208">
        <v>12.75</v>
      </c>
      <c r="J214" s="345"/>
      <c r="K214" s="345">
        <f>IFERROR(Table15[[#This Row],[ROUTE $]]/Table15[[#This Row],[E - DEMAND]],0)</f>
        <v>0</v>
      </c>
      <c r="L214" s="204"/>
      <c r="M214" s="412">
        <f>IFERROR(VLOOKUP(Table15[[#This Row],[ROUTE]],DEMAND!A:F,5,FALSE),0)</f>
        <v>3056</v>
      </c>
      <c r="N214" s="16">
        <f>IFERROR(VLOOKUP(Table15[[#This Row],[ROUTE]],DEMAND!A:F,6,FALSE),0)</f>
        <v>3056</v>
      </c>
      <c r="O214" s="16">
        <f>IFERROR(ROUNDDOWN(Table15[[#This Row],[R-DEMAND]]/1706,0),0)</f>
        <v>1</v>
      </c>
      <c r="P214" s="16">
        <f>IFERROR(Table15[[#This Row],[ADD ACC]]*Table15[[#This Row],[RT TIME 
(380-800)]],0)</f>
        <v>12.75</v>
      </c>
      <c r="Q214" s="415">
        <f>IFERROR(VLOOKUP(Table15[[#This Row],[ROUTE]],PRICING!A:B,2,FALSE),0)</f>
        <v>0</v>
      </c>
      <c r="R214" s="235">
        <f>IFERROR(Table15[[#This Row],[C_DEMAND]]-Table15[[#This Row],[R-DEMAND]],0)</f>
        <v>0</v>
      </c>
      <c r="S214" s="408">
        <f t="shared" si="3"/>
        <v>0</v>
      </c>
      <c r="T214" s="419">
        <f>Table15[[#This Row],[R-DEMAND]]-(Table15[[#This Row],[ADD ACC]]*1706)</f>
        <v>1350</v>
      </c>
      <c r="U214" s="419">
        <f>ROUNDDOWN(Table15[[#This Row],[Column1]]/1360,0)</f>
        <v>0</v>
      </c>
      <c r="V214" s="419"/>
      <c r="W214" s="251">
        <v>12.75</v>
      </c>
      <c r="X214" s="251">
        <f>ROUNDDOWN(Table15[[#This Row],[R-DEMAND]]/1320,0)</f>
        <v>2</v>
      </c>
      <c r="Y214" s="251">
        <f>IFERROR(Table15[[#This Row],[ADD ACC
(660/1320)]]*Table15[[#This Row],[Duration
(B744)]],0)</f>
        <v>25.5</v>
      </c>
      <c r="Z214" s="251"/>
    </row>
    <row r="215" spans="1:26" ht="15.75" customHeight="1" x14ac:dyDescent="0.25">
      <c r="A215" s="210" t="s">
        <v>15505</v>
      </c>
      <c r="B215" s="204" t="s">
        <v>5236</v>
      </c>
      <c r="C215" s="204" t="s">
        <v>67</v>
      </c>
      <c r="D215" s="205">
        <v>3</v>
      </c>
      <c r="E215" s="204" t="s">
        <v>308</v>
      </c>
      <c r="F215" s="204" t="str">
        <f>VLOOKUP(E215,Table10[[COUNTRY NAME]:[CONTINENT CODE]],3,FALSE)</f>
        <v>EU</v>
      </c>
      <c r="G215" s="210" t="s">
        <v>11744</v>
      </c>
      <c r="H215" s="207">
        <v>6591</v>
      </c>
      <c r="I215" s="208">
        <v>16.75</v>
      </c>
      <c r="J215" s="345"/>
      <c r="K215" s="345">
        <f>IFERROR(Table15[[#This Row],[ROUTE $]]/Table15[[#This Row],[E - DEMAND]],0)</f>
        <v>0</v>
      </c>
      <c r="L215" s="204"/>
      <c r="M215" s="412">
        <f>IFERROR(VLOOKUP(Table15[[#This Row],[ROUTE]],DEMAND!A:F,5,FALSE),0)</f>
        <v>3053</v>
      </c>
      <c r="N215" s="16">
        <f>IFERROR(VLOOKUP(Table15[[#This Row],[ROUTE]],DEMAND!A:F,6,FALSE),0)</f>
        <v>3053</v>
      </c>
      <c r="O215" s="16">
        <f>IFERROR(ROUNDDOWN(Table15[[#This Row],[R-DEMAND]]/1706,0),0)</f>
        <v>1</v>
      </c>
      <c r="P215" s="16">
        <f>IFERROR(Table15[[#This Row],[ADD ACC]]*Table15[[#This Row],[RT TIME 
(380-800)]],0)</f>
        <v>16.75</v>
      </c>
      <c r="Q215" s="415">
        <f>IFERROR(VLOOKUP(Table15[[#This Row],[ROUTE]],PRICING!A:B,2,FALSE),0)</f>
        <v>0</v>
      </c>
      <c r="R215" s="235">
        <f>IFERROR(Table15[[#This Row],[C_DEMAND]]-Table15[[#This Row],[R-DEMAND]],0)</f>
        <v>0</v>
      </c>
      <c r="S215" s="408">
        <f t="shared" si="3"/>
        <v>0</v>
      </c>
      <c r="T215" s="419">
        <f>Table15[[#This Row],[R-DEMAND]]-(Table15[[#This Row],[ADD ACC]]*1706)</f>
        <v>1347</v>
      </c>
      <c r="U215" s="419">
        <f>ROUNDDOWN(Table15[[#This Row],[Column1]]/1360,0)</f>
        <v>0</v>
      </c>
      <c r="V215" s="419"/>
      <c r="W215" s="251">
        <v>16.75</v>
      </c>
      <c r="X215" s="251">
        <f>ROUNDDOWN(Table15[[#This Row],[R-DEMAND]]/1320,0)</f>
        <v>2</v>
      </c>
      <c r="Y215" s="251">
        <f>IFERROR(Table15[[#This Row],[ADD ACC
(660/1320)]]*Table15[[#This Row],[Duration
(B744)]],0)</f>
        <v>33.5</v>
      </c>
      <c r="Z215" s="251"/>
    </row>
    <row r="216" spans="1:26" ht="15.75" customHeight="1" x14ac:dyDescent="0.25">
      <c r="A216" s="210" t="s">
        <v>15246</v>
      </c>
      <c r="B216" s="204" t="s">
        <v>5247</v>
      </c>
      <c r="C216" s="204" t="s">
        <v>67</v>
      </c>
      <c r="D216" s="205">
        <v>3</v>
      </c>
      <c r="E216" s="16" t="s">
        <v>11732</v>
      </c>
      <c r="F216" s="204" t="str">
        <f>VLOOKUP(E216,Table10[[COUNTRY NAME]:[CONTINENT CODE]],3,FALSE)</f>
        <v>NA - US</v>
      </c>
      <c r="G216" s="206" t="s">
        <v>13263</v>
      </c>
      <c r="H216" s="207">
        <v>13373</v>
      </c>
      <c r="I216" s="208">
        <v>31.75</v>
      </c>
      <c r="J216" s="345"/>
      <c r="K216" s="345">
        <f>IFERROR(Table15[[#This Row],[ROUTE $]]/Table15[[#This Row],[E - DEMAND]],0)</f>
        <v>0</v>
      </c>
      <c r="L216" s="204"/>
      <c r="M216" s="412">
        <f>IFERROR(VLOOKUP(Table15[[#This Row],[ROUTE]],DEMAND!A:F,5,FALSE),0)</f>
        <v>3048</v>
      </c>
      <c r="N216" s="16">
        <f>IFERROR(VLOOKUP(Table15[[#This Row],[ROUTE]],DEMAND!A:F,6,FALSE),0)</f>
        <v>3048</v>
      </c>
      <c r="O216" s="16">
        <f>IFERROR(ROUNDDOWN(Table15[[#This Row],[R-DEMAND]]/1706,0),0)</f>
        <v>1</v>
      </c>
      <c r="P216" s="16">
        <f>IFERROR(Table15[[#This Row],[ADD ACC]]*Table15[[#This Row],[RT TIME 
(380-800)]],0)</f>
        <v>31.75</v>
      </c>
      <c r="Q216" s="415">
        <f>IFERROR(VLOOKUP(Table15[[#This Row],[ROUTE]],PRICING!A:B,2,FALSE),0)</f>
        <v>0</v>
      </c>
      <c r="R216" s="235">
        <f>IFERROR(Table15[[#This Row],[C_DEMAND]]-Table15[[#This Row],[R-DEMAND]],0)</f>
        <v>0</v>
      </c>
      <c r="S216" s="408">
        <f t="shared" si="3"/>
        <v>0</v>
      </c>
      <c r="T216" s="419">
        <f>Table15[[#This Row],[R-DEMAND]]-(Table15[[#This Row],[ADD ACC]]*1706)</f>
        <v>1342</v>
      </c>
      <c r="U216" s="419">
        <f>ROUNDDOWN(Table15[[#This Row],[Column1]]/1360,0)</f>
        <v>0</v>
      </c>
      <c r="V216" s="419"/>
      <c r="W216" s="251">
        <v>31.75</v>
      </c>
      <c r="X216" s="251">
        <f>ROUNDDOWN(Table15[[#This Row],[R-DEMAND]]/1320,0)</f>
        <v>2</v>
      </c>
      <c r="Y216" s="251">
        <f>IFERROR(Table15[[#This Row],[ADD ACC
(660/1320)]]*Table15[[#This Row],[Duration
(B744)]],0)</f>
        <v>63.5</v>
      </c>
      <c r="Z216" s="251"/>
    </row>
    <row r="217" spans="1:26" ht="15.75" customHeight="1" x14ac:dyDescent="0.25">
      <c r="A217" s="210" t="s">
        <v>15382</v>
      </c>
      <c r="B217" s="204" t="s">
        <v>5313</v>
      </c>
      <c r="C217" s="204" t="s">
        <v>67</v>
      </c>
      <c r="D217" s="205">
        <v>3</v>
      </c>
      <c r="E217" s="204" t="s">
        <v>119</v>
      </c>
      <c r="F217" s="204" t="str">
        <f>VLOOKUP(E217,Table10[[COUNTRY NAME]:[CONTINENT CODE]],3,FALSE)</f>
        <v>EU</v>
      </c>
      <c r="G217" s="210" t="s">
        <v>11685</v>
      </c>
      <c r="H217" s="207">
        <v>7765</v>
      </c>
      <c r="I217" s="208">
        <v>19.25</v>
      </c>
      <c r="J217" s="345"/>
      <c r="K217" s="345">
        <f>IFERROR(Table15[[#This Row],[ROUTE $]]/Table15[[#This Row],[E - DEMAND]],0)</f>
        <v>0</v>
      </c>
      <c r="L217" s="204"/>
      <c r="M217" s="412">
        <f>IFERROR(VLOOKUP(Table15[[#This Row],[ROUTE]],DEMAND!A:F,5,FALSE),0)</f>
        <v>3045</v>
      </c>
      <c r="N217" s="16">
        <f>IFERROR(VLOOKUP(Table15[[#This Row],[ROUTE]],DEMAND!A:F,6,FALSE),0)</f>
        <v>3045</v>
      </c>
      <c r="O217" s="16">
        <f>IFERROR(ROUNDDOWN(Table15[[#This Row],[R-DEMAND]]/1706,0),0)</f>
        <v>1</v>
      </c>
      <c r="P217" s="16">
        <f>IFERROR(Table15[[#This Row],[ADD ACC]]*Table15[[#This Row],[RT TIME 
(380-800)]],0)</f>
        <v>19.25</v>
      </c>
      <c r="Q217" s="415">
        <f>IFERROR(VLOOKUP(Table15[[#This Row],[ROUTE]],PRICING!A:B,2,FALSE),0)</f>
        <v>0</v>
      </c>
      <c r="R217" s="235">
        <f>IFERROR(Table15[[#This Row],[C_DEMAND]]-Table15[[#This Row],[R-DEMAND]],0)</f>
        <v>0</v>
      </c>
      <c r="S217" s="408">
        <f t="shared" si="3"/>
        <v>0</v>
      </c>
      <c r="T217" s="419">
        <f>Table15[[#This Row],[R-DEMAND]]-(Table15[[#This Row],[ADD ACC]]*1706)</f>
        <v>1339</v>
      </c>
      <c r="U217" s="419">
        <f>ROUNDDOWN(Table15[[#This Row],[Column1]]/1360,0)</f>
        <v>0</v>
      </c>
      <c r="V217" s="419"/>
      <c r="W217" s="251">
        <v>19.25</v>
      </c>
      <c r="X217" s="251">
        <f>ROUNDDOWN(Table15[[#This Row],[R-DEMAND]]/1320,0)</f>
        <v>2</v>
      </c>
      <c r="Y217" s="251">
        <f>IFERROR(Table15[[#This Row],[ADD ACC
(660/1320)]]*Table15[[#This Row],[Duration
(B744)]],0)</f>
        <v>38.5</v>
      </c>
      <c r="Z217" s="251"/>
    </row>
    <row r="218" spans="1:26" ht="15.75" customHeight="1" x14ac:dyDescent="0.25">
      <c r="A218" s="210" t="s">
        <v>15252</v>
      </c>
      <c r="B218" s="204" t="s">
        <v>5206</v>
      </c>
      <c r="C218" s="204" t="s">
        <v>67</v>
      </c>
      <c r="D218" s="205">
        <v>3</v>
      </c>
      <c r="E218" s="16" t="s">
        <v>11732</v>
      </c>
      <c r="F218" s="204" t="str">
        <f>VLOOKUP(E218,Table10[[COUNTRY NAME]:[CONTINENT CODE]],3,FALSE)</f>
        <v>NA - US</v>
      </c>
      <c r="G218" s="206" t="s">
        <v>13330</v>
      </c>
      <c r="H218" s="207">
        <v>13270</v>
      </c>
      <c r="I218" s="208">
        <v>31.5</v>
      </c>
      <c r="J218" s="345"/>
      <c r="K218" s="345">
        <f>IFERROR(Table15[[#This Row],[ROUTE $]]/Table15[[#This Row],[E - DEMAND]],0)</f>
        <v>0</v>
      </c>
      <c r="L218" s="204"/>
      <c r="M218" s="412">
        <f>IFERROR(VLOOKUP(Table15[[#This Row],[ROUTE]],DEMAND!A:F,5,FALSE),0)</f>
        <v>3039</v>
      </c>
      <c r="N218" s="16">
        <f>IFERROR(VLOOKUP(Table15[[#This Row],[ROUTE]],DEMAND!A:F,6,FALSE),0)</f>
        <v>3039</v>
      </c>
      <c r="O218" s="16">
        <f>IFERROR(ROUNDDOWN(Table15[[#This Row],[R-DEMAND]]/1706,0),0)</f>
        <v>1</v>
      </c>
      <c r="P218" s="16">
        <f>IFERROR(Table15[[#This Row],[ADD ACC]]*Table15[[#This Row],[RT TIME 
(380-800)]],0)</f>
        <v>31.5</v>
      </c>
      <c r="Q218" s="415">
        <f>IFERROR(VLOOKUP(Table15[[#This Row],[ROUTE]],PRICING!A:B,2,FALSE),0)</f>
        <v>0</v>
      </c>
      <c r="R218" s="235">
        <f>IFERROR(Table15[[#This Row],[C_DEMAND]]-Table15[[#This Row],[R-DEMAND]],0)</f>
        <v>0</v>
      </c>
      <c r="S218" s="408">
        <f t="shared" si="3"/>
        <v>0</v>
      </c>
      <c r="T218" s="419">
        <f>Table15[[#This Row],[R-DEMAND]]-(Table15[[#This Row],[ADD ACC]]*1706)</f>
        <v>1333</v>
      </c>
      <c r="U218" s="419">
        <f>ROUNDDOWN(Table15[[#This Row],[Column1]]/1360,0)</f>
        <v>0</v>
      </c>
      <c r="V218" s="419"/>
      <c r="W218" s="251">
        <v>31.5</v>
      </c>
      <c r="X218" s="251">
        <f>ROUNDDOWN(Table15[[#This Row],[R-DEMAND]]/1320,0)</f>
        <v>2</v>
      </c>
      <c r="Y218" s="251">
        <f>IFERROR(Table15[[#This Row],[ADD ACC
(660/1320)]]*Table15[[#This Row],[Duration
(B744)]],0)</f>
        <v>63</v>
      </c>
      <c r="Z218" s="251"/>
    </row>
    <row r="219" spans="1:26" ht="15.75" customHeight="1" x14ac:dyDescent="0.25">
      <c r="A219" s="210" t="s">
        <v>15539</v>
      </c>
      <c r="B219" s="204" t="s">
        <v>5279</v>
      </c>
      <c r="C219" s="204" t="s">
        <v>67</v>
      </c>
      <c r="D219" s="205">
        <v>3</v>
      </c>
      <c r="E219" s="204" t="s">
        <v>308</v>
      </c>
      <c r="F219" s="204" t="str">
        <f>VLOOKUP(E219,Table10[[COUNTRY NAME]:[CONTINENT CODE]],3,FALSE)</f>
        <v>EU</v>
      </c>
      <c r="G219" s="210" t="s">
        <v>11769</v>
      </c>
      <c r="H219" s="207">
        <v>6362</v>
      </c>
      <c r="I219" s="208">
        <v>16.25</v>
      </c>
      <c r="J219" s="345"/>
      <c r="K219" s="345">
        <f>IFERROR(Table15[[#This Row],[ROUTE $]]/Table15[[#This Row],[E - DEMAND]],0)</f>
        <v>0</v>
      </c>
      <c r="L219" s="204"/>
      <c r="M219" s="412">
        <f>IFERROR(VLOOKUP(Table15[[#This Row],[ROUTE]],DEMAND!A:F,5,FALSE),0)</f>
        <v>3035</v>
      </c>
      <c r="N219" s="16">
        <f>IFERROR(VLOOKUP(Table15[[#This Row],[ROUTE]],DEMAND!A:F,6,FALSE),0)</f>
        <v>3035</v>
      </c>
      <c r="O219" s="16">
        <f>IFERROR(ROUNDDOWN(Table15[[#This Row],[R-DEMAND]]/1706,0),0)</f>
        <v>1</v>
      </c>
      <c r="P219" s="16">
        <f>IFERROR(Table15[[#This Row],[ADD ACC]]*Table15[[#This Row],[RT TIME 
(380-800)]],0)</f>
        <v>16.25</v>
      </c>
      <c r="Q219" s="415">
        <f>IFERROR(VLOOKUP(Table15[[#This Row],[ROUTE]],PRICING!A:B,2,FALSE),0)</f>
        <v>0</v>
      </c>
      <c r="R219" s="235">
        <f>IFERROR(Table15[[#This Row],[C_DEMAND]]-Table15[[#This Row],[R-DEMAND]],0)</f>
        <v>0</v>
      </c>
      <c r="S219" s="408">
        <f t="shared" si="3"/>
        <v>0</v>
      </c>
      <c r="T219" s="419">
        <f>Table15[[#This Row],[R-DEMAND]]-(Table15[[#This Row],[ADD ACC]]*1706)</f>
        <v>1329</v>
      </c>
      <c r="U219" s="419">
        <f>ROUNDDOWN(Table15[[#This Row],[Column1]]/1360,0)</f>
        <v>0</v>
      </c>
      <c r="V219" s="419"/>
      <c r="W219" s="251">
        <v>16.25</v>
      </c>
      <c r="X219" s="251">
        <f>ROUNDDOWN(Table15[[#This Row],[R-DEMAND]]/1320,0)</f>
        <v>2</v>
      </c>
      <c r="Y219" s="251">
        <f>IFERROR(Table15[[#This Row],[ADD ACC
(660/1320)]]*Table15[[#This Row],[Duration
(B744)]],0)</f>
        <v>32.5</v>
      </c>
      <c r="Z219" s="251"/>
    </row>
    <row r="220" spans="1:26" ht="15.75" customHeight="1" x14ac:dyDescent="0.25">
      <c r="A220" s="210" t="s">
        <v>15313</v>
      </c>
      <c r="B220" s="204" t="s">
        <v>5192</v>
      </c>
      <c r="C220" s="204" t="s">
        <v>67</v>
      </c>
      <c r="D220" s="205">
        <v>3</v>
      </c>
      <c r="E220" s="16" t="s">
        <v>11732</v>
      </c>
      <c r="F220" s="204" t="str">
        <f>VLOOKUP(E220,Table10[[COUNTRY NAME]:[CONTINENT CODE]],3,FALSE)</f>
        <v>NA - US</v>
      </c>
      <c r="G220" s="206" t="s">
        <v>13338</v>
      </c>
      <c r="H220" s="207">
        <v>12215</v>
      </c>
      <c r="I220" s="208">
        <v>29.25</v>
      </c>
      <c r="J220" s="345"/>
      <c r="K220" s="345">
        <f>IFERROR(Table15[[#This Row],[ROUTE $]]/Table15[[#This Row],[E - DEMAND]],0)</f>
        <v>0</v>
      </c>
      <c r="L220" s="204"/>
      <c r="M220" s="412">
        <f>IFERROR(VLOOKUP(Table15[[#This Row],[ROUTE]],DEMAND!A:F,5,FALSE),0)</f>
        <v>3033</v>
      </c>
      <c r="N220" s="16">
        <f>IFERROR(VLOOKUP(Table15[[#This Row],[ROUTE]],DEMAND!A:F,6,FALSE),0)</f>
        <v>3033</v>
      </c>
      <c r="O220" s="16">
        <f>IFERROR(ROUNDDOWN(Table15[[#This Row],[R-DEMAND]]/1706,0),0)</f>
        <v>1</v>
      </c>
      <c r="P220" s="16">
        <f>IFERROR(Table15[[#This Row],[ADD ACC]]*Table15[[#This Row],[RT TIME 
(380-800)]],0)</f>
        <v>29.25</v>
      </c>
      <c r="Q220" s="415">
        <f>IFERROR(VLOOKUP(Table15[[#This Row],[ROUTE]],PRICING!A:B,2,FALSE),0)</f>
        <v>0</v>
      </c>
      <c r="R220" s="235">
        <f>IFERROR(Table15[[#This Row],[C_DEMAND]]-Table15[[#This Row],[R-DEMAND]],0)</f>
        <v>0</v>
      </c>
      <c r="S220" s="408">
        <f t="shared" si="3"/>
        <v>0</v>
      </c>
      <c r="T220" s="419">
        <f>Table15[[#This Row],[R-DEMAND]]-(Table15[[#This Row],[ADD ACC]]*1706)</f>
        <v>1327</v>
      </c>
      <c r="U220" s="419">
        <f>ROUNDDOWN(Table15[[#This Row],[Column1]]/1360,0)</f>
        <v>0</v>
      </c>
      <c r="V220" s="419"/>
      <c r="W220" s="251">
        <v>29.25</v>
      </c>
      <c r="X220" s="251">
        <f>ROUNDDOWN(Table15[[#This Row],[R-DEMAND]]/1320,0)</f>
        <v>2</v>
      </c>
      <c r="Y220" s="251">
        <f>IFERROR(Table15[[#This Row],[ADD ACC
(660/1320)]]*Table15[[#This Row],[Duration
(B744)]],0)</f>
        <v>58.5</v>
      </c>
      <c r="Z220" s="251"/>
    </row>
    <row r="221" spans="1:26" ht="15.75" customHeight="1" x14ac:dyDescent="0.25">
      <c r="A221" s="210" t="s">
        <v>15434</v>
      </c>
      <c r="B221" s="204" t="s">
        <v>5333</v>
      </c>
      <c r="C221" s="204" t="s">
        <v>67</v>
      </c>
      <c r="D221" s="205">
        <v>3</v>
      </c>
      <c r="E221" s="204" t="s">
        <v>119</v>
      </c>
      <c r="F221" s="204" t="str">
        <f>VLOOKUP(E221,Table10[[COUNTRY NAME]:[CONTINENT CODE]],3,FALSE)</f>
        <v>EU</v>
      </c>
      <c r="G221" s="210" t="s">
        <v>9386</v>
      </c>
      <c r="H221" s="207">
        <v>7115</v>
      </c>
      <c r="I221" s="208">
        <v>18</v>
      </c>
      <c r="J221" s="345"/>
      <c r="K221" s="345">
        <f>IFERROR(Table15[[#This Row],[ROUTE $]]/Table15[[#This Row],[E - DEMAND]],0)</f>
        <v>0</v>
      </c>
      <c r="L221" s="204"/>
      <c r="M221" s="412">
        <f>IFERROR(VLOOKUP(Table15[[#This Row],[ROUTE]],DEMAND!A:F,5,FALSE),0)</f>
        <v>3023</v>
      </c>
      <c r="N221" s="16">
        <f>IFERROR(VLOOKUP(Table15[[#This Row],[ROUTE]],DEMAND!A:F,6,FALSE),0)</f>
        <v>3023</v>
      </c>
      <c r="O221" s="16">
        <f>IFERROR(ROUNDDOWN(Table15[[#This Row],[R-DEMAND]]/1706,0),0)</f>
        <v>1</v>
      </c>
      <c r="P221" s="16">
        <f>IFERROR(Table15[[#This Row],[ADD ACC]]*Table15[[#This Row],[RT TIME 
(380-800)]],0)</f>
        <v>18</v>
      </c>
      <c r="Q221" s="415">
        <f>IFERROR(VLOOKUP(Table15[[#This Row],[ROUTE]],PRICING!A:B,2,FALSE),0)</f>
        <v>0</v>
      </c>
      <c r="R221" s="235">
        <f>IFERROR(Table15[[#This Row],[C_DEMAND]]-Table15[[#This Row],[R-DEMAND]],0)</f>
        <v>0</v>
      </c>
      <c r="S221" s="408">
        <f t="shared" si="3"/>
        <v>0</v>
      </c>
      <c r="T221" s="419">
        <f>Table15[[#This Row],[R-DEMAND]]-(Table15[[#This Row],[ADD ACC]]*1706)</f>
        <v>1317</v>
      </c>
      <c r="U221" s="419">
        <f>ROUNDDOWN(Table15[[#This Row],[Column1]]/1360,0)</f>
        <v>0</v>
      </c>
      <c r="V221" s="419"/>
      <c r="W221" s="251">
        <v>18</v>
      </c>
      <c r="X221" s="251">
        <f>ROUNDDOWN(Table15[[#This Row],[R-DEMAND]]/1320,0)</f>
        <v>2</v>
      </c>
      <c r="Y221" s="251">
        <f>IFERROR(Table15[[#This Row],[ADD ACC
(660/1320)]]*Table15[[#This Row],[Duration
(B744)]],0)</f>
        <v>36</v>
      </c>
      <c r="Z221" s="251"/>
    </row>
    <row r="222" spans="1:26" ht="15.75" customHeight="1" x14ac:dyDescent="0.25">
      <c r="A222" s="210" t="s">
        <v>15569</v>
      </c>
      <c r="B222" s="204" t="s">
        <v>3741</v>
      </c>
      <c r="C222" s="204" t="s">
        <v>67</v>
      </c>
      <c r="D222" s="205">
        <v>2</v>
      </c>
      <c r="E222" s="204" t="s">
        <v>1117</v>
      </c>
      <c r="F222" s="204" t="str">
        <f>VLOOKUP(E222,Table10[[COUNTRY NAME]:[CONTINENT CODE]],3,FALSE)</f>
        <v>EU</v>
      </c>
      <c r="G222" s="210" t="s">
        <v>7722</v>
      </c>
      <c r="H222" s="207">
        <v>6097</v>
      </c>
      <c r="I222" s="208">
        <v>15.75</v>
      </c>
      <c r="J222" s="345"/>
      <c r="K222" s="345">
        <f>IFERROR(Table15[[#This Row],[ROUTE $]]/Table15[[#This Row],[E - DEMAND]],0)</f>
        <v>0</v>
      </c>
      <c r="L222" s="204"/>
      <c r="M222" s="412">
        <f>IFERROR(VLOOKUP(Table15[[#This Row],[ROUTE]],DEMAND!A:F,5,FALSE),0)</f>
        <v>3021</v>
      </c>
      <c r="N222" s="16">
        <f>IFERROR(VLOOKUP(Table15[[#This Row],[ROUTE]],DEMAND!A:F,6,FALSE),0)</f>
        <v>3021</v>
      </c>
      <c r="O222" s="16">
        <f>IFERROR(ROUNDDOWN(Table15[[#This Row],[R-DEMAND]]/1706,0),0)</f>
        <v>1</v>
      </c>
      <c r="P222" s="16">
        <f>IFERROR(Table15[[#This Row],[ADD ACC]]*Table15[[#This Row],[RT TIME 
(380-800)]],0)</f>
        <v>15.75</v>
      </c>
      <c r="Q222" s="415">
        <f>IFERROR(VLOOKUP(Table15[[#This Row],[ROUTE]],PRICING!A:B,2,FALSE),0)</f>
        <v>0</v>
      </c>
      <c r="R222" s="235">
        <f>IFERROR(Table15[[#This Row],[C_DEMAND]]-Table15[[#This Row],[R-DEMAND]],0)</f>
        <v>0</v>
      </c>
      <c r="S222" s="408">
        <f t="shared" si="3"/>
        <v>0</v>
      </c>
      <c r="T222" s="419">
        <f>Table15[[#This Row],[R-DEMAND]]-(Table15[[#This Row],[ADD ACC]]*1706)</f>
        <v>1315</v>
      </c>
      <c r="U222" s="419">
        <f>ROUNDDOWN(Table15[[#This Row],[Column1]]/1360,0)</f>
        <v>0</v>
      </c>
      <c r="V222" s="419"/>
      <c r="W222" s="251">
        <v>15.75</v>
      </c>
      <c r="X222" s="251">
        <f>ROUNDDOWN(Table15[[#This Row],[R-DEMAND]]/1320,0)</f>
        <v>2</v>
      </c>
      <c r="Y222" s="251">
        <f>IFERROR(Table15[[#This Row],[ADD ACC
(660/1320)]]*Table15[[#This Row],[Duration
(B744)]],0)</f>
        <v>31.5</v>
      </c>
      <c r="Z222" s="251"/>
    </row>
    <row r="223" spans="1:26" ht="15.75" customHeight="1" x14ac:dyDescent="0.25">
      <c r="A223" s="210" t="s">
        <v>15705</v>
      </c>
      <c r="B223" s="204" t="s">
        <v>1678</v>
      </c>
      <c r="C223" s="204" t="s">
        <v>67</v>
      </c>
      <c r="D223" s="205">
        <v>1</v>
      </c>
      <c r="E223" s="204" t="s">
        <v>14</v>
      </c>
      <c r="F223" s="204" t="str">
        <f>VLOOKUP(E223,Table10[[COUNTRY NAME]:[CONTINENT CODE]],3,FALSE)</f>
        <v>AS</v>
      </c>
      <c r="G223" s="206" t="s">
        <v>12056</v>
      </c>
      <c r="H223" s="207">
        <v>4607</v>
      </c>
      <c r="I223" s="208">
        <v>12.25</v>
      </c>
      <c r="J223" s="345"/>
      <c r="K223" s="345">
        <f>IFERROR(Table15[[#This Row],[ROUTE $]]/Table15[[#This Row],[E - DEMAND]],0)</f>
        <v>0</v>
      </c>
      <c r="L223" s="204"/>
      <c r="M223" s="412">
        <f>IFERROR(VLOOKUP(Table15[[#This Row],[ROUTE]],DEMAND!A:F,5,FALSE),0)</f>
        <v>2981</v>
      </c>
      <c r="N223" s="16">
        <f>IFERROR(VLOOKUP(Table15[[#This Row],[ROUTE]],DEMAND!A:F,6,FALSE),0)</f>
        <v>2981</v>
      </c>
      <c r="O223" s="16">
        <f>IFERROR(ROUNDDOWN(Table15[[#This Row],[R-DEMAND]]/1706,0),0)</f>
        <v>1</v>
      </c>
      <c r="P223" s="16">
        <f>IFERROR(Table15[[#This Row],[ADD ACC]]*Table15[[#This Row],[RT TIME 
(380-800)]],0)</f>
        <v>12.25</v>
      </c>
      <c r="Q223" s="415">
        <f>IFERROR(VLOOKUP(Table15[[#This Row],[ROUTE]],PRICING!A:B,2,FALSE),0)</f>
        <v>0</v>
      </c>
      <c r="R223" s="235">
        <f>IFERROR(Table15[[#This Row],[C_DEMAND]]-Table15[[#This Row],[R-DEMAND]],0)</f>
        <v>0</v>
      </c>
      <c r="S223" s="408">
        <f t="shared" si="3"/>
        <v>0</v>
      </c>
      <c r="T223" s="419">
        <f>Table15[[#This Row],[R-DEMAND]]-(Table15[[#This Row],[ADD ACC]]*1706)</f>
        <v>1275</v>
      </c>
      <c r="U223" s="419">
        <f>ROUNDDOWN(Table15[[#This Row],[Column1]]/1360,0)</f>
        <v>0</v>
      </c>
      <c r="V223" s="419"/>
      <c r="W223" s="251">
        <v>12.25</v>
      </c>
      <c r="X223" s="251">
        <f>ROUNDDOWN(Table15[[#This Row],[R-DEMAND]]/1320,0)</f>
        <v>2</v>
      </c>
      <c r="Y223" s="251">
        <f>IFERROR(Table15[[#This Row],[ADD ACC
(660/1320)]]*Table15[[#This Row],[Duration
(B744)]],0)</f>
        <v>24.5</v>
      </c>
      <c r="Z223" s="251"/>
    </row>
    <row r="224" spans="1:26" ht="15.75" customHeight="1" x14ac:dyDescent="0.25">
      <c r="A224" s="210" t="s">
        <v>15269</v>
      </c>
      <c r="B224" s="204" t="s">
        <v>5074</v>
      </c>
      <c r="C224" s="204" t="s">
        <v>67</v>
      </c>
      <c r="D224" s="205">
        <v>3</v>
      </c>
      <c r="E224" s="16" t="s">
        <v>11732</v>
      </c>
      <c r="F224" s="204" t="str">
        <f>VLOOKUP(E224,Table10[[COUNTRY NAME]:[CONTINENT CODE]],3,FALSE)</f>
        <v>NA - US</v>
      </c>
      <c r="G224" s="206" t="s">
        <v>13325</v>
      </c>
      <c r="H224" s="207">
        <v>13042</v>
      </c>
      <c r="I224" s="208">
        <v>31</v>
      </c>
      <c r="J224" s="345"/>
      <c r="K224" s="345">
        <f>IFERROR(Table15[[#This Row],[ROUTE $]]/Table15[[#This Row],[E - DEMAND]],0)</f>
        <v>0</v>
      </c>
      <c r="L224" s="204"/>
      <c r="M224" s="412">
        <f>IFERROR(VLOOKUP(Table15[[#This Row],[ROUTE]],DEMAND!A:F,5,FALSE),0)</f>
        <v>2977</v>
      </c>
      <c r="N224" s="16">
        <f>IFERROR(VLOOKUP(Table15[[#This Row],[ROUTE]],DEMAND!A:F,6,FALSE),0)</f>
        <v>2977</v>
      </c>
      <c r="O224" s="16">
        <f>IFERROR(ROUNDDOWN(Table15[[#This Row],[R-DEMAND]]/1706,0),0)</f>
        <v>1</v>
      </c>
      <c r="P224" s="16">
        <f>IFERROR(Table15[[#This Row],[ADD ACC]]*Table15[[#This Row],[RT TIME 
(380-800)]],0)</f>
        <v>31</v>
      </c>
      <c r="Q224" s="415">
        <f>IFERROR(VLOOKUP(Table15[[#This Row],[ROUTE]],PRICING!A:B,2,FALSE),0)</f>
        <v>0</v>
      </c>
      <c r="R224" s="235">
        <f>IFERROR(Table15[[#This Row],[C_DEMAND]]-Table15[[#This Row],[R-DEMAND]],0)</f>
        <v>0</v>
      </c>
      <c r="S224" s="408">
        <f t="shared" si="3"/>
        <v>0</v>
      </c>
      <c r="T224" s="419">
        <f>Table15[[#This Row],[R-DEMAND]]-(Table15[[#This Row],[ADD ACC]]*1706)</f>
        <v>1271</v>
      </c>
      <c r="U224" s="419">
        <f>ROUNDDOWN(Table15[[#This Row],[Column1]]/1360,0)</f>
        <v>0</v>
      </c>
      <c r="V224" s="419"/>
      <c r="W224" s="251">
        <v>31</v>
      </c>
      <c r="X224" s="251">
        <f>ROUNDDOWN(Table15[[#This Row],[R-DEMAND]]/1320,0)</f>
        <v>2</v>
      </c>
      <c r="Y224" s="251">
        <f>IFERROR(Table15[[#This Row],[ADD ACC
(660/1320)]]*Table15[[#This Row],[Duration
(B744)]],0)</f>
        <v>62</v>
      </c>
      <c r="Z224" s="251"/>
    </row>
    <row r="225" spans="1:26" ht="15.75" customHeight="1" x14ac:dyDescent="0.25">
      <c r="A225" s="210" t="s">
        <v>15270</v>
      </c>
      <c r="B225" s="204" t="s">
        <v>5132</v>
      </c>
      <c r="C225" s="204" t="s">
        <v>67</v>
      </c>
      <c r="D225" s="205">
        <v>3</v>
      </c>
      <c r="E225" s="16" t="s">
        <v>11732</v>
      </c>
      <c r="F225" s="204" t="str">
        <f>VLOOKUP(E225,Table10[[COUNTRY NAME]:[CONTINENT CODE]],3,FALSE)</f>
        <v>NA - US</v>
      </c>
      <c r="G225" s="206" t="s">
        <v>13264</v>
      </c>
      <c r="H225" s="207">
        <v>12990</v>
      </c>
      <c r="I225" s="208">
        <v>31</v>
      </c>
      <c r="J225" s="345"/>
      <c r="K225" s="345">
        <f>IFERROR(Table15[[#This Row],[ROUTE $]]/Table15[[#This Row],[E - DEMAND]],0)</f>
        <v>0</v>
      </c>
      <c r="L225" s="204"/>
      <c r="M225" s="412">
        <f>IFERROR(VLOOKUP(Table15[[#This Row],[ROUTE]],DEMAND!A:F,5,FALSE),0)</f>
        <v>2966</v>
      </c>
      <c r="N225" s="16">
        <f>IFERROR(VLOOKUP(Table15[[#This Row],[ROUTE]],DEMAND!A:F,6,FALSE),0)</f>
        <v>2966</v>
      </c>
      <c r="O225" s="16">
        <f>IFERROR(ROUNDDOWN(Table15[[#This Row],[R-DEMAND]]/1706,0),0)</f>
        <v>1</v>
      </c>
      <c r="P225" s="16">
        <f>IFERROR(Table15[[#This Row],[ADD ACC]]*Table15[[#This Row],[RT TIME 
(380-800)]],0)</f>
        <v>31</v>
      </c>
      <c r="Q225" s="415">
        <f>IFERROR(VLOOKUP(Table15[[#This Row],[ROUTE]],PRICING!A:B,2,FALSE),0)</f>
        <v>0</v>
      </c>
      <c r="R225" s="235">
        <f>IFERROR(Table15[[#This Row],[C_DEMAND]]-Table15[[#This Row],[R-DEMAND]],0)</f>
        <v>0</v>
      </c>
      <c r="S225" s="408">
        <f t="shared" si="3"/>
        <v>0</v>
      </c>
      <c r="T225" s="419">
        <f>Table15[[#This Row],[R-DEMAND]]-(Table15[[#This Row],[ADD ACC]]*1706)</f>
        <v>1260</v>
      </c>
      <c r="U225" s="419">
        <f>ROUNDDOWN(Table15[[#This Row],[Column1]]/1360,0)</f>
        <v>0</v>
      </c>
      <c r="V225" s="419"/>
      <c r="W225" s="251">
        <v>31</v>
      </c>
      <c r="X225" s="251">
        <f>ROUNDDOWN(Table15[[#This Row],[R-DEMAND]]/1320,0)</f>
        <v>2</v>
      </c>
      <c r="Y225" s="251">
        <f>IFERROR(Table15[[#This Row],[ADD ACC
(660/1320)]]*Table15[[#This Row],[Duration
(B744)]],0)</f>
        <v>62</v>
      </c>
      <c r="Z225" s="251"/>
    </row>
    <row r="226" spans="1:26" ht="15.75" customHeight="1" x14ac:dyDescent="0.25">
      <c r="A226" s="210" t="s">
        <v>15538</v>
      </c>
      <c r="B226" s="204" t="s">
        <v>4851</v>
      </c>
      <c r="C226" s="204" t="s">
        <v>67</v>
      </c>
      <c r="D226" s="205">
        <v>3</v>
      </c>
      <c r="E226" s="204" t="s">
        <v>585</v>
      </c>
      <c r="F226" s="204" t="str">
        <f>VLOOKUP(E226,Table10[[COUNTRY NAME]:[CONTINENT CODE]],3,FALSE)</f>
        <v>EU</v>
      </c>
      <c r="G226" s="210" t="s">
        <v>11786</v>
      </c>
      <c r="H226" s="207">
        <v>6366</v>
      </c>
      <c r="I226" s="208">
        <v>16.25</v>
      </c>
      <c r="J226" s="345"/>
      <c r="K226" s="345">
        <f>IFERROR(Table15[[#This Row],[ROUTE $]]/Table15[[#This Row],[E - DEMAND]],0)</f>
        <v>0</v>
      </c>
      <c r="L226" s="204"/>
      <c r="M226" s="412">
        <f>IFERROR(VLOOKUP(Table15[[#This Row],[ROUTE]],DEMAND!A:F,5,FALSE),0)</f>
        <v>2965</v>
      </c>
      <c r="N226" s="16">
        <f>IFERROR(VLOOKUP(Table15[[#This Row],[ROUTE]],DEMAND!A:F,6,FALSE),0)</f>
        <v>2965</v>
      </c>
      <c r="O226" s="16">
        <f>IFERROR(ROUNDDOWN(Table15[[#This Row],[R-DEMAND]]/1706,0),0)</f>
        <v>1</v>
      </c>
      <c r="P226" s="16">
        <f>IFERROR(Table15[[#This Row],[ADD ACC]]*Table15[[#This Row],[RT TIME 
(380-800)]],0)</f>
        <v>16.25</v>
      </c>
      <c r="Q226" s="415">
        <f>IFERROR(VLOOKUP(Table15[[#This Row],[ROUTE]],PRICING!A:B,2,FALSE),0)</f>
        <v>0</v>
      </c>
      <c r="R226" s="235">
        <f>IFERROR(Table15[[#This Row],[C_DEMAND]]-Table15[[#This Row],[R-DEMAND]],0)</f>
        <v>0</v>
      </c>
      <c r="S226" s="408">
        <f t="shared" si="3"/>
        <v>0</v>
      </c>
      <c r="T226" s="419">
        <f>Table15[[#This Row],[R-DEMAND]]-(Table15[[#This Row],[ADD ACC]]*1706)</f>
        <v>1259</v>
      </c>
      <c r="U226" s="419">
        <f>ROUNDDOWN(Table15[[#This Row],[Column1]]/1360,0)</f>
        <v>0</v>
      </c>
      <c r="V226" s="419"/>
      <c r="W226" s="251">
        <v>16.25</v>
      </c>
      <c r="X226" s="251">
        <f>ROUNDDOWN(Table15[[#This Row],[R-DEMAND]]/1320,0)</f>
        <v>2</v>
      </c>
      <c r="Y226" s="251">
        <f>IFERROR(Table15[[#This Row],[ADD ACC
(660/1320)]]*Table15[[#This Row],[Duration
(B744)]],0)</f>
        <v>32.5</v>
      </c>
      <c r="Z226" s="251"/>
    </row>
    <row r="227" spans="1:26" ht="15.75" customHeight="1" x14ac:dyDescent="0.25">
      <c r="A227" s="210" t="s">
        <v>15504</v>
      </c>
      <c r="B227" s="204" t="s">
        <v>5591</v>
      </c>
      <c r="C227" s="204" t="s">
        <v>67</v>
      </c>
      <c r="D227" s="205">
        <v>4</v>
      </c>
      <c r="E227" s="204" t="s">
        <v>560</v>
      </c>
      <c r="F227" s="204" t="str">
        <f>VLOOKUP(E227,Table10[[COUNTRY NAME]:[CONTINENT CODE]],3,FALSE)</f>
        <v>EU</v>
      </c>
      <c r="G227" s="210" t="s">
        <v>11055</v>
      </c>
      <c r="H227" s="207">
        <v>6617</v>
      </c>
      <c r="I227" s="208">
        <v>16.75</v>
      </c>
      <c r="J227" s="345"/>
      <c r="K227" s="345">
        <f>IFERROR(Table15[[#This Row],[ROUTE $]]/Table15[[#This Row],[E - DEMAND]],0)</f>
        <v>0</v>
      </c>
      <c r="L227" s="204"/>
      <c r="M227" s="412">
        <f>IFERROR(VLOOKUP(Table15[[#This Row],[ROUTE]],DEMAND!A:F,5,FALSE),0)</f>
        <v>2953</v>
      </c>
      <c r="N227" s="16">
        <f>IFERROR(VLOOKUP(Table15[[#This Row],[ROUTE]],DEMAND!A:F,6,FALSE),0)</f>
        <v>2953</v>
      </c>
      <c r="O227" s="16">
        <f>IFERROR(ROUNDDOWN(Table15[[#This Row],[R-DEMAND]]/1706,0),0)</f>
        <v>1</v>
      </c>
      <c r="P227" s="16">
        <f>IFERROR(Table15[[#This Row],[ADD ACC]]*Table15[[#This Row],[RT TIME 
(380-800)]],0)</f>
        <v>16.75</v>
      </c>
      <c r="Q227" s="415">
        <f>IFERROR(VLOOKUP(Table15[[#This Row],[ROUTE]],PRICING!A:B,2,FALSE),0)</f>
        <v>0</v>
      </c>
      <c r="R227" s="235">
        <f>IFERROR(Table15[[#This Row],[C_DEMAND]]-Table15[[#This Row],[R-DEMAND]],0)</f>
        <v>0</v>
      </c>
      <c r="S227" s="408">
        <f t="shared" si="3"/>
        <v>0</v>
      </c>
      <c r="T227" s="419">
        <f>Table15[[#This Row],[R-DEMAND]]-(Table15[[#This Row],[ADD ACC]]*1706)</f>
        <v>1247</v>
      </c>
      <c r="U227" s="419">
        <f>ROUNDDOWN(Table15[[#This Row],[Column1]]/1360,0)</f>
        <v>0</v>
      </c>
      <c r="V227" s="419"/>
      <c r="W227" s="251">
        <v>16.75</v>
      </c>
      <c r="X227" s="251">
        <f>ROUNDDOWN(Table15[[#This Row],[R-DEMAND]]/1320,0)</f>
        <v>2</v>
      </c>
      <c r="Y227" s="251">
        <f>IFERROR(Table15[[#This Row],[ADD ACC
(660/1320)]]*Table15[[#This Row],[Duration
(B744)]],0)</f>
        <v>33.5</v>
      </c>
      <c r="Z227" s="251"/>
    </row>
    <row r="228" spans="1:26" ht="15.75" customHeight="1" x14ac:dyDescent="0.25">
      <c r="A228" s="210" t="s">
        <v>15260</v>
      </c>
      <c r="B228" s="204" t="s">
        <v>5095</v>
      </c>
      <c r="C228" s="204" t="s">
        <v>67</v>
      </c>
      <c r="D228" s="205">
        <v>3</v>
      </c>
      <c r="E228" s="16" t="s">
        <v>11732</v>
      </c>
      <c r="F228" s="204" t="str">
        <f>VLOOKUP(E228,Table10[[COUNTRY NAME]:[CONTINENT CODE]],3,FALSE)</f>
        <v>NA - US</v>
      </c>
      <c r="G228" s="206" t="s">
        <v>11765</v>
      </c>
      <c r="H228" s="207">
        <v>13158</v>
      </c>
      <c r="I228" s="208">
        <v>31.25</v>
      </c>
      <c r="J228" s="345"/>
      <c r="K228" s="345">
        <f>IFERROR(Table15[[#This Row],[ROUTE $]]/Table15[[#This Row],[E - DEMAND]],0)</f>
        <v>0</v>
      </c>
      <c r="L228" s="204"/>
      <c r="M228" s="412">
        <f>IFERROR(VLOOKUP(Table15[[#This Row],[ROUTE]],DEMAND!A:F,5,FALSE),0)</f>
        <v>2946</v>
      </c>
      <c r="N228" s="16">
        <f>IFERROR(VLOOKUP(Table15[[#This Row],[ROUTE]],DEMAND!A:F,6,FALSE),0)</f>
        <v>2946</v>
      </c>
      <c r="O228" s="16">
        <f>IFERROR(ROUNDDOWN(Table15[[#This Row],[R-DEMAND]]/1706,0),0)</f>
        <v>1</v>
      </c>
      <c r="P228" s="16">
        <f>IFERROR(Table15[[#This Row],[ADD ACC]]*Table15[[#This Row],[RT TIME 
(380-800)]],0)</f>
        <v>31.25</v>
      </c>
      <c r="Q228" s="415">
        <f>IFERROR(VLOOKUP(Table15[[#This Row],[ROUTE]],PRICING!A:B,2,FALSE),0)</f>
        <v>0</v>
      </c>
      <c r="R228" s="235">
        <f>IFERROR(Table15[[#This Row],[C_DEMAND]]-Table15[[#This Row],[R-DEMAND]],0)</f>
        <v>0</v>
      </c>
      <c r="S228" s="408">
        <f t="shared" si="3"/>
        <v>0</v>
      </c>
      <c r="T228" s="419">
        <f>Table15[[#This Row],[R-DEMAND]]-(Table15[[#This Row],[ADD ACC]]*1706)</f>
        <v>1240</v>
      </c>
      <c r="U228" s="419">
        <f>ROUNDDOWN(Table15[[#This Row],[Column1]]/1360,0)</f>
        <v>0</v>
      </c>
      <c r="V228" s="419"/>
      <c r="W228" s="251">
        <v>31.25</v>
      </c>
      <c r="X228" s="251">
        <f>ROUNDDOWN(Table15[[#This Row],[R-DEMAND]]/1320,0)</f>
        <v>2</v>
      </c>
      <c r="Y228" s="251">
        <f>IFERROR(Table15[[#This Row],[ADD ACC
(660/1320)]]*Table15[[#This Row],[Duration
(B744)]],0)</f>
        <v>62.5</v>
      </c>
      <c r="Z228" s="251"/>
    </row>
    <row r="229" spans="1:26" ht="15.75" customHeight="1" x14ac:dyDescent="0.25">
      <c r="A229" s="210" t="s">
        <v>15500</v>
      </c>
      <c r="B229" s="204" t="s">
        <v>5091</v>
      </c>
      <c r="C229" s="204" t="s">
        <v>67</v>
      </c>
      <c r="D229" s="205">
        <v>3</v>
      </c>
      <c r="E229" s="204" t="s">
        <v>876</v>
      </c>
      <c r="F229" s="204" t="str">
        <f>VLOOKUP(E229,Table10[[COUNTRY NAME]:[CONTINENT CODE]],3,FALSE)</f>
        <v>EU</v>
      </c>
      <c r="G229" s="210" t="s">
        <v>10595</v>
      </c>
      <c r="H229" s="207">
        <v>6630</v>
      </c>
      <c r="I229" s="208">
        <v>16.75</v>
      </c>
      <c r="J229" s="345"/>
      <c r="K229" s="345">
        <f>IFERROR(Table15[[#This Row],[ROUTE $]]/Table15[[#This Row],[E - DEMAND]],0)</f>
        <v>0</v>
      </c>
      <c r="L229" s="204"/>
      <c r="M229" s="412">
        <f>IFERROR(VLOOKUP(Table15[[#This Row],[ROUTE]],DEMAND!A:F,5,FALSE),0)</f>
        <v>2936</v>
      </c>
      <c r="N229" s="16">
        <f>IFERROR(VLOOKUP(Table15[[#This Row],[ROUTE]],DEMAND!A:F,6,FALSE),0)</f>
        <v>2936</v>
      </c>
      <c r="O229" s="16">
        <f>IFERROR(ROUNDDOWN(Table15[[#This Row],[R-DEMAND]]/1706,0),0)</f>
        <v>1</v>
      </c>
      <c r="P229" s="16">
        <f>IFERROR(Table15[[#This Row],[ADD ACC]]*Table15[[#This Row],[RT TIME 
(380-800)]],0)</f>
        <v>16.75</v>
      </c>
      <c r="Q229" s="415">
        <f>IFERROR(VLOOKUP(Table15[[#This Row],[ROUTE]],PRICING!A:B,2,FALSE),0)</f>
        <v>0</v>
      </c>
      <c r="R229" s="235">
        <f>IFERROR(Table15[[#This Row],[C_DEMAND]]-Table15[[#This Row],[R-DEMAND]],0)</f>
        <v>0</v>
      </c>
      <c r="S229" s="408">
        <f t="shared" si="3"/>
        <v>0</v>
      </c>
      <c r="T229" s="419">
        <f>Table15[[#This Row],[R-DEMAND]]-(Table15[[#This Row],[ADD ACC]]*1706)</f>
        <v>1230</v>
      </c>
      <c r="U229" s="419">
        <f>ROUNDDOWN(Table15[[#This Row],[Column1]]/1360,0)</f>
        <v>0</v>
      </c>
      <c r="V229" s="419"/>
      <c r="W229" s="251">
        <v>16.75</v>
      </c>
      <c r="X229" s="251">
        <f>ROUNDDOWN(Table15[[#This Row],[R-DEMAND]]/1320,0)</f>
        <v>2</v>
      </c>
      <c r="Y229" s="251">
        <f>IFERROR(Table15[[#This Row],[ADD ACC
(660/1320)]]*Table15[[#This Row],[Duration
(B744)]],0)</f>
        <v>33.5</v>
      </c>
      <c r="Z229" s="251"/>
    </row>
    <row r="230" spans="1:26" ht="15.75" customHeight="1" x14ac:dyDescent="0.25">
      <c r="A230" s="210" t="s">
        <v>15644</v>
      </c>
      <c r="B230" s="204" t="s">
        <v>4924</v>
      </c>
      <c r="C230" s="204" t="s">
        <v>67</v>
      </c>
      <c r="D230" s="205">
        <v>3</v>
      </c>
      <c r="E230" s="204" t="s">
        <v>597</v>
      </c>
      <c r="F230" s="204" t="str">
        <f>VLOOKUP(E230,Table10[[COUNTRY NAME]:[CONTINENT CODE]],3,FALSE)</f>
        <v>EU</v>
      </c>
      <c r="G230" s="210" t="s">
        <v>11838</v>
      </c>
      <c r="H230" s="207">
        <v>5091</v>
      </c>
      <c r="I230" s="208">
        <v>13.5</v>
      </c>
      <c r="J230" s="345"/>
      <c r="K230" s="345">
        <f>IFERROR(Table15[[#This Row],[ROUTE $]]/Table15[[#This Row],[E - DEMAND]],0)</f>
        <v>0</v>
      </c>
      <c r="L230" s="204"/>
      <c r="M230" s="412">
        <f>IFERROR(VLOOKUP(Table15[[#This Row],[ROUTE]],DEMAND!A:F,5,FALSE),0)</f>
        <v>2929</v>
      </c>
      <c r="N230" s="16">
        <f>IFERROR(VLOOKUP(Table15[[#This Row],[ROUTE]],DEMAND!A:F,6,FALSE),0)</f>
        <v>2929</v>
      </c>
      <c r="O230" s="16">
        <f>IFERROR(ROUNDDOWN(Table15[[#This Row],[R-DEMAND]]/1706,0),0)</f>
        <v>1</v>
      </c>
      <c r="P230" s="16">
        <f>IFERROR(Table15[[#This Row],[ADD ACC]]*Table15[[#This Row],[RT TIME 
(380-800)]],0)</f>
        <v>13.5</v>
      </c>
      <c r="Q230" s="415">
        <f>IFERROR(VLOOKUP(Table15[[#This Row],[ROUTE]],PRICING!A:B,2,FALSE),0)</f>
        <v>0</v>
      </c>
      <c r="R230" s="235">
        <f>IFERROR(Table15[[#This Row],[C_DEMAND]]-Table15[[#This Row],[R-DEMAND]],0)</f>
        <v>0</v>
      </c>
      <c r="S230" s="408">
        <f t="shared" si="3"/>
        <v>0</v>
      </c>
      <c r="T230" s="419">
        <f>Table15[[#This Row],[R-DEMAND]]-(Table15[[#This Row],[ADD ACC]]*1706)</f>
        <v>1223</v>
      </c>
      <c r="U230" s="419">
        <f>ROUNDDOWN(Table15[[#This Row],[Column1]]/1360,0)</f>
        <v>0</v>
      </c>
      <c r="V230" s="419"/>
      <c r="W230" s="251">
        <v>13.5</v>
      </c>
      <c r="X230" s="251">
        <f>ROUNDDOWN(Table15[[#This Row],[R-DEMAND]]/1320,0)</f>
        <v>2</v>
      </c>
      <c r="Y230" s="251">
        <f>IFERROR(Table15[[#This Row],[ADD ACC
(660/1320)]]*Table15[[#This Row],[Duration
(B744)]],0)</f>
        <v>27</v>
      </c>
      <c r="Z230" s="251"/>
    </row>
    <row r="231" spans="1:26" ht="15.75" customHeight="1" x14ac:dyDescent="0.25">
      <c r="A231" s="210" t="s">
        <v>15127</v>
      </c>
      <c r="B231" s="204" t="s">
        <v>4649</v>
      </c>
      <c r="C231" s="204" t="s">
        <v>67</v>
      </c>
      <c r="D231" s="205">
        <v>2</v>
      </c>
      <c r="E231" s="204" t="s">
        <v>860</v>
      </c>
      <c r="F231" s="204" t="str">
        <f>VLOOKUP(E231,Table10[[COUNTRY NAME]:[CONTINENT CODE]],3,FALSE)</f>
        <v>SA</v>
      </c>
      <c r="G231" s="206" t="s">
        <v>13181</v>
      </c>
      <c r="H231" s="207">
        <v>15152</v>
      </c>
      <c r="I231" s="208">
        <v>35.75</v>
      </c>
      <c r="J231" s="345"/>
      <c r="K231" s="345">
        <f>IFERROR(Table15[[#This Row],[ROUTE $]]/Table15[[#This Row],[E - DEMAND]],0)</f>
        <v>0</v>
      </c>
      <c r="L231" s="204"/>
      <c r="M231" s="412">
        <f>IFERROR(VLOOKUP(Table15[[#This Row],[ROUTE]],DEMAND!A:F,5,FALSE),0)</f>
        <v>2912</v>
      </c>
      <c r="N231" s="16">
        <f>IFERROR(VLOOKUP(Table15[[#This Row],[ROUTE]],DEMAND!A:F,6,FALSE),0)</f>
        <v>2912</v>
      </c>
      <c r="O231" s="16">
        <f>IFERROR(ROUNDDOWN(Table15[[#This Row],[R-DEMAND]]/1706,0),0)</f>
        <v>1</v>
      </c>
      <c r="P231" s="16">
        <f>IFERROR(Table15[[#This Row],[ADD ACC]]*Table15[[#This Row],[RT TIME 
(380-800)]],0)</f>
        <v>35.75</v>
      </c>
      <c r="Q231" s="415">
        <f>IFERROR(VLOOKUP(Table15[[#This Row],[ROUTE]],PRICING!A:B,2,FALSE),0)</f>
        <v>0</v>
      </c>
      <c r="R231" s="235">
        <f>IFERROR(Table15[[#This Row],[C_DEMAND]]-Table15[[#This Row],[R-DEMAND]],0)</f>
        <v>0</v>
      </c>
      <c r="S231" s="408">
        <f t="shared" si="3"/>
        <v>0</v>
      </c>
      <c r="T231" s="419">
        <f>Table15[[#This Row],[R-DEMAND]]-(Table15[[#This Row],[ADD ACC]]*1706)</f>
        <v>1206</v>
      </c>
      <c r="U231" s="419">
        <f>ROUNDDOWN(Table15[[#This Row],[Column1]]/1360,0)</f>
        <v>0</v>
      </c>
      <c r="V231" s="419"/>
      <c r="W231" s="349"/>
      <c r="X231" s="349"/>
      <c r="Y231" s="349"/>
      <c r="Z231" s="349"/>
    </row>
    <row r="232" spans="1:26" ht="15.75" customHeight="1" x14ac:dyDescent="0.25">
      <c r="A232" s="210" t="s">
        <v>15360</v>
      </c>
      <c r="B232" s="204" t="s">
        <v>1653</v>
      </c>
      <c r="C232" s="204" t="s">
        <v>67</v>
      </c>
      <c r="D232" s="205">
        <v>1</v>
      </c>
      <c r="E232" s="204" t="s">
        <v>78</v>
      </c>
      <c r="F232" s="204" t="str">
        <f>VLOOKUP(E232,Table10[[COUNTRY NAME]:[CONTINENT CODE]],3,FALSE)</f>
        <v>EU</v>
      </c>
      <c r="G232" s="210" t="s">
        <v>11836</v>
      </c>
      <c r="H232" s="207">
        <v>8777</v>
      </c>
      <c r="I232" s="208">
        <v>21.5</v>
      </c>
      <c r="J232" s="345"/>
      <c r="K232" s="345">
        <f>IFERROR(Table15[[#This Row],[ROUTE $]]/Table15[[#This Row],[E - DEMAND]],0)</f>
        <v>0</v>
      </c>
      <c r="L232" s="204"/>
      <c r="M232" s="412">
        <f>IFERROR(VLOOKUP(Table15[[#This Row],[ROUTE]],DEMAND!A:F,5,FALSE),0)</f>
        <v>2911</v>
      </c>
      <c r="N232" s="16">
        <f>IFERROR(VLOOKUP(Table15[[#This Row],[ROUTE]],DEMAND!A:F,6,FALSE),0)</f>
        <v>2911</v>
      </c>
      <c r="O232" s="16">
        <f>IFERROR(ROUNDDOWN(Table15[[#This Row],[R-DEMAND]]/1706,0),0)</f>
        <v>1</v>
      </c>
      <c r="P232" s="16">
        <f>IFERROR(Table15[[#This Row],[ADD ACC]]*Table15[[#This Row],[RT TIME 
(380-800)]],0)</f>
        <v>21.5</v>
      </c>
      <c r="Q232" s="415">
        <f>IFERROR(VLOOKUP(Table15[[#This Row],[ROUTE]],PRICING!A:B,2,FALSE),0)</f>
        <v>0</v>
      </c>
      <c r="R232" s="235">
        <f>IFERROR(Table15[[#This Row],[C_DEMAND]]-Table15[[#This Row],[R-DEMAND]],0)</f>
        <v>0</v>
      </c>
      <c r="S232" s="408">
        <f t="shared" si="3"/>
        <v>0</v>
      </c>
      <c r="T232" s="419">
        <f>Table15[[#This Row],[R-DEMAND]]-(Table15[[#This Row],[ADD ACC]]*1706)</f>
        <v>1205</v>
      </c>
      <c r="U232" s="419">
        <f>ROUNDDOWN(Table15[[#This Row],[Column1]]/1360,0)</f>
        <v>0</v>
      </c>
      <c r="V232" s="419"/>
      <c r="W232" s="251">
        <v>21.5</v>
      </c>
      <c r="X232" s="251">
        <f>ROUNDDOWN(Table15[[#This Row],[R-DEMAND]]/1320,0)</f>
        <v>2</v>
      </c>
      <c r="Y232" s="251">
        <f>IFERROR(Table15[[#This Row],[ADD ACC
(660/1320)]]*Table15[[#This Row],[Duration
(B744)]],0)</f>
        <v>43</v>
      </c>
      <c r="Z232" s="251"/>
    </row>
    <row r="233" spans="1:26" ht="15.75" customHeight="1" x14ac:dyDescent="0.25">
      <c r="A233" s="210" t="s">
        <v>15401</v>
      </c>
      <c r="B233" s="204" t="s">
        <v>5057</v>
      </c>
      <c r="C233" s="204" t="s">
        <v>67</v>
      </c>
      <c r="D233" s="205">
        <v>3</v>
      </c>
      <c r="E233" s="204" t="s">
        <v>83</v>
      </c>
      <c r="F233" s="204" t="str">
        <f>VLOOKUP(E233,Table10[[COUNTRY NAME]:[CONTINENT CODE]],3,FALSE)</f>
        <v>EU</v>
      </c>
      <c r="G233" s="210" t="s">
        <v>11706</v>
      </c>
      <c r="H233" s="207">
        <v>7486</v>
      </c>
      <c r="I233" s="208">
        <v>18.75</v>
      </c>
      <c r="J233" s="345"/>
      <c r="K233" s="345">
        <f>IFERROR(Table15[[#This Row],[ROUTE $]]/Table15[[#This Row],[E - DEMAND]],0)</f>
        <v>0</v>
      </c>
      <c r="L233" s="204"/>
      <c r="M233" s="412">
        <f>IFERROR(VLOOKUP(Table15[[#This Row],[ROUTE]],DEMAND!A:F,5,FALSE),0)</f>
        <v>2904</v>
      </c>
      <c r="N233" s="16">
        <f>IFERROR(VLOOKUP(Table15[[#This Row],[ROUTE]],DEMAND!A:F,6,FALSE),0)</f>
        <v>2904</v>
      </c>
      <c r="O233" s="16">
        <f>IFERROR(ROUNDDOWN(Table15[[#This Row],[R-DEMAND]]/1706,0),0)</f>
        <v>1</v>
      </c>
      <c r="P233" s="16">
        <f>IFERROR(Table15[[#This Row],[ADD ACC]]*Table15[[#This Row],[RT TIME 
(380-800)]],0)</f>
        <v>18.75</v>
      </c>
      <c r="Q233" s="415">
        <f>IFERROR(VLOOKUP(Table15[[#This Row],[ROUTE]],PRICING!A:B,2,FALSE),0)</f>
        <v>0</v>
      </c>
      <c r="R233" s="235">
        <f>IFERROR(Table15[[#This Row],[C_DEMAND]]-Table15[[#This Row],[R-DEMAND]],0)</f>
        <v>0</v>
      </c>
      <c r="S233" s="408">
        <f t="shared" si="3"/>
        <v>0</v>
      </c>
      <c r="T233" s="419">
        <f>Table15[[#This Row],[R-DEMAND]]-(Table15[[#This Row],[ADD ACC]]*1706)</f>
        <v>1198</v>
      </c>
      <c r="U233" s="419">
        <f>ROUNDDOWN(Table15[[#This Row],[Column1]]/1360,0)</f>
        <v>0</v>
      </c>
      <c r="V233" s="419"/>
      <c r="W233" s="251">
        <v>18.75</v>
      </c>
      <c r="X233" s="251">
        <f>ROUNDDOWN(Table15[[#This Row],[R-DEMAND]]/1320,0)</f>
        <v>2</v>
      </c>
      <c r="Y233" s="251">
        <f>IFERROR(Table15[[#This Row],[ADD ACC
(660/1320)]]*Table15[[#This Row],[Duration
(B744)]],0)</f>
        <v>37.5</v>
      </c>
      <c r="Z233" s="251"/>
    </row>
    <row r="234" spans="1:26" ht="15.75" customHeight="1" x14ac:dyDescent="0.25">
      <c r="A234" s="210" t="s">
        <v>15284</v>
      </c>
      <c r="B234" s="204" t="s">
        <v>4917</v>
      </c>
      <c r="C234" s="204" t="s">
        <v>67</v>
      </c>
      <c r="D234" s="205">
        <v>3</v>
      </c>
      <c r="E234" s="16" t="s">
        <v>11732</v>
      </c>
      <c r="F234" s="204" t="str">
        <f>VLOOKUP(E234,Table10[[COUNTRY NAME]:[CONTINENT CODE]],3,FALSE)</f>
        <v>NA - US</v>
      </c>
      <c r="G234" s="206" t="s">
        <v>13313</v>
      </c>
      <c r="H234" s="207">
        <v>12781</v>
      </c>
      <c r="I234" s="208">
        <v>30.5</v>
      </c>
      <c r="J234" s="345"/>
      <c r="K234" s="345">
        <f>IFERROR(Table15[[#This Row],[ROUTE $]]/Table15[[#This Row],[E - DEMAND]],0)</f>
        <v>0</v>
      </c>
      <c r="L234" s="204"/>
      <c r="M234" s="412">
        <f>IFERROR(VLOOKUP(Table15[[#This Row],[ROUTE]],DEMAND!A:F,5,FALSE),0)</f>
        <v>2875</v>
      </c>
      <c r="N234" s="16">
        <f>IFERROR(VLOOKUP(Table15[[#This Row],[ROUTE]],DEMAND!A:F,6,FALSE),0)</f>
        <v>2875</v>
      </c>
      <c r="O234" s="16">
        <f>IFERROR(ROUNDDOWN(Table15[[#This Row],[R-DEMAND]]/1706,0),0)</f>
        <v>1</v>
      </c>
      <c r="P234" s="16">
        <f>IFERROR(Table15[[#This Row],[ADD ACC]]*Table15[[#This Row],[RT TIME 
(380-800)]],0)</f>
        <v>30.5</v>
      </c>
      <c r="Q234" s="415">
        <f>IFERROR(VLOOKUP(Table15[[#This Row],[ROUTE]],PRICING!A:B,2,FALSE),0)</f>
        <v>0</v>
      </c>
      <c r="R234" s="235">
        <f>IFERROR(Table15[[#This Row],[C_DEMAND]]-Table15[[#This Row],[R-DEMAND]],0)</f>
        <v>0</v>
      </c>
      <c r="S234" s="408">
        <f t="shared" si="3"/>
        <v>0</v>
      </c>
      <c r="T234" s="419">
        <f>Table15[[#This Row],[R-DEMAND]]-(Table15[[#This Row],[ADD ACC]]*1706)</f>
        <v>1169</v>
      </c>
      <c r="U234" s="419">
        <f>ROUNDDOWN(Table15[[#This Row],[Column1]]/1360,0)</f>
        <v>0</v>
      </c>
      <c r="V234" s="419"/>
      <c r="W234" s="251">
        <v>30.5</v>
      </c>
      <c r="X234" s="251">
        <f>ROUNDDOWN(Table15[[#This Row],[R-DEMAND]]/1320,0)</f>
        <v>2</v>
      </c>
      <c r="Y234" s="251">
        <f>IFERROR(Table15[[#This Row],[ADD ACC
(660/1320)]]*Table15[[#This Row],[Duration
(B744)]],0)</f>
        <v>61</v>
      </c>
      <c r="Z234" s="251"/>
    </row>
    <row r="235" spans="1:26" ht="15.75" customHeight="1" x14ac:dyDescent="0.25">
      <c r="A235" s="210" t="s">
        <v>15475</v>
      </c>
      <c r="B235" s="204" t="s">
        <v>5543</v>
      </c>
      <c r="C235" s="204" t="s">
        <v>67</v>
      </c>
      <c r="D235" s="205">
        <v>4</v>
      </c>
      <c r="E235" s="204" t="s">
        <v>560</v>
      </c>
      <c r="F235" s="204" t="str">
        <f>VLOOKUP(E235,Table10[[COUNTRY NAME]:[CONTINENT CODE]],3,FALSE)</f>
        <v>EU</v>
      </c>
      <c r="G235" s="210" t="s">
        <v>11063</v>
      </c>
      <c r="H235" s="207">
        <v>6794</v>
      </c>
      <c r="I235" s="208">
        <v>17.25</v>
      </c>
      <c r="J235" s="345"/>
      <c r="K235" s="345">
        <f>IFERROR(Table15[[#This Row],[ROUTE $]]/Table15[[#This Row],[E - DEMAND]],0)</f>
        <v>0</v>
      </c>
      <c r="L235" s="204"/>
      <c r="M235" s="412">
        <f>IFERROR(VLOOKUP(Table15[[#This Row],[ROUTE]],DEMAND!A:F,5,FALSE),0)</f>
        <v>2868</v>
      </c>
      <c r="N235" s="16">
        <f>IFERROR(VLOOKUP(Table15[[#This Row],[ROUTE]],DEMAND!A:F,6,FALSE),0)</f>
        <v>2868</v>
      </c>
      <c r="O235" s="16">
        <f>IFERROR(ROUNDDOWN(Table15[[#This Row],[R-DEMAND]]/1706,0),0)</f>
        <v>1</v>
      </c>
      <c r="P235" s="16">
        <f>IFERROR(Table15[[#This Row],[ADD ACC]]*Table15[[#This Row],[RT TIME 
(380-800)]],0)</f>
        <v>17.25</v>
      </c>
      <c r="Q235" s="415">
        <f>IFERROR(VLOOKUP(Table15[[#This Row],[ROUTE]],PRICING!A:B,2,FALSE),0)</f>
        <v>0</v>
      </c>
      <c r="R235" s="235">
        <f>IFERROR(Table15[[#This Row],[C_DEMAND]]-Table15[[#This Row],[R-DEMAND]],0)</f>
        <v>0</v>
      </c>
      <c r="S235" s="408">
        <f t="shared" si="3"/>
        <v>0</v>
      </c>
      <c r="T235" s="419">
        <f>Table15[[#This Row],[R-DEMAND]]-(Table15[[#This Row],[ADD ACC]]*1706)</f>
        <v>1162</v>
      </c>
      <c r="U235" s="419">
        <f>ROUNDDOWN(Table15[[#This Row],[Column1]]/1360,0)</f>
        <v>0</v>
      </c>
      <c r="V235" s="419"/>
      <c r="W235" s="251">
        <v>17.25</v>
      </c>
      <c r="X235" s="251">
        <f>ROUNDDOWN(Table15[[#This Row],[R-DEMAND]]/1320,0)</f>
        <v>2</v>
      </c>
      <c r="Y235" s="251">
        <f>IFERROR(Table15[[#This Row],[ADD ACC
(660/1320)]]*Table15[[#This Row],[Duration
(B744)]],0)</f>
        <v>34.5</v>
      </c>
      <c r="Z235" s="251"/>
    </row>
    <row r="236" spans="1:26" ht="15.75" customHeight="1" x14ac:dyDescent="0.25">
      <c r="A236" s="210" t="s">
        <v>15240</v>
      </c>
      <c r="B236" s="204" t="s">
        <v>4785</v>
      </c>
      <c r="C236" s="204" t="s">
        <v>67</v>
      </c>
      <c r="D236" s="205">
        <v>3</v>
      </c>
      <c r="E236" s="16" t="s">
        <v>11732</v>
      </c>
      <c r="F236" s="204" t="str">
        <f>VLOOKUP(E236,Table10[[COUNTRY NAME]:[CONTINENT CODE]],3,FALSE)</f>
        <v>NA - US</v>
      </c>
      <c r="G236" s="206" t="s">
        <v>13361</v>
      </c>
      <c r="H236" s="207">
        <v>13433</v>
      </c>
      <c r="I236" s="208">
        <v>32</v>
      </c>
      <c r="J236" s="345"/>
      <c r="K236" s="345">
        <f>IFERROR(Table15[[#This Row],[ROUTE $]]/Table15[[#This Row],[E - DEMAND]],0)</f>
        <v>0</v>
      </c>
      <c r="L236" s="204"/>
      <c r="M236" s="412">
        <f>IFERROR(VLOOKUP(Table15[[#This Row],[ROUTE]],DEMAND!A:F,5,FALSE),0)</f>
        <v>2857</v>
      </c>
      <c r="N236" s="16">
        <f>IFERROR(VLOOKUP(Table15[[#This Row],[ROUTE]],DEMAND!A:F,6,FALSE),0)</f>
        <v>2857</v>
      </c>
      <c r="O236" s="16">
        <f>IFERROR(ROUNDDOWN(Table15[[#This Row],[R-DEMAND]]/1706,0),0)</f>
        <v>1</v>
      </c>
      <c r="P236" s="16">
        <f>IFERROR(Table15[[#This Row],[ADD ACC]]*Table15[[#This Row],[RT TIME 
(380-800)]],0)</f>
        <v>32</v>
      </c>
      <c r="Q236" s="415">
        <f>IFERROR(VLOOKUP(Table15[[#This Row],[ROUTE]],PRICING!A:B,2,FALSE),0)</f>
        <v>0</v>
      </c>
      <c r="R236" s="235">
        <f>IFERROR(Table15[[#This Row],[C_DEMAND]]-Table15[[#This Row],[R-DEMAND]],0)</f>
        <v>0</v>
      </c>
      <c r="S236" s="408">
        <f t="shared" si="3"/>
        <v>0</v>
      </c>
      <c r="T236" s="419">
        <f>Table15[[#This Row],[R-DEMAND]]-(Table15[[#This Row],[ADD ACC]]*1706)</f>
        <v>1151</v>
      </c>
      <c r="U236" s="419">
        <f>ROUNDDOWN(Table15[[#This Row],[Column1]]/1360,0)</f>
        <v>0</v>
      </c>
      <c r="V236" s="419"/>
      <c r="W236" s="251">
        <v>32</v>
      </c>
      <c r="X236" s="251">
        <f>ROUNDDOWN(Table15[[#This Row],[R-DEMAND]]/1320,0)</f>
        <v>2</v>
      </c>
      <c r="Y236" s="251">
        <f>IFERROR(Table15[[#This Row],[ADD ACC
(660/1320)]]*Table15[[#This Row],[Duration
(B744)]],0)</f>
        <v>64</v>
      </c>
      <c r="Z236" s="251"/>
    </row>
    <row r="237" spans="1:26" ht="15.75" customHeight="1" x14ac:dyDescent="0.25">
      <c r="A237" s="210" t="s">
        <v>15256</v>
      </c>
      <c r="B237" s="204" t="s">
        <v>4902</v>
      </c>
      <c r="C237" s="204" t="s">
        <v>67</v>
      </c>
      <c r="D237" s="205">
        <v>3</v>
      </c>
      <c r="E237" s="16" t="s">
        <v>11732</v>
      </c>
      <c r="F237" s="204" t="str">
        <f>VLOOKUP(E237,Table10[[COUNTRY NAME]:[CONTINENT CODE]],3,FALSE)</f>
        <v>NA - US</v>
      </c>
      <c r="G237" s="206" t="s">
        <v>13356</v>
      </c>
      <c r="H237" s="207">
        <v>13248</v>
      </c>
      <c r="I237" s="208">
        <v>31.5</v>
      </c>
      <c r="J237" s="345"/>
      <c r="K237" s="345">
        <f>IFERROR(Table15[[#This Row],[ROUTE $]]/Table15[[#This Row],[E - DEMAND]],0)</f>
        <v>0</v>
      </c>
      <c r="L237" s="204"/>
      <c r="M237" s="412">
        <f>IFERROR(VLOOKUP(Table15[[#This Row],[ROUTE]],DEMAND!A:F,5,FALSE),0)</f>
        <v>2852</v>
      </c>
      <c r="N237" s="16">
        <f>IFERROR(VLOOKUP(Table15[[#This Row],[ROUTE]],DEMAND!A:F,6,FALSE),0)</f>
        <v>2852</v>
      </c>
      <c r="O237" s="16">
        <f>IFERROR(ROUNDDOWN(Table15[[#This Row],[R-DEMAND]]/1706,0),0)</f>
        <v>1</v>
      </c>
      <c r="P237" s="16">
        <f>IFERROR(Table15[[#This Row],[ADD ACC]]*Table15[[#This Row],[RT TIME 
(380-800)]],0)</f>
        <v>31.5</v>
      </c>
      <c r="Q237" s="415">
        <f>IFERROR(VLOOKUP(Table15[[#This Row],[ROUTE]],PRICING!A:B,2,FALSE),0)</f>
        <v>0</v>
      </c>
      <c r="R237" s="235">
        <f>IFERROR(Table15[[#This Row],[C_DEMAND]]-Table15[[#This Row],[R-DEMAND]],0)</f>
        <v>0</v>
      </c>
      <c r="S237" s="408">
        <f t="shared" si="3"/>
        <v>0</v>
      </c>
      <c r="T237" s="419">
        <f>Table15[[#This Row],[R-DEMAND]]-(Table15[[#This Row],[ADD ACC]]*1706)</f>
        <v>1146</v>
      </c>
      <c r="U237" s="419">
        <f>ROUNDDOWN(Table15[[#This Row],[Column1]]/1360,0)</f>
        <v>0</v>
      </c>
      <c r="V237" s="419"/>
      <c r="W237" s="251">
        <v>31.5</v>
      </c>
      <c r="X237" s="251">
        <f>ROUNDDOWN(Table15[[#This Row],[R-DEMAND]]/1320,0)</f>
        <v>2</v>
      </c>
      <c r="Y237" s="251">
        <f>IFERROR(Table15[[#This Row],[ADD ACC
(660/1320)]]*Table15[[#This Row],[Duration
(B744)]],0)</f>
        <v>63</v>
      </c>
      <c r="Z237" s="251"/>
    </row>
    <row r="238" spans="1:26" ht="15.75" customHeight="1" x14ac:dyDescent="0.25">
      <c r="A238" s="210" t="s">
        <v>15307</v>
      </c>
      <c r="B238" s="204" t="s">
        <v>4062</v>
      </c>
      <c r="C238" s="204" t="s">
        <v>67</v>
      </c>
      <c r="D238" s="205">
        <v>2</v>
      </c>
      <c r="E238" s="204" t="s">
        <v>514</v>
      </c>
      <c r="F238" s="204" t="str">
        <f>VLOOKUP(E238,Table10[[COUNTRY NAME]:[CONTINENT CODE]],3,FALSE)</f>
        <v>NA</v>
      </c>
      <c r="G238" s="206" t="s">
        <v>11667</v>
      </c>
      <c r="H238" s="207">
        <v>12295</v>
      </c>
      <c r="I238" s="208">
        <v>29.25</v>
      </c>
      <c r="J238" s="345"/>
      <c r="K238" s="345">
        <f>IFERROR(Table15[[#This Row],[ROUTE $]]/Table15[[#This Row],[E - DEMAND]],0)</f>
        <v>0</v>
      </c>
      <c r="L238" s="204"/>
      <c r="M238" s="412">
        <f>IFERROR(VLOOKUP(Table15[[#This Row],[ROUTE]],DEMAND!A:F,5,FALSE),0)</f>
        <v>2837</v>
      </c>
      <c r="N238" s="16">
        <f>IFERROR(VLOOKUP(Table15[[#This Row],[ROUTE]],DEMAND!A:F,6,FALSE),0)</f>
        <v>2837</v>
      </c>
      <c r="O238" s="16">
        <f>IFERROR(ROUNDDOWN(Table15[[#This Row],[R-DEMAND]]/1706,0),0)</f>
        <v>1</v>
      </c>
      <c r="P238" s="16">
        <f>IFERROR(Table15[[#This Row],[ADD ACC]]*Table15[[#This Row],[RT TIME 
(380-800)]],0)</f>
        <v>29.25</v>
      </c>
      <c r="Q238" s="415">
        <f>IFERROR(VLOOKUP(Table15[[#This Row],[ROUTE]],PRICING!A:B,2,FALSE),0)</f>
        <v>0</v>
      </c>
      <c r="R238" s="235">
        <f>IFERROR(Table15[[#This Row],[C_DEMAND]]-Table15[[#This Row],[R-DEMAND]],0)</f>
        <v>0</v>
      </c>
      <c r="S238" s="408">
        <f t="shared" si="3"/>
        <v>0</v>
      </c>
      <c r="T238" s="419">
        <f>Table15[[#This Row],[R-DEMAND]]-(Table15[[#This Row],[ADD ACC]]*1706)</f>
        <v>1131</v>
      </c>
      <c r="U238" s="419">
        <f>ROUNDDOWN(Table15[[#This Row],[Column1]]/1360,0)</f>
        <v>0</v>
      </c>
      <c r="V238" s="419"/>
      <c r="W238" s="251">
        <v>29.25</v>
      </c>
      <c r="X238" s="251">
        <f>ROUNDDOWN(Table15[[#This Row],[R-DEMAND]]/1320,0)</f>
        <v>2</v>
      </c>
      <c r="Y238" s="251">
        <f>IFERROR(Table15[[#This Row],[ADD ACC
(660/1320)]]*Table15[[#This Row],[Duration
(B744)]],0)</f>
        <v>58.5</v>
      </c>
      <c r="Z238" s="251"/>
    </row>
    <row r="239" spans="1:26" ht="15.75" customHeight="1" x14ac:dyDescent="0.25">
      <c r="A239" s="210" t="s">
        <v>15295</v>
      </c>
      <c r="B239" s="204" t="s">
        <v>4136</v>
      </c>
      <c r="C239" s="204" t="s">
        <v>67</v>
      </c>
      <c r="D239" s="205">
        <v>2</v>
      </c>
      <c r="E239" s="204" t="s">
        <v>514</v>
      </c>
      <c r="F239" s="204" t="str">
        <f>VLOOKUP(E239,Table10[[COUNTRY NAME]:[CONTINENT CODE]],3,FALSE)</f>
        <v>NA</v>
      </c>
      <c r="G239" s="206" t="s">
        <v>13172</v>
      </c>
      <c r="H239" s="207">
        <v>12558</v>
      </c>
      <c r="I239" s="208">
        <v>30</v>
      </c>
      <c r="J239" s="345"/>
      <c r="K239" s="345">
        <f>IFERROR(Table15[[#This Row],[ROUTE $]]/Table15[[#This Row],[E - DEMAND]],0)</f>
        <v>0</v>
      </c>
      <c r="L239" s="204"/>
      <c r="M239" s="412">
        <f>IFERROR(VLOOKUP(Table15[[#This Row],[ROUTE]],DEMAND!A:F,5,FALSE),0)</f>
        <v>2817</v>
      </c>
      <c r="N239" s="16">
        <f>IFERROR(VLOOKUP(Table15[[#This Row],[ROUTE]],DEMAND!A:F,6,FALSE),0)</f>
        <v>2817</v>
      </c>
      <c r="O239" s="16">
        <f>IFERROR(ROUNDDOWN(Table15[[#This Row],[R-DEMAND]]/1706,0),0)</f>
        <v>1</v>
      </c>
      <c r="P239" s="16">
        <f>IFERROR(Table15[[#This Row],[ADD ACC]]*Table15[[#This Row],[RT TIME 
(380-800)]],0)</f>
        <v>30</v>
      </c>
      <c r="Q239" s="415">
        <f>IFERROR(VLOOKUP(Table15[[#This Row],[ROUTE]],PRICING!A:B,2,FALSE),0)</f>
        <v>0</v>
      </c>
      <c r="R239" s="235">
        <f>IFERROR(Table15[[#This Row],[C_DEMAND]]-Table15[[#This Row],[R-DEMAND]],0)</f>
        <v>0</v>
      </c>
      <c r="S239" s="408">
        <f t="shared" si="3"/>
        <v>0</v>
      </c>
      <c r="T239" s="419">
        <f>Table15[[#This Row],[R-DEMAND]]-(Table15[[#This Row],[ADD ACC]]*1706)</f>
        <v>1111</v>
      </c>
      <c r="U239" s="419">
        <f>ROUNDDOWN(Table15[[#This Row],[Column1]]/1360,0)</f>
        <v>0</v>
      </c>
      <c r="V239" s="419"/>
      <c r="W239" s="251">
        <v>30</v>
      </c>
      <c r="X239" s="251">
        <f>ROUNDDOWN(Table15[[#This Row],[R-DEMAND]]/1320,0)</f>
        <v>2</v>
      </c>
      <c r="Y239" s="251">
        <f>IFERROR(Table15[[#This Row],[ADD ACC
(660/1320)]]*Table15[[#This Row],[Duration
(B744)]],0)</f>
        <v>60</v>
      </c>
      <c r="Z239" s="251"/>
    </row>
    <row r="240" spans="1:26" ht="15.75" customHeight="1" x14ac:dyDescent="0.25">
      <c r="A240" s="210" t="s">
        <v>15478</v>
      </c>
      <c r="B240" s="204" t="s">
        <v>5495</v>
      </c>
      <c r="C240" s="204" t="s">
        <v>67</v>
      </c>
      <c r="D240" s="205">
        <v>4</v>
      </c>
      <c r="E240" s="204" t="s">
        <v>560</v>
      </c>
      <c r="F240" s="204" t="str">
        <f>VLOOKUP(E240,Table10[[COUNTRY NAME]:[CONTINENT CODE]],3,FALSE)</f>
        <v>EU</v>
      </c>
      <c r="G240" s="210" t="s">
        <v>11058</v>
      </c>
      <c r="H240" s="207">
        <v>6777</v>
      </c>
      <c r="I240" s="208">
        <v>17.25</v>
      </c>
      <c r="J240" s="345"/>
      <c r="K240" s="345">
        <f>IFERROR(Table15[[#This Row],[ROUTE $]]/Table15[[#This Row],[E - DEMAND]],0)</f>
        <v>0</v>
      </c>
      <c r="L240" s="204"/>
      <c r="M240" s="412">
        <f>IFERROR(VLOOKUP(Table15[[#This Row],[ROUTE]],DEMAND!A:F,5,FALSE),0)</f>
        <v>2815</v>
      </c>
      <c r="N240" s="16">
        <f>IFERROR(VLOOKUP(Table15[[#This Row],[ROUTE]],DEMAND!A:F,6,FALSE),0)</f>
        <v>2815</v>
      </c>
      <c r="O240" s="16">
        <f>IFERROR(ROUNDDOWN(Table15[[#This Row],[R-DEMAND]]/1706,0),0)</f>
        <v>1</v>
      </c>
      <c r="P240" s="16">
        <f>IFERROR(Table15[[#This Row],[ADD ACC]]*Table15[[#This Row],[RT TIME 
(380-800)]],0)</f>
        <v>17.25</v>
      </c>
      <c r="Q240" s="415">
        <f>IFERROR(VLOOKUP(Table15[[#This Row],[ROUTE]],PRICING!A:B,2,FALSE),0)</f>
        <v>0</v>
      </c>
      <c r="R240" s="235">
        <f>IFERROR(Table15[[#This Row],[C_DEMAND]]-Table15[[#This Row],[R-DEMAND]],0)</f>
        <v>0</v>
      </c>
      <c r="S240" s="408">
        <f t="shared" si="3"/>
        <v>0</v>
      </c>
      <c r="T240" s="419">
        <f>Table15[[#This Row],[R-DEMAND]]-(Table15[[#This Row],[ADD ACC]]*1706)</f>
        <v>1109</v>
      </c>
      <c r="U240" s="419">
        <f>ROUNDDOWN(Table15[[#This Row],[Column1]]/1360,0)</f>
        <v>0</v>
      </c>
      <c r="V240" s="419"/>
      <c r="W240" s="251">
        <v>17.25</v>
      </c>
      <c r="X240" s="251">
        <f>ROUNDDOWN(Table15[[#This Row],[R-DEMAND]]/1320,0)</f>
        <v>2</v>
      </c>
      <c r="Y240" s="251">
        <f>IFERROR(Table15[[#This Row],[ADD ACC
(660/1320)]]*Table15[[#This Row],[Duration
(B744)]],0)</f>
        <v>34.5</v>
      </c>
      <c r="Z240" s="251"/>
    </row>
    <row r="241" spans="1:26" ht="15.75" customHeight="1" x14ac:dyDescent="0.25">
      <c r="A241" s="210" t="s">
        <v>15257</v>
      </c>
      <c r="B241" s="204" t="s">
        <v>4744</v>
      </c>
      <c r="C241" s="204" t="s">
        <v>67</v>
      </c>
      <c r="D241" s="205">
        <v>3</v>
      </c>
      <c r="E241" s="16" t="s">
        <v>11732</v>
      </c>
      <c r="F241" s="204" t="str">
        <f>VLOOKUP(E241,Table10[[COUNTRY NAME]:[CONTINENT CODE]],3,FALSE)</f>
        <v>NA - US</v>
      </c>
      <c r="G241" s="206" t="s">
        <v>11759</v>
      </c>
      <c r="H241" s="207">
        <v>13243</v>
      </c>
      <c r="I241" s="208">
        <v>31.5</v>
      </c>
      <c r="J241" s="345"/>
      <c r="K241" s="345">
        <f>IFERROR(Table15[[#This Row],[ROUTE $]]/Table15[[#This Row],[E - DEMAND]],0)</f>
        <v>0</v>
      </c>
      <c r="L241" s="204"/>
      <c r="M241" s="412">
        <f>IFERROR(VLOOKUP(Table15[[#This Row],[ROUTE]],DEMAND!A:F,5,FALSE),0)</f>
        <v>2806</v>
      </c>
      <c r="N241" s="16">
        <f>IFERROR(VLOOKUP(Table15[[#This Row],[ROUTE]],DEMAND!A:F,6,FALSE),0)</f>
        <v>2806</v>
      </c>
      <c r="O241" s="16">
        <f>IFERROR(ROUNDDOWN(Table15[[#This Row],[R-DEMAND]]/1706,0),0)</f>
        <v>1</v>
      </c>
      <c r="P241" s="16">
        <f>IFERROR(Table15[[#This Row],[ADD ACC]]*Table15[[#This Row],[RT TIME 
(380-800)]],0)</f>
        <v>31.5</v>
      </c>
      <c r="Q241" s="415">
        <f>IFERROR(VLOOKUP(Table15[[#This Row],[ROUTE]],PRICING!A:B,2,FALSE),0)</f>
        <v>0</v>
      </c>
      <c r="R241" s="235">
        <f>IFERROR(Table15[[#This Row],[C_DEMAND]]-Table15[[#This Row],[R-DEMAND]],0)</f>
        <v>0</v>
      </c>
      <c r="S241" s="408">
        <f t="shared" si="3"/>
        <v>0</v>
      </c>
      <c r="T241" s="419">
        <f>Table15[[#This Row],[R-DEMAND]]-(Table15[[#This Row],[ADD ACC]]*1706)</f>
        <v>1100</v>
      </c>
      <c r="U241" s="419">
        <f>ROUNDDOWN(Table15[[#This Row],[Column1]]/1360,0)</f>
        <v>0</v>
      </c>
      <c r="V241" s="419"/>
      <c r="W241" s="251">
        <v>31.5</v>
      </c>
      <c r="X241" s="251">
        <f>ROUNDDOWN(Table15[[#This Row],[R-DEMAND]]/1320,0)</f>
        <v>2</v>
      </c>
      <c r="Y241" s="251">
        <f>IFERROR(Table15[[#This Row],[ADD ACC
(660/1320)]]*Table15[[#This Row],[Duration
(B744)]],0)</f>
        <v>63</v>
      </c>
      <c r="Z241" s="251"/>
    </row>
    <row r="242" spans="1:26" ht="15.75" customHeight="1" x14ac:dyDescent="0.25">
      <c r="A242" s="210" t="s">
        <v>15492</v>
      </c>
      <c r="B242" s="204" t="s">
        <v>4142</v>
      </c>
      <c r="C242" s="204" t="s">
        <v>67</v>
      </c>
      <c r="D242" s="205">
        <v>2</v>
      </c>
      <c r="E242" s="204" t="s">
        <v>605</v>
      </c>
      <c r="F242" s="204" t="str">
        <f>VLOOKUP(E242,Table10[[COUNTRY NAME]:[CONTINENT CODE]],3,FALSE)</f>
        <v>EU</v>
      </c>
      <c r="G242" s="210" t="s">
        <v>11795</v>
      </c>
      <c r="H242" s="207">
        <v>6695</v>
      </c>
      <c r="I242" s="208">
        <v>17</v>
      </c>
      <c r="J242" s="345"/>
      <c r="K242" s="345">
        <f>IFERROR(Table15[[#This Row],[ROUTE $]]/Table15[[#This Row],[E - DEMAND]],0)</f>
        <v>0</v>
      </c>
      <c r="L242" s="204"/>
      <c r="M242" s="412">
        <f>IFERROR(VLOOKUP(Table15[[#This Row],[ROUTE]],DEMAND!A:F,5,FALSE),0)</f>
        <v>2798</v>
      </c>
      <c r="N242" s="16">
        <f>IFERROR(VLOOKUP(Table15[[#This Row],[ROUTE]],DEMAND!A:F,6,FALSE),0)</f>
        <v>2798</v>
      </c>
      <c r="O242" s="16">
        <f>IFERROR(ROUNDDOWN(Table15[[#This Row],[R-DEMAND]]/1706,0),0)</f>
        <v>1</v>
      </c>
      <c r="P242" s="16">
        <f>IFERROR(Table15[[#This Row],[ADD ACC]]*Table15[[#This Row],[RT TIME 
(380-800)]],0)</f>
        <v>17</v>
      </c>
      <c r="Q242" s="415">
        <f>IFERROR(VLOOKUP(Table15[[#This Row],[ROUTE]],PRICING!A:B,2,FALSE),0)</f>
        <v>0</v>
      </c>
      <c r="R242" s="235">
        <f>IFERROR(Table15[[#This Row],[C_DEMAND]]-Table15[[#This Row],[R-DEMAND]],0)</f>
        <v>0</v>
      </c>
      <c r="S242" s="408">
        <f t="shared" si="3"/>
        <v>0</v>
      </c>
      <c r="T242" s="419">
        <f>Table15[[#This Row],[R-DEMAND]]-(Table15[[#This Row],[ADD ACC]]*1706)</f>
        <v>1092</v>
      </c>
      <c r="U242" s="419">
        <f>ROUNDDOWN(Table15[[#This Row],[Column1]]/1360,0)</f>
        <v>0</v>
      </c>
      <c r="V242" s="419"/>
      <c r="W242" s="251">
        <v>17</v>
      </c>
      <c r="X242" s="251">
        <f>ROUNDDOWN(Table15[[#This Row],[R-DEMAND]]/1320,0)</f>
        <v>2</v>
      </c>
      <c r="Y242" s="251">
        <f>IFERROR(Table15[[#This Row],[ADD ACC
(660/1320)]]*Table15[[#This Row],[Duration
(B744)]],0)</f>
        <v>34</v>
      </c>
      <c r="Z242" s="251"/>
    </row>
    <row r="243" spans="1:26" ht="15.75" customHeight="1" x14ac:dyDescent="0.25">
      <c r="A243" s="210" t="s">
        <v>15503</v>
      </c>
      <c r="B243" s="204" t="s">
        <v>5350</v>
      </c>
      <c r="C243" s="204" t="s">
        <v>67</v>
      </c>
      <c r="D243" s="205">
        <v>3</v>
      </c>
      <c r="E243" s="204" t="s">
        <v>560</v>
      </c>
      <c r="F243" s="204" t="str">
        <f>VLOOKUP(E243,Table10[[COUNTRY NAME]:[CONTINENT CODE]],3,FALSE)</f>
        <v>EU</v>
      </c>
      <c r="G243" s="210" t="s">
        <v>11747</v>
      </c>
      <c r="H243" s="207">
        <v>6618</v>
      </c>
      <c r="I243" s="208">
        <v>16.75</v>
      </c>
      <c r="J243" s="345"/>
      <c r="K243" s="345">
        <f>IFERROR(Table15[[#This Row],[ROUTE $]]/Table15[[#This Row],[E - DEMAND]],0)</f>
        <v>0</v>
      </c>
      <c r="L243" s="204"/>
      <c r="M243" s="412">
        <f>IFERROR(VLOOKUP(Table15[[#This Row],[ROUTE]],DEMAND!A:F,5,FALSE),0)</f>
        <v>2793</v>
      </c>
      <c r="N243" s="16">
        <f>IFERROR(VLOOKUP(Table15[[#This Row],[ROUTE]],DEMAND!A:F,6,FALSE),0)</f>
        <v>2793</v>
      </c>
      <c r="O243" s="16">
        <f>IFERROR(ROUNDDOWN(Table15[[#This Row],[R-DEMAND]]/1706,0),0)</f>
        <v>1</v>
      </c>
      <c r="P243" s="16">
        <f>IFERROR(Table15[[#This Row],[ADD ACC]]*Table15[[#This Row],[RT TIME 
(380-800)]],0)</f>
        <v>16.75</v>
      </c>
      <c r="Q243" s="415">
        <f>IFERROR(VLOOKUP(Table15[[#This Row],[ROUTE]],PRICING!A:B,2,FALSE),0)</f>
        <v>0</v>
      </c>
      <c r="R243" s="235">
        <f>IFERROR(Table15[[#This Row],[C_DEMAND]]-Table15[[#This Row],[R-DEMAND]],0)</f>
        <v>0</v>
      </c>
      <c r="S243" s="408">
        <f t="shared" si="3"/>
        <v>0</v>
      </c>
      <c r="T243" s="419">
        <f>Table15[[#This Row],[R-DEMAND]]-(Table15[[#This Row],[ADD ACC]]*1706)</f>
        <v>1087</v>
      </c>
      <c r="U243" s="419">
        <f>ROUNDDOWN(Table15[[#This Row],[Column1]]/1360,0)</f>
        <v>0</v>
      </c>
      <c r="V243" s="419"/>
      <c r="W243" s="251">
        <v>16.75</v>
      </c>
      <c r="X243" s="251">
        <f>ROUNDDOWN(Table15[[#This Row],[R-DEMAND]]/1320,0)</f>
        <v>2</v>
      </c>
      <c r="Y243" s="251">
        <f>IFERROR(Table15[[#This Row],[ADD ACC
(660/1320)]]*Table15[[#This Row],[Duration
(B744)]],0)</f>
        <v>33.5</v>
      </c>
      <c r="Z243" s="251"/>
    </row>
    <row r="244" spans="1:26" ht="15.75" customHeight="1" x14ac:dyDescent="0.25">
      <c r="A244" s="210" t="s">
        <v>15437</v>
      </c>
      <c r="B244" s="204" t="s">
        <v>5475</v>
      </c>
      <c r="C244" s="204" t="s">
        <v>67</v>
      </c>
      <c r="D244" s="205">
        <v>4</v>
      </c>
      <c r="E244" s="204" t="s">
        <v>560</v>
      </c>
      <c r="F244" s="204" t="str">
        <f>VLOOKUP(E244,Table10[[COUNTRY NAME]:[CONTINENT CODE]],3,FALSE)</f>
        <v>EU</v>
      </c>
      <c r="G244" s="210" t="s">
        <v>11037</v>
      </c>
      <c r="H244" s="207">
        <v>7087</v>
      </c>
      <c r="I244" s="208">
        <v>17.75</v>
      </c>
      <c r="J244" s="345"/>
      <c r="K244" s="345">
        <f>IFERROR(Table15[[#This Row],[ROUTE $]]/Table15[[#This Row],[E - DEMAND]],0)</f>
        <v>0</v>
      </c>
      <c r="L244" s="204"/>
      <c r="M244" s="412">
        <f>IFERROR(VLOOKUP(Table15[[#This Row],[ROUTE]],DEMAND!A:F,5,FALSE),0)</f>
        <v>2792</v>
      </c>
      <c r="N244" s="16">
        <f>IFERROR(VLOOKUP(Table15[[#This Row],[ROUTE]],DEMAND!A:F,6,FALSE),0)</f>
        <v>2792</v>
      </c>
      <c r="O244" s="16">
        <f>IFERROR(ROUNDDOWN(Table15[[#This Row],[R-DEMAND]]/1706,0),0)</f>
        <v>1</v>
      </c>
      <c r="P244" s="16">
        <f>IFERROR(Table15[[#This Row],[ADD ACC]]*Table15[[#This Row],[RT TIME 
(380-800)]],0)</f>
        <v>17.75</v>
      </c>
      <c r="Q244" s="415">
        <f>IFERROR(VLOOKUP(Table15[[#This Row],[ROUTE]],PRICING!A:B,2,FALSE),0)</f>
        <v>0</v>
      </c>
      <c r="R244" s="235">
        <f>IFERROR(Table15[[#This Row],[C_DEMAND]]-Table15[[#This Row],[R-DEMAND]],0)</f>
        <v>0</v>
      </c>
      <c r="S244" s="408">
        <f t="shared" si="3"/>
        <v>0</v>
      </c>
      <c r="T244" s="419">
        <f>Table15[[#This Row],[R-DEMAND]]-(Table15[[#This Row],[ADD ACC]]*1706)</f>
        <v>1086</v>
      </c>
      <c r="U244" s="419">
        <f>ROUNDDOWN(Table15[[#This Row],[Column1]]/1360,0)</f>
        <v>0</v>
      </c>
      <c r="V244" s="419"/>
      <c r="W244" s="251">
        <v>17.75</v>
      </c>
      <c r="X244" s="251">
        <f>ROUNDDOWN(Table15[[#This Row],[R-DEMAND]]/1320,0)</f>
        <v>2</v>
      </c>
      <c r="Y244" s="251">
        <f>IFERROR(Table15[[#This Row],[ADD ACC
(660/1320)]]*Table15[[#This Row],[Duration
(B744)]],0)</f>
        <v>35.5</v>
      </c>
      <c r="Z244" s="251"/>
    </row>
    <row r="245" spans="1:26" ht="15.75" customHeight="1" x14ac:dyDescent="0.25">
      <c r="A245" s="210" t="s">
        <v>15544</v>
      </c>
      <c r="B245" s="204" t="s">
        <v>4545</v>
      </c>
      <c r="C245" s="204" t="s">
        <v>67</v>
      </c>
      <c r="D245" s="205">
        <v>2</v>
      </c>
      <c r="E245" s="204" t="s">
        <v>585</v>
      </c>
      <c r="F245" s="204" t="str">
        <f>VLOOKUP(E245,Table10[[COUNTRY NAME]:[CONTINENT CODE]],3,FALSE)</f>
        <v>EU</v>
      </c>
      <c r="G245" s="210" t="s">
        <v>11807</v>
      </c>
      <c r="H245" s="207">
        <v>6335</v>
      </c>
      <c r="I245" s="208">
        <v>16.25</v>
      </c>
      <c r="J245" s="345"/>
      <c r="K245" s="345">
        <f>IFERROR(Table15[[#This Row],[ROUTE $]]/Table15[[#This Row],[E - DEMAND]],0)</f>
        <v>0</v>
      </c>
      <c r="L245" s="204"/>
      <c r="M245" s="412">
        <f>IFERROR(VLOOKUP(Table15[[#This Row],[ROUTE]],DEMAND!A:F,5,FALSE),0)</f>
        <v>2780</v>
      </c>
      <c r="N245" s="16">
        <f>IFERROR(VLOOKUP(Table15[[#This Row],[ROUTE]],DEMAND!A:F,6,FALSE),0)</f>
        <v>2780</v>
      </c>
      <c r="O245" s="16">
        <f>IFERROR(ROUNDDOWN(Table15[[#This Row],[R-DEMAND]]/1706,0),0)</f>
        <v>1</v>
      </c>
      <c r="P245" s="16">
        <f>IFERROR(Table15[[#This Row],[ADD ACC]]*Table15[[#This Row],[RT TIME 
(380-800)]],0)</f>
        <v>16.25</v>
      </c>
      <c r="Q245" s="415">
        <f>IFERROR(VLOOKUP(Table15[[#This Row],[ROUTE]],PRICING!A:B,2,FALSE),0)</f>
        <v>0</v>
      </c>
      <c r="R245" s="235">
        <f>IFERROR(Table15[[#This Row],[C_DEMAND]]-Table15[[#This Row],[R-DEMAND]],0)</f>
        <v>0</v>
      </c>
      <c r="S245" s="408">
        <f t="shared" si="3"/>
        <v>0</v>
      </c>
      <c r="T245" s="419">
        <f>Table15[[#This Row],[R-DEMAND]]-(Table15[[#This Row],[ADD ACC]]*1706)</f>
        <v>1074</v>
      </c>
      <c r="U245" s="419">
        <f>ROUNDDOWN(Table15[[#This Row],[Column1]]/1360,0)</f>
        <v>0</v>
      </c>
      <c r="V245" s="419"/>
      <c r="W245" s="251">
        <v>16.25</v>
      </c>
      <c r="X245" s="251">
        <f>ROUNDDOWN(Table15[[#This Row],[R-DEMAND]]/1320,0)</f>
        <v>2</v>
      </c>
      <c r="Y245" s="251">
        <f>IFERROR(Table15[[#This Row],[ADD ACC
(660/1320)]]*Table15[[#This Row],[Duration
(B744)]],0)</f>
        <v>32.5</v>
      </c>
      <c r="Z245" s="251"/>
    </row>
    <row r="246" spans="1:26" ht="15.75" customHeight="1" x14ac:dyDescent="0.25">
      <c r="A246" s="210" t="s">
        <v>15574</v>
      </c>
      <c r="B246" s="204" t="s">
        <v>4568</v>
      </c>
      <c r="C246" s="204" t="s">
        <v>67</v>
      </c>
      <c r="D246" s="205">
        <v>2</v>
      </c>
      <c r="E246" s="204" t="s">
        <v>3915</v>
      </c>
      <c r="F246" s="204" t="str">
        <f>VLOOKUP(E246,Table10[[COUNTRY NAME]:[CONTINENT CODE]],3,FALSE)</f>
        <v>EU</v>
      </c>
      <c r="G246" s="210" t="s">
        <v>11798</v>
      </c>
      <c r="H246" s="207">
        <v>6018</v>
      </c>
      <c r="I246" s="208">
        <v>15.5</v>
      </c>
      <c r="J246" s="345"/>
      <c r="K246" s="345">
        <f>IFERROR(Table15[[#This Row],[ROUTE $]]/Table15[[#This Row],[E - DEMAND]],0)</f>
        <v>0</v>
      </c>
      <c r="L246" s="204"/>
      <c r="M246" s="412">
        <f>IFERROR(VLOOKUP(Table15[[#This Row],[ROUTE]],DEMAND!A:F,5,FALSE),0)</f>
        <v>2764</v>
      </c>
      <c r="N246" s="16">
        <f>IFERROR(VLOOKUP(Table15[[#This Row],[ROUTE]],DEMAND!A:F,6,FALSE),0)</f>
        <v>2764</v>
      </c>
      <c r="O246" s="16">
        <f>IFERROR(ROUNDDOWN(Table15[[#This Row],[R-DEMAND]]/1706,0),0)</f>
        <v>1</v>
      </c>
      <c r="P246" s="16">
        <f>IFERROR(Table15[[#This Row],[ADD ACC]]*Table15[[#This Row],[RT TIME 
(380-800)]],0)</f>
        <v>15.5</v>
      </c>
      <c r="Q246" s="415">
        <f>IFERROR(VLOOKUP(Table15[[#This Row],[ROUTE]],PRICING!A:B,2,FALSE),0)</f>
        <v>0</v>
      </c>
      <c r="R246" s="235">
        <f>IFERROR(Table15[[#This Row],[C_DEMAND]]-Table15[[#This Row],[R-DEMAND]],0)</f>
        <v>0</v>
      </c>
      <c r="S246" s="408">
        <f t="shared" si="3"/>
        <v>0</v>
      </c>
      <c r="T246" s="419">
        <f>Table15[[#This Row],[R-DEMAND]]-(Table15[[#This Row],[ADD ACC]]*1706)</f>
        <v>1058</v>
      </c>
      <c r="U246" s="419">
        <f>ROUNDDOWN(Table15[[#This Row],[Column1]]/1360,0)</f>
        <v>0</v>
      </c>
      <c r="V246" s="419"/>
      <c r="W246" s="251">
        <v>15.5</v>
      </c>
      <c r="X246" s="251">
        <f>ROUNDDOWN(Table15[[#This Row],[R-DEMAND]]/1320,0)</f>
        <v>2</v>
      </c>
      <c r="Y246" s="251">
        <f>IFERROR(Table15[[#This Row],[ADD ACC
(660/1320)]]*Table15[[#This Row],[Duration
(B744)]],0)</f>
        <v>31</v>
      </c>
      <c r="Z246" s="251"/>
    </row>
    <row r="247" spans="1:26" ht="15.75" customHeight="1" x14ac:dyDescent="0.25">
      <c r="A247" s="210" t="s">
        <v>15377</v>
      </c>
      <c r="B247" s="204" t="s">
        <v>4955</v>
      </c>
      <c r="C247" s="204" t="s">
        <v>67</v>
      </c>
      <c r="D247" s="205">
        <v>3</v>
      </c>
      <c r="E247" s="204" t="s">
        <v>119</v>
      </c>
      <c r="F247" s="204" t="str">
        <f>VLOOKUP(E247,Table10[[COUNTRY NAME]:[CONTINENT CODE]],3,FALSE)</f>
        <v>EU</v>
      </c>
      <c r="G247" s="210" t="s">
        <v>11680</v>
      </c>
      <c r="H247" s="207">
        <v>7883</v>
      </c>
      <c r="I247" s="208">
        <v>19.5</v>
      </c>
      <c r="J247" s="345"/>
      <c r="K247" s="345">
        <f>IFERROR(Table15[[#This Row],[ROUTE $]]/Table15[[#This Row],[E - DEMAND]],0)</f>
        <v>0</v>
      </c>
      <c r="L247" s="204"/>
      <c r="M247" s="412">
        <f>IFERROR(VLOOKUP(Table15[[#This Row],[ROUTE]],DEMAND!A:F,5,FALSE),0)</f>
        <v>2756</v>
      </c>
      <c r="N247" s="16">
        <f>IFERROR(VLOOKUP(Table15[[#This Row],[ROUTE]],DEMAND!A:F,6,FALSE),0)</f>
        <v>2756</v>
      </c>
      <c r="O247" s="16">
        <f>IFERROR(ROUNDDOWN(Table15[[#This Row],[R-DEMAND]]/1706,0),0)</f>
        <v>1</v>
      </c>
      <c r="P247" s="16">
        <f>IFERROR(Table15[[#This Row],[ADD ACC]]*Table15[[#This Row],[RT TIME 
(380-800)]],0)</f>
        <v>19.5</v>
      </c>
      <c r="Q247" s="415">
        <f>IFERROR(VLOOKUP(Table15[[#This Row],[ROUTE]],PRICING!A:B,2,FALSE),0)</f>
        <v>0</v>
      </c>
      <c r="R247" s="235">
        <f>IFERROR(Table15[[#This Row],[C_DEMAND]]-Table15[[#This Row],[R-DEMAND]],0)</f>
        <v>0</v>
      </c>
      <c r="S247" s="408">
        <f t="shared" si="3"/>
        <v>0</v>
      </c>
      <c r="T247" s="419">
        <f>Table15[[#This Row],[R-DEMAND]]-(Table15[[#This Row],[ADD ACC]]*1706)</f>
        <v>1050</v>
      </c>
      <c r="U247" s="419">
        <f>ROUNDDOWN(Table15[[#This Row],[Column1]]/1360,0)</f>
        <v>0</v>
      </c>
      <c r="V247" s="419"/>
      <c r="W247" s="251">
        <v>19.5</v>
      </c>
      <c r="X247" s="251">
        <f>ROUNDDOWN(Table15[[#This Row],[R-DEMAND]]/1320,0)</f>
        <v>2</v>
      </c>
      <c r="Y247" s="251">
        <f>IFERROR(Table15[[#This Row],[ADD ACC
(660/1320)]]*Table15[[#This Row],[Duration
(B744)]],0)</f>
        <v>39</v>
      </c>
      <c r="Z247" s="251"/>
    </row>
    <row r="248" spans="1:26" ht="15.75" customHeight="1" x14ac:dyDescent="0.25">
      <c r="A248" s="210" t="s">
        <v>15347</v>
      </c>
      <c r="B248" s="204" t="s">
        <v>2958</v>
      </c>
      <c r="C248" s="204" t="s">
        <v>67</v>
      </c>
      <c r="D248" s="205">
        <v>2</v>
      </c>
      <c r="E248" s="204" t="s">
        <v>600</v>
      </c>
      <c r="F248" s="204" t="str">
        <f>VLOOKUP(E248,Table10[[COUNTRY NAME]:[CONTINENT CODE]],3,FALSE)</f>
        <v>NA</v>
      </c>
      <c r="G248" s="206" t="s">
        <v>11673</v>
      </c>
      <c r="H248" s="207">
        <v>9390</v>
      </c>
      <c r="I248" s="208">
        <v>23</v>
      </c>
      <c r="J248" s="345"/>
      <c r="K248" s="345">
        <f>IFERROR(Table15[[#This Row],[ROUTE $]]/Table15[[#This Row],[E - DEMAND]],0)</f>
        <v>0</v>
      </c>
      <c r="L248" s="204"/>
      <c r="M248" s="412">
        <f>IFERROR(VLOOKUP(Table15[[#This Row],[ROUTE]],DEMAND!A:F,5,FALSE),0)</f>
        <v>2745</v>
      </c>
      <c r="N248" s="16">
        <f>IFERROR(VLOOKUP(Table15[[#This Row],[ROUTE]],DEMAND!A:F,6,FALSE),0)</f>
        <v>2745</v>
      </c>
      <c r="O248" s="16">
        <f>IFERROR(ROUNDDOWN(Table15[[#This Row],[R-DEMAND]]/1706,0),0)</f>
        <v>1</v>
      </c>
      <c r="P248" s="16">
        <f>IFERROR(Table15[[#This Row],[ADD ACC]]*Table15[[#This Row],[RT TIME 
(380-800)]],0)</f>
        <v>23</v>
      </c>
      <c r="Q248" s="415">
        <f>IFERROR(VLOOKUP(Table15[[#This Row],[ROUTE]],PRICING!A:B,2,FALSE),0)</f>
        <v>0</v>
      </c>
      <c r="R248" s="235">
        <f>IFERROR(Table15[[#This Row],[C_DEMAND]]-Table15[[#This Row],[R-DEMAND]],0)</f>
        <v>0</v>
      </c>
      <c r="S248" s="408">
        <f t="shared" si="3"/>
        <v>0</v>
      </c>
      <c r="T248" s="419">
        <f>Table15[[#This Row],[R-DEMAND]]-(Table15[[#This Row],[ADD ACC]]*1706)</f>
        <v>1039</v>
      </c>
      <c r="U248" s="419">
        <f>ROUNDDOWN(Table15[[#This Row],[Column1]]/1360,0)</f>
        <v>0</v>
      </c>
      <c r="V248" s="419"/>
      <c r="W248" s="251">
        <v>23</v>
      </c>
      <c r="X248" s="251">
        <f>ROUNDDOWN(Table15[[#This Row],[R-DEMAND]]/1320,0)</f>
        <v>2</v>
      </c>
      <c r="Y248" s="251">
        <f>IFERROR(Table15[[#This Row],[ADD ACC
(660/1320)]]*Table15[[#This Row],[Duration
(B744)]],0)</f>
        <v>46</v>
      </c>
      <c r="Z248" s="251"/>
    </row>
    <row r="249" spans="1:26" ht="15.75" customHeight="1" x14ac:dyDescent="0.25">
      <c r="A249" s="210" t="s">
        <v>15267</v>
      </c>
      <c r="B249" s="204" t="s">
        <v>4518</v>
      </c>
      <c r="C249" s="204" t="s">
        <v>67</v>
      </c>
      <c r="D249" s="205">
        <v>2</v>
      </c>
      <c r="E249" s="16" t="s">
        <v>11732</v>
      </c>
      <c r="F249" s="204" t="str">
        <f>VLOOKUP(E249,Table10[[COUNTRY NAME]:[CONTINENT CODE]],3,FALSE)</f>
        <v>NA - US</v>
      </c>
      <c r="G249" s="206" t="s">
        <v>13305</v>
      </c>
      <c r="H249" s="207">
        <v>13072</v>
      </c>
      <c r="I249" s="208">
        <v>31</v>
      </c>
      <c r="J249" s="345"/>
      <c r="K249" s="345">
        <f>IFERROR(Table15[[#This Row],[ROUTE $]]/Table15[[#This Row],[E - DEMAND]],0)</f>
        <v>0</v>
      </c>
      <c r="L249" s="204"/>
      <c r="M249" s="412">
        <f>IFERROR(VLOOKUP(Table15[[#This Row],[ROUTE]],DEMAND!A:F,5,FALSE),0)</f>
        <v>2725</v>
      </c>
      <c r="N249" s="16">
        <f>IFERROR(VLOOKUP(Table15[[#This Row],[ROUTE]],DEMAND!A:F,6,FALSE),0)</f>
        <v>2725</v>
      </c>
      <c r="O249" s="16">
        <f>IFERROR(ROUNDDOWN(Table15[[#This Row],[R-DEMAND]]/1706,0),0)</f>
        <v>1</v>
      </c>
      <c r="P249" s="16">
        <f>IFERROR(Table15[[#This Row],[ADD ACC]]*Table15[[#This Row],[RT TIME 
(380-800)]],0)</f>
        <v>31</v>
      </c>
      <c r="Q249" s="415">
        <f>IFERROR(VLOOKUP(Table15[[#This Row],[ROUTE]],PRICING!A:B,2,FALSE),0)</f>
        <v>0</v>
      </c>
      <c r="R249" s="235">
        <f>IFERROR(Table15[[#This Row],[C_DEMAND]]-Table15[[#This Row],[R-DEMAND]],0)</f>
        <v>0</v>
      </c>
      <c r="S249" s="408">
        <f t="shared" si="3"/>
        <v>0</v>
      </c>
      <c r="T249" s="419">
        <f>Table15[[#This Row],[R-DEMAND]]-(Table15[[#This Row],[ADD ACC]]*1706)</f>
        <v>1019</v>
      </c>
      <c r="U249" s="419">
        <f>ROUNDDOWN(Table15[[#This Row],[Column1]]/1360,0)</f>
        <v>0</v>
      </c>
      <c r="V249" s="419"/>
      <c r="W249" s="251">
        <v>31</v>
      </c>
      <c r="X249" s="251">
        <f>ROUNDDOWN(Table15[[#This Row],[R-DEMAND]]/1320,0)</f>
        <v>2</v>
      </c>
      <c r="Y249" s="251">
        <f>IFERROR(Table15[[#This Row],[ADD ACC
(660/1320)]]*Table15[[#This Row],[Duration
(B744)]],0)</f>
        <v>62</v>
      </c>
      <c r="Z249" s="251"/>
    </row>
    <row r="250" spans="1:26" ht="15.75" customHeight="1" x14ac:dyDescent="0.25">
      <c r="A250" s="210" t="s">
        <v>15423</v>
      </c>
      <c r="B250" s="204" t="s">
        <v>5281</v>
      </c>
      <c r="C250" s="204" t="s">
        <v>67</v>
      </c>
      <c r="D250" s="205">
        <v>3</v>
      </c>
      <c r="E250" s="204" t="s">
        <v>560</v>
      </c>
      <c r="F250" s="204" t="str">
        <f>VLOOKUP(E250,Table10[[COUNTRY NAME]:[CONTINENT CODE]],3,FALSE)</f>
        <v>EU</v>
      </c>
      <c r="G250" s="210" t="s">
        <v>11708</v>
      </c>
      <c r="H250" s="207">
        <v>7248</v>
      </c>
      <c r="I250" s="208">
        <v>18.25</v>
      </c>
      <c r="J250" s="345"/>
      <c r="K250" s="345">
        <f>IFERROR(Table15[[#This Row],[ROUTE $]]/Table15[[#This Row],[E - DEMAND]],0)</f>
        <v>0</v>
      </c>
      <c r="L250" s="204"/>
      <c r="M250" s="412">
        <f>IFERROR(VLOOKUP(Table15[[#This Row],[ROUTE]],DEMAND!A:F,5,FALSE),0)</f>
        <v>2719</v>
      </c>
      <c r="N250" s="16">
        <f>IFERROR(VLOOKUP(Table15[[#This Row],[ROUTE]],DEMAND!A:F,6,FALSE),0)</f>
        <v>2719</v>
      </c>
      <c r="O250" s="16">
        <f>IFERROR(ROUNDDOWN(Table15[[#This Row],[R-DEMAND]]/1706,0),0)</f>
        <v>1</v>
      </c>
      <c r="P250" s="16">
        <f>IFERROR(Table15[[#This Row],[ADD ACC]]*Table15[[#This Row],[RT TIME 
(380-800)]],0)</f>
        <v>18.25</v>
      </c>
      <c r="Q250" s="415">
        <f>IFERROR(VLOOKUP(Table15[[#This Row],[ROUTE]],PRICING!A:B,2,FALSE),0)</f>
        <v>0</v>
      </c>
      <c r="R250" s="235">
        <f>IFERROR(Table15[[#This Row],[C_DEMAND]]-Table15[[#This Row],[R-DEMAND]],0)</f>
        <v>0</v>
      </c>
      <c r="S250" s="408">
        <f t="shared" si="3"/>
        <v>0</v>
      </c>
      <c r="T250" s="419">
        <f>Table15[[#This Row],[R-DEMAND]]-(Table15[[#This Row],[ADD ACC]]*1706)</f>
        <v>1013</v>
      </c>
      <c r="U250" s="419">
        <f>ROUNDDOWN(Table15[[#This Row],[Column1]]/1360,0)</f>
        <v>0</v>
      </c>
      <c r="V250" s="419"/>
      <c r="W250" s="251">
        <v>18.25</v>
      </c>
      <c r="X250" s="251">
        <f>ROUNDDOWN(Table15[[#This Row],[R-DEMAND]]/1320,0)</f>
        <v>2</v>
      </c>
      <c r="Y250" s="251">
        <f>IFERROR(Table15[[#This Row],[ADD ACC
(660/1320)]]*Table15[[#This Row],[Duration
(B744)]],0)</f>
        <v>36.5</v>
      </c>
      <c r="Z250" s="251"/>
    </row>
    <row r="251" spans="1:26" ht="15.75" customHeight="1" x14ac:dyDescent="0.25">
      <c r="A251" s="210" t="s">
        <v>15566</v>
      </c>
      <c r="B251" s="204" t="s">
        <v>4402</v>
      </c>
      <c r="C251" s="204" t="s">
        <v>67</v>
      </c>
      <c r="D251" s="205">
        <v>2</v>
      </c>
      <c r="E251" s="204" t="s">
        <v>3915</v>
      </c>
      <c r="F251" s="204" t="str">
        <f>VLOOKUP(E251,Table10[[COUNTRY NAME]:[CONTINENT CODE]],3,FALSE)</f>
        <v>EU</v>
      </c>
      <c r="G251" s="210" t="s">
        <v>11793</v>
      </c>
      <c r="H251" s="207">
        <v>6136</v>
      </c>
      <c r="I251" s="208">
        <v>15.75</v>
      </c>
      <c r="J251" s="345"/>
      <c r="K251" s="345">
        <f>IFERROR(Table15[[#This Row],[ROUTE $]]/Table15[[#This Row],[E - DEMAND]],0)</f>
        <v>0</v>
      </c>
      <c r="L251" s="204"/>
      <c r="M251" s="412">
        <f>IFERROR(VLOOKUP(Table15[[#This Row],[ROUTE]],DEMAND!A:F,5,FALSE),0)</f>
        <v>2712</v>
      </c>
      <c r="N251" s="16">
        <f>IFERROR(VLOOKUP(Table15[[#This Row],[ROUTE]],DEMAND!A:F,6,FALSE),0)</f>
        <v>2712</v>
      </c>
      <c r="O251" s="16">
        <f>IFERROR(ROUNDDOWN(Table15[[#This Row],[R-DEMAND]]/1706,0),0)</f>
        <v>1</v>
      </c>
      <c r="P251" s="16">
        <f>IFERROR(Table15[[#This Row],[ADD ACC]]*Table15[[#This Row],[RT TIME 
(380-800)]],0)</f>
        <v>15.75</v>
      </c>
      <c r="Q251" s="415">
        <f>IFERROR(VLOOKUP(Table15[[#This Row],[ROUTE]],PRICING!A:B,2,FALSE),0)</f>
        <v>0</v>
      </c>
      <c r="R251" s="235">
        <f>IFERROR(Table15[[#This Row],[C_DEMAND]]-Table15[[#This Row],[R-DEMAND]],0)</f>
        <v>0</v>
      </c>
      <c r="S251" s="408">
        <f t="shared" si="3"/>
        <v>0</v>
      </c>
      <c r="T251" s="419">
        <f>Table15[[#This Row],[R-DEMAND]]-(Table15[[#This Row],[ADD ACC]]*1706)</f>
        <v>1006</v>
      </c>
      <c r="U251" s="419">
        <f>ROUNDDOWN(Table15[[#This Row],[Column1]]/1360,0)</f>
        <v>0</v>
      </c>
      <c r="V251" s="419"/>
      <c r="W251" s="251">
        <v>15.75</v>
      </c>
      <c r="X251" s="251">
        <f>ROUNDDOWN(Table15[[#This Row],[R-DEMAND]]/1320,0)</f>
        <v>2</v>
      </c>
      <c r="Y251" s="251">
        <f>IFERROR(Table15[[#This Row],[ADD ACC
(660/1320)]]*Table15[[#This Row],[Duration
(B744)]],0)</f>
        <v>31.5</v>
      </c>
      <c r="Z251" s="251"/>
    </row>
    <row r="252" spans="1:26" ht="15.75" customHeight="1" x14ac:dyDescent="0.25">
      <c r="A252" s="210" t="s">
        <v>15317</v>
      </c>
      <c r="B252" s="204" t="s">
        <v>3507</v>
      </c>
      <c r="C252" s="204" t="s">
        <v>67</v>
      </c>
      <c r="D252" s="205">
        <v>2</v>
      </c>
      <c r="E252" s="204" t="s">
        <v>514</v>
      </c>
      <c r="F252" s="204" t="str">
        <f>VLOOKUP(E252,Table10[[COUNTRY NAME]:[CONTINENT CODE]],3,FALSE)</f>
        <v>NA</v>
      </c>
      <c r="G252" s="206" t="s">
        <v>6041</v>
      </c>
      <c r="H252" s="207">
        <v>12170</v>
      </c>
      <c r="I252" s="208">
        <v>29</v>
      </c>
      <c r="J252" s="345"/>
      <c r="K252" s="345">
        <f>IFERROR(Table15[[#This Row],[ROUTE $]]/Table15[[#This Row],[E - DEMAND]],0)</f>
        <v>0</v>
      </c>
      <c r="L252" s="204"/>
      <c r="M252" s="412">
        <f>IFERROR(VLOOKUP(Table15[[#This Row],[ROUTE]],DEMAND!A:F,5,FALSE),0)</f>
        <v>2711</v>
      </c>
      <c r="N252" s="16">
        <f>IFERROR(VLOOKUP(Table15[[#This Row],[ROUTE]],DEMAND!A:F,6,FALSE),0)</f>
        <v>2711</v>
      </c>
      <c r="O252" s="16">
        <f>IFERROR(ROUNDDOWN(Table15[[#This Row],[R-DEMAND]]/1706,0),0)</f>
        <v>1</v>
      </c>
      <c r="P252" s="16">
        <f>IFERROR(Table15[[#This Row],[ADD ACC]]*Table15[[#This Row],[RT TIME 
(380-800)]],0)</f>
        <v>29</v>
      </c>
      <c r="Q252" s="415">
        <f>IFERROR(VLOOKUP(Table15[[#This Row],[ROUTE]],PRICING!A:B,2,FALSE),0)</f>
        <v>0</v>
      </c>
      <c r="R252" s="235">
        <f>IFERROR(Table15[[#This Row],[C_DEMAND]]-Table15[[#This Row],[R-DEMAND]],0)</f>
        <v>0</v>
      </c>
      <c r="S252" s="408">
        <f t="shared" si="3"/>
        <v>0</v>
      </c>
      <c r="T252" s="419">
        <f>Table15[[#This Row],[R-DEMAND]]-(Table15[[#This Row],[ADD ACC]]*1706)</f>
        <v>1005</v>
      </c>
      <c r="U252" s="419">
        <f>ROUNDDOWN(Table15[[#This Row],[Column1]]/1360,0)</f>
        <v>0</v>
      </c>
      <c r="V252" s="419"/>
      <c r="W252" s="251">
        <v>29</v>
      </c>
      <c r="X252" s="251">
        <f>ROUNDDOWN(Table15[[#This Row],[R-DEMAND]]/1320,0)</f>
        <v>2</v>
      </c>
      <c r="Y252" s="251">
        <f>IFERROR(Table15[[#This Row],[ADD ACC
(660/1320)]]*Table15[[#This Row],[Duration
(B744)]],0)</f>
        <v>58</v>
      </c>
      <c r="Z252" s="251"/>
    </row>
    <row r="253" spans="1:26" ht="15.75" customHeight="1" x14ac:dyDescent="0.25">
      <c r="A253" s="210" t="s">
        <v>15422</v>
      </c>
      <c r="B253" s="204" t="s">
        <v>4533</v>
      </c>
      <c r="C253" s="204" t="s">
        <v>67</v>
      </c>
      <c r="D253" s="205">
        <v>2</v>
      </c>
      <c r="E253" s="204" t="s">
        <v>83</v>
      </c>
      <c r="F253" s="204" t="str">
        <f>VLOOKUP(E253,Table10[[COUNTRY NAME]:[CONTINENT CODE]],3,FALSE)</f>
        <v>EU</v>
      </c>
      <c r="G253" s="210" t="s">
        <v>11714</v>
      </c>
      <c r="H253" s="207">
        <v>7254</v>
      </c>
      <c r="I253" s="208">
        <v>18.25</v>
      </c>
      <c r="J253" s="345"/>
      <c r="K253" s="345">
        <f>IFERROR(Table15[[#This Row],[ROUTE $]]/Table15[[#This Row],[E - DEMAND]],0)</f>
        <v>0</v>
      </c>
      <c r="L253" s="204"/>
      <c r="M253" s="412">
        <f>IFERROR(VLOOKUP(Table15[[#This Row],[ROUTE]],DEMAND!A:F,5,FALSE),0)</f>
        <v>2701</v>
      </c>
      <c r="N253" s="16">
        <f>IFERROR(VLOOKUP(Table15[[#This Row],[ROUTE]],DEMAND!A:F,6,FALSE),0)</f>
        <v>2701</v>
      </c>
      <c r="O253" s="16">
        <f>IFERROR(ROUNDDOWN(Table15[[#This Row],[R-DEMAND]]/1706,0),0)</f>
        <v>1</v>
      </c>
      <c r="P253" s="16">
        <f>IFERROR(Table15[[#This Row],[ADD ACC]]*Table15[[#This Row],[RT TIME 
(380-800)]],0)</f>
        <v>18.25</v>
      </c>
      <c r="Q253" s="415">
        <f>IFERROR(VLOOKUP(Table15[[#This Row],[ROUTE]],PRICING!A:B,2,FALSE),0)</f>
        <v>0</v>
      </c>
      <c r="R253" s="235">
        <f>IFERROR(Table15[[#This Row],[C_DEMAND]]-Table15[[#This Row],[R-DEMAND]],0)</f>
        <v>0</v>
      </c>
      <c r="S253" s="408">
        <f t="shared" si="3"/>
        <v>0</v>
      </c>
      <c r="T253" s="419">
        <f>Table15[[#This Row],[R-DEMAND]]-(Table15[[#This Row],[ADD ACC]]*1706)</f>
        <v>995</v>
      </c>
      <c r="U253" s="419">
        <f>ROUNDDOWN(Table15[[#This Row],[Column1]]/1360,0)</f>
        <v>0</v>
      </c>
      <c r="V253" s="419"/>
      <c r="W253" s="251">
        <v>18.25</v>
      </c>
      <c r="X253" s="251">
        <f>ROUNDDOWN(Table15[[#This Row],[R-DEMAND]]/1320,0)</f>
        <v>2</v>
      </c>
      <c r="Y253" s="251">
        <f>IFERROR(Table15[[#This Row],[ADD ACC
(660/1320)]]*Table15[[#This Row],[Duration
(B744)]],0)</f>
        <v>36.5</v>
      </c>
      <c r="Z253" s="251"/>
    </row>
    <row r="254" spans="1:26" ht="15.75" customHeight="1" x14ac:dyDescent="0.25">
      <c r="A254" s="210" t="s">
        <v>15413</v>
      </c>
      <c r="B254" s="204" t="s">
        <v>5202</v>
      </c>
      <c r="C254" s="204" t="s">
        <v>67</v>
      </c>
      <c r="D254" s="205">
        <v>3</v>
      </c>
      <c r="E254" s="204" t="s">
        <v>560</v>
      </c>
      <c r="F254" s="204" t="str">
        <f>VLOOKUP(E254,Table10[[COUNTRY NAME]:[CONTINENT CODE]],3,FALSE)</f>
        <v>EU</v>
      </c>
      <c r="G254" s="210" t="s">
        <v>11707</v>
      </c>
      <c r="H254" s="207">
        <v>7305</v>
      </c>
      <c r="I254" s="208">
        <v>18.25</v>
      </c>
      <c r="J254" s="345"/>
      <c r="K254" s="345">
        <f>IFERROR(Table15[[#This Row],[ROUTE $]]/Table15[[#This Row],[E - DEMAND]],0)</f>
        <v>0</v>
      </c>
      <c r="L254" s="204"/>
      <c r="M254" s="412">
        <f>IFERROR(VLOOKUP(Table15[[#This Row],[ROUTE]],DEMAND!A:F,5,FALSE),0)</f>
        <v>2693</v>
      </c>
      <c r="N254" s="16">
        <f>IFERROR(VLOOKUP(Table15[[#This Row],[ROUTE]],DEMAND!A:F,6,FALSE),0)</f>
        <v>2693</v>
      </c>
      <c r="O254" s="16">
        <f>IFERROR(ROUNDDOWN(Table15[[#This Row],[R-DEMAND]]/1706,0),0)</f>
        <v>1</v>
      </c>
      <c r="P254" s="16">
        <f>IFERROR(Table15[[#This Row],[ADD ACC]]*Table15[[#This Row],[RT TIME 
(380-800)]],0)</f>
        <v>18.25</v>
      </c>
      <c r="Q254" s="415">
        <f>IFERROR(VLOOKUP(Table15[[#This Row],[ROUTE]],PRICING!A:B,2,FALSE),0)</f>
        <v>0</v>
      </c>
      <c r="R254" s="235">
        <f>IFERROR(Table15[[#This Row],[C_DEMAND]]-Table15[[#This Row],[R-DEMAND]],0)</f>
        <v>0</v>
      </c>
      <c r="S254" s="408">
        <f t="shared" si="3"/>
        <v>0</v>
      </c>
      <c r="T254" s="419">
        <f>Table15[[#This Row],[R-DEMAND]]-(Table15[[#This Row],[ADD ACC]]*1706)</f>
        <v>987</v>
      </c>
      <c r="U254" s="419">
        <f>ROUNDDOWN(Table15[[#This Row],[Column1]]/1360,0)</f>
        <v>0</v>
      </c>
      <c r="V254" s="419"/>
      <c r="W254" s="251">
        <v>18.25</v>
      </c>
      <c r="X254" s="251">
        <f>ROUNDDOWN(Table15[[#This Row],[R-DEMAND]]/1320,0)</f>
        <v>2</v>
      </c>
      <c r="Y254" s="251">
        <f>IFERROR(Table15[[#This Row],[ADD ACC
(660/1320)]]*Table15[[#This Row],[Duration
(B744)]],0)</f>
        <v>36.5</v>
      </c>
      <c r="Z254" s="251"/>
    </row>
    <row r="255" spans="1:26" ht="15.75" customHeight="1" x14ac:dyDescent="0.25">
      <c r="A255" s="210" t="s">
        <v>15392</v>
      </c>
      <c r="B255" s="204" t="s">
        <v>4789</v>
      </c>
      <c r="C255" s="204" t="s">
        <v>67</v>
      </c>
      <c r="D255" s="205">
        <v>3</v>
      </c>
      <c r="E255" s="204" t="s">
        <v>119</v>
      </c>
      <c r="F255" s="204" t="str">
        <f>VLOOKUP(E255,Table10[[COUNTRY NAME]:[CONTINENT CODE]],3,FALSE)</f>
        <v>EU</v>
      </c>
      <c r="G255" s="210" t="s">
        <v>11691</v>
      </c>
      <c r="H255" s="207">
        <v>7584</v>
      </c>
      <c r="I255" s="208">
        <v>19</v>
      </c>
      <c r="J255" s="345"/>
      <c r="K255" s="345">
        <f>IFERROR(Table15[[#This Row],[ROUTE $]]/Table15[[#This Row],[E - DEMAND]],0)</f>
        <v>0</v>
      </c>
      <c r="L255" s="204"/>
      <c r="M255" s="412">
        <f>IFERROR(VLOOKUP(Table15[[#This Row],[ROUTE]],DEMAND!A:F,5,FALSE),0)</f>
        <v>2679</v>
      </c>
      <c r="N255" s="16">
        <f>IFERROR(VLOOKUP(Table15[[#This Row],[ROUTE]],DEMAND!A:F,6,FALSE),0)</f>
        <v>2679</v>
      </c>
      <c r="O255" s="16">
        <f>IFERROR(ROUNDDOWN(Table15[[#This Row],[R-DEMAND]]/1706,0),0)</f>
        <v>1</v>
      </c>
      <c r="P255" s="16">
        <f>IFERROR(Table15[[#This Row],[ADD ACC]]*Table15[[#This Row],[RT TIME 
(380-800)]],0)</f>
        <v>19</v>
      </c>
      <c r="Q255" s="415">
        <f>IFERROR(VLOOKUP(Table15[[#This Row],[ROUTE]],PRICING!A:B,2,FALSE),0)</f>
        <v>0</v>
      </c>
      <c r="R255" s="235">
        <f>IFERROR(Table15[[#This Row],[C_DEMAND]]-Table15[[#This Row],[R-DEMAND]],0)</f>
        <v>0</v>
      </c>
      <c r="S255" s="408">
        <f t="shared" si="3"/>
        <v>0</v>
      </c>
      <c r="T255" s="419">
        <f>Table15[[#This Row],[R-DEMAND]]-(Table15[[#This Row],[ADD ACC]]*1706)</f>
        <v>973</v>
      </c>
      <c r="U255" s="419">
        <f>ROUNDDOWN(Table15[[#This Row],[Column1]]/1360,0)</f>
        <v>0</v>
      </c>
      <c r="V255" s="419"/>
      <c r="W255" s="251">
        <v>19</v>
      </c>
      <c r="X255" s="251">
        <f>ROUNDDOWN(Table15[[#This Row],[R-DEMAND]]/1320,0)</f>
        <v>2</v>
      </c>
      <c r="Y255" s="251">
        <f>IFERROR(Table15[[#This Row],[ADD ACC
(660/1320)]]*Table15[[#This Row],[Duration
(B744)]],0)</f>
        <v>38</v>
      </c>
      <c r="Z255" s="251"/>
    </row>
    <row r="256" spans="1:26" ht="15.75" customHeight="1" x14ac:dyDescent="0.25">
      <c r="A256" s="210" t="s">
        <v>15402</v>
      </c>
      <c r="B256" s="204" t="s">
        <v>4590</v>
      </c>
      <c r="C256" s="204" t="s">
        <v>67</v>
      </c>
      <c r="D256" s="205">
        <v>2</v>
      </c>
      <c r="E256" s="204" t="s">
        <v>119</v>
      </c>
      <c r="F256" s="204" t="str">
        <f>VLOOKUP(E256,Table10[[COUNTRY NAME]:[CONTINENT CODE]],3,FALSE)</f>
        <v>EU</v>
      </c>
      <c r="G256" s="210" t="s">
        <v>11696</v>
      </c>
      <c r="H256" s="207">
        <v>7465</v>
      </c>
      <c r="I256" s="208">
        <v>18.75</v>
      </c>
      <c r="J256" s="345"/>
      <c r="K256" s="345">
        <f>IFERROR(Table15[[#This Row],[ROUTE $]]/Table15[[#This Row],[E - DEMAND]],0)</f>
        <v>0</v>
      </c>
      <c r="L256" s="204"/>
      <c r="M256" s="412">
        <f>IFERROR(VLOOKUP(Table15[[#This Row],[ROUTE]],DEMAND!A:F,5,FALSE),0)</f>
        <v>2658</v>
      </c>
      <c r="N256" s="16">
        <f>IFERROR(VLOOKUP(Table15[[#This Row],[ROUTE]],DEMAND!A:F,6,FALSE),0)</f>
        <v>2658</v>
      </c>
      <c r="O256" s="16">
        <f>IFERROR(ROUNDDOWN(Table15[[#This Row],[R-DEMAND]]/1706,0),0)</f>
        <v>1</v>
      </c>
      <c r="P256" s="16">
        <f>IFERROR(Table15[[#This Row],[ADD ACC]]*Table15[[#This Row],[RT TIME 
(380-800)]],0)</f>
        <v>18.75</v>
      </c>
      <c r="Q256" s="415">
        <f>IFERROR(VLOOKUP(Table15[[#This Row],[ROUTE]],PRICING!A:B,2,FALSE),0)</f>
        <v>0</v>
      </c>
      <c r="R256" s="235">
        <f>IFERROR(Table15[[#This Row],[C_DEMAND]]-Table15[[#This Row],[R-DEMAND]],0)</f>
        <v>0</v>
      </c>
      <c r="S256" s="408">
        <f t="shared" si="3"/>
        <v>0</v>
      </c>
      <c r="T256" s="419">
        <f>Table15[[#This Row],[R-DEMAND]]-(Table15[[#This Row],[ADD ACC]]*1706)</f>
        <v>952</v>
      </c>
      <c r="U256" s="419">
        <f>ROUNDDOWN(Table15[[#This Row],[Column1]]/1360,0)</f>
        <v>0</v>
      </c>
      <c r="V256" s="419"/>
      <c r="W256" s="251">
        <v>18.75</v>
      </c>
      <c r="X256" s="251">
        <f>ROUNDDOWN(Table15[[#This Row],[R-DEMAND]]/1320,0)</f>
        <v>2</v>
      </c>
      <c r="Y256" s="251">
        <f>IFERROR(Table15[[#This Row],[ADD ACC
(660/1320)]]*Table15[[#This Row],[Duration
(B744)]],0)</f>
        <v>37.5</v>
      </c>
      <c r="Z256" s="251"/>
    </row>
    <row r="257" spans="1:26" ht="15.75" customHeight="1" x14ac:dyDescent="0.25">
      <c r="A257" s="210" t="s">
        <v>15622</v>
      </c>
      <c r="B257" s="204" t="s">
        <v>3543</v>
      </c>
      <c r="C257" s="204" t="s">
        <v>67</v>
      </c>
      <c r="D257" s="205">
        <v>2</v>
      </c>
      <c r="E257" s="204" t="s">
        <v>597</v>
      </c>
      <c r="F257" s="204" t="str">
        <f>VLOOKUP(E257,Table10[[COUNTRY NAME]:[CONTINENT CODE]],3,FALSE)</f>
        <v>EU</v>
      </c>
      <c r="G257" s="210" t="s">
        <v>11825</v>
      </c>
      <c r="H257" s="207">
        <v>5441</v>
      </c>
      <c r="I257" s="208">
        <v>14.25</v>
      </c>
      <c r="J257" s="345"/>
      <c r="K257" s="345">
        <f>IFERROR(Table15[[#This Row],[ROUTE $]]/Table15[[#This Row],[E - DEMAND]],0)</f>
        <v>0</v>
      </c>
      <c r="L257" s="204"/>
      <c r="M257" s="412">
        <f>IFERROR(VLOOKUP(Table15[[#This Row],[ROUTE]],DEMAND!A:F,5,FALSE),0)</f>
        <v>2501</v>
      </c>
      <c r="N257" s="16">
        <f>IFERROR(VLOOKUP(Table15[[#This Row],[ROUTE]],DEMAND!A:F,6,FALSE),0)</f>
        <v>2501</v>
      </c>
      <c r="O257" s="16">
        <f>IFERROR(ROUNDDOWN(Table15[[#This Row],[R-DEMAND]]/1706,0),0)</f>
        <v>1</v>
      </c>
      <c r="P257" s="16">
        <f>IFERROR(Table15[[#This Row],[ADD ACC]]*Table15[[#This Row],[RT TIME 
(380-800)]],0)</f>
        <v>14.25</v>
      </c>
      <c r="Q257" s="415">
        <f>IFERROR(VLOOKUP(Table15[[#This Row],[ROUTE]],PRICING!A:B,2,FALSE),0)</f>
        <v>0</v>
      </c>
      <c r="R257" s="235">
        <f>IFERROR(Table15[[#This Row],[C_DEMAND]]-Table15[[#This Row],[R-DEMAND]],0)</f>
        <v>0</v>
      </c>
      <c r="S257" s="408">
        <f t="shared" si="3"/>
        <v>0</v>
      </c>
      <c r="T257" s="419">
        <f>Table15[[#This Row],[R-DEMAND]]-(Table15[[#This Row],[ADD ACC]]*1706)</f>
        <v>795</v>
      </c>
      <c r="U257" s="419">
        <f>ROUNDDOWN(Table15[[#This Row],[Column1]]/1360,0)</f>
        <v>0</v>
      </c>
      <c r="V257" s="419"/>
      <c r="W257" s="251">
        <v>14.25</v>
      </c>
      <c r="X257" s="251">
        <f>ROUNDDOWN(Table15[[#This Row],[R-DEMAND]]/1320,0)</f>
        <v>1</v>
      </c>
      <c r="Y257" s="251">
        <f>IFERROR(Table15[[#This Row],[ADD ACC
(660/1320)]]*Table15[[#This Row],[Duration
(B744)]],0)</f>
        <v>14.25</v>
      </c>
      <c r="Z257" s="251"/>
    </row>
    <row r="258" spans="1:26" ht="15.75" customHeight="1" x14ac:dyDescent="0.25">
      <c r="A258" s="210" t="s">
        <v>15454</v>
      </c>
      <c r="B258" s="204" t="s">
        <v>4671</v>
      </c>
      <c r="C258" s="204" t="s">
        <v>67</v>
      </c>
      <c r="D258" s="205">
        <v>2</v>
      </c>
      <c r="E258" s="204" t="s">
        <v>560</v>
      </c>
      <c r="F258" s="204" t="str">
        <f>VLOOKUP(E258,Table10[[COUNTRY NAME]:[CONTINENT CODE]],3,FALSE)</f>
        <v>EU</v>
      </c>
      <c r="G258" s="210" t="s">
        <v>11724</v>
      </c>
      <c r="H258" s="207">
        <v>6963</v>
      </c>
      <c r="I258" s="208">
        <v>17.5</v>
      </c>
      <c r="J258" s="345"/>
      <c r="K258" s="345">
        <f>IFERROR(Table15[[#This Row],[ROUTE $]]/Table15[[#This Row],[E - DEMAND]],0)</f>
        <v>0</v>
      </c>
      <c r="L258" s="204"/>
      <c r="M258" s="412">
        <f>IFERROR(VLOOKUP(Table15[[#This Row],[ROUTE]],DEMAND!A:F,5,FALSE),0)</f>
        <v>2460</v>
      </c>
      <c r="N258" s="16">
        <f>IFERROR(VLOOKUP(Table15[[#This Row],[ROUTE]],DEMAND!A:F,6,FALSE),0)</f>
        <v>2460</v>
      </c>
      <c r="O258" s="16">
        <f>IFERROR(ROUNDDOWN(Table15[[#This Row],[R-DEMAND]]/1706,0),0)</f>
        <v>1</v>
      </c>
      <c r="P258" s="16">
        <f>IFERROR(Table15[[#This Row],[ADD ACC]]*Table15[[#This Row],[RT TIME 
(380-800)]],0)</f>
        <v>17.5</v>
      </c>
      <c r="Q258" s="415">
        <f>IFERROR(VLOOKUP(Table15[[#This Row],[ROUTE]],PRICING!A:B,2,FALSE),0)</f>
        <v>0</v>
      </c>
      <c r="R258" s="235">
        <f>IFERROR(Table15[[#This Row],[C_DEMAND]]-Table15[[#This Row],[R-DEMAND]],0)</f>
        <v>0</v>
      </c>
      <c r="S258" s="408">
        <f t="shared" si="3"/>
        <v>0</v>
      </c>
      <c r="T258" s="419">
        <f>Table15[[#This Row],[R-DEMAND]]-(Table15[[#This Row],[ADD ACC]]*1706)</f>
        <v>754</v>
      </c>
      <c r="U258" s="419">
        <f>ROUNDDOWN(Table15[[#This Row],[Column1]]/1360,0)</f>
        <v>0</v>
      </c>
      <c r="V258" s="419"/>
      <c r="W258" s="251">
        <v>17.5</v>
      </c>
      <c r="X258" s="251">
        <f>ROUNDDOWN(Table15[[#This Row],[R-DEMAND]]/1320,0)</f>
        <v>1</v>
      </c>
      <c r="Y258" s="251">
        <f>IFERROR(Table15[[#This Row],[ADD ACC
(660/1320)]]*Table15[[#This Row],[Duration
(B744)]],0)</f>
        <v>17.5</v>
      </c>
      <c r="Z258" s="251"/>
    </row>
    <row r="259" spans="1:26" ht="15.75" customHeight="1" x14ac:dyDescent="0.25">
      <c r="A259" s="210" t="s">
        <v>15620</v>
      </c>
      <c r="B259" s="204" t="s">
        <v>2253</v>
      </c>
      <c r="C259" s="204" t="s">
        <v>67</v>
      </c>
      <c r="D259" s="205">
        <v>1</v>
      </c>
      <c r="E259" s="204" t="s">
        <v>258</v>
      </c>
      <c r="F259" s="204" t="str">
        <f>VLOOKUP(E259,Table10[[COUNTRY NAME]:[CONTINENT CODE]],3,FALSE)</f>
        <v>AS</v>
      </c>
      <c r="G259" s="206" t="s">
        <v>12025</v>
      </c>
      <c r="H259" s="207">
        <v>5518</v>
      </c>
      <c r="I259" s="208">
        <v>14.25</v>
      </c>
      <c r="J259" s="345"/>
      <c r="K259" s="345">
        <f>IFERROR(Table15[[#This Row],[ROUTE $]]/Table15[[#This Row],[E - DEMAND]],0)</f>
        <v>0</v>
      </c>
      <c r="L259" s="204"/>
      <c r="M259" s="412">
        <f>IFERROR(VLOOKUP(Table15[[#This Row],[ROUTE]],DEMAND!A:F,5,FALSE),0)</f>
        <v>2460</v>
      </c>
      <c r="N259" s="16">
        <f>IFERROR(VLOOKUP(Table15[[#This Row],[ROUTE]],DEMAND!A:F,6,FALSE),0)</f>
        <v>2460</v>
      </c>
      <c r="O259" s="16">
        <f>IFERROR(ROUNDDOWN(Table15[[#This Row],[R-DEMAND]]/1706,0),0)</f>
        <v>1</v>
      </c>
      <c r="P259" s="16">
        <f>IFERROR(Table15[[#This Row],[ADD ACC]]*Table15[[#This Row],[RT TIME 
(380-800)]],0)</f>
        <v>14.25</v>
      </c>
      <c r="Q259" s="415">
        <f>IFERROR(VLOOKUP(Table15[[#This Row],[ROUTE]],PRICING!A:B,2,FALSE),0)</f>
        <v>0</v>
      </c>
      <c r="R259" s="235">
        <f>IFERROR(Table15[[#This Row],[C_DEMAND]]-Table15[[#This Row],[R-DEMAND]],0)</f>
        <v>0</v>
      </c>
      <c r="S259" s="408">
        <f t="shared" ref="S259:S322" si="4">IFERROR(R259*Q259,0)</f>
        <v>0</v>
      </c>
      <c r="T259" s="419">
        <f>Table15[[#This Row],[R-DEMAND]]-(Table15[[#This Row],[ADD ACC]]*1706)</f>
        <v>754</v>
      </c>
      <c r="U259" s="419">
        <f>ROUNDDOWN(Table15[[#This Row],[Column1]]/1360,0)</f>
        <v>0</v>
      </c>
      <c r="V259" s="419"/>
      <c r="W259" s="251">
        <v>14.25</v>
      </c>
      <c r="X259" s="251">
        <f>ROUNDDOWN(Table15[[#This Row],[R-DEMAND]]/1320,0)</f>
        <v>1</v>
      </c>
      <c r="Y259" s="251">
        <f>IFERROR(Table15[[#This Row],[ADD ACC
(660/1320)]]*Table15[[#This Row],[Duration
(B744)]],0)</f>
        <v>14.25</v>
      </c>
      <c r="Z259" s="251"/>
    </row>
    <row r="260" spans="1:26" ht="15.75" customHeight="1" x14ac:dyDescent="0.25">
      <c r="A260" s="210" t="s">
        <v>15341</v>
      </c>
      <c r="B260" s="204" t="s">
        <v>2692</v>
      </c>
      <c r="C260" s="204" t="s">
        <v>67</v>
      </c>
      <c r="D260" s="205">
        <v>2</v>
      </c>
      <c r="E260" s="204" t="s">
        <v>774</v>
      </c>
      <c r="F260" s="204" t="str">
        <f>VLOOKUP(E260,Table10[[COUNTRY NAME]:[CONTINENT CODE]],3,FALSE)</f>
        <v>OC</v>
      </c>
      <c r="G260" s="206" t="s">
        <v>12022</v>
      </c>
      <c r="H260" s="207">
        <v>9797</v>
      </c>
      <c r="I260" s="208">
        <v>23.75</v>
      </c>
      <c r="J260" s="345"/>
      <c r="K260" s="345">
        <f>IFERROR(Table15[[#This Row],[ROUTE $]]/Table15[[#This Row],[E - DEMAND]],0)</f>
        <v>0</v>
      </c>
      <c r="L260" s="204"/>
      <c r="M260" s="412">
        <f>IFERROR(VLOOKUP(Table15[[#This Row],[ROUTE]],DEMAND!A:F,5,FALSE),0)</f>
        <v>2441</v>
      </c>
      <c r="N260" s="16">
        <f>IFERROR(VLOOKUP(Table15[[#This Row],[ROUTE]],DEMAND!A:F,6,FALSE),0)</f>
        <v>2441</v>
      </c>
      <c r="O260" s="16">
        <f>IFERROR(ROUNDDOWN(Table15[[#This Row],[R-DEMAND]]/1706,0),0)</f>
        <v>1</v>
      </c>
      <c r="P260" s="16">
        <f>IFERROR(Table15[[#This Row],[ADD ACC]]*Table15[[#This Row],[RT TIME 
(380-800)]],0)</f>
        <v>23.75</v>
      </c>
      <c r="Q260" s="415">
        <f>IFERROR(VLOOKUP(Table15[[#This Row],[ROUTE]],PRICING!A:B,2,FALSE),0)</f>
        <v>0</v>
      </c>
      <c r="R260" s="235">
        <f>IFERROR(Table15[[#This Row],[C_DEMAND]]-Table15[[#This Row],[R-DEMAND]],0)</f>
        <v>0</v>
      </c>
      <c r="S260" s="408">
        <f t="shared" si="4"/>
        <v>0</v>
      </c>
      <c r="T260" s="419">
        <f>Table15[[#This Row],[R-DEMAND]]-(Table15[[#This Row],[ADD ACC]]*1706)</f>
        <v>735</v>
      </c>
      <c r="U260" s="419">
        <f>ROUNDDOWN(Table15[[#This Row],[Column1]]/1360,0)</f>
        <v>0</v>
      </c>
      <c r="V260" s="419"/>
      <c r="W260" s="251">
        <v>23.75</v>
      </c>
      <c r="X260" s="251">
        <f>ROUNDDOWN(Table15[[#This Row],[R-DEMAND]]/1320,0)</f>
        <v>1</v>
      </c>
      <c r="Y260" s="251">
        <f>IFERROR(Table15[[#This Row],[ADD ACC
(660/1320)]]*Table15[[#This Row],[Duration
(B744)]],0)</f>
        <v>23.75</v>
      </c>
      <c r="Z260" s="251"/>
    </row>
    <row r="261" spans="1:26" ht="15.75" customHeight="1" x14ac:dyDescent="0.25">
      <c r="A261" s="210" t="s">
        <v>15400</v>
      </c>
      <c r="B261" s="204" t="s">
        <v>4553</v>
      </c>
      <c r="C261" s="204" t="s">
        <v>67</v>
      </c>
      <c r="D261" s="205">
        <v>2</v>
      </c>
      <c r="E261" s="204" t="s">
        <v>560</v>
      </c>
      <c r="F261" s="204" t="str">
        <f>VLOOKUP(E261,Table10[[COUNTRY NAME]:[CONTINENT CODE]],3,FALSE)</f>
        <v>EU</v>
      </c>
      <c r="G261" s="210" t="s">
        <v>11698</v>
      </c>
      <c r="H261" s="207">
        <v>7507</v>
      </c>
      <c r="I261" s="208">
        <v>18.75</v>
      </c>
      <c r="J261" s="345"/>
      <c r="K261" s="345">
        <f>IFERROR(Table15[[#This Row],[ROUTE $]]/Table15[[#This Row],[E - DEMAND]],0)</f>
        <v>0</v>
      </c>
      <c r="L261" s="204"/>
      <c r="M261" s="412">
        <f>IFERROR(VLOOKUP(Table15[[#This Row],[ROUTE]],DEMAND!A:F,5,FALSE),0)</f>
        <v>2425</v>
      </c>
      <c r="N261" s="16">
        <f>IFERROR(VLOOKUP(Table15[[#This Row],[ROUTE]],DEMAND!A:F,6,FALSE),0)</f>
        <v>2425</v>
      </c>
      <c r="O261" s="16">
        <f>IFERROR(ROUNDDOWN(Table15[[#This Row],[R-DEMAND]]/1706,0),0)</f>
        <v>1</v>
      </c>
      <c r="P261" s="16">
        <f>IFERROR(Table15[[#This Row],[ADD ACC]]*Table15[[#This Row],[RT TIME 
(380-800)]],0)</f>
        <v>18.75</v>
      </c>
      <c r="Q261" s="415">
        <f>IFERROR(VLOOKUP(Table15[[#This Row],[ROUTE]],PRICING!A:B,2,FALSE),0)</f>
        <v>0</v>
      </c>
      <c r="R261" s="235">
        <f>IFERROR(Table15[[#This Row],[C_DEMAND]]-Table15[[#This Row],[R-DEMAND]],0)</f>
        <v>0</v>
      </c>
      <c r="S261" s="408">
        <f t="shared" si="4"/>
        <v>0</v>
      </c>
      <c r="T261" s="419">
        <f>Table15[[#This Row],[R-DEMAND]]-(Table15[[#This Row],[ADD ACC]]*1706)</f>
        <v>719</v>
      </c>
      <c r="U261" s="419">
        <f>ROUNDDOWN(Table15[[#This Row],[Column1]]/1360,0)</f>
        <v>0</v>
      </c>
      <c r="V261" s="419"/>
      <c r="W261" s="251">
        <v>18.75</v>
      </c>
      <c r="X261" s="251">
        <f>ROUNDDOWN(Table15[[#This Row],[R-DEMAND]]/1320,0)</f>
        <v>1</v>
      </c>
      <c r="Y261" s="251">
        <f>IFERROR(Table15[[#This Row],[ADD ACC
(660/1320)]]*Table15[[#This Row],[Duration
(B744)]],0)</f>
        <v>18.75</v>
      </c>
      <c r="Z261" s="251"/>
    </row>
    <row r="262" spans="1:26" ht="15.75" customHeight="1" x14ac:dyDescent="0.25">
      <c r="A262" s="210" t="s">
        <v>15357</v>
      </c>
      <c r="B262" s="204" t="s">
        <v>5583</v>
      </c>
      <c r="C262" s="204" t="s">
        <v>2</v>
      </c>
      <c r="D262" s="205">
        <v>4</v>
      </c>
      <c r="E262" s="204" t="s">
        <v>119</v>
      </c>
      <c r="F262" s="204" t="str">
        <f>VLOOKUP(E262,Table10[[COUNTRY NAME]:[CONTINENT CODE]],3,FALSE)</f>
        <v>EU</v>
      </c>
      <c r="G262" s="206" t="s">
        <v>13252</v>
      </c>
      <c r="H262" s="207">
        <v>8865</v>
      </c>
      <c r="I262" s="208">
        <v>21.75</v>
      </c>
      <c r="J262" s="345">
        <v>243525942</v>
      </c>
      <c r="K262" s="345">
        <f>IFERROR(Table15[[#This Row],[ROUTE $]]/Table15[[#This Row],[E - DEMAND]],0)</f>
        <v>74861.95573316938</v>
      </c>
      <c r="L262" s="204">
        <v>3253</v>
      </c>
      <c r="M262" s="412">
        <f>IFERROR(VLOOKUP(Table15[[#This Row],[ROUTE]],DEMAND!A:F,5,FALSE),0)</f>
        <v>3405</v>
      </c>
      <c r="N262" s="16">
        <f>IFERROR(VLOOKUP(Table15[[#This Row],[ROUTE]],DEMAND!A:F,6,FALSE),0)</f>
        <v>1699</v>
      </c>
      <c r="O262" s="16">
        <f>IFERROR(ROUNDDOWN(Table15[[#This Row],[R-DEMAND]]/1706,0),0)</f>
        <v>0</v>
      </c>
      <c r="P262" s="16">
        <f>IFERROR(Table15[[#This Row],[ADD ACC]]*Table15[[#This Row],[RT TIME 
(380-800)]],0)</f>
        <v>0</v>
      </c>
      <c r="Q262" s="415">
        <f>IFERROR(VLOOKUP(Table15[[#This Row],[ROUTE]],PRICING!A:B,2,FALSE),0)</f>
        <v>2466</v>
      </c>
      <c r="R262" s="235">
        <f>IFERROR(Table15[[#This Row],[C_DEMAND]]-Table15[[#This Row],[R-DEMAND]],0)</f>
        <v>1706</v>
      </c>
      <c r="S262" s="408">
        <f t="shared" si="4"/>
        <v>4206996</v>
      </c>
      <c r="T262" s="419">
        <f>Table15[[#This Row],[R-DEMAND]]-(Table15[[#This Row],[ADD ACC]]*1706)</f>
        <v>1699</v>
      </c>
      <c r="U262" s="419">
        <f>ROUNDDOWN(Table15[[#This Row],[Column1]]/1360,0)</f>
        <v>1</v>
      </c>
      <c r="V262" s="419"/>
      <c r="W262" s="251">
        <v>21.75</v>
      </c>
      <c r="X262" s="251">
        <f>ROUNDDOWN(Table15[[#This Row],[R-DEMAND]]/1320,0)</f>
        <v>1</v>
      </c>
      <c r="Y262" s="251">
        <f>IFERROR(Table15[[#This Row],[ADD ACC
(660/1320)]]*Table15[[#This Row],[Duration
(B744)]],0)</f>
        <v>21.75</v>
      </c>
      <c r="Z262" s="251"/>
    </row>
    <row r="263" spans="1:26" ht="15.75" customHeight="1" x14ac:dyDescent="0.25">
      <c r="A263" s="210" t="s">
        <v>15386</v>
      </c>
      <c r="B263" s="204" t="s">
        <v>5619</v>
      </c>
      <c r="C263" s="204" t="s">
        <v>2</v>
      </c>
      <c r="D263" s="205">
        <v>4</v>
      </c>
      <c r="E263" s="204" t="s">
        <v>119</v>
      </c>
      <c r="F263" s="204" t="str">
        <f>VLOOKUP(E263,Table10[[COUNTRY NAME]:[CONTINENT CODE]],3,FALSE)</f>
        <v>EU</v>
      </c>
      <c r="G263" s="206" t="s">
        <v>11117</v>
      </c>
      <c r="H263" s="207">
        <v>7655</v>
      </c>
      <c r="I263" s="208">
        <v>19</v>
      </c>
      <c r="J263" s="345">
        <v>234424554</v>
      </c>
      <c r="K263" s="345">
        <f>IFERROR(Table15[[#This Row],[ROUTE $]]/Table15[[#This Row],[E - DEMAND]],0)</f>
        <v>73029.456074766349</v>
      </c>
      <c r="L263" s="204">
        <v>3210</v>
      </c>
      <c r="M263" s="412">
        <f>IFERROR(VLOOKUP(Table15[[#This Row],[ROUTE]],DEMAND!A:F,5,FALSE),0)</f>
        <v>3403</v>
      </c>
      <c r="N263" s="16">
        <f>IFERROR(VLOOKUP(Table15[[#This Row],[ROUTE]],DEMAND!A:F,6,FALSE),0)</f>
        <v>1697</v>
      </c>
      <c r="O263" s="16">
        <f>IFERROR(ROUNDDOWN(Table15[[#This Row],[R-DEMAND]]/1706,0),0)</f>
        <v>0</v>
      </c>
      <c r="P263" s="16">
        <f>IFERROR(Table15[[#This Row],[ADD ACC]]*Table15[[#This Row],[RT TIME 
(380-800)]],0)</f>
        <v>0</v>
      </c>
      <c r="Q263" s="415">
        <f>IFERROR(VLOOKUP(Table15[[#This Row],[ROUTE]],PRICING!A:B,2,FALSE),0)</f>
        <v>2044</v>
      </c>
      <c r="R263" s="235">
        <f>IFERROR(Table15[[#This Row],[C_DEMAND]]-Table15[[#This Row],[R-DEMAND]],0)</f>
        <v>1706</v>
      </c>
      <c r="S263" s="408">
        <f t="shared" si="4"/>
        <v>3487064</v>
      </c>
      <c r="T263" s="419">
        <f>Table15[[#This Row],[R-DEMAND]]-(Table15[[#This Row],[ADD ACC]]*1706)</f>
        <v>1697</v>
      </c>
      <c r="U263" s="419">
        <f>ROUNDDOWN(Table15[[#This Row],[Column1]]/1360,0)</f>
        <v>1</v>
      </c>
      <c r="V263" s="419"/>
      <c r="W263" s="251">
        <v>19</v>
      </c>
      <c r="X263" s="251">
        <f>ROUNDDOWN(Table15[[#This Row],[R-DEMAND]]/1320,0)</f>
        <v>1</v>
      </c>
      <c r="Y263" s="251">
        <f>IFERROR(Table15[[#This Row],[ADD ACC
(660/1320)]]*Table15[[#This Row],[Duration
(B744)]],0)</f>
        <v>19</v>
      </c>
      <c r="Z263" s="251"/>
    </row>
    <row r="264" spans="1:26" ht="15.75" customHeight="1" x14ac:dyDescent="0.25">
      <c r="A264" s="210" t="s">
        <v>15242</v>
      </c>
      <c r="B264" s="204" t="s">
        <v>5611</v>
      </c>
      <c r="C264" s="204" t="s">
        <v>2</v>
      </c>
      <c r="D264" s="205">
        <v>4</v>
      </c>
      <c r="E264" s="204" t="s">
        <v>517</v>
      </c>
      <c r="F264" s="204" t="str">
        <f>VLOOKUP(E264,Table10[[COUNTRY NAME]:[CONTINENT CODE]],3,FALSE)</f>
        <v>SA</v>
      </c>
      <c r="G264" s="206" t="s">
        <v>13161</v>
      </c>
      <c r="H264" s="207">
        <v>13422</v>
      </c>
      <c r="I264" s="208">
        <v>31.75</v>
      </c>
      <c r="J264" s="345">
        <v>291158779</v>
      </c>
      <c r="K264" s="345">
        <f>IFERROR(Table15[[#This Row],[ROUTE $]]/Table15[[#This Row],[E - DEMAND]],0)</f>
        <v>59810.759860312246</v>
      </c>
      <c r="L264" s="204">
        <v>4868</v>
      </c>
      <c r="M264" s="412">
        <f>IFERROR(VLOOKUP(Table15[[#This Row],[ROUTE]],DEMAND!A:F,5,FALSE),0)</f>
        <v>5095</v>
      </c>
      <c r="N264" s="16">
        <f>IFERROR(VLOOKUP(Table15[[#This Row],[ROUTE]],DEMAND!A:F,6,FALSE),0)</f>
        <v>1683</v>
      </c>
      <c r="O264" s="16">
        <f>IFERROR(ROUNDDOWN(Table15[[#This Row],[R-DEMAND]]/1706,0),0)</f>
        <v>0</v>
      </c>
      <c r="P264" s="16">
        <f>IFERROR(Table15[[#This Row],[ADD ACC]]*Table15[[#This Row],[RT TIME 
(380-800)]],0)</f>
        <v>0</v>
      </c>
      <c r="Q264" s="415">
        <f>IFERROR(VLOOKUP(Table15[[#This Row],[ROUTE]],PRICING!A:B,2,FALSE),0)</f>
        <v>3680</v>
      </c>
      <c r="R264" s="235">
        <f>IFERROR(Table15[[#This Row],[C_DEMAND]]-Table15[[#This Row],[R-DEMAND]],0)</f>
        <v>3412</v>
      </c>
      <c r="S264" s="408">
        <f t="shared" si="4"/>
        <v>12556160</v>
      </c>
      <c r="T264" s="419">
        <f>Table15[[#This Row],[R-DEMAND]]-(Table15[[#This Row],[ADD ACC]]*1706)</f>
        <v>1683</v>
      </c>
      <c r="U264" s="419">
        <f>ROUNDDOWN(Table15[[#This Row],[Column1]]/1360,0)</f>
        <v>1</v>
      </c>
      <c r="V264" s="419"/>
      <c r="W264" s="251">
        <v>31.75</v>
      </c>
      <c r="X264" s="251">
        <f>ROUNDDOWN(Table15[[#This Row],[R-DEMAND]]/1320,0)</f>
        <v>1</v>
      </c>
      <c r="Y264" s="251">
        <f>IFERROR(Table15[[#This Row],[ADD ACC
(660/1320)]]*Table15[[#This Row],[Duration
(B744)]],0)</f>
        <v>31.75</v>
      </c>
      <c r="Z264" s="251"/>
    </row>
    <row r="265" spans="1:26" ht="15.75" customHeight="1" x14ac:dyDescent="0.25">
      <c r="A265" s="210" t="s">
        <v>15944</v>
      </c>
      <c r="B265" s="204" t="s">
        <v>198</v>
      </c>
      <c r="C265" s="204" t="s">
        <v>67</v>
      </c>
      <c r="D265" s="205">
        <v>3</v>
      </c>
      <c r="E265" s="204" t="s">
        <v>197</v>
      </c>
      <c r="F265" s="204" t="str">
        <f>VLOOKUP(E265,Table10[[COUNTRY NAME]:[CONTINENT CODE]],3,FALSE)</f>
        <v>AS</v>
      </c>
      <c r="G265" s="206" t="s">
        <v>12017</v>
      </c>
      <c r="H265" s="207">
        <v>1391</v>
      </c>
      <c r="I265" s="208">
        <v>5.25</v>
      </c>
      <c r="J265" s="345">
        <v>156796805</v>
      </c>
      <c r="K265" s="345">
        <f>IFERROR(Table15[[#This Row],[ROUTE $]]/Table15[[#This Row],[E - DEMAND]],0)</f>
        <v>31908.181725681727</v>
      </c>
      <c r="L265" s="204">
        <v>4914</v>
      </c>
      <c r="M265" s="412">
        <f>IFERROR(VLOOKUP(Table15[[#This Row],[ROUTE]],DEMAND!A:F,5,FALSE),0)</f>
        <v>5094</v>
      </c>
      <c r="N265" s="16">
        <f>IFERROR(VLOOKUP(Table15[[#This Row],[ROUTE]],DEMAND!A:F,6,FALSE),0)</f>
        <v>1682</v>
      </c>
      <c r="O265" s="16">
        <f>IFERROR(ROUNDDOWN(Table15[[#This Row],[R-DEMAND]]/1706,0),0)</f>
        <v>0</v>
      </c>
      <c r="P265" s="16">
        <f>IFERROR(Table15[[#This Row],[ADD ACC]]*Table15[[#This Row],[RT TIME 
(380-800)]],0)</f>
        <v>0</v>
      </c>
      <c r="Q265" s="415">
        <f>IFERROR(VLOOKUP(Table15[[#This Row],[ROUTE]],PRICING!A:B,2,FALSE),0)</f>
        <v>440</v>
      </c>
      <c r="R265" s="235">
        <f>IFERROR(Table15[[#This Row],[C_DEMAND]]-Table15[[#This Row],[R-DEMAND]],0)</f>
        <v>3412</v>
      </c>
      <c r="S265" s="408">
        <f t="shared" si="4"/>
        <v>1501280</v>
      </c>
      <c r="T265" s="419">
        <f>Table15[[#This Row],[R-DEMAND]]-(Table15[[#This Row],[ADD ACC]]*1706)</f>
        <v>1682</v>
      </c>
      <c r="U265" s="419">
        <f>ROUNDDOWN(Table15[[#This Row],[Column1]]/1360,0)</f>
        <v>1</v>
      </c>
      <c r="V265" s="419"/>
      <c r="W265" s="251">
        <v>5.25</v>
      </c>
      <c r="X265" s="251">
        <f>ROUNDDOWN(Table15[[#This Row],[R-DEMAND]]/1320,0)</f>
        <v>1</v>
      </c>
      <c r="Y265" s="251">
        <f>IFERROR(Table15[[#This Row],[ADD ACC
(660/1320)]]*Table15[[#This Row],[Duration
(B744)]],0)</f>
        <v>5.25</v>
      </c>
      <c r="Z265" s="251"/>
    </row>
    <row r="266" spans="1:26" ht="15.75" customHeight="1" x14ac:dyDescent="0.25">
      <c r="A266" s="210" t="s">
        <v>15514</v>
      </c>
      <c r="B266" s="204" t="s">
        <v>6</v>
      </c>
      <c r="C266" s="204" t="s">
        <v>2</v>
      </c>
      <c r="D266" s="205">
        <v>5</v>
      </c>
      <c r="E266" s="204" t="s">
        <v>1674</v>
      </c>
      <c r="F266" s="204" t="str">
        <f>VLOOKUP(E266,Table10[[COUNTRY NAME]:[CONTINENT CODE]],3,FALSE)</f>
        <v>EU</v>
      </c>
      <c r="G266" s="206" t="s">
        <v>11025</v>
      </c>
      <c r="H266" s="207">
        <v>6541</v>
      </c>
      <c r="I266" s="208">
        <v>16.5</v>
      </c>
      <c r="J266" s="345">
        <v>231494988</v>
      </c>
      <c r="K266" s="345">
        <f>IFERROR(Table15[[#This Row],[ROUTE $]]/Table15[[#This Row],[E - DEMAND]],0)</f>
        <v>71163.537657546884</v>
      </c>
      <c r="L266" s="204">
        <v>3253</v>
      </c>
      <c r="M266" s="412">
        <f>IFERROR(VLOOKUP(Table15[[#This Row],[ROUTE]],DEMAND!A:F,5,FALSE),0)</f>
        <v>3373</v>
      </c>
      <c r="N266" s="16">
        <f>IFERROR(VLOOKUP(Table15[[#This Row],[ROUTE]],DEMAND!A:F,6,FALSE),0)</f>
        <v>1667</v>
      </c>
      <c r="O266" s="16">
        <f>IFERROR(ROUNDDOWN(Table15[[#This Row],[R-DEMAND]]/1706,0),0)</f>
        <v>0</v>
      </c>
      <c r="P266" s="16">
        <f>IFERROR(Table15[[#This Row],[ADD ACC]]*Table15[[#This Row],[RT TIME 
(380-800)]],0)</f>
        <v>0</v>
      </c>
      <c r="Q266" s="415">
        <f>IFERROR(VLOOKUP(Table15[[#This Row],[ROUTE]],PRICING!A:B,2,FALSE),0)</f>
        <v>1910</v>
      </c>
      <c r="R266" s="235">
        <f>IFERROR(Table15[[#This Row],[C_DEMAND]]-Table15[[#This Row],[R-DEMAND]],0)</f>
        <v>1706</v>
      </c>
      <c r="S266" s="408">
        <f t="shared" si="4"/>
        <v>3258460</v>
      </c>
      <c r="T266" s="419">
        <f>Table15[[#This Row],[R-DEMAND]]-(Table15[[#This Row],[ADD ACC]]*1706)</f>
        <v>1667</v>
      </c>
      <c r="U266" s="419">
        <f>ROUNDDOWN(Table15[[#This Row],[Column1]]/1360,0)</f>
        <v>1</v>
      </c>
      <c r="V266" s="419"/>
      <c r="W266" s="251">
        <v>16.5</v>
      </c>
      <c r="X266" s="251">
        <f>ROUNDDOWN(Table15[[#This Row],[R-DEMAND]]/1320,0)</f>
        <v>1</v>
      </c>
      <c r="Y266" s="251">
        <f>IFERROR(Table15[[#This Row],[ADD ACC
(660/1320)]]*Table15[[#This Row],[Duration
(B744)]],0)</f>
        <v>16.5</v>
      </c>
      <c r="Z266" s="251"/>
    </row>
    <row r="267" spans="1:26" ht="15.75" customHeight="1" x14ac:dyDescent="0.25">
      <c r="A267" s="210" t="s">
        <v>15372</v>
      </c>
      <c r="B267" s="204" t="s">
        <v>359</v>
      </c>
      <c r="C267" s="204" t="s">
        <v>2</v>
      </c>
      <c r="D267" s="205">
        <v>3</v>
      </c>
      <c r="E267" s="204" t="s">
        <v>608</v>
      </c>
      <c r="F267" s="204" t="str">
        <f>VLOOKUP(E267,Table10[[COUNTRY NAME]:[CONTINENT CODE]],3,FALSE)</f>
        <v>AF</v>
      </c>
      <c r="G267" s="206" t="s">
        <v>11676</v>
      </c>
      <c r="H267" s="207">
        <v>7996</v>
      </c>
      <c r="I267" s="208">
        <v>19.75</v>
      </c>
      <c r="J267" s="345">
        <v>228409203</v>
      </c>
      <c r="K267" s="345">
        <f>IFERROR(Table15[[#This Row],[ROUTE $]]/Table15[[#This Row],[E - DEMAND]],0)</f>
        <v>48086.148000000001</v>
      </c>
      <c r="L267" s="204">
        <v>4750</v>
      </c>
      <c r="M267" s="412">
        <f>IFERROR(VLOOKUP(Table15[[#This Row],[ROUTE]],DEMAND!A:F,5,FALSE),0)</f>
        <v>5067</v>
      </c>
      <c r="N267" s="16">
        <f>IFERROR(VLOOKUP(Table15[[#This Row],[ROUTE]],DEMAND!A:F,6,FALSE),0)</f>
        <v>1655</v>
      </c>
      <c r="O267" s="16">
        <f>IFERROR(ROUNDDOWN(Table15[[#This Row],[R-DEMAND]]/1706,0),0)</f>
        <v>0</v>
      </c>
      <c r="P267" s="16">
        <f>IFERROR(Table15[[#This Row],[ADD ACC]]*Table15[[#This Row],[RT TIME 
(380-800)]],0)</f>
        <v>0</v>
      </c>
      <c r="Q267" s="415">
        <f>IFERROR(VLOOKUP(Table15[[#This Row],[ROUTE]],PRICING!A:B,2,FALSE),0)</f>
        <v>2078</v>
      </c>
      <c r="R267" s="235">
        <f>IFERROR(Table15[[#This Row],[C_DEMAND]]-Table15[[#This Row],[R-DEMAND]],0)</f>
        <v>3412</v>
      </c>
      <c r="S267" s="408">
        <f t="shared" si="4"/>
        <v>7090136</v>
      </c>
      <c r="T267" s="419">
        <f>Table15[[#This Row],[R-DEMAND]]-(Table15[[#This Row],[ADD ACC]]*1706)</f>
        <v>1655</v>
      </c>
      <c r="U267" s="419">
        <f>ROUNDDOWN(Table15[[#This Row],[Column1]]/1360,0)</f>
        <v>1</v>
      </c>
      <c r="V267" s="419"/>
      <c r="W267" s="251">
        <v>19.75</v>
      </c>
      <c r="X267" s="251">
        <f>ROUNDDOWN(Table15[[#This Row],[R-DEMAND]]/1320,0)</f>
        <v>1</v>
      </c>
      <c r="Y267" s="251">
        <f>IFERROR(Table15[[#This Row],[ADD ACC
(660/1320)]]*Table15[[#This Row],[Duration
(B744)]],0)</f>
        <v>19.75</v>
      </c>
      <c r="Z267" s="251"/>
    </row>
    <row r="268" spans="1:26" ht="15.75" customHeight="1" x14ac:dyDescent="0.25">
      <c r="A268" s="210" t="s">
        <v>15666</v>
      </c>
      <c r="B268" s="204" t="s">
        <v>5275</v>
      </c>
      <c r="C268" s="204" t="s">
        <v>67</v>
      </c>
      <c r="D268" s="205">
        <v>3</v>
      </c>
      <c r="E268" s="204" t="s">
        <v>46</v>
      </c>
      <c r="F268" s="204" t="str">
        <f>VLOOKUP(E268,Table10[[COUNTRY NAME]:[CONTINENT CODE]],3,FALSE)</f>
        <v>AS</v>
      </c>
      <c r="G268" s="206" t="s">
        <v>12076</v>
      </c>
      <c r="H268" s="207">
        <v>4931</v>
      </c>
      <c r="I268" s="208">
        <v>13</v>
      </c>
      <c r="J268" s="345">
        <v>193429036</v>
      </c>
      <c r="K268" s="345">
        <f>IFERROR(Table15[[#This Row],[ROUTE $]]/Table15[[#This Row],[E - DEMAND]],0)</f>
        <v>61719.539246968729</v>
      </c>
      <c r="L268" s="204">
        <v>3134</v>
      </c>
      <c r="M268" s="412">
        <f>IFERROR(VLOOKUP(Table15[[#This Row],[ROUTE]],DEMAND!A:F,5,FALSE),0)</f>
        <v>3333</v>
      </c>
      <c r="N268" s="16">
        <f>IFERROR(VLOOKUP(Table15[[#This Row],[ROUTE]],DEMAND!A:F,6,FALSE),0)</f>
        <v>1627</v>
      </c>
      <c r="O268" s="16">
        <f>IFERROR(ROUNDDOWN(Table15[[#This Row],[R-DEMAND]]/1706,0),0)</f>
        <v>0</v>
      </c>
      <c r="P268" s="16">
        <f>IFERROR(Table15[[#This Row],[ADD ACC]]*Table15[[#This Row],[RT TIME 
(380-800)]],0)</f>
        <v>0</v>
      </c>
      <c r="Q268" s="415">
        <f>IFERROR(VLOOKUP(Table15[[#This Row],[ROUTE]],PRICING!A:B,2,FALSE),0)</f>
        <v>1334</v>
      </c>
      <c r="R268" s="235">
        <f>IFERROR(Table15[[#This Row],[C_DEMAND]]-Table15[[#This Row],[R-DEMAND]],0)</f>
        <v>1706</v>
      </c>
      <c r="S268" s="408">
        <f t="shared" si="4"/>
        <v>2275804</v>
      </c>
      <c r="T268" s="419">
        <f>Table15[[#This Row],[R-DEMAND]]-(Table15[[#This Row],[ADD ACC]]*1706)</f>
        <v>1627</v>
      </c>
      <c r="U268" s="419">
        <f>ROUNDDOWN(Table15[[#This Row],[Column1]]/1360,0)</f>
        <v>1</v>
      </c>
      <c r="V268" s="419"/>
      <c r="W268" s="251">
        <v>13</v>
      </c>
      <c r="X268" s="251">
        <f>ROUNDDOWN(Table15[[#This Row],[R-DEMAND]]/1320,0)</f>
        <v>1</v>
      </c>
      <c r="Y268" s="251">
        <f>IFERROR(Table15[[#This Row],[ADD ACC
(660/1320)]]*Table15[[#This Row],[Duration
(B744)]],0)</f>
        <v>13</v>
      </c>
      <c r="Z268" s="251"/>
    </row>
    <row r="269" spans="1:26" ht="15.75" customHeight="1" x14ac:dyDescent="0.25">
      <c r="A269" s="210" t="s">
        <v>15632</v>
      </c>
      <c r="B269" s="204" t="s">
        <v>81</v>
      </c>
      <c r="C269" s="204" t="s">
        <v>2</v>
      </c>
      <c r="D269" s="205">
        <v>4</v>
      </c>
      <c r="E269" s="204" t="s">
        <v>1261</v>
      </c>
      <c r="F269" s="204" t="str">
        <f>VLOOKUP(E269,Table10[[COUNTRY NAME]:[CONTINENT CODE]],3,FALSE)</f>
        <v>AS</v>
      </c>
      <c r="G269" s="206" t="s">
        <v>11040</v>
      </c>
      <c r="H269" s="207">
        <v>5273</v>
      </c>
      <c r="I269" s="208">
        <v>13.75</v>
      </c>
      <c r="J269" s="345">
        <v>206869577</v>
      </c>
      <c r="K269" s="345">
        <f>IFERROR(Table15[[#This Row],[ROUTE $]]/Table15[[#This Row],[E - DEMAND]],0)</f>
        <v>43551.489894736842</v>
      </c>
      <c r="L269" s="204">
        <v>4750</v>
      </c>
      <c r="M269" s="412">
        <f>IFERROR(VLOOKUP(Table15[[#This Row],[ROUTE]],DEMAND!A:F,5,FALSE),0)</f>
        <v>5003</v>
      </c>
      <c r="N269" s="16">
        <f>IFERROR(VLOOKUP(Table15[[#This Row],[ROUTE]],DEMAND!A:F,6,FALSE),0)</f>
        <v>1591</v>
      </c>
      <c r="O269" s="16">
        <f>IFERROR(ROUNDDOWN(Table15[[#This Row],[R-DEMAND]]/1706,0),0)</f>
        <v>0</v>
      </c>
      <c r="P269" s="16">
        <f>IFERROR(Table15[[#This Row],[ADD ACC]]*Table15[[#This Row],[RT TIME 
(380-800)]],0)</f>
        <v>0</v>
      </c>
      <c r="Q269" s="415">
        <f>IFERROR(VLOOKUP(Table15[[#This Row],[ROUTE]],PRICING!A:B,2,FALSE),0)</f>
        <v>1473</v>
      </c>
      <c r="R269" s="235">
        <f>IFERROR(Table15[[#This Row],[C_DEMAND]]-Table15[[#This Row],[R-DEMAND]],0)</f>
        <v>3412</v>
      </c>
      <c r="S269" s="408">
        <f t="shared" si="4"/>
        <v>5025876</v>
      </c>
      <c r="T269" s="419">
        <f>Table15[[#This Row],[R-DEMAND]]-(Table15[[#This Row],[ADD ACC]]*1706)</f>
        <v>1591</v>
      </c>
      <c r="U269" s="419">
        <f>ROUNDDOWN(Table15[[#This Row],[Column1]]/1360,0)</f>
        <v>1</v>
      </c>
      <c r="V269" s="419"/>
      <c r="W269" s="251">
        <v>13.75</v>
      </c>
      <c r="X269" s="251">
        <f>ROUNDDOWN(Table15[[#This Row],[R-DEMAND]]/1320,0)</f>
        <v>1</v>
      </c>
      <c r="Y269" s="251">
        <f>IFERROR(Table15[[#This Row],[ADD ACC
(660/1320)]]*Table15[[#This Row],[Duration
(B744)]],0)</f>
        <v>13.75</v>
      </c>
      <c r="Z269" s="251"/>
    </row>
    <row r="270" spans="1:26" ht="15.75" customHeight="1" x14ac:dyDescent="0.25">
      <c r="A270" s="210" t="s">
        <v>15354</v>
      </c>
      <c r="B270" s="204" t="s">
        <v>5536</v>
      </c>
      <c r="C270" s="204" t="s">
        <v>2</v>
      </c>
      <c r="D270" s="205">
        <v>4</v>
      </c>
      <c r="E270" s="204" t="s">
        <v>119</v>
      </c>
      <c r="F270" s="204" t="str">
        <f>VLOOKUP(E270,Table10[[COUNTRY NAME]:[CONTINENT CODE]],3,FALSE)</f>
        <v>EU</v>
      </c>
      <c r="G270" s="206" t="s">
        <v>13253</v>
      </c>
      <c r="H270" s="207">
        <v>8974</v>
      </c>
      <c r="I270" s="208">
        <v>22</v>
      </c>
      <c r="J270" s="345">
        <v>241963496</v>
      </c>
      <c r="K270" s="345">
        <f>IFERROR(Table15[[#This Row],[ROUTE $]]/Table15[[#This Row],[E - DEMAND]],0)</f>
        <v>76113.084617804343</v>
      </c>
      <c r="L270" s="204">
        <v>3179</v>
      </c>
      <c r="M270" s="412">
        <f>IFERROR(VLOOKUP(Table15[[#This Row],[ROUTE]],DEMAND!A:F,5,FALSE),0)</f>
        <v>3285</v>
      </c>
      <c r="N270" s="16">
        <f>IFERROR(VLOOKUP(Table15[[#This Row],[ROUTE]],DEMAND!A:F,6,FALSE),0)</f>
        <v>1579</v>
      </c>
      <c r="O270" s="16">
        <f>IFERROR(ROUNDDOWN(Table15[[#This Row],[R-DEMAND]]/1706,0),0)</f>
        <v>0</v>
      </c>
      <c r="P270" s="16">
        <f>IFERROR(Table15[[#This Row],[ADD ACC]]*Table15[[#This Row],[RT TIME 
(380-800)]],0)</f>
        <v>0</v>
      </c>
      <c r="Q270" s="415">
        <f>IFERROR(VLOOKUP(Table15[[#This Row],[ROUTE]],PRICING!A:B,2,FALSE),0)</f>
        <v>2610</v>
      </c>
      <c r="R270" s="235">
        <f>IFERROR(Table15[[#This Row],[C_DEMAND]]-Table15[[#This Row],[R-DEMAND]],0)</f>
        <v>1706</v>
      </c>
      <c r="S270" s="408">
        <f t="shared" si="4"/>
        <v>4452660</v>
      </c>
      <c r="T270" s="419">
        <f>Table15[[#This Row],[R-DEMAND]]-(Table15[[#This Row],[ADD ACC]]*1706)</f>
        <v>1579</v>
      </c>
      <c r="U270" s="419">
        <f>ROUNDDOWN(Table15[[#This Row],[Column1]]/1360,0)</f>
        <v>1</v>
      </c>
      <c r="V270" s="419"/>
      <c r="W270" s="251">
        <v>22</v>
      </c>
      <c r="X270" s="251">
        <f>ROUNDDOWN(Table15[[#This Row],[R-DEMAND]]/1320,0)</f>
        <v>1</v>
      </c>
      <c r="Y270" s="251">
        <f>IFERROR(Table15[[#This Row],[ADD ACC
(660/1320)]]*Table15[[#This Row],[Duration
(B744)]],0)</f>
        <v>22</v>
      </c>
      <c r="Z270" s="251"/>
    </row>
    <row r="271" spans="1:26" ht="15.75" customHeight="1" x14ac:dyDescent="0.25">
      <c r="A271" s="210" t="s">
        <v>15687</v>
      </c>
      <c r="B271" s="204" t="s">
        <v>122</v>
      </c>
      <c r="C271" s="204" t="s">
        <v>2</v>
      </c>
      <c r="D271" s="205">
        <v>5</v>
      </c>
      <c r="E271" s="204" t="s">
        <v>14</v>
      </c>
      <c r="F271" s="204" t="str">
        <f>VLOOKUP(E271,Table10[[COUNTRY NAME]:[CONTINENT CODE]],3,FALSE)</f>
        <v>AS</v>
      </c>
      <c r="G271" s="206" t="s">
        <v>121</v>
      </c>
      <c r="H271" s="207">
        <v>4733</v>
      </c>
      <c r="I271" s="208">
        <v>12.5</v>
      </c>
      <c r="J271" s="345">
        <v>225821469</v>
      </c>
      <c r="K271" s="345">
        <f>IFERROR(Table15[[#This Row],[ROUTE $]]/Table15[[#This Row],[E - DEMAND]],0)</f>
        <v>47154.201085821674</v>
      </c>
      <c r="L271" s="204">
        <v>4789</v>
      </c>
      <c r="M271" s="412">
        <f>IFERROR(VLOOKUP(Table15[[#This Row],[ROUTE]],DEMAND!A:F,5,FALSE),0)</f>
        <v>4981</v>
      </c>
      <c r="N271" s="16">
        <f>IFERROR(VLOOKUP(Table15[[#This Row],[ROUTE]],DEMAND!A:F,6,FALSE),0)</f>
        <v>1569</v>
      </c>
      <c r="O271" s="16">
        <f>IFERROR(ROUNDDOWN(Table15[[#This Row],[R-DEMAND]]/1706,0),0)</f>
        <v>0</v>
      </c>
      <c r="P271" s="16">
        <f>IFERROR(Table15[[#This Row],[ADD ACC]]*Table15[[#This Row],[RT TIME 
(380-800)]],0)</f>
        <v>0</v>
      </c>
      <c r="Q271" s="415">
        <f>IFERROR(VLOOKUP(Table15[[#This Row],[ROUTE]],PRICING!A:B,2,FALSE),0)</f>
        <v>1396</v>
      </c>
      <c r="R271" s="235">
        <f>IFERROR(Table15[[#This Row],[C_DEMAND]]-Table15[[#This Row],[R-DEMAND]],0)</f>
        <v>3412</v>
      </c>
      <c r="S271" s="408">
        <f t="shared" si="4"/>
        <v>4763152</v>
      </c>
      <c r="T271" s="419">
        <f>Table15[[#This Row],[R-DEMAND]]-(Table15[[#This Row],[ADD ACC]]*1706)</f>
        <v>1569</v>
      </c>
      <c r="U271" s="419">
        <f>ROUNDDOWN(Table15[[#This Row],[Column1]]/1360,0)</f>
        <v>1</v>
      </c>
      <c r="V271" s="419"/>
      <c r="W271" s="251">
        <v>12.5</v>
      </c>
      <c r="X271" s="251">
        <f>ROUNDDOWN(Table15[[#This Row],[R-DEMAND]]/1320,0)</f>
        <v>1</v>
      </c>
      <c r="Y271" s="251">
        <f>IFERROR(Table15[[#This Row],[ADD ACC
(660/1320)]]*Table15[[#This Row],[Duration
(B744)]],0)</f>
        <v>12.5</v>
      </c>
      <c r="Z271" s="251"/>
    </row>
    <row r="272" spans="1:26" ht="15.75" customHeight="1" x14ac:dyDescent="0.25">
      <c r="A272" s="210" t="s">
        <v>15775</v>
      </c>
      <c r="B272" s="204" t="s">
        <v>395</v>
      </c>
      <c r="C272" s="204" t="s">
        <v>2</v>
      </c>
      <c r="D272" s="205">
        <v>3</v>
      </c>
      <c r="E272" s="204" t="s">
        <v>1261</v>
      </c>
      <c r="F272" s="204" t="str">
        <f>VLOOKUP(E272,Table10[[COUNTRY NAME]:[CONTINENT CODE]],3,FALSE)</f>
        <v>AS</v>
      </c>
      <c r="G272" s="206" t="s">
        <v>12116</v>
      </c>
      <c r="H272" s="207">
        <v>3948</v>
      </c>
      <c r="I272" s="208">
        <v>10.75</v>
      </c>
      <c r="J272" s="345">
        <v>181493296</v>
      </c>
      <c r="K272" s="345">
        <f>IFERROR(Table15[[#This Row],[ROUTE $]]/Table15[[#This Row],[E - DEMAND]],0)</f>
        <v>39131.801638637342</v>
      </c>
      <c r="L272" s="204">
        <v>4638</v>
      </c>
      <c r="M272" s="412">
        <f>IFERROR(VLOOKUP(Table15[[#This Row],[ROUTE]],DEMAND!A:F,5,FALSE),0)</f>
        <v>4948</v>
      </c>
      <c r="N272" s="16">
        <f>IFERROR(VLOOKUP(Table15[[#This Row],[ROUTE]],DEMAND!A:F,6,FALSE),0)</f>
        <v>1536</v>
      </c>
      <c r="O272" s="16">
        <f>IFERROR(ROUNDDOWN(Table15[[#This Row],[R-DEMAND]]/1706,0),0)</f>
        <v>0</v>
      </c>
      <c r="P272" s="16">
        <f>IFERROR(Table15[[#This Row],[ADD ACC]]*Table15[[#This Row],[RT TIME 
(380-800)]],0)</f>
        <v>0</v>
      </c>
      <c r="Q272" s="415">
        <f>IFERROR(VLOOKUP(Table15[[#This Row],[ROUTE]],PRICING!A:B,2,FALSE),0)</f>
        <v>1074</v>
      </c>
      <c r="R272" s="235">
        <f>IFERROR(Table15[[#This Row],[C_DEMAND]]-Table15[[#This Row],[R-DEMAND]],0)</f>
        <v>3412</v>
      </c>
      <c r="S272" s="408">
        <f t="shared" si="4"/>
        <v>3664488</v>
      </c>
      <c r="T272" s="419">
        <f>Table15[[#This Row],[R-DEMAND]]-(Table15[[#This Row],[ADD ACC]]*1706)</f>
        <v>1536</v>
      </c>
      <c r="U272" s="419">
        <f>ROUNDDOWN(Table15[[#This Row],[Column1]]/1360,0)</f>
        <v>1</v>
      </c>
      <c r="V272" s="419"/>
      <c r="W272" s="251">
        <v>10.75</v>
      </c>
      <c r="X272" s="251">
        <f>ROUNDDOWN(Table15[[#This Row],[R-DEMAND]]/1320,0)</f>
        <v>1</v>
      </c>
      <c r="Y272" s="251">
        <f>IFERROR(Table15[[#This Row],[ADD ACC
(660/1320)]]*Table15[[#This Row],[Duration
(B744)]],0)</f>
        <v>10.75</v>
      </c>
      <c r="Z272" s="251"/>
    </row>
    <row r="273" spans="1:26" ht="15.75" customHeight="1" x14ac:dyDescent="0.25">
      <c r="A273" s="210" t="s">
        <v>15446</v>
      </c>
      <c r="B273" s="204" t="s">
        <v>5706</v>
      </c>
      <c r="C273" s="204" t="s">
        <v>2</v>
      </c>
      <c r="D273" s="205">
        <v>5</v>
      </c>
      <c r="E273" s="204" t="s">
        <v>560</v>
      </c>
      <c r="F273" s="204" t="str">
        <f>VLOOKUP(E273,Table10[[COUNTRY NAME]:[CONTINENT CODE]],3,FALSE)</f>
        <v>EU</v>
      </c>
      <c r="G273" s="206" t="s">
        <v>11052</v>
      </c>
      <c r="H273" s="207">
        <v>7008</v>
      </c>
      <c r="I273" s="208">
        <v>17.75</v>
      </c>
      <c r="J273" s="345">
        <v>240558086</v>
      </c>
      <c r="K273" s="345">
        <f>IFERROR(Table15[[#This Row],[ROUTE $]]/Table15[[#This Row],[E - DEMAND]],0)</f>
        <v>78077.924699772804</v>
      </c>
      <c r="L273" s="204">
        <v>3081</v>
      </c>
      <c r="M273" s="412">
        <f>IFERROR(VLOOKUP(Table15[[#This Row],[ROUTE]],DEMAND!A:F,5,FALSE),0)</f>
        <v>3225</v>
      </c>
      <c r="N273" s="16">
        <f>IFERROR(VLOOKUP(Table15[[#This Row],[ROUTE]],DEMAND!A:F,6,FALSE),0)</f>
        <v>1519</v>
      </c>
      <c r="O273" s="16">
        <f>IFERROR(ROUNDDOWN(Table15[[#This Row],[R-DEMAND]]/1706,0),0)</f>
        <v>0</v>
      </c>
      <c r="P273" s="16">
        <f>IFERROR(Table15[[#This Row],[ADD ACC]]*Table15[[#This Row],[RT TIME 
(380-800)]],0)</f>
        <v>0</v>
      </c>
      <c r="Q273" s="415">
        <f>IFERROR(VLOOKUP(Table15[[#This Row],[ROUTE]],PRICING!A:B,2,FALSE),0)</f>
        <v>1971</v>
      </c>
      <c r="R273" s="235">
        <f>IFERROR(Table15[[#This Row],[C_DEMAND]]-Table15[[#This Row],[R-DEMAND]],0)</f>
        <v>1706</v>
      </c>
      <c r="S273" s="408">
        <f t="shared" si="4"/>
        <v>3362526</v>
      </c>
      <c r="T273" s="419">
        <f>Table15[[#This Row],[R-DEMAND]]-(Table15[[#This Row],[ADD ACC]]*1706)</f>
        <v>1519</v>
      </c>
      <c r="U273" s="419">
        <f>ROUNDDOWN(Table15[[#This Row],[Column1]]/1360,0)</f>
        <v>1</v>
      </c>
      <c r="V273" s="419"/>
      <c r="W273" s="251">
        <v>17.75</v>
      </c>
      <c r="X273" s="251">
        <f>ROUNDDOWN(Table15[[#This Row],[R-DEMAND]]/1320,0)</f>
        <v>1</v>
      </c>
      <c r="Y273" s="251">
        <f>IFERROR(Table15[[#This Row],[ADD ACC
(660/1320)]]*Table15[[#This Row],[Duration
(B744)]],0)</f>
        <v>17.75</v>
      </c>
      <c r="Z273" s="251"/>
    </row>
    <row r="274" spans="1:26" ht="15.75" customHeight="1" x14ac:dyDescent="0.25">
      <c r="A274" s="210" t="s">
        <v>15291</v>
      </c>
      <c r="B274" s="204" t="s">
        <v>5509</v>
      </c>
      <c r="C274" s="204" t="s">
        <v>2</v>
      </c>
      <c r="D274" s="205">
        <v>4</v>
      </c>
      <c r="E274" s="204" t="s">
        <v>517</v>
      </c>
      <c r="F274" s="204" t="str">
        <f>VLOOKUP(E274,Table10[[COUNTRY NAME]:[CONTINENT CODE]],3,FALSE)</f>
        <v>SA</v>
      </c>
      <c r="G274" s="206" t="s">
        <v>13158</v>
      </c>
      <c r="H274" s="207">
        <v>12675</v>
      </c>
      <c r="I274" s="208">
        <v>30.25</v>
      </c>
      <c r="J274" s="345">
        <v>277215930</v>
      </c>
      <c r="K274" s="345">
        <f>IFERROR(Table15[[#This Row],[ROUTE $]]/Table15[[#This Row],[E - DEMAND]],0)</f>
        <v>60068.457204767066</v>
      </c>
      <c r="L274" s="204">
        <v>4615</v>
      </c>
      <c r="M274" s="412">
        <f>IFERROR(VLOOKUP(Table15[[#This Row],[ROUTE]],DEMAND!A:F,5,FALSE),0)</f>
        <v>4923</v>
      </c>
      <c r="N274" s="16">
        <f>IFERROR(VLOOKUP(Table15[[#This Row],[ROUTE]],DEMAND!A:F,6,FALSE),0)</f>
        <v>1511</v>
      </c>
      <c r="O274" s="16">
        <f>IFERROR(ROUNDDOWN(Table15[[#This Row],[R-DEMAND]]/1706,0),0)</f>
        <v>0</v>
      </c>
      <c r="P274" s="16">
        <f>IFERROR(Table15[[#This Row],[ADD ACC]]*Table15[[#This Row],[RT TIME 
(380-800)]],0)</f>
        <v>0</v>
      </c>
      <c r="Q274" s="415">
        <f>IFERROR(VLOOKUP(Table15[[#This Row],[ROUTE]],PRICING!A:B,2,FALSE),0)</f>
        <v>3239</v>
      </c>
      <c r="R274" s="235">
        <f>IFERROR(Table15[[#This Row],[C_DEMAND]]-Table15[[#This Row],[R-DEMAND]],0)</f>
        <v>3412</v>
      </c>
      <c r="S274" s="408">
        <f t="shared" si="4"/>
        <v>11051468</v>
      </c>
      <c r="T274" s="419">
        <f>Table15[[#This Row],[R-DEMAND]]-(Table15[[#This Row],[ADD ACC]]*1706)</f>
        <v>1511</v>
      </c>
      <c r="U274" s="419">
        <f>ROUNDDOWN(Table15[[#This Row],[Column1]]/1360,0)</f>
        <v>1</v>
      </c>
      <c r="V274" s="419"/>
      <c r="W274" s="251">
        <v>30.25</v>
      </c>
      <c r="X274" s="251">
        <f>ROUNDDOWN(Table15[[#This Row],[R-DEMAND]]/1320,0)</f>
        <v>1</v>
      </c>
      <c r="Y274" s="251">
        <f>IFERROR(Table15[[#This Row],[ADD ACC
(660/1320)]]*Table15[[#This Row],[Duration
(B744)]],0)</f>
        <v>30.25</v>
      </c>
      <c r="Z274" s="251"/>
    </row>
    <row r="275" spans="1:26" ht="15.75" customHeight="1" x14ac:dyDescent="0.25">
      <c r="A275" s="210" t="s">
        <v>15468</v>
      </c>
      <c r="B275" s="204" t="s">
        <v>5204</v>
      </c>
      <c r="C275" s="204" t="s">
        <v>2</v>
      </c>
      <c r="D275" s="205">
        <v>3</v>
      </c>
      <c r="E275" s="204" t="s">
        <v>142</v>
      </c>
      <c r="F275" s="204" t="str">
        <f>VLOOKUP(E275,Table10[[COUNTRY NAME]:[CONTINENT CODE]],3,FALSE)</f>
        <v>AS</v>
      </c>
      <c r="G275" s="206" t="s">
        <v>11997</v>
      </c>
      <c r="H275" s="207">
        <v>6821</v>
      </c>
      <c r="I275" s="208">
        <v>17.25</v>
      </c>
      <c r="J275" s="345">
        <v>210262989</v>
      </c>
      <c r="K275" s="345">
        <f>IFERROR(Table15[[#This Row],[ROUTE $]]/Table15[[#This Row],[E - DEMAND]],0)</f>
        <v>69715.845159151198</v>
      </c>
      <c r="L275" s="204">
        <v>3016</v>
      </c>
      <c r="M275" s="412">
        <f>IFERROR(VLOOKUP(Table15[[#This Row],[ROUTE]],DEMAND!A:F,5,FALSE),0)</f>
        <v>3207</v>
      </c>
      <c r="N275" s="16">
        <f>IFERROR(VLOOKUP(Table15[[#This Row],[ROUTE]],DEMAND!A:F,6,FALSE),0)</f>
        <v>1501</v>
      </c>
      <c r="O275" s="16">
        <f>IFERROR(ROUNDDOWN(Table15[[#This Row],[R-DEMAND]]/1706,0),0)</f>
        <v>0</v>
      </c>
      <c r="P275" s="16">
        <f>IFERROR(Table15[[#This Row],[ADD ACC]]*Table15[[#This Row],[RT TIME 
(380-800)]],0)</f>
        <v>0</v>
      </c>
      <c r="Q275" s="415">
        <f>IFERROR(VLOOKUP(Table15[[#This Row],[ROUTE]],PRICING!A:B,2,FALSE),0)</f>
        <v>1809</v>
      </c>
      <c r="R275" s="235">
        <f>IFERROR(Table15[[#This Row],[C_DEMAND]]-Table15[[#This Row],[R-DEMAND]],0)</f>
        <v>1706</v>
      </c>
      <c r="S275" s="408">
        <f t="shared" si="4"/>
        <v>3086154</v>
      </c>
      <c r="T275" s="419">
        <f>Table15[[#This Row],[R-DEMAND]]-(Table15[[#This Row],[ADD ACC]]*1706)</f>
        <v>1501</v>
      </c>
      <c r="U275" s="419">
        <f>ROUNDDOWN(Table15[[#This Row],[Column1]]/1360,0)</f>
        <v>1</v>
      </c>
      <c r="V275" s="419"/>
      <c r="W275" s="251">
        <v>17.25</v>
      </c>
      <c r="X275" s="251">
        <f>ROUNDDOWN(Table15[[#This Row],[R-DEMAND]]/1320,0)</f>
        <v>1</v>
      </c>
      <c r="Y275" s="251">
        <f>IFERROR(Table15[[#This Row],[ADD ACC
(660/1320)]]*Table15[[#This Row],[Duration
(B744)]],0)</f>
        <v>17.25</v>
      </c>
      <c r="Z275" s="251"/>
    </row>
    <row r="276" spans="1:26" ht="15.75" customHeight="1" x14ac:dyDescent="0.25">
      <c r="A276" s="210" t="s">
        <v>15488</v>
      </c>
      <c r="B276" s="204" t="s">
        <v>295</v>
      </c>
      <c r="C276" s="204" t="s">
        <v>2</v>
      </c>
      <c r="D276" s="205">
        <v>4</v>
      </c>
      <c r="E276" s="204" t="s">
        <v>1674</v>
      </c>
      <c r="F276" s="204" t="str">
        <f>VLOOKUP(E276,Table10[[COUNTRY NAME]:[CONTINENT CODE]],3,FALSE)</f>
        <v>EU</v>
      </c>
      <c r="G276" s="206" t="s">
        <v>11084</v>
      </c>
      <c r="H276" s="207">
        <v>6716</v>
      </c>
      <c r="I276" s="208">
        <v>17</v>
      </c>
      <c r="J276" s="345">
        <v>224337626</v>
      </c>
      <c r="K276" s="345">
        <f>IFERROR(Table15[[#This Row],[ROUTE $]]/Table15[[#This Row],[E - DEMAND]],0)</f>
        <v>73916.845469522246</v>
      </c>
      <c r="L276" s="204">
        <v>3035</v>
      </c>
      <c r="M276" s="412">
        <f>IFERROR(VLOOKUP(Table15[[#This Row],[ROUTE]],DEMAND!A:F,5,FALSE),0)</f>
        <v>3177</v>
      </c>
      <c r="N276" s="16">
        <f>IFERROR(VLOOKUP(Table15[[#This Row],[ROUTE]],DEMAND!A:F,6,FALSE),0)</f>
        <v>1471</v>
      </c>
      <c r="O276" s="16">
        <f>IFERROR(ROUNDDOWN(Table15[[#This Row],[R-DEMAND]]/1706,0),0)</f>
        <v>0</v>
      </c>
      <c r="P276" s="16">
        <f>IFERROR(Table15[[#This Row],[ADD ACC]]*Table15[[#This Row],[RT TIME 
(380-800)]],0)</f>
        <v>0</v>
      </c>
      <c r="Q276" s="415">
        <f>IFERROR(VLOOKUP(Table15[[#This Row],[ROUTE]],PRICING!A:B,2,FALSE),0)</f>
        <v>1892</v>
      </c>
      <c r="R276" s="235">
        <f>IFERROR(Table15[[#This Row],[C_DEMAND]]-Table15[[#This Row],[R-DEMAND]],0)</f>
        <v>1706</v>
      </c>
      <c r="S276" s="408">
        <f t="shared" si="4"/>
        <v>3227752</v>
      </c>
      <c r="T276" s="419">
        <f>Table15[[#This Row],[R-DEMAND]]-(Table15[[#This Row],[ADD ACC]]*1706)</f>
        <v>1471</v>
      </c>
      <c r="U276" s="419">
        <f>ROUNDDOWN(Table15[[#This Row],[Column1]]/1360,0)</f>
        <v>1</v>
      </c>
      <c r="V276" s="419"/>
      <c r="W276" s="251">
        <v>17</v>
      </c>
      <c r="X276" s="251">
        <f>ROUNDDOWN(Table15[[#This Row],[R-DEMAND]]/1320,0)</f>
        <v>1</v>
      </c>
      <c r="Y276" s="251">
        <f>IFERROR(Table15[[#This Row],[ADD ACC
(660/1320)]]*Table15[[#This Row],[Duration
(B744)]],0)</f>
        <v>17</v>
      </c>
      <c r="Z276" s="251"/>
    </row>
    <row r="277" spans="1:26" ht="15.75" customHeight="1" x14ac:dyDescent="0.25">
      <c r="A277" s="210" t="s">
        <v>15306</v>
      </c>
      <c r="B277" s="204" t="s">
        <v>452</v>
      </c>
      <c r="C277" s="204" t="s">
        <v>2</v>
      </c>
      <c r="D277" s="205">
        <v>4</v>
      </c>
      <c r="E277" s="204" t="s">
        <v>730</v>
      </c>
      <c r="F277" s="204" t="str">
        <f>VLOOKUP(E277,Table10[[COUNTRY NAME]:[CONTINENT CODE]],3,FALSE)</f>
        <v>OC</v>
      </c>
      <c r="G277" s="206" t="s">
        <v>11116</v>
      </c>
      <c r="H277" s="207">
        <v>12307</v>
      </c>
      <c r="I277" s="208">
        <v>29.5</v>
      </c>
      <c r="J277" s="345">
        <v>281833277</v>
      </c>
      <c r="K277" s="345">
        <f>IFERROR(Table15[[#This Row],[ROUTE $]]/Table15[[#This Row],[E - DEMAND]],0)</f>
        <v>61751.375328659073</v>
      </c>
      <c r="L277" s="204">
        <v>4564</v>
      </c>
      <c r="M277" s="412">
        <f>IFERROR(VLOOKUP(Table15[[#This Row],[ROUTE]],DEMAND!A:F,5,FALSE),0)</f>
        <v>4853</v>
      </c>
      <c r="N277" s="16">
        <f>IFERROR(VLOOKUP(Table15[[#This Row],[ROUTE]],DEMAND!A:F,6,FALSE),0)</f>
        <v>1441</v>
      </c>
      <c r="O277" s="16">
        <f>IFERROR(ROUNDDOWN(Table15[[#This Row],[R-DEMAND]]/1706,0),0)</f>
        <v>0</v>
      </c>
      <c r="P277" s="16">
        <f>IFERROR(Table15[[#This Row],[ADD ACC]]*Table15[[#This Row],[RT TIME 
(380-800)]],0)</f>
        <v>0</v>
      </c>
      <c r="Q277" s="415">
        <f>IFERROR(VLOOKUP(Table15[[#This Row],[ROUTE]],PRICING!A:B,2,FALSE),0)</f>
        <v>3187</v>
      </c>
      <c r="R277" s="235">
        <f>IFERROR(Table15[[#This Row],[C_DEMAND]]-Table15[[#This Row],[R-DEMAND]],0)</f>
        <v>3412</v>
      </c>
      <c r="S277" s="408">
        <f t="shared" si="4"/>
        <v>10874044</v>
      </c>
      <c r="T277" s="419">
        <f>Table15[[#This Row],[R-DEMAND]]-(Table15[[#This Row],[ADD ACC]]*1706)</f>
        <v>1441</v>
      </c>
      <c r="U277" s="419">
        <f>ROUNDDOWN(Table15[[#This Row],[Column1]]/1360,0)</f>
        <v>1</v>
      </c>
      <c r="V277" s="419"/>
      <c r="W277" s="251">
        <v>29.5</v>
      </c>
      <c r="X277" s="251">
        <f>ROUNDDOWN(Table15[[#This Row],[R-DEMAND]]/1320,0)</f>
        <v>1</v>
      </c>
      <c r="Y277" s="251">
        <f>IFERROR(Table15[[#This Row],[ADD ACC
(660/1320)]]*Table15[[#This Row],[Duration
(B744)]],0)</f>
        <v>29.5</v>
      </c>
      <c r="Z277" s="251"/>
    </row>
    <row r="278" spans="1:26" ht="15.75" customHeight="1" x14ac:dyDescent="0.25">
      <c r="A278" s="210" t="s">
        <v>15890</v>
      </c>
      <c r="B278" s="204" t="s">
        <v>357</v>
      </c>
      <c r="C278" s="204" t="s">
        <v>2</v>
      </c>
      <c r="D278" s="205">
        <v>3</v>
      </c>
      <c r="E278" s="204" t="s">
        <v>332</v>
      </c>
      <c r="F278" s="204" t="str">
        <f>VLOOKUP(E278,Table10[[COUNTRY NAME]:[CONTINENT CODE]],3,FALSE)</f>
        <v>AS</v>
      </c>
      <c r="G278" s="206" t="s">
        <v>12086</v>
      </c>
      <c r="H278" s="207">
        <v>2743</v>
      </c>
      <c r="I278" s="208">
        <v>8.25</v>
      </c>
      <c r="J278" s="345">
        <v>168391885</v>
      </c>
      <c r="K278" s="345">
        <f>IFERROR(Table15[[#This Row],[ROUTE $]]/Table15[[#This Row],[E - DEMAND]],0)</f>
        <v>36646.764961915127</v>
      </c>
      <c r="L278" s="204">
        <v>4595</v>
      </c>
      <c r="M278" s="412">
        <f>IFERROR(VLOOKUP(Table15[[#This Row],[ROUTE]],DEMAND!A:F,5,FALSE),0)</f>
        <v>4826</v>
      </c>
      <c r="N278" s="16">
        <f>IFERROR(VLOOKUP(Table15[[#This Row],[ROUTE]],DEMAND!A:F,6,FALSE),0)</f>
        <v>1414</v>
      </c>
      <c r="O278" s="16">
        <f>IFERROR(ROUNDDOWN(Table15[[#This Row],[R-DEMAND]]/1706,0),0)</f>
        <v>0</v>
      </c>
      <c r="P278" s="16">
        <f>IFERROR(Table15[[#This Row],[ADD ACC]]*Table15[[#This Row],[RT TIME 
(380-800)]],0)</f>
        <v>0</v>
      </c>
      <c r="Q278" s="415">
        <f>IFERROR(VLOOKUP(Table15[[#This Row],[ROUTE]],PRICING!A:B,2,FALSE),0)</f>
        <v>824</v>
      </c>
      <c r="R278" s="235">
        <f>IFERROR(Table15[[#This Row],[C_DEMAND]]-Table15[[#This Row],[R-DEMAND]],0)</f>
        <v>3412</v>
      </c>
      <c r="S278" s="408">
        <f t="shared" si="4"/>
        <v>2811488</v>
      </c>
      <c r="T278" s="419">
        <f>Table15[[#This Row],[R-DEMAND]]-(Table15[[#This Row],[ADD ACC]]*1706)</f>
        <v>1414</v>
      </c>
      <c r="U278" s="419">
        <f>ROUNDDOWN(Table15[[#This Row],[Column1]]/1360,0)</f>
        <v>1</v>
      </c>
      <c r="V278" s="419"/>
      <c r="W278" s="251">
        <v>8.25</v>
      </c>
      <c r="X278" s="251">
        <f>ROUNDDOWN(Table15[[#This Row],[R-DEMAND]]/1320,0)</f>
        <v>1</v>
      </c>
      <c r="Y278" s="251">
        <f>IFERROR(Table15[[#This Row],[ADD ACC
(660/1320)]]*Table15[[#This Row],[Duration
(B744)]],0)</f>
        <v>8.25</v>
      </c>
      <c r="Z278" s="251"/>
    </row>
    <row r="279" spans="1:26" ht="15.75" customHeight="1" x14ac:dyDescent="0.25">
      <c r="A279" s="210" t="s">
        <v>15614</v>
      </c>
      <c r="B279" s="204" t="s">
        <v>328</v>
      </c>
      <c r="C279" s="204" t="s">
        <v>2</v>
      </c>
      <c r="D279" s="205">
        <v>4</v>
      </c>
      <c r="E279" s="204" t="s">
        <v>1261</v>
      </c>
      <c r="F279" s="204" t="str">
        <f>VLOOKUP(E279,Table10[[COUNTRY NAME]:[CONTINENT CODE]],3,FALSE)</f>
        <v>AS</v>
      </c>
      <c r="G279" s="206" t="s">
        <v>11089</v>
      </c>
      <c r="H279" s="207">
        <v>5575</v>
      </c>
      <c r="I279" s="208">
        <v>14.5</v>
      </c>
      <c r="J279" s="345">
        <v>204683960</v>
      </c>
      <c r="K279" s="345">
        <f>IFERROR(Table15[[#This Row],[ROUTE $]]/Table15[[#This Row],[E - DEMAND]],0)</f>
        <v>45204.05477031802</v>
      </c>
      <c r="L279" s="204">
        <v>4528</v>
      </c>
      <c r="M279" s="412">
        <f>IFERROR(VLOOKUP(Table15[[#This Row],[ROUTE]],DEMAND!A:F,5,FALSE),0)</f>
        <v>4815</v>
      </c>
      <c r="N279" s="16">
        <f>IFERROR(VLOOKUP(Table15[[#This Row],[ROUTE]],DEMAND!A:F,6,FALSE),0)</f>
        <v>1403</v>
      </c>
      <c r="O279" s="16">
        <f>IFERROR(ROUNDDOWN(Table15[[#This Row],[R-DEMAND]]/1706,0),0)</f>
        <v>0</v>
      </c>
      <c r="P279" s="16">
        <f>IFERROR(Table15[[#This Row],[ADD ACC]]*Table15[[#This Row],[RT TIME 
(380-800)]],0)</f>
        <v>0</v>
      </c>
      <c r="Q279" s="415">
        <f>IFERROR(VLOOKUP(Table15[[#This Row],[ROUTE]],PRICING!A:B,2,FALSE),0)</f>
        <v>1496</v>
      </c>
      <c r="R279" s="235">
        <f>IFERROR(Table15[[#This Row],[C_DEMAND]]-Table15[[#This Row],[R-DEMAND]],0)</f>
        <v>3412</v>
      </c>
      <c r="S279" s="408">
        <f t="shared" si="4"/>
        <v>5104352</v>
      </c>
      <c r="T279" s="419">
        <f>Table15[[#This Row],[R-DEMAND]]-(Table15[[#This Row],[ADD ACC]]*1706)</f>
        <v>1403</v>
      </c>
      <c r="U279" s="419">
        <f>ROUNDDOWN(Table15[[#This Row],[Column1]]/1360,0)</f>
        <v>1</v>
      </c>
      <c r="V279" s="419"/>
      <c r="W279" s="251">
        <v>14.5</v>
      </c>
      <c r="X279" s="251">
        <f>ROUNDDOWN(Table15[[#This Row],[R-DEMAND]]/1320,0)</f>
        <v>1</v>
      </c>
      <c r="Y279" s="251">
        <f>IFERROR(Table15[[#This Row],[ADD ACC
(660/1320)]]*Table15[[#This Row],[Duration
(B744)]],0)</f>
        <v>14.5</v>
      </c>
      <c r="Z279" s="251"/>
    </row>
    <row r="280" spans="1:26" ht="15.75" customHeight="1" x14ac:dyDescent="0.25">
      <c r="A280" s="210" t="s">
        <v>15952</v>
      </c>
      <c r="B280" s="204" t="s">
        <v>355</v>
      </c>
      <c r="C280" s="204" t="s">
        <v>67</v>
      </c>
      <c r="D280" s="205">
        <v>3</v>
      </c>
      <c r="E280" s="204" t="s">
        <v>1070</v>
      </c>
      <c r="F280" s="204" t="str">
        <f>VLOOKUP(E280,Table10[[COUNTRY NAME]:[CONTINENT CODE]],3,FALSE)</f>
        <v>AS</v>
      </c>
      <c r="G280" s="206" t="s">
        <v>12069</v>
      </c>
      <c r="H280" s="207">
        <v>1064</v>
      </c>
      <c r="I280" s="208">
        <v>4.5</v>
      </c>
      <c r="J280" s="345">
        <v>155599431</v>
      </c>
      <c r="K280" s="345">
        <f>IFERROR(Table15[[#This Row],[ROUTE $]]/Table15[[#This Row],[E - DEMAND]],0)</f>
        <v>34242.832526408449</v>
      </c>
      <c r="L280" s="204">
        <v>4544</v>
      </c>
      <c r="M280" s="412">
        <f>IFERROR(VLOOKUP(Table15[[#This Row],[ROUTE]],DEMAND!A:F,5,FALSE),0)</f>
        <v>4743</v>
      </c>
      <c r="N280" s="16">
        <f>IFERROR(VLOOKUP(Table15[[#This Row],[ROUTE]],DEMAND!A:F,6,FALSE),0)</f>
        <v>1331</v>
      </c>
      <c r="O280" s="16">
        <f>IFERROR(ROUNDDOWN(Table15[[#This Row],[R-DEMAND]]/1706,0),0)</f>
        <v>0</v>
      </c>
      <c r="P280" s="16">
        <f>IFERROR(Table15[[#This Row],[ADD ACC]]*Table15[[#This Row],[RT TIME 
(380-800)]],0)</f>
        <v>0</v>
      </c>
      <c r="Q280" s="415">
        <f>IFERROR(VLOOKUP(Table15[[#This Row],[ROUTE]],PRICING!A:B,2,FALSE),0)</f>
        <v>390</v>
      </c>
      <c r="R280" s="235">
        <f>IFERROR(Table15[[#This Row],[C_DEMAND]]-Table15[[#This Row],[R-DEMAND]],0)</f>
        <v>3412</v>
      </c>
      <c r="S280" s="408">
        <f t="shared" si="4"/>
        <v>1330680</v>
      </c>
      <c r="T280" s="419">
        <f>Table15[[#This Row],[R-DEMAND]]-(Table15[[#This Row],[ADD ACC]]*1706)</f>
        <v>1331</v>
      </c>
      <c r="U280" s="419">
        <f>ROUNDDOWN(Table15[[#This Row],[Column1]]/1360,0)</f>
        <v>0</v>
      </c>
      <c r="V280" s="419"/>
      <c r="W280" s="251">
        <v>4.5</v>
      </c>
      <c r="X280" s="251">
        <f>ROUNDDOWN(Table15[[#This Row],[R-DEMAND]]/1320,0)</f>
        <v>1</v>
      </c>
      <c r="Y280" s="251">
        <f>IFERROR(Table15[[#This Row],[ADD ACC
(660/1320)]]*Table15[[#This Row],[Duration
(B744)]],0)</f>
        <v>4.5</v>
      </c>
      <c r="Z280" s="251"/>
    </row>
    <row r="281" spans="1:26" ht="15.75" customHeight="1" x14ac:dyDescent="0.25">
      <c r="A281" s="210" t="s">
        <v>15241</v>
      </c>
      <c r="B281" s="204" t="s">
        <v>5485</v>
      </c>
      <c r="C281" s="204" t="s">
        <v>2</v>
      </c>
      <c r="D281" s="205">
        <v>4</v>
      </c>
      <c r="E281" s="204" t="s">
        <v>517</v>
      </c>
      <c r="F281" s="204" t="str">
        <f>VLOOKUP(E281,Table10[[COUNTRY NAME]:[CONTINENT CODE]],3,FALSE)</f>
        <v>SA</v>
      </c>
      <c r="G281" s="206" t="s">
        <v>13160</v>
      </c>
      <c r="H281" s="207">
        <v>13433</v>
      </c>
      <c r="I281" s="208">
        <v>32</v>
      </c>
      <c r="J281" s="345">
        <v>284176576</v>
      </c>
      <c r="K281" s="345">
        <f>IFERROR(Table15[[#This Row],[ROUTE $]]/Table15[[#This Row],[E - DEMAND]],0)</f>
        <v>61966.109027474922</v>
      </c>
      <c r="L281" s="204">
        <v>4586</v>
      </c>
      <c r="M281" s="412">
        <f>IFERROR(VLOOKUP(Table15[[#This Row],[ROUTE]],DEMAND!A:F,5,FALSE),0)</f>
        <v>4739</v>
      </c>
      <c r="N281" s="16">
        <f>IFERROR(VLOOKUP(Table15[[#This Row],[ROUTE]],DEMAND!A:F,6,FALSE),0)</f>
        <v>1327</v>
      </c>
      <c r="O281" s="16">
        <f>IFERROR(ROUNDDOWN(Table15[[#This Row],[R-DEMAND]]/1706,0),0)</f>
        <v>0</v>
      </c>
      <c r="P281" s="16">
        <f>IFERROR(Table15[[#This Row],[ADD ACC]]*Table15[[#This Row],[RT TIME 
(380-800)]],0)</f>
        <v>0</v>
      </c>
      <c r="Q281" s="415">
        <f>IFERROR(VLOOKUP(Table15[[#This Row],[ROUTE]],PRICING!A:B,2,FALSE),0)</f>
        <v>3855</v>
      </c>
      <c r="R281" s="235">
        <f>IFERROR(Table15[[#This Row],[C_DEMAND]]-Table15[[#This Row],[R-DEMAND]],0)</f>
        <v>3412</v>
      </c>
      <c r="S281" s="408">
        <f t="shared" si="4"/>
        <v>13153260</v>
      </c>
      <c r="T281" s="419">
        <f>Table15[[#This Row],[R-DEMAND]]-(Table15[[#This Row],[ADD ACC]]*1706)</f>
        <v>1327</v>
      </c>
      <c r="U281" s="419">
        <f>ROUNDDOWN(Table15[[#This Row],[Column1]]/1360,0)</f>
        <v>0</v>
      </c>
      <c r="V281" s="419"/>
      <c r="W281" s="251">
        <v>32</v>
      </c>
      <c r="X281" s="251">
        <f>ROUNDDOWN(Table15[[#This Row],[R-DEMAND]]/1320,0)</f>
        <v>1</v>
      </c>
      <c r="Y281" s="251">
        <f>IFERROR(Table15[[#This Row],[ADD ACC
(660/1320)]]*Table15[[#This Row],[Duration
(B744)]],0)</f>
        <v>32</v>
      </c>
      <c r="Z281" s="251"/>
    </row>
    <row r="282" spans="1:26" ht="15.75" customHeight="1" x14ac:dyDescent="0.25">
      <c r="A282" s="210" t="s">
        <v>15318</v>
      </c>
      <c r="B282" s="204" t="s">
        <v>5425</v>
      </c>
      <c r="C282" s="204" t="s">
        <v>2</v>
      </c>
      <c r="D282" s="205">
        <v>3</v>
      </c>
      <c r="E282" s="204" t="s">
        <v>517</v>
      </c>
      <c r="F282" s="204" t="str">
        <f>VLOOKUP(E282,Table10[[COUNTRY NAME]:[CONTINENT CODE]],3,FALSE)</f>
        <v>SA</v>
      </c>
      <c r="G282" s="206" t="s">
        <v>13156</v>
      </c>
      <c r="H282" s="207">
        <v>12167</v>
      </c>
      <c r="I282" s="208">
        <v>29</v>
      </c>
      <c r="J282" s="345">
        <v>269202991</v>
      </c>
      <c r="K282" s="345">
        <f>IFERROR(Table15[[#This Row],[ROUTE $]]/Table15[[#This Row],[E - DEMAND]],0)</f>
        <v>59956.122717149221</v>
      </c>
      <c r="L282" s="204">
        <v>4490</v>
      </c>
      <c r="M282" s="412">
        <f>IFERROR(VLOOKUP(Table15[[#This Row],[ROUTE]],DEMAND!A:F,5,FALSE),0)</f>
        <v>4714</v>
      </c>
      <c r="N282" s="16">
        <f>IFERROR(VLOOKUP(Table15[[#This Row],[ROUTE]],DEMAND!A:F,6,FALSE),0)</f>
        <v>1302</v>
      </c>
      <c r="O282" s="16">
        <f>IFERROR(ROUNDDOWN(Table15[[#This Row],[R-DEMAND]]/1706,0),0)</f>
        <v>0</v>
      </c>
      <c r="P282" s="16">
        <f>IFERROR(Table15[[#This Row],[ADD ACC]]*Table15[[#This Row],[RT TIME 
(380-800)]],0)</f>
        <v>0</v>
      </c>
      <c r="Q282" s="415">
        <f>IFERROR(VLOOKUP(Table15[[#This Row],[ROUTE]],PRICING!A:B,2,FALSE),0)</f>
        <v>3307</v>
      </c>
      <c r="R282" s="235">
        <f>IFERROR(Table15[[#This Row],[C_DEMAND]]-Table15[[#This Row],[R-DEMAND]],0)</f>
        <v>3412</v>
      </c>
      <c r="S282" s="408">
        <f t="shared" si="4"/>
        <v>11283484</v>
      </c>
      <c r="T282" s="419">
        <f>Table15[[#This Row],[R-DEMAND]]-(Table15[[#This Row],[ADD ACC]]*1706)</f>
        <v>1302</v>
      </c>
      <c r="U282" s="419">
        <f>ROUNDDOWN(Table15[[#This Row],[Column1]]/1360,0)</f>
        <v>0</v>
      </c>
      <c r="V282" s="419"/>
      <c r="W282" s="251">
        <v>29</v>
      </c>
      <c r="X282" s="251">
        <f>ROUNDDOWN(Table15[[#This Row],[R-DEMAND]]/1320,0)</f>
        <v>0</v>
      </c>
      <c r="Y282" s="251">
        <f>IFERROR(Table15[[#This Row],[ADD ACC
(660/1320)]]*Table15[[#This Row],[Duration
(B744)]],0)</f>
        <v>0</v>
      </c>
      <c r="Z282" s="251"/>
    </row>
    <row r="283" spans="1:26" ht="15.75" customHeight="1" x14ac:dyDescent="0.25">
      <c r="A283" s="210" t="s">
        <v>15210</v>
      </c>
      <c r="B283" s="204" t="s">
        <v>5380</v>
      </c>
      <c r="C283" s="204" t="s">
        <v>2</v>
      </c>
      <c r="D283" s="205">
        <v>3</v>
      </c>
      <c r="E283" s="204" t="s">
        <v>517</v>
      </c>
      <c r="F283" s="204" t="str">
        <f>VLOOKUP(E283,Table10[[COUNTRY NAME]:[CONTINENT CODE]],3,FALSE)</f>
        <v>SA</v>
      </c>
      <c r="G283" s="206" t="s">
        <v>13162</v>
      </c>
      <c r="H283" s="207">
        <v>13819</v>
      </c>
      <c r="I283" s="208">
        <v>32.75</v>
      </c>
      <c r="J283" s="345">
        <v>285128851</v>
      </c>
      <c r="K283" s="345">
        <f>IFERROR(Table15[[#This Row],[ROUTE $]]/Table15[[#This Row],[E - DEMAND]],0)</f>
        <v>64117.124128626041</v>
      </c>
      <c r="L283" s="204">
        <v>4447</v>
      </c>
      <c r="M283" s="412">
        <f>IFERROR(VLOOKUP(Table15[[#This Row],[ROUTE]],DEMAND!A:F,5,FALSE),0)</f>
        <v>4684</v>
      </c>
      <c r="N283" s="16">
        <f>IFERROR(VLOOKUP(Table15[[#This Row],[ROUTE]],DEMAND!A:F,6,FALSE),0)</f>
        <v>1272</v>
      </c>
      <c r="O283" s="16">
        <f>IFERROR(ROUNDDOWN(Table15[[#This Row],[R-DEMAND]]/1706,0),0)</f>
        <v>0</v>
      </c>
      <c r="P283" s="16">
        <f>IFERROR(Table15[[#This Row],[ADD ACC]]*Table15[[#This Row],[RT TIME 
(380-800)]],0)</f>
        <v>0</v>
      </c>
      <c r="Q283" s="415">
        <f>IFERROR(VLOOKUP(Table15[[#This Row],[ROUTE]],PRICING!A:B,2,FALSE),0)</f>
        <v>3698</v>
      </c>
      <c r="R283" s="235">
        <f>IFERROR(Table15[[#This Row],[C_DEMAND]]-Table15[[#This Row],[R-DEMAND]],0)</f>
        <v>3412</v>
      </c>
      <c r="S283" s="408">
        <f t="shared" si="4"/>
        <v>12617576</v>
      </c>
      <c r="T283" s="419">
        <f>Table15[[#This Row],[R-DEMAND]]-(Table15[[#This Row],[ADD ACC]]*1706)</f>
        <v>1272</v>
      </c>
      <c r="U283" s="419">
        <f>ROUNDDOWN(Table15[[#This Row],[Column1]]/1360,0)</f>
        <v>0</v>
      </c>
      <c r="V283" s="419"/>
      <c r="W283" s="349"/>
      <c r="X283" s="349"/>
      <c r="Y283" s="349"/>
      <c r="Z283" s="349"/>
    </row>
    <row r="284" spans="1:26" ht="15.75" customHeight="1" x14ac:dyDescent="0.25">
      <c r="A284" s="210" t="s">
        <v>15618</v>
      </c>
      <c r="B284" s="204" t="s">
        <v>259</v>
      </c>
      <c r="C284" s="204" t="s">
        <v>2</v>
      </c>
      <c r="D284" s="205">
        <v>5</v>
      </c>
      <c r="E284" s="204" t="s">
        <v>258</v>
      </c>
      <c r="F284" s="204" t="str">
        <f>VLOOKUP(E284,Table10[[COUNTRY NAME]:[CONTINENT CODE]],3,FALSE)</f>
        <v>AS</v>
      </c>
      <c r="G284" s="206" t="s">
        <v>257</v>
      </c>
      <c r="H284" s="207">
        <v>5548</v>
      </c>
      <c r="I284" s="208">
        <v>14.5</v>
      </c>
      <c r="J284" s="345">
        <v>226586175</v>
      </c>
      <c r="K284" s="345">
        <f>IFERROR(Table15[[#This Row],[ROUTE $]]/Table15[[#This Row],[E - DEMAND]],0)</f>
        <v>51625.922761449074</v>
      </c>
      <c r="L284" s="204">
        <v>4389</v>
      </c>
      <c r="M284" s="412">
        <f>IFERROR(VLOOKUP(Table15[[#This Row],[ROUTE]],DEMAND!A:F,5,FALSE),0)</f>
        <v>4667</v>
      </c>
      <c r="N284" s="16">
        <f>IFERROR(VLOOKUP(Table15[[#This Row],[ROUTE]],DEMAND!A:F,6,FALSE),0)</f>
        <v>1255</v>
      </c>
      <c r="O284" s="16">
        <f>IFERROR(ROUNDDOWN(Table15[[#This Row],[R-DEMAND]]/1706,0),0)</f>
        <v>0</v>
      </c>
      <c r="P284" s="16">
        <f>IFERROR(Table15[[#This Row],[ADD ACC]]*Table15[[#This Row],[RT TIME 
(380-800)]],0)</f>
        <v>0</v>
      </c>
      <c r="Q284" s="415">
        <f>IFERROR(VLOOKUP(Table15[[#This Row],[ROUTE]],PRICING!A:B,2,FALSE),0)</f>
        <v>1489</v>
      </c>
      <c r="R284" s="235">
        <f>IFERROR(Table15[[#This Row],[C_DEMAND]]-Table15[[#This Row],[R-DEMAND]],0)</f>
        <v>3412</v>
      </c>
      <c r="S284" s="408">
        <f t="shared" si="4"/>
        <v>5080468</v>
      </c>
      <c r="T284" s="419">
        <f>Table15[[#This Row],[R-DEMAND]]-(Table15[[#This Row],[ADD ACC]]*1706)</f>
        <v>1255</v>
      </c>
      <c r="U284" s="419">
        <f>ROUNDDOWN(Table15[[#This Row],[Column1]]/1360,0)</f>
        <v>0</v>
      </c>
      <c r="V284" s="419"/>
      <c r="W284" s="251">
        <v>14.5</v>
      </c>
      <c r="X284" s="251">
        <f>ROUNDDOWN(Table15[[#This Row],[R-DEMAND]]/1320,0)</f>
        <v>0</v>
      </c>
      <c r="Y284" s="251">
        <f>IFERROR(Table15[[#This Row],[ADD ACC
(660/1320)]]*Table15[[#This Row],[Duration
(B744)]],0)</f>
        <v>0</v>
      </c>
      <c r="Z284" s="251"/>
    </row>
    <row r="285" spans="1:26" ht="15.75" customHeight="1" x14ac:dyDescent="0.25">
      <c r="A285" s="210" t="s">
        <v>15335</v>
      </c>
      <c r="B285" s="204" t="s">
        <v>71</v>
      </c>
      <c r="C285" s="204" t="s">
        <v>2</v>
      </c>
      <c r="D285" s="205">
        <v>5</v>
      </c>
      <c r="E285" s="204" t="s">
        <v>774</v>
      </c>
      <c r="F285" s="204" t="str">
        <f>VLOOKUP(E285,Table10[[COUNTRY NAME]:[CONTINENT CODE]],3,FALSE)</f>
        <v>OC</v>
      </c>
      <c r="G285" s="206" t="s">
        <v>12010</v>
      </c>
      <c r="H285" s="207">
        <v>10161</v>
      </c>
      <c r="I285" s="208">
        <v>24.75</v>
      </c>
      <c r="J285" s="345">
        <v>276080736</v>
      </c>
      <c r="K285" s="345">
        <f>IFERROR(Table15[[#This Row],[ROUTE $]]/Table15[[#This Row],[E - DEMAND]],0)</f>
        <v>62574.962828649135</v>
      </c>
      <c r="L285" s="204">
        <v>4412</v>
      </c>
      <c r="M285" s="412">
        <f>IFERROR(VLOOKUP(Table15[[#This Row],[ROUTE]],DEMAND!A:F,5,FALSE),0)</f>
        <v>4648</v>
      </c>
      <c r="N285" s="16">
        <f>IFERROR(VLOOKUP(Table15[[#This Row],[ROUTE]],DEMAND!A:F,6,FALSE),0)</f>
        <v>1236</v>
      </c>
      <c r="O285" s="16">
        <f>IFERROR(ROUNDDOWN(Table15[[#This Row],[R-DEMAND]]/1706,0),0)</f>
        <v>0</v>
      </c>
      <c r="P285" s="16">
        <f>IFERROR(Table15[[#This Row],[ADD ACC]]*Table15[[#This Row],[RT TIME 
(380-800)]],0)</f>
        <v>0</v>
      </c>
      <c r="Q285" s="415">
        <f>IFERROR(VLOOKUP(Table15[[#This Row],[ROUTE]],PRICING!A:B,2,FALSE),0)</f>
        <v>2745</v>
      </c>
      <c r="R285" s="235">
        <f>IFERROR(Table15[[#This Row],[C_DEMAND]]-Table15[[#This Row],[R-DEMAND]],0)</f>
        <v>3412</v>
      </c>
      <c r="S285" s="408">
        <f t="shared" si="4"/>
        <v>9365940</v>
      </c>
      <c r="T285" s="419">
        <f>Table15[[#This Row],[R-DEMAND]]-(Table15[[#This Row],[ADD ACC]]*1706)</f>
        <v>1236</v>
      </c>
      <c r="U285" s="419">
        <f>ROUNDDOWN(Table15[[#This Row],[Column1]]/1360,0)</f>
        <v>0</v>
      </c>
      <c r="V285" s="419"/>
      <c r="W285" s="251">
        <v>24.75</v>
      </c>
      <c r="X285" s="251">
        <f>ROUNDDOWN(Table15[[#This Row],[R-DEMAND]]/1320,0)</f>
        <v>0</v>
      </c>
      <c r="Y285" s="251">
        <f>IFERROR(Table15[[#This Row],[ADD ACC
(660/1320)]]*Table15[[#This Row],[Duration
(B744)]],0)</f>
        <v>0</v>
      </c>
      <c r="Z285" s="251"/>
    </row>
    <row r="286" spans="1:26" ht="15.75" customHeight="1" x14ac:dyDescent="0.25">
      <c r="A286" s="210" t="s">
        <v>15197</v>
      </c>
      <c r="B286" s="204" t="s">
        <v>5079</v>
      </c>
      <c r="C286" s="204" t="s">
        <v>2</v>
      </c>
      <c r="D286" s="205">
        <v>3</v>
      </c>
      <c r="E286" s="204" t="s">
        <v>5077</v>
      </c>
      <c r="F286" s="204" t="str">
        <f>VLOOKUP(E286,Table10[[COUNTRY NAME]:[CONTINENT CODE]],3,FALSE)</f>
        <v>NA</v>
      </c>
      <c r="G286" s="206" t="s">
        <v>5078</v>
      </c>
      <c r="H286" s="207">
        <v>14012</v>
      </c>
      <c r="I286" s="208">
        <v>33.25</v>
      </c>
      <c r="J286" s="345">
        <v>278674815</v>
      </c>
      <c r="K286" s="345">
        <f>IFERROR(Table15[[#This Row],[ROUTE $]]/Table15[[#This Row],[E - DEMAND]],0)</f>
        <v>97918.065706254391</v>
      </c>
      <c r="L286" s="204">
        <v>2846</v>
      </c>
      <c r="M286" s="412">
        <f>IFERROR(VLOOKUP(Table15[[#This Row],[ROUTE]],DEMAND!A:F,5,FALSE),0)</f>
        <v>2941</v>
      </c>
      <c r="N286" s="16">
        <f>IFERROR(VLOOKUP(Table15[[#This Row],[ROUTE]],DEMAND!A:F,6,FALSE),0)</f>
        <v>1235</v>
      </c>
      <c r="O286" s="16">
        <f>IFERROR(ROUNDDOWN(Table15[[#This Row],[R-DEMAND]]/1706,0),0)</f>
        <v>0</v>
      </c>
      <c r="P286" s="16">
        <f>IFERROR(Table15[[#This Row],[ADD ACC]]*Table15[[#This Row],[RT TIME 
(380-800)]],0)</f>
        <v>0</v>
      </c>
      <c r="Q286" s="415">
        <f>IFERROR(VLOOKUP(Table15[[#This Row],[ROUTE]],PRICING!A:B,2,FALSE),0)</f>
        <v>4016</v>
      </c>
      <c r="R286" s="235">
        <f>IFERROR(Table15[[#This Row],[C_DEMAND]]-Table15[[#This Row],[R-DEMAND]],0)</f>
        <v>1706</v>
      </c>
      <c r="S286" s="408">
        <f t="shared" si="4"/>
        <v>6851296</v>
      </c>
      <c r="T286" s="419">
        <f>Table15[[#This Row],[R-DEMAND]]-(Table15[[#This Row],[ADD ACC]]*1706)</f>
        <v>1235</v>
      </c>
      <c r="U286" s="419">
        <f>ROUNDDOWN(Table15[[#This Row],[Column1]]/1360,0)</f>
        <v>0</v>
      </c>
      <c r="V286" s="419"/>
      <c r="W286" s="349"/>
      <c r="X286" s="349"/>
      <c r="Y286" s="349"/>
      <c r="Z286" s="349"/>
    </row>
    <row r="287" spans="1:26" ht="15.75" customHeight="1" x14ac:dyDescent="0.25">
      <c r="A287" s="210" t="s">
        <v>15917</v>
      </c>
      <c r="B287" s="204" t="s">
        <v>304</v>
      </c>
      <c r="C287" s="204" t="s">
        <v>2</v>
      </c>
      <c r="D287" s="205">
        <v>3</v>
      </c>
      <c r="E287" s="204" t="s">
        <v>1070</v>
      </c>
      <c r="F287" s="204" t="str">
        <f>VLOOKUP(E287,Table10[[COUNTRY NAME]:[CONTINENT CODE]],3,FALSE)</f>
        <v>AS</v>
      </c>
      <c r="G287" s="206" t="s">
        <v>12062</v>
      </c>
      <c r="H287" s="207">
        <v>2071</v>
      </c>
      <c r="I287" s="208">
        <v>6.75</v>
      </c>
      <c r="J287" s="345">
        <v>157951927</v>
      </c>
      <c r="K287" s="345">
        <f>IFERROR(Table15[[#This Row],[ROUTE $]]/Table15[[#This Row],[E - DEMAND]],0)</f>
        <v>35147.29127725857</v>
      </c>
      <c r="L287" s="204">
        <v>4494</v>
      </c>
      <c r="M287" s="412">
        <f>IFERROR(VLOOKUP(Table15[[#This Row],[ROUTE]],DEMAND!A:F,5,FALSE),0)</f>
        <v>4645</v>
      </c>
      <c r="N287" s="16">
        <f>IFERROR(VLOOKUP(Table15[[#This Row],[ROUTE]],DEMAND!A:F,6,FALSE),0)</f>
        <v>1233</v>
      </c>
      <c r="O287" s="16">
        <f>IFERROR(ROUNDDOWN(Table15[[#This Row],[R-DEMAND]]/1706,0),0)</f>
        <v>0</v>
      </c>
      <c r="P287" s="16">
        <f>IFERROR(Table15[[#This Row],[ADD ACC]]*Table15[[#This Row],[RT TIME 
(380-800)]],0)</f>
        <v>0</v>
      </c>
      <c r="Q287" s="415">
        <f>IFERROR(VLOOKUP(Table15[[#This Row],[ROUTE]],PRICING!A:B,2,FALSE),0)</f>
        <v>685</v>
      </c>
      <c r="R287" s="235">
        <f>IFERROR(Table15[[#This Row],[C_DEMAND]]-Table15[[#This Row],[R-DEMAND]],0)</f>
        <v>3412</v>
      </c>
      <c r="S287" s="408">
        <f t="shared" si="4"/>
        <v>2337220</v>
      </c>
      <c r="T287" s="419">
        <f>Table15[[#This Row],[R-DEMAND]]-(Table15[[#This Row],[ADD ACC]]*1706)</f>
        <v>1233</v>
      </c>
      <c r="U287" s="419">
        <f>ROUNDDOWN(Table15[[#This Row],[Column1]]/1360,0)</f>
        <v>0</v>
      </c>
      <c r="V287" s="419"/>
      <c r="W287" s="251">
        <v>6.75</v>
      </c>
      <c r="X287" s="251">
        <f>ROUNDDOWN(Table15[[#This Row],[R-DEMAND]]/1320,0)</f>
        <v>0</v>
      </c>
      <c r="Y287" s="251">
        <f>IFERROR(Table15[[#This Row],[ADD ACC
(660/1320)]]*Table15[[#This Row],[Duration
(B744)]],0)</f>
        <v>0</v>
      </c>
      <c r="Z287" s="251"/>
    </row>
    <row r="288" spans="1:26" ht="15.75" customHeight="1" x14ac:dyDescent="0.25">
      <c r="A288" s="210" t="s">
        <v>15947</v>
      </c>
      <c r="B288" s="204" t="s">
        <v>44</v>
      </c>
      <c r="C288" s="204" t="s">
        <v>67</v>
      </c>
      <c r="D288" s="205">
        <v>3</v>
      </c>
      <c r="E288" s="204" t="s">
        <v>1070</v>
      </c>
      <c r="F288" s="204" t="str">
        <f>VLOOKUP(E288,Table10[[COUNTRY NAME]:[CONTINENT CODE]],3,FALSE)</f>
        <v>AS</v>
      </c>
      <c r="G288" s="206" t="s">
        <v>12072</v>
      </c>
      <c r="H288" s="207">
        <v>1258</v>
      </c>
      <c r="I288" s="208">
        <v>5</v>
      </c>
      <c r="J288" s="345">
        <v>152002899</v>
      </c>
      <c r="K288" s="345">
        <f>IFERROR(Table15[[#This Row],[ROUTE $]]/Table15[[#This Row],[E - DEMAND]],0)</f>
        <v>34104.307606013012</v>
      </c>
      <c r="L288" s="204">
        <v>4457</v>
      </c>
      <c r="M288" s="412">
        <f>IFERROR(VLOOKUP(Table15[[#This Row],[ROUTE]],DEMAND!A:F,5,FALSE),0)</f>
        <v>4620</v>
      </c>
      <c r="N288" s="16">
        <f>IFERROR(VLOOKUP(Table15[[#This Row],[ROUTE]],DEMAND!A:F,6,FALSE),0)</f>
        <v>1208</v>
      </c>
      <c r="O288" s="16">
        <f>IFERROR(ROUNDDOWN(Table15[[#This Row],[R-DEMAND]]/1706,0),0)</f>
        <v>0</v>
      </c>
      <c r="P288" s="16">
        <f>IFERROR(Table15[[#This Row],[ADD ACC]]*Table15[[#This Row],[RT TIME 
(380-800)]],0)</f>
        <v>0</v>
      </c>
      <c r="Q288" s="415">
        <f>IFERROR(VLOOKUP(Table15[[#This Row],[ROUTE]],PRICING!A:B,2,FALSE),0)</f>
        <v>453</v>
      </c>
      <c r="R288" s="235">
        <f>IFERROR(Table15[[#This Row],[C_DEMAND]]-Table15[[#This Row],[R-DEMAND]],0)</f>
        <v>3412</v>
      </c>
      <c r="S288" s="408">
        <f t="shared" si="4"/>
        <v>1545636</v>
      </c>
      <c r="T288" s="419">
        <f>Table15[[#This Row],[R-DEMAND]]-(Table15[[#This Row],[ADD ACC]]*1706)</f>
        <v>1208</v>
      </c>
      <c r="U288" s="419">
        <f>ROUNDDOWN(Table15[[#This Row],[Column1]]/1360,0)</f>
        <v>0</v>
      </c>
      <c r="V288" s="419"/>
      <c r="W288" s="251">
        <v>5</v>
      </c>
      <c r="X288" s="251">
        <f>ROUNDDOWN(Table15[[#This Row],[R-DEMAND]]/1320,0)</f>
        <v>0</v>
      </c>
      <c r="Y288" s="251">
        <f>IFERROR(Table15[[#This Row],[ADD ACC
(660/1320)]]*Table15[[#This Row],[Duration
(B744)]],0)</f>
        <v>0</v>
      </c>
      <c r="Z288" s="251"/>
    </row>
    <row r="289" spans="1:26" ht="15.75" customHeight="1" x14ac:dyDescent="0.25">
      <c r="A289" s="210" t="s">
        <v>15387</v>
      </c>
      <c r="B289" s="204" t="s">
        <v>5082</v>
      </c>
      <c r="C289" s="204" t="s">
        <v>2</v>
      </c>
      <c r="D289" s="205">
        <v>3</v>
      </c>
      <c r="E289" s="204" t="s">
        <v>5080</v>
      </c>
      <c r="F289" s="204" t="str">
        <f>VLOOKUP(E289,Table10[[COUNTRY NAME]:[CONTINENT CODE]],3,FALSE)</f>
        <v>OC</v>
      </c>
      <c r="G289" s="206" t="s">
        <v>12038</v>
      </c>
      <c r="H289" s="207">
        <v>7654</v>
      </c>
      <c r="I289" s="208">
        <v>19</v>
      </c>
      <c r="J289" s="345">
        <v>215678355</v>
      </c>
      <c r="K289" s="345">
        <f>IFERROR(Table15[[#This Row],[ROUTE $]]/Table15[[#This Row],[E - DEMAND]],0)</f>
        <v>77055.503751339769</v>
      </c>
      <c r="L289" s="204">
        <v>2799</v>
      </c>
      <c r="M289" s="412">
        <f>IFERROR(VLOOKUP(Table15[[#This Row],[ROUTE]],DEMAND!A:F,5,FALSE),0)</f>
        <v>2911</v>
      </c>
      <c r="N289" s="16">
        <f>IFERROR(VLOOKUP(Table15[[#This Row],[ROUTE]],DEMAND!A:F,6,FALSE),0)</f>
        <v>1205</v>
      </c>
      <c r="O289" s="16">
        <f>IFERROR(ROUNDDOWN(Table15[[#This Row],[R-DEMAND]]/1706,0),0)</f>
        <v>0</v>
      </c>
      <c r="P289" s="16">
        <f>IFERROR(Table15[[#This Row],[ADD ACC]]*Table15[[#This Row],[RT TIME 
(380-800)]],0)</f>
        <v>0</v>
      </c>
      <c r="Q289" s="415">
        <f>IFERROR(VLOOKUP(Table15[[#This Row],[ROUTE]],PRICING!A:B,2,FALSE),0)</f>
        <v>2192</v>
      </c>
      <c r="R289" s="235">
        <f>IFERROR(Table15[[#This Row],[C_DEMAND]]-Table15[[#This Row],[R-DEMAND]],0)</f>
        <v>1706</v>
      </c>
      <c r="S289" s="408">
        <f t="shared" si="4"/>
        <v>3739552</v>
      </c>
      <c r="T289" s="419">
        <f>Table15[[#This Row],[R-DEMAND]]-(Table15[[#This Row],[ADD ACC]]*1706)</f>
        <v>1205</v>
      </c>
      <c r="U289" s="419">
        <f>ROUNDDOWN(Table15[[#This Row],[Column1]]/1360,0)</f>
        <v>0</v>
      </c>
      <c r="V289" s="419"/>
      <c r="W289" s="251">
        <v>19</v>
      </c>
      <c r="X289" s="251">
        <f>ROUNDDOWN(Table15[[#This Row],[R-DEMAND]]/1320,0)</f>
        <v>0</v>
      </c>
      <c r="Y289" s="251">
        <f>IFERROR(Table15[[#This Row],[ADD ACC
(660/1320)]]*Table15[[#This Row],[Duration
(B744)]],0)</f>
        <v>0</v>
      </c>
      <c r="Z289" s="251"/>
    </row>
    <row r="290" spans="1:26" ht="15.75" customHeight="1" x14ac:dyDescent="0.25">
      <c r="A290" s="210" t="s">
        <v>15368</v>
      </c>
      <c r="B290" s="204" t="s">
        <v>5155</v>
      </c>
      <c r="C290" s="204" t="s">
        <v>2</v>
      </c>
      <c r="D290" s="205">
        <v>3</v>
      </c>
      <c r="E290" s="204" t="s">
        <v>608</v>
      </c>
      <c r="F290" s="204" t="str">
        <f>VLOOKUP(E290,Table10[[COUNTRY NAME]:[CONTINENT CODE]],3,FALSE)</f>
        <v>AF</v>
      </c>
      <c r="G290" s="206" t="s">
        <v>11675</v>
      </c>
      <c r="H290" s="207">
        <v>8078</v>
      </c>
      <c r="I290" s="208">
        <v>20</v>
      </c>
      <c r="J290" s="345">
        <v>221411073</v>
      </c>
      <c r="K290" s="345">
        <f>IFERROR(Table15[[#This Row],[ROUTE $]]/Table15[[#This Row],[E - DEMAND]],0)</f>
        <v>50013.795572622541</v>
      </c>
      <c r="L290" s="204">
        <v>4427</v>
      </c>
      <c r="M290" s="412">
        <f>IFERROR(VLOOKUP(Table15[[#This Row],[ROUTE]],DEMAND!A:F,5,FALSE),0)</f>
        <v>4604</v>
      </c>
      <c r="N290" s="16">
        <f>IFERROR(VLOOKUP(Table15[[#This Row],[ROUTE]],DEMAND!A:F,6,FALSE),0)</f>
        <v>1192</v>
      </c>
      <c r="O290" s="16">
        <f>IFERROR(ROUNDDOWN(Table15[[#This Row],[R-DEMAND]]/1706,0),0)</f>
        <v>0</v>
      </c>
      <c r="P290" s="16">
        <f>IFERROR(Table15[[#This Row],[ADD ACC]]*Table15[[#This Row],[RT TIME 
(380-800)]],0)</f>
        <v>0</v>
      </c>
      <c r="Q290" s="415">
        <f>IFERROR(VLOOKUP(Table15[[#This Row],[ROUTE]],PRICING!A:B,2,FALSE),0)</f>
        <v>2309</v>
      </c>
      <c r="R290" s="235">
        <f>IFERROR(Table15[[#This Row],[C_DEMAND]]-Table15[[#This Row],[R-DEMAND]],0)</f>
        <v>3412</v>
      </c>
      <c r="S290" s="408">
        <f t="shared" si="4"/>
        <v>7878308</v>
      </c>
      <c r="T290" s="419">
        <f>Table15[[#This Row],[R-DEMAND]]-(Table15[[#This Row],[ADD ACC]]*1706)</f>
        <v>1192</v>
      </c>
      <c r="U290" s="419">
        <f>ROUNDDOWN(Table15[[#This Row],[Column1]]/1360,0)</f>
        <v>0</v>
      </c>
      <c r="V290" s="419"/>
      <c r="W290" s="251">
        <v>20</v>
      </c>
      <c r="X290" s="251">
        <f>ROUNDDOWN(Table15[[#This Row],[R-DEMAND]]/1320,0)</f>
        <v>0</v>
      </c>
      <c r="Y290" s="251">
        <f>IFERROR(Table15[[#This Row],[ADD ACC
(660/1320)]]*Table15[[#This Row],[Duration
(B744)]],0)</f>
        <v>0</v>
      </c>
      <c r="Z290" s="251"/>
    </row>
    <row r="291" spans="1:26" ht="15.75" customHeight="1" x14ac:dyDescent="0.25">
      <c r="A291" s="210" t="s">
        <v>15181</v>
      </c>
      <c r="B291" s="204" t="s">
        <v>5758</v>
      </c>
      <c r="C291" s="204" t="s">
        <v>2</v>
      </c>
      <c r="D291" s="205">
        <v>5</v>
      </c>
      <c r="E291" s="16" t="s">
        <v>11732</v>
      </c>
      <c r="F291" s="204" t="str">
        <f>VLOOKUP(E291,Table10[[COUNTRY NAME]:[CONTINENT CODE]],3,FALSE)</f>
        <v>NA - US</v>
      </c>
      <c r="G291" s="206" t="s">
        <v>13316</v>
      </c>
      <c r="H291" s="207">
        <v>14139</v>
      </c>
      <c r="I291" s="208">
        <v>33.5</v>
      </c>
      <c r="J291" s="345">
        <v>322334581</v>
      </c>
      <c r="K291" s="345">
        <f>IFERROR(Table15[[#This Row],[ROUTE $]]/Table15[[#This Row],[E - DEMAND]],0)</f>
        <v>116703.32404055033</v>
      </c>
      <c r="L291" s="204">
        <v>2762</v>
      </c>
      <c r="M291" s="412">
        <f>IFERROR(VLOOKUP(Table15[[#This Row],[ROUTE]],DEMAND!A:F,5,FALSE),0)</f>
        <v>2882</v>
      </c>
      <c r="N291" s="16">
        <f>IFERROR(VLOOKUP(Table15[[#This Row],[ROUTE]],DEMAND!A:F,6,FALSE),0)</f>
        <v>1176</v>
      </c>
      <c r="O291" s="16">
        <f>IFERROR(ROUNDDOWN(Table15[[#This Row],[R-DEMAND]]/1706,0),0)</f>
        <v>0</v>
      </c>
      <c r="P291" s="16">
        <f>IFERROR(Table15[[#This Row],[ADD ACC]]*Table15[[#This Row],[RT TIME 
(380-800)]],0)</f>
        <v>0</v>
      </c>
      <c r="Q291" s="415">
        <f>IFERROR(VLOOKUP(Table15[[#This Row],[ROUTE]],PRICING!A:B,2,FALSE),0)</f>
        <v>3917</v>
      </c>
      <c r="R291" s="235">
        <f>IFERROR(Table15[[#This Row],[C_DEMAND]]-Table15[[#This Row],[R-DEMAND]],0)</f>
        <v>1706</v>
      </c>
      <c r="S291" s="408">
        <f t="shared" si="4"/>
        <v>6682402</v>
      </c>
      <c r="T291" s="419">
        <f>Table15[[#This Row],[R-DEMAND]]-(Table15[[#This Row],[ADD ACC]]*1706)</f>
        <v>1176</v>
      </c>
      <c r="U291" s="419">
        <f>ROUNDDOWN(Table15[[#This Row],[Column1]]/1360,0)</f>
        <v>0</v>
      </c>
      <c r="V291" s="419"/>
      <c r="W291" s="349"/>
      <c r="X291" s="349"/>
      <c r="Y291" s="349"/>
      <c r="Z291" s="349"/>
    </row>
    <row r="292" spans="1:26" ht="15.75" customHeight="1" x14ac:dyDescent="0.25">
      <c r="A292" s="210" t="s">
        <v>15192</v>
      </c>
      <c r="B292" s="204" t="s">
        <v>5727</v>
      </c>
      <c r="C292" s="204" t="s">
        <v>2</v>
      </c>
      <c r="D292" s="205">
        <v>5</v>
      </c>
      <c r="E292" s="16" t="s">
        <v>11732</v>
      </c>
      <c r="F292" s="204" t="str">
        <f>VLOOKUP(E292,Table10[[COUNTRY NAME]:[CONTINENT CODE]],3,FALSE)</f>
        <v>NA - US</v>
      </c>
      <c r="G292" s="206" t="s">
        <v>13368</v>
      </c>
      <c r="H292" s="207">
        <v>14050</v>
      </c>
      <c r="I292" s="208">
        <v>33.25</v>
      </c>
      <c r="J292" s="345">
        <v>315250873</v>
      </c>
      <c r="K292" s="345">
        <f>IFERROR(Table15[[#This Row],[ROUTE $]]/Table15[[#This Row],[E - DEMAND]],0)</f>
        <v>118381.85242208037</v>
      </c>
      <c r="L292" s="204">
        <v>2663</v>
      </c>
      <c r="M292" s="412">
        <f>IFERROR(VLOOKUP(Table15[[#This Row],[ROUTE]],DEMAND!A:F,5,FALSE),0)</f>
        <v>2832</v>
      </c>
      <c r="N292" s="16">
        <f>IFERROR(VLOOKUP(Table15[[#This Row],[ROUTE]],DEMAND!A:F,6,FALSE),0)</f>
        <v>1126</v>
      </c>
      <c r="O292" s="16">
        <f>IFERROR(ROUNDDOWN(Table15[[#This Row],[R-DEMAND]]/1706,0),0)</f>
        <v>0</v>
      </c>
      <c r="P292" s="16">
        <f>IFERROR(Table15[[#This Row],[ADD ACC]]*Table15[[#This Row],[RT TIME 
(380-800)]],0)</f>
        <v>0</v>
      </c>
      <c r="Q292" s="415">
        <f>IFERROR(VLOOKUP(Table15[[#This Row],[ROUTE]],PRICING!A:B,2,FALSE),0)</f>
        <v>3624</v>
      </c>
      <c r="R292" s="235">
        <f>IFERROR(Table15[[#This Row],[C_DEMAND]]-Table15[[#This Row],[R-DEMAND]],0)</f>
        <v>1706</v>
      </c>
      <c r="S292" s="408">
        <f t="shared" si="4"/>
        <v>6182544</v>
      </c>
      <c r="T292" s="419">
        <f>Table15[[#This Row],[R-DEMAND]]-(Table15[[#This Row],[ADD ACC]]*1706)</f>
        <v>1126</v>
      </c>
      <c r="U292" s="419">
        <f>ROUNDDOWN(Table15[[#This Row],[Column1]]/1360,0)</f>
        <v>0</v>
      </c>
      <c r="V292" s="419"/>
      <c r="W292" s="349"/>
      <c r="X292" s="349"/>
      <c r="Y292" s="349"/>
      <c r="Z292" s="349"/>
    </row>
    <row r="293" spans="1:26" ht="15.75" customHeight="1" x14ac:dyDescent="0.25">
      <c r="A293" s="210" t="s">
        <v>15164</v>
      </c>
      <c r="B293" s="204" t="s">
        <v>168</v>
      </c>
      <c r="C293" s="204" t="s">
        <v>2</v>
      </c>
      <c r="D293" s="205">
        <v>5</v>
      </c>
      <c r="E293" s="16" t="s">
        <v>11732</v>
      </c>
      <c r="F293" s="204" t="str">
        <f>VLOOKUP(E293,Table10[[COUNTRY NAME]:[CONTINENT CODE]],3,FALSE)</f>
        <v>NA - US</v>
      </c>
      <c r="G293" s="206" t="s">
        <v>13373</v>
      </c>
      <c r="H293" s="207">
        <v>14246</v>
      </c>
      <c r="I293" s="208">
        <v>33.75</v>
      </c>
      <c r="J293" s="345">
        <v>317853148</v>
      </c>
      <c r="K293" s="345">
        <f>IFERROR(Table15[[#This Row],[ROUTE $]]/Table15[[#This Row],[E - DEMAND]],0)</f>
        <v>119046.12284644195</v>
      </c>
      <c r="L293" s="204">
        <v>2670</v>
      </c>
      <c r="M293" s="412">
        <f>IFERROR(VLOOKUP(Table15[[#This Row],[ROUTE]],DEMAND!A:F,5,FALSE),0)</f>
        <v>2804</v>
      </c>
      <c r="N293" s="16">
        <f>IFERROR(VLOOKUP(Table15[[#This Row],[ROUTE]],DEMAND!A:F,6,FALSE),0)</f>
        <v>1098</v>
      </c>
      <c r="O293" s="16">
        <f>IFERROR(ROUNDDOWN(Table15[[#This Row],[R-DEMAND]]/1706,0),0)</f>
        <v>0</v>
      </c>
      <c r="P293" s="16">
        <f>IFERROR(Table15[[#This Row],[ADD ACC]]*Table15[[#This Row],[RT TIME 
(380-800)]],0)</f>
        <v>0</v>
      </c>
      <c r="Q293" s="415">
        <f>IFERROR(VLOOKUP(Table15[[#This Row],[ROUTE]],PRICING!A:B,2,FALSE),0)</f>
        <v>3855</v>
      </c>
      <c r="R293" s="235">
        <f>IFERROR(Table15[[#This Row],[C_DEMAND]]-Table15[[#This Row],[R-DEMAND]],0)</f>
        <v>1706</v>
      </c>
      <c r="S293" s="408">
        <f t="shared" si="4"/>
        <v>6576630</v>
      </c>
      <c r="T293" s="419">
        <f>Table15[[#This Row],[R-DEMAND]]-(Table15[[#This Row],[ADD ACC]]*1706)</f>
        <v>1098</v>
      </c>
      <c r="U293" s="419">
        <f>ROUNDDOWN(Table15[[#This Row],[Column1]]/1360,0)</f>
        <v>0</v>
      </c>
      <c r="V293" s="419"/>
      <c r="W293" s="349"/>
      <c r="X293" s="349"/>
      <c r="Y293" s="349"/>
      <c r="Z293" s="349"/>
    </row>
    <row r="294" spans="1:26" ht="15.75" customHeight="1" x14ac:dyDescent="0.25">
      <c r="A294" s="210" t="s">
        <v>15485</v>
      </c>
      <c r="B294" s="204" t="s">
        <v>270</v>
      </c>
      <c r="C294" s="204" t="s">
        <v>2</v>
      </c>
      <c r="D294" s="205">
        <v>5</v>
      </c>
      <c r="E294" s="204" t="s">
        <v>142</v>
      </c>
      <c r="F294" s="204" t="str">
        <f>VLOOKUP(E294,Table10[[COUNTRY NAME]:[CONTINENT CODE]],3,FALSE)</f>
        <v>AS</v>
      </c>
      <c r="G294" s="206" t="s">
        <v>269</v>
      </c>
      <c r="H294" s="207">
        <v>6734</v>
      </c>
      <c r="I294" s="208">
        <v>17</v>
      </c>
      <c r="J294" s="345">
        <v>246305324</v>
      </c>
      <c r="K294" s="345">
        <f>IFERROR(Table15[[#This Row],[ROUTE $]]/Table15[[#This Row],[E - DEMAND]],0)</f>
        <v>58118.292590844736</v>
      </c>
      <c r="L294" s="204">
        <v>4238</v>
      </c>
      <c r="M294" s="412">
        <f>IFERROR(VLOOKUP(Table15[[#This Row],[ROUTE]],DEMAND!A:F,5,FALSE),0)</f>
        <v>4493</v>
      </c>
      <c r="N294" s="16">
        <f>IFERROR(VLOOKUP(Table15[[#This Row],[ROUTE]],DEMAND!A:F,6,FALSE),0)</f>
        <v>1081</v>
      </c>
      <c r="O294" s="16">
        <f>IFERROR(ROUNDDOWN(Table15[[#This Row],[R-DEMAND]]/1706,0),0)</f>
        <v>0</v>
      </c>
      <c r="P294" s="16">
        <f>IFERROR(Table15[[#This Row],[ADD ACC]]*Table15[[#This Row],[RT TIME 
(380-800)]],0)</f>
        <v>0</v>
      </c>
      <c r="Q294" s="415">
        <f>IFERROR(VLOOKUP(Table15[[#This Row],[ROUTE]],PRICING!A:B,2,FALSE),0)</f>
        <v>1809</v>
      </c>
      <c r="R294" s="235">
        <f>IFERROR(Table15[[#This Row],[C_DEMAND]]-Table15[[#This Row],[R-DEMAND]],0)</f>
        <v>3412</v>
      </c>
      <c r="S294" s="408">
        <f t="shared" si="4"/>
        <v>6172308</v>
      </c>
      <c r="T294" s="419">
        <f>Table15[[#This Row],[R-DEMAND]]-(Table15[[#This Row],[ADD ACC]]*1706)</f>
        <v>1081</v>
      </c>
      <c r="U294" s="419">
        <f>ROUNDDOWN(Table15[[#This Row],[Column1]]/1360,0)</f>
        <v>0</v>
      </c>
      <c r="V294" s="419"/>
      <c r="W294" s="251">
        <v>17</v>
      </c>
      <c r="X294" s="251">
        <f>ROUNDDOWN(Table15[[#This Row],[R-DEMAND]]/1320,0)</f>
        <v>0</v>
      </c>
      <c r="Y294" s="251">
        <f>IFERROR(Table15[[#This Row],[ADD ACC
(660/1320)]]*Table15[[#This Row],[Duration
(B744)]],0)</f>
        <v>0</v>
      </c>
      <c r="Z294" s="251"/>
    </row>
    <row r="295" spans="1:26" ht="15.75" customHeight="1" x14ac:dyDescent="0.25">
      <c r="A295" s="210" t="s">
        <v>15365</v>
      </c>
      <c r="B295" s="204" t="s">
        <v>4816</v>
      </c>
      <c r="C295" s="204" t="s">
        <v>2</v>
      </c>
      <c r="D295" s="205">
        <v>3</v>
      </c>
      <c r="E295" s="204" t="s">
        <v>608</v>
      </c>
      <c r="F295" s="204" t="str">
        <f>VLOOKUP(E295,Table10[[COUNTRY NAME]:[CONTINENT CODE]],3,FALSE)</f>
        <v>AF</v>
      </c>
      <c r="G295" s="206" t="s">
        <v>11674</v>
      </c>
      <c r="H295" s="207">
        <v>8237</v>
      </c>
      <c r="I295" s="208">
        <v>20.25</v>
      </c>
      <c r="J295" s="345">
        <v>216937294</v>
      </c>
      <c r="K295" s="345">
        <f>IFERROR(Table15[[#This Row],[ROUTE $]]/Table15[[#This Row],[E - DEMAND]],0)</f>
        <v>50008.597049331489</v>
      </c>
      <c r="L295" s="204">
        <v>4338</v>
      </c>
      <c r="M295" s="412">
        <f>IFERROR(VLOOKUP(Table15[[#This Row],[ROUTE]],DEMAND!A:F,5,FALSE),0)</f>
        <v>4483</v>
      </c>
      <c r="N295" s="16">
        <f>IFERROR(VLOOKUP(Table15[[#This Row],[ROUTE]],DEMAND!A:F,6,FALSE),0)</f>
        <v>1071</v>
      </c>
      <c r="O295" s="16">
        <f>IFERROR(ROUNDDOWN(Table15[[#This Row],[R-DEMAND]]/1706,0),0)</f>
        <v>0</v>
      </c>
      <c r="P295" s="16">
        <f>IFERROR(Table15[[#This Row],[ADD ACC]]*Table15[[#This Row],[RT TIME 
(380-800)]],0)</f>
        <v>0</v>
      </c>
      <c r="Q295" s="415">
        <f>IFERROR(VLOOKUP(Table15[[#This Row],[ROUTE]],PRICING!A:B,2,FALSE),0)</f>
        <v>2405</v>
      </c>
      <c r="R295" s="235">
        <f>IFERROR(Table15[[#This Row],[C_DEMAND]]-Table15[[#This Row],[R-DEMAND]],0)</f>
        <v>3412</v>
      </c>
      <c r="S295" s="408">
        <f t="shared" si="4"/>
        <v>8205860</v>
      </c>
      <c r="T295" s="419">
        <f>Table15[[#This Row],[R-DEMAND]]-(Table15[[#This Row],[ADD ACC]]*1706)</f>
        <v>1071</v>
      </c>
      <c r="U295" s="419">
        <f>ROUNDDOWN(Table15[[#This Row],[Column1]]/1360,0)</f>
        <v>0</v>
      </c>
      <c r="V295" s="419"/>
      <c r="W295" s="251">
        <v>20.25</v>
      </c>
      <c r="X295" s="251">
        <f>ROUNDDOWN(Table15[[#This Row],[R-DEMAND]]/1320,0)</f>
        <v>0</v>
      </c>
      <c r="Y295" s="251">
        <f>IFERROR(Table15[[#This Row],[ADD ACC
(660/1320)]]*Table15[[#This Row],[Duration
(B744)]],0)</f>
        <v>0</v>
      </c>
      <c r="Z295" s="251"/>
    </row>
    <row r="296" spans="1:26" ht="15.75" customHeight="1" x14ac:dyDescent="0.25">
      <c r="A296" s="210" t="s">
        <v>15596</v>
      </c>
      <c r="B296" s="204" t="s">
        <v>37</v>
      </c>
      <c r="C296" s="204" t="s">
        <v>2</v>
      </c>
      <c r="D296" s="205">
        <v>3</v>
      </c>
      <c r="E296" s="204" t="s">
        <v>1261</v>
      </c>
      <c r="F296" s="204" t="str">
        <f>VLOOKUP(E296,Table10[[COUNTRY NAME]:[CONTINENT CODE]],3,FALSE)</f>
        <v>AS</v>
      </c>
      <c r="G296" s="206" t="s">
        <v>12110</v>
      </c>
      <c r="H296" s="207">
        <v>5773</v>
      </c>
      <c r="I296" s="208">
        <v>15</v>
      </c>
      <c r="J296" s="345">
        <v>200543073</v>
      </c>
      <c r="K296" s="345">
        <f>IFERROR(Table15[[#This Row],[ROUTE $]]/Table15[[#This Row],[E - DEMAND]],0)</f>
        <v>47634.934204275538</v>
      </c>
      <c r="L296" s="204">
        <v>4210</v>
      </c>
      <c r="M296" s="412">
        <f>IFERROR(VLOOKUP(Table15[[#This Row],[ROUTE]],DEMAND!A:F,5,FALSE),0)</f>
        <v>4365</v>
      </c>
      <c r="N296" s="16">
        <f>IFERROR(VLOOKUP(Table15[[#This Row],[ROUTE]],DEMAND!A:F,6,FALSE),0)</f>
        <v>953</v>
      </c>
      <c r="O296" s="16">
        <f>IFERROR(ROUNDDOWN(Table15[[#This Row],[R-DEMAND]]/1706,0),0)</f>
        <v>0</v>
      </c>
      <c r="P296" s="16">
        <f>IFERROR(Table15[[#This Row],[ADD ACC]]*Table15[[#This Row],[RT TIME 
(380-800)]],0)</f>
        <v>0</v>
      </c>
      <c r="Q296" s="415">
        <f>IFERROR(VLOOKUP(Table15[[#This Row],[ROUTE]],PRICING!A:B,2,FALSE),0)</f>
        <v>1699</v>
      </c>
      <c r="R296" s="235">
        <f>IFERROR(Table15[[#This Row],[C_DEMAND]]-Table15[[#This Row],[R-DEMAND]],0)</f>
        <v>3412</v>
      </c>
      <c r="S296" s="408">
        <f t="shared" si="4"/>
        <v>5796988</v>
      </c>
      <c r="T296" s="419">
        <f>Table15[[#This Row],[R-DEMAND]]-(Table15[[#This Row],[ADD ACC]]*1706)</f>
        <v>953</v>
      </c>
      <c r="U296" s="419">
        <f>ROUNDDOWN(Table15[[#This Row],[Column1]]/1360,0)</f>
        <v>0</v>
      </c>
      <c r="V296" s="419"/>
      <c r="W296" s="251">
        <v>15</v>
      </c>
      <c r="X296" s="251">
        <f>ROUNDDOWN(Table15[[#This Row],[R-DEMAND]]/1320,0)</f>
        <v>0</v>
      </c>
      <c r="Y296" s="251">
        <f>IFERROR(Table15[[#This Row],[ADD ACC
(660/1320)]]*Table15[[#This Row],[Duration
(B744)]],0)</f>
        <v>0</v>
      </c>
      <c r="Z296" s="251"/>
    </row>
    <row r="297" spans="1:26" ht="15.75" customHeight="1" x14ac:dyDescent="0.25">
      <c r="A297" s="210" t="s">
        <v>15337</v>
      </c>
      <c r="B297" s="204" t="s">
        <v>410</v>
      </c>
      <c r="C297" s="204" t="s">
        <v>2</v>
      </c>
      <c r="D297" s="205">
        <v>5</v>
      </c>
      <c r="E297" s="204" t="s">
        <v>774</v>
      </c>
      <c r="F297" s="204" t="str">
        <f>VLOOKUP(E297,Table10[[COUNTRY NAME]:[CONTINENT CODE]],3,FALSE)</f>
        <v>OC</v>
      </c>
      <c r="G297" s="206" t="s">
        <v>11104</v>
      </c>
      <c r="H297" s="207">
        <v>10063</v>
      </c>
      <c r="I297" s="208">
        <v>24.5</v>
      </c>
      <c r="J297" s="345">
        <v>265107048</v>
      </c>
      <c r="K297" s="345">
        <f>IFERROR(Table15[[#This Row],[ROUTE $]]/Table15[[#This Row],[E - DEMAND]],0)</f>
        <v>64945.381675649194</v>
      </c>
      <c r="L297" s="204">
        <v>4082</v>
      </c>
      <c r="M297" s="412">
        <f>IFERROR(VLOOKUP(Table15[[#This Row],[ROUTE]],DEMAND!A:F,5,FALSE),0)</f>
        <v>4341</v>
      </c>
      <c r="N297" s="16">
        <f>IFERROR(VLOOKUP(Table15[[#This Row],[ROUTE]],DEMAND!A:F,6,FALSE),0)</f>
        <v>929</v>
      </c>
      <c r="O297" s="16">
        <f>IFERROR(ROUNDDOWN(Table15[[#This Row],[R-DEMAND]]/1706,0),0)</f>
        <v>0</v>
      </c>
      <c r="P297" s="16">
        <f>IFERROR(Table15[[#This Row],[ADD ACC]]*Table15[[#This Row],[RT TIME 
(380-800)]],0)</f>
        <v>0</v>
      </c>
      <c r="Q297" s="415">
        <f>IFERROR(VLOOKUP(Table15[[#This Row],[ROUTE]],PRICING!A:B,2,FALSE),0)</f>
        <v>2623</v>
      </c>
      <c r="R297" s="235">
        <f>IFERROR(Table15[[#This Row],[C_DEMAND]]-Table15[[#This Row],[R-DEMAND]],0)</f>
        <v>3412</v>
      </c>
      <c r="S297" s="408">
        <f t="shared" si="4"/>
        <v>8949676</v>
      </c>
      <c r="T297" s="419">
        <f>Table15[[#This Row],[R-DEMAND]]-(Table15[[#This Row],[ADD ACC]]*1706)</f>
        <v>929</v>
      </c>
      <c r="U297" s="419">
        <f>ROUNDDOWN(Table15[[#This Row],[Column1]]/1360,0)</f>
        <v>0</v>
      </c>
      <c r="V297" s="419"/>
      <c r="W297" s="251">
        <v>24.5</v>
      </c>
      <c r="X297" s="251">
        <f>ROUNDDOWN(Table15[[#This Row],[R-DEMAND]]/1320,0)</f>
        <v>0</v>
      </c>
      <c r="Y297" s="251">
        <f>IFERROR(Table15[[#This Row],[ADD ACC
(660/1320)]]*Table15[[#This Row],[Duration
(B744)]],0)</f>
        <v>0</v>
      </c>
      <c r="Z297" s="251"/>
    </row>
    <row r="298" spans="1:26" ht="15.75" customHeight="1" x14ac:dyDescent="0.25">
      <c r="A298" s="210" t="s">
        <v>15249</v>
      </c>
      <c r="B298" s="204" t="s">
        <v>426</v>
      </c>
      <c r="C298" s="204" t="s">
        <v>2</v>
      </c>
      <c r="D298" s="205">
        <v>3</v>
      </c>
      <c r="E298" s="204" t="s">
        <v>517</v>
      </c>
      <c r="F298" s="204" t="str">
        <f>VLOOKUP(E298,Table10[[COUNTRY NAME]:[CONTINENT CODE]],3,FALSE)</f>
        <v>SA</v>
      </c>
      <c r="G298" s="206" t="s">
        <v>13155</v>
      </c>
      <c r="H298" s="207">
        <v>13342</v>
      </c>
      <c r="I298" s="208">
        <v>31.75</v>
      </c>
      <c r="J298" s="345">
        <v>272449534</v>
      </c>
      <c r="K298" s="345">
        <f>IFERROR(Table15[[#This Row],[ROUTE $]]/Table15[[#This Row],[E - DEMAND]],0)</f>
        <v>65888.641837968564</v>
      </c>
      <c r="L298" s="204">
        <v>4135</v>
      </c>
      <c r="M298" s="412">
        <f>IFERROR(VLOOKUP(Table15[[#This Row],[ROUTE]],DEMAND!A:F,5,FALSE),0)</f>
        <v>4328</v>
      </c>
      <c r="N298" s="16">
        <f>IFERROR(VLOOKUP(Table15[[#This Row],[ROUTE]],DEMAND!A:F,6,FALSE),0)</f>
        <v>916</v>
      </c>
      <c r="O298" s="16">
        <f>IFERROR(ROUNDDOWN(Table15[[#This Row],[R-DEMAND]]/1706,0),0)</f>
        <v>0</v>
      </c>
      <c r="P298" s="16">
        <f>IFERROR(Table15[[#This Row],[ADD ACC]]*Table15[[#This Row],[RT TIME 
(380-800)]],0)</f>
        <v>0</v>
      </c>
      <c r="Q298" s="415">
        <f>IFERROR(VLOOKUP(Table15[[#This Row],[ROUTE]],PRICING!A:B,2,FALSE),0)</f>
        <v>3660</v>
      </c>
      <c r="R298" s="235">
        <f>IFERROR(Table15[[#This Row],[C_DEMAND]]-Table15[[#This Row],[R-DEMAND]],0)</f>
        <v>3412</v>
      </c>
      <c r="S298" s="408">
        <f t="shared" si="4"/>
        <v>12487920</v>
      </c>
      <c r="T298" s="419">
        <f>Table15[[#This Row],[R-DEMAND]]-(Table15[[#This Row],[ADD ACC]]*1706)</f>
        <v>916</v>
      </c>
      <c r="U298" s="419">
        <f>ROUNDDOWN(Table15[[#This Row],[Column1]]/1360,0)</f>
        <v>0</v>
      </c>
      <c r="V298" s="419"/>
      <c r="W298" s="251">
        <v>31.75</v>
      </c>
      <c r="X298" s="251">
        <f>ROUNDDOWN(Table15[[#This Row],[R-DEMAND]]/1320,0)</f>
        <v>0</v>
      </c>
      <c r="Y298" s="251">
        <f>IFERROR(Table15[[#This Row],[ADD ACC
(660/1320)]]*Table15[[#This Row],[Duration
(B744)]],0)</f>
        <v>0</v>
      </c>
      <c r="Z298" s="251"/>
    </row>
    <row r="299" spans="1:26" ht="15.75" customHeight="1" x14ac:dyDescent="0.25">
      <c r="A299" s="210" t="s">
        <v>15312</v>
      </c>
      <c r="B299" s="204" t="s">
        <v>364</v>
      </c>
      <c r="C299" s="204" t="s">
        <v>2</v>
      </c>
      <c r="D299" s="205">
        <v>3</v>
      </c>
      <c r="E299" s="204" t="s">
        <v>730</v>
      </c>
      <c r="F299" s="204" t="str">
        <f>VLOOKUP(E299,Table10[[COUNTRY NAME]:[CONTINENT CODE]],3,FALSE)</f>
        <v>OC</v>
      </c>
      <c r="G299" s="206" t="s">
        <v>11933</v>
      </c>
      <c r="H299" s="207">
        <v>12222</v>
      </c>
      <c r="I299" s="208">
        <v>29.25</v>
      </c>
      <c r="J299" s="345">
        <v>270865414</v>
      </c>
      <c r="K299" s="345">
        <f>IFERROR(Table15[[#This Row],[ROUTE $]]/Table15[[#This Row],[E - DEMAND]],0)</f>
        <v>66129.25146484375</v>
      </c>
      <c r="L299" s="204">
        <v>4096</v>
      </c>
      <c r="M299" s="412">
        <f>IFERROR(VLOOKUP(Table15[[#This Row],[ROUTE]],DEMAND!A:F,5,FALSE),0)</f>
        <v>4288</v>
      </c>
      <c r="N299" s="16">
        <f>IFERROR(VLOOKUP(Table15[[#This Row],[ROUTE]],DEMAND!A:F,6,FALSE),0)</f>
        <v>876</v>
      </c>
      <c r="O299" s="16">
        <f>IFERROR(ROUNDDOWN(Table15[[#This Row],[R-DEMAND]]/1706,0),0)</f>
        <v>0</v>
      </c>
      <c r="P299" s="16">
        <f>IFERROR(Table15[[#This Row],[ADD ACC]]*Table15[[#This Row],[RT TIME 
(380-800)]],0)</f>
        <v>0</v>
      </c>
      <c r="Q299" s="415">
        <f>IFERROR(VLOOKUP(Table15[[#This Row],[ROUTE]],PRICING!A:B,2,FALSE),0)</f>
        <v>3360</v>
      </c>
      <c r="R299" s="235">
        <f>IFERROR(Table15[[#This Row],[C_DEMAND]]-Table15[[#This Row],[R-DEMAND]],0)</f>
        <v>3412</v>
      </c>
      <c r="S299" s="408">
        <f t="shared" si="4"/>
        <v>11464320</v>
      </c>
      <c r="T299" s="419">
        <f>Table15[[#This Row],[R-DEMAND]]-(Table15[[#This Row],[ADD ACC]]*1706)</f>
        <v>876</v>
      </c>
      <c r="U299" s="419">
        <f>ROUNDDOWN(Table15[[#This Row],[Column1]]/1360,0)</f>
        <v>0</v>
      </c>
      <c r="V299" s="419"/>
      <c r="W299" s="251">
        <v>29.25</v>
      </c>
      <c r="X299" s="251">
        <f>ROUNDDOWN(Table15[[#This Row],[R-DEMAND]]/1320,0)</f>
        <v>0</v>
      </c>
      <c r="Y299" s="251">
        <f>IFERROR(Table15[[#This Row],[ADD ACC
(660/1320)]]*Table15[[#This Row],[Duration
(B744)]],0)</f>
        <v>0</v>
      </c>
      <c r="Z299" s="251"/>
    </row>
    <row r="300" spans="1:26" ht="15.75" customHeight="1" x14ac:dyDescent="0.25">
      <c r="A300" s="210" t="s">
        <v>15882</v>
      </c>
      <c r="B300" s="204" t="s">
        <v>371</v>
      </c>
      <c r="C300" s="204" t="s">
        <v>2</v>
      </c>
      <c r="D300" s="205">
        <v>2</v>
      </c>
      <c r="E300" s="204" t="s">
        <v>332</v>
      </c>
      <c r="F300" s="204" t="str">
        <f>VLOOKUP(E300,Table10[[COUNTRY NAME]:[CONTINENT CODE]],3,FALSE)</f>
        <v>AS</v>
      </c>
      <c r="G300" s="206" t="s">
        <v>12084</v>
      </c>
      <c r="H300" s="207">
        <v>2830</v>
      </c>
      <c r="I300" s="208">
        <v>8.5</v>
      </c>
      <c r="J300" s="345">
        <v>157248475</v>
      </c>
      <c r="K300" s="345">
        <f>IFERROR(Table15[[#This Row],[ROUTE $]]/Table15[[#This Row],[E - DEMAND]],0)</f>
        <v>39077.652833001986</v>
      </c>
      <c r="L300" s="204">
        <v>4024</v>
      </c>
      <c r="M300" s="412">
        <f>IFERROR(VLOOKUP(Table15[[#This Row],[ROUTE]],DEMAND!A:F,5,FALSE),0)</f>
        <v>4279</v>
      </c>
      <c r="N300" s="16">
        <f>IFERROR(VLOOKUP(Table15[[#This Row],[ROUTE]],DEMAND!A:F,6,FALSE),0)</f>
        <v>867</v>
      </c>
      <c r="O300" s="16">
        <f>IFERROR(ROUNDDOWN(Table15[[#This Row],[R-DEMAND]]/1706,0),0)</f>
        <v>0</v>
      </c>
      <c r="P300" s="16">
        <f>IFERROR(Table15[[#This Row],[ADD ACC]]*Table15[[#This Row],[RT TIME 
(380-800)]],0)</f>
        <v>0</v>
      </c>
      <c r="Q300" s="415">
        <f>IFERROR(VLOOKUP(Table15[[#This Row],[ROUTE]],PRICING!A:B,2,FALSE),0)</f>
        <v>807</v>
      </c>
      <c r="R300" s="235">
        <f>IFERROR(Table15[[#This Row],[C_DEMAND]]-Table15[[#This Row],[R-DEMAND]],0)</f>
        <v>3412</v>
      </c>
      <c r="S300" s="408">
        <f t="shared" si="4"/>
        <v>2753484</v>
      </c>
      <c r="T300" s="419">
        <f>Table15[[#This Row],[R-DEMAND]]-(Table15[[#This Row],[ADD ACC]]*1706)</f>
        <v>867</v>
      </c>
      <c r="U300" s="419">
        <f>ROUNDDOWN(Table15[[#This Row],[Column1]]/1360,0)</f>
        <v>0</v>
      </c>
      <c r="V300" s="419"/>
      <c r="W300" s="251">
        <v>8.5</v>
      </c>
      <c r="X300" s="251">
        <f>ROUNDDOWN(Table15[[#This Row],[R-DEMAND]]/1320,0)</f>
        <v>0</v>
      </c>
      <c r="Y300" s="251">
        <f>IFERROR(Table15[[#This Row],[ADD ACC
(660/1320)]]*Table15[[#This Row],[Duration
(B744)]],0)</f>
        <v>0</v>
      </c>
      <c r="Z300" s="251"/>
    </row>
    <row r="301" spans="1:26" ht="15.75" customHeight="1" x14ac:dyDescent="0.25">
      <c r="A301" s="210" t="s">
        <v>15477</v>
      </c>
      <c r="B301" s="204" t="s">
        <v>145</v>
      </c>
      <c r="C301" s="204" t="s">
        <v>2</v>
      </c>
      <c r="D301" s="205">
        <v>5</v>
      </c>
      <c r="E301" s="204" t="s">
        <v>142</v>
      </c>
      <c r="F301" s="204" t="str">
        <f>VLOOKUP(E301,Table10[[COUNTRY NAME]:[CONTINENT CODE]],3,FALSE)</f>
        <v>AS</v>
      </c>
      <c r="G301" s="206" t="s">
        <v>144</v>
      </c>
      <c r="H301" s="207">
        <v>6788</v>
      </c>
      <c r="I301" s="208">
        <v>17.25</v>
      </c>
      <c r="J301" s="345">
        <v>241092313</v>
      </c>
      <c r="K301" s="345">
        <f>IFERROR(Table15[[#This Row],[ROUTE $]]/Table15[[#This Row],[E - DEMAND]],0)</f>
        <v>59913.596669980121</v>
      </c>
      <c r="L301" s="204">
        <v>4024</v>
      </c>
      <c r="M301" s="412">
        <f>IFERROR(VLOOKUP(Table15[[#This Row],[ROUTE]],DEMAND!A:F,5,FALSE),0)</f>
        <v>4265</v>
      </c>
      <c r="N301" s="16">
        <f>IFERROR(VLOOKUP(Table15[[#This Row],[ROUTE]],DEMAND!A:F,6,FALSE),0)</f>
        <v>853</v>
      </c>
      <c r="O301" s="16">
        <f>IFERROR(ROUNDDOWN(Table15[[#This Row],[R-DEMAND]]/1706,0),0)</f>
        <v>0</v>
      </c>
      <c r="P301" s="16">
        <f>IFERROR(Table15[[#This Row],[ADD ACC]]*Table15[[#This Row],[RT TIME 
(380-800)]],0)</f>
        <v>0</v>
      </c>
      <c r="Q301" s="415">
        <f>IFERROR(VLOOKUP(Table15[[#This Row],[ROUTE]],PRICING!A:B,2,FALSE),0)</f>
        <v>1823</v>
      </c>
      <c r="R301" s="235">
        <f>IFERROR(Table15[[#This Row],[C_DEMAND]]-Table15[[#This Row],[R-DEMAND]],0)</f>
        <v>3412</v>
      </c>
      <c r="S301" s="408">
        <f t="shared" si="4"/>
        <v>6220076</v>
      </c>
      <c r="T301" s="419">
        <f>Table15[[#This Row],[R-DEMAND]]-(Table15[[#This Row],[ADD ACC]]*1706)</f>
        <v>853</v>
      </c>
      <c r="U301" s="419">
        <f>ROUNDDOWN(Table15[[#This Row],[Column1]]/1360,0)</f>
        <v>0</v>
      </c>
      <c r="V301" s="419"/>
      <c r="W301" s="251">
        <v>17.25</v>
      </c>
      <c r="X301" s="251">
        <f>ROUNDDOWN(Table15[[#This Row],[R-DEMAND]]/1320,0)</f>
        <v>0</v>
      </c>
      <c r="Y301" s="251">
        <f>IFERROR(Table15[[#This Row],[ADD ACC
(660/1320)]]*Table15[[#This Row],[Duration
(B744)]],0)</f>
        <v>0</v>
      </c>
      <c r="Z301" s="251"/>
    </row>
    <row r="302" spans="1:26" ht="15.75" customHeight="1" x14ac:dyDescent="0.25">
      <c r="A302" s="210" t="s">
        <v>15738</v>
      </c>
      <c r="B302" s="204" t="s">
        <v>277</v>
      </c>
      <c r="C302" s="204" t="s">
        <v>2</v>
      </c>
      <c r="D302" s="205">
        <v>5</v>
      </c>
      <c r="E302" s="204" t="s">
        <v>14</v>
      </c>
      <c r="F302" s="204" t="str">
        <f>VLOOKUP(E302,Table10[[COUNTRY NAME]:[CONTINENT CODE]],3,FALSE)</f>
        <v>AS</v>
      </c>
      <c r="G302" s="206" t="s">
        <v>11081</v>
      </c>
      <c r="H302" s="207">
        <v>4273</v>
      </c>
      <c r="I302" s="208">
        <v>11.5</v>
      </c>
      <c r="J302" s="345">
        <v>221404875</v>
      </c>
      <c r="K302" s="345">
        <f>IFERROR(Table15[[#This Row],[ROUTE $]]/Table15[[#This Row],[E - DEMAND]],0)</f>
        <v>39649.870164756445</v>
      </c>
      <c r="L302" s="204">
        <v>5584</v>
      </c>
      <c r="M302" s="412">
        <f>IFERROR(VLOOKUP(Table15[[#This Row],[ROUTE]],DEMAND!A:F,5,FALSE),0)</f>
        <v>5957</v>
      </c>
      <c r="N302" s="16">
        <f>IFERROR(VLOOKUP(Table15[[#This Row],[ROUTE]],DEMAND!A:F,6,FALSE),0)</f>
        <v>839</v>
      </c>
      <c r="O302" s="16">
        <f>IFERROR(ROUNDDOWN(Table15[[#This Row],[R-DEMAND]]/1706,0),0)</f>
        <v>0</v>
      </c>
      <c r="P302" s="16">
        <f>IFERROR(Table15[[#This Row],[ADD ACC]]*Table15[[#This Row],[RT TIME 
(380-800)]],0)</f>
        <v>0</v>
      </c>
      <c r="Q302" s="415">
        <f>IFERROR(VLOOKUP(Table15[[#This Row],[ROUTE]],PRICING!A:B,2,FALSE),0)</f>
        <v>1155</v>
      </c>
      <c r="R302" s="235">
        <f>IFERROR(Table15[[#This Row],[C_DEMAND]]-Table15[[#This Row],[R-DEMAND]],0)</f>
        <v>5118</v>
      </c>
      <c r="S302" s="408">
        <f t="shared" si="4"/>
        <v>5911290</v>
      </c>
      <c r="T302" s="419">
        <f>Table15[[#This Row],[R-DEMAND]]-(Table15[[#This Row],[ADD ACC]]*1706)</f>
        <v>839</v>
      </c>
      <c r="U302" s="419">
        <f>ROUNDDOWN(Table15[[#This Row],[Column1]]/1360,0)</f>
        <v>0</v>
      </c>
      <c r="V302" s="419"/>
      <c r="W302" s="251">
        <v>11.5</v>
      </c>
      <c r="X302" s="251">
        <f>ROUNDDOWN(Table15[[#This Row],[R-DEMAND]]/1320,0)</f>
        <v>0</v>
      </c>
      <c r="Y302" s="251">
        <f>IFERROR(Table15[[#This Row],[ADD ACC
(660/1320)]]*Table15[[#This Row],[Duration
(B744)]],0)</f>
        <v>0</v>
      </c>
      <c r="Z302" s="251"/>
    </row>
    <row r="303" spans="1:26" ht="15.75" customHeight="1" x14ac:dyDescent="0.25">
      <c r="A303" s="210" t="s">
        <v>15300</v>
      </c>
      <c r="B303" s="204" t="s">
        <v>5721</v>
      </c>
      <c r="C303" s="204" t="s">
        <v>2</v>
      </c>
      <c r="D303" s="205">
        <v>5</v>
      </c>
      <c r="E303" s="204" t="s">
        <v>514</v>
      </c>
      <c r="F303" s="204" t="str">
        <f>VLOOKUP(E303,Table10[[COUNTRY NAME]:[CONTINENT CODE]],3,FALSE)</f>
        <v>NA</v>
      </c>
      <c r="G303" s="206" t="s">
        <v>13171</v>
      </c>
      <c r="H303" s="207">
        <v>12497</v>
      </c>
      <c r="I303" s="208">
        <v>29.75</v>
      </c>
      <c r="J303" s="345">
        <v>297146227</v>
      </c>
      <c r="K303" s="345">
        <f>IFERROR(Table15[[#This Row],[ROUTE $]]/Table15[[#This Row],[E - DEMAND]],0)</f>
        <v>73387.559150407513</v>
      </c>
      <c r="L303" s="204">
        <v>4049</v>
      </c>
      <c r="M303" s="412">
        <f>IFERROR(VLOOKUP(Table15[[#This Row],[ROUTE]],DEMAND!A:F,5,FALSE),0)</f>
        <v>4225</v>
      </c>
      <c r="N303" s="16">
        <f>IFERROR(VLOOKUP(Table15[[#This Row],[ROUTE]],DEMAND!A:F,6,FALSE),0)</f>
        <v>813</v>
      </c>
      <c r="O303" s="16">
        <f>IFERROR(ROUNDDOWN(Table15[[#This Row],[R-DEMAND]]/1706,0),0)</f>
        <v>0</v>
      </c>
      <c r="P303" s="16">
        <f>IFERROR(Table15[[#This Row],[ADD ACC]]*Table15[[#This Row],[RT TIME 
(380-800)]],0)</f>
        <v>0</v>
      </c>
      <c r="Q303" s="415">
        <f>IFERROR(VLOOKUP(Table15[[#This Row],[ROUTE]],PRICING!A:B,2,FALSE),0)</f>
        <v>3474</v>
      </c>
      <c r="R303" s="235">
        <f>IFERROR(Table15[[#This Row],[C_DEMAND]]-Table15[[#This Row],[R-DEMAND]],0)</f>
        <v>3412</v>
      </c>
      <c r="S303" s="408">
        <f t="shared" si="4"/>
        <v>11853288</v>
      </c>
      <c r="T303" s="419">
        <f>Table15[[#This Row],[R-DEMAND]]-(Table15[[#This Row],[ADD ACC]]*1706)</f>
        <v>813</v>
      </c>
      <c r="U303" s="419">
        <f>ROUNDDOWN(Table15[[#This Row],[Column1]]/1360,0)</f>
        <v>0</v>
      </c>
      <c r="V303" s="419"/>
      <c r="W303" s="251">
        <v>29.75</v>
      </c>
      <c r="X303" s="251">
        <f>ROUNDDOWN(Table15[[#This Row],[R-DEMAND]]/1320,0)</f>
        <v>0</v>
      </c>
      <c r="Y303" s="251">
        <f>IFERROR(Table15[[#This Row],[ADD ACC
(660/1320)]]*Table15[[#This Row],[Duration
(B744)]],0)</f>
        <v>0</v>
      </c>
      <c r="Z303" s="251"/>
    </row>
    <row r="304" spans="1:26" ht="15.75" customHeight="1" x14ac:dyDescent="0.25">
      <c r="A304" s="210" t="s">
        <v>15949</v>
      </c>
      <c r="B304" s="204" t="s">
        <v>339</v>
      </c>
      <c r="C304" s="204" t="s">
        <v>2</v>
      </c>
      <c r="D304" s="205">
        <v>5</v>
      </c>
      <c r="E304" s="204" t="s">
        <v>1070</v>
      </c>
      <c r="F304" s="204" t="str">
        <f>VLOOKUP(E304,Table10[[COUNTRY NAME]:[CONTINENT CODE]],3,FALSE)</f>
        <v>AS</v>
      </c>
      <c r="G304" s="206" t="s">
        <v>12027</v>
      </c>
      <c r="H304" s="207">
        <v>1138</v>
      </c>
      <c r="I304" s="208">
        <v>4.75</v>
      </c>
      <c r="J304" s="345">
        <v>182844159</v>
      </c>
      <c r="K304" s="345">
        <f>IFERROR(Table15[[#This Row],[ROUTE $]]/Table15[[#This Row],[E - DEMAND]],0)</f>
        <v>32609.980203317282</v>
      </c>
      <c r="L304" s="204">
        <v>5607</v>
      </c>
      <c r="M304" s="412">
        <f>IFERROR(VLOOKUP(Table15[[#This Row],[ROUTE]],DEMAND!A:F,5,FALSE),0)</f>
        <v>5907</v>
      </c>
      <c r="N304" s="16">
        <f>IFERROR(VLOOKUP(Table15[[#This Row],[ROUTE]],DEMAND!A:F,6,FALSE),0)</f>
        <v>789</v>
      </c>
      <c r="O304" s="16">
        <f>IFERROR(ROUNDDOWN(Table15[[#This Row],[R-DEMAND]]/1706,0),0)</f>
        <v>0</v>
      </c>
      <c r="P304" s="16">
        <f>IFERROR(Table15[[#This Row],[ADD ACC]]*Table15[[#This Row],[RT TIME 
(380-800)]],0)</f>
        <v>0</v>
      </c>
      <c r="Q304" s="415">
        <f>IFERROR(VLOOKUP(Table15[[#This Row],[ROUTE]],PRICING!A:B,2,FALSE),0)</f>
        <v>396</v>
      </c>
      <c r="R304" s="235">
        <f>IFERROR(Table15[[#This Row],[C_DEMAND]]-Table15[[#This Row],[R-DEMAND]],0)</f>
        <v>5118</v>
      </c>
      <c r="S304" s="408">
        <f t="shared" si="4"/>
        <v>2026728</v>
      </c>
      <c r="T304" s="419">
        <f>Table15[[#This Row],[R-DEMAND]]-(Table15[[#This Row],[ADD ACC]]*1706)</f>
        <v>789</v>
      </c>
      <c r="U304" s="419">
        <f>ROUNDDOWN(Table15[[#This Row],[Column1]]/1360,0)</f>
        <v>0</v>
      </c>
      <c r="V304" s="419"/>
      <c r="W304" s="251">
        <v>4.75</v>
      </c>
      <c r="X304" s="251">
        <f>ROUNDDOWN(Table15[[#This Row],[R-DEMAND]]/1320,0)</f>
        <v>0</v>
      </c>
      <c r="Y304" s="251">
        <f>IFERROR(Table15[[#This Row],[ADD ACC
(660/1320)]]*Table15[[#This Row],[Duration
(B744)]],0)</f>
        <v>0</v>
      </c>
      <c r="Z304" s="251"/>
    </row>
    <row r="305" spans="1:26" ht="15.75" customHeight="1" x14ac:dyDescent="0.25">
      <c r="A305" s="210" t="s">
        <v>15612</v>
      </c>
      <c r="B305" s="204" t="s">
        <v>5625</v>
      </c>
      <c r="C305" s="204" t="s">
        <v>2</v>
      </c>
      <c r="D305" s="205">
        <v>4</v>
      </c>
      <c r="E305" s="204" t="s">
        <v>258</v>
      </c>
      <c r="F305" s="204" t="str">
        <f>VLOOKUP(E305,Table10[[COUNTRY NAME]:[CONTINENT CODE]],3,FALSE)</f>
        <v>AS</v>
      </c>
      <c r="G305" s="206" t="s">
        <v>11085</v>
      </c>
      <c r="H305" s="207">
        <v>5580</v>
      </c>
      <c r="I305" s="208">
        <v>14.5</v>
      </c>
      <c r="J305" s="345">
        <v>214567538</v>
      </c>
      <c r="K305" s="345">
        <f>IFERROR(Table15[[#This Row],[ROUTE $]]/Table15[[#This Row],[E - DEMAND]],0)</f>
        <v>54472.591520690534</v>
      </c>
      <c r="L305" s="204">
        <v>3939</v>
      </c>
      <c r="M305" s="412">
        <f>IFERROR(VLOOKUP(Table15[[#This Row],[ROUTE]],DEMAND!A:F,5,FALSE),0)</f>
        <v>4175</v>
      </c>
      <c r="N305" s="16">
        <f>IFERROR(VLOOKUP(Table15[[#This Row],[ROUTE]],DEMAND!A:F,6,FALSE),0)</f>
        <v>763</v>
      </c>
      <c r="O305" s="16">
        <f>IFERROR(ROUNDDOWN(Table15[[#This Row],[R-DEMAND]]/1706,0),0)</f>
        <v>0</v>
      </c>
      <c r="P305" s="16">
        <f>IFERROR(Table15[[#This Row],[ADD ACC]]*Table15[[#This Row],[RT TIME 
(380-800)]],0)</f>
        <v>0</v>
      </c>
      <c r="Q305" s="415">
        <f>IFERROR(VLOOKUP(Table15[[#This Row],[ROUTE]],PRICING!A:B,2,FALSE),0)</f>
        <v>1516</v>
      </c>
      <c r="R305" s="235">
        <f>IFERROR(Table15[[#This Row],[C_DEMAND]]-Table15[[#This Row],[R-DEMAND]],0)</f>
        <v>3412</v>
      </c>
      <c r="S305" s="408">
        <f t="shared" si="4"/>
        <v>5172592</v>
      </c>
      <c r="T305" s="419">
        <f>Table15[[#This Row],[R-DEMAND]]-(Table15[[#This Row],[ADD ACC]]*1706)</f>
        <v>763</v>
      </c>
      <c r="U305" s="419">
        <f>ROUNDDOWN(Table15[[#This Row],[Column1]]/1360,0)</f>
        <v>0</v>
      </c>
      <c r="V305" s="419"/>
      <c r="W305" s="251">
        <v>14.5</v>
      </c>
      <c r="X305" s="251">
        <f>ROUNDDOWN(Table15[[#This Row],[R-DEMAND]]/1320,0)</f>
        <v>0</v>
      </c>
      <c r="Y305" s="251">
        <f>IFERROR(Table15[[#This Row],[ADD ACC
(660/1320)]]*Table15[[#This Row],[Duration
(B744)]],0)</f>
        <v>0</v>
      </c>
      <c r="Z305" s="251"/>
    </row>
    <row r="306" spans="1:26" ht="15.75" customHeight="1" x14ac:dyDescent="0.25">
      <c r="A306" s="210" t="s">
        <v>15510</v>
      </c>
      <c r="B306" s="204" t="s">
        <v>306</v>
      </c>
      <c r="C306" s="204" t="s">
        <v>2</v>
      </c>
      <c r="D306" s="205">
        <v>5</v>
      </c>
      <c r="E306" s="204" t="s">
        <v>1427</v>
      </c>
      <c r="F306" s="204" t="str">
        <f>VLOOKUP(E306,Table10[[COUNTRY NAME]:[CONTINENT CODE]],3,FALSE)</f>
        <v>EU</v>
      </c>
      <c r="G306" s="206" t="s">
        <v>11086</v>
      </c>
      <c r="H306" s="207">
        <v>6571</v>
      </c>
      <c r="I306" s="208">
        <v>16.75</v>
      </c>
      <c r="J306" s="345">
        <v>245419607</v>
      </c>
      <c r="K306" s="345">
        <f>IFERROR(Table15[[#This Row],[ROUTE $]]/Table15[[#This Row],[E - DEMAND]],0)</f>
        <v>62115.820551759047</v>
      </c>
      <c r="L306" s="204">
        <v>3951</v>
      </c>
      <c r="M306" s="412">
        <f>IFERROR(VLOOKUP(Table15[[#This Row],[ROUTE]],DEMAND!A:F,5,FALSE),0)</f>
        <v>4162</v>
      </c>
      <c r="N306" s="16">
        <f>IFERROR(VLOOKUP(Table15[[#This Row],[ROUTE]],DEMAND!A:F,6,FALSE),0)</f>
        <v>750</v>
      </c>
      <c r="O306" s="16">
        <f>IFERROR(ROUNDDOWN(Table15[[#This Row],[R-DEMAND]]/1706,0),0)</f>
        <v>0</v>
      </c>
      <c r="P306" s="16">
        <f>IFERROR(Table15[[#This Row],[ADD ACC]]*Table15[[#This Row],[RT TIME 
(380-800)]],0)</f>
        <v>0</v>
      </c>
      <c r="Q306" s="415">
        <f>IFERROR(VLOOKUP(Table15[[#This Row],[ROUTE]],PRICING!A:B,2,FALSE),0)</f>
        <v>1811</v>
      </c>
      <c r="R306" s="235">
        <f>IFERROR(Table15[[#This Row],[C_DEMAND]]-Table15[[#This Row],[R-DEMAND]],0)</f>
        <v>3412</v>
      </c>
      <c r="S306" s="408">
        <f t="shared" si="4"/>
        <v>6179132</v>
      </c>
      <c r="T306" s="419">
        <f>Table15[[#This Row],[R-DEMAND]]-(Table15[[#This Row],[ADD ACC]]*1706)</f>
        <v>750</v>
      </c>
      <c r="U306" s="419">
        <f>ROUNDDOWN(Table15[[#This Row],[Column1]]/1360,0)</f>
        <v>0</v>
      </c>
      <c r="V306" s="419"/>
      <c r="W306" s="251">
        <v>16.75</v>
      </c>
      <c r="X306" s="251">
        <f>ROUNDDOWN(Table15[[#This Row],[R-DEMAND]]/1320,0)</f>
        <v>0</v>
      </c>
      <c r="Y306" s="251">
        <f>IFERROR(Table15[[#This Row],[ADD ACC
(660/1320)]]*Table15[[#This Row],[Duration
(B744)]],0)</f>
        <v>0</v>
      </c>
      <c r="Z306" s="251"/>
    </row>
    <row r="307" spans="1:26" ht="15.75" customHeight="1" x14ac:dyDescent="0.25">
      <c r="A307" s="210" t="s">
        <v>15619</v>
      </c>
      <c r="B307" s="204" t="s">
        <v>5608</v>
      </c>
      <c r="C307" s="204" t="s">
        <v>2</v>
      </c>
      <c r="D307" s="205">
        <v>4</v>
      </c>
      <c r="E307" s="204" t="s">
        <v>258</v>
      </c>
      <c r="F307" s="204" t="str">
        <f>VLOOKUP(E307,Table10[[COUNTRY NAME]:[CONTINENT CODE]],3,FALSE)</f>
        <v>AS</v>
      </c>
      <c r="G307" s="206" t="s">
        <v>11097</v>
      </c>
      <c r="H307" s="207">
        <v>5519</v>
      </c>
      <c r="I307" s="208">
        <v>14.25</v>
      </c>
      <c r="J307" s="345">
        <v>212143171</v>
      </c>
      <c r="K307" s="345">
        <f>IFERROR(Table15[[#This Row],[ROUTE $]]/Table15[[#This Row],[E - DEMAND]],0)</f>
        <v>54676.074999999997</v>
      </c>
      <c r="L307" s="204">
        <v>3880</v>
      </c>
      <c r="M307" s="412">
        <f>IFERROR(VLOOKUP(Table15[[#This Row],[ROUTE]],DEMAND!A:F,5,FALSE),0)</f>
        <v>4138</v>
      </c>
      <c r="N307" s="16">
        <f>IFERROR(VLOOKUP(Table15[[#This Row],[ROUTE]],DEMAND!A:F,6,FALSE),0)</f>
        <v>726</v>
      </c>
      <c r="O307" s="16">
        <f>IFERROR(ROUNDDOWN(Table15[[#This Row],[R-DEMAND]]/1706,0),0)</f>
        <v>0</v>
      </c>
      <c r="P307" s="16">
        <f>IFERROR(Table15[[#This Row],[ADD ACC]]*Table15[[#This Row],[RT TIME 
(380-800)]],0)</f>
        <v>0</v>
      </c>
      <c r="Q307" s="415">
        <f>IFERROR(VLOOKUP(Table15[[#This Row],[ROUTE]],PRICING!A:B,2,FALSE),0)</f>
        <v>1464</v>
      </c>
      <c r="R307" s="235">
        <f>IFERROR(Table15[[#This Row],[C_DEMAND]]-Table15[[#This Row],[R-DEMAND]],0)</f>
        <v>3412</v>
      </c>
      <c r="S307" s="408">
        <f t="shared" si="4"/>
        <v>4995168</v>
      </c>
      <c r="T307" s="419">
        <f>Table15[[#This Row],[R-DEMAND]]-(Table15[[#This Row],[ADD ACC]]*1706)</f>
        <v>726</v>
      </c>
      <c r="U307" s="419">
        <f>ROUNDDOWN(Table15[[#This Row],[Column1]]/1360,0)</f>
        <v>0</v>
      </c>
      <c r="V307" s="419"/>
      <c r="W307" s="251">
        <v>14.25</v>
      </c>
      <c r="X307" s="251">
        <f>ROUNDDOWN(Table15[[#This Row],[R-DEMAND]]/1320,0)</f>
        <v>0</v>
      </c>
      <c r="Y307" s="251">
        <f>IFERROR(Table15[[#This Row],[ADD ACC
(660/1320)]]*Table15[[#This Row],[Duration
(B744)]],0)</f>
        <v>0</v>
      </c>
      <c r="Z307" s="251"/>
    </row>
    <row r="308" spans="1:26" ht="15.75" customHeight="1" x14ac:dyDescent="0.25">
      <c r="A308" s="210" t="s">
        <v>15425</v>
      </c>
      <c r="B308" s="204" t="s">
        <v>195</v>
      </c>
      <c r="C308" s="204" t="s">
        <v>2</v>
      </c>
      <c r="D308" s="205">
        <v>5</v>
      </c>
      <c r="E308" s="204" t="s">
        <v>83</v>
      </c>
      <c r="F308" s="204" t="str">
        <f>VLOOKUP(E308,Table10[[COUNTRY NAME]:[CONTINENT CODE]],3,FALSE)</f>
        <v>EU</v>
      </c>
      <c r="G308" s="206" t="s">
        <v>11066</v>
      </c>
      <c r="H308" s="207">
        <v>7215</v>
      </c>
      <c r="I308" s="208">
        <v>18</v>
      </c>
      <c r="J308" s="345">
        <v>251669449</v>
      </c>
      <c r="K308" s="345">
        <f>IFERROR(Table15[[#This Row],[ROUTE $]]/Table15[[#This Row],[E - DEMAND]],0)</f>
        <v>63697.658567451275</v>
      </c>
      <c r="L308" s="204">
        <v>3951</v>
      </c>
      <c r="M308" s="412">
        <f>IFERROR(VLOOKUP(Table15[[#This Row],[ROUTE]],DEMAND!A:F,5,FALSE),0)</f>
        <v>4136</v>
      </c>
      <c r="N308" s="16">
        <f>IFERROR(VLOOKUP(Table15[[#This Row],[ROUTE]],DEMAND!A:F,6,FALSE),0)</f>
        <v>724</v>
      </c>
      <c r="O308" s="16">
        <f>IFERROR(ROUNDDOWN(Table15[[#This Row],[R-DEMAND]]/1706,0),0)</f>
        <v>0</v>
      </c>
      <c r="P308" s="16">
        <f>IFERROR(Table15[[#This Row],[ADD ACC]]*Table15[[#This Row],[RT TIME 
(380-800)]],0)</f>
        <v>0</v>
      </c>
      <c r="Q308" s="415">
        <f>IFERROR(VLOOKUP(Table15[[#This Row],[ROUTE]],PRICING!A:B,2,FALSE),0)</f>
        <v>2026</v>
      </c>
      <c r="R308" s="235">
        <f>IFERROR(Table15[[#This Row],[C_DEMAND]]-Table15[[#This Row],[R-DEMAND]],0)</f>
        <v>3412</v>
      </c>
      <c r="S308" s="408">
        <f t="shared" si="4"/>
        <v>6912712</v>
      </c>
      <c r="T308" s="419">
        <f>Table15[[#This Row],[R-DEMAND]]-(Table15[[#This Row],[ADD ACC]]*1706)</f>
        <v>724</v>
      </c>
      <c r="U308" s="419">
        <f>ROUNDDOWN(Table15[[#This Row],[Column1]]/1360,0)</f>
        <v>0</v>
      </c>
      <c r="V308" s="419"/>
      <c r="W308" s="251">
        <v>18</v>
      </c>
      <c r="X308" s="251">
        <f>ROUNDDOWN(Table15[[#This Row],[R-DEMAND]]/1320,0)</f>
        <v>0</v>
      </c>
      <c r="Y308" s="251">
        <f>IFERROR(Table15[[#This Row],[ADD ACC
(660/1320)]]*Table15[[#This Row],[Duration
(B744)]],0)</f>
        <v>0</v>
      </c>
      <c r="Z308" s="251"/>
    </row>
    <row r="309" spans="1:26" ht="15.75" customHeight="1" x14ac:dyDescent="0.25">
      <c r="A309" s="210" t="s">
        <v>15842</v>
      </c>
      <c r="B309" s="204" t="s">
        <v>215</v>
      </c>
      <c r="C309" s="204" t="s">
        <v>2</v>
      </c>
      <c r="D309" s="205">
        <v>4</v>
      </c>
      <c r="E309" s="204" t="s">
        <v>1261</v>
      </c>
      <c r="F309" s="204" t="str">
        <f>VLOOKUP(E309,Table10[[COUNTRY NAME]:[CONTINENT CODE]],3,FALSE)</f>
        <v>AS</v>
      </c>
      <c r="G309" s="206" t="s">
        <v>11070</v>
      </c>
      <c r="H309" s="207">
        <v>3307</v>
      </c>
      <c r="I309" s="208">
        <v>9.5</v>
      </c>
      <c r="J309" s="345">
        <v>189815669</v>
      </c>
      <c r="K309" s="345">
        <f>IFERROR(Table15[[#This Row],[ROUTE $]]/Table15[[#This Row],[E - DEMAND]],0)</f>
        <v>34873.354583869186</v>
      </c>
      <c r="L309" s="204">
        <v>5443</v>
      </c>
      <c r="M309" s="412">
        <f>IFERROR(VLOOKUP(Table15[[#This Row],[ROUTE]],DEMAND!A:F,5,FALSE),0)</f>
        <v>5788</v>
      </c>
      <c r="N309" s="16">
        <f>IFERROR(VLOOKUP(Table15[[#This Row],[ROUTE]],DEMAND!A:F,6,FALSE),0)</f>
        <v>670</v>
      </c>
      <c r="O309" s="16">
        <f>IFERROR(ROUNDDOWN(Table15[[#This Row],[R-DEMAND]]/1706,0),0)</f>
        <v>0</v>
      </c>
      <c r="P309" s="16">
        <f>IFERROR(Table15[[#This Row],[ADD ACC]]*Table15[[#This Row],[RT TIME 
(380-800)]],0)</f>
        <v>0</v>
      </c>
      <c r="Q309" s="415">
        <f>IFERROR(VLOOKUP(Table15[[#This Row],[ROUTE]],PRICING!A:B,2,FALSE),0)</f>
        <v>927</v>
      </c>
      <c r="R309" s="235">
        <f>IFERROR(Table15[[#This Row],[C_DEMAND]]-Table15[[#This Row],[R-DEMAND]],0)</f>
        <v>5118</v>
      </c>
      <c r="S309" s="408">
        <f t="shared" si="4"/>
        <v>4744386</v>
      </c>
      <c r="T309" s="419">
        <f>Table15[[#This Row],[R-DEMAND]]-(Table15[[#This Row],[ADD ACC]]*1706)</f>
        <v>670</v>
      </c>
      <c r="U309" s="419">
        <f>ROUNDDOWN(Table15[[#This Row],[Column1]]/1360,0)</f>
        <v>0</v>
      </c>
      <c r="V309" s="419"/>
      <c r="W309" s="251">
        <v>9.5</v>
      </c>
      <c r="X309" s="251">
        <f>ROUNDDOWN(Table15[[#This Row],[R-DEMAND]]/1320,0)</f>
        <v>0</v>
      </c>
      <c r="Y309" s="251">
        <f>IFERROR(Table15[[#This Row],[ADD ACC
(660/1320)]]*Table15[[#This Row],[Duration
(B744)]],0)</f>
        <v>0</v>
      </c>
      <c r="Z309" s="251"/>
    </row>
    <row r="310" spans="1:26" ht="15.75" customHeight="1" x14ac:dyDescent="0.25">
      <c r="A310" s="210" t="s">
        <v>15340</v>
      </c>
      <c r="B310" s="204" t="s">
        <v>170</v>
      </c>
      <c r="C310" s="204" t="s">
        <v>2</v>
      </c>
      <c r="D310" s="205">
        <v>5</v>
      </c>
      <c r="E310" s="204" t="s">
        <v>774</v>
      </c>
      <c r="F310" s="204" t="str">
        <f>VLOOKUP(E310,Table10[[COUNTRY NAME]:[CONTINENT CODE]],3,FALSE)</f>
        <v>OC</v>
      </c>
      <c r="G310" s="206" t="s">
        <v>11060</v>
      </c>
      <c r="H310" s="207">
        <v>9809</v>
      </c>
      <c r="I310" s="208">
        <v>23.75</v>
      </c>
      <c r="J310" s="345">
        <v>268059858</v>
      </c>
      <c r="K310" s="345">
        <f>IFERROR(Table15[[#This Row],[ROUTE $]]/Table15[[#This Row],[E - DEMAND]],0)</f>
        <v>68856.886206010793</v>
      </c>
      <c r="L310" s="204">
        <v>3893</v>
      </c>
      <c r="M310" s="412">
        <f>IFERROR(VLOOKUP(Table15[[#This Row],[ROUTE]],DEMAND!A:F,5,FALSE),0)</f>
        <v>4075</v>
      </c>
      <c r="N310" s="16">
        <f>IFERROR(VLOOKUP(Table15[[#This Row],[ROUTE]],DEMAND!A:F,6,FALSE),0)</f>
        <v>663</v>
      </c>
      <c r="O310" s="16">
        <f>IFERROR(ROUNDDOWN(Table15[[#This Row],[R-DEMAND]]/1706,0),0)</f>
        <v>0</v>
      </c>
      <c r="P310" s="16">
        <f>IFERROR(Table15[[#This Row],[ADD ACC]]*Table15[[#This Row],[RT TIME 
(380-800)]],0)</f>
        <v>0</v>
      </c>
      <c r="Q310" s="415">
        <f>IFERROR(VLOOKUP(Table15[[#This Row],[ROUTE]],PRICING!A:B,2,FALSE),0)</f>
        <v>2717</v>
      </c>
      <c r="R310" s="235">
        <f>IFERROR(Table15[[#This Row],[C_DEMAND]]-Table15[[#This Row],[R-DEMAND]],0)</f>
        <v>3412</v>
      </c>
      <c r="S310" s="408">
        <f t="shared" si="4"/>
        <v>9270404</v>
      </c>
      <c r="T310" s="419">
        <f>Table15[[#This Row],[R-DEMAND]]-(Table15[[#This Row],[ADD ACC]]*1706)</f>
        <v>663</v>
      </c>
      <c r="U310" s="419">
        <f>ROUNDDOWN(Table15[[#This Row],[Column1]]/1360,0)</f>
        <v>0</v>
      </c>
      <c r="V310" s="419"/>
      <c r="W310" s="251">
        <v>23.75</v>
      </c>
      <c r="X310" s="251">
        <f>ROUNDDOWN(Table15[[#This Row],[R-DEMAND]]/1320,0)</f>
        <v>0</v>
      </c>
      <c r="Y310" s="251">
        <f>IFERROR(Table15[[#This Row],[ADD ACC
(660/1320)]]*Table15[[#This Row],[Duration
(B744)]],0)</f>
        <v>0</v>
      </c>
      <c r="Z310" s="251"/>
    </row>
    <row r="311" spans="1:26" ht="15.75" customHeight="1" x14ac:dyDescent="0.25">
      <c r="A311" s="210" t="s">
        <v>15466</v>
      </c>
      <c r="B311" s="204" t="s">
        <v>446</v>
      </c>
      <c r="C311" s="204" t="s">
        <v>2</v>
      </c>
      <c r="D311" s="205">
        <v>5</v>
      </c>
      <c r="E311" s="204" t="s">
        <v>3204</v>
      </c>
      <c r="F311" s="204" t="str">
        <f>VLOOKUP(E311,Table10[[COUNTRY NAME]:[CONTINENT CODE]],3,FALSE)</f>
        <v>EU</v>
      </c>
      <c r="G311" s="206" t="s">
        <v>11111</v>
      </c>
      <c r="H311" s="207">
        <v>6861</v>
      </c>
      <c r="I311" s="208">
        <v>17.25</v>
      </c>
      <c r="J311" s="345">
        <v>247196801</v>
      </c>
      <c r="K311" s="345">
        <f>IFERROR(Table15[[#This Row],[ROUTE $]]/Table15[[#This Row],[E - DEMAND]],0)</f>
        <v>63809.189726381002</v>
      </c>
      <c r="L311" s="204">
        <v>3874</v>
      </c>
      <c r="M311" s="412">
        <f>IFERROR(VLOOKUP(Table15[[#This Row],[ROUTE]],DEMAND!A:F,5,FALSE),0)</f>
        <v>4055</v>
      </c>
      <c r="N311" s="16">
        <f>IFERROR(VLOOKUP(Table15[[#This Row],[ROUTE]],DEMAND!A:F,6,FALSE),0)</f>
        <v>643</v>
      </c>
      <c r="O311" s="16">
        <f>IFERROR(ROUNDDOWN(Table15[[#This Row],[R-DEMAND]]/1706,0),0)</f>
        <v>0</v>
      </c>
      <c r="P311" s="16">
        <f>IFERROR(Table15[[#This Row],[ADD ACC]]*Table15[[#This Row],[RT TIME 
(380-800)]],0)</f>
        <v>0</v>
      </c>
      <c r="Q311" s="415">
        <f>IFERROR(VLOOKUP(Table15[[#This Row],[ROUTE]],PRICING!A:B,2,FALSE),0)</f>
        <v>1931</v>
      </c>
      <c r="R311" s="235">
        <f>IFERROR(Table15[[#This Row],[C_DEMAND]]-Table15[[#This Row],[R-DEMAND]],0)</f>
        <v>3412</v>
      </c>
      <c r="S311" s="408">
        <f t="shared" si="4"/>
        <v>6588572</v>
      </c>
      <c r="T311" s="419">
        <f>Table15[[#This Row],[R-DEMAND]]-(Table15[[#This Row],[ADD ACC]]*1706)</f>
        <v>643</v>
      </c>
      <c r="U311" s="419">
        <f>ROUNDDOWN(Table15[[#This Row],[Column1]]/1360,0)</f>
        <v>0</v>
      </c>
      <c r="V311" s="419"/>
      <c r="W311" s="251">
        <v>17.25</v>
      </c>
      <c r="X311" s="251">
        <f>ROUNDDOWN(Table15[[#This Row],[R-DEMAND]]/1320,0)</f>
        <v>0</v>
      </c>
      <c r="Y311" s="251">
        <f>IFERROR(Table15[[#This Row],[ADD ACC
(660/1320)]]*Table15[[#This Row],[Duration
(B744)]],0)</f>
        <v>0</v>
      </c>
      <c r="Z311" s="251"/>
    </row>
    <row r="312" spans="1:26" ht="15.75" customHeight="1" x14ac:dyDescent="0.25">
      <c r="A312" s="210" t="s">
        <v>15870</v>
      </c>
      <c r="B312" s="204" t="s">
        <v>32</v>
      </c>
      <c r="C312" s="204" t="s">
        <v>2</v>
      </c>
      <c r="D312" s="205">
        <v>2</v>
      </c>
      <c r="E312" s="204" t="s">
        <v>332</v>
      </c>
      <c r="F312" s="204" t="str">
        <f>VLOOKUP(E312,Table10[[COUNTRY NAME]:[CONTINENT CODE]],3,FALSE)</f>
        <v>AS</v>
      </c>
      <c r="G312" s="206" t="s">
        <v>6817</v>
      </c>
      <c r="H312" s="207">
        <v>3036</v>
      </c>
      <c r="I312" s="208">
        <v>8.75</v>
      </c>
      <c r="J312" s="345">
        <v>154365177</v>
      </c>
      <c r="K312" s="345">
        <f>IFERROR(Table15[[#This Row],[ROUTE $]]/Table15[[#This Row],[E - DEMAND]],0)</f>
        <v>40718.854391981011</v>
      </c>
      <c r="L312" s="204">
        <v>3791</v>
      </c>
      <c r="M312" s="412">
        <f>IFERROR(VLOOKUP(Table15[[#This Row],[ROUTE]],DEMAND!A:F,5,FALSE),0)</f>
        <v>4045</v>
      </c>
      <c r="N312" s="16">
        <f>IFERROR(VLOOKUP(Table15[[#This Row],[ROUTE]],DEMAND!A:F,6,FALSE),0)</f>
        <v>633</v>
      </c>
      <c r="O312" s="16">
        <f>IFERROR(ROUNDDOWN(Table15[[#This Row],[R-DEMAND]]/1706,0),0)</f>
        <v>0</v>
      </c>
      <c r="P312" s="16">
        <f>IFERROR(Table15[[#This Row],[ADD ACC]]*Table15[[#This Row],[RT TIME 
(380-800)]],0)</f>
        <v>0</v>
      </c>
      <c r="Q312" s="415">
        <f>IFERROR(VLOOKUP(Table15[[#This Row],[ROUTE]],PRICING!A:B,2,FALSE),0)</f>
        <v>848</v>
      </c>
      <c r="R312" s="235">
        <f>IFERROR(Table15[[#This Row],[C_DEMAND]]-Table15[[#This Row],[R-DEMAND]],0)</f>
        <v>3412</v>
      </c>
      <c r="S312" s="408">
        <f t="shared" si="4"/>
        <v>2893376</v>
      </c>
      <c r="T312" s="419">
        <f>Table15[[#This Row],[R-DEMAND]]-(Table15[[#This Row],[ADD ACC]]*1706)</f>
        <v>633</v>
      </c>
      <c r="U312" s="419">
        <f>ROUNDDOWN(Table15[[#This Row],[Column1]]/1360,0)</f>
        <v>0</v>
      </c>
      <c r="V312" s="419"/>
      <c r="W312" s="251">
        <v>8.75</v>
      </c>
      <c r="X312" s="251">
        <f>ROUNDDOWN(Table15[[#This Row],[R-DEMAND]]/1320,0)</f>
        <v>0</v>
      </c>
      <c r="Y312" s="251">
        <f>IFERROR(Table15[[#This Row],[ADD ACC
(660/1320)]]*Table15[[#This Row],[Duration
(B744)]],0)</f>
        <v>0</v>
      </c>
      <c r="Z312" s="251"/>
    </row>
    <row r="313" spans="1:26" ht="15.75" customHeight="1" x14ac:dyDescent="0.25">
      <c r="A313" s="210" t="s">
        <v>15309</v>
      </c>
      <c r="B313" s="204" t="s">
        <v>483</v>
      </c>
      <c r="C313" s="204" t="s">
        <v>2</v>
      </c>
      <c r="D313" s="205">
        <v>4</v>
      </c>
      <c r="E313" s="204" t="s">
        <v>514</v>
      </c>
      <c r="F313" s="204" t="str">
        <f>VLOOKUP(E313,Table10[[COUNTRY NAME]:[CONTINENT CODE]],3,FALSE)</f>
        <v>NA</v>
      </c>
      <c r="G313" s="206" t="s">
        <v>11026</v>
      </c>
      <c r="H313" s="207">
        <v>12261</v>
      </c>
      <c r="I313" s="208">
        <v>29.25</v>
      </c>
      <c r="J313" s="345">
        <v>285317227</v>
      </c>
      <c r="K313" s="345">
        <f>IFERROR(Table15[[#This Row],[ROUTE $]]/Table15[[#This Row],[E - DEMAND]],0)</f>
        <v>75781.467994687919</v>
      </c>
      <c r="L313" s="204">
        <v>3765</v>
      </c>
      <c r="M313" s="412">
        <f>IFERROR(VLOOKUP(Table15[[#This Row],[ROUTE]],DEMAND!A:F,5,FALSE),0)</f>
        <v>4016</v>
      </c>
      <c r="N313" s="16">
        <f>IFERROR(VLOOKUP(Table15[[#This Row],[ROUTE]],DEMAND!A:F,6,FALSE),0)</f>
        <v>604</v>
      </c>
      <c r="O313" s="16">
        <f>IFERROR(ROUNDDOWN(Table15[[#This Row],[R-DEMAND]]/1706,0),0)</f>
        <v>0</v>
      </c>
      <c r="P313" s="16">
        <f>IFERROR(Table15[[#This Row],[ADD ACC]]*Table15[[#This Row],[RT TIME 
(380-800)]],0)</f>
        <v>0</v>
      </c>
      <c r="Q313" s="415">
        <f>IFERROR(VLOOKUP(Table15[[#This Row],[ROUTE]],PRICING!A:B,2,FALSE),0)</f>
        <v>3136</v>
      </c>
      <c r="R313" s="235">
        <f>IFERROR(Table15[[#This Row],[C_DEMAND]]-Table15[[#This Row],[R-DEMAND]],0)</f>
        <v>3412</v>
      </c>
      <c r="S313" s="408">
        <f t="shared" si="4"/>
        <v>10700032</v>
      </c>
      <c r="T313" s="419">
        <f>Table15[[#This Row],[R-DEMAND]]-(Table15[[#This Row],[ADD ACC]]*1706)</f>
        <v>604</v>
      </c>
      <c r="U313" s="419">
        <f>ROUNDDOWN(Table15[[#This Row],[Column1]]/1360,0)</f>
        <v>0</v>
      </c>
      <c r="V313" s="419"/>
      <c r="W313" s="251">
        <v>29.25</v>
      </c>
      <c r="X313" s="251">
        <f>ROUNDDOWN(Table15[[#This Row],[R-DEMAND]]/1320,0)</f>
        <v>0</v>
      </c>
      <c r="Y313" s="251">
        <f>IFERROR(Table15[[#This Row],[ADD ACC
(660/1320)]]*Table15[[#This Row],[Duration
(B744)]],0)</f>
        <v>0</v>
      </c>
      <c r="Z313" s="251"/>
    </row>
    <row r="314" spans="1:26" ht="15.75" customHeight="1" x14ac:dyDescent="0.25">
      <c r="A314" s="210" t="s">
        <v>15397</v>
      </c>
      <c r="B314" s="204" t="s">
        <v>185</v>
      </c>
      <c r="C314" s="204" t="s">
        <v>2</v>
      </c>
      <c r="D314" s="205">
        <v>5</v>
      </c>
      <c r="E314" s="204" t="s">
        <v>119</v>
      </c>
      <c r="F314" s="204" t="str">
        <f>VLOOKUP(E314,Table10[[COUNTRY NAME]:[CONTINENT CODE]],3,FALSE)</f>
        <v>EU</v>
      </c>
      <c r="G314" s="206" t="s">
        <v>11061</v>
      </c>
      <c r="H314" s="207">
        <v>7519</v>
      </c>
      <c r="I314" s="208">
        <v>18.75</v>
      </c>
      <c r="J314" s="345">
        <v>255373417</v>
      </c>
      <c r="K314" s="345">
        <f>IFERROR(Table15[[#This Row],[ROUTE $]]/Table15[[#This Row],[E - DEMAND]],0)</f>
        <v>67523.378371232146</v>
      </c>
      <c r="L314" s="204">
        <v>3782</v>
      </c>
      <c r="M314" s="412">
        <f>IFERROR(VLOOKUP(Table15[[#This Row],[ROUTE]],DEMAND!A:F,5,FALSE),0)</f>
        <v>4009</v>
      </c>
      <c r="N314" s="16">
        <f>IFERROR(VLOOKUP(Table15[[#This Row],[ROUTE]],DEMAND!A:F,6,FALSE),0)</f>
        <v>597</v>
      </c>
      <c r="O314" s="16">
        <f>IFERROR(ROUNDDOWN(Table15[[#This Row],[R-DEMAND]]/1706,0),0)</f>
        <v>0</v>
      </c>
      <c r="P314" s="16">
        <f>IFERROR(Table15[[#This Row],[ADD ACC]]*Table15[[#This Row],[RT TIME 
(380-800)]],0)</f>
        <v>0</v>
      </c>
      <c r="Q314" s="415">
        <f>IFERROR(VLOOKUP(Table15[[#This Row],[ROUTE]],PRICING!A:B,2,FALSE),0)</f>
        <v>2009</v>
      </c>
      <c r="R314" s="235">
        <f>IFERROR(Table15[[#This Row],[C_DEMAND]]-Table15[[#This Row],[R-DEMAND]],0)</f>
        <v>3412</v>
      </c>
      <c r="S314" s="408">
        <f t="shared" si="4"/>
        <v>6854708</v>
      </c>
      <c r="T314" s="419">
        <f>Table15[[#This Row],[R-DEMAND]]-(Table15[[#This Row],[ADD ACC]]*1706)</f>
        <v>597</v>
      </c>
      <c r="U314" s="419">
        <f>ROUNDDOWN(Table15[[#This Row],[Column1]]/1360,0)</f>
        <v>0</v>
      </c>
      <c r="V314" s="419"/>
      <c r="W314" s="251">
        <v>18.75</v>
      </c>
      <c r="X314" s="251">
        <f>ROUNDDOWN(Table15[[#This Row],[R-DEMAND]]/1320,0)</f>
        <v>0</v>
      </c>
      <c r="Y314" s="251">
        <f>IFERROR(Table15[[#This Row],[ADD ACC
(660/1320)]]*Table15[[#This Row],[Duration
(B744)]],0)</f>
        <v>0</v>
      </c>
      <c r="Z314" s="251"/>
    </row>
    <row r="315" spans="1:26" ht="15.75" customHeight="1" x14ac:dyDescent="0.25">
      <c r="A315" s="210" t="s">
        <v>15274</v>
      </c>
      <c r="B315" s="204" t="s">
        <v>5762</v>
      </c>
      <c r="C315" s="204" t="s">
        <v>2</v>
      </c>
      <c r="D315" s="205">
        <v>5</v>
      </c>
      <c r="E315" s="16" t="s">
        <v>11732</v>
      </c>
      <c r="F315" s="204" t="str">
        <f>VLOOKUP(E315,Table10[[COUNTRY NAME]:[CONTINENT CODE]],3,FALSE)</f>
        <v>NA - US</v>
      </c>
      <c r="G315" s="206" t="s">
        <v>13309</v>
      </c>
      <c r="H315" s="207">
        <v>12946</v>
      </c>
      <c r="I315" s="208">
        <v>30.75</v>
      </c>
      <c r="J315" s="345">
        <v>310224018</v>
      </c>
      <c r="K315" s="345">
        <f>IFERROR(Table15[[#This Row],[ROUTE $]]/Table15[[#This Row],[E - DEMAND]],0)</f>
        <v>82881.116216938288</v>
      </c>
      <c r="L315" s="204">
        <v>3743</v>
      </c>
      <c r="M315" s="412">
        <f>IFERROR(VLOOKUP(Table15[[#This Row],[ROUTE]],DEMAND!A:F,5,FALSE),0)</f>
        <v>3993</v>
      </c>
      <c r="N315" s="16">
        <f>IFERROR(VLOOKUP(Table15[[#This Row],[ROUTE]],DEMAND!A:F,6,FALSE),0)</f>
        <v>581</v>
      </c>
      <c r="O315" s="16">
        <f>IFERROR(ROUNDDOWN(Table15[[#This Row],[R-DEMAND]]/1706,0),0)</f>
        <v>0</v>
      </c>
      <c r="P315" s="16">
        <f>IFERROR(Table15[[#This Row],[ADD ACC]]*Table15[[#This Row],[RT TIME 
(380-800)]],0)</f>
        <v>0</v>
      </c>
      <c r="Q315" s="415">
        <f>IFERROR(VLOOKUP(Table15[[#This Row],[ROUTE]],PRICING!A:B,2,FALSE),0)</f>
        <v>3306</v>
      </c>
      <c r="R315" s="235">
        <f>IFERROR(Table15[[#This Row],[C_DEMAND]]-Table15[[#This Row],[R-DEMAND]],0)</f>
        <v>3412</v>
      </c>
      <c r="S315" s="408">
        <f t="shared" si="4"/>
        <v>11280072</v>
      </c>
      <c r="T315" s="419">
        <f>Table15[[#This Row],[R-DEMAND]]-(Table15[[#This Row],[ADD ACC]]*1706)</f>
        <v>581</v>
      </c>
      <c r="U315" s="419">
        <f>ROUNDDOWN(Table15[[#This Row],[Column1]]/1360,0)</f>
        <v>0</v>
      </c>
      <c r="V315" s="419"/>
      <c r="W315" s="251">
        <v>30.75</v>
      </c>
      <c r="X315" s="251">
        <f>ROUNDDOWN(Table15[[#This Row],[R-DEMAND]]/1320,0)</f>
        <v>0</v>
      </c>
      <c r="Y315" s="251">
        <f>IFERROR(Table15[[#This Row],[ADD ACC
(660/1320)]]*Table15[[#This Row],[Duration
(B744)]],0)</f>
        <v>0</v>
      </c>
      <c r="Z315" s="251"/>
    </row>
    <row r="316" spans="1:26" ht="15.75" customHeight="1" x14ac:dyDescent="0.25">
      <c r="A316" s="210" t="s">
        <v>15547</v>
      </c>
      <c r="B316" s="204" t="s">
        <v>157</v>
      </c>
      <c r="C316" s="204" t="s">
        <v>2</v>
      </c>
      <c r="D316" s="205">
        <v>5</v>
      </c>
      <c r="E316" s="204" t="s">
        <v>1427</v>
      </c>
      <c r="F316" s="204" t="str">
        <f>VLOOKUP(E316,Table10[[COUNTRY NAME]:[CONTINENT CODE]],3,FALSE)</f>
        <v>EU</v>
      </c>
      <c r="G316" s="206" t="s">
        <v>11057</v>
      </c>
      <c r="H316" s="207">
        <v>6313</v>
      </c>
      <c r="I316" s="208">
        <v>16</v>
      </c>
      <c r="J316" s="345">
        <v>236857409</v>
      </c>
      <c r="K316" s="345">
        <f>IFERROR(Table15[[#This Row],[ROUTE $]]/Table15[[#This Row],[E - DEMAND]],0)</f>
        <v>62577.915191545573</v>
      </c>
      <c r="L316" s="204">
        <v>3785</v>
      </c>
      <c r="M316" s="412">
        <f>IFERROR(VLOOKUP(Table15[[#This Row],[ROUTE]],DEMAND!A:F,5,FALSE),0)</f>
        <v>3987</v>
      </c>
      <c r="N316" s="16">
        <f>IFERROR(VLOOKUP(Table15[[#This Row],[ROUTE]],DEMAND!A:F,6,FALSE),0)</f>
        <v>575</v>
      </c>
      <c r="O316" s="16">
        <f>IFERROR(ROUNDDOWN(Table15[[#This Row],[R-DEMAND]]/1706,0),0)</f>
        <v>0</v>
      </c>
      <c r="P316" s="16">
        <f>IFERROR(Table15[[#This Row],[ADD ACC]]*Table15[[#This Row],[RT TIME 
(380-800)]],0)</f>
        <v>0</v>
      </c>
      <c r="Q316" s="415">
        <f>IFERROR(VLOOKUP(Table15[[#This Row],[ROUTE]],PRICING!A:B,2,FALSE),0)</f>
        <v>1744</v>
      </c>
      <c r="R316" s="235">
        <f>IFERROR(Table15[[#This Row],[C_DEMAND]]-Table15[[#This Row],[R-DEMAND]],0)</f>
        <v>3412</v>
      </c>
      <c r="S316" s="408">
        <f t="shared" si="4"/>
        <v>5950528</v>
      </c>
      <c r="T316" s="419">
        <f>Table15[[#This Row],[R-DEMAND]]-(Table15[[#This Row],[ADD ACC]]*1706)</f>
        <v>575</v>
      </c>
      <c r="U316" s="419">
        <f>ROUNDDOWN(Table15[[#This Row],[Column1]]/1360,0)</f>
        <v>0</v>
      </c>
      <c r="V316" s="419"/>
      <c r="W316" s="251">
        <v>16</v>
      </c>
      <c r="X316" s="251">
        <f>ROUNDDOWN(Table15[[#This Row],[R-DEMAND]]/1320,0)</f>
        <v>0</v>
      </c>
      <c r="Y316" s="251">
        <f>IFERROR(Table15[[#This Row],[ADD ACC
(660/1320)]]*Table15[[#This Row],[Duration
(B744)]],0)</f>
        <v>0</v>
      </c>
      <c r="Z316" s="251"/>
    </row>
    <row r="317" spans="1:26" ht="15.75" customHeight="1" x14ac:dyDescent="0.25">
      <c r="A317" s="210" t="s">
        <v>15222</v>
      </c>
      <c r="B317" s="204" t="s">
        <v>5768</v>
      </c>
      <c r="C317" s="204" t="s">
        <v>2</v>
      </c>
      <c r="D317" s="205">
        <v>5</v>
      </c>
      <c r="E317" s="16" t="s">
        <v>11732</v>
      </c>
      <c r="F317" s="204" t="str">
        <f>VLOOKUP(E317,Table10[[COUNTRY NAME]:[CONTINENT CODE]],3,FALSE)</f>
        <v>NA - US</v>
      </c>
      <c r="G317" s="206" t="s">
        <v>13354</v>
      </c>
      <c r="H317" s="207">
        <v>13681</v>
      </c>
      <c r="I317" s="208">
        <v>32.5</v>
      </c>
      <c r="J317" s="345">
        <v>317155569</v>
      </c>
      <c r="K317" s="345">
        <f>IFERROR(Table15[[#This Row],[ROUTE $]]/Table15[[#This Row],[E - DEMAND]],0)</f>
        <v>84732.98664173123</v>
      </c>
      <c r="L317" s="204">
        <v>3743</v>
      </c>
      <c r="M317" s="412">
        <f>IFERROR(VLOOKUP(Table15[[#This Row],[ROUTE]],DEMAND!A:F,5,FALSE),0)</f>
        <v>3980</v>
      </c>
      <c r="N317" s="16">
        <f>IFERROR(VLOOKUP(Table15[[#This Row],[ROUTE]],DEMAND!A:F,6,FALSE),0)</f>
        <v>568</v>
      </c>
      <c r="O317" s="16">
        <f>IFERROR(ROUNDDOWN(Table15[[#This Row],[R-DEMAND]]/1706,0),0)</f>
        <v>0</v>
      </c>
      <c r="P317" s="16">
        <f>IFERROR(Table15[[#This Row],[ADD ACC]]*Table15[[#This Row],[RT TIME 
(380-800)]],0)</f>
        <v>0</v>
      </c>
      <c r="Q317" s="415">
        <f>IFERROR(VLOOKUP(Table15[[#This Row],[ROUTE]],PRICING!A:B,2,FALSE),0)</f>
        <v>3532</v>
      </c>
      <c r="R317" s="235">
        <f>IFERROR(Table15[[#This Row],[C_DEMAND]]-Table15[[#This Row],[R-DEMAND]],0)</f>
        <v>3412</v>
      </c>
      <c r="S317" s="408">
        <f t="shared" si="4"/>
        <v>12051184</v>
      </c>
      <c r="T317" s="419">
        <f>Table15[[#This Row],[R-DEMAND]]-(Table15[[#This Row],[ADD ACC]]*1706)</f>
        <v>568</v>
      </c>
      <c r="U317" s="419">
        <f>ROUNDDOWN(Table15[[#This Row],[Column1]]/1360,0)</f>
        <v>0</v>
      </c>
      <c r="V317" s="419"/>
      <c r="W317" s="349"/>
      <c r="X317" s="349"/>
      <c r="Y317" s="349"/>
      <c r="Z317" s="349"/>
    </row>
    <row r="318" spans="1:26" ht="15.75" customHeight="1" x14ac:dyDescent="0.25">
      <c r="A318" s="210" t="s">
        <v>15380</v>
      </c>
      <c r="B318" s="204" t="s">
        <v>50</v>
      </c>
      <c r="C318" s="204" t="s">
        <v>2</v>
      </c>
      <c r="D318" s="205">
        <v>2</v>
      </c>
      <c r="E318" s="204" t="s">
        <v>608</v>
      </c>
      <c r="F318" s="204" t="str">
        <f>VLOOKUP(E318,Table10[[COUNTRY NAME]:[CONTINENT CODE]],3,FALSE)</f>
        <v>AF</v>
      </c>
      <c r="G318" s="206" t="s">
        <v>11682</v>
      </c>
      <c r="H318" s="207">
        <v>7798</v>
      </c>
      <c r="I318" s="208">
        <v>19.5</v>
      </c>
      <c r="J318" s="345">
        <v>204447179</v>
      </c>
      <c r="K318" s="345">
        <f>IFERROR(Table15[[#This Row],[ROUTE $]]/Table15[[#This Row],[E - DEMAND]],0)</f>
        <v>53352.604123173274</v>
      </c>
      <c r="L318" s="204">
        <v>3832</v>
      </c>
      <c r="M318" s="412">
        <f>IFERROR(VLOOKUP(Table15[[#This Row],[ROUTE]],DEMAND!A:F,5,FALSE),0)</f>
        <v>3973</v>
      </c>
      <c r="N318" s="16">
        <f>IFERROR(VLOOKUP(Table15[[#This Row],[ROUTE]],DEMAND!A:F,6,FALSE),0)</f>
        <v>561</v>
      </c>
      <c r="O318" s="16">
        <f>IFERROR(ROUNDDOWN(Table15[[#This Row],[R-DEMAND]]/1706,0),0)</f>
        <v>0</v>
      </c>
      <c r="P318" s="16">
        <f>IFERROR(Table15[[#This Row],[ADD ACC]]*Table15[[#This Row],[RT TIME 
(380-800)]],0)</f>
        <v>0</v>
      </c>
      <c r="Q318" s="415">
        <f>IFERROR(VLOOKUP(Table15[[#This Row],[ROUTE]],PRICING!A:B,2,FALSE),0)</f>
        <v>2257</v>
      </c>
      <c r="R318" s="235">
        <f>IFERROR(Table15[[#This Row],[C_DEMAND]]-Table15[[#This Row],[R-DEMAND]],0)</f>
        <v>3412</v>
      </c>
      <c r="S318" s="408">
        <f t="shared" si="4"/>
        <v>7700884</v>
      </c>
      <c r="T318" s="419">
        <f>Table15[[#This Row],[R-DEMAND]]-(Table15[[#This Row],[ADD ACC]]*1706)</f>
        <v>561</v>
      </c>
      <c r="U318" s="419">
        <f>ROUNDDOWN(Table15[[#This Row],[Column1]]/1360,0)</f>
        <v>0</v>
      </c>
      <c r="V318" s="419"/>
      <c r="W318" s="251">
        <v>19.5</v>
      </c>
      <c r="X318" s="251">
        <f>ROUNDDOWN(Table15[[#This Row],[R-DEMAND]]/1320,0)</f>
        <v>0</v>
      </c>
      <c r="Y318" s="251">
        <f>IFERROR(Table15[[#This Row],[ADD ACC
(660/1320)]]*Table15[[#This Row],[Duration
(B744)]],0)</f>
        <v>0</v>
      </c>
      <c r="Z318" s="251"/>
    </row>
    <row r="319" spans="1:26" ht="15.75" customHeight="1" x14ac:dyDescent="0.25">
      <c r="A319" s="210" t="s">
        <v>15150</v>
      </c>
      <c r="B319" s="204" t="s">
        <v>381</v>
      </c>
      <c r="C319" s="204" t="s">
        <v>2</v>
      </c>
      <c r="D319" s="205">
        <v>4</v>
      </c>
      <c r="E319" s="204" t="s">
        <v>4045</v>
      </c>
      <c r="F319" s="204" t="str">
        <f>VLOOKUP(E319,Table10[[COUNTRY NAME]:[CONTINENT CODE]],3,FALSE)</f>
        <v>SA</v>
      </c>
      <c r="G319" s="206" t="s">
        <v>13377</v>
      </c>
      <c r="H319" s="207">
        <v>14518</v>
      </c>
      <c r="I319" s="208">
        <v>34.25</v>
      </c>
      <c r="J319" s="345">
        <v>298402863</v>
      </c>
      <c r="K319" s="345">
        <f>IFERROR(Table15[[#This Row],[ROUTE $]]/Table15[[#This Row],[E - DEMAND]],0)</f>
        <v>79489.308204581786</v>
      </c>
      <c r="L319" s="204">
        <v>3754</v>
      </c>
      <c r="M319" s="412">
        <f>IFERROR(VLOOKUP(Table15[[#This Row],[ROUTE]],DEMAND!A:F,5,FALSE),0)</f>
        <v>3966</v>
      </c>
      <c r="N319" s="16">
        <f>IFERROR(VLOOKUP(Table15[[#This Row],[ROUTE]],DEMAND!A:F,6,FALSE),0)</f>
        <v>554</v>
      </c>
      <c r="O319" s="16">
        <f>IFERROR(ROUNDDOWN(Table15[[#This Row],[R-DEMAND]]/1706,0),0)</f>
        <v>0</v>
      </c>
      <c r="P319" s="16">
        <f>IFERROR(Table15[[#This Row],[ADD ACC]]*Table15[[#This Row],[RT TIME 
(380-800)]],0)</f>
        <v>0</v>
      </c>
      <c r="Q319" s="415">
        <f>IFERROR(VLOOKUP(Table15[[#This Row],[ROUTE]],PRICING!A:B,2,FALSE),0)</f>
        <v>3834</v>
      </c>
      <c r="R319" s="235">
        <f>IFERROR(Table15[[#This Row],[C_DEMAND]]-Table15[[#This Row],[R-DEMAND]],0)</f>
        <v>3412</v>
      </c>
      <c r="S319" s="408">
        <f t="shared" si="4"/>
        <v>13081608</v>
      </c>
      <c r="T319" s="419">
        <f>Table15[[#This Row],[R-DEMAND]]-(Table15[[#This Row],[ADD ACC]]*1706)</f>
        <v>554</v>
      </c>
      <c r="U319" s="419">
        <f>ROUNDDOWN(Table15[[#This Row],[Column1]]/1360,0)</f>
        <v>0</v>
      </c>
      <c r="V319" s="419"/>
      <c r="W319" s="349"/>
      <c r="X319" s="349"/>
      <c r="Y319" s="349"/>
      <c r="Z319" s="349"/>
    </row>
    <row r="320" spans="1:26" ht="15.75" customHeight="1" x14ac:dyDescent="0.25">
      <c r="A320" s="210" t="s">
        <v>15383</v>
      </c>
      <c r="B320" s="204" t="s">
        <v>4104</v>
      </c>
      <c r="C320" s="204" t="s">
        <v>2</v>
      </c>
      <c r="D320" s="205">
        <v>2</v>
      </c>
      <c r="E320" s="204" t="s">
        <v>608</v>
      </c>
      <c r="F320" s="204" t="str">
        <f>VLOOKUP(E320,Table10[[COUNTRY NAME]:[CONTINENT CODE]],3,FALSE)</f>
        <v>AF</v>
      </c>
      <c r="G320" s="206" t="s">
        <v>11686</v>
      </c>
      <c r="H320" s="207">
        <v>7747</v>
      </c>
      <c r="I320" s="208">
        <v>19.25</v>
      </c>
      <c r="J320" s="345">
        <v>204031353</v>
      </c>
      <c r="K320" s="345">
        <f>IFERROR(Table15[[#This Row],[ROUTE $]]/Table15[[#This Row],[E - DEMAND]],0)</f>
        <v>53876.77660417217</v>
      </c>
      <c r="L320" s="204">
        <v>3787</v>
      </c>
      <c r="M320" s="412">
        <f>IFERROR(VLOOKUP(Table15[[#This Row],[ROUTE]],DEMAND!A:F,5,FALSE),0)</f>
        <v>3963</v>
      </c>
      <c r="N320" s="16">
        <f>IFERROR(VLOOKUP(Table15[[#This Row],[ROUTE]],DEMAND!A:F,6,FALSE),0)</f>
        <v>551</v>
      </c>
      <c r="O320" s="16">
        <f>IFERROR(ROUNDDOWN(Table15[[#This Row],[R-DEMAND]]/1706,0),0)</f>
        <v>0</v>
      </c>
      <c r="P320" s="16">
        <f>IFERROR(Table15[[#This Row],[ADD ACC]]*Table15[[#This Row],[RT TIME 
(380-800)]],0)</f>
        <v>0</v>
      </c>
      <c r="Q320" s="415">
        <f>IFERROR(VLOOKUP(Table15[[#This Row],[ROUTE]],PRICING!A:B,2,FALSE),0)</f>
        <v>2168</v>
      </c>
      <c r="R320" s="235">
        <f>IFERROR(Table15[[#This Row],[C_DEMAND]]-Table15[[#This Row],[R-DEMAND]],0)</f>
        <v>3412</v>
      </c>
      <c r="S320" s="408">
        <f t="shared" si="4"/>
        <v>7397216</v>
      </c>
      <c r="T320" s="419">
        <f>Table15[[#This Row],[R-DEMAND]]-(Table15[[#This Row],[ADD ACC]]*1706)</f>
        <v>551</v>
      </c>
      <c r="U320" s="419">
        <f>ROUNDDOWN(Table15[[#This Row],[Column1]]/1360,0)</f>
        <v>0</v>
      </c>
      <c r="V320" s="419"/>
      <c r="W320" s="251">
        <v>19.25</v>
      </c>
      <c r="X320" s="251">
        <f>ROUNDDOWN(Table15[[#This Row],[R-DEMAND]]/1320,0)</f>
        <v>0</v>
      </c>
      <c r="Y320" s="251">
        <f>IFERROR(Table15[[#This Row],[ADD ACC
(660/1320)]]*Table15[[#This Row],[Duration
(B744)]],0)</f>
        <v>0</v>
      </c>
      <c r="Z320" s="251"/>
    </row>
    <row r="321" spans="1:26" ht="15.75" customHeight="1" x14ac:dyDescent="0.25">
      <c r="A321" s="210" t="s">
        <v>15428</v>
      </c>
      <c r="B321" s="204" t="s">
        <v>200</v>
      </c>
      <c r="C321" s="204" t="s">
        <v>2</v>
      </c>
      <c r="D321" s="205">
        <v>5</v>
      </c>
      <c r="E321" s="204" t="s">
        <v>83</v>
      </c>
      <c r="F321" s="204" t="str">
        <f>VLOOKUP(E321,Table10[[COUNTRY NAME]:[CONTINENT CODE]],3,FALSE)</f>
        <v>EU</v>
      </c>
      <c r="G321" s="206" t="s">
        <v>11067</v>
      </c>
      <c r="H321" s="207">
        <v>7195</v>
      </c>
      <c r="I321" s="208">
        <v>18</v>
      </c>
      <c r="J321" s="345">
        <v>244926092</v>
      </c>
      <c r="K321" s="345">
        <f>IFERROR(Table15[[#This Row],[ROUTE $]]/Table15[[#This Row],[E - DEMAND]],0)</f>
        <v>64846.728091077573</v>
      </c>
      <c r="L321" s="204">
        <v>3777</v>
      </c>
      <c r="M321" s="412">
        <f>IFERROR(VLOOKUP(Table15[[#This Row],[ROUTE]],DEMAND!A:F,5,FALSE),0)</f>
        <v>3953</v>
      </c>
      <c r="N321" s="16">
        <f>IFERROR(VLOOKUP(Table15[[#This Row],[ROUTE]],DEMAND!A:F,6,FALSE),0)</f>
        <v>541</v>
      </c>
      <c r="O321" s="16">
        <f>IFERROR(ROUNDDOWN(Table15[[#This Row],[R-DEMAND]]/1706,0),0)</f>
        <v>0</v>
      </c>
      <c r="P321" s="16">
        <f>IFERROR(Table15[[#This Row],[ADD ACC]]*Table15[[#This Row],[RT TIME 
(380-800)]],0)</f>
        <v>0</v>
      </c>
      <c r="Q321" s="415">
        <f>IFERROR(VLOOKUP(Table15[[#This Row],[ROUTE]],PRICING!A:B,2,FALSE),0)</f>
        <v>2021</v>
      </c>
      <c r="R321" s="235">
        <f>IFERROR(Table15[[#This Row],[C_DEMAND]]-Table15[[#This Row],[R-DEMAND]],0)</f>
        <v>3412</v>
      </c>
      <c r="S321" s="408">
        <f t="shared" si="4"/>
        <v>6895652</v>
      </c>
      <c r="T321" s="419">
        <f>Table15[[#This Row],[R-DEMAND]]-(Table15[[#This Row],[ADD ACC]]*1706)</f>
        <v>541</v>
      </c>
      <c r="U321" s="419">
        <f>ROUNDDOWN(Table15[[#This Row],[Column1]]/1360,0)</f>
        <v>0</v>
      </c>
      <c r="V321" s="419"/>
      <c r="W321" s="251">
        <v>18</v>
      </c>
      <c r="X321" s="251">
        <f>ROUNDDOWN(Table15[[#This Row],[R-DEMAND]]/1320,0)</f>
        <v>0</v>
      </c>
      <c r="Y321" s="251">
        <f>IFERROR(Table15[[#This Row],[ADD ACC
(660/1320)]]*Table15[[#This Row],[Duration
(B744)]],0)</f>
        <v>0</v>
      </c>
      <c r="Z321" s="251"/>
    </row>
    <row r="322" spans="1:26" ht="15.75" customHeight="1" x14ac:dyDescent="0.25">
      <c r="A322" s="210" t="s">
        <v>15745</v>
      </c>
      <c r="B322" s="204" t="s">
        <v>385</v>
      </c>
      <c r="C322" s="204" t="s">
        <v>2</v>
      </c>
      <c r="D322" s="205">
        <v>5</v>
      </c>
      <c r="E322" s="204" t="s">
        <v>14</v>
      </c>
      <c r="F322" s="204" t="str">
        <f>VLOOKUP(E322,Table10[[COUNTRY NAME]:[CONTINENT CODE]],3,FALSE)</f>
        <v>AS</v>
      </c>
      <c r="G322" s="206" t="s">
        <v>384</v>
      </c>
      <c r="H322" s="207">
        <v>4205</v>
      </c>
      <c r="I322" s="208">
        <v>11.5</v>
      </c>
      <c r="J322" s="345">
        <v>217742056</v>
      </c>
      <c r="K322" s="345">
        <f>IFERROR(Table15[[#This Row],[ROUTE $]]/Table15[[#This Row],[E - DEMAND]],0)</f>
        <v>39784.771788781291</v>
      </c>
      <c r="L322" s="204">
        <v>5473</v>
      </c>
      <c r="M322" s="412">
        <f>IFERROR(VLOOKUP(Table15[[#This Row],[ROUTE]],DEMAND!A:F,5,FALSE),0)</f>
        <v>5656</v>
      </c>
      <c r="N322" s="16">
        <f>IFERROR(VLOOKUP(Table15[[#This Row],[ROUTE]],DEMAND!A:F,6,FALSE),0)</f>
        <v>538</v>
      </c>
      <c r="O322" s="16">
        <f>IFERROR(ROUNDDOWN(Table15[[#This Row],[R-DEMAND]]/1706,0),0)</f>
        <v>0</v>
      </c>
      <c r="P322" s="16">
        <f>IFERROR(Table15[[#This Row],[ADD ACC]]*Table15[[#This Row],[RT TIME 
(380-800)]],0)</f>
        <v>0</v>
      </c>
      <c r="Q322" s="415">
        <f>IFERROR(VLOOKUP(Table15[[#This Row],[ROUTE]],PRICING!A:B,2,FALSE),0)</f>
        <v>1280</v>
      </c>
      <c r="R322" s="235">
        <f>IFERROR(Table15[[#This Row],[C_DEMAND]]-Table15[[#This Row],[R-DEMAND]],0)</f>
        <v>5118</v>
      </c>
      <c r="S322" s="408">
        <f t="shared" si="4"/>
        <v>6551040</v>
      </c>
      <c r="T322" s="419">
        <f>Table15[[#This Row],[R-DEMAND]]-(Table15[[#This Row],[ADD ACC]]*1706)</f>
        <v>538</v>
      </c>
      <c r="U322" s="419">
        <f>ROUNDDOWN(Table15[[#This Row],[Column1]]/1360,0)</f>
        <v>0</v>
      </c>
      <c r="V322" s="419"/>
      <c r="W322" s="251">
        <v>11.5</v>
      </c>
      <c r="X322" s="251">
        <f>ROUNDDOWN(Table15[[#This Row],[R-DEMAND]]/1320,0)</f>
        <v>0</v>
      </c>
      <c r="Y322" s="251">
        <f>IFERROR(Table15[[#This Row],[ADD ACC
(660/1320)]]*Table15[[#This Row],[Duration
(B744)]],0)</f>
        <v>0</v>
      </c>
      <c r="Z322" s="251"/>
    </row>
    <row r="323" spans="1:26" ht="15.75" customHeight="1" x14ac:dyDescent="0.25">
      <c r="A323" s="210" t="s">
        <v>15114</v>
      </c>
      <c r="B323" s="204" t="s">
        <v>408</v>
      </c>
      <c r="C323" s="204" t="s">
        <v>2</v>
      </c>
      <c r="D323" s="205">
        <v>4</v>
      </c>
      <c r="E323" s="204" t="s">
        <v>860</v>
      </c>
      <c r="F323" s="204" t="str">
        <f>VLOOKUP(E323,Table10[[COUNTRY NAME]:[CONTINENT CODE]],3,FALSE)</f>
        <v>SA</v>
      </c>
      <c r="G323" s="206" t="s">
        <v>13184</v>
      </c>
      <c r="H323" s="207">
        <v>15543</v>
      </c>
      <c r="I323" s="208">
        <v>36.5</v>
      </c>
      <c r="J323" s="345">
        <v>318452735</v>
      </c>
      <c r="K323" s="345">
        <f>IFERROR(Table15[[#This Row],[ROUTE $]]/Table15[[#This Row],[E - DEMAND]],0)</f>
        <v>85513.623791621911</v>
      </c>
      <c r="L323" s="204">
        <v>3724</v>
      </c>
      <c r="M323" s="412">
        <f>IFERROR(VLOOKUP(Table15[[#This Row],[ROUTE]],DEMAND!A:F,5,FALSE),0)</f>
        <v>3948</v>
      </c>
      <c r="N323" s="16">
        <f>IFERROR(VLOOKUP(Table15[[#This Row],[ROUTE]],DEMAND!A:F,6,FALSE),0)</f>
        <v>536</v>
      </c>
      <c r="O323" s="16">
        <f>IFERROR(ROUNDDOWN(Table15[[#This Row],[R-DEMAND]]/1706,0),0)</f>
        <v>0</v>
      </c>
      <c r="P323" s="16">
        <f>IFERROR(Table15[[#This Row],[ADD ACC]]*Table15[[#This Row],[RT TIME 
(380-800)]],0)</f>
        <v>0</v>
      </c>
      <c r="Q323" s="415">
        <f>IFERROR(VLOOKUP(Table15[[#This Row],[ROUTE]],PRICING!A:B,2,FALSE),0)</f>
        <v>4049</v>
      </c>
      <c r="R323" s="235">
        <f>IFERROR(Table15[[#This Row],[C_DEMAND]]-Table15[[#This Row],[R-DEMAND]],0)</f>
        <v>3412</v>
      </c>
      <c r="S323" s="408">
        <f t="shared" ref="S323:S386" si="5">IFERROR(R323*Q323,0)</f>
        <v>13815188</v>
      </c>
      <c r="T323" s="419">
        <f>Table15[[#This Row],[R-DEMAND]]-(Table15[[#This Row],[ADD ACC]]*1706)</f>
        <v>536</v>
      </c>
      <c r="U323" s="419">
        <f>ROUNDDOWN(Table15[[#This Row],[Column1]]/1360,0)</f>
        <v>0</v>
      </c>
      <c r="V323" s="419"/>
      <c r="W323" s="349"/>
      <c r="X323" s="349"/>
      <c r="Y323" s="349"/>
      <c r="Z323" s="349"/>
    </row>
    <row r="324" spans="1:26" ht="15.75" customHeight="1" x14ac:dyDescent="0.25">
      <c r="A324" s="210" t="s">
        <v>15587</v>
      </c>
      <c r="B324" s="204" t="s">
        <v>5661</v>
      </c>
      <c r="C324" s="204" t="s">
        <v>2</v>
      </c>
      <c r="D324" s="205">
        <v>4</v>
      </c>
      <c r="E324" s="204" t="s">
        <v>142</v>
      </c>
      <c r="F324" s="204" t="str">
        <f>VLOOKUP(E324,Table10[[COUNTRY NAME]:[CONTINENT CODE]],3,FALSE)</f>
        <v>AS</v>
      </c>
      <c r="G324" s="206" t="s">
        <v>9777</v>
      </c>
      <c r="H324" s="207">
        <v>5886</v>
      </c>
      <c r="I324" s="208">
        <v>15.25</v>
      </c>
      <c r="J324" s="345">
        <v>221598862</v>
      </c>
      <c r="K324" s="345">
        <f>IFERROR(Table15[[#This Row],[ROUTE $]]/Table15[[#This Row],[E - DEMAND]],0)</f>
        <v>59810.758974358978</v>
      </c>
      <c r="L324" s="204">
        <v>3705</v>
      </c>
      <c r="M324" s="412">
        <f>IFERROR(VLOOKUP(Table15[[#This Row],[ROUTE]],DEMAND!A:F,5,FALSE),0)</f>
        <v>3940</v>
      </c>
      <c r="N324" s="16">
        <f>IFERROR(VLOOKUP(Table15[[#This Row],[ROUTE]],DEMAND!A:F,6,FALSE),0)</f>
        <v>528</v>
      </c>
      <c r="O324" s="16">
        <f>IFERROR(ROUNDDOWN(Table15[[#This Row],[R-DEMAND]]/1706,0),0)</f>
        <v>0</v>
      </c>
      <c r="P324" s="16">
        <f>IFERROR(Table15[[#This Row],[ADD ACC]]*Table15[[#This Row],[RT TIME 
(380-800)]],0)</f>
        <v>0</v>
      </c>
      <c r="Q324" s="415">
        <f>IFERROR(VLOOKUP(Table15[[#This Row],[ROUTE]],PRICING!A:B,2,FALSE),0)</f>
        <v>1574</v>
      </c>
      <c r="R324" s="235">
        <f>IFERROR(Table15[[#This Row],[C_DEMAND]]-Table15[[#This Row],[R-DEMAND]],0)</f>
        <v>3412</v>
      </c>
      <c r="S324" s="408">
        <f t="shared" si="5"/>
        <v>5370488</v>
      </c>
      <c r="T324" s="419">
        <f>Table15[[#This Row],[R-DEMAND]]-(Table15[[#This Row],[ADD ACC]]*1706)</f>
        <v>528</v>
      </c>
      <c r="U324" s="419">
        <f>ROUNDDOWN(Table15[[#This Row],[Column1]]/1360,0)</f>
        <v>0</v>
      </c>
      <c r="V324" s="419"/>
      <c r="W324" s="251">
        <v>15.25</v>
      </c>
      <c r="X324" s="251">
        <f>ROUNDDOWN(Table15[[#This Row],[R-DEMAND]]/1320,0)</f>
        <v>0</v>
      </c>
      <c r="Y324" s="251">
        <f>IFERROR(Table15[[#This Row],[ADD ACC
(660/1320)]]*Table15[[#This Row],[Duration
(B744)]],0)</f>
        <v>0</v>
      </c>
      <c r="Z324" s="251"/>
    </row>
    <row r="325" spans="1:26" ht="15.75" customHeight="1" x14ac:dyDescent="0.25">
      <c r="A325" s="210" t="s">
        <v>15560</v>
      </c>
      <c r="B325" s="204" t="s">
        <v>309</v>
      </c>
      <c r="C325" s="204" t="s">
        <v>2</v>
      </c>
      <c r="D325" s="205">
        <v>5</v>
      </c>
      <c r="E325" s="204" t="s">
        <v>308</v>
      </c>
      <c r="F325" s="204" t="str">
        <f>VLOOKUP(E325,Table10[[COUNTRY NAME]:[CONTINENT CODE]],3,FALSE)</f>
        <v>EU</v>
      </c>
      <c r="G325" s="206" t="s">
        <v>307</v>
      </c>
      <c r="H325" s="207">
        <v>6195</v>
      </c>
      <c r="I325" s="208">
        <v>15.75</v>
      </c>
      <c r="J325" s="345">
        <v>236515625</v>
      </c>
      <c r="K325" s="345">
        <f>IFERROR(Table15[[#This Row],[ROUTE $]]/Table15[[#This Row],[E - DEMAND]],0)</f>
        <v>62886.366657803774</v>
      </c>
      <c r="L325" s="204">
        <v>3761</v>
      </c>
      <c r="M325" s="412">
        <f>IFERROR(VLOOKUP(Table15[[#This Row],[ROUTE]],DEMAND!A:F,5,FALSE),0)</f>
        <v>3936</v>
      </c>
      <c r="N325" s="16">
        <f>IFERROR(VLOOKUP(Table15[[#This Row],[ROUTE]],DEMAND!A:F,6,FALSE),0)</f>
        <v>524</v>
      </c>
      <c r="O325" s="16">
        <f>IFERROR(ROUNDDOWN(Table15[[#This Row],[R-DEMAND]]/1706,0),0)</f>
        <v>0</v>
      </c>
      <c r="P325" s="16">
        <f>IFERROR(Table15[[#This Row],[ADD ACC]]*Table15[[#This Row],[RT TIME 
(380-800)]],0)</f>
        <v>0</v>
      </c>
      <c r="Q325" s="415">
        <f>IFERROR(VLOOKUP(Table15[[#This Row],[ROUTE]],PRICING!A:B,2,FALSE),0)</f>
        <v>1754</v>
      </c>
      <c r="R325" s="235">
        <f>IFERROR(Table15[[#This Row],[C_DEMAND]]-Table15[[#This Row],[R-DEMAND]],0)</f>
        <v>3412</v>
      </c>
      <c r="S325" s="408">
        <f t="shared" si="5"/>
        <v>5984648</v>
      </c>
      <c r="T325" s="419">
        <f>Table15[[#This Row],[R-DEMAND]]-(Table15[[#This Row],[ADD ACC]]*1706)</f>
        <v>524</v>
      </c>
      <c r="U325" s="419">
        <f>ROUNDDOWN(Table15[[#This Row],[Column1]]/1360,0)</f>
        <v>0</v>
      </c>
      <c r="V325" s="419"/>
      <c r="W325" s="251">
        <v>15.75</v>
      </c>
      <c r="X325" s="251">
        <f>ROUNDDOWN(Table15[[#This Row],[R-DEMAND]]/1320,0)</f>
        <v>0</v>
      </c>
      <c r="Y325" s="251">
        <f>IFERROR(Table15[[#This Row],[ADD ACC
(660/1320)]]*Table15[[#This Row],[Duration
(B744)]],0)</f>
        <v>0</v>
      </c>
      <c r="Z325" s="251"/>
    </row>
    <row r="326" spans="1:26" ht="15.75" customHeight="1" x14ac:dyDescent="0.25">
      <c r="A326" s="210" t="s">
        <v>15371</v>
      </c>
      <c r="B326" s="204" t="s">
        <v>193</v>
      </c>
      <c r="C326" s="204" t="s">
        <v>2</v>
      </c>
      <c r="D326" s="205">
        <v>4</v>
      </c>
      <c r="E326" s="204" t="s">
        <v>733</v>
      </c>
      <c r="F326" s="204" t="str">
        <f>VLOOKUP(E326,Table10[[COUNTRY NAME]:[CONTINENT CODE]],3,FALSE)</f>
        <v>EU</v>
      </c>
      <c r="G326" s="206" t="s">
        <v>11065</v>
      </c>
      <c r="H326" s="207">
        <v>8019</v>
      </c>
      <c r="I326" s="208">
        <v>20</v>
      </c>
      <c r="J326" s="345">
        <v>238343147</v>
      </c>
      <c r="K326" s="345">
        <f>IFERROR(Table15[[#This Row],[ROUTE $]]/Table15[[#This Row],[E - DEMAND]],0)</f>
        <v>62705.379373848984</v>
      </c>
      <c r="L326" s="204">
        <v>3801</v>
      </c>
      <c r="M326" s="412">
        <f>IFERROR(VLOOKUP(Table15[[#This Row],[ROUTE]],DEMAND!A:F,5,FALSE),0)</f>
        <v>3928</v>
      </c>
      <c r="N326" s="16">
        <f>IFERROR(VLOOKUP(Table15[[#This Row],[ROUTE]],DEMAND!A:F,6,FALSE),0)</f>
        <v>516</v>
      </c>
      <c r="O326" s="16">
        <f>IFERROR(ROUNDDOWN(Table15[[#This Row],[R-DEMAND]]/1706,0),0)</f>
        <v>0</v>
      </c>
      <c r="P326" s="16">
        <f>IFERROR(Table15[[#This Row],[ADD ACC]]*Table15[[#This Row],[RT TIME 
(380-800)]],0)</f>
        <v>0</v>
      </c>
      <c r="Q326" s="415">
        <f>IFERROR(VLOOKUP(Table15[[#This Row],[ROUTE]],PRICING!A:B,2,FALSE),0)</f>
        <v>2344</v>
      </c>
      <c r="R326" s="235">
        <f>IFERROR(Table15[[#This Row],[C_DEMAND]]-Table15[[#This Row],[R-DEMAND]],0)</f>
        <v>3412</v>
      </c>
      <c r="S326" s="408">
        <f t="shared" si="5"/>
        <v>7997728</v>
      </c>
      <c r="T326" s="419">
        <f>Table15[[#This Row],[R-DEMAND]]-(Table15[[#This Row],[ADD ACC]]*1706)</f>
        <v>516</v>
      </c>
      <c r="U326" s="419">
        <f>ROUNDDOWN(Table15[[#This Row],[Column1]]/1360,0)</f>
        <v>0</v>
      </c>
      <c r="V326" s="419"/>
      <c r="W326" s="251">
        <v>20</v>
      </c>
      <c r="X326" s="251">
        <f>ROUNDDOWN(Table15[[#This Row],[R-DEMAND]]/1320,0)</f>
        <v>0</v>
      </c>
      <c r="Y326" s="251">
        <f>IFERROR(Table15[[#This Row],[ADD ACC
(660/1320)]]*Table15[[#This Row],[Duration
(B744)]],0)</f>
        <v>0</v>
      </c>
      <c r="Z326" s="251"/>
    </row>
    <row r="327" spans="1:26" ht="15.75" customHeight="1" x14ac:dyDescent="0.25">
      <c r="A327" s="210" t="s">
        <v>15297</v>
      </c>
      <c r="B327" s="204" t="s">
        <v>238</v>
      </c>
      <c r="C327" s="204" t="s">
        <v>2</v>
      </c>
      <c r="D327" s="205">
        <v>5</v>
      </c>
      <c r="E327" s="16" t="s">
        <v>11732</v>
      </c>
      <c r="F327" s="204" t="str">
        <f>VLOOKUP(E327,Table10[[COUNTRY NAME]:[CONTINENT CODE]],3,FALSE)</f>
        <v>NA - US</v>
      </c>
      <c r="G327" s="206" t="s">
        <v>13346</v>
      </c>
      <c r="H327" s="207">
        <v>12535</v>
      </c>
      <c r="I327" s="208">
        <v>30</v>
      </c>
      <c r="J327" s="345">
        <v>306055433</v>
      </c>
      <c r="K327" s="345">
        <f>IFERROR(Table15[[#This Row],[ROUTE $]]/Table15[[#This Row],[E - DEMAND]],0)</f>
        <v>82074.398766425322</v>
      </c>
      <c r="L327" s="204">
        <v>3729</v>
      </c>
      <c r="M327" s="412">
        <f>IFERROR(VLOOKUP(Table15[[#This Row],[ROUTE]],DEMAND!A:F,5,FALSE),0)</f>
        <v>3916</v>
      </c>
      <c r="N327" s="16">
        <f>IFERROR(VLOOKUP(Table15[[#This Row],[ROUTE]],DEMAND!A:F,6,FALSE),0)</f>
        <v>504</v>
      </c>
      <c r="O327" s="16">
        <f>IFERROR(ROUNDDOWN(Table15[[#This Row],[R-DEMAND]]/1706,0),0)</f>
        <v>0</v>
      </c>
      <c r="P327" s="16">
        <f>IFERROR(Table15[[#This Row],[ADD ACC]]*Table15[[#This Row],[RT TIME 
(380-800)]],0)</f>
        <v>0</v>
      </c>
      <c r="Q327" s="415">
        <f>IFERROR(VLOOKUP(Table15[[#This Row],[ROUTE]],PRICING!A:B,2,FALSE),0)</f>
        <v>3404</v>
      </c>
      <c r="R327" s="235">
        <f>IFERROR(Table15[[#This Row],[C_DEMAND]]-Table15[[#This Row],[R-DEMAND]],0)</f>
        <v>3412</v>
      </c>
      <c r="S327" s="408">
        <f t="shared" si="5"/>
        <v>11614448</v>
      </c>
      <c r="T327" s="419">
        <f>Table15[[#This Row],[R-DEMAND]]-(Table15[[#This Row],[ADD ACC]]*1706)</f>
        <v>504</v>
      </c>
      <c r="U327" s="419">
        <f>ROUNDDOWN(Table15[[#This Row],[Column1]]/1360,0)</f>
        <v>0</v>
      </c>
      <c r="V327" s="419"/>
      <c r="W327" s="251">
        <v>30</v>
      </c>
      <c r="X327" s="251">
        <f>ROUNDDOWN(Table15[[#This Row],[R-DEMAND]]/1320,0)</f>
        <v>0</v>
      </c>
      <c r="Y327" s="251">
        <f>IFERROR(Table15[[#This Row],[ADD ACC
(660/1320)]]*Table15[[#This Row],[Duration
(B744)]],0)</f>
        <v>0</v>
      </c>
      <c r="Z327" s="251"/>
    </row>
    <row r="328" spans="1:26" ht="15.75" customHeight="1" x14ac:dyDescent="0.25">
      <c r="A328" s="210" t="s">
        <v>15675</v>
      </c>
      <c r="B328" s="204" t="s">
        <v>252</v>
      </c>
      <c r="C328" s="204" t="s">
        <v>2</v>
      </c>
      <c r="D328" s="205">
        <v>5</v>
      </c>
      <c r="E328" s="204" t="s">
        <v>700</v>
      </c>
      <c r="F328" s="204" t="str">
        <f>VLOOKUP(E328,Table10[[COUNTRY NAME]:[CONTINENT CODE]],3,FALSE)</f>
        <v>AS</v>
      </c>
      <c r="G328" s="206" t="s">
        <v>11077</v>
      </c>
      <c r="H328" s="207">
        <v>4836</v>
      </c>
      <c r="I328" s="208">
        <v>12.75</v>
      </c>
      <c r="J328" s="345">
        <v>227668710</v>
      </c>
      <c r="K328" s="345">
        <f>IFERROR(Table15[[#This Row],[ROUTE $]]/Table15[[#This Row],[E - DEMAND]],0)</f>
        <v>60197.966684294028</v>
      </c>
      <c r="L328" s="204">
        <v>3782</v>
      </c>
      <c r="M328" s="412">
        <f>IFERROR(VLOOKUP(Table15[[#This Row],[ROUTE]],DEMAND!A:F,5,FALSE),0)</f>
        <v>3908</v>
      </c>
      <c r="N328" s="16">
        <f>IFERROR(VLOOKUP(Table15[[#This Row],[ROUTE]],DEMAND!A:F,6,FALSE),0)</f>
        <v>496</v>
      </c>
      <c r="O328" s="16">
        <f>IFERROR(ROUNDDOWN(Table15[[#This Row],[R-DEMAND]]/1706,0),0)</f>
        <v>0</v>
      </c>
      <c r="P328" s="16">
        <f>IFERROR(Table15[[#This Row],[ADD ACC]]*Table15[[#This Row],[RT TIME 
(380-800)]],0)</f>
        <v>0</v>
      </c>
      <c r="Q328" s="415">
        <f>IFERROR(VLOOKUP(Table15[[#This Row],[ROUTE]],PRICING!A:B,2,FALSE),0)</f>
        <v>1457</v>
      </c>
      <c r="R328" s="235">
        <f>IFERROR(Table15[[#This Row],[C_DEMAND]]-Table15[[#This Row],[R-DEMAND]],0)</f>
        <v>3412</v>
      </c>
      <c r="S328" s="408">
        <f t="shared" si="5"/>
        <v>4971284</v>
      </c>
      <c r="T328" s="419">
        <f>Table15[[#This Row],[R-DEMAND]]-(Table15[[#This Row],[ADD ACC]]*1706)</f>
        <v>496</v>
      </c>
      <c r="U328" s="419">
        <f>ROUNDDOWN(Table15[[#This Row],[Column1]]/1360,0)</f>
        <v>0</v>
      </c>
      <c r="V328" s="419"/>
      <c r="W328" s="251">
        <v>12.75</v>
      </c>
      <c r="X328" s="251">
        <f>ROUNDDOWN(Table15[[#This Row],[R-DEMAND]]/1320,0)</f>
        <v>0</v>
      </c>
      <c r="Y328" s="251">
        <f>IFERROR(Table15[[#This Row],[ADD ACC
(660/1320)]]*Table15[[#This Row],[Duration
(B744)]],0)</f>
        <v>0</v>
      </c>
      <c r="Z328" s="251"/>
    </row>
    <row r="329" spans="1:26" ht="15.75" customHeight="1" x14ac:dyDescent="0.25">
      <c r="A329" s="210" t="s">
        <v>15599</v>
      </c>
      <c r="B329" s="204" t="s">
        <v>393</v>
      </c>
      <c r="C329" s="204" t="s">
        <v>2</v>
      </c>
      <c r="D329" s="205">
        <v>4</v>
      </c>
      <c r="E329" s="204" t="s">
        <v>2729</v>
      </c>
      <c r="F329" s="204" t="str">
        <f>VLOOKUP(E329,Table10[[COUNTRY NAME]:[CONTINENT CODE]],3,FALSE)</f>
        <v>EU</v>
      </c>
      <c r="G329" s="206" t="s">
        <v>11102</v>
      </c>
      <c r="H329" s="207">
        <v>5747</v>
      </c>
      <c r="I329" s="208">
        <v>14.75</v>
      </c>
      <c r="J329" s="345">
        <v>209267353</v>
      </c>
      <c r="K329" s="345">
        <f>IFERROR(Table15[[#This Row],[ROUTE $]]/Table15[[#This Row],[E - DEMAND]],0)</f>
        <v>55938.880780539963</v>
      </c>
      <c r="L329" s="204">
        <v>3741</v>
      </c>
      <c r="M329" s="412">
        <f>IFERROR(VLOOKUP(Table15[[#This Row],[ROUTE]],DEMAND!A:F,5,FALSE),0)</f>
        <v>3904</v>
      </c>
      <c r="N329" s="16">
        <f>IFERROR(VLOOKUP(Table15[[#This Row],[ROUTE]],DEMAND!A:F,6,FALSE),0)</f>
        <v>492</v>
      </c>
      <c r="O329" s="16">
        <f>IFERROR(ROUNDDOWN(Table15[[#This Row],[R-DEMAND]]/1706,0),0)</f>
        <v>0</v>
      </c>
      <c r="P329" s="16">
        <f>IFERROR(Table15[[#This Row],[ADD ACC]]*Table15[[#This Row],[RT TIME 
(380-800)]],0)</f>
        <v>0</v>
      </c>
      <c r="Q329" s="415">
        <f>IFERROR(VLOOKUP(Table15[[#This Row],[ROUTE]],PRICING!A:B,2,FALSE),0)</f>
        <v>1653</v>
      </c>
      <c r="R329" s="235">
        <f>IFERROR(Table15[[#This Row],[C_DEMAND]]-Table15[[#This Row],[R-DEMAND]],0)</f>
        <v>3412</v>
      </c>
      <c r="S329" s="408">
        <f t="shared" si="5"/>
        <v>5640036</v>
      </c>
      <c r="T329" s="419">
        <f>Table15[[#This Row],[R-DEMAND]]-(Table15[[#This Row],[ADD ACC]]*1706)</f>
        <v>492</v>
      </c>
      <c r="U329" s="419">
        <f>ROUNDDOWN(Table15[[#This Row],[Column1]]/1360,0)</f>
        <v>0</v>
      </c>
      <c r="V329" s="419"/>
      <c r="W329" s="251">
        <v>14.75</v>
      </c>
      <c r="X329" s="251">
        <f>ROUNDDOWN(Table15[[#This Row],[R-DEMAND]]/1320,0)</f>
        <v>0</v>
      </c>
      <c r="Y329" s="251">
        <f>IFERROR(Table15[[#This Row],[ADD ACC
(660/1320)]]*Table15[[#This Row],[Duration
(B744)]],0)</f>
        <v>0</v>
      </c>
      <c r="Z329" s="251"/>
    </row>
    <row r="330" spans="1:26" ht="15.75" customHeight="1" x14ac:dyDescent="0.25">
      <c r="A330" s="210" t="s">
        <v>15376</v>
      </c>
      <c r="B330" s="204" t="s">
        <v>3799</v>
      </c>
      <c r="C330" s="204" t="s">
        <v>2</v>
      </c>
      <c r="D330" s="205">
        <v>2</v>
      </c>
      <c r="E330" s="204" t="s">
        <v>608</v>
      </c>
      <c r="F330" s="204" t="str">
        <f>VLOOKUP(E330,Table10[[COUNTRY NAME]:[CONTINENT CODE]],3,FALSE)</f>
        <v>AF</v>
      </c>
      <c r="G330" s="206" t="s">
        <v>11678</v>
      </c>
      <c r="H330" s="207">
        <v>7906</v>
      </c>
      <c r="I330" s="208">
        <v>19.75</v>
      </c>
      <c r="J330" s="345">
        <v>203616076</v>
      </c>
      <c r="K330" s="345">
        <f>IFERROR(Table15[[#This Row],[ROUTE $]]/Table15[[#This Row],[E - DEMAND]],0)</f>
        <v>54254.216893152145</v>
      </c>
      <c r="L330" s="204">
        <v>3753</v>
      </c>
      <c r="M330" s="412">
        <f>IFERROR(VLOOKUP(Table15[[#This Row],[ROUTE]],DEMAND!A:F,5,FALSE),0)</f>
        <v>3878</v>
      </c>
      <c r="N330" s="16">
        <f>IFERROR(VLOOKUP(Table15[[#This Row],[ROUTE]],DEMAND!A:F,6,FALSE),0)</f>
        <v>466</v>
      </c>
      <c r="O330" s="16">
        <f>IFERROR(ROUNDDOWN(Table15[[#This Row],[R-DEMAND]]/1706,0),0)</f>
        <v>0</v>
      </c>
      <c r="P330" s="16">
        <f>IFERROR(Table15[[#This Row],[ADD ACC]]*Table15[[#This Row],[RT TIME 
(380-800)]],0)</f>
        <v>0</v>
      </c>
      <c r="Q330" s="415">
        <f>IFERROR(VLOOKUP(Table15[[#This Row],[ROUTE]],PRICING!A:B,2,FALSE),0)</f>
        <v>2313</v>
      </c>
      <c r="R330" s="235">
        <f>IFERROR(Table15[[#This Row],[C_DEMAND]]-Table15[[#This Row],[R-DEMAND]],0)</f>
        <v>3412</v>
      </c>
      <c r="S330" s="408">
        <f t="shared" si="5"/>
        <v>7891956</v>
      </c>
      <c r="T330" s="419">
        <f>Table15[[#This Row],[R-DEMAND]]-(Table15[[#This Row],[ADD ACC]]*1706)</f>
        <v>466</v>
      </c>
      <c r="U330" s="419">
        <f>ROUNDDOWN(Table15[[#This Row],[Column1]]/1360,0)</f>
        <v>0</v>
      </c>
      <c r="V330" s="419"/>
      <c r="W330" s="251">
        <v>19.75</v>
      </c>
      <c r="X330" s="251">
        <f>ROUNDDOWN(Table15[[#This Row],[R-DEMAND]]/1320,0)</f>
        <v>0</v>
      </c>
      <c r="Y330" s="251">
        <f>IFERROR(Table15[[#This Row],[ADD ACC
(660/1320)]]*Table15[[#This Row],[Duration
(B744)]],0)</f>
        <v>0</v>
      </c>
      <c r="Z330" s="251"/>
    </row>
    <row r="331" spans="1:26" ht="15.75" customHeight="1" x14ac:dyDescent="0.25">
      <c r="A331" s="210" t="s">
        <v>15541</v>
      </c>
      <c r="B331" s="204" t="s">
        <v>249</v>
      </c>
      <c r="C331" s="204" t="s">
        <v>2</v>
      </c>
      <c r="D331" s="205">
        <v>4</v>
      </c>
      <c r="E331" s="204" t="s">
        <v>142</v>
      </c>
      <c r="F331" s="204" t="str">
        <f>VLOOKUP(E331,Table10[[COUNTRY NAME]:[CONTINENT CODE]],3,FALSE)</f>
        <v>AS</v>
      </c>
      <c r="G331" s="206" t="s">
        <v>11076</v>
      </c>
      <c r="H331" s="207">
        <v>6343</v>
      </c>
      <c r="I331" s="208">
        <v>16.25</v>
      </c>
      <c r="J331" s="345">
        <v>226786396</v>
      </c>
      <c r="K331" s="345">
        <f>IFERROR(Table15[[#This Row],[ROUTE $]]/Table15[[#This Row],[E - DEMAND]],0)</f>
        <v>60898.602577873251</v>
      </c>
      <c r="L331" s="204">
        <v>3724</v>
      </c>
      <c r="M331" s="412">
        <f>IFERROR(VLOOKUP(Table15[[#This Row],[ROUTE]],DEMAND!A:F,5,FALSE),0)</f>
        <v>3874</v>
      </c>
      <c r="N331" s="16">
        <f>IFERROR(VLOOKUP(Table15[[#This Row],[ROUTE]],DEMAND!A:F,6,FALSE),0)</f>
        <v>462</v>
      </c>
      <c r="O331" s="16">
        <f>IFERROR(ROUNDDOWN(Table15[[#This Row],[R-DEMAND]]/1706,0),0)</f>
        <v>0</v>
      </c>
      <c r="P331" s="16">
        <f>IFERROR(Table15[[#This Row],[ADD ACC]]*Table15[[#This Row],[RT TIME 
(380-800)]],0)</f>
        <v>0</v>
      </c>
      <c r="Q331" s="415">
        <f>IFERROR(VLOOKUP(Table15[[#This Row],[ROUTE]],PRICING!A:B,2,FALSE),0)</f>
        <v>1835</v>
      </c>
      <c r="R331" s="235">
        <f>IFERROR(Table15[[#This Row],[C_DEMAND]]-Table15[[#This Row],[R-DEMAND]],0)</f>
        <v>3412</v>
      </c>
      <c r="S331" s="408">
        <f t="shared" si="5"/>
        <v>6261020</v>
      </c>
      <c r="T331" s="419">
        <f>Table15[[#This Row],[R-DEMAND]]-(Table15[[#This Row],[ADD ACC]]*1706)</f>
        <v>462</v>
      </c>
      <c r="U331" s="419">
        <f>ROUNDDOWN(Table15[[#This Row],[Column1]]/1360,0)</f>
        <v>0</v>
      </c>
      <c r="V331" s="419"/>
      <c r="W331" s="251">
        <v>16.25</v>
      </c>
      <c r="X331" s="251">
        <f>ROUNDDOWN(Table15[[#This Row],[R-DEMAND]]/1320,0)</f>
        <v>0</v>
      </c>
      <c r="Y331" s="251">
        <f>IFERROR(Table15[[#This Row],[ADD ACC
(660/1320)]]*Table15[[#This Row],[Duration
(B744)]],0)</f>
        <v>0</v>
      </c>
      <c r="Z331" s="251"/>
    </row>
    <row r="332" spans="1:26" ht="15.75" customHeight="1" x14ac:dyDescent="0.25">
      <c r="A332" s="210" t="s">
        <v>15598</v>
      </c>
      <c r="B332" s="204" t="s">
        <v>5497</v>
      </c>
      <c r="C332" s="204" t="s">
        <v>2</v>
      </c>
      <c r="D332" s="205">
        <v>4</v>
      </c>
      <c r="E332" s="204" t="s">
        <v>258</v>
      </c>
      <c r="F332" s="204" t="str">
        <f>VLOOKUP(E332,Table10[[COUNTRY NAME]:[CONTINENT CODE]],3,FALSE)</f>
        <v>AS</v>
      </c>
      <c r="G332" s="206" t="s">
        <v>11047</v>
      </c>
      <c r="H332" s="207">
        <v>5752</v>
      </c>
      <c r="I332" s="208">
        <v>14.75</v>
      </c>
      <c r="J332" s="345">
        <v>208146306</v>
      </c>
      <c r="K332" s="345">
        <f>IFERROR(Table15[[#This Row],[ROUTE $]]/Table15[[#This Row],[E - DEMAND]],0)</f>
        <v>57261.70729023384</v>
      </c>
      <c r="L332" s="204">
        <v>3635</v>
      </c>
      <c r="M332" s="412">
        <f>IFERROR(VLOOKUP(Table15[[#This Row],[ROUTE]],DEMAND!A:F,5,FALSE),0)</f>
        <v>3866</v>
      </c>
      <c r="N332" s="16">
        <f>IFERROR(VLOOKUP(Table15[[#This Row],[ROUTE]],DEMAND!A:F,6,FALSE),0)</f>
        <v>454</v>
      </c>
      <c r="O332" s="16">
        <f>IFERROR(ROUNDDOWN(Table15[[#This Row],[R-DEMAND]]/1706,0),0)</f>
        <v>0</v>
      </c>
      <c r="P332" s="16">
        <f>IFERROR(Table15[[#This Row],[ADD ACC]]*Table15[[#This Row],[RT TIME 
(380-800)]],0)</f>
        <v>0</v>
      </c>
      <c r="Q332" s="415">
        <f>IFERROR(VLOOKUP(Table15[[#This Row],[ROUTE]],PRICING!A:B,2,FALSE),0)</f>
        <v>1541</v>
      </c>
      <c r="R332" s="235">
        <f>IFERROR(Table15[[#This Row],[C_DEMAND]]-Table15[[#This Row],[R-DEMAND]],0)</f>
        <v>3412</v>
      </c>
      <c r="S332" s="408">
        <f t="shared" si="5"/>
        <v>5257892</v>
      </c>
      <c r="T332" s="419">
        <f>Table15[[#This Row],[R-DEMAND]]-(Table15[[#This Row],[ADD ACC]]*1706)</f>
        <v>454</v>
      </c>
      <c r="U332" s="419">
        <f>ROUNDDOWN(Table15[[#This Row],[Column1]]/1360,0)</f>
        <v>0</v>
      </c>
      <c r="V332" s="419"/>
      <c r="W332" s="251">
        <v>14.75</v>
      </c>
      <c r="X332" s="251">
        <f>ROUNDDOWN(Table15[[#This Row],[R-DEMAND]]/1320,0)</f>
        <v>0</v>
      </c>
      <c r="Y332" s="251">
        <f>IFERROR(Table15[[#This Row],[ADD ACC
(660/1320)]]*Table15[[#This Row],[Duration
(B744)]],0)</f>
        <v>0</v>
      </c>
      <c r="Z332" s="251"/>
    </row>
    <row r="333" spans="1:26" ht="15.75" customHeight="1" x14ac:dyDescent="0.25">
      <c r="A333" s="210" t="s">
        <v>15321</v>
      </c>
      <c r="B333" s="204" t="s">
        <v>9</v>
      </c>
      <c r="C333" s="204" t="s">
        <v>2</v>
      </c>
      <c r="D333" s="205">
        <v>4</v>
      </c>
      <c r="E333" s="204" t="s">
        <v>514</v>
      </c>
      <c r="F333" s="204" t="str">
        <f>VLOOKUP(E333,Table10[[COUNTRY NAME]:[CONTINENT CODE]],3,FALSE)</f>
        <v>NA</v>
      </c>
      <c r="G333" s="206" t="s">
        <v>13173</v>
      </c>
      <c r="H333" s="207">
        <v>12087</v>
      </c>
      <c r="I333" s="208">
        <v>29</v>
      </c>
      <c r="J333" s="345">
        <v>278789898</v>
      </c>
      <c r="K333" s="345">
        <f>IFERROR(Table15[[#This Row],[ROUTE $]]/Table15[[#This Row],[E - DEMAND]],0)</f>
        <v>76950.013248688934</v>
      </c>
      <c r="L333" s="204">
        <v>3623</v>
      </c>
      <c r="M333" s="412">
        <f>IFERROR(VLOOKUP(Table15[[#This Row],[ROUTE]],DEMAND!A:F,5,FALSE),0)</f>
        <v>3865</v>
      </c>
      <c r="N333" s="16">
        <f>IFERROR(VLOOKUP(Table15[[#This Row],[ROUTE]],DEMAND!A:F,6,FALSE),0)</f>
        <v>453</v>
      </c>
      <c r="O333" s="16">
        <f>IFERROR(ROUNDDOWN(Table15[[#This Row],[R-DEMAND]]/1706,0),0)</f>
        <v>0</v>
      </c>
      <c r="P333" s="16">
        <f>IFERROR(Table15[[#This Row],[ADD ACC]]*Table15[[#This Row],[RT TIME 
(380-800)]],0)</f>
        <v>0</v>
      </c>
      <c r="Q333" s="415">
        <f>IFERROR(VLOOKUP(Table15[[#This Row],[ROUTE]],PRICING!A:B,2,FALSE),0)</f>
        <v>3092</v>
      </c>
      <c r="R333" s="235">
        <f>IFERROR(Table15[[#This Row],[C_DEMAND]]-Table15[[#This Row],[R-DEMAND]],0)</f>
        <v>3412</v>
      </c>
      <c r="S333" s="408">
        <f t="shared" si="5"/>
        <v>10549904</v>
      </c>
      <c r="T333" s="419">
        <f>Table15[[#This Row],[R-DEMAND]]-(Table15[[#This Row],[ADD ACC]]*1706)</f>
        <v>453</v>
      </c>
      <c r="U333" s="419">
        <f>ROUNDDOWN(Table15[[#This Row],[Column1]]/1360,0)</f>
        <v>0</v>
      </c>
      <c r="V333" s="419"/>
      <c r="W333" s="251">
        <v>29</v>
      </c>
      <c r="X333" s="251">
        <f>ROUNDDOWN(Table15[[#This Row],[R-DEMAND]]/1320,0)</f>
        <v>0</v>
      </c>
      <c r="Y333" s="251">
        <f>IFERROR(Table15[[#This Row],[ADD ACC
(660/1320)]]*Table15[[#This Row],[Duration
(B744)]],0)</f>
        <v>0</v>
      </c>
      <c r="Z333" s="251"/>
    </row>
    <row r="334" spans="1:26" ht="15.75" customHeight="1" x14ac:dyDescent="0.25">
      <c r="A334" s="210" t="s">
        <v>15546</v>
      </c>
      <c r="B334" s="204" t="s">
        <v>219</v>
      </c>
      <c r="C334" s="204" t="s">
        <v>2</v>
      </c>
      <c r="D334" s="205">
        <v>4</v>
      </c>
      <c r="E334" s="204" t="s">
        <v>142</v>
      </c>
      <c r="F334" s="204" t="str">
        <f>VLOOKUP(E334,Table10[[COUNTRY NAME]:[CONTINENT CODE]],3,FALSE)</f>
        <v>AS</v>
      </c>
      <c r="G334" s="206" t="s">
        <v>11072</v>
      </c>
      <c r="H334" s="207">
        <v>6326</v>
      </c>
      <c r="I334" s="208">
        <v>16.25</v>
      </c>
      <c r="J334" s="345">
        <v>225273426</v>
      </c>
      <c r="K334" s="345">
        <f>IFERROR(Table15[[#This Row],[ROUTE $]]/Table15[[#This Row],[E - DEMAND]],0)</f>
        <v>61516.500819224464</v>
      </c>
      <c r="L334" s="204">
        <v>3662</v>
      </c>
      <c r="M334" s="412">
        <f>IFERROR(VLOOKUP(Table15[[#This Row],[ROUTE]],DEMAND!A:F,5,FALSE),0)</f>
        <v>3858</v>
      </c>
      <c r="N334" s="16">
        <f>IFERROR(VLOOKUP(Table15[[#This Row],[ROUTE]],DEMAND!A:F,6,FALSE),0)</f>
        <v>446</v>
      </c>
      <c r="O334" s="16">
        <f>IFERROR(ROUNDDOWN(Table15[[#This Row],[R-DEMAND]]/1706,0),0)</f>
        <v>0</v>
      </c>
      <c r="P334" s="16">
        <f>IFERROR(Table15[[#This Row],[ADD ACC]]*Table15[[#This Row],[RT TIME 
(380-800)]],0)</f>
        <v>0</v>
      </c>
      <c r="Q334" s="415">
        <f>IFERROR(VLOOKUP(Table15[[#This Row],[ROUTE]],PRICING!A:B,2,FALSE),0)</f>
        <v>1748</v>
      </c>
      <c r="R334" s="235">
        <f>IFERROR(Table15[[#This Row],[C_DEMAND]]-Table15[[#This Row],[R-DEMAND]],0)</f>
        <v>3412</v>
      </c>
      <c r="S334" s="408">
        <f t="shared" si="5"/>
        <v>5964176</v>
      </c>
      <c r="T334" s="419">
        <f>Table15[[#This Row],[R-DEMAND]]-(Table15[[#This Row],[ADD ACC]]*1706)</f>
        <v>446</v>
      </c>
      <c r="U334" s="419">
        <f>ROUNDDOWN(Table15[[#This Row],[Column1]]/1360,0)</f>
        <v>0</v>
      </c>
      <c r="V334" s="419"/>
      <c r="W334" s="251">
        <v>16.25</v>
      </c>
      <c r="X334" s="251">
        <f>ROUNDDOWN(Table15[[#This Row],[R-DEMAND]]/1320,0)</f>
        <v>0</v>
      </c>
      <c r="Y334" s="251">
        <f>IFERROR(Table15[[#This Row],[ADD ACC
(660/1320)]]*Table15[[#This Row],[Duration
(B744)]],0)</f>
        <v>0</v>
      </c>
      <c r="Z334" s="251"/>
    </row>
    <row r="335" spans="1:26" ht="15.75" customHeight="1" x14ac:dyDescent="0.25">
      <c r="A335" s="210" t="s">
        <v>15233</v>
      </c>
      <c r="B335" s="204" t="s">
        <v>5737</v>
      </c>
      <c r="C335" s="204" t="s">
        <v>2</v>
      </c>
      <c r="D335" s="205">
        <v>5</v>
      </c>
      <c r="E335" s="16" t="s">
        <v>11732</v>
      </c>
      <c r="F335" s="204" t="str">
        <f>VLOOKUP(E335,Table10[[COUNTRY NAME]:[CONTINENT CODE]],3,FALSE)</f>
        <v>NA - US</v>
      </c>
      <c r="G335" s="206" t="s">
        <v>13258</v>
      </c>
      <c r="H335" s="207">
        <v>13514</v>
      </c>
      <c r="I335" s="208">
        <v>32</v>
      </c>
      <c r="J335" s="345">
        <v>311990379</v>
      </c>
      <c r="K335" s="345">
        <f>IFERROR(Table15[[#This Row],[ROUTE $]]/Table15[[#This Row],[E - DEMAND]],0)</f>
        <v>85313.201804757991</v>
      </c>
      <c r="L335" s="204">
        <v>3657</v>
      </c>
      <c r="M335" s="412">
        <f>IFERROR(VLOOKUP(Table15[[#This Row],[ROUTE]],DEMAND!A:F,5,FALSE),0)</f>
        <v>3853</v>
      </c>
      <c r="N335" s="16">
        <f>IFERROR(VLOOKUP(Table15[[#This Row],[ROUTE]],DEMAND!A:F,6,FALSE),0)</f>
        <v>441</v>
      </c>
      <c r="O335" s="16">
        <f>IFERROR(ROUNDDOWN(Table15[[#This Row],[R-DEMAND]]/1706,0),0)</f>
        <v>0</v>
      </c>
      <c r="P335" s="16">
        <f>IFERROR(Table15[[#This Row],[ADD ACC]]*Table15[[#This Row],[RT TIME 
(380-800)]],0)</f>
        <v>0</v>
      </c>
      <c r="Q335" s="415">
        <f>IFERROR(VLOOKUP(Table15[[#This Row],[ROUTE]],PRICING!A:B,2,FALSE),0)</f>
        <v>3619</v>
      </c>
      <c r="R335" s="235">
        <f>IFERROR(Table15[[#This Row],[C_DEMAND]]-Table15[[#This Row],[R-DEMAND]],0)</f>
        <v>3412</v>
      </c>
      <c r="S335" s="408">
        <f t="shared" si="5"/>
        <v>12348028</v>
      </c>
      <c r="T335" s="419">
        <f>Table15[[#This Row],[R-DEMAND]]-(Table15[[#This Row],[ADD ACC]]*1706)</f>
        <v>441</v>
      </c>
      <c r="U335" s="419">
        <f>ROUNDDOWN(Table15[[#This Row],[Column1]]/1360,0)</f>
        <v>0</v>
      </c>
      <c r="V335" s="419"/>
      <c r="W335" s="349"/>
      <c r="X335" s="349"/>
      <c r="Y335" s="349"/>
      <c r="Z335" s="349"/>
    </row>
    <row r="336" spans="1:26" ht="15.75" customHeight="1" x14ac:dyDescent="0.25">
      <c r="A336" s="210" t="s">
        <v>15463</v>
      </c>
      <c r="B336" s="204" t="s">
        <v>349</v>
      </c>
      <c r="C336" s="204" t="s">
        <v>2</v>
      </c>
      <c r="D336" s="205">
        <v>4</v>
      </c>
      <c r="E336" s="204" t="s">
        <v>142</v>
      </c>
      <c r="F336" s="204" t="str">
        <f>VLOOKUP(E336,Table10[[COUNTRY NAME]:[CONTINENT CODE]],3,FALSE)</f>
        <v>AS</v>
      </c>
      <c r="G336" s="206" t="s">
        <v>11093</v>
      </c>
      <c r="H336" s="207">
        <v>6872</v>
      </c>
      <c r="I336" s="208">
        <v>17.25</v>
      </c>
      <c r="J336" s="345">
        <v>231744652</v>
      </c>
      <c r="K336" s="345">
        <f>IFERROR(Table15[[#This Row],[ROUTE $]]/Table15[[#This Row],[E - DEMAND]],0)</f>
        <v>62414.395906275247</v>
      </c>
      <c r="L336" s="204">
        <v>3713</v>
      </c>
      <c r="M336" s="412">
        <f>IFERROR(VLOOKUP(Table15[[#This Row],[ROUTE]],DEMAND!A:F,5,FALSE),0)</f>
        <v>3850</v>
      </c>
      <c r="N336" s="16">
        <f>IFERROR(VLOOKUP(Table15[[#This Row],[ROUTE]],DEMAND!A:F,6,FALSE),0)</f>
        <v>438</v>
      </c>
      <c r="O336" s="16">
        <f>IFERROR(ROUNDDOWN(Table15[[#This Row],[R-DEMAND]]/1706,0),0)</f>
        <v>0</v>
      </c>
      <c r="P336" s="16">
        <f>IFERROR(Table15[[#This Row],[ADD ACC]]*Table15[[#This Row],[RT TIME 
(380-800)]],0)</f>
        <v>0</v>
      </c>
      <c r="Q336" s="415">
        <f>IFERROR(VLOOKUP(Table15[[#This Row],[ROUTE]],PRICING!A:B,2,FALSE),0)</f>
        <v>2002</v>
      </c>
      <c r="R336" s="235">
        <f>IFERROR(Table15[[#This Row],[C_DEMAND]]-Table15[[#This Row],[R-DEMAND]],0)</f>
        <v>3412</v>
      </c>
      <c r="S336" s="408">
        <f t="shared" si="5"/>
        <v>6830824</v>
      </c>
      <c r="T336" s="419">
        <f>Table15[[#This Row],[R-DEMAND]]-(Table15[[#This Row],[ADD ACC]]*1706)</f>
        <v>438</v>
      </c>
      <c r="U336" s="419">
        <f>ROUNDDOWN(Table15[[#This Row],[Column1]]/1360,0)</f>
        <v>0</v>
      </c>
      <c r="V336" s="419"/>
      <c r="W336" s="251">
        <v>17.25</v>
      </c>
      <c r="X336" s="251">
        <f>ROUNDDOWN(Table15[[#This Row],[R-DEMAND]]/1320,0)</f>
        <v>0</v>
      </c>
      <c r="Y336" s="251">
        <f>IFERROR(Table15[[#This Row],[ADD ACC
(660/1320)]]*Table15[[#This Row],[Duration
(B744)]],0)</f>
        <v>0</v>
      </c>
      <c r="Z336" s="251"/>
    </row>
    <row r="337" spans="1:26" ht="15.75" customHeight="1" x14ac:dyDescent="0.25">
      <c r="A337" s="210" t="s">
        <v>15817</v>
      </c>
      <c r="B337" s="204" t="s">
        <v>211</v>
      </c>
      <c r="C337" s="204" t="s">
        <v>2</v>
      </c>
      <c r="D337" s="205">
        <v>5</v>
      </c>
      <c r="E337" s="204" t="s">
        <v>709</v>
      </c>
      <c r="F337" s="204" t="str">
        <f>VLOOKUP(E337,Table10[[COUNTRY NAME]:[CONTINENT CODE]],3,FALSE)</f>
        <v>AS</v>
      </c>
      <c r="G337" s="206" t="s">
        <v>11069</v>
      </c>
      <c r="H337" s="207">
        <v>3625</v>
      </c>
      <c r="I337" s="208">
        <v>10.25</v>
      </c>
      <c r="J337" s="345">
        <v>205157071</v>
      </c>
      <c r="K337" s="345">
        <f>IFERROR(Table15[[#This Row],[ROUTE $]]/Table15[[#This Row],[E - DEMAND]],0)</f>
        <v>38339.949729022614</v>
      </c>
      <c r="L337" s="204">
        <v>5351</v>
      </c>
      <c r="M337" s="412">
        <f>IFERROR(VLOOKUP(Table15[[#This Row],[ROUTE]],DEMAND!A:F,5,FALSE),0)</f>
        <v>5531</v>
      </c>
      <c r="N337" s="16">
        <f>IFERROR(VLOOKUP(Table15[[#This Row],[ROUTE]],DEMAND!A:F,6,FALSE),0)</f>
        <v>413</v>
      </c>
      <c r="O337" s="16">
        <f>IFERROR(ROUNDDOWN(Table15[[#This Row],[R-DEMAND]]/1706,0),0)</f>
        <v>0</v>
      </c>
      <c r="P337" s="16">
        <f>IFERROR(Table15[[#This Row],[ADD ACC]]*Table15[[#This Row],[RT TIME 
(380-800)]],0)</f>
        <v>0</v>
      </c>
      <c r="Q337" s="415">
        <f>IFERROR(VLOOKUP(Table15[[#This Row],[ROUTE]],PRICING!A:B,2,FALSE),0)</f>
        <v>1118</v>
      </c>
      <c r="R337" s="235">
        <f>IFERROR(Table15[[#This Row],[C_DEMAND]]-Table15[[#This Row],[R-DEMAND]],0)</f>
        <v>5118</v>
      </c>
      <c r="S337" s="408">
        <f t="shared" si="5"/>
        <v>5721924</v>
      </c>
      <c r="T337" s="419">
        <f>Table15[[#This Row],[R-DEMAND]]-(Table15[[#This Row],[ADD ACC]]*1706)</f>
        <v>413</v>
      </c>
      <c r="U337" s="419">
        <f>ROUNDDOWN(Table15[[#This Row],[Column1]]/1360,0)</f>
        <v>0</v>
      </c>
      <c r="V337" s="419"/>
      <c r="W337" s="251">
        <v>10.25</v>
      </c>
      <c r="X337" s="251">
        <f>ROUNDDOWN(Table15[[#This Row],[R-DEMAND]]/1320,0)</f>
        <v>0</v>
      </c>
      <c r="Y337" s="251">
        <f>IFERROR(Table15[[#This Row],[ADD ACC
(660/1320)]]*Table15[[#This Row],[Duration
(B744)]],0)</f>
        <v>0</v>
      </c>
      <c r="Z337" s="251"/>
    </row>
    <row r="338" spans="1:26" ht="15.75" customHeight="1" x14ac:dyDescent="0.25">
      <c r="A338" s="210" t="s">
        <v>15429</v>
      </c>
      <c r="B338" s="204" t="s">
        <v>84</v>
      </c>
      <c r="C338" s="204" t="s">
        <v>2</v>
      </c>
      <c r="D338" s="205">
        <v>5</v>
      </c>
      <c r="E338" s="204" t="s">
        <v>83</v>
      </c>
      <c r="F338" s="204" t="str">
        <f>VLOOKUP(E338,Table10[[COUNTRY NAME]:[CONTINENT CODE]],3,FALSE)</f>
        <v>EU</v>
      </c>
      <c r="G338" s="206" t="s">
        <v>82</v>
      </c>
      <c r="H338" s="207">
        <v>7167</v>
      </c>
      <c r="I338" s="208">
        <v>18</v>
      </c>
      <c r="J338" s="345">
        <v>237495623</v>
      </c>
      <c r="K338" s="345">
        <f>IFERROR(Table15[[#This Row],[ROUTE $]]/Table15[[#This Row],[E - DEMAND]],0)</f>
        <v>66376.641419787586</v>
      </c>
      <c r="L338" s="204">
        <v>3578</v>
      </c>
      <c r="M338" s="412">
        <f>IFERROR(VLOOKUP(Table15[[#This Row],[ROUTE]],DEMAND!A:F,5,FALSE),0)</f>
        <v>3817</v>
      </c>
      <c r="N338" s="16">
        <f>IFERROR(VLOOKUP(Table15[[#This Row],[ROUTE]],DEMAND!A:F,6,FALSE),0)</f>
        <v>405</v>
      </c>
      <c r="O338" s="16">
        <f>IFERROR(ROUNDDOWN(Table15[[#This Row],[R-DEMAND]]/1706,0),0)</f>
        <v>0</v>
      </c>
      <c r="P338" s="16">
        <f>IFERROR(Table15[[#This Row],[ADD ACC]]*Table15[[#This Row],[RT TIME 
(380-800)]],0)</f>
        <v>0</v>
      </c>
      <c r="Q338" s="415">
        <f>IFERROR(VLOOKUP(Table15[[#This Row],[ROUTE]],PRICING!A:B,2,FALSE),0)</f>
        <v>1872</v>
      </c>
      <c r="R338" s="235">
        <f>IFERROR(Table15[[#This Row],[C_DEMAND]]-Table15[[#This Row],[R-DEMAND]],0)</f>
        <v>3412</v>
      </c>
      <c r="S338" s="408">
        <f t="shared" si="5"/>
        <v>6387264</v>
      </c>
      <c r="T338" s="419">
        <f>Table15[[#This Row],[R-DEMAND]]-(Table15[[#This Row],[ADD ACC]]*1706)</f>
        <v>405</v>
      </c>
      <c r="U338" s="419">
        <f>ROUNDDOWN(Table15[[#This Row],[Column1]]/1360,0)</f>
        <v>0</v>
      </c>
      <c r="V338" s="419"/>
      <c r="W338" s="251">
        <v>18</v>
      </c>
      <c r="X338" s="251">
        <f>ROUNDDOWN(Table15[[#This Row],[R-DEMAND]]/1320,0)</f>
        <v>0</v>
      </c>
      <c r="Y338" s="251">
        <f>IFERROR(Table15[[#This Row],[ADD ACC
(660/1320)]]*Table15[[#This Row],[Duration
(B744)]],0)</f>
        <v>0</v>
      </c>
      <c r="Z338" s="251"/>
    </row>
    <row r="339" spans="1:26" ht="15.75" customHeight="1" x14ac:dyDescent="0.25">
      <c r="A339" s="210" t="s">
        <v>15411</v>
      </c>
      <c r="B339" s="204" t="s">
        <v>182</v>
      </c>
      <c r="C339" s="204" t="s">
        <v>2</v>
      </c>
      <c r="D339" s="205">
        <v>5</v>
      </c>
      <c r="E339" s="204" t="s">
        <v>83</v>
      </c>
      <c r="F339" s="204" t="str">
        <f>VLOOKUP(E339,Table10[[COUNTRY NAME]:[CONTINENT CODE]],3,FALSE)</f>
        <v>EU</v>
      </c>
      <c r="G339" s="206" t="s">
        <v>181</v>
      </c>
      <c r="H339" s="207">
        <v>7338</v>
      </c>
      <c r="I339" s="208">
        <v>18.5</v>
      </c>
      <c r="J339" s="345">
        <v>239645645</v>
      </c>
      <c r="K339" s="345">
        <f>IFERROR(Table15[[#This Row],[ROUTE $]]/Table15[[#This Row],[E - DEMAND]],0)</f>
        <v>66753.661559888584</v>
      </c>
      <c r="L339" s="204">
        <v>3590</v>
      </c>
      <c r="M339" s="412">
        <f>IFERROR(VLOOKUP(Table15[[#This Row],[ROUTE]],DEMAND!A:F,5,FALSE),0)</f>
        <v>3805</v>
      </c>
      <c r="N339" s="16">
        <f>IFERROR(VLOOKUP(Table15[[#This Row],[ROUTE]],DEMAND!A:F,6,FALSE),0)</f>
        <v>393</v>
      </c>
      <c r="O339" s="16">
        <f>IFERROR(ROUNDDOWN(Table15[[#This Row],[R-DEMAND]]/1706,0),0)</f>
        <v>0</v>
      </c>
      <c r="P339" s="16">
        <f>IFERROR(Table15[[#This Row],[ADD ACC]]*Table15[[#This Row],[RT TIME 
(380-800)]],0)</f>
        <v>0</v>
      </c>
      <c r="Q339" s="415">
        <f>IFERROR(VLOOKUP(Table15[[#This Row],[ROUTE]],PRICING!A:B,2,FALSE),0)</f>
        <v>1963</v>
      </c>
      <c r="R339" s="235">
        <f>IFERROR(Table15[[#This Row],[C_DEMAND]]-Table15[[#This Row],[R-DEMAND]],0)</f>
        <v>3412</v>
      </c>
      <c r="S339" s="408">
        <f t="shared" si="5"/>
        <v>6697756</v>
      </c>
      <c r="T339" s="419">
        <f>Table15[[#This Row],[R-DEMAND]]-(Table15[[#This Row],[ADD ACC]]*1706)</f>
        <v>393</v>
      </c>
      <c r="U339" s="419">
        <f>ROUNDDOWN(Table15[[#This Row],[Column1]]/1360,0)</f>
        <v>0</v>
      </c>
      <c r="V339" s="419"/>
      <c r="W339" s="251">
        <v>18.5</v>
      </c>
      <c r="X339" s="251">
        <f>ROUNDDOWN(Table15[[#This Row],[R-DEMAND]]/1320,0)</f>
        <v>0</v>
      </c>
      <c r="Y339" s="251">
        <f>IFERROR(Table15[[#This Row],[ADD ACC
(660/1320)]]*Table15[[#This Row],[Duration
(B744)]],0)</f>
        <v>0</v>
      </c>
      <c r="Z339" s="251"/>
    </row>
    <row r="340" spans="1:26" ht="15.75" customHeight="1" x14ac:dyDescent="0.25">
      <c r="A340" s="210" t="s">
        <v>15238</v>
      </c>
      <c r="B340" s="204" t="s">
        <v>4052</v>
      </c>
      <c r="C340" s="204" t="s">
        <v>2</v>
      </c>
      <c r="D340" s="205">
        <v>3</v>
      </c>
      <c r="E340" s="204" t="s">
        <v>4050</v>
      </c>
      <c r="F340" s="204" t="str">
        <f>VLOOKUP(E340,Table10[[COUNTRY NAME]:[CONTINENT CODE]],3,FALSE)</f>
        <v>SA</v>
      </c>
      <c r="G340" s="206" t="s">
        <v>13204</v>
      </c>
      <c r="H340" s="207">
        <v>13463</v>
      </c>
      <c r="I340" s="208">
        <v>32</v>
      </c>
      <c r="J340" s="345">
        <v>260791004</v>
      </c>
      <c r="K340" s="345">
        <f>IFERROR(Table15[[#This Row],[ROUTE $]]/Table15[[#This Row],[E - DEMAND]],0)</f>
        <v>72421.828381005282</v>
      </c>
      <c r="L340" s="204">
        <v>3601</v>
      </c>
      <c r="M340" s="412">
        <f>IFERROR(VLOOKUP(Table15[[#This Row],[ROUTE]],DEMAND!A:F,5,FALSE),0)</f>
        <v>3793</v>
      </c>
      <c r="N340" s="16">
        <f>IFERROR(VLOOKUP(Table15[[#This Row],[ROUTE]],DEMAND!A:F,6,FALSE),0)</f>
        <v>381</v>
      </c>
      <c r="O340" s="16">
        <f>IFERROR(ROUNDDOWN(Table15[[#This Row],[R-DEMAND]]/1706,0),0)</f>
        <v>0</v>
      </c>
      <c r="P340" s="16">
        <f>IFERROR(Table15[[#This Row],[ADD ACC]]*Table15[[#This Row],[RT TIME 
(380-800)]],0)</f>
        <v>0</v>
      </c>
      <c r="Q340" s="415">
        <f>IFERROR(VLOOKUP(Table15[[#This Row],[ROUTE]],PRICING!A:B,2,FALSE),0)</f>
        <v>3606</v>
      </c>
      <c r="R340" s="235">
        <f>IFERROR(Table15[[#This Row],[C_DEMAND]]-Table15[[#This Row],[R-DEMAND]],0)</f>
        <v>3412</v>
      </c>
      <c r="S340" s="408">
        <f t="shared" si="5"/>
        <v>12303672</v>
      </c>
      <c r="T340" s="419">
        <f>Table15[[#This Row],[R-DEMAND]]-(Table15[[#This Row],[ADD ACC]]*1706)</f>
        <v>381</v>
      </c>
      <c r="U340" s="419">
        <f>ROUNDDOWN(Table15[[#This Row],[Column1]]/1360,0)</f>
        <v>0</v>
      </c>
      <c r="V340" s="419"/>
      <c r="W340" s="349"/>
      <c r="X340" s="349"/>
      <c r="Y340" s="349"/>
      <c r="Z340" s="349"/>
    </row>
    <row r="341" spans="1:26" ht="15.75" customHeight="1" x14ac:dyDescent="0.25">
      <c r="A341" s="210" t="s">
        <v>15578</v>
      </c>
      <c r="B341" s="204" t="s">
        <v>27</v>
      </c>
      <c r="C341" s="204" t="s">
        <v>2</v>
      </c>
      <c r="D341" s="205">
        <v>5</v>
      </c>
      <c r="E341" s="204" t="s">
        <v>3915</v>
      </c>
      <c r="F341" s="204" t="str">
        <f>VLOOKUP(E341,Table10[[COUNTRY NAME]:[CONTINENT CODE]],3,FALSE)</f>
        <v>EU</v>
      </c>
      <c r="G341" s="206" t="s">
        <v>11031</v>
      </c>
      <c r="H341" s="207">
        <v>5960</v>
      </c>
      <c r="I341" s="208">
        <v>15.25</v>
      </c>
      <c r="J341" s="345">
        <v>223883669</v>
      </c>
      <c r="K341" s="345">
        <f>IFERROR(Table15[[#This Row],[ROUTE $]]/Table15[[#This Row],[E - DEMAND]],0)</f>
        <v>62000.462198836889</v>
      </c>
      <c r="L341" s="204">
        <v>3611</v>
      </c>
      <c r="M341" s="412">
        <f>IFERROR(VLOOKUP(Table15[[#This Row],[ROUTE]],DEMAND!A:F,5,FALSE),0)</f>
        <v>3792</v>
      </c>
      <c r="N341" s="16">
        <f>IFERROR(VLOOKUP(Table15[[#This Row],[ROUTE]],DEMAND!A:F,6,FALSE),0)</f>
        <v>380</v>
      </c>
      <c r="O341" s="16">
        <f>IFERROR(ROUNDDOWN(Table15[[#This Row],[R-DEMAND]]/1706,0),0)</f>
        <v>0</v>
      </c>
      <c r="P341" s="16">
        <f>IFERROR(Table15[[#This Row],[ADD ACC]]*Table15[[#This Row],[RT TIME 
(380-800)]],0)</f>
        <v>0</v>
      </c>
      <c r="Q341" s="415">
        <f>IFERROR(VLOOKUP(Table15[[#This Row],[ROUTE]],PRICING!A:B,2,FALSE),0)</f>
        <v>1671</v>
      </c>
      <c r="R341" s="235">
        <f>IFERROR(Table15[[#This Row],[C_DEMAND]]-Table15[[#This Row],[R-DEMAND]],0)</f>
        <v>3412</v>
      </c>
      <c r="S341" s="408">
        <f t="shared" si="5"/>
        <v>5701452</v>
      </c>
      <c r="T341" s="419">
        <f>Table15[[#This Row],[R-DEMAND]]-(Table15[[#This Row],[ADD ACC]]*1706)</f>
        <v>380</v>
      </c>
      <c r="U341" s="419">
        <f>ROUNDDOWN(Table15[[#This Row],[Column1]]/1360,0)</f>
        <v>0</v>
      </c>
      <c r="V341" s="419"/>
      <c r="W341" s="251">
        <v>15.25</v>
      </c>
      <c r="X341" s="251">
        <f>ROUNDDOWN(Table15[[#This Row],[R-DEMAND]]/1320,0)</f>
        <v>0</v>
      </c>
      <c r="Y341" s="251">
        <f>IFERROR(Table15[[#This Row],[ADD ACC
(660/1320)]]*Table15[[#This Row],[Duration
(B744)]],0)</f>
        <v>0</v>
      </c>
      <c r="Z341" s="251"/>
    </row>
    <row r="342" spans="1:26" ht="15.75" customHeight="1" x14ac:dyDescent="0.25">
      <c r="A342" s="210" t="s">
        <v>15948</v>
      </c>
      <c r="B342" s="204" t="s">
        <v>419</v>
      </c>
      <c r="C342" s="204" t="s">
        <v>67</v>
      </c>
      <c r="D342" s="205">
        <v>4</v>
      </c>
      <c r="E342" s="204" t="s">
        <v>197</v>
      </c>
      <c r="F342" s="204" t="str">
        <f>VLOOKUP(E342,Table10[[COUNTRY NAME]:[CONTINENT CODE]],3,FALSE)</f>
        <v>AS</v>
      </c>
      <c r="G342" s="206" t="s">
        <v>418</v>
      </c>
      <c r="H342" s="207">
        <v>1147</v>
      </c>
      <c r="I342" s="208">
        <v>4.75</v>
      </c>
      <c r="J342" s="345">
        <v>166326593</v>
      </c>
      <c r="K342" s="345">
        <f>IFERROR(Table15[[#This Row],[ROUTE $]]/Table15[[#This Row],[E - DEMAND]],0)</f>
        <v>31973.585736255285</v>
      </c>
      <c r="L342" s="204">
        <v>5202</v>
      </c>
      <c r="M342" s="412">
        <f>IFERROR(VLOOKUP(Table15[[#This Row],[ROUTE]],DEMAND!A:F,5,FALSE),0)</f>
        <v>5497</v>
      </c>
      <c r="N342" s="16">
        <f>IFERROR(VLOOKUP(Table15[[#This Row],[ROUTE]],DEMAND!A:F,6,FALSE),0)</f>
        <v>379</v>
      </c>
      <c r="O342" s="16">
        <f>IFERROR(ROUNDDOWN(Table15[[#This Row],[R-DEMAND]]/1706,0),0)</f>
        <v>0</v>
      </c>
      <c r="P342" s="16">
        <f>IFERROR(Table15[[#This Row],[ADD ACC]]*Table15[[#This Row],[RT TIME 
(380-800)]],0)</f>
        <v>0</v>
      </c>
      <c r="Q342" s="415">
        <f>IFERROR(VLOOKUP(Table15[[#This Row],[ROUTE]],PRICING!A:B,2,FALSE),0)</f>
        <v>394</v>
      </c>
      <c r="R342" s="235">
        <f>IFERROR(Table15[[#This Row],[C_DEMAND]]-Table15[[#This Row],[R-DEMAND]],0)</f>
        <v>5118</v>
      </c>
      <c r="S342" s="408">
        <f t="shared" si="5"/>
        <v>2016492</v>
      </c>
      <c r="T342" s="419">
        <f>Table15[[#This Row],[R-DEMAND]]-(Table15[[#This Row],[ADD ACC]]*1706)</f>
        <v>379</v>
      </c>
      <c r="U342" s="419">
        <f>ROUNDDOWN(Table15[[#This Row],[Column1]]/1360,0)</f>
        <v>0</v>
      </c>
      <c r="V342" s="419"/>
      <c r="W342" s="251">
        <v>4.75</v>
      </c>
      <c r="X342" s="251">
        <f>ROUNDDOWN(Table15[[#This Row],[R-DEMAND]]/1320,0)</f>
        <v>0</v>
      </c>
      <c r="Y342" s="251">
        <f>IFERROR(Table15[[#This Row],[ADD ACC
(660/1320)]]*Table15[[#This Row],[Duration
(B744)]],0)</f>
        <v>0</v>
      </c>
      <c r="Z342" s="251"/>
    </row>
    <row r="343" spans="1:26" ht="15.75" customHeight="1" x14ac:dyDescent="0.25">
      <c r="A343" s="210" t="s">
        <v>15314</v>
      </c>
      <c r="B343" s="204" t="s">
        <v>5613</v>
      </c>
      <c r="C343" s="204" t="s">
        <v>2</v>
      </c>
      <c r="D343" s="205">
        <v>4</v>
      </c>
      <c r="E343" s="204" t="s">
        <v>514</v>
      </c>
      <c r="F343" s="204" t="str">
        <f>VLOOKUP(E343,Table10[[COUNTRY NAME]:[CONTINENT CODE]],3,FALSE)</f>
        <v>NA</v>
      </c>
      <c r="G343" s="206" t="s">
        <v>13164</v>
      </c>
      <c r="H343" s="207">
        <v>12183</v>
      </c>
      <c r="I343" s="208">
        <v>29</v>
      </c>
      <c r="J343" s="345">
        <v>279687681</v>
      </c>
      <c r="K343" s="345">
        <f>IFERROR(Table15[[#This Row],[ROUTE $]]/Table15[[#This Row],[E - DEMAND]],0)</f>
        <v>77390.061151079135</v>
      </c>
      <c r="L343" s="204">
        <v>3614</v>
      </c>
      <c r="M343" s="412">
        <f>IFERROR(VLOOKUP(Table15[[#This Row],[ROUTE]],DEMAND!A:F,5,FALSE),0)</f>
        <v>3783</v>
      </c>
      <c r="N343" s="16">
        <f>IFERROR(VLOOKUP(Table15[[#This Row],[ROUTE]],DEMAND!A:F,6,FALSE),0)</f>
        <v>371</v>
      </c>
      <c r="O343" s="16">
        <f>IFERROR(ROUNDDOWN(Table15[[#This Row],[R-DEMAND]]/1706,0),0)</f>
        <v>0</v>
      </c>
      <c r="P343" s="16">
        <f>IFERROR(Table15[[#This Row],[ADD ACC]]*Table15[[#This Row],[RT TIME 
(380-800)]],0)</f>
        <v>0</v>
      </c>
      <c r="Q343" s="415">
        <f>IFERROR(VLOOKUP(Table15[[#This Row],[ROUTE]],PRICING!A:B,2,FALSE),0)</f>
        <v>3350</v>
      </c>
      <c r="R343" s="235">
        <f>IFERROR(Table15[[#This Row],[C_DEMAND]]-Table15[[#This Row],[R-DEMAND]],0)</f>
        <v>3412</v>
      </c>
      <c r="S343" s="408">
        <f t="shared" si="5"/>
        <v>11430200</v>
      </c>
      <c r="T343" s="419">
        <f>Table15[[#This Row],[R-DEMAND]]-(Table15[[#This Row],[ADD ACC]]*1706)</f>
        <v>371</v>
      </c>
      <c r="U343" s="419">
        <f>ROUNDDOWN(Table15[[#This Row],[Column1]]/1360,0)</f>
        <v>0</v>
      </c>
      <c r="V343" s="419"/>
      <c r="W343" s="251">
        <v>29</v>
      </c>
      <c r="X343" s="251">
        <f>ROUNDDOWN(Table15[[#This Row],[R-DEMAND]]/1320,0)</f>
        <v>0</v>
      </c>
      <c r="Y343" s="251">
        <f>IFERROR(Table15[[#This Row],[ADD ACC
(660/1320)]]*Table15[[#This Row],[Duration
(B744)]],0)</f>
        <v>0</v>
      </c>
      <c r="Z343" s="251"/>
    </row>
    <row r="344" spans="1:26" ht="15.75" customHeight="1" x14ac:dyDescent="0.25">
      <c r="A344" s="210" t="s">
        <v>15296</v>
      </c>
      <c r="B344" s="204" t="s">
        <v>314</v>
      </c>
      <c r="C344" s="204" t="s">
        <v>2</v>
      </c>
      <c r="D344" s="205">
        <v>5</v>
      </c>
      <c r="E344" s="16" t="s">
        <v>11732</v>
      </c>
      <c r="F344" s="204" t="str">
        <f>VLOOKUP(E344,Table10[[COUNTRY NAME]:[CONTINENT CODE]],3,FALSE)</f>
        <v>NA - US</v>
      </c>
      <c r="G344" s="206" t="s">
        <v>13345</v>
      </c>
      <c r="H344" s="207">
        <v>12549</v>
      </c>
      <c r="I344" s="208">
        <v>30</v>
      </c>
      <c r="J344" s="345">
        <v>299214150</v>
      </c>
      <c r="K344" s="345">
        <f>IFERROR(Table15[[#This Row],[ROUTE $]]/Table15[[#This Row],[E - DEMAND]],0)</f>
        <v>83346.559888579388</v>
      </c>
      <c r="L344" s="204">
        <v>3590</v>
      </c>
      <c r="M344" s="412">
        <f>IFERROR(VLOOKUP(Table15[[#This Row],[ROUTE]],DEMAND!A:F,5,FALSE),0)</f>
        <v>3781</v>
      </c>
      <c r="N344" s="16">
        <f>IFERROR(VLOOKUP(Table15[[#This Row],[ROUTE]],DEMAND!A:F,6,FALSE),0)</f>
        <v>369</v>
      </c>
      <c r="O344" s="16">
        <f>IFERROR(ROUNDDOWN(Table15[[#This Row],[R-DEMAND]]/1706,0),0)</f>
        <v>0</v>
      </c>
      <c r="P344" s="16">
        <f>IFERROR(Table15[[#This Row],[ADD ACC]]*Table15[[#This Row],[RT TIME 
(380-800)]],0)</f>
        <v>0</v>
      </c>
      <c r="Q344" s="415">
        <f>IFERROR(VLOOKUP(Table15[[#This Row],[ROUTE]],PRICING!A:B,2,FALSE),0)</f>
        <v>3368</v>
      </c>
      <c r="R344" s="235">
        <f>IFERROR(Table15[[#This Row],[C_DEMAND]]-Table15[[#This Row],[R-DEMAND]],0)</f>
        <v>3412</v>
      </c>
      <c r="S344" s="408">
        <f t="shared" si="5"/>
        <v>11491616</v>
      </c>
      <c r="T344" s="419">
        <f>Table15[[#This Row],[R-DEMAND]]-(Table15[[#This Row],[ADD ACC]]*1706)</f>
        <v>369</v>
      </c>
      <c r="U344" s="419">
        <f>ROUNDDOWN(Table15[[#This Row],[Column1]]/1360,0)</f>
        <v>0</v>
      </c>
      <c r="V344" s="419"/>
      <c r="W344" s="251">
        <v>30</v>
      </c>
      <c r="X344" s="251">
        <f>ROUNDDOWN(Table15[[#This Row],[R-DEMAND]]/1320,0)</f>
        <v>0</v>
      </c>
      <c r="Y344" s="251">
        <f>IFERROR(Table15[[#This Row],[ADD ACC
(660/1320)]]*Table15[[#This Row],[Duration
(B744)]],0)</f>
        <v>0</v>
      </c>
      <c r="Z344" s="251"/>
    </row>
    <row r="345" spans="1:26" ht="15.75" customHeight="1" x14ac:dyDescent="0.25">
      <c r="A345" s="210" t="s">
        <v>15205</v>
      </c>
      <c r="B345" s="204" t="s">
        <v>5532</v>
      </c>
      <c r="C345" s="204" t="s">
        <v>2</v>
      </c>
      <c r="D345" s="205">
        <v>4</v>
      </c>
      <c r="E345" s="204" t="s">
        <v>1946</v>
      </c>
      <c r="F345" s="204" t="str">
        <f>VLOOKUP(E345,Table10[[COUNTRY NAME]:[CONTINENT CODE]],3,FALSE)</f>
        <v>NA</v>
      </c>
      <c r="G345" s="206" t="s">
        <v>13249</v>
      </c>
      <c r="H345" s="207">
        <v>13889</v>
      </c>
      <c r="I345" s="208">
        <v>33</v>
      </c>
      <c r="J345" s="345">
        <v>290989233</v>
      </c>
      <c r="K345" s="345">
        <f>IFERROR(Table15[[#This Row],[ROUTE $]]/Table15[[#This Row],[E - DEMAND]],0)</f>
        <v>81463.951007838739</v>
      </c>
      <c r="L345" s="204">
        <v>3572</v>
      </c>
      <c r="M345" s="412">
        <f>IFERROR(VLOOKUP(Table15[[#This Row],[ROUTE]],DEMAND!A:F,5,FALSE),0)</f>
        <v>3774</v>
      </c>
      <c r="N345" s="16">
        <f>IFERROR(VLOOKUP(Table15[[#This Row],[ROUTE]],DEMAND!A:F,6,FALSE),0)</f>
        <v>362</v>
      </c>
      <c r="O345" s="16">
        <f>IFERROR(ROUNDDOWN(Table15[[#This Row],[R-DEMAND]]/1706,0),0)</f>
        <v>0</v>
      </c>
      <c r="P345" s="16">
        <f>IFERROR(Table15[[#This Row],[ADD ACC]]*Table15[[#This Row],[RT TIME 
(380-800)]],0)</f>
        <v>0</v>
      </c>
      <c r="Q345" s="415">
        <f>IFERROR(VLOOKUP(Table15[[#This Row],[ROUTE]],PRICING!A:B,2,FALSE),0)</f>
        <v>3672</v>
      </c>
      <c r="R345" s="235">
        <f>IFERROR(Table15[[#This Row],[C_DEMAND]]-Table15[[#This Row],[R-DEMAND]],0)</f>
        <v>3412</v>
      </c>
      <c r="S345" s="408">
        <f t="shared" si="5"/>
        <v>12528864</v>
      </c>
      <c r="T345" s="419">
        <f>Table15[[#This Row],[R-DEMAND]]-(Table15[[#This Row],[ADD ACC]]*1706)</f>
        <v>362</v>
      </c>
      <c r="U345" s="419">
        <f>ROUNDDOWN(Table15[[#This Row],[Column1]]/1360,0)</f>
        <v>0</v>
      </c>
      <c r="V345" s="419"/>
      <c r="W345" s="349"/>
      <c r="X345" s="349"/>
      <c r="Y345" s="349"/>
      <c r="Z345" s="349"/>
    </row>
    <row r="346" spans="1:26" ht="15.75" customHeight="1" x14ac:dyDescent="0.25">
      <c r="A346" s="210" t="s">
        <v>15830</v>
      </c>
      <c r="B346" s="204" t="s">
        <v>173</v>
      </c>
      <c r="C346" s="204" t="s">
        <v>2</v>
      </c>
      <c r="D346" s="205">
        <v>5</v>
      </c>
      <c r="E346" s="204" t="s">
        <v>172</v>
      </c>
      <c r="F346" s="204" t="str">
        <f>VLOOKUP(E346,Table10[[COUNTRY NAME]:[CONTINENT CODE]],3,FALSE)</f>
        <v>AS</v>
      </c>
      <c r="G346" s="206" t="s">
        <v>171</v>
      </c>
      <c r="H346" s="207">
        <v>3469</v>
      </c>
      <c r="I346" s="208">
        <v>9.75</v>
      </c>
      <c r="J346" s="345">
        <v>201680767</v>
      </c>
      <c r="K346" s="345">
        <f>IFERROR(Table15[[#This Row],[ROUTE $]]/Table15[[#This Row],[E - DEMAND]],0)</f>
        <v>39313.989668615985</v>
      </c>
      <c r="L346" s="204">
        <v>5130</v>
      </c>
      <c r="M346" s="412">
        <f>IFERROR(VLOOKUP(Table15[[#This Row],[ROUTE]],DEMAND!A:F,5,FALSE),0)</f>
        <v>5472</v>
      </c>
      <c r="N346" s="16">
        <f>IFERROR(VLOOKUP(Table15[[#This Row],[ROUTE]],DEMAND!A:F,6,FALSE),0)</f>
        <v>354</v>
      </c>
      <c r="O346" s="16">
        <f>IFERROR(ROUNDDOWN(Table15[[#This Row],[R-DEMAND]]/1706,0),0)</f>
        <v>0</v>
      </c>
      <c r="P346" s="16">
        <f>IFERROR(Table15[[#This Row],[ADD ACC]]*Table15[[#This Row],[RT TIME 
(380-800)]],0)</f>
        <v>0</v>
      </c>
      <c r="Q346" s="415">
        <f>IFERROR(VLOOKUP(Table15[[#This Row],[ROUTE]],PRICING!A:B,2,FALSE),0)</f>
        <v>956</v>
      </c>
      <c r="R346" s="235">
        <f>IFERROR(Table15[[#This Row],[C_DEMAND]]-Table15[[#This Row],[R-DEMAND]],0)</f>
        <v>5118</v>
      </c>
      <c r="S346" s="408">
        <f t="shared" si="5"/>
        <v>4892808</v>
      </c>
      <c r="T346" s="419">
        <f>Table15[[#This Row],[R-DEMAND]]-(Table15[[#This Row],[ADD ACC]]*1706)</f>
        <v>354</v>
      </c>
      <c r="U346" s="419">
        <f>ROUNDDOWN(Table15[[#This Row],[Column1]]/1360,0)</f>
        <v>0</v>
      </c>
      <c r="V346" s="419"/>
      <c r="W346" s="251">
        <v>9.75</v>
      </c>
      <c r="X346" s="251">
        <f>ROUNDDOWN(Table15[[#This Row],[R-DEMAND]]/1320,0)</f>
        <v>0</v>
      </c>
      <c r="Y346" s="251">
        <f>IFERROR(Table15[[#This Row],[ADD ACC
(660/1320)]]*Table15[[#This Row],[Duration
(B744)]],0)</f>
        <v>0</v>
      </c>
      <c r="Z346" s="251"/>
    </row>
    <row r="347" spans="1:26" ht="15.75" customHeight="1" x14ac:dyDescent="0.25">
      <c r="A347" s="210" t="s">
        <v>15303</v>
      </c>
      <c r="B347" s="204" t="s">
        <v>5717</v>
      </c>
      <c r="C347" s="204" t="s">
        <v>2</v>
      </c>
      <c r="D347" s="205">
        <v>5</v>
      </c>
      <c r="E347" s="16" t="s">
        <v>11732</v>
      </c>
      <c r="F347" s="204" t="str">
        <f>VLOOKUP(E347,Table10[[COUNTRY NAME]:[CONTINENT CODE]],3,FALSE)</f>
        <v>NA - US</v>
      </c>
      <c r="G347" s="206" t="s">
        <v>13256</v>
      </c>
      <c r="H347" s="207">
        <v>12465</v>
      </c>
      <c r="I347" s="208">
        <v>29.75</v>
      </c>
      <c r="J347" s="345">
        <v>297054036</v>
      </c>
      <c r="K347" s="345">
        <f>IFERROR(Table15[[#This Row],[ROUTE $]]/Table15[[#This Row],[E - DEMAND]],0)</f>
        <v>83536.005624296959</v>
      </c>
      <c r="L347" s="204">
        <v>3556</v>
      </c>
      <c r="M347" s="412">
        <f>IFERROR(VLOOKUP(Table15[[#This Row],[ROUTE]],DEMAND!A:F,5,FALSE),0)</f>
        <v>3746</v>
      </c>
      <c r="N347" s="16">
        <f>IFERROR(VLOOKUP(Table15[[#This Row],[ROUTE]],DEMAND!A:F,6,FALSE),0)</f>
        <v>334</v>
      </c>
      <c r="O347" s="16">
        <f>IFERROR(ROUNDDOWN(Table15[[#This Row],[R-DEMAND]]/1706,0),0)</f>
        <v>0</v>
      </c>
      <c r="P347" s="16">
        <f>IFERROR(Table15[[#This Row],[ADD ACC]]*Table15[[#This Row],[RT TIME 
(380-800)]],0)</f>
        <v>0</v>
      </c>
      <c r="Q347" s="415">
        <f>IFERROR(VLOOKUP(Table15[[#This Row],[ROUTE]],PRICING!A:B,2,FALSE),0)</f>
        <v>3346</v>
      </c>
      <c r="R347" s="235">
        <f>IFERROR(Table15[[#This Row],[C_DEMAND]]-Table15[[#This Row],[R-DEMAND]],0)</f>
        <v>3412</v>
      </c>
      <c r="S347" s="408">
        <f t="shared" si="5"/>
        <v>11416552</v>
      </c>
      <c r="T347" s="419">
        <f>Table15[[#This Row],[R-DEMAND]]-(Table15[[#This Row],[ADD ACC]]*1706)</f>
        <v>334</v>
      </c>
      <c r="U347" s="419">
        <f>ROUNDDOWN(Table15[[#This Row],[Column1]]/1360,0)</f>
        <v>0</v>
      </c>
      <c r="V347" s="419"/>
      <c r="W347" s="251">
        <v>29.75</v>
      </c>
      <c r="X347" s="251">
        <f>ROUNDDOWN(Table15[[#This Row],[R-DEMAND]]/1320,0)</f>
        <v>0</v>
      </c>
      <c r="Y347" s="251">
        <f>IFERROR(Table15[[#This Row],[ADD ACC
(660/1320)]]*Table15[[#This Row],[Duration
(B744)]],0)</f>
        <v>0</v>
      </c>
      <c r="Z347" s="251"/>
    </row>
    <row r="348" spans="1:26" ht="15.75" customHeight="1" x14ac:dyDescent="0.25">
      <c r="A348" s="210" t="s">
        <v>15607</v>
      </c>
      <c r="B348" s="204" t="s">
        <v>143</v>
      </c>
      <c r="C348" s="204" t="s">
        <v>2</v>
      </c>
      <c r="D348" s="205">
        <v>4</v>
      </c>
      <c r="E348" s="204" t="s">
        <v>142</v>
      </c>
      <c r="F348" s="204" t="str">
        <f>VLOOKUP(E348,Table10[[COUNTRY NAME]:[CONTINENT CODE]],3,FALSE)</f>
        <v>AS</v>
      </c>
      <c r="G348" s="206" t="s">
        <v>11053</v>
      </c>
      <c r="H348" s="207">
        <v>5638</v>
      </c>
      <c r="I348" s="208">
        <v>14.5</v>
      </c>
      <c r="J348" s="345">
        <v>215869541</v>
      </c>
      <c r="K348" s="345">
        <f>IFERROR(Table15[[#This Row],[ROUTE $]]/Table15[[#This Row],[E - DEMAND]],0)</f>
        <v>60013.772866277453</v>
      </c>
      <c r="L348" s="204">
        <v>3597</v>
      </c>
      <c r="M348" s="412">
        <f>IFERROR(VLOOKUP(Table15[[#This Row],[ROUTE]],DEMAND!A:F,5,FALSE),0)</f>
        <v>3729</v>
      </c>
      <c r="N348" s="16">
        <f>IFERROR(VLOOKUP(Table15[[#This Row],[ROUTE]],DEMAND!A:F,6,FALSE),0)</f>
        <v>317</v>
      </c>
      <c r="O348" s="16">
        <f>IFERROR(ROUNDDOWN(Table15[[#This Row],[R-DEMAND]]/1706,0),0)</f>
        <v>0</v>
      </c>
      <c r="P348" s="16">
        <f>IFERROR(Table15[[#This Row],[ADD ACC]]*Table15[[#This Row],[RT TIME 
(380-800)]],0)</f>
        <v>0</v>
      </c>
      <c r="Q348" s="415">
        <f>IFERROR(VLOOKUP(Table15[[#This Row],[ROUTE]],PRICING!A:B,2,FALSE),0)</f>
        <v>1661</v>
      </c>
      <c r="R348" s="235">
        <f>IFERROR(Table15[[#This Row],[C_DEMAND]]-Table15[[#This Row],[R-DEMAND]],0)</f>
        <v>3412</v>
      </c>
      <c r="S348" s="408">
        <f t="shared" si="5"/>
        <v>5667332</v>
      </c>
      <c r="T348" s="419">
        <f>Table15[[#This Row],[R-DEMAND]]-(Table15[[#This Row],[ADD ACC]]*1706)</f>
        <v>317</v>
      </c>
      <c r="U348" s="419">
        <f>ROUNDDOWN(Table15[[#This Row],[Column1]]/1360,0)</f>
        <v>0</v>
      </c>
      <c r="V348" s="419"/>
      <c r="W348" s="251">
        <v>14.5</v>
      </c>
      <c r="X348" s="251">
        <f>ROUNDDOWN(Table15[[#This Row],[R-DEMAND]]/1320,0)</f>
        <v>0</v>
      </c>
      <c r="Y348" s="251">
        <f>IFERROR(Table15[[#This Row],[ADD ACC
(660/1320)]]*Table15[[#This Row],[Duration
(B744)]],0)</f>
        <v>0</v>
      </c>
      <c r="Z348" s="251"/>
    </row>
    <row r="349" spans="1:26" ht="15.75" customHeight="1" x14ac:dyDescent="0.25">
      <c r="A349" s="210" t="s">
        <v>15442</v>
      </c>
      <c r="B349" s="204" t="s">
        <v>430</v>
      </c>
      <c r="C349" s="204" t="s">
        <v>2</v>
      </c>
      <c r="D349" s="205">
        <v>5</v>
      </c>
      <c r="E349" s="204" t="s">
        <v>119</v>
      </c>
      <c r="F349" s="204" t="str">
        <f>VLOOKUP(E349,Table10[[COUNTRY NAME]:[CONTINENT CODE]],3,FALSE)</f>
        <v>EU</v>
      </c>
      <c r="G349" s="206" t="s">
        <v>11107</v>
      </c>
      <c r="H349" s="207">
        <v>7039</v>
      </c>
      <c r="I349" s="208">
        <v>17.75</v>
      </c>
      <c r="J349" s="345">
        <v>241493077</v>
      </c>
      <c r="K349" s="345">
        <f>IFERROR(Table15[[#This Row],[ROUTE $]]/Table15[[#This Row],[E - DEMAND]],0)</f>
        <v>67816.084526818304</v>
      </c>
      <c r="L349" s="204">
        <v>3561</v>
      </c>
      <c r="M349" s="412">
        <f>IFERROR(VLOOKUP(Table15[[#This Row],[ROUTE]],DEMAND!A:F,5,FALSE),0)</f>
        <v>3727</v>
      </c>
      <c r="N349" s="16">
        <f>IFERROR(VLOOKUP(Table15[[#This Row],[ROUTE]],DEMAND!A:F,6,FALSE),0)</f>
        <v>315</v>
      </c>
      <c r="O349" s="16">
        <f>IFERROR(ROUNDDOWN(Table15[[#This Row],[R-DEMAND]]/1706,0),0)</f>
        <v>0</v>
      </c>
      <c r="P349" s="16">
        <f>IFERROR(Table15[[#This Row],[ADD ACC]]*Table15[[#This Row],[RT TIME 
(380-800)]],0)</f>
        <v>0</v>
      </c>
      <c r="Q349" s="415">
        <f>IFERROR(VLOOKUP(Table15[[#This Row],[ROUTE]],PRICING!A:B,2,FALSE),0)</f>
        <v>1979</v>
      </c>
      <c r="R349" s="235">
        <f>IFERROR(Table15[[#This Row],[C_DEMAND]]-Table15[[#This Row],[R-DEMAND]],0)</f>
        <v>3412</v>
      </c>
      <c r="S349" s="408">
        <f t="shared" si="5"/>
        <v>6752348</v>
      </c>
      <c r="T349" s="419">
        <f>Table15[[#This Row],[R-DEMAND]]-(Table15[[#This Row],[ADD ACC]]*1706)</f>
        <v>315</v>
      </c>
      <c r="U349" s="419">
        <f>ROUNDDOWN(Table15[[#This Row],[Column1]]/1360,0)</f>
        <v>0</v>
      </c>
      <c r="V349" s="419"/>
      <c r="W349" s="251">
        <v>17.75</v>
      </c>
      <c r="X349" s="251">
        <f>ROUNDDOWN(Table15[[#This Row],[R-DEMAND]]/1320,0)</f>
        <v>0</v>
      </c>
      <c r="Y349" s="251">
        <f>IFERROR(Table15[[#This Row],[ADD ACC
(660/1320)]]*Table15[[#This Row],[Duration
(B744)]],0)</f>
        <v>0</v>
      </c>
      <c r="Z349" s="251"/>
    </row>
    <row r="350" spans="1:26" ht="15.75" customHeight="1" x14ac:dyDescent="0.25">
      <c r="A350" s="210" t="s">
        <v>15489</v>
      </c>
      <c r="B350" s="204" t="s">
        <v>324</v>
      </c>
      <c r="C350" s="204" t="s">
        <v>2</v>
      </c>
      <c r="D350" s="205">
        <v>4</v>
      </c>
      <c r="E350" s="204" t="s">
        <v>1427</v>
      </c>
      <c r="F350" s="204" t="str">
        <f>VLOOKUP(E350,Table10[[COUNTRY NAME]:[CONTINENT CODE]],3,FALSE)</f>
        <v>EU</v>
      </c>
      <c r="G350" s="206" t="s">
        <v>11088</v>
      </c>
      <c r="H350" s="207">
        <v>6713</v>
      </c>
      <c r="I350" s="208">
        <v>17</v>
      </c>
      <c r="J350" s="345">
        <v>229974840</v>
      </c>
      <c r="K350" s="345">
        <f>IFERROR(Table15[[#This Row],[ROUTE $]]/Table15[[#This Row],[E - DEMAND]],0)</f>
        <v>65819.931310818545</v>
      </c>
      <c r="L350" s="204">
        <v>3494</v>
      </c>
      <c r="M350" s="412">
        <f>IFERROR(VLOOKUP(Table15[[#This Row],[ROUTE]],DEMAND!A:F,5,FALSE),0)</f>
        <v>3693</v>
      </c>
      <c r="N350" s="16">
        <f>IFERROR(VLOOKUP(Table15[[#This Row],[ROUTE]],DEMAND!A:F,6,FALSE),0)</f>
        <v>281</v>
      </c>
      <c r="O350" s="16">
        <f>IFERROR(ROUNDDOWN(Table15[[#This Row],[R-DEMAND]]/1706,0),0)</f>
        <v>0</v>
      </c>
      <c r="P350" s="16">
        <f>IFERROR(Table15[[#This Row],[ADD ACC]]*Table15[[#This Row],[RT TIME 
(380-800)]],0)</f>
        <v>0</v>
      </c>
      <c r="Q350" s="415">
        <f>IFERROR(VLOOKUP(Table15[[#This Row],[ROUTE]],PRICING!A:B,2,FALSE),0)</f>
        <v>1826</v>
      </c>
      <c r="R350" s="235">
        <f>IFERROR(Table15[[#This Row],[C_DEMAND]]-Table15[[#This Row],[R-DEMAND]],0)</f>
        <v>3412</v>
      </c>
      <c r="S350" s="408">
        <f t="shared" si="5"/>
        <v>6230312</v>
      </c>
      <c r="T350" s="419">
        <f>Table15[[#This Row],[R-DEMAND]]-(Table15[[#This Row],[ADD ACC]]*1706)</f>
        <v>281</v>
      </c>
      <c r="U350" s="419">
        <f>ROUNDDOWN(Table15[[#This Row],[Column1]]/1360,0)</f>
        <v>0</v>
      </c>
      <c r="V350" s="419"/>
      <c r="W350" s="251">
        <v>17</v>
      </c>
      <c r="X350" s="251">
        <f>ROUNDDOWN(Table15[[#This Row],[R-DEMAND]]/1320,0)</f>
        <v>0</v>
      </c>
      <c r="Y350" s="251">
        <f>IFERROR(Table15[[#This Row],[ADD ACC
(660/1320)]]*Table15[[#This Row],[Duration
(B744)]],0)</f>
        <v>0</v>
      </c>
      <c r="Z350" s="251"/>
    </row>
    <row r="351" spans="1:26" ht="15.75" customHeight="1" x14ac:dyDescent="0.25">
      <c r="A351" s="210" t="s">
        <v>15739</v>
      </c>
      <c r="B351" s="204" t="s">
        <v>65</v>
      </c>
      <c r="C351" s="204" t="s">
        <v>2</v>
      </c>
      <c r="D351" s="205">
        <v>5</v>
      </c>
      <c r="E351" s="204" t="s">
        <v>14</v>
      </c>
      <c r="F351" s="204" t="str">
        <f>VLOOKUP(E351,Table10[[COUNTRY NAME]:[CONTINENT CODE]],3,FALSE)</f>
        <v>AS</v>
      </c>
      <c r="G351" s="206" t="s">
        <v>11039</v>
      </c>
      <c r="H351" s="207">
        <v>4260</v>
      </c>
      <c r="I351" s="208">
        <v>11.5</v>
      </c>
      <c r="J351" s="345">
        <v>209083238</v>
      </c>
      <c r="K351" s="345">
        <f>IFERROR(Table15[[#This Row],[ROUTE $]]/Table15[[#This Row],[E - DEMAND]],0)</f>
        <v>40709.353193146417</v>
      </c>
      <c r="L351" s="204">
        <v>5136</v>
      </c>
      <c r="M351" s="412">
        <f>IFERROR(VLOOKUP(Table15[[#This Row],[ROUTE]],DEMAND!A:F,5,FALSE),0)</f>
        <v>5376</v>
      </c>
      <c r="N351" s="16">
        <f>IFERROR(VLOOKUP(Table15[[#This Row],[ROUTE]],DEMAND!A:F,6,FALSE),0)</f>
        <v>258</v>
      </c>
      <c r="O351" s="16">
        <f>IFERROR(ROUNDDOWN(Table15[[#This Row],[R-DEMAND]]/1706,0),0)</f>
        <v>0</v>
      </c>
      <c r="P351" s="16">
        <f>IFERROR(Table15[[#This Row],[ADD ACC]]*Table15[[#This Row],[RT TIME 
(380-800)]],0)</f>
        <v>0</v>
      </c>
      <c r="Q351" s="415">
        <f>IFERROR(VLOOKUP(Table15[[#This Row],[ROUTE]],PRICING!A:B,2,FALSE),0)</f>
        <v>1238</v>
      </c>
      <c r="R351" s="235">
        <f>IFERROR(Table15[[#This Row],[C_DEMAND]]-Table15[[#This Row],[R-DEMAND]],0)</f>
        <v>5118</v>
      </c>
      <c r="S351" s="408">
        <f t="shared" si="5"/>
        <v>6336084</v>
      </c>
      <c r="T351" s="419">
        <f>Table15[[#This Row],[R-DEMAND]]-(Table15[[#This Row],[ADD ACC]]*1706)</f>
        <v>258</v>
      </c>
      <c r="U351" s="419">
        <f>ROUNDDOWN(Table15[[#This Row],[Column1]]/1360,0)</f>
        <v>0</v>
      </c>
      <c r="V351" s="419"/>
      <c r="W351" s="251">
        <v>11.5</v>
      </c>
      <c r="X351" s="251">
        <f>ROUNDDOWN(Table15[[#This Row],[R-DEMAND]]/1320,0)</f>
        <v>0</v>
      </c>
      <c r="Y351" s="251">
        <f>IFERROR(Table15[[#This Row],[ADD ACC
(660/1320)]]*Table15[[#This Row],[Duration
(B744)]],0)</f>
        <v>0</v>
      </c>
      <c r="Z351" s="251"/>
    </row>
    <row r="352" spans="1:26" ht="15.75" customHeight="1" x14ac:dyDescent="0.25">
      <c r="A352" s="210" t="s">
        <v>15310</v>
      </c>
      <c r="B352" s="204" t="s">
        <v>404</v>
      </c>
      <c r="C352" s="204" t="s">
        <v>2</v>
      </c>
      <c r="D352" s="205">
        <v>5</v>
      </c>
      <c r="E352" s="16" t="s">
        <v>11732</v>
      </c>
      <c r="F352" s="204" t="str">
        <f>VLOOKUP(E352,Table10[[COUNTRY NAME]:[CONTINENT CODE]],3,FALSE)</f>
        <v>NA - US</v>
      </c>
      <c r="G352" s="206" t="s">
        <v>13343</v>
      </c>
      <c r="H352" s="207">
        <v>12245</v>
      </c>
      <c r="I352" s="208">
        <v>29.25</v>
      </c>
      <c r="J352" s="345">
        <v>291345055</v>
      </c>
      <c r="K352" s="345">
        <f>IFERROR(Table15[[#This Row],[ROUTE $]]/Table15[[#This Row],[E - DEMAND]],0)</f>
        <v>83695.792875610452</v>
      </c>
      <c r="L352" s="204">
        <v>3481</v>
      </c>
      <c r="M352" s="412">
        <f>IFERROR(VLOOKUP(Table15[[#This Row],[ROUTE]],DEMAND!A:F,5,FALSE),0)</f>
        <v>3667</v>
      </c>
      <c r="N352" s="16">
        <f>IFERROR(VLOOKUP(Table15[[#This Row],[ROUTE]],DEMAND!A:F,6,FALSE),0)</f>
        <v>255</v>
      </c>
      <c r="O352" s="16">
        <f>IFERROR(ROUNDDOWN(Table15[[#This Row],[R-DEMAND]]/1706,0),0)</f>
        <v>0</v>
      </c>
      <c r="P352" s="16">
        <f>IFERROR(Table15[[#This Row],[ADD ACC]]*Table15[[#This Row],[RT TIME 
(380-800)]],0)</f>
        <v>0</v>
      </c>
      <c r="Q352" s="415">
        <f>IFERROR(VLOOKUP(Table15[[#This Row],[ROUTE]],PRICING!A:B,2,FALSE),0)</f>
        <v>3288</v>
      </c>
      <c r="R352" s="235">
        <f>IFERROR(Table15[[#This Row],[C_DEMAND]]-Table15[[#This Row],[R-DEMAND]],0)</f>
        <v>3412</v>
      </c>
      <c r="S352" s="408">
        <f t="shared" si="5"/>
        <v>11218656</v>
      </c>
      <c r="T352" s="419">
        <f>Table15[[#This Row],[R-DEMAND]]-(Table15[[#This Row],[ADD ACC]]*1706)</f>
        <v>255</v>
      </c>
      <c r="U352" s="419">
        <f>ROUNDDOWN(Table15[[#This Row],[Column1]]/1360,0)</f>
        <v>0</v>
      </c>
      <c r="V352" s="419"/>
      <c r="W352" s="251">
        <v>29.25</v>
      </c>
      <c r="X352" s="251">
        <f>ROUNDDOWN(Table15[[#This Row],[R-DEMAND]]/1320,0)</f>
        <v>0</v>
      </c>
      <c r="Y352" s="251">
        <f>IFERROR(Table15[[#This Row],[ADD ACC
(660/1320)]]*Table15[[#This Row],[Duration
(B744)]],0)</f>
        <v>0</v>
      </c>
      <c r="Z352" s="251"/>
    </row>
    <row r="353" spans="1:26" ht="15.75" customHeight="1" x14ac:dyDescent="0.25">
      <c r="A353" s="210" t="s">
        <v>15527</v>
      </c>
      <c r="B353" s="204" t="s">
        <v>149</v>
      </c>
      <c r="C353" s="204" t="s">
        <v>2</v>
      </c>
      <c r="D353" s="205">
        <v>4</v>
      </c>
      <c r="E353" s="204" t="s">
        <v>142</v>
      </c>
      <c r="F353" s="204" t="str">
        <f>VLOOKUP(E353,Table10[[COUNTRY NAME]:[CONTINENT CODE]],3,FALSE)</f>
        <v>AS</v>
      </c>
      <c r="G353" s="206" t="s">
        <v>11054</v>
      </c>
      <c r="H353" s="207">
        <v>6468</v>
      </c>
      <c r="I353" s="208">
        <v>16.5</v>
      </c>
      <c r="J353" s="345">
        <v>222182297</v>
      </c>
      <c r="K353" s="345">
        <f>IFERROR(Table15[[#This Row],[ROUTE $]]/Table15[[#This Row],[E - DEMAND]],0)</f>
        <v>63048.324914869467</v>
      </c>
      <c r="L353" s="204">
        <v>3524</v>
      </c>
      <c r="M353" s="412">
        <f>IFERROR(VLOOKUP(Table15[[#This Row],[ROUTE]],DEMAND!A:F,5,FALSE),0)</f>
        <v>3665</v>
      </c>
      <c r="N353" s="16">
        <f>IFERROR(VLOOKUP(Table15[[#This Row],[ROUTE]],DEMAND!A:F,6,FALSE),0)</f>
        <v>253</v>
      </c>
      <c r="O353" s="16">
        <f>IFERROR(ROUNDDOWN(Table15[[#This Row],[R-DEMAND]]/1706,0),0)</f>
        <v>0</v>
      </c>
      <c r="P353" s="16">
        <f>IFERROR(Table15[[#This Row],[ADD ACC]]*Table15[[#This Row],[RT TIME 
(380-800)]],0)</f>
        <v>0</v>
      </c>
      <c r="Q353" s="415">
        <f>IFERROR(VLOOKUP(Table15[[#This Row],[ROUTE]],PRICING!A:B,2,FALSE),0)</f>
        <v>1870</v>
      </c>
      <c r="R353" s="235">
        <f>IFERROR(Table15[[#This Row],[C_DEMAND]]-Table15[[#This Row],[R-DEMAND]],0)</f>
        <v>3412</v>
      </c>
      <c r="S353" s="408">
        <f t="shared" si="5"/>
        <v>6380440</v>
      </c>
      <c r="T353" s="419">
        <f>Table15[[#This Row],[R-DEMAND]]-(Table15[[#This Row],[ADD ACC]]*1706)</f>
        <v>253</v>
      </c>
      <c r="U353" s="419">
        <f>ROUNDDOWN(Table15[[#This Row],[Column1]]/1360,0)</f>
        <v>0</v>
      </c>
      <c r="V353" s="419"/>
      <c r="W353" s="251">
        <v>16.5</v>
      </c>
      <c r="X353" s="251">
        <f>ROUNDDOWN(Table15[[#This Row],[R-DEMAND]]/1320,0)</f>
        <v>0</v>
      </c>
      <c r="Y353" s="251">
        <f>IFERROR(Table15[[#This Row],[ADD ACC
(660/1320)]]*Table15[[#This Row],[Duration
(B744)]],0)</f>
        <v>0</v>
      </c>
      <c r="Z353" s="251"/>
    </row>
    <row r="354" spans="1:26" ht="15.75" customHeight="1" x14ac:dyDescent="0.25">
      <c r="A354" s="210" t="s">
        <v>15581</v>
      </c>
      <c r="B354" s="204" t="s">
        <v>282</v>
      </c>
      <c r="C354" s="204" t="s">
        <v>2</v>
      </c>
      <c r="D354" s="205">
        <v>4</v>
      </c>
      <c r="E354" s="204" t="s">
        <v>807</v>
      </c>
      <c r="F354" s="204" t="str">
        <f>VLOOKUP(E354,Table10[[COUNTRY NAME]:[CONTINENT CODE]],3,FALSE)</f>
        <v>EU</v>
      </c>
      <c r="G354" s="206" t="s">
        <v>11082</v>
      </c>
      <c r="H354" s="207">
        <v>5926</v>
      </c>
      <c r="I354" s="208">
        <v>15.25</v>
      </c>
      <c r="J354" s="345">
        <v>217294297</v>
      </c>
      <c r="K354" s="345">
        <f>IFERROR(Table15[[#This Row],[ROUTE $]]/Table15[[#This Row],[E - DEMAND]],0)</f>
        <v>63499.210111046174</v>
      </c>
      <c r="L354" s="204">
        <v>3422</v>
      </c>
      <c r="M354" s="412">
        <f>IFERROR(VLOOKUP(Table15[[#This Row],[ROUTE]],DEMAND!A:F,5,FALSE),0)</f>
        <v>3650</v>
      </c>
      <c r="N354" s="16">
        <f>IFERROR(VLOOKUP(Table15[[#This Row],[ROUTE]],DEMAND!A:F,6,FALSE),0)</f>
        <v>238</v>
      </c>
      <c r="O354" s="16">
        <f>IFERROR(ROUNDDOWN(Table15[[#This Row],[R-DEMAND]]/1706,0),0)</f>
        <v>0</v>
      </c>
      <c r="P354" s="16">
        <f>IFERROR(Table15[[#This Row],[ADD ACC]]*Table15[[#This Row],[RT TIME 
(380-800)]],0)</f>
        <v>0</v>
      </c>
      <c r="Q354" s="415">
        <f>IFERROR(VLOOKUP(Table15[[#This Row],[ROUTE]],PRICING!A:B,2,FALSE),0)</f>
        <v>1565</v>
      </c>
      <c r="R354" s="235">
        <f>IFERROR(Table15[[#This Row],[C_DEMAND]]-Table15[[#This Row],[R-DEMAND]],0)</f>
        <v>3412</v>
      </c>
      <c r="S354" s="408">
        <f t="shared" si="5"/>
        <v>5339780</v>
      </c>
      <c r="T354" s="419">
        <f>Table15[[#This Row],[R-DEMAND]]-(Table15[[#This Row],[ADD ACC]]*1706)</f>
        <v>238</v>
      </c>
      <c r="U354" s="419">
        <f>ROUNDDOWN(Table15[[#This Row],[Column1]]/1360,0)</f>
        <v>0</v>
      </c>
      <c r="V354" s="419"/>
      <c r="W354" s="251">
        <v>15.25</v>
      </c>
      <c r="X354" s="251">
        <f>ROUNDDOWN(Table15[[#This Row],[R-DEMAND]]/1320,0)</f>
        <v>0</v>
      </c>
      <c r="Y354" s="251">
        <f>IFERROR(Table15[[#This Row],[ADD ACC
(660/1320)]]*Table15[[#This Row],[Duration
(B744)]],0)</f>
        <v>0</v>
      </c>
      <c r="Z354" s="251"/>
    </row>
    <row r="355" spans="1:26" ht="15.75" customHeight="1" x14ac:dyDescent="0.25">
      <c r="A355" s="210" t="s">
        <v>15520</v>
      </c>
      <c r="B355" s="204" t="s">
        <v>5672</v>
      </c>
      <c r="C355" s="204" t="s">
        <v>2</v>
      </c>
      <c r="D355" s="205">
        <v>4</v>
      </c>
      <c r="E355" s="204" t="s">
        <v>308</v>
      </c>
      <c r="F355" s="204" t="str">
        <f>VLOOKUP(E355,Table10[[COUNTRY NAME]:[CONTINENT CODE]],3,FALSE)</f>
        <v>EU</v>
      </c>
      <c r="G355" s="206" t="s">
        <v>11056</v>
      </c>
      <c r="H355" s="207">
        <v>6510</v>
      </c>
      <c r="I355" s="208">
        <v>16.5</v>
      </c>
      <c r="J355" s="345">
        <v>228957661</v>
      </c>
      <c r="K355" s="345">
        <f>IFERROR(Table15[[#This Row],[ROUTE $]]/Table15[[#This Row],[E - DEMAND]],0)</f>
        <v>66153.614851199076</v>
      </c>
      <c r="L355" s="204">
        <v>3461</v>
      </c>
      <c r="M355" s="412">
        <f>IFERROR(VLOOKUP(Table15[[#This Row],[ROUTE]],DEMAND!A:F,5,FALSE),0)</f>
        <v>3646</v>
      </c>
      <c r="N355" s="16">
        <f>IFERROR(VLOOKUP(Table15[[#This Row],[ROUTE]],DEMAND!A:F,6,FALSE),0)</f>
        <v>234</v>
      </c>
      <c r="O355" s="16">
        <f>IFERROR(ROUNDDOWN(Table15[[#This Row],[R-DEMAND]]/1706,0),0)</f>
        <v>0</v>
      </c>
      <c r="P355" s="16">
        <f>IFERROR(Table15[[#This Row],[ADD ACC]]*Table15[[#This Row],[RT TIME 
(380-800)]],0)</f>
        <v>0</v>
      </c>
      <c r="Q355" s="415">
        <f>IFERROR(VLOOKUP(Table15[[#This Row],[ROUTE]],PRICING!A:B,2,FALSE),0)</f>
        <v>1795</v>
      </c>
      <c r="R355" s="235">
        <f>IFERROR(Table15[[#This Row],[C_DEMAND]]-Table15[[#This Row],[R-DEMAND]],0)</f>
        <v>3412</v>
      </c>
      <c r="S355" s="408">
        <f t="shared" si="5"/>
        <v>6124540</v>
      </c>
      <c r="T355" s="419">
        <f>Table15[[#This Row],[R-DEMAND]]-(Table15[[#This Row],[ADD ACC]]*1706)</f>
        <v>234</v>
      </c>
      <c r="U355" s="419">
        <f>ROUNDDOWN(Table15[[#This Row],[Column1]]/1360,0)</f>
        <v>0</v>
      </c>
      <c r="V355" s="419"/>
      <c r="W355" s="251">
        <v>16.5</v>
      </c>
      <c r="X355" s="251">
        <f>ROUNDDOWN(Table15[[#This Row],[R-DEMAND]]/1320,0)</f>
        <v>0</v>
      </c>
      <c r="Y355" s="251">
        <f>IFERROR(Table15[[#This Row],[ADD ACC
(660/1320)]]*Table15[[#This Row],[Duration
(B744)]],0)</f>
        <v>0</v>
      </c>
      <c r="Z355" s="251"/>
    </row>
    <row r="356" spans="1:26" ht="15.75" customHeight="1" x14ac:dyDescent="0.25">
      <c r="A356" s="210" t="s">
        <v>15213</v>
      </c>
      <c r="B356" s="204" t="s">
        <v>298</v>
      </c>
      <c r="C356" s="204" t="s">
        <v>2</v>
      </c>
      <c r="D356" s="205">
        <v>5</v>
      </c>
      <c r="E356" s="204" t="s">
        <v>517</v>
      </c>
      <c r="F356" s="204" t="str">
        <f>VLOOKUP(E356,Table10[[COUNTRY NAME]:[CONTINENT CODE]],3,FALSE)</f>
        <v>SA</v>
      </c>
      <c r="G356" s="206" t="s">
        <v>15110</v>
      </c>
      <c r="H356" s="207">
        <v>13758</v>
      </c>
      <c r="I356" s="208">
        <v>32.5</v>
      </c>
      <c r="J356" s="345">
        <v>305970162</v>
      </c>
      <c r="K356" s="345">
        <f>IFERROR(Table15[[#This Row],[ROUTE $]]/Table15[[#This Row],[E - DEMAND]],0)</f>
        <v>57179.99663614278</v>
      </c>
      <c r="L356" s="204">
        <v>5351</v>
      </c>
      <c r="M356" s="412">
        <f>IFERROR(VLOOKUP(Table15[[#This Row],[ROUTE]],DEMAND!A:F,5,FALSE),0)</f>
        <v>5351</v>
      </c>
      <c r="N356" s="16">
        <f>IFERROR(VLOOKUP(Table15[[#This Row],[ROUTE]],DEMAND!A:F,6,FALSE),0)</f>
        <v>233</v>
      </c>
      <c r="O356" s="16">
        <f>IFERROR(ROUNDDOWN(Table15[[#This Row],[R-DEMAND]]/1706,0),0)</f>
        <v>0</v>
      </c>
      <c r="P356" s="16">
        <f>IFERROR(Table15[[#This Row],[ADD ACC]]*Table15[[#This Row],[RT TIME 
(380-800)]],0)</f>
        <v>0</v>
      </c>
      <c r="Q356" s="415">
        <f>IFERROR(VLOOKUP(Table15[[#This Row],[ROUTE]],PRICING!A:B,2,FALSE),0)</f>
        <v>4384</v>
      </c>
      <c r="R356" s="235">
        <f>IFERROR(Table15[[#This Row],[C_DEMAND]]-Table15[[#This Row],[R-DEMAND]],0)</f>
        <v>5118</v>
      </c>
      <c r="S356" s="408">
        <f t="shared" si="5"/>
        <v>22437312</v>
      </c>
      <c r="T356" s="419">
        <f>Table15[[#This Row],[R-DEMAND]]-(Table15[[#This Row],[ADD ACC]]*1706)</f>
        <v>233</v>
      </c>
      <c r="U356" s="419">
        <f>ROUNDDOWN(Table15[[#This Row],[Column1]]/1360,0)</f>
        <v>0</v>
      </c>
      <c r="V356" s="419"/>
      <c r="W356" s="349"/>
      <c r="X356" s="349"/>
      <c r="Y356" s="349"/>
      <c r="Z356" s="349"/>
    </row>
    <row r="357" spans="1:26" ht="15.75" customHeight="1" x14ac:dyDescent="0.25">
      <c r="A357" s="210" t="s">
        <v>15953</v>
      </c>
      <c r="B357" s="204" t="s">
        <v>187</v>
      </c>
      <c r="C357" s="204" t="s">
        <v>67</v>
      </c>
      <c r="D357" s="205">
        <v>4</v>
      </c>
      <c r="E357" s="204" t="s">
        <v>1070</v>
      </c>
      <c r="F357" s="204" t="str">
        <f>VLOOKUP(E357,Table10[[COUNTRY NAME]:[CONTINENT CODE]],3,FALSE)</f>
        <v>AS</v>
      </c>
      <c r="G357" s="206" t="s">
        <v>11062</v>
      </c>
      <c r="H357" s="207">
        <v>1034</v>
      </c>
      <c r="I357" s="208">
        <v>4.5</v>
      </c>
      <c r="J357" s="345">
        <v>167373258</v>
      </c>
      <c r="K357" s="345">
        <f>IFERROR(Table15[[#This Row],[ROUTE $]]/Table15[[#This Row],[E - DEMAND]],0)</f>
        <v>33182.64432989691</v>
      </c>
      <c r="L357" s="204">
        <v>5044</v>
      </c>
      <c r="M357" s="412">
        <f>IFERROR(VLOOKUP(Table15[[#This Row],[ROUTE]],DEMAND!A:F,5,FALSE),0)</f>
        <v>5350</v>
      </c>
      <c r="N357" s="16">
        <f>IFERROR(VLOOKUP(Table15[[#This Row],[ROUTE]],DEMAND!A:F,6,FALSE),0)</f>
        <v>232</v>
      </c>
      <c r="O357" s="16">
        <f>IFERROR(ROUNDDOWN(Table15[[#This Row],[R-DEMAND]]/1706,0),0)</f>
        <v>0</v>
      </c>
      <c r="P357" s="16">
        <f>IFERROR(Table15[[#This Row],[ADD ACC]]*Table15[[#This Row],[RT TIME 
(380-800)]],0)</f>
        <v>0</v>
      </c>
      <c r="Q357" s="415">
        <f>IFERROR(VLOOKUP(Table15[[#This Row],[ROUTE]],PRICING!A:B,2,FALSE),0)</f>
        <v>360</v>
      </c>
      <c r="R357" s="235">
        <f>IFERROR(Table15[[#This Row],[C_DEMAND]]-Table15[[#This Row],[R-DEMAND]],0)</f>
        <v>5118</v>
      </c>
      <c r="S357" s="408">
        <f t="shared" si="5"/>
        <v>1842480</v>
      </c>
      <c r="T357" s="419">
        <f>Table15[[#This Row],[R-DEMAND]]-(Table15[[#This Row],[ADD ACC]]*1706)</f>
        <v>232</v>
      </c>
      <c r="U357" s="419">
        <f>ROUNDDOWN(Table15[[#This Row],[Column1]]/1360,0)</f>
        <v>0</v>
      </c>
      <c r="V357" s="419"/>
      <c r="W357" s="251">
        <v>4.5</v>
      </c>
      <c r="X357" s="251">
        <f>ROUNDDOWN(Table15[[#This Row],[R-DEMAND]]/1320,0)</f>
        <v>0</v>
      </c>
      <c r="Y357" s="251">
        <f>IFERROR(Table15[[#This Row],[ADD ACC
(660/1320)]]*Table15[[#This Row],[Duration
(B744)]],0)</f>
        <v>0</v>
      </c>
      <c r="Z357" s="251"/>
    </row>
    <row r="358" spans="1:26" ht="15.75" customHeight="1" x14ac:dyDescent="0.25">
      <c r="A358" s="210" t="s">
        <v>15282</v>
      </c>
      <c r="B358" s="204" t="s">
        <v>3553</v>
      </c>
      <c r="C358" s="204" t="s">
        <v>2</v>
      </c>
      <c r="D358" s="205">
        <v>2</v>
      </c>
      <c r="E358" s="204" t="s">
        <v>517</v>
      </c>
      <c r="F358" s="204" t="str">
        <f>VLOOKUP(E358,Table10[[COUNTRY NAME]:[CONTINENT CODE]],3,FALSE)</f>
        <v>SA</v>
      </c>
      <c r="G358" s="206" t="s">
        <v>13157</v>
      </c>
      <c r="H358" s="207">
        <v>12801</v>
      </c>
      <c r="I358" s="208">
        <v>30.5</v>
      </c>
      <c r="J358" s="345">
        <v>250296353</v>
      </c>
      <c r="K358" s="345">
        <f>IFERROR(Table15[[#This Row],[ROUTE $]]/Table15[[#This Row],[E - DEMAND]],0)</f>
        <v>72654.964586357033</v>
      </c>
      <c r="L358" s="204">
        <v>3445</v>
      </c>
      <c r="M358" s="412">
        <f>IFERROR(VLOOKUP(Table15[[#This Row],[ROUTE]],DEMAND!A:F,5,FALSE),0)</f>
        <v>3640</v>
      </c>
      <c r="N358" s="16">
        <f>IFERROR(VLOOKUP(Table15[[#This Row],[ROUTE]],DEMAND!A:F,6,FALSE),0)</f>
        <v>228</v>
      </c>
      <c r="O358" s="16">
        <f>IFERROR(ROUNDDOWN(Table15[[#This Row],[R-DEMAND]]/1706,0),0)</f>
        <v>0</v>
      </c>
      <c r="P358" s="16">
        <f>IFERROR(Table15[[#This Row],[ADD ACC]]*Table15[[#This Row],[RT TIME 
(380-800)]],0)</f>
        <v>0</v>
      </c>
      <c r="Q358" s="415">
        <f>IFERROR(VLOOKUP(Table15[[#This Row],[ROUTE]],PRICING!A:B,2,FALSE),0)</f>
        <v>3393</v>
      </c>
      <c r="R358" s="235">
        <f>IFERROR(Table15[[#This Row],[C_DEMAND]]-Table15[[#This Row],[R-DEMAND]],0)</f>
        <v>3412</v>
      </c>
      <c r="S358" s="408">
        <f t="shared" si="5"/>
        <v>11576916</v>
      </c>
      <c r="T358" s="419">
        <f>Table15[[#This Row],[R-DEMAND]]-(Table15[[#This Row],[ADD ACC]]*1706)</f>
        <v>228</v>
      </c>
      <c r="U358" s="419">
        <f>ROUNDDOWN(Table15[[#This Row],[Column1]]/1360,0)</f>
        <v>0</v>
      </c>
      <c r="V358" s="419"/>
      <c r="W358" s="251">
        <v>30.5</v>
      </c>
      <c r="X358" s="251">
        <f>ROUNDDOWN(Table15[[#This Row],[R-DEMAND]]/1320,0)</f>
        <v>0</v>
      </c>
      <c r="Y358" s="251">
        <f>IFERROR(Table15[[#This Row],[ADD ACC
(660/1320)]]*Table15[[#This Row],[Duration
(B744)]],0)</f>
        <v>0</v>
      </c>
      <c r="Z358" s="251"/>
    </row>
    <row r="359" spans="1:26" ht="15.75" customHeight="1" x14ac:dyDescent="0.25">
      <c r="A359" s="210" t="s">
        <v>15887</v>
      </c>
      <c r="B359" s="204" t="s">
        <v>110</v>
      </c>
      <c r="C359" s="204" t="s">
        <v>2</v>
      </c>
      <c r="D359" s="205">
        <v>5</v>
      </c>
      <c r="E359" s="204" t="s">
        <v>172</v>
      </c>
      <c r="F359" s="204" t="str">
        <f>VLOOKUP(E359,Table10[[COUNTRY NAME]:[CONTINENT CODE]],3,FALSE)</f>
        <v>AS</v>
      </c>
      <c r="G359" s="206" t="s">
        <v>11045</v>
      </c>
      <c r="H359" s="207">
        <v>2771</v>
      </c>
      <c r="I359" s="208">
        <v>8.25</v>
      </c>
      <c r="J359" s="345">
        <v>193120605</v>
      </c>
      <c r="K359" s="345">
        <f>IFERROR(Table15[[#This Row],[ROUTE $]]/Table15[[#This Row],[E - DEMAND]],0)</f>
        <v>37777.896126760563</v>
      </c>
      <c r="L359" s="204">
        <v>5112</v>
      </c>
      <c r="M359" s="412">
        <f>IFERROR(VLOOKUP(Table15[[#This Row],[ROUTE]],DEMAND!A:F,5,FALSE),0)</f>
        <v>5335</v>
      </c>
      <c r="N359" s="16">
        <f>IFERROR(VLOOKUP(Table15[[#This Row],[ROUTE]],DEMAND!A:F,6,FALSE),0)</f>
        <v>217</v>
      </c>
      <c r="O359" s="16">
        <f>IFERROR(ROUNDDOWN(Table15[[#This Row],[R-DEMAND]]/1706,0),0)</f>
        <v>0</v>
      </c>
      <c r="P359" s="16">
        <f>IFERROR(Table15[[#This Row],[ADD ACC]]*Table15[[#This Row],[RT TIME 
(380-800)]],0)</f>
        <v>0</v>
      </c>
      <c r="Q359" s="415">
        <f>IFERROR(VLOOKUP(Table15[[#This Row],[ROUTE]],PRICING!A:B,2,FALSE),0)</f>
        <v>851</v>
      </c>
      <c r="R359" s="235">
        <f>IFERROR(Table15[[#This Row],[C_DEMAND]]-Table15[[#This Row],[R-DEMAND]],0)</f>
        <v>5118</v>
      </c>
      <c r="S359" s="408">
        <f t="shared" si="5"/>
        <v>4355418</v>
      </c>
      <c r="T359" s="419">
        <f>Table15[[#This Row],[R-DEMAND]]-(Table15[[#This Row],[ADD ACC]]*1706)</f>
        <v>217</v>
      </c>
      <c r="U359" s="419">
        <f>ROUNDDOWN(Table15[[#This Row],[Column1]]/1360,0)</f>
        <v>0</v>
      </c>
      <c r="V359" s="419"/>
      <c r="W359" s="251">
        <v>8.25</v>
      </c>
      <c r="X359" s="251">
        <f>ROUNDDOWN(Table15[[#This Row],[R-DEMAND]]/1320,0)</f>
        <v>0</v>
      </c>
      <c r="Y359" s="251">
        <f>IFERROR(Table15[[#This Row],[ADD ACC
(660/1320)]]*Table15[[#This Row],[Duration
(B744)]],0)</f>
        <v>0</v>
      </c>
      <c r="Z359" s="251"/>
    </row>
    <row r="360" spans="1:26" ht="15.75" customHeight="1" x14ac:dyDescent="0.25">
      <c r="A360" s="210" t="s">
        <v>15281</v>
      </c>
      <c r="B360" s="204" t="s">
        <v>5682</v>
      </c>
      <c r="C360" s="204" t="s">
        <v>2</v>
      </c>
      <c r="D360" s="205">
        <v>5</v>
      </c>
      <c r="E360" s="16" t="s">
        <v>11732</v>
      </c>
      <c r="F360" s="204" t="str">
        <f>VLOOKUP(E360,Table10[[COUNTRY NAME]:[CONTINENT CODE]],3,FALSE)</f>
        <v>NA - US</v>
      </c>
      <c r="G360" s="206" t="s">
        <v>13351</v>
      </c>
      <c r="H360" s="207">
        <v>12806</v>
      </c>
      <c r="I360" s="208">
        <v>30.5</v>
      </c>
      <c r="J360" s="345">
        <v>293872824</v>
      </c>
      <c r="K360" s="345">
        <f>IFERROR(Table15[[#This Row],[ROUTE $]]/Table15[[#This Row],[E - DEMAND]],0)</f>
        <v>86204.993839835734</v>
      </c>
      <c r="L360" s="204">
        <v>3409</v>
      </c>
      <c r="M360" s="412">
        <f>IFERROR(VLOOKUP(Table15[[#This Row],[ROUTE]],DEMAND!A:F,5,FALSE),0)</f>
        <v>3614</v>
      </c>
      <c r="N360" s="16">
        <f>IFERROR(VLOOKUP(Table15[[#This Row],[ROUTE]],DEMAND!A:F,6,FALSE),0)</f>
        <v>202</v>
      </c>
      <c r="O360" s="16">
        <f>IFERROR(ROUNDDOWN(Table15[[#This Row],[R-DEMAND]]/1706,0),0)</f>
        <v>0</v>
      </c>
      <c r="P360" s="16">
        <f>IFERROR(Table15[[#This Row],[ADD ACC]]*Table15[[#This Row],[RT TIME 
(380-800)]],0)</f>
        <v>0</v>
      </c>
      <c r="Q360" s="415">
        <f>IFERROR(VLOOKUP(Table15[[#This Row],[ROUTE]],PRICING!A:B,2,FALSE),0)</f>
        <v>3352</v>
      </c>
      <c r="R360" s="235">
        <f>IFERROR(Table15[[#This Row],[C_DEMAND]]-Table15[[#This Row],[R-DEMAND]],0)</f>
        <v>3412</v>
      </c>
      <c r="S360" s="408">
        <f t="shared" si="5"/>
        <v>11437024</v>
      </c>
      <c r="T360" s="419">
        <f>Table15[[#This Row],[R-DEMAND]]-(Table15[[#This Row],[ADD ACC]]*1706)</f>
        <v>202</v>
      </c>
      <c r="U360" s="419">
        <f>ROUNDDOWN(Table15[[#This Row],[Column1]]/1360,0)</f>
        <v>0</v>
      </c>
      <c r="V360" s="419"/>
      <c r="W360" s="251">
        <v>30.5</v>
      </c>
      <c r="X360" s="251">
        <f>ROUNDDOWN(Table15[[#This Row],[R-DEMAND]]/1320,0)</f>
        <v>0</v>
      </c>
      <c r="Y360" s="251">
        <f>IFERROR(Table15[[#This Row],[ADD ACC
(660/1320)]]*Table15[[#This Row],[Duration
(B744)]],0)</f>
        <v>0</v>
      </c>
      <c r="Z360" s="251"/>
    </row>
    <row r="361" spans="1:26" ht="15.75" customHeight="1" x14ac:dyDescent="0.25">
      <c r="A361" s="210" t="s">
        <v>15861</v>
      </c>
      <c r="B361" s="204" t="s">
        <v>30</v>
      </c>
      <c r="C361" s="204" t="s">
        <v>2</v>
      </c>
      <c r="D361" s="205">
        <v>1</v>
      </c>
      <c r="E361" s="204" t="s">
        <v>332</v>
      </c>
      <c r="F361" s="204" t="str">
        <f>VLOOKUP(E361,Table10[[COUNTRY NAME]:[CONTINENT CODE]],3,FALSE)</f>
        <v>AS</v>
      </c>
      <c r="G361" s="206" t="s">
        <v>12100</v>
      </c>
      <c r="H361" s="207">
        <v>3089</v>
      </c>
      <c r="I361" s="208">
        <v>9</v>
      </c>
      <c r="J361" s="345">
        <v>146448967</v>
      </c>
      <c r="K361" s="345">
        <f>IFERROR(Table15[[#This Row],[ROUTE $]]/Table15[[#This Row],[E - DEMAND]],0)</f>
        <v>43149.37153800825</v>
      </c>
      <c r="L361" s="204">
        <v>3394</v>
      </c>
      <c r="M361" s="412">
        <f>IFERROR(VLOOKUP(Table15[[#This Row],[ROUTE]],DEMAND!A:F,5,FALSE),0)</f>
        <v>3598</v>
      </c>
      <c r="N361" s="16">
        <f>IFERROR(VLOOKUP(Table15[[#This Row],[ROUTE]],DEMAND!A:F,6,FALSE),0)</f>
        <v>186</v>
      </c>
      <c r="O361" s="16">
        <f>IFERROR(ROUNDDOWN(Table15[[#This Row],[R-DEMAND]]/1706,0),0)</f>
        <v>0</v>
      </c>
      <c r="P361" s="16">
        <f>IFERROR(Table15[[#This Row],[ADD ACC]]*Table15[[#This Row],[RT TIME 
(380-800)]],0)</f>
        <v>0</v>
      </c>
      <c r="Q361" s="415">
        <f>IFERROR(VLOOKUP(Table15[[#This Row],[ROUTE]],PRICING!A:B,2,FALSE),0)</f>
        <v>883</v>
      </c>
      <c r="R361" s="235">
        <f>IFERROR(Table15[[#This Row],[C_DEMAND]]-Table15[[#This Row],[R-DEMAND]],0)</f>
        <v>3412</v>
      </c>
      <c r="S361" s="408">
        <f t="shared" si="5"/>
        <v>3012796</v>
      </c>
      <c r="T361" s="419">
        <f>Table15[[#This Row],[R-DEMAND]]-(Table15[[#This Row],[ADD ACC]]*1706)</f>
        <v>186</v>
      </c>
      <c r="U361" s="419">
        <f>ROUNDDOWN(Table15[[#This Row],[Column1]]/1360,0)</f>
        <v>0</v>
      </c>
      <c r="V361" s="419"/>
      <c r="W361" s="251">
        <v>9</v>
      </c>
      <c r="X361" s="251">
        <f>ROUNDDOWN(Table15[[#This Row],[R-DEMAND]]/1320,0)</f>
        <v>0</v>
      </c>
      <c r="Y361" s="251">
        <f>IFERROR(Table15[[#This Row],[ADD ACC
(660/1320)]]*Table15[[#This Row],[Duration
(B744)]],0)</f>
        <v>0</v>
      </c>
      <c r="Z361" s="251"/>
    </row>
    <row r="362" spans="1:26" ht="15.75" customHeight="1" x14ac:dyDescent="0.25">
      <c r="A362" s="210" t="s">
        <v>15698</v>
      </c>
      <c r="B362" s="204" t="s">
        <v>272</v>
      </c>
      <c r="C362" s="204" t="s">
        <v>2</v>
      </c>
      <c r="D362" s="205">
        <v>2</v>
      </c>
      <c r="E362" s="204" t="s">
        <v>1261</v>
      </c>
      <c r="F362" s="204" t="str">
        <f>VLOOKUP(E362,Table10[[COUNTRY NAME]:[CONTINENT CODE]],3,FALSE)</f>
        <v>AS</v>
      </c>
      <c r="G362" s="206" t="s">
        <v>12117</v>
      </c>
      <c r="H362" s="207">
        <v>4674</v>
      </c>
      <c r="I362" s="208">
        <v>12.5</v>
      </c>
      <c r="J362" s="345">
        <v>169081325</v>
      </c>
      <c r="K362" s="345">
        <f>IFERROR(Table15[[#This Row],[ROUTE $]]/Table15[[#This Row],[E - DEMAND]],0)</f>
        <v>49803.041237113401</v>
      </c>
      <c r="L362" s="204">
        <v>3395</v>
      </c>
      <c r="M362" s="412">
        <f>IFERROR(VLOOKUP(Table15[[#This Row],[ROUTE]],DEMAND!A:F,5,FALSE),0)</f>
        <v>3588</v>
      </c>
      <c r="N362" s="16">
        <f>IFERROR(VLOOKUP(Table15[[#This Row],[ROUTE]],DEMAND!A:F,6,FALSE),0)</f>
        <v>176</v>
      </c>
      <c r="O362" s="16">
        <f>IFERROR(ROUNDDOWN(Table15[[#This Row],[R-DEMAND]]/1706,0),0)</f>
        <v>0</v>
      </c>
      <c r="P362" s="16">
        <f>IFERROR(Table15[[#This Row],[ADD ACC]]*Table15[[#This Row],[RT TIME 
(380-800)]],0)</f>
        <v>0</v>
      </c>
      <c r="Q362" s="415">
        <f>IFERROR(VLOOKUP(Table15[[#This Row],[ROUTE]],PRICING!A:B,2,FALSE),0)</f>
        <v>1301</v>
      </c>
      <c r="R362" s="235">
        <f>IFERROR(Table15[[#This Row],[C_DEMAND]]-Table15[[#This Row],[R-DEMAND]],0)</f>
        <v>3412</v>
      </c>
      <c r="S362" s="408">
        <f t="shared" si="5"/>
        <v>4439012</v>
      </c>
      <c r="T362" s="419">
        <f>Table15[[#This Row],[R-DEMAND]]-(Table15[[#This Row],[ADD ACC]]*1706)</f>
        <v>176</v>
      </c>
      <c r="U362" s="419">
        <f>ROUNDDOWN(Table15[[#This Row],[Column1]]/1360,0)</f>
        <v>0</v>
      </c>
      <c r="V362" s="419"/>
      <c r="W362" s="251">
        <v>12.5</v>
      </c>
      <c r="X362" s="251">
        <f>ROUNDDOWN(Table15[[#This Row],[R-DEMAND]]/1320,0)</f>
        <v>0</v>
      </c>
      <c r="Y362" s="251">
        <f>IFERROR(Table15[[#This Row],[ADD ACC
(660/1320)]]*Table15[[#This Row],[Duration
(B744)]],0)</f>
        <v>0</v>
      </c>
      <c r="Z362" s="251"/>
    </row>
    <row r="363" spans="1:26" ht="15.75" customHeight="1" x14ac:dyDescent="0.25">
      <c r="A363" s="210" t="s">
        <v>15276</v>
      </c>
      <c r="B363" s="204" t="s">
        <v>261</v>
      </c>
      <c r="C363" s="204" t="s">
        <v>2</v>
      </c>
      <c r="D363" s="205">
        <v>5</v>
      </c>
      <c r="E363" s="16" t="s">
        <v>11732</v>
      </c>
      <c r="F363" s="204" t="str">
        <f>VLOOKUP(E363,Table10[[COUNTRY NAME]:[CONTINENT CODE]],3,FALSE)</f>
        <v>NA - US</v>
      </c>
      <c r="G363" s="206" t="s">
        <v>13348</v>
      </c>
      <c r="H363" s="207">
        <v>12864</v>
      </c>
      <c r="I363" s="208">
        <v>30.5</v>
      </c>
      <c r="J363" s="345">
        <v>295777046</v>
      </c>
      <c r="K363" s="345">
        <f>IFERROR(Table15[[#This Row],[ROUTE $]]/Table15[[#This Row],[E - DEMAND]],0)</f>
        <v>86081.794528521539</v>
      </c>
      <c r="L363" s="204">
        <v>3436</v>
      </c>
      <c r="M363" s="412">
        <f>IFERROR(VLOOKUP(Table15[[#This Row],[ROUTE]],DEMAND!A:F,5,FALSE),0)</f>
        <v>3585</v>
      </c>
      <c r="N363" s="16">
        <f>IFERROR(VLOOKUP(Table15[[#This Row],[ROUTE]],DEMAND!A:F,6,FALSE),0)</f>
        <v>173</v>
      </c>
      <c r="O363" s="16">
        <f>IFERROR(ROUNDDOWN(Table15[[#This Row],[R-DEMAND]]/1706,0),0)</f>
        <v>0</v>
      </c>
      <c r="P363" s="16">
        <f>IFERROR(Table15[[#This Row],[ADD ACC]]*Table15[[#This Row],[RT TIME 
(380-800)]],0)</f>
        <v>0</v>
      </c>
      <c r="Q363" s="415">
        <f>IFERROR(VLOOKUP(Table15[[#This Row],[ROUTE]],PRICING!A:B,2,FALSE),0)</f>
        <v>3573</v>
      </c>
      <c r="R363" s="235">
        <f>IFERROR(Table15[[#This Row],[C_DEMAND]]-Table15[[#This Row],[R-DEMAND]],0)</f>
        <v>3412</v>
      </c>
      <c r="S363" s="408">
        <f t="shared" si="5"/>
        <v>12191076</v>
      </c>
      <c r="T363" s="419">
        <f>Table15[[#This Row],[R-DEMAND]]-(Table15[[#This Row],[ADD ACC]]*1706)</f>
        <v>173</v>
      </c>
      <c r="U363" s="419">
        <f>ROUNDDOWN(Table15[[#This Row],[Column1]]/1360,0)</f>
        <v>0</v>
      </c>
      <c r="V363" s="419"/>
      <c r="W363" s="251">
        <v>30.5</v>
      </c>
      <c r="X363" s="251">
        <f>ROUNDDOWN(Table15[[#This Row],[R-DEMAND]]/1320,0)</f>
        <v>0</v>
      </c>
      <c r="Y363" s="251">
        <f>IFERROR(Table15[[#This Row],[ADD ACC
(660/1320)]]*Table15[[#This Row],[Duration
(B744)]],0)</f>
        <v>0</v>
      </c>
      <c r="Z363" s="251"/>
    </row>
    <row r="364" spans="1:26" ht="15.75" customHeight="1" x14ac:dyDescent="0.25">
      <c r="A364" s="210" t="s">
        <v>15535</v>
      </c>
      <c r="B364" s="204" t="s">
        <v>5658</v>
      </c>
      <c r="C364" s="204" t="s">
        <v>2</v>
      </c>
      <c r="D364" s="205">
        <v>4</v>
      </c>
      <c r="E364" s="204" t="s">
        <v>876</v>
      </c>
      <c r="F364" s="204" t="str">
        <f>VLOOKUP(E364,Table10[[COUNTRY NAME]:[CONTINENT CODE]],3,FALSE)</f>
        <v>EU</v>
      </c>
      <c r="G364" s="206" t="s">
        <v>11095</v>
      </c>
      <c r="H364" s="207">
        <v>6413</v>
      </c>
      <c r="I364" s="208">
        <v>16.25</v>
      </c>
      <c r="J364" s="345">
        <v>226368601</v>
      </c>
      <c r="K364" s="345">
        <f>IFERROR(Table15[[#This Row],[ROUTE $]]/Table15[[#This Row],[E - DEMAND]],0)</f>
        <v>66015.923301254006</v>
      </c>
      <c r="L364" s="204">
        <v>3429</v>
      </c>
      <c r="M364" s="412">
        <f>IFERROR(VLOOKUP(Table15[[#This Row],[ROUTE]],DEMAND!A:F,5,FALSE),0)</f>
        <v>3578</v>
      </c>
      <c r="N364" s="16">
        <f>IFERROR(VLOOKUP(Table15[[#This Row],[ROUTE]],DEMAND!A:F,6,FALSE),0)</f>
        <v>166</v>
      </c>
      <c r="O364" s="16">
        <f>IFERROR(ROUNDDOWN(Table15[[#This Row],[R-DEMAND]]/1706,0),0)</f>
        <v>0</v>
      </c>
      <c r="P364" s="16">
        <f>IFERROR(Table15[[#This Row],[ADD ACC]]*Table15[[#This Row],[RT TIME 
(380-800)]],0)</f>
        <v>0</v>
      </c>
      <c r="Q364" s="415">
        <f>IFERROR(VLOOKUP(Table15[[#This Row],[ROUTE]],PRICING!A:B,2,FALSE),0)</f>
        <v>1833</v>
      </c>
      <c r="R364" s="235">
        <f>IFERROR(Table15[[#This Row],[C_DEMAND]]-Table15[[#This Row],[R-DEMAND]],0)</f>
        <v>3412</v>
      </c>
      <c r="S364" s="408">
        <f t="shared" si="5"/>
        <v>6254196</v>
      </c>
      <c r="T364" s="419">
        <f>Table15[[#This Row],[R-DEMAND]]-(Table15[[#This Row],[ADD ACC]]*1706)</f>
        <v>166</v>
      </c>
      <c r="U364" s="419">
        <f>ROUNDDOWN(Table15[[#This Row],[Column1]]/1360,0)</f>
        <v>0</v>
      </c>
      <c r="V364" s="419"/>
      <c r="W364" s="251">
        <v>16.25</v>
      </c>
      <c r="X364" s="251">
        <f>ROUNDDOWN(Table15[[#This Row],[R-DEMAND]]/1320,0)</f>
        <v>0</v>
      </c>
      <c r="Y364" s="251">
        <f>IFERROR(Table15[[#This Row],[ADD ACC
(660/1320)]]*Table15[[#This Row],[Duration
(B744)]],0)</f>
        <v>0</v>
      </c>
      <c r="Z364" s="251"/>
    </row>
    <row r="365" spans="1:26" ht="15.75" customHeight="1" x14ac:dyDescent="0.25">
      <c r="A365" s="210" t="s">
        <v>15464</v>
      </c>
      <c r="B365" s="204" t="s">
        <v>402</v>
      </c>
      <c r="C365" s="204" t="s">
        <v>2</v>
      </c>
      <c r="D365" s="205">
        <v>4</v>
      </c>
      <c r="E365" s="204" t="s">
        <v>3180</v>
      </c>
      <c r="F365" s="204" t="str">
        <f>VLOOKUP(E365,Table10[[COUNTRY NAME]:[CONTINENT CODE]],3,FALSE)</f>
        <v>EU</v>
      </c>
      <c r="G365" s="206" t="s">
        <v>11103</v>
      </c>
      <c r="H365" s="207">
        <v>6867</v>
      </c>
      <c r="I365" s="208">
        <v>17.25</v>
      </c>
      <c r="J365" s="345">
        <v>232001037</v>
      </c>
      <c r="K365" s="345">
        <f>IFERROR(Table15[[#This Row],[ROUTE $]]/Table15[[#This Row],[E - DEMAND]],0)</f>
        <v>67246.677391304343</v>
      </c>
      <c r="L365" s="204">
        <v>3450</v>
      </c>
      <c r="M365" s="412">
        <f>IFERROR(VLOOKUP(Table15[[#This Row],[ROUTE]],DEMAND!A:F,5,FALSE),0)</f>
        <v>3565</v>
      </c>
      <c r="N365" s="16">
        <f>IFERROR(VLOOKUP(Table15[[#This Row],[ROUTE]],DEMAND!A:F,6,FALSE),0)</f>
        <v>153</v>
      </c>
      <c r="O365" s="16">
        <f>IFERROR(ROUNDDOWN(Table15[[#This Row],[R-DEMAND]]/1706,0),0)</f>
        <v>0</v>
      </c>
      <c r="P365" s="16">
        <f>IFERROR(Table15[[#This Row],[ADD ACC]]*Table15[[#This Row],[RT TIME 
(380-800)]],0)</f>
        <v>0</v>
      </c>
      <c r="Q365" s="415">
        <f>IFERROR(VLOOKUP(Table15[[#This Row],[ROUTE]],PRICING!A:B,2,FALSE),0)</f>
        <v>2023</v>
      </c>
      <c r="R365" s="235">
        <f>IFERROR(Table15[[#This Row],[C_DEMAND]]-Table15[[#This Row],[R-DEMAND]],0)</f>
        <v>3412</v>
      </c>
      <c r="S365" s="408">
        <f t="shared" si="5"/>
        <v>6902476</v>
      </c>
      <c r="T365" s="419">
        <f>Table15[[#This Row],[R-DEMAND]]-(Table15[[#This Row],[ADD ACC]]*1706)</f>
        <v>153</v>
      </c>
      <c r="U365" s="419">
        <f>ROUNDDOWN(Table15[[#This Row],[Column1]]/1360,0)</f>
        <v>0</v>
      </c>
      <c r="V365" s="419"/>
      <c r="W365" s="251">
        <v>17.25</v>
      </c>
      <c r="X365" s="251">
        <f>ROUNDDOWN(Table15[[#This Row],[R-DEMAND]]/1320,0)</f>
        <v>0</v>
      </c>
      <c r="Y365" s="251">
        <f>IFERROR(Table15[[#This Row],[ADD ACC
(660/1320)]]*Table15[[#This Row],[Duration
(B744)]],0)</f>
        <v>0</v>
      </c>
      <c r="Z365" s="251"/>
    </row>
    <row r="366" spans="1:26" ht="15.75" customHeight="1" x14ac:dyDescent="0.25">
      <c r="A366" s="210" t="s">
        <v>15684</v>
      </c>
      <c r="B366" s="204" t="s">
        <v>130</v>
      </c>
      <c r="C366" s="204" t="s">
        <v>2</v>
      </c>
      <c r="D366" s="205">
        <v>5</v>
      </c>
      <c r="E366" s="204" t="s">
        <v>14</v>
      </c>
      <c r="F366" s="204" t="str">
        <f>VLOOKUP(E366,Table10[[COUNTRY NAME]:[CONTINENT CODE]],3,FALSE)</f>
        <v>AS</v>
      </c>
      <c r="G366" s="206" t="s">
        <v>12020</v>
      </c>
      <c r="H366" s="207">
        <v>4765</v>
      </c>
      <c r="I366" s="208">
        <v>12.75</v>
      </c>
      <c r="J366" s="345">
        <v>226129211</v>
      </c>
      <c r="K366" s="345">
        <f>IFERROR(Table15[[#This Row],[ROUTE $]]/Table15[[#This Row],[E - DEMAND]],0)</f>
        <v>44522.388462295727</v>
      </c>
      <c r="L366" s="204">
        <v>5079</v>
      </c>
      <c r="M366" s="412">
        <f>IFERROR(VLOOKUP(Table15[[#This Row],[ROUTE]],DEMAND!A:F,5,FALSE),0)</f>
        <v>5265</v>
      </c>
      <c r="N366" s="16">
        <f>IFERROR(VLOOKUP(Table15[[#This Row],[ROUTE]],DEMAND!A:F,6,FALSE),0)</f>
        <v>147</v>
      </c>
      <c r="O366" s="16">
        <f>IFERROR(ROUNDDOWN(Table15[[#This Row],[R-DEMAND]]/1706,0),0)</f>
        <v>0</v>
      </c>
      <c r="P366" s="16">
        <f>IFERROR(Table15[[#This Row],[ADD ACC]]*Table15[[#This Row],[RT TIME 
(380-800)]],0)</f>
        <v>0</v>
      </c>
      <c r="Q366" s="415">
        <f>IFERROR(VLOOKUP(Table15[[#This Row],[ROUTE]],PRICING!A:B,2,FALSE),0)</f>
        <v>1421</v>
      </c>
      <c r="R366" s="235">
        <f>IFERROR(Table15[[#This Row],[C_DEMAND]]-Table15[[#This Row],[R-DEMAND]],0)</f>
        <v>5118</v>
      </c>
      <c r="S366" s="408">
        <f t="shared" si="5"/>
        <v>7272678</v>
      </c>
      <c r="T366" s="419">
        <f>Table15[[#This Row],[R-DEMAND]]-(Table15[[#This Row],[ADD ACC]]*1706)</f>
        <v>147</v>
      </c>
      <c r="U366" s="419">
        <f>ROUNDDOWN(Table15[[#This Row],[Column1]]/1360,0)</f>
        <v>0</v>
      </c>
      <c r="V366" s="419"/>
      <c r="W366" s="251">
        <v>12.75</v>
      </c>
      <c r="X366" s="251">
        <f>ROUNDDOWN(Table15[[#This Row],[R-DEMAND]]/1320,0)</f>
        <v>0</v>
      </c>
      <c r="Y366" s="251">
        <f>IFERROR(Table15[[#This Row],[ADD ACC
(660/1320)]]*Table15[[#This Row],[Duration
(B744)]],0)</f>
        <v>0</v>
      </c>
      <c r="Z366" s="251"/>
    </row>
    <row r="367" spans="1:26" ht="15.75" customHeight="1" x14ac:dyDescent="0.25">
      <c r="A367" s="210" t="s">
        <v>15132</v>
      </c>
      <c r="B367" s="204" t="s">
        <v>5616</v>
      </c>
      <c r="C367" s="204" t="s">
        <v>2</v>
      </c>
      <c r="D367" s="205">
        <v>4</v>
      </c>
      <c r="E367" s="204" t="s">
        <v>1749</v>
      </c>
      <c r="F367" s="204" t="str">
        <f>VLOOKUP(E367,Table10[[COUNTRY NAME]:[CONTINENT CODE]],3,FALSE)</f>
        <v>NA</v>
      </c>
      <c r="G367" s="206" t="s">
        <v>13229</v>
      </c>
      <c r="H367" s="207">
        <v>15042</v>
      </c>
      <c r="I367" s="208">
        <v>35.5</v>
      </c>
      <c r="J367" s="345">
        <v>307190469</v>
      </c>
      <c r="K367" s="345">
        <f>IFERROR(Table15[[#This Row],[ROUTE $]]/Table15[[#This Row],[E - DEMAND]],0)</f>
        <v>92388.110977443604</v>
      </c>
      <c r="L367" s="204">
        <v>3325</v>
      </c>
      <c r="M367" s="412">
        <f>IFERROR(VLOOKUP(Table15[[#This Row],[ROUTE]],DEMAND!A:F,5,FALSE),0)</f>
        <v>3525</v>
      </c>
      <c r="N367" s="16">
        <f>IFERROR(VLOOKUP(Table15[[#This Row],[ROUTE]],DEMAND!A:F,6,FALSE),0)</f>
        <v>113</v>
      </c>
      <c r="O367" s="16">
        <f>IFERROR(ROUNDDOWN(Table15[[#This Row],[R-DEMAND]]/1706,0),0)</f>
        <v>0</v>
      </c>
      <c r="P367" s="16">
        <f>IFERROR(Table15[[#This Row],[ADD ACC]]*Table15[[#This Row],[RT TIME 
(380-800)]],0)</f>
        <v>0</v>
      </c>
      <c r="Q367" s="415">
        <f>IFERROR(VLOOKUP(Table15[[#This Row],[ROUTE]],PRICING!A:B,2,FALSE),0)</f>
        <v>3922</v>
      </c>
      <c r="R367" s="235">
        <f>IFERROR(Table15[[#This Row],[C_DEMAND]]-Table15[[#This Row],[R-DEMAND]],0)</f>
        <v>3412</v>
      </c>
      <c r="S367" s="408">
        <f t="shared" si="5"/>
        <v>13381864</v>
      </c>
      <c r="T367" s="419">
        <f>Table15[[#This Row],[R-DEMAND]]-(Table15[[#This Row],[ADD ACC]]*1706)</f>
        <v>113</v>
      </c>
      <c r="U367" s="419">
        <f>ROUNDDOWN(Table15[[#This Row],[Column1]]/1360,0)</f>
        <v>0</v>
      </c>
      <c r="V367" s="419"/>
      <c r="W367" s="349"/>
      <c r="X367" s="349"/>
      <c r="Y367" s="349"/>
      <c r="Z367" s="349"/>
    </row>
    <row r="368" spans="1:26" ht="15.75" customHeight="1" x14ac:dyDescent="0.25">
      <c r="A368" s="210" t="s">
        <v>15415</v>
      </c>
      <c r="B368" s="204" t="s">
        <v>126</v>
      </c>
      <c r="C368" s="204" t="s">
        <v>2</v>
      </c>
      <c r="D368" s="205">
        <v>4</v>
      </c>
      <c r="E368" s="204" t="s">
        <v>774</v>
      </c>
      <c r="F368" s="204" t="str">
        <f>VLOOKUP(E368,Table10[[COUNTRY NAME]:[CONTINENT CODE]],3,FALSE)</f>
        <v>OC</v>
      </c>
      <c r="G368" s="206" t="s">
        <v>11050</v>
      </c>
      <c r="H368" s="207">
        <v>7299</v>
      </c>
      <c r="I368" s="208">
        <v>18.25</v>
      </c>
      <c r="J368" s="345">
        <v>228897764</v>
      </c>
      <c r="K368" s="345">
        <f>IFERROR(Table15[[#This Row],[ROUTE $]]/Table15[[#This Row],[E - DEMAND]],0)</f>
        <v>68862.143200962702</v>
      </c>
      <c r="L368" s="204">
        <v>3324</v>
      </c>
      <c r="M368" s="412">
        <f>IFERROR(VLOOKUP(Table15[[#This Row],[ROUTE]],DEMAND!A:F,5,FALSE),0)</f>
        <v>3524</v>
      </c>
      <c r="N368" s="16">
        <f>IFERROR(VLOOKUP(Table15[[#This Row],[ROUTE]],DEMAND!A:F,6,FALSE),0)</f>
        <v>112</v>
      </c>
      <c r="O368" s="16">
        <f>IFERROR(ROUNDDOWN(Table15[[#This Row],[R-DEMAND]]/1706,0),0)</f>
        <v>0</v>
      </c>
      <c r="P368" s="16">
        <f>IFERROR(Table15[[#This Row],[ADD ACC]]*Table15[[#This Row],[RT TIME 
(380-800)]],0)</f>
        <v>0</v>
      </c>
      <c r="Q368" s="415">
        <f>IFERROR(VLOOKUP(Table15[[#This Row],[ROUTE]],PRICING!A:B,2,FALSE),0)</f>
        <v>1953</v>
      </c>
      <c r="R368" s="235">
        <f>IFERROR(Table15[[#This Row],[C_DEMAND]]-Table15[[#This Row],[R-DEMAND]],0)</f>
        <v>3412</v>
      </c>
      <c r="S368" s="408">
        <f t="shared" si="5"/>
        <v>6663636</v>
      </c>
      <c r="T368" s="419">
        <f>Table15[[#This Row],[R-DEMAND]]-(Table15[[#This Row],[ADD ACC]]*1706)</f>
        <v>112</v>
      </c>
      <c r="U368" s="419">
        <f>ROUNDDOWN(Table15[[#This Row],[Column1]]/1360,0)</f>
        <v>0</v>
      </c>
      <c r="V368" s="419"/>
      <c r="W368" s="251">
        <v>18.25</v>
      </c>
      <c r="X368" s="251">
        <f>ROUNDDOWN(Table15[[#This Row],[R-DEMAND]]/1320,0)</f>
        <v>0</v>
      </c>
      <c r="Y368" s="251">
        <f>IFERROR(Table15[[#This Row],[ADD ACC
(660/1320)]]*Table15[[#This Row],[Duration
(B744)]],0)</f>
        <v>0</v>
      </c>
      <c r="Z368" s="251"/>
    </row>
    <row r="369" spans="1:26" ht="15.75" customHeight="1" x14ac:dyDescent="0.25">
      <c r="A369" s="210" t="s">
        <v>15323</v>
      </c>
      <c r="B369" s="204" t="s">
        <v>5454</v>
      </c>
      <c r="C369" s="204" t="s">
        <v>2</v>
      </c>
      <c r="D369" s="205">
        <v>4</v>
      </c>
      <c r="E369" s="204" t="s">
        <v>514</v>
      </c>
      <c r="F369" s="204" t="str">
        <f>VLOOKUP(E369,Table10[[COUNTRY NAME]:[CONTINENT CODE]],3,FALSE)</f>
        <v>NA</v>
      </c>
      <c r="G369" s="206" t="s">
        <v>13163</v>
      </c>
      <c r="H369" s="207">
        <v>11944</v>
      </c>
      <c r="I369" s="208">
        <v>28.5</v>
      </c>
      <c r="J369" s="345">
        <v>268772042</v>
      </c>
      <c r="K369" s="345">
        <f>IFERROR(Table15[[#This Row],[ROUTE $]]/Table15[[#This Row],[E - DEMAND]],0)</f>
        <v>79920.321736544749</v>
      </c>
      <c r="L369" s="204">
        <v>3363</v>
      </c>
      <c r="M369" s="412">
        <f>IFERROR(VLOOKUP(Table15[[#This Row],[ROUTE]],DEMAND!A:F,5,FALSE),0)</f>
        <v>3520</v>
      </c>
      <c r="N369" s="16">
        <f>IFERROR(VLOOKUP(Table15[[#This Row],[ROUTE]],DEMAND!A:F,6,FALSE),0)</f>
        <v>108</v>
      </c>
      <c r="O369" s="16">
        <f>IFERROR(ROUNDDOWN(Table15[[#This Row],[R-DEMAND]]/1706,0),0)</f>
        <v>0</v>
      </c>
      <c r="P369" s="16">
        <f>IFERROR(Table15[[#This Row],[ADD ACC]]*Table15[[#This Row],[RT TIME 
(380-800)]],0)</f>
        <v>0</v>
      </c>
      <c r="Q369" s="415">
        <f>IFERROR(VLOOKUP(Table15[[#This Row],[ROUTE]],PRICING!A:B,2,FALSE),0)</f>
        <v>3286</v>
      </c>
      <c r="R369" s="235">
        <f>IFERROR(Table15[[#This Row],[C_DEMAND]]-Table15[[#This Row],[R-DEMAND]],0)</f>
        <v>3412</v>
      </c>
      <c r="S369" s="408">
        <f t="shared" si="5"/>
        <v>11211832</v>
      </c>
      <c r="T369" s="419">
        <f>Table15[[#This Row],[R-DEMAND]]-(Table15[[#This Row],[ADD ACC]]*1706)</f>
        <v>108</v>
      </c>
      <c r="U369" s="419">
        <f>ROUNDDOWN(Table15[[#This Row],[Column1]]/1360,0)</f>
        <v>0</v>
      </c>
      <c r="V369" s="419"/>
      <c r="W369" s="251">
        <v>28.5</v>
      </c>
      <c r="X369" s="251">
        <f>ROUNDDOWN(Table15[[#This Row],[R-DEMAND]]/1320,0)</f>
        <v>0</v>
      </c>
      <c r="Y369" s="251">
        <f>IFERROR(Table15[[#This Row],[ADD ACC
(660/1320)]]*Table15[[#This Row],[Duration
(B744)]],0)</f>
        <v>0</v>
      </c>
      <c r="Z369" s="251"/>
    </row>
    <row r="370" spans="1:26" ht="15.75" customHeight="1" x14ac:dyDescent="0.25">
      <c r="A370" s="210" t="s">
        <v>15552</v>
      </c>
      <c r="B370" s="204" t="s">
        <v>5631</v>
      </c>
      <c r="C370" s="204" t="s">
        <v>2</v>
      </c>
      <c r="D370" s="205">
        <v>4</v>
      </c>
      <c r="E370" s="204" t="s">
        <v>1427</v>
      </c>
      <c r="F370" s="204" t="str">
        <f>VLOOKUP(E370,Table10[[COUNTRY NAME]:[CONTINENT CODE]],3,FALSE)</f>
        <v>EU</v>
      </c>
      <c r="G370" s="206" t="s">
        <v>11034</v>
      </c>
      <c r="H370" s="207">
        <v>6294</v>
      </c>
      <c r="I370" s="208">
        <v>16</v>
      </c>
      <c r="J370" s="345">
        <v>222271651</v>
      </c>
      <c r="K370" s="345">
        <f>IFERROR(Table15[[#This Row],[ROUTE $]]/Table15[[#This Row],[E - DEMAND]],0)</f>
        <v>65489.584855627581</v>
      </c>
      <c r="L370" s="204">
        <v>3394</v>
      </c>
      <c r="M370" s="412">
        <f>IFERROR(VLOOKUP(Table15[[#This Row],[ROUTE]],DEMAND!A:F,5,FALSE),0)</f>
        <v>3518</v>
      </c>
      <c r="N370" s="16">
        <f>IFERROR(VLOOKUP(Table15[[#This Row],[ROUTE]],DEMAND!A:F,6,FALSE),0)</f>
        <v>106</v>
      </c>
      <c r="O370" s="16">
        <f>IFERROR(ROUNDDOWN(Table15[[#This Row],[R-DEMAND]]/1706,0),0)</f>
        <v>0</v>
      </c>
      <c r="P370" s="16">
        <f>IFERROR(Table15[[#This Row],[ADD ACC]]*Table15[[#This Row],[RT TIME 
(380-800)]],0)</f>
        <v>0</v>
      </c>
      <c r="Q370" s="415">
        <f>IFERROR(VLOOKUP(Table15[[#This Row],[ROUTE]],PRICING!A:B,2,FALSE),0)</f>
        <v>1843</v>
      </c>
      <c r="R370" s="235">
        <f>IFERROR(Table15[[#This Row],[C_DEMAND]]-Table15[[#This Row],[R-DEMAND]],0)</f>
        <v>3412</v>
      </c>
      <c r="S370" s="408">
        <f t="shared" si="5"/>
        <v>6288316</v>
      </c>
      <c r="T370" s="419">
        <f>Table15[[#This Row],[R-DEMAND]]-(Table15[[#This Row],[ADD ACC]]*1706)</f>
        <v>106</v>
      </c>
      <c r="U370" s="419">
        <f>ROUNDDOWN(Table15[[#This Row],[Column1]]/1360,0)</f>
        <v>0</v>
      </c>
      <c r="V370" s="419"/>
      <c r="W370" s="251">
        <v>16</v>
      </c>
      <c r="X370" s="251">
        <f>ROUNDDOWN(Table15[[#This Row],[R-DEMAND]]/1320,0)</f>
        <v>0</v>
      </c>
      <c r="Y370" s="251">
        <f>IFERROR(Table15[[#This Row],[ADD ACC
(660/1320)]]*Table15[[#This Row],[Duration
(B744)]],0)</f>
        <v>0</v>
      </c>
      <c r="Z370" s="251"/>
    </row>
    <row r="371" spans="1:26" ht="15.75" customHeight="1" x14ac:dyDescent="0.25">
      <c r="A371" s="210" t="s">
        <v>15358</v>
      </c>
      <c r="B371" s="204" t="s">
        <v>5064</v>
      </c>
      <c r="C371" s="204" t="s">
        <v>2</v>
      </c>
      <c r="D371" s="205">
        <v>3</v>
      </c>
      <c r="E371" s="204" t="s">
        <v>733</v>
      </c>
      <c r="F371" s="204" t="str">
        <f>VLOOKUP(E371,Table10[[COUNTRY NAME]:[CONTINENT CODE]],3,FALSE)</f>
        <v>EU</v>
      </c>
      <c r="G371" s="206" t="s">
        <v>13247</v>
      </c>
      <c r="H371" s="207">
        <v>8846</v>
      </c>
      <c r="I371" s="208">
        <v>21.75</v>
      </c>
      <c r="J371" s="345">
        <v>227296554</v>
      </c>
      <c r="K371" s="345">
        <f>IFERROR(Table15[[#This Row],[ROUTE $]]/Table15[[#This Row],[E - DEMAND]],0)</f>
        <v>69424.726328649966</v>
      </c>
      <c r="L371" s="204">
        <v>3274</v>
      </c>
      <c r="M371" s="412">
        <f>IFERROR(VLOOKUP(Table15[[#This Row],[ROUTE]],DEMAND!A:F,5,FALSE),0)</f>
        <v>3481</v>
      </c>
      <c r="N371" s="16">
        <f>IFERROR(VLOOKUP(Table15[[#This Row],[ROUTE]],DEMAND!A:F,6,FALSE),0)</f>
        <v>69</v>
      </c>
      <c r="O371" s="16">
        <f>IFERROR(ROUNDDOWN(Table15[[#This Row],[R-DEMAND]]/1706,0),0)</f>
        <v>0</v>
      </c>
      <c r="P371" s="16">
        <f>IFERROR(Table15[[#This Row],[ADD ACC]]*Table15[[#This Row],[RT TIME 
(380-800)]],0)</f>
        <v>0</v>
      </c>
      <c r="Q371" s="415">
        <f>IFERROR(VLOOKUP(Table15[[#This Row],[ROUTE]],PRICING!A:B,2,FALSE),0)</f>
        <v>2318</v>
      </c>
      <c r="R371" s="235">
        <f>IFERROR(Table15[[#This Row],[C_DEMAND]]-Table15[[#This Row],[R-DEMAND]],0)</f>
        <v>3412</v>
      </c>
      <c r="S371" s="408">
        <f t="shared" si="5"/>
        <v>7909016</v>
      </c>
      <c r="T371" s="419">
        <f>Table15[[#This Row],[R-DEMAND]]-(Table15[[#This Row],[ADD ACC]]*1706)</f>
        <v>69</v>
      </c>
      <c r="U371" s="419">
        <f>ROUNDDOWN(Table15[[#This Row],[Column1]]/1360,0)</f>
        <v>0</v>
      </c>
      <c r="V371" s="419"/>
      <c r="W371" s="251">
        <v>21.75</v>
      </c>
      <c r="X371" s="251">
        <f>ROUNDDOWN(Table15[[#This Row],[R-DEMAND]]/1320,0)</f>
        <v>0</v>
      </c>
      <c r="Y371" s="251">
        <f>IFERROR(Table15[[#This Row],[ADD ACC
(660/1320)]]*Table15[[#This Row],[Duration
(B744)]],0)</f>
        <v>0</v>
      </c>
      <c r="Z371" s="251"/>
    </row>
    <row r="372" spans="1:26" ht="15.75" customHeight="1" x14ac:dyDescent="0.25">
      <c r="A372" s="210" t="s">
        <v>15351</v>
      </c>
      <c r="B372" s="204" t="s">
        <v>5487</v>
      </c>
      <c r="C372" s="204" t="s">
        <v>2</v>
      </c>
      <c r="D372" s="205">
        <v>4</v>
      </c>
      <c r="E372" s="204" t="s">
        <v>774</v>
      </c>
      <c r="F372" s="204" t="str">
        <f>VLOOKUP(E372,Table10[[COUNTRY NAME]:[CONTINENT CODE]],3,FALSE)</f>
        <v>OC</v>
      </c>
      <c r="G372" s="206" t="s">
        <v>11118</v>
      </c>
      <c r="H372" s="207">
        <v>9167</v>
      </c>
      <c r="I372" s="208">
        <v>22.5</v>
      </c>
      <c r="J372" s="345">
        <v>242390007</v>
      </c>
      <c r="K372" s="345">
        <f>IFERROR(Table15[[#This Row],[ROUTE $]]/Table15[[#This Row],[E - DEMAND]],0)</f>
        <v>73473.782055168238</v>
      </c>
      <c r="L372" s="204">
        <v>3299</v>
      </c>
      <c r="M372" s="412">
        <f>IFERROR(VLOOKUP(Table15[[#This Row],[ROUTE]],DEMAND!A:F,5,FALSE),0)</f>
        <v>3442</v>
      </c>
      <c r="N372" s="16">
        <f>IFERROR(VLOOKUP(Table15[[#This Row],[ROUTE]],DEMAND!A:F,6,FALSE),0)</f>
        <v>30</v>
      </c>
      <c r="O372" s="16">
        <f>IFERROR(ROUNDDOWN(Table15[[#This Row],[R-DEMAND]]/1706,0),0)</f>
        <v>0</v>
      </c>
      <c r="P372" s="16">
        <f>IFERROR(Table15[[#This Row],[ADD ACC]]*Table15[[#This Row],[RT TIME 
(380-800)]],0)</f>
        <v>0</v>
      </c>
      <c r="Q372" s="415">
        <f>IFERROR(VLOOKUP(Table15[[#This Row],[ROUTE]],PRICING!A:B,2,FALSE),0)</f>
        <v>2576</v>
      </c>
      <c r="R372" s="235">
        <f>IFERROR(Table15[[#This Row],[C_DEMAND]]-Table15[[#This Row],[R-DEMAND]],0)</f>
        <v>3412</v>
      </c>
      <c r="S372" s="408">
        <f t="shared" si="5"/>
        <v>8789312</v>
      </c>
      <c r="T372" s="419">
        <f>Table15[[#This Row],[R-DEMAND]]-(Table15[[#This Row],[ADD ACC]]*1706)</f>
        <v>30</v>
      </c>
      <c r="U372" s="419">
        <f>ROUNDDOWN(Table15[[#This Row],[Column1]]/1360,0)</f>
        <v>0</v>
      </c>
      <c r="V372" s="419"/>
      <c r="W372" s="251">
        <v>22.5</v>
      </c>
      <c r="X372" s="251">
        <f>ROUNDDOWN(Table15[[#This Row],[R-DEMAND]]/1320,0)</f>
        <v>0</v>
      </c>
      <c r="Y372" s="251">
        <f>IFERROR(Table15[[#This Row],[ADD ACC
(660/1320)]]*Table15[[#This Row],[Duration
(B744)]],0)</f>
        <v>0</v>
      </c>
      <c r="Z372" s="251"/>
    </row>
    <row r="373" spans="1:26" ht="15.75" customHeight="1" x14ac:dyDescent="0.25">
      <c r="A373" s="210" t="s">
        <v>15448</v>
      </c>
      <c r="B373" s="204" t="s">
        <v>376</v>
      </c>
      <c r="C373" s="204" t="s">
        <v>2</v>
      </c>
      <c r="D373" s="205">
        <v>5</v>
      </c>
      <c r="E373" s="204" t="s">
        <v>560</v>
      </c>
      <c r="F373" s="204" t="str">
        <f>VLOOKUP(E373,Table10[[COUNTRY NAME]:[CONTINENT CODE]],3,FALSE)</f>
        <v>EU</v>
      </c>
      <c r="G373" s="206" t="s">
        <v>11100</v>
      </c>
      <c r="H373" s="207">
        <v>6994</v>
      </c>
      <c r="I373" s="208">
        <v>17.5</v>
      </c>
      <c r="J373" s="345">
        <v>250984252</v>
      </c>
      <c r="K373" s="345">
        <f>IFERROR(Table15[[#This Row],[ROUTE $]]/Table15[[#This Row],[E - DEMAND]],0)</f>
        <v>76403.120852359207</v>
      </c>
      <c r="L373" s="204">
        <v>3285</v>
      </c>
      <c r="M373" s="412">
        <f>IFERROR(VLOOKUP(Table15[[#This Row],[ROUTE]],DEMAND!A:F,5,FALSE),0)</f>
        <v>3439</v>
      </c>
      <c r="N373" s="16">
        <f>IFERROR(VLOOKUP(Table15[[#This Row],[ROUTE]],DEMAND!A:F,6,FALSE),0)</f>
        <v>27</v>
      </c>
      <c r="O373" s="16">
        <f>IFERROR(ROUNDDOWN(Table15[[#This Row],[R-DEMAND]]/1706,0),0)</f>
        <v>0</v>
      </c>
      <c r="P373" s="16">
        <f>IFERROR(Table15[[#This Row],[ADD ACC]]*Table15[[#This Row],[RT TIME 
(380-800)]],0)</f>
        <v>0</v>
      </c>
      <c r="Q373" s="415">
        <f>IFERROR(VLOOKUP(Table15[[#This Row],[ROUTE]],PRICING!A:B,2,FALSE),0)</f>
        <v>1967</v>
      </c>
      <c r="R373" s="235">
        <f>IFERROR(Table15[[#This Row],[C_DEMAND]]-Table15[[#This Row],[R-DEMAND]],0)</f>
        <v>3412</v>
      </c>
      <c r="S373" s="408">
        <f t="shared" si="5"/>
        <v>6711404</v>
      </c>
      <c r="T373" s="419">
        <f>Table15[[#This Row],[R-DEMAND]]-(Table15[[#This Row],[ADD ACC]]*1706)</f>
        <v>27</v>
      </c>
      <c r="U373" s="419">
        <f>ROUNDDOWN(Table15[[#This Row],[Column1]]/1360,0)</f>
        <v>0</v>
      </c>
      <c r="V373" s="419"/>
      <c r="W373" s="251">
        <v>17.5</v>
      </c>
      <c r="X373" s="251">
        <f>ROUNDDOWN(Table15[[#This Row],[R-DEMAND]]/1320,0)</f>
        <v>0</v>
      </c>
      <c r="Y373" s="251">
        <f>IFERROR(Table15[[#This Row],[ADD ACC
(660/1320)]]*Table15[[#This Row],[Duration
(B744)]],0)</f>
        <v>0</v>
      </c>
      <c r="Z373" s="251"/>
    </row>
    <row r="374" spans="1:26" ht="15.75" customHeight="1" x14ac:dyDescent="0.25">
      <c r="A374" s="210" t="s">
        <v>15650</v>
      </c>
      <c r="B374" s="204" t="s">
        <v>114</v>
      </c>
      <c r="C374" s="204" t="s">
        <v>2</v>
      </c>
      <c r="D374" s="205">
        <v>5</v>
      </c>
      <c r="E374" s="204" t="s">
        <v>14</v>
      </c>
      <c r="F374" s="204" t="str">
        <f>VLOOKUP(E374,Table10[[COUNTRY NAME]:[CONTINENT CODE]],3,FALSE)</f>
        <v>AS</v>
      </c>
      <c r="G374" s="206" t="s">
        <v>12045</v>
      </c>
      <c r="H374" s="207">
        <v>5065</v>
      </c>
      <c r="I374" s="208">
        <v>13.25</v>
      </c>
      <c r="J374" s="346">
        <v>226311571</v>
      </c>
      <c r="K374" s="345">
        <f>IFERROR(Table15[[#This Row],[ROUTE $]]/Table15[[#This Row],[E - DEMAND]],0)</f>
        <v>45526.367129350234</v>
      </c>
      <c r="L374" s="212">
        <v>4971</v>
      </c>
      <c r="M374" s="412">
        <f>IFERROR(VLOOKUP(Table15[[#This Row],[ROUTE]],DEMAND!A:F,5,FALSE),0)</f>
        <v>5137</v>
      </c>
      <c r="N374" s="16">
        <f>IFERROR(VLOOKUP(Table15[[#This Row],[ROUTE]],DEMAND!A:F,6,FALSE),0)</f>
        <v>19</v>
      </c>
      <c r="O374" s="16">
        <f>IFERROR(ROUNDDOWN(Table15[[#This Row],[R-DEMAND]]/1706,0),0)</f>
        <v>0</v>
      </c>
      <c r="P374" s="16">
        <f>IFERROR(Table15[[#This Row],[ADD ACC]]*Table15[[#This Row],[RT TIME 
(380-800)]],0)</f>
        <v>0</v>
      </c>
      <c r="Q374" s="415">
        <f>IFERROR(VLOOKUP(Table15[[#This Row],[ROUTE]],PRICING!A:B,2,FALSE),0)</f>
        <v>1521</v>
      </c>
      <c r="R374" s="235">
        <f>IFERROR(Table15[[#This Row],[C_DEMAND]]-Table15[[#This Row],[R-DEMAND]],0)</f>
        <v>5118</v>
      </c>
      <c r="S374" s="408">
        <f t="shared" si="5"/>
        <v>7784478</v>
      </c>
      <c r="T374" s="419">
        <f>Table15[[#This Row],[R-DEMAND]]-(Table15[[#This Row],[ADD ACC]]*1706)</f>
        <v>19</v>
      </c>
      <c r="U374" s="419">
        <f>ROUNDDOWN(Table15[[#This Row],[Column1]]/1360,0)</f>
        <v>0</v>
      </c>
      <c r="V374" s="419"/>
      <c r="W374" s="251">
        <v>13.25</v>
      </c>
      <c r="X374" s="251">
        <f>ROUNDDOWN(Table15[[#This Row],[R-DEMAND]]/1320,0)</f>
        <v>0</v>
      </c>
      <c r="Y374" s="251">
        <f>IFERROR(Table15[[#This Row],[ADD ACC
(660/1320)]]*Table15[[#This Row],[Duration
(B744)]],0)</f>
        <v>0</v>
      </c>
      <c r="Z374" s="251"/>
    </row>
    <row r="375" spans="1:26" ht="15.75" customHeight="1" x14ac:dyDescent="0.25">
      <c r="A375" s="210" t="s">
        <v>15143</v>
      </c>
      <c r="B375" s="204" t="s">
        <v>5465</v>
      </c>
      <c r="C375" s="204" t="s">
        <v>2</v>
      </c>
      <c r="D375" s="205">
        <v>4</v>
      </c>
      <c r="E375" s="204" t="s">
        <v>683</v>
      </c>
      <c r="F375" s="204" t="str">
        <f>VLOOKUP(E375,Table10[[COUNTRY NAME]:[CONTINENT CODE]],3,FALSE)</f>
        <v>NA</v>
      </c>
      <c r="G375" s="206" t="s">
        <v>13186</v>
      </c>
      <c r="H375" s="207">
        <v>14625</v>
      </c>
      <c r="I375" s="208">
        <v>34.5</v>
      </c>
      <c r="J375" s="345">
        <v>295127255</v>
      </c>
      <c r="K375" s="345">
        <f>IFERROR(Table15[[#This Row],[ROUTE $]]/Table15[[#This Row],[E - DEMAND]],0)</f>
        <v>91004.395621338263</v>
      </c>
      <c r="L375" s="204">
        <v>3243</v>
      </c>
      <c r="M375" s="412">
        <f>IFERROR(VLOOKUP(Table15[[#This Row],[ROUTE]],DEMAND!A:F,5,FALSE),0)</f>
        <v>3427</v>
      </c>
      <c r="N375" s="16">
        <f>IFERROR(VLOOKUP(Table15[[#This Row],[ROUTE]],DEMAND!A:F,6,FALSE),0)</f>
        <v>15</v>
      </c>
      <c r="O375" s="16">
        <f>IFERROR(ROUNDDOWN(Table15[[#This Row],[R-DEMAND]]/1706,0),0)</f>
        <v>0</v>
      </c>
      <c r="P375" s="16">
        <f>IFERROR(Table15[[#This Row],[ADD ACC]]*Table15[[#This Row],[RT TIME 
(380-800)]],0)</f>
        <v>0</v>
      </c>
      <c r="Q375" s="415">
        <f>IFERROR(VLOOKUP(Table15[[#This Row],[ROUTE]],PRICING!A:B,2,FALSE),0)</f>
        <v>3861</v>
      </c>
      <c r="R375" s="235">
        <f>IFERROR(Table15[[#This Row],[C_DEMAND]]-Table15[[#This Row],[R-DEMAND]],0)</f>
        <v>3412</v>
      </c>
      <c r="S375" s="408">
        <f t="shared" si="5"/>
        <v>13173732</v>
      </c>
      <c r="T375" s="419">
        <f>Table15[[#This Row],[R-DEMAND]]-(Table15[[#This Row],[ADD ACC]]*1706)</f>
        <v>15</v>
      </c>
      <c r="U375" s="419">
        <f>ROUNDDOWN(Table15[[#This Row],[Column1]]/1360,0)</f>
        <v>0</v>
      </c>
      <c r="V375" s="419"/>
      <c r="W375" s="349"/>
      <c r="X375" s="349"/>
      <c r="Y375" s="349"/>
      <c r="Z375" s="349"/>
    </row>
    <row r="376" spans="1:26" ht="15.75" customHeight="1" x14ac:dyDescent="0.25">
      <c r="A376" s="210" t="s">
        <v>15244</v>
      </c>
      <c r="B376" s="204" t="s">
        <v>3532</v>
      </c>
      <c r="C376" s="204"/>
      <c r="D376" s="205">
        <v>2</v>
      </c>
      <c r="E376" s="16" t="s">
        <v>11732</v>
      </c>
      <c r="F376" s="204" t="str">
        <f>VLOOKUP(E376,Table10[[COUNTRY NAME]:[CONTINENT CODE]],3,FALSE)</f>
        <v>NA - US</v>
      </c>
      <c r="G376" s="206" t="s">
        <v>13281</v>
      </c>
      <c r="H376" s="207">
        <v>13395</v>
      </c>
      <c r="I376" s="208">
        <v>31.75</v>
      </c>
      <c r="J376" s="345"/>
      <c r="K376" s="345">
        <f>IFERROR(Table15[[#This Row],[ROUTE $]]/Table15[[#This Row],[E - DEMAND]],0)</f>
        <v>0</v>
      </c>
      <c r="L376" s="204"/>
      <c r="M376" s="412">
        <f>IFERROR(VLOOKUP(Table15[[#This Row],[ROUTE]],DEMAND!A:F,5,FALSE),0)</f>
        <v>0</v>
      </c>
      <c r="N376" s="16">
        <f>IFERROR(VLOOKUP(Table15[[#This Row],[ROUTE]],DEMAND!A:F,6,FALSE),0)</f>
        <v>0</v>
      </c>
      <c r="O376" s="16">
        <f>IFERROR(ROUNDDOWN(Table15[[#This Row],[R-DEMAND]]/1706,0),0)</f>
        <v>0</v>
      </c>
      <c r="P376" s="16">
        <f>IFERROR(Table15[[#This Row],[ADD ACC]]*Table15[[#This Row],[RT TIME 
(380-800)]],0)</f>
        <v>0</v>
      </c>
      <c r="Q376" s="415">
        <f>IFERROR(VLOOKUP(Table15[[#This Row],[ROUTE]],PRICING!A:B,2,FALSE),0)</f>
        <v>0</v>
      </c>
      <c r="R376" s="235">
        <f>IFERROR(Table15[[#This Row],[C_DEMAND]]-Table15[[#This Row],[R-DEMAND]],0)</f>
        <v>0</v>
      </c>
      <c r="S376" s="408">
        <f t="shared" si="5"/>
        <v>0</v>
      </c>
      <c r="T376" s="419">
        <f>Table15[[#This Row],[R-DEMAND]]-(Table15[[#This Row],[ADD ACC]]*1706)</f>
        <v>0</v>
      </c>
      <c r="U376" s="419">
        <f>ROUNDDOWN(Table15[[#This Row],[Column1]]/1360,0)</f>
        <v>0</v>
      </c>
      <c r="V376" s="419"/>
      <c r="W376" s="251">
        <v>31.75</v>
      </c>
      <c r="X376" s="251">
        <f>ROUNDDOWN(Table15[[#This Row],[R-DEMAND]]/1320,0)</f>
        <v>0</v>
      </c>
      <c r="Y376" s="251">
        <f>IFERROR(Table15[[#This Row],[ADD ACC
(660/1320)]]*Table15[[#This Row],[Duration
(B744)]],0)</f>
        <v>0</v>
      </c>
      <c r="Z376" s="251"/>
    </row>
    <row r="377" spans="1:26" ht="15.75" customHeight="1" x14ac:dyDescent="0.25">
      <c r="A377" s="210" t="s">
        <v>15247</v>
      </c>
      <c r="B377" s="204" t="s">
        <v>2207</v>
      </c>
      <c r="C377" s="204"/>
      <c r="D377" s="205">
        <v>1</v>
      </c>
      <c r="E377" s="16" t="s">
        <v>11732</v>
      </c>
      <c r="F377" s="204" t="str">
        <f>VLOOKUP(E377,Table10[[COUNTRY NAME]:[CONTINENT CODE]],3,FALSE)</f>
        <v>NA - US</v>
      </c>
      <c r="G377" s="206" t="s">
        <v>13317</v>
      </c>
      <c r="H377" s="207">
        <v>13361</v>
      </c>
      <c r="I377" s="208">
        <v>31.75</v>
      </c>
      <c r="J377" s="345"/>
      <c r="K377" s="345">
        <f>IFERROR(Table15[[#This Row],[ROUTE $]]/Table15[[#This Row],[E - DEMAND]],0)</f>
        <v>0</v>
      </c>
      <c r="L377" s="204"/>
      <c r="M377" s="412">
        <f>IFERROR(VLOOKUP(Table15[[#This Row],[ROUTE]],DEMAND!A:F,5,FALSE),0)</f>
        <v>0</v>
      </c>
      <c r="N377" s="16">
        <f>IFERROR(VLOOKUP(Table15[[#This Row],[ROUTE]],DEMAND!A:F,6,FALSE),0)</f>
        <v>0</v>
      </c>
      <c r="O377" s="16">
        <f>IFERROR(ROUNDDOWN(Table15[[#This Row],[R-DEMAND]]/1706,0),0)</f>
        <v>0</v>
      </c>
      <c r="P377" s="16">
        <f>IFERROR(Table15[[#This Row],[ADD ACC]]*Table15[[#This Row],[RT TIME 
(380-800)]],0)</f>
        <v>0</v>
      </c>
      <c r="Q377" s="415">
        <f>IFERROR(VLOOKUP(Table15[[#This Row],[ROUTE]],PRICING!A:B,2,FALSE),0)</f>
        <v>0</v>
      </c>
      <c r="R377" s="235">
        <f>IFERROR(Table15[[#This Row],[C_DEMAND]]-Table15[[#This Row],[R-DEMAND]],0)</f>
        <v>0</v>
      </c>
      <c r="S377" s="408">
        <f t="shared" si="5"/>
        <v>0</v>
      </c>
      <c r="T377" s="419">
        <f>Table15[[#This Row],[R-DEMAND]]-(Table15[[#This Row],[ADD ACC]]*1706)</f>
        <v>0</v>
      </c>
      <c r="U377" s="419">
        <f>ROUNDDOWN(Table15[[#This Row],[Column1]]/1360,0)</f>
        <v>0</v>
      </c>
      <c r="V377" s="419"/>
      <c r="W377" s="251">
        <v>31.75</v>
      </c>
      <c r="X377" s="251">
        <f>ROUNDDOWN(Table15[[#This Row],[R-DEMAND]]/1320,0)</f>
        <v>0</v>
      </c>
      <c r="Y377" s="251">
        <f>IFERROR(Table15[[#This Row],[ADD ACC
(660/1320)]]*Table15[[#This Row],[Duration
(B744)]],0)</f>
        <v>0</v>
      </c>
      <c r="Z377" s="251"/>
    </row>
    <row r="378" spans="1:26" ht="15.75" customHeight="1" x14ac:dyDescent="0.25">
      <c r="A378" s="210" t="s">
        <v>15255</v>
      </c>
      <c r="B378" s="204" t="s">
        <v>2625</v>
      </c>
      <c r="C378" s="204"/>
      <c r="D378" s="205">
        <v>2</v>
      </c>
      <c r="E378" s="204" t="s">
        <v>2623</v>
      </c>
      <c r="F378" s="204" t="str">
        <f>VLOOKUP(E378,Table10[[COUNTRY NAME]:[CONTINENT CODE]],3,FALSE)</f>
        <v>OC</v>
      </c>
      <c r="G378" s="206" t="s">
        <v>11860</v>
      </c>
      <c r="H378" s="207">
        <v>13261</v>
      </c>
      <c r="I378" s="208">
        <v>31.5</v>
      </c>
      <c r="J378" s="345"/>
      <c r="K378" s="345">
        <f>IFERROR(Table15[[#This Row],[ROUTE $]]/Table15[[#This Row],[E - DEMAND]],0)</f>
        <v>0</v>
      </c>
      <c r="L378" s="204"/>
      <c r="M378" s="412">
        <f>IFERROR(VLOOKUP(Table15[[#This Row],[ROUTE]],DEMAND!A:F,5,FALSE),0)</f>
        <v>0</v>
      </c>
      <c r="N378" s="16">
        <f>IFERROR(VLOOKUP(Table15[[#This Row],[ROUTE]],DEMAND!A:F,6,FALSE),0)</f>
        <v>0</v>
      </c>
      <c r="O378" s="16">
        <f>IFERROR(ROUNDDOWN(Table15[[#This Row],[R-DEMAND]]/1706,0),0)</f>
        <v>0</v>
      </c>
      <c r="P378" s="16">
        <f>IFERROR(Table15[[#This Row],[ADD ACC]]*Table15[[#This Row],[RT TIME 
(380-800)]],0)</f>
        <v>0</v>
      </c>
      <c r="Q378" s="415">
        <f>IFERROR(VLOOKUP(Table15[[#This Row],[ROUTE]],PRICING!A:B,2,FALSE),0)</f>
        <v>0</v>
      </c>
      <c r="R378" s="235">
        <f>IFERROR(Table15[[#This Row],[C_DEMAND]]-Table15[[#This Row],[R-DEMAND]],0)</f>
        <v>0</v>
      </c>
      <c r="S378" s="408">
        <f t="shared" si="5"/>
        <v>0</v>
      </c>
      <c r="T378" s="419">
        <f>Table15[[#This Row],[R-DEMAND]]-(Table15[[#This Row],[ADD ACC]]*1706)</f>
        <v>0</v>
      </c>
      <c r="U378" s="419">
        <f>ROUNDDOWN(Table15[[#This Row],[Column1]]/1360,0)</f>
        <v>0</v>
      </c>
      <c r="V378" s="419"/>
      <c r="W378" s="251">
        <v>31.5</v>
      </c>
      <c r="X378" s="251">
        <f>ROUNDDOWN(Table15[[#This Row],[R-DEMAND]]/1320,0)</f>
        <v>0</v>
      </c>
      <c r="Y378" s="251">
        <f>IFERROR(Table15[[#This Row],[ADD ACC
(660/1320)]]*Table15[[#This Row],[Duration
(B744)]],0)</f>
        <v>0</v>
      </c>
      <c r="Z378" s="251"/>
    </row>
    <row r="379" spans="1:26" ht="15.75" customHeight="1" x14ac:dyDescent="0.25">
      <c r="A379" s="210" t="s">
        <v>15254</v>
      </c>
      <c r="B379" s="204" t="s">
        <v>3630</v>
      </c>
      <c r="C379" s="204"/>
      <c r="D379" s="205">
        <v>2</v>
      </c>
      <c r="E379" s="16" t="s">
        <v>11732</v>
      </c>
      <c r="F379" s="204" t="str">
        <f>VLOOKUP(E379,Table10[[COUNTRY NAME]:[CONTINENT CODE]],3,FALSE)</f>
        <v>NA - US</v>
      </c>
      <c r="G379" s="206" t="s">
        <v>8820</v>
      </c>
      <c r="H379" s="207">
        <v>13268</v>
      </c>
      <c r="I379" s="208">
        <v>31.5</v>
      </c>
      <c r="J379" s="345"/>
      <c r="K379" s="345">
        <f>IFERROR(Table15[[#This Row],[ROUTE $]]/Table15[[#This Row],[E - DEMAND]],0)</f>
        <v>0</v>
      </c>
      <c r="L379" s="204"/>
      <c r="M379" s="412">
        <f>IFERROR(VLOOKUP(Table15[[#This Row],[ROUTE]],DEMAND!A:F,5,FALSE),0)</f>
        <v>0</v>
      </c>
      <c r="N379" s="16">
        <f>IFERROR(VLOOKUP(Table15[[#This Row],[ROUTE]],DEMAND!A:F,6,FALSE),0)</f>
        <v>0</v>
      </c>
      <c r="O379" s="16">
        <f>IFERROR(ROUNDDOWN(Table15[[#This Row],[R-DEMAND]]/1706,0),0)</f>
        <v>0</v>
      </c>
      <c r="P379" s="16">
        <f>IFERROR(Table15[[#This Row],[ADD ACC]]*Table15[[#This Row],[RT TIME 
(380-800)]],0)</f>
        <v>0</v>
      </c>
      <c r="Q379" s="415">
        <f>IFERROR(VLOOKUP(Table15[[#This Row],[ROUTE]],PRICING!A:B,2,FALSE),0)</f>
        <v>0</v>
      </c>
      <c r="R379" s="235">
        <f>IFERROR(Table15[[#This Row],[C_DEMAND]]-Table15[[#This Row],[R-DEMAND]],0)</f>
        <v>0</v>
      </c>
      <c r="S379" s="408">
        <f t="shared" si="5"/>
        <v>0</v>
      </c>
      <c r="T379" s="419">
        <f>Table15[[#This Row],[R-DEMAND]]-(Table15[[#This Row],[ADD ACC]]*1706)</f>
        <v>0</v>
      </c>
      <c r="U379" s="419">
        <f>ROUNDDOWN(Table15[[#This Row],[Column1]]/1360,0)</f>
        <v>0</v>
      </c>
      <c r="V379" s="419"/>
      <c r="W379" s="251">
        <v>31.5</v>
      </c>
      <c r="X379" s="251">
        <f>ROUNDDOWN(Table15[[#This Row],[R-DEMAND]]/1320,0)</f>
        <v>0</v>
      </c>
      <c r="Y379" s="251">
        <f>IFERROR(Table15[[#This Row],[ADD ACC
(660/1320)]]*Table15[[#This Row],[Duration
(B744)]],0)</f>
        <v>0</v>
      </c>
      <c r="Z379" s="251"/>
    </row>
    <row r="380" spans="1:26" ht="15.75" customHeight="1" x14ac:dyDescent="0.25">
      <c r="A380" s="210" t="s">
        <v>15251</v>
      </c>
      <c r="B380" s="204" t="s">
        <v>1505</v>
      </c>
      <c r="C380" s="204"/>
      <c r="D380" s="205">
        <v>1</v>
      </c>
      <c r="E380" s="16" t="s">
        <v>11732</v>
      </c>
      <c r="F380" s="204" t="str">
        <f>VLOOKUP(E380,Table10[[COUNTRY NAME]:[CONTINENT CODE]],3,FALSE)</f>
        <v>NA - US</v>
      </c>
      <c r="G380" s="206" t="s">
        <v>13284</v>
      </c>
      <c r="H380" s="207">
        <v>13316</v>
      </c>
      <c r="I380" s="208">
        <v>31.5</v>
      </c>
      <c r="J380" s="345"/>
      <c r="K380" s="345">
        <f>IFERROR(Table15[[#This Row],[ROUTE $]]/Table15[[#This Row],[E - DEMAND]],0)</f>
        <v>0</v>
      </c>
      <c r="L380" s="204"/>
      <c r="M380" s="412">
        <f>IFERROR(VLOOKUP(Table15[[#This Row],[ROUTE]],DEMAND!A:F,5,FALSE),0)</f>
        <v>0</v>
      </c>
      <c r="N380" s="16">
        <f>IFERROR(VLOOKUP(Table15[[#This Row],[ROUTE]],DEMAND!A:F,6,FALSE),0)</f>
        <v>0</v>
      </c>
      <c r="O380" s="16">
        <f>IFERROR(ROUNDDOWN(Table15[[#This Row],[R-DEMAND]]/1706,0),0)</f>
        <v>0</v>
      </c>
      <c r="P380" s="16">
        <f>IFERROR(Table15[[#This Row],[ADD ACC]]*Table15[[#This Row],[RT TIME 
(380-800)]],0)</f>
        <v>0</v>
      </c>
      <c r="Q380" s="415">
        <f>IFERROR(VLOOKUP(Table15[[#This Row],[ROUTE]],PRICING!A:B,2,FALSE),0)</f>
        <v>0</v>
      </c>
      <c r="R380" s="235">
        <f>IFERROR(Table15[[#This Row],[C_DEMAND]]-Table15[[#This Row],[R-DEMAND]],0)</f>
        <v>0</v>
      </c>
      <c r="S380" s="408">
        <f t="shared" si="5"/>
        <v>0</v>
      </c>
      <c r="T380" s="419">
        <f>Table15[[#This Row],[R-DEMAND]]-(Table15[[#This Row],[ADD ACC]]*1706)</f>
        <v>0</v>
      </c>
      <c r="U380" s="419">
        <f>ROUNDDOWN(Table15[[#This Row],[Column1]]/1360,0)</f>
        <v>0</v>
      </c>
      <c r="V380" s="419"/>
      <c r="W380" s="251">
        <v>31.5</v>
      </c>
      <c r="X380" s="251">
        <f>ROUNDDOWN(Table15[[#This Row],[R-DEMAND]]/1320,0)</f>
        <v>0</v>
      </c>
      <c r="Y380" s="251">
        <f>IFERROR(Table15[[#This Row],[ADD ACC
(660/1320)]]*Table15[[#This Row],[Duration
(B744)]],0)</f>
        <v>0</v>
      </c>
      <c r="Z380" s="251"/>
    </row>
    <row r="381" spans="1:26" ht="15.75" customHeight="1" x14ac:dyDescent="0.25">
      <c r="A381" s="210" t="s">
        <v>15253</v>
      </c>
      <c r="B381" s="204" t="s">
        <v>1898</v>
      </c>
      <c r="C381" s="204"/>
      <c r="D381" s="205">
        <v>1</v>
      </c>
      <c r="E381" s="16" t="s">
        <v>11732</v>
      </c>
      <c r="F381" s="204" t="str">
        <f>VLOOKUP(E381,Table10[[COUNTRY NAME]:[CONTINENT CODE]],3,FALSE)</f>
        <v>NA - US</v>
      </c>
      <c r="G381" s="206" t="s">
        <v>13277</v>
      </c>
      <c r="H381" s="207">
        <v>13268</v>
      </c>
      <c r="I381" s="208">
        <v>31.5</v>
      </c>
      <c r="J381" s="345"/>
      <c r="K381" s="345">
        <f>IFERROR(Table15[[#This Row],[ROUTE $]]/Table15[[#This Row],[E - DEMAND]],0)</f>
        <v>0</v>
      </c>
      <c r="L381" s="204"/>
      <c r="M381" s="412">
        <f>IFERROR(VLOOKUP(Table15[[#This Row],[ROUTE]],DEMAND!A:F,5,FALSE),0)</f>
        <v>0</v>
      </c>
      <c r="N381" s="16">
        <f>IFERROR(VLOOKUP(Table15[[#This Row],[ROUTE]],DEMAND!A:F,6,FALSE),0)</f>
        <v>0</v>
      </c>
      <c r="O381" s="16">
        <f>IFERROR(ROUNDDOWN(Table15[[#This Row],[R-DEMAND]]/1706,0),0)</f>
        <v>0</v>
      </c>
      <c r="P381" s="16">
        <f>IFERROR(Table15[[#This Row],[ADD ACC]]*Table15[[#This Row],[RT TIME 
(380-800)]],0)</f>
        <v>0</v>
      </c>
      <c r="Q381" s="415">
        <f>IFERROR(VLOOKUP(Table15[[#This Row],[ROUTE]],PRICING!A:B,2,FALSE),0)</f>
        <v>0</v>
      </c>
      <c r="R381" s="235">
        <f>IFERROR(Table15[[#This Row],[C_DEMAND]]-Table15[[#This Row],[R-DEMAND]],0)</f>
        <v>0</v>
      </c>
      <c r="S381" s="408">
        <f t="shared" si="5"/>
        <v>0</v>
      </c>
      <c r="T381" s="419">
        <f>Table15[[#This Row],[R-DEMAND]]-(Table15[[#This Row],[ADD ACC]]*1706)</f>
        <v>0</v>
      </c>
      <c r="U381" s="419">
        <f>ROUNDDOWN(Table15[[#This Row],[Column1]]/1360,0)</f>
        <v>0</v>
      </c>
      <c r="V381" s="419"/>
      <c r="W381" s="251">
        <v>31.5</v>
      </c>
      <c r="X381" s="251">
        <f>ROUNDDOWN(Table15[[#This Row],[R-DEMAND]]/1320,0)</f>
        <v>0</v>
      </c>
      <c r="Y381" s="251">
        <f>IFERROR(Table15[[#This Row],[ADD ACC
(660/1320)]]*Table15[[#This Row],[Duration
(B744)]],0)</f>
        <v>0</v>
      </c>
      <c r="Z381" s="251"/>
    </row>
    <row r="382" spans="1:26" ht="15.75" customHeight="1" x14ac:dyDescent="0.25">
      <c r="A382" s="210" t="s">
        <v>15265</v>
      </c>
      <c r="B382" s="204" t="s">
        <v>3708</v>
      </c>
      <c r="C382" s="204"/>
      <c r="D382" s="205">
        <v>2</v>
      </c>
      <c r="E382" s="204" t="s">
        <v>3706</v>
      </c>
      <c r="F382" s="204" t="str">
        <f>VLOOKUP(E382,Table10[[COUNTRY NAME]:[CONTINENT CODE]],3,FALSE)</f>
        <v>OC</v>
      </c>
      <c r="G382" s="206" t="s">
        <v>11862</v>
      </c>
      <c r="H382" s="207">
        <v>13113</v>
      </c>
      <c r="I382" s="208">
        <v>31.25</v>
      </c>
      <c r="J382" s="345"/>
      <c r="K382" s="345">
        <f>IFERROR(Table15[[#This Row],[ROUTE $]]/Table15[[#This Row],[E - DEMAND]],0)</f>
        <v>0</v>
      </c>
      <c r="L382" s="204"/>
      <c r="M382" s="412">
        <f>IFERROR(VLOOKUP(Table15[[#This Row],[ROUTE]],DEMAND!A:F,5,FALSE),0)</f>
        <v>0</v>
      </c>
      <c r="N382" s="16">
        <f>IFERROR(VLOOKUP(Table15[[#This Row],[ROUTE]],DEMAND!A:F,6,FALSE),0)</f>
        <v>0</v>
      </c>
      <c r="O382" s="16">
        <f>IFERROR(ROUNDDOWN(Table15[[#This Row],[R-DEMAND]]/1706,0),0)</f>
        <v>0</v>
      </c>
      <c r="P382" s="16">
        <f>IFERROR(Table15[[#This Row],[ADD ACC]]*Table15[[#This Row],[RT TIME 
(380-800)]],0)</f>
        <v>0</v>
      </c>
      <c r="Q382" s="415">
        <f>IFERROR(VLOOKUP(Table15[[#This Row],[ROUTE]],PRICING!A:B,2,FALSE),0)</f>
        <v>0</v>
      </c>
      <c r="R382" s="235">
        <f>IFERROR(Table15[[#This Row],[C_DEMAND]]-Table15[[#This Row],[R-DEMAND]],0)</f>
        <v>0</v>
      </c>
      <c r="S382" s="408">
        <f t="shared" si="5"/>
        <v>0</v>
      </c>
      <c r="T382" s="419">
        <f>Table15[[#This Row],[R-DEMAND]]-(Table15[[#This Row],[ADD ACC]]*1706)</f>
        <v>0</v>
      </c>
      <c r="U382" s="419">
        <f>ROUNDDOWN(Table15[[#This Row],[Column1]]/1360,0)</f>
        <v>0</v>
      </c>
      <c r="V382" s="419"/>
      <c r="W382" s="251">
        <v>31.25</v>
      </c>
      <c r="X382" s="251">
        <f>ROUNDDOWN(Table15[[#This Row],[R-DEMAND]]/1320,0)</f>
        <v>0</v>
      </c>
      <c r="Y382" s="251">
        <f>IFERROR(Table15[[#This Row],[ADD ACC
(660/1320)]]*Table15[[#This Row],[Duration
(B744)]],0)</f>
        <v>0</v>
      </c>
      <c r="Z382" s="251"/>
    </row>
    <row r="383" spans="1:26" ht="15.75" customHeight="1" x14ac:dyDescent="0.25">
      <c r="A383" s="210" t="s">
        <v>15264</v>
      </c>
      <c r="B383" s="204" t="s">
        <v>3035</v>
      </c>
      <c r="C383" s="204"/>
      <c r="D383" s="205">
        <v>2</v>
      </c>
      <c r="E383" s="16" t="s">
        <v>11732</v>
      </c>
      <c r="F383" s="204" t="str">
        <f>VLOOKUP(E383,Table10[[COUNTRY NAME]:[CONTINENT CODE]],3,FALSE)</f>
        <v>NA - US</v>
      </c>
      <c r="G383" s="206" t="s">
        <v>13278</v>
      </c>
      <c r="H383" s="207">
        <v>13124</v>
      </c>
      <c r="I383" s="208">
        <v>31.25</v>
      </c>
      <c r="J383" s="345"/>
      <c r="K383" s="345">
        <f>IFERROR(Table15[[#This Row],[ROUTE $]]/Table15[[#This Row],[E - DEMAND]],0)</f>
        <v>0</v>
      </c>
      <c r="L383" s="204"/>
      <c r="M383" s="412">
        <f>IFERROR(VLOOKUP(Table15[[#This Row],[ROUTE]],DEMAND!A:F,5,FALSE),0)</f>
        <v>0</v>
      </c>
      <c r="N383" s="16">
        <f>IFERROR(VLOOKUP(Table15[[#This Row],[ROUTE]],DEMAND!A:F,6,FALSE),0)</f>
        <v>0</v>
      </c>
      <c r="O383" s="16">
        <f>IFERROR(ROUNDDOWN(Table15[[#This Row],[R-DEMAND]]/1706,0),0)</f>
        <v>0</v>
      </c>
      <c r="P383" s="16">
        <f>IFERROR(Table15[[#This Row],[ADD ACC]]*Table15[[#This Row],[RT TIME 
(380-800)]],0)</f>
        <v>0</v>
      </c>
      <c r="Q383" s="415">
        <f>IFERROR(VLOOKUP(Table15[[#This Row],[ROUTE]],PRICING!A:B,2,FALSE),0)</f>
        <v>0</v>
      </c>
      <c r="R383" s="235">
        <f>IFERROR(Table15[[#This Row],[C_DEMAND]]-Table15[[#This Row],[R-DEMAND]],0)</f>
        <v>0</v>
      </c>
      <c r="S383" s="408">
        <f t="shared" si="5"/>
        <v>0</v>
      </c>
      <c r="T383" s="419">
        <f>Table15[[#This Row],[R-DEMAND]]-(Table15[[#This Row],[ADD ACC]]*1706)</f>
        <v>0</v>
      </c>
      <c r="U383" s="419">
        <f>ROUNDDOWN(Table15[[#This Row],[Column1]]/1360,0)</f>
        <v>0</v>
      </c>
      <c r="V383" s="419"/>
      <c r="W383" s="251">
        <v>31.25</v>
      </c>
      <c r="X383" s="251">
        <f>ROUNDDOWN(Table15[[#This Row],[R-DEMAND]]/1320,0)</f>
        <v>0</v>
      </c>
      <c r="Y383" s="251">
        <f>IFERROR(Table15[[#This Row],[ADD ACC
(660/1320)]]*Table15[[#This Row],[Duration
(B744)]],0)</f>
        <v>0</v>
      </c>
      <c r="Z383" s="251"/>
    </row>
    <row r="384" spans="1:26" ht="15.75" customHeight="1" x14ac:dyDescent="0.25">
      <c r="A384" s="210" t="s">
        <v>15262</v>
      </c>
      <c r="B384" s="204" t="s">
        <v>4036</v>
      </c>
      <c r="C384" s="204"/>
      <c r="D384" s="205">
        <v>2</v>
      </c>
      <c r="E384" s="16" t="s">
        <v>11732</v>
      </c>
      <c r="F384" s="204" t="str">
        <f>VLOOKUP(E384,Table10[[COUNTRY NAME]:[CONTINENT CODE]],3,FALSE)</f>
        <v>NA - US</v>
      </c>
      <c r="G384" s="206" t="s">
        <v>13312</v>
      </c>
      <c r="H384" s="207">
        <v>13134</v>
      </c>
      <c r="I384" s="208">
        <v>31.25</v>
      </c>
      <c r="J384" s="345"/>
      <c r="K384" s="345">
        <f>IFERROR(Table15[[#This Row],[ROUTE $]]/Table15[[#This Row],[E - DEMAND]],0)</f>
        <v>0</v>
      </c>
      <c r="L384" s="204"/>
      <c r="M384" s="412">
        <f>IFERROR(VLOOKUP(Table15[[#This Row],[ROUTE]],DEMAND!A:F,5,FALSE),0)</f>
        <v>0</v>
      </c>
      <c r="N384" s="16">
        <f>IFERROR(VLOOKUP(Table15[[#This Row],[ROUTE]],DEMAND!A:F,6,FALSE),0)</f>
        <v>0</v>
      </c>
      <c r="O384" s="16">
        <f>IFERROR(ROUNDDOWN(Table15[[#This Row],[R-DEMAND]]/1706,0),0)</f>
        <v>0</v>
      </c>
      <c r="P384" s="16">
        <f>IFERROR(Table15[[#This Row],[ADD ACC]]*Table15[[#This Row],[RT TIME 
(380-800)]],0)</f>
        <v>0</v>
      </c>
      <c r="Q384" s="415">
        <f>IFERROR(VLOOKUP(Table15[[#This Row],[ROUTE]],PRICING!A:B,2,FALSE),0)</f>
        <v>0</v>
      </c>
      <c r="R384" s="235">
        <f>IFERROR(Table15[[#This Row],[C_DEMAND]]-Table15[[#This Row],[R-DEMAND]],0)</f>
        <v>0</v>
      </c>
      <c r="S384" s="408">
        <f t="shared" si="5"/>
        <v>0</v>
      </c>
      <c r="T384" s="419">
        <f>Table15[[#This Row],[R-DEMAND]]-(Table15[[#This Row],[ADD ACC]]*1706)</f>
        <v>0</v>
      </c>
      <c r="U384" s="419">
        <f>ROUNDDOWN(Table15[[#This Row],[Column1]]/1360,0)</f>
        <v>0</v>
      </c>
      <c r="V384" s="419"/>
      <c r="W384" s="251">
        <v>31.25</v>
      </c>
      <c r="X384" s="251">
        <f>ROUNDDOWN(Table15[[#This Row],[R-DEMAND]]/1320,0)</f>
        <v>0</v>
      </c>
      <c r="Y384" s="251">
        <f>IFERROR(Table15[[#This Row],[ADD ACC
(660/1320)]]*Table15[[#This Row],[Duration
(B744)]],0)</f>
        <v>0</v>
      </c>
      <c r="Z384" s="251"/>
    </row>
    <row r="385" spans="1:26" ht="15.75" customHeight="1" x14ac:dyDescent="0.25">
      <c r="A385" s="210" t="s">
        <v>15266</v>
      </c>
      <c r="B385" s="204" t="s">
        <v>1971</v>
      </c>
      <c r="C385" s="204"/>
      <c r="D385" s="205">
        <v>1</v>
      </c>
      <c r="E385" s="16" t="s">
        <v>11732</v>
      </c>
      <c r="F385" s="204" t="str">
        <f>VLOOKUP(E385,Table10[[COUNTRY NAME]:[CONTINENT CODE]],3,FALSE)</f>
        <v>NA - US</v>
      </c>
      <c r="G385" s="206" t="s">
        <v>13268</v>
      </c>
      <c r="H385" s="207">
        <v>13102</v>
      </c>
      <c r="I385" s="208">
        <v>31.25</v>
      </c>
      <c r="J385" s="345"/>
      <c r="K385" s="345">
        <f>IFERROR(Table15[[#This Row],[ROUTE $]]/Table15[[#This Row],[E - DEMAND]],0)</f>
        <v>0</v>
      </c>
      <c r="L385" s="204"/>
      <c r="M385" s="412">
        <f>IFERROR(VLOOKUP(Table15[[#This Row],[ROUTE]],DEMAND!A:F,5,FALSE),0)</f>
        <v>0</v>
      </c>
      <c r="N385" s="16">
        <f>IFERROR(VLOOKUP(Table15[[#This Row],[ROUTE]],DEMAND!A:F,6,FALSE),0)</f>
        <v>0</v>
      </c>
      <c r="O385" s="16">
        <f>IFERROR(ROUNDDOWN(Table15[[#This Row],[R-DEMAND]]/1706,0),0)</f>
        <v>0</v>
      </c>
      <c r="P385" s="16">
        <f>IFERROR(Table15[[#This Row],[ADD ACC]]*Table15[[#This Row],[RT TIME 
(380-800)]],0)</f>
        <v>0</v>
      </c>
      <c r="Q385" s="415">
        <f>IFERROR(VLOOKUP(Table15[[#This Row],[ROUTE]],PRICING!A:B,2,FALSE),0)</f>
        <v>0</v>
      </c>
      <c r="R385" s="235">
        <f>IFERROR(Table15[[#This Row],[C_DEMAND]]-Table15[[#This Row],[R-DEMAND]],0)</f>
        <v>0</v>
      </c>
      <c r="S385" s="408">
        <f t="shared" si="5"/>
        <v>0</v>
      </c>
      <c r="T385" s="419">
        <f>Table15[[#This Row],[R-DEMAND]]-(Table15[[#This Row],[ADD ACC]]*1706)</f>
        <v>0</v>
      </c>
      <c r="U385" s="419">
        <f>ROUNDDOWN(Table15[[#This Row],[Column1]]/1360,0)</f>
        <v>0</v>
      </c>
      <c r="V385" s="419"/>
      <c r="W385" s="251">
        <v>31.25</v>
      </c>
      <c r="X385" s="251">
        <f>ROUNDDOWN(Table15[[#This Row],[R-DEMAND]]/1320,0)</f>
        <v>0</v>
      </c>
      <c r="Y385" s="251">
        <f>IFERROR(Table15[[#This Row],[ADD ACC
(660/1320)]]*Table15[[#This Row],[Duration
(B744)]],0)</f>
        <v>0</v>
      </c>
      <c r="Z385" s="251"/>
    </row>
    <row r="386" spans="1:26" ht="15.75" customHeight="1" x14ac:dyDescent="0.25">
      <c r="A386" s="210" t="s">
        <v>15268</v>
      </c>
      <c r="B386" s="204" t="s">
        <v>1924</v>
      </c>
      <c r="C386" s="204"/>
      <c r="D386" s="205">
        <v>1</v>
      </c>
      <c r="E386" s="16" t="s">
        <v>11732</v>
      </c>
      <c r="F386" s="204" t="str">
        <f>VLOOKUP(E386,Table10[[COUNTRY NAME]:[CONTINENT CODE]],3,FALSE)</f>
        <v>NA - US</v>
      </c>
      <c r="G386" s="206" t="s">
        <v>8825</v>
      </c>
      <c r="H386" s="207">
        <v>13045</v>
      </c>
      <c r="I386" s="208">
        <v>31</v>
      </c>
      <c r="J386" s="345"/>
      <c r="K386" s="345">
        <f>IFERROR(Table15[[#This Row],[ROUTE $]]/Table15[[#This Row],[E - DEMAND]],0)</f>
        <v>0</v>
      </c>
      <c r="L386" s="204"/>
      <c r="M386" s="412">
        <f>IFERROR(VLOOKUP(Table15[[#This Row],[ROUTE]],DEMAND!A:F,5,FALSE),0)</f>
        <v>0</v>
      </c>
      <c r="N386" s="16">
        <f>IFERROR(VLOOKUP(Table15[[#This Row],[ROUTE]],DEMAND!A:F,6,FALSE),0)</f>
        <v>0</v>
      </c>
      <c r="O386" s="16">
        <f>IFERROR(ROUNDDOWN(Table15[[#This Row],[R-DEMAND]]/1706,0),0)</f>
        <v>0</v>
      </c>
      <c r="P386" s="16">
        <f>IFERROR(Table15[[#This Row],[ADD ACC]]*Table15[[#This Row],[RT TIME 
(380-800)]],0)</f>
        <v>0</v>
      </c>
      <c r="Q386" s="415">
        <f>IFERROR(VLOOKUP(Table15[[#This Row],[ROUTE]],PRICING!A:B,2,FALSE),0)</f>
        <v>0</v>
      </c>
      <c r="R386" s="235">
        <f>IFERROR(Table15[[#This Row],[C_DEMAND]]-Table15[[#This Row],[R-DEMAND]],0)</f>
        <v>0</v>
      </c>
      <c r="S386" s="408">
        <f t="shared" si="5"/>
        <v>0</v>
      </c>
      <c r="T386" s="419">
        <f>Table15[[#This Row],[R-DEMAND]]-(Table15[[#This Row],[ADD ACC]]*1706)</f>
        <v>0</v>
      </c>
      <c r="U386" s="419">
        <f>ROUNDDOWN(Table15[[#This Row],[Column1]]/1360,0)</f>
        <v>0</v>
      </c>
      <c r="V386" s="419"/>
      <c r="W386" s="251">
        <v>31</v>
      </c>
      <c r="X386" s="251">
        <f>ROUNDDOWN(Table15[[#This Row],[R-DEMAND]]/1320,0)</f>
        <v>0</v>
      </c>
      <c r="Y386" s="251">
        <f>IFERROR(Table15[[#This Row],[ADD ACC
(660/1320)]]*Table15[[#This Row],[Duration
(B744)]],0)</f>
        <v>0</v>
      </c>
      <c r="Z386" s="251"/>
    </row>
    <row r="387" spans="1:26" ht="15.75" customHeight="1" x14ac:dyDescent="0.25">
      <c r="A387" s="210" t="s">
        <v>15272</v>
      </c>
      <c r="B387" s="204" t="s">
        <v>4094</v>
      </c>
      <c r="C387" s="204"/>
      <c r="D387" s="205">
        <v>2</v>
      </c>
      <c r="E387" s="16" t="s">
        <v>11732</v>
      </c>
      <c r="F387" s="204" t="str">
        <f>VLOOKUP(E387,Table10[[COUNTRY NAME]:[CONTINENT CODE]],3,FALSE)</f>
        <v>NA - US</v>
      </c>
      <c r="G387" s="206" t="s">
        <v>13319</v>
      </c>
      <c r="H387" s="207">
        <v>12965</v>
      </c>
      <c r="I387" s="208">
        <v>30.75</v>
      </c>
      <c r="J387" s="345"/>
      <c r="K387" s="345">
        <f>IFERROR(Table15[[#This Row],[ROUTE $]]/Table15[[#This Row],[E - DEMAND]],0)</f>
        <v>0</v>
      </c>
      <c r="L387" s="204"/>
      <c r="M387" s="412">
        <f>IFERROR(VLOOKUP(Table15[[#This Row],[ROUTE]],DEMAND!A:F,5,FALSE),0)</f>
        <v>0</v>
      </c>
      <c r="N387" s="16">
        <f>IFERROR(VLOOKUP(Table15[[#This Row],[ROUTE]],DEMAND!A:F,6,FALSE),0)</f>
        <v>0</v>
      </c>
      <c r="O387" s="16">
        <f>IFERROR(ROUNDDOWN(Table15[[#This Row],[R-DEMAND]]/1706,0),0)</f>
        <v>0</v>
      </c>
      <c r="P387" s="16">
        <f>IFERROR(Table15[[#This Row],[ADD ACC]]*Table15[[#This Row],[RT TIME 
(380-800)]],0)</f>
        <v>0</v>
      </c>
      <c r="Q387" s="415">
        <f>IFERROR(VLOOKUP(Table15[[#This Row],[ROUTE]],PRICING!A:B,2,FALSE),0)</f>
        <v>0</v>
      </c>
      <c r="R387" s="235">
        <f>IFERROR(Table15[[#This Row],[C_DEMAND]]-Table15[[#This Row],[R-DEMAND]],0)</f>
        <v>0</v>
      </c>
      <c r="S387" s="408">
        <f t="shared" ref="S387:S450" si="6">IFERROR(R387*Q387,0)</f>
        <v>0</v>
      </c>
      <c r="T387" s="419">
        <f>Table15[[#This Row],[R-DEMAND]]-(Table15[[#This Row],[ADD ACC]]*1706)</f>
        <v>0</v>
      </c>
      <c r="U387" s="419">
        <f>ROUNDDOWN(Table15[[#This Row],[Column1]]/1360,0)</f>
        <v>0</v>
      </c>
      <c r="V387" s="419"/>
      <c r="W387" s="251">
        <v>30.75</v>
      </c>
      <c r="X387" s="251">
        <f>ROUNDDOWN(Table15[[#This Row],[R-DEMAND]]/1320,0)</f>
        <v>0</v>
      </c>
      <c r="Y387" s="251">
        <f>IFERROR(Table15[[#This Row],[ADD ACC
(660/1320)]]*Table15[[#This Row],[Duration
(B744)]],0)</f>
        <v>0</v>
      </c>
      <c r="Z387" s="251"/>
    </row>
    <row r="388" spans="1:26" ht="15.75" customHeight="1" x14ac:dyDescent="0.25">
      <c r="A388" s="210" t="s">
        <v>15273</v>
      </c>
      <c r="B388" s="204" t="s">
        <v>3284</v>
      </c>
      <c r="C388" s="204"/>
      <c r="D388" s="205">
        <v>2</v>
      </c>
      <c r="E388" s="16" t="s">
        <v>11732</v>
      </c>
      <c r="F388" s="204" t="str">
        <f>VLOOKUP(E388,Table10[[COUNTRY NAME]:[CONTINENT CODE]],3,FALSE)</f>
        <v>NA - US</v>
      </c>
      <c r="G388" s="206" t="s">
        <v>13307</v>
      </c>
      <c r="H388" s="207">
        <v>12956</v>
      </c>
      <c r="I388" s="208">
        <v>30.75</v>
      </c>
      <c r="J388" s="345"/>
      <c r="K388" s="345">
        <f>IFERROR(Table15[[#This Row],[ROUTE $]]/Table15[[#This Row],[E - DEMAND]],0)</f>
        <v>0</v>
      </c>
      <c r="L388" s="204"/>
      <c r="M388" s="412">
        <f>IFERROR(VLOOKUP(Table15[[#This Row],[ROUTE]],DEMAND!A:F,5,FALSE),0)</f>
        <v>0</v>
      </c>
      <c r="N388" s="16">
        <f>IFERROR(VLOOKUP(Table15[[#This Row],[ROUTE]],DEMAND!A:F,6,FALSE),0)</f>
        <v>0</v>
      </c>
      <c r="O388" s="16">
        <f>IFERROR(ROUNDDOWN(Table15[[#This Row],[R-DEMAND]]/1706,0),0)</f>
        <v>0</v>
      </c>
      <c r="P388" s="16">
        <f>IFERROR(Table15[[#This Row],[ADD ACC]]*Table15[[#This Row],[RT TIME 
(380-800)]],0)</f>
        <v>0</v>
      </c>
      <c r="Q388" s="415">
        <f>IFERROR(VLOOKUP(Table15[[#This Row],[ROUTE]],PRICING!A:B,2,FALSE),0)</f>
        <v>0</v>
      </c>
      <c r="R388" s="235">
        <f>IFERROR(Table15[[#This Row],[C_DEMAND]]-Table15[[#This Row],[R-DEMAND]],0)</f>
        <v>0</v>
      </c>
      <c r="S388" s="408">
        <f t="shared" si="6"/>
        <v>0</v>
      </c>
      <c r="T388" s="419">
        <f>Table15[[#This Row],[R-DEMAND]]-(Table15[[#This Row],[ADD ACC]]*1706)</f>
        <v>0</v>
      </c>
      <c r="U388" s="419">
        <f>ROUNDDOWN(Table15[[#This Row],[Column1]]/1360,0)</f>
        <v>0</v>
      </c>
      <c r="V388" s="419"/>
      <c r="W388" s="251">
        <v>30.75</v>
      </c>
      <c r="X388" s="251">
        <f>ROUNDDOWN(Table15[[#This Row],[R-DEMAND]]/1320,0)</f>
        <v>0</v>
      </c>
      <c r="Y388" s="251">
        <f>IFERROR(Table15[[#This Row],[ADD ACC
(660/1320)]]*Table15[[#This Row],[Duration
(B744)]],0)</f>
        <v>0</v>
      </c>
      <c r="Z388" s="251"/>
    </row>
    <row r="389" spans="1:26" ht="15.75" customHeight="1" x14ac:dyDescent="0.25">
      <c r="A389" s="210" t="s">
        <v>15283</v>
      </c>
      <c r="B389" s="204" t="s">
        <v>4424</v>
      </c>
      <c r="C389" s="204"/>
      <c r="D389" s="205">
        <v>2</v>
      </c>
      <c r="E389" s="16" t="s">
        <v>11732</v>
      </c>
      <c r="F389" s="204" t="str">
        <f>VLOOKUP(E389,Table10[[COUNTRY NAME]:[CONTINENT CODE]],3,FALSE)</f>
        <v>NA - US</v>
      </c>
      <c r="G389" s="206" t="s">
        <v>13270</v>
      </c>
      <c r="H389" s="207">
        <v>12801</v>
      </c>
      <c r="I389" s="208">
        <v>30.5</v>
      </c>
      <c r="J389" s="345"/>
      <c r="K389" s="345">
        <f>IFERROR(Table15[[#This Row],[ROUTE $]]/Table15[[#This Row],[E - DEMAND]],0)</f>
        <v>0</v>
      </c>
      <c r="L389" s="204"/>
      <c r="M389" s="412">
        <f>IFERROR(VLOOKUP(Table15[[#This Row],[ROUTE]],DEMAND!A:F,5,FALSE),0)</f>
        <v>0</v>
      </c>
      <c r="N389" s="16">
        <f>IFERROR(VLOOKUP(Table15[[#This Row],[ROUTE]],DEMAND!A:F,6,FALSE),0)</f>
        <v>0</v>
      </c>
      <c r="O389" s="16">
        <f>IFERROR(ROUNDDOWN(Table15[[#This Row],[R-DEMAND]]/1706,0),0)</f>
        <v>0</v>
      </c>
      <c r="P389" s="16">
        <f>IFERROR(Table15[[#This Row],[ADD ACC]]*Table15[[#This Row],[RT TIME 
(380-800)]],0)</f>
        <v>0</v>
      </c>
      <c r="Q389" s="415">
        <f>IFERROR(VLOOKUP(Table15[[#This Row],[ROUTE]],PRICING!A:B,2,FALSE),0)</f>
        <v>0</v>
      </c>
      <c r="R389" s="235">
        <f>IFERROR(Table15[[#This Row],[C_DEMAND]]-Table15[[#This Row],[R-DEMAND]],0)</f>
        <v>0</v>
      </c>
      <c r="S389" s="408">
        <f t="shared" si="6"/>
        <v>0</v>
      </c>
      <c r="T389" s="419">
        <f>Table15[[#This Row],[R-DEMAND]]-(Table15[[#This Row],[ADD ACC]]*1706)</f>
        <v>0</v>
      </c>
      <c r="U389" s="419">
        <f>ROUNDDOWN(Table15[[#This Row],[Column1]]/1360,0)</f>
        <v>0</v>
      </c>
      <c r="V389" s="419"/>
      <c r="W389" s="251">
        <v>30.5</v>
      </c>
      <c r="X389" s="251">
        <f>ROUNDDOWN(Table15[[#This Row],[R-DEMAND]]/1320,0)</f>
        <v>0</v>
      </c>
      <c r="Y389" s="251">
        <f>IFERROR(Table15[[#This Row],[ADD ACC
(660/1320)]]*Table15[[#This Row],[Duration
(B744)]],0)</f>
        <v>0</v>
      </c>
      <c r="Z389" s="251"/>
    </row>
    <row r="390" spans="1:26" ht="15.75" customHeight="1" x14ac:dyDescent="0.25">
      <c r="A390" s="210" t="s">
        <v>15278</v>
      </c>
      <c r="B390" s="204" t="s">
        <v>3559</v>
      </c>
      <c r="C390" s="204"/>
      <c r="D390" s="205">
        <v>2</v>
      </c>
      <c r="E390" s="16" t="s">
        <v>11732</v>
      </c>
      <c r="F390" s="204" t="str">
        <f>VLOOKUP(E390,Table10[[COUNTRY NAME]:[CONTINENT CODE]],3,FALSE)</f>
        <v>NA - US</v>
      </c>
      <c r="G390" s="206" t="s">
        <v>13296</v>
      </c>
      <c r="H390" s="207">
        <v>12856</v>
      </c>
      <c r="I390" s="208">
        <v>30.5</v>
      </c>
      <c r="J390" s="345"/>
      <c r="K390" s="345">
        <f>IFERROR(Table15[[#This Row],[ROUTE $]]/Table15[[#This Row],[E - DEMAND]],0)</f>
        <v>0</v>
      </c>
      <c r="L390" s="204"/>
      <c r="M390" s="412">
        <f>IFERROR(VLOOKUP(Table15[[#This Row],[ROUTE]],DEMAND!A:F,5,FALSE),0)</f>
        <v>0</v>
      </c>
      <c r="N390" s="16">
        <f>IFERROR(VLOOKUP(Table15[[#This Row],[ROUTE]],DEMAND!A:F,6,FALSE),0)</f>
        <v>0</v>
      </c>
      <c r="O390" s="16">
        <f>IFERROR(ROUNDDOWN(Table15[[#This Row],[R-DEMAND]]/1706,0),0)</f>
        <v>0</v>
      </c>
      <c r="P390" s="16">
        <f>IFERROR(Table15[[#This Row],[ADD ACC]]*Table15[[#This Row],[RT TIME 
(380-800)]],0)</f>
        <v>0</v>
      </c>
      <c r="Q390" s="415">
        <f>IFERROR(VLOOKUP(Table15[[#This Row],[ROUTE]],PRICING!A:B,2,FALSE),0)</f>
        <v>0</v>
      </c>
      <c r="R390" s="235">
        <f>IFERROR(Table15[[#This Row],[C_DEMAND]]-Table15[[#This Row],[R-DEMAND]],0)</f>
        <v>0</v>
      </c>
      <c r="S390" s="408">
        <f t="shared" si="6"/>
        <v>0</v>
      </c>
      <c r="T390" s="419">
        <f>Table15[[#This Row],[R-DEMAND]]-(Table15[[#This Row],[ADD ACC]]*1706)</f>
        <v>0</v>
      </c>
      <c r="U390" s="419">
        <f>ROUNDDOWN(Table15[[#This Row],[Column1]]/1360,0)</f>
        <v>0</v>
      </c>
      <c r="V390" s="419"/>
      <c r="W390" s="251">
        <v>30.5</v>
      </c>
      <c r="X390" s="251">
        <f>ROUNDDOWN(Table15[[#This Row],[R-DEMAND]]/1320,0)</f>
        <v>0</v>
      </c>
      <c r="Y390" s="251">
        <f>IFERROR(Table15[[#This Row],[ADD ACC
(660/1320)]]*Table15[[#This Row],[Duration
(B744)]],0)</f>
        <v>0</v>
      </c>
      <c r="Z390" s="251"/>
    </row>
    <row r="391" spans="1:26" ht="15.75" customHeight="1" x14ac:dyDescent="0.25">
      <c r="A391" s="210" t="s">
        <v>15277</v>
      </c>
      <c r="B391" s="204" t="s">
        <v>3223</v>
      </c>
      <c r="C391" s="204"/>
      <c r="D391" s="205">
        <v>2</v>
      </c>
      <c r="E391" s="16" t="s">
        <v>11732</v>
      </c>
      <c r="F391" s="204" t="str">
        <f>VLOOKUP(E391,Table10[[COUNTRY NAME]:[CONTINENT CODE]],3,FALSE)</f>
        <v>NA - US</v>
      </c>
      <c r="G391" s="206" t="s">
        <v>13320</v>
      </c>
      <c r="H391" s="207">
        <v>12857</v>
      </c>
      <c r="I391" s="208">
        <v>30.5</v>
      </c>
      <c r="J391" s="345"/>
      <c r="K391" s="345">
        <f>IFERROR(Table15[[#This Row],[ROUTE $]]/Table15[[#This Row],[E - DEMAND]],0)</f>
        <v>0</v>
      </c>
      <c r="L391" s="204"/>
      <c r="M391" s="412">
        <f>IFERROR(VLOOKUP(Table15[[#This Row],[ROUTE]],DEMAND!A:F,5,FALSE),0)</f>
        <v>0</v>
      </c>
      <c r="N391" s="16">
        <f>IFERROR(VLOOKUP(Table15[[#This Row],[ROUTE]],DEMAND!A:F,6,FALSE),0)</f>
        <v>0</v>
      </c>
      <c r="O391" s="16">
        <f>IFERROR(ROUNDDOWN(Table15[[#This Row],[R-DEMAND]]/1706,0),0)</f>
        <v>0</v>
      </c>
      <c r="P391" s="16">
        <f>IFERROR(Table15[[#This Row],[ADD ACC]]*Table15[[#This Row],[RT TIME 
(380-800)]],0)</f>
        <v>0</v>
      </c>
      <c r="Q391" s="415">
        <f>IFERROR(VLOOKUP(Table15[[#This Row],[ROUTE]],PRICING!A:B,2,FALSE),0)</f>
        <v>0</v>
      </c>
      <c r="R391" s="235">
        <f>IFERROR(Table15[[#This Row],[C_DEMAND]]-Table15[[#This Row],[R-DEMAND]],0)</f>
        <v>0</v>
      </c>
      <c r="S391" s="408">
        <f t="shared" si="6"/>
        <v>0</v>
      </c>
      <c r="T391" s="419">
        <f>Table15[[#This Row],[R-DEMAND]]-(Table15[[#This Row],[ADD ACC]]*1706)</f>
        <v>0</v>
      </c>
      <c r="U391" s="419">
        <f>ROUNDDOWN(Table15[[#This Row],[Column1]]/1360,0)</f>
        <v>0</v>
      </c>
      <c r="V391" s="419"/>
      <c r="W391" s="251">
        <v>30.5</v>
      </c>
      <c r="X391" s="251">
        <f>ROUNDDOWN(Table15[[#This Row],[R-DEMAND]]/1320,0)</f>
        <v>0</v>
      </c>
      <c r="Y391" s="251">
        <f>IFERROR(Table15[[#This Row],[ADD ACC
(660/1320)]]*Table15[[#This Row],[Duration
(B744)]],0)</f>
        <v>0</v>
      </c>
      <c r="Z391" s="251"/>
    </row>
    <row r="392" spans="1:26" ht="15.75" customHeight="1" x14ac:dyDescent="0.25">
      <c r="A392" s="210" t="s">
        <v>15288</v>
      </c>
      <c r="B392" s="204" t="s">
        <v>4707</v>
      </c>
      <c r="C392" s="204"/>
      <c r="D392" s="205">
        <v>3</v>
      </c>
      <c r="E392" s="16" t="s">
        <v>11732</v>
      </c>
      <c r="F392" s="204" t="str">
        <f>VLOOKUP(E392,Table10[[COUNTRY NAME]:[CONTINENT CODE]],3,FALSE)</f>
        <v>NA - US</v>
      </c>
      <c r="G392" s="206" t="s">
        <v>13342</v>
      </c>
      <c r="H392" s="207">
        <v>12714</v>
      </c>
      <c r="I392" s="208">
        <v>30.25</v>
      </c>
      <c r="J392" s="345"/>
      <c r="K392" s="345">
        <f>IFERROR(Table15[[#This Row],[ROUTE $]]/Table15[[#This Row],[E - DEMAND]],0)</f>
        <v>0</v>
      </c>
      <c r="L392" s="204"/>
      <c r="M392" s="412">
        <f>IFERROR(VLOOKUP(Table15[[#This Row],[ROUTE]],DEMAND!A:F,5,FALSE),0)</f>
        <v>0</v>
      </c>
      <c r="N392" s="16">
        <f>IFERROR(VLOOKUP(Table15[[#This Row],[ROUTE]],DEMAND!A:F,6,FALSE),0)</f>
        <v>0</v>
      </c>
      <c r="O392" s="16">
        <f>IFERROR(ROUNDDOWN(Table15[[#This Row],[R-DEMAND]]/1706,0),0)</f>
        <v>0</v>
      </c>
      <c r="P392" s="16">
        <f>IFERROR(Table15[[#This Row],[ADD ACC]]*Table15[[#This Row],[RT TIME 
(380-800)]],0)</f>
        <v>0</v>
      </c>
      <c r="Q392" s="415">
        <f>IFERROR(VLOOKUP(Table15[[#This Row],[ROUTE]],PRICING!A:B,2,FALSE),0)</f>
        <v>0</v>
      </c>
      <c r="R392" s="235">
        <f>IFERROR(Table15[[#This Row],[C_DEMAND]]-Table15[[#This Row],[R-DEMAND]],0)</f>
        <v>0</v>
      </c>
      <c r="S392" s="408">
        <f t="shared" si="6"/>
        <v>0</v>
      </c>
      <c r="T392" s="419">
        <f>Table15[[#This Row],[R-DEMAND]]-(Table15[[#This Row],[ADD ACC]]*1706)</f>
        <v>0</v>
      </c>
      <c r="U392" s="419">
        <f>ROUNDDOWN(Table15[[#This Row],[Column1]]/1360,0)</f>
        <v>0</v>
      </c>
      <c r="V392" s="419"/>
      <c r="W392" s="251">
        <v>30.25</v>
      </c>
      <c r="X392" s="251">
        <f>ROUNDDOWN(Table15[[#This Row],[R-DEMAND]]/1320,0)</f>
        <v>0</v>
      </c>
      <c r="Y392" s="251">
        <f>IFERROR(Table15[[#This Row],[ADD ACC
(660/1320)]]*Table15[[#This Row],[Duration
(B744)]],0)</f>
        <v>0</v>
      </c>
      <c r="Z392" s="251"/>
    </row>
    <row r="393" spans="1:26" ht="15.75" customHeight="1" x14ac:dyDescent="0.25">
      <c r="A393" s="210" t="s">
        <v>15289</v>
      </c>
      <c r="B393" s="204" t="s">
        <v>4605</v>
      </c>
      <c r="C393" s="204"/>
      <c r="D393" s="205">
        <v>2</v>
      </c>
      <c r="E393" s="16" t="s">
        <v>11732</v>
      </c>
      <c r="F393" s="204" t="str">
        <f>VLOOKUP(E393,Table10[[COUNTRY NAME]:[CONTINENT CODE]],3,FALSE)</f>
        <v>NA - US</v>
      </c>
      <c r="G393" s="206" t="s">
        <v>13352</v>
      </c>
      <c r="H393" s="207">
        <v>12682</v>
      </c>
      <c r="I393" s="208">
        <v>30.25</v>
      </c>
      <c r="J393" s="345"/>
      <c r="K393" s="345">
        <f>IFERROR(Table15[[#This Row],[ROUTE $]]/Table15[[#This Row],[E - DEMAND]],0)</f>
        <v>0</v>
      </c>
      <c r="L393" s="204"/>
      <c r="M393" s="412">
        <f>IFERROR(VLOOKUP(Table15[[#This Row],[ROUTE]],DEMAND!A:F,5,FALSE),0)</f>
        <v>0</v>
      </c>
      <c r="N393" s="16">
        <f>IFERROR(VLOOKUP(Table15[[#This Row],[ROUTE]],DEMAND!A:F,6,FALSE),0)</f>
        <v>0</v>
      </c>
      <c r="O393" s="16">
        <f>IFERROR(ROUNDDOWN(Table15[[#This Row],[R-DEMAND]]/1706,0),0)</f>
        <v>0</v>
      </c>
      <c r="P393" s="16">
        <f>IFERROR(Table15[[#This Row],[ADD ACC]]*Table15[[#This Row],[RT TIME 
(380-800)]],0)</f>
        <v>0</v>
      </c>
      <c r="Q393" s="415">
        <f>IFERROR(VLOOKUP(Table15[[#This Row],[ROUTE]],PRICING!A:B,2,FALSE),0)</f>
        <v>0</v>
      </c>
      <c r="R393" s="235">
        <f>IFERROR(Table15[[#This Row],[C_DEMAND]]-Table15[[#This Row],[R-DEMAND]],0)</f>
        <v>0</v>
      </c>
      <c r="S393" s="408">
        <f t="shared" si="6"/>
        <v>0</v>
      </c>
      <c r="T393" s="419">
        <f>Table15[[#This Row],[R-DEMAND]]-(Table15[[#This Row],[ADD ACC]]*1706)</f>
        <v>0</v>
      </c>
      <c r="U393" s="419">
        <f>ROUNDDOWN(Table15[[#This Row],[Column1]]/1360,0)</f>
        <v>0</v>
      </c>
      <c r="V393" s="419"/>
      <c r="W393" s="251">
        <v>30.25</v>
      </c>
      <c r="X393" s="251">
        <f>ROUNDDOWN(Table15[[#This Row],[R-DEMAND]]/1320,0)</f>
        <v>0</v>
      </c>
      <c r="Y393" s="251">
        <f>IFERROR(Table15[[#This Row],[ADD ACC
(660/1320)]]*Table15[[#This Row],[Duration
(B744)]],0)</f>
        <v>0</v>
      </c>
      <c r="Z393" s="251"/>
    </row>
    <row r="394" spans="1:26" ht="15.75" customHeight="1" x14ac:dyDescent="0.25">
      <c r="A394" s="210" t="s">
        <v>15293</v>
      </c>
      <c r="B394" s="204" t="s">
        <v>4158</v>
      </c>
      <c r="C394" s="204"/>
      <c r="D394" s="205">
        <v>2</v>
      </c>
      <c r="E394" s="16" t="s">
        <v>11732</v>
      </c>
      <c r="F394" s="204" t="str">
        <f>VLOOKUP(E394,Table10[[COUNTRY NAME]:[CONTINENT CODE]],3,FALSE)</f>
        <v>NA - US</v>
      </c>
      <c r="G394" s="206" t="s">
        <v>13262</v>
      </c>
      <c r="H394" s="207">
        <v>12646</v>
      </c>
      <c r="I394" s="208">
        <v>30.25</v>
      </c>
      <c r="J394" s="345"/>
      <c r="K394" s="345">
        <f>IFERROR(Table15[[#This Row],[ROUTE $]]/Table15[[#This Row],[E - DEMAND]],0)</f>
        <v>0</v>
      </c>
      <c r="L394" s="204"/>
      <c r="M394" s="412">
        <f>IFERROR(VLOOKUP(Table15[[#This Row],[ROUTE]],DEMAND!A:F,5,FALSE),0)</f>
        <v>0</v>
      </c>
      <c r="N394" s="16">
        <f>IFERROR(VLOOKUP(Table15[[#This Row],[ROUTE]],DEMAND!A:F,6,FALSE),0)</f>
        <v>0</v>
      </c>
      <c r="O394" s="16">
        <f>IFERROR(ROUNDDOWN(Table15[[#This Row],[R-DEMAND]]/1706,0),0)</f>
        <v>0</v>
      </c>
      <c r="P394" s="16">
        <f>IFERROR(Table15[[#This Row],[ADD ACC]]*Table15[[#This Row],[RT TIME 
(380-800)]],0)</f>
        <v>0</v>
      </c>
      <c r="Q394" s="415">
        <f>IFERROR(VLOOKUP(Table15[[#This Row],[ROUTE]],PRICING!A:B,2,FALSE),0)</f>
        <v>0</v>
      </c>
      <c r="R394" s="235">
        <f>IFERROR(Table15[[#This Row],[C_DEMAND]]-Table15[[#This Row],[R-DEMAND]],0)</f>
        <v>0</v>
      </c>
      <c r="S394" s="408">
        <f t="shared" si="6"/>
        <v>0</v>
      </c>
      <c r="T394" s="419">
        <f>Table15[[#This Row],[R-DEMAND]]-(Table15[[#This Row],[ADD ACC]]*1706)</f>
        <v>0</v>
      </c>
      <c r="U394" s="419">
        <f>ROUNDDOWN(Table15[[#This Row],[Column1]]/1360,0)</f>
        <v>0</v>
      </c>
      <c r="V394" s="419"/>
      <c r="W394" s="251">
        <v>30.25</v>
      </c>
      <c r="X394" s="251">
        <f>ROUNDDOWN(Table15[[#This Row],[R-DEMAND]]/1320,0)</f>
        <v>0</v>
      </c>
      <c r="Y394" s="251">
        <f>IFERROR(Table15[[#This Row],[ADD ACC
(660/1320)]]*Table15[[#This Row],[Duration
(B744)]],0)</f>
        <v>0</v>
      </c>
      <c r="Z394" s="251"/>
    </row>
    <row r="395" spans="1:26" ht="15.75" customHeight="1" x14ac:dyDescent="0.25">
      <c r="A395" s="210" t="s">
        <v>15298</v>
      </c>
      <c r="B395" s="204" t="s">
        <v>3545</v>
      </c>
      <c r="C395" s="204"/>
      <c r="D395" s="205">
        <v>2</v>
      </c>
      <c r="E395" s="16" t="s">
        <v>11732</v>
      </c>
      <c r="F395" s="204" t="str">
        <f>VLOOKUP(E395,Table10[[COUNTRY NAME]:[CONTINENT CODE]],3,FALSE)</f>
        <v>NA - US</v>
      </c>
      <c r="G395" s="206" t="s">
        <v>13293</v>
      </c>
      <c r="H395" s="207">
        <v>12535</v>
      </c>
      <c r="I395" s="208">
        <v>30</v>
      </c>
      <c r="J395" s="345"/>
      <c r="K395" s="345">
        <f>IFERROR(Table15[[#This Row],[ROUTE $]]/Table15[[#This Row],[E - DEMAND]],0)</f>
        <v>0</v>
      </c>
      <c r="L395" s="204"/>
      <c r="M395" s="412">
        <f>IFERROR(VLOOKUP(Table15[[#This Row],[ROUTE]],DEMAND!A:F,5,FALSE),0)</f>
        <v>0</v>
      </c>
      <c r="N395" s="16">
        <f>IFERROR(VLOOKUP(Table15[[#This Row],[ROUTE]],DEMAND!A:F,6,FALSE),0)</f>
        <v>0</v>
      </c>
      <c r="O395" s="16">
        <f>IFERROR(ROUNDDOWN(Table15[[#This Row],[R-DEMAND]]/1706,0),0)</f>
        <v>0</v>
      </c>
      <c r="P395" s="16">
        <f>IFERROR(Table15[[#This Row],[ADD ACC]]*Table15[[#This Row],[RT TIME 
(380-800)]],0)</f>
        <v>0</v>
      </c>
      <c r="Q395" s="415">
        <f>IFERROR(VLOOKUP(Table15[[#This Row],[ROUTE]],PRICING!A:B,2,FALSE),0)</f>
        <v>0</v>
      </c>
      <c r="R395" s="235">
        <f>IFERROR(Table15[[#This Row],[C_DEMAND]]-Table15[[#This Row],[R-DEMAND]],0)</f>
        <v>0</v>
      </c>
      <c r="S395" s="408">
        <f t="shared" si="6"/>
        <v>0</v>
      </c>
      <c r="T395" s="419">
        <f>Table15[[#This Row],[R-DEMAND]]-(Table15[[#This Row],[ADD ACC]]*1706)</f>
        <v>0</v>
      </c>
      <c r="U395" s="419">
        <f>ROUNDDOWN(Table15[[#This Row],[Column1]]/1360,0)</f>
        <v>0</v>
      </c>
      <c r="V395" s="419"/>
      <c r="W395" s="251">
        <v>30</v>
      </c>
      <c r="X395" s="251">
        <f>ROUNDDOWN(Table15[[#This Row],[R-DEMAND]]/1320,0)</f>
        <v>0</v>
      </c>
      <c r="Y395" s="251">
        <f>IFERROR(Table15[[#This Row],[ADD ACC
(660/1320)]]*Table15[[#This Row],[Duration
(B744)]],0)</f>
        <v>0</v>
      </c>
      <c r="Z395" s="251"/>
    </row>
    <row r="396" spans="1:26" ht="15.75" customHeight="1" x14ac:dyDescent="0.25">
      <c r="A396" s="210" t="s">
        <v>15294</v>
      </c>
      <c r="B396" s="204" t="s">
        <v>3666</v>
      </c>
      <c r="C396" s="204"/>
      <c r="D396" s="205">
        <v>2</v>
      </c>
      <c r="E396" s="16" t="s">
        <v>11732</v>
      </c>
      <c r="F396" s="204" t="str">
        <f>VLOOKUP(E396,Table10[[COUNTRY NAME]:[CONTINENT CODE]],3,FALSE)</f>
        <v>NA - US</v>
      </c>
      <c r="G396" s="206" t="s">
        <v>13265</v>
      </c>
      <c r="H396" s="207">
        <v>12604</v>
      </c>
      <c r="I396" s="208">
        <v>30</v>
      </c>
      <c r="J396" s="345"/>
      <c r="K396" s="345">
        <f>IFERROR(Table15[[#This Row],[ROUTE $]]/Table15[[#This Row],[E - DEMAND]],0)</f>
        <v>0</v>
      </c>
      <c r="L396" s="204"/>
      <c r="M396" s="412">
        <f>IFERROR(VLOOKUP(Table15[[#This Row],[ROUTE]],DEMAND!A:F,5,FALSE),0)</f>
        <v>0</v>
      </c>
      <c r="N396" s="16">
        <f>IFERROR(VLOOKUP(Table15[[#This Row],[ROUTE]],DEMAND!A:F,6,FALSE),0)</f>
        <v>0</v>
      </c>
      <c r="O396" s="16">
        <f>IFERROR(ROUNDDOWN(Table15[[#This Row],[R-DEMAND]]/1706,0),0)</f>
        <v>0</v>
      </c>
      <c r="P396" s="16">
        <f>IFERROR(Table15[[#This Row],[ADD ACC]]*Table15[[#This Row],[RT TIME 
(380-800)]],0)</f>
        <v>0</v>
      </c>
      <c r="Q396" s="415">
        <f>IFERROR(VLOOKUP(Table15[[#This Row],[ROUTE]],PRICING!A:B,2,FALSE),0)</f>
        <v>0</v>
      </c>
      <c r="R396" s="235">
        <f>IFERROR(Table15[[#This Row],[C_DEMAND]]-Table15[[#This Row],[R-DEMAND]],0)</f>
        <v>0</v>
      </c>
      <c r="S396" s="408">
        <f t="shared" si="6"/>
        <v>0</v>
      </c>
      <c r="T396" s="419">
        <f>Table15[[#This Row],[R-DEMAND]]-(Table15[[#This Row],[ADD ACC]]*1706)</f>
        <v>0</v>
      </c>
      <c r="U396" s="419">
        <f>ROUNDDOWN(Table15[[#This Row],[Column1]]/1360,0)</f>
        <v>0</v>
      </c>
      <c r="V396" s="419"/>
      <c r="W396" s="251">
        <v>30</v>
      </c>
      <c r="X396" s="251">
        <f>ROUNDDOWN(Table15[[#This Row],[R-DEMAND]]/1320,0)</f>
        <v>0</v>
      </c>
      <c r="Y396" s="251">
        <f>IFERROR(Table15[[#This Row],[ADD ACC
(660/1320)]]*Table15[[#This Row],[Duration
(B744)]],0)</f>
        <v>0</v>
      </c>
      <c r="Z396" s="251"/>
    </row>
    <row r="397" spans="1:26" ht="15.75" customHeight="1" x14ac:dyDescent="0.25">
      <c r="A397" s="210" t="s">
        <v>15301</v>
      </c>
      <c r="B397" s="204" t="s">
        <v>2790</v>
      </c>
      <c r="C397" s="204"/>
      <c r="D397" s="205">
        <v>2</v>
      </c>
      <c r="E397" s="16" t="s">
        <v>11732</v>
      </c>
      <c r="F397" s="204" t="str">
        <f>VLOOKUP(E397,Table10[[COUNTRY NAME]:[CONTINENT CODE]],3,FALSE)</f>
        <v>NA - US</v>
      </c>
      <c r="G397" s="206" t="s">
        <v>13299</v>
      </c>
      <c r="H397" s="207">
        <v>12475</v>
      </c>
      <c r="I397" s="208">
        <v>29.75</v>
      </c>
      <c r="J397" s="345"/>
      <c r="K397" s="345">
        <f>IFERROR(Table15[[#This Row],[ROUTE $]]/Table15[[#This Row],[E - DEMAND]],0)</f>
        <v>0</v>
      </c>
      <c r="L397" s="204"/>
      <c r="M397" s="412">
        <f>IFERROR(VLOOKUP(Table15[[#This Row],[ROUTE]],DEMAND!A:F,5,FALSE),0)</f>
        <v>0</v>
      </c>
      <c r="N397" s="16">
        <f>IFERROR(VLOOKUP(Table15[[#This Row],[ROUTE]],DEMAND!A:F,6,FALSE),0)</f>
        <v>0</v>
      </c>
      <c r="O397" s="16">
        <f>IFERROR(ROUNDDOWN(Table15[[#This Row],[R-DEMAND]]/1706,0),0)</f>
        <v>0</v>
      </c>
      <c r="P397" s="16">
        <f>IFERROR(Table15[[#This Row],[ADD ACC]]*Table15[[#This Row],[RT TIME 
(380-800)]],0)</f>
        <v>0</v>
      </c>
      <c r="Q397" s="415">
        <f>IFERROR(VLOOKUP(Table15[[#This Row],[ROUTE]],PRICING!A:B,2,FALSE),0)</f>
        <v>0</v>
      </c>
      <c r="R397" s="235">
        <f>IFERROR(Table15[[#This Row],[C_DEMAND]]-Table15[[#This Row],[R-DEMAND]],0)</f>
        <v>0</v>
      </c>
      <c r="S397" s="408">
        <f t="shared" si="6"/>
        <v>0</v>
      </c>
      <c r="T397" s="419">
        <f>Table15[[#This Row],[R-DEMAND]]-(Table15[[#This Row],[ADD ACC]]*1706)</f>
        <v>0</v>
      </c>
      <c r="U397" s="419">
        <f>ROUNDDOWN(Table15[[#This Row],[Column1]]/1360,0)</f>
        <v>0</v>
      </c>
      <c r="V397" s="419"/>
      <c r="W397" s="251">
        <v>29.75</v>
      </c>
      <c r="X397" s="251">
        <f>ROUNDDOWN(Table15[[#This Row],[R-DEMAND]]/1320,0)</f>
        <v>0</v>
      </c>
      <c r="Y397" s="251">
        <f>IFERROR(Table15[[#This Row],[ADD ACC
(660/1320)]]*Table15[[#This Row],[Duration
(B744)]],0)</f>
        <v>0</v>
      </c>
      <c r="Z397" s="251"/>
    </row>
    <row r="398" spans="1:26" ht="15.75" customHeight="1" x14ac:dyDescent="0.25">
      <c r="A398" s="210" t="s">
        <v>15302</v>
      </c>
      <c r="B398" s="204" t="s">
        <v>76</v>
      </c>
      <c r="C398" s="204"/>
      <c r="D398" s="205">
        <v>2</v>
      </c>
      <c r="E398" s="16" t="s">
        <v>11732</v>
      </c>
      <c r="F398" s="204" t="str">
        <f>VLOOKUP(E398,Table10[[COUNTRY NAME]:[CONTINENT CODE]],3,FALSE)</f>
        <v>NA - US</v>
      </c>
      <c r="G398" s="206" t="s">
        <v>13340</v>
      </c>
      <c r="H398" s="207">
        <v>12471</v>
      </c>
      <c r="I398" s="208">
        <v>29.75</v>
      </c>
      <c r="J398" s="345"/>
      <c r="K398" s="345">
        <f>IFERROR(Table15[[#This Row],[ROUTE $]]/Table15[[#This Row],[E - DEMAND]],0)</f>
        <v>0</v>
      </c>
      <c r="L398" s="204"/>
      <c r="M398" s="412">
        <f>IFERROR(VLOOKUP(Table15[[#This Row],[ROUTE]],DEMAND!A:F,5,FALSE),0)</f>
        <v>0</v>
      </c>
      <c r="N398" s="16">
        <f>IFERROR(VLOOKUP(Table15[[#This Row],[ROUTE]],DEMAND!A:F,6,FALSE),0)</f>
        <v>0</v>
      </c>
      <c r="O398" s="16">
        <f>IFERROR(ROUNDDOWN(Table15[[#This Row],[R-DEMAND]]/1706,0),0)</f>
        <v>0</v>
      </c>
      <c r="P398" s="16">
        <f>IFERROR(Table15[[#This Row],[ADD ACC]]*Table15[[#This Row],[RT TIME 
(380-800)]],0)</f>
        <v>0</v>
      </c>
      <c r="Q398" s="415">
        <f>IFERROR(VLOOKUP(Table15[[#This Row],[ROUTE]],PRICING!A:B,2,FALSE),0)</f>
        <v>0</v>
      </c>
      <c r="R398" s="235">
        <f>IFERROR(Table15[[#This Row],[C_DEMAND]]-Table15[[#This Row],[R-DEMAND]],0)</f>
        <v>0</v>
      </c>
      <c r="S398" s="408">
        <f t="shared" si="6"/>
        <v>0</v>
      </c>
      <c r="T398" s="419">
        <f>Table15[[#This Row],[R-DEMAND]]-(Table15[[#This Row],[ADD ACC]]*1706)</f>
        <v>0</v>
      </c>
      <c r="U398" s="419">
        <f>ROUNDDOWN(Table15[[#This Row],[Column1]]/1360,0)</f>
        <v>0</v>
      </c>
      <c r="V398" s="419"/>
      <c r="W398" s="251">
        <v>29.75</v>
      </c>
      <c r="X398" s="251">
        <f>ROUNDDOWN(Table15[[#This Row],[R-DEMAND]]/1320,0)</f>
        <v>0</v>
      </c>
      <c r="Y398" s="251">
        <f>IFERROR(Table15[[#This Row],[ADD ACC
(660/1320)]]*Table15[[#This Row],[Duration
(B744)]],0)</f>
        <v>0</v>
      </c>
      <c r="Z398" s="251"/>
    </row>
    <row r="399" spans="1:26" ht="15.75" customHeight="1" x14ac:dyDescent="0.25">
      <c r="A399" s="210" t="s">
        <v>15304</v>
      </c>
      <c r="B399" s="204" t="s">
        <v>2451</v>
      </c>
      <c r="C399" s="204"/>
      <c r="D399" s="205">
        <v>1</v>
      </c>
      <c r="E399" s="16" t="s">
        <v>11732</v>
      </c>
      <c r="F399" s="204" t="str">
        <f>VLOOKUP(E399,Table10[[COUNTRY NAME]:[CONTINENT CODE]],3,FALSE)</f>
        <v>NA - US</v>
      </c>
      <c r="G399" s="206" t="s">
        <v>13255</v>
      </c>
      <c r="H399" s="207">
        <v>12457</v>
      </c>
      <c r="I399" s="208">
        <v>29.75</v>
      </c>
      <c r="J399" s="345"/>
      <c r="K399" s="345">
        <f>IFERROR(Table15[[#This Row],[ROUTE $]]/Table15[[#This Row],[E - DEMAND]],0)</f>
        <v>0</v>
      </c>
      <c r="L399" s="204"/>
      <c r="M399" s="412">
        <f>IFERROR(VLOOKUP(Table15[[#This Row],[ROUTE]],DEMAND!A:F,5,FALSE),0)</f>
        <v>0</v>
      </c>
      <c r="N399" s="16">
        <f>IFERROR(VLOOKUP(Table15[[#This Row],[ROUTE]],DEMAND!A:F,6,FALSE),0)</f>
        <v>0</v>
      </c>
      <c r="O399" s="16">
        <f>IFERROR(ROUNDDOWN(Table15[[#This Row],[R-DEMAND]]/1706,0),0)</f>
        <v>0</v>
      </c>
      <c r="P399" s="16">
        <f>IFERROR(Table15[[#This Row],[ADD ACC]]*Table15[[#This Row],[RT TIME 
(380-800)]],0)</f>
        <v>0</v>
      </c>
      <c r="Q399" s="415">
        <f>IFERROR(VLOOKUP(Table15[[#This Row],[ROUTE]],PRICING!A:B,2,FALSE),0)</f>
        <v>0</v>
      </c>
      <c r="R399" s="235">
        <f>IFERROR(Table15[[#This Row],[C_DEMAND]]-Table15[[#This Row],[R-DEMAND]],0)</f>
        <v>0</v>
      </c>
      <c r="S399" s="408">
        <f t="shared" si="6"/>
        <v>0</v>
      </c>
      <c r="T399" s="419">
        <f>Table15[[#This Row],[R-DEMAND]]-(Table15[[#This Row],[ADD ACC]]*1706)</f>
        <v>0</v>
      </c>
      <c r="U399" s="419">
        <f>ROUNDDOWN(Table15[[#This Row],[Column1]]/1360,0)</f>
        <v>0</v>
      </c>
      <c r="V399" s="419"/>
      <c r="W399" s="251">
        <v>29.75</v>
      </c>
      <c r="X399" s="251">
        <f>ROUNDDOWN(Table15[[#This Row],[R-DEMAND]]/1320,0)</f>
        <v>0</v>
      </c>
      <c r="Y399" s="251">
        <f>IFERROR(Table15[[#This Row],[ADD ACC
(660/1320)]]*Table15[[#This Row],[Duration
(B744)]],0)</f>
        <v>0</v>
      </c>
      <c r="Z399" s="251"/>
    </row>
    <row r="400" spans="1:26" ht="15.75" customHeight="1" x14ac:dyDescent="0.25">
      <c r="A400" s="210" t="s">
        <v>15299</v>
      </c>
      <c r="B400" s="204" t="s">
        <v>811</v>
      </c>
      <c r="C400" s="204"/>
      <c r="D400" s="205">
        <v>1</v>
      </c>
      <c r="E400" s="16" t="s">
        <v>11732</v>
      </c>
      <c r="F400" s="204" t="str">
        <f>VLOOKUP(E400,Table10[[COUNTRY NAME]:[CONTINENT CODE]],3,FALSE)</f>
        <v>NA - US</v>
      </c>
      <c r="G400" s="206" t="s">
        <v>13323</v>
      </c>
      <c r="H400" s="207">
        <v>12526</v>
      </c>
      <c r="I400" s="208">
        <v>29.75</v>
      </c>
      <c r="J400" s="345"/>
      <c r="K400" s="345">
        <f>IFERROR(Table15[[#This Row],[ROUTE $]]/Table15[[#This Row],[E - DEMAND]],0)</f>
        <v>0</v>
      </c>
      <c r="L400" s="204"/>
      <c r="M400" s="412">
        <f>IFERROR(VLOOKUP(Table15[[#This Row],[ROUTE]],DEMAND!A:F,5,FALSE),0)</f>
        <v>0</v>
      </c>
      <c r="N400" s="16">
        <f>IFERROR(VLOOKUP(Table15[[#This Row],[ROUTE]],DEMAND!A:F,6,FALSE),0)</f>
        <v>0</v>
      </c>
      <c r="O400" s="16">
        <f>IFERROR(ROUNDDOWN(Table15[[#This Row],[R-DEMAND]]/1706,0),0)</f>
        <v>0</v>
      </c>
      <c r="P400" s="16">
        <f>IFERROR(Table15[[#This Row],[ADD ACC]]*Table15[[#This Row],[RT TIME 
(380-800)]],0)</f>
        <v>0</v>
      </c>
      <c r="Q400" s="415">
        <f>IFERROR(VLOOKUP(Table15[[#This Row],[ROUTE]],PRICING!A:B,2,FALSE),0)</f>
        <v>0</v>
      </c>
      <c r="R400" s="235">
        <f>IFERROR(Table15[[#This Row],[C_DEMAND]]-Table15[[#This Row],[R-DEMAND]],0)</f>
        <v>0</v>
      </c>
      <c r="S400" s="408">
        <f t="shared" si="6"/>
        <v>0</v>
      </c>
      <c r="T400" s="419">
        <f>Table15[[#This Row],[R-DEMAND]]-(Table15[[#This Row],[ADD ACC]]*1706)</f>
        <v>0</v>
      </c>
      <c r="U400" s="419">
        <f>ROUNDDOWN(Table15[[#This Row],[Column1]]/1360,0)</f>
        <v>0</v>
      </c>
      <c r="V400" s="419"/>
      <c r="W400" s="251">
        <v>29.75</v>
      </c>
      <c r="X400" s="251">
        <f>ROUNDDOWN(Table15[[#This Row],[R-DEMAND]]/1320,0)</f>
        <v>0</v>
      </c>
      <c r="Y400" s="251">
        <f>IFERROR(Table15[[#This Row],[ADD ACC
(660/1320)]]*Table15[[#This Row],[Duration
(B744)]],0)</f>
        <v>0</v>
      </c>
      <c r="Z400" s="251"/>
    </row>
    <row r="401" spans="1:26" ht="15.75" customHeight="1" x14ac:dyDescent="0.25">
      <c r="A401" s="210" t="s">
        <v>15157</v>
      </c>
      <c r="B401" s="204" t="s">
        <v>137</v>
      </c>
      <c r="C401" s="204" t="s">
        <v>67</v>
      </c>
      <c r="D401" s="205">
        <v>4</v>
      </c>
      <c r="E401" s="204" t="s">
        <v>5476</v>
      </c>
      <c r="F401" s="204" t="str">
        <f>VLOOKUP(E401,Table10[[COUNTRY NAME]:[CONTINENT CODE]],3,FALSE)</f>
        <v>NA</v>
      </c>
      <c r="G401" s="206" t="s">
        <v>13209</v>
      </c>
      <c r="H401" s="207">
        <v>14361</v>
      </c>
      <c r="I401" s="208">
        <v>34</v>
      </c>
      <c r="J401" s="345">
        <v>293708086</v>
      </c>
      <c r="K401" s="345">
        <f>IFERROR(Table15[[#This Row],[ROUTE $]]/Table15[[#This Row],[E - DEMAND]],0)</f>
        <v>65691.810780586005</v>
      </c>
      <c r="L401" s="204">
        <v>4471</v>
      </c>
      <c r="M401" s="412">
        <f>IFERROR(VLOOKUP(Table15[[#This Row],[ROUTE]],DEMAND!A:F,5,FALSE),0)</f>
        <v>0</v>
      </c>
      <c r="N401" s="16">
        <f>IFERROR(VLOOKUP(Table15[[#This Row],[ROUTE]],DEMAND!A:F,6,FALSE),0)</f>
        <v>0</v>
      </c>
      <c r="O401" s="16">
        <f>IFERROR(ROUNDDOWN(Table15[[#This Row],[R-DEMAND]]/1706,0),0)</f>
        <v>0</v>
      </c>
      <c r="P401" s="16">
        <f>IFERROR(Table15[[#This Row],[ADD ACC]]*Table15[[#This Row],[RT TIME 
(380-800)]],0)</f>
        <v>0</v>
      </c>
      <c r="Q401" s="415">
        <f>IFERROR(VLOOKUP(Table15[[#This Row],[ROUTE]],PRICING!A:B,2,FALSE),0)</f>
        <v>0</v>
      </c>
      <c r="R401" s="235">
        <f>IFERROR(Table15[[#This Row],[C_DEMAND]]-Table15[[#This Row],[R-DEMAND]],0)</f>
        <v>0</v>
      </c>
      <c r="S401" s="408">
        <f t="shared" si="6"/>
        <v>0</v>
      </c>
      <c r="T401" s="419">
        <f>Table15[[#This Row],[R-DEMAND]]-(Table15[[#This Row],[ADD ACC]]*1706)</f>
        <v>0</v>
      </c>
      <c r="U401" s="419">
        <f>ROUNDDOWN(Table15[[#This Row],[Column1]]/1360,0)</f>
        <v>0</v>
      </c>
      <c r="V401" s="419"/>
      <c r="W401" s="349"/>
      <c r="X401" s="349"/>
      <c r="Y401" s="349"/>
      <c r="Z401" s="349"/>
    </row>
    <row r="402" spans="1:26" ht="15.75" customHeight="1" x14ac:dyDescent="0.25">
      <c r="A402" s="210" t="s">
        <v>15133</v>
      </c>
      <c r="B402" s="204" t="s">
        <v>5463</v>
      </c>
      <c r="C402" s="204" t="s">
        <v>67</v>
      </c>
      <c r="D402" s="205">
        <v>4</v>
      </c>
      <c r="E402" s="204" t="s">
        <v>1749</v>
      </c>
      <c r="F402" s="204" t="str">
        <f>VLOOKUP(E402,Table10[[COUNTRY NAME]:[CONTINENT CODE]],3,FALSE)</f>
        <v>NA</v>
      </c>
      <c r="G402" s="206" t="s">
        <v>13218</v>
      </c>
      <c r="H402" s="207">
        <v>14972</v>
      </c>
      <c r="I402" s="208">
        <v>35.25</v>
      </c>
      <c r="J402" s="345"/>
      <c r="K402" s="345">
        <f>IFERROR(Table15[[#This Row],[ROUTE $]]/Table15[[#This Row],[E - DEMAND]],0)</f>
        <v>0</v>
      </c>
      <c r="L402" s="204"/>
      <c r="M402" s="412">
        <f>IFERROR(VLOOKUP(Table15[[#This Row],[ROUTE]],DEMAND!A:F,5,FALSE),0)</f>
        <v>0</v>
      </c>
      <c r="N402" s="16">
        <f>IFERROR(VLOOKUP(Table15[[#This Row],[ROUTE]],DEMAND!A:F,6,FALSE),0)</f>
        <v>0</v>
      </c>
      <c r="O402" s="16">
        <f>IFERROR(ROUNDDOWN(Table15[[#This Row],[R-DEMAND]]/1706,0),0)</f>
        <v>0</v>
      </c>
      <c r="P402" s="16">
        <f>IFERROR(Table15[[#This Row],[ADD ACC]]*Table15[[#This Row],[RT TIME 
(380-800)]],0)</f>
        <v>0</v>
      </c>
      <c r="Q402" s="415">
        <f>IFERROR(VLOOKUP(Table15[[#This Row],[ROUTE]],PRICING!A:B,2,FALSE),0)</f>
        <v>0</v>
      </c>
      <c r="R402" s="235">
        <f>IFERROR(Table15[[#This Row],[C_DEMAND]]-Table15[[#This Row],[R-DEMAND]],0)</f>
        <v>0</v>
      </c>
      <c r="S402" s="408">
        <f t="shared" si="6"/>
        <v>0</v>
      </c>
      <c r="T402" s="419">
        <f>Table15[[#This Row],[R-DEMAND]]-(Table15[[#This Row],[ADD ACC]]*1706)</f>
        <v>0</v>
      </c>
      <c r="U402" s="419">
        <f>ROUNDDOWN(Table15[[#This Row],[Column1]]/1360,0)</f>
        <v>0</v>
      </c>
      <c r="V402" s="419"/>
      <c r="W402" s="349"/>
      <c r="X402" s="349"/>
      <c r="Y402" s="349"/>
      <c r="Z402" s="349"/>
    </row>
    <row r="403" spans="1:26" ht="15.75" customHeight="1" x14ac:dyDescent="0.25">
      <c r="A403" s="210" t="s">
        <v>15320</v>
      </c>
      <c r="B403" s="204" t="s">
        <v>4804</v>
      </c>
      <c r="C403" s="204"/>
      <c r="D403" s="205">
        <v>3</v>
      </c>
      <c r="E403" s="204" t="s">
        <v>2356</v>
      </c>
      <c r="F403" s="204" t="str">
        <f>VLOOKUP(E403,Table10[[COUNTRY NAME]:[CONTINENT CODE]],3,FALSE)</f>
        <v>OC</v>
      </c>
      <c r="G403" s="206" t="s">
        <v>11925</v>
      </c>
      <c r="H403" s="207">
        <v>12128</v>
      </c>
      <c r="I403" s="208">
        <v>29</v>
      </c>
      <c r="J403" s="345"/>
      <c r="K403" s="345">
        <f>IFERROR(Table15[[#This Row],[ROUTE $]]/Table15[[#This Row],[E - DEMAND]],0)</f>
        <v>0</v>
      </c>
      <c r="L403" s="204"/>
      <c r="M403" s="412">
        <f>IFERROR(VLOOKUP(Table15[[#This Row],[ROUTE]],DEMAND!A:F,5,FALSE),0)</f>
        <v>0</v>
      </c>
      <c r="N403" s="16">
        <f>IFERROR(VLOOKUP(Table15[[#This Row],[ROUTE]],DEMAND!A:F,6,FALSE),0)</f>
        <v>0</v>
      </c>
      <c r="O403" s="16">
        <f>IFERROR(ROUNDDOWN(Table15[[#This Row],[R-DEMAND]]/1706,0),0)</f>
        <v>0</v>
      </c>
      <c r="P403" s="16">
        <f>IFERROR(Table15[[#This Row],[ADD ACC]]*Table15[[#This Row],[RT TIME 
(380-800)]],0)</f>
        <v>0</v>
      </c>
      <c r="Q403" s="415">
        <f>IFERROR(VLOOKUP(Table15[[#This Row],[ROUTE]],PRICING!A:B,2,FALSE),0)</f>
        <v>0</v>
      </c>
      <c r="R403" s="235">
        <f>IFERROR(Table15[[#This Row],[C_DEMAND]]-Table15[[#This Row],[R-DEMAND]],0)</f>
        <v>0</v>
      </c>
      <c r="S403" s="408">
        <f t="shared" si="6"/>
        <v>0</v>
      </c>
      <c r="T403" s="419">
        <f>Table15[[#This Row],[R-DEMAND]]-(Table15[[#This Row],[ADD ACC]]*1706)</f>
        <v>0</v>
      </c>
      <c r="U403" s="419">
        <f>ROUNDDOWN(Table15[[#This Row],[Column1]]/1360,0)</f>
        <v>0</v>
      </c>
      <c r="V403" s="419"/>
      <c r="W403" s="251">
        <v>29</v>
      </c>
      <c r="X403" s="251">
        <f>ROUNDDOWN(Table15[[#This Row],[R-DEMAND]]/1320,0)</f>
        <v>0</v>
      </c>
      <c r="Y403" s="251">
        <f>IFERROR(Table15[[#This Row],[ADD ACC
(660/1320)]]*Table15[[#This Row],[Duration
(B744)]],0)</f>
        <v>0</v>
      </c>
      <c r="Z403" s="251"/>
    </row>
    <row r="404" spans="1:26" ht="15.75" customHeight="1" x14ac:dyDescent="0.25">
      <c r="A404" s="210" t="s">
        <v>15140</v>
      </c>
      <c r="B404" s="204" t="s">
        <v>4960</v>
      </c>
      <c r="C404" s="204"/>
      <c r="D404" s="205">
        <v>3</v>
      </c>
      <c r="E404" s="204" t="s">
        <v>4958</v>
      </c>
      <c r="F404" s="204" t="str">
        <f>VLOOKUP(E404,Table10[[COUNTRY NAME]:[CONTINENT CODE]],3,FALSE)</f>
        <v>NA</v>
      </c>
      <c r="G404" s="206" t="s">
        <v>13144</v>
      </c>
      <c r="H404" s="207">
        <v>14645</v>
      </c>
      <c r="I404" s="208">
        <v>34.5</v>
      </c>
      <c r="J404" s="345"/>
      <c r="K404" s="345">
        <f>IFERROR(Table15[[#This Row],[ROUTE $]]/Table15[[#This Row],[E - DEMAND]],0)</f>
        <v>0</v>
      </c>
      <c r="L404" s="204"/>
      <c r="M404" s="412">
        <f>IFERROR(VLOOKUP(Table15[[#This Row],[ROUTE]],DEMAND!A:F,5,FALSE),0)</f>
        <v>0</v>
      </c>
      <c r="N404" s="16">
        <f>IFERROR(VLOOKUP(Table15[[#This Row],[ROUTE]],DEMAND!A:F,6,FALSE),0)</f>
        <v>0</v>
      </c>
      <c r="O404" s="16">
        <f>IFERROR(ROUNDDOWN(Table15[[#This Row],[R-DEMAND]]/1706,0),0)</f>
        <v>0</v>
      </c>
      <c r="P404" s="16">
        <f>IFERROR(Table15[[#This Row],[ADD ACC]]*Table15[[#This Row],[RT TIME 
(380-800)]],0)</f>
        <v>0</v>
      </c>
      <c r="Q404" s="415">
        <f>IFERROR(VLOOKUP(Table15[[#This Row],[ROUTE]],PRICING!A:B,2,FALSE),0)</f>
        <v>0</v>
      </c>
      <c r="R404" s="235">
        <f>IFERROR(Table15[[#This Row],[C_DEMAND]]-Table15[[#This Row],[R-DEMAND]],0)</f>
        <v>0</v>
      </c>
      <c r="S404" s="408">
        <f t="shared" si="6"/>
        <v>0</v>
      </c>
      <c r="T404" s="419">
        <f>Table15[[#This Row],[R-DEMAND]]-(Table15[[#This Row],[ADD ACC]]*1706)</f>
        <v>0</v>
      </c>
      <c r="U404" s="419">
        <f>ROUNDDOWN(Table15[[#This Row],[Column1]]/1360,0)</f>
        <v>0</v>
      </c>
      <c r="V404" s="419"/>
      <c r="W404" s="349"/>
      <c r="X404" s="349"/>
      <c r="Y404" s="349"/>
      <c r="Z404" s="349"/>
    </row>
    <row r="405" spans="1:26" ht="15.75" customHeight="1" x14ac:dyDescent="0.25">
      <c r="A405" s="210" t="s">
        <v>15319</v>
      </c>
      <c r="B405" s="204" t="s">
        <v>134</v>
      </c>
      <c r="C405" s="204"/>
      <c r="D405" s="205">
        <v>2</v>
      </c>
      <c r="E405" s="16" t="s">
        <v>11732</v>
      </c>
      <c r="F405" s="204" t="str">
        <f>VLOOKUP(E405,Table10[[COUNTRY NAME]:[CONTINENT CODE]],3,FALSE)</f>
        <v>NA - US</v>
      </c>
      <c r="G405" s="206" t="s">
        <v>13326</v>
      </c>
      <c r="H405" s="207">
        <v>12151</v>
      </c>
      <c r="I405" s="208">
        <v>29</v>
      </c>
      <c r="J405" s="345"/>
      <c r="K405" s="345">
        <f>IFERROR(Table15[[#This Row],[ROUTE $]]/Table15[[#This Row],[E - DEMAND]],0)</f>
        <v>0</v>
      </c>
      <c r="L405" s="204"/>
      <c r="M405" s="412">
        <f>IFERROR(VLOOKUP(Table15[[#This Row],[ROUTE]],DEMAND!A:F,5,FALSE),0)</f>
        <v>0</v>
      </c>
      <c r="N405" s="16">
        <f>IFERROR(VLOOKUP(Table15[[#This Row],[ROUTE]],DEMAND!A:F,6,FALSE),0)</f>
        <v>0</v>
      </c>
      <c r="O405" s="16">
        <f>IFERROR(ROUNDDOWN(Table15[[#This Row],[R-DEMAND]]/1706,0),0)</f>
        <v>0</v>
      </c>
      <c r="P405" s="16">
        <f>IFERROR(Table15[[#This Row],[ADD ACC]]*Table15[[#This Row],[RT TIME 
(380-800)]],0)</f>
        <v>0</v>
      </c>
      <c r="Q405" s="415">
        <f>IFERROR(VLOOKUP(Table15[[#This Row],[ROUTE]],PRICING!A:B,2,FALSE),0)</f>
        <v>0</v>
      </c>
      <c r="R405" s="235">
        <f>IFERROR(Table15[[#This Row],[C_DEMAND]]-Table15[[#This Row],[R-DEMAND]],0)</f>
        <v>0</v>
      </c>
      <c r="S405" s="408">
        <f t="shared" si="6"/>
        <v>0</v>
      </c>
      <c r="T405" s="419">
        <f>Table15[[#This Row],[R-DEMAND]]-(Table15[[#This Row],[ADD ACC]]*1706)</f>
        <v>0</v>
      </c>
      <c r="U405" s="419">
        <f>ROUNDDOWN(Table15[[#This Row],[Column1]]/1360,0)</f>
        <v>0</v>
      </c>
      <c r="V405" s="419"/>
      <c r="W405" s="251">
        <v>29</v>
      </c>
      <c r="X405" s="251">
        <f>ROUNDDOWN(Table15[[#This Row],[R-DEMAND]]/1320,0)</f>
        <v>0</v>
      </c>
      <c r="Y405" s="251">
        <f>IFERROR(Table15[[#This Row],[ADD ACC
(660/1320)]]*Table15[[#This Row],[Duration
(B744)]],0)</f>
        <v>0</v>
      </c>
      <c r="Z405" s="251"/>
    </row>
    <row r="406" spans="1:26" ht="15.75" customHeight="1" x14ac:dyDescent="0.25">
      <c r="A406" s="210" t="s">
        <v>15316</v>
      </c>
      <c r="B406" s="204" t="s">
        <v>2735</v>
      </c>
      <c r="C406" s="204"/>
      <c r="D406" s="205">
        <v>2</v>
      </c>
      <c r="E406" s="16" t="s">
        <v>11732</v>
      </c>
      <c r="F406" s="204" t="str">
        <f>VLOOKUP(E406,Table10[[COUNTRY NAME]:[CONTINENT CODE]],3,FALSE)</f>
        <v>NA - US</v>
      </c>
      <c r="G406" s="206" t="s">
        <v>13339</v>
      </c>
      <c r="H406" s="207">
        <v>12173</v>
      </c>
      <c r="I406" s="208">
        <v>29</v>
      </c>
      <c r="J406" s="345"/>
      <c r="K406" s="345">
        <f>IFERROR(Table15[[#This Row],[ROUTE $]]/Table15[[#This Row],[E - DEMAND]],0)</f>
        <v>0</v>
      </c>
      <c r="L406" s="204"/>
      <c r="M406" s="412">
        <f>IFERROR(VLOOKUP(Table15[[#This Row],[ROUTE]],DEMAND!A:F,5,FALSE),0)</f>
        <v>0</v>
      </c>
      <c r="N406" s="16">
        <f>IFERROR(VLOOKUP(Table15[[#This Row],[ROUTE]],DEMAND!A:F,6,FALSE),0)</f>
        <v>0</v>
      </c>
      <c r="O406" s="16">
        <f>IFERROR(ROUNDDOWN(Table15[[#This Row],[R-DEMAND]]/1706,0),0)</f>
        <v>0</v>
      </c>
      <c r="P406" s="16">
        <f>IFERROR(Table15[[#This Row],[ADD ACC]]*Table15[[#This Row],[RT TIME 
(380-800)]],0)</f>
        <v>0</v>
      </c>
      <c r="Q406" s="415">
        <f>IFERROR(VLOOKUP(Table15[[#This Row],[ROUTE]],PRICING!A:B,2,FALSE),0)</f>
        <v>0</v>
      </c>
      <c r="R406" s="235">
        <f>IFERROR(Table15[[#This Row],[C_DEMAND]]-Table15[[#This Row],[R-DEMAND]],0)</f>
        <v>0</v>
      </c>
      <c r="S406" s="408">
        <f t="shared" si="6"/>
        <v>0</v>
      </c>
      <c r="T406" s="419">
        <f>Table15[[#This Row],[R-DEMAND]]-(Table15[[#This Row],[ADD ACC]]*1706)</f>
        <v>0</v>
      </c>
      <c r="U406" s="419">
        <f>ROUNDDOWN(Table15[[#This Row],[Column1]]/1360,0)</f>
        <v>0</v>
      </c>
      <c r="V406" s="419"/>
      <c r="W406" s="251">
        <v>29</v>
      </c>
      <c r="X406" s="251">
        <f>ROUNDDOWN(Table15[[#This Row],[R-DEMAND]]/1320,0)</f>
        <v>0</v>
      </c>
      <c r="Y406" s="251">
        <f>IFERROR(Table15[[#This Row],[ADD ACC
(660/1320)]]*Table15[[#This Row],[Duration
(B744)]],0)</f>
        <v>0</v>
      </c>
      <c r="Z406" s="251"/>
    </row>
    <row r="407" spans="1:26" ht="15.75" customHeight="1" x14ac:dyDescent="0.25">
      <c r="A407" s="210" t="s">
        <v>15176</v>
      </c>
      <c r="B407" s="204" t="s">
        <v>5179</v>
      </c>
      <c r="C407" s="204"/>
      <c r="D407" s="205">
        <v>3</v>
      </c>
      <c r="E407" s="204" t="s">
        <v>13119</v>
      </c>
      <c r="F407" s="204" t="str">
        <f>VLOOKUP(E407,Table10[[COUNTRY NAME]:[CONTINENT CODE]],3,FALSE)</f>
        <v>NA</v>
      </c>
      <c r="G407" s="206" t="s">
        <v>13146</v>
      </c>
      <c r="H407" s="207">
        <v>14155</v>
      </c>
      <c r="I407" s="208">
        <v>33.5</v>
      </c>
      <c r="J407" s="345"/>
      <c r="K407" s="345">
        <f>IFERROR(Table15[[#This Row],[ROUTE $]]/Table15[[#This Row],[E - DEMAND]],0)</f>
        <v>0</v>
      </c>
      <c r="L407" s="204"/>
      <c r="M407" s="412">
        <f>IFERROR(VLOOKUP(Table15[[#This Row],[ROUTE]],DEMAND!A:F,5,FALSE),0)</f>
        <v>0</v>
      </c>
      <c r="N407" s="16">
        <f>IFERROR(VLOOKUP(Table15[[#This Row],[ROUTE]],DEMAND!A:F,6,FALSE),0)</f>
        <v>0</v>
      </c>
      <c r="O407" s="16">
        <f>IFERROR(ROUNDDOWN(Table15[[#This Row],[R-DEMAND]]/1706,0),0)</f>
        <v>0</v>
      </c>
      <c r="P407" s="16">
        <f>IFERROR(Table15[[#This Row],[ADD ACC]]*Table15[[#This Row],[RT TIME 
(380-800)]],0)</f>
        <v>0</v>
      </c>
      <c r="Q407" s="415">
        <f>IFERROR(VLOOKUP(Table15[[#This Row],[ROUTE]],PRICING!A:B,2,FALSE),0)</f>
        <v>0</v>
      </c>
      <c r="R407" s="235">
        <f>IFERROR(Table15[[#This Row],[C_DEMAND]]-Table15[[#This Row],[R-DEMAND]],0)</f>
        <v>0</v>
      </c>
      <c r="S407" s="408">
        <f t="shared" si="6"/>
        <v>0</v>
      </c>
      <c r="T407" s="419">
        <f>Table15[[#This Row],[R-DEMAND]]-(Table15[[#This Row],[ADD ACC]]*1706)</f>
        <v>0</v>
      </c>
      <c r="U407" s="419">
        <f>ROUNDDOWN(Table15[[#This Row],[Column1]]/1360,0)</f>
        <v>0</v>
      </c>
      <c r="V407" s="419"/>
      <c r="W407" s="349"/>
      <c r="X407" s="349"/>
      <c r="Y407" s="349"/>
      <c r="Z407" s="349"/>
    </row>
    <row r="408" spans="1:26" ht="15.75" customHeight="1" x14ac:dyDescent="0.25">
      <c r="A408" s="210" t="s">
        <v>15220</v>
      </c>
      <c r="B408" s="204" t="s">
        <v>4993</v>
      </c>
      <c r="C408" s="204"/>
      <c r="D408" s="205">
        <v>3</v>
      </c>
      <c r="E408" s="204" t="s">
        <v>4991</v>
      </c>
      <c r="F408" s="204" t="str">
        <f>VLOOKUP(E408,Table10[[COUNTRY NAME]:[CONTINENT CODE]],3,FALSE)</f>
        <v>NA</v>
      </c>
      <c r="G408" s="206" t="s">
        <v>13147</v>
      </c>
      <c r="H408" s="207">
        <v>13693</v>
      </c>
      <c r="I408" s="208">
        <v>32.5</v>
      </c>
      <c r="J408" s="345"/>
      <c r="K408" s="345">
        <f>IFERROR(Table15[[#This Row],[ROUTE $]]/Table15[[#This Row],[E - DEMAND]],0)</f>
        <v>0</v>
      </c>
      <c r="L408" s="204"/>
      <c r="M408" s="412">
        <f>IFERROR(VLOOKUP(Table15[[#This Row],[ROUTE]],DEMAND!A:F,5,FALSE),0)</f>
        <v>0</v>
      </c>
      <c r="N408" s="16">
        <f>IFERROR(VLOOKUP(Table15[[#This Row],[ROUTE]],DEMAND!A:F,6,FALSE),0)</f>
        <v>0</v>
      </c>
      <c r="O408" s="16">
        <f>IFERROR(ROUNDDOWN(Table15[[#This Row],[R-DEMAND]]/1706,0),0)</f>
        <v>0</v>
      </c>
      <c r="P408" s="16">
        <f>IFERROR(Table15[[#This Row],[ADD ACC]]*Table15[[#This Row],[RT TIME 
(380-800)]],0)</f>
        <v>0</v>
      </c>
      <c r="Q408" s="415">
        <f>IFERROR(VLOOKUP(Table15[[#This Row],[ROUTE]],PRICING!A:B,2,FALSE),0)</f>
        <v>0</v>
      </c>
      <c r="R408" s="235">
        <f>IFERROR(Table15[[#This Row],[C_DEMAND]]-Table15[[#This Row],[R-DEMAND]],0)</f>
        <v>0</v>
      </c>
      <c r="S408" s="408">
        <f t="shared" si="6"/>
        <v>0</v>
      </c>
      <c r="T408" s="419">
        <f>Table15[[#This Row],[R-DEMAND]]-(Table15[[#This Row],[ADD ACC]]*1706)</f>
        <v>0</v>
      </c>
      <c r="U408" s="419">
        <f>ROUNDDOWN(Table15[[#This Row],[Column1]]/1360,0)</f>
        <v>0</v>
      </c>
      <c r="V408" s="419"/>
      <c r="W408" s="349"/>
      <c r="X408" s="349"/>
      <c r="Y408" s="349"/>
      <c r="Z408" s="349"/>
    </row>
    <row r="409" spans="1:26" ht="15.75" customHeight="1" x14ac:dyDescent="0.25">
      <c r="A409" s="210" t="s">
        <v>15324</v>
      </c>
      <c r="B409" s="204" t="s">
        <v>4406</v>
      </c>
      <c r="C409" s="204"/>
      <c r="D409" s="205">
        <v>2</v>
      </c>
      <c r="E409" s="16" t="s">
        <v>11732</v>
      </c>
      <c r="F409" s="204" t="str">
        <f>VLOOKUP(E409,Table10[[COUNTRY NAME]:[CONTINENT CODE]],3,FALSE)</f>
        <v>NA - US</v>
      </c>
      <c r="G409" s="206" t="s">
        <v>13333</v>
      </c>
      <c r="H409" s="207">
        <v>11923</v>
      </c>
      <c r="I409" s="208">
        <v>28.5</v>
      </c>
      <c r="J409" s="345"/>
      <c r="K409" s="345">
        <f>IFERROR(Table15[[#This Row],[ROUTE $]]/Table15[[#This Row],[E - DEMAND]],0)</f>
        <v>0</v>
      </c>
      <c r="L409" s="204"/>
      <c r="M409" s="412">
        <f>IFERROR(VLOOKUP(Table15[[#This Row],[ROUTE]],DEMAND!A:F,5,FALSE),0)</f>
        <v>0</v>
      </c>
      <c r="N409" s="16">
        <f>IFERROR(VLOOKUP(Table15[[#This Row],[ROUTE]],DEMAND!A:F,6,FALSE),0)</f>
        <v>0</v>
      </c>
      <c r="O409" s="16">
        <f>IFERROR(ROUNDDOWN(Table15[[#This Row],[R-DEMAND]]/1706,0),0)</f>
        <v>0</v>
      </c>
      <c r="P409" s="16">
        <f>IFERROR(Table15[[#This Row],[ADD ACC]]*Table15[[#This Row],[RT TIME 
(380-800)]],0)</f>
        <v>0</v>
      </c>
      <c r="Q409" s="415">
        <f>IFERROR(VLOOKUP(Table15[[#This Row],[ROUTE]],PRICING!A:B,2,FALSE),0)</f>
        <v>0</v>
      </c>
      <c r="R409" s="235">
        <f>IFERROR(Table15[[#This Row],[C_DEMAND]]-Table15[[#This Row],[R-DEMAND]],0)</f>
        <v>0</v>
      </c>
      <c r="S409" s="408">
        <f t="shared" si="6"/>
        <v>0</v>
      </c>
      <c r="T409" s="419">
        <f>Table15[[#This Row],[R-DEMAND]]-(Table15[[#This Row],[ADD ACC]]*1706)</f>
        <v>0</v>
      </c>
      <c r="U409" s="419">
        <f>ROUNDDOWN(Table15[[#This Row],[Column1]]/1360,0)</f>
        <v>0</v>
      </c>
      <c r="V409" s="419"/>
      <c r="W409" s="251">
        <v>28.5</v>
      </c>
      <c r="X409" s="251">
        <f>ROUNDDOWN(Table15[[#This Row],[R-DEMAND]]/1320,0)</f>
        <v>0</v>
      </c>
      <c r="Y409" s="251">
        <f>IFERROR(Table15[[#This Row],[ADD ACC
(660/1320)]]*Table15[[#This Row],[Duration
(B744)]],0)</f>
        <v>0</v>
      </c>
      <c r="Z409" s="251"/>
    </row>
    <row r="410" spans="1:26" ht="15.75" customHeight="1" x14ac:dyDescent="0.25">
      <c r="A410" s="341" t="s">
        <v>18200</v>
      </c>
      <c r="B410" s="212" t="s">
        <v>4766</v>
      </c>
      <c r="C410" s="212"/>
      <c r="D410" s="226">
        <v>3</v>
      </c>
      <c r="E410" s="226" t="s">
        <v>514</v>
      </c>
      <c r="F410" s="212" t="s">
        <v>12688</v>
      </c>
      <c r="G410" s="226" t="s">
        <v>16938</v>
      </c>
      <c r="H410" s="343">
        <v>12246</v>
      </c>
      <c r="I410" s="342"/>
      <c r="J410" s="346"/>
      <c r="K410" s="345">
        <f>IFERROR(Table15[[#This Row],[ROUTE $]]/Table15[[#This Row],[E - DEMAND]],0)</f>
        <v>0</v>
      </c>
      <c r="L410" s="212"/>
      <c r="M410" s="413">
        <f>IFERROR(VLOOKUP(Table15[[#This Row],[ROUTE]],DEMAND!A:F,5,FALSE),0)</f>
        <v>0</v>
      </c>
      <c r="N410" s="251">
        <f>IFERROR(VLOOKUP(Table15[[#This Row],[ROUTE]],DEMAND!A:F,6,FALSE),0)</f>
        <v>0</v>
      </c>
      <c r="O410" s="349"/>
      <c r="P410" s="349"/>
      <c r="Q410" s="416">
        <f>IFERROR(VLOOKUP(Table15[[#This Row],[ROUTE]],PRICING!A:B,2,FALSE),0)</f>
        <v>0</v>
      </c>
      <c r="R410" s="409">
        <f>IFERROR(Table15[[#This Row],[C_DEMAND]]-Table15[[#This Row],[R-DEMAND]],0)</f>
        <v>0</v>
      </c>
      <c r="S410" s="410">
        <f t="shared" si="6"/>
        <v>0</v>
      </c>
      <c r="T410" s="420">
        <f>Table15[[#This Row],[R-DEMAND]]-(Table15[[#This Row],[ADD ACC]]*1706)</f>
        <v>0</v>
      </c>
      <c r="U410" s="420">
        <f>ROUNDDOWN(Table15[[#This Row],[Column1]]/1360,0)</f>
        <v>0</v>
      </c>
      <c r="V410" s="420"/>
      <c r="W410" s="349"/>
      <c r="X410" s="349"/>
      <c r="Y410" s="349"/>
      <c r="Z410" s="349"/>
    </row>
    <row r="411" spans="1:26" ht="15.75" customHeight="1" x14ac:dyDescent="0.25">
      <c r="A411" s="210" t="s">
        <v>15328</v>
      </c>
      <c r="B411" s="204" t="s">
        <v>4032</v>
      </c>
      <c r="C411" s="204"/>
      <c r="D411" s="205">
        <v>2</v>
      </c>
      <c r="E411" s="204" t="s">
        <v>523</v>
      </c>
      <c r="F411" s="204" t="str">
        <f>VLOOKUP(E411,Table10[[COUNTRY NAME]:[CONTINENT CODE]],3,FALSE)</f>
        <v>OC</v>
      </c>
      <c r="G411" s="206" t="s">
        <v>11972</v>
      </c>
      <c r="H411" s="207">
        <v>11123</v>
      </c>
      <c r="I411" s="208">
        <v>26.75</v>
      </c>
      <c r="J411" s="345"/>
      <c r="K411" s="345">
        <f>IFERROR(Table15[[#This Row],[ROUTE $]]/Table15[[#This Row],[E - DEMAND]],0)</f>
        <v>0</v>
      </c>
      <c r="L411" s="204"/>
      <c r="M411" s="412">
        <f>IFERROR(VLOOKUP(Table15[[#This Row],[ROUTE]],DEMAND!A:F,5,FALSE),0)</f>
        <v>0</v>
      </c>
      <c r="N411" s="16">
        <f>IFERROR(VLOOKUP(Table15[[#This Row],[ROUTE]],DEMAND!A:F,6,FALSE),0)</f>
        <v>0</v>
      </c>
      <c r="O411" s="16">
        <f>IFERROR(ROUNDDOWN(Table15[[#This Row],[R-DEMAND]]/1706,0),0)</f>
        <v>0</v>
      </c>
      <c r="P411" s="16">
        <f>IFERROR(Table15[[#This Row],[ADD ACC]]*Table15[[#This Row],[RT TIME 
(380-800)]],0)</f>
        <v>0</v>
      </c>
      <c r="Q411" s="415">
        <f>IFERROR(VLOOKUP(Table15[[#This Row],[ROUTE]],PRICING!A:B,2,FALSE),0)</f>
        <v>0</v>
      </c>
      <c r="R411" s="235">
        <f>IFERROR(Table15[[#This Row],[C_DEMAND]]-Table15[[#This Row],[R-DEMAND]],0)</f>
        <v>0</v>
      </c>
      <c r="S411" s="408">
        <f t="shared" si="6"/>
        <v>0</v>
      </c>
      <c r="T411" s="419">
        <f>Table15[[#This Row],[R-DEMAND]]-(Table15[[#This Row],[ADD ACC]]*1706)</f>
        <v>0</v>
      </c>
      <c r="U411" s="419">
        <f>ROUNDDOWN(Table15[[#This Row],[Column1]]/1360,0)</f>
        <v>0</v>
      </c>
      <c r="V411" s="419"/>
      <c r="W411" s="251">
        <v>26.75</v>
      </c>
      <c r="X411" s="251">
        <f>ROUNDDOWN(Table15[[#This Row],[R-DEMAND]]/1320,0)</f>
        <v>0</v>
      </c>
      <c r="Y411" s="251">
        <f>IFERROR(Table15[[#This Row],[ADD ACC
(660/1320)]]*Table15[[#This Row],[Duration
(B744)]],0)</f>
        <v>0</v>
      </c>
      <c r="Z411" s="251"/>
    </row>
    <row r="412" spans="1:26" ht="15.75" customHeight="1" x14ac:dyDescent="0.25">
      <c r="A412" s="341" t="s">
        <v>18207</v>
      </c>
      <c r="B412" s="212" t="s">
        <v>5238</v>
      </c>
      <c r="C412" s="212"/>
      <c r="D412" s="226">
        <v>3</v>
      </c>
      <c r="E412" s="226" t="s">
        <v>514</v>
      </c>
      <c r="F412" s="212" t="s">
        <v>12688</v>
      </c>
      <c r="G412" s="226" t="s">
        <v>16987</v>
      </c>
      <c r="H412" s="343">
        <v>11646</v>
      </c>
      <c r="I412" s="342"/>
      <c r="J412" s="346"/>
      <c r="K412" s="345">
        <f>IFERROR(Table15[[#This Row],[ROUTE $]]/Table15[[#This Row],[E - DEMAND]],0)</f>
        <v>0</v>
      </c>
      <c r="L412" s="212"/>
      <c r="M412" s="413">
        <f>IFERROR(VLOOKUP(Table15[[#This Row],[ROUTE]],DEMAND!A:F,5,FALSE),0)</f>
        <v>0</v>
      </c>
      <c r="N412" s="251">
        <f>IFERROR(VLOOKUP(Table15[[#This Row],[ROUTE]],DEMAND!A:F,6,FALSE),0)</f>
        <v>0</v>
      </c>
      <c r="O412" s="349"/>
      <c r="P412" s="349"/>
      <c r="Q412" s="416">
        <f>IFERROR(VLOOKUP(Table15[[#This Row],[ROUTE]],PRICING!A:B,2,FALSE),0)</f>
        <v>0</v>
      </c>
      <c r="R412" s="409">
        <f>IFERROR(Table15[[#This Row],[C_DEMAND]]-Table15[[#This Row],[R-DEMAND]],0)</f>
        <v>0</v>
      </c>
      <c r="S412" s="410">
        <f t="shared" si="6"/>
        <v>0</v>
      </c>
      <c r="T412" s="420">
        <f>Table15[[#This Row],[R-DEMAND]]-(Table15[[#This Row],[ADD ACC]]*1706)</f>
        <v>0</v>
      </c>
      <c r="U412" s="420">
        <f>ROUNDDOWN(Table15[[#This Row],[Column1]]/1360,0)</f>
        <v>0</v>
      </c>
      <c r="V412" s="420"/>
      <c r="W412" s="349"/>
      <c r="X412" s="349"/>
      <c r="Y412" s="349"/>
      <c r="Z412" s="349"/>
    </row>
    <row r="413" spans="1:26" ht="15.75" customHeight="1" x14ac:dyDescent="0.25">
      <c r="A413" s="210" t="s">
        <v>15190</v>
      </c>
      <c r="B413" s="204" t="s">
        <v>4977</v>
      </c>
      <c r="C413" s="204"/>
      <c r="D413" s="205">
        <v>3</v>
      </c>
      <c r="E413" s="204" t="s">
        <v>2791</v>
      </c>
      <c r="F413" s="204" t="str">
        <f>VLOOKUP(E413,Table10[[COUNTRY NAME]:[CONTINENT CODE]],3,FALSE)</f>
        <v>NA</v>
      </c>
      <c r="G413" s="206" t="s">
        <v>13199</v>
      </c>
      <c r="H413" s="207">
        <v>14065</v>
      </c>
      <c r="I413" s="208">
        <v>33.25</v>
      </c>
      <c r="J413" s="345"/>
      <c r="K413" s="345">
        <f>IFERROR(Table15[[#This Row],[ROUTE $]]/Table15[[#This Row],[E - DEMAND]],0)</f>
        <v>0</v>
      </c>
      <c r="L413" s="204"/>
      <c r="M413" s="412">
        <f>IFERROR(VLOOKUP(Table15[[#This Row],[ROUTE]],DEMAND!A:F,5,FALSE),0)</f>
        <v>0</v>
      </c>
      <c r="N413" s="16">
        <f>IFERROR(VLOOKUP(Table15[[#This Row],[ROUTE]],DEMAND!A:F,6,FALSE),0)</f>
        <v>0</v>
      </c>
      <c r="O413" s="16">
        <f>IFERROR(ROUNDDOWN(Table15[[#This Row],[R-DEMAND]]/1706,0),0)</f>
        <v>0</v>
      </c>
      <c r="P413" s="16">
        <f>IFERROR(Table15[[#This Row],[ADD ACC]]*Table15[[#This Row],[RT TIME 
(380-800)]],0)</f>
        <v>0</v>
      </c>
      <c r="Q413" s="415">
        <f>IFERROR(VLOOKUP(Table15[[#This Row],[ROUTE]],PRICING!A:B,2,FALSE),0)</f>
        <v>0</v>
      </c>
      <c r="R413" s="235">
        <f>IFERROR(Table15[[#This Row],[C_DEMAND]]-Table15[[#This Row],[R-DEMAND]],0)</f>
        <v>0</v>
      </c>
      <c r="S413" s="408">
        <f t="shared" si="6"/>
        <v>0</v>
      </c>
      <c r="T413" s="419">
        <f>Table15[[#This Row],[R-DEMAND]]-(Table15[[#This Row],[ADD ACC]]*1706)</f>
        <v>0</v>
      </c>
      <c r="U413" s="419">
        <f>ROUNDDOWN(Table15[[#This Row],[Column1]]/1360,0)</f>
        <v>0</v>
      </c>
      <c r="V413" s="419"/>
      <c r="W413" s="349"/>
      <c r="X413" s="349"/>
      <c r="Y413" s="349"/>
      <c r="Z413" s="349"/>
    </row>
    <row r="414" spans="1:26" ht="15.75" customHeight="1" x14ac:dyDescent="0.25">
      <c r="A414" s="210" t="s">
        <v>15171</v>
      </c>
      <c r="B414" s="204" t="s">
        <v>5147</v>
      </c>
      <c r="C414" s="204"/>
      <c r="D414" s="205">
        <v>3</v>
      </c>
      <c r="E414" s="204" t="s">
        <v>2791</v>
      </c>
      <c r="F414" s="204" t="str">
        <f>VLOOKUP(E414,Table10[[COUNTRY NAME]:[CONTINENT CODE]],3,FALSE)</f>
        <v>NA</v>
      </c>
      <c r="G414" s="206" t="s">
        <v>13197</v>
      </c>
      <c r="H414" s="207">
        <v>14177</v>
      </c>
      <c r="I414" s="208">
        <v>33.5</v>
      </c>
      <c r="J414" s="345"/>
      <c r="K414" s="345">
        <f>IFERROR(Table15[[#This Row],[ROUTE $]]/Table15[[#This Row],[E - DEMAND]],0)</f>
        <v>0</v>
      </c>
      <c r="L414" s="204"/>
      <c r="M414" s="412">
        <f>IFERROR(VLOOKUP(Table15[[#This Row],[ROUTE]],DEMAND!A:F,5,FALSE),0)</f>
        <v>0</v>
      </c>
      <c r="N414" s="16">
        <f>IFERROR(VLOOKUP(Table15[[#This Row],[ROUTE]],DEMAND!A:F,6,FALSE),0)</f>
        <v>0</v>
      </c>
      <c r="O414" s="16">
        <f>IFERROR(ROUNDDOWN(Table15[[#This Row],[R-DEMAND]]/1706,0),0)</f>
        <v>0</v>
      </c>
      <c r="P414" s="16">
        <f>IFERROR(Table15[[#This Row],[ADD ACC]]*Table15[[#This Row],[RT TIME 
(380-800)]],0)</f>
        <v>0</v>
      </c>
      <c r="Q414" s="415">
        <f>IFERROR(VLOOKUP(Table15[[#This Row],[ROUTE]],PRICING!A:B,2,FALSE),0)</f>
        <v>0</v>
      </c>
      <c r="R414" s="235">
        <f>IFERROR(Table15[[#This Row],[C_DEMAND]]-Table15[[#This Row],[R-DEMAND]],0)</f>
        <v>0</v>
      </c>
      <c r="S414" s="408">
        <f t="shared" si="6"/>
        <v>0</v>
      </c>
      <c r="T414" s="419">
        <f>Table15[[#This Row],[R-DEMAND]]-(Table15[[#This Row],[ADD ACC]]*1706)</f>
        <v>0</v>
      </c>
      <c r="U414" s="419">
        <f>ROUNDDOWN(Table15[[#This Row],[Column1]]/1360,0)</f>
        <v>0</v>
      </c>
      <c r="V414" s="419"/>
      <c r="W414" s="349"/>
      <c r="X414" s="349"/>
      <c r="Y414" s="349"/>
      <c r="Z414" s="349"/>
    </row>
    <row r="415" spans="1:26" ht="15.75" customHeight="1" x14ac:dyDescent="0.25">
      <c r="A415" s="210" t="s">
        <v>15223</v>
      </c>
      <c r="B415" s="204" t="s">
        <v>4990</v>
      </c>
      <c r="C415" s="204"/>
      <c r="D415" s="205">
        <v>3</v>
      </c>
      <c r="E415" s="204" t="s">
        <v>4988</v>
      </c>
      <c r="F415" s="204" t="str">
        <f>VLOOKUP(E415,Table10[[COUNTRY NAME]:[CONTINENT CODE]],3,FALSE)</f>
        <v>NA</v>
      </c>
      <c r="G415" s="206" t="s">
        <v>13206</v>
      </c>
      <c r="H415" s="207">
        <v>13669</v>
      </c>
      <c r="I415" s="208">
        <v>32.5</v>
      </c>
      <c r="J415" s="345"/>
      <c r="K415" s="345">
        <f>IFERROR(Table15[[#This Row],[ROUTE $]]/Table15[[#This Row],[E - DEMAND]],0)</f>
        <v>0</v>
      </c>
      <c r="L415" s="204"/>
      <c r="M415" s="412">
        <f>IFERROR(VLOOKUP(Table15[[#This Row],[ROUTE]],DEMAND!A:F,5,FALSE),0)</f>
        <v>0</v>
      </c>
      <c r="N415" s="16">
        <f>IFERROR(VLOOKUP(Table15[[#This Row],[ROUTE]],DEMAND!A:F,6,FALSE),0)</f>
        <v>0</v>
      </c>
      <c r="O415" s="16">
        <f>IFERROR(ROUNDDOWN(Table15[[#This Row],[R-DEMAND]]/1706,0),0)</f>
        <v>0</v>
      </c>
      <c r="P415" s="16">
        <f>IFERROR(Table15[[#This Row],[ADD ACC]]*Table15[[#This Row],[RT TIME 
(380-800)]],0)</f>
        <v>0</v>
      </c>
      <c r="Q415" s="415">
        <f>IFERROR(VLOOKUP(Table15[[#This Row],[ROUTE]],PRICING!A:B,2,FALSE),0)</f>
        <v>0</v>
      </c>
      <c r="R415" s="235">
        <f>IFERROR(Table15[[#This Row],[C_DEMAND]]-Table15[[#This Row],[R-DEMAND]],0)</f>
        <v>0</v>
      </c>
      <c r="S415" s="408">
        <f t="shared" si="6"/>
        <v>0</v>
      </c>
      <c r="T415" s="419">
        <f>Table15[[#This Row],[R-DEMAND]]-(Table15[[#This Row],[ADD ACC]]*1706)</f>
        <v>0</v>
      </c>
      <c r="U415" s="419">
        <f>ROUNDDOWN(Table15[[#This Row],[Column1]]/1360,0)</f>
        <v>0</v>
      </c>
      <c r="V415" s="419"/>
      <c r="W415" s="349"/>
      <c r="X415" s="349"/>
      <c r="Y415" s="349"/>
      <c r="Z415" s="349"/>
    </row>
    <row r="416" spans="1:26" ht="15.75" customHeight="1" x14ac:dyDescent="0.25">
      <c r="A416" s="210" t="s">
        <v>15333</v>
      </c>
      <c r="B416" s="204" t="s">
        <v>5327</v>
      </c>
      <c r="C416" s="204"/>
      <c r="D416" s="205">
        <v>3</v>
      </c>
      <c r="E416" s="16" t="s">
        <v>11732</v>
      </c>
      <c r="F416" s="204" t="str">
        <f>VLOOKUP(E416,Table10[[COUNTRY NAME]:[CONTINENT CODE]],3,FALSE)</f>
        <v>NA - US</v>
      </c>
      <c r="G416" s="206" t="s">
        <v>11737</v>
      </c>
      <c r="H416" s="207">
        <v>10312</v>
      </c>
      <c r="I416" s="208">
        <v>25</v>
      </c>
      <c r="J416" s="345"/>
      <c r="K416" s="345">
        <f>IFERROR(Table15[[#This Row],[ROUTE $]]/Table15[[#This Row],[E - DEMAND]],0)</f>
        <v>0</v>
      </c>
      <c r="L416" s="204"/>
      <c r="M416" s="412">
        <f>IFERROR(VLOOKUP(Table15[[#This Row],[ROUTE]],DEMAND!A:F,5,FALSE),0)</f>
        <v>0</v>
      </c>
      <c r="N416" s="16">
        <f>IFERROR(VLOOKUP(Table15[[#This Row],[ROUTE]],DEMAND!A:F,6,FALSE),0)</f>
        <v>0</v>
      </c>
      <c r="O416" s="16">
        <f>IFERROR(ROUNDDOWN(Table15[[#This Row],[R-DEMAND]]/1706,0),0)</f>
        <v>0</v>
      </c>
      <c r="P416" s="16">
        <f>IFERROR(Table15[[#This Row],[ADD ACC]]*Table15[[#This Row],[RT TIME 
(380-800)]],0)</f>
        <v>0</v>
      </c>
      <c r="Q416" s="415">
        <f>IFERROR(VLOOKUP(Table15[[#This Row],[ROUTE]],PRICING!A:B,2,FALSE),0)</f>
        <v>0</v>
      </c>
      <c r="R416" s="235">
        <f>IFERROR(Table15[[#This Row],[C_DEMAND]]-Table15[[#This Row],[R-DEMAND]],0)</f>
        <v>0</v>
      </c>
      <c r="S416" s="408">
        <f t="shared" si="6"/>
        <v>0</v>
      </c>
      <c r="T416" s="419">
        <f>Table15[[#This Row],[R-DEMAND]]-(Table15[[#This Row],[ADD ACC]]*1706)</f>
        <v>0</v>
      </c>
      <c r="U416" s="419">
        <f>ROUNDDOWN(Table15[[#This Row],[Column1]]/1360,0)</f>
        <v>0</v>
      </c>
      <c r="V416" s="419"/>
      <c r="W416" s="251">
        <v>25</v>
      </c>
      <c r="X416" s="251">
        <f>ROUNDDOWN(Table15[[#This Row],[R-DEMAND]]/1320,0)</f>
        <v>0</v>
      </c>
      <c r="Y416" s="251">
        <f>IFERROR(Table15[[#This Row],[ADD ACC
(660/1320)]]*Table15[[#This Row],[Duration
(B744)]],0)</f>
        <v>0</v>
      </c>
      <c r="Z416" s="251"/>
    </row>
    <row r="417" spans="1:26" ht="15.75" customHeight="1" x14ac:dyDescent="0.25">
      <c r="A417" s="210" t="s">
        <v>15334</v>
      </c>
      <c r="B417" s="204" t="s">
        <v>5377</v>
      </c>
      <c r="C417" s="204"/>
      <c r="D417" s="205">
        <v>3</v>
      </c>
      <c r="E417" s="16" t="s">
        <v>11732</v>
      </c>
      <c r="F417" s="204" t="str">
        <f>VLOOKUP(E417,Table10[[COUNTRY NAME]:[CONTINENT CODE]],3,FALSE)</f>
        <v>NA - US</v>
      </c>
      <c r="G417" s="206" t="s">
        <v>10380</v>
      </c>
      <c r="H417" s="207">
        <v>10240</v>
      </c>
      <c r="I417" s="208">
        <v>24.75</v>
      </c>
      <c r="J417" s="345"/>
      <c r="K417" s="345">
        <f>IFERROR(Table15[[#This Row],[ROUTE $]]/Table15[[#This Row],[E - DEMAND]],0)</f>
        <v>0</v>
      </c>
      <c r="L417" s="204"/>
      <c r="M417" s="412">
        <f>IFERROR(VLOOKUP(Table15[[#This Row],[ROUTE]],DEMAND!A:F,5,FALSE),0)</f>
        <v>0</v>
      </c>
      <c r="N417" s="16">
        <f>IFERROR(VLOOKUP(Table15[[#This Row],[ROUTE]],DEMAND!A:F,6,FALSE),0)</f>
        <v>0</v>
      </c>
      <c r="O417" s="16">
        <f>IFERROR(ROUNDDOWN(Table15[[#This Row],[R-DEMAND]]/1706,0),0)</f>
        <v>0</v>
      </c>
      <c r="P417" s="16">
        <f>IFERROR(Table15[[#This Row],[ADD ACC]]*Table15[[#This Row],[RT TIME 
(380-800)]],0)</f>
        <v>0</v>
      </c>
      <c r="Q417" s="415">
        <f>IFERROR(VLOOKUP(Table15[[#This Row],[ROUTE]],PRICING!A:B,2,FALSE),0)</f>
        <v>0</v>
      </c>
      <c r="R417" s="235">
        <f>IFERROR(Table15[[#This Row],[C_DEMAND]]-Table15[[#This Row],[R-DEMAND]],0)</f>
        <v>0</v>
      </c>
      <c r="S417" s="408">
        <f t="shared" si="6"/>
        <v>0</v>
      </c>
      <c r="T417" s="419">
        <f>Table15[[#This Row],[R-DEMAND]]-(Table15[[#This Row],[ADD ACC]]*1706)</f>
        <v>0</v>
      </c>
      <c r="U417" s="419">
        <f>ROUNDDOWN(Table15[[#This Row],[Column1]]/1360,0)</f>
        <v>0</v>
      </c>
      <c r="V417" s="419"/>
      <c r="W417" s="251">
        <v>24.75</v>
      </c>
      <c r="X417" s="251">
        <f>ROUNDDOWN(Table15[[#This Row],[R-DEMAND]]/1320,0)</f>
        <v>0</v>
      </c>
      <c r="Y417" s="251">
        <f>IFERROR(Table15[[#This Row],[ADD ACC
(660/1320)]]*Table15[[#This Row],[Duration
(B744)]],0)</f>
        <v>0</v>
      </c>
      <c r="Z417" s="251"/>
    </row>
    <row r="418" spans="1:26" ht="15.75" customHeight="1" x14ac:dyDescent="0.25">
      <c r="A418" s="210" t="s">
        <v>15336</v>
      </c>
      <c r="B418" s="204" t="s">
        <v>4475</v>
      </c>
      <c r="C418" s="204"/>
      <c r="D418" s="205">
        <v>2</v>
      </c>
      <c r="E418" s="16" t="s">
        <v>11732</v>
      </c>
      <c r="F418" s="204" t="str">
        <f>VLOOKUP(E418,Table10[[COUNTRY NAME]:[CONTINENT CODE]],3,FALSE)</f>
        <v>NA - US</v>
      </c>
      <c r="G418" s="206" t="s">
        <v>11733</v>
      </c>
      <c r="H418" s="207">
        <v>10066</v>
      </c>
      <c r="I418" s="208">
        <v>24.5</v>
      </c>
      <c r="J418" s="345"/>
      <c r="K418" s="345">
        <f>IFERROR(Table15[[#This Row],[ROUTE $]]/Table15[[#This Row],[E - DEMAND]],0)</f>
        <v>0</v>
      </c>
      <c r="L418" s="204"/>
      <c r="M418" s="412">
        <f>IFERROR(VLOOKUP(Table15[[#This Row],[ROUTE]],DEMAND!A:F,5,FALSE),0)</f>
        <v>0</v>
      </c>
      <c r="N418" s="16">
        <f>IFERROR(VLOOKUP(Table15[[#This Row],[ROUTE]],DEMAND!A:F,6,FALSE),0)</f>
        <v>0</v>
      </c>
      <c r="O418" s="16">
        <f>IFERROR(ROUNDDOWN(Table15[[#This Row],[R-DEMAND]]/1706,0),0)</f>
        <v>0</v>
      </c>
      <c r="P418" s="16">
        <f>IFERROR(Table15[[#This Row],[ADD ACC]]*Table15[[#This Row],[RT TIME 
(380-800)]],0)</f>
        <v>0</v>
      </c>
      <c r="Q418" s="415">
        <f>IFERROR(VLOOKUP(Table15[[#This Row],[ROUTE]],PRICING!A:B,2,FALSE),0)</f>
        <v>0</v>
      </c>
      <c r="R418" s="235">
        <f>IFERROR(Table15[[#This Row],[C_DEMAND]]-Table15[[#This Row],[R-DEMAND]],0)</f>
        <v>0</v>
      </c>
      <c r="S418" s="408">
        <f t="shared" si="6"/>
        <v>0</v>
      </c>
      <c r="T418" s="419">
        <f>Table15[[#This Row],[R-DEMAND]]-(Table15[[#This Row],[ADD ACC]]*1706)</f>
        <v>0</v>
      </c>
      <c r="U418" s="419">
        <f>ROUNDDOWN(Table15[[#This Row],[Column1]]/1360,0)</f>
        <v>0</v>
      </c>
      <c r="V418" s="419"/>
      <c r="W418" s="251">
        <v>24.5</v>
      </c>
      <c r="X418" s="251">
        <f>ROUNDDOWN(Table15[[#This Row],[R-DEMAND]]/1320,0)</f>
        <v>0</v>
      </c>
      <c r="Y418" s="251">
        <f>IFERROR(Table15[[#This Row],[ADD ACC
(660/1320)]]*Table15[[#This Row],[Duration
(B744)]],0)</f>
        <v>0</v>
      </c>
      <c r="Z418" s="251"/>
    </row>
    <row r="419" spans="1:26" ht="15.75" customHeight="1" x14ac:dyDescent="0.25">
      <c r="A419" s="210" t="s">
        <v>15339</v>
      </c>
      <c r="B419" s="204" t="s">
        <v>4570</v>
      </c>
      <c r="C419" s="204"/>
      <c r="D419" s="205">
        <v>2</v>
      </c>
      <c r="E419" s="204" t="s">
        <v>886</v>
      </c>
      <c r="F419" s="204" t="str">
        <f>VLOOKUP(E419,Table10[[COUNTRY NAME]:[CONTINENT CODE]],3,FALSE)</f>
        <v>AF</v>
      </c>
      <c r="G419" s="206" t="s">
        <v>13176</v>
      </c>
      <c r="H419" s="207">
        <v>9994</v>
      </c>
      <c r="I419" s="208">
        <v>24.25</v>
      </c>
      <c r="J419" s="345"/>
      <c r="K419" s="345">
        <f>IFERROR(Table15[[#This Row],[ROUTE $]]/Table15[[#This Row],[E - DEMAND]],0)</f>
        <v>0</v>
      </c>
      <c r="L419" s="204"/>
      <c r="M419" s="412">
        <f>IFERROR(VLOOKUP(Table15[[#This Row],[ROUTE]],DEMAND!A:F,5,FALSE),0)</f>
        <v>0</v>
      </c>
      <c r="N419" s="16">
        <f>IFERROR(VLOOKUP(Table15[[#This Row],[ROUTE]],DEMAND!A:F,6,FALSE),0)</f>
        <v>0</v>
      </c>
      <c r="O419" s="16">
        <f>IFERROR(ROUNDDOWN(Table15[[#This Row],[R-DEMAND]]/1706,0),0)</f>
        <v>0</v>
      </c>
      <c r="P419" s="16">
        <f>IFERROR(Table15[[#This Row],[ADD ACC]]*Table15[[#This Row],[RT TIME 
(380-800)]],0)</f>
        <v>0</v>
      </c>
      <c r="Q419" s="415">
        <f>IFERROR(VLOOKUP(Table15[[#This Row],[ROUTE]],PRICING!A:B,2,FALSE),0)</f>
        <v>0</v>
      </c>
      <c r="R419" s="235">
        <f>IFERROR(Table15[[#This Row],[C_DEMAND]]-Table15[[#This Row],[R-DEMAND]],0)</f>
        <v>0</v>
      </c>
      <c r="S419" s="408">
        <f t="shared" si="6"/>
        <v>0</v>
      </c>
      <c r="T419" s="419">
        <f>Table15[[#This Row],[R-DEMAND]]-(Table15[[#This Row],[ADD ACC]]*1706)</f>
        <v>0</v>
      </c>
      <c r="U419" s="419">
        <f>ROUNDDOWN(Table15[[#This Row],[Column1]]/1360,0)</f>
        <v>0</v>
      </c>
      <c r="V419" s="419"/>
      <c r="W419" s="251">
        <v>24.25</v>
      </c>
      <c r="X419" s="251">
        <f>ROUNDDOWN(Table15[[#This Row],[R-DEMAND]]/1320,0)</f>
        <v>0</v>
      </c>
      <c r="Y419" s="251">
        <f>IFERROR(Table15[[#This Row],[ADD ACC
(660/1320)]]*Table15[[#This Row],[Duration
(B744)]],0)</f>
        <v>0</v>
      </c>
      <c r="Z419" s="251"/>
    </row>
    <row r="420" spans="1:26" ht="15.75" customHeight="1" x14ac:dyDescent="0.25">
      <c r="A420" s="210" t="s">
        <v>15342</v>
      </c>
      <c r="B420" s="204" t="s">
        <v>3388</v>
      </c>
      <c r="C420" s="204"/>
      <c r="D420" s="205">
        <v>3</v>
      </c>
      <c r="E420" s="204" t="s">
        <v>733</v>
      </c>
      <c r="F420" s="204" t="str">
        <f>VLOOKUP(E420,Table10[[COUNTRY NAME]:[CONTINENT CODE]],3,FALSE)</f>
        <v>EU</v>
      </c>
      <c r="G420" s="210" t="s">
        <v>13245</v>
      </c>
      <c r="H420" s="207">
        <v>9517</v>
      </c>
      <c r="I420" s="208">
        <v>23.25</v>
      </c>
      <c r="J420" s="345"/>
      <c r="K420" s="345">
        <f>IFERROR(Table15[[#This Row],[ROUTE $]]/Table15[[#This Row],[E - DEMAND]],0)</f>
        <v>0</v>
      </c>
      <c r="L420" s="204"/>
      <c r="M420" s="412">
        <f>IFERROR(VLOOKUP(Table15[[#This Row],[ROUTE]],DEMAND!A:F,5,FALSE),0)</f>
        <v>0</v>
      </c>
      <c r="N420" s="16">
        <f>IFERROR(VLOOKUP(Table15[[#This Row],[ROUTE]],DEMAND!A:F,6,FALSE),0)</f>
        <v>0</v>
      </c>
      <c r="O420" s="16">
        <f>IFERROR(ROUNDDOWN(Table15[[#This Row],[R-DEMAND]]/1706,0),0)</f>
        <v>0</v>
      </c>
      <c r="P420" s="16">
        <f>IFERROR(Table15[[#This Row],[ADD ACC]]*Table15[[#This Row],[RT TIME 
(380-800)]],0)</f>
        <v>0</v>
      </c>
      <c r="Q420" s="415">
        <f>IFERROR(VLOOKUP(Table15[[#This Row],[ROUTE]],PRICING!A:B,2,FALSE),0)</f>
        <v>0</v>
      </c>
      <c r="R420" s="235">
        <f>IFERROR(Table15[[#This Row],[C_DEMAND]]-Table15[[#This Row],[R-DEMAND]],0)</f>
        <v>0</v>
      </c>
      <c r="S420" s="408">
        <f t="shared" si="6"/>
        <v>0</v>
      </c>
      <c r="T420" s="419">
        <f>Table15[[#This Row],[R-DEMAND]]-(Table15[[#This Row],[ADD ACC]]*1706)</f>
        <v>0</v>
      </c>
      <c r="U420" s="419">
        <f>ROUNDDOWN(Table15[[#This Row],[Column1]]/1360,0)</f>
        <v>0</v>
      </c>
      <c r="V420" s="419"/>
      <c r="W420" s="251">
        <v>23.25</v>
      </c>
      <c r="X420" s="251">
        <f>ROUNDDOWN(Table15[[#This Row],[R-DEMAND]]/1320,0)</f>
        <v>0</v>
      </c>
      <c r="Y420" s="251">
        <f>IFERROR(Table15[[#This Row],[ADD ACC
(660/1320)]]*Table15[[#This Row],[Duration
(B744)]],0)</f>
        <v>0</v>
      </c>
      <c r="Z420" s="251"/>
    </row>
    <row r="421" spans="1:26" ht="15.75" customHeight="1" x14ac:dyDescent="0.25">
      <c r="A421" s="210" t="s">
        <v>15343</v>
      </c>
      <c r="B421" s="204" t="s">
        <v>3726</v>
      </c>
      <c r="C421" s="204"/>
      <c r="D421" s="205">
        <v>2</v>
      </c>
      <c r="E421" s="204" t="s">
        <v>3724</v>
      </c>
      <c r="F421" s="204" t="str">
        <f>VLOOKUP(E421,Table10[[COUNTRY NAME]:[CONTINENT CODE]],3,FALSE)</f>
        <v>AF</v>
      </c>
      <c r="G421" s="206" t="s">
        <v>13205</v>
      </c>
      <c r="H421" s="207">
        <v>9479</v>
      </c>
      <c r="I421" s="208">
        <v>23</v>
      </c>
      <c r="J421" s="345"/>
      <c r="K421" s="345">
        <f>IFERROR(Table15[[#This Row],[ROUTE $]]/Table15[[#This Row],[E - DEMAND]],0)</f>
        <v>0</v>
      </c>
      <c r="L421" s="204"/>
      <c r="M421" s="412">
        <f>IFERROR(VLOOKUP(Table15[[#This Row],[ROUTE]],DEMAND!A:F,5,FALSE),0)</f>
        <v>0</v>
      </c>
      <c r="N421" s="16">
        <f>IFERROR(VLOOKUP(Table15[[#This Row],[ROUTE]],DEMAND!A:F,6,FALSE),0)</f>
        <v>0</v>
      </c>
      <c r="O421" s="16">
        <f>IFERROR(ROUNDDOWN(Table15[[#This Row],[R-DEMAND]]/1706,0),0)</f>
        <v>0</v>
      </c>
      <c r="P421" s="16">
        <f>IFERROR(Table15[[#This Row],[ADD ACC]]*Table15[[#This Row],[RT TIME 
(380-800)]],0)</f>
        <v>0</v>
      </c>
      <c r="Q421" s="415">
        <f>IFERROR(VLOOKUP(Table15[[#This Row],[ROUTE]],PRICING!A:B,2,FALSE),0)</f>
        <v>0</v>
      </c>
      <c r="R421" s="235">
        <f>IFERROR(Table15[[#This Row],[C_DEMAND]]-Table15[[#This Row],[R-DEMAND]],0)</f>
        <v>0</v>
      </c>
      <c r="S421" s="408">
        <f t="shared" si="6"/>
        <v>0</v>
      </c>
      <c r="T421" s="419">
        <f>Table15[[#This Row],[R-DEMAND]]-(Table15[[#This Row],[ADD ACC]]*1706)</f>
        <v>0</v>
      </c>
      <c r="U421" s="419">
        <f>ROUNDDOWN(Table15[[#This Row],[Column1]]/1360,0)</f>
        <v>0</v>
      </c>
      <c r="V421" s="419"/>
      <c r="W421" s="251">
        <v>23</v>
      </c>
      <c r="X421" s="251">
        <f>ROUNDDOWN(Table15[[#This Row],[R-DEMAND]]/1320,0)</f>
        <v>0</v>
      </c>
      <c r="Y421" s="251">
        <f>IFERROR(Table15[[#This Row],[ADD ACC
(660/1320)]]*Table15[[#This Row],[Duration
(B744)]],0)</f>
        <v>0</v>
      </c>
      <c r="Z421" s="251"/>
    </row>
    <row r="422" spans="1:26" ht="15.75" customHeight="1" x14ac:dyDescent="0.25">
      <c r="A422" s="341" t="s">
        <v>18124</v>
      </c>
      <c r="B422" s="212" t="s">
        <v>5223</v>
      </c>
      <c r="C422" s="212"/>
      <c r="D422" s="226">
        <v>3</v>
      </c>
      <c r="E422" s="226" t="s">
        <v>4894</v>
      </c>
      <c r="F422" s="212" t="s">
        <v>12688</v>
      </c>
      <c r="G422" s="226" t="s">
        <v>17031</v>
      </c>
      <c r="H422" s="343">
        <v>14761</v>
      </c>
      <c r="I422" s="342"/>
      <c r="J422" s="346"/>
      <c r="K422" s="345">
        <f>IFERROR(Table15[[#This Row],[ROUTE $]]/Table15[[#This Row],[E - DEMAND]],0)</f>
        <v>0</v>
      </c>
      <c r="L422" s="212"/>
      <c r="M422" s="413">
        <f>IFERROR(VLOOKUP(Table15[[#This Row],[ROUTE]],DEMAND!A:F,5,FALSE),0)</f>
        <v>0</v>
      </c>
      <c r="N422" s="251">
        <f>IFERROR(VLOOKUP(Table15[[#This Row],[ROUTE]],DEMAND!A:F,6,FALSE),0)</f>
        <v>0</v>
      </c>
      <c r="O422" s="349"/>
      <c r="P422" s="349"/>
      <c r="Q422" s="416">
        <f>IFERROR(VLOOKUP(Table15[[#This Row],[ROUTE]],PRICING!A:B,2,FALSE),0)</f>
        <v>0</v>
      </c>
      <c r="R422" s="409">
        <f>IFERROR(Table15[[#This Row],[C_DEMAND]]-Table15[[#This Row],[R-DEMAND]],0)</f>
        <v>0</v>
      </c>
      <c r="S422" s="410">
        <f t="shared" si="6"/>
        <v>0</v>
      </c>
      <c r="T422" s="420">
        <f>Table15[[#This Row],[R-DEMAND]]-(Table15[[#This Row],[ADD ACC]]*1706)</f>
        <v>0</v>
      </c>
      <c r="U422" s="420">
        <f>ROUNDDOWN(Table15[[#This Row],[Column1]]/1360,0)</f>
        <v>0</v>
      </c>
      <c r="V422" s="420"/>
      <c r="W422" s="349"/>
      <c r="X422" s="349"/>
      <c r="Y422" s="349"/>
      <c r="Z422" s="349"/>
    </row>
    <row r="423" spans="1:26" ht="15.75" customHeight="1" x14ac:dyDescent="0.25">
      <c r="A423" s="210" t="s">
        <v>15345</v>
      </c>
      <c r="B423" s="204" t="s">
        <v>2686</v>
      </c>
      <c r="C423" s="204"/>
      <c r="D423" s="205">
        <v>2</v>
      </c>
      <c r="E423" s="204" t="s">
        <v>733</v>
      </c>
      <c r="F423" s="204" t="str">
        <f>VLOOKUP(E423,Table10[[COUNTRY NAME]:[CONTINENT CODE]],3,FALSE)</f>
        <v>EU</v>
      </c>
      <c r="G423" s="210" t="s">
        <v>13246</v>
      </c>
      <c r="H423" s="207">
        <v>9428</v>
      </c>
      <c r="I423" s="208">
        <v>23</v>
      </c>
      <c r="J423" s="345"/>
      <c r="K423" s="345">
        <f>IFERROR(Table15[[#This Row],[ROUTE $]]/Table15[[#This Row],[E - DEMAND]],0)</f>
        <v>0</v>
      </c>
      <c r="L423" s="204"/>
      <c r="M423" s="412">
        <f>IFERROR(VLOOKUP(Table15[[#This Row],[ROUTE]],DEMAND!A:F,5,FALSE),0)</f>
        <v>0</v>
      </c>
      <c r="N423" s="16">
        <f>IFERROR(VLOOKUP(Table15[[#This Row],[ROUTE]],DEMAND!A:F,6,FALSE),0)</f>
        <v>0</v>
      </c>
      <c r="O423" s="16">
        <f>IFERROR(ROUNDDOWN(Table15[[#This Row],[R-DEMAND]]/1706,0),0)</f>
        <v>0</v>
      </c>
      <c r="P423" s="16">
        <f>IFERROR(Table15[[#This Row],[ADD ACC]]*Table15[[#This Row],[RT TIME 
(380-800)]],0)</f>
        <v>0</v>
      </c>
      <c r="Q423" s="415">
        <f>IFERROR(VLOOKUP(Table15[[#This Row],[ROUTE]],PRICING!A:B,2,FALSE),0)</f>
        <v>0</v>
      </c>
      <c r="R423" s="235">
        <f>IFERROR(Table15[[#This Row],[C_DEMAND]]-Table15[[#This Row],[R-DEMAND]],0)</f>
        <v>0</v>
      </c>
      <c r="S423" s="408">
        <f t="shared" si="6"/>
        <v>0</v>
      </c>
      <c r="T423" s="419">
        <f>Table15[[#This Row],[R-DEMAND]]-(Table15[[#This Row],[ADD ACC]]*1706)</f>
        <v>0</v>
      </c>
      <c r="U423" s="419">
        <f>ROUNDDOWN(Table15[[#This Row],[Column1]]/1360,0)</f>
        <v>0</v>
      </c>
      <c r="V423" s="419"/>
      <c r="W423" s="251">
        <v>23</v>
      </c>
      <c r="X423" s="251">
        <f>ROUNDDOWN(Table15[[#This Row],[R-DEMAND]]/1320,0)</f>
        <v>0</v>
      </c>
      <c r="Y423" s="251">
        <f>IFERROR(Table15[[#This Row],[ADD ACC
(660/1320)]]*Table15[[#This Row],[Duration
(B744)]],0)</f>
        <v>0</v>
      </c>
      <c r="Z423" s="251"/>
    </row>
    <row r="424" spans="1:26" ht="15.75" customHeight="1" x14ac:dyDescent="0.25">
      <c r="A424" s="210" t="s">
        <v>15346</v>
      </c>
      <c r="B424" s="204" t="s">
        <v>2024</v>
      </c>
      <c r="C424" s="204"/>
      <c r="D424" s="205">
        <v>1</v>
      </c>
      <c r="E424" s="204" t="s">
        <v>2022</v>
      </c>
      <c r="F424" s="204" t="str">
        <f>VLOOKUP(E424,Table10[[COUNTRY NAME]:[CONTINENT CODE]],3,FALSE)</f>
        <v>AF</v>
      </c>
      <c r="G424" s="206" t="s">
        <v>13208</v>
      </c>
      <c r="H424" s="207">
        <v>9427</v>
      </c>
      <c r="I424" s="208">
        <v>23</v>
      </c>
      <c r="J424" s="345"/>
      <c r="K424" s="345">
        <f>IFERROR(Table15[[#This Row],[ROUTE $]]/Table15[[#This Row],[E - DEMAND]],0)</f>
        <v>0</v>
      </c>
      <c r="L424" s="204"/>
      <c r="M424" s="412">
        <f>IFERROR(VLOOKUP(Table15[[#This Row],[ROUTE]],DEMAND!A:F,5,FALSE),0)</f>
        <v>0</v>
      </c>
      <c r="N424" s="16">
        <f>IFERROR(VLOOKUP(Table15[[#This Row],[ROUTE]],DEMAND!A:F,6,FALSE),0)</f>
        <v>0</v>
      </c>
      <c r="O424" s="16">
        <f>IFERROR(ROUNDDOWN(Table15[[#This Row],[R-DEMAND]]/1706,0),0)</f>
        <v>0</v>
      </c>
      <c r="P424" s="16">
        <f>IFERROR(Table15[[#This Row],[ADD ACC]]*Table15[[#This Row],[RT TIME 
(380-800)]],0)</f>
        <v>0</v>
      </c>
      <c r="Q424" s="415">
        <f>IFERROR(VLOOKUP(Table15[[#This Row],[ROUTE]],PRICING!A:B,2,FALSE),0)</f>
        <v>0</v>
      </c>
      <c r="R424" s="235">
        <f>IFERROR(Table15[[#This Row],[C_DEMAND]]-Table15[[#This Row],[R-DEMAND]],0)</f>
        <v>0</v>
      </c>
      <c r="S424" s="408">
        <f t="shared" si="6"/>
        <v>0</v>
      </c>
      <c r="T424" s="419">
        <f>Table15[[#This Row],[R-DEMAND]]-(Table15[[#This Row],[ADD ACC]]*1706)</f>
        <v>0</v>
      </c>
      <c r="U424" s="419">
        <f>ROUNDDOWN(Table15[[#This Row],[Column1]]/1360,0)</f>
        <v>0</v>
      </c>
      <c r="V424" s="419"/>
      <c r="W424" s="251">
        <v>23</v>
      </c>
      <c r="X424" s="251">
        <f>ROUNDDOWN(Table15[[#This Row],[R-DEMAND]]/1320,0)</f>
        <v>0</v>
      </c>
      <c r="Y424" s="251">
        <f>IFERROR(Table15[[#This Row],[ADD ACC
(660/1320)]]*Table15[[#This Row],[Duration
(B744)]],0)</f>
        <v>0</v>
      </c>
      <c r="Z424" s="251"/>
    </row>
    <row r="425" spans="1:26" ht="15.75" customHeight="1" x14ac:dyDescent="0.25">
      <c r="A425" s="210" t="s">
        <v>15349</v>
      </c>
      <c r="B425" s="204" t="s">
        <v>3148</v>
      </c>
      <c r="C425" s="204"/>
      <c r="D425" s="205">
        <v>2</v>
      </c>
      <c r="E425" s="204" t="s">
        <v>3146</v>
      </c>
      <c r="F425" s="204" t="str">
        <f>VLOOKUP(E425,Table10[[COUNTRY NAME]:[CONTINENT CODE]],3,FALSE)</f>
        <v>AF</v>
      </c>
      <c r="G425" s="206" t="s">
        <v>11668</v>
      </c>
      <c r="H425" s="207">
        <v>9287</v>
      </c>
      <c r="I425" s="208">
        <v>22.75</v>
      </c>
      <c r="J425" s="345"/>
      <c r="K425" s="345">
        <f>IFERROR(Table15[[#This Row],[ROUTE $]]/Table15[[#This Row],[E - DEMAND]],0)</f>
        <v>0</v>
      </c>
      <c r="L425" s="204"/>
      <c r="M425" s="412">
        <f>IFERROR(VLOOKUP(Table15[[#This Row],[ROUTE]],DEMAND!A:F,5,FALSE),0)</f>
        <v>0</v>
      </c>
      <c r="N425" s="16">
        <f>IFERROR(VLOOKUP(Table15[[#This Row],[ROUTE]],DEMAND!A:F,6,FALSE),0)</f>
        <v>0</v>
      </c>
      <c r="O425" s="16">
        <f>IFERROR(ROUNDDOWN(Table15[[#This Row],[R-DEMAND]]/1706,0),0)</f>
        <v>0</v>
      </c>
      <c r="P425" s="16">
        <f>IFERROR(Table15[[#This Row],[ADD ACC]]*Table15[[#This Row],[RT TIME 
(380-800)]],0)</f>
        <v>0</v>
      </c>
      <c r="Q425" s="415">
        <f>IFERROR(VLOOKUP(Table15[[#This Row],[ROUTE]],PRICING!A:B,2,FALSE),0)</f>
        <v>0</v>
      </c>
      <c r="R425" s="235">
        <f>IFERROR(Table15[[#This Row],[C_DEMAND]]-Table15[[#This Row],[R-DEMAND]],0)</f>
        <v>0</v>
      </c>
      <c r="S425" s="408">
        <f t="shared" si="6"/>
        <v>0</v>
      </c>
      <c r="T425" s="419">
        <f>Table15[[#This Row],[R-DEMAND]]-(Table15[[#This Row],[ADD ACC]]*1706)</f>
        <v>0</v>
      </c>
      <c r="U425" s="419">
        <f>ROUNDDOWN(Table15[[#This Row],[Column1]]/1360,0)</f>
        <v>0</v>
      </c>
      <c r="V425" s="419"/>
      <c r="W425" s="251">
        <v>22.75</v>
      </c>
      <c r="X425" s="251">
        <f>ROUNDDOWN(Table15[[#This Row],[R-DEMAND]]/1320,0)</f>
        <v>0</v>
      </c>
      <c r="Y425" s="251">
        <f>IFERROR(Table15[[#This Row],[ADD ACC
(660/1320)]]*Table15[[#This Row],[Duration
(B744)]],0)</f>
        <v>0</v>
      </c>
      <c r="Z425" s="251"/>
    </row>
    <row r="426" spans="1:26" ht="15.75" customHeight="1" x14ac:dyDescent="0.25">
      <c r="A426" s="210" t="s">
        <v>15350</v>
      </c>
      <c r="B426" s="204" t="s">
        <v>5089</v>
      </c>
      <c r="C426" s="204"/>
      <c r="D426" s="205">
        <v>3</v>
      </c>
      <c r="E426" s="204" t="s">
        <v>2547</v>
      </c>
      <c r="F426" s="204" t="str">
        <f>VLOOKUP(E426,Table10[[COUNTRY NAME]:[CONTINENT CODE]],3,FALSE)</f>
        <v>AF</v>
      </c>
      <c r="G426" s="206" t="s">
        <v>8242</v>
      </c>
      <c r="H426" s="207">
        <v>9242</v>
      </c>
      <c r="I426" s="208">
        <v>22.5</v>
      </c>
      <c r="J426" s="345"/>
      <c r="K426" s="345">
        <f>IFERROR(Table15[[#This Row],[ROUTE $]]/Table15[[#This Row],[E - DEMAND]],0)</f>
        <v>0</v>
      </c>
      <c r="L426" s="204"/>
      <c r="M426" s="412">
        <f>IFERROR(VLOOKUP(Table15[[#This Row],[ROUTE]],DEMAND!A:F,5,FALSE),0)</f>
        <v>0</v>
      </c>
      <c r="N426" s="16">
        <f>IFERROR(VLOOKUP(Table15[[#This Row],[ROUTE]],DEMAND!A:F,6,FALSE),0)</f>
        <v>0</v>
      </c>
      <c r="O426" s="16">
        <f>IFERROR(ROUNDDOWN(Table15[[#This Row],[R-DEMAND]]/1706,0),0)</f>
        <v>0</v>
      </c>
      <c r="P426" s="16">
        <f>IFERROR(Table15[[#This Row],[ADD ACC]]*Table15[[#This Row],[RT TIME 
(380-800)]],0)</f>
        <v>0</v>
      </c>
      <c r="Q426" s="415">
        <f>IFERROR(VLOOKUP(Table15[[#This Row],[ROUTE]],PRICING!A:B,2,FALSE),0)</f>
        <v>0</v>
      </c>
      <c r="R426" s="235">
        <f>IFERROR(Table15[[#This Row],[C_DEMAND]]-Table15[[#This Row],[R-DEMAND]],0)</f>
        <v>0</v>
      </c>
      <c r="S426" s="408">
        <f t="shared" si="6"/>
        <v>0</v>
      </c>
      <c r="T426" s="419">
        <f>Table15[[#This Row],[R-DEMAND]]-(Table15[[#This Row],[ADD ACC]]*1706)</f>
        <v>0</v>
      </c>
      <c r="U426" s="419">
        <f>ROUNDDOWN(Table15[[#This Row],[Column1]]/1360,0)</f>
        <v>0</v>
      </c>
      <c r="V426" s="419"/>
      <c r="W426" s="251">
        <v>22.5</v>
      </c>
      <c r="X426" s="251">
        <f>ROUNDDOWN(Table15[[#This Row],[R-DEMAND]]/1320,0)</f>
        <v>0</v>
      </c>
      <c r="Y426" s="251">
        <f>IFERROR(Table15[[#This Row],[ADD ACC
(660/1320)]]*Table15[[#This Row],[Duration
(B744)]],0)</f>
        <v>0</v>
      </c>
      <c r="Z426" s="251"/>
    </row>
    <row r="427" spans="1:26" ht="15.75" customHeight="1" x14ac:dyDescent="0.25">
      <c r="A427" s="210" t="s">
        <v>15352</v>
      </c>
      <c r="B427" s="204" t="s">
        <v>3152</v>
      </c>
      <c r="C427" s="204"/>
      <c r="D427" s="205">
        <v>2</v>
      </c>
      <c r="E427" s="204" t="s">
        <v>2454</v>
      </c>
      <c r="F427" s="204" t="str">
        <f>VLOOKUP(E427,Table10[[COUNTRY NAME]:[CONTINENT CODE]],3,FALSE)</f>
        <v>AF</v>
      </c>
      <c r="G427" s="206" t="s">
        <v>11672</v>
      </c>
      <c r="H427" s="207">
        <v>9075</v>
      </c>
      <c r="I427" s="208">
        <v>22.25</v>
      </c>
      <c r="J427" s="345"/>
      <c r="K427" s="345">
        <f>IFERROR(Table15[[#This Row],[ROUTE $]]/Table15[[#This Row],[E - DEMAND]],0)</f>
        <v>0</v>
      </c>
      <c r="L427" s="204"/>
      <c r="M427" s="412">
        <f>IFERROR(VLOOKUP(Table15[[#This Row],[ROUTE]],DEMAND!A:F,5,FALSE),0)</f>
        <v>0</v>
      </c>
      <c r="N427" s="16">
        <f>IFERROR(VLOOKUP(Table15[[#This Row],[ROUTE]],DEMAND!A:F,6,FALSE),0)</f>
        <v>0</v>
      </c>
      <c r="O427" s="16">
        <f>IFERROR(ROUNDDOWN(Table15[[#This Row],[R-DEMAND]]/1706,0),0)</f>
        <v>0</v>
      </c>
      <c r="P427" s="16">
        <f>IFERROR(Table15[[#This Row],[ADD ACC]]*Table15[[#This Row],[RT TIME 
(380-800)]],0)</f>
        <v>0</v>
      </c>
      <c r="Q427" s="415">
        <f>IFERROR(VLOOKUP(Table15[[#This Row],[ROUTE]],PRICING!A:B,2,FALSE),0)</f>
        <v>0</v>
      </c>
      <c r="R427" s="235">
        <f>IFERROR(Table15[[#This Row],[C_DEMAND]]-Table15[[#This Row],[R-DEMAND]],0)</f>
        <v>0</v>
      </c>
      <c r="S427" s="408">
        <f t="shared" si="6"/>
        <v>0</v>
      </c>
      <c r="T427" s="419">
        <f>Table15[[#This Row],[R-DEMAND]]-(Table15[[#This Row],[ADD ACC]]*1706)</f>
        <v>0</v>
      </c>
      <c r="U427" s="419">
        <f>ROUNDDOWN(Table15[[#This Row],[Column1]]/1360,0)</f>
        <v>0</v>
      </c>
      <c r="V427" s="419"/>
      <c r="W427" s="251">
        <v>22.25</v>
      </c>
      <c r="X427" s="251">
        <f>ROUNDDOWN(Table15[[#This Row],[R-DEMAND]]/1320,0)</f>
        <v>0</v>
      </c>
      <c r="Y427" s="251">
        <f>IFERROR(Table15[[#This Row],[ADD ACC
(660/1320)]]*Table15[[#This Row],[Duration
(B744)]],0)</f>
        <v>0</v>
      </c>
      <c r="Z427" s="251"/>
    </row>
    <row r="428" spans="1:26" ht="15.75" customHeight="1" x14ac:dyDescent="0.25">
      <c r="A428" s="210" t="s">
        <v>15359</v>
      </c>
      <c r="B428" s="204" t="s">
        <v>2886</v>
      </c>
      <c r="C428" s="204"/>
      <c r="D428" s="205">
        <v>2</v>
      </c>
      <c r="E428" s="204" t="s">
        <v>733</v>
      </c>
      <c r="F428" s="204" t="str">
        <f>VLOOKUP(E428,Table10[[COUNTRY NAME]:[CONTINENT CODE]],3,FALSE)</f>
        <v>EU</v>
      </c>
      <c r="G428" s="210" t="s">
        <v>11665</v>
      </c>
      <c r="H428" s="207">
        <v>8796</v>
      </c>
      <c r="I428" s="208">
        <v>21.5</v>
      </c>
      <c r="J428" s="345"/>
      <c r="K428" s="345">
        <f>IFERROR(Table15[[#This Row],[ROUTE $]]/Table15[[#This Row],[E - DEMAND]],0)</f>
        <v>0</v>
      </c>
      <c r="L428" s="204"/>
      <c r="M428" s="412">
        <f>IFERROR(VLOOKUP(Table15[[#This Row],[ROUTE]],DEMAND!A:F,5,FALSE),0)</f>
        <v>0</v>
      </c>
      <c r="N428" s="16">
        <f>IFERROR(VLOOKUP(Table15[[#This Row],[ROUTE]],DEMAND!A:F,6,FALSE),0)</f>
        <v>0</v>
      </c>
      <c r="O428" s="16">
        <f>IFERROR(ROUNDDOWN(Table15[[#This Row],[R-DEMAND]]/1706,0),0)</f>
        <v>0</v>
      </c>
      <c r="P428" s="16">
        <f>IFERROR(Table15[[#This Row],[ADD ACC]]*Table15[[#This Row],[RT TIME 
(380-800)]],0)</f>
        <v>0</v>
      </c>
      <c r="Q428" s="415">
        <f>IFERROR(VLOOKUP(Table15[[#This Row],[ROUTE]],PRICING!A:B,2,FALSE),0)</f>
        <v>0</v>
      </c>
      <c r="R428" s="235">
        <f>IFERROR(Table15[[#This Row],[C_DEMAND]]-Table15[[#This Row],[R-DEMAND]],0)</f>
        <v>0</v>
      </c>
      <c r="S428" s="408">
        <f t="shared" si="6"/>
        <v>0</v>
      </c>
      <c r="T428" s="419">
        <f>Table15[[#This Row],[R-DEMAND]]-(Table15[[#This Row],[ADD ACC]]*1706)</f>
        <v>0</v>
      </c>
      <c r="U428" s="419">
        <f>ROUNDDOWN(Table15[[#This Row],[Column1]]/1360,0)</f>
        <v>0</v>
      </c>
      <c r="V428" s="419"/>
      <c r="W428" s="251">
        <v>21.5</v>
      </c>
      <c r="X428" s="251">
        <f>ROUNDDOWN(Table15[[#This Row],[R-DEMAND]]/1320,0)</f>
        <v>0</v>
      </c>
      <c r="Y428" s="251">
        <f>IFERROR(Table15[[#This Row],[ADD ACC
(660/1320)]]*Table15[[#This Row],[Duration
(B744)]],0)</f>
        <v>0</v>
      </c>
      <c r="Z428" s="251"/>
    </row>
    <row r="429" spans="1:26" ht="15.75" customHeight="1" x14ac:dyDescent="0.25">
      <c r="A429" s="210" t="s">
        <v>15361</v>
      </c>
      <c r="B429" s="204" t="s">
        <v>501</v>
      </c>
      <c r="C429" s="204"/>
      <c r="D429" s="205">
        <v>1</v>
      </c>
      <c r="E429" s="204" t="s">
        <v>499</v>
      </c>
      <c r="F429" s="204" t="str">
        <f>VLOOKUP(E429,Table10[[COUNTRY NAME]:[CONTINENT CODE]],3,FALSE)</f>
        <v>AF</v>
      </c>
      <c r="G429" s="206" t="s">
        <v>11679</v>
      </c>
      <c r="H429" s="207">
        <v>8527</v>
      </c>
      <c r="I429" s="208">
        <v>21</v>
      </c>
      <c r="J429" s="345"/>
      <c r="K429" s="345">
        <f>IFERROR(Table15[[#This Row],[ROUTE $]]/Table15[[#This Row],[E - DEMAND]],0)</f>
        <v>0</v>
      </c>
      <c r="L429" s="204"/>
      <c r="M429" s="412">
        <f>IFERROR(VLOOKUP(Table15[[#This Row],[ROUTE]],DEMAND!A:F,5,FALSE),0)</f>
        <v>0</v>
      </c>
      <c r="N429" s="16">
        <f>IFERROR(VLOOKUP(Table15[[#This Row],[ROUTE]],DEMAND!A:F,6,FALSE),0)</f>
        <v>0</v>
      </c>
      <c r="O429" s="16">
        <f>IFERROR(ROUNDDOWN(Table15[[#This Row],[R-DEMAND]]/1706,0),0)</f>
        <v>0</v>
      </c>
      <c r="P429" s="16">
        <f>IFERROR(Table15[[#This Row],[ADD ACC]]*Table15[[#This Row],[RT TIME 
(380-800)]],0)</f>
        <v>0</v>
      </c>
      <c r="Q429" s="415">
        <f>IFERROR(VLOOKUP(Table15[[#This Row],[ROUTE]],PRICING!A:B,2,FALSE),0)</f>
        <v>0</v>
      </c>
      <c r="R429" s="235">
        <f>IFERROR(Table15[[#This Row],[C_DEMAND]]-Table15[[#This Row],[R-DEMAND]],0)</f>
        <v>0</v>
      </c>
      <c r="S429" s="408">
        <f t="shared" si="6"/>
        <v>0</v>
      </c>
      <c r="T429" s="419">
        <f>Table15[[#This Row],[R-DEMAND]]-(Table15[[#This Row],[ADD ACC]]*1706)</f>
        <v>0</v>
      </c>
      <c r="U429" s="419">
        <f>ROUNDDOWN(Table15[[#This Row],[Column1]]/1360,0)</f>
        <v>0</v>
      </c>
      <c r="V429" s="419"/>
      <c r="W429" s="251">
        <v>21</v>
      </c>
      <c r="X429" s="251">
        <f>ROUNDDOWN(Table15[[#This Row],[R-DEMAND]]/1320,0)</f>
        <v>0</v>
      </c>
      <c r="Y429" s="251">
        <f>IFERROR(Table15[[#This Row],[ADD ACC
(660/1320)]]*Table15[[#This Row],[Duration
(B744)]],0)</f>
        <v>0</v>
      </c>
      <c r="Z429" s="251"/>
    </row>
    <row r="430" spans="1:26" ht="15.75" customHeight="1" x14ac:dyDescent="0.25">
      <c r="A430" s="210" t="s">
        <v>15364</v>
      </c>
      <c r="B430" s="204" t="s">
        <v>763</v>
      </c>
      <c r="C430" s="204"/>
      <c r="D430" s="205">
        <v>1</v>
      </c>
      <c r="E430" s="204" t="s">
        <v>761</v>
      </c>
      <c r="F430" s="204" t="str">
        <f>VLOOKUP(E430,Table10[[COUNTRY NAME]:[CONTINENT CODE]],3,FALSE)</f>
        <v>AF</v>
      </c>
      <c r="G430" s="206" t="s">
        <v>11684</v>
      </c>
      <c r="H430" s="207">
        <v>8276</v>
      </c>
      <c r="I430" s="208">
        <v>20.5</v>
      </c>
      <c r="J430" s="345"/>
      <c r="K430" s="345">
        <f>IFERROR(Table15[[#This Row],[ROUTE $]]/Table15[[#This Row],[E - DEMAND]],0)</f>
        <v>0</v>
      </c>
      <c r="L430" s="204"/>
      <c r="M430" s="412">
        <f>IFERROR(VLOOKUP(Table15[[#This Row],[ROUTE]],DEMAND!A:F,5,FALSE),0)</f>
        <v>0</v>
      </c>
      <c r="N430" s="16">
        <f>IFERROR(VLOOKUP(Table15[[#This Row],[ROUTE]],DEMAND!A:F,6,FALSE),0)</f>
        <v>0</v>
      </c>
      <c r="O430" s="16">
        <f>IFERROR(ROUNDDOWN(Table15[[#This Row],[R-DEMAND]]/1706,0),0)</f>
        <v>0</v>
      </c>
      <c r="P430" s="16">
        <f>IFERROR(Table15[[#This Row],[ADD ACC]]*Table15[[#This Row],[RT TIME 
(380-800)]],0)</f>
        <v>0</v>
      </c>
      <c r="Q430" s="415">
        <f>IFERROR(VLOOKUP(Table15[[#This Row],[ROUTE]],PRICING!A:B,2,FALSE),0)</f>
        <v>0</v>
      </c>
      <c r="R430" s="235">
        <f>IFERROR(Table15[[#This Row],[C_DEMAND]]-Table15[[#This Row],[R-DEMAND]],0)</f>
        <v>0</v>
      </c>
      <c r="S430" s="408">
        <f t="shared" si="6"/>
        <v>0</v>
      </c>
      <c r="T430" s="419">
        <f>Table15[[#This Row],[R-DEMAND]]-(Table15[[#This Row],[ADD ACC]]*1706)</f>
        <v>0</v>
      </c>
      <c r="U430" s="419">
        <f>ROUNDDOWN(Table15[[#This Row],[Column1]]/1360,0)</f>
        <v>0</v>
      </c>
      <c r="V430" s="419"/>
      <c r="W430" s="251">
        <v>20.5</v>
      </c>
      <c r="X430" s="251">
        <f>ROUNDDOWN(Table15[[#This Row],[R-DEMAND]]/1320,0)</f>
        <v>0</v>
      </c>
      <c r="Y430" s="251">
        <f>IFERROR(Table15[[#This Row],[ADD ACC
(660/1320)]]*Table15[[#This Row],[Duration
(B744)]],0)</f>
        <v>0</v>
      </c>
      <c r="Z430" s="251"/>
    </row>
    <row r="431" spans="1:26" ht="15.75" customHeight="1" x14ac:dyDescent="0.25">
      <c r="A431" s="210" t="s">
        <v>15375</v>
      </c>
      <c r="B431" s="204" t="s">
        <v>5321</v>
      </c>
      <c r="C431" s="204"/>
      <c r="D431" s="205">
        <v>3</v>
      </c>
      <c r="E431" s="204" t="s">
        <v>733</v>
      </c>
      <c r="F431" s="204" t="str">
        <f>VLOOKUP(E431,Table10[[COUNTRY NAME]:[CONTINENT CODE]],3,FALSE)</f>
        <v>EU</v>
      </c>
      <c r="G431" s="210" t="s">
        <v>11677</v>
      </c>
      <c r="H431" s="207">
        <v>7934</v>
      </c>
      <c r="I431" s="208">
        <v>19.75</v>
      </c>
      <c r="J431" s="345"/>
      <c r="K431" s="345">
        <f>IFERROR(Table15[[#This Row],[ROUTE $]]/Table15[[#This Row],[E - DEMAND]],0)</f>
        <v>0</v>
      </c>
      <c r="L431" s="204"/>
      <c r="M431" s="412">
        <f>IFERROR(VLOOKUP(Table15[[#This Row],[ROUTE]],DEMAND!A:F,5,FALSE),0)</f>
        <v>0</v>
      </c>
      <c r="N431" s="16">
        <f>IFERROR(VLOOKUP(Table15[[#This Row],[ROUTE]],DEMAND!A:F,6,FALSE),0)</f>
        <v>0</v>
      </c>
      <c r="O431" s="16">
        <f>IFERROR(ROUNDDOWN(Table15[[#This Row],[R-DEMAND]]/1706,0),0)</f>
        <v>0</v>
      </c>
      <c r="P431" s="16">
        <f>IFERROR(Table15[[#This Row],[ADD ACC]]*Table15[[#This Row],[RT TIME 
(380-800)]],0)</f>
        <v>0</v>
      </c>
      <c r="Q431" s="415">
        <f>IFERROR(VLOOKUP(Table15[[#This Row],[ROUTE]],PRICING!A:B,2,FALSE),0)</f>
        <v>0</v>
      </c>
      <c r="R431" s="235">
        <f>IFERROR(Table15[[#This Row],[C_DEMAND]]-Table15[[#This Row],[R-DEMAND]],0)</f>
        <v>0</v>
      </c>
      <c r="S431" s="408">
        <f t="shared" si="6"/>
        <v>0</v>
      </c>
      <c r="T431" s="419">
        <f>Table15[[#This Row],[R-DEMAND]]-(Table15[[#This Row],[ADD ACC]]*1706)</f>
        <v>0</v>
      </c>
      <c r="U431" s="419">
        <f>ROUNDDOWN(Table15[[#This Row],[Column1]]/1360,0)</f>
        <v>0</v>
      </c>
      <c r="V431" s="419"/>
      <c r="W431" s="251">
        <v>19.75</v>
      </c>
      <c r="X431" s="251">
        <f>ROUNDDOWN(Table15[[#This Row],[R-DEMAND]]/1320,0)</f>
        <v>0</v>
      </c>
      <c r="Y431" s="251">
        <f>IFERROR(Table15[[#This Row],[ADD ACC
(660/1320)]]*Table15[[#This Row],[Duration
(B744)]],0)</f>
        <v>0</v>
      </c>
      <c r="Z431" s="251"/>
    </row>
    <row r="432" spans="1:26" ht="15.75" customHeight="1" x14ac:dyDescent="0.25">
      <c r="A432" s="210" t="s">
        <v>15374</v>
      </c>
      <c r="B432" s="204" t="s">
        <v>3515</v>
      </c>
      <c r="C432" s="204"/>
      <c r="D432" s="205">
        <v>2</v>
      </c>
      <c r="E432" s="204" t="s">
        <v>761</v>
      </c>
      <c r="F432" s="204" t="str">
        <f>VLOOKUP(E432,Table10[[COUNTRY NAME]:[CONTINENT CODE]],3,FALSE)</f>
        <v>AF</v>
      </c>
      <c r="G432" s="206" t="s">
        <v>8016</v>
      </c>
      <c r="H432" s="207">
        <v>7944</v>
      </c>
      <c r="I432" s="208">
        <v>19.75</v>
      </c>
      <c r="J432" s="345"/>
      <c r="K432" s="345">
        <f>IFERROR(Table15[[#This Row],[ROUTE $]]/Table15[[#This Row],[E - DEMAND]],0)</f>
        <v>0</v>
      </c>
      <c r="L432" s="204"/>
      <c r="M432" s="412">
        <f>IFERROR(VLOOKUP(Table15[[#This Row],[ROUTE]],DEMAND!A:F,5,FALSE),0)</f>
        <v>0</v>
      </c>
      <c r="N432" s="16">
        <f>IFERROR(VLOOKUP(Table15[[#This Row],[ROUTE]],DEMAND!A:F,6,FALSE),0)</f>
        <v>0</v>
      </c>
      <c r="O432" s="16">
        <f>IFERROR(ROUNDDOWN(Table15[[#This Row],[R-DEMAND]]/1706,0),0)</f>
        <v>0</v>
      </c>
      <c r="P432" s="16">
        <f>IFERROR(Table15[[#This Row],[ADD ACC]]*Table15[[#This Row],[RT TIME 
(380-800)]],0)</f>
        <v>0</v>
      </c>
      <c r="Q432" s="415">
        <f>IFERROR(VLOOKUP(Table15[[#This Row],[ROUTE]],PRICING!A:B,2,FALSE),0)</f>
        <v>0</v>
      </c>
      <c r="R432" s="235">
        <f>IFERROR(Table15[[#This Row],[C_DEMAND]]-Table15[[#This Row],[R-DEMAND]],0)</f>
        <v>0</v>
      </c>
      <c r="S432" s="408">
        <f t="shared" si="6"/>
        <v>0</v>
      </c>
      <c r="T432" s="419">
        <f>Table15[[#This Row],[R-DEMAND]]-(Table15[[#This Row],[ADD ACC]]*1706)</f>
        <v>0</v>
      </c>
      <c r="U432" s="419">
        <f>ROUNDDOWN(Table15[[#This Row],[Column1]]/1360,0)</f>
        <v>0</v>
      </c>
      <c r="V432" s="419"/>
      <c r="W432" s="251">
        <v>19.75</v>
      </c>
      <c r="X432" s="251">
        <f>ROUNDDOWN(Table15[[#This Row],[R-DEMAND]]/1320,0)</f>
        <v>0</v>
      </c>
      <c r="Y432" s="251">
        <f>IFERROR(Table15[[#This Row],[ADD ACC
(660/1320)]]*Table15[[#This Row],[Duration
(B744)]],0)</f>
        <v>0</v>
      </c>
      <c r="Z432" s="251"/>
    </row>
    <row r="433" spans="1:26" ht="15.75" customHeight="1" x14ac:dyDescent="0.25">
      <c r="A433" s="210" t="s">
        <v>15373</v>
      </c>
      <c r="B433" s="204" t="s">
        <v>2569</v>
      </c>
      <c r="C433" s="204"/>
      <c r="D433" s="205">
        <v>2</v>
      </c>
      <c r="E433" s="204" t="s">
        <v>608</v>
      </c>
      <c r="F433" s="204" t="str">
        <f>VLOOKUP(E433,Table10[[COUNTRY NAME]:[CONTINENT CODE]],3,FALSE)</f>
        <v>AF</v>
      </c>
      <c r="G433" s="206" t="s">
        <v>7996</v>
      </c>
      <c r="H433" s="207">
        <v>7988</v>
      </c>
      <c r="I433" s="208">
        <v>19.75</v>
      </c>
      <c r="J433" s="345"/>
      <c r="K433" s="345">
        <f>IFERROR(Table15[[#This Row],[ROUTE $]]/Table15[[#This Row],[E - DEMAND]],0)</f>
        <v>0</v>
      </c>
      <c r="L433" s="204"/>
      <c r="M433" s="412">
        <f>IFERROR(VLOOKUP(Table15[[#This Row],[ROUTE]],DEMAND!A:F,5,FALSE),0)</f>
        <v>0</v>
      </c>
      <c r="N433" s="16">
        <f>IFERROR(VLOOKUP(Table15[[#This Row],[ROUTE]],DEMAND!A:F,6,FALSE),0)</f>
        <v>0</v>
      </c>
      <c r="O433" s="16">
        <f>IFERROR(ROUNDDOWN(Table15[[#This Row],[R-DEMAND]]/1706,0),0)</f>
        <v>0</v>
      </c>
      <c r="P433" s="16">
        <f>IFERROR(Table15[[#This Row],[ADD ACC]]*Table15[[#This Row],[RT TIME 
(380-800)]],0)</f>
        <v>0</v>
      </c>
      <c r="Q433" s="415">
        <f>IFERROR(VLOOKUP(Table15[[#This Row],[ROUTE]],PRICING!A:B,2,FALSE),0)</f>
        <v>0</v>
      </c>
      <c r="R433" s="235">
        <f>IFERROR(Table15[[#This Row],[C_DEMAND]]-Table15[[#This Row],[R-DEMAND]],0)</f>
        <v>0</v>
      </c>
      <c r="S433" s="408">
        <f t="shared" si="6"/>
        <v>0</v>
      </c>
      <c r="T433" s="419">
        <f>Table15[[#This Row],[R-DEMAND]]-(Table15[[#This Row],[ADD ACC]]*1706)</f>
        <v>0</v>
      </c>
      <c r="U433" s="419">
        <f>ROUNDDOWN(Table15[[#This Row],[Column1]]/1360,0)</f>
        <v>0</v>
      </c>
      <c r="V433" s="419"/>
      <c r="W433" s="251">
        <v>19.75</v>
      </c>
      <c r="X433" s="251">
        <f>ROUNDDOWN(Table15[[#This Row],[R-DEMAND]]/1320,0)</f>
        <v>0</v>
      </c>
      <c r="Y433" s="251">
        <f>IFERROR(Table15[[#This Row],[ADD ACC
(660/1320)]]*Table15[[#This Row],[Duration
(B744)]],0)</f>
        <v>0</v>
      </c>
      <c r="Z433" s="251"/>
    </row>
    <row r="434" spans="1:26" ht="15.75" customHeight="1" x14ac:dyDescent="0.25">
      <c r="A434" s="210" t="s">
        <v>15379</v>
      </c>
      <c r="B434" s="204" t="s">
        <v>2553</v>
      </c>
      <c r="C434" s="204"/>
      <c r="D434" s="205">
        <v>2</v>
      </c>
      <c r="E434" s="204" t="s">
        <v>119</v>
      </c>
      <c r="F434" s="204" t="str">
        <f>VLOOKUP(E434,Table10[[COUNTRY NAME]:[CONTINENT CODE]],3,FALSE)</f>
        <v>EU</v>
      </c>
      <c r="G434" s="210" t="s">
        <v>11681</v>
      </c>
      <c r="H434" s="207">
        <v>7820</v>
      </c>
      <c r="I434" s="208">
        <v>19.5</v>
      </c>
      <c r="J434" s="345"/>
      <c r="K434" s="345">
        <f>IFERROR(Table15[[#This Row],[ROUTE $]]/Table15[[#This Row],[E - DEMAND]],0)</f>
        <v>0</v>
      </c>
      <c r="L434" s="204"/>
      <c r="M434" s="412">
        <f>IFERROR(VLOOKUP(Table15[[#This Row],[ROUTE]],DEMAND!A:F,5,FALSE),0)</f>
        <v>0</v>
      </c>
      <c r="N434" s="16">
        <f>IFERROR(VLOOKUP(Table15[[#This Row],[ROUTE]],DEMAND!A:F,6,FALSE),0)</f>
        <v>0</v>
      </c>
      <c r="O434" s="16">
        <f>IFERROR(ROUNDDOWN(Table15[[#This Row],[R-DEMAND]]/1706,0),0)</f>
        <v>0</v>
      </c>
      <c r="P434" s="16">
        <f>IFERROR(Table15[[#This Row],[ADD ACC]]*Table15[[#This Row],[RT TIME 
(380-800)]],0)</f>
        <v>0</v>
      </c>
      <c r="Q434" s="415">
        <f>IFERROR(VLOOKUP(Table15[[#This Row],[ROUTE]],PRICING!A:B,2,FALSE),0)</f>
        <v>0</v>
      </c>
      <c r="R434" s="235">
        <f>IFERROR(Table15[[#This Row],[C_DEMAND]]-Table15[[#This Row],[R-DEMAND]],0)</f>
        <v>0</v>
      </c>
      <c r="S434" s="408">
        <f t="shared" si="6"/>
        <v>0</v>
      </c>
      <c r="T434" s="419">
        <f>Table15[[#This Row],[R-DEMAND]]-(Table15[[#This Row],[ADD ACC]]*1706)</f>
        <v>0</v>
      </c>
      <c r="U434" s="419">
        <f>ROUNDDOWN(Table15[[#This Row],[Column1]]/1360,0)</f>
        <v>0</v>
      </c>
      <c r="V434" s="419"/>
      <c r="W434" s="251">
        <v>19.5</v>
      </c>
      <c r="X434" s="251">
        <f>ROUNDDOWN(Table15[[#This Row],[R-DEMAND]]/1320,0)</f>
        <v>0</v>
      </c>
      <c r="Y434" s="251">
        <f>IFERROR(Table15[[#This Row],[ADD ACC
(660/1320)]]*Table15[[#This Row],[Duration
(B744)]],0)</f>
        <v>0</v>
      </c>
      <c r="Z434" s="251"/>
    </row>
    <row r="435" spans="1:26" ht="15.75" customHeight="1" x14ac:dyDescent="0.25">
      <c r="A435" s="210" t="s">
        <v>15378</v>
      </c>
      <c r="B435" s="204" t="s">
        <v>3678</v>
      </c>
      <c r="C435" s="204"/>
      <c r="D435" s="205">
        <v>2</v>
      </c>
      <c r="E435" s="204" t="s">
        <v>490</v>
      </c>
      <c r="F435" s="204" t="str">
        <f>VLOOKUP(E435,Table10[[COUNTRY NAME]:[CONTINENT CODE]],3,FALSE)</f>
        <v>AF</v>
      </c>
      <c r="G435" s="206" t="s">
        <v>11711</v>
      </c>
      <c r="H435" s="207">
        <v>7857</v>
      </c>
      <c r="I435" s="208">
        <v>19.5</v>
      </c>
      <c r="J435" s="345"/>
      <c r="K435" s="345">
        <f>IFERROR(Table15[[#This Row],[ROUTE $]]/Table15[[#This Row],[E - DEMAND]],0)</f>
        <v>0</v>
      </c>
      <c r="L435" s="204"/>
      <c r="M435" s="412">
        <f>IFERROR(VLOOKUP(Table15[[#This Row],[ROUTE]],DEMAND!A:F,5,FALSE),0)</f>
        <v>0</v>
      </c>
      <c r="N435" s="16">
        <f>IFERROR(VLOOKUP(Table15[[#This Row],[ROUTE]],DEMAND!A:F,6,FALSE),0)</f>
        <v>0</v>
      </c>
      <c r="O435" s="16">
        <f>IFERROR(ROUNDDOWN(Table15[[#This Row],[R-DEMAND]]/1706,0),0)</f>
        <v>0</v>
      </c>
      <c r="P435" s="16">
        <f>IFERROR(Table15[[#This Row],[ADD ACC]]*Table15[[#This Row],[RT TIME 
(380-800)]],0)</f>
        <v>0</v>
      </c>
      <c r="Q435" s="415">
        <f>IFERROR(VLOOKUP(Table15[[#This Row],[ROUTE]],PRICING!A:B,2,FALSE),0)</f>
        <v>0</v>
      </c>
      <c r="R435" s="235">
        <f>IFERROR(Table15[[#This Row],[C_DEMAND]]-Table15[[#This Row],[R-DEMAND]],0)</f>
        <v>0</v>
      </c>
      <c r="S435" s="408">
        <f t="shared" si="6"/>
        <v>0</v>
      </c>
      <c r="T435" s="419">
        <f>Table15[[#This Row],[R-DEMAND]]-(Table15[[#This Row],[ADD ACC]]*1706)</f>
        <v>0</v>
      </c>
      <c r="U435" s="419">
        <f>ROUNDDOWN(Table15[[#This Row],[Column1]]/1360,0)</f>
        <v>0</v>
      </c>
      <c r="V435" s="419"/>
      <c r="W435" s="251">
        <v>19.5</v>
      </c>
      <c r="X435" s="251">
        <f>ROUNDDOWN(Table15[[#This Row],[R-DEMAND]]/1320,0)</f>
        <v>0</v>
      </c>
      <c r="Y435" s="251">
        <f>IFERROR(Table15[[#This Row],[ADD ACC
(660/1320)]]*Table15[[#This Row],[Duration
(B744)]],0)</f>
        <v>0</v>
      </c>
      <c r="Z435" s="251"/>
    </row>
    <row r="436" spans="1:26" ht="15.75" customHeight="1" x14ac:dyDescent="0.25">
      <c r="A436" s="210" t="s">
        <v>15384</v>
      </c>
      <c r="B436" s="204" t="s">
        <v>853</v>
      </c>
      <c r="C436" s="204"/>
      <c r="D436" s="205">
        <v>1</v>
      </c>
      <c r="E436" s="204" t="s">
        <v>608</v>
      </c>
      <c r="F436" s="204" t="str">
        <f>VLOOKUP(E436,Table10[[COUNTRY NAME]:[CONTINENT CODE]],3,FALSE)</f>
        <v>AF</v>
      </c>
      <c r="G436" s="206" t="s">
        <v>11687</v>
      </c>
      <c r="H436" s="207">
        <v>7733</v>
      </c>
      <c r="I436" s="208">
        <v>19.25</v>
      </c>
      <c r="J436" s="345"/>
      <c r="K436" s="345">
        <f>IFERROR(Table15[[#This Row],[ROUTE $]]/Table15[[#This Row],[E - DEMAND]],0)</f>
        <v>0</v>
      </c>
      <c r="L436" s="204"/>
      <c r="M436" s="412">
        <f>IFERROR(VLOOKUP(Table15[[#This Row],[ROUTE]],DEMAND!A:F,5,FALSE),0)</f>
        <v>0</v>
      </c>
      <c r="N436" s="16">
        <f>IFERROR(VLOOKUP(Table15[[#This Row],[ROUTE]],DEMAND!A:F,6,FALSE),0)</f>
        <v>0</v>
      </c>
      <c r="O436" s="16">
        <f>IFERROR(ROUNDDOWN(Table15[[#This Row],[R-DEMAND]]/1706,0),0)</f>
        <v>0</v>
      </c>
      <c r="P436" s="16">
        <f>IFERROR(Table15[[#This Row],[ADD ACC]]*Table15[[#This Row],[RT TIME 
(380-800)]],0)</f>
        <v>0</v>
      </c>
      <c r="Q436" s="415">
        <f>IFERROR(VLOOKUP(Table15[[#This Row],[ROUTE]],PRICING!A:B,2,FALSE),0)</f>
        <v>0</v>
      </c>
      <c r="R436" s="235">
        <f>IFERROR(Table15[[#This Row],[C_DEMAND]]-Table15[[#This Row],[R-DEMAND]],0)</f>
        <v>0</v>
      </c>
      <c r="S436" s="408">
        <f t="shared" si="6"/>
        <v>0</v>
      </c>
      <c r="T436" s="419">
        <f>Table15[[#This Row],[R-DEMAND]]-(Table15[[#This Row],[ADD ACC]]*1706)</f>
        <v>0</v>
      </c>
      <c r="U436" s="419">
        <f>ROUNDDOWN(Table15[[#This Row],[Column1]]/1360,0)</f>
        <v>0</v>
      </c>
      <c r="V436" s="419"/>
      <c r="W436" s="251">
        <v>19.25</v>
      </c>
      <c r="X436" s="251">
        <f>ROUNDDOWN(Table15[[#This Row],[R-DEMAND]]/1320,0)</f>
        <v>0</v>
      </c>
      <c r="Y436" s="251">
        <f>IFERROR(Table15[[#This Row],[ADD ACC
(660/1320)]]*Table15[[#This Row],[Duration
(B744)]],0)</f>
        <v>0</v>
      </c>
      <c r="Z436" s="251"/>
    </row>
    <row r="437" spans="1:26" ht="15.75" customHeight="1" x14ac:dyDescent="0.25">
      <c r="A437" s="210" t="s">
        <v>15391</v>
      </c>
      <c r="B437" s="204" t="s">
        <v>4327</v>
      </c>
      <c r="C437" s="204"/>
      <c r="D437" s="205">
        <v>2</v>
      </c>
      <c r="E437" s="204" t="s">
        <v>580</v>
      </c>
      <c r="F437" s="204" t="str">
        <f>VLOOKUP(E437,Table10[[COUNTRY NAME]:[CONTINENT CODE]],3,FALSE)</f>
        <v>AF</v>
      </c>
      <c r="G437" s="206" t="s">
        <v>11841</v>
      </c>
      <c r="H437" s="207">
        <v>7590</v>
      </c>
      <c r="I437" s="208">
        <v>19</v>
      </c>
      <c r="J437" s="345"/>
      <c r="K437" s="345">
        <f>IFERROR(Table15[[#This Row],[ROUTE $]]/Table15[[#This Row],[E - DEMAND]],0)</f>
        <v>0</v>
      </c>
      <c r="L437" s="204"/>
      <c r="M437" s="412">
        <f>IFERROR(VLOOKUP(Table15[[#This Row],[ROUTE]],DEMAND!A:F,5,FALSE),0)</f>
        <v>0</v>
      </c>
      <c r="N437" s="16">
        <f>IFERROR(VLOOKUP(Table15[[#This Row],[ROUTE]],DEMAND!A:F,6,FALSE),0)</f>
        <v>0</v>
      </c>
      <c r="O437" s="16">
        <f>IFERROR(ROUNDDOWN(Table15[[#This Row],[R-DEMAND]]/1706,0),0)</f>
        <v>0</v>
      </c>
      <c r="P437" s="16">
        <f>IFERROR(Table15[[#This Row],[ADD ACC]]*Table15[[#This Row],[RT TIME 
(380-800)]],0)</f>
        <v>0</v>
      </c>
      <c r="Q437" s="415">
        <f>IFERROR(VLOOKUP(Table15[[#This Row],[ROUTE]],PRICING!A:B,2,FALSE),0)</f>
        <v>0</v>
      </c>
      <c r="R437" s="235">
        <f>IFERROR(Table15[[#This Row],[C_DEMAND]]-Table15[[#This Row],[R-DEMAND]],0)</f>
        <v>0</v>
      </c>
      <c r="S437" s="408">
        <f t="shared" si="6"/>
        <v>0</v>
      </c>
      <c r="T437" s="419">
        <f>Table15[[#This Row],[R-DEMAND]]-(Table15[[#This Row],[ADD ACC]]*1706)</f>
        <v>0</v>
      </c>
      <c r="U437" s="419">
        <f>ROUNDDOWN(Table15[[#This Row],[Column1]]/1360,0)</f>
        <v>0</v>
      </c>
      <c r="V437" s="419"/>
      <c r="W437" s="251">
        <v>19</v>
      </c>
      <c r="X437" s="251">
        <f>ROUNDDOWN(Table15[[#This Row],[R-DEMAND]]/1320,0)</f>
        <v>0</v>
      </c>
      <c r="Y437" s="251">
        <f>IFERROR(Table15[[#This Row],[ADD ACC
(660/1320)]]*Table15[[#This Row],[Duration
(B744)]],0)</f>
        <v>0</v>
      </c>
      <c r="Z437" s="251"/>
    </row>
    <row r="438" spans="1:26" ht="15.75" customHeight="1" x14ac:dyDescent="0.25">
      <c r="A438" s="210" t="s">
        <v>15389</v>
      </c>
      <c r="B438" s="204" t="s">
        <v>4030</v>
      </c>
      <c r="C438" s="204"/>
      <c r="D438" s="205">
        <v>2</v>
      </c>
      <c r="E438" s="204" t="s">
        <v>119</v>
      </c>
      <c r="F438" s="204" t="str">
        <f>VLOOKUP(E438,Table10[[COUNTRY NAME]:[CONTINENT CODE]],3,FALSE)</f>
        <v>EU</v>
      </c>
      <c r="G438" s="210" t="s">
        <v>11690</v>
      </c>
      <c r="H438" s="207">
        <v>7611</v>
      </c>
      <c r="I438" s="208">
        <v>19</v>
      </c>
      <c r="J438" s="345"/>
      <c r="K438" s="345">
        <f>IFERROR(Table15[[#This Row],[ROUTE $]]/Table15[[#This Row],[E - DEMAND]],0)</f>
        <v>0</v>
      </c>
      <c r="L438" s="204"/>
      <c r="M438" s="412">
        <f>IFERROR(VLOOKUP(Table15[[#This Row],[ROUTE]],DEMAND!A:F,5,FALSE),0)</f>
        <v>0</v>
      </c>
      <c r="N438" s="16">
        <f>IFERROR(VLOOKUP(Table15[[#This Row],[ROUTE]],DEMAND!A:F,6,FALSE),0)</f>
        <v>0</v>
      </c>
      <c r="O438" s="16">
        <f>IFERROR(ROUNDDOWN(Table15[[#This Row],[R-DEMAND]]/1706,0),0)</f>
        <v>0</v>
      </c>
      <c r="P438" s="16">
        <f>IFERROR(Table15[[#This Row],[ADD ACC]]*Table15[[#This Row],[RT TIME 
(380-800)]],0)</f>
        <v>0</v>
      </c>
      <c r="Q438" s="415">
        <f>IFERROR(VLOOKUP(Table15[[#This Row],[ROUTE]],PRICING!A:B,2,FALSE),0)</f>
        <v>0</v>
      </c>
      <c r="R438" s="235">
        <f>IFERROR(Table15[[#This Row],[C_DEMAND]]-Table15[[#This Row],[R-DEMAND]],0)</f>
        <v>0</v>
      </c>
      <c r="S438" s="408">
        <f t="shared" si="6"/>
        <v>0</v>
      </c>
      <c r="T438" s="419">
        <f>Table15[[#This Row],[R-DEMAND]]-(Table15[[#This Row],[ADD ACC]]*1706)</f>
        <v>0</v>
      </c>
      <c r="U438" s="419">
        <f>ROUNDDOWN(Table15[[#This Row],[Column1]]/1360,0)</f>
        <v>0</v>
      </c>
      <c r="V438" s="419"/>
      <c r="W438" s="251">
        <v>19</v>
      </c>
      <c r="X438" s="251">
        <f>ROUNDDOWN(Table15[[#This Row],[R-DEMAND]]/1320,0)</f>
        <v>0</v>
      </c>
      <c r="Y438" s="251">
        <f>IFERROR(Table15[[#This Row],[ADD ACC
(660/1320)]]*Table15[[#This Row],[Duration
(B744)]],0)</f>
        <v>0</v>
      </c>
      <c r="Z438" s="251"/>
    </row>
    <row r="439" spans="1:26" ht="15.75" customHeight="1" x14ac:dyDescent="0.25">
      <c r="A439" s="210" t="s">
        <v>15398</v>
      </c>
      <c r="B439" s="204" t="s">
        <v>3292</v>
      </c>
      <c r="C439" s="204"/>
      <c r="D439" s="205">
        <v>2</v>
      </c>
      <c r="E439" s="204" t="s">
        <v>644</v>
      </c>
      <c r="F439" s="204" t="str">
        <f>VLOOKUP(E439,Table10[[COUNTRY NAME]:[CONTINENT CODE]],3,FALSE)</f>
        <v>AF</v>
      </c>
      <c r="G439" s="206" t="s">
        <v>11815</v>
      </c>
      <c r="H439" s="207">
        <v>7512</v>
      </c>
      <c r="I439" s="208">
        <v>18.75</v>
      </c>
      <c r="J439" s="345"/>
      <c r="K439" s="345">
        <f>IFERROR(Table15[[#This Row],[ROUTE $]]/Table15[[#This Row],[E - DEMAND]],0)</f>
        <v>0</v>
      </c>
      <c r="L439" s="204"/>
      <c r="M439" s="412">
        <f>IFERROR(VLOOKUP(Table15[[#This Row],[ROUTE]],DEMAND!A:F,5,FALSE),0)</f>
        <v>0</v>
      </c>
      <c r="N439" s="16">
        <f>IFERROR(VLOOKUP(Table15[[#This Row],[ROUTE]],DEMAND!A:F,6,FALSE),0)</f>
        <v>0</v>
      </c>
      <c r="O439" s="16">
        <f>IFERROR(ROUNDDOWN(Table15[[#This Row],[R-DEMAND]]/1706,0),0)</f>
        <v>0</v>
      </c>
      <c r="P439" s="16">
        <f>IFERROR(Table15[[#This Row],[ADD ACC]]*Table15[[#This Row],[RT TIME 
(380-800)]],0)</f>
        <v>0</v>
      </c>
      <c r="Q439" s="415">
        <f>IFERROR(VLOOKUP(Table15[[#This Row],[ROUTE]],PRICING!A:B,2,FALSE),0)</f>
        <v>0</v>
      </c>
      <c r="R439" s="235">
        <f>IFERROR(Table15[[#This Row],[C_DEMAND]]-Table15[[#This Row],[R-DEMAND]],0)</f>
        <v>0</v>
      </c>
      <c r="S439" s="408">
        <f t="shared" si="6"/>
        <v>0</v>
      </c>
      <c r="T439" s="419">
        <f>Table15[[#This Row],[R-DEMAND]]-(Table15[[#This Row],[ADD ACC]]*1706)</f>
        <v>0</v>
      </c>
      <c r="U439" s="419">
        <f>ROUNDDOWN(Table15[[#This Row],[Column1]]/1360,0)</f>
        <v>0</v>
      </c>
      <c r="V439" s="419"/>
      <c r="W439" s="251">
        <v>18.75</v>
      </c>
      <c r="X439" s="251">
        <f>ROUNDDOWN(Table15[[#This Row],[R-DEMAND]]/1320,0)</f>
        <v>0</v>
      </c>
      <c r="Y439" s="251">
        <f>IFERROR(Table15[[#This Row],[ADD ACC
(660/1320)]]*Table15[[#This Row],[Duration
(B744)]],0)</f>
        <v>0</v>
      </c>
      <c r="Z439" s="251"/>
    </row>
    <row r="440" spans="1:26" ht="15.75" customHeight="1" x14ac:dyDescent="0.25">
      <c r="A440" s="210" t="s">
        <v>15394</v>
      </c>
      <c r="B440" s="204" t="s">
        <v>3705</v>
      </c>
      <c r="C440" s="204"/>
      <c r="D440" s="205">
        <v>2</v>
      </c>
      <c r="E440" s="204" t="s">
        <v>608</v>
      </c>
      <c r="F440" s="204" t="str">
        <f>VLOOKUP(E440,Table10[[COUNTRY NAME]:[CONTINENT CODE]],3,FALSE)</f>
        <v>AF</v>
      </c>
      <c r="G440" s="206" t="s">
        <v>11692</v>
      </c>
      <c r="H440" s="207">
        <v>7552</v>
      </c>
      <c r="I440" s="208">
        <v>18.75</v>
      </c>
      <c r="J440" s="345"/>
      <c r="K440" s="345">
        <f>IFERROR(Table15[[#This Row],[ROUTE $]]/Table15[[#This Row],[E - DEMAND]],0)</f>
        <v>0</v>
      </c>
      <c r="L440" s="204"/>
      <c r="M440" s="412">
        <f>IFERROR(VLOOKUP(Table15[[#This Row],[ROUTE]],DEMAND!A:F,5,FALSE),0)</f>
        <v>0</v>
      </c>
      <c r="N440" s="16">
        <f>IFERROR(VLOOKUP(Table15[[#This Row],[ROUTE]],DEMAND!A:F,6,FALSE),0)</f>
        <v>0</v>
      </c>
      <c r="O440" s="16">
        <f>IFERROR(ROUNDDOWN(Table15[[#This Row],[R-DEMAND]]/1706,0),0)</f>
        <v>0</v>
      </c>
      <c r="P440" s="16">
        <f>IFERROR(Table15[[#This Row],[ADD ACC]]*Table15[[#This Row],[RT TIME 
(380-800)]],0)</f>
        <v>0</v>
      </c>
      <c r="Q440" s="415">
        <f>IFERROR(VLOOKUP(Table15[[#This Row],[ROUTE]],PRICING!A:B,2,FALSE),0)</f>
        <v>0</v>
      </c>
      <c r="R440" s="235">
        <f>IFERROR(Table15[[#This Row],[C_DEMAND]]-Table15[[#This Row],[R-DEMAND]],0)</f>
        <v>0</v>
      </c>
      <c r="S440" s="408">
        <f t="shared" si="6"/>
        <v>0</v>
      </c>
      <c r="T440" s="419">
        <f>Table15[[#This Row],[R-DEMAND]]-(Table15[[#This Row],[ADD ACC]]*1706)</f>
        <v>0</v>
      </c>
      <c r="U440" s="419">
        <f>ROUNDDOWN(Table15[[#This Row],[Column1]]/1360,0)</f>
        <v>0</v>
      </c>
      <c r="V440" s="419"/>
      <c r="W440" s="251">
        <v>18.75</v>
      </c>
      <c r="X440" s="251">
        <f>ROUNDDOWN(Table15[[#This Row],[R-DEMAND]]/1320,0)</f>
        <v>0</v>
      </c>
      <c r="Y440" s="251">
        <f>IFERROR(Table15[[#This Row],[ADD ACC
(660/1320)]]*Table15[[#This Row],[Duration
(B744)]],0)</f>
        <v>0</v>
      </c>
      <c r="Z440" s="251"/>
    </row>
    <row r="441" spans="1:26" ht="15.75" customHeight="1" x14ac:dyDescent="0.25">
      <c r="A441" s="210" t="s">
        <v>15396</v>
      </c>
      <c r="B441" s="204" t="s">
        <v>3081</v>
      </c>
      <c r="C441" s="204"/>
      <c r="D441" s="205">
        <v>2</v>
      </c>
      <c r="E441" s="204" t="s">
        <v>3079</v>
      </c>
      <c r="F441" s="204" t="str">
        <f>VLOOKUP(E441,Table10[[COUNTRY NAME]:[CONTINENT CODE]],3,FALSE)</f>
        <v>AF</v>
      </c>
      <c r="G441" s="206" t="s">
        <v>11713</v>
      </c>
      <c r="H441" s="207">
        <v>7526</v>
      </c>
      <c r="I441" s="208">
        <v>18.75</v>
      </c>
      <c r="J441" s="345"/>
      <c r="K441" s="345">
        <f>IFERROR(Table15[[#This Row],[ROUTE $]]/Table15[[#This Row],[E - DEMAND]],0)</f>
        <v>0</v>
      </c>
      <c r="L441" s="204"/>
      <c r="M441" s="412">
        <f>IFERROR(VLOOKUP(Table15[[#This Row],[ROUTE]],DEMAND!A:F,5,FALSE),0)</f>
        <v>0</v>
      </c>
      <c r="N441" s="16">
        <f>IFERROR(VLOOKUP(Table15[[#This Row],[ROUTE]],DEMAND!A:F,6,FALSE),0)</f>
        <v>0</v>
      </c>
      <c r="O441" s="16">
        <f>IFERROR(ROUNDDOWN(Table15[[#This Row],[R-DEMAND]]/1706,0),0)</f>
        <v>0</v>
      </c>
      <c r="P441" s="16">
        <f>IFERROR(Table15[[#This Row],[ADD ACC]]*Table15[[#This Row],[RT TIME 
(380-800)]],0)</f>
        <v>0</v>
      </c>
      <c r="Q441" s="415">
        <f>IFERROR(VLOOKUP(Table15[[#This Row],[ROUTE]],PRICING!A:B,2,FALSE),0)</f>
        <v>0</v>
      </c>
      <c r="R441" s="235">
        <f>IFERROR(Table15[[#This Row],[C_DEMAND]]-Table15[[#This Row],[R-DEMAND]],0)</f>
        <v>0</v>
      </c>
      <c r="S441" s="408">
        <f t="shared" si="6"/>
        <v>0</v>
      </c>
      <c r="T441" s="419">
        <f>Table15[[#This Row],[R-DEMAND]]-(Table15[[#This Row],[ADD ACC]]*1706)</f>
        <v>0</v>
      </c>
      <c r="U441" s="419">
        <f>ROUNDDOWN(Table15[[#This Row],[Column1]]/1360,0)</f>
        <v>0</v>
      </c>
      <c r="V441" s="419"/>
      <c r="W441" s="251">
        <v>18.75</v>
      </c>
      <c r="X441" s="251">
        <f>ROUNDDOWN(Table15[[#This Row],[R-DEMAND]]/1320,0)</f>
        <v>0</v>
      </c>
      <c r="Y441" s="251">
        <f>IFERROR(Table15[[#This Row],[ADD ACC
(660/1320)]]*Table15[[#This Row],[Duration
(B744)]],0)</f>
        <v>0</v>
      </c>
      <c r="Z441" s="251"/>
    </row>
    <row r="442" spans="1:26" ht="15.75" customHeight="1" x14ac:dyDescent="0.25">
      <c r="A442" s="210" t="s">
        <v>15395</v>
      </c>
      <c r="B442" s="204" t="s">
        <v>1522</v>
      </c>
      <c r="C442" s="204"/>
      <c r="D442" s="205">
        <v>1</v>
      </c>
      <c r="E442" s="204" t="s">
        <v>493</v>
      </c>
      <c r="F442" s="204" t="str">
        <f>VLOOKUP(E442,Table10[[COUNTRY NAME]:[CONTINENT CODE]],3,FALSE)</f>
        <v>AF</v>
      </c>
      <c r="G442" s="206" t="s">
        <v>11693</v>
      </c>
      <c r="H442" s="207">
        <v>7540</v>
      </c>
      <c r="I442" s="208">
        <v>18.75</v>
      </c>
      <c r="J442" s="345"/>
      <c r="K442" s="345">
        <f>IFERROR(Table15[[#This Row],[ROUTE $]]/Table15[[#This Row],[E - DEMAND]],0)</f>
        <v>0</v>
      </c>
      <c r="L442" s="204"/>
      <c r="M442" s="412">
        <f>IFERROR(VLOOKUP(Table15[[#This Row],[ROUTE]],DEMAND!A:F,5,FALSE),0)</f>
        <v>0</v>
      </c>
      <c r="N442" s="16">
        <f>IFERROR(VLOOKUP(Table15[[#This Row],[ROUTE]],DEMAND!A:F,6,FALSE),0)</f>
        <v>0</v>
      </c>
      <c r="O442" s="16">
        <f>IFERROR(ROUNDDOWN(Table15[[#This Row],[R-DEMAND]]/1706,0),0)</f>
        <v>0</v>
      </c>
      <c r="P442" s="16">
        <f>IFERROR(Table15[[#This Row],[ADD ACC]]*Table15[[#This Row],[RT TIME 
(380-800)]],0)</f>
        <v>0</v>
      </c>
      <c r="Q442" s="415">
        <f>IFERROR(VLOOKUP(Table15[[#This Row],[ROUTE]],PRICING!A:B,2,FALSE),0)</f>
        <v>0</v>
      </c>
      <c r="R442" s="235">
        <f>IFERROR(Table15[[#This Row],[C_DEMAND]]-Table15[[#This Row],[R-DEMAND]],0)</f>
        <v>0</v>
      </c>
      <c r="S442" s="408">
        <f t="shared" si="6"/>
        <v>0</v>
      </c>
      <c r="T442" s="419">
        <f>Table15[[#This Row],[R-DEMAND]]-(Table15[[#This Row],[ADD ACC]]*1706)</f>
        <v>0</v>
      </c>
      <c r="U442" s="419">
        <f>ROUNDDOWN(Table15[[#This Row],[Column1]]/1360,0)</f>
        <v>0</v>
      </c>
      <c r="V442" s="419"/>
      <c r="W442" s="251">
        <v>18.75</v>
      </c>
      <c r="X442" s="251">
        <f>ROUNDDOWN(Table15[[#This Row],[R-DEMAND]]/1320,0)</f>
        <v>0</v>
      </c>
      <c r="Y442" s="251">
        <f>IFERROR(Table15[[#This Row],[ADD ACC
(660/1320)]]*Table15[[#This Row],[Duration
(B744)]],0)</f>
        <v>0</v>
      </c>
      <c r="Z442" s="251"/>
    </row>
    <row r="443" spans="1:26" ht="15.75" customHeight="1" x14ac:dyDescent="0.25">
      <c r="A443" s="210" t="s">
        <v>15404</v>
      </c>
      <c r="B443" s="204" t="s">
        <v>1465</v>
      </c>
      <c r="C443" s="204"/>
      <c r="D443" s="205">
        <v>1</v>
      </c>
      <c r="E443" s="204" t="s">
        <v>580</v>
      </c>
      <c r="F443" s="204" t="str">
        <f>VLOOKUP(E443,Table10[[COUNTRY NAME]:[CONTINENT CODE]],3,FALSE)</f>
        <v>AF</v>
      </c>
      <c r="G443" s="206" t="s">
        <v>8079</v>
      </c>
      <c r="H443" s="207">
        <v>7453</v>
      </c>
      <c r="I443" s="208">
        <v>18.75</v>
      </c>
      <c r="J443" s="345"/>
      <c r="K443" s="345">
        <f>IFERROR(Table15[[#This Row],[ROUTE $]]/Table15[[#This Row],[E - DEMAND]],0)</f>
        <v>0</v>
      </c>
      <c r="L443" s="204"/>
      <c r="M443" s="412">
        <f>IFERROR(VLOOKUP(Table15[[#This Row],[ROUTE]],DEMAND!A:F,5,FALSE),0)</f>
        <v>0</v>
      </c>
      <c r="N443" s="16">
        <f>IFERROR(VLOOKUP(Table15[[#This Row],[ROUTE]],DEMAND!A:F,6,FALSE),0)</f>
        <v>0</v>
      </c>
      <c r="O443" s="16">
        <f>IFERROR(ROUNDDOWN(Table15[[#This Row],[R-DEMAND]]/1706,0),0)</f>
        <v>0</v>
      </c>
      <c r="P443" s="16">
        <f>IFERROR(Table15[[#This Row],[ADD ACC]]*Table15[[#This Row],[RT TIME 
(380-800)]],0)</f>
        <v>0</v>
      </c>
      <c r="Q443" s="415">
        <f>IFERROR(VLOOKUP(Table15[[#This Row],[ROUTE]],PRICING!A:B,2,FALSE),0)</f>
        <v>0</v>
      </c>
      <c r="R443" s="235">
        <f>IFERROR(Table15[[#This Row],[C_DEMAND]]-Table15[[#This Row],[R-DEMAND]],0)</f>
        <v>0</v>
      </c>
      <c r="S443" s="408">
        <f t="shared" si="6"/>
        <v>0</v>
      </c>
      <c r="T443" s="419">
        <f>Table15[[#This Row],[R-DEMAND]]-(Table15[[#This Row],[ADD ACC]]*1706)</f>
        <v>0</v>
      </c>
      <c r="U443" s="419">
        <f>ROUNDDOWN(Table15[[#This Row],[Column1]]/1360,0)</f>
        <v>0</v>
      </c>
      <c r="V443" s="419"/>
      <c r="W443" s="251">
        <v>18.75</v>
      </c>
      <c r="X443" s="251">
        <f>ROUNDDOWN(Table15[[#This Row],[R-DEMAND]]/1320,0)</f>
        <v>0</v>
      </c>
      <c r="Y443" s="251">
        <f>IFERROR(Table15[[#This Row],[ADD ACC
(660/1320)]]*Table15[[#This Row],[Duration
(B744)]],0)</f>
        <v>0</v>
      </c>
      <c r="Z443" s="251"/>
    </row>
    <row r="444" spans="1:26" ht="15.75" customHeight="1" x14ac:dyDescent="0.25">
      <c r="A444" s="210" t="s">
        <v>15399</v>
      </c>
      <c r="B444" s="204" t="s">
        <v>2401</v>
      </c>
      <c r="C444" s="204"/>
      <c r="D444" s="205">
        <v>1</v>
      </c>
      <c r="E444" s="204" t="s">
        <v>78</v>
      </c>
      <c r="F444" s="204" t="str">
        <f>VLOOKUP(E444,Table10[[COUNTRY NAME]:[CONTINENT CODE]],3,FALSE)</f>
        <v>EU</v>
      </c>
      <c r="G444" s="210" t="s">
        <v>11902</v>
      </c>
      <c r="H444" s="207">
        <v>7507</v>
      </c>
      <c r="I444" s="208">
        <v>18.75</v>
      </c>
      <c r="J444" s="345"/>
      <c r="K444" s="345">
        <f>IFERROR(Table15[[#This Row],[ROUTE $]]/Table15[[#This Row],[E - DEMAND]],0)</f>
        <v>0</v>
      </c>
      <c r="L444" s="204"/>
      <c r="M444" s="412">
        <f>IFERROR(VLOOKUP(Table15[[#This Row],[ROUTE]],DEMAND!A:F,5,FALSE),0)</f>
        <v>0</v>
      </c>
      <c r="N444" s="16">
        <f>IFERROR(VLOOKUP(Table15[[#This Row],[ROUTE]],DEMAND!A:F,6,FALSE),0)</f>
        <v>0</v>
      </c>
      <c r="O444" s="16">
        <f>IFERROR(ROUNDDOWN(Table15[[#This Row],[R-DEMAND]]/1706,0),0)</f>
        <v>0</v>
      </c>
      <c r="P444" s="16">
        <f>IFERROR(Table15[[#This Row],[ADD ACC]]*Table15[[#This Row],[RT TIME 
(380-800)]],0)</f>
        <v>0</v>
      </c>
      <c r="Q444" s="415">
        <f>IFERROR(VLOOKUP(Table15[[#This Row],[ROUTE]],PRICING!A:B,2,FALSE),0)</f>
        <v>0</v>
      </c>
      <c r="R444" s="235">
        <f>IFERROR(Table15[[#This Row],[C_DEMAND]]-Table15[[#This Row],[R-DEMAND]],0)</f>
        <v>0</v>
      </c>
      <c r="S444" s="408">
        <f t="shared" si="6"/>
        <v>0</v>
      </c>
      <c r="T444" s="419">
        <f>Table15[[#This Row],[R-DEMAND]]-(Table15[[#This Row],[ADD ACC]]*1706)</f>
        <v>0</v>
      </c>
      <c r="U444" s="419">
        <f>ROUNDDOWN(Table15[[#This Row],[Column1]]/1360,0)</f>
        <v>0</v>
      </c>
      <c r="V444" s="419"/>
      <c r="W444" s="251">
        <v>18.75</v>
      </c>
      <c r="X444" s="251">
        <f>ROUNDDOWN(Table15[[#This Row],[R-DEMAND]]/1320,0)</f>
        <v>0</v>
      </c>
      <c r="Y444" s="251">
        <f>IFERROR(Table15[[#This Row],[ADD ACC
(660/1320)]]*Table15[[#This Row],[Duration
(B744)]],0)</f>
        <v>0</v>
      </c>
      <c r="Z444" s="251"/>
    </row>
    <row r="445" spans="1:26" ht="15.75" customHeight="1" x14ac:dyDescent="0.25">
      <c r="A445" s="210" t="s">
        <v>15393</v>
      </c>
      <c r="B445" s="204" t="s">
        <v>847</v>
      </c>
      <c r="C445" s="204"/>
      <c r="D445" s="205">
        <v>1</v>
      </c>
      <c r="E445" s="204" t="s">
        <v>83</v>
      </c>
      <c r="F445" s="204" t="str">
        <f>VLOOKUP(E445,Table10[[COUNTRY NAME]:[CONTINENT CODE]],3,FALSE)</f>
        <v>EU</v>
      </c>
      <c r="G445" s="210" t="s">
        <v>10413</v>
      </c>
      <c r="H445" s="207">
        <v>7555</v>
      </c>
      <c r="I445" s="208">
        <v>18.75</v>
      </c>
      <c r="J445" s="345"/>
      <c r="K445" s="345">
        <f>IFERROR(Table15[[#This Row],[ROUTE $]]/Table15[[#This Row],[E - DEMAND]],0)</f>
        <v>0</v>
      </c>
      <c r="L445" s="204"/>
      <c r="M445" s="412">
        <f>IFERROR(VLOOKUP(Table15[[#This Row],[ROUTE]],DEMAND!A:F,5,FALSE),0)</f>
        <v>0</v>
      </c>
      <c r="N445" s="16">
        <f>IFERROR(VLOOKUP(Table15[[#This Row],[ROUTE]],DEMAND!A:F,6,FALSE),0)</f>
        <v>0</v>
      </c>
      <c r="O445" s="16">
        <f>IFERROR(ROUNDDOWN(Table15[[#This Row],[R-DEMAND]]/1706,0),0)</f>
        <v>0</v>
      </c>
      <c r="P445" s="16">
        <f>IFERROR(Table15[[#This Row],[ADD ACC]]*Table15[[#This Row],[RT TIME 
(380-800)]],0)</f>
        <v>0</v>
      </c>
      <c r="Q445" s="415">
        <f>IFERROR(VLOOKUP(Table15[[#This Row],[ROUTE]],PRICING!A:B,2,FALSE),0)</f>
        <v>0</v>
      </c>
      <c r="R445" s="235">
        <f>IFERROR(Table15[[#This Row],[C_DEMAND]]-Table15[[#This Row],[R-DEMAND]],0)</f>
        <v>0</v>
      </c>
      <c r="S445" s="408">
        <f t="shared" si="6"/>
        <v>0</v>
      </c>
      <c r="T445" s="419">
        <f>Table15[[#This Row],[R-DEMAND]]-(Table15[[#This Row],[ADD ACC]]*1706)</f>
        <v>0</v>
      </c>
      <c r="U445" s="419">
        <f>ROUNDDOWN(Table15[[#This Row],[Column1]]/1360,0)</f>
        <v>0</v>
      </c>
      <c r="V445" s="419"/>
      <c r="W445" s="251">
        <v>18.75</v>
      </c>
      <c r="X445" s="251">
        <f>ROUNDDOWN(Table15[[#This Row],[R-DEMAND]]/1320,0)</f>
        <v>0</v>
      </c>
      <c r="Y445" s="251">
        <f>IFERROR(Table15[[#This Row],[ADD ACC
(660/1320)]]*Table15[[#This Row],[Duration
(B744)]],0)</f>
        <v>0</v>
      </c>
      <c r="Z445" s="251"/>
    </row>
    <row r="446" spans="1:26" ht="15.75" customHeight="1" x14ac:dyDescent="0.25">
      <c r="A446" s="210" t="s">
        <v>15409</v>
      </c>
      <c r="B446" s="204" t="s">
        <v>2531</v>
      </c>
      <c r="C446" s="204"/>
      <c r="D446" s="205">
        <v>2</v>
      </c>
      <c r="E446" s="204" t="s">
        <v>644</v>
      </c>
      <c r="F446" s="204" t="str">
        <f>VLOOKUP(E446,Table10[[COUNTRY NAME]:[CONTINENT CODE]],3,FALSE)</f>
        <v>AF</v>
      </c>
      <c r="G446" s="206" t="s">
        <v>11812</v>
      </c>
      <c r="H446" s="207">
        <v>7392</v>
      </c>
      <c r="I446" s="208">
        <v>18.5</v>
      </c>
      <c r="J446" s="345"/>
      <c r="K446" s="345">
        <f>IFERROR(Table15[[#This Row],[ROUTE $]]/Table15[[#This Row],[E - DEMAND]],0)</f>
        <v>0</v>
      </c>
      <c r="L446" s="204"/>
      <c r="M446" s="412">
        <f>IFERROR(VLOOKUP(Table15[[#This Row],[ROUTE]],DEMAND!A:F,5,FALSE),0)</f>
        <v>0</v>
      </c>
      <c r="N446" s="16">
        <f>IFERROR(VLOOKUP(Table15[[#This Row],[ROUTE]],DEMAND!A:F,6,FALSE),0)</f>
        <v>0</v>
      </c>
      <c r="O446" s="16">
        <f>IFERROR(ROUNDDOWN(Table15[[#This Row],[R-DEMAND]]/1706,0),0)</f>
        <v>0</v>
      </c>
      <c r="P446" s="16">
        <f>IFERROR(Table15[[#This Row],[ADD ACC]]*Table15[[#This Row],[RT TIME 
(380-800)]],0)</f>
        <v>0</v>
      </c>
      <c r="Q446" s="415">
        <f>IFERROR(VLOOKUP(Table15[[#This Row],[ROUTE]],PRICING!A:B,2,FALSE),0)</f>
        <v>0</v>
      </c>
      <c r="R446" s="235">
        <f>IFERROR(Table15[[#This Row],[C_DEMAND]]-Table15[[#This Row],[R-DEMAND]],0)</f>
        <v>0</v>
      </c>
      <c r="S446" s="408">
        <f t="shared" si="6"/>
        <v>0</v>
      </c>
      <c r="T446" s="419">
        <f>Table15[[#This Row],[R-DEMAND]]-(Table15[[#This Row],[ADD ACC]]*1706)</f>
        <v>0</v>
      </c>
      <c r="U446" s="419">
        <f>ROUNDDOWN(Table15[[#This Row],[Column1]]/1360,0)</f>
        <v>0</v>
      </c>
      <c r="V446" s="419"/>
      <c r="W446" s="251">
        <v>18.5</v>
      </c>
      <c r="X446" s="251">
        <f>ROUNDDOWN(Table15[[#This Row],[R-DEMAND]]/1320,0)</f>
        <v>0</v>
      </c>
      <c r="Y446" s="251">
        <f>IFERROR(Table15[[#This Row],[ADD ACC
(660/1320)]]*Table15[[#This Row],[Duration
(B744)]],0)</f>
        <v>0</v>
      </c>
      <c r="Z446" s="251"/>
    </row>
    <row r="447" spans="1:26" ht="15.75" customHeight="1" x14ac:dyDescent="0.25">
      <c r="A447" s="210" t="s">
        <v>15405</v>
      </c>
      <c r="B447" s="204" t="s">
        <v>3371</v>
      </c>
      <c r="C447" s="204"/>
      <c r="D447" s="205">
        <v>2</v>
      </c>
      <c r="E447" s="204" t="s">
        <v>644</v>
      </c>
      <c r="F447" s="204" t="str">
        <f>VLOOKUP(E447,Table10[[COUNTRY NAME]:[CONTINENT CODE]],3,FALSE)</f>
        <v>AF</v>
      </c>
      <c r="G447" s="206" t="s">
        <v>11831</v>
      </c>
      <c r="H447" s="207">
        <v>7430</v>
      </c>
      <c r="I447" s="208">
        <v>18.5</v>
      </c>
      <c r="J447" s="345"/>
      <c r="K447" s="345">
        <f>IFERROR(Table15[[#This Row],[ROUTE $]]/Table15[[#This Row],[E - DEMAND]],0)</f>
        <v>0</v>
      </c>
      <c r="L447" s="204"/>
      <c r="M447" s="412">
        <f>IFERROR(VLOOKUP(Table15[[#This Row],[ROUTE]],DEMAND!A:F,5,FALSE),0)</f>
        <v>0</v>
      </c>
      <c r="N447" s="16">
        <f>IFERROR(VLOOKUP(Table15[[#This Row],[ROUTE]],DEMAND!A:F,6,FALSE),0)</f>
        <v>0</v>
      </c>
      <c r="O447" s="16">
        <f>IFERROR(ROUNDDOWN(Table15[[#This Row],[R-DEMAND]]/1706,0),0)</f>
        <v>0</v>
      </c>
      <c r="P447" s="16">
        <f>IFERROR(Table15[[#This Row],[ADD ACC]]*Table15[[#This Row],[RT TIME 
(380-800)]],0)</f>
        <v>0</v>
      </c>
      <c r="Q447" s="415">
        <f>IFERROR(VLOOKUP(Table15[[#This Row],[ROUTE]],PRICING!A:B,2,FALSE),0)</f>
        <v>0</v>
      </c>
      <c r="R447" s="235">
        <f>IFERROR(Table15[[#This Row],[C_DEMAND]]-Table15[[#This Row],[R-DEMAND]],0)</f>
        <v>0</v>
      </c>
      <c r="S447" s="408">
        <f t="shared" si="6"/>
        <v>0</v>
      </c>
      <c r="T447" s="419">
        <f>Table15[[#This Row],[R-DEMAND]]-(Table15[[#This Row],[ADD ACC]]*1706)</f>
        <v>0</v>
      </c>
      <c r="U447" s="419">
        <f>ROUNDDOWN(Table15[[#This Row],[Column1]]/1360,0)</f>
        <v>0</v>
      </c>
      <c r="V447" s="419"/>
      <c r="W447" s="251">
        <v>18.5</v>
      </c>
      <c r="X447" s="251">
        <f>ROUNDDOWN(Table15[[#This Row],[R-DEMAND]]/1320,0)</f>
        <v>0</v>
      </c>
      <c r="Y447" s="251">
        <f>IFERROR(Table15[[#This Row],[ADD ACC
(660/1320)]]*Table15[[#This Row],[Duration
(B744)]],0)</f>
        <v>0</v>
      </c>
      <c r="Z447" s="251"/>
    </row>
    <row r="448" spans="1:26" ht="15.75" customHeight="1" x14ac:dyDescent="0.25">
      <c r="A448" s="210" t="s">
        <v>15408</v>
      </c>
      <c r="B448" s="204" t="s">
        <v>1920</v>
      </c>
      <c r="C448" s="204"/>
      <c r="D448" s="205">
        <v>1</v>
      </c>
      <c r="E448" s="204" t="s">
        <v>493</v>
      </c>
      <c r="F448" s="204" t="str">
        <f>VLOOKUP(E448,Table10[[COUNTRY NAME]:[CONTINENT CODE]],3,FALSE)</f>
        <v>AF</v>
      </c>
      <c r="G448" s="206" t="s">
        <v>11701</v>
      </c>
      <c r="H448" s="207">
        <v>7413</v>
      </c>
      <c r="I448" s="208">
        <v>18.5</v>
      </c>
      <c r="J448" s="345"/>
      <c r="K448" s="345">
        <f>IFERROR(Table15[[#This Row],[ROUTE $]]/Table15[[#This Row],[E - DEMAND]],0)</f>
        <v>0</v>
      </c>
      <c r="L448" s="204"/>
      <c r="M448" s="412">
        <f>IFERROR(VLOOKUP(Table15[[#This Row],[ROUTE]],DEMAND!A:F,5,FALSE),0)</f>
        <v>0</v>
      </c>
      <c r="N448" s="16">
        <f>IFERROR(VLOOKUP(Table15[[#This Row],[ROUTE]],DEMAND!A:F,6,FALSE),0)</f>
        <v>0</v>
      </c>
      <c r="O448" s="16">
        <f>IFERROR(ROUNDDOWN(Table15[[#This Row],[R-DEMAND]]/1706,0),0)</f>
        <v>0</v>
      </c>
      <c r="P448" s="16">
        <f>IFERROR(Table15[[#This Row],[ADD ACC]]*Table15[[#This Row],[RT TIME 
(380-800)]],0)</f>
        <v>0</v>
      </c>
      <c r="Q448" s="415">
        <f>IFERROR(VLOOKUP(Table15[[#This Row],[ROUTE]],PRICING!A:B,2,FALSE),0)</f>
        <v>0</v>
      </c>
      <c r="R448" s="235">
        <f>IFERROR(Table15[[#This Row],[C_DEMAND]]-Table15[[#This Row],[R-DEMAND]],0)</f>
        <v>0</v>
      </c>
      <c r="S448" s="408">
        <f t="shared" si="6"/>
        <v>0</v>
      </c>
      <c r="T448" s="419">
        <f>Table15[[#This Row],[R-DEMAND]]-(Table15[[#This Row],[ADD ACC]]*1706)</f>
        <v>0</v>
      </c>
      <c r="U448" s="419">
        <f>ROUNDDOWN(Table15[[#This Row],[Column1]]/1360,0)</f>
        <v>0</v>
      </c>
      <c r="V448" s="419"/>
      <c r="W448" s="251">
        <v>18.5</v>
      </c>
      <c r="X448" s="251">
        <f>ROUNDDOWN(Table15[[#This Row],[R-DEMAND]]/1320,0)</f>
        <v>0</v>
      </c>
      <c r="Y448" s="251">
        <f>IFERROR(Table15[[#This Row],[ADD ACC
(660/1320)]]*Table15[[#This Row],[Duration
(B744)]],0)</f>
        <v>0</v>
      </c>
      <c r="Z448" s="251"/>
    </row>
    <row r="449" spans="1:26" ht="15.75" customHeight="1" x14ac:dyDescent="0.25">
      <c r="A449" s="210" t="s">
        <v>15410</v>
      </c>
      <c r="B449" s="204" t="s">
        <v>673</v>
      </c>
      <c r="C449" s="204"/>
      <c r="D449" s="205">
        <v>1</v>
      </c>
      <c r="E449" s="204" t="s">
        <v>493</v>
      </c>
      <c r="F449" s="204" t="str">
        <f>VLOOKUP(E449,Table10[[COUNTRY NAME]:[CONTINENT CODE]],3,FALSE)</f>
        <v>AF</v>
      </c>
      <c r="G449" s="206" t="s">
        <v>7071</v>
      </c>
      <c r="H449" s="207">
        <v>7343</v>
      </c>
      <c r="I449" s="208">
        <v>18.5</v>
      </c>
      <c r="J449" s="345"/>
      <c r="K449" s="345">
        <f>IFERROR(Table15[[#This Row],[ROUTE $]]/Table15[[#This Row],[E - DEMAND]],0)</f>
        <v>0</v>
      </c>
      <c r="L449" s="204"/>
      <c r="M449" s="412">
        <f>IFERROR(VLOOKUP(Table15[[#This Row],[ROUTE]],DEMAND!A:F,5,FALSE),0)</f>
        <v>0</v>
      </c>
      <c r="N449" s="16">
        <f>IFERROR(VLOOKUP(Table15[[#This Row],[ROUTE]],DEMAND!A:F,6,FALSE),0)</f>
        <v>0</v>
      </c>
      <c r="O449" s="16">
        <f>IFERROR(ROUNDDOWN(Table15[[#This Row],[R-DEMAND]]/1706,0),0)</f>
        <v>0</v>
      </c>
      <c r="P449" s="16">
        <f>IFERROR(Table15[[#This Row],[ADD ACC]]*Table15[[#This Row],[RT TIME 
(380-800)]],0)</f>
        <v>0</v>
      </c>
      <c r="Q449" s="415">
        <f>IFERROR(VLOOKUP(Table15[[#This Row],[ROUTE]],PRICING!A:B,2,FALSE),0)</f>
        <v>0</v>
      </c>
      <c r="R449" s="235">
        <f>IFERROR(Table15[[#This Row],[C_DEMAND]]-Table15[[#This Row],[R-DEMAND]],0)</f>
        <v>0</v>
      </c>
      <c r="S449" s="408">
        <f t="shared" si="6"/>
        <v>0</v>
      </c>
      <c r="T449" s="419">
        <f>Table15[[#This Row],[R-DEMAND]]-(Table15[[#This Row],[ADD ACC]]*1706)</f>
        <v>0</v>
      </c>
      <c r="U449" s="419">
        <f>ROUNDDOWN(Table15[[#This Row],[Column1]]/1360,0)</f>
        <v>0</v>
      </c>
      <c r="V449" s="419"/>
      <c r="W449" s="251">
        <v>18.5</v>
      </c>
      <c r="X449" s="251">
        <f>ROUNDDOWN(Table15[[#This Row],[R-DEMAND]]/1320,0)</f>
        <v>0</v>
      </c>
      <c r="Y449" s="251">
        <f>IFERROR(Table15[[#This Row],[ADD ACC
(660/1320)]]*Table15[[#This Row],[Duration
(B744)]],0)</f>
        <v>0</v>
      </c>
      <c r="Z449" s="251"/>
    </row>
    <row r="450" spans="1:26" ht="15.75" customHeight="1" x14ac:dyDescent="0.25">
      <c r="A450" s="210" t="s">
        <v>15406</v>
      </c>
      <c r="B450" s="204" t="s">
        <v>2409</v>
      </c>
      <c r="C450" s="204"/>
      <c r="D450" s="205">
        <v>1</v>
      </c>
      <c r="E450" s="204" t="s">
        <v>119</v>
      </c>
      <c r="F450" s="204" t="str">
        <f>VLOOKUP(E450,Table10[[COUNTRY NAME]:[CONTINENT CODE]],3,FALSE)</f>
        <v>EU</v>
      </c>
      <c r="G450" s="210" t="s">
        <v>11699</v>
      </c>
      <c r="H450" s="207">
        <v>7423</v>
      </c>
      <c r="I450" s="208">
        <v>18.5</v>
      </c>
      <c r="J450" s="345"/>
      <c r="K450" s="345">
        <f>IFERROR(Table15[[#This Row],[ROUTE $]]/Table15[[#This Row],[E - DEMAND]],0)</f>
        <v>0</v>
      </c>
      <c r="L450" s="204"/>
      <c r="M450" s="412">
        <f>IFERROR(VLOOKUP(Table15[[#This Row],[ROUTE]],DEMAND!A:F,5,FALSE),0)</f>
        <v>0</v>
      </c>
      <c r="N450" s="16">
        <f>IFERROR(VLOOKUP(Table15[[#This Row],[ROUTE]],DEMAND!A:F,6,FALSE),0)</f>
        <v>0</v>
      </c>
      <c r="O450" s="16">
        <f>IFERROR(ROUNDDOWN(Table15[[#This Row],[R-DEMAND]]/1706,0),0)</f>
        <v>0</v>
      </c>
      <c r="P450" s="16">
        <f>IFERROR(Table15[[#This Row],[ADD ACC]]*Table15[[#This Row],[RT TIME 
(380-800)]],0)</f>
        <v>0</v>
      </c>
      <c r="Q450" s="415">
        <f>IFERROR(VLOOKUP(Table15[[#This Row],[ROUTE]],PRICING!A:B,2,FALSE),0)</f>
        <v>0</v>
      </c>
      <c r="R450" s="235">
        <f>IFERROR(Table15[[#This Row],[C_DEMAND]]-Table15[[#This Row],[R-DEMAND]],0)</f>
        <v>0</v>
      </c>
      <c r="S450" s="408">
        <f t="shared" si="6"/>
        <v>0</v>
      </c>
      <c r="T450" s="419">
        <f>Table15[[#This Row],[R-DEMAND]]-(Table15[[#This Row],[ADD ACC]]*1706)</f>
        <v>0</v>
      </c>
      <c r="U450" s="419">
        <f>ROUNDDOWN(Table15[[#This Row],[Column1]]/1360,0)</f>
        <v>0</v>
      </c>
      <c r="V450" s="419"/>
      <c r="W450" s="251">
        <v>18.5</v>
      </c>
      <c r="X450" s="251">
        <f>ROUNDDOWN(Table15[[#This Row],[R-DEMAND]]/1320,0)</f>
        <v>0</v>
      </c>
      <c r="Y450" s="251">
        <f>IFERROR(Table15[[#This Row],[ADD ACC
(660/1320)]]*Table15[[#This Row],[Duration
(B744)]],0)</f>
        <v>0</v>
      </c>
      <c r="Z450" s="251"/>
    </row>
    <row r="451" spans="1:26" ht="15.75" customHeight="1" x14ac:dyDescent="0.25">
      <c r="A451" s="210" t="s">
        <v>15424</v>
      </c>
      <c r="B451" s="204" t="s">
        <v>209</v>
      </c>
      <c r="C451" s="204"/>
      <c r="D451" s="205">
        <v>3</v>
      </c>
      <c r="E451" s="204" t="s">
        <v>644</v>
      </c>
      <c r="F451" s="204" t="str">
        <f>VLOOKUP(E451,Table10[[COUNTRY NAME]:[CONTINENT CODE]],3,FALSE)</f>
        <v>AF</v>
      </c>
      <c r="G451" s="206" t="s">
        <v>11811</v>
      </c>
      <c r="H451" s="207">
        <v>7236</v>
      </c>
      <c r="I451" s="208">
        <v>18.25</v>
      </c>
      <c r="J451" s="345"/>
      <c r="K451" s="345">
        <f>IFERROR(Table15[[#This Row],[ROUTE $]]/Table15[[#This Row],[E - DEMAND]],0)</f>
        <v>0</v>
      </c>
      <c r="L451" s="204"/>
      <c r="M451" s="412">
        <f>IFERROR(VLOOKUP(Table15[[#This Row],[ROUTE]],DEMAND!A:F,5,FALSE),0)</f>
        <v>0</v>
      </c>
      <c r="N451" s="16">
        <f>IFERROR(VLOOKUP(Table15[[#This Row],[ROUTE]],DEMAND!A:F,6,FALSE),0)</f>
        <v>0</v>
      </c>
      <c r="O451" s="16">
        <f>IFERROR(ROUNDDOWN(Table15[[#This Row],[R-DEMAND]]/1706,0),0)</f>
        <v>0</v>
      </c>
      <c r="P451" s="16">
        <f>IFERROR(Table15[[#This Row],[ADD ACC]]*Table15[[#This Row],[RT TIME 
(380-800)]],0)</f>
        <v>0</v>
      </c>
      <c r="Q451" s="415">
        <f>IFERROR(VLOOKUP(Table15[[#This Row],[ROUTE]],PRICING!A:B,2,FALSE),0)</f>
        <v>0</v>
      </c>
      <c r="R451" s="235">
        <f>IFERROR(Table15[[#This Row],[C_DEMAND]]-Table15[[#This Row],[R-DEMAND]],0)</f>
        <v>0</v>
      </c>
      <c r="S451" s="408">
        <f t="shared" ref="S451:S514" si="7">IFERROR(R451*Q451,0)</f>
        <v>0</v>
      </c>
      <c r="T451" s="419">
        <f>Table15[[#This Row],[R-DEMAND]]-(Table15[[#This Row],[ADD ACC]]*1706)</f>
        <v>0</v>
      </c>
      <c r="U451" s="419">
        <f>ROUNDDOWN(Table15[[#This Row],[Column1]]/1360,0)</f>
        <v>0</v>
      </c>
      <c r="V451" s="419"/>
      <c r="W451" s="251">
        <v>18.25</v>
      </c>
      <c r="X451" s="251">
        <f>ROUNDDOWN(Table15[[#This Row],[R-DEMAND]]/1320,0)</f>
        <v>0</v>
      </c>
      <c r="Y451" s="251">
        <f>IFERROR(Table15[[#This Row],[ADD ACC
(660/1320)]]*Table15[[#This Row],[Duration
(B744)]],0)</f>
        <v>0</v>
      </c>
      <c r="Z451" s="251"/>
    </row>
    <row r="452" spans="1:26" ht="15.75" customHeight="1" x14ac:dyDescent="0.25">
      <c r="A452" s="210" t="s">
        <v>15421</v>
      </c>
      <c r="B452" s="204" t="s">
        <v>4884</v>
      </c>
      <c r="C452" s="204"/>
      <c r="D452" s="205">
        <v>3</v>
      </c>
      <c r="E452" s="204" t="s">
        <v>774</v>
      </c>
      <c r="F452" s="204" t="str">
        <f>VLOOKUP(E452,Table10[[COUNTRY NAME]:[CONTINENT CODE]],3,FALSE)</f>
        <v>OC</v>
      </c>
      <c r="G452" s="206" t="s">
        <v>12090</v>
      </c>
      <c r="H452" s="207">
        <v>7257</v>
      </c>
      <c r="I452" s="208">
        <v>18.25</v>
      </c>
      <c r="J452" s="345"/>
      <c r="K452" s="345">
        <f>IFERROR(Table15[[#This Row],[ROUTE $]]/Table15[[#This Row],[E - DEMAND]],0)</f>
        <v>0</v>
      </c>
      <c r="L452" s="204"/>
      <c r="M452" s="412">
        <f>IFERROR(VLOOKUP(Table15[[#This Row],[ROUTE]],DEMAND!A:F,5,FALSE),0)</f>
        <v>0</v>
      </c>
      <c r="N452" s="16">
        <f>IFERROR(VLOOKUP(Table15[[#This Row],[ROUTE]],DEMAND!A:F,6,FALSE),0)</f>
        <v>0</v>
      </c>
      <c r="O452" s="16">
        <f>IFERROR(ROUNDDOWN(Table15[[#This Row],[R-DEMAND]]/1706,0),0)</f>
        <v>0</v>
      </c>
      <c r="P452" s="16">
        <f>IFERROR(Table15[[#This Row],[ADD ACC]]*Table15[[#This Row],[RT TIME 
(380-800)]],0)</f>
        <v>0</v>
      </c>
      <c r="Q452" s="415">
        <f>IFERROR(VLOOKUP(Table15[[#This Row],[ROUTE]],PRICING!A:B,2,FALSE),0)</f>
        <v>0</v>
      </c>
      <c r="R452" s="235">
        <f>IFERROR(Table15[[#This Row],[C_DEMAND]]-Table15[[#This Row],[R-DEMAND]],0)</f>
        <v>0</v>
      </c>
      <c r="S452" s="408">
        <f t="shared" si="7"/>
        <v>0</v>
      </c>
      <c r="T452" s="419">
        <f>Table15[[#This Row],[R-DEMAND]]-(Table15[[#This Row],[ADD ACC]]*1706)</f>
        <v>0</v>
      </c>
      <c r="U452" s="419">
        <f>ROUNDDOWN(Table15[[#This Row],[Column1]]/1360,0)</f>
        <v>0</v>
      </c>
      <c r="V452" s="419"/>
      <c r="W452" s="251">
        <v>18.25</v>
      </c>
      <c r="X452" s="251">
        <f>ROUNDDOWN(Table15[[#This Row],[R-DEMAND]]/1320,0)</f>
        <v>0</v>
      </c>
      <c r="Y452" s="251">
        <f>IFERROR(Table15[[#This Row],[ADD ACC
(660/1320)]]*Table15[[#This Row],[Duration
(B744)]],0)</f>
        <v>0</v>
      </c>
      <c r="Z452" s="251"/>
    </row>
    <row r="453" spans="1:26" ht="15.75" customHeight="1" x14ac:dyDescent="0.25">
      <c r="A453" s="210" t="s">
        <v>15416</v>
      </c>
      <c r="B453" s="204" t="s">
        <v>4194</v>
      </c>
      <c r="C453" s="204"/>
      <c r="D453" s="205">
        <v>2</v>
      </c>
      <c r="E453" s="204" t="s">
        <v>119</v>
      </c>
      <c r="F453" s="204" t="str">
        <f>VLOOKUP(E453,Table10[[COUNTRY NAME]:[CONTINENT CODE]],3,FALSE)</f>
        <v>EU</v>
      </c>
      <c r="G453" s="210" t="s">
        <v>11703</v>
      </c>
      <c r="H453" s="207">
        <v>7296</v>
      </c>
      <c r="I453" s="208">
        <v>18.25</v>
      </c>
      <c r="J453" s="345"/>
      <c r="K453" s="345">
        <f>IFERROR(Table15[[#This Row],[ROUTE $]]/Table15[[#This Row],[E - DEMAND]],0)</f>
        <v>0</v>
      </c>
      <c r="L453" s="204"/>
      <c r="M453" s="412">
        <f>IFERROR(VLOOKUP(Table15[[#This Row],[ROUTE]],DEMAND!A:F,5,FALSE),0)</f>
        <v>0</v>
      </c>
      <c r="N453" s="16">
        <f>IFERROR(VLOOKUP(Table15[[#This Row],[ROUTE]],DEMAND!A:F,6,FALSE),0)</f>
        <v>0</v>
      </c>
      <c r="O453" s="16">
        <f>IFERROR(ROUNDDOWN(Table15[[#This Row],[R-DEMAND]]/1706,0),0)</f>
        <v>0</v>
      </c>
      <c r="P453" s="16">
        <f>IFERROR(Table15[[#This Row],[ADD ACC]]*Table15[[#This Row],[RT TIME 
(380-800)]],0)</f>
        <v>0</v>
      </c>
      <c r="Q453" s="415">
        <f>IFERROR(VLOOKUP(Table15[[#This Row],[ROUTE]],PRICING!A:B,2,FALSE),0)</f>
        <v>0</v>
      </c>
      <c r="R453" s="235">
        <f>IFERROR(Table15[[#This Row],[C_DEMAND]]-Table15[[#This Row],[R-DEMAND]],0)</f>
        <v>0</v>
      </c>
      <c r="S453" s="408">
        <f t="shared" si="7"/>
        <v>0</v>
      </c>
      <c r="T453" s="419">
        <f>Table15[[#This Row],[R-DEMAND]]-(Table15[[#This Row],[ADD ACC]]*1706)</f>
        <v>0</v>
      </c>
      <c r="U453" s="419">
        <f>ROUNDDOWN(Table15[[#This Row],[Column1]]/1360,0)</f>
        <v>0</v>
      </c>
      <c r="V453" s="419"/>
      <c r="W453" s="251">
        <v>18.25</v>
      </c>
      <c r="X453" s="251">
        <f>ROUNDDOWN(Table15[[#This Row],[R-DEMAND]]/1320,0)</f>
        <v>0</v>
      </c>
      <c r="Y453" s="251">
        <f>IFERROR(Table15[[#This Row],[ADD ACC
(660/1320)]]*Table15[[#This Row],[Duration
(B744)]],0)</f>
        <v>0</v>
      </c>
      <c r="Z453" s="251"/>
    </row>
    <row r="454" spans="1:26" ht="15.75" customHeight="1" x14ac:dyDescent="0.25">
      <c r="A454" s="210" t="s">
        <v>15420</v>
      </c>
      <c r="B454" s="204" t="s">
        <v>2106</v>
      </c>
      <c r="C454" s="204"/>
      <c r="D454" s="205">
        <v>1</v>
      </c>
      <c r="E454" s="204" t="s">
        <v>2104</v>
      </c>
      <c r="F454" s="204" t="str">
        <f>VLOOKUP(E454,Table10[[COUNTRY NAME]:[CONTINENT CODE]],3,FALSE)</f>
        <v>AF</v>
      </c>
      <c r="G454" s="206" t="s">
        <v>11881</v>
      </c>
      <c r="H454" s="207">
        <v>7263</v>
      </c>
      <c r="I454" s="208">
        <v>18.25</v>
      </c>
      <c r="J454" s="345"/>
      <c r="K454" s="345">
        <f>IFERROR(Table15[[#This Row],[ROUTE $]]/Table15[[#This Row],[E - DEMAND]],0)</f>
        <v>0</v>
      </c>
      <c r="L454" s="204"/>
      <c r="M454" s="412">
        <f>IFERROR(VLOOKUP(Table15[[#This Row],[ROUTE]],DEMAND!A:F,5,FALSE),0)</f>
        <v>0</v>
      </c>
      <c r="N454" s="16">
        <f>IFERROR(VLOOKUP(Table15[[#This Row],[ROUTE]],DEMAND!A:F,6,FALSE),0)</f>
        <v>0</v>
      </c>
      <c r="O454" s="16">
        <f>IFERROR(ROUNDDOWN(Table15[[#This Row],[R-DEMAND]]/1706,0),0)</f>
        <v>0</v>
      </c>
      <c r="P454" s="16">
        <f>IFERROR(Table15[[#This Row],[ADD ACC]]*Table15[[#This Row],[RT TIME 
(380-800)]],0)</f>
        <v>0</v>
      </c>
      <c r="Q454" s="415">
        <f>IFERROR(VLOOKUP(Table15[[#This Row],[ROUTE]],PRICING!A:B,2,FALSE),0)</f>
        <v>0</v>
      </c>
      <c r="R454" s="235">
        <f>IFERROR(Table15[[#This Row],[C_DEMAND]]-Table15[[#This Row],[R-DEMAND]],0)</f>
        <v>0</v>
      </c>
      <c r="S454" s="408">
        <f t="shared" si="7"/>
        <v>0</v>
      </c>
      <c r="T454" s="419">
        <f>Table15[[#This Row],[R-DEMAND]]-(Table15[[#This Row],[ADD ACC]]*1706)</f>
        <v>0</v>
      </c>
      <c r="U454" s="419">
        <f>ROUNDDOWN(Table15[[#This Row],[Column1]]/1360,0)</f>
        <v>0</v>
      </c>
      <c r="V454" s="419"/>
      <c r="W454" s="251">
        <v>18.25</v>
      </c>
      <c r="X454" s="251">
        <f>ROUNDDOWN(Table15[[#This Row],[R-DEMAND]]/1320,0)</f>
        <v>0</v>
      </c>
      <c r="Y454" s="251">
        <f>IFERROR(Table15[[#This Row],[ADD ACC
(660/1320)]]*Table15[[#This Row],[Duration
(B744)]],0)</f>
        <v>0</v>
      </c>
      <c r="Z454" s="251"/>
    </row>
    <row r="455" spans="1:26" ht="15.75" customHeight="1" x14ac:dyDescent="0.25">
      <c r="A455" s="210" t="s">
        <v>15431</v>
      </c>
      <c r="B455" s="204" t="s">
        <v>3618</v>
      </c>
      <c r="C455" s="204"/>
      <c r="D455" s="205">
        <v>2</v>
      </c>
      <c r="E455" s="204" t="s">
        <v>3616</v>
      </c>
      <c r="F455" s="204" t="str">
        <f>VLOOKUP(E455,Table10[[COUNTRY NAME]:[CONTINENT CODE]],3,FALSE)</f>
        <v>AF</v>
      </c>
      <c r="G455" s="206" t="s">
        <v>11776</v>
      </c>
      <c r="H455" s="207">
        <v>7160</v>
      </c>
      <c r="I455" s="208">
        <v>18</v>
      </c>
      <c r="J455" s="345"/>
      <c r="K455" s="345">
        <f>IFERROR(Table15[[#This Row],[ROUTE $]]/Table15[[#This Row],[E - DEMAND]],0)</f>
        <v>0</v>
      </c>
      <c r="L455" s="204"/>
      <c r="M455" s="412">
        <f>IFERROR(VLOOKUP(Table15[[#This Row],[ROUTE]],DEMAND!A:F,5,FALSE),0)</f>
        <v>0</v>
      </c>
      <c r="N455" s="16">
        <f>IFERROR(VLOOKUP(Table15[[#This Row],[ROUTE]],DEMAND!A:F,6,FALSE),0)</f>
        <v>0</v>
      </c>
      <c r="O455" s="16">
        <f>IFERROR(ROUNDDOWN(Table15[[#This Row],[R-DEMAND]]/1706,0),0)</f>
        <v>0</v>
      </c>
      <c r="P455" s="16">
        <f>IFERROR(Table15[[#This Row],[ADD ACC]]*Table15[[#This Row],[RT TIME 
(380-800)]],0)</f>
        <v>0</v>
      </c>
      <c r="Q455" s="415">
        <f>IFERROR(VLOOKUP(Table15[[#This Row],[ROUTE]],PRICING!A:B,2,FALSE),0)</f>
        <v>0</v>
      </c>
      <c r="R455" s="235">
        <f>IFERROR(Table15[[#This Row],[C_DEMAND]]-Table15[[#This Row],[R-DEMAND]],0)</f>
        <v>0</v>
      </c>
      <c r="S455" s="408">
        <f t="shared" si="7"/>
        <v>0</v>
      </c>
      <c r="T455" s="419">
        <f>Table15[[#This Row],[R-DEMAND]]-(Table15[[#This Row],[ADD ACC]]*1706)</f>
        <v>0</v>
      </c>
      <c r="U455" s="419">
        <f>ROUNDDOWN(Table15[[#This Row],[Column1]]/1360,0)</f>
        <v>0</v>
      </c>
      <c r="V455" s="419"/>
      <c r="W455" s="251">
        <v>18</v>
      </c>
      <c r="X455" s="251">
        <f>ROUNDDOWN(Table15[[#This Row],[R-DEMAND]]/1320,0)</f>
        <v>0</v>
      </c>
      <c r="Y455" s="251">
        <f>IFERROR(Table15[[#This Row],[ADD ACC
(660/1320)]]*Table15[[#This Row],[Duration
(B744)]],0)</f>
        <v>0</v>
      </c>
      <c r="Z455" s="251"/>
    </row>
    <row r="456" spans="1:26" ht="15.75" customHeight="1" x14ac:dyDescent="0.25">
      <c r="A456" s="210" t="s">
        <v>15426</v>
      </c>
      <c r="B456" s="204" t="s">
        <v>4349</v>
      </c>
      <c r="C456" s="204"/>
      <c r="D456" s="205">
        <v>2</v>
      </c>
      <c r="E456" s="204" t="s">
        <v>4347</v>
      </c>
      <c r="F456" s="204" t="str">
        <f>VLOOKUP(E456,Table10[[COUNTRY NAME]:[CONTINENT CODE]],3,FALSE)</f>
        <v>AF</v>
      </c>
      <c r="G456" s="206" t="s">
        <v>11784</v>
      </c>
      <c r="H456" s="207">
        <v>7213</v>
      </c>
      <c r="I456" s="208">
        <v>18</v>
      </c>
      <c r="J456" s="345"/>
      <c r="K456" s="345">
        <f>IFERROR(Table15[[#This Row],[ROUTE $]]/Table15[[#This Row],[E - DEMAND]],0)</f>
        <v>0</v>
      </c>
      <c r="L456" s="204"/>
      <c r="M456" s="412">
        <f>IFERROR(VLOOKUP(Table15[[#This Row],[ROUTE]],DEMAND!A:F,5,FALSE),0)</f>
        <v>0</v>
      </c>
      <c r="N456" s="16">
        <f>IFERROR(VLOOKUP(Table15[[#This Row],[ROUTE]],DEMAND!A:F,6,FALSE),0)</f>
        <v>0</v>
      </c>
      <c r="O456" s="16">
        <f>IFERROR(ROUNDDOWN(Table15[[#This Row],[R-DEMAND]]/1706,0),0)</f>
        <v>0</v>
      </c>
      <c r="P456" s="16">
        <f>IFERROR(Table15[[#This Row],[ADD ACC]]*Table15[[#This Row],[RT TIME 
(380-800)]],0)</f>
        <v>0</v>
      </c>
      <c r="Q456" s="415">
        <f>IFERROR(VLOOKUP(Table15[[#This Row],[ROUTE]],PRICING!A:B,2,FALSE),0)</f>
        <v>0</v>
      </c>
      <c r="R456" s="235">
        <f>IFERROR(Table15[[#This Row],[C_DEMAND]]-Table15[[#This Row],[R-DEMAND]],0)</f>
        <v>0</v>
      </c>
      <c r="S456" s="408">
        <f t="shared" si="7"/>
        <v>0</v>
      </c>
      <c r="T456" s="419">
        <f>Table15[[#This Row],[R-DEMAND]]-(Table15[[#This Row],[ADD ACC]]*1706)</f>
        <v>0</v>
      </c>
      <c r="U456" s="419">
        <f>ROUNDDOWN(Table15[[#This Row],[Column1]]/1360,0)</f>
        <v>0</v>
      </c>
      <c r="V456" s="419"/>
      <c r="W456" s="251">
        <v>18</v>
      </c>
      <c r="X456" s="251">
        <f>ROUNDDOWN(Table15[[#This Row],[R-DEMAND]]/1320,0)</f>
        <v>0</v>
      </c>
      <c r="Y456" s="251">
        <f>IFERROR(Table15[[#This Row],[ADD ACC
(660/1320)]]*Table15[[#This Row],[Duration
(B744)]],0)</f>
        <v>0</v>
      </c>
      <c r="Z456" s="251"/>
    </row>
    <row r="457" spans="1:26" ht="15.75" customHeight="1" x14ac:dyDescent="0.25">
      <c r="A457" s="210" t="s">
        <v>15427</v>
      </c>
      <c r="B457" s="204" t="s">
        <v>3990</v>
      </c>
      <c r="C457" s="204"/>
      <c r="D457" s="205">
        <v>2</v>
      </c>
      <c r="E457" s="204" t="s">
        <v>560</v>
      </c>
      <c r="F457" s="204" t="str">
        <f>VLOOKUP(E457,Table10[[COUNTRY NAME]:[CONTINENT CODE]],3,FALSE)</f>
        <v>EU</v>
      </c>
      <c r="G457" s="210" t="s">
        <v>11709</v>
      </c>
      <c r="H457" s="207">
        <v>7200</v>
      </c>
      <c r="I457" s="208">
        <v>18</v>
      </c>
      <c r="J457" s="345"/>
      <c r="K457" s="345">
        <f>IFERROR(Table15[[#This Row],[ROUTE $]]/Table15[[#This Row],[E - DEMAND]],0)</f>
        <v>0</v>
      </c>
      <c r="L457" s="204"/>
      <c r="M457" s="412">
        <f>IFERROR(VLOOKUP(Table15[[#This Row],[ROUTE]],DEMAND!A:F,5,FALSE),0)</f>
        <v>0</v>
      </c>
      <c r="N457" s="16">
        <f>IFERROR(VLOOKUP(Table15[[#This Row],[ROUTE]],DEMAND!A:F,6,FALSE),0)</f>
        <v>0</v>
      </c>
      <c r="O457" s="16">
        <f>IFERROR(ROUNDDOWN(Table15[[#This Row],[R-DEMAND]]/1706,0),0)</f>
        <v>0</v>
      </c>
      <c r="P457" s="16">
        <f>IFERROR(Table15[[#This Row],[ADD ACC]]*Table15[[#This Row],[RT TIME 
(380-800)]],0)</f>
        <v>0</v>
      </c>
      <c r="Q457" s="415">
        <f>IFERROR(VLOOKUP(Table15[[#This Row],[ROUTE]],PRICING!A:B,2,FALSE),0)</f>
        <v>0</v>
      </c>
      <c r="R457" s="235">
        <f>IFERROR(Table15[[#This Row],[C_DEMAND]]-Table15[[#This Row],[R-DEMAND]],0)</f>
        <v>0</v>
      </c>
      <c r="S457" s="408">
        <f t="shared" si="7"/>
        <v>0</v>
      </c>
      <c r="T457" s="419">
        <f>Table15[[#This Row],[R-DEMAND]]-(Table15[[#This Row],[ADD ACC]]*1706)</f>
        <v>0</v>
      </c>
      <c r="U457" s="419">
        <f>ROUNDDOWN(Table15[[#This Row],[Column1]]/1360,0)</f>
        <v>0</v>
      </c>
      <c r="V457" s="419"/>
      <c r="W457" s="251">
        <v>18</v>
      </c>
      <c r="X457" s="251">
        <f>ROUNDDOWN(Table15[[#This Row],[R-DEMAND]]/1320,0)</f>
        <v>0</v>
      </c>
      <c r="Y457" s="251">
        <f>IFERROR(Table15[[#This Row],[ADD ACC
(660/1320)]]*Table15[[#This Row],[Duration
(B744)]],0)</f>
        <v>0</v>
      </c>
      <c r="Z457" s="251"/>
    </row>
    <row r="458" spans="1:26" ht="15.75" customHeight="1" x14ac:dyDescent="0.25">
      <c r="A458" s="210" t="s">
        <v>15430</v>
      </c>
      <c r="B458" s="204" t="s">
        <v>1169</v>
      </c>
      <c r="C458" s="204"/>
      <c r="D458" s="205">
        <v>1</v>
      </c>
      <c r="E458" s="204" t="s">
        <v>493</v>
      </c>
      <c r="F458" s="204" t="str">
        <f>VLOOKUP(E458,Table10[[COUNTRY NAME]:[CONTINENT CODE]],3,FALSE)</f>
        <v>AF</v>
      </c>
      <c r="G458" s="206" t="s">
        <v>11715</v>
      </c>
      <c r="H458" s="207">
        <v>7162</v>
      </c>
      <c r="I458" s="208">
        <v>18</v>
      </c>
      <c r="J458" s="345"/>
      <c r="K458" s="345">
        <f>IFERROR(Table15[[#This Row],[ROUTE $]]/Table15[[#This Row],[E - DEMAND]],0)</f>
        <v>0</v>
      </c>
      <c r="L458" s="204"/>
      <c r="M458" s="412">
        <f>IFERROR(VLOOKUP(Table15[[#This Row],[ROUTE]],DEMAND!A:F,5,FALSE),0)</f>
        <v>0</v>
      </c>
      <c r="N458" s="16">
        <f>IFERROR(VLOOKUP(Table15[[#This Row],[ROUTE]],DEMAND!A:F,6,FALSE),0)</f>
        <v>0</v>
      </c>
      <c r="O458" s="16">
        <f>IFERROR(ROUNDDOWN(Table15[[#This Row],[R-DEMAND]]/1706,0),0)</f>
        <v>0</v>
      </c>
      <c r="P458" s="16">
        <f>IFERROR(Table15[[#This Row],[ADD ACC]]*Table15[[#This Row],[RT TIME 
(380-800)]],0)</f>
        <v>0</v>
      </c>
      <c r="Q458" s="415">
        <f>IFERROR(VLOOKUP(Table15[[#This Row],[ROUTE]],PRICING!A:B,2,FALSE),0)</f>
        <v>0</v>
      </c>
      <c r="R458" s="235">
        <f>IFERROR(Table15[[#This Row],[C_DEMAND]]-Table15[[#This Row],[R-DEMAND]],0)</f>
        <v>0</v>
      </c>
      <c r="S458" s="408">
        <f t="shared" si="7"/>
        <v>0</v>
      </c>
      <c r="T458" s="419">
        <f>Table15[[#This Row],[R-DEMAND]]-(Table15[[#This Row],[ADD ACC]]*1706)</f>
        <v>0</v>
      </c>
      <c r="U458" s="419">
        <f>ROUNDDOWN(Table15[[#This Row],[Column1]]/1360,0)</f>
        <v>0</v>
      </c>
      <c r="V458" s="419"/>
      <c r="W458" s="251">
        <v>18</v>
      </c>
      <c r="X458" s="251">
        <f>ROUNDDOWN(Table15[[#This Row],[R-DEMAND]]/1320,0)</f>
        <v>0</v>
      </c>
      <c r="Y458" s="251">
        <f>IFERROR(Table15[[#This Row],[ADD ACC
(660/1320)]]*Table15[[#This Row],[Duration
(B744)]],0)</f>
        <v>0</v>
      </c>
      <c r="Z458" s="251"/>
    </row>
    <row r="459" spans="1:26" ht="15.75" customHeight="1" x14ac:dyDescent="0.25">
      <c r="A459" s="210" t="s">
        <v>15432</v>
      </c>
      <c r="B459" s="204" t="s">
        <v>527</v>
      </c>
      <c r="C459" s="204"/>
      <c r="D459" s="205">
        <v>1</v>
      </c>
      <c r="E459" s="204" t="s">
        <v>493</v>
      </c>
      <c r="F459" s="204" t="str">
        <f>VLOOKUP(E459,Table10[[COUNTRY NAME]:[CONTINENT CODE]],3,FALSE)</f>
        <v>AF</v>
      </c>
      <c r="G459" s="206" t="s">
        <v>11710</v>
      </c>
      <c r="H459" s="207">
        <v>7142</v>
      </c>
      <c r="I459" s="208">
        <v>18</v>
      </c>
      <c r="J459" s="345"/>
      <c r="K459" s="345">
        <f>IFERROR(Table15[[#This Row],[ROUTE $]]/Table15[[#This Row],[E - DEMAND]],0)</f>
        <v>0</v>
      </c>
      <c r="L459" s="204"/>
      <c r="M459" s="412">
        <f>IFERROR(VLOOKUP(Table15[[#This Row],[ROUTE]],DEMAND!A:F,5,FALSE),0)</f>
        <v>0</v>
      </c>
      <c r="N459" s="16">
        <f>IFERROR(VLOOKUP(Table15[[#This Row],[ROUTE]],DEMAND!A:F,6,FALSE),0)</f>
        <v>0</v>
      </c>
      <c r="O459" s="16">
        <f>IFERROR(ROUNDDOWN(Table15[[#This Row],[R-DEMAND]]/1706,0),0)</f>
        <v>0</v>
      </c>
      <c r="P459" s="16">
        <f>IFERROR(Table15[[#This Row],[ADD ACC]]*Table15[[#This Row],[RT TIME 
(380-800)]],0)</f>
        <v>0</v>
      </c>
      <c r="Q459" s="415">
        <f>IFERROR(VLOOKUP(Table15[[#This Row],[ROUTE]],PRICING!A:B,2,FALSE),0)</f>
        <v>0</v>
      </c>
      <c r="R459" s="235">
        <f>IFERROR(Table15[[#This Row],[C_DEMAND]]-Table15[[#This Row],[R-DEMAND]],0)</f>
        <v>0</v>
      </c>
      <c r="S459" s="408">
        <f t="shared" si="7"/>
        <v>0</v>
      </c>
      <c r="T459" s="419">
        <f>Table15[[#This Row],[R-DEMAND]]-(Table15[[#This Row],[ADD ACC]]*1706)</f>
        <v>0</v>
      </c>
      <c r="U459" s="419">
        <f>ROUNDDOWN(Table15[[#This Row],[Column1]]/1360,0)</f>
        <v>0</v>
      </c>
      <c r="V459" s="419"/>
      <c r="W459" s="251">
        <v>18</v>
      </c>
      <c r="X459" s="251">
        <f>ROUNDDOWN(Table15[[#This Row],[R-DEMAND]]/1320,0)</f>
        <v>0</v>
      </c>
      <c r="Y459" s="251">
        <f>IFERROR(Table15[[#This Row],[ADD ACC
(660/1320)]]*Table15[[#This Row],[Duration
(B744)]],0)</f>
        <v>0</v>
      </c>
      <c r="Z459" s="251"/>
    </row>
    <row r="460" spans="1:26" ht="15.75" customHeight="1" x14ac:dyDescent="0.25">
      <c r="A460" s="210" t="s">
        <v>15443</v>
      </c>
      <c r="B460" s="204" t="s">
        <v>3868</v>
      </c>
      <c r="C460" s="204"/>
      <c r="D460" s="205">
        <v>2</v>
      </c>
      <c r="E460" s="204" t="s">
        <v>1625</v>
      </c>
      <c r="F460" s="204" t="str">
        <f>VLOOKUP(E460,Table10[[COUNTRY NAME]:[CONTINENT CODE]],3,FALSE)</f>
        <v>AF</v>
      </c>
      <c r="G460" s="206" t="s">
        <v>11869</v>
      </c>
      <c r="H460" s="207">
        <v>7029</v>
      </c>
      <c r="I460" s="208">
        <v>17.75</v>
      </c>
      <c r="J460" s="345"/>
      <c r="K460" s="345">
        <f>IFERROR(Table15[[#This Row],[ROUTE $]]/Table15[[#This Row],[E - DEMAND]],0)</f>
        <v>0</v>
      </c>
      <c r="L460" s="204"/>
      <c r="M460" s="412">
        <f>IFERROR(VLOOKUP(Table15[[#This Row],[ROUTE]],DEMAND!A:F,5,FALSE),0)</f>
        <v>0</v>
      </c>
      <c r="N460" s="16">
        <f>IFERROR(VLOOKUP(Table15[[#This Row],[ROUTE]],DEMAND!A:F,6,FALSE),0)</f>
        <v>0</v>
      </c>
      <c r="O460" s="16">
        <f>IFERROR(ROUNDDOWN(Table15[[#This Row],[R-DEMAND]]/1706,0),0)</f>
        <v>0</v>
      </c>
      <c r="P460" s="16">
        <f>IFERROR(Table15[[#This Row],[ADD ACC]]*Table15[[#This Row],[RT TIME 
(380-800)]],0)</f>
        <v>0</v>
      </c>
      <c r="Q460" s="415">
        <f>IFERROR(VLOOKUP(Table15[[#This Row],[ROUTE]],PRICING!A:B,2,FALSE),0)</f>
        <v>0</v>
      </c>
      <c r="R460" s="235">
        <f>IFERROR(Table15[[#This Row],[C_DEMAND]]-Table15[[#This Row],[R-DEMAND]],0)</f>
        <v>0</v>
      </c>
      <c r="S460" s="408">
        <f t="shared" si="7"/>
        <v>0</v>
      </c>
      <c r="T460" s="419">
        <f>Table15[[#This Row],[R-DEMAND]]-(Table15[[#This Row],[ADD ACC]]*1706)</f>
        <v>0</v>
      </c>
      <c r="U460" s="419">
        <f>ROUNDDOWN(Table15[[#This Row],[Column1]]/1360,0)</f>
        <v>0</v>
      </c>
      <c r="V460" s="419"/>
      <c r="W460" s="251">
        <v>17.75</v>
      </c>
      <c r="X460" s="251">
        <f>ROUNDDOWN(Table15[[#This Row],[R-DEMAND]]/1320,0)</f>
        <v>0</v>
      </c>
      <c r="Y460" s="251">
        <f>IFERROR(Table15[[#This Row],[ADD ACC
(660/1320)]]*Table15[[#This Row],[Duration
(B744)]],0)</f>
        <v>0</v>
      </c>
      <c r="Z460" s="251"/>
    </row>
    <row r="461" spans="1:26" ht="15.75" customHeight="1" x14ac:dyDescent="0.25">
      <c r="A461" s="210" t="s">
        <v>15441</v>
      </c>
      <c r="B461" s="204" t="s">
        <v>4324</v>
      </c>
      <c r="C461" s="204"/>
      <c r="D461" s="205">
        <v>2</v>
      </c>
      <c r="E461" s="16" t="s">
        <v>11732</v>
      </c>
      <c r="F461" s="204" t="str">
        <f>VLOOKUP(E461,Table10[[COUNTRY NAME]:[CONTINENT CODE]],3,FALSE)</f>
        <v>NA - US</v>
      </c>
      <c r="G461" s="206" t="s">
        <v>11783</v>
      </c>
      <c r="H461" s="207">
        <v>7045</v>
      </c>
      <c r="I461" s="208">
        <v>17.75</v>
      </c>
      <c r="J461" s="345"/>
      <c r="K461" s="345">
        <f>IFERROR(Table15[[#This Row],[ROUTE $]]/Table15[[#This Row],[E - DEMAND]],0)</f>
        <v>0</v>
      </c>
      <c r="L461" s="204"/>
      <c r="M461" s="412">
        <f>IFERROR(VLOOKUP(Table15[[#This Row],[ROUTE]],DEMAND!A:F,5,FALSE),0)</f>
        <v>0</v>
      </c>
      <c r="N461" s="16">
        <f>IFERROR(VLOOKUP(Table15[[#This Row],[ROUTE]],DEMAND!A:F,6,FALSE),0)</f>
        <v>0</v>
      </c>
      <c r="O461" s="16">
        <f>IFERROR(ROUNDDOWN(Table15[[#This Row],[R-DEMAND]]/1706,0),0)</f>
        <v>0</v>
      </c>
      <c r="P461" s="16">
        <f>IFERROR(Table15[[#This Row],[ADD ACC]]*Table15[[#This Row],[RT TIME 
(380-800)]],0)</f>
        <v>0</v>
      </c>
      <c r="Q461" s="415">
        <f>IFERROR(VLOOKUP(Table15[[#This Row],[ROUTE]],PRICING!A:B,2,FALSE),0)</f>
        <v>0</v>
      </c>
      <c r="R461" s="235">
        <f>IFERROR(Table15[[#This Row],[C_DEMAND]]-Table15[[#This Row],[R-DEMAND]],0)</f>
        <v>0</v>
      </c>
      <c r="S461" s="408">
        <f t="shared" si="7"/>
        <v>0</v>
      </c>
      <c r="T461" s="419">
        <f>Table15[[#This Row],[R-DEMAND]]-(Table15[[#This Row],[ADD ACC]]*1706)</f>
        <v>0</v>
      </c>
      <c r="U461" s="419">
        <f>ROUNDDOWN(Table15[[#This Row],[Column1]]/1360,0)</f>
        <v>0</v>
      </c>
      <c r="V461" s="419"/>
      <c r="W461" s="251">
        <v>17.75</v>
      </c>
      <c r="X461" s="251">
        <f>ROUNDDOWN(Table15[[#This Row],[R-DEMAND]]/1320,0)</f>
        <v>0</v>
      </c>
      <c r="Y461" s="251">
        <f>IFERROR(Table15[[#This Row],[ADD ACC
(660/1320)]]*Table15[[#This Row],[Duration
(B744)]],0)</f>
        <v>0</v>
      </c>
      <c r="Z461" s="251"/>
    </row>
    <row r="462" spans="1:26" ht="15.75" customHeight="1" x14ac:dyDescent="0.25">
      <c r="A462" s="210" t="s">
        <v>15438</v>
      </c>
      <c r="B462" s="204" t="s">
        <v>615</v>
      </c>
      <c r="C462" s="204"/>
      <c r="D462" s="205">
        <v>1</v>
      </c>
      <c r="E462" s="204" t="s">
        <v>493</v>
      </c>
      <c r="F462" s="204" t="str">
        <f>VLOOKUP(E462,Table10[[COUNTRY NAME]:[CONTINENT CODE]],3,FALSE)</f>
        <v>AF</v>
      </c>
      <c r="G462" s="206" t="s">
        <v>11716</v>
      </c>
      <c r="H462" s="207">
        <v>7073</v>
      </c>
      <c r="I462" s="208">
        <v>17.75</v>
      </c>
      <c r="J462" s="345"/>
      <c r="K462" s="345">
        <f>IFERROR(Table15[[#This Row],[ROUTE $]]/Table15[[#This Row],[E - DEMAND]],0)</f>
        <v>0</v>
      </c>
      <c r="L462" s="204"/>
      <c r="M462" s="412">
        <f>IFERROR(VLOOKUP(Table15[[#This Row],[ROUTE]],DEMAND!A:F,5,FALSE),0)</f>
        <v>0</v>
      </c>
      <c r="N462" s="16">
        <f>IFERROR(VLOOKUP(Table15[[#This Row],[ROUTE]],DEMAND!A:F,6,FALSE),0)</f>
        <v>0</v>
      </c>
      <c r="O462" s="16">
        <f>IFERROR(ROUNDDOWN(Table15[[#This Row],[R-DEMAND]]/1706,0),0)</f>
        <v>0</v>
      </c>
      <c r="P462" s="16">
        <f>IFERROR(Table15[[#This Row],[ADD ACC]]*Table15[[#This Row],[RT TIME 
(380-800)]],0)</f>
        <v>0</v>
      </c>
      <c r="Q462" s="415">
        <f>IFERROR(VLOOKUP(Table15[[#This Row],[ROUTE]],PRICING!A:B,2,FALSE),0)</f>
        <v>0</v>
      </c>
      <c r="R462" s="235">
        <f>IFERROR(Table15[[#This Row],[C_DEMAND]]-Table15[[#This Row],[R-DEMAND]],0)</f>
        <v>0</v>
      </c>
      <c r="S462" s="408">
        <f t="shared" si="7"/>
        <v>0</v>
      </c>
      <c r="T462" s="419">
        <f>Table15[[#This Row],[R-DEMAND]]-(Table15[[#This Row],[ADD ACC]]*1706)</f>
        <v>0</v>
      </c>
      <c r="U462" s="419">
        <f>ROUNDDOWN(Table15[[#This Row],[Column1]]/1360,0)</f>
        <v>0</v>
      </c>
      <c r="V462" s="419"/>
      <c r="W462" s="251">
        <v>17.75</v>
      </c>
      <c r="X462" s="251">
        <f>ROUNDDOWN(Table15[[#This Row],[R-DEMAND]]/1320,0)</f>
        <v>0</v>
      </c>
      <c r="Y462" s="251">
        <f>IFERROR(Table15[[#This Row],[ADD ACC
(660/1320)]]*Table15[[#This Row],[Duration
(B744)]],0)</f>
        <v>0</v>
      </c>
      <c r="Z462" s="251"/>
    </row>
    <row r="463" spans="1:26" ht="15.75" customHeight="1" x14ac:dyDescent="0.25">
      <c r="A463" s="210" t="s">
        <v>15447</v>
      </c>
      <c r="B463" s="204" t="s">
        <v>1643</v>
      </c>
      <c r="C463" s="204"/>
      <c r="D463" s="205">
        <v>1</v>
      </c>
      <c r="E463" s="204" t="s">
        <v>493</v>
      </c>
      <c r="F463" s="204" t="str">
        <f>VLOOKUP(E463,Table10[[COUNTRY NAME]:[CONTINENT CODE]],3,FALSE)</f>
        <v>AF</v>
      </c>
      <c r="G463" s="206" t="s">
        <v>11719</v>
      </c>
      <c r="H463" s="207">
        <v>7001</v>
      </c>
      <c r="I463" s="208">
        <v>17.75</v>
      </c>
      <c r="J463" s="345"/>
      <c r="K463" s="345">
        <f>IFERROR(Table15[[#This Row],[ROUTE $]]/Table15[[#This Row],[E - DEMAND]],0)</f>
        <v>0</v>
      </c>
      <c r="L463" s="204"/>
      <c r="M463" s="412">
        <f>IFERROR(VLOOKUP(Table15[[#This Row],[ROUTE]],DEMAND!A:F,5,FALSE),0)</f>
        <v>0</v>
      </c>
      <c r="N463" s="16">
        <f>IFERROR(VLOOKUP(Table15[[#This Row],[ROUTE]],DEMAND!A:F,6,FALSE),0)</f>
        <v>0</v>
      </c>
      <c r="O463" s="16">
        <f>IFERROR(ROUNDDOWN(Table15[[#This Row],[R-DEMAND]]/1706,0),0)</f>
        <v>0</v>
      </c>
      <c r="P463" s="16">
        <f>IFERROR(Table15[[#This Row],[ADD ACC]]*Table15[[#This Row],[RT TIME 
(380-800)]],0)</f>
        <v>0</v>
      </c>
      <c r="Q463" s="415">
        <f>IFERROR(VLOOKUP(Table15[[#This Row],[ROUTE]],PRICING!A:B,2,FALSE),0)</f>
        <v>0</v>
      </c>
      <c r="R463" s="235">
        <f>IFERROR(Table15[[#This Row],[C_DEMAND]]-Table15[[#This Row],[R-DEMAND]],0)</f>
        <v>0</v>
      </c>
      <c r="S463" s="408">
        <f t="shared" si="7"/>
        <v>0</v>
      </c>
      <c r="T463" s="419">
        <f>Table15[[#This Row],[R-DEMAND]]-(Table15[[#This Row],[ADD ACC]]*1706)</f>
        <v>0</v>
      </c>
      <c r="U463" s="419">
        <f>ROUNDDOWN(Table15[[#This Row],[Column1]]/1360,0)</f>
        <v>0</v>
      </c>
      <c r="V463" s="419"/>
      <c r="W463" s="251">
        <v>17.75</v>
      </c>
      <c r="X463" s="251">
        <f>ROUNDDOWN(Table15[[#This Row],[R-DEMAND]]/1320,0)</f>
        <v>0</v>
      </c>
      <c r="Y463" s="251">
        <f>IFERROR(Table15[[#This Row],[ADD ACC
(660/1320)]]*Table15[[#This Row],[Duration
(B744)]],0)</f>
        <v>0</v>
      </c>
      <c r="Z463" s="251"/>
    </row>
    <row r="464" spans="1:26" ht="15.75" customHeight="1" x14ac:dyDescent="0.25">
      <c r="A464" s="210" t="s">
        <v>15445</v>
      </c>
      <c r="B464" s="204" t="s">
        <v>575</v>
      </c>
      <c r="C464" s="204"/>
      <c r="D464" s="205">
        <v>1</v>
      </c>
      <c r="E464" s="204" t="s">
        <v>493</v>
      </c>
      <c r="F464" s="204" t="str">
        <f>VLOOKUP(E464,Table10[[COUNTRY NAME]:[CONTINENT CODE]],3,FALSE)</f>
        <v>AF</v>
      </c>
      <c r="G464" s="206" t="s">
        <v>11717</v>
      </c>
      <c r="H464" s="207">
        <v>7026</v>
      </c>
      <c r="I464" s="208">
        <v>17.75</v>
      </c>
      <c r="J464" s="345"/>
      <c r="K464" s="345">
        <f>IFERROR(Table15[[#This Row],[ROUTE $]]/Table15[[#This Row],[E - DEMAND]],0)</f>
        <v>0</v>
      </c>
      <c r="L464" s="204"/>
      <c r="M464" s="412">
        <f>IFERROR(VLOOKUP(Table15[[#This Row],[ROUTE]],DEMAND!A:F,5,FALSE),0)</f>
        <v>0</v>
      </c>
      <c r="N464" s="16">
        <f>IFERROR(VLOOKUP(Table15[[#This Row],[ROUTE]],DEMAND!A:F,6,FALSE),0)</f>
        <v>0</v>
      </c>
      <c r="O464" s="16">
        <f>IFERROR(ROUNDDOWN(Table15[[#This Row],[R-DEMAND]]/1706,0),0)</f>
        <v>0</v>
      </c>
      <c r="P464" s="16">
        <f>IFERROR(Table15[[#This Row],[ADD ACC]]*Table15[[#This Row],[RT TIME 
(380-800)]],0)</f>
        <v>0</v>
      </c>
      <c r="Q464" s="415">
        <f>IFERROR(VLOOKUP(Table15[[#This Row],[ROUTE]],PRICING!A:B,2,FALSE),0)</f>
        <v>0</v>
      </c>
      <c r="R464" s="235">
        <f>IFERROR(Table15[[#This Row],[C_DEMAND]]-Table15[[#This Row],[R-DEMAND]],0)</f>
        <v>0</v>
      </c>
      <c r="S464" s="408">
        <f t="shared" si="7"/>
        <v>0</v>
      </c>
      <c r="T464" s="419">
        <f>Table15[[#This Row],[R-DEMAND]]-(Table15[[#This Row],[ADD ACC]]*1706)</f>
        <v>0</v>
      </c>
      <c r="U464" s="419">
        <f>ROUNDDOWN(Table15[[#This Row],[Column1]]/1360,0)</f>
        <v>0</v>
      </c>
      <c r="V464" s="419"/>
      <c r="W464" s="251">
        <v>17.75</v>
      </c>
      <c r="X464" s="251">
        <f>ROUNDDOWN(Table15[[#This Row],[R-DEMAND]]/1320,0)</f>
        <v>0</v>
      </c>
      <c r="Y464" s="251">
        <f>IFERROR(Table15[[#This Row],[ADD ACC
(660/1320)]]*Table15[[#This Row],[Duration
(B744)]],0)</f>
        <v>0</v>
      </c>
      <c r="Z464" s="251"/>
    </row>
    <row r="465" spans="1:26" ht="15.75" customHeight="1" x14ac:dyDescent="0.25">
      <c r="A465" s="210" t="s">
        <v>15435</v>
      </c>
      <c r="B465" s="204" t="s">
        <v>1965</v>
      </c>
      <c r="C465" s="204"/>
      <c r="D465" s="205">
        <v>1</v>
      </c>
      <c r="E465" s="204" t="s">
        <v>644</v>
      </c>
      <c r="F465" s="204" t="str">
        <f>VLOOKUP(E465,Table10[[COUNTRY NAME]:[CONTINENT CODE]],3,FALSE)</f>
        <v>AF</v>
      </c>
      <c r="G465" s="206" t="s">
        <v>11839</v>
      </c>
      <c r="H465" s="207">
        <v>7109</v>
      </c>
      <c r="I465" s="208">
        <v>17.75</v>
      </c>
      <c r="J465" s="345"/>
      <c r="K465" s="345">
        <f>IFERROR(Table15[[#This Row],[ROUTE $]]/Table15[[#This Row],[E - DEMAND]],0)</f>
        <v>0</v>
      </c>
      <c r="L465" s="204"/>
      <c r="M465" s="412">
        <f>IFERROR(VLOOKUP(Table15[[#This Row],[ROUTE]],DEMAND!A:F,5,FALSE),0)</f>
        <v>0</v>
      </c>
      <c r="N465" s="16">
        <f>IFERROR(VLOOKUP(Table15[[#This Row],[ROUTE]],DEMAND!A:F,6,FALSE),0)</f>
        <v>0</v>
      </c>
      <c r="O465" s="16">
        <f>IFERROR(ROUNDDOWN(Table15[[#This Row],[R-DEMAND]]/1706,0),0)</f>
        <v>0</v>
      </c>
      <c r="P465" s="16">
        <f>IFERROR(Table15[[#This Row],[ADD ACC]]*Table15[[#This Row],[RT TIME 
(380-800)]],0)</f>
        <v>0</v>
      </c>
      <c r="Q465" s="415">
        <f>IFERROR(VLOOKUP(Table15[[#This Row],[ROUTE]],PRICING!A:B,2,FALSE),0)</f>
        <v>0</v>
      </c>
      <c r="R465" s="235">
        <f>IFERROR(Table15[[#This Row],[C_DEMAND]]-Table15[[#This Row],[R-DEMAND]],0)</f>
        <v>0</v>
      </c>
      <c r="S465" s="408">
        <f t="shared" si="7"/>
        <v>0</v>
      </c>
      <c r="T465" s="419">
        <f>Table15[[#This Row],[R-DEMAND]]-(Table15[[#This Row],[ADD ACC]]*1706)</f>
        <v>0</v>
      </c>
      <c r="U465" s="419">
        <f>ROUNDDOWN(Table15[[#This Row],[Column1]]/1360,0)</f>
        <v>0</v>
      </c>
      <c r="V465" s="419"/>
      <c r="W465" s="251">
        <v>17.75</v>
      </c>
      <c r="X465" s="251">
        <f>ROUNDDOWN(Table15[[#This Row],[R-DEMAND]]/1320,0)</f>
        <v>0</v>
      </c>
      <c r="Y465" s="251">
        <f>IFERROR(Table15[[#This Row],[ADD ACC
(660/1320)]]*Table15[[#This Row],[Duration
(B744)]],0)</f>
        <v>0</v>
      </c>
      <c r="Z465" s="251"/>
    </row>
    <row r="466" spans="1:26" ht="15.75" customHeight="1" x14ac:dyDescent="0.25">
      <c r="A466" s="210" t="s">
        <v>15440</v>
      </c>
      <c r="B466" s="204" t="s">
        <v>584</v>
      </c>
      <c r="C466" s="204"/>
      <c r="D466" s="205">
        <v>1</v>
      </c>
      <c r="E466" s="204" t="s">
        <v>560</v>
      </c>
      <c r="F466" s="204" t="str">
        <f>VLOOKUP(E466,Table10[[COUNTRY NAME]:[CONTINENT CODE]],3,FALSE)</f>
        <v>EU</v>
      </c>
      <c r="G466" s="210" t="s">
        <v>11718</v>
      </c>
      <c r="H466" s="207">
        <v>7054</v>
      </c>
      <c r="I466" s="208">
        <v>17.75</v>
      </c>
      <c r="J466" s="345"/>
      <c r="K466" s="345">
        <f>IFERROR(Table15[[#This Row],[ROUTE $]]/Table15[[#This Row],[E - DEMAND]],0)</f>
        <v>0</v>
      </c>
      <c r="L466" s="204"/>
      <c r="M466" s="412">
        <f>IFERROR(VLOOKUP(Table15[[#This Row],[ROUTE]],DEMAND!A:F,5,FALSE),0)</f>
        <v>0</v>
      </c>
      <c r="N466" s="16">
        <f>IFERROR(VLOOKUP(Table15[[#This Row],[ROUTE]],DEMAND!A:F,6,FALSE),0)</f>
        <v>0</v>
      </c>
      <c r="O466" s="16">
        <f>IFERROR(ROUNDDOWN(Table15[[#This Row],[R-DEMAND]]/1706,0),0)</f>
        <v>0</v>
      </c>
      <c r="P466" s="16">
        <f>IFERROR(Table15[[#This Row],[ADD ACC]]*Table15[[#This Row],[RT TIME 
(380-800)]],0)</f>
        <v>0</v>
      </c>
      <c r="Q466" s="415">
        <f>IFERROR(VLOOKUP(Table15[[#This Row],[ROUTE]],PRICING!A:B,2,FALSE),0)</f>
        <v>0</v>
      </c>
      <c r="R466" s="235">
        <f>IFERROR(Table15[[#This Row],[C_DEMAND]]-Table15[[#This Row],[R-DEMAND]],0)</f>
        <v>0</v>
      </c>
      <c r="S466" s="408">
        <f t="shared" si="7"/>
        <v>0</v>
      </c>
      <c r="T466" s="419">
        <f>Table15[[#This Row],[R-DEMAND]]-(Table15[[#This Row],[ADD ACC]]*1706)</f>
        <v>0</v>
      </c>
      <c r="U466" s="419">
        <f>ROUNDDOWN(Table15[[#This Row],[Column1]]/1360,0)</f>
        <v>0</v>
      </c>
      <c r="V466" s="419"/>
      <c r="W466" s="251">
        <v>17.75</v>
      </c>
      <c r="X466" s="251">
        <f>ROUNDDOWN(Table15[[#This Row],[R-DEMAND]]/1320,0)</f>
        <v>0</v>
      </c>
      <c r="Y466" s="251">
        <f>IFERROR(Table15[[#This Row],[ADD ACC
(660/1320)]]*Table15[[#This Row],[Duration
(B744)]],0)</f>
        <v>0</v>
      </c>
      <c r="Z466" s="251"/>
    </row>
    <row r="467" spans="1:26" ht="15.75" customHeight="1" x14ac:dyDescent="0.25">
      <c r="A467" s="210" t="s">
        <v>15436</v>
      </c>
      <c r="B467" s="204" t="s">
        <v>1199</v>
      </c>
      <c r="C467" s="204"/>
      <c r="D467" s="205">
        <v>1</v>
      </c>
      <c r="E467" s="204" t="s">
        <v>83</v>
      </c>
      <c r="F467" s="204" t="str">
        <f>VLOOKUP(E467,Table10[[COUNTRY NAME]:[CONTINENT CODE]],3,FALSE)</f>
        <v>EU</v>
      </c>
      <c r="G467" s="210" t="s">
        <v>11720</v>
      </c>
      <c r="H467" s="207">
        <v>7089</v>
      </c>
      <c r="I467" s="208">
        <v>17.75</v>
      </c>
      <c r="J467" s="345"/>
      <c r="K467" s="345">
        <f>IFERROR(Table15[[#This Row],[ROUTE $]]/Table15[[#This Row],[E - DEMAND]],0)</f>
        <v>0</v>
      </c>
      <c r="L467" s="204"/>
      <c r="M467" s="412">
        <f>IFERROR(VLOOKUP(Table15[[#This Row],[ROUTE]],DEMAND!A:F,5,FALSE),0)</f>
        <v>0</v>
      </c>
      <c r="N467" s="16">
        <f>IFERROR(VLOOKUP(Table15[[#This Row],[ROUTE]],DEMAND!A:F,6,FALSE),0)</f>
        <v>0</v>
      </c>
      <c r="O467" s="16">
        <f>IFERROR(ROUNDDOWN(Table15[[#This Row],[R-DEMAND]]/1706,0),0)</f>
        <v>0</v>
      </c>
      <c r="P467" s="16">
        <f>IFERROR(Table15[[#This Row],[ADD ACC]]*Table15[[#This Row],[RT TIME 
(380-800)]],0)</f>
        <v>0</v>
      </c>
      <c r="Q467" s="415">
        <f>IFERROR(VLOOKUP(Table15[[#This Row],[ROUTE]],PRICING!A:B,2,FALSE),0)</f>
        <v>0</v>
      </c>
      <c r="R467" s="235">
        <f>IFERROR(Table15[[#This Row],[C_DEMAND]]-Table15[[#This Row],[R-DEMAND]],0)</f>
        <v>0</v>
      </c>
      <c r="S467" s="408">
        <f t="shared" si="7"/>
        <v>0</v>
      </c>
      <c r="T467" s="419">
        <f>Table15[[#This Row],[R-DEMAND]]-(Table15[[#This Row],[ADD ACC]]*1706)</f>
        <v>0</v>
      </c>
      <c r="U467" s="419">
        <f>ROUNDDOWN(Table15[[#This Row],[Column1]]/1360,0)</f>
        <v>0</v>
      </c>
      <c r="V467" s="419"/>
      <c r="W467" s="251">
        <v>17.75</v>
      </c>
      <c r="X467" s="251">
        <f>ROUNDDOWN(Table15[[#This Row],[R-DEMAND]]/1320,0)</f>
        <v>0</v>
      </c>
      <c r="Y467" s="251">
        <f>IFERROR(Table15[[#This Row],[ADD ACC
(660/1320)]]*Table15[[#This Row],[Duration
(B744)]],0)</f>
        <v>0</v>
      </c>
      <c r="Z467" s="251"/>
    </row>
    <row r="468" spans="1:26" ht="15.75" customHeight="1" x14ac:dyDescent="0.25">
      <c r="A468" s="210" t="s">
        <v>15456</v>
      </c>
      <c r="B468" s="204" t="s">
        <v>2946</v>
      </c>
      <c r="C468" s="204"/>
      <c r="D468" s="205">
        <v>2</v>
      </c>
      <c r="E468" s="204" t="s">
        <v>493</v>
      </c>
      <c r="F468" s="204" t="str">
        <f>VLOOKUP(E468,Table10[[COUNTRY NAME]:[CONTINENT CODE]],3,FALSE)</f>
        <v>AF</v>
      </c>
      <c r="G468" s="206" t="s">
        <v>11727</v>
      </c>
      <c r="H468" s="207">
        <v>6956</v>
      </c>
      <c r="I468" s="208">
        <v>17.5</v>
      </c>
      <c r="J468" s="345"/>
      <c r="K468" s="345">
        <f>IFERROR(Table15[[#This Row],[ROUTE $]]/Table15[[#This Row],[E - DEMAND]],0)</f>
        <v>0</v>
      </c>
      <c r="L468" s="204"/>
      <c r="M468" s="412">
        <f>IFERROR(VLOOKUP(Table15[[#This Row],[ROUTE]],DEMAND!A:F,5,FALSE),0)</f>
        <v>0</v>
      </c>
      <c r="N468" s="16">
        <f>IFERROR(VLOOKUP(Table15[[#This Row],[ROUTE]],DEMAND!A:F,6,FALSE),0)</f>
        <v>0</v>
      </c>
      <c r="O468" s="16">
        <f>IFERROR(ROUNDDOWN(Table15[[#This Row],[R-DEMAND]]/1706,0),0)</f>
        <v>0</v>
      </c>
      <c r="P468" s="16">
        <f>IFERROR(Table15[[#This Row],[ADD ACC]]*Table15[[#This Row],[RT TIME 
(380-800)]],0)</f>
        <v>0</v>
      </c>
      <c r="Q468" s="415">
        <f>IFERROR(VLOOKUP(Table15[[#This Row],[ROUTE]],PRICING!A:B,2,FALSE),0)</f>
        <v>0</v>
      </c>
      <c r="R468" s="235">
        <f>IFERROR(Table15[[#This Row],[C_DEMAND]]-Table15[[#This Row],[R-DEMAND]],0)</f>
        <v>0</v>
      </c>
      <c r="S468" s="408">
        <f t="shared" si="7"/>
        <v>0</v>
      </c>
      <c r="T468" s="419">
        <f>Table15[[#This Row],[R-DEMAND]]-(Table15[[#This Row],[ADD ACC]]*1706)</f>
        <v>0</v>
      </c>
      <c r="U468" s="419">
        <f>ROUNDDOWN(Table15[[#This Row],[Column1]]/1360,0)</f>
        <v>0</v>
      </c>
      <c r="V468" s="419"/>
      <c r="W468" s="251">
        <v>17.5</v>
      </c>
      <c r="X468" s="251">
        <f>ROUNDDOWN(Table15[[#This Row],[R-DEMAND]]/1320,0)</f>
        <v>0</v>
      </c>
      <c r="Y468" s="251">
        <f>IFERROR(Table15[[#This Row],[ADD ACC
(660/1320)]]*Table15[[#This Row],[Duration
(B744)]],0)</f>
        <v>0</v>
      </c>
      <c r="Z468" s="251"/>
    </row>
    <row r="469" spans="1:26" ht="15.75" customHeight="1" x14ac:dyDescent="0.25">
      <c r="A469" s="210" t="s">
        <v>15450</v>
      </c>
      <c r="B469" s="204" t="s">
        <v>3311</v>
      </c>
      <c r="C469" s="204"/>
      <c r="D469" s="205">
        <v>2</v>
      </c>
      <c r="E469" s="204" t="s">
        <v>3180</v>
      </c>
      <c r="F469" s="204" t="str">
        <f>VLOOKUP(E469,Table10[[COUNTRY NAME]:[CONTINENT CODE]],3,FALSE)</f>
        <v>EU</v>
      </c>
      <c r="G469" s="210" t="s">
        <v>11723</v>
      </c>
      <c r="H469" s="207">
        <v>6982</v>
      </c>
      <c r="I469" s="208">
        <v>17.5</v>
      </c>
      <c r="J469" s="345"/>
      <c r="K469" s="345">
        <f>IFERROR(Table15[[#This Row],[ROUTE $]]/Table15[[#This Row],[E - DEMAND]],0)</f>
        <v>0</v>
      </c>
      <c r="L469" s="204"/>
      <c r="M469" s="412">
        <f>IFERROR(VLOOKUP(Table15[[#This Row],[ROUTE]],DEMAND!A:F,5,FALSE),0)</f>
        <v>0</v>
      </c>
      <c r="N469" s="16">
        <f>IFERROR(VLOOKUP(Table15[[#This Row],[ROUTE]],DEMAND!A:F,6,FALSE),0)</f>
        <v>0</v>
      </c>
      <c r="O469" s="16">
        <f>IFERROR(ROUNDDOWN(Table15[[#This Row],[R-DEMAND]]/1706,0),0)</f>
        <v>0</v>
      </c>
      <c r="P469" s="16">
        <f>IFERROR(Table15[[#This Row],[ADD ACC]]*Table15[[#This Row],[RT TIME 
(380-800)]],0)</f>
        <v>0</v>
      </c>
      <c r="Q469" s="415">
        <f>IFERROR(VLOOKUP(Table15[[#This Row],[ROUTE]],PRICING!A:B,2,FALSE),0)</f>
        <v>0</v>
      </c>
      <c r="R469" s="235">
        <f>IFERROR(Table15[[#This Row],[C_DEMAND]]-Table15[[#This Row],[R-DEMAND]],0)</f>
        <v>0</v>
      </c>
      <c r="S469" s="408">
        <f t="shared" si="7"/>
        <v>0</v>
      </c>
      <c r="T469" s="419">
        <f>Table15[[#This Row],[R-DEMAND]]-(Table15[[#This Row],[ADD ACC]]*1706)</f>
        <v>0</v>
      </c>
      <c r="U469" s="419">
        <f>ROUNDDOWN(Table15[[#This Row],[Column1]]/1360,0)</f>
        <v>0</v>
      </c>
      <c r="V469" s="419"/>
      <c r="W469" s="251">
        <v>17.5</v>
      </c>
      <c r="X469" s="251">
        <f>ROUNDDOWN(Table15[[#This Row],[R-DEMAND]]/1320,0)</f>
        <v>0</v>
      </c>
      <c r="Y469" s="251">
        <f>IFERROR(Table15[[#This Row],[ADD ACC
(660/1320)]]*Table15[[#This Row],[Duration
(B744)]],0)</f>
        <v>0</v>
      </c>
      <c r="Z469" s="251"/>
    </row>
    <row r="470" spans="1:26" ht="15.75" customHeight="1" x14ac:dyDescent="0.25">
      <c r="A470" s="210" t="s">
        <v>15459</v>
      </c>
      <c r="B470" s="204" t="s">
        <v>3885</v>
      </c>
      <c r="C470" s="204"/>
      <c r="D470" s="205">
        <v>2</v>
      </c>
      <c r="E470" s="204" t="s">
        <v>560</v>
      </c>
      <c r="F470" s="204" t="str">
        <f>VLOOKUP(E470,Table10[[COUNTRY NAME]:[CONTINENT CODE]],3,FALSE)</f>
        <v>EU</v>
      </c>
      <c r="G470" s="210" t="s">
        <v>11722</v>
      </c>
      <c r="H470" s="207">
        <v>6942</v>
      </c>
      <c r="I470" s="208">
        <v>17.5</v>
      </c>
      <c r="J470" s="345"/>
      <c r="K470" s="345">
        <f>IFERROR(Table15[[#This Row],[ROUTE $]]/Table15[[#This Row],[E - DEMAND]],0)</f>
        <v>0</v>
      </c>
      <c r="L470" s="204"/>
      <c r="M470" s="412">
        <f>IFERROR(VLOOKUP(Table15[[#This Row],[ROUTE]],DEMAND!A:F,5,FALSE),0)</f>
        <v>0</v>
      </c>
      <c r="N470" s="16">
        <f>IFERROR(VLOOKUP(Table15[[#This Row],[ROUTE]],DEMAND!A:F,6,FALSE),0)</f>
        <v>0</v>
      </c>
      <c r="O470" s="16">
        <f>IFERROR(ROUNDDOWN(Table15[[#This Row],[R-DEMAND]]/1706,0),0)</f>
        <v>0</v>
      </c>
      <c r="P470" s="16">
        <f>IFERROR(Table15[[#This Row],[ADD ACC]]*Table15[[#This Row],[RT TIME 
(380-800)]],0)</f>
        <v>0</v>
      </c>
      <c r="Q470" s="415">
        <f>IFERROR(VLOOKUP(Table15[[#This Row],[ROUTE]],PRICING!A:B,2,FALSE),0)</f>
        <v>0</v>
      </c>
      <c r="R470" s="235">
        <f>IFERROR(Table15[[#This Row],[C_DEMAND]]-Table15[[#This Row],[R-DEMAND]],0)</f>
        <v>0</v>
      </c>
      <c r="S470" s="408">
        <f t="shared" si="7"/>
        <v>0</v>
      </c>
      <c r="T470" s="419">
        <f>Table15[[#This Row],[R-DEMAND]]-(Table15[[#This Row],[ADD ACC]]*1706)</f>
        <v>0</v>
      </c>
      <c r="U470" s="419">
        <f>ROUNDDOWN(Table15[[#This Row],[Column1]]/1360,0)</f>
        <v>0</v>
      </c>
      <c r="V470" s="419"/>
      <c r="W470" s="251">
        <v>17.5</v>
      </c>
      <c r="X470" s="251">
        <f>ROUNDDOWN(Table15[[#This Row],[R-DEMAND]]/1320,0)</f>
        <v>0</v>
      </c>
      <c r="Y470" s="251">
        <f>IFERROR(Table15[[#This Row],[ADD ACC
(660/1320)]]*Table15[[#This Row],[Duration
(B744)]],0)</f>
        <v>0</v>
      </c>
      <c r="Z470" s="251"/>
    </row>
    <row r="471" spans="1:26" ht="15.75" customHeight="1" x14ac:dyDescent="0.25">
      <c r="A471" s="210" t="s">
        <v>15455</v>
      </c>
      <c r="B471" s="204" t="s">
        <v>2079</v>
      </c>
      <c r="C471" s="204"/>
      <c r="D471" s="205">
        <v>1</v>
      </c>
      <c r="E471" s="204" t="s">
        <v>493</v>
      </c>
      <c r="F471" s="204" t="str">
        <f>VLOOKUP(E471,Table10[[COUNTRY NAME]:[CONTINENT CODE]],3,FALSE)</f>
        <v>AF</v>
      </c>
      <c r="G471" s="206" t="s">
        <v>11721</v>
      </c>
      <c r="H471" s="207">
        <v>6962</v>
      </c>
      <c r="I471" s="208">
        <v>17.5</v>
      </c>
      <c r="J471" s="345"/>
      <c r="K471" s="345">
        <f>IFERROR(Table15[[#This Row],[ROUTE $]]/Table15[[#This Row],[E - DEMAND]],0)</f>
        <v>0</v>
      </c>
      <c r="L471" s="204"/>
      <c r="M471" s="412">
        <f>IFERROR(VLOOKUP(Table15[[#This Row],[ROUTE]],DEMAND!A:F,5,FALSE),0)</f>
        <v>0</v>
      </c>
      <c r="N471" s="16">
        <f>IFERROR(VLOOKUP(Table15[[#This Row],[ROUTE]],DEMAND!A:F,6,FALSE),0)</f>
        <v>0</v>
      </c>
      <c r="O471" s="16">
        <f>IFERROR(ROUNDDOWN(Table15[[#This Row],[R-DEMAND]]/1706,0),0)</f>
        <v>0</v>
      </c>
      <c r="P471" s="16">
        <f>IFERROR(Table15[[#This Row],[ADD ACC]]*Table15[[#This Row],[RT TIME 
(380-800)]],0)</f>
        <v>0</v>
      </c>
      <c r="Q471" s="415">
        <f>IFERROR(VLOOKUP(Table15[[#This Row],[ROUTE]],PRICING!A:B,2,FALSE),0)</f>
        <v>0</v>
      </c>
      <c r="R471" s="235">
        <f>IFERROR(Table15[[#This Row],[C_DEMAND]]-Table15[[#This Row],[R-DEMAND]],0)</f>
        <v>0</v>
      </c>
      <c r="S471" s="408">
        <f t="shared" si="7"/>
        <v>0</v>
      </c>
      <c r="T471" s="419">
        <f>Table15[[#This Row],[R-DEMAND]]-(Table15[[#This Row],[ADD ACC]]*1706)</f>
        <v>0</v>
      </c>
      <c r="U471" s="419">
        <f>ROUNDDOWN(Table15[[#This Row],[Column1]]/1360,0)</f>
        <v>0</v>
      </c>
      <c r="V471" s="419"/>
      <c r="W471" s="251">
        <v>17.5</v>
      </c>
      <c r="X471" s="251">
        <f>ROUNDDOWN(Table15[[#This Row],[R-DEMAND]]/1320,0)</f>
        <v>0</v>
      </c>
      <c r="Y471" s="251">
        <f>IFERROR(Table15[[#This Row],[ADD ACC
(660/1320)]]*Table15[[#This Row],[Duration
(B744)]],0)</f>
        <v>0</v>
      </c>
      <c r="Z471" s="251"/>
    </row>
    <row r="472" spans="1:26" ht="15.75" customHeight="1" x14ac:dyDescent="0.25">
      <c r="A472" s="210" t="s">
        <v>15461</v>
      </c>
      <c r="B472" s="204" t="s">
        <v>1937</v>
      </c>
      <c r="C472" s="204"/>
      <c r="D472" s="205">
        <v>1</v>
      </c>
      <c r="E472" s="204" t="s">
        <v>774</v>
      </c>
      <c r="F472" s="204" t="str">
        <f>VLOOKUP(E472,Table10[[COUNTRY NAME]:[CONTINENT CODE]],3,FALSE)</f>
        <v>OC</v>
      </c>
      <c r="G472" s="206" t="s">
        <v>12099</v>
      </c>
      <c r="H472" s="207">
        <v>6902</v>
      </c>
      <c r="I472" s="208">
        <v>17.5</v>
      </c>
      <c r="J472" s="345"/>
      <c r="K472" s="345">
        <f>IFERROR(Table15[[#This Row],[ROUTE $]]/Table15[[#This Row],[E - DEMAND]],0)</f>
        <v>0</v>
      </c>
      <c r="L472" s="204"/>
      <c r="M472" s="412">
        <f>IFERROR(VLOOKUP(Table15[[#This Row],[ROUTE]],DEMAND!A:F,5,FALSE),0)</f>
        <v>0</v>
      </c>
      <c r="N472" s="16">
        <f>IFERROR(VLOOKUP(Table15[[#This Row],[ROUTE]],DEMAND!A:F,6,FALSE),0)</f>
        <v>0</v>
      </c>
      <c r="O472" s="16">
        <f>IFERROR(ROUNDDOWN(Table15[[#This Row],[R-DEMAND]]/1706,0),0)</f>
        <v>0</v>
      </c>
      <c r="P472" s="16">
        <f>IFERROR(Table15[[#This Row],[ADD ACC]]*Table15[[#This Row],[RT TIME 
(380-800)]],0)</f>
        <v>0</v>
      </c>
      <c r="Q472" s="415">
        <f>IFERROR(VLOOKUP(Table15[[#This Row],[ROUTE]],PRICING!A:B,2,FALSE),0)</f>
        <v>0</v>
      </c>
      <c r="R472" s="235">
        <f>IFERROR(Table15[[#This Row],[C_DEMAND]]-Table15[[#This Row],[R-DEMAND]],0)</f>
        <v>0</v>
      </c>
      <c r="S472" s="408">
        <f t="shared" si="7"/>
        <v>0</v>
      </c>
      <c r="T472" s="419">
        <f>Table15[[#This Row],[R-DEMAND]]-(Table15[[#This Row],[ADD ACC]]*1706)</f>
        <v>0</v>
      </c>
      <c r="U472" s="419">
        <f>ROUNDDOWN(Table15[[#This Row],[Column1]]/1360,0)</f>
        <v>0</v>
      </c>
      <c r="V472" s="419"/>
      <c r="W472" s="251">
        <v>17.5</v>
      </c>
      <c r="X472" s="251">
        <f>ROUNDDOWN(Table15[[#This Row],[R-DEMAND]]/1320,0)</f>
        <v>0</v>
      </c>
      <c r="Y472" s="251">
        <f>IFERROR(Table15[[#This Row],[ADD ACC
(660/1320)]]*Table15[[#This Row],[Duration
(B744)]],0)</f>
        <v>0</v>
      </c>
      <c r="Z472" s="251"/>
    </row>
    <row r="473" spans="1:26" ht="15.75" customHeight="1" x14ac:dyDescent="0.25">
      <c r="A473" s="210" t="s">
        <v>15476</v>
      </c>
      <c r="B473" s="204" t="s">
        <v>4725</v>
      </c>
      <c r="C473" s="204"/>
      <c r="D473" s="205">
        <v>3</v>
      </c>
      <c r="E473" s="204" t="s">
        <v>142</v>
      </c>
      <c r="F473" s="204" t="str">
        <f>VLOOKUP(E473,Table10[[COUNTRY NAME]:[CONTINENT CODE]],3,FALSE)</f>
        <v>AS</v>
      </c>
      <c r="G473" s="206" t="s">
        <v>10855</v>
      </c>
      <c r="H473" s="207">
        <v>6792</v>
      </c>
      <c r="I473" s="208">
        <v>17.25</v>
      </c>
      <c r="J473" s="345"/>
      <c r="K473" s="345">
        <f>IFERROR(Table15[[#This Row],[ROUTE $]]/Table15[[#This Row],[E - DEMAND]],0)</f>
        <v>0</v>
      </c>
      <c r="L473" s="204"/>
      <c r="M473" s="412">
        <f>IFERROR(VLOOKUP(Table15[[#This Row],[ROUTE]],DEMAND!A:F,5,FALSE),0)</f>
        <v>0</v>
      </c>
      <c r="N473" s="16">
        <f>IFERROR(VLOOKUP(Table15[[#This Row],[ROUTE]],DEMAND!A:F,6,FALSE),0)</f>
        <v>0</v>
      </c>
      <c r="O473" s="16">
        <f>IFERROR(ROUNDDOWN(Table15[[#This Row],[R-DEMAND]]/1706,0),0)</f>
        <v>0</v>
      </c>
      <c r="P473" s="16">
        <f>IFERROR(Table15[[#This Row],[ADD ACC]]*Table15[[#This Row],[RT TIME 
(380-800)]],0)</f>
        <v>0</v>
      </c>
      <c r="Q473" s="415">
        <f>IFERROR(VLOOKUP(Table15[[#This Row],[ROUTE]],PRICING!A:B,2,FALSE),0)</f>
        <v>0</v>
      </c>
      <c r="R473" s="235">
        <f>IFERROR(Table15[[#This Row],[C_DEMAND]]-Table15[[#This Row],[R-DEMAND]],0)</f>
        <v>0</v>
      </c>
      <c r="S473" s="408">
        <f t="shared" si="7"/>
        <v>0</v>
      </c>
      <c r="T473" s="419">
        <f>Table15[[#This Row],[R-DEMAND]]-(Table15[[#This Row],[ADD ACC]]*1706)</f>
        <v>0</v>
      </c>
      <c r="U473" s="419">
        <f>ROUNDDOWN(Table15[[#This Row],[Column1]]/1360,0)</f>
        <v>0</v>
      </c>
      <c r="V473" s="419"/>
      <c r="W473" s="251">
        <v>17.25</v>
      </c>
      <c r="X473" s="251">
        <f>ROUNDDOWN(Table15[[#This Row],[R-DEMAND]]/1320,0)</f>
        <v>0</v>
      </c>
      <c r="Y473" s="251">
        <f>IFERROR(Table15[[#This Row],[ADD ACC
(660/1320)]]*Table15[[#This Row],[Duration
(B744)]],0)</f>
        <v>0</v>
      </c>
      <c r="Z473" s="251"/>
    </row>
    <row r="474" spans="1:26" ht="15.75" customHeight="1" x14ac:dyDescent="0.25">
      <c r="A474" s="210" t="s">
        <v>15472</v>
      </c>
      <c r="B474" s="204" t="s">
        <v>5008</v>
      </c>
      <c r="C474" s="204"/>
      <c r="D474" s="205">
        <v>3</v>
      </c>
      <c r="E474" s="204" t="s">
        <v>142</v>
      </c>
      <c r="F474" s="204" t="str">
        <f>VLOOKUP(E474,Table10[[COUNTRY NAME]:[CONTINENT CODE]],3,FALSE)</f>
        <v>AS</v>
      </c>
      <c r="G474" s="206" t="s">
        <v>9502</v>
      </c>
      <c r="H474" s="207">
        <v>6802</v>
      </c>
      <c r="I474" s="208">
        <v>17.25</v>
      </c>
      <c r="J474" s="345"/>
      <c r="K474" s="345">
        <f>IFERROR(Table15[[#This Row],[ROUTE $]]/Table15[[#This Row],[E - DEMAND]],0)</f>
        <v>0</v>
      </c>
      <c r="L474" s="204"/>
      <c r="M474" s="412">
        <f>IFERROR(VLOOKUP(Table15[[#This Row],[ROUTE]],DEMAND!A:F,5,FALSE),0)</f>
        <v>0</v>
      </c>
      <c r="N474" s="16">
        <f>IFERROR(VLOOKUP(Table15[[#This Row],[ROUTE]],DEMAND!A:F,6,FALSE),0)</f>
        <v>0</v>
      </c>
      <c r="O474" s="16">
        <f>IFERROR(ROUNDDOWN(Table15[[#This Row],[R-DEMAND]]/1706,0),0)</f>
        <v>0</v>
      </c>
      <c r="P474" s="16">
        <f>IFERROR(Table15[[#This Row],[ADD ACC]]*Table15[[#This Row],[RT TIME 
(380-800)]],0)</f>
        <v>0</v>
      </c>
      <c r="Q474" s="415">
        <f>IFERROR(VLOOKUP(Table15[[#This Row],[ROUTE]],PRICING!A:B,2,FALSE),0)</f>
        <v>0</v>
      </c>
      <c r="R474" s="235">
        <f>IFERROR(Table15[[#This Row],[C_DEMAND]]-Table15[[#This Row],[R-DEMAND]],0)</f>
        <v>0</v>
      </c>
      <c r="S474" s="408">
        <f t="shared" si="7"/>
        <v>0</v>
      </c>
      <c r="T474" s="419">
        <f>Table15[[#This Row],[R-DEMAND]]-(Table15[[#This Row],[ADD ACC]]*1706)</f>
        <v>0</v>
      </c>
      <c r="U474" s="419">
        <f>ROUNDDOWN(Table15[[#This Row],[Column1]]/1360,0)</f>
        <v>0</v>
      </c>
      <c r="V474" s="419"/>
      <c r="W474" s="251">
        <v>17.25</v>
      </c>
      <c r="X474" s="251">
        <f>ROUNDDOWN(Table15[[#This Row],[R-DEMAND]]/1320,0)</f>
        <v>0</v>
      </c>
      <c r="Y474" s="251">
        <f>IFERROR(Table15[[#This Row],[ADD ACC
(660/1320)]]*Table15[[#This Row],[Duration
(B744)]],0)</f>
        <v>0</v>
      </c>
      <c r="Z474" s="251"/>
    </row>
    <row r="475" spans="1:26" ht="15.75" customHeight="1" x14ac:dyDescent="0.25">
      <c r="A475" s="210" t="s">
        <v>15471</v>
      </c>
      <c r="B475" s="204" t="s">
        <v>4898</v>
      </c>
      <c r="C475" s="204"/>
      <c r="D475" s="205">
        <v>3</v>
      </c>
      <c r="E475" s="204" t="s">
        <v>3204</v>
      </c>
      <c r="F475" s="204" t="str">
        <f>VLOOKUP(E475,Table10[[COUNTRY NAME]:[CONTINENT CODE]],3,FALSE)</f>
        <v>EU</v>
      </c>
      <c r="G475" s="210" t="s">
        <v>11736</v>
      </c>
      <c r="H475" s="207">
        <v>6810</v>
      </c>
      <c r="I475" s="208">
        <v>17.25</v>
      </c>
      <c r="J475" s="345"/>
      <c r="K475" s="345">
        <f>IFERROR(Table15[[#This Row],[ROUTE $]]/Table15[[#This Row],[E - DEMAND]],0)</f>
        <v>0</v>
      </c>
      <c r="L475" s="204"/>
      <c r="M475" s="412">
        <f>IFERROR(VLOOKUP(Table15[[#This Row],[ROUTE]],DEMAND!A:F,5,FALSE),0)</f>
        <v>0</v>
      </c>
      <c r="N475" s="16">
        <f>IFERROR(VLOOKUP(Table15[[#This Row],[ROUTE]],DEMAND!A:F,6,FALSE),0)</f>
        <v>0</v>
      </c>
      <c r="O475" s="16">
        <f>IFERROR(ROUNDDOWN(Table15[[#This Row],[R-DEMAND]]/1706,0),0)</f>
        <v>0</v>
      </c>
      <c r="P475" s="16">
        <f>IFERROR(Table15[[#This Row],[ADD ACC]]*Table15[[#This Row],[RT TIME 
(380-800)]],0)</f>
        <v>0</v>
      </c>
      <c r="Q475" s="415">
        <f>IFERROR(VLOOKUP(Table15[[#This Row],[ROUTE]],PRICING!A:B,2,FALSE),0)</f>
        <v>0</v>
      </c>
      <c r="R475" s="235">
        <f>IFERROR(Table15[[#This Row],[C_DEMAND]]-Table15[[#This Row],[R-DEMAND]],0)</f>
        <v>0</v>
      </c>
      <c r="S475" s="408">
        <f t="shared" si="7"/>
        <v>0</v>
      </c>
      <c r="T475" s="419">
        <f>Table15[[#This Row],[R-DEMAND]]-(Table15[[#This Row],[ADD ACC]]*1706)</f>
        <v>0</v>
      </c>
      <c r="U475" s="419">
        <f>ROUNDDOWN(Table15[[#This Row],[Column1]]/1360,0)</f>
        <v>0</v>
      </c>
      <c r="V475" s="419"/>
      <c r="W475" s="251">
        <v>17.25</v>
      </c>
      <c r="X475" s="251">
        <f>ROUNDDOWN(Table15[[#This Row],[R-DEMAND]]/1320,0)</f>
        <v>0</v>
      </c>
      <c r="Y475" s="251">
        <f>IFERROR(Table15[[#This Row],[ADD ACC
(660/1320)]]*Table15[[#This Row],[Duration
(B744)]],0)</f>
        <v>0</v>
      </c>
      <c r="Z475" s="251"/>
    </row>
    <row r="476" spans="1:26" ht="15.75" customHeight="1" x14ac:dyDescent="0.25">
      <c r="A476" s="210" t="s">
        <v>15470</v>
      </c>
      <c r="B476" s="204" t="s">
        <v>4548</v>
      </c>
      <c r="C476" s="204"/>
      <c r="D476" s="205">
        <v>2</v>
      </c>
      <c r="E476" s="204" t="s">
        <v>4546</v>
      </c>
      <c r="F476" s="204" t="str">
        <f>VLOOKUP(E476,Table10[[COUNTRY NAME]:[CONTINENT CODE]],3,FALSE)</f>
        <v>AF</v>
      </c>
      <c r="G476" s="206" t="s">
        <v>11821</v>
      </c>
      <c r="H476" s="207">
        <v>6815</v>
      </c>
      <c r="I476" s="208">
        <v>17.25</v>
      </c>
      <c r="J476" s="345"/>
      <c r="K476" s="345">
        <f>IFERROR(Table15[[#This Row],[ROUTE $]]/Table15[[#This Row],[E - DEMAND]],0)</f>
        <v>0</v>
      </c>
      <c r="L476" s="204"/>
      <c r="M476" s="412">
        <f>IFERROR(VLOOKUP(Table15[[#This Row],[ROUTE]],DEMAND!A:F,5,FALSE),0)</f>
        <v>0</v>
      </c>
      <c r="N476" s="16">
        <f>IFERROR(VLOOKUP(Table15[[#This Row],[ROUTE]],DEMAND!A:F,6,FALSE),0)</f>
        <v>0</v>
      </c>
      <c r="O476" s="16">
        <f>IFERROR(ROUNDDOWN(Table15[[#This Row],[R-DEMAND]]/1706,0),0)</f>
        <v>0</v>
      </c>
      <c r="P476" s="16">
        <f>IFERROR(Table15[[#This Row],[ADD ACC]]*Table15[[#This Row],[RT TIME 
(380-800)]],0)</f>
        <v>0</v>
      </c>
      <c r="Q476" s="415">
        <f>IFERROR(VLOOKUP(Table15[[#This Row],[ROUTE]],PRICING!A:B,2,FALSE),0)</f>
        <v>0</v>
      </c>
      <c r="R476" s="235">
        <f>IFERROR(Table15[[#This Row],[C_DEMAND]]-Table15[[#This Row],[R-DEMAND]],0)</f>
        <v>0</v>
      </c>
      <c r="S476" s="408">
        <f t="shared" si="7"/>
        <v>0</v>
      </c>
      <c r="T476" s="419">
        <f>Table15[[#This Row],[R-DEMAND]]-(Table15[[#This Row],[ADD ACC]]*1706)</f>
        <v>0</v>
      </c>
      <c r="U476" s="419">
        <f>ROUNDDOWN(Table15[[#This Row],[Column1]]/1360,0)</f>
        <v>0</v>
      </c>
      <c r="V476" s="419"/>
      <c r="W476" s="251">
        <v>17.25</v>
      </c>
      <c r="X476" s="251">
        <f>ROUNDDOWN(Table15[[#This Row],[R-DEMAND]]/1320,0)</f>
        <v>0</v>
      </c>
      <c r="Y476" s="251">
        <f>IFERROR(Table15[[#This Row],[ADD ACC
(660/1320)]]*Table15[[#This Row],[Duration
(B744)]],0)</f>
        <v>0</v>
      </c>
      <c r="Z476" s="251"/>
    </row>
    <row r="477" spans="1:26" ht="15.75" customHeight="1" x14ac:dyDescent="0.25">
      <c r="A477" s="210" t="s">
        <v>15474</v>
      </c>
      <c r="B477" s="204" t="s">
        <v>3929</v>
      </c>
      <c r="C477" s="204"/>
      <c r="D477" s="205">
        <v>2</v>
      </c>
      <c r="E477" s="204" t="s">
        <v>3180</v>
      </c>
      <c r="F477" s="204" t="str">
        <f>VLOOKUP(E477,Table10[[COUNTRY NAME]:[CONTINENT CODE]],3,FALSE)</f>
        <v>EU</v>
      </c>
      <c r="G477" s="210" t="s">
        <v>11735</v>
      </c>
      <c r="H477" s="207">
        <v>6798</v>
      </c>
      <c r="I477" s="208">
        <v>17.25</v>
      </c>
      <c r="J477" s="345"/>
      <c r="K477" s="345">
        <f>IFERROR(Table15[[#This Row],[ROUTE $]]/Table15[[#This Row],[E - DEMAND]],0)</f>
        <v>0</v>
      </c>
      <c r="L477" s="204"/>
      <c r="M477" s="412">
        <f>IFERROR(VLOOKUP(Table15[[#This Row],[ROUTE]],DEMAND!A:F,5,FALSE),0)</f>
        <v>0</v>
      </c>
      <c r="N477" s="16">
        <f>IFERROR(VLOOKUP(Table15[[#This Row],[ROUTE]],DEMAND!A:F,6,FALSE),0)</f>
        <v>0</v>
      </c>
      <c r="O477" s="16">
        <f>IFERROR(ROUNDDOWN(Table15[[#This Row],[R-DEMAND]]/1706,0),0)</f>
        <v>0</v>
      </c>
      <c r="P477" s="16">
        <f>IFERROR(Table15[[#This Row],[ADD ACC]]*Table15[[#This Row],[RT TIME 
(380-800)]],0)</f>
        <v>0</v>
      </c>
      <c r="Q477" s="415">
        <f>IFERROR(VLOOKUP(Table15[[#This Row],[ROUTE]],PRICING!A:B,2,FALSE),0)</f>
        <v>0</v>
      </c>
      <c r="R477" s="235">
        <f>IFERROR(Table15[[#This Row],[C_DEMAND]]-Table15[[#This Row],[R-DEMAND]],0)</f>
        <v>0</v>
      </c>
      <c r="S477" s="408">
        <f t="shared" si="7"/>
        <v>0</v>
      </c>
      <c r="T477" s="419">
        <f>Table15[[#This Row],[R-DEMAND]]-(Table15[[#This Row],[ADD ACC]]*1706)</f>
        <v>0</v>
      </c>
      <c r="U477" s="419">
        <f>ROUNDDOWN(Table15[[#This Row],[Column1]]/1360,0)</f>
        <v>0</v>
      </c>
      <c r="V477" s="419"/>
      <c r="W477" s="251">
        <v>17.25</v>
      </c>
      <c r="X477" s="251">
        <f>ROUNDDOWN(Table15[[#This Row],[R-DEMAND]]/1320,0)</f>
        <v>0</v>
      </c>
      <c r="Y477" s="251">
        <f>IFERROR(Table15[[#This Row],[ADD ACC
(660/1320)]]*Table15[[#This Row],[Duration
(B744)]],0)</f>
        <v>0</v>
      </c>
      <c r="Z477" s="251"/>
    </row>
    <row r="478" spans="1:26" ht="15.75" customHeight="1" x14ac:dyDescent="0.25">
      <c r="A478" s="210" t="s">
        <v>15479</v>
      </c>
      <c r="B478" s="204" t="s">
        <v>3774</v>
      </c>
      <c r="C478" s="204"/>
      <c r="D478" s="205">
        <v>2</v>
      </c>
      <c r="E478" s="204" t="s">
        <v>560</v>
      </c>
      <c r="F478" s="204" t="str">
        <f>VLOOKUP(E478,Table10[[COUNTRY NAME]:[CONTINENT CODE]],3,FALSE)</f>
        <v>EU</v>
      </c>
      <c r="G478" s="210" t="s">
        <v>11729</v>
      </c>
      <c r="H478" s="207">
        <v>6773</v>
      </c>
      <c r="I478" s="208">
        <v>17.25</v>
      </c>
      <c r="J478" s="345"/>
      <c r="K478" s="345">
        <f>IFERROR(Table15[[#This Row],[ROUTE $]]/Table15[[#This Row],[E - DEMAND]],0)</f>
        <v>0</v>
      </c>
      <c r="L478" s="204"/>
      <c r="M478" s="412">
        <f>IFERROR(VLOOKUP(Table15[[#This Row],[ROUTE]],DEMAND!A:F,5,FALSE),0)</f>
        <v>0</v>
      </c>
      <c r="N478" s="16">
        <f>IFERROR(VLOOKUP(Table15[[#This Row],[ROUTE]],DEMAND!A:F,6,FALSE),0)</f>
        <v>0</v>
      </c>
      <c r="O478" s="16">
        <f>IFERROR(ROUNDDOWN(Table15[[#This Row],[R-DEMAND]]/1706,0),0)</f>
        <v>0</v>
      </c>
      <c r="P478" s="16">
        <f>IFERROR(Table15[[#This Row],[ADD ACC]]*Table15[[#This Row],[RT TIME 
(380-800)]],0)</f>
        <v>0</v>
      </c>
      <c r="Q478" s="415">
        <f>IFERROR(VLOOKUP(Table15[[#This Row],[ROUTE]],PRICING!A:B,2,FALSE),0)</f>
        <v>0</v>
      </c>
      <c r="R478" s="235">
        <f>IFERROR(Table15[[#This Row],[C_DEMAND]]-Table15[[#This Row],[R-DEMAND]],0)</f>
        <v>0</v>
      </c>
      <c r="S478" s="408">
        <f t="shared" si="7"/>
        <v>0</v>
      </c>
      <c r="T478" s="419">
        <f>Table15[[#This Row],[R-DEMAND]]-(Table15[[#This Row],[ADD ACC]]*1706)</f>
        <v>0</v>
      </c>
      <c r="U478" s="419">
        <f>ROUNDDOWN(Table15[[#This Row],[Column1]]/1360,0)</f>
        <v>0</v>
      </c>
      <c r="V478" s="419"/>
      <c r="W478" s="251">
        <v>17.25</v>
      </c>
      <c r="X478" s="251">
        <f>ROUNDDOWN(Table15[[#This Row],[R-DEMAND]]/1320,0)</f>
        <v>0</v>
      </c>
      <c r="Y478" s="251">
        <f>IFERROR(Table15[[#This Row],[ADD ACC
(660/1320)]]*Table15[[#This Row],[Duration
(B744)]],0)</f>
        <v>0</v>
      </c>
      <c r="Z478" s="251"/>
    </row>
    <row r="479" spans="1:26" ht="15.75" customHeight="1" x14ac:dyDescent="0.25">
      <c r="A479" s="210" t="s">
        <v>15473</v>
      </c>
      <c r="B479" s="204" t="s">
        <v>4088</v>
      </c>
      <c r="C479" s="204"/>
      <c r="D479" s="205">
        <v>2</v>
      </c>
      <c r="E479" s="16" t="s">
        <v>11732</v>
      </c>
      <c r="F479" s="204" t="str">
        <f>VLOOKUP(E479,Table10[[COUNTRY NAME]:[CONTINENT CODE]],3,FALSE)</f>
        <v>NA - US</v>
      </c>
      <c r="G479" s="206" t="s">
        <v>11824</v>
      </c>
      <c r="H479" s="207">
        <v>6802</v>
      </c>
      <c r="I479" s="208">
        <v>17.25</v>
      </c>
      <c r="J479" s="345"/>
      <c r="K479" s="345">
        <f>IFERROR(Table15[[#This Row],[ROUTE $]]/Table15[[#This Row],[E - DEMAND]],0)</f>
        <v>0</v>
      </c>
      <c r="L479" s="204"/>
      <c r="M479" s="412">
        <f>IFERROR(VLOOKUP(Table15[[#This Row],[ROUTE]],DEMAND!A:F,5,FALSE),0)</f>
        <v>0</v>
      </c>
      <c r="N479" s="16">
        <f>IFERROR(VLOOKUP(Table15[[#This Row],[ROUTE]],DEMAND!A:F,6,FALSE),0)</f>
        <v>0</v>
      </c>
      <c r="O479" s="16">
        <f>IFERROR(ROUNDDOWN(Table15[[#This Row],[R-DEMAND]]/1706,0),0)</f>
        <v>0</v>
      </c>
      <c r="P479" s="16">
        <f>IFERROR(Table15[[#This Row],[ADD ACC]]*Table15[[#This Row],[RT TIME 
(380-800)]],0)</f>
        <v>0</v>
      </c>
      <c r="Q479" s="415">
        <f>IFERROR(VLOOKUP(Table15[[#This Row],[ROUTE]],PRICING!A:B,2,FALSE),0)</f>
        <v>0</v>
      </c>
      <c r="R479" s="235">
        <f>IFERROR(Table15[[#This Row],[C_DEMAND]]-Table15[[#This Row],[R-DEMAND]],0)</f>
        <v>0</v>
      </c>
      <c r="S479" s="408">
        <f t="shared" si="7"/>
        <v>0</v>
      </c>
      <c r="T479" s="419">
        <f>Table15[[#This Row],[R-DEMAND]]-(Table15[[#This Row],[ADD ACC]]*1706)</f>
        <v>0</v>
      </c>
      <c r="U479" s="419">
        <f>ROUNDDOWN(Table15[[#This Row],[Column1]]/1360,0)</f>
        <v>0</v>
      </c>
      <c r="V479" s="419"/>
      <c r="W479" s="251">
        <v>17.25</v>
      </c>
      <c r="X479" s="251">
        <f>ROUNDDOWN(Table15[[#This Row],[R-DEMAND]]/1320,0)</f>
        <v>0</v>
      </c>
      <c r="Y479" s="251">
        <f>IFERROR(Table15[[#This Row],[ADD ACC
(660/1320)]]*Table15[[#This Row],[Duration
(B744)]],0)</f>
        <v>0</v>
      </c>
      <c r="Z479" s="251"/>
    </row>
    <row r="480" spans="1:26" ht="15.75" customHeight="1" x14ac:dyDescent="0.25">
      <c r="A480" s="210" t="s">
        <v>15465</v>
      </c>
      <c r="B480" s="204" t="s">
        <v>3361</v>
      </c>
      <c r="C480" s="204"/>
      <c r="D480" s="205">
        <v>2</v>
      </c>
      <c r="E480" s="16" t="s">
        <v>11732</v>
      </c>
      <c r="F480" s="204" t="str">
        <f>VLOOKUP(E480,Table10[[COUNTRY NAME]:[CONTINENT CODE]],3,FALSE)</f>
        <v>NA - US</v>
      </c>
      <c r="G480" s="206" t="s">
        <v>11796</v>
      </c>
      <c r="H480" s="207">
        <v>6863</v>
      </c>
      <c r="I480" s="208">
        <v>17.25</v>
      </c>
      <c r="J480" s="345"/>
      <c r="K480" s="345">
        <f>IFERROR(Table15[[#This Row],[ROUTE $]]/Table15[[#This Row],[E - DEMAND]],0)</f>
        <v>0</v>
      </c>
      <c r="L480" s="204"/>
      <c r="M480" s="412">
        <f>IFERROR(VLOOKUP(Table15[[#This Row],[ROUTE]],DEMAND!A:F,5,FALSE),0)</f>
        <v>0</v>
      </c>
      <c r="N480" s="16">
        <f>IFERROR(VLOOKUP(Table15[[#This Row],[ROUTE]],DEMAND!A:F,6,FALSE),0)</f>
        <v>0</v>
      </c>
      <c r="O480" s="16">
        <f>IFERROR(ROUNDDOWN(Table15[[#This Row],[R-DEMAND]]/1706,0),0)</f>
        <v>0</v>
      </c>
      <c r="P480" s="16">
        <f>IFERROR(Table15[[#This Row],[ADD ACC]]*Table15[[#This Row],[RT TIME 
(380-800)]],0)</f>
        <v>0</v>
      </c>
      <c r="Q480" s="415">
        <f>IFERROR(VLOOKUP(Table15[[#This Row],[ROUTE]],PRICING!A:B,2,FALSE),0)</f>
        <v>0</v>
      </c>
      <c r="R480" s="235">
        <f>IFERROR(Table15[[#This Row],[C_DEMAND]]-Table15[[#This Row],[R-DEMAND]],0)</f>
        <v>0</v>
      </c>
      <c r="S480" s="408">
        <f t="shared" si="7"/>
        <v>0</v>
      </c>
      <c r="T480" s="419">
        <f>Table15[[#This Row],[R-DEMAND]]-(Table15[[#This Row],[ADD ACC]]*1706)</f>
        <v>0</v>
      </c>
      <c r="U480" s="419">
        <f>ROUNDDOWN(Table15[[#This Row],[Column1]]/1360,0)</f>
        <v>0</v>
      </c>
      <c r="V480" s="419"/>
      <c r="W480" s="251">
        <v>17.25</v>
      </c>
      <c r="X480" s="251">
        <f>ROUNDDOWN(Table15[[#This Row],[R-DEMAND]]/1320,0)</f>
        <v>0</v>
      </c>
      <c r="Y480" s="251">
        <f>IFERROR(Table15[[#This Row],[ADD ACC
(660/1320)]]*Table15[[#This Row],[Duration
(B744)]],0)</f>
        <v>0</v>
      </c>
      <c r="Z480" s="251"/>
    </row>
    <row r="481" spans="1:26" ht="15.75" customHeight="1" x14ac:dyDescent="0.25">
      <c r="A481" s="210" t="s">
        <v>15469</v>
      </c>
      <c r="B481" s="204" t="s">
        <v>1553</v>
      </c>
      <c r="C481" s="204"/>
      <c r="D481" s="205">
        <v>1</v>
      </c>
      <c r="E481" s="204" t="s">
        <v>493</v>
      </c>
      <c r="F481" s="204" t="str">
        <f>VLOOKUP(E481,Table10[[COUNTRY NAME]:[CONTINENT CODE]],3,FALSE)</f>
        <v>AF</v>
      </c>
      <c r="G481" s="206" t="s">
        <v>11726</v>
      </c>
      <c r="H481" s="207">
        <v>6817</v>
      </c>
      <c r="I481" s="208">
        <v>17.25</v>
      </c>
      <c r="J481" s="345"/>
      <c r="K481" s="345">
        <f>IFERROR(Table15[[#This Row],[ROUTE $]]/Table15[[#This Row],[E - DEMAND]],0)</f>
        <v>0</v>
      </c>
      <c r="L481" s="204"/>
      <c r="M481" s="412">
        <f>IFERROR(VLOOKUP(Table15[[#This Row],[ROUTE]],DEMAND!A:F,5,FALSE),0)</f>
        <v>0</v>
      </c>
      <c r="N481" s="16">
        <f>IFERROR(VLOOKUP(Table15[[#This Row],[ROUTE]],DEMAND!A:F,6,FALSE),0)</f>
        <v>0</v>
      </c>
      <c r="O481" s="16">
        <f>IFERROR(ROUNDDOWN(Table15[[#This Row],[R-DEMAND]]/1706,0),0)</f>
        <v>0</v>
      </c>
      <c r="P481" s="16">
        <f>IFERROR(Table15[[#This Row],[ADD ACC]]*Table15[[#This Row],[RT TIME 
(380-800)]],0)</f>
        <v>0</v>
      </c>
      <c r="Q481" s="415">
        <f>IFERROR(VLOOKUP(Table15[[#This Row],[ROUTE]],PRICING!A:B,2,FALSE),0)</f>
        <v>0</v>
      </c>
      <c r="R481" s="235">
        <f>IFERROR(Table15[[#This Row],[C_DEMAND]]-Table15[[#This Row],[R-DEMAND]],0)</f>
        <v>0</v>
      </c>
      <c r="S481" s="408">
        <f t="shared" si="7"/>
        <v>0</v>
      </c>
      <c r="T481" s="419">
        <f>Table15[[#This Row],[R-DEMAND]]-(Table15[[#This Row],[ADD ACC]]*1706)</f>
        <v>0</v>
      </c>
      <c r="U481" s="419">
        <f>ROUNDDOWN(Table15[[#This Row],[Column1]]/1360,0)</f>
        <v>0</v>
      </c>
      <c r="V481" s="419"/>
      <c r="W481" s="251">
        <v>17.25</v>
      </c>
      <c r="X481" s="251">
        <f>ROUNDDOWN(Table15[[#This Row],[R-DEMAND]]/1320,0)</f>
        <v>0</v>
      </c>
      <c r="Y481" s="251">
        <f>IFERROR(Table15[[#This Row],[ADD ACC
(660/1320)]]*Table15[[#This Row],[Duration
(B744)]],0)</f>
        <v>0</v>
      </c>
      <c r="Z481" s="251"/>
    </row>
    <row r="482" spans="1:26" ht="15.75" customHeight="1" x14ac:dyDescent="0.25">
      <c r="A482" s="210" t="s">
        <v>15462</v>
      </c>
      <c r="B482" s="204" t="s">
        <v>2154</v>
      </c>
      <c r="C482" s="204"/>
      <c r="D482" s="205">
        <v>1</v>
      </c>
      <c r="E482" s="204" t="s">
        <v>560</v>
      </c>
      <c r="F482" s="204" t="str">
        <f>VLOOKUP(E482,Table10[[COUNTRY NAME]:[CONTINENT CODE]],3,FALSE)</f>
        <v>EU</v>
      </c>
      <c r="G482" s="210" t="s">
        <v>11725</v>
      </c>
      <c r="H482" s="207">
        <v>6873</v>
      </c>
      <c r="I482" s="208">
        <v>17.25</v>
      </c>
      <c r="J482" s="345"/>
      <c r="K482" s="345">
        <f>IFERROR(Table15[[#This Row],[ROUTE $]]/Table15[[#This Row],[E - DEMAND]],0)</f>
        <v>0</v>
      </c>
      <c r="L482" s="204"/>
      <c r="M482" s="412">
        <f>IFERROR(VLOOKUP(Table15[[#This Row],[ROUTE]],DEMAND!A:F,5,FALSE),0)</f>
        <v>0</v>
      </c>
      <c r="N482" s="16">
        <f>IFERROR(VLOOKUP(Table15[[#This Row],[ROUTE]],DEMAND!A:F,6,FALSE),0)</f>
        <v>0</v>
      </c>
      <c r="O482" s="16">
        <f>IFERROR(ROUNDDOWN(Table15[[#This Row],[R-DEMAND]]/1706,0),0)</f>
        <v>0</v>
      </c>
      <c r="P482" s="16">
        <f>IFERROR(Table15[[#This Row],[ADD ACC]]*Table15[[#This Row],[RT TIME 
(380-800)]],0)</f>
        <v>0</v>
      </c>
      <c r="Q482" s="415">
        <f>IFERROR(VLOOKUP(Table15[[#This Row],[ROUTE]],PRICING!A:B,2,FALSE),0)</f>
        <v>0</v>
      </c>
      <c r="R482" s="235">
        <f>IFERROR(Table15[[#This Row],[C_DEMAND]]-Table15[[#This Row],[R-DEMAND]],0)</f>
        <v>0</v>
      </c>
      <c r="S482" s="408">
        <f t="shared" si="7"/>
        <v>0</v>
      </c>
      <c r="T482" s="419">
        <f>Table15[[#This Row],[R-DEMAND]]-(Table15[[#This Row],[ADD ACC]]*1706)</f>
        <v>0</v>
      </c>
      <c r="U482" s="419">
        <f>ROUNDDOWN(Table15[[#This Row],[Column1]]/1360,0)</f>
        <v>0</v>
      </c>
      <c r="V482" s="419"/>
      <c r="W482" s="251">
        <v>17.25</v>
      </c>
      <c r="X482" s="251">
        <f>ROUNDDOWN(Table15[[#This Row],[R-DEMAND]]/1320,0)</f>
        <v>0</v>
      </c>
      <c r="Y482" s="251">
        <f>IFERROR(Table15[[#This Row],[ADD ACC
(660/1320)]]*Table15[[#This Row],[Duration
(B744)]],0)</f>
        <v>0</v>
      </c>
      <c r="Z482" s="251"/>
    </row>
    <row r="483" spans="1:26" ht="15.75" customHeight="1" x14ac:dyDescent="0.25">
      <c r="A483" s="210" t="s">
        <v>15467</v>
      </c>
      <c r="B483" s="204" t="s">
        <v>1467</v>
      </c>
      <c r="C483" s="204"/>
      <c r="D483" s="205">
        <v>1</v>
      </c>
      <c r="E483" s="204" t="s">
        <v>78</v>
      </c>
      <c r="F483" s="204" t="str">
        <f>VLOOKUP(E483,Table10[[COUNTRY NAME]:[CONTINENT CODE]],3,FALSE)</f>
        <v>EU</v>
      </c>
      <c r="G483" s="210" t="s">
        <v>9359</v>
      </c>
      <c r="H483" s="207">
        <v>6846</v>
      </c>
      <c r="I483" s="208">
        <v>17.25</v>
      </c>
      <c r="J483" s="345"/>
      <c r="K483" s="345">
        <f>IFERROR(Table15[[#This Row],[ROUTE $]]/Table15[[#This Row],[E - DEMAND]],0)</f>
        <v>0</v>
      </c>
      <c r="L483" s="204"/>
      <c r="M483" s="412">
        <f>IFERROR(VLOOKUP(Table15[[#This Row],[ROUTE]],DEMAND!A:F,5,FALSE),0)</f>
        <v>0</v>
      </c>
      <c r="N483" s="16">
        <f>IFERROR(VLOOKUP(Table15[[#This Row],[ROUTE]],DEMAND!A:F,6,FALSE),0)</f>
        <v>0</v>
      </c>
      <c r="O483" s="16">
        <f>IFERROR(ROUNDDOWN(Table15[[#This Row],[R-DEMAND]]/1706,0),0)</f>
        <v>0</v>
      </c>
      <c r="P483" s="16">
        <f>IFERROR(Table15[[#This Row],[ADD ACC]]*Table15[[#This Row],[RT TIME 
(380-800)]],0)</f>
        <v>0</v>
      </c>
      <c r="Q483" s="415">
        <f>IFERROR(VLOOKUP(Table15[[#This Row],[ROUTE]],PRICING!A:B,2,FALSE),0)</f>
        <v>0</v>
      </c>
      <c r="R483" s="235">
        <f>IFERROR(Table15[[#This Row],[C_DEMAND]]-Table15[[#This Row],[R-DEMAND]],0)</f>
        <v>0</v>
      </c>
      <c r="S483" s="408">
        <f t="shared" si="7"/>
        <v>0</v>
      </c>
      <c r="T483" s="419">
        <f>Table15[[#This Row],[R-DEMAND]]-(Table15[[#This Row],[ADD ACC]]*1706)</f>
        <v>0</v>
      </c>
      <c r="U483" s="419">
        <f>ROUNDDOWN(Table15[[#This Row],[Column1]]/1360,0)</f>
        <v>0</v>
      </c>
      <c r="V483" s="419"/>
      <c r="W483" s="251">
        <v>17.25</v>
      </c>
      <c r="X483" s="251">
        <f>ROUNDDOWN(Table15[[#This Row],[R-DEMAND]]/1320,0)</f>
        <v>0</v>
      </c>
      <c r="Y483" s="251">
        <f>IFERROR(Table15[[#This Row],[ADD ACC
(660/1320)]]*Table15[[#This Row],[Duration
(B744)]],0)</f>
        <v>0</v>
      </c>
      <c r="Z483" s="251"/>
    </row>
    <row r="484" spans="1:26" ht="15.75" customHeight="1" x14ac:dyDescent="0.25">
      <c r="A484" s="210" t="s">
        <v>15484</v>
      </c>
      <c r="B484" s="204" t="s">
        <v>4891</v>
      </c>
      <c r="C484" s="204"/>
      <c r="D484" s="205">
        <v>3</v>
      </c>
      <c r="E484" s="204" t="s">
        <v>4889</v>
      </c>
      <c r="F484" s="204" t="str">
        <f>VLOOKUP(E484,Table10[[COUNTRY NAME]:[CONTINENT CODE]],3,FALSE)</f>
        <v>EU</v>
      </c>
      <c r="G484" s="210" t="s">
        <v>4889</v>
      </c>
      <c r="H484" s="207">
        <v>6734</v>
      </c>
      <c r="I484" s="208">
        <v>17</v>
      </c>
      <c r="J484" s="345"/>
      <c r="K484" s="345">
        <f>IFERROR(Table15[[#This Row],[ROUTE $]]/Table15[[#This Row],[E - DEMAND]],0)</f>
        <v>0</v>
      </c>
      <c r="L484" s="204"/>
      <c r="M484" s="412">
        <f>IFERROR(VLOOKUP(Table15[[#This Row],[ROUTE]],DEMAND!A:F,5,FALSE),0)</f>
        <v>0</v>
      </c>
      <c r="N484" s="16">
        <f>IFERROR(VLOOKUP(Table15[[#This Row],[ROUTE]],DEMAND!A:F,6,FALSE),0)</f>
        <v>0</v>
      </c>
      <c r="O484" s="16">
        <f>IFERROR(ROUNDDOWN(Table15[[#This Row],[R-DEMAND]]/1706,0),0)</f>
        <v>0</v>
      </c>
      <c r="P484" s="16">
        <f>IFERROR(Table15[[#This Row],[ADD ACC]]*Table15[[#This Row],[RT TIME 
(380-800)]],0)</f>
        <v>0</v>
      </c>
      <c r="Q484" s="415">
        <f>IFERROR(VLOOKUP(Table15[[#This Row],[ROUTE]],PRICING!A:B,2,FALSE),0)</f>
        <v>0</v>
      </c>
      <c r="R484" s="235">
        <f>IFERROR(Table15[[#This Row],[C_DEMAND]]-Table15[[#This Row],[R-DEMAND]],0)</f>
        <v>0</v>
      </c>
      <c r="S484" s="408">
        <f t="shared" si="7"/>
        <v>0</v>
      </c>
      <c r="T484" s="419">
        <f>Table15[[#This Row],[R-DEMAND]]-(Table15[[#This Row],[ADD ACC]]*1706)</f>
        <v>0</v>
      </c>
      <c r="U484" s="419">
        <f>ROUNDDOWN(Table15[[#This Row],[Column1]]/1360,0)</f>
        <v>0</v>
      </c>
      <c r="V484" s="419"/>
      <c r="W484" s="251">
        <v>17</v>
      </c>
      <c r="X484" s="251">
        <f>ROUNDDOWN(Table15[[#This Row],[R-DEMAND]]/1320,0)</f>
        <v>0</v>
      </c>
      <c r="Y484" s="251">
        <f>IFERROR(Table15[[#This Row],[ADD ACC
(660/1320)]]*Table15[[#This Row],[Duration
(B744)]],0)</f>
        <v>0</v>
      </c>
      <c r="Z484" s="251"/>
    </row>
    <row r="485" spans="1:26" ht="15.75" customHeight="1" x14ac:dyDescent="0.25">
      <c r="A485" s="210" t="s">
        <v>15490</v>
      </c>
      <c r="B485" s="204" t="s">
        <v>2512</v>
      </c>
      <c r="C485" s="204"/>
      <c r="D485" s="205">
        <v>2</v>
      </c>
      <c r="E485" s="204" t="s">
        <v>493</v>
      </c>
      <c r="F485" s="204" t="str">
        <f>VLOOKUP(E485,Table10[[COUNTRY NAME]:[CONTINENT CODE]],3,FALSE)</f>
        <v>AF</v>
      </c>
      <c r="G485" s="206" t="s">
        <v>11734</v>
      </c>
      <c r="H485" s="207">
        <v>6700</v>
      </c>
      <c r="I485" s="208">
        <v>17</v>
      </c>
      <c r="J485" s="345"/>
      <c r="K485" s="345">
        <f>IFERROR(Table15[[#This Row],[ROUTE $]]/Table15[[#This Row],[E - DEMAND]],0)</f>
        <v>0</v>
      </c>
      <c r="L485" s="204"/>
      <c r="M485" s="412">
        <f>IFERROR(VLOOKUP(Table15[[#This Row],[ROUTE]],DEMAND!A:F,5,FALSE),0)</f>
        <v>0</v>
      </c>
      <c r="N485" s="16">
        <f>IFERROR(VLOOKUP(Table15[[#This Row],[ROUTE]],DEMAND!A:F,6,FALSE),0)</f>
        <v>0</v>
      </c>
      <c r="O485" s="16">
        <f>IFERROR(ROUNDDOWN(Table15[[#This Row],[R-DEMAND]]/1706,0),0)</f>
        <v>0</v>
      </c>
      <c r="P485" s="16">
        <f>IFERROR(Table15[[#This Row],[ADD ACC]]*Table15[[#This Row],[RT TIME 
(380-800)]],0)</f>
        <v>0</v>
      </c>
      <c r="Q485" s="415">
        <f>IFERROR(VLOOKUP(Table15[[#This Row],[ROUTE]],PRICING!A:B,2,FALSE),0)</f>
        <v>0</v>
      </c>
      <c r="R485" s="235">
        <f>IFERROR(Table15[[#This Row],[C_DEMAND]]-Table15[[#This Row],[R-DEMAND]],0)</f>
        <v>0</v>
      </c>
      <c r="S485" s="408">
        <f t="shared" si="7"/>
        <v>0</v>
      </c>
      <c r="T485" s="419">
        <f>Table15[[#This Row],[R-DEMAND]]-(Table15[[#This Row],[ADD ACC]]*1706)</f>
        <v>0</v>
      </c>
      <c r="U485" s="419">
        <f>ROUNDDOWN(Table15[[#This Row],[Column1]]/1360,0)</f>
        <v>0</v>
      </c>
      <c r="V485" s="419"/>
      <c r="W485" s="251">
        <v>17</v>
      </c>
      <c r="X485" s="251">
        <f>ROUNDDOWN(Table15[[#This Row],[R-DEMAND]]/1320,0)</f>
        <v>0</v>
      </c>
      <c r="Y485" s="251">
        <f>IFERROR(Table15[[#This Row],[ADD ACC
(660/1320)]]*Table15[[#This Row],[Duration
(B744)]],0)</f>
        <v>0</v>
      </c>
      <c r="Z485" s="251"/>
    </row>
    <row r="486" spans="1:26" ht="15.75" customHeight="1" x14ac:dyDescent="0.25">
      <c r="A486" s="210" t="s">
        <v>15495</v>
      </c>
      <c r="B486" s="204" t="s">
        <v>3693</v>
      </c>
      <c r="C486" s="204"/>
      <c r="D486" s="205">
        <v>2</v>
      </c>
      <c r="E486" s="204" t="s">
        <v>493</v>
      </c>
      <c r="F486" s="204" t="str">
        <f>VLOOKUP(E486,Table10[[COUNTRY NAME]:[CONTINENT CODE]],3,FALSE)</f>
        <v>AF</v>
      </c>
      <c r="G486" s="206" t="s">
        <v>11738</v>
      </c>
      <c r="H486" s="207">
        <v>6671</v>
      </c>
      <c r="I486" s="208">
        <v>17</v>
      </c>
      <c r="J486" s="345"/>
      <c r="K486" s="345">
        <f>IFERROR(Table15[[#This Row],[ROUTE $]]/Table15[[#This Row],[E - DEMAND]],0)</f>
        <v>0</v>
      </c>
      <c r="L486" s="204"/>
      <c r="M486" s="412">
        <f>IFERROR(VLOOKUP(Table15[[#This Row],[ROUTE]],DEMAND!A:F,5,FALSE),0)</f>
        <v>0</v>
      </c>
      <c r="N486" s="16">
        <f>IFERROR(VLOOKUP(Table15[[#This Row],[ROUTE]],DEMAND!A:F,6,FALSE),0)</f>
        <v>0</v>
      </c>
      <c r="O486" s="16">
        <f>IFERROR(ROUNDDOWN(Table15[[#This Row],[R-DEMAND]]/1706,0),0)</f>
        <v>0</v>
      </c>
      <c r="P486" s="16">
        <f>IFERROR(Table15[[#This Row],[ADD ACC]]*Table15[[#This Row],[RT TIME 
(380-800)]],0)</f>
        <v>0</v>
      </c>
      <c r="Q486" s="415">
        <f>IFERROR(VLOOKUP(Table15[[#This Row],[ROUTE]],PRICING!A:B,2,FALSE),0)</f>
        <v>0</v>
      </c>
      <c r="R486" s="235">
        <f>IFERROR(Table15[[#This Row],[C_DEMAND]]-Table15[[#This Row],[R-DEMAND]],0)</f>
        <v>0</v>
      </c>
      <c r="S486" s="408">
        <f t="shared" si="7"/>
        <v>0</v>
      </c>
      <c r="T486" s="419">
        <f>Table15[[#This Row],[R-DEMAND]]-(Table15[[#This Row],[ADD ACC]]*1706)</f>
        <v>0</v>
      </c>
      <c r="U486" s="419">
        <f>ROUNDDOWN(Table15[[#This Row],[Column1]]/1360,0)</f>
        <v>0</v>
      </c>
      <c r="V486" s="419"/>
      <c r="W486" s="251">
        <v>17</v>
      </c>
      <c r="X486" s="251">
        <f>ROUNDDOWN(Table15[[#This Row],[R-DEMAND]]/1320,0)</f>
        <v>0</v>
      </c>
      <c r="Y486" s="251">
        <f>IFERROR(Table15[[#This Row],[ADD ACC
(660/1320)]]*Table15[[#This Row],[Duration
(B744)]],0)</f>
        <v>0</v>
      </c>
      <c r="Z486" s="251"/>
    </row>
    <row r="487" spans="1:26" ht="15.75" customHeight="1" x14ac:dyDescent="0.25">
      <c r="A487" s="210" t="s">
        <v>15487</v>
      </c>
      <c r="B487" s="204" t="s">
        <v>3607</v>
      </c>
      <c r="C487" s="204"/>
      <c r="D487" s="205">
        <v>2</v>
      </c>
      <c r="E487" s="204" t="s">
        <v>560</v>
      </c>
      <c r="F487" s="204" t="str">
        <f>VLOOKUP(E487,Table10[[COUNTRY NAME]:[CONTINENT CODE]],3,FALSE)</f>
        <v>EU</v>
      </c>
      <c r="G487" s="210" t="s">
        <v>11740</v>
      </c>
      <c r="H487" s="207">
        <v>6725</v>
      </c>
      <c r="I487" s="208">
        <v>17</v>
      </c>
      <c r="J487" s="345"/>
      <c r="K487" s="345">
        <f>IFERROR(Table15[[#This Row],[ROUTE $]]/Table15[[#This Row],[E - DEMAND]],0)</f>
        <v>0</v>
      </c>
      <c r="L487" s="204"/>
      <c r="M487" s="412">
        <f>IFERROR(VLOOKUP(Table15[[#This Row],[ROUTE]],DEMAND!A:F,5,FALSE),0)</f>
        <v>0</v>
      </c>
      <c r="N487" s="16">
        <f>IFERROR(VLOOKUP(Table15[[#This Row],[ROUTE]],DEMAND!A:F,6,FALSE),0)</f>
        <v>0</v>
      </c>
      <c r="O487" s="16">
        <f>IFERROR(ROUNDDOWN(Table15[[#This Row],[R-DEMAND]]/1706,0),0)</f>
        <v>0</v>
      </c>
      <c r="P487" s="16">
        <f>IFERROR(Table15[[#This Row],[ADD ACC]]*Table15[[#This Row],[RT TIME 
(380-800)]],0)</f>
        <v>0</v>
      </c>
      <c r="Q487" s="415">
        <f>IFERROR(VLOOKUP(Table15[[#This Row],[ROUTE]],PRICING!A:B,2,FALSE),0)</f>
        <v>0</v>
      </c>
      <c r="R487" s="235">
        <f>IFERROR(Table15[[#This Row],[C_DEMAND]]-Table15[[#This Row],[R-DEMAND]],0)</f>
        <v>0</v>
      </c>
      <c r="S487" s="408">
        <f t="shared" si="7"/>
        <v>0</v>
      </c>
      <c r="T487" s="419">
        <f>Table15[[#This Row],[R-DEMAND]]-(Table15[[#This Row],[ADD ACC]]*1706)</f>
        <v>0</v>
      </c>
      <c r="U487" s="419">
        <f>ROUNDDOWN(Table15[[#This Row],[Column1]]/1360,0)</f>
        <v>0</v>
      </c>
      <c r="V487" s="419"/>
      <c r="W487" s="251">
        <v>17</v>
      </c>
      <c r="X487" s="251">
        <f>ROUNDDOWN(Table15[[#This Row],[R-DEMAND]]/1320,0)</f>
        <v>0</v>
      </c>
      <c r="Y487" s="251">
        <f>IFERROR(Table15[[#This Row],[ADD ACC
(660/1320)]]*Table15[[#This Row],[Duration
(B744)]],0)</f>
        <v>0</v>
      </c>
      <c r="Z487" s="251"/>
    </row>
    <row r="488" spans="1:26" ht="15.75" customHeight="1" x14ac:dyDescent="0.25">
      <c r="A488" s="210" t="s">
        <v>15480</v>
      </c>
      <c r="B488" s="204" t="s">
        <v>1695</v>
      </c>
      <c r="C488" s="204"/>
      <c r="D488" s="205">
        <v>1</v>
      </c>
      <c r="E488" s="204" t="s">
        <v>493</v>
      </c>
      <c r="F488" s="204" t="str">
        <f>VLOOKUP(E488,Table10[[COUNTRY NAME]:[CONTINENT CODE]],3,FALSE)</f>
        <v>AF</v>
      </c>
      <c r="G488" s="206" t="s">
        <v>11728</v>
      </c>
      <c r="H488" s="207">
        <v>6759</v>
      </c>
      <c r="I488" s="208">
        <v>17</v>
      </c>
      <c r="J488" s="345"/>
      <c r="K488" s="345">
        <f>IFERROR(Table15[[#This Row],[ROUTE $]]/Table15[[#This Row],[E - DEMAND]],0)</f>
        <v>0</v>
      </c>
      <c r="L488" s="204"/>
      <c r="M488" s="412">
        <f>IFERROR(VLOOKUP(Table15[[#This Row],[ROUTE]],DEMAND!A:F,5,FALSE),0)</f>
        <v>0</v>
      </c>
      <c r="N488" s="16">
        <f>IFERROR(VLOOKUP(Table15[[#This Row],[ROUTE]],DEMAND!A:F,6,FALSE),0)</f>
        <v>0</v>
      </c>
      <c r="O488" s="16">
        <f>IFERROR(ROUNDDOWN(Table15[[#This Row],[R-DEMAND]]/1706,0),0)</f>
        <v>0</v>
      </c>
      <c r="P488" s="16">
        <f>IFERROR(Table15[[#This Row],[ADD ACC]]*Table15[[#This Row],[RT TIME 
(380-800)]],0)</f>
        <v>0</v>
      </c>
      <c r="Q488" s="415">
        <f>IFERROR(VLOOKUP(Table15[[#This Row],[ROUTE]],PRICING!A:B,2,FALSE),0)</f>
        <v>0</v>
      </c>
      <c r="R488" s="235">
        <f>IFERROR(Table15[[#This Row],[C_DEMAND]]-Table15[[#This Row],[R-DEMAND]],0)</f>
        <v>0</v>
      </c>
      <c r="S488" s="408">
        <f t="shared" si="7"/>
        <v>0</v>
      </c>
      <c r="T488" s="419">
        <f>Table15[[#This Row],[R-DEMAND]]-(Table15[[#This Row],[ADD ACC]]*1706)</f>
        <v>0</v>
      </c>
      <c r="U488" s="419">
        <f>ROUNDDOWN(Table15[[#This Row],[Column1]]/1360,0)</f>
        <v>0</v>
      </c>
      <c r="V488" s="419"/>
      <c r="W488" s="251">
        <v>17</v>
      </c>
      <c r="X488" s="251">
        <f>ROUNDDOWN(Table15[[#This Row],[R-DEMAND]]/1320,0)</f>
        <v>0</v>
      </c>
      <c r="Y488" s="251">
        <f>IFERROR(Table15[[#This Row],[ADD ACC
(660/1320)]]*Table15[[#This Row],[Duration
(B744)]],0)</f>
        <v>0</v>
      </c>
      <c r="Z488" s="251"/>
    </row>
    <row r="489" spans="1:26" ht="15.75" customHeight="1" x14ac:dyDescent="0.25">
      <c r="A489" s="210" t="s">
        <v>15494</v>
      </c>
      <c r="B489" s="204" t="s">
        <v>1163</v>
      </c>
      <c r="C489" s="204"/>
      <c r="D489" s="205">
        <v>1</v>
      </c>
      <c r="E489" s="204" t="s">
        <v>493</v>
      </c>
      <c r="F489" s="204" t="str">
        <f>VLOOKUP(E489,Table10[[COUNTRY NAME]:[CONTINENT CODE]],3,FALSE)</f>
        <v>AF</v>
      </c>
      <c r="G489" s="206" t="s">
        <v>11739</v>
      </c>
      <c r="H489" s="207">
        <v>6673</v>
      </c>
      <c r="I489" s="208">
        <v>17</v>
      </c>
      <c r="J489" s="345"/>
      <c r="K489" s="345">
        <f>IFERROR(Table15[[#This Row],[ROUTE $]]/Table15[[#This Row],[E - DEMAND]],0)</f>
        <v>0</v>
      </c>
      <c r="L489" s="204"/>
      <c r="M489" s="412">
        <f>IFERROR(VLOOKUP(Table15[[#This Row],[ROUTE]],DEMAND!A:F,5,FALSE),0)</f>
        <v>0</v>
      </c>
      <c r="N489" s="16">
        <f>IFERROR(VLOOKUP(Table15[[#This Row],[ROUTE]],DEMAND!A:F,6,FALSE),0)</f>
        <v>0</v>
      </c>
      <c r="O489" s="16">
        <f>IFERROR(ROUNDDOWN(Table15[[#This Row],[R-DEMAND]]/1706,0),0)</f>
        <v>0</v>
      </c>
      <c r="P489" s="16">
        <f>IFERROR(Table15[[#This Row],[ADD ACC]]*Table15[[#This Row],[RT TIME 
(380-800)]],0)</f>
        <v>0</v>
      </c>
      <c r="Q489" s="415">
        <f>IFERROR(VLOOKUP(Table15[[#This Row],[ROUTE]],PRICING!A:B,2,FALSE),0)</f>
        <v>0</v>
      </c>
      <c r="R489" s="235">
        <f>IFERROR(Table15[[#This Row],[C_DEMAND]]-Table15[[#This Row],[R-DEMAND]],0)</f>
        <v>0</v>
      </c>
      <c r="S489" s="408">
        <f t="shared" si="7"/>
        <v>0</v>
      </c>
      <c r="T489" s="419">
        <f>Table15[[#This Row],[R-DEMAND]]-(Table15[[#This Row],[ADD ACC]]*1706)</f>
        <v>0</v>
      </c>
      <c r="U489" s="419">
        <f>ROUNDDOWN(Table15[[#This Row],[Column1]]/1360,0)</f>
        <v>0</v>
      </c>
      <c r="V489" s="419"/>
      <c r="W489" s="251">
        <v>17</v>
      </c>
      <c r="X489" s="251">
        <f>ROUNDDOWN(Table15[[#This Row],[R-DEMAND]]/1320,0)</f>
        <v>0</v>
      </c>
      <c r="Y489" s="251">
        <f>IFERROR(Table15[[#This Row],[ADD ACC
(660/1320)]]*Table15[[#This Row],[Duration
(B744)]],0)</f>
        <v>0</v>
      </c>
      <c r="Z489" s="251"/>
    </row>
    <row r="490" spans="1:26" ht="15.75" customHeight="1" x14ac:dyDescent="0.25">
      <c r="A490" s="210" t="s">
        <v>15482</v>
      </c>
      <c r="B490" s="204" t="s">
        <v>820</v>
      </c>
      <c r="C490" s="204"/>
      <c r="D490" s="205">
        <v>1</v>
      </c>
      <c r="E490" s="204" t="s">
        <v>493</v>
      </c>
      <c r="F490" s="204" t="str">
        <f>VLOOKUP(E490,Table10[[COUNTRY NAME]:[CONTINENT CODE]],3,FALSE)</f>
        <v>AF</v>
      </c>
      <c r="G490" s="206" t="s">
        <v>11730</v>
      </c>
      <c r="H490" s="207">
        <v>6741</v>
      </c>
      <c r="I490" s="208">
        <v>17</v>
      </c>
      <c r="J490" s="345"/>
      <c r="K490" s="345">
        <f>IFERROR(Table15[[#This Row],[ROUTE $]]/Table15[[#This Row],[E - DEMAND]],0)</f>
        <v>0</v>
      </c>
      <c r="L490" s="204"/>
      <c r="M490" s="412">
        <f>IFERROR(VLOOKUP(Table15[[#This Row],[ROUTE]],DEMAND!A:F,5,FALSE),0)</f>
        <v>0</v>
      </c>
      <c r="N490" s="16">
        <f>IFERROR(VLOOKUP(Table15[[#This Row],[ROUTE]],DEMAND!A:F,6,FALSE),0)</f>
        <v>0</v>
      </c>
      <c r="O490" s="16">
        <f>IFERROR(ROUNDDOWN(Table15[[#This Row],[R-DEMAND]]/1706,0),0)</f>
        <v>0</v>
      </c>
      <c r="P490" s="16">
        <f>IFERROR(Table15[[#This Row],[ADD ACC]]*Table15[[#This Row],[RT TIME 
(380-800)]],0)</f>
        <v>0</v>
      </c>
      <c r="Q490" s="415">
        <f>IFERROR(VLOOKUP(Table15[[#This Row],[ROUTE]],PRICING!A:B,2,FALSE),0)</f>
        <v>0</v>
      </c>
      <c r="R490" s="235">
        <f>IFERROR(Table15[[#This Row],[C_DEMAND]]-Table15[[#This Row],[R-DEMAND]],0)</f>
        <v>0</v>
      </c>
      <c r="S490" s="408">
        <f t="shared" si="7"/>
        <v>0</v>
      </c>
      <c r="T490" s="419">
        <f>Table15[[#This Row],[R-DEMAND]]-(Table15[[#This Row],[ADD ACC]]*1706)</f>
        <v>0</v>
      </c>
      <c r="U490" s="419">
        <f>ROUNDDOWN(Table15[[#This Row],[Column1]]/1360,0)</f>
        <v>0</v>
      </c>
      <c r="V490" s="419"/>
      <c r="W490" s="251">
        <v>17</v>
      </c>
      <c r="X490" s="251">
        <f>ROUNDDOWN(Table15[[#This Row],[R-DEMAND]]/1320,0)</f>
        <v>0</v>
      </c>
      <c r="Y490" s="251">
        <f>IFERROR(Table15[[#This Row],[ADD ACC
(660/1320)]]*Table15[[#This Row],[Duration
(B744)]],0)</f>
        <v>0</v>
      </c>
      <c r="Z490" s="251"/>
    </row>
    <row r="491" spans="1:26" ht="15.75" customHeight="1" x14ac:dyDescent="0.25">
      <c r="A491" s="210" t="s">
        <v>15496</v>
      </c>
      <c r="B491" s="204" t="s">
        <v>5010</v>
      </c>
      <c r="C491" s="204"/>
      <c r="D491" s="205">
        <v>0</v>
      </c>
      <c r="E491" s="204" t="s">
        <v>1427</v>
      </c>
      <c r="F491" s="204" t="str">
        <f>VLOOKUP(E491,Table10[[COUNTRY NAME]:[CONTINENT CODE]],3,FALSE)</f>
        <v>EU</v>
      </c>
      <c r="G491" s="210" t="s">
        <v>14214</v>
      </c>
      <c r="H491" s="207">
        <v>6662</v>
      </c>
      <c r="I491" s="208">
        <v>17</v>
      </c>
      <c r="J491" s="345"/>
      <c r="K491" s="345">
        <f>IFERROR(Table15[[#This Row],[ROUTE $]]/Table15[[#This Row],[E - DEMAND]],0)</f>
        <v>0</v>
      </c>
      <c r="L491" s="204"/>
      <c r="M491" s="412">
        <f>IFERROR(VLOOKUP(Table15[[#This Row],[ROUTE]],DEMAND!A:F,5,FALSE),0)</f>
        <v>0</v>
      </c>
      <c r="N491" s="16">
        <f>IFERROR(VLOOKUP(Table15[[#This Row],[ROUTE]],DEMAND!A:F,6,FALSE),0)</f>
        <v>0</v>
      </c>
      <c r="O491" s="16">
        <f>IFERROR(ROUNDDOWN(Table15[[#This Row],[R-DEMAND]]/1706,0),0)</f>
        <v>0</v>
      </c>
      <c r="P491" s="16">
        <f>IFERROR(Table15[[#This Row],[ADD ACC]]*Table15[[#This Row],[RT TIME 
(380-800)]],0)</f>
        <v>0</v>
      </c>
      <c r="Q491" s="415">
        <f>IFERROR(VLOOKUP(Table15[[#This Row],[ROUTE]],PRICING!A:B,2,FALSE),0)</f>
        <v>0</v>
      </c>
      <c r="R491" s="235">
        <f>IFERROR(Table15[[#This Row],[C_DEMAND]]-Table15[[#This Row],[R-DEMAND]],0)</f>
        <v>0</v>
      </c>
      <c r="S491" s="408">
        <f t="shared" si="7"/>
        <v>0</v>
      </c>
      <c r="T491" s="419">
        <f>Table15[[#This Row],[R-DEMAND]]-(Table15[[#This Row],[ADD ACC]]*1706)</f>
        <v>0</v>
      </c>
      <c r="U491" s="419">
        <f>ROUNDDOWN(Table15[[#This Row],[Column1]]/1360,0)</f>
        <v>0</v>
      </c>
      <c r="V491" s="419"/>
      <c r="W491" s="251">
        <v>17</v>
      </c>
      <c r="X491" s="251">
        <f>ROUNDDOWN(Table15[[#This Row],[R-DEMAND]]/1320,0)</f>
        <v>0</v>
      </c>
      <c r="Y491" s="251">
        <f>IFERROR(Table15[[#This Row],[ADD ACC
(660/1320)]]*Table15[[#This Row],[Duration
(B744)]],0)</f>
        <v>0</v>
      </c>
      <c r="Z491" s="251"/>
    </row>
    <row r="492" spans="1:26" ht="15.75" customHeight="1" x14ac:dyDescent="0.25">
      <c r="A492" s="210" t="s">
        <v>15502</v>
      </c>
      <c r="B492" s="204" t="s">
        <v>397</v>
      </c>
      <c r="C492" s="204"/>
      <c r="D492" s="205">
        <v>3</v>
      </c>
      <c r="E492" s="204" t="s">
        <v>1674</v>
      </c>
      <c r="F492" s="204" t="str">
        <f>VLOOKUP(E492,Table10[[COUNTRY NAME]:[CONTINENT CODE]],3,FALSE)</f>
        <v>EU</v>
      </c>
      <c r="G492" s="210" t="s">
        <v>11746</v>
      </c>
      <c r="H492" s="207">
        <v>6618</v>
      </c>
      <c r="I492" s="208">
        <v>16.75</v>
      </c>
      <c r="J492" s="345"/>
      <c r="K492" s="345">
        <f>IFERROR(Table15[[#This Row],[ROUTE $]]/Table15[[#This Row],[E - DEMAND]],0)</f>
        <v>0</v>
      </c>
      <c r="L492" s="204"/>
      <c r="M492" s="412">
        <f>IFERROR(VLOOKUP(Table15[[#This Row],[ROUTE]],DEMAND!A:F,5,FALSE),0)</f>
        <v>0</v>
      </c>
      <c r="N492" s="16">
        <f>IFERROR(VLOOKUP(Table15[[#This Row],[ROUTE]],DEMAND!A:F,6,FALSE),0)</f>
        <v>0</v>
      </c>
      <c r="O492" s="16">
        <f>IFERROR(ROUNDDOWN(Table15[[#This Row],[R-DEMAND]]/1706,0),0)</f>
        <v>0</v>
      </c>
      <c r="P492" s="16">
        <f>IFERROR(Table15[[#This Row],[ADD ACC]]*Table15[[#This Row],[RT TIME 
(380-800)]],0)</f>
        <v>0</v>
      </c>
      <c r="Q492" s="415">
        <f>IFERROR(VLOOKUP(Table15[[#This Row],[ROUTE]],PRICING!A:B,2,FALSE),0)</f>
        <v>0</v>
      </c>
      <c r="R492" s="235">
        <f>IFERROR(Table15[[#This Row],[C_DEMAND]]-Table15[[#This Row],[R-DEMAND]],0)</f>
        <v>0</v>
      </c>
      <c r="S492" s="408">
        <f t="shared" si="7"/>
        <v>0</v>
      </c>
      <c r="T492" s="419">
        <f>Table15[[#This Row],[R-DEMAND]]-(Table15[[#This Row],[ADD ACC]]*1706)</f>
        <v>0</v>
      </c>
      <c r="U492" s="419">
        <f>ROUNDDOWN(Table15[[#This Row],[Column1]]/1360,0)</f>
        <v>0</v>
      </c>
      <c r="V492" s="419"/>
      <c r="W492" s="251">
        <v>16.75</v>
      </c>
      <c r="X492" s="251">
        <f>ROUNDDOWN(Table15[[#This Row],[R-DEMAND]]/1320,0)</f>
        <v>0</v>
      </c>
      <c r="Y492" s="251">
        <f>IFERROR(Table15[[#This Row],[ADD ACC
(660/1320)]]*Table15[[#This Row],[Duration
(B744)]],0)</f>
        <v>0</v>
      </c>
      <c r="Z492" s="251"/>
    </row>
    <row r="493" spans="1:26" ht="15.75" customHeight="1" x14ac:dyDescent="0.25">
      <c r="A493" s="210" t="s">
        <v>15512</v>
      </c>
      <c r="B493" s="204" t="s">
        <v>4164</v>
      </c>
      <c r="C493" s="204"/>
      <c r="D493" s="205">
        <v>2</v>
      </c>
      <c r="E493" s="204" t="s">
        <v>876</v>
      </c>
      <c r="F493" s="204" t="str">
        <f>VLOOKUP(E493,Table10[[COUNTRY NAME]:[CONTINENT CODE]],3,FALSE)</f>
        <v>EU</v>
      </c>
      <c r="G493" s="210" t="s">
        <v>11772</v>
      </c>
      <c r="H493" s="207">
        <v>6553</v>
      </c>
      <c r="I493" s="208">
        <v>16.75</v>
      </c>
      <c r="J493" s="345"/>
      <c r="K493" s="345">
        <f>IFERROR(Table15[[#This Row],[ROUTE $]]/Table15[[#This Row],[E - DEMAND]],0)</f>
        <v>0</v>
      </c>
      <c r="L493" s="204"/>
      <c r="M493" s="412">
        <f>IFERROR(VLOOKUP(Table15[[#This Row],[ROUTE]],DEMAND!A:F,5,FALSE),0)</f>
        <v>0</v>
      </c>
      <c r="N493" s="16">
        <f>IFERROR(VLOOKUP(Table15[[#This Row],[ROUTE]],DEMAND!A:F,6,FALSE),0)</f>
        <v>0</v>
      </c>
      <c r="O493" s="16">
        <f>IFERROR(ROUNDDOWN(Table15[[#This Row],[R-DEMAND]]/1706,0),0)</f>
        <v>0</v>
      </c>
      <c r="P493" s="16">
        <f>IFERROR(Table15[[#This Row],[ADD ACC]]*Table15[[#This Row],[RT TIME 
(380-800)]],0)</f>
        <v>0</v>
      </c>
      <c r="Q493" s="415">
        <f>IFERROR(VLOOKUP(Table15[[#This Row],[ROUTE]],PRICING!A:B,2,FALSE),0)</f>
        <v>0</v>
      </c>
      <c r="R493" s="235">
        <f>IFERROR(Table15[[#This Row],[C_DEMAND]]-Table15[[#This Row],[R-DEMAND]],0)</f>
        <v>0</v>
      </c>
      <c r="S493" s="408">
        <f t="shared" si="7"/>
        <v>0</v>
      </c>
      <c r="T493" s="419">
        <f>Table15[[#This Row],[R-DEMAND]]-(Table15[[#This Row],[ADD ACC]]*1706)</f>
        <v>0</v>
      </c>
      <c r="U493" s="419">
        <f>ROUNDDOWN(Table15[[#This Row],[Column1]]/1360,0)</f>
        <v>0</v>
      </c>
      <c r="V493" s="419"/>
      <c r="W493" s="251">
        <v>16.75</v>
      </c>
      <c r="X493" s="251">
        <f>ROUNDDOWN(Table15[[#This Row],[R-DEMAND]]/1320,0)</f>
        <v>0</v>
      </c>
      <c r="Y493" s="251">
        <f>IFERROR(Table15[[#This Row],[ADD ACC
(660/1320)]]*Table15[[#This Row],[Duration
(B744)]],0)</f>
        <v>0</v>
      </c>
      <c r="Z493" s="251"/>
    </row>
    <row r="494" spans="1:26" ht="15.75" customHeight="1" x14ac:dyDescent="0.25">
      <c r="A494" s="210" t="s">
        <v>15499</v>
      </c>
      <c r="B494" s="204" t="s">
        <v>3664</v>
      </c>
      <c r="C494" s="204"/>
      <c r="D494" s="205">
        <v>2</v>
      </c>
      <c r="E494" s="204" t="s">
        <v>876</v>
      </c>
      <c r="F494" s="204" t="str">
        <f>VLOOKUP(E494,Table10[[COUNTRY NAME]:[CONTINENT CODE]],3,FALSE)</f>
        <v>EU</v>
      </c>
      <c r="G494" s="210" t="s">
        <v>11761</v>
      </c>
      <c r="H494" s="207">
        <v>6643</v>
      </c>
      <c r="I494" s="208">
        <v>16.75</v>
      </c>
      <c r="J494" s="345"/>
      <c r="K494" s="345">
        <f>IFERROR(Table15[[#This Row],[ROUTE $]]/Table15[[#This Row],[E - DEMAND]],0)</f>
        <v>0</v>
      </c>
      <c r="L494" s="204"/>
      <c r="M494" s="412">
        <f>IFERROR(VLOOKUP(Table15[[#This Row],[ROUTE]],DEMAND!A:F,5,FALSE),0)</f>
        <v>0</v>
      </c>
      <c r="N494" s="16">
        <f>IFERROR(VLOOKUP(Table15[[#This Row],[ROUTE]],DEMAND!A:F,6,FALSE),0)</f>
        <v>0</v>
      </c>
      <c r="O494" s="16">
        <f>IFERROR(ROUNDDOWN(Table15[[#This Row],[R-DEMAND]]/1706,0),0)</f>
        <v>0</v>
      </c>
      <c r="P494" s="16">
        <f>IFERROR(Table15[[#This Row],[ADD ACC]]*Table15[[#This Row],[RT TIME 
(380-800)]],0)</f>
        <v>0</v>
      </c>
      <c r="Q494" s="415">
        <f>IFERROR(VLOOKUP(Table15[[#This Row],[ROUTE]],PRICING!A:B,2,FALSE),0)</f>
        <v>0</v>
      </c>
      <c r="R494" s="235">
        <f>IFERROR(Table15[[#This Row],[C_DEMAND]]-Table15[[#This Row],[R-DEMAND]],0)</f>
        <v>0</v>
      </c>
      <c r="S494" s="408">
        <f t="shared" si="7"/>
        <v>0</v>
      </c>
      <c r="T494" s="419">
        <f>Table15[[#This Row],[R-DEMAND]]-(Table15[[#This Row],[ADD ACC]]*1706)</f>
        <v>0</v>
      </c>
      <c r="U494" s="419">
        <f>ROUNDDOWN(Table15[[#This Row],[Column1]]/1360,0)</f>
        <v>0</v>
      </c>
      <c r="V494" s="419"/>
      <c r="W494" s="251">
        <v>16.75</v>
      </c>
      <c r="X494" s="251">
        <f>ROUNDDOWN(Table15[[#This Row],[R-DEMAND]]/1320,0)</f>
        <v>0</v>
      </c>
      <c r="Y494" s="251">
        <f>IFERROR(Table15[[#This Row],[ADD ACC
(660/1320)]]*Table15[[#This Row],[Duration
(B744)]],0)</f>
        <v>0</v>
      </c>
      <c r="Z494" s="251"/>
    </row>
    <row r="495" spans="1:26" ht="15.75" customHeight="1" x14ac:dyDescent="0.25">
      <c r="A495" s="210" t="s">
        <v>15506</v>
      </c>
      <c r="B495" s="204" t="s">
        <v>4661</v>
      </c>
      <c r="C495" s="204"/>
      <c r="D495" s="205">
        <v>2</v>
      </c>
      <c r="E495" s="204" t="s">
        <v>1427</v>
      </c>
      <c r="F495" s="204" t="str">
        <f>VLOOKUP(E495,Table10[[COUNTRY NAME]:[CONTINENT CODE]],3,FALSE)</f>
        <v>EU</v>
      </c>
      <c r="G495" s="210" t="s">
        <v>11752</v>
      </c>
      <c r="H495" s="207">
        <v>6590</v>
      </c>
      <c r="I495" s="208">
        <v>16.75</v>
      </c>
      <c r="J495" s="345"/>
      <c r="K495" s="345">
        <f>IFERROR(Table15[[#This Row],[ROUTE $]]/Table15[[#This Row],[E - DEMAND]],0)</f>
        <v>0</v>
      </c>
      <c r="L495" s="204"/>
      <c r="M495" s="412">
        <f>IFERROR(VLOOKUP(Table15[[#This Row],[ROUTE]],DEMAND!A:F,5,FALSE),0)</f>
        <v>0</v>
      </c>
      <c r="N495" s="16">
        <f>IFERROR(VLOOKUP(Table15[[#This Row],[ROUTE]],DEMAND!A:F,6,FALSE),0)</f>
        <v>0</v>
      </c>
      <c r="O495" s="16">
        <f>IFERROR(ROUNDDOWN(Table15[[#This Row],[R-DEMAND]]/1706,0),0)</f>
        <v>0</v>
      </c>
      <c r="P495" s="16">
        <f>IFERROR(Table15[[#This Row],[ADD ACC]]*Table15[[#This Row],[RT TIME 
(380-800)]],0)</f>
        <v>0</v>
      </c>
      <c r="Q495" s="415">
        <f>IFERROR(VLOOKUP(Table15[[#This Row],[ROUTE]],PRICING!A:B,2,FALSE),0)</f>
        <v>0</v>
      </c>
      <c r="R495" s="235">
        <f>IFERROR(Table15[[#This Row],[C_DEMAND]]-Table15[[#This Row],[R-DEMAND]],0)</f>
        <v>0</v>
      </c>
      <c r="S495" s="408">
        <f t="shared" si="7"/>
        <v>0</v>
      </c>
      <c r="T495" s="419">
        <f>Table15[[#This Row],[R-DEMAND]]-(Table15[[#This Row],[ADD ACC]]*1706)</f>
        <v>0</v>
      </c>
      <c r="U495" s="419">
        <f>ROUNDDOWN(Table15[[#This Row],[Column1]]/1360,0)</f>
        <v>0</v>
      </c>
      <c r="V495" s="419"/>
      <c r="W495" s="251">
        <v>16.75</v>
      </c>
      <c r="X495" s="251">
        <f>ROUNDDOWN(Table15[[#This Row],[R-DEMAND]]/1320,0)</f>
        <v>0</v>
      </c>
      <c r="Y495" s="251">
        <f>IFERROR(Table15[[#This Row],[ADD ACC
(660/1320)]]*Table15[[#This Row],[Duration
(B744)]],0)</f>
        <v>0</v>
      </c>
      <c r="Z495" s="251"/>
    </row>
    <row r="496" spans="1:26" ht="15.75" customHeight="1" x14ac:dyDescent="0.25">
      <c r="A496" s="210" t="s">
        <v>15498</v>
      </c>
      <c r="B496" s="204" t="s">
        <v>3638</v>
      </c>
      <c r="C496" s="204"/>
      <c r="D496" s="205">
        <v>2</v>
      </c>
      <c r="E496" s="204" t="s">
        <v>1427</v>
      </c>
      <c r="F496" s="204" t="str">
        <f>VLOOKUP(E496,Table10[[COUNTRY NAME]:[CONTINENT CODE]],3,FALSE)</f>
        <v>EU</v>
      </c>
      <c r="G496" s="210" t="s">
        <v>11745</v>
      </c>
      <c r="H496" s="207">
        <v>6644</v>
      </c>
      <c r="I496" s="208">
        <v>16.75</v>
      </c>
      <c r="J496" s="345"/>
      <c r="K496" s="345">
        <f>IFERROR(Table15[[#This Row],[ROUTE $]]/Table15[[#This Row],[E - DEMAND]],0)</f>
        <v>0</v>
      </c>
      <c r="L496" s="204"/>
      <c r="M496" s="412">
        <f>IFERROR(VLOOKUP(Table15[[#This Row],[ROUTE]],DEMAND!A:F,5,FALSE),0)</f>
        <v>0</v>
      </c>
      <c r="N496" s="16">
        <f>IFERROR(VLOOKUP(Table15[[#This Row],[ROUTE]],DEMAND!A:F,6,FALSE),0)</f>
        <v>0</v>
      </c>
      <c r="O496" s="16">
        <f>IFERROR(ROUNDDOWN(Table15[[#This Row],[R-DEMAND]]/1706,0),0)</f>
        <v>0</v>
      </c>
      <c r="P496" s="16">
        <f>IFERROR(Table15[[#This Row],[ADD ACC]]*Table15[[#This Row],[RT TIME 
(380-800)]],0)</f>
        <v>0</v>
      </c>
      <c r="Q496" s="415">
        <f>IFERROR(VLOOKUP(Table15[[#This Row],[ROUTE]],PRICING!A:B,2,FALSE),0)</f>
        <v>0</v>
      </c>
      <c r="R496" s="235">
        <f>IFERROR(Table15[[#This Row],[C_DEMAND]]-Table15[[#This Row],[R-DEMAND]],0)</f>
        <v>0</v>
      </c>
      <c r="S496" s="408">
        <f t="shared" si="7"/>
        <v>0</v>
      </c>
      <c r="T496" s="419">
        <f>Table15[[#This Row],[R-DEMAND]]-(Table15[[#This Row],[ADD ACC]]*1706)</f>
        <v>0</v>
      </c>
      <c r="U496" s="419">
        <f>ROUNDDOWN(Table15[[#This Row],[Column1]]/1360,0)</f>
        <v>0</v>
      </c>
      <c r="V496" s="419"/>
      <c r="W496" s="251">
        <v>16.75</v>
      </c>
      <c r="X496" s="251">
        <f>ROUNDDOWN(Table15[[#This Row],[R-DEMAND]]/1320,0)</f>
        <v>0</v>
      </c>
      <c r="Y496" s="251">
        <f>IFERROR(Table15[[#This Row],[ADD ACC
(660/1320)]]*Table15[[#This Row],[Duration
(B744)]],0)</f>
        <v>0</v>
      </c>
      <c r="Z496" s="251"/>
    </row>
    <row r="497" spans="1:26" ht="15.75" customHeight="1" x14ac:dyDescent="0.25">
      <c r="A497" s="210" t="s">
        <v>15513</v>
      </c>
      <c r="B497" s="204" t="s">
        <v>2665</v>
      </c>
      <c r="C497" s="204"/>
      <c r="D497" s="205">
        <v>2</v>
      </c>
      <c r="E497" s="204" t="s">
        <v>971</v>
      </c>
      <c r="F497" s="204" t="str">
        <f>VLOOKUP(E497,Table10[[COUNTRY NAME]:[CONTINENT CODE]],3,FALSE)</f>
        <v>AF</v>
      </c>
      <c r="G497" s="206" t="s">
        <v>11748</v>
      </c>
      <c r="H497" s="207">
        <v>6548</v>
      </c>
      <c r="I497" s="208">
        <v>16.75</v>
      </c>
      <c r="J497" s="345"/>
      <c r="K497" s="345">
        <f>IFERROR(Table15[[#This Row],[ROUTE $]]/Table15[[#This Row],[E - DEMAND]],0)</f>
        <v>0</v>
      </c>
      <c r="L497" s="204"/>
      <c r="M497" s="412">
        <f>IFERROR(VLOOKUP(Table15[[#This Row],[ROUTE]],DEMAND!A:F,5,FALSE),0)</f>
        <v>0</v>
      </c>
      <c r="N497" s="16">
        <f>IFERROR(VLOOKUP(Table15[[#This Row],[ROUTE]],DEMAND!A:F,6,FALSE),0)</f>
        <v>0</v>
      </c>
      <c r="O497" s="16">
        <f>IFERROR(ROUNDDOWN(Table15[[#This Row],[R-DEMAND]]/1706,0),0)</f>
        <v>0</v>
      </c>
      <c r="P497" s="16">
        <f>IFERROR(Table15[[#This Row],[ADD ACC]]*Table15[[#This Row],[RT TIME 
(380-800)]],0)</f>
        <v>0</v>
      </c>
      <c r="Q497" s="415">
        <f>IFERROR(VLOOKUP(Table15[[#This Row],[ROUTE]],PRICING!A:B,2,FALSE),0)</f>
        <v>0</v>
      </c>
      <c r="R497" s="235">
        <f>IFERROR(Table15[[#This Row],[C_DEMAND]]-Table15[[#This Row],[R-DEMAND]],0)</f>
        <v>0</v>
      </c>
      <c r="S497" s="408">
        <f t="shared" si="7"/>
        <v>0</v>
      </c>
      <c r="T497" s="419">
        <f>Table15[[#This Row],[R-DEMAND]]-(Table15[[#This Row],[ADD ACC]]*1706)</f>
        <v>0</v>
      </c>
      <c r="U497" s="419">
        <f>ROUNDDOWN(Table15[[#This Row],[Column1]]/1360,0)</f>
        <v>0</v>
      </c>
      <c r="V497" s="419"/>
      <c r="W497" s="251">
        <v>16.75</v>
      </c>
      <c r="X497" s="251">
        <f>ROUNDDOWN(Table15[[#This Row],[R-DEMAND]]/1320,0)</f>
        <v>0</v>
      </c>
      <c r="Y497" s="251">
        <f>IFERROR(Table15[[#This Row],[ADD ACC
(660/1320)]]*Table15[[#This Row],[Duration
(B744)]],0)</f>
        <v>0</v>
      </c>
      <c r="Z497" s="251"/>
    </row>
    <row r="498" spans="1:26" ht="15.75" customHeight="1" x14ac:dyDescent="0.25">
      <c r="A498" s="210" t="s">
        <v>15509</v>
      </c>
      <c r="B498" s="204" t="s">
        <v>1433</v>
      </c>
      <c r="C498" s="204"/>
      <c r="D498" s="205">
        <v>1</v>
      </c>
      <c r="E498" s="204" t="s">
        <v>493</v>
      </c>
      <c r="F498" s="204" t="str">
        <f>VLOOKUP(E498,Table10[[COUNTRY NAME]:[CONTINENT CODE]],3,FALSE)</f>
        <v>AF</v>
      </c>
      <c r="G498" s="206" t="s">
        <v>11756</v>
      </c>
      <c r="H498" s="207">
        <v>6571</v>
      </c>
      <c r="I498" s="208">
        <v>16.75</v>
      </c>
      <c r="J498" s="345"/>
      <c r="K498" s="345">
        <f>IFERROR(Table15[[#This Row],[ROUTE $]]/Table15[[#This Row],[E - DEMAND]],0)</f>
        <v>0</v>
      </c>
      <c r="L498" s="204"/>
      <c r="M498" s="412">
        <f>IFERROR(VLOOKUP(Table15[[#This Row],[ROUTE]],DEMAND!A:F,5,FALSE),0)</f>
        <v>0</v>
      </c>
      <c r="N498" s="16">
        <f>IFERROR(VLOOKUP(Table15[[#This Row],[ROUTE]],DEMAND!A:F,6,FALSE),0)</f>
        <v>0</v>
      </c>
      <c r="O498" s="16">
        <f>IFERROR(ROUNDDOWN(Table15[[#This Row],[R-DEMAND]]/1706,0),0)</f>
        <v>0</v>
      </c>
      <c r="P498" s="16">
        <f>IFERROR(Table15[[#This Row],[ADD ACC]]*Table15[[#This Row],[RT TIME 
(380-800)]],0)</f>
        <v>0</v>
      </c>
      <c r="Q498" s="415">
        <f>IFERROR(VLOOKUP(Table15[[#This Row],[ROUTE]],PRICING!A:B,2,FALSE),0)</f>
        <v>0</v>
      </c>
      <c r="R498" s="235">
        <f>IFERROR(Table15[[#This Row],[C_DEMAND]]-Table15[[#This Row],[R-DEMAND]],0)</f>
        <v>0</v>
      </c>
      <c r="S498" s="408">
        <f t="shared" si="7"/>
        <v>0</v>
      </c>
      <c r="T498" s="419">
        <f>Table15[[#This Row],[R-DEMAND]]-(Table15[[#This Row],[ADD ACC]]*1706)</f>
        <v>0</v>
      </c>
      <c r="U498" s="419">
        <f>ROUNDDOWN(Table15[[#This Row],[Column1]]/1360,0)</f>
        <v>0</v>
      </c>
      <c r="V498" s="419"/>
      <c r="W498" s="251">
        <v>16.75</v>
      </c>
      <c r="X498" s="251">
        <f>ROUNDDOWN(Table15[[#This Row],[R-DEMAND]]/1320,0)</f>
        <v>0</v>
      </c>
      <c r="Y498" s="251">
        <f>IFERROR(Table15[[#This Row],[ADD ACC
(660/1320)]]*Table15[[#This Row],[Duration
(B744)]],0)</f>
        <v>0</v>
      </c>
      <c r="Z498" s="251"/>
    </row>
    <row r="499" spans="1:26" ht="15.75" customHeight="1" x14ac:dyDescent="0.25">
      <c r="A499" s="210" t="s">
        <v>15508</v>
      </c>
      <c r="B499" s="204" t="s">
        <v>1598</v>
      </c>
      <c r="C499" s="204"/>
      <c r="D499" s="205">
        <v>1</v>
      </c>
      <c r="E499" s="204" t="s">
        <v>644</v>
      </c>
      <c r="F499" s="204" t="str">
        <f>VLOOKUP(E499,Table10[[COUNTRY NAME]:[CONTINENT CODE]],3,FALSE)</f>
        <v>AF</v>
      </c>
      <c r="G499" s="206" t="s">
        <v>11848</v>
      </c>
      <c r="H499" s="207">
        <v>6578</v>
      </c>
      <c r="I499" s="208">
        <v>16.75</v>
      </c>
      <c r="J499" s="345"/>
      <c r="K499" s="345">
        <f>IFERROR(Table15[[#This Row],[ROUTE $]]/Table15[[#This Row],[E - DEMAND]],0)</f>
        <v>0</v>
      </c>
      <c r="L499" s="204"/>
      <c r="M499" s="412">
        <f>IFERROR(VLOOKUP(Table15[[#This Row],[ROUTE]],DEMAND!A:F,5,FALSE),0)</f>
        <v>0</v>
      </c>
      <c r="N499" s="16">
        <f>IFERROR(VLOOKUP(Table15[[#This Row],[ROUTE]],DEMAND!A:F,6,FALSE),0)</f>
        <v>0</v>
      </c>
      <c r="O499" s="16">
        <f>IFERROR(ROUNDDOWN(Table15[[#This Row],[R-DEMAND]]/1706,0),0)</f>
        <v>0</v>
      </c>
      <c r="P499" s="16">
        <f>IFERROR(Table15[[#This Row],[ADD ACC]]*Table15[[#This Row],[RT TIME 
(380-800)]],0)</f>
        <v>0</v>
      </c>
      <c r="Q499" s="415">
        <f>IFERROR(VLOOKUP(Table15[[#This Row],[ROUTE]],PRICING!A:B,2,FALSE),0)</f>
        <v>0</v>
      </c>
      <c r="R499" s="235">
        <f>IFERROR(Table15[[#This Row],[C_DEMAND]]-Table15[[#This Row],[R-DEMAND]],0)</f>
        <v>0</v>
      </c>
      <c r="S499" s="408">
        <f t="shared" si="7"/>
        <v>0</v>
      </c>
      <c r="T499" s="419">
        <f>Table15[[#This Row],[R-DEMAND]]-(Table15[[#This Row],[ADD ACC]]*1706)</f>
        <v>0</v>
      </c>
      <c r="U499" s="419">
        <f>ROUNDDOWN(Table15[[#This Row],[Column1]]/1360,0)</f>
        <v>0</v>
      </c>
      <c r="V499" s="419"/>
      <c r="W499" s="251">
        <v>16.75</v>
      </c>
      <c r="X499" s="251">
        <f>ROUNDDOWN(Table15[[#This Row],[R-DEMAND]]/1320,0)</f>
        <v>0</v>
      </c>
      <c r="Y499" s="251">
        <f>IFERROR(Table15[[#This Row],[ADD ACC
(660/1320)]]*Table15[[#This Row],[Duration
(B744)]],0)</f>
        <v>0</v>
      </c>
      <c r="Z499" s="251"/>
    </row>
    <row r="500" spans="1:26" ht="15.75" customHeight="1" x14ac:dyDescent="0.25">
      <c r="A500" s="210" t="s">
        <v>15519</v>
      </c>
      <c r="B500" s="204" t="s">
        <v>4776</v>
      </c>
      <c r="C500" s="204"/>
      <c r="D500" s="205">
        <v>3</v>
      </c>
      <c r="E500" s="204" t="s">
        <v>308</v>
      </c>
      <c r="F500" s="204" t="str">
        <f>VLOOKUP(E500,Table10[[COUNTRY NAME]:[CONTINENT CODE]],3,FALSE)</f>
        <v>EU</v>
      </c>
      <c r="G500" s="210" t="s">
        <v>11750</v>
      </c>
      <c r="H500" s="207">
        <v>6519</v>
      </c>
      <c r="I500" s="208">
        <v>16.5</v>
      </c>
      <c r="J500" s="345"/>
      <c r="K500" s="345">
        <f>IFERROR(Table15[[#This Row],[ROUTE $]]/Table15[[#This Row],[E - DEMAND]],0)</f>
        <v>0</v>
      </c>
      <c r="L500" s="204"/>
      <c r="M500" s="412">
        <f>IFERROR(VLOOKUP(Table15[[#This Row],[ROUTE]],DEMAND!A:F,5,FALSE),0)</f>
        <v>0</v>
      </c>
      <c r="N500" s="16">
        <f>IFERROR(VLOOKUP(Table15[[#This Row],[ROUTE]],DEMAND!A:F,6,FALSE),0)</f>
        <v>0</v>
      </c>
      <c r="O500" s="16">
        <f>IFERROR(ROUNDDOWN(Table15[[#This Row],[R-DEMAND]]/1706,0),0)</f>
        <v>0</v>
      </c>
      <c r="P500" s="16">
        <f>IFERROR(Table15[[#This Row],[ADD ACC]]*Table15[[#This Row],[RT TIME 
(380-800)]],0)</f>
        <v>0</v>
      </c>
      <c r="Q500" s="415">
        <f>IFERROR(VLOOKUP(Table15[[#This Row],[ROUTE]],PRICING!A:B,2,FALSE),0)</f>
        <v>0</v>
      </c>
      <c r="R500" s="235">
        <f>IFERROR(Table15[[#This Row],[C_DEMAND]]-Table15[[#This Row],[R-DEMAND]],0)</f>
        <v>0</v>
      </c>
      <c r="S500" s="408">
        <f t="shared" si="7"/>
        <v>0</v>
      </c>
      <c r="T500" s="419">
        <f>Table15[[#This Row],[R-DEMAND]]-(Table15[[#This Row],[ADD ACC]]*1706)</f>
        <v>0</v>
      </c>
      <c r="U500" s="419">
        <f>ROUNDDOWN(Table15[[#This Row],[Column1]]/1360,0)</f>
        <v>0</v>
      </c>
      <c r="V500" s="419"/>
      <c r="W500" s="251">
        <v>16.5</v>
      </c>
      <c r="X500" s="251">
        <f>ROUNDDOWN(Table15[[#This Row],[R-DEMAND]]/1320,0)</f>
        <v>0</v>
      </c>
      <c r="Y500" s="251">
        <f>IFERROR(Table15[[#This Row],[ADD ACC
(660/1320)]]*Table15[[#This Row],[Duration
(B744)]],0)</f>
        <v>0</v>
      </c>
      <c r="Z500" s="251"/>
    </row>
    <row r="501" spans="1:26" ht="15.75" customHeight="1" x14ac:dyDescent="0.25">
      <c r="A501" s="210" t="s">
        <v>15530</v>
      </c>
      <c r="B501" s="204" t="s">
        <v>5231</v>
      </c>
      <c r="C501" s="204"/>
      <c r="D501" s="205">
        <v>3</v>
      </c>
      <c r="E501" s="204" t="s">
        <v>308</v>
      </c>
      <c r="F501" s="204" t="str">
        <f>VLOOKUP(E501,Table10[[COUNTRY NAME]:[CONTINENT CODE]],3,FALSE)</f>
        <v>EU</v>
      </c>
      <c r="G501" s="210" t="s">
        <v>11760</v>
      </c>
      <c r="H501" s="207">
        <v>6451</v>
      </c>
      <c r="I501" s="208">
        <v>16.5</v>
      </c>
      <c r="J501" s="345"/>
      <c r="K501" s="345">
        <f>IFERROR(Table15[[#This Row],[ROUTE $]]/Table15[[#This Row],[E - DEMAND]],0)</f>
        <v>0</v>
      </c>
      <c r="L501" s="204"/>
      <c r="M501" s="412">
        <f>IFERROR(VLOOKUP(Table15[[#This Row],[ROUTE]],DEMAND!A:F,5,FALSE),0)</f>
        <v>0</v>
      </c>
      <c r="N501" s="16">
        <f>IFERROR(VLOOKUP(Table15[[#This Row],[ROUTE]],DEMAND!A:F,6,FALSE),0)</f>
        <v>0</v>
      </c>
      <c r="O501" s="16">
        <f>IFERROR(ROUNDDOWN(Table15[[#This Row],[R-DEMAND]]/1706,0),0)</f>
        <v>0</v>
      </c>
      <c r="P501" s="16">
        <f>IFERROR(Table15[[#This Row],[ADD ACC]]*Table15[[#This Row],[RT TIME 
(380-800)]],0)</f>
        <v>0</v>
      </c>
      <c r="Q501" s="415">
        <f>IFERROR(VLOOKUP(Table15[[#This Row],[ROUTE]],PRICING!A:B,2,FALSE),0)</f>
        <v>0</v>
      </c>
      <c r="R501" s="235">
        <f>IFERROR(Table15[[#This Row],[C_DEMAND]]-Table15[[#This Row],[R-DEMAND]],0)</f>
        <v>0</v>
      </c>
      <c r="S501" s="408">
        <f t="shared" si="7"/>
        <v>0</v>
      </c>
      <c r="T501" s="419">
        <f>Table15[[#This Row],[R-DEMAND]]-(Table15[[#This Row],[ADD ACC]]*1706)</f>
        <v>0</v>
      </c>
      <c r="U501" s="419">
        <f>ROUNDDOWN(Table15[[#This Row],[Column1]]/1360,0)</f>
        <v>0</v>
      </c>
      <c r="V501" s="419"/>
      <c r="W501" s="251">
        <v>16.5</v>
      </c>
      <c r="X501" s="251">
        <f>ROUNDDOWN(Table15[[#This Row],[R-DEMAND]]/1320,0)</f>
        <v>0</v>
      </c>
      <c r="Y501" s="251">
        <f>IFERROR(Table15[[#This Row],[ADD ACC
(660/1320)]]*Table15[[#This Row],[Duration
(B744)]],0)</f>
        <v>0</v>
      </c>
      <c r="Z501" s="251"/>
    </row>
    <row r="502" spans="1:26" ht="15.75" customHeight="1" x14ac:dyDescent="0.25">
      <c r="A502" s="210" t="s">
        <v>15524</v>
      </c>
      <c r="B502" s="204" t="s">
        <v>299</v>
      </c>
      <c r="C502" s="204"/>
      <c r="D502" s="205">
        <v>3</v>
      </c>
      <c r="E502" s="204" t="s">
        <v>308</v>
      </c>
      <c r="F502" s="204" t="str">
        <f>VLOOKUP(E502,Table10[[COUNTRY NAME]:[CONTINENT CODE]],3,FALSE)</f>
        <v>EU</v>
      </c>
      <c r="G502" s="210" t="s">
        <v>11758</v>
      </c>
      <c r="H502" s="207">
        <v>6491</v>
      </c>
      <c r="I502" s="208">
        <v>16.5</v>
      </c>
      <c r="J502" s="345"/>
      <c r="K502" s="345">
        <f>IFERROR(Table15[[#This Row],[ROUTE $]]/Table15[[#This Row],[E - DEMAND]],0)</f>
        <v>0</v>
      </c>
      <c r="L502" s="204"/>
      <c r="M502" s="412">
        <f>IFERROR(VLOOKUP(Table15[[#This Row],[ROUTE]],DEMAND!A:F,5,FALSE),0)</f>
        <v>0</v>
      </c>
      <c r="N502" s="16">
        <f>IFERROR(VLOOKUP(Table15[[#This Row],[ROUTE]],DEMAND!A:F,6,FALSE),0)</f>
        <v>0</v>
      </c>
      <c r="O502" s="16">
        <f>IFERROR(ROUNDDOWN(Table15[[#This Row],[R-DEMAND]]/1706,0),0)</f>
        <v>0</v>
      </c>
      <c r="P502" s="16">
        <f>IFERROR(Table15[[#This Row],[ADD ACC]]*Table15[[#This Row],[RT TIME 
(380-800)]],0)</f>
        <v>0</v>
      </c>
      <c r="Q502" s="415">
        <f>IFERROR(VLOOKUP(Table15[[#This Row],[ROUTE]],PRICING!A:B,2,FALSE),0)</f>
        <v>0</v>
      </c>
      <c r="R502" s="235">
        <f>IFERROR(Table15[[#This Row],[C_DEMAND]]-Table15[[#This Row],[R-DEMAND]],0)</f>
        <v>0</v>
      </c>
      <c r="S502" s="408">
        <f t="shared" si="7"/>
        <v>0</v>
      </c>
      <c r="T502" s="419">
        <f>Table15[[#This Row],[R-DEMAND]]-(Table15[[#This Row],[ADD ACC]]*1706)</f>
        <v>0</v>
      </c>
      <c r="U502" s="419">
        <f>ROUNDDOWN(Table15[[#This Row],[Column1]]/1360,0)</f>
        <v>0</v>
      </c>
      <c r="V502" s="419"/>
      <c r="W502" s="251">
        <v>16.5</v>
      </c>
      <c r="X502" s="251">
        <f>ROUNDDOWN(Table15[[#This Row],[R-DEMAND]]/1320,0)</f>
        <v>0</v>
      </c>
      <c r="Y502" s="251">
        <f>IFERROR(Table15[[#This Row],[ADD ACC
(660/1320)]]*Table15[[#This Row],[Duration
(B744)]],0)</f>
        <v>0</v>
      </c>
      <c r="Z502" s="251"/>
    </row>
    <row r="503" spans="1:26" ht="15.75" customHeight="1" x14ac:dyDescent="0.25">
      <c r="A503" s="210" t="s">
        <v>15529</v>
      </c>
      <c r="B503" s="204" t="s">
        <v>3008</v>
      </c>
      <c r="C503" s="204"/>
      <c r="D503" s="205">
        <v>2</v>
      </c>
      <c r="E503" s="204" t="s">
        <v>493</v>
      </c>
      <c r="F503" s="204" t="str">
        <f>VLOOKUP(E503,Table10[[COUNTRY NAME]:[CONTINENT CODE]],3,FALSE)</f>
        <v>AF</v>
      </c>
      <c r="G503" s="206" t="s">
        <v>11764</v>
      </c>
      <c r="H503" s="207">
        <v>6454</v>
      </c>
      <c r="I503" s="208">
        <v>16.5</v>
      </c>
      <c r="J503" s="345"/>
      <c r="K503" s="345">
        <f>IFERROR(Table15[[#This Row],[ROUTE $]]/Table15[[#This Row],[E - DEMAND]],0)</f>
        <v>0</v>
      </c>
      <c r="L503" s="204"/>
      <c r="M503" s="412">
        <f>IFERROR(VLOOKUP(Table15[[#This Row],[ROUTE]],DEMAND!A:F,5,FALSE),0)</f>
        <v>0</v>
      </c>
      <c r="N503" s="16">
        <f>IFERROR(VLOOKUP(Table15[[#This Row],[ROUTE]],DEMAND!A:F,6,FALSE),0)</f>
        <v>0</v>
      </c>
      <c r="O503" s="16">
        <f>IFERROR(ROUNDDOWN(Table15[[#This Row],[R-DEMAND]]/1706,0),0)</f>
        <v>0</v>
      </c>
      <c r="P503" s="16">
        <f>IFERROR(Table15[[#This Row],[ADD ACC]]*Table15[[#This Row],[RT TIME 
(380-800)]],0)</f>
        <v>0</v>
      </c>
      <c r="Q503" s="415">
        <f>IFERROR(VLOOKUP(Table15[[#This Row],[ROUTE]],PRICING!A:B,2,FALSE),0)</f>
        <v>0</v>
      </c>
      <c r="R503" s="235">
        <f>IFERROR(Table15[[#This Row],[C_DEMAND]]-Table15[[#This Row],[R-DEMAND]],0)</f>
        <v>0</v>
      </c>
      <c r="S503" s="408">
        <f t="shared" si="7"/>
        <v>0</v>
      </c>
      <c r="T503" s="419">
        <f>Table15[[#This Row],[R-DEMAND]]-(Table15[[#This Row],[ADD ACC]]*1706)</f>
        <v>0</v>
      </c>
      <c r="U503" s="419">
        <f>ROUNDDOWN(Table15[[#This Row],[Column1]]/1360,0)</f>
        <v>0</v>
      </c>
      <c r="V503" s="419"/>
      <c r="W503" s="251">
        <v>16.5</v>
      </c>
      <c r="X503" s="251">
        <f>ROUNDDOWN(Table15[[#This Row],[R-DEMAND]]/1320,0)</f>
        <v>0</v>
      </c>
      <c r="Y503" s="251">
        <f>IFERROR(Table15[[#This Row],[ADD ACC
(660/1320)]]*Table15[[#This Row],[Duration
(B744)]],0)</f>
        <v>0</v>
      </c>
      <c r="Z503" s="251"/>
    </row>
    <row r="504" spans="1:26" ht="15.75" customHeight="1" x14ac:dyDescent="0.25">
      <c r="A504" s="210" t="s">
        <v>15515</v>
      </c>
      <c r="B504" s="204" t="s">
        <v>2579</v>
      </c>
      <c r="C504" s="204"/>
      <c r="D504" s="205">
        <v>2</v>
      </c>
      <c r="E504" s="204" t="s">
        <v>493</v>
      </c>
      <c r="F504" s="204" t="str">
        <f>VLOOKUP(E504,Table10[[COUNTRY NAME]:[CONTINENT CODE]],3,FALSE)</f>
        <v>AF</v>
      </c>
      <c r="G504" s="206" t="s">
        <v>11749</v>
      </c>
      <c r="H504" s="207">
        <v>6539</v>
      </c>
      <c r="I504" s="208">
        <v>16.5</v>
      </c>
      <c r="J504" s="345"/>
      <c r="K504" s="345">
        <f>IFERROR(Table15[[#This Row],[ROUTE $]]/Table15[[#This Row],[E - DEMAND]],0)</f>
        <v>0</v>
      </c>
      <c r="L504" s="204"/>
      <c r="M504" s="412">
        <f>IFERROR(VLOOKUP(Table15[[#This Row],[ROUTE]],DEMAND!A:F,5,FALSE),0)</f>
        <v>0</v>
      </c>
      <c r="N504" s="16">
        <f>IFERROR(VLOOKUP(Table15[[#This Row],[ROUTE]],DEMAND!A:F,6,FALSE),0)</f>
        <v>0</v>
      </c>
      <c r="O504" s="16">
        <f>IFERROR(ROUNDDOWN(Table15[[#This Row],[R-DEMAND]]/1706,0),0)</f>
        <v>0</v>
      </c>
      <c r="P504" s="16">
        <f>IFERROR(Table15[[#This Row],[ADD ACC]]*Table15[[#This Row],[RT TIME 
(380-800)]],0)</f>
        <v>0</v>
      </c>
      <c r="Q504" s="415">
        <f>IFERROR(VLOOKUP(Table15[[#This Row],[ROUTE]],PRICING!A:B,2,FALSE),0)</f>
        <v>0</v>
      </c>
      <c r="R504" s="235">
        <f>IFERROR(Table15[[#This Row],[C_DEMAND]]-Table15[[#This Row],[R-DEMAND]],0)</f>
        <v>0</v>
      </c>
      <c r="S504" s="408">
        <f t="shared" si="7"/>
        <v>0</v>
      </c>
      <c r="T504" s="419">
        <f>Table15[[#This Row],[R-DEMAND]]-(Table15[[#This Row],[ADD ACC]]*1706)</f>
        <v>0</v>
      </c>
      <c r="U504" s="419">
        <f>ROUNDDOWN(Table15[[#This Row],[Column1]]/1360,0)</f>
        <v>0</v>
      </c>
      <c r="V504" s="419"/>
      <c r="W504" s="251">
        <v>16.5</v>
      </c>
      <c r="X504" s="251">
        <f>ROUNDDOWN(Table15[[#This Row],[R-DEMAND]]/1320,0)</f>
        <v>0</v>
      </c>
      <c r="Y504" s="251">
        <f>IFERROR(Table15[[#This Row],[ADD ACC
(660/1320)]]*Table15[[#This Row],[Duration
(B744)]],0)</f>
        <v>0</v>
      </c>
      <c r="Z504" s="251"/>
    </row>
    <row r="505" spans="1:26" ht="15.75" customHeight="1" x14ac:dyDescent="0.25">
      <c r="A505" s="210" t="s">
        <v>15531</v>
      </c>
      <c r="B505" s="204" t="s">
        <v>4106</v>
      </c>
      <c r="C505" s="204"/>
      <c r="D505" s="205">
        <v>2</v>
      </c>
      <c r="E505" s="204" t="s">
        <v>78</v>
      </c>
      <c r="F505" s="204" t="str">
        <f>VLOOKUP(E505,Table10[[COUNTRY NAME]:[CONTINENT CODE]],3,FALSE)</f>
        <v>EU</v>
      </c>
      <c r="G505" s="210" t="s">
        <v>6123</v>
      </c>
      <c r="H505" s="207">
        <v>6446</v>
      </c>
      <c r="I505" s="208">
        <v>16.5</v>
      </c>
      <c r="J505" s="345"/>
      <c r="K505" s="345">
        <f>IFERROR(Table15[[#This Row],[ROUTE $]]/Table15[[#This Row],[E - DEMAND]],0)</f>
        <v>0</v>
      </c>
      <c r="L505" s="204"/>
      <c r="M505" s="412">
        <f>IFERROR(VLOOKUP(Table15[[#This Row],[ROUTE]],DEMAND!A:F,5,FALSE),0)</f>
        <v>0</v>
      </c>
      <c r="N505" s="16">
        <f>IFERROR(VLOOKUP(Table15[[#This Row],[ROUTE]],DEMAND!A:F,6,FALSE),0)</f>
        <v>0</v>
      </c>
      <c r="O505" s="16">
        <f>IFERROR(ROUNDDOWN(Table15[[#This Row],[R-DEMAND]]/1706,0),0)</f>
        <v>0</v>
      </c>
      <c r="P505" s="16">
        <f>IFERROR(Table15[[#This Row],[ADD ACC]]*Table15[[#This Row],[RT TIME 
(380-800)]],0)</f>
        <v>0</v>
      </c>
      <c r="Q505" s="415">
        <f>IFERROR(VLOOKUP(Table15[[#This Row],[ROUTE]],PRICING!A:B,2,FALSE),0)</f>
        <v>0</v>
      </c>
      <c r="R505" s="235">
        <f>IFERROR(Table15[[#This Row],[C_DEMAND]]-Table15[[#This Row],[R-DEMAND]],0)</f>
        <v>0</v>
      </c>
      <c r="S505" s="408">
        <f t="shared" si="7"/>
        <v>0</v>
      </c>
      <c r="T505" s="419">
        <f>Table15[[#This Row],[R-DEMAND]]-(Table15[[#This Row],[ADD ACC]]*1706)</f>
        <v>0</v>
      </c>
      <c r="U505" s="419">
        <f>ROUNDDOWN(Table15[[#This Row],[Column1]]/1360,0)</f>
        <v>0</v>
      </c>
      <c r="V505" s="419"/>
      <c r="W505" s="251">
        <v>16.5</v>
      </c>
      <c r="X505" s="251">
        <f>ROUNDDOWN(Table15[[#This Row],[R-DEMAND]]/1320,0)</f>
        <v>0</v>
      </c>
      <c r="Y505" s="251">
        <f>IFERROR(Table15[[#This Row],[ADD ACC
(660/1320)]]*Table15[[#This Row],[Duration
(B744)]],0)</f>
        <v>0</v>
      </c>
      <c r="Z505" s="251"/>
    </row>
    <row r="506" spans="1:26" ht="15.75" customHeight="1" x14ac:dyDescent="0.25">
      <c r="A506" s="210" t="s">
        <v>15518</v>
      </c>
      <c r="B506" s="204" t="s">
        <v>1838</v>
      </c>
      <c r="C506" s="204"/>
      <c r="D506" s="205">
        <v>1</v>
      </c>
      <c r="E506" s="204" t="s">
        <v>493</v>
      </c>
      <c r="F506" s="204" t="str">
        <f>VLOOKUP(E506,Table10[[COUNTRY NAME]:[CONTINENT CODE]],3,FALSE)</f>
        <v>AF</v>
      </c>
      <c r="G506" s="206" t="s">
        <v>11763</v>
      </c>
      <c r="H506" s="207">
        <v>6525</v>
      </c>
      <c r="I506" s="208">
        <v>16.5</v>
      </c>
      <c r="J506" s="345"/>
      <c r="K506" s="345">
        <f>IFERROR(Table15[[#This Row],[ROUTE $]]/Table15[[#This Row],[E - DEMAND]],0)</f>
        <v>0</v>
      </c>
      <c r="L506" s="204"/>
      <c r="M506" s="412">
        <f>IFERROR(VLOOKUP(Table15[[#This Row],[ROUTE]],DEMAND!A:F,5,FALSE),0)</f>
        <v>0</v>
      </c>
      <c r="N506" s="16">
        <f>IFERROR(VLOOKUP(Table15[[#This Row],[ROUTE]],DEMAND!A:F,6,FALSE),0)</f>
        <v>0</v>
      </c>
      <c r="O506" s="16">
        <f>IFERROR(ROUNDDOWN(Table15[[#This Row],[R-DEMAND]]/1706,0),0)</f>
        <v>0</v>
      </c>
      <c r="P506" s="16">
        <f>IFERROR(Table15[[#This Row],[ADD ACC]]*Table15[[#This Row],[RT TIME 
(380-800)]],0)</f>
        <v>0</v>
      </c>
      <c r="Q506" s="415">
        <f>IFERROR(VLOOKUP(Table15[[#This Row],[ROUTE]],PRICING!A:B,2,FALSE),0)</f>
        <v>0</v>
      </c>
      <c r="R506" s="235">
        <f>IFERROR(Table15[[#This Row],[C_DEMAND]]-Table15[[#This Row],[R-DEMAND]],0)</f>
        <v>0</v>
      </c>
      <c r="S506" s="408">
        <f t="shared" si="7"/>
        <v>0</v>
      </c>
      <c r="T506" s="419">
        <f>Table15[[#This Row],[R-DEMAND]]-(Table15[[#This Row],[ADD ACC]]*1706)</f>
        <v>0</v>
      </c>
      <c r="U506" s="419">
        <f>ROUNDDOWN(Table15[[#This Row],[Column1]]/1360,0)</f>
        <v>0</v>
      </c>
      <c r="V506" s="419"/>
      <c r="W506" s="251">
        <v>16.5</v>
      </c>
      <c r="X506" s="251">
        <f>ROUNDDOWN(Table15[[#This Row],[R-DEMAND]]/1320,0)</f>
        <v>0</v>
      </c>
      <c r="Y506" s="251">
        <f>IFERROR(Table15[[#This Row],[ADD ACC
(660/1320)]]*Table15[[#This Row],[Duration
(B744)]],0)</f>
        <v>0</v>
      </c>
      <c r="Z506" s="251"/>
    </row>
    <row r="507" spans="1:26" ht="15.75" customHeight="1" x14ac:dyDescent="0.25">
      <c r="A507" s="210" t="s">
        <v>15522</v>
      </c>
      <c r="B507" s="204" t="s">
        <v>2266</v>
      </c>
      <c r="C507" s="204"/>
      <c r="D507" s="205">
        <v>1</v>
      </c>
      <c r="E507" s="204" t="s">
        <v>605</v>
      </c>
      <c r="F507" s="204" t="str">
        <f>VLOOKUP(E507,Table10[[COUNTRY NAME]:[CONTINENT CODE]],3,FALSE)</f>
        <v>EU</v>
      </c>
      <c r="G507" s="210" t="s">
        <v>11809</v>
      </c>
      <c r="H507" s="207">
        <v>6499</v>
      </c>
      <c r="I507" s="208">
        <v>16.5</v>
      </c>
      <c r="J507" s="345"/>
      <c r="K507" s="345">
        <f>IFERROR(Table15[[#This Row],[ROUTE $]]/Table15[[#This Row],[E - DEMAND]],0)</f>
        <v>0</v>
      </c>
      <c r="L507" s="204"/>
      <c r="M507" s="412">
        <f>IFERROR(VLOOKUP(Table15[[#This Row],[ROUTE]],DEMAND!A:F,5,FALSE),0)</f>
        <v>0</v>
      </c>
      <c r="N507" s="16">
        <f>IFERROR(VLOOKUP(Table15[[#This Row],[ROUTE]],DEMAND!A:F,6,FALSE),0)</f>
        <v>0</v>
      </c>
      <c r="O507" s="16">
        <f>IFERROR(ROUNDDOWN(Table15[[#This Row],[R-DEMAND]]/1706,0),0)</f>
        <v>0</v>
      </c>
      <c r="P507" s="16">
        <f>IFERROR(Table15[[#This Row],[ADD ACC]]*Table15[[#This Row],[RT TIME 
(380-800)]],0)</f>
        <v>0</v>
      </c>
      <c r="Q507" s="415">
        <f>IFERROR(VLOOKUP(Table15[[#This Row],[ROUTE]],PRICING!A:B,2,FALSE),0)</f>
        <v>0</v>
      </c>
      <c r="R507" s="235">
        <f>IFERROR(Table15[[#This Row],[C_DEMAND]]-Table15[[#This Row],[R-DEMAND]],0)</f>
        <v>0</v>
      </c>
      <c r="S507" s="408">
        <f t="shared" si="7"/>
        <v>0</v>
      </c>
      <c r="T507" s="419">
        <f>Table15[[#This Row],[R-DEMAND]]-(Table15[[#This Row],[ADD ACC]]*1706)</f>
        <v>0</v>
      </c>
      <c r="U507" s="419">
        <f>ROUNDDOWN(Table15[[#This Row],[Column1]]/1360,0)</f>
        <v>0</v>
      </c>
      <c r="V507" s="419"/>
      <c r="W507" s="251">
        <v>16.5</v>
      </c>
      <c r="X507" s="251">
        <f>ROUNDDOWN(Table15[[#This Row],[R-DEMAND]]/1320,0)</f>
        <v>0</v>
      </c>
      <c r="Y507" s="251">
        <f>IFERROR(Table15[[#This Row],[ADD ACC
(660/1320)]]*Table15[[#This Row],[Duration
(B744)]],0)</f>
        <v>0</v>
      </c>
      <c r="Z507" s="251"/>
    </row>
    <row r="508" spans="1:26" ht="15.75" customHeight="1" x14ac:dyDescent="0.25">
      <c r="A508" s="210" t="s">
        <v>15525</v>
      </c>
      <c r="B508" s="204" t="s">
        <v>973</v>
      </c>
      <c r="C508" s="204"/>
      <c r="D508" s="205">
        <v>1</v>
      </c>
      <c r="E508" s="204" t="s">
        <v>971</v>
      </c>
      <c r="F508" s="204" t="str">
        <f>VLOOKUP(E508,Table10[[COUNTRY NAME]:[CONTINENT CODE]],3,FALSE)</f>
        <v>AF</v>
      </c>
      <c r="G508" s="206" t="s">
        <v>11755</v>
      </c>
      <c r="H508" s="207">
        <v>6480</v>
      </c>
      <c r="I508" s="208">
        <v>16.5</v>
      </c>
      <c r="J508" s="345"/>
      <c r="K508" s="345">
        <f>IFERROR(Table15[[#This Row],[ROUTE $]]/Table15[[#This Row],[E - DEMAND]],0)</f>
        <v>0</v>
      </c>
      <c r="L508" s="204"/>
      <c r="M508" s="412">
        <f>IFERROR(VLOOKUP(Table15[[#This Row],[ROUTE]],DEMAND!A:F,5,FALSE),0)</f>
        <v>0</v>
      </c>
      <c r="N508" s="16">
        <f>IFERROR(VLOOKUP(Table15[[#This Row],[ROUTE]],DEMAND!A:F,6,FALSE),0)</f>
        <v>0</v>
      </c>
      <c r="O508" s="16">
        <f>IFERROR(ROUNDDOWN(Table15[[#This Row],[R-DEMAND]]/1706,0),0)</f>
        <v>0</v>
      </c>
      <c r="P508" s="16">
        <f>IFERROR(Table15[[#This Row],[ADD ACC]]*Table15[[#This Row],[RT TIME 
(380-800)]],0)</f>
        <v>0</v>
      </c>
      <c r="Q508" s="415">
        <f>IFERROR(VLOOKUP(Table15[[#This Row],[ROUTE]],PRICING!A:B,2,FALSE),0)</f>
        <v>0</v>
      </c>
      <c r="R508" s="235">
        <f>IFERROR(Table15[[#This Row],[C_DEMAND]]-Table15[[#This Row],[R-DEMAND]],0)</f>
        <v>0</v>
      </c>
      <c r="S508" s="408">
        <f t="shared" si="7"/>
        <v>0</v>
      </c>
      <c r="T508" s="419">
        <f>Table15[[#This Row],[R-DEMAND]]-(Table15[[#This Row],[ADD ACC]]*1706)</f>
        <v>0</v>
      </c>
      <c r="U508" s="419">
        <f>ROUNDDOWN(Table15[[#This Row],[Column1]]/1360,0)</f>
        <v>0</v>
      </c>
      <c r="V508" s="419"/>
      <c r="W508" s="251">
        <v>16.5</v>
      </c>
      <c r="X508" s="251">
        <f>ROUNDDOWN(Table15[[#This Row],[R-DEMAND]]/1320,0)</f>
        <v>0</v>
      </c>
      <c r="Y508" s="251">
        <f>IFERROR(Table15[[#This Row],[ADD ACC
(660/1320)]]*Table15[[#This Row],[Duration
(B744)]],0)</f>
        <v>0</v>
      </c>
      <c r="Z508" s="251"/>
    </row>
    <row r="509" spans="1:26" ht="15.75" customHeight="1" x14ac:dyDescent="0.25">
      <c r="A509" s="210" t="s">
        <v>15528</v>
      </c>
      <c r="B509" s="204" t="s">
        <v>2434</v>
      </c>
      <c r="C509" s="204"/>
      <c r="D509" s="205">
        <v>1</v>
      </c>
      <c r="E509" s="204" t="s">
        <v>971</v>
      </c>
      <c r="F509" s="204" t="str">
        <f>VLOOKUP(E509,Table10[[COUNTRY NAME]:[CONTINENT CODE]],3,FALSE)</f>
        <v>AF</v>
      </c>
      <c r="G509" s="206" t="s">
        <v>11757</v>
      </c>
      <c r="H509" s="207">
        <v>6467</v>
      </c>
      <c r="I509" s="208">
        <v>16.5</v>
      </c>
      <c r="J509" s="345"/>
      <c r="K509" s="345">
        <f>IFERROR(Table15[[#This Row],[ROUTE $]]/Table15[[#This Row],[E - DEMAND]],0)</f>
        <v>0</v>
      </c>
      <c r="L509" s="204"/>
      <c r="M509" s="412">
        <f>IFERROR(VLOOKUP(Table15[[#This Row],[ROUTE]],DEMAND!A:F,5,FALSE),0)</f>
        <v>0</v>
      </c>
      <c r="N509" s="16">
        <f>IFERROR(VLOOKUP(Table15[[#This Row],[ROUTE]],DEMAND!A:F,6,FALSE),0)</f>
        <v>0</v>
      </c>
      <c r="O509" s="16">
        <f>IFERROR(ROUNDDOWN(Table15[[#This Row],[R-DEMAND]]/1706,0),0)</f>
        <v>0</v>
      </c>
      <c r="P509" s="16">
        <f>IFERROR(Table15[[#This Row],[ADD ACC]]*Table15[[#This Row],[RT TIME 
(380-800)]],0)</f>
        <v>0</v>
      </c>
      <c r="Q509" s="415">
        <f>IFERROR(VLOOKUP(Table15[[#This Row],[ROUTE]],PRICING!A:B,2,FALSE),0)</f>
        <v>0</v>
      </c>
      <c r="R509" s="235">
        <f>IFERROR(Table15[[#This Row],[C_DEMAND]]-Table15[[#This Row],[R-DEMAND]],0)</f>
        <v>0</v>
      </c>
      <c r="S509" s="408">
        <f t="shared" si="7"/>
        <v>0</v>
      </c>
      <c r="T509" s="419">
        <f>Table15[[#This Row],[R-DEMAND]]-(Table15[[#This Row],[ADD ACC]]*1706)</f>
        <v>0</v>
      </c>
      <c r="U509" s="419">
        <f>ROUNDDOWN(Table15[[#This Row],[Column1]]/1360,0)</f>
        <v>0</v>
      </c>
      <c r="V509" s="419"/>
      <c r="W509" s="251">
        <v>16.5</v>
      </c>
      <c r="X509" s="251">
        <f>ROUNDDOWN(Table15[[#This Row],[R-DEMAND]]/1320,0)</f>
        <v>0</v>
      </c>
      <c r="Y509" s="251">
        <f>IFERROR(Table15[[#This Row],[ADD ACC
(660/1320)]]*Table15[[#This Row],[Duration
(B744)]],0)</f>
        <v>0</v>
      </c>
      <c r="Z509" s="251"/>
    </row>
    <row r="510" spans="1:26" ht="15.75" customHeight="1" x14ac:dyDescent="0.25">
      <c r="A510" s="210" t="s">
        <v>15526</v>
      </c>
      <c r="B510" s="204" t="s">
        <v>1769</v>
      </c>
      <c r="C510" s="204"/>
      <c r="D510" s="205">
        <v>1</v>
      </c>
      <c r="E510" s="16" t="s">
        <v>11732</v>
      </c>
      <c r="F510" s="204" t="str">
        <f>VLOOKUP(E510,Table10[[COUNTRY NAME]:[CONTINENT CODE]],3,FALSE)</f>
        <v>NA - US</v>
      </c>
      <c r="G510" s="206" t="s">
        <v>11803</v>
      </c>
      <c r="H510" s="207">
        <v>6477</v>
      </c>
      <c r="I510" s="208">
        <v>16.5</v>
      </c>
      <c r="J510" s="345"/>
      <c r="K510" s="345">
        <f>IFERROR(Table15[[#This Row],[ROUTE $]]/Table15[[#This Row],[E - DEMAND]],0)</f>
        <v>0</v>
      </c>
      <c r="L510" s="204"/>
      <c r="M510" s="412">
        <f>IFERROR(VLOOKUP(Table15[[#This Row],[ROUTE]],DEMAND!A:F,5,FALSE),0)</f>
        <v>0</v>
      </c>
      <c r="N510" s="16">
        <f>IFERROR(VLOOKUP(Table15[[#This Row],[ROUTE]],DEMAND!A:F,6,FALSE),0)</f>
        <v>0</v>
      </c>
      <c r="O510" s="16">
        <f>IFERROR(ROUNDDOWN(Table15[[#This Row],[R-DEMAND]]/1706,0),0)</f>
        <v>0</v>
      </c>
      <c r="P510" s="16">
        <f>IFERROR(Table15[[#This Row],[ADD ACC]]*Table15[[#This Row],[RT TIME 
(380-800)]],0)</f>
        <v>0</v>
      </c>
      <c r="Q510" s="415">
        <f>IFERROR(VLOOKUP(Table15[[#This Row],[ROUTE]],PRICING!A:B,2,FALSE),0)</f>
        <v>0</v>
      </c>
      <c r="R510" s="235">
        <f>IFERROR(Table15[[#This Row],[C_DEMAND]]-Table15[[#This Row],[R-DEMAND]],0)</f>
        <v>0</v>
      </c>
      <c r="S510" s="408">
        <f t="shared" si="7"/>
        <v>0</v>
      </c>
      <c r="T510" s="419">
        <f>Table15[[#This Row],[R-DEMAND]]-(Table15[[#This Row],[ADD ACC]]*1706)</f>
        <v>0</v>
      </c>
      <c r="U510" s="419">
        <f>ROUNDDOWN(Table15[[#This Row],[Column1]]/1360,0)</f>
        <v>0</v>
      </c>
      <c r="V510" s="419"/>
      <c r="W510" s="251">
        <v>16.5</v>
      </c>
      <c r="X510" s="251">
        <f>ROUNDDOWN(Table15[[#This Row],[R-DEMAND]]/1320,0)</f>
        <v>0</v>
      </c>
      <c r="Y510" s="251">
        <f>IFERROR(Table15[[#This Row],[ADD ACC
(660/1320)]]*Table15[[#This Row],[Duration
(B744)]],0)</f>
        <v>0</v>
      </c>
      <c r="Z510" s="251"/>
    </row>
    <row r="511" spans="1:26" ht="15.75" customHeight="1" x14ac:dyDescent="0.25">
      <c r="A511" s="210" t="s">
        <v>15542</v>
      </c>
      <c r="B511" s="204" t="s">
        <v>5051</v>
      </c>
      <c r="C511" s="204"/>
      <c r="D511" s="205">
        <v>3</v>
      </c>
      <c r="E511" s="204" t="s">
        <v>1427</v>
      </c>
      <c r="F511" s="204" t="str">
        <f>VLOOKUP(E511,Table10[[COUNTRY NAME]:[CONTINENT CODE]],3,FALSE)</f>
        <v>EU</v>
      </c>
      <c r="G511" s="210" t="s">
        <v>11780</v>
      </c>
      <c r="H511" s="207">
        <v>6340</v>
      </c>
      <c r="I511" s="208">
        <v>16.25</v>
      </c>
      <c r="J511" s="345"/>
      <c r="K511" s="345">
        <f>IFERROR(Table15[[#This Row],[ROUTE $]]/Table15[[#This Row],[E - DEMAND]],0)</f>
        <v>0</v>
      </c>
      <c r="L511" s="204"/>
      <c r="M511" s="412">
        <f>IFERROR(VLOOKUP(Table15[[#This Row],[ROUTE]],DEMAND!A:F,5,FALSE),0)</f>
        <v>0</v>
      </c>
      <c r="N511" s="16">
        <f>IFERROR(VLOOKUP(Table15[[#This Row],[ROUTE]],DEMAND!A:F,6,FALSE),0)</f>
        <v>0</v>
      </c>
      <c r="O511" s="16">
        <f>IFERROR(ROUNDDOWN(Table15[[#This Row],[R-DEMAND]]/1706,0),0)</f>
        <v>0</v>
      </c>
      <c r="P511" s="16">
        <f>IFERROR(Table15[[#This Row],[ADD ACC]]*Table15[[#This Row],[RT TIME 
(380-800)]],0)</f>
        <v>0</v>
      </c>
      <c r="Q511" s="415">
        <f>IFERROR(VLOOKUP(Table15[[#This Row],[ROUTE]],PRICING!A:B,2,FALSE),0)</f>
        <v>0</v>
      </c>
      <c r="R511" s="235">
        <f>IFERROR(Table15[[#This Row],[C_DEMAND]]-Table15[[#This Row],[R-DEMAND]],0)</f>
        <v>0</v>
      </c>
      <c r="S511" s="408">
        <f t="shared" si="7"/>
        <v>0</v>
      </c>
      <c r="T511" s="419">
        <f>Table15[[#This Row],[R-DEMAND]]-(Table15[[#This Row],[ADD ACC]]*1706)</f>
        <v>0</v>
      </c>
      <c r="U511" s="419">
        <f>ROUNDDOWN(Table15[[#This Row],[Column1]]/1360,0)</f>
        <v>0</v>
      </c>
      <c r="V511" s="419"/>
      <c r="W511" s="251">
        <v>16.25</v>
      </c>
      <c r="X511" s="251">
        <f>ROUNDDOWN(Table15[[#This Row],[R-DEMAND]]/1320,0)</f>
        <v>0</v>
      </c>
      <c r="Y511" s="251">
        <f>IFERROR(Table15[[#This Row],[ADD ACC
(660/1320)]]*Table15[[#This Row],[Duration
(B744)]],0)</f>
        <v>0</v>
      </c>
      <c r="Z511" s="251"/>
    </row>
    <row r="512" spans="1:26" ht="15.75" customHeight="1" x14ac:dyDescent="0.25">
      <c r="A512" s="210" t="s">
        <v>15543</v>
      </c>
      <c r="B512" s="204" t="s">
        <v>5167</v>
      </c>
      <c r="C512" s="204"/>
      <c r="D512" s="205">
        <v>3</v>
      </c>
      <c r="E512" s="204" t="s">
        <v>308</v>
      </c>
      <c r="F512" s="204" t="str">
        <f>VLOOKUP(E512,Table10[[COUNTRY NAME]:[CONTINENT CODE]],3,FALSE)</f>
        <v>EU</v>
      </c>
      <c r="G512" s="210" t="s">
        <v>11773</v>
      </c>
      <c r="H512" s="207">
        <v>6340</v>
      </c>
      <c r="I512" s="208">
        <v>16.25</v>
      </c>
      <c r="J512" s="345"/>
      <c r="K512" s="345">
        <f>IFERROR(Table15[[#This Row],[ROUTE $]]/Table15[[#This Row],[E - DEMAND]],0)</f>
        <v>0</v>
      </c>
      <c r="L512" s="204"/>
      <c r="M512" s="412">
        <f>IFERROR(VLOOKUP(Table15[[#This Row],[ROUTE]],DEMAND!A:F,5,FALSE),0)</f>
        <v>0</v>
      </c>
      <c r="N512" s="16">
        <f>IFERROR(VLOOKUP(Table15[[#This Row],[ROUTE]],DEMAND!A:F,6,FALSE),0)</f>
        <v>0</v>
      </c>
      <c r="O512" s="16">
        <f>IFERROR(ROUNDDOWN(Table15[[#This Row],[R-DEMAND]]/1706,0),0)</f>
        <v>0</v>
      </c>
      <c r="P512" s="16">
        <f>IFERROR(Table15[[#This Row],[ADD ACC]]*Table15[[#This Row],[RT TIME 
(380-800)]],0)</f>
        <v>0</v>
      </c>
      <c r="Q512" s="415">
        <f>IFERROR(VLOOKUP(Table15[[#This Row],[ROUTE]],PRICING!A:B,2,FALSE),0)</f>
        <v>0</v>
      </c>
      <c r="R512" s="235">
        <f>IFERROR(Table15[[#This Row],[C_DEMAND]]-Table15[[#This Row],[R-DEMAND]],0)</f>
        <v>0</v>
      </c>
      <c r="S512" s="408">
        <f t="shared" si="7"/>
        <v>0</v>
      </c>
      <c r="T512" s="419">
        <f>Table15[[#This Row],[R-DEMAND]]-(Table15[[#This Row],[ADD ACC]]*1706)</f>
        <v>0</v>
      </c>
      <c r="U512" s="419">
        <f>ROUNDDOWN(Table15[[#This Row],[Column1]]/1360,0)</f>
        <v>0</v>
      </c>
      <c r="V512" s="419"/>
      <c r="W512" s="251">
        <v>16.25</v>
      </c>
      <c r="X512" s="251">
        <f>ROUNDDOWN(Table15[[#This Row],[R-DEMAND]]/1320,0)</f>
        <v>0</v>
      </c>
      <c r="Y512" s="251">
        <f>IFERROR(Table15[[#This Row],[ADD ACC
(660/1320)]]*Table15[[#This Row],[Duration
(B744)]],0)</f>
        <v>0</v>
      </c>
      <c r="Z512" s="251"/>
    </row>
    <row r="513" spans="1:26" ht="15.75" customHeight="1" x14ac:dyDescent="0.25">
      <c r="A513" s="210" t="s">
        <v>15540</v>
      </c>
      <c r="B513" s="204" t="s">
        <v>5295</v>
      </c>
      <c r="C513" s="204"/>
      <c r="D513" s="205">
        <v>3</v>
      </c>
      <c r="E513" s="204" t="s">
        <v>971</v>
      </c>
      <c r="F513" s="204" t="str">
        <f>VLOOKUP(E513,Table10[[COUNTRY NAME]:[CONTINENT CODE]],3,FALSE)</f>
        <v>AF</v>
      </c>
      <c r="G513" s="206" t="s">
        <v>11767</v>
      </c>
      <c r="H513" s="207">
        <v>6347</v>
      </c>
      <c r="I513" s="208">
        <v>16.25</v>
      </c>
      <c r="J513" s="345"/>
      <c r="K513" s="345">
        <f>IFERROR(Table15[[#This Row],[ROUTE $]]/Table15[[#This Row],[E - DEMAND]],0)</f>
        <v>0</v>
      </c>
      <c r="L513" s="204"/>
      <c r="M513" s="412">
        <f>IFERROR(VLOOKUP(Table15[[#This Row],[ROUTE]],DEMAND!A:F,5,FALSE),0)</f>
        <v>0</v>
      </c>
      <c r="N513" s="16">
        <f>IFERROR(VLOOKUP(Table15[[#This Row],[ROUTE]],DEMAND!A:F,6,FALSE),0)</f>
        <v>0</v>
      </c>
      <c r="O513" s="16">
        <f>IFERROR(ROUNDDOWN(Table15[[#This Row],[R-DEMAND]]/1706,0),0)</f>
        <v>0</v>
      </c>
      <c r="P513" s="16">
        <f>IFERROR(Table15[[#This Row],[ADD ACC]]*Table15[[#This Row],[RT TIME 
(380-800)]],0)</f>
        <v>0</v>
      </c>
      <c r="Q513" s="415">
        <f>IFERROR(VLOOKUP(Table15[[#This Row],[ROUTE]],PRICING!A:B,2,FALSE),0)</f>
        <v>0</v>
      </c>
      <c r="R513" s="235">
        <f>IFERROR(Table15[[#This Row],[C_DEMAND]]-Table15[[#This Row],[R-DEMAND]],0)</f>
        <v>0</v>
      </c>
      <c r="S513" s="408">
        <f t="shared" si="7"/>
        <v>0</v>
      </c>
      <c r="T513" s="419">
        <f>Table15[[#This Row],[R-DEMAND]]-(Table15[[#This Row],[ADD ACC]]*1706)</f>
        <v>0</v>
      </c>
      <c r="U513" s="419">
        <f>ROUNDDOWN(Table15[[#This Row],[Column1]]/1360,0)</f>
        <v>0</v>
      </c>
      <c r="V513" s="419"/>
      <c r="W513" s="251">
        <v>16.25</v>
      </c>
      <c r="X513" s="251">
        <f>ROUNDDOWN(Table15[[#This Row],[R-DEMAND]]/1320,0)</f>
        <v>0</v>
      </c>
      <c r="Y513" s="251">
        <f>IFERROR(Table15[[#This Row],[ADD ACC
(660/1320)]]*Table15[[#This Row],[Duration
(B744)]],0)</f>
        <v>0</v>
      </c>
      <c r="Z513" s="251"/>
    </row>
    <row r="514" spans="1:26" ht="15.75" customHeight="1" x14ac:dyDescent="0.25">
      <c r="A514" s="210" t="s">
        <v>15533</v>
      </c>
      <c r="B514" s="204" t="s">
        <v>4003</v>
      </c>
      <c r="C514" s="204"/>
      <c r="D514" s="205">
        <v>2</v>
      </c>
      <c r="E514" s="204" t="s">
        <v>1427</v>
      </c>
      <c r="F514" s="204" t="str">
        <f>VLOOKUP(E514,Table10[[COUNTRY NAME]:[CONTINENT CODE]],3,FALSE)</f>
        <v>EU</v>
      </c>
      <c r="G514" s="210" t="s">
        <v>11766</v>
      </c>
      <c r="H514" s="207">
        <v>6422</v>
      </c>
      <c r="I514" s="208">
        <v>16.25</v>
      </c>
      <c r="J514" s="345"/>
      <c r="K514" s="345">
        <f>IFERROR(Table15[[#This Row],[ROUTE $]]/Table15[[#This Row],[E - DEMAND]],0)</f>
        <v>0</v>
      </c>
      <c r="L514" s="204"/>
      <c r="M514" s="412">
        <f>IFERROR(VLOOKUP(Table15[[#This Row],[ROUTE]],DEMAND!A:F,5,FALSE),0)</f>
        <v>0</v>
      </c>
      <c r="N514" s="16">
        <f>IFERROR(VLOOKUP(Table15[[#This Row],[ROUTE]],DEMAND!A:F,6,FALSE),0)</f>
        <v>0</v>
      </c>
      <c r="O514" s="16">
        <f>IFERROR(ROUNDDOWN(Table15[[#This Row],[R-DEMAND]]/1706,0),0)</f>
        <v>0</v>
      </c>
      <c r="P514" s="16">
        <f>IFERROR(Table15[[#This Row],[ADD ACC]]*Table15[[#This Row],[RT TIME 
(380-800)]],0)</f>
        <v>0</v>
      </c>
      <c r="Q514" s="415">
        <f>IFERROR(VLOOKUP(Table15[[#This Row],[ROUTE]],PRICING!A:B,2,FALSE),0)</f>
        <v>0</v>
      </c>
      <c r="R514" s="235">
        <f>IFERROR(Table15[[#This Row],[C_DEMAND]]-Table15[[#This Row],[R-DEMAND]],0)</f>
        <v>0</v>
      </c>
      <c r="S514" s="408">
        <f t="shared" si="7"/>
        <v>0</v>
      </c>
      <c r="T514" s="419">
        <f>Table15[[#This Row],[R-DEMAND]]-(Table15[[#This Row],[ADD ACC]]*1706)</f>
        <v>0</v>
      </c>
      <c r="U514" s="419">
        <f>ROUNDDOWN(Table15[[#This Row],[Column1]]/1360,0)</f>
        <v>0</v>
      </c>
      <c r="V514" s="419"/>
      <c r="W514" s="251">
        <v>16.25</v>
      </c>
      <c r="X514" s="251">
        <f>ROUNDDOWN(Table15[[#This Row],[R-DEMAND]]/1320,0)</f>
        <v>0</v>
      </c>
      <c r="Y514" s="251">
        <f>IFERROR(Table15[[#This Row],[ADD ACC
(660/1320)]]*Table15[[#This Row],[Duration
(B744)]],0)</f>
        <v>0</v>
      </c>
      <c r="Z514" s="251"/>
    </row>
    <row r="515" spans="1:26" ht="15.75" customHeight="1" x14ac:dyDescent="0.25">
      <c r="A515" s="210" t="s">
        <v>15537</v>
      </c>
      <c r="B515" s="204" t="s">
        <v>3127</v>
      </c>
      <c r="C515" s="204"/>
      <c r="D515" s="205">
        <v>2</v>
      </c>
      <c r="E515" s="204" t="s">
        <v>308</v>
      </c>
      <c r="F515" s="204" t="str">
        <f>VLOOKUP(E515,Table10[[COUNTRY NAME]:[CONTINENT CODE]],3,FALSE)</f>
        <v>EU</v>
      </c>
      <c r="G515" s="210" t="s">
        <v>11768</v>
      </c>
      <c r="H515" s="207">
        <v>6383</v>
      </c>
      <c r="I515" s="208">
        <v>16.25</v>
      </c>
      <c r="J515" s="345"/>
      <c r="K515" s="345">
        <f>IFERROR(Table15[[#This Row],[ROUTE $]]/Table15[[#This Row],[E - DEMAND]],0)</f>
        <v>0</v>
      </c>
      <c r="L515" s="204"/>
      <c r="M515" s="412">
        <f>IFERROR(VLOOKUP(Table15[[#This Row],[ROUTE]],DEMAND!A:F,5,FALSE),0)</f>
        <v>0</v>
      </c>
      <c r="N515" s="16">
        <f>IFERROR(VLOOKUP(Table15[[#This Row],[ROUTE]],DEMAND!A:F,6,FALSE),0)</f>
        <v>0</v>
      </c>
      <c r="O515" s="16">
        <f>IFERROR(ROUNDDOWN(Table15[[#This Row],[R-DEMAND]]/1706,0),0)</f>
        <v>0</v>
      </c>
      <c r="P515" s="16">
        <f>IFERROR(Table15[[#This Row],[ADD ACC]]*Table15[[#This Row],[RT TIME 
(380-800)]],0)</f>
        <v>0</v>
      </c>
      <c r="Q515" s="415">
        <f>IFERROR(VLOOKUP(Table15[[#This Row],[ROUTE]],PRICING!A:B,2,FALSE),0)</f>
        <v>0</v>
      </c>
      <c r="R515" s="235">
        <f>IFERROR(Table15[[#This Row],[C_DEMAND]]-Table15[[#This Row],[R-DEMAND]],0)</f>
        <v>0</v>
      </c>
      <c r="S515" s="408">
        <f t="shared" ref="S515:S578" si="8">IFERROR(R515*Q515,0)</f>
        <v>0</v>
      </c>
      <c r="T515" s="419">
        <f>Table15[[#This Row],[R-DEMAND]]-(Table15[[#This Row],[ADD ACC]]*1706)</f>
        <v>0</v>
      </c>
      <c r="U515" s="419">
        <f>ROUNDDOWN(Table15[[#This Row],[Column1]]/1360,0)</f>
        <v>0</v>
      </c>
      <c r="V515" s="419"/>
      <c r="W515" s="251">
        <v>16.25</v>
      </c>
      <c r="X515" s="251">
        <f>ROUNDDOWN(Table15[[#This Row],[R-DEMAND]]/1320,0)</f>
        <v>0</v>
      </c>
      <c r="Y515" s="251">
        <f>IFERROR(Table15[[#This Row],[ADD ACC
(660/1320)]]*Table15[[#This Row],[Duration
(B744)]],0)</f>
        <v>0</v>
      </c>
      <c r="Z515" s="251"/>
    </row>
    <row r="516" spans="1:26" ht="15.75" customHeight="1" x14ac:dyDescent="0.25">
      <c r="A516" s="210" t="s">
        <v>15545</v>
      </c>
      <c r="B516" s="204" t="s">
        <v>3381</v>
      </c>
      <c r="C516" s="204"/>
      <c r="D516" s="205">
        <v>2</v>
      </c>
      <c r="E516" s="204" t="s">
        <v>971</v>
      </c>
      <c r="F516" s="204" t="str">
        <f>VLOOKUP(E516,Table10[[COUNTRY NAME]:[CONTINENT CODE]],3,FALSE)</f>
        <v>AF</v>
      </c>
      <c r="G516" s="206" t="s">
        <v>11770</v>
      </c>
      <c r="H516" s="207">
        <v>6328</v>
      </c>
      <c r="I516" s="208">
        <v>16.25</v>
      </c>
      <c r="J516" s="345"/>
      <c r="K516" s="345">
        <f>IFERROR(Table15[[#This Row],[ROUTE $]]/Table15[[#This Row],[E - DEMAND]],0)</f>
        <v>0</v>
      </c>
      <c r="L516" s="204"/>
      <c r="M516" s="412">
        <f>IFERROR(VLOOKUP(Table15[[#This Row],[ROUTE]],DEMAND!A:F,5,FALSE),0)</f>
        <v>0</v>
      </c>
      <c r="N516" s="16">
        <f>IFERROR(VLOOKUP(Table15[[#This Row],[ROUTE]],DEMAND!A:F,6,FALSE),0)</f>
        <v>0</v>
      </c>
      <c r="O516" s="16">
        <f>IFERROR(ROUNDDOWN(Table15[[#This Row],[R-DEMAND]]/1706,0),0)</f>
        <v>0</v>
      </c>
      <c r="P516" s="16">
        <f>IFERROR(Table15[[#This Row],[ADD ACC]]*Table15[[#This Row],[RT TIME 
(380-800)]],0)</f>
        <v>0</v>
      </c>
      <c r="Q516" s="415">
        <f>IFERROR(VLOOKUP(Table15[[#This Row],[ROUTE]],PRICING!A:B,2,FALSE),0)</f>
        <v>0</v>
      </c>
      <c r="R516" s="235">
        <f>IFERROR(Table15[[#This Row],[C_DEMAND]]-Table15[[#This Row],[R-DEMAND]],0)</f>
        <v>0</v>
      </c>
      <c r="S516" s="408">
        <f t="shared" si="8"/>
        <v>0</v>
      </c>
      <c r="T516" s="419">
        <f>Table15[[#This Row],[R-DEMAND]]-(Table15[[#This Row],[ADD ACC]]*1706)</f>
        <v>0</v>
      </c>
      <c r="U516" s="419">
        <f>ROUNDDOWN(Table15[[#This Row],[Column1]]/1360,0)</f>
        <v>0</v>
      </c>
      <c r="V516" s="419"/>
      <c r="W516" s="251">
        <v>16.25</v>
      </c>
      <c r="X516" s="251">
        <f>ROUNDDOWN(Table15[[#This Row],[R-DEMAND]]/1320,0)</f>
        <v>0</v>
      </c>
      <c r="Y516" s="251">
        <f>IFERROR(Table15[[#This Row],[ADD ACC
(660/1320)]]*Table15[[#This Row],[Duration
(B744)]],0)</f>
        <v>0</v>
      </c>
      <c r="Z516" s="251"/>
    </row>
    <row r="517" spans="1:26" ht="15.75" customHeight="1" x14ac:dyDescent="0.25">
      <c r="A517" s="210" t="s">
        <v>15534</v>
      </c>
      <c r="B517" s="204" t="s">
        <v>2231</v>
      </c>
      <c r="C517" s="204"/>
      <c r="D517" s="205">
        <v>1</v>
      </c>
      <c r="E517" s="204" t="s">
        <v>774</v>
      </c>
      <c r="F517" s="204" t="str">
        <f>VLOOKUP(E517,Table10[[COUNTRY NAME]:[CONTINENT CODE]],3,FALSE)</f>
        <v>OC</v>
      </c>
      <c r="G517" s="206" t="s">
        <v>8897</v>
      </c>
      <c r="H517" s="207">
        <v>6418</v>
      </c>
      <c r="I517" s="208">
        <v>16.25</v>
      </c>
      <c r="J517" s="345"/>
      <c r="K517" s="345">
        <f>IFERROR(Table15[[#This Row],[ROUTE $]]/Table15[[#This Row],[E - DEMAND]],0)</f>
        <v>0</v>
      </c>
      <c r="L517" s="204"/>
      <c r="M517" s="412">
        <f>IFERROR(VLOOKUP(Table15[[#This Row],[ROUTE]],DEMAND!A:F,5,FALSE),0)</f>
        <v>0</v>
      </c>
      <c r="N517" s="16">
        <f>IFERROR(VLOOKUP(Table15[[#This Row],[ROUTE]],DEMAND!A:F,6,FALSE),0)</f>
        <v>0</v>
      </c>
      <c r="O517" s="16">
        <f>IFERROR(ROUNDDOWN(Table15[[#This Row],[R-DEMAND]]/1706,0),0)</f>
        <v>0</v>
      </c>
      <c r="P517" s="16">
        <f>IFERROR(Table15[[#This Row],[ADD ACC]]*Table15[[#This Row],[RT TIME 
(380-800)]],0)</f>
        <v>0</v>
      </c>
      <c r="Q517" s="415">
        <f>IFERROR(VLOOKUP(Table15[[#This Row],[ROUTE]],PRICING!A:B,2,FALSE),0)</f>
        <v>0</v>
      </c>
      <c r="R517" s="235">
        <f>IFERROR(Table15[[#This Row],[C_DEMAND]]-Table15[[#This Row],[R-DEMAND]],0)</f>
        <v>0</v>
      </c>
      <c r="S517" s="408">
        <f t="shared" si="8"/>
        <v>0</v>
      </c>
      <c r="T517" s="419">
        <f>Table15[[#This Row],[R-DEMAND]]-(Table15[[#This Row],[ADD ACC]]*1706)</f>
        <v>0</v>
      </c>
      <c r="U517" s="419">
        <f>ROUNDDOWN(Table15[[#This Row],[Column1]]/1360,0)</f>
        <v>0</v>
      </c>
      <c r="V517" s="419"/>
      <c r="W517" s="251">
        <v>16.25</v>
      </c>
      <c r="X517" s="251">
        <f>ROUNDDOWN(Table15[[#This Row],[R-DEMAND]]/1320,0)</f>
        <v>0</v>
      </c>
      <c r="Y517" s="251">
        <f>IFERROR(Table15[[#This Row],[ADD ACC
(660/1320)]]*Table15[[#This Row],[Duration
(B744)]],0)</f>
        <v>0</v>
      </c>
      <c r="Z517" s="251"/>
    </row>
    <row r="518" spans="1:26" ht="15.75" customHeight="1" x14ac:dyDescent="0.25">
      <c r="A518" s="210" t="s">
        <v>15558</v>
      </c>
      <c r="B518" s="204" t="s">
        <v>4937</v>
      </c>
      <c r="C518" s="204"/>
      <c r="D518" s="205">
        <v>3</v>
      </c>
      <c r="E518" s="204" t="s">
        <v>1427</v>
      </c>
      <c r="F518" s="204" t="str">
        <f>VLOOKUP(E518,Table10[[COUNTRY NAME]:[CONTINENT CODE]],3,FALSE)</f>
        <v>EU</v>
      </c>
      <c r="G518" s="210" t="s">
        <v>11791</v>
      </c>
      <c r="H518" s="207">
        <v>6228</v>
      </c>
      <c r="I518" s="208">
        <v>16</v>
      </c>
      <c r="J518" s="345"/>
      <c r="K518" s="345">
        <f>IFERROR(Table15[[#This Row],[ROUTE $]]/Table15[[#This Row],[E - DEMAND]],0)</f>
        <v>0</v>
      </c>
      <c r="L518" s="204"/>
      <c r="M518" s="412">
        <f>IFERROR(VLOOKUP(Table15[[#This Row],[ROUTE]],DEMAND!A:F,5,FALSE),0)</f>
        <v>0</v>
      </c>
      <c r="N518" s="16">
        <f>IFERROR(VLOOKUP(Table15[[#This Row],[ROUTE]],DEMAND!A:F,6,FALSE),0)</f>
        <v>0</v>
      </c>
      <c r="O518" s="16">
        <f>IFERROR(ROUNDDOWN(Table15[[#This Row],[R-DEMAND]]/1706,0),0)</f>
        <v>0</v>
      </c>
      <c r="P518" s="16">
        <f>IFERROR(Table15[[#This Row],[ADD ACC]]*Table15[[#This Row],[RT TIME 
(380-800)]],0)</f>
        <v>0</v>
      </c>
      <c r="Q518" s="415">
        <f>IFERROR(VLOOKUP(Table15[[#This Row],[ROUTE]],PRICING!A:B,2,FALSE),0)</f>
        <v>0</v>
      </c>
      <c r="R518" s="235">
        <f>IFERROR(Table15[[#This Row],[C_DEMAND]]-Table15[[#This Row],[R-DEMAND]],0)</f>
        <v>0</v>
      </c>
      <c r="S518" s="408">
        <f t="shared" si="8"/>
        <v>0</v>
      </c>
      <c r="T518" s="419">
        <f>Table15[[#This Row],[R-DEMAND]]-(Table15[[#This Row],[ADD ACC]]*1706)</f>
        <v>0</v>
      </c>
      <c r="U518" s="419">
        <f>ROUNDDOWN(Table15[[#This Row],[Column1]]/1360,0)</f>
        <v>0</v>
      </c>
      <c r="V518" s="419"/>
      <c r="W518" s="251">
        <v>16</v>
      </c>
      <c r="X518" s="251">
        <f>ROUNDDOWN(Table15[[#This Row],[R-DEMAND]]/1320,0)</f>
        <v>0</v>
      </c>
      <c r="Y518" s="251">
        <f>IFERROR(Table15[[#This Row],[ADD ACC
(660/1320)]]*Table15[[#This Row],[Duration
(B744)]],0)</f>
        <v>0</v>
      </c>
      <c r="Z518" s="251"/>
    </row>
    <row r="519" spans="1:26" ht="15.75" customHeight="1" x14ac:dyDescent="0.25">
      <c r="A519" s="210" t="s">
        <v>15549</v>
      </c>
      <c r="B519" s="204" t="s">
        <v>5068</v>
      </c>
      <c r="C519" s="204"/>
      <c r="D519" s="205">
        <v>3</v>
      </c>
      <c r="E519" s="204" t="s">
        <v>971</v>
      </c>
      <c r="F519" s="204" t="str">
        <f>VLOOKUP(E519,Table10[[COUNTRY NAME]:[CONTINENT CODE]],3,FALSE)</f>
        <v>AF</v>
      </c>
      <c r="G519" s="206" t="s">
        <v>11777</v>
      </c>
      <c r="H519" s="207">
        <v>6302</v>
      </c>
      <c r="I519" s="208">
        <v>16</v>
      </c>
      <c r="J519" s="345"/>
      <c r="K519" s="345">
        <f>IFERROR(Table15[[#This Row],[ROUTE $]]/Table15[[#This Row],[E - DEMAND]],0)</f>
        <v>0</v>
      </c>
      <c r="L519" s="204"/>
      <c r="M519" s="412">
        <f>IFERROR(VLOOKUP(Table15[[#This Row],[ROUTE]],DEMAND!A:F,5,FALSE),0)</f>
        <v>0</v>
      </c>
      <c r="N519" s="16">
        <f>IFERROR(VLOOKUP(Table15[[#This Row],[ROUTE]],DEMAND!A:F,6,FALSE),0)</f>
        <v>0</v>
      </c>
      <c r="O519" s="16">
        <f>IFERROR(ROUNDDOWN(Table15[[#This Row],[R-DEMAND]]/1706,0),0)</f>
        <v>0</v>
      </c>
      <c r="P519" s="16">
        <f>IFERROR(Table15[[#This Row],[ADD ACC]]*Table15[[#This Row],[RT TIME 
(380-800)]],0)</f>
        <v>0</v>
      </c>
      <c r="Q519" s="415">
        <f>IFERROR(VLOOKUP(Table15[[#This Row],[ROUTE]],PRICING!A:B,2,FALSE),0)</f>
        <v>0</v>
      </c>
      <c r="R519" s="235">
        <f>IFERROR(Table15[[#This Row],[C_DEMAND]]-Table15[[#This Row],[R-DEMAND]],0)</f>
        <v>0</v>
      </c>
      <c r="S519" s="408">
        <f t="shared" si="8"/>
        <v>0</v>
      </c>
      <c r="T519" s="419">
        <f>Table15[[#This Row],[R-DEMAND]]-(Table15[[#This Row],[ADD ACC]]*1706)</f>
        <v>0</v>
      </c>
      <c r="U519" s="419">
        <f>ROUNDDOWN(Table15[[#This Row],[Column1]]/1360,0)</f>
        <v>0</v>
      </c>
      <c r="V519" s="419"/>
      <c r="W519" s="251">
        <v>16</v>
      </c>
      <c r="X519" s="251">
        <f>ROUNDDOWN(Table15[[#This Row],[R-DEMAND]]/1320,0)</f>
        <v>0</v>
      </c>
      <c r="Y519" s="251">
        <f>IFERROR(Table15[[#This Row],[ADD ACC
(660/1320)]]*Table15[[#This Row],[Duration
(B744)]],0)</f>
        <v>0</v>
      </c>
      <c r="Z519" s="251"/>
    </row>
    <row r="520" spans="1:26" ht="15.75" customHeight="1" x14ac:dyDescent="0.25">
      <c r="A520" s="210" t="s">
        <v>15550</v>
      </c>
      <c r="B520" s="204" t="s">
        <v>5304</v>
      </c>
      <c r="C520" s="204"/>
      <c r="D520" s="205">
        <v>3</v>
      </c>
      <c r="E520" s="204" t="s">
        <v>971</v>
      </c>
      <c r="F520" s="204" t="str">
        <f>VLOOKUP(E520,Table10[[COUNTRY NAME]:[CONTINENT CODE]],3,FALSE)</f>
        <v>AF</v>
      </c>
      <c r="G520" s="206" t="s">
        <v>11775</v>
      </c>
      <c r="H520" s="207">
        <v>6300</v>
      </c>
      <c r="I520" s="208">
        <v>16</v>
      </c>
      <c r="J520" s="345"/>
      <c r="K520" s="345">
        <f>IFERROR(Table15[[#This Row],[ROUTE $]]/Table15[[#This Row],[E - DEMAND]],0)</f>
        <v>0</v>
      </c>
      <c r="L520" s="204"/>
      <c r="M520" s="412">
        <f>IFERROR(VLOOKUP(Table15[[#This Row],[ROUTE]],DEMAND!A:F,5,FALSE),0)</f>
        <v>0</v>
      </c>
      <c r="N520" s="16">
        <f>IFERROR(VLOOKUP(Table15[[#This Row],[ROUTE]],DEMAND!A:F,6,FALSE),0)</f>
        <v>0</v>
      </c>
      <c r="O520" s="16">
        <f>IFERROR(ROUNDDOWN(Table15[[#This Row],[R-DEMAND]]/1706,0),0)</f>
        <v>0</v>
      </c>
      <c r="P520" s="16">
        <f>IFERROR(Table15[[#This Row],[ADD ACC]]*Table15[[#This Row],[RT TIME 
(380-800)]],0)</f>
        <v>0</v>
      </c>
      <c r="Q520" s="415">
        <f>IFERROR(VLOOKUP(Table15[[#This Row],[ROUTE]],PRICING!A:B,2,FALSE),0)</f>
        <v>0</v>
      </c>
      <c r="R520" s="235">
        <f>IFERROR(Table15[[#This Row],[C_DEMAND]]-Table15[[#This Row],[R-DEMAND]],0)</f>
        <v>0</v>
      </c>
      <c r="S520" s="408">
        <f t="shared" si="8"/>
        <v>0</v>
      </c>
      <c r="T520" s="419">
        <f>Table15[[#This Row],[R-DEMAND]]-(Table15[[#This Row],[ADD ACC]]*1706)</f>
        <v>0</v>
      </c>
      <c r="U520" s="419">
        <f>ROUNDDOWN(Table15[[#This Row],[Column1]]/1360,0)</f>
        <v>0</v>
      </c>
      <c r="V520" s="419"/>
      <c r="W520" s="251">
        <v>16</v>
      </c>
      <c r="X520" s="251">
        <f>ROUNDDOWN(Table15[[#This Row],[R-DEMAND]]/1320,0)</f>
        <v>0</v>
      </c>
      <c r="Y520" s="251">
        <f>IFERROR(Table15[[#This Row],[ADD ACC
(660/1320)]]*Table15[[#This Row],[Duration
(B744)]],0)</f>
        <v>0</v>
      </c>
      <c r="Z520" s="251"/>
    </row>
    <row r="521" spans="1:26" ht="15.75" customHeight="1" x14ac:dyDescent="0.25">
      <c r="A521" s="210" t="s">
        <v>15559</v>
      </c>
      <c r="B521" s="204" t="s">
        <v>3274</v>
      </c>
      <c r="C521" s="204"/>
      <c r="D521" s="205">
        <v>2</v>
      </c>
      <c r="E521" s="204" t="s">
        <v>3272</v>
      </c>
      <c r="F521" s="204" t="str">
        <f>VLOOKUP(E521,Table10[[COUNTRY NAME]:[CONTINENT CODE]],3,FALSE)</f>
        <v>AF</v>
      </c>
      <c r="G521" s="206" t="s">
        <v>11810</v>
      </c>
      <c r="H521" s="207">
        <v>6217</v>
      </c>
      <c r="I521" s="208">
        <v>16</v>
      </c>
      <c r="J521" s="345"/>
      <c r="K521" s="345">
        <f>IFERROR(Table15[[#This Row],[ROUTE $]]/Table15[[#This Row],[E - DEMAND]],0)</f>
        <v>0</v>
      </c>
      <c r="L521" s="204"/>
      <c r="M521" s="412">
        <f>IFERROR(VLOOKUP(Table15[[#This Row],[ROUTE]],DEMAND!A:F,5,FALSE),0)</f>
        <v>0</v>
      </c>
      <c r="N521" s="16">
        <f>IFERROR(VLOOKUP(Table15[[#This Row],[ROUTE]],DEMAND!A:F,6,FALSE),0)</f>
        <v>0</v>
      </c>
      <c r="O521" s="16">
        <f>IFERROR(ROUNDDOWN(Table15[[#This Row],[R-DEMAND]]/1706,0),0)</f>
        <v>0</v>
      </c>
      <c r="P521" s="16">
        <f>IFERROR(Table15[[#This Row],[ADD ACC]]*Table15[[#This Row],[RT TIME 
(380-800)]],0)</f>
        <v>0</v>
      </c>
      <c r="Q521" s="415">
        <f>IFERROR(VLOOKUP(Table15[[#This Row],[ROUTE]],PRICING!A:B,2,FALSE),0)</f>
        <v>0</v>
      </c>
      <c r="R521" s="235">
        <f>IFERROR(Table15[[#This Row],[C_DEMAND]]-Table15[[#This Row],[R-DEMAND]],0)</f>
        <v>0</v>
      </c>
      <c r="S521" s="408">
        <f t="shared" si="8"/>
        <v>0</v>
      </c>
      <c r="T521" s="419">
        <f>Table15[[#This Row],[R-DEMAND]]-(Table15[[#This Row],[ADD ACC]]*1706)</f>
        <v>0</v>
      </c>
      <c r="U521" s="419">
        <f>ROUNDDOWN(Table15[[#This Row],[Column1]]/1360,0)</f>
        <v>0</v>
      </c>
      <c r="V521" s="419"/>
      <c r="W521" s="251">
        <v>16</v>
      </c>
      <c r="X521" s="251">
        <f>ROUNDDOWN(Table15[[#This Row],[R-DEMAND]]/1320,0)</f>
        <v>0</v>
      </c>
      <c r="Y521" s="251">
        <f>IFERROR(Table15[[#This Row],[ADD ACC
(660/1320)]]*Table15[[#This Row],[Duration
(B744)]],0)</f>
        <v>0</v>
      </c>
      <c r="Z521" s="251"/>
    </row>
    <row r="522" spans="1:26" ht="15.75" customHeight="1" x14ac:dyDescent="0.25">
      <c r="A522" s="210" t="s">
        <v>15555</v>
      </c>
      <c r="B522" s="204" t="s">
        <v>3723</v>
      </c>
      <c r="C522" s="204"/>
      <c r="D522" s="205">
        <v>2</v>
      </c>
      <c r="E522" s="204" t="s">
        <v>807</v>
      </c>
      <c r="F522" s="204" t="str">
        <f>VLOOKUP(E522,Table10[[COUNTRY NAME]:[CONTINENT CODE]],3,FALSE)</f>
        <v>EU</v>
      </c>
      <c r="G522" s="210" t="s">
        <v>7487</v>
      </c>
      <c r="H522" s="207">
        <v>6251</v>
      </c>
      <c r="I522" s="208">
        <v>16</v>
      </c>
      <c r="J522" s="345"/>
      <c r="K522" s="345">
        <f>IFERROR(Table15[[#This Row],[ROUTE $]]/Table15[[#This Row],[E - DEMAND]],0)</f>
        <v>0</v>
      </c>
      <c r="L522" s="204"/>
      <c r="M522" s="412">
        <f>IFERROR(VLOOKUP(Table15[[#This Row],[ROUTE]],DEMAND!A:F,5,FALSE),0)</f>
        <v>0</v>
      </c>
      <c r="N522" s="16">
        <f>IFERROR(VLOOKUP(Table15[[#This Row],[ROUTE]],DEMAND!A:F,6,FALSE),0)</f>
        <v>0</v>
      </c>
      <c r="O522" s="16">
        <f>IFERROR(ROUNDDOWN(Table15[[#This Row],[R-DEMAND]]/1706,0),0)</f>
        <v>0</v>
      </c>
      <c r="P522" s="16">
        <f>IFERROR(Table15[[#This Row],[ADD ACC]]*Table15[[#This Row],[RT TIME 
(380-800)]],0)</f>
        <v>0</v>
      </c>
      <c r="Q522" s="415">
        <f>IFERROR(VLOOKUP(Table15[[#This Row],[ROUTE]],PRICING!A:B,2,FALSE),0)</f>
        <v>0</v>
      </c>
      <c r="R522" s="235">
        <f>IFERROR(Table15[[#This Row],[C_DEMAND]]-Table15[[#This Row],[R-DEMAND]],0)</f>
        <v>0</v>
      </c>
      <c r="S522" s="408">
        <f t="shared" si="8"/>
        <v>0</v>
      </c>
      <c r="T522" s="419">
        <f>Table15[[#This Row],[R-DEMAND]]-(Table15[[#This Row],[ADD ACC]]*1706)</f>
        <v>0</v>
      </c>
      <c r="U522" s="419">
        <f>ROUNDDOWN(Table15[[#This Row],[Column1]]/1360,0)</f>
        <v>0</v>
      </c>
      <c r="V522" s="419"/>
      <c r="W522" s="251">
        <v>16</v>
      </c>
      <c r="X522" s="251">
        <f>ROUNDDOWN(Table15[[#This Row],[R-DEMAND]]/1320,0)</f>
        <v>0</v>
      </c>
      <c r="Y522" s="251">
        <f>IFERROR(Table15[[#This Row],[ADD ACC
(660/1320)]]*Table15[[#This Row],[Duration
(B744)]],0)</f>
        <v>0</v>
      </c>
      <c r="Z522" s="251"/>
    </row>
    <row r="523" spans="1:26" ht="15.75" customHeight="1" x14ac:dyDescent="0.25">
      <c r="A523" s="210" t="s">
        <v>15553</v>
      </c>
      <c r="B523" s="204" t="s">
        <v>4279</v>
      </c>
      <c r="C523" s="204"/>
      <c r="D523" s="205">
        <v>2</v>
      </c>
      <c r="E523" s="204" t="s">
        <v>1427</v>
      </c>
      <c r="F523" s="204" t="str">
        <f>VLOOKUP(E523,Table10[[COUNTRY NAME]:[CONTINENT CODE]],3,FALSE)</f>
        <v>EU</v>
      </c>
      <c r="G523" s="210" t="s">
        <v>11787</v>
      </c>
      <c r="H523" s="207">
        <v>6275</v>
      </c>
      <c r="I523" s="208">
        <v>16</v>
      </c>
      <c r="J523" s="345"/>
      <c r="K523" s="345">
        <f>IFERROR(Table15[[#This Row],[ROUTE $]]/Table15[[#This Row],[E - DEMAND]],0)</f>
        <v>0</v>
      </c>
      <c r="L523" s="204"/>
      <c r="M523" s="412">
        <f>IFERROR(VLOOKUP(Table15[[#This Row],[ROUTE]],DEMAND!A:F,5,FALSE),0)</f>
        <v>0</v>
      </c>
      <c r="N523" s="16">
        <f>IFERROR(VLOOKUP(Table15[[#This Row],[ROUTE]],DEMAND!A:F,6,FALSE),0)</f>
        <v>0</v>
      </c>
      <c r="O523" s="16">
        <f>IFERROR(ROUNDDOWN(Table15[[#This Row],[R-DEMAND]]/1706,0),0)</f>
        <v>0</v>
      </c>
      <c r="P523" s="16">
        <f>IFERROR(Table15[[#This Row],[ADD ACC]]*Table15[[#This Row],[RT TIME 
(380-800)]],0)</f>
        <v>0</v>
      </c>
      <c r="Q523" s="415">
        <f>IFERROR(VLOOKUP(Table15[[#This Row],[ROUTE]],PRICING!A:B,2,FALSE),0)</f>
        <v>0</v>
      </c>
      <c r="R523" s="235">
        <f>IFERROR(Table15[[#This Row],[C_DEMAND]]-Table15[[#This Row],[R-DEMAND]],0)</f>
        <v>0</v>
      </c>
      <c r="S523" s="408">
        <f t="shared" si="8"/>
        <v>0</v>
      </c>
      <c r="T523" s="419">
        <f>Table15[[#This Row],[R-DEMAND]]-(Table15[[#This Row],[ADD ACC]]*1706)</f>
        <v>0</v>
      </c>
      <c r="U523" s="419">
        <f>ROUNDDOWN(Table15[[#This Row],[Column1]]/1360,0)</f>
        <v>0</v>
      </c>
      <c r="V523" s="419"/>
      <c r="W523" s="251">
        <v>16</v>
      </c>
      <c r="X523" s="251">
        <f>ROUNDDOWN(Table15[[#This Row],[R-DEMAND]]/1320,0)</f>
        <v>0</v>
      </c>
      <c r="Y523" s="251">
        <f>IFERROR(Table15[[#This Row],[ADD ACC
(660/1320)]]*Table15[[#This Row],[Duration
(B744)]],0)</f>
        <v>0</v>
      </c>
      <c r="Z523" s="251"/>
    </row>
    <row r="524" spans="1:26" ht="15.75" customHeight="1" x14ac:dyDescent="0.25">
      <c r="A524" s="210" t="s">
        <v>15548</v>
      </c>
      <c r="B524" s="204" t="s">
        <v>2476</v>
      </c>
      <c r="C524" s="204"/>
      <c r="D524" s="205">
        <v>1</v>
      </c>
      <c r="E524" s="204" t="s">
        <v>971</v>
      </c>
      <c r="F524" s="204" t="str">
        <f>VLOOKUP(E524,Table10[[COUNTRY NAME]:[CONTINENT CODE]],3,FALSE)</f>
        <v>AF</v>
      </c>
      <c r="G524" s="206" t="s">
        <v>11774</v>
      </c>
      <c r="H524" s="207">
        <v>6308</v>
      </c>
      <c r="I524" s="208">
        <v>16</v>
      </c>
      <c r="J524" s="345"/>
      <c r="K524" s="345">
        <f>IFERROR(Table15[[#This Row],[ROUTE $]]/Table15[[#This Row],[E - DEMAND]],0)</f>
        <v>0</v>
      </c>
      <c r="L524" s="204"/>
      <c r="M524" s="412">
        <f>IFERROR(VLOOKUP(Table15[[#This Row],[ROUTE]],DEMAND!A:F,5,FALSE),0)</f>
        <v>0</v>
      </c>
      <c r="N524" s="16">
        <f>IFERROR(VLOOKUP(Table15[[#This Row],[ROUTE]],DEMAND!A:F,6,FALSE),0)</f>
        <v>0</v>
      </c>
      <c r="O524" s="16">
        <f>IFERROR(ROUNDDOWN(Table15[[#This Row],[R-DEMAND]]/1706,0),0)</f>
        <v>0</v>
      </c>
      <c r="P524" s="16">
        <f>IFERROR(Table15[[#This Row],[ADD ACC]]*Table15[[#This Row],[RT TIME 
(380-800)]],0)</f>
        <v>0</v>
      </c>
      <c r="Q524" s="415">
        <f>IFERROR(VLOOKUP(Table15[[#This Row],[ROUTE]],PRICING!A:B,2,FALSE),0)</f>
        <v>0</v>
      </c>
      <c r="R524" s="235">
        <f>IFERROR(Table15[[#This Row],[C_DEMAND]]-Table15[[#This Row],[R-DEMAND]],0)</f>
        <v>0</v>
      </c>
      <c r="S524" s="408">
        <f t="shared" si="8"/>
        <v>0</v>
      </c>
      <c r="T524" s="419">
        <f>Table15[[#This Row],[R-DEMAND]]-(Table15[[#This Row],[ADD ACC]]*1706)</f>
        <v>0</v>
      </c>
      <c r="U524" s="419">
        <f>ROUNDDOWN(Table15[[#This Row],[Column1]]/1360,0)</f>
        <v>0</v>
      </c>
      <c r="V524" s="419"/>
      <c r="W524" s="251">
        <v>16</v>
      </c>
      <c r="X524" s="251">
        <f>ROUNDDOWN(Table15[[#This Row],[R-DEMAND]]/1320,0)</f>
        <v>0</v>
      </c>
      <c r="Y524" s="251">
        <f>IFERROR(Table15[[#This Row],[ADD ACC
(660/1320)]]*Table15[[#This Row],[Duration
(B744)]],0)</f>
        <v>0</v>
      </c>
      <c r="Z524" s="251"/>
    </row>
    <row r="525" spans="1:26" ht="15.75" customHeight="1" x14ac:dyDescent="0.25">
      <c r="A525" s="210" t="s">
        <v>15563</v>
      </c>
      <c r="B525" s="204" t="s">
        <v>5602</v>
      </c>
      <c r="C525" s="204"/>
      <c r="D525" s="205">
        <v>4</v>
      </c>
      <c r="E525" s="16" t="s">
        <v>11732</v>
      </c>
      <c r="F525" s="204" t="str">
        <f>VLOOKUP(E525,Table10[[COUNTRY NAME]:[CONTINENT CODE]],3,FALSE)</f>
        <v>NA - US</v>
      </c>
      <c r="G525" s="206" t="s">
        <v>11048</v>
      </c>
      <c r="H525" s="207">
        <v>6171</v>
      </c>
      <c r="I525" s="208">
        <v>15.75</v>
      </c>
      <c r="J525" s="345"/>
      <c r="K525" s="345">
        <f>IFERROR(Table15[[#This Row],[ROUTE $]]/Table15[[#This Row],[E - DEMAND]],0)</f>
        <v>0</v>
      </c>
      <c r="L525" s="204"/>
      <c r="M525" s="412">
        <f>IFERROR(VLOOKUP(Table15[[#This Row],[ROUTE]],DEMAND!A:F,5,FALSE),0)</f>
        <v>0</v>
      </c>
      <c r="N525" s="16">
        <f>IFERROR(VLOOKUP(Table15[[#This Row],[ROUTE]],DEMAND!A:F,6,FALSE),0)</f>
        <v>0</v>
      </c>
      <c r="O525" s="16">
        <f>IFERROR(ROUNDDOWN(Table15[[#This Row],[R-DEMAND]]/1706,0),0)</f>
        <v>0</v>
      </c>
      <c r="P525" s="16">
        <f>IFERROR(Table15[[#This Row],[ADD ACC]]*Table15[[#This Row],[RT TIME 
(380-800)]],0)</f>
        <v>0</v>
      </c>
      <c r="Q525" s="415">
        <f>IFERROR(VLOOKUP(Table15[[#This Row],[ROUTE]],PRICING!A:B,2,FALSE),0)</f>
        <v>0</v>
      </c>
      <c r="R525" s="235">
        <f>IFERROR(Table15[[#This Row],[C_DEMAND]]-Table15[[#This Row],[R-DEMAND]],0)</f>
        <v>0</v>
      </c>
      <c r="S525" s="408">
        <f t="shared" si="8"/>
        <v>0</v>
      </c>
      <c r="T525" s="419">
        <f>Table15[[#This Row],[R-DEMAND]]-(Table15[[#This Row],[ADD ACC]]*1706)</f>
        <v>0</v>
      </c>
      <c r="U525" s="419">
        <f>ROUNDDOWN(Table15[[#This Row],[Column1]]/1360,0)</f>
        <v>0</v>
      </c>
      <c r="V525" s="419"/>
      <c r="W525" s="251">
        <v>15.75</v>
      </c>
      <c r="X525" s="251">
        <f>ROUNDDOWN(Table15[[#This Row],[R-DEMAND]]/1320,0)</f>
        <v>0</v>
      </c>
      <c r="Y525" s="251">
        <f>IFERROR(Table15[[#This Row],[ADD ACC
(660/1320)]]*Table15[[#This Row],[Duration
(B744)]],0)</f>
        <v>0</v>
      </c>
      <c r="Z525" s="251"/>
    </row>
    <row r="526" spans="1:26" ht="15.75" customHeight="1" x14ac:dyDescent="0.25">
      <c r="A526" s="210" t="s">
        <v>15570</v>
      </c>
      <c r="B526" s="204" t="s">
        <v>5311</v>
      </c>
      <c r="C526" s="204"/>
      <c r="D526" s="205">
        <v>3</v>
      </c>
      <c r="E526" s="204" t="s">
        <v>308</v>
      </c>
      <c r="F526" s="204" t="str">
        <f>VLOOKUP(E526,Table10[[COUNTRY NAME]:[CONTINENT CODE]],3,FALSE)</f>
        <v>EU</v>
      </c>
      <c r="G526" s="210" t="s">
        <v>11790</v>
      </c>
      <c r="H526" s="207">
        <v>6097</v>
      </c>
      <c r="I526" s="208">
        <v>15.75</v>
      </c>
      <c r="J526" s="345"/>
      <c r="K526" s="345">
        <f>IFERROR(Table15[[#This Row],[ROUTE $]]/Table15[[#This Row],[E - DEMAND]],0)</f>
        <v>0</v>
      </c>
      <c r="L526" s="204"/>
      <c r="M526" s="412">
        <f>IFERROR(VLOOKUP(Table15[[#This Row],[ROUTE]],DEMAND!A:F,5,FALSE),0)</f>
        <v>0</v>
      </c>
      <c r="N526" s="16">
        <f>IFERROR(VLOOKUP(Table15[[#This Row],[ROUTE]],DEMAND!A:F,6,FALSE),0)</f>
        <v>0</v>
      </c>
      <c r="O526" s="16">
        <f>IFERROR(ROUNDDOWN(Table15[[#This Row],[R-DEMAND]]/1706,0),0)</f>
        <v>0</v>
      </c>
      <c r="P526" s="16">
        <f>IFERROR(Table15[[#This Row],[ADD ACC]]*Table15[[#This Row],[RT TIME 
(380-800)]],0)</f>
        <v>0</v>
      </c>
      <c r="Q526" s="415">
        <f>IFERROR(VLOOKUP(Table15[[#This Row],[ROUTE]],PRICING!A:B,2,FALSE),0)</f>
        <v>0</v>
      </c>
      <c r="R526" s="235">
        <f>IFERROR(Table15[[#This Row],[C_DEMAND]]-Table15[[#This Row],[R-DEMAND]],0)</f>
        <v>0</v>
      </c>
      <c r="S526" s="408">
        <f t="shared" si="8"/>
        <v>0</v>
      </c>
      <c r="T526" s="419">
        <f>Table15[[#This Row],[R-DEMAND]]-(Table15[[#This Row],[ADD ACC]]*1706)</f>
        <v>0</v>
      </c>
      <c r="U526" s="419">
        <f>ROUNDDOWN(Table15[[#This Row],[Column1]]/1360,0)</f>
        <v>0</v>
      </c>
      <c r="V526" s="419"/>
      <c r="W526" s="251">
        <v>15.75</v>
      </c>
      <c r="X526" s="251">
        <f>ROUNDDOWN(Table15[[#This Row],[R-DEMAND]]/1320,0)</f>
        <v>0</v>
      </c>
      <c r="Y526" s="251">
        <f>IFERROR(Table15[[#This Row],[ADD ACC
(660/1320)]]*Table15[[#This Row],[Duration
(B744)]],0)</f>
        <v>0</v>
      </c>
      <c r="Z526" s="251"/>
    </row>
    <row r="527" spans="1:26" ht="15.75" customHeight="1" x14ac:dyDescent="0.25">
      <c r="A527" s="210" t="s">
        <v>15567</v>
      </c>
      <c r="B527" s="204" t="s">
        <v>4092</v>
      </c>
      <c r="C527" s="204"/>
      <c r="D527" s="205">
        <v>2</v>
      </c>
      <c r="E527" s="204" t="s">
        <v>308</v>
      </c>
      <c r="F527" s="204" t="str">
        <f>VLOOKUP(E527,Table10[[COUNTRY NAME]:[CONTINENT CODE]],3,FALSE)</f>
        <v>EU</v>
      </c>
      <c r="G527" s="210" t="s">
        <v>11789</v>
      </c>
      <c r="H527" s="207">
        <v>6123</v>
      </c>
      <c r="I527" s="208">
        <v>15.75</v>
      </c>
      <c r="J527" s="345"/>
      <c r="K527" s="345">
        <f>IFERROR(Table15[[#This Row],[ROUTE $]]/Table15[[#This Row],[E - DEMAND]],0)</f>
        <v>0</v>
      </c>
      <c r="L527" s="204"/>
      <c r="M527" s="412">
        <f>IFERROR(VLOOKUP(Table15[[#This Row],[ROUTE]],DEMAND!A:F,5,FALSE),0)</f>
        <v>0</v>
      </c>
      <c r="N527" s="16">
        <f>IFERROR(VLOOKUP(Table15[[#This Row],[ROUTE]],DEMAND!A:F,6,FALSE),0)</f>
        <v>0</v>
      </c>
      <c r="O527" s="16">
        <f>IFERROR(ROUNDDOWN(Table15[[#This Row],[R-DEMAND]]/1706,0),0)</f>
        <v>0</v>
      </c>
      <c r="P527" s="16">
        <f>IFERROR(Table15[[#This Row],[ADD ACC]]*Table15[[#This Row],[RT TIME 
(380-800)]],0)</f>
        <v>0</v>
      </c>
      <c r="Q527" s="415">
        <f>IFERROR(VLOOKUP(Table15[[#This Row],[ROUTE]],PRICING!A:B,2,FALSE),0)</f>
        <v>0</v>
      </c>
      <c r="R527" s="235">
        <f>IFERROR(Table15[[#This Row],[C_DEMAND]]-Table15[[#This Row],[R-DEMAND]],0)</f>
        <v>0</v>
      </c>
      <c r="S527" s="408">
        <f t="shared" si="8"/>
        <v>0</v>
      </c>
      <c r="T527" s="419">
        <f>Table15[[#This Row],[R-DEMAND]]-(Table15[[#This Row],[ADD ACC]]*1706)</f>
        <v>0</v>
      </c>
      <c r="U527" s="419">
        <f>ROUNDDOWN(Table15[[#This Row],[Column1]]/1360,0)</f>
        <v>0</v>
      </c>
      <c r="V527" s="419"/>
      <c r="W527" s="251">
        <v>15.75</v>
      </c>
      <c r="X527" s="251">
        <f>ROUNDDOWN(Table15[[#This Row],[R-DEMAND]]/1320,0)</f>
        <v>0</v>
      </c>
      <c r="Y527" s="251">
        <f>IFERROR(Table15[[#This Row],[ADD ACC
(660/1320)]]*Table15[[#This Row],[Duration
(B744)]],0)</f>
        <v>0</v>
      </c>
      <c r="Z527" s="251"/>
    </row>
    <row r="528" spans="1:26" ht="15.75" customHeight="1" x14ac:dyDescent="0.25">
      <c r="A528" s="210" t="s">
        <v>15561</v>
      </c>
      <c r="B528" s="204" t="s">
        <v>4144</v>
      </c>
      <c r="C528" s="204"/>
      <c r="D528" s="205">
        <v>2</v>
      </c>
      <c r="E528" s="204" t="s">
        <v>308</v>
      </c>
      <c r="F528" s="204" t="str">
        <f>VLOOKUP(E528,Table10[[COUNTRY NAME]:[CONTINENT CODE]],3,FALSE)</f>
        <v>EU</v>
      </c>
      <c r="G528" s="210" t="s">
        <v>11785</v>
      </c>
      <c r="H528" s="207">
        <v>6188</v>
      </c>
      <c r="I528" s="208">
        <v>15.75</v>
      </c>
      <c r="J528" s="345"/>
      <c r="K528" s="345">
        <f>IFERROR(Table15[[#This Row],[ROUTE $]]/Table15[[#This Row],[E - DEMAND]],0)</f>
        <v>0</v>
      </c>
      <c r="L528" s="204"/>
      <c r="M528" s="412">
        <f>IFERROR(VLOOKUP(Table15[[#This Row],[ROUTE]],DEMAND!A:F,5,FALSE),0)</f>
        <v>0</v>
      </c>
      <c r="N528" s="16">
        <f>IFERROR(VLOOKUP(Table15[[#This Row],[ROUTE]],DEMAND!A:F,6,FALSE),0)</f>
        <v>0</v>
      </c>
      <c r="O528" s="16">
        <f>IFERROR(ROUNDDOWN(Table15[[#This Row],[R-DEMAND]]/1706,0),0)</f>
        <v>0</v>
      </c>
      <c r="P528" s="16">
        <f>IFERROR(Table15[[#This Row],[ADD ACC]]*Table15[[#This Row],[RT TIME 
(380-800)]],0)</f>
        <v>0</v>
      </c>
      <c r="Q528" s="415">
        <f>IFERROR(VLOOKUP(Table15[[#This Row],[ROUTE]],PRICING!A:B,2,FALSE),0)</f>
        <v>0</v>
      </c>
      <c r="R528" s="235">
        <f>IFERROR(Table15[[#This Row],[C_DEMAND]]-Table15[[#This Row],[R-DEMAND]],0)</f>
        <v>0</v>
      </c>
      <c r="S528" s="408">
        <f t="shared" si="8"/>
        <v>0</v>
      </c>
      <c r="T528" s="419">
        <f>Table15[[#This Row],[R-DEMAND]]-(Table15[[#This Row],[ADD ACC]]*1706)</f>
        <v>0</v>
      </c>
      <c r="U528" s="419">
        <f>ROUNDDOWN(Table15[[#This Row],[Column1]]/1360,0)</f>
        <v>0</v>
      </c>
      <c r="V528" s="419"/>
      <c r="W528" s="251">
        <v>15.75</v>
      </c>
      <c r="X528" s="251">
        <f>ROUNDDOWN(Table15[[#This Row],[R-DEMAND]]/1320,0)</f>
        <v>0</v>
      </c>
      <c r="Y528" s="251">
        <f>IFERROR(Table15[[#This Row],[ADD ACC
(660/1320)]]*Table15[[#This Row],[Duration
(B744)]],0)</f>
        <v>0</v>
      </c>
      <c r="Z528" s="251"/>
    </row>
    <row r="529" spans="1:26" ht="15.75" customHeight="1" x14ac:dyDescent="0.25">
      <c r="A529" s="210" t="s">
        <v>15565</v>
      </c>
      <c r="B529" s="204" t="s">
        <v>4355</v>
      </c>
      <c r="C529" s="204"/>
      <c r="D529" s="205">
        <v>2</v>
      </c>
      <c r="E529" s="204" t="s">
        <v>308</v>
      </c>
      <c r="F529" s="204" t="str">
        <f>VLOOKUP(E529,Table10[[COUNTRY NAME]:[CONTINENT CODE]],3,FALSE)</f>
        <v>EU</v>
      </c>
      <c r="G529" s="210" t="s">
        <v>11788</v>
      </c>
      <c r="H529" s="207">
        <v>6146</v>
      </c>
      <c r="I529" s="208">
        <v>15.75</v>
      </c>
      <c r="J529" s="345"/>
      <c r="K529" s="345">
        <f>IFERROR(Table15[[#This Row],[ROUTE $]]/Table15[[#This Row],[E - DEMAND]],0)</f>
        <v>0</v>
      </c>
      <c r="L529" s="204"/>
      <c r="M529" s="412">
        <f>IFERROR(VLOOKUP(Table15[[#This Row],[ROUTE]],DEMAND!A:F,5,FALSE),0)</f>
        <v>0</v>
      </c>
      <c r="N529" s="16">
        <f>IFERROR(VLOOKUP(Table15[[#This Row],[ROUTE]],DEMAND!A:F,6,FALSE),0)</f>
        <v>0</v>
      </c>
      <c r="O529" s="16">
        <f>IFERROR(ROUNDDOWN(Table15[[#This Row],[R-DEMAND]]/1706,0),0)</f>
        <v>0</v>
      </c>
      <c r="P529" s="16">
        <f>IFERROR(Table15[[#This Row],[ADD ACC]]*Table15[[#This Row],[RT TIME 
(380-800)]],0)</f>
        <v>0</v>
      </c>
      <c r="Q529" s="415">
        <f>IFERROR(VLOOKUP(Table15[[#This Row],[ROUTE]],PRICING!A:B,2,FALSE),0)</f>
        <v>0</v>
      </c>
      <c r="R529" s="235">
        <f>IFERROR(Table15[[#This Row],[C_DEMAND]]-Table15[[#This Row],[R-DEMAND]],0)</f>
        <v>0</v>
      </c>
      <c r="S529" s="408">
        <f t="shared" si="8"/>
        <v>0</v>
      </c>
      <c r="T529" s="419">
        <f>Table15[[#This Row],[R-DEMAND]]-(Table15[[#This Row],[ADD ACC]]*1706)</f>
        <v>0</v>
      </c>
      <c r="U529" s="419">
        <f>ROUNDDOWN(Table15[[#This Row],[Column1]]/1360,0)</f>
        <v>0</v>
      </c>
      <c r="V529" s="419"/>
      <c r="W529" s="251">
        <v>15.75</v>
      </c>
      <c r="X529" s="251">
        <f>ROUNDDOWN(Table15[[#This Row],[R-DEMAND]]/1320,0)</f>
        <v>0</v>
      </c>
      <c r="Y529" s="251">
        <f>IFERROR(Table15[[#This Row],[ADD ACC
(660/1320)]]*Table15[[#This Row],[Duration
(B744)]],0)</f>
        <v>0</v>
      </c>
      <c r="Z529" s="251"/>
    </row>
    <row r="530" spans="1:26" ht="15.75" customHeight="1" x14ac:dyDescent="0.25">
      <c r="A530" s="210" t="s">
        <v>15562</v>
      </c>
      <c r="B530" s="204" t="s">
        <v>190</v>
      </c>
      <c r="C530" s="204"/>
      <c r="D530" s="205">
        <v>2</v>
      </c>
      <c r="E530" s="204" t="s">
        <v>1323</v>
      </c>
      <c r="F530" s="204" t="str">
        <f>VLOOKUP(E530,Table10[[COUNTRY NAME]:[CONTINENT CODE]],3,FALSE)</f>
        <v>AF</v>
      </c>
      <c r="G530" s="206" t="s">
        <v>11893</v>
      </c>
      <c r="H530" s="207">
        <v>6187</v>
      </c>
      <c r="I530" s="208">
        <v>15.75</v>
      </c>
      <c r="J530" s="345"/>
      <c r="K530" s="345">
        <f>IFERROR(Table15[[#This Row],[ROUTE $]]/Table15[[#This Row],[E - DEMAND]],0)</f>
        <v>0</v>
      </c>
      <c r="L530" s="204"/>
      <c r="M530" s="412">
        <f>IFERROR(VLOOKUP(Table15[[#This Row],[ROUTE]],DEMAND!A:F,5,FALSE),0)</f>
        <v>0</v>
      </c>
      <c r="N530" s="16">
        <f>IFERROR(VLOOKUP(Table15[[#This Row],[ROUTE]],DEMAND!A:F,6,FALSE),0)</f>
        <v>0</v>
      </c>
      <c r="O530" s="16">
        <f>IFERROR(ROUNDDOWN(Table15[[#This Row],[R-DEMAND]]/1706,0),0)</f>
        <v>0</v>
      </c>
      <c r="P530" s="16">
        <f>IFERROR(Table15[[#This Row],[ADD ACC]]*Table15[[#This Row],[RT TIME 
(380-800)]],0)</f>
        <v>0</v>
      </c>
      <c r="Q530" s="415">
        <f>IFERROR(VLOOKUP(Table15[[#This Row],[ROUTE]],PRICING!A:B,2,FALSE),0)</f>
        <v>0</v>
      </c>
      <c r="R530" s="235">
        <f>IFERROR(Table15[[#This Row],[C_DEMAND]]-Table15[[#This Row],[R-DEMAND]],0)</f>
        <v>0</v>
      </c>
      <c r="S530" s="408">
        <f t="shared" si="8"/>
        <v>0</v>
      </c>
      <c r="T530" s="419">
        <f>Table15[[#This Row],[R-DEMAND]]-(Table15[[#This Row],[ADD ACC]]*1706)</f>
        <v>0</v>
      </c>
      <c r="U530" s="419">
        <f>ROUNDDOWN(Table15[[#This Row],[Column1]]/1360,0)</f>
        <v>0</v>
      </c>
      <c r="V530" s="419"/>
      <c r="W530" s="251">
        <v>15.75</v>
      </c>
      <c r="X530" s="251">
        <f>ROUNDDOWN(Table15[[#This Row],[R-DEMAND]]/1320,0)</f>
        <v>0</v>
      </c>
      <c r="Y530" s="251">
        <f>IFERROR(Table15[[#This Row],[ADD ACC
(660/1320)]]*Table15[[#This Row],[Duration
(B744)]],0)</f>
        <v>0</v>
      </c>
      <c r="Z530" s="251"/>
    </row>
    <row r="531" spans="1:26" ht="15.75" customHeight="1" x14ac:dyDescent="0.25">
      <c r="A531" s="210" t="s">
        <v>15564</v>
      </c>
      <c r="B531" s="204" t="s">
        <v>266</v>
      </c>
      <c r="C531" s="204"/>
      <c r="D531" s="205">
        <v>0</v>
      </c>
      <c r="E531" s="204" t="s">
        <v>542</v>
      </c>
      <c r="F531" s="204" t="str">
        <f>VLOOKUP(E531,Table10[[COUNTRY NAME]:[CONTINENT CODE]],3,FALSE)</f>
        <v>AF</v>
      </c>
      <c r="G531" s="206" t="s">
        <v>11906</v>
      </c>
      <c r="H531" s="207">
        <v>6146</v>
      </c>
      <c r="I531" s="208">
        <v>15.75</v>
      </c>
      <c r="J531" s="345"/>
      <c r="K531" s="345">
        <f>IFERROR(Table15[[#This Row],[ROUTE $]]/Table15[[#This Row],[E - DEMAND]],0)</f>
        <v>0</v>
      </c>
      <c r="L531" s="204"/>
      <c r="M531" s="412">
        <f>IFERROR(VLOOKUP(Table15[[#This Row],[ROUTE]],DEMAND!A:F,5,FALSE),0)</f>
        <v>0</v>
      </c>
      <c r="N531" s="16">
        <f>IFERROR(VLOOKUP(Table15[[#This Row],[ROUTE]],DEMAND!A:F,6,FALSE),0)</f>
        <v>0</v>
      </c>
      <c r="O531" s="16">
        <f>IFERROR(ROUNDDOWN(Table15[[#This Row],[R-DEMAND]]/1706,0),0)</f>
        <v>0</v>
      </c>
      <c r="P531" s="16">
        <f>IFERROR(Table15[[#This Row],[ADD ACC]]*Table15[[#This Row],[RT TIME 
(380-800)]],0)</f>
        <v>0</v>
      </c>
      <c r="Q531" s="415">
        <f>IFERROR(VLOOKUP(Table15[[#This Row],[ROUTE]],PRICING!A:B,2,FALSE),0)</f>
        <v>0</v>
      </c>
      <c r="R531" s="235">
        <f>IFERROR(Table15[[#This Row],[C_DEMAND]]-Table15[[#This Row],[R-DEMAND]],0)</f>
        <v>0</v>
      </c>
      <c r="S531" s="408">
        <f t="shared" si="8"/>
        <v>0</v>
      </c>
      <c r="T531" s="419">
        <f>Table15[[#This Row],[R-DEMAND]]-(Table15[[#This Row],[ADD ACC]]*1706)</f>
        <v>0</v>
      </c>
      <c r="U531" s="419">
        <f>ROUNDDOWN(Table15[[#This Row],[Column1]]/1360,0)</f>
        <v>0</v>
      </c>
      <c r="V531" s="419"/>
      <c r="W531" s="251">
        <v>15.75</v>
      </c>
      <c r="X531" s="251">
        <f>ROUNDDOWN(Table15[[#This Row],[R-DEMAND]]/1320,0)</f>
        <v>0</v>
      </c>
      <c r="Y531" s="251">
        <f>IFERROR(Table15[[#This Row],[ADD ACC
(660/1320)]]*Table15[[#This Row],[Duration
(B744)]],0)</f>
        <v>0</v>
      </c>
      <c r="Z531" s="251"/>
    </row>
    <row r="532" spans="1:26" ht="15.75" customHeight="1" x14ac:dyDescent="0.25">
      <c r="A532" s="210" t="s">
        <v>15571</v>
      </c>
      <c r="B532" s="204" t="s">
        <v>5171</v>
      </c>
      <c r="C532" s="204"/>
      <c r="D532" s="205">
        <v>3</v>
      </c>
      <c r="E532" s="204" t="s">
        <v>4549</v>
      </c>
      <c r="F532" s="204" t="str">
        <f>VLOOKUP(E532,Table10[[COUNTRY NAME]:[CONTINENT CODE]],3,FALSE)</f>
        <v>AF</v>
      </c>
      <c r="G532" s="206" t="s">
        <v>11792</v>
      </c>
      <c r="H532" s="207">
        <v>6084</v>
      </c>
      <c r="I532" s="208">
        <v>15.5</v>
      </c>
      <c r="J532" s="345"/>
      <c r="K532" s="345">
        <f>IFERROR(Table15[[#This Row],[ROUTE $]]/Table15[[#This Row],[E - DEMAND]],0)</f>
        <v>0</v>
      </c>
      <c r="L532" s="204"/>
      <c r="M532" s="412">
        <f>IFERROR(VLOOKUP(Table15[[#This Row],[ROUTE]],DEMAND!A:F,5,FALSE),0)</f>
        <v>0</v>
      </c>
      <c r="N532" s="16">
        <f>IFERROR(VLOOKUP(Table15[[#This Row],[ROUTE]],DEMAND!A:F,6,FALSE),0)</f>
        <v>0</v>
      </c>
      <c r="O532" s="16">
        <f>IFERROR(ROUNDDOWN(Table15[[#This Row],[R-DEMAND]]/1706,0),0)</f>
        <v>0</v>
      </c>
      <c r="P532" s="16">
        <f>IFERROR(Table15[[#This Row],[ADD ACC]]*Table15[[#This Row],[RT TIME 
(380-800)]],0)</f>
        <v>0</v>
      </c>
      <c r="Q532" s="415">
        <f>IFERROR(VLOOKUP(Table15[[#This Row],[ROUTE]],PRICING!A:B,2,FALSE),0)</f>
        <v>0</v>
      </c>
      <c r="R532" s="235">
        <f>IFERROR(Table15[[#This Row],[C_DEMAND]]-Table15[[#This Row],[R-DEMAND]],0)</f>
        <v>0</v>
      </c>
      <c r="S532" s="408">
        <f t="shared" si="8"/>
        <v>0</v>
      </c>
      <c r="T532" s="419">
        <f>Table15[[#This Row],[R-DEMAND]]-(Table15[[#This Row],[ADD ACC]]*1706)</f>
        <v>0</v>
      </c>
      <c r="U532" s="419">
        <f>ROUNDDOWN(Table15[[#This Row],[Column1]]/1360,0)</f>
        <v>0</v>
      </c>
      <c r="V532" s="419"/>
      <c r="W532" s="251">
        <v>15.5</v>
      </c>
      <c r="X532" s="251">
        <f>ROUNDDOWN(Table15[[#This Row],[R-DEMAND]]/1320,0)</f>
        <v>0</v>
      </c>
      <c r="Y532" s="251">
        <f>IFERROR(Table15[[#This Row],[ADD ACC
(660/1320)]]*Table15[[#This Row],[Duration
(B744)]],0)</f>
        <v>0</v>
      </c>
      <c r="Z532" s="251"/>
    </row>
    <row r="533" spans="1:26" ht="15.75" customHeight="1" x14ac:dyDescent="0.25">
      <c r="A533" s="210" t="s">
        <v>15576</v>
      </c>
      <c r="B533" s="204" t="s">
        <v>4943</v>
      </c>
      <c r="C533" s="204"/>
      <c r="D533" s="205">
        <v>3</v>
      </c>
      <c r="E533" s="204" t="s">
        <v>142</v>
      </c>
      <c r="F533" s="204" t="str">
        <f>VLOOKUP(E533,Table10[[COUNTRY NAME]:[CONTINENT CODE]],3,FALSE)</f>
        <v>AS</v>
      </c>
      <c r="G533" s="206" t="s">
        <v>8110</v>
      </c>
      <c r="H533" s="207">
        <v>6005</v>
      </c>
      <c r="I533" s="208">
        <v>15.5</v>
      </c>
      <c r="J533" s="345"/>
      <c r="K533" s="345">
        <f>IFERROR(Table15[[#This Row],[ROUTE $]]/Table15[[#This Row],[E - DEMAND]],0)</f>
        <v>0</v>
      </c>
      <c r="L533" s="204"/>
      <c r="M533" s="412">
        <f>IFERROR(VLOOKUP(Table15[[#This Row],[ROUTE]],DEMAND!A:F,5,FALSE),0)</f>
        <v>0</v>
      </c>
      <c r="N533" s="16">
        <f>IFERROR(VLOOKUP(Table15[[#This Row],[ROUTE]],DEMAND!A:F,6,FALSE),0)</f>
        <v>0</v>
      </c>
      <c r="O533" s="16">
        <f>IFERROR(ROUNDDOWN(Table15[[#This Row],[R-DEMAND]]/1706,0),0)</f>
        <v>0</v>
      </c>
      <c r="P533" s="16">
        <f>IFERROR(Table15[[#This Row],[ADD ACC]]*Table15[[#This Row],[RT TIME 
(380-800)]],0)</f>
        <v>0</v>
      </c>
      <c r="Q533" s="415">
        <f>IFERROR(VLOOKUP(Table15[[#This Row],[ROUTE]],PRICING!A:B,2,FALSE),0)</f>
        <v>0</v>
      </c>
      <c r="R533" s="235">
        <f>IFERROR(Table15[[#This Row],[C_DEMAND]]-Table15[[#This Row],[R-DEMAND]],0)</f>
        <v>0</v>
      </c>
      <c r="S533" s="408">
        <f t="shared" si="8"/>
        <v>0</v>
      </c>
      <c r="T533" s="419">
        <f>Table15[[#This Row],[R-DEMAND]]-(Table15[[#This Row],[ADD ACC]]*1706)</f>
        <v>0</v>
      </c>
      <c r="U533" s="419">
        <f>ROUNDDOWN(Table15[[#This Row],[Column1]]/1360,0)</f>
        <v>0</v>
      </c>
      <c r="V533" s="419"/>
      <c r="W533" s="251">
        <v>15.5</v>
      </c>
      <c r="X533" s="251">
        <f>ROUNDDOWN(Table15[[#This Row],[R-DEMAND]]/1320,0)</f>
        <v>0</v>
      </c>
      <c r="Y533" s="251">
        <f>IFERROR(Table15[[#This Row],[ADD ACC
(660/1320)]]*Table15[[#This Row],[Duration
(B744)]],0)</f>
        <v>0</v>
      </c>
      <c r="Z533" s="251"/>
    </row>
    <row r="534" spans="1:26" ht="15.75" customHeight="1" x14ac:dyDescent="0.25">
      <c r="A534" s="210" t="s">
        <v>15575</v>
      </c>
      <c r="B534" s="204" t="s">
        <v>4900</v>
      </c>
      <c r="C534" s="204"/>
      <c r="D534" s="205">
        <v>3</v>
      </c>
      <c r="E534" s="204" t="s">
        <v>758</v>
      </c>
      <c r="F534" s="204" t="str">
        <f>VLOOKUP(E534,Table10[[COUNTRY NAME]:[CONTINENT CODE]],3,FALSE)</f>
        <v>EU</v>
      </c>
      <c r="G534" s="210" t="s">
        <v>11805</v>
      </c>
      <c r="H534" s="207">
        <v>6018</v>
      </c>
      <c r="I534" s="208">
        <v>15.5</v>
      </c>
      <c r="J534" s="345"/>
      <c r="K534" s="345">
        <f>IFERROR(Table15[[#This Row],[ROUTE $]]/Table15[[#This Row],[E - DEMAND]],0)</f>
        <v>0</v>
      </c>
      <c r="L534" s="204"/>
      <c r="M534" s="412">
        <f>IFERROR(VLOOKUP(Table15[[#This Row],[ROUTE]],DEMAND!A:F,5,FALSE),0)</f>
        <v>0</v>
      </c>
      <c r="N534" s="16">
        <f>IFERROR(VLOOKUP(Table15[[#This Row],[ROUTE]],DEMAND!A:F,6,FALSE),0)</f>
        <v>0</v>
      </c>
      <c r="O534" s="16">
        <f>IFERROR(ROUNDDOWN(Table15[[#This Row],[R-DEMAND]]/1706,0),0)</f>
        <v>0</v>
      </c>
      <c r="P534" s="16">
        <f>IFERROR(Table15[[#This Row],[ADD ACC]]*Table15[[#This Row],[RT TIME 
(380-800)]],0)</f>
        <v>0</v>
      </c>
      <c r="Q534" s="415">
        <f>IFERROR(VLOOKUP(Table15[[#This Row],[ROUTE]],PRICING!A:B,2,FALSE),0)</f>
        <v>0</v>
      </c>
      <c r="R534" s="235">
        <f>IFERROR(Table15[[#This Row],[C_DEMAND]]-Table15[[#This Row],[R-DEMAND]],0)</f>
        <v>0</v>
      </c>
      <c r="S534" s="408">
        <f t="shared" si="8"/>
        <v>0</v>
      </c>
      <c r="T534" s="419">
        <f>Table15[[#This Row],[R-DEMAND]]-(Table15[[#This Row],[ADD ACC]]*1706)</f>
        <v>0</v>
      </c>
      <c r="U534" s="419">
        <f>ROUNDDOWN(Table15[[#This Row],[Column1]]/1360,0)</f>
        <v>0</v>
      </c>
      <c r="V534" s="419"/>
      <c r="W534" s="251">
        <v>15.5</v>
      </c>
      <c r="X534" s="251">
        <f>ROUNDDOWN(Table15[[#This Row],[R-DEMAND]]/1320,0)</f>
        <v>0</v>
      </c>
      <c r="Y534" s="251">
        <f>IFERROR(Table15[[#This Row],[ADD ACC
(660/1320)]]*Table15[[#This Row],[Duration
(B744)]],0)</f>
        <v>0</v>
      </c>
      <c r="Z534" s="251"/>
    </row>
    <row r="535" spans="1:26" ht="15.75" customHeight="1" x14ac:dyDescent="0.25">
      <c r="A535" s="210" t="s">
        <v>15572</v>
      </c>
      <c r="B535" s="204" t="s">
        <v>4822</v>
      </c>
      <c r="C535" s="204"/>
      <c r="D535" s="205">
        <v>3</v>
      </c>
      <c r="E535" s="204" t="s">
        <v>992</v>
      </c>
      <c r="F535" s="204" t="str">
        <f>VLOOKUP(E535,Table10[[COUNTRY NAME]:[CONTINENT CODE]],3,FALSE)</f>
        <v>EU</v>
      </c>
      <c r="G535" s="210" t="s">
        <v>11794</v>
      </c>
      <c r="H535" s="207">
        <v>6078</v>
      </c>
      <c r="I535" s="208">
        <v>15.5</v>
      </c>
      <c r="J535" s="345"/>
      <c r="K535" s="345">
        <f>IFERROR(Table15[[#This Row],[ROUTE $]]/Table15[[#This Row],[E - DEMAND]],0)</f>
        <v>0</v>
      </c>
      <c r="L535" s="204"/>
      <c r="M535" s="412">
        <f>IFERROR(VLOOKUP(Table15[[#This Row],[ROUTE]],DEMAND!A:F,5,FALSE),0)</f>
        <v>0</v>
      </c>
      <c r="N535" s="16">
        <f>IFERROR(VLOOKUP(Table15[[#This Row],[ROUTE]],DEMAND!A:F,6,FALSE),0)</f>
        <v>0</v>
      </c>
      <c r="O535" s="16">
        <f>IFERROR(ROUNDDOWN(Table15[[#This Row],[R-DEMAND]]/1706,0),0)</f>
        <v>0</v>
      </c>
      <c r="P535" s="16">
        <f>IFERROR(Table15[[#This Row],[ADD ACC]]*Table15[[#This Row],[RT TIME 
(380-800)]],0)</f>
        <v>0</v>
      </c>
      <c r="Q535" s="415">
        <f>IFERROR(VLOOKUP(Table15[[#This Row],[ROUTE]],PRICING!A:B,2,FALSE),0)</f>
        <v>0</v>
      </c>
      <c r="R535" s="235">
        <f>IFERROR(Table15[[#This Row],[C_DEMAND]]-Table15[[#This Row],[R-DEMAND]],0)</f>
        <v>0</v>
      </c>
      <c r="S535" s="408">
        <f t="shared" si="8"/>
        <v>0</v>
      </c>
      <c r="T535" s="419">
        <f>Table15[[#This Row],[R-DEMAND]]-(Table15[[#This Row],[ADD ACC]]*1706)</f>
        <v>0</v>
      </c>
      <c r="U535" s="419">
        <f>ROUNDDOWN(Table15[[#This Row],[Column1]]/1360,0)</f>
        <v>0</v>
      </c>
      <c r="V535" s="419"/>
      <c r="W535" s="251">
        <v>15.5</v>
      </c>
      <c r="X535" s="251">
        <f>ROUNDDOWN(Table15[[#This Row],[R-DEMAND]]/1320,0)</f>
        <v>0</v>
      </c>
      <c r="Y535" s="251">
        <f>IFERROR(Table15[[#This Row],[ADD ACC
(660/1320)]]*Table15[[#This Row],[Duration
(B744)]],0)</f>
        <v>0</v>
      </c>
      <c r="Z535" s="251"/>
    </row>
    <row r="536" spans="1:26" ht="15.75" customHeight="1" x14ac:dyDescent="0.25">
      <c r="A536" s="210" t="s">
        <v>15573</v>
      </c>
      <c r="B536" s="204" t="s">
        <v>3313</v>
      </c>
      <c r="C536" s="204"/>
      <c r="D536" s="205">
        <v>2</v>
      </c>
      <c r="E536" s="16" t="s">
        <v>11732</v>
      </c>
      <c r="F536" s="204" t="str">
        <f>VLOOKUP(E536,Table10[[COUNTRY NAME]:[CONTINENT CODE]],3,FALSE)</f>
        <v>NA - US</v>
      </c>
      <c r="G536" s="206" t="s">
        <v>11873</v>
      </c>
      <c r="H536" s="207">
        <v>6027</v>
      </c>
      <c r="I536" s="208">
        <v>15.5</v>
      </c>
      <c r="J536" s="345"/>
      <c r="K536" s="345">
        <f>IFERROR(Table15[[#This Row],[ROUTE $]]/Table15[[#This Row],[E - DEMAND]],0)</f>
        <v>0</v>
      </c>
      <c r="L536" s="204"/>
      <c r="M536" s="412">
        <f>IFERROR(VLOOKUP(Table15[[#This Row],[ROUTE]],DEMAND!A:F,5,FALSE),0)</f>
        <v>0</v>
      </c>
      <c r="N536" s="16">
        <f>IFERROR(VLOOKUP(Table15[[#This Row],[ROUTE]],DEMAND!A:F,6,FALSE),0)</f>
        <v>0</v>
      </c>
      <c r="O536" s="16">
        <f>IFERROR(ROUNDDOWN(Table15[[#This Row],[R-DEMAND]]/1706,0),0)</f>
        <v>0</v>
      </c>
      <c r="P536" s="16">
        <f>IFERROR(Table15[[#This Row],[ADD ACC]]*Table15[[#This Row],[RT TIME 
(380-800)]],0)</f>
        <v>0</v>
      </c>
      <c r="Q536" s="415">
        <f>IFERROR(VLOOKUP(Table15[[#This Row],[ROUTE]],PRICING!A:B,2,FALSE),0)</f>
        <v>0</v>
      </c>
      <c r="R536" s="235">
        <f>IFERROR(Table15[[#This Row],[C_DEMAND]]-Table15[[#This Row],[R-DEMAND]],0)</f>
        <v>0</v>
      </c>
      <c r="S536" s="408">
        <f t="shared" si="8"/>
        <v>0</v>
      </c>
      <c r="T536" s="419">
        <f>Table15[[#This Row],[R-DEMAND]]-(Table15[[#This Row],[ADD ACC]]*1706)</f>
        <v>0</v>
      </c>
      <c r="U536" s="419">
        <f>ROUNDDOWN(Table15[[#This Row],[Column1]]/1360,0)</f>
        <v>0</v>
      </c>
      <c r="V536" s="419"/>
      <c r="W536" s="251">
        <v>15.5</v>
      </c>
      <c r="X536" s="251">
        <f>ROUNDDOWN(Table15[[#This Row],[R-DEMAND]]/1320,0)</f>
        <v>0</v>
      </c>
      <c r="Y536" s="251">
        <f>IFERROR(Table15[[#This Row],[ADD ACC
(660/1320)]]*Table15[[#This Row],[Duration
(B744)]],0)</f>
        <v>0</v>
      </c>
      <c r="Z536" s="251"/>
    </row>
    <row r="537" spans="1:26" ht="15.75" customHeight="1" x14ac:dyDescent="0.25">
      <c r="A537" s="210" t="s">
        <v>15582</v>
      </c>
      <c r="B537" s="204" t="s">
        <v>5187</v>
      </c>
      <c r="C537" s="204"/>
      <c r="D537" s="205">
        <v>3</v>
      </c>
      <c r="E537" s="204" t="s">
        <v>142</v>
      </c>
      <c r="F537" s="204" t="str">
        <f>VLOOKUP(E537,Table10[[COUNTRY NAME]:[CONTINENT CODE]],3,FALSE)</f>
        <v>AS</v>
      </c>
      <c r="G537" s="206" t="s">
        <v>12024</v>
      </c>
      <c r="H537" s="207">
        <v>5923</v>
      </c>
      <c r="I537" s="208">
        <v>15.25</v>
      </c>
      <c r="J537" s="345"/>
      <c r="K537" s="345">
        <f>IFERROR(Table15[[#This Row],[ROUTE $]]/Table15[[#This Row],[E - DEMAND]],0)</f>
        <v>0</v>
      </c>
      <c r="L537" s="204"/>
      <c r="M537" s="412">
        <f>IFERROR(VLOOKUP(Table15[[#This Row],[ROUTE]],DEMAND!A:F,5,FALSE),0)</f>
        <v>0</v>
      </c>
      <c r="N537" s="16">
        <f>IFERROR(VLOOKUP(Table15[[#This Row],[ROUTE]],DEMAND!A:F,6,FALSE),0)</f>
        <v>0</v>
      </c>
      <c r="O537" s="16">
        <f>IFERROR(ROUNDDOWN(Table15[[#This Row],[R-DEMAND]]/1706,0),0)</f>
        <v>0</v>
      </c>
      <c r="P537" s="16">
        <f>IFERROR(Table15[[#This Row],[ADD ACC]]*Table15[[#This Row],[RT TIME 
(380-800)]],0)</f>
        <v>0</v>
      </c>
      <c r="Q537" s="415">
        <f>IFERROR(VLOOKUP(Table15[[#This Row],[ROUTE]],PRICING!A:B,2,FALSE),0)</f>
        <v>0</v>
      </c>
      <c r="R537" s="235">
        <f>IFERROR(Table15[[#This Row],[C_DEMAND]]-Table15[[#This Row],[R-DEMAND]],0)</f>
        <v>0</v>
      </c>
      <c r="S537" s="408">
        <f t="shared" si="8"/>
        <v>0</v>
      </c>
      <c r="T537" s="419">
        <f>Table15[[#This Row],[R-DEMAND]]-(Table15[[#This Row],[ADD ACC]]*1706)</f>
        <v>0</v>
      </c>
      <c r="U537" s="419">
        <f>ROUNDDOWN(Table15[[#This Row],[Column1]]/1360,0)</f>
        <v>0</v>
      </c>
      <c r="V537" s="419"/>
      <c r="W537" s="251">
        <v>15.25</v>
      </c>
      <c r="X537" s="251">
        <f>ROUNDDOWN(Table15[[#This Row],[R-DEMAND]]/1320,0)</f>
        <v>0</v>
      </c>
      <c r="Y537" s="251">
        <f>IFERROR(Table15[[#This Row],[ADD ACC
(660/1320)]]*Table15[[#This Row],[Duration
(B744)]],0)</f>
        <v>0</v>
      </c>
      <c r="Z537" s="251"/>
    </row>
    <row r="538" spans="1:26" ht="15.75" customHeight="1" x14ac:dyDescent="0.25">
      <c r="A538" s="210" t="s">
        <v>15584</v>
      </c>
      <c r="B538" s="204" t="s">
        <v>5408</v>
      </c>
      <c r="C538" s="204"/>
      <c r="D538" s="205">
        <v>3</v>
      </c>
      <c r="E538" s="204" t="s">
        <v>142</v>
      </c>
      <c r="F538" s="204" t="str">
        <f>VLOOKUP(E538,Table10[[COUNTRY NAME]:[CONTINENT CODE]],3,FALSE)</f>
        <v>AS</v>
      </c>
      <c r="G538" s="206" t="s">
        <v>12030</v>
      </c>
      <c r="H538" s="207">
        <v>5911</v>
      </c>
      <c r="I538" s="208">
        <v>15.25</v>
      </c>
      <c r="J538" s="345"/>
      <c r="K538" s="345">
        <f>IFERROR(Table15[[#This Row],[ROUTE $]]/Table15[[#This Row],[E - DEMAND]],0)</f>
        <v>0</v>
      </c>
      <c r="L538" s="204"/>
      <c r="M538" s="412">
        <f>IFERROR(VLOOKUP(Table15[[#This Row],[ROUTE]],DEMAND!A:F,5,FALSE),0)</f>
        <v>0</v>
      </c>
      <c r="N538" s="16">
        <f>IFERROR(VLOOKUP(Table15[[#This Row],[ROUTE]],DEMAND!A:F,6,FALSE),0)</f>
        <v>0</v>
      </c>
      <c r="O538" s="16">
        <f>IFERROR(ROUNDDOWN(Table15[[#This Row],[R-DEMAND]]/1706,0),0)</f>
        <v>0</v>
      </c>
      <c r="P538" s="16">
        <f>IFERROR(Table15[[#This Row],[ADD ACC]]*Table15[[#This Row],[RT TIME 
(380-800)]],0)</f>
        <v>0</v>
      </c>
      <c r="Q538" s="415">
        <f>IFERROR(VLOOKUP(Table15[[#This Row],[ROUTE]],PRICING!A:B,2,FALSE),0)</f>
        <v>0</v>
      </c>
      <c r="R538" s="235">
        <f>IFERROR(Table15[[#This Row],[C_DEMAND]]-Table15[[#This Row],[R-DEMAND]],0)</f>
        <v>0</v>
      </c>
      <c r="S538" s="408">
        <f t="shared" si="8"/>
        <v>0</v>
      </c>
      <c r="T538" s="419">
        <f>Table15[[#This Row],[R-DEMAND]]-(Table15[[#This Row],[ADD ACC]]*1706)</f>
        <v>0</v>
      </c>
      <c r="U538" s="419">
        <f>ROUNDDOWN(Table15[[#This Row],[Column1]]/1360,0)</f>
        <v>0</v>
      </c>
      <c r="V538" s="419"/>
      <c r="W538" s="251">
        <v>15.25</v>
      </c>
      <c r="X538" s="251">
        <f>ROUNDDOWN(Table15[[#This Row],[R-DEMAND]]/1320,0)</f>
        <v>0</v>
      </c>
      <c r="Y538" s="251">
        <f>IFERROR(Table15[[#This Row],[ADD ACC
(660/1320)]]*Table15[[#This Row],[Duration
(B744)]],0)</f>
        <v>0</v>
      </c>
      <c r="Z538" s="251"/>
    </row>
    <row r="539" spans="1:26" ht="15.75" customHeight="1" x14ac:dyDescent="0.25">
      <c r="A539" s="210" t="s">
        <v>15588</v>
      </c>
      <c r="B539" s="204" t="s">
        <v>4930</v>
      </c>
      <c r="C539" s="204"/>
      <c r="D539" s="205">
        <v>3</v>
      </c>
      <c r="E539" s="204" t="s">
        <v>520</v>
      </c>
      <c r="F539" s="204" t="str">
        <f>VLOOKUP(E539,Table10[[COUNTRY NAME]:[CONTINENT CODE]],3,FALSE)</f>
        <v>EU</v>
      </c>
      <c r="G539" s="210" t="s">
        <v>11818</v>
      </c>
      <c r="H539" s="207">
        <v>5886</v>
      </c>
      <c r="I539" s="208">
        <v>15.25</v>
      </c>
      <c r="J539" s="345"/>
      <c r="K539" s="345">
        <f>IFERROR(Table15[[#This Row],[ROUTE $]]/Table15[[#This Row],[E - DEMAND]],0)</f>
        <v>0</v>
      </c>
      <c r="L539" s="204"/>
      <c r="M539" s="412">
        <f>IFERROR(VLOOKUP(Table15[[#This Row],[ROUTE]],DEMAND!A:F,5,FALSE),0)</f>
        <v>0</v>
      </c>
      <c r="N539" s="16">
        <f>IFERROR(VLOOKUP(Table15[[#This Row],[ROUTE]],DEMAND!A:F,6,FALSE),0)</f>
        <v>0</v>
      </c>
      <c r="O539" s="16">
        <f>IFERROR(ROUNDDOWN(Table15[[#This Row],[R-DEMAND]]/1706,0),0)</f>
        <v>0</v>
      </c>
      <c r="P539" s="16">
        <f>IFERROR(Table15[[#This Row],[ADD ACC]]*Table15[[#This Row],[RT TIME 
(380-800)]],0)</f>
        <v>0</v>
      </c>
      <c r="Q539" s="415">
        <f>IFERROR(VLOOKUP(Table15[[#This Row],[ROUTE]],PRICING!A:B,2,FALSE),0)</f>
        <v>0</v>
      </c>
      <c r="R539" s="235">
        <f>IFERROR(Table15[[#This Row],[C_DEMAND]]-Table15[[#This Row],[R-DEMAND]],0)</f>
        <v>0</v>
      </c>
      <c r="S539" s="408">
        <f t="shared" si="8"/>
        <v>0</v>
      </c>
      <c r="T539" s="419">
        <f>Table15[[#This Row],[R-DEMAND]]-(Table15[[#This Row],[ADD ACC]]*1706)</f>
        <v>0</v>
      </c>
      <c r="U539" s="419">
        <f>ROUNDDOWN(Table15[[#This Row],[Column1]]/1360,0)</f>
        <v>0</v>
      </c>
      <c r="V539" s="419"/>
      <c r="W539" s="251">
        <v>15.25</v>
      </c>
      <c r="X539" s="251">
        <f>ROUNDDOWN(Table15[[#This Row],[R-DEMAND]]/1320,0)</f>
        <v>0</v>
      </c>
      <c r="Y539" s="251">
        <f>IFERROR(Table15[[#This Row],[ADD ACC
(660/1320)]]*Table15[[#This Row],[Duration
(B744)]],0)</f>
        <v>0</v>
      </c>
      <c r="Z539" s="251"/>
    </row>
    <row r="540" spans="1:26" ht="15.75" customHeight="1" x14ac:dyDescent="0.25">
      <c r="A540" s="210" t="s">
        <v>15577</v>
      </c>
      <c r="B540" s="204" t="s">
        <v>5185</v>
      </c>
      <c r="C540" s="204"/>
      <c r="D540" s="205">
        <v>3</v>
      </c>
      <c r="E540" s="204" t="s">
        <v>5183</v>
      </c>
      <c r="F540" s="204" t="str">
        <f>VLOOKUP(E540,Table10[[COUNTRY NAME]:[CONTINENT CODE]],3,FALSE)</f>
        <v>EU</v>
      </c>
      <c r="G540" s="210" t="s">
        <v>11797</v>
      </c>
      <c r="H540" s="207">
        <v>5965</v>
      </c>
      <c r="I540" s="208">
        <v>15.25</v>
      </c>
      <c r="J540" s="345"/>
      <c r="K540" s="345">
        <f>IFERROR(Table15[[#This Row],[ROUTE $]]/Table15[[#This Row],[E - DEMAND]],0)</f>
        <v>0</v>
      </c>
      <c r="L540" s="204"/>
      <c r="M540" s="412">
        <f>IFERROR(VLOOKUP(Table15[[#This Row],[ROUTE]],DEMAND!A:F,5,FALSE),0)</f>
        <v>0</v>
      </c>
      <c r="N540" s="16">
        <f>IFERROR(VLOOKUP(Table15[[#This Row],[ROUTE]],DEMAND!A:F,6,FALSE),0)</f>
        <v>0</v>
      </c>
      <c r="O540" s="16">
        <f>IFERROR(ROUNDDOWN(Table15[[#This Row],[R-DEMAND]]/1706,0),0)</f>
        <v>0</v>
      </c>
      <c r="P540" s="16">
        <f>IFERROR(Table15[[#This Row],[ADD ACC]]*Table15[[#This Row],[RT TIME 
(380-800)]],0)</f>
        <v>0</v>
      </c>
      <c r="Q540" s="415">
        <f>IFERROR(VLOOKUP(Table15[[#This Row],[ROUTE]],PRICING!A:B,2,FALSE),0)</f>
        <v>0</v>
      </c>
      <c r="R540" s="235">
        <f>IFERROR(Table15[[#This Row],[C_DEMAND]]-Table15[[#This Row],[R-DEMAND]],0)</f>
        <v>0</v>
      </c>
      <c r="S540" s="408">
        <f t="shared" si="8"/>
        <v>0</v>
      </c>
      <c r="T540" s="419">
        <f>Table15[[#This Row],[R-DEMAND]]-(Table15[[#This Row],[ADD ACC]]*1706)</f>
        <v>0</v>
      </c>
      <c r="U540" s="419">
        <f>ROUNDDOWN(Table15[[#This Row],[Column1]]/1360,0)</f>
        <v>0</v>
      </c>
      <c r="V540" s="419"/>
      <c r="W540" s="251">
        <v>15.25</v>
      </c>
      <c r="X540" s="251">
        <f>ROUNDDOWN(Table15[[#This Row],[R-DEMAND]]/1320,0)</f>
        <v>0</v>
      </c>
      <c r="Y540" s="251">
        <f>IFERROR(Table15[[#This Row],[ADD ACC
(660/1320)]]*Table15[[#This Row],[Duration
(B744)]],0)</f>
        <v>0</v>
      </c>
      <c r="Z540" s="251"/>
    </row>
    <row r="541" spans="1:26" ht="15.75" customHeight="1" x14ac:dyDescent="0.25">
      <c r="A541" s="210" t="s">
        <v>15583</v>
      </c>
      <c r="B541" s="204" t="s">
        <v>5031</v>
      </c>
      <c r="C541" s="204"/>
      <c r="D541" s="205">
        <v>3</v>
      </c>
      <c r="E541" s="204" t="s">
        <v>659</v>
      </c>
      <c r="F541" s="204" t="str">
        <f>VLOOKUP(E541,Table10[[COUNTRY NAME]:[CONTINENT CODE]],3,FALSE)</f>
        <v>EU</v>
      </c>
      <c r="G541" s="210" t="s">
        <v>11804</v>
      </c>
      <c r="H541" s="207">
        <v>5915</v>
      </c>
      <c r="I541" s="208">
        <v>15.25</v>
      </c>
      <c r="J541" s="345"/>
      <c r="K541" s="345">
        <f>IFERROR(Table15[[#This Row],[ROUTE $]]/Table15[[#This Row],[E - DEMAND]],0)</f>
        <v>0</v>
      </c>
      <c r="L541" s="204"/>
      <c r="M541" s="412">
        <f>IFERROR(VLOOKUP(Table15[[#This Row],[ROUTE]],DEMAND!A:F,5,FALSE),0)</f>
        <v>0</v>
      </c>
      <c r="N541" s="16">
        <f>IFERROR(VLOOKUP(Table15[[#This Row],[ROUTE]],DEMAND!A:F,6,FALSE),0)</f>
        <v>0</v>
      </c>
      <c r="O541" s="16">
        <f>IFERROR(ROUNDDOWN(Table15[[#This Row],[R-DEMAND]]/1706,0),0)</f>
        <v>0</v>
      </c>
      <c r="P541" s="16">
        <f>IFERROR(Table15[[#This Row],[ADD ACC]]*Table15[[#This Row],[RT TIME 
(380-800)]],0)</f>
        <v>0</v>
      </c>
      <c r="Q541" s="415">
        <f>IFERROR(VLOOKUP(Table15[[#This Row],[ROUTE]],PRICING!A:B,2,FALSE),0)</f>
        <v>0</v>
      </c>
      <c r="R541" s="235">
        <f>IFERROR(Table15[[#This Row],[C_DEMAND]]-Table15[[#This Row],[R-DEMAND]],0)</f>
        <v>0</v>
      </c>
      <c r="S541" s="408">
        <f t="shared" si="8"/>
        <v>0</v>
      </c>
      <c r="T541" s="419">
        <f>Table15[[#This Row],[R-DEMAND]]-(Table15[[#This Row],[ADD ACC]]*1706)</f>
        <v>0</v>
      </c>
      <c r="U541" s="419">
        <f>ROUNDDOWN(Table15[[#This Row],[Column1]]/1360,0)</f>
        <v>0</v>
      </c>
      <c r="V541" s="419"/>
      <c r="W541" s="251">
        <v>15.25</v>
      </c>
      <c r="X541" s="251">
        <f>ROUNDDOWN(Table15[[#This Row],[R-DEMAND]]/1320,0)</f>
        <v>0</v>
      </c>
      <c r="Y541" s="251">
        <f>IFERROR(Table15[[#This Row],[ADD ACC
(660/1320)]]*Table15[[#This Row],[Duration
(B744)]],0)</f>
        <v>0</v>
      </c>
      <c r="Z541" s="251"/>
    </row>
    <row r="542" spans="1:26" ht="15.75" customHeight="1" x14ac:dyDescent="0.25">
      <c r="A542" s="210" t="s">
        <v>15579</v>
      </c>
      <c r="B542" s="204" t="s">
        <v>3551</v>
      </c>
      <c r="C542" s="204"/>
      <c r="D542" s="205">
        <v>2</v>
      </c>
      <c r="E542" s="204" t="s">
        <v>807</v>
      </c>
      <c r="F542" s="204" t="str">
        <f>VLOOKUP(E542,Table10[[COUNTRY NAME]:[CONTINENT CODE]],3,FALSE)</f>
        <v>EU</v>
      </c>
      <c r="G542" s="210" t="s">
        <v>9001</v>
      </c>
      <c r="H542" s="207">
        <v>5954</v>
      </c>
      <c r="I542" s="208">
        <v>15.25</v>
      </c>
      <c r="J542" s="345"/>
      <c r="K542" s="345">
        <f>IFERROR(Table15[[#This Row],[ROUTE $]]/Table15[[#This Row],[E - DEMAND]],0)</f>
        <v>0</v>
      </c>
      <c r="L542" s="204"/>
      <c r="M542" s="412">
        <f>IFERROR(VLOOKUP(Table15[[#This Row],[ROUTE]],DEMAND!A:F,5,FALSE),0)</f>
        <v>0</v>
      </c>
      <c r="N542" s="16">
        <f>IFERROR(VLOOKUP(Table15[[#This Row],[ROUTE]],DEMAND!A:F,6,FALSE),0)</f>
        <v>0</v>
      </c>
      <c r="O542" s="16">
        <f>IFERROR(ROUNDDOWN(Table15[[#This Row],[R-DEMAND]]/1706,0),0)</f>
        <v>0</v>
      </c>
      <c r="P542" s="16">
        <f>IFERROR(Table15[[#This Row],[ADD ACC]]*Table15[[#This Row],[RT TIME 
(380-800)]],0)</f>
        <v>0</v>
      </c>
      <c r="Q542" s="415">
        <f>IFERROR(VLOOKUP(Table15[[#This Row],[ROUTE]],PRICING!A:B,2,FALSE),0)</f>
        <v>0</v>
      </c>
      <c r="R542" s="235">
        <f>IFERROR(Table15[[#This Row],[C_DEMAND]]-Table15[[#This Row],[R-DEMAND]],0)</f>
        <v>0</v>
      </c>
      <c r="S542" s="408">
        <f t="shared" si="8"/>
        <v>0</v>
      </c>
      <c r="T542" s="419">
        <f>Table15[[#This Row],[R-DEMAND]]-(Table15[[#This Row],[ADD ACC]]*1706)</f>
        <v>0</v>
      </c>
      <c r="U542" s="419">
        <f>ROUNDDOWN(Table15[[#This Row],[Column1]]/1360,0)</f>
        <v>0</v>
      </c>
      <c r="V542" s="419"/>
      <c r="W542" s="251">
        <v>15.25</v>
      </c>
      <c r="X542" s="251">
        <f>ROUNDDOWN(Table15[[#This Row],[R-DEMAND]]/1320,0)</f>
        <v>0</v>
      </c>
      <c r="Y542" s="251">
        <f>IFERROR(Table15[[#This Row],[ADD ACC
(660/1320)]]*Table15[[#This Row],[Duration
(B744)]],0)</f>
        <v>0</v>
      </c>
      <c r="Z542" s="251"/>
    </row>
    <row r="543" spans="1:26" ht="15.75" customHeight="1" x14ac:dyDescent="0.25">
      <c r="A543" s="210" t="s">
        <v>15585</v>
      </c>
      <c r="B543" s="204" t="s">
        <v>2870</v>
      </c>
      <c r="C543" s="204"/>
      <c r="D543" s="205">
        <v>2</v>
      </c>
      <c r="E543" s="204" t="s">
        <v>78</v>
      </c>
      <c r="F543" s="204" t="str">
        <f>VLOOKUP(E543,Table10[[COUNTRY NAME]:[CONTINENT CODE]],3,FALSE)</f>
        <v>EU</v>
      </c>
      <c r="G543" s="210" t="s">
        <v>11973</v>
      </c>
      <c r="H543" s="207">
        <v>5899</v>
      </c>
      <c r="I543" s="208">
        <v>15.25</v>
      </c>
      <c r="J543" s="345"/>
      <c r="K543" s="345">
        <f>IFERROR(Table15[[#This Row],[ROUTE $]]/Table15[[#This Row],[E - DEMAND]],0)</f>
        <v>0</v>
      </c>
      <c r="L543" s="204"/>
      <c r="M543" s="412">
        <f>IFERROR(VLOOKUP(Table15[[#This Row],[ROUTE]],DEMAND!A:F,5,FALSE),0)</f>
        <v>0</v>
      </c>
      <c r="N543" s="16">
        <f>IFERROR(VLOOKUP(Table15[[#This Row],[ROUTE]],DEMAND!A:F,6,FALSE),0)</f>
        <v>0</v>
      </c>
      <c r="O543" s="16">
        <f>IFERROR(ROUNDDOWN(Table15[[#This Row],[R-DEMAND]]/1706,0),0)</f>
        <v>0</v>
      </c>
      <c r="P543" s="16">
        <f>IFERROR(Table15[[#This Row],[ADD ACC]]*Table15[[#This Row],[RT TIME 
(380-800)]],0)</f>
        <v>0</v>
      </c>
      <c r="Q543" s="415">
        <f>IFERROR(VLOOKUP(Table15[[#This Row],[ROUTE]],PRICING!A:B,2,FALSE),0)</f>
        <v>0</v>
      </c>
      <c r="R543" s="235">
        <f>IFERROR(Table15[[#This Row],[C_DEMAND]]-Table15[[#This Row],[R-DEMAND]],0)</f>
        <v>0</v>
      </c>
      <c r="S543" s="408">
        <f t="shared" si="8"/>
        <v>0</v>
      </c>
      <c r="T543" s="419">
        <f>Table15[[#This Row],[R-DEMAND]]-(Table15[[#This Row],[ADD ACC]]*1706)</f>
        <v>0</v>
      </c>
      <c r="U543" s="419">
        <f>ROUNDDOWN(Table15[[#This Row],[Column1]]/1360,0)</f>
        <v>0</v>
      </c>
      <c r="V543" s="419"/>
      <c r="W543" s="251">
        <v>15.25</v>
      </c>
      <c r="X543" s="251">
        <f>ROUNDDOWN(Table15[[#This Row],[R-DEMAND]]/1320,0)</f>
        <v>0</v>
      </c>
      <c r="Y543" s="251">
        <f>IFERROR(Table15[[#This Row],[ADD ACC
(660/1320)]]*Table15[[#This Row],[Duration
(B744)]],0)</f>
        <v>0</v>
      </c>
      <c r="Z543" s="251"/>
    </row>
    <row r="544" spans="1:26" ht="15.75" customHeight="1" x14ac:dyDescent="0.25">
      <c r="A544" s="210" t="s">
        <v>15586</v>
      </c>
      <c r="B544" s="204" t="s">
        <v>3576</v>
      </c>
      <c r="C544" s="204"/>
      <c r="D544" s="205">
        <v>2</v>
      </c>
      <c r="E544" s="16" t="s">
        <v>11732</v>
      </c>
      <c r="F544" s="204" t="str">
        <f>VLOOKUP(E544,Table10[[COUNTRY NAME]:[CONTINENT CODE]],3,FALSE)</f>
        <v>NA - US</v>
      </c>
      <c r="G544" s="206" t="s">
        <v>11806</v>
      </c>
      <c r="H544" s="207">
        <v>5892</v>
      </c>
      <c r="I544" s="208">
        <v>15.25</v>
      </c>
      <c r="J544" s="345"/>
      <c r="K544" s="345">
        <f>IFERROR(Table15[[#This Row],[ROUTE $]]/Table15[[#This Row],[E - DEMAND]],0)</f>
        <v>0</v>
      </c>
      <c r="L544" s="204"/>
      <c r="M544" s="412">
        <f>IFERROR(VLOOKUP(Table15[[#This Row],[ROUTE]],DEMAND!A:F,5,FALSE),0)</f>
        <v>0</v>
      </c>
      <c r="N544" s="16">
        <f>IFERROR(VLOOKUP(Table15[[#This Row],[ROUTE]],DEMAND!A:F,6,FALSE),0)</f>
        <v>0</v>
      </c>
      <c r="O544" s="16">
        <f>IFERROR(ROUNDDOWN(Table15[[#This Row],[R-DEMAND]]/1706,0),0)</f>
        <v>0</v>
      </c>
      <c r="P544" s="16">
        <f>IFERROR(Table15[[#This Row],[ADD ACC]]*Table15[[#This Row],[RT TIME 
(380-800)]],0)</f>
        <v>0</v>
      </c>
      <c r="Q544" s="415">
        <f>IFERROR(VLOOKUP(Table15[[#This Row],[ROUTE]],PRICING!A:B,2,FALSE),0)</f>
        <v>0</v>
      </c>
      <c r="R544" s="235">
        <f>IFERROR(Table15[[#This Row],[C_DEMAND]]-Table15[[#This Row],[R-DEMAND]],0)</f>
        <v>0</v>
      </c>
      <c r="S544" s="408">
        <f t="shared" si="8"/>
        <v>0</v>
      </c>
      <c r="T544" s="419">
        <f>Table15[[#This Row],[R-DEMAND]]-(Table15[[#This Row],[ADD ACC]]*1706)</f>
        <v>0</v>
      </c>
      <c r="U544" s="419">
        <f>ROUNDDOWN(Table15[[#This Row],[Column1]]/1360,0)</f>
        <v>0</v>
      </c>
      <c r="V544" s="419"/>
      <c r="W544" s="251">
        <v>15.25</v>
      </c>
      <c r="X544" s="251">
        <f>ROUNDDOWN(Table15[[#This Row],[R-DEMAND]]/1320,0)</f>
        <v>0</v>
      </c>
      <c r="Y544" s="251">
        <f>IFERROR(Table15[[#This Row],[ADD ACC
(660/1320)]]*Table15[[#This Row],[Duration
(B744)]],0)</f>
        <v>0</v>
      </c>
      <c r="Z544" s="251"/>
    </row>
    <row r="545" spans="1:26" ht="15.75" customHeight="1" x14ac:dyDescent="0.25">
      <c r="A545" s="210" t="s">
        <v>15591</v>
      </c>
      <c r="B545" s="204" t="s">
        <v>5108</v>
      </c>
      <c r="C545" s="204"/>
      <c r="D545" s="205">
        <v>3</v>
      </c>
      <c r="E545" s="204" t="s">
        <v>142</v>
      </c>
      <c r="F545" s="204" t="str">
        <f>VLOOKUP(E545,Table10[[COUNTRY NAME]:[CONTINENT CODE]],3,FALSE)</f>
        <v>AS</v>
      </c>
      <c r="G545" s="206" t="s">
        <v>5107</v>
      </c>
      <c r="H545" s="207">
        <v>5835</v>
      </c>
      <c r="I545" s="208">
        <v>15</v>
      </c>
      <c r="J545" s="345"/>
      <c r="K545" s="345">
        <f>IFERROR(Table15[[#This Row],[ROUTE $]]/Table15[[#This Row],[E - DEMAND]],0)</f>
        <v>0</v>
      </c>
      <c r="L545" s="204"/>
      <c r="M545" s="412">
        <f>IFERROR(VLOOKUP(Table15[[#This Row],[ROUTE]],DEMAND!A:F,5,FALSE),0)</f>
        <v>0</v>
      </c>
      <c r="N545" s="16">
        <f>IFERROR(VLOOKUP(Table15[[#This Row],[ROUTE]],DEMAND!A:F,6,FALSE),0)</f>
        <v>0</v>
      </c>
      <c r="O545" s="16">
        <f>IFERROR(ROUNDDOWN(Table15[[#This Row],[R-DEMAND]]/1706,0),0)</f>
        <v>0</v>
      </c>
      <c r="P545" s="16">
        <f>IFERROR(Table15[[#This Row],[ADD ACC]]*Table15[[#This Row],[RT TIME 
(380-800)]],0)</f>
        <v>0</v>
      </c>
      <c r="Q545" s="415">
        <f>IFERROR(VLOOKUP(Table15[[#This Row],[ROUTE]],PRICING!A:B,2,FALSE),0)</f>
        <v>0</v>
      </c>
      <c r="R545" s="235">
        <f>IFERROR(Table15[[#This Row],[C_DEMAND]]-Table15[[#This Row],[R-DEMAND]],0)</f>
        <v>0</v>
      </c>
      <c r="S545" s="408">
        <f t="shared" si="8"/>
        <v>0</v>
      </c>
      <c r="T545" s="419">
        <f>Table15[[#This Row],[R-DEMAND]]-(Table15[[#This Row],[ADD ACC]]*1706)</f>
        <v>0</v>
      </c>
      <c r="U545" s="419">
        <f>ROUNDDOWN(Table15[[#This Row],[Column1]]/1360,0)</f>
        <v>0</v>
      </c>
      <c r="V545" s="419"/>
      <c r="W545" s="251">
        <v>15</v>
      </c>
      <c r="X545" s="251">
        <f>ROUNDDOWN(Table15[[#This Row],[R-DEMAND]]/1320,0)</f>
        <v>0</v>
      </c>
      <c r="Y545" s="251">
        <f>IFERROR(Table15[[#This Row],[ADD ACC
(660/1320)]]*Table15[[#This Row],[Duration
(B744)]],0)</f>
        <v>0</v>
      </c>
      <c r="Z545" s="251"/>
    </row>
    <row r="546" spans="1:26" ht="15.75" customHeight="1" x14ac:dyDescent="0.25">
      <c r="A546" s="210" t="s">
        <v>15593</v>
      </c>
      <c r="B546" s="204" t="s">
        <v>5255</v>
      </c>
      <c r="C546" s="204"/>
      <c r="D546" s="205">
        <v>3</v>
      </c>
      <c r="E546" s="204" t="s">
        <v>496</v>
      </c>
      <c r="F546" s="204" t="str">
        <f>VLOOKUP(E546,Table10[[COUNTRY NAME]:[CONTINENT CODE]],3,FALSE)</f>
        <v>EU</v>
      </c>
      <c r="G546" s="210" t="s">
        <v>11819</v>
      </c>
      <c r="H546" s="207">
        <v>5804</v>
      </c>
      <c r="I546" s="208">
        <v>15</v>
      </c>
      <c r="J546" s="345"/>
      <c r="K546" s="345">
        <f>IFERROR(Table15[[#This Row],[ROUTE $]]/Table15[[#This Row],[E - DEMAND]],0)</f>
        <v>0</v>
      </c>
      <c r="L546" s="204"/>
      <c r="M546" s="412">
        <f>IFERROR(VLOOKUP(Table15[[#This Row],[ROUTE]],DEMAND!A:F,5,FALSE),0)</f>
        <v>0</v>
      </c>
      <c r="N546" s="16">
        <f>IFERROR(VLOOKUP(Table15[[#This Row],[ROUTE]],DEMAND!A:F,6,FALSE),0)</f>
        <v>0</v>
      </c>
      <c r="O546" s="16">
        <f>IFERROR(ROUNDDOWN(Table15[[#This Row],[R-DEMAND]]/1706,0),0)</f>
        <v>0</v>
      </c>
      <c r="P546" s="16">
        <f>IFERROR(Table15[[#This Row],[ADD ACC]]*Table15[[#This Row],[RT TIME 
(380-800)]],0)</f>
        <v>0</v>
      </c>
      <c r="Q546" s="415">
        <f>IFERROR(VLOOKUP(Table15[[#This Row],[ROUTE]],PRICING!A:B,2,FALSE),0)</f>
        <v>0</v>
      </c>
      <c r="R546" s="235">
        <f>IFERROR(Table15[[#This Row],[C_DEMAND]]-Table15[[#This Row],[R-DEMAND]],0)</f>
        <v>0</v>
      </c>
      <c r="S546" s="408">
        <f t="shared" si="8"/>
        <v>0</v>
      </c>
      <c r="T546" s="419">
        <f>Table15[[#This Row],[R-DEMAND]]-(Table15[[#This Row],[ADD ACC]]*1706)</f>
        <v>0</v>
      </c>
      <c r="U546" s="419">
        <f>ROUNDDOWN(Table15[[#This Row],[Column1]]/1360,0)</f>
        <v>0</v>
      </c>
      <c r="V546" s="419"/>
      <c r="W546" s="251">
        <v>15</v>
      </c>
      <c r="X546" s="251">
        <f>ROUNDDOWN(Table15[[#This Row],[R-DEMAND]]/1320,0)</f>
        <v>0</v>
      </c>
      <c r="Y546" s="251">
        <f>IFERROR(Table15[[#This Row],[ADD ACC
(660/1320)]]*Table15[[#This Row],[Duration
(B744)]],0)</f>
        <v>0</v>
      </c>
      <c r="Z546" s="251"/>
    </row>
    <row r="547" spans="1:26" ht="15.75" customHeight="1" x14ac:dyDescent="0.25">
      <c r="A547" s="210" t="s">
        <v>15589</v>
      </c>
      <c r="B547" s="204" t="s">
        <v>5061</v>
      </c>
      <c r="C547" s="204"/>
      <c r="D547" s="205">
        <v>3</v>
      </c>
      <c r="E547" s="204" t="s">
        <v>758</v>
      </c>
      <c r="F547" s="204" t="str">
        <f>VLOOKUP(E547,Table10[[COUNTRY NAME]:[CONTINENT CODE]],3,FALSE)</f>
        <v>EU</v>
      </c>
      <c r="G547" s="210" t="s">
        <v>11808</v>
      </c>
      <c r="H547" s="207">
        <v>5849</v>
      </c>
      <c r="I547" s="208">
        <v>15</v>
      </c>
      <c r="J547" s="345"/>
      <c r="K547" s="345">
        <f>IFERROR(Table15[[#This Row],[ROUTE $]]/Table15[[#This Row],[E - DEMAND]],0)</f>
        <v>0</v>
      </c>
      <c r="L547" s="204"/>
      <c r="M547" s="412">
        <f>IFERROR(VLOOKUP(Table15[[#This Row],[ROUTE]],DEMAND!A:F,5,FALSE),0)</f>
        <v>0</v>
      </c>
      <c r="N547" s="16">
        <f>IFERROR(VLOOKUP(Table15[[#This Row],[ROUTE]],DEMAND!A:F,6,FALSE),0)</f>
        <v>0</v>
      </c>
      <c r="O547" s="16">
        <f>IFERROR(ROUNDDOWN(Table15[[#This Row],[R-DEMAND]]/1706,0),0)</f>
        <v>0</v>
      </c>
      <c r="P547" s="16">
        <f>IFERROR(Table15[[#This Row],[ADD ACC]]*Table15[[#This Row],[RT TIME 
(380-800)]],0)</f>
        <v>0</v>
      </c>
      <c r="Q547" s="415">
        <f>IFERROR(VLOOKUP(Table15[[#This Row],[ROUTE]],PRICING!A:B,2,FALSE),0)</f>
        <v>0</v>
      </c>
      <c r="R547" s="235">
        <f>IFERROR(Table15[[#This Row],[C_DEMAND]]-Table15[[#This Row],[R-DEMAND]],0)</f>
        <v>0</v>
      </c>
      <c r="S547" s="408">
        <f t="shared" si="8"/>
        <v>0</v>
      </c>
      <c r="T547" s="419">
        <f>Table15[[#This Row],[R-DEMAND]]-(Table15[[#This Row],[ADD ACC]]*1706)</f>
        <v>0</v>
      </c>
      <c r="U547" s="419">
        <f>ROUNDDOWN(Table15[[#This Row],[Column1]]/1360,0)</f>
        <v>0</v>
      </c>
      <c r="V547" s="419"/>
      <c r="W547" s="251">
        <v>15</v>
      </c>
      <c r="X547" s="251">
        <f>ROUNDDOWN(Table15[[#This Row],[R-DEMAND]]/1320,0)</f>
        <v>0</v>
      </c>
      <c r="Y547" s="251">
        <f>IFERROR(Table15[[#This Row],[ADD ACC
(660/1320)]]*Table15[[#This Row],[Duration
(B744)]],0)</f>
        <v>0</v>
      </c>
      <c r="Z547" s="251"/>
    </row>
    <row r="548" spans="1:26" ht="15.75" customHeight="1" x14ac:dyDescent="0.25">
      <c r="A548" s="210" t="s">
        <v>15597</v>
      </c>
      <c r="B548" s="204" t="s">
        <v>3626</v>
      </c>
      <c r="C548" s="204"/>
      <c r="D548" s="205">
        <v>2</v>
      </c>
      <c r="E548" s="204" t="s">
        <v>78</v>
      </c>
      <c r="F548" s="204" t="str">
        <f>VLOOKUP(E548,Table10[[COUNTRY NAME]:[CONTINENT CODE]],3,FALSE)</f>
        <v>EU</v>
      </c>
      <c r="G548" s="210" t="s">
        <v>11932</v>
      </c>
      <c r="H548" s="207">
        <v>5762</v>
      </c>
      <c r="I548" s="208">
        <v>15</v>
      </c>
      <c r="J548" s="345"/>
      <c r="K548" s="345">
        <f>IFERROR(Table15[[#This Row],[ROUTE $]]/Table15[[#This Row],[E - DEMAND]],0)</f>
        <v>0</v>
      </c>
      <c r="L548" s="204"/>
      <c r="M548" s="412">
        <f>IFERROR(VLOOKUP(Table15[[#This Row],[ROUTE]],DEMAND!A:F,5,FALSE),0)</f>
        <v>0</v>
      </c>
      <c r="N548" s="16">
        <f>IFERROR(VLOOKUP(Table15[[#This Row],[ROUTE]],DEMAND!A:F,6,FALSE),0)</f>
        <v>0</v>
      </c>
      <c r="O548" s="16">
        <f>IFERROR(ROUNDDOWN(Table15[[#This Row],[R-DEMAND]]/1706,0),0)</f>
        <v>0</v>
      </c>
      <c r="P548" s="16">
        <f>IFERROR(Table15[[#This Row],[ADD ACC]]*Table15[[#This Row],[RT TIME 
(380-800)]],0)</f>
        <v>0</v>
      </c>
      <c r="Q548" s="415">
        <f>IFERROR(VLOOKUP(Table15[[#This Row],[ROUTE]],PRICING!A:B,2,FALSE),0)</f>
        <v>0</v>
      </c>
      <c r="R548" s="235">
        <f>IFERROR(Table15[[#This Row],[C_DEMAND]]-Table15[[#This Row],[R-DEMAND]],0)</f>
        <v>0</v>
      </c>
      <c r="S548" s="408">
        <f t="shared" si="8"/>
        <v>0</v>
      </c>
      <c r="T548" s="419">
        <f>Table15[[#This Row],[R-DEMAND]]-(Table15[[#This Row],[ADD ACC]]*1706)</f>
        <v>0</v>
      </c>
      <c r="U548" s="419">
        <f>ROUNDDOWN(Table15[[#This Row],[Column1]]/1360,0)</f>
        <v>0</v>
      </c>
      <c r="V548" s="419"/>
      <c r="W548" s="251">
        <v>15</v>
      </c>
      <c r="X548" s="251">
        <f>ROUNDDOWN(Table15[[#This Row],[R-DEMAND]]/1320,0)</f>
        <v>0</v>
      </c>
      <c r="Y548" s="251">
        <f>IFERROR(Table15[[#This Row],[ADD ACC
(660/1320)]]*Table15[[#This Row],[Duration
(B744)]],0)</f>
        <v>0</v>
      </c>
      <c r="Z548" s="251"/>
    </row>
    <row r="549" spans="1:26" ht="15.75" customHeight="1" x14ac:dyDescent="0.25">
      <c r="A549" s="210" t="s">
        <v>15594</v>
      </c>
      <c r="B549" s="204" t="s">
        <v>510</v>
      </c>
      <c r="C549" s="204"/>
      <c r="D549" s="205">
        <v>1</v>
      </c>
      <c r="E549" s="204" t="s">
        <v>508</v>
      </c>
      <c r="F549" s="204" t="str">
        <f>VLOOKUP(E549,Table10[[COUNTRY NAME]:[CONTINENT CODE]],3,FALSE)</f>
        <v>EU</v>
      </c>
      <c r="G549" s="210" t="s">
        <v>11816</v>
      </c>
      <c r="H549" s="207">
        <v>5788</v>
      </c>
      <c r="I549" s="208">
        <v>15</v>
      </c>
      <c r="J549" s="345"/>
      <c r="K549" s="345">
        <f>IFERROR(Table15[[#This Row],[ROUTE $]]/Table15[[#This Row],[E - DEMAND]],0)</f>
        <v>0</v>
      </c>
      <c r="L549" s="204"/>
      <c r="M549" s="412">
        <f>IFERROR(VLOOKUP(Table15[[#This Row],[ROUTE]],DEMAND!A:F,5,FALSE),0)</f>
        <v>0</v>
      </c>
      <c r="N549" s="16">
        <f>IFERROR(VLOOKUP(Table15[[#This Row],[ROUTE]],DEMAND!A:F,6,FALSE),0)</f>
        <v>0</v>
      </c>
      <c r="O549" s="16">
        <f>IFERROR(ROUNDDOWN(Table15[[#This Row],[R-DEMAND]]/1706,0),0)</f>
        <v>0</v>
      </c>
      <c r="P549" s="16">
        <f>IFERROR(Table15[[#This Row],[ADD ACC]]*Table15[[#This Row],[RT TIME 
(380-800)]],0)</f>
        <v>0</v>
      </c>
      <c r="Q549" s="415">
        <f>IFERROR(VLOOKUP(Table15[[#This Row],[ROUTE]],PRICING!A:B,2,FALSE),0)</f>
        <v>0</v>
      </c>
      <c r="R549" s="235">
        <f>IFERROR(Table15[[#This Row],[C_DEMAND]]-Table15[[#This Row],[R-DEMAND]],0)</f>
        <v>0</v>
      </c>
      <c r="S549" s="408">
        <f t="shared" si="8"/>
        <v>0</v>
      </c>
      <c r="T549" s="419">
        <f>Table15[[#This Row],[R-DEMAND]]-(Table15[[#This Row],[ADD ACC]]*1706)</f>
        <v>0</v>
      </c>
      <c r="U549" s="419">
        <f>ROUNDDOWN(Table15[[#This Row],[Column1]]/1360,0)</f>
        <v>0</v>
      </c>
      <c r="V549" s="419"/>
      <c r="W549" s="251">
        <v>15</v>
      </c>
      <c r="X549" s="251">
        <f>ROUNDDOWN(Table15[[#This Row],[R-DEMAND]]/1320,0)</f>
        <v>0</v>
      </c>
      <c r="Y549" s="251">
        <f>IFERROR(Table15[[#This Row],[ADD ACC
(660/1320)]]*Table15[[#This Row],[Duration
(B744)]],0)</f>
        <v>0</v>
      </c>
      <c r="Z549" s="251"/>
    </row>
    <row r="550" spans="1:26" ht="15.75" customHeight="1" x14ac:dyDescent="0.25">
      <c r="A550" s="210" t="s">
        <v>15604</v>
      </c>
      <c r="B550" s="204" t="s">
        <v>3876</v>
      </c>
      <c r="C550" s="204"/>
      <c r="D550" s="205">
        <v>2</v>
      </c>
      <c r="E550" s="204" t="s">
        <v>78</v>
      </c>
      <c r="F550" s="204" t="str">
        <f>VLOOKUP(E550,Table10[[COUNTRY NAME]:[CONTINENT CODE]],3,FALSE)</f>
        <v>EU</v>
      </c>
      <c r="G550" s="210" t="s">
        <v>11895</v>
      </c>
      <c r="H550" s="207">
        <v>5673</v>
      </c>
      <c r="I550" s="208">
        <v>14.75</v>
      </c>
      <c r="J550" s="345"/>
      <c r="K550" s="345">
        <f>IFERROR(Table15[[#This Row],[ROUTE $]]/Table15[[#This Row],[E - DEMAND]],0)</f>
        <v>0</v>
      </c>
      <c r="L550" s="204"/>
      <c r="M550" s="412">
        <f>IFERROR(VLOOKUP(Table15[[#This Row],[ROUTE]],DEMAND!A:F,5,FALSE),0)</f>
        <v>0</v>
      </c>
      <c r="N550" s="16">
        <f>IFERROR(VLOOKUP(Table15[[#This Row],[ROUTE]],DEMAND!A:F,6,FALSE),0)</f>
        <v>0</v>
      </c>
      <c r="O550" s="16">
        <f>IFERROR(ROUNDDOWN(Table15[[#This Row],[R-DEMAND]]/1706,0),0)</f>
        <v>0</v>
      </c>
      <c r="P550" s="16">
        <f>IFERROR(Table15[[#This Row],[ADD ACC]]*Table15[[#This Row],[RT TIME 
(380-800)]],0)</f>
        <v>0</v>
      </c>
      <c r="Q550" s="415">
        <f>IFERROR(VLOOKUP(Table15[[#This Row],[ROUTE]],PRICING!A:B,2,FALSE),0)</f>
        <v>0</v>
      </c>
      <c r="R550" s="235">
        <f>IFERROR(Table15[[#This Row],[C_DEMAND]]-Table15[[#This Row],[R-DEMAND]],0)</f>
        <v>0</v>
      </c>
      <c r="S550" s="408">
        <f t="shared" si="8"/>
        <v>0</v>
      </c>
      <c r="T550" s="419">
        <f>Table15[[#This Row],[R-DEMAND]]-(Table15[[#This Row],[ADD ACC]]*1706)</f>
        <v>0</v>
      </c>
      <c r="U550" s="419">
        <f>ROUNDDOWN(Table15[[#This Row],[Column1]]/1360,0)</f>
        <v>0</v>
      </c>
      <c r="V550" s="419"/>
      <c r="W550" s="251">
        <v>14.75</v>
      </c>
      <c r="X550" s="251">
        <f>ROUNDDOWN(Table15[[#This Row],[R-DEMAND]]/1320,0)</f>
        <v>0</v>
      </c>
      <c r="Y550" s="251">
        <f>IFERROR(Table15[[#This Row],[ADD ACC
(660/1320)]]*Table15[[#This Row],[Duration
(B744)]],0)</f>
        <v>0</v>
      </c>
      <c r="Z550" s="251"/>
    </row>
    <row r="551" spans="1:26" ht="15.75" customHeight="1" x14ac:dyDescent="0.25">
      <c r="A551" s="210" t="s">
        <v>15602</v>
      </c>
      <c r="B551" s="204" t="s">
        <v>3999</v>
      </c>
      <c r="C551" s="204"/>
      <c r="D551" s="205">
        <v>0</v>
      </c>
      <c r="E551" s="204" t="s">
        <v>508</v>
      </c>
      <c r="F551" s="204" t="str">
        <f>VLOOKUP(E551,Table10[[COUNTRY NAME]:[CONTINENT CODE]],3,FALSE)</f>
        <v>EU</v>
      </c>
      <c r="G551" s="210" t="s">
        <v>11822</v>
      </c>
      <c r="H551" s="207">
        <v>5705</v>
      </c>
      <c r="I551" s="208">
        <v>14.75</v>
      </c>
      <c r="J551" s="345"/>
      <c r="K551" s="345">
        <f>IFERROR(Table15[[#This Row],[ROUTE $]]/Table15[[#This Row],[E - DEMAND]],0)</f>
        <v>0</v>
      </c>
      <c r="L551" s="204"/>
      <c r="M551" s="412">
        <f>IFERROR(VLOOKUP(Table15[[#This Row],[ROUTE]],DEMAND!A:F,5,FALSE),0)</f>
        <v>0</v>
      </c>
      <c r="N551" s="16">
        <f>IFERROR(VLOOKUP(Table15[[#This Row],[ROUTE]],DEMAND!A:F,6,FALSE),0)</f>
        <v>0</v>
      </c>
      <c r="O551" s="16">
        <f>IFERROR(ROUNDDOWN(Table15[[#This Row],[R-DEMAND]]/1706,0),0)</f>
        <v>0</v>
      </c>
      <c r="P551" s="16">
        <f>IFERROR(Table15[[#This Row],[ADD ACC]]*Table15[[#This Row],[RT TIME 
(380-800)]],0)</f>
        <v>0</v>
      </c>
      <c r="Q551" s="415">
        <f>IFERROR(VLOOKUP(Table15[[#This Row],[ROUTE]],PRICING!A:B,2,FALSE),0)</f>
        <v>0</v>
      </c>
      <c r="R551" s="235">
        <f>IFERROR(Table15[[#This Row],[C_DEMAND]]-Table15[[#This Row],[R-DEMAND]],0)</f>
        <v>0</v>
      </c>
      <c r="S551" s="408">
        <f t="shared" si="8"/>
        <v>0</v>
      </c>
      <c r="T551" s="419">
        <f>Table15[[#This Row],[R-DEMAND]]-(Table15[[#This Row],[ADD ACC]]*1706)</f>
        <v>0</v>
      </c>
      <c r="U551" s="419">
        <f>ROUNDDOWN(Table15[[#This Row],[Column1]]/1360,0)</f>
        <v>0</v>
      </c>
      <c r="V551" s="419"/>
      <c r="W551" s="251">
        <v>14.75</v>
      </c>
      <c r="X551" s="251">
        <f>ROUNDDOWN(Table15[[#This Row],[R-DEMAND]]/1320,0)</f>
        <v>0</v>
      </c>
      <c r="Y551" s="251">
        <f>IFERROR(Table15[[#This Row],[ADD ACC
(660/1320)]]*Table15[[#This Row],[Duration
(B744)]],0)</f>
        <v>0</v>
      </c>
      <c r="Z551" s="251"/>
    </row>
    <row r="552" spans="1:26" ht="15.75" customHeight="1" x14ac:dyDescent="0.25">
      <c r="A552" s="210" t="s">
        <v>15611</v>
      </c>
      <c r="B552" s="204" t="s">
        <v>5110</v>
      </c>
      <c r="C552" s="204"/>
      <c r="D552" s="205">
        <v>3</v>
      </c>
      <c r="E552" s="204" t="s">
        <v>1683</v>
      </c>
      <c r="F552" s="204" t="str">
        <f>VLOOKUP(E552,Table10[[COUNTRY NAME]:[CONTINENT CODE]],3,FALSE)</f>
        <v>EU</v>
      </c>
      <c r="G552" s="210" t="s">
        <v>11813</v>
      </c>
      <c r="H552" s="207">
        <v>5600</v>
      </c>
      <c r="I552" s="208">
        <v>14.5</v>
      </c>
      <c r="J552" s="345"/>
      <c r="K552" s="345">
        <f>IFERROR(Table15[[#This Row],[ROUTE $]]/Table15[[#This Row],[E - DEMAND]],0)</f>
        <v>0</v>
      </c>
      <c r="L552" s="204"/>
      <c r="M552" s="412">
        <f>IFERROR(VLOOKUP(Table15[[#This Row],[ROUTE]],DEMAND!A:F,5,FALSE),0)</f>
        <v>0</v>
      </c>
      <c r="N552" s="16">
        <f>IFERROR(VLOOKUP(Table15[[#This Row],[ROUTE]],DEMAND!A:F,6,FALSE),0)</f>
        <v>0</v>
      </c>
      <c r="O552" s="16">
        <f>IFERROR(ROUNDDOWN(Table15[[#This Row],[R-DEMAND]]/1706,0),0)</f>
        <v>0</v>
      </c>
      <c r="P552" s="16">
        <f>IFERROR(Table15[[#This Row],[ADD ACC]]*Table15[[#This Row],[RT TIME 
(380-800)]],0)</f>
        <v>0</v>
      </c>
      <c r="Q552" s="415">
        <f>IFERROR(VLOOKUP(Table15[[#This Row],[ROUTE]],PRICING!A:B,2,FALSE),0)</f>
        <v>0</v>
      </c>
      <c r="R552" s="235">
        <f>IFERROR(Table15[[#This Row],[C_DEMAND]]-Table15[[#This Row],[R-DEMAND]],0)</f>
        <v>0</v>
      </c>
      <c r="S552" s="408">
        <f t="shared" si="8"/>
        <v>0</v>
      </c>
      <c r="T552" s="419">
        <f>Table15[[#This Row],[R-DEMAND]]-(Table15[[#This Row],[ADD ACC]]*1706)</f>
        <v>0</v>
      </c>
      <c r="U552" s="419">
        <f>ROUNDDOWN(Table15[[#This Row],[Column1]]/1360,0)</f>
        <v>0</v>
      </c>
      <c r="V552" s="419"/>
      <c r="W552" s="251">
        <v>14.5</v>
      </c>
      <c r="X552" s="251">
        <f>ROUNDDOWN(Table15[[#This Row],[R-DEMAND]]/1320,0)</f>
        <v>0</v>
      </c>
      <c r="Y552" s="251">
        <f>IFERROR(Table15[[#This Row],[ADD ACC
(660/1320)]]*Table15[[#This Row],[Duration
(B744)]],0)</f>
        <v>0</v>
      </c>
      <c r="Z552" s="251"/>
    </row>
    <row r="553" spans="1:26" ht="15.75" customHeight="1" x14ac:dyDescent="0.25">
      <c r="A553" s="210" t="s">
        <v>15609</v>
      </c>
      <c r="B553" s="204" t="s">
        <v>3295</v>
      </c>
      <c r="C553" s="204"/>
      <c r="D553" s="205">
        <v>2</v>
      </c>
      <c r="E553" s="204" t="s">
        <v>3293</v>
      </c>
      <c r="F553" s="204" t="str">
        <f>VLOOKUP(E553,Table10[[COUNTRY NAME]:[CONTINENT CODE]],3,FALSE)</f>
        <v>AF</v>
      </c>
      <c r="G553" s="206" t="s">
        <v>11917</v>
      </c>
      <c r="H553" s="207">
        <v>5630</v>
      </c>
      <c r="I553" s="208">
        <v>14.5</v>
      </c>
      <c r="J553" s="345"/>
      <c r="K553" s="345">
        <f>IFERROR(Table15[[#This Row],[ROUTE $]]/Table15[[#This Row],[E - DEMAND]],0)</f>
        <v>0</v>
      </c>
      <c r="L553" s="204"/>
      <c r="M553" s="412">
        <f>IFERROR(VLOOKUP(Table15[[#This Row],[ROUTE]],DEMAND!A:F,5,FALSE),0)</f>
        <v>0</v>
      </c>
      <c r="N553" s="16">
        <f>IFERROR(VLOOKUP(Table15[[#This Row],[ROUTE]],DEMAND!A:F,6,FALSE),0)</f>
        <v>0</v>
      </c>
      <c r="O553" s="16">
        <f>IFERROR(ROUNDDOWN(Table15[[#This Row],[R-DEMAND]]/1706,0),0)</f>
        <v>0</v>
      </c>
      <c r="P553" s="16">
        <f>IFERROR(Table15[[#This Row],[ADD ACC]]*Table15[[#This Row],[RT TIME 
(380-800)]],0)</f>
        <v>0</v>
      </c>
      <c r="Q553" s="415">
        <f>IFERROR(VLOOKUP(Table15[[#This Row],[ROUTE]],PRICING!A:B,2,FALSE),0)</f>
        <v>0</v>
      </c>
      <c r="R553" s="235">
        <f>IFERROR(Table15[[#This Row],[C_DEMAND]]-Table15[[#This Row],[R-DEMAND]],0)</f>
        <v>0</v>
      </c>
      <c r="S553" s="408">
        <f t="shared" si="8"/>
        <v>0</v>
      </c>
      <c r="T553" s="419">
        <f>Table15[[#This Row],[R-DEMAND]]-(Table15[[#This Row],[ADD ACC]]*1706)</f>
        <v>0</v>
      </c>
      <c r="U553" s="419">
        <f>ROUNDDOWN(Table15[[#This Row],[Column1]]/1360,0)</f>
        <v>0</v>
      </c>
      <c r="V553" s="419"/>
      <c r="W553" s="251">
        <v>14.5</v>
      </c>
      <c r="X553" s="251">
        <f>ROUNDDOWN(Table15[[#This Row],[R-DEMAND]]/1320,0)</f>
        <v>0</v>
      </c>
      <c r="Y553" s="251">
        <f>IFERROR(Table15[[#This Row],[ADD ACC
(660/1320)]]*Table15[[#This Row],[Duration
(B744)]],0)</f>
        <v>0</v>
      </c>
      <c r="Z553" s="251"/>
    </row>
    <row r="554" spans="1:26" ht="15.75" customHeight="1" x14ac:dyDescent="0.25">
      <c r="A554" s="210" t="s">
        <v>15608</v>
      </c>
      <c r="B554" s="204" t="s">
        <v>3597</v>
      </c>
      <c r="C554" s="204"/>
      <c r="D554" s="205">
        <v>2</v>
      </c>
      <c r="E554" s="204" t="s">
        <v>758</v>
      </c>
      <c r="F554" s="204" t="str">
        <f>VLOOKUP(E554,Table10[[COUNTRY NAME]:[CONTINENT CODE]],3,FALSE)</f>
        <v>EU</v>
      </c>
      <c r="G554" s="210" t="s">
        <v>11817</v>
      </c>
      <c r="H554" s="207">
        <v>5637</v>
      </c>
      <c r="I554" s="208">
        <v>14.5</v>
      </c>
      <c r="J554" s="345"/>
      <c r="K554" s="345">
        <f>IFERROR(Table15[[#This Row],[ROUTE $]]/Table15[[#This Row],[E - DEMAND]],0)</f>
        <v>0</v>
      </c>
      <c r="L554" s="204"/>
      <c r="M554" s="412">
        <f>IFERROR(VLOOKUP(Table15[[#This Row],[ROUTE]],DEMAND!A:F,5,FALSE),0)</f>
        <v>0</v>
      </c>
      <c r="N554" s="16">
        <f>IFERROR(VLOOKUP(Table15[[#This Row],[ROUTE]],DEMAND!A:F,6,FALSE),0)</f>
        <v>0</v>
      </c>
      <c r="O554" s="16">
        <f>IFERROR(ROUNDDOWN(Table15[[#This Row],[R-DEMAND]]/1706,0),0)</f>
        <v>0</v>
      </c>
      <c r="P554" s="16">
        <f>IFERROR(Table15[[#This Row],[ADD ACC]]*Table15[[#This Row],[RT TIME 
(380-800)]],0)</f>
        <v>0</v>
      </c>
      <c r="Q554" s="415">
        <f>IFERROR(VLOOKUP(Table15[[#This Row],[ROUTE]],PRICING!A:B,2,FALSE),0)</f>
        <v>0</v>
      </c>
      <c r="R554" s="235">
        <f>IFERROR(Table15[[#This Row],[C_DEMAND]]-Table15[[#This Row],[R-DEMAND]],0)</f>
        <v>0</v>
      </c>
      <c r="S554" s="408">
        <f t="shared" si="8"/>
        <v>0</v>
      </c>
      <c r="T554" s="419">
        <f>Table15[[#This Row],[R-DEMAND]]-(Table15[[#This Row],[ADD ACC]]*1706)</f>
        <v>0</v>
      </c>
      <c r="U554" s="419">
        <f>ROUNDDOWN(Table15[[#This Row],[Column1]]/1360,0)</f>
        <v>0</v>
      </c>
      <c r="V554" s="419"/>
      <c r="W554" s="251">
        <v>14.5</v>
      </c>
      <c r="X554" s="251">
        <f>ROUNDDOWN(Table15[[#This Row],[R-DEMAND]]/1320,0)</f>
        <v>0</v>
      </c>
      <c r="Y554" s="251">
        <f>IFERROR(Table15[[#This Row],[ADD ACC
(660/1320)]]*Table15[[#This Row],[Duration
(B744)]],0)</f>
        <v>0</v>
      </c>
      <c r="Z554" s="251"/>
    </row>
    <row r="555" spans="1:26" ht="15.75" customHeight="1" x14ac:dyDescent="0.25">
      <c r="A555" s="210" t="s">
        <v>15617</v>
      </c>
      <c r="B555" s="204" t="s">
        <v>4535</v>
      </c>
      <c r="C555" s="204"/>
      <c r="D555" s="205">
        <v>2</v>
      </c>
      <c r="E555" s="204" t="s">
        <v>1420</v>
      </c>
      <c r="F555" s="204" t="str">
        <f>VLOOKUP(E555,Table10[[COUNTRY NAME]:[CONTINENT CODE]],3,FALSE)</f>
        <v>EU</v>
      </c>
      <c r="G555" s="210" t="s">
        <v>11820</v>
      </c>
      <c r="H555" s="207">
        <v>5548</v>
      </c>
      <c r="I555" s="208">
        <v>14.5</v>
      </c>
      <c r="J555" s="345"/>
      <c r="K555" s="345">
        <f>IFERROR(Table15[[#This Row],[ROUTE $]]/Table15[[#This Row],[E - DEMAND]],0)</f>
        <v>0</v>
      </c>
      <c r="L555" s="204"/>
      <c r="M555" s="412">
        <f>IFERROR(VLOOKUP(Table15[[#This Row],[ROUTE]],DEMAND!A:F,5,FALSE),0)</f>
        <v>0</v>
      </c>
      <c r="N555" s="16">
        <f>IFERROR(VLOOKUP(Table15[[#This Row],[ROUTE]],DEMAND!A:F,6,FALSE),0)</f>
        <v>0</v>
      </c>
      <c r="O555" s="16">
        <f>IFERROR(ROUNDDOWN(Table15[[#This Row],[R-DEMAND]]/1706,0),0)</f>
        <v>0</v>
      </c>
      <c r="P555" s="16">
        <f>IFERROR(Table15[[#This Row],[ADD ACC]]*Table15[[#This Row],[RT TIME 
(380-800)]],0)</f>
        <v>0</v>
      </c>
      <c r="Q555" s="415">
        <f>IFERROR(VLOOKUP(Table15[[#This Row],[ROUTE]],PRICING!A:B,2,FALSE),0)</f>
        <v>0</v>
      </c>
      <c r="R555" s="235">
        <f>IFERROR(Table15[[#This Row],[C_DEMAND]]-Table15[[#This Row],[R-DEMAND]],0)</f>
        <v>0</v>
      </c>
      <c r="S555" s="408">
        <f t="shared" si="8"/>
        <v>0</v>
      </c>
      <c r="T555" s="419">
        <f>Table15[[#This Row],[R-DEMAND]]-(Table15[[#This Row],[ADD ACC]]*1706)</f>
        <v>0</v>
      </c>
      <c r="U555" s="419">
        <f>ROUNDDOWN(Table15[[#This Row],[Column1]]/1360,0)</f>
        <v>0</v>
      </c>
      <c r="V555" s="419"/>
      <c r="W555" s="251">
        <v>14.5</v>
      </c>
      <c r="X555" s="251">
        <f>ROUNDDOWN(Table15[[#This Row],[R-DEMAND]]/1320,0)</f>
        <v>0</v>
      </c>
      <c r="Y555" s="251">
        <f>IFERROR(Table15[[#This Row],[ADD ACC
(660/1320)]]*Table15[[#This Row],[Duration
(B744)]],0)</f>
        <v>0</v>
      </c>
      <c r="Z555" s="251"/>
    </row>
    <row r="556" spans="1:26" ht="15.75" customHeight="1" x14ac:dyDescent="0.25">
      <c r="A556" s="210" t="s">
        <v>15606</v>
      </c>
      <c r="B556" s="204" t="s">
        <v>4187</v>
      </c>
      <c r="C556" s="204"/>
      <c r="D556" s="205">
        <v>2</v>
      </c>
      <c r="E556" s="204" t="s">
        <v>659</v>
      </c>
      <c r="F556" s="204" t="str">
        <f>VLOOKUP(E556,Table10[[COUNTRY NAME]:[CONTINENT CODE]],3,FALSE)</f>
        <v>EU</v>
      </c>
      <c r="G556" s="210" t="s">
        <v>11814</v>
      </c>
      <c r="H556" s="207">
        <v>5642</v>
      </c>
      <c r="I556" s="208">
        <v>14.5</v>
      </c>
      <c r="J556" s="345"/>
      <c r="K556" s="345">
        <f>IFERROR(Table15[[#This Row],[ROUTE $]]/Table15[[#This Row],[E - DEMAND]],0)</f>
        <v>0</v>
      </c>
      <c r="L556" s="204"/>
      <c r="M556" s="412">
        <f>IFERROR(VLOOKUP(Table15[[#This Row],[ROUTE]],DEMAND!A:F,5,FALSE),0)</f>
        <v>0</v>
      </c>
      <c r="N556" s="16">
        <f>IFERROR(VLOOKUP(Table15[[#This Row],[ROUTE]],DEMAND!A:F,6,FALSE),0)</f>
        <v>0</v>
      </c>
      <c r="O556" s="16">
        <f>IFERROR(ROUNDDOWN(Table15[[#This Row],[R-DEMAND]]/1706,0),0)</f>
        <v>0</v>
      </c>
      <c r="P556" s="16">
        <f>IFERROR(Table15[[#This Row],[ADD ACC]]*Table15[[#This Row],[RT TIME 
(380-800)]],0)</f>
        <v>0</v>
      </c>
      <c r="Q556" s="415">
        <f>IFERROR(VLOOKUP(Table15[[#This Row],[ROUTE]],PRICING!A:B,2,FALSE),0)</f>
        <v>0</v>
      </c>
      <c r="R556" s="235">
        <f>IFERROR(Table15[[#This Row],[C_DEMAND]]-Table15[[#This Row],[R-DEMAND]],0)</f>
        <v>0</v>
      </c>
      <c r="S556" s="408">
        <f t="shared" si="8"/>
        <v>0</v>
      </c>
      <c r="T556" s="419">
        <f>Table15[[#This Row],[R-DEMAND]]-(Table15[[#This Row],[ADD ACC]]*1706)</f>
        <v>0</v>
      </c>
      <c r="U556" s="419">
        <f>ROUNDDOWN(Table15[[#This Row],[Column1]]/1360,0)</f>
        <v>0</v>
      </c>
      <c r="V556" s="419"/>
      <c r="W556" s="251">
        <v>14.5</v>
      </c>
      <c r="X556" s="251">
        <f>ROUNDDOWN(Table15[[#This Row],[R-DEMAND]]/1320,0)</f>
        <v>0</v>
      </c>
      <c r="Y556" s="251">
        <f>IFERROR(Table15[[#This Row],[ADD ACC
(660/1320)]]*Table15[[#This Row],[Duration
(B744)]],0)</f>
        <v>0</v>
      </c>
      <c r="Z556" s="251"/>
    </row>
    <row r="557" spans="1:26" ht="15.75" customHeight="1" x14ac:dyDescent="0.25">
      <c r="A557" s="210" t="s">
        <v>15613</v>
      </c>
      <c r="B557" s="204" t="s">
        <v>3339</v>
      </c>
      <c r="C557" s="204"/>
      <c r="D557" s="205">
        <v>2</v>
      </c>
      <c r="E557" s="16" t="s">
        <v>11732</v>
      </c>
      <c r="F557" s="204" t="str">
        <f>VLOOKUP(E557,Table10[[COUNTRY NAME]:[CONTINENT CODE]],3,FALSE)</f>
        <v>NA - US</v>
      </c>
      <c r="G557" s="206" t="s">
        <v>11859</v>
      </c>
      <c r="H557" s="207">
        <v>5577</v>
      </c>
      <c r="I557" s="208">
        <v>14.5</v>
      </c>
      <c r="J557" s="345"/>
      <c r="K557" s="345">
        <f>IFERROR(Table15[[#This Row],[ROUTE $]]/Table15[[#This Row],[E - DEMAND]],0)</f>
        <v>0</v>
      </c>
      <c r="L557" s="204"/>
      <c r="M557" s="412">
        <f>IFERROR(VLOOKUP(Table15[[#This Row],[ROUTE]],DEMAND!A:F,5,FALSE),0)</f>
        <v>0</v>
      </c>
      <c r="N557" s="16">
        <f>IFERROR(VLOOKUP(Table15[[#This Row],[ROUTE]],DEMAND!A:F,6,FALSE),0)</f>
        <v>0</v>
      </c>
      <c r="O557" s="16">
        <f>IFERROR(ROUNDDOWN(Table15[[#This Row],[R-DEMAND]]/1706,0),0)</f>
        <v>0</v>
      </c>
      <c r="P557" s="16">
        <f>IFERROR(Table15[[#This Row],[ADD ACC]]*Table15[[#This Row],[RT TIME 
(380-800)]],0)</f>
        <v>0</v>
      </c>
      <c r="Q557" s="415">
        <f>IFERROR(VLOOKUP(Table15[[#This Row],[ROUTE]],PRICING!A:B,2,FALSE),0)</f>
        <v>0</v>
      </c>
      <c r="R557" s="235">
        <f>IFERROR(Table15[[#This Row],[C_DEMAND]]-Table15[[#This Row],[R-DEMAND]],0)</f>
        <v>0</v>
      </c>
      <c r="S557" s="408">
        <f t="shared" si="8"/>
        <v>0</v>
      </c>
      <c r="T557" s="419">
        <f>Table15[[#This Row],[R-DEMAND]]-(Table15[[#This Row],[ADD ACC]]*1706)</f>
        <v>0</v>
      </c>
      <c r="U557" s="419">
        <f>ROUNDDOWN(Table15[[#This Row],[Column1]]/1360,0)</f>
        <v>0</v>
      </c>
      <c r="V557" s="419"/>
      <c r="W557" s="251">
        <v>14.5</v>
      </c>
      <c r="X557" s="251">
        <f>ROUNDDOWN(Table15[[#This Row],[R-DEMAND]]/1320,0)</f>
        <v>0</v>
      </c>
      <c r="Y557" s="251">
        <f>IFERROR(Table15[[#This Row],[ADD ACC
(660/1320)]]*Table15[[#This Row],[Duration
(B744)]],0)</f>
        <v>0</v>
      </c>
      <c r="Z557" s="251"/>
    </row>
    <row r="558" spans="1:26" ht="15.75" customHeight="1" x14ac:dyDescent="0.25">
      <c r="A558" s="210" t="s">
        <v>15623</v>
      </c>
      <c r="B558" s="204" t="s">
        <v>4572</v>
      </c>
      <c r="C558" s="204"/>
      <c r="D558" s="205">
        <v>2</v>
      </c>
      <c r="E558" s="204" t="s">
        <v>1959</v>
      </c>
      <c r="F558" s="204" t="str">
        <f>VLOOKUP(E558,Table10[[COUNTRY NAME]:[CONTINENT CODE]],3,FALSE)</f>
        <v>EU</v>
      </c>
      <c r="G558" s="210" t="s">
        <v>11833</v>
      </c>
      <c r="H558" s="207">
        <v>5423</v>
      </c>
      <c r="I558" s="208">
        <v>14.25</v>
      </c>
      <c r="J558" s="345"/>
      <c r="K558" s="345">
        <f>IFERROR(Table15[[#This Row],[ROUTE $]]/Table15[[#This Row],[E - DEMAND]],0)</f>
        <v>0</v>
      </c>
      <c r="L558" s="204"/>
      <c r="M558" s="412">
        <f>IFERROR(VLOOKUP(Table15[[#This Row],[ROUTE]],DEMAND!A:F,5,FALSE),0)</f>
        <v>0</v>
      </c>
      <c r="N558" s="16">
        <f>IFERROR(VLOOKUP(Table15[[#This Row],[ROUTE]],DEMAND!A:F,6,FALSE),0)</f>
        <v>0</v>
      </c>
      <c r="O558" s="16">
        <f>IFERROR(ROUNDDOWN(Table15[[#This Row],[R-DEMAND]]/1706,0),0)</f>
        <v>0</v>
      </c>
      <c r="P558" s="16">
        <f>IFERROR(Table15[[#This Row],[ADD ACC]]*Table15[[#This Row],[RT TIME 
(380-800)]],0)</f>
        <v>0</v>
      </c>
      <c r="Q558" s="415">
        <f>IFERROR(VLOOKUP(Table15[[#This Row],[ROUTE]],PRICING!A:B,2,FALSE),0)</f>
        <v>0</v>
      </c>
      <c r="R558" s="235">
        <f>IFERROR(Table15[[#This Row],[C_DEMAND]]-Table15[[#This Row],[R-DEMAND]],0)</f>
        <v>0</v>
      </c>
      <c r="S558" s="408">
        <f t="shared" si="8"/>
        <v>0</v>
      </c>
      <c r="T558" s="419">
        <f>Table15[[#This Row],[R-DEMAND]]-(Table15[[#This Row],[ADD ACC]]*1706)</f>
        <v>0</v>
      </c>
      <c r="U558" s="419">
        <f>ROUNDDOWN(Table15[[#This Row],[Column1]]/1360,0)</f>
        <v>0</v>
      </c>
      <c r="V558" s="419"/>
      <c r="W558" s="251">
        <v>14.25</v>
      </c>
      <c r="X558" s="251">
        <f>ROUNDDOWN(Table15[[#This Row],[R-DEMAND]]/1320,0)</f>
        <v>0</v>
      </c>
      <c r="Y558" s="251">
        <f>IFERROR(Table15[[#This Row],[ADD ACC
(660/1320)]]*Table15[[#This Row],[Duration
(B744)]],0)</f>
        <v>0</v>
      </c>
      <c r="Z558" s="251"/>
    </row>
    <row r="559" spans="1:26" ht="15.75" customHeight="1" x14ac:dyDescent="0.25">
      <c r="A559" s="210" t="s">
        <v>15621</v>
      </c>
      <c r="B559" s="204" t="s">
        <v>2893</v>
      </c>
      <c r="C559" s="204"/>
      <c r="D559" s="205">
        <v>2</v>
      </c>
      <c r="E559" s="204" t="s">
        <v>2891</v>
      </c>
      <c r="F559" s="204" t="str">
        <f>VLOOKUP(E559,Table10[[COUNTRY NAME]:[CONTINENT CODE]],3,FALSE)</f>
        <v>AS</v>
      </c>
      <c r="G559" s="206" t="s">
        <v>12016</v>
      </c>
      <c r="H559" s="207">
        <v>5506</v>
      </c>
      <c r="I559" s="208">
        <v>14.25</v>
      </c>
      <c r="J559" s="345"/>
      <c r="K559" s="345">
        <f>IFERROR(Table15[[#This Row],[ROUTE $]]/Table15[[#This Row],[E - DEMAND]],0)</f>
        <v>0</v>
      </c>
      <c r="L559" s="204"/>
      <c r="M559" s="412">
        <f>IFERROR(VLOOKUP(Table15[[#This Row],[ROUTE]],DEMAND!A:F,5,FALSE),0)</f>
        <v>0</v>
      </c>
      <c r="N559" s="16">
        <f>IFERROR(VLOOKUP(Table15[[#This Row],[ROUTE]],DEMAND!A:F,6,FALSE),0)</f>
        <v>0</v>
      </c>
      <c r="O559" s="16">
        <f>IFERROR(ROUNDDOWN(Table15[[#This Row],[R-DEMAND]]/1706,0),0)</f>
        <v>0</v>
      </c>
      <c r="P559" s="16">
        <f>IFERROR(Table15[[#This Row],[ADD ACC]]*Table15[[#This Row],[RT TIME 
(380-800)]],0)</f>
        <v>0</v>
      </c>
      <c r="Q559" s="415">
        <f>IFERROR(VLOOKUP(Table15[[#This Row],[ROUTE]],PRICING!A:B,2,FALSE),0)</f>
        <v>0</v>
      </c>
      <c r="R559" s="235">
        <f>IFERROR(Table15[[#This Row],[C_DEMAND]]-Table15[[#This Row],[R-DEMAND]],0)</f>
        <v>0</v>
      </c>
      <c r="S559" s="408">
        <f t="shared" si="8"/>
        <v>0</v>
      </c>
      <c r="T559" s="419">
        <f>Table15[[#This Row],[R-DEMAND]]-(Table15[[#This Row],[ADD ACC]]*1706)</f>
        <v>0</v>
      </c>
      <c r="U559" s="419">
        <f>ROUNDDOWN(Table15[[#This Row],[Column1]]/1360,0)</f>
        <v>0</v>
      </c>
      <c r="V559" s="419"/>
      <c r="W559" s="251">
        <v>14.25</v>
      </c>
      <c r="X559" s="251">
        <f>ROUNDDOWN(Table15[[#This Row],[R-DEMAND]]/1320,0)</f>
        <v>0</v>
      </c>
      <c r="Y559" s="251">
        <f>IFERROR(Table15[[#This Row],[ADD ACC
(660/1320)]]*Table15[[#This Row],[Duration
(B744)]],0)</f>
        <v>0</v>
      </c>
      <c r="Z559" s="251"/>
    </row>
    <row r="560" spans="1:26" ht="15.75" customHeight="1" x14ac:dyDescent="0.25">
      <c r="A560" s="210" t="s">
        <v>15625</v>
      </c>
      <c r="B560" s="204" t="s">
        <v>2614</v>
      </c>
      <c r="C560" s="204"/>
      <c r="D560" s="205">
        <v>2</v>
      </c>
      <c r="E560" s="204" t="s">
        <v>2612</v>
      </c>
      <c r="F560" s="204" t="str">
        <f>VLOOKUP(E560,Table10[[COUNTRY NAME]:[CONTINENT CODE]],3,FALSE)</f>
        <v>AF</v>
      </c>
      <c r="G560" s="206" t="s">
        <v>11891</v>
      </c>
      <c r="H560" s="207">
        <v>5375</v>
      </c>
      <c r="I560" s="208">
        <v>14</v>
      </c>
      <c r="J560" s="345"/>
      <c r="K560" s="345">
        <f>IFERROR(Table15[[#This Row],[ROUTE $]]/Table15[[#This Row],[E - DEMAND]],0)</f>
        <v>0</v>
      </c>
      <c r="L560" s="204"/>
      <c r="M560" s="412">
        <f>IFERROR(VLOOKUP(Table15[[#This Row],[ROUTE]],DEMAND!A:F,5,FALSE),0)</f>
        <v>0</v>
      </c>
      <c r="N560" s="16">
        <f>IFERROR(VLOOKUP(Table15[[#This Row],[ROUTE]],DEMAND!A:F,6,FALSE),0)</f>
        <v>0</v>
      </c>
      <c r="O560" s="16">
        <f>IFERROR(ROUNDDOWN(Table15[[#This Row],[R-DEMAND]]/1706,0),0)</f>
        <v>0</v>
      </c>
      <c r="P560" s="16">
        <f>IFERROR(Table15[[#This Row],[ADD ACC]]*Table15[[#This Row],[RT TIME 
(380-800)]],0)</f>
        <v>0</v>
      </c>
      <c r="Q560" s="415">
        <f>IFERROR(VLOOKUP(Table15[[#This Row],[ROUTE]],PRICING!A:B,2,FALSE),0)</f>
        <v>0</v>
      </c>
      <c r="R560" s="235">
        <f>IFERROR(Table15[[#This Row],[C_DEMAND]]-Table15[[#This Row],[R-DEMAND]],0)</f>
        <v>0</v>
      </c>
      <c r="S560" s="408">
        <f t="shared" si="8"/>
        <v>0</v>
      </c>
      <c r="T560" s="419">
        <f>Table15[[#This Row],[R-DEMAND]]-(Table15[[#This Row],[ADD ACC]]*1706)</f>
        <v>0</v>
      </c>
      <c r="U560" s="419">
        <f>ROUNDDOWN(Table15[[#This Row],[Column1]]/1360,0)</f>
        <v>0</v>
      </c>
      <c r="V560" s="419"/>
      <c r="W560" s="251">
        <v>14</v>
      </c>
      <c r="X560" s="251">
        <f>ROUNDDOWN(Table15[[#This Row],[R-DEMAND]]/1320,0)</f>
        <v>0</v>
      </c>
      <c r="Y560" s="251">
        <f>IFERROR(Table15[[#This Row],[ADD ACC
(660/1320)]]*Table15[[#This Row],[Duration
(B744)]],0)</f>
        <v>0</v>
      </c>
      <c r="Z560" s="251"/>
    </row>
    <row r="561" spans="1:26" ht="15.75" customHeight="1" x14ac:dyDescent="0.25">
      <c r="A561" s="210" t="s">
        <v>15624</v>
      </c>
      <c r="B561" s="204" t="s">
        <v>4551</v>
      </c>
      <c r="C561" s="204"/>
      <c r="D561" s="205">
        <v>2</v>
      </c>
      <c r="E561" s="204" t="s">
        <v>4549</v>
      </c>
      <c r="F561" s="204" t="str">
        <f>VLOOKUP(E561,Table10[[COUNTRY NAME]:[CONTINENT CODE]],3,FALSE)</f>
        <v>AF</v>
      </c>
      <c r="G561" s="206" t="s">
        <v>11826</v>
      </c>
      <c r="H561" s="207">
        <v>5416</v>
      </c>
      <c r="I561" s="208">
        <v>14</v>
      </c>
      <c r="J561" s="345"/>
      <c r="K561" s="345">
        <f>IFERROR(Table15[[#This Row],[ROUTE $]]/Table15[[#This Row],[E - DEMAND]],0)</f>
        <v>0</v>
      </c>
      <c r="L561" s="204"/>
      <c r="M561" s="412">
        <f>IFERROR(VLOOKUP(Table15[[#This Row],[ROUTE]],DEMAND!A:F,5,FALSE),0)</f>
        <v>0</v>
      </c>
      <c r="N561" s="16">
        <f>IFERROR(VLOOKUP(Table15[[#This Row],[ROUTE]],DEMAND!A:F,6,FALSE),0)</f>
        <v>0</v>
      </c>
      <c r="O561" s="16">
        <f>IFERROR(ROUNDDOWN(Table15[[#This Row],[R-DEMAND]]/1706,0),0)</f>
        <v>0</v>
      </c>
      <c r="P561" s="16">
        <f>IFERROR(Table15[[#This Row],[ADD ACC]]*Table15[[#This Row],[RT TIME 
(380-800)]],0)</f>
        <v>0</v>
      </c>
      <c r="Q561" s="415">
        <f>IFERROR(VLOOKUP(Table15[[#This Row],[ROUTE]],PRICING!A:B,2,FALSE),0)</f>
        <v>0</v>
      </c>
      <c r="R561" s="235">
        <f>IFERROR(Table15[[#This Row],[C_DEMAND]]-Table15[[#This Row],[R-DEMAND]],0)</f>
        <v>0</v>
      </c>
      <c r="S561" s="408">
        <f t="shared" si="8"/>
        <v>0</v>
      </c>
      <c r="T561" s="419">
        <f>Table15[[#This Row],[R-DEMAND]]-(Table15[[#This Row],[ADD ACC]]*1706)</f>
        <v>0</v>
      </c>
      <c r="U561" s="419">
        <f>ROUNDDOWN(Table15[[#This Row],[Column1]]/1360,0)</f>
        <v>0</v>
      </c>
      <c r="V561" s="419"/>
      <c r="W561" s="251">
        <v>14</v>
      </c>
      <c r="X561" s="251">
        <f>ROUNDDOWN(Table15[[#This Row],[R-DEMAND]]/1320,0)</f>
        <v>0</v>
      </c>
      <c r="Y561" s="251">
        <f>IFERROR(Table15[[#This Row],[ADD ACC
(660/1320)]]*Table15[[#This Row],[Duration
(B744)]],0)</f>
        <v>0</v>
      </c>
      <c r="Z561" s="251"/>
    </row>
    <row r="562" spans="1:26" ht="15.75" customHeight="1" x14ac:dyDescent="0.25">
      <c r="A562" s="210" t="s">
        <v>15626</v>
      </c>
      <c r="B562" s="204" t="s">
        <v>2571</v>
      </c>
      <c r="C562" s="204"/>
      <c r="D562" s="205">
        <v>2</v>
      </c>
      <c r="E562" s="204" t="s">
        <v>597</v>
      </c>
      <c r="F562" s="204" t="str">
        <f>VLOOKUP(E562,Table10[[COUNTRY NAME]:[CONTINENT CODE]],3,FALSE)</f>
        <v>EU</v>
      </c>
      <c r="G562" s="210" t="s">
        <v>11827</v>
      </c>
      <c r="H562" s="207">
        <v>5372</v>
      </c>
      <c r="I562" s="208">
        <v>14</v>
      </c>
      <c r="J562" s="345"/>
      <c r="K562" s="345">
        <f>IFERROR(Table15[[#This Row],[ROUTE $]]/Table15[[#This Row],[E - DEMAND]],0)</f>
        <v>0</v>
      </c>
      <c r="L562" s="204"/>
      <c r="M562" s="412">
        <f>IFERROR(VLOOKUP(Table15[[#This Row],[ROUTE]],DEMAND!A:F,5,FALSE),0)</f>
        <v>0</v>
      </c>
      <c r="N562" s="16">
        <f>IFERROR(VLOOKUP(Table15[[#This Row],[ROUTE]],DEMAND!A:F,6,FALSE),0)</f>
        <v>0</v>
      </c>
      <c r="O562" s="16">
        <f>IFERROR(ROUNDDOWN(Table15[[#This Row],[R-DEMAND]]/1706,0),0)</f>
        <v>0</v>
      </c>
      <c r="P562" s="16">
        <f>IFERROR(Table15[[#This Row],[ADD ACC]]*Table15[[#This Row],[RT TIME 
(380-800)]],0)</f>
        <v>0</v>
      </c>
      <c r="Q562" s="415">
        <f>IFERROR(VLOOKUP(Table15[[#This Row],[ROUTE]],PRICING!A:B,2,FALSE),0)</f>
        <v>0</v>
      </c>
      <c r="R562" s="235">
        <f>IFERROR(Table15[[#This Row],[C_DEMAND]]-Table15[[#This Row],[R-DEMAND]],0)</f>
        <v>0</v>
      </c>
      <c r="S562" s="408">
        <f t="shared" si="8"/>
        <v>0</v>
      </c>
      <c r="T562" s="419">
        <f>Table15[[#This Row],[R-DEMAND]]-(Table15[[#This Row],[ADD ACC]]*1706)</f>
        <v>0</v>
      </c>
      <c r="U562" s="419">
        <f>ROUNDDOWN(Table15[[#This Row],[Column1]]/1360,0)</f>
        <v>0</v>
      </c>
      <c r="V562" s="419"/>
      <c r="W562" s="251">
        <v>14</v>
      </c>
      <c r="X562" s="251">
        <f>ROUNDDOWN(Table15[[#This Row],[R-DEMAND]]/1320,0)</f>
        <v>0</v>
      </c>
      <c r="Y562" s="251">
        <f>IFERROR(Table15[[#This Row],[ADD ACC
(660/1320)]]*Table15[[#This Row],[Duration
(B744)]],0)</f>
        <v>0</v>
      </c>
      <c r="Z562" s="251"/>
    </row>
    <row r="563" spans="1:26" ht="15.75" customHeight="1" x14ac:dyDescent="0.25">
      <c r="A563" s="210" t="s">
        <v>15628</v>
      </c>
      <c r="B563" s="204" t="s">
        <v>105</v>
      </c>
      <c r="C563" s="204"/>
      <c r="D563" s="205">
        <v>2</v>
      </c>
      <c r="E563" s="204" t="s">
        <v>1420</v>
      </c>
      <c r="F563" s="204" t="str">
        <f>VLOOKUP(E563,Table10[[COUNTRY NAME]:[CONTINENT CODE]],3,FALSE)</f>
        <v>EU</v>
      </c>
      <c r="G563" s="210" t="s">
        <v>11829</v>
      </c>
      <c r="H563" s="207">
        <v>5342</v>
      </c>
      <c r="I563" s="208">
        <v>14</v>
      </c>
      <c r="J563" s="345"/>
      <c r="K563" s="345">
        <f>IFERROR(Table15[[#This Row],[ROUTE $]]/Table15[[#This Row],[E - DEMAND]],0)</f>
        <v>0</v>
      </c>
      <c r="L563" s="204"/>
      <c r="M563" s="412">
        <f>IFERROR(VLOOKUP(Table15[[#This Row],[ROUTE]],DEMAND!A:F,5,FALSE),0)</f>
        <v>0</v>
      </c>
      <c r="N563" s="16">
        <f>IFERROR(VLOOKUP(Table15[[#This Row],[ROUTE]],DEMAND!A:F,6,FALSE),0)</f>
        <v>0</v>
      </c>
      <c r="O563" s="16">
        <f>IFERROR(ROUNDDOWN(Table15[[#This Row],[R-DEMAND]]/1706,0),0)</f>
        <v>0</v>
      </c>
      <c r="P563" s="16">
        <f>IFERROR(Table15[[#This Row],[ADD ACC]]*Table15[[#This Row],[RT TIME 
(380-800)]],0)</f>
        <v>0</v>
      </c>
      <c r="Q563" s="415">
        <f>IFERROR(VLOOKUP(Table15[[#This Row],[ROUTE]],PRICING!A:B,2,FALSE),0)</f>
        <v>0</v>
      </c>
      <c r="R563" s="235">
        <f>IFERROR(Table15[[#This Row],[C_DEMAND]]-Table15[[#This Row],[R-DEMAND]],0)</f>
        <v>0</v>
      </c>
      <c r="S563" s="408">
        <f t="shared" si="8"/>
        <v>0</v>
      </c>
      <c r="T563" s="419">
        <f>Table15[[#This Row],[R-DEMAND]]-(Table15[[#This Row],[ADD ACC]]*1706)</f>
        <v>0</v>
      </c>
      <c r="U563" s="419">
        <f>ROUNDDOWN(Table15[[#This Row],[Column1]]/1360,0)</f>
        <v>0</v>
      </c>
      <c r="V563" s="419"/>
      <c r="W563" s="251">
        <v>14</v>
      </c>
      <c r="X563" s="251">
        <f>ROUNDDOWN(Table15[[#This Row],[R-DEMAND]]/1320,0)</f>
        <v>0</v>
      </c>
      <c r="Y563" s="251">
        <f>IFERROR(Table15[[#This Row],[ADD ACC
(660/1320)]]*Table15[[#This Row],[Duration
(B744)]],0)</f>
        <v>0</v>
      </c>
      <c r="Z563" s="251"/>
    </row>
    <row r="564" spans="1:26" ht="15.75" customHeight="1" x14ac:dyDescent="0.25">
      <c r="A564" s="210" t="s">
        <v>15629</v>
      </c>
      <c r="B564" s="204" t="s">
        <v>5190</v>
      </c>
      <c r="C564" s="204"/>
      <c r="D564" s="205">
        <v>3</v>
      </c>
      <c r="E564" s="204" t="s">
        <v>1459</v>
      </c>
      <c r="F564" s="204" t="str">
        <f>VLOOKUP(E564,Table10[[COUNTRY NAME]:[CONTINENT CODE]],3,FALSE)</f>
        <v>EU</v>
      </c>
      <c r="G564" s="210" t="s">
        <v>7386</v>
      </c>
      <c r="H564" s="207">
        <v>5303</v>
      </c>
      <c r="I564" s="208">
        <v>13.75</v>
      </c>
      <c r="J564" s="345"/>
      <c r="K564" s="345">
        <f>IFERROR(Table15[[#This Row],[ROUTE $]]/Table15[[#This Row],[E - DEMAND]],0)</f>
        <v>0</v>
      </c>
      <c r="L564" s="204"/>
      <c r="M564" s="412">
        <f>IFERROR(VLOOKUP(Table15[[#This Row],[ROUTE]],DEMAND!A:F,5,FALSE),0)</f>
        <v>0</v>
      </c>
      <c r="N564" s="16">
        <f>IFERROR(VLOOKUP(Table15[[#This Row],[ROUTE]],DEMAND!A:F,6,FALSE),0)</f>
        <v>0</v>
      </c>
      <c r="O564" s="16">
        <f>IFERROR(ROUNDDOWN(Table15[[#This Row],[R-DEMAND]]/1706,0),0)</f>
        <v>0</v>
      </c>
      <c r="P564" s="16">
        <f>IFERROR(Table15[[#This Row],[ADD ACC]]*Table15[[#This Row],[RT TIME 
(380-800)]],0)</f>
        <v>0</v>
      </c>
      <c r="Q564" s="415">
        <f>IFERROR(VLOOKUP(Table15[[#This Row],[ROUTE]],PRICING!A:B,2,FALSE),0)</f>
        <v>0</v>
      </c>
      <c r="R564" s="235">
        <f>IFERROR(Table15[[#This Row],[C_DEMAND]]-Table15[[#This Row],[R-DEMAND]],0)</f>
        <v>0</v>
      </c>
      <c r="S564" s="408">
        <f t="shared" si="8"/>
        <v>0</v>
      </c>
      <c r="T564" s="419">
        <f>Table15[[#This Row],[R-DEMAND]]-(Table15[[#This Row],[ADD ACC]]*1706)</f>
        <v>0</v>
      </c>
      <c r="U564" s="419">
        <f>ROUNDDOWN(Table15[[#This Row],[Column1]]/1360,0)</f>
        <v>0</v>
      </c>
      <c r="V564" s="419"/>
      <c r="W564" s="251">
        <v>13.75</v>
      </c>
      <c r="X564" s="251">
        <f>ROUNDDOWN(Table15[[#This Row],[R-DEMAND]]/1320,0)</f>
        <v>0</v>
      </c>
      <c r="Y564" s="251">
        <f>IFERROR(Table15[[#This Row],[ADD ACC
(660/1320)]]*Table15[[#This Row],[Duration
(B744)]],0)</f>
        <v>0</v>
      </c>
      <c r="Z564" s="251"/>
    </row>
    <row r="565" spans="1:26" ht="15.75" customHeight="1" x14ac:dyDescent="0.25">
      <c r="A565" s="210" t="s">
        <v>15630</v>
      </c>
      <c r="B565" s="204" t="s">
        <v>2808</v>
      </c>
      <c r="C565" s="204"/>
      <c r="D565" s="205">
        <v>2</v>
      </c>
      <c r="E565" s="204" t="s">
        <v>597</v>
      </c>
      <c r="F565" s="204" t="str">
        <f>VLOOKUP(E565,Table10[[COUNTRY NAME]:[CONTINENT CODE]],3,FALSE)</f>
        <v>EU</v>
      </c>
      <c r="G565" s="210" t="s">
        <v>11828</v>
      </c>
      <c r="H565" s="207">
        <v>5303</v>
      </c>
      <c r="I565" s="208">
        <v>13.75</v>
      </c>
      <c r="J565" s="345"/>
      <c r="K565" s="345">
        <f>IFERROR(Table15[[#This Row],[ROUTE $]]/Table15[[#This Row],[E - DEMAND]],0)</f>
        <v>0</v>
      </c>
      <c r="L565" s="204"/>
      <c r="M565" s="412">
        <f>IFERROR(VLOOKUP(Table15[[#This Row],[ROUTE]],DEMAND!A:F,5,FALSE),0)</f>
        <v>0</v>
      </c>
      <c r="N565" s="16">
        <f>IFERROR(VLOOKUP(Table15[[#This Row],[ROUTE]],DEMAND!A:F,6,FALSE),0)</f>
        <v>0</v>
      </c>
      <c r="O565" s="16">
        <f>IFERROR(ROUNDDOWN(Table15[[#This Row],[R-DEMAND]]/1706,0),0)</f>
        <v>0</v>
      </c>
      <c r="P565" s="16">
        <f>IFERROR(Table15[[#This Row],[ADD ACC]]*Table15[[#This Row],[RT TIME 
(380-800)]],0)</f>
        <v>0</v>
      </c>
      <c r="Q565" s="415">
        <f>IFERROR(VLOOKUP(Table15[[#This Row],[ROUTE]],PRICING!A:B,2,FALSE),0)</f>
        <v>0</v>
      </c>
      <c r="R565" s="235">
        <f>IFERROR(Table15[[#This Row],[C_DEMAND]]-Table15[[#This Row],[R-DEMAND]],0)</f>
        <v>0</v>
      </c>
      <c r="S565" s="408">
        <f t="shared" si="8"/>
        <v>0</v>
      </c>
      <c r="T565" s="419">
        <f>Table15[[#This Row],[R-DEMAND]]-(Table15[[#This Row],[ADD ACC]]*1706)</f>
        <v>0</v>
      </c>
      <c r="U565" s="419">
        <f>ROUNDDOWN(Table15[[#This Row],[Column1]]/1360,0)</f>
        <v>0</v>
      </c>
      <c r="V565" s="419"/>
      <c r="W565" s="251">
        <v>13.75</v>
      </c>
      <c r="X565" s="251">
        <f>ROUNDDOWN(Table15[[#This Row],[R-DEMAND]]/1320,0)</f>
        <v>0</v>
      </c>
      <c r="Y565" s="251">
        <f>IFERROR(Table15[[#This Row],[ADD ACC
(660/1320)]]*Table15[[#This Row],[Duration
(B744)]],0)</f>
        <v>0</v>
      </c>
      <c r="Z565" s="251"/>
    </row>
    <row r="566" spans="1:26" ht="15.75" customHeight="1" x14ac:dyDescent="0.25">
      <c r="A566" s="210" t="s">
        <v>15633</v>
      </c>
      <c r="B566" s="204" t="s">
        <v>2962</v>
      </c>
      <c r="C566" s="204"/>
      <c r="D566" s="205">
        <v>2</v>
      </c>
      <c r="E566" s="204" t="s">
        <v>1352</v>
      </c>
      <c r="F566" s="204" t="str">
        <f>VLOOKUP(E566,Table10[[COUNTRY NAME]:[CONTINENT CODE]],3,FALSE)</f>
        <v>AF</v>
      </c>
      <c r="G566" s="206" t="s">
        <v>11897</v>
      </c>
      <c r="H566" s="207">
        <v>5223</v>
      </c>
      <c r="I566" s="208">
        <v>13.75</v>
      </c>
      <c r="J566" s="345"/>
      <c r="K566" s="345">
        <f>IFERROR(Table15[[#This Row],[ROUTE $]]/Table15[[#This Row],[E - DEMAND]],0)</f>
        <v>0</v>
      </c>
      <c r="L566" s="204"/>
      <c r="M566" s="412">
        <f>IFERROR(VLOOKUP(Table15[[#This Row],[ROUTE]],DEMAND!A:F,5,FALSE),0)</f>
        <v>0</v>
      </c>
      <c r="N566" s="16">
        <f>IFERROR(VLOOKUP(Table15[[#This Row],[ROUTE]],DEMAND!A:F,6,FALSE),0)</f>
        <v>0</v>
      </c>
      <c r="O566" s="16">
        <f>IFERROR(ROUNDDOWN(Table15[[#This Row],[R-DEMAND]]/1706,0),0)</f>
        <v>0</v>
      </c>
      <c r="P566" s="16">
        <f>IFERROR(Table15[[#This Row],[ADD ACC]]*Table15[[#This Row],[RT TIME 
(380-800)]],0)</f>
        <v>0</v>
      </c>
      <c r="Q566" s="415">
        <f>IFERROR(VLOOKUP(Table15[[#This Row],[ROUTE]],PRICING!A:B,2,FALSE),0)</f>
        <v>0</v>
      </c>
      <c r="R566" s="235">
        <f>IFERROR(Table15[[#This Row],[C_DEMAND]]-Table15[[#This Row],[R-DEMAND]],0)</f>
        <v>0</v>
      </c>
      <c r="S566" s="408">
        <f t="shared" si="8"/>
        <v>0</v>
      </c>
      <c r="T566" s="419">
        <f>Table15[[#This Row],[R-DEMAND]]-(Table15[[#This Row],[ADD ACC]]*1706)</f>
        <v>0</v>
      </c>
      <c r="U566" s="419">
        <f>ROUNDDOWN(Table15[[#This Row],[Column1]]/1360,0)</f>
        <v>0</v>
      </c>
      <c r="V566" s="419"/>
      <c r="W566" s="251">
        <v>13.75</v>
      </c>
      <c r="X566" s="251">
        <f>ROUNDDOWN(Table15[[#This Row],[R-DEMAND]]/1320,0)</f>
        <v>0</v>
      </c>
      <c r="Y566" s="251">
        <f>IFERROR(Table15[[#This Row],[ADD ACC
(660/1320)]]*Table15[[#This Row],[Duration
(B744)]],0)</f>
        <v>0</v>
      </c>
      <c r="Z566" s="251"/>
    </row>
    <row r="567" spans="1:26" ht="15.75" customHeight="1" x14ac:dyDescent="0.25">
      <c r="A567" s="210" t="s">
        <v>15631</v>
      </c>
      <c r="B567" s="204" t="s">
        <v>1057</v>
      </c>
      <c r="C567" s="204"/>
      <c r="D567" s="205">
        <v>1</v>
      </c>
      <c r="E567" s="204" t="s">
        <v>597</v>
      </c>
      <c r="F567" s="204" t="str">
        <f>VLOOKUP(E567,Table10[[COUNTRY NAME]:[CONTINENT CODE]],3,FALSE)</f>
        <v>EU</v>
      </c>
      <c r="G567" s="210" t="s">
        <v>11830</v>
      </c>
      <c r="H567" s="207">
        <v>5274</v>
      </c>
      <c r="I567" s="208">
        <v>13.75</v>
      </c>
      <c r="J567" s="345"/>
      <c r="K567" s="345">
        <f>IFERROR(Table15[[#This Row],[ROUTE $]]/Table15[[#This Row],[E - DEMAND]],0)</f>
        <v>0</v>
      </c>
      <c r="L567" s="204"/>
      <c r="M567" s="412">
        <f>IFERROR(VLOOKUP(Table15[[#This Row],[ROUTE]],DEMAND!A:F,5,FALSE),0)</f>
        <v>0</v>
      </c>
      <c r="N567" s="16">
        <f>IFERROR(VLOOKUP(Table15[[#This Row],[ROUTE]],DEMAND!A:F,6,FALSE),0)</f>
        <v>0</v>
      </c>
      <c r="O567" s="16">
        <f>IFERROR(ROUNDDOWN(Table15[[#This Row],[R-DEMAND]]/1706,0),0)</f>
        <v>0</v>
      </c>
      <c r="P567" s="16">
        <f>IFERROR(Table15[[#This Row],[ADD ACC]]*Table15[[#This Row],[RT TIME 
(380-800)]],0)</f>
        <v>0</v>
      </c>
      <c r="Q567" s="415">
        <f>IFERROR(VLOOKUP(Table15[[#This Row],[ROUTE]],PRICING!A:B,2,FALSE),0)</f>
        <v>0</v>
      </c>
      <c r="R567" s="235">
        <f>IFERROR(Table15[[#This Row],[C_DEMAND]]-Table15[[#This Row],[R-DEMAND]],0)</f>
        <v>0</v>
      </c>
      <c r="S567" s="408">
        <f t="shared" si="8"/>
        <v>0</v>
      </c>
      <c r="T567" s="419">
        <f>Table15[[#This Row],[R-DEMAND]]-(Table15[[#This Row],[ADD ACC]]*1706)</f>
        <v>0</v>
      </c>
      <c r="U567" s="419">
        <f>ROUNDDOWN(Table15[[#This Row],[Column1]]/1360,0)</f>
        <v>0</v>
      </c>
      <c r="V567" s="419"/>
      <c r="W567" s="251">
        <v>13.75</v>
      </c>
      <c r="X567" s="251">
        <f>ROUNDDOWN(Table15[[#This Row],[R-DEMAND]]/1320,0)</f>
        <v>0</v>
      </c>
      <c r="Y567" s="251">
        <f>IFERROR(Table15[[#This Row],[ADD ACC
(660/1320)]]*Table15[[#This Row],[Duration
(B744)]],0)</f>
        <v>0</v>
      </c>
      <c r="Z567" s="251"/>
    </row>
    <row r="568" spans="1:26" ht="15.75" customHeight="1" x14ac:dyDescent="0.25">
      <c r="A568" s="210" t="s">
        <v>15636</v>
      </c>
      <c r="B568" s="204" t="s">
        <v>3763</v>
      </c>
      <c r="C568" s="204"/>
      <c r="D568" s="205">
        <v>2</v>
      </c>
      <c r="E568" s="204" t="s">
        <v>597</v>
      </c>
      <c r="F568" s="204" t="str">
        <f>VLOOKUP(E568,Table10[[COUNTRY NAME]:[CONTINENT CODE]],3,FALSE)</f>
        <v>EU</v>
      </c>
      <c r="G568" s="210" t="s">
        <v>11834</v>
      </c>
      <c r="H568" s="207">
        <v>5159</v>
      </c>
      <c r="I568" s="208">
        <v>13.5</v>
      </c>
      <c r="J568" s="345"/>
      <c r="K568" s="345">
        <f>IFERROR(Table15[[#This Row],[ROUTE $]]/Table15[[#This Row],[E - DEMAND]],0)</f>
        <v>0</v>
      </c>
      <c r="L568" s="204"/>
      <c r="M568" s="412">
        <f>IFERROR(VLOOKUP(Table15[[#This Row],[ROUTE]],DEMAND!A:F,5,FALSE),0)</f>
        <v>0</v>
      </c>
      <c r="N568" s="16">
        <f>IFERROR(VLOOKUP(Table15[[#This Row],[ROUTE]],DEMAND!A:F,6,FALSE),0)</f>
        <v>0</v>
      </c>
      <c r="O568" s="16">
        <f>IFERROR(ROUNDDOWN(Table15[[#This Row],[R-DEMAND]]/1706,0),0)</f>
        <v>0</v>
      </c>
      <c r="P568" s="16">
        <f>IFERROR(Table15[[#This Row],[ADD ACC]]*Table15[[#This Row],[RT TIME 
(380-800)]],0)</f>
        <v>0</v>
      </c>
      <c r="Q568" s="415">
        <f>IFERROR(VLOOKUP(Table15[[#This Row],[ROUTE]],PRICING!A:B,2,FALSE),0)</f>
        <v>0</v>
      </c>
      <c r="R568" s="235">
        <f>IFERROR(Table15[[#This Row],[C_DEMAND]]-Table15[[#This Row],[R-DEMAND]],0)</f>
        <v>0</v>
      </c>
      <c r="S568" s="408">
        <f t="shared" si="8"/>
        <v>0</v>
      </c>
      <c r="T568" s="419">
        <f>Table15[[#This Row],[R-DEMAND]]-(Table15[[#This Row],[ADD ACC]]*1706)</f>
        <v>0</v>
      </c>
      <c r="U568" s="419">
        <f>ROUNDDOWN(Table15[[#This Row],[Column1]]/1360,0)</f>
        <v>0</v>
      </c>
      <c r="V568" s="419"/>
      <c r="W568" s="251">
        <v>13.5</v>
      </c>
      <c r="X568" s="251">
        <f>ROUNDDOWN(Table15[[#This Row],[R-DEMAND]]/1320,0)</f>
        <v>0</v>
      </c>
      <c r="Y568" s="251">
        <f>IFERROR(Table15[[#This Row],[ADD ACC
(660/1320)]]*Table15[[#This Row],[Duration
(B744)]],0)</f>
        <v>0</v>
      </c>
      <c r="Z568" s="251"/>
    </row>
    <row r="569" spans="1:26" ht="15.75" customHeight="1" x14ac:dyDescent="0.25">
      <c r="A569" s="210" t="s">
        <v>15646</v>
      </c>
      <c r="B569" s="204" t="s">
        <v>2922</v>
      </c>
      <c r="C569" s="204"/>
      <c r="D569" s="205">
        <v>2</v>
      </c>
      <c r="E569" s="204" t="s">
        <v>597</v>
      </c>
      <c r="F569" s="204" t="str">
        <f>VLOOKUP(E569,Table10[[COUNTRY NAME]:[CONTINENT CODE]],3,FALSE)</f>
        <v>EU</v>
      </c>
      <c r="G569" s="210" t="s">
        <v>11840</v>
      </c>
      <c r="H569" s="207">
        <v>5084</v>
      </c>
      <c r="I569" s="208">
        <v>13.5</v>
      </c>
      <c r="J569" s="345"/>
      <c r="K569" s="345">
        <f>IFERROR(Table15[[#This Row],[ROUTE $]]/Table15[[#This Row],[E - DEMAND]],0)</f>
        <v>0</v>
      </c>
      <c r="L569" s="204"/>
      <c r="M569" s="412">
        <f>IFERROR(VLOOKUP(Table15[[#This Row],[ROUTE]],DEMAND!A:F,5,FALSE),0)</f>
        <v>0</v>
      </c>
      <c r="N569" s="16">
        <f>IFERROR(VLOOKUP(Table15[[#This Row],[ROUTE]],DEMAND!A:F,6,FALSE),0)</f>
        <v>0</v>
      </c>
      <c r="O569" s="16">
        <f>IFERROR(ROUNDDOWN(Table15[[#This Row],[R-DEMAND]]/1706,0),0)</f>
        <v>0</v>
      </c>
      <c r="P569" s="16">
        <f>IFERROR(Table15[[#This Row],[ADD ACC]]*Table15[[#This Row],[RT TIME 
(380-800)]],0)</f>
        <v>0</v>
      </c>
      <c r="Q569" s="415">
        <f>IFERROR(VLOOKUP(Table15[[#This Row],[ROUTE]],PRICING!A:B,2,FALSE),0)</f>
        <v>0</v>
      </c>
      <c r="R569" s="235">
        <f>IFERROR(Table15[[#This Row],[C_DEMAND]]-Table15[[#This Row],[R-DEMAND]],0)</f>
        <v>0</v>
      </c>
      <c r="S569" s="408">
        <f t="shared" si="8"/>
        <v>0</v>
      </c>
      <c r="T569" s="419">
        <f>Table15[[#This Row],[R-DEMAND]]-(Table15[[#This Row],[ADD ACC]]*1706)</f>
        <v>0</v>
      </c>
      <c r="U569" s="419">
        <f>ROUNDDOWN(Table15[[#This Row],[Column1]]/1360,0)</f>
        <v>0</v>
      </c>
      <c r="V569" s="419"/>
      <c r="W569" s="251">
        <v>13.5</v>
      </c>
      <c r="X569" s="251">
        <f>ROUNDDOWN(Table15[[#This Row],[R-DEMAND]]/1320,0)</f>
        <v>0</v>
      </c>
      <c r="Y569" s="251">
        <f>IFERROR(Table15[[#This Row],[ADD ACC
(660/1320)]]*Table15[[#This Row],[Duration
(B744)]],0)</f>
        <v>0</v>
      </c>
      <c r="Z569" s="251"/>
    </row>
    <row r="570" spans="1:26" ht="15.75" customHeight="1" x14ac:dyDescent="0.25">
      <c r="A570" s="210" t="s">
        <v>15642</v>
      </c>
      <c r="B570" s="204" t="s">
        <v>930</v>
      </c>
      <c r="C570" s="204"/>
      <c r="D570" s="205">
        <v>1</v>
      </c>
      <c r="E570" s="204" t="s">
        <v>597</v>
      </c>
      <c r="F570" s="204" t="str">
        <f>VLOOKUP(E570,Table10[[COUNTRY NAME]:[CONTINENT CODE]],3,FALSE)</f>
        <v>EU</v>
      </c>
      <c r="G570" s="210" t="s">
        <v>11835</v>
      </c>
      <c r="H570" s="207">
        <v>5125</v>
      </c>
      <c r="I570" s="208">
        <v>13.5</v>
      </c>
      <c r="J570" s="345"/>
      <c r="K570" s="345">
        <f>IFERROR(Table15[[#This Row],[ROUTE $]]/Table15[[#This Row],[E - DEMAND]],0)</f>
        <v>0</v>
      </c>
      <c r="L570" s="204"/>
      <c r="M570" s="412">
        <f>IFERROR(VLOOKUP(Table15[[#This Row],[ROUTE]],DEMAND!A:F,5,FALSE),0)</f>
        <v>0</v>
      </c>
      <c r="N570" s="16">
        <f>IFERROR(VLOOKUP(Table15[[#This Row],[ROUTE]],DEMAND!A:F,6,FALSE),0)</f>
        <v>0</v>
      </c>
      <c r="O570" s="16">
        <f>IFERROR(ROUNDDOWN(Table15[[#This Row],[R-DEMAND]]/1706,0),0)</f>
        <v>0</v>
      </c>
      <c r="P570" s="16">
        <f>IFERROR(Table15[[#This Row],[ADD ACC]]*Table15[[#This Row],[RT TIME 
(380-800)]],0)</f>
        <v>0</v>
      </c>
      <c r="Q570" s="415">
        <f>IFERROR(VLOOKUP(Table15[[#This Row],[ROUTE]],PRICING!A:B,2,FALSE),0)</f>
        <v>0</v>
      </c>
      <c r="R570" s="235">
        <f>IFERROR(Table15[[#This Row],[C_DEMAND]]-Table15[[#This Row],[R-DEMAND]],0)</f>
        <v>0</v>
      </c>
      <c r="S570" s="408">
        <f t="shared" si="8"/>
        <v>0</v>
      </c>
      <c r="T570" s="419">
        <f>Table15[[#This Row],[R-DEMAND]]-(Table15[[#This Row],[ADD ACC]]*1706)</f>
        <v>0</v>
      </c>
      <c r="U570" s="419">
        <f>ROUNDDOWN(Table15[[#This Row],[Column1]]/1360,0)</f>
        <v>0</v>
      </c>
      <c r="V570" s="419"/>
      <c r="W570" s="251">
        <v>13.5</v>
      </c>
      <c r="X570" s="251">
        <f>ROUNDDOWN(Table15[[#This Row],[R-DEMAND]]/1320,0)</f>
        <v>0</v>
      </c>
      <c r="Y570" s="251">
        <f>IFERROR(Table15[[#This Row],[ADD ACC
(660/1320)]]*Table15[[#This Row],[Duration
(B744)]],0)</f>
        <v>0</v>
      </c>
      <c r="Z570" s="251"/>
    </row>
    <row r="571" spans="1:26" ht="15.75" customHeight="1" x14ac:dyDescent="0.25">
      <c r="A571" s="210" t="s">
        <v>15643</v>
      </c>
      <c r="B571" s="204" t="s">
        <v>2394</v>
      </c>
      <c r="C571" s="204"/>
      <c r="D571" s="205">
        <v>1</v>
      </c>
      <c r="E571" s="204" t="s">
        <v>881</v>
      </c>
      <c r="F571" s="204" t="str">
        <f>VLOOKUP(E571,Table10[[COUNTRY NAME]:[CONTINENT CODE]],3,FALSE)</f>
        <v>AF</v>
      </c>
      <c r="G571" s="206" t="s">
        <v>9934</v>
      </c>
      <c r="H571" s="207">
        <v>5095</v>
      </c>
      <c r="I571" s="208">
        <v>13.5</v>
      </c>
      <c r="J571" s="345"/>
      <c r="K571" s="345">
        <f>IFERROR(Table15[[#This Row],[ROUTE $]]/Table15[[#This Row],[E - DEMAND]],0)</f>
        <v>0</v>
      </c>
      <c r="L571" s="204"/>
      <c r="M571" s="412">
        <f>IFERROR(VLOOKUP(Table15[[#This Row],[ROUTE]],DEMAND!A:F,5,FALSE),0)</f>
        <v>0</v>
      </c>
      <c r="N571" s="16">
        <f>IFERROR(VLOOKUP(Table15[[#This Row],[ROUTE]],DEMAND!A:F,6,FALSE),0)</f>
        <v>0</v>
      </c>
      <c r="O571" s="16">
        <f>IFERROR(ROUNDDOWN(Table15[[#This Row],[R-DEMAND]]/1706,0),0)</f>
        <v>0</v>
      </c>
      <c r="P571" s="16">
        <f>IFERROR(Table15[[#This Row],[ADD ACC]]*Table15[[#This Row],[RT TIME 
(380-800)]],0)</f>
        <v>0</v>
      </c>
      <c r="Q571" s="415">
        <f>IFERROR(VLOOKUP(Table15[[#This Row],[ROUTE]],PRICING!A:B,2,FALSE),0)</f>
        <v>0</v>
      </c>
      <c r="R571" s="235">
        <f>IFERROR(Table15[[#This Row],[C_DEMAND]]-Table15[[#This Row],[R-DEMAND]],0)</f>
        <v>0</v>
      </c>
      <c r="S571" s="408">
        <f t="shared" si="8"/>
        <v>0</v>
      </c>
      <c r="T571" s="419">
        <f>Table15[[#This Row],[R-DEMAND]]-(Table15[[#This Row],[ADD ACC]]*1706)</f>
        <v>0</v>
      </c>
      <c r="U571" s="419">
        <f>ROUNDDOWN(Table15[[#This Row],[Column1]]/1360,0)</f>
        <v>0</v>
      </c>
      <c r="V571" s="419"/>
      <c r="W571" s="251">
        <v>13.5</v>
      </c>
      <c r="X571" s="251">
        <f>ROUNDDOWN(Table15[[#This Row],[R-DEMAND]]/1320,0)</f>
        <v>0</v>
      </c>
      <c r="Y571" s="251">
        <f>IFERROR(Table15[[#This Row],[ADD ACC
(660/1320)]]*Table15[[#This Row],[Duration
(B744)]],0)</f>
        <v>0</v>
      </c>
      <c r="Z571" s="251"/>
    </row>
    <row r="572" spans="1:26" ht="15.75" customHeight="1" x14ac:dyDescent="0.25">
      <c r="A572" s="210" t="s">
        <v>15635</v>
      </c>
      <c r="B572" s="204" t="s">
        <v>2490</v>
      </c>
      <c r="C572" s="204"/>
      <c r="D572" s="205">
        <v>1</v>
      </c>
      <c r="E572" s="204" t="s">
        <v>881</v>
      </c>
      <c r="F572" s="204" t="str">
        <f>VLOOKUP(E572,Table10[[COUNTRY NAME]:[CONTINENT CODE]],3,FALSE)</f>
        <v>AF</v>
      </c>
      <c r="G572" s="206" t="s">
        <v>6783</v>
      </c>
      <c r="H572" s="207">
        <v>5177</v>
      </c>
      <c r="I572" s="208">
        <v>13.5</v>
      </c>
      <c r="J572" s="345"/>
      <c r="K572" s="345">
        <f>IFERROR(Table15[[#This Row],[ROUTE $]]/Table15[[#This Row],[E - DEMAND]],0)</f>
        <v>0</v>
      </c>
      <c r="L572" s="204"/>
      <c r="M572" s="412">
        <f>IFERROR(VLOOKUP(Table15[[#This Row],[ROUTE]],DEMAND!A:F,5,FALSE),0)</f>
        <v>0</v>
      </c>
      <c r="N572" s="16">
        <f>IFERROR(VLOOKUP(Table15[[#This Row],[ROUTE]],DEMAND!A:F,6,FALSE),0)</f>
        <v>0</v>
      </c>
      <c r="O572" s="16">
        <f>IFERROR(ROUNDDOWN(Table15[[#This Row],[R-DEMAND]]/1706,0),0)</f>
        <v>0</v>
      </c>
      <c r="P572" s="16">
        <f>IFERROR(Table15[[#This Row],[ADD ACC]]*Table15[[#This Row],[RT TIME 
(380-800)]],0)</f>
        <v>0</v>
      </c>
      <c r="Q572" s="415">
        <f>IFERROR(VLOOKUP(Table15[[#This Row],[ROUTE]],PRICING!A:B,2,FALSE),0)</f>
        <v>0</v>
      </c>
      <c r="R572" s="235">
        <f>IFERROR(Table15[[#This Row],[C_DEMAND]]-Table15[[#This Row],[R-DEMAND]],0)</f>
        <v>0</v>
      </c>
      <c r="S572" s="408">
        <f t="shared" si="8"/>
        <v>0</v>
      </c>
      <c r="T572" s="419">
        <f>Table15[[#This Row],[R-DEMAND]]-(Table15[[#This Row],[ADD ACC]]*1706)</f>
        <v>0</v>
      </c>
      <c r="U572" s="419">
        <f>ROUNDDOWN(Table15[[#This Row],[Column1]]/1360,0)</f>
        <v>0</v>
      </c>
      <c r="V572" s="419"/>
      <c r="W572" s="251">
        <v>13.5</v>
      </c>
      <c r="X572" s="251">
        <f>ROUNDDOWN(Table15[[#This Row],[R-DEMAND]]/1320,0)</f>
        <v>0</v>
      </c>
      <c r="Y572" s="251">
        <f>IFERROR(Table15[[#This Row],[ADD ACC
(660/1320)]]*Table15[[#This Row],[Duration
(B744)]],0)</f>
        <v>0</v>
      </c>
      <c r="Z572" s="251"/>
    </row>
    <row r="573" spans="1:26" ht="15.75" customHeight="1" x14ac:dyDescent="0.25">
      <c r="A573" s="341" t="s">
        <v>18308</v>
      </c>
      <c r="B573" s="212" t="s">
        <v>335</v>
      </c>
      <c r="C573" s="212"/>
      <c r="D573" s="226">
        <v>5</v>
      </c>
      <c r="E573" s="226" t="s">
        <v>78</v>
      </c>
      <c r="F573" s="212" t="s">
        <v>12674</v>
      </c>
      <c r="G573" s="404" t="s">
        <v>11091</v>
      </c>
      <c r="H573" s="343">
        <v>4989</v>
      </c>
      <c r="I573" s="342"/>
      <c r="J573" s="346"/>
      <c r="K573" s="345">
        <f>IFERROR(Table15[[#This Row],[ROUTE $]]/Table15[[#This Row],[E - DEMAND]],0)</f>
        <v>0</v>
      </c>
      <c r="L573" s="212"/>
      <c r="M573" s="413">
        <f>IFERROR(VLOOKUP(Table15[[#This Row],[ROUTE]],DEMAND!A:F,5,FALSE),0)</f>
        <v>0</v>
      </c>
      <c r="N573" s="251">
        <f>IFERROR(VLOOKUP(Table15[[#This Row],[ROUTE]],DEMAND!A:F,6,FALSE),0)</f>
        <v>0</v>
      </c>
      <c r="O573" s="349"/>
      <c r="P573" s="349"/>
      <c r="Q573" s="416">
        <f>IFERROR(VLOOKUP(Table15[[#This Row],[ROUTE]],PRICING!A:B,2,FALSE),0)</f>
        <v>0</v>
      </c>
      <c r="R573" s="409">
        <f>IFERROR(Table15[[#This Row],[C_DEMAND]]-Table15[[#This Row],[R-DEMAND]],0)</f>
        <v>0</v>
      </c>
      <c r="S573" s="410">
        <f t="shared" si="8"/>
        <v>0</v>
      </c>
      <c r="T573" s="420">
        <f>Table15[[#This Row],[R-DEMAND]]-(Table15[[#This Row],[ADD ACC]]*1706)</f>
        <v>0</v>
      </c>
      <c r="U573" s="420">
        <f>ROUNDDOWN(Table15[[#This Row],[Column1]]/1360,0)</f>
        <v>0</v>
      </c>
      <c r="V573" s="420"/>
      <c r="W573" s="251">
        <v>13.25</v>
      </c>
      <c r="X573" s="251">
        <f>ROUNDDOWN(Table15[[#This Row],[R-DEMAND]]/1320,0)</f>
        <v>0</v>
      </c>
      <c r="Y573" s="251">
        <f>IFERROR(Table15[[#This Row],[ADD ACC
(660/1320)]]*Table15[[#This Row],[Duration
(B744)]],0)</f>
        <v>0</v>
      </c>
      <c r="Z573" s="251"/>
    </row>
    <row r="574" spans="1:26" ht="15.75" customHeight="1" x14ac:dyDescent="0.25">
      <c r="A574" s="210" t="s">
        <v>15662</v>
      </c>
      <c r="B574" s="204" t="s">
        <v>4975</v>
      </c>
      <c r="C574" s="204"/>
      <c r="D574" s="205">
        <v>3</v>
      </c>
      <c r="E574" s="204" t="s">
        <v>1459</v>
      </c>
      <c r="F574" s="204" t="str">
        <f>VLOOKUP(E574,Table10[[COUNTRY NAME]:[CONTINENT CODE]],3,FALSE)</f>
        <v>EU</v>
      </c>
      <c r="G574" s="210" t="s">
        <v>11842</v>
      </c>
      <c r="H574" s="207">
        <v>4976</v>
      </c>
      <c r="I574" s="208">
        <v>13.25</v>
      </c>
      <c r="J574" s="345"/>
      <c r="K574" s="345">
        <f>IFERROR(Table15[[#This Row],[ROUTE $]]/Table15[[#This Row],[E - DEMAND]],0)</f>
        <v>0</v>
      </c>
      <c r="L574" s="204"/>
      <c r="M574" s="412">
        <f>IFERROR(VLOOKUP(Table15[[#This Row],[ROUTE]],DEMAND!A:F,5,FALSE),0)</f>
        <v>0</v>
      </c>
      <c r="N574" s="16">
        <f>IFERROR(VLOOKUP(Table15[[#This Row],[ROUTE]],DEMAND!A:F,6,FALSE),0)</f>
        <v>0</v>
      </c>
      <c r="O574" s="16">
        <f>IFERROR(ROUNDDOWN(Table15[[#This Row],[R-DEMAND]]/1706,0),0)</f>
        <v>0</v>
      </c>
      <c r="P574" s="16">
        <f>IFERROR(Table15[[#This Row],[ADD ACC]]*Table15[[#This Row],[RT TIME 
(380-800)]],0)</f>
        <v>0</v>
      </c>
      <c r="Q574" s="415">
        <f>IFERROR(VLOOKUP(Table15[[#This Row],[ROUTE]],PRICING!A:B,2,FALSE),0)</f>
        <v>0</v>
      </c>
      <c r="R574" s="235">
        <f>IFERROR(Table15[[#This Row],[C_DEMAND]]-Table15[[#This Row],[R-DEMAND]],0)</f>
        <v>0</v>
      </c>
      <c r="S574" s="408">
        <f t="shared" si="8"/>
        <v>0</v>
      </c>
      <c r="T574" s="419">
        <f>Table15[[#This Row],[R-DEMAND]]-(Table15[[#This Row],[ADD ACC]]*1706)</f>
        <v>0</v>
      </c>
      <c r="U574" s="419">
        <f>ROUNDDOWN(Table15[[#This Row],[Column1]]/1360,0)</f>
        <v>0</v>
      </c>
      <c r="V574" s="419"/>
      <c r="W574" s="251">
        <v>13.25</v>
      </c>
      <c r="X574" s="251">
        <f>ROUNDDOWN(Table15[[#This Row],[R-DEMAND]]/1320,0)</f>
        <v>0</v>
      </c>
      <c r="Y574" s="251">
        <f>IFERROR(Table15[[#This Row],[ADD ACC
(660/1320)]]*Table15[[#This Row],[Duration
(B744)]],0)</f>
        <v>0</v>
      </c>
      <c r="Z574" s="251"/>
    </row>
    <row r="575" spans="1:26" ht="15.75" customHeight="1" x14ac:dyDescent="0.25">
      <c r="A575" s="210" t="s">
        <v>15660</v>
      </c>
      <c r="B575" s="204" t="s">
        <v>14216</v>
      </c>
      <c r="C575" s="204"/>
      <c r="D575" s="205">
        <v>3</v>
      </c>
      <c r="E575" s="204" t="s">
        <v>78</v>
      </c>
      <c r="F575" s="204" t="str">
        <f>VLOOKUP(E575,Table10[[COUNTRY NAME]:[CONTINENT CODE]],3,FALSE)</f>
        <v>EU</v>
      </c>
      <c r="G575" s="210" t="s">
        <v>14215</v>
      </c>
      <c r="H575" s="207">
        <v>4989</v>
      </c>
      <c r="I575" s="208">
        <v>13.25</v>
      </c>
      <c r="J575" s="345"/>
      <c r="K575" s="345">
        <f>IFERROR(Table15[[#This Row],[ROUTE $]]/Table15[[#This Row],[E - DEMAND]],0)</f>
        <v>0</v>
      </c>
      <c r="L575" s="204"/>
      <c r="M575" s="412">
        <f>IFERROR(VLOOKUP(Table15[[#This Row],[ROUTE]],DEMAND!A:F,5,FALSE),0)</f>
        <v>0</v>
      </c>
      <c r="N575" s="16">
        <f>IFERROR(VLOOKUP(Table15[[#This Row],[ROUTE]],DEMAND!A:F,6,FALSE),0)</f>
        <v>0</v>
      </c>
      <c r="O575" s="16">
        <f>IFERROR(ROUNDDOWN(Table15[[#This Row],[R-DEMAND]]/1706,0),0)</f>
        <v>0</v>
      </c>
      <c r="P575" s="16">
        <f>IFERROR(Table15[[#This Row],[ADD ACC]]*Table15[[#This Row],[RT TIME 
(380-800)]],0)</f>
        <v>0</v>
      </c>
      <c r="Q575" s="415">
        <f>IFERROR(VLOOKUP(Table15[[#This Row],[ROUTE]],PRICING!A:B,2,FALSE),0)</f>
        <v>0</v>
      </c>
      <c r="R575" s="235">
        <f>IFERROR(Table15[[#This Row],[C_DEMAND]]-Table15[[#This Row],[R-DEMAND]],0)</f>
        <v>0</v>
      </c>
      <c r="S575" s="408">
        <f t="shared" si="8"/>
        <v>0</v>
      </c>
      <c r="T575" s="419">
        <f>Table15[[#This Row],[R-DEMAND]]-(Table15[[#This Row],[ADD ACC]]*1706)</f>
        <v>0</v>
      </c>
      <c r="U575" s="419">
        <f>ROUNDDOWN(Table15[[#This Row],[Column1]]/1360,0)</f>
        <v>0</v>
      </c>
      <c r="V575" s="419"/>
      <c r="W575" s="251">
        <v>13.25</v>
      </c>
      <c r="X575" s="251">
        <f>ROUNDDOWN(Table15[[#This Row],[R-DEMAND]]/1320,0)</f>
        <v>0</v>
      </c>
      <c r="Y575" s="251">
        <f>IFERROR(Table15[[#This Row],[ADD ACC
(660/1320)]]*Table15[[#This Row],[Duration
(B744)]],0)</f>
        <v>0</v>
      </c>
      <c r="Z575" s="251"/>
    </row>
    <row r="576" spans="1:26" ht="15.75" customHeight="1" x14ac:dyDescent="0.25">
      <c r="A576" s="210" t="s">
        <v>15648</v>
      </c>
      <c r="B576" s="204" t="s">
        <v>5419</v>
      </c>
      <c r="C576" s="204"/>
      <c r="D576" s="205">
        <v>3</v>
      </c>
      <c r="E576" s="204" t="s">
        <v>722</v>
      </c>
      <c r="F576" s="204" t="str">
        <f>VLOOKUP(E576,Table10[[COUNTRY NAME]:[CONTINENT CODE]],3,FALSE)</f>
        <v>EU</v>
      </c>
      <c r="G576" s="210" t="s">
        <v>11845</v>
      </c>
      <c r="H576" s="207">
        <v>5067</v>
      </c>
      <c r="I576" s="208">
        <v>13.25</v>
      </c>
      <c r="J576" s="345"/>
      <c r="K576" s="345">
        <f>IFERROR(Table15[[#This Row],[ROUTE $]]/Table15[[#This Row],[E - DEMAND]],0)</f>
        <v>0</v>
      </c>
      <c r="L576" s="204"/>
      <c r="M576" s="412">
        <f>IFERROR(VLOOKUP(Table15[[#This Row],[ROUTE]],DEMAND!A:F,5,FALSE),0)</f>
        <v>0</v>
      </c>
      <c r="N576" s="16">
        <f>IFERROR(VLOOKUP(Table15[[#This Row],[ROUTE]],DEMAND!A:F,6,FALSE),0)</f>
        <v>0</v>
      </c>
      <c r="O576" s="16">
        <f>IFERROR(ROUNDDOWN(Table15[[#This Row],[R-DEMAND]]/1706,0),0)</f>
        <v>0</v>
      </c>
      <c r="P576" s="16">
        <f>IFERROR(Table15[[#This Row],[ADD ACC]]*Table15[[#This Row],[RT TIME 
(380-800)]],0)</f>
        <v>0</v>
      </c>
      <c r="Q576" s="415">
        <f>IFERROR(VLOOKUP(Table15[[#This Row],[ROUTE]],PRICING!A:B,2,FALSE),0)</f>
        <v>0</v>
      </c>
      <c r="R576" s="235">
        <f>IFERROR(Table15[[#This Row],[C_DEMAND]]-Table15[[#This Row],[R-DEMAND]],0)</f>
        <v>0</v>
      </c>
      <c r="S576" s="408">
        <f t="shared" si="8"/>
        <v>0</v>
      </c>
      <c r="T576" s="419">
        <f>Table15[[#This Row],[R-DEMAND]]-(Table15[[#This Row],[ADD ACC]]*1706)</f>
        <v>0</v>
      </c>
      <c r="U576" s="419">
        <f>ROUNDDOWN(Table15[[#This Row],[Column1]]/1360,0)</f>
        <v>0</v>
      </c>
      <c r="V576" s="419"/>
      <c r="W576" s="251">
        <v>13.25</v>
      </c>
      <c r="X576" s="251">
        <f>ROUNDDOWN(Table15[[#This Row],[R-DEMAND]]/1320,0)</f>
        <v>0</v>
      </c>
      <c r="Y576" s="251">
        <f>IFERROR(Table15[[#This Row],[ADD ACC
(660/1320)]]*Table15[[#This Row],[Duration
(B744)]],0)</f>
        <v>0</v>
      </c>
      <c r="Z576" s="251"/>
    </row>
    <row r="577" spans="1:26" ht="15.75" customHeight="1" x14ac:dyDescent="0.25">
      <c r="A577" s="210" t="s">
        <v>15652</v>
      </c>
      <c r="B577" s="204" t="s">
        <v>4211</v>
      </c>
      <c r="C577" s="204"/>
      <c r="D577" s="205">
        <v>2</v>
      </c>
      <c r="E577" s="204" t="s">
        <v>938</v>
      </c>
      <c r="F577" s="204" t="str">
        <f>VLOOKUP(E577,Table10[[COUNTRY NAME]:[CONTINENT CODE]],3,FALSE)</f>
        <v>AF</v>
      </c>
      <c r="G577" s="206" t="s">
        <v>11975</v>
      </c>
      <c r="H577" s="207">
        <v>5043</v>
      </c>
      <c r="I577" s="208">
        <v>13.25</v>
      </c>
      <c r="J577" s="345"/>
      <c r="K577" s="345">
        <f>IFERROR(Table15[[#This Row],[ROUTE $]]/Table15[[#This Row],[E - DEMAND]],0)</f>
        <v>0</v>
      </c>
      <c r="L577" s="204"/>
      <c r="M577" s="412">
        <f>IFERROR(VLOOKUP(Table15[[#This Row],[ROUTE]],DEMAND!A:F,5,FALSE),0)</f>
        <v>0</v>
      </c>
      <c r="N577" s="16">
        <f>IFERROR(VLOOKUP(Table15[[#This Row],[ROUTE]],DEMAND!A:F,6,FALSE),0)</f>
        <v>0</v>
      </c>
      <c r="O577" s="16">
        <f>IFERROR(ROUNDDOWN(Table15[[#This Row],[R-DEMAND]]/1706,0),0)</f>
        <v>0</v>
      </c>
      <c r="P577" s="16">
        <f>IFERROR(Table15[[#This Row],[ADD ACC]]*Table15[[#This Row],[RT TIME 
(380-800)]],0)</f>
        <v>0</v>
      </c>
      <c r="Q577" s="415">
        <f>IFERROR(VLOOKUP(Table15[[#This Row],[ROUTE]],PRICING!A:B,2,FALSE),0)</f>
        <v>0</v>
      </c>
      <c r="R577" s="235">
        <f>IFERROR(Table15[[#This Row],[C_DEMAND]]-Table15[[#This Row],[R-DEMAND]],0)</f>
        <v>0</v>
      </c>
      <c r="S577" s="408">
        <f t="shared" si="8"/>
        <v>0</v>
      </c>
      <c r="T577" s="419">
        <f>Table15[[#This Row],[R-DEMAND]]-(Table15[[#This Row],[ADD ACC]]*1706)</f>
        <v>0</v>
      </c>
      <c r="U577" s="419">
        <f>ROUNDDOWN(Table15[[#This Row],[Column1]]/1360,0)</f>
        <v>0</v>
      </c>
      <c r="V577" s="419"/>
      <c r="W577" s="251">
        <v>13.25</v>
      </c>
      <c r="X577" s="251">
        <f>ROUNDDOWN(Table15[[#This Row],[R-DEMAND]]/1320,0)</f>
        <v>0</v>
      </c>
      <c r="Y577" s="251">
        <f>IFERROR(Table15[[#This Row],[ADD ACC
(660/1320)]]*Table15[[#This Row],[Duration
(B744)]],0)</f>
        <v>0</v>
      </c>
      <c r="Z577" s="251"/>
    </row>
    <row r="578" spans="1:26" ht="15.75" customHeight="1" x14ac:dyDescent="0.25">
      <c r="A578" s="210" t="s">
        <v>15647</v>
      </c>
      <c r="B578" s="204" t="s">
        <v>351</v>
      </c>
      <c r="C578" s="204"/>
      <c r="D578" s="205">
        <v>2</v>
      </c>
      <c r="E578" s="204" t="s">
        <v>717</v>
      </c>
      <c r="F578" s="204" t="str">
        <f>VLOOKUP(E578,Table10[[COUNTRY NAME]:[CONTINENT CODE]],3,FALSE)</f>
        <v>AS</v>
      </c>
      <c r="G578" s="206" t="s">
        <v>12087</v>
      </c>
      <c r="H578" s="207">
        <v>5072</v>
      </c>
      <c r="I578" s="208">
        <v>13.25</v>
      </c>
      <c r="J578" s="345"/>
      <c r="K578" s="345">
        <f>IFERROR(Table15[[#This Row],[ROUTE $]]/Table15[[#This Row],[E - DEMAND]],0)</f>
        <v>0</v>
      </c>
      <c r="L578" s="204"/>
      <c r="M578" s="412">
        <f>IFERROR(VLOOKUP(Table15[[#This Row],[ROUTE]],DEMAND!A:F,5,FALSE),0)</f>
        <v>0</v>
      </c>
      <c r="N578" s="16">
        <f>IFERROR(VLOOKUP(Table15[[#This Row],[ROUTE]],DEMAND!A:F,6,FALSE),0)</f>
        <v>0</v>
      </c>
      <c r="O578" s="16">
        <f>IFERROR(ROUNDDOWN(Table15[[#This Row],[R-DEMAND]]/1706,0),0)</f>
        <v>0</v>
      </c>
      <c r="P578" s="16">
        <f>IFERROR(Table15[[#This Row],[ADD ACC]]*Table15[[#This Row],[RT TIME 
(380-800)]],0)</f>
        <v>0</v>
      </c>
      <c r="Q578" s="415">
        <f>IFERROR(VLOOKUP(Table15[[#This Row],[ROUTE]],PRICING!A:B,2,FALSE),0)</f>
        <v>0</v>
      </c>
      <c r="R578" s="235">
        <f>IFERROR(Table15[[#This Row],[C_DEMAND]]-Table15[[#This Row],[R-DEMAND]],0)</f>
        <v>0</v>
      </c>
      <c r="S578" s="408">
        <f t="shared" si="8"/>
        <v>0</v>
      </c>
      <c r="T578" s="419">
        <f>Table15[[#This Row],[R-DEMAND]]-(Table15[[#This Row],[ADD ACC]]*1706)</f>
        <v>0</v>
      </c>
      <c r="U578" s="419">
        <f>ROUNDDOWN(Table15[[#This Row],[Column1]]/1360,0)</f>
        <v>0</v>
      </c>
      <c r="V578" s="419"/>
      <c r="W578" s="251">
        <v>13.25</v>
      </c>
      <c r="X578" s="251">
        <f>ROUNDDOWN(Table15[[#This Row],[R-DEMAND]]/1320,0)</f>
        <v>0</v>
      </c>
      <c r="Y578" s="251">
        <f>IFERROR(Table15[[#This Row],[ADD ACC
(660/1320)]]*Table15[[#This Row],[Duration
(B744)]],0)</f>
        <v>0</v>
      </c>
      <c r="Z578" s="251"/>
    </row>
    <row r="579" spans="1:26" ht="15.75" customHeight="1" x14ac:dyDescent="0.25">
      <c r="A579" s="210" t="s">
        <v>15657</v>
      </c>
      <c r="B579" s="204" t="s">
        <v>206</v>
      </c>
      <c r="C579" s="204"/>
      <c r="D579" s="205">
        <v>2</v>
      </c>
      <c r="E579" s="204" t="s">
        <v>717</v>
      </c>
      <c r="F579" s="204" t="str">
        <f>VLOOKUP(E579,Table10[[COUNTRY NAME]:[CONTINENT CODE]],3,FALSE)</f>
        <v>AS</v>
      </c>
      <c r="G579" s="206" t="s">
        <v>12081</v>
      </c>
      <c r="H579" s="207">
        <v>5008</v>
      </c>
      <c r="I579" s="208">
        <v>13.25</v>
      </c>
      <c r="J579" s="345"/>
      <c r="K579" s="345">
        <f>IFERROR(Table15[[#This Row],[ROUTE $]]/Table15[[#This Row],[E - DEMAND]],0)</f>
        <v>0</v>
      </c>
      <c r="L579" s="204"/>
      <c r="M579" s="412">
        <f>IFERROR(VLOOKUP(Table15[[#This Row],[ROUTE]],DEMAND!A:F,5,FALSE),0)</f>
        <v>0</v>
      </c>
      <c r="N579" s="16">
        <f>IFERROR(VLOOKUP(Table15[[#This Row],[ROUTE]],DEMAND!A:F,6,FALSE),0)</f>
        <v>0</v>
      </c>
      <c r="O579" s="16">
        <f>IFERROR(ROUNDDOWN(Table15[[#This Row],[R-DEMAND]]/1706,0),0)</f>
        <v>0</v>
      </c>
      <c r="P579" s="16">
        <f>IFERROR(Table15[[#This Row],[ADD ACC]]*Table15[[#This Row],[RT TIME 
(380-800)]],0)</f>
        <v>0</v>
      </c>
      <c r="Q579" s="415">
        <f>IFERROR(VLOOKUP(Table15[[#This Row],[ROUTE]],PRICING!A:B,2,FALSE),0)</f>
        <v>0</v>
      </c>
      <c r="R579" s="235">
        <f>IFERROR(Table15[[#This Row],[C_DEMAND]]-Table15[[#This Row],[R-DEMAND]],0)</f>
        <v>0</v>
      </c>
      <c r="S579" s="408">
        <f t="shared" ref="S579:S642" si="9">IFERROR(R579*Q579,0)</f>
        <v>0</v>
      </c>
      <c r="T579" s="419">
        <f>Table15[[#This Row],[R-DEMAND]]-(Table15[[#This Row],[ADD ACC]]*1706)</f>
        <v>0</v>
      </c>
      <c r="U579" s="419">
        <f>ROUNDDOWN(Table15[[#This Row],[Column1]]/1360,0)</f>
        <v>0</v>
      </c>
      <c r="V579" s="419"/>
      <c r="W579" s="251">
        <v>13.25</v>
      </c>
      <c r="X579" s="251">
        <f>ROUNDDOWN(Table15[[#This Row],[R-DEMAND]]/1320,0)</f>
        <v>0</v>
      </c>
      <c r="Y579" s="251">
        <f>IFERROR(Table15[[#This Row],[ADD ACC
(660/1320)]]*Table15[[#This Row],[Duration
(B744)]],0)</f>
        <v>0</v>
      </c>
      <c r="Z579" s="251"/>
    </row>
    <row r="580" spans="1:26" ht="15.75" customHeight="1" x14ac:dyDescent="0.25">
      <c r="A580" s="210" t="s">
        <v>15653</v>
      </c>
      <c r="B580" s="204" t="s">
        <v>4436</v>
      </c>
      <c r="C580" s="204"/>
      <c r="D580" s="205">
        <v>2</v>
      </c>
      <c r="E580" s="204" t="s">
        <v>4434</v>
      </c>
      <c r="F580" s="204" t="str">
        <f>VLOOKUP(E580,Table10[[COUNTRY NAME]:[CONTINENT CODE]],3,FALSE)</f>
        <v>EU</v>
      </c>
      <c r="G580" s="210" t="s">
        <v>11843</v>
      </c>
      <c r="H580" s="207">
        <v>5036</v>
      </c>
      <c r="I580" s="208">
        <v>13.25</v>
      </c>
      <c r="J580" s="345"/>
      <c r="K580" s="345">
        <f>IFERROR(Table15[[#This Row],[ROUTE $]]/Table15[[#This Row],[E - DEMAND]],0)</f>
        <v>0</v>
      </c>
      <c r="L580" s="204"/>
      <c r="M580" s="412">
        <f>IFERROR(VLOOKUP(Table15[[#This Row],[ROUTE]],DEMAND!A:F,5,FALSE),0)</f>
        <v>0</v>
      </c>
      <c r="N580" s="16">
        <f>IFERROR(VLOOKUP(Table15[[#This Row],[ROUTE]],DEMAND!A:F,6,FALSE),0)</f>
        <v>0</v>
      </c>
      <c r="O580" s="16">
        <f>IFERROR(ROUNDDOWN(Table15[[#This Row],[R-DEMAND]]/1706,0),0)</f>
        <v>0</v>
      </c>
      <c r="P580" s="16">
        <f>IFERROR(Table15[[#This Row],[ADD ACC]]*Table15[[#This Row],[RT TIME 
(380-800)]],0)</f>
        <v>0</v>
      </c>
      <c r="Q580" s="415">
        <f>IFERROR(VLOOKUP(Table15[[#This Row],[ROUTE]],PRICING!A:B,2,FALSE),0)</f>
        <v>0</v>
      </c>
      <c r="R580" s="235">
        <f>IFERROR(Table15[[#This Row],[C_DEMAND]]-Table15[[#This Row],[R-DEMAND]],0)</f>
        <v>0</v>
      </c>
      <c r="S580" s="408">
        <f t="shared" si="9"/>
        <v>0</v>
      </c>
      <c r="T580" s="419">
        <f>Table15[[#This Row],[R-DEMAND]]-(Table15[[#This Row],[ADD ACC]]*1706)</f>
        <v>0</v>
      </c>
      <c r="U580" s="419">
        <f>ROUNDDOWN(Table15[[#This Row],[Column1]]/1360,0)</f>
        <v>0</v>
      </c>
      <c r="V580" s="419"/>
      <c r="W580" s="251">
        <v>13.25</v>
      </c>
      <c r="X580" s="251">
        <f>ROUNDDOWN(Table15[[#This Row],[R-DEMAND]]/1320,0)</f>
        <v>0</v>
      </c>
      <c r="Y580" s="251">
        <f>IFERROR(Table15[[#This Row],[ADD ACC
(660/1320)]]*Table15[[#This Row],[Duration
(B744)]],0)</f>
        <v>0</v>
      </c>
      <c r="Z580" s="251"/>
    </row>
    <row r="581" spans="1:26" ht="15.75" customHeight="1" x14ac:dyDescent="0.25">
      <c r="A581" s="210" t="s">
        <v>15649</v>
      </c>
      <c r="B581" s="204" t="s">
        <v>2986</v>
      </c>
      <c r="C581" s="204"/>
      <c r="D581" s="205">
        <v>2</v>
      </c>
      <c r="E581" s="204" t="s">
        <v>78</v>
      </c>
      <c r="F581" s="204" t="str">
        <f>VLOOKUP(E581,Table10[[COUNTRY NAME]:[CONTINENT CODE]],3,FALSE)</f>
        <v>EU</v>
      </c>
      <c r="G581" s="210" t="s">
        <v>11980</v>
      </c>
      <c r="H581" s="207">
        <v>5065</v>
      </c>
      <c r="I581" s="208">
        <v>13.25</v>
      </c>
      <c r="J581" s="345"/>
      <c r="K581" s="345">
        <f>IFERROR(Table15[[#This Row],[ROUTE $]]/Table15[[#This Row],[E - DEMAND]],0)</f>
        <v>0</v>
      </c>
      <c r="L581" s="204"/>
      <c r="M581" s="412">
        <f>IFERROR(VLOOKUP(Table15[[#This Row],[ROUTE]],DEMAND!A:F,5,FALSE),0)</f>
        <v>0</v>
      </c>
      <c r="N581" s="16">
        <f>IFERROR(VLOOKUP(Table15[[#This Row],[ROUTE]],DEMAND!A:F,6,FALSE),0)</f>
        <v>0</v>
      </c>
      <c r="O581" s="16">
        <f>IFERROR(ROUNDDOWN(Table15[[#This Row],[R-DEMAND]]/1706,0),0)</f>
        <v>0</v>
      </c>
      <c r="P581" s="16">
        <f>IFERROR(Table15[[#This Row],[ADD ACC]]*Table15[[#This Row],[RT TIME 
(380-800)]],0)</f>
        <v>0</v>
      </c>
      <c r="Q581" s="415">
        <f>IFERROR(VLOOKUP(Table15[[#This Row],[ROUTE]],PRICING!A:B,2,FALSE),0)</f>
        <v>0</v>
      </c>
      <c r="R581" s="235">
        <f>IFERROR(Table15[[#This Row],[C_DEMAND]]-Table15[[#This Row],[R-DEMAND]],0)</f>
        <v>0</v>
      </c>
      <c r="S581" s="408">
        <f t="shared" si="9"/>
        <v>0</v>
      </c>
      <c r="T581" s="419">
        <f>Table15[[#This Row],[R-DEMAND]]-(Table15[[#This Row],[ADD ACC]]*1706)</f>
        <v>0</v>
      </c>
      <c r="U581" s="419">
        <f>ROUNDDOWN(Table15[[#This Row],[Column1]]/1360,0)</f>
        <v>0</v>
      </c>
      <c r="V581" s="419"/>
      <c r="W581" s="251">
        <v>13.25</v>
      </c>
      <c r="X581" s="251">
        <f>ROUNDDOWN(Table15[[#This Row],[R-DEMAND]]/1320,0)</f>
        <v>0</v>
      </c>
      <c r="Y581" s="251">
        <f>IFERROR(Table15[[#This Row],[ADD ACC
(660/1320)]]*Table15[[#This Row],[Duration
(B744)]],0)</f>
        <v>0</v>
      </c>
      <c r="Z581" s="251"/>
    </row>
    <row r="582" spans="1:26" ht="15.75" customHeight="1" x14ac:dyDescent="0.25">
      <c r="A582" s="210" t="s">
        <v>15661</v>
      </c>
      <c r="B582" s="204" t="s">
        <v>3329</v>
      </c>
      <c r="C582" s="204"/>
      <c r="D582" s="205">
        <v>2</v>
      </c>
      <c r="E582" s="204" t="s">
        <v>1516</v>
      </c>
      <c r="F582" s="204" t="str">
        <f>VLOOKUP(E582,Table10[[COUNTRY NAME]:[CONTINENT CODE]],3,FALSE)</f>
        <v>AF</v>
      </c>
      <c r="G582" s="206" t="s">
        <v>8355</v>
      </c>
      <c r="H582" s="207">
        <v>4979</v>
      </c>
      <c r="I582" s="208">
        <v>13.25</v>
      </c>
      <c r="J582" s="345"/>
      <c r="K582" s="345">
        <f>IFERROR(Table15[[#This Row],[ROUTE $]]/Table15[[#This Row],[E - DEMAND]],0)</f>
        <v>0</v>
      </c>
      <c r="L582" s="204"/>
      <c r="M582" s="412">
        <f>IFERROR(VLOOKUP(Table15[[#This Row],[ROUTE]],DEMAND!A:F,5,FALSE),0)</f>
        <v>0</v>
      </c>
      <c r="N582" s="16">
        <f>IFERROR(VLOOKUP(Table15[[#This Row],[ROUTE]],DEMAND!A:F,6,FALSE),0)</f>
        <v>0</v>
      </c>
      <c r="O582" s="16">
        <f>IFERROR(ROUNDDOWN(Table15[[#This Row],[R-DEMAND]]/1706,0),0)</f>
        <v>0</v>
      </c>
      <c r="P582" s="16">
        <f>IFERROR(Table15[[#This Row],[ADD ACC]]*Table15[[#This Row],[RT TIME 
(380-800)]],0)</f>
        <v>0</v>
      </c>
      <c r="Q582" s="415">
        <f>IFERROR(VLOOKUP(Table15[[#This Row],[ROUTE]],PRICING!A:B,2,FALSE),0)</f>
        <v>0</v>
      </c>
      <c r="R582" s="235">
        <f>IFERROR(Table15[[#This Row],[C_DEMAND]]-Table15[[#This Row],[R-DEMAND]],0)</f>
        <v>0</v>
      </c>
      <c r="S582" s="408">
        <f t="shared" si="9"/>
        <v>0</v>
      </c>
      <c r="T582" s="419">
        <f>Table15[[#This Row],[R-DEMAND]]-(Table15[[#This Row],[ADD ACC]]*1706)</f>
        <v>0</v>
      </c>
      <c r="U582" s="419">
        <f>ROUNDDOWN(Table15[[#This Row],[Column1]]/1360,0)</f>
        <v>0</v>
      </c>
      <c r="V582" s="419"/>
      <c r="W582" s="251">
        <v>13.25</v>
      </c>
      <c r="X582" s="251">
        <f>ROUNDDOWN(Table15[[#This Row],[R-DEMAND]]/1320,0)</f>
        <v>0</v>
      </c>
      <c r="Y582" s="251">
        <f>IFERROR(Table15[[#This Row],[ADD ACC
(660/1320)]]*Table15[[#This Row],[Duration
(B744)]],0)</f>
        <v>0</v>
      </c>
      <c r="Z582" s="251"/>
    </row>
    <row r="583" spans="1:26" ht="15.75" customHeight="1" x14ac:dyDescent="0.25">
      <c r="A583" s="210" t="s">
        <v>15670</v>
      </c>
      <c r="B583" s="204" t="s">
        <v>4985</v>
      </c>
      <c r="C583" s="204"/>
      <c r="D583" s="205">
        <v>3</v>
      </c>
      <c r="E583" s="204" t="s">
        <v>722</v>
      </c>
      <c r="F583" s="204" t="str">
        <f>VLOOKUP(E583,Table10[[COUNTRY NAME]:[CONTINENT CODE]],3,FALSE)</f>
        <v>EU</v>
      </c>
      <c r="G583" s="210" t="s">
        <v>11850</v>
      </c>
      <c r="H583" s="207">
        <v>4892</v>
      </c>
      <c r="I583" s="208">
        <v>13</v>
      </c>
      <c r="J583" s="345"/>
      <c r="K583" s="345">
        <f>IFERROR(Table15[[#This Row],[ROUTE $]]/Table15[[#This Row],[E - DEMAND]],0)</f>
        <v>0</v>
      </c>
      <c r="L583" s="204"/>
      <c r="M583" s="412">
        <f>IFERROR(VLOOKUP(Table15[[#This Row],[ROUTE]],DEMAND!A:F,5,FALSE),0)</f>
        <v>0</v>
      </c>
      <c r="N583" s="16">
        <f>IFERROR(VLOOKUP(Table15[[#This Row],[ROUTE]],DEMAND!A:F,6,FALSE),0)</f>
        <v>0</v>
      </c>
      <c r="O583" s="16">
        <f>IFERROR(ROUNDDOWN(Table15[[#This Row],[R-DEMAND]]/1706,0),0)</f>
        <v>0</v>
      </c>
      <c r="P583" s="16">
        <f>IFERROR(Table15[[#This Row],[ADD ACC]]*Table15[[#This Row],[RT TIME 
(380-800)]],0)</f>
        <v>0</v>
      </c>
      <c r="Q583" s="415">
        <f>IFERROR(VLOOKUP(Table15[[#This Row],[ROUTE]],PRICING!A:B,2,FALSE),0)</f>
        <v>0</v>
      </c>
      <c r="R583" s="235">
        <f>IFERROR(Table15[[#This Row],[C_DEMAND]]-Table15[[#This Row],[R-DEMAND]],0)</f>
        <v>0</v>
      </c>
      <c r="S583" s="408">
        <f t="shared" si="9"/>
        <v>0</v>
      </c>
      <c r="T583" s="419">
        <f>Table15[[#This Row],[R-DEMAND]]-(Table15[[#This Row],[ADD ACC]]*1706)</f>
        <v>0</v>
      </c>
      <c r="U583" s="419">
        <f>ROUNDDOWN(Table15[[#This Row],[Column1]]/1360,0)</f>
        <v>0</v>
      </c>
      <c r="V583" s="419"/>
      <c r="W583" s="251">
        <v>13</v>
      </c>
      <c r="X583" s="251">
        <f>ROUNDDOWN(Table15[[#This Row],[R-DEMAND]]/1320,0)</f>
        <v>0</v>
      </c>
      <c r="Y583" s="251">
        <f>IFERROR(Table15[[#This Row],[ADD ACC
(660/1320)]]*Table15[[#This Row],[Duration
(B744)]],0)</f>
        <v>0</v>
      </c>
      <c r="Z583" s="251"/>
    </row>
    <row r="584" spans="1:26" ht="15.75" customHeight="1" x14ac:dyDescent="0.25">
      <c r="A584" s="210" t="s">
        <v>15663</v>
      </c>
      <c r="B584" s="204" t="s">
        <v>4408</v>
      </c>
      <c r="C584" s="204"/>
      <c r="D584" s="205">
        <v>2</v>
      </c>
      <c r="E584" s="204" t="s">
        <v>1420</v>
      </c>
      <c r="F584" s="204" t="str">
        <f>VLOOKUP(E584,Table10[[COUNTRY NAME]:[CONTINENT CODE]],3,FALSE)</f>
        <v>EU</v>
      </c>
      <c r="G584" s="210" t="s">
        <v>11844</v>
      </c>
      <c r="H584" s="207">
        <v>4965</v>
      </c>
      <c r="I584" s="208">
        <v>13</v>
      </c>
      <c r="J584" s="345"/>
      <c r="K584" s="345">
        <f>IFERROR(Table15[[#This Row],[ROUTE $]]/Table15[[#This Row],[E - DEMAND]],0)</f>
        <v>0</v>
      </c>
      <c r="L584" s="204"/>
      <c r="M584" s="412">
        <f>IFERROR(VLOOKUP(Table15[[#This Row],[ROUTE]],DEMAND!A:F,5,FALSE),0)</f>
        <v>0</v>
      </c>
      <c r="N584" s="16">
        <f>IFERROR(VLOOKUP(Table15[[#This Row],[ROUTE]],DEMAND!A:F,6,FALSE),0)</f>
        <v>0</v>
      </c>
      <c r="O584" s="16">
        <f>IFERROR(ROUNDDOWN(Table15[[#This Row],[R-DEMAND]]/1706,0),0)</f>
        <v>0</v>
      </c>
      <c r="P584" s="16">
        <f>IFERROR(Table15[[#This Row],[ADD ACC]]*Table15[[#This Row],[RT TIME 
(380-800)]],0)</f>
        <v>0</v>
      </c>
      <c r="Q584" s="415">
        <f>IFERROR(VLOOKUP(Table15[[#This Row],[ROUTE]],PRICING!A:B,2,FALSE),0)</f>
        <v>0</v>
      </c>
      <c r="R584" s="235">
        <f>IFERROR(Table15[[#This Row],[C_DEMAND]]-Table15[[#This Row],[R-DEMAND]],0)</f>
        <v>0</v>
      </c>
      <c r="S584" s="408">
        <f t="shared" si="9"/>
        <v>0</v>
      </c>
      <c r="T584" s="419">
        <f>Table15[[#This Row],[R-DEMAND]]-(Table15[[#This Row],[ADD ACC]]*1706)</f>
        <v>0</v>
      </c>
      <c r="U584" s="419">
        <f>ROUNDDOWN(Table15[[#This Row],[Column1]]/1360,0)</f>
        <v>0</v>
      </c>
      <c r="V584" s="419"/>
      <c r="W584" s="251">
        <v>13</v>
      </c>
      <c r="X584" s="251">
        <f>ROUNDDOWN(Table15[[#This Row],[R-DEMAND]]/1320,0)</f>
        <v>0</v>
      </c>
      <c r="Y584" s="251">
        <f>IFERROR(Table15[[#This Row],[ADD ACC
(660/1320)]]*Table15[[#This Row],[Duration
(B744)]],0)</f>
        <v>0</v>
      </c>
      <c r="Z584" s="251"/>
    </row>
    <row r="585" spans="1:26" ht="15.75" customHeight="1" x14ac:dyDescent="0.25">
      <c r="A585" s="210" t="s">
        <v>15671</v>
      </c>
      <c r="B585" s="204" t="s">
        <v>4562</v>
      </c>
      <c r="C585" s="204"/>
      <c r="D585" s="205">
        <v>2</v>
      </c>
      <c r="E585" s="204" t="s">
        <v>637</v>
      </c>
      <c r="F585" s="204" t="str">
        <f>VLOOKUP(E585,Table10[[COUNTRY NAME]:[CONTINENT CODE]],3,FALSE)</f>
        <v>AF</v>
      </c>
      <c r="G585" s="206" t="s">
        <v>11908</v>
      </c>
      <c r="H585" s="207">
        <v>4891</v>
      </c>
      <c r="I585" s="208">
        <v>13</v>
      </c>
      <c r="J585" s="345"/>
      <c r="K585" s="345">
        <f>IFERROR(Table15[[#This Row],[ROUTE $]]/Table15[[#This Row],[E - DEMAND]],0)</f>
        <v>0</v>
      </c>
      <c r="L585" s="204"/>
      <c r="M585" s="412">
        <f>IFERROR(VLOOKUP(Table15[[#This Row],[ROUTE]],DEMAND!A:F,5,FALSE),0)</f>
        <v>0</v>
      </c>
      <c r="N585" s="16">
        <f>IFERROR(VLOOKUP(Table15[[#This Row],[ROUTE]],DEMAND!A:F,6,FALSE),0)</f>
        <v>0</v>
      </c>
      <c r="O585" s="16">
        <f>IFERROR(ROUNDDOWN(Table15[[#This Row],[R-DEMAND]]/1706,0),0)</f>
        <v>0</v>
      </c>
      <c r="P585" s="16">
        <f>IFERROR(Table15[[#This Row],[ADD ACC]]*Table15[[#This Row],[RT TIME 
(380-800)]],0)</f>
        <v>0</v>
      </c>
      <c r="Q585" s="415">
        <f>IFERROR(VLOOKUP(Table15[[#This Row],[ROUTE]],PRICING!A:B,2,FALSE),0)</f>
        <v>0</v>
      </c>
      <c r="R585" s="235">
        <f>IFERROR(Table15[[#This Row],[C_DEMAND]]-Table15[[#This Row],[R-DEMAND]],0)</f>
        <v>0</v>
      </c>
      <c r="S585" s="408">
        <f t="shared" si="9"/>
        <v>0</v>
      </c>
      <c r="T585" s="419">
        <f>Table15[[#This Row],[R-DEMAND]]-(Table15[[#This Row],[ADD ACC]]*1706)</f>
        <v>0</v>
      </c>
      <c r="U585" s="419">
        <f>ROUNDDOWN(Table15[[#This Row],[Column1]]/1360,0)</f>
        <v>0</v>
      </c>
      <c r="V585" s="419"/>
      <c r="W585" s="251">
        <v>13</v>
      </c>
      <c r="X585" s="251">
        <f>ROUNDDOWN(Table15[[#This Row],[R-DEMAND]]/1320,0)</f>
        <v>0</v>
      </c>
      <c r="Y585" s="251">
        <f>IFERROR(Table15[[#This Row],[ADD ACC
(660/1320)]]*Table15[[#This Row],[Duration
(B744)]],0)</f>
        <v>0</v>
      </c>
      <c r="Z585" s="251"/>
    </row>
    <row r="586" spans="1:26" ht="15.75" customHeight="1" x14ac:dyDescent="0.25">
      <c r="A586" s="210" t="s">
        <v>15668</v>
      </c>
      <c r="B586" s="204" t="s">
        <v>1935</v>
      </c>
      <c r="C586" s="204"/>
      <c r="D586" s="205">
        <v>1</v>
      </c>
      <c r="E586" s="204" t="s">
        <v>700</v>
      </c>
      <c r="F586" s="204" t="str">
        <f>VLOOKUP(E586,Table10[[COUNTRY NAME]:[CONTINENT CODE]],3,FALSE)</f>
        <v>AS</v>
      </c>
      <c r="G586" s="206" t="s">
        <v>11846</v>
      </c>
      <c r="H586" s="207">
        <v>4898</v>
      </c>
      <c r="I586" s="208">
        <v>13</v>
      </c>
      <c r="J586" s="345"/>
      <c r="K586" s="345">
        <f>IFERROR(Table15[[#This Row],[ROUTE $]]/Table15[[#This Row],[E - DEMAND]],0)</f>
        <v>0</v>
      </c>
      <c r="L586" s="204"/>
      <c r="M586" s="412">
        <f>IFERROR(VLOOKUP(Table15[[#This Row],[ROUTE]],DEMAND!A:F,5,FALSE),0)</f>
        <v>0</v>
      </c>
      <c r="N586" s="16">
        <f>IFERROR(VLOOKUP(Table15[[#This Row],[ROUTE]],DEMAND!A:F,6,FALSE),0)</f>
        <v>0</v>
      </c>
      <c r="O586" s="16">
        <f>IFERROR(ROUNDDOWN(Table15[[#This Row],[R-DEMAND]]/1706,0),0)</f>
        <v>0</v>
      </c>
      <c r="P586" s="16">
        <f>IFERROR(Table15[[#This Row],[ADD ACC]]*Table15[[#This Row],[RT TIME 
(380-800)]],0)</f>
        <v>0</v>
      </c>
      <c r="Q586" s="415">
        <f>IFERROR(VLOOKUP(Table15[[#This Row],[ROUTE]],PRICING!A:B,2,FALSE),0)</f>
        <v>0</v>
      </c>
      <c r="R586" s="235">
        <f>IFERROR(Table15[[#This Row],[C_DEMAND]]-Table15[[#This Row],[R-DEMAND]],0)</f>
        <v>0</v>
      </c>
      <c r="S586" s="408">
        <f t="shared" si="9"/>
        <v>0</v>
      </c>
      <c r="T586" s="419">
        <f>Table15[[#This Row],[R-DEMAND]]-(Table15[[#This Row],[ADD ACC]]*1706)</f>
        <v>0</v>
      </c>
      <c r="U586" s="419">
        <f>ROUNDDOWN(Table15[[#This Row],[Column1]]/1360,0)</f>
        <v>0</v>
      </c>
      <c r="V586" s="419"/>
      <c r="W586" s="251">
        <v>13</v>
      </c>
      <c r="X586" s="251">
        <f>ROUNDDOWN(Table15[[#This Row],[R-DEMAND]]/1320,0)</f>
        <v>0</v>
      </c>
      <c r="Y586" s="251">
        <f>IFERROR(Table15[[#This Row],[ADD ACC
(660/1320)]]*Table15[[#This Row],[Duration
(B744)]],0)</f>
        <v>0</v>
      </c>
      <c r="Z586" s="251"/>
    </row>
    <row r="587" spans="1:26" ht="15.75" customHeight="1" x14ac:dyDescent="0.25">
      <c r="A587" s="210" t="s">
        <v>15677</v>
      </c>
      <c r="B587" s="204" t="s">
        <v>4831</v>
      </c>
      <c r="C587" s="204"/>
      <c r="D587" s="205">
        <v>3</v>
      </c>
      <c r="E587" s="204" t="s">
        <v>4829</v>
      </c>
      <c r="F587" s="204" t="str">
        <f>VLOOKUP(E587,Table10[[COUNTRY NAME]:[CONTINENT CODE]],3,FALSE)</f>
        <v>AS</v>
      </c>
      <c r="G587" s="206" t="s">
        <v>12108</v>
      </c>
      <c r="H587" s="207">
        <v>4821</v>
      </c>
      <c r="I587" s="208">
        <v>12.75</v>
      </c>
      <c r="J587" s="345"/>
      <c r="K587" s="345">
        <f>IFERROR(Table15[[#This Row],[ROUTE $]]/Table15[[#This Row],[E - DEMAND]],0)</f>
        <v>0</v>
      </c>
      <c r="L587" s="204"/>
      <c r="M587" s="412">
        <f>IFERROR(VLOOKUP(Table15[[#This Row],[ROUTE]],DEMAND!A:F,5,FALSE),0)</f>
        <v>0</v>
      </c>
      <c r="N587" s="16">
        <f>IFERROR(VLOOKUP(Table15[[#This Row],[ROUTE]],DEMAND!A:F,6,FALSE),0)</f>
        <v>0</v>
      </c>
      <c r="O587" s="16">
        <f>IFERROR(ROUNDDOWN(Table15[[#This Row],[R-DEMAND]]/1706,0),0)</f>
        <v>0</v>
      </c>
      <c r="P587" s="16">
        <f>IFERROR(Table15[[#This Row],[ADD ACC]]*Table15[[#This Row],[RT TIME 
(380-800)]],0)</f>
        <v>0</v>
      </c>
      <c r="Q587" s="415">
        <f>IFERROR(VLOOKUP(Table15[[#This Row],[ROUTE]],PRICING!A:B,2,FALSE),0)</f>
        <v>0</v>
      </c>
      <c r="R587" s="235">
        <f>IFERROR(Table15[[#This Row],[C_DEMAND]]-Table15[[#This Row],[R-DEMAND]],0)</f>
        <v>0</v>
      </c>
      <c r="S587" s="408">
        <f t="shared" si="9"/>
        <v>0</v>
      </c>
      <c r="T587" s="419">
        <f>Table15[[#This Row],[R-DEMAND]]-(Table15[[#This Row],[ADD ACC]]*1706)</f>
        <v>0</v>
      </c>
      <c r="U587" s="419">
        <f>ROUNDDOWN(Table15[[#This Row],[Column1]]/1360,0)</f>
        <v>0</v>
      </c>
      <c r="V587" s="419"/>
      <c r="W587" s="251">
        <v>12.75</v>
      </c>
      <c r="X587" s="251">
        <f>ROUNDDOWN(Table15[[#This Row],[R-DEMAND]]/1320,0)</f>
        <v>0</v>
      </c>
      <c r="Y587" s="251">
        <f>IFERROR(Table15[[#This Row],[ADD ACC
(660/1320)]]*Table15[[#This Row],[Duration
(B744)]],0)</f>
        <v>0</v>
      </c>
      <c r="Z587" s="251"/>
    </row>
    <row r="588" spans="1:26" ht="15.75" customHeight="1" x14ac:dyDescent="0.25">
      <c r="A588" s="210" t="s">
        <v>15676</v>
      </c>
      <c r="B588" s="204" t="s">
        <v>4979</v>
      </c>
      <c r="C588" s="204"/>
      <c r="D588" s="205">
        <v>3</v>
      </c>
      <c r="E588" s="16" t="s">
        <v>11732</v>
      </c>
      <c r="F588" s="204" t="str">
        <f>VLOOKUP(E588,Table10[[COUNTRY NAME]:[CONTINENT CODE]],3,FALSE)</f>
        <v>NA - US</v>
      </c>
      <c r="G588" s="206" t="s">
        <v>12005</v>
      </c>
      <c r="H588" s="207">
        <v>4831</v>
      </c>
      <c r="I588" s="208">
        <v>12.75</v>
      </c>
      <c r="J588" s="345"/>
      <c r="K588" s="345">
        <f>IFERROR(Table15[[#This Row],[ROUTE $]]/Table15[[#This Row],[E - DEMAND]],0)</f>
        <v>0</v>
      </c>
      <c r="L588" s="204"/>
      <c r="M588" s="412">
        <f>IFERROR(VLOOKUP(Table15[[#This Row],[ROUTE]],DEMAND!A:F,5,FALSE),0)</f>
        <v>0</v>
      </c>
      <c r="N588" s="16">
        <f>IFERROR(VLOOKUP(Table15[[#This Row],[ROUTE]],DEMAND!A:F,6,FALSE),0)</f>
        <v>0</v>
      </c>
      <c r="O588" s="16">
        <f>IFERROR(ROUNDDOWN(Table15[[#This Row],[R-DEMAND]]/1706,0),0)</f>
        <v>0</v>
      </c>
      <c r="P588" s="16">
        <f>IFERROR(Table15[[#This Row],[ADD ACC]]*Table15[[#This Row],[RT TIME 
(380-800)]],0)</f>
        <v>0</v>
      </c>
      <c r="Q588" s="415">
        <f>IFERROR(VLOOKUP(Table15[[#This Row],[ROUTE]],PRICING!A:B,2,FALSE),0)</f>
        <v>0</v>
      </c>
      <c r="R588" s="235">
        <f>IFERROR(Table15[[#This Row],[C_DEMAND]]-Table15[[#This Row],[R-DEMAND]],0)</f>
        <v>0</v>
      </c>
      <c r="S588" s="408">
        <f t="shared" si="9"/>
        <v>0</v>
      </c>
      <c r="T588" s="419">
        <f>Table15[[#This Row],[R-DEMAND]]-(Table15[[#This Row],[ADD ACC]]*1706)</f>
        <v>0</v>
      </c>
      <c r="U588" s="419">
        <f>ROUNDDOWN(Table15[[#This Row],[Column1]]/1360,0)</f>
        <v>0</v>
      </c>
      <c r="V588" s="419"/>
      <c r="W588" s="251">
        <v>12.75</v>
      </c>
      <c r="X588" s="251">
        <f>ROUNDDOWN(Table15[[#This Row],[R-DEMAND]]/1320,0)</f>
        <v>0</v>
      </c>
      <c r="Y588" s="251">
        <f>IFERROR(Table15[[#This Row],[ADD ACC
(660/1320)]]*Table15[[#This Row],[Duration
(B744)]],0)</f>
        <v>0</v>
      </c>
      <c r="Z588" s="251"/>
    </row>
    <row r="589" spans="1:26" ht="15.75" customHeight="1" x14ac:dyDescent="0.25">
      <c r="A589" s="210" t="s">
        <v>15681</v>
      </c>
      <c r="B589" s="204" t="s">
        <v>3615</v>
      </c>
      <c r="C589" s="204"/>
      <c r="D589" s="205">
        <v>2</v>
      </c>
      <c r="E589" s="204" t="s">
        <v>78</v>
      </c>
      <c r="F589" s="204" t="str">
        <f>VLOOKUP(E589,Table10[[COUNTRY NAME]:[CONTINENT CODE]],3,FALSE)</f>
        <v>EU</v>
      </c>
      <c r="G589" s="210" t="s">
        <v>11861</v>
      </c>
      <c r="H589" s="207">
        <v>4786</v>
      </c>
      <c r="I589" s="208">
        <v>12.75</v>
      </c>
      <c r="J589" s="345"/>
      <c r="K589" s="345">
        <f>IFERROR(Table15[[#This Row],[ROUTE $]]/Table15[[#This Row],[E - DEMAND]],0)</f>
        <v>0</v>
      </c>
      <c r="L589" s="204"/>
      <c r="M589" s="412">
        <f>IFERROR(VLOOKUP(Table15[[#This Row],[ROUTE]],DEMAND!A:F,5,FALSE),0)</f>
        <v>0</v>
      </c>
      <c r="N589" s="16">
        <f>IFERROR(VLOOKUP(Table15[[#This Row],[ROUTE]],DEMAND!A:F,6,FALSE),0)</f>
        <v>0</v>
      </c>
      <c r="O589" s="16">
        <f>IFERROR(ROUNDDOWN(Table15[[#This Row],[R-DEMAND]]/1706,0),0)</f>
        <v>0</v>
      </c>
      <c r="P589" s="16">
        <f>IFERROR(Table15[[#This Row],[ADD ACC]]*Table15[[#This Row],[RT TIME 
(380-800)]],0)</f>
        <v>0</v>
      </c>
      <c r="Q589" s="415">
        <f>IFERROR(VLOOKUP(Table15[[#This Row],[ROUTE]],PRICING!A:B,2,FALSE),0)</f>
        <v>0</v>
      </c>
      <c r="R589" s="235">
        <f>IFERROR(Table15[[#This Row],[C_DEMAND]]-Table15[[#This Row],[R-DEMAND]],0)</f>
        <v>0</v>
      </c>
      <c r="S589" s="408">
        <f t="shared" si="9"/>
        <v>0</v>
      </c>
      <c r="T589" s="419">
        <f>Table15[[#This Row],[R-DEMAND]]-(Table15[[#This Row],[ADD ACC]]*1706)</f>
        <v>0</v>
      </c>
      <c r="U589" s="419">
        <f>ROUNDDOWN(Table15[[#This Row],[Column1]]/1360,0)</f>
        <v>0</v>
      </c>
      <c r="V589" s="419"/>
      <c r="W589" s="251">
        <v>12.75</v>
      </c>
      <c r="X589" s="251">
        <f>ROUNDDOWN(Table15[[#This Row],[R-DEMAND]]/1320,0)</f>
        <v>0</v>
      </c>
      <c r="Y589" s="251">
        <f>IFERROR(Table15[[#This Row],[ADD ACC
(660/1320)]]*Table15[[#This Row],[Duration
(B744)]],0)</f>
        <v>0</v>
      </c>
      <c r="Z589" s="251"/>
    </row>
    <row r="590" spans="1:26" ht="15.75" customHeight="1" x14ac:dyDescent="0.25">
      <c r="A590" s="210" t="s">
        <v>15683</v>
      </c>
      <c r="B590" s="204" t="s">
        <v>651</v>
      </c>
      <c r="C590" s="204"/>
      <c r="D590" s="205">
        <v>1</v>
      </c>
      <c r="E590" s="204" t="s">
        <v>637</v>
      </c>
      <c r="F590" s="204" t="str">
        <f>VLOOKUP(E590,Table10[[COUNTRY NAME]:[CONTINENT CODE]],3,FALSE)</f>
        <v>AF</v>
      </c>
      <c r="G590" s="206" t="s">
        <v>6840</v>
      </c>
      <c r="H590" s="207">
        <v>4770</v>
      </c>
      <c r="I590" s="208">
        <v>12.75</v>
      </c>
      <c r="J590" s="345"/>
      <c r="K590" s="345">
        <f>IFERROR(Table15[[#This Row],[ROUTE $]]/Table15[[#This Row],[E - DEMAND]],0)</f>
        <v>0</v>
      </c>
      <c r="L590" s="204"/>
      <c r="M590" s="412">
        <f>IFERROR(VLOOKUP(Table15[[#This Row],[ROUTE]],DEMAND!A:F,5,FALSE),0)</f>
        <v>0</v>
      </c>
      <c r="N590" s="16">
        <f>IFERROR(VLOOKUP(Table15[[#This Row],[ROUTE]],DEMAND!A:F,6,FALSE),0)</f>
        <v>0</v>
      </c>
      <c r="O590" s="16">
        <f>IFERROR(ROUNDDOWN(Table15[[#This Row],[R-DEMAND]]/1706,0),0)</f>
        <v>0</v>
      </c>
      <c r="P590" s="16">
        <f>IFERROR(Table15[[#This Row],[ADD ACC]]*Table15[[#This Row],[RT TIME 
(380-800)]],0)</f>
        <v>0</v>
      </c>
      <c r="Q590" s="415">
        <f>IFERROR(VLOOKUP(Table15[[#This Row],[ROUTE]],PRICING!A:B,2,FALSE),0)</f>
        <v>0</v>
      </c>
      <c r="R590" s="235">
        <f>IFERROR(Table15[[#This Row],[C_DEMAND]]-Table15[[#This Row],[R-DEMAND]],0)</f>
        <v>0</v>
      </c>
      <c r="S590" s="408">
        <f t="shared" si="9"/>
        <v>0</v>
      </c>
      <c r="T590" s="419">
        <f>Table15[[#This Row],[R-DEMAND]]-(Table15[[#This Row],[ADD ACC]]*1706)</f>
        <v>0</v>
      </c>
      <c r="U590" s="419">
        <f>ROUNDDOWN(Table15[[#This Row],[Column1]]/1360,0)</f>
        <v>0</v>
      </c>
      <c r="V590" s="419"/>
      <c r="W590" s="251">
        <v>12.75</v>
      </c>
      <c r="X590" s="251">
        <f>ROUNDDOWN(Table15[[#This Row],[R-DEMAND]]/1320,0)</f>
        <v>0</v>
      </c>
      <c r="Y590" s="251">
        <f>IFERROR(Table15[[#This Row],[ADD ACC
(660/1320)]]*Table15[[#This Row],[Duration
(B744)]],0)</f>
        <v>0</v>
      </c>
      <c r="Z590" s="251"/>
    </row>
    <row r="591" spans="1:26" ht="15.75" customHeight="1" x14ac:dyDescent="0.25">
      <c r="A591" s="210" t="s">
        <v>15697</v>
      </c>
      <c r="B591" s="204" t="s">
        <v>4716</v>
      </c>
      <c r="C591" s="204"/>
      <c r="D591" s="205">
        <v>3</v>
      </c>
      <c r="E591" s="204" t="s">
        <v>1516</v>
      </c>
      <c r="F591" s="204" t="str">
        <f>VLOOKUP(E591,Table10[[COUNTRY NAME]:[CONTINENT CODE]],3,FALSE)</f>
        <v>AF</v>
      </c>
      <c r="G591" s="206" t="s">
        <v>11939</v>
      </c>
      <c r="H591" s="207">
        <v>4685</v>
      </c>
      <c r="I591" s="208">
        <v>12.5</v>
      </c>
      <c r="J591" s="345"/>
      <c r="K591" s="345">
        <f>IFERROR(Table15[[#This Row],[ROUTE $]]/Table15[[#This Row],[E - DEMAND]],0)</f>
        <v>0</v>
      </c>
      <c r="L591" s="204"/>
      <c r="M591" s="412">
        <f>IFERROR(VLOOKUP(Table15[[#This Row],[ROUTE]],DEMAND!A:F,5,FALSE),0)</f>
        <v>0</v>
      </c>
      <c r="N591" s="16">
        <f>IFERROR(VLOOKUP(Table15[[#This Row],[ROUTE]],DEMAND!A:F,6,FALSE),0)</f>
        <v>0</v>
      </c>
      <c r="O591" s="16">
        <f>IFERROR(ROUNDDOWN(Table15[[#This Row],[R-DEMAND]]/1706,0),0)</f>
        <v>0</v>
      </c>
      <c r="P591" s="16">
        <f>IFERROR(Table15[[#This Row],[ADD ACC]]*Table15[[#This Row],[RT TIME 
(380-800)]],0)</f>
        <v>0</v>
      </c>
      <c r="Q591" s="415">
        <f>IFERROR(VLOOKUP(Table15[[#This Row],[ROUTE]],PRICING!A:B,2,FALSE),0)</f>
        <v>0</v>
      </c>
      <c r="R591" s="235">
        <f>IFERROR(Table15[[#This Row],[C_DEMAND]]-Table15[[#This Row],[R-DEMAND]],0)</f>
        <v>0</v>
      </c>
      <c r="S591" s="408">
        <f t="shared" si="9"/>
        <v>0</v>
      </c>
      <c r="T591" s="419">
        <f>Table15[[#This Row],[R-DEMAND]]-(Table15[[#This Row],[ADD ACC]]*1706)</f>
        <v>0</v>
      </c>
      <c r="U591" s="419">
        <f>ROUNDDOWN(Table15[[#This Row],[Column1]]/1360,0)</f>
        <v>0</v>
      </c>
      <c r="V591" s="419"/>
      <c r="W591" s="251">
        <v>12.5</v>
      </c>
      <c r="X591" s="251">
        <f>ROUNDDOWN(Table15[[#This Row],[R-DEMAND]]/1320,0)</f>
        <v>0</v>
      </c>
      <c r="Y591" s="251">
        <f>IFERROR(Table15[[#This Row],[ADD ACC
(660/1320)]]*Table15[[#This Row],[Duration
(B744)]],0)</f>
        <v>0</v>
      </c>
      <c r="Z591" s="251"/>
    </row>
    <row r="592" spans="1:26" ht="15.75" customHeight="1" x14ac:dyDescent="0.25">
      <c r="A592" s="210" t="s">
        <v>15690</v>
      </c>
      <c r="B592" s="204" t="s">
        <v>293</v>
      </c>
      <c r="C592" s="204"/>
      <c r="D592" s="205">
        <v>2</v>
      </c>
      <c r="E592" s="204" t="s">
        <v>1135</v>
      </c>
      <c r="F592" s="204" t="str">
        <f>VLOOKUP(E592,Table10[[COUNTRY NAME]:[CONTINENT CODE]],3,FALSE)</f>
        <v>AF</v>
      </c>
      <c r="G592" s="206" t="s">
        <v>11960</v>
      </c>
      <c r="H592" s="207">
        <v>4704</v>
      </c>
      <c r="I592" s="208">
        <v>12.5</v>
      </c>
      <c r="J592" s="345"/>
      <c r="K592" s="345">
        <f>IFERROR(Table15[[#This Row],[ROUTE $]]/Table15[[#This Row],[E - DEMAND]],0)</f>
        <v>0</v>
      </c>
      <c r="L592" s="204"/>
      <c r="M592" s="412">
        <f>IFERROR(VLOOKUP(Table15[[#This Row],[ROUTE]],DEMAND!A:F,5,FALSE),0)</f>
        <v>0</v>
      </c>
      <c r="N592" s="16">
        <f>IFERROR(VLOOKUP(Table15[[#This Row],[ROUTE]],DEMAND!A:F,6,FALSE),0)</f>
        <v>0</v>
      </c>
      <c r="O592" s="16">
        <f>IFERROR(ROUNDDOWN(Table15[[#This Row],[R-DEMAND]]/1706,0),0)</f>
        <v>0</v>
      </c>
      <c r="P592" s="16">
        <f>IFERROR(Table15[[#This Row],[ADD ACC]]*Table15[[#This Row],[RT TIME 
(380-800)]],0)</f>
        <v>0</v>
      </c>
      <c r="Q592" s="415">
        <f>IFERROR(VLOOKUP(Table15[[#This Row],[ROUTE]],PRICING!A:B,2,FALSE),0)</f>
        <v>0</v>
      </c>
      <c r="R592" s="235">
        <f>IFERROR(Table15[[#This Row],[C_DEMAND]]-Table15[[#This Row],[R-DEMAND]],0)</f>
        <v>0</v>
      </c>
      <c r="S592" s="408">
        <f t="shared" si="9"/>
        <v>0</v>
      </c>
      <c r="T592" s="419">
        <f>Table15[[#This Row],[R-DEMAND]]-(Table15[[#This Row],[ADD ACC]]*1706)</f>
        <v>0</v>
      </c>
      <c r="U592" s="419">
        <f>ROUNDDOWN(Table15[[#This Row],[Column1]]/1360,0)</f>
        <v>0</v>
      </c>
      <c r="V592" s="419"/>
      <c r="W592" s="251">
        <v>12.5</v>
      </c>
      <c r="X592" s="251">
        <f>ROUNDDOWN(Table15[[#This Row],[R-DEMAND]]/1320,0)</f>
        <v>0</v>
      </c>
      <c r="Y592" s="251">
        <f>IFERROR(Table15[[#This Row],[ADD ACC
(660/1320)]]*Table15[[#This Row],[Duration
(B744)]],0)</f>
        <v>0</v>
      </c>
      <c r="Z592" s="251"/>
    </row>
    <row r="593" spans="1:26" ht="15.75" customHeight="1" x14ac:dyDescent="0.25">
      <c r="A593" s="210" t="s">
        <v>15695</v>
      </c>
      <c r="B593" s="204" t="s">
        <v>4987</v>
      </c>
      <c r="C593" s="204"/>
      <c r="D593" s="205">
        <v>3</v>
      </c>
      <c r="E593" s="204" t="s">
        <v>722</v>
      </c>
      <c r="F593" s="204" t="str">
        <f>VLOOKUP(E593,Table10[[COUNTRY NAME]:[CONTINENT CODE]],3,FALSE)</f>
        <v>EU</v>
      </c>
      <c r="G593" s="210" t="s">
        <v>11855</v>
      </c>
      <c r="H593" s="207">
        <v>4693</v>
      </c>
      <c r="I593" s="208">
        <v>12.5</v>
      </c>
      <c r="J593" s="345"/>
      <c r="K593" s="345">
        <f>IFERROR(Table15[[#This Row],[ROUTE $]]/Table15[[#This Row],[E - DEMAND]],0)</f>
        <v>0</v>
      </c>
      <c r="L593" s="204"/>
      <c r="M593" s="412">
        <f>IFERROR(VLOOKUP(Table15[[#This Row],[ROUTE]],DEMAND!A:F,5,FALSE),0)</f>
        <v>0</v>
      </c>
      <c r="N593" s="16">
        <f>IFERROR(VLOOKUP(Table15[[#This Row],[ROUTE]],DEMAND!A:F,6,FALSE),0)</f>
        <v>0</v>
      </c>
      <c r="O593" s="16">
        <f>IFERROR(ROUNDDOWN(Table15[[#This Row],[R-DEMAND]]/1706,0),0)</f>
        <v>0</v>
      </c>
      <c r="P593" s="16">
        <f>IFERROR(Table15[[#This Row],[ADD ACC]]*Table15[[#This Row],[RT TIME 
(380-800)]],0)</f>
        <v>0</v>
      </c>
      <c r="Q593" s="415">
        <f>IFERROR(VLOOKUP(Table15[[#This Row],[ROUTE]],PRICING!A:B,2,FALSE),0)</f>
        <v>0</v>
      </c>
      <c r="R593" s="235">
        <f>IFERROR(Table15[[#This Row],[C_DEMAND]]-Table15[[#This Row],[R-DEMAND]],0)</f>
        <v>0</v>
      </c>
      <c r="S593" s="408">
        <f t="shared" si="9"/>
        <v>0</v>
      </c>
      <c r="T593" s="419">
        <f>Table15[[#This Row],[R-DEMAND]]-(Table15[[#This Row],[ADD ACC]]*1706)</f>
        <v>0</v>
      </c>
      <c r="U593" s="419">
        <f>ROUNDDOWN(Table15[[#This Row],[Column1]]/1360,0)</f>
        <v>0</v>
      </c>
      <c r="V593" s="419"/>
      <c r="W593" s="251">
        <v>12.5</v>
      </c>
      <c r="X593" s="251">
        <f>ROUNDDOWN(Table15[[#This Row],[R-DEMAND]]/1320,0)</f>
        <v>0</v>
      </c>
      <c r="Y593" s="251">
        <f>IFERROR(Table15[[#This Row],[ADD ACC
(660/1320)]]*Table15[[#This Row],[Duration
(B744)]],0)</f>
        <v>0</v>
      </c>
      <c r="Z593" s="251"/>
    </row>
    <row r="594" spans="1:26" ht="15.75" customHeight="1" x14ac:dyDescent="0.25">
      <c r="A594" s="210" t="s">
        <v>15699</v>
      </c>
      <c r="B594" s="204" t="s">
        <v>3755</v>
      </c>
      <c r="C594" s="204"/>
      <c r="D594" s="205">
        <v>2</v>
      </c>
      <c r="E594" s="204" t="s">
        <v>78</v>
      </c>
      <c r="F594" s="204" t="str">
        <f>VLOOKUP(E594,Table10[[COUNTRY NAME]:[CONTINENT CODE]],3,FALSE)</f>
        <v>EU</v>
      </c>
      <c r="G594" s="210" t="s">
        <v>8243</v>
      </c>
      <c r="H594" s="207">
        <v>4664</v>
      </c>
      <c r="I594" s="208">
        <v>12.5</v>
      </c>
      <c r="J594" s="345"/>
      <c r="K594" s="345">
        <f>IFERROR(Table15[[#This Row],[ROUTE $]]/Table15[[#This Row],[E - DEMAND]],0)</f>
        <v>0</v>
      </c>
      <c r="L594" s="204"/>
      <c r="M594" s="412">
        <f>IFERROR(VLOOKUP(Table15[[#This Row],[ROUTE]],DEMAND!A:F,5,FALSE),0)</f>
        <v>0</v>
      </c>
      <c r="N594" s="16">
        <f>IFERROR(VLOOKUP(Table15[[#This Row],[ROUTE]],DEMAND!A:F,6,FALSE),0)</f>
        <v>0</v>
      </c>
      <c r="O594" s="16">
        <f>IFERROR(ROUNDDOWN(Table15[[#This Row],[R-DEMAND]]/1706,0),0)</f>
        <v>0</v>
      </c>
      <c r="P594" s="16">
        <f>IFERROR(Table15[[#This Row],[ADD ACC]]*Table15[[#This Row],[RT TIME 
(380-800)]],0)</f>
        <v>0</v>
      </c>
      <c r="Q594" s="415">
        <f>IFERROR(VLOOKUP(Table15[[#This Row],[ROUTE]],PRICING!A:B,2,FALSE),0)</f>
        <v>0</v>
      </c>
      <c r="R594" s="235">
        <f>IFERROR(Table15[[#This Row],[C_DEMAND]]-Table15[[#This Row],[R-DEMAND]],0)</f>
        <v>0</v>
      </c>
      <c r="S594" s="408">
        <f t="shared" si="9"/>
        <v>0</v>
      </c>
      <c r="T594" s="419">
        <f>Table15[[#This Row],[R-DEMAND]]-(Table15[[#This Row],[ADD ACC]]*1706)</f>
        <v>0</v>
      </c>
      <c r="U594" s="419">
        <f>ROUNDDOWN(Table15[[#This Row],[Column1]]/1360,0)</f>
        <v>0</v>
      </c>
      <c r="V594" s="419"/>
      <c r="W594" s="251">
        <v>12.5</v>
      </c>
      <c r="X594" s="251">
        <f>ROUNDDOWN(Table15[[#This Row],[R-DEMAND]]/1320,0)</f>
        <v>0</v>
      </c>
      <c r="Y594" s="251">
        <f>IFERROR(Table15[[#This Row],[ADD ACC
(660/1320)]]*Table15[[#This Row],[Duration
(B744)]],0)</f>
        <v>0</v>
      </c>
      <c r="Z594" s="251"/>
    </row>
    <row r="595" spans="1:26" ht="15.75" customHeight="1" x14ac:dyDescent="0.25">
      <c r="A595" s="210" t="s">
        <v>15693</v>
      </c>
      <c r="B595" s="204" t="s">
        <v>4580</v>
      </c>
      <c r="C595" s="204"/>
      <c r="D595" s="205">
        <v>2</v>
      </c>
      <c r="E595" s="204" t="s">
        <v>78</v>
      </c>
      <c r="F595" s="204" t="str">
        <f>VLOOKUP(E595,Table10[[COUNTRY NAME]:[CONTINENT CODE]],3,FALSE)</f>
        <v>EU</v>
      </c>
      <c r="G595" s="210" t="s">
        <v>11916</v>
      </c>
      <c r="H595" s="207">
        <v>4700</v>
      </c>
      <c r="I595" s="208">
        <v>12.5</v>
      </c>
      <c r="J595" s="345"/>
      <c r="K595" s="345">
        <f>IFERROR(Table15[[#This Row],[ROUTE $]]/Table15[[#This Row],[E - DEMAND]],0)</f>
        <v>0</v>
      </c>
      <c r="L595" s="204"/>
      <c r="M595" s="412">
        <f>IFERROR(VLOOKUP(Table15[[#This Row],[ROUTE]],DEMAND!A:F,5,FALSE),0)</f>
        <v>0</v>
      </c>
      <c r="N595" s="16">
        <f>IFERROR(VLOOKUP(Table15[[#This Row],[ROUTE]],DEMAND!A:F,6,FALSE),0)</f>
        <v>0</v>
      </c>
      <c r="O595" s="16">
        <f>IFERROR(ROUNDDOWN(Table15[[#This Row],[R-DEMAND]]/1706,0),0)</f>
        <v>0</v>
      </c>
      <c r="P595" s="16">
        <f>IFERROR(Table15[[#This Row],[ADD ACC]]*Table15[[#This Row],[RT TIME 
(380-800)]],0)</f>
        <v>0</v>
      </c>
      <c r="Q595" s="415">
        <f>IFERROR(VLOOKUP(Table15[[#This Row],[ROUTE]],PRICING!A:B,2,FALSE),0)</f>
        <v>0</v>
      </c>
      <c r="R595" s="235">
        <f>IFERROR(Table15[[#This Row],[C_DEMAND]]-Table15[[#This Row],[R-DEMAND]],0)</f>
        <v>0</v>
      </c>
      <c r="S595" s="408">
        <f t="shared" si="9"/>
        <v>0</v>
      </c>
      <c r="T595" s="419">
        <f>Table15[[#This Row],[R-DEMAND]]-(Table15[[#This Row],[ADD ACC]]*1706)</f>
        <v>0</v>
      </c>
      <c r="U595" s="419">
        <f>ROUNDDOWN(Table15[[#This Row],[Column1]]/1360,0)</f>
        <v>0</v>
      </c>
      <c r="V595" s="419"/>
      <c r="W595" s="251">
        <v>12.5</v>
      </c>
      <c r="X595" s="251">
        <f>ROUNDDOWN(Table15[[#This Row],[R-DEMAND]]/1320,0)</f>
        <v>0</v>
      </c>
      <c r="Y595" s="251">
        <f>IFERROR(Table15[[#This Row],[ADD ACC
(660/1320)]]*Table15[[#This Row],[Duration
(B744)]],0)</f>
        <v>0</v>
      </c>
      <c r="Z595" s="251"/>
    </row>
    <row r="596" spans="1:26" ht="15.75" customHeight="1" x14ac:dyDescent="0.25">
      <c r="A596" s="210" t="s">
        <v>15689</v>
      </c>
      <c r="B596" s="204" t="s">
        <v>3044</v>
      </c>
      <c r="C596" s="204"/>
      <c r="D596" s="205">
        <v>2</v>
      </c>
      <c r="E596" s="204" t="s">
        <v>78</v>
      </c>
      <c r="F596" s="204" t="str">
        <f>VLOOKUP(E596,Table10[[COUNTRY NAME]:[CONTINENT CODE]],3,FALSE)</f>
        <v>EU</v>
      </c>
      <c r="G596" s="210" t="s">
        <v>11984</v>
      </c>
      <c r="H596" s="207">
        <v>4718</v>
      </c>
      <c r="I596" s="208">
        <v>12.5</v>
      </c>
      <c r="J596" s="345"/>
      <c r="K596" s="345">
        <f>IFERROR(Table15[[#This Row],[ROUTE $]]/Table15[[#This Row],[E - DEMAND]],0)</f>
        <v>0</v>
      </c>
      <c r="L596" s="204"/>
      <c r="M596" s="412">
        <f>IFERROR(VLOOKUP(Table15[[#This Row],[ROUTE]],DEMAND!A:F,5,FALSE),0)</f>
        <v>0</v>
      </c>
      <c r="N596" s="16">
        <f>IFERROR(VLOOKUP(Table15[[#This Row],[ROUTE]],DEMAND!A:F,6,FALSE),0)</f>
        <v>0</v>
      </c>
      <c r="O596" s="16">
        <f>IFERROR(ROUNDDOWN(Table15[[#This Row],[R-DEMAND]]/1706,0),0)</f>
        <v>0</v>
      </c>
      <c r="P596" s="16">
        <f>IFERROR(Table15[[#This Row],[ADD ACC]]*Table15[[#This Row],[RT TIME 
(380-800)]],0)</f>
        <v>0</v>
      </c>
      <c r="Q596" s="415">
        <f>IFERROR(VLOOKUP(Table15[[#This Row],[ROUTE]],PRICING!A:B,2,FALSE),0)</f>
        <v>0</v>
      </c>
      <c r="R596" s="235">
        <f>IFERROR(Table15[[#This Row],[C_DEMAND]]-Table15[[#This Row],[R-DEMAND]],0)</f>
        <v>0</v>
      </c>
      <c r="S596" s="408">
        <f t="shared" si="9"/>
        <v>0</v>
      </c>
      <c r="T596" s="419">
        <f>Table15[[#This Row],[R-DEMAND]]-(Table15[[#This Row],[ADD ACC]]*1706)</f>
        <v>0</v>
      </c>
      <c r="U596" s="419">
        <f>ROUNDDOWN(Table15[[#This Row],[Column1]]/1360,0)</f>
        <v>0</v>
      </c>
      <c r="V596" s="419"/>
      <c r="W596" s="251">
        <v>12.5</v>
      </c>
      <c r="X596" s="251">
        <f>ROUNDDOWN(Table15[[#This Row],[R-DEMAND]]/1320,0)</f>
        <v>0</v>
      </c>
      <c r="Y596" s="251">
        <f>IFERROR(Table15[[#This Row],[ADD ACC
(660/1320)]]*Table15[[#This Row],[Duration
(B744)]],0)</f>
        <v>0</v>
      </c>
      <c r="Z596" s="251"/>
    </row>
    <row r="597" spans="1:26" ht="15.75" customHeight="1" x14ac:dyDescent="0.25">
      <c r="A597" s="210" t="s">
        <v>15701</v>
      </c>
      <c r="B597" s="204" t="s">
        <v>3668</v>
      </c>
      <c r="C597" s="204"/>
      <c r="D597" s="205">
        <v>2</v>
      </c>
      <c r="E597" s="204" t="s">
        <v>1516</v>
      </c>
      <c r="F597" s="204" t="str">
        <f>VLOOKUP(E597,Table10[[COUNTRY NAME]:[CONTINENT CODE]],3,FALSE)</f>
        <v>AF</v>
      </c>
      <c r="G597" s="206" t="s">
        <v>11928</v>
      </c>
      <c r="H597" s="207">
        <v>4648</v>
      </c>
      <c r="I597" s="208">
        <v>12.5</v>
      </c>
      <c r="J597" s="345"/>
      <c r="K597" s="345">
        <f>IFERROR(Table15[[#This Row],[ROUTE $]]/Table15[[#This Row],[E - DEMAND]],0)</f>
        <v>0</v>
      </c>
      <c r="L597" s="204"/>
      <c r="M597" s="412">
        <f>IFERROR(VLOOKUP(Table15[[#This Row],[ROUTE]],DEMAND!A:F,5,FALSE),0)</f>
        <v>0</v>
      </c>
      <c r="N597" s="16">
        <f>IFERROR(VLOOKUP(Table15[[#This Row],[ROUTE]],DEMAND!A:F,6,FALSE),0)</f>
        <v>0</v>
      </c>
      <c r="O597" s="16">
        <f>IFERROR(ROUNDDOWN(Table15[[#This Row],[R-DEMAND]]/1706,0),0)</f>
        <v>0</v>
      </c>
      <c r="P597" s="16">
        <f>IFERROR(Table15[[#This Row],[ADD ACC]]*Table15[[#This Row],[RT TIME 
(380-800)]],0)</f>
        <v>0</v>
      </c>
      <c r="Q597" s="415">
        <f>IFERROR(VLOOKUP(Table15[[#This Row],[ROUTE]],PRICING!A:B,2,FALSE),0)</f>
        <v>0</v>
      </c>
      <c r="R597" s="235">
        <f>IFERROR(Table15[[#This Row],[C_DEMAND]]-Table15[[#This Row],[R-DEMAND]],0)</f>
        <v>0</v>
      </c>
      <c r="S597" s="408">
        <f t="shared" si="9"/>
        <v>0</v>
      </c>
      <c r="T597" s="419">
        <f>Table15[[#This Row],[R-DEMAND]]-(Table15[[#This Row],[ADD ACC]]*1706)</f>
        <v>0</v>
      </c>
      <c r="U597" s="419">
        <f>ROUNDDOWN(Table15[[#This Row],[Column1]]/1360,0)</f>
        <v>0</v>
      </c>
      <c r="V597" s="419"/>
      <c r="W597" s="251">
        <v>12.5</v>
      </c>
      <c r="X597" s="251">
        <f>ROUNDDOWN(Table15[[#This Row],[R-DEMAND]]/1320,0)</f>
        <v>0</v>
      </c>
      <c r="Y597" s="251">
        <f>IFERROR(Table15[[#This Row],[ADD ACC
(660/1320)]]*Table15[[#This Row],[Duration
(B744)]],0)</f>
        <v>0</v>
      </c>
      <c r="Z597" s="251"/>
    </row>
    <row r="598" spans="1:26" ht="15.75" customHeight="1" x14ac:dyDescent="0.25">
      <c r="A598" s="210" t="s">
        <v>15686</v>
      </c>
      <c r="B598" s="204" t="s">
        <v>2466</v>
      </c>
      <c r="C598" s="204"/>
      <c r="D598" s="205">
        <v>1</v>
      </c>
      <c r="E598" s="204" t="s">
        <v>700</v>
      </c>
      <c r="F598" s="204" t="str">
        <f>VLOOKUP(E598,Table10[[COUNTRY NAME]:[CONTINENT CODE]],3,FALSE)</f>
        <v>AS</v>
      </c>
      <c r="G598" s="206" t="s">
        <v>11852</v>
      </c>
      <c r="H598" s="207">
        <v>4737</v>
      </c>
      <c r="I598" s="208">
        <v>12.5</v>
      </c>
      <c r="J598" s="345"/>
      <c r="K598" s="345">
        <f>IFERROR(Table15[[#This Row],[ROUTE $]]/Table15[[#This Row],[E - DEMAND]],0)</f>
        <v>0</v>
      </c>
      <c r="L598" s="204"/>
      <c r="M598" s="412">
        <f>IFERROR(VLOOKUP(Table15[[#This Row],[ROUTE]],DEMAND!A:F,5,FALSE),0)</f>
        <v>0</v>
      </c>
      <c r="N598" s="16">
        <f>IFERROR(VLOOKUP(Table15[[#This Row],[ROUTE]],DEMAND!A:F,6,FALSE),0)</f>
        <v>0</v>
      </c>
      <c r="O598" s="16">
        <f>IFERROR(ROUNDDOWN(Table15[[#This Row],[R-DEMAND]]/1706,0),0)</f>
        <v>0</v>
      </c>
      <c r="P598" s="16">
        <f>IFERROR(Table15[[#This Row],[ADD ACC]]*Table15[[#This Row],[RT TIME 
(380-800)]],0)</f>
        <v>0</v>
      </c>
      <c r="Q598" s="415">
        <f>IFERROR(VLOOKUP(Table15[[#This Row],[ROUTE]],PRICING!A:B,2,FALSE),0)</f>
        <v>0</v>
      </c>
      <c r="R598" s="235">
        <f>IFERROR(Table15[[#This Row],[C_DEMAND]]-Table15[[#This Row],[R-DEMAND]],0)</f>
        <v>0</v>
      </c>
      <c r="S598" s="408">
        <f t="shared" si="9"/>
        <v>0</v>
      </c>
      <c r="T598" s="419">
        <f>Table15[[#This Row],[R-DEMAND]]-(Table15[[#This Row],[ADD ACC]]*1706)</f>
        <v>0</v>
      </c>
      <c r="U598" s="419">
        <f>ROUNDDOWN(Table15[[#This Row],[Column1]]/1360,0)</f>
        <v>0</v>
      </c>
      <c r="V598" s="419"/>
      <c r="W598" s="251">
        <v>12.5</v>
      </c>
      <c r="X598" s="251">
        <f>ROUNDDOWN(Table15[[#This Row],[R-DEMAND]]/1320,0)</f>
        <v>0</v>
      </c>
      <c r="Y598" s="251">
        <f>IFERROR(Table15[[#This Row],[ADD ACC
(660/1320)]]*Table15[[#This Row],[Duration
(B744)]],0)</f>
        <v>0</v>
      </c>
      <c r="Z598" s="251"/>
    </row>
    <row r="599" spans="1:26" ht="15.75" customHeight="1" x14ac:dyDescent="0.25">
      <c r="A599" s="210" t="s">
        <v>15713</v>
      </c>
      <c r="B599" s="204" t="s">
        <v>152</v>
      </c>
      <c r="C599" s="204"/>
      <c r="D599" s="205">
        <v>3</v>
      </c>
      <c r="E599" s="204" t="s">
        <v>1189</v>
      </c>
      <c r="F599" s="204" t="str">
        <f>VLOOKUP(E599,Table10[[COUNTRY NAME]:[CONTINENT CODE]],3,FALSE)</f>
        <v>AF</v>
      </c>
      <c r="G599" s="206" t="s">
        <v>11926</v>
      </c>
      <c r="H599" s="207">
        <v>4534</v>
      </c>
      <c r="I599" s="208">
        <v>12.25</v>
      </c>
      <c r="J599" s="345"/>
      <c r="K599" s="345">
        <f>IFERROR(Table15[[#This Row],[ROUTE $]]/Table15[[#This Row],[E - DEMAND]],0)</f>
        <v>0</v>
      </c>
      <c r="L599" s="204"/>
      <c r="M599" s="412">
        <f>IFERROR(VLOOKUP(Table15[[#This Row],[ROUTE]],DEMAND!A:F,5,FALSE),0)</f>
        <v>0</v>
      </c>
      <c r="N599" s="16">
        <f>IFERROR(VLOOKUP(Table15[[#This Row],[ROUTE]],DEMAND!A:F,6,FALSE),0)</f>
        <v>0</v>
      </c>
      <c r="O599" s="16">
        <f>IFERROR(ROUNDDOWN(Table15[[#This Row],[R-DEMAND]]/1706,0),0)</f>
        <v>0</v>
      </c>
      <c r="P599" s="16">
        <f>IFERROR(Table15[[#This Row],[ADD ACC]]*Table15[[#This Row],[RT TIME 
(380-800)]],0)</f>
        <v>0</v>
      </c>
      <c r="Q599" s="415">
        <f>IFERROR(VLOOKUP(Table15[[#This Row],[ROUTE]],PRICING!A:B,2,FALSE),0)</f>
        <v>0</v>
      </c>
      <c r="R599" s="235">
        <f>IFERROR(Table15[[#This Row],[C_DEMAND]]-Table15[[#This Row],[R-DEMAND]],0)</f>
        <v>0</v>
      </c>
      <c r="S599" s="408">
        <f t="shared" si="9"/>
        <v>0</v>
      </c>
      <c r="T599" s="419">
        <f>Table15[[#This Row],[R-DEMAND]]-(Table15[[#This Row],[ADD ACC]]*1706)</f>
        <v>0</v>
      </c>
      <c r="U599" s="419">
        <f>ROUNDDOWN(Table15[[#This Row],[Column1]]/1360,0)</f>
        <v>0</v>
      </c>
      <c r="V599" s="419"/>
      <c r="W599" s="251">
        <v>12.25</v>
      </c>
      <c r="X599" s="251">
        <f>ROUNDDOWN(Table15[[#This Row],[R-DEMAND]]/1320,0)</f>
        <v>0</v>
      </c>
      <c r="Y599" s="251">
        <f>IFERROR(Table15[[#This Row],[ADD ACC
(660/1320)]]*Table15[[#This Row],[Duration
(B744)]],0)</f>
        <v>0</v>
      </c>
      <c r="Z599" s="251"/>
    </row>
    <row r="600" spans="1:26" ht="15.75" customHeight="1" x14ac:dyDescent="0.25">
      <c r="A600" s="210" t="s">
        <v>15710</v>
      </c>
      <c r="B600" s="204" t="s">
        <v>4582</v>
      </c>
      <c r="C600" s="204"/>
      <c r="D600" s="205">
        <v>2</v>
      </c>
      <c r="E600" s="204" t="s">
        <v>78</v>
      </c>
      <c r="F600" s="204" t="str">
        <f>VLOOKUP(E600,Table10[[COUNTRY NAME]:[CONTINENT CODE]],3,FALSE)</f>
        <v>EU</v>
      </c>
      <c r="G600" s="210" t="s">
        <v>9358</v>
      </c>
      <c r="H600" s="207">
        <v>4590</v>
      </c>
      <c r="I600" s="208">
        <v>12.25</v>
      </c>
      <c r="J600" s="345"/>
      <c r="K600" s="345">
        <f>IFERROR(Table15[[#This Row],[ROUTE $]]/Table15[[#This Row],[E - DEMAND]],0)</f>
        <v>0</v>
      </c>
      <c r="L600" s="204"/>
      <c r="M600" s="412">
        <f>IFERROR(VLOOKUP(Table15[[#This Row],[ROUTE]],DEMAND!A:F,5,FALSE),0)</f>
        <v>0</v>
      </c>
      <c r="N600" s="16">
        <f>IFERROR(VLOOKUP(Table15[[#This Row],[ROUTE]],DEMAND!A:F,6,FALSE),0)</f>
        <v>0</v>
      </c>
      <c r="O600" s="16">
        <f>IFERROR(ROUNDDOWN(Table15[[#This Row],[R-DEMAND]]/1706,0),0)</f>
        <v>0</v>
      </c>
      <c r="P600" s="16">
        <f>IFERROR(Table15[[#This Row],[ADD ACC]]*Table15[[#This Row],[RT TIME 
(380-800)]],0)</f>
        <v>0</v>
      </c>
      <c r="Q600" s="415">
        <f>IFERROR(VLOOKUP(Table15[[#This Row],[ROUTE]],PRICING!A:B,2,FALSE),0)</f>
        <v>0</v>
      </c>
      <c r="R600" s="235">
        <f>IFERROR(Table15[[#This Row],[C_DEMAND]]-Table15[[#This Row],[R-DEMAND]],0)</f>
        <v>0</v>
      </c>
      <c r="S600" s="408">
        <f t="shared" si="9"/>
        <v>0</v>
      </c>
      <c r="T600" s="419">
        <f>Table15[[#This Row],[R-DEMAND]]-(Table15[[#This Row],[ADD ACC]]*1706)</f>
        <v>0</v>
      </c>
      <c r="U600" s="419">
        <f>ROUNDDOWN(Table15[[#This Row],[Column1]]/1360,0)</f>
        <v>0</v>
      </c>
      <c r="V600" s="419"/>
      <c r="W600" s="251">
        <v>12.25</v>
      </c>
      <c r="X600" s="251">
        <f>ROUNDDOWN(Table15[[#This Row],[R-DEMAND]]/1320,0)</f>
        <v>0</v>
      </c>
      <c r="Y600" s="251">
        <f>IFERROR(Table15[[#This Row],[ADD ACC
(660/1320)]]*Table15[[#This Row],[Duration
(B744)]],0)</f>
        <v>0</v>
      </c>
      <c r="Z600" s="251"/>
    </row>
    <row r="601" spans="1:26" ht="15.75" customHeight="1" x14ac:dyDescent="0.25">
      <c r="A601" s="210" t="s">
        <v>15715</v>
      </c>
      <c r="B601" s="204" t="s">
        <v>4705</v>
      </c>
      <c r="C601" s="204"/>
      <c r="D601" s="205">
        <v>2</v>
      </c>
      <c r="E601" s="204" t="s">
        <v>78</v>
      </c>
      <c r="F601" s="204" t="str">
        <f>VLOOKUP(E601,Table10[[COUNTRY NAME]:[CONTINENT CODE]],3,FALSE)</f>
        <v>EU</v>
      </c>
      <c r="G601" s="210" t="s">
        <v>11880</v>
      </c>
      <c r="H601" s="207">
        <v>4517</v>
      </c>
      <c r="I601" s="208">
        <v>12.25</v>
      </c>
      <c r="J601" s="345"/>
      <c r="K601" s="345">
        <f>IFERROR(Table15[[#This Row],[ROUTE $]]/Table15[[#This Row],[E - DEMAND]],0)</f>
        <v>0</v>
      </c>
      <c r="L601" s="204"/>
      <c r="M601" s="412">
        <f>IFERROR(VLOOKUP(Table15[[#This Row],[ROUTE]],DEMAND!A:F,5,FALSE),0)</f>
        <v>0</v>
      </c>
      <c r="N601" s="16">
        <f>IFERROR(VLOOKUP(Table15[[#This Row],[ROUTE]],DEMAND!A:F,6,FALSE),0)</f>
        <v>0</v>
      </c>
      <c r="O601" s="16">
        <f>IFERROR(ROUNDDOWN(Table15[[#This Row],[R-DEMAND]]/1706,0),0)</f>
        <v>0</v>
      </c>
      <c r="P601" s="16">
        <f>IFERROR(Table15[[#This Row],[ADD ACC]]*Table15[[#This Row],[RT TIME 
(380-800)]],0)</f>
        <v>0</v>
      </c>
      <c r="Q601" s="415">
        <f>IFERROR(VLOOKUP(Table15[[#This Row],[ROUTE]],PRICING!A:B,2,FALSE),0)</f>
        <v>0</v>
      </c>
      <c r="R601" s="235">
        <f>IFERROR(Table15[[#This Row],[C_DEMAND]]-Table15[[#This Row],[R-DEMAND]],0)</f>
        <v>0</v>
      </c>
      <c r="S601" s="408">
        <f t="shared" si="9"/>
        <v>0</v>
      </c>
      <c r="T601" s="419">
        <f>Table15[[#This Row],[R-DEMAND]]-(Table15[[#This Row],[ADD ACC]]*1706)</f>
        <v>0</v>
      </c>
      <c r="U601" s="419">
        <f>ROUNDDOWN(Table15[[#This Row],[Column1]]/1360,0)</f>
        <v>0</v>
      </c>
      <c r="V601" s="419"/>
      <c r="W601" s="251">
        <v>12.25</v>
      </c>
      <c r="X601" s="251">
        <f>ROUNDDOWN(Table15[[#This Row],[R-DEMAND]]/1320,0)</f>
        <v>0</v>
      </c>
      <c r="Y601" s="251">
        <f>IFERROR(Table15[[#This Row],[ADD ACC
(660/1320)]]*Table15[[#This Row],[Duration
(B744)]],0)</f>
        <v>0</v>
      </c>
      <c r="Z601" s="251"/>
    </row>
    <row r="602" spans="1:26" ht="15.75" customHeight="1" x14ac:dyDescent="0.25">
      <c r="A602" s="210" t="s">
        <v>15714</v>
      </c>
      <c r="B602" s="204" t="s">
        <v>4308</v>
      </c>
      <c r="C602" s="204"/>
      <c r="D602" s="205">
        <v>2</v>
      </c>
      <c r="E602" s="204" t="s">
        <v>78</v>
      </c>
      <c r="F602" s="204" t="str">
        <f>VLOOKUP(E602,Table10[[COUNTRY NAME]:[CONTINENT CODE]],3,FALSE)</f>
        <v>EU</v>
      </c>
      <c r="G602" s="210" t="s">
        <v>11899</v>
      </c>
      <c r="H602" s="207">
        <v>4533</v>
      </c>
      <c r="I602" s="208">
        <v>12.25</v>
      </c>
      <c r="J602" s="345"/>
      <c r="K602" s="345">
        <f>IFERROR(Table15[[#This Row],[ROUTE $]]/Table15[[#This Row],[E - DEMAND]],0)</f>
        <v>0</v>
      </c>
      <c r="L602" s="204"/>
      <c r="M602" s="412">
        <f>IFERROR(VLOOKUP(Table15[[#This Row],[ROUTE]],DEMAND!A:F,5,FALSE),0)</f>
        <v>0</v>
      </c>
      <c r="N602" s="16">
        <f>IFERROR(VLOOKUP(Table15[[#This Row],[ROUTE]],DEMAND!A:F,6,FALSE),0)</f>
        <v>0</v>
      </c>
      <c r="O602" s="16">
        <f>IFERROR(ROUNDDOWN(Table15[[#This Row],[R-DEMAND]]/1706,0),0)</f>
        <v>0</v>
      </c>
      <c r="P602" s="16">
        <f>IFERROR(Table15[[#This Row],[ADD ACC]]*Table15[[#This Row],[RT TIME 
(380-800)]],0)</f>
        <v>0</v>
      </c>
      <c r="Q602" s="415">
        <f>IFERROR(VLOOKUP(Table15[[#This Row],[ROUTE]],PRICING!A:B,2,FALSE),0)</f>
        <v>0</v>
      </c>
      <c r="R602" s="235">
        <f>IFERROR(Table15[[#This Row],[C_DEMAND]]-Table15[[#This Row],[R-DEMAND]],0)</f>
        <v>0</v>
      </c>
      <c r="S602" s="408">
        <f t="shared" si="9"/>
        <v>0</v>
      </c>
      <c r="T602" s="419">
        <f>Table15[[#This Row],[R-DEMAND]]-(Table15[[#This Row],[ADD ACC]]*1706)</f>
        <v>0</v>
      </c>
      <c r="U602" s="419">
        <f>ROUNDDOWN(Table15[[#This Row],[Column1]]/1360,0)</f>
        <v>0</v>
      </c>
      <c r="V602" s="419"/>
      <c r="W602" s="251">
        <v>12.25</v>
      </c>
      <c r="X602" s="251">
        <f>ROUNDDOWN(Table15[[#This Row],[R-DEMAND]]/1320,0)</f>
        <v>0</v>
      </c>
      <c r="Y602" s="251">
        <f>IFERROR(Table15[[#This Row],[ADD ACC
(660/1320)]]*Table15[[#This Row],[Duration
(B744)]],0)</f>
        <v>0</v>
      </c>
      <c r="Z602" s="251"/>
    </row>
    <row r="603" spans="1:26" ht="15.75" customHeight="1" x14ac:dyDescent="0.25">
      <c r="A603" s="210" t="s">
        <v>15708</v>
      </c>
      <c r="B603" s="204" t="s">
        <v>4477</v>
      </c>
      <c r="C603" s="204"/>
      <c r="D603" s="205">
        <v>2</v>
      </c>
      <c r="E603" s="204" t="s">
        <v>722</v>
      </c>
      <c r="F603" s="204" t="str">
        <f>VLOOKUP(E603,Table10[[COUNTRY NAME]:[CONTINENT CODE]],3,FALSE)</f>
        <v>EU</v>
      </c>
      <c r="G603" s="210" t="s">
        <v>11856</v>
      </c>
      <c r="H603" s="207">
        <v>4595</v>
      </c>
      <c r="I603" s="208">
        <v>12.25</v>
      </c>
      <c r="J603" s="345"/>
      <c r="K603" s="345">
        <f>IFERROR(Table15[[#This Row],[ROUTE $]]/Table15[[#This Row],[E - DEMAND]],0)</f>
        <v>0</v>
      </c>
      <c r="L603" s="204"/>
      <c r="M603" s="412">
        <f>IFERROR(VLOOKUP(Table15[[#This Row],[ROUTE]],DEMAND!A:F,5,FALSE),0)</f>
        <v>0</v>
      </c>
      <c r="N603" s="16">
        <f>IFERROR(VLOOKUP(Table15[[#This Row],[ROUTE]],DEMAND!A:F,6,FALSE),0)</f>
        <v>0</v>
      </c>
      <c r="O603" s="16">
        <f>IFERROR(ROUNDDOWN(Table15[[#This Row],[R-DEMAND]]/1706,0),0)</f>
        <v>0</v>
      </c>
      <c r="P603" s="16">
        <f>IFERROR(Table15[[#This Row],[ADD ACC]]*Table15[[#This Row],[RT TIME 
(380-800)]],0)</f>
        <v>0</v>
      </c>
      <c r="Q603" s="415">
        <f>IFERROR(VLOOKUP(Table15[[#This Row],[ROUTE]],PRICING!A:B,2,FALSE),0)</f>
        <v>0</v>
      </c>
      <c r="R603" s="235">
        <f>IFERROR(Table15[[#This Row],[C_DEMAND]]-Table15[[#This Row],[R-DEMAND]],0)</f>
        <v>0</v>
      </c>
      <c r="S603" s="408">
        <f t="shared" si="9"/>
        <v>0</v>
      </c>
      <c r="T603" s="419">
        <f>Table15[[#This Row],[R-DEMAND]]-(Table15[[#This Row],[ADD ACC]]*1706)</f>
        <v>0</v>
      </c>
      <c r="U603" s="419">
        <f>ROUNDDOWN(Table15[[#This Row],[Column1]]/1360,0)</f>
        <v>0</v>
      </c>
      <c r="V603" s="419"/>
      <c r="W603" s="251">
        <v>12.25</v>
      </c>
      <c r="X603" s="251">
        <f>ROUNDDOWN(Table15[[#This Row],[R-DEMAND]]/1320,0)</f>
        <v>0</v>
      </c>
      <c r="Y603" s="251">
        <f>IFERROR(Table15[[#This Row],[ADD ACC
(660/1320)]]*Table15[[#This Row],[Duration
(B744)]],0)</f>
        <v>0</v>
      </c>
      <c r="Z603" s="251"/>
    </row>
    <row r="604" spans="1:26" ht="15.75" customHeight="1" x14ac:dyDescent="0.25">
      <c r="A604" s="210" t="s">
        <v>15707</v>
      </c>
      <c r="B604" s="204" t="s">
        <v>1600</v>
      </c>
      <c r="C604" s="204"/>
      <c r="D604" s="205">
        <v>1</v>
      </c>
      <c r="E604" s="204" t="s">
        <v>1189</v>
      </c>
      <c r="F604" s="204" t="str">
        <f>VLOOKUP(E604,Table10[[COUNTRY NAME]:[CONTINENT CODE]],3,FALSE)</f>
        <v>AF</v>
      </c>
      <c r="G604" s="206" t="s">
        <v>11920</v>
      </c>
      <c r="H604" s="207">
        <v>4598</v>
      </c>
      <c r="I604" s="208">
        <v>12.25</v>
      </c>
      <c r="J604" s="345"/>
      <c r="K604" s="345">
        <f>IFERROR(Table15[[#This Row],[ROUTE $]]/Table15[[#This Row],[E - DEMAND]],0)</f>
        <v>0</v>
      </c>
      <c r="L604" s="204"/>
      <c r="M604" s="412">
        <f>IFERROR(VLOOKUP(Table15[[#This Row],[ROUTE]],DEMAND!A:F,5,FALSE),0)</f>
        <v>0</v>
      </c>
      <c r="N604" s="16">
        <f>IFERROR(VLOOKUP(Table15[[#This Row],[ROUTE]],DEMAND!A:F,6,FALSE),0)</f>
        <v>0</v>
      </c>
      <c r="O604" s="16">
        <f>IFERROR(ROUNDDOWN(Table15[[#This Row],[R-DEMAND]]/1706,0),0)</f>
        <v>0</v>
      </c>
      <c r="P604" s="16">
        <f>IFERROR(Table15[[#This Row],[ADD ACC]]*Table15[[#This Row],[RT TIME 
(380-800)]],0)</f>
        <v>0</v>
      </c>
      <c r="Q604" s="415">
        <f>IFERROR(VLOOKUP(Table15[[#This Row],[ROUTE]],PRICING!A:B,2,FALSE),0)</f>
        <v>0</v>
      </c>
      <c r="R604" s="235">
        <f>IFERROR(Table15[[#This Row],[C_DEMAND]]-Table15[[#This Row],[R-DEMAND]],0)</f>
        <v>0</v>
      </c>
      <c r="S604" s="408">
        <f t="shared" si="9"/>
        <v>0</v>
      </c>
      <c r="T604" s="419">
        <f>Table15[[#This Row],[R-DEMAND]]-(Table15[[#This Row],[ADD ACC]]*1706)</f>
        <v>0</v>
      </c>
      <c r="U604" s="419">
        <f>ROUNDDOWN(Table15[[#This Row],[Column1]]/1360,0)</f>
        <v>0</v>
      </c>
      <c r="V604" s="419"/>
      <c r="W604" s="251">
        <v>12.25</v>
      </c>
      <c r="X604" s="251">
        <f>ROUNDDOWN(Table15[[#This Row],[R-DEMAND]]/1320,0)</f>
        <v>0</v>
      </c>
      <c r="Y604" s="251">
        <f>IFERROR(Table15[[#This Row],[ADD ACC
(660/1320)]]*Table15[[#This Row],[Duration
(B744)]],0)</f>
        <v>0</v>
      </c>
      <c r="Z604" s="251"/>
    </row>
    <row r="605" spans="1:26" ht="15.75" customHeight="1" x14ac:dyDescent="0.25">
      <c r="A605" s="210" t="s">
        <v>15706</v>
      </c>
      <c r="B605" s="204" t="s">
        <v>1211</v>
      </c>
      <c r="C605" s="204"/>
      <c r="D605" s="205">
        <v>1</v>
      </c>
      <c r="E605" s="204" t="s">
        <v>700</v>
      </c>
      <c r="F605" s="204" t="str">
        <f>VLOOKUP(E605,Table10[[COUNTRY NAME]:[CONTINENT CODE]],3,FALSE)</f>
        <v>AS</v>
      </c>
      <c r="G605" s="206" t="s">
        <v>11854</v>
      </c>
      <c r="H605" s="207">
        <v>4598</v>
      </c>
      <c r="I605" s="208">
        <v>12.25</v>
      </c>
      <c r="J605" s="345"/>
      <c r="K605" s="345">
        <f>IFERROR(Table15[[#This Row],[ROUTE $]]/Table15[[#This Row],[E - DEMAND]],0)</f>
        <v>0</v>
      </c>
      <c r="L605" s="204"/>
      <c r="M605" s="412">
        <f>IFERROR(VLOOKUP(Table15[[#This Row],[ROUTE]],DEMAND!A:F,5,FALSE),0)</f>
        <v>0</v>
      </c>
      <c r="N605" s="16">
        <f>IFERROR(VLOOKUP(Table15[[#This Row],[ROUTE]],DEMAND!A:F,6,FALSE),0)</f>
        <v>0</v>
      </c>
      <c r="O605" s="16">
        <f>IFERROR(ROUNDDOWN(Table15[[#This Row],[R-DEMAND]]/1706,0),0)</f>
        <v>0</v>
      </c>
      <c r="P605" s="16">
        <f>IFERROR(Table15[[#This Row],[ADD ACC]]*Table15[[#This Row],[RT TIME 
(380-800)]],0)</f>
        <v>0</v>
      </c>
      <c r="Q605" s="415">
        <f>IFERROR(VLOOKUP(Table15[[#This Row],[ROUTE]],PRICING!A:B,2,FALSE),0)</f>
        <v>0</v>
      </c>
      <c r="R605" s="235">
        <f>IFERROR(Table15[[#This Row],[C_DEMAND]]-Table15[[#This Row],[R-DEMAND]],0)</f>
        <v>0</v>
      </c>
      <c r="S605" s="408">
        <f t="shared" si="9"/>
        <v>0</v>
      </c>
      <c r="T605" s="419">
        <f>Table15[[#This Row],[R-DEMAND]]-(Table15[[#This Row],[ADD ACC]]*1706)</f>
        <v>0</v>
      </c>
      <c r="U605" s="419">
        <f>ROUNDDOWN(Table15[[#This Row],[Column1]]/1360,0)</f>
        <v>0</v>
      </c>
      <c r="V605" s="419"/>
      <c r="W605" s="251">
        <v>12.25</v>
      </c>
      <c r="X605" s="251">
        <f>ROUNDDOWN(Table15[[#This Row],[R-DEMAND]]/1320,0)</f>
        <v>0</v>
      </c>
      <c r="Y605" s="251">
        <f>IFERROR(Table15[[#This Row],[ADD ACC
(660/1320)]]*Table15[[#This Row],[Duration
(B744)]],0)</f>
        <v>0</v>
      </c>
      <c r="Z605" s="251"/>
    </row>
    <row r="606" spans="1:26" ht="15.75" customHeight="1" x14ac:dyDescent="0.25">
      <c r="A606" s="210" t="s">
        <v>15709</v>
      </c>
      <c r="B606" s="204" t="s">
        <v>883</v>
      </c>
      <c r="C606" s="204"/>
      <c r="D606" s="205">
        <v>1</v>
      </c>
      <c r="E606" s="204" t="s">
        <v>881</v>
      </c>
      <c r="F606" s="204" t="str">
        <f>VLOOKUP(E606,Table10[[COUNTRY NAME]:[CONTINENT CODE]],3,FALSE)</f>
        <v>AF</v>
      </c>
      <c r="G606" s="206" t="s">
        <v>9981</v>
      </c>
      <c r="H606" s="207">
        <v>4592</v>
      </c>
      <c r="I606" s="208">
        <v>12.25</v>
      </c>
      <c r="J606" s="345"/>
      <c r="K606" s="345">
        <f>IFERROR(Table15[[#This Row],[ROUTE $]]/Table15[[#This Row],[E - DEMAND]],0)</f>
        <v>0</v>
      </c>
      <c r="L606" s="204"/>
      <c r="M606" s="412">
        <f>IFERROR(VLOOKUP(Table15[[#This Row],[ROUTE]],DEMAND!A:F,5,FALSE),0)</f>
        <v>0</v>
      </c>
      <c r="N606" s="16">
        <f>IFERROR(VLOOKUP(Table15[[#This Row],[ROUTE]],DEMAND!A:F,6,FALSE),0)</f>
        <v>0</v>
      </c>
      <c r="O606" s="16">
        <f>IFERROR(ROUNDDOWN(Table15[[#This Row],[R-DEMAND]]/1706,0),0)</f>
        <v>0</v>
      </c>
      <c r="P606" s="16">
        <f>IFERROR(Table15[[#This Row],[ADD ACC]]*Table15[[#This Row],[RT TIME 
(380-800)]],0)</f>
        <v>0</v>
      </c>
      <c r="Q606" s="415">
        <f>IFERROR(VLOOKUP(Table15[[#This Row],[ROUTE]],PRICING!A:B,2,FALSE),0)</f>
        <v>0</v>
      </c>
      <c r="R606" s="235">
        <f>IFERROR(Table15[[#This Row],[C_DEMAND]]-Table15[[#This Row],[R-DEMAND]],0)</f>
        <v>0</v>
      </c>
      <c r="S606" s="408">
        <f t="shared" si="9"/>
        <v>0</v>
      </c>
      <c r="T606" s="419">
        <f>Table15[[#This Row],[R-DEMAND]]-(Table15[[#This Row],[ADD ACC]]*1706)</f>
        <v>0</v>
      </c>
      <c r="U606" s="419">
        <f>ROUNDDOWN(Table15[[#This Row],[Column1]]/1360,0)</f>
        <v>0</v>
      </c>
      <c r="V606" s="419"/>
      <c r="W606" s="251">
        <v>12.25</v>
      </c>
      <c r="X606" s="251">
        <f>ROUNDDOWN(Table15[[#This Row],[R-DEMAND]]/1320,0)</f>
        <v>0</v>
      </c>
      <c r="Y606" s="251">
        <f>IFERROR(Table15[[#This Row],[ADD ACC
(660/1320)]]*Table15[[#This Row],[Duration
(B744)]],0)</f>
        <v>0</v>
      </c>
      <c r="Z606" s="251"/>
    </row>
    <row r="607" spans="1:26" ht="15.75" customHeight="1" x14ac:dyDescent="0.25">
      <c r="A607" s="210" t="s">
        <v>15716</v>
      </c>
      <c r="B607" s="204" t="s">
        <v>3463</v>
      </c>
      <c r="C607" s="204"/>
      <c r="D607" s="205">
        <v>2</v>
      </c>
      <c r="E607" s="204" t="s">
        <v>1124</v>
      </c>
      <c r="F607" s="204" t="str">
        <f>VLOOKUP(E607,Table10[[COUNTRY NAME]:[CONTINENT CODE]],3,FALSE)</f>
        <v>AF</v>
      </c>
      <c r="G607" s="206" t="s">
        <v>11857</v>
      </c>
      <c r="H607" s="207">
        <v>4515</v>
      </c>
      <c r="I607" s="208">
        <v>12</v>
      </c>
      <c r="J607" s="345"/>
      <c r="K607" s="345">
        <f>IFERROR(Table15[[#This Row],[ROUTE $]]/Table15[[#This Row],[E - DEMAND]],0)</f>
        <v>0</v>
      </c>
      <c r="L607" s="204"/>
      <c r="M607" s="412">
        <f>IFERROR(VLOOKUP(Table15[[#This Row],[ROUTE]],DEMAND!A:F,5,FALSE),0)</f>
        <v>0</v>
      </c>
      <c r="N607" s="16">
        <f>IFERROR(VLOOKUP(Table15[[#This Row],[ROUTE]],DEMAND!A:F,6,FALSE),0)</f>
        <v>0</v>
      </c>
      <c r="O607" s="16">
        <f>IFERROR(ROUNDDOWN(Table15[[#This Row],[R-DEMAND]]/1706,0),0)</f>
        <v>0</v>
      </c>
      <c r="P607" s="16">
        <f>IFERROR(Table15[[#This Row],[ADD ACC]]*Table15[[#This Row],[RT TIME 
(380-800)]],0)</f>
        <v>0</v>
      </c>
      <c r="Q607" s="415">
        <f>IFERROR(VLOOKUP(Table15[[#This Row],[ROUTE]],PRICING!A:B,2,FALSE),0)</f>
        <v>0</v>
      </c>
      <c r="R607" s="235">
        <f>IFERROR(Table15[[#This Row],[C_DEMAND]]-Table15[[#This Row],[R-DEMAND]],0)</f>
        <v>0</v>
      </c>
      <c r="S607" s="408">
        <f t="shared" si="9"/>
        <v>0</v>
      </c>
      <c r="T607" s="419">
        <f>Table15[[#This Row],[R-DEMAND]]-(Table15[[#This Row],[ADD ACC]]*1706)</f>
        <v>0</v>
      </c>
      <c r="U607" s="419">
        <f>ROUNDDOWN(Table15[[#This Row],[Column1]]/1360,0)</f>
        <v>0</v>
      </c>
      <c r="V607" s="419"/>
      <c r="W607" s="251">
        <v>12</v>
      </c>
      <c r="X607" s="251">
        <f>ROUNDDOWN(Table15[[#This Row],[R-DEMAND]]/1320,0)</f>
        <v>0</v>
      </c>
      <c r="Y607" s="251">
        <f>IFERROR(Table15[[#This Row],[ADD ACC
(660/1320)]]*Table15[[#This Row],[Duration
(B744)]],0)</f>
        <v>0</v>
      </c>
      <c r="Z607" s="251"/>
    </row>
    <row r="608" spans="1:26" ht="15.75" customHeight="1" x14ac:dyDescent="0.25">
      <c r="A608" s="210" t="s">
        <v>15719</v>
      </c>
      <c r="B608" s="204" t="s">
        <v>4644</v>
      </c>
      <c r="C608" s="204"/>
      <c r="D608" s="205">
        <v>2</v>
      </c>
      <c r="E608" s="204" t="s">
        <v>1189</v>
      </c>
      <c r="F608" s="204" t="str">
        <f>VLOOKUP(E608,Table10[[COUNTRY NAME]:[CONTINENT CODE]],3,FALSE)</f>
        <v>AF</v>
      </c>
      <c r="G608" s="206" t="s">
        <v>11940</v>
      </c>
      <c r="H608" s="207">
        <v>4458</v>
      </c>
      <c r="I608" s="208">
        <v>12</v>
      </c>
      <c r="J608" s="345"/>
      <c r="K608" s="345">
        <f>IFERROR(Table15[[#This Row],[ROUTE $]]/Table15[[#This Row],[E - DEMAND]],0)</f>
        <v>0</v>
      </c>
      <c r="L608" s="204"/>
      <c r="M608" s="412">
        <f>IFERROR(VLOOKUP(Table15[[#This Row],[ROUTE]],DEMAND!A:F,5,FALSE),0)</f>
        <v>0</v>
      </c>
      <c r="N608" s="16">
        <f>IFERROR(VLOOKUP(Table15[[#This Row],[ROUTE]],DEMAND!A:F,6,FALSE),0)</f>
        <v>0</v>
      </c>
      <c r="O608" s="16">
        <f>IFERROR(ROUNDDOWN(Table15[[#This Row],[R-DEMAND]]/1706,0),0)</f>
        <v>0</v>
      </c>
      <c r="P608" s="16">
        <f>IFERROR(Table15[[#This Row],[ADD ACC]]*Table15[[#This Row],[RT TIME 
(380-800)]],0)</f>
        <v>0</v>
      </c>
      <c r="Q608" s="415">
        <f>IFERROR(VLOOKUP(Table15[[#This Row],[ROUTE]],PRICING!A:B,2,FALSE),0)</f>
        <v>0</v>
      </c>
      <c r="R608" s="235">
        <f>IFERROR(Table15[[#This Row],[C_DEMAND]]-Table15[[#This Row],[R-DEMAND]],0)</f>
        <v>0</v>
      </c>
      <c r="S608" s="408">
        <f t="shared" si="9"/>
        <v>0</v>
      </c>
      <c r="T608" s="419">
        <f>Table15[[#This Row],[R-DEMAND]]-(Table15[[#This Row],[ADD ACC]]*1706)</f>
        <v>0</v>
      </c>
      <c r="U608" s="419">
        <f>ROUNDDOWN(Table15[[#This Row],[Column1]]/1360,0)</f>
        <v>0</v>
      </c>
      <c r="V608" s="419"/>
      <c r="W608" s="251">
        <v>12</v>
      </c>
      <c r="X608" s="251">
        <f>ROUNDDOWN(Table15[[#This Row],[R-DEMAND]]/1320,0)</f>
        <v>0</v>
      </c>
      <c r="Y608" s="251">
        <f>IFERROR(Table15[[#This Row],[ADD ACC
(660/1320)]]*Table15[[#This Row],[Duration
(B744)]],0)</f>
        <v>0</v>
      </c>
      <c r="Z608" s="251"/>
    </row>
    <row r="609" spans="1:26" ht="15.75" customHeight="1" x14ac:dyDescent="0.25">
      <c r="A609" s="210" t="s">
        <v>15721</v>
      </c>
      <c r="B609" s="204" t="s">
        <v>4663</v>
      </c>
      <c r="C609" s="204"/>
      <c r="D609" s="205">
        <v>2</v>
      </c>
      <c r="E609" s="204" t="s">
        <v>78</v>
      </c>
      <c r="F609" s="204" t="str">
        <f>VLOOKUP(E609,Table10[[COUNTRY NAME]:[CONTINENT CODE]],3,FALSE)</f>
        <v>EU</v>
      </c>
      <c r="G609" s="210" t="s">
        <v>11954</v>
      </c>
      <c r="H609" s="207">
        <v>4437</v>
      </c>
      <c r="I609" s="208">
        <v>12</v>
      </c>
      <c r="J609" s="345"/>
      <c r="K609" s="345">
        <f>IFERROR(Table15[[#This Row],[ROUTE $]]/Table15[[#This Row],[E - DEMAND]],0)</f>
        <v>0</v>
      </c>
      <c r="L609" s="204"/>
      <c r="M609" s="412">
        <f>IFERROR(VLOOKUP(Table15[[#This Row],[ROUTE]],DEMAND!A:F,5,FALSE),0)</f>
        <v>0</v>
      </c>
      <c r="N609" s="16">
        <f>IFERROR(VLOOKUP(Table15[[#This Row],[ROUTE]],DEMAND!A:F,6,FALSE),0)</f>
        <v>0</v>
      </c>
      <c r="O609" s="16">
        <f>IFERROR(ROUNDDOWN(Table15[[#This Row],[R-DEMAND]]/1706,0),0)</f>
        <v>0</v>
      </c>
      <c r="P609" s="16">
        <f>IFERROR(Table15[[#This Row],[ADD ACC]]*Table15[[#This Row],[RT TIME 
(380-800)]],0)</f>
        <v>0</v>
      </c>
      <c r="Q609" s="415">
        <f>IFERROR(VLOOKUP(Table15[[#This Row],[ROUTE]],PRICING!A:B,2,FALSE),0)</f>
        <v>0</v>
      </c>
      <c r="R609" s="235">
        <f>IFERROR(Table15[[#This Row],[C_DEMAND]]-Table15[[#This Row],[R-DEMAND]],0)</f>
        <v>0</v>
      </c>
      <c r="S609" s="408">
        <f t="shared" si="9"/>
        <v>0</v>
      </c>
      <c r="T609" s="419">
        <f>Table15[[#This Row],[R-DEMAND]]-(Table15[[#This Row],[ADD ACC]]*1706)</f>
        <v>0</v>
      </c>
      <c r="U609" s="419">
        <f>ROUNDDOWN(Table15[[#This Row],[Column1]]/1360,0)</f>
        <v>0</v>
      </c>
      <c r="V609" s="419"/>
      <c r="W609" s="251">
        <v>12</v>
      </c>
      <c r="X609" s="251">
        <f>ROUNDDOWN(Table15[[#This Row],[R-DEMAND]]/1320,0)</f>
        <v>0</v>
      </c>
      <c r="Y609" s="251">
        <f>IFERROR(Table15[[#This Row],[ADD ACC
(660/1320)]]*Table15[[#This Row],[Duration
(B744)]],0)</f>
        <v>0</v>
      </c>
      <c r="Z609" s="251"/>
    </row>
    <row r="610" spans="1:26" ht="15.75" customHeight="1" x14ac:dyDescent="0.25">
      <c r="A610" s="210" t="s">
        <v>15722</v>
      </c>
      <c r="B610" s="204" t="s">
        <v>2737</v>
      </c>
      <c r="C610" s="204"/>
      <c r="D610" s="205">
        <v>2</v>
      </c>
      <c r="E610" s="204" t="s">
        <v>78</v>
      </c>
      <c r="F610" s="204" t="str">
        <f>VLOOKUP(E610,Table10[[COUNTRY NAME]:[CONTINENT CODE]],3,FALSE)</f>
        <v>EU</v>
      </c>
      <c r="G610" s="210" t="s">
        <v>11888</v>
      </c>
      <c r="H610" s="207">
        <v>4427</v>
      </c>
      <c r="I610" s="208">
        <v>12</v>
      </c>
      <c r="J610" s="345"/>
      <c r="K610" s="345">
        <f>IFERROR(Table15[[#This Row],[ROUTE $]]/Table15[[#This Row],[E - DEMAND]],0)</f>
        <v>0</v>
      </c>
      <c r="L610" s="204"/>
      <c r="M610" s="412">
        <f>IFERROR(VLOOKUP(Table15[[#This Row],[ROUTE]],DEMAND!A:F,5,FALSE),0)</f>
        <v>0</v>
      </c>
      <c r="N610" s="16">
        <f>IFERROR(VLOOKUP(Table15[[#This Row],[ROUTE]],DEMAND!A:F,6,FALSE),0)</f>
        <v>0</v>
      </c>
      <c r="O610" s="16">
        <f>IFERROR(ROUNDDOWN(Table15[[#This Row],[R-DEMAND]]/1706,0),0)</f>
        <v>0</v>
      </c>
      <c r="P610" s="16">
        <f>IFERROR(Table15[[#This Row],[ADD ACC]]*Table15[[#This Row],[RT TIME 
(380-800)]],0)</f>
        <v>0</v>
      </c>
      <c r="Q610" s="415">
        <f>IFERROR(VLOOKUP(Table15[[#This Row],[ROUTE]],PRICING!A:B,2,FALSE),0)</f>
        <v>0</v>
      </c>
      <c r="R610" s="235">
        <f>IFERROR(Table15[[#This Row],[C_DEMAND]]-Table15[[#This Row],[R-DEMAND]],0)</f>
        <v>0</v>
      </c>
      <c r="S610" s="408">
        <f t="shared" si="9"/>
        <v>0</v>
      </c>
      <c r="T610" s="419">
        <f>Table15[[#This Row],[R-DEMAND]]-(Table15[[#This Row],[ADD ACC]]*1706)</f>
        <v>0</v>
      </c>
      <c r="U610" s="419">
        <f>ROUNDDOWN(Table15[[#This Row],[Column1]]/1360,0)</f>
        <v>0</v>
      </c>
      <c r="V610" s="419"/>
      <c r="W610" s="251">
        <v>12</v>
      </c>
      <c r="X610" s="251">
        <f>ROUNDDOWN(Table15[[#This Row],[R-DEMAND]]/1320,0)</f>
        <v>0</v>
      </c>
      <c r="Y610" s="251">
        <f>IFERROR(Table15[[#This Row],[ADD ACC
(660/1320)]]*Table15[[#This Row],[Duration
(B744)]],0)</f>
        <v>0</v>
      </c>
      <c r="Z610" s="251"/>
    </row>
    <row r="611" spans="1:26" ht="15.75" customHeight="1" x14ac:dyDescent="0.25">
      <c r="A611" s="210" t="s">
        <v>15731</v>
      </c>
      <c r="B611" s="204" t="s">
        <v>5047</v>
      </c>
      <c r="C611" s="204"/>
      <c r="D611" s="205">
        <v>3</v>
      </c>
      <c r="E611" s="204" t="s">
        <v>78</v>
      </c>
      <c r="F611" s="204" t="str">
        <f>VLOOKUP(E611,Table10[[COUNTRY NAME]:[CONTINENT CODE]],3,FALSE)</f>
        <v>EU</v>
      </c>
      <c r="G611" s="210" t="s">
        <v>11914</v>
      </c>
      <c r="H611" s="207">
        <v>4305</v>
      </c>
      <c r="I611" s="208">
        <v>11.75</v>
      </c>
      <c r="J611" s="345"/>
      <c r="K611" s="345">
        <f>IFERROR(Table15[[#This Row],[ROUTE $]]/Table15[[#This Row],[E - DEMAND]],0)</f>
        <v>0</v>
      </c>
      <c r="L611" s="204"/>
      <c r="M611" s="412">
        <f>IFERROR(VLOOKUP(Table15[[#This Row],[ROUTE]],DEMAND!A:F,5,FALSE),0)</f>
        <v>0</v>
      </c>
      <c r="N611" s="16">
        <f>IFERROR(VLOOKUP(Table15[[#This Row],[ROUTE]],DEMAND!A:F,6,FALSE),0)</f>
        <v>0</v>
      </c>
      <c r="O611" s="16">
        <f>IFERROR(ROUNDDOWN(Table15[[#This Row],[R-DEMAND]]/1706,0),0)</f>
        <v>0</v>
      </c>
      <c r="P611" s="16">
        <f>IFERROR(Table15[[#This Row],[ADD ACC]]*Table15[[#This Row],[RT TIME 
(380-800)]],0)</f>
        <v>0</v>
      </c>
      <c r="Q611" s="415">
        <f>IFERROR(VLOOKUP(Table15[[#This Row],[ROUTE]],PRICING!A:B,2,FALSE),0)</f>
        <v>0</v>
      </c>
      <c r="R611" s="235">
        <f>IFERROR(Table15[[#This Row],[C_DEMAND]]-Table15[[#This Row],[R-DEMAND]],0)</f>
        <v>0</v>
      </c>
      <c r="S611" s="408">
        <f t="shared" si="9"/>
        <v>0</v>
      </c>
      <c r="T611" s="419">
        <f>Table15[[#This Row],[R-DEMAND]]-(Table15[[#This Row],[ADD ACC]]*1706)</f>
        <v>0</v>
      </c>
      <c r="U611" s="419">
        <f>ROUNDDOWN(Table15[[#This Row],[Column1]]/1360,0)</f>
        <v>0</v>
      </c>
      <c r="V611" s="419"/>
      <c r="W611" s="251">
        <v>11.75</v>
      </c>
      <c r="X611" s="251">
        <f>ROUNDDOWN(Table15[[#This Row],[R-DEMAND]]/1320,0)</f>
        <v>0</v>
      </c>
      <c r="Y611" s="251">
        <f>IFERROR(Table15[[#This Row],[ADD ACC
(660/1320)]]*Table15[[#This Row],[Duration
(B744)]],0)</f>
        <v>0</v>
      </c>
      <c r="Z611" s="251"/>
    </row>
    <row r="612" spans="1:26" ht="15.75" customHeight="1" x14ac:dyDescent="0.25">
      <c r="A612" s="210" t="s">
        <v>15728</v>
      </c>
      <c r="B612" s="204" t="s">
        <v>3751</v>
      </c>
      <c r="C612" s="204"/>
      <c r="D612" s="205">
        <v>2</v>
      </c>
      <c r="E612" s="204" t="s">
        <v>1124</v>
      </c>
      <c r="F612" s="204" t="str">
        <f>VLOOKUP(E612,Table10[[COUNTRY NAME]:[CONTINENT CODE]],3,FALSE)</f>
        <v>AF</v>
      </c>
      <c r="G612" s="206" t="s">
        <v>11864</v>
      </c>
      <c r="H612" s="207">
        <v>4353</v>
      </c>
      <c r="I612" s="208">
        <v>11.75</v>
      </c>
      <c r="J612" s="345"/>
      <c r="K612" s="345">
        <f>IFERROR(Table15[[#This Row],[ROUTE $]]/Table15[[#This Row],[E - DEMAND]],0)</f>
        <v>0</v>
      </c>
      <c r="L612" s="204"/>
      <c r="M612" s="412">
        <f>IFERROR(VLOOKUP(Table15[[#This Row],[ROUTE]],DEMAND!A:F,5,FALSE),0)</f>
        <v>0</v>
      </c>
      <c r="N612" s="16">
        <f>IFERROR(VLOOKUP(Table15[[#This Row],[ROUTE]],DEMAND!A:F,6,FALSE),0)</f>
        <v>0</v>
      </c>
      <c r="O612" s="16">
        <f>IFERROR(ROUNDDOWN(Table15[[#This Row],[R-DEMAND]]/1706,0),0)</f>
        <v>0</v>
      </c>
      <c r="P612" s="16">
        <f>IFERROR(Table15[[#This Row],[ADD ACC]]*Table15[[#This Row],[RT TIME 
(380-800)]],0)</f>
        <v>0</v>
      </c>
      <c r="Q612" s="415">
        <f>IFERROR(VLOOKUP(Table15[[#This Row],[ROUTE]],PRICING!A:B,2,FALSE),0)</f>
        <v>0</v>
      </c>
      <c r="R612" s="235">
        <f>IFERROR(Table15[[#This Row],[C_DEMAND]]-Table15[[#This Row],[R-DEMAND]],0)</f>
        <v>0</v>
      </c>
      <c r="S612" s="408">
        <f t="shared" si="9"/>
        <v>0</v>
      </c>
      <c r="T612" s="419">
        <f>Table15[[#This Row],[R-DEMAND]]-(Table15[[#This Row],[ADD ACC]]*1706)</f>
        <v>0</v>
      </c>
      <c r="U612" s="419">
        <f>ROUNDDOWN(Table15[[#This Row],[Column1]]/1360,0)</f>
        <v>0</v>
      </c>
      <c r="V612" s="419"/>
      <c r="W612" s="251">
        <v>11.75</v>
      </c>
      <c r="X612" s="251">
        <f>ROUNDDOWN(Table15[[#This Row],[R-DEMAND]]/1320,0)</f>
        <v>0</v>
      </c>
      <c r="Y612" s="251">
        <f>IFERROR(Table15[[#This Row],[ADD ACC
(660/1320)]]*Table15[[#This Row],[Duration
(B744)]],0)</f>
        <v>0</v>
      </c>
      <c r="Z612" s="251"/>
    </row>
    <row r="613" spans="1:26" ht="15.75" customHeight="1" x14ac:dyDescent="0.25">
      <c r="A613" s="210" t="s">
        <v>15733</v>
      </c>
      <c r="B613" s="204" t="s">
        <v>4703</v>
      </c>
      <c r="C613" s="204"/>
      <c r="D613" s="205">
        <v>2</v>
      </c>
      <c r="E613" s="204" t="s">
        <v>78</v>
      </c>
      <c r="F613" s="204" t="str">
        <f>VLOOKUP(E613,Table10[[COUNTRY NAME]:[CONTINENT CODE]],3,FALSE)</f>
        <v>EU</v>
      </c>
      <c r="G613" s="210" t="s">
        <v>11898</v>
      </c>
      <c r="H613" s="207">
        <v>4294</v>
      </c>
      <c r="I613" s="208">
        <v>11.75</v>
      </c>
      <c r="J613" s="345"/>
      <c r="K613" s="345">
        <f>IFERROR(Table15[[#This Row],[ROUTE $]]/Table15[[#This Row],[E - DEMAND]],0)</f>
        <v>0</v>
      </c>
      <c r="L613" s="204"/>
      <c r="M613" s="412">
        <f>IFERROR(VLOOKUP(Table15[[#This Row],[ROUTE]],DEMAND!A:F,5,FALSE),0)</f>
        <v>0</v>
      </c>
      <c r="N613" s="16">
        <f>IFERROR(VLOOKUP(Table15[[#This Row],[ROUTE]],DEMAND!A:F,6,FALSE),0)</f>
        <v>0</v>
      </c>
      <c r="O613" s="16">
        <f>IFERROR(ROUNDDOWN(Table15[[#This Row],[R-DEMAND]]/1706,0),0)</f>
        <v>0</v>
      </c>
      <c r="P613" s="16">
        <f>IFERROR(Table15[[#This Row],[ADD ACC]]*Table15[[#This Row],[RT TIME 
(380-800)]],0)</f>
        <v>0</v>
      </c>
      <c r="Q613" s="415">
        <f>IFERROR(VLOOKUP(Table15[[#This Row],[ROUTE]],PRICING!A:B,2,FALSE),0)</f>
        <v>0</v>
      </c>
      <c r="R613" s="235">
        <f>IFERROR(Table15[[#This Row],[C_DEMAND]]-Table15[[#This Row],[R-DEMAND]],0)</f>
        <v>0</v>
      </c>
      <c r="S613" s="408">
        <f t="shared" si="9"/>
        <v>0</v>
      </c>
      <c r="T613" s="419">
        <f>Table15[[#This Row],[R-DEMAND]]-(Table15[[#This Row],[ADD ACC]]*1706)</f>
        <v>0</v>
      </c>
      <c r="U613" s="419">
        <f>ROUNDDOWN(Table15[[#This Row],[Column1]]/1360,0)</f>
        <v>0</v>
      </c>
      <c r="V613" s="419"/>
      <c r="W613" s="251">
        <v>11.75</v>
      </c>
      <c r="X613" s="251">
        <f>ROUNDDOWN(Table15[[#This Row],[R-DEMAND]]/1320,0)</f>
        <v>0</v>
      </c>
      <c r="Y613" s="251">
        <f>IFERROR(Table15[[#This Row],[ADD ACC
(660/1320)]]*Table15[[#This Row],[Duration
(B744)]],0)</f>
        <v>0</v>
      </c>
      <c r="Z613" s="251"/>
    </row>
    <row r="614" spans="1:26" ht="15.75" customHeight="1" x14ac:dyDescent="0.25">
      <c r="A614" s="210" t="s">
        <v>15742</v>
      </c>
      <c r="B614" s="204" t="s">
        <v>5365</v>
      </c>
      <c r="C614" s="204"/>
      <c r="D614" s="205">
        <v>3</v>
      </c>
      <c r="E614" s="204" t="s">
        <v>4909</v>
      </c>
      <c r="F614" s="204" t="str">
        <f>VLOOKUP(E614,Table10[[COUNTRY NAME]:[CONTINENT CODE]],3,FALSE)</f>
        <v>EU</v>
      </c>
      <c r="G614" s="210" t="s">
        <v>8912</v>
      </c>
      <c r="H614" s="207">
        <v>4232</v>
      </c>
      <c r="I614" s="208">
        <v>11.5</v>
      </c>
      <c r="J614" s="345"/>
      <c r="K614" s="345">
        <f>IFERROR(Table15[[#This Row],[ROUTE $]]/Table15[[#This Row],[E - DEMAND]],0)</f>
        <v>0</v>
      </c>
      <c r="L614" s="204"/>
      <c r="M614" s="412">
        <f>IFERROR(VLOOKUP(Table15[[#This Row],[ROUTE]],DEMAND!A:F,5,FALSE),0)</f>
        <v>0</v>
      </c>
      <c r="N614" s="16">
        <f>IFERROR(VLOOKUP(Table15[[#This Row],[ROUTE]],DEMAND!A:F,6,FALSE),0)</f>
        <v>0</v>
      </c>
      <c r="O614" s="16">
        <f>IFERROR(ROUNDDOWN(Table15[[#This Row],[R-DEMAND]]/1706,0),0)</f>
        <v>0</v>
      </c>
      <c r="P614" s="16">
        <f>IFERROR(Table15[[#This Row],[ADD ACC]]*Table15[[#This Row],[RT TIME 
(380-800)]],0)</f>
        <v>0</v>
      </c>
      <c r="Q614" s="415">
        <f>IFERROR(VLOOKUP(Table15[[#This Row],[ROUTE]],PRICING!A:B,2,FALSE),0)</f>
        <v>0</v>
      </c>
      <c r="R614" s="235">
        <f>IFERROR(Table15[[#This Row],[C_DEMAND]]-Table15[[#This Row],[R-DEMAND]],0)</f>
        <v>0</v>
      </c>
      <c r="S614" s="408">
        <f t="shared" si="9"/>
        <v>0</v>
      </c>
      <c r="T614" s="419">
        <f>Table15[[#This Row],[R-DEMAND]]-(Table15[[#This Row],[ADD ACC]]*1706)</f>
        <v>0</v>
      </c>
      <c r="U614" s="419">
        <f>ROUNDDOWN(Table15[[#This Row],[Column1]]/1360,0)</f>
        <v>0</v>
      </c>
      <c r="V614" s="419"/>
      <c r="W614" s="251">
        <v>11.5</v>
      </c>
      <c r="X614" s="251">
        <f>ROUNDDOWN(Table15[[#This Row],[R-DEMAND]]/1320,0)</f>
        <v>0</v>
      </c>
      <c r="Y614" s="251">
        <f>IFERROR(Table15[[#This Row],[ADD ACC
(660/1320)]]*Table15[[#This Row],[Duration
(B744)]],0)</f>
        <v>0</v>
      </c>
      <c r="Z614" s="251"/>
    </row>
    <row r="615" spans="1:26" ht="15.75" customHeight="1" x14ac:dyDescent="0.25">
      <c r="A615" s="210" t="s">
        <v>15741</v>
      </c>
      <c r="B615" s="204" t="s">
        <v>4860</v>
      </c>
      <c r="C615" s="204"/>
      <c r="D615" s="205">
        <v>3</v>
      </c>
      <c r="E615" s="204" t="s">
        <v>78</v>
      </c>
      <c r="F615" s="204" t="str">
        <f>VLOOKUP(E615,Table10[[COUNTRY NAME]:[CONTINENT CODE]],3,FALSE)</f>
        <v>EU</v>
      </c>
      <c r="G615" s="210" t="s">
        <v>11870</v>
      </c>
      <c r="H615" s="207">
        <v>4237</v>
      </c>
      <c r="I615" s="208">
        <v>11.5</v>
      </c>
      <c r="J615" s="345"/>
      <c r="K615" s="345">
        <f>IFERROR(Table15[[#This Row],[ROUTE $]]/Table15[[#This Row],[E - DEMAND]],0)</f>
        <v>0</v>
      </c>
      <c r="L615" s="204"/>
      <c r="M615" s="412">
        <f>IFERROR(VLOOKUP(Table15[[#This Row],[ROUTE]],DEMAND!A:F,5,FALSE),0)</f>
        <v>0</v>
      </c>
      <c r="N615" s="16">
        <f>IFERROR(VLOOKUP(Table15[[#This Row],[ROUTE]],DEMAND!A:F,6,FALSE),0)</f>
        <v>0</v>
      </c>
      <c r="O615" s="16">
        <f>IFERROR(ROUNDDOWN(Table15[[#This Row],[R-DEMAND]]/1706,0),0)</f>
        <v>0</v>
      </c>
      <c r="P615" s="16">
        <f>IFERROR(Table15[[#This Row],[ADD ACC]]*Table15[[#This Row],[RT TIME 
(380-800)]],0)</f>
        <v>0</v>
      </c>
      <c r="Q615" s="415">
        <f>IFERROR(VLOOKUP(Table15[[#This Row],[ROUTE]],PRICING!A:B,2,FALSE),0)</f>
        <v>0</v>
      </c>
      <c r="R615" s="235">
        <f>IFERROR(Table15[[#This Row],[C_DEMAND]]-Table15[[#This Row],[R-DEMAND]],0)</f>
        <v>0</v>
      </c>
      <c r="S615" s="408">
        <f t="shared" si="9"/>
        <v>0</v>
      </c>
      <c r="T615" s="419">
        <f>Table15[[#This Row],[R-DEMAND]]-(Table15[[#This Row],[ADD ACC]]*1706)</f>
        <v>0</v>
      </c>
      <c r="U615" s="419">
        <f>ROUNDDOWN(Table15[[#This Row],[Column1]]/1360,0)</f>
        <v>0</v>
      </c>
      <c r="V615" s="419"/>
      <c r="W615" s="251">
        <v>11.5</v>
      </c>
      <c r="X615" s="251">
        <f>ROUNDDOWN(Table15[[#This Row],[R-DEMAND]]/1320,0)</f>
        <v>0</v>
      </c>
      <c r="Y615" s="251">
        <f>IFERROR(Table15[[#This Row],[ADD ACC
(660/1320)]]*Table15[[#This Row],[Duration
(B744)]],0)</f>
        <v>0</v>
      </c>
      <c r="Z615" s="251"/>
    </row>
    <row r="616" spans="1:26" ht="15.75" customHeight="1" x14ac:dyDescent="0.25">
      <c r="A616" s="210" t="s">
        <v>15737</v>
      </c>
      <c r="B616" s="204" t="s">
        <v>4510</v>
      </c>
      <c r="C616" s="204"/>
      <c r="D616" s="205">
        <v>2</v>
      </c>
      <c r="E616" s="204" t="s">
        <v>78</v>
      </c>
      <c r="F616" s="204" t="str">
        <f>VLOOKUP(E616,Table10[[COUNTRY NAME]:[CONTINENT CODE]],3,FALSE)</f>
        <v>EU</v>
      </c>
      <c r="G616" s="210" t="s">
        <v>11919</v>
      </c>
      <c r="H616" s="207">
        <v>4281</v>
      </c>
      <c r="I616" s="208">
        <v>11.5</v>
      </c>
      <c r="J616" s="345"/>
      <c r="K616" s="345">
        <f>IFERROR(Table15[[#This Row],[ROUTE $]]/Table15[[#This Row],[E - DEMAND]],0)</f>
        <v>0</v>
      </c>
      <c r="L616" s="204"/>
      <c r="M616" s="412">
        <f>IFERROR(VLOOKUP(Table15[[#This Row],[ROUTE]],DEMAND!A:F,5,FALSE),0)</f>
        <v>0</v>
      </c>
      <c r="N616" s="16">
        <f>IFERROR(VLOOKUP(Table15[[#This Row],[ROUTE]],DEMAND!A:F,6,FALSE),0)</f>
        <v>0</v>
      </c>
      <c r="O616" s="16">
        <f>IFERROR(ROUNDDOWN(Table15[[#This Row],[R-DEMAND]]/1706,0),0)</f>
        <v>0</v>
      </c>
      <c r="P616" s="16">
        <f>IFERROR(Table15[[#This Row],[ADD ACC]]*Table15[[#This Row],[RT TIME 
(380-800)]],0)</f>
        <v>0</v>
      </c>
      <c r="Q616" s="415">
        <f>IFERROR(VLOOKUP(Table15[[#This Row],[ROUTE]],PRICING!A:B,2,FALSE),0)</f>
        <v>0</v>
      </c>
      <c r="R616" s="235">
        <f>IFERROR(Table15[[#This Row],[C_DEMAND]]-Table15[[#This Row],[R-DEMAND]],0)</f>
        <v>0</v>
      </c>
      <c r="S616" s="408">
        <f t="shared" si="9"/>
        <v>0</v>
      </c>
      <c r="T616" s="419">
        <f>Table15[[#This Row],[R-DEMAND]]-(Table15[[#This Row],[ADD ACC]]*1706)</f>
        <v>0</v>
      </c>
      <c r="U616" s="419">
        <f>ROUNDDOWN(Table15[[#This Row],[Column1]]/1360,0)</f>
        <v>0</v>
      </c>
      <c r="V616" s="419"/>
      <c r="W616" s="251">
        <v>11.5</v>
      </c>
      <c r="X616" s="251">
        <f>ROUNDDOWN(Table15[[#This Row],[R-DEMAND]]/1320,0)</f>
        <v>0</v>
      </c>
      <c r="Y616" s="251">
        <f>IFERROR(Table15[[#This Row],[ADD ACC
(660/1320)]]*Table15[[#This Row],[Duration
(B744)]],0)</f>
        <v>0</v>
      </c>
      <c r="Z616" s="251"/>
    </row>
    <row r="617" spans="1:26" ht="15.75" customHeight="1" x14ac:dyDescent="0.25">
      <c r="A617" s="210" t="s">
        <v>15747</v>
      </c>
      <c r="B617" s="204" t="s">
        <v>4685</v>
      </c>
      <c r="C617" s="204"/>
      <c r="D617" s="205">
        <v>2</v>
      </c>
      <c r="E617" s="204" t="s">
        <v>78</v>
      </c>
      <c r="F617" s="204" t="str">
        <f>VLOOKUP(E617,Table10[[COUNTRY NAME]:[CONTINENT CODE]],3,FALSE)</f>
        <v>EU</v>
      </c>
      <c r="G617" s="210" t="s">
        <v>6880</v>
      </c>
      <c r="H617" s="207">
        <v>4200</v>
      </c>
      <c r="I617" s="208">
        <v>11.5</v>
      </c>
      <c r="J617" s="345"/>
      <c r="K617" s="345">
        <f>IFERROR(Table15[[#This Row],[ROUTE $]]/Table15[[#This Row],[E - DEMAND]],0)</f>
        <v>0</v>
      </c>
      <c r="L617" s="204"/>
      <c r="M617" s="412">
        <f>IFERROR(VLOOKUP(Table15[[#This Row],[ROUTE]],DEMAND!A:F,5,FALSE),0)</f>
        <v>0</v>
      </c>
      <c r="N617" s="16">
        <f>IFERROR(VLOOKUP(Table15[[#This Row],[ROUTE]],DEMAND!A:F,6,FALSE),0)</f>
        <v>0</v>
      </c>
      <c r="O617" s="16">
        <f>IFERROR(ROUNDDOWN(Table15[[#This Row],[R-DEMAND]]/1706,0),0)</f>
        <v>0</v>
      </c>
      <c r="P617" s="16">
        <f>IFERROR(Table15[[#This Row],[ADD ACC]]*Table15[[#This Row],[RT TIME 
(380-800)]],0)</f>
        <v>0</v>
      </c>
      <c r="Q617" s="415">
        <f>IFERROR(VLOOKUP(Table15[[#This Row],[ROUTE]],PRICING!A:B,2,FALSE),0)</f>
        <v>0</v>
      </c>
      <c r="R617" s="235">
        <f>IFERROR(Table15[[#This Row],[C_DEMAND]]-Table15[[#This Row],[R-DEMAND]],0)</f>
        <v>0</v>
      </c>
      <c r="S617" s="408">
        <f t="shared" si="9"/>
        <v>0</v>
      </c>
      <c r="T617" s="419">
        <f>Table15[[#This Row],[R-DEMAND]]-(Table15[[#This Row],[ADD ACC]]*1706)</f>
        <v>0</v>
      </c>
      <c r="U617" s="419">
        <f>ROUNDDOWN(Table15[[#This Row],[Column1]]/1360,0)</f>
        <v>0</v>
      </c>
      <c r="V617" s="419"/>
      <c r="W617" s="251">
        <v>11.5</v>
      </c>
      <c r="X617" s="251">
        <f>ROUNDDOWN(Table15[[#This Row],[R-DEMAND]]/1320,0)</f>
        <v>0</v>
      </c>
      <c r="Y617" s="251">
        <f>IFERROR(Table15[[#This Row],[ADD ACC
(660/1320)]]*Table15[[#This Row],[Duration
(B744)]],0)</f>
        <v>0</v>
      </c>
      <c r="Z617" s="251"/>
    </row>
    <row r="618" spans="1:26" ht="15.75" customHeight="1" x14ac:dyDescent="0.25">
      <c r="A618" s="210" t="s">
        <v>15734</v>
      </c>
      <c r="B618" s="204" t="s">
        <v>3650</v>
      </c>
      <c r="C618" s="204"/>
      <c r="D618" s="205">
        <v>2</v>
      </c>
      <c r="E618" s="204" t="s">
        <v>881</v>
      </c>
      <c r="F618" s="204" t="str">
        <f>VLOOKUP(E618,Table10[[COUNTRY NAME]:[CONTINENT CODE]],3,FALSE)</f>
        <v>AF</v>
      </c>
      <c r="G618" s="206" t="s">
        <v>11896</v>
      </c>
      <c r="H618" s="207">
        <v>4288</v>
      </c>
      <c r="I618" s="208">
        <v>11.5</v>
      </c>
      <c r="J618" s="345"/>
      <c r="K618" s="345">
        <f>IFERROR(Table15[[#This Row],[ROUTE $]]/Table15[[#This Row],[E - DEMAND]],0)</f>
        <v>0</v>
      </c>
      <c r="L618" s="204"/>
      <c r="M618" s="412">
        <f>IFERROR(VLOOKUP(Table15[[#This Row],[ROUTE]],DEMAND!A:F,5,FALSE),0)</f>
        <v>0</v>
      </c>
      <c r="N618" s="16">
        <f>IFERROR(VLOOKUP(Table15[[#This Row],[ROUTE]],DEMAND!A:F,6,FALSE),0)</f>
        <v>0</v>
      </c>
      <c r="O618" s="16">
        <f>IFERROR(ROUNDDOWN(Table15[[#This Row],[R-DEMAND]]/1706,0),0)</f>
        <v>0</v>
      </c>
      <c r="P618" s="16">
        <f>IFERROR(Table15[[#This Row],[ADD ACC]]*Table15[[#This Row],[RT TIME 
(380-800)]],0)</f>
        <v>0</v>
      </c>
      <c r="Q618" s="415">
        <f>IFERROR(VLOOKUP(Table15[[#This Row],[ROUTE]],PRICING!A:B,2,FALSE),0)</f>
        <v>0</v>
      </c>
      <c r="R618" s="235">
        <f>IFERROR(Table15[[#This Row],[C_DEMAND]]-Table15[[#This Row],[R-DEMAND]],0)</f>
        <v>0</v>
      </c>
      <c r="S618" s="408">
        <f t="shared" si="9"/>
        <v>0</v>
      </c>
      <c r="T618" s="419">
        <f>Table15[[#This Row],[R-DEMAND]]-(Table15[[#This Row],[ADD ACC]]*1706)</f>
        <v>0</v>
      </c>
      <c r="U618" s="419">
        <f>ROUNDDOWN(Table15[[#This Row],[Column1]]/1360,0)</f>
        <v>0</v>
      </c>
      <c r="V618" s="419"/>
      <c r="W618" s="251">
        <v>11.5</v>
      </c>
      <c r="X618" s="251">
        <f>ROUNDDOWN(Table15[[#This Row],[R-DEMAND]]/1320,0)</f>
        <v>0</v>
      </c>
      <c r="Y618" s="251">
        <f>IFERROR(Table15[[#This Row],[ADD ACC
(660/1320)]]*Table15[[#This Row],[Duration
(B744)]],0)</f>
        <v>0</v>
      </c>
      <c r="Z618" s="251"/>
    </row>
    <row r="619" spans="1:26" ht="15.75" customHeight="1" x14ac:dyDescent="0.25">
      <c r="A619" s="210" t="s">
        <v>15736</v>
      </c>
      <c r="B619" s="204" t="s">
        <v>2890</v>
      </c>
      <c r="C619" s="204"/>
      <c r="D619" s="205">
        <v>2</v>
      </c>
      <c r="E619" s="204" t="s">
        <v>700</v>
      </c>
      <c r="F619" s="204" t="str">
        <f>VLOOKUP(E619,Table10[[COUNTRY NAME]:[CONTINENT CODE]],3,FALSE)</f>
        <v>AS</v>
      </c>
      <c r="G619" s="206" t="s">
        <v>11863</v>
      </c>
      <c r="H619" s="207">
        <v>4281</v>
      </c>
      <c r="I619" s="208">
        <v>11.5</v>
      </c>
      <c r="J619" s="345"/>
      <c r="K619" s="345">
        <f>IFERROR(Table15[[#This Row],[ROUTE $]]/Table15[[#This Row],[E - DEMAND]],0)</f>
        <v>0</v>
      </c>
      <c r="L619" s="204"/>
      <c r="M619" s="412">
        <f>IFERROR(VLOOKUP(Table15[[#This Row],[ROUTE]],DEMAND!A:F,5,FALSE),0)</f>
        <v>0</v>
      </c>
      <c r="N619" s="16">
        <f>IFERROR(VLOOKUP(Table15[[#This Row],[ROUTE]],DEMAND!A:F,6,FALSE),0)</f>
        <v>0</v>
      </c>
      <c r="O619" s="16">
        <f>IFERROR(ROUNDDOWN(Table15[[#This Row],[R-DEMAND]]/1706,0),0)</f>
        <v>0</v>
      </c>
      <c r="P619" s="16">
        <f>IFERROR(Table15[[#This Row],[ADD ACC]]*Table15[[#This Row],[RT TIME 
(380-800)]],0)</f>
        <v>0</v>
      </c>
      <c r="Q619" s="415">
        <f>IFERROR(VLOOKUP(Table15[[#This Row],[ROUTE]],PRICING!A:B,2,FALSE),0)</f>
        <v>0</v>
      </c>
      <c r="R619" s="235">
        <f>IFERROR(Table15[[#This Row],[C_DEMAND]]-Table15[[#This Row],[R-DEMAND]],0)</f>
        <v>0</v>
      </c>
      <c r="S619" s="408">
        <f t="shared" si="9"/>
        <v>0</v>
      </c>
      <c r="T619" s="419">
        <f>Table15[[#This Row],[R-DEMAND]]-(Table15[[#This Row],[ADD ACC]]*1706)</f>
        <v>0</v>
      </c>
      <c r="U619" s="419">
        <f>ROUNDDOWN(Table15[[#This Row],[Column1]]/1360,0)</f>
        <v>0</v>
      </c>
      <c r="V619" s="419"/>
      <c r="W619" s="251">
        <v>11.5</v>
      </c>
      <c r="X619" s="251">
        <f>ROUNDDOWN(Table15[[#This Row],[R-DEMAND]]/1320,0)</f>
        <v>0</v>
      </c>
      <c r="Y619" s="251">
        <f>IFERROR(Table15[[#This Row],[ADD ACC
(660/1320)]]*Table15[[#This Row],[Duration
(B744)]],0)</f>
        <v>0</v>
      </c>
      <c r="Z619" s="251"/>
    </row>
    <row r="620" spans="1:26" ht="15.75" customHeight="1" x14ac:dyDescent="0.25">
      <c r="A620" s="210" t="s">
        <v>15735</v>
      </c>
      <c r="B620" s="204" t="s">
        <v>1916</v>
      </c>
      <c r="C620" s="204"/>
      <c r="D620" s="205">
        <v>1</v>
      </c>
      <c r="E620" s="204" t="s">
        <v>700</v>
      </c>
      <c r="F620" s="204" t="str">
        <f>VLOOKUP(E620,Table10[[COUNTRY NAME]:[CONTINENT CODE]],3,FALSE)</f>
        <v>AS</v>
      </c>
      <c r="G620" s="206" t="s">
        <v>11865</v>
      </c>
      <c r="H620" s="207">
        <v>4285</v>
      </c>
      <c r="I620" s="208">
        <v>11.5</v>
      </c>
      <c r="J620" s="345"/>
      <c r="K620" s="345">
        <f>IFERROR(Table15[[#This Row],[ROUTE $]]/Table15[[#This Row],[E - DEMAND]],0)</f>
        <v>0</v>
      </c>
      <c r="L620" s="204"/>
      <c r="M620" s="412">
        <f>IFERROR(VLOOKUP(Table15[[#This Row],[ROUTE]],DEMAND!A:F,5,FALSE),0)</f>
        <v>0</v>
      </c>
      <c r="N620" s="16">
        <f>IFERROR(VLOOKUP(Table15[[#This Row],[ROUTE]],DEMAND!A:F,6,FALSE),0)</f>
        <v>0</v>
      </c>
      <c r="O620" s="16">
        <f>IFERROR(ROUNDDOWN(Table15[[#This Row],[R-DEMAND]]/1706,0),0)</f>
        <v>0</v>
      </c>
      <c r="P620" s="16">
        <f>IFERROR(Table15[[#This Row],[ADD ACC]]*Table15[[#This Row],[RT TIME 
(380-800)]],0)</f>
        <v>0</v>
      </c>
      <c r="Q620" s="415">
        <f>IFERROR(VLOOKUP(Table15[[#This Row],[ROUTE]],PRICING!A:B,2,FALSE),0)</f>
        <v>0</v>
      </c>
      <c r="R620" s="235">
        <f>IFERROR(Table15[[#This Row],[C_DEMAND]]-Table15[[#This Row],[R-DEMAND]],0)</f>
        <v>0</v>
      </c>
      <c r="S620" s="408">
        <f t="shared" si="9"/>
        <v>0</v>
      </c>
      <c r="T620" s="419">
        <f>Table15[[#This Row],[R-DEMAND]]-(Table15[[#This Row],[ADD ACC]]*1706)</f>
        <v>0</v>
      </c>
      <c r="U620" s="419">
        <f>ROUNDDOWN(Table15[[#This Row],[Column1]]/1360,0)</f>
        <v>0</v>
      </c>
      <c r="V620" s="419"/>
      <c r="W620" s="251">
        <v>11.5</v>
      </c>
      <c r="X620" s="251">
        <f>ROUNDDOWN(Table15[[#This Row],[R-DEMAND]]/1320,0)</f>
        <v>0</v>
      </c>
      <c r="Y620" s="251">
        <f>IFERROR(Table15[[#This Row],[ADD ACC
(660/1320)]]*Table15[[#This Row],[Duration
(B744)]],0)</f>
        <v>0</v>
      </c>
      <c r="Z620" s="251"/>
    </row>
    <row r="621" spans="1:26" ht="15.75" customHeight="1" x14ac:dyDescent="0.25">
      <c r="A621" s="210" t="s">
        <v>15756</v>
      </c>
      <c r="B621" s="204" t="s">
        <v>4828</v>
      </c>
      <c r="C621" s="204"/>
      <c r="D621" s="205">
        <v>3</v>
      </c>
      <c r="E621" s="204" t="s">
        <v>78</v>
      </c>
      <c r="F621" s="204" t="str">
        <f>VLOOKUP(E621,Table10[[COUNTRY NAME]:[CONTINENT CODE]],3,FALSE)</f>
        <v>EU</v>
      </c>
      <c r="G621" s="210" t="s">
        <v>11879</v>
      </c>
      <c r="H621" s="207">
        <v>4091</v>
      </c>
      <c r="I621" s="208">
        <v>11.25</v>
      </c>
      <c r="J621" s="345"/>
      <c r="K621" s="345">
        <f>IFERROR(Table15[[#This Row],[ROUTE $]]/Table15[[#This Row],[E - DEMAND]],0)</f>
        <v>0</v>
      </c>
      <c r="L621" s="204"/>
      <c r="M621" s="412">
        <f>IFERROR(VLOOKUP(Table15[[#This Row],[ROUTE]],DEMAND!A:F,5,FALSE),0)</f>
        <v>0</v>
      </c>
      <c r="N621" s="16">
        <f>IFERROR(VLOOKUP(Table15[[#This Row],[ROUTE]],DEMAND!A:F,6,FALSE),0)</f>
        <v>0</v>
      </c>
      <c r="O621" s="16">
        <f>IFERROR(ROUNDDOWN(Table15[[#This Row],[R-DEMAND]]/1706,0),0)</f>
        <v>0</v>
      </c>
      <c r="P621" s="16">
        <f>IFERROR(Table15[[#This Row],[ADD ACC]]*Table15[[#This Row],[RT TIME 
(380-800)]],0)</f>
        <v>0</v>
      </c>
      <c r="Q621" s="415">
        <f>IFERROR(VLOOKUP(Table15[[#This Row],[ROUTE]],PRICING!A:B,2,FALSE),0)</f>
        <v>0</v>
      </c>
      <c r="R621" s="235">
        <f>IFERROR(Table15[[#This Row],[C_DEMAND]]-Table15[[#This Row],[R-DEMAND]],0)</f>
        <v>0</v>
      </c>
      <c r="S621" s="408">
        <f t="shared" si="9"/>
        <v>0</v>
      </c>
      <c r="T621" s="419">
        <f>Table15[[#This Row],[R-DEMAND]]-(Table15[[#This Row],[ADD ACC]]*1706)</f>
        <v>0</v>
      </c>
      <c r="U621" s="419">
        <f>ROUNDDOWN(Table15[[#This Row],[Column1]]/1360,0)</f>
        <v>0</v>
      </c>
      <c r="V621" s="419"/>
      <c r="W621" s="251">
        <v>11.25</v>
      </c>
      <c r="X621" s="251">
        <f>ROUNDDOWN(Table15[[#This Row],[R-DEMAND]]/1320,0)</f>
        <v>0</v>
      </c>
      <c r="Y621" s="251">
        <f>IFERROR(Table15[[#This Row],[ADD ACC
(660/1320)]]*Table15[[#This Row],[Duration
(B744)]],0)</f>
        <v>0</v>
      </c>
      <c r="Z621" s="251"/>
    </row>
    <row r="622" spans="1:26" ht="15.75" customHeight="1" x14ac:dyDescent="0.25">
      <c r="A622" s="210" t="s">
        <v>15753</v>
      </c>
      <c r="B622" s="204" t="s">
        <v>5438</v>
      </c>
      <c r="C622" s="204"/>
      <c r="D622" s="205">
        <v>3</v>
      </c>
      <c r="E622" s="204" t="s">
        <v>78</v>
      </c>
      <c r="F622" s="204" t="str">
        <f>VLOOKUP(E622,Table10[[COUNTRY NAME]:[CONTINENT CODE]],3,FALSE)</f>
        <v>EU</v>
      </c>
      <c r="G622" s="210" t="s">
        <v>11918</v>
      </c>
      <c r="H622" s="207">
        <v>4140</v>
      </c>
      <c r="I622" s="208">
        <v>11.25</v>
      </c>
      <c r="J622" s="345"/>
      <c r="K622" s="345">
        <f>IFERROR(Table15[[#This Row],[ROUTE $]]/Table15[[#This Row],[E - DEMAND]],0)</f>
        <v>0</v>
      </c>
      <c r="L622" s="204"/>
      <c r="M622" s="412">
        <f>IFERROR(VLOOKUP(Table15[[#This Row],[ROUTE]],DEMAND!A:F,5,FALSE),0)</f>
        <v>0</v>
      </c>
      <c r="N622" s="16">
        <f>IFERROR(VLOOKUP(Table15[[#This Row],[ROUTE]],DEMAND!A:F,6,FALSE),0)</f>
        <v>0</v>
      </c>
      <c r="O622" s="16">
        <f>IFERROR(ROUNDDOWN(Table15[[#This Row],[R-DEMAND]]/1706,0),0)</f>
        <v>0</v>
      </c>
      <c r="P622" s="16">
        <f>IFERROR(Table15[[#This Row],[ADD ACC]]*Table15[[#This Row],[RT TIME 
(380-800)]],0)</f>
        <v>0</v>
      </c>
      <c r="Q622" s="415">
        <f>IFERROR(VLOOKUP(Table15[[#This Row],[ROUTE]],PRICING!A:B,2,FALSE),0)</f>
        <v>0</v>
      </c>
      <c r="R622" s="235">
        <f>IFERROR(Table15[[#This Row],[C_DEMAND]]-Table15[[#This Row],[R-DEMAND]],0)</f>
        <v>0</v>
      </c>
      <c r="S622" s="408">
        <f t="shared" si="9"/>
        <v>0</v>
      </c>
      <c r="T622" s="419">
        <f>Table15[[#This Row],[R-DEMAND]]-(Table15[[#This Row],[ADD ACC]]*1706)</f>
        <v>0</v>
      </c>
      <c r="U622" s="419">
        <f>ROUNDDOWN(Table15[[#This Row],[Column1]]/1360,0)</f>
        <v>0</v>
      </c>
      <c r="V622" s="419"/>
      <c r="W622" s="251">
        <v>11.25</v>
      </c>
      <c r="X622" s="251">
        <f>ROUNDDOWN(Table15[[#This Row],[R-DEMAND]]/1320,0)</f>
        <v>0</v>
      </c>
      <c r="Y622" s="251">
        <f>IFERROR(Table15[[#This Row],[ADD ACC
(660/1320)]]*Table15[[#This Row],[Duration
(B744)]],0)</f>
        <v>0</v>
      </c>
      <c r="Z622" s="251"/>
    </row>
    <row r="623" spans="1:26" ht="15.75" customHeight="1" x14ac:dyDescent="0.25">
      <c r="A623" s="210" t="s">
        <v>15757</v>
      </c>
      <c r="B623" s="204" t="s">
        <v>4928</v>
      </c>
      <c r="C623" s="204"/>
      <c r="D623" s="205">
        <v>3</v>
      </c>
      <c r="E623" s="204" t="s">
        <v>78</v>
      </c>
      <c r="F623" s="204" t="str">
        <f>VLOOKUP(E623,Table10[[COUNTRY NAME]:[CONTINENT CODE]],3,FALSE)</f>
        <v>EU</v>
      </c>
      <c r="G623" s="210" t="s">
        <v>11949</v>
      </c>
      <c r="H623" s="207">
        <v>4080</v>
      </c>
      <c r="I623" s="208">
        <v>11.25</v>
      </c>
      <c r="J623" s="345"/>
      <c r="K623" s="345">
        <f>IFERROR(Table15[[#This Row],[ROUTE $]]/Table15[[#This Row],[E - DEMAND]],0)</f>
        <v>0</v>
      </c>
      <c r="L623" s="204"/>
      <c r="M623" s="412">
        <f>IFERROR(VLOOKUP(Table15[[#This Row],[ROUTE]],DEMAND!A:F,5,FALSE),0)</f>
        <v>0</v>
      </c>
      <c r="N623" s="16">
        <f>IFERROR(VLOOKUP(Table15[[#This Row],[ROUTE]],DEMAND!A:F,6,FALSE),0)</f>
        <v>0</v>
      </c>
      <c r="O623" s="16">
        <f>IFERROR(ROUNDDOWN(Table15[[#This Row],[R-DEMAND]]/1706,0),0)</f>
        <v>0</v>
      </c>
      <c r="P623" s="16">
        <f>IFERROR(Table15[[#This Row],[ADD ACC]]*Table15[[#This Row],[RT TIME 
(380-800)]],0)</f>
        <v>0</v>
      </c>
      <c r="Q623" s="415">
        <f>IFERROR(VLOOKUP(Table15[[#This Row],[ROUTE]],PRICING!A:B,2,FALSE),0)</f>
        <v>0</v>
      </c>
      <c r="R623" s="235">
        <f>IFERROR(Table15[[#This Row],[C_DEMAND]]-Table15[[#This Row],[R-DEMAND]],0)</f>
        <v>0</v>
      </c>
      <c r="S623" s="408">
        <f t="shared" si="9"/>
        <v>0</v>
      </c>
      <c r="T623" s="419">
        <f>Table15[[#This Row],[R-DEMAND]]-(Table15[[#This Row],[ADD ACC]]*1706)</f>
        <v>0</v>
      </c>
      <c r="U623" s="419">
        <f>ROUNDDOWN(Table15[[#This Row],[Column1]]/1360,0)</f>
        <v>0</v>
      </c>
      <c r="V623" s="419"/>
      <c r="W623" s="251">
        <v>11.25</v>
      </c>
      <c r="X623" s="251">
        <f>ROUNDDOWN(Table15[[#This Row],[R-DEMAND]]/1320,0)</f>
        <v>0</v>
      </c>
      <c r="Y623" s="251">
        <f>IFERROR(Table15[[#This Row],[ADD ACC
(660/1320)]]*Table15[[#This Row],[Duration
(B744)]],0)</f>
        <v>0</v>
      </c>
      <c r="Z623" s="251"/>
    </row>
    <row r="624" spans="1:26" ht="15.75" customHeight="1" x14ac:dyDescent="0.25">
      <c r="A624" s="210" t="s">
        <v>15749</v>
      </c>
      <c r="B624" s="204" t="s">
        <v>3588</v>
      </c>
      <c r="C624" s="204"/>
      <c r="D624" s="205">
        <v>2</v>
      </c>
      <c r="E624" s="204" t="s">
        <v>78</v>
      </c>
      <c r="F624" s="204" t="str">
        <f>VLOOKUP(E624,Table10[[COUNTRY NAME]:[CONTINENT CODE]],3,FALSE)</f>
        <v>EU</v>
      </c>
      <c r="G624" s="210" t="s">
        <v>11953</v>
      </c>
      <c r="H624" s="207">
        <v>4176</v>
      </c>
      <c r="I624" s="208">
        <v>11.25</v>
      </c>
      <c r="J624" s="345"/>
      <c r="K624" s="345">
        <f>IFERROR(Table15[[#This Row],[ROUTE $]]/Table15[[#This Row],[E - DEMAND]],0)</f>
        <v>0</v>
      </c>
      <c r="L624" s="204"/>
      <c r="M624" s="412">
        <f>IFERROR(VLOOKUP(Table15[[#This Row],[ROUTE]],DEMAND!A:F,5,FALSE),0)</f>
        <v>0</v>
      </c>
      <c r="N624" s="16">
        <f>IFERROR(VLOOKUP(Table15[[#This Row],[ROUTE]],DEMAND!A:F,6,FALSE),0)</f>
        <v>0</v>
      </c>
      <c r="O624" s="16">
        <f>IFERROR(ROUNDDOWN(Table15[[#This Row],[R-DEMAND]]/1706,0),0)</f>
        <v>0</v>
      </c>
      <c r="P624" s="16">
        <f>IFERROR(Table15[[#This Row],[ADD ACC]]*Table15[[#This Row],[RT TIME 
(380-800)]],0)</f>
        <v>0</v>
      </c>
      <c r="Q624" s="415">
        <f>IFERROR(VLOOKUP(Table15[[#This Row],[ROUTE]],PRICING!A:B,2,FALSE),0)</f>
        <v>0</v>
      </c>
      <c r="R624" s="235">
        <f>IFERROR(Table15[[#This Row],[C_DEMAND]]-Table15[[#This Row],[R-DEMAND]],0)</f>
        <v>0</v>
      </c>
      <c r="S624" s="408">
        <f t="shared" si="9"/>
        <v>0</v>
      </c>
      <c r="T624" s="419">
        <f>Table15[[#This Row],[R-DEMAND]]-(Table15[[#This Row],[ADD ACC]]*1706)</f>
        <v>0</v>
      </c>
      <c r="U624" s="419">
        <f>ROUNDDOWN(Table15[[#This Row],[Column1]]/1360,0)</f>
        <v>0</v>
      </c>
      <c r="V624" s="419"/>
      <c r="W624" s="251">
        <v>11.25</v>
      </c>
      <c r="X624" s="251">
        <f>ROUNDDOWN(Table15[[#This Row],[R-DEMAND]]/1320,0)</f>
        <v>0</v>
      </c>
      <c r="Y624" s="251">
        <f>IFERROR(Table15[[#This Row],[ADD ACC
(660/1320)]]*Table15[[#This Row],[Duration
(B744)]],0)</f>
        <v>0</v>
      </c>
      <c r="Z624" s="251"/>
    </row>
    <row r="625" spans="1:26" ht="15.75" customHeight="1" x14ac:dyDescent="0.25">
      <c r="A625" s="210" t="s">
        <v>15754</v>
      </c>
      <c r="B625" s="204" t="s">
        <v>2903</v>
      </c>
      <c r="C625" s="204"/>
      <c r="D625" s="205">
        <v>2</v>
      </c>
      <c r="E625" s="204" t="s">
        <v>700</v>
      </c>
      <c r="F625" s="204" t="str">
        <f>VLOOKUP(E625,Table10[[COUNTRY NAME]:[CONTINENT CODE]],3,FALSE)</f>
        <v>AS</v>
      </c>
      <c r="G625" s="206" t="s">
        <v>6768</v>
      </c>
      <c r="H625" s="207">
        <v>4133</v>
      </c>
      <c r="I625" s="208">
        <v>11.25</v>
      </c>
      <c r="J625" s="345"/>
      <c r="K625" s="345">
        <f>IFERROR(Table15[[#This Row],[ROUTE $]]/Table15[[#This Row],[E - DEMAND]],0)</f>
        <v>0</v>
      </c>
      <c r="L625" s="204"/>
      <c r="M625" s="412">
        <f>IFERROR(VLOOKUP(Table15[[#This Row],[ROUTE]],DEMAND!A:F,5,FALSE),0)</f>
        <v>0</v>
      </c>
      <c r="N625" s="16">
        <f>IFERROR(VLOOKUP(Table15[[#This Row],[ROUTE]],DEMAND!A:F,6,FALSE),0)</f>
        <v>0</v>
      </c>
      <c r="O625" s="16">
        <f>IFERROR(ROUNDDOWN(Table15[[#This Row],[R-DEMAND]]/1706,0),0)</f>
        <v>0</v>
      </c>
      <c r="P625" s="16">
        <f>IFERROR(Table15[[#This Row],[ADD ACC]]*Table15[[#This Row],[RT TIME 
(380-800)]],0)</f>
        <v>0</v>
      </c>
      <c r="Q625" s="415">
        <f>IFERROR(VLOOKUP(Table15[[#This Row],[ROUTE]],PRICING!A:B,2,FALSE),0)</f>
        <v>0</v>
      </c>
      <c r="R625" s="235">
        <f>IFERROR(Table15[[#This Row],[C_DEMAND]]-Table15[[#This Row],[R-DEMAND]],0)</f>
        <v>0</v>
      </c>
      <c r="S625" s="408">
        <f t="shared" si="9"/>
        <v>0</v>
      </c>
      <c r="T625" s="419">
        <f>Table15[[#This Row],[R-DEMAND]]-(Table15[[#This Row],[ADD ACC]]*1706)</f>
        <v>0</v>
      </c>
      <c r="U625" s="419">
        <f>ROUNDDOWN(Table15[[#This Row],[Column1]]/1360,0)</f>
        <v>0</v>
      </c>
      <c r="V625" s="419"/>
      <c r="W625" s="251">
        <v>11.25</v>
      </c>
      <c r="X625" s="251">
        <f>ROUNDDOWN(Table15[[#This Row],[R-DEMAND]]/1320,0)</f>
        <v>0</v>
      </c>
      <c r="Y625" s="251">
        <f>IFERROR(Table15[[#This Row],[ADD ACC
(660/1320)]]*Table15[[#This Row],[Duration
(B744)]],0)</f>
        <v>0</v>
      </c>
      <c r="Z625" s="251"/>
    </row>
    <row r="626" spans="1:26" ht="15.75" customHeight="1" x14ac:dyDescent="0.25">
      <c r="A626" s="210" t="s">
        <v>15755</v>
      </c>
      <c r="B626" s="204" t="s">
        <v>1126</v>
      </c>
      <c r="C626" s="204"/>
      <c r="D626" s="205">
        <v>1</v>
      </c>
      <c r="E626" s="204" t="s">
        <v>1124</v>
      </c>
      <c r="F626" s="204" t="str">
        <f>VLOOKUP(E626,Table10[[COUNTRY NAME]:[CONTINENT CODE]],3,FALSE)</f>
        <v>AF</v>
      </c>
      <c r="G626" s="206" t="s">
        <v>11871</v>
      </c>
      <c r="H626" s="207">
        <v>4127</v>
      </c>
      <c r="I626" s="208">
        <v>11.25</v>
      </c>
      <c r="J626" s="345"/>
      <c r="K626" s="345">
        <f>IFERROR(Table15[[#This Row],[ROUTE $]]/Table15[[#This Row],[E - DEMAND]],0)</f>
        <v>0</v>
      </c>
      <c r="L626" s="204"/>
      <c r="M626" s="412">
        <f>IFERROR(VLOOKUP(Table15[[#This Row],[ROUTE]],DEMAND!A:F,5,FALSE),0)</f>
        <v>0</v>
      </c>
      <c r="N626" s="16">
        <f>IFERROR(VLOOKUP(Table15[[#This Row],[ROUTE]],DEMAND!A:F,6,FALSE),0)</f>
        <v>0</v>
      </c>
      <c r="O626" s="16">
        <f>IFERROR(ROUNDDOWN(Table15[[#This Row],[R-DEMAND]]/1706,0),0)</f>
        <v>0</v>
      </c>
      <c r="P626" s="16">
        <f>IFERROR(Table15[[#This Row],[ADD ACC]]*Table15[[#This Row],[RT TIME 
(380-800)]],0)</f>
        <v>0</v>
      </c>
      <c r="Q626" s="415">
        <f>IFERROR(VLOOKUP(Table15[[#This Row],[ROUTE]],PRICING!A:B,2,FALSE),0)</f>
        <v>0</v>
      </c>
      <c r="R626" s="235">
        <f>IFERROR(Table15[[#This Row],[C_DEMAND]]-Table15[[#This Row],[R-DEMAND]],0)</f>
        <v>0</v>
      </c>
      <c r="S626" s="408">
        <f t="shared" si="9"/>
        <v>0</v>
      </c>
      <c r="T626" s="419">
        <f>Table15[[#This Row],[R-DEMAND]]-(Table15[[#This Row],[ADD ACC]]*1706)</f>
        <v>0</v>
      </c>
      <c r="U626" s="419">
        <f>ROUNDDOWN(Table15[[#This Row],[Column1]]/1360,0)</f>
        <v>0</v>
      </c>
      <c r="V626" s="419"/>
      <c r="W626" s="251">
        <v>11.25</v>
      </c>
      <c r="X626" s="251">
        <f>ROUNDDOWN(Table15[[#This Row],[R-DEMAND]]/1320,0)</f>
        <v>0</v>
      </c>
      <c r="Y626" s="251">
        <f>IFERROR(Table15[[#This Row],[ADD ACC
(660/1320)]]*Table15[[#This Row],[Duration
(B744)]],0)</f>
        <v>0</v>
      </c>
      <c r="Z626" s="251"/>
    </row>
    <row r="627" spans="1:26" ht="15.75" customHeight="1" x14ac:dyDescent="0.25">
      <c r="A627" s="210" t="s">
        <v>15750</v>
      </c>
      <c r="B627" s="204" t="s">
        <v>2268</v>
      </c>
      <c r="C627" s="204"/>
      <c r="D627" s="205">
        <v>1</v>
      </c>
      <c r="E627" s="204" t="s">
        <v>78</v>
      </c>
      <c r="F627" s="204" t="str">
        <f>VLOOKUP(E627,Table10[[COUNTRY NAME]:[CONTINENT CODE]],3,FALSE)</f>
        <v>EU</v>
      </c>
      <c r="G627" s="210" t="s">
        <v>11013</v>
      </c>
      <c r="H627" s="207">
        <v>4167</v>
      </c>
      <c r="I627" s="208">
        <v>11.25</v>
      </c>
      <c r="J627" s="345"/>
      <c r="K627" s="345">
        <f>IFERROR(Table15[[#This Row],[ROUTE $]]/Table15[[#This Row],[E - DEMAND]],0)</f>
        <v>0</v>
      </c>
      <c r="L627" s="204"/>
      <c r="M627" s="412">
        <f>IFERROR(VLOOKUP(Table15[[#This Row],[ROUTE]],DEMAND!A:F,5,FALSE),0)</f>
        <v>0</v>
      </c>
      <c r="N627" s="16">
        <f>IFERROR(VLOOKUP(Table15[[#This Row],[ROUTE]],DEMAND!A:F,6,FALSE),0)</f>
        <v>0</v>
      </c>
      <c r="O627" s="16">
        <f>IFERROR(ROUNDDOWN(Table15[[#This Row],[R-DEMAND]]/1706,0),0)</f>
        <v>0</v>
      </c>
      <c r="P627" s="16">
        <f>IFERROR(Table15[[#This Row],[ADD ACC]]*Table15[[#This Row],[RT TIME 
(380-800)]],0)</f>
        <v>0</v>
      </c>
      <c r="Q627" s="415">
        <f>IFERROR(VLOOKUP(Table15[[#This Row],[ROUTE]],PRICING!A:B,2,FALSE),0)</f>
        <v>0</v>
      </c>
      <c r="R627" s="235">
        <f>IFERROR(Table15[[#This Row],[C_DEMAND]]-Table15[[#This Row],[R-DEMAND]],0)</f>
        <v>0</v>
      </c>
      <c r="S627" s="408">
        <f t="shared" si="9"/>
        <v>0</v>
      </c>
      <c r="T627" s="419">
        <f>Table15[[#This Row],[R-DEMAND]]-(Table15[[#This Row],[ADD ACC]]*1706)</f>
        <v>0</v>
      </c>
      <c r="U627" s="419">
        <f>ROUNDDOWN(Table15[[#This Row],[Column1]]/1360,0)</f>
        <v>0</v>
      </c>
      <c r="V627" s="419"/>
      <c r="W627" s="251">
        <v>11.25</v>
      </c>
      <c r="X627" s="251">
        <f>ROUNDDOWN(Table15[[#This Row],[R-DEMAND]]/1320,0)</f>
        <v>0</v>
      </c>
      <c r="Y627" s="251">
        <f>IFERROR(Table15[[#This Row],[ADD ACC
(660/1320)]]*Table15[[#This Row],[Duration
(B744)]],0)</f>
        <v>0</v>
      </c>
      <c r="Z627" s="251"/>
    </row>
    <row r="628" spans="1:26" ht="15.75" customHeight="1" x14ac:dyDescent="0.25">
      <c r="A628" s="210" t="s">
        <v>15761</v>
      </c>
      <c r="B628" s="204" t="s">
        <v>55</v>
      </c>
      <c r="C628" s="204"/>
      <c r="D628" s="205">
        <v>4</v>
      </c>
      <c r="E628" s="204" t="s">
        <v>1216</v>
      </c>
      <c r="F628" s="204" t="str">
        <f>VLOOKUP(E628,Table10[[COUNTRY NAME]:[CONTINENT CODE]],3,FALSE)</f>
        <v>AS</v>
      </c>
      <c r="G628" s="206" t="s">
        <v>11036</v>
      </c>
      <c r="H628" s="207">
        <v>4047</v>
      </c>
      <c r="I628" s="208">
        <v>11</v>
      </c>
      <c r="J628" s="345"/>
      <c r="K628" s="345">
        <f>IFERROR(Table15[[#This Row],[ROUTE $]]/Table15[[#This Row],[E - DEMAND]],0)</f>
        <v>0</v>
      </c>
      <c r="L628" s="204"/>
      <c r="M628" s="412">
        <f>IFERROR(VLOOKUP(Table15[[#This Row],[ROUTE]],DEMAND!A:F,5,FALSE),0)</f>
        <v>0</v>
      </c>
      <c r="N628" s="16">
        <f>IFERROR(VLOOKUP(Table15[[#This Row],[ROUTE]],DEMAND!A:F,6,FALSE),0)</f>
        <v>0</v>
      </c>
      <c r="O628" s="16">
        <f>IFERROR(ROUNDDOWN(Table15[[#This Row],[R-DEMAND]]/1706,0),0)</f>
        <v>0</v>
      </c>
      <c r="P628" s="16">
        <f>IFERROR(Table15[[#This Row],[ADD ACC]]*Table15[[#This Row],[RT TIME 
(380-800)]],0)</f>
        <v>0</v>
      </c>
      <c r="Q628" s="415">
        <f>IFERROR(VLOOKUP(Table15[[#This Row],[ROUTE]],PRICING!A:B,2,FALSE),0)</f>
        <v>0</v>
      </c>
      <c r="R628" s="235">
        <f>IFERROR(Table15[[#This Row],[C_DEMAND]]-Table15[[#This Row],[R-DEMAND]],0)</f>
        <v>0</v>
      </c>
      <c r="S628" s="408">
        <f t="shared" si="9"/>
        <v>0</v>
      </c>
      <c r="T628" s="419">
        <f>Table15[[#This Row],[R-DEMAND]]-(Table15[[#This Row],[ADD ACC]]*1706)</f>
        <v>0</v>
      </c>
      <c r="U628" s="419">
        <f>ROUNDDOWN(Table15[[#This Row],[Column1]]/1360,0)</f>
        <v>0</v>
      </c>
      <c r="V628" s="419"/>
      <c r="W628" s="251">
        <v>11</v>
      </c>
      <c r="X628" s="251">
        <f>ROUNDDOWN(Table15[[#This Row],[R-DEMAND]]/1320,0)</f>
        <v>0</v>
      </c>
      <c r="Y628" s="251">
        <f>IFERROR(Table15[[#This Row],[ADD ACC
(660/1320)]]*Table15[[#This Row],[Duration
(B744)]],0)</f>
        <v>0</v>
      </c>
      <c r="Z628" s="251"/>
    </row>
    <row r="629" spans="1:26" ht="15.75" customHeight="1" x14ac:dyDescent="0.25">
      <c r="A629" s="210" t="s">
        <v>15763</v>
      </c>
      <c r="B629" s="204" t="s">
        <v>5395</v>
      </c>
      <c r="C629" s="204"/>
      <c r="D629" s="205">
        <v>3</v>
      </c>
      <c r="E629" s="204" t="s">
        <v>5393</v>
      </c>
      <c r="F629" s="204" t="str">
        <f>VLOOKUP(E629,Table10[[COUNTRY NAME]:[CONTINENT CODE]],3,FALSE)</f>
        <v>AS</v>
      </c>
      <c r="G629" s="206" t="s">
        <v>11877</v>
      </c>
      <c r="H629" s="207">
        <v>4037</v>
      </c>
      <c r="I629" s="208">
        <v>11</v>
      </c>
      <c r="J629" s="345"/>
      <c r="K629" s="345">
        <f>IFERROR(Table15[[#This Row],[ROUTE $]]/Table15[[#This Row],[E - DEMAND]],0)</f>
        <v>0</v>
      </c>
      <c r="L629" s="204"/>
      <c r="M629" s="412">
        <f>IFERROR(VLOOKUP(Table15[[#This Row],[ROUTE]],DEMAND!A:F,5,FALSE),0)</f>
        <v>0</v>
      </c>
      <c r="N629" s="16">
        <f>IFERROR(VLOOKUP(Table15[[#This Row],[ROUTE]],DEMAND!A:F,6,FALSE),0)</f>
        <v>0</v>
      </c>
      <c r="O629" s="16">
        <f>IFERROR(ROUNDDOWN(Table15[[#This Row],[R-DEMAND]]/1706,0),0)</f>
        <v>0</v>
      </c>
      <c r="P629" s="16">
        <f>IFERROR(Table15[[#This Row],[ADD ACC]]*Table15[[#This Row],[RT TIME 
(380-800)]],0)</f>
        <v>0</v>
      </c>
      <c r="Q629" s="415">
        <f>IFERROR(VLOOKUP(Table15[[#This Row],[ROUTE]],PRICING!A:B,2,FALSE),0)</f>
        <v>0</v>
      </c>
      <c r="R629" s="235">
        <f>IFERROR(Table15[[#This Row],[C_DEMAND]]-Table15[[#This Row],[R-DEMAND]],0)</f>
        <v>0</v>
      </c>
      <c r="S629" s="408">
        <f t="shared" si="9"/>
        <v>0</v>
      </c>
      <c r="T629" s="419">
        <f>Table15[[#This Row],[R-DEMAND]]-(Table15[[#This Row],[ADD ACC]]*1706)</f>
        <v>0</v>
      </c>
      <c r="U629" s="419">
        <f>ROUNDDOWN(Table15[[#This Row],[Column1]]/1360,0)</f>
        <v>0</v>
      </c>
      <c r="V629" s="419"/>
      <c r="W629" s="251">
        <v>11</v>
      </c>
      <c r="X629" s="251">
        <f>ROUNDDOWN(Table15[[#This Row],[R-DEMAND]]/1320,0)</f>
        <v>0</v>
      </c>
      <c r="Y629" s="251">
        <f>IFERROR(Table15[[#This Row],[ADD ACC
(660/1320)]]*Table15[[#This Row],[Duration
(B744)]],0)</f>
        <v>0</v>
      </c>
      <c r="Z629" s="251"/>
    </row>
    <row r="630" spans="1:26" ht="15.75" customHeight="1" x14ac:dyDescent="0.25">
      <c r="A630" s="210" t="s">
        <v>15769</v>
      </c>
      <c r="B630" s="204" t="s">
        <v>5436</v>
      </c>
      <c r="C630" s="204"/>
      <c r="D630" s="205">
        <v>3</v>
      </c>
      <c r="E630" s="204" t="s">
        <v>78</v>
      </c>
      <c r="F630" s="204" t="str">
        <f>VLOOKUP(E630,Table10[[COUNTRY NAME]:[CONTINENT CODE]],3,FALSE)</f>
        <v>EU</v>
      </c>
      <c r="G630" s="210" t="s">
        <v>11938</v>
      </c>
      <c r="H630" s="207">
        <v>3990</v>
      </c>
      <c r="I630" s="208">
        <v>11</v>
      </c>
      <c r="J630" s="345"/>
      <c r="K630" s="345">
        <f>IFERROR(Table15[[#This Row],[ROUTE $]]/Table15[[#This Row],[E - DEMAND]],0)</f>
        <v>0</v>
      </c>
      <c r="L630" s="204"/>
      <c r="M630" s="412">
        <f>IFERROR(VLOOKUP(Table15[[#This Row],[ROUTE]],DEMAND!A:F,5,FALSE),0)</f>
        <v>0</v>
      </c>
      <c r="N630" s="16">
        <f>IFERROR(VLOOKUP(Table15[[#This Row],[ROUTE]],DEMAND!A:F,6,FALSE),0)</f>
        <v>0</v>
      </c>
      <c r="O630" s="16">
        <f>IFERROR(ROUNDDOWN(Table15[[#This Row],[R-DEMAND]]/1706,0),0)</f>
        <v>0</v>
      </c>
      <c r="P630" s="16">
        <f>IFERROR(Table15[[#This Row],[ADD ACC]]*Table15[[#This Row],[RT TIME 
(380-800)]],0)</f>
        <v>0</v>
      </c>
      <c r="Q630" s="415">
        <f>IFERROR(VLOOKUP(Table15[[#This Row],[ROUTE]],PRICING!A:B,2,FALSE),0)</f>
        <v>0</v>
      </c>
      <c r="R630" s="235">
        <f>IFERROR(Table15[[#This Row],[C_DEMAND]]-Table15[[#This Row],[R-DEMAND]],0)</f>
        <v>0</v>
      </c>
      <c r="S630" s="408">
        <f t="shared" si="9"/>
        <v>0</v>
      </c>
      <c r="T630" s="419">
        <f>Table15[[#This Row],[R-DEMAND]]-(Table15[[#This Row],[ADD ACC]]*1706)</f>
        <v>0</v>
      </c>
      <c r="U630" s="419">
        <f>ROUNDDOWN(Table15[[#This Row],[Column1]]/1360,0)</f>
        <v>0</v>
      </c>
      <c r="V630" s="419"/>
      <c r="W630" s="251">
        <v>11</v>
      </c>
      <c r="X630" s="251">
        <f>ROUNDDOWN(Table15[[#This Row],[R-DEMAND]]/1320,0)</f>
        <v>0</v>
      </c>
      <c r="Y630" s="251">
        <f>IFERROR(Table15[[#This Row],[ADD ACC
(660/1320)]]*Table15[[#This Row],[Duration
(B744)]],0)</f>
        <v>0</v>
      </c>
      <c r="Z630" s="251"/>
    </row>
    <row r="631" spans="1:26" ht="15.75" customHeight="1" x14ac:dyDescent="0.25">
      <c r="A631" s="210" t="s">
        <v>15765</v>
      </c>
      <c r="B631" s="204" t="s">
        <v>3373</v>
      </c>
      <c r="C631" s="204"/>
      <c r="D631" s="205">
        <v>2</v>
      </c>
      <c r="E631" s="204" t="s">
        <v>1124</v>
      </c>
      <c r="F631" s="204" t="str">
        <f>VLOOKUP(E631,Table10[[COUNTRY NAME]:[CONTINENT CODE]],3,FALSE)</f>
        <v>AF</v>
      </c>
      <c r="G631" s="206" t="s">
        <v>11882</v>
      </c>
      <c r="H631" s="207">
        <v>4012</v>
      </c>
      <c r="I631" s="208">
        <v>11</v>
      </c>
      <c r="J631" s="345"/>
      <c r="K631" s="345">
        <f>IFERROR(Table15[[#This Row],[ROUTE $]]/Table15[[#This Row],[E - DEMAND]],0)</f>
        <v>0</v>
      </c>
      <c r="L631" s="204"/>
      <c r="M631" s="412">
        <f>IFERROR(VLOOKUP(Table15[[#This Row],[ROUTE]],DEMAND!A:F,5,FALSE),0)</f>
        <v>0</v>
      </c>
      <c r="N631" s="16">
        <f>IFERROR(VLOOKUP(Table15[[#This Row],[ROUTE]],DEMAND!A:F,6,FALSE),0)</f>
        <v>0</v>
      </c>
      <c r="O631" s="16">
        <f>IFERROR(ROUNDDOWN(Table15[[#This Row],[R-DEMAND]]/1706,0),0)</f>
        <v>0</v>
      </c>
      <c r="P631" s="16">
        <f>IFERROR(Table15[[#This Row],[ADD ACC]]*Table15[[#This Row],[RT TIME 
(380-800)]],0)</f>
        <v>0</v>
      </c>
      <c r="Q631" s="415">
        <f>IFERROR(VLOOKUP(Table15[[#This Row],[ROUTE]],PRICING!A:B,2,FALSE),0)</f>
        <v>0</v>
      </c>
      <c r="R631" s="235">
        <f>IFERROR(Table15[[#This Row],[C_DEMAND]]-Table15[[#This Row],[R-DEMAND]],0)</f>
        <v>0</v>
      </c>
      <c r="S631" s="408">
        <f t="shared" si="9"/>
        <v>0</v>
      </c>
      <c r="T631" s="419">
        <f>Table15[[#This Row],[R-DEMAND]]-(Table15[[#This Row],[ADD ACC]]*1706)</f>
        <v>0</v>
      </c>
      <c r="U631" s="419">
        <f>ROUNDDOWN(Table15[[#This Row],[Column1]]/1360,0)</f>
        <v>0</v>
      </c>
      <c r="V631" s="419"/>
      <c r="W631" s="251">
        <v>11</v>
      </c>
      <c r="X631" s="251">
        <f>ROUNDDOWN(Table15[[#This Row],[R-DEMAND]]/1320,0)</f>
        <v>0</v>
      </c>
      <c r="Y631" s="251">
        <f>IFERROR(Table15[[#This Row],[ADD ACC
(660/1320)]]*Table15[[#This Row],[Duration
(B744)]],0)</f>
        <v>0</v>
      </c>
      <c r="Z631" s="251"/>
    </row>
    <row r="632" spans="1:26" ht="15.75" customHeight="1" x14ac:dyDescent="0.25">
      <c r="A632" s="210" t="s">
        <v>15766</v>
      </c>
      <c r="B632" s="204" t="s">
        <v>2555</v>
      </c>
      <c r="C632" s="204"/>
      <c r="D632" s="205">
        <v>2</v>
      </c>
      <c r="E632" s="204" t="s">
        <v>1216</v>
      </c>
      <c r="F632" s="204" t="str">
        <f>VLOOKUP(E632,Table10[[COUNTRY NAME]:[CONTINENT CODE]],3,FALSE)</f>
        <v>AS</v>
      </c>
      <c r="G632" s="206" t="s">
        <v>11883</v>
      </c>
      <c r="H632" s="207">
        <v>4003</v>
      </c>
      <c r="I632" s="208">
        <v>11</v>
      </c>
      <c r="J632" s="345"/>
      <c r="K632" s="345">
        <f>IFERROR(Table15[[#This Row],[ROUTE $]]/Table15[[#This Row],[E - DEMAND]],0)</f>
        <v>0</v>
      </c>
      <c r="L632" s="204"/>
      <c r="M632" s="412">
        <f>IFERROR(VLOOKUP(Table15[[#This Row],[ROUTE]],DEMAND!A:F,5,FALSE),0)</f>
        <v>0</v>
      </c>
      <c r="N632" s="16">
        <f>IFERROR(VLOOKUP(Table15[[#This Row],[ROUTE]],DEMAND!A:F,6,FALSE),0)</f>
        <v>0</v>
      </c>
      <c r="O632" s="16">
        <f>IFERROR(ROUNDDOWN(Table15[[#This Row],[R-DEMAND]]/1706,0),0)</f>
        <v>0</v>
      </c>
      <c r="P632" s="16">
        <f>IFERROR(Table15[[#This Row],[ADD ACC]]*Table15[[#This Row],[RT TIME 
(380-800)]],0)</f>
        <v>0</v>
      </c>
      <c r="Q632" s="415">
        <f>IFERROR(VLOOKUP(Table15[[#This Row],[ROUTE]],PRICING!A:B,2,FALSE),0)</f>
        <v>0</v>
      </c>
      <c r="R632" s="235">
        <f>IFERROR(Table15[[#This Row],[C_DEMAND]]-Table15[[#This Row],[R-DEMAND]],0)</f>
        <v>0</v>
      </c>
      <c r="S632" s="408">
        <f t="shared" si="9"/>
        <v>0</v>
      </c>
      <c r="T632" s="419">
        <f>Table15[[#This Row],[R-DEMAND]]-(Table15[[#This Row],[ADD ACC]]*1706)</f>
        <v>0</v>
      </c>
      <c r="U632" s="419">
        <f>ROUNDDOWN(Table15[[#This Row],[Column1]]/1360,0)</f>
        <v>0</v>
      </c>
      <c r="V632" s="419"/>
      <c r="W632" s="251">
        <v>11</v>
      </c>
      <c r="X632" s="251">
        <f>ROUNDDOWN(Table15[[#This Row],[R-DEMAND]]/1320,0)</f>
        <v>0</v>
      </c>
      <c r="Y632" s="251">
        <f>IFERROR(Table15[[#This Row],[ADD ACC
(660/1320)]]*Table15[[#This Row],[Duration
(B744)]],0)</f>
        <v>0</v>
      </c>
      <c r="Z632" s="251"/>
    </row>
    <row r="633" spans="1:26" ht="15.75" customHeight="1" x14ac:dyDescent="0.25">
      <c r="A633" s="210" t="s">
        <v>15760</v>
      </c>
      <c r="B633" s="204" t="s">
        <v>3753</v>
      </c>
      <c r="C633" s="204"/>
      <c r="D633" s="205">
        <v>2</v>
      </c>
      <c r="E633" s="204" t="s">
        <v>700</v>
      </c>
      <c r="F633" s="204" t="str">
        <f>VLOOKUP(E633,Table10[[COUNTRY NAME]:[CONTINENT CODE]],3,FALSE)</f>
        <v>AS</v>
      </c>
      <c r="G633" s="206" t="s">
        <v>11874</v>
      </c>
      <c r="H633" s="207">
        <v>4047</v>
      </c>
      <c r="I633" s="208">
        <v>11</v>
      </c>
      <c r="J633" s="345"/>
      <c r="K633" s="345">
        <f>IFERROR(Table15[[#This Row],[ROUTE $]]/Table15[[#This Row],[E - DEMAND]],0)</f>
        <v>0</v>
      </c>
      <c r="L633" s="204"/>
      <c r="M633" s="412">
        <f>IFERROR(VLOOKUP(Table15[[#This Row],[ROUTE]],DEMAND!A:F,5,FALSE),0)</f>
        <v>0</v>
      </c>
      <c r="N633" s="16">
        <f>IFERROR(VLOOKUP(Table15[[#This Row],[ROUTE]],DEMAND!A:F,6,FALSE),0)</f>
        <v>0</v>
      </c>
      <c r="O633" s="16">
        <f>IFERROR(ROUNDDOWN(Table15[[#This Row],[R-DEMAND]]/1706,0),0)</f>
        <v>0</v>
      </c>
      <c r="P633" s="16">
        <f>IFERROR(Table15[[#This Row],[ADD ACC]]*Table15[[#This Row],[RT TIME 
(380-800)]],0)</f>
        <v>0</v>
      </c>
      <c r="Q633" s="415">
        <f>IFERROR(VLOOKUP(Table15[[#This Row],[ROUTE]],PRICING!A:B,2,FALSE),0)</f>
        <v>0</v>
      </c>
      <c r="R633" s="235">
        <f>IFERROR(Table15[[#This Row],[C_DEMAND]]-Table15[[#This Row],[R-DEMAND]],0)</f>
        <v>0</v>
      </c>
      <c r="S633" s="408">
        <f t="shared" si="9"/>
        <v>0</v>
      </c>
      <c r="T633" s="419">
        <f>Table15[[#This Row],[R-DEMAND]]-(Table15[[#This Row],[ADD ACC]]*1706)</f>
        <v>0</v>
      </c>
      <c r="U633" s="419">
        <f>ROUNDDOWN(Table15[[#This Row],[Column1]]/1360,0)</f>
        <v>0</v>
      </c>
      <c r="V633" s="419"/>
      <c r="W633" s="251">
        <v>11</v>
      </c>
      <c r="X633" s="251">
        <f>ROUNDDOWN(Table15[[#This Row],[R-DEMAND]]/1320,0)</f>
        <v>0</v>
      </c>
      <c r="Y633" s="251">
        <f>IFERROR(Table15[[#This Row],[ADD ACC
(660/1320)]]*Table15[[#This Row],[Duration
(B744)]],0)</f>
        <v>0</v>
      </c>
      <c r="Z633" s="251"/>
    </row>
    <row r="634" spans="1:26" ht="15.75" customHeight="1" x14ac:dyDescent="0.25">
      <c r="A634" s="210" t="s">
        <v>15771</v>
      </c>
      <c r="B634" s="204" t="s">
        <v>4013</v>
      </c>
      <c r="C634" s="204"/>
      <c r="D634" s="205">
        <v>2</v>
      </c>
      <c r="E634" s="204" t="s">
        <v>700</v>
      </c>
      <c r="F634" s="204" t="str">
        <f>VLOOKUP(E634,Table10[[COUNTRY NAME]:[CONTINENT CODE]],3,FALSE)</f>
        <v>AS</v>
      </c>
      <c r="G634" s="206" t="s">
        <v>11885</v>
      </c>
      <c r="H634" s="207">
        <v>3979</v>
      </c>
      <c r="I634" s="208">
        <v>11</v>
      </c>
      <c r="J634" s="345"/>
      <c r="K634" s="345">
        <f>IFERROR(Table15[[#This Row],[ROUTE $]]/Table15[[#This Row],[E - DEMAND]],0)</f>
        <v>0</v>
      </c>
      <c r="L634" s="204"/>
      <c r="M634" s="412">
        <f>IFERROR(VLOOKUP(Table15[[#This Row],[ROUTE]],DEMAND!A:F,5,FALSE),0)</f>
        <v>0</v>
      </c>
      <c r="N634" s="16">
        <f>IFERROR(VLOOKUP(Table15[[#This Row],[ROUTE]],DEMAND!A:F,6,FALSE),0)</f>
        <v>0</v>
      </c>
      <c r="O634" s="16">
        <f>IFERROR(ROUNDDOWN(Table15[[#This Row],[R-DEMAND]]/1706,0),0)</f>
        <v>0</v>
      </c>
      <c r="P634" s="16">
        <f>IFERROR(Table15[[#This Row],[ADD ACC]]*Table15[[#This Row],[RT TIME 
(380-800)]],0)</f>
        <v>0</v>
      </c>
      <c r="Q634" s="415">
        <f>IFERROR(VLOOKUP(Table15[[#This Row],[ROUTE]],PRICING!A:B,2,FALSE),0)</f>
        <v>0</v>
      </c>
      <c r="R634" s="235">
        <f>IFERROR(Table15[[#This Row],[C_DEMAND]]-Table15[[#This Row],[R-DEMAND]],0)</f>
        <v>0</v>
      </c>
      <c r="S634" s="408">
        <f t="shared" si="9"/>
        <v>0</v>
      </c>
      <c r="T634" s="419">
        <f>Table15[[#This Row],[R-DEMAND]]-(Table15[[#This Row],[ADD ACC]]*1706)</f>
        <v>0</v>
      </c>
      <c r="U634" s="419">
        <f>ROUNDDOWN(Table15[[#This Row],[Column1]]/1360,0)</f>
        <v>0</v>
      </c>
      <c r="V634" s="419"/>
      <c r="W634" s="251">
        <v>11</v>
      </c>
      <c r="X634" s="251">
        <f>ROUNDDOWN(Table15[[#This Row],[R-DEMAND]]/1320,0)</f>
        <v>0</v>
      </c>
      <c r="Y634" s="251">
        <f>IFERROR(Table15[[#This Row],[ADD ACC
(660/1320)]]*Table15[[#This Row],[Duration
(B744)]],0)</f>
        <v>0</v>
      </c>
      <c r="Z634" s="251"/>
    </row>
    <row r="635" spans="1:26" ht="15.75" customHeight="1" x14ac:dyDescent="0.25">
      <c r="A635" s="210" t="s">
        <v>15767</v>
      </c>
      <c r="B635" s="204" t="s">
        <v>3363</v>
      </c>
      <c r="C635" s="204"/>
      <c r="D635" s="205">
        <v>0</v>
      </c>
      <c r="E635" s="204" t="s">
        <v>1216</v>
      </c>
      <c r="F635" s="204" t="str">
        <f>VLOOKUP(E635,Table10[[COUNTRY NAME]:[CONTINENT CODE]],3,FALSE)</f>
        <v>AS</v>
      </c>
      <c r="G635" s="206" t="s">
        <v>11876</v>
      </c>
      <c r="H635" s="207">
        <v>3992</v>
      </c>
      <c r="I635" s="208">
        <v>11</v>
      </c>
      <c r="J635" s="345"/>
      <c r="K635" s="345">
        <f>IFERROR(Table15[[#This Row],[ROUTE $]]/Table15[[#This Row],[E - DEMAND]],0)</f>
        <v>0</v>
      </c>
      <c r="L635" s="204"/>
      <c r="M635" s="412">
        <f>IFERROR(VLOOKUP(Table15[[#This Row],[ROUTE]],DEMAND!A:F,5,FALSE),0)</f>
        <v>0</v>
      </c>
      <c r="N635" s="16">
        <f>IFERROR(VLOOKUP(Table15[[#This Row],[ROUTE]],DEMAND!A:F,6,FALSE),0)</f>
        <v>0</v>
      </c>
      <c r="O635" s="16">
        <f>IFERROR(ROUNDDOWN(Table15[[#This Row],[R-DEMAND]]/1706,0),0)</f>
        <v>0</v>
      </c>
      <c r="P635" s="16">
        <f>IFERROR(Table15[[#This Row],[ADD ACC]]*Table15[[#This Row],[RT TIME 
(380-800)]],0)</f>
        <v>0</v>
      </c>
      <c r="Q635" s="415">
        <f>IFERROR(VLOOKUP(Table15[[#This Row],[ROUTE]],PRICING!A:B,2,FALSE),0)</f>
        <v>0</v>
      </c>
      <c r="R635" s="235">
        <f>IFERROR(Table15[[#This Row],[C_DEMAND]]-Table15[[#This Row],[R-DEMAND]],0)</f>
        <v>0</v>
      </c>
      <c r="S635" s="408">
        <f t="shared" si="9"/>
        <v>0</v>
      </c>
      <c r="T635" s="419">
        <f>Table15[[#This Row],[R-DEMAND]]-(Table15[[#This Row],[ADD ACC]]*1706)</f>
        <v>0</v>
      </c>
      <c r="U635" s="419">
        <f>ROUNDDOWN(Table15[[#This Row],[Column1]]/1360,0)</f>
        <v>0</v>
      </c>
      <c r="V635" s="419"/>
      <c r="W635" s="251">
        <v>11</v>
      </c>
      <c r="X635" s="251">
        <f>ROUNDDOWN(Table15[[#This Row],[R-DEMAND]]/1320,0)</f>
        <v>0</v>
      </c>
      <c r="Y635" s="251">
        <f>IFERROR(Table15[[#This Row],[ADD ACC
(660/1320)]]*Table15[[#This Row],[Duration
(B744)]],0)</f>
        <v>0</v>
      </c>
      <c r="Z635" s="251"/>
    </row>
    <row r="636" spans="1:26" ht="15.75" customHeight="1" x14ac:dyDescent="0.25">
      <c r="A636" s="210" t="s">
        <v>15787</v>
      </c>
      <c r="B636" s="204" t="s">
        <v>236</v>
      </c>
      <c r="C636" s="204"/>
      <c r="D636" s="205">
        <v>3</v>
      </c>
      <c r="E636" s="204" t="s">
        <v>709</v>
      </c>
      <c r="F636" s="204" t="str">
        <f>VLOOKUP(E636,Table10[[COUNTRY NAME]:[CONTINENT CODE]],3,FALSE)</f>
        <v>AS</v>
      </c>
      <c r="G636" s="206" t="s">
        <v>12115</v>
      </c>
      <c r="H636" s="207">
        <v>3875</v>
      </c>
      <c r="I636" s="208">
        <v>10.75</v>
      </c>
      <c r="J636" s="345"/>
      <c r="K636" s="345">
        <f>IFERROR(Table15[[#This Row],[ROUTE $]]/Table15[[#This Row],[E - DEMAND]],0)</f>
        <v>0</v>
      </c>
      <c r="L636" s="204"/>
      <c r="M636" s="412">
        <f>IFERROR(VLOOKUP(Table15[[#This Row],[ROUTE]],DEMAND!A:F,5,FALSE),0)</f>
        <v>0</v>
      </c>
      <c r="N636" s="16">
        <f>IFERROR(VLOOKUP(Table15[[#This Row],[ROUTE]],DEMAND!A:F,6,FALSE),0)</f>
        <v>0</v>
      </c>
      <c r="O636" s="16">
        <f>IFERROR(ROUNDDOWN(Table15[[#This Row],[R-DEMAND]]/1706,0),0)</f>
        <v>0</v>
      </c>
      <c r="P636" s="16">
        <f>IFERROR(Table15[[#This Row],[ADD ACC]]*Table15[[#This Row],[RT TIME 
(380-800)]],0)</f>
        <v>0</v>
      </c>
      <c r="Q636" s="415">
        <f>IFERROR(VLOOKUP(Table15[[#This Row],[ROUTE]],PRICING!A:B,2,FALSE),0)</f>
        <v>0</v>
      </c>
      <c r="R636" s="235">
        <f>IFERROR(Table15[[#This Row],[C_DEMAND]]-Table15[[#This Row],[R-DEMAND]],0)</f>
        <v>0</v>
      </c>
      <c r="S636" s="408">
        <f t="shared" si="9"/>
        <v>0</v>
      </c>
      <c r="T636" s="419">
        <f>Table15[[#This Row],[R-DEMAND]]-(Table15[[#This Row],[ADD ACC]]*1706)</f>
        <v>0</v>
      </c>
      <c r="U636" s="419">
        <f>ROUNDDOWN(Table15[[#This Row],[Column1]]/1360,0)</f>
        <v>0</v>
      </c>
      <c r="V636" s="419"/>
      <c r="W636" s="251">
        <v>10.75</v>
      </c>
      <c r="X636" s="251">
        <f>ROUNDDOWN(Table15[[#This Row],[R-DEMAND]]/1320,0)</f>
        <v>0</v>
      </c>
      <c r="Y636" s="251">
        <f>IFERROR(Table15[[#This Row],[ADD ACC
(660/1320)]]*Table15[[#This Row],[Duration
(B744)]],0)</f>
        <v>0</v>
      </c>
      <c r="Z636" s="251"/>
    </row>
    <row r="637" spans="1:26" ht="15.75" customHeight="1" x14ac:dyDescent="0.25">
      <c r="A637" s="210" t="s">
        <v>15784</v>
      </c>
      <c r="B637" s="204" t="s">
        <v>5002</v>
      </c>
      <c r="C637" s="204"/>
      <c r="D637" s="205">
        <v>3</v>
      </c>
      <c r="E637" s="204" t="s">
        <v>78</v>
      </c>
      <c r="F637" s="204" t="str">
        <f>VLOOKUP(E637,Table10[[COUNTRY NAME]:[CONTINENT CODE]],3,FALSE)</f>
        <v>EU</v>
      </c>
      <c r="G637" s="210" t="s">
        <v>10740</v>
      </c>
      <c r="H637" s="207">
        <v>3921</v>
      </c>
      <c r="I637" s="208">
        <v>10.75</v>
      </c>
      <c r="J637" s="345"/>
      <c r="K637" s="345">
        <f>IFERROR(Table15[[#This Row],[ROUTE $]]/Table15[[#This Row],[E - DEMAND]],0)</f>
        <v>0</v>
      </c>
      <c r="L637" s="204"/>
      <c r="M637" s="412">
        <f>IFERROR(VLOOKUP(Table15[[#This Row],[ROUTE]],DEMAND!A:F,5,FALSE),0)</f>
        <v>0</v>
      </c>
      <c r="N637" s="16">
        <f>IFERROR(VLOOKUP(Table15[[#This Row],[ROUTE]],DEMAND!A:F,6,FALSE),0)</f>
        <v>0</v>
      </c>
      <c r="O637" s="16">
        <f>IFERROR(ROUNDDOWN(Table15[[#This Row],[R-DEMAND]]/1706,0),0)</f>
        <v>0</v>
      </c>
      <c r="P637" s="16">
        <f>IFERROR(Table15[[#This Row],[ADD ACC]]*Table15[[#This Row],[RT TIME 
(380-800)]],0)</f>
        <v>0</v>
      </c>
      <c r="Q637" s="415">
        <f>IFERROR(VLOOKUP(Table15[[#This Row],[ROUTE]],PRICING!A:B,2,FALSE),0)</f>
        <v>0</v>
      </c>
      <c r="R637" s="235">
        <f>IFERROR(Table15[[#This Row],[C_DEMAND]]-Table15[[#This Row],[R-DEMAND]],0)</f>
        <v>0</v>
      </c>
      <c r="S637" s="408">
        <f t="shared" si="9"/>
        <v>0</v>
      </c>
      <c r="T637" s="419">
        <f>Table15[[#This Row],[R-DEMAND]]-(Table15[[#This Row],[ADD ACC]]*1706)</f>
        <v>0</v>
      </c>
      <c r="U637" s="419">
        <f>ROUNDDOWN(Table15[[#This Row],[Column1]]/1360,0)</f>
        <v>0</v>
      </c>
      <c r="V637" s="419"/>
      <c r="W637" s="251">
        <v>10.75</v>
      </c>
      <c r="X637" s="251">
        <f>ROUNDDOWN(Table15[[#This Row],[R-DEMAND]]/1320,0)</f>
        <v>0</v>
      </c>
      <c r="Y637" s="251">
        <f>IFERROR(Table15[[#This Row],[ADD ACC
(660/1320)]]*Table15[[#This Row],[Duration
(B744)]],0)</f>
        <v>0</v>
      </c>
      <c r="Z637" s="251"/>
    </row>
    <row r="638" spans="1:26" ht="15.75" customHeight="1" x14ac:dyDescent="0.25">
      <c r="A638" s="210" t="s">
        <v>15781</v>
      </c>
      <c r="B638" s="204" t="s">
        <v>4080</v>
      </c>
      <c r="C638" s="204"/>
      <c r="D638" s="205">
        <v>2</v>
      </c>
      <c r="E638" s="204" t="s">
        <v>78</v>
      </c>
      <c r="F638" s="204" t="str">
        <f>VLOOKUP(E638,Table10[[COUNTRY NAME]:[CONTINENT CODE]],3,FALSE)</f>
        <v>EU</v>
      </c>
      <c r="G638" s="210" t="s">
        <v>8419</v>
      </c>
      <c r="H638" s="207">
        <v>3929</v>
      </c>
      <c r="I638" s="208">
        <v>10.75</v>
      </c>
      <c r="J638" s="345"/>
      <c r="K638" s="345">
        <f>IFERROR(Table15[[#This Row],[ROUTE $]]/Table15[[#This Row],[E - DEMAND]],0)</f>
        <v>0</v>
      </c>
      <c r="L638" s="204"/>
      <c r="M638" s="412">
        <f>IFERROR(VLOOKUP(Table15[[#This Row],[ROUTE]],DEMAND!A:F,5,FALSE),0)</f>
        <v>0</v>
      </c>
      <c r="N638" s="16">
        <f>IFERROR(VLOOKUP(Table15[[#This Row],[ROUTE]],DEMAND!A:F,6,FALSE),0)</f>
        <v>0</v>
      </c>
      <c r="O638" s="16">
        <f>IFERROR(ROUNDDOWN(Table15[[#This Row],[R-DEMAND]]/1706,0),0)</f>
        <v>0</v>
      </c>
      <c r="P638" s="16">
        <f>IFERROR(Table15[[#This Row],[ADD ACC]]*Table15[[#This Row],[RT TIME 
(380-800)]],0)</f>
        <v>0</v>
      </c>
      <c r="Q638" s="415">
        <f>IFERROR(VLOOKUP(Table15[[#This Row],[ROUTE]],PRICING!A:B,2,FALSE),0)</f>
        <v>0</v>
      </c>
      <c r="R638" s="235">
        <f>IFERROR(Table15[[#This Row],[C_DEMAND]]-Table15[[#This Row],[R-DEMAND]],0)</f>
        <v>0</v>
      </c>
      <c r="S638" s="408">
        <f t="shared" si="9"/>
        <v>0</v>
      </c>
      <c r="T638" s="419">
        <f>Table15[[#This Row],[R-DEMAND]]-(Table15[[#This Row],[ADD ACC]]*1706)</f>
        <v>0</v>
      </c>
      <c r="U638" s="419">
        <f>ROUNDDOWN(Table15[[#This Row],[Column1]]/1360,0)</f>
        <v>0</v>
      </c>
      <c r="V638" s="419"/>
      <c r="W638" s="251">
        <v>10.75</v>
      </c>
      <c r="X638" s="251">
        <f>ROUNDDOWN(Table15[[#This Row],[R-DEMAND]]/1320,0)</f>
        <v>0</v>
      </c>
      <c r="Y638" s="251">
        <f>IFERROR(Table15[[#This Row],[ADD ACC
(660/1320)]]*Table15[[#This Row],[Duration
(B744)]],0)</f>
        <v>0</v>
      </c>
      <c r="Z638" s="251"/>
    </row>
    <row r="639" spans="1:26" ht="15.75" customHeight="1" x14ac:dyDescent="0.25">
      <c r="A639" s="210" t="s">
        <v>15782</v>
      </c>
      <c r="B639" s="204" t="s">
        <v>2914</v>
      </c>
      <c r="C639" s="204"/>
      <c r="D639" s="205">
        <v>2</v>
      </c>
      <c r="E639" s="204" t="s">
        <v>700</v>
      </c>
      <c r="F639" s="204" t="str">
        <f>VLOOKUP(E639,Table10[[COUNTRY NAME]:[CONTINENT CODE]],3,FALSE)</f>
        <v>AS</v>
      </c>
      <c r="G639" s="206" t="s">
        <v>9893</v>
      </c>
      <c r="H639" s="207">
        <v>3924</v>
      </c>
      <c r="I639" s="208">
        <v>10.75</v>
      </c>
      <c r="J639" s="345"/>
      <c r="K639" s="345">
        <f>IFERROR(Table15[[#This Row],[ROUTE $]]/Table15[[#This Row],[E - DEMAND]],0)</f>
        <v>0</v>
      </c>
      <c r="L639" s="204"/>
      <c r="M639" s="412">
        <f>IFERROR(VLOOKUP(Table15[[#This Row],[ROUTE]],DEMAND!A:F,5,FALSE),0)</f>
        <v>0</v>
      </c>
      <c r="N639" s="16">
        <f>IFERROR(VLOOKUP(Table15[[#This Row],[ROUTE]],DEMAND!A:F,6,FALSE),0)</f>
        <v>0</v>
      </c>
      <c r="O639" s="16">
        <f>IFERROR(ROUNDDOWN(Table15[[#This Row],[R-DEMAND]]/1706,0),0)</f>
        <v>0</v>
      </c>
      <c r="P639" s="16">
        <f>IFERROR(Table15[[#This Row],[ADD ACC]]*Table15[[#This Row],[RT TIME 
(380-800)]],0)</f>
        <v>0</v>
      </c>
      <c r="Q639" s="415">
        <f>IFERROR(VLOOKUP(Table15[[#This Row],[ROUTE]],PRICING!A:B,2,FALSE),0)</f>
        <v>0</v>
      </c>
      <c r="R639" s="235">
        <f>IFERROR(Table15[[#This Row],[C_DEMAND]]-Table15[[#This Row],[R-DEMAND]],0)</f>
        <v>0</v>
      </c>
      <c r="S639" s="408">
        <f t="shared" si="9"/>
        <v>0</v>
      </c>
      <c r="T639" s="419">
        <f>Table15[[#This Row],[R-DEMAND]]-(Table15[[#This Row],[ADD ACC]]*1706)</f>
        <v>0</v>
      </c>
      <c r="U639" s="419">
        <f>ROUNDDOWN(Table15[[#This Row],[Column1]]/1360,0)</f>
        <v>0</v>
      </c>
      <c r="V639" s="419"/>
      <c r="W639" s="251">
        <v>10.75</v>
      </c>
      <c r="X639" s="251">
        <f>ROUNDDOWN(Table15[[#This Row],[R-DEMAND]]/1320,0)</f>
        <v>0</v>
      </c>
      <c r="Y639" s="251">
        <f>IFERROR(Table15[[#This Row],[ADD ACC
(660/1320)]]*Table15[[#This Row],[Duration
(B744)]],0)</f>
        <v>0</v>
      </c>
      <c r="Z639" s="251"/>
    </row>
    <row r="640" spans="1:26" ht="15.75" customHeight="1" x14ac:dyDescent="0.25">
      <c r="A640" s="210" t="s">
        <v>15803</v>
      </c>
      <c r="B640" s="204" t="s">
        <v>3365</v>
      </c>
      <c r="C640" s="204"/>
      <c r="D640" s="205">
        <v>2</v>
      </c>
      <c r="E640" s="204" t="s">
        <v>588</v>
      </c>
      <c r="F640" s="204" t="str">
        <f>VLOOKUP(E640,Table10[[COUNTRY NAME]:[CONTINENT CODE]],3,FALSE)</f>
        <v>EU</v>
      </c>
      <c r="G640" s="210" t="s">
        <v>11924</v>
      </c>
      <c r="H640" s="207">
        <v>3732</v>
      </c>
      <c r="I640" s="208">
        <v>10.5</v>
      </c>
      <c r="J640" s="345"/>
      <c r="K640" s="345">
        <f>IFERROR(Table15[[#This Row],[ROUTE $]]/Table15[[#This Row],[E - DEMAND]],0)</f>
        <v>0</v>
      </c>
      <c r="L640" s="204"/>
      <c r="M640" s="412">
        <f>IFERROR(VLOOKUP(Table15[[#This Row],[ROUTE]],DEMAND!A:F,5,FALSE),0)</f>
        <v>0</v>
      </c>
      <c r="N640" s="16">
        <f>IFERROR(VLOOKUP(Table15[[#This Row],[ROUTE]],DEMAND!A:F,6,FALSE),0)</f>
        <v>0</v>
      </c>
      <c r="O640" s="16">
        <f>IFERROR(ROUNDDOWN(Table15[[#This Row],[R-DEMAND]]/1706,0),0)</f>
        <v>0</v>
      </c>
      <c r="P640" s="16">
        <f>IFERROR(Table15[[#This Row],[ADD ACC]]*Table15[[#This Row],[RT TIME 
(380-800)]],0)</f>
        <v>0</v>
      </c>
      <c r="Q640" s="415">
        <f>IFERROR(VLOOKUP(Table15[[#This Row],[ROUTE]],PRICING!A:B,2,FALSE),0)</f>
        <v>0</v>
      </c>
      <c r="R640" s="235">
        <f>IFERROR(Table15[[#This Row],[C_DEMAND]]-Table15[[#This Row],[R-DEMAND]],0)</f>
        <v>0</v>
      </c>
      <c r="S640" s="408">
        <f t="shared" si="9"/>
        <v>0</v>
      </c>
      <c r="T640" s="419">
        <f>Table15[[#This Row],[R-DEMAND]]-(Table15[[#This Row],[ADD ACC]]*1706)</f>
        <v>0</v>
      </c>
      <c r="U640" s="419">
        <f>ROUNDDOWN(Table15[[#This Row],[Column1]]/1360,0)</f>
        <v>0</v>
      </c>
      <c r="V640" s="419"/>
      <c r="W640" s="251">
        <v>10.5</v>
      </c>
      <c r="X640" s="251">
        <f>ROUNDDOWN(Table15[[#This Row],[R-DEMAND]]/1320,0)</f>
        <v>0</v>
      </c>
      <c r="Y640" s="251">
        <f>IFERROR(Table15[[#This Row],[ADD ACC
(660/1320)]]*Table15[[#This Row],[Duration
(B744)]],0)</f>
        <v>0</v>
      </c>
      <c r="Z640" s="251"/>
    </row>
    <row r="641" spans="1:26" ht="15.75" customHeight="1" x14ac:dyDescent="0.25">
      <c r="A641" s="210" t="s">
        <v>15793</v>
      </c>
      <c r="B641" s="204" t="s">
        <v>3048</v>
      </c>
      <c r="C641" s="204"/>
      <c r="D641" s="205">
        <v>2</v>
      </c>
      <c r="E641" s="204" t="s">
        <v>172</v>
      </c>
      <c r="F641" s="204" t="str">
        <f>VLOOKUP(E641,Table10[[COUNTRY NAME]:[CONTINENT CODE]],3,FALSE)</f>
        <v>AS</v>
      </c>
      <c r="G641" s="206" t="s">
        <v>6814</v>
      </c>
      <c r="H641" s="207">
        <v>3812</v>
      </c>
      <c r="I641" s="208">
        <v>10.5</v>
      </c>
      <c r="J641" s="345"/>
      <c r="K641" s="345">
        <f>IFERROR(Table15[[#This Row],[ROUTE $]]/Table15[[#This Row],[E - DEMAND]],0)</f>
        <v>0</v>
      </c>
      <c r="L641" s="204"/>
      <c r="M641" s="412">
        <f>IFERROR(VLOOKUP(Table15[[#This Row],[ROUTE]],DEMAND!A:F,5,FALSE),0)</f>
        <v>0</v>
      </c>
      <c r="N641" s="16">
        <f>IFERROR(VLOOKUP(Table15[[#This Row],[ROUTE]],DEMAND!A:F,6,FALSE),0)</f>
        <v>0</v>
      </c>
      <c r="O641" s="16">
        <f>IFERROR(ROUNDDOWN(Table15[[#This Row],[R-DEMAND]]/1706,0),0)</f>
        <v>0</v>
      </c>
      <c r="P641" s="16">
        <f>IFERROR(Table15[[#This Row],[ADD ACC]]*Table15[[#This Row],[RT TIME 
(380-800)]],0)</f>
        <v>0</v>
      </c>
      <c r="Q641" s="415">
        <f>IFERROR(VLOOKUP(Table15[[#This Row],[ROUTE]],PRICING!A:B,2,FALSE),0)</f>
        <v>0</v>
      </c>
      <c r="R641" s="235">
        <f>IFERROR(Table15[[#This Row],[C_DEMAND]]-Table15[[#This Row],[R-DEMAND]],0)</f>
        <v>0</v>
      </c>
      <c r="S641" s="408">
        <f t="shared" si="9"/>
        <v>0</v>
      </c>
      <c r="T641" s="419">
        <f>Table15[[#This Row],[R-DEMAND]]-(Table15[[#This Row],[ADD ACC]]*1706)</f>
        <v>0</v>
      </c>
      <c r="U641" s="419">
        <f>ROUNDDOWN(Table15[[#This Row],[Column1]]/1360,0)</f>
        <v>0</v>
      </c>
      <c r="V641" s="419"/>
      <c r="W641" s="251">
        <v>10.5</v>
      </c>
      <c r="X641" s="251">
        <f>ROUNDDOWN(Table15[[#This Row],[R-DEMAND]]/1320,0)</f>
        <v>0</v>
      </c>
      <c r="Y641" s="251">
        <f>IFERROR(Table15[[#This Row],[ADD ACC
(660/1320)]]*Table15[[#This Row],[Duration
(B744)]],0)</f>
        <v>0</v>
      </c>
      <c r="Z641" s="251"/>
    </row>
    <row r="642" spans="1:26" ht="15.75" customHeight="1" x14ac:dyDescent="0.25">
      <c r="A642" s="210" t="s">
        <v>15799</v>
      </c>
      <c r="B642" s="204" t="s">
        <v>3271</v>
      </c>
      <c r="C642" s="204"/>
      <c r="D642" s="205">
        <v>2</v>
      </c>
      <c r="E642" s="204" t="s">
        <v>78</v>
      </c>
      <c r="F642" s="204" t="str">
        <f>VLOOKUP(E642,Table10[[COUNTRY NAME]:[CONTINENT CODE]],3,FALSE)</f>
        <v>EU</v>
      </c>
      <c r="G642" s="210" t="s">
        <v>11903</v>
      </c>
      <c r="H642" s="207">
        <v>3763</v>
      </c>
      <c r="I642" s="208">
        <v>10.5</v>
      </c>
      <c r="J642" s="345"/>
      <c r="K642" s="345">
        <f>IFERROR(Table15[[#This Row],[ROUTE $]]/Table15[[#This Row],[E - DEMAND]],0)</f>
        <v>0</v>
      </c>
      <c r="L642" s="204"/>
      <c r="M642" s="412">
        <f>IFERROR(VLOOKUP(Table15[[#This Row],[ROUTE]],DEMAND!A:F,5,FALSE),0)</f>
        <v>0</v>
      </c>
      <c r="N642" s="16">
        <f>IFERROR(VLOOKUP(Table15[[#This Row],[ROUTE]],DEMAND!A:F,6,FALSE),0)</f>
        <v>0</v>
      </c>
      <c r="O642" s="16">
        <f>IFERROR(ROUNDDOWN(Table15[[#This Row],[R-DEMAND]]/1706,0),0)</f>
        <v>0</v>
      </c>
      <c r="P642" s="16">
        <f>IFERROR(Table15[[#This Row],[ADD ACC]]*Table15[[#This Row],[RT TIME 
(380-800)]],0)</f>
        <v>0</v>
      </c>
      <c r="Q642" s="415">
        <f>IFERROR(VLOOKUP(Table15[[#This Row],[ROUTE]],PRICING!A:B,2,FALSE),0)</f>
        <v>0</v>
      </c>
      <c r="R642" s="235">
        <f>IFERROR(Table15[[#This Row],[C_DEMAND]]-Table15[[#This Row],[R-DEMAND]],0)</f>
        <v>0</v>
      </c>
      <c r="S642" s="408">
        <f t="shared" si="9"/>
        <v>0</v>
      </c>
      <c r="T642" s="419">
        <f>Table15[[#This Row],[R-DEMAND]]-(Table15[[#This Row],[ADD ACC]]*1706)</f>
        <v>0</v>
      </c>
      <c r="U642" s="419">
        <f>ROUNDDOWN(Table15[[#This Row],[Column1]]/1360,0)</f>
        <v>0</v>
      </c>
      <c r="V642" s="419"/>
      <c r="W642" s="251">
        <v>10.5</v>
      </c>
      <c r="X642" s="251">
        <f>ROUNDDOWN(Table15[[#This Row],[R-DEMAND]]/1320,0)</f>
        <v>0</v>
      </c>
      <c r="Y642" s="251">
        <f>IFERROR(Table15[[#This Row],[ADD ACC
(660/1320)]]*Table15[[#This Row],[Duration
(B744)]],0)</f>
        <v>0</v>
      </c>
      <c r="Z642" s="251"/>
    </row>
    <row r="643" spans="1:26" ht="15.75" customHeight="1" x14ac:dyDescent="0.25">
      <c r="A643" s="210" t="s">
        <v>15794</v>
      </c>
      <c r="B643" s="204" t="s">
        <v>4198</v>
      </c>
      <c r="C643" s="204"/>
      <c r="D643" s="205">
        <v>2</v>
      </c>
      <c r="E643" s="204" t="s">
        <v>700</v>
      </c>
      <c r="F643" s="204" t="str">
        <f>VLOOKUP(E643,Table10[[COUNTRY NAME]:[CONTINENT CODE]],3,FALSE)</f>
        <v>AS</v>
      </c>
      <c r="G643" s="206" t="s">
        <v>9890</v>
      </c>
      <c r="H643" s="207">
        <v>3812</v>
      </c>
      <c r="I643" s="208">
        <v>10.5</v>
      </c>
      <c r="J643" s="345"/>
      <c r="K643" s="345">
        <f>IFERROR(Table15[[#This Row],[ROUTE $]]/Table15[[#This Row],[E - DEMAND]],0)</f>
        <v>0</v>
      </c>
      <c r="L643" s="204"/>
      <c r="M643" s="412">
        <f>IFERROR(VLOOKUP(Table15[[#This Row],[ROUTE]],DEMAND!A:F,5,FALSE),0)</f>
        <v>0</v>
      </c>
      <c r="N643" s="16">
        <f>IFERROR(VLOOKUP(Table15[[#This Row],[ROUTE]],DEMAND!A:F,6,FALSE),0)</f>
        <v>0</v>
      </c>
      <c r="O643" s="16">
        <f>IFERROR(ROUNDDOWN(Table15[[#This Row],[R-DEMAND]]/1706,0),0)</f>
        <v>0</v>
      </c>
      <c r="P643" s="16">
        <f>IFERROR(Table15[[#This Row],[ADD ACC]]*Table15[[#This Row],[RT TIME 
(380-800)]],0)</f>
        <v>0</v>
      </c>
      <c r="Q643" s="415">
        <f>IFERROR(VLOOKUP(Table15[[#This Row],[ROUTE]],PRICING!A:B,2,FALSE),0)</f>
        <v>0</v>
      </c>
      <c r="R643" s="235">
        <f>IFERROR(Table15[[#This Row],[C_DEMAND]]-Table15[[#This Row],[R-DEMAND]],0)</f>
        <v>0</v>
      </c>
      <c r="S643" s="408">
        <f t="shared" ref="S643:S706" si="10">IFERROR(R643*Q643,0)</f>
        <v>0</v>
      </c>
      <c r="T643" s="419">
        <f>Table15[[#This Row],[R-DEMAND]]-(Table15[[#This Row],[ADD ACC]]*1706)</f>
        <v>0</v>
      </c>
      <c r="U643" s="419">
        <f>ROUNDDOWN(Table15[[#This Row],[Column1]]/1360,0)</f>
        <v>0</v>
      </c>
      <c r="V643" s="419"/>
      <c r="W643" s="251">
        <v>10.5</v>
      </c>
      <c r="X643" s="251">
        <f>ROUNDDOWN(Table15[[#This Row],[R-DEMAND]]/1320,0)</f>
        <v>0</v>
      </c>
      <c r="Y643" s="251">
        <f>IFERROR(Table15[[#This Row],[ADD ACC
(660/1320)]]*Table15[[#This Row],[Duration
(B744)]],0)</f>
        <v>0</v>
      </c>
      <c r="Z643" s="251"/>
    </row>
    <row r="644" spans="1:26" ht="15.75" customHeight="1" x14ac:dyDescent="0.25">
      <c r="A644" s="210" t="s">
        <v>15795</v>
      </c>
      <c r="B644" s="204" t="s">
        <v>1939</v>
      </c>
      <c r="C644" s="204"/>
      <c r="D644" s="205">
        <v>1</v>
      </c>
      <c r="E644" s="204" t="s">
        <v>172</v>
      </c>
      <c r="F644" s="204" t="str">
        <f>VLOOKUP(E644,Table10[[COUNTRY NAME]:[CONTINENT CODE]],3,FALSE)</f>
        <v>AS</v>
      </c>
      <c r="G644" s="206" t="s">
        <v>9941</v>
      </c>
      <c r="H644" s="207">
        <v>3805</v>
      </c>
      <c r="I644" s="208">
        <v>10.5</v>
      </c>
      <c r="J644" s="345"/>
      <c r="K644" s="345">
        <f>IFERROR(Table15[[#This Row],[ROUTE $]]/Table15[[#This Row],[E - DEMAND]],0)</f>
        <v>0</v>
      </c>
      <c r="L644" s="204"/>
      <c r="M644" s="412">
        <f>IFERROR(VLOOKUP(Table15[[#This Row],[ROUTE]],DEMAND!A:F,5,FALSE),0)</f>
        <v>0</v>
      </c>
      <c r="N644" s="16">
        <f>IFERROR(VLOOKUP(Table15[[#This Row],[ROUTE]],DEMAND!A:F,6,FALSE),0)</f>
        <v>0</v>
      </c>
      <c r="O644" s="16">
        <f>IFERROR(ROUNDDOWN(Table15[[#This Row],[R-DEMAND]]/1706,0),0)</f>
        <v>0</v>
      </c>
      <c r="P644" s="16">
        <f>IFERROR(Table15[[#This Row],[ADD ACC]]*Table15[[#This Row],[RT TIME 
(380-800)]],0)</f>
        <v>0</v>
      </c>
      <c r="Q644" s="415">
        <f>IFERROR(VLOOKUP(Table15[[#This Row],[ROUTE]],PRICING!A:B,2,FALSE),0)</f>
        <v>0</v>
      </c>
      <c r="R644" s="235">
        <f>IFERROR(Table15[[#This Row],[C_DEMAND]]-Table15[[#This Row],[R-DEMAND]],0)</f>
        <v>0</v>
      </c>
      <c r="S644" s="408">
        <f t="shared" si="10"/>
        <v>0</v>
      </c>
      <c r="T644" s="419">
        <f>Table15[[#This Row],[R-DEMAND]]-(Table15[[#This Row],[ADD ACC]]*1706)</f>
        <v>0</v>
      </c>
      <c r="U644" s="419">
        <f>ROUNDDOWN(Table15[[#This Row],[Column1]]/1360,0)</f>
        <v>0</v>
      </c>
      <c r="V644" s="419"/>
      <c r="W644" s="251">
        <v>10.5</v>
      </c>
      <c r="X644" s="251">
        <f>ROUNDDOWN(Table15[[#This Row],[R-DEMAND]]/1320,0)</f>
        <v>0</v>
      </c>
      <c r="Y644" s="251">
        <f>IFERROR(Table15[[#This Row],[ADD ACC
(660/1320)]]*Table15[[#This Row],[Duration
(B744)]],0)</f>
        <v>0</v>
      </c>
      <c r="Z644" s="251"/>
    </row>
    <row r="645" spans="1:26" ht="15.75" customHeight="1" x14ac:dyDescent="0.25">
      <c r="A645" s="341" t="s">
        <v>18339</v>
      </c>
      <c r="B645" s="212" t="s">
        <v>10817</v>
      </c>
      <c r="C645" s="212"/>
      <c r="D645" s="226">
        <v>2</v>
      </c>
      <c r="E645" s="226" t="s">
        <v>13117</v>
      </c>
      <c r="F645" s="212" t="s">
        <v>12671</v>
      </c>
      <c r="G645" s="226" t="s">
        <v>16857</v>
      </c>
      <c r="H645" s="343">
        <v>3627</v>
      </c>
      <c r="I645" s="342"/>
      <c r="J645" s="346"/>
      <c r="K645" s="345">
        <f>IFERROR(Table15[[#This Row],[ROUTE $]]/Table15[[#This Row],[E - DEMAND]],0)</f>
        <v>0</v>
      </c>
      <c r="L645" s="212"/>
      <c r="M645" s="413">
        <f>IFERROR(VLOOKUP(Table15[[#This Row],[ROUTE]],DEMAND!A:F,5,FALSE),0)</f>
        <v>0</v>
      </c>
      <c r="N645" s="251">
        <f>IFERROR(VLOOKUP(Table15[[#This Row],[ROUTE]],DEMAND!A:F,6,FALSE),0)</f>
        <v>0</v>
      </c>
      <c r="O645" s="349"/>
      <c r="P645" s="349"/>
      <c r="Q645" s="416">
        <f>IFERROR(VLOOKUP(Table15[[#This Row],[ROUTE]],PRICING!A:B,2,FALSE),0)</f>
        <v>0</v>
      </c>
      <c r="R645" s="409">
        <f>IFERROR(Table15[[#This Row],[C_DEMAND]]-Table15[[#This Row],[R-DEMAND]],0)</f>
        <v>0</v>
      </c>
      <c r="S645" s="410">
        <f t="shared" si="10"/>
        <v>0</v>
      </c>
      <c r="T645" s="420">
        <f>Table15[[#This Row],[R-DEMAND]]-(Table15[[#This Row],[ADD ACC]]*1706)</f>
        <v>0</v>
      </c>
      <c r="U645" s="420">
        <f>ROUNDDOWN(Table15[[#This Row],[Column1]]/1360,0)</f>
        <v>0</v>
      </c>
      <c r="V645" s="420"/>
      <c r="W645" s="251">
        <v>10.25</v>
      </c>
      <c r="X645" s="251">
        <f>ROUNDDOWN(Table15[[#This Row],[R-DEMAND]]/1320,0)</f>
        <v>0</v>
      </c>
      <c r="Y645" s="251">
        <f>IFERROR(Table15[[#This Row],[ADD ACC
(660/1320)]]*Table15[[#This Row],[Duration
(B744)]],0)</f>
        <v>0</v>
      </c>
      <c r="Z645" s="251"/>
    </row>
    <row r="646" spans="1:26" ht="15.75" customHeight="1" x14ac:dyDescent="0.25">
      <c r="A646" s="210" t="s">
        <v>15814</v>
      </c>
      <c r="B646" s="204" t="s">
        <v>4223</v>
      </c>
      <c r="C646" s="204"/>
      <c r="D646" s="205">
        <v>2</v>
      </c>
      <c r="E646" s="204" t="s">
        <v>1578</v>
      </c>
      <c r="F646" s="204" t="str">
        <f>VLOOKUP(E646,Table10[[COUNTRY NAME]:[CONTINENT CODE]],3,FALSE)</f>
        <v>EU</v>
      </c>
      <c r="G646" s="210" t="s">
        <v>11910</v>
      </c>
      <c r="H646" s="207">
        <v>3640</v>
      </c>
      <c r="I646" s="208">
        <v>10.25</v>
      </c>
      <c r="J646" s="345"/>
      <c r="K646" s="345">
        <f>IFERROR(Table15[[#This Row],[ROUTE $]]/Table15[[#This Row],[E - DEMAND]],0)</f>
        <v>0</v>
      </c>
      <c r="L646" s="204"/>
      <c r="M646" s="412">
        <f>IFERROR(VLOOKUP(Table15[[#This Row],[ROUTE]],DEMAND!A:F,5,FALSE),0)</f>
        <v>0</v>
      </c>
      <c r="N646" s="16">
        <f>IFERROR(VLOOKUP(Table15[[#This Row],[ROUTE]],DEMAND!A:F,6,FALSE),0)</f>
        <v>0</v>
      </c>
      <c r="O646" s="16">
        <f>IFERROR(ROUNDDOWN(Table15[[#This Row],[R-DEMAND]]/1706,0),0)</f>
        <v>0</v>
      </c>
      <c r="P646" s="16">
        <f>IFERROR(Table15[[#This Row],[ADD ACC]]*Table15[[#This Row],[RT TIME 
(380-800)]],0)</f>
        <v>0</v>
      </c>
      <c r="Q646" s="415">
        <f>IFERROR(VLOOKUP(Table15[[#This Row],[ROUTE]],PRICING!A:B,2,FALSE),0)</f>
        <v>0</v>
      </c>
      <c r="R646" s="235">
        <f>IFERROR(Table15[[#This Row],[C_DEMAND]]-Table15[[#This Row],[R-DEMAND]],0)</f>
        <v>0</v>
      </c>
      <c r="S646" s="408">
        <f t="shared" si="10"/>
        <v>0</v>
      </c>
      <c r="T646" s="419">
        <f>Table15[[#This Row],[R-DEMAND]]-(Table15[[#This Row],[ADD ACC]]*1706)</f>
        <v>0</v>
      </c>
      <c r="U646" s="419">
        <f>ROUNDDOWN(Table15[[#This Row],[Column1]]/1360,0)</f>
        <v>0</v>
      </c>
      <c r="V646" s="419"/>
      <c r="W646" s="251">
        <v>10.25</v>
      </c>
      <c r="X646" s="251">
        <f>ROUNDDOWN(Table15[[#This Row],[R-DEMAND]]/1320,0)</f>
        <v>0</v>
      </c>
      <c r="Y646" s="251">
        <f>IFERROR(Table15[[#This Row],[ADD ACC
(660/1320)]]*Table15[[#This Row],[Duration
(B744)]],0)</f>
        <v>0</v>
      </c>
      <c r="Z646" s="251"/>
    </row>
    <row r="647" spans="1:26" ht="15.75" customHeight="1" x14ac:dyDescent="0.25">
      <c r="A647" s="210" t="s">
        <v>15806</v>
      </c>
      <c r="B647" s="204" t="s">
        <v>213</v>
      </c>
      <c r="C647" s="204"/>
      <c r="D647" s="205">
        <v>2</v>
      </c>
      <c r="E647" s="204" t="s">
        <v>709</v>
      </c>
      <c r="F647" s="204" t="str">
        <f>VLOOKUP(E647,Table10[[COUNTRY NAME]:[CONTINENT CODE]],3,FALSE)</f>
        <v>AS</v>
      </c>
      <c r="G647" s="206" t="s">
        <v>12113</v>
      </c>
      <c r="H647" s="207">
        <v>3709</v>
      </c>
      <c r="I647" s="208">
        <v>10.25</v>
      </c>
      <c r="J647" s="345"/>
      <c r="K647" s="345">
        <f>IFERROR(Table15[[#This Row],[ROUTE $]]/Table15[[#This Row],[E - DEMAND]],0)</f>
        <v>0</v>
      </c>
      <c r="L647" s="204"/>
      <c r="M647" s="412">
        <f>IFERROR(VLOOKUP(Table15[[#This Row],[ROUTE]],DEMAND!A:F,5,FALSE),0)</f>
        <v>0</v>
      </c>
      <c r="N647" s="16">
        <f>IFERROR(VLOOKUP(Table15[[#This Row],[ROUTE]],DEMAND!A:F,6,FALSE),0)</f>
        <v>0</v>
      </c>
      <c r="O647" s="16">
        <f>IFERROR(ROUNDDOWN(Table15[[#This Row],[R-DEMAND]]/1706,0),0)</f>
        <v>0</v>
      </c>
      <c r="P647" s="16">
        <f>IFERROR(Table15[[#This Row],[ADD ACC]]*Table15[[#This Row],[RT TIME 
(380-800)]],0)</f>
        <v>0</v>
      </c>
      <c r="Q647" s="415">
        <f>IFERROR(VLOOKUP(Table15[[#This Row],[ROUTE]],PRICING!A:B,2,FALSE),0)</f>
        <v>0</v>
      </c>
      <c r="R647" s="235">
        <f>IFERROR(Table15[[#This Row],[C_DEMAND]]-Table15[[#This Row],[R-DEMAND]],0)</f>
        <v>0</v>
      </c>
      <c r="S647" s="408">
        <f t="shared" si="10"/>
        <v>0</v>
      </c>
      <c r="T647" s="419">
        <f>Table15[[#This Row],[R-DEMAND]]-(Table15[[#This Row],[ADD ACC]]*1706)</f>
        <v>0</v>
      </c>
      <c r="U647" s="419">
        <f>ROUNDDOWN(Table15[[#This Row],[Column1]]/1360,0)</f>
        <v>0</v>
      </c>
      <c r="V647" s="419"/>
      <c r="W647" s="251">
        <v>10.25</v>
      </c>
      <c r="X647" s="251">
        <f>ROUNDDOWN(Table15[[#This Row],[R-DEMAND]]/1320,0)</f>
        <v>0</v>
      </c>
      <c r="Y647" s="251">
        <f>IFERROR(Table15[[#This Row],[ADD ACC
(660/1320)]]*Table15[[#This Row],[Duration
(B744)]],0)</f>
        <v>0</v>
      </c>
      <c r="Z647" s="251"/>
    </row>
    <row r="648" spans="1:26" ht="15.75" customHeight="1" x14ac:dyDescent="0.25">
      <c r="A648" s="210" t="s">
        <v>15818</v>
      </c>
      <c r="B648" s="204" t="s">
        <v>61</v>
      </c>
      <c r="C648" s="204"/>
      <c r="D648" s="205">
        <v>2</v>
      </c>
      <c r="E648" s="204" t="s">
        <v>709</v>
      </c>
      <c r="F648" s="204" t="str">
        <f>VLOOKUP(E648,Table10[[COUNTRY NAME]:[CONTINENT CODE]],3,FALSE)</f>
        <v>AS</v>
      </c>
      <c r="G648" s="206" t="s">
        <v>12111</v>
      </c>
      <c r="H648" s="207">
        <v>3613</v>
      </c>
      <c r="I648" s="208">
        <v>10.25</v>
      </c>
      <c r="J648" s="345"/>
      <c r="K648" s="345">
        <f>IFERROR(Table15[[#This Row],[ROUTE $]]/Table15[[#This Row],[E - DEMAND]],0)</f>
        <v>0</v>
      </c>
      <c r="L648" s="204"/>
      <c r="M648" s="412">
        <f>IFERROR(VLOOKUP(Table15[[#This Row],[ROUTE]],DEMAND!A:F,5,FALSE),0)</f>
        <v>0</v>
      </c>
      <c r="N648" s="16">
        <f>IFERROR(VLOOKUP(Table15[[#This Row],[ROUTE]],DEMAND!A:F,6,FALSE),0)</f>
        <v>0</v>
      </c>
      <c r="O648" s="16">
        <f>IFERROR(ROUNDDOWN(Table15[[#This Row],[R-DEMAND]]/1706,0),0)</f>
        <v>0</v>
      </c>
      <c r="P648" s="16">
        <f>IFERROR(Table15[[#This Row],[ADD ACC]]*Table15[[#This Row],[RT TIME 
(380-800)]],0)</f>
        <v>0</v>
      </c>
      <c r="Q648" s="415">
        <f>IFERROR(VLOOKUP(Table15[[#This Row],[ROUTE]],PRICING!A:B,2,FALSE),0)</f>
        <v>0</v>
      </c>
      <c r="R648" s="235">
        <f>IFERROR(Table15[[#This Row],[C_DEMAND]]-Table15[[#This Row],[R-DEMAND]],0)</f>
        <v>0</v>
      </c>
      <c r="S648" s="408">
        <f t="shared" si="10"/>
        <v>0</v>
      </c>
      <c r="T648" s="419">
        <f>Table15[[#This Row],[R-DEMAND]]-(Table15[[#This Row],[ADD ACC]]*1706)</f>
        <v>0</v>
      </c>
      <c r="U648" s="419">
        <f>ROUNDDOWN(Table15[[#This Row],[Column1]]/1360,0)</f>
        <v>0</v>
      </c>
      <c r="V648" s="419"/>
      <c r="W648" s="251">
        <v>10.25</v>
      </c>
      <c r="X648" s="251">
        <f>ROUNDDOWN(Table15[[#This Row],[R-DEMAND]]/1320,0)</f>
        <v>0</v>
      </c>
      <c r="Y648" s="251">
        <f>IFERROR(Table15[[#This Row],[ADD ACC
(660/1320)]]*Table15[[#This Row],[Duration
(B744)]],0)</f>
        <v>0</v>
      </c>
      <c r="Z648" s="251"/>
    </row>
    <row r="649" spans="1:26" ht="15.75" customHeight="1" x14ac:dyDescent="0.25">
      <c r="A649" s="210" t="s">
        <v>15815</v>
      </c>
      <c r="B649" s="204" t="s">
        <v>3219</v>
      </c>
      <c r="C649" s="204"/>
      <c r="D649" s="205">
        <v>2</v>
      </c>
      <c r="E649" s="204" t="s">
        <v>172</v>
      </c>
      <c r="F649" s="204" t="str">
        <f>VLOOKUP(E649,Table10[[COUNTRY NAME]:[CONTINENT CODE]],3,FALSE)</f>
        <v>AS</v>
      </c>
      <c r="G649" s="206" t="s">
        <v>11913</v>
      </c>
      <c r="H649" s="207">
        <v>3633</v>
      </c>
      <c r="I649" s="208">
        <v>10.25</v>
      </c>
      <c r="J649" s="345"/>
      <c r="K649" s="345">
        <f>IFERROR(Table15[[#This Row],[ROUTE $]]/Table15[[#This Row],[E - DEMAND]],0)</f>
        <v>0</v>
      </c>
      <c r="L649" s="204"/>
      <c r="M649" s="412">
        <f>IFERROR(VLOOKUP(Table15[[#This Row],[ROUTE]],DEMAND!A:F,5,FALSE),0)</f>
        <v>0</v>
      </c>
      <c r="N649" s="16">
        <f>IFERROR(VLOOKUP(Table15[[#This Row],[ROUTE]],DEMAND!A:F,6,FALSE),0)</f>
        <v>0</v>
      </c>
      <c r="O649" s="16">
        <f>IFERROR(ROUNDDOWN(Table15[[#This Row],[R-DEMAND]]/1706,0),0)</f>
        <v>0</v>
      </c>
      <c r="P649" s="16">
        <f>IFERROR(Table15[[#This Row],[ADD ACC]]*Table15[[#This Row],[RT TIME 
(380-800)]],0)</f>
        <v>0</v>
      </c>
      <c r="Q649" s="415">
        <f>IFERROR(VLOOKUP(Table15[[#This Row],[ROUTE]],PRICING!A:B,2,FALSE),0)</f>
        <v>0</v>
      </c>
      <c r="R649" s="235">
        <f>IFERROR(Table15[[#This Row],[C_DEMAND]]-Table15[[#This Row],[R-DEMAND]],0)</f>
        <v>0</v>
      </c>
      <c r="S649" s="408">
        <f t="shared" si="10"/>
        <v>0</v>
      </c>
      <c r="T649" s="419">
        <f>Table15[[#This Row],[R-DEMAND]]-(Table15[[#This Row],[ADD ACC]]*1706)</f>
        <v>0</v>
      </c>
      <c r="U649" s="419">
        <f>ROUNDDOWN(Table15[[#This Row],[Column1]]/1360,0)</f>
        <v>0</v>
      </c>
      <c r="V649" s="419"/>
      <c r="W649" s="251">
        <v>10.25</v>
      </c>
      <c r="X649" s="251">
        <f>ROUNDDOWN(Table15[[#This Row],[R-DEMAND]]/1320,0)</f>
        <v>0</v>
      </c>
      <c r="Y649" s="251">
        <f>IFERROR(Table15[[#This Row],[ADD ACC
(660/1320)]]*Table15[[#This Row],[Duration
(B744)]],0)</f>
        <v>0</v>
      </c>
      <c r="Z649" s="251"/>
    </row>
    <row r="650" spans="1:26" ht="15.75" customHeight="1" x14ac:dyDescent="0.25">
      <c r="A650" s="210" t="s">
        <v>15804</v>
      </c>
      <c r="B650" s="204" t="s">
        <v>3129</v>
      </c>
      <c r="C650" s="204"/>
      <c r="D650" s="205">
        <v>2</v>
      </c>
      <c r="E650" s="204" t="s">
        <v>700</v>
      </c>
      <c r="F650" s="204" t="str">
        <f>VLOOKUP(E650,Table10[[COUNTRY NAME]:[CONTINENT CODE]],3,FALSE)</f>
        <v>AS</v>
      </c>
      <c r="G650" s="206" t="s">
        <v>10746</v>
      </c>
      <c r="H650" s="207">
        <v>3714</v>
      </c>
      <c r="I650" s="208">
        <v>10.25</v>
      </c>
      <c r="J650" s="345"/>
      <c r="K650" s="345">
        <f>IFERROR(Table15[[#This Row],[ROUTE $]]/Table15[[#This Row],[E - DEMAND]],0)</f>
        <v>0</v>
      </c>
      <c r="L650" s="204"/>
      <c r="M650" s="412">
        <f>IFERROR(VLOOKUP(Table15[[#This Row],[ROUTE]],DEMAND!A:F,5,FALSE),0)</f>
        <v>0</v>
      </c>
      <c r="N650" s="16">
        <f>IFERROR(VLOOKUP(Table15[[#This Row],[ROUTE]],DEMAND!A:F,6,FALSE),0)</f>
        <v>0</v>
      </c>
      <c r="O650" s="16">
        <f>IFERROR(ROUNDDOWN(Table15[[#This Row],[R-DEMAND]]/1706,0),0)</f>
        <v>0</v>
      </c>
      <c r="P650" s="16">
        <f>IFERROR(Table15[[#This Row],[ADD ACC]]*Table15[[#This Row],[RT TIME 
(380-800)]],0)</f>
        <v>0</v>
      </c>
      <c r="Q650" s="415">
        <f>IFERROR(VLOOKUP(Table15[[#This Row],[ROUTE]],PRICING!A:B,2,FALSE),0)</f>
        <v>0</v>
      </c>
      <c r="R650" s="235">
        <f>IFERROR(Table15[[#This Row],[C_DEMAND]]-Table15[[#This Row],[R-DEMAND]],0)</f>
        <v>0</v>
      </c>
      <c r="S650" s="408">
        <f t="shared" si="10"/>
        <v>0</v>
      </c>
      <c r="T650" s="419">
        <f>Table15[[#This Row],[R-DEMAND]]-(Table15[[#This Row],[ADD ACC]]*1706)</f>
        <v>0</v>
      </c>
      <c r="U650" s="419">
        <f>ROUNDDOWN(Table15[[#This Row],[Column1]]/1360,0)</f>
        <v>0</v>
      </c>
      <c r="V650" s="419"/>
      <c r="W650" s="251">
        <v>10.25</v>
      </c>
      <c r="X650" s="251">
        <f>ROUNDDOWN(Table15[[#This Row],[R-DEMAND]]/1320,0)</f>
        <v>0</v>
      </c>
      <c r="Y650" s="251">
        <f>IFERROR(Table15[[#This Row],[ADD ACC
(660/1320)]]*Table15[[#This Row],[Duration
(B744)]],0)</f>
        <v>0</v>
      </c>
      <c r="Z650" s="251"/>
    </row>
    <row r="651" spans="1:26" ht="15.75" customHeight="1" x14ac:dyDescent="0.25">
      <c r="A651" s="210" t="s">
        <v>15807</v>
      </c>
      <c r="B651" s="204" t="s">
        <v>3640</v>
      </c>
      <c r="C651" s="204"/>
      <c r="D651" s="205">
        <v>2</v>
      </c>
      <c r="E651" s="204" t="s">
        <v>700</v>
      </c>
      <c r="F651" s="204" t="str">
        <f>VLOOKUP(E651,Table10[[COUNTRY NAME]:[CONTINENT CODE]],3,FALSE)</f>
        <v>AS</v>
      </c>
      <c r="G651" s="206" t="s">
        <v>11904</v>
      </c>
      <c r="H651" s="207">
        <v>3702</v>
      </c>
      <c r="I651" s="208">
        <v>10.25</v>
      </c>
      <c r="J651" s="345"/>
      <c r="K651" s="345">
        <f>IFERROR(Table15[[#This Row],[ROUTE $]]/Table15[[#This Row],[E - DEMAND]],0)</f>
        <v>0</v>
      </c>
      <c r="L651" s="204"/>
      <c r="M651" s="412">
        <f>IFERROR(VLOOKUP(Table15[[#This Row],[ROUTE]],DEMAND!A:F,5,FALSE),0)</f>
        <v>0</v>
      </c>
      <c r="N651" s="16">
        <f>IFERROR(VLOOKUP(Table15[[#This Row],[ROUTE]],DEMAND!A:F,6,FALSE),0)</f>
        <v>0</v>
      </c>
      <c r="O651" s="16">
        <f>IFERROR(ROUNDDOWN(Table15[[#This Row],[R-DEMAND]]/1706,0),0)</f>
        <v>0</v>
      </c>
      <c r="P651" s="16">
        <f>IFERROR(Table15[[#This Row],[ADD ACC]]*Table15[[#This Row],[RT TIME 
(380-800)]],0)</f>
        <v>0</v>
      </c>
      <c r="Q651" s="415">
        <f>IFERROR(VLOOKUP(Table15[[#This Row],[ROUTE]],PRICING!A:B,2,FALSE),0)</f>
        <v>0</v>
      </c>
      <c r="R651" s="235">
        <f>IFERROR(Table15[[#This Row],[C_DEMAND]]-Table15[[#This Row],[R-DEMAND]],0)</f>
        <v>0</v>
      </c>
      <c r="S651" s="408">
        <f t="shared" si="10"/>
        <v>0</v>
      </c>
      <c r="T651" s="419">
        <f>Table15[[#This Row],[R-DEMAND]]-(Table15[[#This Row],[ADD ACC]]*1706)</f>
        <v>0</v>
      </c>
      <c r="U651" s="419">
        <f>ROUNDDOWN(Table15[[#This Row],[Column1]]/1360,0)</f>
        <v>0</v>
      </c>
      <c r="V651" s="419"/>
      <c r="W651" s="251">
        <v>10.25</v>
      </c>
      <c r="X651" s="251">
        <f>ROUNDDOWN(Table15[[#This Row],[R-DEMAND]]/1320,0)</f>
        <v>0</v>
      </c>
      <c r="Y651" s="251">
        <f>IFERROR(Table15[[#This Row],[ADD ACC
(660/1320)]]*Table15[[#This Row],[Duration
(B744)]],0)</f>
        <v>0</v>
      </c>
      <c r="Z651" s="251"/>
    </row>
    <row r="652" spans="1:26" ht="15.75" customHeight="1" x14ac:dyDescent="0.25">
      <c r="A652" s="210" t="s">
        <v>15805</v>
      </c>
      <c r="B652" s="204" t="s">
        <v>2846</v>
      </c>
      <c r="C652" s="204"/>
      <c r="D652" s="205">
        <v>2</v>
      </c>
      <c r="E652" s="204" t="s">
        <v>700</v>
      </c>
      <c r="F652" s="204" t="str">
        <f>VLOOKUP(E652,Table10[[COUNTRY NAME]:[CONTINENT CODE]],3,FALSE)</f>
        <v>AS</v>
      </c>
      <c r="G652" s="206" t="s">
        <v>8406</v>
      </c>
      <c r="H652" s="207">
        <v>3712</v>
      </c>
      <c r="I652" s="208">
        <v>10.25</v>
      </c>
      <c r="J652" s="345"/>
      <c r="K652" s="345">
        <f>IFERROR(Table15[[#This Row],[ROUTE $]]/Table15[[#This Row],[E - DEMAND]],0)</f>
        <v>0</v>
      </c>
      <c r="L652" s="204"/>
      <c r="M652" s="412">
        <f>IFERROR(VLOOKUP(Table15[[#This Row],[ROUTE]],DEMAND!A:F,5,FALSE),0)</f>
        <v>0</v>
      </c>
      <c r="N652" s="16">
        <f>IFERROR(VLOOKUP(Table15[[#This Row],[ROUTE]],DEMAND!A:F,6,FALSE),0)</f>
        <v>0</v>
      </c>
      <c r="O652" s="16">
        <f>IFERROR(ROUNDDOWN(Table15[[#This Row],[R-DEMAND]]/1706,0),0)</f>
        <v>0</v>
      </c>
      <c r="P652" s="16">
        <f>IFERROR(Table15[[#This Row],[ADD ACC]]*Table15[[#This Row],[RT TIME 
(380-800)]],0)</f>
        <v>0</v>
      </c>
      <c r="Q652" s="415">
        <f>IFERROR(VLOOKUP(Table15[[#This Row],[ROUTE]],PRICING!A:B,2,FALSE),0)</f>
        <v>0</v>
      </c>
      <c r="R652" s="235">
        <f>IFERROR(Table15[[#This Row],[C_DEMAND]]-Table15[[#This Row],[R-DEMAND]],0)</f>
        <v>0</v>
      </c>
      <c r="S652" s="408">
        <f t="shared" si="10"/>
        <v>0</v>
      </c>
      <c r="T652" s="419">
        <f>Table15[[#This Row],[R-DEMAND]]-(Table15[[#This Row],[ADD ACC]]*1706)</f>
        <v>0</v>
      </c>
      <c r="U652" s="419">
        <f>ROUNDDOWN(Table15[[#This Row],[Column1]]/1360,0)</f>
        <v>0</v>
      </c>
      <c r="V652" s="419"/>
      <c r="W652" s="251">
        <v>10.25</v>
      </c>
      <c r="X652" s="251">
        <f>ROUNDDOWN(Table15[[#This Row],[R-DEMAND]]/1320,0)</f>
        <v>0</v>
      </c>
      <c r="Y652" s="251">
        <f>IFERROR(Table15[[#This Row],[ADD ACC
(660/1320)]]*Table15[[#This Row],[Duration
(B744)]],0)</f>
        <v>0</v>
      </c>
      <c r="Z652" s="251"/>
    </row>
    <row r="653" spans="1:26" ht="15.75" customHeight="1" x14ac:dyDescent="0.25">
      <c r="A653" s="210" t="s">
        <v>15812</v>
      </c>
      <c r="B653" s="204" t="s">
        <v>1272</v>
      </c>
      <c r="C653" s="204"/>
      <c r="D653" s="205">
        <v>1</v>
      </c>
      <c r="E653" s="204" t="s">
        <v>1270</v>
      </c>
      <c r="F653" s="204" t="str">
        <f>VLOOKUP(E653,Table10[[COUNTRY NAME]:[CONTINENT CODE]],3,FALSE)</f>
        <v>AS</v>
      </c>
      <c r="G653" s="206" t="s">
        <v>11909</v>
      </c>
      <c r="H653" s="207">
        <v>3659</v>
      </c>
      <c r="I653" s="208">
        <v>10.25</v>
      </c>
      <c r="J653" s="345"/>
      <c r="K653" s="345">
        <f>IFERROR(Table15[[#This Row],[ROUTE $]]/Table15[[#This Row],[E - DEMAND]],0)</f>
        <v>0</v>
      </c>
      <c r="L653" s="204"/>
      <c r="M653" s="412">
        <f>IFERROR(VLOOKUP(Table15[[#This Row],[ROUTE]],DEMAND!A:F,5,FALSE),0)</f>
        <v>0</v>
      </c>
      <c r="N653" s="16">
        <f>IFERROR(VLOOKUP(Table15[[#This Row],[ROUTE]],DEMAND!A:F,6,FALSE),0)</f>
        <v>0</v>
      </c>
      <c r="O653" s="16">
        <f>IFERROR(ROUNDDOWN(Table15[[#This Row],[R-DEMAND]]/1706,0),0)</f>
        <v>0</v>
      </c>
      <c r="P653" s="16">
        <f>IFERROR(Table15[[#This Row],[ADD ACC]]*Table15[[#This Row],[RT TIME 
(380-800)]],0)</f>
        <v>0</v>
      </c>
      <c r="Q653" s="415">
        <f>IFERROR(VLOOKUP(Table15[[#This Row],[ROUTE]],PRICING!A:B,2,FALSE),0)</f>
        <v>0</v>
      </c>
      <c r="R653" s="235">
        <f>IFERROR(Table15[[#This Row],[C_DEMAND]]-Table15[[#This Row],[R-DEMAND]],0)</f>
        <v>0</v>
      </c>
      <c r="S653" s="408">
        <f t="shared" si="10"/>
        <v>0</v>
      </c>
      <c r="T653" s="419">
        <f>Table15[[#This Row],[R-DEMAND]]-(Table15[[#This Row],[ADD ACC]]*1706)</f>
        <v>0</v>
      </c>
      <c r="U653" s="419">
        <f>ROUNDDOWN(Table15[[#This Row],[Column1]]/1360,0)</f>
        <v>0</v>
      </c>
      <c r="V653" s="419"/>
      <c r="W653" s="251">
        <v>10.25</v>
      </c>
      <c r="X653" s="251">
        <f>ROUNDDOWN(Table15[[#This Row],[R-DEMAND]]/1320,0)</f>
        <v>0</v>
      </c>
      <c r="Y653" s="251">
        <f>IFERROR(Table15[[#This Row],[ADD ACC
(660/1320)]]*Table15[[#This Row],[Duration
(B744)]],0)</f>
        <v>0</v>
      </c>
      <c r="Z653" s="251"/>
    </row>
    <row r="654" spans="1:26" ht="15.75" customHeight="1" x14ac:dyDescent="0.25">
      <c r="A654" s="210" t="s">
        <v>15816</v>
      </c>
      <c r="B654" s="204" t="s">
        <v>1267</v>
      </c>
      <c r="C654" s="204"/>
      <c r="D654" s="205">
        <v>1</v>
      </c>
      <c r="E654" s="204" t="s">
        <v>533</v>
      </c>
      <c r="F654" s="204" t="str">
        <f>VLOOKUP(E654,Table10[[COUNTRY NAME]:[CONTINENT CODE]],3,FALSE)</f>
        <v>AS</v>
      </c>
      <c r="G654" s="206" t="s">
        <v>11993</v>
      </c>
      <c r="H654" s="207">
        <v>3630</v>
      </c>
      <c r="I654" s="208">
        <v>10.25</v>
      </c>
      <c r="J654" s="345"/>
      <c r="K654" s="345">
        <f>IFERROR(Table15[[#This Row],[ROUTE $]]/Table15[[#This Row],[E - DEMAND]],0)</f>
        <v>0</v>
      </c>
      <c r="L654" s="204"/>
      <c r="M654" s="412">
        <f>IFERROR(VLOOKUP(Table15[[#This Row],[ROUTE]],DEMAND!A:F,5,FALSE),0)</f>
        <v>0</v>
      </c>
      <c r="N654" s="16">
        <f>IFERROR(VLOOKUP(Table15[[#This Row],[ROUTE]],DEMAND!A:F,6,FALSE),0)</f>
        <v>0</v>
      </c>
      <c r="O654" s="16">
        <f>IFERROR(ROUNDDOWN(Table15[[#This Row],[R-DEMAND]]/1706,0),0)</f>
        <v>0</v>
      </c>
      <c r="P654" s="16">
        <f>IFERROR(Table15[[#This Row],[ADD ACC]]*Table15[[#This Row],[RT TIME 
(380-800)]],0)</f>
        <v>0</v>
      </c>
      <c r="Q654" s="415">
        <f>IFERROR(VLOOKUP(Table15[[#This Row],[ROUTE]],PRICING!A:B,2,FALSE),0)</f>
        <v>0</v>
      </c>
      <c r="R654" s="235">
        <f>IFERROR(Table15[[#This Row],[C_DEMAND]]-Table15[[#This Row],[R-DEMAND]],0)</f>
        <v>0</v>
      </c>
      <c r="S654" s="408">
        <f t="shared" si="10"/>
        <v>0</v>
      </c>
      <c r="T654" s="419">
        <f>Table15[[#This Row],[R-DEMAND]]-(Table15[[#This Row],[ADD ACC]]*1706)</f>
        <v>0</v>
      </c>
      <c r="U654" s="419">
        <f>ROUNDDOWN(Table15[[#This Row],[Column1]]/1360,0)</f>
        <v>0</v>
      </c>
      <c r="V654" s="419"/>
      <c r="W654" s="251">
        <v>10.25</v>
      </c>
      <c r="X654" s="251">
        <f>ROUNDDOWN(Table15[[#This Row],[R-DEMAND]]/1320,0)</f>
        <v>0</v>
      </c>
      <c r="Y654" s="251">
        <f>IFERROR(Table15[[#This Row],[ADD ACC
(660/1320)]]*Table15[[#This Row],[Duration
(B744)]],0)</f>
        <v>0</v>
      </c>
      <c r="Z654" s="251"/>
    </row>
    <row r="655" spans="1:26" ht="15.75" customHeight="1" x14ac:dyDescent="0.25">
      <c r="A655" s="210" t="s">
        <v>15813</v>
      </c>
      <c r="B655" s="204" t="s">
        <v>590</v>
      </c>
      <c r="C655" s="204"/>
      <c r="D655" s="205">
        <v>1</v>
      </c>
      <c r="E655" s="204" t="s">
        <v>588</v>
      </c>
      <c r="F655" s="204" t="str">
        <f>VLOOKUP(E655,Table10[[COUNTRY NAME]:[CONTINENT CODE]],3,FALSE)</f>
        <v>EU</v>
      </c>
      <c r="G655" s="210" t="s">
        <v>9615</v>
      </c>
      <c r="H655" s="207">
        <v>3657</v>
      </c>
      <c r="I655" s="208">
        <v>10.25</v>
      </c>
      <c r="J655" s="345"/>
      <c r="K655" s="345">
        <f>IFERROR(Table15[[#This Row],[ROUTE $]]/Table15[[#This Row],[E - DEMAND]],0)</f>
        <v>0</v>
      </c>
      <c r="L655" s="204"/>
      <c r="M655" s="412">
        <f>IFERROR(VLOOKUP(Table15[[#This Row],[ROUTE]],DEMAND!A:F,5,FALSE),0)</f>
        <v>0</v>
      </c>
      <c r="N655" s="16">
        <f>IFERROR(VLOOKUP(Table15[[#This Row],[ROUTE]],DEMAND!A:F,6,FALSE),0)</f>
        <v>0</v>
      </c>
      <c r="O655" s="16">
        <f>IFERROR(ROUNDDOWN(Table15[[#This Row],[R-DEMAND]]/1706,0),0)</f>
        <v>0</v>
      </c>
      <c r="P655" s="16">
        <f>IFERROR(Table15[[#This Row],[ADD ACC]]*Table15[[#This Row],[RT TIME 
(380-800)]],0)</f>
        <v>0</v>
      </c>
      <c r="Q655" s="415">
        <f>IFERROR(VLOOKUP(Table15[[#This Row],[ROUTE]],PRICING!A:B,2,FALSE),0)</f>
        <v>0</v>
      </c>
      <c r="R655" s="235">
        <f>IFERROR(Table15[[#This Row],[C_DEMAND]]-Table15[[#This Row],[R-DEMAND]],0)</f>
        <v>0</v>
      </c>
      <c r="S655" s="408">
        <f t="shared" si="10"/>
        <v>0</v>
      </c>
      <c r="T655" s="419">
        <f>Table15[[#This Row],[R-DEMAND]]-(Table15[[#This Row],[ADD ACC]]*1706)</f>
        <v>0</v>
      </c>
      <c r="U655" s="419">
        <f>ROUNDDOWN(Table15[[#This Row],[Column1]]/1360,0)</f>
        <v>0</v>
      </c>
      <c r="V655" s="419"/>
      <c r="W655" s="251">
        <v>10.25</v>
      </c>
      <c r="X655" s="251">
        <f>ROUNDDOWN(Table15[[#This Row],[R-DEMAND]]/1320,0)</f>
        <v>0</v>
      </c>
      <c r="Y655" s="251">
        <f>IFERROR(Table15[[#This Row],[ADD ACC
(660/1320)]]*Table15[[#This Row],[Duration
(B744)]],0)</f>
        <v>0</v>
      </c>
      <c r="Z655" s="251"/>
    </row>
    <row r="656" spans="1:26" ht="15.75" customHeight="1" x14ac:dyDescent="0.25">
      <c r="A656" s="210" t="s">
        <v>15808</v>
      </c>
      <c r="B656" s="204" t="s">
        <v>1820</v>
      </c>
      <c r="C656" s="204"/>
      <c r="D656" s="205">
        <v>1</v>
      </c>
      <c r="E656" s="204" t="s">
        <v>172</v>
      </c>
      <c r="F656" s="204" t="str">
        <f>VLOOKUP(E656,Table10[[COUNTRY NAME]:[CONTINENT CODE]],3,FALSE)</f>
        <v>AS</v>
      </c>
      <c r="G656" s="206" t="s">
        <v>6966</v>
      </c>
      <c r="H656" s="207">
        <v>3685</v>
      </c>
      <c r="I656" s="208">
        <v>10.25</v>
      </c>
      <c r="J656" s="345"/>
      <c r="K656" s="345">
        <f>IFERROR(Table15[[#This Row],[ROUTE $]]/Table15[[#This Row],[E - DEMAND]],0)</f>
        <v>0</v>
      </c>
      <c r="L656" s="204"/>
      <c r="M656" s="412">
        <f>IFERROR(VLOOKUP(Table15[[#This Row],[ROUTE]],DEMAND!A:F,5,FALSE),0)</f>
        <v>0</v>
      </c>
      <c r="N656" s="16">
        <f>IFERROR(VLOOKUP(Table15[[#This Row],[ROUTE]],DEMAND!A:F,6,FALSE),0)</f>
        <v>0</v>
      </c>
      <c r="O656" s="16">
        <f>IFERROR(ROUNDDOWN(Table15[[#This Row],[R-DEMAND]]/1706,0),0)</f>
        <v>0</v>
      </c>
      <c r="P656" s="16">
        <f>IFERROR(Table15[[#This Row],[ADD ACC]]*Table15[[#This Row],[RT TIME 
(380-800)]],0)</f>
        <v>0</v>
      </c>
      <c r="Q656" s="415">
        <f>IFERROR(VLOOKUP(Table15[[#This Row],[ROUTE]],PRICING!A:B,2,FALSE),0)</f>
        <v>0</v>
      </c>
      <c r="R656" s="235">
        <f>IFERROR(Table15[[#This Row],[C_DEMAND]]-Table15[[#This Row],[R-DEMAND]],0)</f>
        <v>0</v>
      </c>
      <c r="S656" s="408">
        <f t="shared" si="10"/>
        <v>0</v>
      </c>
      <c r="T656" s="419">
        <f>Table15[[#This Row],[R-DEMAND]]-(Table15[[#This Row],[ADD ACC]]*1706)</f>
        <v>0</v>
      </c>
      <c r="U656" s="419">
        <f>ROUNDDOWN(Table15[[#This Row],[Column1]]/1360,0)</f>
        <v>0</v>
      </c>
      <c r="V656" s="419"/>
      <c r="W656" s="251">
        <v>10.25</v>
      </c>
      <c r="X656" s="251">
        <f>ROUNDDOWN(Table15[[#This Row],[R-DEMAND]]/1320,0)</f>
        <v>0</v>
      </c>
      <c r="Y656" s="251">
        <f>IFERROR(Table15[[#This Row],[ADD ACC
(660/1320)]]*Table15[[#This Row],[Duration
(B744)]],0)</f>
        <v>0</v>
      </c>
      <c r="Z656" s="251"/>
    </row>
    <row r="657" spans="1:26" ht="15.75" customHeight="1" x14ac:dyDescent="0.25">
      <c r="A657" s="210" t="s">
        <v>15821</v>
      </c>
      <c r="B657" s="204" t="s">
        <v>4779</v>
      </c>
      <c r="C657" s="204"/>
      <c r="D657" s="205">
        <v>3</v>
      </c>
      <c r="E657" s="204" t="s">
        <v>1270</v>
      </c>
      <c r="F657" s="204" t="str">
        <f>VLOOKUP(E657,Table10[[COUNTRY NAME]:[CONTINENT CODE]],3,FALSE)</f>
        <v>AS</v>
      </c>
      <c r="G657" s="206" t="s">
        <v>11912</v>
      </c>
      <c r="H657" s="207">
        <v>3585</v>
      </c>
      <c r="I657" s="208">
        <v>10</v>
      </c>
      <c r="J657" s="345"/>
      <c r="K657" s="345">
        <f>IFERROR(Table15[[#This Row],[ROUTE $]]/Table15[[#This Row],[E - DEMAND]],0)</f>
        <v>0</v>
      </c>
      <c r="L657" s="204"/>
      <c r="M657" s="412">
        <f>IFERROR(VLOOKUP(Table15[[#This Row],[ROUTE]],DEMAND!A:F,5,FALSE),0)</f>
        <v>0</v>
      </c>
      <c r="N657" s="16">
        <f>IFERROR(VLOOKUP(Table15[[#This Row],[ROUTE]],DEMAND!A:F,6,FALSE),0)</f>
        <v>0</v>
      </c>
      <c r="O657" s="16">
        <f>IFERROR(ROUNDDOWN(Table15[[#This Row],[R-DEMAND]]/1706,0),0)</f>
        <v>0</v>
      </c>
      <c r="P657" s="16">
        <f>IFERROR(Table15[[#This Row],[ADD ACC]]*Table15[[#This Row],[RT TIME 
(380-800)]],0)</f>
        <v>0</v>
      </c>
      <c r="Q657" s="415">
        <f>IFERROR(VLOOKUP(Table15[[#This Row],[ROUTE]],PRICING!A:B,2,FALSE),0)</f>
        <v>0</v>
      </c>
      <c r="R657" s="235">
        <f>IFERROR(Table15[[#This Row],[C_DEMAND]]-Table15[[#This Row],[R-DEMAND]],0)</f>
        <v>0</v>
      </c>
      <c r="S657" s="408">
        <f t="shared" si="10"/>
        <v>0</v>
      </c>
      <c r="T657" s="419">
        <f>Table15[[#This Row],[R-DEMAND]]-(Table15[[#This Row],[ADD ACC]]*1706)</f>
        <v>0</v>
      </c>
      <c r="U657" s="419">
        <f>ROUNDDOWN(Table15[[#This Row],[Column1]]/1360,0)</f>
        <v>0</v>
      </c>
      <c r="V657" s="419"/>
      <c r="W657" s="251">
        <v>10</v>
      </c>
      <c r="X657" s="251">
        <f>ROUNDDOWN(Table15[[#This Row],[R-DEMAND]]/1320,0)</f>
        <v>0</v>
      </c>
      <c r="Y657" s="251">
        <f>IFERROR(Table15[[#This Row],[ADD ACC
(660/1320)]]*Table15[[#This Row],[Duration
(B744)]],0)</f>
        <v>0</v>
      </c>
      <c r="Z657" s="251"/>
    </row>
    <row r="658" spans="1:26" ht="15.75" customHeight="1" x14ac:dyDescent="0.25">
      <c r="A658" s="210" t="s">
        <v>15827</v>
      </c>
      <c r="B658" s="204" t="s">
        <v>117</v>
      </c>
      <c r="C658" s="204"/>
      <c r="D658" s="205">
        <v>3</v>
      </c>
      <c r="E658" s="204" t="s">
        <v>4853</v>
      </c>
      <c r="F658" s="204" t="str">
        <f>VLOOKUP(E658,Table10[[COUNTRY NAME]:[CONTINENT CODE]],3,FALSE)</f>
        <v>AS</v>
      </c>
      <c r="G658" s="206" t="s">
        <v>12103</v>
      </c>
      <c r="H658" s="207">
        <v>3525</v>
      </c>
      <c r="I658" s="208">
        <v>10</v>
      </c>
      <c r="J658" s="345"/>
      <c r="K658" s="345">
        <f>IFERROR(Table15[[#This Row],[ROUTE $]]/Table15[[#This Row],[E - DEMAND]],0)</f>
        <v>0</v>
      </c>
      <c r="L658" s="204"/>
      <c r="M658" s="412">
        <f>IFERROR(VLOOKUP(Table15[[#This Row],[ROUTE]],DEMAND!A:F,5,FALSE),0)</f>
        <v>0</v>
      </c>
      <c r="N658" s="16">
        <f>IFERROR(VLOOKUP(Table15[[#This Row],[ROUTE]],DEMAND!A:F,6,FALSE),0)</f>
        <v>0</v>
      </c>
      <c r="O658" s="16">
        <f>IFERROR(ROUNDDOWN(Table15[[#This Row],[R-DEMAND]]/1706,0),0)</f>
        <v>0</v>
      </c>
      <c r="P658" s="16">
        <f>IFERROR(Table15[[#This Row],[ADD ACC]]*Table15[[#This Row],[RT TIME 
(380-800)]],0)</f>
        <v>0</v>
      </c>
      <c r="Q658" s="415">
        <f>IFERROR(VLOOKUP(Table15[[#This Row],[ROUTE]],PRICING!A:B,2,FALSE),0)</f>
        <v>0</v>
      </c>
      <c r="R658" s="235">
        <f>IFERROR(Table15[[#This Row],[C_DEMAND]]-Table15[[#This Row],[R-DEMAND]],0)</f>
        <v>0</v>
      </c>
      <c r="S658" s="408">
        <f t="shared" si="10"/>
        <v>0</v>
      </c>
      <c r="T658" s="419">
        <f>Table15[[#This Row],[R-DEMAND]]-(Table15[[#This Row],[ADD ACC]]*1706)</f>
        <v>0</v>
      </c>
      <c r="U658" s="419">
        <f>ROUNDDOWN(Table15[[#This Row],[Column1]]/1360,0)</f>
        <v>0</v>
      </c>
      <c r="V658" s="419"/>
      <c r="W658" s="251">
        <v>10</v>
      </c>
      <c r="X658" s="251">
        <f>ROUNDDOWN(Table15[[#This Row],[R-DEMAND]]/1320,0)</f>
        <v>0</v>
      </c>
      <c r="Y658" s="251">
        <f>IFERROR(Table15[[#This Row],[ADD ACC
(660/1320)]]*Table15[[#This Row],[Duration
(B744)]],0)</f>
        <v>0</v>
      </c>
      <c r="Z658" s="251"/>
    </row>
    <row r="659" spans="1:26" ht="15.75" customHeight="1" x14ac:dyDescent="0.25">
      <c r="A659" s="210" t="s">
        <v>15820</v>
      </c>
      <c r="B659" s="204" t="s">
        <v>4439</v>
      </c>
      <c r="C659" s="204"/>
      <c r="D659" s="205">
        <v>2</v>
      </c>
      <c r="E659" s="204" t="s">
        <v>709</v>
      </c>
      <c r="F659" s="204" t="str">
        <f>VLOOKUP(E659,Table10[[COUNTRY NAME]:[CONTINENT CODE]],3,FALSE)</f>
        <v>AS</v>
      </c>
      <c r="G659" s="206" t="s">
        <v>12112</v>
      </c>
      <c r="H659" s="207">
        <v>3587</v>
      </c>
      <c r="I659" s="208">
        <v>10</v>
      </c>
      <c r="J659" s="345"/>
      <c r="K659" s="345">
        <f>IFERROR(Table15[[#This Row],[ROUTE $]]/Table15[[#This Row],[E - DEMAND]],0)</f>
        <v>0</v>
      </c>
      <c r="L659" s="204"/>
      <c r="M659" s="412">
        <f>IFERROR(VLOOKUP(Table15[[#This Row],[ROUTE]],DEMAND!A:F,5,FALSE),0)</f>
        <v>0</v>
      </c>
      <c r="N659" s="16">
        <f>IFERROR(VLOOKUP(Table15[[#This Row],[ROUTE]],DEMAND!A:F,6,FALSE),0)</f>
        <v>0</v>
      </c>
      <c r="O659" s="16">
        <f>IFERROR(ROUNDDOWN(Table15[[#This Row],[R-DEMAND]]/1706,0),0)</f>
        <v>0</v>
      </c>
      <c r="P659" s="16">
        <f>IFERROR(Table15[[#This Row],[ADD ACC]]*Table15[[#This Row],[RT TIME 
(380-800)]],0)</f>
        <v>0</v>
      </c>
      <c r="Q659" s="415">
        <f>IFERROR(VLOOKUP(Table15[[#This Row],[ROUTE]],PRICING!A:B,2,FALSE),0)</f>
        <v>0</v>
      </c>
      <c r="R659" s="235">
        <f>IFERROR(Table15[[#This Row],[C_DEMAND]]-Table15[[#This Row],[R-DEMAND]],0)</f>
        <v>0</v>
      </c>
      <c r="S659" s="408">
        <f t="shared" si="10"/>
        <v>0</v>
      </c>
      <c r="T659" s="419">
        <f>Table15[[#This Row],[R-DEMAND]]-(Table15[[#This Row],[ADD ACC]]*1706)</f>
        <v>0</v>
      </c>
      <c r="U659" s="419">
        <f>ROUNDDOWN(Table15[[#This Row],[Column1]]/1360,0)</f>
        <v>0</v>
      </c>
      <c r="V659" s="419"/>
      <c r="W659" s="251">
        <v>10</v>
      </c>
      <c r="X659" s="251">
        <f>ROUNDDOWN(Table15[[#This Row],[R-DEMAND]]/1320,0)</f>
        <v>0</v>
      </c>
      <c r="Y659" s="251">
        <f>IFERROR(Table15[[#This Row],[ADD ACC
(660/1320)]]*Table15[[#This Row],[Duration
(B744)]],0)</f>
        <v>0</v>
      </c>
      <c r="Z659" s="251"/>
    </row>
    <row r="660" spans="1:26" ht="15.75" customHeight="1" x14ac:dyDescent="0.25">
      <c r="A660" s="210" t="s">
        <v>15823</v>
      </c>
      <c r="B660" s="204" t="s">
        <v>4677</v>
      </c>
      <c r="C660" s="204"/>
      <c r="D660" s="205">
        <v>2</v>
      </c>
      <c r="E660" s="204" t="s">
        <v>588</v>
      </c>
      <c r="F660" s="204" t="str">
        <f>VLOOKUP(E660,Table10[[COUNTRY NAME]:[CONTINENT CODE]],3,FALSE)</f>
        <v>EU</v>
      </c>
      <c r="G660" s="210" t="s">
        <v>11948</v>
      </c>
      <c r="H660" s="207">
        <v>3553</v>
      </c>
      <c r="I660" s="208">
        <v>10</v>
      </c>
      <c r="J660" s="345"/>
      <c r="K660" s="345">
        <f>IFERROR(Table15[[#This Row],[ROUTE $]]/Table15[[#This Row],[E - DEMAND]],0)</f>
        <v>0</v>
      </c>
      <c r="L660" s="204"/>
      <c r="M660" s="412">
        <f>IFERROR(VLOOKUP(Table15[[#This Row],[ROUTE]],DEMAND!A:F,5,FALSE),0)</f>
        <v>0</v>
      </c>
      <c r="N660" s="16">
        <f>IFERROR(VLOOKUP(Table15[[#This Row],[ROUTE]],DEMAND!A:F,6,FALSE),0)</f>
        <v>0</v>
      </c>
      <c r="O660" s="16">
        <f>IFERROR(ROUNDDOWN(Table15[[#This Row],[R-DEMAND]]/1706,0),0)</f>
        <v>0</v>
      </c>
      <c r="P660" s="16">
        <f>IFERROR(Table15[[#This Row],[ADD ACC]]*Table15[[#This Row],[RT TIME 
(380-800)]],0)</f>
        <v>0</v>
      </c>
      <c r="Q660" s="415">
        <f>IFERROR(VLOOKUP(Table15[[#This Row],[ROUTE]],PRICING!A:B,2,FALSE),0)</f>
        <v>0</v>
      </c>
      <c r="R660" s="235">
        <f>IFERROR(Table15[[#This Row],[C_DEMAND]]-Table15[[#This Row],[R-DEMAND]],0)</f>
        <v>0</v>
      </c>
      <c r="S660" s="408">
        <f t="shared" si="10"/>
        <v>0</v>
      </c>
      <c r="T660" s="419">
        <f>Table15[[#This Row],[R-DEMAND]]-(Table15[[#This Row],[ADD ACC]]*1706)</f>
        <v>0</v>
      </c>
      <c r="U660" s="419">
        <f>ROUNDDOWN(Table15[[#This Row],[Column1]]/1360,0)</f>
        <v>0</v>
      </c>
      <c r="V660" s="419"/>
      <c r="W660" s="251">
        <v>10</v>
      </c>
      <c r="X660" s="251">
        <f>ROUNDDOWN(Table15[[#This Row],[R-DEMAND]]/1320,0)</f>
        <v>0</v>
      </c>
      <c r="Y660" s="251">
        <f>IFERROR(Table15[[#This Row],[ADD ACC
(660/1320)]]*Table15[[#This Row],[Duration
(B744)]],0)</f>
        <v>0</v>
      </c>
      <c r="Z660" s="251"/>
    </row>
    <row r="661" spans="1:26" ht="15.75" customHeight="1" x14ac:dyDescent="0.25">
      <c r="A661" s="210" t="s">
        <v>15825</v>
      </c>
      <c r="B661" s="204" t="s">
        <v>1335</v>
      </c>
      <c r="C661" s="204"/>
      <c r="D661" s="205">
        <v>1</v>
      </c>
      <c r="E661" s="204" t="s">
        <v>588</v>
      </c>
      <c r="F661" s="204" t="str">
        <f>VLOOKUP(E661,Table10[[COUNTRY NAME]:[CONTINENT CODE]],3,FALSE)</f>
        <v>EU</v>
      </c>
      <c r="G661" s="210" t="s">
        <v>11966</v>
      </c>
      <c r="H661" s="207">
        <v>3537</v>
      </c>
      <c r="I661" s="208">
        <v>10</v>
      </c>
      <c r="J661" s="345"/>
      <c r="K661" s="345">
        <f>IFERROR(Table15[[#This Row],[ROUTE $]]/Table15[[#This Row],[E - DEMAND]],0)</f>
        <v>0</v>
      </c>
      <c r="L661" s="204"/>
      <c r="M661" s="412">
        <f>IFERROR(VLOOKUP(Table15[[#This Row],[ROUTE]],DEMAND!A:F,5,FALSE),0)</f>
        <v>0</v>
      </c>
      <c r="N661" s="16">
        <f>IFERROR(VLOOKUP(Table15[[#This Row],[ROUTE]],DEMAND!A:F,6,FALSE),0)</f>
        <v>0</v>
      </c>
      <c r="O661" s="16">
        <f>IFERROR(ROUNDDOWN(Table15[[#This Row],[R-DEMAND]]/1706,0),0)</f>
        <v>0</v>
      </c>
      <c r="P661" s="16">
        <f>IFERROR(Table15[[#This Row],[ADD ACC]]*Table15[[#This Row],[RT TIME 
(380-800)]],0)</f>
        <v>0</v>
      </c>
      <c r="Q661" s="415">
        <f>IFERROR(VLOOKUP(Table15[[#This Row],[ROUTE]],PRICING!A:B,2,FALSE),0)</f>
        <v>0</v>
      </c>
      <c r="R661" s="235">
        <f>IFERROR(Table15[[#This Row],[C_DEMAND]]-Table15[[#This Row],[R-DEMAND]],0)</f>
        <v>0</v>
      </c>
      <c r="S661" s="408">
        <f t="shared" si="10"/>
        <v>0</v>
      </c>
      <c r="T661" s="419">
        <f>Table15[[#This Row],[R-DEMAND]]-(Table15[[#This Row],[ADD ACC]]*1706)</f>
        <v>0</v>
      </c>
      <c r="U661" s="419">
        <f>ROUNDDOWN(Table15[[#This Row],[Column1]]/1360,0)</f>
        <v>0</v>
      </c>
      <c r="V661" s="419"/>
      <c r="W661" s="251">
        <v>10</v>
      </c>
      <c r="X661" s="251">
        <f>ROUNDDOWN(Table15[[#This Row],[R-DEMAND]]/1320,0)</f>
        <v>0</v>
      </c>
      <c r="Y661" s="251">
        <f>IFERROR(Table15[[#This Row],[ADD ACC
(660/1320)]]*Table15[[#This Row],[Duration
(B744)]],0)</f>
        <v>0</v>
      </c>
      <c r="Z661" s="251"/>
    </row>
    <row r="662" spans="1:26" ht="15.75" customHeight="1" x14ac:dyDescent="0.25">
      <c r="A662" s="210" t="s">
        <v>15836</v>
      </c>
      <c r="B662" s="204" t="s">
        <v>2601</v>
      </c>
      <c r="C662" s="204"/>
      <c r="D662" s="205">
        <v>2</v>
      </c>
      <c r="E662" s="204" t="s">
        <v>588</v>
      </c>
      <c r="F662" s="204" t="str">
        <f>VLOOKUP(E662,Table10[[COUNTRY NAME]:[CONTINENT CODE]],3,FALSE)</f>
        <v>EU</v>
      </c>
      <c r="G662" s="210" t="s">
        <v>11959</v>
      </c>
      <c r="H662" s="207">
        <v>3401</v>
      </c>
      <c r="I662" s="208">
        <v>9.75</v>
      </c>
      <c r="J662" s="345"/>
      <c r="K662" s="345">
        <f>IFERROR(Table15[[#This Row],[ROUTE $]]/Table15[[#This Row],[E - DEMAND]],0)</f>
        <v>0</v>
      </c>
      <c r="L662" s="204"/>
      <c r="M662" s="412">
        <f>IFERROR(VLOOKUP(Table15[[#This Row],[ROUTE]],DEMAND!A:F,5,FALSE),0)</f>
        <v>0</v>
      </c>
      <c r="N662" s="16">
        <f>IFERROR(VLOOKUP(Table15[[#This Row],[ROUTE]],DEMAND!A:F,6,FALSE),0)</f>
        <v>0</v>
      </c>
      <c r="O662" s="16">
        <f>IFERROR(ROUNDDOWN(Table15[[#This Row],[R-DEMAND]]/1706,0),0)</f>
        <v>0</v>
      </c>
      <c r="P662" s="16">
        <f>IFERROR(Table15[[#This Row],[ADD ACC]]*Table15[[#This Row],[RT TIME 
(380-800)]],0)</f>
        <v>0</v>
      </c>
      <c r="Q662" s="415">
        <f>IFERROR(VLOOKUP(Table15[[#This Row],[ROUTE]],PRICING!A:B,2,FALSE),0)</f>
        <v>0</v>
      </c>
      <c r="R662" s="235">
        <f>IFERROR(Table15[[#This Row],[C_DEMAND]]-Table15[[#This Row],[R-DEMAND]],0)</f>
        <v>0</v>
      </c>
      <c r="S662" s="408">
        <f t="shared" si="10"/>
        <v>0</v>
      </c>
      <c r="T662" s="419">
        <f>Table15[[#This Row],[R-DEMAND]]-(Table15[[#This Row],[ADD ACC]]*1706)</f>
        <v>0</v>
      </c>
      <c r="U662" s="419">
        <f>ROUNDDOWN(Table15[[#This Row],[Column1]]/1360,0)</f>
        <v>0</v>
      </c>
      <c r="V662" s="419"/>
      <c r="W662" s="251">
        <v>9.75</v>
      </c>
      <c r="X662" s="251">
        <f>ROUNDDOWN(Table15[[#This Row],[R-DEMAND]]/1320,0)</f>
        <v>0</v>
      </c>
      <c r="Y662" s="251">
        <f>IFERROR(Table15[[#This Row],[ADD ACC
(660/1320)]]*Table15[[#This Row],[Duration
(B744)]],0)</f>
        <v>0</v>
      </c>
      <c r="Z662" s="251"/>
    </row>
    <row r="663" spans="1:26" ht="15.75" customHeight="1" x14ac:dyDescent="0.25">
      <c r="A663" s="210" t="s">
        <v>15832</v>
      </c>
      <c r="B663" s="204" t="s">
        <v>3074</v>
      </c>
      <c r="C663" s="204"/>
      <c r="D663" s="205">
        <v>2</v>
      </c>
      <c r="E663" s="204" t="s">
        <v>172</v>
      </c>
      <c r="F663" s="204" t="str">
        <f>VLOOKUP(E663,Table10[[COUNTRY NAME]:[CONTINENT CODE]],3,FALSE)</f>
        <v>AS</v>
      </c>
      <c r="G663" s="206" t="s">
        <v>7651</v>
      </c>
      <c r="H663" s="207">
        <v>3442</v>
      </c>
      <c r="I663" s="208">
        <v>9.75</v>
      </c>
      <c r="J663" s="345"/>
      <c r="K663" s="345">
        <f>IFERROR(Table15[[#This Row],[ROUTE $]]/Table15[[#This Row],[E - DEMAND]],0)</f>
        <v>0</v>
      </c>
      <c r="L663" s="204"/>
      <c r="M663" s="412">
        <f>IFERROR(VLOOKUP(Table15[[#This Row],[ROUTE]],DEMAND!A:F,5,FALSE),0)</f>
        <v>0</v>
      </c>
      <c r="N663" s="16">
        <f>IFERROR(VLOOKUP(Table15[[#This Row],[ROUTE]],DEMAND!A:F,6,FALSE),0)</f>
        <v>0</v>
      </c>
      <c r="O663" s="16">
        <f>IFERROR(ROUNDDOWN(Table15[[#This Row],[R-DEMAND]]/1706,0),0)</f>
        <v>0</v>
      </c>
      <c r="P663" s="16">
        <f>IFERROR(Table15[[#This Row],[ADD ACC]]*Table15[[#This Row],[RT TIME 
(380-800)]],0)</f>
        <v>0</v>
      </c>
      <c r="Q663" s="415">
        <f>IFERROR(VLOOKUP(Table15[[#This Row],[ROUTE]],PRICING!A:B,2,FALSE),0)</f>
        <v>0</v>
      </c>
      <c r="R663" s="235">
        <f>IFERROR(Table15[[#This Row],[C_DEMAND]]-Table15[[#This Row],[R-DEMAND]],0)</f>
        <v>0</v>
      </c>
      <c r="S663" s="408">
        <f t="shared" si="10"/>
        <v>0</v>
      </c>
      <c r="T663" s="419">
        <f>Table15[[#This Row],[R-DEMAND]]-(Table15[[#This Row],[ADD ACC]]*1706)</f>
        <v>0</v>
      </c>
      <c r="U663" s="419">
        <f>ROUNDDOWN(Table15[[#This Row],[Column1]]/1360,0)</f>
        <v>0</v>
      </c>
      <c r="V663" s="419"/>
      <c r="W663" s="251">
        <v>9.75</v>
      </c>
      <c r="X663" s="251">
        <f>ROUNDDOWN(Table15[[#This Row],[R-DEMAND]]/1320,0)</f>
        <v>0</v>
      </c>
      <c r="Y663" s="251">
        <f>IFERROR(Table15[[#This Row],[ADD ACC
(660/1320)]]*Table15[[#This Row],[Duration
(B744)]],0)</f>
        <v>0</v>
      </c>
      <c r="Z663" s="251"/>
    </row>
    <row r="664" spans="1:26" ht="15.75" customHeight="1" x14ac:dyDescent="0.25">
      <c r="A664" s="210" t="s">
        <v>15831</v>
      </c>
      <c r="B664" s="204" t="s">
        <v>1379</v>
      </c>
      <c r="C664" s="204"/>
      <c r="D664" s="205">
        <v>1</v>
      </c>
      <c r="E664" s="204" t="s">
        <v>1377</v>
      </c>
      <c r="F664" s="204" t="str">
        <f>VLOOKUP(E664,Table10[[COUNTRY NAME]:[CONTINENT CODE]],3,FALSE)</f>
        <v>EU</v>
      </c>
      <c r="G664" s="210" t="s">
        <v>11915</v>
      </c>
      <c r="H664" s="207">
        <v>3451</v>
      </c>
      <c r="I664" s="208">
        <v>9.75</v>
      </c>
      <c r="J664" s="345"/>
      <c r="K664" s="345">
        <f>IFERROR(Table15[[#This Row],[ROUTE $]]/Table15[[#This Row],[E - DEMAND]],0)</f>
        <v>0</v>
      </c>
      <c r="L664" s="204"/>
      <c r="M664" s="412">
        <f>IFERROR(VLOOKUP(Table15[[#This Row],[ROUTE]],DEMAND!A:F,5,FALSE),0)</f>
        <v>0</v>
      </c>
      <c r="N664" s="16">
        <f>IFERROR(VLOOKUP(Table15[[#This Row],[ROUTE]],DEMAND!A:F,6,FALSE),0)</f>
        <v>0</v>
      </c>
      <c r="O664" s="16">
        <f>IFERROR(ROUNDDOWN(Table15[[#This Row],[R-DEMAND]]/1706,0),0)</f>
        <v>0</v>
      </c>
      <c r="P664" s="16">
        <f>IFERROR(Table15[[#This Row],[ADD ACC]]*Table15[[#This Row],[RT TIME 
(380-800)]],0)</f>
        <v>0</v>
      </c>
      <c r="Q664" s="415">
        <f>IFERROR(VLOOKUP(Table15[[#This Row],[ROUTE]],PRICING!A:B,2,FALSE),0)</f>
        <v>0</v>
      </c>
      <c r="R664" s="235">
        <f>IFERROR(Table15[[#This Row],[C_DEMAND]]-Table15[[#This Row],[R-DEMAND]],0)</f>
        <v>0</v>
      </c>
      <c r="S664" s="408">
        <f t="shared" si="10"/>
        <v>0</v>
      </c>
      <c r="T664" s="419">
        <f>Table15[[#This Row],[R-DEMAND]]-(Table15[[#This Row],[ADD ACC]]*1706)</f>
        <v>0</v>
      </c>
      <c r="U664" s="419">
        <f>ROUNDDOWN(Table15[[#This Row],[Column1]]/1360,0)</f>
        <v>0</v>
      </c>
      <c r="V664" s="419"/>
      <c r="W664" s="251">
        <v>9.75</v>
      </c>
      <c r="X664" s="251">
        <f>ROUNDDOWN(Table15[[#This Row],[R-DEMAND]]/1320,0)</f>
        <v>0</v>
      </c>
      <c r="Y664" s="251">
        <f>IFERROR(Table15[[#This Row],[ADD ACC
(660/1320)]]*Table15[[#This Row],[Duration
(B744)]],0)</f>
        <v>0</v>
      </c>
      <c r="Z664" s="251"/>
    </row>
    <row r="665" spans="1:26" ht="15.75" customHeight="1" x14ac:dyDescent="0.25">
      <c r="A665" s="210" t="s">
        <v>15839</v>
      </c>
      <c r="B665" s="204" t="s">
        <v>128</v>
      </c>
      <c r="C665" s="204"/>
      <c r="D665" s="205">
        <v>3</v>
      </c>
      <c r="E665" s="204" t="s">
        <v>709</v>
      </c>
      <c r="F665" s="204" t="str">
        <f>VLOOKUP(E665,Table10[[COUNTRY NAME]:[CONTINENT CODE]],3,FALSE)</f>
        <v>AS</v>
      </c>
      <c r="G665" s="206" t="s">
        <v>12109</v>
      </c>
      <c r="H665" s="207">
        <v>3342</v>
      </c>
      <c r="I665" s="208">
        <v>9.5</v>
      </c>
      <c r="J665" s="345"/>
      <c r="K665" s="345">
        <f>IFERROR(Table15[[#This Row],[ROUTE $]]/Table15[[#This Row],[E - DEMAND]],0)</f>
        <v>0</v>
      </c>
      <c r="L665" s="204"/>
      <c r="M665" s="412">
        <f>IFERROR(VLOOKUP(Table15[[#This Row],[ROUTE]],DEMAND!A:F,5,FALSE),0)</f>
        <v>0</v>
      </c>
      <c r="N665" s="16">
        <f>IFERROR(VLOOKUP(Table15[[#This Row],[ROUTE]],DEMAND!A:F,6,FALSE),0)</f>
        <v>0</v>
      </c>
      <c r="O665" s="16">
        <f>IFERROR(ROUNDDOWN(Table15[[#This Row],[R-DEMAND]]/1706,0),0)</f>
        <v>0</v>
      </c>
      <c r="P665" s="16">
        <f>IFERROR(Table15[[#This Row],[ADD ACC]]*Table15[[#This Row],[RT TIME 
(380-800)]],0)</f>
        <v>0</v>
      </c>
      <c r="Q665" s="415">
        <f>IFERROR(VLOOKUP(Table15[[#This Row],[ROUTE]],PRICING!A:B,2,FALSE),0)</f>
        <v>0</v>
      </c>
      <c r="R665" s="235">
        <f>IFERROR(Table15[[#This Row],[C_DEMAND]]-Table15[[#This Row],[R-DEMAND]],0)</f>
        <v>0</v>
      </c>
      <c r="S665" s="408">
        <f t="shared" si="10"/>
        <v>0</v>
      </c>
      <c r="T665" s="419">
        <f>Table15[[#This Row],[R-DEMAND]]-(Table15[[#This Row],[ADD ACC]]*1706)</f>
        <v>0</v>
      </c>
      <c r="U665" s="419">
        <f>ROUNDDOWN(Table15[[#This Row],[Column1]]/1360,0)</f>
        <v>0</v>
      </c>
      <c r="V665" s="419"/>
      <c r="W665" s="251">
        <v>9.5</v>
      </c>
      <c r="X665" s="251">
        <f>ROUNDDOWN(Table15[[#This Row],[R-DEMAND]]/1320,0)</f>
        <v>0</v>
      </c>
      <c r="Y665" s="251">
        <f>IFERROR(Table15[[#This Row],[ADD ACC
(660/1320)]]*Table15[[#This Row],[Duration
(B744)]],0)</f>
        <v>0</v>
      </c>
      <c r="Z665" s="251"/>
    </row>
    <row r="666" spans="1:26" ht="15.75" customHeight="1" x14ac:dyDescent="0.25">
      <c r="A666" s="210" t="s">
        <v>15843</v>
      </c>
      <c r="B666" s="204" t="s">
        <v>3215</v>
      </c>
      <c r="C666" s="204"/>
      <c r="D666" s="205">
        <v>2</v>
      </c>
      <c r="E666" s="204" t="s">
        <v>3213</v>
      </c>
      <c r="F666" s="204" t="str">
        <f>VLOOKUP(E666,Table10[[COUNTRY NAME]:[CONTINENT CODE]],3,FALSE)</f>
        <v>AF</v>
      </c>
      <c r="G666" s="206" t="s">
        <v>11944</v>
      </c>
      <c r="H666" s="207">
        <v>3290</v>
      </c>
      <c r="I666" s="208">
        <v>9.5</v>
      </c>
      <c r="J666" s="345"/>
      <c r="K666" s="345">
        <f>IFERROR(Table15[[#This Row],[ROUTE $]]/Table15[[#This Row],[E - DEMAND]],0)</f>
        <v>0</v>
      </c>
      <c r="L666" s="204"/>
      <c r="M666" s="412">
        <f>IFERROR(VLOOKUP(Table15[[#This Row],[ROUTE]],DEMAND!A:F,5,FALSE),0)</f>
        <v>0</v>
      </c>
      <c r="N666" s="16">
        <f>IFERROR(VLOOKUP(Table15[[#This Row],[ROUTE]],DEMAND!A:F,6,FALSE),0)</f>
        <v>0</v>
      </c>
      <c r="O666" s="16">
        <f>IFERROR(ROUNDDOWN(Table15[[#This Row],[R-DEMAND]]/1706,0),0)</f>
        <v>0</v>
      </c>
      <c r="P666" s="16">
        <f>IFERROR(Table15[[#This Row],[ADD ACC]]*Table15[[#This Row],[RT TIME 
(380-800)]],0)</f>
        <v>0</v>
      </c>
      <c r="Q666" s="415">
        <f>IFERROR(VLOOKUP(Table15[[#This Row],[ROUTE]],PRICING!A:B,2,FALSE),0)</f>
        <v>0</v>
      </c>
      <c r="R666" s="235">
        <f>IFERROR(Table15[[#This Row],[C_DEMAND]]-Table15[[#This Row],[R-DEMAND]],0)</f>
        <v>0</v>
      </c>
      <c r="S666" s="408">
        <f t="shared" si="10"/>
        <v>0</v>
      </c>
      <c r="T666" s="419">
        <f>Table15[[#This Row],[R-DEMAND]]-(Table15[[#This Row],[ADD ACC]]*1706)</f>
        <v>0</v>
      </c>
      <c r="U666" s="419">
        <f>ROUNDDOWN(Table15[[#This Row],[Column1]]/1360,0)</f>
        <v>0</v>
      </c>
      <c r="V666" s="419"/>
      <c r="W666" s="251">
        <v>9.5</v>
      </c>
      <c r="X666" s="251">
        <f>ROUNDDOWN(Table15[[#This Row],[R-DEMAND]]/1320,0)</f>
        <v>0</v>
      </c>
      <c r="Y666" s="251">
        <f>IFERROR(Table15[[#This Row],[ADD ACC
(660/1320)]]*Table15[[#This Row],[Duration
(B744)]],0)</f>
        <v>0</v>
      </c>
      <c r="Z666" s="251"/>
    </row>
    <row r="667" spans="1:26" ht="15.75" customHeight="1" x14ac:dyDescent="0.25">
      <c r="A667" s="210" t="s">
        <v>15841</v>
      </c>
      <c r="B667" s="204" t="s">
        <v>3906</v>
      </c>
      <c r="C667" s="204"/>
      <c r="D667" s="205">
        <v>2</v>
      </c>
      <c r="E667" s="204" t="s">
        <v>172</v>
      </c>
      <c r="F667" s="204" t="str">
        <f>VLOOKUP(E667,Table10[[COUNTRY NAME]:[CONTINENT CODE]],3,FALSE)</f>
        <v>AS</v>
      </c>
      <c r="G667" s="206" t="s">
        <v>9572</v>
      </c>
      <c r="H667" s="207">
        <v>3308</v>
      </c>
      <c r="I667" s="208">
        <v>9.5</v>
      </c>
      <c r="J667" s="345"/>
      <c r="K667" s="345">
        <f>IFERROR(Table15[[#This Row],[ROUTE $]]/Table15[[#This Row],[E - DEMAND]],0)</f>
        <v>0</v>
      </c>
      <c r="L667" s="204"/>
      <c r="M667" s="412">
        <f>IFERROR(VLOOKUP(Table15[[#This Row],[ROUTE]],DEMAND!A:F,5,FALSE),0)</f>
        <v>0</v>
      </c>
      <c r="N667" s="16">
        <f>IFERROR(VLOOKUP(Table15[[#This Row],[ROUTE]],DEMAND!A:F,6,FALSE),0)</f>
        <v>0</v>
      </c>
      <c r="O667" s="16">
        <f>IFERROR(ROUNDDOWN(Table15[[#This Row],[R-DEMAND]]/1706,0),0)</f>
        <v>0</v>
      </c>
      <c r="P667" s="16">
        <f>IFERROR(Table15[[#This Row],[ADD ACC]]*Table15[[#This Row],[RT TIME 
(380-800)]],0)</f>
        <v>0</v>
      </c>
      <c r="Q667" s="415">
        <f>IFERROR(VLOOKUP(Table15[[#This Row],[ROUTE]],PRICING!A:B,2,FALSE),0)</f>
        <v>0</v>
      </c>
      <c r="R667" s="235">
        <f>IFERROR(Table15[[#This Row],[C_DEMAND]]-Table15[[#This Row],[R-DEMAND]],0)</f>
        <v>0</v>
      </c>
      <c r="S667" s="408">
        <f t="shared" si="10"/>
        <v>0</v>
      </c>
      <c r="T667" s="419">
        <f>Table15[[#This Row],[R-DEMAND]]-(Table15[[#This Row],[ADD ACC]]*1706)</f>
        <v>0</v>
      </c>
      <c r="U667" s="419">
        <f>ROUNDDOWN(Table15[[#This Row],[Column1]]/1360,0)</f>
        <v>0</v>
      </c>
      <c r="V667" s="419"/>
      <c r="W667" s="251">
        <v>9.5</v>
      </c>
      <c r="X667" s="251">
        <f>ROUNDDOWN(Table15[[#This Row],[R-DEMAND]]/1320,0)</f>
        <v>0</v>
      </c>
      <c r="Y667" s="251">
        <f>IFERROR(Table15[[#This Row],[ADD ACC
(660/1320)]]*Table15[[#This Row],[Duration
(B744)]],0)</f>
        <v>0</v>
      </c>
      <c r="Z667" s="251"/>
    </row>
    <row r="668" spans="1:26" ht="15.75" customHeight="1" x14ac:dyDescent="0.25">
      <c r="A668" s="210" t="s">
        <v>15838</v>
      </c>
      <c r="B668" s="204" t="s">
        <v>3931</v>
      </c>
      <c r="C668" s="204"/>
      <c r="D668" s="205">
        <v>2</v>
      </c>
      <c r="E668" s="204" t="s">
        <v>172</v>
      </c>
      <c r="F668" s="204" t="str">
        <f>VLOOKUP(E668,Table10[[COUNTRY NAME]:[CONTINENT CODE]],3,FALSE)</f>
        <v>AS</v>
      </c>
      <c r="G668" s="206" t="s">
        <v>7147</v>
      </c>
      <c r="H668" s="207">
        <v>3376</v>
      </c>
      <c r="I668" s="208">
        <v>9.5</v>
      </c>
      <c r="J668" s="345"/>
      <c r="K668" s="345">
        <f>IFERROR(Table15[[#This Row],[ROUTE $]]/Table15[[#This Row],[E - DEMAND]],0)</f>
        <v>0</v>
      </c>
      <c r="L668" s="204"/>
      <c r="M668" s="412">
        <f>IFERROR(VLOOKUP(Table15[[#This Row],[ROUTE]],DEMAND!A:F,5,FALSE),0)</f>
        <v>0</v>
      </c>
      <c r="N668" s="16">
        <f>IFERROR(VLOOKUP(Table15[[#This Row],[ROUTE]],DEMAND!A:F,6,FALSE),0)</f>
        <v>0</v>
      </c>
      <c r="O668" s="16">
        <f>IFERROR(ROUNDDOWN(Table15[[#This Row],[R-DEMAND]]/1706,0),0)</f>
        <v>0</v>
      </c>
      <c r="P668" s="16">
        <f>IFERROR(Table15[[#This Row],[ADD ACC]]*Table15[[#This Row],[RT TIME 
(380-800)]],0)</f>
        <v>0</v>
      </c>
      <c r="Q668" s="415">
        <f>IFERROR(VLOOKUP(Table15[[#This Row],[ROUTE]],PRICING!A:B,2,FALSE),0)</f>
        <v>0</v>
      </c>
      <c r="R668" s="235">
        <f>IFERROR(Table15[[#This Row],[C_DEMAND]]-Table15[[#This Row],[R-DEMAND]],0)</f>
        <v>0</v>
      </c>
      <c r="S668" s="408">
        <f t="shared" si="10"/>
        <v>0</v>
      </c>
      <c r="T668" s="419">
        <f>Table15[[#This Row],[R-DEMAND]]-(Table15[[#This Row],[ADD ACC]]*1706)</f>
        <v>0</v>
      </c>
      <c r="U668" s="419">
        <f>ROUNDDOWN(Table15[[#This Row],[Column1]]/1360,0)</f>
        <v>0</v>
      </c>
      <c r="V668" s="419"/>
      <c r="W668" s="251">
        <v>9.5</v>
      </c>
      <c r="X668" s="251">
        <f>ROUNDDOWN(Table15[[#This Row],[R-DEMAND]]/1320,0)</f>
        <v>0</v>
      </c>
      <c r="Y668" s="251">
        <f>IFERROR(Table15[[#This Row],[ADD ACC
(660/1320)]]*Table15[[#This Row],[Duration
(B744)]],0)</f>
        <v>0</v>
      </c>
      <c r="Z668" s="251"/>
    </row>
    <row r="669" spans="1:26" ht="15.75" customHeight="1" x14ac:dyDescent="0.25">
      <c r="A669" s="210" t="s">
        <v>15849</v>
      </c>
      <c r="B669" s="204" t="s">
        <v>4962</v>
      </c>
      <c r="C669" s="204"/>
      <c r="D669" s="205">
        <v>3</v>
      </c>
      <c r="E669" s="204" t="s">
        <v>1377</v>
      </c>
      <c r="F669" s="204" t="str">
        <f>VLOOKUP(E669,Table10[[COUNTRY NAME]:[CONTINENT CODE]],3,FALSE)</f>
        <v>EU</v>
      </c>
      <c r="G669" s="210" t="s">
        <v>11927</v>
      </c>
      <c r="H669" s="207">
        <v>3221</v>
      </c>
      <c r="I669" s="208">
        <v>9.25</v>
      </c>
      <c r="J669" s="345"/>
      <c r="K669" s="345">
        <f>IFERROR(Table15[[#This Row],[ROUTE $]]/Table15[[#This Row],[E - DEMAND]],0)</f>
        <v>0</v>
      </c>
      <c r="L669" s="204"/>
      <c r="M669" s="412">
        <f>IFERROR(VLOOKUP(Table15[[#This Row],[ROUTE]],DEMAND!A:F,5,FALSE),0)</f>
        <v>0</v>
      </c>
      <c r="N669" s="16">
        <f>IFERROR(VLOOKUP(Table15[[#This Row],[ROUTE]],DEMAND!A:F,6,FALSE),0)</f>
        <v>0</v>
      </c>
      <c r="O669" s="16">
        <f>IFERROR(ROUNDDOWN(Table15[[#This Row],[R-DEMAND]]/1706,0),0)</f>
        <v>0</v>
      </c>
      <c r="P669" s="16">
        <f>IFERROR(Table15[[#This Row],[ADD ACC]]*Table15[[#This Row],[RT TIME 
(380-800)]],0)</f>
        <v>0</v>
      </c>
      <c r="Q669" s="415">
        <f>IFERROR(VLOOKUP(Table15[[#This Row],[ROUTE]],PRICING!A:B,2,FALSE),0)</f>
        <v>0</v>
      </c>
      <c r="R669" s="235">
        <f>IFERROR(Table15[[#This Row],[C_DEMAND]]-Table15[[#This Row],[R-DEMAND]],0)</f>
        <v>0</v>
      </c>
      <c r="S669" s="408">
        <f t="shared" si="10"/>
        <v>0</v>
      </c>
      <c r="T669" s="419">
        <f>Table15[[#This Row],[R-DEMAND]]-(Table15[[#This Row],[ADD ACC]]*1706)</f>
        <v>0</v>
      </c>
      <c r="U669" s="419">
        <f>ROUNDDOWN(Table15[[#This Row],[Column1]]/1360,0)</f>
        <v>0</v>
      </c>
      <c r="V669" s="419"/>
      <c r="W669" s="251">
        <v>9.25</v>
      </c>
      <c r="X669" s="251">
        <f>ROUNDDOWN(Table15[[#This Row],[R-DEMAND]]/1320,0)</f>
        <v>0</v>
      </c>
      <c r="Y669" s="251">
        <f>IFERROR(Table15[[#This Row],[ADD ACC
(660/1320)]]*Table15[[#This Row],[Duration
(B744)]],0)</f>
        <v>0</v>
      </c>
      <c r="Z669" s="251"/>
    </row>
    <row r="670" spans="1:26" ht="15.75" customHeight="1" x14ac:dyDescent="0.25">
      <c r="A670" s="210" t="s">
        <v>15848</v>
      </c>
      <c r="B670" s="204" t="s">
        <v>202</v>
      </c>
      <c r="C670" s="204"/>
      <c r="D670" s="205">
        <v>2</v>
      </c>
      <c r="E670" s="204" t="s">
        <v>709</v>
      </c>
      <c r="F670" s="204" t="str">
        <f>VLOOKUP(E670,Table10[[COUNTRY NAME]:[CONTINENT CODE]],3,FALSE)</f>
        <v>AS</v>
      </c>
      <c r="G670" s="206" t="s">
        <v>12107</v>
      </c>
      <c r="H670" s="207">
        <v>3234</v>
      </c>
      <c r="I670" s="208">
        <v>9.25</v>
      </c>
      <c r="J670" s="345"/>
      <c r="K670" s="345">
        <f>IFERROR(Table15[[#This Row],[ROUTE $]]/Table15[[#This Row],[E - DEMAND]],0)</f>
        <v>0</v>
      </c>
      <c r="L670" s="204"/>
      <c r="M670" s="412">
        <f>IFERROR(VLOOKUP(Table15[[#This Row],[ROUTE]],DEMAND!A:F,5,FALSE),0)</f>
        <v>0</v>
      </c>
      <c r="N670" s="16">
        <f>IFERROR(VLOOKUP(Table15[[#This Row],[ROUTE]],DEMAND!A:F,6,FALSE),0)</f>
        <v>0</v>
      </c>
      <c r="O670" s="16">
        <f>IFERROR(ROUNDDOWN(Table15[[#This Row],[R-DEMAND]]/1706,0),0)</f>
        <v>0</v>
      </c>
      <c r="P670" s="16">
        <f>IFERROR(Table15[[#This Row],[ADD ACC]]*Table15[[#This Row],[RT TIME 
(380-800)]],0)</f>
        <v>0</v>
      </c>
      <c r="Q670" s="415">
        <f>IFERROR(VLOOKUP(Table15[[#This Row],[ROUTE]],PRICING!A:B,2,FALSE),0)</f>
        <v>0</v>
      </c>
      <c r="R670" s="235">
        <f>IFERROR(Table15[[#This Row],[C_DEMAND]]-Table15[[#This Row],[R-DEMAND]],0)</f>
        <v>0</v>
      </c>
      <c r="S670" s="408">
        <f t="shared" si="10"/>
        <v>0</v>
      </c>
      <c r="T670" s="419">
        <f>Table15[[#This Row],[R-DEMAND]]-(Table15[[#This Row],[ADD ACC]]*1706)</f>
        <v>0</v>
      </c>
      <c r="U670" s="419">
        <f>ROUNDDOWN(Table15[[#This Row],[Column1]]/1360,0)</f>
        <v>0</v>
      </c>
      <c r="V670" s="419"/>
      <c r="W670" s="251">
        <v>9.25</v>
      </c>
      <c r="X670" s="251">
        <f>ROUNDDOWN(Table15[[#This Row],[R-DEMAND]]/1320,0)</f>
        <v>0</v>
      </c>
      <c r="Y670" s="251">
        <f>IFERROR(Table15[[#This Row],[ADD ACC
(660/1320)]]*Table15[[#This Row],[Duration
(B744)]],0)</f>
        <v>0</v>
      </c>
      <c r="Z670" s="251"/>
    </row>
    <row r="671" spans="1:26" ht="15.75" customHeight="1" x14ac:dyDescent="0.25">
      <c r="A671" s="210" t="s">
        <v>15844</v>
      </c>
      <c r="B671" s="204" t="s">
        <v>3497</v>
      </c>
      <c r="C671" s="204"/>
      <c r="D671" s="205">
        <v>2</v>
      </c>
      <c r="E671" s="204" t="s">
        <v>172</v>
      </c>
      <c r="F671" s="204" t="str">
        <f>VLOOKUP(E671,Table10[[COUNTRY NAME]:[CONTINENT CODE]],3,FALSE)</f>
        <v>AS</v>
      </c>
      <c r="G671" s="206" t="s">
        <v>11931</v>
      </c>
      <c r="H671" s="207">
        <v>3268</v>
      </c>
      <c r="I671" s="208">
        <v>9.25</v>
      </c>
      <c r="J671" s="345"/>
      <c r="K671" s="345">
        <f>IFERROR(Table15[[#This Row],[ROUTE $]]/Table15[[#This Row],[E - DEMAND]],0)</f>
        <v>0</v>
      </c>
      <c r="L671" s="204"/>
      <c r="M671" s="412">
        <f>IFERROR(VLOOKUP(Table15[[#This Row],[ROUTE]],DEMAND!A:F,5,FALSE),0)</f>
        <v>0</v>
      </c>
      <c r="N671" s="16">
        <f>IFERROR(VLOOKUP(Table15[[#This Row],[ROUTE]],DEMAND!A:F,6,FALSE),0)</f>
        <v>0</v>
      </c>
      <c r="O671" s="16">
        <f>IFERROR(ROUNDDOWN(Table15[[#This Row],[R-DEMAND]]/1706,0),0)</f>
        <v>0</v>
      </c>
      <c r="P671" s="16">
        <f>IFERROR(Table15[[#This Row],[ADD ACC]]*Table15[[#This Row],[RT TIME 
(380-800)]],0)</f>
        <v>0</v>
      </c>
      <c r="Q671" s="415">
        <f>IFERROR(VLOOKUP(Table15[[#This Row],[ROUTE]],PRICING!A:B,2,FALSE),0)</f>
        <v>0</v>
      </c>
      <c r="R671" s="235">
        <f>IFERROR(Table15[[#This Row],[C_DEMAND]]-Table15[[#This Row],[R-DEMAND]],0)</f>
        <v>0</v>
      </c>
      <c r="S671" s="408">
        <f t="shared" si="10"/>
        <v>0</v>
      </c>
      <c r="T671" s="419">
        <f>Table15[[#This Row],[R-DEMAND]]-(Table15[[#This Row],[ADD ACC]]*1706)</f>
        <v>0</v>
      </c>
      <c r="U671" s="419">
        <f>ROUNDDOWN(Table15[[#This Row],[Column1]]/1360,0)</f>
        <v>0</v>
      </c>
      <c r="V671" s="419"/>
      <c r="W671" s="251">
        <v>9.25</v>
      </c>
      <c r="X671" s="251">
        <f>ROUNDDOWN(Table15[[#This Row],[R-DEMAND]]/1320,0)</f>
        <v>0</v>
      </c>
      <c r="Y671" s="251">
        <f>IFERROR(Table15[[#This Row],[ADD ACC
(660/1320)]]*Table15[[#This Row],[Duration
(B744)]],0)</f>
        <v>0</v>
      </c>
      <c r="Z671" s="251"/>
    </row>
    <row r="672" spans="1:26" ht="15.75" customHeight="1" x14ac:dyDescent="0.25">
      <c r="A672" s="210" t="s">
        <v>15854</v>
      </c>
      <c r="B672" s="204" t="s">
        <v>3469</v>
      </c>
      <c r="C672" s="204"/>
      <c r="D672" s="205">
        <v>2</v>
      </c>
      <c r="E672" s="204" t="s">
        <v>172</v>
      </c>
      <c r="F672" s="204" t="str">
        <f>VLOOKUP(E672,Table10[[COUNTRY NAME]:[CONTINENT CODE]],3,FALSE)</f>
        <v>AS</v>
      </c>
      <c r="G672" s="206" t="s">
        <v>10659</v>
      </c>
      <c r="H672" s="207">
        <v>3167</v>
      </c>
      <c r="I672" s="208">
        <v>9.25</v>
      </c>
      <c r="J672" s="345"/>
      <c r="K672" s="345">
        <f>IFERROR(Table15[[#This Row],[ROUTE $]]/Table15[[#This Row],[E - DEMAND]],0)</f>
        <v>0</v>
      </c>
      <c r="L672" s="204"/>
      <c r="M672" s="412">
        <f>IFERROR(VLOOKUP(Table15[[#This Row],[ROUTE]],DEMAND!A:F,5,FALSE),0)</f>
        <v>0</v>
      </c>
      <c r="N672" s="16">
        <f>IFERROR(VLOOKUP(Table15[[#This Row],[ROUTE]],DEMAND!A:F,6,FALSE),0)</f>
        <v>0</v>
      </c>
      <c r="O672" s="16">
        <f>IFERROR(ROUNDDOWN(Table15[[#This Row],[R-DEMAND]]/1706,0),0)</f>
        <v>0</v>
      </c>
      <c r="P672" s="16">
        <f>IFERROR(Table15[[#This Row],[ADD ACC]]*Table15[[#This Row],[RT TIME 
(380-800)]],0)</f>
        <v>0</v>
      </c>
      <c r="Q672" s="415">
        <f>IFERROR(VLOOKUP(Table15[[#This Row],[ROUTE]],PRICING!A:B,2,FALSE),0)</f>
        <v>0</v>
      </c>
      <c r="R672" s="235">
        <f>IFERROR(Table15[[#This Row],[C_DEMAND]]-Table15[[#This Row],[R-DEMAND]],0)</f>
        <v>0</v>
      </c>
      <c r="S672" s="408">
        <f t="shared" si="10"/>
        <v>0</v>
      </c>
      <c r="T672" s="419">
        <f>Table15[[#This Row],[R-DEMAND]]-(Table15[[#This Row],[ADD ACC]]*1706)</f>
        <v>0</v>
      </c>
      <c r="U672" s="419">
        <f>ROUNDDOWN(Table15[[#This Row],[Column1]]/1360,0)</f>
        <v>0</v>
      </c>
      <c r="V672" s="419"/>
      <c r="W672" s="251">
        <v>9.25</v>
      </c>
      <c r="X672" s="251">
        <f>ROUNDDOWN(Table15[[#This Row],[R-DEMAND]]/1320,0)</f>
        <v>0</v>
      </c>
      <c r="Y672" s="251">
        <f>IFERROR(Table15[[#This Row],[ADD ACC
(660/1320)]]*Table15[[#This Row],[Duration
(B744)]],0)</f>
        <v>0</v>
      </c>
      <c r="Z672" s="251"/>
    </row>
    <row r="673" spans="1:26" ht="15.75" customHeight="1" x14ac:dyDescent="0.25">
      <c r="A673" s="210" t="s">
        <v>15846</v>
      </c>
      <c r="B673" s="204" t="s">
        <v>3772</v>
      </c>
      <c r="C673" s="204"/>
      <c r="D673" s="205">
        <v>2</v>
      </c>
      <c r="E673" s="204" t="s">
        <v>2851</v>
      </c>
      <c r="F673" s="204" t="str">
        <f>VLOOKUP(E673,Table10[[COUNTRY NAME]:[CONTINENT CODE]],3,FALSE)</f>
        <v>AF</v>
      </c>
      <c r="G673" s="206" t="s">
        <v>12007</v>
      </c>
      <c r="H673" s="207">
        <v>3254</v>
      </c>
      <c r="I673" s="208">
        <v>9.25</v>
      </c>
      <c r="J673" s="345"/>
      <c r="K673" s="345">
        <f>IFERROR(Table15[[#This Row],[ROUTE $]]/Table15[[#This Row],[E - DEMAND]],0)</f>
        <v>0</v>
      </c>
      <c r="L673" s="204"/>
      <c r="M673" s="412">
        <f>IFERROR(VLOOKUP(Table15[[#This Row],[ROUTE]],DEMAND!A:F,5,FALSE),0)</f>
        <v>0</v>
      </c>
      <c r="N673" s="16">
        <f>IFERROR(VLOOKUP(Table15[[#This Row],[ROUTE]],DEMAND!A:F,6,FALSE),0)</f>
        <v>0</v>
      </c>
      <c r="O673" s="16">
        <f>IFERROR(ROUNDDOWN(Table15[[#This Row],[R-DEMAND]]/1706,0),0)</f>
        <v>0</v>
      </c>
      <c r="P673" s="16">
        <f>IFERROR(Table15[[#This Row],[ADD ACC]]*Table15[[#This Row],[RT TIME 
(380-800)]],0)</f>
        <v>0</v>
      </c>
      <c r="Q673" s="415">
        <f>IFERROR(VLOOKUP(Table15[[#This Row],[ROUTE]],PRICING!A:B,2,FALSE),0)</f>
        <v>0</v>
      </c>
      <c r="R673" s="235">
        <f>IFERROR(Table15[[#This Row],[C_DEMAND]]-Table15[[#This Row],[R-DEMAND]],0)</f>
        <v>0</v>
      </c>
      <c r="S673" s="408">
        <f t="shared" si="10"/>
        <v>0</v>
      </c>
      <c r="T673" s="419">
        <f>Table15[[#This Row],[R-DEMAND]]-(Table15[[#This Row],[ADD ACC]]*1706)</f>
        <v>0</v>
      </c>
      <c r="U673" s="419">
        <f>ROUNDDOWN(Table15[[#This Row],[Column1]]/1360,0)</f>
        <v>0</v>
      </c>
      <c r="V673" s="419"/>
      <c r="W673" s="251">
        <v>9.25</v>
      </c>
      <c r="X673" s="251">
        <f>ROUNDDOWN(Table15[[#This Row],[R-DEMAND]]/1320,0)</f>
        <v>0</v>
      </c>
      <c r="Y673" s="251">
        <f>IFERROR(Table15[[#This Row],[ADD ACC
(660/1320)]]*Table15[[#This Row],[Duration
(B744)]],0)</f>
        <v>0</v>
      </c>
      <c r="Z673" s="251"/>
    </row>
    <row r="674" spans="1:26" ht="15.75" customHeight="1" x14ac:dyDescent="0.25">
      <c r="A674" s="210" t="s">
        <v>15847</v>
      </c>
      <c r="B674" s="204" t="s">
        <v>422</v>
      </c>
      <c r="C674" s="204"/>
      <c r="D674" s="205">
        <v>2</v>
      </c>
      <c r="E674" s="16" t="s">
        <v>11732</v>
      </c>
      <c r="F674" s="204" t="str">
        <f>VLOOKUP(E674,Table10[[COUNTRY NAME]:[CONTINENT CODE]],3,FALSE)</f>
        <v>NA - US</v>
      </c>
      <c r="G674" s="206" t="s">
        <v>11923</v>
      </c>
      <c r="H674" s="207">
        <v>3247</v>
      </c>
      <c r="I674" s="208">
        <v>9.25</v>
      </c>
      <c r="J674" s="345"/>
      <c r="K674" s="345">
        <f>IFERROR(Table15[[#This Row],[ROUTE $]]/Table15[[#This Row],[E - DEMAND]],0)</f>
        <v>0</v>
      </c>
      <c r="L674" s="204"/>
      <c r="M674" s="412">
        <f>IFERROR(VLOOKUP(Table15[[#This Row],[ROUTE]],DEMAND!A:F,5,FALSE),0)</f>
        <v>0</v>
      </c>
      <c r="N674" s="16">
        <f>IFERROR(VLOOKUP(Table15[[#This Row],[ROUTE]],DEMAND!A:F,6,FALSE),0)</f>
        <v>0</v>
      </c>
      <c r="O674" s="16">
        <f>IFERROR(ROUNDDOWN(Table15[[#This Row],[R-DEMAND]]/1706,0),0)</f>
        <v>0</v>
      </c>
      <c r="P674" s="16">
        <f>IFERROR(Table15[[#This Row],[ADD ACC]]*Table15[[#This Row],[RT TIME 
(380-800)]],0)</f>
        <v>0</v>
      </c>
      <c r="Q674" s="415">
        <f>IFERROR(VLOOKUP(Table15[[#This Row],[ROUTE]],PRICING!A:B,2,FALSE),0)</f>
        <v>0</v>
      </c>
      <c r="R674" s="235">
        <f>IFERROR(Table15[[#This Row],[C_DEMAND]]-Table15[[#This Row],[R-DEMAND]],0)</f>
        <v>0</v>
      </c>
      <c r="S674" s="408">
        <f t="shared" si="10"/>
        <v>0</v>
      </c>
      <c r="T674" s="419">
        <f>Table15[[#This Row],[R-DEMAND]]-(Table15[[#This Row],[ADD ACC]]*1706)</f>
        <v>0</v>
      </c>
      <c r="U674" s="419">
        <f>ROUNDDOWN(Table15[[#This Row],[Column1]]/1360,0)</f>
        <v>0</v>
      </c>
      <c r="V674" s="419"/>
      <c r="W674" s="251">
        <v>9.25</v>
      </c>
      <c r="X674" s="251">
        <f>ROUNDDOWN(Table15[[#This Row],[R-DEMAND]]/1320,0)</f>
        <v>0</v>
      </c>
      <c r="Y674" s="251">
        <f>IFERROR(Table15[[#This Row],[ADD ACC
(660/1320)]]*Table15[[#This Row],[Duration
(B744)]],0)</f>
        <v>0</v>
      </c>
      <c r="Z674" s="251"/>
    </row>
    <row r="675" spans="1:26" ht="15.75" customHeight="1" x14ac:dyDescent="0.25">
      <c r="A675" s="210" t="s">
        <v>15852</v>
      </c>
      <c r="B675" s="204" t="s">
        <v>1844</v>
      </c>
      <c r="C675" s="204"/>
      <c r="D675" s="205">
        <v>1</v>
      </c>
      <c r="E675" s="204" t="s">
        <v>172</v>
      </c>
      <c r="F675" s="204" t="str">
        <f>VLOOKUP(E675,Table10[[COUNTRY NAME]:[CONTINENT CODE]],3,FALSE)</f>
        <v>AS</v>
      </c>
      <c r="G675" s="206" t="s">
        <v>7650</v>
      </c>
      <c r="H675" s="207">
        <v>3187</v>
      </c>
      <c r="I675" s="208">
        <v>9.25</v>
      </c>
      <c r="J675" s="345"/>
      <c r="K675" s="345">
        <f>IFERROR(Table15[[#This Row],[ROUTE $]]/Table15[[#This Row],[E - DEMAND]],0)</f>
        <v>0</v>
      </c>
      <c r="L675" s="204"/>
      <c r="M675" s="412">
        <f>IFERROR(VLOOKUP(Table15[[#This Row],[ROUTE]],DEMAND!A:F,5,FALSE),0)</f>
        <v>0</v>
      </c>
      <c r="N675" s="16">
        <f>IFERROR(VLOOKUP(Table15[[#This Row],[ROUTE]],DEMAND!A:F,6,FALSE),0)</f>
        <v>0</v>
      </c>
      <c r="O675" s="16">
        <f>IFERROR(ROUNDDOWN(Table15[[#This Row],[R-DEMAND]]/1706,0),0)</f>
        <v>0</v>
      </c>
      <c r="P675" s="16">
        <f>IFERROR(Table15[[#This Row],[ADD ACC]]*Table15[[#This Row],[RT TIME 
(380-800)]],0)</f>
        <v>0</v>
      </c>
      <c r="Q675" s="415">
        <f>IFERROR(VLOOKUP(Table15[[#This Row],[ROUTE]],PRICING!A:B,2,FALSE),0)</f>
        <v>0</v>
      </c>
      <c r="R675" s="235">
        <f>IFERROR(Table15[[#This Row],[C_DEMAND]]-Table15[[#This Row],[R-DEMAND]],0)</f>
        <v>0</v>
      </c>
      <c r="S675" s="408">
        <f t="shared" si="10"/>
        <v>0</v>
      </c>
      <c r="T675" s="419">
        <f>Table15[[#This Row],[R-DEMAND]]-(Table15[[#This Row],[ADD ACC]]*1706)</f>
        <v>0</v>
      </c>
      <c r="U675" s="419">
        <f>ROUNDDOWN(Table15[[#This Row],[Column1]]/1360,0)</f>
        <v>0</v>
      </c>
      <c r="V675" s="419"/>
      <c r="W675" s="251">
        <v>9.25</v>
      </c>
      <c r="X675" s="251">
        <f>ROUNDDOWN(Table15[[#This Row],[R-DEMAND]]/1320,0)</f>
        <v>0</v>
      </c>
      <c r="Y675" s="251">
        <f>IFERROR(Table15[[#This Row],[ADD ACC
(660/1320)]]*Table15[[#This Row],[Duration
(B744)]],0)</f>
        <v>0</v>
      </c>
      <c r="Z675" s="251"/>
    </row>
    <row r="676" spans="1:26" ht="15.75" customHeight="1" x14ac:dyDescent="0.25">
      <c r="A676" s="210" t="s">
        <v>15850</v>
      </c>
      <c r="B676" s="204" t="s">
        <v>1475</v>
      </c>
      <c r="C676" s="204"/>
      <c r="D676" s="205">
        <v>1</v>
      </c>
      <c r="E676" s="204" t="s">
        <v>1289</v>
      </c>
      <c r="F676" s="204" t="str">
        <f>VLOOKUP(E676,Table10[[COUNTRY NAME]:[CONTINENT CODE]],3,FALSE)</f>
        <v>AS</v>
      </c>
      <c r="G676" s="206" t="s">
        <v>11942</v>
      </c>
      <c r="H676" s="207">
        <v>3213</v>
      </c>
      <c r="I676" s="208">
        <v>9.25</v>
      </c>
      <c r="J676" s="345"/>
      <c r="K676" s="345">
        <f>IFERROR(Table15[[#This Row],[ROUTE $]]/Table15[[#This Row],[E - DEMAND]],0)</f>
        <v>0</v>
      </c>
      <c r="L676" s="204"/>
      <c r="M676" s="412">
        <f>IFERROR(VLOOKUP(Table15[[#This Row],[ROUTE]],DEMAND!A:F,5,FALSE),0)</f>
        <v>0</v>
      </c>
      <c r="N676" s="16">
        <f>IFERROR(VLOOKUP(Table15[[#This Row],[ROUTE]],DEMAND!A:F,6,FALSE),0)</f>
        <v>0</v>
      </c>
      <c r="O676" s="16">
        <f>IFERROR(ROUNDDOWN(Table15[[#This Row],[R-DEMAND]]/1706,0),0)</f>
        <v>0</v>
      </c>
      <c r="P676" s="16">
        <f>IFERROR(Table15[[#This Row],[ADD ACC]]*Table15[[#This Row],[RT TIME 
(380-800)]],0)</f>
        <v>0</v>
      </c>
      <c r="Q676" s="415">
        <f>IFERROR(VLOOKUP(Table15[[#This Row],[ROUTE]],PRICING!A:B,2,FALSE),0)</f>
        <v>0</v>
      </c>
      <c r="R676" s="235">
        <f>IFERROR(Table15[[#This Row],[C_DEMAND]]-Table15[[#This Row],[R-DEMAND]],0)</f>
        <v>0</v>
      </c>
      <c r="S676" s="408">
        <f t="shared" si="10"/>
        <v>0</v>
      </c>
      <c r="T676" s="419">
        <f>Table15[[#This Row],[R-DEMAND]]-(Table15[[#This Row],[ADD ACC]]*1706)</f>
        <v>0</v>
      </c>
      <c r="U676" s="419">
        <f>ROUNDDOWN(Table15[[#This Row],[Column1]]/1360,0)</f>
        <v>0</v>
      </c>
      <c r="V676" s="419"/>
      <c r="W676" s="251">
        <v>9.25</v>
      </c>
      <c r="X676" s="251">
        <f>ROUNDDOWN(Table15[[#This Row],[R-DEMAND]]/1320,0)</f>
        <v>0</v>
      </c>
      <c r="Y676" s="251">
        <f>IFERROR(Table15[[#This Row],[ADD ACC
(660/1320)]]*Table15[[#This Row],[Duration
(B744)]],0)</f>
        <v>0</v>
      </c>
      <c r="Z676" s="251"/>
    </row>
    <row r="677" spans="1:26" ht="15.75" customHeight="1" x14ac:dyDescent="0.25">
      <c r="A677" s="210" t="s">
        <v>15867</v>
      </c>
      <c r="B677" s="204" t="s">
        <v>4756</v>
      </c>
      <c r="C677" s="204"/>
      <c r="D677" s="205">
        <v>3</v>
      </c>
      <c r="E677" s="204" t="s">
        <v>1289</v>
      </c>
      <c r="F677" s="204" t="str">
        <f>VLOOKUP(E677,Table10[[COUNTRY NAME]:[CONTINENT CODE]],3,FALSE)</f>
        <v>AS</v>
      </c>
      <c r="G677" s="206" t="s">
        <v>11945</v>
      </c>
      <c r="H677" s="207">
        <v>3065</v>
      </c>
      <c r="I677" s="208">
        <v>9</v>
      </c>
      <c r="J677" s="345"/>
      <c r="K677" s="345">
        <f>IFERROR(Table15[[#This Row],[ROUTE $]]/Table15[[#This Row],[E - DEMAND]],0)</f>
        <v>0</v>
      </c>
      <c r="L677" s="204"/>
      <c r="M677" s="412">
        <f>IFERROR(VLOOKUP(Table15[[#This Row],[ROUTE]],DEMAND!A:F,5,FALSE),0)</f>
        <v>0</v>
      </c>
      <c r="N677" s="16">
        <f>IFERROR(VLOOKUP(Table15[[#This Row],[ROUTE]],DEMAND!A:F,6,FALSE),0)</f>
        <v>0</v>
      </c>
      <c r="O677" s="16">
        <f>IFERROR(ROUNDDOWN(Table15[[#This Row],[R-DEMAND]]/1706,0),0)</f>
        <v>0</v>
      </c>
      <c r="P677" s="16">
        <f>IFERROR(Table15[[#This Row],[ADD ACC]]*Table15[[#This Row],[RT TIME 
(380-800)]],0)</f>
        <v>0</v>
      </c>
      <c r="Q677" s="415">
        <f>IFERROR(VLOOKUP(Table15[[#This Row],[ROUTE]],PRICING!A:B,2,FALSE),0)</f>
        <v>0</v>
      </c>
      <c r="R677" s="235">
        <f>IFERROR(Table15[[#This Row],[C_DEMAND]]-Table15[[#This Row],[R-DEMAND]],0)</f>
        <v>0</v>
      </c>
      <c r="S677" s="408">
        <f t="shared" si="10"/>
        <v>0</v>
      </c>
      <c r="T677" s="419">
        <f>Table15[[#This Row],[R-DEMAND]]-(Table15[[#This Row],[ADD ACC]]*1706)</f>
        <v>0</v>
      </c>
      <c r="U677" s="419">
        <f>ROUNDDOWN(Table15[[#This Row],[Column1]]/1360,0)</f>
        <v>0</v>
      </c>
      <c r="V677" s="419"/>
      <c r="W677" s="251">
        <v>9</v>
      </c>
      <c r="X677" s="251">
        <f>ROUNDDOWN(Table15[[#This Row],[R-DEMAND]]/1320,0)</f>
        <v>0</v>
      </c>
      <c r="Y677" s="251">
        <f>IFERROR(Table15[[#This Row],[ADD ACC
(660/1320)]]*Table15[[#This Row],[Duration
(B744)]],0)</f>
        <v>0</v>
      </c>
      <c r="Z677" s="251"/>
    </row>
    <row r="678" spans="1:26" ht="15.75" customHeight="1" x14ac:dyDescent="0.25">
      <c r="A678" s="210" t="s">
        <v>15859</v>
      </c>
      <c r="B678" s="204" t="s">
        <v>3996</v>
      </c>
      <c r="C678" s="204"/>
      <c r="D678" s="205">
        <v>2</v>
      </c>
      <c r="E678" s="204" t="s">
        <v>974</v>
      </c>
      <c r="F678" s="204" t="str">
        <f>VLOOKUP(E678,Table10[[COUNTRY NAME]:[CONTINENT CODE]],3,FALSE)</f>
        <v>AS</v>
      </c>
      <c r="G678" s="206" t="s">
        <v>12092</v>
      </c>
      <c r="H678" s="207">
        <v>3130</v>
      </c>
      <c r="I678" s="208">
        <v>9</v>
      </c>
      <c r="J678" s="345"/>
      <c r="K678" s="345">
        <f>IFERROR(Table15[[#This Row],[ROUTE $]]/Table15[[#This Row],[E - DEMAND]],0)</f>
        <v>0</v>
      </c>
      <c r="L678" s="204"/>
      <c r="M678" s="412">
        <f>IFERROR(VLOOKUP(Table15[[#This Row],[ROUTE]],DEMAND!A:F,5,FALSE),0)</f>
        <v>0</v>
      </c>
      <c r="N678" s="16">
        <f>IFERROR(VLOOKUP(Table15[[#This Row],[ROUTE]],DEMAND!A:F,6,FALSE),0)</f>
        <v>0</v>
      </c>
      <c r="O678" s="16">
        <f>IFERROR(ROUNDDOWN(Table15[[#This Row],[R-DEMAND]]/1706,0),0)</f>
        <v>0</v>
      </c>
      <c r="P678" s="16">
        <f>IFERROR(Table15[[#This Row],[ADD ACC]]*Table15[[#This Row],[RT TIME 
(380-800)]],0)</f>
        <v>0</v>
      </c>
      <c r="Q678" s="415">
        <f>IFERROR(VLOOKUP(Table15[[#This Row],[ROUTE]],PRICING!A:B,2,FALSE),0)</f>
        <v>0</v>
      </c>
      <c r="R678" s="235">
        <f>IFERROR(Table15[[#This Row],[C_DEMAND]]-Table15[[#This Row],[R-DEMAND]],0)</f>
        <v>0</v>
      </c>
      <c r="S678" s="408">
        <f t="shared" si="10"/>
        <v>0</v>
      </c>
      <c r="T678" s="419">
        <f>Table15[[#This Row],[R-DEMAND]]-(Table15[[#This Row],[ADD ACC]]*1706)</f>
        <v>0</v>
      </c>
      <c r="U678" s="419">
        <f>ROUNDDOWN(Table15[[#This Row],[Column1]]/1360,0)</f>
        <v>0</v>
      </c>
      <c r="V678" s="419"/>
      <c r="W678" s="251">
        <v>9</v>
      </c>
      <c r="X678" s="251">
        <f>ROUNDDOWN(Table15[[#This Row],[R-DEMAND]]/1320,0)</f>
        <v>0</v>
      </c>
      <c r="Y678" s="251">
        <f>IFERROR(Table15[[#This Row],[ADD ACC
(660/1320)]]*Table15[[#This Row],[Duration
(B744)]],0)</f>
        <v>0</v>
      </c>
      <c r="Z678" s="251"/>
    </row>
    <row r="679" spans="1:26" ht="15.75" customHeight="1" x14ac:dyDescent="0.25">
      <c r="A679" s="210" t="s">
        <v>15855</v>
      </c>
      <c r="B679" s="204" t="s">
        <v>433</v>
      </c>
      <c r="C679" s="204"/>
      <c r="D679" s="205">
        <v>2</v>
      </c>
      <c r="E679" s="204" t="s">
        <v>1513</v>
      </c>
      <c r="F679" s="204" t="str">
        <f>VLOOKUP(E679,Table10[[COUNTRY NAME]:[CONTINENT CODE]],3,FALSE)</f>
        <v>AF</v>
      </c>
      <c r="G679" s="206" t="s">
        <v>10731</v>
      </c>
      <c r="H679" s="207">
        <v>3150</v>
      </c>
      <c r="I679" s="208">
        <v>9</v>
      </c>
      <c r="J679" s="345"/>
      <c r="K679" s="345">
        <f>IFERROR(Table15[[#This Row],[ROUTE $]]/Table15[[#This Row],[E - DEMAND]],0)</f>
        <v>0</v>
      </c>
      <c r="L679" s="204"/>
      <c r="M679" s="412">
        <f>IFERROR(VLOOKUP(Table15[[#This Row],[ROUTE]],DEMAND!A:F,5,FALSE),0)</f>
        <v>0</v>
      </c>
      <c r="N679" s="16">
        <f>IFERROR(VLOOKUP(Table15[[#This Row],[ROUTE]],DEMAND!A:F,6,FALSE),0)</f>
        <v>0</v>
      </c>
      <c r="O679" s="16">
        <f>IFERROR(ROUNDDOWN(Table15[[#This Row],[R-DEMAND]]/1706,0),0)</f>
        <v>0</v>
      </c>
      <c r="P679" s="16">
        <f>IFERROR(Table15[[#This Row],[ADD ACC]]*Table15[[#This Row],[RT TIME 
(380-800)]],0)</f>
        <v>0</v>
      </c>
      <c r="Q679" s="415">
        <f>IFERROR(VLOOKUP(Table15[[#This Row],[ROUTE]],PRICING!A:B,2,FALSE),0)</f>
        <v>0</v>
      </c>
      <c r="R679" s="235">
        <f>IFERROR(Table15[[#This Row],[C_DEMAND]]-Table15[[#This Row],[R-DEMAND]],0)</f>
        <v>0</v>
      </c>
      <c r="S679" s="408">
        <f t="shared" si="10"/>
        <v>0</v>
      </c>
      <c r="T679" s="419">
        <f>Table15[[#This Row],[R-DEMAND]]-(Table15[[#This Row],[ADD ACC]]*1706)</f>
        <v>0</v>
      </c>
      <c r="U679" s="419">
        <f>ROUNDDOWN(Table15[[#This Row],[Column1]]/1360,0)</f>
        <v>0</v>
      </c>
      <c r="V679" s="419"/>
      <c r="W679" s="251">
        <v>9</v>
      </c>
      <c r="X679" s="251">
        <f>ROUNDDOWN(Table15[[#This Row],[R-DEMAND]]/1320,0)</f>
        <v>0</v>
      </c>
      <c r="Y679" s="251">
        <f>IFERROR(Table15[[#This Row],[ADD ACC
(660/1320)]]*Table15[[#This Row],[Duration
(B744)]],0)</f>
        <v>0</v>
      </c>
      <c r="Z679" s="251"/>
    </row>
    <row r="680" spans="1:26" ht="15.75" customHeight="1" x14ac:dyDescent="0.25">
      <c r="A680" s="210" t="s">
        <v>15862</v>
      </c>
      <c r="B680" s="204" t="s">
        <v>3883</v>
      </c>
      <c r="C680" s="204"/>
      <c r="D680" s="205">
        <v>2</v>
      </c>
      <c r="E680" s="204" t="s">
        <v>172</v>
      </c>
      <c r="F680" s="204" t="str">
        <f>VLOOKUP(E680,Table10[[COUNTRY NAME]:[CONTINENT CODE]],3,FALSE)</f>
        <v>AS</v>
      </c>
      <c r="G680" s="206" t="s">
        <v>9929</v>
      </c>
      <c r="H680" s="207">
        <v>3083</v>
      </c>
      <c r="I680" s="208">
        <v>9</v>
      </c>
      <c r="J680" s="345"/>
      <c r="K680" s="345">
        <f>IFERROR(Table15[[#This Row],[ROUTE $]]/Table15[[#This Row],[E - DEMAND]],0)</f>
        <v>0</v>
      </c>
      <c r="L680" s="204"/>
      <c r="M680" s="412">
        <f>IFERROR(VLOOKUP(Table15[[#This Row],[ROUTE]],DEMAND!A:F,5,FALSE),0)</f>
        <v>0</v>
      </c>
      <c r="N680" s="16">
        <f>IFERROR(VLOOKUP(Table15[[#This Row],[ROUTE]],DEMAND!A:F,6,FALSE),0)</f>
        <v>0</v>
      </c>
      <c r="O680" s="16">
        <f>IFERROR(ROUNDDOWN(Table15[[#This Row],[R-DEMAND]]/1706,0),0)</f>
        <v>0</v>
      </c>
      <c r="P680" s="16">
        <f>IFERROR(Table15[[#This Row],[ADD ACC]]*Table15[[#This Row],[RT TIME 
(380-800)]],0)</f>
        <v>0</v>
      </c>
      <c r="Q680" s="415">
        <f>IFERROR(VLOOKUP(Table15[[#This Row],[ROUTE]],PRICING!A:B,2,FALSE),0)</f>
        <v>0</v>
      </c>
      <c r="R680" s="235">
        <f>IFERROR(Table15[[#This Row],[C_DEMAND]]-Table15[[#This Row],[R-DEMAND]],0)</f>
        <v>0</v>
      </c>
      <c r="S680" s="408">
        <f t="shared" si="10"/>
        <v>0</v>
      </c>
      <c r="T680" s="419">
        <f>Table15[[#This Row],[R-DEMAND]]-(Table15[[#This Row],[ADD ACC]]*1706)</f>
        <v>0</v>
      </c>
      <c r="U680" s="419">
        <f>ROUNDDOWN(Table15[[#This Row],[Column1]]/1360,0)</f>
        <v>0</v>
      </c>
      <c r="V680" s="419"/>
      <c r="W680" s="251">
        <v>9</v>
      </c>
      <c r="X680" s="251">
        <f>ROUNDDOWN(Table15[[#This Row],[R-DEMAND]]/1320,0)</f>
        <v>0</v>
      </c>
      <c r="Y680" s="251">
        <f>IFERROR(Table15[[#This Row],[ADD ACC
(660/1320)]]*Table15[[#This Row],[Duration
(B744)]],0)</f>
        <v>0</v>
      </c>
      <c r="Z680" s="251"/>
    </row>
    <row r="681" spans="1:26" ht="15.75" customHeight="1" x14ac:dyDescent="0.25">
      <c r="A681" s="210" t="s">
        <v>15868</v>
      </c>
      <c r="B681" s="204" t="s">
        <v>3950</v>
      </c>
      <c r="C681" s="204"/>
      <c r="D681" s="205">
        <v>2</v>
      </c>
      <c r="E681" s="204" t="s">
        <v>1289</v>
      </c>
      <c r="F681" s="204" t="str">
        <f>VLOOKUP(E681,Table10[[COUNTRY NAME]:[CONTINENT CODE]],3,FALSE)</f>
        <v>AS</v>
      </c>
      <c r="G681" s="206" t="s">
        <v>11950</v>
      </c>
      <c r="H681" s="207">
        <v>3053</v>
      </c>
      <c r="I681" s="208">
        <v>9</v>
      </c>
      <c r="J681" s="345"/>
      <c r="K681" s="345">
        <f>IFERROR(Table15[[#This Row],[ROUTE $]]/Table15[[#This Row],[E - DEMAND]],0)</f>
        <v>0</v>
      </c>
      <c r="L681" s="204"/>
      <c r="M681" s="412">
        <f>IFERROR(VLOOKUP(Table15[[#This Row],[ROUTE]],DEMAND!A:F,5,FALSE),0)</f>
        <v>0</v>
      </c>
      <c r="N681" s="16">
        <f>IFERROR(VLOOKUP(Table15[[#This Row],[ROUTE]],DEMAND!A:F,6,FALSE),0)</f>
        <v>0</v>
      </c>
      <c r="O681" s="16">
        <f>IFERROR(ROUNDDOWN(Table15[[#This Row],[R-DEMAND]]/1706,0),0)</f>
        <v>0</v>
      </c>
      <c r="P681" s="16">
        <f>IFERROR(Table15[[#This Row],[ADD ACC]]*Table15[[#This Row],[RT TIME 
(380-800)]],0)</f>
        <v>0</v>
      </c>
      <c r="Q681" s="415">
        <f>IFERROR(VLOOKUP(Table15[[#This Row],[ROUTE]],PRICING!A:B,2,FALSE),0)</f>
        <v>0</v>
      </c>
      <c r="R681" s="235">
        <f>IFERROR(Table15[[#This Row],[C_DEMAND]]-Table15[[#This Row],[R-DEMAND]],0)</f>
        <v>0</v>
      </c>
      <c r="S681" s="408">
        <f t="shared" si="10"/>
        <v>0</v>
      </c>
      <c r="T681" s="419">
        <f>Table15[[#This Row],[R-DEMAND]]-(Table15[[#This Row],[ADD ACC]]*1706)</f>
        <v>0</v>
      </c>
      <c r="U681" s="419">
        <f>ROUNDDOWN(Table15[[#This Row],[Column1]]/1360,0)</f>
        <v>0</v>
      </c>
      <c r="V681" s="419"/>
      <c r="W681" s="251">
        <v>9</v>
      </c>
      <c r="X681" s="251">
        <f>ROUNDDOWN(Table15[[#This Row],[R-DEMAND]]/1320,0)</f>
        <v>0</v>
      </c>
      <c r="Y681" s="251">
        <f>IFERROR(Table15[[#This Row],[ADD ACC
(660/1320)]]*Table15[[#This Row],[Duration
(B744)]],0)</f>
        <v>0</v>
      </c>
      <c r="Z681" s="251"/>
    </row>
    <row r="682" spans="1:26" ht="15.75" customHeight="1" x14ac:dyDescent="0.25">
      <c r="A682" s="210" t="s">
        <v>15866</v>
      </c>
      <c r="B682" s="204" t="s">
        <v>2007</v>
      </c>
      <c r="C682" s="204"/>
      <c r="D682" s="205">
        <v>1</v>
      </c>
      <c r="E682" s="204" t="s">
        <v>1513</v>
      </c>
      <c r="F682" s="204" t="str">
        <f>VLOOKUP(E682,Table10[[COUNTRY NAME]:[CONTINENT CODE]],3,FALSE)</f>
        <v>AF</v>
      </c>
      <c r="G682" s="206" t="s">
        <v>11967</v>
      </c>
      <c r="H682" s="207">
        <v>3069</v>
      </c>
      <c r="I682" s="208">
        <v>9</v>
      </c>
      <c r="J682" s="345"/>
      <c r="K682" s="345">
        <f>IFERROR(Table15[[#This Row],[ROUTE $]]/Table15[[#This Row],[E - DEMAND]],0)</f>
        <v>0</v>
      </c>
      <c r="L682" s="204"/>
      <c r="M682" s="412">
        <f>IFERROR(VLOOKUP(Table15[[#This Row],[ROUTE]],DEMAND!A:F,5,FALSE),0)</f>
        <v>0</v>
      </c>
      <c r="N682" s="16">
        <f>IFERROR(VLOOKUP(Table15[[#This Row],[ROUTE]],DEMAND!A:F,6,FALSE),0)</f>
        <v>0</v>
      </c>
      <c r="O682" s="16">
        <f>IFERROR(ROUNDDOWN(Table15[[#This Row],[R-DEMAND]]/1706,0),0)</f>
        <v>0</v>
      </c>
      <c r="P682" s="16">
        <f>IFERROR(Table15[[#This Row],[ADD ACC]]*Table15[[#This Row],[RT TIME 
(380-800)]],0)</f>
        <v>0</v>
      </c>
      <c r="Q682" s="415">
        <f>IFERROR(VLOOKUP(Table15[[#This Row],[ROUTE]],PRICING!A:B,2,FALSE),0)</f>
        <v>0</v>
      </c>
      <c r="R682" s="235">
        <f>IFERROR(Table15[[#This Row],[C_DEMAND]]-Table15[[#This Row],[R-DEMAND]],0)</f>
        <v>0</v>
      </c>
      <c r="S682" s="408">
        <f t="shared" si="10"/>
        <v>0</v>
      </c>
      <c r="T682" s="419">
        <f>Table15[[#This Row],[R-DEMAND]]-(Table15[[#This Row],[ADD ACC]]*1706)</f>
        <v>0</v>
      </c>
      <c r="U682" s="419">
        <f>ROUNDDOWN(Table15[[#This Row],[Column1]]/1360,0)</f>
        <v>0</v>
      </c>
      <c r="V682" s="419"/>
      <c r="W682" s="251">
        <v>9</v>
      </c>
      <c r="X682" s="251">
        <f>ROUNDDOWN(Table15[[#This Row],[R-DEMAND]]/1320,0)</f>
        <v>0</v>
      </c>
      <c r="Y682" s="251">
        <f>IFERROR(Table15[[#This Row],[ADD ACC
(660/1320)]]*Table15[[#This Row],[Duration
(B744)]],0)</f>
        <v>0</v>
      </c>
      <c r="Z682" s="251"/>
    </row>
    <row r="683" spans="1:26" ht="15.75" customHeight="1" x14ac:dyDescent="0.25">
      <c r="A683" s="210" t="s">
        <v>15860</v>
      </c>
      <c r="B683" s="204" t="s">
        <v>1989</v>
      </c>
      <c r="C683" s="204"/>
      <c r="D683" s="205">
        <v>1</v>
      </c>
      <c r="E683" s="204" t="s">
        <v>1289</v>
      </c>
      <c r="F683" s="204" t="str">
        <f>VLOOKUP(E683,Table10[[COUNTRY NAME]:[CONTINENT CODE]],3,FALSE)</f>
        <v>AS</v>
      </c>
      <c r="G683" s="206" t="s">
        <v>11946</v>
      </c>
      <c r="H683" s="207">
        <v>3119</v>
      </c>
      <c r="I683" s="208">
        <v>9</v>
      </c>
      <c r="J683" s="345"/>
      <c r="K683" s="345">
        <f>IFERROR(Table15[[#This Row],[ROUTE $]]/Table15[[#This Row],[E - DEMAND]],0)</f>
        <v>0</v>
      </c>
      <c r="L683" s="204"/>
      <c r="M683" s="412">
        <f>IFERROR(VLOOKUP(Table15[[#This Row],[ROUTE]],DEMAND!A:F,5,FALSE),0)</f>
        <v>0</v>
      </c>
      <c r="N683" s="16">
        <f>IFERROR(VLOOKUP(Table15[[#This Row],[ROUTE]],DEMAND!A:F,6,FALSE),0)</f>
        <v>0</v>
      </c>
      <c r="O683" s="16">
        <f>IFERROR(ROUNDDOWN(Table15[[#This Row],[R-DEMAND]]/1706,0),0)</f>
        <v>0</v>
      </c>
      <c r="P683" s="16">
        <f>IFERROR(Table15[[#This Row],[ADD ACC]]*Table15[[#This Row],[RT TIME 
(380-800)]],0)</f>
        <v>0</v>
      </c>
      <c r="Q683" s="415">
        <f>IFERROR(VLOOKUP(Table15[[#This Row],[ROUTE]],PRICING!A:B,2,FALSE),0)</f>
        <v>0</v>
      </c>
      <c r="R683" s="235">
        <f>IFERROR(Table15[[#This Row],[C_DEMAND]]-Table15[[#This Row],[R-DEMAND]],0)</f>
        <v>0</v>
      </c>
      <c r="S683" s="408">
        <f t="shared" si="10"/>
        <v>0</v>
      </c>
      <c r="T683" s="419">
        <f>Table15[[#This Row],[R-DEMAND]]-(Table15[[#This Row],[ADD ACC]]*1706)</f>
        <v>0</v>
      </c>
      <c r="U683" s="419">
        <f>ROUNDDOWN(Table15[[#This Row],[Column1]]/1360,0)</f>
        <v>0</v>
      </c>
      <c r="V683" s="419"/>
      <c r="W683" s="251">
        <v>9</v>
      </c>
      <c r="X683" s="251">
        <f>ROUNDDOWN(Table15[[#This Row],[R-DEMAND]]/1320,0)</f>
        <v>0</v>
      </c>
      <c r="Y683" s="251">
        <f>IFERROR(Table15[[#This Row],[ADD ACC
(660/1320)]]*Table15[[#This Row],[Duration
(B744)]],0)</f>
        <v>0</v>
      </c>
      <c r="Z683" s="251"/>
    </row>
    <row r="684" spans="1:26" ht="15.75" customHeight="1" x14ac:dyDescent="0.25">
      <c r="A684" s="210" t="s">
        <v>15874</v>
      </c>
      <c r="B684" s="204" t="s">
        <v>3939</v>
      </c>
      <c r="C684" s="204"/>
      <c r="D684" s="205">
        <v>2</v>
      </c>
      <c r="E684" s="204" t="s">
        <v>172</v>
      </c>
      <c r="F684" s="204" t="str">
        <f>VLOOKUP(E684,Table10[[COUNTRY NAME]:[CONTINENT CODE]],3,FALSE)</f>
        <v>AS</v>
      </c>
      <c r="G684" s="206" t="s">
        <v>9989</v>
      </c>
      <c r="H684" s="207">
        <v>3004</v>
      </c>
      <c r="I684" s="208">
        <v>8.75</v>
      </c>
      <c r="J684" s="345"/>
      <c r="K684" s="345">
        <f>IFERROR(Table15[[#This Row],[ROUTE $]]/Table15[[#This Row],[E - DEMAND]],0)</f>
        <v>0</v>
      </c>
      <c r="L684" s="204"/>
      <c r="M684" s="412">
        <f>IFERROR(VLOOKUP(Table15[[#This Row],[ROUTE]],DEMAND!A:F,5,FALSE),0)</f>
        <v>0</v>
      </c>
      <c r="N684" s="16">
        <f>IFERROR(VLOOKUP(Table15[[#This Row],[ROUTE]],DEMAND!A:F,6,FALSE),0)</f>
        <v>0</v>
      </c>
      <c r="O684" s="16">
        <f>IFERROR(ROUNDDOWN(Table15[[#This Row],[R-DEMAND]]/1706,0),0)</f>
        <v>0</v>
      </c>
      <c r="P684" s="16">
        <f>IFERROR(Table15[[#This Row],[ADD ACC]]*Table15[[#This Row],[RT TIME 
(380-800)]],0)</f>
        <v>0</v>
      </c>
      <c r="Q684" s="415">
        <f>IFERROR(VLOOKUP(Table15[[#This Row],[ROUTE]],PRICING!A:B,2,FALSE),0)</f>
        <v>0</v>
      </c>
      <c r="R684" s="235">
        <f>IFERROR(Table15[[#This Row],[C_DEMAND]]-Table15[[#This Row],[R-DEMAND]],0)</f>
        <v>0</v>
      </c>
      <c r="S684" s="408">
        <f t="shared" si="10"/>
        <v>0</v>
      </c>
      <c r="T684" s="419">
        <f>Table15[[#This Row],[R-DEMAND]]-(Table15[[#This Row],[ADD ACC]]*1706)</f>
        <v>0</v>
      </c>
      <c r="U684" s="419">
        <f>ROUNDDOWN(Table15[[#This Row],[Column1]]/1360,0)</f>
        <v>0</v>
      </c>
      <c r="V684" s="419"/>
      <c r="W684" s="251">
        <v>8.75</v>
      </c>
      <c r="X684" s="251">
        <f>ROUNDDOWN(Table15[[#This Row],[R-DEMAND]]/1320,0)</f>
        <v>0</v>
      </c>
      <c r="Y684" s="251">
        <f>IFERROR(Table15[[#This Row],[ADD ACC
(660/1320)]]*Table15[[#This Row],[Duration
(B744)]],0)</f>
        <v>0</v>
      </c>
      <c r="Z684" s="251"/>
    </row>
    <row r="685" spans="1:26" ht="15.75" customHeight="1" x14ac:dyDescent="0.25">
      <c r="A685" s="210" t="s">
        <v>15872</v>
      </c>
      <c r="B685" s="204" t="s">
        <v>1269</v>
      </c>
      <c r="C685" s="204"/>
      <c r="D685" s="205">
        <v>1</v>
      </c>
      <c r="E685" s="204" t="s">
        <v>172</v>
      </c>
      <c r="F685" s="204" t="str">
        <f>VLOOKUP(E685,Table10[[COUNTRY NAME]:[CONTINENT CODE]],3,FALSE)</f>
        <v>AS</v>
      </c>
      <c r="G685" s="206" t="s">
        <v>11934</v>
      </c>
      <c r="H685" s="207">
        <v>3022</v>
      </c>
      <c r="I685" s="208">
        <v>8.75</v>
      </c>
      <c r="J685" s="345"/>
      <c r="K685" s="345">
        <f>IFERROR(Table15[[#This Row],[ROUTE $]]/Table15[[#This Row],[E - DEMAND]],0)</f>
        <v>0</v>
      </c>
      <c r="L685" s="204"/>
      <c r="M685" s="412">
        <f>IFERROR(VLOOKUP(Table15[[#This Row],[ROUTE]],DEMAND!A:F,5,FALSE),0)</f>
        <v>0</v>
      </c>
      <c r="N685" s="16">
        <f>IFERROR(VLOOKUP(Table15[[#This Row],[ROUTE]],DEMAND!A:F,6,FALSE),0)</f>
        <v>0</v>
      </c>
      <c r="O685" s="16">
        <f>IFERROR(ROUNDDOWN(Table15[[#This Row],[R-DEMAND]]/1706,0),0)</f>
        <v>0</v>
      </c>
      <c r="P685" s="16">
        <f>IFERROR(Table15[[#This Row],[ADD ACC]]*Table15[[#This Row],[RT TIME 
(380-800)]],0)</f>
        <v>0</v>
      </c>
      <c r="Q685" s="415">
        <f>IFERROR(VLOOKUP(Table15[[#This Row],[ROUTE]],PRICING!A:B,2,FALSE),0)</f>
        <v>0</v>
      </c>
      <c r="R685" s="235">
        <f>IFERROR(Table15[[#This Row],[C_DEMAND]]-Table15[[#This Row],[R-DEMAND]],0)</f>
        <v>0</v>
      </c>
      <c r="S685" s="408">
        <f t="shared" si="10"/>
        <v>0</v>
      </c>
      <c r="T685" s="419">
        <f>Table15[[#This Row],[R-DEMAND]]-(Table15[[#This Row],[ADD ACC]]*1706)</f>
        <v>0</v>
      </c>
      <c r="U685" s="419">
        <f>ROUNDDOWN(Table15[[#This Row],[Column1]]/1360,0)</f>
        <v>0</v>
      </c>
      <c r="V685" s="419"/>
      <c r="W685" s="251">
        <v>8.75</v>
      </c>
      <c r="X685" s="251">
        <f>ROUNDDOWN(Table15[[#This Row],[R-DEMAND]]/1320,0)</f>
        <v>0</v>
      </c>
      <c r="Y685" s="251">
        <f>IFERROR(Table15[[#This Row],[ADD ACC
(660/1320)]]*Table15[[#This Row],[Duration
(B744)]],0)</f>
        <v>0</v>
      </c>
      <c r="Z685" s="251"/>
    </row>
    <row r="686" spans="1:26" ht="15.75" customHeight="1" x14ac:dyDescent="0.25">
      <c r="A686" s="210" t="s">
        <v>15876</v>
      </c>
      <c r="B686" s="204" t="s">
        <v>902</v>
      </c>
      <c r="C686" s="204"/>
      <c r="D686" s="205">
        <v>1</v>
      </c>
      <c r="E686" s="204" t="s">
        <v>172</v>
      </c>
      <c r="F686" s="204" t="str">
        <f>VLOOKUP(E686,Table10[[COUNTRY NAME]:[CONTINENT CODE]],3,FALSE)</f>
        <v>AS</v>
      </c>
      <c r="G686" s="206" t="s">
        <v>11935</v>
      </c>
      <c r="H686" s="207">
        <v>2947</v>
      </c>
      <c r="I686" s="208">
        <v>8.75</v>
      </c>
      <c r="J686" s="345"/>
      <c r="K686" s="345">
        <f>IFERROR(Table15[[#This Row],[ROUTE $]]/Table15[[#This Row],[E - DEMAND]],0)</f>
        <v>0</v>
      </c>
      <c r="L686" s="204"/>
      <c r="M686" s="412">
        <f>IFERROR(VLOOKUP(Table15[[#This Row],[ROUTE]],DEMAND!A:F,5,FALSE),0)</f>
        <v>0</v>
      </c>
      <c r="N686" s="16">
        <f>IFERROR(VLOOKUP(Table15[[#This Row],[ROUTE]],DEMAND!A:F,6,FALSE),0)</f>
        <v>0</v>
      </c>
      <c r="O686" s="16">
        <f>IFERROR(ROUNDDOWN(Table15[[#This Row],[R-DEMAND]]/1706,0),0)</f>
        <v>0</v>
      </c>
      <c r="P686" s="16">
        <f>IFERROR(Table15[[#This Row],[ADD ACC]]*Table15[[#This Row],[RT TIME 
(380-800)]],0)</f>
        <v>0</v>
      </c>
      <c r="Q686" s="415">
        <f>IFERROR(VLOOKUP(Table15[[#This Row],[ROUTE]],PRICING!A:B,2,FALSE),0)</f>
        <v>0</v>
      </c>
      <c r="R686" s="235">
        <f>IFERROR(Table15[[#This Row],[C_DEMAND]]-Table15[[#This Row],[R-DEMAND]],0)</f>
        <v>0</v>
      </c>
      <c r="S686" s="408">
        <f t="shared" si="10"/>
        <v>0</v>
      </c>
      <c r="T686" s="419">
        <f>Table15[[#This Row],[R-DEMAND]]-(Table15[[#This Row],[ADD ACC]]*1706)</f>
        <v>0</v>
      </c>
      <c r="U686" s="419">
        <f>ROUNDDOWN(Table15[[#This Row],[Column1]]/1360,0)</f>
        <v>0</v>
      </c>
      <c r="V686" s="419"/>
      <c r="W686" s="251">
        <v>8.75</v>
      </c>
      <c r="X686" s="251">
        <f>ROUNDDOWN(Table15[[#This Row],[R-DEMAND]]/1320,0)</f>
        <v>0</v>
      </c>
      <c r="Y686" s="251">
        <f>IFERROR(Table15[[#This Row],[ADD ACC
(660/1320)]]*Table15[[#This Row],[Duration
(B744)]],0)</f>
        <v>0</v>
      </c>
      <c r="Z686" s="251"/>
    </row>
    <row r="687" spans="1:26" ht="15.75" customHeight="1" x14ac:dyDescent="0.25">
      <c r="A687" s="210" t="s">
        <v>15877</v>
      </c>
      <c r="B687" s="204" t="s">
        <v>4543</v>
      </c>
      <c r="C687" s="204"/>
      <c r="D687" s="205">
        <v>2</v>
      </c>
      <c r="E687" s="204" t="s">
        <v>172</v>
      </c>
      <c r="F687" s="204" t="str">
        <f>VLOOKUP(E687,Table10[[COUNTRY NAME]:[CONTINENT CODE]],3,FALSE)</f>
        <v>AS</v>
      </c>
      <c r="G687" s="206" t="s">
        <v>11936</v>
      </c>
      <c r="H687" s="207">
        <v>2902</v>
      </c>
      <c r="I687" s="208">
        <v>8.5</v>
      </c>
      <c r="J687" s="345"/>
      <c r="K687" s="345">
        <f>IFERROR(Table15[[#This Row],[ROUTE $]]/Table15[[#This Row],[E - DEMAND]],0)</f>
        <v>0</v>
      </c>
      <c r="L687" s="204"/>
      <c r="M687" s="412">
        <f>IFERROR(VLOOKUP(Table15[[#This Row],[ROUTE]],DEMAND!A:F,5,FALSE),0)</f>
        <v>0</v>
      </c>
      <c r="N687" s="16">
        <f>IFERROR(VLOOKUP(Table15[[#This Row],[ROUTE]],DEMAND!A:F,6,FALSE),0)</f>
        <v>0</v>
      </c>
      <c r="O687" s="16">
        <f>IFERROR(ROUNDDOWN(Table15[[#This Row],[R-DEMAND]]/1706,0),0)</f>
        <v>0</v>
      </c>
      <c r="P687" s="16">
        <f>IFERROR(Table15[[#This Row],[ADD ACC]]*Table15[[#This Row],[RT TIME 
(380-800)]],0)</f>
        <v>0</v>
      </c>
      <c r="Q687" s="415">
        <f>IFERROR(VLOOKUP(Table15[[#This Row],[ROUTE]],PRICING!A:B,2,FALSE),0)</f>
        <v>0</v>
      </c>
      <c r="R687" s="235">
        <f>IFERROR(Table15[[#This Row],[C_DEMAND]]-Table15[[#This Row],[R-DEMAND]],0)</f>
        <v>0</v>
      </c>
      <c r="S687" s="408">
        <f t="shared" si="10"/>
        <v>0</v>
      </c>
      <c r="T687" s="419">
        <f>Table15[[#This Row],[R-DEMAND]]-(Table15[[#This Row],[ADD ACC]]*1706)</f>
        <v>0</v>
      </c>
      <c r="U687" s="419">
        <f>ROUNDDOWN(Table15[[#This Row],[Column1]]/1360,0)</f>
        <v>0</v>
      </c>
      <c r="V687" s="419"/>
      <c r="W687" s="251">
        <v>8.5</v>
      </c>
      <c r="X687" s="251">
        <f>ROUNDDOWN(Table15[[#This Row],[R-DEMAND]]/1320,0)</f>
        <v>0</v>
      </c>
      <c r="Y687" s="251">
        <f>IFERROR(Table15[[#This Row],[ADD ACC
(660/1320)]]*Table15[[#This Row],[Duration
(B744)]],0)</f>
        <v>0</v>
      </c>
      <c r="Z687" s="251"/>
    </row>
    <row r="688" spans="1:26" ht="15.75" customHeight="1" x14ac:dyDescent="0.25">
      <c r="A688" s="210" t="s">
        <v>15878</v>
      </c>
      <c r="B688" s="204" t="s">
        <v>2653</v>
      </c>
      <c r="C688" s="204"/>
      <c r="D688" s="205">
        <v>2</v>
      </c>
      <c r="E688" s="204" t="s">
        <v>172</v>
      </c>
      <c r="F688" s="204" t="str">
        <f>VLOOKUP(E688,Table10[[COUNTRY NAME]:[CONTINENT CODE]],3,FALSE)</f>
        <v>AS</v>
      </c>
      <c r="G688" s="206" t="s">
        <v>11943</v>
      </c>
      <c r="H688" s="207">
        <v>2896</v>
      </c>
      <c r="I688" s="208">
        <v>8.5</v>
      </c>
      <c r="J688" s="345"/>
      <c r="K688" s="345">
        <f>IFERROR(Table15[[#This Row],[ROUTE $]]/Table15[[#This Row],[E - DEMAND]],0)</f>
        <v>0</v>
      </c>
      <c r="L688" s="204"/>
      <c r="M688" s="412">
        <f>IFERROR(VLOOKUP(Table15[[#This Row],[ROUTE]],DEMAND!A:F,5,FALSE),0)</f>
        <v>0</v>
      </c>
      <c r="N688" s="16">
        <f>IFERROR(VLOOKUP(Table15[[#This Row],[ROUTE]],DEMAND!A:F,6,FALSE),0)</f>
        <v>0</v>
      </c>
      <c r="O688" s="16">
        <f>IFERROR(ROUNDDOWN(Table15[[#This Row],[R-DEMAND]]/1706,0),0)</f>
        <v>0</v>
      </c>
      <c r="P688" s="16">
        <f>IFERROR(Table15[[#This Row],[ADD ACC]]*Table15[[#This Row],[RT TIME 
(380-800)]],0)</f>
        <v>0</v>
      </c>
      <c r="Q688" s="415">
        <f>IFERROR(VLOOKUP(Table15[[#This Row],[ROUTE]],PRICING!A:B,2,FALSE),0)</f>
        <v>0</v>
      </c>
      <c r="R688" s="235">
        <f>IFERROR(Table15[[#This Row],[C_DEMAND]]-Table15[[#This Row],[R-DEMAND]],0)</f>
        <v>0</v>
      </c>
      <c r="S688" s="408">
        <f t="shared" si="10"/>
        <v>0</v>
      </c>
      <c r="T688" s="419">
        <f>Table15[[#This Row],[R-DEMAND]]-(Table15[[#This Row],[ADD ACC]]*1706)</f>
        <v>0</v>
      </c>
      <c r="U688" s="419">
        <f>ROUNDDOWN(Table15[[#This Row],[Column1]]/1360,0)</f>
        <v>0</v>
      </c>
      <c r="V688" s="419"/>
      <c r="W688" s="251">
        <v>8.5</v>
      </c>
      <c r="X688" s="251">
        <f>ROUNDDOWN(Table15[[#This Row],[R-DEMAND]]/1320,0)</f>
        <v>0</v>
      </c>
      <c r="Y688" s="251">
        <f>IFERROR(Table15[[#This Row],[ADD ACC
(660/1320)]]*Table15[[#This Row],[Duration
(B744)]],0)</f>
        <v>0</v>
      </c>
      <c r="Z688" s="251"/>
    </row>
    <row r="689" spans="1:26" ht="15.75" customHeight="1" x14ac:dyDescent="0.25">
      <c r="A689" s="210" t="s">
        <v>15881</v>
      </c>
      <c r="B689" s="204" t="s">
        <v>3165</v>
      </c>
      <c r="C689" s="204"/>
      <c r="D689" s="205">
        <v>2</v>
      </c>
      <c r="E689" s="16" t="s">
        <v>11732</v>
      </c>
      <c r="F689" s="204" t="str">
        <f>VLOOKUP(E689,Table10[[COUNTRY NAME]:[CONTINENT CODE]],3,FALSE)</f>
        <v>NA - US</v>
      </c>
      <c r="G689" s="206" t="s">
        <v>11937</v>
      </c>
      <c r="H689" s="207">
        <v>2836</v>
      </c>
      <c r="I689" s="208">
        <v>8.5</v>
      </c>
      <c r="J689" s="345"/>
      <c r="K689" s="345">
        <f>IFERROR(Table15[[#This Row],[ROUTE $]]/Table15[[#This Row],[E - DEMAND]],0)</f>
        <v>0</v>
      </c>
      <c r="L689" s="204"/>
      <c r="M689" s="412">
        <f>IFERROR(VLOOKUP(Table15[[#This Row],[ROUTE]],DEMAND!A:F,5,FALSE),0)</f>
        <v>0</v>
      </c>
      <c r="N689" s="16">
        <f>IFERROR(VLOOKUP(Table15[[#This Row],[ROUTE]],DEMAND!A:F,6,FALSE),0)</f>
        <v>0</v>
      </c>
      <c r="O689" s="16">
        <f>IFERROR(ROUNDDOWN(Table15[[#This Row],[R-DEMAND]]/1706,0),0)</f>
        <v>0</v>
      </c>
      <c r="P689" s="16">
        <f>IFERROR(Table15[[#This Row],[ADD ACC]]*Table15[[#This Row],[RT TIME 
(380-800)]],0)</f>
        <v>0</v>
      </c>
      <c r="Q689" s="415">
        <f>IFERROR(VLOOKUP(Table15[[#This Row],[ROUTE]],PRICING!A:B,2,FALSE),0)</f>
        <v>0</v>
      </c>
      <c r="R689" s="235">
        <f>IFERROR(Table15[[#This Row],[C_DEMAND]]-Table15[[#This Row],[R-DEMAND]],0)</f>
        <v>0</v>
      </c>
      <c r="S689" s="408">
        <f t="shared" si="10"/>
        <v>0</v>
      </c>
      <c r="T689" s="419">
        <f>Table15[[#This Row],[R-DEMAND]]-(Table15[[#This Row],[ADD ACC]]*1706)</f>
        <v>0</v>
      </c>
      <c r="U689" s="419">
        <f>ROUNDDOWN(Table15[[#This Row],[Column1]]/1360,0)</f>
        <v>0</v>
      </c>
      <c r="V689" s="419"/>
      <c r="W689" s="251">
        <v>8.5</v>
      </c>
      <c r="X689" s="251">
        <f>ROUNDDOWN(Table15[[#This Row],[R-DEMAND]]/1320,0)</f>
        <v>0</v>
      </c>
      <c r="Y689" s="251">
        <f>IFERROR(Table15[[#This Row],[ADD ACC
(660/1320)]]*Table15[[#This Row],[Duration
(B744)]],0)</f>
        <v>0</v>
      </c>
      <c r="Z689" s="251"/>
    </row>
    <row r="690" spans="1:26" ht="15.75" customHeight="1" x14ac:dyDescent="0.25">
      <c r="A690" s="210" t="s">
        <v>15888</v>
      </c>
      <c r="B690" s="204" t="s">
        <v>5483</v>
      </c>
      <c r="C690" s="204"/>
      <c r="D690" s="205">
        <v>4</v>
      </c>
      <c r="E690" s="204" t="s">
        <v>5481</v>
      </c>
      <c r="F690" s="204" t="str">
        <f>VLOOKUP(E690,Table10[[COUNTRY NAME]:[CONTINENT CODE]],3,FALSE)</f>
        <v>AS</v>
      </c>
      <c r="G690" s="206" t="s">
        <v>11068</v>
      </c>
      <c r="H690" s="207">
        <v>2759</v>
      </c>
      <c r="I690" s="208">
        <v>8.25</v>
      </c>
      <c r="J690" s="345"/>
      <c r="K690" s="345">
        <f>IFERROR(Table15[[#This Row],[ROUTE $]]/Table15[[#This Row],[E - DEMAND]],0)</f>
        <v>0</v>
      </c>
      <c r="L690" s="204"/>
      <c r="M690" s="412">
        <f>IFERROR(VLOOKUP(Table15[[#This Row],[ROUTE]],DEMAND!A:F,5,FALSE),0)</f>
        <v>0</v>
      </c>
      <c r="N690" s="16">
        <f>IFERROR(VLOOKUP(Table15[[#This Row],[ROUTE]],DEMAND!A:F,6,FALSE),0)</f>
        <v>0</v>
      </c>
      <c r="O690" s="16">
        <f>IFERROR(ROUNDDOWN(Table15[[#This Row],[R-DEMAND]]/1706,0),0)</f>
        <v>0</v>
      </c>
      <c r="P690" s="16">
        <f>IFERROR(Table15[[#This Row],[ADD ACC]]*Table15[[#This Row],[RT TIME 
(380-800)]],0)</f>
        <v>0</v>
      </c>
      <c r="Q690" s="415">
        <f>IFERROR(VLOOKUP(Table15[[#This Row],[ROUTE]],PRICING!A:B,2,FALSE),0)</f>
        <v>0</v>
      </c>
      <c r="R690" s="235">
        <f>IFERROR(Table15[[#This Row],[C_DEMAND]]-Table15[[#This Row],[R-DEMAND]],0)</f>
        <v>0</v>
      </c>
      <c r="S690" s="408">
        <f t="shared" si="10"/>
        <v>0</v>
      </c>
      <c r="T690" s="419">
        <f>Table15[[#This Row],[R-DEMAND]]-(Table15[[#This Row],[ADD ACC]]*1706)</f>
        <v>0</v>
      </c>
      <c r="U690" s="419">
        <f>ROUNDDOWN(Table15[[#This Row],[Column1]]/1360,0)</f>
        <v>0</v>
      </c>
      <c r="V690" s="419"/>
      <c r="W690" s="251">
        <v>8.25</v>
      </c>
      <c r="X690" s="251">
        <f>ROUNDDOWN(Table15[[#This Row],[R-DEMAND]]/1320,0)</f>
        <v>0</v>
      </c>
      <c r="Y690" s="251">
        <f>IFERROR(Table15[[#This Row],[ADD ACC
(660/1320)]]*Table15[[#This Row],[Duration
(B744)]],0)</f>
        <v>0</v>
      </c>
      <c r="Z690" s="251"/>
    </row>
    <row r="691" spans="1:26" ht="15.75" customHeight="1" x14ac:dyDescent="0.25">
      <c r="A691" s="210" t="s">
        <v>15891</v>
      </c>
      <c r="B691" s="204" t="s">
        <v>5253</v>
      </c>
      <c r="C691" s="204"/>
      <c r="D691" s="205">
        <v>3</v>
      </c>
      <c r="E691" s="204" t="s">
        <v>588</v>
      </c>
      <c r="F691" s="204" t="str">
        <f>VLOOKUP(E691,Table10[[COUNTRY NAME]:[CONTINENT CODE]],3,FALSE)</f>
        <v>EU</v>
      </c>
      <c r="G691" s="210" t="s">
        <v>11991</v>
      </c>
      <c r="H691" s="207">
        <v>2726</v>
      </c>
      <c r="I691" s="208">
        <v>8.25</v>
      </c>
      <c r="J691" s="345"/>
      <c r="K691" s="345">
        <f>IFERROR(Table15[[#This Row],[ROUTE $]]/Table15[[#This Row],[E - DEMAND]],0)</f>
        <v>0</v>
      </c>
      <c r="L691" s="204"/>
      <c r="M691" s="412">
        <f>IFERROR(VLOOKUP(Table15[[#This Row],[ROUTE]],DEMAND!A:F,5,FALSE),0)</f>
        <v>0</v>
      </c>
      <c r="N691" s="16">
        <f>IFERROR(VLOOKUP(Table15[[#This Row],[ROUTE]],DEMAND!A:F,6,FALSE),0)</f>
        <v>0</v>
      </c>
      <c r="O691" s="16">
        <f>IFERROR(ROUNDDOWN(Table15[[#This Row],[R-DEMAND]]/1706,0),0)</f>
        <v>0</v>
      </c>
      <c r="P691" s="16">
        <f>IFERROR(Table15[[#This Row],[ADD ACC]]*Table15[[#This Row],[RT TIME 
(380-800)]],0)</f>
        <v>0</v>
      </c>
      <c r="Q691" s="415">
        <f>IFERROR(VLOOKUP(Table15[[#This Row],[ROUTE]],PRICING!A:B,2,FALSE),0)</f>
        <v>0</v>
      </c>
      <c r="R691" s="235">
        <f>IFERROR(Table15[[#This Row],[C_DEMAND]]-Table15[[#This Row],[R-DEMAND]],0)</f>
        <v>0</v>
      </c>
      <c r="S691" s="408">
        <f t="shared" si="10"/>
        <v>0</v>
      </c>
      <c r="T691" s="419">
        <f>Table15[[#This Row],[R-DEMAND]]-(Table15[[#This Row],[ADD ACC]]*1706)</f>
        <v>0</v>
      </c>
      <c r="U691" s="419">
        <f>ROUNDDOWN(Table15[[#This Row],[Column1]]/1360,0)</f>
        <v>0</v>
      </c>
      <c r="V691" s="419"/>
      <c r="W691" s="251">
        <v>8.25</v>
      </c>
      <c r="X691" s="251">
        <f>ROUNDDOWN(Table15[[#This Row],[R-DEMAND]]/1320,0)</f>
        <v>0</v>
      </c>
      <c r="Y691" s="251">
        <f>IFERROR(Table15[[#This Row],[ADD ACC
(660/1320)]]*Table15[[#This Row],[Duration
(B744)]],0)</f>
        <v>0</v>
      </c>
      <c r="Z691" s="251"/>
    </row>
    <row r="692" spans="1:26" ht="15.75" customHeight="1" x14ac:dyDescent="0.25">
      <c r="A692" s="210" t="s">
        <v>15892</v>
      </c>
      <c r="B692" s="204" t="s">
        <v>2557</v>
      </c>
      <c r="C692" s="204"/>
      <c r="D692" s="205">
        <v>2</v>
      </c>
      <c r="E692" s="204" t="s">
        <v>172</v>
      </c>
      <c r="F692" s="204" t="str">
        <f>VLOOKUP(E692,Table10[[COUNTRY NAME]:[CONTINENT CODE]],3,FALSE)</f>
        <v>AS</v>
      </c>
      <c r="G692" s="206" t="s">
        <v>11955</v>
      </c>
      <c r="H692" s="207">
        <v>2722</v>
      </c>
      <c r="I692" s="208">
        <v>8.25</v>
      </c>
      <c r="J692" s="345"/>
      <c r="K692" s="345">
        <f>IFERROR(Table15[[#This Row],[ROUTE $]]/Table15[[#This Row],[E - DEMAND]],0)</f>
        <v>0</v>
      </c>
      <c r="L692" s="204"/>
      <c r="M692" s="412">
        <f>IFERROR(VLOOKUP(Table15[[#This Row],[ROUTE]],DEMAND!A:F,5,FALSE),0)</f>
        <v>0</v>
      </c>
      <c r="N692" s="16">
        <f>IFERROR(VLOOKUP(Table15[[#This Row],[ROUTE]],DEMAND!A:F,6,FALSE),0)</f>
        <v>0</v>
      </c>
      <c r="O692" s="16">
        <f>IFERROR(ROUNDDOWN(Table15[[#This Row],[R-DEMAND]]/1706,0),0)</f>
        <v>0</v>
      </c>
      <c r="P692" s="16">
        <f>IFERROR(Table15[[#This Row],[ADD ACC]]*Table15[[#This Row],[RT TIME 
(380-800)]],0)</f>
        <v>0</v>
      </c>
      <c r="Q692" s="415">
        <f>IFERROR(VLOOKUP(Table15[[#This Row],[ROUTE]],PRICING!A:B,2,FALSE),0)</f>
        <v>0</v>
      </c>
      <c r="R692" s="235">
        <f>IFERROR(Table15[[#This Row],[C_DEMAND]]-Table15[[#This Row],[R-DEMAND]],0)</f>
        <v>0</v>
      </c>
      <c r="S692" s="408">
        <f t="shared" si="10"/>
        <v>0</v>
      </c>
      <c r="T692" s="419">
        <f>Table15[[#This Row],[R-DEMAND]]-(Table15[[#This Row],[ADD ACC]]*1706)</f>
        <v>0</v>
      </c>
      <c r="U692" s="419">
        <f>ROUNDDOWN(Table15[[#This Row],[Column1]]/1360,0)</f>
        <v>0</v>
      </c>
      <c r="V692" s="419"/>
      <c r="W692" s="251">
        <v>8.25</v>
      </c>
      <c r="X692" s="251">
        <f>ROUNDDOWN(Table15[[#This Row],[R-DEMAND]]/1320,0)</f>
        <v>0</v>
      </c>
      <c r="Y692" s="251">
        <f>IFERROR(Table15[[#This Row],[ADD ACC
(660/1320)]]*Table15[[#This Row],[Duration
(B744)]],0)</f>
        <v>0</v>
      </c>
      <c r="Z692" s="251"/>
    </row>
    <row r="693" spans="1:26" ht="15.75" customHeight="1" x14ac:dyDescent="0.25">
      <c r="A693" s="210" t="s">
        <v>15893</v>
      </c>
      <c r="B693" s="204" t="s">
        <v>4239</v>
      </c>
      <c r="C693" s="204"/>
      <c r="D693" s="205">
        <v>2</v>
      </c>
      <c r="E693" s="204" t="s">
        <v>3265</v>
      </c>
      <c r="F693" s="204" t="str">
        <f>VLOOKUP(E693,Table10[[COUNTRY NAME]:[CONTINENT CODE]],3,FALSE)</f>
        <v>AS</v>
      </c>
      <c r="G693" s="206" t="s">
        <v>11985</v>
      </c>
      <c r="H693" s="207">
        <v>2670</v>
      </c>
      <c r="I693" s="208">
        <v>8</v>
      </c>
      <c r="J693" s="345"/>
      <c r="K693" s="345">
        <f>IFERROR(Table15[[#This Row],[ROUTE $]]/Table15[[#This Row],[E - DEMAND]],0)</f>
        <v>0</v>
      </c>
      <c r="L693" s="204"/>
      <c r="M693" s="412">
        <f>IFERROR(VLOOKUP(Table15[[#This Row],[ROUTE]],DEMAND!A:F,5,FALSE),0)</f>
        <v>0</v>
      </c>
      <c r="N693" s="16">
        <f>IFERROR(VLOOKUP(Table15[[#This Row],[ROUTE]],DEMAND!A:F,6,FALSE),0)</f>
        <v>0</v>
      </c>
      <c r="O693" s="16">
        <f>IFERROR(ROUNDDOWN(Table15[[#This Row],[R-DEMAND]]/1706,0),0)</f>
        <v>0</v>
      </c>
      <c r="P693" s="16">
        <f>IFERROR(Table15[[#This Row],[ADD ACC]]*Table15[[#This Row],[RT TIME 
(380-800)]],0)</f>
        <v>0</v>
      </c>
      <c r="Q693" s="415">
        <f>IFERROR(VLOOKUP(Table15[[#This Row],[ROUTE]],PRICING!A:B,2,FALSE),0)</f>
        <v>0</v>
      </c>
      <c r="R693" s="235">
        <f>IFERROR(Table15[[#This Row],[C_DEMAND]]-Table15[[#This Row],[R-DEMAND]],0)</f>
        <v>0</v>
      </c>
      <c r="S693" s="408">
        <f t="shared" si="10"/>
        <v>0</v>
      </c>
      <c r="T693" s="419">
        <f>Table15[[#This Row],[R-DEMAND]]-(Table15[[#This Row],[ADD ACC]]*1706)</f>
        <v>0</v>
      </c>
      <c r="U693" s="419">
        <f>ROUNDDOWN(Table15[[#This Row],[Column1]]/1360,0)</f>
        <v>0</v>
      </c>
      <c r="V693" s="419"/>
      <c r="W693" s="251">
        <v>8</v>
      </c>
      <c r="X693" s="251">
        <f>ROUNDDOWN(Table15[[#This Row],[R-DEMAND]]/1320,0)</f>
        <v>0</v>
      </c>
      <c r="Y693" s="251">
        <f>IFERROR(Table15[[#This Row],[ADD ACC
(660/1320)]]*Table15[[#This Row],[Duration
(B744)]],0)</f>
        <v>0</v>
      </c>
      <c r="Z693" s="251"/>
    </row>
    <row r="694" spans="1:26" ht="15.75" customHeight="1" x14ac:dyDescent="0.25">
      <c r="A694" s="210" t="s">
        <v>15900</v>
      </c>
      <c r="B694" s="204" t="s">
        <v>4969</v>
      </c>
      <c r="C694" s="204"/>
      <c r="D694" s="205">
        <v>3</v>
      </c>
      <c r="E694" s="204" t="s">
        <v>2764</v>
      </c>
      <c r="F694" s="204" t="str">
        <f>VLOOKUP(E694,Table10[[COUNTRY NAME]:[CONTINENT CODE]],3,FALSE)</f>
        <v>AS</v>
      </c>
      <c r="G694" s="206" t="s">
        <v>11981</v>
      </c>
      <c r="H694" s="207">
        <v>2489</v>
      </c>
      <c r="I694" s="208">
        <v>7.75</v>
      </c>
      <c r="J694" s="345"/>
      <c r="K694" s="345">
        <f>IFERROR(Table15[[#This Row],[ROUTE $]]/Table15[[#This Row],[E - DEMAND]],0)</f>
        <v>0</v>
      </c>
      <c r="L694" s="204"/>
      <c r="M694" s="412">
        <f>IFERROR(VLOOKUP(Table15[[#This Row],[ROUTE]],DEMAND!A:F,5,FALSE),0)</f>
        <v>0</v>
      </c>
      <c r="N694" s="16">
        <f>IFERROR(VLOOKUP(Table15[[#This Row],[ROUTE]],DEMAND!A:F,6,FALSE),0)</f>
        <v>0</v>
      </c>
      <c r="O694" s="16">
        <f>IFERROR(ROUNDDOWN(Table15[[#This Row],[R-DEMAND]]/1706,0),0)</f>
        <v>0</v>
      </c>
      <c r="P694" s="16">
        <f>IFERROR(Table15[[#This Row],[ADD ACC]]*Table15[[#This Row],[RT TIME 
(380-800)]],0)</f>
        <v>0</v>
      </c>
      <c r="Q694" s="415">
        <f>IFERROR(VLOOKUP(Table15[[#This Row],[ROUTE]],PRICING!A:B,2,FALSE),0)</f>
        <v>0</v>
      </c>
      <c r="R694" s="235">
        <f>IFERROR(Table15[[#This Row],[C_DEMAND]]-Table15[[#This Row],[R-DEMAND]],0)</f>
        <v>0</v>
      </c>
      <c r="S694" s="408">
        <f t="shared" si="10"/>
        <v>0</v>
      </c>
      <c r="T694" s="419">
        <f>Table15[[#This Row],[R-DEMAND]]-(Table15[[#This Row],[ADD ACC]]*1706)</f>
        <v>0</v>
      </c>
      <c r="U694" s="419">
        <f>ROUNDDOWN(Table15[[#This Row],[Column1]]/1360,0)</f>
        <v>0</v>
      </c>
      <c r="V694" s="419"/>
      <c r="W694" s="251">
        <v>7.75</v>
      </c>
      <c r="X694" s="251">
        <f>ROUNDDOWN(Table15[[#This Row],[R-DEMAND]]/1320,0)</f>
        <v>0</v>
      </c>
      <c r="Y694" s="251">
        <f>IFERROR(Table15[[#This Row],[ADD ACC
(660/1320)]]*Table15[[#This Row],[Duration
(B744)]],0)</f>
        <v>0</v>
      </c>
      <c r="Z694" s="251"/>
    </row>
    <row r="695" spans="1:26" ht="15.75" customHeight="1" x14ac:dyDescent="0.25">
      <c r="A695" s="210" t="s">
        <v>15897</v>
      </c>
      <c r="B695" s="204" t="s">
        <v>4499</v>
      </c>
      <c r="C695" s="204"/>
      <c r="D695" s="205">
        <v>2</v>
      </c>
      <c r="E695" s="204" t="s">
        <v>4497</v>
      </c>
      <c r="F695" s="204" t="str">
        <f>VLOOKUP(E695,Table10[[COUNTRY NAME]:[CONTINENT CODE]],3,FALSE)</f>
        <v>AS</v>
      </c>
      <c r="G695" s="206" t="s">
        <v>11958</v>
      </c>
      <c r="H695" s="207">
        <v>2527</v>
      </c>
      <c r="I695" s="208">
        <v>7.75</v>
      </c>
      <c r="J695" s="345"/>
      <c r="K695" s="345">
        <f>IFERROR(Table15[[#This Row],[ROUTE $]]/Table15[[#This Row],[E - DEMAND]],0)</f>
        <v>0</v>
      </c>
      <c r="L695" s="204"/>
      <c r="M695" s="412">
        <f>IFERROR(VLOOKUP(Table15[[#This Row],[ROUTE]],DEMAND!A:F,5,FALSE),0)</f>
        <v>0</v>
      </c>
      <c r="N695" s="16">
        <f>IFERROR(VLOOKUP(Table15[[#This Row],[ROUTE]],DEMAND!A:F,6,FALSE),0)</f>
        <v>0</v>
      </c>
      <c r="O695" s="16">
        <f>IFERROR(ROUNDDOWN(Table15[[#This Row],[R-DEMAND]]/1706,0),0)</f>
        <v>0</v>
      </c>
      <c r="P695" s="16">
        <f>IFERROR(Table15[[#This Row],[ADD ACC]]*Table15[[#This Row],[RT TIME 
(380-800)]],0)</f>
        <v>0</v>
      </c>
      <c r="Q695" s="415">
        <f>IFERROR(VLOOKUP(Table15[[#This Row],[ROUTE]],PRICING!A:B,2,FALSE),0)</f>
        <v>0</v>
      </c>
      <c r="R695" s="235">
        <f>IFERROR(Table15[[#This Row],[C_DEMAND]]-Table15[[#This Row],[R-DEMAND]],0)</f>
        <v>0</v>
      </c>
      <c r="S695" s="408">
        <f t="shared" si="10"/>
        <v>0</v>
      </c>
      <c r="T695" s="419">
        <f>Table15[[#This Row],[R-DEMAND]]-(Table15[[#This Row],[ADD ACC]]*1706)</f>
        <v>0</v>
      </c>
      <c r="U695" s="419">
        <f>ROUNDDOWN(Table15[[#This Row],[Column1]]/1360,0)</f>
        <v>0</v>
      </c>
      <c r="V695" s="419"/>
      <c r="W695" s="251">
        <v>7.75</v>
      </c>
      <c r="X695" s="251">
        <f>ROUNDDOWN(Table15[[#This Row],[R-DEMAND]]/1320,0)</f>
        <v>0</v>
      </c>
      <c r="Y695" s="251">
        <f>IFERROR(Table15[[#This Row],[ADD ACC
(660/1320)]]*Table15[[#This Row],[Duration
(B744)]],0)</f>
        <v>0</v>
      </c>
      <c r="Z695" s="251"/>
    </row>
    <row r="696" spans="1:26" ht="15.75" customHeight="1" x14ac:dyDescent="0.25">
      <c r="A696" s="210" t="s">
        <v>15896</v>
      </c>
      <c r="B696" s="204" t="s">
        <v>3078</v>
      </c>
      <c r="C696" s="204"/>
      <c r="D696" s="205">
        <v>2</v>
      </c>
      <c r="E696" s="204" t="s">
        <v>1289</v>
      </c>
      <c r="F696" s="204" t="str">
        <f>VLOOKUP(E696,Table10[[COUNTRY NAME]:[CONTINENT CODE]],3,FALSE)</f>
        <v>AS</v>
      </c>
      <c r="G696" s="206" t="s">
        <v>11968</v>
      </c>
      <c r="H696" s="207">
        <v>2546</v>
      </c>
      <c r="I696" s="208">
        <v>7.75</v>
      </c>
      <c r="J696" s="345"/>
      <c r="K696" s="345">
        <f>IFERROR(Table15[[#This Row],[ROUTE $]]/Table15[[#This Row],[E - DEMAND]],0)</f>
        <v>0</v>
      </c>
      <c r="L696" s="204"/>
      <c r="M696" s="412">
        <f>IFERROR(VLOOKUP(Table15[[#This Row],[ROUTE]],DEMAND!A:F,5,FALSE),0)</f>
        <v>0</v>
      </c>
      <c r="N696" s="16">
        <f>IFERROR(VLOOKUP(Table15[[#This Row],[ROUTE]],DEMAND!A:F,6,FALSE),0)</f>
        <v>0</v>
      </c>
      <c r="O696" s="16">
        <f>IFERROR(ROUNDDOWN(Table15[[#This Row],[R-DEMAND]]/1706,0),0)</f>
        <v>0</v>
      </c>
      <c r="P696" s="16">
        <f>IFERROR(Table15[[#This Row],[ADD ACC]]*Table15[[#This Row],[RT TIME 
(380-800)]],0)</f>
        <v>0</v>
      </c>
      <c r="Q696" s="415">
        <f>IFERROR(VLOOKUP(Table15[[#This Row],[ROUTE]],PRICING!A:B,2,FALSE),0)</f>
        <v>0</v>
      </c>
      <c r="R696" s="235">
        <f>IFERROR(Table15[[#This Row],[C_DEMAND]]-Table15[[#This Row],[R-DEMAND]],0)</f>
        <v>0</v>
      </c>
      <c r="S696" s="408">
        <f t="shared" si="10"/>
        <v>0</v>
      </c>
      <c r="T696" s="419">
        <f>Table15[[#This Row],[R-DEMAND]]-(Table15[[#This Row],[ADD ACC]]*1706)</f>
        <v>0</v>
      </c>
      <c r="U696" s="419">
        <f>ROUNDDOWN(Table15[[#This Row],[Column1]]/1360,0)</f>
        <v>0</v>
      </c>
      <c r="V696" s="419"/>
      <c r="W696" s="251">
        <v>7.75</v>
      </c>
      <c r="X696" s="251">
        <f>ROUNDDOWN(Table15[[#This Row],[R-DEMAND]]/1320,0)</f>
        <v>0</v>
      </c>
      <c r="Y696" s="251">
        <f>IFERROR(Table15[[#This Row],[ADD ACC
(660/1320)]]*Table15[[#This Row],[Duration
(B744)]],0)</f>
        <v>0</v>
      </c>
      <c r="Z696" s="251"/>
    </row>
    <row r="697" spans="1:26" ht="15.75" customHeight="1" x14ac:dyDescent="0.25">
      <c r="A697" s="210" t="s">
        <v>15898</v>
      </c>
      <c r="B697" s="204" t="s">
        <v>1703</v>
      </c>
      <c r="C697" s="204"/>
      <c r="D697" s="205">
        <v>1</v>
      </c>
      <c r="E697" s="204" t="s">
        <v>172</v>
      </c>
      <c r="F697" s="204" t="str">
        <f>VLOOKUP(E697,Table10[[COUNTRY NAME]:[CONTINENT CODE]],3,FALSE)</f>
        <v>AS</v>
      </c>
      <c r="G697" s="206" t="s">
        <v>11952</v>
      </c>
      <c r="H697" s="207">
        <v>2500</v>
      </c>
      <c r="I697" s="208">
        <v>7.75</v>
      </c>
      <c r="J697" s="345"/>
      <c r="K697" s="345">
        <f>IFERROR(Table15[[#This Row],[ROUTE $]]/Table15[[#This Row],[E - DEMAND]],0)</f>
        <v>0</v>
      </c>
      <c r="L697" s="204"/>
      <c r="M697" s="412">
        <f>IFERROR(VLOOKUP(Table15[[#This Row],[ROUTE]],DEMAND!A:F,5,FALSE),0)</f>
        <v>0</v>
      </c>
      <c r="N697" s="16">
        <f>IFERROR(VLOOKUP(Table15[[#This Row],[ROUTE]],DEMAND!A:F,6,FALSE),0)</f>
        <v>0</v>
      </c>
      <c r="O697" s="16">
        <f>IFERROR(ROUNDDOWN(Table15[[#This Row],[R-DEMAND]]/1706,0),0)</f>
        <v>0</v>
      </c>
      <c r="P697" s="16">
        <f>IFERROR(Table15[[#This Row],[ADD ACC]]*Table15[[#This Row],[RT TIME 
(380-800)]],0)</f>
        <v>0</v>
      </c>
      <c r="Q697" s="415">
        <f>IFERROR(VLOOKUP(Table15[[#This Row],[ROUTE]],PRICING!A:B,2,FALSE),0)</f>
        <v>0</v>
      </c>
      <c r="R697" s="235">
        <f>IFERROR(Table15[[#This Row],[C_DEMAND]]-Table15[[#This Row],[R-DEMAND]],0)</f>
        <v>0</v>
      </c>
      <c r="S697" s="408">
        <f t="shared" si="10"/>
        <v>0</v>
      </c>
      <c r="T697" s="419">
        <f>Table15[[#This Row],[R-DEMAND]]-(Table15[[#This Row],[ADD ACC]]*1706)</f>
        <v>0</v>
      </c>
      <c r="U697" s="419">
        <f>ROUNDDOWN(Table15[[#This Row],[Column1]]/1360,0)</f>
        <v>0</v>
      </c>
      <c r="V697" s="419"/>
      <c r="W697" s="251">
        <v>7.75</v>
      </c>
      <c r="X697" s="251">
        <f>ROUNDDOWN(Table15[[#This Row],[R-DEMAND]]/1320,0)</f>
        <v>0</v>
      </c>
      <c r="Y697" s="251">
        <f>IFERROR(Table15[[#This Row],[ADD ACC
(660/1320)]]*Table15[[#This Row],[Duration
(B744)]],0)</f>
        <v>0</v>
      </c>
      <c r="Z697" s="251"/>
    </row>
    <row r="698" spans="1:26" ht="15.75" customHeight="1" x14ac:dyDescent="0.25">
      <c r="A698" s="210" t="s">
        <v>15895</v>
      </c>
      <c r="B698" s="204" t="s">
        <v>1755</v>
      </c>
      <c r="C698" s="204"/>
      <c r="D698" s="205">
        <v>1</v>
      </c>
      <c r="E698" s="204" t="s">
        <v>1289</v>
      </c>
      <c r="F698" s="204" t="str">
        <f>VLOOKUP(E698,Table10[[COUNTRY NAME]:[CONTINENT CODE]],3,FALSE)</f>
        <v>AS</v>
      </c>
      <c r="G698" s="206" t="s">
        <v>11964</v>
      </c>
      <c r="H698" s="207">
        <v>2575</v>
      </c>
      <c r="I698" s="208">
        <v>7.75</v>
      </c>
      <c r="J698" s="345"/>
      <c r="K698" s="345">
        <f>IFERROR(Table15[[#This Row],[ROUTE $]]/Table15[[#This Row],[E - DEMAND]],0)</f>
        <v>0</v>
      </c>
      <c r="L698" s="204"/>
      <c r="M698" s="412">
        <f>IFERROR(VLOOKUP(Table15[[#This Row],[ROUTE]],DEMAND!A:F,5,FALSE),0)</f>
        <v>0</v>
      </c>
      <c r="N698" s="16">
        <f>IFERROR(VLOOKUP(Table15[[#This Row],[ROUTE]],DEMAND!A:F,6,FALSE),0)</f>
        <v>0</v>
      </c>
      <c r="O698" s="16">
        <f>IFERROR(ROUNDDOWN(Table15[[#This Row],[R-DEMAND]]/1706,0),0)</f>
        <v>0</v>
      </c>
      <c r="P698" s="16">
        <f>IFERROR(Table15[[#This Row],[ADD ACC]]*Table15[[#This Row],[RT TIME 
(380-800)]],0)</f>
        <v>0</v>
      </c>
      <c r="Q698" s="415">
        <f>IFERROR(VLOOKUP(Table15[[#This Row],[ROUTE]],PRICING!A:B,2,FALSE),0)</f>
        <v>0</v>
      </c>
      <c r="R698" s="235">
        <f>IFERROR(Table15[[#This Row],[C_DEMAND]]-Table15[[#This Row],[R-DEMAND]],0)</f>
        <v>0</v>
      </c>
      <c r="S698" s="408">
        <f t="shared" si="10"/>
        <v>0</v>
      </c>
      <c r="T698" s="419">
        <f>Table15[[#This Row],[R-DEMAND]]-(Table15[[#This Row],[ADD ACC]]*1706)</f>
        <v>0</v>
      </c>
      <c r="U698" s="419">
        <f>ROUNDDOWN(Table15[[#This Row],[Column1]]/1360,0)</f>
        <v>0</v>
      </c>
      <c r="V698" s="419"/>
      <c r="W698" s="251">
        <v>7.75</v>
      </c>
      <c r="X698" s="251">
        <f>ROUNDDOWN(Table15[[#This Row],[R-DEMAND]]/1320,0)</f>
        <v>0</v>
      </c>
      <c r="Y698" s="251">
        <f>IFERROR(Table15[[#This Row],[ADD ACC
(660/1320)]]*Table15[[#This Row],[Duration
(B744)]],0)</f>
        <v>0</v>
      </c>
      <c r="Z698" s="251"/>
    </row>
    <row r="699" spans="1:26" ht="15.75" customHeight="1" x14ac:dyDescent="0.25">
      <c r="A699" s="210" t="s">
        <v>15905</v>
      </c>
      <c r="B699" s="204" t="s">
        <v>5430</v>
      </c>
      <c r="C699" s="204"/>
      <c r="D699" s="205">
        <v>3</v>
      </c>
      <c r="E699" s="204" t="s">
        <v>5428</v>
      </c>
      <c r="F699" s="204" t="str">
        <f>VLOOKUP(E699,Table10[[COUNTRY NAME]:[CONTINENT CODE]],3,FALSE)</f>
        <v>AS</v>
      </c>
      <c r="G699" s="206" t="s">
        <v>11956</v>
      </c>
      <c r="H699" s="207">
        <v>2413</v>
      </c>
      <c r="I699" s="208">
        <v>7.5</v>
      </c>
      <c r="J699" s="345"/>
      <c r="K699" s="345">
        <f>IFERROR(Table15[[#This Row],[ROUTE $]]/Table15[[#This Row],[E - DEMAND]],0)</f>
        <v>0</v>
      </c>
      <c r="L699" s="204"/>
      <c r="M699" s="412">
        <f>IFERROR(VLOOKUP(Table15[[#This Row],[ROUTE]],DEMAND!A:F,5,FALSE),0)</f>
        <v>0</v>
      </c>
      <c r="N699" s="16">
        <f>IFERROR(VLOOKUP(Table15[[#This Row],[ROUTE]],DEMAND!A:F,6,FALSE),0)</f>
        <v>0</v>
      </c>
      <c r="O699" s="16">
        <f>IFERROR(ROUNDDOWN(Table15[[#This Row],[R-DEMAND]]/1706,0),0)</f>
        <v>0</v>
      </c>
      <c r="P699" s="16">
        <f>IFERROR(Table15[[#This Row],[ADD ACC]]*Table15[[#This Row],[RT TIME 
(380-800)]],0)</f>
        <v>0</v>
      </c>
      <c r="Q699" s="415">
        <f>IFERROR(VLOOKUP(Table15[[#This Row],[ROUTE]],PRICING!A:B,2,FALSE),0)</f>
        <v>0</v>
      </c>
      <c r="R699" s="235">
        <f>IFERROR(Table15[[#This Row],[C_DEMAND]]-Table15[[#This Row],[R-DEMAND]],0)</f>
        <v>0</v>
      </c>
      <c r="S699" s="408">
        <f t="shared" si="10"/>
        <v>0</v>
      </c>
      <c r="T699" s="419">
        <f>Table15[[#This Row],[R-DEMAND]]-(Table15[[#This Row],[ADD ACC]]*1706)</f>
        <v>0</v>
      </c>
      <c r="U699" s="419">
        <f>ROUNDDOWN(Table15[[#This Row],[Column1]]/1360,0)</f>
        <v>0</v>
      </c>
      <c r="V699" s="419"/>
      <c r="W699" s="251">
        <v>7.5</v>
      </c>
      <c r="X699" s="251">
        <f>ROUNDDOWN(Table15[[#This Row],[R-DEMAND]]/1320,0)</f>
        <v>0</v>
      </c>
      <c r="Y699" s="251">
        <f>IFERROR(Table15[[#This Row],[ADD ACC
(660/1320)]]*Table15[[#This Row],[Duration
(B744)]],0)</f>
        <v>0</v>
      </c>
      <c r="Z699" s="251"/>
    </row>
    <row r="700" spans="1:26" ht="15.75" customHeight="1" x14ac:dyDescent="0.25">
      <c r="A700" s="210" t="s">
        <v>15904</v>
      </c>
      <c r="B700" s="204" t="s">
        <v>175</v>
      </c>
      <c r="C700" s="204"/>
      <c r="D700" s="205">
        <v>3</v>
      </c>
      <c r="E700" s="204" t="s">
        <v>11046</v>
      </c>
      <c r="F700" s="204" t="str">
        <f>VLOOKUP(E700,Table10[[COUNTRY NAME]:[CONTINENT CODE]],3,FALSE)</f>
        <v>AS</v>
      </c>
      <c r="G700" s="206" t="s">
        <v>4748</v>
      </c>
      <c r="H700" s="207">
        <v>2424</v>
      </c>
      <c r="I700" s="208">
        <v>7.5</v>
      </c>
      <c r="J700" s="345"/>
      <c r="K700" s="345">
        <f>IFERROR(Table15[[#This Row],[ROUTE $]]/Table15[[#This Row],[E - DEMAND]],0)</f>
        <v>0</v>
      </c>
      <c r="L700" s="204"/>
      <c r="M700" s="412">
        <f>IFERROR(VLOOKUP(Table15[[#This Row],[ROUTE]],DEMAND!A:F,5,FALSE),0)</f>
        <v>0</v>
      </c>
      <c r="N700" s="16">
        <f>IFERROR(VLOOKUP(Table15[[#This Row],[ROUTE]],DEMAND!A:F,6,FALSE),0)</f>
        <v>0</v>
      </c>
      <c r="O700" s="16">
        <f>IFERROR(ROUNDDOWN(Table15[[#This Row],[R-DEMAND]]/1706,0),0)</f>
        <v>0</v>
      </c>
      <c r="P700" s="16">
        <f>IFERROR(Table15[[#This Row],[ADD ACC]]*Table15[[#This Row],[RT TIME 
(380-800)]],0)</f>
        <v>0</v>
      </c>
      <c r="Q700" s="415">
        <f>IFERROR(VLOOKUP(Table15[[#This Row],[ROUTE]],PRICING!A:B,2,FALSE),0)</f>
        <v>0</v>
      </c>
      <c r="R700" s="235">
        <f>IFERROR(Table15[[#This Row],[C_DEMAND]]-Table15[[#This Row],[R-DEMAND]],0)</f>
        <v>0</v>
      </c>
      <c r="S700" s="408">
        <f t="shared" si="10"/>
        <v>0</v>
      </c>
      <c r="T700" s="419">
        <f>Table15[[#This Row],[R-DEMAND]]-(Table15[[#This Row],[ADD ACC]]*1706)</f>
        <v>0</v>
      </c>
      <c r="U700" s="419">
        <f>ROUNDDOWN(Table15[[#This Row],[Column1]]/1360,0)</f>
        <v>0</v>
      </c>
      <c r="V700" s="419"/>
      <c r="W700" s="251">
        <v>7.5</v>
      </c>
      <c r="X700" s="251">
        <f>ROUNDDOWN(Table15[[#This Row],[R-DEMAND]]/1320,0)</f>
        <v>0</v>
      </c>
      <c r="Y700" s="251">
        <f>IFERROR(Table15[[#This Row],[ADD ACC
(660/1320)]]*Table15[[#This Row],[Duration
(B744)]],0)</f>
        <v>0</v>
      </c>
      <c r="Z700" s="251"/>
    </row>
    <row r="701" spans="1:26" ht="15.75" customHeight="1" x14ac:dyDescent="0.25">
      <c r="A701" s="210" t="s">
        <v>15901</v>
      </c>
      <c r="B701" s="204" t="s">
        <v>113</v>
      </c>
      <c r="C701" s="204"/>
      <c r="D701" s="205">
        <v>3</v>
      </c>
      <c r="E701" s="204" t="s">
        <v>11046</v>
      </c>
      <c r="F701" s="204" t="str">
        <f>VLOOKUP(E701,Table10[[COUNTRY NAME]:[CONTINENT CODE]],3,FALSE)</f>
        <v>AS</v>
      </c>
      <c r="G701" s="206" t="s">
        <v>12088</v>
      </c>
      <c r="H701" s="207">
        <v>2471</v>
      </c>
      <c r="I701" s="208">
        <v>7.5</v>
      </c>
      <c r="J701" s="345"/>
      <c r="K701" s="345">
        <f>IFERROR(Table15[[#This Row],[ROUTE $]]/Table15[[#This Row],[E - DEMAND]],0)</f>
        <v>0</v>
      </c>
      <c r="L701" s="204"/>
      <c r="M701" s="412">
        <f>IFERROR(VLOOKUP(Table15[[#This Row],[ROUTE]],DEMAND!A:F,5,FALSE),0)</f>
        <v>0</v>
      </c>
      <c r="N701" s="16">
        <f>IFERROR(VLOOKUP(Table15[[#This Row],[ROUTE]],DEMAND!A:F,6,FALSE),0)</f>
        <v>0</v>
      </c>
      <c r="O701" s="16">
        <f>IFERROR(ROUNDDOWN(Table15[[#This Row],[R-DEMAND]]/1706,0),0)</f>
        <v>0</v>
      </c>
      <c r="P701" s="16">
        <f>IFERROR(Table15[[#This Row],[ADD ACC]]*Table15[[#This Row],[RT TIME 
(380-800)]],0)</f>
        <v>0</v>
      </c>
      <c r="Q701" s="415">
        <f>IFERROR(VLOOKUP(Table15[[#This Row],[ROUTE]],PRICING!A:B,2,FALSE),0)</f>
        <v>0</v>
      </c>
      <c r="R701" s="235">
        <f>IFERROR(Table15[[#This Row],[C_DEMAND]]-Table15[[#This Row],[R-DEMAND]],0)</f>
        <v>0</v>
      </c>
      <c r="S701" s="408">
        <f t="shared" si="10"/>
        <v>0</v>
      </c>
      <c r="T701" s="419">
        <f>Table15[[#This Row],[R-DEMAND]]-(Table15[[#This Row],[ADD ACC]]*1706)</f>
        <v>0</v>
      </c>
      <c r="U701" s="419">
        <f>ROUNDDOWN(Table15[[#This Row],[Column1]]/1360,0)</f>
        <v>0</v>
      </c>
      <c r="V701" s="419"/>
      <c r="W701" s="251">
        <v>7.5</v>
      </c>
      <c r="X701" s="251">
        <f>ROUNDDOWN(Table15[[#This Row],[R-DEMAND]]/1320,0)</f>
        <v>0</v>
      </c>
      <c r="Y701" s="251">
        <f>IFERROR(Table15[[#This Row],[ADD ACC
(660/1320)]]*Table15[[#This Row],[Duration
(B744)]],0)</f>
        <v>0</v>
      </c>
      <c r="Z701" s="251"/>
    </row>
    <row r="702" spans="1:26" ht="15.75" customHeight="1" x14ac:dyDescent="0.25">
      <c r="A702" s="210" t="s">
        <v>15903</v>
      </c>
      <c r="B702" s="204" t="s">
        <v>3539</v>
      </c>
      <c r="C702" s="204"/>
      <c r="D702" s="205">
        <v>2</v>
      </c>
      <c r="E702" s="204" t="s">
        <v>2764</v>
      </c>
      <c r="F702" s="204" t="str">
        <f>VLOOKUP(E702,Table10[[COUNTRY NAME]:[CONTINENT CODE]],3,FALSE)</f>
        <v>AS</v>
      </c>
      <c r="G702" s="206" t="s">
        <v>11969</v>
      </c>
      <c r="H702" s="207">
        <v>2437</v>
      </c>
      <c r="I702" s="208">
        <v>7.5</v>
      </c>
      <c r="J702" s="345"/>
      <c r="K702" s="345">
        <f>IFERROR(Table15[[#This Row],[ROUTE $]]/Table15[[#This Row],[E - DEMAND]],0)</f>
        <v>0</v>
      </c>
      <c r="L702" s="204"/>
      <c r="M702" s="412">
        <f>IFERROR(VLOOKUP(Table15[[#This Row],[ROUTE]],DEMAND!A:F,5,FALSE),0)</f>
        <v>0</v>
      </c>
      <c r="N702" s="16">
        <f>IFERROR(VLOOKUP(Table15[[#This Row],[ROUTE]],DEMAND!A:F,6,FALSE),0)</f>
        <v>0</v>
      </c>
      <c r="O702" s="16">
        <f>IFERROR(ROUNDDOWN(Table15[[#This Row],[R-DEMAND]]/1706,0),0)</f>
        <v>0</v>
      </c>
      <c r="P702" s="16">
        <f>IFERROR(Table15[[#This Row],[ADD ACC]]*Table15[[#This Row],[RT TIME 
(380-800)]],0)</f>
        <v>0</v>
      </c>
      <c r="Q702" s="415">
        <f>IFERROR(VLOOKUP(Table15[[#This Row],[ROUTE]],PRICING!A:B,2,FALSE),0)</f>
        <v>0</v>
      </c>
      <c r="R702" s="235">
        <f>IFERROR(Table15[[#This Row],[C_DEMAND]]-Table15[[#This Row],[R-DEMAND]],0)</f>
        <v>0</v>
      </c>
      <c r="S702" s="408">
        <f t="shared" si="10"/>
        <v>0</v>
      </c>
      <c r="T702" s="419">
        <f>Table15[[#This Row],[R-DEMAND]]-(Table15[[#This Row],[ADD ACC]]*1706)</f>
        <v>0</v>
      </c>
      <c r="U702" s="419">
        <f>ROUNDDOWN(Table15[[#This Row],[Column1]]/1360,0)</f>
        <v>0</v>
      </c>
      <c r="V702" s="419"/>
      <c r="W702" s="251">
        <v>7.5</v>
      </c>
      <c r="X702" s="251">
        <f>ROUNDDOWN(Table15[[#This Row],[R-DEMAND]]/1320,0)</f>
        <v>0</v>
      </c>
      <c r="Y702" s="251">
        <f>IFERROR(Table15[[#This Row],[ADD ACC
(660/1320)]]*Table15[[#This Row],[Duration
(B744)]],0)</f>
        <v>0</v>
      </c>
      <c r="Z702" s="251"/>
    </row>
    <row r="703" spans="1:26" ht="15.75" customHeight="1" x14ac:dyDescent="0.25">
      <c r="A703" s="210" t="s">
        <v>15908</v>
      </c>
      <c r="B703" s="204" t="s">
        <v>3790</v>
      </c>
      <c r="C703" s="204"/>
      <c r="D703" s="205">
        <v>2</v>
      </c>
      <c r="E703" s="204" t="s">
        <v>502</v>
      </c>
      <c r="F703" s="204" t="str">
        <f>VLOOKUP(E703,Table10[[COUNTRY NAME]:[CONTINENT CODE]],3,FALSE)</f>
        <v>AS</v>
      </c>
      <c r="G703" s="206" t="s">
        <v>11961</v>
      </c>
      <c r="H703" s="207">
        <v>2342</v>
      </c>
      <c r="I703" s="208">
        <v>7.25</v>
      </c>
      <c r="J703" s="345"/>
      <c r="K703" s="345">
        <f>IFERROR(Table15[[#This Row],[ROUTE $]]/Table15[[#This Row],[E - DEMAND]],0)</f>
        <v>0</v>
      </c>
      <c r="L703" s="204"/>
      <c r="M703" s="412">
        <f>IFERROR(VLOOKUP(Table15[[#This Row],[ROUTE]],DEMAND!A:F,5,FALSE),0)</f>
        <v>0</v>
      </c>
      <c r="N703" s="16">
        <f>IFERROR(VLOOKUP(Table15[[#This Row],[ROUTE]],DEMAND!A:F,6,FALSE),0)</f>
        <v>0</v>
      </c>
      <c r="O703" s="16">
        <f>IFERROR(ROUNDDOWN(Table15[[#This Row],[R-DEMAND]]/1706,0),0)</f>
        <v>0</v>
      </c>
      <c r="P703" s="16">
        <f>IFERROR(Table15[[#This Row],[ADD ACC]]*Table15[[#This Row],[RT TIME 
(380-800)]],0)</f>
        <v>0</v>
      </c>
      <c r="Q703" s="415">
        <f>IFERROR(VLOOKUP(Table15[[#This Row],[ROUTE]],PRICING!A:B,2,FALSE),0)</f>
        <v>0</v>
      </c>
      <c r="R703" s="235">
        <f>IFERROR(Table15[[#This Row],[C_DEMAND]]-Table15[[#This Row],[R-DEMAND]],0)</f>
        <v>0</v>
      </c>
      <c r="S703" s="408">
        <f t="shared" si="10"/>
        <v>0</v>
      </c>
      <c r="T703" s="419">
        <f>Table15[[#This Row],[R-DEMAND]]-(Table15[[#This Row],[ADD ACC]]*1706)</f>
        <v>0</v>
      </c>
      <c r="U703" s="419">
        <f>ROUNDDOWN(Table15[[#This Row],[Column1]]/1360,0)</f>
        <v>0</v>
      </c>
      <c r="V703" s="419"/>
      <c r="W703" s="251">
        <v>7.25</v>
      </c>
      <c r="X703" s="251">
        <f>ROUNDDOWN(Table15[[#This Row],[R-DEMAND]]/1320,0)</f>
        <v>0</v>
      </c>
      <c r="Y703" s="251">
        <f>IFERROR(Table15[[#This Row],[ADD ACC
(660/1320)]]*Table15[[#This Row],[Duration
(B744)]],0)</f>
        <v>0</v>
      </c>
      <c r="Z703" s="251"/>
    </row>
    <row r="704" spans="1:26" ht="15.75" customHeight="1" x14ac:dyDescent="0.25">
      <c r="A704" s="210" t="s">
        <v>15906</v>
      </c>
      <c r="B704" s="204" t="s">
        <v>2766</v>
      </c>
      <c r="C704" s="204"/>
      <c r="D704" s="205">
        <v>2</v>
      </c>
      <c r="E704" s="204" t="s">
        <v>2764</v>
      </c>
      <c r="F704" s="204" t="str">
        <f>VLOOKUP(E704,Table10[[COUNTRY NAME]:[CONTINENT CODE]],3,FALSE)</f>
        <v>AS</v>
      </c>
      <c r="G704" s="206" t="s">
        <v>11978</v>
      </c>
      <c r="H704" s="207">
        <v>2360</v>
      </c>
      <c r="I704" s="208">
        <v>7.25</v>
      </c>
      <c r="J704" s="345"/>
      <c r="K704" s="345">
        <f>IFERROR(Table15[[#This Row],[ROUTE $]]/Table15[[#This Row],[E - DEMAND]],0)</f>
        <v>0</v>
      </c>
      <c r="L704" s="204"/>
      <c r="M704" s="412">
        <f>IFERROR(VLOOKUP(Table15[[#This Row],[ROUTE]],DEMAND!A:F,5,FALSE),0)</f>
        <v>0</v>
      </c>
      <c r="N704" s="16">
        <f>IFERROR(VLOOKUP(Table15[[#This Row],[ROUTE]],DEMAND!A:F,6,FALSE),0)</f>
        <v>0</v>
      </c>
      <c r="O704" s="16">
        <f>IFERROR(ROUNDDOWN(Table15[[#This Row],[R-DEMAND]]/1706,0),0)</f>
        <v>0</v>
      </c>
      <c r="P704" s="16">
        <f>IFERROR(Table15[[#This Row],[ADD ACC]]*Table15[[#This Row],[RT TIME 
(380-800)]],0)</f>
        <v>0</v>
      </c>
      <c r="Q704" s="415">
        <f>IFERROR(VLOOKUP(Table15[[#This Row],[ROUTE]],PRICING!A:B,2,FALSE),0)</f>
        <v>0</v>
      </c>
      <c r="R704" s="235">
        <f>IFERROR(Table15[[#This Row],[C_DEMAND]]-Table15[[#This Row],[R-DEMAND]],0)</f>
        <v>0</v>
      </c>
      <c r="S704" s="408">
        <f t="shared" si="10"/>
        <v>0</v>
      </c>
      <c r="T704" s="419">
        <f>Table15[[#This Row],[R-DEMAND]]-(Table15[[#This Row],[ADD ACC]]*1706)</f>
        <v>0</v>
      </c>
      <c r="U704" s="419">
        <f>ROUNDDOWN(Table15[[#This Row],[Column1]]/1360,0)</f>
        <v>0</v>
      </c>
      <c r="V704" s="419"/>
      <c r="W704" s="251">
        <v>7.25</v>
      </c>
      <c r="X704" s="251">
        <f>ROUNDDOWN(Table15[[#This Row],[R-DEMAND]]/1320,0)</f>
        <v>0</v>
      </c>
      <c r="Y704" s="251">
        <f>IFERROR(Table15[[#This Row],[ADD ACC
(660/1320)]]*Table15[[#This Row],[Duration
(B744)]],0)</f>
        <v>0</v>
      </c>
      <c r="Z704" s="251"/>
    </row>
    <row r="705" spans="1:26" ht="15.75" customHeight="1" x14ac:dyDescent="0.25">
      <c r="A705" s="210" t="s">
        <v>15913</v>
      </c>
      <c r="B705" s="204" t="s">
        <v>4454</v>
      </c>
      <c r="C705" s="204"/>
      <c r="D705" s="205">
        <v>2</v>
      </c>
      <c r="E705" s="204" t="s">
        <v>4452</v>
      </c>
      <c r="F705" s="204" t="str">
        <f>VLOOKUP(E705,Table10[[COUNTRY NAME]:[CONTINENT CODE]],3,FALSE)</f>
        <v>AS</v>
      </c>
      <c r="G705" s="206" t="s">
        <v>11988</v>
      </c>
      <c r="H705" s="207">
        <v>2198</v>
      </c>
      <c r="I705" s="208">
        <v>7</v>
      </c>
      <c r="J705" s="345"/>
      <c r="K705" s="345">
        <f>IFERROR(Table15[[#This Row],[ROUTE $]]/Table15[[#This Row],[E - DEMAND]],0)</f>
        <v>0</v>
      </c>
      <c r="L705" s="204"/>
      <c r="M705" s="412">
        <f>IFERROR(VLOOKUP(Table15[[#This Row],[ROUTE]],DEMAND!A:F,5,FALSE),0)</f>
        <v>0</v>
      </c>
      <c r="N705" s="16">
        <f>IFERROR(VLOOKUP(Table15[[#This Row],[ROUTE]],DEMAND!A:F,6,FALSE),0)</f>
        <v>0</v>
      </c>
      <c r="O705" s="16">
        <f>IFERROR(ROUNDDOWN(Table15[[#This Row],[R-DEMAND]]/1706,0),0)</f>
        <v>0</v>
      </c>
      <c r="P705" s="16">
        <f>IFERROR(Table15[[#This Row],[ADD ACC]]*Table15[[#This Row],[RT TIME 
(380-800)]],0)</f>
        <v>0</v>
      </c>
      <c r="Q705" s="415">
        <f>IFERROR(VLOOKUP(Table15[[#This Row],[ROUTE]],PRICING!A:B,2,FALSE),0)</f>
        <v>0</v>
      </c>
      <c r="R705" s="235">
        <f>IFERROR(Table15[[#This Row],[C_DEMAND]]-Table15[[#This Row],[R-DEMAND]],0)</f>
        <v>0</v>
      </c>
      <c r="S705" s="408">
        <f t="shared" si="10"/>
        <v>0</v>
      </c>
      <c r="T705" s="419">
        <f>Table15[[#This Row],[R-DEMAND]]-(Table15[[#This Row],[ADD ACC]]*1706)</f>
        <v>0</v>
      </c>
      <c r="U705" s="419">
        <f>ROUNDDOWN(Table15[[#This Row],[Column1]]/1360,0)</f>
        <v>0</v>
      </c>
      <c r="V705" s="419"/>
      <c r="W705" s="251">
        <v>7</v>
      </c>
      <c r="X705" s="251">
        <f>ROUNDDOWN(Table15[[#This Row],[R-DEMAND]]/1320,0)</f>
        <v>0</v>
      </c>
      <c r="Y705" s="251">
        <f>IFERROR(Table15[[#This Row],[ADD ACC
(660/1320)]]*Table15[[#This Row],[Duration
(B744)]],0)</f>
        <v>0</v>
      </c>
      <c r="Z705" s="251"/>
    </row>
    <row r="706" spans="1:26" ht="15.75" customHeight="1" x14ac:dyDescent="0.25">
      <c r="A706" s="210" t="s">
        <v>15914</v>
      </c>
      <c r="B706" s="204" t="s">
        <v>1291</v>
      </c>
      <c r="C706" s="204"/>
      <c r="D706" s="205">
        <v>1</v>
      </c>
      <c r="E706" s="204" t="s">
        <v>1289</v>
      </c>
      <c r="F706" s="204" t="str">
        <f>VLOOKUP(E706,Table10[[COUNTRY NAME]:[CONTINENT CODE]],3,FALSE)</f>
        <v>AS</v>
      </c>
      <c r="G706" s="206" t="s">
        <v>11994</v>
      </c>
      <c r="H706" s="207">
        <v>2150</v>
      </c>
      <c r="I706" s="208">
        <v>7</v>
      </c>
      <c r="J706" s="345"/>
      <c r="K706" s="345">
        <f>IFERROR(Table15[[#This Row],[ROUTE $]]/Table15[[#This Row],[E - DEMAND]],0)</f>
        <v>0</v>
      </c>
      <c r="L706" s="204"/>
      <c r="M706" s="412">
        <f>IFERROR(VLOOKUP(Table15[[#This Row],[ROUTE]],DEMAND!A:F,5,FALSE),0)</f>
        <v>0</v>
      </c>
      <c r="N706" s="16">
        <f>IFERROR(VLOOKUP(Table15[[#This Row],[ROUTE]],DEMAND!A:F,6,FALSE),0)</f>
        <v>0</v>
      </c>
      <c r="O706" s="16">
        <f>IFERROR(ROUNDDOWN(Table15[[#This Row],[R-DEMAND]]/1706,0),0)</f>
        <v>0</v>
      </c>
      <c r="P706" s="16">
        <f>IFERROR(Table15[[#This Row],[ADD ACC]]*Table15[[#This Row],[RT TIME 
(380-800)]],0)</f>
        <v>0</v>
      </c>
      <c r="Q706" s="415">
        <f>IFERROR(VLOOKUP(Table15[[#This Row],[ROUTE]],PRICING!A:B,2,FALSE),0)</f>
        <v>0</v>
      </c>
      <c r="R706" s="235">
        <f>IFERROR(Table15[[#This Row],[C_DEMAND]]-Table15[[#This Row],[R-DEMAND]],0)</f>
        <v>0</v>
      </c>
      <c r="S706" s="408">
        <f t="shared" si="10"/>
        <v>0</v>
      </c>
      <c r="T706" s="419">
        <f>Table15[[#This Row],[R-DEMAND]]-(Table15[[#This Row],[ADD ACC]]*1706)</f>
        <v>0</v>
      </c>
      <c r="U706" s="419">
        <f>ROUNDDOWN(Table15[[#This Row],[Column1]]/1360,0)</f>
        <v>0</v>
      </c>
      <c r="V706" s="419"/>
      <c r="W706" s="251">
        <v>7</v>
      </c>
      <c r="X706" s="251">
        <f>ROUNDDOWN(Table15[[#This Row],[R-DEMAND]]/1320,0)</f>
        <v>0</v>
      </c>
      <c r="Y706" s="251">
        <f>IFERROR(Table15[[#This Row],[ADD ACC
(660/1320)]]*Table15[[#This Row],[Duration
(B744)]],0)</f>
        <v>0</v>
      </c>
      <c r="Z706" s="251"/>
    </row>
    <row r="707" spans="1:26" ht="15.75" customHeight="1" x14ac:dyDescent="0.25">
      <c r="A707" s="210" t="s">
        <v>15919</v>
      </c>
      <c r="B707" s="204" t="s">
        <v>3072</v>
      </c>
      <c r="C707" s="204"/>
      <c r="D707" s="205">
        <v>2</v>
      </c>
      <c r="E707" s="204" t="s">
        <v>567</v>
      </c>
      <c r="F707" s="204" t="str">
        <f>VLOOKUP(E707,Table10[[COUNTRY NAME]:[CONTINENT CODE]],3,FALSE)</f>
        <v>AS</v>
      </c>
      <c r="G707" s="206" t="s">
        <v>11989</v>
      </c>
      <c r="H707" s="207">
        <v>2035</v>
      </c>
      <c r="I707" s="208">
        <v>6.75</v>
      </c>
      <c r="J707" s="345"/>
      <c r="K707" s="345">
        <f>IFERROR(Table15[[#This Row],[ROUTE $]]/Table15[[#This Row],[E - DEMAND]],0)</f>
        <v>0</v>
      </c>
      <c r="L707" s="204"/>
      <c r="M707" s="412">
        <f>IFERROR(VLOOKUP(Table15[[#This Row],[ROUTE]],DEMAND!A:F,5,FALSE),0)</f>
        <v>0</v>
      </c>
      <c r="N707" s="16">
        <f>IFERROR(VLOOKUP(Table15[[#This Row],[ROUTE]],DEMAND!A:F,6,FALSE),0)</f>
        <v>0</v>
      </c>
      <c r="O707" s="16">
        <f>IFERROR(ROUNDDOWN(Table15[[#This Row],[R-DEMAND]]/1706,0),0)</f>
        <v>0</v>
      </c>
      <c r="P707" s="16">
        <f>IFERROR(Table15[[#This Row],[ADD ACC]]*Table15[[#This Row],[RT TIME 
(380-800)]],0)</f>
        <v>0</v>
      </c>
      <c r="Q707" s="415">
        <f>IFERROR(VLOOKUP(Table15[[#This Row],[ROUTE]],PRICING!A:B,2,FALSE),0)</f>
        <v>0</v>
      </c>
      <c r="R707" s="235">
        <f>IFERROR(Table15[[#This Row],[C_DEMAND]]-Table15[[#This Row],[R-DEMAND]],0)</f>
        <v>0</v>
      </c>
      <c r="S707" s="408">
        <f t="shared" ref="S707:S770" si="11">IFERROR(R707*Q707,0)</f>
        <v>0</v>
      </c>
      <c r="T707" s="419">
        <f>Table15[[#This Row],[R-DEMAND]]-(Table15[[#This Row],[ADD ACC]]*1706)</f>
        <v>0</v>
      </c>
      <c r="U707" s="419">
        <f>ROUNDDOWN(Table15[[#This Row],[Column1]]/1360,0)</f>
        <v>0</v>
      </c>
      <c r="V707" s="419"/>
      <c r="W707" s="251">
        <v>6.75</v>
      </c>
      <c r="X707" s="251">
        <f>ROUNDDOWN(Table15[[#This Row],[R-DEMAND]]/1320,0)</f>
        <v>0</v>
      </c>
      <c r="Y707" s="251">
        <f>IFERROR(Table15[[#This Row],[ADD ACC
(660/1320)]]*Table15[[#This Row],[Duration
(B744)]],0)</f>
        <v>0</v>
      </c>
      <c r="Z707" s="251"/>
    </row>
    <row r="708" spans="1:26" ht="15.75" customHeight="1" x14ac:dyDescent="0.25">
      <c r="A708" s="210" t="s">
        <v>15918</v>
      </c>
      <c r="B708" s="204" t="s">
        <v>3</v>
      </c>
      <c r="C708" s="204"/>
      <c r="D708" s="205">
        <v>2</v>
      </c>
      <c r="E708" s="204" t="s">
        <v>1710</v>
      </c>
      <c r="F708" s="204" t="str">
        <f>VLOOKUP(E708,Table10[[COUNTRY NAME]:[CONTINENT CODE]],3,FALSE)</f>
        <v>AS</v>
      </c>
      <c r="G708" s="206" t="s">
        <v>12068</v>
      </c>
      <c r="H708" s="207">
        <v>2062</v>
      </c>
      <c r="I708" s="208">
        <v>6.75</v>
      </c>
      <c r="J708" s="345"/>
      <c r="K708" s="345">
        <f>IFERROR(Table15[[#This Row],[ROUTE $]]/Table15[[#This Row],[E - DEMAND]],0)</f>
        <v>0</v>
      </c>
      <c r="L708" s="204"/>
      <c r="M708" s="412">
        <f>IFERROR(VLOOKUP(Table15[[#This Row],[ROUTE]],DEMAND!A:F,5,FALSE),0)</f>
        <v>0</v>
      </c>
      <c r="N708" s="16">
        <f>IFERROR(VLOOKUP(Table15[[#This Row],[ROUTE]],DEMAND!A:F,6,FALSE),0)</f>
        <v>0</v>
      </c>
      <c r="O708" s="16">
        <f>IFERROR(ROUNDDOWN(Table15[[#This Row],[R-DEMAND]]/1706,0),0)</f>
        <v>0</v>
      </c>
      <c r="P708" s="16">
        <f>IFERROR(Table15[[#This Row],[ADD ACC]]*Table15[[#This Row],[RT TIME 
(380-800)]],0)</f>
        <v>0</v>
      </c>
      <c r="Q708" s="415">
        <f>IFERROR(VLOOKUP(Table15[[#This Row],[ROUTE]],PRICING!A:B,2,FALSE),0)</f>
        <v>0</v>
      </c>
      <c r="R708" s="235">
        <f>IFERROR(Table15[[#This Row],[C_DEMAND]]-Table15[[#This Row],[R-DEMAND]],0)</f>
        <v>0</v>
      </c>
      <c r="S708" s="408">
        <f t="shared" si="11"/>
        <v>0</v>
      </c>
      <c r="T708" s="419">
        <f>Table15[[#This Row],[R-DEMAND]]-(Table15[[#This Row],[ADD ACC]]*1706)</f>
        <v>0</v>
      </c>
      <c r="U708" s="419">
        <f>ROUNDDOWN(Table15[[#This Row],[Column1]]/1360,0)</f>
        <v>0</v>
      </c>
      <c r="V708" s="419"/>
      <c r="W708" s="251">
        <v>6.75</v>
      </c>
      <c r="X708" s="251">
        <f>ROUNDDOWN(Table15[[#This Row],[R-DEMAND]]/1320,0)</f>
        <v>0</v>
      </c>
      <c r="Y708" s="251">
        <f>IFERROR(Table15[[#This Row],[ADD ACC
(660/1320)]]*Table15[[#This Row],[Duration
(B744)]],0)</f>
        <v>0</v>
      </c>
      <c r="Z708" s="251"/>
    </row>
    <row r="709" spans="1:26" ht="15.75" customHeight="1" x14ac:dyDescent="0.25">
      <c r="A709" s="210" t="s">
        <v>15924</v>
      </c>
      <c r="B709" s="204" t="s">
        <v>320</v>
      </c>
      <c r="C709" s="204" t="s">
        <v>11122</v>
      </c>
      <c r="D709" s="205">
        <v>3</v>
      </c>
      <c r="E709" s="204" t="s">
        <v>1847</v>
      </c>
      <c r="F709" s="204" t="str">
        <f>VLOOKUP(E709,Table10[[COUNTRY NAME]:[CONTINENT CODE]],3,FALSE)</f>
        <v>AS</v>
      </c>
      <c r="G709" s="206" t="s">
        <v>11976</v>
      </c>
      <c r="H709" s="207">
        <v>1934</v>
      </c>
      <c r="I709" s="208">
        <v>6.5</v>
      </c>
      <c r="J709" s="345">
        <v>149880072</v>
      </c>
      <c r="K709" s="345">
        <f>IFERROR(Table15[[#This Row],[ROUTE $]]/Table15[[#This Row],[E - DEMAND]],0)</f>
        <v>48457.831231813776</v>
      </c>
      <c r="L709" s="204">
        <v>3093</v>
      </c>
      <c r="M709" s="412">
        <f>IFERROR(VLOOKUP(Table15[[#This Row],[ROUTE]],DEMAND!A:F,5,FALSE),0)</f>
        <v>0</v>
      </c>
      <c r="N709" s="16">
        <f>IFERROR(VLOOKUP(Table15[[#This Row],[ROUTE]],DEMAND!A:F,6,FALSE),0)</f>
        <v>0</v>
      </c>
      <c r="O709" s="16">
        <f>IFERROR(ROUNDDOWN(Table15[[#This Row],[R-DEMAND]]/1706,0),0)</f>
        <v>0</v>
      </c>
      <c r="P709" s="16">
        <f>IFERROR(Table15[[#This Row],[ADD ACC]]*Table15[[#This Row],[RT TIME 
(380-800)]],0)</f>
        <v>0</v>
      </c>
      <c r="Q709" s="415">
        <f>IFERROR(VLOOKUP(Table15[[#This Row],[ROUTE]],PRICING!A:B,2,FALSE),0)</f>
        <v>0</v>
      </c>
      <c r="R709" s="235">
        <f>IFERROR(Table15[[#This Row],[C_DEMAND]]-Table15[[#This Row],[R-DEMAND]],0)</f>
        <v>0</v>
      </c>
      <c r="S709" s="408">
        <f t="shared" si="11"/>
        <v>0</v>
      </c>
      <c r="T709" s="419">
        <f>Table15[[#This Row],[R-DEMAND]]-(Table15[[#This Row],[ADD ACC]]*1706)</f>
        <v>0</v>
      </c>
      <c r="U709" s="419">
        <f>ROUNDDOWN(Table15[[#This Row],[Column1]]/1360,0)</f>
        <v>0</v>
      </c>
      <c r="V709" s="419"/>
      <c r="W709" s="251">
        <v>6.5</v>
      </c>
      <c r="X709" s="251">
        <f>ROUNDDOWN(Table15[[#This Row],[R-DEMAND]]/1320,0)</f>
        <v>0</v>
      </c>
      <c r="Y709" s="251">
        <f>IFERROR(Table15[[#This Row],[ADD ACC
(660/1320)]]*Table15[[#This Row],[Duration
(B744)]],0)</f>
        <v>0</v>
      </c>
      <c r="Z709" s="251"/>
    </row>
    <row r="710" spans="1:26" ht="15.75" customHeight="1" x14ac:dyDescent="0.25">
      <c r="A710" s="210" t="s">
        <v>15921</v>
      </c>
      <c r="B710" s="204" t="s">
        <v>368</v>
      </c>
      <c r="C710" s="204"/>
      <c r="D710" s="205">
        <v>3</v>
      </c>
      <c r="E710" s="204" t="s">
        <v>1710</v>
      </c>
      <c r="F710" s="204" t="str">
        <f>VLOOKUP(E710,Table10[[COUNTRY NAME]:[CONTINENT CODE]],3,FALSE)</f>
        <v>AS</v>
      </c>
      <c r="G710" s="206" t="s">
        <v>12075</v>
      </c>
      <c r="H710" s="207">
        <v>2001</v>
      </c>
      <c r="I710" s="208">
        <v>6.5</v>
      </c>
      <c r="J710" s="345"/>
      <c r="K710" s="345">
        <f>IFERROR(Table15[[#This Row],[ROUTE $]]/Table15[[#This Row],[E - DEMAND]],0)</f>
        <v>0</v>
      </c>
      <c r="L710" s="204"/>
      <c r="M710" s="412">
        <f>IFERROR(VLOOKUP(Table15[[#This Row],[ROUTE]],DEMAND!A:F,5,FALSE),0)</f>
        <v>0</v>
      </c>
      <c r="N710" s="16">
        <f>IFERROR(VLOOKUP(Table15[[#This Row],[ROUTE]],DEMAND!A:F,6,FALSE),0)</f>
        <v>0</v>
      </c>
      <c r="O710" s="16">
        <f>IFERROR(ROUNDDOWN(Table15[[#This Row],[R-DEMAND]]/1706,0),0)</f>
        <v>0</v>
      </c>
      <c r="P710" s="16">
        <f>IFERROR(Table15[[#This Row],[ADD ACC]]*Table15[[#This Row],[RT TIME 
(380-800)]],0)</f>
        <v>0</v>
      </c>
      <c r="Q710" s="415">
        <f>IFERROR(VLOOKUP(Table15[[#This Row],[ROUTE]],PRICING!A:B,2,FALSE),0)</f>
        <v>0</v>
      </c>
      <c r="R710" s="235">
        <f>IFERROR(Table15[[#This Row],[C_DEMAND]]-Table15[[#This Row],[R-DEMAND]],0)</f>
        <v>0</v>
      </c>
      <c r="S710" s="408">
        <f t="shared" si="11"/>
        <v>0</v>
      </c>
      <c r="T710" s="419">
        <f>Table15[[#This Row],[R-DEMAND]]-(Table15[[#This Row],[ADD ACC]]*1706)</f>
        <v>0</v>
      </c>
      <c r="U710" s="419">
        <f>ROUNDDOWN(Table15[[#This Row],[Column1]]/1360,0)</f>
        <v>0</v>
      </c>
      <c r="V710" s="419"/>
      <c r="W710" s="251">
        <v>6.5</v>
      </c>
      <c r="X710" s="251">
        <f>ROUNDDOWN(Table15[[#This Row],[R-DEMAND]]/1320,0)</f>
        <v>0</v>
      </c>
      <c r="Y710" s="251">
        <f>IFERROR(Table15[[#This Row],[ADD ACC
(660/1320)]]*Table15[[#This Row],[Duration
(B744)]],0)</f>
        <v>0</v>
      </c>
      <c r="Z710" s="251"/>
    </row>
    <row r="711" spans="1:26" ht="15.75" customHeight="1" x14ac:dyDescent="0.25">
      <c r="A711" s="210" t="s">
        <v>15920</v>
      </c>
      <c r="B711" s="204" t="s">
        <v>4256</v>
      </c>
      <c r="C711" s="204"/>
      <c r="D711" s="205">
        <v>2</v>
      </c>
      <c r="E711" s="204" t="s">
        <v>502</v>
      </c>
      <c r="F711" s="204" t="str">
        <f>VLOOKUP(E711,Table10[[COUNTRY NAME]:[CONTINENT CODE]],3,FALSE)</f>
        <v>AS</v>
      </c>
      <c r="G711" s="206" t="s">
        <v>11971</v>
      </c>
      <c r="H711" s="207">
        <v>2029</v>
      </c>
      <c r="I711" s="208">
        <v>6.5</v>
      </c>
      <c r="J711" s="345"/>
      <c r="K711" s="345">
        <f>IFERROR(Table15[[#This Row],[ROUTE $]]/Table15[[#This Row],[E - DEMAND]],0)</f>
        <v>0</v>
      </c>
      <c r="L711" s="204"/>
      <c r="M711" s="412">
        <f>IFERROR(VLOOKUP(Table15[[#This Row],[ROUTE]],DEMAND!A:F,5,FALSE),0)</f>
        <v>0</v>
      </c>
      <c r="N711" s="16">
        <f>IFERROR(VLOOKUP(Table15[[#This Row],[ROUTE]],DEMAND!A:F,6,FALSE),0)</f>
        <v>0</v>
      </c>
      <c r="O711" s="16">
        <f>IFERROR(ROUNDDOWN(Table15[[#This Row],[R-DEMAND]]/1706,0),0)</f>
        <v>0</v>
      </c>
      <c r="P711" s="16">
        <f>IFERROR(Table15[[#This Row],[ADD ACC]]*Table15[[#This Row],[RT TIME 
(380-800)]],0)</f>
        <v>0</v>
      </c>
      <c r="Q711" s="415">
        <f>IFERROR(VLOOKUP(Table15[[#This Row],[ROUTE]],PRICING!A:B,2,FALSE),0)</f>
        <v>0</v>
      </c>
      <c r="R711" s="235">
        <f>IFERROR(Table15[[#This Row],[C_DEMAND]]-Table15[[#This Row],[R-DEMAND]],0)</f>
        <v>0</v>
      </c>
      <c r="S711" s="408">
        <f t="shared" si="11"/>
        <v>0</v>
      </c>
      <c r="T711" s="419">
        <f>Table15[[#This Row],[R-DEMAND]]-(Table15[[#This Row],[ADD ACC]]*1706)</f>
        <v>0</v>
      </c>
      <c r="U711" s="419">
        <f>ROUNDDOWN(Table15[[#This Row],[Column1]]/1360,0)</f>
        <v>0</v>
      </c>
      <c r="V711" s="419"/>
      <c r="W711" s="251">
        <v>6.5</v>
      </c>
      <c r="X711" s="251">
        <f>ROUNDDOWN(Table15[[#This Row],[R-DEMAND]]/1320,0)</f>
        <v>0</v>
      </c>
      <c r="Y711" s="251">
        <f>IFERROR(Table15[[#This Row],[ADD ACC
(660/1320)]]*Table15[[#This Row],[Duration
(B744)]],0)</f>
        <v>0</v>
      </c>
      <c r="Z711" s="251"/>
    </row>
    <row r="712" spans="1:26" ht="15.75" customHeight="1" x14ac:dyDescent="0.25">
      <c r="A712" s="210" t="s">
        <v>15922</v>
      </c>
      <c r="B712" s="204" t="s">
        <v>90</v>
      </c>
      <c r="C712" s="204"/>
      <c r="D712" s="205">
        <v>2</v>
      </c>
      <c r="E712" s="204" t="s">
        <v>1456</v>
      </c>
      <c r="F712" s="204" t="str">
        <f>VLOOKUP(E712,Table10[[COUNTRY NAME]:[CONTINENT CODE]],3,FALSE)</f>
        <v>AS</v>
      </c>
      <c r="G712" s="206" t="s">
        <v>11987</v>
      </c>
      <c r="H712" s="207">
        <v>1997</v>
      </c>
      <c r="I712" s="208">
        <v>6.5</v>
      </c>
      <c r="J712" s="345"/>
      <c r="K712" s="345">
        <f>IFERROR(Table15[[#This Row],[ROUTE $]]/Table15[[#This Row],[E - DEMAND]],0)</f>
        <v>0</v>
      </c>
      <c r="L712" s="204"/>
      <c r="M712" s="412">
        <f>IFERROR(VLOOKUP(Table15[[#This Row],[ROUTE]],DEMAND!A:F,5,FALSE),0)</f>
        <v>0</v>
      </c>
      <c r="N712" s="16">
        <f>IFERROR(VLOOKUP(Table15[[#This Row],[ROUTE]],DEMAND!A:F,6,FALSE),0)</f>
        <v>0</v>
      </c>
      <c r="O712" s="16">
        <f>IFERROR(ROUNDDOWN(Table15[[#This Row],[R-DEMAND]]/1706,0),0)</f>
        <v>0</v>
      </c>
      <c r="P712" s="16">
        <f>IFERROR(Table15[[#This Row],[ADD ACC]]*Table15[[#This Row],[RT TIME 
(380-800)]],0)</f>
        <v>0</v>
      </c>
      <c r="Q712" s="415">
        <f>IFERROR(VLOOKUP(Table15[[#This Row],[ROUTE]],PRICING!A:B,2,FALSE),0)</f>
        <v>0</v>
      </c>
      <c r="R712" s="235">
        <f>IFERROR(Table15[[#This Row],[C_DEMAND]]-Table15[[#This Row],[R-DEMAND]],0)</f>
        <v>0</v>
      </c>
      <c r="S712" s="408">
        <f t="shared" si="11"/>
        <v>0</v>
      </c>
      <c r="T712" s="419">
        <f>Table15[[#This Row],[R-DEMAND]]-(Table15[[#This Row],[ADD ACC]]*1706)</f>
        <v>0</v>
      </c>
      <c r="U712" s="419">
        <f>ROUNDDOWN(Table15[[#This Row],[Column1]]/1360,0)</f>
        <v>0</v>
      </c>
      <c r="V712" s="419"/>
      <c r="W712" s="251">
        <v>6.5</v>
      </c>
      <c r="X712" s="251">
        <f>ROUNDDOWN(Table15[[#This Row],[R-DEMAND]]/1320,0)</f>
        <v>0</v>
      </c>
      <c r="Y712" s="251">
        <f>IFERROR(Table15[[#This Row],[ADD ACC
(660/1320)]]*Table15[[#This Row],[Duration
(B744)]],0)</f>
        <v>0</v>
      </c>
      <c r="Z712" s="251"/>
    </row>
    <row r="713" spans="1:26" ht="15.75" customHeight="1" x14ac:dyDescent="0.25">
      <c r="A713" s="210" t="s">
        <v>15928</v>
      </c>
      <c r="B713" s="204" t="s">
        <v>343</v>
      </c>
      <c r="C713" s="204"/>
      <c r="D713" s="205">
        <v>3</v>
      </c>
      <c r="E713" s="204" t="s">
        <v>1710</v>
      </c>
      <c r="F713" s="204" t="str">
        <f>VLOOKUP(E713,Table10[[COUNTRY NAME]:[CONTINENT CODE]],3,FALSE)</f>
        <v>AS</v>
      </c>
      <c r="G713" s="206" t="s">
        <v>12070</v>
      </c>
      <c r="H713" s="207">
        <v>1888</v>
      </c>
      <c r="I713" s="208">
        <v>6.25</v>
      </c>
      <c r="J713" s="345"/>
      <c r="K713" s="345">
        <f>IFERROR(Table15[[#This Row],[ROUTE $]]/Table15[[#This Row],[E - DEMAND]],0)</f>
        <v>0</v>
      </c>
      <c r="L713" s="204"/>
      <c r="M713" s="412">
        <f>IFERROR(VLOOKUP(Table15[[#This Row],[ROUTE]],DEMAND!A:F,5,FALSE),0)</f>
        <v>0</v>
      </c>
      <c r="N713" s="16">
        <f>IFERROR(VLOOKUP(Table15[[#This Row],[ROUTE]],DEMAND!A:F,6,FALSE),0)</f>
        <v>0</v>
      </c>
      <c r="O713" s="16">
        <f>IFERROR(ROUNDDOWN(Table15[[#This Row],[R-DEMAND]]/1706,0),0)</f>
        <v>0</v>
      </c>
      <c r="P713" s="16">
        <f>IFERROR(Table15[[#This Row],[ADD ACC]]*Table15[[#This Row],[RT TIME 
(380-800)]],0)</f>
        <v>0</v>
      </c>
      <c r="Q713" s="415">
        <f>IFERROR(VLOOKUP(Table15[[#This Row],[ROUTE]],PRICING!A:B,2,FALSE),0)</f>
        <v>0</v>
      </c>
      <c r="R713" s="235">
        <f>IFERROR(Table15[[#This Row],[C_DEMAND]]-Table15[[#This Row],[R-DEMAND]],0)</f>
        <v>0</v>
      </c>
      <c r="S713" s="408">
        <f t="shared" si="11"/>
        <v>0</v>
      </c>
      <c r="T713" s="419">
        <f>Table15[[#This Row],[R-DEMAND]]-(Table15[[#This Row],[ADD ACC]]*1706)</f>
        <v>0</v>
      </c>
      <c r="U713" s="419">
        <f>ROUNDDOWN(Table15[[#This Row],[Column1]]/1360,0)</f>
        <v>0</v>
      </c>
      <c r="V713" s="419"/>
      <c r="W713" s="251">
        <v>6.25</v>
      </c>
      <c r="X713" s="251">
        <f>ROUNDDOWN(Table15[[#This Row],[R-DEMAND]]/1320,0)</f>
        <v>0</v>
      </c>
      <c r="Y713" s="251">
        <f>IFERROR(Table15[[#This Row],[ADD ACC
(660/1320)]]*Table15[[#This Row],[Duration
(B744)]],0)</f>
        <v>0</v>
      </c>
      <c r="Z713" s="251"/>
    </row>
    <row r="714" spans="1:26" ht="15.75" customHeight="1" x14ac:dyDescent="0.25">
      <c r="A714" s="210" t="s">
        <v>15926</v>
      </c>
      <c r="B714" s="204" t="s">
        <v>5369</v>
      </c>
      <c r="C714" s="204"/>
      <c r="D714" s="205">
        <v>3</v>
      </c>
      <c r="E714" s="204" t="s">
        <v>1847</v>
      </c>
      <c r="F714" s="204" t="str">
        <f>VLOOKUP(E714,Table10[[COUNTRY NAME]:[CONTINENT CODE]],3,FALSE)</f>
        <v>AS</v>
      </c>
      <c r="G714" s="206" t="s">
        <v>11977</v>
      </c>
      <c r="H714" s="207">
        <v>1914</v>
      </c>
      <c r="I714" s="208">
        <v>6.25</v>
      </c>
      <c r="J714" s="345"/>
      <c r="K714" s="345">
        <f>IFERROR(Table15[[#This Row],[ROUTE $]]/Table15[[#This Row],[E - DEMAND]],0)</f>
        <v>0</v>
      </c>
      <c r="L714" s="204"/>
      <c r="M714" s="412">
        <f>IFERROR(VLOOKUP(Table15[[#This Row],[ROUTE]],DEMAND!A:F,5,FALSE),0)</f>
        <v>0</v>
      </c>
      <c r="N714" s="16">
        <f>IFERROR(VLOOKUP(Table15[[#This Row],[ROUTE]],DEMAND!A:F,6,FALSE),0)</f>
        <v>0</v>
      </c>
      <c r="O714" s="16">
        <f>IFERROR(ROUNDDOWN(Table15[[#This Row],[R-DEMAND]]/1706,0),0)</f>
        <v>0</v>
      </c>
      <c r="P714" s="16">
        <f>IFERROR(Table15[[#This Row],[ADD ACC]]*Table15[[#This Row],[RT TIME 
(380-800)]],0)</f>
        <v>0</v>
      </c>
      <c r="Q714" s="415">
        <f>IFERROR(VLOOKUP(Table15[[#This Row],[ROUTE]],PRICING!A:B,2,FALSE),0)</f>
        <v>0</v>
      </c>
      <c r="R714" s="235">
        <f>IFERROR(Table15[[#This Row],[C_DEMAND]]-Table15[[#This Row],[R-DEMAND]],0)</f>
        <v>0</v>
      </c>
      <c r="S714" s="408">
        <f t="shared" si="11"/>
        <v>0</v>
      </c>
      <c r="T714" s="419">
        <f>Table15[[#This Row],[R-DEMAND]]-(Table15[[#This Row],[ADD ACC]]*1706)</f>
        <v>0</v>
      </c>
      <c r="U714" s="419">
        <f>ROUNDDOWN(Table15[[#This Row],[Column1]]/1360,0)</f>
        <v>0</v>
      </c>
      <c r="V714" s="419"/>
      <c r="W714" s="251">
        <v>6.25</v>
      </c>
      <c r="X714" s="251">
        <f>ROUNDDOWN(Table15[[#This Row],[R-DEMAND]]/1320,0)</f>
        <v>0</v>
      </c>
      <c r="Y714" s="251">
        <f>IFERROR(Table15[[#This Row],[ADD ACC
(660/1320)]]*Table15[[#This Row],[Duration
(B744)]],0)</f>
        <v>0</v>
      </c>
      <c r="Z714" s="251"/>
    </row>
    <row r="715" spans="1:26" ht="15.75" customHeight="1" x14ac:dyDescent="0.25">
      <c r="A715" s="210" t="s">
        <v>15927</v>
      </c>
      <c r="B715" s="204" t="s">
        <v>4410</v>
      </c>
      <c r="C715" s="204"/>
      <c r="D715" s="205">
        <v>2</v>
      </c>
      <c r="E715" s="204" t="s">
        <v>502</v>
      </c>
      <c r="F715" s="204" t="str">
        <f>VLOOKUP(E715,Table10[[COUNTRY NAME]:[CONTINENT CODE]],3,FALSE)</f>
        <v>AS</v>
      </c>
      <c r="G715" s="206" t="s">
        <v>11974</v>
      </c>
      <c r="H715" s="207">
        <v>1910</v>
      </c>
      <c r="I715" s="208">
        <v>6.25</v>
      </c>
      <c r="J715" s="345"/>
      <c r="K715" s="345">
        <f>IFERROR(Table15[[#This Row],[ROUTE $]]/Table15[[#This Row],[E - DEMAND]],0)</f>
        <v>0</v>
      </c>
      <c r="L715" s="204"/>
      <c r="M715" s="412">
        <f>IFERROR(VLOOKUP(Table15[[#This Row],[ROUTE]],DEMAND!A:F,5,FALSE),0)</f>
        <v>0</v>
      </c>
      <c r="N715" s="16">
        <f>IFERROR(VLOOKUP(Table15[[#This Row],[ROUTE]],DEMAND!A:F,6,FALSE),0)</f>
        <v>0</v>
      </c>
      <c r="O715" s="16">
        <f>IFERROR(ROUNDDOWN(Table15[[#This Row],[R-DEMAND]]/1706,0),0)</f>
        <v>0</v>
      </c>
      <c r="P715" s="16">
        <f>IFERROR(Table15[[#This Row],[ADD ACC]]*Table15[[#This Row],[RT TIME 
(380-800)]],0)</f>
        <v>0</v>
      </c>
      <c r="Q715" s="415">
        <f>IFERROR(VLOOKUP(Table15[[#This Row],[ROUTE]],PRICING!A:B,2,FALSE),0)</f>
        <v>0</v>
      </c>
      <c r="R715" s="235">
        <f>IFERROR(Table15[[#This Row],[C_DEMAND]]-Table15[[#This Row],[R-DEMAND]],0)</f>
        <v>0</v>
      </c>
      <c r="S715" s="408">
        <f t="shared" si="11"/>
        <v>0</v>
      </c>
      <c r="T715" s="419">
        <f>Table15[[#This Row],[R-DEMAND]]-(Table15[[#This Row],[ADD ACC]]*1706)</f>
        <v>0</v>
      </c>
      <c r="U715" s="419">
        <f>ROUNDDOWN(Table15[[#This Row],[Column1]]/1360,0)</f>
        <v>0</v>
      </c>
      <c r="V715" s="419"/>
      <c r="W715" s="251">
        <v>6.25</v>
      </c>
      <c r="X715" s="251">
        <f>ROUNDDOWN(Table15[[#This Row],[R-DEMAND]]/1320,0)</f>
        <v>0</v>
      </c>
      <c r="Y715" s="251">
        <f>IFERROR(Table15[[#This Row],[ADD ACC
(660/1320)]]*Table15[[#This Row],[Duration
(B744)]],0)</f>
        <v>0</v>
      </c>
      <c r="Z715" s="251"/>
    </row>
    <row r="716" spans="1:26" ht="15.75" customHeight="1" x14ac:dyDescent="0.25">
      <c r="A716" s="210" t="s">
        <v>15930</v>
      </c>
      <c r="B716" s="204" t="s">
        <v>2872</v>
      </c>
      <c r="C716" s="204"/>
      <c r="D716" s="205">
        <v>2</v>
      </c>
      <c r="E716" s="204" t="s">
        <v>1847</v>
      </c>
      <c r="F716" s="204" t="str">
        <f>VLOOKUP(E716,Table10[[COUNTRY NAME]:[CONTINENT CODE]],3,FALSE)</f>
        <v>AS</v>
      </c>
      <c r="G716" s="206" t="s">
        <v>11982</v>
      </c>
      <c r="H716" s="207">
        <v>1872</v>
      </c>
      <c r="I716" s="208">
        <v>6.25</v>
      </c>
      <c r="J716" s="345"/>
      <c r="K716" s="345">
        <f>IFERROR(Table15[[#This Row],[ROUTE $]]/Table15[[#This Row],[E - DEMAND]],0)</f>
        <v>0</v>
      </c>
      <c r="L716" s="204"/>
      <c r="M716" s="412">
        <f>IFERROR(VLOOKUP(Table15[[#This Row],[ROUTE]],DEMAND!A:F,5,FALSE),0)</f>
        <v>0</v>
      </c>
      <c r="N716" s="16">
        <f>IFERROR(VLOOKUP(Table15[[#This Row],[ROUTE]],DEMAND!A:F,6,FALSE),0)</f>
        <v>0</v>
      </c>
      <c r="O716" s="16">
        <f>IFERROR(ROUNDDOWN(Table15[[#This Row],[R-DEMAND]]/1706,0),0)</f>
        <v>0</v>
      </c>
      <c r="P716" s="16">
        <f>IFERROR(Table15[[#This Row],[ADD ACC]]*Table15[[#This Row],[RT TIME 
(380-800)]],0)</f>
        <v>0</v>
      </c>
      <c r="Q716" s="415">
        <f>IFERROR(VLOOKUP(Table15[[#This Row],[ROUTE]],PRICING!A:B,2,FALSE),0)</f>
        <v>0</v>
      </c>
      <c r="R716" s="235">
        <f>IFERROR(Table15[[#This Row],[C_DEMAND]]-Table15[[#This Row],[R-DEMAND]],0)</f>
        <v>0</v>
      </c>
      <c r="S716" s="408">
        <f t="shared" si="11"/>
        <v>0</v>
      </c>
      <c r="T716" s="419">
        <f>Table15[[#This Row],[R-DEMAND]]-(Table15[[#This Row],[ADD ACC]]*1706)</f>
        <v>0</v>
      </c>
      <c r="U716" s="419">
        <f>ROUNDDOWN(Table15[[#This Row],[Column1]]/1360,0)</f>
        <v>0</v>
      </c>
      <c r="V716" s="419"/>
      <c r="W716" s="251">
        <v>6.25</v>
      </c>
      <c r="X716" s="251">
        <f>ROUNDDOWN(Table15[[#This Row],[R-DEMAND]]/1320,0)</f>
        <v>0</v>
      </c>
      <c r="Y716" s="251">
        <f>IFERROR(Table15[[#This Row],[ADD ACC
(660/1320)]]*Table15[[#This Row],[Duration
(B744)]],0)</f>
        <v>0</v>
      </c>
      <c r="Z716" s="251"/>
    </row>
    <row r="717" spans="1:26" ht="15.75" customHeight="1" x14ac:dyDescent="0.25">
      <c r="A717" s="210" t="s">
        <v>15929</v>
      </c>
      <c r="B717" s="204" t="s">
        <v>3141</v>
      </c>
      <c r="C717" s="204"/>
      <c r="D717" s="205">
        <v>2</v>
      </c>
      <c r="E717" s="204" t="s">
        <v>1847</v>
      </c>
      <c r="F717" s="204" t="str">
        <f>VLOOKUP(E717,Table10[[COUNTRY NAME]:[CONTINENT CODE]],3,FALSE)</f>
        <v>AS</v>
      </c>
      <c r="G717" s="206" t="s">
        <v>11979</v>
      </c>
      <c r="H717" s="207">
        <v>1884</v>
      </c>
      <c r="I717" s="208">
        <v>6.25</v>
      </c>
      <c r="J717" s="345"/>
      <c r="K717" s="345">
        <f>IFERROR(Table15[[#This Row],[ROUTE $]]/Table15[[#This Row],[E - DEMAND]],0)</f>
        <v>0</v>
      </c>
      <c r="L717" s="204"/>
      <c r="M717" s="412">
        <f>IFERROR(VLOOKUP(Table15[[#This Row],[ROUTE]],DEMAND!A:F,5,FALSE),0)</f>
        <v>0</v>
      </c>
      <c r="N717" s="16">
        <f>IFERROR(VLOOKUP(Table15[[#This Row],[ROUTE]],DEMAND!A:F,6,FALSE),0)</f>
        <v>0</v>
      </c>
      <c r="O717" s="16">
        <f>IFERROR(ROUNDDOWN(Table15[[#This Row],[R-DEMAND]]/1706,0),0)</f>
        <v>0</v>
      </c>
      <c r="P717" s="16">
        <f>IFERROR(Table15[[#This Row],[ADD ACC]]*Table15[[#This Row],[RT TIME 
(380-800)]],0)</f>
        <v>0</v>
      </c>
      <c r="Q717" s="415">
        <f>IFERROR(VLOOKUP(Table15[[#This Row],[ROUTE]],PRICING!A:B,2,FALSE),0)</f>
        <v>0</v>
      </c>
      <c r="R717" s="235">
        <f>IFERROR(Table15[[#This Row],[C_DEMAND]]-Table15[[#This Row],[R-DEMAND]],0)</f>
        <v>0</v>
      </c>
      <c r="S717" s="408">
        <f t="shared" si="11"/>
        <v>0</v>
      </c>
      <c r="T717" s="419">
        <f>Table15[[#This Row],[R-DEMAND]]-(Table15[[#This Row],[ADD ACC]]*1706)</f>
        <v>0</v>
      </c>
      <c r="U717" s="419">
        <f>ROUNDDOWN(Table15[[#This Row],[Column1]]/1360,0)</f>
        <v>0</v>
      </c>
      <c r="V717" s="419"/>
      <c r="W717" s="251">
        <v>6.25</v>
      </c>
      <c r="X717" s="251">
        <f>ROUNDDOWN(Table15[[#This Row],[R-DEMAND]]/1320,0)</f>
        <v>0</v>
      </c>
      <c r="Y717" s="251">
        <f>IFERROR(Table15[[#This Row],[ADD ACC
(660/1320)]]*Table15[[#This Row],[Duration
(B744)]],0)</f>
        <v>0</v>
      </c>
      <c r="Z717" s="251"/>
    </row>
    <row r="718" spans="1:26" ht="15.75" customHeight="1" x14ac:dyDescent="0.25">
      <c r="A718" s="210" t="s">
        <v>15931</v>
      </c>
      <c r="B718" s="204" t="s">
        <v>1849</v>
      </c>
      <c r="C718" s="204"/>
      <c r="D718" s="205">
        <v>1</v>
      </c>
      <c r="E718" s="204" t="s">
        <v>1847</v>
      </c>
      <c r="F718" s="204" t="str">
        <f>VLOOKUP(E718,Table10[[COUNTRY NAME]:[CONTINENT CODE]],3,FALSE)</f>
        <v>AS</v>
      </c>
      <c r="G718" s="206" t="s">
        <v>11983</v>
      </c>
      <c r="H718" s="207">
        <v>1829</v>
      </c>
      <c r="I718" s="208">
        <v>6.25</v>
      </c>
      <c r="J718" s="345"/>
      <c r="K718" s="345">
        <f>IFERROR(Table15[[#This Row],[ROUTE $]]/Table15[[#This Row],[E - DEMAND]],0)</f>
        <v>0</v>
      </c>
      <c r="L718" s="204"/>
      <c r="M718" s="412">
        <f>IFERROR(VLOOKUP(Table15[[#This Row],[ROUTE]],DEMAND!A:F,5,FALSE),0)</f>
        <v>0</v>
      </c>
      <c r="N718" s="16">
        <f>IFERROR(VLOOKUP(Table15[[#This Row],[ROUTE]],DEMAND!A:F,6,FALSE),0)</f>
        <v>0</v>
      </c>
      <c r="O718" s="16">
        <f>IFERROR(ROUNDDOWN(Table15[[#This Row],[R-DEMAND]]/1706,0),0)</f>
        <v>0</v>
      </c>
      <c r="P718" s="16">
        <f>IFERROR(Table15[[#This Row],[ADD ACC]]*Table15[[#This Row],[RT TIME 
(380-800)]],0)</f>
        <v>0</v>
      </c>
      <c r="Q718" s="415">
        <f>IFERROR(VLOOKUP(Table15[[#This Row],[ROUTE]],PRICING!A:B,2,FALSE),0)</f>
        <v>0</v>
      </c>
      <c r="R718" s="235">
        <f>IFERROR(Table15[[#This Row],[C_DEMAND]]-Table15[[#This Row],[R-DEMAND]],0)</f>
        <v>0</v>
      </c>
      <c r="S718" s="408">
        <f t="shared" si="11"/>
        <v>0</v>
      </c>
      <c r="T718" s="419">
        <f>Table15[[#This Row],[R-DEMAND]]-(Table15[[#This Row],[ADD ACC]]*1706)</f>
        <v>0</v>
      </c>
      <c r="U718" s="419">
        <f>ROUNDDOWN(Table15[[#This Row],[Column1]]/1360,0)</f>
        <v>0</v>
      </c>
      <c r="V718" s="419"/>
      <c r="W718" s="251">
        <v>6.25</v>
      </c>
      <c r="X718" s="251">
        <f>ROUNDDOWN(Table15[[#This Row],[R-DEMAND]]/1320,0)</f>
        <v>0</v>
      </c>
      <c r="Y718" s="251">
        <f>IFERROR(Table15[[#This Row],[ADD ACC
(660/1320)]]*Table15[[#This Row],[Duration
(B744)]],0)</f>
        <v>0</v>
      </c>
      <c r="Z718" s="251"/>
    </row>
    <row r="719" spans="1:26" ht="15.75" customHeight="1" x14ac:dyDescent="0.25">
      <c r="A719" s="210" t="s">
        <v>15933</v>
      </c>
      <c r="B719" s="204" t="s">
        <v>232</v>
      </c>
      <c r="C719" s="204"/>
      <c r="D719" s="205">
        <v>3</v>
      </c>
      <c r="E719" s="204" t="s">
        <v>567</v>
      </c>
      <c r="F719" s="204" t="str">
        <f>VLOOKUP(E719,Table10[[COUNTRY NAME]:[CONTINENT CODE]],3,FALSE)</f>
        <v>AS</v>
      </c>
      <c r="G719" s="206" t="s">
        <v>12000</v>
      </c>
      <c r="H719" s="207">
        <v>1758</v>
      </c>
      <c r="I719" s="208">
        <v>6</v>
      </c>
      <c r="J719" s="345"/>
      <c r="K719" s="345">
        <f>IFERROR(Table15[[#This Row],[ROUTE $]]/Table15[[#This Row],[E - DEMAND]],0)</f>
        <v>0</v>
      </c>
      <c r="L719" s="204"/>
      <c r="M719" s="412">
        <f>IFERROR(VLOOKUP(Table15[[#This Row],[ROUTE]],DEMAND!A:F,5,FALSE),0)</f>
        <v>0</v>
      </c>
      <c r="N719" s="16">
        <f>IFERROR(VLOOKUP(Table15[[#This Row],[ROUTE]],DEMAND!A:F,6,FALSE),0)</f>
        <v>0</v>
      </c>
      <c r="O719" s="16">
        <f>IFERROR(ROUNDDOWN(Table15[[#This Row],[R-DEMAND]]/1706,0),0)</f>
        <v>0</v>
      </c>
      <c r="P719" s="16">
        <f>IFERROR(Table15[[#This Row],[ADD ACC]]*Table15[[#This Row],[RT TIME 
(380-800)]],0)</f>
        <v>0</v>
      </c>
      <c r="Q719" s="415">
        <f>IFERROR(VLOOKUP(Table15[[#This Row],[ROUTE]],PRICING!A:B,2,FALSE),0)</f>
        <v>0</v>
      </c>
      <c r="R719" s="235">
        <f>IFERROR(Table15[[#This Row],[C_DEMAND]]-Table15[[#This Row],[R-DEMAND]],0)</f>
        <v>0</v>
      </c>
      <c r="S719" s="408">
        <f t="shared" si="11"/>
        <v>0</v>
      </c>
      <c r="T719" s="419">
        <f>Table15[[#This Row],[R-DEMAND]]-(Table15[[#This Row],[ADD ACC]]*1706)</f>
        <v>0</v>
      </c>
      <c r="U719" s="419">
        <f>ROUNDDOWN(Table15[[#This Row],[Column1]]/1360,0)</f>
        <v>0</v>
      </c>
      <c r="V719" s="419"/>
      <c r="W719" s="251">
        <v>6</v>
      </c>
      <c r="X719" s="251">
        <f>ROUNDDOWN(Table15[[#This Row],[R-DEMAND]]/1320,0)</f>
        <v>0</v>
      </c>
      <c r="Y719" s="251">
        <f>IFERROR(Table15[[#This Row],[ADD ACC
(660/1320)]]*Table15[[#This Row],[Duration
(B744)]],0)</f>
        <v>0</v>
      </c>
      <c r="Z719" s="251"/>
    </row>
    <row r="720" spans="1:26" ht="15.75" customHeight="1" x14ac:dyDescent="0.25">
      <c r="A720" s="210" t="s">
        <v>15934</v>
      </c>
      <c r="B720" s="204" t="s">
        <v>504</v>
      </c>
      <c r="C720" s="204"/>
      <c r="D720" s="205">
        <v>1</v>
      </c>
      <c r="E720" s="204" t="s">
        <v>502</v>
      </c>
      <c r="F720" s="204" t="str">
        <f>VLOOKUP(E720,Table10[[COUNTRY NAME]:[CONTINENT CODE]],3,FALSE)</f>
        <v>AS</v>
      </c>
      <c r="G720" s="206" t="s">
        <v>11986</v>
      </c>
      <c r="H720" s="207">
        <v>1754</v>
      </c>
      <c r="I720" s="208">
        <v>6</v>
      </c>
      <c r="J720" s="345"/>
      <c r="K720" s="345">
        <f>IFERROR(Table15[[#This Row],[ROUTE $]]/Table15[[#This Row],[E - DEMAND]],0)</f>
        <v>0</v>
      </c>
      <c r="L720" s="204"/>
      <c r="M720" s="412">
        <f>IFERROR(VLOOKUP(Table15[[#This Row],[ROUTE]],DEMAND!A:F,5,FALSE),0)</f>
        <v>0</v>
      </c>
      <c r="N720" s="16">
        <f>IFERROR(VLOOKUP(Table15[[#This Row],[ROUTE]],DEMAND!A:F,6,FALSE),0)</f>
        <v>0</v>
      </c>
      <c r="O720" s="16">
        <f>IFERROR(ROUNDDOWN(Table15[[#This Row],[R-DEMAND]]/1706,0),0)</f>
        <v>0</v>
      </c>
      <c r="P720" s="16">
        <f>IFERROR(Table15[[#This Row],[ADD ACC]]*Table15[[#This Row],[RT TIME 
(380-800)]],0)</f>
        <v>0</v>
      </c>
      <c r="Q720" s="415">
        <f>IFERROR(VLOOKUP(Table15[[#This Row],[ROUTE]],PRICING!A:B,2,FALSE),0)</f>
        <v>0</v>
      </c>
      <c r="R720" s="235">
        <f>IFERROR(Table15[[#This Row],[C_DEMAND]]-Table15[[#This Row],[R-DEMAND]],0)</f>
        <v>0</v>
      </c>
      <c r="S720" s="408">
        <f t="shared" si="11"/>
        <v>0</v>
      </c>
      <c r="T720" s="419">
        <f>Table15[[#This Row],[R-DEMAND]]-(Table15[[#This Row],[ADD ACC]]*1706)</f>
        <v>0</v>
      </c>
      <c r="U720" s="419">
        <f>ROUNDDOWN(Table15[[#This Row],[Column1]]/1360,0)</f>
        <v>0</v>
      </c>
      <c r="V720" s="419"/>
      <c r="W720" s="251">
        <v>6</v>
      </c>
      <c r="X720" s="251">
        <f>ROUNDDOWN(Table15[[#This Row],[R-DEMAND]]/1320,0)</f>
        <v>0</v>
      </c>
      <c r="Y720" s="251">
        <f>IFERROR(Table15[[#This Row],[ADD ACC
(660/1320)]]*Table15[[#This Row],[Duration
(B744)]],0)</f>
        <v>0</v>
      </c>
      <c r="Z720" s="251"/>
    </row>
    <row r="721" spans="1:26" ht="15.75" customHeight="1" x14ac:dyDescent="0.25">
      <c r="A721" s="210" t="s">
        <v>15940</v>
      </c>
      <c r="B721" s="204" t="s">
        <v>180</v>
      </c>
      <c r="C721" s="204"/>
      <c r="D721" s="205">
        <v>3</v>
      </c>
      <c r="E721" s="204" t="s">
        <v>1456</v>
      </c>
      <c r="F721" s="204" t="str">
        <f>VLOOKUP(E721,Table10[[COUNTRY NAME]:[CONTINENT CODE]],3,FALSE)</f>
        <v>AS</v>
      </c>
      <c r="G721" s="206" t="s">
        <v>11992</v>
      </c>
      <c r="H721" s="207">
        <v>1590</v>
      </c>
      <c r="I721" s="208">
        <v>5.75</v>
      </c>
      <c r="J721" s="345"/>
      <c r="K721" s="345">
        <f>IFERROR(Table15[[#This Row],[ROUTE $]]/Table15[[#This Row],[E - DEMAND]],0)</f>
        <v>0</v>
      </c>
      <c r="L721" s="204"/>
      <c r="M721" s="412">
        <f>IFERROR(VLOOKUP(Table15[[#This Row],[ROUTE]],DEMAND!A:F,5,FALSE),0)</f>
        <v>0</v>
      </c>
      <c r="N721" s="16">
        <f>IFERROR(VLOOKUP(Table15[[#This Row],[ROUTE]],DEMAND!A:F,6,FALSE),0)</f>
        <v>0</v>
      </c>
      <c r="O721" s="16">
        <f>IFERROR(ROUNDDOWN(Table15[[#This Row],[R-DEMAND]]/1706,0),0)</f>
        <v>0</v>
      </c>
      <c r="P721" s="16">
        <f>IFERROR(Table15[[#This Row],[ADD ACC]]*Table15[[#This Row],[RT TIME 
(380-800)]],0)</f>
        <v>0</v>
      </c>
      <c r="Q721" s="415">
        <f>IFERROR(VLOOKUP(Table15[[#This Row],[ROUTE]],PRICING!A:B,2,FALSE),0)</f>
        <v>0</v>
      </c>
      <c r="R721" s="235">
        <f>IFERROR(Table15[[#This Row],[C_DEMAND]]-Table15[[#This Row],[R-DEMAND]],0)</f>
        <v>0</v>
      </c>
      <c r="S721" s="408">
        <f t="shared" si="11"/>
        <v>0</v>
      </c>
      <c r="T721" s="419">
        <f>Table15[[#This Row],[R-DEMAND]]-(Table15[[#This Row],[ADD ACC]]*1706)</f>
        <v>0</v>
      </c>
      <c r="U721" s="419">
        <f>ROUNDDOWN(Table15[[#This Row],[Column1]]/1360,0)</f>
        <v>0</v>
      </c>
      <c r="V721" s="419"/>
      <c r="W721" s="251">
        <v>5.75</v>
      </c>
      <c r="X721" s="251">
        <f>ROUNDDOWN(Table15[[#This Row],[R-DEMAND]]/1320,0)</f>
        <v>0</v>
      </c>
      <c r="Y721" s="251">
        <f>IFERROR(Table15[[#This Row],[ADD ACC
(660/1320)]]*Table15[[#This Row],[Duration
(B744)]],0)</f>
        <v>0</v>
      </c>
      <c r="Z721" s="251"/>
    </row>
    <row r="722" spans="1:26" ht="15.75" customHeight="1" x14ac:dyDescent="0.25">
      <c r="A722" s="210" t="s">
        <v>15942</v>
      </c>
      <c r="B722" s="204" t="s">
        <v>5126</v>
      </c>
      <c r="C722" s="204"/>
      <c r="D722" s="205">
        <v>3</v>
      </c>
      <c r="E722" s="204" t="s">
        <v>5124</v>
      </c>
      <c r="F722" s="204" t="str">
        <f>VLOOKUP(E722,Table10[[COUNTRY NAME]:[CONTINENT CODE]],3,FALSE)</f>
        <v>AS</v>
      </c>
      <c r="G722" s="206" t="s">
        <v>12078</v>
      </c>
      <c r="H722" s="207">
        <v>1526</v>
      </c>
      <c r="I722" s="208">
        <v>5.5</v>
      </c>
      <c r="J722" s="345"/>
      <c r="K722" s="345">
        <f>IFERROR(Table15[[#This Row],[ROUTE $]]/Table15[[#This Row],[E - DEMAND]],0)</f>
        <v>0</v>
      </c>
      <c r="L722" s="204"/>
      <c r="M722" s="412">
        <f>IFERROR(VLOOKUP(Table15[[#This Row],[ROUTE]],DEMAND!A:F,5,FALSE),0)</f>
        <v>0</v>
      </c>
      <c r="N722" s="16">
        <f>IFERROR(VLOOKUP(Table15[[#This Row],[ROUTE]],DEMAND!A:F,6,FALSE),0)</f>
        <v>0</v>
      </c>
      <c r="O722" s="16">
        <f>IFERROR(ROUNDDOWN(Table15[[#This Row],[R-DEMAND]]/1706,0),0)</f>
        <v>0</v>
      </c>
      <c r="P722" s="16">
        <f>IFERROR(Table15[[#This Row],[ADD ACC]]*Table15[[#This Row],[RT TIME 
(380-800)]],0)</f>
        <v>0</v>
      </c>
      <c r="Q722" s="415">
        <f>IFERROR(VLOOKUP(Table15[[#This Row],[ROUTE]],PRICING!A:B,2,FALSE),0)</f>
        <v>0</v>
      </c>
      <c r="R722" s="235">
        <f>IFERROR(Table15[[#This Row],[C_DEMAND]]-Table15[[#This Row],[R-DEMAND]],0)</f>
        <v>0</v>
      </c>
      <c r="S722" s="408">
        <f t="shared" si="11"/>
        <v>0</v>
      </c>
      <c r="T722" s="419">
        <f>Table15[[#This Row],[R-DEMAND]]-(Table15[[#This Row],[ADD ACC]]*1706)</f>
        <v>0</v>
      </c>
      <c r="U722" s="419">
        <f>ROUNDDOWN(Table15[[#This Row],[Column1]]/1360,0)</f>
        <v>0</v>
      </c>
      <c r="V722" s="419"/>
      <c r="W722" s="251">
        <v>5.5</v>
      </c>
      <c r="X722" s="251">
        <f>ROUNDDOWN(Table15[[#This Row],[R-DEMAND]]/1320,0)</f>
        <v>0</v>
      </c>
      <c r="Y722" s="251">
        <f>IFERROR(Table15[[#This Row],[ADD ACC
(660/1320)]]*Table15[[#This Row],[Duration
(B744)]],0)</f>
        <v>0</v>
      </c>
      <c r="Z722" s="251"/>
    </row>
    <row r="723" spans="1:26" ht="15.75" customHeight="1" x14ac:dyDescent="0.25">
      <c r="A723" s="210" t="s">
        <v>15941</v>
      </c>
      <c r="B723" s="204" t="s">
        <v>3674</v>
      </c>
      <c r="C723" s="204"/>
      <c r="D723" s="205">
        <v>2</v>
      </c>
      <c r="E723" s="204" t="s">
        <v>567</v>
      </c>
      <c r="F723" s="204" t="str">
        <f>VLOOKUP(E723,Table10[[COUNTRY NAME]:[CONTINENT CODE]],3,FALSE)</f>
        <v>AS</v>
      </c>
      <c r="G723" s="206" t="s">
        <v>11998</v>
      </c>
      <c r="H723" s="207">
        <v>1550</v>
      </c>
      <c r="I723" s="208">
        <v>5.5</v>
      </c>
      <c r="J723" s="345"/>
      <c r="K723" s="345">
        <f>IFERROR(Table15[[#This Row],[ROUTE $]]/Table15[[#This Row],[E - DEMAND]],0)</f>
        <v>0</v>
      </c>
      <c r="L723" s="204"/>
      <c r="M723" s="412">
        <f>IFERROR(VLOOKUP(Table15[[#This Row],[ROUTE]],DEMAND!A:F,5,FALSE),0)</f>
        <v>0</v>
      </c>
      <c r="N723" s="16">
        <f>IFERROR(VLOOKUP(Table15[[#This Row],[ROUTE]],DEMAND!A:F,6,FALSE),0)</f>
        <v>0</v>
      </c>
      <c r="O723" s="16">
        <f>IFERROR(ROUNDDOWN(Table15[[#This Row],[R-DEMAND]]/1706,0),0)</f>
        <v>0</v>
      </c>
      <c r="P723" s="16">
        <f>IFERROR(Table15[[#This Row],[ADD ACC]]*Table15[[#This Row],[RT TIME 
(380-800)]],0)</f>
        <v>0</v>
      </c>
      <c r="Q723" s="415">
        <f>IFERROR(VLOOKUP(Table15[[#This Row],[ROUTE]],PRICING!A:B,2,FALSE),0)</f>
        <v>0</v>
      </c>
      <c r="R723" s="235">
        <f>IFERROR(Table15[[#This Row],[C_DEMAND]]-Table15[[#This Row],[R-DEMAND]],0)</f>
        <v>0</v>
      </c>
      <c r="S723" s="408">
        <f t="shared" si="11"/>
        <v>0</v>
      </c>
      <c r="T723" s="419">
        <f>Table15[[#This Row],[R-DEMAND]]-(Table15[[#This Row],[ADD ACC]]*1706)</f>
        <v>0</v>
      </c>
      <c r="U723" s="419">
        <f>ROUNDDOWN(Table15[[#This Row],[Column1]]/1360,0)</f>
        <v>0</v>
      </c>
      <c r="V723" s="419"/>
      <c r="W723" s="251">
        <v>5.5</v>
      </c>
      <c r="X723" s="251">
        <f>ROUNDDOWN(Table15[[#This Row],[R-DEMAND]]/1320,0)</f>
        <v>0</v>
      </c>
      <c r="Y723" s="251">
        <f>IFERROR(Table15[[#This Row],[ADD ACC
(660/1320)]]*Table15[[#This Row],[Duration
(B744)]],0)</f>
        <v>0</v>
      </c>
      <c r="Z723" s="251"/>
    </row>
    <row r="724" spans="1:26" ht="15.75" customHeight="1" x14ac:dyDescent="0.25">
      <c r="A724" s="341" t="s">
        <v>18125</v>
      </c>
      <c r="B724" s="212" t="s">
        <v>4896</v>
      </c>
      <c r="C724" s="212"/>
      <c r="D724" s="226">
        <v>3</v>
      </c>
      <c r="E724" s="226" t="s">
        <v>4894</v>
      </c>
      <c r="F724" s="212" t="s">
        <v>12688</v>
      </c>
      <c r="G724" s="226" t="s">
        <v>17032</v>
      </c>
      <c r="H724" s="343">
        <v>14734</v>
      </c>
      <c r="I724" s="342"/>
      <c r="J724" s="346"/>
      <c r="K724" s="345">
        <f>IFERROR(Table15[[#This Row],[ROUTE $]]/Table15[[#This Row],[E - DEMAND]],0)</f>
        <v>0</v>
      </c>
      <c r="L724" s="212"/>
      <c r="M724" s="413">
        <f>IFERROR(VLOOKUP(Table15[[#This Row],[ROUTE]],DEMAND!A:F,5,FALSE),0)</f>
        <v>0</v>
      </c>
      <c r="N724" s="251">
        <f>IFERROR(VLOOKUP(Table15[[#This Row],[ROUTE]],DEMAND!A:F,6,FALSE),0)</f>
        <v>0</v>
      </c>
      <c r="O724" s="349"/>
      <c r="P724" s="349"/>
      <c r="Q724" s="416">
        <f>IFERROR(VLOOKUP(Table15[[#This Row],[ROUTE]],PRICING!A:B,2,FALSE),0)</f>
        <v>0</v>
      </c>
      <c r="R724" s="409">
        <f>IFERROR(Table15[[#This Row],[C_DEMAND]]-Table15[[#This Row],[R-DEMAND]],0)</f>
        <v>0</v>
      </c>
      <c r="S724" s="410">
        <f t="shared" si="11"/>
        <v>0</v>
      </c>
      <c r="T724" s="420">
        <f>Table15[[#This Row],[R-DEMAND]]-(Table15[[#This Row],[ADD ACC]]*1706)</f>
        <v>0</v>
      </c>
      <c r="U724" s="420">
        <f>ROUNDDOWN(Table15[[#This Row],[Column1]]/1360,0)</f>
        <v>0</v>
      </c>
      <c r="V724" s="420"/>
      <c r="W724" s="349"/>
      <c r="X724" s="349"/>
      <c r="Y724" s="349"/>
      <c r="Z724" s="349"/>
    </row>
    <row r="725" spans="1:26" ht="15.75" customHeight="1" x14ac:dyDescent="0.25">
      <c r="A725" s="210" t="s">
        <v>15217</v>
      </c>
      <c r="B725" s="204" t="s">
        <v>4863</v>
      </c>
      <c r="C725" s="204"/>
      <c r="D725" s="205">
        <v>3</v>
      </c>
      <c r="E725" s="204" t="s">
        <v>4861</v>
      </c>
      <c r="F725" s="204" t="str">
        <f>VLOOKUP(E725,Table10[[COUNTRY NAME]:[CONTINENT CODE]],3,FALSE)</f>
        <v>NA</v>
      </c>
      <c r="G725" s="206" t="s">
        <v>13212</v>
      </c>
      <c r="H725" s="207">
        <v>13732</v>
      </c>
      <c r="I725" s="208">
        <v>32.5</v>
      </c>
      <c r="J725" s="345"/>
      <c r="K725" s="345">
        <f>IFERROR(Table15[[#This Row],[ROUTE $]]/Table15[[#This Row],[E - DEMAND]],0)</f>
        <v>0</v>
      </c>
      <c r="L725" s="204"/>
      <c r="M725" s="412">
        <f>IFERROR(VLOOKUP(Table15[[#This Row],[ROUTE]],DEMAND!A:F,5,FALSE),0)</f>
        <v>0</v>
      </c>
      <c r="N725" s="16">
        <f>IFERROR(VLOOKUP(Table15[[#This Row],[ROUTE]],DEMAND!A:F,6,FALSE),0)</f>
        <v>0</v>
      </c>
      <c r="O725" s="16">
        <f>IFERROR(ROUNDDOWN(Table15[[#This Row],[R-DEMAND]]/1706,0),0)</f>
        <v>0</v>
      </c>
      <c r="P725" s="16">
        <f>IFERROR(Table15[[#This Row],[ADD ACC]]*Table15[[#This Row],[RT TIME 
(380-800)]],0)</f>
        <v>0</v>
      </c>
      <c r="Q725" s="415">
        <f>IFERROR(VLOOKUP(Table15[[#This Row],[ROUTE]],PRICING!A:B,2,FALSE),0)</f>
        <v>0</v>
      </c>
      <c r="R725" s="235">
        <f>IFERROR(Table15[[#This Row],[C_DEMAND]]-Table15[[#This Row],[R-DEMAND]],0)</f>
        <v>0</v>
      </c>
      <c r="S725" s="408">
        <f t="shared" si="11"/>
        <v>0</v>
      </c>
      <c r="T725" s="419">
        <f>Table15[[#This Row],[R-DEMAND]]-(Table15[[#This Row],[ADD ACC]]*1706)</f>
        <v>0</v>
      </c>
      <c r="U725" s="419">
        <f>ROUNDDOWN(Table15[[#This Row],[Column1]]/1360,0)</f>
        <v>0</v>
      </c>
      <c r="V725" s="419"/>
      <c r="W725" s="349"/>
      <c r="X725" s="349"/>
      <c r="Y725" s="349"/>
      <c r="Z725" s="349"/>
    </row>
    <row r="726" spans="1:26" ht="15.75" customHeight="1" x14ac:dyDescent="0.25">
      <c r="A726" s="210" t="s">
        <v>15126</v>
      </c>
      <c r="B726" s="204" t="s">
        <v>4735</v>
      </c>
      <c r="C726" s="204"/>
      <c r="D726" s="205">
        <v>3</v>
      </c>
      <c r="E726" s="204" t="s">
        <v>1749</v>
      </c>
      <c r="F726" s="204" t="str">
        <f>VLOOKUP(E726,Table10[[COUNTRY NAME]:[CONTINENT CODE]],3,FALSE)</f>
        <v>NA</v>
      </c>
      <c r="G726" s="206" t="s">
        <v>13228</v>
      </c>
      <c r="H726" s="207">
        <v>15179</v>
      </c>
      <c r="I726" s="208">
        <v>35.75</v>
      </c>
      <c r="J726" s="345"/>
      <c r="K726" s="345">
        <f>IFERROR(Table15[[#This Row],[ROUTE $]]/Table15[[#This Row],[E - DEMAND]],0)</f>
        <v>0</v>
      </c>
      <c r="L726" s="204"/>
      <c r="M726" s="412">
        <f>IFERROR(VLOOKUP(Table15[[#This Row],[ROUTE]],DEMAND!A:F,5,FALSE),0)</f>
        <v>0</v>
      </c>
      <c r="N726" s="16">
        <f>IFERROR(VLOOKUP(Table15[[#This Row],[ROUTE]],DEMAND!A:F,6,FALSE),0)</f>
        <v>0</v>
      </c>
      <c r="O726" s="16">
        <f>IFERROR(ROUNDDOWN(Table15[[#This Row],[R-DEMAND]]/1706,0),0)</f>
        <v>0</v>
      </c>
      <c r="P726" s="16">
        <f>IFERROR(Table15[[#This Row],[ADD ACC]]*Table15[[#This Row],[RT TIME 
(380-800)]],0)</f>
        <v>0</v>
      </c>
      <c r="Q726" s="415">
        <f>IFERROR(VLOOKUP(Table15[[#This Row],[ROUTE]],PRICING!A:B,2,FALSE),0)</f>
        <v>0</v>
      </c>
      <c r="R726" s="235">
        <f>IFERROR(Table15[[#This Row],[C_DEMAND]]-Table15[[#This Row],[R-DEMAND]],0)</f>
        <v>0</v>
      </c>
      <c r="S726" s="408">
        <f t="shared" si="11"/>
        <v>0</v>
      </c>
      <c r="T726" s="419">
        <f>Table15[[#This Row],[R-DEMAND]]-(Table15[[#This Row],[ADD ACC]]*1706)</f>
        <v>0</v>
      </c>
      <c r="U726" s="419">
        <f>ROUNDDOWN(Table15[[#This Row],[Column1]]/1360,0)</f>
        <v>0</v>
      </c>
      <c r="V726" s="419"/>
      <c r="W726" s="349"/>
      <c r="X726" s="349"/>
      <c r="Y726" s="349"/>
      <c r="Z726" s="349"/>
    </row>
    <row r="727" spans="1:26" ht="15.75" customHeight="1" x14ac:dyDescent="0.25">
      <c r="A727" s="210" t="s">
        <v>15123</v>
      </c>
      <c r="B727" s="204" t="s">
        <v>5114</v>
      </c>
      <c r="C727" s="204"/>
      <c r="D727" s="205">
        <v>3</v>
      </c>
      <c r="E727" s="204" t="s">
        <v>1749</v>
      </c>
      <c r="F727" s="204" t="str">
        <f>VLOOKUP(E727,Table10[[COUNTRY NAME]:[CONTINENT CODE]],3,FALSE)</f>
        <v>NA</v>
      </c>
      <c r="G727" s="206" t="s">
        <v>13214</v>
      </c>
      <c r="H727" s="207">
        <v>15314</v>
      </c>
      <c r="I727" s="208">
        <v>36</v>
      </c>
      <c r="J727" s="345"/>
      <c r="K727" s="345">
        <f>IFERROR(Table15[[#This Row],[ROUTE $]]/Table15[[#This Row],[E - DEMAND]],0)</f>
        <v>0</v>
      </c>
      <c r="L727" s="204"/>
      <c r="M727" s="412">
        <f>IFERROR(VLOOKUP(Table15[[#This Row],[ROUTE]],DEMAND!A:F,5,FALSE),0)</f>
        <v>0</v>
      </c>
      <c r="N727" s="16">
        <f>IFERROR(VLOOKUP(Table15[[#This Row],[ROUTE]],DEMAND!A:F,6,FALSE),0)</f>
        <v>0</v>
      </c>
      <c r="O727" s="16">
        <f>IFERROR(ROUNDDOWN(Table15[[#This Row],[R-DEMAND]]/1706,0),0)</f>
        <v>0</v>
      </c>
      <c r="P727" s="16">
        <f>IFERROR(Table15[[#This Row],[ADD ACC]]*Table15[[#This Row],[RT TIME 
(380-800)]],0)</f>
        <v>0</v>
      </c>
      <c r="Q727" s="415">
        <f>IFERROR(VLOOKUP(Table15[[#This Row],[ROUTE]],PRICING!A:B,2,FALSE),0)</f>
        <v>0</v>
      </c>
      <c r="R727" s="235">
        <f>IFERROR(Table15[[#This Row],[C_DEMAND]]-Table15[[#This Row],[R-DEMAND]],0)</f>
        <v>0</v>
      </c>
      <c r="S727" s="408">
        <f t="shared" si="11"/>
        <v>0</v>
      </c>
      <c r="T727" s="419">
        <f>Table15[[#This Row],[R-DEMAND]]-(Table15[[#This Row],[ADD ACC]]*1706)</f>
        <v>0</v>
      </c>
      <c r="U727" s="419">
        <f>ROUNDDOWN(Table15[[#This Row],[Column1]]/1360,0)</f>
        <v>0</v>
      </c>
      <c r="V727" s="419"/>
      <c r="W727" s="349"/>
      <c r="X727" s="349"/>
      <c r="Y727" s="349"/>
      <c r="Z727" s="349"/>
    </row>
    <row r="728" spans="1:26" ht="15.75" customHeight="1" x14ac:dyDescent="0.25">
      <c r="A728" s="341" t="s">
        <v>18224</v>
      </c>
      <c r="B728" s="212" t="s">
        <v>5697</v>
      </c>
      <c r="C728" s="212"/>
      <c r="D728" s="226">
        <v>5</v>
      </c>
      <c r="E728" s="226" t="s">
        <v>1858</v>
      </c>
      <c r="F728" s="212" t="s">
        <v>12674</v>
      </c>
      <c r="G728" s="404" t="s">
        <v>16928</v>
      </c>
      <c r="H728" s="343">
        <v>7603</v>
      </c>
      <c r="I728" s="342"/>
      <c r="J728" s="346"/>
      <c r="K728" s="345">
        <f>IFERROR(Table15[[#This Row],[ROUTE $]]/Table15[[#This Row],[E - DEMAND]],0)</f>
        <v>0</v>
      </c>
      <c r="L728" s="212"/>
      <c r="M728" s="413">
        <f>IFERROR(VLOOKUP(Table15[[#This Row],[ROUTE]],DEMAND!A:F,5,FALSE),0)</f>
        <v>0</v>
      </c>
      <c r="N728" s="251">
        <f>IFERROR(VLOOKUP(Table15[[#This Row],[ROUTE]],DEMAND!A:F,6,FALSE),0)</f>
        <v>0</v>
      </c>
      <c r="O728" s="349"/>
      <c r="P728" s="349"/>
      <c r="Q728" s="416">
        <f>IFERROR(VLOOKUP(Table15[[#This Row],[ROUTE]],PRICING!A:B,2,FALSE),0)</f>
        <v>0</v>
      </c>
      <c r="R728" s="409">
        <f>IFERROR(Table15[[#This Row],[C_DEMAND]]-Table15[[#This Row],[R-DEMAND]],0)</f>
        <v>0</v>
      </c>
      <c r="S728" s="410">
        <f t="shared" si="11"/>
        <v>0</v>
      </c>
      <c r="T728" s="420">
        <f>Table15[[#This Row],[R-DEMAND]]-(Table15[[#This Row],[ADD ACC]]*1706)</f>
        <v>0</v>
      </c>
      <c r="U728" s="420">
        <f>ROUNDDOWN(Table15[[#This Row],[Column1]]/1360,0)</f>
        <v>0</v>
      </c>
      <c r="V728" s="420"/>
      <c r="W728" s="349"/>
      <c r="X728" s="349"/>
      <c r="Y728" s="349"/>
      <c r="Z728" s="349"/>
    </row>
    <row r="729" spans="1:26" ht="15.75" customHeight="1" x14ac:dyDescent="0.25">
      <c r="A729" s="210" t="s">
        <v>15239</v>
      </c>
      <c r="B729" s="204" t="s">
        <v>5765</v>
      </c>
      <c r="C729" s="204"/>
      <c r="D729" s="205">
        <v>5</v>
      </c>
      <c r="E729" s="16" t="s">
        <v>11732</v>
      </c>
      <c r="F729" s="204" t="str">
        <f>VLOOKUP(E729,Table10[[COUNTRY NAME]:[CONTINENT CODE]],3,FALSE)</f>
        <v>NA - US</v>
      </c>
      <c r="G729" s="206" t="s">
        <v>13288</v>
      </c>
      <c r="H729" s="207">
        <v>13458</v>
      </c>
      <c r="I729" s="208">
        <v>32</v>
      </c>
      <c r="J729" s="345"/>
      <c r="K729" s="345">
        <f>IFERROR(Table15[[#This Row],[ROUTE $]]/Table15[[#This Row],[E - DEMAND]],0)</f>
        <v>0</v>
      </c>
      <c r="L729" s="204"/>
      <c r="M729" s="412">
        <f>IFERROR(VLOOKUP(Table15[[#This Row],[ROUTE]],DEMAND!A:F,5,FALSE),0)</f>
        <v>0</v>
      </c>
      <c r="N729" s="16">
        <f>IFERROR(VLOOKUP(Table15[[#This Row],[ROUTE]],DEMAND!A:F,6,FALSE),0)</f>
        <v>0</v>
      </c>
      <c r="O729" s="16">
        <f>IFERROR(ROUNDDOWN(Table15[[#This Row],[R-DEMAND]]/1706,0),0)</f>
        <v>0</v>
      </c>
      <c r="P729" s="16">
        <f>IFERROR(Table15[[#This Row],[ADD ACC]]*Table15[[#This Row],[RT TIME 
(380-800)]],0)</f>
        <v>0</v>
      </c>
      <c r="Q729" s="415">
        <f>IFERROR(VLOOKUP(Table15[[#This Row],[ROUTE]],PRICING!A:B,2,FALSE),0)</f>
        <v>0</v>
      </c>
      <c r="R729" s="235">
        <f>IFERROR(Table15[[#This Row],[C_DEMAND]]-Table15[[#This Row],[R-DEMAND]],0)</f>
        <v>0</v>
      </c>
      <c r="S729" s="408">
        <f t="shared" si="11"/>
        <v>0</v>
      </c>
      <c r="T729" s="419">
        <f>Table15[[#This Row],[R-DEMAND]]-(Table15[[#This Row],[ADD ACC]]*1706)</f>
        <v>0</v>
      </c>
      <c r="U729" s="419">
        <f>ROUNDDOWN(Table15[[#This Row],[Column1]]/1360,0)</f>
        <v>0</v>
      </c>
      <c r="V729" s="419"/>
      <c r="W729" s="349"/>
      <c r="X729" s="349"/>
      <c r="Y729" s="349"/>
      <c r="Z729" s="349"/>
    </row>
    <row r="730" spans="1:26" ht="15.75" customHeight="1" x14ac:dyDescent="0.25">
      <c r="A730" s="210" t="s">
        <v>15156</v>
      </c>
      <c r="B730" s="204" t="s">
        <v>5741</v>
      </c>
      <c r="C730" s="204"/>
      <c r="D730" s="205">
        <v>5</v>
      </c>
      <c r="E730" s="16" t="s">
        <v>11732</v>
      </c>
      <c r="F730" s="204" t="str">
        <f>VLOOKUP(E730,Table10[[COUNTRY NAME]:[CONTINENT CODE]],3,FALSE)</f>
        <v>NA - US</v>
      </c>
      <c r="G730" s="206" t="s">
        <v>13335</v>
      </c>
      <c r="H730" s="207">
        <v>14418</v>
      </c>
      <c r="I730" s="208">
        <v>34</v>
      </c>
      <c r="J730" s="345"/>
      <c r="K730" s="345">
        <f>IFERROR(Table15[[#This Row],[ROUTE $]]/Table15[[#This Row],[E - DEMAND]],0)</f>
        <v>0</v>
      </c>
      <c r="L730" s="204"/>
      <c r="M730" s="412">
        <f>IFERROR(VLOOKUP(Table15[[#This Row],[ROUTE]],DEMAND!A:F,5,FALSE),0)</f>
        <v>0</v>
      </c>
      <c r="N730" s="16">
        <f>IFERROR(VLOOKUP(Table15[[#This Row],[ROUTE]],DEMAND!A:F,6,FALSE),0)</f>
        <v>0</v>
      </c>
      <c r="O730" s="16">
        <f>IFERROR(ROUNDDOWN(Table15[[#This Row],[R-DEMAND]]/1706,0),0)</f>
        <v>0</v>
      </c>
      <c r="P730" s="16">
        <f>IFERROR(Table15[[#This Row],[ADD ACC]]*Table15[[#This Row],[RT TIME 
(380-800)]],0)</f>
        <v>0</v>
      </c>
      <c r="Q730" s="415">
        <f>IFERROR(VLOOKUP(Table15[[#This Row],[ROUTE]],PRICING!A:B,2,FALSE),0)</f>
        <v>0</v>
      </c>
      <c r="R730" s="235">
        <f>IFERROR(Table15[[#This Row],[C_DEMAND]]-Table15[[#This Row],[R-DEMAND]],0)</f>
        <v>0</v>
      </c>
      <c r="S730" s="408">
        <f t="shared" si="11"/>
        <v>0</v>
      </c>
      <c r="T730" s="419">
        <f>Table15[[#This Row],[R-DEMAND]]-(Table15[[#This Row],[ADD ACC]]*1706)</f>
        <v>0</v>
      </c>
      <c r="U730" s="419">
        <f>ROUNDDOWN(Table15[[#This Row],[Column1]]/1360,0)</f>
        <v>0</v>
      </c>
      <c r="V730" s="419"/>
      <c r="W730" s="349"/>
      <c r="X730" s="349"/>
      <c r="Y730" s="349"/>
      <c r="Z730" s="349"/>
    </row>
    <row r="731" spans="1:26" ht="15.75" customHeight="1" x14ac:dyDescent="0.25">
      <c r="A731" s="210" t="s">
        <v>15209</v>
      </c>
      <c r="B731" s="204" t="s">
        <v>5739</v>
      </c>
      <c r="C731" s="204"/>
      <c r="D731" s="205">
        <v>5</v>
      </c>
      <c r="E731" s="16" t="s">
        <v>11732</v>
      </c>
      <c r="F731" s="204" t="str">
        <f>VLOOKUP(E731,Table10[[COUNTRY NAME]:[CONTINENT CODE]],3,FALSE)</f>
        <v>NA - US</v>
      </c>
      <c r="G731" s="206" t="s">
        <v>13274</v>
      </c>
      <c r="H731" s="207">
        <v>13826</v>
      </c>
      <c r="I731" s="208">
        <v>32.75</v>
      </c>
      <c r="J731" s="345"/>
      <c r="K731" s="345">
        <f>IFERROR(Table15[[#This Row],[ROUTE $]]/Table15[[#This Row],[E - DEMAND]],0)</f>
        <v>0</v>
      </c>
      <c r="L731" s="204"/>
      <c r="M731" s="412">
        <f>IFERROR(VLOOKUP(Table15[[#This Row],[ROUTE]],DEMAND!A:F,5,FALSE),0)</f>
        <v>0</v>
      </c>
      <c r="N731" s="16">
        <f>IFERROR(VLOOKUP(Table15[[#This Row],[ROUTE]],DEMAND!A:F,6,FALSE),0)</f>
        <v>0</v>
      </c>
      <c r="O731" s="16">
        <f>IFERROR(ROUNDDOWN(Table15[[#This Row],[R-DEMAND]]/1706,0),0)</f>
        <v>0</v>
      </c>
      <c r="P731" s="16">
        <f>IFERROR(Table15[[#This Row],[ADD ACC]]*Table15[[#This Row],[RT TIME 
(380-800)]],0)</f>
        <v>0</v>
      </c>
      <c r="Q731" s="415">
        <f>IFERROR(VLOOKUP(Table15[[#This Row],[ROUTE]],PRICING!A:B,2,FALSE),0)</f>
        <v>0</v>
      </c>
      <c r="R731" s="235">
        <f>IFERROR(Table15[[#This Row],[C_DEMAND]]-Table15[[#This Row],[R-DEMAND]],0)</f>
        <v>0</v>
      </c>
      <c r="S731" s="408">
        <f t="shared" si="11"/>
        <v>0</v>
      </c>
      <c r="T731" s="419">
        <f>Table15[[#This Row],[R-DEMAND]]-(Table15[[#This Row],[ADD ACC]]*1706)</f>
        <v>0</v>
      </c>
      <c r="U731" s="419">
        <f>ROUNDDOWN(Table15[[#This Row],[Column1]]/1360,0)</f>
        <v>0</v>
      </c>
      <c r="V731" s="419"/>
      <c r="W731" s="349"/>
      <c r="X731" s="349"/>
      <c r="Y731" s="349"/>
      <c r="Z731" s="349"/>
    </row>
    <row r="732" spans="1:26" ht="15.75" customHeight="1" x14ac:dyDescent="0.25">
      <c r="A732" s="210" t="s">
        <v>15170</v>
      </c>
      <c r="B732" s="204" t="s">
        <v>5269</v>
      </c>
      <c r="C732" s="204"/>
      <c r="D732" s="205">
        <v>3</v>
      </c>
      <c r="E732" s="204" t="s">
        <v>1749</v>
      </c>
      <c r="F732" s="204" t="str">
        <f>VLOOKUP(E732,Table10[[COUNTRY NAME]:[CONTINENT CODE]],3,FALSE)</f>
        <v>NA</v>
      </c>
      <c r="G732" s="206" t="s">
        <v>13213</v>
      </c>
      <c r="H732" s="207">
        <v>14183</v>
      </c>
      <c r="I732" s="208">
        <v>33.5</v>
      </c>
      <c r="J732" s="345"/>
      <c r="K732" s="345">
        <f>IFERROR(Table15[[#This Row],[ROUTE $]]/Table15[[#This Row],[E - DEMAND]],0)</f>
        <v>0</v>
      </c>
      <c r="L732" s="204"/>
      <c r="M732" s="412">
        <f>IFERROR(VLOOKUP(Table15[[#This Row],[ROUTE]],DEMAND!A:F,5,FALSE),0)</f>
        <v>0</v>
      </c>
      <c r="N732" s="16">
        <f>IFERROR(VLOOKUP(Table15[[#This Row],[ROUTE]],DEMAND!A:F,6,FALSE),0)</f>
        <v>0</v>
      </c>
      <c r="O732" s="16">
        <f>IFERROR(ROUNDDOWN(Table15[[#This Row],[R-DEMAND]]/1706,0),0)</f>
        <v>0</v>
      </c>
      <c r="P732" s="16">
        <f>IFERROR(Table15[[#This Row],[ADD ACC]]*Table15[[#This Row],[RT TIME 
(380-800)]],0)</f>
        <v>0</v>
      </c>
      <c r="Q732" s="415">
        <f>IFERROR(VLOOKUP(Table15[[#This Row],[ROUTE]],PRICING!A:B,2,FALSE),0)</f>
        <v>0</v>
      </c>
      <c r="R732" s="235">
        <f>IFERROR(Table15[[#This Row],[C_DEMAND]]-Table15[[#This Row],[R-DEMAND]],0)</f>
        <v>0</v>
      </c>
      <c r="S732" s="408">
        <f t="shared" si="11"/>
        <v>0</v>
      </c>
      <c r="T732" s="419">
        <f>Table15[[#This Row],[R-DEMAND]]-(Table15[[#This Row],[ADD ACC]]*1706)</f>
        <v>0</v>
      </c>
      <c r="U732" s="419">
        <f>ROUNDDOWN(Table15[[#This Row],[Column1]]/1360,0)</f>
        <v>0</v>
      </c>
      <c r="V732" s="419"/>
      <c r="W732" s="349"/>
      <c r="X732" s="349"/>
      <c r="Y732" s="349"/>
      <c r="Z732" s="349"/>
    </row>
    <row r="733" spans="1:26" ht="15.75" customHeight="1" x14ac:dyDescent="0.25">
      <c r="A733" s="341" t="s">
        <v>18213</v>
      </c>
      <c r="B733" s="212" t="s">
        <v>4333</v>
      </c>
      <c r="C733" s="212"/>
      <c r="D733" s="226">
        <v>2</v>
      </c>
      <c r="E733" s="226" t="s">
        <v>774</v>
      </c>
      <c r="F733" s="212" t="s">
        <v>12682</v>
      </c>
      <c r="G733" s="226" t="s">
        <v>7536</v>
      </c>
      <c r="H733" s="343">
        <v>9650</v>
      </c>
      <c r="I733" s="342"/>
      <c r="J733" s="346"/>
      <c r="K733" s="345">
        <f>IFERROR(Table15[[#This Row],[ROUTE $]]/Table15[[#This Row],[E - DEMAND]],0)</f>
        <v>0</v>
      </c>
      <c r="L733" s="212"/>
      <c r="M733" s="413">
        <f>IFERROR(VLOOKUP(Table15[[#This Row],[ROUTE]],DEMAND!A:F,5,FALSE),0)</f>
        <v>0</v>
      </c>
      <c r="N733" s="251">
        <f>IFERROR(VLOOKUP(Table15[[#This Row],[ROUTE]],DEMAND!A:F,6,FALSE),0)</f>
        <v>0</v>
      </c>
      <c r="O733" s="349"/>
      <c r="P733" s="349"/>
      <c r="Q733" s="416">
        <f>IFERROR(VLOOKUP(Table15[[#This Row],[ROUTE]],PRICING!A:B,2,FALSE),0)</f>
        <v>0</v>
      </c>
      <c r="R733" s="409">
        <f>IFERROR(Table15[[#This Row],[C_DEMAND]]-Table15[[#This Row],[R-DEMAND]],0)</f>
        <v>0</v>
      </c>
      <c r="S733" s="410">
        <f t="shared" si="11"/>
        <v>0</v>
      </c>
      <c r="T733" s="420">
        <f>Table15[[#This Row],[R-DEMAND]]-(Table15[[#This Row],[ADD ACC]]*1706)</f>
        <v>0</v>
      </c>
      <c r="U733" s="420">
        <f>ROUNDDOWN(Table15[[#This Row],[Column1]]/1360,0)</f>
        <v>0</v>
      </c>
      <c r="V733" s="420"/>
      <c r="W733" s="349"/>
      <c r="X733" s="349"/>
      <c r="Y733" s="349"/>
      <c r="Z733" s="349"/>
    </row>
    <row r="734" spans="1:26" ht="15.75" customHeight="1" x14ac:dyDescent="0.25">
      <c r="A734" s="341" t="s">
        <v>18218</v>
      </c>
      <c r="B734" s="212" t="s">
        <v>3414</v>
      </c>
      <c r="C734" s="212"/>
      <c r="D734" s="226">
        <v>2</v>
      </c>
      <c r="E734" s="226" t="s">
        <v>774</v>
      </c>
      <c r="F734" s="212" t="s">
        <v>12682</v>
      </c>
      <c r="G734" s="226" t="s">
        <v>9300</v>
      </c>
      <c r="H734" s="343">
        <v>8495</v>
      </c>
      <c r="I734" s="342"/>
      <c r="J734" s="346"/>
      <c r="K734" s="345">
        <f>IFERROR(Table15[[#This Row],[ROUTE $]]/Table15[[#This Row],[E - DEMAND]],0)</f>
        <v>0</v>
      </c>
      <c r="L734" s="212"/>
      <c r="M734" s="413">
        <f>IFERROR(VLOOKUP(Table15[[#This Row],[ROUTE]],DEMAND!A:F,5,FALSE),0)</f>
        <v>0</v>
      </c>
      <c r="N734" s="251">
        <f>IFERROR(VLOOKUP(Table15[[#This Row],[ROUTE]],DEMAND!A:F,6,FALSE),0)</f>
        <v>0</v>
      </c>
      <c r="O734" s="349"/>
      <c r="P734" s="349"/>
      <c r="Q734" s="416">
        <f>IFERROR(VLOOKUP(Table15[[#This Row],[ROUTE]],PRICING!A:B,2,FALSE),0)</f>
        <v>0</v>
      </c>
      <c r="R734" s="409">
        <f>IFERROR(Table15[[#This Row],[C_DEMAND]]-Table15[[#This Row],[R-DEMAND]],0)</f>
        <v>0</v>
      </c>
      <c r="S734" s="410">
        <f t="shared" si="11"/>
        <v>0</v>
      </c>
      <c r="T734" s="420">
        <f>Table15[[#This Row],[R-DEMAND]]-(Table15[[#This Row],[ADD ACC]]*1706)</f>
        <v>0</v>
      </c>
      <c r="U734" s="420">
        <f>ROUNDDOWN(Table15[[#This Row],[Column1]]/1360,0)</f>
        <v>0</v>
      </c>
      <c r="V734" s="420"/>
      <c r="W734" s="349"/>
      <c r="X734" s="349"/>
      <c r="Y734" s="349"/>
      <c r="Z734" s="349"/>
    </row>
    <row r="735" spans="1:26" ht="15.75" customHeight="1" x14ac:dyDescent="0.25">
      <c r="A735" s="341" t="s">
        <v>18220</v>
      </c>
      <c r="B735" s="212" t="s">
        <v>3719</v>
      </c>
      <c r="C735" s="212"/>
      <c r="D735" s="226">
        <v>2</v>
      </c>
      <c r="E735" s="226" t="s">
        <v>774</v>
      </c>
      <c r="F735" s="212" t="s">
        <v>12682</v>
      </c>
      <c r="G735" s="226" t="s">
        <v>18105</v>
      </c>
      <c r="H735" s="343">
        <v>7984</v>
      </c>
      <c r="I735" s="342"/>
      <c r="J735" s="346"/>
      <c r="K735" s="345">
        <f>IFERROR(Table15[[#This Row],[ROUTE $]]/Table15[[#This Row],[E - DEMAND]],0)</f>
        <v>0</v>
      </c>
      <c r="L735" s="212"/>
      <c r="M735" s="413">
        <f>IFERROR(VLOOKUP(Table15[[#This Row],[ROUTE]],DEMAND!A:F,5,FALSE),0)</f>
        <v>0</v>
      </c>
      <c r="N735" s="251">
        <f>IFERROR(VLOOKUP(Table15[[#This Row],[ROUTE]],DEMAND!A:F,6,FALSE),0)</f>
        <v>0</v>
      </c>
      <c r="O735" s="349"/>
      <c r="P735" s="349"/>
      <c r="Q735" s="416">
        <f>IFERROR(VLOOKUP(Table15[[#This Row],[ROUTE]],PRICING!A:B,2,FALSE),0)</f>
        <v>0</v>
      </c>
      <c r="R735" s="409">
        <f>IFERROR(Table15[[#This Row],[C_DEMAND]]-Table15[[#This Row],[R-DEMAND]],0)</f>
        <v>0</v>
      </c>
      <c r="S735" s="410">
        <f t="shared" si="11"/>
        <v>0</v>
      </c>
      <c r="T735" s="420">
        <f>Table15[[#This Row],[R-DEMAND]]-(Table15[[#This Row],[ADD ACC]]*1706)</f>
        <v>0</v>
      </c>
      <c r="U735" s="420">
        <f>ROUNDDOWN(Table15[[#This Row],[Column1]]/1360,0)</f>
        <v>0</v>
      </c>
      <c r="V735" s="420"/>
      <c r="W735" s="349"/>
      <c r="X735" s="349"/>
      <c r="Y735" s="349"/>
      <c r="Z735" s="349"/>
    </row>
    <row r="736" spans="1:26" ht="15.75" customHeight="1" x14ac:dyDescent="0.25">
      <c r="A736" s="341" t="s">
        <v>18214</v>
      </c>
      <c r="B736" s="212" t="s">
        <v>2343</v>
      </c>
      <c r="C736" s="212"/>
      <c r="D736" s="226">
        <v>1</v>
      </c>
      <c r="E736" s="226" t="s">
        <v>774</v>
      </c>
      <c r="F736" s="212" t="s">
        <v>12682</v>
      </c>
      <c r="G736" s="226" t="s">
        <v>10654</v>
      </c>
      <c r="H736" s="343">
        <v>9249</v>
      </c>
      <c r="I736" s="342"/>
      <c r="J736" s="346"/>
      <c r="K736" s="345">
        <f>IFERROR(Table15[[#This Row],[ROUTE $]]/Table15[[#This Row],[E - DEMAND]],0)</f>
        <v>0</v>
      </c>
      <c r="L736" s="212"/>
      <c r="M736" s="413">
        <f>IFERROR(VLOOKUP(Table15[[#This Row],[ROUTE]],DEMAND!A:F,5,FALSE),0)</f>
        <v>0</v>
      </c>
      <c r="N736" s="251">
        <f>IFERROR(VLOOKUP(Table15[[#This Row],[ROUTE]],DEMAND!A:F,6,FALSE),0)</f>
        <v>0</v>
      </c>
      <c r="O736" s="349"/>
      <c r="P736" s="349"/>
      <c r="Q736" s="416">
        <f>IFERROR(VLOOKUP(Table15[[#This Row],[ROUTE]],PRICING!A:B,2,FALSE),0)</f>
        <v>0</v>
      </c>
      <c r="R736" s="409">
        <f>IFERROR(Table15[[#This Row],[C_DEMAND]]-Table15[[#This Row],[R-DEMAND]],0)</f>
        <v>0</v>
      </c>
      <c r="S736" s="410">
        <f t="shared" si="11"/>
        <v>0</v>
      </c>
      <c r="T736" s="420">
        <f>Table15[[#This Row],[R-DEMAND]]-(Table15[[#This Row],[ADD ACC]]*1706)</f>
        <v>0</v>
      </c>
      <c r="U736" s="420">
        <f>ROUNDDOWN(Table15[[#This Row],[Column1]]/1360,0)</f>
        <v>0</v>
      </c>
      <c r="V736" s="420"/>
      <c r="W736" s="349"/>
      <c r="X736" s="349"/>
      <c r="Y736" s="349"/>
      <c r="Z736" s="349"/>
    </row>
    <row r="737" spans="1:26" ht="15.75" customHeight="1" x14ac:dyDescent="0.25">
      <c r="A737" s="341" t="s">
        <v>18278</v>
      </c>
      <c r="B737" s="212" t="s">
        <v>5287</v>
      </c>
      <c r="C737" s="212"/>
      <c r="D737" s="226">
        <v>4</v>
      </c>
      <c r="E737" s="226" t="s">
        <v>1261</v>
      </c>
      <c r="F737" s="212" t="s">
        <v>12670</v>
      </c>
      <c r="G737" s="226" t="s">
        <v>18107</v>
      </c>
      <c r="H737" s="343">
        <v>5677</v>
      </c>
      <c r="I737" s="342"/>
      <c r="J737" s="346">
        <v>200844647</v>
      </c>
      <c r="K737" s="345">
        <f>IFERROR(Table15[[#This Row],[ROUTE $]]/Table15[[#This Row],[E - DEMAND]],0)</f>
        <v>46524.124855223534</v>
      </c>
      <c r="L737" s="212">
        <v>4317</v>
      </c>
      <c r="M737" s="413">
        <f>IFERROR(VLOOKUP(Table15[[#This Row],[ROUTE]],DEMAND!A:F,5,FALSE),0)</f>
        <v>0</v>
      </c>
      <c r="N737" s="251">
        <f>IFERROR(VLOOKUP(Table15[[#This Row],[ROUTE]],DEMAND!A:F,6,FALSE),0)</f>
        <v>0</v>
      </c>
      <c r="O737" s="349"/>
      <c r="P737" s="349"/>
      <c r="Q737" s="416">
        <f>IFERROR(VLOOKUP(Table15[[#This Row],[ROUTE]],PRICING!A:B,2,FALSE),0)</f>
        <v>0</v>
      </c>
      <c r="R737" s="409">
        <f>IFERROR(Table15[[#This Row],[C_DEMAND]]-Table15[[#This Row],[R-DEMAND]],0)</f>
        <v>0</v>
      </c>
      <c r="S737" s="410">
        <f t="shared" si="11"/>
        <v>0</v>
      </c>
      <c r="T737" s="420">
        <f>Table15[[#This Row],[R-DEMAND]]-(Table15[[#This Row],[ADD ACC]]*1706)</f>
        <v>0</v>
      </c>
      <c r="U737" s="420">
        <f>ROUNDDOWN(Table15[[#This Row],[Column1]]/1360,0)</f>
        <v>0</v>
      </c>
      <c r="V737" s="420"/>
      <c r="W737" s="349"/>
      <c r="X737" s="349"/>
      <c r="Y737" s="349"/>
      <c r="Z737" s="349"/>
    </row>
    <row r="738" spans="1:26" ht="15.75" customHeight="1" x14ac:dyDescent="0.25">
      <c r="A738" s="341" t="s">
        <v>18152</v>
      </c>
      <c r="B738" s="212" t="s">
        <v>4486</v>
      </c>
      <c r="C738" s="212"/>
      <c r="D738" s="226">
        <v>2</v>
      </c>
      <c r="E738" s="226" t="s">
        <v>10861</v>
      </c>
      <c r="F738" s="212" t="s">
        <v>12688</v>
      </c>
      <c r="G738" s="226" t="s">
        <v>17029</v>
      </c>
      <c r="H738" s="343">
        <v>13633</v>
      </c>
      <c r="I738" s="342"/>
      <c r="J738" s="346"/>
      <c r="K738" s="345">
        <f>IFERROR(Table15[[#This Row],[ROUTE $]]/Table15[[#This Row],[E - DEMAND]],0)</f>
        <v>0</v>
      </c>
      <c r="L738" s="212"/>
      <c r="M738" s="413">
        <f>IFERROR(VLOOKUP(Table15[[#This Row],[ROUTE]],DEMAND!A:F,5,FALSE),0)</f>
        <v>0</v>
      </c>
      <c r="N738" s="251">
        <f>IFERROR(VLOOKUP(Table15[[#This Row],[ROUTE]],DEMAND!A:F,6,FALSE),0)</f>
        <v>0</v>
      </c>
      <c r="O738" s="349"/>
      <c r="P738" s="349"/>
      <c r="Q738" s="416">
        <f>IFERROR(VLOOKUP(Table15[[#This Row],[ROUTE]],PRICING!A:B,2,FALSE),0)</f>
        <v>0</v>
      </c>
      <c r="R738" s="409">
        <f>IFERROR(Table15[[#This Row],[C_DEMAND]]-Table15[[#This Row],[R-DEMAND]],0)</f>
        <v>0</v>
      </c>
      <c r="S738" s="410">
        <f t="shared" si="11"/>
        <v>0</v>
      </c>
      <c r="T738" s="420">
        <f>Table15[[#This Row],[R-DEMAND]]-(Table15[[#This Row],[ADD ACC]]*1706)</f>
        <v>0</v>
      </c>
      <c r="U738" s="420">
        <f>ROUNDDOWN(Table15[[#This Row],[Column1]]/1360,0)</f>
        <v>0</v>
      </c>
      <c r="V738" s="420"/>
      <c r="W738" s="349"/>
      <c r="X738" s="349"/>
      <c r="Y738" s="349"/>
      <c r="Z738" s="349"/>
    </row>
    <row r="739" spans="1:26" ht="15.75" customHeight="1" x14ac:dyDescent="0.25">
      <c r="A739" s="341" t="s">
        <v>18226</v>
      </c>
      <c r="B739" s="212" t="s">
        <v>5530</v>
      </c>
      <c r="C739" s="212"/>
      <c r="D739" s="226">
        <v>4</v>
      </c>
      <c r="E739" s="226" t="s">
        <v>83</v>
      </c>
      <c r="F739" s="212" t="s">
        <v>12674</v>
      </c>
      <c r="G739" s="404" t="s">
        <v>16924</v>
      </c>
      <c r="H739" s="343">
        <v>7476</v>
      </c>
      <c r="I739" s="342"/>
      <c r="J739" s="346"/>
      <c r="K739" s="345">
        <f>IFERROR(Table15[[#This Row],[ROUTE $]]/Table15[[#This Row],[E - DEMAND]],0)</f>
        <v>0</v>
      </c>
      <c r="L739" s="212"/>
      <c r="M739" s="413">
        <f>IFERROR(VLOOKUP(Table15[[#This Row],[ROUTE]],DEMAND!A:F,5,FALSE),0)</f>
        <v>0</v>
      </c>
      <c r="N739" s="251">
        <f>IFERROR(VLOOKUP(Table15[[#This Row],[ROUTE]],DEMAND!A:F,6,FALSE),0)</f>
        <v>0</v>
      </c>
      <c r="O739" s="349"/>
      <c r="P739" s="349"/>
      <c r="Q739" s="416">
        <f>IFERROR(VLOOKUP(Table15[[#This Row],[ROUTE]],PRICING!A:B,2,FALSE),0)</f>
        <v>0</v>
      </c>
      <c r="R739" s="409">
        <f>IFERROR(Table15[[#This Row],[C_DEMAND]]-Table15[[#This Row],[R-DEMAND]],0)</f>
        <v>0</v>
      </c>
      <c r="S739" s="410">
        <f t="shared" si="11"/>
        <v>0</v>
      </c>
      <c r="T739" s="420">
        <f>Table15[[#This Row],[R-DEMAND]]-(Table15[[#This Row],[ADD ACC]]*1706)</f>
        <v>0</v>
      </c>
      <c r="U739" s="420">
        <f>ROUNDDOWN(Table15[[#This Row],[Column1]]/1360,0)</f>
        <v>0</v>
      </c>
      <c r="V739" s="420"/>
      <c r="W739" s="349"/>
      <c r="X739" s="349"/>
      <c r="Y739" s="349"/>
      <c r="Z739" s="349"/>
    </row>
    <row r="740" spans="1:26" ht="15.75" customHeight="1" x14ac:dyDescent="0.25">
      <c r="A740" s="341" t="s">
        <v>18228</v>
      </c>
      <c r="B740" s="212" t="s">
        <v>5557</v>
      </c>
      <c r="C740" s="212"/>
      <c r="D740" s="226">
        <v>4</v>
      </c>
      <c r="E740" s="226" t="s">
        <v>83</v>
      </c>
      <c r="F740" s="212" t="s">
        <v>12674</v>
      </c>
      <c r="G740" s="404" t="s">
        <v>16922</v>
      </c>
      <c r="H740" s="343">
        <v>7410</v>
      </c>
      <c r="I740" s="342"/>
      <c r="J740" s="346"/>
      <c r="K740" s="345">
        <f>IFERROR(Table15[[#This Row],[ROUTE $]]/Table15[[#This Row],[E - DEMAND]],0)</f>
        <v>0</v>
      </c>
      <c r="L740" s="212"/>
      <c r="M740" s="413">
        <f>IFERROR(VLOOKUP(Table15[[#This Row],[ROUTE]],DEMAND!A:F,5,FALSE),0)</f>
        <v>0</v>
      </c>
      <c r="N740" s="251">
        <f>IFERROR(VLOOKUP(Table15[[#This Row],[ROUTE]],DEMAND!A:F,6,FALSE),0)</f>
        <v>0</v>
      </c>
      <c r="O740" s="349"/>
      <c r="P740" s="349"/>
      <c r="Q740" s="416">
        <f>IFERROR(VLOOKUP(Table15[[#This Row],[ROUTE]],PRICING!A:B,2,FALSE),0)</f>
        <v>0</v>
      </c>
      <c r="R740" s="409">
        <f>IFERROR(Table15[[#This Row],[C_DEMAND]]-Table15[[#This Row],[R-DEMAND]],0)</f>
        <v>0</v>
      </c>
      <c r="S740" s="410">
        <f t="shared" si="11"/>
        <v>0</v>
      </c>
      <c r="T740" s="420">
        <f>Table15[[#This Row],[R-DEMAND]]-(Table15[[#This Row],[ADD ACC]]*1706)</f>
        <v>0</v>
      </c>
      <c r="U740" s="420">
        <f>ROUNDDOWN(Table15[[#This Row],[Column1]]/1360,0)</f>
        <v>0</v>
      </c>
      <c r="V740" s="420"/>
      <c r="W740" s="349"/>
      <c r="X740" s="349"/>
      <c r="Y740" s="349"/>
      <c r="Z740" s="349"/>
    </row>
    <row r="741" spans="1:26" ht="15.75" customHeight="1" x14ac:dyDescent="0.25">
      <c r="A741" s="210" t="s">
        <v>15200</v>
      </c>
      <c r="B741" s="204" t="s">
        <v>5411</v>
      </c>
      <c r="C741" s="204"/>
      <c r="D741" s="205">
        <v>4</v>
      </c>
      <c r="E741" s="16" t="s">
        <v>11732</v>
      </c>
      <c r="F741" s="204" t="str">
        <f>VLOOKUP(E741,Table10[[COUNTRY NAME]:[CONTINENT CODE]],3,FALSE)</f>
        <v>NA - US</v>
      </c>
      <c r="G741" s="206" t="s">
        <v>13292</v>
      </c>
      <c r="H741" s="207">
        <v>13999</v>
      </c>
      <c r="I741" s="208">
        <v>33.25</v>
      </c>
      <c r="J741" s="345"/>
      <c r="K741" s="345">
        <f>IFERROR(Table15[[#This Row],[ROUTE $]]/Table15[[#This Row],[E - DEMAND]],0)</f>
        <v>0</v>
      </c>
      <c r="L741" s="204"/>
      <c r="M741" s="412">
        <f>IFERROR(VLOOKUP(Table15[[#This Row],[ROUTE]],DEMAND!A:F,5,FALSE),0)</f>
        <v>0</v>
      </c>
      <c r="N741" s="16">
        <f>IFERROR(VLOOKUP(Table15[[#This Row],[ROUTE]],DEMAND!A:F,6,FALSE),0)</f>
        <v>0</v>
      </c>
      <c r="O741" s="16">
        <f>IFERROR(ROUNDDOWN(Table15[[#This Row],[R-DEMAND]]/1706,0),0)</f>
        <v>0</v>
      </c>
      <c r="P741" s="16">
        <f>IFERROR(Table15[[#This Row],[ADD ACC]]*Table15[[#This Row],[RT TIME 
(380-800)]],0)</f>
        <v>0</v>
      </c>
      <c r="Q741" s="415">
        <f>IFERROR(VLOOKUP(Table15[[#This Row],[ROUTE]],PRICING!A:B,2,FALSE),0)</f>
        <v>0</v>
      </c>
      <c r="R741" s="235">
        <f>IFERROR(Table15[[#This Row],[C_DEMAND]]-Table15[[#This Row],[R-DEMAND]],0)</f>
        <v>0</v>
      </c>
      <c r="S741" s="408">
        <f t="shared" si="11"/>
        <v>0</v>
      </c>
      <c r="T741" s="419">
        <f>Table15[[#This Row],[R-DEMAND]]-(Table15[[#This Row],[ADD ACC]]*1706)</f>
        <v>0</v>
      </c>
      <c r="U741" s="419">
        <f>ROUNDDOWN(Table15[[#This Row],[Column1]]/1360,0)</f>
        <v>0</v>
      </c>
      <c r="V741" s="419"/>
      <c r="W741" s="349"/>
      <c r="X741" s="349"/>
      <c r="Y741" s="349"/>
      <c r="Z741" s="349"/>
    </row>
    <row r="742" spans="1:26" ht="15.75" customHeight="1" x14ac:dyDescent="0.25">
      <c r="A742" s="210" t="s">
        <v>15154</v>
      </c>
      <c r="B742" s="204" t="s">
        <v>5524</v>
      </c>
      <c r="C742" s="204"/>
      <c r="D742" s="205">
        <v>4</v>
      </c>
      <c r="E742" s="16" t="s">
        <v>11732</v>
      </c>
      <c r="F742" s="204" t="str">
        <f>VLOOKUP(E742,Table10[[COUNTRY NAME]:[CONTINENT CODE]],3,FALSE)</f>
        <v>NA - US</v>
      </c>
      <c r="G742" s="206" t="s">
        <v>13324</v>
      </c>
      <c r="H742" s="207">
        <v>14446</v>
      </c>
      <c r="I742" s="208">
        <v>34</v>
      </c>
      <c r="J742" s="345"/>
      <c r="K742" s="345">
        <f>IFERROR(Table15[[#This Row],[ROUTE $]]/Table15[[#This Row],[E - DEMAND]],0)</f>
        <v>0</v>
      </c>
      <c r="L742" s="204"/>
      <c r="M742" s="412">
        <f>IFERROR(VLOOKUP(Table15[[#This Row],[ROUTE]],DEMAND!A:F,5,FALSE),0)</f>
        <v>0</v>
      </c>
      <c r="N742" s="16">
        <f>IFERROR(VLOOKUP(Table15[[#This Row],[ROUTE]],DEMAND!A:F,6,FALSE),0)</f>
        <v>0</v>
      </c>
      <c r="O742" s="16">
        <f>IFERROR(ROUNDDOWN(Table15[[#This Row],[R-DEMAND]]/1706,0),0)</f>
        <v>0</v>
      </c>
      <c r="P742" s="16">
        <f>IFERROR(Table15[[#This Row],[ADD ACC]]*Table15[[#This Row],[RT TIME 
(380-800)]],0)</f>
        <v>0</v>
      </c>
      <c r="Q742" s="415">
        <f>IFERROR(VLOOKUP(Table15[[#This Row],[ROUTE]],PRICING!A:B,2,FALSE),0)</f>
        <v>0</v>
      </c>
      <c r="R742" s="235">
        <f>IFERROR(Table15[[#This Row],[C_DEMAND]]-Table15[[#This Row],[R-DEMAND]],0)</f>
        <v>0</v>
      </c>
      <c r="S742" s="408">
        <f t="shared" si="11"/>
        <v>0</v>
      </c>
      <c r="T742" s="419">
        <f>Table15[[#This Row],[R-DEMAND]]-(Table15[[#This Row],[ADD ACC]]*1706)</f>
        <v>0</v>
      </c>
      <c r="U742" s="419">
        <f>ROUNDDOWN(Table15[[#This Row],[Column1]]/1360,0)</f>
        <v>0</v>
      </c>
      <c r="V742" s="419"/>
      <c r="W742" s="349"/>
      <c r="X742" s="349"/>
      <c r="Y742" s="349"/>
      <c r="Z742" s="349"/>
    </row>
    <row r="743" spans="1:26" ht="15.75" customHeight="1" x14ac:dyDescent="0.25">
      <c r="A743" s="210" t="s">
        <v>15235</v>
      </c>
      <c r="B743" s="204" t="s">
        <v>5551</v>
      </c>
      <c r="C743" s="204"/>
      <c r="D743" s="205">
        <v>4</v>
      </c>
      <c r="E743" s="16" t="s">
        <v>11732</v>
      </c>
      <c r="F743" s="204" t="str">
        <f>VLOOKUP(E743,Table10[[COUNTRY NAME]:[CONTINENT CODE]],3,FALSE)</f>
        <v>NA - US</v>
      </c>
      <c r="G743" s="206" t="s">
        <v>13336</v>
      </c>
      <c r="H743" s="207">
        <v>13513</v>
      </c>
      <c r="I743" s="208">
        <v>32</v>
      </c>
      <c r="J743" s="345"/>
      <c r="K743" s="345">
        <f>IFERROR(Table15[[#This Row],[ROUTE $]]/Table15[[#This Row],[E - DEMAND]],0)</f>
        <v>0</v>
      </c>
      <c r="L743" s="204"/>
      <c r="M743" s="412">
        <f>IFERROR(VLOOKUP(Table15[[#This Row],[ROUTE]],DEMAND!A:F,5,FALSE),0)</f>
        <v>0</v>
      </c>
      <c r="N743" s="16">
        <f>IFERROR(VLOOKUP(Table15[[#This Row],[ROUTE]],DEMAND!A:F,6,FALSE),0)</f>
        <v>0</v>
      </c>
      <c r="O743" s="16">
        <f>IFERROR(ROUNDDOWN(Table15[[#This Row],[R-DEMAND]]/1706,0),0)</f>
        <v>0</v>
      </c>
      <c r="P743" s="16">
        <f>IFERROR(Table15[[#This Row],[ADD ACC]]*Table15[[#This Row],[RT TIME 
(380-800)]],0)</f>
        <v>0</v>
      </c>
      <c r="Q743" s="415">
        <f>IFERROR(VLOOKUP(Table15[[#This Row],[ROUTE]],PRICING!A:B,2,FALSE),0)</f>
        <v>0</v>
      </c>
      <c r="R743" s="235">
        <f>IFERROR(Table15[[#This Row],[C_DEMAND]]-Table15[[#This Row],[R-DEMAND]],0)</f>
        <v>0</v>
      </c>
      <c r="S743" s="408">
        <f t="shared" si="11"/>
        <v>0</v>
      </c>
      <c r="T743" s="419">
        <f>Table15[[#This Row],[R-DEMAND]]-(Table15[[#This Row],[ADD ACC]]*1706)</f>
        <v>0</v>
      </c>
      <c r="U743" s="419">
        <f>ROUNDDOWN(Table15[[#This Row],[Column1]]/1360,0)</f>
        <v>0</v>
      </c>
      <c r="V743" s="419"/>
      <c r="W743" s="349"/>
      <c r="X743" s="349"/>
      <c r="Y743" s="349"/>
      <c r="Z743" s="349"/>
    </row>
    <row r="744" spans="1:26" ht="15.75" customHeight="1" x14ac:dyDescent="0.25">
      <c r="A744" s="210" t="s">
        <v>15207</v>
      </c>
      <c r="B744" s="204" t="s">
        <v>5397</v>
      </c>
      <c r="C744" s="204"/>
      <c r="D744" s="205">
        <v>4</v>
      </c>
      <c r="E744" s="16" t="s">
        <v>11732</v>
      </c>
      <c r="F744" s="204" t="str">
        <f>VLOOKUP(E744,Table10[[COUNTRY NAME]:[CONTINENT CODE]],3,FALSE)</f>
        <v>NA - US</v>
      </c>
      <c r="G744" s="206" t="s">
        <v>13363</v>
      </c>
      <c r="H744" s="207">
        <v>13870</v>
      </c>
      <c r="I744" s="208">
        <v>32.75</v>
      </c>
      <c r="J744" s="345"/>
      <c r="K744" s="345">
        <f>IFERROR(Table15[[#This Row],[ROUTE $]]/Table15[[#This Row],[E - DEMAND]],0)</f>
        <v>0</v>
      </c>
      <c r="L744" s="204"/>
      <c r="M744" s="412">
        <f>IFERROR(VLOOKUP(Table15[[#This Row],[ROUTE]],DEMAND!A:F,5,FALSE),0)</f>
        <v>0</v>
      </c>
      <c r="N744" s="16">
        <f>IFERROR(VLOOKUP(Table15[[#This Row],[ROUTE]],DEMAND!A:F,6,FALSE),0)</f>
        <v>0</v>
      </c>
      <c r="O744" s="16">
        <f>IFERROR(ROUNDDOWN(Table15[[#This Row],[R-DEMAND]]/1706,0),0)</f>
        <v>0</v>
      </c>
      <c r="P744" s="16">
        <f>IFERROR(Table15[[#This Row],[ADD ACC]]*Table15[[#This Row],[RT TIME 
(380-800)]],0)</f>
        <v>0</v>
      </c>
      <c r="Q744" s="415">
        <f>IFERROR(VLOOKUP(Table15[[#This Row],[ROUTE]],PRICING!A:B,2,FALSE),0)</f>
        <v>0</v>
      </c>
      <c r="R744" s="235">
        <f>IFERROR(Table15[[#This Row],[C_DEMAND]]-Table15[[#This Row],[R-DEMAND]],0)</f>
        <v>0</v>
      </c>
      <c r="S744" s="408">
        <f t="shared" si="11"/>
        <v>0</v>
      </c>
      <c r="T744" s="419">
        <f>Table15[[#This Row],[R-DEMAND]]-(Table15[[#This Row],[ADD ACC]]*1706)</f>
        <v>0</v>
      </c>
      <c r="U744" s="419">
        <f>ROUNDDOWN(Table15[[#This Row],[Column1]]/1360,0)</f>
        <v>0</v>
      </c>
      <c r="V744" s="419"/>
      <c r="W744" s="349"/>
      <c r="X744" s="349"/>
      <c r="Y744" s="349"/>
      <c r="Z744" s="349"/>
    </row>
    <row r="745" spans="1:26" ht="15.75" customHeight="1" x14ac:dyDescent="0.25">
      <c r="A745" s="210" t="s">
        <v>15216</v>
      </c>
      <c r="B745" s="204" t="s">
        <v>5579</v>
      </c>
      <c r="C745" s="204"/>
      <c r="D745" s="205">
        <v>4</v>
      </c>
      <c r="E745" s="16" t="s">
        <v>11732</v>
      </c>
      <c r="F745" s="204" t="str">
        <f>VLOOKUP(E745,Table10[[COUNTRY NAME]:[CONTINENT CODE]],3,FALSE)</f>
        <v>NA - US</v>
      </c>
      <c r="G745" s="206" t="s">
        <v>13331</v>
      </c>
      <c r="H745" s="207">
        <v>13733</v>
      </c>
      <c r="I745" s="208">
        <v>32.5</v>
      </c>
      <c r="J745" s="345"/>
      <c r="K745" s="345">
        <f>IFERROR(Table15[[#This Row],[ROUTE $]]/Table15[[#This Row],[E - DEMAND]],0)</f>
        <v>0</v>
      </c>
      <c r="L745" s="204"/>
      <c r="M745" s="412">
        <f>IFERROR(VLOOKUP(Table15[[#This Row],[ROUTE]],DEMAND!A:F,5,FALSE),0)</f>
        <v>0</v>
      </c>
      <c r="N745" s="16">
        <f>IFERROR(VLOOKUP(Table15[[#This Row],[ROUTE]],DEMAND!A:F,6,FALSE),0)</f>
        <v>0</v>
      </c>
      <c r="O745" s="16">
        <f>IFERROR(ROUNDDOWN(Table15[[#This Row],[R-DEMAND]]/1706,0),0)</f>
        <v>0</v>
      </c>
      <c r="P745" s="16">
        <f>IFERROR(Table15[[#This Row],[ADD ACC]]*Table15[[#This Row],[RT TIME 
(380-800)]],0)</f>
        <v>0</v>
      </c>
      <c r="Q745" s="415">
        <f>IFERROR(VLOOKUP(Table15[[#This Row],[ROUTE]],PRICING!A:B,2,FALSE),0)</f>
        <v>0</v>
      </c>
      <c r="R745" s="235">
        <f>IFERROR(Table15[[#This Row],[C_DEMAND]]-Table15[[#This Row],[R-DEMAND]],0)</f>
        <v>0</v>
      </c>
      <c r="S745" s="408">
        <f t="shared" si="11"/>
        <v>0</v>
      </c>
      <c r="T745" s="419">
        <f>Table15[[#This Row],[R-DEMAND]]-(Table15[[#This Row],[ADD ACC]]*1706)</f>
        <v>0</v>
      </c>
      <c r="U745" s="419">
        <f>ROUNDDOWN(Table15[[#This Row],[Column1]]/1360,0)</f>
        <v>0</v>
      </c>
      <c r="V745" s="419"/>
      <c r="W745" s="349"/>
      <c r="X745" s="349"/>
      <c r="Y745" s="349"/>
      <c r="Z745" s="349"/>
    </row>
    <row r="746" spans="1:26" ht="15.75" customHeight="1" x14ac:dyDescent="0.25">
      <c r="A746" s="210" t="s">
        <v>15162</v>
      </c>
      <c r="B746" s="204" t="s">
        <v>5516</v>
      </c>
      <c r="C746" s="204"/>
      <c r="D746" s="205">
        <v>4</v>
      </c>
      <c r="E746" s="16" t="s">
        <v>11732</v>
      </c>
      <c r="F746" s="204" t="str">
        <f>VLOOKUP(E746,Table10[[COUNTRY NAME]:[CONTINENT CODE]],3,FALSE)</f>
        <v>NA - US</v>
      </c>
      <c r="G746" s="206" t="s">
        <v>13353</v>
      </c>
      <c r="H746" s="207">
        <v>14270</v>
      </c>
      <c r="I746" s="208">
        <v>33.75</v>
      </c>
      <c r="J746" s="345"/>
      <c r="K746" s="345">
        <f>IFERROR(Table15[[#This Row],[ROUTE $]]/Table15[[#This Row],[E - DEMAND]],0)</f>
        <v>0</v>
      </c>
      <c r="L746" s="204"/>
      <c r="M746" s="412">
        <f>IFERROR(VLOOKUP(Table15[[#This Row],[ROUTE]],DEMAND!A:F,5,FALSE),0)</f>
        <v>0</v>
      </c>
      <c r="N746" s="16">
        <f>IFERROR(VLOOKUP(Table15[[#This Row],[ROUTE]],DEMAND!A:F,6,FALSE),0)</f>
        <v>0</v>
      </c>
      <c r="O746" s="16">
        <f>IFERROR(ROUNDDOWN(Table15[[#This Row],[R-DEMAND]]/1706,0),0)</f>
        <v>0</v>
      </c>
      <c r="P746" s="16">
        <f>IFERROR(Table15[[#This Row],[ADD ACC]]*Table15[[#This Row],[RT TIME 
(380-800)]],0)</f>
        <v>0</v>
      </c>
      <c r="Q746" s="415">
        <f>IFERROR(VLOOKUP(Table15[[#This Row],[ROUTE]],PRICING!A:B,2,FALSE),0)</f>
        <v>0</v>
      </c>
      <c r="R746" s="235">
        <f>IFERROR(Table15[[#This Row],[C_DEMAND]]-Table15[[#This Row],[R-DEMAND]],0)</f>
        <v>0</v>
      </c>
      <c r="S746" s="408">
        <f t="shared" si="11"/>
        <v>0</v>
      </c>
      <c r="T746" s="419">
        <f>Table15[[#This Row],[R-DEMAND]]-(Table15[[#This Row],[ADD ACC]]*1706)</f>
        <v>0</v>
      </c>
      <c r="U746" s="419">
        <f>ROUNDDOWN(Table15[[#This Row],[Column1]]/1360,0)</f>
        <v>0</v>
      </c>
      <c r="V746" s="419"/>
      <c r="W746" s="349"/>
      <c r="X746" s="349"/>
      <c r="Y746" s="349"/>
      <c r="Z746" s="349"/>
    </row>
    <row r="747" spans="1:26" ht="15.75" customHeight="1" x14ac:dyDescent="0.25">
      <c r="A747" s="210" t="s">
        <v>15236</v>
      </c>
      <c r="B747" s="204" t="s">
        <v>5563</v>
      </c>
      <c r="C747" s="204"/>
      <c r="D747" s="205">
        <v>4</v>
      </c>
      <c r="E747" s="16" t="s">
        <v>11732</v>
      </c>
      <c r="F747" s="204" t="str">
        <f>VLOOKUP(E747,Table10[[COUNTRY NAME]:[CONTINENT CODE]],3,FALSE)</f>
        <v>NA - US</v>
      </c>
      <c r="G747" s="206" t="s">
        <v>13259</v>
      </c>
      <c r="H747" s="207">
        <v>13507</v>
      </c>
      <c r="I747" s="208">
        <v>32</v>
      </c>
      <c r="J747" s="345"/>
      <c r="K747" s="345">
        <f>IFERROR(Table15[[#This Row],[ROUTE $]]/Table15[[#This Row],[E - DEMAND]],0)</f>
        <v>0</v>
      </c>
      <c r="L747" s="204"/>
      <c r="M747" s="412">
        <f>IFERROR(VLOOKUP(Table15[[#This Row],[ROUTE]],DEMAND!A:F,5,FALSE),0)</f>
        <v>0</v>
      </c>
      <c r="N747" s="16">
        <f>IFERROR(VLOOKUP(Table15[[#This Row],[ROUTE]],DEMAND!A:F,6,FALSE),0)</f>
        <v>0</v>
      </c>
      <c r="O747" s="16">
        <f>IFERROR(ROUNDDOWN(Table15[[#This Row],[R-DEMAND]]/1706,0),0)</f>
        <v>0</v>
      </c>
      <c r="P747" s="16">
        <f>IFERROR(Table15[[#This Row],[ADD ACC]]*Table15[[#This Row],[RT TIME 
(380-800)]],0)</f>
        <v>0</v>
      </c>
      <c r="Q747" s="415">
        <f>IFERROR(VLOOKUP(Table15[[#This Row],[ROUTE]],PRICING!A:B,2,FALSE),0)</f>
        <v>0</v>
      </c>
      <c r="R747" s="235">
        <f>IFERROR(Table15[[#This Row],[C_DEMAND]]-Table15[[#This Row],[R-DEMAND]],0)</f>
        <v>0</v>
      </c>
      <c r="S747" s="408">
        <f t="shared" si="11"/>
        <v>0</v>
      </c>
      <c r="T747" s="419">
        <f>Table15[[#This Row],[R-DEMAND]]-(Table15[[#This Row],[ADD ACC]]*1706)</f>
        <v>0</v>
      </c>
      <c r="U747" s="419">
        <f>ROUNDDOWN(Table15[[#This Row],[Column1]]/1360,0)</f>
        <v>0</v>
      </c>
      <c r="V747" s="419"/>
      <c r="W747" s="349"/>
      <c r="X747" s="349"/>
      <c r="Y747" s="349"/>
      <c r="Z747" s="349"/>
    </row>
    <row r="748" spans="1:26" ht="15.75" customHeight="1" x14ac:dyDescent="0.25">
      <c r="A748" s="210" t="s">
        <v>15178</v>
      </c>
      <c r="B748" s="204" t="s">
        <v>132</v>
      </c>
      <c r="C748" s="204"/>
      <c r="D748" s="205">
        <v>4</v>
      </c>
      <c r="E748" s="16" t="s">
        <v>11732</v>
      </c>
      <c r="F748" s="204" t="str">
        <f>VLOOKUP(E748,Table10[[COUNTRY NAME]:[CONTINENT CODE]],3,FALSE)</f>
        <v>NA - US</v>
      </c>
      <c r="G748" s="206" t="s">
        <v>13372</v>
      </c>
      <c r="H748" s="207">
        <v>14153</v>
      </c>
      <c r="I748" s="208">
        <v>33.5</v>
      </c>
      <c r="J748" s="345"/>
      <c r="K748" s="345">
        <f>IFERROR(Table15[[#This Row],[ROUTE $]]/Table15[[#This Row],[E - DEMAND]],0)</f>
        <v>0</v>
      </c>
      <c r="L748" s="204"/>
      <c r="M748" s="412">
        <f>IFERROR(VLOOKUP(Table15[[#This Row],[ROUTE]],DEMAND!A:F,5,FALSE),0)</f>
        <v>0</v>
      </c>
      <c r="N748" s="16">
        <f>IFERROR(VLOOKUP(Table15[[#This Row],[ROUTE]],DEMAND!A:F,6,FALSE),0)</f>
        <v>0</v>
      </c>
      <c r="O748" s="16">
        <f>IFERROR(ROUNDDOWN(Table15[[#This Row],[R-DEMAND]]/1706,0),0)</f>
        <v>0</v>
      </c>
      <c r="P748" s="16">
        <f>IFERROR(Table15[[#This Row],[ADD ACC]]*Table15[[#This Row],[RT TIME 
(380-800)]],0)</f>
        <v>0</v>
      </c>
      <c r="Q748" s="415">
        <f>IFERROR(VLOOKUP(Table15[[#This Row],[ROUTE]],PRICING!A:B,2,FALSE),0)</f>
        <v>0</v>
      </c>
      <c r="R748" s="235">
        <f>IFERROR(Table15[[#This Row],[C_DEMAND]]-Table15[[#This Row],[R-DEMAND]],0)</f>
        <v>0</v>
      </c>
      <c r="S748" s="408">
        <f t="shared" si="11"/>
        <v>0</v>
      </c>
      <c r="T748" s="419">
        <f>Table15[[#This Row],[R-DEMAND]]-(Table15[[#This Row],[ADD ACC]]*1706)</f>
        <v>0</v>
      </c>
      <c r="U748" s="419">
        <f>ROUNDDOWN(Table15[[#This Row],[Column1]]/1360,0)</f>
        <v>0</v>
      </c>
      <c r="V748" s="419"/>
      <c r="W748" s="349"/>
      <c r="X748" s="349"/>
      <c r="Y748" s="349"/>
      <c r="Z748" s="349"/>
    </row>
    <row r="749" spans="1:26" ht="15.75" customHeight="1" x14ac:dyDescent="0.25">
      <c r="A749" s="210" t="s">
        <v>15163</v>
      </c>
      <c r="B749" s="204" t="s">
        <v>5491</v>
      </c>
      <c r="C749" s="204"/>
      <c r="D749" s="205">
        <v>4</v>
      </c>
      <c r="E749" s="16" t="s">
        <v>11732</v>
      </c>
      <c r="F749" s="204" t="str">
        <f>VLOOKUP(E749,Table10[[COUNTRY NAME]:[CONTINENT CODE]],3,FALSE)</f>
        <v>NA - US</v>
      </c>
      <c r="G749" s="206" t="s">
        <v>13371</v>
      </c>
      <c r="H749" s="207">
        <v>14254</v>
      </c>
      <c r="I749" s="208">
        <v>33.75</v>
      </c>
      <c r="J749" s="345"/>
      <c r="K749" s="345">
        <f>IFERROR(Table15[[#This Row],[ROUTE $]]/Table15[[#This Row],[E - DEMAND]],0)</f>
        <v>0</v>
      </c>
      <c r="L749" s="204"/>
      <c r="M749" s="412">
        <f>IFERROR(VLOOKUP(Table15[[#This Row],[ROUTE]],DEMAND!A:F,5,FALSE),0)</f>
        <v>0</v>
      </c>
      <c r="N749" s="16">
        <f>IFERROR(VLOOKUP(Table15[[#This Row],[ROUTE]],DEMAND!A:F,6,FALSE),0)</f>
        <v>0</v>
      </c>
      <c r="O749" s="16">
        <f>IFERROR(ROUNDDOWN(Table15[[#This Row],[R-DEMAND]]/1706,0),0)</f>
        <v>0</v>
      </c>
      <c r="P749" s="16">
        <f>IFERROR(Table15[[#This Row],[ADD ACC]]*Table15[[#This Row],[RT TIME 
(380-800)]],0)</f>
        <v>0</v>
      </c>
      <c r="Q749" s="415">
        <f>IFERROR(VLOOKUP(Table15[[#This Row],[ROUTE]],PRICING!A:B,2,FALSE),0)</f>
        <v>0</v>
      </c>
      <c r="R749" s="235">
        <f>IFERROR(Table15[[#This Row],[C_DEMAND]]-Table15[[#This Row],[R-DEMAND]],0)</f>
        <v>0</v>
      </c>
      <c r="S749" s="408">
        <f t="shared" si="11"/>
        <v>0</v>
      </c>
      <c r="T749" s="419">
        <f>Table15[[#This Row],[R-DEMAND]]-(Table15[[#This Row],[ADD ACC]]*1706)</f>
        <v>0</v>
      </c>
      <c r="U749" s="419">
        <f>ROUNDDOWN(Table15[[#This Row],[Column1]]/1360,0)</f>
        <v>0</v>
      </c>
      <c r="V749" s="419"/>
      <c r="W749" s="349"/>
      <c r="X749" s="349"/>
      <c r="Y749" s="349"/>
      <c r="Z749" s="349"/>
    </row>
    <row r="750" spans="1:26" ht="15.75" customHeight="1" x14ac:dyDescent="0.25">
      <c r="A750" s="210" t="s">
        <v>15174</v>
      </c>
      <c r="B750" s="204" t="s">
        <v>5651</v>
      </c>
      <c r="C750" s="204"/>
      <c r="D750" s="205">
        <v>4</v>
      </c>
      <c r="E750" s="16" t="s">
        <v>11732</v>
      </c>
      <c r="F750" s="204" t="str">
        <f>VLOOKUP(E750,Table10[[COUNTRY NAME]:[CONTINENT CODE]],3,FALSE)</f>
        <v>NA - US</v>
      </c>
      <c r="G750" s="206" t="s">
        <v>13276</v>
      </c>
      <c r="H750" s="207">
        <v>14158</v>
      </c>
      <c r="I750" s="208">
        <v>33.5</v>
      </c>
      <c r="J750" s="345"/>
      <c r="K750" s="345">
        <f>IFERROR(Table15[[#This Row],[ROUTE $]]/Table15[[#This Row],[E - DEMAND]],0)</f>
        <v>0</v>
      </c>
      <c r="L750" s="204"/>
      <c r="M750" s="412">
        <f>IFERROR(VLOOKUP(Table15[[#This Row],[ROUTE]],DEMAND!A:F,5,FALSE),0)</f>
        <v>0</v>
      </c>
      <c r="N750" s="16">
        <f>IFERROR(VLOOKUP(Table15[[#This Row],[ROUTE]],DEMAND!A:F,6,FALSE),0)</f>
        <v>0</v>
      </c>
      <c r="O750" s="16">
        <f>IFERROR(ROUNDDOWN(Table15[[#This Row],[R-DEMAND]]/1706,0),0)</f>
        <v>0</v>
      </c>
      <c r="P750" s="16">
        <f>IFERROR(Table15[[#This Row],[ADD ACC]]*Table15[[#This Row],[RT TIME 
(380-800)]],0)</f>
        <v>0</v>
      </c>
      <c r="Q750" s="415">
        <f>IFERROR(VLOOKUP(Table15[[#This Row],[ROUTE]],PRICING!A:B,2,FALSE),0)</f>
        <v>0</v>
      </c>
      <c r="R750" s="235">
        <f>IFERROR(Table15[[#This Row],[C_DEMAND]]-Table15[[#This Row],[R-DEMAND]],0)</f>
        <v>0</v>
      </c>
      <c r="S750" s="408">
        <f t="shared" si="11"/>
        <v>0</v>
      </c>
      <c r="T750" s="419">
        <f>Table15[[#This Row],[R-DEMAND]]-(Table15[[#This Row],[ADD ACC]]*1706)</f>
        <v>0</v>
      </c>
      <c r="U750" s="419">
        <f>ROUNDDOWN(Table15[[#This Row],[Column1]]/1360,0)</f>
        <v>0</v>
      </c>
      <c r="V750" s="419"/>
      <c r="W750" s="349"/>
      <c r="X750" s="349"/>
      <c r="Y750" s="349"/>
      <c r="Z750" s="349"/>
    </row>
    <row r="751" spans="1:26" ht="15.75" customHeight="1" x14ac:dyDescent="0.25">
      <c r="A751" s="210" t="s">
        <v>15231</v>
      </c>
      <c r="B751" s="204" t="s">
        <v>5534</v>
      </c>
      <c r="C751" s="204"/>
      <c r="D751" s="205">
        <v>4</v>
      </c>
      <c r="E751" s="16" t="s">
        <v>11732</v>
      </c>
      <c r="F751" s="204" t="str">
        <f>VLOOKUP(E751,Table10[[COUNTRY NAME]:[CONTINENT CODE]],3,FALSE)</f>
        <v>NA - US</v>
      </c>
      <c r="G751" s="206" t="s">
        <v>13260</v>
      </c>
      <c r="H751" s="207">
        <v>13553</v>
      </c>
      <c r="I751" s="208">
        <v>32.25</v>
      </c>
      <c r="J751" s="345"/>
      <c r="K751" s="345">
        <f>IFERROR(Table15[[#This Row],[ROUTE $]]/Table15[[#This Row],[E - DEMAND]],0)</f>
        <v>0</v>
      </c>
      <c r="L751" s="204"/>
      <c r="M751" s="412">
        <f>IFERROR(VLOOKUP(Table15[[#This Row],[ROUTE]],DEMAND!A:F,5,FALSE),0)</f>
        <v>0</v>
      </c>
      <c r="N751" s="16">
        <f>IFERROR(VLOOKUP(Table15[[#This Row],[ROUTE]],DEMAND!A:F,6,FALSE),0)</f>
        <v>0</v>
      </c>
      <c r="O751" s="16">
        <f>IFERROR(ROUNDDOWN(Table15[[#This Row],[R-DEMAND]]/1706,0),0)</f>
        <v>0</v>
      </c>
      <c r="P751" s="16">
        <f>IFERROR(Table15[[#This Row],[ADD ACC]]*Table15[[#This Row],[RT TIME 
(380-800)]],0)</f>
        <v>0</v>
      </c>
      <c r="Q751" s="415">
        <f>IFERROR(VLOOKUP(Table15[[#This Row],[ROUTE]],PRICING!A:B,2,FALSE),0)</f>
        <v>0</v>
      </c>
      <c r="R751" s="235">
        <f>IFERROR(Table15[[#This Row],[C_DEMAND]]-Table15[[#This Row],[R-DEMAND]],0)</f>
        <v>0</v>
      </c>
      <c r="S751" s="408">
        <f t="shared" si="11"/>
        <v>0</v>
      </c>
      <c r="T751" s="419">
        <f>Table15[[#This Row],[R-DEMAND]]-(Table15[[#This Row],[ADD ACC]]*1706)</f>
        <v>0</v>
      </c>
      <c r="U751" s="419">
        <f>ROUNDDOWN(Table15[[#This Row],[Column1]]/1360,0)</f>
        <v>0</v>
      </c>
      <c r="V751" s="419"/>
      <c r="W751" s="349"/>
      <c r="X751" s="349"/>
      <c r="Y751" s="349"/>
      <c r="Z751" s="349"/>
    </row>
    <row r="752" spans="1:26" ht="15.75" customHeight="1" x14ac:dyDescent="0.25">
      <c r="A752" s="210" t="s">
        <v>15177</v>
      </c>
      <c r="B752" s="204" t="s">
        <v>5647</v>
      </c>
      <c r="C752" s="204"/>
      <c r="D752" s="205">
        <v>4</v>
      </c>
      <c r="E752" s="16" t="s">
        <v>11732</v>
      </c>
      <c r="F752" s="204" t="str">
        <f>VLOOKUP(E752,Table10[[COUNTRY NAME]:[CONTINENT CODE]],3,FALSE)</f>
        <v>NA - US</v>
      </c>
      <c r="G752" s="206" t="s">
        <v>13366</v>
      </c>
      <c r="H752" s="207">
        <v>14154</v>
      </c>
      <c r="I752" s="208">
        <v>33.5</v>
      </c>
      <c r="J752" s="345"/>
      <c r="K752" s="345">
        <f>IFERROR(Table15[[#This Row],[ROUTE $]]/Table15[[#This Row],[E - DEMAND]],0)</f>
        <v>0</v>
      </c>
      <c r="L752" s="204"/>
      <c r="M752" s="412">
        <f>IFERROR(VLOOKUP(Table15[[#This Row],[ROUTE]],DEMAND!A:F,5,FALSE),0)</f>
        <v>0</v>
      </c>
      <c r="N752" s="16">
        <f>IFERROR(VLOOKUP(Table15[[#This Row],[ROUTE]],DEMAND!A:F,6,FALSE),0)</f>
        <v>0</v>
      </c>
      <c r="O752" s="16">
        <f>IFERROR(ROUNDDOWN(Table15[[#This Row],[R-DEMAND]]/1706,0),0)</f>
        <v>0</v>
      </c>
      <c r="P752" s="16">
        <f>IFERROR(Table15[[#This Row],[ADD ACC]]*Table15[[#This Row],[RT TIME 
(380-800)]],0)</f>
        <v>0</v>
      </c>
      <c r="Q752" s="415">
        <f>IFERROR(VLOOKUP(Table15[[#This Row],[ROUTE]],PRICING!A:B,2,FALSE),0)</f>
        <v>0</v>
      </c>
      <c r="R752" s="235">
        <f>IFERROR(Table15[[#This Row],[C_DEMAND]]-Table15[[#This Row],[R-DEMAND]],0)</f>
        <v>0</v>
      </c>
      <c r="S752" s="408">
        <f t="shared" si="11"/>
        <v>0</v>
      </c>
      <c r="T752" s="419">
        <f>Table15[[#This Row],[R-DEMAND]]-(Table15[[#This Row],[ADD ACC]]*1706)</f>
        <v>0</v>
      </c>
      <c r="U752" s="419">
        <f>ROUNDDOWN(Table15[[#This Row],[Column1]]/1360,0)</f>
        <v>0</v>
      </c>
      <c r="V752" s="419"/>
      <c r="W752" s="349"/>
      <c r="X752" s="349"/>
      <c r="Y752" s="349"/>
      <c r="Z752" s="349"/>
    </row>
    <row r="753" spans="1:26" ht="15.75" customHeight="1" x14ac:dyDescent="0.25">
      <c r="A753" s="210" t="s">
        <v>15187</v>
      </c>
      <c r="B753" s="204" t="s">
        <v>3891</v>
      </c>
      <c r="C753" s="204"/>
      <c r="D753" s="205">
        <v>2</v>
      </c>
      <c r="E753" s="204" t="s">
        <v>13119</v>
      </c>
      <c r="F753" s="204" t="str">
        <f>VLOOKUP(E753,Table10[[COUNTRY NAME]:[CONTINENT CODE]],3,FALSE)</f>
        <v>NA</v>
      </c>
      <c r="G753" s="206" t="s">
        <v>13145</v>
      </c>
      <c r="H753" s="207">
        <v>14088</v>
      </c>
      <c r="I753" s="208">
        <v>33.25</v>
      </c>
      <c r="J753" s="345"/>
      <c r="K753" s="345">
        <f>IFERROR(Table15[[#This Row],[ROUTE $]]/Table15[[#This Row],[E - DEMAND]],0)</f>
        <v>0</v>
      </c>
      <c r="L753" s="204"/>
      <c r="M753" s="412">
        <f>IFERROR(VLOOKUP(Table15[[#This Row],[ROUTE]],DEMAND!A:F,5,FALSE),0)</f>
        <v>0</v>
      </c>
      <c r="N753" s="16">
        <f>IFERROR(VLOOKUP(Table15[[#This Row],[ROUTE]],DEMAND!A:F,6,FALSE),0)</f>
        <v>0</v>
      </c>
      <c r="O753" s="16">
        <f>IFERROR(ROUNDDOWN(Table15[[#This Row],[R-DEMAND]]/1706,0),0)</f>
        <v>0</v>
      </c>
      <c r="P753" s="16">
        <f>IFERROR(Table15[[#This Row],[ADD ACC]]*Table15[[#This Row],[RT TIME 
(380-800)]],0)</f>
        <v>0</v>
      </c>
      <c r="Q753" s="415">
        <f>IFERROR(VLOOKUP(Table15[[#This Row],[ROUTE]],PRICING!A:B,2,FALSE),0)</f>
        <v>0</v>
      </c>
      <c r="R753" s="235">
        <f>IFERROR(Table15[[#This Row],[C_DEMAND]]-Table15[[#This Row],[R-DEMAND]],0)</f>
        <v>0</v>
      </c>
      <c r="S753" s="408">
        <f t="shared" si="11"/>
        <v>0</v>
      </c>
      <c r="T753" s="419">
        <f>Table15[[#This Row],[R-DEMAND]]-(Table15[[#This Row],[ADD ACC]]*1706)</f>
        <v>0</v>
      </c>
      <c r="U753" s="419">
        <f>ROUNDDOWN(Table15[[#This Row],[Column1]]/1360,0)</f>
        <v>0</v>
      </c>
      <c r="V753" s="419"/>
      <c r="W753" s="349"/>
      <c r="X753" s="349"/>
      <c r="Y753" s="349"/>
      <c r="Z753" s="349"/>
    </row>
    <row r="754" spans="1:26" ht="15.75" customHeight="1" x14ac:dyDescent="0.25">
      <c r="A754" s="341" t="s">
        <v>18232</v>
      </c>
      <c r="B754" s="212" t="s">
        <v>5561</v>
      </c>
      <c r="C754" s="212"/>
      <c r="D754" s="226">
        <v>4</v>
      </c>
      <c r="E754" s="226" t="s">
        <v>83</v>
      </c>
      <c r="F754" s="212" t="s">
        <v>12674</v>
      </c>
      <c r="G754" s="404" t="s">
        <v>16920</v>
      </c>
      <c r="H754" s="343">
        <v>7303</v>
      </c>
      <c r="I754" s="342"/>
      <c r="J754" s="346"/>
      <c r="K754" s="345">
        <f>IFERROR(Table15[[#This Row],[ROUTE $]]/Table15[[#This Row],[E - DEMAND]],0)</f>
        <v>0</v>
      </c>
      <c r="L754" s="212"/>
      <c r="M754" s="413">
        <f>IFERROR(VLOOKUP(Table15[[#This Row],[ROUTE]],DEMAND!A:F,5,FALSE),0)</f>
        <v>0</v>
      </c>
      <c r="N754" s="251">
        <f>IFERROR(VLOOKUP(Table15[[#This Row],[ROUTE]],DEMAND!A:F,6,FALSE),0)</f>
        <v>0</v>
      </c>
      <c r="O754" s="349"/>
      <c r="P754" s="349"/>
      <c r="Q754" s="416">
        <f>IFERROR(VLOOKUP(Table15[[#This Row],[ROUTE]],PRICING!A:B,2,FALSE),0)</f>
        <v>0</v>
      </c>
      <c r="R754" s="409">
        <f>IFERROR(Table15[[#This Row],[C_DEMAND]]-Table15[[#This Row],[R-DEMAND]],0)</f>
        <v>0</v>
      </c>
      <c r="S754" s="410">
        <f t="shared" si="11"/>
        <v>0</v>
      </c>
      <c r="T754" s="420">
        <f>Table15[[#This Row],[R-DEMAND]]-(Table15[[#This Row],[ADD ACC]]*1706)</f>
        <v>0</v>
      </c>
      <c r="U754" s="420">
        <f>ROUNDDOWN(Table15[[#This Row],[Column1]]/1360,0)</f>
        <v>0</v>
      </c>
      <c r="V754" s="420"/>
      <c r="W754" s="349"/>
      <c r="X754" s="349"/>
      <c r="Y754" s="349"/>
      <c r="Z754" s="349"/>
    </row>
    <row r="755" spans="1:26" ht="15.75" customHeight="1" x14ac:dyDescent="0.25">
      <c r="A755" s="341" t="s">
        <v>18283</v>
      </c>
      <c r="B755" s="212" t="s">
        <v>4933</v>
      </c>
      <c r="C755" s="212"/>
      <c r="D755" s="226">
        <v>3</v>
      </c>
      <c r="E755" s="226" t="s">
        <v>4931</v>
      </c>
      <c r="F755" s="212" t="s">
        <v>12674</v>
      </c>
      <c r="G755" s="404" t="s">
        <v>16886</v>
      </c>
      <c r="H755" s="343">
        <v>5572</v>
      </c>
      <c r="I755" s="342"/>
      <c r="J755" s="346"/>
      <c r="K755" s="345">
        <f>IFERROR(Table15[[#This Row],[ROUTE $]]/Table15[[#This Row],[E - DEMAND]],0)</f>
        <v>0</v>
      </c>
      <c r="L755" s="212"/>
      <c r="M755" s="413">
        <f>IFERROR(VLOOKUP(Table15[[#This Row],[ROUTE]],DEMAND!A:F,5,FALSE),0)</f>
        <v>0</v>
      </c>
      <c r="N755" s="251">
        <f>IFERROR(VLOOKUP(Table15[[#This Row],[ROUTE]],DEMAND!A:F,6,FALSE),0)</f>
        <v>0</v>
      </c>
      <c r="O755" s="349"/>
      <c r="P755" s="349"/>
      <c r="Q755" s="416">
        <f>IFERROR(VLOOKUP(Table15[[#This Row],[ROUTE]],PRICING!A:B,2,FALSE),0)</f>
        <v>0</v>
      </c>
      <c r="R755" s="409">
        <f>IFERROR(Table15[[#This Row],[C_DEMAND]]-Table15[[#This Row],[R-DEMAND]],0)</f>
        <v>0</v>
      </c>
      <c r="S755" s="410">
        <f t="shared" si="11"/>
        <v>0</v>
      </c>
      <c r="T755" s="420">
        <f>Table15[[#This Row],[R-DEMAND]]-(Table15[[#This Row],[ADD ACC]]*1706)</f>
        <v>0</v>
      </c>
      <c r="U755" s="420">
        <f>ROUNDDOWN(Table15[[#This Row],[Column1]]/1360,0)</f>
        <v>0</v>
      </c>
      <c r="V755" s="420"/>
      <c r="W755" s="349"/>
      <c r="X755" s="349"/>
      <c r="Y755" s="349"/>
      <c r="Z755" s="349"/>
    </row>
    <row r="756" spans="1:26" ht="15.75" customHeight="1" x14ac:dyDescent="0.25">
      <c r="A756" s="341" t="s">
        <v>18257</v>
      </c>
      <c r="B756" s="212" t="s">
        <v>4971</v>
      </c>
      <c r="C756" s="212"/>
      <c r="D756" s="226">
        <v>3</v>
      </c>
      <c r="E756" s="226" t="s">
        <v>3915</v>
      </c>
      <c r="F756" s="212" t="s">
        <v>12674</v>
      </c>
      <c r="G756" s="404" t="s">
        <v>16902</v>
      </c>
      <c r="H756" s="343">
        <v>6214</v>
      </c>
      <c r="I756" s="342"/>
      <c r="J756" s="346"/>
      <c r="K756" s="345">
        <f>IFERROR(Table15[[#This Row],[ROUTE $]]/Table15[[#This Row],[E - DEMAND]],0)</f>
        <v>0</v>
      </c>
      <c r="L756" s="212"/>
      <c r="M756" s="413">
        <f>IFERROR(VLOOKUP(Table15[[#This Row],[ROUTE]],DEMAND!A:F,5,FALSE),0)</f>
        <v>0</v>
      </c>
      <c r="N756" s="251">
        <f>IFERROR(VLOOKUP(Table15[[#This Row],[ROUTE]],DEMAND!A:F,6,FALSE),0)</f>
        <v>0</v>
      </c>
      <c r="O756" s="349"/>
      <c r="P756" s="349"/>
      <c r="Q756" s="416">
        <f>IFERROR(VLOOKUP(Table15[[#This Row],[ROUTE]],PRICING!A:B,2,FALSE),0)</f>
        <v>0</v>
      </c>
      <c r="R756" s="409">
        <f>IFERROR(Table15[[#This Row],[C_DEMAND]]-Table15[[#This Row],[R-DEMAND]],0)</f>
        <v>0</v>
      </c>
      <c r="S756" s="410">
        <f t="shared" si="11"/>
        <v>0</v>
      </c>
      <c r="T756" s="420">
        <f>Table15[[#This Row],[R-DEMAND]]-(Table15[[#This Row],[ADD ACC]]*1706)</f>
        <v>0</v>
      </c>
      <c r="U756" s="420">
        <f>ROUNDDOWN(Table15[[#This Row],[Column1]]/1360,0)</f>
        <v>0</v>
      </c>
      <c r="V756" s="420"/>
      <c r="W756" s="349"/>
      <c r="X756" s="349"/>
      <c r="Y756" s="349"/>
      <c r="Z756" s="349"/>
    </row>
    <row r="757" spans="1:26" ht="15.75" customHeight="1" x14ac:dyDescent="0.25">
      <c r="A757" s="341" t="s">
        <v>18238</v>
      </c>
      <c r="B757" s="212" t="s">
        <v>5363</v>
      </c>
      <c r="C757" s="212"/>
      <c r="D757" s="226">
        <v>3</v>
      </c>
      <c r="E757" s="226" t="s">
        <v>3180</v>
      </c>
      <c r="F757" s="212" t="s">
        <v>12674</v>
      </c>
      <c r="G757" s="404" t="s">
        <v>16915</v>
      </c>
      <c r="H757" s="343">
        <v>6866</v>
      </c>
      <c r="I757" s="342"/>
      <c r="J757" s="346"/>
      <c r="K757" s="345">
        <f>IFERROR(Table15[[#This Row],[ROUTE $]]/Table15[[#This Row],[E - DEMAND]],0)</f>
        <v>0</v>
      </c>
      <c r="L757" s="212"/>
      <c r="M757" s="413">
        <f>IFERROR(VLOOKUP(Table15[[#This Row],[ROUTE]],DEMAND!A:F,5,FALSE),0)</f>
        <v>0</v>
      </c>
      <c r="N757" s="251">
        <f>IFERROR(VLOOKUP(Table15[[#This Row],[ROUTE]],DEMAND!A:F,6,FALSE),0)</f>
        <v>0</v>
      </c>
      <c r="O757" s="349"/>
      <c r="P757" s="349"/>
      <c r="Q757" s="416">
        <f>IFERROR(VLOOKUP(Table15[[#This Row],[ROUTE]],PRICING!A:B,2,FALSE),0)</f>
        <v>0</v>
      </c>
      <c r="R757" s="409">
        <f>IFERROR(Table15[[#This Row],[C_DEMAND]]-Table15[[#This Row],[R-DEMAND]],0)</f>
        <v>0</v>
      </c>
      <c r="S757" s="410">
        <f t="shared" si="11"/>
        <v>0</v>
      </c>
      <c r="T757" s="420">
        <f>Table15[[#This Row],[R-DEMAND]]-(Table15[[#This Row],[ADD ACC]]*1706)</f>
        <v>0</v>
      </c>
      <c r="U757" s="420">
        <f>ROUNDDOWN(Table15[[#This Row],[Column1]]/1360,0)</f>
        <v>0</v>
      </c>
      <c r="V757" s="420"/>
      <c r="W757" s="349"/>
      <c r="X757" s="349"/>
      <c r="Y757" s="349"/>
      <c r="Z757" s="349"/>
    </row>
    <row r="758" spans="1:26" ht="15.75" customHeight="1" x14ac:dyDescent="0.25">
      <c r="A758" s="341" t="s">
        <v>18196</v>
      </c>
      <c r="B758" s="212" t="s">
        <v>5352</v>
      </c>
      <c r="C758" s="212"/>
      <c r="D758" s="226">
        <v>3</v>
      </c>
      <c r="E758" s="226" t="s">
        <v>517</v>
      </c>
      <c r="F758" s="212" t="s">
        <v>12694</v>
      </c>
      <c r="G758" s="226" t="s">
        <v>16958</v>
      </c>
      <c r="H758" s="343">
        <v>12395</v>
      </c>
      <c r="I758" s="342"/>
      <c r="J758" s="346"/>
      <c r="K758" s="345">
        <f>IFERROR(Table15[[#This Row],[ROUTE $]]/Table15[[#This Row],[E - DEMAND]],0)</f>
        <v>0</v>
      </c>
      <c r="L758" s="212"/>
      <c r="M758" s="413">
        <f>IFERROR(VLOOKUP(Table15[[#This Row],[ROUTE]],DEMAND!A:F,5,FALSE),0)</f>
        <v>0</v>
      </c>
      <c r="N758" s="251">
        <f>IFERROR(VLOOKUP(Table15[[#This Row],[ROUTE]],DEMAND!A:F,6,FALSE),0)</f>
        <v>0</v>
      </c>
      <c r="O758" s="349"/>
      <c r="P758" s="349"/>
      <c r="Q758" s="416">
        <f>IFERROR(VLOOKUP(Table15[[#This Row],[ROUTE]],PRICING!A:B,2,FALSE),0)</f>
        <v>0</v>
      </c>
      <c r="R758" s="409">
        <f>IFERROR(Table15[[#This Row],[C_DEMAND]]-Table15[[#This Row],[R-DEMAND]],0)</f>
        <v>0</v>
      </c>
      <c r="S758" s="410">
        <f t="shared" si="11"/>
        <v>0</v>
      </c>
      <c r="T758" s="420">
        <f>Table15[[#This Row],[R-DEMAND]]-(Table15[[#This Row],[ADD ACC]]*1706)</f>
        <v>0</v>
      </c>
      <c r="U758" s="420">
        <f>ROUNDDOWN(Table15[[#This Row],[Column1]]/1360,0)</f>
        <v>0</v>
      </c>
      <c r="V758" s="420"/>
      <c r="W758" s="349"/>
      <c r="X758" s="349"/>
      <c r="Y758" s="349"/>
      <c r="Z758" s="349"/>
    </row>
    <row r="759" spans="1:26" ht="15.75" customHeight="1" x14ac:dyDescent="0.25">
      <c r="A759" s="341" t="s">
        <v>18199</v>
      </c>
      <c r="B759" s="212" t="s">
        <v>4793</v>
      </c>
      <c r="C759" s="212"/>
      <c r="D759" s="226">
        <v>3</v>
      </c>
      <c r="E759" s="226" t="s">
        <v>517</v>
      </c>
      <c r="F759" s="212" t="s">
        <v>12694</v>
      </c>
      <c r="G759" s="226" t="s">
        <v>16943</v>
      </c>
      <c r="H759" s="343">
        <v>12304</v>
      </c>
      <c r="I759" s="342"/>
      <c r="J759" s="346"/>
      <c r="K759" s="345">
        <f>IFERROR(Table15[[#This Row],[ROUTE $]]/Table15[[#This Row],[E - DEMAND]],0)</f>
        <v>0</v>
      </c>
      <c r="L759" s="212"/>
      <c r="M759" s="413">
        <f>IFERROR(VLOOKUP(Table15[[#This Row],[ROUTE]],DEMAND!A:F,5,FALSE),0)</f>
        <v>0</v>
      </c>
      <c r="N759" s="251">
        <f>IFERROR(VLOOKUP(Table15[[#This Row],[ROUTE]],DEMAND!A:F,6,FALSE),0)</f>
        <v>0</v>
      </c>
      <c r="O759" s="349"/>
      <c r="P759" s="349"/>
      <c r="Q759" s="416">
        <f>IFERROR(VLOOKUP(Table15[[#This Row],[ROUTE]],PRICING!A:B,2,FALSE),0)</f>
        <v>0</v>
      </c>
      <c r="R759" s="409">
        <f>IFERROR(Table15[[#This Row],[C_DEMAND]]-Table15[[#This Row],[R-DEMAND]],0)</f>
        <v>0</v>
      </c>
      <c r="S759" s="410">
        <f t="shared" si="11"/>
        <v>0</v>
      </c>
      <c r="T759" s="420">
        <f>Table15[[#This Row],[R-DEMAND]]-(Table15[[#This Row],[ADD ACC]]*1706)</f>
        <v>0</v>
      </c>
      <c r="U759" s="420">
        <f>ROUNDDOWN(Table15[[#This Row],[Column1]]/1360,0)</f>
        <v>0</v>
      </c>
      <c r="V759" s="420"/>
      <c r="W759" s="349"/>
      <c r="X759" s="349"/>
      <c r="Y759" s="349"/>
      <c r="Z759" s="349"/>
    </row>
    <row r="760" spans="1:26" ht="15.75" customHeight="1" x14ac:dyDescent="0.25">
      <c r="A760" s="341" t="s">
        <v>18203</v>
      </c>
      <c r="B760" s="212" t="s">
        <v>5055</v>
      </c>
      <c r="C760" s="212"/>
      <c r="D760" s="226">
        <v>3</v>
      </c>
      <c r="E760" s="226" t="s">
        <v>517</v>
      </c>
      <c r="F760" s="212" t="s">
        <v>12694</v>
      </c>
      <c r="G760" s="226" t="s">
        <v>16946</v>
      </c>
      <c r="H760" s="343">
        <v>12126</v>
      </c>
      <c r="I760" s="342"/>
      <c r="J760" s="346"/>
      <c r="K760" s="345">
        <f>IFERROR(Table15[[#This Row],[ROUTE $]]/Table15[[#This Row],[E - DEMAND]],0)</f>
        <v>0</v>
      </c>
      <c r="L760" s="212"/>
      <c r="M760" s="413">
        <f>IFERROR(VLOOKUP(Table15[[#This Row],[ROUTE]],DEMAND!A:F,5,FALSE),0)</f>
        <v>0</v>
      </c>
      <c r="N760" s="251">
        <f>IFERROR(VLOOKUP(Table15[[#This Row],[ROUTE]],DEMAND!A:F,6,FALSE),0)</f>
        <v>0</v>
      </c>
      <c r="O760" s="349"/>
      <c r="P760" s="349"/>
      <c r="Q760" s="416">
        <f>IFERROR(VLOOKUP(Table15[[#This Row],[ROUTE]],PRICING!A:B,2,FALSE),0)</f>
        <v>0</v>
      </c>
      <c r="R760" s="409">
        <f>IFERROR(Table15[[#This Row],[C_DEMAND]]-Table15[[#This Row],[R-DEMAND]],0)</f>
        <v>0</v>
      </c>
      <c r="S760" s="410">
        <f t="shared" si="11"/>
        <v>0</v>
      </c>
      <c r="T760" s="420">
        <f>Table15[[#This Row],[R-DEMAND]]-(Table15[[#This Row],[ADD ACC]]*1706)</f>
        <v>0</v>
      </c>
      <c r="U760" s="420">
        <f>ROUNDDOWN(Table15[[#This Row],[Column1]]/1360,0)</f>
        <v>0</v>
      </c>
      <c r="V760" s="420"/>
      <c r="W760" s="349"/>
      <c r="X760" s="349"/>
      <c r="Y760" s="349"/>
      <c r="Z760" s="349"/>
    </row>
    <row r="761" spans="1:26" ht="15.75" customHeight="1" x14ac:dyDescent="0.25">
      <c r="A761" s="341" t="s">
        <v>18127</v>
      </c>
      <c r="B761" s="212" t="s">
        <v>4337</v>
      </c>
      <c r="C761" s="212"/>
      <c r="D761" s="226">
        <v>2</v>
      </c>
      <c r="E761" s="226" t="s">
        <v>517</v>
      </c>
      <c r="F761" s="212" t="s">
        <v>12694</v>
      </c>
      <c r="G761" s="226" t="s">
        <v>16999</v>
      </c>
      <c r="H761" s="343">
        <v>14603</v>
      </c>
      <c r="I761" s="342"/>
      <c r="J761" s="346"/>
      <c r="K761" s="345">
        <f>IFERROR(Table15[[#This Row],[ROUTE $]]/Table15[[#This Row],[E - DEMAND]],0)</f>
        <v>0</v>
      </c>
      <c r="L761" s="212"/>
      <c r="M761" s="413">
        <f>IFERROR(VLOOKUP(Table15[[#This Row],[ROUTE]],DEMAND!A:F,5,FALSE),0)</f>
        <v>0</v>
      </c>
      <c r="N761" s="251">
        <f>IFERROR(VLOOKUP(Table15[[#This Row],[ROUTE]],DEMAND!A:F,6,FALSE),0)</f>
        <v>0</v>
      </c>
      <c r="O761" s="349"/>
      <c r="P761" s="349"/>
      <c r="Q761" s="416">
        <f>IFERROR(VLOOKUP(Table15[[#This Row],[ROUTE]],PRICING!A:B,2,FALSE),0)</f>
        <v>0</v>
      </c>
      <c r="R761" s="409">
        <f>IFERROR(Table15[[#This Row],[C_DEMAND]]-Table15[[#This Row],[R-DEMAND]],0)</f>
        <v>0</v>
      </c>
      <c r="S761" s="410">
        <f t="shared" si="11"/>
        <v>0</v>
      </c>
      <c r="T761" s="420">
        <f>Table15[[#This Row],[R-DEMAND]]-(Table15[[#This Row],[ADD ACC]]*1706)</f>
        <v>0</v>
      </c>
      <c r="U761" s="420">
        <f>ROUNDDOWN(Table15[[#This Row],[Column1]]/1360,0)</f>
        <v>0</v>
      </c>
      <c r="V761" s="420"/>
      <c r="W761" s="349"/>
      <c r="X761" s="349"/>
      <c r="Y761" s="349"/>
      <c r="Z761" s="349"/>
    </row>
    <row r="762" spans="1:26" ht="15.75" customHeight="1" x14ac:dyDescent="0.25">
      <c r="A762" s="341" t="s">
        <v>18128</v>
      </c>
      <c r="B762" s="212" t="s">
        <v>4697</v>
      </c>
      <c r="C762" s="212"/>
      <c r="D762" s="226">
        <v>2</v>
      </c>
      <c r="E762" s="226" t="s">
        <v>517</v>
      </c>
      <c r="F762" s="212" t="s">
        <v>12694</v>
      </c>
      <c r="G762" s="226" t="s">
        <v>16951</v>
      </c>
      <c r="H762" s="343">
        <v>14551</v>
      </c>
      <c r="I762" s="342"/>
      <c r="J762" s="346"/>
      <c r="K762" s="345">
        <f>IFERROR(Table15[[#This Row],[ROUTE $]]/Table15[[#This Row],[E - DEMAND]],0)</f>
        <v>0</v>
      </c>
      <c r="L762" s="212"/>
      <c r="M762" s="413">
        <f>IFERROR(VLOOKUP(Table15[[#This Row],[ROUTE]],DEMAND!A:F,5,FALSE),0)</f>
        <v>0</v>
      </c>
      <c r="N762" s="251">
        <f>IFERROR(VLOOKUP(Table15[[#This Row],[ROUTE]],DEMAND!A:F,6,FALSE),0)</f>
        <v>0</v>
      </c>
      <c r="O762" s="349"/>
      <c r="P762" s="349"/>
      <c r="Q762" s="416">
        <f>IFERROR(VLOOKUP(Table15[[#This Row],[ROUTE]],PRICING!A:B,2,FALSE),0)</f>
        <v>0</v>
      </c>
      <c r="R762" s="409">
        <f>IFERROR(Table15[[#This Row],[C_DEMAND]]-Table15[[#This Row],[R-DEMAND]],0)</f>
        <v>0</v>
      </c>
      <c r="S762" s="410">
        <f t="shared" si="11"/>
        <v>0</v>
      </c>
      <c r="T762" s="420">
        <f>Table15[[#This Row],[R-DEMAND]]-(Table15[[#This Row],[ADD ACC]]*1706)</f>
        <v>0</v>
      </c>
      <c r="U762" s="420">
        <f>ROUNDDOWN(Table15[[#This Row],[Column1]]/1360,0)</f>
        <v>0</v>
      </c>
      <c r="V762" s="420"/>
      <c r="W762" s="349"/>
      <c r="X762" s="349"/>
      <c r="Y762" s="349"/>
      <c r="Z762" s="349"/>
    </row>
    <row r="763" spans="1:26" ht="15.75" customHeight="1" x14ac:dyDescent="0.25">
      <c r="A763" s="341" t="s">
        <v>18130</v>
      </c>
      <c r="B763" s="212" t="s">
        <v>3526</v>
      </c>
      <c r="C763" s="212"/>
      <c r="D763" s="226">
        <v>2</v>
      </c>
      <c r="E763" s="226" t="s">
        <v>517</v>
      </c>
      <c r="F763" s="212" t="s">
        <v>12694</v>
      </c>
      <c r="G763" s="226" t="s">
        <v>17014</v>
      </c>
      <c r="H763" s="343">
        <v>14388</v>
      </c>
      <c r="I763" s="342"/>
      <c r="J763" s="346"/>
      <c r="K763" s="345">
        <f>IFERROR(Table15[[#This Row],[ROUTE $]]/Table15[[#This Row],[E - DEMAND]],0)</f>
        <v>0</v>
      </c>
      <c r="L763" s="212"/>
      <c r="M763" s="413">
        <f>IFERROR(VLOOKUP(Table15[[#This Row],[ROUTE]],DEMAND!A:F,5,FALSE),0)</f>
        <v>0</v>
      </c>
      <c r="N763" s="251">
        <f>IFERROR(VLOOKUP(Table15[[#This Row],[ROUTE]],DEMAND!A:F,6,FALSE),0)</f>
        <v>0</v>
      </c>
      <c r="O763" s="349"/>
      <c r="P763" s="349"/>
      <c r="Q763" s="416">
        <f>IFERROR(VLOOKUP(Table15[[#This Row],[ROUTE]],PRICING!A:B,2,FALSE),0)</f>
        <v>0</v>
      </c>
      <c r="R763" s="409">
        <f>IFERROR(Table15[[#This Row],[C_DEMAND]]-Table15[[#This Row],[R-DEMAND]],0)</f>
        <v>0</v>
      </c>
      <c r="S763" s="410">
        <f t="shared" si="11"/>
        <v>0</v>
      </c>
      <c r="T763" s="420">
        <f>Table15[[#This Row],[R-DEMAND]]-(Table15[[#This Row],[ADD ACC]]*1706)</f>
        <v>0</v>
      </c>
      <c r="U763" s="420">
        <f>ROUNDDOWN(Table15[[#This Row],[Column1]]/1360,0)</f>
        <v>0</v>
      </c>
      <c r="V763" s="420"/>
      <c r="W763" s="349"/>
      <c r="X763" s="349"/>
      <c r="Y763" s="349"/>
      <c r="Z763" s="349"/>
    </row>
    <row r="764" spans="1:26" ht="15.75" customHeight="1" x14ac:dyDescent="0.25">
      <c r="A764" s="341" t="s">
        <v>18150</v>
      </c>
      <c r="B764" s="212" t="s">
        <v>2597</v>
      </c>
      <c r="C764" s="212"/>
      <c r="D764" s="226">
        <v>2</v>
      </c>
      <c r="E764" s="226" t="s">
        <v>517</v>
      </c>
      <c r="F764" s="212" t="s">
        <v>12694</v>
      </c>
      <c r="G764" s="226" t="s">
        <v>16937</v>
      </c>
      <c r="H764" s="343">
        <v>13694</v>
      </c>
      <c r="I764" s="342"/>
      <c r="J764" s="346"/>
      <c r="K764" s="345">
        <f>IFERROR(Table15[[#This Row],[ROUTE $]]/Table15[[#This Row],[E - DEMAND]],0)</f>
        <v>0</v>
      </c>
      <c r="L764" s="212"/>
      <c r="M764" s="413">
        <f>IFERROR(VLOOKUP(Table15[[#This Row],[ROUTE]],DEMAND!A:F,5,FALSE),0)</f>
        <v>0</v>
      </c>
      <c r="N764" s="251">
        <f>IFERROR(VLOOKUP(Table15[[#This Row],[ROUTE]],DEMAND!A:F,6,FALSE),0)</f>
        <v>0</v>
      </c>
      <c r="O764" s="349"/>
      <c r="P764" s="349"/>
      <c r="Q764" s="416">
        <f>IFERROR(VLOOKUP(Table15[[#This Row],[ROUTE]],PRICING!A:B,2,FALSE),0)</f>
        <v>0</v>
      </c>
      <c r="R764" s="409">
        <f>IFERROR(Table15[[#This Row],[C_DEMAND]]-Table15[[#This Row],[R-DEMAND]],0)</f>
        <v>0</v>
      </c>
      <c r="S764" s="410">
        <f t="shared" si="11"/>
        <v>0</v>
      </c>
      <c r="T764" s="420">
        <f>Table15[[#This Row],[R-DEMAND]]-(Table15[[#This Row],[ADD ACC]]*1706)</f>
        <v>0</v>
      </c>
      <c r="U764" s="420">
        <f>ROUNDDOWN(Table15[[#This Row],[Column1]]/1360,0)</f>
        <v>0</v>
      </c>
      <c r="V764" s="420"/>
      <c r="W764" s="349"/>
      <c r="X764" s="349"/>
      <c r="Y764" s="349"/>
      <c r="Z764" s="349"/>
    </row>
    <row r="765" spans="1:26" ht="15.75" customHeight="1" x14ac:dyDescent="0.25">
      <c r="A765" s="341" t="s">
        <v>18157</v>
      </c>
      <c r="B765" s="212" t="s">
        <v>4387</v>
      </c>
      <c r="C765" s="212"/>
      <c r="D765" s="226">
        <v>2</v>
      </c>
      <c r="E765" s="226" t="s">
        <v>517</v>
      </c>
      <c r="F765" s="212" t="s">
        <v>12694</v>
      </c>
      <c r="G765" s="226" t="s">
        <v>16940</v>
      </c>
      <c r="H765" s="343">
        <v>13436</v>
      </c>
      <c r="I765" s="342"/>
      <c r="J765" s="346"/>
      <c r="K765" s="345">
        <f>IFERROR(Table15[[#This Row],[ROUTE $]]/Table15[[#This Row],[E - DEMAND]],0)</f>
        <v>0</v>
      </c>
      <c r="L765" s="212"/>
      <c r="M765" s="413">
        <f>IFERROR(VLOOKUP(Table15[[#This Row],[ROUTE]],DEMAND!A:F,5,FALSE),0)</f>
        <v>0</v>
      </c>
      <c r="N765" s="251">
        <f>IFERROR(VLOOKUP(Table15[[#This Row],[ROUTE]],DEMAND!A:F,6,FALSE),0)</f>
        <v>0</v>
      </c>
      <c r="O765" s="349"/>
      <c r="P765" s="349"/>
      <c r="Q765" s="416">
        <f>IFERROR(VLOOKUP(Table15[[#This Row],[ROUTE]],PRICING!A:B,2,FALSE),0)</f>
        <v>0</v>
      </c>
      <c r="R765" s="409">
        <f>IFERROR(Table15[[#This Row],[C_DEMAND]]-Table15[[#This Row],[R-DEMAND]],0)</f>
        <v>0</v>
      </c>
      <c r="S765" s="410">
        <f t="shared" si="11"/>
        <v>0</v>
      </c>
      <c r="T765" s="420">
        <f>Table15[[#This Row],[R-DEMAND]]-(Table15[[#This Row],[ADD ACC]]*1706)</f>
        <v>0</v>
      </c>
      <c r="U765" s="420">
        <f>ROUNDDOWN(Table15[[#This Row],[Column1]]/1360,0)</f>
        <v>0</v>
      </c>
      <c r="V765" s="420"/>
      <c r="W765" s="349"/>
      <c r="X765" s="349"/>
      <c r="Y765" s="349"/>
      <c r="Z765" s="349"/>
    </row>
    <row r="766" spans="1:26" ht="15.75" customHeight="1" x14ac:dyDescent="0.25">
      <c r="A766" s="341" t="s">
        <v>18344</v>
      </c>
      <c r="B766" s="212" t="s">
        <v>4906</v>
      </c>
      <c r="C766" s="212"/>
      <c r="D766" s="226">
        <v>3</v>
      </c>
      <c r="E766" s="226" t="s">
        <v>4853</v>
      </c>
      <c r="F766" s="212" t="s">
        <v>12670</v>
      </c>
      <c r="G766" s="226" t="s">
        <v>18116</v>
      </c>
      <c r="H766" s="343">
        <v>3359</v>
      </c>
      <c r="I766" s="342"/>
      <c r="J766" s="346"/>
      <c r="K766" s="345">
        <f>IFERROR(Table15[[#This Row],[ROUTE $]]/Table15[[#This Row],[E - DEMAND]],0)</f>
        <v>0</v>
      </c>
      <c r="L766" s="212"/>
      <c r="M766" s="413">
        <f>IFERROR(VLOOKUP(Table15[[#This Row],[ROUTE]],DEMAND!A:F,5,FALSE),0)</f>
        <v>0</v>
      </c>
      <c r="N766" s="251">
        <f>IFERROR(VLOOKUP(Table15[[#This Row],[ROUTE]],DEMAND!A:F,6,FALSE),0)</f>
        <v>0</v>
      </c>
      <c r="O766" s="349"/>
      <c r="P766" s="349"/>
      <c r="Q766" s="416">
        <f>IFERROR(VLOOKUP(Table15[[#This Row],[ROUTE]],PRICING!A:B,2,FALSE),0)</f>
        <v>0</v>
      </c>
      <c r="R766" s="409">
        <f>IFERROR(Table15[[#This Row],[C_DEMAND]]-Table15[[#This Row],[R-DEMAND]],0)</f>
        <v>0</v>
      </c>
      <c r="S766" s="410">
        <f t="shared" si="11"/>
        <v>0</v>
      </c>
      <c r="T766" s="420">
        <f>Table15[[#This Row],[R-DEMAND]]-(Table15[[#This Row],[ADD ACC]]*1706)</f>
        <v>0</v>
      </c>
      <c r="U766" s="420">
        <f>ROUNDDOWN(Table15[[#This Row],[Column1]]/1360,0)</f>
        <v>0</v>
      </c>
      <c r="V766" s="420"/>
      <c r="W766" s="349"/>
      <c r="X766" s="349"/>
      <c r="Y766" s="349"/>
      <c r="Z766" s="349"/>
    </row>
    <row r="767" spans="1:26" ht="15.75" customHeight="1" x14ac:dyDescent="0.25">
      <c r="A767" s="341" t="s">
        <v>18202</v>
      </c>
      <c r="B767" s="212" t="s">
        <v>4516</v>
      </c>
      <c r="C767" s="212"/>
      <c r="D767" s="226">
        <v>2</v>
      </c>
      <c r="E767" s="226" t="s">
        <v>517</v>
      </c>
      <c r="F767" s="212" t="s">
        <v>12694</v>
      </c>
      <c r="G767" s="226" t="s">
        <v>16945</v>
      </c>
      <c r="H767" s="343">
        <v>12137</v>
      </c>
      <c r="I767" s="342"/>
      <c r="J767" s="346"/>
      <c r="K767" s="345">
        <f>IFERROR(Table15[[#This Row],[ROUTE $]]/Table15[[#This Row],[E - DEMAND]],0)</f>
        <v>0</v>
      </c>
      <c r="L767" s="212"/>
      <c r="M767" s="413">
        <f>IFERROR(VLOOKUP(Table15[[#This Row],[ROUTE]],DEMAND!A:F,5,FALSE),0)</f>
        <v>0</v>
      </c>
      <c r="N767" s="251">
        <f>IFERROR(VLOOKUP(Table15[[#This Row],[ROUTE]],DEMAND!A:F,6,FALSE),0)</f>
        <v>0</v>
      </c>
      <c r="O767" s="349"/>
      <c r="P767" s="349"/>
      <c r="Q767" s="416">
        <f>IFERROR(VLOOKUP(Table15[[#This Row],[ROUTE]],PRICING!A:B,2,FALSE),0)</f>
        <v>0</v>
      </c>
      <c r="R767" s="409">
        <f>IFERROR(Table15[[#This Row],[C_DEMAND]]-Table15[[#This Row],[R-DEMAND]],0)</f>
        <v>0</v>
      </c>
      <c r="S767" s="410">
        <f t="shared" si="11"/>
        <v>0</v>
      </c>
      <c r="T767" s="420">
        <f>Table15[[#This Row],[R-DEMAND]]-(Table15[[#This Row],[ADD ACC]]*1706)</f>
        <v>0</v>
      </c>
      <c r="U767" s="420">
        <f>ROUNDDOWN(Table15[[#This Row],[Column1]]/1360,0)</f>
        <v>0</v>
      </c>
      <c r="V767" s="420"/>
      <c r="W767" s="349"/>
      <c r="X767" s="349"/>
      <c r="Y767" s="349"/>
      <c r="Z767" s="349"/>
    </row>
    <row r="768" spans="1:26" ht="15.75" customHeight="1" x14ac:dyDescent="0.25">
      <c r="A768" s="210" t="s">
        <v>15322</v>
      </c>
      <c r="B768" s="204" t="s">
        <v>2974</v>
      </c>
      <c r="C768" s="204"/>
      <c r="D768" s="205">
        <v>2</v>
      </c>
      <c r="E768" s="204" t="s">
        <v>514</v>
      </c>
      <c r="F768" s="204" t="str">
        <f>VLOOKUP(E768,Table10[[COUNTRY NAME]:[CONTINENT CODE]],3,FALSE)</f>
        <v>NA</v>
      </c>
      <c r="G768" s="206" t="s">
        <v>13167</v>
      </c>
      <c r="H768" s="207">
        <v>12001</v>
      </c>
      <c r="I768" s="208">
        <v>28.75</v>
      </c>
      <c r="J768" s="345"/>
      <c r="K768" s="345">
        <f>IFERROR(Table15[[#This Row],[ROUTE $]]/Table15[[#This Row],[E - DEMAND]],0)</f>
        <v>0</v>
      </c>
      <c r="L768" s="204"/>
      <c r="M768" s="412">
        <f>IFERROR(VLOOKUP(Table15[[#This Row],[ROUTE]],DEMAND!A:F,5,FALSE),0)</f>
        <v>0</v>
      </c>
      <c r="N768" s="16">
        <f>IFERROR(VLOOKUP(Table15[[#This Row],[ROUTE]],DEMAND!A:F,6,FALSE),0)</f>
        <v>0</v>
      </c>
      <c r="O768" s="16">
        <f>IFERROR(ROUNDDOWN(Table15[[#This Row],[R-DEMAND]]/1706,0),0)</f>
        <v>0</v>
      </c>
      <c r="P768" s="16">
        <f>IFERROR(Table15[[#This Row],[ADD ACC]]*Table15[[#This Row],[RT TIME 
(380-800)]],0)</f>
        <v>0</v>
      </c>
      <c r="Q768" s="415">
        <f>IFERROR(VLOOKUP(Table15[[#This Row],[ROUTE]],PRICING!A:B,2,FALSE),0)</f>
        <v>0</v>
      </c>
      <c r="R768" s="235">
        <f>IFERROR(Table15[[#This Row],[C_DEMAND]]-Table15[[#This Row],[R-DEMAND]],0)</f>
        <v>0</v>
      </c>
      <c r="S768" s="408">
        <f t="shared" si="11"/>
        <v>0</v>
      </c>
      <c r="T768" s="419">
        <f>Table15[[#This Row],[R-DEMAND]]-(Table15[[#This Row],[ADD ACC]]*1706)</f>
        <v>0</v>
      </c>
      <c r="U768" s="419">
        <f>ROUNDDOWN(Table15[[#This Row],[Column1]]/1360,0)</f>
        <v>0</v>
      </c>
      <c r="V768" s="419"/>
      <c r="W768" s="251">
        <v>28.75</v>
      </c>
      <c r="X768" s="251">
        <f>ROUNDDOWN(Table15[[#This Row],[R-DEMAND]]/1320,0)</f>
        <v>0</v>
      </c>
      <c r="Y768" s="251">
        <f>IFERROR(Table15[[#This Row],[ADD ACC
(660/1320)]]*Table15[[#This Row],[Duration
(B744)]],0)</f>
        <v>0</v>
      </c>
      <c r="Z768" s="251"/>
    </row>
    <row r="769" spans="1:26" ht="15.75" customHeight="1" x14ac:dyDescent="0.25">
      <c r="A769" s="210" t="s">
        <v>15325</v>
      </c>
      <c r="B769" s="204" t="s">
        <v>3904</v>
      </c>
      <c r="C769" s="204"/>
      <c r="D769" s="205">
        <v>2</v>
      </c>
      <c r="E769" s="204" t="s">
        <v>514</v>
      </c>
      <c r="F769" s="204" t="str">
        <f>VLOOKUP(E769,Table10[[COUNTRY NAME]:[CONTINENT CODE]],3,FALSE)</f>
        <v>NA</v>
      </c>
      <c r="G769" s="206" t="s">
        <v>11671</v>
      </c>
      <c r="H769" s="207">
        <v>11768</v>
      </c>
      <c r="I769" s="208">
        <v>28.25</v>
      </c>
      <c r="J769" s="345"/>
      <c r="K769" s="345">
        <f>IFERROR(Table15[[#This Row],[ROUTE $]]/Table15[[#This Row],[E - DEMAND]],0)</f>
        <v>0</v>
      </c>
      <c r="L769" s="204"/>
      <c r="M769" s="412">
        <f>IFERROR(VLOOKUP(Table15[[#This Row],[ROUTE]],DEMAND!A:F,5,FALSE),0)</f>
        <v>0</v>
      </c>
      <c r="N769" s="16">
        <f>IFERROR(VLOOKUP(Table15[[#This Row],[ROUTE]],DEMAND!A:F,6,FALSE),0)</f>
        <v>0</v>
      </c>
      <c r="O769" s="16">
        <f>IFERROR(ROUNDDOWN(Table15[[#This Row],[R-DEMAND]]/1706,0),0)</f>
        <v>0</v>
      </c>
      <c r="P769" s="16">
        <f>IFERROR(Table15[[#This Row],[ADD ACC]]*Table15[[#This Row],[RT TIME 
(380-800)]],0)</f>
        <v>0</v>
      </c>
      <c r="Q769" s="415">
        <f>IFERROR(VLOOKUP(Table15[[#This Row],[ROUTE]],PRICING!A:B,2,FALSE),0)</f>
        <v>0</v>
      </c>
      <c r="R769" s="235">
        <f>IFERROR(Table15[[#This Row],[C_DEMAND]]-Table15[[#This Row],[R-DEMAND]],0)</f>
        <v>0</v>
      </c>
      <c r="S769" s="408">
        <f t="shared" si="11"/>
        <v>0</v>
      </c>
      <c r="T769" s="419">
        <f>Table15[[#This Row],[R-DEMAND]]-(Table15[[#This Row],[ADD ACC]]*1706)</f>
        <v>0</v>
      </c>
      <c r="U769" s="419">
        <f>ROUNDDOWN(Table15[[#This Row],[Column1]]/1360,0)</f>
        <v>0</v>
      </c>
      <c r="V769" s="419"/>
      <c r="W769" s="251">
        <v>28.25</v>
      </c>
      <c r="X769" s="251">
        <f>ROUNDDOWN(Table15[[#This Row],[R-DEMAND]]/1320,0)</f>
        <v>0</v>
      </c>
      <c r="Y769" s="251">
        <f>IFERROR(Table15[[#This Row],[ADD ACC
(660/1320)]]*Table15[[#This Row],[Duration
(B744)]],0)</f>
        <v>0</v>
      </c>
      <c r="Z769" s="251"/>
    </row>
    <row r="770" spans="1:26" ht="15.75" customHeight="1" x14ac:dyDescent="0.25">
      <c r="A770" s="210" t="s">
        <v>15326</v>
      </c>
      <c r="B770" s="204" t="s">
        <v>2651</v>
      </c>
      <c r="C770" s="204"/>
      <c r="D770" s="205">
        <v>2</v>
      </c>
      <c r="E770" s="204" t="s">
        <v>514</v>
      </c>
      <c r="F770" s="204" t="str">
        <f>VLOOKUP(E770,Table10[[COUNTRY NAME]:[CONTINENT CODE]],3,FALSE)</f>
        <v>NA</v>
      </c>
      <c r="G770" s="206" t="s">
        <v>13169</v>
      </c>
      <c r="H770" s="207">
        <v>11707</v>
      </c>
      <c r="I770" s="208">
        <v>28</v>
      </c>
      <c r="J770" s="345"/>
      <c r="K770" s="345">
        <f>IFERROR(Table15[[#This Row],[ROUTE $]]/Table15[[#This Row],[E - DEMAND]],0)</f>
        <v>0</v>
      </c>
      <c r="L770" s="204"/>
      <c r="M770" s="412">
        <f>IFERROR(VLOOKUP(Table15[[#This Row],[ROUTE]],DEMAND!A:F,5,FALSE),0)</f>
        <v>0</v>
      </c>
      <c r="N770" s="16">
        <f>IFERROR(VLOOKUP(Table15[[#This Row],[ROUTE]],DEMAND!A:F,6,FALSE),0)</f>
        <v>0</v>
      </c>
      <c r="O770" s="16">
        <f>IFERROR(ROUNDDOWN(Table15[[#This Row],[R-DEMAND]]/1706,0),0)</f>
        <v>0</v>
      </c>
      <c r="P770" s="16">
        <f>IFERROR(Table15[[#This Row],[ADD ACC]]*Table15[[#This Row],[RT TIME 
(380-800)]],0)</f>
        <v>0</v>
      </c>
      <c r="Q770" s="415">
        <f>IFERROR(VLOOKUP(Table15[[#This Row],[ROUTE]],PRICING!A:B,2,FALSE),0)</f>
        <v>0</v>
      </c>
      <c r="R770" s="235">
        <f>IFERROR(Table15[[#This Row],[C_DEMAND]]-Table15[[#This Row],[R-DEMAND]],0)</f>
        <v>0</v>
      </c>
      <c r="S770" s="408">
        <f t="shared" si="11"/>
        <v>0</v>
      </c>
      <c r="T770" s="419">
        <f>Table15[[#This Row],[R-DEMAND]]-(Table15[[#This Row],[ADD ACC]]*1706)</f>
        <v>0</v>
      </c>
      <c r="U770" s="419">
        <f>ROUNDDOWN(Table15[[#This Row],[Column1]]/1360,0)</f>
        <v>0</v>
      </c>
      <c r="V770" s="419"/>
      <c r="W770" s="251">
        <v>28</v>
      </c>
      <c r="X770" s="251">
        <f>ROUNDDOWN(Table15[[#This Row],[R-DEMAND]]/1320,0)</f>
        <v>0</v>
      </c>
      <c r="Y770" s="251">
        <f>IFERROR(Table15[[#This Row],[ADD ACC
(660/1320)]]*Table15[[#This Row],[Duration
(B744)]],0)</f>
        <v>0</v>
      </c>
      <c r="Z770" s="251"/>
    </row>
    <row r="771" spans="1:26" ht="15.75" customHeight="1" x14ac:dyDescent="0.25">
      <c r="A771" s="210" t="s">
        <v>15327</v>
      </c>
      <c r="B771" s="204" t="s">
        <v>2759</v>
      </c>
      <c r="C771" s="204"/>
      <c r="D771" s="205">
        <v>2</v>
      </c>
      <c r="E771" s="204" t="s">
        <v>514</v>
      </c>
      <c r="F771" s="204" t="str">
        <f>VLOOKUP(E771,Table10[[COUNTRY NAME]:[CONTINENT CODE]],3,FALSE)</f>
        <v>NA</v>
      </c>
      <c r="G771" s="206" t="s">
        <v>13165</v>
      </c>
      <c r="H771" s="207">
        <v>11281</v>
      </c>
      <c r="I771" s="208">
        <v>27</v>
      </c>
      <c r="J771" s="345"/>
      <c r="K771" s="345">
        <f>IFERROR(Table15[[#This Row],[ROUTE $]]/Table15[[#This Row],[E - DEMAND]],0)</f>
        <v>0</v>
      </c>
      <c r="L771" s="204"/>
      <c r="M771" s="412">
        <f>IFERROR(VLOOKUP(Table15[[#This Row],[ROUTE]],DEMAND!A:F,5,FALSE),0)</f>
        <v>0</v>
      </c>
      <c r="N771" s="16">
        <f>IFERROR(VLOOKUP(Table15[[#This Row],[ROUTE]],DEMAND!A:F,6,FALSE),0)</f>
        <v>0</v>
      </c>
      <c r="O771" s="16">
        <f>IFERROR(ROUNDDOWN(Table15[[#This Row],[R-DEMAND]]/1706,0),0)</f>
        <v>0</v>
      </c>
      <c r="P771" s="16">
        <f>IFERROR(Table15[[#This Row],[ADD ACC]]*Table15[[#This Row],[RT TIME 
(380-800)]],0)</f>
        <v>0</v>
      </c>
      <c r="Q771" s="415">
        <f>IFERROR(VLOOKUP(Table15[[#This Row],[ROUTE]],PRICING!A:B,2,FALSE),0)</f>
        <v>0</v>
      </c>
      <c r="R771" s="235">
        <f>IFERROR(Table15[[#This Row],[C_DEMAND]]-Table15[[#This Row],[R-DEMAND]],0)</f>
        <v>0</v>
      </c>
      <c r="S771" s="408">
        <f t="shared" ref="S771:S834" si="12">IFERROR(R771*Q771,0)</f>
        <v>0</v>
      </c>
      <c r="T771" s="419">
        <f>Table15[[#This Row],[R-DEMAND]]-(Table15[[#This Row],[ADD ACC]]*1706)</f>
        <v>0</v>
      </c>
      <c r="U771" s="419">
        <f>ROUNDDOWN(Table15[[#This Row],[Column1]]/1360,0)</f>
        <v>0</v>
      </c>
      <c r="V771" s="419"/>
      <c r="W771" s="251">
        <v>27</v>
      </c>
      <c r="X771" s="251">
        <f>ROUNDDOWN(Table15[[#This Row],[R-DEMAND]]/1320,0)</f>
        <v>0</v>
      </c>
      <c r="Y771" s="251">
        <f>IFERROR(Table15[[#This Row],[ADD ACC
(660/1320)]]*Table15[[#This Row],[Duration
(B744)]],0)</f>
        <v>0</v>
      </c>
      <c r="Z771" s="251"/>
    </row>
    <row r="772" spans="1:26" ht="15.75" customHeight="1" x14ac:dyDescent="0.25">
      <c r="A772" s="210" t="s">
        <v>15330</v>
      </c>
      <c r="B772" s="204" t="s">
        <v>3652</v>
      </c>
      <c r="C772" s="204"/>
      <c r="D772" s="205">
        <v>2</v>
      </c>
      <c r="E772" s="204" t="s">
        <v>514</v>
      </c>
      <c r="F772" s="204" t="str">
        <f>VLOOKUP(E772,Table10[[COUNTRY NAME]:[CONTINENT CODE]],3,FALSE)</f>
        <v>NA</v>
      </c>
      <c r="G772" s="206" t="s">
        <v>13175</v>
      </c>
      <c r="H772" s="207">
        <v>10846</v>
      </c>
      <c r="I772" s="208">
        <v>26.25</v>
      </c>
      <c r="J772" s="345"/>
      <c r="K772" s="345">
        <f>IFERROR(Table15[[#This Row],[ROUTE $]]/Table15[[#This Row],[E - DEMAND]],0)</f>
        <v>0</v>
      </c>
      <c r="L772" s="204"/>
      <c r="M772" s="412">
        <f>IFERROR(VLOOKUP(Table15[[#This Row],[ROUTE]],DEMAND!A:F,5,FALSE),0)</f>
        <v>0</v>
      </c>
      <c r="N772" s="16">
        <f>IFERROR(VLOOKUP(Table15[[#This Row],[ROUTE]],DEMAND!A:F,6,FALSE),0)</f>
        <v>0</v>
      </c>
      <c r="O772" s="16">
        <f>IFERROR(ROUNDDOWN(Table15[[#This Row],[R-DEMAND]]/1706,0),0)</f>
        <v>0</v>
      </c>
      <c r="P772" s="16">
        <f>IFERROR(Table15[[#This Row],[ADD ACC]]*Table15[[#This Row],[RT TIME 
(380-800)]],0)</f>
        <v>0</v>
      </c>
      <c r="Q772" s="415">
        <f>IFERROR(VLOOKUP(Table15[[#This Row],[ROUTE]],PRICING!A:B,2,FALSE),0)</f>
        <v>0</v>
      </c>
      <c r="R772" s="235">
        <f>IFERROR(Table15[[#This Row],[C_DEMAND]]-Table15[[#This Row],[R-DEMAND]],0)</f>
        <v>0</v>
      </c>
      <c r="S772" s="408">
        <f t="shared" si="12"/>
        <v>0</v>
      </c>
      <c r="T772" s="419">
        <f>Table15[[#This Row],[R-DEMAND]]-(Table15[[#This Row],[ADD ACC]]*1706)</f>
        <v>0</v>
      </c>
      <c r="U772" s="419">
        <f>ROUNDDOWN(Table15[[#This Row],[Column1]]/1360,0)</f>
        <v>0</v>
      </c>
      <c r="V772" s="419"/>
      <c r="W772" s="251">
        <v>26.25</v>
      </c>
      <c r="X772" s="251">
        <f>ROUNDDOWN(Table15[[#This Row],[R-DEMAND]]/1320,0)</f>
        <v>0</v>
      </c>
      <c r="Y772" s="251">
        <f>IFERROR(Table15[[#This Row],[ADD ACC
(660/1320)]]*Table15[[#This Row],[Duration
(B744)]],0)</f>
        <v>0</v>
      </c>
      <c r="Z772" s="251"/>
    </row>
    <row r="773" spans="1:26" ht="15.75" customHeight="1" x14ac:dyDescent="0.25">
      <c r="A773" s="210" t="s">
        <v>15332</v>
      </c>
      <c r="B773" s="204" t="s">
        <v>3269</v>
      </c>
      <c r="C773" s="204"/>
      <c r="D773" s="205">
        <v>2</v>
      </c>
      <c r="E773" s="204" t="s">
        <v>514</v>
      </c>
      <c r="F773" s="204" t="str">
        <f>VLOOKUP(E773,Table10[[COUNTRY NAME]:[CONTINENT CODE]],3,FALSE)</f>
        <v>NA</v>
      </c>
      <c r="G773" s="206" t="s">
        <v>11695</v>
      </c>
      <c r="H773" s="207">
        <v>10797</v>
      </c>
      <c r="I773" s="208">
        <v>26</v>
      </c>
      <c r="J773" s="345"/>
      <c r="K773" s="345">
        <f>IFERROR(Table15[[#This Row],[ROUTE $]]/Table15[[#This Row],[E - DEMAND]],0)</f>
        <v>0</v>
      </c>
      <c r="L773" s="204"/>
      <c r="M773" s="412">
        <f>IFERROR(VLOOKUP(Table15[[#This Row],[ROUTE]],DEMAND!A:F,5,FALSE),0)</f>
        <v>0</v>
      </c>
      <c r="N773" s="16">
        <f>IFERROR(VLOOKUP(Table15[[#This Row],[ROUTE]],DEMAND!A:F,6,FALSE),0)</f>
        <v>0</v>
      </c>
      <c r="O773" s="16">
        <f>IFERROR(ROUNDDOWN(Table15[[#This Row],[R-DEMAND]]/1706,0),0)</f>
        <v>0</v>
      </c>
      <c r="P773" s="16">
        <f>IFERROR(Table15[[#This Row],[ADD ACC]]*Table15[[#This Row],[RT TIME 
(380-800)]],0)</f>
        <v>0</v>
      </c>
      <c r="Q773" s="415">
        <f>IFERROR(VLOOKUP(Table15[[#This Row],[ROUTE]],PRICING!A:B,2,FALSE),0)</f>
        <v>0</v>
      </c>
      <c r="R773" s="235">
        <f>IFERROR(Table15[[#This Row],[C_DEMAND]]-Table15[[#This Row],[R-DEMAND]],0)</f>
        <v>0</v>
      </c>
      <c r="S773" s="408">
        <f t="shared" si="12"/>
        <v>0</v>
      </c>
      <c r="T773" s="419">
        <f>Table15[[#This Row],[R-DEMAND]]-(Table15[[#This Row],[ADD ACC]]*1706)</f>
        <v>0</v>
      </c>
      <c r="U773" s="419">
        <f>ROUNDDOWN(Table15[[#This Row],[Column1]]/1360,0)</f>
        <v>0</v>
      </c>
      <c r="V773" s="419"/>
      <c r="W773" s="251">
        <v>26</v>
      </c>
      <c r="X773" s="251">
        <f>ROUNDDOWN(Table15[[#This Row],[R-DEMAND]]/1320,0)</f>
        <v>0</v>
      </c>
      <c r="Y773" s="251">
        <f>IFERROR(Table15[[#This Row],[ADD ACC
(660/1320)]]*Table15[[#This Row],[Duration
(B744)]],0)</f>
        <v>0</v>
      </c>
      <c r="Z773" s="251"/>
    </row>
    <row r="774" spans="1:26" ht="15.75" customHeight="1" x14ac:dyDescent="0.25">
      <c r="A774" s="210" t="s">
        <v>15331</v>
      </c>
      <c r="B774" s="204" t="s">
        <v>3398</v>
      </c>
      <c r="C774" s="204"/>
      <c r="D774" s="205">
        <v>2</v>
      </c>
      <c r="E774" s="204" t="s">
        <v>514</v>
      </c>
      <c r="F774" s="204" t="str">
        <f>VLOOKUP(E774,Table10[[COUNTRY NAME]:[CONTINENT CODE]],3,FALSE)</f>
        <v>NA</v>
      </c>
      <c r="G774" s="206" t="s">
        <v>5935</v>
      </c>
      <c r="H774" s="207">
        <v>10808</v>
      </c>
      <c r="I774" s="208">
        <v>26</v>
      </c>
      <c r="J774" s="345"/>
      <c r="K774" s="345">
        <f>IFERROR(Table15[[#This Row],[ROUTE $]]/Table15[[#This Row],[E - DEMAND]],0)</f>
        <v>0</v>
      </c>
      <c r="L774" s="204"/>
      <c r="M774" s="412">
        <f>IFERROR(VLOOKUP(Table15[[#This Row],[ROUTE]],DEMAND!A:F,5,FALSE),0)</f>
        <v>0</v>
      </c>
      <c r="N774" s="16">
        <f>IFERROR(VLOOKUP(Table15[[#This Row],[ROUTE]],DEMAND!A:F,6,FALSE),0)</f>
        <v>0</v>
      </c>
      <c r="O774" s="16">
        <f>IFERROR(ROUNDDOWN(Table15[[#This Row],[R-DEMAND]]/1706,0),0)</f>
        <v>0</v>
      </c>
      <c r="P774" s="16">
        <f>IFERROR(Table15[[#This Row],[ADD ACC]]*Table15[[#This Row],[RT TIME 
(380-800)]],0)</f>
        <v>0</v>
      </c>
      <c r="Q774" s="415">
        <f>IFERROR(VLOOKUP(Table15[[#This Row],[ROUTE]],PRICING!A:B,2,FALSE),0)</f>
        <v>0</v>
      </c>
      <c r="R774" s="235">
        <f>IFERROR(Table15[[#This Row],[C_DEMAND]]-Table15[[#This Row],[R-DEMAND]],0)</f>
        <v>0</v>
      </c>
      <c r="S774" s="408">
        <f t="shared" si="12"/>
        <v>0</v>
      </c>
      <c r="T774" s="419">
        <f>Table15[[#This Row],[R-DEMAND]]-(Table15[[#This Row],[ADD ACC]]*1706)</f>
        <v>0</v>
      </c>
      <c r="U774" s="419">
        <f>ROUNDDOWN(Table15[[#This Row],[Column1]]/1360,0)</f>
        <v>0</v>
      </c>
      <c r="V774" s="419"/>
      <c r="W774" s="251">
        <v>26</v>
      </c>
      <c r="X774" s="251">
        <f>ROUNDDOWN(Table15[[#This Row],[R-DEMAND]]/1320,0)</f>
        <v>0</v>
      </c>
      <c r="Y774" s="251">
        <f>IFERROR(Table15[[#This Row],[ADD ACC
(660/1320)]]*Table15[[#This Row],[Duration
(B744)]],0)</f>
        <v>0</v>
      </c>
      <c r="Z774" s="251"/>
    </row>
    <row r="775" spans="1:26" ht="15.75" customHeight="1" x14ac:dyDescent="0.25">
      <c r="A775" s="341" t="s">
        <v>18357</v>
      </c>
      <c r="B775" s="212" t="s">
        <v>4841</v>
      </c>
      <c r="C775" s="212"/>
      <c r="D775" s="226">
        <v>3</v>
      </c>
      <c r="E775" s="226" t="s">
        <v>1070</v>
      </c>
      <c r="F775" s="212" t="s">
        <v>12670</v>
      </c>
      <c r="G775" s="226" t="s">
        <v>16824</v>
      </c>
      <c r="H775" s="343">
        <v>1183</v>
      </c>
      <c r="I775" s="342"/>
      <c r="J775" s="346"/>
      <c r="K775" s="345">
        <f>IFERROR(Table15[[#This Row],[ROUTE $]]/Table15[[#This Row],[E - DEMAND]],0)</f>
        <v>0</v>
      </c>
      <c r="L775" s="212"/>
      <c r="M775" s="413">
        <f>IFERROR(VLOOKUP(Table15[[#This Row],[ROUTE]],DEMAND!A:F,5,FALSE),0)</f>
        <v>0</v>
      </c>
      <c r="N775" s="251">
        <f>IFERROR(VLOOKUP(Table15[[#This Row],[ROUTE]],DEMAND!A:F,6,FALSE),0)</f>
        <v>0</v>
      </c>
      <c r="O775" s="349"/>
      <c r="P775" s="349"/>
      <c r="Q775" s="416">
        <f>IFERROR(VLOOKUP(Table15[[#This Row],[ROUTE]],PRICING!A:B,2,FALSE),0)</f>
        <v>0</v>
      </c>
      <c r="R775" s="409">
        <f>IFERROR(Table15[[#This Row],[C_DEMAND]]-Table15[[#This Row],[R-DEMAND]],0)</f>
        <v>0</v>
      </c>
      <c r="S775" s="410">
        <f t="shared" si="12"/>
        <v>0</v>
      </c>
      <c r="T775" s="420">
        <f>Table15[[#This Row],[R-DEMAND]]-(Table15[[#This Row],[ADD ACC]]*1706)</f>
        <v>0</v>
      </c>
      <c r="U775" s="420">
        <f>ROUNDDOWN(Table15[[#This Row],[Column1]]/1360,0)</f>
        <v>0</v>
      </c>
      <c r="V775" s="420"/>
      <c r="W775" s="349"/>
      <c r="X775" s="349"/>
      <c r="Y775" s="349"/>
      <c r="Z775" s="349"/>
    </row>
    <row r="776" spans="1:26" ht="15.75" customHeight="1" x14ac:dyDescent="0.25">
      <c r="A776" s="341" t="s">
        <v>18359</v>
      </c>
      <c r="B776" s="212" t="s">
        <v>4714</v>
      </c>
      <c r="C776" s="212"/>
      <c r="D776" s="226">
        <v>3</v>
      </c>
      <c r="E776" s="226" t="s">
        <v>1070</v>
      </c>
      <c r="F776" s="212" t="s">
        <v>12670</v>
      </c>
      <c r="G776" s="226" t="s">
        <v>18119</v>
      </c>
      <c r="H776" s="343">
        <v>1002</v>
      </c>
      <c r="I776" s="342"/>
      <c r="J776" s="346"/>
      <c r="K776" s="345">
        <f>IFERROR(Table15[[#This Row],[ROUTE $]]/Table15[[#This Row],[E - DEMAND]],0)</f>
        <v>0</v>
      </c>
      <c r="L776" s="212"/>
      <c r="M776" s="413">
        <f>IFERROR(VLOOKUP(Table15[[#This Row],[ROUTE]],DEMAND!A:F,5,FALSE),0)</f>
        <v>0</v>
      </c>
      <c r="N776" s="251">
        <f>IFERROR(VLOOKUP(Table15[[#This Row],[ROUTE]],DEMAND!A:F,6,FALSE),0)</f>
        <v>0</v>
      </c>
      <c r="O776" s="349"/>
      <c r="P776" s="349"/>
      <c r="Q776" s="416">
        <f>IFERROR(VLOOKUP(Table15[[#This Row],[ROUTE]],PRICING!A:B,2,FALSE),0)</f>
        <v>0</v>
      </c>
      <c r="R776" s="409">
        <f>IFERROR(Table15[[#This Row],[C_DEMAND]]-Table15[[#This Row],[R-DEMAND]],0)</f>
        <v>0</v>
      </c>
      <c r="S776" s="410">
        <f t="shared" si="12"/>
        <v>0</v>
      </c>
      <c r="T776" s="420">
        <f>Table15[[#This Row],[R-DEMAND]]-(Table15[[#This Row],[ADD ACC]]*1706)</f>
        <v>0</v>
      </c>
      <c r="U776" s="420">
        <f>ROUNDDOWN(Table15[[#This Row],[Column1]]/1360,0)</f>
        <v>0</v>
      </c>
      <c r="V776" s="420"/>
      <c r="W776" s="349"/>
      <c r="X776" s="349"/>
      <c r="Y776" s="349"/>
      <c r="Z776" s="349"/>
    </row>
    <row r="777" spans="1:26" ht="15.75" customHeight="1" x14ac:dyDescent="0.25">
      <c r="A777" s="341" t="s">
        <v>18361</v>
      </c>
      <c r="B777" s="212" t="s">
        <v>5159</v>
      </c>
      <c r="C777" s="212"/>
      <c r="D777" s="226">
        <v>3</v>
      </c>
      <c r="E777" s="226" t="s">
        <v>1070</v>
      </c>
      <c r="F777" s="212" t="s">
        <v>12670</v>
      </c>
      <c r="G777" s="226" t="s">
        <v>16827</v>
      </c>
      <c r="H777" s="343">
        <v>572</v>
      </c>
      <c r="I777" s="342"/>
      <c r="J777" s="346"/>
      <c r="K777" s="345">
        <f>IFERROR(Table15[[#This Row],[ROUTE $]]/Table15[[#This Row],[E - DEMAND]],0)</f>
        <v>0</v>
      </c>
      <c r="L777" s="212"/>
      <c r="M777" s="413">
        <f>IFERROR(VLOOKUP(Table15[[#This Row],[ROUTE]],DEMAND!A:F,5,FALSE),0)</f>
        <v>0</v>
      </c>
      <c r="N777" s="251">
        <f>IFERROR(VLOOKUP(Table15[[#This Row],[ROUTE]],DEMAND!A:F,6,FALSE),0)</f>
        <v>0</v>
      </c>
      <c r="O777" s="349"/>
      <c r="P777" s="349"/>
      <c r="Q777" s="416">
        <f>IFERROR(VLOOKUP(Table15[[#This Row],[ROUTE]],PRICING!A:B,2,FALSE),0)</f>
        <v>0</v>
      </c>
      <c r="R777" s="409">
        <f>IFERROR(Table15[[#This Row],[C_DEMAND]]-Table15[[#This Row],[R-DEMAND]],0)</f>
        <v>0</v>
      </c>
      <c r="S777" s="410">
        <f t="shared" si="12"/>
        <v>0</v>
      </c>
      <c r="T777" s="420">
        <f>Table15[[#This Row],[R-DEMAND]]-(Table15[[#This Row],[ADD ACC]]*1706)</f>
        <v>0</v>
      </c>
      <c r="U777" s="420">
        <f>ROUNDDOWN(Table15[[#This Row],[Column1]]/1360,0)</f>
        <v>0</v>
      </c>
      <c r="V777" s="420"/>
      <c r="W777" s="349"/>
      <c r="X777" s="349"/>
      <c r="Y777" s="349"/>
      <c r="Z777" s="349"/>
    </row>
    <row r="778" spans="1:26" ht="15.75" customHeight="1" x14ac:dyDescent="0.25">
      <c r="A778" s="341" t="s">
        <v>18363</v>
      </c>
      <c r="B778" s="212" t="s">
        <v>5137</v>
      </c>
      <c r="C778" s="212"/>
      <c r="D778" s="226">
        <v>3</v>
      </c>
      <c r="E778" s="226" t="s">
        <v>1070</v>
      </c>
      <c r="F778" s="212" t="s">
        <v>12670</v>
      </c>
      <c r="G778" s="226" t="s">
        <v>16820</v>
      </c>
      <c r="H778" s="343">
        <v>124</v>
      </c>
      <c r="I778" s="342"/>
      <c r="J778" s="346"/>
      <c r="K778" s="345">
        <f>IFERROR(Table15[[#This Row],[ROUTE $]]/Table15[[#This Row],[E - DEMAND]],0)</f>
        <v>0</v>
      </c>
      <c r="L778" s="212"/>
      <c r="M778" s="413">
        <f>IFERROR(VLOOKUP(Table15[[#This Row],[ROUTE]],DEMAND!A:F,5,FALSE),0)</f>
        <v>0</v>
      </c>
      <c r="N778" s="251">
        <f>IFERROR(VLOOKUP(Table15[[#This Row],[ROUTE]],DEMAND!A:F,6,FALSE),0)</f>
        <v>0</v>
      </c>
      <c r="O778" s="349"/>
      <c r="P778" s="349"/>
      <c r="Q778" s="416">
        <f>IFERROR(VLOOKUP(Table15[[#This Row],[ROUTE]],PRICING!A:B,2,FALSE),0)</f>
        <v>0</v>
      </c>
      <c r="R778" s="409">
        <f>IFERROR(Table15[[#This Row],[C_DEMAND]]-Table15[[#This Row],[R-DEMAND]],0)</f>
        <v>0</v>
      </c>
      <c r="S778" s="410">
        <f t="shared" si="12"/>
        <v>0</v>
      </c>
      <c r="T778" s="420">
        <f>Table15[[#This Row],[R-DEMAND]]-(Table15[[#This Row],[ADD ACC]]*1706)</f>
        <v>0</v>
      </c>
      <c r="U778" s="420">
        <f>ROUNDDOWN(Table15[[#This Row],[Column1]]/1360,0)</f>
        <v>0</v>
      </c>
      <c r="V778" s="420"/>
      <c r="W778" s="349"/>
      <c r="X778" s="349"/>
      <c r="Y778" s="349"/>
      <c r="Z778" s="349"/>
    </row>
    <row r="779" spans="1:26" ht="15.75" customHeight="1" x14ac:dyDescent="0.25">
      <c r="A779" s="341" t="s">
        <v>18335</v>
      </c>
      <c r="B779" s="212" t="s">
        <v>4762</v>
      </c>
      <c r="C779" s="212"/>
      <c r="D779" s="226">
        <v>3</v>
      </c>
      <c r="E779" s="226" t="s">
        <v>1261</v>
      </c>
      <c r="F779" s="212" t="s">
        <v>12670</v>
      </c>
      <c r="G779" s="226" t="s">
        <v>18113</v>
      </c>
      <c r="H779" s="343">
        <v>3720</v>
      </c>
      <c r="I779" s="342"/>
      <c r="J779" s="346"/>
      <c r="K779" s="345">
        <f>IFERROR(Table15[[#This Row],[ROUTE $]]/Table15[[#This Row],[E - DEMAND]],0)</f>
        <v>0</v>
      </c>
      <c r="L779" s="212"/>
      <c r="M779" s="413">
        <f>IFERROR(VLOOKUP(Table15[[#This Row],[ROUTE]],DEMAND!A:F,5,FALSE),0)</f>
        <v>0</v>
      </c>
      <c r="N779" s="251">
        <f>IFERROR(VLOOKUP(Table15[[#This Row],[ROUTE]],DEMAND!A:F,6,FALSE),0)</f>
        <v>0</v>
      </c>
      <c r="O779" s="349"/>
      <c r="P779" s="349"/>
      <c r="Q779" s="416">
        <f>IFERROR(VLOOKUP(Table15[[#This Row],[ROUTE]],PRICING!A:B,2,FALSE),0)</f>
        <v>0</v>
      </c>
      <c r="R779" s="409">
        <f>IFERROR(Table15[[#This Row],[C_DEMAND]]-Table15[[#This Row],[R-DEMAND]],0)</f>
        <v>0</v>
      </c>
      <c r="S779" s="410">
        <f t="shared" si="12"/>
        <v>0</v>
      </c>
      <c r="T779" s="420">
        <f>Table15[[#This Row],[R-DEMAND]]-(Table15[[#This Row],[ADD ACC]]*1706)</f>
        <v>0</v>
      </c>
      <c r="U779" s="420">
        <f>ROUNDDOWN(Table15[[#This Row],[Column1]]/1360,0)</f>
        <v>0</v>
      </c>
      <c r="V779" s="420"/>
      <c r="W779" s="349"/>
      <c r="X779" s="349"/>
      <c r="Y779" s="349"/>
      <c r="Z779" s="349"/>
    </row>
    <row r="780" spans="1:26" ht="15.75" customHeight="1" x14ac:dyDescent="0.25">
      <c r="A780" s="341" t="s">
        <v>18325</v>
      </c>
      <c r="B780" s="212" t="s">
        <v>4911</v>
      </c>
      <c r="C780" s="212"/>
      <c r="D780" s="226">
        <v>3</v>
      </c>
      <c r="E780" s="226" t="s">
        <v>4909</v>
      </c>
      <c r="F780" s="212" t="s">
        <v>12674</v>
      </c>
      <c r="G780" s="404" t="s">
        <v>16872</v>
      </c>
      <c r="H780" s="343">
        <v>4329</v>
      </c>
      <c r="I780" s="342"/>
      <c r="J780" s="346"/>
      <c r="K780" s="345">
        <f>IFERROR(Table15[[#This Row],[ROUTE $]]/Table15[[#This Row],[E - DEMAND]],0)</f>
        <v>0</v>
      </c>
      <c r="L780" s="212"/>
      <c r="M780" s="413">
        <f>IFERROR(VLOOKUP(Table15[[#This Row],[ROUTE]],DEMAND!A:F,5,FALSE),0)</f>
        <v>0</v>
      </c>
      <c r="N780" s="251">
        <f>IFERROR(VLOOKUP(Table15[[#This Row],[ROUTE]],DEMAND!A:F,6,FALSE),0)</f>
        <v>0</v>
      </c>
      <c r="O780" s="349"/>
      <c r="P780" s="349"/>
      <c r="Q780" s="416">
        <f>IFERROR(VLOOKUP(Table15[[#This Row],[ROUTE]],PRICING!A:B,2,FALSE),0)</f>
        <v>0</v>
      </c>
      <c r="R780" s="409">
        <f>IFERROR(Table15[[#This Row],[C_DEMAND]]-Table15[[#This Row],[R-DEMAND]],0)</f>
        <v>0</v>
      </c>
      <c r="S780" s="410">
        <f t="shared" si="12"/>
        <v>0</v>
      </c>
      <c r="T780" s="420">
        <f>Table15[[#This Row],[R-DEMAND]]-(Table15[[#This Row],[ADD ACC]]*1706)</f>
        <v>0</v>
      </c>
      <c r="U780" s="420">
        <f>ROUNDDOWN(Table15[[#This Row],[Column1]]/1360,0)</f>
        <v>0</v>
      </c>
      <c r="V780" s="420"/>
      <c r="W780" s="349"/>
      <c r="X780" s="349"/>
      <c r="Y780" s="349"/>
      <c r="Z780" s="349"/>
    </row>
    <row r="781" spans="1:26" ht="15.75" customHeight="1" x14ac:dyDescent="0.25">
      <c r="A781" s="341" t="s">
        <v>18185</v>
      </c>
      <c r="B781" s="212" t="s">
        <v>2788</v>
      </c>
      <c r="C781" s="212"/>
      <c r="D781" s="226">
        <v>2</v>
      </c>
      <c r="E781" s="226" t="s">
        <v>514</v>
      </c>
      <c r="F781" s="212" t="s">
        <v>12688</v>
      </c>
      <c r="G781" s="226" t="s">
        <v>16997</v>
      </c>
      <c r="H781" s="343">
        <v>12757</v>
      </c>
      <c r="I781" s="342"/>
      <c r="J781" s="346"/>
      <c r="K781" s="345">
        <f>IFERROR(Table15[[#This Row],[ROUTE $]]/Table15[[#This Row],[E - DEMAND]],0)</f>
        <v>0</v>
      </c>
      <c r="L781" s="212"/>
      <c r="M781" s="413">
        <f>IFERROR(VLOOKUP(Table15[[#This Row],[ROUTE]],DEMAND!A:F,5,FALSE),0)</f>
        <v>0</v>
      </c>
      <c r="N781" s="251">
        <f>IFERROR(VLOOKUP(Table15[[#This Row],[ROUTE]],DEMAND!A:F,6,FALSE),0)</f>
        <v>0</v>
      </c>
      <c r="O781" s="349"/>
      <c r="P781" s="349"/>
      <c r="Q781" s="416">
        <f>IFERROR(VLOOKUP(Table15[[#This Row],[ROUTE]],PRICING!A:B,2,FALSE),0)</f>
        <v>0</v>
      </c>
      <c r="R781" s="409">
        <f>IFERROR(Table15[[#This Row],[C_DEMAND]]-Table15[[#This Row],[R-DEMAND]],0)</f>
        <v>0</v>
      </c>
      <c r="S781" s="410">
        <f t="shared" si="12"/>
        <v>0</v>
      </c>
      <c r="T781" s="420">
        <f>Table15[[#This Row],[R-DEMAND]]-(Table15[[#This Row],[ADD ACC]]*1706)</f>
        <v>0</v>
      </c>
      <c r="U781" s="420">
        <f>ROUNDDOWN(Table15[[#This Row],[Column1]]/1360,0)</f>
        <v>0</v>
      </c>
      <c r="V781" s="420"/>
      <c r="W781" s="349"/>
      <c r="X781" s="349"/>
      <c r="Y781" s="349"/>
      <c r="Z781" s="349"/>
    </row>
    <row r="782" spans="1:26" ht="15.75" customHeight="1" x14ac:dyDescent="0.25">
      <c r="A782" s="341" t="s">
        <v>18189</v>
      </c>
      <c r="B782" s="212" t="s">
        <v>3986</v>
      </c>
      <c r="C782" s="212"/>
      <c r="D782" s="226">
        <v>2</v>
      </c>
      <c r="E782" s="226" t="s">
        <v>514</v>
      </c>
      <c r="F782" s="212" t="s">
        <v>12688</v>
      </c>
      <c r="G782" s="226" t="s">
        <v>16995</v>
      </c>
      <c r="H782" s="343">
        <v>12617</v>
      </c>
      <c r="I782" s="342"/>
      <c r="J782" s="346"/>
      <c r="K782" s="345">
        <f>IFERROR(Table15[[#This Row],[ROUTE $]]/Table15[[#This Row],[E - DEMAND]],0)</f>
        <v>0</v>
      </c>
      <c r="L782" s="212"/>
      <c r="M782" s="413">
        <f>IFERROR(VLOOKUP(Table15[[#This Row],[ROUTE]],DEMAND!A:F,5,FALSE),0)</f>
        <v>0</v>
      </c>
      <c r="N782" s="251">
        <f>IFERROR(VLOOKUP(Table15[[#This Row],[ROUTE]],DEMAND!A:F,6,FALSE),0)</f>
        <v>0</v>
      </c>
      <c r="O782" s="349"/>
      <c r="P782" s="349"/>
      <c r="Q782" s="416">
        <f>IFERROR(VLOOKUP(Table15[[#This Row],[ROUTE]],PRICING!A:B,2,FALSE),0)</f>
        <v>0</v>
      </c>
      <c r="R782" s="409">
        <f>IFERROR(Table15[[#This Row],[C_DEMAND]]-Table15[[#This Row],[R-DEMAND]],0)</f>
        <v>0</v>
      </c>
      <c r="S782" s="410">
        <f t="shared" si="12"/>
        <v>0</v>
      </c>
      <c r="T782" s="420">
        <f>Table15[[#This Row],[R-DEMAND]]-(Table15[[#This Row],[ADD ACC]]*1706)</f>
        <v>0</v>
      </c>
      <c r="U782" s="420">
        <f>ROUNDDOWN(Table15[[#This Row],[Column1]]/1360,0)</f>
        <v>0</v>
      </c>
      <c r="V782" s="420"/>
      <c r="W782" s="349"/>
      <c r="X782" s="349"/>
      <c r="Y782" s="349"/>
      <c r="Z782" s="349"/>
    </row>
    <row r="783" spans="1:26" ht="15.75" customHeight="1" x14ac:dyDescent="0.25">
      <c r="A783" s="341" t="s">
        <v>18243</v>
      </c>
      <c r="B783" s="212" t="s">
        <v>4772</v>
      </c>
      <c r="C783" s="212"/>
      <c r="D783" s="226">
        <v>3</v>
      </c>
      <c r="E783" s="226" t="s">
        <v>876</v>
      </c>
      <c r="F783" s="212" t="s">
        <v>12674</v>
      </c>
      <c r="G783" s="404" t="s">
        <v>16909</v>
      </c>
      <c r="H783" s="343">
        <v>6618</v>
      </c>
      <c r="I783" s="342"/>
      <c r="J783" s="346"/>
      <c r="K783" s="345">
        <f>IFERROR(Table15[[#This Row],[ROUTE $]]/Table15[[#This Row],[E - DEMAND]],0)</f>
        <v>0</v>
      </c>
      <c r="L783" s="212"/>
      <c r="M783" s="413">
        <f>IFERROR(VLOOKUP(Table15[[#This Row],[ROUTE]],DEMAND!A:F,5,FALSE),0)</f>
        <v>0</v>
      </c>
      <c r="N783" s="251">
        <f>IFERROR(VLOOKUP(Table15[[#This Row],[ROUTE]],DEMAND!A:F,6,FALSE),0)</f>
        <v>0</v>
      </c>
      <c r="O783" s="349"/>
      <c r="P783" s="349"/>
      <c r="Q783" s="416">
        <f>IFERROR(VLOOKUP(Table15[[#This Row],[ROUTE]],PRICING!A:B,2,FALSE),0)</f>
        <v>0</v>
      </c>
      <c r="R783" s="409">
        <f>IFERROR(Table15[[#This Row],[C_DEMAND]]-Table15[[#This Row],[R-DEMAND]],0)</f>
        <v>0</v>
      </c>
      <c r="S783" s="410">
        <f t="shared" si="12"/>
        <v>0</v>
      </c>
      <c r="T783" s="420">
        <f>Table15[[#This Row],[R-DEMAND]]-(Table15[[#This Row],[ADD ACC]]*1706)</f>
        <v>0</v>
      </c>
      <c r="U783" s="420">
        <f>ROUNDDOWN(Table15[[#This Row],[Column1]]/1360,0)</f>
        <v>0</v>
      </c>
      <c r="V783" s="420"/>
      <c r="W783" s="349"/>
      <c r="X783" s="349"/>
      <c r="Y783" s="349"/>
      <c r="Z783" s="349"/>
    </row>
    <row r="784" spans="1:26" ht="15.75" customHeight="1" x14ac:dyDescent="0.25">
      <c r="A784" s="210" t="s">
        <v>15115</v>
      </c>
      <c r="B784" s="204" t="s">
        <v>4835</v>
      </c>
      <c r="C784" s="204"/>
      <c r="D784" s="205">
        <v>3</v>
      </c>
      <c r="E784" s="204" t="s">
        <v>662</v>
      </c>
      <c r="F784" s="204" t="str">
        <f>VLOOKUP(E784,Table10[[COUNTRY NAME]:[CONTINENT CODE]],3,FALSE)</f>
        <v>OC</v>
      </c>
      <c r="G784" s="206" t="s">
        <v>11741</v>
      </c>
      <c r="H784" s="207">
        <v>15543</v>
      </c>
      <c r="I784" s="208">
        <v>36.5</v>
      </c>
      <c r="J784" s="345"/>
      <c r="K784" s="345">
        <f>IFERROR(Table15[[#This Row],[ROUTE $]]/Table15[[#This Row],[E - DEMAND]],0)</f>
        <v>0</v>
      </c>
      <c r="L784" s="204"/>
      <c r="M784" s="412">
        <f>IFERROR(VLOOKUP(Table15[[#This Row],[ROUTE]],DEMAND!A:F,5,FALSE),0)</f>
        <v>0</v>
      </c>
      <c r="N784" s="16">
        <f>IFERROR(VLOOKUP(Table15[[#This Row],[ROUTE]],DEMAND!A:F,6,FALSE),0)</f>
        <v>0</v>
      </c>
      <c r="O784" s="16">
        <f>IFERROR(ROUNDDOWN(Table15[[#This Row],[R-DEMAND]]/1706,0),0)</f>
        <v>0</v>
      </c>
      <c r="P784" s="16">
        <f>IFERROR(Table15[[#This Row],[ADD ACC]]*Table15[[#This Row],[RT TIME 
(380-800)]],0)</f>
        <v>0</v>
      </c>
      <c r="Q784" s="415">
        <f>IFERROR(VLOOKUP(Table15[[#This Row],[ROUTE]],PRICING!A:B,2,FALSE),0)</f>
        <v>0</v>
      </c>
      <c r="R784" s="235">
        <f>IFERROR(Table15[[#This Row],[C_DEMAND]]-Table15[[#This Row],[R-DEMAND]],0)</f>
        <v>0</v>
      </c>
      <c r="S784" s="408">
        <f t="shared" si="12"/>
        <v>0</v>
      </c>
      <c r="T784" s="419">
        <f>Table15[[#This Row],[R-DEMAND]]-(Table15[[#This Row],[ADD ACC]]*1706)</f>
        <v>0</v>
      </c>
      <c r="U784" s="419">
        <f>ROUNDDOWN(Table15[[#This Row],[Column1]]/1360,0)</f>
        <v>0</v>
      </c>
      <c r="V784" s="419"/>
      <c r="W784" s="349"/>
      <c r="X784" s="349"/>
      <c r="Y784" s="349"/>
      <c r="Z784" s="349"/>
    </row>
    <row r="785" spans="1:26" ht="15.75" customHeight="1" x14ac:dyDescent="0.25">
      <c r="A785" s="341" t="s">
        <v>18237</v>
      </c>
      <c r="B785" s="212" t="s">
        <v>4746</v>
      </c>
      <c r="C785" s="212"/>
      <c r="D785" s="226">
        <v>3</v>
      </c>
      <c r="E785" s="226" t="s">
        <v>560</v>
      </c>
      <c r="F785" s="212" t="s">
        <v>12674</v>
      </c>
      <c r="G785" s="404" t="s">
        <v>16914</v>
      </c>
      <c r="H785" s="343">
        <v>6878</v>
      </c>
      <c r="I785" s="342"/>
      <c r="J785" s="346"/>
      <c r="K785" s="345">
        <f>IFERROR(Table15[[#This Row],[ROUTE $]]/Table15[[#This Row],[E - DEMAND]],0)</f>
        <v>0</v>
      </c>
      <c r="L785" s="212"/>
      <c r="M785" s="413">
        <f>IFERROR(VLOOKUP(Table15[[#This Row],[ROUTE]],DEMAND!A:F,5,FALSE),0)</f>
        <v>0</v>
      </c>
      <c r="N785" s="251">
        <f>IFERROR(VLOOKUP(Table15[[#This Row],[ROUTE]],DEMAND!A:F,6,FALSE),0)</f>
        <v>0</v>
      </c>
      <c r="O785" s="349"/>
      <c r="P785" s="349"/>
      <c r="Q785" s="416">
        <f>IFERROR(VLOOKUP(Table15[[#This Row],[ROUTE]],PRICING!A:B,2,FALSE),0)</f>
        <v>0</v>
      </c>
      <c r="R785" s="409">
        <f>IFERROR(Table15[[#This Row],[C_DEMAND]]-Table15[[#This Row],[R-DEMAND]],0)</f>
        <v>0</v>
      </c>
      <c r="S785" s="410">
        <f t="shared" si="12"/>
        <v>0</v>
      </c>
      <c r="T785" s="420">
        <f>Table15[[#This Row],[R-DEMAND]]-(Table15[[#This Row],[ADD ACC]]*1706)</f>
        <v>0</v>
      </c>
      <c r="U785" s="420">
        <f>ROUNDDOWN(Table15[[#This Row],[Column1]]/1360,0)</f>
        <v>0</v>
      </c>
      <c r="V785" s="420"/>
      <c r="W785" s="349"/>
      <c r="X785" s="349"/>
      <c r="Y785" s="349"/>
      <c r="Z785" s="349"/>
    </row>
    <row r="786" spans="1:26" ht="15.75" customHeight="1" x14ac:dyDescent="0.25">
      <c r="A786" s="341" t="s">
        <v>18204</v>
      </c>
      <c r="B786" s="212" t="s">
        <v>4594</v>
      </c>
      <c r="C786" s="212"/>
      <c r="D786" s="226">
        <v>2</v>
      </c>
      <c r="E786" s="226" t="s">
        <v>514</v>
      </c>
      <c r="F786" s="212" t="s">
        <v>12688</v>
      </c>
      <c r="G786" s="226" t="s">
        <v>16947</v>
      </c>
      <c r="H786" s="343">
        <v>12094</v>
      </c>
      <c r="I786" s="342"/>
      <c r="J786" s="346"/>
      <c r="K786" s="345">
        <f>IFERROR(Table15[[#This Row],[ROUTE $]]/Table15[[#This Row],[E - DEMAND]],0)</f>
        <v>0</v>
      </c>
      <c r="L786" s="212"/>
      <c r="M786" s="413">
        <f>IFERROR(VLOOKUP(Table15[[#This Row],[ROUTE]],DEMAND!A:F,5,FALSE),0)</f>
        <v>0</v>
      </c>
      <c r="N786" s="251">
        <f>IFERROR(VLOOKUP(Table15[[#This Row],[ROUTE]],DEMAND!A:F,6,FALSE),0)</f>
        <v>0</v>
      </c>
      <c r="O786" s="349"/>
      <c r="P786" s="349"/>
      <c r="Q786" s="416">
        <f>IFERROR(VLOOKUP(Table15[[#This Row],[ROUTE]],PRICING!A:B,2,FALSE),0)</f>
        <v>0</v>
      </c>
      <c r="R786" s="409">
        <f>IFERROR(Table15[[#This Row],[C_DEMAND]]-Table15[[#This Row],[R-DEMAND]],0)</f>
        <v>0</v>
      </c>
      <c r="S786" s="410">
        <f t="shared" si="12"/>
        <v>0</v>
      </c>
      <c r="T786" s="420">
        <f>Table15[[#This Row],[R-DEMAND]]-(Table15[[#This Row],[ADD ACC]]*1706)</f>
        <v>0</v>
      </c>
      <c r="U786" s="420">
        <f>ROUNDDOWN(Table15[[#This Row],[Column1]]/1360,0)</f>
        <v>0</v>
      </c>
      <c r="V786" s="420"/>
      <c r="W786" s="349"/>
      <c r="X786" s="349"/>
      <c r="Y786" s="349"/>
      <c r="Z786" s="349"/>
    </row>
    <row r="787" spans="1:26" ht="15.75" customHeight="1" x14ac:dyDescent="0.25">
      <c r="A787" s="341" t="s">
        <v>18249</v>
      </c>
      <c r="B787" s="212" t="s">
        <v>5076</v>
      </c>
      <c r="C787" s="212"/>
      <c r="D787" s="226">
        <v>3</v>
      </c>
      <c r="E787" s="226" t="s">
        <v>142</v>
      </c>
      <c r="F787" s="212" t="s">
        <v>12670</v>
      </c>
      <c r="G787" s="226" t="s">
        <v>16839</v>
      </c>
      <c r="H787" s="343">
        <v>6427</v>
      </c>
      <c r="I787" s="342"/>
      <c r="J787" s="346"/>
      <c r="K787" s="345">
        <f>IFERROR(Table15[[#This Row],[ROUTE $]]/Table15[[#This Row],[E - DEMAND]],0)</f>
        <v>0</v>
      </c>
      <c r="L787" s="212"/>
      <c r="M787" s="413">
        <f>IFERROR(VLOOKUP(Table15[[#This Row],[ROUTE]],DEMAND!A:F,5,FALSE),0)</f>
        <v>0</v>
      </c>
      <c r="N787" s="251">
        <f>IFERROR(VLOOKUP(Table15[[#This Row],[ROUTE]],DEMAND!A:F,6,FALSE),0)</f>
        <v>0</v>
      </c>
      <c r="O787" s="349"/>
      <c r="P787" s="349"/>
      <c r="Q787" s="416">
        <f>IFERROR(VLOOKUP(Table15[[#This Row],[ROUTE]],PRICING!A:B,2,FALSE),0)</f>
        <v>0</v>
      </c>
      <c r="R787" s="409">
        <f>IFERROR(Table15[[#This Row],[C_DEMAND]]-Table15[[#This Row],[R-DEMAND]],0)</f>
        <v>0</v>
      </c>
      <c r="S787" s="410">
        <f t="shared" si="12"/>
        <v>0</v>
      </c>
      <c r="T787" s="420">
        <f>Table15[[#This Row],[R-DEMAND]]-(Table15[[#This Row],[ADD ACC]]*1706)</f>
        <v>0</v>
      </c>
      <c r="U787" s="420">
        <f>ROUNDDOWN(Table15[[#This Row],[Column1]]/1360,0)</f>
        <v>0</v>
      </c>
      <c r="V787" s="420"/>
      <c r="W787" s="349"/>
      <c r="X787" s="349"/>
      <c r="Y787" s="349"/>
      <c r="Z787" s="349"/>
    </row>
    <row r="788" spans="1:26" ht="15.75" customHeight="1" x14ac:dyDescent="0.25">
      <c r="A788" s="341" t="s">
        <v>18253</v>
      </c>
      <c r="B788" s="212" t="s">
        <v>5302</v>
      </c>
      <c r="C788" s="212"/>
      <c r="D788" s="226">
        <v>3</v>
      </c>
      <c r="E788" s="226" t="s">
        <v>1427</v>
      </c>
      <c r="F788" s="212" t="s">
        <v>12674</v>
      </c>
      <c r="G788" s="404" t="s">
        <v>16906</v>
      </c>
      <c r="H788" s="343">
        <v>6385</v>
      </c>
      <c r="I788" s="342"/>
      <c r="J788" s="346"/>
      <c r="K788" s="345">
        <f>IFERROR(Table15[[#This Row],[ROUTE $]]/Table15[[#This Row],[E - DEMAND]],0)</f>
        <v>0</v>
      </c>
      <c r="L788" s="212"/>
      <c r="M788" s="413">
        <f>IFERROR(VLOOKUP(Table15[[#This Row],[ROUTE]],DEMAND!A:F,5,FALSE),0)</f>
        <v>0</v>
      </c>
      <c r="N788" s="251">
        <f>IFERROR(VLOOKUP(Table15[[#This Row],[ROUTE]],DEMAND!A:F,6,FALSE),0)</f>
        <v>0</v>
      </c>
      <c r="O788" s="349"/>
      <c r="P788" s="349"/>
      <c r="Q788" s="416">
        <f>IFERROR(VLOOKUP(Table15[[#This Row],[ROUTE]],PRICING!A:B,2,FALSE),0)</f>
        <v>0</v>
      </c>
      <c r="R788" s="409">
        <f>IFERROR(Table15[[#This Row],[C_DEMAND]]-Table15[[#This Row],[R-DEMAND]],0)</f>
        <v>0</v>
      </c>
      <c r="S788" s="410">
        <f t="shared" si="12"/>
        <v>0</v>
      </c>
      <c r="T788" s="420">
        <f>Table15[[#This Row],[R-DEMAND]]-(Table15[[#This Row],[ADD ACC]]*1706)</f>
        <v>0</v>
      </c>
      <c r="U788" s="420">
        <f>ROUNDDOWN(Table15[[#This Row],[Column1]]/1360,0)</f>
        <v>0</v>
      </c>
      <c r="V788" s="420"/>
      <c r="W788" s="349"/>
      <c r="X788" s="349"/>
      <c r="Y788" s="349"/>
      <c r="Z788" s="349"/>
    </row>
    <row r="789" spans="1:26" ht="15.75" customHeight="1" x14ac:dyDescent="0.25">
      <c r="A789" s="341" t="s">
        <v>18307</v>
      </c>
      <c r="B789" s="212" t="s">
        <v>5384</v>
      </c>
      <c r="C789" s="212"/>
      <c r="D789" s="226">
        <v>3</v>
      </c>
      <c r="E789" s="226" t="s">
        <v>597</v>
      </c>
      <c r="F789" s="212" t="s">
        <v>12674</v>
      </c>
      <c r="G789" s="404" t="s">
        <v>16879</v>
      </c>
      <c r="H789" s="343">
        <v>4996</v>
      </c>
      <c r="I789" s="342"/>
      <c r="J789" s="346"/>
      <c r="K789" s="345">
        <f>IFERROR(Table15[[#This Row],[ROUTE $]]/Table15[[#This Row],[E - DEMAND]],0)</f>
        <v>0</v>
      </c>
      <c r="L789" s="212"/>
      <c r="M789" s="413">
        <f>IFERROR(VLOOKUP(Table15[[#This Row],[ROUTE]],DEMAND!A:F,5,FALSE),0)</f>
        <v>0</v>
      </c>
      <c r="N789" s="251">
        <f>IFERROR(VLOOKUP(Table15[[#This Row],[ROUTE]],DEMAND!A:F,6,FALSE),0)</f>
        <v>0</v>
      </c>
      <c r="O789" s="349"/>
      <c r="P789" s="349"/>
      <c r="Q789" s="416">
        <f>IFERROR(VLOOKUP(Table15[[#This Row],[ROUTE]],PRICING!A:B,2,FALSE),0)</f>
        <v>0</v>
      </c>
      <c r="R789" s="409">
        <f>IFERROR(Table15[[#This Row],[C_DEMAND]]-Table15[[#This Row],[R-DEMAND]],0)</f>
        <v>0</v>
      </c>
      <c r="S789" s="410">
        <f t="shared" si="12"/>
        <v>0</v>
      </c>
      <c r="T789" s="420">
        <f>Table15[[#This Row],[R-DEMAND]]-(Table15[[#This Row],[ADD ACC]]*1706)</f>
        <v>0</v>
      </c>
      <c r="U789" s="420">
        <f>ROUNDDOWN(Table15[[#This Row],[Column1]]/1360,0)</f>
        <v>0</v>
      </c>
      <c r="V789" s="420"/>
      <c r="W789" s="349"/>
      <c r="X789" s="349"/>
      <c r="Y789" s="349"/>
      <c r="Z789" s="349"/>
    </row>
    <row r="790" spans="1:26" ht="15.75" customHeight="1" x14ac:dyDescent="0.25">
      <c r="A790" s="341" t="s">
        <v>18313</v>
      </c>
      <c r="B790" s="212" t="s">
        <v>4795</v>
      </c>
      <c r="C790" s="212"/>
      <c r="D790" s="226">
        <v>3</v>
      </c>
      <c r="E790" s="226" t="s">
        <v>709</v>
      </c>
      <c r="F790" s="212" t="s">
        <v>12670</v>
      </c>
      <c r="G790" s="226" t="s">
        <v>8321</v>
      </c>
      <c r="H790" s="343">
        <v>4752</v>
      </c>
      <c r="I790" s="342"/>
      <c r="J790" s="346"/>
      <c r="K790" s="345">
        <f>IFERROR(Table15[[#This Row],[ROUTE $]]/Table15[[#This Row],[E - DEMAND]],0)</f>
        <v>0</v>
      </c>
      <c r="L790" s="212"/>
      <c r="M790" s="413">
        <f>IFERROR(VLOOKUP(Table15[[#This Row],[ROUTE]],DEMAND!A:F,5,FALSE),0)</f>
        <v>0</v>
      </c>
      <c r="N790" s="251">
        <f>IFERROR(VLOOKUP(Table15[[#This Row],[ROUTE]],DEMAND!A:F,6,FALSE),0)</f>
        <v>0</v>
      </c>
      <c r="O790" s="349"/>
      <c r="P790" s="349"/>
      <c r="Q790" s="416">
        <f>IFERROR(VLOOKUP(Table15[[#This Row],[ROUTE]],PRICING!A:B,2,FALSE),0)</f>
        <v>0</v>
      </c>
      <c r="R790" s="409">
        <f>IFERROR(Table15[[#This Row],[C_DEMAND]]-Table15[[#This Row],[R-DEMAND]],0)</f>
        <v>0</v>
      </c>
      <c r="S790" s="410">
        <f t="shared" si="12"/>
        <v>0</v>
      </c>
      <c r="T790" s="420">
        <f>Table15[[#This Row],[R-DEMAND]]-(Table15[[#This Row],[ADD ACC]]*1706)</f>
        <v>0</v>
      </c>
      <c r="U790" s="420">
        <f>ROUNDDOWN(Table15[[#This Row],[Column1]]/1360,0)</f>
        <v>0</v>
      </c>
      <c r="V790" s="420"/>
      <c r="W790" s="349"/>
      <c r="X790" s="349"/>
      <c r="Y790" s="349"/>
      <c r="Z790" s="349"/>
    </row>
    <row r="791" spans="1:26" ht="15.75" customHeight="1" x14ac:dyDescent="0.25">
      <c r="A791" s="341" t="s">
        <v>18206</v>
      </c>
      <c r="B791" s="212" t="s">
        <v>4588</v>
      </c>
      <c r="C791" s="212"/>
      <c r="D791" s="226">
        <v>2</v>
      </c>
      <c r="E791" s="226" t="s">
        <v>514</v>
      </c>
      <c r="F791" s="212" t="s">
        <v>12688</v>
      </c>
      <c r="G791" s="226" t="s">
        <v>16983</v>
      </c>
      <c r="H791" s="343">
        <v>11864</v>
      </c>
      <c r="I791" s="342"/>
      <c r="J791" s="346"/>
      <c r="K791" s="345">
        <f>IFERROR(Table15[[#This Row],[ROUTE $]]/Table15[[#This Row],[E - DEMAND]],0)</f>
        <v>0</v>
      </c>
      <c r="L791" s="212"/>
      <c r="M791" s="413">
        <f>IFERROR(VLOOKUP(Table15[[#This Row],[ROUTE]],DEMAND!A:F,5,FALSE),0)</f>
        <v>0</v>
      </c>
      <c r="N791" s="251">
        <f>IFERROR(VLOOKUP(Table15[[#This Row],[ROUTE]],DEMAND!A:F,6,FALSE),0)</f>
        <v>0</v>
      </c>
      <c r="O791" s="349"/>
      <c r="P791" s="349"/>
      <c r="Q791" s="416">
        <f>IFERROR(VLOOKUP(Table15[[#This Row],[ROUTE]],PRICING!A:B,2,FALSE),0)</f>
        <v>0</v>
      </c>
      <c r="R791" s="409">
        <f>IFERROR(Table15[[#This Row],[C_DEMAND]]-Table15[[#This Row],[R-DEMAND]],0)</f>
        <v>0</v>
      </c>
      <c r="S791" s="410">
        <f t="shared" si="12"/>
        <v>0</v>
      </c>
      <c r="T791" s="420">
        <f>Table15[[#This Row],[R-DEMAND]]-(Table15[[#This Row],[ADD ACC]]*1706)</f>
        <v>0</v>
      </c>
      <c r="U791" s="420">
        <f>ROUNDDOWN(Table15[[#This Row],[Column1]]/1360,0)</f>
        <v>0</v>
      </c>
      <c r="V791" s="420"/>
      <c r="W791" s="349"/>
      <c r="X791" s="349"/>
      <c r="Y791" s="349"/>
      <c r="Z791" s="349"/>
    </row>
    <row r="792" spans="1:26" ht="15.75" customHeight="1" x14ac:dyDescent="0.25">
      <c r="A792" s="341" t="s">
        <v>18210</v>
      </c>
      <c r="B792" s="212" t="s">
        <v>4669</v>
      </c>
      <c r="C792" s="212"/>
      <c r="D792" s="226">
        <v>2</v>
      </c>
      <c r="E792" s="226" t="s">
        <v>514</v>
      </c>
      <c r="F792" s="212" t="s">
        <v>12688</v>
      </c>
      <c r="G792" s="226" t="s">
        <v>16971</v>
      </c>
      <c r="H792" s="343">
        <v>10837</v>
      </c>
      <c r="I792" s="342"/>
      <c r="J792" s="346"/>
      <c r="K792" s="345">
        <f>IFERROR(Table15[[#This Row],[ROUTE $]]/Table15[[#This Row],[E - DEMAND]],0)</f>
        <v>0</v>
      </c>
      <c r="L792" s="212"/>
      <c r="M792" s="413">
        <f>IFERROR(VLOOKUP(Table15[[#This Row],[ROUTE]],DEMAND!A:F,5,FALSE),0)</f>
        <v>0</v>
      </c>
      <c r="N792" s="251">
        <f>IFERROR(VLOOKUP(Table15[[#This Row],[ROUTE]],DEMAND!A:F,6,FALSE),0)</f>
        <v>0</v>
      </c>
      <c r="O792" s="349"/>
      <c r="P792" s="349"/>
      <c r="Q792" s="416">
        <f>IFERROR(VLOOKUP(Table15[[#This Row],[ROUTE]],PRICING!A:B,2,FALSE),0)</f>
        <v>0</v>
      </c>
      <c r="R792" s="409">
        <f>IFERROR(Table15[[#This Row],[C_DEMAND]]-Table15[[#This Row],[R-DEMAND]],0)</f>
        <v>0</v>
      </c>
      <c r="S792" s="410">
        <f t="shared" si="12"/>
        <v>0</v>
      </c>
      <c r="T792" s="420">
        <f>Table15[[#This Row],[R-DEMAND]]-(Table15[[#This Row],[ADD ACC]]*1706)</f>
        <v>0</v>
      </c>
      <c r="U792" s="420">
        <f>ROUNDDOWN(Table15[[#This Row],[Column1]]/1360,0)</f>
        <v>0</v>
      </c>
      <c r="V792" s="420"/>
      <c r="W792" s="349"/>
      <c r="X792" s="349"/>
      <c r="Y792" s="349"/>
      <c r="Z792" s="349"/>
    </row>
    <row r="793" spans="1:26" ht="15.75" customHeight="1" x14ac:dyDescent="0.25">
      <c r="A793" s="341" t="s">
        <v>18212</v>
      </c>
      <c r="B793" s="212" t="s">
        <v>3068</v>
      </c>
      <c r="C793" s="212"/>
      <c r="D793" s="226">
        <v>2</v>
      </c>
      <c r="E793" s="226" t="s">
        <v>514</v>
      </c>
      <c r="F793" s="212" t="s">
        <v>12688</v>
      </c>
      <c r="G793" s="226" t="s">
        <v>6184</v>
      </c>
      <c r="H793" s="343">
        <v>10223</v>
      </c>
      <c r="I793" s="342"/>
      <c r="J793" s="346"/>
      <c r="K793" s="345">
        <f>IFERROR(Table15[[#This Row],[ROUTE $]]/Table15[[#This Row],[E - DEMAND]],0)</f>
        <v>0</v>
      </c>
      <c r="L793" s="212"/>
      <c r="M793" s="413">
        <f>IFERROR(VLOOKUP(Table15[[#This Row],[ROUTE]],DEMAND!A:F,5,FALSE),0)</f>
        <v>0</v>
      </c>
      <c r="N793" s="251">
        <f>IFERROR(VLOOKUP(Table15[[#This Row],[ROUTE]],DEMAND!A:F,6,FALSE),0)</f>
        <v>0</v>
      </c>
      <c r="O793" s="349"/>
      <c r="P793" s="349"/>
      <c r="Q793" s="416">
        <f>IFERROR(VLOOKUP(Table15[[#This Row],[ROUTE]],PRICING!A:B,2,FALSE),0)</f>
        <v>0</v>
      </c>
      <c r="R793" s="409">
        <f>IFERROR(Table15[[#This Row],[C_DEMAND]]-Table15[[#This Row],[R-DEMAND]],0)</f>
        <v>0</v>
      </c>
      <c r="S793" s="410">
        <f t="shared" si="12"/>
        <v>0</v>
      </c>
      <c r="T793" s="420">
        <f>Table15[[#This Row],[R-DEMAND]]-(Table15[[#This Row],[ADD ACC]]*1706)</f>
        <v>0</v>
      </c>
      <c r="U793" s="420">
        <f>ROUNDDOWN(Table15[[#This Row],[Column1]]/1360,0)</f>
        <v>0</v>
      </c>
      <c r="V793" s="420"/>
      <c r="W793" s="349"/>
      <c r="X793" s="349"/>
      <c r="Y793" s="349"/>
      <c r="Z793" s="349"/>
    </row>
    <row r="794" spans="1:26" ht="15.75" customHeight="1" x14ac:dyDescent="0.25">
      <c r="A794" s="341" t="s">
        <v>18259</v>
      </c>
      <c r="B794" s="212" t="s">
        <v>4882</v>
      </c>
      <c r="C794" s="212"/>
      <c r="D794" s="226">
        <v>3</v>
      </c>
      <c r="E794" s="226" t="s">
        <v>308</v>
      </c>
      <c r="F794" s="212" t="s">
        <v>12674</v>
      </c>
      <c r="G794" s="404" t="s">
        <v>16898</v>
      </c>
      <c r="H794" s="343">
        <v>6149</v>
      </c>
      <c r="I794" s="342"/>
      <c r="J794" s="346"/>
      <c r="K794" s="345">
        <f>IFERROR(Table15[[#This Row],[ROUTE $]]/Table15[[#This Row],[E - DEMAND]],0)</f>
        <v>0</v>
      </c>
      <c r="L794" s="212"/>
      <c r="M794" s="413">
        <f>IFERROR(VLOOKUP(Table15[[#This Row],[ROUTE]],DEMAND!A:F,5,FALSE),0)</f>
        <v>0</v>
      </c>
      <c r="N794" s="251">
        <f>IFERROR(VLOOKUP(Table15[[#This Row],[ROUTE]],DEMAND!A:F,6,FALSE),0)</f>
        <v>0</v>
      </c>
      <c r="O794" s="349"/>
      <c r="P794" s="349"/>
      <c r="Q794" s="416">
        <f>IFERROR(VLOOKUP(Table15[[#This Row],[ROUTE]],PRICING!A:B,2,FALSE),0)</f>
        <v>0</v>
      </c>
      <c r="R794" s="409">
        <f>IFERROR(Table15[[#This Row],[C_DEMAND]]-Table15[[#This Row],[R-DEMAND]],0)</f>
        <v>0</v>
      </c>
      <c r="S794" s="410">
        <f t="shared" si="12"/>
        <v>0</v>
      </c>
      <c r="T794" s="420">
        <f>Table15[[#This Row],[R-DEMAND]]-(Table15[[#This Row],[ADD ACC]]*1706)</f>
        <v>0</v>
      </c>
      <c r="U794" s="420">
        <f>ROUNDDOWN(Table15[[#This Row],[Column1]]/1360,0)</f>
        <v>0</v>
      </c>
      <c r="V794" s="420"/>
      <c r="W794" s="349"/>
      <c r="X794" s="349"/>
      <c r="Y794" s="349"/>
      <c r="Z794" s="349"/>
    </row>
    <row r="795" spans="1:26" ht="15.75" customHeight="1" x14ac:dyDescent="0.25">
      <c r="A795" s="341" t="s">
        <v>18265</v>
      </c>
      <c r="B795" s="212" t="s">
        <v>5399</v>
      </c>
      <c r="C795" s="212"/>
      <c r="D795" s="226">
        <v>3</v>
      </c>
      <c r="E795" s="226" t="s">
        <v>308</v>
      </c>
      <c r="F795" s="212" t="s">
        <v>12674</v>
      </c>
      <c r="G795" s="404" t="s">
        <v>16895</v>
      </c>
      <c r="H795" s="343">
        <v>6016</v>
      </c>
      <c r="I795" s="342"/>
      <c r="J795" s="346"/>
      <c r="K795" s="345">
        <f>IFERROR(Table15[[#This Row],[ROUTE $]]/Table15[[#This Row],[E - DEMAND]],0)</f>
        <v>0</v>
      </c>
      <c r="L795" s="212"/>
      <c r="M795" s="413">
        <f>IFERROR(VLOOKUP(Table15[[#This Row],[ROUTE]],DEMAND!A:F,5,FALSE),0)</f>
        <v>0</v>
      </c>
      <c r="N795" s="251">
        <f>IFERROR(VLOOKUP(Table15[[#This Row],[ROUTE]],DEMAND!A:F,6,FALSE),0)</f>
        <v>0</v>
      </c>
      <c r="O795" s="349"/>
      <c r="P795" s="349"/>
      <c r="Q795" s="416">
        <f>IFERROR(VLOOKUP(Table15[[#This Row],[ROUTE]],PRICING!A:B,2,FALSE),0)</f>
        <v>0</v>
      </c>
      <c r="R795" s="409">
        <f>IFERROR(Table15[[#This Row],[C_DEMAND]]-Table15[[#This Row],[R-DEMAND]],0)</f>
        <v>0</v>
      </c>
      <c r="S795" s="410">
        <f t="shared" si="12"/>
        <v>0</v>
      </c>
      <c r="T795" s="420">
        <f>Table15[[#This Row],[R-DEMAND]]-(Table15[[#This Row],[ADD ACC]]*1706)</f>
        <v>0</v>
      </c>
      <c r="U795" s="420">
        <f>ROUNDDOWN(Table15[[#This Row],[Column1]]/1360,0)</f>
        <v>0</v>
      </c>
      <c r="V795" s="420"/>
      <c r="W795" s="349"/>
      <c r="X795" s="349"/>
      <c r="Y795" s="349"/>
      <c r="Z795" s="349"/>
    </row>
    <row r="796" spans="1:26" ht="15.75" customHeight="1" x14ac:dyDescent="0.25">
      <c r="A796" s="341" t="s">
        <v>18276</v>
      </c>
      <c r="B796" s="212" t="s">
        <v>4856</v>
      </c>
      <c r="C796" s="212"/>
      <c r="D796" s="226">
        <v>3</v>
      </c>
      <c r="E796" s="226" t="s">
        <v>308</v>
      </c>
      <c r="F796" s="212" t="s">
        <v>12674</v>
      </c>
      <c r="G796" s="404" t="s">
        <v>16888</v>
      </c>
      <c r="H796" s="343">
        <v>5707</v>
      </c>
      <c r="I796" s="342"/>
      <c r="J796" s="346"/>
      <c r="K796" s="345">
        <f>IFERROR(Table15[[#This Row],[ROUTE $]]/Table15[[#This Row],[E - DEMAND]],0)</f>
        <v>0</v>
      </c>
      <c r="L796" s="212"/>
      <c r="M796" s="413">
        <f>IFERROR(VLOOKUP(Table15[[#This Row],[ROUTE]],DEMAND!A:F,5,FALSE),0)</f>
        <v>0</v>
      </c>
      <c r="N796" s="251">
        <f>IFERROR(VLOOKUP(Table15[[#This Row],[ROUTE]],DEMAND!A:F,6,FALSE),0)</f>
        <v>0</v>
      </c>
      <c r="O796" s="349"/>
      <c r="P796" s="349"/>
      <c r="Q796" s="416">
        <f>IFERROR(VLOOKUP(Table15[[#This Row],[ROUTE]],PRICING!A:B,2,FALSE),0)</f>
        <v>0</v>
      </c>
      <c r="R796" s="409">
        <f>IFERROR(Table15[[#This Row],[C_DEMAND]]-Table15[[#This Row],[R-DEMAND]],0)</f>
        <v>0</v>
      </c>
      <c r="S796" s="410">
        <f t="shared" si="12"/>
        <v>0</v>
      </c>
      <c r="T796" s="420">
        <f>Table15[[#This Row],[R-DEMAND]]-(Table15[[#This Row],[ADD ACC]]*1706)</f>
        <v>0</v>
      </c>
      <c r="U796" s="420">
        <f>ROUNDDOWN(Table15[[#This Row],[Column1]]/1360,0)</f>
        <v>0</v>
      </c>
      <c r="V796" s="420"/>
      <c r="W796" s="349"/>
      <c r="X796" s="349"/>
      <c r="Y796" s="349"/>
      <c r="Z796" s="349"/>
    </row>
    <row r="797" spans="1:26" ht="15.75" customHeight="1" x14ac:dyDescent="0.25">
      <c r="A797" s="341" t="s">
        <v>18305</v>
      </c>
      <c r="B797" s="212" t="s">
        <v>5257</v>
      </c>
      <c r="C797" s="212"/>
      <c r="D797" s="226">
        <v>3</v>
      </c>
      <c r="E797" s="226" t="s">
        <v>46</v>
      </c>
      <c r="F797" s="212" t="s">
        <v>12670</v>
      </c>
      <c r="G797" s="226" t="s">
        <v>16812</v>
      </c>
      <c r="H797" s="343">
        <v>5035</v>
      </c>
      <c r="I797" s="342"/>
      <c r="J797" s="346"/>
      <c r="K797" s="345">
        <f>IFERROR(Table15[[#This Row],[ROUTE $]]/Table15[[#This Row],[E - DEMAND]],0)</f>
        <v>0</v>
      </c>
      <c r="L797" s="212"/>
      <c r="M797" s="413">
        <f>IFERROR(VLOOKUP(Table15[[#This Row],[ROUTE]],DEMAND!A:F,5,FALSE),0)</f>
        <v>0</v>
      </c>
      <c r="N797" s="251">
        <f>IFERROR(VLOOKUP(Table15[[#This Row],[ROUTE]],DEMAND!A:F,6,FALSE),0)</f>
        <v>0</v>
      </c>
      <c r="O797" s="349"/>
      <c r="P797" s="349"/>
      <c r="Q797" s="416">
        <f>IFERROR(VLOOKUP(Table15[[#This Row],[ROUTE]],PRICING!A:B,2,FALSE),0)</f>
        <v>0</v>
      </c>
      <c r="R797" s="409">
        <f>IFERROR(Table15[[#This Row],[C_DEMAND]]-Table15[[#This Row],[R-DEMAND]],0)</f>
        <v>0</v>
      </c>
      <c r="S797" s="410">
        <f t="shared" si="12"/>
        <v>0</v>
      </c>
      <c r="T797" s="420">
        <f>Table15[[#This Row],[R-DEMAND]]-(Table15[[#This Row],[ADD ACC]]*1706)</f>
        <v>0</v>
      </c>
      <c r="U797" s="420">
        <f>ROUNDDOWN(Table15[[#This Row],[Column1]]/1360,0)</f>
        <v>0</v>
      </c>
      <c r="V797" s="420"/>
      <c r="W797" s="349"/>
      <c r="X797" s="349"/>
      <c r="Y797" s="349"/>
      <c r="Z797" s="349"/>
    </row>
    <row r="798" spans="1:26" ht="15.75" customHeight="1" x14ac:dyDescent="0.25">
      <c r="A798" s="341" t="s">
        <v>18282</v>
      </c>
      <c r="B798" s="212" t="s">
        <v>4999</v>
      </c>
      <c r="C798" s="212"/>
      <c r="D798" s="226">
        <v>3</v>
      </c>
      <c r="E798" s="226" t="s">
        <v>508</v>
      </c>
      <c r="F798" s="212" t="s">
        <v>12674</v>
      </c>
      <c r="G798" s="404" t="s">
        <v>16887</v>
      </c>
      <c r="H798" s="343">
        <v>5620</v>
      </c>
      <c r="I798" s="342"/>
      <c r="J798" s="346"/>
      <c r="K798" s="345">
        <f>IFERROR(Table15[[#This Row],[ROUTE $]]/Table15[[#This Row],[E - DEMAND]],0)</f>
        <v>0</v>
      </c>
      <c r="L798" s="212"/>
      <c r="M798" s="413">
        <f>IFERROR(VLOOKUP(Table15[[#This Row],[ROUTE]],DEMAND!A:F,5,FALSE),0)</f>
        <v>0</v>
      </c>
      <c r="N798" s="251">
        <f>IFERROR(VLOOKUP(Table15[[#This Row],[ROUTE]],DEMAND!A:F,6,FALSE),0)</f>
        <v>0</v>
      </c>
      <c r="O798" s="349"/>
      <c r="P798" s="349"/>
      <c r="Q798" s="416">
        <f>IFERROR(VLOOKUP(Table15[[#This Row],[ROUTE]],PRICING!A:B,2,FALSE),0)</f>
        <v>0</v>
      </c>
      <c r="R798" s="409">
        <f>IFERROR(Table15[[#This Row],[C_DEMAND]]-Table15[[#This Row],[R-DEMAND]],0)</f>
        <v>0</v>
      </c>
      <c r="S798" s="410">
        <f t="shared" si="12"/>
        <v>0</v>
      </c>
      <c r="T798" s="420">
        <f>Table15[[#This Row],[R-DEMAND]]-(Table15[[#This Row],[ADD ACC]]*1706)</f>
        <v>0</v>
      </c>
      <c r="U798" s="420">
        <f>ROUNDDOWN(Table15[[#This Row],[Column1]]/1360,0)</f>
        <v>0</v>
      </c>
      <c r="V798" s="420"/>
      <c r="W798" s="349"/>
      <c r="X798" s="349"/>
      <c r="Y798" s="349"/>
      <c r="Z798" s="349"/>
    </row>
    <row r="799" spans="1:26" ht="15.75" customHeight="1" x14ac:dyDescent="0.25">
      <c r="A799" s="341" t="s">
        <v>18236</v>
      </c>
      <c r="B799" s="212" t="s">
        <v>5251</v>
      </c>
      <c r="C799" s="212"/>
      <c r="D799" s="226">
        <v>3</v>
      </c>
      <c r="E799" s="226" t="s">
        <v>605</v>
      </c>
      <c r="F799" s="212" t="s">
        <v>12674</v>
      </c>
      <c r="G799" s="404" t="s">
        <v>16913</v>
      </c>
      <c r="H799" s="343">
        <v>6899</v>
      </c>
      <c r="I799" s="342"/>
      <c r="J799" s="346"/>
      <c r="K799" s="345">
        <f>IFERROR(Table15[[#This Row],[ROUTE $]]/Table15[[#This Row],[E - DEMAND]],0)</f>
        <v>0</v>
      </c>
      <c r="L799" s="212"/>
      <c r="M799" s="413">
        <f>IFERROR(VLOOKUP(Table15[[#This Row],[ROUTE]],DEMAND!A:F,5,FALSE),0)</f>
        <v>0</v>
      </c>
      <c r="N799" s="251">
        <f>IFERROR(VLOOKUP(Table15[[#This Row],[ROUTE]],DEMAND!A:F,6,FALSE),0)</f>
        <v>0</v>
      </c>
      <c r="O799" s="349"/>
      <c r="P799" s="349"/>
      <c r="Q799" s="416">
        <f>IFERROR(VLOOKUP(Table15[[#This Row],[ROUTE]],PRICING!A:B,2,FALSE),0)</f>
        <v>0</v>
      </c>
      <c r="R799" s="409">
        <f>IFERROR(Table15[[#This Row],[C_DEMAND]]-Table15[[#This Row],[R-DEMAND]],0)</f>
        <v>0</v>
      </c>
      <c r="S799" s="410">
        <f t="shared" si="12"/>
        <v>0</v>
      </c>
      <c r="T799" s="420">
        <f>Table15[[#This Row],[R-DEMAND]]-(Table15[[#This Row],[ADD ACC]]*1706)</f>
        <v>0</v>
      </c>
      <c r="U799" s="420">
        <f>ROUNDDOWN(Table15[[#This Row],[Column1]]/1360,0)</f>
        <v>0</v>
      </c>
      <c r="V799" s="420"/>
      <c r="W799" s="349"/>
      <c r="X799" s="349"/>
      <c r="Y799" s="349"/>
      <c r="Z799" s="349"/>
    </row>
    <row r="800" spans="1:26" ht="15.75" customHeight="1" x14ac:dyDescent="0.25">
      <c r="A800" s="341" t="s">
        <v>18263</v>
      </c>
      <c r="B800" s="212" t="s">
        <v>4727</v>
      </c>
      <c r="C800" s="212"/>
      <c r="D800" s="226">
        <v>3</v>
      </c>
      <c r="E800" s="226" t="s">
        <v>758</v>
      </c>
      <c r="F800" s="212" t="s">
        <v>12674</v>
      </c>
      <c r="G800" s="404" t="s">
        <v>16897</v>
      </c>
      <c r="H800" s="343">
        <v>6058</v>
      </c>
      <c r="I800" s="342"/>
      <c r="J800" s="346"/>
      <c r="K800" s="345">
        <f>IFERROR(Table15[[#This Row],[ROUTE $]]/Table15[[#This Row],[E - DEMAND]],0)</f>
        <v>0</v>
      </c>
      <c r="L800" s="212"/>
      <c r="M800" s="413">
        <f>IFERROR(VLOOKUP(Table15[[#This Row],[ROUTE]],DEMAND!A:F,5,FALSE),0)</f>
        <v>0</v>
      </c>
      <c r="N800" s="251">
        <f>IFERROR(VLOOKUP(Table15[[#This Row],[ROUTE]],DEMAND!A:F,6,FALSE),0)</f>
        <v>0</v>
      </c>
      <c r="O800" s="349"/>
      <c r="P800" s="349"/>
      <c r="Q800" s="416">
        <f>IFERROR(VLOOKUP(Table15[[#This Row],[ROUTE]],PRICING!A:B,2,FALSE),0)</f>
        <v>0</v>
      </c>
      <c r="R800" s="409">
        <f>IFERROR(Table15[[#This Row],[C_DEMAND]]-Table15[[#This Row],[R-DEMAND]],0)</f>
        <v>0</v>
      </c>
      <c r="S800" s="410">
        <f t="shared" si="12"/>
        <v>0</v>
      </c>
      <c r="T800" s="420">
        <f>Table15[[#This Row],[R-DEMAND]]-(Table15[[#This Row],[ADD ACC]]*1706)</f>
        <v>0</v>
      </c>
      <c r="U800" s="420">
        <f>ROUNDDOWN(Table15[[#This Row],[Column1]]/1360,0)</f>
        <v>0</v>
      </c>
      <c r="V800" s="420"/>
      <c r="W800" s="349"/>
      <c r="X800" s="349"/>
      <c r="Y800" s="349"/>
      <c r="Z800" s="349"/>
    </row>
    <row r="801" spans="1:26" ht="15.75" customHeight="1" x14ac:dyDescent="0.25">
      <c r="A801" s="341" t="s">
        <v>18273</v>
      </c>
      <c r="B801" s="212" t="s">
        <v>5169</v>
      </c>
      <c r="C801" s="212"/>
      <c r="D801" s="226">
        <v>3</v>
      </c>
      <c r="E801" s="226" t="s">
        <v>758</v>
      </c>
      <c r="F801" s="212" t="s">
        <v>12674</v>
      </c>
      <c r="G801" s="404" t="s">
        <v>16891</v>
      </c>
      <c r="H801" s="343">
        <v>5788</v>
      </c>
      <c r="I801" s="342"/>
      <c r="J801" s="346"/>
      <c r="K801" s="345">
        <f>IFERROR(Table15[[#This Row],[ROUTE $]]/Table15[[#This Row],[E - DEMAND]],0)</f>
        <v>0</v>
      </c>
      <c r="L801" s="212"/>
      <c r="M801" s="413">
        <f>IFERROR(VLOOKUP(Table15[[#This Row],[ROUTE]],DEMAND!A:F,5,FALSE),0)</f>
        <v>0</v>
      </c>
      <c r="N801" s="251">
        <f>IFERROR(VLOOKUP(Table15[[#This Row],[ROUTE]],DEMAND!A:F,6,FALSE),0)</f>
        <v>0</v>
      </c>
      <c r="O801" s="349"/>
      <c r="P801" s="349"/>
      <c r="Q801" s="416">
        <f>IFERROR(VLOOKUP(Table15[[#This Row],[ROUTE]],PRICING!A:B,2,FALSE),0)</f>
        <v>0</v>
      </c>
      <c r="R801" s="409">
        <f>IFERROR(Table15[[#This Row],[C_DEMAND]]-Table15[[#This Row],[R-DEMAND]],0)</f>
        <v>0</v>
      </c>
      <c r="S801" s="410">
        <f t="shared" si="12"/>
        <v>0</v>
      </c>
      <c r="T801" s="420">
        <f>Table15[[#This Row],[R-DEMAND]]-(Table15[[#This Row],[ADD ACC]]*1706)</f>
        <v>0</v>
      </c>
      <c r="U801" s="420">
        <f>ROUNDDOWN(Table15[[#This Row],[Column1]]/1360,0)</f>
        <v>0</v>
      </c>
      <c r="V801" s="420"/>
      <c r="W801" s="349"/>
      <c r="X801" s="349"/>
      <c r="Y801" s="349"/>
      <c r="Z801" s="349"/>
    </row>
    <row r="802" spans="1:26" ht="15.75" customHeight="1" x14ac:dyDescent="0.25">
      <c r="A802" s="341" t="s">
        <v>18221</v>
      </c>
      <c r="B802" s="212" t="s">
        <v>5354</v>
      </c>
      <c r="C802" s="212"/>
      <c r="D802" s="226">
        <v>3</v>
      </c>
      <c r="E802" s="226" t="s">
        <v>733</v>
      </c>
      <c r="F802" s="212" t="s">
        <v>12674</v>
      </c>
      <c r="G802" s="404" t="s">
        <v>16932</v>
      </c>
      <c r="H802" s="343">
        <v>7954</v>
      </c>
      <c r="I802" s="342"/>
      <c r="J802" s="346"/>
      <c r="K802" s="345">
        <f>IFERROR(Table15[[#This Row],[ROUTE $]]/Table15[[#This Row],[E - DEMAND]],0)</f>
        <v>0</v>
      </c>
      <c r="L802" s="212"/>
      <c r="M802" s="413">
        <f>IFERROR(VLOOKUP(Table15[[#This Row],[ROUTE]],DEMAND!A:F,5,FALSE),0)</f>
        <v>0</v>
      </c>
      <c r="N802" s="251">
        <f>IFERROR(VLOOKUP(Table15[[#This Row],[ROUTE]],DEMAND!A:F,6,FALSE),0)</f>
        <v>0</v>
      </c>
      <c r="O802" s="349"/>
      <c r="P802" s="349"/>
      <c r="Q802" s="416">
        <f>IFERROR(VLOOKUP(Table15[[#This Row],[ROUTE]],PRICING!A:B,2,FALSE),0)</f>
        <v>0</v>
      </c>
      <c r="R802" s="409">
        <f>IFERROR(Table15[[#This Row],[C_DEMAND]]-Table15[[#This Row],[R-DEMAND]],0)</f>
        <v>0</v>
      </c>
      <c r="S802" s="410">
        <f t="shared" si="12"/>
        <v>0</v>
      </c>
      <c r="T802" s="420">
        <f>Table15[[#This Row],[R-DEMAND]]-(Table15[[#This Row],[ADD ACC]]*1706)</f>
        <v>0</v>
      </c>
      <c r="U802" s="420">
        <f>ROUNDDOWN(Table15[[#This Row],[Column1]]/1360,0)</f>
        <v>0</v>
      </c>
      <c r="V802" s="420"/>
      <c r="W802" s="349"/>
      <c r="X802" s="349"/>
      <c r="Y802" s="349"/>
      <c r="Z802" s="349"/>
    </row>
    <row r="803" spans="1:26" ht="15.75" customHeight="1" x14ac:dyDescent="0.25">
      <c r="A803" s="341" t="s">
        <v>18326</v>
      </c>
      <c r="B803" s="212" t="s">
        <v>5072</v>
      </c>
      <c r="C803" s="212"/>
      <c r="D803" s="226">
        <v>3</v>
      </c>
      <c r="E803" s="226" t="s">
        <v>700</v>
      </c>
      <c r="F803" s="212" t="s">
        <v>12670</v>
      </c>
      <c r="G803" s="226" t="s">
        <v>16871</v>
      </c>
      <c r="H803" s="343">
        <v>4154</v>
      </c>
      <c r="I803" s="342"/>
      <c r="J803" s="346"/>
      <c r="K803" s="345">
        <f>IFERROR(Table15[[#This Row],[ROUTE $]]/Table15[[#This Row],[E - DEMAND]],0)</f>
        <v>0</v>
      </c>
      <c r="L803" s="212"/>
      <c r="M803" s="413">
        <f>IFERROR(VLOOKUP(Table15[[#This Row],[ROUTE]],DEMAND!A:F,5,FALSE),0)</f>
        <v>0</v>
      </c>
      <c r="N803" s="251">
        <f>IFERROR(VLOOKUP(Table15[[#This Row],[ROUTE]],DEMAND!A:F,6,FALSE),0)</f>
        <v>0</v>
      </c>
      <c r="O803" s="349"/>
      <c r="P803" s="349"/>
      <c r="Q803" s="416">
        <f>IFERROR(VLOOKUP(Table15[[#This Row],[ROUTE]],PRICING!A:B,2,FALSE),0)</f>
        <v>0</v>
      </c>
      <c r="R803" s="409">
        <f>IFERROR(Table15[[#This Row],[C_DEMAND]]-Table15[[#This Row],[R-DEMAND]],0)</f>
        <v>0</v>
      </c>
      <c r="S803" s="410">
        <f t="shared" si="12"/>
        <v>0</v>
      </c>
      <c r="T803" s="420">
        <f>Table15[[#This Row],[R-DEMAND]]-(Table15[[#This Row],[ADD ACC]]*1706)</f>
        <v>0</v>
      </c>
      <c r="U803" s="420">
        <f>ROUNDDOWN(Table15[[#This Row],[Column1]]/1360,0)</f>
        <v>0</v>
      </c>
      <c r="V803" s="420"/>
      <c r="W803" s="349"/>
      <c r="X803" s="349"/>
      <c r="Y803" s="349"/>
      <c r="Z803" s="349"/>
    </row>
    <row r="804" spans="1:26" ht="15.75" customHeight="1" x14ac:dyDescent="0.25">
      <c r="A804" s="341" t="s">
        <v>18331</v>
      </c>
      <c r="B804" s="212" t="s">
        <v>4849</v>
      </c>
      <c r="C804" s="212"/>
      <c r="D804" s="226">
        <v>3</v>
      </c>
      <c r="E804" s="226" t="s">
        <v>700</v>
      </c>
      <c r="F804" s="212" t="s">
        <v>12670</v>
      </c>
      <c r="G804" s="226" t="s">
        <v>6907</v>
      </c>
      <c r="H804" s="343">
        <v>3969</v>
      </c>
      <c r="I804" s="342"/>
      <c r="J804" s="346"/>
      <c r="K804" s="345">
        <f>IFERROR(Table15[[#This Row],[ROUTE $]]/Table15[[#This Row],[E - DEMAND]],0)</f>
        <v>0</v>
      </c>
      <c r="L804" s="212"/>
      <c r="M804" s="413">
        <f>IFERROR(VLOOKUP(Table15[[#This Row],[ROUTE]],DEMAND!A:F,5,FALSE),0)</f>
        <v>0</v>
      </c>
      <c r="N804" s="251">
        <f>IFERROR(VLOOKUP(Table15[[#This Row],[ROUTE]],DEMAND!A:F,6,FALSE),0)</f>
        <v>0</v>
      </c>
      <c r="O804" s="349"/>
      <c r="P804" s="349"/>
      <c r="Q804" s="416">
        <f>IFERROR(VLOOKUP(Table15[[#This Row],[ROUTE]],PRICING!A:B,2,FALSE),0)</f>
        <v>0</v>
      </c>
      <c r="R804" s="409">
        <f>IFERROR(Table15[[#This Row],[C_DEMAND]]-Table15[[#This Row],[R-DEMAND]],0)</f>
        <v>0</v>
      </c>
      <c r="S804" s="410">
        <f t="shared" si="12"/>
        <v>0</v>
      </c>
      <c r="T804" s="420">
        <f>Table15[[#This Row],[R-DEMAND]]-(Table15[[#This Row],[ADD ACC]]*1706)</f>
        <v>0</v>
      </c>
      <c r="U804" s="420">
        <f>ROUNDDOWN(Table15[[#This Row],[Column1]]/1360,0)</f>
        <v>0</v>
      </c>
      <c r="V804" s="420"/>
      <c r="W804" s="349"/>
      <c r="X804" s="349"/>
      <c r="Y804" s="349"/>
      <c r="Z804" s="349"/>
    </row>
    <row r="805" spans="1:26" ht="15.75" customHeight="1" x14ac:dyDescent="0.25">
      <c r="A805" s="341" t="s">
        <v>18229</v>
      </c>
      <c r="B805" s="212" t="s">
        <v>3033</v>
      </c>
      <c r="C805" s="212"/>
      <c r="D805" s="226">
        <v>2</v>
      </c>
      <c r="E805" s="226" t="s">
        <v>493</v>
      </c>
      <c r="F805" s="212" t="s">
        <v>12671</v>
      </c>
      <c r="G805" s="226" t="s">
        <v>16919</v>
      </c>
      <c r="H805" s="343">
        <v>7409</v>
      </c>
      <c r="I805" s="342"/>
      <c r="J805" s="346"/>
      <c r="K805" s="345">
        <f>IFERROR(Table15[[#This Row],[ROUTE $]]/Table15[[#This Row],[E - DEMAND]],0)</f>
        <v>0</v>
      </c>
      <c r="L805" s="212"/>
      <c r="M805" s="413">
        <f>IFERROR(VLOOKUP(Table15[[#This Row],[ROUTE]],DEMAND!A:F,5,FALSE),0)</f>
        <v>0</v>
      </c>
      <c r="N805" s="251">
        <f>IFERROR(VLOOKUP(Table15[[#This Row],[ROUTE]],DEMAND!A:F,6,FALSE),0)</f>
        <v>0</v>
      </c>
      <c r="O805" s="349"/>
      <c r="P805" s="349"/>
      <c r="Q805" s="416">
        <f>IFERROR(VLOOKUP(Table15[[#This Row],[ROUTE]],PRICING!A:B,2,FALSE),0)</f>
        <v>0</v>
      </c>
      <c r="R805" s="409">
        <f>IFERROR(Table15[[#This Row],[C_DEMAND]]-Table15[[#This Row],[R-DEMAND]],0)</f>
        <v>0</v>
      </c>
      <c r="S805" s="410">
        <f t="shared" si="12"/>
        <v>0</v>
      </c>
      <c r="T805" s="420">
        <f>Table15[[#This Row],[R-DEMAND]]-(Table15[[#This Row],[ADD ACC]]*1706)</f>
        <v>0</v>
      </c>
      <c r="U805" s="420">
        <f>ROUNDDOWN(Table15[[#This Row],[Column1]]/1360,0)</f>
        <v>0</v>
      </c>
      <c r="V805" s="420"/>
      <c r="W805" s="349"/>
      <c r="X805" s="349"/>
      <c r="Y805" s="349"/>
      <c r="Z805" s="349"/>
    </row>
    <row r="806" spans="1:26" ht="15.75" customHeight="1" x14ac:dyDescent="0.25">
      <c r="A806" s="210" t="s">
        <v>15183</v>
      </c>
      <c r="B806" s="204" t="s">
        <v>4837</v>
      </c>
      <c r="C806" s="204"/>
      <c r="D806" s="205">
        <v>3</v>
      </c>
      <c r="E806" s="16" t="s">
        <v>11732</v>
      </c>
      <c r="F806" s="204" t="str">
        <f>VLOOKUP(E806,Table10[[COUNTRY NAME]:[CONTINENT CODE]],3,FALSE)</f>
        <v>NA - US</v>
      </c>
      <c r="G806" s="206" t="s">
        <v>13357</v>
      </c>
      <c r="H806" s="207">
        <v>14127</v>
      </c>
      <c r="I806" s="208">
        <v>33.5</v>
      </c>
      <c r="J806" s="345"/>
      <c r="K806" s="345">
        <f>IFERROR(Table15[[#This Row],[ROUTE $]]/Table15[[#This Row],[E - DEMAND]],0)</f>
        <v>0</v>
      </c>
      <c r="L806" s="204"/>
      <c r="M806" s="412">
        <f>IFERROR(VLOOKUP(Table15[[#This Row],[ROUTE]],DEMAND!A:F,5,FALSE),0)</f>
        <v>0</v>
      </c>
      <c r="N806" s="16">
        <f>IFERROR(VLOOKUP(Table15[[#This Row],[ROUTE]],DEMAND!A:F,6,FALSE),0)</f>
        <v>0</v>
      </c>
      <c r="O806" s="16">
        <f>IFERROR(ROUNDDOWN(Table15[[#This Row],[R-DEMAND]]/1706,0),0)</f>
        <v>0</v>
      </c>
      <c r="P806" s="16">
        <f>IFERROR(Table15[[#This Row],[ADD ACC]]*Table15[[#This Row],[RT TIME 
(380-800)]],0)</f>
        <v>0</v>
      </c>
      <c r="Q806" s="415">
        <f>IFERROR(VLOOKUP(Table15[[#This Row],[ROUTE]],PRICING!A:B,2,FALSE),0)</f>
        <v>0</v>
      </c>
      <c r="R806" s="235">
        <f>IFERROR(Table15[[#This Row],[C_DEMAND]]-Table15[[#This Row],[R-DEMAND]],0)</f>
        <v>0</v>
      </c>
      <c r="S806" s="408">
        <f t="shared" si="12"/>
        <v>0</v>
      </c>
      <c r="T806" s="419">
        <f>Table15[[#This Row],[R-DEMAND]]-(Table15[[#This Row],[ADD ACC]]*1706)</f>
        <v>0</v>
      </c>
      <c r="U806" s="419">
        <f>ROUNDDOWN(Table15[[#This Row],[Column1]]/1360,0)</f>
        <v>0</v>
      </c>
      <c r="V806" s="419"/>
      <c r="W806" s="349"/>
      <c r="X806" s="349"/>
      <c r="Y806" s="349"/>
      <c r="Z806" s="349"/>
    </row>
    <row r="807" spans="1:26" ht="15.75" customHeight="1" x14ac:dyDescent="0.25">
      <c r="A807" s="210" t="s">
        <v>15211</v>
      </c>
      <c r="B807" s="204" t="s">
        <v>5145</v>
      </c>
      <c r="C807" s="204"/>
      <c r="D807" s="205">
        <v>3</v>
      </c>
      <c r="E807" s="16" t="s">
        <v>11732</v>
      </c>
      <c r="F807" s="204" t="str">
        <f>VLOOKUP(E807,Table10[[COUNTRY NAME]:[CONTINENT CODE]],3,FALSE)</f>
        <v>NA - US</v>
      </c>
      <c r="G807" s="206" t="s">
        <v>13350</v>
      </c>
      <c r="H807" s="207">
        <v>13778</v>
      </c>
      <c r="I807" s="208">
        <v>32.75</v>
      </c>
      <c r="J807" s="345"/>
      <c r="K807" s="345">
        <f>IFERROR(Table15[[#This Row],[ROUTE $]]/Table15[[#This Row],[E - DEMAND]],0)</f>
        <v>0</v>
      </c>
      <c r="L807" s="204"/>
      <c r="M807" s="412">
        <f>IFERROR(VLOOKUP(Table15[[#This Row],[ROUTE]],DEMAND!A:F,5,FALSE),0)</f>
        <v>0</v>
      </c>
      <c r="N807" s="16">
        <f>IFERROR(VLOOKUP(Table15[[#This Row],[ROUTE]],DEMAND!A:F,6,FALSE),0)</f>
        <v>0</v>
      </c>
      <c r="O807" s="16">
        <f>IFERROR(ROUNDDOWN(Table15[[#This Row],[R-DEMAND]]/1706,0),0)</f>
        <v>0</v>
      </c>
      <c r="P807" s="16">
        <f>IFERROR(Table15[[#This Row],[ADD ACC]]*Table15[[#This Row],[RT TIME 
(380-800)]],0)</f>
        <v>0</v>
      </c>
      <c r="Q807" s="415">
        <f>IFERROR(VLOOKUP(Table15[[#This Row],[ROUTE]],PRICING!A:B,2,FALSE),0)</f>
        <v>0</v>
      </c>
      <c r="R807" s="235">
        <f>IFERROR(Table15[[#This Row],[C_DEMAND]]-Table15[[#This Row],[R-DEMAND]],0)</f>
        <v>0</v>
      </c>
      <c r="S807" s="408">
        <f t="shared" si="12"/>
        <v>0</v>
      </c>
      <c r="T807" s="419">
        <f>Table15[[#This Row],[R-DEMAND]]-(Table15[[#This Row],[ADD ACC]]*1706)</f>
        <v>0</v>
      </c>
      <c r="U807" s="419">
        <f>ROUNDDOWN(Table15[[#This Row],[Column1]]/1360,0)</f>
        <v>0</v>
      </c>
      <c r="V807" s="419"/>
      <c r="W807" s="349"/>
      <c r="X807" s="349"/>
      <c r="Y807" s="349"/>
      <c r="Z807" s="349"/>
    </row>
    <row r="808" spans="1:26" ht="15.75" customHeight="1" x14ac:dyDescent="0.25">
      <c r="A808" s="210" t="s">
        <v>15230</v>
      </c>
      <c r="B808" s="204" t="s">
        <v>4947</v>
      </c>
      <c r="C808" s="204"/>
      <c r="D808" s="205">
        <v>3</v>
      </c>
      <c r="E808" s="16" t="s">
        <v>11732</v>
      </c>
      <c r="F808" s="204" t="str">
        <f>VLOOKUP(E808,Table10[[COUNTRY NAME]:[CONTINENT CODE]],3,FALSE)</f>
        <v>NA - US</v>
      </c>
      <c r="G808" s="206" t="s">
        <v>13290</v>
      </c>
      <c r="H808" s="207">
        <v>13576</v>
      </c>
      <c r="I808" s="208">
        <v>32.25</v>
      </c>
      <c r="J808" s="345"/>
      <c r="K808" s="345">
        <f>IFERROR(Table15[[#This Row],[ROUTE $]]/Table15[[#This Row],[E - DEMAND]],0)</f>
        <v>0</v>
      </c>
      <c r="L808" s="204"/>
      <c r="M808" s="412">
        <f>IFERROR(VLOOKUP(Table15[[#This Row],[ROUTE]],DEMAND!A:F,5,FALSE),0)</f>
        <v>0</v>
      </c>
      <c r="N808" s="16">
        <f>IFERROR(VLOOKUP(Table15[[#This Row],[ROUTE]],DEMAND!A:F,6,FALSE),0)</f>
        <v>0</v>
      </c>
      <c r="O808" s="16">
        <f>IFERROR(ROUNDDOWN(Table15[[#This Row],[R-DEMAND]]/1706,0),0)</f>
        <v>0</v>
      </c>
      <c r="P808" s="16">
        <f>IFERROR(Table15[[#This Row],[ADD ACC]]*Table15[[#This Row],[RT TIME 
(380-800)]],0)</f>
        <v>0</v>
      </c>
      <c r="Q808" s="415">
        <f>IFERROR(VLOOKUP(Table15[[#This Row],[ROUTE]],PRICING!A:B,2,FALSE),0)</f>
        <v>0</v>
      </c>
      <c r="R808" s="235">
        <f>IFERROR(Table15[[#This Row],[C_DEMAND]]-Table15[[#This Row],[R-DEMAND]],0)</f>
        <v>0</v>
      </c>
      <c r="S808" s="408">
        <f t="shared" si="12"/>
        <v>0</v>
      </c>
      <c r="T808" s="419">
        <f>Table15[[#This Row],[R-DEMAND]]-(Table15[[#This Row],[ADD ACC]]*1706)</f>
        <v>0</v>
      </c>
      <c r="U808" s="419">
        <f>ROUNDDOWN(Table15[[#This Row],[Column1]]/1360,0)</f>
        <v>0</v>
      </c>
      <c r="V808" s="419"/>
      <c r="W808" s="349"/>
      <c r="X808" s="349"/>
      <c r="Y808" s="349"/>
      <c r="Z808" s="349"/>
    </row>
    <row r="809" spans="1:26" ht="15.75" customHeight="1" x14ac:dyDescent="0.25">
      <c r="A809" s="210" t="s">
        <v>15189</v>
      </c>
      <c r="B809" s="204" t="s">
        <v>5161</v>
      </c>
      <c r="C809" s="204"/>
      <c r="D809" s="205">
        <v>3</v>
      </c>
      <c r="E809" s="16" t="s">
        <v>11732</v>
      </c>
      <c r="F809" s="204" t="str">
        <f>VLOOKUP(E809,Table10[[COUNTRY NAME]:[CONTINENT CODE]],3,FALSE)</f>
        <v>NA - US</v>
      </c>
      <c r="G809" s="206" t="s">
        <v>13232</v>
      </c>
      <c r="H809" s="207">
        <v>14065</v>
      </c>
      <c r="I809" s="208">
        <v>33.25</v>
      </c>
      <c r="J809" s="345"/>
      <c r="K809" s="345">
        <f>IFERROR(Table15[[#This Row],[ROUTE $]]/Table15[[#This Row],[E - DEMAND]],0)</f>
        <v>0</v>
      </c>
      <c r="L809" s="204"/>
      <c r="M809" s="412">
        <f>IFERROR(VLOOKUP(Table15[[#This Row],[ROUTE]],DEMAND!A:F,5,FALSE),0)</f>
        <v>0</v>
      </c>
      <c r="N809" s="16">
        <f>IFERROR(VLOOKUP(Table15[[#This Row],[ROUTE]],DEMAND!A:F,6,FALSE),0)</f>
        <v>0</v>
      </c>
      <c r="O809" s="16">
        <f>IFERROR(ROUNDDOWN(Table15[[#This Row],[R-DEMAND]]/1706,0),0)</f>
        <v>0</v>
      </c>
      <c r="P809" s="16">
        <f>IFERROR(Table15[[#This Row],[ADD ACC]]*Table15[[#This Row],[RT TIME 
(380-800)]],0)</f>
        <v>0</v>
      </c>
      <c r="Q809" s="415">
        <f>IFERROR(VLOOKUP(Table15[[#This Row],[ROUTE]],PRICING!A:B,2,FALSE),0)</f>
        <v>0</v>
      </c>
      <c r="R809" s="235">
        <f>IFERROR(Table15[[#This Row],[C_DEMAND]]-Table15[[#This Row],[R-DEMAND]],0)</f>
        <v>0</v>
      </c>
      <c r="S809" s="408">
        <f t="shared" si="12"/>
        <v>0</v>
      </c>
      <c r="T809" s="419">
        <f>Table15[[#This Row],[R-DEMAND]]-(Table15[[#This Row],[ADD ACC]]*1706)</f>
        <v>0</v>
      </c>
      <c r="U809" s="419">
        <f>ROUNDDOWN(Table15[[#This Row],[Column1]]/1360,0)</f>
        <v>0</v>
      </c>
      <c r="V809" s="419"/>
      <c r="W809" s="349"/>
      <c r="X809" s="349"/>
      <c r="Y809" s="349"/>
      <c r="Z809" s="349"/>
    </row>
    <row r="810" spans="1:26" ht="15.75" customHeight="1" x14ac:dyDescent="0.25">
      <c r="A810" s="210" t="s">
        <v>15158</v>
      </c>
      <c r="B810" s="204" t="s">
        <v>5157</v>
      </c>
      <c r="C810" s="204"/>
      <c r="D810" s="205">
        <v>3</v>
      </c>
      <c r="E810" s="16" t="s">
        <v>11732</v>
      </c>
      <c r="F810" s="204" t="str">
        <f>VLOOKUP(E810,Table10[[COUNTRY NAME]:[CONTINENT CODE]],3,FALSE)</f>
        <v>NA - US</v>
      </c>
      <c r="G810" s="206" t="s">
        <v>13295</v>
      </c>
      <c r="H810" s="207">
        <v>14359</v>
      </c>
      <c r="I810" s="208">
        <v>34</v>
      </c>
      <c r="J810" s="345"/>
      <c r="K810" s="345">
        <f>IFERROR(Table15[[#This Row],[ROUTE $]]/Table15[[#This Row],[E - DEMAND]],0)</f>
        <v>0</v>
      </c>
      <c r="L810" s="204"/>
      <c r="M810" s="412">
        <f>IFERROR(VLOOKUP(Table15[[#This Row],[ROUTE]],DEMAND!A:F,5,FALSE),0)</f>
        <v>0</v>
      </c>
      <c r="N810" s="16">
        <f>IFERROR(VLOOKUP(Table15[[#This Row],[ROUTE]],DEMAND!A:F,6,FALSE),0)</f>
        <v>0</v>
      </c>
      <c r="O810" s="16">
        <f>IFERROR(ROUNDDOWN(Table15[[#This Row],[R-DEMAND]]/1706,0),0)</f>
        <v>0</v>
      </c>
      <c r="P810" s="16">
        <f>IFERROR(Table15[[#This Row],[ADD ACC]]*Table15[[#This Row],[RT TIME 
(380-800)]],0)</f>
        <v>0</v>
      </c>
      <c r="Q810" s="415">
        <f>IFERROR(VLOOKUP(Table15[[#This Row],[ROUTE]],PRICING!A:B,2,FALSE),0)</f>
        <v>0</v>
      </c>
      <c r="R810" s="235">
        <f>IFERROR(Table15[[#This Row],[C_DEMAND]]-Table15[[#This Row],[R-DEMAND]],0)</f>
        <v>0</v>
      </c>
      <c r="S810" s="408">
        <f t="shared" si="12"/>
        <v>0</v>
      </c>
      <c r="T810" s="419">
        <f>Table15[[#This Row],[R-DEMAND]]-(Table15[[#This Row],[ADD ACC]]*1706)</f>
        <v>0</v>
      </c>
      <c r="U810" s="419">
        <f>ROUNDDOWN(Table15[[#This Row],[Column1]]/1360,0)</f>
        <v>0</v>
      </c>
      <c r="V810" s="419"/>
      <c r="W810" s="349"/>
      <c r="X810" s="349"/>
      <c r="Y810" s="349"/>
      <c r="Z810" s="349"/>
    </row>
    <row r="811" spans="1:26" ht="15.75" customHeight="1" x14ac:dyDescent="0.25">
      <c r="A811" s="210" t="s">
        <v>15225</v>
      </c>
      <c r="B811" s="204" t="s">
        <v>4665</v>
      </c>
      <c r="C811" s="204"/>
      <c r="D811" s="205">
        <v>3</v>
      </c>
      <c r="E811" s="16" t="s">
        <v>11732</v>
      </c>
      <c r="F811" s="204" t="str">
        <f>VLOOKUP(E811,Table10[[COUNTRY NAME]:[CONTINENT CODE]],3,FALSE)</f>
        <v>NA - US</v>
      </c>
      <c r="G811" s="206" t="s">
        <v>13266</v>
      </c>
      <c r="H811" s="207">
        <v>13668</v>
      </c>
      <c r="I811" s="208">
        <v>32.5</v>
      </c>
      <c r="J811" s="345"/>
      <c r="K811" s="345">
        <f>IFERROR(Table15[[#This Row],[ROUTE $]]/Table15[[#This Row],[E - DEMAND]],0)</f>
        <v>0</v>
      </c>
      <c r="L811" s="204"/>
      <c r="M811" s="412">
        <f>IFERROR(VLOOKUP(Table15[[#This Row],[ROUTE]],DEMAND!A:F,5,FALSE),0)</f>
        <v>0</v>
      </c>
      <c r="N811" s="16">
        <f>IFERROR(VLOOKUP(Table15[[#This Row],[ROUTE]],DEMAND!A:F,6,FALSE),0)</f>
        <v>0</v>
      </c>
      <c r="O811" s="16">
        <f>IFERROR(ROUNDDOWN(Table15[[#This Row],[R-DEMAND]]/1706,0),0)</f>
        <v>0</v>
      </c>
      <c r="P811" s="16">
        <f>IFERROR(Table15[[#This Row],[ADD ACC]]*Table15[[#This Row],[RT TIME 
(380-800)]],0)</f>
        <v>0</v>
      </c>
      <c r="Q811" s="415">
        <f>IFERROR(VLOOKUP(Table15[[#This Row],[ROUTE]],PRICING!A:B,2,FALSE),0)</f>
        <v>0</v>
      </c>
      <c r="R811" s="235">
        <f>IFERROR(Table15[[#This Row],[C_DEMAND]]-Table15[[#This Row],[R-DEMAND]],0)</f>
        <v>0</v>
      </c>
      <c r="S811" s="408">
        <f t="shared" si="12"/>
        <v>0</v>
      </c>
      <c r="T811" s="419">
        <f>Table15[[#This Row],[R-DEMAND]]-(Table15[[#This Row],[ADD ACC]]*1706)</f>
        <v>0</v>
      </c>
      <c r="U811" s="419">
        <f>ROUNDDOWN(Table15[[#This Row],[Column1]]/1360,0)</f>
        <v>0</v>
      </c>
      <c r="V811" s="419"/>
      <c r="W811" s="349"/>
      <c r="X811" s="349"/>
      <c r="Y811" s="349"/>
      <c r="Z811" s="349"/>
    </row>
    <row r="812" spans="1:26" ht="15.75" customHeight="1" x14ac:dyDescent="0.25">
      <c r="A812" s="210" t="s">
        <v>15237</v>
      </c>
      <c r="B812" s="204" t="s">
        <v>4718</v>
      </c>
      <c r="C812" s="204"/>
      <c r="D812" s="205">
        <v>3</v>
      </c>
      <c r="E812" s="16" t="s">
        <v>11732</v>
      </c>
      <c r="F812" s="204" t="str">
        <f>VLOOKUP(E812,Table10[[COUNTRY NAME]:[CONTINENT CODE]],3,FALSE)</f>
        <v>NA - US</v>
      </c>
      <c r="G812" s="206" t="s">
        <v>13355</v>
      </c>
      <c r="H812" s="207">
        <v>13464</v>
      </c>
      <c r="I812" s="208">
        <v>32</v>
      </c>
      <c r="J812" s="345"/>
      <c r="K812" s="345">
        <f>IFERROR(Table15[[#This Row],[ROUTE $]]/Table15[[#This Row],[E - DEMAND]],0)</f>
        <v>0</v>
      </c>
      <c r="L812" s="204"/>
      <c r="M812" s="412">
        <f>IFERROR(VLOOKUP(Table15[[#This Row],[ROUTE]],DEMAND!A:F,5,FALSE),0)</f>
        <v>0</v>
      </c>
      <c r="N812" s="16">
        <f>IFERROR(VLOOKUP(Table15[[#This Row],[ROUTE]],DEMAND!A:F,6,FALSE),0)</f>
        <v>0</v>
      </c>
      <c r="O812" s="16">
        <f>IFERROR(ROUNDDOWN(Table15[[#This Row],[R-DEMAND]]/1706,0),0)</f>
        <v>0</v>
      </c>
      <c r="P812" s="16">
        <f>IFERROR(Table15[[#This Row],[ADD ACC]]*Table15[[#This Row],[RT TIME 
(380-800)]],0)</f>
        <v>0</v>
      </c>
      <c r="Q812" s="415">
        <f>IFERROR(VLOOKUP(Table15[[#This Row],[ROUTE]],PRICING!A:B,2,FALSE),0)</f>
        <v>0</v>
      </c>
      <c r="R812" s="235">
        <f>IFERROR(Table15[[#This Row],[C_DEMAND]]-Table15[[#This Row],[R-DEMAND]],0)</f>
        <v>0</v>
      </c>
      <c r="S812" s="408">
        <f t="shared" si="12"/>
        <v>0</v>
      </c>
      <c r="T812" s="419">
        <f>Table15[[#This Row],[R-DEMAND]]-(Table15[[#This Row],[ADD ACC]]*1706)</f>
        <v>0</v>
      </c>
      <c r="U812" s="419">
        <f>ROUNDDOWN(Table15[[#This Row],[Column1]]/1360,0)</f>
        <v>0</v>
      </c>
      <c r="V812" s="419"/>
      <c r="W812" s="349"/>
      <c r="X812" s="349"/>
      <c r="Y812" s="349"/>
      <c r="Z812" s="349"/>
    </row>
    <row r="813" spans="1:26" ht="15.75" customHeight="1" x14ac:dyDescent="0.25">
      <c r="A813" s="210" t="s">
        <v>15224</v>
      </c>
      <c r="B813" s="204" t="s">
        <v>4653</v>
      </c>
      <c r="C813" s="204"/>
      <c r="D813" s="205">
        <v>3</v>
      </c>
      <c r="E813" s="16" t="s">
        <v>11732</v>
      </c>
      <c r="F813" s="204" t="str">
        <f>VLOOKUP(E813,Table10[[COUNTRY NAME]:[CONTINENT CODE]],3,FALSE)</f>
        <v>NA - US</v>
      </c>
      <c r="G813" s="206" t="s">
        <v>13344</v>
      </c>
      <c r="H813" s="207">
        <v>13669</v>
      </c>
      <c r="I813" s="208">
        <v>32.5</v>
      </c>
      <c r="J813" s="345"/>
      <c r="K813" s="345">
        <f>IFERROR(Table15[[#This Row],[ROUTE $]]/Table15[[#This Row],[E - DEMAND]],0)</f>
        <v>0</v>
      </c>
      <c r="L813" s="204"/>
      <c r="M813" s="412">
        <f>IFERROR(VLOOKUP(Table15[[#This Row],[ROUTE]],DEMAND!A:F,5,FALSE),0)</f>
        <v>0</v>
      </c>
      <c r="N813" s="16">
        <f>IFERROR(VLOOKUP(Table15[[#This Row],[ROUTE]],DEMAND!A:F,6,FALSE),0)</f>
        <v>0</v>
      </c>
      <c r="O813" s="16">
        <f>IFERROR(ROUNDDOWN(Table15[[#This Row],[R-DEMAND]]/1706,0),0)</f>
        <v>0</v>
      </c>
      <c r="P813" s="16">
        <f>IFERROR(Table15[[#This Row],[ADD ACC]]*Table15[[#This Row],[RT TIME 
(380-800)]],0)</f>
        <v>0</v>
      </c>
      <c r="Q813" s="415">
        <f>IFERROR(VLOOKUP(Table15[[#This Row],[ROUTE]],PRICING!A:B,2,FALSE),0)</f>
        <v>0</v>
      </c>
      <c r="R813" s="235">
        <f>IFERROR(Table15[[#This Row],[C_DEMAND]]-Table15[[#This Row],[R-DEMAND]],0)</f>
        <v>0</v>
      </c>
      <c r="S813" s="408">
        <f t="shared" si="12"/>
        <v>0</v>
      </c>
      <c r="T813" s="419">
        <f>Table15[[#This Row],[R-DEMAND]]-(Table15[[#This Row],[ADD ACC]]*1706)</f>
        <v>0</v>
      </c>
      <c r="U813" s="419">
        <f>ROUNDDOWN(Table15[[#This Row],[Column1]]/1360,0)</f>
        <v>0</v>
      </c>
      <c r="V813" s="419"/>
      <c r="W813" s="349"/>
      <c r="X813" s="349"/>
      <c r="Y813" s="349"/>
      <c r="Z813" s="349"/>
    </row>
    <row r="814" spans="1:26" ht="15.75" customHeight="1" x14ac:dyDescent="0.25">
      <c r="A814" s="210" t="s">
        <v>15227</v>
      </c>
      <c r="B814" s="204" t="s">
        <v>4798</v>
      </c>
      <c r="C814" s="204"/>
      <c r="D814" s="205">
        <v>3</v>
      </c>
      <c r="E814" s="16" t="s">
        <v>11732</v>
      </c>
      <c r="F814" s="204" t="str">
        <f>VLOOKUP(E814,Table10[[COUNTRY NAME]:[CONTINENT CODE]],3,FALSE)</f>
        <v>NA - US</v>
      </c>
      <c r="G814" s="206" t="s">
        <v>13302</v>
      </c>
      <c r="H814" s="207">
        <v>13628</v>
      </c>
      <c r="I814" s="208">
        <v>32.25</v>
      </c>
      <c r="J814" s="345"/>
      <c r="K814" s="345">
        <f>IFERROR(Table15[[#This Row],[ROUTE $]]/Table15[[#This Row],[E - DEMAND]],0)</f>
        <v>0</v>
      </c>
      <c r="L814" s="204"/>
      <c r="M814" s="412">
        <f>IFERROR(VLOOKUP(Table15[[#This Row],[ROUTE]],DEMAND!A:F,5,FALSE),0)</f>
        <v>0</v>
      </c>
      <c r="N814" s="16">
        <f>IFERROR(VLOOKUP(Table15[[#This Row],[ROUTE]],DEMAND!A:F,6,FALSE),0)</f>
        <v>0</v>
      </c>
      <c r="O814" s="16">
        <f>IFERROR(ROUNDDOWN(Table15[[#This Row],[R-DEMAND]]/1706,0),0)</f>
        <v>0</v>
      </c>
      <c r="P814" s="16">
        <f>IFERROR(Table15[[#This Row],[ADD ACC]]*Table15[[#This Row],[RT TIME 
(380-800)]],0)</f>
        <v>0</v>
      </c>
      <c r="Q814" s="415">
        <f>IFERROR(VLOOKUP(Table15[[#This Row],[ROUTE]],PRICING!A:B,2,FALSE),0)</f>
        <v>0</v>
      </c>
      <c r="R814" s="235">
        <f>IFERROR(Table15[[#This Row],[C_DEMAND]]-Table15[[#This Row],[R-DEMAND]],0)</f>
        <v>0</v>
      </c>
      <c r="S814" s="408">
        <f t="shared" si="12"/>
        <v>0</v>
      </c>
      <c r="T814" s="419">
        <f>Table15[[#This Row],[R-DEMAND]]-(Table15[[#This Row],[ADD ACC]]*1706)</f>
        <v>0</v>
      </c>
      <c r="U814" s="419">
        <f>ROUNDDOWN(Table15[[#This Row],[Column1]]/1360,0)</f>
        <v>0</v>
      </c>
      <c r="V814" s="419"/>
      <c r="W814" s="349"/>
      <c r="X814" s="349"/>
      <c r="Y814" s="349"/>
      <c r="Z814" s="349"/>
    </row>
    <row r="815" spans="1:26" ht="15.75" customHeight="1" x14ac:dyDescent="0.25">
      <c r="A815" s="210" t="s">
        <v>15195</v>
      </c>
      <c r="B815" s="204" t="s">
        <v>5135</v>
      </c>
      <c r="C815" s="204"/>
      <c r="D815" s="205">
        <v>3</v>
      </c>
      <c r="E815" s="16" t="s">
        <v>11732</v>
      </c>
      <c r="F815" s="204" t="str">
        <f>VLOOKUP(E815,Table10[[COUNTRY NAME]:[CONTINENT CODE]],3,FALSE)</f>
        <v>NA - US</v>
      </c>
      <c r="G815" s="206" t="s">
        <v>13271</v>
      </c>
      <c r="H815" s="207">
        <v>14021</v>
      </c>
      <c r="I815" s="208">
        <v>33.25</v>
      </c>
      <c r="J815" s="345"/>
      <c r="K815" s="345">
        <f>IFERROR(Table15[[#This Row],[ROUTE $]]/Table15[[#This Row],[E - DEMAND]],0)</f>
        <v>0</v>
      </c>
      <c r="L815" s="204"/>
      <c r="M815" s="412">
        <f>IFERROR(VLOOKUP(Table15[[#This Row],[ROUTE]],DEMAND!A:F,5,FALSE),0)</f>
        <v>0</v>
      </c>
      <c r="N815" s="16">
        <f>IFERROR(VLOOKUP(Table15[[#This Row],[ROUTE]],DEMAND!A:F,6,FALSE),0)</f>
        <v>0</v>
      </c>
      <c r="O815" s="16">
        <f>IFERROR(ROUNDDOWN(Table15[[#This Row],[R-DEMAND]]/1706,0),0)</f>
        <v>0</v>
      </c>
      <c r="P815" s="16">
        <f>IFERROR(Table15[[#This Row],[ADD ACC]]*Table15[[#This Row],[RT TIME 
(380-800)]],0)</f>
        <v>0</v>
      </c>
      <c r="Q815" s="415">
        <f>IFERROR(VLOOKUP(Table15[[#This Row],[ROUTE]],PRICING!A:B,2,FALSE),0)</f>
        <v>0</v>
      </c>
      <c r="R815" s="235">
        <f>IFERROR(Table15[[#This Row],[C_DEMAND]]-Table15[[#This Row],[R-DEMAND]],0)</f>
        <v>0</v>
      </c>
      <c r="S815" s="408">
        <f t="shared" si="12"/>
        <v>0</v>
      </c>
      <c r="T815" s="419">
        <f>Table15[[#This Row],[R-DEMAND]]-(Table15[[#This Row],[ADD ACC]]*1706)</f>
        <v>0</v>
      </c>
      <c r="U815" s="419">
        <f>ROUNDDOWN(Table15[[#This Row],[Column1]]/1360,0)</f>
        <v>0</v>
      </c>
      <c r="V815" s="419"/>
      <c r="W815" s="349"/>
      <c r="X815" s="349"/>
      <c r="Y815" s="349"/>
      <c r="Z815" s="349"/>
    </row>
    <row r="816" spans="1:26" ht="15.75" customHeight="1" x14ac:dyDescent="0.25">
      <c r="A816" s="210" t="s">
        <v>15206</v>
      </c>
      <c r="B816" s="204" t="s">
        <v>5217</v>
      </c>
      <c r="C816" s="204"/>
      <c r="D816" s="205">
        <v>3</v>
      </c>
      <c r="E816" s="16" t="s">
        <v>11732</v>
      </c>
      <c r="F816" s="204" t="str">
        <f>VLOOKUP(E816,Table10[[COUNTRY NAME]:[CONTINENT CODE]],3,FALSE)</f>
        <v>NA - US</v>
      </c>
      <c r="G816" s="206" t="s">
        <v>13308</v>
      </c>
      <c r="H816" s="207">
        <v>13878</v>
      </c>
      <c r="I816" s="208">
        <v>32.75</v>
      </c>
      <c r="J816" s="345"/>
      <c r="K816" s="345">
        <f>IFERROR(Table15[[#This Row],[ROUTE $]]/Table15[[#This Row],[E - DEMAND]],0)</f>
        <v>0</v>
      </c>
      <c r="L816" s="204"/>
      <c r="M816" s="412">
        <f>IFERROR(VLOOKUP(Table15[[#This Row],[ROUTE]],DEMAND!A:F,5,FALSE),0)</f>
        <v>0</v>
      </c>
      <c r="N816" s="16">
        <f>IFERROR(VLOOKUP(Table15[[#This Row],[ROUTE]],DEMAND!A:F,6,FALSE),0)</f>
        <v>0</v>
      </c>
      <c r="O816" s="16">
        <f>IFERROR(ROUNDDOWN(Table15[[#This Row],[R-DEMAND]]/1706,0),0)</f>
        <v>0</v>
      </c>
      <c r="P816" s="16">
        <f>IFERROR(Table15[[#This Row],[ADD ACC]]*Table15[[#This Row],[RT TIME 
(380-800)]],0)</f>
        <v>0</v>
      </c>
      <c r="Q816" s="415">
        <f>IFERROR(VLOOKUP(Table15[[#This Row],[ROUTE]],PRICING!A:B,2,FALSE),0)</f>
        <v>0</v>
      </c>
      <c r="R816" s="235">
        <f>IFERROR(Table15[[#This Row],[C_DEMAND]]-Table15[[#This Row],[R-DEMAND]],0)</f>
        <v>0</v>
      </c>
      <c r="S816" s="408">
        <f t="shared" si="12"/>
        <v>0</v>
      </c>
      <c r="T816" s="419">
        <f>Table15[[#This Row],[R-DEMAND]]-(Table15[[#This Row],[ADD ACC]]*1706)</f>
        <v>0</v>
      </c>
      <c r="U816" s="419">
        <f>ROUNDDOWN(Table15[[#This Row],[Column1]]/1360,0)</f>
        <v>0</v>
      </c>
      <c r="V816" s="419"/>
      <c r="W816" s="349"/>
      <c r="X816" s="349"/>
      <c r="Y816" s="349"/>
      <c r="Z816" s="349"/>
    </row>
    <row r="817" spans="1:26" ht="15.75" customHeight="1" x14ac:dyDescent="0.25">
      <c r="A817" s="210" t="s">
        <v>15198</v>
      </c>
      <c r="B817" s="204" t="s">
        <v>5341</v>
      </c>
      <c r="C817" s="204"/>
      <c r="D817" s="205">
        <v>3</v>
      </c>
      <c r="E817" s="16" t="s">
        <v>11732</v>
      </c>
      <c r="F817" s="204" t="str">
        <f>VLOOKUP(E817,Table10[[COUNTRY NAME]:[CONTINENT CODE]],3,FALSE)</f>
        <v>NA - US</v>
      </c>
      <c r="G817" s="206" t="s">
        <v>13272</v>
      </c>
      <c r="H817" s="207">
        <v>14006</v>
      </c>
      <c r="I817" s="208">
        <v>33.25</v>
      </c>
      <c r="J817" s="345"/>
      <c r="K817" s="345">
        <f>IFERROR(Table15[[#This Row],[ROUTE $]]/Table15[[#This Row],[E - DEMAND]],0)</f>
        <v>0</v>
      </c>
      <c r="L817" s="204"/>
      <c r="M817" s="412">
        <f>IFERROR(VLOOKUP(Table15[[#This Row],[ROUTE]],DEMAND!A:F,5,FALSE),0)</f>
        <v>0</v>
      </c>
      <c r="N817" s="16">
        <f>IFERROR(VLOOKUP(Table15[[#This Row],[ROUTE]],DEMAND!A:F,6,FALSE),0)</f>
        <v>0</v>
      </c>
      <c r="O817" s="16">
        <f>IFERROR(ROUNDDOWN(Table15[[#This Row],[R-DEMAND]]/1706,0),0)</f>
        <v>0</v>
      </c>
      <c r="P817" s="16">
        <f>IFERROR(Table15[[#This Row],[ADD ACC]]*Table15[[#This Row],[RT TIME 
(380-800)]],0)</f>
        <v>0</v>
      </c>
      <c r="Q817" s="415">
        <f>IFERROR(VLOOKUP(Table15[[#This Row],[ROUTE]],PRICING!A:B,2,FALSE),0)</f>
        <v>0</v>
      </c>
      <c r="R817" s="235">
        <f>IFERROR(Table15[[#This Row],[C_DEMAND]]-Table15[[#This Row],[R-DEMAND]],0)</f>
        <v>0</v>
      </c>
      <c r="S817" s="408">
        <f t="shared" si="12"/>
        <v>0</v>
      </c>
      <c r="T817" s="419">
        <f>Table15[[#This Row],[R-DEMAND]]-(Table15[[#This Row],[ADD ACC]]*1706)</f>
        <v>0</v>
      </c>
      <c r="U817" s="419">
        <f>ROUNDDOWN(Table15[[#This Row],[Column1]]/1360,0)</f>
        <v>0</v>
      </c>
      <c r="V817" s="419"/>
      <c r="W817" s="349"/>
      <c r="X817" s="349"/>
      <c r="Y817" s="349"/>
      <c r="Z817" s="349"/>
    </row>
    <row r="818" spans="1:26" ht="15.75" customHeight="1" x14ac:dyDescent="0.25">
      <c r="A818" s="210" t="s">
        <v>15191</v>
      </c>
      <c r="B818" s="204" t="s">
        <v>4802</v>
      </c>
      <c r="C818" s="204"/>
      <c r="D818" s="205">
        <v>3</v>
      </c>
      <c r="E818" s="16" t="s">
        <v>11732</v>
      </c>
      <c r="F818" s="204" t="str">
        <f>VLOOKUP(E818,Table10[[COUNTRY NAME]:[CONTINENT CODE]],3,FALSE)</f>
        <v>NA - US</v>
      </c>
      <c r="G818" s="206" t="s">
        <v>13275</v>
      </c>
      <c r="H818" s="207">
        <v>14051</v>
      </c>
      <c r="I818" s="208">
        <v>33.25</v>
      </c>
      <c r="J818" s="345"/>
      <c r="K818" s="345">
        <f>IFERROR(Table15[[#This Row],[ROUTE $]]/Table15[[#This Row],[E - DEMAND]],0)</f>
        <v>0</v>
      </c>
      <c r="L818" s="204"/>
      <c r="M818" s="412">
        <f>IFERROR(VLOOKUP(Table15[[#This Row],[ROUTE]],DEMAND!A:F,5,FALSE),0)</f>
        <v>0</v>
      </c>
      <c r="N818" s="16">
        <f>IFERROR(VLOOKUP(Table15[[#This Row],[ROUTE]],DEMAND!A:F,6,FALSE),0)</f>
        <v>0</v>
      </c>
      <c r="O818" s="16">
        <f>IFERROR(ROUNDDOWN(Table15[[#This Row],[R-DEMAND]]/1706,0),0)</f>
        <v>0</v>
      </c>
      <c r="P818" s="16">
        <f>IFERROR(Table15[[#This Row],[ADD ACC]]*Table15[[#This Row],[RT TIME 
(380-800)]],0)</f>
        <v>0</v>
      </c>
      <c r="Q818" s="415">
        <f>IFERROR(VLOOKUP(Table15[[#This Row],[ROUTE]],PRICING!A:B,2,FALSE),0)</f>
        <v>0</v>
      </c>
      <c r="R818" s="235">
        <f>IFERROR(Table15[[#This Row],[C_DEMAND]]-Table15[[#This Row],[R-DEMAND]],0)</f>
        <v>0</v>
      </c>
      <c r="S818" s="408">
        <f t="shared" si="12"/>
        <v>0</v>
      </c>
      <c r="T818" s="419">
        <f>Table15[[#This Row],[R-DEMAND]]-(Table15[[#This Row],[ADD ACC]]*1706)</f>
        <v>0</v>
      </c>
      <c r="U818" s="419">
        <f>ROUNDDOWN(Table15[[#This Row],[Column1]]/1360,0)</f>
        <v>0</v>
      </c>
      <c r="V818" s="419"/>
      <c r="W818" s="349"/>
      <c r="X818" s="349"/>
      <c r="Y818" s="349"/>
      <c r="Z818" s="349"/>
    </row>
    <row r="819" spans="1:26" ht="15.75" customHeight="1" x14ac:dyDescent="0.25">
      <c r="A819" s="210" t="s">
        <v>15221</v>
      </c>
      <c r="B819" s="204" t="s">
        <v>4852</v>
      </c>
      <c r="C819" s="204"/>
      <c r="D819" s="205">
        <v>3</v>
      </c>
      <c r="E819" s="16" t="s">
        <v>11732</v>
      </c>
      <c r="F819" s="204" t="str">
        <f>VLOOKUP(E819,Table10[[COUNTRY NAME]:[CONTINENT CODE]],3,FALSE)</f>
        <v>NA - US</v>
      </c>
      <c r="G819" s="206" t="s">
        <v>13362</v>
      </c>
      <c r="H819" s="207">
        <v>13689</v>
      </c>
      <c r="I819" s="208">
        <v>32.5</v>
      </c>
      <c r="J819" s="345"/>
      <c r="K819" s="345">
        <f>IFERROR(Table15[[#This Row],[ROUTE $]]/Table15[[#This Row],[E - DEMAND]],0)</f>
        <v>0</v>
      </c>
      <c r="L819" s="204"/>
      <c r="M819" s="412">
        <f>IFERROR(VLOOKUP(Table15[[#This Row],[ROUTE]],DEMAND!A:F,5,FALSE),0)</f>
        <v>0</v>
      </c>
      <c r="N819" s="16">
        <f>IFERROR(VLOOKUP(Table15[[#This Row],[ROUTE]],DEMAND!A:F,6,FALSE),0)</f>
        <v>0</v>
      </c>
      <c r="O819" s="16">
        <f>IFERROR(ROUNDDOWN(Table15[[#This Row],[R-DEMAND]]/1706,0),0)</f>
        <v>0</v>
      </c>
      <c r="P819" s="16">
        <f>IFERROR(Table15[[#This Row],[ADD ACC]]*Table15[[#This Row],[RT TIME 
(380-800)]],0)</f>
        <v>0</v>
      </c>
      <c r="Q819" s="415">
        <f>IFERROR(VLOOKUP(Table15[[#This Row],[ROUTE]],PRICING!A:B,2,FALSE),0)</f>
        <v>0</v>
      </c>
      <c r="R819" s="235">
        <f>IFERROR(Table15[[#This Row],[C_DEMAND]]-Table15[[#This Row],[R-DEMAND]],0)</f>
        <v>0</v>
      </c>
      <c r="S819" s="408">
        <f t="shared" si="12"/>
        <v>0</v>
      </c>
      <c r="T819" s="419">
        <f>Table15[[#This Row],[R-DEMAND]]-(Table15[[#This Row],[ADD ACC]]*1706)</f>
        <v>0</v>
      </c>
      <c r="U819" s="419">
        <f>ROUNDDOWN(Table15[[#This Row],[Column1]]/1360,0)</f>
        <v>0</v>
      </c>
      <c r="V819" s="419"/>
      <c r="W819" s="349"/>
      <c r="X819" s="349"/>
      <c r="Y819" s="349"/>
      <c r="Z819" s="349"/>
    </row>
    <row r="820" spans="1:26" ht="15.75" customHeight="1" x14ac:dyDescent="0.25">
      <c r="A820" s="210" t="s">
        <v>15196</v>
      </c>
      <c r="B820" s="204" t="s">
        <v>4880</v>
      </c>
      <c r="C820" s="204"/>
      <c r="D820" s="205">
        <v>3</v>
      </c>
      <c r="E820" s="16" t="s">
        <v>11732</v>
      </c>
      <c r="F820" s="204" t="str">
        <f>VLOOKUP(E820,Table10[[COUNTRY NAME]:[CONTINENT CODE]],3,FALSE)</f>
        <v>NA - US</v>
      </c>
      <c r="G820" s="206" t="s">
        <v>13367</v>
      </c>
      <c r="H820" s="207">
        <v>14013</v>
      </c>
      <c r="I820" s="208">
        <v>33.25</v>
      </c>
      <c r="J820" s="345"/>
      <c r="K820" s="345">
        <f>IFERROR(Table15[[#This Row],[ROUTE $]]/Table15[[#This Row],[E - DEMAND]],0)</f>
        <v>0</v>
      </c>
      <c r="L820" s="204"/>
      <c r="M820" s="412">
        <f>IFERROR(VLOOKUP(Table15[[#This Row],[ROUTE]],DEMAND!A:F,5,FALSE),0)</f>
        <v>0</v>
      </c>
      <c r="N820" s="16">
        <f>IFERROR(VLOOKUP(Table15[[#This Row],[ROUTE]],DEMAND!A:F,6,FALSE),0)</f>
        <v>0</v>
      </c>
      <c r="O820" s="16">
        <f>IFERROR(ROUNDDOWN(Table15[[#This Row],[R-DEMAND]]/1706,0),0)</f>
        <v>0</v>
      </c>
      <c r="P820" s="16">
        <f>IFERROR(Table15[[#This Row],[ADD ACC]]*Table15[[#This Row],[RT TIME 
(380-800)]],0)</f>
        <v>0</v>
      </c>
      <c r="Q820" s="415">
        <f>IFERROR(VLOOKUP(Table15[[#This Row],[ROUTE]],PRICING!A:B,2,FALSE),0)</f>
        <v>0</v>
      </c>
      <c r="R820" s="235">
        <f>IFERROR(Table15[[#This Row],[C_DEMAND]]-Table15[[#This Row],[R-DEMAND]],0)</f>
        <v>0</v>
      </c>
      <c r="S820" s="408">
        <f t="shared" si="12"/>
        <v>0</v>
      </c>
      <c r="T820" s="419">
        <f>Table15[[#This Row],[R-DEMAND]]-(Table15[[#This Row],[ADD ACC]]*1706)</f>
        <v>0</v>
      </c>
      <c r="U820" s="419">
        <f>ROUNDDOWN(Table15[[#This Row],[Column1]]/1360,0)</f>
        <v>0</v>
      </c>
      <c r="V820" s="419"/>
      <c r="W820" s="349"/>
      <c r="X820" s="349"/>
      <c r="Y820" s="349"/>
      <c r="Z820" s="349"/>
    </row>
    <row r="821" spans="1:26" ht="15.75" customHeight="1" x14ac:dyDescent="0.25">
      <c r="A821" s="210" t="s">
        <v>15166</v>
      </c>
      <c r="B821" s="204" t="s">
        <v>4758</v>
      </c>
      <c r="C821" s="204"/>
      <c r="D821" s="205">
        <v>3</v>
      </c>
      <c r="E821" s="16" t="s">
        <v>11732</v>
      </c>
      <c r="F821" s="204" t="str">
        <f>VLOOKUP(E821,Table10[[COUNTRY NAME]:[CONTINENT CODE]],3,FALSE)</f>
        <v>NA - US</v>
      </c>
      <c r="G821" s="206" t="s">
        <v>13369</v>
      </c>
      <c r="H821" s="207">
        <v>14211</v>
      </c>
      <c r="I821" s="208">
        <v>33.5</v>
      </c>
      <c r="J821" s="345"/>
      <c r="K821" s="345">
        <f>IFERROR(Table15[[#This Row],[ROUTE $]]/Table15[[#This Row],[E - DEMAND]],0)</f>
        <v>0</v>
      </c>
      <c r="L821" s="204"/>
      <c r="M821" s="412">
        <f>IFERROR(VLOOKUP(Table15[[#This Row],[ROUTE]],DEMAND!A:F,5,FALSE),0)</f>
        <v>0</v>
      </c>
      <c r="N821" s="16">
        <f>IFERROR(VLOOKUP(Table15[[#This Row],[ROUTE]],DEMAND!A:F,6,FALSE),0)</f>
        <v>0</v>
      </c>
      <c r="O821" s="16">
        <f>IFERROR(ROUNDDOWN(Table15[[#This Row],[R-DEMAND]]/1706,0),0)</f>
        <v>0</v>
      </c>
      <c r="P821" s="16">
        <f>IFERROR(Table15[[#This Row],[ADD ACC]]*Table15[[#This Row],[RT TIME 
(380-800)]],0)</f>
        <v>0</v>
      </c>
      <c r="Q821" s="415">
        <f>IFERROR(VLOOKUP(Table15[[#This Row],[ROUTE]],PRICING!A:B,2,FALSE),0)</f>
        <v>0</v>
      </c>
      <c r="R821" s="235">
        <f>IFERROR(Table15[[#This Row],[C_DEMAND]]-Table15[[#This Row],[R-DEMAND]],0)</f>
        <v>0</v>
      </c>
      <c r="S821" s="408">
        <f t="shared" si="12"/>
        <v>0</v>
      </c>
      <c r="T821" s="419">
        <f>Table15[[#This Row],[R-DEMAND]]-(Table15[[#This Row],[ADD ACC]]*1706)</f>
        <v>0</v>
      </c>
      <c r="U821" s="419">
        <f>ROUNDDOWN(Table15[[#This Row],[Column1]]/1360,0)</f>
        <v>0</v>
      </c>
      <c r="V821" s="419"/>
      <c r="W821" s="349"/>
      <c r="X821" s="349"/>
      <c r="Y821" s="349"/>
      <c r="Z821" s="349"/>
    </row>
    <row r="822" spans="1:26" ht="15.75" customHeight="1" x14ac:dyDescent="0.25">
      <c r="A822" s="210" t="s">
        <v>15214</v>
      </c>
      <c r="B822" s="204" t="s">
        <v>5139</v>
      </c>
      <c r="C822" s="204"/>
      <c r="D822" s="205">
        <v>3</v>
      </c>
      <c r="E822" s="16" t="s">
        <v>11732</v>
      </c>
      <c r="F822" s="204" t="str">
        <f>VLOOKUP(E822,Table10[[COUNTRY NAME]:[CONTINENT CODE]],3,FALSE)</f>
        <v>NA - US</v>
      </c>
      <c r="G822" s="206" t="s">
        <v>13311</v>
      </c>
      <c r="H822" s="207">
        <v>13758</v>
      </c>
      <c r="I822" s="208">
        <v>32.5</v>
      </c>
      <c r="J822" s="345"/>
      <c r="K822" s="345">
        <f>IFERROR(Table15[[#This Row],[ROUTE $]]/Table15[[#This Row],[E - DEMAND]],0)</f>
        <v>0</v>
      </c>
      <c r="L822" s="204"/>
      <c r="M822" s="412">
        <f>IFERROR(VLOOKUP(Table15[[#This Row],[ROUTE]],DEMAND!A:F,5,FALSE),0)</f>
        <v>0</v>
      </c>
      <c r="N822" s="16">
        <f>IFERROR(VLOOKUP(Table15[[#This Row],[ROUTE]],DEMAND!A:F,6,FALSE),0)</f>
        <v>0</v>
      </c>
      <c r="O822" s="16">
        <f>IFERROR(ROUNDDOWN(Table15[[#This Row],[R-DEMAND]]/1706,0),0)</f>
        <v>0</v>
      </c>
      <c r="P822" s="16">
        <f>IFERROR(Table15[[#This Row],[ADD ACC]]*Table15[[#This Row],[RT TIME 
(380-800)]],0)</f>
        <v>0</v>
      </c>
      <c r="Q822" s="415">
        <f>IFERROR(VLOOKUP(Table15[[#This Row],[ROUTE]],PRICING!A:B,2,FALSE),0)</f>
        <v>0</v>
      </c>
      <c r="R822" s="235">
        <f>IFERROR(Table15[[#This Row],[C_DEMAND]]-Table15[[#This Row],[R-DEMAND]],0)</f>
        <v>0</v>
      </c>
      <c r="S822" s="408">
        <f t="shared" si="12"/>
        <v>0</v>
      </c>
      <c r="T822" s="419">
        <f>Table15[[#This Row],[R-DEMAND]]-(Table15[[#This Row],[ADD ACC]]*1706)</f>
        <v>0</v>
      </c>
      <c r="U822" s="419">
        <f>ROUNDDOWN(Table15[[#This Row],[Column1]]/1360,0)</f>
        <v>0</v>
      </c>
      <c r="V822" s="419"/>
      <c r="W822" s="349"/>
      <c r="X822" s="349"/>
      <c r="Y822" s="349"/>
      <c r="Z822" s="349"/>
    </row>
    <row r="823" spans="1:26" ht="15.75" customHeight="1" x14ac:dyDescent="0.25">
      <c r="A823" s="210" t="s">
        <v>15161</v>
      </c>
      <c r="B823" s="204" t="s">
        <v>5244</v>
      </c>
      <c r="C823" s="204"/>
      <c r="D823" s="205">
        <v>3</v>
      </c>
      <c r="E823" s="16" t="s">
        <v>11732</v>
      </c>
      <c r="F823" s="204" t="str">
        <f>VLOOKUP(E823,Table10[[COUNTRY NAME]:[CONTINENT CODE]],3,FALSE)</f>
        <v>NA - US</v>
      </c>
      <c r="G823" s="206" t="s">
        <v>13289</v>
      </c>
      <c r="H823" s="207">
        <v>14310</v>
      </c>
      <c r="I823" s="208">
        <v>33.75</v>
      </c>
      <c r="J823" s="345"/>
      <c r="K823" s="345">
        <f>IFERROR(Table15[[#This Row],[ROUTE $]]/Table15[[#This Row],[E - DEMAND]],0)</f>
        <v>0</v>
      </c>
      <c r="L823" s="204"/>
      <c r="M823" s="412">
        <f>IFERROR(VLOOKUP(Table15[[#This Row],[ROUTE]],DEMAND!A:F,5,FALSE),0)</f>
        <v>0</v>
      </c>
      <c r="N823" s="16">
        <f>IFERROR(VLOOKUP(Table15[[#This Row],[ROUTE]],DEMAND!A:F,6,FALSE),0)</f>
        <v>0</v>
      </c>
      <c r="O823" s="16">
        <f>IFERROR(ROUNDDOWN(Table15[[#This Row],[R-DEMAND]]/1706,0),0)</f>
        <v>0</v>
      </c>
      <c r="P823" s="16">
        <f>IFERROR(Table15[[#This Row],[ADD ACC]]*Table15[[#This Row],[RT TIME 
(380-800)]],0)</f>
        <v>0</v>
      </c>
      <c r="Q823" s="415">
        <f>IFERROR(VLOOKUP(Table15[[#This Row],[ROUTE]],PRICING!A:B,2,FALSE),0)</f>
        <v>0</v>
      </c>
      <c r="R823" s="235">
        <f>IFERROR(Table15[[#This Row],[C_DEMAND]]-Table15[[#This Row],[R-DEMAND]],0)</f>
        <v>0</v>
      </c>
      <c r="S823" s="408">
        <f t="shared" si="12"/>
        <v>0</v>
      </c>
      <c r="T823" s="419">
        <f>Table15[[#This Row],[R-DEMAND]]-(Table15[[#This Row],[ADD ACC]]*1706)</f>
        <v>0</v>
      </c>
      <c r="U823" s="419">
        <f>ROUNDDOWN(Table15[[#This Row],[Column1]]/1360,0)</f>
        <v>0</v>
      </c>
      <c r="V823" s="419"/>
      <c r="W823" s="349"/>
      <c r="X823" s="349"/>
      <c r="Y823" s="349"/>
      <c r="Z823" s="349"/>
    </row>
    <row r="824" spans="1:26" ht="15.75" customHeight="1" x14ac:dyDescent="0.25">
      <c r="A824" s="210" t="s">
        <v>15138</v>
      </c>
      <c r="B824" s="204" t="s">
        <v>4752</v>
      </c>
      <c r="C824" s="204"/>
      <c r="D824" s="205">
        <v>3</v>
      </c>
      <c r="E824" s="204" t="s">
        <v>545</v>
      </c>
      <c r="F824" s="204" t="str">
        <f>VLOOKUP(E824,Table10[[COUNTRY NAME]:[CONTINENT CODE]],3,FALSE)</f>
        <v>SA</v>
      </c>
      <c r="G824" s="206" t="s">
        <v>13374</v>
      </c>
      <c r="H824" s="207">
        <v>14722</v>
      </c>
      <c r="I824" s="208">
        <v>34.75</v>
      </c>
      <c r="J824" s="345"/>
      <c r="K824" s="345">
        <f>IFERROR(Table15[[#This Row],[ROUTE $]]/Table15[[#This Row],[E - DEMAND]],0)</f>
        <v>0</v>
      </c>
      <c r="L824" s="204"/>
      <c r="M824" s="412">
        <f>IFERROR(VLOOKUP(Table15[[#This Row],[ROUTE]],DEMAND!A:F,5,FALSE),0)</f>
        <v>0</v>
      </c>
      <c r="N824" s="16">
        <f>IFERROR(VLOOKUP(Table15[[#This Row],[ROUTE]],DEMAND!A:F,6,FALSE),0)</f>
        <v>0</v>
      </c>
      <c r="O824" s="16">
        <f>IFERROR(ROUNDDOWN(Table15[[#This Row],[R-DEMAND]]/1706,0),0)</f>
        <v>0</v>
      </c>
      <c r="P824" s="16">
        <f>IFERROR(Table15[[#This Row],[ADD ACC]]*Table15[[#This Row],[RT TIME 
(380-800)]],0)</f>
        <v>0</v>
      </c>
      <c r="Q824" s="415">
        <f>IFERROR(VLOOKUP(Table15[[#This Row],[ROUTE]],PRICING!A:B,2,FALSE),0)</f>
        <v>0</v>
      </c>
      <c r="R824" s="235">
        <f>IFERROR(Table15[[#This Row],[C_DEMAND]]-Table15[[#This Row],[R-DEMAND]],0)</f>
        <v>0</v>
      </c>
      <c r="S824" s="408">
        <f t="shared" si="12"/>
        <v>0</v>
      </c>
      <c r="T824" s="419">
        <f>Table15[[#This Row],[R-DEMAND]]-(Table15[[#This Row],[ADD ACC]]*1706)</f>
        <v>0</v>
      </c>
      <c r="U824" s="419">
        <f>ROUNDDOWN(Table15[[#This Row],[Column1]]/1360,0)</f>
        <v>0</v>
      </c>
      <c r="V824" s="419"/>
      <c r="W824" s="349"/>
      <c r="X824" s="349"/>
      <c r="Y824" s="349"/>
      <c r="Z824" s="349"/>
    </row>
    <row r="825" spans="1:26" ht="15.75" customHeight="1" x14ac:dyDescent="0.25">
      <c r="A825" s="341" t="s">
        <v>18352</v>
      </c>
      <c r="B825" s="212" t="s">
        <v>3856</v>
      </c>
      <c r="C825" s="212"/>
      <c r="D825" s="226">
        <v>2</v>
      </c>
      <c r="E825" s="226" t="s">
        <v>567</v>
      </c>
      <c r="F825" s="212" t="s">
        <v>12670</v>
      </c>
      <c r="G825" s="226" t="s">
        <v>16847</v>
      </c>
      <c r="H825" s="343">
        <v>1983</v>
      </c>
      <c r="I825" s="342"/>
      <c r="J825" s="346"/>
      <c r="K825" s="345">
        <f>IFERROR(Table15[[#This Row],[ROUTE $]]/Table15[[#This Row],[E - DEMAND]],0)</f>
        <v>0</v>
      </c>
      <c r="L825" s="212"/>
      <c r="M825" s="413">
        <f>IFERROR(VLOOKUP(Table15[[#This Row],[ROUTE]],DEMAND!A:F,5,FALSE),0)</f>
        <v>0</v>
      </c>
      <c r="N825" s="251">
        <f>IFERROR(VLOOKUP(Table15[[#This Row],[ROUTE]],DEMAND!A:F,6,FALSE),0)</f>
        <v>0</v>
      </c>
      <c r="O825" s="349"/>
      <c r="P825" s="349"/>
      <c r="Q825" s="416">
        <f>IFERROR(VLOOKUP(Table15[[#This Row],[ROUTE]],PRICING!A:B,2,FALSE),0)</f>
        <v>0</v>
      </c>
      <c r="R825" s="409">
        <f>IFERROR(Table15[[#This Row],[C_DEMAND]]-Table15[[#This Row],[R-DEMAND]],0)</f>
        <v>0</v>
      </c>
      <c r="S825" s="410">
        <f t="shared" si="12"/>
        <v>0</v>
      </c>
      <c r="T825" s="420">
        <f>Table15[[#This Row],[R-DEMAND]]-(Table15[[#This Row],[ADD ACC]]*1706)</f>
        <v>0</v>
      </c>
      <c r="U825" s="420">
        <f>ROUNDDOWN(Table15[[#This Row],[Column1]]/1360,0)</f>
        <v>0</v>
      </c>
      <c r="V825" s="420"/>
      <c r="W825" s="349"/>
      <c r="X825" s="349"/>
      <c r="Y825" s="349"/>
      <c r="Z825" s="349"/>
    </row>
    <row r="826" spans="1:26" ht="15.75" customHeight="1" x14ac:dyDescent="0.25">
      <c r="A826" s="210" t="s">
        <v>15165</v>
      </c>
      <c r="B826" s="204" t="s">
        <v>4973</v>
      </c>
      <c r="C826" s="204"/>
      <c r="D826" s="205">
        <v>3</v>
      </c>
      <c r="E826" s="204" t="s">
        <v>4045</v>
      </c>
      <c r="F826" s="204" t="str">
        <f>VLOOKUP(E826,Table10[[COUNTRY NAME]:[CONTINENT CODE]],3,FALSE)</f>
        <v>SA</v>
      </c>
      <c r="G826" s="206" t="s">
        <v>13378</v>
      </c>
      <c r="H826" s="207">
        <v>14230</v>
      </c>
      <c r="I826" s="208">
        <v>33.75</v>
      </c>
      <c r="J826" s="345"/>
      <c r="K826" s="345">
        <f>IFERROR(Table15[[#This Row],[ROUTE $]]/Table15[[#This Row],[E - DEMAND]],0)</f>
        <v>0</v>
      </c>
      <c r="L826" s="204"/>
      <c r="M826" s="412">
        <f>IFERROR(VLOOKUP(Table15[[#This Row],[ROUTE]],DEMAND!A:F,5,FALSE),0)</f>
        <v>0</v>
      </c>
      <c r="N826" s="16">
        <f>IFERROR(VLOOKUP(Table15[[#This Row],[ROUTE]],DEMAND!A:F,6,FALSE),0)</f>
        <v>0</v>
      </c>
      <c r="O826" s="16">
        <f>IFERROR(ROUNDDOWN(Table15[[#This Row],[R-DEMAND]]/1706,0),0)</f>
        <v>0</v>
      </c>
      <c r="P826" s="16">
        <f>IFERROR(Table15[[#This Row],[ADD ACC]]*Table15[[#This Row],[RT TIME 
(380-800)]],0)</f>
        <v>0</v>
      </c>
      <c r="Q826" s="415">
        <f>IFERROR(VLOOKUP(Table15[[#This Row],[ROUTE]],PRICING!A:B,2,FALSE),0)</f>
        <v>0</v>
      </c>
      <c r="R826" s="235">
        <f>IFERROR(Table15[[#This Row],[C_DEMAND]]-Table15[[#This Row],[R-DEMAND]],0)</f>
        <v>0</v>
      </c>
      <c r="S826" s="408">
        <f t="shared" si="12"/>
        <v>0</v>
      </c>
      <c r="T826" s="419">
        <f>Table15[[#This Row],[R-DEMAND]]-(Table15[[#This Row],[ADD ACC]]*1706)</f>
        <v>0</v>
      </c>
      <c r="U826" s="419">
        <f>ROUNDDOWN(Table15[[#This Row],[Column1]]/1360,0)</f>
        <v>0</v>
      </c>
      <c r="V826" s="419"/>
      <c r="W826" s="349"/>
      <c r="X826" s="349"/>
      <c r="Y826" s="349"/>
      <c r="Z826" s="349"/>
    </row>
    <row r="827" spans="1:26" ht="15.75" customHeight="1" x14ac:dyDescent="0.25">
      <c r="A827" s="341" t="s">
        <v>18315</v>
      </c>
      <c r="B827" s="212" t="s">
        <v>3624</v>
      </c>
      <c r="C827" s="212"/>
      <c r="D827" s="226">
        <v>2</v>
      </c>
      <c r="E827" s="226" t="s">
        <v>14</v>
      </c>
      <c r="F827" s="212" t="s">
        <v>12670</v>
      </c>
      <c r="G827" s="226" t="s">
        <v>16819</v>
      </c>
      <c r="H827" s="343">
        <v>4715</v>
      </c>
      <c r="I827" s="342"/>
      <c r="J827" s="346"/>
      <c r="K827" s="345">
        <f>IFERROR(Table15[[#This Row],[ROUTE $]]/Table15[[#This Row],[E - DEMAND]],0)</f>
        <v>0</v>
      </c>
      <c r="L827" s="212"/>
      <c r="M827" s="413">
        <f>IFERROR(VLOOKUP(Table15[[#This Row],[ROUTE]],DEMAND!A:F,5,FALSE),0)</f>
        <v>0</v>
      </c>
      <c r="N827" s="251">
        <f>IFERROR(VLOOKUP(Table15[[#This Row],[ROUTE]],DEMAND!A:F,6,FALSE),0)</f>
        <v>0</v>
      </c>
      <c r="O827" s="349"/>
      <c r="P827" s="349"/>
      <c r="Q827" s="416">
        <f>IFERROR(VLOOKUP(Table15[[#This Row],[ROUTE]],PRICING!A:B,2,FALSE),0)</f>
        <v>0</v>
      </c>
      <c r="R827" s="409">
        <f>IFERROR(Table15[[#This Row],[C_DEMAND]]-Table15[[#This Row],[R-DEMAND]],0)</f>
        <v>0</v>
      </c>
      <c r="S827" s="410">
        <f t="shared" si="12"/>
        <v>0</v>
      </c>
      <c r="T827" s="420">
        <f>Table15[[#This Row],[R-DEMAND]]-(Table15[[#This Row],[ADD ACC]]*1706)</f>
        <v>0</v>
      </c>
      <c r="U827" s="420">
        <f>ROUNDDOWN(Table15[[#This Row],[Column1]]/1360,0)</f>
        <v>0</v>
      </c>
      <c r="V827" s="420"/>
      <c r="W827" s="349"/>
      <c r="X827" s="349"/>
      <c r="Y827" s="349"/>
      <c r="Z827" s="349"/>
    </row>
    <row r="828" spans="1:26" ht="15.75" customHeight="1" x14ac:dyDescent="0.25">
      <c r="A828" s="341" t="s">
        <v>18323</v>
      </c>
      <c r="B828" s="212" t="s">
        <v>3782</v>
      </c>
      <c r="C828" s="212"/>
      <c r="D828" s="226">
        <v>2</v>
      </c>
      <c r="E828" s="226" t="s">
        <v>14</v>
      </c>
      <c r="F828" s="212" t="s">
        <v>12670</v>
      </c>
      <c r="G828" s="226" t="s">
        <v>16825</v>
      </c>
      <c r="H828" s="343">
        <v>4359</v>
      </c>
      <c r="I828" s="342"/>
      <c r="J828" s="346"/>
      <c r="K828" s="345">
        <f>IFERROR(Table15[[#This Row],[ROUTE $]]/Table15[[#This Row],[E - DEMAND]],0)</f>
        <v>0</v>
      </c>
      <c r="L828" s="212"/>
      <c r="M828" s="413">
        <f>IFERROR(VLOOKUP(Table15[[#This Row],[ROUTE]],DEMAND!A:F,5,FALSE),0)</f>
        <v>0</v>
      </c>
      <c r="N828" s="251">
        <f>IFERROR(VLOOKUP(Table15[[#This Row],[ROUTE]],DEMAND!A:F,6,FALSE),0)</f>
        <v>0</v>
      </c>
      <c r="O828" s="349"/>
      <c r="P828" s="349"/>
      <c r="Q828" s="416">
        <f>IFERROR(VLOOKUP(Table15[[#This Row],[ROUTE]],PRICING!A:B,2,FALSE),0)</f>
        <v>0</v>
      </c>
      <c r="R828" s="409">
        <f>IFERROR(Table15[[#This Row],[C_DEMAND]]-Table15[[#This Row],[R-DEMAND]],0)</f>
        <v>0</v>
      </c>
      <c r="S828" s="410">
        <f t="shared" si="12"/>
        <v>0</v>
      </c>
      <c r="T828" s="420">
        <f>Table15[[#This Row],[R-DEMAND]]-(Table15[[#This Row],[ADD ACC]]*1706)</f>
        <v>0</v>
      </c>
      <c r="U828" s="420">
        <f>ROUNDDOWN(Table15[[#This Row],[Column1]]/1360,0)</f>
        <v>0</v>
      </c>
      <c r="V828" s="420"/>
      <c r="W828" s="349"/>
      <c r="X828" s="349"/>
      <c r="Y828" s="349"/>
      <c r="Z828" s="349"/>
    </row>
    <row r="829" spans="1:26" ht="15.75" customHeight="1" x14ac:dyDescent="0.25">
      <c r="A829" s="210" t="s">
        <v>15144</v>
      </c>
      <c r="B829" s="204" t="s">
        <v>4213</v>
      </c>
      <c r="C829" s="204"/>
      <c r="D829" s="205">
        <v>2</v>
      </c>
      <c r="E829" s="306" t="s">
        <v>11669</v>
      </c>
      <c r="F829" s="204" t="str">
        <f>VLOOKUP(E829,Table10[[COUNTRY NAME]:[CONTINENT CODE]],3,FALSE)</f>
        <v>SA</v>
      </c>
      <c r="G829" s="206" t="s">
        <v>13143</v>
      </c>
      <c r="H829" s="207">
        <v>14590</v>
      </c>
      <c r="I829" s="208">
        <v>34.5</v>
      </c>
      <c r="J829" s="345"/>
      <c r="K829" s="345">
        <f>IFERROR(Table15[[#This Row],[ROUTE $]]/Table15[[#This Row],[E - DEMAND]],0)</f>
        <v>0</v>
      </c>
      <c r="L829" s="204"/>
      <c r="M829" s="412">
        <f>IFERROR(VLOOKUP(Table15[[#This Row],[ROUTE]],DEMAND!A:F,5,FALSE),0)</f>
        <v>0</v>
      </c>
      <c r="N829" s="16">
        <f>IFERROR(VLOOKUP(Table15[[#This Row],[ROUTE]],DEMAND!A:F,6,FALSE),0)</f>
        <v>0</v>
      </c>
      <c r="O829" s="16">
        <f>IFERROR(ROUNDDOWN(Table15[[#This Row],[R-DEMAND]]/1706,0),0)</f>
        <v>0</v>
      </c>
      <c r="P829" s="16">
        <f>IFERROR(Table15[[#This Row],[ADD ACC]]*Table15[[#This Row],[RT TIME 
(380-800)]],0)</f>
        <v>0</v>
      </c>
      <c r="Q829" s="415">
        <f>IFERROR(VLOOKUP(Table15[[#This Row],[ROUTE]],PRICING!A:B,2,FALSE),0)</f>
        <v>0</v>
      </c>
      <c r="R829" s="235">
        <f>IFERROR(Table15[[#This Row],[C_DEMAND]]-Table15[[#This Row],[R-DEMAND]],0)</f>
        <v>0</v>
      </c>
      <c r="S829" s="408">
        <f t="shared" si="12"/>
        <v>0</v>
      </c>
      <c r="T829" s="419">
        <f>Table15[[#This Row],[R-DEMAND]]-(Table15[[#This Row],[ADD ACC]]*1706)</f>
        <v>0</v>
      </c>
      <c r="U829" s="419">
        <f>ROUNDDOWN(Table15[[#This Row],[Column1]]/1360,0)</f>
        <v>0</v>
      </c>
      <c r="V829" s="419"/>
      <c r="W829" s="349"/>
      <c r="X829" s="349"/>
      <c r="Y829" s="349"/>
      <c r="Z829" s="349"/>
    </row>
    <row r="830" spans="1:26" ht="15.75" customHeight="1" x14ac:dyDescent="0.25">
      <c r="A830" s="210" t="s">
        <v>15131</v>
      </c>
      <c r="B830" s="204" t="s">
        <v>2611</v>
      </c>
      <c r="C830" s="204"/>
      <c r="D830" s="205">
        <v>2</v>
      </c>
      <c r="E830" s="306" t="s">
        <v>11669</v>
      </c>
      <c r="F830" s="204" t="str">
        <f>VLOOKUP(E830,Table10[[COUNTRY NAME]:[CONTINENT CODE]],3,FALSE)</f>
        <v>SA</v>
      </c>
      <c r="G830" s="206" t="s">
        <v>7593</v>
      </c>
      <c r="H830" s="207">
        <v>15051</v>
      </c>
      <c r="I830" s="208">
        <v>35.5</v>
      </c>
      <c r="J830" s="345"/>
      <c r="K830" s="345">
        <f>IFERROR(Table15[[#This Row],[ROUTE $]]/Table15[[#This Row],[E - DEMAND]],0)</f>
        <v>0</v>
      </c>
      <c r="L830" s="204"/>
      <c r="M830" s="412">
        <f>IFERROR(VLOOKUP(Table15[[#This Row],[ROUTE]],DEMAND!A:F,5,FALSE),0)</f>
        <v>0</v>
      </c>
      <c r="N830" s="16">
        <f>IFERROR(VLOOKUP(Table15[[#This Row],[ROUTE]],DEMAND!A:F,6,FALSE),0)</f>
        <v>0</v>
      </c>
      <c r="O830" s="16">
        <f>IFERROR(ROUNDDOWN(Table15[[#This Row],[R-DEMAND]]/1706,0),0)</f>
        <v>0</v>
      </c>
      <c r="P830" s="16">
        <f>IFERROR(Table15[[#This Row],[ADD ACC]]*Table15[[#This Row],[RT TIME 
(380-800)]],0)</f>
        <v>0</v>
      </c>
      <c r="Q830" s="415">
        <f>IFERROR(VLOOKUP(Table15[[#This Row],[ROUTE]],PRICING!A:B,2,FALSE),0)</f>
        <v>0</v>
      </c>
      <c r="R830" s="235">
        <f>IFERROR(Table15[[#This Row],[C_DEMAND]]-Table15[[#This Row],[R-DEMAND]],0)</f>
        <v>0</v>
      </c>
      <c r="S830" s="408">
        <f t="shared" si="12"/>
        <v>0</v>
      </c>
      <c r="T830" s="419">
        <f>Table15[[#This Row],[R-DEMAND]]-(Table15[[#This Row],[ADD ACC]]*1706)</f>
        <v>0</v>
      </c>
      <c r="U830" s="419">
        <f>ROUNDDOWN(Table15[[#This Row],[Column1]]/1360,0)</f>
        <v>0</v>
      </c>
      <c r="V830" s="419"/>
      <c r="W830" s="349"/>
      <c r="X830" s="349"/>
      <c r="Y830" s="349"/>
      <c r="Z830" s="349"/>
    </row>
    <row r="831" spans="1:26" ht="15.75" customHeight="1" x14ac:dyDescent="0.25">
      <c r="A831" s="210" t="s">
        <v>15128</v>
      </c>
      <c r="B831" s="204" t="s">
        <v>3323</v>
      </c>
      <c r="C831" s="204"/>
      <c r="D831" s="205">
        <v>2</v>
      </c>
      <c r="E831" s="306" t="s">
        <v>11669</v>
      </c>
      <c r="F831" s="204" t="str">
        <f>VLOOKUP(E831,Table10[[COUNTRY NAME]:[CONTINENT CODE]],3,FALSE)</f>
        <v>SA</v>
      </c>
      <c r="G831" s="206" t="s">
        <v>13133</v>
      </c>
      <c r="H831" s="207">
        <v>15132</v>
      </c>
      <c r="I831" s="208">
        <v>35.75</v>
      </c>
      <c r="J831" s="345"/>
      <c r="K831" s="345">
        <f>IFERROR(Table15[[#This Row],[ROUTE $]]/Table15[[#This Row],[E - DEMAND]],0)</f>
        <v>0</v>
      </c>
      <c r="L831" s="204"/>
      <c r="M831" s="412">
        <f>IFERROR(VLOOKUP(Table15[[#This Row],[ROUTE]],DEMAND!A:F,5,FALSE),0)</f>
        <v>0</v>
      </c>
      <c r="N831" s="16">
        <f>IFERROR(VLOOKUP(Table15[[#This Row],[ROUTE]],DEMAND!A:F,6,FALSE),0)</f>
        <v>0</v>
      </c>
      <c r="O831" s="16">
        <f>IFERROR(ROUNDDOWN(Table15[[#This Row],[R-DEMAND]]/1706,0),0)</f>
        <v>0</v>
      </c>
      <c r="P831" s="16">
        <f>IFERROR(Table15[[#This Row],[ADD ACC]]*Table15[[#This Row],[RT TIME 
(380-800)]],0)</f>
        <v>0</v>
      </c>
      <c r="Q831" s="415">
        <f>IFERROR(VLOOKUP(Table15[[#This Row],[ROUTE]],PRICING!A:B,2,FALSE),0)</f>
        <v>0</v>
      </c>
      <c r="R831" s="235">
        <f>IFERROR(Table15[[#This Row],[C_DEMAND]]-Table15[[#This Row],[R-DEMAND]],0)</f>
        <v>0</v>
      </c>
      <c r="S831" s="408">
        <f t="shared" si="12"/>
        <v>0</v>
      </c>
      <c r="T831" s="419">
        <f>Table15[[#This Row],[R-DEMAND]]-(Table15[[#This Row],[ADD ACC]]*1706)</f>
        <v>0</v>
      </c>
      <c r="U831" s="419">
        <f>ROUNDDOWN(Table15[[#This Row],[Column1]]/1360,0)</f>
        <v>0</v>
      </c>
      <c r="V831" s="419"/>
      <c r="W831" s="349"/>
      <c r="X831" s="349"/>
      <c r="Y831" s="349"/>
      <c r="Z831" s="349"/>
    </row>
    <row r="832" spans="1:26" ht="15.75" customHeight="1" x14ac:dyDescent="0.25">
      <c r="A832" s="210" t="s">
        <v>15125</v>
      </c>
      <c r="B832" s="204" t="s">
        <v>2671</v>
      </c>
      <c r="C832" s="204"/>
      <c r="D832" s="205">
        <v>2</v>
      </c>
      <c r="E832" s="306" t="s">
        <v>11669</v>
      </c>
      <c r="F832" s="204" t="str">
        <f>VLOOKUP(E832,Table10[[COUNTRY NAME]:[CONTINENT CODE]],3,FALSE)</f>
        <v>SA</v>
      </c>
      <c r="G832" s="206" t="s">
        <v>13141</v>
      </c>
      <c r="H832" s="207">
        <v>15182</v>
      </c>
      <c r="I832" s="208">
        <v>35.75</v>
      </c>
      <c r="J832" s="345"/>
      <c r="K832" s="345">
        <f>IFERROR(Table15[[#This Row],[ROUTE $]]/Table15[[#This Row],[E - DEMAND]],0)</f>
        <v>0</v>
      </c>
      <c r="L832" s="204"/>
      <c r="M832" s="412">
        <f>IFERROR(VLOOKUP(Table15[[#This Row],[ROUTE]],DEMAND!A:F,5,FALSE),0)</f>
        <v>0</v>
      </c>
      <c r="N832" s="16">
        <f>IFERROR(VLOOKUP(Table15[[#This Row],[ROUTE]],DEMAND!A:F,6,FALSE),0)</f>
        <v>0</v>
      </c>
      <c r="O832" s="16">
        <f>IFERROR(ROUNDDOWN(Table15[[#This Row],[R-DEMAND]]/1706,0),0)</f>
        <v>0</v>
      </c>
      <c r="P832" s="16">
        <f>IFERROR(Table15[[#This Row],[ADD ACC]]*Table15[[#This Row],[RT TIME 
(380-800)]],0)</f>
        <v>0</v>
      </c>
      <c r="Q832" s="415">
        <f>IFERROR(VLOOKUP(Table15[[#This Row],[ROUTE]],PRICING!A:B,2,FALSE),0)</f>
        <v>0</v>
      </c>
      <c r="R832" s="235">
        <f>IFERROR(Table15[[#This Row],[C_DEMAND]]-Table15[[#This Row],[R-DEMAND]],0)</f>
        <v>0</v>
      </c>
      <c r="S832" s="408">
        <f t="shared" si="12"/>
        <v>0</v>
      </c>
      <c r="T832" s="419">
        <f>Table15[[#This Row],[R-DEMAND]]-(Table15[[#This Row],[ADD ACC]]*1706)</f>
        <v>0</v>
      </c>
      <c r="U832" s="419">
        <f>ROUNDDOWN(Table15[[#This Row],[Column1]]/1360,0)</f>
        <v>0</v>
      </c>
      <c r="V832" s="419"/>
      <c r="W832" s="349"/>
      <c r="X832" s="349"/>
      <c r="Y832" s="349"/>
      <c r="Z832" s="349"/>
    </row>
    <row r="833" spans="1:26" ht="15.75" customHeight="1" x14ac:dyDescent="0.25">
      <c r="A833" s="210" t="s">
        <v>15137</v>
      </c>
      <c r="B833" s="204" t="s">
        <v>4078</v>
      </c>
      <c r="C833" s="204"/>
      <c r="D833" s="205">
        <v>2</v>
      </c>
      <c r="E833" s="306" t="s">
        <v>11669</v>
      </c>
      <c r="F833" s="204" t="str">
        <f>VLOOKUP(E833,Table10[[COUNTRY NAME]:[CONTINENT CODE]],3,FALSE)</f>
        <v>SA</v>
      </c>
      <c r="G833" s="206" t="s">
        <v>11670</v>
      </c>
      <c r="H833" s="207">
        <v>14875</v>
      </c>
      <c r="I833" s="208">
        <v>35</v>
      </c>
      <c r="J833" s="345"/>
      <c r="K833" s="345">
        <f>IFERROR(Table15[[#This Row],[ROUTE $]]/Table15[[#This Row],[E - DEMAND]],0)</f>
        <v>0</v>
      </c>
      <c r="L833" s="204"/>
      <c r="M833" s="412">
        <f>IFERROR(VLOOKUP(Table15[[#This Row],[ROUTE]],DEMAND!A:F,5,FALSE),0)</f>
        <v>0</v>
      </c>
      <c r="N833" s="16">
        <f>IFERROR(VLOOKUP(Table15[[#This Row],[ROUTE]],DEMAND!A:F,6,FALSE),0)</f>
        <v>0</v>
      </c>
      <c r="O833" s="16">
        <f>IFERROR(ROUNDDOWN(Table15[[#This Row],[R-DEMAND]]/1706,0),0)</f>
        <v>0</v>
      </c>
      <c r="P833" s="16">
        <f>IFERROR(Table15[[#This Row],[ADD ACC]]*Table15[[#This Row],[RT TIME 
(380-800)]],0)</f>
        <v>0</v>
      </c>
      <c r="Q833" s="415">
        <f>IFERROR(VLOOKUP(Table15[[#This Row],[ROUTE]],PRICING!A:B,2,FALSE),0)</f>
        <v>0</v>
      </c>
      <c r="R833" s="235">
        <f>IFERROR(Table15[[#This Row],[C_DEMAND]]-Table15[[#This Row],[R-DEMAND]],0)</f>
        <v>0</v>
      </c>
      <c r="S833" s="408">
        <f t="shared" si="12"/>
        <v>0</v>
      </c>
      <c r="T833" s="419">
        <f>Table15[[#This Row],[R-DEMAND]]-(Table15[[#This Row],[ADD ACC]]*1706)</f>
        <v>0</v>
      </c>
      <c r="U833" s="419">
        <f>ROUNDDOWN(Table15[[#This Row],[Column1]]/1360,0)</f>
        <v>0</v>
      </c>
      <c r="V833" s="419"/>
      <c r="W833" s="349"/>
      <c r="X833" s="349"/>
      <c r="Y833" s="349"/>
      <c r="Z833" s="349"/>
    </row>
    <row r="834" spans="1:26" ht="15.75" customHeight="1" x14ac:dyDescent="0.25">
      <c r="A834" s="210" t="s">
        <v>15155</v>
      </c>
      <c r="B834" s="204" t="s">
        <v>2710</v>
      </c>
      <c r="C834" s="204"/>
      <c r="D834" s="205">
        <v>2</v>
      </c>
      <c r="E834" s="204" t="s">
        <v>683</v>
      </c>
      <c r="F834" s="204" t="str">
        <f>VLOOKUP(E834,Table10[[COUNTRY NAME]:[CONTINENT CODE]],3,FALSE)</f>
        <v>NA</v>
      </c>
      <c r="G834" s="206" t="s">
        <v>13190</v>
      </c>
      <c r="H834" s="207">
        <v>14445</v>
      </c>
      <c r="I834" s="208">
        <v>34</v>
      </c>
      <c r="J834" s="345"/>
      <c r="K834" s="345">
        <f>IFERROR(Table15[[#This Row],[ROUTE $]]/Table15[[#This Row],[E - DEMAND]],0)</f>
        <v>0</v>
      </c>
      <c r="L834" s="204"/>
      <c r="M834" s="412">
        <f>IFERROR(VLOOKUP(Table15[[#This Row],[ROUTE]],DEMAND!A:F,5,FALSE),0)</f>
        <v>0</v>
      </c>
      <c r="N834" s="16">
        <f>IFERROR(VLOOKUP(Table15[[#This Row],[ROUTE]],DEMAND!A:F,6,FALSE),0)</f>
        <v>0</v>
      </c>
      <c r="O834" s="16">
        <f>IFERROR(ROUNDDOWN(Table15[[#This Row],[R-DEMAND]]/1706,0),0)</f>
        <v>0</v>
      </c>
      <c r="P834" s="16">
        <f>IFERROR(Table15[[#This Row],[ADD ACC]]*Table15[[#This Row],[RT TIME 
(380-800)]],0)</f>
        <v>0</v>
      </c>
      <c r="Q834" s="415">
        <f>IFERROR(VLOOKUP(Table15[[#This Row],[ROUTE]],PRICING!A:B,2,FALSE),0)</f>
        <v>0</v>
      </c>
      <c r="R834" s="235">
        <f>IFERROR(Table15[[#This Row],[C_DEMAND]]-Table15[[#This Row],[R-DEMAND]],0)</f>
        <v>0</v>
      </c>
      <c r="S834" s="408">
        <f t="shared" si="12"/>
        <v>0</v>
      </c>
      <c r="T834" s="419">
        <f>Table15[[#This Row],[R-DEMAND]]-(Table15[[#This Row],[ADD ACC]]*1706)</f>
        <v>0</v>
      </c>
      <c r="U834" s="419">
        <f>ROUNDDOWN(Table15[[#This Row],[Column1]]/1360,0)</f>
        <v>0</v>
      </c>
      <c r="V834" s="419"/>
      <c r="W834" s="349"/>
      <c r="X834" s="349"/>
      <c r="Y834" s="349"/>
      <c r="Z834" s="349"/>
    </row>
    <row r="835" spans="1:26" ht="15.75" customHeight="1" x14ac:dyDescent="0.25">
      <c r="A835" s="341" t="s">
        <v>18324</v>
      </c>
      <c r="B835" s="212" t="s">
        <v>2776</v>
      </c>
      <c r="C835" s="212"/>
      <c r="D835" s="226">
        <v>2</v>
      </c>
      <c r="E835" s="226" t="s">
        <v>14</v>
      </c>
      <c r="F835" s="212" t="s">
        <v>12670</v>
      </c>
      <c r="G835" s="226" t="s">
        <v>16813</v>
      </c>
      <c r="H835" s="343">
        <v>4353</v>
      </c>
      <c r="I835" s="342"/>
      <c r="J835" s="346"/>
      <c r="K835" s="345">
        <f>IFERROR(Table15[[#This Row],[ROUTE $]]/Table15[[#This Row],[E - DEMAND]],0)</f>
        <v>0</v>
      </c>
      <c r="L835" s="212"/>
      <c r="M835" s="413">
        <f>IFERROR(VLOOKUP(Table15[[#This Row],[ROUTE]],DEMAND!A:F,5,FALSE),0)</f>
        <v>0</v>
      </c>
      <c r="N835" s="251">
        <f>IFERROR(VLOOKUP(Table15[[#This Row],[ROUTE]],DEMAND!A:F,6,FALSE),0)</f>
        <v>0</v>
      </c>
      <c r="O835" s="349"/>
      <c r="P835" s="349"/>
      <c r="Q835" s="416">
        <f>IFERROR(VLOOKUP(Table15[[#This Row],[ROUTE]],PRICING!A:B,2,FALSE),0)</f>
        <v>0</v>
      </c>
      <c r="R835" s="409">
        <f>IFERROR(Table15[[#This Row],[C_DEMAND]]-Table15[[#This Row],[R-DEMAND]],0)</f>
        <v>0</v>
      </c>
      <c r="S835" s="410">
        <f t="shared" ref="S835:S898" si="13">IFERROR(R835*Q835,0)</f>
        <v>0</v>
      </c>
      <c r="T835" s="420">
        <f>Table15[[#This Row],[R-DEMAND]]-(Table15[[#This Row],[ADD ACC]]*1706)</f>
        <v>0</v>
      </c>
      <c r="U835" s="420">
        <f>ROUNDDOWN(Table15[[#This Row],[Column1]]/1360,0)</f>
        <v>0</v>
      </c>
      <c r="V835" s="420"/>
      <c r="W835" s="349"/>
      <c r="X835" s="349"/>
      <c r="Y835" s="349"/>
      <c r="Z835" s="349"/>
    </row>
    <row r="836" spans="1:26" ht="15.75" customHeight="1" x14ac:dyDescent="0.25">
      <c r="A836" s="341" t="s">
        <v>18227</v>
      </c>
      <c r="B836" s="212" t="s">
        <v>5291</v>
      </c>
      <c r="C836" s="212"/>
      <c r="D836" s="226">
        <v>3</v>
      </c>
      <c r="E836" s="226" t="s">
        <v>119</v>
      </c>
      <c r="F836" s="212" t="s">
        <v>12674</v>
      </c>
      <c r="G836" s="404" t="s">
        <v>16923</v>
      </c>
      <c r="H836" s="343">
        <v>7434</v>
      </c>
      <c r="I836" s="342"/>
      <c r="J836" s="346"/>
      <c r="K836" s="345">
        <f>IFERROR(Table15[[#This Row],[ROUTE $]]/Table15[[#This Row],[E - DEMAND]],0)</f>
        <v>0</v>
      </c>
      <c r="L836" s="212"/>
      <c r="M836" s="413">
        <f>IFERROR(VLOOKUP(Table15[[#This Row],[ROUTE]],DEMAND!A:F,5,FALSE),0)</f>
        <v>0</v>
      </c>
      <c r="N836" s="251">
        <f>IFERROR(VLOOKUP(Table15[[#This Row],[ROUTE]],DEMAND!A:F,6,FALSE),0)</f>
        <v>0</v>
      </c>
      <c r="O836" s="349"/>
      <c r="P836" s="349"/>
      <c r="Q836" s="416">
        <f>IFERROR(VLOOKUP(Table15[[#This Row],[ROUTE]],PRICING!A:B,2,FALSE),0)</f>
        <v>0</v>
      </c>
      <c r="R836" s="409">
        <f>IFERROR(Table15[[#This Row],[C_DEMAND]]-Table15[[#This Row],[R-DEMAND]],0)</f>
        <v>0</v>
      </c>
      <c r="S836" s="410">
        <f t="shared" si="13"/>
        <v>0</v>
      </c>
      <c r="T836" s="420">
        <f>Table15[[#This Row],[R-DEMAND]]-(Table15[[#This Row],[ADD ACC]]*1706)</f>
        <v>0</v>
      </c>
      <c r="U836" s="420">
        <f>ROUNDDOWN(Table15[[#This Row],[Column1]]/1360,0)</f>
        <v>0</v>
      </c>
      <c r="V836" s="420"/>
      <c r="W836" s="349"/>
      <c r="X836" s="349"/>
      <c r="Y836" s="349"/>
      <c r="Z836" s="349"/>
    </row>
    <row r="837" spans="1:26" ht="15.75" customHeight="1" x14ac:dyDescent="0.25">
      <c r="A837" s="210" t="s">
        <v>15151</v>
      </c>
      <c r="B837" s="204" t="s">
        <v>2520</v>
      </c>
      <c r="C837" s="204"/>
      <c r="D837" s="205">
        <v>2</v>
      </c>
      <c r="E837" s="204" t="s">
        <v>683</v>
      </c>
      <c r="F837" s="204" t="str">
        <f>VLOOKUP(E837,Table10[[COUNTRY NAME]:[CONTINENT CODE]],3,FALSE)</f>
        <v>NA</v>
      </c>
      <c r="G837" s="206" t="s">
        <v>13191</v>
      </c>
      <c r="H837" s="207">
        <v>14501</v>
      </c>
      <c r="I837" s="208">
        <v>34.25</v>
      </c>
      <c r="J837" s="345"/>
      <c r="K837" s="345">
        <f>IFERROR(Table15[[#This Row],[ROUTE $]]/Table15[[#This Row],[E - DEMAND]],0)</f>
        <v>0</v>
      </c>
      <c r="L837" s="204"/>
      <c r="M837" s="412">
        <f>IFERROR(VLOOKUP(Table15[[#This Row],[ROUTE]],DEMAND!A:F,5,FALSE),0)</f>
        <v>0</v>
      </c>
      <c r="N837" s="16">
        <f>IFERROR(VLOOKUP(Table15[[#This Row],[ROUTE]],DEMAND!A:F,6,FALSE),0)</f>
        <v>0</v>
      </c>
      <c r="O837" s="16">
        <f>IFERROR(ROUNDDOWN(Table15[[#This Row],[R-DEMAND]]/1706,0),0)</f>
        <v>0</v>
      </c>
      <c r="P837" s="16">
        <f>IFERROR(Table15[[#This Row],[ADD ACC]]*Table15[[#This Row],[RT TIME 
(380-800)]],0)</f>
        <v>0</v>
      </c>
      <c r="Q837" s="415">
        <f>IFERROR(VLOOKUP(Table15[[#This Row],[ROUTE]],PRICING!A:B,2,FALSE),0)</f>
        <v>0</v>
      </c>
      <c r="R837" s="235">
        <f>IFERROR(Table15[[#This Row],[C_DEMAND]]-Table15[[#This Row],[R-DEMAND]],0)</f>
        <v>0</v>
      </c>
      <c r="S837" s="408">
        <f t="shared" si="13"/>
        <v>0</v>
      </c>
      <c r="T837" s="419">
        <f>Table15[[#This Row],[R-DEMAND]]-(Table15[[#This Row],[ADD ACC]]*1706)</f>
        <v>0</v>
      </c>
      <c r="U837" s="419">
        <f>ROUNDDOWN(Table15[[#This Row],[Column1]]/1360,0)</f>
        <v>0</v>
      </c>
      <c r="V837" s="419"/>
      <c r="W837" s="349"/>
      <c r="X837" s="349"/>
      <c r="Y837" s="349"/>
      <c r="Z837" s="349"/>
    </row>
    <row r="838" spans="1:26" ht="15.75" customHeight="1" x14ac:dyDescent="0.25">
      <c r="A838" s="210" t="s">
        <v>15119</v>
      </c>
      <c r="B838" s="204" t="s">
        <v>4100</v>
      </c>
      <c r="C838" s="204"/>
      <c r="D838" s="205">
        <v>2</v>
      </c>
      <c r="E838" s="204" t="s">
        <v>1144</v>
      </c>
      <c r="F838" s="204" t="str">
        <f>VLOOKUP(E838,Table10[[COUNTRY NAME]:[CONTINENT CODE]],3,FALSE)</f>
        <v>SA</v>
      </c>
      <c r="G838" s="206" t="s">
        <v>13154</v>
      </c>
      <c r="H838" s="207">
        <v>15392</v>
      </c>
      <c r="I838" s="208">
        <v>36.25</v>
      </c>
      <c r="J838" s="345"/>
      <c r="K838" s="345">
        <f>IFERROR(Table15[[#This Row],[ROUTE $]]/Table15[[#This Row],[E - DEMAND]],0)</f>
        <v>0</v>
      </c>
      <c r="L838" s="204"/>
      <c r="M838" s="412">
        <f>IFERROR(VLOOKUP(Table15[[#This Row],[ROUTE]],DEMAND!A:F,5,FALSE),0)</f>
        <v>0</v>
      </c>
      <c r="N838" s="16">
        <f>IFERROR(VLOOKUP(Table15[[#This Row],[ROUTE]],DEMAND!A:F,6,FALSE),0)</f>
        <v>0</v>
      </c>
      <c r="O838" s="16">
        <f>IFERROR(ROUNDDOWN(Table15[[#This Row],[R-DEMAND]]/1706,0),0)</f>
        <v>0</v>
      </c>
      <c r="P838" s="16">
        <f>IFERROR(Table15[[#This Row],[ADD ACC]]*Table15[[#This Row],[RT TIME 
(380-800)]],0)</f>
        <v>0</v>
      </c>
      <c r="Q838" s="415">
        <f>IFERROR(VLOOKUP(Table15[[#This Row],[ROUTE]],PRICING!A:B,2,FALSE),0)</f>
        <v>0</v>
      </c>
      <c r="R838" s="235">
        <f>IFERROR(Table15[[#This Row],[C_DEMAND]]-Table15[[#This Row],[R-DEMAND]],0)</f>
        <v>0</v>
      </c>
      <c r="S838" s="408">
        <f t="shared" si="13"/>
        <v>0</v>
      </c>
      <c r="T838" s="419">
        <f>Table15[[#This Row],[R-DEMAND]]-(Table15[[#This Row],[ADD ACC]]*1706)</f>
        <v>0</v>
      </c>
      <c r="U838" s="419">
        <f>ROUNDDOWN(Table15[[#This Row],[Column1]]/1360,0)</f>
        <v>0</v>
      </c>
      <c r="V838" s="419"/>
      <c r="W838" s="349"/>
      <c r="X838" s="349"/>
      <c r="Y838" s="349"/>
      <c r="Z838" s="349"/>
    </row>
    <row r="839" spans="1:26" ht="15.75" customHeight="1" x14ac:dyDescent="0.25">
      <c r="A839" s="210" t="s">
        <v>15120</v>
      </c>
      <c r="B839" s="204" t="s">
        <v>4464</v>
      </c>
      <c r="C839" s="204"/>
      <c r="D839" s="205">
        <v>2</v>
      </c>
      <c r="E839" s="204" t="s">
        <v>1144</v>
      </c>
      <c r="F839" s="204" t="str">
        <f>VLOOKUP(E839,Table10[[COUNTRY NAME]:[CONTINENT CODE]],3,FALSE)</f>
        <v>SA</v>
      </c>
      <c r="G839" s="206" t="s">
        <v>13153</v>
      </c>
      <c r="H839" s="207">
        <v>15385</v>
      </c>
      <c r="I839" s="208">
        <v>36.25</v>
      </c>
      <c r="J839" s="345"/>
      <c r="K839" s="345">
        <f>IFERROR(Table15[[#This Row],[ROUTE $]]/Table15[[#This Row],[E - DEMAND]],0)</f>
        <v>0</v>
      </c>
      <c r="L839" s="204"/>
      <c r="M839" s="412">
        <f>IFERROR(VLOOKUP(Table15[[#This Row],[ROUTE]],DEMAND!A:F,5,FALSE),0)</f>
        <v>0</v>
      </c>
      <c r="N839" s="16">
        <f>IFERROR(VLOOKUP(Table15[[#This Row],[ROUTE]],DEMAND!A:F,6,FALSE),0)</f>
        <v>0</v>
      </c>
      <c r="O839" s="16">
        <f>IFERROR(ROUNDDOWN(Table15[[#This Row],[R-DEMAND]]/1706,0),0)</f>
        <v>0</v>
      </c>
      <c r="P839" s="16">
        <f>IFERROR(Table15[[#This Row],[ADD ACC]]*Table15[[#This Row],[RT TIME 
(380-800)]],0)</f>
        <v>0</v>
      </c>
      <c r="Q839" s="415">
        <f>IFERROR(VLOOKUP(Table15[[#This Row],[ROUTE]],PRICING!A:B,2,FALSE),0)</f>
        <v>0</v>
      </c>
      <c r="R839" s="235">
        <f>IFERROR(Table15[[#This Row],[C_DEMAND]]-Table15[[#This Row],[R-DEMAND]],0)</f>
        <v>0</v>
      </c>
      <c r="S839" s="408">
        <f t="shared" si="13"/>
        <v>0</v>
      </c>
      <c r="T839" s="419">
        <f>Table15[[#This Row],[R-DEMAND]]-(Table15[[#This Row],[ADD ACC]]*1706)</f>
        <v>0</v>
      </c>
      <c r="U839" s="419">
        <f>ROUNDDOWN(Table15[[#This Row],[Column1]]/1360,0)</f>
        <v>0</v>
      </c>
      <c r="V839" s="419"/>
      <c r="W839" s="349"/>
      <c r="X839" s="349"/>
      <c r="Y839" s="349"/>
      <c r="Z839" s="349"/>
    </row>
    <row r="840" spans="1:26" ht="15.75" customHeight="1" x14ac:dyDescent="0.25">
      <c r="A840" s="341" t="s">
        <v>18260</v>
      </c>
      <c r="B840" s="212" t="s">
        <v>2740</v>
      </c>
      <c r="C840" s="212"/>
      <c r="D840" s="226">
        <v>2</v>
      </c>
      <c r="E840" s="226" t="s">
        <v>2738</v>
      </c>
      <c r="F840" s="212" t="s">
        <v>12671</v>
      </c>
      <c r="G840" s="226" t="s">
        <v>16874</v>
      </c>
      <c r="H840" s="343">
        <v>6112</v>
      </c>
      <c r="I840" s="342"/>
      <c r="J840" s="346"/>
      <c r="K840" s="345">
        <f>IFERROR(Table15[[#This Row],[ROUTE $]]/Table15[[#This Row],[E - DEMAND]],0)</f>
        <v>0</v>
      </c>
      <c r="L840" s="212"/>
      <c r="M840" s="413">
        <f>IFERROR(VLOOKUP(Table15[[#This Row],[ROUTE]],DEMAND!A:F,5,FALSE),0)</f>
        <v>0</v>
      </c>
      <c r="N840" s="251">
        <f>IFERROR(VLOOKUP(Table15[[#This Row],[ROUTE]],DEMAND!A:F,6,FALSE),0)</f>
        <v>0</v>
      </c>
      <c r="O840" s="349"/>
      <c r="P840" s="349"/>
      <c r="Q840" s="416">
        <f>IFERROR(VLOOKUP(Table15[[#This Row],[ROUTE]],PRICING!A:B,2,FALSE),0)</f>
        <v>0</v>
      </c>
      <c r="R840" s="409">
        <f>IFERROR(Table15[[#This Row],[C_DEMAND]]-Table15[[#This Row],[R-DEMAND]],0)</f>
        <v>0</v>
      </c>
      <c r="S840" s="410">
        <f t="shared" si="13"/>
        <v>0</v>
      </c>
      <c r="T840" s="420">
        <f>Table15[[#This Row],[R-DEMAND]]-(Table15[[#This Row],[ADD ACC]]*1706)</f>
        <v>0</v>
      </c>
      <c r="U840" s="420">
        <f>ROUNDDOWN(Table15[[#This Row],[Column1]]/1360,0)</f>
        <v>0</v>
      </c>
      <c r="V840" s="420"/>
      <c r="W840" s="349"/>
      <c r="X840" s="349"/>
      <c r="Y840" s="349"/>
      <c r="Z840" s="349"/>
    </row>
    <row r="841" spans="1:26" ht="15.75" customHeight="1" x14ac:dyDescent="0.25">
      <c r="A841" s="210" t="s">
        <v>15139</v>
      </c>
      <c r="B841" s="204" t="s">
        <v>2844</v>
      </c>
      <c r="C841" s="204"/>
      <c r="D841" s="205">
        <v>2</v>
      </c>
      <c r="E841" s="204" t="s">
        <v>683</v>
      </c>
      <c r="F841" s="204" t="str">
        <f>VLOOKUP(E841,Table10[[COUNTRY NAME]:[CONTINENT CODE]],3,FALSE)</f>
        <v>NA</v>
      </c>
      <c r="G841" s="206" t="s">
        <v>13188</v>
      </c>
      <c r="H841" s="207">
        <v>14705</v>
      </c>
      <c r="I841" s="208">
        <v>34.75</v>
      </c>
      <c r="J841" s="345"/>
      <c r="K841" s="345">
        <f>IFERROR(Table15[[#This Row],[ROUTE $]]/Table15[[#This Row],[E - DEMAND]],0)</f>
        <v>0</v>
      </c>
      <c r="L841" s="204"/>
      <c r="M841" s="412">
        <f>IFERROR(VLOOKUP(Table15[[#This Row],[ROUTE]],DEMAND!A:F,5,FALSE),0)</f>
        <v>0</v>
      </c>
      <c r="N841" s="16">
        <f>IFERROR(VLOOKUP(Table15[[#This Row],[ROUTE]],DEMAND!A:F,6,FALSE),0)</f>
        <v>0</v>
      </c>
      <c r="O841" s="16">
        <f>IFERROR(ROUNDDOWN(Table15[[#This Row],[R-DEMAND]]/1706,0),0)</f>
        <v>0</v>
      </c>
      <c r="P841" s="16">
        <f>IFERROR(Table15[[#This Row],[ADD ACC]]*Table15[[#This Row],[RT TIME 
(380-800)]],0)</f>
        <v>0</v>
      </c>
      <c r="Q841" s="415">
        <f>IFERROR(VLOOKUP(Table15[[#This Row],[ROUTE]],PRICING!A:B,2,FALSE),0)</f>
        <v>0</v>
      </c>
      <c r="R841" s="235">
        <f>IFERROR(Table15[[#This Row],[C_DEMAND]]-Table15[[#This Row],[R-DEMAND]],0)</f>
        <v>0</v>
      </c>
      <c r="S841" s="408">
        <f t="shared" si="13"/>
        <v>0</v>
      </c>
      <c r="T841" s="419">
        <f>Table15[[#This Row],[R-DEMAND]]-(Table15[[#This Row],[ADD ACC]]*1706)</f>
        <v>0</v>
      </c>
      <c r="U841" s="419">
        <f>ROUNDDOWN(Table15[[#This Row],[Column1]]/1360,0)</f>
        <v>0</v>
      </c>
      <c r="V841" s="419"/>
      <c r="W841" s="349"/>
      <c r="X841" s="349"/>
      <c r="Y841" s="349"/>
      <c r="Z841" s="349"/>
    </row>
    <row r="842" spans="1:26" ht="15.75" customHeight="1" x14ac:dyDescent="0.25">
      <c r="A842" s="210" t="s">
        <v>15129</v>
      </c>
      <c r="B842" s="204" t="s">
        <v>3761</v>
      </c>
      <c r="C842" s="204"/>
      <c r="D842" s="205">
        <v>2</v>
      </c>
      <c r="E842" s="204" t="s">
        <v>530</v>
      </c>
      <c r="F842" s="204" t="str">
        <f>VLOOKUP(E842,Table10[[COUNTRY NAME]:[CONTINENT CODE]],3,FALSE)</f>
        <v>SA</v>
      </c>
      <c r="G842" s="206" t="s">
        <v>11664</v>
      </c>
      <c r="H842" s="207">
        <v>15129</v>
      </c>
      <c r="I842" s="208">
        <v>35.75</v>
      </c>
      <c r="J842" s="345"/>
      <c r="K842" s="345">
        <f>IFERROR(Table15[[#This Row],[ROUTE $]]/Table15[[#This Row],[E - DEMAND]],0)</f>
        <v>0</v>
      </c>
      <c r="L842" s="204"/>
      <c r="M842" s="412">
        <f>IFERROR(VLOOKUP(Table15[[#This Row],[ROUTE]],DEMAND!A:F,5,FALSE),0)</f>
        <v>0</v>
      </c>
      <c r="N842" s="16">
        <f>IFERROR(VLOOKUP(Table15[[#This Row],[ROUTE]],DEMAND!A:F,6,FALSE),0)</f>
        <v>0</v>
      </c>
      <c r="O842" s="16">
        <f>IFERROR(ROUNDDOWN(Table15[[#This Row],[R-DEMAND]]/1706,0),0)</f>
        <v>0</v>
      </c>
      <c r="P842" s="16">
        <f>IFERROR(Table15[[#This Row],[ADD ACC]]*Table15[[#This Row],[RT TIME 
(380-800)]],0)</f>
        <v>0</v>
      </c>
      <c r="Q842" s="415">
        <f>IFERROR(VLOOKUP(Table15[[#This Row],[ROUTE]],PRICING!A:B,2,FALSE),0)</f>
        <v>0</v>
      </c>
      <c r="R842" s="235">
        <f>IFERROR(Table15[[#This Row],[C_DEMAND]]-Table15[[#This Row],[R-DEMAND]],0)</f>
        <v>0</v>
      </c>
      <c r="S842" s="408">
        <f t="shared" si="13"/>
        <v>0</v>
      </c>
      <c r="T842" s="419">
        <f>Table15[[#This Row],[R-DEMAND]]-(Table15[[#This Row],[ADD ACC]]*1706)</f>
        <v>0</v>
      </c>
      <c r="U842" s="419">
        <f>ROUNDDOWN(Table15[[#This Row],[Column1]]/1360,0)</f>
        <v>0</v>
      </c>
      <c r="V842" s="419"/>
      <c r="W842" s="349"/>
      <c r="X842" s="349"/>
      <c r="Y842" s="349"/>
      <c r="Z842" s="349"/>
    </row>
    <row r="843" spans="1:26" ht="15.75" customHeight="1" x14ac:dyDescent="0.25">
      <c r="A843" s="341" t="s">
        <v>18329</v>
      </c>
      <c r="B843" s="212" t="s">
        <v>3493</v>
      </c>
      <c r="C843" s="212"/>
      <c r="D843" s="226">
        <v>2</v>
      </c>
      <c r="E843" s="226" t="s">
        <v>14</v>
      </c>
      <c r="F843" s="212" t="s">
        <v>12670</v>
      </c>
      <c r="G843" s="226" t="s">
        <v>16816</v>
      </c>
      <c r="H843" s="343">
        <v>4068</v>
      </c>
      <c r="I843" s="342"/>
      <c r="J843" s="346"/>
      <c r="K843" s="345">
        <f>IFERROR(Table15[[#This Row],[ROUTE $]]/Table15[[#This Row],[E - DEMAND]],0)</f>
        <v>0</v>
      </c>
      <c r="L843" s="212"/>
      <c r="M843" s="413">
        <f>IFERROR(VLOOKUP(Table15[[#This Row],[ROUTE]],DEMAND!A:F,5,FALSE),0)</f>
        <v>0</v>
      </c>
      <c r="N843" s="251">
        <f>IFERROR(VLOOKUP(Table15[[#This Row],[ROUTE]],DEMAND!A:F,6,FALSE),0)</f>
        <v>0</v>
      </c>
      <c r="O843" s="349"/>
      <c r="P843" s="349"/>
      <c r="Q843" s="416">
        <f>IFERROR(VLOOKUP(Table15[[#This Row],[ROUTE]],PRICING!A:B,2,FALSE),0)</f>
        <v>0</v>
      </c>
      <c r="R843" s="409">
        <f>IFERROR(Table15[[#This Row],[C_DEMAND]]-Table15[[#This Row],[R-DEMAND]],0)</f>
        <v>0</v>
      </c>
      <c r="S843" s="410">
        <f t="shared" si="13"/>
        <v>0</v>
      </c>
      <c r="T843" s="420">
        <f>Table15[[#This Row],[R-DEMAND]]-(Table15[[#This Row],[ADD ACC]]*1706)</f>
        <v>0</v>
      </c>
      <c r="U843" s="420">
        <f>ROUNDDOWN(Table15[[#This Row],[Column1]]/1360,0)</f>
        <v>0</v>
      </c>
      <c r="V843" s="420"/>
      <c r="W843" s="349"/>
      <c r="X843" s="349"/>
      <c r="Y843" s="349"/>
      <c r="Z843" s="349"/>
    </row>
    <row r="844" spans="1:26" ht="15.75" customHeight="1" x14ac:dyDescent="0.25">
      <c r="A844" s="341" t="s">
        <v>18350</v>
      </c>
      <c r="B844" s="212" t="s">
        <v>4156</v>
      </c>
      <c r="C844" s="212"/>
      <c r="D844" s="226">
        <v>2</v>
      </c>
      <c r="E844" s="226" t="s">
        <v>1070</v>
      </c>
      <c r="F844" s="212" t="s">
        <v>12670</v>
      </c>
      <c r="G844" s="226" t="s">
        <v>9344</v>
      </c>
      <c r="H844" s="343">
        <v>2256</v>
      </c>
      <c r="I844" s="342"/>
      <c r="J844" s="346"/>
      <c r="K844" s="345">
        <f>IFERROR(Table15[[#This Row],[ROUTE $]]/Table15[[#This Row],[E - DEMAND]],0)</f>
        <v>0</v>
      </c>
      <c r="L844" s="212"/>
      <c r="M844" s="413">
        <f>IFERROR(VLOOKUP(Table15[[#This Row],[ROUTE]],DEMAND!A:F,5,FALSE),0)</f>
        <v>0</v>
      </c>
      <c r="N844" s="251">
        <f>IFERROR(VLOOKUP(Table15[[#This Row],[ROUTE]],DEMAND!A:F,6,FALSE),0)</f>
        <v>0</v>
      </c>
      <c r="O844" s="349"/>
      <c r="P844" s="349"/>
      <c r="Q844" s="416">
        <f>IFERROR(VLOOKUP(Table15[[#This Row],[ROUTE]],PRICING!A:B,2,FALSE),0)</f>
        <v>0</v>
      </c>
      <c r="R844" s="409">
        <f>IFERROR(Table15[[#This Row],[C_DEMAND]]-Table15[[#This Row],[R-DEMAND]],0)</f>
        <v>0</v>
      </c>
      <c r="S844" s="410">
        <f t="shared" si="13"/>
        <v>0</v>
      </c>
      <c r="T844" s="420">
        <f>Table15[[#This Row],[R-DEMAND]]-(Table15[[#This Row],[ADD ACC]]*1706)</f>
        <v>0</v>
      </c>
      <c r="U844" s="420">
        <f>ROUNDDOWN(Table15[[#This Row],[Column1]]/1360,0)</f>
        <v>0</v>
      </c>
      <c r="V844" s="420"/>
      <c r="W844" s="349"/>
      <c r="X844" s="349"/>
      <c r="Y844" s="349"/>
      <c r="Z844" s="349"/>
    </row>
    <row r="845" spans="1:26" ht="15.75" customHeight="1" x14ac:dyDescent="0.25">
      <c r="A845" s="210" t="s">
        <v>15113</v>
      </c>
      <c r="B845" s="204" t="s">
        <v>178</v>
      </c>
      <c r="C845" s="204"/>
      <c r="D845" s="205">
        <v>2</v>
      </c>
      <c r="E845" s="204" t="s">
        <v>860</v>
      </c>
      <c r="F845" s="204" t="str">
        <f>VLOOKUP(E845,Table10[[COUNTRY NAME]:[CONTINENT CODE]],3,FALSE)</f>
        <v>SA</v>
      </c>
      <c r="G845" s="206" t="s">
        <v>13182</v>
      </c>
      <c r="H845" s="207">
        <v>15553</v>
      </c>
      <c r="I845" s="208">
        <v>36.5</v>
      </c>
      <c r="J845" s="345"/>
      <c r="K845" s="345">
        <f>IFERROR(Table15[[#This Row],[ROUTE $]]/Table15[[#This Row],[E - DEMAND]],0)</f>
        <v>0</v>
      </c>
      <c r="L845" s="204"/>
      <c r="M845" s="412">
        <f>IFERROR(VLOOKUP(Table15[[#This Row],[ROUTE]],DEMAND!A:F,5,FALSE),0)</f>
        <v>0</v>
      </c>
      <c r="N845" s="16">
        <f>IFERROR(VLOOKUP(Table15[[#This Row],[ROUTE]],DEMAND!A:F,6,FALSE),0)</f>
        <v>0</v>
      </c>
      <c r="O845" s="16">
        <f>IFERROR(ROUNDDOWN(Table15[[#This Row],[R-DEMAND]]/1706,0),0)</f>
        <v>0</v>
      </c>
      <c r="P845" s="16">
        <f>IFERROR(Table15[[#This Row],[ADD ACC]]*Table15[[#This Row],[RT TIME 
(380-800)]],0)</f>
        <v>0</v>
      </c>
      <c r="Q845" s="415">
        <f>IFERROR(VLOOKUP(Table15[[#This Row],[ROUTE]],PRICING!A:B,2,FALSE),0)</f>
        <v>0</v>
      </c>
      <c r="R845" s="235">
        <f>IFERROR(Table15[[#This Row],[C_DEMAND]]-Table15[[#This Row],[R-DEMAND]],0)</f>
        <v>0</v>
      </c>
      <c r="S845" s="408">
        <f t="shared" si="13"/>
        <v>0</v>
      </c>
      <c r="T845" s="419">
        <f>Table15[[#This Row],[R-DEMAND]]-(Table15[[#This Row],[ADD ACC]]*1706)</f>
        <v>0</v>
      </c>
      <c r="U845" s="419">
        <f>ROUNDDOWN(Table15[[#This Row],[Column1]]/1360,0)</f>
        <v>0</v>
      </c>
      <c r="V845" s="419"/>
      <c r="W845" s="349"/>
      <c r="X845" s="349"/>
      <c r="Y845" s="349"/>
      <c r="Z845" s="349"/>
    </row>
    <row r="846" spans="1:26" ht="15.75" customHeight="1" x14ac:dyDescent="0.25">
      <c r="A846" s="341" t="s">
        <v>18354</v>
      </c>
      <c r="B846" s="212" t="s">
        <v>3821</v>
      </c>
      <c r="C846" s="212"/>
      <c r="D846" s="226">
        <v>2</v>
      </c>
      <c r="E846" s="226" t="s">
        <v>1070</v>
      </c>
      <c r="F846" s="212" t="s">
        <v>12670</v>
      </c>
      <c r="G846" s="226" t="s">
        <v>16815</v>
      </c>
      <c r="H846" s="343">
        <v>1373</v>
      </c>
      <c r="I846" s="342"/>
      <c r="J846" s="346"/>
      <c r="K846" s="345">
        <f>IFERROR(Table15[[#This Row],[ROUTE $]]/Table15[[#This Row],[E - DEMAND]],0)</f>
        <v>0</v>
      </c>
      <c r="L846" s="212"/>
      <c r="M846" s="413">
        <f>IFERROR(VLOOKUP(Table15[[#This Row],[ROUTE]],DEMAND!A:F,5,FALSE),0)</f>
        <v>0</v>
      </c>
      <c r="N846" s="251">
        <f>IFERROR(VLOOKUP(Table15[[#This Row],[ROUTE]],DEMAND!A:F,6,FALSE),0)</f>
        <v>0</v>
      </c>
      <c r="O846" s="349"/>
      <c r="P846" s="349"/>
      <c r="Q846" s="416">
        <f>IFERROR(VLOOKUP(Table15[[#This Row],[ROUTE]],PRICING!A:B,2,FALSE),0)</f>
        <v>0</v>
      </c>
      <c r="R846" s="409">
        <f>IFERROR(Table15[[#This Row],[C_DEMAND]]-Table15[[#This Row],[R-DEMAND]],0)</f>
        <v>0</v>
      </c>
      <c r="S846" s="410">
        <f t="shared" si="13"/>
        <v>0</v>
      </c>
      <c r="T846" s="420">
        <f>Table15[[#This Row],[R-DEMAND]]-(Table15[[#This Row],[ADD ACC]]*1706)</f>
        <v>0</v>
      </c>
      <c r="U846" s="420">
        <f>ROUNDDOWN(Table15[[#This Row],[Column1]]/1360,0)</f>
        <v>0</v>
      </c>
      <c r="V846" s="420"/>
      <c r="W846" s="349"/>
      <c r="X846" s="349"/>
      <c r="Y846" s="349"/>
      <c r="Z846" s="349"/>
    </row>
    <row r="847" spans="1:26" ht="15.75" customHeight="1" x14ac:dyDescent="0.25">
      <c r="A847" s="210" t="s">
        <v>15153</v>
      </c>
      <c r="B847" s="204" t="s">
        <v>4391</v>
      </c>
      <c r="C847" s="204"/>
      <c r="D847" s="205">
        <v>2</v>
      </c>
      <c r="E847" s="204" t="s">
        <v>683</v>
      </c>
      <c r="F847" s="204" t="str">
        <f>VLOOKUP(E847,Table10[[COUNTRY NAME]:[CONTINENT CODE]],3,FALSE)</f>
        <v>NA</v>
      </c>
      <c r="G847" s="206" t="s">
        <v>13192</v>
      </c>
      <c r="H847" s="207">
        <v>14458</v>
      </c>
      <c r="I847" s="208">
        <v>34.25</v>
      </c>
      <c r="J847" s="345"/>
      <c r="K847" s="345">
        <f>IFERROR(Table15[[#This Row],[ROUTE $]]/Table15[[#This Row],[E - DEMAND]],0)</f>
        <v>0</v>
      </c>
      <c r="L847" s="204"/>
      <c r="M847" s="412">
        <f>IFERROR(VLOOKUP(Table15[[#This Row],[ROUTE]],DEMAND!A:F,5,FALSE),0)</f>
        <v>0</v>
      </c>
      <c r="N847" s="16">
        <f>IFERROR(VLOOKUP(Table15[[#This Row],[ROUTE]],DEMAND!A:F,6,FALSE),0)</f>
        <v>0</v>
      </c>
      <c r="O847" s="16">
        <f>IFERROR(ROUNDDOWN(Table15[[#This Row],[R-DEMAND]]/1706,0),0)</f>
        <v>0</v>
      </c>
      <c r="P847" s="16">
        <f>IFERROR(Table15[[#This Row],[ADD ACC]]*Table15[[#This Row],[RT TIME 
(380-800)]],0)</f>
        <v>0</v>
      </c>
      <c r="Q847" s="415">
        <f>IFERROR(VLOOKUP(Table15[[#This Row],[ROUTE]],PRICING!A:B,2,FALSE),0)</f>
        <v>0</v>
      </c>
      <c r="R847" s="235">
        <f>IFERROR(Table15[[#This Row],[C_DEMAND]]-Table15[[#This Row],[R-DEMAND]],0)</f>
        <v>0</v>
      </c>
      <c r="S847" s="408">
        <f t="shared" si="13"/>
        <v>0</v>
      </c>
      <c r="T847" s="419">
        <f>Table15[[#This Row],[R-DEMAND]]-(Table15[[#This Row],[ADD ACC]]*1706)</f>
        <v>0</v>
      </c>
      <c r="U847" s="419">
        <f>ROUNDDOWN(Table15[[#This Row],[Column1]]/1360,0)</f>
        <v>0</v>
      </c>
      <c r="V847" s="419"/>
      <c r="W847" s="349"/>
      <c r="X847" s="349"/>
      <c r="Y847" s="349"/>
      <c r="Z847" s="349"/>
    </row>
    <row r="848" spans="1:26" ht="15.75" customHeight="1" x14ac:dyDescent="0.25">
      <c r="A848" s="210" t="s">
        <v>15152</v>
      </c>
      <c r="B848" s="204" t="s">
        <v>3452</v>
      </c>
      <c r="C848" s="204"/>
      <c r="D848" s="205">
        <v>2</v>
      </c>
      <c r="E848" s="204" t="s">
        <v>683</v>
      </c>
      <c r="F848" s="204" t="str">
        <f>VLOOKUP(E848,Table10[[COUNTRY NAME]:[CONTINENT CODE]],3,FALSE)</f>
        <v>NA</v>
      </c>
      <c r="G848" s="206" t="s">
        <v>13193</v>
      </c>
      <c r="H848" s="207">
        <v>14496</v>
      </c>
      <c r="I848" s="208">
        <v>34.25</v>
      </c>
      <c r="J848" s="345"/>
      <c r="K848" s="345">
        <f>IFERROR(Table15[[#This Row],[ROUTE $]]/Table15[[#This Row],[E - DEMAND]],0)</f>
        <v>0</v>
      </c>
      <c r="L848" s="204"/>
      <c r="M848" s="412">
        <f>IFERROR(VLOOKUP(Table15[[#This Row],[ROUTE]],DEMAND!A:F,5,FALSE),0)</f>
        <v>0</v>
      </c>
      <c r="N848" s="16">
        <f>IFERROR(VLOOKUP(Table15[[#This Row],[ROUTE]],DEMAND!A:F,6,FALSE),0)</f>
        <v>0</v>
      </c>
      <c r="O848" s="16">
        <f>IFERROR(ROUNDDOWN(Table15[[#This Row],[R-DEMAND]]/1706,0),0)</f>
        <v>0</v>
      </c>
      <c r="P848" s="16">
        <f>IFERROR(Table15[[#This Row],[ADD ACC]]*Table15[[#This Row],[RT TIME 
(380-800)]],0)</f>
        <v>0</v>
      </c>
      <c r="Q848" s="415">
        <f>IFERROR(VLOOKUP(Table15[[#This Row],[ROUTE]],PRICING!A:B,2,FALSE),0)</f>
        <v>0</v>
      </c>
      <c r="R848" s="235">
        <f>IFERROR(Table15[[#This Row],[C_DEMAND]]-Table15[[#This Row],[R-DEMAND]],0)</f>
        <v>0</v>
      </c>
      <c r="S848" s="408">
        <f t="shared" si="13"/>
        <v>0</v>
      </c>
      <c r="T848" s="419">
        <f>Table15[[#This Row],[R-DEMAND]]-(Table15[[#This Row],[ADD ACC]]*1706)</f>
        <v>0</v>
      </c>
      <c r="U848" s="419">
        <f>ROUNDDOWN(Table15[[#This Row],[Column1]]/1360,0)</f>
        <v>0</v>
      </c>
      <c r="V848" s="419"/>
      <c r="W848" s="349"/>
      <c r="X848" s="349"/>
      <c r="Y848" s="349"/>
      <c r="Z848" s="349"/>
    </row>
    <row r="849" spans="1:26" ht="15.75" customHeight="1" x14ac:dyDescent="0.25">
      <c r="A849" s="210" t="s">
        <v>15147</v>
      </c>
      <c r="B849" s="204" t="s">
        <v>4729</v>
      </c>
      <c r="C849" s="204"/>
      <c r="D849" s="205">
        <v>2</v>
      </c>
      <c r="E849" s="204" t="s">
        <v>683</v>
      </c>
      <c r="F849" s="204" t="str">
        <f>VLOOKUP(E849,Table10[[COUNTRY NAME]:[CONTINENT CODE]],3,FALSE)</f>
        <v>NA</v>
      </c>
      <c r="G849" s="206" t="s">
        <v>13187</v>
      </c>
      <c r="H849" s="207">
        <v>14567</v>
      </c>
      <c r="I849" s="208">
        <v>34.5</v>
      </c>
      <c r="J849" s="345"/>
      <c r="K849" s="345">
        <f>IFERROR(Table15[[#This Row],[ROUTE $]]/Table15[[#This Row],[E - DEMAND]],0)</f>
        <v>0</v>
      </c>
      <c r="L849" s="204"/>
      <c r="M849" s="412">
        <f>IFERROR(VLOOKUP(Table15[[#This Row],[ROUTE]],DEMAND!A:F,5,FALSE),0)</f>
        <v>0</v>
      </c>
      <c r="N849" s="16">
        <f>IFERROR(VLOOKUP(Table15[[#This Row],[ROUTE]],DEMAND!A:F,6,FALSE),0)</f>
        <v>0</v>
      </c>
      <c r="O849" s="16">
        <f>IFERROR(ROUNDDOWN(Table15[[#This Row],[R-DEMAND]]/1706,0),0)</f>
        <v>0</v>
      </c>
      <c r="P849" s="16">
        <f>IFERROR(Table15[[#This Row],[ADD ACC]]*Table15[[#This Row],[RT TIME 
(380-800)]],0)</f>
        <v>0</v>
      </c>
      <c r="Q849" s="415">
        <f>IFERROR(VLOOKUP(Table15[[#This Row],[ROUTE]],PRICING!A:B,2,FALSE),0)</f>
        <v>0</v>
      </c>
      <c r="R849" s="235">
        <f>IFERROR(Table15[[#This Row],[C_DEMAND]]-Table15[[#This Row],[R-DEMAND]],0)</f>
        <v>0</v>
      </c>
      <c r="S849" s="408">
        <f t="shared" si="13"/>
        <v>0</v>
      </c>
      <c r="T849" s="419">
        <f>Table15[[#This Row],[R-DEMAND]]-(Table15[[#This Row],[ADD ACC]]*1706)</f>
        <v>0</v>
      </c>
      <c r="U849" s="419">
        <f>ROUNDDOWN(Table15[[#This Row],[Column1]]/1360,0)</f>
        <v>0</v>
      </c>
      <c r="V849" s="419"/>
      <c r="W849" s="349"/>
      <c r="X849" s="349"/>
      <c r="Y849" s="349"/>
      <c r="Z849" s="349"/>
    </row>
    <row r="850" spans="1:26" ht="15.75" customHeight="1" x14ac:dyDescent="0.25">
      <c r="A850" s="210" t="s">
        <v>15219</v>
      </c>
      <c r="B850" s="204" t="s">
        <v>3419</v>
      </c>
      <c r="C850" s="204"/>
      <c r="D850" s="205">
        <v>2</v>
      </c>
      <c r="E850" s="204" t="s">
        <v>3417</v>
      </c>
      <c r="F850" s="204" t="str">
        <f>VLOOKUP(E850,Table10[[COUNTRY NAME]:[CONTINENT CODE]],3,FALSE)</f>
        <v>NA</v>
      </c>
      <c r="G850" s="206" t="s">
        <v>13194</v>
      </c>
      <c r="H850" s="207">
        <v>13696</v>
      </c>
      <c r="I850" s="208">
        <v>32.5</v>
      </c>
      <c r="J850" s="345"/>
      <c r="K850" s="345">
        <f>IFERROR(Table15[[#This Row],[ROUTE $]]/Table15[[#This Row],[E - DEMAND]],0)</f>
        <v>0</v>
      </c>
      <c r="L850" s="204"/>
      <c r="M850" s="412">
        <f>IFERROR(VLOOKUP(Table15[[#This Row],[ROUTE]],DEMAND!A:F,5,FALSE),0)</f>
        <v>0</v>
      </c>
      <c r="N850" s="16">
        <f>IFERROR(VLOOKUP(Table15[[#This Row],[ROUTE]],DEMAND!A:F,6,FALSE),0)</f>
        <v>0</v>
      </c>
      <c r="O850" s="16">
        <f>IFERROR(ROUNDDOWN(Table15[[#This Row],[R-DEMAND]]/1706,0),0)</f>
        <v>0</v>
      </c>
      <c r="P850" s="16">
        <f>IFERROR(Table15[[#This Row],[ADD ACC]]*Table15[[#This Row],[RT TIME 
(380-800)]],0)</f>
        <v>0</v>
      </c>
      <c r="Q850" s="415">
        <f>IFERROR(VLOOKUP(Table15[[#This Row],[ROUTE]],PRICING!A:B,2,FALSE),0)</f>
        <v>0</v>
      </c>
      <c r="R850" s="235">
        <f>IFERROR(Table15[[#This Row],[C_DEMAND]]-Table15[[#This Row],[R-DEMAND]],0)</f>
        <v>0</v>
      </c>
      <c r="S850" s="408">
        <f t="shared" si="13"/>
        <v>0</v>
      </c>
      <c r="T850" s="419">
        <f>Table15[[#This Row],[R-DEMAND]]-(Table15[[#This Row],[ADD ACC]]*1706)</f>
        <v>0</v>
      </c>
      <c r="U850" s="419">
        <f>ROUNDDOWN(Table15[[#This Row],[Column1]]/1360,0)</f>
        <v>0</v>
      </c>
      <c r="V850" s="419"/>
      <c r="W850" s="349"/>
      <c r="X850" s="349"/>
      <c r="Y850" s="349"/>
      <c r="Z850" s="349"/>
    </row>
    <row r="851" spans="1:26" ht="15.75" customHeight="1" x14ac:dyDescent="0.25">
      <c r="A851" s="210" t="s">
        <v>15185</v>
      </c>
      <c r="B851" s="204" t="s">
        <v>2793</v>
      </c>
      <c r="C851" s="204"/>
      <c r="D851" s="205">
        <v>2</v>
      </c>
      <c r="E851" s="204" t="s">
        <v>2791</v>
      </c>
      <c r="F851" s="204" t="str">
        <f>VLOOKUP(E851,Table10[[COUNTRY NAME]:[CONTINENT CODE]],3,FALSE)</f>
        <v>NA</v>
      </c>
      <c r="G851" s="206" t="s">
        <v>13196</v>
      </c>
      <c r="H851" s="207">
        <v>14117</v>
      </c>
      <c r="I851" s="208">
        <v>33.5</v>
      </c>
      <c r="J851" s="345"/>
      <c r="K851" s="345">
        <f>IFERROR(Table15[[#This Row],[ROUTE $]]/Table15[[#This Row],[E - DEMAND]],0)</f>
        <v>0</v>
      </c>
      <c r="L851" s="204"/>
      <c r="M851" s="412">
        <f>IFERROR(VLOOKUP(Table15[[#This Row],[ROUTE]],DEMAND!A:F,5,FALSE),0)</f>
        <v>0</v>
      </c>
      <c r="N851" s="16">
        <f>IFERROR(VLOOKUP(Table15[[#This Row],[ROUTE]],DEMAND!A:F,6,FALSE),0)</f>
        <v>0</v>
      </c>
      <c r="O851" s="16">
        <f>IFERROR(ROUNDDOWN(Table15[[#This Row],[R-DEMAND]]/1706,0),0)</f>
        <v>0</v>
      </c>
      <c r="P851" s="16">
        <f>IFERROR(Table15[[#This Row],[ADD ACC]]*Table15[[#This Row],[RT TIME 
(380-800)]],0)</f>
        <v>0</v>
      </c>
      <c r="Q851" s="415">
        <f>IFERROR(VLOOKUP(Table15[[#This Row],[ROUTE]],PRICING!A:B,2,FALSE),0)</f>
        <v>0</v>
      </c>
      <c r="R851" s="235">
        <f>IFERROR(Table15[[#This Row],[C_DEMAND]]-Table15[[#This Row],[R-DEMAND]],0)</f>
        <v>0</v>
      </c>
      <c r="S851" s="408">
        <f t="shared" si="13"/>
        <v>0</v>
      </c>
      <c r="T851" s="419">
        <f>Table15[[#This Row],[R-DEMAND]]-(Table15[[#This Row],[ADD ACC]]*1706)</f>
        <v>0</v>
      </c>
      <c r="U851" s="419">
        <f>ROUNDDOWN(Table15[[#This Row],[Column1]]/1360,0)</f>
        <v>0</v>
      </c>
      <c r="V851" s="419"/>
      <c r="W851" s="349"/>
      <c r="X851" s="349"/>
      <c r="Y851" s="349"/>
      <c r="Z851" s="349"/>
    </row>
    <row r="852" spans="1:26" ht="15.75" customHeight="1" x14ac:dyDescent="0.25">
      <c r="A852" s="210" t="s">
        <v>15186</v>
      </c>
      <c r="B852" s="204" t="s">
        <v>3889</v>
      </c>
      <c r="C852" s="204"/>
      <c r="D852" s="205">
        <v>2</v>
      </c>
      <c r="E852" s="204" t="s">
        <v>2791</v>
      </c>
      <c r="F852" s="204" t="str">
        <f>VLOOKUP(E852,Table10[[COUNTRY NAME]:[CONTINENT CODE]],3,FALSE)</f>
        <v>NA</v>
      </c>
      <c r="G852" s="206" t="s">
        <v>13198</v>
      </c>
      <c r="H852" s="207">
        <v>14117</v>
      </c>
      <c r="I852" s="208">
        <v>33.5</v>
      </c>
      <c r="J852" s="345"/>
      <c r="K852" s="345">
        <f>IFERROR(Table15[[#This Row],[ROUTE $]]/Table15[[#This Row],[E - DEMAND]],0)</f>
        <v>0</v>
      </c>
      <c r="L852" s="204"/>
      <c r="M852" s="412">
        <f>IFERROR(VLOOKUP(Table15[[#This Row],[ROUTE]],DEMAND!A:F,5,FALSE),0)</f>
        <v>0</v>
      </c>
      <c r="N852" s="16">
        <f>IFERROR(VLOOKUP(Table15[[#This Row],[ROUTE]],DEMAND!A:F,6,FALSE),0)</f>
        <v>0</v>
      </c>
      <c r="O852" s="16">
        <f>IFERROR(ROUNDDOWN(Table15[[#This Row],[R-DEMAND]]/1706,0),0)</f>
        <v>0</v>
      </c>
      <c r="P852" s="16">
        <f>IFERROR(Table15[[#This Row],[ADD ACC]]*Table15[[#This Row],[RT TIME 
(380-800)]],0)</f>
        <v>0</v>
      </c>
      <c r="Q852" s="415">
        <f>IFERROR(VLOOKUP(Table15[[#This Row],[ROUTE]],PRICING!A:B,2,FALSE),0)</f>
        <v>0</v>
      </c>
      <c r="R852" s="235">
        <f>IFERROR(Table15[[#This Row],[C_DEMAND]]-Table15[[#This Row],[R-DEMAND]],0)</f>
        <v>0</v>
      </c>
      <c r="S852" s="408">
        <f t="shared" si="13"/>
        <v>0</v>
      </c>
      <c r="T852" s="419">
        <f>Table15[[#This Row],[R-DEMAND]]-(Table15[[#This Row],[ADD ACC]]*1706)</f>
        <v>0</v>
      </c>
      <c r="U852" s="419">
        <f>ROUNDDOWN(Table15[[#This Row],[Column1]]/1360,0)</f>
        <v>0</v>
      </c>
      <c r="V852" s="419"/>
      <c r="W852" s="349"/>
      <c r="X852" s="349"/>
      <c r="Y852" s="349"/>
      <c r="Z852" s="349"/>
    </row>
    <row r="853" spans="1:26" ht="15.75" customHeight="1" x14ac:dyDescent="0.25">
      <c r="A853" s="210" t="s">
        <v>15180</v>
      </c>
      <c r="B853" s="204" t="s">
        <v>4675</v>
      </c>
      <c r="C853" s="204"/>
      <c r="D853" s="205">
        <v>2</v>
      </c>
      <c r="E853" s="204" t="s">
        <v>2791</v>
      </c>
      <c r="F853" s="204" t="str">
        <f>VLOOKUP(E853,Table10[[COUNTRY NAME]:[CONTINENT CODE]],3,FALSE)</f>
        <v>NA</v>
      </c>
      <c r="G853" s="206" t="s">
        <v>13195</v>
      </c>
      <c r="H853" s="207">
        <v>14141</v>
      </c>
      <c r="I853" s="208">
        <v>33.5</v>
      </c>
      <c r="J853" s="345"/>
      <c r="K853" s="345">
        <f>IFERROR(Table15[[#This Row],[ROUTE $]]/Table15[[#This Row],[E - DEMAND]],0)</f>
        <v>0</v>
      </c>
      <c r="L853" s="204"/>
      <c r="M853" s="412">
        <f>IFERROR(VLOOKUP(Table15[[#This Row],[ROUTE]],DEMAND!A:F,5,FALSE),0)</f>
        <v>0</v>
      </c>
      <c r="N853" s="16">
        <f>IFERROR(VLOOKUP(Table15[[#This Row],[ROUTE]],DEMAND!A:F,6,FALSE),0)</f>
        <v>0</v>
      </c>
      <c r="O853" s="16">
        <f>IFERROR(ROUNDDOWN(Table15[[#This Row],[R-DEMAND]]/1706,0),0)</f>
        <v>0</v>
      </c>
      <c r="P853" s="16">
        <f>IFERROR(Table15[[#This Row],[ADD ACC]]*Table15[[#This Row],[RT TIME 
(380-800)]],0)</f>
        <v>0</v>
      </c>
      <c r="Q853" s="415">
        <f>IFERROR(VLOOKUP(Table15[[#This Row],[ROUTE]],PRICING!A:B,2,FALSE),0)</f>
        <v>0</v>
      </c>
      <c r="R853" s="235">
        <f>IFERROR(Table15[[#This Row],[C_DEMAND]]-Table15[[#This Row],[R-DEMAND]],0)</f>
        <v>0</v>
      </c>
      <c r="S853" s="408">
        <f t="shared" si="13"/>
        <v>0</v>
      </c>
      <c r="T853" s="419">
        <f>Table15[[#This Row],[R-DEMAND]]-(Table15[[#This Row],[ADD ACC]]*1706)</f>
        <v>0</v>
      </c>
      <c r="U853" s="419">
        <f>ROUNDDOWN(Table15[[#This Row],[Column1]]/1360,0)</f>
        <v>0</v>
      </c>
      <c r="V853" s="419"/>
      <c r="W853" s="349"/>
      <c r="X853" s="349"/>
      <c r="Y853" s="349"/>
      <c r="Z853" s="349"/>
    </row>
    <row r="854" spans="1:26" ht="15.75" customHeight="1" x14ac:dyDescent="0.25">
      <c r="A854" s="341" t="s">
        <v>18141</v>
      </c>
      <c r="B854" s="212" t="s">
        <v>3797</v>
      </c>
      <c r="C854" s="212"/>
      <c r="D854" s="226">
        <v>2</v>
      </c>
      <c r="E854" s="226" t="s">
        <v>3795</v>
      </c>
      <c r="F854" s="212" t="s">
        <v>12688</v>
      </c>
      <c r="G854" s="226" t="s">
        <v>17026</v>
      </c>
      <c r="H854" s="343">
        <v>13966</v>
      </c>
      <c r="I854" s="342"/>
      <c r="J854" s="346"/>
      <c r="K854" s="345">
        <f>IFERROR(Table15[[#This Row],[ROUTE $]]/Table15[[#This Row],[E - DEMAND]],0)</f>
        <v>0</v>
      </c>
      <c r="L854" s="212"/>
      <c r="M854" s="413">
        <f>IFERROR(VLOOKUP(Table15[[#This Row],[ROUTE]],DEMAND!A:F,5,FALSE),0)</f>
        <v>0</v>
      </c>
      <c r="N854" s="251">
        <f>IFERROR(VLOOKUP(Table15[[#This Row],[ROUTE]],DEMAND!A:F,6,FALSE),0)</f>
        <v>0</v>
      </c>
      <c r="O854" s="349"/>
      <c r="P854" s="349"/>
      <c r="Q854" s="416">
        <f>IFERROR(VLOOKUP(Table15[[#This Row],[ROUTE]],PRICING!A:B,2,FALSE),0)</f>
        <v>0</v>
      </c>
      <c r="R854" s="409">
        <f>IFERROR(Table15[[#This Row],[C_DEMAND]]-Table15[[#This Row],[R-DEMAND]],0)</f>
        <v>0</v>
      </c>
      <c r="S854" s="410">
        <f t="shared" si="13"/>
        <v>0</v>
      </c>
      <c r="T854" s="420">
        <f>Table15[[#This Row],[R-DEMAND]]-(Table15[[#This Row],[ADD ACC]]*1706)</f>
        <v>0</v>
      </c>
      <c r="U854" s="420">
        <f>ROUNDDOWN(Table15[[#This Row],[Column1]]/1360,0)</f>
        <v>0</v>
      </c>
      <c r="V854" s="420"/>
      <c r="W854" s="349"/>
      <c r="X854" s="349"/>
      <c r="Y854" s="349"/>
      <c r="Z854" s="349"/>
    </row>
    <row r="855" spans="1:26" ht="15.75" customHeight="1" x14ac:dyDescent="0.25">
      <c r="A855" s="341" t="s">
        <v>18342</v>
      </c>
      <c r="B855" s="212" t="s">
        <v>2529</v>
      </c>
      <c r="C855" s="212"/>
      <c r="D855" s="226">
        <v>2</v>
      </c>
      <c r="E855" s="226" t="s">
        <v>2527</v>
      </c>
      <c r="F855" s="212" t="s">
        <v>12671</v>
      </c>
      <c r="G855" s="226" t="s">
        <v>16850</v>
      </c>
      <c r="H855" s="343">
        <v>3496</v>
      </c>
      <c r="I855" s="342"/>
      <c r="J855" s="346"/>
      <c r="K855" s="345">
        <f>IFERROR(Table15[[#This Row],[ROUTE $]]/Table15[[#This Row],[E - DEMAND]],0)</f>
        <v>0</v>
      </c>
      <c r="L855" s="212"/>
      <c r="M855" s="413">
        <f>IFERROR(VLOOKUP(Table15[[#This Row],[ROUTE]],DEMAND!A:F,5,FALSE),0)</f>
        <v>0</v>
      </c>
      <c r="N855" s="251">
        <f>IFERROR(VLOOKUP(Table15[[#This Row],[ROUTE]],DEMAND!A:F,6,FALSE),0)</f>
        <v>0</v>
      </c>
      <c r="O855" s="349"/>
      <c r="P855" s="349"/>
      <c r="Q855" s="416">
        <f>IFERROR(VLOOKUP(Table15[[#This Row],[ROUTE]],PRICING!A:B,2,FALSE),0)</f>
        <v>0</v>
      </c>
      <c r="R855" s="409">
        <f>IFERROR(Table15[[#This Row],[C_DEMAND]]-Table15[[#This Row],[R-DEMAND]],0)</f>
        <v>0</v>
      </c>
      <c r="S855" s="410">
        <f t="shared" si="13"/>
        <v>0</v>
      </c>
      <c r="T855" s="420">
        <f>Table15[[#This Row],[R-DEMAND]]-(Table15[[#This Row],[ADD ACC]]*1706)</f>
        <v>0</v>
      </c>
      <c r="U855" s="420">
        <f>ROUNDDOWN(Table15[[#This Row],[Column1]]/1360,0)</f>
        <v>0</v>
      </c>
      <c r="V855" s="420"/>
      <c r="W855" s="349"/>
      <c r="X855" s="349"/>
      <c r="Y855" s="349"/>
      <c r="Z855" s="349"/>
    </row>
    <row r="856" spans="1:26" ht="15.75" customHeight="1" x14ac:dyDescent="0.25">
      <c r="A856" s="210" t="s">
        <v>15112</v>
      </c>
      <c r="B856" s="204" t="s">
        <v>3461</v>
      </c>
      <c r="C856" s="204"/>
      <c r="D856" s="205">
        <v>2</v>
      </c>
      <c r="E856" s="204" t="s">
        <v>3350</v>
      </c>
      <c r="F856" s="204" t="str">
        <f>VLOOKUP(E856,Table10[[COUNTRY NAME]:[CONTINENT CODE]],3,FALSE)</f>
        <v>NA</v>
      </c>
      <c r="G856" s="206" t="s">
        <v>13211</v>
      </c>
      <c r="H856" s="207">
        <v>15556</v>
      </c>
      <c r="I856" s="208">
        <v>36.5</v>
      </c>
      <c r="J856" s="345"/>
      <c r="K856" s="345">
        <f>IFERROR(Table15[[#This Row],[ROUTE $]]/Table15[[#This Row],[E - DEMAND]],0)</f>
        <v>0</v>
      </c>
      <c r="L856" s="204"/>
      <c r="M856" s="412">
        <f>IFERROR(VLOOKUP(Table15[[#This Row],[ROUTE]],DEMAND!A:F,5,FALSE),0)</f>
        <v>0</v>
      </c>
      <c r="N856" s="16">
        <f>IFERROR(VLOOKUP(Table15[[#This Row],[ROUTE]],DEMAND!A:F,6,FALSE),0)</f>
        <v>0</v>
      </c>
      <c r="O856" s="16">
        <f>IFERROR(ROUNDDOWN(Table15[[#This Row],[R-DEMAND]]/1706,0),0)</f>
        <v>0</v>
      </c>
      <c r="P856" s="16">
        <f>IFERROR(Table15[[#This Row],[ADD ACC]]*Table15[[#This Row],[RT TIME 
(380-800)]],0)</f>
        <v>0</v>
      </c>
      <c r="Q856" s="415">
        <f>IFERROR(VLOOKUP(Table15[[#This Row],[ROUTE]],PRICING!A:B,2,FALSE),0)</f>
        <v>0</v>
      </c>
      <c r="R856" s="235">
        <f>IFERROR(Table15[[#This Row],[C_DEMAND]]-Table15[[#This Row],[R-DEMAND]],0)</f>
        <v>0</v>
      </c>
      <c r="S856" s="408">
        <f t="shared" si="13"/>
        <v>0</v>
      </c>
      <c r="T856" s="419">
        <f>Table15[[#This Row],[R-DEMAND]]-(Table15[[#This Row],[ADD ACC]]*1706)</f>
        <v>0</v>
      </c>
      <c r="U856" s="419">
        <f>ROUNDDOWN(Table15[[#This Row],[Column1]]/1360,0)</f>
        <v>0</v>
      </c>
      <c r="V856" s="419"/>
      <c r="W856" s="349"/>
      <c r="X856" s="349"/>
      <c r="Y856" s="349"/>
      <c r="Z856" s="349"/>
    </row>
    <row r="857" spans="1:26" ht="15.75" customHeight="1" x14ac:dyDescent="0.25">
      <c r="A857" s="341" t="s">
        <v>18261</v>
      </c>
      <c r="B857" s="212" t="s">
        <v>3917</v>
      </c>
      <c r="C857" s="212"/>
      <c r="D857" s="226">
        <v>2</v>
      </c>
      <c r="E857" s="226" t="s">
        <v>3915</v>
      </c>
      <c r="F857" s="212" t="s">
        <v>12674</v>
      </c>
      <c r="G857" s="404" t="s">
        <v>16899</v>
      </c>
      <c r="H857" s="343">
        <v>6094</v>
      </c>
      <c r="I857" s="342"/>
      <c r="J857" s="346"/>
      <c r="K857" s="345">
        <f>IFERROR(Table15[[#This Row],[ROUTE $]]/Table15[[#This Row],[E - DEMAND]],0)</f>
        <v>0</v>
      </c>
      <c r="L857" s="212"/>
      <c r="M857" s="413">
        <f>IFERROR(VLOOKUP(Table15[[#This Row],[ROUTE]],DEMAND!A:F,5,FALSE),0)</f>
        <v>0</v>
      </c>
      <c r="N857" s="251">
        <f>IFERROR(VLOOKUP(Table15[[#This Row],[ROUTE]],DEMAND!A:F,6,FALSE),0)</f>
        <v>0</v>
      </c>
      <c r="O857" s="349"/>
      <c r="P857" s="349"/>
      <c r="Q857" s="416">
        <f>IFERROR(VLOOKUP(Table15[[#This Row],[ROUTE]],PRICING!A:B,2,FALSE),0)</f>
        <v>0</v>
      </c>
      <c r="R857" s="409">
        <f>IFERROR(Table15[[#This Row],[C_DEMAND]]-Table15[[#This Row],[R-DEMAND]],0)</f>
        <v>0</v>
      </c>
      <c r="S857" s="410">
        <f t="shared" si="13"/>
        <v>0</v>
      </c>
      <c r="T857" s="420">
        <f>Table15[[#This Row],[R-DEMAND]]-(Table15[[#This Row],[ADD ACC]]*1706)</f>
        <v>0</v>
      </c>
      <c r="U857" s="420">
        <f>ROUNDDOWN(Table15[[#This Row],[Column1]]/1360,0)</f>
        <v>0</v>
      </c>
      <c r="V857" s="420"/>
      <c r="W857" s="349"/>
      <c r="X857" s="349"/>
      <c r="Y857" s="349"/>
      <c r="Z857" s="349"/>
    </row>
    <row r="858" spans="1:26" ht="15.75" customHeight="1" x14ac:dyDescent="0.25">
      <c r="A858" s="341" t="s">
        <v>18343</v>
      </c>
      <c r="B858" s="212" t="s">
        <v>3000</v>
      </c>
      <c r="C858" s="212"/>
      <c r="D858" s="226">
        <v>2</v>
      </c>
      <c r="E858" s="226" t="s">
        <v>1377</v>
      </c>
      <c r="F858" s="212" t="s">
        <v>12674</v>
      </c>
      <c r="G858" s="404" t="s">
        <v>16859</v>
      </c>
      <c r="H858" s="343">
        <v>3487</v>
      </c>
      <c r="I858" s="342"/>
      <c r="J858" s="346"/>
      <c r="K858" s="345">
        <f>IFERROR(Table15[[#This Row],[ROUTE $]]/Table15[[#This Row],[E - DEMAND]],0)</f>
        <v>0</v>
      </c>
      <c r="L858" s="212"/>
      <c r="M858" s="413">
        <f>IFERROR(VLOOKUP(Table15[[#This Row],[ROUTE]],DEMAND!A:F,5,FALSE),0)</f>
        <v>0</v>
      </c>
      <c r="N858" s="251">
        <f>IFERROR(VLOOKUP(Table15[[#This Row],[ROUTE]],DEMAND!A:F,6,FALSE),0)</f>
        <v>0</v>
      </c>
      <c r="O858" s="349"/>
      <c r="P858" s="349"/>
      <c r="Q858" s="416">
        <f>IFERROR(VLOOKUP(Table15[[#This Row],[ROUTE]],PRICING!A:B,2,FALSE),0)</f>
        <v>0</v>
      </c>
      <c r="R858" s="409">
        <f>IFERROR(Table15[[#This Row],[C_DEMAND]]-Table15[[#This Row],[R-DEMAND]],0)</f>
        <v>0</v>
      </c>
      <c r="S858" s="410">
        <f t="shared" si="13"/>
        <v>0</v>
      </c>
      <c r="T858" s="420">
        <f>Table15[[#This Row],[R-DEMAND]]-(Table15[[#This Row],[ADD ACC]]*1706)</f>
        <v>0</v>
      </c>
      <c r="U858" s="420">
        <f>ROUNDDOWN(Table15[[#This Row],[Column1]]/1360,0)</f>
        <v>0</v>
      </c>
      <c r="V858" s="420"/>
      <c r="W858" s="349"/>
      <c r="X858" s="349"/>
      <c r="Y858" s="349"/>
      <c r="Z858" s="349"/>
    </row>
    <row r="859" spans="1:26" ht="15.75" customHeight="1" x14ac:dyDescent="0.25">
      <c r="A859" s="341" t="s">
        <v>18274</v>
      </c>
      <c r="B859" s="212" t="s">
        <v>4066</v>
      </c>
      <c r="C859" s="212"/>
      <c r="D859" s="226">
        <v>2</v>
      </c>
      <c r="E859" s="226" t="s">
        <v>656</v>
      </c>
      <c r="F859" s="212" t="s">
        <v>12674</v>
      </c>
      <c r="G859" s="404" t="s">
        <v>16889</v>
      </c>
      <c r="H859" s="343">
        <v>5732</v>
      </c>
      <c r="I859" s="342"/>
      <c r="J859" s="346"/>
      <c r="K859" s="345">
        <f>IFERROR(Table15[[#This Row],[ROUTE $]]/Table15[[#This Row],[E - DEMAND]],0)</f>
        <v>0</v>
      </c>
      <c r="L859" s="212"/>
      <c r="M859" s="413">
        <f>IFERROR(VLOOKUP(Table15[[#This Row],[ROUTE]],DEMAND!A:F,5,FALSE),0)</f>
        <v>0</v>
      </c>
      <c r="N859" s="251">
        <f>IFERROR(VLOOKUP(Table15[[#This Row],[ROUTE]],DEMAND!A:F,6,FALSE),0)</f>
        <v>0</v>
      </c>
      <c r="O859" s="349"/>
      <c r="P859" s="349"/>
      <c r="Q859" s="416">
        <f>IFERROR(VLOOKUP(Table15[[#This Row],[ROUTE]],PRICING!A:B,2,FALSE),0)</f>
        <v>0</v>
      </c>
      <c r="R859" s="409">
        <f>IFERROR(Table15[[#This Row],[C_DEMAND]]-Table15[[#This Row],[R-DEMAND]],0)</f>
        <v>0</v>
      </c>
      <c r="S859" s="410">
        <f t="shared" si="13"/>
        <v>0</v>
      </c>
      <c r="T859" s="420">
        <f>Table15[[#This Row],[R-DEMAND]]-(Table15[[#This Row],[ADD ACC]]*1706)</f>
        <v>0</v>
      </c>
      <c r="U859" s="420">
        <f>ROUNDDOWN(Table15[[#This Row],[Column1]]/1360,0)</f>
        <v>0</v>
      </c>
      <c r="V859" s="420"/>
      <c r="W859" s="349"/>
      <c r="X859" s="349"/>
      <c r="Y859" s="349"/>
      <c r="Z859" s="349"/>
    </row>
    <row r="860" spans="1:26" ht="15.75" customHeight="1" x14ac:dyDescent="0.25">
      <c r="A860" s="341" t="s">
        <v>18270</v>
      </c>
      <c r="B860" s="212" t="s">
        <v>4691</v>
      </c>
      <c r="C860" s="212"/>
      <c r="D860" s="226">
        <v>2</v>
      </c>
      <c r="E860" s="226" t="s">
        <v>1117</v>
      </c>
      <c r="F860" s="212" t="s">
        <v>12674</v>
      </c>
      <c r="G860" s="404" t="s">
        <v>7365</v>
      </c>
      <c r="H860" s="343">
        <v>5888</v>
      </c>
      <c r="I860" s="342"/>
      <c r="J860" s="346"/>
      <c r="K860" s="345">
        <f>IFERROR(Table15[[#This Row],[ROUTE $]]/Table15[[#This Row],[E - DEMAND]],0)</f>
        <v>0</v>
      </c>
      <c r="L860" s="212"/>
      <c r="M860" s="413">
        <f>IFERROR(VLOOKUP(Table15[[#This Row],[ROUTE]],DEMAND!A:F,5,FALSE),0)</f>
        <v>0</v>
      </c>
      <c r="N860" s="251">
        <f>IFERROR(VLOOKUP(Table15[[#This Row],[ROUTE]],DEMAND!A:F,6,FALSE),0)</f>
        <v>0</v>
      </c>
      <c r="O860" s="349"/>
      <c r="P860" s="349"/>
      <c r="Q860" s="416">
        <f>IFERROR(VLOOKUP(Table15[[#This Row],[ROUTE]],PRICING!A:B,2,FALSE),0)</f>
        <v>0</v>
      </c>
      <c r="R860" s="409">
        <f>IFERROR(Table15[[#This Row],[C_DEMAND]]-Table15[[#This Row],[R-DEMAND]],0)</f>
        <v>0</v>
      </c>
      <c r="S860" s="410">
        <f t="shared" si="13"/>
        <v>0</v>
      </c>
      <c r="T860" s="420">
        <f>Table15[[#This Row],[R-DEMAND]]-(Table15[[#This Row],[ADD ACC]]*1706)</f>
        <v>0</v>
      </c>
      <c r="U860" s="420">
        <f>ROUNDDOWN(Table15[[#This Row],[Column1]]/1360,0)</f>
        <v>0</v>
      </c>
      <c r="V860" s="420"/>
      <c r="W860" s="349"/>
      <c r="X860" s="349"/>
      <c r="Y860" s="349"/>
      <c r="Z860" s="349"/>
    </row>
    <row r="861" spans="1:26" ht="15.75" customHeight="1" x14ac:dyDescent="0.25">
      <c r="A861" s="341" t="s">
        <v>18268</v>
      </c>
      <c r="B861" s="212" t="s">
        <v>4068</v>
      </c>
      <c r="C861" s="212"/>
      <c r="D861" s="226">
        <v>2</v>
      </c>
      <c r="E861" s="226" t="s">
        <v>11049</v>
      </c>
      <c r="F861" s="212" t="s">
        <v>12674</v>
      </c>
      <c r="G861" s="404" t="s">
        <v>16896</v>
      </c>
      <c r="H861" s="343">
        <v>5977</v>
      </c>
      <c r="I861" s="342"/>
      <c r="J861" s="346"/>
      <c r="K861" s="345">
        <f>IFERROR(Table15[[#This Row],[ROUTE $]]/Table15[[#This Row],[E - DEMAND]],0)</f>
        <v>0</v>
      </c>
      <c r="L861" s="212"/>
      <c r="M861" s="413">
        <f>IFERROR(VLOOKUP(Table15[[#This Row],[ROUTE]],DEMAND!A:F,5,FALSE),0)</f>
        <v>0</v>
      </c>
      <c r="N861" s="251">
        <f>IFERROR(VLOOKUP(Table15[[#This Row],[ROUTE]],DEMAND!A:F,6,FALSE),0)</f>
        <v>0</v>
      </c>
      <c r="O861" s="349"/>
      <c r="P861" s="349"/>
      <c r="Q861" s="416">
        <f>IFERROR(VLOOKUP(Table15[[#This Row],[ROUTE]],PRICING!A:B,2,FALSE),0)</f>
        <v>0</v>
      </c>
      <c r="R861" s="409">
        <f>IFERROR(Table15[[#This Row],[C_DEMAND]]-Table15[[#This Row],[R-DEMAND]],0)</f>
        <v>0</v>
      </c>
      <c r="S861" s="410">
        <f t="shared" si="13"/>
        <v>0</v>
      </c>
      <c r="T861" s="420">
        <f>Table15[[#This Row],[R-DEMAND]]-(Table15[[#This Row],[ADD ACC]]*1706)</f>
        <v>0</v>
      </c>
      <c r="U861" s="420">
        <f>ROUNDDOWN(Table15[[#This Row],[Column1]]/1360,0)</f>
        <v>0</v>
      </c>
      <c r="V861" s="420"/>
      <c r="W861" s="349"/>
      <c r="X861" s="349"/>
      <c r="Y861" s="349"/>
      <c r="Z861" s="349"/>
    </row>
    <row r="862" spans="1:26" ht="15.75" customHeight="1" x14ac:dyDescent="0.25">
      <c r="A862" s="341" t="s">
        <v>18242</v>
      </c>
      <c r="B862" s="212" t="s">
        <v>3301</v>
      </c>
      <c r="C862" s="212"/>
      <c r="D862" s="226">
        <v>2</v>
      </c>
      <c r="E862" s="226" t="s">
        <v>876</v>
      </c>
      <c r="F862" s="212" t="s">
        <v>12674</v>
      </c>
      <c r="G862" s="404" t="s">
        <v>16911</v>
      </c>
      <c r="H862" s="343">
        <v>6662</v>
      </c>
      <c r="I862" s="342"/>
      <c r="J862" s="346"/>
      <c r="K862" s="345">
        <f>IFERROR(Table15[[#This Row],[ROUTE $]]/Table15[[#This Row],[E - DEMAND]],0)</f>
        <v>0</v>
      </c>
      <c r="L862" s="212"/>
      <c r="M862" s="413">
        <f>IFERROR(VLOOKUP(Table15[[#This Row],[ROUTE]],DEMAND!A:F,5,FALSE),0)</f>
        <v>0</v>
      </c>
      <c r="N862" s="251">
        <f>IFERROR(VLOOKUP(Table15[[#This Row],[ROUTE]],DEMAND!A:F,6,FALSE),0)</f>
        <v>0</v>
      </c>
      <c r="O862" s="349"/>
      <c r="P862" s="349"/>
      <c r="Q862" s="416">
        <f>IFERROR(VLOOKUP(Table15[[#This Row],[ROUTE]],PRICING!A:B,2,FALSE),0)</f>
        <v>0</v>
      </c>
      <c r="R862" s="409">
        <f>IFERROR(Table15[[#This Row],[C_DEMAND]]-Table15[[#This Row],[R-DEMAND]],0)</f>
        <v>0</v>
      </c>
      <c r="S862" s="410">
        <f t="shared" si="13"/>
        <v>0</v>
      </c>
      <c r="T862" s="420">
        <f>Table15[[#This Row],[R-DEMAND]]-(Table15[[#This Row],[ADD ACC]]*1706)</f>
        <v>0</v>
      </c>
      <c r="U862" s="420">
        <f>ROUNDDOWN(Table15[[#This Row],[Column1]]/1360,0)</f>
        <v>0</v>
      </c>
      <c r="V862" s="420"/>
      <c r="W862" s="349"/>
      <c r="X862" s="349"/>
      <c r="Y862" s="349"/>
      <c r="Z862" s="349"/>
    </row>
    <row r="863" spans="1:26" ht="15.75" customHeight="1" x14ac:dyDescent="0.25">
      <c r="A863" s="341" t="s">
        <v>18255</v>
      </c>
      <c r="B863" s="212" t="s">
        <v>2700</v>
      </c>
      <c r="C863" s="212"/>
      <c r="D863" s="226">
        <v>2</v>
      </c>
      <c r="E863" s="226" t="s">
        <v>807</v>
      </c>
      <c r="F863" s="212" t="s">
        <v>12674</v>
      </c>
      <c r="G863" s="404" t="s">
        <v>16894</v>
      </c>
      <c r="H863" s="343">
        <v>6251</v>
      </c>
      <c r="I863" s="342"/>
      <c r="J863" s="346"/>
      <c r="K863" s="345">
        <f>IFERROR(Table15[[#This Row],[ROUTE $]]/Table15[[#This Row],[E - DEMAND]],0)</f>
        <v>0</v>
      </c>
      <c r="L863" s="212"/>
      <c r="M863" s="413">
        <f>IFERROR(VLOOKUP(Table15[[#This Row],[ROUTE]],DEMAND!A:F,5,FALSE),0)</f>
        <v>0</v>
      </c>
      <c r="N863" s="251">
        <f>IFERROR(VLOOKUP(Table15[[#This Row],[ROUTE]],DEMAND!A:F,6,FALSE),0)</f>
        <v>0</v>
      </c>
      <c r="O863" s="349"/>
      <c r="P863" s="349"/>
      <c r="Q863" s="416">
        <f>IFERROR(VLOOKUP(Table15[[#This Row],[ROUTE]],PRICING!A:B,2,FALSE),0)</f>
        <v>0</v>
      </c>
      <c r="R863" s="409">
        <f>IFERROR(Table15[[#This Row],[C_DEMAND]]-Table15[[#This Row],[R-DEMAND]],0)</f>
        <v>0</v>
      </c>
      <c r="S863" s="410">
        <f t="shared" si="13"/>
        <v>0</v>
      </c>
      <c r="T863" s="420">
        <f>Table15[[#This Row],[R-DEMAND]]-(Table15[[#This Row],[ADD ACC]]*1706)</f>
        <v>0</v>
      </c>
      <c r="U863" s="420">
        <f>ROUNDDOWN(Table15[[#This Row],[Column1]]/1360,0)</f>
        <v>0</v>
      </c>
      <c r="V863" s="420"/>
      <c r="W863" s="349"/>
      <c r="X863" s="349"/>
      <c r="Y863" s="349"/>
      <c r="Z863" s="349"/>
    </row>
    <row r="864" spans="1:26" ht="15.75" customHeight="1" x14ac:dyDescent="0.25">
      <c r="A864" s="341" t="s">
        <v>18256</v>
      </c>
      <c r="B864" s="212" t="s">
        <v>3634</v>
      </c>
      <c r="C864" s="212"/>
      <c r="D864" s="226">
        <v>2</v>
      </c>
      <c r="E864" s="226" t="s">
        <v>807</v>
      </c>
      <c r="F864" s="212" t="s">
        <v>12674</v>
      </c>
      <c r="G864" s="404" t="s">
        <v>6781</v>
      </c>
      <c r="H864" s="343">
        <v>6218</v>
      </c>
      <c r="I864" s="342"/>
      <c r="J864" s="346"/>
      <c r="K864" s="345">
        <f>IFERROR(Table15[[#This Row],[ROUTE $]]/Table15[[#This Row],[E - DEMAND]],0)</f>
        <v>0</v>
      </c>
      <c r="L864" s="212"/>
      <c r="M864" s="413">
        <f>IFERROR(VLOOKUP(Table15[[#This Row],[ROUTE]],DEMAND!A:F,5,FALSE),0)</f>
        <v>0</v>
      </c>
      <c r="N864" s="251">
        <f>IFERROR(VLOOKUP(Table15[[#This Row],[ROUTE]],DEMAND!A:F,6,FALSE),0)</f>
        <v>0</v>
      </c>
      <c r="O864" s="349"/>
      <c r="P864" s="349"/>
      <c r="Q864" s="416">
        <f>IFERROR(VLOOKUP(Table15[[#This Row],[ROUTE]],PRICING!A:B,2,FALSE),0)</f>
        <v>0</v>
      </c>
      <c r="R864" s="409">
        <f>IFERROR(Table15[[#This Row],[C_DEMAND]]-Table15[[#This Row],[R-DEMAND]],0)</f>
        <v>0</v>
      </c>
      <c r="S864" s="410">
        <f t="shared" si="13"/>
        <v>0</v>
      </c>
      <c r="T864" s="420">
        <f>Table15[[#This Row],[R-DEMAND]]-(Table15[[#This Row],[ADD ACC]]*1706)</f>
        <v>0</v>
      </c>
      <c r="U864" s="420">
        <f>ROUNDDOWN(Table15[[#This Row],[Column1]]/1360,0)</f>
        <v>0</v>
      </c>
      <c r="V864" s="420"/>
      <c r="W864" s="349"/>
      <c r="X864" s="349"/>
      <c r="Y864" s="349"/>
      <c r="Z864" s="349"/>
    </row>
    <row r="865" spans="1:26" ht="15.75" customHeight="1" x14ac:dyDescent="0.25">
      <c r="A865" s="341" t="s">
        <v>18258</v>
      </c>
      <c r="B865" s="212" t="s">
        <v>4320</v>
      </c>
      <c r="C865" s="212"/>
      <c r="D865" s="226">
        <v>2</v>
      </c>
      <c r="E865" s="226" t="s">
        <v>807</v>
      </c>
      <c r="F865" s="212" t="s">
        <v>12674</v>
      </c>
      <c r="G865" s="404" t="s">
        <v>8013</v>
      </c>
      <c r="H865" s="343">
        <v>6170</v>
      </c>
      <c r="I865" s="342"/>
      <c r="J865" s="346"/>
      <c r="K865" s="345">
        <f>IFERROR(Table15[[#This Row],[ROUTE $]]/Table15[[#This Row],[E - DEMAND]],0)</f>
        <v>0</v>
      </c>
      <c r="L865" s="212"/>
      <c r="M865" s="413">
        <f>IFERROR(VLOOKUP(Table15[[#This Row],[ROUTE]],DEMAND!A:F,5,FALSE),0)</f>
        <v>0</v>
      </c>
      <c r="N865" s="251">
        <f>IFERROR(VLOOKUP(Table15[[#This Row],[ROUTE]],DEMAND!A:F,6,FALSE),0)</f>
        <v>0</v>
      </c>
      <c r="O865" s="349"/>
      <c r="P865" s="349"/>
      <c r="Q865" s="416">
        <f>IFERROR(VLOOKUP(Table15[[#This Row],[ROUTE]],PRICING!A:B,2,FALSE),0)</f>
        <v>0</v>
      </c>
      <c r="R865" s="409">
        <f>IFERROR(Table15[[#This Row],[C_DEMAND]]-Table15[[#This Row],[R-DEMAND]],0)</f>
        <v>0</v>
      </c>
      <c r="S865" s="410">
        <f t="shared" si="13"/>
        <v>0</v>
      </c>
      <c r="T865" s="420">
        <f>Table15[[#This Row],[R-DEMAND]]-(Table15[[#This Row],[ADD ACC]]*1706)</f>
        <v>0</v>
      </c>
      <c r="U865" s="420">
        <f>ROUNDDOWN(Table15[[#This Row],[Column1]]/1360,0)</f>
        <v>0</v>
      </c>
      <c r="V865" s="420"/>
      <c r="W865" s="349"/>
      <c r="X865" s="349"/>
      <c r="Y865" s="349"/>
      <c r="Z865" s="349"/>
    </row>
    <row r="866" spans="1:26" ht="15.75" customHeight="1" x14ac:dyDescent="0.25">
      <c r="A866" s="341" t="s">
        <v>18264</v>
      </c>
      <c r="B866" s="212" t="s">
        <v>4221</v>
      </c>
      <c r="C866" s="212"/>
      <c r="D866" s="226">
        <v>2</v>
      </c>
      <c r="E866" s="226" t="s">
        <v>807</v>
      </c>
      <c r="F866" s="212" t="s">
        <v>12674</v>
      </c>
      <c r="G866" s="404" t="s">
        <v>16893</v>
      </c>
      <c r="H866" s="343">
        <v>6049</v>
      </c>
      <c r="I866" s="342"/>
      <c r="J866" s="346"/>
      <c r="K866" s="345">
        <f>IFERROR(Table15[[#This Row],[ROUTE $]]/Table15[[#This Row],[E - DEMAND]],0)</f>
        <v>0</v>
      </c>
      <c r="L866" s="212"/>
      <c r="M866" s="413">
        <f>IFERROR(VLOOKUP(Table15[[#This Row],[ROUTE]],DEMAND!A:F,5,FALSE),0)</f>
        <v>0</v>
      </c>
      <c r="N866" s="251">
        <f>IFERROR(VLOOKUP(Table15[[#This Row],[ROUTE]],DEMAND!A:F,6,FALSE),0)</f>
        <v>0</v>
      </c>
      <c r="O866" s="349"/>
      <c r="P866" s="349"/>
      <c r="Q866" s="416">
        <f>IFERROR(VLOOKUP(Table15[[#This Row],[ROUTE]],PRICING!A:B,2,FALSE),0)</f>
        <v>0</v>
      </c>
      <c r="R866" s="409">
        <f>IFERROR(Table15[[#This Row],[C_DEMAND]]-Table15[[#This Row],[R-DEMAND]],0)</f>
        <v>0</v>
      </c>
      <c r="S866" s="410">
        <f t="shared" si="13"/>
        <v>0</v>
      </c>
      <c r="T866" s="420">
        <f>Table15[[#This Row],[R-DEMAND]]-(Table15[[#This Row],[ADD ACC]]*1706)</f>
        <v>0</v>
      </c>
      <c r="U866" s="420">
        <f>ROUNDDOWN(Table15[[#This Row],[Column1]]/1360,0)</f>
        <v>0</v>
      </c>
      <c r="V866" s="420"/>
      <c r="W866" s="349"/>
      <c r="X866" s="349"/>
      <c r="Y866" s="349"/>
      <c r="Z866" s="349"/>
    </row>
    <row r="867" spans="1:26" ht="15.75" customHeight="1" x14ac:dyDescent="0.25">
      <c r="A867" s="341" t="s">
        <v>18266</v>
      </c>
      <c r="B867" s="212" t="s">
        <v>2639</v>
      </c>
      <c r="C867" s="212"/>
      <c r="D867" s="226">
        <v>2</v>
      </c>
      <c r="E867" s="226" t="s">
        <v>807</v>
      </c>
      <c r="F867" s="212" t="s">
        <v>12674</v>
      </c>
      <c r="G867" s="404" t="s">
        <v>9141</v>
      </c>
      <c r="H867" s="343">
        <v>6009</v>
      </c>
      <c r="I867" s="342"/>
      <c r="J867" s="346"/>
      <c r="K867" s="345">
        <f>IFERROR(Table15[[#This Row],[ROUTE $]]/Table15[[#This Row],[E - DEMAND]],0)</f>
        <v>0</v>
      </c>
      <c r="L867" s="212"/>
      <c r="M867" s="413">
        <f>IFERROR(VLOOKUP(Table15[[#This Row],[ROUTE]],DEMAND!A:F,5,FALSE),0)</f>
        <v>0</v>
      </c>
      <c r="N867" s="251">
        <f>IFERROR(VLOOKUP(Table15[[#This Row],[ROUTE]],DEMAND!A:F,6,FALSE),0)</f>
        <v>0</v>
      </c>
      <c r="O867" s="349"/>
      <c r="P867" s="349"/>
      <c r="Q867" s="416">
        <f>IFERROR(VLOOKUP(Table15[[#This Row],[ROUTE]],PRICING!A:B,2,FALSE),0)</f>
        <v>0</v>
      </c>
      <c r="R867" s="409">
        <f>IFERROR(Table15[[#This Row],[C_DEMAND]]-Table15[[#This Row],[R-DEMAND]],0)</f>
        <v>0</v>
      </c>
      <c r="S867" s="410">
        <f t="shared" si="13"/>
        <v>0</v>
      </c>
      <c r="T867" s="420">
        <f>Table15[[#This Row],[R-DEMAND]]-(Table15[[#This Row],[ADD ACC]]*1706)</f>
        <v>0</v>
      </c>
      <c r="U867" s="420">
        <f>ROUNDDOWN(Table15[[#This Row],[Column1]]/1360,0)</f>
        <v>0</v>
      </c>
      <c r="V867" s="420"/>
      <c r="W867" s="349"/>
      <c r="X867" s="349"/>
      <c r="Y867" s="349"/>
      <c r="Z867" s="349"/>
    </row>
    <row r="868" spans="1:26" ht="15.75" customHeight="1" x14ac:dyDescent="0.25">
      <c r="A868" s="341" t="s">
        <v>18234</v>
      </c>
      <c r="B868" s="212" t="s">
        <v>2932</v>
      </c>
      <c r="C868" s="212"/>
      <c r="D868" s="226">
        <v>2</v>
      </c>
      <c r="E868" s="226" t="s">
        <v>560</v>
      </c>
      <c r="F868" s="212" t="s">
        <v>12674</v>
      </c>
      <c r="G868" s="404" t="s">
        <v>16917</v>
      </c>
      <c r="H868" s="343">
        <v>7170</v>
      </c>
      <c r="I868" s="342"/>
      <c r="J868" s="346"/>
      <c r="K868" s="345">
        <f>IFERROR(Table15[[#This Row],[ROUTE $]]/Table15[[#This Row],[E - DEMAND]],0)</f>
        <v>0</v>
      </c>
      <c r="L868" s="212"/>
      <c r="M868" s="413">
        <f>IFERROR(VLOOKUP(Table15[[#This Row],[ROUTE]],DEMAND!A:F,5,FALSE),0)</f>
        <v>0</v>
      </c>
      <c r="N868" s="251">
        <f>IFERROR(VLOOKUP(Table15[[#This Row],[ROUTE]],DEMAND!A:F,6,FALSE),0)</f>
        <v>0</v>
      </c>
      <c r="O868" s="349"/>
      <c r="P868" s="349"/>
      <c r="Q868" s="416">
        <f>IFERROR(VLOOKUP(Table15[[#This Row],[ROUTE]],PRICING!A:B,2,FALSE),0)</f>
        <v>0</v>
      </c>
      <c r="R868" s="409">
        <f>IFERROR(Table15[[#This Row],[C_DEMAND]]-Table15[[#This Row],[R-DEMAND]],0)</f>
        <v>0</v>
      </c>
      <c r="S868" s="410">
        <f t="shared" si="13"/>
        <v>0</v>
      </c>
      <c r="T868" s="420">
        <f>Table15[[#This Row],[R-DEMAND]]-(Table15[[#This Row],[ADD ACC]]*1706)</f>
        <v>0</v>
      </c>
      <c r="U868" s="420">
        <f>ROUNDDOWN(Table15[[#This Row],[Column1]]/1360,0)</f>
        <v>0</v>
      </c>
      <c r="V868" s="420"/>
      <c r="W868" s="349"/>
      <c r="X868" s="349"/>
      <c r="Y868" s="349"/>
      <c r="Z868" s="349"/>
    </row>
    <row r="869" spans="1:26" ht="15.75" customHeight="1" x14ac:dyDescent="0.25">
      <c r="A869" s="341" t="s">
        <v>18248</v>
      </c>
      <c r="B869" s="212" t="s">
        <v>4584</v>
      </c>
      <c r="C869" s="212"/>
      <c r="D869" s="226">
        <v>2</v>
      </c>
      <c r="E869" s="226" t="s">
        <v>560</v>
      </c>
      <c r="F869" s="212" t="s">
        <v>12674</v>
      </c>
      <c r="G869" s="404" t="s">
        <v>16907</v>
      </c>
      <c r="H869" s="343">
        <v>6427</v>
      </c>
      <c r="I869" s="342"/>
      <c r="J869" s="346"/>
      <c r="K869" s="345">
        <f>IFERROR(Table15[[#This Row],[ROUTE $]]/Table15[[#This Row],[E - DEMAND]],0)</f>
        <v>0</v>
      </c>
      <c r="L869" s="212"/>
      <c r="M869" s="413">
        <f>IFERROR(VLOOKUP(Table15[[#This Row],[ROUTE]],DEMAND!A:F,5,FALSE),0)</f>
        <v>0</v>
      </c>
      <c r="N869" s="251">
        <f>IFERROR(VLOOKUP(Table15[[#This Row],[ROUTE]],DEMAND!A:F,6,FALSE),0)</f>
        <v>0</v>
      </c>
      <c r="O869" s="349"/>
      <c r="P869" s="349"/>
      <c r="Q869" s="416">
        <f>IFERROR(VLOOKUP(Table15[[#This Row],[ROUTE]],PRICING!A:B,2,FALSE),0)</f>
        <v>0</v>
      </c>
      <c r="R869" s="409">
        <f>IFERROR(Table15[[#This Row],[C_DEMAND]]-Table15[[#This Row],[R-DEMAND]],0)</f>
        <v>0</v>
      </c>
      <c r="S869" s="410">
        <f t="shared" si="13"/>
        <v>0</v>
      </c>
      <c r="T869" s="420">
        <f>Table15[[#This Row],[R-DEMAND]]-(Table15[[#This Row],[ADD ACC]]*1706)</f>
        <v>0</v>
      </c>
      <c r="U869" s="420">
        <f>ROUNDDOWN(Table15[[#This Row],[Column1]]/1360,0)</f>
        <v>0</v>
      </c>
      <c r="V869" s="420"/>
      <c r="W869" s="349"/>
      <c r="X869" s="349"/>
      <c r="Y869" s="349"/>
      <c r="Z869" s="349"/>
    </row>
    <row r="870" spans="1:26" ht="15.75" customHeight="1" x14ac:dyDescent="0.25">
      <c r="A870" s="210" t="s">
        <v>15118</v>
      </c>
      <c r="B870" s="204" t="s">
        <v>3925</v>
      </c>
      <c r="C870" s="204"/>
      <c r="D870" s="205">
        <v>2</v>
      </c>
      <c r="E870" s="204" t="s">
        <v>1749</v>
      </c>
      <c r="F870" s="204" t="str">
        <f>VLOOKUP(E870,Table10[[COUNTRY NAME]:[CONTINENT CODE]],3,FALSE)</f>
        <v>NA</v>
      </c>
      <c r="G870" s="206" t="s">
        <v>13220</v>
      </c>
      <c r="H870" s="207">
        <v>15453</v>
      </c>
      <c r="I870" s="208">
        <v>36.25</v>
      </c>
      <c r="J870" s="345"/>
      <c r="K870" s="345">
        <f>IFERROR(Table15[[#This Row],[ROUTE $]]/Table15[[#This Row],[E - DEMAND]],0)</f>
        <v>0</v>
      </c>
      <c r="L870" s="204"/>
      <c r="M870" s="412">
        <f>IFERROR(VLOOKUP(Table15[[#This Row],[ROUTE]],DEMAND!A:F,5,FALSE),0)</f>
        <v>0</v>
      </c>
      <c r="N870" s="16">
        <f>IFERROR(VLOOKUP(Table15[[#This Row],[ROUTE]],DEMAND!A:F,6,FALSE),0)</f>
        <v>0</v>
      </c>
      <c r="O870" s="16">
        <f>IFERROR(ROUNDDOWN(Table15[[#This Row],[R-DEMAND]]/1706,0),0)</f>
        <v>0</v>
      </c>
      <c r="P870" s="16">
        <f>IFERROR(Table15[[#This Row],[ADD ACC]]*Table15[[#This Row],[RT TIME 
(380-800)]],0)</f>
        <v>0</v>
      </c>
      <c r="Q870" s="415">
        <f>IFERROR(VLOOKUP(Table15[[#This Row],[ROUTE]],PRICING!A:B,2,FALSE),0)</f>
        <v>0</v>
      </c>
      <c r="R870" s="235">
        <f>IFERROR(Table15[[#This Row],[C_DEMAND]]-Table15[[#This Row],[R-DEMAND]],0)</f>
        <v>0</v>
      </c>
      <c r="S870" s="408">
        <f t="shared" si="13"/>
        <v>0</v>
      </c>
      <c r="T870" s="419">
        <f>Table15[[#This Row],[R-DEMAND]]-(Table15[[#This Row],[ADD ACC]]*1706)</f>
        <v>0</v>
      </c>
      <c r="U870" s="419">
        <f>ROUNDDOWN(Table15[[#This Row],[Column1]]/1360,0)</f>
        <v>0</v>
      </c>
      <c r="V870" s="419"/>
      <c r="W870" s="349"/>
      <c r="X870" s="349"/>
      <c r="Y870" s="349"/>
      <c r="Z870" s="349"/>
    </row>
    <row r="871" spans="1:26" ht="15.75" customHeight="1" x14ac:dyDescent="0.25">
      <c r="A871" s="341" t="s">
        <v>18355</v>
      </c>
      <c r="B871" s="212" t="s">
        <v>4264</v>
      </c>
      <c r="C871" s="212"/>
      <c r="D871" s="226">
        <v>2</v>
      </c>
      <c r="E871" s="226" t="s">
        <v>1070</v>
      </c>
      <c r="F871" s="212" t="s">
        <v>12670</v>
      </c>
      <c r="G871" s="226" t="s">
        <v>9269</v>
      </c>
      <c r="H871" s="343">
        <v>1347</v>
      </c>
      <c r="I871" s="342"/>
      <c r="J871" s="346"/>
      <c r="K871" s="345">
        <f>IFERROR(Table15[[#This Row],[ROUTE $]]/Table15[[#This Row],[E - DEMAND]],0)</f>
        <v>0</v>
      </c>
      <c r="L871" s="212"/>
      <c r="M871" s="413">
        <f>IFERROR(VLOOKUP(Table15[[#This Row],[ROUTE]],DEMAND!A:F,5,FALSE),0)</f>
        <v>0</v>
      </c>
      <c r="N871" s="251">
        <f>IFERROR(VLOOKUP(Table15[[#This Row],[ROUTE]],DEMAND!A:F,6,FALSE),0)</f>
        <v>0</v>
      </c>
      <c r="O871" s="349"/>
      <c r="P871" s="349"/>
      <c r="Q871" s="416">
        <f>IFERROR(VLOOKUP(Table15[[#This Row],[ROUTE]],PRICING!A:B,2,FALSE),0)</f>
        <v>0</v>
      </c>
      <c r="R871" s="409">
        <f>IFERROR(Table15[[#This Row],[C_DEMAND]]-Table15[[#This Row],[R-DEMAND]],0)</f>
        <v>0</v>
      </c>
      <c r="S871" s="410">
        <f t="shared" si="13"/>
        <v>0</v>
      </c>
      <c r="T871" s="420">
        <f>Table15[[#This Row],[R-DEMAND]]-(Table15[[#This Row],[ADD ACC]]*1706)</f>
        <v>0</v>
      </c>
      <c r="U871" s="420">
        <f>ROUNDDOWN(Table15[[#This Row],[Column1]]/1360,0)</f>
        <v>0</v>
      </c>
      <c r="V871" s="420"/>
      <c r="W871" s="349"/>
      <c r="X871" s="349"/>
      <c r="Y871" s="349"/>
      <c r="Z871" s="349"/>
    </row>
    <row r="872" spans="1:26" ht="15.75" customHeight="1" x14ac:dyDescent="0.25">
      <c r="A872" s="341" t="s">
        <v>18360</v>
      </c>
      <c r="B872" s="212" t="s">
        <v>2587</v>
      </c>
      <c r="C872" s="212"/>
      <c r="D872" s="226">
        <v>2</v>
      </c>
      <c r="E872" s="226" t="s">
        <v>1070</v>
      </c>
      <c r="F872" s="212" t="s">
        <v>12670</v>
      </c>
      <c r="G872" s="226" t="s">
        <v>9233</v>
      </c>
      <c r="H872" s="343">
        <v>796</v>
      </c>
      <c r="I872" s="342"/>
      <c r="J872" s="346"/>
      <c r="K872" s="345">
        <f>IFERROR(Table15[[#This Row],[ROUTE $]]/Table15[[#This Row],[E - DEMAND]],0)</f>
        <v>0</v>
      </c>
      <c r="L872" s="212"/>
      <c r="M872" s="413">
        <f>IFERROR(VLOOKUP(Table15[[#This Row],[ROUTE]],DEMAND!A:F,5,FALSE),0)</f>
        <v>0</v>
      </c>
      <c r="N872" s="251">
        <f>IFERROR(VLOOKUP(Table15[[#This Row],[ROUTE]],DEMAND!A:F,6,FALSE),0)</f>
        <v>0</v>
      </c>
      <c r="O872" s="349"/>
      <c r="P872" s="349"/>
      <c r="Q872" s="416">
        <f>IFERROR(VLOOKUP(Table15[[#This Row],[ROUTE]],PRICING!A:B,2,FALSE),0)</f>
        <v>0</v>
      </c>
      <c r="R872" s="409">
        <f>IFERROR(Table15[[#This Row],[C_DEMAND]]-Table15[[#This Row],[R-DEMAND]],0)</f>
        <v>0</v>
      </c>
      <c r="S872" s="410">
        <f t="shared" si="13"/>
        <v>0</v>
      </c>
      <c r="T872" s="420">
        <f>Table15[[#This Row],[R-DEMAND]]-(Table15[[#This Row],[ADD ACC]]*1706)</f>
        <v>0</v>
      </c>
      <c r="U872" s="420">
        <f>ROUNDDOWN(Table15[[#This Row],[Column1]]/1360,0)</f>
        <v>0</v>
      </c>
      <c r="V872" s="420"/>
      <c r="W872" s="349"/>
      <c r="X872" s="349"/>
      <c r="Y872" s="349"/>
      <c r="Z872" s="349"/>
    </row>
    <row r="873" spans="1:26" ht="15.75" customHeight="1" x14ac:dyDescent="0.25">
      <c r="A873" s="341" t="s">
        <v>18267</v>
      </c>
      <c r="B873" s="212" t="s">
        <v>3829</v>
      </c>
      <c r="C873" s="212"/>
      <c r="D873" s="226">
        <v>2</v>
      </c>
      <c r="E873" s="226" t="s">
        <v>1261</v>
      </c>
      <c r="F873" s="212" t="s">
        <v>12670</v>
      </c>
      <c r="G873" s="226" t="s">
        <v>18106</v>
      </c>
      <c r="H873" s="343">
        <v>5991</v>
      </c>
      <c r="I873" s="342"/>
      <c r="J873" s="346"/>
      <c r="K873" s="345">
        <f>IFERROR(Table15[[#This Row],[ROUTE $]]/Table15[[#This Row],[E - DEMAND]],0)</f>
        <v>0</v>
      </c>
      <c r="L873" s="212"/>
      <c r="M873" s="413">
        <f>IFERROR(VLOOKUP(Table15[[#This Row],[ROUTE]],DEMAND!A:F,5,FALSE),0)</f>
        <v>0</v>
      </c>
      <c r="N873" s="251">
        <f>IFERROR(VLOOKUP(Table15[[#This Row],[ROUTE]],DEMAND!A:F,6,FALSE),0)</f>
        <v>0</v>
      </c>
      <c r="O873" s="349"/>
      <c r="P873" s="349"/>
      <c r="Q873" s="416">
        <f>IFERROR(VLOOKUP(Table15[[#This Row],[ROUTE]],PRICING!A:B,2,FALSE),0)</f>
        <v>0</v>
      </c>
      <c r="R873" s="409">
        <f>IFERROR(Table15[[#This Row],[C_DEMAND]]-Table15[[#This Row],[R-DEMAND]],0)</f>
        <v>0</v>
      </c>
      <c r="S873" s="410">
        <f t="shared" si="13"/>
        <v>0</v>
      </c>
      <c r="T873" s="420">
        <f>Table15[[#This Row],[R-DEMAND]]-(Table15[[#This Row],[ADD ACC]]*1706)</f>
        <v>0</v>
      </c>
      <c r="U873" s="420">
        <f>ROUNDDOWN(Table15[[#This Row],[Column1]]/1360,0)</f>
        <v>0</v>
      </c>
      <c r="V873" s="420"/>
      <c r="W873" s="349"/>
      <c r="X873" s="349"/>
      <c r="Y873" s="349"/>
      <c r="Z873" s="349"/>
    </row>
    <row r="874" spans="1:26" ht="15.75" customHeight="1" x14ac:dyDescent="0.25">
      <c r="A874" s="341" t="s">
        <v>18301</v>
      </c>
      <c r="B874" s="212" t="s">
        <v>3697</v>
      </c>
      <c r="C874" s="212"/>
      <c r="D874" s="226">
        <v>2</v>
      </c>
      <c r="E874" s="226" t="s">
        <v>1261</v>
      </c>
      <c r="F874" s="212" t="s">
        <v>12670</v>
      </c>
      <c r="G874" s="226" t="s">
        <v>18109</v>
      </c>
      <c r="H874" s="343">
        <v>5098</v>
      </c>
      <c r="I874" s="342"/>
      <c r="J874" s="346"/>
      <c r="K874" s="345">
        <f>IFERROR(Table15[[#This Row],[ROUTE $]]/Table15[[#This Row],[E - DEMAND]],0)</f>
        <v>0</v>
      </c>
      <c r="L874" s="212"/>
      <c r="M874" s="413">
        <f>IFERROR(VLOOKUP(Table15[[#This Row],[ROUTE]],DEMAND!A:F,5,FALSE),0)</f>
        <v>0</v>
      </c>
      <c r="N874" s="251">
        <f>IFERROR(VLOOKUP(Table15[[#This Row],[ROUTE]],DEMAND!A:F,6,FALSE),0)</f>
        <v>0</v>
      </c>
      <c r="O874" s="349"/>
      <c r="P874" s="349"/>
      <c r="Q874" s="416">
        <f>IFERROR(VLOOKUP(Table15[[#This Row],[ROUTE]],PRICING!A:B,2,FALSE),0)</f>
        <v>0</v>
      </c>
      <c r="R874" s="409">
        <f>IFERROR(Table15[[#This Row],[C_DEMAND]]-Table15[[#This Row],[R-DEMAND]],0)</f>
        <v>0</v>
      </c>
      <c r="S874" s="410">
        <f t="shared" si="13"/>
        <v>0</v>
      </c>
      <c r="T874" s="420">
        <f>Table15[[#This Row],[R-DEMAND]]-(Table15[[#This Row],[ADD ACC]]*1706)</f>
        <v>0</v>
      </c>
      <c r="U874" s="420">
        <f>ROUNDDOWN(Table15[[#This Row],[Column1]]/1360,0)</f>
        <v>0</v>
      </c>
      <c r="V874" s="420"/>
      <c r="W874" s="349"/>
      <c r="X874" s="349"/>
      <c r="Y874" s="349"/>
      <c r="Z874" s="349"/>
    </row>
    <row r="875" spans="1:26" ht="15.75" customHeight="1" x14ac:dyDescent="0.25">
      <c r="A875" s="210" t="s">
        <v>15117</v>
      </c>
      <c r="B875" s="204" t="s">
        <v>4638</v>
      </c>
      <c r="C875" s="204"/>
      <c r="D875" s="205">
        <v>2</v>
      </c>
      <c r="E875" s="204" t="s">
        <v>1749</v>
      </c>
      <c r="F875" s="204" t="str">
        <f>VLOOKUP(E875,Table10[[COUNTRY NAME]:[CONTINENT CODE]],3,FALSE)</f>
        <v>NA</v>
      </c>
      <c r="G875" s="206" t="s">
        <v>13222</v>
      </c>
      <c r="H875" s="207">
        <v>15520</v>
      </c>
      <c r="I875" s="208">
        <v>36.5</v>
      </c>
      <c r="J875" s="345"/>
      <c r="K875" s="345">
        <f>IFERROR(Table15[[#This Row],[ROUTE $]]/Table15[[#This Row],[E - DEMAND]],0)</f>
        <v>0</v>
      </c>
      <c r="L875" s="204"/>
      <c r="M875" s="412">
        <f>IFERROR(VLOOKUP(Table15[[#This Row],[ROUTE]],DEMAND!A:F,5,FALSE),0)</f>
        <v>0</v>
      </c>
      <c r="N875" s="16">
        <f>IFERROR(VLOOKUP(Table15[[#This Row],[ROUTE]],DEMAND!A:F,6,FALSE),0)</f>
        <v>0</v>
      </c>
      <c r="O875" s="16">
        <f>IFERROR(ROUNDDOWN(Table15[[#This Row],[R-DEMAND]]/1706,0),0)</f>
        <v>0</v>
      </c>
      <c r="P875" s="16">
        <f>IFERROR(Table15[[#This Row],[ADD ACC]]*Table15[[#This Row],[RT TIME 
(380-800)]],0)</f>
        <v>0</v>
      </c>
      <c r="Q875" s="415">
        <f>IFERROR(VLOOKUP(Table15[[#This Row],[ROUTE]],PRICING!A:B,2,FALSE),0)</f>
        <v>0</v>
      </c>
      <c r="R875" s="235">
        <f>IFERROR(Table15[[#This Row],[C_DEMAND]]-Table15[[#This Row],[R-DEMAND]],0)</f>
        <v>0</v>
      </c>
      <c r="S875" s="408">
        <f t="shared" si="13"/>
        <v>0</v>
      </c>
      <c r="T875" s="419">
        <f>Table15[[#This Row],[R-DEMAND]]-(Table15[[#This Row],[ADD ACC]]*1706)</f>
        <v>0</v>
      </c>
      <c r="U875" s="419">
        <f>ROUNDDOWN(Table15[[#This Row],[Column1]]/1360,0)</f>
        <v>0</v>
      </c>
      <c r="V875" s="419"/>
      <c r="W875" s="349"/>
      <c r="X875" s="349"/>
      <c r="Y875" s="349"/>
      <c r="Z875" s="349"/>
    </row>
    <row r="876" spans="1:26" ht="15.75" customHeight="1" x14ac:dyDescent="0.25">
      <c r="A876" s="341" t="s">
        <v>18306</v>
      </c>
      <c r="B876" s="212" t="s">
        <v>4268</v>
      </c>
      <c r="C876" s="212"/>
      <c r="D876" s="226">
        <v>2</v>
      </c>
      <c r="E876" s="226" t="s">
        <v>1261</v>
      </c>
      <c r="F876" s="212" t="s">
        <v>12670</v>
      </c>
      <c r="G876" s="226" t="s">
        <v>18112</v>
      </c>
      <c r="H876" s="343">
        <v>5029</v>
      </c>
      <c r="I876" s="342"/>
      <c r="J876" s="346"/>
      <c r="K876" s="345">
        <f>IFERROR(Table15[[#This Row],[ROUTE $]]/Table15[[#This Row],[E - DEMAND]],0)</f>
        <v>0</v>
      </c>
      <c r="L876" s="212"/>
      <c r="M876" s="413">
        <f>IFERROR(VLOOKUP(Table15[[#This Row],[ROUTE]],DEMAND!A:F,5,FALSE),0)</f>
        <v>0</v>
      </c>
      <c r="N876" s="251">
        <f>IFERROR(VLOOKUP(Table15[[#This Row],[ROUTE]],DEMAND!A:F,6,FALSE),0)</f>
        <v>0</v>
      </c>
      <c r="O876" s="349"/>
      <c r="P876" s="349"/>
      <c r="Q876" s="416">
        <f>IFERROR(VLOOKUP(Table15[[#This Row],[ROUTE]],PRICING!A:B,2,FALSE),0)</f>
        <v>0</v>
      </c>
      <c r="R876" s="409">
        <f>IFERROR(Table15[[#This Row],[C_DEMAND]]-Table15[[#This Row],[R-DEMAND]],0)</f>
        <v>0</v>
      </c>
      <c r="S876" s="410">
        <f t="shared" si="13"/>
        <v>0</v>
      </c>
      <c r="T876" s="420">
        <f>Table15[[#This Row],[R-DEMAND]]-(Table15[[#This Row],[ADD ACC]]*1706)</f>
        <v>0</v>
      </c>
      <c r="U876" s="420">
        <f>ROUNDDOWN(Table15[[#This Row],[Column1]]/1360,0)</f>
        <v>0</v>
      </c>
      <c r="V876" s="420"/>
      <c r="W876" s="349"/>
      <c r="X876" s="349"/>
      <c r="Y876" s="349"/>
      <c r="Z876" s="349"/>
    </row>
    <row r="877" spans="1:26" ht="15.75" customHeight="1" x14ac:dyDescent="0.25">
      <c r="A877" s="341" t="s">
        <v>18348</v>
      </c>
      <c r="B877" s="212" t="s">
        <v>3267</v>
      </c>
      <c r="C877" s="212"/>
      <c r="D877" s="226">
        <v>2</v>
      </c>
      <c r="E877" s="226" t="s">
        <v>3265</v>
      </c>
      <c r="F877" s="212" t="s">
        <v>12670</v>
      </c>
      <c r="G877" s="226" t="s">
        <v>16846</v>
      </c>
      <c r="H877" s="343">
        <v>2393</v>
      </c>
      <c r="I877" s="342"/>
      <c r="J877" s="346"/>
      <c r="K877" s="345">
        <f>IFERROR(Table15[[#This Row],[ROUTE $]]/Table15[[#This Row],[E - DEMAND]],0)</f>
        <v>0</v>
      </c>
      <c r="L877" s="212"/>
      <c r="M877" s="413">
        <f>IFERROR(VLOOKUP(Table15[[#This Row],[ROUTE]],DEMAND!A:F,5,FALSE),0)</f>
        <v>0</v>
      </c>
      <c r="N877" s="251">
        <f>IFERROR(VLOOKUP(Table15[[#This Row],[ROUTE]],DEMAND!A:F,6,FALSE),0)</f>
        <v>0</v>
      </c>
      <c r="O877" s="349"/>
      <c r="P877" s="349"/>
      <c r="Q877" s="416">
        <f>IFERROR(VLOOKUP(Table15[[#This Row],[ROUTE]],PRICING!A:B,2,FALSE),0)</f>
        <v>0</v>
      </c>
      <c r="R877" s="409">
        <f>IFERROR(Table15[[#This Row],[C_DEMAND]]-Table15[[#This Row],[R-DEMAND]],0)</f>
        <v>0</v>
      </c>
      <c r="S877" s="410">
        <f t="shared" si="13"/>
        <v>0</v>
      </c>
      <c r="T877" s="420">
        <f>Table15[[#This Row],[R-DEMAND]]-(Table15[[#This Row],[ADD ACC]]*1706)</f>
        <v>0</v>
      </c>
      <c r="U877" s="420">
        <f>ROUNDDOWN(Table15[[#This Row],[Column1]]/1360,0)</f>
        <v>0</v>
      </c>
      <c r="V877" s="420"/>
      <c r="W877" s="349"/>
      <c r="X877" s="349"/>
      <c r="Y877" s="349"/>
      <c r="Z877" s="349"/>
    </row>
    <row r="878" spans="1:26" ht="15.75" customHeight="1" x14ac:dyDescent="0.25">
      <c r="A878" s="341" t="s">
        <v>18297</v>
      </c>
      <c r="B878" s="212" t="s">
        <v>4304</v>
      </c>
      <c r="C878" s="212"/>
      <c r="D878" s="226">
        <v>2</v>
      </c>
      <c r="E878" s="226" t="s">
        <v>709</v>
      </c>
      <c r="F878" s="212" t="s">
        <v>12670</v>
      </c>
      <c r="G878" s="226" t="s">
        <v>6930</v>
      </c>
      <c r="H878" s="343">
        <v>5175</v>
      </c>
      <c r="I878" s="342"/>
      <c r="J878" s="346"/>
      <c r="K878" s="345">
        <f>IFERROR(Table15[[#This Row],[ROUTE $]]/Table15[[#This Row],[E - DEMAND]],0)</f>
        <v>0</v>
      </c>
      <c r="L878" s="212"/>
      <c r="M878" s="413">
        <f>IFERROR(VLOOKUP(Table15[[#This Row],[ROUTE]],DEMAND!A:F,5,FALSE),0)</f>
        <v>0</v>
      </c>
      <c r="N878" s="251">
        <f>IFERROR(VLOOKUP(Table15[[#This Row],[ROUTE]],DEMAND!A:F,6,FALSE),0)</f>
        <v>0</v>
      </c>
      <c r="O878" s="349"/>
      <c r="P878" s="349"/>
      <c r="Q878" s="416">
        <f>IFERROR(VLOOKUP(Table15[[#This Row],[ROUTE]],PRICING!A:B,2,FALSE),0)</f>
        <v>0</v>
      </c>
      <c r="R878" s="409">
        <f>IFERROR(Table15[[#This Row],[C_DEMAND]]-Table15[[#This Row],[R-DEMAND]],0)</f>
        <v>0</v>
      </c>
      <c r="S878" s="410">
        <f t="shared" si="13"/>
        <v>0</v>
      </c>
      <c r="T878" s="420">
        <f>Table15[[#This Row],[R-DEMAND]]-(Table15[[#This Row],[ADD ACC]]*1706)</f>
        <v>0</v>
      </c>
      <c r="U878" s="420">
        <f>ROUNDDOWN(Table15[[#This Row],[Column1]]/1360,0)</f>
        <v>0</v>
      </c>
      <c r="V878" s="420"/>
      <c r="W878" s="349"/>
      <c r="X878" s="349"/>
      <c r="Y878" s="349"/>
      <c r="Z878" s="349"/>
    </row>
    <row r="879" spans="1:26" ht="15.75" customHeight="1" x14ac:dyDescent="0.25">
      <c r="A879" s="341" t="s">
        <v>18316</v>
      </c>
      <c r="B879" s="212" t="s">
        <v>4043</v>
      </c>
      <c r="C879" s="212"/>
      <c r="D879" s="226">
        <v>2</v>
      </c>
      <c r="E879" s="226" t="s">
        <v>709</v>
      </c>
      <c r="F879" s="212" t="s">
        <v>12670</v>
      </c>
      <c r="G879" s="226" t="s">
        <v>4042</v>
      </c>
      <c r="H879" s="343">
        <v>4710</v>
      </c>
      <c r="I879" s="342"/>
      <c r="J879" s="346"/>
      <c r="K879" s="345">
        <f>IFERROR(Table15[[#This Row],[ROUTE $]]/Table15[[#This Row],[E - DEMAND]],0)</f>
        <v>0</v>
      </c>
      <c r="L879" s="212"/>
      <c r="M879" s="413">
        <f>IFERROR(VLOOKUP(Table15[[#This Row],[ROUTE]],DEMAND!A:F,5,FALSE),0)</f>
        <v>0</v>
      </c>
      <c r="N879" s="251">
        <f>IFERROR(VLOOKUP(Table15[[#This Row],[ROUTE]],DEMAND!A:F,6,FALSE),0)</f>
        <v>0</v>
      </c>
      <c r="O879" s="349"/>
      <c r="P879" s="349"/>
      <c r="Q879" s="416">
        <f>IFERROR(VLOOKUP(Table15[[#This Row],[ROUTE]],PRICING!A:B,2,FALSE),0)</f>
        <v>0</v>
      </c>
      <c r="R879" s="409">
        <f>IFERROR(Table15[[#This Row],[C_DEMAND]]-Table15[[#This Row],[R-DEMAND]],0)</f>
        <v>0</v>
      </c>
      <c r="S879" s="410">
        <f t="shared" si="13"/>
        <v>0</v>
      </c>
      <c r="T879" s="420">
        <f>Table15[[#This Row],[R-DEMAND]]-(Table15[[#This Row],[ADD ACC]]*1706)</f>
        <v>0</v>
      </c>
      <c r="U879" s="420">
        <f>ROUNDDOWN(Table15[[#This Row],[Column1]]/1360,0)</f>
        <v>0</v>
      </c>
      <c r="V879" s="420"/>
      <c r="W879" s="349"/>
      <c r="X879" s="349"/>
      <c r="Y879" s="349"/>
      <c r="Z879" s="349"/>
    </row>
    <row r="880" spans="1:26" ht="15.75" customHeight="1" x14ac:dyDescent="0.25">
      <c r="A880" s="341" t="s">
        <v>18345</v>
      </c>
      <c r="B880" s="212" t="s">
        <v>3662</v>
      </c>
      <c r="C880" s="212"/>
      <c r="D880" s="226">
        <v>2</v>
      </c>
      <c r="E880" s="226" t="s">
        <v>709</v>
      </c>
      <c r="F880" s="212" t="s">
        <v>12670</v>
      </c>
      <c r="G880" s="226" t="s">
        <v>18117</v>
      </c>
      <c r="H880" s="343">
        <v>3306</v>
      </c>
      <c r="I880" s="342"/>
      <c r="J880" s="346"/>
      <c r="K880" s="345">
        <f>IFERROR(Table15[[#This Row],[ROUTE $]]/Table15[[#This Row],[E - DEMAND]],0)</f>
        <v>0</v>
      </c>
      <c r="L880" s="212"/>
      <c r="M880" s="413">
        <f>IFERROR(VLOOKUP(Table15[[#This Row],[ROUTE]],DEMAND!A:F,5,FALSE),0)</f>
        <v>0</v>
      </c>
      <c r="N880" s="251">
        <f>IFERROR(VLOOKUP(Table15[[#This Row],[ROUTE]],DEMAND!A:F,6,FALSE),0)</f>
        <v>0</v>
      </c>
      <c r="O880" s="349"/>
      <c r="P880" s="349"/>
      <c r="Q880" s="416">
        <f>IFERROR(VLOOKUP(Table15[[#This Row],[ROUTE]],PRICING!A:B,2,FALSE),0)</f>
        <v>0</v>
      </c>
      <c r="R880" s="409">
        <f>IFERROR(Table15[[#This Row],[C_DEMAND]]-Table15[[#This Row],[R-DEMAND]],0)</f>
        <v>0</v>
      </c>
      <c r="S880" s="410">
        <f t="shared" si="13"/>
        <v>0</v>
      </c>
      <c r="T880" s="420">
        <f>Table15[[#This Row],[R-DEMAND]]-(Table15[[#This Row],[ADD ACC]]*1706)</f>
        <v>0</v>
      </c>
      <c r="U880" s="420">
        <f>ROUNDDOWN(Table15[[#This Row],[Column1]]/1360,0)</f>
        <v>0</v>
      </c>
      <c r="V880" s="420"/>
      <c r="W880" s="349"/>
      <c r="X880" s="349"/>
      <c r="Y880" s="349"/>
      <c r="Z880" s="349"/>
    </row>
    <row r="881" spans="1:26" ht="15.75" customHeight="1" x14ac:dyDescent="0.25">
      <c r="A881" s="341" t="s">
        <v>18351</v>
      </c>
      <c r="B881" s="212" t="s">
        <v>2866</v>
      </c>
      <c r="C881" s="212"/>
      <c r="D881" s="226">
        <v>2</v>
      </c>
      <c r="E881" s="226" t="s">
        <v>2366</v>
      </c>
      <c r="F881" s="212" t="s">
        <v>12670</v>
      </c>
      <c r="G881" s="226" t="s">
        <v>18118</v>
      </c>
      <c r="H881" s="343">
        <v>2200</v>
      </c>
      <c r="I881" s="342"/>
      <c r="J881" s="346"/>
      <c r="K881" s="345">
        <f>IFERROR(Table15[[#This Row],[ROUTE $]]/Table15[[#This Row],[E - DEMAND]],0)</f>
        <v>0</v>
      </c>
      <c r="L881" s="212"/>
      <c r="M881" s="413">
        <f>IFERROR(VLOOKUP(Table15[[#This Row],[ROUTE]],DEMAND!A:F,5,FALSE),0)</f>
        <v>0</v>
      </c>
      <c r="N881" s="251">
        <f>IFERROR(VLOOKUP(Table15[[#This Row],[ROUTE]],DEMAND!A:F,6,FALSE),0)</f>
        <v>0</v>
      </c>
      <c r="O881" s="349"/>
      <c r="P881" s="349"/>
      <c r="Q881" s="416">
        <f>IFERROR(VLOOKUP(Table15[[#This Row],[ROUTE]],PRICING!A:B,2,FALSE),0)</f>
        <v>0</v>
      </c>
      <c r="R881" s="409">
        <f>IFERROR(Table15[[#This Row],[C_DEMAND]]-Table15[[#This Row],[R-DEMAND]],0)</f>
        <v>0</v>
      </c>
      <c r="S881" s="410">
        <f t="shared" si="13"/>
        <v>0</v>
      </c>
      <c r="T881" s="420">
        <f>Table15[[#This Row],[R-DEMAND]]-(Table15[[#This Row],[ADD ACC]]*1706)</f>
        <v>0</v>
      </c>
      <c r="U881" s="420">
        <f>ROUNDDOWN(Table15[[#This Row],[Column1]]/1360,0)</f>
        <v>0</v>
      </c>
      <c r="V881" s="420"/>
      <c r="W881" s="349"/>
      <c r="X881" s="349"/>
      <c r="Y881" s="349"/>
      <c r="Z881" s="349"/>
    </row>
    <row r="882" spans="1:26" ht="15.75" customHeight="1" x14ac:dyDescent="0.25">
      <c r="A882" s="341" t="s">
        <v>18250</v>
      </c>
      <c r="B882" s="212" t="s">
        <v>3737</v>
      </c>
      <c r="C882" s="212"/>
      <c r="D882" s="226">
        <v>2</v>
      </c>
      <c r="E882" s="226" t="s">
        <v>1427</v>
      </c>
      <c r="F882" s="212" t="s">
        <v>12674</v>
      </c>
      <c r="G882" s="404" t="s">
        <v>16908</v>
      </c>
      <c r="H882" s="343">
        <v>6418</v>
      </c>
      <c r="I882" s="342"/>
      <c r="J882" s="346"/>
      <c r="K882" s="345">
        <f>IFERROR(Table15[[#This Row],[ROUTE $]]/Table15[[#This Row],[E - DEMAND]],0)</f>
        <v>0</v>
      </c>
      <c r="L882" s="212"/>
      <c r="M882" s="413">
        <f>IFERROR(VLOOKUP(Table15[[#This Row],[ROUTE]],DEMAND!A:F,5,FALSE),0)</f>
        <v>0</v>
      </c>
      <c r="N882" s="251">
        <f>IFERROR(VLOOKUP(Table15[[#This Row],[ROUTE]],DEMAND!A:F,6,FALSE),0)</f>
        <v>0</v>
      </c>
      <c r="O882" s="349"/>
      <c r="P882" s="349"/>
      <c r="Q882" s="416">
        <f>IFERROR(VLOOKUP(Table15[[#This Row],[ROUTE]],PRICING!A:B,2,FALSE),0)</f>
        <v>0</v>
      </c>
      <c r="R882" s="409">
        <f>IFERROR(Table15[[#This Row],[C_DEMAND]]-Table15[[#This Row],[R-DEMAND]],0)</f>
        <v>0</v>
      </c>
      <c r="S882" s="410">
        <f t="shared" si="13"/>
        <v>0</v>
      </c>
      <c r="T882" s="420">
        <f>Table15[[#This Row],[R-DEMAND]]-(Table15[[#This Row],[ADD ACC]]*1706)</f>
        <v>0</v>
      </c>
      <c r="U882" s="420">
        <f>ROUNDDOWN(Table15[[#This Row],[Column1]]/1360,0)</f>
        <v>0</v>
      </c>
      <c r="V882" s="420"/>
      <c r="W882" s="349"/>
      <c r="X882" s="349"/>
      <c r="Y882" s="349"/>
      <c r="Z882" s="349"/>
    </row>
    <row r="883" spans="1:26" ht="15.75" customHeight="1" x14ac:dyDescent="0.25">
      <c r="A883" s="341" t="s">
        <v>18251</v>
      </c>
      <c r="B883" s="212" t="s">
        <v>3173</v>
      </c>
      <c r="C883" s="212"/>
      <c r="D883" s="226">
        <v>2</v>
      </c>
      <c r="E883" s="226" t="s">
        <v>1427</v>
      </c>
      <c r="F883" s="212" t="s">
        <v>12674</v>
      </c>
      <c r="G883" s="404" t="s">
        <v>16904</v>
      </c>
      <c r="H883" s="343">
        <v>6393</v>
      </c>
      <c r="I883" s="342"/>
      <c r="J883" s="346"/>
      <c r="K883" s="345">
        <f>IFERROR(Table15[[#This Row],[ROUTE $]]/Table15[[#This Row],[E - DEMAND]],0)</f>
        <v>0</v>
      </c>
      <c r="L883" s="212"/>
      <c r="M883" s="413">
        <f>IFERROR(VLOOKUP(Table15[[#This Row],[ROUTE]],DEMAND!A:F,5,FALSE),0)</f>
        <v>0</v>
      </c>
      <c r="N883" s="251">
        <f>IFERROR(VLOOKUP(Table15[[#This Row],[ROUTE]],DEMAND!A:F,6,FALSE),0)</f>
        <v>0</v>
      </c>
      <c r="O883" s="349"/>
      <c r="P883" s="349"/>
      <c r="Q883" s="416">
        <f>IFERROR(VLOOKUP(Table15[[#This Row],[ROUTE]],PRICING!A:B,2,FALSE),0)</f>
        <v>0</v>
      </c>
      <c r="R883" s="409">
        <f>IFERROR(Table15[[#This Row],[C_DEMAND]]-Table15[[#This Row],[R-DEMAND]],0)</f>
        <v>0</v>
      </c>
      <c r="S883" s="410">
        <f t="shared" si="13"/>
        <v>0</v>
      </c>
      <c r="T883" s="420">
        <f>Table15[[#This Row],[R-DEMAND]]-(Table15[[#This Row],[ADD ACC]]*1706)</f>
        <v>0</v>
      </c>
      <c r="U883" s="420">
        <f>ROUNDDOWN(Table15[[#This Row],[Column1]]/1360,0)</f>
        <v>0</v>
      </c>
      <c r="V883" s="420"/>
      <c r="W883" s="349"/>
      <c r="X883" s="349"/>
      <c r="Y883" s="349"/>
      <c r="Z883" s="349"/>
    </row>
    <row r="884" spans="1:26" ht="15.75" customHeight="1" x14ac:dyDescent="0.25">
      <c r="A884" s="210" t="s">
        <v>15124</v>
      </c>
      <c r="B884" s="204" t="s">
        <v>3483</v>
      </c>
      <c r="C884" s="204"/>
      <c r="D884" s="205">
        <v>2</v>
      </c>
      <c r="E884" s="204" t="s">
        <v>1749</v>
      </c>
      <c r="F884" s="204" t="str">
        <f>VLOOKUP(E884,Table10[[COUNTRY NAME]:[CONTINENT CODE]],3,FALSE)</f>
        <v>NA</v>
      </c>
      <c r="G884" s="206" t="s">
        <v>13215</v>
      </c>
      <c r="H884" s="207">
        <v>15206</v>
      </c>
      <c r="I884" s="208">
        <v>35.75</v>
      </c>
      <c r="J884" s="345"/>
      <c r="K884" s="345">
        <f>IFERROR(Table15[[#This Row],[ROUTE $]]/Table15[[#This Row],[E - DEMAND]],0)</f>
        <v>0</v>
      </c>
      <c r="L884" s="204"/>
      <c r="M884" s="412">
        <f>IFERROR(VLOOKUP(Table15[[#This Row],[ROUTE]],DEMAND!A:F,5,FALSE),0)</f>
        <v>0</v>
      </c>
      <c r="N884" s="16">
        <f>IFERROR(VLOOKUP(Table15[[#This Row],[ROUTE]],DEMAND!A:F,6,FALSE),0)</f>
        <v>0</v>
      </c>
      <c r="O884" s="16">
        <f>IFERROR(ROUNDDOWN(Table15[[#This Row],[R-DEMAND]]/1706,0),0)</f>
        <v>0</v>
      </c>
      <c r="P884" s="16">
        <f>IFERROR(Table15[[#This Row],[ADD ACC]]*Table15[[#This Row],[RT TIME 
(380-800)]],0)</f>
        <v>0</v>
      </c>
      <c r="Q884" s="415">
        <f>IFERROR(VLOOKUP(Table15[[#This Row],[ROUTE]],PRICING!A:B,2,FALSE),0)</f>
        <v>0</v>
      </c>
      <c r="R884" s="235">
        <f>IFERROR(Table15[[#This Row],[C_DEMAND]]-Table15[[#This Row],[R-DEMAND]],0)</f>
        <v>0</v>
      </c>
      <c r="S884" s="408">
        <f t="shared" si="13"/>
        <v>0</v>
      </c>
      <c r="T884" s="419">
        <f>Table15[[#This Row],[R-DEMAND]]-(Table15[[#This Row],[ADD ACC]]*1706)</f>
        <v>0</v>
      </c>
      <c r="U884" s="419">
        <f>ROUNDDOWN(Table15[[#This Row],[Column1]]/1360,0)</f>
        <v>0</v>
      </c>
      <c r="V884" s="419"/>
      <c r="W884" s="349"/>
      <c r="X884" s="349"/>
      <c r="Y884" s="349"/>
      <c r="Z884" s="349"/>
    </row>
    <row r="885" spans="1:26" ht="15.75" customHeight="1" x14ac:dyDescent="0.25">
      <c r="A885" s="210" t="s">
        <v>15121</v>
      </c>
      <c r="B885" s="204" t="s">
        <v>3574</v>
      </c>
      <c r="C885" s="204"/>
      <c r="D885" s="205">
        <v>2</v>
      </c>
      <c r="E885" s="204" t="s">
        <v>1749</v>
      </c>
      <c r="F885" s="204" t="str">
        <f>VLOOKUP(E885,Table10[[COUNTRY NAME]:[CONTINENT CODE]],3,FALSE)</f>
        <v>NA</v>
      </c>
      <c r="G885" s="206" t="s">
        <v>13221</v>
      </c>
      <c r="H885" s="207">
        <v>15373</v>
      </c>
      <c r="I885" s="208">
        <v>36.25</v>
      </c>
      <c r="J885" s="345"/>
      <c r="K885" s="345">
        <f>IFERROR(Table15[[#This Row],[ROUTE $]]/Table15[[#This Row],[E - DEMAND]],0)</f>
        <v>0</v>
      </c>
      <c r="L885" s="204"/>
      <c r="M885" s="412">
        <f>IFERROR(VLOOKUP(Table15[[#This Row],[ROUTE]],DEMAND!A:F,5,FALSE),0)</f>
        <v>0</v>
      </c>
      <c r="N885" s="16">
        <f>IFERROR(VLOOKUP(Table15[[#This Row],[ROUTE]],DEMAND!A:F,6,FALSE),0)</f>
        <v>0</v>
      </c>
      <c r="O885" s="16">
        <f>IFERROR(ROUNDDOWN(Table15[[#This Row],[R-DEMAND]]/1706,0),0)</f>
        <v>0</v>
      </c>
      <c r="P885" s="16">
        <f>IFERROR(Table15[[#This Row],[ADD ACC]]*Table15[[#This Row],[RT TIME 
(380-800)]],0)</f>
        <v>0</v>
      </c>
      <c r="Q885" s="415">
        <f>IFERROR(VLOOKUP(Table15[[#This Row],[ROUTE]],PRICING!A:B,2,FALSE),0)</f>
        <v>0</v>
      </c>
      <c r="R885" s="235">
        <f>IFERROR(Table15[[#This Row],[C_DEMAND]]-Table15[[#This Row],[R-DEMAND]],0)</f>
        <v>0</v>
      </c>
      <c r="S885" s="408">
        <f t="shared" si="13"/>
        <v>0</v>
      </c>
      <c r="T885" s="419">
        <f>Table15[[#This Row],[R-DEMAND]]-(Table15[[#This Row],[ADD ACC]]*1706)</f>
        <v>0</v>
      </c>
      <c r="U885" s="419">
        <f>ROUNDDOWN(Table15[[#This Row],[Column1]]/1360,0)</f>
        <v>0</v>
      </c>
      <c r="V885" s="419"/>
      <c r="W885" s="349"/>
      <c r="X885" s="349"/>
      <c r="Y885" s="349"/>
      <c r="Z885" s="349"/>
    </row>
    <row r="886" spans="1:26" ht="15.75" customHeight="1" x14ac:dyDescent="0.25">
      <c r="A886" s="341" t="s">
        <v>18303</v>
      </c>
      <c r="B886" s="212" t="s">
        <v>3745</v>
      </c>
      <c r="C886" s="212"/>
      <c r="D886" s="226">
        <v>2</v>
      </c>
      <c r="E886" s="226" t="s">
        <v>597</v>
      </c>
      <c r="F886" s="212" t="s">
        <v>12674</v>
      </c>
      <c r="G886" s="404" t="s">
        <v>16880</v>
      </c>
      <c r="H886" s="343">
        <v>5049</v>
      </c>
      <c r="I886" s="342"/>
      <c r="J886" s="346"/>
      <c r="K886" s="345">
        <f>IFERROR(Table15[[#This Row],[ROUTE $]]/Table15[[#This Row],[E - DEMAND]],0)</f>
        <v>0</v>
      </c>
      <c r="L886" s="212"/>
      <c r="M886" s="413">
        <f>IFERROR(VLOOKUP(Table15[[#This Row],[ROUTE]],DEMAND!A:F,5,FALSE),0)</f>
        <v>0</v>
      </c>
      <c r="N886" s="251">
        <f>IFERROR(VLOOKUP(Table15[[#This Row],[ROUTE]],DEMAND!A:F,6,FALSE),0)</f>
        <v>0</v>
      </c>
      <c r="O886" s="349"/>
      <c r="P886" s="349"/>
      <c r="Q886" s="416">
        <f>IFERROR(VLOOKUP(Table15[[#This Row],[ROUTE]],PRICING!A:B,2,FALSE),0)</f>
        <v>0</v>
      </c>
      <c r="R886" s="409">
        <f>IFERROR(Table15[[#This Row],[C_DEMAND]]-Table15[[#This Row],[R-DEMAND]],0)</f>
        <v>0</v>
      </c>
      <c r="S886" s="410">
        <f t="shared" si="13"/>
        <v>0</v>
      </c>
      <c r="T886" s="420">
        <f>Table15[[#This Row],[R-DEMAND]]-(Table15[[#This Row],[ADD ACC]]*1706)</f>
        <v>0</v>
      </c>
      <c r="U886" s="420">
        <f>ROUNDDOWN(Table15[[#This Row],[Column1]]/1360,0)</f>
        <v>0</v>
      </c>
      <c r="V886" s="420"/>
      <c r="W886" s="349"/>
      <c r="X886" s="349"/>
      <c r="Y886" s="349"/>
      <c r="Z886" s="349"/>
    </row>
    <row r="887" spans="1:26" ht="15.75" customHeight="1" x14ac:dyDescent="0.25">
      <c r="A887" s="341" t="s">
        <v>18217</v>
      </c>
      <c r="B887" s="212" t="s">
        <v>4204</v>
      </c>
      <c r="C887" s="212"/>
      <c r="D887" s="226">
        <v>2</v>
      </c>
      <c r="E887" s="226" t="s">
        <v>669</v>
      </c>
      <c r="F887" s="212" t="s">
        <v>12671</v>
      </c>
      <c r="G887" s="226" t="s">
        <v>16926</v>
      </c>
      <c r="H887" s="343">
        <v>8607</v>
      </c>
      <c r="I887" s="342"/>
      <c r="J887" s="346"/>
      <c r="K887" s="345">
        <f>IFERROR(Table15[[#This Row],[ROUTE $]]/Table15[[#This Row],[E - DEMAND]],0)</f>
        <v>0</v>
      </c>
      <c r="L887" s="212"/>
      <c r="M887" s="413">
        <f>IFERROR(VLOOKUP(Table15[[#This Row],[ROUTE]],DEMAND!A:F,5,FALSE),0)</f>
        <v>0</v>
      </c>
      <c r="N887" s="251">
        <f>IFERROR(VLOOKUP(Table15[[#This Row],[ROUTE]],DEMAND!A:F,6,FALSE),0)</f>
        <v>0</v>
      </c>
      <c r="O887" s="349"/>
      <c r="P887" s="349"/>
      <c r="Q887" s="416">
        <f>IFERROR(VLOOKUP(Table15[[#This Row],[ROUTE]],PRICING!A:B,2,FALSE),0)</f>
        <v>0</v>
      </c>
      <c r="R887" s="409">
        <f>IFERROR(Table15[[#This Row],[C_DEMAND]]-Table15[[#This Row],[R-DEMAND]],0)</f>
        <v>0</v>
      </c>
      <c r="S887" s="410">
        <f t="shared" si="13"/>
        <v>0</v>
      </c>
      <c r="T887" s="420">
        <f>Table15[[#This Row],[R-DEMAND]]-(Table15[[#This Row],[ADD ACC]]*1706)</f>
        <v>0</v>
      </c>
      <c r="U887" s="420">
        <f>ROUNDDOWN(Table15[[#This Row],[Column1]]/1360,0)</f>
        <v>0</v>
      </c>
      <c r="V887" s="420"/>
      <c r="W887" s="349"/>
      <c r="X887" s="349"/>
      <c r="Y887" s="349"/>
      <c r="Z887" s="349"/>
    </row>
    <row r="888" spans="1:26" ht="15.75" customHeight="1" x14ac:dyDescent="0.25">
      <c r="A888" s="341" t="s">
        <v>18353</v>
      </c>
      <c r="B888" s="212" t="s">
        <v>4496</v>
      </c>
      <c r="C888" s="212"/>
      <c r="D888" s="226">
        <v>2</v>
      </c>
      <c r="E888" s="226" t="s">
        <v>197</v>
      </c>
      <c r="F888" s="212" t="s">
        <v>12670</v>
      </c>
      <c r="G888" s="226" t="s">
        <v>16840</v>
      </c>
      <c r="H888" s="343">
        <v>1663</v>
      </c>
      <c r="I888" s="342"/>
      <c r="J888" s="346"/>
      <c r="K888" s="345">
        <f>IFERROR(Table15[[#This Row],[ROUTE $]]/Table15[[#This Row],[E - DEMAND]],0)</f>
        <v>0</v>
      </c>
      <c r="L888" s="212"/>
      <c r="M888" s="413">
        <f>IFERROR(VLOOKUP(Table15[[#This Row],[ROUTE]],DEMAND!A:F,5,FALSE),0)</f>
        <v>0</v>
      </c>
      <c r="N888" s="251">
        <f>IFERROR(VLOOKUP(Table15[[#This Row],[ROUTE]],DEMAND!A:F,6,FALSE),0)</f>
        <v>0</v>
      </c>
      <c r="O888" s="349"/>
      <c r="P888" s="349"/>
      <c r="Q888" s="416">
        <f>IFERROR(VLOOKUP(Table15[[#This Row],[ROUTE]],PRICING!A:B,2,FALSE),0)</f>
        <v>0</v>
      </c>
      <c r="R888" s="409">
        <f>IFERROR(Table15[[#This Row],[C_DEMAND]]-Table15[[#This Row],[R-DEMAND]],0)</f>
        <v>0</v>
      </c>
      <c r="S888" s="410">
        <f t="shared" si="13"/>
        <v>0</v>
      </c>
      <c r="T888" s="420">
        <f>Table15[[#This Row],[R-DEMAND]]-(Table15[[#This Row],[ADD ACC]]*1706)</f>
        <v>0</v>
      </c>
      <c r="U888" s="420">
        <f>ROUNDDOWN(Table15[[#This Row],[Column1]]/1360,0)</f>
        <v>0</v>
      </c>
      <c r="V888" s="420"/>
      <c r="W888" s="349"/>
      <c r="X888" s="349"/>
      <c r="Y888" s="349"/>
      <c r="Z888" s="349"/>
    </row>
    <row r="889" spans="1:26" ht="15.75" customHeight="1" x14ac:dyDescent="0.25">
      <c r="A889" s="341" t="s">
        <v>18356</v>
      </c>
      <c r="B889" s="212" t="s">
        <v>3513</v>
      </c>
      <c r="C889" s="212"/>
      <c r="D889" s="226">
        <v>2</v>
      </c>
      <c r="E889" s="226" t="s">
        <v>197</v>
      </c>
      <c r="F889" s="212" t="s">
        <v>12670</v>
      </c>
      <c r="G889" s="226" t="s">
        <v>16836</v>
      </c>
      <c r="H889" s="343">
        <v>1244</v>
      </c>
      <c r="I889" s="342"/>
      <c r="J889" s="346"/>
      <c r="K889" s="345">
        <f>IFERROR(Table15[[#This Row],[ROUTE $]]/Table15[[#This Row],[E - DEMAND]],0)</f>
        <v>0</v>
      </c>
      <c r="L889" s="212"/>
      <c r="M889" s="413">
        <f>IFERROR(VLOOKUP(Table15[[#This Row],[ROUTE]],DEMAND!A:F,5,FALSE),0)</f>
        <v>0</v>
      </c>
      <c r="N889" s="251">
        <f>IFERROR(VLOOKUP(Table15[[#This Row],[ROUTE]],DEMAND!A:F,6,FALSE),0)</f>
        <v>0</v>
      </c>
      <c r="O889" s="349"/>
      <c r="P889" s="349"/>
      <c r="Q889" s="416">
        <f>IFERROR(VLOOKUP(Table15[[#This Row],[ROUTE]],PRICING!A:B,2,FALSE),0)</f>
        <v>0</v>
      </c>
      <c r="R889" s="409">
        <f>IFERROR(Table15[[#This Row],[C_DEMAND]]-Table15[[#This Row],[R-DEMAND]],0)</f>
        <v>0</v>
      </c>
      <c r="S889" s="410">
        <f t="shared" si="13"/>
        <v>0</v>
      </c>
      <c r="T889" s="420">
        <f>Table15[[#This Row],[R-DEMAND]]-(Table15[[#This Row],[ADD ACC]]*1706)</f>
        <v>0</v>
      </c>
      <c r="U889" s="420">
        <f>ROUNDDOWN(Table15[[#This Row],[Column1]]/1360,0)</f>
        <v>0</v>
      </c>
      <c r="V889" s="420"/>
      <c r="W889" s="349"/>
      <c r="X889" s="349"/>
      <c r="Y889" s="349"/>
      <c r="Z889" s="349"/>
    </row>
    <row r="890" spans="1:26" ht="15.75" customHeight="1" x14ac:dyDescent="0.25">
      <c r="A890" s="341" t="s">
        <v>18358</v>
      </c>
      <c r="B890" s="212" t="s">
        <v>2567</v>
      </c>
      <c r="C890" s="212"/>
      <c r="D890" s="226">
        <v>2</v>
      </c>
      <c r="E890" s="226" t="s">
        <v>197</v>
      </c>
      <c r="F890" s="212" t="s">
        <v>12670</v>
      </c>
      <c r="G890" s="226" t="s">
        <v>16835</v>
      </c>
      <c r="H890" s="343">
        <v>1046</v>
      </c>
      <c r="I890" s="342"/>
      <c r="J890" s="346"/>
      <c r="K890" s="345">
        <f>IFERROR(Table15[[#This Row],[ROUTE $]]/Table15[[#This Row],[E - DEMAND]],0)</f>
        <v>0</v>
      </c>
      <c r="L890" s="212"/>
      <c r="M890" s="413">
        <f>IFERROR(VLOOKUP(Table15[[#This Row],[ROUTE]],DEMAND!A:F,5,FALSE),0)</f>
        <v>0</v>
      </c>
      <c r="N890" s="251">
        <f>IFERROR(VLOOKUP(Table15[[#This Row],[ROUTE]],DEMAND!A:F,6,FALSE),0)</f>
        <v>0</v>
      </c>
      <c r="O890" s="349"/>
      <c r="P890" s="349"/>
      <c r="Q890" s="416">
        <f>IFERROR(VLOOKUP(Table15[[#This Row],[ROUTE]],PRICING!A:B,2,FALSE),0)</f>
        <v>0</v>
      </c>
      <c r="R890" s="409">
        <f>IFERROR(Table15[[#This Row],[C_DEMAND]]-Table15[[#This Row],[R-DEMAND]],0)</f>
        <v>0</v>
      </c>
      <c r="S890" s="410">
        <f t="shared" si="13"/>
        <v>0</v>
      </c>
      <c r="T890" s="420">
        <f>Table15[[#This Row],[R-DEMAND]]-(Table15[[#This Row],[ADD ACC]]*1706)</f>
        <v>0</v>
      </c>
      <c r="U890" s="420">
        <f>ROUNDDOWN(Table15[[#This Row],[Column1]]/1360,0)</f>
        <v>0</v>
      </c>
      <c r="V890" s="420"/>
      <c r="W890" s="349"/>
      <c r="X890" s="349"/>
      <c r="Y890" s="349"/>
      <c r="Z890" s="349"/>
    </row>
    <row r="891" spans="1:26" ht="15.75" customHeight="1" x14ac:dyDescent="0.25">
      <c r="A891" s="341" t="s">
        <v>18288</v>
      </c>
      <c r="B891" s="212" t="s">
        <v>4237</v>
      </c>
      <c r="C891" s="212"/>
      <c r="D891" s="226">
        <v>2</v>
      </c>
      <c r="E891" s="226" t="s">
        <v>717</v>
      </c>
      <c r="F891" s="212" t="s">
        <v>12670</v>
      </c>
      <c r="G891" s="226" t="s">
        <v>18108</v>
      </c>
      <c r="H891" s="343">
        <v>5479</v>
      </c>
      <c r="I891" s="342"/>
      <c r="J891" s="346"/>
      <c r="K891" s="345">
        <f>IFERROR(Table15[[#This Row],[ROUTE $]]/Table15[[#This Row],[E - DEMAND]],0)</f>
        <v>0</v>
      </c>
      <c r="L891" s="212"/>
      <c r="M891" s="413">
        <f>IFERROR(VLOOKUP(Table15[[#This Row],[ROUTE]],DEMAND!A:F,5,FALSE),0)</f>
        <v>0</v>
      </c>
      <c r="N891" s="251">
        <f>IFERROR(VLOOKUP(Table15[[#This Row],[ROUTE]],DEMAND!A:F,6,FALSE),0)</f>
        <v>0</v>
      </c>
      <c r="O891" s="349"/>
      <c r="P891" s="349"/>
      <c r="Q891" s="416">
        <f>IFERROR(VLOOKUP(Table15[[#This Row],[ROUTE]],PRICING!A:B,2,FALSE),0)</f>
        <v>0</v>
      </c>
      <c r="R891" s="409">
        <f>IFERROR(Table15[[#This Row],[C_DEMAND]]-Table15[[#This Row],[R-DEMAND]],0)</f>
        <v>0</v>
      </c>
      <c r="S891" s="410">
        <f t="shared" si="13"/>
        <v>0</v>
      </c>
      <c r="T891" s="420">
        <f>Table15[[#This Row],[R-DEMAND]]-(Table15[[#This Row],[ADD ACC]]*1706)</f>
        <v>0</v>
      </c>
      <c r="U891" s="420">
        <f>ROUNDDOWN(Table15[[#This Row],[Column1]]/1360,0)</f>
        <v>0</v>
      </c>
      <c r="V891" s="420"/>
      <c r="W891" s="349"/>
      <c r="X891" s="349"/>
      <c r="Y891" s="349"/>
      <c r="Z891" s="349"/>
    </row>
    <row r="892" spans="1:26" ht="15.75" customHeight="1" x14ac:dyDescent="0.25">
      <c r="A892" s="341" t="s">
        <v>18304</v>
      </c>
      <c r="B892" s="212" t="s">
        <v>4346</v>
      </c>
      <c r="C892" s="212"/>
      <c r="D892" s="226">
        <v>2</v>
      </c>
      <c r="E892" s="226" t="s">
        <v>717</v>
      </c>
      <c r="F892" s="212" t="s">
        <v>12670</v>
      </c>
      <c r="G892" s="226" t="s">
        <v>18111</v>
      </c>
      <c r="H892" s="343">
        <v>5036</v>
      </c>
      <c r="I892" s="342"/>
      <c r="J892" s="346"/>
      <c r="K892" s="345">
        <f>IFERROR(Table15[[#This Row],[ROUTE $]]/Table15[[#This Row],[E - DEMAND]],0)</f>
        <v>0</v>
      </c>
      <c r="L892" s="212"/>
      <c r="M892" s="413">
        <f>IFERROR(VLOOKUP(Table15[[#This Row],[ROUTE]],DEMAND!A:F,5,FALSE),0)</f>
        <v>0</v>
      </c>
      <c r="N892" s="251">
        <f>IFERROR(VLOOKUP(Table15[[#This Row],[ROUTE]],DEMAND!A:F,6,FALSE),0)</f>
        <v>0</v>
      </c>
      <c r="O892" s="349"/>
      <c r="P892" s="349"/>
      <c r="Q892" s="416">
        <f>IFERROR(VLOOKUP(Table15[[#This Row],[ROUTE]],PRICING!A:B,2,FALSE),0)</f>
        <v>0</v>
      </c>
      <c r="R892" s="409">
        <f>IFERROR(Table15[[#This Row],[C_DEMAND]]-Table15[[#This Row],[R-DEMAND]],0)</f>
        <v>0</v>
      </c>
      <c r="S892" s="410">
        <f t="shared" si="13"/>
        <v>0</v>
      </c>
      <c r="T892" s="420">
        <f>Table15[[#This Row],[R-DEMAND]]-(Table15[[#This Row],[ADD ACC]]*1706)</f>
        <v>0</v>
      </c>
      <c r="U892" s="420">
        <f>ROUNDDOWN(Table15[[#This Row],[Column1]]/1360,0)</f>
        <v>0</v>
      </c>
      <c r="V892" s="420"/>
      <c r="W892" s="349"/>
      <c r="X892" s="349"/>
      <c r="Y892" s="349"/>
      <c r="Z892" s="349"/>
    </row>
    <row r="893" spans="1:26" ht="15.75" customHeight="1" x14ac:dyDescent="0.25">
      <c r="A893" s="210" t="s">
        <v>15122</v>
      </c>
      <c r="B893" s="204" t="s">
        <v>3972</v>
      </c>
      <c r="C893" s="204"/>
      <c r="D893" s="205">
        <v>2</v>
      </c>
      <c r="E893" s="204" t="s">
        <v>1749</v>
      </c>
      <c r="F893" s="204" t="str">
        <f>VLOOKUP(E893,Table10[[COUNTRY NAME]:[CONTINENT CODE]],3,FALSE)</f>
        <v>NA</v>
      </c>
      <c r="G893" s="206" t="s">
        <v>13217</v>
      </c>
      <c r="H893" s="207">
        <v>15325</v>
      </c>
      <c r="I893" s="208">
        <v>36</v>
      </c>
      <c r="J893" s="345"/>
      <c r="K893" s="345">
        <f>IFERROR(Table15[[#This Row],[ROUTE $]]/Table15[[#This Row],[E - DEMAND]],0)</f>
        <v>0</v>
      </c>
      <c r="L893" s="204"/>
      <c r="M893" s="412">
        <f>IFERROR(VLOOKUP(Table15[[#This Row],[ROUTE]],DEMAND!A:F,5,FALSE),0)</f>
        <v>0</v>
      </c>
      <c r="N893" s="16">
        <f>IFERROR(VLOOKUP(Table15[[#This Row],[ROUTE]],DEMAND!A:F,6,FALSE),0)</f>
        <v>0</v>
      </c>
      <c r="O893" s="16">
        <f>IFERROR(ROUNDDOWN(Table15[[#This Row],[R-DEMAND]]/1706,0),0)</f>
        <v>0</v>
      </c>
      <c r="P893" s="16">
        <f>IFERROR(Table15[[#This Row],[ADD ACC]]*Table15[[#This Row],[RT TIME 
(380-800)]],0)</f>
        <v>0</v>
      </c>
      <c r="Q893" s="415">
        <f>IFERROR(VLOOKUP(Table15[[#This Row],[ROUTE]],PRICING!A:B,2,FALSE),0)</f>
        <v>0</v>
      </c>
      <c r="R893" s="235">
        <f>IFERROR(Table15[[#This Row],[C_DEMAND]]-Table15[[#This Row],[R-DEMAND]],0)</f>
        <v>0</v>
      </c>
      <c r="S893" s="408">
        <f t="shared" si="13"/>
        <v>0</v>
      </c>
      <c r="T893" s="419">
        <f>Table15[[#This Row],[R-DEMAND]]-(Table15[[#This Row],[ADD ACC]]*1706)</f>
        <v>0</v>
      </c>
      <c r="U893" s="419">
        <f>ROUNDDOWN(Table15[[#This Row],[Column1]]/1360,0)</f>
        <v>0</v>
      </c>
      <c r="V893" s="419"/>
      <c r="W893" s="349"/>
      <c r="X893" s="349"/>
      <c r="Y893" s="349"/>
      <c r="Z893" s="349"/>
    </row>
    <row r="894" spans="1:26" ht="15.75" customHeight="1" x14ac:dyDescent="0.25">
      <c r="A894" s="341" t="s">
        <v>18120</v>
      </c>
      <c r="B894" s="212" t="s">
        <v>3970</v>
      </c>
      <c r="C894" s="212"/>
      <c r="D894" s="226">
        <v>2</v>
      </c>
      <c r="E894" s="226" t="s">
        <v>1749</v>
      </c>
      <c r="F894" s="212" t="s">
        <v>12688</v>
      </c>
      <c r="G894" s="226" t="s">
        <v>17023</v>
      </c>
      <c r="H894" s="343">
        <v>15095</v>
      </c>
      <c r="I894" s="342"/>
      <c r="J894" s="346"/>
      <c r="K894" s="345">
        <f>IFERROR(Table15[[#This Row],[ROUTE $]]/Table15[[#This Row],[E - DEMAND]],0)</f>
        <v>0</v>
      </c>
      <c r="L894" s="212"/>
      <c r="M894" s="413">
        <f>IFERROR(VLOOKUP(Table15[[#This Row],[ROUTE]],DEMAND!A:F,5,FALSE),0)</f>
        <v>0</v>
      </c>
      <c r="N894" s="251">
        <f>IFERROR(VLOOKUP(Table15[[#This Row],[ROUTE]],DEMAND!A:F,6,FALSE),0)</f>
        <v>0</v>
      </c>
      <c r="O894" s="349"/>
      <c r="P894" s="349"/>
      <c r="Q894" s="416">
        <f>IFERROR(VLOOKUP(Table15[[#This Row],[ROUTE]],PRICING!A:B,2,FALSE),0)</f>
        <v>0</v>
      </c>
      <c r="R894" s="409">
        <f>IFERROR(Table15[[#This Row],[C_DEMAND]]-Table15[[#This Row],[R-DEMAND]],0)</f>
        <v>0</v>
      </c>
      <c r="S894" s="410">
        <f t="shared" si="13"/>
        <v>0</v>
      </c>
      <c r="T894" s="420">
        <f>Table15[[#This Row],[R-DEMAND]]-(Table15[[#This Row],[ADD ACC]]*1706)</f>
        <v>0</v>
      </c>
      <c r="U894" s="420">
        <f>ROUNDDOWN(Table15[[#This Row],[Column1]]/1360,0)</f>
        <v>0</v>
      </c>
      <c r="V894" s="420"/>
      <c r="W894" s="349"/>
      <c r="X894" s="349"/>
      <c r="Y894" s="349"/>
      <c r="Z894" s="349"/>
    </row>
    <row r="895" spans="1:26" ht="15.75" customHeight="1" x14ac:dyDescent="0.25">
      <c r="A895" s="341" t="s">
        <v>18121</v>
      </c>
      <c r="B895" s="212" t="s">
        <v>4034</v>
      </c>
      <c r="C895" s="212"/>
      <c r="D895" s="226">
        <v>2</v>
      </c>
      <c r="E895" s="226" t="s">
        <v>1749</v>
      </c>
      <c r="F895" s="212" t="s">
        <v>12688</v>
      </c>
      <c r="G895" s="226" t="s">
        <v>16977</v>
      </c>
      <c r="H895" s="343">
        <v>15037</v>
      </c>
      <c r="I895" s="342"/>
      <c r="J895" s="346"/>
      <c r="K895" s="345">
        <f>IFERROR(Table15[[#This Row],[ROUTE $]]/Table15[[#This Row],[E - DEMAND]],0)</f>
        <v>0</v>
      </c>
      <c r="L895" s="212"/>
      <c r="M895" s="413">
        <f>IFERROR(VLOOKUP(Table15[[#This Row],[ROUTE]],DEMAND!A:F,5,FALSE),0)</f>
        <v>0</v>
      </c>
      <c r="N895" s="251">
        <f>IFERROR(VLOOKUP(Table15[[#This Row],[ROUTE]],DEMAND!A:F,6,FALSE),0)</f>
        <v>0</v>
      </c>
      <c r="O895" s="349"/>
      <c r="P895" s="349"/>
      <c r="Q895" s="416">
        <f>IFERROR(VLOOKUP(Table15[[#This Row],[ROUTE]],PRICING!A:B,2,FALSE),0)</f>
        <v>0</v>
      </c>
      <c r="R895" s="409">
        <f>IFERROR(Table15[[#This Row],[C_DEMAND]]-Table15[[#This Row],[R-DEMAND]],0)</f>
        <v>0</v>
      </c>
      <c r="S895" s="410">
        <f t="shared" si="13"/>
        <v>0</v>
      </c>
      <c r="T895" s="420">
        <f>Table15[[#This Row],[R-DEMAND]]-(Table15[[#This Row],[ADD ACC]]*1706)</f>
        <v>0</v>
      </c>
      <c r="U895" s="420">
        <f>ROUNDDOWN(Table15[[#This Row],[Column1]]/1360,0)</f>
        <v>0</v>
      </c>
      <c r="V895" s="420"/>
      <c r="W895" s="349"/>
      <c r="X895" s="349"/>
      <c r="Y895" s="349"/>
      <c r="Z895" s="349"/>
    </row>
    <row r="896" spans="1:26" ht="15.75" customHeight="1" x14ac:dyDescent="0.25">
      <c r="A896" s="341" t="s">
        <v>18126</v>
      </c>
      <c r="B896" s="212" t="s">
        <v>4451</v>
      </c>
      <c r="C896" s="212"/>
      <c r="D896" s="226">
        <v>2</v>
      </c>
      <c r="E896" s="226" t="s">
        <v>1749</v>
      </c>
      <c r="F896" s="212" t="s">
        <v>12688</v>
      </c>
      <c r="G896" s="226" t="s">
        <v>16973</v>
      </c>
      <c r="H896" s="343">
        <v>14703</v>
      </c>
      <c r="I896" s="342"/>
      <c r="J896" s="346"/>
      <c r="K896" s="345">
        <f>IFERROR(Table15[[#This Row],[ROUTE $]]/Table15[[#This Row],[E - DEMAND]],0)</f>
        <v>0</v>
      </c>
      <c r="L896" s="212"/>
      <c r="M896" s="413">
        <f>IFERROR(VLOOKUP(Table15[[#This Row],[ROUTE]],DEMAND!A:F,5,FALSE),0)</f>
        <v>0</v>
      </c>
      <c r="N896" s="251">
        <f>IFERROR(VLOOKUP(Table15[[#This Row],[ROUTE]],DEMAND!A:F,6,FALSE),0)</f>
        <v>0</v>
      </c>
      <c r="O896" s="349"/>
      <c r="P896" s="349"/>
      <c r="Q896" s="416">
        <f>IFERROR(VLOOKUP(Table15[[#This Row],[ROUTE]],PRICING!A:B,2,FALSE),0)</f>
        <v>0</v>
      </c>
      <c r="R896" s="409">
        <f>IFERROR(Table15[[#This Row],[C_DEMAND]]-Table15[[#This Row],[R-DEMAND]],0)</f>
        <v>0</v>
      </c>
      <c r="S896" s="410">
        <f t="shared" si="13"/>
        <v>0</v>
      </c>
      <c r="T896" s="420">
        <f>Table15[[#This Row],[R-DEMAND]]-(Table15[[#This Row],[ADD ACC]]*1706)</f>
        <v>0</v>
      </c>
      <c r="U896" s="420">
        <f>ROUNDDOWN(Table15[[#This Row],[Column1]]/1360,0)</f>
        <v>0</v>
      </c>
      <c r="V896" s="420"/>
      <c r="W896" s="349"/>
      <c r="X896" s="349"/>
      <c r="Y896" s="349"/>
      <c r="Z896" s="349"/>
    </row>
    <row r="897" spans="1:26" ht="15.75" customHeight="1" x14ac:dyDescent="0.25">
      <c r="A897" s="341" t="s">
        <v>18131</v>
      </c>
      <c r="B897" s="212" t="s">
        <v>4363</v>
      </c>
      <c r="C897" s="212"/>
      <c r="D897" s="226">
        <v>2</v>
      </c>
      <c r="E897" s="226" t="s">
        <v>1749</v>
      </c>
      <c r="F897" s="212" t="s">
        <v>12688</v>
      </c>
      <c r="G897" s="226" t="s">
        <v>16970</v>
      </c>
      <c r="H897" s="343">
        <v>14378</v>
      </c>
      <c r="I897" s="342"/>
      <c r="J897" s="346"/>
      <c r="K897" s="345">
        <f>IFERROR(Table15[[#This Row],[ROUTE $]]/Table15[[#This Row],[E - DEMAND]],0)</f>
        <v>0</v>
      </c>
      <c r="L897" s="212"/>
      <c r="M897" s="413">
        <f>IFERROR(VLOOKUP(Table15[[#This Row],[ROUTE]],DEMAND!A:F,5,FALSE),0)</f>
        <v>0</v>
      </c>
      <c r="N897" s="251">
        <f>IFERROR(VLOOKUP(Table15[[#This Row],[ROUTE]],DEMAND!A:F,6,FALSE),0)</f>
        <v>0</v>
      </c>
      <c r="O897" s="349"/>
      <c r="P897" s="349"/>
      <c r="Q897" s="416">
        <f>IFERROR(VLOOKUP(Table15[[#This Row],[ROUTE]],PRICING!A:B,2,FALSE),0)</f>
        <v>0</v>
      </c>
      <c r="R897" s="409">
        <f>IFERROR(Table15[[#This Row],[C_DEMAND]]-Table15[[#This Row],[R-DEMAND]],0)</f>
        <v>0</v>
      </c>
      <c r="S897" s="410">
        <f t="shared" si="13"/>
        <v>0</v>
      </c>
      <c r="T897" s="420">
        <f>Table15[[#This Row],[R-DEMAND]]-(Table15[[#This Row],[ADD ACC]]*1706)</f>
        <v>0</v>
      </c>
      <c r="U897" s="420">
        <f>ROUNDDOWN(Table15[[#This Row],[Column1]]/1360,0)</f>
        <v>0</v>
      </c>
      <c r="V897" s="420"/>
      <c r="W897" s="349"/>
      <c r="X897" s="349"/>
      <c r="Y897" s="349"/>
      <c r="Z897" s="349"/>
    </row>
    <row r="898" spans="1:26" ht="15.75" customHeight="1" x14ac:dyDescent="0.25">
      <c r="A898" s="341" t="s">
        <v>18133</v>
      </c>
      <c r="B898" s="212" t="s">
        <v>4049</v>
      </c>
      <c r="C898" s="212"/>
      <c r="D898" s="226">
        <v>2</v>
      </c>
      <c r="E898" s="226" t="s">
        <v>1749</v>
      </c>
      <c r="F898" s="212" t="s">
        <v>12688</v>
      </c>
      <c r="G898" s="226" t="s">
        <v>16955</v>
      </c>
      <c r="H898" s="343">
        <v>14203</v>
      </c>
      <c r="I898" s="342"/>
      <c r="J898" s="346"/>
      <c r="K898" s="345">
        <f>IFERROR(Table15[[#This Row],[ROUTE $]]/Table15[[#This Row],[E - DEMAND]],0)</f>
        <v>0</v>
      </c>
      <c r="L898" s="212"/>
      <c r="M898" s="413">
        <f>IFERROR(VLOOKUP(Table15[[#This Row],[ROUTE]],DEMAND!A:F,5,FALSE),0)</f>
        <v>0</v>
      </c>
      <c r="N898" s="251">
        <f>IFERROR(VLOOKUP(Table15[[#This Row],[ROUTE]],DEMAND!A:F,6,FALSE),0)</f>
        <v>0</v>
      </c>
      <c r="O898" s="349"/>
      <c r="P898" s="349"/>
      <c r="Q898" s="416">
        <f>IFERROR(VLOOKUP(Table15[[#This Row],[ROUTE]],PRICING!A:B,2,FALSE),0)</f>
        <v>0</v>
      </c>
      <c r="R898" s="409">
        <f>IFERROR(Table15[[#This Row],[C_DEMAND]]-Table15[[#This Row],[R-DEMAND]],0)</f>
        <v>0</v>
      </c>
      <c r="S898" s="410">
        <f t="shared" si="13"/>
        <v>0</v>
      </c>
      <c r="T898" s="420">
        <f>Table15[[#This Row],[R-DEMAND]]-(Table15[[#This Row],[ADD ACC]]*1706)</f>
        <v>0</v>
      </c>
      <c r="U898" s="420">
        <f>ROUNDDOWN(Table15[[#This Row],[Column1]]/1360,0)</f>
        <v>0</v>
      </c>
      <c r="V898" s="420"/>
      <c r="W898" s="349"/>
      <c r="X898" s="349"/>
      <c r="Y898" s="349"/>
      <c r="Z898" s="349"/>
    </row>
    <row r="899" spans="1:26" ht="15.75" customHeight="1" x14ac:dyDescent="0.25">
      <c r="A899" s="210" t="s">
        <v>15149</v>
      </c>
      <c r="B899" s="204" t="s">
        <v>4076</v>
      </c>
      <c r="C899" s="204"/>
      <c r="D899" s="205">
        <v>2</v>
      </c>
      <c r="E899" s="204" t="s">
        <v>2324</v>
      </c>
      <c r="F899" s="204" t="str">
        <f>VLOOKUP(E899,Table10[[COUNTRY NAME]:[CONTINENT CODE]],3,FALSE)</f>
        <v>NA</v>
      </c>
      <c r="G899" s="206" t="s">
        <v>13231</v>
      </c>
      <c r="H899" s="207">
        <v>14525</v>
      </c>
      <c r="I899" s="208">
        <v>34.25</v>
      </c>
      <c r="J899" s="345"/>
      <c r="K899" s="345">
        <f>IFERROR(Table15[[#This Row],[ROUTE $]]/Table15[[#This Row],[E - DEMAND]],0)</f>
        <v>0</v>
      </c>
      <c r="L899" s="204"/>
      <c r="M899" s="412">
        <f>IFERROR(VLOOKUP(Table15[[#This Row],[ROUTE]],DEMAND!A:F,5,FALSE),0)</f>
        <v>0</v>
      </c>
      <c r="N899" s="16">
        <f>IFERROR(VLOOKUP(Table15[[#This Row],[ROUTE]],DEMAND!A:F,6,FALSE),0)</f>
        <v>0</v>
      </c>
      <c r="O899" s="16">
        <f>IFERROR(ROUNDDOWN(Table15[[#This Row],[R-DEMAND]]/1706,0),0)</f>
        <v>0</v>
      </c>
      <c r="P899" s="16">
        <f>IFERROR(Table15[[#This Row],[ADD ACC]]*Table15[[#This Row],[RT TIME 
(380-800)]],0)</f>
        <v>0</v>
      </c>
      <c r="Q899" s="415">
        <f>IFERROR(VLOOKUP(Table15[[#This Row],[ROUTE]],PRICING!A:B,2,FALSE),0)</f>
        <v>0</v>
      </c>
      <c r="R899" s="235">
        <f>IFERROR(Table15[[#This Row],[C_DEMAND]]-Table15[[#This Row],[R-DEMAND]],0)</f>
        <v>0</v>
      </c>
      <c r="S899" s="408">
        <f t="shared" ref="S899:S962" si="14">IFERROR(R899*Q899,0)</f>
        <v>0</v>
      </c>
      <c r="T899" s="419">
        <f>Table15[[#This Row],[R-DEMAND]]-(Table15[[#This Row],[ADD ACC]]*1706)</f>
        <v>0</v>
      </c>
      <c r="U899" s="419">
        <f>ROUNDDOWN(Table15[[#This Row],[Column1]]/1360,0)</f>
        <v>0</v>
      </c>
      <c r="V899" s="419"/>
      <c r="W899" s="349"/>
      <c r="X899" s="349"/>
      <c r="Y899" s="349"/>
      <c r="Z899" s="349"/>
    </row>
    <row r="900" spans="1:26" ht="15.75" customHeight="1" x14ac:dyDescent="0.25">
      <c r="A900" s="210" t="s">
        <v>15145</v>
      </c>
      <c r="B900" s="204" t="s">
        <v>4621</v>
      </c>
      <c r="C900" s="204"/>
      <c r="D900" s="205">
        <v>2</v>
      </c>
      <c r="E900" s="204" t="s">
        <v>2324</v>
      </c>
      <c r="F900" s="204" t="str">
        <f>VLOOKUP(E900,Table10[[COUNTRY NAME]:[CONTINENT CODE]],3,FALSE)</f>
        <v>NA</v>
      </c>
      <c r="G900" s="206" t="s">
        <v>13230</v>
      </c>
      <c r="H900" s="207">
        <v>14579</v>
      </c>
      <c r="I900" s="208">
        <v>34.5</v>
      </c>
      <c r="J900" s="345"/>
      <c r="K900" s="345">
        <f>IFERROR(Table15[[#This Row],[ROUTE $]]/Table15[[#This Row],[E - DEMAND]],0)</f>
        <v>0</v>
      </c>
      <c r="L900" s="204"/>
      <c r="M900" s="412">
        <f>IFERROR(VLOOKUP(Table15[[#This Row],[ROUTE]],DEMAND!A:F,5,FALSE),0)</f>
        <v>0</v>
      </c>
      <c r="N900" s="16">
        <f>IFERROR(VLOOKUP(Table15[[#This Row],[ROUTE]],DEMAND!A:F,6,FALSE),0)</f>
        <v>0</v>
      </c>
      <c r="O900" s="16">
        <f>IFERROR(ROUNDDOWN(Table15[[#This Row],[R-DEMAND]]/1706,0),0)</f>
        <v>0</v>
      </c>
      <c r="P900" s="16">
        <f>IFERROR(Table15[[#This Row],[ADD ACC]]*Table15[[#This Row],[RT TIME 
(380-800)]],0)</f>
        <v>0</v>
      </c>
      <c r="Q900" s="415">
        <f>IFERROR(VLOOKUP(Table15[[#This Row],[ROUTE]],PRICING!A:B,2,FALSE),0)</f>
        <v>0</v>
      </c>
      <c r="R900" s="235">
        <f>IFERROR(Table15[[#This Row],[C_DEMAND]]-Table15[[#This Row],[R-DEMAND]],0)</f>
        <v>0</v>
      </c>
      <c r="S900" s="408">
        <f t="shared" si="14"/>
        <v>0</v>
      </c>
      <c r="T900" s="419">
        <f>Table15[[#This Row],[R-DEMAND]]-(Table15[[#This Row],[ADD ACC]]*1706)</f>
        <v>0</v>
      </c>
      <c r="U900" s="419">
        <f>ROUNDDOWN(Table15[[#This Row],[Column1]]/1360,0)</f>
        <v>0</v>
      </c>
      <c r="V900" s="419"/>
      <c r="W900" s="349"/>
      <c r="X900" s="349"/>
      <c r="Y900" s="349"/>
      <c r="Z900" s="349"/>
    </row>
    <row r="901" spans="1:26" ht="15.75" customHeight="1" x14ac:dyDescent="0.25">
      <c r="A901" s="210" t="s">
        <v>15202</v>
      </c>
      <c r="B901" s="204" t="s">
        <v>3992</v>
      </c>
      <c r="C901" s="204"/>
      <c r="D901" s="205">
        <v>2</v>
      </c>
      <c r="E901" s="204" t="s">
        <v>1946</v>
      </c>
      <c r="F901" s="204" t="str">
        <f>VLOOKUP(E901,Table10[[COUNTRY NAME]:[CONTINENT CODE]],3,FALSE)</f>
        <v>NA</v>
      </c>
      <c r="G901" s="206" t="s">
        <v>13248</v>
      </c>
      <c r="H901" s="207">
        <v>13975</v>
      </c>
      <c r="I901" s="208">
        <v>33</v>
      </c>
      <c r="J901" s="345"/>
      <c r="K901" s="345">
        <f>IFERROR(Table15[[#This Row],[ROUTE $]]/Table15[[#This Row],[E - DEMAND]],0)</f>
        <v>0</v>
      </c>
      <c r="L901" s="204"/>
      <c r="M901" s="412">
        <f>IFERROR(VLOOKUP(Table15[[#This Row],[ROUTE]],DEMAND!A:F,5,FALSE),0)</f>
        <v>0</v>
      </c>
      <c r="N901" s="16">
        <f>IFERROR(VLOOKUP(Table15[[#This Row],[ROUTE]],DEMAND!A:F,6,FALSE),0)</f>
        <v>0</v>
      </c>
      <c r="O901" s="16">
        <f>IFERROR(ROUNDDOWN(Table15[[#This Row],[R-DEMAND]]/1706,0),0)</f>
        <v>0</v>
      </c>
      <c r="P901" s="16">
        <f>IFERROR(Table15[[#This Row],[ADD ACC]]*Table15[[#This Row],[RT TIME 
(380-800)]],0)</f>
        <v>0</v>
      </c>
      <c r="Q901" s="415">
        <f>IFERROR(VLOOKUP(Table15[[#This Row],[ROUTE]],PRICING!A:B,2,FALSE),0)</f>
        <v>0</v>
      </c>
      <c r="R901" s="235">
        <f>IFERROR(Table15[[#This Row],[C_DEMAND]]-Table15[[#This Row],[R-DEMAND]],0)</f>
        <v>0</v>
      </c>
      <c r="S901" s="408">
        <f t="shared" si="14"/>
        <v>0</v>
      </c>
      <c r="T901" s="419">
        <f>Table15[[#This Row],[R-DEMAND]]-(Table15[[#This Row],[ADD ACC]]*1706)</f>
        <v>0</v>
      </c>
      <c r="U901" s="419">
        <f>ROUNDDOWN(Table15[[#This Row],[Column1]]/1360,0)</f>
        <v>0</v>
      </c>
      <c r="V901" s="419"/>
      <c r="W901" s="349"/>
      <c r="X901" s="349"/>
      <c r="Y901" s="349"/>
      <c r="Z901" s="349"/>
    </row>
    <row r="902" spans="1:26" ht="15.75" customHeight="1" x14ac:dyDescent="0.25">
      <c r="A902" s="341" t="s">
        <v>18147</v>
      </c>
      <c r="B902" s="212" t="s">
        <v>4074</v>
      </c>
      <c r="C902" s="212"/>
      <c r="D902" s="226">
        <v>2</v>
      </c>
      <c r="E902" s="226" t="s">
        <v>3709</v>
      </c>
      <c r="F902" s="212" t="s">
        <v>12688</v>
      </c>
      <c r="G902" s="226" t="s">
        <v>17027</v>
      </c>
      <c r="H902" s="343">
        <v>13782</v>
      </c>
      <c r="I902" s="342"/>
      <c r="J902" s="346"/>
      <c r="K902" s="345">
        <f>IFERROR(Table15[[#This Row],[ROUTE $]]/Table15[[#This Row],[E - DEMAND]],0)</f>
        <v>0</v>
      </c>
      <c r="L902" s="212"/>
      <c r="M902" s="413">
        <f>IFERROR(VLOOKUP(Table15[[#This Row],[ROUTE]],DEMAND!A:F,5,FALSE),0)</f>
        <v>0</v>
      </c>
      <c r="N902" s="251">
        <f>IFERROR(VLOOKUP(Table15[[#This Row],[ROUTE]],DEMAND!A:F,6,FALSE),0)</f>
        <v>0</v>
      </c>
      <c r="O902" s="349"/>
      <c r="P902" s="349"/>
      <c r="Q902" s="416">
        <f>IFERROR(VLOOKUP(Table15[[#This Row],[ROUTE]],PRICING!A:B,2,FALSE),0)</f>
        <v>0</v>
      </c>
      <c r="R902" s="409">
        <f>IFERROR(Table15[[#This Row],[C_DEMAND]]-Table15[[#This Row],[R-DEMAND]],0)</f>
        <v>0</v>
      </c>
      <c r="S902" s="410">
        <f t="shared" si="14"/>
        <v>0</v>
      </c>
      <c r="T902" s="420">
        <f>Table15[[#This Row],[R-DEMAND]]-(Table15[[#This Row],[ADD ACC]]*1706)</f>
        <v>0</v>
      </c>
      <c r="U902" s="420">
        <f>ROUNDDOWN(Table15[[#This Row],[Column1]]/1360,0)</f>
        <v>0</v>
      </c>
      <c r="V902" s="420"/>
      <c r="W902" s="349"/>
      <c r="X902" s="349"/>
      <c r="Y902" s="349"/>
      <c r="Z902" s="349"/>
    </row>
    <row r="903" spans="1:26" ht="15.75" customHeight="1" x14ac:dyDescent="0.25">
      <c r="A903" s="210" t="s">
        <v>15311</v>
      </c>
      <c r="B903" s="204" t="s">
        <v>2321</v>
      </c>
      <c r="C903" s="204"/>
      <c r="D903" s="205">
        <v>1</v>
      </c>
      <c r="E903" s="204" t="s">
        <v>514</v>
      </c>
      <c r="F903" s="204" t="str">
        <f>VLOOKUP(E903,Table10[[COUNTRY NAME]:[CONTINENT CODE]],3,FALSE)</f>
        <v>NA</v>
      </c>
      <c r="G903" s="206" t="s">
        <v>13168</v>
      </c>
      <c r="H903" s="207">
        <v>12225</v>
      </c>
      <c r="I903" s="208">
        <v>29.25</v>
      </c>
      <c r="J903" s="345"/>
      <c r="K903" s="345">
        <f>IFERROR(Table15[[#This Row],[ROUTE $]]/Table15[[#This Row],[E - DEMAND]],0)</f>
        <v>0</v>
      </c>
      <c r="L903" s="204"/>
      <c r="M903" s="412">
        <f>IFERROR(VLOOKUP(Table15[[#This Row],[ROUTE]],DEMAND!A:F,5,FALSE),0)</f>
        <v>0</v>
      </c>
      <c r="N903" s="16">
        <f>IFERROR(VLOOKUP(Table15[[#This Row],[ROUTE]],DEMAND!A:F,6,FALSE),0)</f>
        <v>0</v>
      </c>
      <c r="O903" s="16">
        <f>IFERROR(ROUNDDOWN(Table15[[#This Row],[R-DEMAND]]/1706,0),0)</f>
        <v>0</v>
      </c>
      <c r="P903" s="16">
        <f>IFERROR(Table15[[#This Row],[ADD ACC]]*Table15[[#This Row],[RT TIME 
(380-800)]],0)</f>
        <v>0</v>
      </c>
      <c r="Q903" s="415">
        <f>IFERROR(VLOOKUP(Table15[[#This Row],[ROUTE]],PRICING!A:B,2,FALSE),0)</f>
        <v>0</v>
      </c>
      <c r="R903" s="235">
        <f>IFERROR(Table15[[#This Row],[C_DEMAND]]-Table15[[#This Row],[R-DEMAND]],0)</f>
        <v>0</v>
      </c>
      <c r="S903" s="408">
        <f t="shared" si="14"/>
        <v>0</v>
      </c>
      <c r="T903" s="419">
        <f>Table15[[#This Row],[R-DEMAND]]-(Table15[[#This Row],[ADD ACC]]*1706)</f>
        <v>0</v>
      </c>
      <c r="U903" s="419">
        <f>ROUNDDOWN(Table15[[#This Row],[Column1]]/1360,0)</f>
        <v>0</v>
      </c>
      <c r="V903" s="419"/>
      <c r="W903" s="251">
        <v>29.25</v>
      </c>
      <c r="X903" s="251">
        <f>ROUNDDOWN(Table15[[#This Row],[R-DEMAND]]/1320,0)</f>
        <v>0</v>
      </c>
      <c r="Y903" s="251">
        <f>IFERROR(Table15[[#This Row],[ADD ACC
(660/1320)]]*Table15[[#This Row],[Duration
(B744)]],0)</f>
        <v>0</v>
      </c>
      <c r="Z903" s="251"/>
    </row>
    <row r="904" spans="1:26" ht="15.75" customHeight="1" x14ac:dyDescent="0.25">
      <c r="A904" s="210" t="s">
        <v>15329</v>
      </c>
      <c r="B904" s="204" t="s">
        <v>1477</v>
      </c>
      <c r="C904" s="204"/>
      <c r="D904" s="205">
        <v>1</v>
      </c>
      <c r="E904" s="204" t="s">
        <v>514</v>
      </c>
      <c r="F904" s="204" t="str">
        <f>VLOOKUP(E904,Table10[[COUNTRY NAME]:[CONTINENT CODE]],3,FALSE)</f>
        <v>NA</v>
      </c>
      <c r="G904" s="206" t="s">
        <v>13174</v>
      </c>
      <c r="H904" s="207">
        <v>11091</v>
      </c>
      <c r="I904" s="208">
        <v>26.75</v>
      </c>
      <c r="J904" s="345"/>
      <c r="K904" s="345">
        <f>IFERROR(Table15[[#This Row],[ROUTE $]]/Table15[[#This Row],[E - DEMAND]],0)</f>
        <v>0</v>
      </c>
      <c r="L904" s="204"/>
      <c r="M904" s="412">
        <f>IFERROR(VLOOKUP(Table15[[#This Row],[ROUTE]],DEMAND!A:F,5,FALSE),0)</f>
        <v>0</v>
      </c>
      <c r="N904" s="16">
        <f>IFERROR(VLOOKUP(Table15[[#This Row],[ROUTE]],DEMAND!A:F,6,FALSE),0)</f>
        <v>0</v>
      </c>
      <c r="O904" s="16">
        <f>IFERROR(ROUNDDOWN(Table15[[#This Row],[R-DEMAND]]/1706,0),0)</f>
        <v>0</v>
      </c>
      <c r="P904" s="16">
        <f>IFERROR(Table15[[#This Row],[ADD ACC]]*Table15[[#This Row],[RT TIME 
(380-800)]],0)</f>
        <v>0</v>
      </c>
      <c r="Q904" s="415">
        <f>IFERROR(VLOOKUP(Table15[[#This Row],[ROUTE]],PRICING!A:B,2,FALSE),0)</f>
        <v>0</v>
      </c>
      <c r="R904" s="235">
        <f>IFERROR(Table15[[#This Row],[C_DEMAND]]-Table15[[#This Row],[R-DEMAND]],0)</f>
        <v>0</v>
      </c>
      <c r="S904" s="408">
        <f t="shared" si="14"/>
        <v>0</v>
      </c>
      <c r="T904" s="419">
        <f>Table15[[#This Row],[R-DEMAND]]-(Table15[[#This Row],[ADD ACC]]*1706)</f>
        <v>0</v>
      </c>
      <c r="U904" s="419">
        <f>ROUNDDOWN(Table15[[#This Row],[Column1]]/1360,0)</f>
        <v>0</v>
      </c>
      <c r="V904" s="419"/>
      <c r="W904" s="251">
        <v>26.75</v>
      </c>
      <c r="X904" s="251">
        <f>ROUNDDOWN(Table15[[#This Row],[R-DEMAND]]/1320,0)</f>
        <v>0</v>
      </c>
      <c r="Y904" s="251">
        <f>IFERROR(Table15[[#This Row],[ADD ACC
(660/1320)]]*Table15[[#This Row],[Duration
(B744)]],0)</f>
        <v>0</v>
      </c>
      <c r="Z904" s="251"/>
    </row>
    <row r="905" spans="1:26" ht="15.75" customHeight="1" x14ac:dyDescent="0.25">
      <c r="A905" s="341" t="s">
        <v>18231</v>
      </c>
      <c r="B905" s="212" t="s">
        <v>3759</v>
      </c>
      <c r="C905" s="212"/>
      <c r="D905" s="226">
        <v>2</v>
      </c>
      <c r="E905" s="226" t="s">
        <v>926</v>
      </c>
      <c r="F905" s="212" t="s">
        <v>12671</v>
      </c>
      <c r="G905" s="226" t="s">
        <v>16854</v>
      </c>
      <c r="H905" s="343">
        <v>7326</v>
      </c>
      <c r="I905" s="342"/>
      <c r="J905" s="346"/>
      <c r="K905" s="345">
        <f>IFERROR(Table15[[#This Row],[ROUTE $]]/Table15[[#This Row],[E - DEMAND]],0)</f>
        <v>0</v>
      </c>
      <c r="L905" s="212"/>
      <c r="M905" s="413">
        <f>IFERROR(VLOOKUP(Table15[[#This Row],[ROUTE]],DEMAND!A:F,5,FALSE),0)</f>
        <v>0</v>
      </c>
      <c r="N905" s="251">
        <f>IFERROR(VLOOKUP(Table15[[#This Row],[ROUTE]],DEMAND!A:F,6,FALSE),0)</f>
        <v>0</v>
      </c>
      <c r="O905" s="349"/>
      <c r="P905" s="349"/>
      <c r="Q905" s="416">
        <f>IFERROR(VLOOKUP(Table15[[#This Row],[ROUTE]],PRICING!A:B,2,FALSE),0)</f>
        <v>0</v>
      </c>
      <c r="R905" s="409">
        <f>IFERROR(Table15[[#This Row],[C_DEMAND]]-Table15[[#This Row],[R-DEMAND]],0)</f>
        <v>0</v>
      </c>
      <c r="S905" s="410">
        <f t="shared" si="14"/>
        <v>0</v>
      </c>
      <c r="T905" s="420">
        <f>Table15[[#This Row],[R-DEMAND]]-(Table15[[#This Row],[ADD ACC]]*1706)</f>
        <v>0</v>
      </c>
      <c r="U905" s="420">
        <f>ROUNDDOWN(Table15[[#This Row],[Column1]]/1360,0)</f>
        <v>0</v>
      </c>
      <c r="V905" s="420"/>
      <c r="W905" s="349"/>
      <c r="X905" s="349"/>
      <c r="Y905" s="349"/>
      <c r="Z905" s="349"/>
    </row>
    <row r="906" spans="1:26" ht="15.75" customHeight="1" x14ac:dyDescent="0.25">
      <c r="A906" s="341" t="s">
        <v>18222</v>
      </c>
      <c r="B906" s="212" t="s">
        <v>4398</v>
      </c>
      <c r="C906" s="212"/>
      <c r="D906" s="226">
        <v>2</v>
      </c>
      <c r="E906" s="226" t="s">
        <v>1931</v>
      </c>
      <c r="F906" s="212" t="s">
        <v>12682</v>
      </c>
      <c r="G906" s="226" t="s">
        <v>16822</v>
      </c>
      <c r="H906" s="343">
        <v>7703</v>
      </c>
      <c r="I906" s="342"/>
      <c r="J906" s="346"/>
      <c r="K906" s="345">
        <f>IFERROR(Table15[[#This Row],[ROUTE $]]/Table15[[#This Row],[E - DEMAND]],0)</f>
        <v>0</v>
      </c>
      <c r="L906" s="212"/>
      <c r="M906" s="413">
        <f>IFERROR(VLOOKUP(Table15[[#This Row],[ROUTE]],DEMAND!A:F,5,FALSE),0)</f>
        <v>0</v>
      </c>
      <c r="N906" s="251">
        <f>IFERROR(VLOOKUP(Table15[[#This Row],[ROUTE]],DEMAND!A:F,6,FALSE),0)</f>
        <v>0</v>
      </c>
      <c r="O906" s="349"/>
      <c r="P906" s="349"/>
      <c r="Q906" s="416">
        <f>IFERROR(VLOOKUP(Table15[[#This Row],[ROUTE]],PRICING!A:B,2,FALSE),0)</f>
        <v>0</v>
      </c>
      <c r="R906" s="409">
        <f>IFERROR(Table15[[#This Row],[C_DEMAND]]-Table15[[#This Row],[R-DEMAND]],0)</f>
        <v>0</v>
      </c>
      <c r="S906" s="410">
        <f t="shared" si="14"/>
        <v>0</v>
      </c>
      <c r="T906" s="420">
        <f>Table15[[#This Row],[R-DEMAND]]-(Table15[[#This Row],[ADD ACC]]*1706)</f>
        <v>0</v>
      </c>
      <c r="U906" s="420">
        <f>ROUNDDOWN(Table15[[#This Row],[Column1]]/1360,0)</f>
        <v>0</v>
      </c>
      <c r="V906" s="420"/>
      <c r="W906" s="349"/>
      <c r="X906" s="349"/>
      <c r="Y906" s="349"/>
      <c r="Z906" s="349"/>
    </row>
    <row r="907" spans="1:26" ht="15.75" customHeight="1" x14ac:dyDescent="0.25">
      <c r="A907" s="341" t="s">
        <v>18223</v>
      </c>
      <c r="B907" s="212" t="s">
        <v>1933</v>
      </c>
      <c r="C907" s="212"/>
      <c r="D907" s="226">
        <v>1</v>
      </c>
      <c r="E907" s="226" t="s">
        <v>1931</v>
      </c>
      <c r="F907" s="212" t="s">
        <v>12682</v>
      </c>
      <c r="G907" s="226" t="s">
        <v>16821</v>
      </c>
      <c r="H907" s="343">
        <v>7695</v>
      </c>
      <c r="I907" s="342"/>
      <c r="J907" s="346"/>
      <c r="K907" s="345">
        <f>IFERROR(Table15[[#This Row],[ROUTE $]]/Table15[[#This Row],[E - DEMAND]],0)</f>
        <v>0</v>
      </c>
      <c r="L907" s="212"/>
      <c r="M907" s="413">
        <f>IFERROR(VLOOKUP(Table15[[#This Row],[ROUTE]],DEMAND!A:F,5,FALSE),0)</f>
        <v>0</v>
      </c>
      <c r="N907" s="251">
        <f>IFERROR(VLOOKUP(Table15[[#This Row],[ROUTE]],DEMAND!A:F,6,FALSE),0)</f>
        <v>0</v>
      </c>
      <c r="O907" s="349"/>
      <c r="P907" s="349"/>
      <c r="Q907" s="416">
        <f>IFERROR(VLOOKUP(Table15[[#This Row],[ROUTE]],PRICING!A:B,2,FALSE),0)</f>
        <v>0</v>
      </c>
      <c r="R907" s="409">
        <f>IFERROR(Table15[[#This Row],[C_DEMAND]]-Table15[[#This Row],[R-DEMAND]],0)</f>
        <v>0</v>
      </c>
      <c r="S907" s="410">
        <f t="shared" si="14"/>
        <v>0</v>
      </c>
      <c r="T907" s="420">
        <f>Table15[[#This Row],[R-DEMAND]]-(Table15[[#This Row],[ADD ACC]]*1706)</f>
        <v>0</v>
      </c>
      <c r="U907" s="420">
        <f>ROUNDDOWN(Table15[[#This Row],[Column1]]/1360,0)</f>
        <v>0</v>
      </c>
      <c r="V907" s="420"/>
      <c r="W907" s="349"/>
      <c r="X907" s="349"/>
      <c r="Y907" s="349"/>
      <c r="Z907" s="349"/>
    </row>
    <row r="908" spans="1:26" ht="15.75" customHeight="1" x14ac:dyDescent="0.25">
      <c r="A908" s="341" t="s">
        <v>18215</v>
      </c>
      <c r="B908" s="212" t="s">
        <v>4818</v>
      </c>
      <c r="C908" s="212"/>
      <c r="D908" s="226">
        <v>3</v>
      </c>
      <c r="E908" s="226" t="s">
        <v>1865</v>
      </c>
      <c r="F908" s="212" t="s">
        <v>12682</v>
      </c>
      <c r="G908" s="226" t="s">
        <v>18104</v>
      </c>
      <c r="H908" s="343">
        <v>8741</v>
      </c>
      <c r="I908" s="342"/>
      <c r="J908" s="346"/>
      <c r="K908" s="345">
        <f>IFERROR(Table15[[#This Row],[ROUTE $]]/Table15[[#This Row],[E - DEMAND]],0)</f>
        <v>0</v>
      </c>
      <c r="L908" s="212"/>
      <c r="M908" s="413">
        <f>IFERROR(VLOOKUP(Table15[[#This Row],[ROUTE]],DEMAND!A:F,5,FALSE),0)</f>
        <v>0</v>
      </c>
      <c r="N908" s="251">
        <f>IFERROR(VLOOKUP(Table15[[#This Row],[ROUTE]],DEMAND!A:F,6,FALSE),0)</f>
        <v>0</v>
      </c>
      <c r="O908" s="349"/>
      <c r="P908" s="349"/>
      <c r="Q908" s="416">
        <f>IFERROR(VLOOKUP(Table15[[#This Row],[ROUTE]],PRICING!A:B,2,FALSE),0)</f>
        <v>0</v>
      </c>
      <c r="R908" s="409">
        <f>IFERROR(Table15[[#This Row],[C_DEMAND]]-Table15[[#This Row],[R-DEMAND]],0)</f>
        <v>0</v>
      </c>
      <c r="S908" s="410">
        <f t="shared" si="14"/>
        <v>0</v>
      </c>
      <c r="T908" s="420">
        <f>Table15[[#This Row],[R-DEMAND]]-(Table15[[#This Row],[ADD ACC]]*1706)</f>
        <v>0</v>
      </c>
      <c r="U908" s="420">
        <f>ROUNDDOWN(Table15[[#This Row],[Column1]]/1360,0)</f>
        <v>0</v>
      </c>
      <c r="V908" s="420"/>
      <c r="W908" s="349"/>
      <c r="X908" s="349"/>
      <c r="Y908" s="349"/>
      <c r="Z908" s="349"/>
    </row>
    <row r="909" spans="1:26" ht="15.75" customHeight="1" x14ac:dyDescent="0.25">
      <c r="A909" s="210" t="s">
        <v>15136</v>
      </c>
      <c r="B909" s="204" t="s">
        <v>443</v>
      </c>
      <c r="C909" s="204"/>
      <c r="D909" s="205">
        <v>2</v>
      </c>
      <c r="E909" s="204" t="s">
        <v>2395</v>
      </c>
      <c r="F909" s="204" t="str">
        <f>VLOOKUP(E909,Table10[[COUNTRY NAME]:[CONTINENT CODE]],3,FALSE)</f>
        <v>SA</v>
      </c>
      <c r="G909" s="206" t="s">
        <v>13233</v>
      </c>
      <c r="H909" s="207">
        <v>14892</v>
      </c>
      <c r="I909" s="208">
        <v>35</v>
      </c>
      <c r="J909" s="345"/>
      <c r="K909" s="345">
        <f>IFERROR(Table15[[#This Row],[ROUTE $]]/Table15[[#This Row],[E - DEMAND]],0)</f>
        <v>0</v>
      </c>
      <c r="L909" s="204"/>
      <c r="M909" s="412">
        <f>IFERROR(VLOOKUP(Table15[[#This Row],[ROUTE]],DEMAND!A:F,5,FALSE),0)</f>
        <v>0</v>
      </c>
      <c r="N909" s="16">
        <f>IFERROR(VLOOKUP(Table15[[#This Row],[ROUTE]],DEMAND!A:F,6,FALSE),0)</f>
        <v>0</v>
      </c>
      <c r="O909" s="16">
        <f>IFERROR(ROUNDDOWN(Table15[[#This Row],[R-DEMAND]]/1706,0),0)</f>
        <v>0</v>
      </c>
      <c r="P909" s="16">
        <f>IFERROR(Table15[[#This Row],[ADD ACC]]*Table15[[#This Row],[RT TIME 
(380-800)]],0)</f>
        <v>0</v>
      </c>
      <c r="Q909" s="415">
        <f>IFERROR(VLOOKUP(Table15[[#This Row],[ROUTE]],PRICING!A:B,2,FALSE),0)</f>
        <v>0</v>
      </c>
      <c r="R909" s="235">
        <f>IFERROR(Table15[[#This Row],[C_DEMAND]]-Table15[[#This Row],[R-DEMAND]],0)</f>
        <v>0</v>
      </c>
      <c r="S909" s="408">
        <f t="shared" si="14"/>
        <v>0</v>
      </c>
      <c r="T909" s="419">
        <f>Table15[[#This Row],[R-DEMAND]]-(Table15[[#This Row],[ADD ACC]]*1706)</f>
        <v>0</v>
      </c>
      <c r="U909" s="419">
        <f>ROUNDDOWN(Table15[[#This Row],[Column1]]/1360,0)</f>
        <v>0</v>
      </c>
      <c r="V909" s="419"/>
      <c r="W909" s="349"/>
      <c r="X909" s="349"/>
      <c r="Y909" s="349"/>
      <c r="Z909" s="349"/>
    </row>
    <row r="910" spans="1:26" ht="15.75" customHeight="1" x14ac:dyDescent="0.25">
      <c r="A910" s="341" t="s">
        <v>18279</v>
      </c>
      <c r="B910" s="212" t="s">
        <v>3233</v>
      </c>
      <c r="C910" s="212"/>
      <c r="D910" s="226">
        <v>2</v>
      </c>
      <c r="E910" s="226" t="s">
        <v>258</v>
      </c>
      <c r="F910" s="212" t="s">
        <v>12670</v>
      </c>
      <c r="G910" s="226" t="s">
        <v>16829</v>
      </c>
      <c r="H910" s="343">
        <v>5672</v>
      </c>
      <c r="I910" s="342"/>
      <c r="J910" s="346"/>
      <c r="K910" s="345">
        <f>IFERROR(Table15[[#This Row],[ROUTE $]]/Table15[[#This Row],[E - DEMAND]],0)</f>
        <v>0</v>
      </c>
      <c r="L910" s="212"/>
      <c r="M910" s="413">
        <f>IFERROR(VLOOKUP(Table15[[#This Row],[ROUTE]],DEMAND!A:F,5,FALSE),0)</f>
        <v>0</v>
      </c>
      <c r="N910" s="251">
        <f>IFERROR(VLOOKUP(Table15[[#This Row],[ROUTE]],DEMAND!A:F,6,FALSE),0)</f>
        <v>0</v>
      </c>
      <c r="O910" s="349"/>
      <c r="P910" s="349"/>
      <c r="Q910" s="416">
        <f>IFERROR(VLOOKUP(Table15[[#This Row],[ROUTE]],PRICING!A:B,2,FALSE),0)</f>
        <v>0</v>
      </c>
      <c r="R910" s="409">
        <f>IFERROR(Table15[[#This Row],[C_DEMAND]]-Table15[[#This Row],[R-DEMAND]],0)</f>
        <v>0</v>
      </c>
      <c r="S910" s="410">
        <f t="shared" si="14"/>
        <v>0</v>
      </c>
      <c r="T910" s="420">
        <f>Table15[[#This Row],[R-DEMAND]]-(Table15[[#This Row],[ADD ACC]]*1706)</f>
        <v>0</v>
      </c>
      <c r="U910" s="420">
        <f>ROUNDDOWN(Table15[[#This Row],[Column1]]/1360,0)</f>
        <v>0</v>
      </c>
      <c r="V910" s="420"/>
      <c r="W910" s="349"/>
      <c r="X910" s="349"/>
      <c r="Y910" s="349"/>
      <c r="Z910" s="349"/>
    </row>
    <row r="911" spans="1:26" ht="15.75" customHeight="1" x14ac:dyDescent="0.25">
      <c r="A911" s="341" t="s">
        <v>18280</v>
      </c>
      <c r="B911" s="212" t="s">
        <v>4168</v>
      </c>
      <c r="C911" s="212"/>
      <c r="D911" s="226">
        <v>2</v>
      </c>
      <c r="E911" s="226" t="s">
        <v>3980</v>
      </c>
      <c r="F911" s="212" t="s">
        <v>12674</v>
      </c>
      <c r="G911" s="404" t="s">
        <v>7135</v>
      </c>
      <c r="H911" s="343">
        <v>5672</v>
      </c>
      <c r="I911" s="342"/>
      <c r="J911" s="346"/>
      <c r="K911" s="345">
        <f>IFERROR(Table15[[#This Row],[ROUTE $]]/Table15[[#This Row],[E - DEMAND]],0)</f>
        <v>0</v>
      </c>
      <c r="L911" s="212"/>
      <c r="M911" s="413">
        <f>IFERROR(VLOOKUP(Table15[[#This Row],[ROUTE]],DEMAND!A:F,5,FALSE),0)</f>
        <v>0</v>
      </c>
      <c r="N911" s="251">
        <f>IFERROR(VLOOKUP(Table15[[#This Row],[ROUTE]],DEMAND!A:F,6,FALSE),0)</f>
        <v>0</v>
      </c>
      <c r="O911" s="349"/>
      <c r="P911" s="349"/>
      <c r="Q911" s="416">
        <f>IFERROR(VLOOKUP(Table15[[#This Row],[ROUTE]],PRICING!A:B,2,FALSE),0)</f>
        <v>0</v>
      </c>
      <c r="R911" s="409">
        <f>IFERROR(Table15[[#This Row],[C_DEMAND]]-Table15[[#This Row],[R-DEMAND]],0)</f>
        <v>0</v>
      </c>
      <c r="S911" s="410">
        <f t="shared" si="14"/>
        <v>0</v>
      </c>
      <c r="T911" s="420">
        <f>Table15[[#This Row],[R-DEMAND]]-(Table15[[#This Row],[ADD ACC]]*1706)</f>
        <v>0</v>
      </c>
      <c r="U911" s="420">
        <f>ROUNDDOWN(Table15[[#This Row],[Column1]]/1360,0)</f>
        <v>0</v>
      </c>
      <c r="V911" s="420"/>
      <c r="W911" s="349"/>
      <c r="X911" s="349"/>
      <c r="Y911" s="349"/>
      <c r="Z911" s="349"/>
    </row>
    <row r="912" spans="1:26" ht="15.75" customHeight="1" x14ac:dyDescent="0.25">
      <c r="A912" s="341" t="s">
        <v>18205</v>
      </c>
      <c r="B912" s="212" t="s">
        <v>2156</v>
      </c>
      <c r="C912" s="212"/>
      <c r="D912" s="226">
        <v>1</v>
      </c>
      <c r="E912" s="226" t="s">
        <v>514</v>
      </c>
      <c r="F912" s="212" t="s">
        <v>12688</v>
      </c>
      <c r="G912" s="226" t="s">
        <v>16986</v>
      </c>
      <c r="H912" s="343">
        <v>11960</v>
      </c>
      <c r="I912" s="342"/>
      <c r="J912" s="346"/>
      <c r="K912" s="345">
        <f>IFERROR(Table15[[#This Row],[ROUTE $]]/Table15[[#This Row],[E - DEMAND]],0)</f>
        <v>0</v>
      </c>
      <c r="L912" s="212"/>
      <c r="M912" s="413">
        <f>IFERROR(VLOOKUP(Table15[[#This Row],[ROUTE]],DEMAND!A:F,5,FALSE),0)</f>
        <v>0</v>
      </c>
      <c r="N912" s="251">
        <f>IFERROR(VLOOKUP(Table15[[#This Row],[ROUTE]],DEMAND!A:F,6,FALSE),0)</f>
        <v>0</v>
      </c>
      <c r="O912" s="349"/>
      <c r="P912" s="349"/>
      <c r="Q912" s="416">
        <f>IFERROR(VLOOKUP(Table15[[#This Row],[ROUTE]],PRICING!A:B,2,FALSE),0)</f>
        <v>0</v>
      </c>
      <c r="R912" s="409">
        <f>IFERROR(Table15[[#This Row],[C_DEMAND]]-Table15[[#This Row],[R-DEMAND]],0)</f>
        <v>0</v>
      </c>
      <c r="S912" s="410">
        <f t="shared" si="14"/>
        <v>0</v>
      </c>
      <c r="T912" s="420">
        <f>Table15[[#This Row],[R-DEMAND]]-(Table15[[#This Row],[ADD ACC]]*1706)</f>
        <v>0</v>
      </c>
      <c r="U912" s="420">
        <f>ROUNDDOWN(Table15[[#This Row],[Column1]]/1360,0)</f>
        <v>0</v>
      </c>
      <c r="V912" s="420"/>
      <c r="W912" s="349"/>
      <c r="X912" s="349"/>
      <c r="Y912" s="349"/>
      <c r="Z912" s="349"/>
    </row>
    <row r="913" spans="1:26" ht="15.75" customHeight="1" x14ac:dyDescent="0.25">
      <c r="A913" s="341" t="s">
        <v>18294</v>
      </c>
      <c r="B913" s="212" t="s">
        <v>3396</v>
      </c>
      <c r="C913" s="212"/>
      <c r="D913" s="226">
        <v>2</v>
      </c>
      <c r="E913" s="226" t="s">
        <v>78</v>
      </c>
      <c r="F913" s="212" t="s">
        <v>12674</v>
      </c>
      <c r="G913" s="404" t="s">
        <v>16873</v>
      </c>
      <c r="H913" s="343">
        <v>5302</v>
      </c>
      <c r="I913" s="342"/>
      <c r="J913" s="346"/>
      <c r="K913" s="345">
        <f>IFERROR(Table15[[#This Row],[ROUTE $]]/Table15[[#This Row],[E - DEMAND]],0)</f>
        <v>0</v>
      </c>
      <c r="L913" s="212"/>
      <c r="M913" s="413">
        <f>IFERROR(VLOOKUP(Table15[[#This Row],[ROUTE]],DEMAND!A:F,5,FALSE),0)</f>
        <v>0</v>
      </c>
      <c r="N913" s="251">
        <f>IFERROR(VLOOKUP(Table15[[#This Row],[ROUTE]],DEMAND!A:F,6,FALSE),0)</f>
        <v>0</v>
      </c>
      <c r="O913" s="349"/>
      <c r="P913" s="349"/>
      <c r="Q913" s="416">
        <f>IFERROR(VLOOKUP(Table15[[#This Row],[ROUTE]],PRICING!A:B,2,FALSE),0)</f>
        <v>0</v>
      </c>
      <c r="R913" s="409">
        <f>IFERROR(Table15[[#This Row],[C_DEMAND]]-Table15[[#This Row],[R-DEMAND]],0)</f>
        <v>0</v>
      </c>
      <c r="S913" s="410">
        <f t="shared" si="14"/>
        <v>0</v>
      </c>
      <c r="T913" s="420">
        <f>Table15[[#This Row],[R-DEMAND]]-(Table15[[#This Row],[ADD ACC]]*1706)</f>
        <v>0</v>
      </c>
      <c r="U913" s="420">
        <f>ROUNDDOWN(Table15[[#This Row],[Column1]]/1360,0)</f>
        <v>0</v>
      </c>
      <c r="V913" s="420"/>
      <c r="W913" s="349"/>
      <c r="X913" s="349"/>
      <c r="Y913" s="349"/>
      <c r="Z913" s="349"/>
    </row>
    <row r="914" spans="1:26" ht="15.75" customHeight="1" x14ac:dyDescent="0.25">
      <c r="A914" s="341" t="s">
        <v>18295</v>
      </c>
      <c r="B914" s="212" t="s">
        <v>3813</v>
      </c>
      <c r="C914" s="212"/>
      <c r="D914" s="226">
        <v>2</v>
      </c>
      <c r="E914" s="226" t="s">
        <v>78</v>
      </c>
      <c r="F914" s="212" t="s">
        <v>12674</v>
      </c>
      <c r="G914" s="404" t="s">
        <v>16870</v>
      </c>
      <c r="H914" s="343">
        <v>5232</v>
      </c>
      <c r="I914" s="342"/>
      <c r="J914" s="346"/>
      <c r="K914" s="345">
        <f>IFERROR(Table15[[#This Row],[ROUTE $]]/Table15[[#This Row],[E - DEMAND]],0)</f>
        <v>0</v>
      </c>
      <c r="L914" s="212"/>
      <c r="M914" s="413">
        <f>IFERROR(VLOOKUP(Table15[[#This Row],[ROUTE]],DEMAND!A:F,5,FALSE),0)</f>
        <v>0</v>
      </c>
      <c r="N914" s="251">
        <f>IFERROR(VLOOKUP(Table15[[#This Row],[ROUTE]],DEMAND!A:F,6,FALSE),0)</f>
        <v>0</v>
      </c>
      <c r="O914" s="349"/>
      <c r="P914" s="349"/>
      <c r="Q914" s="416">
        <f>IFERROR(VLOOKUP(Table15[[#This Row],[ROUTE]],PRICING!A:B,2,FALSE),0)</f>
        <v>0</v>
      </c>
      <c r="R914" s="409">
        <f>IFERROR(Table15[[#This Row],[C_DEMAND]]-Table15[[#This Row],[R-DEMAND]],0)</f>
        <v>0</v>
      </c>
      <c r="S914" s="410">
        <f t="shared" si="14"/>
        <v>0</v>
      </c>
      <c r="T914" s="420">
        <f>Table15[[#This Row],[R-DEMAND]]-(Table15[[#This Row],[ADD ACC]]*1706)</f>
        <v>0</v>
      </c>
      <c r="U914" s="420">
        <f>ROUNDDOWN(Table15[[#This Row],[Column1]]/1360,0)</f>
        <v>0</v>
      </c>
      <c r="V914" s="420"/>
      <c r="W914" s="349"/>
      <c r="X914" s="349"/>
      <c r="Y914" s="349"/>
      <c r="Z914" s="349"/>
    </row>
    <row r="915" spans="1:26" ht="15.75" customHeight="1" x14ac:dyDescent="0.25">
      <c r="A915" s="341" t="s">
        <v>18310</v>
      </c>
      <c r="B915" s="212" t="s">
        <v>2704</v>
      </c>
      <c r="C915" s="212"/>
      <c r="D915" s="226">
        <v>2</v>
      </c>
      <c r="E915" s="226" t="s">
        <v>78</v>
      </c>
      <c r="F915" s="212" t="s">
        <v>12674</v>
      </c>
      <c r="G915" s="404" t="s">
        <v>16865</v>
      </c>
      <c r="H915" s="343">
        <v>4907</v>
      </c>
      <c r="I915" s="342"/>
      <c r="J915" s="346"/>
      <c r="K915" s="345">
        <f>IFERROR(Table15[[#This Row],[ROUTE $]]/Table15[[#This Row],[E - DEMAND]],0)</f>
        <v>0</v>
      </c>
      <c r="L915" s="212"/>
      <c r="M915" s="413">
        <f>IFERROR(VLOOKUP(Table15[[#This Row],[ROUTE]],DEMAND!A:F,5,FALSE),0)</f>
        <v>0</v>
      </c>
      <c r="N915" s="251">
        <f>IFERROR(VLOOKUP(Table15[[#This Row],[ROUTE]],DEMAND!A:F,6,FALSE),0)</f>
        <v>0</v>
      </c>
      <c r="O915" s="349"/>
      <c r="P915" s="349"/>
      <c r="Q915" s="416">
        <f>IFERROR(VLOOKUP(Table15[[#This Row],[ROUTE]],PRICING!A:B,2,FALSE),0)</f>
        <v>0</v>
      </c>
      <c r="R915" s="409">
        <f>IFERROR(Table15[[#This Row],[C_DEMAND]]-Table15[[#This Row],[R-DEMAND]],0)</f>
        <v>0</v>
      </c>
      <c r="S915" s="410">
        <f t="shared" si="14"/>
        <v>0</v>
      </c>
      <c r="T915" s="420">
        <f>Table15[[#This Row],[R-DEMAND]]-(Table15[[#This Row],[ADD ACC]]*1706)</f>
        <v>0</v>
      </c>
      <c r="U915" s="420">
        <f>ROUNDDOWN(Table15[[#This Row],[Column1]]/1360,0)</f>
        <v>0</v>
      </c>
      <c r="V915" s="420"/>
      <c r="W915" s="349"/>
      <c r="X915" s="349"/>
      <c r="Y915" s="349"/>
      <c r="Z915" s="349"/>
    </row>
    <row r="916" spans="1:26" ht="15.75" customHeight="1" x14ac:dyDescent="0.25">
      <c r="A916" s="341" t="s">
        <v>18312</v>
      </c>
      <c r="B916" s="212" t="s">
        <v>3385</v>
      </c>
      <c r="C916" s="212"/>
      <c r="D916" s="226">
        <v>2</v>
      </c>
      <c r="E916" s="226" t="s">
        <v>78</v>
      </c>
      <c r="F916" s="212" t="s">
        <v>12674</v>
      </c>
      <c r="G916" s="404" t="s">
        <v>16864</v>
      </c>
      <c r="H916" s="343">
        <v>4795</v>
      </c>
      <c r="I916" s="342"/>
      <c r="J916" s="346"/>
      <c r="K916" s="345">
        <f>IFERROR(Table15[[#This Row],[ROUTE $]]/Table15[[#This Row],[E - DEMAND]],0)</f>
        <v>0</v>
      </c>
      <c r="L916" s="212"/>
      <c r="M916" s="413">
        <f>IFERROR(VLOOKUP(Table15[[#This Row],[ROUTE]],DEMAND!A:F,5,FALSE),0)</f>
        <v>0</v>
      </c>
      <c r="N916" s="251">
        <f>IFERROR(VLOOKUP(Table15[[#This Row],[ROUTE]],DEMAND!A:F,6,FALSE),0)</f>
        <v>0</v>
      </c>
      <c r="O916" s="349"/>
      <c r="P916" s="349"/>
      <c r="Q916" s="416">
        <f>IFERROR(VLOOKUP(Table15[[#This Row],[ROUTE]],PRICING!A:B,2,FALSE),0)</f>
        <v>0</v>
      </c>
      <c r="R916" s="409">
        <f>IFERROR(Table15[[#This Row],[C_DEMAND]]-Table15[[#This Row],[R-DEMAND]],0)</f>
        <v>0</v>
      </c>
      <c r="S916" s="410">
        <f t="shared" si="14"/>
        <v>0</v>
      </c>
      <c r="T916" s="420">
        <f>Table15[[#This Row],[R-DEMAND]]-(Table15[[#This Row],[ADD ACC]]*1706)</f>
        <v>0</v>
      </c>
      <c r="U916" s="420">
        <f>ROUNDDOWN(Table15[[#This Row],[Column1]]/1360,0)</f>
        <v>0</v>
      </c>
      <c r="V916" s="420"/>
      <c r="W916" s="349"/>
      <c r="X916" s="349"/>
      <c r="Y916" s="349"/>
      <c r="Z916" s="349"/>
    </row>
    <row r="917" spans="1:26" ht="15.75" customHeight="1" x14ac:dyDescent="0.25">
      <c r="A917" s="341" t="s">
        <v>18322</v>
      </c>
      <c r="B917" s="212" t="s">
        <v>3171</v>
      </c>
      <c r="C917" s="212"/>
      <c r="D917" s="226">
        <v>2</v>
      </c>
      <c r="E917" s="226" t="s">
        <v>78</v>
      </c>
      <c r="F917" s="212" t="s">
        <v>12674</v>
      </c>
      <c r="G917" s="404" t="s">
        <v>16868</v>
      </c>
      <c r="H917" s="343">
        <v>4416</v>
      </c>
      <c r="I917" s="342"/>
      <c r="J917" s="346"/>
      <c r="K917" s="345">
        <f>IFERROR(Table15[[#This Row],[ROUTE $]]/Table15[[#This Row],[E - DEMAND]],0)</f>
        <v>0</v>
      </c>
      <c r="L917" s="212"/>
      <c r="M917" s="413">
        <f>IFERROR(VLOOKUP(Table15[[#This Row],[ROUTE]],DEMAND!A:F,5,FALSE),0)</f>
        <v>0</v>
      </c>
      <c r="N917" s="251">
        <f>IFERROR(VLOOKUP(Table15[[#This Row],[ROUTE]],DEMAND!A:F,6,FALSE),0)</f>
        <v>0</v>
      </c>
      <c r="O917" s="349"/>
      <c r="P917" s="349"/>
      <c r="Q917" s="416">
        <f>IFERROR(VLOOKUP(Table15[[#This Row],[ROUTE]],PRICING!A:B,2,FALSE),0)</f>
        <v>0</v>
      </c>
      <c r="R917" s="409">
        <f>IFERROR(Table15[[#This Row],[C_DEMAND]]-Table15[[#This Row],[R-DEMAND]],0)</f>
        <v>0</v>
      </c>
      <c r="S917" s="410">
        <f t="shared" si="14"/>
        <v>0</v>
      </c>
      <c r="T917" s="420">
        <f>Table15[[#This Row],[R-DEMAND]]-(Table15[[#This Row],[ADD ACC]]*1706)</f>
        <v>0</v>
      </c>
      <c r="U917" s="420">
        <f>ROUNDDOWN(Table15[[#This Row],[Column1]]/1360,0)</f>
        <v>0</v>
      </c>
      <c r="V917" s="420"/>
      <c r="W917" s="349"/>
      <c r="X917" s="349"/>
      <c r="Y917" s="349"/>
      <c r="Z917" s="349"/>
    </row>
    <row r="918" spans="1:26" ht="15.75" customHeight="1" x14ac:dyDescent="0.25">
      <c r="A918" s="341" t="s">
        <v>18330</v>
      </c>
      <c r="B918" s="212" t="s">
        <v>3042</v>
      </c>
      <c r="C918" s="212"/>
      <c r="D918" s="226">
        <v>2</v>
      </c>
      <c r="E918" s="226" t="s">
        <v>78</v>
      </c>
      <c r="F918" s="212" t="s">
        <v>12674</v>
      </c>
      <c r="G918" s="404" t="s">
        <v>16867</v>
      </c>
      <c r="H918" s="343">
        <v>4049</v>
      </c>
      <c r="I918" s="342"/>
      <c r="J918" s="346"/>
      <c r="K918" s="345">
        <f>IFERROR(Table15[[#This Row],[ROUTE $]]/Table15[[#This Row],[E - DEMAND]],0)</f>
        <v>0</v>
      </c>
      <c r="L918" s="212"/>
      <c r="M918" s="413">
        <f>IFERROR(VLOOKUP(Table15[[#This Row],[ROUTE]],DEMAND!A:F,5,FALSE),0)</f>
        <v>0</v>
      </c>
      <c r="N918" s="251">
        <f>IFERROR(VLOOKUP(Table15[[#This Row],[ROUTE]],DEMAND!A:F,6,FALSE),0)</f>
        <v>0</v>
      </c>
      <c r="O918" s="349"/>
      <c r="P918" s="349"/>
      <c r="Q918" s="416">
        <f>IFERROR(VLOOKUP(Table15[[#This Row],[ROUTE]],PRICING!A:B,2,FALSE),0)</f>
        <v>0</v>
      </c>
      <c r="R918" s="409">
        <f>IFERROR(Table15[[#This Row],[C_DEMAND]]-Table15[[#This Row],[R-DEMAND]],0)</f>
        <v>0</v>
      </c>
      <c r="S918" s="410">
        <f t="shared" si="14"/>
        <v>0</v>
      </c>
      <c r="T918" s="420">
        <f>Table15[[#This Row],[R-DEMAND]]-(Table15[[#This Row],[ADD ACC]]*1706)</f>
        <v>0</v>
      </c>
      <c r="U918" s="420">
        <f>ROUNDDOWN(Table15[[#This Row],[Column1]]/1360,0)</f>
        <v>0</v>
      </c>
      <c r="V918" s="420"/>
      <c r="W918" s="349"/>
      <c r="X918" s="349"/>
      <c r="Y918" s="349"/>
      <c r="Z918" s="349"/>
    </row>
    <row r="919" spans="1:26" ht="15.75" customHeight="1" x14ac:dyDescent="0.25">
      <c r="A919" s="341" t="s">
        <v>18336</v>
      </c>
      <c r="B919" s="212" t="s">
        <v>2518</v>
      </c>
      <c r="C919" s="212"/>
      <c r="D919" s="226">
        <v>2</v>
      </c>
      <c r="E919" s="226" t="s">
        <v>78</v>
      </c>
      <c r="F919" s="212" t="s">
        <v>12674</v>
      </c>
      <c r="G919" s="404" t="s">
        <v>16862</v>
      </c>
      <c r="H919" s="343">
        <v>3705</v>
      </c>
      <c r="I919" s="342"/>
      <c r="J919" s="346"/>
      <c r="K919" s="345">
        <f>IFERROR(Table15[[#This Row],[ROUTE $]]/Table15[[#This Row],[E - DEMAND]],0)</f>
        <v>0</v>
      </c>
      <c r="L919" s="212"/>
      <c r="M919" s="413">
        <f>IFERROR(VLOOKUP(Table15[[#This Row],[ROUTE]],DEMAND!A:F,5,FALSE),0)</f>
        <v>0</v>
      </c>
      <c r="N919" s="251">
        <f>IFERROR(VLOOKUP(Table15[[#This Row],[ROUTE]],DEMAND!A:F,6,FALSE),0)</f>
        <v>0</v>
      </c>
      <c r="O919" s="349"/>
      <c r="P919" s="349"/>
      <c r="Q919" s="416">
        <f>IFERROR(VLOOKUP(Table15[[#This Row],[ROUTE]],PRICING!A:B,2,FALSE),0)</f>
        <v>0</v>
      </c>
      <c r="R919" s="409">
        <f>IFERROR(Table15[[#This Row],[C_DEMAND]]-Table15[[#This Row],[R-DEMAND]],0)</f>
        <v>0</v>
      </c>
      <c r="S919" s="410">
        <f t="shared" si="14"/>
        <v>0</v>
      </c>
      <c r="T919" s="420">
        <f>Table15[[#This Row],[R-DEMAND]]-(Table15[[#This Row],[ADD ACC]]*1706)</f>
        <v>0</v>
      </c>
      <c r="U919" s="420">
        <f>ROUNDDOWN(Table15[[#This Row],[Column1]]/1360,0)</f>
        <v>0</v>
      </c>
      <c r="V919" s="420"/>
      <c r="W919" s="349"/>
      <c r="X919" s="349"/>
      <c r="Y919" s="349"/>
      <c r="Z919" s="349"/>
    </row>
    <row r="920" spans="1:26" ht="15.75" customHeight="1" x14ac:dyDescent="0.25">
      <c r="A920" s="341" t="s">
        <v>18241</v>
      </c>
      <c r="B920" s="212" t="s">
        <v>2663</v>
      </c>
      <c r="C920" s="212"/>
      <c r="D920" s="226">
        <v>2</v>
      </c>
      <c r="E920" s="226" t="s">
        <v>926</v>
      </c>
      <c r="F920" s="212" t="s">
        <v>12671</v>
      </c>
      <c r="G920" s="226" t="s">
        <v>16853</v>
      </c>
      <c r="H920" s="343">
        <v>6705</v>
      </c>
      <c r="I920" s="342"/>
      <c r="J920" s="346"/>
      <c r="K920" s="345">
        <f>IFERROR(Table15[[#This Row],[ROUTE $]]/Table15[[#This Row],[E - DEMAND]],0)</f>
        <v>0</v>
      </c>
      <c r="L920" s="212"/>
      <c r="M920" s="413">
        <f>IFERROR(VLOOKUP(Table15[[#This Row],[ROUTE]],DEMAND!A:F,5,FALSE),0)</f>
        <v>0</v>
      </c>
      <c r="N920" s="251">
        <f>IFERROR(VLOOKUP(Table15[[#This Row],[ROUTE]],DEMAND!A:F,6,FALSE),0)</f>
        <v>0</v>
      </c>
      <c r="O920" s="349"/>
      <c r="P920" s="349"/>
      <c r="Q920" s="416">
        <f>IFERROR(VLOOKUP(Table15[[#This Row],[ROUTE]],PRICING!A:B,2,FALSE),0)</f>
        <v>0</v>
      </c>
      <c r="R920" s="409">
        <f>IFERROR(Table15[[#This Row],[C_DEMAND]]-Table15[[#This Row],[R-DEMAND]],0)</f>
        <v>0</v>
      </c>
      <c r="S920" s="410">
        <f t="shared" si="14"/>
        <v>0</v>
      </c>
      <c r="T920" s="420">
        <f>Table15[[#This Row],[R-DEMAND]]-(Table15[[#This Row],[ADD ACC]]*1706)</f>
        <v>0</v>
      </c>
      <c r="U920" s="420">
        <f>ROUNDDOWN(Table15[[#This Row],[Column1]]/1360,0)</f>
        <v>0</v>
      </c>
      <c r="V920" s="420"/>
      <c r="W920" s="349"/>
      <c r="X920" s="349"/>
      <c r="Y920" s="349"/>
      <c r="Z920" s="349"/>
    </row>
    <row r="921" spans="1:26" ht="15.75" customHeight="1" x14ac:dyDescent="0.25">
      <c r="A921" s="341" t="s">
        <v>18281</v>
      </c>
      <c r="B921" s="212" t="s">
        <v>4586</v>
      </c>
      <c r="C921" s="212"/>
      <c r="D921" s="226">
        <v>2</v>
      </c>
      <c r="E921" s="226" t="s">
        <v>258</v>
      </c>
      <c r="F921" s="212" t="s">
        <v>12670</v>
      </c>
      <c r="G921" s="226" t="s">
        <v>16833</v>
      </c>
      <c r="H921" s="343">
        <v>5634</v>
      </c>
      <c r="I921" s="342"/>
      <c r="J921" s="346"/>
      <c r="K921" s="345">
        <f>IFERROR(Table15[[#This Row],[ROUTE $]]/Table15[[#This Row],[E - DEMAND]],0)</f>
        <v>0</v>
      </c>
      <c r="L921" s="212"/>
      <c r="M921" s="413">
        <f>IFERROR(VLOOKUP(Table15[[#This Row],[ROUTE]],DEMAND!A:F,5,FALSE),0)</f>
        <v>0</v>
      </c>
      <c r="N921" s="251">
        <f>IFERROR(VLOOKUP(Table15[[#This Row],[ROUTE]],DEMAND!A:F,6,FALSE),0)</f>
        <v>0</v>
      </c>
      <c r="O921" s="349"/>
      <c r="P921" s="349"/>
      <c r="Q921" s="416">
        <f>IFERROR(VLOOKUP(Table15[[#This Row],[ROUTE]],PRICING!A:B,2,FALSE),0)</f>
        <v>0</v>
      </c>
      <c r="R921" s="409">
        <f>IFERROR(Table15[[#This Row],[C_DEMAND]]-Table15[[#This Row],[R-DEMAND]],0)</f>
        <v>0</v>
      </c>
      <c r="S921" s="410">
        <f t="shared" si="14"/>
        <v>0</v>
      </c>
      <c r="T921" s="420">
        <f>Table15[[#This Row],[R-DEMAND]]-(Table15[[#This Row],[ADD ACC]]*1706)</f>
        <v>0</v>
      </c>
      <c r="U921" s="420">
        <f>ROUNDDOWN(Table15[[#This Row],[Column1]]/1360,0)</f>
        <v>0</v>
      </c>
      <c r="V921" s="420"/>
      <c r="W921" s="349"/>
      <c r="X921" s="349"/>
      <c r="Y921" s="349"/>
      <c r="Z921" s="349"/>
    </row>
    <row r="922" spans="1:26" ht="15.75" customHeight="1" x14ac:dyDescent="0.25">
      <c r="A922" s="341" t="s">
        <v>18285</v>
      </c>
      <c r="B922" s="212" t="s">
        <v>3085</v>
      </c>
      <c r="C922" s="212"/>
      <c r="D922" s="226">
        <v>2</v>
      </c>
      <c r="E922" s="226" t="s">
        <v>258</v>
      </c>
      <c r="F922" s="212" t="s">
        <v>12670</v>
      </c>
      <c r="G922" s="226" t="s">
        <v>8996</v>
      </c>
      <c r="H922" s="343">
        <v>5547</v>
      </c>
      <c r="I922" s="342"/>
      <c r="J922" s="346"/>
      <c r="K922" s="345">
        <f>IFERROR(Table15[[#This Row],[ROUTE $]]/Table15[[#This Row],[E - DEMAND]],0)</f>
        <v>0</v>
      </c>
      <c r="L922" s="212"/>
      <c r="M922" s="413">
        <f>IFERROR(VLOOKUP(Table15[[#This Row],[ROUTE]],DEMAND!A:F,5,FALSE),0)</f>
        <v>0</v>
      </c>
      <c r="N922" s="251">
        <f>IFERROR(VLOOKUP(Table15[[#This Row],[ROUTE]],DEMAND!A:F,6,FALSE),0)</f>
        <v>0</v>
      </c>
      <c r="O922" s="349"/>
      <c r="P922" s="349"/>
      <c r="Q922" s="416">
        <f>IFERROR(VLOOKUP(Table15[[#This Row],[ROUTE]],PRICING!A:B,2,FALSE),0)</f>
        <v>0</v>
      </c>
      <c r="R922" s="409">
        <f>IFERROR(Table15[[#This Row],[C_DEMAND]]-Table15[[#This Row],[R-DEMAND]],0)</f>
        <v>0</v>
      </c>
      <c r="S922" s="410">
        <f t="shared" si="14"/>
        <v>0</v>
      </c>
      <c r="T922" s="420">
        <f>Table15[[#This Row],[R-DEMAND]]-(Table15[[#This Row],[ADD ACC]]*1706)</f>
        <v>0</v>
      </c>
      <c r="U922" s="420">
        <f>ROUNDDOWN(Table15[[#This Row],[Column1]]/1360,0)</f>
        <v>0</v>
      </c>
      <c r="V922" s="420"/>
      <c r="W922" s="349"/>
      <c r="X922" s="349"/>
      <c r="Y922" s="349"/>
      <c r="Z922" s="349"/>
    </row>
    <row r="923" spans="1:26" ht="15.75" customHeight="1" x14ac:dyDescent="0.25">
      <c r="A923" s="341" t="s">
        <v>18244</v>
      </c>
      <c r="B923" s="212" t="s">
        <v>3305</v>
      </c>
      <c r="C923" s="212"/>
      <c r="D923" s="226">
        <v>2</v>
      </c>
      <c r="E923" s="226" t="s">
        <v>585</v>
      </c>
      <c r="F923" s="212" t="s">
        <v>12674</v>
      </c>
      <c r="G923" s="404" t="s">
        <v>16900</v>
      </c>
      <c r="H923" s="343">
        <v>6526</v>
      </c>
      <c r="I923" s="342"/>
      <c r="J923" s="346"/>
      <c r="K923" s="345">
        <f>IFERROR(Table15[[#This Row],[ROUTE $]]/Table15[[#This Row],[E - DEMAND]],0)</f>
        <v>0</v>
      </c>
      <c r="L923" s="212"/>
      <c r="M923" s="413">
        <f>IFERROR(VLOOKUP(Table15[[#This Row],[ROUTE]],DEMAND!A:F,5,FALSE),0)</f>
        <v>0</v>
      </c>
      <c r="N923" s="251">
        <f>IFERROR(VLOOKUP(Table15[[#This Row],[ROUTE]],DEMAND!A:F,6,FALSE),0)</f>
        <v>0</v>
      </c>
      <c r="O923" s="349"/>
      <c r="P923" s="349"/>
      <c r="Q923" s="416">
        <f>IFERROR(VLOOKUP(Table15[[#This Row],[ROUTE]],PRICING!A:B,2,FALSE),0)</f>
        <v>0</v>
      </c>
      <c r="R923" s="409">
        <f>IFERROR(Table15[[#This Row],[C_DEMAND]]-Table15[[#This Row],[R-DEMAND]],0)</f>
        <v>0</v>
      </c>
      <c r="S923" s="410">
        <f t="shared" si="14"/>
        <v>0</v>
      </c>
      <c r="T923" s="420">
        <f>Table15[[#This Row],[R-DEMAND]]-(Table15[[#This Row],[ADD ACC]]*1706)</f>
        <v>0</v>
      </c>
      <c r="U923" s="420">
        <f>ROUNDDOWN(Table15[[#This Row],[Column1]]/1360,0)</f>
        <v>0</v>
      </c>
      <c r="V923" s="420"/>
      <c r="W923" s="349"/>
      <c r="X923" s="349"/>
      <c r="Y923" s="349"/>
      <c r="Z923" s="349"/>
    </row>
    <row r="924" spans="1:26" ht="15.75" customHeight="1" x14ac:dyDescent="0.25">
      <c r="A924" s="341" t="s">
        <v>18247</v>
      </c>
      <c r="B924" s="212" t="s">
        <v>2583</v>
      </c>
      <c r="C924" s="212"/>
      <c r="D924" s="226">
        <v>2</v>
      </c>
      <c r="E924" s="226" t="s">
        <v>585</v>
      </c>
      <c r="F924" s="212" t="s">
        <v>12674</v>
      </c>
      <c r="G924" s="404" t="s">
        <v>16905</v>
      </c>
      <c r="H924" s="343">
        <v>6486</v>
      </c>
      <c r="I924" s="342"/>
      <c r="J924" s="346"/>
      <c r="K924" s="345">
        <f>IFERROR(Table15[[#This Row],[ROUTE $]]/Table15[[#This Row],[E - DEMAND]],0)</f>
        <v>0</v>
      </c>
      <c r="L924" s="212"/>
      <c r="M924" s="413">
        <f>IFERROR(VLOOKUP(Table15[[#This Row],[ROUTE]],DEMAND!A:F,5,FALSE),0)</f>
        <v>0</v>
      </c>
      <c r="N924" s="251">
        <f>IFERROR(VLOOKUP(Table15[[#This Row],[ROUTE]],DEMAND!A:F,6,FALSE),0)</f>
        <v>0</v>
      </c>
      <c r="O924" s="349"/>
      <c r="P924" s="349"/>
      <c r="Q924" s="416">
        <f>IFERROR(VLOOKUP(Table15[[#This Row],[ROUTE]],PRICING!A:B,2,FALSE),0)</f>
        <v>0</v>
      </c>
      <c r="R924" s="409">
        <f>IFERROR(Table15[[#This Row],[C_DEMAND]]-Table15[[#This Row],[R-DEMAND]],0)</f>
        <v>0</v>
      </c>
      <c r="S924" s="410">
        <f t="shared" si="14"/>
        <v>0</v>
      </c>
      <c r="T924" s="420">
        <f>Table15[[#This Row],[R-DEMAND]]-(Table15[[#This Row],[ADD ACC]]*1706)</f>
        <v>0</v>
      </c>
      <c r="U924" s="420">
        <f>ROUNDDOWN(Table15[[#This Row],[Column1]]/1360,0)</f>
        <v>0</v>
      </c>
      <c r="V924" s="420"/>
      <c r="W924" s="349"/>
      <c r="X924" s="349"/>
      <c r="Y924" s="349"/>
      <c r="Z924" s="349"/>
    </row>
    <row r="925" spans="1:26" ht="15.75" customHeight="1" x14ac:dyDescent="0.25">
      <c r="A925" s="210" t="s">
        <v>15218</v>
      </c>
      <c r="B925" s="204" t="s">
        <v>3836</v>
      </c>
      <c r="C925" s="204"/>
      <c r="D925" s="205">
        <v>2</v>
      </c>
      <c r="E925" s="204" t="s">
        <v>3834</v>
      </c>
      <c r="F925" s="204" t="str">
        <f>VLOOKUP(E925,Table10[[COUNTRY NAME]:[CONTINENT CODE]],3,FALSE)</f>
        <v>SA</v>
      </c>
      <c r="G925" s="206" t="s">
        <v>13254</v>
      </c>
      <c r="H925" s="207">
        <v>13712</v>
      </c>
      <c r="I925" s="208">
        <v>32.5</v>
      </c>
      <c r="J925" s="345"/>
      <c r="K925" s="345">
        <f>IFERROR(Table15[[#This Row],[ROUTE $]]/Table15[[#This Row],[E - DEMAND]],0)</f>
        <v>0</v>
      </c>
      <c r="L925" s="204"/>
      <c r="M925" s="412">
        <f>IFERROR(VLOOKUP(Table15[[#This Row],[ROUTE]],DEMAND!A:F,5,FALSE),0)</f>
        <v>0</v>
      </c>
      <c r="N925" s="16">
        <f>IFERROR(VLOOKUP(Table15[[#This Row],[ROUTE]],DEMAND!A:F,6,FALSE),0)</f>
        <v>0</v>
      </c>
      <c r="O925" s="16">
        <f>IFERROR(ROUNDDOWN(Table15[[#This Row],[R-DEMAND]]/1706,0),0)</f>
        <v>0</v>
      </c>
      <c r="P925" s="16">
        <f>IFERROR(Table15[[#This Row],[ADD ACC]]*Table15[[#This Row],[RT TIME 
(380-800)]],0)</f>
        <v>0</v>
      </c>
      <c r="Q925" s="415">
        <f>IFERROR(VLOOKUP(Table15[[#This Row],[ROUTE]],PRICING!A:B,2,FALSE),0)</f>
        <v>0</v>
      </c>
      <c r="R925" s="235">
        <f>IFERROR(Table15[[#This Row],[C_DEMAND]]-Table15[[#This Row],[R-DEMAND]],0)</f>
        <v>0</v>
      </c>
      <c r="S925" s="408">
        <f t="shared" si="14"/>
        <v>0</v>
      </c>
      <c r="T925" s="419">
        <f>Table15[[#This Row],[R-DEMAND]]-(Table15[[#This Row],[ADD ACC]]*1706)</f>
        <v>0</v>
      </c>
      <c r="U925" s="419">
        <f>ROUNDDOWN(Table15[[#This Row],[Column1]]/1360,0)</f>
        <v>0</v>
      </c>
      <c r="V925" s="419"/>
      <c r="W925" s="349"/>
      <c r="X925" s="349"/>
      <c r="Y925" s="349"/>
      <c r="Z925" s="349"/>
    </row>
    <row r="926" spans="1:26" ht="15.75" customHeight="1" x14ac:dyDescent="0.25">
      <c r="A926" s="341" t="s">
        <v>18254</v>
      </c>
      <c r="B926" s="212" t="s">
        <v>3040</v>
      </c>
      <c r="C926" s="212"/>
      <c r="D926" s="226">
        <v>2</v>
      </c>
      <c r="E926" s="226" t="s">
        <v>585</v>
      </c>
      <c r="F926" s="212" t="s">
        <v>12674</v>
      </c>
      <c r="G926" s="404" t="s">
        <v>16901</v>
      </c>
      <c r="H926" s="343">
        <v>6315</v>
      </c>
      <c r="I926" s="342"/>
      <c r="J926" s="346"/>
      <c r="K926" s="345">
        <f>IFERROR(Table15[[#This Row],[ROUTE $]]/Table15[[#This Row],[E - DEMAND]],0)</f>
        <v>0</v>
      </c>
      <c r="L926" s="212"/>
      <c r="M926" s="413">
        <f>IFERROR(VLOOKUP(Table15[[#This Row],[ROUTE]],DEMAND!A:F,5,FALSE),0)</f>
        <v>0</v>
      </c>
      <c r="N926" s="251">
        <f>IFERROR(VLOOKUP(Table15[[#This Row],[ROUTE]],DEMAND!A:F,6,FALSE),0)</f>
        <v>0</v>
      </c>
      <c r="O926" s="349"/>
      <c r="P926" s="349"/>
      <c r="Q926" s="416">
        <f>IFERROR(VLOOKUP(Table15[[#This Row],[ROUTE]],PRICING!A:B,2,FALSE),0)</f>
        <v>0</v>
      </c>
      <c r="R926" s="409">
        <f>IFERROR(Table15[[#This Row],[C_DEMAND]]-Table15[[#This Row],[R-DEMAND]],0)</f>
        <v>0</v>
      </c>
      <c r="S926" s="410">
        <f t="shared" si="14"/>
        <v>0</v>
      </c>
      <c r="T926" s="420">
        <f>Table15[[#This Row],[R-DEMAND]]-(Table15[[#This Row],[ADD ACC]]*1706)</f>
        <v>0</v>
      </c>
      <c r="U926" s="420">
        <f>ROUNDDOWN(Table15[[#This Row],[Column1]]/1360,0)</f>
        <v>0</v>
      </c>
      <c r="V926" s="420"/>
      <c r="W926" s="349"/>
      <c r="X926" s="349"/>
      <c r="Y926" s="349"/>
      <c r="Z926" s="349"/>
    </row>
    <row r="927" spans="1:26" ht="15.75" customHeight="1" x14ac:dyDescent="0.25">
      <c r="A927" s="341" t="s">
        <v>18246</v>
      </c>
      <c r="B927" s="212" t="s">
        <v>2533</v>
      </c>
      <c r="C927" s="212"/>
      <c r="D927" s="226">
        <v>2</v>
      </c>
      <c r="E927" s="226" t="s">
        <v>542</v>
      </c>
      <c r="F927" s="212" t="s">
        <v>12671</v>
      </c>
      <c r="G927" s="226" t="s">
        <v>16855</v>
      </c>
      <c r="H927" s="343">
        <v>6494</v>
      </c>
      <c r="I927" s="342"/>
      <c r="J927" s="346"/>
      <c r="K927" s="345">
        <f>IFERROR(Table15[[#This Row],[ROUTE $]]/Table15[[#This Row],[E - DEMAND]],0)</f>
        <v>0</v>
      </c>
      <c r="L927" s="212"/>
      <c r="M927" s="413">
        <f>IFERROR(VLOOKUP(Table15[[#This Row],[ROUTE]],DEMAND!A:F,5,FALSE),0)</f>
        <v>0</v>
      </c>
      <c r="N927" s="251">
        <f>IFERROR(VLOOKUP(Table15[[#This Row],[ROUTE]],DEMAND!A:F,6,FALSE),0)</f>
        <v>0</v>
      </c>
      <c r="O927" s="349"/>
      <c r="P927" s="349"/>
      <c r="Q927" s="416">
        <f>IFERROR(VLOOKUP(Table15[[#This Row],[ROUTE]],PRICING!A:B,2,FALSE),0)</f>
        <v>0</v>
      </c>
      <c r="R927" s="409">
        <f>IFERROR(Table15[[#This Row],[C_DEMAND]]-Table15[[#This Row],[R-DEMAND]],0)</f>
        <v>0</v>
      </c>
      <c r="S927" s="410">
        <f t="shared" si="14"/>
        <v>0</v>
      </c>
      <c r="T927" s="420">
        <f>Table15[[#This Row],[R-DEMAND]]-(Table15[[#This Row],[ADD ACC]]*1706)</f>
        <v>0</v>
      </c>
      <c r="U927" s="420">
        <f>ROUNDDOWN(Table15[[#This Row],[Column1]]/1360,0)</f>
        <v>0</v>
      </c>
      <c r="V927" s="420"/>
      <c r="W927" s="349"/>
      <c r="X927" s="349"/>
      <c r="Y927" s="349"/>
      <c r="Z927" s="349"/>
    </row>
    <row r="928" spans="1:26" ht="15.75" customHeight="1" x14ac:dyDescent="0.25">
      <c r="A928" s="341" t="s">
        <v>18320</v>
      </c>
      <c r="B928" s="212" t="s">
        <v>2508</v>
      </c>
      <c r="C928" s="212"/>
      <c r="D928" s="226">
        <v>2</v>
      </c>
      <c r="E928" s="226" t="s">
        <v>700</v>
      </c>
      <c r="F928" s="212" t="s">
        <v>12670</v>
      </c>
      <c r="G928" s="226" t="s">
        <v>16876</v>
      </c>
      <c r="H928" s="343">
        <v>4645</v>
      </c>
      <c r="I928" s="342"/>
      <c r="J928" s="346"/>
      <c r="K928" s="345">
        <f>IFERROR(Table15[[#This Row],[ROUTE $]]/Table15[[#This Row],[E - DEMAND]],0)</f>
        <v>0</v>
      </c>
      <c r="L928" s="212"/>
      <c r="M928" s="413">
        <f>IFERROR(VLOOKUP(Table15[[#This Row],[ROUTE]],DEMAND!A:F,5,FALSE),0)</f>
        <v>0</v>
      </c>
      <c r="N928" s="251">
        <f>IFERROR(VLOOKUP(Table15[[#This Row],[ROUTE]],DEMAND!A:F,6,FALSE),0)</f>
        <v>0</v>
      </c>
      <c r="O928" s="349"/>
      <c r="P928" s="349"/>
      <c r="Q928" s="416">
        <f>IFERROR(VLOOKUP(Table15[[#This Row],[ROUTE]],PRICING!A:B,2,FALSE),0)</f>
        <v>0</v>
      </c>
      <c r="R928" s="409">
        <f>IFERROR(Table15[[#This Row],[C_DEMAND]]-Table15[[#This Row],[R-DEMAND]],0)</f>
        <v>0</v>
      </c>
      <c r="S928" s="410">
        <f t="shared" si="14"/>
        <v>0</v>
      </c>
      <c r="T928" s="420">
        <f>Table15[[#This Row],[R-DEMAND]]-(Table15[[#This Row],[ADD ACC]]*1706)</f>
        <v>0</v>
      </c>
      <c r="U928" s="420">
        <f>ROUNDDOWN(Table15[[#This Row],[Column1]]/1360,0)</f>
        <v>0</v>
      </c>
      <c r="V928" s="420"/>
      <c r="W928" s="349"/>
      <c r="X928" s="349"/>
      <c r="Y928" s="349"/>
      <c r="Z928" s="349"/>
    </row>
    <row r="929" spans="1:26" ht="15.75" customHeight="1" x14ac:dyDescent="0.25">
      <c r="A929" s="341" t="s">
        <v>18333</v>
      </c>
      <c r="B929" s="212" t="s">
        <v>2609</v>
      </c>
      <c r="C929" s="212"/>
      <c r="D929" s="226">
        <v>2</v>
      </c>
      <c r="E929" s="226" t="s">
        <v>700</v>
      </c>
      <c r="F929" s="212" t="s">
        <v>12670</v>
      </c>
      <c r="G929" s="226" t="s">
        <v>16866</v>
      </c>
      <c r="H929" s="343">
        <v>3918</v>
      </c>
      <c r="I929" s="342"/>
      <c r="J929" s="346"/>
      <c r="K929" s="345">
        <f>IFERROR(Table15[[#This Row],[ROUTE $]]/Table15[[#This Row],[E - DEMAND]],0)</f>
        <v>0</v>
      </c>
      <c r="L929" s="212"/>
      <c r="M929" s="413">
        <f>IFERROR(VLOOKUP(Table15[[#This Row],[ROUTE]],DEMAND!A:F,5,FALSE),0)</f>
        <v>0</v>
      </c>
      <c r="N929" s="251">
        <f>IFERROR(VLOOKUP(Table15[[#This Row],[ROUTE]],DEMAND!A:F,6,FALSE),0)</f>
        <v>0</v>
      </c>
      <c r="O929" s="349"/>
      <c r="P929" s="349"/>
      <c r="Q929" s="416">
        <f>IFERROR(VLOOKUP(Table15[[#This Row],[ROUTE]],PRICING!A:B,2,FALSE),0)</f>
        <v>0</v>
      </c>
      <c r="R929" s="409">
        <f>IFERROR(Table15[[#This Row],[C_DEMAND]]-Table15[[#This Row],[R-DEMAND]],0)</f>
        <v>0</v>
      </c>
      <c r="S929" s="410">
        <f t="shared" si="14"/>
        <v>0</v>
      </c>
      <c r="T929" s="420">
        <f>Table15[[#This Row],[R-DEMAND]]-(Table15[[#This Row],[ADD ACC]]*1706)</f>
        <v>0</v>
      </c>
      <c r="U929" s="420">
        <f>ROUNDDOWN(Table15[[#This Row],[Column1]]/1360,0)</f>
        <v>0</v>
      </c>
      <c r="V929" s="420"/>
      <c r="W929" s="349"/>
      <c r="X929" s="349"/>
      <c r="Y929" s="349"/>
      <c r="Z929" s="349"/>
    </row>
    <row r="930" spans="1:26" ht="15.75" customHeight="1" x14ac:dyDescent="0.25">
      <c r="A930" s="341" t="s">
        <v>18334</v>
      </c>
      <c r="B930" s="212" t="s">
        <v>3479</v>
      </c>
      <c r="C930" s="212"/>
      <c r="D930" s="226">
        <v>2</v>
      </c>
      <c r="E930" s="226" t="s">
        <v>700</v>
      </c>
      <c r="F930" s="212" t="s">
        <v>12670</v>
      </c>
      <c r="G930" s="226" t="s">
        <v>16863</v>
      </c>
      <c r="H930" s="343">
        <v>3720</v>
      </c>
      <c r="I930" s="342"/>
      <c r="J930" s="346"/>
      <c r="K930" s="345">
        <f>IFERROR(Table15[[#This Row],[ROUTE $]]/Table15[[#This Row],[E - DEMAND]],0)</f>
        <v>0</v>
      </c>
      <c r="L930" s="212"/>
      <c r="M930" s="413">
        <f>IFERROR(VLOOKUP(Table15[[#This Row],[ROUTE]],DEMAND!A:F,5,FALSE),0)</f>
        <v>0</v>
      </c>
      <c r="N930" s="251">
        <f>IFERROR(VLOOKUP(Table15[[#This Row],[ROUTE]],DEMAND!A:F,6,FALSE),0)</f>
        <v>0</v>
      </c>
      <c r="O930" s="349"/>
      <c r="P930" s="349"/>
      <c r="Q930" s="416">
        <f>IFERROR(VLOOKUP(Table15[[#This Row],[ROUTE]],PRICING!A:B,2,FALSE),0)</f>
        <v>0</v>
      </c>
      <c r="R930" s="409">
        <f>IFERROR(Table15[[#This Row],[C_DEMAND]]-Table15[[#This Row],[R-DEMAND]],0)</f>
        <v>0</v>
      </c>
      <c r="S930" s="410">
        <f t="shared" si="14"/>
        <v>0</v>
      </c>
      <c r="T930" s="420">
        <f>Table15[[#This Row],[R-DEMAND]]-(Table15[[#This Row],[ADD ACC]]*1706)</f>
        <v>0</v>
      </c>
      <c r="U930" s="420">
        <f>ROUNDDOWN(Table15[[#This Row],[Column1]]/1360,0)</f>
        <v>0</v>
      </c>
      <c r="V930" s="420"/>
      <c r="W930" s="349"/>
      <c r="X930" s="349"/>
      <c r="Y930" s="349"/>
      <c r="Z930" s="349"/>
    </row>
    <row r="931" spans="1:26" ht="15.75" customHeight="1" x14ac:dyDescent="0.25">
      <c r="A931" s="341" t="s">
        <v>18340</v>
      </c>
      <c r="B931" s="212" t="s">
        <v>4369</v>
      </c>
      <c r="C931" s="212"/>
      <c r="D931" s="226">
        <v>2</v>
      </c>
      <c r="E931" s="226" t="s">
        <v>700</v>
      </c>
      <c r="F931" s="212" t="s">
        <v>12670</v>
      </c>
      <c r="G931" s="226" t="s">
        <v>16861</v>
      </c>
      <c r="H931" s="343">
        <v>3569</v>
      </c>
      <c r="I931" s="342"/>
      <c r="J931" s="346"/>
      <c r="K931" s="345">
        <f>IFERROR(Table15[[#This Row],[ROUTE $]]/Table15[[#This Row],[E - DEMAND]],0)</f>
        <v>0</v>
      </c>
      <c r="L931" s="212"/>
      <c r="M931" s="413">
        <f>IFERROR(VLOOKUP(Table15[[#This Row],[ROUTE]],DEMAND!A:F,5,FALSE),0)</f>
        <v>0</v>
      </c>
      <c r="N931" s="251">
        <f>IFERROR(VLOOKUP(Table15[[#This Row],[ROUTE]],DEMAND!A:F,6,FALSE),0)</f>
        <v>0</v>
      </c>
      <c r="O931" s="349"/>
      <c r="P931" s="349"/>
      <c r="Q931" s="416">
        <f>IFERROR(VLOOKUP(Table15[[#This Row],[ROUTE]],PRICING!A:B,2,FALSE),0)</f>
        <v>0</v>
      </c>
      <c r="R931" s="409">
        <f>IFERROR(Table15[[#This Row],[C_DEMAND]]-Table15[[#This Row],[R-DEMAND]],0)</f>
        <v>0</v>
      </c>
      <c r="S931" s="410">
        <f t="shared" si="14"/>
        <v>0</v>
      </c>
      <c r="T931" s="420">
        <f>Table15[[#This Row],[R-DEMAND]]-(Table15[[#This Row],[ADD ACC]]*1706)</f>
        <v>0</v>
      </c>
      <c r="U931" s="420">
        <f>ROUNDDOWN(Table15[[#This Row],[Column1]]/1360,0)</f>
        <v>0</v>
      </c>
      <c r="V931" s="420"/>
      <c r="W931" s="349"/>
      <c r="X931" s="349"/>
      <c r="Y931" s="349"/>
      <c r="Z931" s="349"/>
    </row>
    <row r="932" spans="1:26" ht="15.75" customHeight="1" x14ac:dyDescent="0.25">
      <c r="A932" s="341" t="s">
        <v>18337</v>
      </c>
      <c r="B932" s="212" t="s">
        <v>4056</v>
      </c>
      <c r="C932" s="212"/>
      <c r="D932" s="226">
        <v>2</v>
      </c>
      <c r="E932" s="226" t="s">
        <v>1314</v>
      </c>
      <c r="F932" s="212" t="s">
        <v>12670</v>
      </c>
      <c r="G932" s="226" t="s">
        <v>18114</v>
      </c>
      <c r="H932" s="343">
        <v>3696</v>
      </c>
      <c r="I932" s="342"/>
      <c r="J932" s="346"/>
      <c r="K932" s="345">
        <f>IFERROR(Table15[[#This Row],[ROUTE $]]/Table15[[#This Row],[E - DEMAND]],0)</f>
        <v>0</v>
      </c>
      <c r="L932" s="212"/>
      <c r="M932" s="413">
        <f>IFERROR(VLOOKUP(Table15[[#This Row],[ROUTE]],DEMAND!A:F,5,FALSE),0)</f>
        <v>0</v>
      </c>
      <c r="N932" s="251">
        <f>IFERROR(VLOOKUP(Table15[[#This Row],[ROUTE]],DEMAND!A:F,6,FALSE),0)</f>
        <v>0</v>
      </c>
      <c r="O932" s="349"/>
      <c r="P932" s="349"/>
      <c r="Q932" s="416">
        <f>IFERROR(VLOOKUP(Table15[[#This Row],[ROUTE]],PRICING!A:B,2,FALSE),0)</f>
        <v>0</v>
      </c>
      <c r="R932" s="409">
        <f>IFERROR(Table15[[#This Row],[C_DEMAND]]-Table15[[#This Row],[R-DEMAND]],0)</f>
        <v>0</v>
      </c>
      <c r="S932" s="410">
        <f t="shared" si="14"/>
        <v>0</v>
      </c>
      <c r="T932" s="420">
        <f>Table15[[#This Row],[R-DEMAND]]-(Table15[[#This Row],[ADD ACC]]*1706)</f>
        <v>0</v>
      </c>
      <c r="U932" s="420">
        <f>ROUNDDOWN(Table15[[#This Row],[Column1]]/1360,0)</f>
        <v>0</v>
      </c>
      <c r="V932" s="420"/>
      <c r="W932" s="349"/>
      <c r="X932" s="349"/>
      <c r="Y932" s="349"/>
      <c r="Z932" s="349"/>
    </row>
    <row r="933" spans="1:26" ht="15.75" customHeight="1" x14ac:dyDescent="0.25">
      <c r="A933" s="341" t="s">
        <v>18346</v>
      </c>
      <c r="B933" s="212" t="s">
        <v>1801</v>
      </c>
      <c r="C933" s="212"/>
      <c r="D933" s="226">
        <v>1</v>
      </c>
      <c r="E933" s="226" t="s">
        <v>14</v>
      </c>
      <c r="F933" s="212" t="s">
        <v>12670</v>
      </c>
      <c r="G933" s="226" t="s">
        <v>5911</v>
      </c>
      <c r="H933" s="343">
        <v>3277</v>
      </c>
      <c r="I933" s="342"/>
      <c r="J933" s="346"/>
      <c r="K933" s="345">
        <f>IFERROR(Table15[[#This Row],[ROUTE $]]/Table15[[#This Row],[E - DEMAND]],0)</f>
        <v>0</v>
      </c>
      <c r="L933" s="212"/>
      <c r="M933" s="413">
        <f>IFERROR(VLOOKUP(Table15[[#This Row],[ROUTE]],DEMAND!A:F,5,FALSE),0)</f>
        <v>0</v>
      </c>
      <c r="N933" s="251">
        <f>IFERROR(VLOOKUP(Table15[[#This Row],[ROUTE]],DEMAND!A:F,6,FALSE),0)</f>
        <v>0</v>
      </c>
      <c r="O933" s="349"/>
      <c r="P933" s="349"/>
      <c r="Q933" s="416">
        <f>IFERROR(VLOOKUP(Table15[[#This Row],[ROUTE]],PRICING!A:B,2,FALSE),0)</f>
        <v>0</v>
      </c>
      <c r="R933" s="409">
        <f>IFERROR(Table15[[#This Row],[C_DEMAND]]-Table15[[#This Row],[R-DEMAND]],0)</f>
        <v>0</v>
      </c>
      <c r="S933" s="410">
        <f t="shared" si="14"/>
        <v>0</v>
      </c>
      <c r="T933" s="420">
        <f>Table15[[#This Row],[R-DEMAND]]-(Table15[[#This Row],[ADD ACC]]*1706)</f>
        <v>0</v>
      </c>
      <c r="U933" s="420">
        <f>ROUNDDOWN(Table15[[#This Row],[Column1]]/1360,0)</f>
        <v>0</v>
      </c>
      <c r="V933" s="420"/>
      <c r="W933" s="349"/>
      <c r="X933" s="349"/>
      <c r="Y933" s="349"/>
      <c r="Z933" s="349"/>
    </row>
    <row r="934" spans="1:26" ht="15.75" customHeight="1" x14ac:dyDescent="0.25">
      <c r="A934" s="341" t="s">
        <v>18347</v>
      </c>
      <c r="B934" s="212" t="s">
        <v>1767</v>
      </c>
      <c r="C934" s="212"/>
      <c r="D934" s="226">
        <v>1</v>
      </c>
      <c r="E934" s="226" t="s">
        <v>14</v>
      </c>
      <c r="F934" s="212" t="s">
        <v>12670</v>
      </c>
      <c r="G934" s="226" t="s">
        <v>16844</v>
      </c>
      <c r="H934" s="343">
        <v>3138</v>
      </c>
      <c r="I934" s="342"/>
      <c r="J934" s="346"/>
      <c r="K934" s="345">
        <f>IFERROR(Table15[[#This Row],[ROUTE $]]/Table15[[#This Row],[E - DEMAND]],0)</f>
        <v>0</v>
      </c>
      <c r="L934" s="212"/>
      <c r="M934" s="413">
        <f>IFERROR(VLOOKUP(Table15[[#This Row],[ROUTE]],DEMAND!A:F,5,FALSE),0)</f>
        <v>0</v>
      </c>
      <c r="N934" s="251">
        <f>IFERROR(VLOOKUP(Table15[[#This Row],[ROUTE]],DEMAND!A:F,6,FALSE),0)</f>
        <v>0</v>
      </c>
      <c r="O934" s="349"/>
      <c r="P934" s="349"/>
      <c r="Q934" s="416">
        <f>IFERROR(VLOOKUP(Table15[[#This Row],[ROUTE]],PRICING!A:B,2,FALSE),0)</f>
        <v>0</v>
      </c>
      <c r="R934" s="409">
        <f>IFERROR(Table15[[#This Row],[C_DEMAND]]-Table15[[#This Row],[R-DEMAND]],0)</f>
        <v>0</v>
      </c>
      <c r="S934" s="410">
        <f t="shared" si="14"/>
        <v>0</v>
      </c>
      <c r="T934" s="420">
        <f>Table15[[#This Row],[R-DEMAND]]-(Table15[[#This Row],[ADD ACC]]*1706)</f>
        <v>0</v>
      </c>
      <c r="U934" s="420">
        <f>ROUNDDOWN(Table15[[#This Row],[Column1]]/1360,0)</f>
        <v>0</v>
      </c>
      <c r="V934" s="420"/>
      <c r="W934" s="349"/>
      <c r="X934" s="349"/>
      <c r="Y934" s="349"/>
      <c r="Z934" s="349"/>
    </row>
    <row r="935" spans="1:26" ht="15.75" customHeight="1" x14ac:dyDescent="0.25">
      <c r="A935" s="341" t="s">
        <v>18286</v>
      </c>
      <c r="B935" s="212" t="s">
        <v>4422</v>
      </c>
      <c r="C935" s="212"/>
      <c r="D935" s="226">
        <v>2</v>
      </c>
      <c r="E935" s="226" t="s">
        <v>722</v>
      </c>
      <c r="F935" s="212" t="s">
        <v>12674</v>
      </c>
      <c r="G935" s="404" t="s">
        <v>16885</v>
      </c>
      <c r="H935" s="343">
        <v>5495</v>
      </c>
      <c r="I935" s="342"/>
      <c r="J935" s="346"/>
      <c r="K935" s="345">
        <f>IFERROR(Table15[[#This Row],[ROUTE $]]/Table15[[#This Row],[E - DEMAND]],0)</f>
        <v>0</v>
      </c>
      <c r="L935" s="212"/>
      <c r="M935" s="413">
        <f>IFERROR(VLOOKUP(Table15[[#This Row],[ROUTE]],DEMAND!A:F,5,FALSE),0)</f>
        <v>0</v>
      </c>
      <c r="N935" s="251">
        <f>IFERROR(VLOOKUP(Table15[[#This Row],[ROUTE]],DEMAND!A:F,6,FALSE),0)</f>
        <v>0</v>
      </c>
      <c r="O935" s="349"/>
      <c r="P935" s="349"/>
      <c r="Q935" s="416">
        <f>IFERROR(VLOOKUP(Table15[[#This Row],[ROUTE]],PRICING!A:B,2,FALSE),0)</f>
        <v>0</v>
      </c>
      <c r="R935" s="409">
        <f>IFERROR(Table15[[#This Row],[C_DEMAND]]-Table15[[#This Row],[R-DEMAND]],0)</f>
        <v>0</v>
      </c>
      <c r="S935" s="410">
        <f t="shared" si="14"/>
        <v>0</v>
      </c>
      <c r="T935" s="420">
        <f>Table15[[#This Row],[R-DEMAND]]-(Table15[[#This Row],[ADD ACC]]*1706)</f>
        <v>0</v>
      </c>
      <c r="U935" s="420">
        <f>ROUNDDOWN(Table15[[#This Row],[Column1]]/1360,0)</f>
        <v>0</v>
      </c>
      <c r="V935" s="420"/>
      <c r="W935" s="349"/>
      <c r="X935" s="349"/>
      <c r="Y935" s="349"/>
      <c r="Z935" s="349"/>
    </row>
    <row r="936" spans="1:26" ht="15.75" customHeight="1" x14ac:dyDescent="0.25">
      <c r="A936" s="210" t="s">
        <v>15168</v>
      </c>
      <c r="B936" s="204" t="s">
        <v>3721</v>
      </c>
      <c r="C936" s="204"/>
      <c r="D936" s="205">
        <v>2</v>
      </c>
      <c r="E936" s="16" t="s">
        <v>11732</v>
      </c>
      <c r="F936" s="204" t="str">
        <f>VLOOKUP(E936,Table10[[COUNTRY NAME]:[CONTINENT CODE]],3,FALSE)</f>
        <v>NA - US</v>
      </c>
      <c r="G936" s="206" t="s">
        <v>13337</v>
      </c>
      <c r="H936" s="207">
        <v>14200</v>
      </c>
      <c r="I936" s="208">
        <v>33.5</v>
      </c>
      <c r="J936" s="345"/>
      <c r="K936" s="345">
        <f>IFERROR(Table15[[#This Row],[ROUTE $]]/Table15[[#This Row],[E - DEMAND]],0)</f>
        <v>0</v>
      </c>
      <c r="L936" s="204"/>
      <c r="M936" s="412">
        <f>IFERROR(VLOOKUP(Table15[[#This Row],[ROUTE]],DEMAND!A:F,5,FALSE),0)</f>
        <v>0</v>
      </c>
      <c r="N936" s="16">
        <f>IFERROR(VLOOKUP(Table15[[#This Row],[ROUTE]],DEMAND!A:F,6,FALSE),0)</f>
        <v>0</v>
      </c>
      <c r="O936" s="16">
        <f>IFERROR(ROUNDDOWN(Table15[[#This Row],[R-DEMAND]]/1706,0),0)</f>
        <v>0</v>
      </c>
      <c r="P936" s="16">
        <f>IFERROR(Table15[[#This Row],[ADD ACC]]*Table15[[#This Row],[RT TIME 
(380-800)]],0)</f>
        <v>0</v>
      </c>
      <c r="Q936" s="415">
        <f>IFERROR(VLOOKUP(Table15[[#This Row],[ROUTE]],PRICING!A:B,2,FALSE),0)</f>
        <v>0</v>
      </c>
      <c r="R936" s="235">
        <f>IFERROR(Table15[[#This Row],[C_DEMAND]]-Table15[[#This Row],[R-DEMAND]],0)</f>
        <v>0</v>
      </c>
      <c r="S936" s="408">
        <f t="shared" si="14"/>
        <v>0</v>
      </c>
      <c r="T936" s="419">
        <f>Table15[[#This Row],[R-DEMAND]]-(Table15[[#This Row],[ADD ACC]]*1706)</f>
        <v>0</v>
      </c>
      <c r="U936" s="419">
        <f>ROUNDDOWN(Table15[[#This Row],[Column1]]/1360,0)</f>
        <v>0</v>
      </c>
      <c r="V936" s="419"/>
      <c r="W936" s="349"/>
      <c r="X936" s="349"/>
      <c r="Y936" s="349"/>
      <c r="Z936" s="349"/>
    </row>
    <row r="937" spans="1:26" ht="15.75" customHeight="1" x14ac:dyDescent="0.25">
      <c r="A937" s="210" t="s">
        <v>15182</v>
      </c>
      <c r="B937" s="204" t="s">
        <v>4183</v>
      </c>
      <c r="C937" s="204"/>
      <c r="D937" s="205">
        <v>2</v>
      </c>
      <c r="E937" s="16" t="s">
        <v>11732</v>
      </c>
      <c r="F937" s="204" t="str">
        <f>VLOOKUP(E937,Table10[[COUNTRY NAME]:[CONTINENT CODE]],3,FALSE)</f>
        <v>NA - US</v>
      </c>
      <c r="G937" s="206" t="s">
        <v>13315</v>
      </c>
      <c r="H937" s="207">
        <v>14135</v>
      </c>
      <c r="I937" s="208">
        <v>33.5</v>
      </c>
      <c r="J937" s="345"/>
      <c r="K937" s="345">
        <f>IFERROR(Table15[[#This Row],[ROUTE $]]/Table15[[#This Row],[E - DEMAND]],0)</f>
        <v>0</v>
      </c>
      <c r="L937" s="204"/>
      <c r="M937" s="412">
        <f>IFERROR(VLOOKUP(Table15[[#This Row],[ROUTE]],DEMAND!A:F,5,FALSE),0)</f>
        <v>0</v>
      </c>
      <c r="N937" s="16">
        <f>IFERROR(VLOOKUP(Table15[[#This Row],[ROUTE]],DEMAND!A:F,6,FALSE),0)</f>
        <v>0</v>
      </c>
      <c r="O937" s="16">
        <f>IFERROR(ROUNDDOWN(Table15[[#This Row],[R-DEMAND]]/1706,0),0)</f>
        <v>0</v>
      </c>
      <c r="P937" s="16">
        <f>IFERROR(Table15[[#This Row],[ADD ACC]]*Table15[[#This Row],[RT TIME 
(380-800)]],0)</f>
        <v>0</v>
      </c>
      <c r="Q937" s="415">
        <f>IFERROR(VLOOKUP(Table15[[#This Row],[ROUTE]],PRICING!A:B,2,FALSE),0)</f>
        <v>0</v>
      </c>
      <c r="R937" s="235">
        <f>IFERROR(Table15[[#This Row],[C_DEMAND]]-Table15[[#This Row],[R-DEMAND]],0)</f>
        <v>0</v>
      </c>
      <c r="S937" s="408">
        <f t="shared" si="14"/>
        <v>0</v>
      </c>
      <c r="T937" s="419">
        <f>Table15[[#This Row],[R-DEMAND]]-(Table15[[#This Row],[ADD ACC]]*1706)</f>
        <v>0</v>
      </c>
      <c r="U937" s="419">
        <f>ROUNDDOWN(Table15[[#This Row],[Column1]]/1360,0)</f>
        <v>0</v>
      </c>
      <c r="V937" s="419"/>
      <c r="W937" s="349"/>
      <c r="X937" s="349"/>
      <c r="Y937" s="349"/>
      <c r="Z937" s="349"/>
    </row>
    <row r="938" spans="1:26" ht="15.75" customHeight="1" x14ac:dyDescent="0.25">
      <c r="A938" s="210" t="s">
        <v>15204</v>
      </c>
      <c r="B938" s="204" t="s">
        <v>4416</v>
      </c>
      <c r="C938" s="204"/>
      <c r="D938" s="205">
        <v>2</v>
      </c>
      <c r="E938" s="16" t="s">
        <v>11732</v>
      </c>
      <c r="F938" s="204" t="str">
        <f>VLOOKUP(E938,Table10[[COUNTRY NAME]:[CONTINENT CODE]],3,FALSE)</f>
        <v>NA - US</v>
      </c>
      <c r="G938" s="206" t="s">
        <v>13300</v>
      </c>
      <c r="H938" s="207">
        <v>13953</v>
      </c>
      <c r="I938" s="208">
        <v>33</v>
      </c>
      <c r="J938" s="345"/>
      <c r="K938" s="345">
        <f>IFERROR(Table15[[#This Row],[ROUTE $]]/Table15[[#This Row],[E - DEMAND]],0)</f>
        <v>0</v>
      </c>
      <c r="L938" s="204"/>
      <c r="M938" s="412">
        <f>IFERROR(VLOOKUP(Table15[[#This Row],[ROUTE]],DEMAND!A:F,5,FALSE),0)</f>
        <v>0</v>
      </c>
      <c r="N938" s="16">
        <f>IFERROR(VLOOKUP(Table15[[#This Row],[ROUTE]],DEMAND!A:F,6,FALSE),0)</f>
        <v>0</v>
      </c>
      <c r="O938" s="16">
        <f>IFERROR(ROUNDDOWN(Table15[[#This Row],[R-DEMAND]]/1706,0),0)</f>
        <v>0</v>
      </c>
      <c r="P938" s="16">
        <f>IFERROR(Table15[[#This Row],[ADD ACC]]*Table15[[#This Row],[RT TIME 
(380-800)]],0)</f>
        <v>0</v>
      </c>
      <c r="Q938" s="415">
        <f>IFERROR(VLOOKUP(Table15[[#This Row],[ROUTE]],PRICING!A:B,2,FALSE),0)</f>
        <v>0</v>
      </c>
      <c r="R938" s="235">
        <f>IFERROR(Table15[[#This Row],[C_DEMAND]]-Table15[[#This Row],[R-DEMAND]],0)</f>
        <v>0</v>
      </c>
      <c r="S938" s="408">
        <f t="shared" si="14"/>
        <v>0</v>
      </c>
      <c r="T938" s="419">
        <f>Table15[[#This Row],[R-DEMAND]]-(Table15[[#This Row],[ADD ACC]]*1706)</f>
        <v>0</v>
      </c>
      <c r="U938" s="419">
        <f>ROUNDDOWN(Table15[[#This Row],[Column1]]/1360,0)</f>
        <v>0</v>
      </c>
      <c r="V938" s="419"/>
      <c r="W938" s="349"/>
      <c r="X938" s="349"/>
      <c r="Y938" s="349"/>
      <c r="Z938" s="349"/>
    </row>
    <row r="939" spans="1:26" ht="15.75" customHeight="1" x14ac:dyDescent="0.25">
      <c r="A939" s="210" t="s">
        <v>15172</v>
      </c>
      <c r="B939" s="204" t="s">
        <v>4178</v>
      </c>
      <c r="C939" s="204"/>
      <c r="D939" s="205">
        <v>2</v>
      </c>
      <c r="E939" s="16" t="s">
        <v>11732</v>
      </c>
      <c r="F939" s="204" t="str">
        <f>VLOOKUP(E939,Table10[[COUNTRY NAME]:[CONTINENT CODE]],3,FALSE)</f>
        <v>NA - US</v>
      </c>
      <c r="G939" s="206" t="s">
        <v>13285</v>
      </c>
      <c r="H939" s="207">
        <v>14173</v>
      </c>
      <c r="I939" s="208">
        <v>33.5</v>
      </c>
      <c r="J939" s="345"/>
      <c r="K939" s="345">
        <f>IFERROR(Table15[[#This Row],[ROUTE $]]/Table15[[#This Row],[E - DEMAND]],0)</f>
        <v>0</v>
      </c>
      <c r="L939" s="204"/>
      <c r="M939" s="412">
        <f>IFERROR(VLOOKUP(Table15[[#This Row],[ROUTE]],DEMAND!A:F,5,FALSE),0)</f>
        <v>0</v>
      </c>
      <c r="N939" s="16">
        <f>IFERROR(VLOOKUP(Table15[[#This Row],[ROUTE]],DEMAND!A:F,6,FALSE),0)</f>
        <v>0</v>
      </c>
      <c r="O939" s="16">
        <f>IFERROR(ROUNDDOWN(Table15[[#This Row],[R-DEMAND]]/1706,0),0)</f>
        <v>0</v>
      </c>
      <c r="P939" s="16">
        <f>IFERROR(Table15[[#This Row],[ADD ACC]]*Table15[[#This Row],[RT TIME 
(380-800)]],0)</f>
        <v>0</v>
      </c>
      <c r="Q939" s="415">
        <f>IFERROR(VLOOKUP(Table15[[#This Row],[ROUTE]],PRICING!A:B,2,FALSE),0)</f>
        <v>0</v>
      </c>
      <c r="R939" s="235">
        <f>IFERROR(Table15[[#This Row],[C_DEMAND]]-Table15[[#This Row],[R-DEMAND]],0)</f>
        <v>0</v>
      </c>
      <c r="S939" s="408">
        <f t="shared" si="14"/>
        <v>0</v>
      </c>
      <c r="T939" s="419">
        <f>Table15[[#This Row],[R-DEMAND]]-(Table15[[#This Row],[ADD ACC]]*1706)</f>
        <v>0</v>
      </c>
      <c r="U939" s="419">
        <f>ROUNDDOWN(Table15[[#This Row],[Column1]]/1360,0)</f>
        <v>0</v>
      </c>
      <c r="V939" s="419"/>
      <c r="W939" s="349"/>
      <c r="X939" s="349"/>
      <c r="Y939" s="349"/>
      <c r="Z939" s="349"/>
    </row>
    <row r="940" spans="1:26" ht="15.75" customHeight="1" x14ac:dyDescent="0.25">
      <c r="A940" s="210" t="s">
        <v>15208</v>
      </c>
      <c r="B940" s="204" t="s">
        <v>3337</v>
      </c>
      <c r="C940" s="204"/>
      <c r="D940" s="205">
        <v>2</v>
      </c>
      <c r="E940" s="16" t="s">
        <v>11732</v>
      </c>
      <c r="F940" s="204" t="str">
        <f>VLOOKUP(E940,Table10[[COUNTRY NAME]:[CONTINENT CODE]],3,FALSE)</f>
        <v>NA - US</v>
      </c>
      <c r="G940" s="206" t="s">
        <v>13267</v>
      </c>
      <c r="H940" s="207">
        <v>13827</v>
      </c>
      <c r="I940" s="208">
        <v>32.75</v>
      </c>
      <c r="J940" s="345"/>
      <c r="K940" s="345">
        <f>IFERROR(Table15[[#This Row],[ROUTE $]]/Table15[[#This Row],[E - DEMAND]],0)</f>
        <v>0</v>
      </c>
      <c r="L940" s="204"/>
      <c r="M940" s="412">
        <f>IFERROR(VLOOKUP(Table15[[#This Row],[ROUTE]],DEMAND!A:F,5,FALSE),0)</f>
        <v>0</v>
      </c>
      <c r="N940" s="16">
        <f>IFERROR(VLOOKUP(Table15[[#This Row],[ROUTE]],DEMAND!A:F,6,FALSE),0)</f>
        <v>0</v>
      </c>
      <c r="O940" s="16">
        <f>IFERROR(ROUNDDOWN(Table15[[#This Row],[R-DEMAND]]/1706,0),0)</f>
        <v>0</v>
      </c>
      <c r="P940" s="16">
        <f>IFERROR(Table15[[#This Row],[ADD ACC]]*Table15[[#This Row],[RT TIME 
(380-800)]],0)</f>
        <v>0</v>
      </c>
      <c r="Q940" s="415">
        <f>IFERROR(VLOOKUP(Table15[[#This Row],[ROUTE]],PRICING!A:B,2,FALSE),0)</f>
        <v>0</v>
      </c>
      <c r="R940" s="235">
        <f>IFERROR(Table15[[#This Row],[C_DEMAND]]-Table15[[#This Row],[R-DEMAND]],0)</f>
        <v>0</v>
      </c>
      <c r="S940" s="408">
        <f t="shared" si="14"/>
        <v>0</v>
      </c>
      <c r="T940" s="419">
        <f>Table15[[#This Row],[R-DEMAND]]-(Table15[[#This Row],[ADD ACC]]*1706)</f>
        <v>0</v>
      </c>
      <c r="U940" s="419">
        <f>ROUNDDOWN(Table15[[#This Row],[Column1]]/1360,0)</f>
        <v>0</v>
      </c>
      <c r="V940" s="419"/>
      <c r="W940" s="349"/>
      <c r="X940" s="349"/>
      <c r="Y940" s="349"/>
      <c r="Z940" s="349"/>
    </row>
    <row r="941" spans="1:26" ht="15.75" customHeight="1" x14ac:dyDescent="0.25">
      <c r="A941" s="210" t="s">
        <v>15203</v>
      </c>
      <c r="B941" s="204" t="s">
        <v>3897</v>
      </c>
      <c r="C941" s="204"/>
      <c r="D941" s="205">
        <v>2</v>
      </c>
      <c r="E941" s="16" t="s">
        <v>11732</v>
      </c>
      <c r="F941" s="204" t="str">
        <f>VLOOKUP(E941,Table10[[COUNTRY NAME]:[CONTINENT CODE]],3,FALSE)</f>
        <v>NA - US</v>
      </c>
      <c r="G941" s="206" t="s">
        <v>13364</v>
      </c>
      <c r="H941" s="207">
        <v>13966</v>
      </c>
      <c r="I941" s="208">
        <v>33</v>
      </c>
      <c r="J941" s="345"/>
      <c r="K941" s="345">
        <f>IFERROR(Table15[[#This Row],[ROUTE $]]/Table15[[#This Row],[E - DEMAND]],0)</f>
        <v>0</v>
      </c>
      <c r="L941" s="204"/>
      <c r="M941" s="412">
        <f>IFERROR(VLOOKUP(Table15[[#This Row],[ROUTE]],DEMAND!A:F,5,FALSE),0)</f>
        <v>0</v>
      </c>
      <c r="N941" s="16">
        <f>IFERROR(VLOOKUP(Table15[[#This Row],[ROUTE]],DEMAND!A:F,6,FALSE),0)</f>
        <v>0</v>
      </c>
      <c r="O941" s="16">
        <f>IFERROR(ROUNDDOWN(Table15[[#This Row],[R-DEMAND]]/1706,0),0)</f>
        <v>0</v>
      </c>
      <c r="P941" s="16">
        <f>IFERROR(Table15[[#This Row],[ADD ACC]]*Table15[[#This Row],[RT TIME 
(380-800)]],0)</f>
        <v>0</v>
      </c>
      <c r="Q941" s="415">
        <f>IFERROR(VLOOKUP(Table15[[#This Row],[ROUTE]],PRICING!A:B,2,FALSE),0)</f>
        <v>0</v>
      </c>
      <c r="R941" s="235">
        <f>IFERROR(Table15[[#This Row],[C_DEMAND]]-Table15[[#This Row],[R-DEMAND]],0)</f>
        <v>0</v>
      </c>
      <c r="S941" s="408">
        <f t="shared" si="14"/>
        <v>0</v>
      </c>
      <c r="T941" s="419">
        <f>Table15[[#This Row],[R-DEMAND]]-(Table15[[#This Row],[ADD ACC]]*1706)</f>
        <v>0</v>
      </c>
      <c r="U941" s="419">
        <f>ROUNDDOWN(Table15[[#This Row],[Column1]]/1360,0)</f>
        <v>0</v>
      </c>
      <c r="V941" s="419"/>
      <c r="W941" s="349"/>
      <c r="X941" s="349"/>
      <c r="Y941" s="349"/>
      <c r="Z941" s="349"/>
    </row>
    <row r="942" spans="1:26" ht="15.75" customHeight="1" x14ac:dyDescent="0.25">
      <c r="A942" s="210" t="s">
        <v>15212</v>
      </c>
      <c r="B942" s="204" t="s">
        <v>3672</v>
      </c>
      <c r="C942" s="204"/>
      <c r="D942" s="205">
        <v>2</v>
      </c>
      <c r="E942" s="16" t="s">
        <v>11732</v>
      </c>
      <c r="F942" s="204" t="str">
        <f>VLOOKUP(E942,Table10[[COUNTRY NAME]:[CONTINENT CODE]],3,FALSE)</f>
        <v>NA - US</v>
      </c>
      <c r="G942" s="206" t="s">
        <v>13287</v>
      </c>
      <c r="H942" s="207">
        <v>13765</v>
      </c>
      <c r="I942" s="208">
        <v>32.5</v>
      </c>
      <c r="J942" s="345"/>
      <c r="K942" s="345">
        <f>IFERROR(Table15[[#This Row],[ROUTE $]]/Table15[[#This Row],[E - DEMAND]],0)</f>
        <v>0</v>
      </c>
      <c r="L942" s="204"/>
      <c r="M942" s="412">
        <f>IFERROR(VLOOKUP(Table15[[#This Row],[ROUTE]],DEMAND!A:F,5,FALSE),0)</f>
        <v>0</v>
      </c>
      <c r="N942" s="16">
        <f>IFERROR(VLOOKUP(Table15[[#This Row],[ROUTE]],DEMAND!A:F,6,FALSE),0)</f>
        <v>0</v>
      </c>
      <c r="O942" s="16">
        <f>IFERROR(ROUNDDOWN(Table15[[#This Row],[R-DEMAND]]/1706,0),0)</f>
        <v>0</v>
      </c>
      <c r="P942" s="16">
        <f>IFERROR(Table15[[#This Row],[ADD ACC]]*Table15[[#This Row],[RT TIME 
(380-800)]],0)</f>
        <v>0</v>
      </c>
      <c r="Q942" s="415">
        <f>IFERROR(VLOOKUP(Table15[[#This Row],[ROUTE]],PRICING!A:B,2,FALSE),0)</f>
        <v>0</v>
      </c>
      <c r="R942" s="235">
        <f>IFERROR(Table15[[#This Row],[C_DEMAND]]-Table15[[#This Row],[R-DEMAND]],0)</f>
        <v>0</v>
      </c>
      <c r="S942" s="408">
        <f t="shared" si="14"/>
        <v>0</v>
      </c>
      <c r="T942" s="419">
        <f>Table15[[#This Row],[R-DEMAND]]-(Table15[[#This Row],[ADD ACC]]*1706)</f>
        <v>0</v>
      </c>
      <c r="U942" s="419">
        <f>ROUNDDOWN(Table15[[#This Row],[Column1]]/1360,0)</f>
        <v>0</v>
      </c>
      <c r="V942" s="419"/>
      <c r="W942" s="349"/>
      <c r="X942" s="349"/>
      <c r="Y942" s="349"/>
      <c r="Z942" s="349"/>
    </row>
    <row r="943" spans="1:26" ht="15.75" customHeight="1" x14ac:dyDescent="0.25">
      <c r="A943" s="210" t="s">
        <v>15232</v>
      </c>
      <c r="B943" s="204" t="s">
        <v>4005</v>
      </c>
      <c r="C943" s="204"/>
      <c r="D943" s="205">
        <v>2</v>
      </c>
      <c r="E943" s="16" t="s">
        <v>11732</v>
      </c>
      <c r="F943" s="204" t="str">
        <f>VLOOKUP(E943,Table10[[COUNTRY NAME]:[CONTINENT CODE]],3,FALSE)</f>
        <v>NA - US</v>
      </c>
      <c r="G943" s="206" t="s">
        <v>13280</v>
      </c>
      <c r="H943" s="207">
        <v>13544</v>
      </c>
      <c r="I943" s="208">
        <v>32</v>
      </c>
      <c r="J943" s="345"/>
      <c r="K943" s="345">
        <f>IFERROR(Table15[[#This Row],[ROUTE $]]/Table15[[#This Row],[E - DEMAND]],0)</f>
        <v>0</v>
      </c>
      <c r="L943" s="204"/>
      <c r="M943" s="412">
        <f>IFERROR(VLOOKUP(Table15[[#This Row],[ROUTE]],DEMAND!A:F,5,FALSE),0)</f>
        <v>0</v>
      </c>
      <c r="N943" s="16">
        <f>IFERROR(VLOOKUP(Table15[[#This Row],[ROUTE]],DEMAND!A:F,6,FALSE),0)</f>
        <v>0</v>
      </c>
      <c r="O943" s="16">
        <f>IFERROR(ROUNDDOWN(Table15[[#This Row],[R-DEMAND]]/1706,0),0)</f>
        <v>0</v>
      </c>
      <c r="P943" s="16">
        <f>IFERROR(Table15[[#This Row],[ADD ACC]]*Table15[[#This Row],[RT TIME 
(380-800)]],0)</f>
        <v>0</v>
      </c>
      <c r="Q943" s="415">
        <f>IFERROR(VLOOKUP(Table15[[#This Row],[ROUTE]],PRICING!A:B,2,FALSE),0)</f>
        <v>0</v>
      </c>
      <c r="R943" s="235">
        <f>IFERROR(Table15[[#This Row],[C_DEMAND]]-Table15[[#This Row],[R-DEMAND]],0)</f>
        <v>0</v>
      </c>
      <c r="S943" s="408">
        <f t="shared" si="14"/>
        <v>0</v>
      </c>
      <c r="T943" s="419">
        <f>Table15[[#This Row],[R-DEMAND]]-(Table15[[#This Row],[ADD ACC]]*1706)</f>
        <v>0</v>
      </c>
      <c r="U943" s="419">
        <f>ROUNDDOWN(Table15[[#This Row],[Column1]]/1360,0)</f>
        <v>0</v>
      </c>
      <c r="V943" s="419"/>
      <c r="W943" s="349"/>
      <c r="X943" s="349"/>
      <c r="Y943" s="349"/>
      <c r="Z943" s="349"/>
    </row>
    <row r="944" spans="1:26" ht="15.75" customHeight="1" x14ac:dyDescent="0.25">
      <c r="A944" s="210" t="s">
        <v>15159</v>
      </c>
      <c r="B944" s="204" t="s">
        <v>4011</v>
      </c>
      <c r="C944" s="204"/>
      <c r="D944" s="205">
        <v>2</v>
      </c>
      <c r="E944" s="16" t="s">
        <v>11732</v>
      </c>
      <c r="F944" s="204" t="str">
        <f>VLOOKUP(E944,Table10[[COUNTRY NAME]:[CONTINENT CODE]],3,FALSE)</f>
        <v>NA - US</v>
      </c>
      <c r="G944" s="206" t="s">
        <v>13321</v>
      </c>
      <c r="H944" s="207">
        <v>14354</v>
      </c>
      <c r="I944" s="208">
        <v>34</v>
      </c>
      <c r="J944" s="345"/>
      <c r="K944" s="345">
        <f>IFERROR(Table15[[#This Row],[ROUTE $]]/Table15[[#This Row],[E - DEMAND]],0)</f>
        <v>0</v>
      </c>
      <c r="L944" s="204"/>
      <c r="M944" s="412">
        <f>IFERROR(VLOOKUP(Table15[[#This Row],[ROUTE]],DEMAND!A:F,5,FALSE),0)</f>
        <v>0</v>
      </c>
      <c r="N944" s="16">
        <f>IFERROR(VLOOKUP(Table15[[#This Row],[ROUTE]],DEMAND!A:F,6,FALSE),0)</f>
        <v>0</v>
      </c>
      <c r="O944" s="16">
        <f>IFERROR(ROUNDDOWN(Table15[[#This Row],[R-DEMAND]]/1706,0),0)</f>
        <v>0</v>
      </c>
      <c r="P944" s="16">
        <f>IFERROR(Table15[[#This Row],[ADD ACC]]*Table15[[#This Row],[RT TIME 
(380-800)]],0)</f>
        <v>0</v>
      </c>
      <c r="Q944" s="415">
        <f>IFERROR(VLOOKUP(Table15[[#This Row],[ROUTE]],PRICING!A:B,2,FALSE),0)</f>
        <v>0</v>
      </c>
      <c r="R944" s="235">
        <f>IFERROR(Table15[[#This Row],[C_DEMAND]]-Table15[[#This Row],[R-DEMAND]],0)</f>
        <v>0</v>
      </c>
      <c r="S944" s="408">
        <f t="shared" si="14"/>
        <v>0</v>
      </c>
      <c r="T944" s="419">
        <f>Table15[[#This Row],[R-DEMAND]]-(Table15[[#This Row],[ADD ACC]]*1706)</f>
        <v>0</v>
      </c>
      <c r="U944" s="419">
        <f>ROUNDDOWN(Table15[[#This Row],[Column1]]/1360,0)</f>
        <v>0</v>
      </c>
      <c r="V944" s="419"/>
      <c r="W944" s="349"/>
      <c r="X944" s="349"/>
      <c r="Y944" s="349"/>
      <c r="Z944" s="349"/>
    </row>
    <row r="945" spans="1:26" ht="15.75" customHeight="1" x14ac:dyDescent="0.25">
      <c r="A945" s="210" t="s">
        <v>15229</v>
      </c>
      <c r="B945" s="204" t="s">
        <v>2599</v>
      </c>
      <c r="C945" s="204"/>
      <c r="D945" s="205">
        <v>2</v>
      </c>
      <c r="E945" s="16" t="s">
        <v>11732</v>
      </c>
      <c r="F945" s="204" t="str">
        <f>VLOOKUP(E945,Table10[[COUNTRY NAME]:[CONTINENT CODE]],3,FALSE)</f>
        <v>NA - US</v>
      </c>
      <c r="G945" s="206" t="s">
        <v>13286</v>
      </c>
      <c r="H945" s="207">
        <v>13611</v>
      </c>
      <c r="I945" s="208">
        <v>32.25</v>
      </c>
      <c r="J945" s="345"/>
      <c r="K945" s="345">
        <f>IFERROR(Table15[[#This Row],[ROUTE $]]/Table15[[#This Row],[E - DEMAND]],0)</f>
        <v>0</v>
      </c>
      <c r="L945" s="204"/>
      <c r="M945" s="412">
        <f>IFERROR(VLOOKUP(Table15[[#This Row],[ROUTE]],DEMAND!A:F,5,FALSE),0)</f>
        <v>0</v>
      </c>
      <c r="N945" s="16">
        <f>IFERROR(VLOOKUP(Table15[[#This Row],[ROUTE]],DEMAND!A:F,6,FALSE),0)</f>
        <v>0</v>
      </c>
      <c r="O945" s="16">
        <f>IFERROR(ROUNDDOWN(Table15[[#This Row],[R-DEMAND]]/1706,0),0)</f>
        <v>0</v>
      </c>
      <c r="P945" s="16">
        <f>IFERROR(Table15[[#This Row],[ADD ACC]]*Table15[[#This Row],[RT TIME 
(380-800)]],0)</f>
        <v>0</v>
      </c>
      <c r="Q945" s="415">
        <f>IFERROR(VLOOKUP(Table15[[#This Row],[ROUTE]],PRICING!A:B,2,FALSE),0)</f>
        <v>0</v>
      </c>
      <c r="R945" s="235">
        <f>IFERROR(Table15[[#This Row],[C_DEMAND]]-Table15[[#This Row],[R-DEMAND]],0)</f>
        <v>0</v>
      </c>
      <c r="S945" s="408">
        <f t="shared" si="14"/>
        <v>0</v>
      </c>
      <c r="T945" s="419">
        <f>Table15[[#This Row],[R-DEMAND]]-(Table15[[#This Row],[ADD ACC]]*1706)</f>
        <v>0</v>
      </c>
      <c r="U945" s="419">
        <f>ROUNDDOWN(Table15[[#This Row],[Column1]]/1360,0)</f>
        <v>0</v>
      </c>
      <c r="V945" s="419"/>
      <c r="W945" s="349"/>
      <c r="X945" s="349"/>
      <c r="Y945" s="349"/>
      <c r="Z945" s="349"/>
    </row>
    <row r="946" spans="1:26" ht="15.75" customHeight="1" x14ac:dyDescent="0.25">
      <c r="A946" s="210" t="s">
        <v>15184</v>
      </c>
      <c r="B946" s="204" t="s">
        <v>4613</v>
      </c>
      <c r="C946" s="204"/>
      <c r="D946" s="205">
        <v>2</v>
      </c>
      <c r="E946" s="16" t="s">
        <v>11732</v>
      </c>
      <c r="F946" s="204" t="str">
        <f>VLOOKUP(E946,Table10[[COUNTRY NAME]:[CONTINENT CODE]],3,FALSE)</f>
        <v>NA - US</v>
      </c>
      <c r="G946" s="206" t="s">
        <v>13301</v>
      </c>
      <c r="H946" s="207">
        <v>14126</v>
      </c>
      <c r="I946" s="208">
        <v>33.5</v>
      </c>
      <c r="J946" s="345"/>
      <c r="K946" s="345">
        <f>IFERROR(Table15[[#This Row],[ROUTE $]]/Table15[[#This Row],[E - DEMAND]],0)</f>
        <v>0</v>
      </c>
      <c r="L946" s="204"/>
      <c r="M946" s="412">
        <f>IFERROR(VLOOKUP(Table15[[#This Row],[ROUTE]],DEMAND!A:F,5,FALSE),0)</f>
        <v>0</v>
      </c>
      <c r="N946" s="16">
        <f>IFERROR(VLOOKUP(Table15[[#This Row],[ROUTE]],DEMAND!A:F,6,FALSE),0)</f>
        <v>0</v>
      </c>
      <c r="O946" s="16">
        <f>IFERROR(ROUNDDOWN(Table15[[#This Row],[R-DEMAND]]/1706,0),0)</f>
        <v>0</v>
      </c>
      <c r="P946" s="16">
        <f>IFERROR(Table15[[#This Row],[ADD ACC]]*Table15[[#This Row],[RT TIME 
(380-800)]],0)</f>
        <v>0</v>
      </c>
      <c r="Q946" s="415">
        <f>IFERROR(VLOOKUP(Table15[[#This Row],[ROUTE]],PRICING!A:B,2,FALSE),0)</f>
        <v>0</v>
      </c>
      <c r="R946" s="235">
        <f>IFERROR(Table15[[#This Row],[C_DEMAND]]-Table15[[#This Row],[R-DEMAND]],0)</f>
        <v>0</v>
      </c>
      <c r="S946" s="408">
        <f t="shared" si="14"/>
        <v>0</v>
      </c>
      <c r="T946" s="419">
        <f>Table15[[#This Row],[R-DEMAND]]-(Table15[[#This Row],[ADD ACC]]*1706)</f>
        <v>0</v>
      </c>
      <c r="U946" s="419">
        <f>ROUNDDOWN(Table15[[#This Row],[Column1]]/1360,0)</f>
        <v>0</v>
      </c>
      <c r="V946" s="419"/>
      <c r="W946" s="349"/>
      <c r="X946" s="349"/>
      <c r="Y946" s="349"/>
      <c r="Z946" s="349"/>
    </row>
    <row r="947" spans="1:26" ht="15.75" customHeight="1" x14ac:dyDescent="0.25">
      <c r="A947" s="210" t="s">
        <v>15160</v>
      </c>
      <c r="B947" s="204" t="s">
        <v>4473</v>
      </c>
      <c r="C947" s="204"/>
      <c r="D947" s="205">
        <v>2</v>
      </c>
      <c r="E947" s="16" t="s">
        <v>11732</v>
      </c>
      <c r="F947" s="204" t="str">
        <f>VLOOKUP(E947,Table10[[COUNTRY NAME]:[CONTINENT CODE]],3,FALSE)</f>
        <v>NA - US</v>
      </c>
      <c r="G947" s="206" t="s">
        <v>13304</v>
      </c>
      <c r="H947" s="207">
        <v>14320</v>
      </c>
      <c r="I947" s="208">
        <v>33.75</v>
      </c>
      <c r="J947" s="345"/>
      <c r="K947" s="345">
        <f>IFERROR(Table15[[#This Row],[ROUTE $]]/Table15[[#This Row],[E - DEMAND]],0)</f>
        <v>0</v>
      </c>
      <c r="L947" s="204"/>
      <c r="M947" s="412">
        <f>IFERROR(VLOOKUP(Table15[[#This Row],[ROUTE]],DEMAND!A:F,5,FALSE),0)</f>
        <v>0</v>
      </c>
      <c r="N947" s="16">
        <f>IFERROR(VLOOKUP(Table15[[#This Row],[ROUTE]],DEMAND!A:F,6,FALSE),0)</f>
        <v>0</v>
      </c>
      <c r="O947" s="16">
        <f>IFERROR(ROUNDDOWN(Table15[[#This Row],[R-DEMAND]]/1706,0),0)</f>
        <v>0</v>
      </c>
      <c r="P947" s="16">
        <f>IFERROR(Table15[[#This Row],[ADD ACC]]*Table15[[#This Row],[RT TIME 
(380-800)]],0)</f>
        <v>0</v>
      </c>
      <c r="Q947" s="415">
        <f>IFERROR(VLOOKUP(Table15[[#This Row],[ROUTE]],PRICING!A:B,2,FALSE),0)</f>
        <v>0</v>
      </c>
      <c r="R947" s="235">
        <f>IFERROR(Table15[[#This Row],[C_DEMAND]]-Table15[[#This Row],[R-DEMAND]],0)</f>
        <v>0</v>
      </c>
      <c r="S947" s="408">
        <f t="shared" si="14"/>
        <v>0</v>
      </c>
      <c r="T947" s="419">
        <f>Table15[[#This Row],[R-DEMAND]]-(Table15[[#This Row],[ADD ACC]]*1706)</f>
        <v>0</v>
      </c>
      <c r="U947" s="419">
        <f>ROUNDDOWN(Table15[[#This Row],[Column1]]/1360,0)</f>
        <v>0</v>
      </c>
      <c r="V947" s="419"/>
      <c r="W947" s="349"/>
      <c r="X947" s="349"/>
      <c r="Y947" s="349"/>
      <c r="Z947" s="349"/>
    </row>
    <row r="948" spans="1:26" ht="15.75" customHeight="1" x14ac:dyDescent="0.25">
      <c r="A948" s="210" t="s">
        <v>15193</v>
      </c>
      <c r="B948" s="204" t="s">
        <v>3433</v>
      </c>
      <c r="C948" s="204"/>
      <c r="D948" s="205">
        <v>2</v>
      </c>
      <c r="E948" s="16" t="s">
        <v>11732</v>
      </c>
      <c r="F948" s="204" t="str">
        <f>VLOOKUP(E948,Table10[[COUNTRY NAME]:[CONTINENT CODE]],3,FALSE)</f>
        <v>NA - US</v>
      </c>
      <c r="G948" s="206" t="s">
        <v>13370</v>
      </c>
      <c r="H948" s="207">
        <v>14048</v>
      </c>
      <c r="I948" s="208">
        <v>33.25</v>
      </c>
      <c r="J948" s="345"/>
      <c r="K948" s="345">
        <f>IFERROR(Table15[[#This Row],[ROUTE $]]/Table15[[#This Row],[E - DEMAND]],0)</f>
        <v>0</v>
      </c>
      <c r="L948" s="204"/>
      <c r="M948" s="412">
        <f>IFERROR(VLOOKUP(Table15[[#This Row],[ROUTE]],DEMAND!A:F,5,FALSE),0)</f>
        <v>0</v>
      </c>
      <c r="N948" s="16">
        <f>IFERROR(VLOOKUP(Table15[[#This Row],[ROUTE]],DEMAND!A:F,6,FALSE),0)</f>
        <v>0</v>
      </c>
      <c r="O948" s="16">
        <f>IFERROR(ROUNDDOWN(Table15[[#This Row],[R-DEMAND]]/1706,0),0)</f>
        <v>0</v>
      </c>
      <c r="P948" s="16">
        <f>IFERROR(Table15[[#This Row],[ADD ACC]]*Table15[[#This Row],[RT TIME 
(380-800)]],0)</f>
        <v>0</v>
      </c>
      <c r="Q948" s="415">
        <f>IFERROR(VLOOKUP(Table15[[#This Row],[ROUTE]],PRICING!A:B,2,FALSE),0)</f>
        <v>0</v>
      </c>
      <c r="R948" s="235">
        <f>IFERROR(Table15[[#This Row],[C_DEMAND]]-Table15[[#This Row],[R-DEMAND]],0)</f>
        <v>0</v>
      </c>
      <c r="S948" s="408">
        <f t="shared" si="14"/>
        <v>0</v>
      </c>
      <c r="T948" s="419">
        <f>Table15[[#This Row],[R-DEMAND]]-(Table15[[#This Row],[ADD ACC]]*1706)</f>
        <v>0</v>
      </c>
      <c r="U948" s="419">
        <f>ROUNDDOWN(Table15[[#This Row],[Column1]]/1360,0)</f>
        <v>0</v>
      </c>
      <c r="V948" s="419"/>
      <c r="W948" s="349"/>
      <c r="X948" s="349"/>
      <c r="Y948" s="349"/>
      <c r="Z948" s="349"/>
    </row>
    <row r="949" spans="1:26" ht="15.75" customHeight="1" x14ac:dyDescent="0.25">
      <c r="A949" s="210" t="s">
        <v>15228</v>
      </c>
      <c r="B949" s="204" t="s">
        <v>3217</v>
      </c>
      <c r="C949" s="204"/>
      <c r="D949" s="205">
        <v>2</v>
      </c>
      <c r="E949" s="16" t="s">
        <v>11732</v>
      </c>
      <c r="F949" s="204" t="str">
        <f>VLOOKUP(E949,Table10[[COUNTRY NAME]:[CONTINENT CODE]],3,FALSE)</f>
        <v>NA - US</v>
      </c>
      <c r="G949" s="206" t="s">
        <v>13282</v>
      </c>
      <c r="H949" s="207">
        <v>13613</v>
      </c>
      <c r="I949" s="208">
        <v>32.25</v>
      </c>
      <c r="J949" s="345"/>
      <c r="K949" s="345">
        <f>IFERROR(Table15[[#This Row],[ROUTE $]]/Table15[[#This Row],[E - DEMAND]],0)</f>
        <v>0</v>
      </c>
      <c r="L949" s="204"/>
      <c r="M949" s="412">
        <f>IFERROR(VLOOKUP(Table15[[#This Row],[ROUTE]],DEMAND!A:F,5,FALSE),0)</f>
        <v>0</v>
      </c>
      <c r="N949" s="16">
        <f>IFERROR(VLOOKUP(Table15[[#This Row],[ROUTE]],DEMAND!A:F,6,FALSE),0)</f>
        <v>0</v>
      </c>
      <c r="O949" s="16">
        <f>IFERROR(ROUNDDOWN(Table15[[#This Row],[R-DEMAND]]/1706,0),0)</f>
        <v>0</v>
      </c>
      <c r="P949" s="16">
        <f>IFERROR(Table15[[#This Row],[ADD ACC]]*Table15[[#This Row],[RT TIME 
(380-800)]],0)</f>
        <v>0</v>
      </c>
      <c r="Q949" s="415">
        <f>IFERROR(VLOOKUP(Table15[[#This Row],[ROUTE]],PRICING!A:B,2,FALSE),0)</f>
        <v>0</v>
      </c>
      <c r="R949" s="235">
        <f>IFERROR(Table15[[#This Row],[C_DEMAND]]-Table15[[#This Row],[R-DEMAND]],0)</f>
        <v>0</v>
      </c>
      <c r="S949" s="408">
        <f t="shared" si="14"/>
        <v>0</v>
      </c>
      <c r="T949" s="419">
        <f>Table15[[#This Row],[R-DEMAND]]-(Table15[[#This Row],[ADD ACC]]*1706)</f>
        <v>0</v>
      </c>
      <c r="U949" s="419">
        <f>ROUNDDOWN(Table15[[#This Row],[Column1]]/1360,0)</f>
        <v>0</v>
      </c>
      <c r="V949" s="419"/>
      <c r="W949" s="349"/>
      <c r="X949" s="349"/>
      <c r="Y949" s="349"/>
      <c r="Z949" s="349"/>
    </row>
    <row r="950" spans="1:26" ht="15.75" customHeight="1" x14ac:dyDescent="0.25">
      <c r="A950" s="210" t="s">
        <v>15173</v>
      </c>
      <c r="B950" s="204" t="s">
        <v>4389</v>
      </c>
      <c r="C950" s="204"/>
      <c r="D950" s="205">
        <v>2</v>
      </c>
      <c r="E950" s="16" t="s">
        <v>11732</v>
      </c>
      <c r="F950" s="204" t="str">
        <f>VLOOKUP(E950,Table10[[COUNTRY NAME]:[CONTINENT CODE]],3,FALSE)</f>
        <v>NA - US</v>
      </c>
      <c r="G950" s="206" t="s">
        <v>13365</v>
      </c>
      <c r="H950" s="207">
        <v>14168</v>
      </c>
      <c r="I950" s="208">
        <v>33.5</v>
      </c>
      <c r="J950" s="345"/>
      <c r="K950" s="345">
        <f>IFERROR(Table15[[#This Row],[ROUTE $]]/Table15[[#This Row],[E - DEMAND]],0)</f>
        <v>0</v>
      </c>
      <c r="L950" s="204"/>
      <c r="M950" s="412">
        <f>IFERROR(VLOOKUP(Table15[[#This Row],[ROUTE]],DEMAND!A:F,5,FALSE),0)</f>
        <v>0</v>
      </c>
      <c r="N950" s="16">
        <f>IFERROR(VLOOKUP(Table15[[#This Row],[ROUTE]],DEMAND!A:F,6,FALSE),0)</f>
        <v>0</v>
      </c>
      <c r="O950" s="16">
        <f>IFERROR(ROUNDDOWN(Table15[[#This Row],[R-DEMAND]]/1706,0),0)</f>
        <v>0</v>
      </c>
      <c r="P950" s="16">
        <f>IFERROR(Table15[[#This Row],[ADD ACC]]*Table15[[#This Row],[RT TIME 
(380-800)]],0)</f>
        <v>0</v>
      </c>
      <c r="Q950" s="415">
        <f>IFERROR(VLOOKUP(Table15[[#This Row],[ROUTE]],PRICING!A:B,2,FALSE),0)</f>
        <v>0</v>
      </c>
      <c r="R950" s="235">
        <f>IFERROR(Table15[[#This Row],[C_DEMAND]]-Table15[[#This Row],[R-DEMAND]],0)</f>
        <v>0</v>
      </c>
      <c r="S950" s="408">
        <f t="shared" si="14"/>
        <v>0</v>
      </c>
      <c r="T950" s="419">
        <f>Table15[[#This Row],[R-DEMAND]]-(Table15[[#This Row],[ADD ACC]]*1706)</f>
        <v>0</v>
      </c>
      <c r="U950" s="419">
        <f>ROUNDDOWN(Table15[[#This Row],[Column1]]/1360,0)</f>
        <v>0</v>
      </c>
      <c r="V950" s="419"/>
      <c r="W950" s="349"/>
      <c r="X950" s="349"/>
      <c r="Y950" s="349"/>
      <c r="Z950" s="349"/>
    </row>
    <row r="951" spans="1:26" ht="15.75" customHeight="1" x14ac:dyDescent="0.25">
      <c r="A951" s="210" t="s">
        <v>15169</v>
      </c>
      <c r="B951" s="204" t="s">
        <v>2494</v>
      </c>
      <c r="C951" s="204"/>
      <c r="D951" s="205">
        <v>2</v>
      </c>
      <c r="E951" s="16" t="s">
        <v>11732</v>
      </c>
      <c r="F951" s="204" t="str">
        <f>VLOOKUP(E951,Table10[[COUNTRY NAME]:[CONTINENT CODE]],3,FALSE)</f>
        <v>NA - US</v>
      </c>
      <c r="G951" s="206" t="s">
        <v>13298</v>
      </c>
      <c r="H951" s="207">
        <v>14187</v>
      </c>
      <c r="I951" s="208">
        <v>33.5</v>
      </c>
      <c r="J951" s="345"/>
      <c r="K951" s="345">
        <f>IFERROR(Table15[[#This Row],[ROUTE $]]/Table15[[#This Row],[E - DEMAND]],0)</f>
        <v>0</v>
      </c>
      <c r="L951" s="204"/>
      <c r="M951" s="412">
        <f>IFERROR(VLOOKUP(Table15[[#This Row],[ROUTE]],DEMAND!A:F,5,FALSE),0)</f>
        <v>0</v>
      </c>
      <c r="N951" s="16">
        <f>IFERROR(VLOOKUP(Table15[[#This Row],[ROUTE]],DEMAND!A:F,6,FALSE),0)</f>
        <v>0</v>
      </c>
      <c r="O951" s="16">
        <f>IFERROR(ROUNDDOWN(Table15[[#This Row],[R-DEMAND]]/1706,0),0)</f>
        <v>0</v>
      </c>
      <c r="P951" s="16">
        <f>IFERROR(Table15[[#This Row],[ADD ACC]]*Table15[[#This Row],[RT TIME 
(380-800)]],0)</f>
        <v>0</v>
      </c>
      <c r="Q951" s="415">
        <f>IFERROR(VLOOKUP(Table15[[#This Row],[ROUTE]],PRICING!A:B,2,FALSE),0)</f>
        <v>0</v>
      </c>
      <c r="R951" s="235">
        <f>IFERROR(Table15[[#This Row],[C_DEMAND]]-Table15[[#This Row],[R-DEMAND]],0)</f>
        <v>0</v>
      </c>
      <c r="S951" s="408">
        <f t="shared" si="14"/>
        <v>0</v>
      </c>
      <c r="T951" s="419">
        <f>Table15[[#This Row],[R-DEMAND]]-(Table15[[#This Row],[ADD ACC]]*1706)</f>
        <v>0</v>
      </c>
      <c r="U951" s="419">
        <f>ROUNDDOWN(Table15[[#This Row],[Column1]]/1360,0)</f>
        <v>0</v>
      </c>
      <c r="V951" s="419"/>
      <c r="W951" s="349"/>
      <c r="X951" s="349"/>
      <c r="Y951" s="349"/>
      <c r="Z951" s="349"/>
    </row>
    <row r="952" spans="1:26" ht="15.75" customHeight="1" x14ac:dyDescent="0.25">
      <c r="A952" s="210" t="s">
        <v>15194</v>
      </c>
      <c r="B952" s="204" t="s">
        <v>2635</v>
      </c>
      <c r="C952" s="204"/>
      <c r="D952" s="205">
        <v>2</v>
      </c>
      <c r="E952" s="16" t="s">
        <v>11732</v>
      </c>
      <c r="F952" s="204" t="str">
        <f>VLOOKUP(E952,Table10[[COUNTRY NAME]:[CONTINENT CODE]],3,FALSE)</f>
        <v>NA - US</v>
      </c>
      <c r="G952" s="206" t="s">
        <v>13310</v>
      </c>
      <c r="H952" s="207">
        <v>14046</v>
      </c>
      <c r="I952" s="208">
        <v>33.25</v>
      </c>
      <c r="J952" s="345"/>
      <c r="K952" s="345">
        <f>IFERROR(Table15[[#This Row],[ROUTE $]]/Table15[[#This Row],[E - DEMAND]],0)</f>
        <v>0</v>
      </c>
      <c r="L952" s="204"/>
      <c r="M952" s="412">
        <f>IFERROR(VLOOKUP(Table15[[#This Row],[ROUTE]],DEMAND!A:F,5,FALSE),0)</f>
        <v>0</v>
      </c>
      <c r="N952" s="16">
        <f>IFERROR(VLOOKUP(Table15[[#This Row],[ROUTE]],DEMAND!A:F,6,FALSE),0)</f>
        <v>0</v>
      </c>
      <c r="O952" s="16">
        <f>IFERROR(ROUNDDOWN(Table15[[#This Row],[R-DEMAND]]/1706,0),0)</f>
        <v>0</v>
      </c>
      <c r="P952" s="16">
        <f>IFERROR(Table15[[#This Row],[ADD ACC]]*Table15[[#This Row],[RT TIME 
(380-800)]],0)</f>
        <v>0</v>
      </c>
      <c r="Q952" s="415">
        <f>IFERROR(VLOOKUP(Table15[[#This Row],[ROUTE]],PRICING!A:B,2,FALSE),0)</f>
        <v>0</v>
      </c>
      <c r="R952" s="235">
        <f>IFERROR(Table15[[#This Row],[C_DEMAND]]-Table15[[#This Row],[R-DEMAND]],0)</f>
        <v>0</v>
      </c>
      <c r="S952" s="408">
        <f t="shared" si="14"/>
        <v>0</v>
      </c>
      <c r="T952" s="419">
        <f>Table15[[#This Row],[R-DEMAND]]-(Table15[[#This Row],[ADD ACC]]*1706)</f>
        <v>0</v>
      </c>
      <c r="U952" s="419">
        <f>ROUNDDOWN(Table15[[#This Row],[Column1]]/1360,0)</f>
        <v>0</v>
      </c>
      <c r="V952" s="419"/>
      <c r="W952" s="349"/>
      <c r="X952" s="349"/>
      <c r="Y952" s="349"/>
      <c r="Z952" s="349"/>
    </row>
    <row r="953" spans="1:26" ht="15.75" customHeight="1" x14ac:dyDescent="0.25">
      <c r="A953" s="210" t="s">
        <v>15188</v>
      </c>
      <c r="B953" s="204" t="s">
        <v>4371</v>
      </c>
      <c r="C953" s="204"/>
      <c r="D953" s="205">
        <v>2</v>
      </c>
      <c r="E953" s="16" t="s">
        <v>11732</v>
      </c>
      <c r="F953" s="204" t="str">
        <f>VLOOKUP(E953,Table10[[COUNTRY NAME]:[CONTINENT CODE]],3,FALSE)</f>
        <v>NA - US</v>
      </c>
      <c r="G953" s="206" t="s">
        <v>13360</v>
      </c>
      <c r="H953" s="207">
        <v>14082</v>
      </c>
      <c r="I953" s="208">
        <v>33.25</v>
      </c>
      <c r="J953" s="345"/>
      <c r="K953" s="345">
        <f>IFERROR(Table15[[#This Row],[ROUTE $]]/Table15[[#This Row],[E - DEMAND]],0)</f>
        <v>0</v>
      </c>
      <c r="L953" s="204"/>
      <c r="M953" s="412">
        <f>IFERROR(VLOOKUP(Table15[[#This Row],[ROUTE]],DEMAND!A:F,5,FALSE),0)</f>
        <v>0</v>
      </c>
      <c r="N953" s="16">
        <f>IFERROR(VLOOKUP(Table15[[#This Row],[ROUTE]],DEMAND!A:F,6,FALSE),0)</f>
        <v>0</v>
      </c>
      <c r="O953" s="16">
        <f>IFERROR(ROUNDDOWN(Table15[[#This Row],[R-DEMAND]]/1706,0),0)</f>
        <v>0</v>
      </c>
      <c r="P953" s="16">
        <f>IFERROR(Table15[[#This Row],[ADD ACC]]*Table15[[#This Row],[RT TIME 
(380-800)]],0)</f>
        <v>0</v>
      </c>
      <c r="Q953" s="415">
        <f>IFERROR(VLOOKUP(Table15[[#This Row],[ROUTE]],PRICING!A:B,2,FALSE),0)</f>
        <v>0</v>
      </c>
      <c r="R953" s="235">
        <f>IFERROR(Table15[[#This Row],[C_DEMAND]]-Table15[[#This Row],[R-DEMAND]],0)</f>
        <v>0</v>
      </c>
      <c r="S953" s="408">
        <f t="shared" si="14"/>
        <v>0</v>
      </c>
      <c r="T953" s="419">
        <f>Table15[[#This Row],[R-DEMAND]]-(Table15[[#This Row],[ADD ACC]]*1706)</f>
        <v>0</v>
      </c>
      <c r="U953" s="419">
        <f>ROUNDDOWN(Table15[[#This Row],[Column1]]/1360,0)</f>
        <v>0</v>
      </c>
      <c r="V953" s="419"/>
      <c r="W953" s="349"/>
      <c r="X953" s="349"/>
      <c r="Y953" s="349"/>
      <c r="Z953" s="349"/>
    </row>
    <row r="954" spans="1:26" ht="15.75" customHeight="1" x14ac:dyDescent="0.25">
      <c r="A954" s="210" t="s">
        <v>15167</v>
      </c>
      <c r="B954" s="204" t="s">
        <v>3091</v>
      </c>
      <c r="C954" s="204"/>
      <c r="D954" s="205">
        <v>2</v>
      </c>
      <c r="E954" s="16" t="s">
        <v>11732</v>
      </c>
      <c r="F954" s="204" t="str">
        <f>VLOOKUP(E954,Table10[[COUNTRY NAME]:[CONTINENT CODE]],3,FALSE)</f>
        <v>NA - US</v>
      </c>
      <c r="G954" s="206" t="s">
        <v>13279</v>
      </c>
      <c r="H954" s="207">
        <v>14210</v>
      </c>
      <c r="I954" s="208">
        <v>33.5</v>
      </c>
      <c r="J954" s="345"/>
      <c r="K954" s="345">
        <f>IFERROR(Table15[[#This Row],[ROUTE $]]/Table15[[#This Row],[E - DEMAND]],0)</f>
        <v>0</v>
      </c>
      <c r="L954" s="204"/>
      <c r="M954" s="412">
        <f>IFERROR(VLOOKUP(Table15[[#This Row],[ROUTE]],DEMAND!A:F,5,FALSE),0)</f>
        <v>0</v>
      </c>
      <c r="N954" s="16">
        <f>IFERROR(VLOOKUP(Table15[[#This Row],[ROUTE]],DEMAND!A:F,6,FALSE),0)</f>
        <v>0</v>
      </c>
      <c r="O954" s="16">
        <f>IFERROR(ROUNDDOWN(Table15[[#This Row],[R-DEMAND]]/1706,0),0)</f>
        <v>0</v>
      </c>
      <c r="P954" s="16">
        <f>IFERROR(Table15[[#This Row],[ADD ACC]]*Table15[[#This Row],[RT TIME 
(380-800)]],0)</f>
        <v>0</v>
      </c>
      <c r="Q954" s="415">
        <f>IFERROR(VLOOKUP(Table15[[#This Row],[ROUTE]],PRICING!A:B,2,FALSE),0)</f>
        <v>0</v>
      </c>
      <c r="R954" s="235">
        <f>IFERROR(Table15[[#This Row],[C_DEMAND]]-Table15[[#This Row],[R-DEMAND]],0)</f>
        <v>0</v>
      </c>
      <c r="S954" s="408">
        <f t="shared" si="14"/>
        <v>0</v>
      </c>
      <c r="T954" s="419">
        <f>Table15[[#This Row],[R-DEMAND]]-(Table15[[#This Row],[ADD ACC]]*1706)</f>
        <v>0</v>
      </c>
      <c r="U954" s="419">
        <f>ROUNDDOWN(Table15[[#This Row],[Column1]]/1360,0)</f>
        <v>0</v>
      </c>
      <c r="V954" s="419"/>
      <c r="W954" s="349"/>
      <c r="X954" s="349"/>
      <c r="Y954" s="349"/>
      <c r="Z954" s="349"/>
    </row>
    <row r="955" spans="1:26" ht="15.75" customHeight="1" x14ac:dyDescent="0.25">
      <c r="A955" s="210" t="s">
        <v>15141</v>
      </c>
      <c r="B955" s="204" t="s">
        <v>4058</v>
      </c>
      <c r="C955" s="204"/>
      <c r="D955" s="205">
        <v>2</v>
      </c>
      <c r="E955" s="204" t="s">
        <v>4045</v>
      </c>
      <c r="F955" s="204" t="str">
        <f>VLOOKUP(E955,Table10[[COUNTRY NAME]:[CONTINENT CODE]],3,FALSE)</f>
        <v>SA</v>
      </c>
      <c r="G955" s="206" t="s">
        <v>13376</v>
      </c>
      <c r="H955" s="207">
        <v>14631</v>
      </c>
      <c r="I955" s="208">
        <v>34.5</v>
      </c>
      <c r="J955" s="345"/>
      <c r="K955" s="345">
        <f>IFERROR(Table15[[#This Row],[ROUTE $]]/Table15[[#This Row],[E - DEMAND]],0)</f>
        <v>0</v>
      </c>
      <c r="L955" s="204"/>
      <c r="M955" s="412">
        <f>IFERROR(VLOOKUP(Table15[[#This Row],[ROUTE]],DEMAND!A:F,5,FALSE),0)</f>
        <v>0</v>
      </c>
      <c r="N955" s="16">
        <f>IFERROR(VLOOKUP(Table15[[#This Row],[ROUTE]],DEMAND!A:F,6,FALSE),0)</f>
        <v>0</v>
      </c>
      <c r="O955" s="16">
        <f>IFERROR(ROUNDDOWN(Table15[[#This Row],[R-DEMAND]]/1706,0),0)</f>
        <v>0</v>
      </c>
      <c r="P955" s="16">
        <f>IFERROR(Table15[[#This Row],[ADD ACC]]*Table15[[#This Row],[RT TIME 
(380-800)]],0)</f>
        <v>0</v>
      </c>
      <c r="Q955" s="415">
        <f>IFERROR(VLOOKUP(Table15[[#This Row],[ROUTE]],PRICING!A:B,2,FALSE),0)</f>
        <v>0</v>
      </c>
      <c r="R955" s="235">
        <f>IFERROR(Table15[[#This Row],[C_DEMAND]]-Table15[[#This Row],[R-DEMAND]],0)</f>
        <v>0</v>
      </c>
      <c r="S955" s="408">
        <f t="shared" si="14"/>
        <v>0</v>
      </c>
      <c r="T955" s="419">
        <f>Table15[[#This Row],[R-DEMAND]]-(Table15[[#This Row],[ADD ACC]]*1706)</f>
        <v>0</v>
      </c>
      <c r="U955" s="419">
        <f>ROUNDDOWN(Table15[[#This Row],[Column1]]/1360,0)</f>
        <v>0</v>
      </c>
      <c r="V955" s="419"/>
      <c r="W955" s="349"/>
      <c r="X955" s="349"/>
      <c r="Y955" s="349"/>
      <c r="Z955" s="349"/>
    </row>
    <row r="956" spans="1:26" ht="15.75" customHeight="1" x14ac:dyDescent="0.25">
      <c r="A956" s="341" t="s">
        <v>18233</v>
      </c>
      <c r="B956" s="212" t="s">
        <v>2425</v>
      </c>
      <c r="C956" s="212"/>
      <c r="D956" s="226">
        <v>1</v>
      </c>
      <c r="E956" s="226" t="s">
        <v>644</v>
      </c>
      <c r="F956" s="212" t="s">
        <v>12671</v>
      </c>
      <c r="G956" s="226" t="s">
        <v>16869</v>
      </c>
      <c r="H956" s="343">
        <v>7192</v>
      </c>
      <c r="I956" s="342"/>
      <c r="J956" s="346"/>
      <c r="K956" s="345">
        <f>IFERROR(Table15[[#This Row],[ROUTE $]]/Table15[[#This Row],[E - DEMAND]],0)</f>
        <v>0</v>
      </c>
      <c r="L956" s="212"/>
      <c r="M956" s="413">
        <f>IFERROR(VLOOKUP(Table15[[#This Row],[ROUTE]],DEMAND!A:F,5,FALSE),0)</f>
        <v>0</v>
      </c>
      <c r="N956" s="251">
        <f>IFERROR(VLOOKUP(Table15[[#This Row],[ROUTE]],DEMAND!A:F,6,FALSE),0)</f>
        <v>0</v>
      </c>
      <c r="O956" s="349"/>
      <c r="P956" s="349"/>
      <c r="Q956" s="416">
        <f>IFERROR(VLOOKUP(Table15[[#This Row],[ROUTE]],PRICING!A:B,2,FALSE),0)</f>
        <v>0</v>
      </c>
      <c r="R956" s="409">
        <f>IFERROR(Table15[[#This Row],[C_DEMAND]]-Table15[[#This Row],[R-DEMAND]],0)</f>
        <v>0</v>
      </c>
      <c r="S956" s="410">
        <f t="shared" si="14"/>
        <v>0</v>
      </c>
      <c r="T956" s="420">
        <f>Table15[[#This Row],[R-DEMAND]]-(Table15[[#This Row],[ADD ACC]]*1706)</f>
        <v>0</v>
      </c>
      <c r="U956" s="420">
        <f>ROUNDDOWN(Table15[[#This Row],[Column1]]/1360,0)</f>
        <v>0</v>
      </c>
      <c r="V956" s="420"/>
      <c r="W956" s="349"/>
      <c r="X956" s="349"/>
      <c r="Y956" s="349"/>
      <c r="Z956" s="349"/>
    </row>
    <row r="957" spans="1:26" ht="15.75" customHeight="1" x14ac:dyDescent="0.25">
      <c r="A957" s="341" t="s">
        <v>18245</v>
      </c>
      <c r="B957" s="212" t="s">
        <v>880</v>
      </c>
      <c r="C957" s="212"/>
      <c r="D957" s="226">
        <v>1</v>
      </c>
      <c r="E957" s="226" t="s">
        <v>11782</v>
      </c>
      <c r="F957" s="212" t="s">
        <v>12671</v>
      </c>
      <c r="G957" s="226" t="s">
        <v>8261</v>
      </c>
      <c r="H957" s="343">
        <v>6523</v>
      </c>
      <c r="I957" s="342"/>
      <c r="J957" s="346"/>
      <c r="K957" s="345">
        <f>IFERROR(Table15[[#This Row],[ROUTE $]]/Table15[[#This Row],[E - DEMAND]],0)</f>
        <v>0</v>
      </c>
      <c r="L957" s="212"/>
      <c r="M957" s="413">
        <f>IFERROR(VLOOKUP(Table15[[#This Row],[ROUTE]],DEMAND!A:F,5,FALSE),0)</f>
        <v>0</v>
      </c>
      <c r="N957" s="251">
        <f>IFERROR(VLOOKUP(Table15[[#This Row],[ROUTE]],DEMAND!A:F,6,FALSE),0)</f>
        <v>0</v>
      </c>
      <c r="O957" s="349"/>
      <c r="P957" s="349"/>
      <c r="Q957" s="416">
        <f>IFERROR(VLOOKUP(Table15[[#This Row],[ROUTE]],PRICING!A:B,2,FALSE),0)</f>
        <v>0</v>
      </c>
      <c r="R957" s="409">
        <f>IFERROR(Table15[[#This Row],[C_DEMAND]]-Table15[[#This Row],[R-DEMAND]],0)</f>
        <v>0</v>
      </c>
      <c r="S957" s="410">
        <f t="shared" si="14"/>
        <v>0</v>
      </c>
      <c r="T957" s="420">
        <f>Table15[[#This Row],[R-DEMAND]]-(Table15[[#This Row],[ADD ACC]]*1706)</f>
        <v>0</v>
      </c>
      <c r="U957" s="420">
        <f>ROUNDDOWN(Table15[[#This Row],[Column1]]/1360,0)</f>
        <v>0</v>
      </c>
      <c r="V957" s="420"/>
      <c r="W957" s="349"/>
      <c r="X957" s="349"/>
      <c r="Y957" s="349"/>
      <c r="Z957" s="349"/>
    </row>
    <row r="958" spans="1:26" ht="15.75" customHeight="1" x14ac:dyDescent="0.25">
      <c r="A958" s="341" t="s">
        <v>18262</v>
      </c>
      <c r="B958" s="212" t="s">
        <v>1197</v>
      </c>
      <c r="C958" s="212"/>
      <c r="D958" s="226">
        <v>1</v>
      </c>
      <c r="E958" s="226" t="s">
        <v>11823</v>
      </c>
      <c r="F958" s="212" t="s">
        <v>12671</v>
      </c>
      <c r="G958" s="226" t="s">
        <v>16858</v>
      </c>
      <c r="H958" s="343">
        <v>6062</v>
      </c>
      <c r="I958" s="342"/>
      <c r="J958" s="346"/>
      <c r="K958" s="345">
        <f>IFERROR(Table15[[#This Row],[ROUTE $]]/Table15[[#This Row],[E - DEMAND]],0)</f>
        <v>0</v>
      </c>
      <c r="L958" s="212"/>
      <c r="M958" s="413">
        <f>IFERROR(VLOOKUP(Table15[[#This Row],[ROUTE]],DEMAND!A:F,5,FALSE),0)</f>
        <v>0</v>
      </c>
      <c r="N958" s="251">
        <f>IFERROR(VLOOKUP(Table15[[#This Row],[ROUTE]],DEMAND!A:F,6,FALSE),0)</f>
        <v>0</v>
      </c>
      <c r="O958" s="349"/>
      <c r="P958" s="349"/>
      <c r="Q958" s="416">
        <f>IFERROR(VLOOKUP(Table15[[#This Row],[ROUTE]],PRICING!A:B,2,FALSE),0)</f>
        <v>0</v>
      </c>
      <c r="R958" s="409">
        <f>IFERROR(Table15[[#This Row],[C_DEMAND]]-Table15[[#This Row],[R-DEMAND]],0)</f>
        <v>0</v>
      </c>
      <c r="S958" s="410">
        <f t="shared" si="14"/>
        <v>0</v>
      </c>
      <c r="T958" s="420">
        <f>Table15[[#This Row],[R-DEMAND]]-(Table15[[#This Row],[ADD ACC]]*1706)</f>
        <v>0</v>
      </c>
      <c r="U958" s="420">
        <f>ROUNDDOWN(Table15[[#This Row],[Column1]]/1360,0)</f>
        <v>0</v>
      </c>
      <c r="V958" s="420"/>
      <c r="W958" s="349"/>
      <c r="X958" s="349"/>
      <c r="Y958" s="349"/>
      <c r="Z958" s="349"/>
    </row>
    <row r="959" spans="1:26" ht="15.75" customHeight="1" x14ac:dyDescent="0.25">
      <c r="A959" s="210" t="s">
        <v>15130</v>
      </c>
      <c r="B959" s="204" t="s">
        <v>627</v>
      </c>
      <c r="C959" s="204"/>
      <c r="D959" s="205">
        <v>1</v>
      </c>
      <c r="E959" s="306" t="s">
        <v>11669</v>
      </c>
      <c r="F959" s="204" t="str">
        <f>VLOOKUP(E959,Table10[[COUNTRY NAME]:[CONTINENT CODE]],3,FALSE)</f>
        <v>SA</v>
      </c>
      <c r="G959" s="206" t="s">
        <v>7613</v>
      </c>
      <c r="H959" s="207">
        <v>15108</v>
      </c>
      <c r="I959" s="208">
        <v>35.5</v>
      </c>
      <c r="J959" s="345"/>
      <c r="K959" s="345">
        <f>IFERROR(Table15[[#This Row],[ROUTE $]]/Table15[[#This Row],[E - DEMAND]],0)</f>
        <v>0</v>
      </c>
      <c r="L959" s="204"/>
      <c r="M959" s="412">
        <f>IFERROR(VLOOKUP(Table15[[#This Row],[ROUTE]],DEMAND!A:F,5,FALSE),0)</f>
        <v>0</v>
      </c>
      <c r="N959" s="16">
        <f>IFERROR(VLOOKUP(Table15[[#This Row],[ROUTE]],DEMAND!A:F,6,FALSE),0)</f>
        <v>0</v>
      </c>
      <c r="O959" s="16">
        <f>IFERROR(ROUNDDOWN(Table15[[#This Row],[R-DEMAND]]/1706,0),0)</f>
        <v>0</v>
      </c>
      <c r="P959" s="16">
        <f>IFERROR(Table15[[#This Row],[ADD ACC]]*Table15[[#This Row],[RT TIME 
(380-800)]],0)</f>
        <v>0</v>
      </c>
      <c r="Q959" s="415">
        <f>IFERROR(VLOOKUP(Table15[[#This Row],[ROUTE]],PRICING!A:B,2,FALSE),0)</f>
        <v>0</v>
      </c>
      <c r="R959" s="235">
        <f>IFERROR(Table15[[#This Row],[C_DEMAND]]-Table15[[#This Row],[R-DEMAND]],0)</f>
        <v>0</v>
      </c>
      <c r="S959" s="408">
        <f t="shared" si="14"/>
        <v>0</v>
      </c>
      <c r="T959" s="419">
        <f>Table15[[#This Row],[R-DEMAND]]-(Table15[[#This Row],[ADD ACC]]*1706)</f>
        <v>0</v>
      </c>
      <c r="U959" s="419">
        <f>ROUNDDOWN(Table15[[#This Row],[Column1]]/1360,0)</f>
        <v>0</v>
      </c>
      <c r="V959" s="419"/>
      <c r="W959" s="349"/>
      <c r="X959" s="349"/>
      <c r="Y959" s="349"/>
      <c r="Z959" s="349"/>
    </row>
    <row r="960" spans="1:26" ht="15.75" customHeight="1" x14ac:dyDescent="0.25">
      <c r="A960" s="341" t="s">
        <v>18349</v>
      </c>
      <c r="B960" s="212" t="s">
        <v>2229</v>
      </c>
      <c r="C960" s="212"/>
      <c r="D960" s="226">
        <v>1</v>
      </c>
      <c r="E960" s="226" t="s">
        <v>1070</v>
      </c>
      <c r="F960" s="212" t="s">
        <v>12670</v>
      </c>
      <c r="G960" s="226" t="s">
        <v>16814</v>
      </c>
      <c r="H960" s="343">
        <v>2338</v>
      </c>
      <c r="I960" s="342"/>
      <c r="J960" s="346"/>
      <c r="K960" s="345">
        <f>IFERROR(Table15[[#This Row],[ROUTE $]]/Table15[[#This Row],[E - DEMAND]],0)</f>
        <v>0</v>
      </c>
      <c r="L960" s="212"/>
      <c r="M960" s="413">
        <f>IFERROR(VLOOKUP(Table15[[#This Row],[ROUTE]],DEMAND!A:F,5,FALSE),0)</f>
        <v>0</v>
      </c>
      <c r="N960" s="251">
        <f>IFERROR(VLOOKUP(Table15[[#This Row],[ROUTE]],DEMAND!A:F,6,FALSE),0)</f>
        <v>0</v>
      </c>
      <c r="O960" s="349"/>
      <c r="P960" s="349"/>
      <c r="Q960" s="416">
        <f>IFERROR(VLOOKUP(Table15[[#This Row],[ROUTE]],PRICING!A:B,2,FALSE),0)</f>
        <v>0</v>
      </c>
      <c r="R960" s="409">
        <f>IFERROR(Table15[[#This Row],[C_DEMAND]]-Table15[[#This Row],[R-DEMAND]],0)</f>
        <v>0</v>
      </c>
      <c r="S960" s="410">
        <f t="shared" si="14"/>
        <v>0</v>
      </c>
      <c r="T960" s="420">
        <f>Table15[[#This Row],[R-DEMAND]]-(Table15[[#This Row],[ADD ACC]]*1706)</f>
        <v>0</v>
      </c>
      <c r="U960" s="420">
        <f>ROUNDDOWN(Table15[[#This Row],[Column1]]/1360,0)</f>
        <v>0</v>
      </c>
      <c r="V960" s="420"/>
      <c r="W960" s="349"/>
      <c r="X960" s="349"/>
      <c r="Y960" s="349"/>
      <c r="Z960" s="349"/>
    </row>
    <row r="961" spans="1:26" ht="15.75" customHeight="1" x14ac:dyDescent="0.25">
      <c r="A961" s="341" t="s">
        <v>18291</v>
      </c>
      <c r="B961" s="212" t="s">
        <v>2702</v>
      </c>
      <c r="C961" s="212"/>
      <c r="D961" s="226">
        <v>2</v>
      </c>
      <c r="E961" s="226" t="s">
        <v>722</v>
      </c>
      <c r="F961" s="212" t="s">
        <v>12674</v>
      </c>
      <c r="G961" s="404" t="s">
        <v>16883</v>
      </c>
      <c r="H961" s="343">
        <v>5410</v>
      </c>
      <c r="I961" s="342"/>
      <c r="J961" s="346"/>
      <c r="K961" s="345">
        <f>IFERROR(Table15[[#This Row],[ROUTE $]]/Table15[[#This Row],[E - DEMAND]],0)</f>
        <v>0</v>
      </c>
      <c r="L961" s="212"/>
      <c r="M961" s="413">
        <f>IFERROR(VLOOKUP(Table15[[#This Row],[ROUTE]],DEMAND!A:F,5,FALSE),0)</f>
        <v>0</v>
      </c>
      <c r="N961" s="251">
        <f>IFERROR(VLOOKUP(Table15[[#This Row],[ROUTE]],DEMAND!A:F,6,FALSE),0)</f>
        <v>0</v>
      </c>
      <c r="O961" s="349"/>
      <c r="P961" s="349"/>
      <c r="Q961" s="416">
        <f>IFERROR(VLOOKUP(Table15[[#This Row],[ROUTE]],PRICING!A:B,2,FALSE),0)</f>
        <v>0</v>
      </c>
      <c r="R961" s="409">
        <f>IFERROR(Table15[[#This Row],[C_DEMAND]]-Table15[[#This Row],[R-DEMAND]],0)</f>
        <v>0</v>
      </c>
      <c r="S961" s="410">
        <f t="shared" si="14"/>
        <v>0</v>
      </c>
      <c r="T961" s="420">
        <f>Table15[[#This Row],[R-DEMAND]]-(Table15[[#This Row],[ADD ACC]]*1706)</f>
        <v>0</v>
      </c>
      <c r="U961" s="420">
        <f>ROUNDDOWN(Table15[[#This Row],[Column1]]/1360,0)</f>
        <v>0</v>
      </c>
      <c r="V961" s="420"/>
      <c r="W961" s="349"/>
      <c r="X961" s="349"/>
      <c r="Y961" s="349"/>
      <c r="Z961" s="349"/>
    </row>
    <row r="962" spans="1:26" ht="15.75" customHeight="1" x14ac:dyDescent="0.25">
      <c r="A962" s="210" t="s">
        <v>15148</v>
      </c>
      <c r="B962" s="204" t="s">
        <v>2484</v>
      </c>
      <c r="C962" s="204"/>
      <c r="D962" s="205">
        <v>1</v>
      </c>
      <c r="E962" s="204" t="s">
        <v>683</v>
      </c>
      <c r="F962" s="204" t="str">
        <f>VLOOKUP(E962,Table10[[COUNTRY NAME]:[CONTINENT CODE]],3,FALSE)</f>
        <v>NA</v>
      </c>
      <c r="G962" s="206" t="s">
        <v>13189</v>
      </c>
      <c r="H962" s="207">
        <v>14532</v>
      </c>
      <c r="I962" s="208">
        <v>34.25</v>
      </c>
      <c r="J962" s="345"/>
      <c r="K962" s="345">
        <f>IFERROR(Table15[[#This Row],[ROUTE $]]/Table15[[#This Row],[E - DEMAND]],0)</f>
        <v>0</v>
      </c>
      <c r="L962" s="204"/>
      <c r="M962" s="412">
        <f>IFERROR(VLOOKUP(Table15[[#This Row],[ROUTE]],DEMAND!A:F,5,FALSE),0)</f>
        <v>0</v>
      </c>
      <c r="N962" s="16">
        <f>IFERROR(VLOOKUP(Table15[[#This Row],[ROUTE]],DEMAND!A:F,6,FALSE),0)</f>
        <v>0</v>
      </c>
      <c r="O962" s="16">
        <f>IFERROR(ROUNDDOWN(Table15[[#This Row],[R-DEMAND]]/1706,0),0)</f>
        <v>0</v>
      </c>
      <c r="P962" s="16">
        <f>IFERROR(Table15[[#This Row],[ADD ACC]]*Table15[[#This Row],[RT TIME 
(380-800)]],0)</f>
        <v>0</v>
      </c>
      <c r="Q962" s="415">
        <f>IFERROR(VLOOKUP(Table15[[#This Row],[ROUTE]],PRICING!A:B,2,FALSE),0)</f>
        <v>0</v>
      </c>
      <c r="R962" s="235">
        <f>IFERROR(Table15[[#This Row],[C_DEMAND]]-Table15[[#This Row],[R-DEMAND]],0)</f>
        <v>0</v>
      </c>
      <c r="S962" s="408">
        <f t="shared" si="14"/>
        <v>0</v>
      </c>
      <c r="T962" s="419">
        <f>Table15[[#This Row],[R-DEMAND]]-(Table15[[#This Row],[ADD ACC]]*1706)</f>
        <v>0</v>
      </c>
      <c r="U962" s="419">
        <f>ROUNDDOWN(Table15[[#This Row],[Column1]]/1360,0)</f>
        <v>0</v>
      </c>
      <c r="V962" s="419"/>
      <c r="W962" s="349"/>
      <c r="X962" s="349"/>
      <c r="Y962" s="349"/>
      <c r="Z962" s="349"/>
    </row>
    <row r="963" spans="1:26" ht="15.75" customHeight="1" x14ac:dyDescent="0.25">
      <c r="A963" s="341" t="s">
        <v>18362</v>
      </c>
      <c r="B963" s="212" t="s">
        <v>2482</v>
      </c>
      <c r="C963" s="212"/>
      <c r="D963" s="226">
        <v>1</v>
      </c>
      <c r="E963" s="226" t="s">
        <v>1070</v>
      </c>
      <c r="F963" s="212" t="s">
        <v>12670</v>
      </c>
      <c r="G963" s="226" t="s">
        <v>16826</v>
      </c>
      <c r="H963" s="343">
        <v>478</v>
      </c>
      <c r="I963" s="342"/>
      <c r="J963" s="346"/>
      <c r="K963" s="345">
        <f>IFERROR(Table15[[#This Row],[ROUTE $]]/Table15[[#This Row],[E - DEMAND]],0)</f>
        <v>0</v>
      </c>
      <c r="L963" s="212"/>
      <c r="M963" s="413">
        <f>IFERROR(VLOOKUP(Table15[[#This Row],[ROUTE]],DEMAND!A:F,5,FALSE),0)</f>
        <v>0</v>
      </c>
      <c r="N963" s="251">
        <f>IFERROR(VLOOKUP(Table15[[#This Row],[ROUTE]],DEMAND!A:F,6,FALSE),0)</f>
        <v>0</v>
      </c>
      <c r="O963" s="349"/>
      <c r="P963" s="349"/>
      <c r="Q963" s="416">
        <f>IFERROR(VLOOKUP(Table15[[#This Row],[ROUTE]],PRICING!A:B,2,FALSE),0)</f>
        <v>0</v>
      </c>
      <c r="R963" s="409">
        <f>IFERROR(Table15[[#This Row],[C_DEMAND]]-Table15[[#This Row],[R-DEMAND]],0)</f>
        <v>0</v>
      </c>
      <c r="S963" s="410">
        <f t="shared" ref="S963:S1026" si="15">IFERROR(R963*Q963,0)</f>
        <v>0</v>
      </c>
      <c r="T963" s="420">
        <f>Table15[[#This Row],[R-DEMAND]]-(Table15[[#This Row],[ADD ACC]]*1706)</f>
        <v>0</v>
      </c>
      <c r="U963" s="420">
        <f>ROUNDDOWN(Table15[[#This Row],[Column1]]/1360,0)</f>
        <v>0</v>
      </c>
      <c r="V963" s="420"/>
      <c r="W963" s="349"/>
      <c r="X963" s="349"/>
      <c r="Y963" s="349"/>
      <c r="Z963" s="349"/>
    </row>
    <row r="964" spans="1:26" ht="15.75" customHeight="1" x14ac:dyDescent="0.25">
      <c r="A964" s="341" t="s">
        <v>18309</v>
      </c>
      <c r="B964" s="212" t="s">
        <v>958</v>
      </c>
      <c r="C964" s="212"/>
      <c r="D964" s="226">
        <v>1</v>
      </c>
      <c r="E964" s="226" t="s">
        <v>533</v>
      </c>
      <c r="F964" s="212" t="s">
        <v>12670</v>
      </c>
      <c r="G964" s="226" t="s">
        <v>16843</v>
      </c>
      <c r="H964" s="343">
        <v>4944</v>
      </c>
      <c r="I964" s="342"/>
      <c r="J964" s="346"/>
      <c r="K964" s="345">
        <f>IFERROR(Table15[[#This Row],[ROUTE $]]/Table15[[#This Row],[E - DEMAND]],0)</f>
        <v>0</v>
      </c>
      <c r="L964" s="212"/>
      <c r="M964" s="413">
        <f>IFERROR(VLOOKUP(Table15[[#This Row],[ROUTE]],DEMAND!A:F,5,FALSE),0)</f>
        <v>0</v>
      </c>
      <c r="N964" s="251">
        <f>IFERROR(VLOOKUP(Table15[[#This Row],[ROUTE]],DEMAND!A:F,6,FALSE),0)</f>
        <v>0</v>
      </c>
      <c r="O964" s="349"/>
      <c r="P964" s="349"/>
      <c r="Q964" s="416">
        <f>IFERROR(VLOOKUP(Table15[[#This Row],[ROUTE]],PRICING!A:B,2,FALSE),0)</f>
        <v>0</v>
      </c>
      <c r="R964" s="409">
        <f>IFERROR(Table15[[#This Row],[C_DEMAND]]-Table15[[#This Row],[R-DEMAND]],0)</f>
        <v>0</v>
      </c>
      <c r="S964" s="410">
        <f t="shared" si="15"/>
        <v>0</v>
      </c>
      <c r="T964" s="420">
        <f>Table15[[#This Row],[R-DEMAND]]-(Table15[[#This Row],[ADD ACC]]*1706)</f>
        <v>0</v>
      </c>
      <c r="U964" s="420">
        <f>ROUNDDOWN(Table15[[#This Row],[Column1]]/1360,0)</f>
        <v>0</v>
      </c>
      <c r="V964" s="420"/>
      <c r="W964" s="349"/>
      <c r="X964" s="349"/>
      <c r="Y964" s="349"/>
      <c r="Z964" s="349"/>
    </row>
    <row r="965" spans="1:26" ht="15.75" customHeight="1" x14ac:dyDescent="0.25">
      <c r="A965" s="341" t="s">
        <v>18135</v>
      </c>
      <c r="B965" s="212" t="s">
        <v>4537</v>
      </c>
      <c r="C965" s="212"/>
      <c r="D965" s="226">
        <v>0</v>
      </c>
      <c r="E965" s="226" t="s">
        <v>2791</v>
      </c>
      <c r="F965" s="212" t="s">
        <v>12688</v>
      </c>
      <c r="G965" s="226" t="s">
        <v>17033</v>
      </c>
      <c r="H965" s="343">
        <v>14171</v>
      </c>
      <c r="I965" s="342"/>
      <c r="J965" s="346"/>
      <c r="K965" s="345">
        <f>IFERROR(Table15[[#This Row],[ROUTE $]]/Table15[[#This Row],[E - DEMAND]],0)</f>
        <v>0</v>
      </c>
      <c r="L965" s="212"/>
      <c r="M965" s="413">
        <f>IFERROR(VLOOKUP(Table15[[#This Row],[ROUTE]],DEMAND!A:F,5,FALSE),0)</f>
        <v>0</v>
      </c>
      <c r="N965" s="251">
        <f>IFERROR(VLOOKUP(Table15[[#This Row],[ROUTE]],DEMAND!A:F,6,FALSE),0)</f>
        <v>0</v>
      </c>
      <c r="O965" s="349"/>
      <c r="P965" s="349"/>
      <c r="Q965" s="416">
        <f>IFERROR(VLOOKUP(Table15[[#This Row],[ROUTE]],PRICING!A:B,2,FALSE),0)</f>
        <v>0</v>
      </c>
      <c r="R965" s="409">
        <f>IFERROR(Table15[[#This Row],[C_DEMAND]]-Table15[[#This Row],[R-DEMAND]],0)</f>
        <v>0</v>
      </c>
      <c r="S965" s="410">
        <f t="shared" si="15"/>
        <v>0</v>
      </c>
      <c r="T965" s="420">
        <f>Table15[[#This Row],[R-DEMAND]]-(Table15[[#This Row],[ADD ACC]]*1706)</f>
        <v>0</v>
      </c>
      <c r="U965" s="420">
        <f>ROUNDDOWN(Table15[[#This Row],[Column1]]/1360,0)</f>
        <v>0</v>
      </c>
      <c r="V965" s="420"/>
      <c r="W965" s="349"/>
      <c r="X965" s="349"/>
      <c r="Y965" s="349"/>
      <c r="Z965" s="349"/>
    </row>
    <row r="966" spans="1:26" ht="15.75" customHeight="1" x14ac:dyDescent="0.25">
      <c r="A966" s="341" t="s">
        <v>18240</v>
      </c>
      <c r="B966" s="212" t="s">
        <v>2365</v>
      </c>
      <c r="C966" s="212"/>
      <c r="D966" s="226">
        <v>1</v>
      </c>
      <c r="E966" s="226" t="s">
        <v>2363</v>
      </c>
      <c r="F966" s="212" t="s">
        <v>12671</v>
      </c>
      <c r="G966" s="226" t="s">
        <v>16849</v>
      </c>
      <c r="H966" s="343">
        <v>6771</v>
      </c>
      <c r="I966" s="342"/>
      <c r="J966" s="346"/>
      <c r="K966" s="345">
        <f>IFERROR(Table15[[#This Row],[ROUTE $]]/Table15[[#This Row],[E - DEMAND]],0)</f>
        <v>0</v>
      </c>
      <c r="L966" s="212"/>
      <c r="M966" s="413">
        <f>IFERROR(VLOOKUP(Table15[[#This Row],[ROUTE]],DEMAND!A:F,5,FALSE),0)</f>
        <v>0</v>
      </c>
      <c r="N966" s="251">
        <f>IFERROR(VLOOKUP(Table15[[#This Row],[ROUTE]],DEMAND!A:F,6,FALSE),0)</f>
        <v>0</v>
      </c>
      <c r="O966" s="349"/>
      <c r="P966" s="349"/>
      <c r="Q966" s="416">
        <f>IFERROR(VLOOKUP(Table15[[#This Row],[ROUTE]],PRICING!A:B,2,FALSE),0)</f>
        <v>0</v>
      </c>
      <c r="R966" s="409">
        <f>IFERROR(Table15[[#This Row],[C_DEMAND]]-Table15[[#This Row],[R-DEMAND]],0)</f>
        <v>0</v>
      </c>
      <c r="S966" s="410">
        <f t="shared" si="15"/>
        <v>0</v>
      </c>
      <c r="T966" s="420">
        <f>Table15[[#This Row],[R-DEMAND]]-(Table15[[#This Row],[ADD ACC]]*1706)</f>
        <v>0</v>
      </c>
      <c r="U966" s="420">
        <f>ROUNDDOWN(Table15[[#This Row],[Column1]]/1360,0)</f>
        <v>0</v>
      </c>
      <c r="V966" s="420"/>
      <c r="W966" s="349"/>
      <c r="X966" s="349"/>
      <c r="Y966" s="349"/>
      <c r="Z966" s="349"/>
    </row>
    <row r="967" spans="1:26" ht="15.75" customHeight="1" x14ac:dyDescent="0.25">
      <c r="A967" s="341" t="s">
        <v>18225</v>
      </c>
      <c r="B967" s="212" t="s">
        <v>4015</v>
      </c>
      <c r="C967" s="212"/>
      <c r="D967" s="226">
        <v>2</v>
      </c>
      <c r="E967" s="226" t="s">
        <v>83</v>
      </c>
      <c r="F967" s="212" t="s">
        <v>12674</v>
      </c>
      <c r="G967" s="404" t="s">
        <v>16927</v>
      </c>
      <c r="H967" s="343">
        <v>7535</v>
      </c>
      <c r="I967" s="342"/>
      <c r="J967" s="346"/>
      <c r="K967" s="345">
        <f>IFERROR(Table15[[#This Row],[ROUTE $]]/Table15[[#This Row],[E - DEMAND]],0)</f>
        <v>0</v>
      </c>
      <c r="L967" s="212"/>
      <c r="M967" s="413">
        <f>IFERROR(VLOOKUP(Table15[[#This Row],[ROUTE]],DEMAND!A:F,5,FALSE),0)</f>
        <v>0</v>
      </c>
      <c r="N967" s="251">
        <f>IFERROR(VLOOKUP(Table15[[#This Row],[ROUTE]],DEMAND!A:F,6,FALSE),0)</f>
        <v>0</v>
      </c>
      <c r="O967" s="349"/>
      <c r="P967" s="349"/>
      <c r="Q967" s="416">
        <f>IFERROR(VLOOKUP(Table15[[#This Row],[ROUTE]],PRICING!A:B,2,FALSE),0)</f>
        <v>0</v>
      </c>
      <c r="R967" s="409">
        <f>IFERROR(Table15[[#This Row],[C_DEMAND]]-Table15[[#This Row],[R-DEMAND]],0)</f>
        <v>0</v>
      </c>
      <c r="S967" s="410">
        <f t="shared" si="15"/>
        <v>0</v>
      </c>
      <c r="T967" s="420">
        <f>Table15[[#This Row],[R-DEMAND]]-(Table15[[#This Row],[ADD ACC]]*1706)</f>
        <v>0</v>
      </c>
      <c r="U967" s="420">
        <f>ROUNDDOWN(Table15[[#This Row],[Column1]]/1360,0)</f>
        <v>0</v>
      </c>
      <c r="V967" s="420"/>
      <c r="W967" s="349"/>
      <c r="X967" s="349"/>
      <c r="Y967" s="349"/>
      <c r="Z967" s="349"/>
    </row>
    <row r="968" spans="1:26" ht="15.75" customHeight="1" x14ac:dyDescent="0.25">
      <c r="A968" s="341" t="s">
        <v>18296</v>
      </c>
      <c r="B968" s="212" t="s">
        <v>1961</v>
      </c>
      <c r="C968" s="212"/>
      <c r="D968" s="226">
        <v>1</v>
      </c>
      <c r="E968" s="226" t="s">
        <v>1959</v>
      </c>
      <c r="F968" s="212" t="s">
        <v>12674</v>
      </c>
      <c r="G968" s="404" t="s">
        <v>16881</v>
      </c>
      <c r="H968" s="343">
        <v>5176</v>
      </c>
      <c r="I968" s="342"/>
      <c r="J968" s="346"/>
      <c r="K968" s="345">
        <f>IFERROR(Table15[[#This Row],[ROUTE $]]/Table15[[#This Row],[E - DEMAND]],0)</f>
        <v>0</v>
      </c>
      <c r="L968" s="212"/>
      <c r="M968" s="413">
        <f>IFERROR(VLOOKUP(Table15[[#This Row],[ROUTE]],DEMAND!A:F,5,FALSE),0)</f>
        <v>0</v>
      </c>
      <c r="N968" s="251">
        <f>IFERROR(VLOOKUP(Table15[[#This Row],[ROUTE]],DEMAND!A:F,6,FALSE),0)</f>
        <v>0</v>
      </c>
      <c r="O968" s="349"/>
      <c r="P968" s="349"/>
      <c r="Q968" s="416">
        <f>IFERROR(VLOOKUP(Table15[[#This Row],[ROUTE]],PRICING!A:B,2,FALSE),0)</f>
        <v>0</v>
      </c>
      <c r="R968" s="409">
        <f>IFERROR(Table15[[#This Row],[C_DEMAND]]-Table15[[#This Row],[R-DEMAND]],0)</f>
        <v>0</v>
      </c>
      <c r="S968" s="410">
        <f t="shared" si="15"/>
        <v>0</v>
      </c>
      <c r="T968" s="420">
        <f>Table15[[#This Row],[R-DEMAND]]-(Table15[[#This Row],[ADD ACC]]*1706)</f>
        <v>0</v>
      </c>
      <c r="U968" s="420">
        <f>ROUNDDOWN(Table15[[#This Row],[Column1]]/1360,0)</f>
        <v>0</v>
      </c>
      <c r="V968" s="420"/>
      <c r="W968" s="349"/>
      <c r="X968" s="349"/>
      <c r="Y968" s="349"/>
      <c r="Z968" s="349"/>
    </row>
    <row r="969" spans="1:26" ht="15.75" customHeight="1" x14ac:dyDescent="0.25">
      <c r="A969" s="341" t="s">
        <v>18302</v>
      </c>
      <c r="B969" s="212" t="s">
        <v>2083</v>
      </c>
      <c r="C969" s="212"/>
      <c r="D969" s="226">
        <v>1</v>
      </c>
      <c r="E969" s="226" t="s">
        <v>717</v>
      </c>
      <c r="F969" s="212" t="s">
        <v>12670</v>
      </c>
      <c r="G969" s="226" t="s">
        <v>18110</v>
      </c>
      <c r="H969" s="343">
        <v>5051</v>
      </c>
      <c r="I969" s="342"/>
      <c r="J969" s="346"/>
      <c r="K969" s="345">
        <f>IFERROR(Table15[[#This Row],[ROUTE $]]/Table15[[#This Row],[E - DEMAND]],0)</f>
        <v>0</v>
      </c>
      <c r="L969" s="212"/>
      <c r="M969" s="413">
        <f>IFERROR(VLOOKUP(Table15[[#This Row],[ROUTE]],DEMAND!A:F,5,FALSE),0)</f>
        <v>0</v>
      </c>
      <c r="N969" s="251">
        <f>IFERROR(VLOOKUP(Table15[[#This Row],[ROUTE]],DEMAND!A:F,6,FALSE),0)</f>
        <v>0</v>
      </c>
      <c r="O969" s="349"/>
      <c r="P969" s="349"/>
      <c r="Q969" s="416">
        <f>IFERROR(VLOOKUP(Table15[[#This Row],[ROUTE]],PRICING!A:B,2,FALSE),0)</f>
        <v>0</v>
      </c>
      <c r="R969" s="409">
        <f>IFERROR(Table15[[#This Row],[C_DEMAND]]-Table15[[#This Row],[R-DEMAND]],0)</f>
        <v>0</v>
      </c>
      <c r="S969" s="410">
        <f t="shared" si="15"/>
        <v>0</v>
      </c>
      <c r="T969" s="420">
        <f>Table15[[#This Row],[R-DEMAND]]-(Table15[[#This Row],[ADD ACC]]*1706)</f>
        <v>0</v>
      </c>
      <c r="U969" s="420">
        <f>ROUNDDOWN(Table15[[#This Row],[Column1]]/1360,0)</f>
        <v>0</v>
      </c>
      <c r="V969" s="420"/>
      <c r="W969" s="349"/>
      <c r="X969" s="349"/>
      <c r="Y969" s="349"/>
      <c r="Z969" s="349"/>
    </row>
    <row r="970" spans="1:26" ht="15.75" customHeight="1" x14ac:dyDescent="0.25">
      <c r="A970" s="341" t="s">
        <v>18272</v>
      </c>
      <c r="B970" s="212" t="s">
        <v>1387</v>
      </c>
      <c r="C970" s="212"/>
      <c r="D970" s="226">
        <v>1</v>
      </c>
      <c r="E970" s="226" t="s">
        <v>656</v>
      </c>
      <c r="F970" s="212" t="s">
        <v>12674</v>
      </c>
      <c r="G970" s="404" t="s">
        <v>16892</v>
      </c>
      <c r="H970" s="343">
        <v>5835</v>
      </c>
      <c r="I970" s="342"/>
      <c r="J970" s="346"/>
      <c r="K970" s="345">
        <f>IFERROR(Table15[[#This Row],[ROUTE $]]/Table15[[#This Row],[E - DEMAND]],0)</f>
        <v>0</v>
      </c>
      <c r="L970" s="212"/>
      <c r="M970" s="413">
        <f>IFERROR(VLOOKUP(Table15[[#This Row],[ROUTE]],DEMAND!A:F,5,FALSE),0)</f>
        <v>0</v>
      </c>
      <c r="N970" s="251">
        <f>IFERROR(VLOOKUP(Table15[[#This Row],[ROUTE]],DEMAND!A:F,6,FALSE),0)</f>
        <v>0</v>
      </c>
      <c r="O970" s="349"/>
      <c r="P970" s="349"/>
      <c r="Q970" s="416">
        <f>IFERROR(VLOOKUP(Table15[[#This Row],[ROUTE]],PRICING!A:B,2,FALSE),0)</f>
        <v>0</v>
      </c>
      <c r="R970" s="409">
        <f>IFERROR(Table15[[#This Row],[C_DEMAND]]-Table15[[#This Row],[R-DEMAND]],0)</f>
        <v>0</v>
      </c>
      <c r="S970" s="410">
        <f t="shared" si="15"/>
        <v>0</v>
      </c>
      <c r="T970" s="420">
        <f>Table15[[#This Row],[R-DEMAND]]-(Table15[[#This Row],[ADD ACC]]*1706)</f>
        <v>0</v>
      </c>
      <c r="U970" s="420">
        <f>ROUNDDOWN(Table15[[#This Row],[Column1]]/1360,0)</f>
        <v>0</v>
      </c>
      <c r="V970" s="420"/>
      <c r="W970" s="349"/>
      <c r="X970" s="349"/>
      <c r="Y970" s="349"/>
      <c r="Z970" s="349"/>
    </row>
    <row r="971" spans="1:26" ht="15.75" customHeight="1" x14ac:dyDescent="0.25">
      <c r="A971" s="341" t="s">
        <v>18219</v>
      </c>
      <c r="B971" s="212" t="s">
        <v>837</v>
      </c>
      <c r="C971" s="212"/>
      <c r="D971" s="226">
        <v>1</v>
      </c>
      <c r="E971" s="226" t="s">
        <v>669</v>
      </c>
      <c r="F971" s="212" t="s">
        <v>12671</v>
      </c>
      <c r="G971" s="226" t="s">
        <v>16916</v>
      </c>
      <c r="H971" s="343">
        <v>8144</v>
      </c>
      <c r="I971" s="342"/>
      <c r="J971" s="346"/>
      <c r="K971" s="345">
        <f>IFERROR(Table15[[#This Row],[ROUTE $]]/Table15[[#This Row],[E - DEMAND]],0)</f>
        <v>0</v>
      </c>
      <c r="L971" s="212"/>
      <c r="M971" s="413">
        <f>IFERROR(VLOOKUP(Table15[[#This Row],[ROUTE]],DEMAND!A:F,5,FALSE),0)</f>
        <v>0</v>
      </c>
      <c r="N971" s="251">
        <f>IFERROR(VLOOKUP(Table15[[#This Row],[ROUTE]],DEMAND!A:F,6,FALSE),0)</f>
        <v>0</v>
      </c>
      <c r="O971" s="349"/>
      <c r="P971" s="349"/>
      <c r="Q971" s="416">
        <f>IFERROR(VLOOKUP(Table15[[#This Row],[ROUTE]],PRICING!A:B,2,FALSE),0)</f>
        <v>0</v>
      </c>
      <c r="R971" s="409">
        <f>IFERROR(Table15[[#This Row],[C_DEMAND]]-Table15[[#This Row],[R-DEMAND]],0)</f>
        <v>0</v>
      </c>
      <c r="S971" s="410">
        <f t="shared" si="15"/>
        <v>0</v>
      </c>
      <c r="T971" s="420">
        <f>Table15[[#This Row],[R-DEMAND]]-(Table15[[#This Row],[ADD ACC]]*1706)</f>
        <v>0</v>
      </c>
      <c r="U971" s="420">
        <f>ROUNDDOWN(Table15[[#This Row],[Column1]]/1360,0)</f>
        <v>0</v>
      </c>
      <c r="V971" s="420"/>
      <c r="W971" s="349"/>
      <c r="X971" s="349"/>
      <c r="Y971" s="349"/>
      <c r="Z971" s="349"/>
    </row>
    <row r="972" spans="1:26" ht="15.75" customHeight="1" x14ac:dyDescent="0.25">
      <c r="A972" s="341" t="s">
        <v>18290</v>
      </c>
      <c r="B972" s="212" t="s">
        <v>706</v>
      </c>
      <c r="C972" s="212"/>
      <c r="D972" s="226">
        <v>1</v>
      </c>
      <c r="E972" s="226" t="s">
        <v>597</v>
      </c>
      <c r="F972" s="212" t="s">
        <v>12674</v>
      </c>
      <c r="G972" s="404" t="s">
        <v>16882</v>
      </c>
      <c r="H972" s="343">
        <v>5425</v>
      </c>
      <c r="I972" s="342"/>
      <c r="J972" s="346"/>
      <c r="K972" s="345">
        <f>IFERROR(Table15[[#This Row],[ROUTE $]]/Table15[[#This Row],[E - DEMAND]],0)</f>
        <v>0</v>
      </c>
      <c r="L972" s="212"/>
      <c r="M972" s="413">
        <f>IFERROR(VLOOKUP(Table15[[#This Row],[ROUTE]],DEMAND!A:F,5,FALSE),0)</f>
        <v>0</v>
      </c>
      <c r="N972" s="251">
        <f>IFERROR(VLOOKUP(Table15[[#This Row],[ROUTE]],DEMAND!A:F,6,FALSE),0)</f>
        <v>0</v>
      </c>
      <c r="O972" s="349"/>
      <c r="P972" s="349"/>
      <c r="Q972" s="416">
        <f>IFERROR(VLOOKUP(Table15[[#This Row],[ROUTE]],PRICING!A:B,2,FALSE),0)</f>
        <v>0</v>
      </c>
      <c r="R972" s="409">
        <f>IFERROR(Table15[[#This Row],[C_DEMAND]]-Table15[[#This Row],[R-DEMAND]],0)</f>
        <v>0</v>
      </c>
      <c r="S972" s="410">
        <f t="shared" si="15"/>
        <v>0</v>
      </c>
      <c r="T972" s="420">
        <f>Table15[[#This Row],[R-DEMAND]]-(Table15[[#This Row],[ADD ACC]]*1706)</f>
        <v>0</v>
      </c>
      <c r="U972" s="420">
        <f>ROUNDDOWN(Table15[[#This Row],[Column1]]/1360,0)</f>
        <v>0</v>
      </c>
      <c r="V972" s="420"/>
      <c r="W972" s="349"/>
      <c r="X972" s="349"/>
      <c r="Y972" s="349"/>
      <c r="Z972" s="349"/>
    </row>
    <row r="973" spans="1:26" ht="15.75" customHeight="1" x14ac:dyDescent="0.25">
      <c r="A973" s="210" t="s">
        <v>15142</v>
      </c>
      <c r="B973" s="204" t="s">
        <v>2397</v>
      </c>
      <c r="C973" s="204"/>
      <c r="D973" s="205">
        <v>1</v>
      </c>
      <c r="E973" s="204" t="s">
        <v>2395</v>
      </c>
      <c r="F973" s="204" t="str">
        <f>VLOOKUP(E973,Table10[[COUNTRY NAME]:[CONTINENT CODE]],3,FALSE)</f>
        <v>SA</v>
      </c>
      <c r="G973" s="206" t="s">
        <v>13234</v>
      </c>
      <c r="H973" s="207">
        <v>14625</v>
      </c>
      <c r="I973" s="208">
        <v>34.5</v>
      </c>
      <c r="J973" s="345"/>
      <c r="K973" s="345">
        <f>IFERROR(Table15[[#This Row],[ROUTE $]]/Table15[[#This Row],[E - DEMAND]],0)</f>
        <v>0</v>
      </c>
      <c r="L973" s="204"/>
      <c r="M973" s="412">
        <f>IFERROR(VLOOKUP(Table15[[#This Row],[ROUTE]],DEMAND!A:F,5,FALSE),0)</f>
        <v>0</v>
      </c>
      <c r="N973" s="16">
        <f>IFERROR(VLOOKUP(Table15[[#This Row],[ROUTE]],DEMAND!A:F,6,FALSE),0)</f>
        <v>0</v>
      </c>
      <c r="O973" s="16">
        <f>IFERROR(ROUNDDOWN(Table15[[#This Row],[R-DEMAND]]/1706,0),0)</f>
        <v>0</v>
      </c>
      <c r="P973" s="16">
        <f>IFERROR(Table15[[#This Row],[ADD ACC]]*Table15[[#This Row],[RT TIME 
(380-800)]],0)</f>
        <v>0</v>
      </c>
      <c r="Q973" s="415">
        <f>IFERROR(VLOOKUP(Table15[[#This Row],[ROUTE]],PRICING!A:B,2,FALSE),0)</f>
        <v>0</v>
      </c>
      <c r="R973" s="235">
        <f>IFERROR(Table15[[#This Row],[C_DEMAND]]-Table15[[#This Row],[R-DEMAND]],0)</f>
        <v>0</v>
      </c>
      <c r="S973" s="408">
        <f t="shared" si="15"/>
        <v>0</v>
      </c>
      <c r="T973" s="419">
        <f>Table15[[#This Row],[R-DEMAND]]-(Table15[[#This Row],[ADD ACC]]*1706)</f>
        <v>0</v>
      </c>
      <c r="U973" s="419">
        <f>ROUNDDOWN(Table15[[#This Row],[Column1]]/1360,0)</f>
        <v>0</v>
      </c>
      <c r="V973" s="419"/>
      <c r="W973" s="349"/>
      <c r="X973" s="349"/>
      <c r="Y973" s="349"/>
      <c r="Z973" s="349"/>
    </row>
    <row r="974" spans="1:26" ht="15.75" customHeight="1" x14ac:dyDescent="0.25">
      <c r="A974" s="341" t="s">
        <v>18277</v>
      </c>
      <c r="B974" s="212" t="s">
        <v>2474</v>
      </c>
      <c r="C974" s="212"/>
      <c r="D974" s="226">
        <v>1</v>
      </c>
      <c r="E974" s="226" t="s">
        <v>258</v>
      </c>
      <c r="F974" s="212" t="s">
        <v>12670</v>
      </c>
      <c r="G974" s="226" t="s">
        <v>16834</v>
      </c>
      <c r="H974" s="343">
        <v>5681</v>
      </c>
      <c r="I974" s="342"/>
      <c r="J974" s="346"/>
      <c r="K974" s="345">
        <f>IFERROR(Table15[[#This Row],[ROUTE $]]/Table15[[#This Row],[E - DEMAND]],0)</f>
        <v>0</v>
      </c>
      <c r="L974" s="212"/>
      <c r="M974" s="413">
        <f>IFERROR(VLOOKUP(Table15[[#This Row],[ROUTE]],DEMAND!A:F,5,FALSE),0)</f>
        <v>0</v>
      </c>
      <c r="N974" s="251">
        <f>IFERROR(VLOOKUP(Table15[[#This Row],[ROUTE]],DEMAND!A:F,6,FALSE),0)</f>
        <v>0</v>
      </c>
      <c r="O974" s="349"/>
      <c r="P974" s="349"/>
      <c r="Q974" s="416">
        <f>IFERROR(VLOOKUP(Table15[[#This Row],[ROUTE]],PRICING!A:B,2,FALSE),0)</f>
        <v>0</v>
      </c>
      <c r="R974" s="409">
        <f>IFERROR(Table15[[#This Row],[C_DEMAND]]-Table15[[#This Row],[R-DEMAND]],0)</f>
        <v>0</v>
      </c>
      <c r="S974" s="410">
        <f t="shared" si="15"/>
        <v>0</v>
      </c>
      <c r="T974" s="420">
        <f>Table15[[#This Row],[R-DEMAND]]-(Table15[[#This Row],[ADD ACC]]*1706)</f>
        <v>0</v>
      </c>
      <c r="U974" s="420">
        <f>ROUNDDOWN(Table15[[#This Row],[Column1]]/1360,0)</f>
        <v>0</v>
      </c>
      <c r="V974" s="420"/>
      <c r="W974" s="349"/>
      <c r="X974" s="349"/>
      <c r="Y974" s="349"/>
      <c r="Z974" s="349"/>
    </row>
    <row r="975" spans="1:26" ht="15.75" customHeight="1" x14ac:dyDescent="0.25">
      <c r="A975" s="341" t="s">
        <v>18289</v>
      </c>
      <c r="B975" s="212" t="s">
        <v>1533</v>
      </c>
      <c r="C975" s="212"/>
      <c r="D975" s="226">
        <v>1</v>
      </c>
      <c r="E975" s="226" t="s">
        <v>1531</v>
      </c>
      <c r="F975" s="212" t="s">
        <v>12671</v>
      </c>
      <c r="G975" s="226" t="s">
        <v>6645</v>
      </c>
      <c r="H975" s="343">
        <v>5470</v>
      </c>
      <c r="I975" s="342"/>
      <c r="J975" s="346"/>
      <c r="K975" s="345">
        <f>IFERROR(Table15[[#This Row],[ROUTE $]]/Table15[[#This Row],[E - DEMAND]],0)</f>
        <v>0</v>
      </c>
      <c r="L975" s="212"/>
      <c r="M975" s="413">
        <f>IFERROR(VLOOKUP(Table15[[#This Row],[ROUTE]],DEMAND!A:F,5,FALSE),0)</f>
        <v>0</v>
      </c>
      <c r="N975" s="251">
        <f>IFERROR(VLOOKUP(Table15[[#This Row],[ROUTE]],DEMAND!A:F,6,FALSE),0)</f>
        <v>0</v>
      </c>
      <c r="O975" s="349"/>
      <c r="P975" s="349"/>
      <c r="Q975" s="416">
        <f>IFERROR(VLOOKUP(Table15[[#This Row],[ROUTE]],PRICING!A:B,2,FALSE),0)</f>
        <v>0</v>
      </c>
      <c r="R975" s="409">
        <f>IFERROR(Table15[[#This Row],[C_DEMAND]]-Table15[[#This Row],[R-DEMAND]],0)</f>
        <v>0</v>
      </c>
      <c r="S975" s="410">
        <f t="shared" si="15"/>
        <v>0</v>
      </c>
      <c r="T975" s="420">
        <f>Table15[[#This Row],[R-DEMAND]]-(Table15[[#This Row],[ADD ACC]]*1706)</f>
        <v>0</v>
      </c>
      <c r="U975" s="420">
        <f>ROUNDDOWN(Table15[[#This Row],[Column1]]/1360,0)</f>
        <v>0</v>
      </c>
      <c r="V975" s="420"/>
      <c r="W975" s="349"/>
      <c r="X975" s="349"/>
      <c r="Y975" s="349"/>
      <c r="Z975" s="349"/>
    </row>
    <row r="976" spans="1:26" ht="15.75" customHeight="1" x14ac:dyDescent="0.25">
      <c r="A976" s="341" t="s">
        <v>18287</v>
      </c>
      <c r="B976" s="212" t="s">
        <v>2203</v>
      </c>
      <c r="C976" s="212"/>
      <c r="D976" s="226">
        <v>1</v>
      </c>
      <c r="E976" s="226" t="s">
        <v>13126</v>
      </c>
      <c r="F976" s="212" t="s">
        <v>12674</v>
      </c>
      <c r="G976" s="404" t="s">
        <v>16884</v>
      </c>
      <c r="H976" s="343">
        <v>5484</v>
      </c>
      <c r="I976" s="342"/>
      <c r="J976" s="346"/>
      <c r="K976" s="345">
        <f>IFERROR(Table15[[#This Row],[ROUTE $]]/Table15[[#This Row],[E - DEMAND]],0)</f>
        <v>0</v>
      </c>
      <c r="L976" s="212"/>
      <c r="M976" s="413">
        <f>IFERROR(VLOOKUP(Table15[[#This Row],[ROUTE]],DEMAND!A:F,5,FALSE),0)</f>
        <v>0</v>
      </c>
      <c r="N976" s="251">
        <f>IFERROR(VLOOKUP(Table15[[#This Row],[ROUTE]],DEMAND!A:F,6,FALSE),0)</f>
        <v>0</v>
      </c>
      <c r="O976" s="349"/>
      <c r="P976" s="349"/>
      <c r="Q976" s="416">
        <f>IFERROR(VLOOKUP(Table15[[#This Row],[ROUTE]],PRICING!A:B,2,FALSE),0)</f>
        <v>0</v>
      </c>
      <c r="R976" s="409">
        <f>IFERROR(Table15[[#This Row],[C_DEMAND]]-Table15[[#This Row],[R-DEMAND]],0)</f>
        <v>0</v>
      </c>
      <c r="S976" s="410">
        <f t="shared" si="15"/>
        <v>0</v>
      </c>
      <c r="T976" s="420">
        <f>Table15[[#This Row],[R-DEMAND]]-(Table15[[#This Row],[ADD ACC]]*1706)</f>
        <v>0</v>
      </c>
      <c r="U976" s="420">
        <f>ROUNDDOWN(Table15[[#This Row],[Column1]]/1360,0)</f>
        <v>0</v>
      </c>
      <c r="V976" s="420"/>
      <c r="W976" s="349"/>
      <c r="X976" s="349"/>
      <c r="Y976" s="349"/>
      <c r="Z976" s="349"/>
    </row>
    <row r="977" spans="1:26" ht="15.75" customHeight="1" x14ac:dyDescent="0.25">
      <c r="A977" s="341" t="s">
        <v>18239</v>
      </c>
      <c r="B977" s="212" t="s">
        <v>773</v>
      </c>
      <c r="C977" s="212"/>
      <c r="D977" s="226">
        <v>1</v>
      </c>
      <c r="E977" s="226" t="s">
        <v>605</v>
      </c>
      <c r="F977" s="212" t="s">
        <v>12674</v>
      </c>
      <c r="G977" s="404" t="s">
        <v>16910</v>
      </c>
      <c r="H977" s="343">
        <v>6808</v>
      </c>
      <c r="I977" s="342"/>
      <c r="J977" s="346"/>
      <c r="K977" s="345">
        <f>IFERROR(Table15[[#This Row],[ROUTE $]]/Table15[[#This Row],[E - DEMAND]],0)</f>
        <v>0</v>
      </c>
      <c r="L977" s="212"/>
      <c r="M977" s="413">
        <f>IFERROR(VLOOKUP(Table15[[#This Row],[ROUTE]],DEMAND!A:F,5,FALSE),0)</f>
        <v>0</v>
      </c>
      <c r="N977" s="251">
        <f>IFERROR(VLOOKUP(Table15[[#This Row],[ROUTE]],DEMAND!A:F,6,FALSE),0)</f>
        <v>0</v>
      </c>
      <c r="O977" s="349"/>
      <c r="P977" s="349"/>
      <c r="Q977" s="416">
        <f>IFERROR(VLOOKUP(Table15[[#This Row],[ROUTE]],PRICING!A:B,2,FALSE),0)</f>
        <v>0</v>
      </c>
      <c r="R977" s="409">
        <f>IFERROR(Table15[[#This Row],[C_DEMAND]]-Table15[[#This Row],[R-DEMAND]],0)</f>
        <v>0</v>
      </c>
      <c r="S977" s="410">
        <f t="shared" si="15"/>
        <v>0</v>
      </c>
      <c r="T977" s="420">
        <f>Table15[[#This Row],[R-DEMAND]]-(Table15[[#This Row],[ADD ACC]]*1706)</f>
        <v>0</v>
      </c>
      <c r="U977" s="420">
        <f>ROUNDDOWN(Table15[[#This Row],[Column1]]/1360,0)</f>
        <v>0</v>
      </c>
      <c r="V977" s="420"/>
      <c r="W977" s="349"/>
      <c r="X977" s="349"/>
      <c r="Y977" s="349"/>
      <c r="Z977" s="349"/>
    </row>
    <row r="978" spans="1:26" ht="15.75" customHeight="1" x14ac:dyDescent="0.25">
      <c r="A978" s="341" t="s">
        <v>18235</v>
      </c>
      <c r="B978" s="212" t="s">
        <v>928</v>
      </c>
      <c r="C978" s="212"/>
      <c r="D978" s="226">
        <v>1</v>
      </c>
      <c r="E978" s="226" t="s">
        <v>926</v>
      </c>
      <c r="F978" s="212" t="s">
        <v>12671</v>
      </c>
      <c r="G978" s="226" t="s">
        <v>16856</v>
      </c>
      <c r="H978" s="343">
        <v>6988</v>
      </c>
      <c r="I978" s="342"/>
      <c r="J978" s="346"/>
      <c r="K978" s="345">
        <f>IFERROR(Table15[[#This Row],[ROUTE $]]/Table15[[#This Row],[E - DEMAND]],0)</f>
        <v>0</v>
      </c>
      <c r="L978" s="212"/>
      <c r="M978" s="413">
        <f>IFERROR(VLOOKUP(Table15[[#This Row],[ROUTE]],DEMAND!A:F,5,FALSE),0)</f>
        <v>0</v>
      </c>
      <c r="N978" s="251">
        <f>IFERROR(VLOOKUP(Table15[[#This Row],[ROUTE]],DEMAND!A:F,6,FALSE),0)</f>
        <v>0</v>
      </c>
      <c r="O978" s="349"/>
      <c r="P978" s="349"/>
      <c r="Q978" s="416">
        <f>IFERROR(VLOOKUP(Table15[[#This Row],[ROUTE]],PRICING!A:B,2,FALSE),0)</f>
        <v>0</v>
      </c>
      <c r="R978" s="409">
        <f>IFERROR(Table15[[#This Row],[C_DEMAND]]-Table15[[#This Row],[R-DEMAND]],0)</f>
        <v>0</v>
      </c>
      <c r="S978" s="410">
        <f t="shared" si="15"/>
        <v>0</v>
      </c>
      <c r="T978" s="420">
        <f>Table15[[#This Row],[R-DEMAND]]-(Table15[[#This Row],[ADD ACC]]*1706)</f>
        <v>0</v>
      </c>
      <c r="U978" s="420">
        <f>ROUNDDOWN(Table15[[#This Row],[Column1]]/1360,0)</f>
        <v>0</v>
      </c>
      <c r="V978" s="420"/>
      <c r="W978" s="349"/>
      <c r="X978" s="349"/>
      <c r="Y978" s="349"/>
      <c r="Z978" s="349"/>
    </row>
    <row r="979" spans="1:26" ht="15.75" customHeight="1" x14ac:dyDescent="0.25">
      <c r="A979" s="341" t="s">
        <v>18327</v>
      </c>
      <c r="B979" s="212" t="s">
        <v>8956</v>
      </c>
      <c r="C979" s="212"/>
      <c r="D979" s="226">
        <v>1</v>
      </c>
      <c r="E979" s="226" t="s">
        <v>78</v>
      </c>
      <c r="F979" s="212" t="s">
        <v>12674</v>
      </c>
      <c r="G979" s="404" t="s">
        <v>16851</v>
      </c>
      <c r="H979" s="343">
        <v>4083</v>
      </c>
      <c r="I979" s="342"/>
      <c r="J979" s="346"/>
      <c r="K979" s="345">
        <f>IFERROR(Table15[[#This Row],[ROUTE $]]/Table15[[#This Row],[E - DEMAND]],0)</f>
        <v>0</v>
      </c>
      <c r="L979" s="212"/>
      <c r="M979" s="413">
        <f>IFERROR(VLOOKUP(Table15[[#This Row],[ROUTE]],DEMAND!A:F,5,FALSE),0)</f>
        <v>0</v>
      </c>
      <c r="N979" s="251">
        <f>IFERROR(VLOOKUP(Table15[[#This Row],[ROUTE]],DEMAND!A:F,6,FALSE),0)</f>
        <v>0</v>
      </c>
      <c r="O979" s="349"/>
      <c r="P979" s="349"/>
      <c r="Q979" s="416">
        <f>IFERROR(VLOOKUP(Table15[[#This Row],[ROUTE]],PRICING!A:B,2,FALSE),0)</f>
        <v>0</v>
      </c>
      <c r="R979" s="409">
        <f>IFERROR(Table15[[#This Row],[C_DEMAND]]-Table15[[#This Row],[R-DEMAND]],0)</f>
        <v>0</v>
      </c>
      <c r="S979" s="410">
        <f t="shared" si="15"/>
        <v>0</v>
      </c>
      <c r="T979" s="420">
        <f>Table15[[#This Row],[R-DEMAND]]-(Table15[[#This Row],[ADD ACC]]*1706)</f>
        <v>0</v>
      </c>
      <c r="U979" s="420">
        <f>ROUNDDOWN(Table15[[#This Row],[Column1]]/1360,0)</f>
        <v>0</v>
      </c>
      <c r="V979" s="420"/>
      <c r="W979" s="349"/>
      <c r="X979" s="349"/>
      <c r="Y979" s="349"/>
      <c r="Z979" s="349"/>
    </row>
    <row r="980" spans="1:26" ht="15.75" customHeight="1" x14ac:dyDescent="0.25">
      <c r="A980" s="341" t="s">
        <v>18341</v>
      </c>
      <c r="B980" s="212" t="s">
        <v>2345</v>
      </c>
      <c r="C980" s="212"/>
      <c r="D980" s="226">
        <v>1</v>
      </c>
      <c r="E980" s="226" t="s">
        <v>78</v>
      </c>
      <c r="F980" s="212" t="s">
        <v>12674</v>
      </c>
      <c r="G980" s="404" t="s">
        <v>16860</v>
      </c>
      <c r="H980" s="343">
        <v>3542</v>
      </c>
      <c r="I980" s="342"/>
      <c r="J980" s="346"/>
      <c r="K980" s="345">
        <f>IFERROR(Table15[[#This Row],[ROUTE $]]/Table15[[#This Row],[E - DEMAND]],0)</f>
        <v>0</v>
      </c>
      <c r="L980" s="212"/>
      <c r="M980" s="413">
        <f>IFERROR(VLOOKUP(Table15[[#This Row],[ROUTE]],DEMAND!A:F,5,FALSE),0)</f>
        <v>0</v>
      </c>
      <c r="N980" s="251">
        <f>IFERROR(VLOOKUP(Table15[[#This Row],[ROUTE]],DEMAND!A:F,6,FALSE),0)</f>
        <v>0</v>
      </c>
      <c r="O980" s="349"/>
      <c r="P980" s="349"/>
      <c r="Q980" s="416">
        <f>IFERROR(VLOOKUP(Table15[[#This Row],[ROUTE]],PRICING!A:B,2,FALSE),0)</f>
        <v>0</v>
      </c>
      <c r="R980" s="409">
        <f>IFERROR(Table15[[#This Row],[C_DEMAND]]-Table15[[#This Row],[R-DEMAND]],0)</f>
        <v>0</v>
      </c>
      <c r="S980" s="410">
        <f t="shared" si="15"/>
        <v>0</v>
      </c>
      <c r="T980" s="420">
        <f>Table15[[#This Row],[R-DEMAND]]-(Table15[[#This Row],[ADD ACC]]*1706)</f>
        <v>0</v>
      </c>
      <c r="U980" s="420">
        <f>ROUNDDOWN(Table15[[#This Row],[Column1]]/1360,0)</f>
        <v>0</v>
      </c>
      <c r="V980" s="420"/>
      <c r="W980" s="349"/>
      <c r="X980" s="349"/>
      <c r="Y980" s="349"/>
      <c r="Z980" s="349"/>
    </row>
    <row r="981" spans="1:26" ht="15.75" customHeight="1" x14ac:dyDescent="0.25">
      <c r="A981" s="341" t="s">
        <v>18317</v>
      </c>
      <c r="B981" s="212" t="s">
        <v>898</v>
      </c>
      <c r="C981" s="212"/>
      <c r="D981" s="226">
        <v>1</v>
      </c>
      <c r="E981" s="226" t="s">
        <v>700</v>
      </c>
      <c r="F981" s="212" t="s">
        <v>12670</v>
      </c>
      <c r="G981" s="226" t="s">
        <v>16878</v>
      </c>
      <c r="H981" s="343">
        <v>4697</v>
      </c>
      <c r="I981" s="342"/>
      <c r="J981" s="346"/>
      <c r="K981" s="345">
        <f>IFERROR(Table15[[#This Row],[ROUTE $]]/Table15[[#This Row],[E - DEMAND]],0)</f>
        <v>0</v>
      </c>
      <c r="L981" s="212"/>
      <c r="M981" s="413">
        <f>IFERROR(VLOOKUP(Table15[[#This Row],[ROUTE]],DEMAND!A:F,5,FALSE),0)</f>
        <v>0</v>
      </c>
      <c r="N981" s="251">
        <f>IFERROR(VLOOKUP(Table15[[#This Row],[ROUTE]],DEMAND!A:F,6,FALSE),0)</f>
        <v>0</v>
      </c>
      <c r="O981" s="349"/>
      <c r="P981" s="349"/>
      <c r="Q981" s="416">
        <f>IFERROR(VLOOKUP(Table15[[#This Row],[ROUTE]],PRICING!A:B,2,FALSE),0)</f>
        <v>0</v>
      </c>
      <c r="R981" s="409">
        <f>IFERROR(Table15[[#This Row],[C_DEMAND]]-Table15[[#This Row],[R-DEMAND]],0)</f>
        <v>0</v>
      </c>
      <c r="S981" s="410">
        <f t="shared" si="15"/>
        <v>0</v>
      </c>
      <c r="T981" s="420">
        <f>Table15[[#This Row],[R-DEMAND]]-(Table15[[#This Row],[ADD ACC]]*1706)</f>
        <v>0</v>
      </c>
      <c r="U981" s="420">
        <f>ROUNDDOWN(Table15[[#This Row],[Column1]]/1360,0)</f>
        <v>0</v>
      </c>
      <c r="V981" s="420"/>
      <c r="W981" s="349"/>
      <c r="X981" s="349"/>
      <c r="Y981" s="349"/>
      <c r="Z981" s="349"/>
    </row>
    <row r="982" spans="1:26" ht="15.75" customHeight="1" x14ac:dyDescent="0.25">
      <c r="A982" s="341" t="s">
        <v>18173</v>
      </c>
      <c r="B982" s="212" t="s">
        <v>3012</v>
      </c>
      <c r="C982" s="212"/>
      <c r="D982" s="226">
        <v>2</v>
      </c>
      <c r="E982" s="226" t="s">
        <v>1646</v>
      </c>
      <c r="F982" s="212" t="s">
        <v>12682</v>
      </c>
      <c r="G982" s="226" t="s">
        <v>16852</v>
      </c>
      <c r="H982" s="343">
        <v>12973</v>
      </c>
      <c r="I982" s="342"/>
      <c r="J982" s="346"/>
      <c r="K982" s="345">
        <f>IFERROR(Table15[[#This Row],[ROUTE $]]/Table15[[#This Row],[E - DEMAND]],0)</f>
        <v>0</v>
      </c>
      <c r="L982" s="212"/>
      <c r="M982" s="413">
        <f>IFERROR(VLOOKUP(Table15[[#This Row],[ROUTE]],DEMAND!A:F,5,FALSE),0)</f>
        <v>0</v>
      </c>
      <c r="N982" s="251">
        <f>IFERROR(VLOOKUP(Table15[[#This Row],[ROUTE]],DEMAND!A:F,6,FALSE),0)</f>
        <v>0</v>
      </c>
      <c r="O982" s="349"/>
      <c r="P982" s="349"/>
      <c r="Q982" s="416">
        <f>IFERROR(VLOOKUP(Table15[[#This Row],[ROUTE]],PRICING!A:B,2,FALSE),0)</f>
        <v>0</v>
      </c>
      <c r="R982" s="409">
        <f>IFERROR(Table15[[#This Row],[C_DEMAND]]-Table15[[#This Row],[R-DEMAND]],0)</f>
        <v>0</v>
      </c>
      <c r="S982" s="410">
        <f t="shared" si="15"/>
        <v>0</v>
      </c>
      <c r="T982" s="420">
        <f>Table15[[#This Row],[R-DEMAND]]-(Table15[[#This Row],[ADD ACC]]*1706)</f>
        <v>0</v>
      </c>
      <c r="U982" s="420">
        <f>ROUNDDOWN(Table15[[#This Row],[Column1]]/1360,0)</f>
        <v>0</v>
      </c>
      <c r="V982" s="420"/>
      <c r="W982" s="349"/>
      <c r="X982" s="349"/>
      <c r="Y982" s="349"/>
      <c r="Z982" s="349"/>
    </row>
    <row r="983" spans="1:26" ht="15.75" customHeight="1" x14ac:dyDescent="0.25">
      <c r="A983" s="341" t="s">
        <v>18269</v>
      </c>
      <c r="B983" s="212" t="s">
        <v>3563</v>
      </c>
      <c r="C983" s="212"/>
      <c r="D983" s="226">
        <v>0</v>
      </c>
      <c r="E983" s="226" t="s">
        <v>14</v>
      </c>
      <c r="F983" s="212" t="s">
        <v>12670</v>
      </c>
      <c r="G983" s="226" t="s">
        <v>16842</v>
      </c>
      <c r="H983" s="343">
        <v>5915</v>
      </c>
      <c r="I983" s="342"/>
      <c r="J983" s="346"/>
      <c r="K983" s="345">
        <f>IFERROR(Table15[[#This Row],[ROUTE $]]/Table15[[#This Row],[E - DEMAND]],0)</f>
        <v>0</v>
      </c>
      <c r="L983" s="212"/>
      <c r="M983" s="413">
        <f>IFERROR(VLOOKUP(Table15[[#This Row],[ROUTE]],DEMAND!A:F,5,FALSE),0)</f>
        <v>0</v>
      </c>
      <c r="N983" s="251">
        <f>IFERROR(VLOOKUP(Table15[[#This Row],[ROUTE]],DEMAND!A:F,6,FALSE),0)</f>
        <v>0</v>
      </c>
      <c r="O983" s="349"/>
      <c r="P983" s="349"/>
      <c r="Q983" s="416">
        <f>IFERROR(VLOOKUP(Table15[[#This Row],[ROUTE]],PRICING!A:B,2,FALSE),0)</f>
        <v>0</v>
      </c>
      <c r="R983" s="409">
        <f>IFERROR(Table15[[#This Row],[C_DEMAND]]-Table15[[#This Row],[R-DEMAND]],0)</f>
        <v>0</v>
      </c>
      <c r="S983" s="410">
        <f t="shared" si="15"/>
        <v>0</v>
      </c>
      <c r="T983" s="420">
        <f>Table15[[#This Row],[R-DEMAND]]-(Table15[[#This Row],[ADD ACC]]*1706)</f>
        <v>0</v>
      </c>
      <c r="U983" s="420">
        <f>ROUNDDOWN(Table15[[#This Row],[Column1]]/1360,0)</f>
        <v>0</v>
      </c>
      <c r="V983" s="420"/>
      <c r="W983" s="349"/>
      <c r="X983" s="349"/>
      <c r="Y983" s="349"/>
      <c r="Z983" s="349"/>
    </row>
    <row r="984" spans="1:26" ht="15.75" customHeight="1" x14ac:dyDescent="0.25">
      <c r="A984" s="341" t="s">
        <v>18271</v>
      </c>
      <c r="B984" s="212" t="s">
        <v>4431</v>
      </c>
      <c r="C984" s="212"/>
      <c r="D984" s="226">
        <v>0</v>
      </c>
      <c r="E984" s="226" t="s">
        <v>14</v>
      </c>
      <c r="F984" s="212" t="s">
        <v>12670</v>
      </c>
      <c r="G984" s="226" t="s">
        <v>16841</v>
      </c>
      <c r="H984" s="343">
        <v>5878</v>
      </c>
      <c r="I984" s="342"/>
      <c r="J984" s="346"/>
      <c r="K984" s="345">
        <f>IFERROR(Table15[[#This Row],[ROUTE $]]/Table15[[#This Row],[E - DEMAND]],0)</f>
        <v>0</v>
      </c>
      <c r="L984" s="212"/>
      <c r="M984" s="413">
        <f>IFERROR(VLOOKUP(Table15[[#This Row],[ROUTE]],DEMAND!A:F,5,FALSE),0)</f>
        <v>0</v>
      </c>
      <c r="N984" s="251">
        <f>IFERROR(VLOOKUP(Table15[[#This Row],[ROUTE]],DEMAND!A:F,6,FALSE),0)</f>
        <v>0</v>
      </c>
      <c r="O984" s="349"/>
      <c r="P984" s="349"/>
      <c r="Q984" s="416">
        <f>IFERROR(VLOOKUP(Table15[[#This Row],[ROUTE]],PRICING!A:B,2,FALSE),0)</f>
        <v>0</v>
      </c>
      <c r="R984" s="409">
        <f>IFERROR(Table15[[#This Row],[C_DEMAND]]-Table15[[#This Row],[R-DEMAND]],0)</f>
        <v>0</v>
      </c>
      <c r="S984" s="410">
        <f t="shared" si="15"/>
        <v>0</v>
      </c>
      <c r="T984" s="420">
        <f>Table15[[#This Row],[R-DEMAND]]-(Table15[[#This Row],[ADD ACC]]*1706)</f>
        <v>0</v>
      </c>
      <c r="U984" s="420">
        <f>ROUNDDOWN(Table15[[#This Row],[Column1]]/1360,0)</f>
        <v>0</v>
      </c>
      <c r="V984" s="420"/>
      <c r="W984" s="349"/>
      <c r="X984" s="349"/>
      <c r="Y984" s="349"/>
      <c r="Z984" s="349"/>
    </row>
    <row r="985" spans="1:26" ht="15.75" customHeight="1" x14ac:dyDescent="0.25">
      <c r="A985" s="341" t="s">
        <v>18284</v>
      </c>
      <c r="B985" s="212" t="s">
        <v>2882</v>
      </c>
      <c r="C985" s="212"/>
      <c r="D985" s="226">
        <v>0</v>
      </c>
      <c r="E985" s="226" t="s">
        <v>14</v>
      </c>
      <c r="F985" s="212" t="s">
        <v>12670</v>
      </c>
      <c r="G985" s="226" t="s">
        <v>16845</v>
      </c>
      <c r="H985" s="343">
        <v>5555</v>
      </c>
      <c r="I985" s="342"/>
      <c r="J985" s="346"/>
      <c r="K985" s="345">
        <f>IFERROR(Table15[[#This Row],[ROUTE $]]/Table15[[#This Row],[E - DEMAND]],0)</f>
        <v>0</v>
      </c>
      <c r="L985" s="212"/>
      <c r="M985" s="413">
        <f>IFERROR(VLOOKUP(Table15[[#This Row],[ROUTE]],DEMAND!A:F,5,FALSE),0)</f>
        <v>0</v>
      </c>
      <c r="N985" s="251">
        <f>IFERROR(VLOOKUP(Table15[[#This Row],[ROUTE]],DEMAND!A:F,6,FALSE),0)</f>
        <v>0</v>
      </c>
      <c r="O985" s="349"/>
      <c r="P985" s="349"/>
      <c r="Q985" s="416">
        <f>IFERROR(VLOOKUP(Table15[[#This Row],[ROUTE]],PRICING!A:B,2,FALSE),0)</f>
        <v>0</v>
      </c>
      <c r="R985" s="409">
        <f>IFERROR(Table15[[#This Row],[C_DEMAND]]-Table15[[#This Row],[R-DEMAND]],0)</f>
        <v>0</v>
      </c>
      <c r="S985" s="410">
        <f t="shared" si="15"/>
        <v>0</v>
      </c>
      <c r="T985" s="420">
        <f>Table15[[#This Row],[R-DEMAND]]-(Table15[[#This Row],[ADD ACC]]*1706)</f>
        <v>0</v>
      </c>
      <c r="U985" s="420">
        <f>ROUNDDOWN(Table15[[#This Row],[Column1]]/1360,0)</f>
        <v>0</v>
      </c>
      <c r="V985" s="420"/>
      <c r="W985" s="349"/>
      <c r="X985" s="349"/>
      <c r="Y985" s="349"/>
      <c r="Z985" s="349"/>
    </row>
    <row r="986" spans="1:26" ht="15.75" customHeight="1" x14ac:dyDescent="0.25">
      <c r="A986" s="341" t="s">
        <v>18292</v>
      </c>
      <c r="B986" s="212" t="s">
        <v>2637</v>
      </c>
      <c r="C986" s="212"/>
      <c r="D986" s="226">
        <v>0</v>
      </c>
      <c r="E986" s="226" t="s">
        <v>14</v>
      </c>
      <c r="F986" s="212" t="s">
        <v>12670</v>
      </c>
      <c r="G986" s="226" t="s">
        <v>16837</v>
      </c>
      <c r="H986" s="343">
        <v>5403</v>
      </c>
      <c r="I986" s="342"/>
      <c r="J986" s="346"/>
      <c r="K986" s="345">
        <f>IFERROR(Table15[[#This Row],[ROUTE $]]/Table15[[#This Row],[E - DEMAND]],0)</f>
        <v>0</v>
      </c>
      <c r="L986" s="212"/>
      <c r="M986" s="413">
        <f>IFERROR(VLOOKUP(Table15[[#This Row],[ROUTE]],DEMAND!A:F,5,FALSE),0)</f>
        <v>0</v>
      </c>
      <c r="N986" s="251">
        <f>IFERROR(VLOOKUP(Table15[[#This Row],[ROUTE]],DEMAND!A:F,6,FALSE),0)</f>
        <v>0</v>
      </c>
      <c r="O986" s="349"/>
      <c r="P986" s="349"/>
      <c r="Q986" s="416">
        <f>IFERROR(VLOOKUP(Table15[[#This Row],[ROUTE]],PRICING!A:B,2,FALSE),0)</f>
        <v>0</v>
      </c>
      <c r="R986" s="409">
        <f>IFERROR(Table15[[#This Row],[C_DEMAND]]-Table15[[#This Row],[R-DEMAND]],0)</f>
        <v>0</v>
      </c>
      <c r="S986" s="410">
        <f t="shared" si="15"/>
        <v>0</v>
      </c>
      <c r="T986" s="420">
        <f>Table15[[#This Row],[R-DEMAND]]-(Table15[[#This Row],[ADD ACC]]*1706)</f>
        <v>0</v>
      </c>
      <c r="U986" s="420">
        <f>ROUNDDOWN(Table15[[#This Row],[Column1]]/1360,0)</f>
        <v>0</v>
      </c>
      <c r="V986" s="420"/>
      <c r="W986" s="349"/>
      <c r="X986" s="349"/>
      <c r="Y986" s="349"/>
      <c r="Z986" s="349"/>
    </row>
    <row r="987" spans="1:26" ht="15.75" customHeight="1" x14ac:dyDescent="0.25">
      <c r="A987" s="341" t="s">
        <v>18293</v>
      </c>
      <c r="B987" s="212" t="s">
        <v>4114</v>
      </c>
      <c r="C987" s="212"/>
      <c r="D987" s="226">
        <v>0</v>
      </c>
      <c r="E987" s="226" t="s">
        <v>14</v>
      </c>
      <c r="F987" s="212" t="s">
        <v>12670</v>
      </c>
      <c r="G987" s="226" t="s">
        <v>16848</v>
      </c>
      <c r="H987" s="343">
        <v>5339</v>
      </c>
      <c r="I987" s="342"/>
      <c r="J987" s="346"/>
      <c r="K987" s="345">
        <f>IFERROR(Table15[[#This Row],[ROUTE $]]/Table15[[#This Row],[E - DEMAND]],0)</f>
        <v>0</v>
      </c>
      <c r="L987" s="212"/>
      <c r="M987" s="413">
        <f>IFERROR(VLOOKUP(Table15[[#This Row],[ROUTE]],DEMAND!A:F,5,FALSE),0)</f>
        <v>0</v>
      </c>
      <c r="N987" s="251">
        <f>IFERROR(VLOOKUP(Table15[[#This Row],[ROUTE]],DEMAND!A:F,6,FALSE),0)</f>
        <v>0</v>
      </c>
      <c r="O987" s="349"/>
      <c r="P987" s="349"/>
      <c r="Q987" s="416">
        <f>IFERROR(VLOOKUP(Table15[[#This Row],[ROUTE]],PRICING!A:B,2,FALSE),0)</f>
        <v>0</v>
      </c>
      <c r="R987" s="409">
        <f>IFERROR(Table15[[#This Row],[C_DEMAND]]-Table15[[#This Row],[R-DEMAND]],0)</f>
        <v>0</v>
      </c>
      <c r="S987" s="410">
        <f t="shared" si="15"/>
        <v>0</v>
      </c>
      <c r="T987" s="420">
        <f>Table15[[#This Row],[R-DEMAND]]-(Table15[[#This Row],[ADD ACC]]*1706)</f>
        <v>0</v>
      </c>
      <c r="U987" s="420">
        <f>ROUNDDOWN(Table15[[#This Row],[Column1]]/1360,0)</f>
        <v>0</v>
      </c>
      <c r="V987" s="420"/>
      <c r="W987" s="349"/>
      <c r="X987" s="349"/>
      <c r="Y987" s="349"/>
      <c r="Z987" s="349"/>
    </row>
    <row r="988" spans="1:26" ht="15.75" customHeight="1" x14ac:dyDescent="0.25">
      <c r="A988" s="341" t="s">
        <v>18298</v>
      </c>
      <c r="B988" s="212" t="s">
        <v>4300</v>
      </c>
      <c r="C988" s="212"/>
      <c r="D988" s="226">
        <v>0</v>
      </c>
      <c r="E988" s="226" t="s">
        <v>14</v>
      </c>
      <c r="F988" s="212" t="s">
        <v>12670</v>
      </c>
      <c r="G988" s="226" t="s">
        <v>16831</v>
      </c>
      <c r="H988" s="343">
        <v>5175</v>
      </c>
      <c r="I988" s="342"/>
      <c r="J988" s="346"/>
      <c r="K988" s="345">
        <f>IFERROR(Table15[[#This Row],[ROUTE $]]/Table15[[#This Row],[E - DEMAND]],0)</f>
        <v>0</v>
      </c>
      <c r="L988" s="212"/>
      <c r="M988" s="413">
        <f>IFERROR(VLOOKUP(Table15[[#This Row],[ROUTE]],DEMAND!A:F,5,FALSE),0)</f>
        <v>0</v>
      </c>
      <c r="N988" s="251">
        <f>IFERROR(VLOOKUP(Table15[[#This Row],[ROUTE]],DEMAND!A:F,6,FALSE),0)</f>
        <v>0</v>
      </c>
      <c r="O988" s="349"/>
      <c r="P988" s="349"/>
      <c r="Q988" s="416">
        <f>IFERROR(VLOOKUP(Table15[[#This Row],[ROUTE]],PRICING!A:B,2,FALSE),0)</f>
        <v>0</v>
      </c>
      <c r="R988" s="409">
        <f>IFERROR(Table15[[#This Row],[C_DEMAND]]-Table15[[#This Row],[R-DEMAND]],0)</f>
        <v>0</v>
      </c>
      <c r="S988" s="410">
        <f t="shared" si="15"/>
        <v>0</v>
      </c>
      <c r="T988" s="420">
        <f>Table15[[#This Row],[R-DEMAND]]-(Table15[[#This Row],[ADD ACC]]*1706)</f>
        <v>0</v>
      </c>
      <c r="U988" s="420">
        <f>ROUNDDOWN(Table15[[#This Row],[Column1]]/1360,0)</f>
        <v>0</v>
      </c>
      <c r="V988" s="420"/>
      <c r="W988" s="349"/>
      <c r="X988" s="349"/>
      <c r="Y988" s="349"/>
      <c r="Z988" s="349"/>
    </row>
    <row r="989" spans="1:26" ht="15.75" customHeight="1" x14ac:dyDescent="0.25">
      <c r="A989" s="341" t="s">
        <v>18299</v>
      </c>
      <c r="B989" s="212" t="s">
        <v>2251</v>
      </c>
      <c r="C989" s="212"/>
      <c r="D989" s="226">
        <v>0</v>
      </c>
      <c r="E989" s="226" t="s">
        <v>14</v>
      </c>
      <c r="F989" s="212" t="s">
        <v>12670</v>
      </c>
      <c r="G989" s="226" t="s">
        <v>16838</v>
      </c>
      <c r="H989" s="343">
        <v>5160</v>
      </c>
      <c r="I989" s="342"/>
      <c r="J989" s="346"/>
      <c r="K989" s="345">
        <f>IFERROR(Table15[[#This Row],[ROUTE $]]/Table15[[#This Row],[E - DEMAND]],0)</f>
        <v>0</v>
      </c>
      <c r="L989" s="212"/>
      <c r="M989" s="413">
        <f>IFERROR(VLOOKUP(Table15[[#This Row],[ROUTE]],DEMAND!A:F,5,FALSE),0)</f>
        <v>0</v>
      </c>
      <c r="N989" s="251">
        <f>IFERROR(VLOOKUP(Table15[[#This Row],[ROUTE]],DEMAND!A:F,6,FALSE),0)</f>
        <v>0</v>
      </c>
      <c r="O989" s="349"/>
      <c r="P989" s="349"/>
      <c r="Q989" s="416">
        <f>IFERROR(VLOOKUP(Table15[[#This Row],[ROUTE]],PRICING!A:B,2,FALSE),0)</f>
        <v>0</v>
      </c>
      <c r="R989" s="409">
        <f>IFERROR(Table15[[#This Row],[C_DEMAND]]-Table15[[#This Row],[R-DEMAND]],0)</f>
        <v>0</v>
      </c>
      <c r="S989" s="410">
        <f t="shared" si="15"/>
        <v>0</v>
      </c>
      <c r="T989" s="420">
        <f>Table15[[#This Row],[R-DEMAND]]-(Table15[[#This Row],[ADD ACC]]*1706)</f>
        <v>0</v>
      </c>
      <c r="U989" s="420">
        <f>ROUNDDOWN(Table15[[#This Row],[Column1]]/1360,0)</f>
        <v>0</v>
      </c>
      <c r="V989" s="420"/>
      <c r="W989" s="349"/>
      <c r="X989" s="349"/>
      <c r="Y989" s="349"/>
      <c r="Z989" s="349"/>
    </row>
    <row r="990" spans="1:26" ht="15.75" customHeight="1" x14ac:dyDescent="0.25">
      <c r="A990" s="341" t="s">
        <v>18300</v>
      </c>
      <c r="B990" s="212" t="s">
        <v>5006</v>
      </c>
      <c r="C990" s="212"/>
      <c r="D990" s="226">
        <v>0</v>
      </c>
      <c r="E990" s="226" t="s">
        <v>14</v>
      </c>
      <c r="F990" s="212" t="s">
        <v>12670</v>
      </c>
      <c r="G990" s="226" t="s">
        <v>16832</v>
      </c>
      <c r="H990" s="343">
        <v>5104</v>
      </c>
      <c r="I990" s="342"/>
      <c r="J990" s="346"/>
      <c r="K990" s="345">
        <f>IFERROR(Table15[[#This Row],[ROUTE $]]/Table15[[#This Row],[E - DEMAND]],0)</f>
        <v>0</v>
      </c>
      <c r="L990" s="212"/>
      <c r="M990" s="413">
        <f>IFERROR(VLOOKUP(Table15[[#This Row],[ROUTE]],DEMAND!A:F,5,FALSE),0)</f>
        <v>0</v>
      </c>
      <c r="N990" s="251">
        <f>IFERROR(VLOOKUP(Table15[[#This Row],[ROUTE]],DEMAND!A:F,6,FALSE),0)</f>
        <v>0</v>
      </c>
      <c r="O990" s="349"/>
      <c r="P990" s="349"/>
      <c r="Q990" s="416">
        <f>IFERROR(VLOOKUP(Table15[[#This Row],[ROUTE]],PRICING!A:B,2,FALSE),0)</f>
        <v>0</v>
      </c>
      <c r="R990" s="409">
        <f>IFERROR(Table15[[#This Row],[C_DEMAND]]-Table15[[#This Row],[R-DEMAND]],0)</f>
        <v>0</v>
      </c>
      <c r="S990" s="410">
        <f t="shared" si="15"/>
        <v>0</v>
      </c>
      <c r="T990" s="420">
        <f>Table15[[#This Row],[R-DEMAND]]-(Table15[[#This Row],[ADD ACC]]*1706)</f>
        <v>0</v>
      </c>
      <c r="U990" s="420">
        <f>ROUNDDOWN(Table15[[#This Row],[Column1]]/1360,0)</f>
        <v>0</v>
      </c>
      <c r="V990" s="420"/>
      <c r="W990" s="349"/>
      <c r="X990" s="349"/>
      <c r="Y990" s="349"/>
      <c r="Z990" s="349"/>
    </row>
    <row r="991" spans="1:26" ht="15.75" customHeight="1" x14ac:dyDescent="0.25">
      <c r="A991" s="341" t="s">
        <v>18275</v>
      </c>
      <c r="B991" s="212" t="s">
        <v>2286</v>
      </c>
      <c r="C991" s="212"/>
      <c r="D991" s="226">
        <v>1</v>
      </c>
      <c r="E991" s="226" t="s">
        <v>659</v>
      </c>
      <c r="F991" s="212" t="s">
        <v>12674</v>
      </c>
      <c r="G991" s="404" t="s">
        <v>16890</v>
      </c>
      <c r="H991" s="343">
        <v>5725</v>
      </c>
      <c r="I991" s="342"/>
      <c r="J991" s="346"/>
      <c r="K991" s="345">
        <f>IFERROR(Table15[[#This Row],[ROUTE $]]/Table15[[#This Row],[E - DEMAND]],0)</f>
        <v>0</v>
      </c>
      <c r="L991" s="212"/>
      <c r="M991" s="413">
        <f>IFERROR(VLOOKUP(Table15[[#This Row],[ROUTE]],DEMAND!A:F,5,FALSE),0)</f>
        <v>0</v>
      </c>
      <c r="N991" s="251">
        <f>IFERROR(VLOOKUP(Table15[[#This Row],[ROUTE]],DEMAND!A:F,6,FALSE),0)</f>
        <v>0</v>
      </c>
      <c r="O991" s="349"/>
      <c r="P991" s="349"/>
      <c r="Q991" s="416">
        <f>IFERROR(VLOOKUP(Table15[[#This Row],[ROUTE]],PRICING!A:B,2,FALSE),0)</f>
        <v>0</v>
      </c>
      <c r="R991" s="409">
        <f>IFERROR(Table15[[#This Row],[C_DEMAND]]-Table15[[#This Row],[R-DEMAND]],0)</f>
        <v>0</v>
      </c>
      <c r="S991" s="410">
        <f t="shared" si="15"/>
        <v>0</v>
      </c>
      <c r="T991" s="420">
        <f>Table15[[#This Row],[R-DEMAND]]-(Table15[[#This Row],[ADD ACC]]*1706)</f>
        <v>0</v>
      </c>
      <c r="U991" s="420">
        <f>ROUNDDOWN(Table15[[#This Row],[Column1]]/1360,0)</f>
        <v>0</v>
      </c>
      <c r="V991" s="420"/>
      <c r="W991" s="349"/>
      <c r="X991" s="349"/>
      <c r="Y991" s="349"/>
      <c r="Z991" s="349"/>
    </row>
    <row r="992" spans="1:26" ht="15.75" customHeight="1" x14ac:dyDescent="0.25">
      <c r="A992" s="341" t="s">
        <v>18311</v>
      </c>
      <c r="B992" s="212" t="s">
        <v>2780</v>
      </c>
      <c r="C992" s="212"/>
      <c r="D992" s="226">
        <v>0</v>
      </c>
      <c r="E992" s="226" t="s">
        <v>14</v>
      </c>
      <c r="F992" s="212" t="s">
        <v>12670</v>
      </c>
      <c r="G992" s="226" t="s">
        <v>16828</v>
      </c>
      <c r="H992" s="343">
        <v>4892</v>
      </c>
      <c r="I992" s="342"/>
      <c r="J992" s="346"/>
      <c r="K992" s="345">
        <f>IFERROR(Table15[[#This Row],[ROUTE $]]/Table15[[#This Row],[E - DEMAND]],0)</f>
        <v>0</v>
      </c>
      <c r="L992" s="212"/>
      <c r="M992" s="413">
        <f>IFERROR(VLOOKUP(Table15[[#This Row],[ROUTE]],DEMAND!A:F,5,FALSE),0)</f>
        <v>0</v>
      </c>
      <c r="N992" s="251">
        <f>IFERROR(VLOOKUP(Table15[[#This Row],[ROUTE]],DEMAND!A:F,6,FALSE),0)</f>
        <v>0</v>
      </c>
      <c r="O992" s="349"/>
      <c r="P992" s="349"/>
      <c r="Q992" s="416">
        <f>IFERROR(VLOOKUP(Table15[[#This Row],[ROUTE]],PRICING!A:B,2,FALSE),0)</f>
        <v>0</v>
      </c>
      <c r="R992" s="409">
        <f>IFERROR(Table15[[#This Row],[C_DEMAND]]-Table15[[#This Row],[R-DEMAND]],0)</f>
        <v>0</v>
      </c>
      <c r="S992" s="410">
        <f t="shared" si="15"/>
        <v>0</v>
      </c>
      <c r="T992" s="420">
        <f>Table15[[#This Row],[R-DEMAND]]-(Table15[[#This Row],[ADD ACC]]*1706)</f>
        <v>0</v>
      </c>
      <c r="U992" s="420">
        <f>ROUNDDOWN(Table15[[#This Row],[Column1]]/1360,0)</f>
        <v>0</v>
      </c>
      <c r="V992" s="420"/>
      <c r="W992" s="349"/>
      <c r="X992" s="349"/>
      <c r="Y992" s="349"/>
      <c r="Z992" s="349"/>
    </row>
    <row r="993" spans="1:26" ht="15.75" customHeight="1" x14ac:dyDescent="0.25">
      <c r="A993" s="341" t="s">
        <v>18230</v>
      </c>
      <c r="B993" s="212" t="s">
        <v>1307</v>
      </c>
      <c r="C993" s="212"/>
      <c r="D993" s="226">
        <v>1</v>
      </c>
      <c r="E993" s="226" t="s">
        <v>119</v>
      </c>
      <c r="F993" s="212" t="s">
        <v>12674</v>
      </c>
      <c r="G993" s="404" t="s">
        <v>16921</v>
      </c>
      <c r="H993" s="343">
        <v>7393</v>
      </c>
      <c r="I993" s="342"/>
      <c r="J993" s="346"/>
      <c r="K993" s="345">
        <f>IFERROR(Table15[[#This Row],[ROUTE $]]/Table15[[#This Row],[E - DEMAND]],0)</f>
        <v>0</v>
      </c>
      <c r="L993" s="212"/>
      <c r="M993" s="413">
        <f>IFERROR(VLOOKUP(Table15[[#This Row],[ROUTE]],DEMAND!A:F,5,FALSE),0)</f>
        <v>0</v>
      </c>
      <c r="N993" s="251">
        <f>IFERROR(VLOOKUP(Table15[[#This Row],[ROUTE]],DEMAND!A:F,6,FALSE),0)</f>
        <v>0</v>
      </c>
      <c r="O993" s="349"/>
      <c r="P993" s="349"/>
      <c r="Q993" s="416">
        <f>IFERROR(VLOOKUP(Table15[[#This Row],[ROUTE]],PRICING!A:B,2,FALSE),0)</f>
        <v>0</v>
      </c>
      <c r="R993" s="409">
        <f>IFERROR(Table15[[#This Row],[C_DEMAND]]-Table15[[#This Row],[R-DEMAND]],0)</f>
        <v>0</v>
      </c>
      <c r="S993" s="410">
        <f t="shared" si="15"/>
        <v>0</v>
      </c>
      <c r="T993" s="420">
        <f>Table15[[#This Row],[R-DEMAND]]-(Table15[[#This Row],[ADD ACC]]*1706)</f>
        <v>0</v>
      </c>
      <c r="U993" s="420">
        <f>ROUNDDOWN(Table15[[#This Row],[Column1]]/1360,0)</f>
        <v>0</v>
      </c>
      <c r="V993" s="420"/>
      <c r="W993" s="349"/>
      <c r="X993" s="349"/>
      <c r="Y993" s="349"/>
      <c r="Z993" s="349"/>
    </row>
    <row r="994" spans="1:26" ht="15.75" customHeight="1" x14ac:dyDescent="0.25">
      <c r="A994" s="341" t="s">
        <v>18252</v>
      </c>
      <c r="B994" s="212" t="s">
        <v>2415</v>
      </c>
      <c r="C994" s="212"/>
      <c r="D994" s="226">
        <v>1</v>
      </c>
      <c r="E994" s="226" t="s">
        <v>585</v>
      </c>
      <c r="F994" s="212" t="s">
        <v>12674</v>
      </c>
      <c r="G994" s="404" t="s">
        <v>16903</v>
      </c>
      <c r="H994" s="343">
        <v>6386</v>
      </c>
      <c r="I994" s="342"/>
      <c r="J994" s="346"/>
      <c r="K994" s="345">
        <f>IFERROR(Table15[[#This Row],[ROUTE $]]/Table15[[#This Row],[E - DEMAND]],0)</f>
        <v>0</v>
      </c>
      <c r="L994" s="212"/>
      <c r="M994" s="413">
        <f>IFERROR(VLOOKUP(Table15[[#This Row],[ROUTE]],DEMAND!A:F,5,FALSE),0)</f>
        <v>0</v>
      </c>
      <c r="N994" s="251">
        <f>IFERROR(VLOOKUP(Table15[[#This Row],[ROUTE]],DEMAND!A:F,6,FALSE),0)</f>
        <v>0</v>
      </c>
      <c r="O994" s="349"/>
      <c r="P994" s="349"/>
      <c r="Q994" s="416">
        <f>IFERROR(VLOOKUP(Table15[[#This Row],[ROUTE]],PRICING!A:B,2,FALSE),0)</f>
        <v>0</v>
      </c>
      <c r="R994" s="409">
        <f>IFERROR(Table15[[#This Row],[C_DEMAND]]-Table15[[#This Row],[R-DEMAND]],0)</f>
        <v>0</v>
      </c>
      <c r="S994" s="410">
        <f t="shared" si="15"/>
        <v>0</v>
      </c>
      <c r="T994" s="420">
        <f>Table15[[#This Row],[R-DEMAND]]-(Table15[[#This Row],[ADD ACC]]*1706)</f>
        <v>0</v>
      </c>
      <c r="U994" s="420">
        <f>ROUNDDOWN(Table15[[#This Row],[Column1]]/1360,0)</f>
        <v>0</v>
      </c>
      <c r="V994" s="420"/>
      <c r="W994" s="349"/>
      <c r="X994" s="349"/>
      <c r="Y994" s="349"/>
      <c r="Z994" s="349"/>
    </row>
    <row r="995" spans="1:26" ht="15.75" customHeight="1" x14ac:dyDescent="0.25">
      <c r="A995" s="341" t="s">
        <v>18319</v>
      </c>
      <c r="B995" s="212" t="s">
        <v>1775</v>
      </c>
      <c r="C995" s="212"/>
      <c r="D995" s="226">
        <v>1</v>
      </c>
      <c r="E995" s="226" t="s">
        <v>722</v>
      </c>
      <c r="F995" s="212" t="s">
        <v>12674</v>
      </c>
      <c r="G995" s="404" t="s">
        <v>16877</v>
      </c>
      <c r="H995" s="343">
        <v>4652</v>
      </c>
      <c r="I995" s="342"/>
      <c r="J995" s="346"/>
      <c r="K995" s="345">
        <f>IFERROR(Table15[[#This Row],[ROUTE $]]/Table15[[#This Row],[E - DEMAND]],0)</f>
        <v>0</v>
      </c>
      <c r="L995" s="212"/>
      <c r="M995" s="413">
        <f>IFERROR(VLOOKUP(Table15[[#This Row],[ROUTE]],DEMAND!A:F,5,FALSE),0)</f>
        <v>0</v>
      </c>
      <c r="N995" s="251">
        <f>IFERROR(VLOOKUP(Table15[[#This Row],[ROUTE]],DEMAND!A:F,6,FALSE),0)</f>
        <v>0</v>
      </c>
      <c r="O995" s="349"/>
      <c r="P995" s="349"/>
      <c r="Q995" s="416">
        <f>IFERROR(VLOOKUP(Table15[[#This Row],[ROUTE]],PRICING!A:B,2,FALSE),0)</f>
        <v>0</v>
      </c>
      <c r="R995" s="409">
        <f>IFERROR(Table15[[#This Row],[C_DEMAND]]-Table15[[#This Row],[R-DEMAND]],0)</f>
        <v>0</v>
      </c>
      <c r="S995" s="410">
        <f t="shared" si="15"/>
        <v>0</v>
      </c>
      <c r="T995" s="420">
        <f>Table15[[#This Row],[R-DEMAND]]-(Table15[[#This Row],[ADD ACC]]*1706)</f>
        <v>0</v>
      </c>
      <c r="U995" s="420">
        <f>ROUNDDOWN(Table15[[#This Row],[Column1]]/1360,0)</f>
        <v>0</v>
      </c>
      <c r="V995" s="420"/>
      <c r="W995" s="349"/>
      <c r="X995" s="349"/>
      <c r="Y995" s="349"/>
      <c r="Z995" s="349"/>
    </row>
    <row r="996" spans="1:26" ht="15.75" customHeight="1" x14ac:dyDescent="0.25">
      <c r="A996" s="341" t="s">
        <v>18321</v>
      </c>
      <c r="B996" s="212" t="s">
        <v>1329</v>
      </c>
      <c r="C996" s="212"/>
      <c r="D996" s="226">
        <v>1</v>
      </c>
      <c r="E996" s="226" t="s">
        <v>722</v>
      </c>
      <c r="F996" s="212" t="s">
        <v>12674</v>
      </c>
      <c r="G996" s="404" t="s">
        <v>16875</v>
      </c>
      <c r="H996" s="343">
        <v>4469</v>
      </c>
      <c r="I996" s="342"/>
      <c r="J996" s="346"/>
      <c r="K996" s="345">
        <f>IFERROR(Table15[[#This Row],[ROUTE $]]/Table15[[#This Row],[E - DEMAND]],0)</f>
        <v>0</v>
      </c>
      <c r="L996" s="212"/>
      <c r="M996" s="413">
        <f>IFERROR(VLOOKUP(Table15[[#This Row],[ROUTE]],DEMAND!A:F,5,FALSE),0)</f>
        <v>0</v>
      </c>
      <c r="N996" s="251">
        <f>IFERROR(VLOOKUP(Table15[[#This Row],[ROUTE]],DEMAND!A:F,6,FALSE),0)</f>
        <v>0</v>
      </c>
      <c r="O996" s="349"/>
      <c r="P996" s="349"/>
      <c r="Q996" s="416">
        <f>IFERROR(VLOOKUP(Table15[[#This Row],[ROUTE]],PRICING!A:B,2,FALSE),0)</f>
        <v>0</v>
      </c>
      <c r="R996" s="409">
        <f>IFERROR(Table15[[#This Row],[C_DEMAND]]-Table15[[#This Row],[R-DEMAND]],0)</f>
        <v>0</v>
      </c>
      <c r="S996" s="410">
        <f t="shared" si="15"/>
        <v>0</v>
      </c>
      <c r="T996" s="420">
        <f>Table15[[#This Row],[R-DEMAND]]-(Table15[[#This Row],[ADD ACC]]*1706)</f>
        <v>0</v>
      </c>
      <c r="U996" s="420">
        <f>ROUNDDOWN(Table15[[#This Row],[Column1]]/1360,0)</f>
        <v>0</v>
      </c>
      <c r="V996" s="420"/>
      <c r="W996" s="349"/>
      <c r="X996" s="349"/>
      <c r="Y996" s="349"/>
      <c r="Z996" s="349"/>
    </row>
    <row r="997" spans="1:26" ht="15.75" customHeight="1" x14ac:dyDescent="0.25">
      <c r="A997" s="210" t="s">
        <v>15179</v>
      </c>
      <c r="B997" s="204" t="s">
        <v>2132</v>
      </c>
      <c r="C997" s="204"/>
      <c r="D997" s="205">
        <v>1</v>
      </c>
      <c r="E997" s="16" t="s">
        <v>11732</v>
      </c>
      <c r="F997" s="204" t="str">
        <f>VLOOKUP(E997,Table10[[COUNTRY NAME]:[CONTINENT CODE]],3,FALSE)</f>
        <v>NA - US</v>
      </c>
      <c r="G997" s="206" t="s">
        <v>13327</v>
      </c>
      <c r="H997" s="207">
        <v>14144</v>
      </c>
      <c r="I997" s="208">
        <v>33.5</v>
      </c>
      <c r="J997" s="345"/>
      <c r="K997" s="345">
        <f>IFERROR(Table15[[#This Row],[ROUTE $]]/Table15[[#This Row],[E - DEMAND]],0)</f>
        <v>0</v>
      </c>
      <c r="L997" s="204"/>
      <c r="M997" s="412">
        <f>IFERROR(VLOOKUP(Table15[[#This Row],[ROUTE]],DEMAND!A:F,5,FALSE),0)</f>
        <v>0</v>
      </c>
      <c r="N997" s="16">
        <f>IFERROR(VLOOKUP(Table15[[#This Row],[ROUTE]],DEMAND!A:F,6,FALSE),0)</f>
        <v>0</v>
      </c>
      <c r="O997" s="16">
        <f>IFERROR(ROUNDDOWN(Table15[[#This Row],[R-DEMAND]]/1706,0),0)</f>
        <v>0</v>
      </c>
      <c r="P997" s="16">
        <f>IFERROR(Table15[[#This Row],[ADD ACC]]*Table15[[#This Row],[RT TIME 
(380-800)]],0)</f>
        <v>0</v>
      </c>
      <c r="Q997" s="415">
        <f>IFERROR(VLOOKUP(Table15[[#This Row],[ROUTE]],PRICING!A:B,2,FALSE),0)</f>
        <v>0</v>
      </c>
      <c r="R997" s="235">
        <f>IFERROR(Table15[[#This Row],[C_DEMAND]]-Table15[[#This Row],[R-DEMAND]],0)</f>
        <v>0</v>
      </c>
      <c r="S997" s="408">
        <f t="shared" si="15"/>
        <v>0</v>
      </c>
      <c r="T997" s="419">
        <f>Table15[[#This Row],[R-DEMAND]]-(Table15[[#This Row],[ADD ACC]]*1706)</f>
        <v>0</v>
      </c>
      <c r="U997" s="419">
        <f>ROUNDDOWN(Table15[[#This Row],[Column1]]/1360,0)</f>
        <v>0</v>
      </c>
      <c r="V997" s="419"/>
      <c r="W997" s="349"/>
      <c r="X997" s="349"/>
      <c r="Y997" s="349"/>
      <c r="Z997" s="349"/>
    </row>
    <row r="998" spans="1:26" ht="15.75" customHeight="1" x14ac:dyDescent="0.25">
      <c r="A998" s="210" t="s">
        <v>15201</v>
      </c>
      <c r="B998" s="204" t="s">
        <v>1846</v>
      </c>
      <c r="C998" s="204"/>
      <c r="D998" s="205">
        <v>1</v>
      </c>
      <c r="E998" s="16" t="s">
        <v>11732</v>
      </c>
      <c r="F998" s="204" t="str">
        <f>VLOOKUP(E998,Table10[[COUNTRY NAME]:[CONTINENT CODE]],3,FALSE)</f>
        <v>NA - US</v>
      </c>
      <c r="G998" s="206" t="s">
        <v>13347</v>
      </c>
      <c r="H998" s="207">
        <v>13975</v>
      </c>
      <c r="I998" s="208">
        <v>33</v>
      </c>
      <c r="J998" s="345"/>
      <c r="K998" s="345">
        <f>IFERROR(Table15[[#This Row],[ROUTE $]]/Table15[[#This Row],[E - DEMAND]],0)</f>
        <v>0</v>
      </c>
      <c r="L998" s="204"/>
      <c r="M998" s="412">
        <f>IFERROR(VLOOKUP(Table15[[#This Row],[ROUTE]],DEMAND!A:F,5,FALSE),0)</f>
        <v>0</v>
      </c>
      <c r="N998" s="16">
        <f>IFERROR(VLOOKUP(Table15[[#This Row],[ROUTE]],DEMAND!A:F,6,FALSE),0)</f>
        <v>0</v>
      </c>
      <c r="O998" s="16">
        <f>IFERROR(ROUNDDOWN(Table15[[#This Row],[R-DEMAND]]/1706,0),0)</f>
        <v>0</v>
      </c>
      <c r="P998" s="16">
        <f>IFERROR(Table15[[#This Row],[ADD ACC]]*Table15[[#This Row],[RT TIME 
(380-800)]],0)</f>
        <v>0</v>
      </c>
      <c r="Q998" s="415">
        <f>IFERROR(VLOOKUP(Table15[[#This Row],[ROUTE]],PRICING!A:B,2,FALSE),0)</f>
        <v>0</v>
      </c>
      <c r="R998" s="235">
        <f>IFERROR(Table15[[#This Row],[C_DEMAND]]-Table15[[#This Row],[R-DEMAND]],0)</f>
        <v>0</v>
      </c>
      <c r="S998" s="408">
        <f t="shared" si="15"/>
        <v>0</v>
      </c>
      <c r="T998" s="419">
        <f>Table15[[#This Row],[R-DEMAND]]-(Table15[[#This Row],[ADD ACC]]*1706)</f>
        <v>0</v>
      </c>
      <c r="U998" s="419">
        <f>ROUNDDOWN(Table15[[#This Row],[Column1]]/1360,0)</f>
        <v>0</v>
      </c>
      <c r="V998" s="419"/>
      <c r="W998" s="349"/>
      <c r="X998" s="349"/>
      <c r="Y998" s="349"/>
      <c r="Z998" s="349"/>
    </row>
    <row r="999" spans="1:26" ht="15.75" customHeight="1" x14ac:dyDescent="0.25">
      <c r="A999" s="210" t="s">
        <v>15226</v>
      </c>
      <c r="B999" s="204" t="s">
        <v>900</v>
      </c>
      <c r="C999" s="204"/>
      <c r="D999" s="205">
        <v>1</v>
      </c>
      <c r="E999" s="16" t="s">
        <v>11732</v>
      </c>
      <c r="F999" s="204" t="str">
        <f>VLOOKUP(E999,Table10[[COUNTRY NAME]:[CONTINENT CODE]],3,FALSE)</f>
        <v>NA - US</v>
      </c>
      <c r="G999" s="206" t="s">
        <v>13291</v>
      </c>
      <c r="H999" s="207">
        <v>13632</v>
      </c>
      <c r="I999" s="208">
        <v>32.25</v>
      </c>
      <c r="J999" s="345"/>
      <c r="K999" s="345">
        <f>IFERROR(Table15[[#This Row],[ROUTE $]]/Table15[[#This Row],[E - DEMAND]],0)</f>
        <v>0</v>
      </c>
      <c r="L999" s="204"/>
      <c r="M999" s="412">
        <f>IFERROR(VLOOKUP(Table15[[#This Row],[ROUTE]],DEMAND!A:F,5,FALSE),0)</f>
        <v>0</v>
      </c>
      <c r="N999" s="16">
        <f>IFERROR(VLOOKUP(Table15[[#This Row],[ROUTE]],DEMAND!A:F,6,FALSE),0)</f>
        <v>0</v>
      </c>
      <c r="O999" s="16">
        <f>IFERROR(ROUNDDOWN(Table15[[#This Row],[R-DEMAND]]/1706,0),0)</f>
        <v>0</v>
      </c>
      <c r="P999" s="16">
        <f>IFERROR(Table15[[#This Row],[ADD ACC]]*Table15[[#This Row],[RT TIME 
(380-800)]],0)</f>
        <v>0</v>
      </c>
      <c r="Q999" s="415">
        <f>IFERROR(VLOOKUP(Table15[[#This Row],[ROUTE]],PRICING!A:B,2,FALSE),0)</f>
        <v>0</v>
      </c>
      <c r="R999" s="235">
        <f>IFERROR(Table15[[#This Row],[C_DEMAND]]-Table15[[#This Row],[R-DEMAND]],0)</f>
        <v>0</v>
      </c>
      <c r="S999" s="408">
        <f t="shared" si="15"/>
        <v>0</v>
      </c>
      <c r="T999" s="419">
        <f>Table15[[#This Row],[R-DEMAND]]-(Table15[[#This Row],[ADD ACC]]*1706)</f>
        <v>0</v>
      </c>
      <c r="U999" s="419">
        <f>ROUNDDOWN(Table15[[#This Row],[Column1]]/1360,0)</f>
        <v>0</v>
      </c>
      <c r="V999" s="419"/>
      <c r="W999" s="349"/>
      <c r="X999" s="349"/>
      <c r="Y999" s="349"/>
      <c r="Z999" s="349"/>
    </row>
    <row r="1000" spans="1:26" ht="15.75" customHeight="1" x14ac:dyDescent="0.25">
      <c r="A1000" s="210" t="s">
        <v>15234</v>
      </c>
      <c r="B1000" s="204" t="s">
        <v>2247</v>
      </c>
      <c r="C1000" s="204"/>
      <c r="D1000" s="205">
        <v>1</v>
      </c>
      <c r="E1000" s="16" t="s">
        <v>11732</v>
      </c>
      <c r="F1000" s="204" t="str">
        <f>VLOOKUP(E1000,Table10[[COUNTRY NAME]:[CONTINENT CODE]],3,FALSE)</f>
        <v>NA - US</v>
      </c>
      <c r="G1000" s="206" t="s">
        <v>13261</v>
      </c>
      <c r="H1000" s="207">
        <v>13513</v>
      </c>
      <c r="I1000" s="208">
        <v>32</v>
      </c>
      <c r="J1000" s="345"/>
      <c r="K1000" s="345">
        <f>IFERROR(Table15[[#This Row],[ROUTE $]]/Table15[[#This Row],[E - DEMAND]],0)</f>
        <v>0</v>
      </c>
      <c r="L1000" s="204"/>
      <c r="M1000" s="412">
        <f>IFERROR(VLOOKUP(Table15[[#This Row],[ROUTE]],DEMAND!A:F,5,FALSE),0)</f>
        <v>0</v>
      </c>
      <c r="N1000" s="16">
        <f>IFERROR(VLOOKUP(Table15[[#This Row],[ROUTE]],DEMAND!A:F,6,FALSE),0)</f>
        <v>0</v>
      </c>
      <c r="O1000" s="16">
        <f>IFERROR(ROUNDDOWN(Table15[[#This Row],[R-DEMAND]]/1706,0),0)</f>
        <v>0</v>
      </c>
      <c r="P1000" s="16">
        <f>IFERROR(Table15[[#This Row],[ADD ACC]]*Table15[[#This Row],[RT TIME 
(380-800)]],0)</f>
        <v>0</v>
      </c>
      <c r="Q1000" s="415">
        <f>IFERROR(VLOOKUP(Table15[[#This Row],[ROUTE]],PRICING!A:B,2,FALSE),0)</f>
        <v>0</v>
      </c>
      <c r="R1000" s="235">
        <f>IFERROR(Table15[[#This Row],[C_DEMAND]]-Table15[[#This Row],[R-DEMAND]],0)</f>
        <v>0</v>
      </c>
      <c r="S1000" s="408">
        <f t="shared" si="15"/>
        <v>0</v>
      </c>
      <c r="T1000" s="419">
        <f>Table15[[#This Row],[R-DEMAND]]-(Table15[[#This Row],[ADD ACC]]*1706)</f>
        <v>0</v>
      </c>
      <c r="U1000" s="419">
        <f>ROUNDDOWN(Table15[[#This Row],[Column1]]/1360,0)</f>
        <v>0</v>
      </c>
      <c r="V1000" s="419"/>
      <c r="W1000" s="349"/>
      <c r="X1000" s="349"/>
      <c r="Y1000" s="349"/>
      <c r="Z1000" s="349"/>
    </row>
    <row r="1001" spans="1:26" ht="15.75" customHeight="1" x14ac:dyDescent="0.25">
      <c r="A1001" s="210" t="s">
        <v>15146</v>
      </c>
      <c r="B1001" s="204" t="s">
        <v>937</v>
      </c>
      <c r="C1001" s="204"/>
      <c r="D1001" s="205">
        <v>1</v>
      </c>
      <c r="E1001" s="16" t="s">
        <v>11732</v>
      </c>
      <c r="F1001" s="204" t="str">
        <f>VLOOKUP(E1001,Table10[[COUNTRY NAME]:[CONTINENT CODE]],3,FALSE)</f>
        <v>NA - US</v>
      </c>
      <c r="G1001" s="206" t="s">
        <v>13332</v>
      </c>
      <c r="H1001" s="207">
        <v>14576</v>
      </c>
      <c r="I1001" s="208">
        <v>34.5</v>
      </c>
      <c r="J1001" s="345"/>
      <c r="K1001" s="345">
        <f>IFERROR(Table15[[#This Row],[ROUTE $]]/Table15[[#This Row],[E - DEMAND]],0)</f>
        <v>0</v>
      </c>
      <c r="L1001" s="204"/>
      <c r="M1001" s="412">
        <f>IFERROR(VLOOKUP(Table15[[#This Row],[ROUTE]],DEMAND!A:F,5,FALSE),0)</f>
        <v>0</v>
      </c>
      <c r="N1001" s="16">
        <f>IFERROR(VLOOKUP(Table15[[#This Row],[ROUTE]],DEMAND!A:F,6,FALSE),0)</f>
        <v>0</v>
      </c>
      <c r="O1001" s="16">
        <f>IFERROR(ROUNDDOWN(Table15[[#This Row],[R-DEMAND]]/1706,0),0)</f>
        <v>0</v>
      </c>
      <c r="P1001" s="16">
        <f>IFERROR(Table15[[#This Row],[ADD ACC]]*Table15[[#This Row],[RT TIME 
(380-800)]],0)</f>
        <v>0</v>
      </c>
      <c r="Q1001" s="415">
        <f>IFERROR(VLOOKUP(Table15[[#This Row],[ROUTE]],PRICING!A:B,2,FALSE),0)</f>
        <v>0</v>
      </c>
      <c r="R1001" s="235">
        <f>IFERROR(Table15[[#This Row],[C_DEMAND]]-Table15[[#This Row],[R-DEMAND]],0)</f>
        <v>0</v>
      </c>
      <c r="S1001" s="408">
        <f t="shared" si="15"/>
        <v>0</v>
      </c>
      <c r="T1001" s="419">
        <f>Table15[[#This Row],[R-DEMAND]]-(Table15[[#This Row],[ADD ACC]]*1706)</f>
        <v>0</v>
      </c>
      <c r="U1001" s="419">
        <f>ROUNDDOWN(Table15[[#This Row],[Column1]]/1360,0)</f>
        <v>0</v>
      </c>
      <c r="V1001" s="419"/>
      <c r="W1001" s="349"/>
      <c r="X1001" s="349"/>
      <c r="Y1001" s="349"/>
      <c r="Z1001" s="349"/>
    </row>
    <row r="1002" spans="1:26" ht="15.75" customHeight="1" x14ac:dyDescent="0.25">
      <c r="A1002" s="341" t="s">
        <v>18132</v>
      </c>
      <c r="B1002" s="212" t="s">
        <v>5680</v>
      </c>
      <c r="C1002" s="212"/>
      <c r="D1002" s="226">
        <v>5</v>
      </c>
      <c r="E1002" s="226" t="s">
        <v>11732</v>
      </c>
      <c r="F1002" s="212" t="s">
        <v>15969</v>
      </c>
      <c r="G1002" s="226" t="s">
        <v>17028</v>
      </c>
      <c r="H1002" s="343">
        <v>14213</v>
      </c>
      <c r="I1002" s="342"/>
      <c r="J1002" s="346"/>
      <c r="K1002" s="345">
        <f>IFERROR(Table15[[#This Row],[ROUTE $]]/Table15[[#This Row],[E - DEMAND]],0)</f>
        <v>0</v>
      </c>
      <c r="L1002" s="212"/>
      <c r="M1002" s="413">
        <f>IFERROR(VLOOKUP(Table15[[#This Row],[ROUTE]],DEMAND!A:F,5,FALSE),0)</f>
        <v>0</v>
      </c>
      <c r="N1002" s="251">
        <f>IFERROR(VLOOKUP(Table15[[#This Row],[ROUTE]],DEMAND!A:F,6,FALSE),0)</f>
        <v>0</v>
      </c>
      <c r="O1002" s="349"/>
      <c r="P1002" s="349"/>
      <c r="Q1002" s="416">
        <f>IFERROR(VLOOKUP(Table15[[#This Row],[ROUTE]],PRICING!A:B,2,FALSE),0)</f>
        <v>0</v>
      </c>
      <c r="R1002" s="409">
        <f>IFERROR(Table15[[#This Row],[C_DEMAND]]-Table15[[#This Row],[R-DEMAND]],0)</f>
        <v>0</v>
      </c>
      <c r="S1002" s="410">
        <f t="shared" si="15"/>
        <v>0</v>
      </c>
      <c r="T1002" s="420">
        <f>Table15[[#This Row],[R-DEMAND]]-(Table15[[#This Row],[ADD ACC]]*1706)</f>
        <v>0</v>
      </c>
      <c r="U1002" s="420">
        <f>ROUNDDOWN(Table15[[#This Row],[Column1]]/1360,0)</f>
        <v>0</v>
      </c>
      <c r="V1002" s="420"/>
      <c r="W1002" s="349"/>
      <c r="X1002" s="349"/>
      <c r="Y1002" s="349"/>
      <c r="Z1002" s="349"/>
    </row>
    <row r="1003" spans="1:26" ht="15.75" customHeight="1" x14ac:dyDescent="0.25">
      <c r="A1003" s="341" t="s">
        <v>18129</v>
      </c>
      <c r="B1003" s="212" t="s">
        <v>5502</v>
      </c>
      <c r="C1003" s="212"/>
      <c r="D1003" s="226">
        <v>4</v>
      </c>
      <c r="E1003" s="226" t="s">
        <v>11732</v>
      </c>
      <c r="F1003" s="212" t="s">
        <v>15969</v>
      </c>
      <c r="G1003" s="226" t="s">
        <v>16992</v>
      </c>
      <c r="H1003" s="343">
        <v>14533</v>
      </c>
      <c r="I1003" s="342"/>
      <c r="J1003" s="346"/>
      <c r="K1003" s="345">
        <f>IFERROR(Table15[[#This Row],[ROUTE $]]/Table15[[#This Row],[E - DEMAND]],0)</f>
        <v>0</v>
      </c>
      <c r="L1003" s="212"/>
      <c r="M1003" s="413">
        <f>IFERROR(VLOOKUP(Table15[[#This Row],[ROUTE]],DEMAND!A:F,5,FALSE),0)</f>
        <v>0</v>
      </c>
      <c r="N1003" s="251">
        <f>IFERROR(VLOOKUP(Table15[[#This Row],[ROUTE]],DEMAND!A:F,6,FALSE),0)</f>
        <v>0</v>
      </c>
      <c r="O1003" s="349"/>
      <c r="P1003" s="349"/>
      <c r="Q1003" s="416">
        <f>IFERROR(VLOOKUP(Table15[[#This Row],[ROUTE]],PRICING!A:B,2,FALSE),0)</f>
        <v>0</v>
      </c>
      <c r="R1003" s="409">
        <f>IFERROR(Table15[[#This Row],[C_DEMAND]]-Table15[[#This Row],[R-DEMAND]],0)</f>
        <v>0</v>
      </c>
      <c r="S1003" s="410">
        <f t="shared" si="15"/>
        <v>0</v>
      </c>
      <c r="T1003" s="420">
        <f>Table15[[#This Row],[R-DEMAND]]-(Table15[[#This Row],[ADD ACC]]*1706)</f>
        <v>0</v>
      </c>
      <c r="U1003" s="420">
        <f>ROUNDDOWN(Table15[[#This Row],[Column1]]/1360,0)</f>
        <v>0</v>
      </c>
      <c r="V1003" s="420"/>
      <c r="W1003" s="349"/>
      <c r="X1003" s="349"/>
      <c r="Y1003" s="349"/>
      <c r="Z1003" s="349"/>
    </row>
    <row r="1004" spans="1:26" ht="15.75" customHeight="1" x14ac:dyDescent="0.25">
      <c r="A1004" s="341" t="s">
        <v>18136</v>
      </c>
      <c r="B1004" s="212" t="s">
        <v>5493</v>
      </c>
      <c r="C1004" s="212"/>
      <c r="D1004" s="226">
        <v>4</v>
      </c>
      <c r="E1004" s="226" t="s">
        <v>11732</v>
      </c>
      <c r="F1004" s="212" t="s">
        <v>15969</v>
      </c>
      <c r="G1004" s="226" t="s">
        <v>16991</v>
      </c>
      <c r="H1004" s="343">
        <v>14141</v>
      </c>
      <c r="I1004" s="342"/>
      <c r="J1004" s="346"/>
      <c r="K1004" s="345">
        <f>IFERROR(Table15[[#This Row],[ROUTE $]]/Table15[[#This Row],[E - DEMAND]],0)</f>
        <v>0</v>
      </c>
      <c r="L1004" s="212"/>
      <c r="M1004" s="413">
        <f>IFERROR(VLOOKUP(Table15[[#This Row],[ROUTE]],DEMAND!A:F,5,FALSE),0)</f>
        <v>0</v>
      </c>
      <c r="N1004" s="251">
        <f>IFERROR(VLOOKUP(Table15[[#This Row],[ROUTE]],DEMAND!A:F,6,FALSE),0)</f>
        <v>0</v>
      </c>
      <c r="O1004" s="349"/>
      <c r="P1004" s="349"/>
      <c r="Q1004" s="416">
        <f>IFERROR(VLOOKUP(Table15[[#This Row],[ROUTE]],PRICING!A:B,2,FALSE),0)</f>
        <v>0</v>
      </c>
      <c r="R1004" s="409">
        <f>IFERROR(Table15[[#This Row],[C_DEMAND]]-Table15[[#This Row],[R-DEMAND]],0)</f>
        <v>0</v>
      </c>
      <c r="S1004" s="410">
        <f t="shared" si="15"/>
        <v>0</v>
      </c>
      <c r="T1004" s="420">
        <f>Table15[[#This Row],[R-DEMAND]]-(Table15[[#This Row],[ADD ACC]]*1706)</f>
        <v>0</v>
      </c>
      <c r="U1004" s="420">
        <f>ROUNDDOWN(Table15[[#This Row],[Column1]]/1360,0)</f>
        <v>0</v>
      </c>
      <c r="V1004" s="420"/>
      <c r="W1004" s="349"/>
      <c r="X1004" s="349"/>
      <c r="Y1004" s="349"/>
      <c r="Z1004" s="349"/>
    </row>
    <row r="1005" spans="1:26" ht="15.75" customHeight="1" x14ac:dyDescent="0.25">
      <c r="A1005" s="341" t="s">
        <v>18158</v>
      </c>
      <c r="B1005" s="212" t="s">
        <v>5555</v>
      </c>
      <c r="C1005" s="212"/>
      <c r="D1005" s="226">
        <v>4</v>
      </c>
      <c r="E1005" s="226" t="s">
        <v>11732</v>
      </c>
      <c r="F1005" s="212" t="s">
        <v>15969</v>
      </c>
      <c r="G1005" s="226" t="s">
        <v>16941</v>
      </c>
      <c r="H1005" s="343">
        <v>13419</v>
      </c>
      <c r="I1005" s="342"/>
      <c r="J1005" s="346"/>
      <c r="K1005" s="345">
        <f>IFERROR(Table15[[#This Row],[ROUTE $]]/Table15[[#This Row],[E - DEMAND]],0)</f>
        <v>0</v>
      </c>
      <c r="L1005" s="212"/>
      <c r="M1005" s="413">
        <f>IFERROR(VLOOKUP(Table15[[#This Row],[ROUTE]],DEMAND!A:F,5,FALSE),0)</f>
        <v>0</v>
      </c>
      <c r="N1005" s="251">
        <f>IFERROR(VLOOKUP(Table15[[#This Row],[ROUTE]],DEMAND!A:F,6,FALSE),0)</f>
        <v>0</v>
      </c>
      <c r="O1005" s="349"/>
      <c r="P1005" s="349"/>
      <c r="Q1005" s="416">
        <f>IFERROR(VLOOKUP(Table15[[#This Row],[ROUTE]],PRICING!A:B,2,FALSE),0)</f>
        <v>0</v>
      </c>
      <c r="R1005" s="409">
        <f>IFERROR(Table15[[#This Row],[C_DEMAND]]-Table15[[#This Row],[R-DEMAND]],0)</f>
        <v>0</v>
      </c>
      <c r="S1005" s="410">
        <f t="shared" si="15"/>
        <v>0</v>
      </c>
      <c r="T1005" s="420">
        <f>Table15[[#This Row],[R-DEMAND]]-(Table15[[#This Row],[ADD ACC]]*1706)</f>
        <v>0</v>
      </c>
      <c r="U1005" s="420">
        <f>ROUNDDOWN(Table15[[#This Row],[Column1]]/1360,0)</f>
        <v>0</v>
      </c>
      <c r="V1005" s="420"/>
      <c r="W1005" s="349"/>
      <c r="X1005" s="349"/>
      <c r="Y1005" s="349"/>
      <c r="Z1005" s="349"/>
    </row>
    <row r="1006" spans="1:26" ht="15.75" customHeight="1" x14ac:dyDescent="0.25">
      <c r="A1006" s="341" t="s">
        <v>18161</v>
      </c>
      <c r="B1006" s="212" t="s">
        <v>5469</v>
      </c>
      <c r="C1006" s="212"/>
      <c r="D1006" s="226">
        <v>4</v>
      </c>
      <c r="E1006" s="226" t="s">
        <v>11732</v>
      </c>
      <c r="F1006" s="212" t="s">
        <v>15969</v>
      </c>
      <c r="G1006" s="226" t="s">
        <v>16966</v>
      </c>
      <c r="H1006" s="343">
        <v>13230</v>
      </c>
      <c r="I1006" s="342"/>
      <c r="J1006" s="346"/>
      <c r="K1006" s="345">
        <f>IFERROR(Table15[[#This Row],[ROUTE $]]/Table15[[#This Row],[E - DEMAND]],0)</f>
        <v>0</v>
      </c>
      <c r="L1006" s="212"/>
      <c r="M1006" s="413">
        <f>IFERROR(VLOOKUP(Table15[[#This Row],[ROUTE]],DEMAND!A:F,5,FALSE),0)</f>
        <v>0</v>
      </c>
      <c r="N1006" s="251">
        <f>IFERROR(VLOOKUP(Table15[[#This Row],[ROUTE]],DEMAND!A:F,6,FALSE),0)</f>
        <v>0</v>
      </c>
      <c r="O1006" s="349"/>
      <c r="P1006" s="349"/>
      <c r="Q1006" s="416">
        <f>IFERROR(VLOOKUP(Table15[[#This Row],[ROUTE]],PRICING!A:B,2,FALSE),0)</f>
        <v>0</v>
      </c>
      <c r="R1006" s="409">
        <f>IFERROR(Table15[[#This Row],[C_DEMAND]]-Table15[[#This Row],[R-DEMAND]],0)</f>
        <v>0</v>
      </c>
      <c r="S1006" s="410">
        <f t="shared" si="15"/>
        <v>0</v>
      </c>
      <c r="T1006" s="420">
        <f>Table15[[#This Row],[R-DEMAND]]-(Table15[[#This Row],[ADD ACC]]*1706)</f>
        <v>0</v>
      </c>
      <c r="U1006" s="420">
        <f>ROUNDDOWN(Table15[[#This Row],[Column1]]/1360,0)</f>
        <v>0</v>
      </c>
      <c r="V1006" s="420"/>
      <c r="W1006" s="349"/>
      <c r="X1006" s="349"/>
      <c r="Y1006" s="349"/>
      <c r="Z1006" s="349"/>
    </row>
    <row r="1007" spans="1:26" ht="15.75" customHeight="1" x14ac:dyDescent="0.25">
      <c r="A1007" s="341" t="s">
        <v>18181</v>
      </c>
      <c r="B1007" s="212" t="s">
        <v>5565</v>
      </c>
      <c r="C1007" s="212"/>
      <c r="D1007" s="226">
        <v>4</v>
      </c>
      <c r="E1007" s="226" t="s">
        <v>11732</v>
      </c>
      <c r="F1007" s="212" t="s">
        <v>15969</v>
      </c>
      <c r="G1007" s="226" t="s">
        <v>17002</v>
      </c>
      <c r="H1007" s="343">
        <v>12804</v>
      </c>
      <c r="I1007" s="342"/>
      <c r="J1007" s="346"/>
      <c r="K1007" s="345">
        <f>IFERROR(Table15[[#This Row],[ROUTE $]]/Table15[[#This Row],[E - DEMAND]],0)</f>
        <v>0</v>
      </c>
      <c r="L1007" s="212"/>
      <c r="M1007" s="413">
        <f>IFERROR(VLOOKUP(Table15[[#This Row],[ROUTE]],DEMAND!A:F,5,FALSE),0)</f>
        <v>0</v>
      </c>
      <c r="N1007" s="251">
        <f>IFERROR(VLOOKUP(Table15[[#This Row],[ROUTE]],DEMAND!A:F,6,FALSE),0)</f>
        <v>0</v>
      </c>
      <c r="O1007" s="349"/>
      <c r="P1007" s="349"/>
      <c r="Q1007" s="416">
        <f>IFERROR(VLOOKUP(Table15[[#This Row],[ROUTE]],PRICING!A:B,2,FALSE),0)</f>
        <v>0</v>
      </c>
      <c r="R1007" s="409">
        <f>IFERROR(Table15[[#This Row],[C_DEMAND]]-Table15[[#This Row],[R-DEMAND]],0)</f>
        <v>0</v>
      </c>
      <c r="S1007" s="410">
        <f t="shared" si="15"/>
        <v>0</v>
      </c>
      <c r="T1007" s="420">
        <f>Table15[[#This Row],[R-DEMAND]]-(Table15[[#This Row],[ADD ACC]]*1706)</f>
        <v>0</v>
      </c>
      <c r="U1007" s="420">
        <f>ROUNDDOWN(Table15[[#This Row],[Column1]]/1360,0)</f>
        <v>0</v>
      </c>
      <c r="V1007" s="420"/>
      <c r="W1007" s="349"/>
      <c r="X1007" s="349"/>
      <c r="Y1007" s="349"/>
      <c r="Z1007" s="349"/>
    </row>
    <row r="1008" spans="1:26" ht="15.75" customHeight="1" x14ac:dyDescent="0.25">
      <c r="A1008" s="341" t="s">
        <v>18169</v>
      </c>
      <c r="B1008" s="212" t="s">
        <v>5229</v>
      </c>
      <c r="C1008" s="212"/>
      <c r="D1008" s="226">
        <v>3</v>
      </c>
      <c r="E1008" s="226" t="s">
        <v>11732</v>
      </c>
      <c r="F1008" s="212" t="s">
        <v>15969</v>
      </c>
      <c r="G1008" s="226" t="s">
        <v>17018</v>
      </c>
      <c r="H1008" s="343">
        <v>12998</v>
      </c>
      <c r="I1008" s="342"/>
      <c r="J1008" s="346"/>
      <c r="K1008" s="345">
        <f>IFERROR(Table15[[#This Row],[ROUTE $]]/Table15[[#This Row],[E - DEMAND]],0)</f>
        <v>0</v>
      </c>
      <c r="L1008" s="212"/>
      <c r="M1008" s="413">
        <f>IFERROR(VLOOKUP(Table15[[#This Row],[ROUTE]],DEMAND!A:F,5,FALSE),0)</f>
        <v>0</v>
      </c>
      <c r="N1008" s="251">
        <f>IFERROR(VLOOKUP(Table15[[#This Row],[ROUTE]],DEMAND!A:F,6,FALSE),0)</f>
        <v>0</v>
      </c>
      <c r="O1008" s="349"/>
      <c r="P1008" s="349"/>
      <c r="Q1008" s="416">
        <f>IFERROR(VLOOKUP(Table15[[#This Row],[ROUTE]],PRICING!A:B,2,FALSE),0)</f>
        <v>0</v>
      </c>
      <c r="R1008" s="409">
        <f>IFERROR(Table15[[#This Row],[C_DEMAND]]-Table15[[#This Row],[R-DEMAND]],0)</f>
        <v>0</v>
      </c>
      <c r="S1008" s="410">
        <f t="shared" si="15"/>
        <v>0</v>
      </c>
      <c r="T1008" s="420">
        <f>Table15[[#This Row],[R-DEMAND]]-(Table15[[#This Row],[ADD ACC]]*1706)</f>
        <v>0</v>
      </c>
      <c r="U1008" s="420">
        <f>ROUNDDOWN(Table15[[#This Row],[Column1]]/1360,0)</f>
        <v>0</v>
      </c>
      <c r="V1008" s="420"/>
      <c r="W1008" s="349"/>
      <c r="X1008" s="349"/>
      <c r="Y1008" s="349"/>
      <c r="Z1008" s="349"/>
    </row>
    <row r="1009" spans="1:26" ht="15.75" customHeight="1" x14ac:dyDescent="0.25">
      <c r="A1009" s="341" t="s">
        <v>18191</v>
      </c>
      <c r="B1009" s="212" t="s">
        <v>5371</v>
      </c>
      <c r="C1009" s="212"/>
      <c r="D1009" s="226">
        <v>3</v>
      </c>
      <c r="E1009" s="226" t="s">
        <v>11732</v>
      </c>
      <c r="F1009" s="212" t="s">
        <v>15969</v>
      </c>
      <c r="G1009" s="226" t="s">
        <v>16998</v>
      </c>
      <c r="H1009" s="343">
        <v>12534</v>
      </c>
      <c r="I1009" s="342"/>
      <c r="J1009" s="346"/>
      <c r="K1009" s="345">
        <f>IFERROR(Table15[[#This Row],[ROUTE $]]/Table15[[#This Row],[E - DEMAND]],0)</f>
        <v>0</v>
      </c>
      <c r="L1009" s="212"/>
      <c r="M1009" s="413">
        <f>IFERROR(VLOOKUP(Table15[[#This Row],[ROUTE]],DEMAND!A:F,5,FALSE),0)</f>
        <v>0</v>
      </c>
      <c r="N1009" s="251">
        <f>IFERROR(VLOOKUP(Table15[[#This Row],[ROUTE]],DEMAND!A:F,6,FALSE),0)</f>
        <v>0</v>
      </c>
      <c r="O1009" s="349"/>
      <c r="P1009" s="349"/>
      <c r="Q1009" s="416">
        <f>IFERROR(VLOOKUP(Table15[[#This Row],[ROUTE]],PRICING!A:B,2,FALSE),0)</f>
        <v>0</v>
      </c>
      <c r="R1009" s="409">
        <f>IFERROR(Table15[[#This Row],[C_DEMAND]]-Table15[[#This Row],[R-DEMAND]],0)</f>
        <v>0</v>
      </c>
      <c r="S1009" s="410">
        <f t="shared" si="15"/>
        <v>0</v>
      </c>
      <c r="T1009" s="420">
        <f>Table15[[#This Row],[R-DEMAND]]-(Table15[[#This Row],[ADD ACC]]*1706)</f>
        <v>0</v>
      </c>
      <c r="U1009" s="420">
        <f>ROUNDDOWN(Table15[[#This Row],[Column1]]/1360,0)</f>
        <v>0</v>
      </c>
      <c r="V1009" s="420"/>
      <c r="W1009" s="349"/>
      <c r="X1009" s="349"/>
      <c r="Y1009" s="349"/>
      <c r="Z1009" s="349"/>
    </row>
    <row r="1010" spans="1:26" ht="15.75" customHeight="1" x14ac:dyDescent="0.25">
      <c r="A1010" s="341" t="s">
        <v>18140</v>
      </c>
      <c r="B1010" s="212" t="s">
        <v>3010</v>
      </c>
      <c r="C1010" s="212"/>
      <c r="D1010" s="226">
        <v>2</v>
      </c>
      <c r="E1010" s="226" t="s">
        <v>11732</v>
      </c>
      <c r="F1010" s="212" t="s">
        <v>15969</v>
      </c>
      <c r="G1010" s="226" t="s">
        <v>16984</v>
      </c>
      <c r="H1010" s="343">
        <v>13981</v>
      </c>
      <c r="I1010" s="342"/>
      <c r="J1010" s="346"/>
      <c r="K1010" s="345">
        <f>IFERROR(Table15[[#This Row],[ROUTE $]]/Table15[[#This Row],[E - DEMAND]],0)</f>
        <v>0</v>
      </c>
      <c r="L1010" s="212"/>
      <c r="M1010" s="413">
        <f>IFERROR(VLOOKUP(Table15[[#This Row],[ROUTE]],DEMAND!A:F,5,FALSE),0)</f>
        <v>0</v>
      </c>
      <c r="N1010" s="251">
        <f>IFERROR(VLOOKUP(Table15[[#This Row],[ROUTE]],DEMAND!A:F,6,FALSE),0)</f>
        <v>0</v>
      </c>
      <c r="O1010" s="349"/>
      <c r="P1010" s="349"/>
      <c r="Q1010" s="416">
        <f>IFERROR(VLOOKUP(Table15[[#This Row],[ROUTE]],PRICING!A:B,2,FALSE),0)</f>
        <v>0</v>
      </c>
      <c r="R1010" s="409">
        <f>IFERROR(Table15[[#This Row],[C_DEMAND]]-Table15[[#This Row],[R-DEMAND]],0)</f>
        <v>0</v>
      </c>
      <c r="S1010" s="410">
        <f t="shared" si="15"/>
        <v>0</v>
      </c>
      <c r="T1010" s="420">
        <f>Table15[[#This Row],[R-DEMAND]]-(Table15[[#This Row],[ADD ACC]]*1706)</f>
        <v>0</v>
      </c>
      <c r="U1010" s="420">
        <f>ROUNDDOWN(Table15[[#This Row],[Column1]]/1360,0)</f>
        <v>0</v>
      </c>
      <c r="V1010" s="420"/>
      <c r="W1010" s="349"/>
      <c r="X1010" s="349"/>
      <c r="Y1010" s="349"/>
      <c r="Z1010" s="349"/>
    </row>
    <row r="1011" spans="1:26" ht="15.75" customHeight="1" x14ac:dyDescent="0.25">
      <c r="A1011" s="341" t="s">
        <v>18142</v>
      </c>
      <c r="B1011" s="212" t="s">
        <v>2595</v>
      </c>
      <c r="C1011" s="212"/>
      <c r="D1011" s="226">
        <v>2</v>
      </c>
      <c r="E1011" s="226" t="s">
        <v>11732</v>
      </c>
      <c r="F1011" s="212" t="s">
        <v>15969</v>
      </c>
      <c r="G1011" s="226" t="s">
        <v>17019</v>
      </c>
      <c r="H1011" s="343">
        <v>13954</v>
      </c>
      <c r="I1011" s="342"/>
      <c r="J1011" s="346"/>
      <c r="K1011" s="345">
        <f>IFERROR(Table15[[#This Row],[ROUTE $]]/Table15[[#This Row],[E - DEMAND]],0)</f>
        <v>0</v>
      </c>
      <c r="L1011" s="212"/>
      <c r="M1011" s="413">
        <f>IFERROR(VLOOKUP(Table15[[#This Row],[ROUTE]],DEMAND!A:F,5,FALSE),0)</f>
        <v>0</v>
      </c>
      <c r="N1011" s="251">
        <f>IFERROR(VLOOKUP(Table15[[#This Row],[ROUTE]],DEMAND!A:F,6,FALSE),0)</f>
        <v>0</v>
      </c>
      <c r="O1011" s="349"/>
      <c r="P1011" s="349"/>
      <c r="Q1011" s="416">
        <f>IFERROR(VLOOKUP(Table15[[#This Row],[ROUTE]],PRICING!A:B,2,FALSE),0)</f>
        <v>0</v>
      </c>
      <c r="R1011" s="409">
        <f>IFERROR(Table15[[#This Row],[C_DEMAND]]-Table15[[#This Row],[R-DEMAND]],0)</f>
        <v>0</v>
      </c>
      <c r="S1011" s="410">
        <f t="shared" si="15"/>
        <v>0</v>
      </c>
      <c r="T1011" s="420">
        <f>Table15[[#This Row],[R-DEMAND]]-(Table15[[#This Row],[ADD ACC]]*1706)</f>
        <v>0</v>
      </c>
      <c r="U1011" s="420">
        <f>ROUNDDOWN(Table15[[#This Row],[Column1]]/1360,0)</f>
        <v>0</v>
      </c>
      <c r="V1011" s="420"/>
      <c r="W1011" s="349"/>
      <c r="X1011" s="349"/>
      <c r="Y1011" s="349"/>
      <c r="Z1011" s="349"/>
    </row>
    <row r="1012" spans="1:26" ht="15.75" customHeight="1" x14ac:dyDescent="0.25">
      <c r="A1012" s="341" t="s">
        <v>18186</v>
      </c>
      <c r="B1012" s="212" t="s">
        <v>3179</v>
      </c>
      <c r="C1012" s="212"/>
      <c r="D1012" s="226">
        <v>2</v>
      </c>
      <c r="E1012" s="226" t="s">
        <v>11732</v>
      </c>
      <c r="F1012" s="212" t="s">
        <v>15969</v>
      </c>
      <c r="G1012" s="226" t="s">
        <v>16949</v>
      </c>
      <c r="H1012" s="343">
        <v>12697</v>
      </c>
      <c r="I1012" s="342"/>
      <c r="J1012" s="346"/>
      <c r="K1012" s="345">
        <f>IFERROR(Table15[[#This Row],[ROUTE $]]/Table15[[#This Row],[E - DEMAND]],0)</f>
        <v>0</v>
      </c>
      <c r="L1012" s="212"/>
      <c r="M1012" s="413">
        <f>IFERROR(VLOOKUP(Table15[[#This Row],[ROUTE]],DEMAND!A:F,5,FALSE),0)</f>
        <v>0</v>
      </c>
      <c r="N1012" s="251">
        <f>IFERROR(VLOOKUP(Table15[[#This Row],[ROUTE]],DEMAND!A:F,6,FALSE),0)</f>
        <v>0</v>
      </c>
      <c r="O1012" s="349"/>
      <c r="P1012" s="349"/>
      <c r="Q1012" s="416">
        <f>IFERROR(VLOOKUP(Table15[[#This Row],[ROUTE]],PRICING!A:B,2,FALSE),0)</f>
        <v>0</v>
      </c>
      <c r="R1012" s="409">
        <f>IFERROR(Table15[[#This Row],[C_DEMAND]]-Table15[[#This Row],[R-DEMAND]],0)</f>
        <v>0</v>
      </c>
      <c r="S1012" s="410">
        <f t="shared" si="15"/>
        <v>0</v>
      </c>
      <c r="T1012" s="420">
        <f>Table15[[#This Row],[R-DEMAND]]-(Table15[[#This Row],[ADD ACC]]*1706)</f>
        <v>0</v>
      </c>
      <c r="U1012" s="420">
        <f>ROUNDDOWN(Table15[[#This Row],[Column1]]/1360,0)</f>
        <v>0</v>
      </c>
      <c r="V1012" s="420"/>
      <c r="W1012" s="349"/>
      <c r="X1012" s="349"/>
      <c r="Y1012" s="349"/>
      <c r="Z1012" s="349"/>
    </row>
    <row r="1013" spans="1:26" ht="15.75" customHeight="1" x14ac:dyDescent="0.25">
      <c r="A1013" s="341" t="s">
        <v>18211</v>
      </c>
      <c r="B1013" s="212" t="s">
        <v>2551</v>
      </c>
      <c r="C1013" s="212"/>
      <c r="D1013" s="226">
        <v>2</v>
      </c>
      <c r="E1013" s="226" t="s">
        <v>11732</v>
      </c>
      <c r="F1013" s="212" t="s">
        <v>15969</v>
      </c>
      <c r="G1013" s="226" t="s">
        <v>10909</v>
      </c>
      <c r="H1013" s="343">
        <v>10262</v>
      </c>
      <c r="I1013" s="342"/>
      <c r="J1013" s="346"/>
      <c r="K1013" s="345">
        <f>IFERROR(Table15[[#This Row],[ROUTE $]]/Table15[[#This Row],[E - DEMAND]],0)</f>
        <v>0</v>
      </c>
      <c r="L1013" s="212"/>
      <c r="M1013" s="413">
        <f>IFERROR(VLOOKUP(Table15[[#This Row],[ROUTE]],DEMAND!A:F,5,FALSE),0)</f>
        <v>0</v>
      </c>
      <c r="N1013" s="251">
        <f>IFERROR(VLOOKUP(Table15[[#This Row],[ROUTE]],DEMAND!A:F,6,FALSE),0)</f>
        <v>0</v>
      </c>
      <c r="O1013" s="349"/>
      <c r="P1013" s="349"/>
      <c r="Q1013" s="416">
        <f>IFERROR(VLOOKUP(Table15[[#This Row],[ROUTE]],PRICING!A:B,2,FALSE),0)</f>
        <v>0</v>
      </c>
      <c r="R1013" s="409">
        <f>IFERROR(Table15[[#This Row],[C_DEMAND]]-Table15[[#This Row],[R-DEMAND]],0)</f>
        <v>0</v>
      </c>
      <c r="S1013" s="410">
        <f t="shared" si="15"/>
        <v>0</v>
      </c>
      <c r="T1013" s="420">
        <f>Table15[[#This Row],[R-DEMAND]]-(Table15[[#This Row],[ADD ACC]]*1706)</f>
        <v>0</v>
      </c>
      <c r="U1013" s="420">
        <f>ROUNDDOWN(Table15[[#This Row],[Column1]]/1360,0)</f>
        <v>0</v>
      </c>
      <c r="V1013" s="420"/>
      <c r="W1013" s="349"/>
      <c r="X1013" s="349"/>
      <c r="Y1013" s="349"/>
      <c r="Z1013" s="349"/>
    </row>
    <row r="1014" spans="1:26" ht="15.75" customHeight="1" x14ac:dyDescent="0.25">
      <c r="A1014" s="341" t="s">
        <v>18143</v>
      </c>
      <c r="B1014" s="212" t="s">
        <v>1311</v>
      </c>
      <c r="C1014" s="212"/>
      <c r="D1014" s="226">
        <v>1</v>
      </c>
      <c r="E1014" s="226" t="s">
        <v>11732</v>
      </c>
      <c r="F1014" s="212" t="s">
        <v>15969</v>
      </c>
      <c r="G1014" s="226" t="s">
        <v>16969</v>
      </c>
      <c r="H1014" s="343">
        <v>13935</v>
      </c>
      <c r="I1014" s="342"/>
      <c r="J1014" s="346"/>
      <c r="K1014" s="345">
        <f>IFERROR(Table15[[#This Row],[ROUTE $]]/Table15[[#This Row],[E - DEMAND]],0)</f>
        <v>0</v>
      </c>
      <c r="L1014" s="212"/>
      <c r="M1014" s="413">
        <f>IFERROR(VLOOKUP(Table15[[#This Row],[ROUTE]],DEMAND!A:F,5,FALSE),0)</f>
        <v>0</v>
      </c>
      <c r="N1014" s="251">
        <f>IFERROR(VLOOKUP(Table15[[#This Row],[ROUTE]],DEMAND!A:F,6,FALSE),0)</f>
        <v>0</v>
      </c>
      <c r="O1014" s="349"/>
      <c r="P1014" s="349"/>
      <c r="Q1014" s="416">
        <f>IFERROR(VLOOKUP(Table15[[#This Row],[ROUTE]],PRICING!A:B,2,FALSE),0)</f>
        <v>0</v>
      </c>
      <c r="R1014" s="409">
        <f>IFERROR(Table15[[#This Row],[C_DEMAND]]-Table15[[#This Row],[R-DEMAND]],0)</f>
        <v>0</v>
      </c>
      <c r="S1014" s="410">
        <f t="shared" si="15"/>
        <v>0</v>
      </c>
      <c r="T1014" s="420">
        <f>Table15[[#This Row],[R-DEMAND]]-(Table15[[#This Row],[ADD ACC]]*1706)</f>
        <v>0</v>
      </c>
      <c r="U1014" s="420">
        <f>ROUNDDOWN(Table15[[#This Row],[Column1]]/1360,0)</f>
        <v>0</v>
      </c>
      <c r="V1014" s="420"/>
      <c r="W1014" s="349"/>
      <c r="X1014" s="349"/>
      <c r="Y1014" s="349"/>
      <c r="Z1014" s="349"/>
    </row>
    <row r="1015" spans="1:26" ht="15.75" customHeight="1" x14ac:dyDescent="0.25">
      <c r="A1015" s="341" t="s">
        <v>18148</v>
      </c>
      <c r="B1015" s="212" t="s">
        <v>1002</v>
      </c>
      <c r="C1015" s="212"/>
      <c r="D1015" s="226">
        <v>1</v>
      </c>
      <c r="E1015" s="226" t="s">
        <v>11732</v>
      </c>
      <c r="F1015" s="212" t="s">
        <v>15969</v>
      </c>
      <c r="G1015" s="226" t="s">
        <v>16967</v>
      </c>
      <c r="H1015" s="343">
        <v>13732</v>
      </c>
      <c r="I1015" s="342"/>
      <c r="J1015" s="346"/>
      <c r="K1015" s="345">
        <f>IFERROR(Table15[[#This Row],[ROUTE $]]/Table15[[#This Row],[E - DEMAND]],0)</f>
        <v>0</v>
      </c>
      <c r="L1015" s="212"/>
      <c r="M1015" s="413">
        <f>IFERROR(VLOOKUP(Table15[[#This Row],[ROUTE]],DEMAND!A:F,5,FALSE),0)</f>
        <v>0</v>
      </c>
      <c r="N1015" s="251">
        <f>IFERROR(VLOOKUP(Table15[[#This Row],[ROUTE]],DEMAND!A:F,6,FALSE),0)</f>
        <v>0</v>
      </c>
      <c r="O1015" s="349"/>
      <c r="P1015" s="349"/>
      <c r="Q1015" s="416">
        <f>IFERROR(VLOOKUP(Table15[[#This Row],[ROUTE]],PRICING!A:B,2,FALSE),0)</f>
        <v>0</v>
      </c>
      <c r="R1015" s="409">
        <f>IFERROR(Table15[[#This Row],[C_DEMAND]]-Table15[[#This Row],[R-DEMAND]],0)</f>
        <v>0</v>
      </c>
      <c r="S1015" s="410">
        <f t="shared" si="15"/>
        <v>0</v>
      </c>
      <c r="T1015" s="420">
        <f>Table15[[#This Row],[R-DEMAND]]-(Table15[[#This Row],[ADD ACC]]*1706)</f>
        <v>0</v>
      </c>
      <c r="U1015" s="420">
        <f>ROUNDDOWN(Table15[[#This Row],[Column1]]/1360,0)</f>
        <v>0</v>
      </c>
      <c r="V1015" s="420"/>
      <c r="W1015" s="349"/>
      <c r="X1015" s="349"/>
      <c r="Y1015" s="349"/>
      <c r="Z1015" s="349"/>
    </row>
    <row r="1016" spans="1:26" ht="15.75" customHeight="1" x14ac:dyDescent="0.25">
      <c r="A1016" s="341" t="s">
        <v>18151</v>
      </c>
      <c r="B1016" s="212" t="s">
        <v>915</v>
      </c>
      <c r="C1016" s="212"/>
      <c r="D1016" s="226">
        <v>1</v>
      </c>
      <c r="E1016" s="226" t="s">
        <v>11732</v>
      </c>
      <c r="F1016" s="212" t="s">
        <v>15969</v>
      </c>
      <c r="G1016" s="226" t="s">
        <v>16956</v>
      </c>
      <c r="H1016" s="343">
        <v>13673</v>
      </c>
      <c r="I1016" s="342"/>
      <c r="J1016" s="346"/>
      <c r="K1016" s="345">
        <f>IFERROR(Table15[[#This Row],[ROUTE $]]/Table15[[#This Row],[E - DEMAND]],0)</f>
        <v>0</v>
      </c>
      <c r="L1016" s="212"/>
      <c r="M1016" s="413">
        <f>IFERROR(VLOOKUP(Table15[[#This Row],[ROUTE]],DEMAND!A:F,5,FALSE),0)</f>
        <v>0</v>
      </c>
      <c r="N1016" s="251">
        <f>IFERROR(VLOOKUP(Table15[[#This Row],[ROUTE]],DEMAND!A:F,6,FALSE),0)</f>
        <v>0</v>
      </c>
      <c r="O1016" s="349"/>
      <c r="P1016" s="349"/>
      <c r="Q1016" s="416">
        <f>IFERROR(VLOOKUP(Table15[[#This Row],[ROUTE]],PRICING!A:B,2,FALSE),0)</f>
        <v>0</v>
      </c>
      <c r="R1016" s="409">
        <f>IFERROR(Table15[[#This Row],[C_DEMAND]]-Table15[[#This Row],[R-DEMAND]],0)</f>
        <v>0</v>
      </c>
      <c r="S1016" s="410">
        <f t="shared" si="15"/>
        <v>0</v>
      </c>
      <c r="T1016" s="420">
        <f>Table15[[#This Row],[R-DEMAND]]-(Table15[[#This Row],[ADD ACC]]*1706)</f>
        <v>0</v>
      </c>
      <c r="U1016" s="420">
        <f>ROUNDDOWN(Table15[[#This Row],[Column1]]/1360,0)</f>
        <v>0</v>
      </c>
      <c r="V1016" s="420"/>
      <c r="W1016" s="349"/>
      <c r="X1016" s="349"/>
      <c r="Y1016" s="349"/>
      <c r="Z1016" s="349"/>
    </row>
    <row r="1017" spans="1:26" ht="15.75" customHeight="1" x14ac:dyDescent="0.25">
      <c r="A1017" s="341" t="s">
        <v>18159</v>
      </c>
      <c r="B1017" s="212" t="s">
        <v>2311</v>
      </c>
      <c r="C1017" s="212"/>
      <c r="D1017" s="226">
        <v>1</v>
      </c>
      <c r="E1017" s="226" t="s">
        <v>11732</v>
      </c>
      <c r="F1017" s="212" t="s">
        <v>15969</v>
      </c>
      <c r="G1017" s="226" t="s">
        <v>16965</v>
      </c>
      <c r="H1017" s="343">
        <v>13394</v>
      </c>
      <c r="I1017" s="342"/>
      <c r="J1017" s="346"/>
      <c r="K1017" s="345">
        <f>IFERROR(Table15[[#This Row],[ROUTE $]]/Table15[[#This Row],[E - DEMAND]],0)</f>
        <v>0</v>
      </c>
      <c r="L1017" s="212"/>
      <c r="M1017" s="413">
        <f>IFERROR(VLOOKUP(Table15[[#This Row],[ROUTE]],DEMAND!A:F,5,FALSE),0)</f>
        <v>0</v>
      </c>
      <c r="N1017" s="251">
        <f>IFERROR(VLOOKUP(Table15[[#This Row],[ROUTE]],DEMAND!A:F,6,FALSE),0)</f>
        <v>0</v>
      </c>
      <c r="O1017" s="349"/>
      <c r="P1017" s="349"/>
      <c r="Q1017" s="416">
        <f>IFERROR(VLOOKUP(Table15[[#This Row],[ROUTE]],PRICING!A:B,2,FALSE),0)</f>
        <v>0</v>
      </c>
      <c r="R1017" s="409">
        <f>IFERROR(Table15[[#This Row],[C_DEMAND]]-Table15[[#This Row],[R-DEMAND]],0)</f>
        <v>0</v>
      </c>
      <c r="S1017" s="410">
        <f t="shared" si="15"/>
        <v>0</v>
      </c>
      <c r="T1017" s="420">
        <f>Table15[[#This Row],[R-DEMAND]]-(Table15[[#This Row],[ADD ACC]]*1706)</f>
        <v>0</v>
      </c>
      <c r="U1017" s="420">
        <f>ROUNDDOWN(Table15[[#This Row],[Column1]]/1360,0)</f>
        <v>0</v>
      </c>
      <c r="V1017" s="420"/>
      <c r="W1017" s="349"/>
      <c r="X1017" s="349"/>
      <c r="Y1017" s="349"/>
      <c r="Z1017" s="349"/>
    </row>
    <row r="1018" spans="1:26" ht="15.75" customHeight="1" x14ac:dyDescent="0.25">
      <c r="A1018" s="341" t="s">
        <v>18314</v>
      </c>
      <c r="B1018" s="212" t="s">
        <v>4875</v>
      </c>
      <c r="C1018" s="212"/>
      <c r="D1018" s="226">
        <v>0</v>
      </c>
      <c r="E1018" s="226" t="s">
        <v>14</v>
      </c>
      <c r="F1018" s="212" t="s">
        <v>12670</v>
      </c>
      <c r="G1018" s="226" t="s">
        <v>16811</v>
      </c>
      <c r="H1018" s="343">
        <v>4738</v>
      </c>
      <c r="I1018" s="342"/>
      <c r="J1018" s="346"/>
      <c r="K1018" s="345">
        <f>IFERROR(Table15[[#This Row],[ROUTE $]]/Table15[[#This Row],[E - DEMAND]],0)</f>
        <v>0</v>
      </c>
      <c r="L1018" s="212"/>
      <c r="M1018" s="413">
        <f>IFERROR(VLOOKUP(Table15[[#This Row],[ROUTE]],DEMAND!A:F,5,FALSE),0)</f>
        <v>0</v>
      </c>
      <c r="N1018" s="251">
        <f>IFERROR(VLOOKUP(Table15[[#This Row],[ROUTE]],DEMAND!A:F,6,FALSE),0)</f>
        <v>0</v>
      </c>
      <c r="O1018" s="349"/>
      <c r="P1018" s="349"/>
      <c r="Q1018" s="416">
        <f>IFERROR(VLOOKUP(Table15[[#This Row],[ROUTE]],PRICING!A:B,2,FALSE),0)</f>
        <v>0</v>
      </c>
      <c r="R1018" s="409">
        <f>IFERROR(Table15[[#This Row],[C_DEMAND]]-Table15[[#This Row],[R-DEMAND]],0)</f>
        <v>0</v>
      </c>
      <c r="S1018" s="410">
        <f t="shared" si="15"/>
        <v>0</v>
      </c>
      <c r="T1018" s="420">
        <f>Table15[[#This Row],[R-DEMAND]]-(Table15[[#This Row],[ADD ACC]]*1706)</f>
        <v>0</v>
      </c>
      <c r="U1018" s="420">
        <f>ROUNDDOWN(Table15[[#This Row],[Column1]]/1360,0)</f>
        <v>0</v>
      </c>
      <c r="V1018" s="420"/>
      <c r="W1018" s="349"/>
      <c r="X1018" s="349"/>
      <c r="Y1018" s="349"/>
      <c r="Z1018" s="349"/>
    </row>
    <row r="1019" spans="1:26" ht="15.75" customHeight="1" x14ac:dyDescent="0.25">
      <c r="A1019" s="341" t="s">
        <v>18318</v>
      </c>
      <c r="B1019" s="212" t="s">
        <v>5348</v>
      </c>
      <c r="C1019" s="212"/>
      <c r="D1019" s="226">
        <v>0</v>
      </c>
      <c r="E1019" s="226" t="s">
        <v>14</v>
      </c>
      <c r="F1019" s="212" t="s">
        <v>12670</v>
      </c>
      <c r="G1019" s="226" t="s">
        <v>16823</v>
      </c>
      <c r="H1019" s="343">
        <v>4662</v>
      </c>
      <c r="I1019" s="342"/>
      <c r="J1019" s="346"/>
      <c r="K1019" s="345">
        <f>IFERROR(Table15[[#This Row],[ROUTE $]]/Table15[[#This Row],[E - DEMAND]],0)</f>
        <v>0</v>
      </c>
      <c r="L1019" s="212"/>
      <c r="M1019" s="413">
        <f>IFERROR(VLOOKUP(Table15[[#This Row],[ROUTE]],DEMAND!A:F,5,FALSE),0)</f>
        <v>0</v>
      </c>
      <c r="N1019" s="251">
        <f>IFERROR(VLOOKUP(Table15[[#This Row],[ROUTE]],DEMAND!A:F,6,FALSE),0)</f>
        <v>0</v>
      </c>
      <c r="O1019" s="349"/>
      <c r="P1019" s="349"/>
      <c r="Q1019" s="416">
        <f>IFERROR(VLOOKUP(Table15[[#This Row],[ROUTE]],PRICING!A:B,2,FALSE),0)</f>
        <v>0</v>
      </c>
      <c r="R1019" s="409">
        <f>IFERROR(Table15[[#This Row],[C_DEMAND]]-Table15[[#This Row],[R-DEMAND]],0)</f>
        <v>0</v>
      </c>
      <c r="S1019" s="410">
        <f t="shared" si="15"/>
        <v>0</v>
      </c>
      <c r="T1019" s="420">
        <f>Table15[[#This Row],[R-DEMAND]]-(Table15[[#This Row],[ADD ACC]]*1706)</f>
        <v>0</v>
      </c>
      <c r="U1019" s="420">
        <f>ROUNDDOWN(Table15[[#This Row],[Column1]]/1360,0)</f>
        <v>0</v>
      </c>
      <c r="V1019" s="420"/>
      <c r="W1019" s="349"/>
      <c r="X1019" s="349"/>
      <c r="Y1019" s="349"/>
      <c r="Z1019" s="349"/>
    </row>
    <row r="1020" spans="1:26" ht="15.75" customHeight="1" x14ac:dyDescent="0.25">
      <c r="A1020" s="341" t="s">
        <v>18328</v>
      </c>
      <c r="B1020" s="212" t="s">
        <v>4276</v>
      </c>
      <c r="C1020" s="212"/>
      <c r="D1020" s="226">
        <v>0</v>
      </c>
      <c r="E1020" s="226" t="s">
        <v>14</v>
      </c>
      <c r="F1020" s="212" t="s">
        <v>12670</v>
      </c>
      <c r="G1020" s="226" t="s">
        <v>16818</v>
      </c>
      <c r="H1020" s="343">
        <v>4078</v>
      </c>
      <c r="I1020" s="342"/>
      <c r="J1020" s="346"/>
      <c r="K1020" s="345">
        <f>IFERROR(Table15[[#This Row],[ROUTE $]]/Table15[[#This Row],[E - DEMAND]],0)</f>
        <v>0</v>
      </c>
      <c r="L1020" s="212"/>
      <c r="M1020" s="413">
        <f>IFERROR(VLOOKUP(Table15[[#This Row],[ROUTE]],DEMAND!A:F,5,FALSE),0)</f>
        <v>0</v>
      </c>
      <c r="N1020" s="251">
        <f>IFERROR(VLOOKUP(Table15[[#This Row],[ROUTE]],DEMAND!A:F,6,FALSE),0)</f>
        <v>0</v>
      </c>
      <c r="O1020" s="349"/>
      <c r="P1020" s="349"/>
      <c r="Q1020" s="416">
        <f>IFERROR(VLOOKUP(Table15[[#This Row],[ROUTE]],PRICING!A:B,2,FALSE),0)</f>
        <v>0</v>
      </c>
      <c r="R1020" s="409">
        <f>IFERROR(Table15[[#This Row],[C_DEMAND]]-Table15[[#This Row],[R-DEMAND]],0)</f>
        <v>0</v>
      </c>
      <c r="S1020" s="410">
        <f t="shared" si="15"/>
        <v>0</v>
      </c>
      <c r="T1020" s="420">
        <f>Table15[[#This Row],[R-DEMAND]]-(Table15[[#This Row],[ADD ACC]]*1706)</f>
        <v>0</v>
      </c>
      <c r="U1020" s="420">
        <f>ROUNDDOWN(Table15[[#This Row],[Column1]]/1360,0)</f>
        <v>0</v>
      </c>
      <c r="V1020" s="420"/>
      <c r="W1020" s="349"/>
      <c r="X1020" s="349"/>
      <c r="Y1020" s="349"/>
      <c r="Z1020" s="349"/>
    </row>
    <row r="1021" spans="1:26" ht="15.75" customHeight="1" x14ac:dyDescent="0.25">
      <c r="A1021" s="341" t="s">
        <v>18332</v>
      </c>
      <c r="B1021" s="212" t="s">
        <v>4693</v>
      </c>
      <c r="C1021" s="212"/>
      <c r="D1021" s="226">
        <v>0</v>
      </c>
      <c r="E1021" s="226" t="s">
        <v>14</v>
      </c>
      <c r="F1021" s="212" t="s">
        <v>12670</v>
      </c>
      <c r="G1021" s="226" t="s">
        <v>16817</v>
      </c>
      <c r="H1021" s="343">
        <v>3955</v>
      </c>
      <c r="I1021" s="342"/>
      <c r="J1021" s="346"/>
      <c r="K1021" s="345">
        <f>IFERROR(Table15[[#This Row],[ROUTE $]]/Table15[[#This Row],[E - DEMAND]],0)</f>
        <v>0</v>
      </c>
      <c r="L1021" s="212"/>
      <c r="M1021" s="413">
        <f>IFERROR(VLOOKUP(Table15[[#This Row],[ROUTE]],DEMAND!A:F,5,FALSE),0)</f>
        <v>0</v>
      </c>
      <c r="N1021" s="251">
        <f>IFERROR(VLOOKUP(Table15[[#This Row],[ROUTE]],DEMAND!A:F,6,FALSE),0)</f>
        <v>0</v>
      </c>
      <c r="O1021" s="349"/>
      <c r="P1021" s="349"/>
      <c r="Q1021" s="416">
        <f>IFERROR(VLOOKUP(Table15[[#This Row],[ROUTE]],PRICING!A:B,2,FALSE),0)</f>
        <v>0</v>
      </c>
      <c r="R1021" s="409">
        <f>IFERROR(Table15[[#This Row],[C_DEMAND]]-Table15[[#This Row],[R-DEMAND]],0)</f>
        <v>0</v>
      </c>
      <c r="S1021" s="410">
        <f t="shared" si="15"/>
        <v>0</v>
      </c>
      <c r="T1021" s="420">
        <f>Table15[[#This Row],[R-DEMAND]]-(Table15[[#This Row],[ADD ACC]]*1706)</f>
        <v>0</v>
      </c>
      <c r="U1021" s="420">
        <f>ROUNDDOWN(Table15[[#This Row],[Column1]]/1360,0)</f>
        <v>0</v>
      </c>
      <c r="V1021" s="420"/>
      <c r="W1021" s="349"/>
      <c r="X1021" s="349"/>
      <c r="Y1021" s="349"/>
      <c r="Z1021" s="349"/>
    </row>
    <row r="1022" spans="1:26" ht="15.75" customHeight="1" x14ac:dyDescent="0.25">
      <c r="A1022" s="341" t="s">
        <v>18338</v>
      </c>
      <c r="B1022" s="212" t="s">
        <v>5319</v>
      </c>
      <c r="C1022" s="212"/>
      <c r="D1022" s="226">
        <v>0</v>
      </c>
      <c r="E1022" s="226" t="s">
        <v>14</v>
      </c>
      <c r="F1022" s="212" t="s">
        <v>12670</v>
      </c>
      <c r="G1022" s="226" t="s">
        <v>18115</v>
      </c>
      <c r="H1022" s="343">
        <v>3683</v>
      </c>
      <c r="I1022" s="342"/>
      <c r="J1022" s="346"/>
      <c r="K1022" s="345">
        <f>IFERROR(Table15[[#This Row],[ROUTE $]]/Table15[[#This Row],[E - DEMAND]],0)</f>
        <v>0</v>
      </c>
      <c r="L1022" s="212"/>
      <c r="M1022" s="413">
        <f>IFERROR(VLOOKUP(Table15[[#This Row],[ROUTE]],DEMAND!A:F,5,FALSE),0)</f>
        <v>0</v>
      </c>
      <c r="N1022" s="251">
        <f>IFERROR(VLOOKUP(Table15[[#This Row],[ROUTE]],DEMAND!A:F,6,FALSE),0)</f>
        <v>0</v>
      </c>
      <c r="O1022" s="349"/>
      <c r="P1022" s="349"/>
      <c r="Q1022" s="416">
        <f>IFERROR(VLOOKUP(Table15[[#This Row],[ROUTE]],PRICING!A:B,2,FALSE),0)</f>
        <v>0</v>
      </c>
      <c r="R1022" s="409">
        <f>IFERROR(Table15[[#This Row],[C_DEMAND]]-Table15[[#This Row],[R-DEMAND]],0)</f>
        <v>0</v>
      </c>
      <c r="S1022" s="410">
        <f t="shared" si="15"/>
        <v>0</v>
      </c>
      <c r="T1022" s="420">
        <f>Table15[[#This Row],[R-DEMAND]]-(Table15[[#This Row],[ADD ACC]]*1706)</f>
        <v>0</v>
      </c>
      <c r="U1022" s="420">
        <f>ROUNDDOWN(Table15[[#This Row],[Column1]]/1360,0)</f>
        <v>0</v>
      </c>
      <c r="V1022" s="420"/>
      <c r="W1022" s="349"/>
      <c r="X1022" s="349"/>
      <c r="Y1022" s="349"/>
      <c r="Z1022" s="349"/>
    </row>
    <row r="1023" spans="1:26" ht="15.75" customHeight="1" x14ac:dyDescent="0.25">
      <c r="A1023" s="341" t="s">
        <v>18160</v>
      </c>
      <c r="B1023" s="212" t="s">
        <v>1376</v>
      </c>
      <c r="C1023" s="212"/>
      <c r="D1023" s="226">
        <v>1</v>
      </c>
      <c r="E1023" s="226" t="s">
        <v>11732</v>
      </c>
      <c r="F1023" s="212" t="s">
        <v>15969</v>
      </c>
      <c r="G1023" s="226" t="s">
        <v>16963</v>
      </c>
      <c r="H1023" s="343">
        <v>13300</v>
      </c>
      <c r="I1023" s="342"/>
      <c r="J1023" s="346"/>
      <c r="K1023" s="345">
        <f>IFERROR(Table15[[#This Row],[ROUTE $]]/Table15[[#This Row],[E - DEMAND]],0)</f>
        <v>0</v>
      </c>
      <c r="L1023" s="212"/>
      <c r="M1023" s="413">
        <f>IFERROR(VLOOKUP(Table15[[#This Row],[ROUTE]],DEMAND!A:F,5,FALSE),0)</f>
        <v>0</v>
      </c>
      <c r="N1023" s="251">
        <f>IFERROR(VLOOKUP(Table15[[#This Row],[ROUTE]],DEMAND!A:F,6,FALSE),0)</f>
        <v>0</v>
      </c>
      <c r="O1023" s="349"/>
      <c r="P1023" s="349"/>
      <c r="Q1023" s="416">
        <f>IFERROR(VLOOKUP(Table15[[#This Row],[ROUTE]],PRICING!A:B,2,FALSE),0)</f>
        <v>0</v>
      </c>
      <c r="R1023" s="409">
        <f>IFERROR(Table15[[#This Row],[C_DEMAND]]-Table15[[#This Row],[R-DEMAND]],0)</f>
        <v>0</v>
      </c>
      <c r="S1023" s="410">
        <f t="shared" si="15"/>
        <v>0</v>
      </c>
      <c r="T1023" s="420">
        <f>Table15[[#This Row],[R-DEMAND]]-(Table15[[#This Row],[ADD ACC]]*1706)</f>
        <v>0</v>
      </c>
      <c r="U1023" s="420">
        <f>ROUNDDOWN(Table15[[#This Row],[Column1]]/1360,0)</f>
        <v>0</v>
      </c>
      <c r="V1023" s="420"/>
      <c r="W1023" s="349"/>
      <c r="X1023" s="349"/>
      <c r="Y1023" s="349"/>
      <c r="Z1023" s="349"/>
    </row>
    <row r="1024" spans="1:26" ht="15.75" customHeight="1" x14ac:dyDescent="0.25">
      <c r="A1024" s="341" t="s">
        <v>18162</v>
      </c>
      <c r="B1024" s="212" t="s">
        <v>1331</v>
      </c>
      <c r="C1024" s="212"/>
      <c r="D1024" s="226">
        <v>1</v>
      </c>
      <c r="E1024" s="226" t="s">
        <v>11732</v>
      </c>
      <c r="F1024" s="212" t="s">
        <v>15969</v>
      </c>
      <c r="G1024" s="226" t="s">
        <v>10110</v>
      </c>
      <c r="H1024" s="343">
        <v>13198</v>
      </c>
      <c r="I1024" s="342"/>
      <c r="J1024" s="346"/>
      <c r="K1024" s="345">
        <f>IFERROR(Table15[[#This Row],[ROUTE $]]/Table15[[#This Row],[E - DEMAND]],0)</f>
        <v>0</v>
      </c>
      <c r="L1024" s="212"/>
      <c r="M1024" s="413">
        <f>IFERROR(VLOOKUP(Table15[[#This Row],[ROUTE]],DEMAND!A:F,5,FALSE),0)</f>
        <v>0</v>
      </c>
      <c r="N1024" s="251">
        <f>IFERROR(VLOOKUP(Table15[[#This Row],[ROUTE]],DEMAND!A:F,6,FALSE),0)</f>
        <v>0</v>
      </c>
      <c r="O1024" s="349"/>
      <c r="P1024" s="349"/>
      <c r="Q1024" s="416">
        <f>IFERROR(VLOOKUP(Table15[[#This Row],[ROUTE]],PRICING!A:B,2,FALSE),0)</f>
        <v>0</v>
      </c>
      <c r="R1024" s="409">
        <f>IFERROR(Table15[[#This Row],[C_DEMAND]]-Table15[[#This Row],[R-DEMAND]],0)</f>
        <v>0</v>
      </c>
      <c r="S1024" s="410">
        <f t="shared" si="15"/>
        <v>0</v>
      </c>
      <c r="T1024" s="420">
        <f>Table15[[#This Row],[R-DEMAND]]-(Table15[[#This Row],[ADD ACC]]*1706)</f>
        <v>0</v>
      </c>
      <c r="U1024" s="420">
        <f>ROUNDDOWN(Table15[[#This Row],[Column1]]/1360,0)</f>
        <v>0</v>
      </c>
      <c r="V1024" s="420"/>
      <c r="W1024" s="349"/>
      <c r="X1024" s="349"/>
      <c r="Y1024" s="349"/>
      <c r="Z1024" s="349"/>
    </row>
    <row r="1025" spans="1:26" ht="15.75" customHeight="1" x14ac:dyDescent="0.25">
      <c r="A1025" s="341" t="s">
        <v>18164</v>
      </c>
      <c r="B1025" s="212" t="s">
        <v>2205</v>
      </c>
      <c r="C1025" s="212"/>
      <c r="D1025" s="226">
        <v>1</v>
      </c>
      <c r="E1025" s="226" t="s">
        <v>11732</v>
      </c>
      <c r="F1025" s="212" t="s">
        <v>15969</v>
      </c>
      <c r="G1025" s="226" t="s">
        <v>16950</v>
      </c>
      <c r="H1025" s="343">
        <v>13130</v>
      </c>
      <c r="I1025" s="342"/>
      <c r="J1025" s="346"/>
      <c r="K1025" s="345">
        <f>IFERROR(Table15[[#This Row],[ROUTE $]]/Table15[[#This Row],[E - DEMAND]],0)</f>
        <v>0</v>
      </c>
      <c r="L1025" s="212"/>
      <c r="M1025" s="413">
        <f>IFERROR(VLOOKUP(Table15[[#This Row],[ROUTE]],DEMAND!A:F,5,FALSE),0)</f>
        <v>0</v>
      </c>
      <c r="N1025" s="251">
        <f>IFERROR(VLOOKUP(Table15[[#This Row],[ROUTE]],DEMAND!A:F,6,FALSE),0)</f>
        <v>0</v>
      </c>
      <c r="O1025" s="349"/>
      <c r="P1025" s="349"/>
      <c r="Q1025" s="416">
        <f>IFERROR(VLOOKUP(Table15[[#This Row],[ROUTE]],PRICING!A:B,2,FALSE),0)</f>
        <v>0</v>
      </c>
      <c r="R1025" s="409">
        <f>IFERROR(Table15[[#This Row],[C_DEMAND]]-Table15[[#This Row],[R-DEMAND]],0)</f>
        <v>0</v>
      </c>
      <c r="S1025" s="410">
        <f t="shared" si="15"/>
        <v>0</v>
      </c>
      <c r="T1025" s="420">
        <f>Table15[[#This Row],[R-DEMAND]]-(Table15[[#This Row],[ADD ACC]]*1706)</f>
        <v>0</v>
      </c>
      <c r="U1025" s="420">
        <f>ROUNDDOWN(Table15[[#This Row],[Column1]]/1360,0)</f>
        <v>0</v>
      </c>
      <c r="V1025" s="420"/>
      <c r="W1025" s="349"/>
      <c r="X1025" s="349"/>
      <c r="Y1025" s="349"/>
      <c r="Z1025" s="349"/>
    </row>
    <row r="1026" spans="1:26" ht="15.75" customHeight="1" x14ac:dyDescent="0.25">
      <c r="A1026" s="341" t="s">
        <v>18165</v>
      </c>
      <c r="B1026" s="212" t="s">
        <v>2392</v>
      </c>
      <c r="C1026" s="212"/>
      <c r="D1026" s="226">
        <v>1</v>
      </c>
      <c r="E1026" s="226" t="s">
        <v>11732</v>
      </c>
      <c r="F1026" s="212" t="s">
        <v>15969</v>
      </c>
      <c r="G1026" s="226" t="s">
        <v>16975</v>
      </c>
      <c r="H1026" s="343">
        <v>13092</v>
      </c>
      <c r="I1026" s="342"/>
      <c r="J1026" s="346"/>
      <c r="K1026" s="345">
        <f>IFERROR(Table15[[#This Row],[ROUTE $]]/Table15[[#This Row],[E - DEMAND]],0)</f>
        <v>0</v>
      </c>
      <c r="L1026" s="212"/>
      <c r="M1026" s="413">
        <f>IFERROR(VLOOKUP(Table15[[#This Row],[ROUTE]],DEMAND!A:F,5,FALSE),0)</f>
        <v>0</v>
      </c>
      <c r="N1026" s="251">
        <f>IFERROR(VLOOKUP(Table15[[#This Row],[ROUTE]],DEMAND!A:F,6,FALSE),0)</f>
        <v>0</v>
      </c>
      <c r="O1026" s="349"/>
      <c r="P1026" s="349"/>
      <c r="Q1026" s="416">
        <f>IFERROR(VLOOKUP(Table15[[#This Row],[ROUTE]],PRICING!A:B,2,FALSE),0)</f>
        <v>0</v>
      </c>
      <c r="R1026" s="409">
        <f>IFERROR(Table15[[#This Row],[C_DEMAND]]-Table15[[#This Row],[R-DEMAND]],0)</f>
        <v>0</v>
      </c>
      <c r="S1026" s="410">
        <f t="shared" si="15"/>
        <v>0</v>
      </c>
      <c r="T1026" s="420">
        <f>Table15[[#This Row],[R-DEMAND]]-(Table15[[#This Row],[ADD ACC]]*1706)</f>
        <v>0</v>
      </c>
      <c r="U1026" s="420">
        <f>ROUNDDOWN(Table15[[#This Row],[Column1]]/1360,0)</f>
        <v>0</v>
      </c>
      <c r="V1026" s="420"/>
      <c r="W1026" s="349"/>
      <c r="X1026" s="349"/>
      <c r="Y1026" s="349"/>
      <c r="Z1026" s="349"/>
    </row>
    <row r="1027" spans="1:26" ht="15.75" customHeight="1" x14ac:dyDescent="0.25">
      <c r="A1027" s="341" t="s">
        <v>18168</v>
      </c>
      <c r="B1027" s="212" t="s">
        <v>2011</v>
      </c>
      <c r="C1027" s="212"/>
      <c r="D1027" s="226">
        <v>1</v>
      </c>
      <c r="E1027" s="226" t="s">
        <v>11732</v>
      </c>
      <c r="F1027" s="212" t="s">
        <v>15969</v>
      </c>
      <c r="G1027" s="226" t="s">
        <v>16978</v>
      </c>
      <c r="H1027" s="343">
        <v>12999</v>
      </c>
      <c r="I1027" s="342"/>
      <c r="J1027" s="346"/>
      <c r="K1027" s="345">
        <f>IFERROR(Table15[[#This Row],[ROUTE $]]/Table15[[#This Row],[E - DEMAND]],0)</f>
        <v>0</v>
      </c>
      <c r="L1027" s="212"/>
      <c r="M1027" s="413">
        <f>IFERROR(VLOOKUP(Table15[[#This Row],[ROUTE]],DEMAND!A:F,5,FALSE),0)</f>
        <v>0</v>
      </c>
      <c r="N1027" s="251">
        <f>IFERROR(VLOOKUP(Table15[[#This Row],[ROUTE]],DEMAND!A:F,6,FALSE),0)</f>
        <v>0</v>
      </c>
      <c r="O1027" s="349"/>
      <c r="P1027" s="349"/>
      <c r="Q1027" s="416">
        <f>IFERROR(VLOOKUP(Table15[[#This Row],[ROUTE]],PRICING!A:B,2,FALSE),0)</f>
        <v>0</v>
      </c>
      <c r="R1027" s="409">
        <f>IFERROR(Table15[[#This Row],[C_DEMAND]]-Table15[[#This Row],[R-DEMAND]],0)</f>
        <v>0</v>
      </c>
      <c r="S1027" s="410">
        <f t="shared" ref="S1027:S1090" si="16">IFERROR(R1027*Q1027,0)</f>
        <v>0</v>
      </c>
      <c r="T1027" s="420">
        <f>Table15[[#This Row],[R-DEMAND]]-(Table15[[#This Row],[ADD ACC]]*1706)</f>
        <v>0</v>
      </c>
      <c r="U1027" s="420">
        <f>ROUNDDOWN(Table15[[#This Row],[Column1]]/1360,0)</f>
        <v>0</v>
      </c>
      <c r="V1027" s="420"/>
      <c r="W1027" s="349"/>
      <c r="X1027" s="349"/>
      <c r="Y1027" s="349"/>
      <c r="Z1027" s="349"/>
    </row>
    <row r="1028" spans="1:26" ht="15.75" customHeight="1" x14ac:dyDescent="0.25">
      <c r="A1028" s="341" t="s">
        <v>18175</v>
      </c>
      <c r="B1028" s="212" t="s">
        <v>2197</v>
      </c>
      <c r="C1028" s="212"/>
      <c r="D1028" s="226">
        <v>1</v>
      </c>
      <c r="E1028" s="226" t="s">
        <v>11732</v>
      </c>
      <c r="F1028" s="212" t="s">
        <v>15969</v>
      </c>
      <c r="G1028" s="226" t="s">
        <v>16957</v>
      </c>
      <c r="H1028" s="343">
        <v>12943</v>
      </c>
      <c r="I1028" s="342"/>
      <c r="J1028" s="346"/>
      <c r="K1028" s="345">
        <f>IFERROR(Table15[[#This Row],[ROUTE $]]/Table15[[#This Row],[E - DEMAND]],0)</f>
        <v>0</v>
      </c>
      <c r="L1028" s="212"/>
      <c r="M1028" s="413">
        <f>IFERROR(VLOOKUP(Table15[[#This Row],[ROUTE]],DEMAND!A:F,5,FALSE),0)</f>
        <v>0</v>
      </c>
      <c r="N1028" s="251">
        <f>IFERROR(VLOOKUP(Table15[[#This Row],[ROUTE]],DEMAND!A:F,6,FALSE),0)</f>
        <v>0</v>
      </c>
      <c r="O1028" s="349"/>
      <c r="P1028" s="349"/>
      <c r="Q1028" s="416">
        <f>IFERROR(VLOOKUP(Table15[[#This Row],[ROUTE]],PRICING!A:B,2,FALSE),0)</f>
        <v>0</v>
      </c>
      <c r="R1028" s="409">
        <f>IFERROR(Table15[[#This Row],[C_DEMAND]]-Table15[[#This Row],[R-DEMAND]],0)</f>
        <v>0</v>
      </c>
      <c r="S1028" s="410">
        <f t="shared" si="16"/>
        <v>0</v>
      </c>
      <c r="T1028" s="420">
        <f>Table15[[#This Row],[R-DEMAND]]-(Table15[[#This Row],[ADD ACC]]*1706)</f>
        <v>0</v>
      </c>
      <c r="U1028" s="420">
        <f>ROUNDDOWN(Table15[[#This Row],[Column1]]/1360,0)</f>
        <v>0</v>
      </c>
      <c r="V1028" s="420"/>
      <c r="W1028" s="349"/>
      <c r="X1028" s="349"/>
      <c r="Y1028" s="349"/>
      <c r="Z1028" s="349"/>
    </row>
    <row r="1029" spans="1:26" ht="15.75" customHeight="1" x14ac:dyDescent="0.25">
      <c r="A1029" s="341" t="s">
        <v>18177</v>
      </c>
      <c r="B1029" s="212" t="s">
        <v>1612</v>
      </c>
      <c r="C1029" s="212"/>
      <c r="D1029" s="226">
        <v>1</v>
      </c>
      <c r="E1029" s="226" t="s">
        <v>11732</v>
      </c>
      <c r="F1029" s="212" t="s">
        <v>15969</v>
      </c>
      <c r="G1029" s="226" t="s">
        <v>16960</v>
      </c>
      <c r="H1029" s="343">
        <v>12918</v>
      </c>
      <c r="I1029" s="342"/>
      <c r="J1029" s="346"/>
      <c r="K1029" s="345">
        <f>IFERROR(Table15[[#This Row],[ROUTE $]]/Table15[[#This Row],[E - DEMAND]],0)</f>
        <v>0</v>
      </c>
      <c r="L1029" s="212"/>
      <c r="M1029" s="413">
        <f>IFERROR(VLOOKUP(Table15[[#This Row],[ROUTE]],DEMAND!A:F,5,FALSE),0)</f>
        <v>0</v>
      </c>
      <c r="N1029" s="251">
        <f>IFERROR(VLOOKUP(Table15[[#This Row],[ROUTE]],DEMAND!A:F,6,FALSE),0)</f>
        <v>0</v>
      </c>
      <c r="O1029" s="349"/>
      <c r="P1029" s="349"/>
      <c r="Q1029" s="416">
        <f>IFERROR(VLOOKUP(Table15[[#This Row],[ROUTE]],PRICING!A:B,2,FALSE),0)</f>
        <v>0</v>
      </c>
      <c r="R1029" s="409">
        <f>IFERROR(Table15[[#This Row],[C_DEMAND]]-Table15[[#This Row],[R-DEMAND]],0)</f>
        <v>0</v>
      </c>
      <c r="S1029" s="410">
        <f t="shared" si="16"/>
        <v>0</v>
      </c>
      <c r="T1029" s="420">
        <f>Table15[[#This Row],[R-DEMAND]]-(Table15[[#This Row],[ADD ACC]]*1706)</f>
        <v>0</v>
      </c>
      <c r="U1029" s="420">
        <f>ROUNDDOWN(Table15[[#This Row],[Column1]]/1360,0)</f>
        <v>0</v>
      </c>
      <c r="V1029" s="420"/>
      <c r="W1029" s="349"/>
      <c r="X1029" s="349"/>
      <c r="Y1029" s="349"/>
      <c r="Z1029" s="349"/>
    </row>
    <row r="1030" spans="1:26" ht="15.75" customHeight="1" x14ac:dyDescent="0.25">
      <c r="A1030" s="341" t="s">
        <v>18180</v>
      </c>
      <c r="B1030" s="212" t="s">
        <v>1701</v>
      </c>
      <c r="C1030" s="212"/>
      <c r="D1030" s="226">
        <v>1</v>
      </c>
      <c r="E1030" s="226" t="s">
        <v>11732</v>
      </c>
      <c r="F1030" s="212" t="s">
        <v>15969</v>
      </c>
      <c r="G1030" s="226" t="s">
        <v>17010</v>
      </c>
      <c r="H1030" s="343">
        <v>12820</v>
      </c>
      <c r="I1030" s="342"/>
      <c r="J1030" s="346"/>
      <c r="K1030" s="345">
        <f>IFERROR(Table15[[#This Row],[ROUTE $]]/Table15[[#This Row],[E - DEMAND]],0)</f>
        <v>0</v>
      </c>
      <c r="L1030" s="212"/>
      <c r="M1030" s="413">
        <f>IFERROR(VLOOKUP(Table15[[#This Row],[ROUTE]],DEMAND!A:F,5,FALSE),0)</f>
        <v>0</v>
      </c>
      <c r="N1030" s="251">
        <f>IFERROR(VLOOKUP(Table15[[#This Row],[ROUTE]],DEMAND!A:F,6,FALSE),0)</f>
        <v>0</v>
      </c>
      <c r="O1030" s="349"/>
      <c r="P1030" s="349"/>
      <c r="Q1030" s="416">
        <f>IFERROR(VLOOKUP(Table15[[#This Row],[ROUTE]],PRICING!A:B,2,FALSE),0)</f>
        <v>0</v>
      </c>
      <c r="R1030" s="409">
        <f>IFERROR(Table15[[#This Row],[C_DEMAND]]-Table15[[#This Row],[R-DEMAND]],0)</f>
        <v>0</v>
      </c>
      <c r="S1030" s="410">
        <f t="shared" si="16"/>
        <v>0</v>
      </c>
      <c r="T1030" s="420">
        <f>Table15[[#This Row],[R-DEMAND]]-(Table15[[#This Row],[ADD ACC]]*1706)</f>
        <v>0</v>
      </c>
      <c r="U1030" s="420">
        <f>ROUNDDOWN(Table15[[#This Row],[Column1]]/1360,0)</f>
        <v>0</v>
      </c>
      <c r="V1030" s="420"/>
      <c r="W1030" s="349"/>
      <c r="X1030" s="349"/>
      <c r="Y1030" s="349"/>
      <c r="Z1030" s="349"/>
    </row>
    <row r="1031" spans="1:26" ht="15.75" customHeight="1" x14ac:dyDescent="0.25">
      <c r="A1031" s="341" t="s">
        <v>18183</v>
      </c>
      <c r="B1031" s="212" t="s">
        <v>1805</v>
      </c>
      <c r="C1031" s="212"/>
      <c r="D1031" s="226">
        <v>1</v>
      </c>
      <c r="E1031" s="226" t="s">
        <v>11732</v>
      </c>
      <c r="F1031" s="212" t="s">
        <v>15969</v>
      </c>
      <c r="G1031" s="226" t="s">
        <v>17007</v>
      </c>
      <c r="H1031" s="343">
        <v>12774</v>
      </c>
      <c r="I1031" s="342"/>
      <c r="J1031" s="346"/>
      <c r="K1031" s="345">
        <f>IFERROR(Table15[[#This Row],[ROUTE $]]/Table15[[#This Row],[E - DEMAND]],0)</f>
        <v>0</v>
      </c>
      <c r="L1031" s="212"/>
      <c r="M1031" s="413">
        <f>IFERROR(VLOOKUP(Table15[[#This Row],[ROUTE]],DEMAND!A:F,5,FALSE),0)</f>
        <v>0</v>
      </c>
      <c r="N1031" s="251">
        <f>IFERROR(VLOOKUP(Table15[[#This Row],[ROUTE]],DEMAND!A:F,6,FALSE),0)</f>
        <v>0</v>
      </c>
      <c r="O1031" s="349"/>
      <c r="P1031" s="349"/>
      <c r="Q1031" s="416">
        <f>IFERROR(VLOOKUP(Table15[[#This Row],[ROUTE]],PRICING!A:B,2,FALSE),0)</f>
        <v>0</v>
      </c>
      <c r="R1031" s="409">
        <f>IFERROR(Table15[[#This Row],[C_DEMAND]]-Table15[[#This Row],[R-DEMAND]],0)</f>
        <v>0</v>
      </c>
      <c r="S1031" s="410">
        <f t="shared" si="16"/>
        <v>0</v>
      </c>
      <c r="T1031" s="420">
        <f>Table15[[#This Row],[R-DEMAND]]-(Table15[[#This Row],[ADD ACC]]*1706)</f>
        <v>0</v>
      </c>
      <c r="U1031" s="420">
        <f>ROUNDDOWN(Table15[[#This Row],[Column1]]/1360,0)</f>
        <v>0</v>
      </c>
      <c r="V1031" s="420"/>
      <c r="W1031" s="349"/>
      <c r="X1031" s="349"/>
      <c r="Y1031" s="349"/>
      <c r="Z1031" s="349"/>
    </row>
    <row r="1032" spans="1:26" ht="15.75" customHeight="1" x14ac:dyDescent="0.25">
      <c r="A1032" s="341" t="s">
        <v>18184</v>
      </c>
      <c r="B1032" s="212" t="s">
        <v>2130</v>
      </c>
      <c r="C1032" s="212"/>
      <c r="D1032" s="226">
        <v>1</v>
      </c>
      <c r="E1032" s="226" t="s">
        <v>11732</v>
      </c>
      <c r="F1032" s="212" t="s">
        <v>15969</v>
      </c>
      <c r="G1032" s="226" t="s">
        <v>16948</v>
      </c>
      <c r="H1032" s="343">
        <v>12765</v>
      </c>
      <c r="I1032" s="342"/>
      <c r="J1032" s="346"/>
      <c r="K1032" s="345">
        <f>IFERROR(Table15[[#This Row],[ROUTE $]]/Table15[[#This Row],[E - DEMAND]],0)</f>
        <v>0</v>
      </c>
      <c r="L1032" s="212"/>
      <c r="M1032" s="413">
        <f>IFERROR(VLOOKUP(Table15[[#This Row],[ROUTE]],DEMAND!A:F,5,FALSE),0)</f>
        <v>0</v>
      </c>
      <c r="N1032" s="251">
        <f>IFERROR(VLOOKUP(Table15[[#This Row],[ROUTE]],DEMAND!A:F,6,FALSE),0)</f>
        <v>0</v>
      </c>
      <c r="O1032" s="349"/>
      <c r="P1032" s="349"/>
      <c r="Q1032" s="416">
        <f>IFERROR(VLOOKUP(Table15[[#This Row],[ROUTE]],PRICING!A:B,2,FALSE),0)</f>
        <v>0</v>
      </c>
      <c r="R1032" s="409">
        <f>IFERROR(Table15[[#This Row],[C_DEMAND]]-Table15[[#This Row],[R-DEMAND]],0)</f>
        <v>0</v>
      </c>
      <c r="S1032" s="410">
        <f t="shared" si="16"/>
        <v>0</v>
      </c>
      <c r="T1032" s="420">
        <f>Table15[[#This Row],[R-DEMAND]]-(Table15[[#This Row],[ADD ACC]]*1706)</f>
        <v>0</v>
      </c>
      <c r="U1032" s="420">
        <f>ROUNDDOWN(Table15[[#This Row],[Column1]]/1360,0)</f>
        <v>0</v>
      </c>
      <c r="V1032" s="420"/>
      <c r="W1032" s="349"/>
      <c r="X1032" s="349"/>
      <c r="Y1032" s="349"/>
      <c r="Z1032" s="349"/>
    </row>
    <row r="1033" spans="1:26" ht="15.75" customHeight="1" x14ac:dyDescent="0.25">
      <c r="A1033" s="341" t="s">
        <v>18193</v>
      </c>
      <c r="B1033" s="212" t="s">
        <v>1156</v>
      </c>
      <c r="C1033" s="212"/>
      <c r="D1033" s="226">
        <v>1</v>
      </c>
      <c r="E1033" s="226" t="s">
        <v>11732</v>
      </c>
      <c r="F1033" s="212" t="s">
        <v>15969</v>
      </c>
      <c r="G1033" s="226" t="s">
        <v>16985</v>
      </c>
      <c r="H1033" s="343">
        <v>12494</v>
      </c>
      <c r="I1033" s="342"/>
      <c r="J1033" s="346"/>
      <c r="K1033" s="345">
        <f>IFERROR(Table15[[#This Row],[ROUTE $]]/Table15[[#This Row],[E - DEMAND]],0)</f>
        <v>0</v>
      </c>
      <c r="L1033" s="212"/>
      <c r="M1033" s="413">
        <f>IFERROR(VLOOKUP(Table15[[#This Row],[ROUTE]],DEMAND!A:F,5,FALSE),0)</f>
        <v>0</v>
      </c>
      <c r="N1033" s="251">
        <f>IFERROR(VLOOKUP(Table15[[#This Row],[ROUTE]],DEMAND!A:F,6,FALSE),0)</f>
        <v>0</v>
      </c>
      <c r="O1033" s="349"/>
      <c r="P1033" s="349"/>
      <c r="Q1033" s="416">
        <f>IFERROR(VLOOKUP(Table15[[#This Row],[ROUTE]],PRICING!A:B,2,FALSE),0)</f>
        <v>0</v>
      </c>
      <c r="R1033" s="409">
        <f>IFERROR(Table15[[#This Row],[C_DEMAND]]-Table15[[#This Row],[R-DEMAND]],0)</f>
        <v>0</v>
      </c>
      <c r="S1033" s="410">
        <f t="shared" si="16"/>
        <v>0</v>
      </c>
      <c r="T1033" s="420">
        <f>Table15[[#This Row],[R-DEMAND]]-(Table15[[#This Row],[ADD ACC]]*1706)</f>
        <v>0</v>
      </c>
      <c r="U1033" s="420">
        <f>ROUNDDOWN(Table15[[#This Row],[Column1]]/1360,0)</f>
        <v>0</v>
      </c>
      <c r="V1033" s="420"/>
      <c r="W1033" s="349"/>
      <c r="X1033" s="349"/>
      <c r="Y1033" s="349"/>
      <c r="Z1033" s="349"/>
    </row>
    <row r="1034" spans="1:26" ht="15.75" customHeight="1" x14ac:dyDescent="0.25">
      <c r="A1034" s="341" t="s">
        <v>18197</v>
      </c>
      <c r="B1034" s="212" t="s">
        <v>1364</v>
      </c>
      <c r="C1034" s="212"/>
      <c r="D1034" s="226">
        <v>1</v>
      </c>
      <c r="E1034" s="226" t="s">
        <v>11732</v>
      </c>
      <c r="F1034" s="212" t="s">
        <v>15969</v>
      </c>
      <c r="G1034" s="226" t="s">
        <v>17008</v>
      </c>
      <c r="H1034" s="343">
        <v>12346</v>
      </c>
      <c r="I1034" s="342"/>
      <c r="J1034" s="346"/>
      <c r="K1034" s="345">
        <f>IFERROR(Table15[[#This Row],[ROUTE $]]/Table15[[#This Row],[E - DEMAND]],0)</f>
        <v>0</v>
      </c>
      <c r="L1034" s="212"/>
      <c r="M1034" s="413">
        <f>IFERROR(VLOOKUP(Table15[[#This Row],[ROUTE]],DEMAND!A:F,5,FALSE),0)</f>
        <v>0</v>
      </c>
      <c r="N1034" s="251">
        <f>IFERROR(VLOOKUP(Table15[[#This Row],[ROUTE]],DEMAND!A:F,6,FALSE),0)</f>
        <v>0</v>
      </c>
      <c r="O1034" s="349"/>
      <c r="P1034" s="349"/>
      <c r="Q1034" s="416">
        <f>IFERROR(VLOOKUP(Table15[[#This Row],[ROUTE]],PRICING!A:B,2,FALSE),0)</f>
        <v>0</v>
      </c>
      <c r="R1034" s="409">
        <f>IFERROR(Table15[[#This Row],[C_DEMAND]]-Table15[[#This Row],[R-DEMAND]],0)</f>
        <v>0</v>
      </c>
      <c r="S1034" s="410">
        <f t="shared" si="16"/>
        <v>0</v>
      </c>
      <c r="T1034" s="420">
        <f>Table15[[#This Row],[R-DEMAND]]-(Table15[[#This Row],[ADD ACC]]*1706)</f>
        <v>0</v>
      </c>
      <c r="U1034" s="420">
        <f>ROUNDDOWN(Table15[[#This Row],[Column1]]/1360,0)</f>
        <v>0</v>
      </c>
      <c r="V1034" s="420"/>
      <c r="W1034" s="349"/>
      <c r="X1034" s="349"/>
      <c r="Y1034" s="349"/>
      <c r="Z1034" s="349"/>
    </row>
    <row r="1035" spans="1:26" ht="15.75" customHeight="1" x14ac:dyDescent="0.25">
      <c r="A1035" s="341" t="s">
        <v>18122</v>
      </c>
      <c r="B1035" s="212" t="s">
        <v>4361</v>
      </c>
      <c r="C1035" s="212"/>
      <c r="D1035" s="226">
        <v>0</v>
      </c>
      <c r="E1035" s="226" t="s">
        <v>11732</v>
      </c>
      <c r="F1035" s="212" t="s">
        <v>15969</v>
      </c>
      <c r="G1035" s="226" t="s">
        <v>17001</v>
      </c>
      <c r="H1035" s="343">
        <v>14877</v>
      </c>
      <c r="I1035" s="342"/>
      <c r="J1035" s="346"/>
      <c r="K1035" s="345">
        <f>IFERROR(Table15[[#This Row],[ROUTE $]]/Table15[[#This Row],[E - DEMAND]],0)</f>
        <v>0</v>
      </c>
      <c r="L1035" s="212"/>
      <c r="M1035" s="413">
        <f>IFERROR(VLOOKUP(Table15[[#This Row],[ROUTE]],DEMAND!A:F,5,FALSE),0)</f>
        <v>0</v>
      </c>
      <c r="N1035" s="251">
        <f>IFERROR(VLOOKUP(Table15[[#This Row],[ROUTE]],DEMAND!A:F,6,FALSE),0)</f>
        <v>0</v>
      </c>
      <c r="O1035" s="349"/>
      <c r="P1035" s="349"/>
      <c r="Q1035" s="416">
        <f>IFERROR(VLOOKUP(Table15[[#This Row],[ROUTE]],PRICING!A:B,2,FALSE),0)</f>
        <v>0</v>
      </c>
      <c r="R1035" s="409">
        <f>IFERROR(Table15[[#This Row],[C_DEMAND]]-Table15[[#This Row],[R-DEMAND]],0)</f>
        <v>0</v>
      </c>
      <c r="S1035" s="410">
        <f t="shared" si="16"/>
        <v>0</v>
      </c>
      <c r="T1035" s="420">
        <f>Table15[[#This Row],[R-DEMAND]]-(Table15[[#This Row],[ADD ACC]]*1706)</f>
        <v>0</v>
      </c>
      <c r="U1035" s="420">
        <f>ROUNDDOWN(Table15[[#This Row],[Column1]]/1360,0)</f>
        <v>0</v>
      </c>
      <c r="V1035" s="420"/>
      <c r="W1035" s="349"/>
      <c r="X1035" s="349"/>
      <c r="Y1035" s="349"/>
      <c r="Z1035" s="349"/>
    </row>
    <row r="1036" spans="1:26" ht="15.75" customHeight="1" x14ac:dyDescent="0.25">
      <c r="A1036" s="341" t="s">
        <v>18123</v>
      </c>
      <c r="B1036" s="212" t="s">
        <v>3321</v>
      </c>
      <c r="C1036" s="212"/>
      <c r="D1036" s="226">
        <v>0</v>
      </c>
      <c r="E1036" s="226" t="s">
        <v>11732</v>
      </c>
      <c r="F1036" s="212" t="s">
        <v>15969</v>
      </c>
      <c r="G1036" s="226" t="s">
        <v>16988</v>
      </c>
      <c r="H1036" s="343">
        <v>14768</v>
      </c>
      <c r="I1036" s="342"/>
      <c r="J1036" s="346"/>
      <c r="K1036" s="345">
        <f>IFERROR(Table15[[#This Row],[ROUTE $]]/Table15[[#This Row],[E - DEMAND]],0)</f>
        <v>0</v>
      </c>
      <c r="L1036" s="212"/>
      <c r="M1036" s="413">
        <f>IFERROR(VLOOKUP(Table15[[#This Row],[ROUTE]],DEMAND!A:F,5,FALSE),0)</f>
        <v>0</v>
      </c>
      <c r="N1036" s="251">
        <f>IFERROR(VLOOKUP(Table15[[#This Row],[ROUTE]],DEMAND!A:F,6,FALSE),0)</f>
        <v>0</v>
      </c>
      <c r="O1036" s="349"/>
      <c r="P1036" s="349"/>
      <c r="Q1036" s="416">
        <f>IFERROR(VLOOKUP(Table15[[#This Row],[ROUTE]],PRICING!A:B,2,FALSE),0)</f>
        <v>0</v>
      </c>
      <c r="R1036" s="409">
        <f>IFERROR(Table15[[#This Row],[C_DEMAND]]-Table15[[#This Row],[R-DEMAND]],0)</f>
        <v>0</v>
      </c>
      <c r="S1036" s="410">
        <f t="shared" si="16"/>
        <v>0</v>
      </c>
      <c r="T1036" s="420">
        <f>Table15[[#This Row],[R-DEMAND]]-(Table15[[#This Row],[ADD ACC]]*1706)</f>
        <v>0</v>
      </c>
      <c r="U1036" s="420">
        <f>ROUNDDOWN(Table15[[#This Row],[Column1]]/1360,0)</f>
        <v>0</v>
      </c>
      <c r="V1036" s="420"/>
      <c r="W1036" s="349"/>
      <c r="X1036" s="349"/>
      <c r="Y1036" s="349"/>
      <c r="Z1036" s="349"/>
    </row>
    <row r="1037" spans="1:26" ht="15.75" customHeight="1" x14ac:dyDescent="0.25">
      <c r="A1037" s="341" t="s">
        <v>18134</v>
      </c>
      <c r="B1037" s="212" t="s">
        <v>4443</v>
      </c>
      <c r="C1037" s="212"/>
      <c r="D1037" s="226">
        <v>0</v>
      </c>
      <c r="E1037" s="226" t="s">
        <v>11732</v>
      </c>
      <c r="F1037" s="212" t="s">
        <v>15969</v>
      </c>
      <c r="G1037" s="226" t="s">
        <v>17015</v>
      </c>
      <c r="H1037" s="343">
        <v>14186</v>
      </c>
      <c r="I1037" s="342"/>
      <c r="J1037" s="346"/>
      <c r="K1037" s="345">
        <f>IFERROR(Table15[[#This Row],[ROUTE $]]/Table15[[#This Row],[E - DEMAND]],0)</f>
        <v>0</v>
      </c>
      <c r="L1037" s="212"/>
      <c r="M1037" s="413">
        <f>IFERROR(VLOOKUP(Table15[[#This Row],[ROUTE]],DEMAND!A:F,5,FALSE),0)</f>
        <v>0</v>
      </c>
      <c r="N1037" s="251">
        <f>IFERROR(VLOOKUP(Table15[[#This Row],[ROUTE]],DEMAND!A:F,6,FALSE),0)</f>
        <v>0</v>
      </c>
      <c r="O1037" s="349"/>
      <c r="P1037" s="349"/>
      <c r="Q1037" s="416">
        <f>IFERROR(VLOOKUP(Table15[[#This Row],[ROUTE]],PRICING!A:B,2,FALSE),0)</f>
        <v>0</v>
      </c>
      <c r="R1037" s="409">
        <f>IFERROR(Table15[[#This Row],[C_DEMAND]]-Table15[[#This Row],[R-DEMAND]],0)</f>
        <v>0</v>
      </c>
      <c r="S1037" s="410">
        <f t="shared" si="16"/>
        <v>0</v>
      </c>
      <c r="T1037" s="420">
        <f>Table15[[#This Row],[R-DEMAND]]-(Table15[[#This Row],[ADD ACC]]*1706)</f>
        <v>0</v>
      </c>
      <c r="U1037" s="420">
        <f>ROUNDDOWN(Table15[[#This Row],[Column1]]/1360,0)</f>
        <v>0</v>
      </c>
      <c r="V1037" s="420"/>
      <c r="W1037" s="349"/>
      <c r="X1037" s="349"/>
      <c r="Y1037" s="349"/>
      <c r="Z1037" s="349"/>
    </row>
    <row r="1038" spans="1:26" ht="15.75" customHeight="1" x14ac:dyDescent="0.25">
      <c r="A1038" s="341" t="s">
        <v>18137</v>
      </c>
      <c r="B1038" s="212" t="s">
        <v>4154</v>
      </c>
      <c r="C1038" s="212"/>
      <c r="D1038" s="226">
        <v>0</v>
      </c>
      <c r="E1038" s="226" t="s">
        <v>11732</v>
      </c>
      <c r="F1038" s="212" t="s">
        <v>15969</v>
      </c>
      <c r="G1038" s="226" t="s">
        <v>17016</v>
      </c>
      <c r="H1038" s="343">
        <v>14126</v>
      </c>
      <c r="I1038" s="342"/>
      <c r="J1038" s="346"/>
      <c r="K1038" s="345">
        <f>IFERROR(Table15[[#This Row],[ROUTE $]]/Table15[[#This Row],[E - DEMAND]],0)</f>
        <v>0</v>
      </c>
      <c r="L1038" s="212"/>
      <c r="M1038" s="413">
        <f>IFERROR(VLOOKUP(Table15[[#This Row],[ROUTE]],DEMAND!A:F,5,FALSE),0)</f>
        <v>0</v>
      </c>
      <c r="N1038" s="251">
        <f>IFERROR(VLOOKUP(Table15[[#This Row],[ROUTE]],DEMAND!A:F,6,FALSE),0)</f>
        <v>0</v>
      </c>
      <c r="O1038" s="349"/>
      <c r="P1038" s="349"/>
      <c r="Q1038" s="416">
        <f>IFERROR(VLOOKUP(Table15[[#This Row],[ROUTE]],PRICING!A:B,2,FALSE),0)</f>
        <v>0</v>
      </c>
      <c r="R1038" s="409">
        <f>IFERROR(Table15[[#This Row],[C_DEMAND]]-Table15[[#This Row],[R-DEMAND]],0)</f>
        <v>0</v>
      </c>
      <c r="S1038" s="410">
        <f t="shared" si="16"/>
        <v>0</v>
      </c>
      <c r="T1038" s="420">
        <f>Table15[[#This Row],[R-DEMAND]]-(Table15[[#This Row],[ADD ACC]]*1706)</f>
        <v>0</v>
      </c>
      <c r="U1038" s="420">
        <f>ROUNDDOWN(Table15[[#This Row],[Column1]]/1360,0)</f>
        <v>0</v>
      </c>
      <c r="V1038" s="420"/>
      <c r="W1038" s="349"/>
      <c r="X1038" s="349"/>
      <c r="Y1038" s="349"/>
      <c r="Z1038" s="349"/>
    </row>
    <row r="1039" spans="1:26" ht="15.75" customHeight="1" x14ac:dyDescent="0.25">
      <c r="A1039" s="341" t="s">
        <v>18138</v>
      </c>
      <c r="B1039" s="212" t="s">
        <v>4041</v>
      </c>
      <c r="C1039" s="212"/>
      <c r="D1039" s="226">
        <v>0</v>
      </c>
      <c r="E1039" s="226" t="s">
        <v>11732</v>
      </c>
      <c r="F1039" s="212" t="s">
        <v>15969</v>
      </c>
      <c r="G1039" s="226" t="s">
        <v>17006</v>
      </c>
      <c r="H1039" s="343">
        <v>14116</v>
      </c>
      <c r="I1039" s="342"/>
      <c r="J1039" s="346"/>
      <c r="K1039" s="345">
        <f>IFERROR(Table15[[#This Row],[ROUTE $]]/Table15[[#This Row],[E - DEMAND]],0)</f>
        <v>0</v>
      </c>
      <c r="L1039" s="212"/>
      <c r="M1039" s="413">
        <f>IFERROR(VLOOKUP(Table15[[#This Row],[ROUTE]],DEMAND!A:F,5,FALSE),0)</f>
        <v>0</v>
      </c>
      <c r="N1039" s="251">
        <f>IFERROR(VLOOKUP(Table15[[#This Row],[ROUTE]],DEMAND!A:F,6,FALSE),0)</f>
        <v>0</v>
      </c>
      <c r="O1039" s="349"/>
      <c r="P1039" s="349"/>
      <c r="Q1039" s="416">
        <f>IFERROR(VLOOKUP(Table15[[#This Row],[ROUTE]],PRICING!A:B,2,FALSE),0)</f>
        <v>0</v>
      </c>
      <c r="R1039" s="409">
        <f>IFERROR(Table15[[#This Row],[C_DEMAND]]-Table15[[#This Row],[R-DEMAND]],0)</f>
        <v>0</v>
      </c>
      <c r="S1039" s="410">
        <f t="shared" si="16"/>
        <v>0</v>
      </c>
      <c r="T1039" s="420">
        <f>Table15[[#This Row],[R-DEMAND]]-(Table15[[#This Row],[ADD ACC]]*1706)</f>
        <v>0</v>
      </c>
      <c r="U1039" s="420">
        <f>ROUNDDOWN(Table15[[#This Row],[Column1]]/1360,0)</f>
        <v>0</v>
      </c>
      <c r="V1039" s="420"/>
      <c r="W1039" s="349"/>
      <c r="X1039" s="349"/>
      <c r="Y1039" s="349"/>
      <c r="Z1039" s="349"/>
    </row>
    <row r="1040" spans="1:26" ht="15.75" customHeight="1" x14ac:dyDescent="0.25">
      <c r="A1040" s="341" t="s">
        <v>18139</v>
      </c>
      <c r="B1040" s="212" t="s">
        <v>4723</v>
      </c>
      <c r="C1040" s="212"/>
      <c r="D1040" s="226">
        <v>0</v>
      </c>
      <c r="E1040" s="226" t="s">
        <v>11732</v>
      </c>
      <c r="F1040" s="212" t="s">
        <v>15969</v>
      </c>
      <c r="G1040" s="226" t="s">
        <v>17011</v>
      </c>
      <c r="H1040" s="343">
        <v>14022</v>
      </c>
      <c r="I1040" s="342"/>
      <c r="J1040" s="346"/>
      <c r="K1040" s="345">
        <f>IFERROR(Table15[[#This Row],[ROUTE $]]/Table15[[#This Row],[E - DEMAND]],0)</f>
        <v>0</v>
      </c>
      <c r="L1040" s="212"/>
      <c r="M1040" s="413">
        <f>IFERROR(VLOOKUP(Table15[[#This Row],[ROUTE]],DEMAND!A:F,5,FALSE),0)</f>
        <v>0</v>
      </c>
      <c r="N1040" s="251">
        <f>IFERROR(VLOOKUP(Table15[[#This Row],[ROUTE]],DEMAND!A:F,6,FALSE),0)</f>
        <v>0</v>
      </c>
      <c r="O1040" s="349"/>
      <c r="P1040" s="349"/>
      <c r="Q1040" s="416">
        <f>IFERROR(VLOOKUP(Table15[[#This Row],[ROUTE]],PRICING!A:B,2,FALSE),0)</f>
        <v>0</v>
      </c>
      <c r="R1040" s="409">
        <f>IFERROR(Table15[[#This Row],[C_DEMAND]]-Table15[[#This Row],[R-DEMAND]],0)</f>
        <v>0</v>
      </c>
      <c r="S1040" s="410">
        <f t="shared" si="16"/>
        <v>0</v>
      </c>
      <c r="T1040" s="420">
        <f>Table15[[#This Row],[R-DEMAND]]-(Table15[[#This Row],[ADD ACC]]*1706)</f>
        <v>0</v>
      </c>
      <c r="U1040" s="420">
        <f>ROUNDDOWN(Table15[[#This Row],[Column1]]/1360,0)</f>
        <v>0</v>
      </c>
      <c r="V1040" s="420"/>
      <c r="W1040" s="349"/>
      <c r="X1040" s="349"/>
      <c r="Y1040" s="349"/>
      <c r="Z1040" s="349"/>
    </row>
    <row r="1041" spans="1:26" ht="15.75" customHeight="1" x14ac:dyDescent="0.25">
      <c r="A1041" s="341" t="s">
        <v>18144</v>
      </c>
      <c r="B1041" s="212" t="s">
        <v>3765</v>
      </c>
      <c r="C1041" s="212"/>
      <c r="D1041" s="226">
        <v>0</v>
      </c>
      <c r="E1041" s="226" t="s">
        <v>11732</v>
      </c>
      <c r="F1041" s="212" t="s">
        <v>15969</v>
      </c>
      <c r="G1041" s="226" t="s">
        <v>17017</v>
      </c>
      <c r="H1041" s="343">
        <v>13893</v>
      </c>
      <c r="I1041" s="342"/>
      <c r="J1041" s="346"/>
      <c r="K1041" s="345">
        <f>IFERROR(Table15[[#This Row],[ROUTE $]]/Table15[[#This Row],[E - DEMAND]],0)</f>
        <v>0</v>
      </c>
      <c r="L1041" s="212"/>
      <c r="M1041" s="413">
        <f>IFERROR(VLOOKUP(Table15[[#This Row],[ROUTE]],DEMAND!A:F,5,FALSE),0)</f>
        <v>0</v>
      </c>
      <c r="N1041" s="251">
        <f>IFERROR(VLOOKUP(Table15[[#This Row],[ROUTE]],DEMAND!A:F,6,FALSE),0)</f>
        <v>0</v>
      </c>
      <c r="O1041" s="349"/>
      <c r="P1041" s="349"/>
      <c r="Q1041" s="416">
        <f>IFERROR(VLOOKUP(Table15[[#This Row],[ROUTE]],PRICING!A:B,2,FALSE),0)</f>
        <v>0</v>
      </c>
      <c r="R1041" s="409">
        <f>IFERROR(Table15[[#This Row],[C_DEMAND]]-Table15[[#This Row],[R-DEMAND]],0)</f>
        <v>0</v>
      </c>
      <c r="S1041" s="410">
        <f t="shared" si="16"/>
        <v>0</v>
      </c>
      <c r="T1041" s="420">
        <f>Table15[[#This Row],[R-DEMAND]]-(Table15[[#This Row],[ADD ACC]]*1706)</f>
        <v>0</v>
      </c>
      <c r="U1041" s="420">
        <f>ROUNDDOWN(Table15[[#This Row],[Column1]]/1360,0)</f>
        <v>0</v>
      </c>
      <c r="V1041" s="420"/>
      <c r="W1041" s="349"/>
      <c r="X1041" s="349"/>
      <c r="Y1041" s="349"/>
      <c r="Z1041" s="349"/>
    </row>
    <row r="1042" spans="1:26" ht="15.75" customHeight="1" x14ac:dyDescent="0.25">
      <c r="A1042" s="341" t="s">
        <v>18145</v>
      </c>
      <c r="B1042" s="212" t="s">
        <v>4192</v>
      </c>
      <c r="C1042" s="212"/>
      <c r="D1042" s="226">
        <v>0</v>
      </c>
      <c r="E1042" s="226" t="s">
        <v>11732</v>
      </c>
      <c r="F1042" s="212" t="s">
        <v>15969</v>
      </c>
      <c r="G1042" s="226" t="s">
        <v>16959</v>
      </c>
      <c r="H1042" s="343">
        <v>13876</v>
      </c>
      <c r="I1042" s="342"/>
      <c r="J1042" s="346"/>
      <c r="K1042" s="345">
        <f>IFERROR(Table15[[#This Row],[ROUTE $]]/Table15[[#This Row],[E - DEMAND]],0)</f>
        <v>0</v>
      </c>
      <c r="L1042" s="212"/>
      <c r="M1042" s="413">
        <f>IFERROR(VLOOKUP(Table15[[#This Row],[ROUTE]],DEMAND!A:F,5,FALSE),0)</f>
        <v>0</v>
      </c>
      <c r="N1042" s="251">
        <f>IFERROR(VLOOKUP(Table15[[#This Row],[ROUTE]],DEMAND!A:F,6,FALSE),0)</f>
        <v>0</v>
      </c>
      <c r="O1042" s="349"/>
      <c r="P1042" s="349"/>
      <c r="Q1042" s="416">
        <f>IFERROR(VLOOKUP(Table15[[#This Row],[ROUTE]],PRICING!A:B,2,FALSE),0)</f>
        <v>0</v>
      </c>
      <c r="R1042" s="409">
        <f>IFERROR(Table15[[#This Row],[C_DEMAND]]-Table15[[#This Row],[R-DEMAND]],0)</f>
        <v>0</v>
      </c>
      <c r="S1042" s="410">
        <f t="shared" si="16"/>
        <v>0</v>
      </c>
      <c r="T1042" s="420">
        <f>Table15[[#This Row],[R-DEMAND]]-(Table15[[#This Row],[ADD ACC]]*1706)</f>
        <v>0</v>
      </c>
      <c r="U1042" s="420">
        <f>ROUNDDOWN(Table15[[#This Row],[Column1]]/1360,0)</f>
        <v>0</v>
      </c>
      <c r="V1042" s="420"/>
      <c r="W1042" s="349"/>
      <c r="X1042" s="349"/>
      <c r="Y1042" s="349"/>
      <c r="Z1042" s="349"/>
    </row>
    <row r="1043" spans="1:26" ht="15.75" customHeight="1" x14ac:dyDescent="0.25">
      <c r="A1043" s="341" t="s">
        <v>18146</v>
      </c>
      <c r="B1043" s="212" t="s">
        <v>5027</v>
      </c>
      <c r="C1043" s="212"/>
      <c r="D1043" s="226">
        <v>0</v>
      </c>
      <c r="E1043" s="226" t="s">
        <v>11732</v>
      </c>
      <c r="F1043" s="212" t="s">
        <v>15969</v>
      </c>
      <c r="G1043" s="226" t="s">
        <v>17005</v>
      </c>
      <c r="H1043" s="343">
        <v>13830</v>
      </c>
      <c r="I1043" s="342"/>
      <c r="J1043" s="346"/>
      <c r="K1043" s="345">
        <f>IFERROR(Table15[[#This Row],[ROUTE $]]/Table15[[#This Row],[E - DEMAND]],0)</f>
        <v>0</v>
      </c>
      <c r="L1043" s="212"/>
      <c r="M1043" s="413">
        <f>IFERROR(VLOOKUP(Table15[[#This Row],[ROUTE]],DEMAND!A:F,5,FALSE),0)</f>
        <v>0</v>
      </c>
      <c r="N1043" s="251">
        <f>IFERROR(VLOOKUP(Table15[[#This Row],[ROUTE]],DEMAND!A:F,6,FALSE),0)</f>
        <v>0</v>
      </c>
      <c r="O1043" s="349"/>
      <c r="P1043" s="349"/>
      <c r="Q1043" s="416">
        <f>IFERROR(VLOOKUP(Table15[[#This Row],[ROUTE]],PRICING!A:B,2,FALSE),0)</f>
        <v>0</v>
      </c>
      <c r="R1043" s="409">
        <f>IFERROR(Table15[[#This Row],[C_DEMAND]]-Table15[[#This Row],[R-DEMAND]],0)</f>
        <v>0</v>
      </c>
      <c r="S1043" s="410">
        <f t="shared" si="16"/>
        <v>0</v>
      </c>
      <c r="T1043" s="420">
        <f>Table15[[#This Row],[R-DEMAND]]-(Table15[[#This Row],[ADD ACC]]*1706)</f>
        <v>0</v>
      </c>
      <c r="U1043" s="420">
        <f>ROUNDDOWN(Table15[[#This Row],[Column1]]/1360,0)</f>
        <v>0</v>
      </c>
      <c r="V1043" s="420"/>
      <c r="W1043" s="349"/>
      <c r="X1043" s="349"/>
      <c r="Y1043" s="349"/>
      <c r="Z1043" s="349"/>
    </row>
    <row r="1044" spans="1:26" ht="15.75" customHeight="1" x14ac:dyDescent="0.25">
      <c r="A1044" s="341" t="s">
        <v>18149</v>
      </c>
      <c r="B1044" s="212" t="s">
        <v>4607</v>
      </c>
      <c r="C1044" s="212"/>
      <c r="D1044" s="226">
        <v>0</v>
      </c>
      <c r="E1044" s="226" t="s">
        <v>11732</v>
      </c>
      <c r="F1044" s="212" t="s">
        <v>15969</v>
      </c>
      <c r="G1044" s="226" t="s">
        <v>16990</v>
      </c>
      <c r="H1044" s="343">
        <v>13716</v>
      </c>
      <c r="I1044" s="342"/>
      <c r="J1044" s="346"/>
      <c r="K1044" s="345">
        <f>IFERROR(Table15[[#This Row],[ROUTE $]]/Table15[[#This Row],[E - DEMAND]],0)</f>
        <v>0</v>
      </c>
      <c r="L1044" s="212"/>
      <c r="M1044" s="413">
        <f>IFERROR(VLOOKUP(Table15[[#This Row],[ROUTE]],DEMAND!A:F,5,FALSE),0)</f>
        <v>0</v>
      </c>
      <c r="N1044" s="251">
        <f>IFERROR(VLOOKUP(Table15[[#This Row],[ROUTE]],DEMAND!A:F,6,FALSE),0)</f>
        <v>0</v>
      </c>
      <c r="O1044" s="349"/>
      <c r="P1044" s="349"/>
      <c r="Q1044" s="416">
        <f>IFERROR(VLOOKUP(Table15[[#This Row],[ROUTE]],PRICING!A:B,2,FALSE),0)</f>
        <v>0</v>
      </c>
      <c r="R1044" s="409">
        <f>IFERROR(Table15[[#This Row],[C_DEMAND]]-Table15[[#This Row],[R-DEMAND]],0)</f>
        <v>0</v>
      </c>
      <c r="S1044" s="410">
        <f t="shared" si="16"/>
        <v>0</v>
      </c>
      <c r="T1044" s="420">
        <f>Table15[[#This Row],[R-DEMAND]]-(Table15[[#This Row],[ADD ACC]]*1706)</f>
        <v>0</v>
      </c>
      <c r="U1044" s="420">
        <f>ROUNDDOWN(Table15[[#This Row],[Column1]]/1360,0)</f>
        <v>0</v>
      </c>
      <c r="V1044" s="420"/>
      <c r="W1044" s="349"/>
      <c r="X1044" s="349"/>
      <c r="Y1044" s="349"/>
      <c r="Z1044" s="349"/>
    </row>
    <row r="1045" spans="1:26" ht="15.75" customHeight="1" x14ac:dyDescent="0.25">
      <c r="A1045" s="341" t="s">
        <v>18153</v>
      </c>
      <c r="B1045" s="212" t="s">
        <v>5023</v>
      </c>
      <c r="C1045" s="212"/>
      <c r="D1045" s="226">
        <v>0</v>
      </c>
      <c r="E1045" s="226" t="s">
        <v>11732</v>
      </c>
      <c r="F1045" s="212" t="s">
        <v>15969</v>
      </c>
      <c r="G1045" s="226" t="s">
        <v>17021</v>
      </c>
      <c r="H1045" s="343">
        <v>13561</v>
      </c>
      <c r="I1045" s="342"/>
      <c r="J1045" s="346"/>
      <c r="K1045" s="345">
        <f>IFERROR(Table15[[#This Row],[ROUTE $]]/Table15[[#This Row],[E - DEMAND]],0)</f>
        <v>0</v>
      </c>
      <c r="L1045" s="212"/>
      <c r="M1045" s="413">
        <f>IFERROR(VLOOKUP(Table15[[#This Row],[ROUTE]],DEMAND!A:F,5,FALSE),0)</f>
        <v>0</v>
      </c>
      <c r="N1045" s="251">
        <f>IFERROR(VLOOKUP(Table15[[#This Row],[ROUTE]],DEMAND!A:F,6,FALSE),0)</f>
        <v>0</v>
      </c>
      <c r="O1045" s="349"/>
      <c r="P1045" s="349"/>
      <c r="Q1045" s="416">
        <f>IFERROR(VLOOKUP(Table15[[#This Row],[ROUTE]],PRICING!A:B,2,FALSE),0)</f>
        <v>0</v>
      </c>
      <c r="R1045" s="409">
        <f>IFERROR(Table15[[#This Row],[C_DEMAND]]-Table15[[#This Row],[R-DEMAND]],0)</f>
        <v>0</v>
      </c>
      <c r="S1045" s="410">
        <f t="shared" si="16"/>
        <v>0</v>
      </c>
      <c r="T1045" s="420">
        <f>Table15[[#This Row],[R-DEMAND]]-(Table15[[#This Row],[ADD ACC]]*1706)</f>
        <v>0</v>
      </c>
      <c r="U1045" s="420">
        <f>ROUNDDOWN(Table15[[#This Row],[Column1]]/1360,0)</f>
        <v>0</v>
      </c>
      <c r="V1045" s="420"/>
      <c r="W1045" s="349"/>
      <c r="X1045" s="349"/>
      <c r="Y1045" s="349"/>
      <c r="Z1045" s="349"/>
    </row>
    <row r="1046" spans="1:26" ht="15.75" customHeight="1" x14ac:dyDescent="0.25">
      <c r="A1046" s="341" t="s">
        <v>18154</v>
      </c>
      <c r="B1046" s="212" t="s">
        <v>4598</v>
      </c>
      <c r="C1046" s="212"/>
      <c r="D1046" s="226">
        <v>0</v>
      </c>
      <c r="E1046" s="226" t="s">
        <v>11732</v>
      </c>
      <c r="F1046" s="212" t="s">
        <v>15969</v>
      </c>
      <c r="G1046" s="226" t="s">
        <v>17020</v>
      </c>
      <c r="H1046" s="343">
        <v>13510</v>
      </c>
      <c r="I1046" s="342"/>
      <c r="J1046" s="346"/>
      <c r="K1046" s="345">
        <f>IFERROR(Table15[[#This Row],[ROUTE $]]/Table15[[#This Row],[E - DEMAND]],0)</f>
        <v>0</v>
      </c>
      <c r="L1046" s="212"/>
      <c r="M1046" s="413">
        <f>IFERROR(VLOOKUP(Table15[[#This Row],[ROUTE]],DEMAND!A:F,5,FALSE),0)</f>
        <v>0</v>
      </c>
      <c r="N1046" s="251">
        <f>IFERROR(VLOOKUP(Table15[[#This Row],[ROUTE]],DEMAND!A:F,6,FALSE),0)</f>
        <v>0</v>
      </c>
      <c r="O1046" s="349"/>
      <c r="P1046" s="349"/>
      <c r="Q1046" s="416">
        <f>IFERROR(VLOOKUP(Table15[[#This Row],[ROUTE]],PRICING!A:B,2,FALSE),0)</f>
        <v>0</v>
      </c>
      <c r="R1046" s="409">
        <f>IFERROR(Table15[[#This Row],[C_DEMAND]]-Table15[[#This Row],[R-DEMAND]],0)</f>
        <v>0</v>
      </c>
      <c r="S1046" s="410">
        <f t="shared" si="16"/>
        <v>0</v>
      </c>
      <c r="T1046" s="420">
        <f>Table15[[#This Row],[R-DEMAND]]-(Table15[[#This Row],[ADD ACC]]*1706)</f>
        <v>0</v>
      </c>
      <c r="U1046" s="420">
        <f>ROUNDDOWN(Table15[[#This Row],[Column1]]/1360,0)</f>
        <v>0</v>
      </c>
      <c r="V1046" s="420"/>
      <c r="W1046" s="349"/>
      <c r="X1046" s="349"/>
      <c r="Y1046" s="349"/>
      <c r="Z1046" s="349"/>
    </row>
    <row r="1047" spans="1:26" ht="15.75" customHeight="1" x14ac:dyDescent="0.25">
      <c r="A1047" s="341" t="s">
        <v>18155</v>
      </c>
      <c r="B1047" s="212" t="s">
        <v>3823</v>
      </c>
      <c r="C1047" s="212"/>
      <c r="D1047" s="226">
        <v>0</v>
      </c>
      <c r="E1047" s="226" t="s">
        <v>11732</v>
      </c>
      <c r="F1047" s="212" t="s">
        <v>15969</v>
      </c>
      <c r="G1047" s="226" t="s">
        <v>16962</v>
      </c>
      <c r="H1047" s="343">
        <v>13488</v>
      </c>
      <c r="I1047" s="342"/>
      <c r="J1047" s="346"/>
      <c r="K1047" s="345">
        <f>IFERROR(Table15[[#This Row],[ROUTE $]]/Table15[[#This Row],[E - DEMAND]],0)</f>
        <v>0</v>
      </c>
      <c r="L1047" s="212"/>
      <c r="M1047" s="413">
        <f>IFERROR(VLOOKUP(Table15[[#This Row],[ROUTE]],DEMAND!A:F,5,FALSE),0)</f>
        <v>0</v>
      </c>
      <c r="N1047" s="251">
        <f>IFERROR(VLOOKUP(Table15[[#This Row],[ROUTE]],DEMAND!A:F,6,FALSE),0)</f>
        <v>0</v>
      </c>
      <c r="O1047" s="349"/>
      <c r="P1047" s="349"/>
      <c r="Q1047" s="416">
        <f>IFERROR(VLOOKUP(Table15[[#This Row],[ROUTE]],PRICING!A:B,2,FALSE),0)</f>
        <v>0</v>
      </c>
      <c r="R1047" s="409">
        <f>IFERROR(Table15[[#This Row],[C_DEMAND]]-Table15[[#This Row],[R-DEMAND]],0)</f>
        <v>0</v>
      </c>
      <c r="S1047" s="410">
        <f t="shared" si="16"/>
        <v>0</v>
      </c>
      <c r="T1047" s="420">
        <f>Table15[[#This Row],[R-DEMAND]]-(Table15[[#This Row],[ADD ACC]]*1706)</f>
        <v>0</v>
      </c>
      <c r="U1047" s="420">
        <f>ROUNDDOWN(Table15[[#This Row],[Column1]]/1360,0)</f>
        <v>0</v>
      </c>
      <c r="V1047" s="420"/>
      <c r="W1047" s="349"/>
      <c r="X1047" s="349"/>
      <c r="Y1047" s="349"/>
      <c r="Z1047" s="349"/>
    </row>
    <row r="1048" spans="1:26" ht="15.75" customHeight="1" x14ac:dyDescent="0.25">
      <c r="A1048" s="341" t="s">
        <v>18156</v>
      </c>
      <c r="B1048" s="212" t="s">
        <v>4867</v>
      </c>
      <c r="C1048" s="212"/>
      <c r="D1048" s="226">
        <v>0</v>
      </c>
      <c r="E1048" s="226" t="s">
        <v>11732</v>
      </c>
      <c r="F1048" s="212" t="s">
        <v>15969</v>
      </c>
      <c r="G1048" s="226" t="s">
        <v>17012</v>
      </c>
      <c r="H1048" s="343">
        <v>13445</v>
      </c>
      <c r="I1048" s="342"/>
      <c r="J1048" s="346"/>
      <c r="K1048" s="345">
        <f>IFERROR(Table15[[#This Row],[ROUTE $]]/Table15[[#This Row],[E - DEMAND]],0)</f>
        <v>0</v>
      </c>
      <c r="L1048" s="212"/>
      <c r="M1048" s="413">
        <f>IFERROR(VLOOKUP(Table15[[#This Row],[ROUTE]],DEMAND!A:F,5,FALSE),0)</f>
        <v>0</v>
      </c>
      <c r="N1048" s="251">
        <f>IFERROR(VLOOKUP(Table15[[#This Row],[ROUTE]],DEMAND!A:F,6,FALSE),0)</f>
        <v>0</v>
      </c>
      <c r="O1048" s="349"/>
      <c r="P1048" s="349"/>
      <c r="Q1048" s="416">
        <f>IFERROR(VLOOKUP(Table15[[#This Row],[ROUTE]],PRICING!A:B,2,FALSE),0)</f>
        <v>0</v>
      </c>
      <c r="R1048" s="409">
        <f>IFERROR(Table15[[#This Row],[C_DEMAND]]-Table15[[#This Row],[R-DEMAND]],0)</f>
        <v>0</v>
      </c>
      <c r="S1048" s="410">
        <f t="shared" si="16"/>
        <v>0</v>
      </c>
      <c r="T1048" s="420">
        <f>Table15[[#This Row],[R-DEMAND]]-(Table15[[#This Row],[ADD ACC]]*1706)</f>
        <v>0</v>
      </c>
      <c r="U1048" s="420">
        <f>ROUNDDOWN(Table15[[#This Row],[Column1]]/1360,0)</f>
        <v>0</v>
      </c>
      <c r="V1048" s="420"/>
      <c r="W1048" s="349"/>
      <c r="X1048" s="349"/>
      <c r="Y1048" s="349"/>
      <c r="Z1048" s="349"/>
    </row>
    <row r="1049" spans="1:26" ht="15.75" customHeight="1" x14ac:dyDescent="0.25">
      <c r="A1049" s="341" t="s">
        <v>18163</v>
      </c>
      <c r="B1049" s="212" t="s">
        <v>4893</v>
      </c>
      <c r="C1049" s="212"/>
      <c r="D1049" s="226">
        <v>0</v>
      </c>
      <c r="E1049" s="226" t="s">
        <v>11732</v>
      </c>
      <c r="F1049" s="212" t="s">
        <v>15969</v>
      </c>
      <c r="G1049" s="226" t="s">
        <v>16979</v>
      </c>
      <c r="H1049" s="343">
        <v>13136</v>
      </c>
      <c r="I1049" s="342"/>
      <c r="J1049" s="346"/>
      <c r="K1049" s="345">
        <f>IFERROR(Table15[[#This Row],[ROUTE $]]/Table15[[#This Row],[E - DEMAND]],0)</f>
        <v>0</v>
      </c>
      <c r="L1049" s="212"/>
      <c r="M1049" s="413">
        <f>IFERROR(VLOOKUP(Table15[[#This Row],[ROUTE]],DEMAND!A:F,5,FALSE),0)</f>
        <v>0</v>
      </c>
      <c r="N1049" s="251">
        <f>IFERROR(VLOOKUP(Table15[[#This Row],[ROUTE]],DEMAND!A:F,6,FALSE),0)</f>
        <v>0</v>
      </c>
      <c r="O1049" s="349"/>
      <c r="P1049" s="349"/>
      <c r="Q1049" s="416">
        <f>IFERROR(VLOOKUP(Table15[[#This Row],[ROUTE]],PRICING!A:B,2,FALSE),0)</f>
        <v>0</v>
      </c>
      <c r="R1049" s="409">
        <f>IFERROR(Table15[[#This Row],[C_DEMAND]]-Table15[[#This Row],[R-DEMAND]],0)</f>
        <v>0</v>
      </c>
      <c r="S1049" s="410">
        <f t="shared" si="16"/>
        <v>0</v>
      </c>
      <c r="T1049" s="420">
        <f>Table15[[#This Row],[R-DEMAND]]-(Table15[[#This Row],[ADD ACC]]*1706)</f>
        <v>0</v>
      </c>
      <c r="U1049" s="420">
        <f>ROUNDDOWN(Table15[[#This Row],[Column1]]/1360,0)</f>
        <v>0</v>
      </c>
      <c r="V1049" s="420"/>
      <c r="W1049" s="349"/>
      <c r="X1049" s="349"/>
      <c r="Y1049" s="349"/>
      <c r="Z1049" s="349"/>
    </row>
    <row r="1050" spans="1:26" ht="15.75" customHeight="1" x14ac:dyDescent="0.25">
      <c r="A1050" s="341" t="s">
        <v>18166</v>
      </c>
      <c r="B1050" s="212" t="s">
        <v>4522</v>
      </c>
      <c r="C1050" s="212"/>
      <c r="D1050" s="226">
        <v>0</v>
      </c>
      <c r="E1050" s="226" t="s">
        <v>11732</v>
      </c>
      <c r="F1050" s="212" t="s">
        <v>15969</v>
      </c>
      <c r="G1050" s="226" t="s">
        <v>16981</v>
      </c>
      <c r="H1050" s="343">
        <v>13055</v>
      </c>
      <c r="I1050" s="342"/>
      <c r="J1050" s="346"/>
      <c r="K1050" s="345">
        <f>IFERROR(Table15[[#This Row],[ROUTE $]]/Table15[[#This Row],[E - DEMAND]],0)</f>
        <v>0</v>
      </c>
      <c r="L1050" s="212"/>
      <c r="M1050" s="413">
        <f>IFERROR(VLOOKUP(Table15[[#This Row],[ROUTE]],DEMAND!A:F,5,FALSE),0)</f>
        <v>0</v>
      </c>
      <c r="N1050" s="251">
        <f>IFERROR(VLOOKUP(Table15[[#This Row],[ROUTE]],DEMAND!A:F,6,FALSE),0)</f>
        <v>0</v>
      </c>
      <c r="O1050" s="349"/>
      <c r="P1050" s="349"/>
      <c r="Q1050" s="416">
        <f>IFERROR(VLOOKUP(Table15[[#This Row],[ROUTE]],PRICING!A:B,2,FALSE),0)</f>
        <v>0</v>
      </c>
      <c r="R1050" s="409">
        <f>IFERROR(Table15[[#This Row],[C_DEMAND]]-Table15[[#This Row],[R-DEMAND]],0)</f>
        <v>0</v>
      </c>
      <c r="S1050" s="410">
        <f t="shared" si="16"/>
        <v>0</v>
      </c>
      <c r="T1050" s="420">
        <f>Table15[[#This Row],[R-DEMAND]]-(Table15[[#This Row],[ADD ACC]]*1706)</f>
        <v>0</v>
      </c>
      <c r="U1050" s="420">
        <f>ROUNDDOWN(Table15[[#This Row],[Column1]]/1360,0)</f>
        <v>0</v>
      </c>
      <c r="V1050" s="420"/>
      <c r="W1050" s="349"/>
      <c r="X1050" s="349"/>
      <c r="Y1050" s="349"/>
      <c r="Z1050" s="349"/>
    </row>
    <row r="1051" spans="1:26" ht="15.75" customHeight="1" x14ac:dyDescent="0.25">
      <c r="A1051" s="341" t="s">
        <v>18167</v>
      </c>
      <c r="B1051" s="212" t="s">
        <v>3605</v>
      </c>
      <c r="C1051" s="212"/>
      <c r="D1051" s="226">
        <v>0</v>
      </c>
      <c r="E1051" s="226" t="s">
        <v>11732</v>
      </c>
      <c r="F1051" s="212" t="s">
        <v>15969</v>
      </c>
      <c r="G1051" s="226" t="s">
        <v>16954</v>
      </c>
      <c r="H1051" s="343">
        <v>13039</v>
      </c>
      <c r="I1051" s="342"/>
      <c r="J1051" s="346"/>
      <c r="K1051" s="345">
        <f>IFERROR(Table15[[#This Row],[ROUTE $]]/Table15[[#This Row],[E - DEMAND]],0)</f>
        <v>0</v>
      </c>
      <c r="L1051" s="212"/>
      <c r="M1051" s="413">
        <f>IFERROR(VLOOKUP(Table15[[#This Row],[ROUTE]],DEMAND!A:F,5,FALSE),0)</f>
        <v>0</v>
      </c>
      <c r="N1051" s="251">
        <f>IFERROR(VLOOKUP(Table15[[#This Row],[ROUTE]],DEMAND!A:F,6,FALSE),0)</f>
        <v>0</v>
      </c>
      <c r="O1051" s="349"/>
      <c r="P1051" s="349"/>
      <c r="Q1051" s="416">
        <f>IFERROR(VLOOKUP(Table15[[#This Row],[ROUTE]],PRICING!A:B,2,FALSE),0)</f>
        <v>0</v>
      </c>
      <c r="R1051" s="409">
        <f>IFERROR(Table15[[#This Row],[C_DEMAND]]-Table15[[#This Row],[R-DEMAND]],0)</f>
        <v>0</v>
      </c>
      <c r="S1051" s="410">
        <f t="shared" si="16"/>
        <v>0</v>
      </c>
      <c r="T1051" s="420">
        <f>Table15[[#This Row],[R-DEMAND]]-(Table15[[#This Row],[ADD ACC]]*1706)</f>
        <v>0</v>
      </c>
      <c r="U1051" s="420">
        <f>ROUNDDOWN(Table15[[#This Row],[Column1]]/1360,0)</f>
        <v>0</v>
      </c>
      <c r="V1051" s="420"/>
      <c r="W1051" s="349"/>
      <c r="X1051" s="349"/>
      <c r="Y1051" s="349"/>
      <c r="Z1051" s="349"/>
    </row>
    <row r="1052" spans="1:26" ht="15.75" customHeight="1" x14ac:dyDescent="0.25">
      <c r="A1052" s="341" t="s">
        <v>18170</v>
      </c>
      <c r="B1052" s="212" t="s">
        <v>4170</v>
      </c>
      <c r="C1052" s="212"/>
      <c r="D1052" s="226">
        <v>0</v>
      </c>
      <c r="E1052" s="226" t="s">
        <v>11732</v>
      </c>
      <c r="F1052" s="212" t="s">
        <v>15969</v>
      </c>
      <c r="G1052" s="226" t="s">
        <v>16939</v>
      </c>
      <c r="H1052" s="343">
        <v>12996</v>
      </c>
      <c r="I1052" s="342"/>
      <c r="J1052" s="346"/>
      <c r="K1052" s="345">
        <f>IFERROR(Table15[[#This Row],[ROUTE $]]/Table15[[#This Row],[E - DEMAND]],0)</f>
        <v>0</v>
      </c>
      <c r="L1052" s="212"/>
      <c r="M1052" s="413">
        <f>IFERROR(VLOOKUP(Table15[[#This Row],[ROUTE]],DEMAND!A:F,5,FALSE),0)</f>
        <v>0</v>
      </c>
      <c r="N1052" s="251">
        <f>IFERROR(VLOOKUP(Table15[[#This Row],[ROUTE]],DEMAND!A:F,6,FALSE),0)</f>
        <v>0</v>
      </c>
      <c r="O1052" s="349"/>
      <c r="P1052" s="349"/>
      <c r="Q1052" s="416">
        <f>IFERROR(VLOOKUP(Table15[[#This Row],[ROUTE]],PRICING!A:B,2,FALSE),0)</f>
        <v>0</v>
      </c>
      <c r="R1052" s="409">
        <f>IFERROR(Table15[[#This Row],[C_DEMAND]]-Table15[[#This Row],[R-DEMAND]],0)</f>
        <v>0</v>
      </c>
      <c r="S1052" s="410">
        <f t="shared" si="16"/>
        <v>0</v>
      </c>
      <c r="T1052" s="420">
        <f>Table15[[#This Row],[R-DEMAND]]-(Table15[[#This Row],[ADD ACC]]*1706)</f>
        <v>0</v>
      </c>
      <c r="U1052" s="420">
        <f>ROUNDDOWN(Table15[[#This Row],[Column1]]/1360,0)</f>
        <v>0</v>
      </c>
      <c r="V1052" s="420"/>
      <c r="W1052" s="349"/>
      <c r="X1052" s="349"/>
      <c r="Y1052" s="349"/>
      <c r="Z1052" s="349"/>
    </row>
    <row r="1053" spans="1:26" ht="15.75" customHeight="1" x14ac:dyDescent="0.25">
      <c r="A1053" s="341" t="s">
        <v>18171</v>
      </c>
      <c r="B1053" s="212" t="s">
        <v>5214</v>
      </c>
      <c r="C1053" s="212"/>
      <c r="D1053" s="226">
        <v>0</v>
      </c>
      <c r="E1053" s="226" t="s">
        <v>11732</v>
      </c>
      <c r="F1053" s="212" t="s">
        <v>15969</v>
      </c>
      <c r="G1053" s="226" t="s">
        <v>17013</v>
      </c>
      <c r="H1053" s="343">
        <v>12994</v>
      </c>
      <c r="I1053" s="342"/>
      <c r="J1053" s="346"/>
      <c r="K1053" s="345">
        <f>IFERROR(Table15[[#This Row],[ROUTE $]]/Table15[[#This Row],[E - DEMAND]],0)</f>
        <v>0</v>
      </c>
      <c r="L1053" s="212"/>
      <c r="M1053" s="413">
        <f>IFERROR(VLOOKUP(Table15[[#This Row],[ROUTE]],DEMAND!A:F,5,FALSE),0)</f>
        <v>0</v>
      </c>
      <c r="N1053" s="251">
        <f>IFERROR(VLOOKUP(Table15[[#This Row],[ROUTE]],DEMAND!A:F,6,FALSE),0)</f>
        <v>0</v>
      </c>
      <c r="O1053" s="349"/>
      <c r="P1053" s="349"/>
      <c r="Q1053" s="416">
        <f>IFERROR(VLOOKUP(Table15[[#This Row],[ROUTE]],PRICING!A:B,2,FALSE),0)</f>
        <v>0</v>
      </c>
      <c r="R1053" s="409">
        <f>IFERROR(Table15[[#This Row],[C_DEMAND]]-Table15[[#This Row],[R-DEMAND]],0)</f>
        <v>0</v>
      </c>
      <c r="S1053" s="410">
        <f t="shared" si="16"/>
        <v>0</v>
      </c>
      <c r="T1053" s="420">
        <f>Table15[[#This Row],[R-DEMAND]]-(Table15[[#This Row],[ADD ACC]]*1706)</f>
        <v>0</v>
      </c>
      <c r="U1053" s="420">
        <f>ROUNDDOWN(Table15[[#This Row],[Column1]]/1360,0)</f>
        <v>0</v>
      </c>
      <c r="V1053" s="420"/>
      <c r="W1053" s="349"/>
      <c r="X1053" s="349"/>
      <c r="Y1053" s="349"/>
      <c r="Z1053" s="349"/>
    </row>
    <row r="1054" spans="1:26" ht="15.75" customHeight="1" x14ac:dyDescent="0.25">
      <c r="A1054" s="341" t="s">
        <v>18172</v>
      </c>
      <c r="B1054" s="212" t="s">
        <v>4116</v>
      </c>
      <c r="C1054" s="212"/>
      <c r="D1054" s="226">
        <v>0</v>
      </c>
      <c r="E1054" s="226" t="s">
        <v>11732</v>
      </c>
      <c r="F1054" s="212" t="s">
        <v>15969</v>
      </c>
      <c r="G1054" s="226" t="s">
        <v>16964</v>
      </c>
      <c r="H1054" s="343">
        <v>12986</v>
      </c>
      <c r="I1054" s="342"/>
      <c r="J1054" s="346"/>
      <c r="K1054" s="345">
        <f>IFERROR(Table15[[#This Row],[ROUTE $]]/Table15[[#This Row],[E - DEMAND]],0)</f>
        <v>0</v>
      </c>
      <c r="L1054" s="212"/>
      <c r="M1054" s="413">
        <f>IFERROR(VLOOKUP(Table15[[#This Row],[ROUTE]],DEMAND!A:F,5,FALSE),0)</f>
        <v>0</v>
      </c>
      <c r="N1054" s="251">
        <f>IFERROR(VLOOKUP(Table15[[#This Row],[ROUTE]],DEMAND!A:F,6,FALSE),0)</f>
        <v>0</v>
      </c>
      <c r="O1054" s="349"/>
      <c r="P1054" s="349"/>
      <c r="Q1054" s="416">
        <f>IFERROR(VLOOKUP(Table15[[#This Row],[ROUTE]],PRICING!A:B,2,FALSE),0)</f>
        <v>0</v>
      </c>
      <c r="R1054" s="409">
        <f>IFERROR(Table15[[#This Row],[C_DEMAND]]-Table15[[#This Row],[R-DEMAND]],0)</f>
        <v>0</v>
      </c>
      <c r="S1054" s="410">
        <f t="shared" si="16"/>
        <v>0</v>
      </c>
      <c r="T1054" s="420">
        <f>Table15[[#This Row],[R-DEMAND]]-(Table15[[#This Row],[ADD ACC]]*1706)</f>
        <v>0</v>
      </c>
      <c r="U1054" s="420">
        <f>ROUNDDOWN(Table15[[#This Row],[Column1]]/1360,0)</f>
        <v>0</v>
      </c>
      <c r="V1054" s="420"/>
      <c r="W1054" s="349"/>
      <c r="X1054" s="349"/>
      <c r="Y1054" s="349"/>
      <c r="Z1054" s="349"/>
    </row>
    <row r="1055" spans="1:26" ht="15.75" customHeight="1" x14ac:dyDescent="0.25">
      <c r="A1055" s="341" t="s">
        <v>18174</v>
      </c>
      <c r="B1055" s="212" t="s">
        <v>4287</v>
      </c>
      <c r="C1055" s="212"/>
      <c r="D1055" s="226">
        <v>0</v>
      </c>
      <c r="E1055" s="226" t="s">
        <v>11732</v>
      </c>
      <c r="F1055" s="212" t="s">
        <v>15969</v>
      </c>
      <c r="G1055" s="226" t="s">
        <v>16972</v>
      </c>
      <c r="H1055" s="343">
        <v>12969</v>
      </c>
      <c r="I1055" s="342"/>
      <c r="J1055" s="346"/>
      <c r="K1055" s="345">
        <f>IFERROR(Table15[[#This Row],[ROUTE $]]/Table15[[#This Row],[E - DEMAND]],0)</f>
        <v>0</v>
      </c>
      <c r="L1055" s="212"/>
      <c r="M1055" s="413">
        <f>IFERROR(VLOOKUP(Table15[[#This Row],[ROUTE]],DEMAND!A:F,5,FALSE),0)</f>
        <v>0</v>
      </c>
      <c r="N1055" s="251">
        <f>IFERROR(VLOOKUP(Table15[[#This Row],[ROUTE]],DEMAND!A:F,6,FALSE),0)</f>
        <v>0</v>
      </c>
      <c r="O1055" s="349"/>
      <c r="P1055" s="349"/>
      <c r="Q1055" s="416">
        <f>IFERROR(VLOOKUP(Table15[[#This Row],[ROUTE]],PRICING!A:B,2,FALSE),0)</f>
        <v>0</v>
      </c>
      <c r="R1055" s="409">
        <f>IFERROR(Table15[[#This Row],[C_DEMAND]]-Table15[[#This Row],[R-DEMAND]],0)</f>
        <v>0</v>
      </c>
      <c r="S1055" s="410">
        <f t="shared" si="16"/>
        <v>0</v>
      </c>
      <c r="T1055" s="420">
        <f>Table15[[#This Row],[R-DEMAND]]-(Table15[[#This Row],[ADD ACC]]*1706)</f>
        <v>0</v>
      </c>
      <c r="U1055" s="420">
        <f>ROUNDDOWN(Table15[[#This Row],[Column1]]/1360,0)</f>
        <v>0</v>
      </c>
      <c r="V1055" s="420"/>
      <c r="W1055" s="349"/>
      <c r="X1055" s="349"/>
      <c r="Y1055" s="349"/>
      <c r="Z1055" s="349"/>
    </row>
    <row r="1056" spans="1:26" ht="15.75" customHeight="1" x14ac:dyDescent="0.25">
      <c r="A1056" s="341" t="s">
        <v>18176</v>
      </c>
      <c r="B1056" s="212" t="s">
        <v>4253</v>
      </c>
      <c r="C1056" s="212"/>
      <c r="D1056" s="226">
        <v>0</v>
      </c>
      <c r="E1056" s="226" t="s">
        <v>11732</v>
      </c>
      <c r="F1056" s="212" t="s">
        <v>15969</v>
      </c>
      <c r="G1056" s="226" t="s">
        <v>16993</v>
      </c>
      <c r="H1056" s="343">
        <v>12927</v>
      </c>
      <c r="I1056" s="342"/>
      <c r="J1056" s="346"/>
      <c r="K1056" s="345">
        <f>IFERROR(Table15[[#This Row],[ROUTE $]]/Table15[[#This Row],[E - DEMAND]],0)</f>
        <v>0</v>
      </c>
      <c r="L1056" s="212"/>
      <c r="M1056" s="413">
        <f>IFERROR(VLOOKUP(Table15[[#This Row],[ROUTE]],DEMAND!A:F,5,FALSE),0)</f>
        <v>0</v>
      </c>
      <c r="N1056" s="251">
        <f>IFERROR(VLOOKUP(Table15[[#This Row],[ROUTE]],DEMAND!A:F,6,FALSE),0)</f>
        <v>0</v>
      </c>
      <c r="O1056" s="349"/>
      <c r="P1056" s="349"/>
      <c r="Q1056" s="416">
        <f>IFERROR(VLOOKUP(Table15[[#This Row],[ROUTE]],PRICING!A:B,2,FALSE),0)</f>
        <v>0</v>
      </c>
      <c r="R1056" s="409">
        <f>IFERROR(Table15[[#This Row],[C_DEMAND]]-Table15[[#This Row],[R-DEMAND]],0)</f>
        <v>0</v>
      </c>
      <c r="S1056" s="410">
        <f t="shared" si="16"/>
        <v>0</v>
      </c>
      <c r="T1056" s="420">
        <f>Table15[[#This Row],[R-DEMAND]]-(Table15[[#This Row],[ADD ACC]]*1706)</f>
        <v>0</v>
      </c>
      <c r="U1056" s="420">
        <f>ROUNDDOWN(Table15[[#This Row],[Column1]]/1360,0)</f>
        <v>0</v>
      </c>
      <c r="V1056" s="420"/>
      <c r="W1056" s="349"/>
      <c r="X1056" s="349"/>
      <c r="Y1056" s="349"/>
      <c r="Z1056" s="349"/>
    </row>
    <row r="1057" spans="1:26" ht="15.75" customHeight="1" x14ac:dyDescent="0.25">
      <c r="A1057" s="341" t="s">
        <v>18178</v>
      </c>
      <c r="B1057" s="212" t="s">
        <v>4810</v>
      </c>
      <c r="C1057" s="212"/>
      <c r="D1057" s="226">
        <v>0</v>
      </c>
      <c r="E1057" s="226" t="s">
        <v>11732</v>
      </c>
      <c r="F1057" s="212" t="s">
        <v>15969</v>
      </c>
      <c r="G1057" s="226" t="s">
        <v>16982</v>
      </c>
      <c r="H1057" s="343">
        <v>12863</v>
      </c>
      <c r="I1057" s="342"/>
      <c r="J1057" s="346"/>
      <c r="K1057" s="345">
        <f>IFERROR(Table15[[#This Row],[ROUTE $]]/Table15[[#This Row],[E - DEMAND]],0)</f>
        <v>0</v>
      </c>
      <c r="L1057" s="212"/>
      <c r="M1057" s="413">
        <f>IFERROR(VLOOKUP(Table15[[#This Row],[ROUTE]],DEMAND!A:F,5,FALSE),0)</f>
        <v>0</v>
      </c>
      <c r="N1057" s="251">
        <f>IFERROR(VLOOKUP(Table15[[#This Row],[ROUTE]],DEMAND!A:F,6,FALSE),0)</f>
        <v>0</v>
      </c>
      <c r="O1057" s="349"/>
      <c r="P1057" s="349"/>
      <c r="Q1057" s="416">
        <f>IFERROR(VLOOKUP(Table15[[#This Row],[ROUTE]],PRICING!A:B,2,FALSE),0)</f>
        <v>0</v>
      </c>
      <c r="R1057" s="409">
        <f>IFERROR(Table15[[#This Row],[C_DEMAND]]-Table15[[#This Row],[R-DEMAND]],0)</f>
        <v>0</v>
      </c>
      <c r="S1057" s="410">
        <f t="shared" si="16"/>
        <v>0</v>
      </c>
      <c r="T1057" s="420">
        <f>Table15[[#This Row],[R-DEMAND]]-(Table15[[#This Row],[ADD ACC]]*1706)</f>
        <v>0</v>
      </c>
      <c r="U1057" s="420">
        <f>ROUNDDOWN(Table15[[#This Row],[Column1]]/1360,0)</f>
        <v>0</v>
      </c>
      <c r="V1057" s="420"/>
      <c r="W1057" s="349"/>
      <c r="X1057" s="349"/>
      <c r="Y1057" s="349"/>
      <c r="Z1057" s="349"/>
    </row>
    <row r="1058" spans="1:26" ht="15.75" customHeight="1" x14ac:dyDescent="0.25">
      <c r="A1058" s="341" t="s">
        <v>18179</v>
      </c>
      <c r="B1058" s="212" t="s">
        <v>3356</v>
      </c>
      <c r="C1058" s="212"/>
      <c r="D1058" s="226">
        <v>0</v>
      </c>
      <c r="E1058" s="226" t="s">
        <v>11732</v>
      </c>
      <c r="F1058" s="212" t="s">
        <v>15969</v>
      </c>
      <c r="G1058" s="226" t="s">
        <v>16976</v>
      </c>
      <c r="H1058" s="343">
        <v>12832</v>
      </c>
      <c r="I1058" s="342"/>
      <c r="J1058" s="346"/>
      <c r="K1058" s="345">
        <f>IFERROR(Table15[[#This Row],[ROUTE $]]/Table15[[#This Row],[E - DEMAND]],0)</f>
        <v>0</v>
      </c>
      <c r="L1058" s="212"/>
      <c r="M1058" s="413">
        <f>IFERROR(VLOOKUP(Table15[[#This Row],[ROUTE]],DEMAND!A:F,5,FALSE),0)</f>
        <v>0</v>
      </c>
      <c r="N1058" s="251">
        <f>IFERROR(VLOOKUP(Table15[[#This Row],[ROUTE]],DEMAND!A:F,6,FALSE),0)</f>
        <v>0</v>
      </c>
      <c r="O1058" s="349"/>
      <c r="P1058" s="349"/>
      <c r="Q1058" s="416">
        <f>IFERROR(VLOOKUP(Table15[[#This Row],[ROUTE]],PRICING!A:B,2,FALSE),0)</f>
        <v>0</v>
      </c>
      <c r="R1058" s="409">
        <f>IFERROR(Table15[[#This Row],[C_DEMAND]]-Table15[[#This Row],[R-DEMAND]],0)</f>
        <v>0</v>
      </c>
      <c r="S1058" s="410">
        <f t="shared" si="16"/>
        <v>0</v>
      </c>
      <c r="T1058" s="420">
        <f>Table15[[#This Row],[R-DEMAND]]-(Table15[[#This Row],[ADD ACC]]*1706)</f>
        <v>0</v>
      </c>
      <c r="U1058" s="420">
        <f>ROUNDDOWN(Table15[[#This Row],[Column1]]/1360,0)</f>
        <v>0</v>
      </c>
      <c r="V1058" s="420"/>
      <c r="W1058" s="349"/>
      <c r="X1058" s="349"/>
      <c r="Y1058" s="349"/>
      <c r="Z1058" s="349"/>
    </row>
    <row r="1059" spans="1:26" ht="15.75" customHeight="1" x14ac:dyDescent="0.25">
      <c r="A1059" s="341" t="s">
        <v>18182</v>
      </c>
      <c r="B1059" s="212" t="s">
        <v>4306</v>
      </c>
      <c r="C1059" s="212"/>
      <c r="D1059" s="226">
        <v>0</v>
      </c>
      <c r="E1059" s="226" t="s">
        <v>11732</v>
      </c>
      <c r="F1059" s="212" t="s">
        <v>15969</v>
      </c>
      <c r="G1059" s="226" t="s">
        <v>16953</v>
      </c>
      <c r="H1059" s="343">
        <v>12794</v>
      </c>
      <c r="I1059" s="342"/>
      <c r="J1059" s="346"/>
      <c r="K1059" s="345">
        <f>IFERROR(Table15[[#This Row],[ROUTE $]]/Table15[[#This Row],[E - DEMAND]],0)</f>
        <v>0</v>
      </c>
      <c r="L1059" s="212"/>
      <c r="M1059" s="413">
        <f>IFERROR(VLOOKUP(Table15[[#This Row],[ROUTE]],DEMAND!A:F,5,FALSE),0)</f>
        <v>0</v>
      </c>
      <c r="N1059" s="251">
        <f>IFERROR(VLOOKUP(Table15[[#This Row],[ROUTE]],DEMAND!A:F,6,FALSE),0)</f>
        <v>0</v>
      </c>
      <c r="O1059" s="349"/>
      <c r="P1059" s="349"/>
      <c r="Q1059" s="416">
        <f>IFERROR(VLOOKUP(Table15[[#This Row],[ROUTE]],PRICING!A:B,2,FALSE),0)</f>
        <v>0</v>
      </c>
      <c r="R1059" s="409">
        <f>IFERROR(Table15[[#This Row],[C_DEMAND]]-Table15[[#This Row],[R-DEMAND]],0)</f>
        <v>0</v>
      </c>
      <c r="S1059" s="410">
        <f t="shared" si="16"/>
        <v>0</v>
      </c>
      <c r="T1059" s="420">
        <f>Table15[[#This Row],[R-DEMAND]]-(Table15[[#This Row],[ADD ACC]]*1706)</f>
        <v>0</v>
      </c>
      <c r="U1059" s="420">
        <f>ROUNDDOWN(Table15[[#This Row],[Column1]]/1360,0)</f>
        <v>0</v>
      </c>
      <c r="V1059" s="420"/>
      <c r="W1059" s="349"/>
      <c r="X1059" s="349"/>
      <c r="Y1059" s="349"/>
      <c r="Z1059" s="349"/>
    </row>
    <row r="1060" spans="1:26" ht="15.75" customHeight="1" x14ac:dyDescent="0.25">
      <c r="A1060" s="341" t="s">
        <v>18187</v>
      </c>
      <c r="B1060" s="212" t="s">
        <v>4316</v>
      </c>
      <c r="C1060" s="212"/>
      <c r="D1060" s="226">
        <v>0</v>
      </c>
      <c r="E1060" s="226" t="s">
        <v>11732</v>
      </c>
      <c r="F1060" s="212" t="s">
        <v>15969</v>
      </c>
      <c r="G1060" s="226" t="s">
        <v>16980</v>
      </c>
      <c r="H1060" s="343">
        <v>12690</v>
      </c>
      <c r="I1060" s="342"/>
      <c r="J1060" s="346"/>
      <c r="K1060" s="345">
        <f>IFERROR(Table15[[#This Row],[ROUTE $]]/Table15[[#This Row],[E - DEMAND]],0)</f>
        <v>0</v>
      </c>
      <c r="L1060" s="212"/>
      <c r="M1060" s="413">
        <f>IFERROR(VLOOKUP(Table15[[#This Row],[ROUTE]],DEMAND!A:F,5,FALSE),0)</f>
        <v>0</v>
      </c>
      <c r="N1060" s="251">
        <f>IFERROR(VLOOKUP(Table15[[#This Row],[ROUTE]],DEMAND!A:F,6,FALSE),0)</f>
        <v>0</v>
      </c>
      <c r="O1060" s="349"/>
      <c r="P1060" s="349"/>
      <c r="Q1060" s="416">
        <f>IFERROR(VLOOKUP(Table15[[#This Row],[ROUTE]],PRICING!A:B,2,FALSE),0)</f>
        <v>0</v>
      </c>
      <c r="R1060" s="409">
        <f>IFERROR(Table15[[#This Row],[C_DEMAND]]-Table15[[#This Row],[R-DEMAND]],0)</f>
        <v>0</v>
      </c>
      <c r="S1060" s="410">
        <f t="shared" si="16"/>
        <v>0</v>
      </c>
      <c r="T1060" s="420">
        <f>Table15[[#This Row],[R-DEMAND]]-(Table15[[#This Row],[ADD ACC]]*1706)</f>
        <v>0</v>
      </c>
      <c r="U1060" s="420">
        <f>ROUNDDOWN(Table15[[#This Row],[Column1]]/1360,0)</f>
        <v>0</v>
      </c>
      <c r="V1060" s="420"/>
      <c r="W1060" s="349"/>
      <c r="X1060" s="349"/>
      <c r="Y1060" s="349"/>
      <c r="Z1060" s="349"/>
    </row>
    <row r="1061" spans="1:26" ht="15.75" customHeight="1" x14ac:dyDescent="0.25">
      <c r="A1061" s="341" t="s">
        <v>18188</v>
      </c>
      <c r="B1061" s="212" t="s">
        <v>3831</v>
      </c>
      <c r="C1061" s="212"/>
      <c r="D1061" s="226">
        <v>0</v>
      </c>
      <c r="E1061" s="226" t="s">
        <v>11732</v>
      </c>
      <c r="F1061" s="212" t="s">
        <v>15969</v>
      </c>
      <c r="G1061" s="226" t="s">
        <v>16961</v>
      </c>
      <c r="H1061" s="343">
        <v>12667</v>
      </c>
      <c r="I1061" s="342"/>
      <c r="J1061" s="346"/>
      <c r="K1061" s="345">
        <f>IFERROR(Table15[[#This Row],[ROUTE $]]/Table15[[#This Row],[E - DEMAND]],0)</f>
        <v>0</v>
      </c>
      <c r="L1061" s="212"/>
      <c r="M1061" s="413">
        <f>IFERROR(VLOOKUP(Table15[[#This Row],[ROUTE]],DEMAND!A:F,5,FALSE),0)</f>
        <v>0</v>
      </c>
      <c r="N1061" s="251">
        <f>IFERROR(VLOOKUP(Table15[[#This Row],[ROUTE]],DEMAND!A:F,6,FALSE),0)</f>
        <v>0</v>
      </c>
      <c r="O1061" s="349"/>
      <c r="P1061" s="349"/>
      <c r="Q1061" s="416">
        <f>IFERROR(VLOOKUP(Table15[[#This Row],[ROUTE]],PRICING!A:B,2,FALSE),0)</f>
        <v>0</v>
      </c>
      <c r="R1061" s="409">
        <f>IFERROR(Table15[[#This Row],[C_DEMAND]]-Table15[[#This Row],[R-DEMAND]],0)</f>
        <v>0</v>
      </c>
      <c r="S1061" s="410">
        <f t="shared" si="16"/>
        <v>0</v>
      </c>
      <c r="T1061" s="420">
        <f>Table15[[#This Row],[R-DEMAND]]-(Table15[[#This Row],[ADD ACC]]*1706)</f>
        <v>0</v>
      </c>
      <c r="U1061" s="420">
        <f>ROUNDDOWN(Table15[[#This Row],[Column1]]/1360,0)</f>
        <v>0</v>
      </c>
      <c r="V1061" s="420"/>
      <c r="W1061" s="349"/>
      <c r="X1061" s="349"/>
      <c r="Y1061" s="349"/>
      <c r="Z1061" s="349"/>
    </row>
    <row r="1062" spans="1:26" ht="15.75" customHeight="1" x14ac:dyDescent="0.25">
      <c r="A1062" s="341" t="s">
        <v>18190</v>
      </c>
      <c r="B1062" s="212" t="s">
        <v>4322</v>
      </c>
      <c r="C1062" s="212"/>
      <c r="D1062" s="226">
        <v>0</v>
      </c>
      <c r="E1062" s="226" t="s">
        <v>11732</v>
      </c>
      <c r="F1062" s="212" t="s">
        <v>15969</v>
      </c>
      <c r="G1062" s="226" t="s">
        <v>16968</v>
      </c>
      <c r="H1062" s="343">
        <v>12606</v>
      </c>
      <c r="I1062" s="342"/>
      <c r="J1062" s="346"/>
      <c r="K1062" s="345">
        <f>IFERROR(Table15[[#This Row],[ROUTE $]]/Table15[[#This Row],[E - DEMAND]],0)</f>
        <v>0</v>
      </c>
      <c r="L1062" s="212"/>
      <c r="M1062" s="413">
        <f>IFERROR(VLOOKUP(Table15[[#This Row],[ROUTE]],DEMAND!A:F,5,FALSE),0)</f>
        <v>0</v>
      </c>
      <c r="N1062" s="251">
        <f>IFERROR(VLOOKUP(Table15[[#This Row],[ROUTE]],DEMAND!A:F,6,FALSE),0)</f>
        <v>0</v>
      </c>
      <c r="O1062" s="349"/>
      <c r="P1062" s="349"/>
      <c r="Q1062" s="416">
        <f>IFERROR(VLOOKUP(Table15[[#This Row],[ROUTE]],PRICING!A:B,2,FALSE),0)</f>
        <v>0</v>
      </c>
      <c r="R1062" s="409">
        <f>IFERROR(Table15[[#This Row],[C_DEMAND]]-Table15[[#This Row],[R-DEMAND]],0)</f>
        <v>0</v>
      </c>
      <c r="S1062" s="410">
        <f t="shared" si="16"/>
        <v>0</v>
      </c>
      <c r="T1062" s="420">
        <f>Table15[[#This Row],[R-DEMAND]]-(Table15[[#This Row],[ADD ACC]]*1706)</f>
        <v>0</v>
      </c>
      <c r="U1062" s="420">
        <f>ROUNDDOWN(Table15[[#This Row],[Column1]]/1360,0)</f>
        <v>0</v>
      </c>
      <c r="V1062" s="420"/>
      <c r="W1062" s="349"/>
      <c r="X1062" s="349"/>
      <c r="Y1062" s="349"/>
      <c r="Z1062" s="349"/>
    </row>
    <row r="1063" spans="1:26" ht="15.75" customHeight="1" x14ac:dyDescent="0.25">
      <c r="A1063" s="341" t="s">
        <v>18192</v>
      </c>
      <c r="B1063" s="212" t="s">
        <v>5153</v>
      </c>
      <c r="C1063" s="212"/>
      <c r="D1063" s="226">
        <v>0</v>
      </c>
      <c r="E1063" s="226" t="s">
        <v>11732</v>
      </c>
      <c r="F1063" s="212" t="s">
        <v>15969</v>
      </c>
      <c r="G1063" s="226" t="s">
        <v>16942</v>
      </c>
      <c r="H1063" s="343">
        <v>12528</v>
      </c>
      <c r="I1063" s="342"/>
      <c r="J1063" s="346"/>
      <c r="K1063" s="345">
        <f>IFERROR(Table15[[#This Row],[ROUTE $]]/Table15[[#This Row],[E - DEMAND]],0)</f>
        <v>0</v>
      </c>
      <c r="L1063" s="212"/>
      <c r="M1063" s="413">
        <f>IFERROR(VLOOKUP(Table15[[#This Row],[ROUTE]],DEMAND!A:F,5,FALSE),0)</f>
        <v>0</v>
      </c>
      <c r="N1063" s="251">
        <f>IFERROR(VLOOKUP(Table15[[#This Row],[ROUTE]],DEMAND!A:F,6,FALSE),0)</f>
        <v>0</v>
      </c>
      <c r="O1063" s="349"/>
      <c r="P1063" s="349"/>
      <c r="Q1063" s="416">
        <f>IFERROR(VLOOKUP(Table15[[#This Row],[ROUTE]],PRICING!A:B,2,FALSE),0)</f>
        <v>0</v>
      </c>
      <c r="R1063" s="409">
        <f>IFERROR(Table15[[#This Row],[C_DEMAND]]-Table15[[#This Row],[R-DEMAND]],0)</f>
        <v>0</v>
      </c>
      <c r="S1063" s="410">
        <f t="shared" si="16"/>
        <v>0</v>
      </c>
      <c r="T1063" s="420">
        <f>Table15[[#This Row],[R-DEMAND]]-(Table15[[#This Row],[ADD ACC]]*1706)</f>
        <v>0</v>
      </c>
      <c r="U1063" s="420">
        <f>ROUNDDOWN(Table15[[#This Row],[Column1]]/1360,0)</f>
        <v>0</v>
      </c>
      <c r="V1063" s="420"/>
      <c r="W1063" s="349"/>
      <c r="X1063" s="349"/>
      <c r="Y1063" s="349"/>
      <c r="Z1063" s="349"/>
    </row>
    <row r="1064" spans="1:26" ht="15.75" customHeight="1" x14ac:dyDescent="0.25">
      <c r="A1064" s="341" t="s">
        <v>18194</v>
      </c>
      <c r="B1064" s="212" t="s">
        <v>3747</v>
      </c>
      <c r="C1064" s="212"/>
      <c r="D1064" s="226">
        <v>0</v>
      </c>
      <c r="E1064" s="226" t="s">
        <v>11732</v>
      </c>
      <c r="F1064" s="212" t="s">
        <v>15969</v>
      </c>
      <c r="G1064" s="226" t="s">
        <v>16944</v>
      </c>
      <c r="H1064" s="343">
        <v>12490</v>
      </c>
      <c r="I1064" s="342"/>
      <c r="J1064" s="346"/>
      <c r="K1064" s="345">
        <f>IFERROR(Table15[[#This Row],[ROUTE $]]/Table15[[#This Row],[E - DEMAND]],0)</f>
        <v>0</v>
      </c>
      <c r="L1064" s="212"/>
      <c r="M1064" s="413">
        <f>IFERROR(VLOOKUP(Table15[[#This Row],[ROUTE]],DEMAND!A:F,5,FALSE),0)</f>
        <v>0</v>
      </c>
      <c r="N1064" s="251">
        <f>IFERROR(VLOOKUP(Table15[[#This Row],[ROUTE]],DEMAND!A:F,6,FALSE),0)</f>
        <v>0</v>
      </c>
      <c r="O1064" s="349"/>
      <c r="P1064" s="349"/>
      <c r="Q1064" s="416">
        <f>IFERROR(VLOOKUP(Table15[[#This Row],[ROUTE]],PRICING!A:B,2,FALSE),0)</f>
        <v>0</v>
      </c>
      <c r="R1064" s="409">
        <f>IFERROR(Table15[[#This Row],[C_DEMAND]]-Table15[[#This Row],[R-DEMAND]],0)</f>
        <v>0</v>
      </c>
      <c r="S1064" s="410">
        <f t="shared" si="16"/>
        <v>0</v>
      </c>
      <c r="T1064" s="420">
        <f>Table15[[#This Row],[R-DEMAND]]-(Table15[[#This Row],[ADD ACC]]*1706)</f>
        <v>0</v>
      </c>
      <c r="U1064" s="420">
        <f>ROUNDDOWN(Table15[[#This Row],[Column1]]/1360,0)</f>
        <v>0</v>
      </c>
      <c r="V1064" s="420"/>
      <c r="W1064" s="349"/>
      <c r="X1064" s="349"/>
      <c r="Y1064" s="349"/>
      <c r="Z1064" s="349"/>
    </row>
    <row r="1065" spans="1:26" ht="15.75" customHeight="1" x14ac:dyDescent="0.25">
      <c r="A1065" s="341" t="s">
        <v>18195</v>
      </c>
      <c r="B1065" s="212" t="s">
        <v>4997</v>
      </c>
      <c r="C1065" s="212"/>
      <c r="D1065" s="226">
        <v>0</v>
      </c>
      <c r="E1065" s="226" t="s">
        <v>11732</v>
      </c>
      <c r="F1065" s="212" t="s">
        <v>15969</v>
      </c>
      <c r="G1065" s="226" t="s">
        <v>17000</v>
      </c>
      <c r="H1065" s="343">
        <v>12409</v>
      </c>
      <c r="I1065" s="342"/>
      <c r="J1065" s="346"/>
      <c r="K1065" s="345">
        <f>IFERROR(Table15[[#This Row],[ROUTE $]]/Table15[[#This Row],[E - DEMAND]],0)</f>
        <v>0</v>
      </c>
      <c r="L1065" s="212"/>
      <c r="M1065" s="413">
        <f>IFERROR(VLOOKUP(Table15[[#This Row],[ROUTE]],DEMAND!A:F,5,FALSE),0)</f>
        <v>0</v>
      </c>
      <c r="N1065" s="251">
        <f>IFERROR(VLOOKUP(Table15[[#This Row],[ROUTE]],DEMAND!A:F,6,FALSE),0)</f>
        <v>0</v>
      </c>
      <c r="O1065" s="349"/>
      <c r="P1065" s="349"/>
      <c r="Q1065" s="416">
        <f>IFERROR(VLOOKUP(Table15[[#This Row],[ROUTE]],PRICING!A:B,2,FALSE),0)</f>
        <v>0</v>
      </c>
      <c r="R1065" s="409">
        <f>IFERROR(Table15[[#This Row],[C_DEMAND]]-Table15[[#This Row],[R-DEMAND]],0)</f>
        <v>0</v>
      </c>
      <c r="S1065" s="410">
        <f t="shared" si="16"/>
        <v>0</v>
      </c>
      <c r="T1065" s="420">
        <f>Table15[[#This Row],[R-DEMAND]]-(Table15[[#This Row],[ADD ACC]]*1706)</f>
        <v>0</v>
      </c>
      <c r="U1065" s="420">
        <f>ROUNDDOWN(Table15[[#This Row],[Column1]]/1360,0)</f>
        <v>0</v>
      </c>
      <c r="V1065" s="420"/>
      <c r="W1065" s="349"/>
      <c r="X1065" s="349"/>
      <c r="Y1065" s="349"/>
      <c r="Z1065" s="349"/>
    </row>
    <row r="1066" spans="1:26" ht="15.75" customHeight="1" x14ac:dyDescent="0.25">
      <c r="A1066" s="341" t="s">
        <v>18198</v>
      </c>
      <c r="B1066" s="212" t="s">
        <v>5101</v>
      </c>
      <c r="C1066" s="212"/>
      <c r="D1066" s="226">
        <v>0</v>
      </c>
      <c r="E1066" s="226" t="s">
        <v>11732</v>
      </c>
      <c r="F1066" s="212" t="s">
        <v>15969</v>
      </c>
      <c r="G1066" s="226" t="s">
        <v>17004</v>
      </c>
      <c r="H1066" s="343">
        <v>12342</v>
      </c>
      <c r="I1066" s="342"/>
      <c r="J1066" s="346"/>
      <c r="K1066" s="345">
        <f>IFERROR(Table15[[#This Row],[ROUTE $]]/Table15[[#This Row],[E - DEMAND]],0)</f>
        <v>0</v>
      </c>
      <c r="L1066" s="212"/>
      <c r="M1066" s="413">
        <f>IFERROR(VLOOKUP(Table15[[#This Row],[ROUTE]],DEMAND!A:F,5,FALSE),0)</f>
        <v>0</v>
      </c>
      <c r="N1066" s="251">
        <f>IFERROR(VLOOKUP(Table15[[#This Row],[ROUTE]],DEMAND!A:F,6,FALSE),0)</f>
        <v>0</v>
      </c>
      <c r="O1066" s="349"/>
      <c r="P1066" s="349"/>
      <c r="Q1066" s="416">
        <f>IFERROR(VLOOKUP(Table15[[#This Row],[ROUTE]],PRICING!A:B,2,FALSE),0)</f>
        <v>0</v>
      </c>
      <c r="R1066" s="409">
        <f>IFERROR(Table15[[#This Row],[C_DEMAND]]-Table15[[#This Row],[R-DEMAND]],0)</f>
        <v>0</v>
      </c>
      <c r="S1066" s="410">
        <f t="shared" si="16"/>
        <v>0</v>
      </c>
      <c r="T1066" s="420">
        <f>Table15[[#This Row],[R-DEMAND]]-(Table15[[#This Row],[ADD ACC]]*1706)</f>
        <v>0</v>
      </c>
      <c r="U1066" s="420">
        <f>ROUNDDOWN(Table15[[#This Row],[Column1]]/1360,0)</f>
        <v>0</v>
      </c>
      <c r="V1066" s="420"/>
      <c r="W1066" s="349"/>
      <c r="X1066" s="349"/>
      <c r="Y1066" s="349"/>
      <c r="Z1066" s="349"/>
    </row>
    <row r="1067" spans="1:26" ht="15.75" customHeight="1" x14ac:dyDescent="0.25">
      <c r="A1067" s="341" t="s">
        <v>18201</v>
      </c>
      <c r="B1067" s="212" t="s">
        <v>4783</v>
      </c>
      <c r="C1067" s="212"/>
      <c r="D1067" s="226">
        <v>0</v>
      </c>
      <c r="E1067" s="226" t="s">
        <v>11732</v>
      </c>
      <c r="F1067" s="212" t="s">
        <v>15969</v>
      </c>
      <c r="G1067" s="226" t="s">
        <v>16994</v>
      </c>
      <c r="H1067" s="343">
        <v>12154</v>
      </c>
      <c r="I1067" s="342"/>
      <c r="J1067" s="346"/>
      <c r="K1067" s="345">
        <f>IFERROR(Table15[[#This Row],[ROUTE $]]/Table15[[#This Row],[E - DEMAND]],0)</f>
        <v>0</v>
      </c>
      <c r="L1067" s="212"/>
      <c r="M1067" s="413">
        <f>IFERROR(VLOOKUP(Table15[[#This Row],[ROUTE]],DEMAND!A:F,5,FALSE),0)</f>
        <v>0</v>
      </c>
      <c r="N1067" s="251">
        <f>IFERROR(VLOOKUP(Table15[[#This Row],[ROUTE]],DEMAND!A:F,6,FALSE),0)</f>
        <v>0</v>
      </c>
      <c r="O1067" s="349"/>
      <c r="P1067" s="349"/>
      <c r="Q1067" s="416">
        <f>IFERROR(VLOOKUP(Table15[[#This Row],[ROUTE]],PRICING!A:B,2,FALSE),0)</f>
        <v>0</v>
      </c>
      <c r="R1067" s="409">
        <f>IFERROR(Table15[[#This Row],[C_DEMAND]]-Table15[[#This Row],[R-DEMAND]],0)</f>
        <v>0</v>
      </c>
      <c r="S1067" s="410">
        <f t="shared" si="16"/>
        <v>0</v>
      </c>
      <c r="T1067" s="420">
        <f>Table15[[#This Row],[R-DEMAND]]-(Table15[[#This Row],[ADD ACC]]*1706)</f>
        <v>0</v>
      </c>
      <c r="U1067" s="420">
        <f>ROUNDDOWN(Table15[[#This Row],[Column1]]/1360,0)</f>
        <v>0</v>
      </c>
      <c r="V1067" s="420"/>
      <c r="W1067" s="349"/>
      <c r="X1067" s="349"/>
      <c r="Y1067" s="349"/>
      <c r="Z1067" s="349"/>
    </row>
    <row r="1068" spans="1:26" ht="15.75" customHeight="1" x14ac:dyDescent="0.25">
      <c r="A1068" s="341" t="s">
        <v>18209</v>
      </c>
      <c r="B1068" s="212" t="s">
        <v>4295</v>
      </c>
      <c r="C1068" s="212"/>
      <c r="D1068" s="226">
        <v>0</v>
      </c>
      <c r="E1068" s="226" t="s">
        <v>11732</v>
      </c>
      <c r="F1068" s="212" t="s">
        <v>15969</v>
      </c>
      <c r="G1068" s="226" t="s">
        <v>16931</v>
      </c>
      <c r="H1068" s="343">
        <v>11044</v>
      </c>
      <c r="I1068" s="342"/>
      <c r="J1068" s="346"/>
      <c r="K1068" s="345">
        <f>IFERROR(Table15[[#This Row],[ROUTE $]]/Table15[[#This Row],[E - DEMAND]],0)</f>
        <v>0</v>
      </c>
      <c r="L1068" s="212"/>
      <c r="M1068" s="413">
        <f>IFERROR(VLOOKUP(Table15[[#This Row],[ROUTE]],DEMAND!A:F,5,FALSE),0)</f>
        <v>0</v>
      </c>
      <c r="N1068" s="251">
        <f>IFERROR(VLOOKUP(Table15[[#This Row],[ROUTE]],DEMAND!A:F,6,FALSE),0)</f>
        <v>0</v>
      </c>
      <c r="O1068" s="349"/>
      <c r="P1068" s="349"/>
      <c r="Q1068" s="416">
        <f>IFERROR(VLOOKUP(Table15[[#This Row],[ROUTE]],PRICING!A:B,2,FALSE),0)</f>
        <v>0</v>
      </c>
      <c r="R1068" s="409">
        <f>IFERROR(Table15[[#This Row],[C_DEMAND]]-Table15[[#This Row],[R-DEMAND]],0)</f>
        <v>0</v>
      </c>
      <c r="S1068" s="410">
        <f t="shared" si="16"/>
        <v>0</v>
      </c>
      <c r="T1068" s="420">
        <f>Table15[[#This Row],[R-DEMAND]]-(Table15[[#This Row],[ADD ACC]]*1706)</f>
        <v>0</v>
      </c>
      <c r="U1068" s="420">
        <f>ROUNDDOWN(Table15[[#This Row],[Column1]]/1360,0)</f>
        <v>0</v>
      </c>
      <c r="V1068" s="420"/>
      <c r="W1068" s="349"/>
      <c r="X1068" s="349"/>
      <c r="Y1068" s="349"/>
      <c r="Z1068" s="349"/>
    </row>
    <row r="1069" spans="1:26" ht="15.75" customHeight="1" x14ac:dyDescent="0.25">
      <c r="A1069" s="341" t="s">
        <v>18208</v>
      </c>
      <c r="B1069" s="212" t="s">
        <v>3023</v>
      </c>
      <c r="C1069" s="212"/>
      <c r="D1069" s="226">
        <v>2</v>
      </c>
      <c r="E1069" s="226" t="s">
        <v>2680</v>
      </c>
      <c r="F1069" s="212" t="s">
        <v>12682</v>
      </c>
      <c r="G1069" s="226" t="s">
        <v>16830</v>
      </c>
      <c r="H1069" s="343">
        <v>11195</v>
      </c>
      <c r="I1069" s="342"/>
      <c r="J1069" s="346"/>
      <c r="K1069" s="345">
        <f>IFERROR(Table15[[#This Row],[ROUTE $]]/Table15[[#This Row],[E - DEMAND]],0)</f>
        <v>0</v>
      </c>
      <c r="L1069" s="212"/>
      <c r="M1069" s="413">
        <f>IFERROR(VLOOKUP(Table15[[#This Row],[ROUTE]],DEMAND!A:F,5,FALSE),0)</f>
        <v>0</v>
      </c>
      <c r="N1069" s="251">
        <f>IFERROR(VLOOKUP(Table15[[#This Row],[ROUTE]],DEMAND!A:F,6,FALSE),0)</f>
        <v>0</v>
      </c>
      <c r="O1069" s="349"/>
      <c r="P1069" s="349"/>
      <c r="Q1069" s="416">
        <f>IFERROR(VLOOKUP(Table15[[#This Row],[ROUTE]],PRICING!A:B,2,FALSE),0)</f>
        <v>0</v>
      </c>
      <c r="R1069" s="409">
        <f>IFERROR(Table15[[#This Row],[C_DEMAND]]-Table15[[#This Row],[R-DEMAND]],0)</f>
        <v>0</v>
      </c>
      <c r="S1069" s="410">
        <f t="shared" si="16"/>
        <v>0</v>
      </c>
      <c r="T1069" s="420">
        <f>Table15[[#This Row],[R-DEMAND]]-(Table15[[#This Row],[ADD ACC]]*1706)</f>
        <v>0</v>
      </c>
      <c r="U1069" s="420">
        <f>ROUNDDOWN(Table15[[#This Row],[Column1]]/1360,0)</f>
        <v>0</v>
      </c>
      <c r="V1069" s="420"/>
      <c r="W1069" s="349"/>
      <c r="X1069" s="349"/>
      <c r="Y1069" s="349"/>
      <c r="Z1069" s="349"/>
    </row>
    <row r="1070" spans="1:26" ht="15.75" customHeight="1" x14ac:dyDescent="0.25">
      <c r="A1070" s="210" t="s">
        <v>15965</v>
      </c>
      <c r="B1070" s="204" t="s">
        <v>1455</v>
      </c>
      <c r="C1070" s="204" t="s">
        <v>11122</v>
      </c>
      <c r="D1070" s="226"/>
      <c r="E1070" s="212" t="s">
        <v>709</v>
      </c>
      <c r="F1070" s="212" t="str">
        <f>VLOOKUP(E1070,Table10[[COUNTRY NAME]:[CONTINENT CODE]],3,FALSE)</f>
        <v>AS</v>
      </c>
      <c r="G1070" s="227" t="s">
        <v>15966</v>
      </c>
      <c r="H1070" s="236">
        <v>3704</v>
      </c>
      <c r="I1070" s="234"/>
      <c r="J1070" s="346"/>
      <c r="K1070" s="345">
        <f>IFERROR(Table15[[#This Row],[ROUTE $]]/Table15[[#This Row],[E - DEMAND]],0)</f>
        <v>0</v>
      </c>
      <c r="L1070" s="86">
        <v>3027</v>
      </c>
      <c r="M1070" s="414">
        <f>IFERROR(VLOOKUP(Table15[[#This Row],[ROUTE]],DEMAND!A:F,5,FALSE),0)</f>
        <v>0</v>
      </c>
      <c r="N1070">
        <f>IFERROR(VLOOKUP(Table15[[#This Row],[ROUTE]],DEMAND!A:F,6,FALSE),0)</f>
        <v>0</v>
      </c>
      <c r="O1070">
        <f>IFERROR(ROUNDDOWN(Table15[[#This Row],[R-DEMAND]]/1706,0),0)</f>
        <v>0</v>
      </c>
      <c r="P1070" s="16">
        <f>IFERROR(Table15[[#This Row],[ADD ACC]]*Table15[[#This Row],[RT TIME 
(380-800)]],0)</f>
        <v>0</v>
      </c>
      <c r="Q1070" s="415">
        <f>IFERROR(VLOOKUP(Table15[[#This Row],[ROUTE]],PRICING!A:B,2,FALSE),0)</f>
        <v>0</v>
      </c>
      <c r="R1070" s="235">
        <f>IFERROR(Table15[[#This Row],[C_DEMAND]]-Table15[[#This Row],[R-DEMAND]],0)</f>
        <v>0</v>
      </c>
      <c r="S1070" s="408">
        <f t="shared" si="16"/>
        <v>0</v>
      </c>
      <c r="T1070" s="419">
        <f>Table15[[#This Row],[R-DEMAND]]-(Table15[[#This Row],[ADD ACC]]*1706)</f>
        <v>0</v>
      </c>
      <c r="U1070" s="419">
        <f>ROUNDDOWN(Table15[[#This Row],[Column1]]/1360,0)</f>
        <v>0</v>
      </c>
      <c r="V1070" s="419"/>
      <c r="W1070" s="349"/>
      <c r="X1070" s="349"/>
      <c r="Y1070" s="349"/>
      <c r="Z1070" s="349"/>
    </row>
    <row r="1071" spans="1:26" ht="15.75" customHeight="1" x14ac:dyDescent="0.25">
      <c r="A1071" s="210" t="s">
        <v>15641</v>
      </c>
      <c r="B1071" s="204" t="s">
        <v>166</v>
      </c>
      <c r="C1071" s="204" t="s">
        <v>2</v>
      </c>
      <c r="D1071" s="205">
        <v>5</v>
      </c>
      <c r="E1071" s="204" t="s">
        <v>717</v>
      </c>
      <c r="F1071" s="204" t="str">
        <f>VLOOKUP(E1071,Table10[[COUNTRY NAME]:[CONTINENT CODE]],3,FALSE)</f>
        <v>AS</v>
      </c>
      <c r="G1071" s="206" t="s">
        <v>12089</v>
      </c>
      <c r="H1071" s="207">
        <v>5137</v>
      </c>
      <c r="I1071" s="208">
        <v>13.5</v>
      </c>
      <c r="J1071" s="345">
        <v>216535784</v>
      </c>
      <c r="K1071" s="345">
        <f>IFERROR(Table15[[#This Row],[ROUTE $]]/Table15[[#This Row],[E - DEMAND]],0)</f>
        <v>45653.760067467847</v>
      </c>
      <c r="L1071" s="204">
        <v>4743</v>
      </c>
      <c r="M1071" s="412">
        <f>IFERROR(VLOOKUP(Table15[[#This Row],[ROUTE]],DEMAND!A:F,5,FALSE),0)</f>
        <v>5059</v>
      </c>
      <c r="N1071" s="16">
        <f>IFERROR(VLOOKUP(Table15[[#This Row],[ROUTE]],DEMAND!A:F,6,FALSE),0)</f>
        <v>-59</v>
      </c>
      <c r="O1071" s="16">
        <f>IFERROR(ROUNDDOWN(Table15[[#This Row],[R-DEMAND]]/1706,0),0)</f>
        <v>0</v>
      </c>
      <c r="P1071" s="16">
        <f>IFERROR(Table15[[#This Row],[ADD ACC]]*Table15[[#This Row],[RT TIME 
(380-800)]],0)</f>
        <v>0</v>
      </c>
      <c r="Q1071" s="415">
        <f>IFERROR(VLOOKUP(Table15[[#This Row],[ROUTE]],PRICING!A:B,2,FALSE),0)</f>
        <v>1369</v>
      </c>
      <c r="R1071" s="235">
        <f>IFERROR(Table15[[#This Row],[C_DEMAND]]-Table15[[#This Row],[R-DEMAND]],0)</f>
        <v>5118</v>
      </c>
      <c r="S1071" s="408">
        <f t="shared" si="16"/>
        <v>7006542</v>
      </c>
      <c r="T1071" s="419">
        <f>Table15[[#This Row],[R-DEMAND]]-(Table15[[#This Row],[ADD ACC]]*1706)</f>
        <v>-59</v>
      </c>
      <c r="U1071" s="419">
        <f>ROUNDDOWN(Table15[[#This Row],[Column1]]/1360,0)</f>
        <v>0</v>
      </c>
      <c r="V1071" s="419"/>
      <c r="W1071" s="251">
        <v>13.5</v>
      </c>
      <c r="X1071" s="251">
        <f>ROUNDDOWN(Table15[[#This Row],[R-DEMAND]]/1320,0)</f>
        <v>0</v>
      </c>
      <c r="Y1071" s="251">
        <f>IFERROR(Table15[[#This Row],[ADD ACC
(660/1320)]]*Table15[[#This Row],[Duration
(B744)]],0)</f>
        <v>0</v>
      </c>
      <c r="Z1071" s="251"/>
    </row>
    <row r="1072" spans="1:26" ht="15.75" customHeight="1" x14ac:dyDescent="0.25">
      <c r="A1072" s="210" t="s">
        <v>15134</v>
      </c>
      <c r="B1072" s="204" t="s">
        <v>312</v>
      </c>
      <c r="C1072" s="204" t="s">
        <v>2</v>
      </c>
      <c r="D1072" s="205">
        <v>4</v>
      </c>
      <c r="E1072" s="306" t="s">
        <v>11669</v>
      </c>
      <c r="F1072" s="204" t="str">
        <f>VLOOKUP(E1072,Table10[[COUNTRY NAME]:[CONTINENT CODE]],3,FALSE)</f>
        <v>SA</v>
      </c>
      <c r="G1072" s="206" t="s">
        <v>13142</v>
      </c>
      <c r="H1072" s="207">
        <v>14950</v>
      </c>
      <c r="I1072" s="208">
        <v>35.25</v>
      </c>
      <c r="J1072" s="345">
        <v>300339085</v>
      </c>
      <c r="K1072" s="345">
        <f>IFERROR(Table15[[#This Row],[ROUTE $]]/Table15[[#This Row],[E - DEMAND]],0)</f>
        <v>89841.186060424763</v>
      </c>
      <c r="L1072" s="204">
        <v>3343</v>
      </c>
      <c r="M1072" s="412">
        <f>IFERROR(VLOOKUP(Table15[[#This Row],[ROUTE]],DEMAND!A:F,5,FALSE),0)</f>
        <v>3343</v>
      </c>
      <c r="N1072" s="16">
        <f>IFERROR(VLOOKUP(Table15[[#This Row],[ROUTE]],DEMAND!A:F,6,FALSE),0)</f>
        <v>-69</v>
      </c>
      <c r="O1072" s="16">
        <f>IFERROR(ROUNDDOWN(Table15[[#This Row],[R-DEMAND]]/1706,0),0)</f>
        <v>0</v>
      </c>
      <c r="P1072" s="16">
        <f>IFERROR(Table15[[#This Row],[ADD ACC]]*Table15[[#This Row],[RT TIME 
(380-800)]],0)</f>
        <v>0</v>
      </c>
      <c r="Q1072" s="415">
        <f>IFERROR(VLOOKUP(Table15[[#This Row],[ROUTE]],PRICING!A:B,2,FALSE),0)</f>
        <v>4754</v>
      </c>
      <c r="R1072" s="235">
        <f>IFERROR(Table15[[#This Row],[C_DEMAND]]-Table15[[#This Row],[R-DEMAND]],0)</f>
        <v>3412</v>
      </c>
      <c r="S1072" s="408">
        <f t="shared" si="16"/>
        <v>16220648</v>
      </c>
      <c r="T1072" s="419">
        <f>Table15[[#This Row],[R-DEMAND]]-(Table15[[#This Row],[ADD ACC]]*1706)</f>
        <v>-69</v>
      </c>
      <c r="U1072" s="419">
        <f>ROUNDDOWN(Table15[[#This Row],[Column1]]/1360,0)</f>
        <v>0</v>
      </c>
      <c r="V1072" s="419"/>
      <c r="W1072" s="349"/>
      <c r="X1072" s="349"/>
      <c r="Y1072" s="349"/>
      <c r="Z1072" s="349"/>
    </row>
    <row r="1073" spans="1:26" ht="15.75" customHeight="1" x14ac:dyDescent="0.25">
      <c r="A1073" s="233" t="s">
        <v>15964</v>
      </c>
      <c r="B1073" s="212" t="s">
        <v>11164</v>
      </c>
      <c r="C1073" s="204" t="s">
        <v>2</v>
      </c>
      <c r="D1073" s="226">
        <v>4</v>
      </c>
      <c r="E1073" s="212" t="s">
        <v>1261</v>
      </c>
      <c r="F1073" s="212" t="str">
        <f>VLOOKUP(E1073,Table10[[COUNTRY NAME]:[CONTINENT CODE]],3,FALSE)</f>
        <v>AS</v>
      </c>
      <c r="G1073" s="227" t="s">
        <v>15963</v>
      </c>
      <c r="H1073" s="228"/>
      <c r="I1073" s="234">
        <v>12.75</v>
      </c>
      <c r="J1073" s="346">
        <v>202227665</v>
      </c>
      <c r="K1073" s="345">
        <f>IFERROR(Table15[[#This Row],[ROUTE $]]/Table15[[#This Row],[E - DEMAND]],0)</f>
        <v>42547.373237954977</v>
      </c>
      <c r="L1073" s="212">
        <v>4753</v>
      </c>
      <c r="M1073" s="413">
        <f>IFERROR(VLOOKUP(Table15[[#This Row],[ROUTE]],DEMAND!A:F,5,FALSE),0)</f>
        <v>4991</v>
      </c>
      <c r="N1073" s="16">
        <f>IFERROR(VLOOKUP(Table15[[#This Row],[ROUTE]],DEMAND!A:F,6,FALSE),0)</f>
        <v>-127</v>
      </c>
      <c r="O1073" s="16">
        <f>IFERROR(ROUNDDOWN(Table15[[#This Row],[R-DEMAND]]/1706,0),0)</f>
        <v>0</v>
      </c>
      <c r="P1073" s="16">
        <f>IFERROR(Table15[[#This Row],[ADD ACC]]*Table15[[#This Row],[RT TIME 
(380-800)]],0)</f>
        <v>0</v>
      </c>
      <c r="Q1073" s="415">
        <f>IFERROR(VLOOKUP(Table15[[#This Row],[ROUTE]],PRICING!A:B,2,FALSE),0)</f>
        <v>1369</v>
      </c>
      <c r="R1073" s="235">
        <f>IFERROR(Table15[[#This Row],[C_DEMAND]]-Table15[[#This Row],[R-DEMAND]],0)</f>
        <v>5118</v>
      </c>
      <c r="S1073" s="408">
        <f t="shared" si="16"/>
        <v>7006542</v>
      </c>
      <c r="T1073" s="419">
        <f>Table15[[#This Row],[R-DEMAND]]-(Table15[[#This Row],[ADD ACC]]*1706)</f>
        <v>-127</v>
      </c>
      <c r="U1073" s="419">
        <f>ROUNDDOWN(Table15[[#This Row],[Column1]]/1360,0)</f>
        <v>0</v>
      </c>
      <c r="V1073" s="419"/>
      <c r="W1073" s="251">
        <v>12.75</v>
      </c>
      <c r="X1073" s="251">
        <f>ROUNDDOWN(Table15[[#This Row],[R-DEMAND]]/1320,0)</f>
        <v>0</v>
      </c>
      <c r="Y1073" s="251">
        <f>IFERROR(Table15[[#This Row],[ADD ACC
(660/1320)]]*Table15[[#This Row],[Duration
(B744)]],0)</f>
        <v>0</v>
      </c>
      <c r="Z1073" s="251"/>
    </row>
    <row r="1074" spans="1:26" ht="15.75" customHeight="1" x14ac:dyDescent="0.25">
      <c r="A1074" s="210" t="s">
        <v>15532</v>
      </c>
      <c r="B1074" s="204" t="s">
        <v>5507</v>
      </c>
      <c r="C1074" s="204" t="s">
        <v>2</v>
      </c>
      <c r="D1074" s="205">
        <v>4</v>
      </c>
      <c r="E1074" s="204" t="s">
        <v>308</v>
      </c>
      <c r="F1074" s="204" t="str">
        <f>VLOOKUP(E1074,Table10[[COUNTRY NAME]:[CONTINENT CODE]],3,FALSE)</f>
        <v>EU</v>
      </c>
      <c r="G1074" s="206" t="s">
        <v>11106</v>
      </c>
      <c r="H1074" s="207">
        <v>6435</v>
      </c>
      <c r="I1074" s="208">
        <v>16.5</v>
      </c>
      <c r="J1074" s="345">
        <v>215650820</v>
      </c>
      <c r="K1074" s="345">
        <f>IFERROR(Table15[[#This Row],[ROUTE $]]/Table15[[#This Row],[E - DEMAND]],0)</f>
        <v>69296.535989717217</v>
      </c>
      <c r="L1074" s="204">
        <v>3112</v>
      </c>
      <c r="M1074" s="412">
        <f>IFERROR(VLOOKUP(Table15[[#This Row],[ROUTE]],DEMAND!A:F,5,FALSE),0)</f>
        <v>3269</v>
      </c>
      <c r="N1074" s="16">
        <f>IFERROR(VLOOKUP(Table15[[#This Row],[ROUTE]],DEMAND!A:F,6,FALSE),0)</f>
        <v>-143</v>
      </c>
      <c r="O1074" s="16">
        <f>IFERROR(ROUNDDOWN(Table15[[#This Row],[R-DEMAND]]/1706,0),0)</f>
        <v>0</v>
      </c>
      <c r="P1074" s="16">
        <f>IFERROR(Table15[[#This Row],[ADD ACC]]*Table15[[#This Row],[RT TIME 
(380-800)]],0)</f>
        <v>0</v>
      </c>
      <c r="Q1074" s="415">
        <f>IFERROR(VLOOKUP(Table15[[#This Row],[ROUTE]],PRICING!A:B,2,FALSE),0)</f>
        <v>1796</v>
      </c>
      <c r="R1074" s="235">
        <f>IFERROR(Table15[[#This Row],[C_DEMAND]]-Table15[[#This Row],[R-DEMAND]],0)</f>
        <v>3412</v>
      </c>
      <c r="S1074" s="408">
        <f t="shared" si="16"/>
        <v>6127952</v>
      </c>
      <c r="T1074" s="419">
        <f>Table15[[#This Row],[R-DEMAND]]-(Table15[[#This Row],[ADD ACC]]*1706)</f>
        <v>-143</v>
      </c>
      <c r="U1074" s="419">
        <f>ROUNDDOWN(Table15[[#This Row],[Column1]]/1360,0)</f>
        <v>0</v>
      </c>
      <c r="V1074" s="419"/>
      <c r="W1074" s="251">
        <v>16.5</v>
      </c>
      <c r="X1074" s="251">
        <f>ROUNDDOWN(Table15[[#This Row],[R-DEMAND]]/1320,0)</f>
        <v>0</v>
      </c>
      <c r="Y1074" s="251">
        <f>IFERROR(Table15[[#This Row],[ADD ACC
(660/1320)]]*Table15[[#This Row],[Duration
(B744)]],0)</f>
        <v>0</v>
      </c>
      <c r="Z1074" s="251"/>
    </row>
    <row r="1075" spans="1:26" ht="15.75" customHeight="1" x14ac:dyDescent="0.25">
      <c r="A1075" s="210" t="s">
        <v>15215</v>
      </c>
      <c r="B1075" s="204" t="s">
        <v>399</v>
      </c>
      <c r="C1075" s="204" t="s">
        <v>2</v>
      </c>
      <c r="D1075" s="205">
        <v>4</v>
      </c>
      <c r="E1075" s="204" t="s">
        <v>517</v>
      </c>
      <c r="F1075" s="204" t="str">
        <f>VLOOKUP(E1075,Table10[[COUNTRY NAME]:[CONTINENT CODE]],3,FALSE)</f>
        <v>SA</v>
      </c>
      <c r="G1075" s="206" t="s">
        <v>13159</v>
      </c>
      <c r="H1075" s="207">
        <v>13757</v>
      </c>
      <c r="I1075" s="208">
        <v>32.5</v>
      </c>
      <c r="J1075" s="345">
        <v>296243822</v>
      </c>
      <c r="K1075" s="345">
        <f>IFERROR(Table15[[#This Row],[ROUTE $]]/Table15[[#This Row],[E - DEMAND]],0)</f>
        <v>59798.914412595885</v>
      </c>
      <c r="L1075" s="204">
        <v>4954</v>
      </c>
      <c r="M1075" s="412">
        <f>IFERROR(VLOOKUP(Table15[[#This Row],[ROUTE]],DEMAND!A:F,5,FALSE),0)</f>
        <v>4954</v>
      </c>
      <c r="N1075" s="16">
        <f>IFERROR(VLOOKUP(Table15[[#This Row],[ROUTE]],DEMAND!A:F,6,FALSE),0)</f>
        <v>-164</v>
      </c>
      <c r="O1075" s="16">
        <f>IFERROR(ROUNDDOWN(Table15[[#This Row],[R-DEMAND]]/1706,0),0)</f>
        <v>0</v>
      </c>
      <c r="P1075" s="16">
        <f>IFERROR(Table15[[#This Row],[ADD ACC]]*Table15[[#This Row],[RT TIME 
(380-800)]],0)</f>
        <v>0</v>
      </c>
      <c r="Q1075" s="415">
        <f>IFERROR(VLOOKUP(Table15[[#This Row],[ROUTE]],PRICING!A:B,2,FALSE),0)</f>
        <v>4384</v>
      </c>
      <c r="R1075" s="235">
        <f>IFERROR(Table15[[#This Row],[C_DEMAND]]-Table15[[#This Row],[R-DEMAND]],0)</f>
        <v>5118</v>
      </c>
      <c r="S1075" s="408">
        <f t="shared" si="16"/>
        <v>22437312</v>
      </c>
      <c r="T1075" s="419">
        <f>Table15[[#This Row],[R-DEMAND]]-(Table15[[#This Row],[ADD ACC]]*1706)</f>
        <v>-164</v>
      </c>
      <c r="U1075" s="419">
        <f>ROUNDDOWN(Table15[[#This Row],[Column1]]/1360,0)</f>
        <v>0</v>
      </c>
      <c r="V1075" s="419"/>
      <c r="W1075" s="349"/>
      <c r="X1075" s="349"/>
      <c r="Y1075" s="349"/>
      <c r="Z1075" s="349"/>
    </row>
    <row r="1076" spans="1:26" ht="15.75" customHeight="1" x14ac:dyDescent="0.25">
      <c r="A1076" s="210" t="s">
        <v>15135</v>
      </c>
      <c r="B1076" s="204" t="s">
        <v>5130</v>
      </c>
      <c r="C1076" s="204" t="s">
        <v>2</v>
      </c>
      <c r="D1076" s="205">
        <v>3</v>
      </c>
      <c r="E1076" s="204" t="s">
        <v>4045</v>
      </c>
      <c r="F1076" s="204" t="str">
        <f>VLOOKUP(E1076,Table10[[COUNTRY NAME]:[CONTINENT CODE]],3,FALSE)</f>
        <v>SA</v>
      </c>
      <c r="G1076" s="206" t="s">
        <v>13375</v>
      </c>
      <c r="H1076" s="207">
        <v>14927</v>
      </c>
      <c r="I1076" s="208">
        <v>35.25</v>
      </c>
      <c r="J1076" s="345">
        <v>289106042</v>
      </c>
      <c r="K1076" s="345">
        <f>IFERROR(Table15[[#This Row],[ROUTE $]]/Table15[[#This Row],[E - DEMAND]],0)</f>
        <v>92900.399100257069</v>
      </c>
      <c r="L1076" s="204">
        <v>3112</v>
      </c>
      <c r="M1076" s="412">
        <f>IFERROR(VLOOKUP(Table15[[#This Row],[ROUTE]],DEMAND!A:F,5,FALSE),0)</f>
        <v>3227</v>
      </c>
      <c r="N1076" s="16">
        <f>IFERROR(VLOOKUP(Table15[[#This Row],[ROUTE]],DEMAND!A:F,6,FALSE),0)</f>
        <v>-185</v>
      </c>
      <c r="O1076" s="16">
        <f>IFERROR(ROUNDDOWN(Table15[[#This Row],[R-DEMAND]]/1706,0),0)</f>
        <v>0</v>
      </c>
      <c r="P1076" s="16">
        <f>IFERROR(Table15[[#This Row],[ADD ACC]]*Table15[[#This Row],[RT TIME 
(380-800)]],0)</f>
        <v>0</v>
      </c>
      <c r="Q1076" s="415">
        <f>IFERROR(VLOOKUP(Table15[[#This Row],[ROUTE]],PRICING!A:B,2,FALSE),0)</f>
        <v>4224</v>
      </c>
      <c r="R1076" s="235">
        <f>IFERROR(Table15[[#This Row],[C_DEMAND]]-Table15[[#This Row],[R-DEMAND]],0)</f>
        <v>3412</v>
      </c>
      <c r="S1076" s="408">
        <f t="shared" si="16"/>
        <v>14412288</v>
      </c>
      <c r="T1076" s="419">
        <f>Table15[[#This Row],[R-DEMAND]]-(Table15[[#This Row],[ADD ACC]]*1706)</f>
        <v>-185</v>
      </c>
      <c r="U1076" s="419">
        <f>ROUNDDOWN(Table15[[#This Row],[Column1]]/1360,0)</f>
        <v>0</v>
      </c>
      <c r="V1076" s="419"/>
      <c r="W1076" s="349"/>
      <c r="X1076" s="349"/>
      <c r="Y1076" s="349"/>
      <c r="Z1076" s="349"/>
    </row>
    <row r="1077" spans="1:26" ht="15.75" customHeight="1" x14ac:dyDescent="0.25">
      <c r="A1077" s="210" t="s">
        <v>15656</v>
      </c>
      <c r="B1077" s="204" t="s">
        <v>97</v>
      </c>
      <c r="C1077" s="204" t="s">
        <v>2</v>
      </c>
      <c r="D1077" s="205">
        <v>5</v>
      </c>
      <c r="E1077" s="204" t="s">
        <v>14</v>
      </c>
      <c r="F1077" s="204" t="str">
        <f>VLOOKUP(E1077,Table10[[COUNTRY NAME]:[CONTINENT CODE]],3,FALSE)</f>
        <v>AS</v>
      </c>
      <c r="G1077" s="206" t="s">
        <v>12046</v>
      </c>
      <c r="H1077" s="207">
        <v>5020</v>
      </c>
      <c r="I1077" s="208">
        <v>13.25</v>
      </c>
      <c r="J1077" s="345">
        <v>217064371</v>
      </c>
      <c r="K1077" s="345">
        <f>IFERROR(Table15[[#This Row],[ROUTE $]]/Table15[[#This Row],[E - DEMAND]],0)</f>
        <v>46341.667591801881</v>
      </c>
      <c r="L1077" s="204">
        <v>4684</v>
      </c>
      <c r="M1077" s="412">
        <f>IFERROR(VLOOKUP(Table15[[#This Row],[ROUTE]],DEMAND!A:F,5,FALSE),0)</f>
        <v>4903</v>
      </c>
      <c r="N1077" s="16">
        <f>IFERROR(VLOOKUP(Table15[[#This Row],[ROUTE]],DEMAND!A:F,6,FALSE),0)</f>
        <v>-215</v>
      </c>
      <c r="O1077" s="16">
        <f>IFERROR(ROUNDDOWN(Table15[[#This Row],[R-DEMAND]]/1706,0),0)</f>
        <v>0</v>
      </c>
      <c r="P1077" s="16">
        <f>IFERROR(Table15[[#This Row],[ADD ACC]]*Table15[[#This Row],[RT TIME 
(380-800)]],0)</f>
        <v>0</v>
      </c>
      <c r="Q1077" s="415">
        <f>IFERROR(VLOOKUP(Table15[[#This Row],[ROUTE]],PRICING!A:B,2,FALSE),0)</f>
        <v>1441</v>
      </c>
      <c r="R1077" s="235">
        <f>IFERROR(Table15[[#This Row],[C_DEMAND]]-Table15[[#This Row],[R-DEMAND]],0)</f>
        <v>5118</v>
      </c>
      <c r="S1077" s="408">
        <f t="shared" si="16"/>
        <v>7375038</v>
      </c>
      <c r="T1077" s="419">
        <f>Table15[[#This Row],[R-DEMAND]]-(Table15[[#This Row],[ADD ACC]]*1706)</f>
        <v>-215</v>
      </c>
      <c r="U1077" s="419">
        <f>ROUNDDOWN(Table15[[#This Row],[Column1]]/1360,0)</f>
        <v>0</v>
      </c>
      <c r="V1077" s="419"/>
      <c r="W1077" s="251">
        <v>13.25</v>
      </c>
      <c r="X1077" s="251">
        <f>ROUNDDOWN(Table15[[#This Row],[R-DEMAND]]/1320,0)</f>
        <v>0</v>
      </c>
      <c r="Y1077" s="251">
        <f>IFERROR(Table15[[#This Row],[ADD ACC
(660/1320)]]*Table15[[#This Row],[Duration
(B744)]],0)</f>
        <v>0</v>
      </c>
      <c r="Z1077" s="251"/>
    </row>
    <row r="1078" spans="1:26" ht="15.75" customHeight="1" x14ac:dyDescent="0.25">
      <c r="A1078" s="210" t="s">
        <v>15871</v>
      </c>
      <c r="B1078" s="204" t="s">
        <v>415</v>
      </c>
      <c r="C1078" s="204" t="s">
        <v>2</v>
      </c>
      <c r="D1078" s="205">
        <v>5</v>
      </c>
      <c r="E1078" s="204" t="s">
        <v>332</v>
      </c>
      <c r="F1078" s="204" t="str">
        <f>VLOOKUP(E1078,Table10[[COUNTRY NAME]:[CONTINENT CODE]],3,FALSE)</f>
        <v>AS</v>
      </c>
      <c r="G1078" s="206" t="s">
        <v>11105</v>
      </c>
      <c r="H1078" s="207">
        <v>3031</v>
      </c>
      <c r="I1078" s="208">
        <v>8.75</v>
      </c>
      <c r="J1078" s="345">
        <v>207264854</v>
      </c>
      <c r="K1078" s="345">
        <f>IFERROR(Table15[[#This Row],[ROUTE $]]/Table15[[#This Row],[E - DEMAND]],0)</f>
        <v>32883.524353482469</v>
      </c>
      <c r="L1078" s="204">
        <v>6303</v>
      </c>
      <c r="M1078" s="412">
        <f>IFERROR(VLOOKUP(Table15[[#This Row],[ROUTE]],DEMAND!A:F,5,FALSE),0)</f>
        <v>6536</v>
      </c>
      <c r="N1078" s="16">
        <f>IFERROR(VLOOKUP(Table15[[#This Row],[ROUTE]],DEMAND!A:F,6,FALSE),0)</f>
        <v>-288</v>
      </c>
      <c r="O1078" s="16">
        <f>IFERROR(ROUNDDOWN(Table15[[#This Row],[R-DEMAND]]/1706,0),0)</f>
        <v>0</v>
      </c>
      <c r="P1078" s="16">
        <f>IFERROR(Table15[[#This Row],[ADD ACC]]*Table15[[#This Row],[RT TIME 
(380-800)]],0)</f>
        <v>0</v>
      </c>
      <c r="Q1078" s="415">
        <f>IFERROR(VLOOKUP(Table15[[#This Row],[ROUTE]],PRICING!A:B,2,FALSE),0)</f>
        <v>942</v>
      </c>
      <c r="R1078" s="235">
        <f>IFERROR(Table15[[#This Row],[C_DEMAND]]-Table15[[#This Row],[R-DEMAND]],0)</f>
        <v>6824</v>
      </c>
      <c r="S1078" s="408">
        <f t="shared" si="16"/>
        <v>6428208</v>
      </c>
      <c r="T1078" s="419">
        <f>Table15[[#This Row],[R-DEMAND]]-(Table15[[#This Row],[ADD ACC]]*1706)</f>
        <v>-288</v>
      </c>
      <c r="U1078" s="419">
        <f>ROUNDDOWN(Table15[[#This Row],[Column1]]/1360,0)</f>
        <v>0</v>
      </c>
      <c r="V1078" s="419"/>
      <c r="W1078" s="251">
        <v>8.75</v>
      </c>
      <c r="X1078" s="251">
        <f>ROUNDDOWN(Table15[[#This Row],[R-DEMAND]]/1320,0)</f>
        <v>0</v>
      </c>
      <c r="Y1078" s="251">
        <f>IFERROR(Table15[[#This Row],[ADD ACC
(660/1320)]]*Table15[[#This Row],[Duration
(B744)]],0)</f>
        <v>0</v>
      </c>
      <c r="Z1078" s="251"/>
    </row>
    <row r="1079" spans="1:26" ht="15.75" customHeight="1" x14ac:dyDescent="0.25">
      <c r="A1079" s="210" t="s">
        <v>15873</v>
      </c>
      <c r="B1079" s="204" t="s">
        <v>333</v>
      </c>
      <c r="C1079" s="204" t="s">
        <v>2</v>
      </c>
      <c r="D1079" s="205">
        <v>5</v>
      </c>
      <c r="E1079" s="204" t="s">
        <v>332</v>
      </c>
      <c r="F1079" s="204" t="str">
        <f>VLOOKUP(E1079,Table10[[COUNTRY NAME]:[CONTINENT CODE]],3,FALSE)</f>
        <v>AS</v>
      </c>
      <c r="G1079" s="206" t="s">
        <v>12098</v>
      </c>
      <c r="H1079" s="207">
        <v>3010</v>
      </c>
      <c r="I1079" s="208">
        <v>8.75</v>
      </c>
      <c r="J1079" s="345">
        <v>205087569</v>
      </c>
      <c r="K1079" s="345">
        <f>IFERROR(Table15[[#This Row],[ROUTE $]]/Table15[[#This Row],[E - DEMAND]],0)</f>
        <v>32956.382612887675</v>
      </c>
      <c r="L1079" s="204">
        <v>6223</v>
      </c>
      <c r="M1079" s="412">
        <f>IFERROR(VLOOKUP(Table15[[#This Row],[ROUTE]],DEMAND!A:F,5,FALSE),0)</f>
        <v>6534</v>
      </c>
      <c r="N1079" s="16">
        <f>IFERROR(VLOOKUP(Table15[[#This Row],[ROUTE]],DEMAND!A:F,6,FALSE),0)</f>
        <v>-290</v>
      </c>
      <c r="O1079" s="16">
        <f>IFERROR(ROUNDDOWN(Table15[[#This Row],[R-DEMAND]]/1706,0),0)</f>
        <v>0</v>
      </c>
      <c r="P1079" s="16">
        <f>IFERROR(Table15[[#This Row],[ADD ACC]]*Table15[[#This Row],[RT TIME 
(380-800)]],0)</f>
        <v>0</v>
      </c>
      <c r="Q1079" s="415">
        <f>IFERROR(VLOOKUP(Table15[[#This Row],[ROUTE]],PRICING!A:B,2,FALSE),0)</f>
        <v>895</v>
      </c>
      <c r="R1079" s="235">
        <f>IFERROR(Table15[[#This Row],[C_DEMAND]]-Table15[[#This Row],[R-DEMAND]],0)</f>
        <v>6824</v>
      </c>
      <c r="S1079" s="408">
        <f t="shared" si="16"/>
        <v>6107480</v>
      </c>
      <c r="T1079" s="419">
        <f>Table15[[#This Row],[R-DEMAND]]-(Table15[[#This Row],[ADD ACC]]*1706)</f>
        <v>-290</v>
      </c>
      <c r="U1079" s="419">
        <f>ROUNDDOWN(Table15[[#This Row],[Column1]]/1360,0)</f>
        <v>0</v>
      </c>
      <c r="V1079" s="419"/>
      <c r="W1079" s="251">
        <v>8.75</v>
      </c>
      <c r="X1079" s="251">
        <f>ROUNDDOWN(Table15[[#This Row],[R-DEMAND]]/1320,0)</f>
        <v>0</v>
      </c>
      <c r="Y1079" s="251">
        <f>IFERROR(Table15[[#This Row],[ADD ACC
(660/1320)]]*Table15[[#This Row],[Duration
(B744)]],0)</f>
        <v>0</v>
      </c>
      <c r="Z1079" s="251"/>
    </row>
    <row r="1080" spans="1:26" ht="15.75" customHeight="1" x14ac:dyDescent="0.25">
      <c r="A1080" s="210" t="s">
        <v>15925</v>
      </c>
      <c r="B1080" s="204" t="s">
        <v>319</v>
      </c>
      <c r="C1080" s="204" t="s">
        <v>2</v>
      </c>
      <c r="D1080" s="205">
        <v>5</v>
      </c>
      <c r="E1080" s="204" t="s">
        <v>1847</v>
      </c>
      <c r="F1080" s="204" t="str">
        <f>VLOOKUP(E1080,Table10[[COUNTRY NAME]:[CONTINENT CODE]],3,FALSE)</f>
        <v>AS</v>
      </c>
      <c r="G1080" s="206" t="s">
        <v>11087</v>
      </c>
      <c r="H1080" s="207">
        <v>1926</v>
      </c>
      <c r="I1080" s="208">
        <v>6.5</v>
      </c>
      <c r="J1080" s="345">
        <v>198450624</v>
      </c>
      <c r="K1080" s="345">
        <f>IFERROR(Table15[[#This Row],[ROUTE $]]/Table15[[#This Row],[E - DEMAND]],0)</f>
        <v>44396.112751677851</v>
      </c>
      <c r="L1080" s="204">
        <v>4470</v>
      </c>
      <c r="M1080" s="412">
        <f>IFERROR(VLOOKUP(Table15[[#This Row],[ROUTE]],DEMAND!A:F,5,FALSE),0)</f>
        <v>4724</v>
      </c>
      <c r="N1080" s="16">
        <f>IFERROR(VLOOKUP(Table15[[#This Row],[ROUTE]],DEMAND!A:F,6,FALSE),0)</f>
        <v>-394</v>
      </c>
      <c r="O1080" s="16">
        <f>IFERROR(ROUNDDOWN(Table15[[#This Row],[R-DEMAND]]/1706,0),0)</f>
        <v>0</v>
      </c>
      <c r="P1080" s="16">
        <f>IFERROR(Table15[[#This Row],[ADD ACC]]*Table15[[#This Row],[RT TIME 
(380-800)]],0)</f>
        <v>0</v>
      </c>
      <c r="Q1080" s="415">
        <f>IFERROR(VLOOKUP(Table15[[#This Row],[ROUTE]],PRICING!A:B,2,FALSE),0)</f>
        <v>595</v>
      </c>
      <c r="R1080" s="235">
        <f>IFERROR(Table15[[#This Row],[C_DEMAND]]-Table15[[#This Row],[R-DEMAND]],0)</f>
        <v>5118</v>
      </c>
      <c r="S1080" s="408">
        <f t="shared" si="16"/>
        <v>3045210</v>
      </c>
      <c r="T1080" s="419">
        <f>Table15[[#This Row],[R-DEMAND]]-(Table15[[#This Row],[ADD ACC]]*1706)</f>
        <v>-394</v>
      </c>
      <c r="U1080" s="419">
        <f>ROUNDDOWN(Table15[[#This Row],[Column1]]/1360,0)</f>
        <v>0</v>
      </c>
      <c r="V1080" s="419"/>
      <c r="W1080" s="251">
        <v>6.5</v>
      </c>
      <c r="X1080" s="251">
        <f>ROUNDDOWN(Table15[[#This Row],[R-DEMAND]]/1320,0)</f>
        <v>0</v>
      </c>
      <c r="Y1080" s="251">
        <f>IFERROR(Table15[[#This Row],[ADD ACC
(660/1320)]]*Table15[[#This Row],[Duration
(B744)]],0)</f>
        <v>0</v>
      </c>
      <c r="Z1080" s="251"/>
    </row>
    <row r="1081" spans="1:26" ht="15.75" customHeight="1" x14ac:dyDescent="0.25">
      <c r="A1081" s="210" t="s">
        <v>15664</v>
      </c>
      <c r="B1081" s="204" t="s">
        <v>14212</v>
      </c>
      <c r="C1081" s="204" t="s">
        <v>2</v>
      </c>
      <c r="D1081" s="205">
        <v>3</v>
      </c>
      <c r="E1081" s="204" t="s">
        <v>46</v>
      </c>
      <c r="F1081" s="204" t="str">
        <f>VLOOKUP(E1081,Table10[[COUNTRY NAME]:[CONTINENT CODE]],3,FALSE)</f>
        <v>AS</v>
      </c>
      <c r="G1081" s="206" t="s">
        <v>14213</v>
      </c>
      <c r="H1081" s="207">
        <v>4946</v>
      </c>
      <c r="I1081" s="208">
        <v>13</v>
      </c>
      <c r="J1081" s="345">
        <v>185068259</v>
      </c>
      <c r="K1081" s="345">
        <f>IFERROR(Table15[[#This Row],[ROUTE $]]/Table15[[#This Row],[E - DEMAND]],0)</f>
        <v>64913.454577341283</v>
      </c>
      <c r="L1081" s="204">
        <v>2851</v>
      </c>
      <c r="M1081" s="412">
        <f>IFERROR(VLOOKUP(Table15[[#This Row],[ROUTE]],DEMAND!A:F,5,FALSE),0)</f>
        <v>2946</v>
      </c>
      <c r="N1081" s="16">
        <f>IFERROR(VLOOKUP(Table15[[#This Row],[ROUTE]],DEMAND!A:F,6,FALSE),0)</f>
        <v>-466</v>
      </c>
      <c r="O1081" s="16">
        <f>IFERROR(ROUNDDOWN(Table15[[#This Row],[R-DEMAND]]/1706,0),0)</f>
        <v>0</v>
      </c>
      <c r="P1081" s="16">
        <f>IFERROR(Table15[[#This Row],[ADD ACC]]*Table15[[#This Row],[RT TIME 
(380-800)]],0)</f>
        <v>0</v>
      </c>
      <c r="Q1081" s="415">
        <f>IFERROR(VLOOKUP(Table15[[#This Row],[ROUTE]],PRICING!A:B,2,FALSE),0)</f>
        <v>1487</v>
      </c>
      <c r="R1081" s="235">
        <f>IFERROR(Table15[[#This Row],[C_DEMAND]]-Table15[[#This Row],[R-DEMAND]],0)</f>
        <v>3412</v>
      </c>
      <c r="S1081" s="408">
        <f t="shared" si="16"/>
        <v>5073644</v>
      </c>
      <c r="T1081" s="419">
        <f>Table15[[#This Row],[R-DEMAND]]-(Table15[[#This Row],[ADD ACC]]*1706)</f>
        <v>-466</v>
      </c>
      <c r="U1081" s="419">
        <f>ROUNDDOWN(Table15[[#This Row],[Column1]]/1360,0)</f>
        <v>0</v>
      </c>
      <c r="V1081" s="419"/>
      <c r="W1081" s="251">
        <v>13</v>
      </c>
      <c r="X1081" s="251">
        <f>ROUNDDOWN(Table15[[#This Row],[R-DEMAND]]/1320,0)</f>
        <v>0</v>
      </c>
      <c r="Y1081" s="251">
        <f>IFERROR(Table15[[#This Row],[ADD ACC
(660/1320)]]*Table15[[#This Row],[Duration
(B744)]],0)</f>
        <v>0</v>
      </c>
      <c r="Z1081" s="251"/>
    </row>
    <row r="1082" spans="1:26" ht="15.75" customHeight="1" x14ac:dyDescent="0.25">
      <c r="A1082" s="210" t="s">
        <v>15645</v>
      </c>
      <c r="B1082" s="204" t="s">
        <v>14211</v>
      </c>
      <c r="C1082" s="204" t="s">
        <v>2</v>
      </c>
      <c r="D1082" s="205">
        <v>3</v>
      </c>
      <c r="E1082" s="204" t="s">
        <v>1261</v>
      </c>
      <c r="F1082" s="204" t="str">
        <f>VLOOKUP(E1082,Table10[[COUNTRY NAME]:[CONTINENT CODE]],3,FALSE)</f>
        <v>AS</v>
      </c>
      <c r="G1082" s="206" t="s">
        <v>14210</v>
      </c>
      <c r="H1082" s="207">
        <v>5088</v>
      </c>
      <c r="I1082" s="208">
        <v>13.5</v>
      </c>
      <c r="J1082" s="345">
        <v>199556960</v>
      </c>
      <c r="K1082" s="345">
        <f>IFERROR(Table15[[#This Row],[ROUTE $]]/Table15[[#This Row],[E - DEMAND]],0)</f>
        <v>44824.115004492363</v>
      </c>
      <c r="L1082" s="204">
        <v>4452</v>
      </c>
      <c r="M1082" s="412">
        <f>IFERROR(VLOOKUP(Table15[[#This Row],[ROUTE]],DEMAND!A:F,5,FALSE),0)</f>
        <v>4630</v>
      </c>
      <c r="N1082" s="16">
        <f>IFERROR(VLOOKUP(Table15[[#This Row],[ROUTE]],DEMAND!A:F,6,FALSE),0)</f>
        <v>-488</v>
      </c>
      <c r="O1082" s="16">
        <f>IFERROR(ROUNDDOWN(Table15[[#This Row],[R-DEMAND]]/1706,0),0)</f>
        <v>0</v>
      </c>
      <c r="P1082" s="16">
        <f>IFERROR(Table15[[#This Row],[ADD ACC]]*Table15[[#This Row],[RT TIME 
(380-800)]],0)</f>
        <v>0</v>
      </c>
      <c r="Q1082" s="415">
        <f>IFERROR(VLOOKUP(Table15[[#This Row],[ROUTE]],PRICING!A:B,2,FALSE),0)</f>
        <v>1493</v>
      </c>
      <c r="R1082" s="235">
        <f>IFERROR(Table15[[#This Row],[C_DEMAND]]-Table15[[#This Row],[R-DEMAND]],0)</f>
        <v>5118</v>
      </c>
      <c r="S1082" s="408">
        <f t="shared" si="16"/>
        <v>7641174</v>
      </c>
      <c r="T1082" s="419">
        <f>Table15[[#This Row],[R-DEMAND]]-(Table15[[#This Row],[ADD ACC]]*1706)</f>
        <v>-488</v>
      </c>
      <c r="U1082" s="419">
        <f>ROUNDDOWN(Table15[[#This Row],[Column1]]/1360,0)</f>
        <v>0</v>
      </c>
      <c r="V1082" s="419"/>
      <c r="W1082" s="251">
        <v>13.5</v>
      </c>
      <c r="X1082" s="251">
        <f>ROUNDDOWN(Table15[[#This Row],[R-DEMAND]]/1320,0)</f>
        <v>0</v>
      </c>
      <c r="Y1082" s="251">
        <f>IFERROR(Table15[[#This Row],[ADD ACC
(660/1320)]]*Table15[[#This Row],[Duration
(B744)]],0)</f>
        <v>0</v>
      </c>
      <c r="Z1082" s="251"/>
    </row>
    <row r="1083" spans="1:26" ht="15.75" customHeight="1" x14ac:dyDescent="0.25">
      <c r="A1083" s="210" t="s">
        <v>15199</v>
      </c>
      <c r="B1083" s="204" t="s">
        <v>5754</v>
      </c>
      <c r="C1083" s="204" t="s">
        <v>2</v>
      </c>
      <c r="D1083" s="205">
        <v>5</v>
      </c>
      <c r="E1083" s="16" t="s">
        <v>11732</v>
      </c>
      <c r="F1083" s="204" t="str">
        <f>VLOOKUP(E1083,Table10[[COUNTRY NAME]:[CONTINENT CODE]],3,FALSE)</f>
        <v>NA - US</v>
      </c>
      <c r="G1083" s="206" t="s">
        <v>13269</v>
      </c>
      <c r="H1083" s="207">
        <v>14002</v>
      </c>
      <c r="I1083" s="208">
        <v>33.25</v>
      </c>
      <c r="J1083" s="345">
        <v>320614695</v>
      </c>
      <c r="K1083" s="345">
        <f>IFERROR(Table15[[#This Row],[ROUTE $]]/Table15[[#This Row],[E - DEMAND]],0)</f>
        <v>116080.6281679942</v>
      </c>
      <c r="L1083" s="204">
        <v>2762</v>
      </c>
      <c r="M1083" s="412">
        <f>IFERROR(VLOOKUP(Table15[[#This Row],[ROUTE]],DEMAND!A:F,5,FALSE),0)</f>
        <v>2919</v>
      </c>
      <c r="N1083" s="16">
        <f>IFERROR(VLOOKUP(Table15[[#This Row],[ROUTE]],DEMAND!A:F,6,FALSE),0)</f>
        <v>-493</v>
      </c>
      <c r="O1083" s="16">
        <f>IFERROR(ROUNDDOWN(Table15[[#This Row],[R-DEMAND]]/1706,0),0)</f>
        <v>0</v>
      </c>
      <c r="P1083" s="16">
        <f>IFERROR(Table15[[#This Row],[ADD ACC]]*Table15[[#This Row],[RT TIME 
(380-800)]],0)</f>
        <v>0</v>
      </c>
      <c r="Q1083" s="415">
        <f>IFERROR(VLOOKUP(Table15[[#This Row],[ROUTE]],PRICING!A:B,2,FALSE),0)</f>
        <v>3701</v>
      </c>
      <c r="R1083" s="235">
        <f>IFERROR(Table15[[#This Row],[C_DEMAND]]-Table15[[#This Row],[R-DEMAND]],0)</f>
        <v>3412</v>
      </c>
      <c r="S1083" s="408">
        <f t="shared" si="16"/>
        <v>12627812</v>
      </c>
      <c r="T1083" s="419">
        <f>Table15[[#This Row],[R-DEMAND]]-(Table15[[#This Row],[ADD ACC]]*1706)</f>
        <v>-493</v>
      </c>
      <c r="U1083" s="419">
        <f>ROUNDDOWN(Table15[[#This Row],[Column1]]/1360,0)</f>
        <v>0</v>
      </c>
      <c r="V1083" s="419"/>
      <c r="W1083" s="349"/>
      <c r="X1083" s="349"/>
      <c r="Y1083" s="349"/>
      <c r="Z1083" s="349"/>
    </row>
    <row r="1084" spans="1:26" ht="15.75" customHeight="1" x14ac:dyDescent="0.25">
      <c r="A1084" s="210" t="s">
        <v>15175</v>
      </c>
      <c r="B1084" s="204" t="s">
        <v>5734</v>
      </c>
      <c r="C1084" s="204" t="s">
        <v>2</v>
      </c>
      <c r="D1084" s="205">
        <v>5</v>
      </c>
      <c r="E1084" s="16" t="s">
        <v>11732</v>
      </c>
      <c r="F1084" s="204" t="str">
        <f>VLOOKUP(E1084,Table10[[COUNTRY NAME]:[CONTINENT CODE]],3,FALSE)</f>
        <v>NA - US</v>
      </c>
      <c r="G1084" s="206" t="s">
        <v>13283</v>
      </c>
      <c r="H1084" s="207">
        <v>14155</v>
      </c>
      <c r="I1084" s="208">
        <v>33.5</v>
      </c>
      <c r="J1084" s="345">
        <v>317992249</v>
      </c>
      <c r="K1084" s="345">
        <f>IFERROR(Table15[[#This Row],[ROUTE $]]/Table15[[#This Row],[E - DEMAND]],0)</f>
        <v>118037.21195248701</v>
      </c>
      <c r="L1084" s="204">
        <v>2694</v>
      </c>
      <c r="M1084" s="412">
        <f>IFERROR(VLOOKUP(Table15[[#This Row],[ROUTE]],DEMAND!A:F,5,FALSE),0)</f>
        <v>2828</v>
      </c>
      <c r="N1084" s="16">
        <f>IFERROR(VLOOKUP(Table15[[#This Row],[ROUTE]],DEMAND!A:F,6,FALSE),0)</f>
        <v>-584</v>
      </c>
      <c r="O1084" s="16">
        <f>IFERROR(ROUNDDOWN(Table15[[#This Row],[R-DEMAND]]/1706,0),0)</f>
        <v>0</v>
      </c>
      <c r="P1084" s="16">
        <f>IFERROR(Table15[[#This Row],[ADD ACC]]*Table15[[#This Row],[RT TIME 
(380-800)]],0)</f>
        <v>0</v>
      </c>
      <c r="Q1084" s="415">
        <f>IFERROR(VLOOKUP(Table15[[#This Row],[ROUTE]],PRICING!A:B,2,FALSE),0)</f>
        <v>3831</v>
      </c>
      <c r="R1084" s="235">
        <f>IFERROR(Table15[[#This Row],[C_DEMAND]]-Table15[[#This Row],[R-DEMAND]],0)</f>
        <v>3412</v>
      </c>
      <c r="S1084" s="408">
        <f t="shared" si="16"/>
        <v>13071372</v>
      </c>
      <c r="T1084" s="419">
        <f>Table15[[#This Row],[R-DEMAND]]-(Table15[[#This Row],[ADD ACC]]*1706)</f>
        <v>-584</v>
      </c>
      <c r="U1084" s="419">
        <f>ROUNDDOWN(Table15[[#This Row],[Column1]]/1360,0)</f>
        <v>0</v>
      </c>
      <c r="V1084" s="419"/>
      <c r="W1084" s="349"/>
      <c r="X1084" s="349"/>
      <c r="Y1084" s="349"/>
      <c r="Z1084" s="349"/>
    </row>
    <row r="1085" spans="1:26" ht="15.75" customHeight="1" x14ac:dyDescent="0.25">
      <c r="A1085" s="210" t="s">
        <v>15845</v>
      </c>
      <c r="B1085" s="204" t="s">
        <v>284</v>
      </c>
      <c r="C1085" s="204" t="s">
        <v>2</v>
      </c>
      <c r="D1085" s="205">
        <v>3</v>
      </c>
      <c r="E1085" s="204" t="s">
        <v>332</v>
      </c>
      <c r="F1085" s="204" t="str">
        <f>VLOOKUP(E1085,Table10[[COUNTRY NAME]:[CONTINENT CODE]],3,FALSE)</f>
        <v>AS</v>
      </c>
      <c r="G1085" s="206" t="s">
        <v>12106</v>
      </c>
      <c r="H1085" s="207">
        <v>3267</v>
      </c>
      <c r="I1085" s="208">
        <v>9.25</v>
      </c>
      <c r="J1085" s="345">
        <v>166548331</v>
      </c>
      <c r="K1085" s="345">
        <f>IFERROR(Table15[[#This Row],[ROUTE $]]/Table15[[#This Row],[E - DEMAND]],0)</f>
        <v>39105.031932378493</v>
      </c>
      <c r="L1085" s="204">
        <v>4259</v>
      </c>
      <c r="M1085" s="412">
        <f>IFERROR(VLOOKUP(Table15[[#This Row],[ROUTE]],DEMAND!A:F,5,FALSE),0)</f>
        <v>4515</v>
      </c>
      <c r="N1085" s="16">
        <f>IFERROR(VLOOKUP(Table15[[#This Row],[ROUTE]],DEMAND!A:F,6,FALSE),0)</f>
        <v>-603</v>
      </c>
      <c r="O1085" s="16">
        <f>IFERROR(ROUNDDOWN(Table15[[#This Row],[R-DEMAND]]/1706,0),0)</f>
        <v>0</v>
      </c>
      <c r="P1085" s="16">
        <f>IFERROR(Table15[[#This Row],[ADD ACC]]*Table15[[#This Row],[RT TIME 
(380-800)]],0)</f>
        <v>0</v>
      </c>
      <c r="Q1085" s="415">
        <f>IFERROR(VLOOKUP(Table15[[#This Row],[ROUTE]],PRICING!A:B,2,FALSE),0)</f>
        <v>928</v>
      </c>
      <c r="R1085" s="235">
        <f>IFERROR(Table15[[#This Row],[C_DEMAND]]-Table15[[#This Row],[R-DEMAND]],0)</f>
        <v>5118</v>
      </c>
      <c r="S1085" s="408">
        <f t="shared" si="16"/>
        <v>4749504</v>
      </c>
      <c r="T1085" s="419">
        <f>Table15[[#This Row],[R-DEMAND]]-(Table15[[#This Row],[ADD ACC]]*1706)</f>
        <v>-603</v>
      </c>
      <c r="U1085" s="419">
        <f>ROUNDDOWN(Table15[[#This Row],[Column1]]/1360,0)</f>
        <v>0</v>
      </c>
      <c r="V1085" s="419"/>
      <c r="W1085" s="251">
        <v>9.25</v>
      </c>
      <c r="X1085" s="251">
        <f>ROUNDDOWN(Table15[[#This Row],[R-DEMAND]]/1320,0)</f>
        <v>0</v>
      </c>
      <c r="Y1085" s="251">
        <f>IFERROR(Table15[[#This Row],[ADD ACC
(660/1320)]]*Table15[[#This Row],[Duration
(B744)]],0)</f>
        <v>0</v>
      </c>
      <c r="Z1085" s="251"/>
    </row>
    <row r="1086" spans="1:26" ht="15.75" customHeight="1" x14ac:dyDescent="0.25">
      <c r="A1086" s="210" t="s">
        <v>15785</v>
      </c>
      <c r="B1086" s="204" t="s">
        <v>93</v>
      </c>
      <c r="C1086" s="204" t="s">
        <v>2</v>
      </c>
      <c r="D1086" s="205">
        <v>5</v>
      </c>
      <c r="E1086" s="204" t="s">
        <v>92</v>
      </c>
      <c r="F1086" s="204" t="str">
        <f>VLOOKUP(E1086,Table10[[COUNTRY NAME]:[CONTINENT CODE]],3,FALSE)</f>
        <v>AS</v>
      </c>
      <c r="G1086" s="206" t="s">
        <v>91</v>
      </c>
      <c r="H1086" s="207">
        <v>3921</v>
      </c>
      <c r="I1086" s="208">
        <v>10.75</v>
      </c>
      <c r="J1086" s="345">
        <v>216422986</v>
      </c>
      <c r="K1086" s="345">
        <f>IFERROR(Table15[[#This Row],[ROUTE $]]/Table15[[#This Row],[E - DEMAND]],0)</f>
        <v>50202.501971700302</v>
      </c>
      <c r="L1086" s="204">
        <v>4311</v>
      </c>
      <c r="M1086" s="412">
        <f>IFERROR(VLOOKUP(Table15[[#This Row],[ROUTE]],DEMAND!A:F,5,FALSE),0)</f>
        <v>4512</v>
      </c>
      <c r="N1086" s="16">
        <f>IFERROR(VLOOKUP(Table15[[#This Row],[ROUTE]],DEMAND!A:F,6,FALSE),0)</f>
        <v>-606</v>
      </c>
      <c r="O1086" s="16">
        <f>IFERROR(ROUNDDOWN(Table15[[#This Row],[R-DEMAND]]/1706,0),0)</f>
        <v>0</v>
      </c>
      <c r="P1086" s="16">
        <f>IFERROR(Table15[[#This Row],[ADD ACC]]*Table15[[#This Row],[RT TIME 
(380-800)]],0)</f>
        <v>0</v>
      </c>
      <c r="Q1086" s="415">
        <f>IFERROR(VLOOKUP(Table15[[#This Row],[ROUTE]],PRICING!A:B,2,FALSE),0)</f>
        <v>1148</v>
      </c>
      <c r="R1086" s="235">
        <f>IFERROR(Table15[[#This Row],[C_DEMAND]]-Table15[[#This Row],[R-DEMAND]],0)</f>
        <v>5118</v>
      </c>
      <c r="S1086" s="408">
        <f t="shared" si="16"/>
        <v>5875464</v>
      </c>
      <c r="T1086" s="419">
        <f>Table15[[#This Row],[R-DEMAND]]-(Table15[[#This Row],[ADD ACC]]*1706)</f>
        <v>-606</v>
      </c>
      <c r="U1086" s="419">
        <f>ROUNDDOWN(Table15[[#This Row],[Column1]]/1360,0)</f>
        <v>0</v>
      </c>
      <c r="V1086" s="419"/>
      <c r="W1086" s="251">
        <v>10.75</v>
      </c>
      <c r="X1086" s="251">
        <f>ROUNDDOWN(Table15[[#This Row],[R-DEMAND]]/1320,0)</f>
        <v>0</v>
      </c>
      <c r="Y1086" s="251">
        <f>IFERROR(Table15[[#This Row],[ADD ACC
(660/1320)]]*Table15[[#This Row],[Duration
(B744)]],0)</f>
        <v>0</v>
      </c>
      <c r="Z1086" s="251"/>
    </row>
    <row r="1087" spans="1:26" ht="15.75" customHeight="1" x14ac:dyDescent="0.25">
      <c r="A1087" s="210" t="s">
        <v>15116</v>
      </c>
      <c r="B1087" s="204" t="s">
        <v>4642</v>
      </c>
      <c r="C1087" s="204" t="s">
        <v>2</v>
      </c>
      <c r="D1087" s="205">
        <v>2</v>
      </c>
      <c r="E1087" s="306" t="s">
        <v>11669</v>
      </c>
      <c r="F1087" s="204" t="str">
        <f>VLOOKUP(E1087,Table10[[COUNTRY NAME]:[CONTINENT CODE]],3,FALSE)</f>
        <v>SA</v>
      </c>
      <c r="G1087" s="206" t="s">
        <v>13137</v>
      </c>
      <c r="H1087" s="207">
        <v>15523</v>
      </c>
      <c r="I1087" s="208">
        <v>36.5</v>
      </c>
      <c r="J1087" s="345">
        <v>286995720</v>
      </c>
      <c r="K1087" s="345">
        <f>IFERROR(Table15[[#This Row],[ROUTE $]]/Table15[[#This Row],[E - DEMAND]],0)</f>
        <v>105824.38053097345</v>
      </c>
      <c r="L1087" s="204">
        <v>2712</v>
      </c>
      <c r="M1087" s="412">
        <f>IFERROR(VLOOKUP(Table15[[#This Row],[ROUTE]],DEMAND!A:F,5,FALSE),0)</f>
        <v>2802</v>
      </c>
      <c r="N1087" s="16">
        <f>IFERROR(VLOOKUP(Table15[[#This Row],[ROUTE]],DEMAND!A:F,6,FALSE),0)</f>
        <v>-610</v>
      </c>
      <c r="O1087" s="16">
        <f>IFERROR(ROUNDDOWN(Table15[[#This Row],[R-DEMAND]]/1706,0),0)</f>
        <v>0</v>
      </c>
      <c r="P1087" s="16">
        <f>IFERROR(Table15[[#This Row],[ADD ACC]]*Table15[[#This Row],[RT TIME 
(380-800)]],0)</f>
        <v>0</v>
      </c>
      <c r="Q1087" s="415">
        <f>IFERROR(VLOOKUP(Table15[[#This Row],[ROUTE]],PRICING!A:B,2,FALSE),0)</f>
        <v>4438</v>
      </c>
      <c r="R1087" s="235">
        <f>IFERROR(Table15[[#This Row],[C_DEMAND]]-Table15[[#This Row],[R-DEMAND]],0)</f>
        <v>3412</v>
      </c>
      <c r="S1087" s="408">
        <f t="shared" si="16"/>
        <v>15142456</v>
      </c>
      <c r="T1087" s="419">
        <f>Table15[[#This Row],[R-DEMAND]]-(Table15[[#This Row],[ADD ACC]]*1706)</f>
        <v>-610</v>
      </c>
      <c r="U1087" s="419">
        <f>ROUNDDOWN(Table15[[#This Row],[Column1]]/1360,0)</f>
        <v>0</v>
      </c>
      <c r="V1087" s="419"/>
      <c r="W1087" s="349"/>
      <c r="X1087" s="349"/>
      <c r="Y1087" s="349"/>
      <c r="Z1087" s="349"/>
    </row>
    <row r="1088" spans="1:26" ht="15.75" customHeight="1" x14ac:dyDescent="0.25">
      <c r="A1088" s="210" t="s">
        <v>15954</v>
      </c>
      <c r="B1088" s="204" t="s">
        <v>383</v>
      </c>
      <c r="C1088" s="204" t="s">
        <v>2</v>
      </c>
      <c r="D1088" s="205">
        <v>3</v>
      </c>
      <c r="E1088" s="204" t="s">
        <v>1070</v>
      </c>
      <c r="F1088" s="204" t="str">
        <f>VLOOKUP(E1088,Table10[[COUNTRY NAME]:[CONTINENT CODE]],3,FALSE)</f>
        <v>AS</v>
      </c>
      <c r="G1088" s="206" t="s">
        <v>12063</v>
      </c>
      <c r="H1088" s="207">
        <v>944</v>
      </c>
      <c r="I1088" s="208">
        <v>4.25</v>
      </c>
      <c r="J1088" s="345">
        <v>147213368</v>
      </c>
      <c r="K1088" s="345">
        <f>IFERROR(Table15[[#This Row],[ROUTE $]]/Table15[[#This Row],[E - DEMAND]],0)</f>
        <v>34646.591668627916</v>
      </c>
      <c r="L1088" s="204">
        <v>4249</v>
      </c>
      <c r="M1088" s="412">
        <f>IFERROR(VLOOKUP(Table15[[#This Row],[ROUTE]],DEMAND!A:F,5,FALSE),0)</f>
        <v>4435</v>
      </c>
      <c r="N1088" s="16">
        <f>IFERROR(VLOOKUP(Table15[[#This Row],[ROUTE]],DEMAND!A:F,6,FALSE),0)</f>
        <v>-683</v>
      </c>
      <c r="O1088" s="16">
        <f>IFERROR(ROUNDDOWN(Table15[[#This Row],[R-DEMAND]]/1706,0),0)</f>
        <v>0</v>
      </c>
      <c r="P1088" s="16">
        <f>IFERROR(Table15[[#This Row],[ADD ACC]]*Table15[[#This Row],[RT TIME 
(380-800)]],0)</f>
        <v>0</v>
      </c>
      <c r="Q1088" s="415">
        <f>IFERROR(VLOOKUP(Table15[[#This Row],[ROUTE]],PRICING!A:B,2,FALSE),0)</f>
        <v>358</v>
      </c>
      <c r="R1088" s="235">
        <f>IFERROR(Table15[[#This Row],[C_DEMAND]]-Table15[[#This Row],[R-DEMAND]],0)</f>
        <v>5118</v>
      </c>
      <c r="S1088" s="408">
        <f t="shared" si="16"/>
        <v>1832244</v>
      </c>
      <c r="T1088" s="419">
        <f>Table15[[#This Row],[R-DEMAND]]-(Table15[[#This Row],[ADD ACC]]*1706)</f>
        <v>-683</v>
      </c>
      <c r="U1088" s="419">
        <f>ROUNDDOWN(Table15[[#This Row],[Column1]]/1360,0)</f>
        <v>0</v>
      </c>
      <c r="V1088" s="419"/>
      <c r="W1088" s="251">
        <v>4.25</v>
      </c>
      <c r="X1088" s="251">
        <f>ROUNDDOWN(Table15[[#This Row],[R-DEMAND]]/1320,0)</f>
        <v>0</v>
      </c>
      <c r="Y1088" s="251">
        <f>IFERROR(Table15[[#This Row],[ADD ACC
(660/1320)]]*Table15[[#This Row],[Duration
(B744)]],0)</f>
        <v>0</v>
      </c>
      <c r="Z1088" s="251"/>
    </row>
    <row r="1089" spans="1:26" ht="15.75" customHeight="1" x14ac:dyDescent="0.25">
      <c r="A1089" s="210" t="s">
        <v>15912</v>
      </c>
      <c r="B1089" s="204" t="s">
        <v>242</v>
      </c>
      <c r="C1089" s="204" t="s">
        <v>2</v>
      </c>
      <c r="D1089" s="205">
        <v>2</v>
      </c>
      <c r="E1089" s="204" t="s">
        <v>1070</v>
      </c>
      <c r="F1089" s="204" t="str">
        <f>VLOOKUP(E1089,Table10[[COUNTRY NAME]:[CONTINENT CODE]],3,FALSE)</f>
        <v>AS</v>
      </c>
      <c r="G1089" s="206" t="s">
        <v>12095</v>
      </c>
      <c r="H1089" s="207">
        <v>2283</v>
      </c>
      <c r="I1089" s="208">
        <v>7.25</v>
      </c>
      <c r="J1089" s="345">
        <v>150723783</v>
      </c>
      <c r="K1089" s="345">
        <f>IFERROR(Table15[[#This Row],[ROUTE $]]/Table15[[#This Row],[E - DEMAND]],0)</f>
        <v>36779.839677891658</v>
      </c>
      <c r="L1089" s="204">
        <v>4098</v>
      </c>
      <c r="M1089" s="412">
        <f>IFERROR(VLOOKUP(Table15[[#This Row],[ROUTE]],DEMAND!A:F,5,FALSE),0)</f>
        <v>4331</v>
      </c>
      <c r="N1089" s="16">
        <f>IFERROR(VLOOKUP(Table15[[#This Row],[ROUTE]],DEMAND!A:F,6,FALSE),0)</f>
        <v>-787</v>
      </c>
      <c r="O1089" s="16">
        <f>IFERROR(ROUNDDOWN(Table15[[#This Row],[R-DEMAND]]/1706,0),0)</f>
        <v>0</v>
      </c>
      <c r="P1089" s="16">
        <f>IFERROR(Table15[[#This Row],[ADD ACC]]*Table15[[#This Row],[RT TIME 
(380-800)]],0)</f>
        <v>0</v>
      </c>
      <c r="Q1089" s="415">
        <f>IFERROR(VLOOKUP(Table15[[#This Row],[ROUTE]],PRICING!A:B,2,FALSE),0)</f>
        <v>686</v>
      </c>
      <c r="R1089" s="235">
        <f>IFERROR(Table15[[#This Row],[C_DEMAND]]-Table15[[#This Row],[R-DEMAND]],0)</f>
        <v>5118</v>
      </c>
      <c r="S1089" s="408">
        <f t="shared" si="16"/>
        <v>3510948</v>
      </c>
      <c r="T1089" s="419">
        <f>Table15[[#This Row],[R-DEMAND]]-(Table15[[#This Row],[ADD ACC]]*1706)</f>
        <v>-787</v>
      </c>
      <c r="U1089" s="419">
        <f>ROUNDDOWN(Table15[[#This Row],[Column1]]/1360,0)</f>
        <v>0</v>
      </c>
      <c r="V1089" s="419"/>
      <c r="W1089" s="251">
        <v>7.25</v>
      </c>
      <c r="X1089" s="251">
        <f>ROUNDDOWN(Table15[[#This Row],[R-DEMAND]]/1320,0)</f>
        <v>0</v>
      </c>
      <c r="Y1089" s="251">
        <f>IFERROR(Table15[[#This Row],[ADD ACC
(660/1320)]]*Table15[[#This Row],[Duration
(B744)]],0)</f>
        <v>0</v>
      </c>
      <c r="Z1089" s="251"/>
    </row>
    <row r="1090" spans="1:26" ht="15.75" customHeight="1" x14ac:dyDescent="0.25">
      <c r="A1090" s="210" t="s">
        <v>15936</v>
      </c>
      <c r="B1090" s="204" t="s">
        <v>74</v>
      </c>
      <c r="C1090" s="204" t="s">
        <v>2</v>
      </c>
      <c r="D1090" s="205">
        <v>2</v>
      </c>
      <c r="E1090" s="204" t="s">
        <v>1070</v>
      </c>
      <c r="F1090" s="204" t="str">
        <f>VLOOKUP(E1090,Table10[[COUNTRY NAME]:[CONTINENT CODE]],3,FALSE)</f>
        <v>AS</v>
      </c>
      <c r="G1090" s="206" t="s">
        <v>12009</v>
      </c>
      <c r="H1090" s="207">
        <v>1667</v>
      </c>
      <c r="I1090" s="208">
        <v>5.75</v>
      </c>
      <c r="J1090" s="345">
        <v>148765636</v>
      </c>
      <c r="K1090" s="345">
        <f>IFERROR(Table15[[#This Row],[ROUTE $]]/Table15[[#This Row],[E - DEMAND]],0)</f>
        <v>35890.382629674306</v>
      </c>
      <c r="L1090" s="204">
        <v>4145</v>
      </c>
      <c r="M1090" s="412">
        <f>IFERROR(VLOOKUP(Table15[[#This Row],[ROUTE]],DEMAND!A:F,5,FALSE),0)</f>
        <v>4325</v>
      </c>
      <c r="N1090" s="16">
        <f>IFERROR(VLOOKUP(Table15[[#This Row],[ROUTE]],DEMAND!A:F,6,FALSE),0)</f>
        <v>-793</v>
      </c>
      <c r="O1090" s="16">
        <f>IFERROR(ROUNDDOWN(Table15[[#This Row],[R-DEMAND]]/1706,0),0)</f>
        <v>0</v>
      </c>
      <c r="P1090" s="16">
        <f>IFERROR(Table15[[#This Row],[ADD ACC]]*Table15[[#This Row],[RT TIME 
(380-800)]],0)</f>
        <v>0</v>
      </c>
      <c r="Q1090" s="415">
        <f>IFERROR(VLOOKUP(Table15[[#This Row],[ROUTE]],PRICING!A:B,2,FALSE),0)</f>
        <v>553</v>
      </c>
      <c r="R1090" s="235">
        <f>IFERROR(Table15[[#This Row],[C_DEMAND]]-Table15[[#This Row],[R-DEMAND]],0)</f>
        <v>5118</v>
      </c>
      <c r="S1090" s="408">
        <f t="shared" si="16"/>
        <v>2830254</v>
      </c>
      <c r="T1090" s="419">
        <f>Table15[[#This Row],[R-DEMAND]]-(Table15[[#This Row],[ADD ACC]]*1706)</f>
        <v>-793</v>
      </c>
      <c r="U1090" s="419">
        <f>ROUNDDOWN(Table15[[#This Row],[Column1]]/1360,0)</f>
        <v>0</v>
      </c>
      <c r="V1090" s="419"/>
      <c r="W1090" s="251">
        <v>5.75</v>
      </c>
      <c r="X1090" s="251">
        <f>ROUNDDOWN(Table15[[#This Row],[R-DEMAND]]/1320,0)</f>
        <v>0</v>
      </c>
      <c r="Y1090" s="251">
        <f>IFERROR(Table15[[#This Row],[ADD ACC
(660/1320)]]*Table15[[#This Row],[Duration
(B744)]],0)</f>
        <v>0</v>
      </c>
      <c r="Z1090" s="251"/>
    </row>
    <row r="1091" spans="1:26" ht="15.75" customHeight="1" x14ac:dyDescent="0.25">
      <c r="A1091" s="210" t="s">
        <v>15865</v>
      </c>
      <c r="B1091" s="204" t="s">
        <v>229</v>
      </c>
      <c r="C1091" s="204" t="s">
        <v>2</v>
      </c>
      <c r="D1091" s="205">
        <v>2</v>
      </c>
      <c r="E1091" s="204" t="s">
        <v>332</v>
      </c>
      <c r="F1091" s="204" t="str">
        <f>VLOOKUP(E1091,Table10[[COUNTRY NAME]:[CONTINENT CODE]],3,FALSE)</f>
        <v>AS</v>
      </c>
      <c r="G1091" s="206" t="s">
        <v>9107</v>
      </c>
      <c r="H1091" s="207">
        <v>3070</v>
      </c>
      <c r="I1091" s="208">
        <v>9</v>
      </c>
      <c r="J1091" s="345">
        <v>160092899</v>
      </c>
      <c r="K1091" s="345">
        <f>IFERROR(Table15[[#This Row],[ROUTE $]]/Table15[[#This Row],[E - DEMAND]],0)</f>
        <v>39558.413392636518</v>
      </c>
      <c r="L1091" s="204">
        <v>4047</v>
      </c>
      <c r="M1091" s="412">
        <f>IFERROR(VLOOKUP(Table15[[#This Row],[ROUTE]],DEMAND!A:F,5,FALSE),0)</f>
        <v>4183</v>
      </c>
      <c r="N1091" s="16">
        <f>IFERROR(VLOOKUP(Table15[[#This Row],[ROUTE]],DEMAND!A:F,6,FALSE),0)</f>
        <v>-935</v>
      </c>
      <c r="O1091" s="16">
        <f>IFERROR(ROUNDDOWN(Table15[[#This Row],[R-DEMAND]]/1706,0),0)</f>
        <v>0</v>
      </c>
      <c r="P1091" s="16">
        <f>IFERROR(Table15[[#This Row],[ADD ACC]]*Table15[[#This Row],[RT TIME 
(380-800)]],0)</f>
        <v>0</v>
      </c>
      <c r="Q1091" s="415">
        <f>IFERROR(VLOOKUP(Table15[[#This Row],[ROUTE]],PRICING!A:B,2,FALSE),0)</f>
        <v>963</v>
      </c>
      <c r="R1091" s="235">
        <f>IFERROR(Table15[[#This Row],[C_DEMAND]]-Table15[[#This Row],[R-DEMAND]],0)</f>
        <v>5118</v>
      </c>
      <c r="S1091" s="408">
        <f t="shared" ref="S1091:S1099" si="17">IFERROR(R1091*Q1091,0)</f>
        <v>4928634</v>
      </c>
      <c r="T1091" s="419">
        <f>Table15[[#This Row],[R-DEMAND]]-(Table15[[#This Row],[ADD ACC]]*1706)</f>
        <v>-935</v>
      </c>
      <c r="U1091" s="419">
        <f>ROUNDDOWN(Table15[[#This Row],[Column1]]/1360,0)</f>
        <v>0</v>
      </c>
      <c r="V1091" s="419"/>
      <c r="W1091" s="251">
        <v>9</v>
      </c>
      <c r="X1091" s="251">
        <f>ROUNDDOWN(Table15[[#This Row],[R-DEMAND]]/1320,0)</f>
        <v>0</v>
      </c>
      <c r="Y1091" s="251">
        <f>IFERROR(Table15[[#This Row],[ADD ACC
(660/1320)]]*Table15[[#This Row],[Duration
(B744)]],0)</f>
        <v>0</v>
      </c>
      <c r="Z1091" s="251"/>
    </row>
    <row r="1092" spans="1:26" ht="15.75" customHeight="1" x14ac:dyDescent="0.25">
      <c r="A1092" s="210" t="s">
        <v>15932</v>
      </c>
      <c r="B1092" s="204" t="s">
        <v>248</v>
      </c>
      <c r="C1092" s="204" t="s">
        <v>2</v>
      </c>
      <c r="D1092" s="205">
        <v>2</v>
      </c>
      <c r="E1092" s="204" t="s">
        <v>1070</v>
      </c>
      <c r="F1092" s="204" t="str">
        <f>VLOOKUP(E1092,Table10[[COUNTRY NAME]:[CONTINENT CODE]],3,FALSE)</f>
        <v>AS</v>
      </c>
      <c r="G1092" s="206" t="s">
        <v>9270</v>
      </c>
      <c r="H1092" s="207">
        <v>1793</v>
      </c>
      <c r="I1092" s="208">
        <v>6</v>
      </c>
      <c r="J1092" s="345">
        <v>146986817</v>
      </c>
      <c r="K1092" s="345">
        <f>IFERROR(Table15[[#This Row],[ROUTE $]]/Table15[[#This Row],[E - DEMAND]],0)</f>
        <v>36609.418929016188</v>
      </c>
      <c r="L1092" s="204">
        <v>4015</v>
      </c>
      <c r="M1092" s="412">
        <f>IFERROR(VLOOKUP(Table15[[#This Row],[ROUTE]],DEMAND!A:F,5,FALSE),0)</f>
        <v>4176</v>
      </c>
      <c r="N1092" s="16">
        <f>IFERROR(VLOOKUP(Table15[[#This Row],[ROUTE]],DEMAND!A:F,6,FALSE),0)</f>
        <v>-942</v>
      </c>
      <c r="O1092" s="16">
        <f>IFERROR(ROUNDDOWN(Table15[[#This Row],[R-DEMAND]]/1706,0),0)</f>
        <v>0</v>
      </c>
      <c r="P1092" s="16">
        <f>IFERROR(Table15[[#This Row],[ADD ACC]]*Table15[[#This Row],[RT TIME 
(380-800)]],0)</f>
        <v>0</v>
      </c>
      <c r="Q1092" s="415">
        <f>IFERROR(VLOOKUP(Table15[[#This Row],[ROUTE]],PRICING!A:B,2,FALSE),0)</f>
        <v>594</v>
      </c>
      <c r="R1092" s="235">
        <f>IFERROR(Table15[[#This Row],[C_DEMAND]]-Table15[[#This Row],[R-DEMAND]],0)</f>
        <v>5118</v>
      </c>
      <c r="S1092" s="408">
        <f t="shared" si="17"/>
        <v>3040092</v>
      </c>
      <c r="T1092" s="419">
        <f>Table15[[#This Row],[R-DEMAND]]-(Table15[[#This Row],[ADD ACC]]*1706)</f>
        <v>-942</v>
      </c>
      <c r="U1092" s="419">
        <f>ROUNDDOWN(Table15[[#This Row],[Column1]]/1360,0)</f>
        <v>0</v>
      </c>
      <c r="V1092" s="419"/>
      <c r="W1092" s="251">
        <v>6</v>
      </c>
      <c r="X1092" s="251">
        <f>ROUNDDOWN(Table15[[#This Row],[R-DEMAND]]/1320,0)</f>
        <v>0</v>
      </c>
      <c r="Y1092" s="251">
        <f>IFERROR(Table15[[#This Row],[ADD ACC
(660/1320)]]*Table15[[#This Row],[Duration
(B744)]],0)</f>
        <v>0</v>
      </c>
      <c r="Z1092" s="251"/>
    </row>
    <row r="1093" spans="1:26" ht="15.75" customHeight="1" x14ac:dyDescent="0.25">
      <c r="A1093" s="210" t="s">
        <v>15658</v>
      </c>
      <c r="B1093" s="204" t="s">
        <v>47</v>
      </c>
      <c r="C1093" s="204" t="s">
        <v>2</v>
      </c>
      <c r="D1093" s="205">
        <v>5</v>
      </c>
      <c r="E1093" s="204" t="s">
        <v>46</v>
      </c>
      <c r="F1093" s="204" t="str">
        <f>VLOOKUP(E1093,Table10[[COUNTRY NAME]:[CONTINENT CODE]],3,FALSE)</f>
        <v>AS</v>
      </c>
      <c r="G1093" s="206" t="s">
        <v>45</v>
      </c>
      <c r="H1093" s="207">
        <v>5003</v>
      </c>
      <c r="I1093" s="208">
        <v>13.25</v>
      </c>
      <c r="J1093" s="345">
        <v>218089202</v>
      </c>
      <c r="K1093" s="345">
        <f>IFERROR(Table15[[#This Row],[ROUTE $]]/Table15[[#This Row],[E - DEMAND]],0)</f>
        <v>55734.526450293895</v>
      </c>
      <c r="L1093" s="204">
        <v>3913</v>
      </c>
      <c r="M1093" s="412">
        <f>IFERROR(VLOOKUP(Table15[[#This Row],[ROUTE]],DEMAND!A:F,5,FALSE),0)</f>
        <v>4109</v>
      </c>
      <c r="N1093" s="16">
        <f>IFERROR(VLOOKUP(Table15[[#This Row],[ROUTE]],DEMAND!A:F,6,FALSE),0)</f>
        <v>-1009</v>
      </c>
      <c r="O1093" s="16">
        <f>IFERROR(ROUNDDOWN(Table15[[#This Row],[R-DEMAND]]/1706,0),0)</f>
        <v>0</v>
      </c>
      <c r="P1093" s="16">
        <f>IFERROR(Table15[[#This Row],[ADD ACC]]*Table15[[#This Row],[RT TIME 
(380-800)]],0)</f>
        <v>0</v>
      </c>
      <c r="Q1093" s="415">
        <f>IFERROR(VLOOKUP(Table15[[#This Row],[ROUTE]],PRICING!A:B,2,FALSE),0)</f>
        <v>1419</v>
      </c>
      <c r="R1093" s="235">
        <f>IFERROR(Table15[[#This Row],[C_DEMAND]]-Table15[[#This Row],[R-DEMAND]],0)</f>
        <v>5118</v>
      </c>
      <c r="S1093" s="408">
        <f t="shared" si="17"/>
        <v>7262442</v>
      </c>
      <c r="T1093" s="419">
        <f>Table15[[#This Row],[R-DEMAND]]-(Table15[[#This Row],[ADD ACC]]*1706)</f>
        <v>-1009</v>
      </c>
      <c r="U1093" s="419">
        <f>ROUNDDOWN(Table15[[#This Row],[Column1]]/1360,0)</f>
        <v>0</v>
      </c>
      <c r="V1093" s="419"/>
      <c r="W1093" s="251">
        <v>13.25</v>
      </c>
      <c r="X1093" s="251">
        <f>ROUNDDOWN(Table15[[#This Row],[R-DEMAND]]/1320,0)</f>
        <v>0</v>
      </c>
      <c r="Y1093" s="251">
        <f>IFERROR(Table15[[#This Row],[ADD ACC
(660/1320)]]*Table15[[#This Row],[Duration
(B744)]],0)</f>
        <v>0</v>
      </c>
      <c r="Z1093" s="251"/>
    </row>
    <row r="1094" spans="1:26" ht="15.75" customHeight="1" x14ac:dyDescent="0.25">
      <c r="A1094" s="210" t="s">
        <v>15837</v>
      </c>
      <c r="B1094" s="204" t="s">
        <v>347</v>
      </c>
      <c r="C1094" s="204" t="s">
        <v>2</v>
      </c>
      <c r="D1094" s="205">
        <v>5</v>
      </c>
      <c r="E1094" s="204" t="s">
        <v>14</v>
      </c>
      <c r="F1094" s="204" t="str">
        <f>VLOOKUP(E1094,Table10[[COUNTRY NAME]:[CONTINENT CODE]],3,FALSE)</f>
        <v>AS</v>
      </c>
      <c r="G1094" s="206" t="s">
        <v>11092</v>
      </c>
      <c r="H1094" s="207">
        <v>3377</v>
      </c>
      <c r="I1094" s="208">
        <v>9.5</v>
      </c>
      <c r="J1094" s="345">
        <v>199123868</v>
      </c>
      <c r="K1094" s="345">
        <f>IFERROR(Table15[[#This Row],[ROUTE $]]/Table15[[#This Row],[E - DEMAND]],0)</f>
        <v>37149.97537313433</v>
      </c>
      <c r="L1094" s="204">
        <v>5360</v>
      </c>
      <c r="M1094" s="412">
        <f>IFERROR(VLOOKUP(Table15[[#This Row],[ROUTE]],DEMAND!A:F,5,FALSE),0)</f>
        <v>5647</v>
      </c>
      <c r="N1094" s="16">
        <f>IFERROR(VLOOKUP(Table15[[#This Row],[ROUTE]],DEMAND!A:F,6,FALSE),0)</f>
        <v>-1177</v>
      </c>
      <c r="O1094" s="16">
        <f>IFERROR(ROUNDDOWN(Table15[[#This Row],[R-DEMAND]]/1706,0),0)</f>
        <v>0</v>
      </c>
      <c r="P1094" s="16">
        <f>IFERROR(Table15[[#This Row],[ADD ACC]]*Table15[[#This Row],[RT TIME 
(380-800)]],0)</f>
        <v>0</v>
      </c>
      <c r="Q1094" s="415">
        <f>IFERROR(VLOOKUP(Table15[[#This Row],[ROUTE]],PRICING!A:B,2,FALSE),0)</f>
        <v>979</v>
      </c>
      <c r="R1094" s="235">
        <f>IFERROR(Table15[[#This Row],[C_DEMAND]]-Table15[[#This Row],[R-DEMAND]],0)</f>
        <v>6824</v>
      </c>
      <c r="S1094" s="408">
        <f t="shared" si="17"/>
        <v>6680696</v>
      </c>
      <c r="T1094" s="419">
        <f>Table15[[#This Row],[R-DEMAND]]-(Table15[[#This Row],[ADD ACC]]*1706)</f>
        <v>-1177</v>
      </c>
      <c r="U1094" s="419">
        <f>ROUNDDOWN(Table15[[#This Row],[Column1]]/1360,0)</f>
        <v>0</v>
      </c>
      <c r="V1094" s="419"/>
      <c r="W1094" s="251">
        <v>9.5</v>
      </c>
      <c r="X1094" s="251">
        <f>ROUNDDOWN(Table15[[#This Row],[R-DEMAND]]/1320,0)</f>
        <v>0</v>
      </c>
      <c r="Y1094" s="251">
        <f>IFERROR(Table15[[#This Row],[ADD ACC
(660/1320)]]*Table15[[#This Row],[Duration
(B744)]],0)</f>
        <v>0</v>
      </c>
      <c r="Z1094" s="251"/>
    </row>
    <row r="1095" spans="1:26" ht="15.75" customHeight="1" x14ac:dyDescent="0.25">
      <c r="A1095" s="210" t="s">
        <v>15923</v>
      </c>
      <c r="B1095" s="204" t="s">
        <v>435</v>
      </c>
      <c r="C1095" s="204" t="s">
        <v>2</v>
      </c>
      <c r="D1095" s="205">
        <v>4</v>
      </c>
      <c r="E1095" s="204" t="s">
        <v>1847</v>
      </c>
      <c r="F1095" s="204" t="str">
        <f>VLOOKUP(E1095,Table10[[COUNTRY NAME]:[CONTINENT CODE]],3,FALSE)</f>
        <v>AS</v>
      </c>
      <c r="G1095" s="206" t="s">
        <v>11109</v>
      </c>
      <c r="H1095" s="207">
        <v>1971</v>
      </c>
      <c r="I1095" s="208">
        <v>6.5</v>
      </c>
      <c r="J1095" s="345">
        <v>172723446</v>
      </c>
      <c r="K1095" s="345">
        <f>IFERROR(Table15[[#This Row],[ROUTE $]]/Table15[[#This Row],[E - DEMAND]],0)</f>
        <v>47516.766437414029</v>
      </c>
      <c r="L1095" s="204">
        <v>3635</v>
      </c>
      <c r="M1095" s="412">
        <f>IFERROR(VLOOKUP(Table15[[#This Row],[ROUTE]],DEMAND!A:F,5,FALSE),0)</f>
        <v>3806</v>
      </c>
      <c r="N1095" s="16">
        <f>IFERROR(VLOOKUP(Table15[[#This Row],[ROUTE]],DEMAND!A:F,6,FALSE),0)</f>
        <v>-1312</v>
      </c>
      <c r="O1095" s="16">
        <f>IFERROR(ROUNDDOWN(Table15[[#This Row],[R-DEMAND]]/1706,0),0)</f>
        <v>0</v>
      </c>
      <c r="P1095" s="16">
        <f>IFERROR(Table15[[#This Row],[ADD ACC]]*Table15[[#This Row],[RT TIME 
(380-800)]],0)</f>
        <v>0</v>
      </c>
      <c r="Q1095" s="415">
        <f>IFERROR(VLOOKUP(Table15[[#This Row],[ROUTE]],PRICING!A:B,2,FALSE),0)</f>
        <v>628</v>
      </c>
      <c r="R1095" s="235">
        <f>IFERROR(Table15[[#This Row],[C_DEMAND]]-Table15[[#This Row],[R-DEMAND]],0)</f>
        <v>5118</v>
      </c>
      <c r="S1095" s="408">
        <f t="shared" si="17"/>
        <v>3214104</v>
      </c>
      <c r="T1095" s="419">
        <f>Table15[[#This Row],[R-DEMAND]]-(Table15[[#This Row],[ADD ACC]]*1706)</f>
        <v>-1312</v>
      </c>
      <c r="U1095" s="419">
        <f>ROUNDDOWN(Table15[[#This Row],[Column1]]/1360,0)</f>
        <v>0</v>
      </c>
      <c r="V1095" s="419"/>
      <c r="W1095" s="251">
        <v>6.5</v>
      </c>
      <c r="X1095" s="251">
        <f>ROUNDDOWN(Table15[[#This Row],[R-DEMAND]]/1320,0)</f>
        <v>0</v>
      </c>
      <c r="Y1095" s="251">
        <f>IFERROR(Table15[[#This Row],[ADD ACC
(660/1320)]]*Table15[[#This Row],[Duration
(B744)]],0)</f>
        <v>0</v>
      </c>
      <c r="Z1095" s="251"/>
    </row>
    <row r="1096" spans="1:26" ht="15.75" customHeight="1" x14ac:dyDescent="0.25">
      <c r="A1096" s="210" t="s">
        <v>15937</v>
      </c>
      <c r="B1096" s="204" t="s">
        <v>378</v>
      </c>
      <c r="C1096" s="204" t="s">
        <v>2</v>
      </c>
      <c r="D1096" s="205">
        <v>4</v>
      </c>
      <c r="E1096" s="204" t="s">
        <v>1070</v>
      </c>
      <c r="F1096" s="204" t="str">
        <f>VLOOKUP(E1096,Table10[[COUNTRY NAME]:[CONTINENT CODE]],3,FALSE)</f>
        <v>AS</v>
      </c>
      <c r="G1096" s="206" t="s">
        <v>12071</v>
      </c>
      <c r="H1096" s="207">
        <v>1665</v>
      </c>
      <c r="I1096" s="208">
        <v>5.75</v>
      </c>
      <c r="J1096" s="345">
        <v>171296442</v>
      </c>
      <c r="K1096" s="345">
        <f>IFERROR(Table15[[#This Row],[ROUTE $]]/Table15[[#This Row],[E - DEMAND]],0)</f>
        <v>33766.30041395624</v>
      </c>
      <c r="L1096" s="204">
        <v>5073</v>
      </c>
      <c r="M1096" s="412">
        <f>IFERROR(VLOOKUP(Table15[[#This Row],[ROUTE]],DEMAND!A:F,5,FALSE),0)</f>
        <v>5395</v>
      </c>
      <c r="N1096" s="16">
        <f>IFERROR(VLOOKUP(Table15[[#This Row],[ROUTE]],DEMAND!A:F,6,FALSE),0)</f>
        <v>-1429</v>
      </c>
      <c r="O1096" s="16">
        <f>IFERROR(ROUNDDOWN(Table15[[#This Row],[R-DEMAND]]/1706,0),0)</f>
        <v>0</v>
      </c>
      <c r="P1096" s="16">
        <f>IFERROR(Table15[[#This Row],[ADD ACC]]*Table15[[#This Row],[RT TIME 
(380-800)]],0)</f>
        <v>0</v>
      </c>
      <c r="Q1096" s="415">
        <f>IFERROR(VLOOKUP(Table15[[#This Row],[ROUTE]],PRICING!A:B,2,FALSE),0)</f>
        <v>515</v>
      </c>
      <c r="R1096" s="235">
        <f>IFERROR(Table15[[#This Row],[C_DEMAND]]-Table15[[#This Row],[R-DEMAND]],0)</f>
        <v>6824</v>
      </c>
      <c r="S1096" s="408">
        <f t="shared" si="17"/>
        <v>3514360</v>
      </c>
      <c r="T1096" s="419">
        <f>Table15[[#This Row],[R-DEMAND]]-(Table15[[#This Row],[ADD ACC]]*1706)</f>
        <v>-1429</v>
      </c>
      <c r="U1096" s="419">
        <f>ROUNDDOWN(Table15[[#This Row],[Column1]]/1360,0)</f>
        <v>-1</v>
      </c>
      <c r="V1096" s="419"/>
      <c r="W1096" s="251">
        <v>5.75</v>
      </c>
      <c r="X1096" s="251">
        <f>ROUNDDOWN(Table15[[#This Row],[R-DEMAND]]/1320,0)</f>
        <v>-1</v>
      </c>
      <c r="Y1096" s="251">
        <f>IFERROR(Table15[[#This Row],[ADD ACC
(660/1320)]]*Table15[[#This Row],[Duration
(B744)]],0)</f>
        <v>-5.75</v>
      </c>
      <c r="Z1096" s="251"/>
    </row>
    <row r="1097" spans="1:26" ht="15.75" customHeight="1" x14ac:dyDescent="0.25">
      <c r="A1097" s="210" t="s">
        <v>15449</v>
      </c>
      <c r="B1097" s="204" t="s">
        <v>120</v>
      </c>
      <c r="C1097" s="204" t="s">
        <v>2</v>
      </c>
      <c r="D1097" s="205">
        <v>5</v>
      </c>
      <c r="E1097" s="204" t="s">
        <v>119</v>
      </c>
      <c r="F1097" s="204" t="str">
        <f>VLOOKUP(E1097,Table10[[COUNTRY NAME]:[CONTINENT CODE]],3,FALSE)</f>
        <v>EU</v>
      </c>
      <c r="G1097" s="206" t="s">
        <v>118</v>
      </c>
      <c r="H1097" s="207">
        <v>6993</v>
      </c>
      <c r="I1097" s="208">
        <v>17.5</v>
      </c>
      <c r="J1097" s="345">
        <v>236293931</v>
      </c>
      <c r="K1097" s="345">
        <f>IFERROR(Table15[[#This Row],[ROUTE $]]/Table15[[#This Row],[E - DEMAND]],0)</f>
        <v>68710.070078511199</v>
      </c>
      <c r="L1097" s="204">
        <v>3439</v>
      </c>
      <c r="M1097" s="412">
        <f>IFERROR(VLOOKUP(Table15[[#This Row],[ROUTE]],DEMAND!A:F,5,FALSE),0)</f>
        <v>3599</v>
      </c>
      <c r="N1097" s="16">
        <f>IFERROR(VLOOKUP(Table15[[#This Row],[ROUTE]],DEMAND!A:F,6,FALSE),0)</f>
        <v>-1519</v>
      </c>
      <c r="O1097" s="16">
        <f>IFERROR(ROUNDDOWN(Table15[[#This Row],[R-DEMAND]]/1706,0),0)</f>
        <v>0</v>
      </c>
      <c r="P1097" s="16">
        <f>IFERROR(Table15[[#This Row],[ADD ACC]]*Table15[[#This Row],[RT TIME 
(380-800)]],0)</f>
        <v>0</v>
      </c>
      <c r="Q1097" s="415">
        <f>IFERROR(VLOOKUP(Table15[[#This Row],[ROUTE]],PRICING!A:B,2,FALSE),0)</f>
        <v>1966</v>
      </c>
      <c r="R1097" s="235">
        <f>IFERROR(Table15[[#This Row],[C_DEMAND]]-Table15[[#This Row],[R-DEMAND]],0)</f>
        <v>5118</v>
      </c>
      <c r="S1097" s="408">
        <f t="shared" si="17"/>
        <v>10061988</v>
      </c>
      <c r="T1097" s="419">
        <f>Table15[[#This Row],[R-DEMAND]]-(Table15[[#This Row],[ADD ACC]]*1706)</f>
        <v>-1519</v>
      </c>
      <c r="U1097" s="419">
        <f>ROUNDDOWN(Table15[[#This Row],[Column1]]/1360,0)</f>
        <v>-1</v>
      </c>
      <c r="V1097" s="419"/>
      <c r="W1097" s="251">
        <v>17.5</v>
      </c>
      <c r="X1097" s="251">
        <f>ROUNDDOWN(Table15[[#This Row],[R-DEMAND]]/1320,0)</f>
        <v>-1</v>
      </c>
      <c r="Y1097" s="251">
        <f>IFERROR(Table15[[#This Row],[ADD ACC
(660/1320)]]*Table15[[#This Row],[Duration
(B744)]],0)</f>
        <v>-17.5</v>
      </c>
      <c r="Z1097" s="251"/>
    </row>
    <row r="1098" spans="1:26" ht="15.75" customHeight="1" x14ac:dyDescent="0.25">
      <c r="A1098" s="210" t="s">
        <v>15875</v>
      </c>
      <c r="B1098" s="204" t="s">
        <v>275</v>
      </c>
      <c r="C1098" s="204" t="s">
        <v>2</v>
      </c>
      <c r="D1098" s="205">
        <v>3</v>
      </c>
      <c r="E1098" s="204" t="s">
        <v>332</v>
      </c>
      <c r="F1098" s="204" t="str">
        <f>VLOOKUP(E1098,Table10[[COUNTRY NAME]:[CONTINENT CODE]],3,FALSE)</f>
        <v>AS</v>
      </c>
      <c r="G1098" s="206" t="s">
        <v>12104</v>
      </c>
      <c r="H1098" s="207">
        <v>3004</v>
      </c>
      <c r="I1098" s="208">
        <v>8.75</v>
      </c>
      <c r="J1098" s="345">
        <v>177715379</v>
      </c>
      <c r="K1098" s="345">
        <f>IFERROR(Table15[[#This Row],[ROUTE $]]/Table15[[#This Row],[E - DEMAND]],0)</f>
        <v>36187.208104255755</v>
      </c>
      <c r="L1098" s="204">
        <v>4911</v>
      </c>
      <c r="M1098" s="412">
        <f>IFERROR(VLOOKUP(Table15[[#This Row],[ROUTE]],DEMAND!A:F,5,FALSE),0)</f>
        <v>5240</v>
      </c>
      <c r="N1098" s="16">
        <f>IFERROR(VLOOKUP(Table15[[#This Row],[ROUTE]],DEMAND!A:F,6,FALSE),0)</f>
        <v>-1584</v>
      </c>
      <c r="O1098" s="16">
        <f>IFERROR(ROUNDDOWN(Table15[[#This Row],[R-DEMAND]]/1706,0),0)</f>
        <v>0</v>
      </c>
      <c r="P1098" s="16">
        <f>IFERROR(Table15[[#This Row],[ADD ACC]]*Table15[[#This Row],[RT TIME 
(380-800)]],0)</f>
        <v>0</v>
      </c>
      <c r="Q1098" s="415">
        <f>IFERROR(VLOOKUP(Table15[[#This Row],[ROUTE]],PRICING!A:B,2,FALSE),0)</f>
        <v>840</v>
      </c>
      <c r="R1098" s="235">
        <f>IFERROR(Table15[[#This Row],[C_DEMAND]]-Table15[[#This Row],[R-DEMAND]],0)</f>
        <v>6824</v>
      </c>
      <c r="S1098" s="408">
        <f t="shared" si="17"/>
        <v>5732160</v>
      </c>
      <c r="T1098" s="419">
        <f>Table15[[#This Row],[R-DEMAND]]-(Table15[[#This Row],[ADD ACC]]*1706)</f>
        <v>-1584</v>
      </c>
      <c r="U1098" s="419">
        <f>ROUNDDOWN(Table15[[#This Row],[Column1]]/1360,0)</f>
        <v>-1</v>
      </c>
      <c r="V1098" s="419"/>
      <c r="W1098" s="251">
        <v>8.75</v>
      </c>
      <c r="X1098" s="251">
        <f>ROUNDDOWN(Table15[[#This Row],[R-DEMAND]]/1320,0)</f>
        <v>-1</v>
      </c>
      <c r="Y1098" s="251">
        <f>IFERROR(Table15[[#This Row],[ADD ACC
(660/1320)]]*Table15[[#This Row],[Duration
(B744)]],0)</f>
        <v>-8.75</v>
      </c>
      <c r="Z1098" s="251"/>
    </row>
    <row r="1099" spans="1:26" ht="15.75" customHeight="1" x14ac:dyDescent="0.25">
      <c r="A1099" s="210" t="s">
        <v>15938</v>
      </c>
      <c r="B1099" s="204" t="s">
        <v>254</v>
      </c>
      <c r="C1099" s="204" t="s">
        <v>2</v>
      </c>
      <c r="D1099" s="205">
        <v>3</v>
      </c>
      <c r="E1099" s="204" t="s">
        <v>197</v>
      </c>
      <c r="F1099" s="204" t="str">
        <f>VLOOKUP(E1099,Table10[[COUNTRY NAME]:[CONTINENT CODE]],3,FALSE)</f>
        <v>AS</v>
      </c>
      <c r="G1099" s="206" t="s">
        <v>12008</v>
      </c>
      <c r="H1099" s="207">
        <v>1616</v>
      </c>
      <c r="I1099" s="208">
        <v>5.75</v>
      </c>
      <c r="J1099" s="345">
        <v>162680101</v>
      </c>
      <c r="K1099" s="345">
        <f>IFERROR(Table15[[#This Row],[ROUTE $]]/Table15[[#This Row],[E - DEMAND]],0)</f>
        <v>32686.377536668675</v>
      </c>
      <c r="L1099" s="204">
        <v>4977</v>
      </c>
      <c r="M1099" s="412">
        <f>IFERROR(VLOOKUP(Table15[[#This Row],[ROUTE]],DEMAND!A:F,5,FALSE),0)</f>
        <v>5209</v>
      </c>
      <c r="N1099" s="16">
        <f>IFERROR(VLOOKUP(Table15[[#This Row],[ROUTE]],DEMAND!A:F,6,FALSE),0)</f>
        <v>-1615</v>
      </c>
      <c r="O1099" s="16">
        <f>IFERROR(ROUNDDOWN(Table15[[#This Row],[R-DEMAND]]/1706,0),0)</f>
        <v>0</v>
      </c>
      <c r="P1099" s="16">
        <f>IFERROR(Table15[[#This Row],[ADD ACC]]*Table15[[#This Row],[RT TIME 
(380-800)]],0)</f>
        <v>0</v>
      </c>
      <c r="Q1099" s="415">
        <f>IFERROR(VLOOKUP(Table15[[#This Row],[ROUTE]],PRICING!A:B,2,FALSE),0)</f>
        <v>533</v>
      </c>
      <c r="R1099" s="235">
        <f>IFERROR(Table15[[#This Row],[C_DEMAND]]-Table15[[#This Row],[R-DEMAND]],0)</f>
        <v>6824</v>
      </c>
      <c r="S1099" s="408">
        <f t="shared" si="17"/>
        <v>3637192</v>
      </c>
      <c r="T1099" s="419">
        <f>Table15[[#This Row],[R-DEMAND]]-(Table15[[#This Row],[ADD ACC]]*1706)</f>
        <v>-1615</v>
      </c>
      <c r="U1099" s="419">
        <f>ROUNDDOWN(Table15[[#This Row],[Column1]]/1360,0)</f>
        <v>-1</v>
      </c>
      <c r="V1099" s="419"/>
      <c r="W1099" s="251">
        <v>5.75</v>
      </c>
      <c r="X1099" s="251">
        <f>ROUNDDOWN(Table15[[#This Row],[R-DEMAND]]/1320,0)</f>
        <v>-1</v>
      </c>
      <c r="Y1099" s="251">
        <f>IFERROR(Table15[[#This Row],[ADD ACC
(660/1320)]]*Table15[[#This Row],[Duration
(B744)]],0)</f>
        <v>-5.75</v>
      </c>
      <c r="Z1099" s="251"/>
    </row>
  </sheetData>
  <phoneticPr fontId="13" type="noConversion"/>
  <conditionalFormatting sqref="B1:B1048576">
    <cfRule type="duplicateValues" dxfId="79" priority="7"/>
  </conditionalFormatting>
  <conditionalFormatting sqref="AD3:BA56 B1:B1048576">
    <cfRule type="duplicateValues" dxfId="78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88F6-CF0E-4CCB-8EDF-2FDCD2F18353}">
  <sheetPr>
    <tabColor theme="4"/>
  </sheetPr>
  <dimension ref="A1:CX279"/>
  <sheetViews>
    <sheetView topLeftCell="G1" zoomScale="40" zoomScaleNormal="40" workbookViewId="0">
      <pane ySplit="2" topLeftCell="A3" activePane="bottomLeft" state="frozen"/>
      <selection activeCell="C1" sqref="C1"/>
      <selection pane="bottomLeft" activeCell="BM54" sqref="BM54"/>
    </sheetView>
  </sheetViews>
  <sheetFormatPr defaultColWidth="9.140625" defaultRowHeight="15" x14ac:dyDescent="0.25"/>
  <cols>
    <col min="1" max="1" width="10.28515625" style="53" customWidth="1"/>
    <col min="2" max="2" width="10.5703125" style="53" bestFit="1" customWidth="1"/>
    <col min="3" max="3" width="13.28515625" style="53" bestFit="1" customWidth="1"/>
    <col min="4" max="4" width="15.140625" style="53" customWidth="1"/>
    <col min="5" max="5" width="9.42578125" style="53" bestFit="1" customWidth="1"/>
    <col min="6" max="6" width="9.140625" style="53"/>
    <col min="7" max="7" width="10.140625" style="53" customWidth="1"/>
    <col min="8" max="8" width="30.28515625" style="249" customWidth="1"/>
    <col min="9" max="9" width="9.28515625" style="249" customWidth="1"/>
    <col min="10" max="10" width="23.7109375" style="53" customWidth="1"/>
    <col min="11" max="11" width="9" style="53" customWidth="1"/>
    <col min="12" max="14" width="9.85546875" style="53" customWidth="1"/>
    <col min="15" max="37" width="9.7109375" style="53" customWidth="1"/>
    <col min="38" max="47" width="9.7109375" style="47" customWidth="1"/>
    <col min="48" max="72" width="9.140625" style="47"/>
    <col min="73" max="73" width="9.140625" style="126"/>
    <col min="74" max="83" width="9.140625" style="47"/>
    <col min="84" max="90" width="9.140625" style="53"/>
    <col min="91" max="16384" width="9.140625" style="47"/>
  </cols>
  <sheetData>
    <row r="1" spans="1:102" ht="21" x14ac:dyDescent="0.25">
      <c r="A1" s="280" t="e">
        <f>COUNTIF('SYD 168'!#REF!,"*")</f>
        <v>#REF!</v>
      </c>
      <c r="D1" s="47"/>
      <c r="E1" s="47"/>
      <c r="F1" s="47"/>
      <c r="G1" s="439">
        <f>SUM(Table31[OBJ])</f>
        <v>0</v>
      </c>
      <c r="H1" s="136" t="s">
        <v>19825</v>
      </c>
      <c r="I1" s="441">
        <f>G1/168</f>
        <v>0</v>
      </c>
      <c r="J1" s="249"/>
      <c r="N1" s="329"/>
      <c r="O1" s="329"/>
      <c r="P1" s="329">
        <f>COUNTIF(P3:P181,"R*")</f>
        <v>2</v>
      </c>
      <c r="Q1" s="329"/>
      <c r="R1" s="329"/>
      <c r="S1" s="329">
        <f>COUNTIF(S3:S181,"R*")</f>
        <v>0</v>
      </c>
      <c r="T1" s="329"/>
      <c r="U1" s="329"/>
      <c r="V1" s="329">
        <f>COUNTIF(V3:V181,"R*")</f>
        <v>0</v>
      </c>
      <c r="W1" s="329"/>
      <c r="X1" s="329"/>
      <c r="Y1" s="329">
        <f>COUNTIF(Y3:Y181,"R*")</f>
        <v>4</v>
      </c>
      <c r="Z1" s="329"/>
      <c r="AA1" s="329"/>
      <c r="AB1" s="329">
        <f>COUNTIF(AB3:AB181,"R*")</f>
        <v>6</v>
      </c>
      <c r="AC1" s="329"/>
      <c r="AD1" s="329"/>
      <c r="AE1" s="329">
        <f>COUNTIF(AE3:AE181,"R*")</f>
        <v>6</v>
      </c>
      <c r="AF1" s="329"/>
      <c r="AG1" s="329"/>
      <c r="AH1" s="329">
        <f>COUNTIF(AH3:AH181,"R*")</f>
        <v>4</v>
      </c>
      <c r="AI1" s="329"/>
      <c r="AJ1" s="329"/>
      <c r="AK1" s="329">
        <f>COUNTIF(AK3:AK181,"R*")</f>
        <v>4</v>
      </c>
      <c r="AL1" s="329"/>
      <c r="AM1" s="329"/>
      <c r="AN1" s="329">
        <f>COUNTIF(AN3:AN181,"R*")</f>
        <v>4</v>
      </c>
      <c r="AO1" s="329"/>
      <c r="AP1" s="329"/>
      <c r="AQ1" s="329">
        <f>COUNTIF(AQ3:AQ181,"R*")</f>
        <v>0</v>
      </c>
      <c r="AR1" s="329"/>
      <c r="AS1" s="329"/>
      <c r="AT1" s="329">
        <f>COUNTIF(AT3:AT181,"R*")</f>
        <v>0</v>
      </c>
      <c r="AU1" s="329"/>
      <c r="AV1" s="329"/>
      <c r="AW1" s="329">
        <f>COUNTIF(AW3:AW181,"R*")</f>
        <v>0</v>
      </c>
      <c r="AX1" s="329"/>
      <c r="AY1" s="329"/>
      <c r="AZ1" s="329">
        <f>COUNTIF(AZ3:AZ181,"R*")</f>
        <v>0</v>
      </c>
      <c r="BA1" s="329"/>
      <c r="BB1" s="329"/>
      <c r="BC1" s="329">
        <f>COUNTIF(BC3:BC181,"R*")</f>
        <v>0</v>
      </c>
      <c r="BD1" s="329"/>
      <c r="BE1" s="329"/>
      <c r="BF1" s="329">
        <f>COUNTIF(BF3:BF181,"R*")</f>
        <v>0</v>
      </c>
      <c r="BG1" s="329"/>
      <c r="BH1" s="329"/>
      <c r="BI1" s="329">
        <f>COUNTIF(BI3:BI181,"R*")</f>
        <v>0</v>
      </c>
      <c r="BJ1" s="329"/>
      <c r="BK1" s="329"/>
      <c r="BL1" s="329">
        <f>COUNTIF(BL3:BL181,"R*")</f>
        <v>0</v>
      </c>
      <c r="BM1" s="329"/>
      <c r="BN1" s="329"/>
      <c r="BO1" s="329">
        <f>COUNTIF(BO3:BO181,"R*")</f>
        <v>0</v>
      </c>
      <c r="BP1" s="329"/>
      <c r="BQ1" s="329"/>
      <c r="BR1" s="329">
        <f>COUNTIF(BR3:BR181,"R*")</f>
        <v>0</v>
      </c>
      <c r="BS1" s="329"/>
      <c r="BT1" s="329"/>
      <c r="BU1" s="329">
        <f>COUNTIF(BU3:BU181,"R*")</f>
        <v>0</v>
      </c>
      <c r="BV1" s="329"/>
      <c r="BW1" s="329"/>
      <c r="BX1" s="329">
        <f>COUNTIF(BX3:BX181,"R*")</f>
        <v>0</v>
      </c>
      <c r="BY1" s="329"/>
      <c r="BZ1" s="329"/>
      <c r="CA1" s="329">
        <f>COUNTIF(CA3:CA181,"R*")</f>
        <v>0</v>
      </c>
      <c r="CB1" s="329"/>
      <c r="CC1" s="329"/>
      <c r="CD1" s="329">
        <f>COUNTIF(CD3:CD111,"R*")</f>
        <v>0</v>
      </c>
      <c r="CE1" s="53"/>
      <c r="CG1" s="34"/>
      <c r="CH1" s="34"/>
      <c r="CI1" s="34"/>
      <c r="CJ1" s="34"/>
      <c r="CK1" s="122"/>
      <c r="CM1" s="53"/>
      <c r="CN1" s="53"/>
      <c r="CO1" s="53"/>
      <c r="CP1" s="53"/>
      <c r="CQ1" s="53"/>
      <c r="CR1" s="53"/>
    </row>
    <row r="2" spans="1:102" ht="21.75" thickBot="1" x14ac:dyDescent="0.3">
      <c r="A2" s="197" t="s">
        <v>488</v>
      </c>
      <c r="B2" s="330" t="s">
        <v>12658</v>
      </c>
      <c r="C2" s="330" t="s">
        <v>473</v>
      </c>
      <c r="D2" s="330" t="s">
        <v>472</v>
      </c>
      <c r="E2" s="330" t="s">
        <v>471</v>
      </c>
      <c r="F2" s="26"/>
      <c r="G2" s="440">
        <f>168-G1</f>
        <v>168</v>
      </c>
      <c r="H2" s="87" t="s">
        <v>19824</v>
      </c>
      <c r="J2" s="249"/>
      <c r="N2" s="389"/>
      <c r="O2" s="389"/>
      <c r="P2" s="389">
        <f>COUNTIF(P3:P180,"X")</f>
        <v>0</v>
      </c>
      <c r="Q2" s="389"/>
      <c r="R2" s="389"/>
      <c r="S2" s="389">
        <f>COUNTIF(S3:S180,"X")</f>
        <v>0</v>
      </c>
      <c r="T2" s="389"/>
      <c r="U2" s="389"/>
      <c r="V2" s="389">
        <f>COUNTIF(V3:V180,"X")</f>
        <v>0</v>
      </c>
      <c r="W2" s="389"/>
      <c r="X2" s="389"/>
      <c r="Y2" s="389">
        <f>COUNTIF(Y3:Y180,"X")</f>
        <v>2</v>
      </c>
      <c r="Z2" s="389"/>
      <c r="AA2" s="389"/>
      <c r="AB2" s="389">
        <f>COUNTIF(AB3:AB180,"X")</f>
        <v>0</v>
      </c>
      <c r="AC2" s="389"/>
      <c r="AD2" s="389"/>
      <c r="AE2" s="389">
        <f>COUNTIF(AE3:AE180,"X")</f>
        <v>0</v>
      </c>
      <c r="AF2" s="389"/>
      <c r="AG2" s="389"/>
      <c r="AH2" s="389">
        <f>COUNTIF(AH3:AH180,"X")</f>
        <v>0</v>
      </c>
      <c r="AI2" s="389"/>
      <c r="AJ2" s="389"/>
      <c r="AK2" s="389">
        <f>COUNTIF(AK3:AK180,"X")</f>
        <v>0</v>
      </c>
      <c r="AL2" s="389"/>
      <c r="AM2" s="389"/>
      <c r="AN2" s="389">
        <f>COUNTIF(AN3:AN180,"X")</f>
        <v>0</v>
      </c>
      <c r="AO2" s="389"/>
      <c r="AP2" s="389"/>
      <c r="AQ2" s="389">
        <f>COUNTIF(AQ3:AQ180,"X")</f>
        <v>0</v>
      </c>
      <c r="AR2" s="389"/>
      <c r="AS2" s="389"/>
      <c r="AT2" s="389">
        <f>COUNTIF(AT3:AT180,"X")</f>
        <v>3</v>
      </c>
      <c r="AU2" s="389"/>
      <c r="AV2" s="389"/>
      <c r="AW2" s="389">
        <f>COUNTIF(AW3:AW180,"X")</f>
        <v>3</v>
      </c>
      <c r="AX2" s="389"/>
      <c r="AY2" s="389"/>
      <c r="AZ2" s="389">
        <f>COUNTIF(AZ3:AZ180,"X")</f>
        <v>3</v>
      </c>
      <c r="BA2" s="389"/>
      <c r="BB2" s="389"/>
      <c r="BC2" s="389">
        <f>COUNTIF(BC3:BC180,"X")</f>
        <v>3</v>
      </c>
      <c r="BD2" s="389"/>
      <c r="BE2" s="389"/>
      <c r="BF2" s="389">
        <f>COUNTIF(BF3:BF180,"X")</f>
        <v>3</v>
      </c>
      <c r="BG2" s="389"/>
      <c r="BH2" s="389"/>
      <c r="BI2" s="389">
        <f>COUNTIF(BI3:BI180,"X")</f>
        <v>3</v>
      </c>
      <c r="BJ2" s="389"/>
      <c r="BK2" s="389"/>
      <c r="BL2" s="389">
        <f>COUNTIF(BL3:BL180,"X")</f>
        <v>0</v>
      </c>
      <c r="BM2" s="389"/>
      <c r="BN2" s="389"/>
      <c r="BO2" s="389">
        <f>COUNTIF(BO3:BO180,"X")</f>
        <v>4</v>
      </c>
      <c r="BP2" s="389"/>
      <c r="BQ2" s="389"/>
      <c r="BR2" s="389">
        <f>COUNTIF(BR3:BR180,"X")</f>
        <v>0</v>
      </c>
      <c r="BS2" s="389"/>
      <c r="BT2" s="389"/>
      <c r="BU2" s="389">
        <f>COUNTIF(BU3:BU180,"X")</f>
        <v>5</v>
      </c>
      <c r="BV2" s="389"/>
      <c r="BW2" s="389"/>
      <c r="BX2" s="389">
        <f>COUNTIF(BX3:BX180,"X")</f>
        <v>7</v>
      </c>
      <c r="BY2" s="389"/>
      <c r="BZ2" s="389"/>
      <c r="CA2" s="389">
        <f>COUNTIF(CA3:CA180,"X")</f>
        <v>10</v>
      </c>
      <c r="CB2" s="389"/>
      <c r="CC2" s="389"/>
      <c r="CD2" s="389">
        <f>COUNTIF(CD3:CD111,"X")</f>
        <v>9</v>
      </c>
      <c r="CE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</row>
    <row r="3" spans="1:102" x14ac:dyDescent="0.25">
      <c r="A3" s="47"/>
      <c r="B3" s="47"/>
      <c r="C3" s="47"/>
      <c r="D3" s="246"/>
      <c r="E3" s="246"/>
      <c r="M3" s="26"/>
      <c r="N3" s="434" t="s">
        <v>2692</v>
      </c>
      <c r="O3" s="431">
        <v>23.75</v>
      </c>
      <c r="P3" s="552" t="s">
        <v>19817</v>
      </c>
      <c r="W3" s="434" t="s">
        <v>5732</v>
      </c>
      <c r="X3" s="431">
        <v>31.75</v>
      </c>
      <c r="Y3" s="552" t="s">
        <v>12664</v>
      </c>
      <c r="Z3" s="434" t="s">
        <v>5606</v>
      </c>
      <c r="AA3" s="431">
        <v>31.75</v>
      </c>
      <c r="AB3" s="552" t="s">
        <v>19826</v>
      </c>
      <c r="AC3" s="434" t="s">
        <v>5589</v>
      </c>
      <c r="AD3" s="431">
        <v>31.25</v>
      </c>
      <c r="AE3" s="552" t="s">
        <v>19826</v>
      </c>
      <c r="AF3" s="434" t="s">
        <v>5441</v>
      </c>
      <c r="AG3" s="431">
        <v>31</v>
      </c>
      <c r="AH3" s="552" t="s">
        <v>19826</v>
      </c>
      <c r="AI3" s="434" t="s">
        <v>5715</v>
      </c>
      <c r="AJ3" s="431">
        <v>30.5</v>
      </c>
      <c r="AK3" s="552" t="s">
        <v>19826</v>
      </c>
      <c r="AL3" s="434" t="s">
        <v>4429</v>
      </c>
      <c r="AM3" s="431">
        <v>30.25</v>
      </c>
      <c r="AN3" s="552" t="s">
        <v>19826</v>
      </c>
      <c r="AR3" s="434" t="s">
        <v>4631</v>
      </c>
      <c r="AS3" s="431">
        <v>20</v>
      </c>
      <c r="AT3" s="587" t="s">
        <v>12664</v>
      </c>
      <c r="AU3" s="446" t="s">
        <v>4229</v>
      </c>
      <c r="AV3" s="431">
        <v>11.75</v>
      </c>
      <c r="AW3" s="587" t="s">
        <v>12664</v>
      </c>
      <c r="AX3" s="457" t="s">
        <v>5443</v>
      </c>
      <c r="AY3" s="431">
        <v>13</v>
      </c>
      <c r="AZ3" s="587" t="s">
        <v>12664</v>
      </c>
      <c r="BA3" s="450" t="s">
        <v>4404</v>
      </c>
      <c r="BB3" s="431">
        <v>11.5</v>
      </c>
      <c r="BC3" s="587" t="s">
        <v>12664</v>
      </c>
      <c r="BD3" s="461" t="s">
        <v>4814</v>
      </c>
      <c r="BE3" s="431">
        <v>11</v>
      </c>
      <c r="BF3" s="587" t="s">
        <v>12664</v>
      </c>
      <c r="BG3" s="454" t="s">
        <v>454</v>
      </c>
      <c r="BH3" s="431">
        <v>9.25</v>
      </c>
      <c r="BI3" s="552" t="s">
        <v>12664</v>
      </c>
      <c r="BJ3" s="53"/>
      <c r="BK3" s="53"/>
      <c r="BL3" s="53"/>
      <c r="BM3" s="442" t="s">
        <v>4529</v>
      </c>
      <c r="BN3" s="390">
        <v>20.75</v>
      </c>
      <c r="BO3" s="549" t="s">
        <v>12664</v>
      </c>
      <c r="BS3" s="435" t="s">
        <v>5758</v>
      </c>
      <c r="BT3" s="424">
        <v>33.5</v>
      </c>
      <c r="BU3" s="590" t="s">
        <v>12664</v>
      </c>
      <c r="BV3" s="435" t="s">
        <v>5507</v>
      </c>
      <c r="BW3" s="424">
        <v>16.5</v>
      </c>
      <c r="BX3" s="572" t="s">
        <v>12663</v>
      </c>
      <c r="BY3" s="435" t="s">
        <v>426</v>
      </c>
      <c r="BZ3" s="424">
        <v>31.75</v>
      </c>
      <c r="CA3" s="572" t="s">
        <v>12663</v>
      </c>
      <c r="CB3" s="435" t="s">
        <v>399</v>
      </c>
      <c r="CC3" s="424">
        <v>32.5</v>
      </c>
      <c r="CD3" s="572" t="s">
        <v>12663</v>
      </c>
      <c r="CE3" s="53"/>
      <c r="CG3" s="53">
        <f>COUNTIF(CG4:CG111,"X")</f>
        <v>0</v>
      </c>
      <c r="CM3" s="53"/>
      <c r="CN3" s="53"/>
      <c r="CO3" s="53"/>
      <c r="CP3" s="53"/>
    </row>
    <row r="4" spans="1:102" x14ac:dyDescent="0.25">
      <c r="M4" s="26"/>
      <c r="N4" s="429" t="s">
        <v>4553</v>
      </c>
      <c r="O4" s="432">
        <v>18.75</v>
      </c>
      <c r="P4" s="553"/>
      <c r="W4" s="429" t="s">
        <v>3070</v>
      </c>
      <c r="X4" s="432">
        <v>9</v>
      </c>
      <c r="Y4" s="553"/>
      <c r="Z4" s="429" t="s">
        <v>4902</v>
      </c>
      <c r="AA4" s="432">
        <v>31.5</v>
      </c>
      <c r="AB4" s="553"/>
      <c r="AC4" s="429" t="s">
        <v>5499</v>
      </c>
      <c r="AD4" s="432">
        <v>31.25</v>
      </c>
      <c r="AE4" s="553"/>
      <c r="AF4" s="429" t="s">
        <v>5074</v>
      </c>
      <c r="AG4" s="432">
        <v>31</v>
      </c>
      <c r="AH4" s="553"/>
      <c r="AI4" s="429" t="s">
        <v>4917</v>
      </c>
      <c r="AJ4" s="432">
        <v>30.5</v>
      </c>
      <c r="AK4" s="553"/>
      <c r="AL4" s="429" t="s">
        <v>5620</v>
      </c>
      <c r="AM4" s="432">
        <v>30.25</v>
      </c>
      <c r="AN4" s="553"/>
      <c r="AR4" s="429" t="s">
        <v>450</v>
      </c>
      <c r="AS4" s="432">
        <v>17.5</v>
      </c>
      <c r="AT4" s="588"/>
      <c r="AU4" s="447" t="s">
        <v>5526</v>
      </c>
      <c r="AV4" s="432">
        <v>13.5</v>
      </c>
      <c r="AW4" s="588"/>
      <c r="AX4" s="458" t="s">
        <v>5128</v>
      </c>
      <c r="AY4" s="432">
        <v>12.75</v>
      </c>
      <c r="AZ4" s="588"/>
      <c r="BA4" s="451" t="s">
        <v>5663</v>
      </c>
      <c r="BB4" s="432">
        <v>12.25</v>
      </c>
      <c r="BC4" s="588"/>
      <c r="BD4" s="462" t="s">
        <v>5317</v>
      </c>
      <c r="BE4" s="432">
        <v>10.75</v>
      </c>
      <c r="BF4" s="588"/>
      <c r="BG4" s="297" t="s">
        <v>4964</v>
      </c>
      <c r="BH4" s="432">
        <v>8.25</v>
      </c>
      <c r="BI4" s="553"/>
      <c r="BM4" s="443" t="s">
        <v>5267</v>
      </c>
      <c r="BN4" s="391">
        <v>18</v>
      </c>
      <c r="BO4" s="550"/>
      <c r="BS4" s="427" t="s">
        <v>272</v>
      </c>
      <c r="BT4" s="425">
        <v>12.5</v>
      </c>
      <c r="BU4" s="591"/>
      <c r="BV4" s="427" t="s">
        <v>4642</v>
      </c>
      <c r="BW4" s="425">
        <v>36.5</v>
      </c>
      <c r="BX4" s="573"/>
      <c r="BY4" s="427" t="s">
        <v>408</v>
      </c>
      <c r="BZ4" s="425">
        <v>36.5</v>
      </c>
      <c r="CA4" s="573"/>
      <c r="CB4" s="427" t="s">
        <v>385</v>
      </c>
      <c r="CC4" s="425">
        <v>11.5</v>
      </c>
      <c r="CD4" s="573"/>
      <c r="CF4" s="47"/>
      <c r="CG4" s="47"/>
      <c r="CH4" s="47"/>
      <c r="CI4" s="47"/>
      <c r="CJ4" s="47"/>
      <c r="CK4" s="47"/>
      <c r="CL4" s="47"/>
    </row>
    <row r="5" spans="1:102" x14ac:dyDescent="0.25">
      <c r="M5" s="26"/>
      <c r="N5" s="429" t="s">
        <v>4671</v>
      </c>
      <c r="O5" s="432">
        <v>17.5</v>
      </c>
      <c r="P5" s="553"/>
      <c r="W5" s="429" t="s">
        <v>5574</v>
      </c>
      <c r="X5" s="432">
        <v>31.75</v>
      </c>
      <c r="Y5" s="553"/>
      <c r="Z5" s="429" t="s">
        <v>4744</v>
      </c>
      <c r="AA5" s="432">
        <v>31.5</v>
      </c>
      <c r="AB5" s="553"/>
      <c r="AC5" s="429" t="s">
        <v>5095</v>
      </c>
      <c r="AD5" s="432">
        <v>31.25</v>
      </c>
      <c r="AE5" s="553"/>
      <c r="AF5" s="429" t="s">
        <v>4518</v>
      </c>
      <c r="AG5" s="432">
        <v>31</v>
      </c>
      <c r="AH5" s="553"/>
      <c r="AI5" s="429" t="s">
        <v>5505</v>
      </c>
      <c r="AJ5" s="432">
        <v>30.5</v>
      </c>
      <c r="AK5" s="553"/>
      <c r="AL5" s="429" t="s">
        <v>124</v>
      </c>
      <c r="AM5" s="432">
        <v>30.25</v>
      </c>
      <c r="AN5" s="553"/>
      <c r="AR5" s="429" t="s">
        <v>3537</v>
      </c>
      <c r="AS5" s="432">
        <v>22.75</v>
      </c>
      <c r="AT5" s="588"/>
      <c r="AU5" s="447" t="s">
        <v>373</v>
      </c>
      <c r="AV5" s="432">
        <v>14.5</v>
      </c>
      <c r="AW5" s="588"/>
      <c r="AX5" s="458" t="s">
        <v>417</v>
      </c>
      <c r="AY5" s="432">
        <v>13</v>
      </c>
      <c r="AZ5" s="588"/>
      <c r="BA5" s="451" t="s">
        <v>5489</v>
      </c>
      <c r="BB5" s="432">
        <v>11.75</v>
      </c>
      <c r="BC5" s="588"/>
      <c r="BD5" s="462" t="s">
        <v>4640</v>
      </c>
      <c r="BE5" s="432">
        <v>11.25</v>
      </c>
      <c r="BF5" s="588"/>
      <c r="BG5" s="297" t="s">
        <v>341</v>
      </c>
      <c r="BH5" s="432">
        <v>10.5</v>
      </c>
      <c r="BI5" s="553"/>
      <c r="BM5" s="443" t="s">
        <v>3941</v>
      </c>
      <c r="BN5" s="391">
        <v>10.75</v>
      </c>
      <c r="BO5" s="550"/>
      <c r="BS5" s="427" t="s">
        <v>5583</v>
      </c>
      <c r="BT5" s="425">
        <v>21.75</v>
      </c>
      <c r="BU5" s="591"/>
      <c r="BV5" s="427" t="s">
        <v>5754</v>
      </c>
      <c r="BW5" s="425">
        <v>33.25</v>
      </c>
      <c r="BX5" s="573"/>
      <c r="BY5" s="427" t="s">
        <v>5616</v>
      </c>
      <c r="BZ5" s="425">
        <v>35.5</v>
      </c>
      <c r="CA5" s="573"/>
      <c r="CB5" s="427" t="s">
        <v>339</v>
      </c>
      <c r="CC5" s="425">
        <v>4.75</v>
      </c>
      <c r="CD5" s="573"/>
      <c r="CF5" s="47"/>
      <c r="CG5" s="47"/>
      <c r="CH5" s="47"/>
      <c r="CI5" s="47"/>
      <c r="CJ5" s="47"/>
      <c r="CK5" s="47"/>
      <c r="CL5" s="47"/>
    </row>
    <row r="6" spans="1:102" x14ac:dyDescent="0.25">
      <c r="H6" s="249" t="s">
        <v>470</v>
      </c>
      <c r="I6" s="249">
        <v>168</v>
      </c>
      <c r="M6" s="26"/>
      <c r="N6" s="429" t="s">
        <v>2253</v>
      </c>
      <c r="O6" s="432">
        <v>14.25</v>
      </c>
      <c r="P6" s="553"/>
      <c r="W6" s="429" t="s">
        <v>4785</v>
      </c>
      <c r="X6" s="432">
        <v>32</v>
      </c>
      <c r="Y6" s="553"/>
      <c r="Z6" s="429" t="s">
        <v>5553</v>
      </c>
      <c r="AA6" s="432">
        <v>31.5</v>
      </c>
      <c r="AB6" s="553"/>
      <c r="AC6" s="429" t="s">
        <v>5293</v>
      </c>
      <c r="AD6" s="432">
        <v>31.25</v>
      </c>
      <c r="AE6" s="553"/>
      <c r="AF6" s="429" t="s">
        <v>485</v>
      </c>
      <c r="AG6" s="432">
        <v>30.75</v>
      </c>
      <c r="AH6" s="553"/>
      <c r="AI6" s="429" t="s">
        <v>5719</v>
      </c>
      <c r="AJ6" s="432">
        <v>30.5</v>
      </c>
      <c r="AK6" s="553"/>
      <c r="AL6" s="429" t="s">
        <v>4136</v>
      </c>
      <c r="AM6" s="432">
        <v>30</v>
      </c>
      <c r="AN6" s="553"/>
      <c r="AR6" s="429" t="s">
        <v>353</v>
      </c>
      <c r="AS6" s="432">
        <v>20.25</v>
      </c>
      <c r="AT6" s="588"/>
      <c r="AU6" s="447" t="s">
        <v>366</v>
      </c>
      <c r="AV6" s="432">
        <v>14.5</v>
      </c>
      <c r="AW6" s="588"/>
      <c r="AX6" s="458" t="s">
        <v>5221</v>
      </c>
      <c r="AY6" s="432">
        <v>12.5</v>
      </c>
      <c r="AZ6" s="588"/>
      <c r="BA6" s="451" t="s">
        <v>316</v>
      </c>
      <c r="BB6" s="432">
        <v>12</v>
      </c>
      <c r="BC6" s="588"/>
      <c r="BD6" s="462" t="s">
        <v>345</v>
      </c>
      <c r="BE6" s="432">
        <v>11</v>
      </c>
      <c r="BF6" s="588"/>
      <c r="BG6" s="297" t="s">
        <v>4609</v>
      </c>
      <c r="BH6" s="432">
        <v>10.5</v>
      </c>
      <c r="BI6" s="553"/>
      <c r="BM6" s="443" t="s">
        <v>388</v>
      </c>
      <c r="BN6" s="391">
        <v>11.75</v>
      </c>
      <c r="BO6" s="550"/>
      <c r="BS6" s="427" t="s">
        <v>5727</v>
      </c>
      <c r="BT6" s="425">
        <v>33.25</v>
      </c>
      <c r="BU6" s="591"/>
      <c r="BV6" s="427" t="s">
        <v>5130</v>
      </c>
      <c r="BW6" s="425">
        <v>35.25</v>
      </c>
      <c r="BX6" s="573"/>
      <c r="BY6" s="427" t="s">
        <v>312</v>
      </c>
      <c r="BZ6" s="425">
        <v>35.25</v>
      </c>
      <c r="CA6" s="573"/>
      <c r="CB6" s="427" t="s">
        <v>298</v>
      </c>
      <c r="CC6" s="425">
        <v>32.5</v>
      </c>
      <c r="CD6" s="573"/>
      <c r="CF6" s="47"/>
      <c r="CG6" s="47"/>
      <c r="CH6" s="47"/>
      <c r="CI6" s="47"/>
      <c r="CJ6" s="47"/>
      <c r="CK6" s="47"/>
      <c r="CL6" s="47"/>
    </row>
    <row r="7" spans="1:102" ht="15.75" thickBot="1" x14ac:dyDescent="0.3">
      <c r="H7" s="249" t="s">
        <v>12659</v>
      </c>
      <c r="I7" s="121">
        <f>SUM('BOM 168'!$B$3:$B$383)</f>
        <v>0</v>
      </c>
      <c r="M7" s="26"/>
      <c r="N7" s="429" t="s">
        <v>3543</v>
      </c>
      <c r="O7" s="432">
        <v>14.25</v>
      </c>
      <c r="P7" s="553"/>
      <c r="W7" s="429" t="s">
        <v>5247</v>
      </c>
      <c r="X7" s="432">
        <v>31.75</v>
      </c>
      <c r="Y7" s="553"/>
      <c r="Z7" s="429" t="s">
        <v>5206</v>
      </c>
      <c r="AA7" s="432">
        <v>31.5</v>
      </c>
      <c r="AB7" s="553"/>
      <c r="AC7" s="429" t="s">
        <v>5132</v>
      </c>
      <c r="AD7" s="432">
        <v>31</v>
      </c>
      <c r="AE7" s="553"/>
      <c r="AF7" s="429" t="s">
        <v>5192</v>
      </c>
      <c r="AG7" s="432">
        <v>29.25</v>
      </c>
      <c r="AH7" s="553"/>
      <c r="AI7" s="429" t="s">
        <v>5519</v>
      </c>
      <c r="AJ7" s="432">
        <v>30.5</v>
      </c>
      <c r="AK7" s="553"/>
      <c r="AL7" s="429" t="s">
        <v>428</v>
      </c>
      <c r="AM7" s="432">
        <v>29.5</v>
      </c>
      <c r="AN7" s="553"/>
      <c r="AR7" s="429" t="s">
        <v>326</v>
      </c>
      <c r="AS7" s="432">
        <v>17.75</v>
      </c>
      <c r="AT7" s="588"/>
      <c r="AU7" s="447" t="s">
        <v>337</v>
      </c>
      <c r="AV7" s="432">
        <v>13.5</v>
      </c>
      <c r="AW7" s="588"/>
      <c r="AX7" s="458" t="s">
        <v>5386</v>
      </c>
      <c r="AY7" s="432">
        <v>12.75</v>
      </c>
      <c r="AZ7" s="588"/>
      <c r="BA7" s="451" t="s">
        <v>5149</v>
      </c>
      <c r="BB7" s="432">
        <v>12</v>
      </c>
      <c r="BC7" s="588"/>
      <c r="BD7" s="462" t="s">
        <v>5196</v>
      </c>
      <c r="BE7" s="432">
        <v>10.75</v>
      </c>
      <c r="BF7" s="588"/>
      <c r="BG7" s="297" t="s">
        <v>286</v>
      </c>
      <c r="BH7" s="432">
        <v>9.75</v>
      </c>
      <c r="BI7" s="553"/>
      <c r="BM7" s="443" t="s">
        <v>361</v>
      </c>
      <c r="BN7" s="391">
        <v>10</v>
      </c>
      <c r="BO7" s="550"/>
      <c r="BS7" s="427" t="s">
        <v>168</v>
      </c>
      <c r="BT7" s="425">
        <v>33.75</v>
      </c>
      <c r="BU7" s="591"/>
      <c r="BV7" s="427" t="s">
        <v>5734</v>
      </c>
      <c r="BW7" s="425">
        <v>33.5</v>
      </c>
      <c r="BX7" s="573"/>
      <c r="BY7" s="428" t="s">
        <v>5425</v>
      </c>
      <c r="BZ7" s="426">
        <v>29</v>
      </c>
      <c r="CA7" s="574"/>
      <c r="CB7" s="427" t="s">
        <v>277</v>
      </c>
      <c r="CC7" s="425">
        <v>11.5</v>
      </c>
      <c r="CD7" s="573"/>
      <c r="CF7" s="47"/>
      <c r="CG7" s="47"/>
      <c r="CH7" s="47"/>
      <c r="CI7" s="47"/>
      <c r="CJ7" s="47"/>
      <c r="CK7" s="47"/>
      <c r="CL7" s="47"/>
    </row>
    <row r="8" spans="1:102" ht="15.75" thickBot="1" x14ac:dyDescent="0.3">
      <c r="H8" s="249" t="s">
        <v>469</v>
      </c>
      <c r="I8" s="64">
        <f>I6-I7</f>
        <v>168</v>
      </c>
      <c r="M8" s="26"/>
      <c r="N8" s="429" t="s">
        <v>5275</v>
      </c>
      <c r="O8" s="432">
        <v>13</v>
      </c>
      <c r="P8" s="553"/>
      <c r="W8" s="430" t="s">
        <v>5676</v>
      </c>
      <c r="X8" s="433">
        <v>31.75</v>
      </c>
      <c r="Y8" s="554"/>
      <c r="Z8" s="430" t="s">
        <v>2067</v>
      </c>
      <c r="AA8" s="433">
        <v>10.25</v>
      </c>
      <c r="AB8" s="554"/>
      <c r="AC8" s="430" t="s">
        <v>2313</v>
      </c>
      <c r="AD8" s="433">
        <v>12</v>
      </c>
      <c r="AE8" s="554"/>
      <c r="AF8" s="430" t="s">
        <v>302</v>
      </c>
      <c r="AG8" s="433">
        <v>15</v>
      </c>
      <c r="AH8" s="554"/>
      <c r="AI8" s="430" t="s">
        <v>4568</v>
      </c>
      <c r="AJ8" s="433">
        <v>15.5</v>
      </c>
      <c r="AK8" s="554"/>
      <c r="AL8" s="430" t="s">
        <v>5475</v>
      </c>
      <c r="AM8" s="433">
        <v>17.75</v>
      </c>
      <c r="AN8" s="554"/>
      <c r="AR8" s="429" t="s">
        <v>2907</v>
      </c>
      <c r="AS8" s="432">
        <v>17.75</v>
      </c>
      <c r="AT8" s="588"/>
      <c r="AU8" s="447" t="s">
        <v>322</v>
      </c>
      <c r="AV8" s="432">
        <v>15</v>
      </c>
      <c r="AW8" s="588"/>
      <c r="AX8" s="458" t="s">
        <v>5194</v>
      </c>
      <c r="AY8" s="432">
        <v>12.5</v>
      </c>
      <c r="AZ8" s="588"/>
      <c r="BA8" s="451" t="s">
        <v>5265</v>
      </c>
      <c r="BB8" s="432">
        <v>12</v>
      </c>
      <c r="BC8" s="588"/>
      <c r="BD8" s="462" t="s">
        <v>4447</v>
      </c>
      <c r="BE8" s="432">
        <v>11</v>
      </c>
      <c r="BF8" s="588"/>
      <c r="BG8" s="297" t="s">
        <v>4935</v>
      </c>
      <c r="BH8" s="432">
        <v>7.75</v>
      </c>
      <c r="BI8" s="553"/>
      <c r="BM8" s="443" t="s">
        <v>5163</v>
      </c>
      <c r="BN8" s="391">
        <v>23</v>
      </c>
      <c r="BO8" s="550"/>
      <c r="BS8" s="428" t="s">
        <v>5079</v>
      </c>
      <c r="BT8" s="426">
        <v>33.25</v>
      </c>
      <c r="BU8" s="592"/>
      <c r="BV8" s="428" t="s">
        <v>14212</v>
      </c>
      <c r="BW8" s="426">
        <v>13</v>
      </c>
      <c r="BX8" s="574"/>
      <c r="BY8" s="435" t="s">
        <v>408</v>
      </c>
      <c r="BZ8" s="424">
        <v>36.5</v>
      </c>
      <c r="CA8" s="572" t="s">
        <v>12663</v>
      </c>
      <c r="CB8" s="427" t="s">
        <v>215</v>
      </c>
      <c r="CC8" s="425">
        <v>9.5</v>
      </c>
      <c r="CD8" s="573"/>
      <c r="CF8" s="47"/>
      <c r="CG8" s="47"/>
      <c r="CH8" s="47"/>
      <c r="CI8" s="47"/>
      <c r="CJ8" s="47"/>
      <c r="CK8" s="47"/>
      <c r="CL8" s="47"/>
    </row>
    <row r="9" spans="1:102" x14ac:dyDescent="0.25">
      <c r="H9" s="249" t="s">
        <v>468</v>
      </c>
      <c r="I9" s="249">
        <f>G2</f>
        <v>168</v>
      </c>
      <c r="M9" s="26"/>
      <c r="N9" s="429" t="s">
        <v>457</v>
      </c>
      <c r="O9" s="432">
        <v>10.5</v>
      </c>
      <c r="P9" s="553"/>
      <c r="W9" s="434" t="s">
        <v>4785</v>
      </c>
      <c r="X9" s="431">
        <v>32</v>
      </c>
      <c r="Y9" s="552" t="s">
        <v>12664</v>
      </c>
      <c r="Z9" s="434" t="s">
        <v>5606</v>
      </c>
      <c r="AA9" s="431">
        <v>31.75</v>
      </c>
      <c r="AB9" s="552" t="s">
        <v>19826</v>
      </c>
      <c r="AC9" s="434" t="s">
        <v>5589</v>
      </c>
      <c r="AD9" s="431">
        <v>31.25</v>
      </c>
      <c r="AE9" s="552" t="s">
        <v>19826</v>
      </c>
      <c r="AF9" s="434" t="s">
        <v>5441</v>
      </c>
      <c r="AG9" s="431">
        <v>31</v>
      </c>
      <c r="AH9" s="552" t="s">
        <v>19826</v>
      </c>
      <c r="AI9" s="434" t="s">
        <v>5715</v>
      </c>
      <c r="AJ9" s="431">
        <v>30.5</v>
      </c>
      <c r="AK9" s="552" t="s">
        <v>19826</v>
      </c>
      <c r="AL9" s="434" t="s">
        <v>4429</v>
      </c>
      <c r="AM9" s="431">
        <v>30.25</v>
      </c>
      <c r="AN9" s="552" t="s">
        <v>19826</v>
      </c>
      <c r="AR9" s="429" t="s">
        <v>140</v>
      </c>
      <c r="AS9" s="432">
        <v>16.75</v>
      </c>
      <c r="AT9" s="588"/>
      <c r="AU9" s="447" t="s">
        <v>268</v>
      </c>
      <c r="AV9" s="432">
        <v>14.75</v>
      </c>
      <c r="AW9" s="588"/>
      <c r="AX9" s="458" t="s">
        <v>279</v>
      </c>
      <c r="AY9" s="432">
        <v>13</v>
      </c>
      <c r="AZ9" s="588"/>
      <c r="BA9" s="451" t="s">
        <v>5037</v>
      </c>
      <c r="BB9" s="432">
        <v>5.75</v>
      </c>
      <c r="BC9" s="588"/>
      <c r="BD9" s="462" t="s">
        <v>290</v>
      </c>
      <c r="BE9" s="432">
        <v>10.75</v>
      </c>
      <c r="BF9" s="588"/>
      <c r="BG9" s="297" t="s">
        <v>5283</v>
      </c>
      <c r="BH9" s="432">
        <v>8.25</v>
      </c>
      <c r="BI9" s="553"/>
      <c r="BM9" s="443" t="s">
        <v>234</v>
      </c>
      <c r="BN9" s="391">
        <v>17.5</v>
      </c>
      <c r="BO9" s="550"/>
      <c r="BS9" s="435" t="s">
        <v>5619</v>
      </c>
      <c r="BT9" s="424">
        <v>19</v>
      </c>
      <c r="BU9" s="590" t="s">
        <v>12664</v>
      </c>
      <c r="BV9" s="435" t="s">
        <v>168</v>
      </c>
      <c r="BW9" s="424">
        <v>33.75</v>
      </c>
      <c r="BX9" s="572" t="s">
        <v>12663</v>
      </c>
      <c r="BY9" s="427" t="s">
        <v>5616</v>
      </c>
      <c r="BZ9" s="425">
        <v>35.5</v>
      </c>
      <c r="CA9" s="573"/>
      <c r="CB9" s="427" t="s">
        <v>211</v>
      </c>
      <c r="CC9" s="425">
        <v>10.25</v>
      </c>
      <c r="CD9" s="573"/>
      <c r="CF9" s="47"/>
      <c r="CG9" s="47"/>
      <c r="CH9" s="47"/>
      <c r="CI9" s="47"/>
      <c r="CJ9" s="47"/>
      <c r="CK9" s="47"/>
      <c r="CL9" s="47"/>
    </row>
    <row r="10" spans="1:102" ht="15.75" thickBot="1" x14ac:dyDescent="0.3">
      <c r="M10" s="26"/>
      <c r="N10" s="429" t="s">
        <v>2258</v>
      </c>
      <c r="O10" s="432">
        <v>10</v>
      </c>
      <c r="P10" s="553"/>
      <c r="W10" s="429" t="s">
        <v>5732</v>
      </c>
      <c r="X10" s="432">
        <v>31.75</v>
      </c>
      <c r="Y10" s="553"/>
      <c r="Z10" s="429" t="s">
        <v>4902</v>
      </c>
      <c r="AA10" s="432">
        <v>31.5</v>
      </c>
      <c r="AB10" s="553"/>
      <c r="AC10" s="429" t="s">
        <v>5499</v>
      </c>
      <c r="AD10" s="432">
        <v>31.25</v>
      </c>
      <c r="AE10" s="553"/>
      <c r="AF10" s="429" t="s">
        <v>5074</v>
      </c>
      <c r="AG10" s="432">
        <v>31</v>
      </c>
      <c r="AH10" s="553"/>
      <c r="AI10" s="429" t="s">
        <v>4917</v>
      </c>
      <c r="AJ10" s="432">
        <v>30.5</v>
      </c>
      <c r="AK10" s="553"/>
      <c r="AL10" s="429" t="s">
        <v>5620</v>
      </c>
      <c r="AM10" s="432">
        <v>30.25</v>
      </c>
      <c r="AN10" s="553"/>
      <c r="AR10" s="429" t="s">
        <v>4629</v>
      </c>
      <c r="AS10" s="432">
        <v>18.25</v>
      </c>
      <c r="AT10" s="588"/>
      <c r="AU10" s="447" t="s">
        <v>204</v>
      </c>
      <c r="AV10" s="432">
        <v>14.75</v>
      </c>
      <c r="AW10" s="588"/>
      <c r="AX10" s="458" t="s">
        <v>147</v>
      </c>
      <c r="AY10" s="432">
        <v>12.75</v>
      </c>
      <c r="AZ10" s="588"/>
      <c r="BA10" s="451" t="s">
        <v>5019</v>
      </c>
      <c r="BB10" s="432">
        <v>11.5</v>
      </c>
      <c r="BC10" s="588"/>
      <c r="BD10" s="462" t="s">
        <v>5471</v>
      </c>
      <c r="BE10" s="432">
        <v>11.25</v>
      </c>
      <c r="BF10" s="588"/>
      <c r="BG10" s="297" t="s">
        <v>4915</v>
      </c>
      <c r="BH10" s="432">
        <v>9.75</v>
      </c>
      <c r="BI10" s="553"/>
      <c r="BM10" s="443" t="s">
        <v>5452</v>
      </c>
      <c r="BN10" s="391">
        <v>17.5</v>
      </c>
      <c r="BO10" s="550"/>
      <c r="BS10" s="427" t="s">
        <v>5661</v>
      </c>
      <c r="BT10" s="425">
        <v>15.25</v>
      </c>
      <c r="BU10" s="591"/>
      <c r="BV10" s="427" t="s">
        <v>5758</v>
      </c>
      <c r="BW10" s="425">
        <v>33.5</v>
      </c>
      <c r="BX10" s="573"/>
      <c r="BY10" s="427" t="s">
        <v>312</v>
      </c>
      <c r="BZ10" s="425">
        <v>35.25</v>
      </c>
      <c r="CA10" s="573"/>
      <c r="CB10" s="427" t="s">
        <v>173</v>
      </c>
      <c r="CC10" s="425">
        <v>9.75</v>
      </c>
      <c r="CD10" s="573"/>
      <c r="CF10" s="47"/>
      <c r="CG10" s="47"/>
      <c r="CH10" s="47"/>
      <c r="CI10" s="47"/>
      <c r="CJ10" s="47"/>
      <c r="CK10" s="47"/>
      <c r="CL10" s="47"/>
    </row>
    <row r="11" spans="1:102" ht="15.75" thickBot="1" x14ac:dyDescent="0.3">
      <c r="H11" s="564" t="s">
        <v>18103</v>
      </c>
      <c r="I11" s="326">
        <f>ROUNDDOWN(I7/168,0)</f>
        <v>0</v>
      </c>
      <c r="J11" s="560">
        <f>I12*'AC $A359'!$F$5</f>
        <v>0</v>
      </c>
      <c r="M11" s="26"/>
      <c r="N11" s="429" t="s">
        <v>58</v>
      </c>
      <c r="O11" s="432">
        <v>8.25</v>
      </c>
      <c r="P11" s="553"/>
      <c r="W11" s="429" t="s">
        <v>5574</v>
      </c>
      <c r="X11" s="432">
        <v>31.75</v>
      </c>
      <c r="Y11" s="553"/>
      <c r="Z11" s="429" t="s">
        <v>4744</v>
      </c>
      <c r="AA11" s="432">
        <v>31.5</v>
      </c>
      <c r="AB11" s="553"/>
      <c r="AC11" s="429" t="s">
        <v>5095</v>
      </c>
      <c r="AD11" s="432">
        <v>31.25</v>
      </c>
      <c r="AE11" s="553"/>
      <c r="AF11" s="429" t="s">
        <v>4518</v>
      </c>
      <c r="AG11" s="432">
        <v>31</v>
      </c>
      <c r="AH11" s="553"/>
      <c r="AI11" s="429" t="s">
        <v>5505</v>
      </c>
      <c r="AJ11" s="432">
        <v>30.5</v>
      </c>
      <c r="AK11" s="553"/>
      <c r="AL11" s="429" t="s">
        <v>124</v>
      </c>
      <c r="AM11" s="432">
        <v>30.25</v>
      </c>
      <c r="AN11" s="553"/>
      <c r="AR11" s="430" t="s">
        <v>2061</v>
      </c>
      <c r="AS11" s="433">
        <v>16.75</v>
      </c>
      <c r="AT11" s="589"/>
      <c r="AU11" s="447" t="s">
        <v>5272</v>
      </c>
      <c r="AV11" s="432">
        <v>13.25</v>
      </c>
      <c r="AW11" s="588"/>
      <c r="AX11" s="458" t="s">
        <v>5457</v>
      </c>
      <c r="AY11" s="432">
        <v>12.75</v>
      </c>
      <c r="AZ11" s="588"/>
      <c r="BA11" s="451" t="s">
        <v>5300</v>
      </c>
      <c r="BB11" s="432">
        <v>11.5</v>
      </c>
      <c r="BC11" s="588"/>
      <c r="BD11" s="462" t="s">
        <v>5043</v>
      </c>
      <c r="BE11" s="432">
        <v>10.75</v>
      </c>
      <c r="BF11" s="588"/>
      <c r="BG11" s="297" t="s">
        <v>4160</v>
      </c>
      <c r="BH11" s="432">
        <v>9</v>
      </c>
      <c r="BI11" s="553"/>
      <c r="BM11" s="250" t="s">
        <v>217</v>
      </c>
      <c r="BN11" s="432">
        <v>9</v>
      </c>
      <c r="BO11" s="550"/>
      <c r="BS11" s="427" t="s">
        <v>304</v>
      </c>
      <c r="BT11" s="425">
        <v>6.75</v>
      </c>
      <c r="BU11" s="591"/>
      <c r="BV11" s="427" t="s">
        <v>5727</v>
      </c>
      <c r="BW11" s="425">
        <v>33.25</v>
      </c>
      <c r="BX11" s="573"/>
      <c r="BY11" s="427" t="s">
        <v>426</v>
      </c>
      <c r="BZ11" s="425">
        <v>31.75</v>
      </c>
      <c r="CA11" s="573"/>
      <c r="CB11" s="427" t="s">
        <v>130</v>
      </c>
      <c r="CC11" s="425">
        <v>12.75</v>
      </c>
      <c r="CD11" s="573"/>
      <c r="CF11" s="47"/>
      <c r="CG11" s="47"/>
      <c r="CH11" s="47"/>
      <c r="CI11" s="47"/>
      <c r="CJ11" s="47"/>
      <c r="CK11" s="47"/>
      <c r="CL11" s="47"/>
    </row>
    <row r="12" spans="1:102" ht="15.75" thickBot="1" x14ac:dyDescent="0.3">
      <c r="H12" s="565"/>
      <c r="I12" s="213">
        <f>I11*7</f>
        <v>0</v>
      </c>
      <c r="J12" s="561"/>
      <c r="M12" s="26"/>
      <c r="N12" s="429" t="s">
        <v>5636</v>
      </c>
      <c r="O12" s="432">
        <v>7.25</v>
      </c>
      <c r="P12" s="553"/>
      <c r="W12" s="429" t="s">
        <v>5247</v>
      </c>
      <c r="X12" s="432">
        <v>31.75</v>
      </c>
      <c r="Y12" s="553"/>
      <c r="Z12" s="429" t="s">
        <v>5553</v>
      </c>
      <c r="AA12" s="432">
        <v>31.5</v>
      </c>
      <c r="AB12" s="553"/>
      <c r="AC12" s="429" t="s">
        <v>5293</v>
      </c>
      <c r="AD12" s="432">
        <v>31.25</v>
      </c>
      <c r="AE12" s="553"/>
      <c r="AF12" s="429" t="s">
        <v>485</v>
      </c>
      <c r="AG12" s="432">
        <v>30.75</v>
      </c>
      <c r="AH12" s="553"/>
      <c r="AI12" s="429" t="s">
        <v>5719</v>
      </c>
      <c r="AJ12" s="432">
        <v>30.5</v>
      </c>
      <c r="AK12" s="553"/>
      <c r="AL12" s="429" t="s">
        <v>4136</v>
      </c>
      <c r="AM12" s="432">
        <v>30</v>
      </c>
      <c r="AN12" s="553"/>
      <c r="AR12" s="434" t="s">
        <v>3537</v>
      </c>
      <c r="AS12" s="431">
        <v>22.75</v>
      </c>
      <c r="AT12" s="587" t="s">
        <v>12664</v>
      </c>
      <c r="AU12" s="447" t="s">
        <v>5358</v>
      </c>
      <c r="AV12" s="432">
        <v>13.5</v>
      </c>
      <c r="AW12" s="588"/>
      <c r="AX12" s="458" t="s">
        <v>79</v>
      </c>
      <c r="AY12" s="432">
        <v>13.25</v>
      </c>
      <c r="AZ12" s="588"/>
      <c r="BA12" s="451" t="s">
        <v>5035</v>
      </c>
      <c r="BB12" s="432">
        <v>7.25</v>
      </c>
      <c r="BC12" s="588"/>
      <c r="BD12" s="462" t="s">
        <v>5639</v>
      </c>
      <c r="BE12" s="432">
        <v>10</v>
      </c>
      <c r="BF12" s="588"/>
      <c r="BG12" s="297" t="s">
        <v>5406</v>
      </c>
      <c r="BH12" s="432">
        <v>10</v>
      </c>
      <c r="BI12" s="553"/>
      <c r="BM12" s="443" t="s">
        <v>484</v>
      </c>
      <c r="BN12" s="391">
        <v>19</v>
      </c>
      <c r="BO12" s="550"/>
      <c r="BS12" s="427" t="s">
        <v>5082</v>
      </c>
      <c r="BT12" s="425">
        <v>19</v>
      </c>
      <c r="BU12" s="591"/>
      <c r="BV12" s="427" t="s">
        <v>5079</v>
      </c>
      <c r="BW12" s="425">
        <v>33.25</v>
      </c>
      <c r="BX12" s="573"/>
      <c r="BY12" s="428" t="s">
        <v>5425</v>
      </c>
      <c r="BZ12" s="426">
        <v>29</v>
      </c>
      <c r="CA12" s="574"/>
      <c r="CB12" s="427" t="s">
        <v>114</v>
      </c>
      <c r="CC12" s="425">
        <v>13.25</v>
      </c>
      <c r="CD12" s="573"/>
      <c r="CF12" s="47"/>
      <c r="CG12" s="47"/>
      <c r="CH12" s="47"/>
      <c r="CI12" s="47"/>
      <c r="CJ12" s="47"/>
      <c r="CK12" s="47"/>
      <c r="CL12" s="47"/>
    </row>
    <row r="13" spans="1:102" ht="15.75" thickBot="1" x14ac:dyDescent="0.3">
      <c r="H13" s="558" t="s">
        <v>18102</v>
      </c>
      <c r="I13" s="327">
        <f>SUM(L2:DI2)</f>
        <v>55</v>
      </c>
      <c r="J13" s="560">
        <f>I14*'AC $A359'!$F$5</f>
        <v>113652000000</v>
      </c>
      <c r="N13" s="429" t="s">
        <v>4172</v>
      </c>
      <c r="O13" s="432">
        <v>7.25</v>
      </c>
      <c r="P13" s="553"/>
      <c r="W13" s="429" t="s">
        <v>5676</v>
      </c>
      <c r="X13" s="432">
        <v>31.75</v>
      </c>
      <c r="Y13" s="553"/>
      <c r="Z13" s="429" t="s">
        <v>5206</v>
      </c>
      <c r="AA13" s="432">
        <v>31.5</v>
      </c>
      <c r="AB13" s="553"/>
      <c r="AC13" s="429" t="s">
        <v>5132</v>
      </c>
      <c r="AD13" s="432">
        <v>31</v>
      </c>
      <c r="AE13" s="553"/>
      <c r="AF13" s="429" t="s">
        <v>5192</v>
      </c>
      <c r="AG13" s="432">
        <v>29.25</v>
      </c>
      <c r="AH13" s="553"/>
      <c r="AI13" s="429" t="s">
        <v>5519</v>
      </c>
      <c r="AJ13" s="432">
        <v>30.5</v>
      </c>
      <c r="AK13" s="553"/>
      <c r="AL13" s="429" t="s">
        <v>428</v>
      </c>
      <c r="AM13" s="432">
        <v>29.5</v>
      </c>
      <c r="AN13" s="553"/>
      <c r="AR13" s="429" t="s">
        <v>353</v>
      </c>
      <c r="AS13" s="432">
        <v>20.25</v>
      </c>
      <c r="AT13" s="588"/>
      <c r="AU13" s="447" t="s">
        <v>95</v>
      </c>
      <c r="AV13" s="432">
        <v>14</v>
      </c>
      <c r="AW13" s="588"/>
      <c r="AX13" s="458" t="s">
        <v>63</v>
      </c>
      <c r="AY13" s="432">
        <v>13.25</v>
      </c>
      <c r="AZ13" s="588"/>
      <c r="BA13" s="451" t="s">
        <v>52</v>
      </c>
      <c r="BB13" s="432">
        <v>12.5</v>
      </c>
      <c r="BC13" s="588"/>
      <c r="BD13" s="462" t="s">
        <v>5373</v>
      </c>
      <c r="BE13" s="432">
        <v>10.75</v>
      </c>
      <c r="BF13" s="588"/>
      <c r="BG13" s="297" t="s">
        <v>5141</v>
      </c>
      <c r="BH13" s="432">
        <v>10</v>
      </c>
      <c r="BI13" s="553"/>
      <c r="BM13" s="393" t="s">
        <v>100</v>
      </c>
      <c r="BN13" s="392">
        <v>10.5</v>
      </c>
      <c r="BO13" s="551"/>
      <c r="BS13" s="427" t="s">
        <v>295</v>
      </c>
      <c r="BT13" s="425">
        <v>17</v>
      </c>
      <c r="BU13" s="591"/>
      <c r="BV13" s="427" t="s">
        <v>5706</v>
      </c>
      <c r="BW13" s="425">
        <v>17.75</v>
      </c>
      <c r="BX13" s="573"/>
      <c r="BY13" s="435" t="s">
        <v>314</v>
      </c>
      <c r="BZ13" s="424">
        <v>30</v>
      </c>
      <c r="CA13" s="572" t="s">
        <v>12663</v>
      </c>
      <c r="CB13" s="427" t="s">
        <v>110</v>
      </c>
      <c r="CC13" s="425">
        <v>8.25</v>
      </c>
      <c r="CD13" s="573"/>
      <c r="CF13" s="47"/>
      <c r="CG13" s="47"/>
      <c r="CH13" s="47"/>
      <c r="CI13" s="47"/>
      <c r="CJ13" s="47"/>
      <c r="CK13" s="47"/>
      <c r="CL13" s="47"/>
    </row>
    <row r="14" spans="1:102" ht="15.75" thickBot="1" x14ac:dyDescent="0.3">
      <c r="H14" s="559"/>
      <c r="I14" s="213">
        <f>I13*7</f>
        <v>385</v>
      </c>
      <c r="J14" s="561"/>
      <c r="N14" s="429" t="s">
        <v>4824</v>
      </c>
      <c r="O14" s="432">
        <v>7.25</v>
      </c>
      <c r="P14" s="553"/>
      <c r="W14" s="430" t="s">
        <v>3070</v>
      </c>
      <c r="X14" s="433">
        <v>9</v>
      </c>
      <c r="Y14" s="554"/>
      <c r="Z14" s="430" t="s">
        <v>2067</v>
      </c>
      <c r="AA14" s="433">
        <v>10.25</v>
      </c>
      <c r="AB14" s="554"/>
      <c r="AC14" s="430" t="s">
        <v>2313</v>
      </c>
      <c r="AD14" s="433">
        <v>12</v>
      </c>
      <c r="AE14" s="554"/>
      <c r="AF14" s="430" t="s">
        <v>302</v>
      </c>
      <c r="AG14" s="433">
        <v>15</v>
      </c>
      <c r="AH14" s="554"/>
      <c r="AI14" s="430" t="s">
        <v>4568</v>
      </c>
      <c r="AJ14" s="433">
        <v>15.5</v>
      </c>
      <c r="AK14" s="554"/>
      <c r="AL14" s="430" t="s">
        <v>5475</v>
      </c>
      <c r="AM14" s="433">
        <v>17.75</v>
      </c>
      <c r="AN14" s="554"/>
      <c r="AR14" s="429" t="s">
        <v>4631</v>
      </c>
      <c r="AS14" s="432">
        <v>20</v>
      </c>
      <c r="AT14" s="588"/>
      <c r="AU14" s="448" t="s">
        <v>5567</v>
      </c>
      <c r="AV14" s="433">
        <v>15</v>
      </c>
      <c r="AW14" s="589"/>
      <c r="AX14" s="458" t="s">
        <v>42</v>
      </c>
      <c r="AY14" s="432">
        <v>12.75</v>
      </c>
      <c r="AZ14" s="588"/>
      <c r="BA14" s="451" t="s">
        <v>5331</v>
      </c>
      <c r="BB14" s="432">
        <v>11.75</v>
      </c>
      <c r="BC14" s="588"/>
      <c r="BD14" s="462" t="s">
        <v>154</v>
      </c>
      <c r="BE14" s="432">
        <v>3.75</v>
      </c>
      <c r="BF14" s="588"/>
      <c r="BG14" s="297" t="s">
        <v>2258</v>
      </c>
      <c r="BH14" s="432">
        <v>10</v>
      </c>
      <c r="BI14" s="553"/>
      <c r="BM14" s="399" t="s">
        <v>5163</v>
      </c>
      <c r="BN14" s="390">
        <v>23</v>
      </c>
      <c r="BO14" s="549" t="s">
        <v>12664</v>
      </c>
      <c r="BS14" s="427" t="s">
        <v>5706</v>
      </c>
      <c r="BT14" s="425">
        <v>17.75</v>
      </c>
      <c r="BU14" s="591"/>
      <c r="BV14" s="428" t="s">
        <v>6</v>
      </c>
      <c r="BW14" s="426">
        <v>16.5</v>
      </c>
      <c r="BX14" s="574"/>
      <c r="BY14" s="427" t="s">
        <v>238</v>
      </c>
      <c r="BZ14" s="425">
        <v>30</v>
      </c>
      <c r="CA14" s="573"/>
      <c r="CB14" s="428" t="s">
        <v>65</v>
      </c>
      <c r="CC14" s="426">
        <v>11.5</v>
      </c>
      <c r="CD14" s="574"/>
      <c r="CF14" s="47"/>
      <c r="CG14" s="47"/>
      <c r="CH14" s="47"/>
      <c r="CI14" s="47"/>
      <c r="CJ14" s="47"/>
      <c r="CK14" s="47"/>
      <c r="CL14" s="47"/>
    </row>
    <row r="15" spans="1:102" ht="15.75" thickBot="1" x14ac:dyDescent="0.3">
      <c r="H15" s="562" t="s">
        <v>18101</v>
      </c>
      <c r="I15" s="327">
        <f>SUM(M1:DK1)</f>
        <v>30</v>
      </c>
      <c r="J15" s="560">
        <f>I16*'AC $A359'!$F$5</f>
        <v>61992000000</v>
      </c>
      <c r="N15" s="429" t="s">
        <v>8728</v>
      </c>
      <c r="O15" s="432">
        <v>7</v>
      </c>
      <c r="P15" s="553"/>
      <c r="W15" s="434" t="s">
        <v>5240</v>
      </c>
      <c r="X15" s="431">
        <v>29.25</v>
      </c>
      <c r="Y15" s="587" t="s">
        <v>19826</v>
      </c>
      <c r="Z15" s="434" t="s">
        <v>2958</v>
      </c>
      <c r="AA15" s="431">
        <v>23</v>
      </c>
      <c r="AB15" s="587" t="s">
        <v>19826</v>
      </c>
      <c r="AC15" s="434" t="s">
        <v>3743</v>
      </c>
      <c r="AD15" s="431">
        <v>18.75</v>
      </c>
      <c r="AE15" s="552" t="s">
        <v>19826</v>
      </c>
      <c r="AF15" s="434" t="s">
        <v>5333</v>
      </c>
      <c r="AG15" s="431">
        <v>18</v>
      </c>
      <c r="AH15" s="587" t="s">
        <v>19826</v>
      </c>
      <c r="AI15" s="434" t="s">
        <v>163</v>
      </c>
      <c r="AJ15" s="431">
        <v>17</v>
      </c>
      <c r="AK15" s="552" t="s">
        <v>19826</v>
      </c>
      <c r="AL15" s="434" t="s">
        <v>5343</v>
      </c>
      <c r="AM15" s="431">
        <v>16.5</v>
      </c>
      <c r="AN15" s="552" t="s">
        <v>19826</v>
      </c>
      <c r="AR15" s="429" t="s">
        <v>4629</v>
      </c>
      <c r="AS15" s="432">
        <v>18.25</v>
      </c>
      <c r="AT15" s="588"/>
      <c r="AU15" s="434" t="s">
        <v>322</v>
      </c>
      <c r="AV15" s="431">
        <v>15</v>
      </c>
      <c r="AW15" s="587" t="s">
        <v>12664</v>
      </c>
      <c r="AX15" s="459" t="s">
        <v>5511</v>
      </c>
      <c r="AY15" s="433">
        <v>13.25</v>
      </c>
      <c r="AZ15" s="589"/>
      <c r="BA15" s="451" t="s">
        <v>40</v>
      </c>
      <c r="BB15" s="432">
        <v>12</v>
      </c>
      <c r="BC15" s="588"/>
      <c r="BD15" s="462" t="s">
        <v>4445</v>
      </c>
      <c r="BE15" s="432">
        <v>11</v>
      </c>
      <c r="BF15" s="588"/>
      <c r="BG15" s="297" t="s">
        <v>68</v>
      </c>
      <c r="BH15" s="432">
        <v>10.75</v>
      </c>
      <c r="BI15" s="553"/>
      <c r="BM15" s="398" t="s">
        <v>4529</v>
      </c>
      <c r="BN15" s="391">
        <v>20.75</v>
      </c>
      <c r="BO15" s="550"/>
      <c r="BS15" s="427" t="s">
        <v>120</v>
      </c>
      <c r="BT15" s="425">
        <v>17.5</v>
      </c>
      <c r="BU15" s="591"/>
      <c r="BV15" s="435" t="s">
        <v>4816</v>
      </c>
      <c r="BW15" s="424">
        <v>20.25</v>
      </c>
      <c r="BX15" s="590" t="s">
        <v>12663</v>
      </c>
      <c r="BY15" s="427" t="s">
        <v>170</v>
      </c>
      <c r="BZ15" s="425">
        <v>23.75</v>
      </c>
      <c r="CA15" s="573"/>
      <c r="CB15" s="435" t="s">
        <v>298</v>
      </c>
      <c r="CC15" s="424">
        <v>32.5</v>
      </c>
      <c r="CD15" s="572" t="s">
        <v>12663</v>
      </c>
      <c r="CF15" s="47"/>
      <c r="CG15" s="47"/>
      <c r="CH15" s="47"/>
      <c r="CI15" s="47"/>
      <c r="CJ15" s="47"/>
      <c r="CK15" s="47"/>
      <c r="CL15" s="47"/>
    </row>
    <row r="16" spans="1:102" ht="15.75" thickBot="1" x14ac:dyDescent="0.3">
      <c r="H16" s="563"/>
      <c r="I16" s="213">
        <f>I15*7</f>
        <v>210</v>
      </c>
      <c r="J16" s="561"/>
      <c r="N16" s="429" t="s">
        <v>437</v>
      </c>
      <c r="O16" s="432">
        <v>5.25</v>
      </c>
      <c r="P16" s="553"/>
      <c r="W16" s="429" t="s">
        <v>4062</v>
      </c>
      <c r="X16" s="432">
        <v>29.25</v>
      </c>
      <c r="Y16" s="588"/>
      <c r="Z16" s="429" t="s">
        <v>1393</v>
      </c>
      <c r="AA16" s="432">
        <v>22.25</v>
      </c>
      <c r="AB16" s="588"/>
      <c r="AC16" s="429" t="s">
        <v>5057</v>
      </c>
      <c r="AD16" s="432">
        <v>18.75</v>
      </c>
      <c r="AE16" s="553"/>
      <c r="AF16" s="429" t="s">
        <v>5356</v>
      </c>
      <c r="AG16" s="432">
        <v>17.5</v>
      </c>
      <c r="AH16" s="588"/>
      <c r="AI16" s="429" t="s">
        <v>5234</v>
      </c>
      <c r="AJ16" s="432">
        <v>17</v>
      </c>
      <c r="AK16" s="553"/>
      <c r="AL16" s="429" t="s">
        <v>288</v>
      </c>
      <c r="AM16" s="432">
        <v>16.5</v>
      </c>
      <c r="AN16" s="553"/>
      <c r="AR16" s="429" t="s">
        <v>326</v>
      </c>
      <c r="AS16" s="432">
        <v>17.75</v>
      </c>
      <c r="AT16" s="588"/>
      <c r="AU16" s="429" t="s">
        <v>5567</v>
      </c>
      <c r="AV16" s="432">
        <v>15</v>
      </c>
      <c r="AW16" s="588"/>
      <c r="AX16" s="434" t="s">
        <v>79</v>
      </c>
      <c r="AY16" s="431">
        <v>13.25</v>
      </c>
      <c r="AZ16" s="587" t="s">
        <v>12664</v>
      </c>
      <c r="BA16" s="451" t="s">
        <v>18</v>
      </c>
      <c r="BB16" s="432">
        <v>11.75</v>
      </c>
      <c r="BC16" s="588"/>
      <c r="BD16" s="462" t="s">
        <v>5513</v>
      </c>
      <c r="BE16" s="432">
        <v>11</v>
      </c>
      <c r="BF16" s="588"/>
      <c r="BG16" s="297" t="s">
        <v>4611</v>
      </c>
      <c r="BH16" s="432">
        <v>9.5</v>
      </c>
      <c r="BI16" s="553"/>
      <c r="BM16" s="398" t="s">
        <v>484</v>
      </c>
      <c r="BN16" s="391">
        <v>19</v>
      </c>
      <c r="BO16" s="550"/>
      <c r="BS16" s="427" t="s">
        <v>5204</v>
      </c>
      <c r="BT16" s="425">
        <v>17.25</v>
      </c>
      <c r="BU16" s="591"/>
      <c r="BV16" s="427" t="s">
        <v>395</v>
      </c>
      <c r="BW16" s="425">
        <v>10.75</v>
      </c>
      <c r="BX16" s="591"/>
      <c r="BY16" s="427" t="s">
        <v>5717</v>
      </c>
      <c r="BZ16" s="425">
        <v>29.75</v>
      </c>
      <c r="CA16" s="573"/>
      <c r="CB16" s="427" t="s">
        <v>399</v>
      </c>
      <c r="CC16" s="425">
        <v>32.5</v>
      </c>
      <c r="CD16" s="573"/>
      <c r="CF16" s="47"/>
      <c r="CG16" s="47"/>
      <c r="CH16" s="47"/>
      <c r="CI16" s="47"/>
      <c r="CJ16" s="47"/>
      <c r="CK16" s="47"/>
      <c r="CL16" s="47"/>
    </row>
    <row r="17" spans="8:90" ht="15.75" thickBot="1" x14ac:dyDescent="0.3">
      <c r="H17" s="568" t="s">
        <v>14074</v>
      </c>
      <c r="I17" s="328">
        <v>0</v>
      </c>
      <c r="J17" s="560">
        <f>I17*'AC $A359'!$F$5</f>
        <v>0</v>
      </c>
      <c r="N17" s="430" t="s">
        <v>246</v>
      </c>
      <c r="O17" s="433">
        <v>3.75</v>
      </c>
      <c r="P17" s="554"/>
      <c r="W17" s="429" t="s">
        <v>12</v>
      </c>
      <c r="X17" s="432">
        <v>29</v>
      </c>
      <c r="Y17" s="588"/>
      <c r="Z17" s="429" t="s">
        <v>5277</v>
      </c>
      <c r="AA17" s="432">
        <v>22</v>
      </c>
      <c r="AB17" s="588"/>
      <c r="AC17" s="429" t="s">
        <v>5281</v>
      </c>
      <c r="AD17" s="432">
        <v>18.25</v>
      </c>
      <c r="AE17" s="553"/>
      <c r="AF17" s="429" t="s">
        <v>273</v>
      </c>
      <c r="AG17" s="432">
        <v>17.5</v>
      </c>
      <c r="AH17" s="588"/>
      <c r="AI17" s="429" t="s">
        <v>4054</v>
      </c>
      <c r="AJ17" s="432">
        <v>16.75</v>
      </c>
      <c r="AK17" s="553"/>
      <c r="AL17" s="429" t="s">
        <v>5585</v>
      </c>
      <c r="AM17" s="432">
        <v>16.5</v>
      </c>
      <c r="AN17" s="553"/>
      <c r="AR17" s="429" t="s">
        <v>2907</v>
      </c>
      <c r="AS17" s="432">
        <v>17.75</v>
      </c>
      <c r="AT17" s="588"/>
      <c r="AU17" s="429" t="s">
        <v>268</v>
      </c>
      <c r="AV17" s="432">
        <v>14.75</v>
      </c>
      <c r="AW17" s="588"/>
      <c r="AX17" s="429" t="s">
        <v>63</v>
      </c>
      <c r="AY17" s="432">
        <v>13.25</v>
      </c>
      <c r="AZ17" s="588"/>
      <c r="BA17" s="452" t="s">
        <v>5597</v>
      </c>
      <c r="BB17" s="433">
        <v>12.5</v>
      </c>
      <c r="BC17" s="589"/>
      <c r="BD17" s="462" t="s">
        <v>4488</v>
      </c>
      <c r="BE17" s="432">
        <v>11.5</v>
      </c>
      <c r="BF17" s="588"/>
      <c r="BG17" s="297" t="s">
        <v>3628</v>
      </c>
      <c r="BH17" s="432">
        <v>5.25</v>
      </c>
      <c r="BI17" s="553"/>
      <c r="BM17" s="398" t="s">
        <v>5267</v>
      </c>
      <c r="BN17" s="391">
        <v>18</v>
      </c>
      <c r="BO17" s="550"/>
      <c r="BS17" s="427" t="s">
        <v>5536</v>
      </c>
      <c r="BT17" s="425">
        <v>22</v>
      </c>
      <c r="BU17" s="591"/>
      <c r="BV17" s="427" t="s">
        <v>359</v>
      </c>
      <c r="BW17" s="425">
        <v>19.75</v>
      </c>
      <c r="BX17" s="591"/>
      <c r="BY17" s="427" t="s">
        <v>71</v>
      </c>
      <c r="BZ17" s="425">
        <v>24.75</v>
      </c>
      <c r="CA17" s="573"/>
      <c r="CB17" s="427" t="s">
        <v>114</v>
      </c>
      <c r="CC17" s="425">
        <v>13.25</v>
      </c>
      <c r="CD17" s="573"/>
      <c r="CF17" s="47"/>
      <c r="CG17" s="47"/>
      <c r="CH17" s="47"/>
      <c r="CI17" s="47"/>
      <c r="CJ17" s="47"/>
      <c r="CK17" s="47"/>
      <c r="CL17" s="47"/>
    </row>
    <row r="18" spans="8:90" ht="15.75" thickBot="1" x14ac:dyDescent="0.3">
      <c r="H18" s="569"/>
      <c r="I18" s="213">
        <f>I17/7</f>
        <v>0</v>
      </c>
      <c r="J18" s="561"/>
      <c r="N18" s="434" t="s">
        <v>457</v>
      </c>
      <c r="O18" s="431">
        <v>10.5</v>
      </c>
      <c r="P18" s="552" t="s">
        <v>19817</v>
      </c>
      <c r="W18" s="429" t="s">
        <v>3507</v>
      </c>
      <c r="X18" s="432">
        <v>29</v>
      </c>
      <c r="Y18" s="588"/>
      <c r="Z18" s="429" t="s">
        <v>1653</v>
      </c>
      <c r="AA18" s="432">
        <v>21.5</v>
      </c>
      <c r="AB18" s="588"/>
      <c r="AC18" s="429" t="s">
        <v>4533</v>
      </c>
      <c r="AD18" s="432">
        <v>18.25</v>
      </c>
      <c r="AE18" s="553"/>
      <c r="AF18" s="429" t="s">
        <v>4181</v>
      </c>
      <c r="AG18" s="432">
        <v>17.5</v>
      </c>
      <c r="AH18" s="588"/>
      <c r="AI18" s="429" t="s">
        <v>5091</v>
      </c>
      <c r="AJ18" s="432">
        <v>16.75</v>
      </c>
      <c r="AK18" s="553"/>
      <c r="AL18" s="429" t="s">
        <v>221</v>
      </c>
      <c r="AM18" s="432">
        <v>16.25</v>
      </c>
      <c r="AN18" s="553"/>
      <c r="AR18" s="429" t="s">
        <v>450</v>
      </c>
      <c r="AS18" s="432">
        <v>17.5</v>
      </c>
      <c r="AT18" s="588"/>
      <c r="AU18" s="429" t="s">
        <v>204</v>
      </c>
      <c r="AV18" s="432">
        <v>14.75</v>
      </c>
      <c r="AW18" s="588"/>
      <c r="AX18" s="429" t="s">
        <v>5511</v>
      </c>
      <c r="AY18" s="432">
        <v>13.25</v>
      </c>
      <c r="AZ18" s="588"/>
      <c r="BA18" s="434" t="s">
        <v>52</v>
      </c>
      <c r="BB18" s="431">
        <v>12.5</v>
      </c>
      <c r="BC18" s="587" t="s">
        <v>12664</v>
      </c>
      <c r="BD18" s="463" t="s">
        <v>4781</v>
      </c>
      <c r="BE18" s="433">
        <v>11.5</v>
      </c>
      <c r="BF18" s="589"/>
      <c r="BG18" s="297" t="s">
        <v>34</v>
      </c>
      <c r="BH18" s="432">
        <v>9</v>
      </c>
      <c r="BI18" s="553"/>
      <c r="BM18" s="398" t="s">
        <v>234</v>
      </c>
      <c r="BN18" s="391">
        <v>17.5</v>
      </c>
      <c r="BO18" s="550"/>
      <c r="BS18" s="428" t="s">
        <v>6</v>
      </c>
      <c r="BT18" s="426">
        <v>16.5</v>
      </c>
      <c r="BU18" s="592"/>
      <c r="BV18" s="427" t="s">
        <v>4104</v>
      </c>
      <c r="BW18" s="425">
        <v>19.25</v>
      </c>
      <c r="BX18" s="591"/>
      <c r="BY18" s="428" t="s">
        <v>5721</v>
      </c>
      <c r="BZ18" s="426">
        <v>29.75</v>
      </c>
      <c r="CA18" s="574"/>
      <c r="CB18" s="427" t="s">
        <v>130</v>
      </c>
      <c r="CC18" s="425">
        <v>12.75</v>
      </c>
      <c r="CD18" s="573"/>
      <c r="CF18" s="47"/>
      <c r="CG18" s="47"/>
      <c r="CH18" s="47"/>
      <c r="CI18" s="47"/>
      <c r="CJ18" s="47"/>
      <c r="CK18" s="47"/>
      <c r="CL18" s="47"/>
    </row>
    <row r="19" spans="8:90" x14ac:dyDescent="0.25">
      <c r="H19" s="570" t="s">
        <v>18099</v>
      </c>
      <c r="I19" s="328">
        <v>240</v>
      </c>
      <c r="J19" s="560">
        <f>I19*'AC $A359'!$F$5</f>
        <v>70848000000</v>
      </c>
      <c r="N19" s="429" t="s">
        <v>4824</v>
      </c>
      <c r="O19" s="432">
        <v>7.25</v>
      </c>
      <c r="P19" s="553"/>
      <c r="W19" s="429" t="s">
        <v>5200</v>
      </c>
      <c r="X19" s="432">
        <v>24.5</v>
      </c>
      <c r="Y19" s="588"/>
      <c r="Z19" s="429" t="s">
        <v>227</v>
      </c>
      <c r="AA19" s="432">
        <v>20.75</v>
      </c>
      <c r="AB19" s="588"/>
      <c r="AC19" s="429" t="s">
        <v>5401</v>
      </c>
      <c r="AD19" s="432">
        <v>18.25</v>
      </c>
      <c r="AE19" s="553"/>
      <c r="AF19" s="429" t="s">
        <v>5495</v>
      </c>
      <c r="AG19" s="432">
        <v>17.25</v>
      </c>
      <c r="AH19" s="588"/>
      <c r="AI19" s="429" t="s">
        <v>5350</v>
      </c>
      <c r="AJ19" s="432">
        <v>16.75</v>
      </c>
      <c r="AK19" s="553"/>
      <c r="AL19" s="429" t="s">
        <v>4545</v>
      </c>
      <c r="AM19" s="432">
        <v>16.25</v>
      </c>
      <c r="AN19" s="553"/>
      <c r="AR19" s="429" t="s">
        <v>140</v>
      </c>
      <c r="AS19" s="432">
        <v>16.75</v>
      </c>
      <c r="AT19" s="588"/>
      <c r="AU19" s="429" t="s">
        <v>373</v>
      </c>
      <c r="AV19" s="432">
        <v>14.5</v>
      </c>
      <c r="AW19" s="588"/>
      <c r="AX19" s="429" t="s">
        <v>5443</v>
      </c>
      <c r="AY19" s="432">
        <v>13</v>
      </c>
      <c r="AZ19" s="588"/>
      <c r="BA19" s="429" t="s">
        <v>5597</v>
      </c>
      <c r="BB19" s="432">
        <v>12.5</v>
      </c>
      <c r="BC19" s="588"/>
      <c r="BD19" s="434" t="s">
        <v>4488</v>
      </c>
      <c r="BE19" s="431">
        <v>11.5</v>
      </c>
      <c r="BF19" s="587" t="s">
        <v>12664</v>
      </c>
      <c r="BG19" s="297" t="s">
        <v>15</v>
      </c>
      <c r="BH19" s="432">
        <v>10.75</v>
      </c>
      <c r="BI19" s="553"/>
      <c r="BM19" s="398" t="s">
        <v>5452</v>
      </c>
      <c r="BN19" s="391">
        <v>17.5</v>
      </c>
      <c r="BO19" s="550"/>
      <c r="BS19" s="435" t="s">
        <v>393</v>
      </c>
      <c r="BT19" s="424">
        <v>14.75</v>
      </c>
      <c r="BU19" s="590" t="s">
        <v>12664</v>
      </c>
      <c r="BV19" s="427" t="s">
        <v>5064</v>
      </c>
      <c r="BW19" s="425">
        <v>21.75</v>
      </c>
      <c r="BX19" s="591"/>
      <c r="BY19" s="435" t="s">
        <v>314</v>
      </c>
      <c r="BZ19" s="424">
        <v>30</v>
      </c>
      <c r="CA19" s="572" t="s">
        <v>12663</v>
      </c>
      <c r="CB19" s="427" t="s">
        <v>65</v>
      </c>
      <c r="CC19" s="425">
        <v>11.5</v>
      </c>
      <c r="CD19" s="573"/>
      <c r="CF19" s="47"/>
      <c r="CG19" s="47"/>
      <c r="CH19" s="47"/>
      <c r="CI19" s="47"/>
      <c r="CJ19" s="47"/>
      <c r="CK19" s="47"/>
      <c r="CL19" s="47"/>
    </row>
    <row r="20" spans="8:90" ht="15.75" thickBot="1" x14ac:dyDescent="0.3">
      <c r="H20" s="571"/>
      <c r="I20" s="213">
        <f>I19/7</f>
        <v>34.285714285714285</v>
      </c>
      <c r="J20" s="561"/>
      <c r="N20" s="429" t="s">
        <v>437</v>
      </c>
      <c r="O20" s="432">
        <v>5.25</v>
      </c>
      <c r="P20" s="553"/>
      <c r="W20" s="429" t="s">
        <v>5262</v>
      </c>
      <c r="X20" s="432">
        <v>21.75</v>
      </c>
      <c r="Y20" s="588"/>
      <c r="Z20" s="429" t="s">
        <v>2103</v>
      </c>
      <c r="AA20" s="432">
        <v>20.25</v>
      </c>
      <c r="AB20" s="588"/>
      <c r="AC20" s="429" t="s">
        <v>5202</v>
      </c>
      <c r="AD20" s="432">
        <v>18.25</v>
      </c>
      <c r="AE20" s="553"/>
      <c r="AF20" s="429" t="s">
        <v>4865</v>
      </c>
      <c r="AG20" s="432">
        <v>17</v>
      </c>
      <c r="AH20" s="588"/>
      <c r="AI20" s="429" t="s">
        <v>5591</v>
      </c>
      <c r="AJ20" s="432">
        <v>16.75</v>
      </c>
      <c r="AK20" s="553"/>
      <c r="AL20" s="429" t="s">
        <v>4851</v>
      </c>
      <c r="AM20" s="432">
        <v>16.25</v>
      </c>
      <c r="AN20" s="553"/>
      <c r="AR20" s="430" t="s">
        <v>2061</v>
      </c>
      <c r="AS20" s="433">
        <v>16.75</v>
      </c>
      <c r="AT20" s="589"/>
      <c r="AU20" s="429" t="s">
        <v>366</v>
      </c>
      <c r="AV20" s="432">
        <v>14.5</v>
      </c>
      <c r="AW20" s="588"/>
      <c r="AX20" s="429" t="s">
        <v>417</v>
      </c>
      <c r="AY20" s="432">
        <v>13</v>
      </c>
      <c r="AZ20" s="588"/>
      <c r="BA20" s="429" t="s">
        <v>5663</v>
      </c>
      <c r="BB20" s="432">
        <v>12.25</v>
      </c>
      <c r="BC20" s="588"/>
      <c r="BD20" s="429" t="s">
        <v>4781</v>
      </c>
      <c r="BE20" s="432">
        <v>11.5</v>
      </c>
      <c r="BF20" s="588"/>
      <c r="BG20" s="455" t="s">
        <v>4760</v>
      </c>
      <c r="BH20" s="433">
        <v>9.75</v>
      </c>
      <c r="BI20" s="554"/>
      <c r="BM20" s="398" t="s">
        <v>388</v>
      </c>
      <c r="BN20" s="391">
        <v>11.75</v>
      </c>
      <c r="BO20" s="550"/>
      <c r="BS20" s="427" t="s">
        <v>5608</v>
      </c>
      <c r="BT20" s="425">
        <v>14.25</v>
      </c>
      <c r="BU20" s="591"/>
      <c r="BV20" s="427" t="s">
        <v>193</v>
      </c>
      <c r="BW20" s="425">
        <v>20</v>
      </c>
      <c r="BX20" s="591"/>
      <c r="BY20" s="427" t="s">
        <v>238</v>
      </c>
      <c r="BZ20" s="425">
        <v>30</v>
      </c>
      <c r="CA20" s="573"/>
      <c r="CB20" s="427" t="s">
        <v>277</v>
      </c>
      <c r="CC20" s="425">
        <v>11.5</v>
      </c>
      <c r="CD20" s="573"/>
      <c r="CF20" s="47"/>
      <c r="CG20" s="47"/>
      <c r="CH20" s="47"/>
      <c r="CI20" s="47"/>
      <c r="CJ20" s="47"/>
      <c r="CK20" s="47"/>
      <c r="CL20" s="47"/>
    </row>
    <row r="21" spans="8:90" ht="15.75" thickBot="1" x14ac:dyDescent="0.3">
      <c r="H21" s="566" t="s">
        <v>18100</v>
      </c>
      <c r="I21" s="326">
        <f>I12+I16-I17-I19</f>
        <v>-30</v>
      </c>
      <c r="J21" s="560">
        <f>I21*'AC $A359'!$F$5</f>
        <v>-8856000000</v>
      </c>
      <c r="N21" s="429" t="s">
        <v>1904</v>
      </c>
      <c r="O21" s="432">
        <v>4.5</v>
      </c>
      <c r="P21" s="553"/>
      <c r="W21" s="430" t="s">
        <v>3243</v>
      </c>
      <c r="X21" s="433">
        <v>5.25</v>
      </c>
      <c r="Y21" s="589"/>
      <c r="Z21" s="429" t="s">
        <v>2984</v>
      </c>
      <c r="AA21" s="432">
        <v>20</v>
      </c>
      <c r="AB21" s="588"/>
      <c r="AC21" s="429" t="s">
        <v>4636</v>
      </c>
      <c r="AD21" s="432">
        <v>18.25</v>
      </c>
      <c r="AE21" s="553"/>
      <c r="AF21" s="429" t="s">
        <v>5587</v>
      </c>
      <c r="AG21" s="432">
        <v>17</v>
      </c>
      <c r="AH21" s="588"/>
      <c r="AI21" s="429" t="s">
        <v>4847</v>
      </c>
      <c r="AJ21" s="432">
        <v>16.75</v>
      </c>
      <c r="AK21" s="553"/>
      <c r="AL21" s="429" t="s">
        <v>5279</v>
      </c>
      <c r="AM21" s="432">
        <v>16.25</v>
      </c>
      <c r="AN21" s="553"/>
      <c r="AR21" s="434" t="s">
        <v>3537</v>
      </c>
      <c r="AS21" s="431">
        <v>22.75</v>
      </c>
      <c r="AT21" s="587" t="s">
        <v>12664</v>
      </c>
      <c r="AU21" s="429" t="s">
        <v>95</v>
      </c>
      <c r="AV21" s="432">
        <v>14</v>
      </c>
      <c r="AW21" s="588"/>
      <c r="AX21" s="429" t="s">
        <v>279</v>
      </c>
      <c r="AY21" s="432">
        <v>13</v>
      </c>
      <c r="AZ21" s="588"/>
      <c r="BA21" s="429" t="s">
        <v>316</v>
      </c>
      <c r="BB21" s="432">
        <v>12</v>
      </c>
      <c r="BC21" s="588"/>
      <c r="BD21" s="429" t="s">
        <v>4640</v>
      </c>
      <c r="BE21" s="432">
        <v>11.25</v>
      </c>
      <c r="BF21" s="588"/>
      <c r="BG21" s="434" t="s">
        <v>68</v>
      </c>
      <c r="BH21" s="431">
        <v>10.75</v>
      </c>
      <c r="BI21" s="552" t="s">
        <v>12664</v>
      </c>
      <c r="BM21" s="398" t="s">
        <v>3941</v>
      </c>
      <c r="BN21" s="391">
        <v>10.75</v>
      </c>
      <c r="BO21" s="550"/>
      <c r="BS21" s="427" t="s">
        <v>328</v>
      </c>
      <c r="BT21" s="425">
        <v>14.5</v>
      </c>
      <c r="BU21" s="591"/>
      <c r="BV21" s="427" t="s">
        <v>5672</v>
      </c>
      <c r="BW21" s="425">
        <v>16.5</v>
      </c>
      <c r="BX21" s="591"/>
      <c r="BY21" s="427" t="s">
        <v>5717</v>
      </c>
      <c r="BZ21" s="425">
        <v>29.75</v>
      </c>
      <c r="CA21" s="573"/>
      <c r="CB21" s="427" t="s">
        <v>385</v>
      </c>
      <c r="CC21" s="425">
        <v>11.5</v>
      </c>
      <c r="CD21" s="573"/>
      <c r="CF21" s="47"/>
      <c r="CG21" s="47"/>
      <c r="CH21" s="47"/>
      <c r="CI21" s="47"/>
      <c r="CJ21" s="47"/>
      <c r="CK21" s="47"/>
      <c r="CL21" s="47"/>
    </row>
    <row r="22" spans="8:90" ht="15.75" thickBot="1" x14ac:dyDescent="0.3">
      <c r="H22" s="567"/>
      <c r="I22" s="213">
        <f>I11+I15-I18-I20</f>
        <v>-4.2857142857142847</v>
      </c>
      <c r="J22" s="561"/>
      <c r="N22" s="429" t="s">
        <v>457</v>
      </c>
      <c r="O22" s="432">
        <v>10.5</v>
      </c>
      <c r="P22" s="553"/>
      <c r="W22" s="434" t="s">
        <v>5240</v>
      </c>
      <c r="X22" s="431">
        <v>29.25</v>
      </c>
      <c r="Y22" s="587" t="s">
        <v>19826</v>
      </c>
      <c r="Z22" s="430" t="s">
        <v>5570</v>
      </c>
      <c r="AA22" s="433">
        <v>18.25</v>
      </c>
      <c r="AB22" s="589"/>
      <c r="AC22" s="429" t="s">
        <v>5416</v>
      </c>
      <c r="AD22" s="432">
        <v>18.25</v>
      </c>
      <c r="AE22" s="553"/>
      <c r="AF22" s="429" t="s">
        <v>4142</v>
      </c>
      <c r="AG22" s="432">
        <v>17</v>
      </c>
      <c r="AH22" s="588"/>
      <c r="AI22" s="429" t="s">
        <v>5236</v>
      </c>
      <c r="AJ22" s="432">
        <v>16.75</v>
      </c>
      <c r="AK22" s="553"/>
      <c r="AL22" s="429" t="s">
        <v>5653</v>
      </c>
      <c r="AM22" s="432">
        <v>16</v>
      </c>
      <c r="AN22" s="553"/>
      <c r="AR22" s="429" t="s">
        <v>353</v>
      </c>
      <c r="AS22" s="432">
        <v>20.25</v>
      </c>
      <c r="AT22" s="588"/>
      <c r="AU22" s="429" t="s">
        <v>5526</v>
      </c>
      <c r="AV22" s="432">
        <v>13.5</v>
      </c>
      <c r="AW22" s="588"/>
      <c r="AX22" s="429" t="s">
        <v>5128</v>
      </c>
      <c r="AY22" s="432">
        <v>12.75</v>
      </c>
      <c r="AZ22" s="588"/>
      <c r="BA22" s="429" t="s">
        <v>5149</v>
      </c>
      <c r="BB22" s="432">
        <v>12</v>
      </c>
      <c r="BC22" s="588"/>
      <c r="BD22" s="429" t="s">
        <v>5471</v>
      </c>
      <c r="BE22" s="432">
        <v>11.25</v>
      </c>
      <c r="BF22" s="588"/>
      <c r="BG22" s="429" t="s">
        <v>15</v>
      </c>
      <c r="BH22" s="432">
        <v>10.75</v>
      </c>
      <c r="BI22" s="553"/>
      <c r="BM22" s="398" t="s">
        <v>100</v>
      </c>
      <c r="BN22" s="391">
        <v>10.5</v>
      </c>
      <c r="BO22" s="550"/>
      <c r="BS22" s="427" t="s">
        <v>282</v>
      </c>
      <c r="BT22" s="425">
        <v>15.25</v>
      </c>
      <c r="BU22" s="591"/>
      <c r="BV22" s="427" t="s">
        <v>5155</v>
      </c>
      <c r="BW22" s="425">
        <v>20</v>
      </c>
      <c r="BX22" s="591"/>
      <c r="BY22" s="427" t="s">
        <v>5721</v>
      </c>
      <c r="BZ22" s="425">
        <v>29.75</v>
      </c>
      <c r="CA22" s="573"/>
      <c r="CB22" s="427" t="s">
        <v>211</v>
      </c>
      <c r="CC22" s="425">
        <v>10.25</v>
      </c>
      <c r="CD22" s="573"/>
      <c r="CF22" s="47"/>
      <c r="CG22" s="47"/>
      <c r="CH22" s="47"/>
      <c r="CI22" s="47"/>
      <c r="CJ22" s="47"/>
      <c r="CK22" s="47"/>
      <c r="CL22" s="47"/>
    </row>
    <row r="23" spans="8:90" ht="15.75" thickBot="1" x14ac:dyDescent="0.3">
      <c r="H23" s="26"/>
      <c r="I23" s="26"/>
      <c r="J23" s="26"/>
      <c r="N23" s="429" t="s">
        <v>4824</v>
      </c>
      <c r="O23" s="432">
        <v>7.25</v>
      </c>
      <c r="P23" s="553"/>
      <c r="W23" s="429" t="s">
        <v>4062</v>
      </c>
      <c r="X23" s="432">
        <v>29.25</v>
      </c>
      <c r="Y23" s="588"/>
      <c r="Z23" s="434" t="s">
        <v>2958</v>
      </c>
      <c r="AA23" s="431">
        <v>23</v>
      </c>
      <c r="AB23" s="587" t="s">
        <v>19826</v>
      </c>
      <c r="AC23" s="429" t="s">
        <v>5543</v>
      </c>
      <c r="AD23" s="432">
        <v>17.25</v>
      </c>
      <c r="AE23" s="553"/>
      <c r="AF23" s="429" t="s">
        <v>3984</v>
      </c>
      <c r="AG23" s="432">
        <v>17</v>
      </c>
      <c r="AH23" s="588"/>
      <c r="AI23" s="429" t="s">
        <v>5285</v>
      </c>
      <c r="AJ23" s="432">
        <v>16.5</v>
      </c>
      <c r="AK23" s="553"/>
      <c r="AL23" s="429" t="s">
        <v>5392</v>
      </c>
      <c r="AM23" s="432">
        <v>16</v>
      </c>
      <c r="AN23" s="553"/>
      <c r="AR23" s="429" t="s">
        <v>4631</v>
      </c>
      <c r="AS23" s="432">
        <v>20</v>
      </c>
      <c r="AT23" s="588"/>
      <c r="AU23" s="429" t="s">
        <v>337</v>
      </c>
      <c r="AV23" s="432">
        <v>13.5</v>
      </c>
      <c r="AW23" s="588"/>
      <c r="AX23" s="429" t="s">
        <v>5386</v>
      </c>
      <c r="AY23" s="432">
        <v>12.75</v>
      </c>
      <c r="AZ23" s="588"/>
      <c r="BA23" s="429" t="s">
        <v>5265</v>
      </c>
      <c r="BB23" s="432">
        <v>12</v>
      </c>
      <c r="BC23" s="588"/>
      <c r="BD23" s="429" t="s">
        <v>4814</v>
      </c>
      <c r="BE23" s="432">
        <v>11</v>
      </c>
      <c r="BF23" s="588"/>
      <c r="BG23" s="429" t="s">
        <v>341</v>
      </c>
      <c r="BH23" s="432">
        <v>10.5</v>
      </c>
      <c r="BI23" s="553"/>
      <c r="BM23" s="398" t="s">
        <v>361</v>
      </c>
      <c r="BN23" s="391">
        <v>10</v>
      </c>
      <c r="BO23" s="550"/>
      <c r="BS23" s="427" t="s">
        <v>259</v>
      </c>
      <c r="BT23" s="425">
        <v>14.5</v>
      </c>
      <c r="BU23" s="591"/>
      <c r="BV23" s="428" t="s">
        <v>3799</v>
      </c>
      <c r="BW23" s="426">
        <v>19.75</v>
      </c>
      <c r="BX23" s="592"/>
      <c r="BY23" s="427" t="s">
        <v>71</v>
      </c>
      <c r="BZ23" s="425">
        <v>24.75</v>
      </c>
      <c r="CA23" s="573"/>
      <c r="CB23" s="427" t="s">
        <v>173</v>
      </c>
      <c r="CC23" s="425">
        <v>9.75</v>
      </c>
      <c r="CD23" s="573"/>
      <c r="CF23" s="47"/>
      <c r="CG23" s="47"/>
      <c r="CH23" s="47"/>
      <c r="CI23" s="47"/>
      <c r="CJ23" s="47"/>
      <c r="CK23" s="47"/>
      <c r="CL23" s="47"/>
    </row>
    <row r="24" spans="8:90" ht="15.75" thickBot="1" x14ac:dyDescent="0.3">
      <c r="H24" s="26"/>
      <c r="I24" s="26"/>
      <c r="J24" s="26"/>
      <c r="N24" s="429" t="s">
        <v>437</v>
      </c>
      <c r="O24" s="432">
        <v>5.25</v>
      </c>
      <c r="P24" s="553"/>
      <c r="W24" s="429" t="s">
        <v>12</v>
      </c>
      <c r="X24" s="432">
        <v>29</v>
      </c>
      <c r="Y24" s="588"/>
      <c r="Z24" s="429" t="s">
        <v>1393</v>
      </c>
      <c r="AA24" s="432">
        <v>22.25</v>
      </c>
      <c r="AB24" s="588"/>
      <c r="AC24" s="430" t="s">
        <v>246</v>
      </c>
      <c r="AD24" s="433">
        <v>3.75</v>
      </c>
      <c r="AE24" s="554"/>
      <c r="AF24" s="430" t="s">
        <v>1678</v>
      </c>
      <c r="AG24" s="433">
        <v>12.25</v>
      </c>
      <c r="AH24" s="589"/>
      <c r="AI24" s="429" t="s">
        <v>4414</v>
      </c>
      <c r="AJ24" s="432">
        <v>9.25</v>
      </c>
      <c r="AK24" s="553"/>
      <c r="AL24" s="429" t="s">
        <v>4651</v>
      </c>
      <c r="AM24" s="432">
        <v>14.75</v>
      </c>
      <c r="AN24" s="553"/>
      <c r="AR24" s="429" t="s">
        <v>4629</v>
      </c>
      <c r="AS24" s="432">
        <v>18.25</v>
      </c>
      <c r="AT24" s="588"/>
      <c r="AU24" s="429" t="s">
        <v>5358</v>
      </c>
      <c r="AV24" s="432">
        <v>13.5</v>
      </c>
      <c r="AW24" s="588"/>
      <c r="AX24" s="429" t="s">
        <v>147</v>
      </c>
      <c r="AY24" s="432">
        <v>12.75</v>
      </c>
      <c r="AZ24" s="588"/>
      <c r="BA24" s="429" t="s">
        <v>40</v>
      </c>
      <c r="BB24" s="432">
        <v>12</v>
      </c>
      <c r="BC24" s="588"/>
      <c r="BD24" s="429" t="s">
        <v>345</v>
      </c>
      <c r="BE24" s="432">
        <v>11</v>
      </c>
      <c r="BF24" s="588"/>
      <c r="BG24" s="429" t="s">
        <v>4609</v>
      </c>
      <c r="BH24" s="432">
        <v>10.5</v>
      </c>
      <c r="BI24" s="553"/>
      <c r="BM24" s="430" t="s">
        <v>217</v>
      </c>
      <c r="BN24" s="433">
        <v>9</v>
      </c>
      <c r="BO24" s="551"/>
      <c r="BS24" s="427" t="s">
        <v>143</v>
      </c>
      <c r="BT24" s="425">
        <v>14.5</v>
      </c>
      <c r="BU24" s="591"/>
      <c r="BV24" s="435" t="s">
        <v>5064</v>
      </c>
      <c r="BW24" s="424">
        <v>21.75</v>
      </c>
      <c r="BX24" s="590" t="s">
        <v>12663</v>
      </c>
      <c r="BY24" s="428" t="s">
        <v>170</v>
      </c>
      <c r="BZ24" s="426">
        <v>23.75</v>
      </c>
      <c r="CA24" s="574"/>
      <c r="CB24" s="427" t="s">
        <v>215</v>
      </c>
      <c r="CC24" s="425">
        <v>9.5</v>
      </c>
      <c r="CD24" s="573"/>
      <c r="CF24" s="47"/>
      <c r="CG24" s="47"/>
      <c r="CH24" s="47"/>
      <c r="CI24" s="47"/>
      <c r="CJ24" s="47"/>
      <c r="CK24" s="47"/>
      <c r="CL24" s="47"/>
    </row>
    <row r="25" spans="8:90" ht="15.75" thickBot="1" x14ac:dyDescent="0.3">
      <c r="H25" s="26"/>
      <c r="I25" s="26"/>
      <c r="J25" s="26"/>
      <c r="N25" s="429" t="s">
        <v>1904</v>
      </c>
      <c r="O25" s="432">
        <v>4.5</v>
      </c>
      <c r="P25" s="553"/>
      <c r="W25" s="429" t="s">
        <v>3507</v>
      </c>
      <c r="X25" s="432">
        <v>29</v>
      </c>
      <c r="Y25" s="588"/>
      <c r="Z25" s="429" t="s">
        <v>5277</v>
      </c>
      <c r="AA25" s="432">
        <v>22</v>
      </c>
      <c r="AB25" s="588"/>
      <c r="AC25" s="434" t="s">
        <v>3743</v>
      </c>
      <c r="AD25" s="431">
        <v>18.75</v>
      </c>
      <c r="AE25" s="552" t="s">
        <v>19826</v>
      </c>
      <c r="AF25" s="434" t="s">
        <v>5333</v>
      </c>
      <c r="AG25" s="431">
        <v>18</v>
      </c>
      <c r="AH25" s="587" t="s">
        <v>19826</v>
      </c>
      <c r="AI25" s="430" t="s">
        <v>5260</v>
      </c>
      <c r="AJ25" s="433">
        <v>7.75</v>
      </c>
      <c r="AK25" s="554"/>
      <c r="AL25" s="430" t="s">
        <v>3235</v>
      </c>
      <c r="AM25" s="433">
        <v>6.75</v>
      </c>
      <c r="AN25" s="554"/>
      <c r="AR25" s="429" t="s">
        <v>326</v>
      </c>
      <c r="AS25" s="432">
        <v>17.75</v>
      </c>
      <c r="AT25" s="588"/>
      <c r="AU25" s="429" t="s">
        <v>5272</v>
      </c>
      <c r="AV25" s="432">
        <v>13.25</v>
      </c>
      <c r="AW25" s="588"/>
      <c r="AX25" s="429" t="s">
        <v>5457</v>
      </c>
      <c r="AY25" s="432">
        <v>12.75</v>
      </c>
      <c r="AZ25" s="588"/>
      <c r="BA25" s="429" t="s">
        <v>5489</v>
      </c>
      <c r="BB25" s="432">
        <v>11.75</v>
      </c>
      <c r="BC25" s="588"/>
      <c r="BD25" s="429" t="s">
        <v>4447</v>
      </c>
      <c r="BE25" s="432">
        <v>11</v>
      </c>
      <c r="BF25" s="588"/>
      <c r="BG25" s="429" t="s">
        <v>5406</v>
      </c>
      <c r="BH25" s="432">
        <v>10</v>
      </c>
      <c r="BI25" s="553"/>
      <c r="BM25" s="399" t="s">
        <v>5163</v>
      </c>
      <c r="BN25" s="390">
        <v>23</v>
      </c>
      <c r="BO25" s="549" t="s">
        <v>12664</v>
      </c>
      <c r="BS25" s="238" t="s">
        <v>122</v>
      </c>
      <c r="BT25" s="437">
        <v>12.5</v>
      </c>
      <c r="BU25" s="591"/>
      <c r="BV25" s="427" t="s">
        <v>4816</v>
      </c>
      <c r="BW25" s="425">
        <v>20.25</v>
      </c>
      <c r="BX25" s="591"/>
      <c r="BY25" s="435" t="s">
        <v>5487</v>
      </c>
      <c r="BZ25" s="424">
        <v>22.5</v>
      </c>
      <c r="CA25" s="572" t="s">
        <v>12663</v>
      </c>
      <c r="CB25" s="427" t="s">
        <v>110</v>
      </c>
      <c r="CC25" s="425">
        <v>8.25</v>
      </c>
      <c r="CD25" s="573"/>
      <c r="CF25" s="47"/>
      <c r="CG25" s="47"/>
      <c r="CH25" s="47"/>
      <c r="CI25" s="47"/>
      <c r="CJ25" s="47"/>
      <c r="CK25" s="47"/>
      <c r="CL25" s="47"/>
    </row>
    <row r="26" spans="8:90" ht="15.75" thickBot="1" x14ac:dyDescent="0.3">
      <c r="H26" s="339"/>
      <c r="I26" s="26"/>
      <c r="J26" s="26"/>
      <c r="N26" s="429" t="s">
        <v>457</v>
      </c>
      <c r="O26" s="432">
        <v>10.5</v>
      </c>
      <c r="P26" s="553"/>
      <c r="W26" s="429" t="s">
        <v>5200</v>
      </c>
      <c r="X26" s="432">
        <v>24.5</v>
      </c>
      <c r="Y26" s="588"/>
      <c r="Z26" s="429" t="s">
        <v>1653</v>
      </c>
      <c r="AA26" s="432">
        <v>21.5</v>
      </c>
      <c r="AB26" s="588"/>
      <c r="AC26" s="429" t="s">
        <v>5057</v>
      </c>
      <c r="AD26" s="432">
        <v>18.75</v>
      </c>
      <c r="AE26" s="553"/>
      <c r="AF26" s="429" t="s">
        <v>5356</v>
      </c>
      <c r="AG26" s="432">
        <v>17.5</v>
      </c>
      <c r="AH26" s="588"/>
      <c r="AI26" s="434" t="s">
        <v>163</v>
      </c>
      <c r="AJ26" s="431">
        <v>17</v>
      </c>
      <c r="AK26" s="552" t="s">
        <v>19826</v>
      </c>
      <c r="AL26" s="434" t="s">
        <v>5343</v>
      </c>
      <c r="AM26" s="431">
        <v>16.5</v>
      </c>
      <c r="AN26" s="552" t="s">
        <v>19826</v>
      </c>
      <c r="AR26" s="429" t="s">
        <v>2907</v>
      </c>
      <c r="AS26" s="432">
        <v>17.75</v>
      </c>
      <c r="AT26" s="588"/>
      <c r="AU26" s="430" t="s">
        <v>4229</v>
      </c>
      <c r="AV26" s="433">
        <v>11.75</v>
      </c>
      <c r="AW26" s="589"/>
      <c r="AX26" s="429" t="s">
        <v>42</v>
      </c>
      <c r="AY26" s="432">
        <v>12.75</v>
      </c>
      <c r="AZ26" s="588"/>
      <c r="BA26" s="429" t="s">
        <v>5331</v>
      </c>
      <c r="BB26" s="432">
        <v>11.75</v>
      </c>
      <c r="BC26" s="588"/>
      <c r="BD26" s="429" t="s">
        <v>4445</v>
      </c>
      <c r="BE26" s="432">
        <v>11</v>
      </c>
      <c r="BF26" s="588"/>
      <c r="BG26" s="429" t="s">
        <v>5141</v>
      </c>
      <c r="BH26" s="432">
        <v>10</v>
      </c>
      <c r="BI26" s="553"/>
      <c r="BM26" s="398" t="s">
        <v>4529</v>
      </c>
      <c r="BN26" s="391">
        <v>20.75</v>
      </c>
      <c r="BO26" s="550"/>
      <c r="BS26" s="427" t="s">
        <v>5497</v>
      </c>
      <c r="BT26" s="425">
        <v>14.75</v>
      </c>
      <c r="BU26" s="591"/>
      <c r="BV26" s="427" t="s">
        <v>193</v>
      </c>
      <c r="BW26" s="425">
        <v>20</v>
      </c>
      <c r="BX26" s="591"/>
      <c r="BY26" s="427" t="s">
        <v>452</v>
      </c>
      <c r="BZ26" s="425">
        <v>29.5</v>
      </c>
      <c r="CA26" s="573"/>
      <c r="CB26" s="428" t="s">
        <v>339</v>
      </c>
      <c r="CC26" s="426">
        <v>4.75</v>
      </c>
      <c r="CD26" s="574"/>
      <c r="CF26" s="47"/>
      <c r="CG26" s="47"/>
      <c r="CH26" s="47"/>
      <c r="CI26" s="47"/>
      <c r="CJ26" s="47"/>
      <c r="CK26" s="47"/>
      <c r="CL26" s="47"/>
    </row>
    <row r="27" spans="8:90" x14ac:dyDescent="0.25">
      <c r="H27" s="333"/>
      <c r="I27" s="26"/>
      <c r="J27" s="26"/>
      <c r="N27" s="429" t="s">
        <v>58</v>
      </c>
      <c r="O27" s="432">
        <v>8.25</v>
      </c>
      <c r="P27" s="553"/>
      <c r="W27" s="429" t="s">
        <v>5262</v>
      </c>
      <c r="X27" s="432">
        <v>21.75</v>
      </c>
      <c r="Y27" s="588"/>
      <c r="Z27" s="429" t="s">
        <v>227</v>
      </c>
      <c r="AA27" s="432">
        <v>20.75</v>
      </c>
      <c r="AB27" s="588"/>
      <c r="AC27" s="429" t="s">
        <v>5281</v>
      </c>
      <c r="AD27" s="432">
        <v>18.25</v>
      </c>
      <c r="AE27" s="553"/>
      <c r="AF27" s="429" t="s">
        <v>273</v>
      </c>
      <c r="AG27" s="432">
        <v>17.5</v>
      </c>
      <c r="AH27" s="588"/>
      <c r="AI27" s="429" t="s">
        <v>5234</v>
      </c>
      <c r="AJ27" s="432">
        <v>17</v>
      </c>
      <c r="AK27" s="553"/>
      <c r="AL27" s="429" t="s">
        <v>288</v>
      </c>
      <c r="AM27" s="432">
        <v>16.5</v>
      </c>
      <c r="AN27" s="553"/>
      <c r="AR27" s="429" t="s">
        <v>450</v>
      </c>
      <c r="AS27" s="432">
        <v>17.5</v>
      </c>
      <c r="AT27" s="588"/>
      <c r="AU27" s="434" t="s">
        <v>322</v>
      </c>
      <c r="AV27" s="431">
        <v>15</v>
      </c>
      <c r="AW27" s="587" t="s">
        <v>12664</v>
      </c>
      <c r="AX27" s="429" t="s">
        <v>5221</v>
      </c>
      <c r="AY27" s="432">
        <v>12.5</v>
      </c>
      <c r="AZ27" s="588"/>
      <c r="BA27" s="429" t="s">
        <v>18</v>
      </c>
      <c r="BB27" s="432">
        <v>11.75</v>
      </c>
      <c r="BC27" s="588"/>
      <c r="BD27" s="429" t="s">
        <v>5513</v>
      </c>
      <c r="BE27" s="432">
        <v>11</v>
      </c>
      <c r="BF27" s="588"/>
      <c r="BG27" s="429" t="s">
        <v>2258</v>
      </c>
      <c r="BH27" s="432">
        <v>10</v>
      </c>
      <c r="BI27" s="553"/>
      <c r="BM27" s="398" t="s">
        <v>484</v>
      </c>
      <c r="BN27" s="391">
        <v>19</v>
      </c>
      <c r="BO27" s="550"/>
      <c r="BS27" s="427" t="s">
        <v>81</v>
      </c>
      <c r="BT27" s="425">
        <v>13.75</v>
      </c>
      <c r="BU27" s="591"/>
      <c r="BV27" s="427" t="s">
        <v>5155</v>
      </c>
      <c r="BW27" s="425">
        <v>20</v>
      </c>
      <c r="BX27" s="591"/>
      <c r="BY27" s="427" t="s">
        <v>404</v>
      </c>
      <c r="BZ27" s="425">
        <v>29.25</v>
      </c>
      <c r="CA27" s="573"/>
      <c r="CB27" s="435" t="s">
        <v>298</v>
      </c>
      <c r="CC27" s="424">
        <v>32.5</v>
      </c>
      <c r="CD27" s="572" t="s">
        <v>12663</v>
      </c>
      <c r="CF27" s="47"/>
      <c r="CG27" s="47"/>
      <c r="CH27" s="47"/>
      <c r="CI27" s="47"/>
      <c r="CJ27" s="47"/>
      <c r="CK27" s="47"/>
      <c r="CL27" s="47"/>
    </row>
    <row r="28" spans="8:90" ht="15.75" thickBot="1" x14ac:dyDescent="0.3">
      <c r="H28" s="339"/>
      <c r="I28" s="26"/>
      <c r="J28" s="26"/>
      <c r="N28" s="429" t="s">
        <v>4172</v>
      </c>
      <c r="O28" s="432">
        <v>7.25</v>
      </c>
      <c r="P28" s="553"/>
      <c r="W28" s="430" t="s">
        <v>3243</v>
      </c>
      <c r="X28" s="433">
        <v>5.25</v>
      </c>
      <c r="Y28" s="589"/>
      <c r="Z28" s="429" t="s">
        <v>2103</v>
      </c>
      <c r="AA28" s="432">
        <v>20.25</v>
      </c>
      <c r="AB28" s="588"/>
      <c r="AC28" s="429" t="s">
        <v>4533</v>
      </c>
      <c r="AD28" s="432">
        <v>18.25</v>
      </c>
      <c r="AE28" s="553"/>
      <c r="AF28" s="429" t="s">
        <v>4181</v>
      </c>
      <c r="AG28" s="432">
        <v>17.5</v>
      </c>
      <c r="AH28" s="588"/>
      <c r="AI28" s="429" t="s">
        <v>4054</v>
      </c>
      <c r="AJ28" s="432">
        <v>16.75</v>
      </c>
      <c r="AK28" s="553"/>
      <c r="AL28" s="429" t="s">
        <v>5585</v>
      </c>
      <c r="AM28" s="432">
        <v>16.5</v>
      </c>
      <c r="AN28" s="553"/>
      <c r="AR28" s="429" t="s">
        <v>140</v>
      </c>
      <c r="AS28" s="432">
        <v>16.75</v>
      </c>
      <c r="AT28" s="588"/>
      <c r="AU28" s="429" t="s">
        <v>5567</v>
      </c>
      <c r="AV28" s="432">
        <v>15</v>
      </c>
      <c r="AW28" s="588"/>
      <c r="AX28" s="430" t="s">
        <v>5194</v>
      </c>
      <c r="AY28" s="433">
        <v>12.5</v>
      </c>
      <c r="AZ28" s="589"/>
      <c r="BA28" s="429" t="s">
        <v>4404</v>
      </c>
      <c r="BB28" s="432">
        <v>11.5</v>
      </c>
      <c r="BC28" s="588"/>
      <c r="BD28" s="429" t="s">
        <v>5317</v>
      </c>
      <c r="BE28" s="432">
        <v>10.75</v>
      </c>
      <c r="BF28" s="588"/>
      <c r="BG28" s="429" t="s">
        <v>286</v>
      </c>
      <c r="BH28" s="432">
        <v>9.75</v>
      </c>
      <c r="BI28" s="553"/>
      <c r="BM28" s="398" t="s">
        <v>5267</v>
      </c>
      <c r="BN28" s="391">
        <v>18</v>
      </c>
      <c r="BO28" s="550"/>
      <c r="BS28" s="427" t="s">
        <v>37</v>
      </c>
      <c r="BT28" s="425">
        <v>15</v>
      </c>
      <c r="BU28" s="591"/>
      <c r="BV28" s="427" t="s">
        <v>359</v>
      </c>
      <c r="BW28" s="425">
        <v>19.75</v>
      </c>
      <c r="BX28" s="591"/>
      <c r="BY28" s="427" t="s">
        <v>364</v>
      </c>
      <c r="BZ28" s="425">
        <v>29.25</v>
      </c>
      <c r="CA28" s="573"/>
      <c r="CB28" s="427" t="s">
        <v>399</v>
      </c>
      <c r="CC28" s="425">
        <v>32.5</v>
      </c>
      <c r="CD28" s="573"/>
      <c r="CF28" s="47"/>
      <c r="CG28" s="47"/>
      <c r="CH28" s="47"/>
      <c r="CI28" s="47"/>
      <c r="CJ28" s="47"/>
      <c r="CK28" s="47"/>
      <c r="CL28" s="47"/>
    </row>
    <row r="29" spans="8:90" ht="15.75" thickBot="1" x14ac:dyDescent="0.3">
      <c r="H29" s="333"/>
      <c r="I29" s="26"/>
      <c r="J29" s="26"/>
      <c r="N29" s="429" t="s">
        <v>457</v>
      </c>
      <c r="O29" s="432">
        <v>10.5</v>
      </c>
      <c r="P29" s="553"/>
      <c r="W29" s="434" t="s">
        <v>5084</v>
      </c>
      <c r="X29" s="431">
        <v>16</v>
      </c>
      <c r="Y29" s="552" t="s">
        <v>19826</v>
      </c>
      <c r="Z29" s="53" t="s">
        <v>2984</v>
      </c>
      <c r="AA29" s="432">
        <v>20</v>
      </c>
      <c r="AB29" s="588"/>
      <c r="AC29" s="429" t="s">
        <v>5401</v>
      </c>
      <c r="AD29" s="432">
        <v>18.25</v>
      </c>
      <c r="AE29" s="553"/>
      <c r="AF29" s="429" t="s">
        <v>5495</v>
      </c>
      <c r="AG29" s="432">
        <v>17.25</v>
      </c>
      <c r="AH29" s="588"/>
      <c r="AI29" s="429" t="s">
        <v>5091</v>
      </c>
      <c r="AJ29" s="432">
        <v>16.75</v>
      </c>
      <c r="AK29" s="553"/>
      <c r="AL29" s="429" t="s">
        <v>221</v>
      </c>
      <c r="AM29" s="432">
        <v>16.25</v>
      </c>
      <c r="AN29" s="553"/>
      <c r="AR29" s="430" t="s">
        <v>2061</v>
      </c>
      <c r="AS29" s="433">
        <v>16.75</v>
      </c>
      <c r="AT29" s="589"/>
      <c r="AU29" s="429" t="s">
        <v>268</v>
      </c>
      <c r="AV29" s="432">
        <v>14.75</v>
      </c>
      <c r="AW29" s="588"/>
      <c r="AX29" s="434" t="s">
        <v>79</v>
      </c>
      <c r="AY29" s="431">
        <v>13.25</v>
      </c>
      <c r="AZ29" s="587" t="s">
        <v>12664</v>
      </c>
      <c r="BA29" s="429" t="s">
        <v>5019</v>
      </c>
      <c r="BB29" s="432">
        <v>11.5</v>
      </c>
      <c r="BC29" s="588"/>
      <c r="BD29" s="429" t="s">
        <v>5196</v>
      </c>
      <c r="BE29" s="432">
        <v>10.75</v>
      </c>
      <c r="BF29" s="588"/>
      <c r="BG29" s="429" t="s">
        <v>4915</v>
      </c>
      <c r="BH29" s="432">
        <v>9.75</v>
      </c>
      <c r="BI29" s="553"/>
      <c r="BM29" s="398" t="s">
        <v>234</v>
      </c>
      <c r="BN29" s="391">
        <v>17.5</v>
      </c>
      <c r="BO29" s="550"/>
      <c r="BS29" s="427" t="s">
        <v>30</v>
      </c>
      <c r="BT29" s="425">
        <v>9</v>
      </c>
      <c r="BU29" s="591"/>
      <c r="BV29" s="427" t="s">
        <v>3799</v>
      </c>
      <c r="BW29" s="425">
        <v>19.75</v>
      </c>
      <c r="BX29" s="591"/>
      <c r="BY29" s="427" t="s">
        <v>5454</v>
      </c>
      <c r="BZ29" s="425">
        <v>28.5</v>
      </c>
      <c r="CA29" s="573"/>
      <c r="CB29" s="427" t="s">
        <v>114</v>
      </c>
      <c r="CC29" s="425">
        <v>13.25</v>
      </c>
      <c r="CD29" s="573"/>
      <c r="CF29" s="47"/>
      <c r="CG29" s="47"/>
      <c r="CH29" s="47"/>
      <c r="CI29" s="47"/>
      <c r="CJ29" s="47"/>
      <c r="CK29" s="47"/>
      <c r="CL29" s="47"/>
    </row>
    <row r="30" spans="8:90" ht="15.75" thickBot="1" x14ac:dyDescent="0.3">
      <c r="H30" s="340"/>
      <c r="I30" s="26"/>
      <c r="J30" s="26"/>
      <c r="N30" s="429" t="s">
        <v>198</v>
      </c>
      <c r="O30" s="432">
        <v>5.25</v>
      </c>
      <c r="P30" s="553"/>
      <c r="W30" s="429" t="s">
        <v>5473</v>
      </c>
      <c r="X30" s="432">
        <v>16</v>
      </c>
      <c r="Y30" s="553"/>
      <c r="Z30" s="213" t="s">
        <v>5570</v>
      </c>
      <c r="AA30" s="433">
        <v>18.25</v>
      </c>
      <c r="AB30" s="589"/>
      <c r="AC30" s="429" t="s">
        <v>5202</v>
      </c>
      <c r="AD30" s="432">
        <v>18.25</v>
      </c>
      <c r="AE30" s="553"/>
      <c r="AF30" s="429" t="s">
        <v>4865</v>
      </c>
      <c r="AG30" s="432">
        <v>17</v>
      </c>
      <c r="AH30" s="588"/>
      <c r="AI30" s="429" t="s">
        <v>5350</v>
      </c>
      <c r="AJ30" s="432">
        <v>16.75</v>
      </c>
      <c r="AK30" s="553"/>
      <c r="AL30" s="429" t="s">
        <v>4545</v>
      </c>
      <c r="AM30" s="432">
        <v>16.25</v>
      </c>
      <c r="AN30" s="553"/>
      <c r="AR30" s="53"/>
      <c r="AS30" s="53"/>
      <c r="AT30" s="53"/>
      <c r="AU30" s="429" t="s">
        <v>204</v>
      </c>
      <c r="AV30" s="432">
        <v>14.75</v>
      </c>
      <c r="AW30" s="588"/>
      <c r="AX30" s="429" t="s">
        <v>63</v>
      </c>
      <c r="AY30" s="432">
        <v>13.25</v>
      </c>
      <c r="AZ30" s="588"/>
      <c r="BA30" s="429" t="s">
        <v>5300</v>
      </c>
      <c r="BB30" s="432">
        <v>11.5</v>
      </c>
      <c r="BC30" s="588"/>
      <c r="BD30" s="429" t="s">
        <v>290</v>
      </c>
      <c r="BE30" s="432">
        <v>10.75</v>
      </c>
      <c r="BF30" s="588"/>
      <c r="BG30" s="429" t="s">
        <v>4760</v>
      </c>
      <c r="BH30" s="432">
        <v>9.75</v>
      </c>
      <c r="BI30" s="553"/>
      <c r="BM30" s="398" t="s">
        <v>5452</v>
      </c>
      <c r="BN30" s="391">
        <v>17.5</v>
      </c>
      <c r="BO30" s="550"/>
      <c r="BS30" s="428" t="s">
        <v>27</v>
      </c>
      <c r="BT30" s="426">
        <v>15.25</v>
      </c>
      <c r="BU30" s="592"/>
      <c r="BV30" s="427" t="s">
        <v>4104</v>
      </c>
      <c r="BW30" s="425">
        <v>19.25</v>
      </c>
      <c r="BX30" s="591"/>
      <c r="BY30" s="428" t="s">
        <v>9</v>
      </c>
      <c r="BZ30" s="426">
        <v>29</v>
      </c>
      <c r="CA30" s="574"/>
      <c r="CB30" s="427" t="s">
        <v>130</v>
      </c>
      <c r="CC30" s="425">
        <v>12.75</v>
      </c>
      <c r="CD30" s="573"/>
      <c r="CF30" s="47"/>
      <c r="CG30" s="47"/>
      <c r="CH30" s="47"/>
      <c r="CI30" s="47"/>
      <c r="CJ30" s="47"/>
      <c r="CK30" s="47"/>
      <c r="CL30" s="47"/>
    </row>
    <row r="31" spans="8:90" x14ac:dyDescent="0.25">
      <c r="N31" s="429" t="s">
        <v>3243</v>
      </c>
      <c r="O31" s="432">
        <v>5.25</v>
      </c>
      <c r="P31" s="553"/>
      <c r="W31" s="429" t="s">
        <v>3741</v>
      </c>
      <c r="X31" s="432">
        <v>15.75</v>
      </c>
      <c r="Y31" s="553"/>
      <c r="Z31" s="434" t="s">
        <v>4118</v>
      </c>
      <c r="AA31" s="431">
        <v>13</v>
      </c>
      <c r="AB31" s="552" t="s">
        <v>19826</v>
      </c>
      <c r="AC31" s="53" t="s">
        <v>4636</v>
      </c>
      <c r="AD31" s="432">
        <v>18.25</v>
      </c>
      <c r="AE31" s="553"/>
      <c r="AF31" s="429" t="s">
        <v>5587</v>
      </c>
      <c r="AG31" s="432">
        <v>17</v>
      </c>
      <c r="AH31" s="588"/>
      <c r="AI31" s="429" t="s">
        <v>5591</v>
      </c>
      <c r="AJ31" s="432">
        <v>16.75</v>
      </c>
      <c r="AK31" s="553"/>
      <c r="AL31" s="429" t="s">
        <v>4851</v>
      </c>
      <c r="AM31" s="432">
        <v>16.25</v>
      </c>
      <c r="AN31" s="553"/>
      <c r="AR31" s="53"/>
      <c r="AS31" s="53"/>
      <c r="AT31" s="53"/>
      <c r="AU31" s="429" t="s">
        <v>373</v>
      </c>
      <c r="AV31" s="432">
        <v>14.5</v>
      </c>
      <c r="AW31" s="588"/>
      <c r="AX31" s="429" t="s">
        <v>5511</v>
      </c>
      <c r="AY31" s="432">
        <v>13.25</v>
      </c>
      <c r="AZ31" s="588"/>
      <c r="BA31" s="429" t="s">
        <v>5035</v>
      </c>
      <c r="BB31" s="432">
        <v>7.25</v>
      </c>
      <c r="BC31" s="588"/>
      <c r="BD31" s="429" t="s">
        <v>5043</v>
      </c>
      <c r="BE31" s="432">
        <v>10.75</v>
      </c>
      <c r="BF31" s="588"/>
      <c r="BG31" s="429" t="s">
        <v>4611</v>
      </c>
      <c r="BH31" s="432">
        <v>9.5</v>
      </c>
      <c r="BI31" s="553"/>
      <c r="BM31" s="398" t="s">
        <v>388</v>
      </c>
      <c r="BN31" s="391">
        <v>11.75</v>
      </c>
      <c r="BO31" s="550"/>
      <c r="BS31" s="237" t="s">
        <v>393</v>
      </c>
      <c r="BT31" s="436">
        <v>14.75</v>
      </c>
      <c r="BU31" s="590" t="s">
        <v>12664</v>
      </c>
      <c r="BV31" s="427" t="s">
        <v>5672</v>
      </c>
      <c r="BW31" s="425">
        <v>16.5</v>
      </c>
      <c r="BX31" s="591"/>
      <c r="BY31" s="435" t="s">
        <v>452</v>
      </c>
      <c r="BZ31" s="424">
        <v>29.5</v>
      </c>
      <c r="CA31" s="572" t="s">
        <v>12663</v>
      </c>
      <c r="CB31" s="427" t="s">
        <v>65</v>
      </c>
      <c r="CC31" s="425">
        <v>11.5</v>
      </c>
      <c r="CD31" s="573"/>
      <c r="CF31" s="47"/>
      <c r="CG31" s="47"/>
      <c r="CH31" s="47"/>
      <c r="CI31" s="47"/>
      <c r="CJ31" s="47"/>
      <c r="CK31" s="47"/>
      <c r="CL31" s="47"/>
    </row>
    <row r="32" spans="8:90" ht="15.75" thickBot="1" x14ac:dyDescent="0.3">
      <c r="N32" s="429" t="s">
        <v>355</v>
      </c>
      <c r="O32" s="432">
        <v>4.5</v>
      </c>
      <c r="P32" s="553"/>
      <c r="W32" s="429" t="s">
        <v>21</v>
      </c>
      <c r="X32" s="432">
        <v>15.75</v>
      </c>
      <c r="Y32" s="553"/>
      <c r="Z32" s="429" t="s">
        <v>5029</v>
      </c>
      <c r="AA32" s="432">
        <v>13</v>
      </c>
      <c r="AB32" s="553"/>
      <c r="AC32" s="53" t="s">
        <v>5416</v>
      </c>
      <c r="AD32" s="432">
        <v>18.25</v>
      </c>
      <c r="AE32" s="553"/>
      <c r="AF32" s="429" t="s">
        <v>4142</v>
      </c>
      <c r="AG32" s="432">
        <v>17</v>
      </c>
      <c r="AH32" s="588"/>
      <c r="AI32" s="429" t="s">
        <v>4847</v>
      </c>
      <c r="AJ32" s="432">
        <v>16.75</v>
      </c>
      <c r="AK32" s="553"/>
      <c r="AL32" s="429" t="s">
        <v>5279</v>
      </c>
      <c r="AM32" s="432">
        <v>16.25</v>
      </c>
      <c r="AN32" s="553"/>
      <c r="AR32" s="53"/>
      <c r="AS32" s="53"/>
      <c r="AT32" s="53"/>
      <c r="AU32" s="429" t="s">
        <v>366</v>
      </c>
      <c r="AV32" s="432">
        <v>14.5</v>
      </c>
      <c r="AW32" s="588"/>
      <c r="AX32" s="429" t="s">
        <v>5443</v>
      </c>
      <c r="AY32" s="432">
        <v>13</v>
      </c>
      <c r="AZ32" s="588"/>
      <c r="BA32" s="430" t="s">
        <v>5037</v>
      </c>
      <c r="BB32" s="433">
        <v>5.75</v>
      </c>
      <c r="BC32" s="589"/>
      <c r="BD32" s="429" t="s">
        <v>5373</v>
      </c>
      <c r="BE32" s="432">
        <v>10.75</v>
      </c>
      <c r="BF32" s="588"/>
      <c r="BG32" s="429" t="s">
        <v>454</v>
      </c>
      <c r="BH32" s="432">
        <v>9.25</v>
      </c>
      <c r="BI32" s="553"/>
      <c r="BM32" s="398" t="s">
        <v>3941</v>
      </c>
      <c r="BN32" s="391">
        <v>10.75</v>
      </c>
      <c r="BO32" s="550"/>
      <c r="BS32" s="238" t="s">
        <v>5608</v>
      </c>
      <c r="BT32" s="437">
        <v>14.25</v>
      </c>
      <c r="BU32" s="591"/>
      <c r="BV32" s="428" t="s">
        <v>395</v>
      </c>
      <c r="BW32" s="426">
        <v>10.75</v>
      </c>
      <c r="BX32" s="592"/>
      <c r="BY32" s="427" t="s">
        <v>404</v>
      </c>
      <c r="BZ32" s="425">
        <v>29.25</v>
      </c>
      <c r="CA32" s="573"/>
      <c r="CB32" s="427" t="s">
        <v>277</v>
      </c>
      <c r="CC32" s="425">
        <v>11.5</v>
      </c>
      <c r="CD32" s="573"/>
      <c r="CF32" s="47"/>
      <c r="CG32" s="47"/>
      <c r="CH32" s="47"/>
      <c r="CI32" s="47"/>
      <c r="CJ32" s="47"/>
      <c r="CK32" s="47"/>
      <c r="CL32" s="47"/>
    </row>
    <row r="33" spans="8:90" ht="15.75" thickBot="1" x14ac:dyDescent="0.3">
      <c r="N33" s="430" t="s">
        <v>24</v>
      </c>
      <c r="O33" s="433">
        <v>4.5</v>
      </c>
      <c r="P33" s="554"/>
      <c r="W33" s="429" t="s">
        <v>5025</v>
      </c>
      <c r="X33" s="432">
        <v>15.25</v>
      </c>
      <c r="Y33" s="553"/>
      <c r="Z33" s="429" t="s">
        <v>5219</v>
      </c>
      <c r="AA33" s="432">
        <v>12.75</v>
      </c>
      <c r="AB33" s="553"/>
      <c r="AC33" s="53" t="s">
        <v>5543</v>
      </c>
      <c r="AD33" s="432">
        <v>17.25</v>
      </c>
      <c r="AE33" s="553"/>
      <c r="AF33" s="429" t="s">
        <v>3984</v>
      </c>
      <c r="AG33" s="432">
        <v>17</v>
      </c>
      <c r="AH33" s="588"/>
      <c r="AI33" s="429" t="s">
        <v>5236</v>
      </c>
      <c r="AJ33" s="432">
        <v>16.75</v>
      </c>
      <c r="AK33" s="553"/>
      <c r="AL33" s="429" t="s">
        <v>5653</v>
      </c>
      <c r="AM33" s="432">
        <v>16</v>
      </c>
      <c r="AN33" s="553"/>
      <c r="AR33" s="53"/>
      <c r="AS33" s="53"/>
      <c r="AT33" s="53"/>
      <c r="AU33" s="429" t="s">
        <v>95</v>
      </c>
      <c r="AV33" s="432">
        <v>14</v>
      </c>
      <c r="AW33" s="588"/>
      <c r="AX33" s="429" t="s">
        <v>417</v>
      </c>
      <c r="AY33" s="432">
        <v>13</v>
      </c>
      <c r="AZ33" s="588"/>
      <c r="BA33" s="434" t="s">
        <v>52</v>
      </c>
      <c r="BB33" s="431">
        <v>12.5</v>
      </c>
      <c r="BC33" s="587" t="s">
        <v>12664</v>
      </c>
      <c r="BD33" s="429" t="s">
        <v>5639</v>
      </c>
      <c r="BE33" s="432">
        <v>10</v>
      </c>
      <c r="BF33" s="588"/>
      <c r="BG33" s="429" t="s">
        <v>4160</v>
      </c>
      <c r="BH33" s="432">
        <v>9</v>
      </c>
      <c r="BI33" s="553"/>
      <c r="BM33" s="398" t="s">
        <v>100</v>
      </c>
      <c r="BN33" s="391">
        <v>10.5</v>
      </c>
      <c r="BO33" s="550"/>
      <c r="BS33" s="238" t="s">
        <v>328</v>
      </c>
      <c r="BT33" s="437">
        <v>14.5</v>
      </c>
      <c r="BU33" s="591"/>
      <c r="BV33" s="435" t="s">
        <v>371</v>
      </c>
      <c r="BW33" s="424">
        <v>8.5</v>
      </c>
      <c r="BX33" s="590" t="s">
        <v>12663</v>
      </c>
      <c r="BY33" s="427" t="s">
        <v>364</v>
      </c>
      <c r="BZ33" s="425">
        <v>29.25</v>
      </c>
      <c r="CA33" s="573"/>
      <c r="CB33" s="427" t="s">
        <v>385</v>
      </c>
      <c r="CC33" s="425">
        <v>11.5</v>
      </c>
      <c r="CD33" s="573"/>
      <c r="CF33" s="47"/>
      <c r="CG33" s="47"/>
      <c r="CH33" s="47"/>
      <c r="CI33" s="47"/>
      <c r="CJ33" s="47"/>
      <c r="CK33" s="47"/>
      <c r="CL33" s="47"/>
    </row>
    <row r="34" spans="8:90" ht="15.75" thickBot="1" x14ac:dyDescent="0.3">
      <c r="W34" s="429" t="s">
        <v>4683</v>
      </c>
      <c r="X34" s="432">
        <v>14.75</v>
      </c>
      <c r="Y34" s="553"/>
      <c r="Z34" s="429" t="s">
        <v>160</v>
      </c>
      <c r="AA34" s="432">
        <v>12.5</v>
      </c>
      <c r="AB34" s="553"/>
      <c r="AC34" s="213" t="s">
        <v>246</v>
      </c>
      <c r="AD34" s="433">
        <v>3.75</v>
      </c>
      <c r="AE34" s="554"/>
      <c r="AF34" s="430" t="s">
        <v>1678</v>
      </c>
      <c r="AG34" s="433">
        <v>12.25</v>
      </c>
      <c r="AH34" s="589"/>
      <c r="AI34" s="429" t="s">
        <v>5285</v>
      </c>
      <c r="AJ34" s="432">
        <v>16.5</v>
      </c>
      <c r="AK34" s="553"/>
      <c r="AL34" s="429" t="s">
        <v>5392</v>
      </c>
      <c r="AM34" s="432">
        <v>16</v>
      </c>
      <c r="AN34" s="553"/>
      <c r="AU34" s="429" t="s">
        <v>5526</v>
      </c>
      <c r="AV34" s="432">
        <v>13.5</v>
      </c>
      <c r="AW34" s="588"/>
      <c r="AX34" s="429" t="s">
        <v>279</v>
      </c>
      <c r="AY34" s="432">
        <v>13</v>
      </c>
      <c r="AZ34" s="588"/>
      <c r="BA34" s="429" t="s">
        <v>5597</v>
      </c>
      <c r="BB34" s="432">
        <v>12.5</v>
      </c>
      <c r="BC34" s="588"/>
      <c r="BD34" s="430" t="s">
        <v>154</v>
      </c>
      <c r="BE34" s="433">
        <v>3.75</v>
      </c>
      <c r="BF34" s="589"/>
      <c r="BG34" s="429" t="s">
        <v>34</v>
      </c>
      <c r="BH34" s="432">
        <v>9</v>
      </c>
      <c r="BI34" s="553"/>
      <c r="BM34" s="398" t="s">
        <v>361</v>
      </c>
      <c r="BN34" s="391">
        <v>10</v>
      </c>
      <c r="BO34" s="550"/>
      <c r="BS34" s="238" t="s">
        <v>282</v>
      </c>
      <c r="BT34" s="437">
        <v>15.25</v>
      </c>
      <c r="BU34" s="591"/>
      <c r="BV34" s="427" t="s">
        <v>357</v>
      </c>
      <c r="BW34" s="425">
        <v>8.25</v>
      </c>
      <c r="BX34" s="591"/>
      <c r="BY34" s="427" t="s">
        <v>9</v>
      </c>
      <c r="BZ34" s="425">
        <v>29</v>
      </c>
      <c r="CA34" s="573"/>
      <c r="CB34" s="427" t="s">
        <v>211</v>
      </c>
      <c r="CC34" s="425">
        <v>10.25</v>
      </c>
      <c r="CD34" s="573"/>
      <c r="CF34" s="47"/>
      <c r="CG34" s="47"/>
      <c r="CH34" s="47"/>
      <c r="CI34" s="47"/>
      <c r="CJ34" s="47"/>
      <c r="CK34" s="47"/>
      <c r="CL34" s="47"/>
    </row>
    <row r="35" spans="8:90" ht="15.75" thickBot="1" x14ac:dyDescent="0.3">
      <c r="W35" s="429" t="s">
        <v>4764</v>
      </c>
      <c r="X35" s="432">
        <v>14.5</v>
      </c>
      <c r="Y35" s="553"/>
      <c r="Z35" s="429" t="s">
        <v>107</v>
      </c>
      <c r="AA35" s="432">
        <v>12.5</v>
      </c>
      <c r="AB35" s="553"/>
      <c r="AC35" s="434" t="s">
        <v>4064</v>
      </c>
      <c r="AD35" s="431">
        <v>10.5</v>
      </c>
      <c r="AE35" s="552" t="s">
        <v>19826</v>
      </c>
      <c r="AI35" s="429" t="s">
        <v>4414</v>
      </c>
      <c r="AJ35" s="432">
        <v>9.25</v>
      </c>
      <c r="AK35" s="553"/>
      <c r="AL35" s="429" t="s">
        <v>4651</v>
      </c>
      <c r="AM35" s="432">
        <v>14.75</v>
      </c>
      <c r="AN35" s="553"/>
      <c r="AU35" s="429" t="s">
        <v>337</v>
      </c>
      <c r="AV35" s="432">
        <v>13.5</v>
      </c>
      <c r="AW35" s="588"/>
      <c r="AX35" s="429" t="s">
        <v>5128</v>
      </c>
      <c r="AY35" s="432">
        <v>12.75</v>
      </c>
      <c r="AZ35" s="588"/>
      <c r="BA35" s="429" t="s">
        <v>5663</v>
      </c>
      <c r="BB35" s="432">
        <v>12.25</v>
      </c>
      <c r="BC35" s="588"/>
      <c r="BD35" s="434" t="s">
        <v>4488</v>
      </c>
      <c r="BE35" s="431">
        <v>11.5</v>
      </c>
      <c r="BF35" s="587" t="s">
        <v>12664</v>
      </c>
      <c r="BG35" s="429" t="s">
        <v>4964</v>
      </c>
      <c r="BH35" s="432">
        <v>8.25</v>
      </c>
      <c r="BI35" s="553"/>
      <c r="BM35" s="430" t="s">
        <v>217</v>
      </c>
      <c r="BN35" s="433">
        <v>9</v>
      </c>
      <c r="BO35" s="551"/>
      <c r="BS35" s="238" t="s">
        <v>259</v>
      </c>
      <c r="BT35" s="437">
        <v>14.5</v>
      </c>
      <c r="BU35" s="591"/>
      <c r="BV35" s="427" t="s">
        <v>309</v>
      </c>
      <c r="BW35" s="425">
        <v>15.75</v>
      </c>
      <c r="BX35" s="591"/>
      <c r="BY35" s="427" t="s">
        <v>5454</v>
      </c>
      <c r="BZ35" s="425">
        <v>28.5</v>
      </c>
      <c r="CA35" s="573"/>
      <c r="CB35" s="427" t="s">
        <v>173</v>
      </c>
      <c r="CC35" s="425">
        <v>9.75</v>
      </c>
      <c r="CD35" s="573"/>
      <c r="CF35" s="47"/>
      <c r="CG35" s="47"/>
      <c r="CH35" s="47"/>
      <c r="CI35" s="47"/>
      <c r="CJ35" s="47"/>
      <c r="CK35" s="47"/>
      <c r="CL35" s="47"/>
    </row>
    <row r="36" spans="8:90" ht="15.75" thickBot="1" x14ac:dyDescent="0.3">
      <c r="H36" t="s">
        <v>467</v>
      </c>
      <c r="I36" t="s">
        <v>19828</v>
      </c>
      <c r="J36" t="s">
        <v>488</v>
      </c>
      <c r="K36" s="16" t="s">
        <v>19827</v>
      </c>
      <c r="L36" t="s">
        <v>19829</v>
      </c>
      <c r="W36" s="429" t="s">
        <v>440</v>
      </c>
      <c r="X36" s="432">
        <v>13.5</v>
      </c>
      <c r="Y36" s="553"/>
      <c r="Z36" s="429" t="s">
        <v>4072</v>
      </c>
      <c r="AA36" s="432">
        <v>12.5</v>
      </c>
      <c r="AB36" s="553"/>
      <c r="AC36" s="429" t="s">
        <v>412</v>
      </c>
      <c r="AD36" s="432">
        <v>10.5</v>
      </c>
      <c r="AE36" s="553"/>
      <c r="AI36" s="430" t="s">
        <v>5260</v>
      </c>
      <c r="AJ36" s="433">
        <v>7.75</v>
      </c>
      <c r="AK36" s="554"/>
      <c r="AL36" s="430" t="s">
        <v>3235</v>
      </c>
      <c r="AM36" s="433">
        <v>6.75</v>
      </c>
      <c r="AN36" s="554"/>
      <c r="AU36" s="429" t="s">
        <v>5358</v>
      </c>
      <c r="AV36" s="432">
        <v>13.5</v>
      </c>
      <c r="AW36" s="588"/>
      <c r="AX36" s="429" t="s">
        <v>5386</v>
      </c>
      <c r="AY36" s="432">
        <v>12.75</v>
      </c>
      <c r="AZ36" s="588"/>
      <c r="BA36" s="429" t="s">
        <v>316</v>
      </c>
      <c r="BB36" s="432">
        <v>12</v>
      </c>
      <c r="BC36" s="588"/>
      <c r="BD36" s="429" t="s">
        <v>4781</v>
      </c>
      <c r="BE36" s="432">
        <v>11.5</v>
      </c>
      <c r="BF36" s="588"/>
      <c r="BG36" s="429" t="s">
        <v>5283</v>
      </c>
      <c r="BH36" s="432">
        <v>8.25</v>
      </c>
      <c r="BI36" s="553"/>
      <c r="BM36" s="399" t="s">
        <v>5163</v>
      </c>
      <c r="BN36" s="390">
        <v>23</v>
      </c>
      <c r="BO36" s="549" t="s">
        <v>12664</v>
      </c>
      <c r="BS36" s="238" t="s">
        <v>143</v>
      </c>
      <c r="BT36" s="437">
        <v>14.5</v>
      </c>
      <c r="BU36" s="591"/>
      <c r="BV36" s="427" t="s">
        <v>306</v>
      </c>
      <c r="BW36" s="425">
        <v>16.75</v>
      </c>
      <c r="BX36" s="591"/>
      <c r="BY36" s="428" t="s">
        <v>5487</v>
      </c>
      <c r="BZ36" s="426">
        <v>22.5</v>
      </c>
      <c r="CA36" s="574"/>
      <c r="CB36" s="427" t="s">
        <v>215</v>
      </c>
      <c r="CC36" s="425">
        <v>9.5</v>
      </c>
      <c r="CD36" s="573"/>
      <c r="CF36" s="47"/>
      <c r="CG36" s="47"/>
      <c r="CH36" s="47"/>
      <c r="CI36" s="47"/>
      <c r="CJ36" s="47"/>
      <c r="CK36" s="47"/>
      <c r="CL36" s="47"/>
    </row>
    <row r="37" spans="8:90" x14ac:dyDescent="0.25">
      <c r="H37" t="str">
        <f>_xlfn.CONCAT(Table3234[[#This Row],[HUB ]],"/",Table3234[[#This Row],[DEST]])</f>
        <v>BOM/BKK</v>
      </c>
      <c r="I37" t="s">
        <v>406</v>
      </c>
      <c r="J37" t="s">
        <v>415</v>
      </c>
      <c r="K37" s="16">
        <v>28</v>
      </c>
      <c r="L37">
        <f>Table3234[[#This Row],[AICRAFT]]/7</f>
        <v>4</v>
      </c>
      <c r="W37" s="429" t="s">
        <v>4924</v>
      </c>
      <c r="X37" s="432">
        <v>13.5</v>
      </c>
      <c r="Y37" s="553"/>
      <c r="Z37" s="429" t="s">
        <v>2868</v>
      </c>
      <c r="AA37" s="432">
        <v>12.25</v>
      </c>
      <c r="AB37" s="553"/>
      <c r="AC37" s="429" t="s">
        <v>4245</v>
      </c>
      <c r="AD37" s="432">
        <v>10.5</v>
      </c>
      <c r="AE37" s="553"/>
      <c r="AL37" s="53"/>
      <c r="AM37" s="53"/>
      <c r="AN37" s="53"/>
      <c r="AU37" s="429" t="s">
        <v>5272</v>
      </c>
      <c r="AV37" s="432">
        <v>13.25</v>
      </c>
      <c r="AW37" s="588"/>
      <c r="AX37" s="429" t="s">
        <v>147</v>
      </c>
      <c r="AY37" s="432">
        <v>12.75</v>
      </c>
      <c r="AZ37" s="588"/>
      <c r="BA37" s="429" t="s">
        <v>5149</v>
      </c>
      <c r="BB37" s="432">
        <v>12</v>
      </c>
      <c r="BC37" s="588"/>
      <c r="BD37" s="429" t="s">
        <v>4640</v>
      </c>
      <c r="BE37" s="432">
        <v>11.25</v>
      </c>
      <c r="BF37" s="588"/>
      <c r="BG37" s="429" t="s">
        <v>4935</v>
      </c>
      <c r="BH37" s="432">
        <v>7.75</v>
      </c>
      <c r="BI37" s="553"/>
      <c r="BM37" s="398" t="s">
        <v>4529</v>
      </c>
      <c r="BN37" s="391">
        <v>20.75</v>
      </c>
      <c r="BO37" s="550"/>
      <c r="BS37" s="238" t="s">
        <v>122</v>
      </c>
      <c r="BT37" s="437">
        <v>12.5</v>
      </c>
      <c r="BU37" s="591"/>
      <c r="BV37" s="427" t="s">
        <v>270</v>
      </c>
      <c r="BW37" s="425">
        <v>17</v>
      </c>
      <c r="BX37" s="591"/>
      <c r="BY37" s="435" t="s">
        <v>410</v>
      </c>
      <c r="BZ37" s="424">
        <v>24.5</v>
      </c>
      <c r="CA37" s="572" t="s">
        <v>12663</v>
      </c>
      <c r="CB37" s="427" t="s">
        <v>110</v>
      </c>
      <c r="CC37" s="425">
        <v>8.25</v>
      </c>
      <c r="CD37" s="573"/>
      <c r="CF37" s="47"/>
      <c r="CG37" s="47"/>
      <c r="CH37" s="47"/>
      <c r="CI37" s="47"/>
      <c r="CJ37" s="47"/>
      <c r="CK37" s="47"/>
      <c r="CL37" s="47"/>
    </row>
    <row r="38" spans="8:90" ht="15.75" thickBot="1" x14ac:dyDescent="0.3">
      <c r="H38" t="str">
        <f>_xlfn.CONCAT(Table3234[[#This Row],[HUB ]],"/",Table3234[[#This Row],[DEST]])</f>
        <v>BOM/CCU</v>
      </c>
      <c r="I38" t="s">
        <v>406</v>
      </c>
      <c r="J38" t="s">
        <v>378</v>
      </c>
      <c r="K38" s="16">
        <v>28</v>
      </c>
      <c r="L38">
        <f>Table3234[[#This Row],[AICRAFT]]/7</f>
        <v>4</v>
      </c>
      <c r="W38" s="429" t="s">
        <v>3025</v>
      </c>
      <c r="X38" s="432">
        <v>13.5</v>
      </c>
      <c r="Y38" s="553"/>
      <c r="Z38" s="429" t="s">
        <v>4750</v>
      </c>
      <c r="AA38" s="432">
        <v>12.25</v>
      </c>
      <c r="AB38" s="553"/>
      <c r="AC38" s="429" t="s">
        <v>3358</v>
      </c>
      <c r="AD38" s="432">
        <v>10.5</v>
      </c>
      <c r="AE38" s="553"/>
      <c r="AL38" s="53"/>
      <c r="AM38" s="53"/>
      <c r="AN38" s="53"/>
      <c r="AU38" s="430" t="s">
        <v>4229</v>
      </c>
      <c r="AV38" s="433">
        <v>11.75</v>
      </c>
      <c r="AW38" s="589"/>
      <c r="AX38" s="429" t="s">
        <v>5457</v>
      </c>
      <c r="AY38" s="432">
        <v>12.75</v>
      </c>
      <c r="AZ38" s="588"/>
      <c r="BA38" s="429" t="s">
        <v>5265</v>
      </c>
      <c r="BB38" s="432">
        <v>12</v>
      </c>
      <c r="BC38" s="588"/>
      <c r="BD38" s="429" t="s">
        <v>5471</v>
      </c>
      <c r="BE38" s="432">
        <v>11.25</v>
      </c>
      <c r="BF38" s="588"/>
      <c r="BG38" s="430" t="s">
        <v>3628</v>
      </c>
      <c r="BH38" s="433">
        <v>5.25</v>
      </c>
      <c r="BI38" s="554"/>
      <c r="BM38" s="398" t="s">
        <v>484</v>
      </c>
      <c r="BN38" s="391">
        <v>19</v>
      </c>
      <c r="BO38" s="550"/>
      <c r="BS38" s="238" t="s">
        <v>5497</v>
      </c>
      <c r="BT38" s="437">
        <v>14.75</v>
      </c>
      <c r="BU38" s="591"/>
      <c r="BV38" s="427" t="s">
        <v>249</v>
      </c>
      <c r="BW38" s="425">
        <v>16.25</v>
      </c>
      <c r="BX38" s="591"/>
      <c r="BY38" s="427" t="s">
        <v>324</v>
      </c>
      <c r="BZ38" s="425">
        <v>17</v>
      </c>
      <c r="CA38" s="573"/>
      <c r="CB38" s="428" t="s">
        <v>339</v>
      </c>
      <c r="CC38" s="426">
        <v>4.75</v>
      </c>
      <c r="CD38" s="574"/>
      <c r="CF38" s="47"/>
      <c r="CG38" s="47"/>
      <c r="CH38" s="47"/>
      <c r="CI38" s="47"/>
      <c r="CJ38" s="47"/>
      <c r="CK38" s="47"/>
      <c r="CL38" s="47"/>
    </row>
    <row r="39" spans="8:90" x14ac:dyDescent="0.25">
      <c r="H39" t="str">
        <f>_xlfn.CONCAT(Table3234[[#This Row],[HUB ]],"/",Table3234[[#This Row],[DEST]])</f>
        <v>BOM/CTU</v>
      </c>
      <c r="I39" t="s">
        <v>406</v>
      </c>
      <c r="J39" t="s">
        <v>347</v>
      </c>
      <c r="K39" s="16">
        <v>28</v>
      </c>
      <c r="L39">
        <f>Table3234[[#This Row],[AICRAFT]]/7</f>
        <v>4</v>
      </c>
      <c r="W39" s="429" t="s">
        <v>3046</v>
      </c>
      <c r="X39" s="432">
        <v>12.5</v>
      </c>
      <c r="Y39" s="553"/>
      <c r="Z39" s="429" t="s">
        <v>3699</v>
      </c>
      <c r="AA39" s="432">
        <v>12</v>
      </c>
      <c r="AB39" s="553"/>
      <c r="AC39" s="429" t="s">
        <v>1963</v>
      </c>
      <c r="AD39" s="432">
        <v>10.5</v>
      </c>
      <c r="AE39" s="553"/>
      <c r="AL39" s="53"/>
      <c r="AM39" s="53"/>
      <c r="AN39" s="53"/>
      <c r="AR39" s="53"/>
      <c r="AS39" s="53"/>
      <c r="AT39" s="53"/>
      <c r="AU39" s="53"/>
      <c r="AV39" s="53"/>
      <c r="AW39" s="53"/>
      <c r="AX39" s="429" t="s">
        <v>42</v>
      </c>
      <c r="AY39" s="432">
        <v>12.75</v>
      </c>
      <c r="AZ39" s="588"/>
      <c r="BA39" s="429" t="s">
        <v>40</v>
      </c>
      <c r="BB39" s="432">
        <v>12</v>
      </c>
      <c r="BC39" s="588"/>
      <c r="BD39" s="429" t="s">
        <v>4814</v>
      </c>
      <c r="BE39" s="432">
        <v>11</v>
      </c>
      <c r="BF39" s="588"/>
      <c r="BG39" s="434" t="s">
        <v>68</v>
      </c>
      <c r="BH39" s="431">
        <v>10.75</v>
      </c>
      <c r="BI39" s="552" t="s">
        <v>12664</v>
      </c>
      <c r="BM39" s="398" t="s">
        <v>5267</v>
      </c>
      <c r="BN39" s="391">
        <v>18</v>
      </c>
      <c r="BO39" s="550"/>
      <c r="BS39" s="238" t="s">
        <v>81</v>
      </c>
      <c r="BT39" s="437">
        <v>13.75</v>
      </c>
      <c r="BU39" s="591"/>
      <c r="BV39" s="427" t="s">
        <v>219</v>
      </c>
      <c r="BW39" s="425">
        <v>16.25</v>
      </c>
      <c r="BX39" s="591"/>
      <c r="BY39" s="427" t="s">
        <v>252</v>
      </c>
      <c r="BZ39" s="425">
        <v>12.75</v>
      </c>
      <c r="CA39" s="573"/>
      <c r="CB39" s="435" t="s">
        <v>381</v>
      </c>
      <c r="CC39" s="424">
        <v>34.25</v>
      </c>
      <c r="CD39" s="572" t="s">
        <v>12663</v>
      </c>
      <c r="CF39" s="47"/>
      <c r="CG39" s="47"/>
      <c r="CH39" s="47"/>
      <c r="CI39" s="47"/>
      <c r="CJ39" s="47"/>
      <c r="CK39" s="47"/>
      <c r="CL39" s="47"/>
    </row>
    <row r="40" spans="8:90" ht="15.75" thickBot="1" x14ac:dyDescent="0.3">
      <c r="H40" t="str">
        <f>_xlfn.CONCAT(Table3234[[#This Row],[HUB ]],"/",Table3234[[#This Row],[DEST]])</f>
        <v>BOM/DMK</v>
      </c>
      <c r="I40" t="s">
        <v>406</v>
      </c>
      <c r="J40" t="s">
        <v>333</v>
      </c>
      <c r="K40" s="16">
        <v>28</v>
      </c>
      <c r="L40">
        <f>Table3234[[#This Row],[AICRAFT]]/7</f>
        <v>4</v>
      </c>
      <c r="W40" s="430" t="s">
        <v>8728</v>
      </c>
      <c r="X40" s="433">
        <v>7</v>
      </c>
      <c r="Y40" s="554"/>
      <c r="Z40" s="429" t="s">
        <v>2618</v>
      </c>
      <c r="AA40" s="432">
        <v>11.25</v>
      </c>
      <c r="AB40" s="553"/>
      <c r="AC40" s="429" t="s">
        <v>1656</v>
      </c>
      <c r="AD40" s="432">
        <v>10.25</v>
      </c>
      <c r="AE40" s="553"/>
      <c r="AL40" s="53"/>
      <c r="AM40" s="53"/>
      <c r="AN40" s="53"/>
      <c r="AR40" s="53"/>
      <c r="AS40" s="53"/>
      <c r="AT40" s="53"/>
      <c r="AU40" s="53"/>
      <c r="AV40" s="53"/>
      <c r="AW40" s="53"/>
      <c r="AX40" s="429" t="s">
        <v>5221</v>
      </c>
      <c r="AY40" s="432">
        <v>12.5</v>
      </c>
      <c r="AZ40" s="588"/>
      <c r="BA40" s="429" t="s">
        <v>5489</v>
      </c>
      <c r="BB40" s="432">
        <v>11.75</v>
      </c>
      <c r="BC40" s="588"/>
      <c r="BD40" s="429" t="s">
        <v>345</v>
      </c>
      <c r="BE40" s="432">
        <v>11</v>
      </c>
      <c r="BF40" s="588"/>
      <c r="BG40" s="429" t="s">
        <v>15</v>
      </c>
      <c r="BH40" s="432">
        <v>10.75</v>
      </c>
      <c r="BI40" s="553"/>
      <c r="BM40" s="398" t="s">
        <v>234</v>
      </c>
      <c r="BN40" s="391">
        <v>17.5</v>
      </c>
      <c r="BO40" s="550"/>
      <c r="BS40" s="238" t="s">
        <v>37</v>
      </c>
      <c r="BT40" s="437">
        <v>15</v>
      </c>
      <c r="BU40" s="591"/>
      <c r="BV40" s="427" t="s">
        <v>157</v>
      </c>
      <c r="BW40" s="425">
        <v>16</v>
      </c>
      <c r="BX40" s="591"/>
      <c r="BY40" s="427" t="s">
        <v>185</v>
      </c>
      <c r="BZ40" s="425">
        <v>18.75</v>
      </c>
      <c r="CA40" s="573"/>
      <c r="CB40" s="427" t="s">
        <v>376</v>
      </c>
      <c r="CC40" s="425">
        <v>17.5</v>
      </c>
      <c r="CD40" s="573"/>
      <c r="CF40" s="47"/>
      <c r="CG40" s="47"/>
      <c r="CH40" s="47"/>
      <c r="CI40" s="47"/>
      <c r="CJ40" s="47"/>
      <c r="CK40" s="47"/>
      <c r="CL40" s="47"/>
    </row>
    <row r="41" spans="8:90" ht="15.75" thickBot="1" x14ac:dyDescent="0.3">
      <c r="H41" t="str">
        <f>_xlfn.CONCAT(Table3234[[#This Row],[HUB ]],"/",Table3234[[#This Row],[DEST]])</f>
        <v>BOM/HKT</v>
      </c>
      <c r="I41" t="s">
        <v>406</v>
      </c>
      <c r="J41" t="s">
        <v>275</v>
      </c>
      <c r="K41" s="16">
        <v>28</v>
      </c>
      <c r="L41">
        <f>Table3234[[#This Row],[AICRAFT]]/7</f>
        <v>4</v>
      </c>
      <c r="W41" s="434" t="s">
        <v>5084</v>
      </c>
      <c r="X41" s="431">
        <v>16</v>
      </c>
      <c r="Y41" s="552" t="s">
        <v>19826</v>
      </c>
      <c r="Z41" s="429" t="s">
        <v>4070</v>
      </c>
      <c r="AA41" s="432">
        <v>11.25</v>
      </c>
      <c r="AB41" s="553"/>
      <c r="AC41" s="429" t="s">
        <v>1463</v>
      </c>
      <c r="AD41" s="432">
        <v>10.25</v>
      </c>
      <c r="AE41" s="553"/>
      <c r="AL41" s="53"/>
      <c r="AM41" s="53"/>
      <c r="AN41" s="53"/>
      <c r="AR41" s="53"/>
      <c r="AS41" s="53"/>
      <c r="AT41" s="53"/>
      <c r="AU41" s="53"/>
      <c r="AV41" s="53"/>
      <c r="AW41" s="53"/>
      <c r="AX41" s="430" t="s">
        <v>5194</v>
      </c>
      <c r="AY41" s="433">
        <v>12.5</v>
      </c>
      <c r="AZ41" s="589"/>
      <c r="BA41" s="429" t="s">
        <v>5331</v>
      </c>
      <c r="BB41" s="432">
        <v>11.75</v>
      </c>
      <c r="BC41" s="588"/>
      <c r="BD41" s="429" t="s">
        <v>4447</v>
      </c>
      <c r="BE41" s="432">
        <v>11</v>
      </c>
      <c r="BF41" s="588"/>
      <c r="BG41" s="429" t="s">
        <v>341</v>
      </c>
      <c r="BH41" s="432">
        <v>10.5</v>
      </c>
      <c r="BI41" s="553"/>
      <c r="BM41" s="398" t="s">
        <v>5452</v>
      </c>
      <c r="BN41" s="391">
        <v>17.5</v>
      </c>
      <c r="BO41" s="550"/>
      <c r="BS41" s="238" t="s">
        <v>30</v>
      </c>
      <c r="BT41" s="437">
        <v>9</v>
      </c>
      <c r="BU41" s="591"/>
      <c r="BV41" s="427" t="s">
        <v>149</v>
      </c>
      <c r="BW41" s="425">
        <v>16.5</v>
      </c>
      <c r="BX41" s="591"/>
      <c r="BY41" s="427" t="s">
        <v>182</v>
      </c>
      <c r="BZ41" s="425">
        <v>18.5</v>
      </c>
      <c r="CA41" s="573"/>
      <c r="CB41" s="427" t="s">
        <v>5465</v>
      </c>
      <c r="CC41" s="425">
        <v>34.5</v>
      </c>
      <c r="CD41" s="573"/>
      <c r="CF41" s="47"/>
      <c r="CG41" s="47"/>
      <c r="CH41" s="47"/>
      <c r="CI41" s="47"/>
      <c r="CJ41" s="47"/>
      <c r="CK41" s="47"/>
      <c r="CL41" s="47"/>
    </row>
    <row r="42" spans="8:90" ht="15.75" thickBot="1" x14ac:dyDescent="0.3">
      <c r="H42" t="str">
        <f>_xlfn.CONCAT(Table3234[[#This Row],[HUB ]],"/",Table3234[[#This Row],[DEST]])</f>
        <v>BOM/ISB</v>
      </c>
      <c r="I42" t="s">
        <v>406</v>
      </c>
      <c r="J42" t="s">
        <v>254</v>
      </c>
      <c r="K42" s="16">
        <v>28</v>
      </c>
      <c r="L42">
        <f>Table3234[[#This Row],[AICRAFT]]/7</f>
        <v>4</v>
      </c>
      <c r="W42" s="429" t="s">
        <v>5473</v>
      </c>
      <c r="X42" s="432">
        <v>16</v>
      </c>
      <c r="Y42" s="553"/>
      <c r="Z42" s="429" t="s">
        <v>2713</v>
      </c>
      <c r="AA42" s="432">
        <v>11</v>
      </c>
      <c r="AB42" s="553"/>
      <c r="AC42" s="429" t="s">
        <v>4494</v>
      </c>
      <c r="AD42" s="432">
        <v>10</v>
      </c>
      <c r="AE42" s="553"/>
      <c r="AL42" s="53"/>
      <c r="AM42" s="53"/>
      <c r="AN42" s="53"/>
      <c r="AR42" s="53"/>
      <c r="AS42" s="53"/>
      <c r="AT42" s="53"/>
      <c r="AU42" s="53"/>
      <c r="AV42" s="53"/>
      <c r="AW42" s="53"/>
      <c r="AX42" s="53"/>
      <c r="AY42" s="53"/>
      <c r="AZ42" s="53"/>
      <c r="BA42" s="429" t="s">
        <v>18</v>
      </c>
      <c r="BB42" s="432">
        <v>11.75</v>
      </c>
      <c r="BC42" s="588"/>
      <c r="BD42" s="429" t="s">
        <v>4445</v>
      </c>
      <c r="BE42" s="432">
        <v>11</v>
      </c>
      <c r="BF42" s="588"/>
      <c r="BG42" s="429" t="s">
        <v>4609</v>
      </c>
      <c r="BH42" s="432">
        <v>10.5</v>
      </c>
      <c r="BI42" s="553"/>
      <c r="BM42" s="398" t="s">
        <v>388</v>
      </c>
      <c r="BN42" s="391">
        <v>11.75</v>
      </c>
      <c r="BO42" s="550"/>
      <c r="BS42" s="239" t="s">
        <v>27</v>
      </c>
      <c r="BT42" s="438">
        <v>15.25</v>
      </c>
      <c r="BU42" s="592"/>
      <c r="BV42" s="427" t="s">
        <v>145</v>
      </c>
      <c r="BW42" s="425">
        <v>17.25</v>
      </c>
      <c r="BX42" s="591"/>
      <c r="BY42" s="427" t="s">
        <v>126</v>
      </c>
      <c r="BZ42" s="425">
        <v>18.25</v>
      </c>
      <c r="CA42" s="573"/>
      <c r="CB42" s="427" t="s">
        <v>5532</v>
      </c>
      <c r="CC42" s="425">
        <v>33</v>
      </c>
      <c r="CD42" s="573"/>
      <c r="CF42" s="47"/>
      <c r="CG42" s="47"/>
      <c r="CH42" s="47"/>
      <c r="CI42" s="47"/>
      <c r="CJ42" s="47"/>
      <c r="CK42" s="47"/>
      <c r="CL42" s="47"/>
    </row>
    <row r="43" spans="8:90" ht="15.75" thickBot="1" x14ac:dyDescent="0.3">
      <c r="H43" t="str">
        <f>_xlfn.CONCAT(Table3234[[#This Row],[HUB ]],"/",Table3234[[#This Row],[DEST]])</f>
        <v>BOM/ALP</v>
      </c>
      <c r="I43" t="s">
        <v>406</v>
      </c>
      <c r="J43" s="460" t="s">
        <v>4814</v>
      </c>
      <c r="K43" s="16">
        <v>18</v>
      </c>
      <c r="L43">
        <f>Table3234[[#This Row],[AICRAFT]]/7</f>
        <v>2.5714285714285716</v>
      </c>
      <c r="W43" s="429" t="s">
        <v>3741</v>
      </c>
      <c r="X43" s="432">
        <v>15.75</v>
      </c>
      <c r="Y43" s="553"/>
      <c r="Z43" s="429" t="s">
        <v>2972</v>
      </c>
      <c r="AA43" s="432">
        <v>11</v>
      </c>
      <c r="AB43" s="553"/>
      <c r="AC43" s="429" t="s">
        <v>3189</v>
      </c>
      <c r="AD43" s="432">
        <v>9</v>
      </c>
      <c r="AE43" s="553"/>
      <c r="AL43" s="53"/>
      <c r="AM43" s="53"/>
      <c r="AN43" s="53"/>
      <c r="AR43" s="53"/>
      <c r="AS43" s="53"/>
      <c r="AT43" s="53"/>
      <c r="AU43" s="53"/>
      <c r="AV43" s="53"/>
      <c r="AW43" s="53"/>
      <c r="AX43" s="53"/>
      <c r="AY43" s="53"/>
      <c r="AZ43" s="53"/>
      <c r="BA43" s="429" t="s">
        <v>4404</v>
      </c>
      <c r="BB43" s="432">
        <v>11.5</v>
      </c>
      <c r="BC43" s="588"/>
      <c r="BD43" s="429" t="s">
        <v>5513</v>
      </c>
      <c r="BE43" s="432">
        <v>11</v>
      </c>
      <c r="BF43" s="588"/>
      <c r="BG43" s="429" t="s">
        <v>5406</v>
      </c>
      <c r="BH43" s="432">
        <v>10</v>
      </c>
      <c r="BI43" s="553"/>
      <c r="BM43" s="398" t="s">
        <v>3941</v>
      </c>
      <c r="BN43" s="391">
        <v>10.75</v>
      </c>
      <c r="BO43" s="550"/>
      <c r="BS43" s="435" t="s">
        <v>419</v>
      </c>
      <c r="BT43" s="424">
        <v>4.75</v>
      </c>
      <c r="BU43" s="593" t="s">
        <v>12664</v>
      </c>
      <c r="BV43" s="428" t="s">
        <v>50</v>
      </c>
      <c r="BW43" s="426">
        <v>19.5</v>
      </c>
      <c r="BX43" s="592"/>
      <c r="BY43" s="427" t="s">
        <v>483</v>
      </c>
      <c r="BZ43" s="425">
        <v>29.25</v>
      </c>
      <c r="CA43" s="573"/>
      <c r="CB43" s="427" t="s">
        <v>5631</v>
      </c>
      <c r="CC43" s="425">
        <v>16</v>
      </c>
      <c r="CD43" s="573"/>
      <c r="CF43" s="47"/>
      <c r="CG43" s="47"/>
      <c r="CH43" s="47"/>
      <c r="CI43" s="47"/>
      <c r="CJ43" s="47"/>
      <c r="CK43" s="47"/>
      <c r="CL43" s="47"/>
    </row>
    <row r="44" spans="8:90" ht="15.75" thickBot="1" x14ac:dyDescent="0.3">
      <c r="H44" t="str">
        <f>_xlfn.CONCAT(Table3234[[#This Row],[HUB ]],"/",Table3234[[#This Row],[DEST]])</f>
        <v>BOM/AMM</v>
      </c>
      <c r="I44" t="s">
        <v>406</v>
      </c>
      <c r="J44" s="460" t="s">
        <v>5317</v>
      </c>
      <c r="K44" s="16">
        <v>18</v>
      </c>
      <c r="L44">
        <f>Table3234[[#This Row],[AICRAFT]]/7</f>
        <v>2.5714285714285716</v>
      </c>
      <c r="W44" s="429" t="s">
        <v>21</v>
      </c>
      <c r="X44" s="432">
        <v>15.75</v>
      </c>
      <c r="Y44" s="553"/>
      <c r="Z44" s="430" t="s">
        <v>390</v>
      </c>
      <c r="AA44" s="433">
        <v>10.75</v>
      </c>
      <c r="AB44" s="554"/>
      <c r="AC44" s="429" t="s">
        <v>3842</v>
      </c>
      <c r="AD44" s="432">
        <v>9</v>
      </c>
      <c r="AE44" s="553"/>
      <c r="AL44" s="53"/>
      <c r="AM44" s="53"/>
      <c r="AN44" s="53"/>
      <c r="AR44" s="53"/>
      <c r="AS44" s="53"/>
      <c r="AT44" s="53"/>
      <c r="AU44" s="53"/>
      <c r="AV44" s="53"/>
      <c r="AW44" s="53"/>
      <c r="AX44" s="53"/>
      <c r="AY44" s="53"/>
      <c r="AZ44" s="53"/>
      <c r="BA44" s="429" t="s">
        <v>5019</v>
      </c>
      <c r="BB44" s="432">
        <v>11.5</v>
      </c>
      <c r="BC44" s="588"/>
      <c r="BD44" s="429" t="s">
        <v>5317</v>
      </c>
      <c r="BE44" s="432">
        <v>10.75</v>
      </c>
      <c r="BF44" s="588"/>
      <c r="BG44" s="429" t="s">
        <v>5141</v>
      </c>
      <c r="BH44" s="432">
        <v>10</v>
      </c>
      <c r="BI44" s="553"/>
      <c r="BM44" s="398" t="s">
        <v>100</v>
      </c>
      <c r="BN44" s="391">
        <v>10.5</v>
      </c>
      <c r="BO44" s="550"/>
      <c r="BS44" s="427" t="s">
        <v>415</v>
      </c>
      <c r="BT44" s="425">
        <v>8.75</v>
      </c>
      <c r="BU44" s="594"/>
      <c r="BV44" s="237" t="s">
        <v>50</v>
      </c>
      <c r="BW44" s="436">
        <v>19.5</v>
      </c>
      <c r="BX44" s="590" t="s">
        <v>12663</v>
      </c>
      <c r="BY44" s="428" t="s">
        <v>5613</v>
      </c>
      <c r="BZ44" s="426">
        <v>29</v>
      </c>
      <c r="CA44" s="574"/>
      <c r="CB44" s="428" t="s">
        <v>5380</v>
      </c>
      <c r="CC44" s="426">
        <v>32.75</v>
      </c>
      <c r="CD44" s="574"/>
      <c r="CF44" s="47"/>
      <c r="CG44" s="47"/>
      <c r="CH44" s="47"/>
      <c r="CI44" s="47"/>
      <c r="CJ44" s="47"/>
      <c r="CK44" s="47"/>
      <c r="CL44" s="47"/>
    </row>
    <row r="45" spans="8:90" x14ac:dyDescent="0.25">
      <c r="H45" t="str">
        <f>_xlfn.CONCAT(Table3234[[#This Row],[HUB ]],"/",Table3234[[#This Row],[DEST]])</f>
        <v>BOM/ASW</v>
      </c>
      <c r="I45" t="s">
        <v>406</v>
      </c>
      <c r="J45" s="460" t="s">
        <v>4640</v>
      </c>
      <c r="K45" s="16">
        <v>18</v>
      </c>
      <c r="L45">
        <f>Table3234[[#This Row],[AICRAFT]]/7</f>
        <v>2.5714285714285716</v>
      </c>
      <c r="W45" s="429" t="s">
        <v>5025</v>
      </c>
      <c r="X45" s="432">
        <v>15.25</v>
      </c>
      <c r="Y45" s="553"/>
      <c r="Z45" s="434" t="s">
        <v>4118</v>
      </c>
      <c r="AA45" s="431">
        <v>13</v>
      </c>
      <c r="AB45" s="552" t="s">
        <v>19826</v>
      </c>
      <c r="AC45" s="429" t="s">
        <v>3435</v>
      </c>
      <c r="AD45" s="432">
        <v>8.5</v>
      </c>
      <c r="AE45" s="553"/>
      <c r="AL45" s="53"/>
      <c r="AM45" s="53"/>
      <c r="AN45" s="53"/>
      <c r="AR45" s="53"/>
      <c r="AS45" s="53"/>
      <c r="AT45" s="53"/>
      <c r="AU45" s="53"/>
      <c r="AV45" s="53"/>
      <c r="AW45" s="53"/>
      <c r="AX45" s="53"/>
      <c r="AY45" s="53"/>
      <c r="AZ45" s="53"/>
      <c r="BA45" s="429" t="s">
        <v>5300</v>
      </c>
      <c r="BB45" s="432">
        <v>11.5</v>
      </c>
      <c r="BC45" s="588"/>
      <c r="BD45" s="429" t="s">
        <v>5196</v>
      </c>
      <c r="BE45" s="432">
        <v>10.75</v>
      </c>
      <c r="BF45" s="588"/>
      <c r="BG45" s="429" t="s">
        <v>2258</v>
      </c>
      <c r="BH45" s="432">
        <v>10</v>
      </c>
      <c r="BI45" s="553"/>
      <c r="BM45" s="398" t="s">
        <v>361</v>
      </c>
      <c r="BN45" s="391">
        <v>10</v>
      </c>
      <c r="BO45" s="550"/>
      <c r="BS45" s="427" t="s">
        <v>355</v>
      </c>
      <c r="BT45" s="425">
        <v>4.5</v>
      </c>
      <c r="BU45" s="594"/>
      <c r="BV45" s="238" t="s">
        <v>145</v>
      </c>
      <c r="BW45" s="437">
        <v>17.25</v>
      </c>
      <c r="BX45" s="591"/>
      <c r="BY45" s="435" t="s">
        <v>483</v>
      </c>
      <c r="BZ45" s="424">
        <v>29.25</v>
      </c>
      <c r="CA45" s="572" t="s">
        <v>12663</v>
      </c>
      <c r="CB45" s="435" t="s">
        <v>5465</v>
      </c>
      <c r="CC45" s="424">
        <v>34.5</v>
      </c>
      <c r="CD45" s="572" t="s">
        <v>12663</v>
      </c>
      <c r="CF45" s="47"/>
      <c r="CG45" s="47"/>
      <c r="CH45" s="47"/>
      <c r="CI45" s="47"/>
      <c r="CJ45" s="47"/>
      <c r="CK45" s="47"/>
      <c r="CL45" s="47"/>
    </row>
    <row r="46" spans="8:90" ht="15.75" thickBot="1" x14ac:dyDescent="0.3">
      <c r="H46" t="str">
        <f>_xlfn.CONCAT(Table3234[[#This Row],[HUB ]],"/",Table3234[[#This Row],[DEST]])</f>
        <v>BOM/CXR</v>
      </c>
      <c r="I46" t="s">
        <v>406</v>
      </c>
      <c r="J46" s="460" t="s">
        <v>345</v>
      </c>
      <c r="K46" s="16">
        <v>18</v>
      </c>
      <c r="L46">
        <f>Table3234[[#This Row],[AICRAFT]]/7</f>
        <v>2.5714285714285716</v>
      </c>
      <c r="W46" s="429" t="s">
        <v>4683</v>
      </c>
      <c r="X46" s="432">
        <v>14.75</v>
      </c>
      <c r="Y46" s="553"/>
      <c r="Z46" s="429" t="s">
        <v>5029</v>
      </c>
      <c r="AA46" s="432">
        <v>13</v>
      </c>
      <c r="AB46" s="553"/>
      <c r="AC46" s="429" t="s">
        <v>1882</v>
      </c>
      <c r="AD46" s="432">
        <v>8.5</v>
      </c>
      <c r="AE46" s="553"/>
      <c r="AL46" s="53"/>
      <c r="AM46" s="53"/>
      <c r="AN46" s="53"/>
      <c r="AR46" s="53"/>
      <c r="AS46" s="53"/>
      <c r="AT46" s="53"/>
      <c r="AU46" s="53"/>
      <c r="AV46" s="53"/>
      <c r="AW46" s="53"/>
      <c r="AX46" s="53"/>
      <c r="AY46" s="53"/>
      <c r="AZ46" s="53"/>
      <c r="BA46" s="429" t="s">
        <v>5035</v>
      </c>
      <c r="BB46" s="432">
        <v>7.25</v>
      </c>
      <c r="BC46" s="588"/>
      <c r="BD46" s="429" t="s">
        <v>290</v>
      </c>
      <c r="BE46" s="432">
        <v>10.75</v>
      </c>
      <c r="BF46" s="588"/>
      <c r="BG46" s="429" t="s">
        <v>286</v>
      </c>
      <c r="BH46" s="432">
        <v>9.75</v>
      </c>
      <c r="BI46" s="553"/>
      <c r="BM46" s="430" t="s">
        <v>217</v>
      </c>
      <c r="BN46" s="433">
        <v>9</v>
      </c>
      <c r="BO46" s="551"/>
      <c r="BS46" s="427" t="s">
        <v>198</v>
      </c>
      <c r="BT46" s="425">
        <v>5.25</v>
      </c>
      <c r="BU46" s="594"/>
      <c r="BV46" s="238" t="s">
        <v>270</v>
      </c>
      <c r="BW46" s="437">
        <v>17</v>
      </c>
      <c r="BX46" s="591"/>
      <c r="BY46" s="427" t="s">
        <v>5613</v>
      </c>
      <c r="BZ46" s="425">
        <v>29</v>
      </c>
      <c r="CA46" s="573"/>
      <c r="CB46" s="427" t="s">
        <v>381</v>
      </c>
      <c r="CC46" s="425">
        <v>34.25</v>
      </c>
      <c r="CD46" s="573"/>
      <c r="CF46" s="47"/>
      <c r="CG46" s="47"/>
      <c r="CH46" s="47"/>
      <c r="CI46" s="47"/>
      <c r="CJ46" s="47"/>
      <c r="CK46" s="47"/>
      <c r="CL46" s="47"/>
    </row>
    <row r="47" spans="8:90" ht="15.75" thickBot="1" x14ac:dyDescent="0.3">
      <c r="H47" t="str">
        <f>_xlfn.CONCAT(Table3234[[#This Row],[HUB ]],"/",Table3234[[#This Row],[DEST]])</f>
        <v>BOM/DAM</v>
      </c>
      <c r="I47" t="s">
        <v>406</v>
      </c>
      <c r="J47" s="460" t="s">
        <v>5196</v>
      </c>
      <c r="K47" s="16">
        <v>18</v>
      </c>
      <c r="L47">
        <f>Table3234[[#This Row],[AICRAFT]]/7</f>
        <v>2.5714285714285716</v>
      </c>
      <c r="W47" s="429" t="s">
        <v>4764</v>
      </c>
      <c r="X47" s="432">
        <v>14.5</v>
      </c>
      <c r="Y47" s="553"/>
      <c r="Z47" s="429" t="s">
        <v>5219</v>
      </c>
      <c r="AA47" s="432">
        <v>12.75</v>
      </c>
      <c r="AB47" s="553"/>
      <c r="AC47" s="429" t="s">
        <v>2496</v>
      </c>
      <c r="AD47" s="432">
        <v>8.25</v>
      </c>
      <c r="AE47" s="553"/>
      <c r="AL47" s="53"/>
      <c r="AM47" s="53"/>
      <c r="AN47" s="53"/>
      <c r="AR47" s="53"/>
      <c r="AS47" s="53"/>
      <c r="AT47" s="53"/>
      <c r="AU47" s="53"/>
      <c r="AV47" s="53"/>
      <c r="AW47" s="53"/>
      <c r="AX47" s="53"/>
      <c r="AY47" s="53"/>
      <c r="AZ47" s="53"/>
      <c r="BA47" s="430" t="s">
        <v>5037</v>
      </c>
      <c r="BB47" s="433">
        <v>5.75</v>
      </c>
      <c r="BC47" s="589"/>
      <c r="BD47" s="429" t="s">
        <v>5043</v>
      </c>
      <c r="BE47" s="432">
        <v>10.75</v>
      </c>
      <c r="BF47" s="588"/>
      <c r="BG47" s="429" t="s">
        <v>4915</v>
      </c>
      <c r="BH47" s="432">
        <v>9.75</v>
      </c>
      <c r="BI47" s="553"/>
      <c r="BS47" s="427" t="s">
        <v>187</v>
      </c>
      <c r="BT47" s="425">
        <v>4.5</v>
      </c>
      <c r="BU47" s="594"/>
      <c r="BV47" s="238" t="s">
        <v>306</v>
      </c>
      <c r="BW47" s="437">
        <v>16.75</v>
      </c>
      <c r="BX47" s="591"/>
      <c r="BY47" s="427" t="s">
        <v>410</v>
      </c>
      <c r="BZ47" s="425">
        <v>24.5</v>
      </c>
      <c r="CA47" s="573"/>
      <c r="CB47" s="427" t="s">
        <v>5532</v>
      </c>
      <c r="CC47" s="425">
        <v>33</v>
      </c>
      <c r="CD47" s="573"/>
      <c r="CF47" s="47"/>
      <c r="CG47" s="47"/>
      <c r="CH47" s="47"/>
      <c r="CI47" s="47"/>
      <c r="CJ47" s="47"/>
      <c r="CK47" s="47"/>
      <c r="CL47" s="47"/>
    </row>
    <row r="48" spans="8:90" x14ac:dyDescent="0.25">
      <c r="H48" t="str">
        <f>_xlfn.CONCAT(Table3234[[#This Row],[HUB ]],"/",Table3234[[#This Row],[DEST]])</f>
        <v>BOM/GZT</v>
      </c>
      <c r="I48" t="s">
        <v>406</v>
      </c>
      <c r="J48" s="460" t="s">
        <v>4447</v>
      </c>
      <c r="K48" s="16">
        <v>18</v>
      </c>
      <c r="L48">
        <f>Table3234[[#This Row],[AICRAFT]]/7</f>
        <v>2.5714285714285716</v>
      </c>
      <c r="W48" s="429" t="s">
        <v>440</v>
      </c>
      <c r="X48" s="432">
        <v>13.5</v>
      </c>
      <c r="Y48" s="553"/>
      <c r="Z48" s="429" t="s">
        <v>160</v>
      </c>
      <c r="AA48" s="432">
        <v>12.5</v>
      </c>
      <c r="AB48" s="553"/>
      <c r="AC48" s="429" t="s">
        <v>3586</v>
      </c>
      <c r="AD48" s="432">
        <v>8.25</v>
      </c>
      <c r="AE48" s="553"/>
      <c r="AL48" s="53"/>
      <c r="AM48" s="53"/>
      <c r="AN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429" t="s">
        <v>5373</v>
      </c>
      <c r="BE48" s="432">
        <v>10.75</v>
      </c>
      <c r="BF48" s="588"/>
      <c r="BG48" s="429" t="s">
        <v>4760</v>
      </c>
      <c r="BH48" s="432">
        <v>9.75</v>
      </c>
      <c r="BI48" s="553"/>
      <c r="BS48" s="427" t="s">
        <v>44</v>
      </c>
      <c r="BT48" s="425">
        <v>5</v>
      </c>
      <c r="BU48" s="594"/>
      <c r="BV48" s="238" t="s">
        <v>149</v>
      </c>
      <c r="BW48" s="437">
        <v>16.5</v>
      </c>
      <c r="BX48" s="591"/>
      <c r="BY48" s="427" t="s">
        <v>185</v>
      </c>
      <c r="BZ48" s="425">
        <v>18.75</v>
      </c>
      <c r="CA48" s="573"/>
      <c r="CB48" s="427" t="s">
        <v>5380</v>
      </c>
      <c r="CC48" s="425">
        <v>32.75</v>
      </c>
      <c r="CD48" s="573"/>
      <c r="CF48" s="47"/>
      <c r="CG48" s="47"/>
      <c r="CH48" s="47"/>
      <c r="CI48" s="47"/>
      <c r="CJ48" s="47"/>
      <c r="CK48" s="47"/>
      <c r="CL48" s="47"/>
    </row>
    <row r="49" spans="8:90" x14ac:dyDescent="0.25">
      <c r="H49" t="str">
        <f>_xlfn.CONCAT(Table3234[[#This Row],[HUB ]],"/",Table3234[[#This Row],[DEST]])</f>
        <v>BOM/HAK</v>
      </c>
      <c r="I49" t="s">
        <v>406</v>
      </c>
      <c r="J49" s="460" t="s">
        <v>290</v>
      </c>
      <c r="K49" s="16">
        <v>18</v>
      </c>
      <c r="L49">
        <f>Table3234[[#This Row],[AICRAFT]]/7</f>
        <v>2.5714285714285716</v>
      </c>
      <c r="W49" s="429" t="s">
        <v>4924</v>
      </c>
      <c r="X49" s="432">
        <v>13.5</v>
      </c>
      <c r="Y49" s="553"/>
      <c r="Z49" s="429" t="s">
        <v>107</v>
      </c>
      <c r="AA49" s="432">
        <v>12.5</v>
      </c>
      <c r="AB49" s="553"/>
      <c r="AC49" s="429" t="s">
        <v>58</v>
      </c>
      <c r="AD49" s="432">
        <v>8.25</v>
      </c>
      <c r="AE49" s="553"/>
      <c r="AL49" s="53"/>
      <c r="AM49" s="53"/>
      <c r="AN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429" t="s">
        <v>5639</v>
      </c>
      <c r="BE49" s="432">
        <v>10</v>
      </c>
      <c r="BF49" s="588"/>
      <c r="BG49" s="429" t="s">
        <v>4611</v>
      </c>
      <c r="BH49" s="432">
        <v>9.5</v>
      </c>
      <c r="BI49" s="553"/>
      <c r="BS49" s="427" t="s">
        <v>378</v>
      </c>
      <c r="BT49" s="425">
        <v>5.75</v>
      </c>
      <c r="BU49" s="594"/>
      <c r="BV49" s="238" t="s">
        <v>249</v>
      </c>
      <c r="BW49" s="437">
        <v>16.25</v>
      </c>
      <c r="BX49" s="591"/>
      <c r="BY49" s="427" t="s">
        <v>182</v>
      </c>
      <c r="BZ49" s="425">
        <v>18.5</v>
      </c>
      <c r="CA49" s="573"/>
      <c r="CB49" s="427" t="s">
        <v>376</v>
      </c>
      <c r="CC49" s="425">
        <v>17.5</v>
      </c>
      <c r="CD49" s="573"/>
      <c r="CF49" s="47"/>
      <c r="CG49" s="47"/>
      <c r="CH49" s="47"/>
      <c r="CI49" s="47"/>
      <c r="CJ49" s="47"/>
      <c r="CK49" s="47"/>
      <c r="CL49" s="47"/>
    </row>
    <row r="50" spans="8:90" ht="15.75" thickBot="1" x14ac:dyDescent="0.3">
      <c r="H50" t="str">
        <f>_xlfn.CONCAT(Table3234[[#This Row],[HUB ]],"/",Table3234[[#This Row],[DEST]])</f>
        <v>BOM/HRG</v>
      </c>
      <c r="I50" t="s">
        <v>406</v>
      </c>
      <c r="J50" s="460" t="s">
        <v>5471</v>
      </c>
      <c r="K50" s="16">
        <v>18</v>
      </c>
      <c r="L50">
        <f>Table3234[[#This Row],[AICRAFT]]/7</f>
        <v>2.5714285714285716</v>
      </c>
      <c r="W50" s="429" t="s">
        <v>3025</v>
      </c>
      <c r="X50" s="432">
        <v>13.5</v>
      </c>
      <c r="Y50" s="553"/>
      <c r="Z50" s="429" t="s">
        <v>4072</v>
      </c>
      <c r="AA50" s="432">
        <v>12.5</v>
      </c>
      <c r="AB50" s="553"/>
      <c r="AC50" s="429" t="s">
        <v>2884</v>
      </c>
      <c r="AD50" s="432">
        <v>7.5</v>
      </c>
      <c r="AE50" s="553"/>
      <c r="AL50" s="53"/>
      <c r="AM50" s="53"/>
      <c r="AN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430" t="s">
        <v>154</v>
      </c>
      <c r="BE50" s="433">
        <v>3.75</v>
      </c>
      <c r="BF50" s="589"/>
      <c r="BG50" s="429" t="s">
        <v>454</v>
      </c>
      <c r="BH50" s="432">
        <v>9.25</v>
      </c>
      <c r="BI50" s="553"/>
      <c r="BS50" s="427" t="s">
        <v>419</v>
      </c>
      <c r="BT50" s="425">
        <v>4.75</v>
      </c>
      <c r="BU50" s="594"/>
      <c r="BV50" s="238" t="s">
        <v>219</v>
      </c>
      <c r="BW50" s="437">
        <v>16.25</v>
      </c>
      <c r="BX50" s="591"/>
      <c r="BY50" s="427" t="s">
        <v>126</v>
      </c>
      <c r="BZ50" s="425">
        <v>18.25</v>
      </c>
      <c r="CA50" s="573"/>
      <c r="CB50" s="428" t="s">
        <v>5631</v>
      </c>
      <c r="CC50" s="426">
        <v>16</v>
      </c>
      <c r="CD50" s="574"/>
      <c r="CF50" s="47"/>
      <c r="CG50" s="47"/>
      <c r="CH50" s="47"/>
      <c r="CI50" s="47"/>
      <c r="CJ50" s="47"/>
      <c r="CK50" s="47"/>
      <c r="CL50" s="47"/>
    </row>
    <row r="51" spans="8:90" x14ac:dyDescent="0.25">
      <c r="H51" t="str">
        <f>_xlfn.CONCAT(Table3234[[#This Row],[HUB ]],"/",Table3234[[#This Row],[DEST]])</f>
        <v>BOM/INC</v>
      </c>
      <c r="I51" t="s">
        <v>406</v>
      </c>
      <c r="J51" s="460" t="s">
        <v>5043</v>
      </c>
      <c r="K51" s="16">
        <v>18</v>
      </c>
      <c r="L51">
        <f>Table3234[[#This Row],[AICRAFT]]/7</f>
        <v>2.5714285714285716</v>
      </c>
      <c r="W51" s="429" t="s">
        <v>3046</v>
      </c>
      <c r="X51" s="432">
        <v>12.5</v>
      </c>
      <c r="Y51" s="553"/>
      <c r="Z51" s="429" t="s">
        <v>2868</v>
      </c>
      <c r="AA51" s="432">
        <v>12.25</v>
      </c>
      <c r="AB51" s="553"/>
      <c r="AC51" s="429" t="s">
        <v>5636</v>
      </c>
      <c r="AD51" s="432">
        <v>7.25</v>
      </c>
      <c r="AE51" s="553"/>
      <c r="AL51" s="53"/>
      <c r="AM51" s="53"/>
      <c r="AN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429" t="s">
        <v>4160</v>
      </c>
      <c r="BH51" s="432">
        <v>9</v>
      </c>
      <c r="BI51" s="553"/>
      <c r="BS51" s="427" t="s">
        <v>347</v>
      </c>
      <c r="BT51" s="425">
        <v>9.5</v>
      </c>
      <c r="BU51" s="594"/>
      <c r="BV51" s="238" t="s">
        <v>157</v>
      </c>
      <c r="BW51" s="437">
        <v>16</v>
      </c>
      <c r="BX51" s="591"/>
      <c r="BY51" s="427" t="s">
        <v>324</v>
      </c>
      <c r="BZ51" s="425">
        <v>17</v>
      </c>
      <c r="CA51" s="573"/>
      <c r="CB51" s="435" t="s">
        <v>5768</v>
      </c>
      <c r="CC51" s="424">
        <v>32.5</v>
      </c>
      <c r="CD51" s="572" t="s">
        <v>12663</v>
      </c>
      <c r="CF51" s="47"/>
      <c r="CG51" s="47"/>
      <c r="CH51" s="47"/>
      <c r="CI51" s="47"/>
      <c r="CJ51" s="47"/>
      <c r="CK51" s="47"/>
      <c r="CL51" s="47"/>
    </row>
    <row r="52" spans="8:90" ht="15.75" thickBot="1" x14ac:dyDescent="0.3">
      <c r="H52" t="str">
        <f>_xlfn.CONCAT(Table3234[[#This Row],[HUB ]],"/",Table3234[[#This Row],[DEST]])</f>
        <v>BOM/JED</v>
      </c>
      <c r="I52" t="s">
        <v>406</v>
      </c>
      <c r="J52" s="460" t="s">
        <v>5639</v>
      </c>
      <c r="K52" s="16">
        <v>18</v>
      </c>
      <c r="L52">
        <f>Table3234[[#This Row],[AICRAFT]]/7</f>
        <v>2.5714285714285716</v>
      </c>
      <c r="W52" s="430" t="s">
        <v>8728</v>
      </c>
      <c r="X52" s="433">
        <v>7</v>
      </c>
      <c r="Y52" s="554"/>
      <c r="Z52" s="429" t="s">
        <v>4750</v>
      </c>
      <c r="AA52" s="432">
        <v>12.25</v>
      </c>
      <c r="AB52" s="553"/>
      <c r="AC52" s="429" t="s">
        <v>244</v>
      </c>
      <c r="AD52" s="432">
        <v>6</v>
      </c>
      <c r="AE52" s="553"/>
      <c r="AL52" s="53"/>
      <c r="AM52" s="53"/>
      <c r="AN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429" t="s">
        <v>34</v>
      </c>
      <c r="BH52" s="432">
        <v>9</v>
      </c>
      <c r="BI52" s="553"/>
      <c r="BS52" s="427" t="s">
        <v>355</v>
      </c>
      <c r="BT52" s="425">
        <v>4.5</v>
      </c>
      <c r="BU52" s="594"/>
      <c r="BV52" s="238" t="s">
        <v>309</v>
      </c>
      <c r="BW52" s="437">
        <v>15.75</v>
      </c>
      <c r="BX52" s="591"/>
      <c r="BY52" s="428" t="s">
        <v>252</v>
      </c>
      <c r="BZ52" s="426">
        <v>12.75</v>
      </c>
      <c r="CA52" s="574"/>
      <c r="CB52" s="427" t="s">
        <v>4052</v>
      </c>
      <c r="CC52" s="425">
        <v>32</v>
      </c>
      <c r="CD52" s="573"/>
      <c r="CF52" s="47"/>
      <c r="CG52" s="47"/>
      <c r="CH52" s="47"/>
      <c r="CI52" s="47"/>
      <c r="CJ52" s="47"/>
      <c r="CK52" s="47"/>
      <c r="CL52" s="47"/>
    </row>
    <row r="53" spans="8:90" ht="15.75" thickBot="1" x14ac:dyDescent="0.3">
      <c r="H53" t="str">
        <f>_xlfn.CONCAT(Table3234[[#This Row],[HUB ]],"/",Table3234[[#This Row],[DEST]])</f>
        <v>BOM/KWL</v>
      </c>
      <c r="I53" t="s">
        <v>406</v>
      </c>
      <c r="J53" s="460" t="s">
        <v>5373</v>
      </c>
      <c r="K53" s="16">
        <v>18</v>
      </c>
      <c r="L53">
        <f>Table3234[[#This Row],[AICRAFT]]/7</f>
        <v>2.5714285714285716</v>
      </c>
      <c r="Z53" s="429" t="s">
        <v>3699</v>
      </c>
      <c r="AA53" s="432">
        <v>12</v>
      </c>
      <c r="AB53" s="553"/>
      <c r="AC53" s="430" t="s">
        <v>24</v>
      </c>
      <c r="AD53" s="433">
        <v>4.5</v>
      </c>
      <c r="AE53" s="554"/>
      <c r="AL53" s="53"/>
      <c r="AM53" s="53"/>
      <c r="AN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429" t="s">
        <v>4964</v>
      </c>
      <c r="BH53" s="432">
        <v>8.25</v>
      </c>
      <c r="BI53" s="553"/>
      <c r="BS53" s="427" t="s">
        <v>187</v>
      </c>
      <c r="BT53" s="425">
        <v>4.5</v>
      </c>
      <c r="BU53" s="594"/>
      <c r="BV53" s="238" t="s">
        <v>371</v>
      </c>
      <c r="BW53" s="437">
        <v>8.5</v>
      </c>
      <c r="BX53" s="591"/>
      <c r="BY53" s="435" t="s">
        <v>446</v>
      </c>
      <c r="BZ53" s="424">
        <v>17.25</v>
      </c>
      <c r="CA53" s="572" t="s">
        <v>12663</v>
      </c>
      <c r="CB53" s="427" t="s">
        <v>5485</v>
      </c>
      <c r="CC53" s="425">
        <v>32</v>
      </c>
      <c r="CD53" s="573"/>
      <c r="CF53" s="47"/>
      <c r="CG53" s="47"/>
      <c r="CH53" s="47"/>
      <c r="CI53" s="47"/>
      <c r="CJ53" s="47"/>
      <c r="CK53" s="47"/>
      <c r="CL53" s="47"/>
    </row>
    <row r="54" spans="8:90" ht="15.75" thickBot="1" x14ac:dyDescent="0.3">
      <c r="H54" t="str">
        <f>_xlfn.CONCAT(Table3234[[#This Row],[HUB ]],"/",Table3234[[#This Row],[DEST]])</f>
        <v>BOM/ACC</v>
      </c>
      <c r="I54" t="s">
        <v>406</v>
      </c>
      <c r="J54" t="s">
        <v>4631</v>
      </c>
      <c r="K54" s="16">
        <v>21</v>
      </c>
      <c r="L54">
        <f>Table3234[[#This Row],[AICRAFT]]/7</f>
        <v>3</v>
      </c>
      <c r="Z54" s="429" t="s">
        <v>2618</v>
      </c>
      <c r="AA54" s="432">
        <v>11.25</v>
      </c>
      <c r="AB54" s="553"/>
      <c r="AC54" s="434" t="s">
        <v>4064</v>
      </c>
      <c r="AD54" s="431">
        <v>10.5</v>
      </c>
      <c r="AE54" s="552" t="s">
        <v>19826</v>
      </c>
      <c r="AL54" s="53"/>
      <c r="AM54" s="53"/>
      <c r="AN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429" t="s">
        <v>5283</v>
      </c>
      <c r="BH54" s="432">
        <v>8.25</v>
      </c>
      <c r="BI54" s="553"/>
      <c r="BS54" s="427" t="s">
        <v>333</v>
      </c>
      <c r="BT54" s="425">
        <v>8.75</v>
      </c>
      <c r="BU54" s="594"/>
      <c r="BV54" s="239" t="s">
        <v>357</v>
      </c>
      <c r="BW54" s="438">
        <v>8.25</v>
      </c>
      <c r="BX54" s="592"/>
      <c r="BY54" s="427" t="s">
        <v>430</v>
      </c>
      <c r="BZ54" s="425">
        <v>17.75</v>
      </c>
      <c r="CA54" s="573"/>
      <c r="CB54" s="427" t="s">
        <v>5762</v>
      </c>
      <c r="CC54" s="425">
        <v>30.75</v>
      </c>
      <c r="CD54" s="573"/>
      <c r="CF54" s="47"/>
      <c r="CG54" s="47"/>
      <c r="CH54" s="47"/>
      <c r="CI54" s="47"/>
      <c r="CJ54" s="47"/>
      <c r="CK54" s="47"/>
      <c r="CL54" s="47"/>
    </row>
    <row r="55" spans="8:90" x14ac:dyDescent="0.25">
      <c r="H55" t="str">
        <f>_xlfn.CONCAT(Table3234[[#This Row],[HUB ]],"/",Table3234[[#This Row],[DEST]])</f>
        <v>BOM/ALG</v>
      </c>
      <c r="I55" t="s">
        <v>406</v>
      </c>
      <c r="J55" t="s">
        <v>450</v>
      </c>
      <c r="K55" s="16">
        <v>21</v>
      </c>
      <c r="L55">
        <f>Table3234[[#This Row],[AICRAFT]]/7</f>
        <v>3</v>
      </c>
      <c r="Z55" s="429" t="s">
        <v>4070</v>
      </c>
      <c r="AA55" s="432">
        <v>11.25</v>
      </c>
      <c r="AB55" s="553"/>
      <c r="AC55" s="429" t="s">
        <v>412</v>
      </c>
      <c r="AD55" s="432">
        <v>10.5</v>
      </c>
      <c r="AE55" s="553"/>
      <c r="AL55" s="53"/>
      <c r="AM55" s="53"/>
      <c r="AN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429" t="s">
        <v>4935</v>
      </c>
      <c r="BH55" s="432">
        <v>7.75</v>
      </c>
      <c r="BI55" s="553"/>
      <c r="BS55" s="427" t="s">
        <v>5661</v>
      </c>
      <c r="BT55" s="425">
        <v>15.25</v>
      </c>
      <c r="BU55" s="594"/>
      <c r="BV55" s="435" t="s">
        <v>435</v>
      </c>
      <c r="BW55" s="424">
        <v>6.5</v>
      </c>
      <c r="BX55" s="590" t="s">
        <v>12664</v>
      </c>
      <c r="BY55" s="427" t="s">
        <v>402</v>
      </c>
      <c r="BZ55" s="425">
        <v>17.25</v>
      </c>
      <c r="CA55" s="573"/>
      <c r="CB55" s="427" t="s">
        <v>5737</v>
      </c>
      <c r="CC55" s="425">
        <v>32</v>
      </c>
      <c r="CD55" s="573"/>
      <c r="CF55" s="47"/>
      <c r="CG55" s="47"/>
      <c r="CH55" s="47"/>
      <c r="CI55" s="47"/>
      <c r="CJ55" s="47"/>
      <c r="CK55" s="47"/>
      <c r="CL55" s="47"/>
    </row>
    <row r="56" spans="8:90" ht="15.75" thickBot="1" x14ac:dyDescent="0.3">
      <c r="H56" t="str">
        <f>_xlfn.CONCAT(Table3234[[#This Row],[HUB ]],"/",Table3234[[#This Row],[DEST]])</f>
        <v>BOM/AUH</v>
      </c>
      <c r="I56" t="s">
        <v>406</v>
      </c>
      <c r="J56" t="s">
        <v>435</v>
      </c>
      <c r="K56" s="16">
        <v>21</v>
      </c>
      <c r="L56">
        <f>Table3234[[#This Row],[AICRAFT]]/7</f>
        <v>3</v>
      </c>
      <c r="Z56" s="429" t="s">
        <v>2713</v>
      </c>
      <c r="AA56" s="432">
        <v>11</v>
      </c>
      <c r="AB56" s="553"/>
      <c r="AC56" s="429" t="s">
        <v>4245</v>
      </c>
      <c r="AD56" s="432">
        <v>10.5</v>
      </c>
      <c r="AE56" s="553"/>
      <c r="AL56" s="53"/>
      <c r="AM56" s="53"/>
      <c r="AN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430" t="s">
        <v>3628</v>
      </c>
      <c r="BH56" s="433">
        <v>5.25</v>
      </c>
      <c r="BI56" s="554"/>
      <c r="BS56" s="427" t="s">
        <v>198</v>
      </c>
      <c r="BT56" s="425">
        <v>5.25</v>
      </c>
      <c r="BU56" s="594"/>
      <c r="BV56" s="427" t="s">
        <v>415</v>
      </c>
      <c r="BW56" s="425">
        <v>8.75</v>
      </c>
      <c r="BX56" s="591"/>
      <c r="BY56" s="427" t="s">
        <v>5658</v>
      </c>
      <c r="BZ56" s="425">
        <v>16.25</v>
      </c>
      <c r="CA56" s="573"/>
      <c r="CB56" s="428" t="s">
        <v>32</v>
      </c>
      <c r="CC56" s="426">
        <v>8.75</v>
      </c>
      <c r="CD56" s="574"/>
      <c r="CF56" s="47"/>
      <c r="CG56" s="47"/>
      <c r="CH56" s="47"/>
      <c r="CI56" s="47"/>
      <c r="CJ56" s="47"/>
      <c r="CK56" s="47"/>
      <c r="CL56" s="47"/>
    </row>
    <row r="57" spans="8:90" x14ac:dyDescent="0.25">
      <c r="H57" t="str">
        <f>_xlfn.CONCAT(Table3234[[#This Row],[HUB ]],"/",Table3234[[#This Row],[DEST]])</f>
        <v>BOM/BSB</v>
      </c>
      <c r="I57" t="s">
        <v>406</v>
      </c>
      <c r="J57" t="s">
        <v>399</v>
      </c>
      <c r="K57" s="16">
        <v>21</v>
      </c>
      <c r="L57">
        <f>Table3234[[#This Row],[AICRAFT]]/7</f>
        <v>3</v>
      </c>
      <c r="Z57" s="429" t="s">
        <v>2972</v>
      </c>
      <c r="AA57" s="432">
        <v>11</v>
      </c>
      <c r="AB57" s="553"/>
      <c r="AC57" s="429" t="s">
        <v>3358</v>
      </c>
      <c r="AD57" s="432">
        <v>10.5</v>
      </c>
      <c r="AE57" s="553"/>
      <c r="AF57" s="47"/>
      <c r="AG57" s="47"/>
      <c r="AH57" s="47"/>
      <c r="AI57" s="47"/>
      <c r="AJ57" s="47"/>
      <c r="AL57" s="53"/>
      <c r="AM57" s="53"/>
      <c r="AN57" s="53"/>
      <c r="BS57" s="427" t="s">
        <v>44</v>
      </c>
      <c r="BT57" s="425">
        <v>5</v>
      </c>
      <c r="BU57" s="594"/>
      <c r="BV57" s="427" t="s">
        <v>383</v>
      </c>
      <c r="BW57" s="425">
        <v>4.25</v>
      </c>
      <c r="BX57" s="591"/>
      <c r="BY57" s="427" t="s">
        <v>349</v>
      </c>
      <c r="BZ57" s="425">
        <v>17.25</v>
      </c>
      <c r="CA57" s="573"/>
      <c r="CB57" s="435" t="s">
        <v>5768</v>
      </c>
      <c r="CC57" s="424">
        <v>32.5</v>
      </c>
      <c r="CD57" s="572" t="s">
        <v>12663</v>
      </c>
      <c r="CF57" s="47"/>
      <c r="CG57" s="47"/>
      <c r="CH57" s="47"/>
      <c r="CI57" s="47"/>
      <c r="CJ57" s="47"/>
      <c r="CK57" s="47"/>
      <c r="CL57" s="47"/>
    </row>
    <row r="58" spans="8:90" ht="15.75" thickBot="1" x14ac:dyDescent="0.3">
      <c r="H58" t="str">
        <f>_xlfn.CONCAT(Table3234[[#This Row],[HUB ]],"/",Table3234[[#This Row],[DEST]])</f>
        <v>BOM/CAN</v>
      </c>
      <c r="I58" t="s">
        <v>406</v>
      </c>
      <c r="J58" t="s">
        <v>385</v>
      </c>
      <c r="K58" s="16">
        <v>21</v>
      </c>
      <c r="L58">
        <f>Table3234[[#This Row],[AICRAFT]]/7</f>
        <v>3</v>
      </c>
      <c r="Z58" s="430" t="s">
        <v>390</v>
      </c>
      <c r="AA58" s="433">
        <v>10.75</v>
      </c>
      <c r="AB58" s="554"/>
      <c r="AC58" s="429" t="s">
        <v>1963</v>
      </c>
      <c r="AD58" s="432">
        <v>10.5</v>
      </c>
      <c r="AE58" s="553"/>
      <c r="AF58" s="47"/>
      <c r="AG58" s="47"/>
      <c r="AH58" s="47"/>
      <c r="AI58" s="47"/>
      <c r="AJ58" s="47"/>
      <c r="AL58" s="53"/>
      <c r="AM58" s="53"/>
      <c r="AN58" s="53"/>
      <c r="BS58" s="427" t="s">
        <v>93</v>
      </c>
      <c r="BT58" s="425">
        <v>10.75</v>
      </c>
      <c r="BU58" s="594"/>
      <c r="BV58" s="427" t="s">
        <v>378</v>
      </c>
      <c r="BW58" s="425">
        <v>5.75</v>
      </c>
      <c r="BX58" s="591"/>
      <c r="BY58" s="427" t="s">
        <v>200</v>
      </c>
      <c r="BZ58" s="425">
        <v>18</v>
      </c>
      <c r="CA58" s="573"/>
      <c r="CB58" s="427" t="s">
        <v>4052</v>
      </c>
      <c r="CC58" s="425">
        <v>32</v>
      </c>
      <c r="CD58" s="573"/>
      <c r="CF58" s="47"/>
      <c r="CG58" s="47"/>
      <c r="CH58" s="47"/>
      <c r="CI58" s="47"/>
      <c r="CJ58" s="47"/>
      <c r="CK58" s="47"/>
      <c r="CL58" s="47"/>
    </row>
    <row r="59" spans="8:90" x14ac:dyDescent="0.25">
      <c r="H59" t="str">
        <f>_xlfn.CONCAT(Table3234[[#This Row],[HUB ]],"/",Table3234[[#This Row],[DEST]])</f>
        <v>BOM/CCJ</v>
      </c>
      <c r="I59" t="s">
        <v>406</v>
      </c>
      <c r="J59" t="s">
        <v>383</v>
      </c>
      <c r="K59" s="16">
        <v>21</v>
      </c>
      <c r="L59">
        <f>Table3234[[#This Row],[AICRAFT]]/7</f>
        <v>3</v>
      </c>
      <c r="AC59" s="429" t="s">
        <v>1656</v>
      </c>
      <c r="AD59" s="432">
        <v>10.25</v>
      </c>
      <c r="AE59" s="553"/>
      <c r="AF59" s="47"/>
      <c r="AG59" s="47"/>
      <c r="AH59" s="47"/>
      <c r="AI59" s="47"/>
      <c r="AJ59" s="47"/>
      <c r="AL59" s="53"/>
      <c r="AM59" s="53"/>
      <c r="AN59" s="53"/>
      <c r="BS59" s="427" t="s">
        <v>419</v>
      </c>
      <c r="BT59" s="425">
        <v>4.75</v>
      </c>
      <c r="BU59" s="594"/>
      <c r="BV59" s="427" t="s">
        <v>347</v>
      </c>
      <c r="BW59" s="425">
        <v>9.5</v>
      </c>
      <c r="BX59" s="591"/>
      <c r="BY59" s="427" t="s">
        <v>195</v>
      </c>
      <c r="BZ59" s="425">
        <v>18</v>
      </c>
      <c r="CA59" s="573"/>
      <c r="CB59" s="427" t="s">
        <v>5485</v>
      </c>
      <c r="CC59" s="425">
        <v>32</v>
      </c>
      <c r="CD59" s="573"/>
      <c r="CF59" s="47"/>
      <c r="CG59" s="47"/>
      <c r="CH59" s="47"/>
      <c r="CI59" s="47"/>
      <c r="CJ59" s="47"/>
      <c r="CK59" s="47"/>
      <c r="CL59" s="47"/>
    </row>
    <row r="60" spans="8:90" x14ac:dyDescent="0.25">
      <c r="H60" t="str">
        <f>_xlfn.CONCAT(Table3234[[#This Row],[HUB ]],"/",Table3234[[#This Row],[DEST]])</f>
        <v>BOM/CKY</v>
      </c>
      <c r="I60" t="s">
        <v>406</v>
      </c>
      <c r="J60" t="s">
        <v>3537</v>
      </c>
      <c r="K60" s="16">
        <v>21</v>
      </c>
      <c r="L60">
        <f>Table3234[[#This Row],[AICRAFT]]/7</f>
        <v>3</v>
      </c>
      <c r="AC60" s="429" t="s">
        <v>1463</v>
      </c>
      <c r="AD60" s="432">
        <v>10.25</v>
      </c>
      <c r="AE60" s="553"/>
      <c r="AF60" s="47"/>
      <c r="AG60" s="47"/>
      <c r="AH60" s="47"/>
      <c r="AI60" s="47"/>
      <c r="AJ60" s="47"/>
      <c r="AL60" s="53"/>
      <c r="AM60" s="53"/>
      <c r="AN60" s="53"/>
      <c r="BS60" s="427" t="s">
        <v>187</v>
      </c>
      <c r="BT60" s="425">
        <v>4.5</v>
      </c>
      <c r="BU60" s="594"/>
      <c r="BV60" s="427" t="s">
        <v>333</v>
      </c>
      <c r="BW60" s="425">
        <v>8.75</v>
      </c>
      <c r="BX60" s="591"/>
      <c r="BY60" s="427" t="s">
        <v>120</v>
      </c>
      <c r="BZ60" s="425">
        <v>17.5</v>
      </c>
      <c r="CA60" s="573"/>
      <c r="CB60" s="427" t="s">
        <v>5737</v>
      </c>
      <c r="CC60" s="425">
        <v>32</v>
      </c>
      <c r="CD60" s="573"/>
      <c r="CF60" s="47"/>
      <c r="CG60" s="47"/>
      <c r="CH60" s="47"/>
      <c r="CI60" s="47"/>
      <c r="CJ60" s="47"/>
      <c r="CK60" s="47"/>
      <c r="CL60" s="47"/>
    </row>
    <row r="61" spans="8:90" x14ac:dyDescent="0.25">
      <c r="H61" t="str">
        <f>_xlfn.CONCAT(Table3234[[#This Row],[HUB ]],"/",Table3234[[#This Row],[DEST]])</f>
        <v>BOM/CPT</v>
      </c>
      <c r="I61" t="s">
        <v>406</v>
      </c>
      <c r="J61" t="s">
        <v>353</v>
      </c>
      <c r="K61" s="16">
        <v>21</v>
      </c>
      <c r="L61">
        <f>Table3234[[#This Row],[AICRAFT]]/7</f>
        <v>3</v>
      </c>
      <c r="W61" s="47"/>
      <c r="X61" s="47"/>
      <c r="Y61" s="47"/>
      <c r="AC61" s="429" t="s">
        <v>4494</v>
      </c>
      <c r="AD61" s="432">
        <v>10</v>
      </c>
      <c r="AE61" s="553"/>
      <c r="AF61" s="47"/>
      <c r="AG61" s="47"/>
      <c r="AH61" s="47"/>
      <c r="AI61" s="47"/>
      <c r="AJ61" s="47"/>
      <c r="AL61" s="53"/>
      <c r="AM61" s="53"/>
      <c r="AN61" s="53"/>
      <c r="BS61" s="427" t="s">
        <v>304</v>
      </c>
      <c r="BT61" s="425">
        <v>6.75</v>
      </c>
      <c r="BU61" s="594"/>
      <c r="BV61" s="427" t="s">
        <v>319</v>
      </c>
      <c r="BW61" s="425">
        <v>6.5</v>
      </c>
      <c r="BX61" s="591"/>
      <c r="BY61" s="427" t="s">
        <v>93</v>
      </c>
      <c r="BZ61" s="425">
        <v>10.75</v>
      </c>
      <c r="CA61" s="573"/>
      <c r="CB61" s="427" t="s">
        <v>5762</v>
      </c>
      <c r="CC61" s="425">
        <v>30.75</v>
      </c>
      <c r="CD61" s="573"/>
      <c r="CF61" s="47"/>
      <c r="CG61" s="47"/>
      <c r="CH61" s="47"/>
      <c r="CI61" s="47"/>
      <c r="CJ61" s="47"/>
      <c r="CK61" s="47"/>
      <c r="CL61" s="47"/>
    </row>
    <row r="62" spans="8:90" ht="15.75" thickBot="1" x14ac:dyDescent="0.3">
      <c r="H62" t="str">
        <f>_xlfn.CONCAT(Table3234[[#This Row],[HUB ]],"/",Table3234[[#This Row],[DEST]])</f>
        <v>BOM/DEL</v>
      </c>
      <c r="I62" t="s">
        <v>406</v>
      </c>
      <c r="J62" t="s">
        <v>339</v>
      </c>
      <c r="K62" s="16">
        <v>21</v>
      </c>
      <c r="L62">
        <f>Table3234[[#This Row],[AICRAFT]]/7</f>
        <v>3</v>
      </c>
      <c r="W62" s="47"/>
      <c r="X62" s="47"/>
      <c r="Y62" s="47"/>
      <c r="AC62" s="429" t="s">
        <v>3189</v>
      </c>
      <c r="AD62" s="432">
        <v>9</v>
      </c>
      <c r="AE62" s="553"/>
      <c r="AF62" s="47"/>
      <c r="AG62" s="47"/>
      <c r="AH62" s="47"/>
      <c r="AI62" s="47"/>
      <c r="AJ62" s="47"/>
      <c r="AL62" s="53"/>
      <c r="AM62" s="53"/>
      <c r="AN62" s="53"/>
      <c r="BS62" s="427" t="s">
        <v>275</v>
      </c>
      <c r="BT62" s="425">
        <v>8.75</v>
      </c>
      <c r="BU62" s="594"/>
      <c r="BV62" s="427" t="s">
        <v>284</v>
      </c>
      <c r="BW62" s="425">
        <v>9.25</v>
      </c>
      <c r="BX62" s="591"/>
      <c r="BY62" s="428" t="s">
        <v>84</v>
      </c>
      <c r="BZ62" s="426">
        <v>18</v>
      </c>
      <c r="CA62" s="574"/>
      <c r="CB62" s="428" t="s">
        <v>32</v>
      </c>
      <c r="CC62" s="426">
        <v>8.75</v>
      </c>
      <c r="CD62" s="574"/>
      <c r="CF62" s="47"/>
      <c r="CG62" s="47"/>
      <c r="CH62" s="47"/>
      <c r="CI62" s="47"/>
      <c r="CJ62" s="47"/>
      <c r="CK62" s="47"/>
      <c r="CL62" s="47"/>
    </row>
    <row r="63" spans="8:90" x14ac:dyDescent="0.25">
      <c r="H63" t="str">
        <f>_xlfn.CONCAT(Table3234[[#This Row],[HUB ]],"/",Table3234[[#This Row],[DEST]])</f>
        <v>BOM/DUR</v>
      </c>
      <c r="I63" t="s">
        <v>406</v>
      </c>
      <c r="J63" t="s">
        <v>326</v>
      </c>
      <c r="K63" s="16">
        <v>21</v>
      </c>
      <c r="L63">
        <f>Table3234[[#This Row],[AICRAFT]]/7</f>
        <v>3</v>
      </c>
      <c r="W63" s="47"/>
      <c r="X63" s="47"/>
      <c r="Y63" s="47"/>
      <c r="AC63" s="429" t="s">
        <v>3842</v>
      </c>
      <c r="AD63" s="432">
        <v>9</v>
      </c>
      <c r="AE63" s="553"/>
      <c r="AF63" s="47"/>
      <c r="AG63" s="47"/>
      <c r="AH63" s="47"/>
      <c r="AI63" s="47"/>
      <c r="AJ63" s="47"/>
      <c r="AL63" s="53"/>
      <c r="AM63" s="53"/>
      <c r="AN63" s="53"/>
      <c r="BS63" s="427" t="s">
        <v>272</v>
      </c>
      <c r="BT63" s="425">
        <v>12.5</v>
      </c>
      <c r="BU63" s="594"/>
      <c r="BV63" s="427" t="s">
        <v>275</v>
      </c>
      <c r="BW63" s="425">
        <v>8.75</v>
      </c>
      <c r="BX63" s="591"/>
      <c r="BY63" s="435" t="s">
        <v>200</v>
      </c>
      <c r="BZ63" s="424">
        <v>18</v>
      </c>
      <c r="CA63" s="572" t="s">
        <v>12663</v>
      </c>
      <c r="CB63" s="435" t="s">
        <v>5682</v>
      </c>
      <c r="CC63" s="424">
        <v>30.5</v>
      </c>
      <c r="CD63" s="572" t="s">
        <v>12663</v>
      </c>
      <c r="CF63" s="47"/>
      <c r="CG63" s="47"/>
      <c r="CH63" s="47"/>
      <c r="CI63" s="47"/>
      <c r="CJ63" s="47"/>
      <c r="CK63" s="47"/>
      <c r="CL63" s="47"/>
    </row>
    <row r="64" spans="8:90" x14ac:dyDescent="0.25">
      <c r="H64" t="str">
        <f>_xlfn.CONCAT(Table3234[[#This Row],[HUB ]],"/",Table3234[[#This Row],[DEST]])</f>
        <v>BOM/DXB</v>
      </c>
      <c r="I64" t="s">
        <v>406</v>
      </c>
      <c r="J64" t="s">
        <v>319</v>
      </c>
      <c r="K64" s="16">
        <v>21</v>
      </c>
      <c r="L64">
        <f>Table3234[[#This Row],[AICRAFT]]/7</f>
        <v>3</v>
      </c>
      <c r="W64" s="47"/>
      <c r="X64" s="47"/>
      <c r="Y64" s="47"/>
      <c r="Z64" s="47"/>
      <c r="AA64" s="47"/>
      <c r="AB64" s="47"/>
      <c r="AC64" s="429" t="s">
        <v>3435</v>
      </c>
      <c r="AD64" s="432">
        <v>8.5</v>
      </c>
      <c r="AE64" s="553"/>
      <c r="AF64" s="47"/>
      <c r="AG64" s="47"/>
      <c r="AH64" s="47"/>
      <c r="AI64" s="47"/>
      <c r="AJ64" s="47"/>
      <c r="AL64" s="53"/>
      <c r="AM64" s="53"/>
      <c r="AN64" s="53"/>
      <c r="BS64" s="427" t="s">
        <v>254</v>
      </c>
      <c r="BT64" s="425">
        <v>5.75</v>
      </c>
      <c r="BU64" s="594"/>
      <c r="BV64" s="427" t="s">
        <v>254</v>
      </c>
      <c r="BW64" s="425">
        <v>5.75</v>
      </c>
      <c r="BX64" s="591"/>
      <c r="BY64" s="427" t="s">
        <v>195</v>
      </c>
      <c r="BZ64" s="425">
        <v>18</v>
      </c>
      <c r="CA64" s="573"/>
      <c r="CB64" s="427" t="s">
        <v>5611</v>
      </c>
      <c r="CC64" s="425">
        <v>31.75</v>
      </c>
      <c r="CD64" s="573"/>
      <c r="CF64" s="47"/>
      <c r="CG64" s="47"/>
      <c r="CH64" s="47"/>
      <c r="CI64" s="47"/>
      <c r="CJ64" s="47"/>
      <c r="CK64" s="47"/>
      <c r="CL64" s="47"/>
    </row>
    <row r="65" spans="8:90" x14ac:dyDescent="0.25">
      <c r="H65" t="str">
        <f>_xlfn.CONCAT(Table3234[[#This Row],[HUB ]],"/",Table3234[[#This Row],[DEST]])</f>
        <v>BOM/GRU</v>
      </c>
      <c r="I65" t="s">
        <v>406</v>
      </c>
      <c r="J65" t="s">
        <v>298</v>
      </c>
      <c r="K65" s="16">
        <v>21</v>
      </c>
      <c r="L65">
        <f>Table3234[[#This Row],[AICRAFT]]/7</f>
        <v>3</v>
      </c>
      <c r="W65" s="47"/>
      <c r="X65" s="47"/>
      <c r="Y65" s="47"/>
      <c r="Z65" s="47"/>
      <c r="AA65" s="47"/>
      <c r="AB65" s="47"/>
      <c r="AC65" s="429" t="s">
        <v>1882</v>
      </c>
      <c r="AD65" s="432">
        <v>8.5</v>
      </c>
      <c r="AE65" s="553"/>
      <c r="AF65" s="47"/>
      <c r="AG65" s="47"/>
      <c r="AH65" s="47"/>
      <c r="AI65" s="47"/>
      <c r="AJ65" s="47"/>
      <c r="AL65" s="53"/>
      <c r="AM65" s="53"/>
      <c r="AN65" s="53"/>
      <c r="BS65" s="422" t="s">
        <v>240</v>
      </c>
      <c r="BT65" s="423">
        <v>4.25</v>
      </c>
      <c r="BU65" s="594"/>
      <c r="BV65" s="427" t="s">
        <v>248</v>
      </c>
      <c r="BW65" s="425">
        <v>6</v>
      </c>
      <c r="BX65" s="591"/>
      <c r="BY65" s="427" t="s">
        <v>84</v>
      </c>
      <c r="BZ65" s="425">
        <v>18</v>
      </c>
      <c r="CA65" s="573"/>
      <c r="CB65" s="427" t="s">
        <v>5625</v>
      </c>
      <c r="CC65" s="425">
        <v>14.5</v>
      </c>
      <c r="CD65" s="573"/>
      <c r="CF65" s="47"/>
      <c r="CG65" s="47"/>
      <c r="CH65" s="47"/>
      <c r="CI65" s="47"/>
      <c r="CJ65" s="47"/>
      <c r="CK65" s="47"/>
      <c r="CL65" s="47"/>
    </row>
    <row r="66" spans="8:90" ht="15.75" thickBot="1" x14ac:dyDescent="0.3">
      <c r="H66" t="str">
        <f>_xlfn.CONCAT(Table3234[[#This Row],[HUB ]],"/",Table3234[[#This Row],[DEST]])</f>
        <v>BOM/HDY</v>
      </c>
      <c r="I66" t="s">
        <v>406</v>
      </c>
      <c r="J66" t="s">
        <v>284</v>
      </c>
      <c r="K66" s="16">
        <v>21</v>
      </c>
      <c r="L66">
        <f>Table3234[[#This Row],[AICRAFT]]/7</f>
        <v>3</v>
      </c>
      <c r="W66" s="47"/>
      <c r="X66" s="47"/>
      <c r="Y66" s="47"/>
      <c r="Z66" s="47"/>
      <c r="AA66" s="47"/>
      <c r="AB66" s="47"/>
      <c r="AC66" s="429" t="s">
        <v>2496</v>
      </c>
      <c r="AD66" s="432">
        <v>8.25</v>
      </c>
      <c r="AE66" s="553"/>
      <c r="AF66" s="47"/>
      <c r="AG66" s="47"/>
      <c r="AH66" s="47"/>
      <c r="AI66" s="47"/>
      <c r="AJ66" s="47"/>
      <c r="AL66" s="53"/>
      <c r="AM66" s="53"/>
      <c r="AN66" s="53"/>
      <c r="BS66" s="428" t="s">
        <v>5275</v>
      </c>
      <c r="BT66" s="426">
        <v>13</v>
      </c>
      <c r="BU66" s="595"/>
      <c r="BV66" s="427" t="s">
        <v>242</v>
      </c>
      <c r="BW66" s="425">
        <v>7.25</v>
      </c>
      <c r="BX66" s="591"/>
      <c r="BY66" s="427" t="s">
        <v>430</v>
      </c>
      <c r="BZ66" s="425">
        <v>17.75</v>
      </c>
      <c r="CA66" s="573"/>
      <c r="CB66" s="427" t="s">
        <v>261</v>
      </c>
      <c r="CC66" s="425">
        <v>30.5</v>
      </c>
      <c r="CD66" s="573"/>
      <c r="CF66" s="47"/>
      <c r="CG66" s="47"/>
      <c r="CH66" s="47"/>
      <c r="CI66" s="47"/>
      <c r="CJ66" s="47"/>
      <c r="CK66" s="47"/>
      <c r="CL66" s="47"/>
    </row>
    <row r="67" spans="8:90" x14ac:dyDescent="0.25">
      <c r="H67" t="str">
        <f>_xlfn.CONCAT(Table3234[[#This Row],[HUB ]],"/",Table3234[[#This Row],[DEST]])</f>
        <v>BOM/HKG</v>
      </c>
      <c r="I67" t="s">
        <v>406</v>
      </c>
      <c r="J67" t="s">
        <v>277</v>
      </c>
      <c r="K67" s="16">
        <v>21</v>
      </c>
      <c r="L67">
        <f>Table3234[[#This Row],[AICRAFT]]/7</f>
        <v>3</v>
      </c>
      <c r="W67" s="47"/>
      <c r="X67" s="47"/>
      <c r="Y67" s="47"/>
      <c r="Z67" s="47"/>
      <c r="AA67" s="47"/>
      <c r="AB67" s="47"/>
      <c r="AC67" s="429" t="s">
        <v>3586</v>
      </c>
      <c r="AD67" s="432">
        <v>8.25</v>
      </c>
      <c r="AE67" s="553"/>
      <c r="AF67" s="47"/>
      <c r="AG67" s="47"/>
      <c r="AH67" s="47"/>
      <c r="AI67" s="47"/>
      <c r="AJ67" s="47"/>
      <c r="AL67" s="53"/>
      <c r="AM67" s="53"/>
      <c r="AN67" s="53"/>
      <c r="BS67" s="127"/>
      <c r="BT67" s="127"/>
      <c r="BU67" s="127"/>
      <c r="BV67" s="427" t="s">
        <v>229</v>
      </c>
      <c r="BW67" s="425">
        <v>9</v>
      </c>
      <c r="BX67" s="591"/>
      <c r="BY67" s="427" t="s">
        <v>120</v>
      </c>
      <c r="BZ67" s="425">
        <v>17.5</v>
      </c>
      <c r="CA67" s="573"/>
      <c r="CB67" s="427" t="s">
        <v>3553</v>
      </c>
      <c r="CC67" s="425">
        <v>30.5</v>
      </c>
      <c r="CD67" s="573"/>
      <c r="CF67" s="47"/>
      <c r="CG67" s="47"/>
      <c r="CH67" s="47"/>
      <c r="CI67" s="47"/>
      <c r="CJ67" s="47"/>
      <c r="CK67" s="47"/>
      <c r="CL67" s="47"/>
    </row>
    <row r="68" spans="8:90" ht="15.75" thickBot="1" x14ac:dyDescent="0.3">
      <c r="H68" t="str">
        <f>_xlfn.CONCAT(Table3234[[#This Row],[HUB ]],"/",Table3234[[#This Row],[DEST]])</f>
        <v>BOM/IXB</v>
      </c>
      <c r="I68" t="s">
        <v>406</v>
      </c>
      <c r="J68" t="s">
        <v>248</v>
      </c>
      <c r="K68" s="16">
        <v>21</v>
      </c>
      <c r="L68">
        <f>Table3234[[#This Row],[AICRAFT]]/7</f>
        <v>3</v>
      </c>
      <c r="W68" s="47"/>
      <c r="X68" s="47"/>
      <c r="Y68" s="47"/>
      <c r="Z68" s="47"/>
      <c r="AA68" s="47"/>
      <c r="AB68" s="47"/>
      <c r="AC68" s="429" t="s">
        <v>58</v>
      </c>
      <c r="AD68" s="432">
        <v>8.25</v>
      </c>
      <c r="AE68" s="553"/>
      <c r="AF68" s="47"/>
      <c r="AG68" s="47"/>
      <c r="AH68" s="47"/>
      <c r="AI68" s="47"/>
      <c r="AJ68" s="47"/>
      <c r="AL68" s="53"/>
      <c r="AM68" s="53"/>
      <c r="AN68" s="53"/>
      <c r="BS68" s="127"/>
      <c r="BT68" s="127"/>
      <c r="BU68" s="127"/>
      <c r="BV68" s="427" t="s">
        <v>11164</v>
      </c>
      <c r="BW68" s="425">
        <v>12.75</v>
      </c>
      <c r="BX68" s="591"/>
      <c r="BY68" s="427" t="s">
        <v>446</v>
      </c>
      <c r="BZ68" s="425">
        <v>17.25</v>
      </c>
      <c r="CA68" s="573"/>
      <c r="CB68" s="428" t="s">
        <v>5509</v>
      </c>
      <c r="CC68" s="426">
        <v>30.25</v>
      </c>
      <c r="CD68" s="574"/>
      <c r="CF68" s="47"/>
      <c r="CG68" s="47"/>
      <c r="CH68" s="47"/>
      <c r="CI68" s="47"/>
      <c r="CJ68" s="47"/>
      <c r="CK68" s="47"/>
      <c r="CL68" s="47"/>
    </row>
    <row r="69" spans="8:90" x14ac:dyDescent="0.25">
      <c r="H69" t="str">
        <f>_xlfn.CONCAT(Table3234[[#This Row],[HUB ]],"/",Table3234[[#This Row],[DEST]])</f>
        <v>BOM/IXZ</v>
      </c>
      <c r="I69" t="s">
        <v>406</v>
      </c>
      <c r="J69" t="s">
        <v>242</v>
      </c>
      <c r="K69" s="16">
        <v>21</v>
      </c>
      <c r="L69">
        <f>Table3234[[#This Row],[AICRAFT]]/7</f>
        <v>3</v>
      </c>
      <c r="W69" s="47"/>
      <c r="X69" s="47"/>
      <c r="Y69" s="47"/>
      <c r="Z69" s="47"/>
      <c r="AA69" s="47"/>
      <c r="AB69" s="47"/>
      <c r="AC69" s="429" t="s">
        <v>2884</v>
      </c>
      <c r="AD69" s="432">
        <v>7.5</v>
      </c>
      <c r="AE69" s="553"/>
      <c r="AF69" s="47"/>
      <c r="AG69" s="47"/>
      <c r="AH69" s="47"/>
      <c r="AI69" s="47"/>
      <c r="AJ69" s="47"/>
      <c r="AL69" s="53"/>
      <c r="AM69" s="53"/>
      <c r="AN69" s="53"/>
      <c r="BS69" s="127"/>
      <c r="BT69" s="127"/>
      <c r="BU69" s="127"/>
      <c r="BV69" s="427" t="s">
        <v>166</v>
      </c>
      <c r="BW69" s="425">
        <v>13.5</v>
      </c>
      <c r="BX69" s="591"/>
      <c r="BY69" s="427" t="s">
        <v>402</v>
      </c>
      <c r="BZ69" s="425">
        <v>17.25</v>
      </c>
      <c r="CA69" s="573"/>
      <c r="CB69" s="435" t="s">
        <v>5611</v>
      </c>
      <c r="CC69" s="424">
        <v>31.75</v>
      </c>
      <c r="CD69" s="572" t="s">
        <v>12663</v>
      </c>
      <c r="CF69" s="47"/>
      <c r="CG69" s="47"/>
      <c r="CH69" s="47"/>
      <c r="CI69" s="47"/>
      <c r="CJ69" s="47"/>
      <c r="CK69" s="47"/>
      <c r="CL69" s="47"/>
    </row>
    <row r="70" spans="8:90" x14ac:dyDescent="0.25">
      <c r="H70" t="str">
        <f>_xlfn.CONCAT(Table3234[[#This Row],[HUB ]],"/",Table3234[[#This Row],[DEST]])</f>
        <v>BOM/KAD</v>
      </c>
      <c r="I70" t="s">
        <v>406</v>
      </c>
      <c r="J70" t="s">
        <v>2907</v>
      </c>
      <c r="K70" s="16">
        <v>21</v>
      </c>
      <c r="L70">
        <f>Table3234[[#This Row],[AICRAFT]]/7</f>
        <v>3</v>
      </c>
      <c r="W70" s="47"/>
      <c r="X70" s="47"/>
      <c r="Y70" s="47"/>
      <c r="Z70" s="47"/>
      <c r="AA70" s="47"/>
      <c r="AB70" s="47"/>
      <c r="AC70" s="429" t="s">
        <v>5636</v>
      </c>
      <c r="AD70" s="432">
        <v>7.25</v>
      </c>
      <c r="AE70" s="553"/>
      <c r="AF70" s="47"/>
      <c r="AG70" s="47"/>
      <c r="AH70" s="47"/>
      <c r="AI70" s="47"/>
      <c r="AJ70" s="47"/>
      <c r="AL70" s="53"/>
      <c r="AM70" s="53"/>
      <c r="AN70" s="53"/>
      <c r="BS70" s="127"/>
      <c r="BT70" s="127"/>
      <c r="BU70" s="127"/>
      <c r="BV70" s="427" t="s">
        <v>97</v>
      </c>
      <c r="BW70" s="425">
        <v>13.25</v>
      </c>
      <c r="BX70" s="591"/>
      <c r="BY70" s="427" t="s">
        <v>349</v>
      </c>
      <c r="BZ70" s="425">
        <v>17.25</v>
      </c>
      <c r="CA70" s="573"/>
      <c r="CB70" s="427" t="s">
        <v>5682</v>
      </c>
      <c r="CC70" s="425">
        <v>30.5</v>
      </c>
      <c r="CD70" s="573"/>
      <c r="CF70" s="47"/>
      <c r="CG70" s="47"/>
      <c r="CH70" s="47"/>
      <c r="CI70" s="47"/>
      <c r="CJ70" s="47"/>
      <c r="CK70" s="47"/>
      <c r="CL70" s="47"/>
    </row>
    <row r="71" spans="8:90" x14ac:dyDescent="0.25">
      <c r="H71" t="str">
        <f>_xlfn.CONCAT(Table3234[[#This Row],[HUB ]],"/",Table3234[[#This Row],[DEST]])</f>
        <v>BOM/KBV</v>
      </c>
      <c r="I71" t="s">
        <v>406</v>
      </c>
      <c r="J71" t="s">
        <v>229</v>
      </c>
      <c r="K71" s="16">
        <v>21</v>
      </c>
      <c r="L71">
        <f>Table3234[[#This Row],[AICRAFT]]/7</f>
        <v>3</v>
      </c>
      <c r="W71" s="47"/>
      <c r="X71" s="47"/>
      <c r="Y71" s="47"/>
      <c r="Z71" s="47"/>
      <c r="AA71" s="47"/>
      <c r="AB71" s="47"/>
      <c r="AC71" s="429" t="s">
        <v>244</v>
      </c>
      <c r="AD71" s="432">
        <v>6</v>
      </c>
      <c r="AE71" s="553"/>
      <c r="AF71" s="47"/>
      <c r="AG71" s="47"/>
      <c r="AH71" s="47"/>
      <c r="AI71" s="47"/>
      <c r="AJ71" s="47"/>
      <c r="AL71" s="53"/>
      <c r="AM71" s="53"/>
      <c r="AN71" s="53"/>
      <c r="BS71" s="127"/>
      <c r="BT71" s="127"/>
      <c r="BU71" s="127"/>
      <c r="BV71" s="427" t="s">
        <v>74</v>
      </c>
      <c r="BW71" s="425">
        <v>5.75</v>
      </c>
      <c r="BX71" s="591"/>
      <c r="BY71" s="427" t="s">
        <v>5658</v>
      </c>
      <c r="BZ71" s="425">
        <v>16.25</v>
      </c>
      <c r="CA71" s="573"/>
      <c r="CB71" s="427" t="s">
        <v>261</v>
      </c>
      <c r="CC71" s="425">
        <v>30.5</v>
      </c>
      <c r="CD71" s="573"/>
      <c r="CF71" s="47"/>
      <c r="CG71" s="47"/>
      <c r="CH71" s="47"/>
      <c r="CI71" s="47"/>
      <c r="CJ71" s="47"/>
      <c r="CK71" s="47"/>
      <c r="CL71" s="47"/>
    </row>
    <row r="72" spans="8:90" ht="15.75" thickBot="1" x14ac:dyDescent="0.3">
      <c r="H72" t="str">
        <f>_xlfn.CONCAT(Table3234[[#This Row],[HUB ]],"/",Table3234[[#This Row],[DEST]])</f>
        <v>BOM/KJT</v>
      </c>
      <c r="I72" t="s">
        <v>406</v>
      </c>
      <c r="J72" t="s">
        <v>11164</v>
      </c>
      <c r="K72" s="16">
        <v>21</v>
      </c>
      <c r="L72">
        <f>Table3234[[#This Row],[AICRAFT]]/7</f>
        <v>3</v>
      </c>
      <c r="W72" s="47"/>
      <c r="X72" s="47"/>
      <c r="Y72" s="47"/>
      <c r="Z72" s="47"/>
      <c r="AA72" s="47"/>
      <c r="AB72" s="47"/>
      <c r="AC72" s="430" t="s">
        <v>24</v>
      </c>
      <c r="AD72" s="433">
        <v>4.5</v>
      </c>
      <c r="AE72" s="554"/>
      <c r="AF72" s="47"/>
      <c r="AG72" s="47"/>
      <c r="AH72" s="47"/>
      <c r="AI72" s="47"/>
      <c r="AJ72" s="47"/>
      <c r="AL72" s="53"/>
      <c r="AM72" s="53"/>
      <c r="AN72" s="53"/>
      <c r="BS72" s="127"/>
      <c r="BT72" s="127"/>
      <c r="BU72" s="127"/>
      <c r="BV72" s="427" t="s">
        <v>47</v>
      </c>
      <c r="BW72" s="425">
        <v>13.25</v>
      </c>
      <c r="BX72" s="591"/>
      <c r="BY72" s="428" t="s">
        <v>93</v>
      </c>
      <c r="BZ72" s="426">
        <v>10.75</v>
      </c>
      <c r="CA72" s="574"/>
      <c r="CB72" s="427" t="s">
        <v>3553</v>
      </c>
      <c r="CC72" s="425">
        <v>30.5</v>
      </c>
      <c r="CD72" s="573"/>
      <c r="CF72" s="47"/>
      <c r="CG72" s="47"/>
      <c r="CH72" s="47"/>
      <c r="CI72" s="47"/>
      <c r="CJ72" s="47"/>
      <c r="CK72" s="47"/>
      <c r="CL72" s="47"/>
    </row>
    <row r="73" spans="8:90" ht="15.75" thickBot="1" x14ac:dyDescent="0.3">
      <c r="H73" t="str">
        <f>_xlfn.CONCAT(Table3234[[#This Row],[HUB ]],"/",Table3234[[#This Row],[DEST]])</f>
        <v>BOM/KNO</v>
      </c>
      <c r="I73" t="s">
        <v>406</v>
      </c>
      <c r="J73" t="s">
        <v>215</v>
      </c>
      <c r="K73" s="16">
        <v>21</v>
      </c>
      <c r="L73">
        <f>Table3234[[#This Row],[AICRAFT]]/7</f>
        <v>3</v>
      </c>
      <c r="N73" s="47"/>
      <c r="AI73" s="47"/>
      <c r="AJ73" s="47"/>
      <c r="AK73" s="47"/>
      <c r="BS73" s="127"/>
      <c r="BT73" s="127"/>
      <c r="BU73" s="127"/>
      <c r="BV73" s="428" t="s">
        <v>14211</v>
      </c>
      <c r="BW73" s="426">
        <v>13.5</v>
      </c>
      <c r="BX73" s="592"/>
      <c r="BY73" s="127"/>
      <c r="BZ73" s="127"/>
      <c r="CA73" s="127"/>
      <c r="CB73" s="427" t="s">
        <v>5509</v>
      </c>
      <c r="CC73" s="425">
        <v>30.25</v>
      </c>
      <c r="CD73" s="573"/>
      <c r="CF73" s="47"/>
      <c r="CG73" s="47"/>
      <c r="CH73" s="47"/>
      <c r="CI73" s="47"/>
      <c r="CJ73" s="47"/>
      <c r="CK73" s="47"/>
      <c r="CL73" s="47"/>
    </row>
    <row r="74" spans="8:90" ht="15.75" thickBot="1" x14ac:dyDescent="0.3">
      <c r="H74" t="str">
        <f>_xlfn.CONCAT(Table3234[[#This Row],[HUB ]],"/",Table3234[[#This Row],[DEST]])</f>
        <v>BOM/KUL</v>
      </c>
      <c r="I74" t="s">
        <v>406</v>
      </c>
      <c r="J74" t="s">
        <v>211</v>
      </c>
      <c r="K74" s="16">
        <v>21</v>
      </c>
      <c r="L74">
        <f>Table3234[[#This Row],[AICRAFT]]/7</f>
        <v>3</v>
      </c>
      <c r="N74" s="47"/>
      <c r="AI74" s="47"/>
      <c r="AJ74" s="47"/>
      <c r="AK74" s="47"/>
      <c r="BS74" s="127"/>
      <c r="BT74" s="127"/>
      <c r="BU74" s="127"/>
      <c r="BV74" s="127"/>
      <c r="BW74" s="127"/>
      <c r="BX74" s="127"/>
      <c r="BY74" s="127"/>
      <c r="BZ74" s="127"/>
      <c r="CA74" s="127"/>
      <c r="CB74" s="428" t="s">
        <v>5625</v>
      </c>
      <c r="CC74" s="426">
        <v>14.5</v>
      </c>
      <c r="CD74" s="574"/>
      <c r="CF74" s="47"/>
      <c r="CG74" s="47"/>
      <c r="CH74" s="47"/>
      <c r="CI74" s="47"/>
      <c r="CJ74" s="47"/>
      <c r="CK74" s="47"/>
      <c r="CL74" s="47"/>
    </row>
    <row r="75" spans="8:90" x14ac:dyDescent="0.25">
      <c r="H75" t="str">
        <f>_xlfn.CONCAT(Table3234[[#This Row],[HUB ]],"/",Table3234[[#This Row],[DEST]])</f>
        <v>BOM/MED</v>
      </c>
      <c r="I75" t="s">
        <v>406</v>
      </c>
      <c r="J75" t="s">
        <v>173</v>
      </c>
      <c r="K75" s="16">
        <v>21</v>
      </c>
      <c r="L75">
        <f>Table3234[[#This Row],[AICRAFT]]/7</f>
        <v>3</v>
      </c>
      <c r="N75" s="47"/>
      <c r="AI75" s="47"/>
      <c r="AJ75" s="47"/>
      <c r="AK75" s="47"/>
      <c r="BU75" s="47"/>
      <c r="CF75" s="47"/>
      <c r="CG75" s="47"/>
      <c r="CH75" s="47"/>
      <c r="CI75" s="47"/>
      <c r="CJ75" s="47"/>
      <c r="CK75" s="47"/>
      <c r="CL75" s="47"/>
    </row>
    <row r="76" spans="8:90" x14ac:dyDescent="0.25">
      <c r="H76" t="str">
        <f>_xlfn.CONCAT(Table3234[[#This Row],[HUB ]],"/",Table3234[[#This Row],[DEST]])</f>
        <v>BOM/MNL</v>
      </c>
      <c r="I76" t="s">
        <v>406</v>
      </c>
      <c r="J76" t="s">
        <v>166</v>
      </c>
      <c r="K76" s="16">
        <v>21</v>
      </c>
      <c r="L76">
        <f>Table3234[[#This Row],[AICRAFT]]/7</f>
        <v>3</v>
      </c>
      <c r="N76" s="47"/>
      <c r="AI76" s="47"/>
      <c r="AJ76" s="47"/>
      <c r="AK76" s="47"/>
      <c r="BU76" s="47"/>
      <c r="CF76" s="47"/>
      <c r="CG76" s="47"/>
      <c r="CH76" s="47"/>
      <c r="CI76" s="47"/>
      <c r="CJ76" s="47"/>
      <c r="CK76" s="47"/>
      <c r="CL76" s="47"/>
    </row>
    <row r="77" spans="8:90" x14ac:dyDescent="0.25">
      <c r="H77" t="str">
        <f>_xlfn.CONCAT(Table3234[[#This Row],[HUB ]],"/",Table3234[[#This Row],[DEST]])</f>
        <v>BOM/OSL</v>
      </c>
      <c r="I77" t="s">
        <v>406</v>
      </c>
      <c r="J77" t="s">
        <v>140</v>
      </c>
      <c r="K77" s="16">
        <v>21</v>
      </c>
      <c r="L77">
        <f>Table3234[[#This Row],[AICRAFT]]/7</f>
        <v>3</v>
      </c>
      <c r="N77" s="47"/>
      <c r="AI77" s="47"/>
      <c r="AJ77" s="47"/>
      <c r="AK77" s="47"/>
      <c r="BU77" s="47"/>
      <c r="CF77" s="47"/>
      <c r="CG77" s="47"/>
      <c r="CH77" s="47"/>
      <c r="CI77" s="47"/>
      <c r="CJ77" s="47"/>
      <c r="CK77" s="47"/>
      <c r="CL77" s="47"/>
    </row>
    <row r="78" spans="8:90" x14ac:dyDescent="0.25">
      <c r="H78" t="str">
        <f>_xlfn.CONCAT(Table3234[[#This Row],[HUB ]],"/",Table3234[[#This Row],[DEST]])</f>
        <v>BOM/PEK</v>
      </c>
      <c r="I78" t="s">
        <v>406</v>
      </c>
      <c r="J78" t="s">
        <v>130</v>
      </c>
      <c r="K78" s="16">
        <v>21</v>
      </c>
      <c r="L78">
        <f>Table3234[[#This Row],[AICRAFT]]/7</f>
        <v>3</v>
      </c>
      <c r="N78" s="47"/>
      <c r="AI78" s="47"/>
      <c r="AJ78" s="47"/>
      <c r="AK78" s="47"/>
      <c r="BU78" s="47"/>
      <c r="CF78" s="47"/>
      <c r="CG78" s="47"/>
      <c r="CH78" s="47"/>
      <c r="CI78" s="47"/>
      <c r="CJ78" s="47"/>
      <c r="CK78" s="47"/>
      <c r="CL78" s="47"/>
    </row>
    <row r="79" spans="8:90" x14ac:dyDescent="0.25">
      <c r="H79" t="str">
        <f>_xlfn.CONCAT(Table3234[[#This Row],[HUB ]],"/",Table3234[[#This Row],[DEST]])</f>
        <v>BOM/PHC</v>
      </c>
      <c r="I79" t="s">
        <v>406</v>
      </c>
      <c r="J79" t="s">
        <v>4629</v>
      </c>
      <c r="K79" s="16">
        <v>21</v>
      </c>
      <c r="L79">
        <f>Table3234[[#This Row],[AICRAFT]]/7</f>
        <v>3</v>
      </c>
      <c r="N79" s="47"/>
      <c r="AI79" s="47"/>
      <c r="AJ79" s="47"/>
      <c r="AK79" s="47"/>
      <c r="BU79" s="47"/>
      <c r="CF79" s="47"/>
      <c r="CG79" s="47"/>
      <c r="CH79" s="47"/>
      <c r="CI79" s="47"/>
      <c r="CJ79" s="47"/>
      <c r="CK79" s="47"/>
      <c r="CL79" s="47"/>
    </row>
    <row r="80" spans="8:90" x14ac:dyDescent="0.25">
      <c r="H80" t="str">
        <f>_xlfn.CONCAT(Table3234[[#This Row],[HUB ]],"/",Table3234[[#This Row],[DEST]])</f>
        <v>BOM/PMI</v>
      </c>
      <c r="I80" t="s">
        <v>406</v>
      </c>
      <c r="J80" t="s">
        <v>120</v>
      </c>
      <c r="K80" s="16">
        <v>21</v>
      </c>
      <c r="L80">
        <f>Table3234[[#This Row],[AICRAFT]]/7</f>
        <v>3</v>
      </c>
      <c r="N80" s="47"/>
      <c r="AI80" s="47"/>
      <c r="AJ80" s="47"/>
      <c r="AK80" s="47"/>
      <c r="BU80" s="47"/>
      <c r="CF80" s="47"/>
      <c r="CG80" s="47"/>
      <c r="CH80" s="47"/>
      <c r="CI80" s="47"/>
      <c r="CJ80" s="47"/>
      <c r="CK80" s="47"/>
      <c r="CL80" s="47"/>
    </row>
    <row r="81" spans="8:90" x14ac:dyDescent="0.25">
      <c r="H81" t="str">
        <f>_xlfn.CONCAT(Table3234[[#This Row],[HUB ]],"/",Table3234[[#This Row],[DEST]])</f>
        <v>BOM/PVG</v>
      </c>
      <c r="I81" t="s">
        <v>406</v>
      </c>
      <c r="J81" t="s">
        <v>114</v>
      </c>
      <c r="K81" s="16">
        <v>21</v>
      </c>
      <c r="L81">
        <f>Table3234[[#This Row],[AICRAFT]]/7</f>
        <v>3</v>
      </c>
      <c r="N81" s="47"/>
      <c r="AI81" s="47"/>
      <c r="AJ81" s="47"/>
      <c r="AK81" s="47"/>
      <c r="BU81" s="47"/>
      <c r="CF81" s="47"/>
      <c r="CG81" s="47"/>
      <c r="CH81" s="47"/>
      <c r="CI81" s="47"/>
      <c r="CJ81" s="47"/>
      <c r="CK81" s="47"/>
      <c r="CL81" s="47"/>
    </row>
    <row r="82" spans="8:90" x14ac:dyDescent="0.25">
      <c r="H82" t="str">
        <f>_xlfn.CONCAT(Table3234[[#This Row],[HUB ]],"/",Table3234[[#This Row],[DEST]])</f>
        <v>BOM/RUH</v>
      </c>
      <c r="I82" t="s">
        <v>406</v>
      </c>
      <c r="J82" t="s">
        <v>110</v>
      </c>
      <c r="K82" s="16">
        <v>21</v>
      </c>
      <c r="L82">
        <f>Table3234[[#This Row],[AICRAFT]]/7</f>
        <v>3</v>
      </c>
      <c r="N82" s="47"/>
      <c r="AI82" s="47"/>
      <c r="AJ82" s="47"/>
      <c r="AK82" s="47"/>
      <c r="BU82" s="47"/>
      <c r="CF82" s="47"/>
      <c r="CG82" s="47"/>
      <c r="CH82" s="47"/>
      <c r="CI82" s="47"/>
      <c r="CJ82" s="47"/>
      <c r="CK82" s="47"/>
      <c r="CL82" s="47"/>
    </row>
    <row r="83" spans="8:90" x14ac:dyDescent="0.25">
      <c r="H83" t="str">
        <f>_xlfn.CONCAT(Table3234[[#This Row],[HUB ]],"/",Table3234[[#This Row],[DEST]])</f>
        <v>BOM/SHA</v>
      </c>
      <c r="I83" t="s">
        <v>406</v>
      </c>
      <c r="J83" t="s">
        <v>97</v>
      </c>
      <c r="K83" s="16">
        <v>21</v>
      </c>
      <c r="L83">
        <f>Table3234[[#This Row],[AICRAFT]]/7</f>
        <v>3</v>
      </c>
      <c r="N83" s="47"/>
      <c r="AI83" s="47"/>
      <c r="AJ83" s="47"/>
      <c r="AK83" s="47"/>
      <c r="BU83" s="47"/>
      <c r="CF83" s="47"/>
      <c r="CG83" s="47"/>
      <c r="CH83" s="47"/>
      <c r="CI83" s="47"/>
      <c r="CJ83" s="47"/>
      <c r="CK83" s="47"/>
      <c r="CL83" s="47"/>
    </row>
    <row r="84" spans="8:90" x14ac:dyDescent="0.25">
      <c r="H84" t="str">
        <f>_xlfn.CONCAT(Table3234[[#This Row],[HUB ]],"/",Table3234[[#This Row],[DEST]])</f>
        <v>BOM/SIN</v>
      </c>
      <c r="I84" t="s">
        <v>406</v>
      </c>
      <c r="J84" t="s">
        <v>93</v>
      </c>
      <c r="K84" s="16">
        <v>21</v>
      </c>
      <c r="L84">
        <f>Table3234[[#This Row],[AICRAFT]]/7</f>
        <v>3</v>
      </c>
      <c r="N84" s="47"/>
      <c r="AI84" s="47"/>
      <c r="AJ84" s="47"/>
      <c r="AK84" s="47"/>
      <c r="BU84" s="47"/>
      <c r="CF84" s="47"/>
      <c r="CG84" s="47"/>
      <c r="CH84" s="47"/>
      <c r="CI84" s="47"/>
      <c r="CJ84" s="47"/>
      <c r="CK84" s="47"/>
      <c r="CL84" s="47"/>
    </row>
    <row r="85" spans="8:90" x14ac:dyDescent="0.25">
      <c r="H85" t="str">
        <f>_xlfn.CONCAT(Table3234[[#This Row],[HUB ]],"/",Table3234[[#This Row],[DEST]])</f>
        <v>BOM/SXR</v>
      </c>
      <c r="I85" t="s">
        <v>406</v>
      </c>
      <c r="J85" t="s">
        <v>74</v>
      </c>
      <c r="K85" s="16">
        <v>21</v>
      </c>
      <c r="L85">
        <f>Table3234[[#This Row],[AICRAFT]]/7</f>
        <v>3</v>
      </c>
      <c r="N85" s="47"/>
      <c r="AI85" s="47"/>
      <c r="AJ85" s="47"/>
      <c r="AK85" s="47"/>
      <c r="BU85" s="47"/>
      <c r="CF85" s="47"/>
      <c r="CG85" s="47"/>
      <c r="CH85" s="47"/>
      <c r="CI85" s="47"/>
      <c r="CJ85" s="47"/>
      <c r="CK85" s="47"/>
      <c r="CL85" s="47"/>
    </row>
    <row r="86" spans="8:90" x14ac:dyDescent="0.25">
      <c r="H86" t="str">
        <f>_xlfn.CONCAT(Table3234[[#This Row],[HUB ]],"/",Table3234[[#This Row],[DEST]])</f>
        <v>BOM/SZX</v>
      </c>
      <c r="I86" t="s">
        <v>406</v>
      </c>
      <c r="J86" t="s">
        <v>65</v>
      </c>
      <c r="K86" s="16">
        <v>21</v>
      </c>
      <c r="L86">
        <f>Table3234[[#This Row],[AICRAFT]]/7</f>
        <v>3</v>
      </c>
      <c r="N86" s="47"/>
      <c r="AI86" s="47"/>
      <c r="AJ86" s="47"/>
      <c r="AK86" s="47"/>
      <c r="BU86" s="47"/>
      <c r="CF86" s="47"/>
      <c r="CG86" s="47"/>
      <c r="CH86" s="47"/>
      <c r="CI86" s="47"/>
      <c r="CJ86" s="47"/>
      <c r="CK86" s="47"/>
      <c r="CL86" s="47"/>
    </row>
    <row r="87" spans="8:90" x14ac:dyDescent="0.25">
      <c r="H87" t="str">
        <f>_xlfn.CONCAT(Table3234[[#This Row],[HUB ]],"/",Table3234[[#This Row],[DEST]])</f>
        <v>BOM/TPE</v>
      </c>
      <c r="I87" t="s">
        <v>406</v>
      </c>
      <c r="J87" t="s">
        <v>47</v>
      </c>
      <c r="K87" s="16">
        <v>21</v>
      </c>
      <c r="L87">
        <f>Table3234[[#This Row],[AICRAFT]]/7</f>
        <v>3</v>
      </c>
      <c r="N87" s="47"/>
      <c r="AI87" s="47"/>
      <c r="AJ87" s="47"/>
      <c r="AK87" s="47"/>
      <c r="BU87" s="47"/>
      <c r="CF87" s="47"/>
      <c r="CG87" s="47"/>
      <c r="CH87" s="47"/>
      <c r="CI87" s="47"/>
      <c r="CJ87" s="47"/>
      <c r="CK87" s="47"/>
      <c r="CL87" s="47"/>
    </row>
    <row r="88" spans="8:90" x14ac:dyDescent="0.25">
      <c r="H88" t="str">
        <f>_xlfn.CONCAT(Table3234[[#This Row],[HUB ]],"/",Table3234[[#This Row],[DEST]])</f>
        <v>BOM/YIA</v>
      </c>
      <c r="I88" t="s">
        <v>406</v>
      </c>
      <c r="J88" t="s">
        <v>14211</v>
      </c>
      <c r="K88" s="16">
        <v>21</v>
      </c>
      <c r="L88">
        <f>Table3234[[#This Row],[AICRAFT]]/7</f>
        <v>3</v>
      </c>
      <c r="N88" s="47"/>
      <c r="AI88" s="47"/>
      <c r="AJ88" s="47"/>
      <c r="AK88" s="47"/>
      <c r="BU88" s="47"/>
      <c r="CF88" s="47"/>
      <c r="CG88" s="47"/>
      <c r="CH88" s="47"/>
      <c r="CI88" s="47"/>
      <c r="CJ88" s="47"/>
      <c r="CK88" s="47"/>
      <c r="CL88" s="47"/>
    </row>
    <row r="89" spans="8:90" x14ac:dyDescent="0.25">
      <c r="H89" t="str">
        <f>_xlfn.CONCAT(Table3234[[#This Row],[HUB ]],"/",Table3234[[#This Row],[DEST]])</f>
        <v>BOM/YOL</v>
      </c>
      <c r="I89" t="s">
        <v>406</v>
      </c>
      <c r="J89" t="s">
        <v>2061</v>
      </c>
      <c r="K89" s="16">
        <v>21</v>
      </c>
      <c r="L89">
        <f>Table3234[[#This Row],[AICRAFT]]/7</f>
        <v>3</v>
      </c>
      <c r="N89" s="47"/>
      <c r="AI89" s="47"/>
      <c r="AJ89" s="47"/>
      <c r="AK89" s="47"/>
      <c r="BU89" s="47"/>
      <c r="CF89" s="47"/>
      <c r="CG89" s="47"/>
      <c r="CH89" s="47"/>
      <c r="CI89" s="47"/>
      <c r="CJ89" s="47"/>
      <c r="CK89" s="47"/>
      <c r="CL89" s="47"/>
    </row>
    <row r="90" spans="8:90" x14ac:dyDescent="0.25">
      <c r="H90" t="str">
        <f>_xlfn.CONCAT(Table3234[[#This Row],[HUB ]],"/",Table3234[[#This Row],[DEST]])</f>
        <v>BOM/NAG</v>
      </c>
      <c r="I90" t="s">
        <v>406</v>
      </c>
      <c r="J90" s="460" t="s">
        <v>154</v>
      </c>
      <c r="K90" s="16">
        <v>18</v>
      </c>
      <c r="L90">
        <f>Table3234[[#This Row],[AICRAFT]]/7</f>
        <v>2.5714285714285716</v>
      </c>
      <c r="N90" s="47"/>
      <c r="AI90" s="47"/>
      <c r="AJ90" s="47"/>
      <c r="AK90" s="47"/>
      <c r="BU90" s="47"/>
      <c r="CF90" s="47"/>
      <c r="CG90" s="47"/>
      <c r="CH90" s="47"/>
      <c r="CI90" s="47"/>
      <c r="CJ90" s="47"/>
      <c r="CK90" s="47"/>
      <c r="CL90" s="47"/>
    </row>
    <row r="91" spans="8:90" x14ac:dyDescent="0.25">
      <c r="H91" t="str">
        <f>_xlfn.CONCAT(Table3234[[#This Row],[HUB ]],"/",Table3234[[#This Row],[DEST]])</f>
        <v>BOM/RMF</v>
      </c>
      <c r="I91" t="s">
        <v>406</v>
      </c>
      <c r="J91" s="460" t="s">
        <v>4445</v>
      </c>
      <c r="K91" s="16">
        <v>18</v>
      </c>
      <c r="L91">
        <f>Table3234[[#This Row],[AICRAFT]]/7</f>
        <v>2.5714285714285716</v>
      </c>
      <c r="N91" s="47"/>
      <c r="AI91" s="47"/>
      <c r="AJ91" s="47"/>
      <c r="AK91" s="47"/>
      <c r="BU91" s="47"/>
      <c r="CF91" s="47"/>
      <c r="CG91" s="47"/>
      <c r="CH91" s="47"/>
      <c r="CI91" s="47"/>
      <c r="CJ91" s="47"/>
      <c r="CK91" s="47"/>
      <c r="CL91" s="47"/>
    </row>
    <row r="92" spans="8:90" x14ac:dyDescent="0.25">
      <c r="H92" t="str">
        <f>_xlfn.CONCAT(Table3234[[#This Row],[HUB ]],"/",Table3234[[#This Row],[DEST]])</f>
        <v>BOM/SSH</v>
      </c>
      <c r="I92" t="s">
        <v>406</v>
      </c>
      <c r="J92" s="460" t="s">
        <v>5513</v>
      </c>
      <c r="K92" s="16">
        <v>18</v>
      </c>
      <c r="L92">
        <f>Table3234[[#This Row],[AICRAFT]]/7</f>
        <v>2.5714285714285716</v>
      </c>
      <c r="N92" s="47"/>
      <c r="AI92" s="47"/>
      <c r="AJ92" s="47"/>
      <c r="AK92" s="47"/>
      <c r="BU92" s="47"/>
      <c r="CF92" s="47"/>
      <c r="CG92" s="47"/>
      <c r="CH92" s="47"/>
      <c r="CI92" s="47"/>
      <c r="CJ92" s="47"/>
      <c r="CK92" s="47"/>
      <c r="CL92" s="47"/>
    </row>
    <row r="93" spans="8:90" x14ac:dyDescent="0.25">
      <c r="H93" t="str">
        <f>_xlfn.CONCAT(Table3234[[#This Row],[HUB ]],"/",Table3234[[#This Row],[DEST]])</f>
        <v>BOM/SZF</v>
      </c>
      <c r="I93" t="s">
        <v>406</v>
      </c>
      <c r="J93" s="460" t="s">
        <v>4488</v>
      </c>
      <c r="K93" s="16">
        <v>18</v>
      </c>
      <c r="L93">
        <f>Table3234[[#This Row],[AICRAFT]]/7</f>
        <v>2.5714285714285716</v>
      </c>
      <c r="N93" s="47"/>
      <c r="AI93" s="47"/>
      <c r="AJ93" s="47"/>
      <c r="AK93" s="47"/>
      <c r="BU93" s="47"/>
      <c r="CF93" s="47"/>
      <c r="CG93" s="47"/>
      <c r="CH93" s="47"/>
      <c r="CI93" s="47"/>
      <c r="CJ93" s="47"/>
      <c r="CK93" s="47"/>
      <c r="CL93" s="47"/>
    </row>
    <row r="94" spans="8:90" x14ac:dyDescent="0.25">
      <c r="H94" t="str">
        <f>_xlfn.CONCAT(Table3234[[#This Row],[HUB ]],"/",Table3234[[#This Row],[DEST]])</f>
        <v>BOM/ZUH</v>
      </c>
      <c r="I94" t="s">
        <v>406</v>
      </c>
      <c r="J94" s="460" t="s">
        <v>4781</v>
      </c>
      <c r="K94" s="16">
        <v>18</v>
      </c>
      <c r="L94">
        <f>Table3234[[#This Row],[AICRAFT]]/7</f>
        <v>2.5714285714285716</v>
      </c>
      <c r="N94" s="47"/>
      <c r="AI94" s="47"/>
      <c r="AJ94" s="47"/>
      <c r="AK94" s="47"/>
      <c r="BU94" s="47"/>
      <c r="CF94" s="47"/>
      <c r="CG94" s="47"/>
      <c r="CH94" s="47"/>
      <c r="CI94" s="47"/>
      <c r="CJ94" s="47"/>
      <c r="CK94" s="47"/>
      <c r="CL94" s="47"/>
    </row>
    <row r="95" spans="8:90" x14ac:dyDescent="0.25">
      <c r="H95" t="str">
        <f>_xlfn.CONCAT(Table3234[[#This Row],[HUB ]],"/",Table3234[[#This Row],[DEST]])</f>
        <v>BOM/ADB</v>
      </c>
      <c r="I95" t="s">
        <v>406</v>
      </c>
      <c r="J95" s="456" t="s">
        <v>5443</v>
      </c>
      <c r="K95" s="16">
        <v>18</v>
      </c>
      <c r="L95">
        <f>Table3234[[#This Row],[AICRAFT]]/7</f>
        <v>2.5714285714285716</v>
      </c>
      <c r="N95" s="47"/>
      <c r="AI95" s="47"/>
      <c r="AJ95" s="47"/>
      <c r="AK95" s="47"/>
      <c r="BU95" s="47"/>
      <c r="CF95" s="47"/>
      <c r="CG95" s="47"/>
      <c r="CH95" s="47"/>
      <c r="CI95" s="47"/>
      <c r="CJ95" s="47"/>
      <c r="CK95" s="47"/>
      <c r="CL95" s="47"/>
    </row>
    <row r="96" spans="8:90" x14ac:dyDescent="0.25">
      <c r="H96" t="str">
        <f>_xlfn.CONCAT(Table3234[[#This Row],[HUB ]],"/",Table3234[[#This Row],[DEST]])</f>
        <v>BOM/BJV</v>
      </c>
      <c r="I96" t="s">
        <v>406</v>
      </c>
      <c r="J96" s="456" t="s">
        <v>5128</v>
      </c>
      <c r="K96" s="16">
        <v>18</v>
      </c>
      <c r="L96">
        <f>Table3234[[#This Row],[AICRAFT]]/7</f>
        <v>2.5714285714285716</v>
      </c>
      <c r="N96" s="47"/>
      <c r="BU96" s="47"/>
      <c r="CF96" s="47"/>
      <c r="CG96" s="47"/>
      <c r="CH96" s="47"/>
      <c r="CI96" s="47"/>
      <c r="CJ96" s="47"/>
      <c r="CK96" s="47"/>
      <c r="CL96" s="47"/>
    </row>
    <row r="97" spans="8:90" x14ac:dyDescent="0.25">
      <c r="H97" t="str">
        <f>_xlfn.CONCAT(Table3234[[#This Row],[HUB ]],"/",Table3234[[#This Row],[DEST]])</f>
        <v>BOM/BKI</v>
      </c>
      <c r="I97" t="s">
        <v>406</v>
      </c>
      <c r="J97" s="456" t="s">
        <v>417</v>
      </c>
      <c r="K97" s="16">
        <v>18</v>
      </c>
      <c r="L97">
        <f>Table3234[[#This Row],[AICRAFT]]/7</f>
        <v>2.5714285714285716</v>
      </c>
      <c r="N97" s="47"/>
      <c r="BU97" s="47"/>
      <c r="CF97" s="47"/>
      <c r="CG97" s="47"/>
      <c r="CH97" s="47"/>
      <c r="CI97" s="47"/>
      <c r="CJ97" s="47"/>
      <c r="CK97" s="47"/>
      <c r="CL97" s="47"/>
    </row>
    <row r="98" spans="8:90" x14ac:dyDescent="0.25">
      <c r="H98" t="str">
        <f>_xlfn.CONCAT(Table3234[[#This Row],[HUB ]],"/",Table3234[[#This Row],[DEST]])</f>
        <v>BOM/DLM</v>
      </c>
      <c r="I98" t="s">
        <v>406</v>
      </c>
      <c r="J98" s="456" t="s">
        <v>5221</v>
      </c>
      <c r="K98" s="16">
        <v>18</v>
      </c>
      <c r="L98">
        <f>Table3234[[#This Row],[AICRAFT]]/7</f>
        <v>2.5714285714285716</v>
      </c>
      <c r="N98" s="47"/>
      <c r="BU98" s="47"/>
      <c r="CF98" s="47"/>
      <c r="CG98" s="47"/>
      <c r="CH98" s="47"/>
      <c r="CI98" s="47"/>
      <c r="CJ98" s="47"/>
      <c r="CK98" s="47"/>
      <c r="CL98" s="47"/>
    </row>
    <row r="99" spans="8:90" x14ac:dyDescent="0.25">
      <c r="H99" t="str">
        <f>_xlfn.CONCAT(Table3234[[#This Row],[HUB ]],"/",Table3234[[#This Row],[DEST]])</f>
        <v>BOM/FOC</v>
      </c>
      <c r="I99" t="s">
        <v>406</v>
      </c>
      <c r="J99" s="456" t="s">
        <v>5386</v>
      </c>
      <c r="K99" s="16">
        <v>18</v>
      </c>
      <c r="L99">
        <f>Table3234[[#This Row],[AICRAFT]]/7</f>
        <v>2.5714285714285716</v>
      </c>
      <c r="N99" s="47"/>
      <c r="BU99" s="47"/>
      <c r="CF99" s="47"/>
      <c r="CG99" s="47"/>
      <c r="CH99" s="47"/>
      <c r="CI99" s="47"/>
      <c r="CJ99" s="47"/>
      <c r="CK99" s="47"/>
      <c r="CL99" s="47"/>
    </row>
    <row r="100" spans="8:90" x14ac:dyDescent="0.25">
      <c r="H100" t="str">
        <f>_xlfn.CONCAT(Table3234[[#This Row],[HUB ]],"/",Table3234[[#This Row],[DEST]])</f>
        <v>BOM/HFE</v>
      </c>
      <c r="I100" t="s">
        <v>406</v>
      </c>
      <c r="J100" s="456" t="s">
        <v>5194</v>
      </c>
      <c r="K100" s="16">
        <v>18</v>
      </c>
      <c r="L100">
        <f>Table3234[[#This Row],[AICRAFT]]/7</f>
        <v>2.5714285714285716</v>
      </c>
      <c r="N100" s="47"/>
      <c r="BU100" s="47"/>
      <c r="CF100" s="47"/>
      <c r="CG100" s="47"/>
      <c r="CH100" s="47"/>
      <c r="CI100" s="47"/>
      <c r="CJ100" s="47"/>
      <c r="CK100" s="47"/>
      <c r="CL100" s="47"/>
    </row>
    <row r="101" spans="8:90" x14ac:dyDescent="0.25">
      <c r="H101" t="str">
        <f>_xlfn.CONCAT(Table3234[[#This Row],[HUB ]],"/",Table3234[[#This Row],[DEST]])</f>
        <v>BOM/HGH</v>
      </c>
      <c r="I101" t="s">
        <v>406</v>
      </c>
      <c r="J101" s="456" t="s">
        <v>279</v>
      </c>
      <c r="K101" s="16">
        <v>18</v>
      </c>
      <c r="L101">
        <f>Table3234[[#This Row],[AICRAFT]]/7</f>
        <v>2.5714285714285716</v>
      </c>
      <c r="N101" s="47"/>
      <c r="BU101" s="47"/>
      <c r="CF101" s="47"/>
      <c r="CG101" s="47"/>
      <c r="CH101" s="47"/>
      <c r="CI101" s="47"/>
      <c r="CJ101" s="47"/>
      <c r="CK101" s="47"/>
      <c r="CL101" s="47"/>
    </row>
    <row r="102" spans="8:90" x14ac:dyDescent="0.25">
      <c r="H102" t="str">
        <f>_xlfn.CONCAT(Table3234[[#This Row],[HUB ]],"/",Table3234[[#This Row],[DEST]])</f>
        <v>BOM/NKG</v>
      </c>
      <c r="I102" t="s">
        <v>406</v>
      </c>
      <c r="J102" s="456" t="s">
        <v>147</v>
      </c>
      <c r="K102" s="16">
        <v>18</v>
      </c>
      <c r="L102">
        <f>Table3234[[#This Row],[AICRAFT]]/7</f>
        <v>2.5714285714285716</v>
      </c>
      <c r="N102" s="47"/>
      <c r="BU102" s="47"/>
      <c r="CF102" s="47"/>
      <c r="CG102" s="47"/>
      <c r="CH102" s="47"/>
      <c r="CI102" s="47"/>
      <c r="CJ102" s="47"/>
      <c r="CK102" s="47"/>
      <c r="CL102" s="47"/>
    </row>
    <row r="103" spans="8:90" x14ac:dyDescent="0.25">
      <c r="H103" t="str">
        <f>_xlfn.CONCAT(Table3234[[#This Row],[HUB ]],"/",Table3234[[#This Row],[DEST]])</f>
        <v>BOM/SAW</v>
      </c>
      <c r="I103" t="s">
        <v>406</v>
      </c>
      <c r="J103" s="456" t="s">
        <v>5457</v>
      </c>
      <c r="K103" s="16">
        <v>18</v>
      </c>
      <c r="L103">
        <f>Table3234[[#This Row],[AICRAFT]]/7</f>
        <v>2.5714285714285716</v>
      </c>
      <c r="BU103" s="47"/>
      <c r="CF103" s="47"/>
      <c r="CG103" s="47"/>
      <c r="CH103" s="47"/>
      <c r="CI103" s="47"/>
      <c r="CJ103" s="47"/>
      <c r="CK103" s="47"/>
      <c r="CL103" s="47"/>
    </row>
    <row r="104" spans="8:90" x14ac:dyDescent="0.25">
      <c r="H104" t="str">
        <f>_xlfn.CONCAT(Table3234[[#This Row],[HUB ]],"/",Table3234[[#This Row],[DEST]])</f>
        <v>BOM/SVO</v>
      </c>
      <c r="I104" t="s">
        <v>406</v>
      </c>
      <c r="J104" s="456" t="s">
        <v>79</v>
      </c>
      <c r="K104" s="16">
        <v>18</v>
      </c>
      <c r="L104">
        <f>Table3234[[#This Row],[AICRAFT]]/7</f>
        <v>2.5714285714285716</v>
      </c>
      <c r="BU104" s="47"/>
      <c r="CF104" s="47"/>
      <c r="CG104" s="47"/>
      <c r="CH104" s="47"/>
      <c r="CI104" s="47"/>
      <c r="CJ104" s="47"/>
      <c r="CK104" s="47"/>
      <c r="CL104" s="47"/>
    </row>
    <row r="105" spans="8:90" x14ac:dyDescent="0.25">
      <c r="H105" t="str">
        <f>_xlfn.CONCAT(Table3234[[#This Row],[HUB ]],"/",Table3234[[#This Row],[DEST]])</f>
        <v>BOM/TAO</v>
      </c>
      <c r="I105" t="s">
        <v>406</v>
      </c>
      <c r="J105" s="456" t="s">
        <v>63</v>
      </c>
      <c r="K105" s="16">
        <v>18</v>
      </c>
      <c r="L105">
        <f>Table3234[[#This Row],[AICRAFT]]/7</f>
        <v>2.5714285714285716</v>
      </c>
      <c r="N105" s="47"/>
      <c r="BU105" s="47"/>
      <c r="CF105" s="47"/>
      <c r="CG105" s="47"/>
      <c r="CH105" s="47"/>
      <c r="CI105" s="47"/>
      <c r="CJ105" s="47"/>
      <c r="CK105" s="47"/>
      <c r="CL105" s="47"/>
    </row>
    <row r="106" spans="8:90" x14ac:dyDescent="0.25">
      <c r="H106" t="str">
        <f>_xlfn.CONCAT(Table3234[[#This Row],[HUB ]],"/",Table3234[[#This Row],[DEST]])</f>
        <v>BOM/TSN</v>
      </c>
      <c r="I106" t="s">
        <v>406</v>
      </c>
      <c r="J106" s="456" t="s">
        <v>42</v>
      </c>
      <c r="K106" s="16">
        <v>18</v>
      </c>
      <c r="L106">
        <f>Table3234[[#This Row],[AICRAFT]]/7</f>
        <v>2.5714285714285716</v>
      </c>
      <c r="N106" s="47"/>
      <c r="BU106" s="47"/>
      <c r="CF106" s="47"/>
      <c r="CG106" s="47"/>
      <c r="CH106" s="47"/>
      <c r="CI106" s="47"/>
      <c r="CJ106" s="47"/>
      <c r="CK106" s="47"/>
      <c r="CL106" s="47"/>
    </row>
    <row r="107" spans="8:90" x14ac:dyDescent="0.25">
      <c r="H107" t="str">
        <f>_xlfn.CONCAT(Table3234[[#This Row],[HUB ]],"/",Table3234[[#This Row],[DEST]])</f>
        <v>BOM/VKO</v>
      </c>
      <c r="I107" t="s">
        <v>406</v>
      </c>
      <c r="J107" s="456" t="s">
        <v>5511</v>
      </c>
      <c r="K107" s="16">
        <v>18</v>
      </c>
      <c r="L107">
        <f>Table3234[[#This Row],[AICRAFT]]/7</f>
        <v>2.5714285714285716</v>
      </c>
      <c r="N107" s="47"/>
      <c r="BU107" s="47"/>
      <c r="CF107" s="47"/>
      <c r="CG107" s="47"/>
      <c r="CH107" s="47"/>
      <c r="CI107" s="47"/>
      <c r="CJ107" s="47"/>
      <c r="CK107" s="47"/>
      <c r="CL107" s="47"/>
    </row>
    <row r="108" spans="8:90" x14ac:dyDescent="0.25">
      <c r="H108" t="str">
        <f>_xlfn.CONCAT(Table3234[[#This Row],[HUB ]],"/",Table3234[[#This Row],[DEST]])</f>
        <v>BOM/AHB</v>
      </c>
      <c r="I108" t="s">
        <v>406</v>
      </c>
      <c r="J108" s="453" t="s">
        <v>454</v>
      </c>
      <c r="K108" s="16">
        <v>20</v>
      </c>
      <c r="L108">
        <f>Table3234[[#This Row],[AICRAFT]]/7</f>
        <v>2.8571428571428572</v>
      </c>
      <c r="N108" s="47"/>
      <c r="BU108" s="47"/>
      <c r="CF108" s="47"/>
      <c r="CG108" s="47"/>
      <c r="CH108" s="47"/>
      <c r="CI108" s="47"/>
      <c r="CJ108" s="47"/>
      <c r="CK108" s="47"/>
      <c r="CL108" s="47"/>
    </row>
    <row r="109" spans="8:90" x14ac:dyDescent="0.25">
      <c r="H109" t="str">
        <f>_xlfn.CONCAT(Table3234[[#This Row],[HUB ]],"/",Table3234[[#This Row],[DEST]])</f>
        <v>BOM/AWZ</v>
      </c>
      <c r="I109" t="s">
        <v>406</v>
      </c>
      <c r="J109" s="453" t="s">
        <v>4964</v>
      </c>
      <c r="K109" s="16">
        <v>20</v>
      </c>
      <c r="L109">
        <f>Table3234[[#This Row],[AICRAFT]]/7</f>
        <v>2.8571428571428572</v>
      </c>
      <c r="N109" s="47"/>
      <c r="BU109" s="47"/>
      <c r="CF109" s="47"/>
      <c r="CG109" s="47"/>
      <c r="CH109" s="47"/>
      <c r="CI109" s="47"/>
      <c r="CJ109" s="47"/>
      <c r="CK109" s="47"/>
      <c r="CL109" s="47"/>
    </row>
    <row r="110" spans="8:90" x14ac:dyDescent="0.25">
      <c r="H110" t="str">
        <f>_xlfn.CONCAT(Table3234[[#This Row],[HUB ]],"/",Table3234[[#This Row],[DEST]])</f>
        <v>BOM/DAD</v>
      </c>
      <c r="I110" t="s">
        <v>406</v>
      </c>
      <c r="J110" s="453" t="s">
        <v>341</v>
      </c>
      <c r="K110" s="16">
        <v>20</v>
      </c>
      <c r="L110">
        <f>Table3234[[#This Row],[AICRAFT]]/7</f>
        <v>2.8571428571428572</v>
      </c>
      <c r="N110" s="47"/>
      <c r="BU110" s="47"/>
      <c r="CF110" s="47"/>
      <c r="CG110" s="47"/>
      <c r="CH110" s="47"/>
      <c r="CI110" s="47"/>
      <c r="CJ110" s="47"/>
      <c r="CK110" s="47"/>
      <c r="CL110" s="47"/>
    </row>
    <row r="111" spans="8:90" x14ac:dyDescent="0.25">
      <c r="H111" t="str">
        <f>_xlfn.CONCAT(Table3234[[#This Row],[HUB ]],"/",Table3234[[#This Row],[DEST]])</f>
        <v>BOM/DIY</v>
      </c>
      <c r="I111" t="s">
        <v>406</v>
      </c>
      <c r="J111" s="453" t="s">
        <v>4609</v>
      </c>
      <c r="K111" s="16">
        <v>20</v>
      </c>
      <c r="L111">
        <f>Table3234[[#This Row],[AICRAFT]]/7</f>
        <v>2.8571428571428572</v>
      </c>
      <c r="N111" s="47"/>
      <c r="BU111" s="47"/>
      <c r="CF111" s="47"/>
      <c r="CG111" s="47"/>
      <c r="CH111" s="47"/>
      <c r="CI111" s="47"/>
      <c r="CJ111" s="47"/>
      <c r="CK111" s="47"/>
      <c r="CL111" s="47"/>
    </row>
    <row r="112" spans="8:90" x14ac:dyDescent="0.25">
      <c r="H112" t="str">
        <f>_xlfn.CONCAT(Table3234[[#This Row],[HUB ]],"/",Table3234[[#This Row],[DEST]])</f>
        <v>BOM/HAN</v>
      </c>
      <c r="I112" t="s">
        <v>406</v>
      </c>
      <c r="J112" s="453" t="s">
        <v>286</v>
      </c>
      <c r="K112" s="16">
        <v>20</v>
      </c>
      <c r="L112">
        <f>Table3234[[#This Row],[AICRAFT]]/7</f>
        <v>2.8571428571428572</v>
      </c>
      <c r="N112" s="47"/>
      <c r="BU112" s="47"/>
    </row>
    <row r="113" spans="8:73" x14ac:dyDescent="0.25">
      <c r="H113" t="str">
        <f>_xlfn.CONCAT(Table3234[[#This Row],[HUB ]],"/",Table3234[[#This Row],[DEST]])</f>
        <v>BOM/IFN</v>
      </c>
      <c r="I113" t="s">
        <v>406</v>
      </c>
      <c r="J113" s="453" t="s">
        <v>4935</v>
      </c>
      <c r="K113" s="16">
        <v>20</v>
      </c>
      <c r="L113">
        <f>Table3234[[#This Row],[AICRAFT]]/7</f>
        <v>2.8571428571428572</v>
      </c>
      <c r="N113" s="47"/>
      <c r="BU113" s="47"/>
    </row>
    <row r="114" spans="8:73" x14ac:dyDescent="0.25">
      <c r="H114" t="str">
        <f>_xlfn.CONCAT(Table3234[[#This Row],[HUB ]],"/",Table3234[[#This Row],[DEST]])</f>
        <v>BOM/IKA</v>
      </c>
      <c r="I114" t="s">
        <v>406</v>
      </c>
      <c r="J114" s="453" t="s">
        <v>5283</v>
      </c>
      <c r="K114" s="16">
        <v>20</v>
      </c>
      <c r="L114">
        <f>Table3234[[#This Row],[AICRAFT]]/7</f>
        <v>2.8571428571428572</v>
      </c>
      <c r="N114" s="47"/>
      <c r="BU114" s="47"/>
    </row>
    <row r="115" spans="8:73" x14ac:dyDescent="0.25">
      <c r="H115" t="str">
        <f>_xlfn.CONCAT(Table3234[[#This Row],[HUB ]],"/",Table3234[[#This Row],[DEST]])</f>
        <v>BOM/JZH</v>
      </c>
      <c r="I115" t="s">
        <v>406</v>
      </c>
      <c r="J115" s="453" t="s">
        <v>4915</v>
      </c>
      <c r="K115" s="16">
        <v>20</v>
      </c>
      <c r="L115">
        <f>Table3234[[#This Row],[AICRAFT]]/7</f>
        <v>2.8571428571428572</v>
      </c>
      <c r="N115" s="47"/>
      <c r="BU115" s="47"/>
    </row>
    <row r="116" spans="8:73" x14ac:dyDescent="0.25">
      <c r="H116" t="str">
        <f>_xlfn.CONCAT(Table3234[[#This Row],[HUB ]],"/",Table3234[[#This Row],[DEST]])</f>
        <v>BOM/KSH</v>
      </c>
      <c r="I116" t="s">
        <v>406</v>
      </c>
      <c r="J116" s="453" t="s">
        <v>4160</v>
      </c>
      <c r="K116" s="16">
        <v>20</v>
      </c>
      <c r="L116">
        <f>Table3234[[#This Row],[AICRAFT]]/7</f>
        <v>2.8571428571428572</v>
      </c>
      <c r="N116" s="47"/>
      <c r="BU116" s="47"/>
    </row>
    <row r="117" spans="8:73" x14ac:dyDescent="0.25">
      <c r="H117" t="str">
        <f>_xlfn.CONCAT(Table3234[[#This Row],[HUB ]],"/",Table3234[[#This Row],[DEST]])</f>
        <v>BOM/KWE</v>
      </c>
      <c r="I117" t="s">
        <v>406</v>
      </c>
      <c r="J117" s="453" t="s">
        <v>5406</v>
      </c>
      <c r="K117" s="16">
        <v>20</v>
      </c>
      <c r="L117">
        <f>Table3234[[#This Row],[AICRAFT]]/7</f>
        <v>2.8571428571428572</v>
      </c>
      <c r="N117" s="47"/>
      <c r="BU117" s="47"/>
    </row>
    <row r="118" spans="8:73" x14ac:dyDescent="0.25">
      <c r="H118" t="str">
        <f>_xlfn.CONCAT(Table3234[[#This Row],[HUB ]],"/",Table3234[[#This Row],[DEST]])</f>
        <v>BOM/LHW</v>
      </c>
      <c r="I118" t="s">
        <v>406</v>
      </c>
      <c r="J118" s="453" t="s">
        <v>5141</v>
      </c>
      <c r="K118" s="16">
        <v>20</v>
      </c>
      <c r="L118">
        <f>Table3234[[#This Row],[AICRAFT]]/7</f>
        <v>2.8571428571428572</v>
      </c>
      <c r="N118" s="47"/>
      <c r="BU118" s="47"/>
    </row>
    <row r="119" spans="8:73" x14ac:dyDescent="0.25">
      <c r="H119" t="str">
        <f>_xlfn.CONCAT(Table3234[[#This Row],[HUB ]],"/",Table3234[[#This Row],[DEST]])</f>
        <v>BOM/MGQ</v>
      </c>
      <c r="I119" t="s">
        <v>406</v>
      </c>
      <c r="J119" s="453" t="s">
        <v>2258</v>
      </c>
      <c r="K119" s="16">
        <v>20</v>
      </c>
      <c r="L119">
        <f>Table3234[[#This Row],[AICRAFT]]/7</f>
        <v>2.8571428571428572</v>
      </c>
      <c r="N119" s="47"/>
      <c r="BU119" s="47"/>
    </row>
    <row r="120" spans="8:73" x14ac:dyDescent="0.25">
      <c r="H120" t="str">
        <f>_xlfn.CONCAT(Table3234[[#This Row],[HUB ]],"/",Table3234[[#This Row],[DEST]])</f>
        <v>BOM/SYX</v>
      </c>
      <c r="I120" t="s">
        <v>406</v>
      </c>
      <c r="J120" s="453" t="s">
        <v>68</v>
      </c>
      <c r="K120" s="16">
        <v>20</v>
      </c>
      <c r="L120">
        <f>Table3234[[#This Row],[AICRAFT]]/7</f>
        <v>2.8571428571428572</v>
      </c>
      <c r="N120" s="47"/>
      <c r="BU120" s="47"/>
    </row>
    <row r="121" spans="8:73" x14ac:dyDescent="0.25">
      <c r="H121" t="str">
        <f>_xlfn.CONCAT(Table3234[[#This Row],[HUB ]],"/",Table3234[[#This Row],[DEST]])</f>
        <v>BOM/TBZ</v>
      </c>
      <c r="I121" t="s">
        <v>406</v>
      </c>
      <c r="J121" s="453" t="s">
        <v>4611</v>
      </c>
      <c r="K121" s="16">
        <v>20</v>
      </c>
      <c r="L121">
        <f>Table3234[[#This Row],[AICRAFT]]/7</f>
        <v>2.8571428571428572</v>
      </c>
      <c r="N121" s="47"/>
      <c r="BU121" s="47"/>
    </row>
    <row r="122" spans="8:73" x14ac:dyDescent="0.25">
      <c r="H122" t="str">
        <f>_xlfn.CONCAT(Table3234[[#This Row],[HUB ]],"/",Table3234[[#This Row],[DEST]])</f>
        <v>BOM/UET</v>
      </c>
      <c r="I122" t="s">
        <v>406</v>
      </c>
      <c r="J122" s="453" t="s">
        <v>3628</v>
      </c>
      <c r="K122" s="16">
        <v>20</v>
      </c>
      <c r="L122">
        <f>Table3234[[#This Row],[AICRAFT]]/7</f>
        <v>2.8571428571428572</v>
      </c>
    </row>
    <row r="123" spans="8:73" x14ac:dyDescent="0.25">
      <c r="H123" t="str">
        <f>_xlfn.CONCAT(Table3234[[#This Row],[HUB ]],"/",Table3234[[#This Row],[DEST]])</f>
        <v>BOM/URC</v>
      </c>
      <c r="I123" t="s">
        <v>406</v>
      </c>
      <c r="J123" s="453" t="s">
        <v>34</v>
      </c>
      <c r="K123" s="16">
        <v>20</v>
      </c>
      <c r="L123">
        <f>Table3234[[#This Row],[AICRAFT]]/7</f>
        <v>2.8571428571428572</v>
      </c>
    </row>
    <row r="124" spans="8:73" x14ac:dyDescent="0.25">
      <c r="H124" t="str">
        <f>_xlfn.CONCAT(Table3234[[#This Row],[HUB ]],"/",Table3234[[#This Row],[DEST]])</f>
        <v>BOM/XIY</v>
      </c>
      <c r="I124" t="s">
        <v>406</v>
      </c>
      <c r="J124" s="453" t="s">
        <v>15</v>
      </c>
      <c r="K124" s="16">
        <v>20</v>
      </c>
      <c r="L124">
        <f>Table3234[[#This Row],[AICRAFT]]/7</f>
        <v>2.8571428571428572</v>
      </c>
    </row>
    <row r="125" spans="8:73" x14ac:dyDescent="0.25">
      <c r="H125" t="str">
        <f>_xlfn.CONCAT(Table3234[[#This Row],[HUB ]],"/",Table3234[[#This Row],[DEST]])</f>
        <v>BOM/XNN</v>
      </c>
      <c r="I125" t="s">
        <v>406</v>
      </c>
      <c r="J125" s="453" t="s">
        <v>4760</v>
      </c>
      <c r="K125" s="16">
        <v>20</v>
      </c>
      <c r="L125">
        <f>Table3234[[#This Row],[AICRAFT]]/7</f>
        <v>2.8571428571428572</v>
      </c>
    </row>
    <row r="126" spans="8:73" x14ac:dyDescent="0.25">
      <c r="H126" t="str">
        <f>_xlfn.CONCAT(Table3234[[#This Row],[HUB ]],"/",Table3234[[#This Row],[DEST]])</f>
        <v>BOM/ASR</v>
      </c>
      <c r="I126" t="s">
        <v>406</v>
      </c>
      <c r="J126" s="449" t="s">
        <v>4404</v>
      </c>
      <c r="K126" s="16">
        <v>20</v>
      </c>
      <c r="L126">
        <f>Table3234[[#This Row],[AICRAFT]]/7</f>
        <v>2.8571428571428572</v>
      </c>
    </row>
    <row r="127" spans="8:73" x14ac:dyDescent="0.25">
      <c r="H127" t="str">
        <f>_xlfn.CONCAT(Table3234[[#This Row],[HUB ]],"/",Table3234[[#This Row],[DEST]])</f>
        <v>BOM/AYT</v>
      </c>
      <c r="I127" t="s">
        <v>406</v>
      </c>
      <c r="J127" s="449" t="s">
        <v>5663</v>
      </c>
      <c r="K127" s="16">
        <v>20</v>
      </c>
      <c r="L127">
        <f>Table3234[[#This Row],[AICRAFT]]/7</f>
        <v>2.8571428571428572</v>
      </c>
    </row>
    <row r="128" spans="8:73" x14ac:dyDescent="0.25">
      <c r="H128" t="str">
        <f>_xlfn.CONCAT(Table3234[[#This Row],[HUB ]],"/",Table3234[[#This Row],[DEST]])</f>
        <v>BOM/CGO</v>
      </c>
      <c r="I128" t="s">
        <v>406</v>
      </c>
      <c r="J128" s="449" t="s">
        <v>5489</v>
      </c>
      <c r="K128" s="16">
        <v>20</v>
      </c>
      <c r="L128">
        <f>Table3234[[#This Row],[AICRAFT]]/7</f>
        <v>2.8571428571428572</v>
      </c>
    </row>
    <row r="129" spans="8:12" x14ac:dyDescent="0.25">
      <c r="H129" t="str">
        <f>_xlfn.CONCAT(Table3234[[#This Row],[HUB ]],"/",Table3234[[#This Row],[DEST]])</f>
        <v>BOM/ESB</v>
      </c>
      <c r="I129" t="s">
        <v>406</v>
      </c>
      <c r="J129" s="449" t="s">
        <v>316</v>
      </c>
      <c r="K129" s="16">
        <v>20</v>
      </c>
      <c r="L129">
        <f>Table3234[[#This Row],[AICRAFT]]/7</f>
        <v>2.8571428571428572</v>
      </c>
    </row>
    <row r="130" spans="8:12" x14ac:dyDescent="0.25">
      <c r="H130" t="str">
        <f>_xlfn.CONCAT(Table3234[[#This Row],[HUB ]],"/",Table3234[[#This Row],[DEST]])</f>
        <v>BOM/HET</v>
      </c>
      <c r="I130" t="s">
        <v>406</v>
      </c>
      <c r="J130" s="449" t="s">
        <v>5149</v>
      </c>
      <c r="K130" s="16">
        <v>20</v>
      </c>
      <c r="L130">
        <f>Table3234[[#This Row],[AICRAFT]]/7</f>
        <v>2.8571428571428572</v>
      </c>
    </row>
    <row r="131" spans="8:12" x14ac:dyDescent="0.25">
      <c r="H131" t="str">
        <f>_xlfn.CONCAT(Table3234[[#This Row],[HUB ]],"/",Table3234[[#This Row],[DEST]])</f>
        <v>BOM/KHN</v>
      </c>
      <c r="I131" t="s">
        <v>406</v>
      </c>
      <c r="J131" s="449" t="s">
        <v>5265</v>
      </c>
      <c r="K131" s="16">
        <v>20</v>
      </c>
      <c r="L131">
        <f>Table3234[[#This Row],[AICRAFT]]/7</f>
        <v>2.8571428571428572</v>
      </c>
    </row>
    <row r="132" spans="8:12" x14ac:dyDescent="0.25">
      <c r="H132" t="str">
        <f>_xlfn.CONCAT(Table3234[[#This Row],[HUB ]],"/",Table3234[[#This Row],[DEST]])</f>
        <v>BOM/KTM</v>
      </c>
      <c r="I132" t="s">
        <v>406</v>
      </c>
      <c r="J132" s="449" t="s">
        <v>5037</v>
      </c>
      <c r="K132" s="16">
        <v>20</v>
      </c>
      <c r="L132">
        <f>Table3234[[#This Row],[AICRAFT]]/7</f>
        <v>2.8571428571428572</v>
      </c>
    </row>
    <row r="133" spans="8:12" x14ac:dyDescent="0.25">
      <c r="H133" t="str">
        <f>_xlfn.CONCAT(Table3234[[#This Row],[HUB ]],"/",Table3234[[#This Row],[DEST]])</f>
        <v>BOM/LXR</v>
      </c>
      <c r="I133" t="s">
        <v>406</v>
      </c>
      <c r="J133" s="449" t="s">
        <v>5019</v>
      </c>
      <c r="K133" s="16">
        <v>20</v>
      </c>
      <c r="L133">
        <f>Table3234[[#This Row],[AICRAFT]]/7</f>
        <v>2.8571428571428572</v>
      </c>
    </row>
    <row r="134" spans="8:12" x14ac:dyDescent="0.25">
      <c r="H134" t="str">
        <f>_xlfn.CONCAT(Table3234[[#This Row],[HUB ]],"/",Table3234[[#This Row],[DEST]])</f>
        <v>BOM/MFM</v>
      </c>
      <c r="I134" t="s">
        <v>406</v>
      </c>
      <c r="J134" s="449" t="s">
        <v>5300</v>
      </c>
      <c r="K134" s="16">
        <v>20</v>
      </c>
      <c r="L134">
        <f>Table3234[[#This Row],[AICRAFT]]/7</f>
        <v>2.8571428571428572</v>
      </c>
    </row>
    <row r="135" spans="8:12" x14ac:dyDescent="0.25">
      <c r="H135" t="str">
        <f>_xlfn.CONCAT(Table3234[[#This Row],[HUB ]],"/",Table3234[[#This Row],[DEST]])</f>
        <v>BOM/SYZ</v>
      </c>
      <c r="I135" t="s">
        <v>406</v>
      </c>
      <c r="J135" s="449" t="s">
        <v>5035</v>
      </c>
      <c r="K135" s="16">
        <v>20</v>
      </c>
      <c r="L135">
        <f>Table3234[[#This Row],[AICRAFT]]/7</f>
        <v>2.8571428571428572</v>
      </c>
    </row>
    <row r="136" spans="8:12" x14ac:dyDescent="0.25">
      <c r="H136" t="str">
        <f>_xlfn.CONCAT(Table3234[[#This Row],[HUB ]],"/",Table3234[[#This Row],[DEST]])</f>
        <v>BOM/TNA</v>
      </c>
      <c r="I136" t="s">
        <v>406</v>
      </c>
      <c r="J136" s="449" t="s">
        <v>52</v>
      </c>
      <c r="K136" s="16">
        <v>20</v>
      </c>
      <c r="L136">
        <f>Table3234[[#This Row],[AICRAFT]]/7</f>
        <v>2.8571428571428572</v>
      </c>
    </row>
    <row r="137" spans="8:12" x14ac:dyDescent="0.25">
      <c r="H137" t="str">
        <f>_xlfn.CONCAT(Table3234[[#This Row],[HUB ]],"/",Table3234[[#This Row],[DEST]])</f>
        <v>BOM/TYN</v>
      </c>
      <c r="I137" t="s">
        <v>406</v>
      </c>
      <c r="J137" s="449" t="s">
        <v>5331</v>
      </c>
      <c r="K137" s="16">
        <v>20</v>
      </c>
      <c r="L137">
        <f>Table3234[[#This Row],[AICRAFT]]/7</f>
        <v>2.8571428571428572</v>
      </c>
    </row>
    <row r="138" spans="8:12" x14ac:dyDescent="0.25">
      <c r="H138" t="str">
        <f>_xlfn.CONCAT(Table3234[[#This Row],[HUB ]],"/",Table3234[[#This Row],[DEST]])</f>
        <v>BOM/ULN</v>
      </c>
      <c r="I138" t="s">
        <v>406</v>
      </c>
      <c r="J138" s="449" t="s">
        <v>40</v>
      </c>
      <c r="K138" s="16">
        <v>20</v>
      </c>
      <c r="L138">
        <f>Table3234[[#This Row],[AICRAFT]]/7</f>
        <v>2.8571428571428572</v>
      </c>
    </row>
    <row r="139" spans="8:12" x14ac:dyDescent="0.25">
      <c r="H139" t="str">
        <f>_xlfn.CONCAT(Table3234[[#This Row],[HUB ]],"/",Table3234[[#This Row],[DEST]])</f>
        <v>BOM/WUH</v>
      </c>
      <c r="I139" t="s">
        <v>406</v>
      </c>
      <c r="J139" s="449" t="s">
        <v>18</v>
      </c>
      <c r="K139" s="16">
        <v>20</v>
      </c>
      <c r="L139">
        <f>Table3234[[#This Row],[AICRAFT]]/7</f>
        <v>2.8571428571428572</v>
      </c>
    </row>
    <row r="140" spans="8:12" x14ac:dyDescent="0.25">
      <c r="H140" t="str">
        <f>_xlfn.CONCAT(Table3234[[#This Row],[HUB ]],"/",Table3234[[#This Row],[DEST]])</f>
        <v>BOM/XMN</v>
      </c>
      <c r="I140" t="s">
        <v>406</v>
      </c>
      <c r="J140" s="449" t="s">
        <v>5597</v>
      </c>
      <c r="K140" s="16">
        <v>20</v>
      </c>
      <c r="L140">
        <f>Table3234[[#This Row],[AICRAFT]]/7</f>
        <v>2.8571428571428572</v>
      </c>
    </row>
    <row r="141" spans="8:12" x14ac:dyDescent="0.25">
      <c r="H141" t="str">
        <f>_xlfn.CONCAT(Table3234[[#This Row],[HUB ]],"/",Table3234[[#This Row],[DEST]])</f>
        <v>BOM/ABS</v>
      </c>
      <c r="I141" t="s">
        <v>406</v>
      </c>
      <c r="J141" s="445" t="s">
        <v>4229</v>
      </c>
      <c r="K141" s="16">
        <v>20</v>
      </c>
      <c r="L141">
        <f>Table3234[[#This Row],[AICRAFT]]/7</f>
        <v>2.8571428571428572</v>
      </c>
    </row>
    <row r="142" spans="8:12" x14ac:dyDescent="0.25">
      <c r="H142" t="str">
        <f>_xlfn.CONCAT(Table3234[[#This Row],[HUB ]],"/",Table3234[[#This Row],[DEST]])</f>
        <v>BOM/BBU</v>
      </c>
      <c r="I142" t="s">
        <v>406</v>
      </c>
      <c r="J142" s="445" t="s">
        <v>5526</v>
      </c>
      <c r="K142" s="16">
        <v>20</v>
      </c>
      <c r="L142">
        <f>Table3234[[#This Row],[AICRAFT]]/7</f>
        <v>2.8571428571428572</v>
      </c>
    </row>
    <row r="143" spans="8:12" x14ac:dyDescent="0.25">
      <c r="H143" t="str">
        <f>_xlfn.CONCAT(Table3234[[#This Row],[HUB ]],"/",Table3234[[#This Row],[DEST]])</f>
        <v>BOM/CEB</v>
      </c>
      <c r="I143" t="s">
        <v>406</v>
      </c>
      <c r="J143" s="445" t="s">
        <v>373</v>
      </c>
      <c r="K143" s="16">
        <v>20</v>
      </c>
      <c r="L143">
        <f>Table3234[[#This Row],[AICRAFT]]/7</f>
        <v>2.8571428571428572</v>
      </c>
    </row>
    <row r="144" spans="8:12" x14ac:dyDescent="0.25">
      <c r="H144" t="str">
        <f>_xlfn.CONCAT(Table3234[[#This Row],[HUB ]],"/",Table3234[[#This Row],[DEST]])</f>
        <v>BOM/CGQ</v>
      </c>
      <c r="I144" t="s">
        <v>406</v>
      </c>
      <c r="J144" s="445" t="s">
        <v>366</v>
      </c>
      <c r="K144" s="16">
        <v>20</v>
      </c>
      <c r="L144">
        <f>Table3234[[#This Row],[AICRAFT]]/7</f>
        <v>2.8571428571428572</v>
      </c>
    </row>
    <row r="145" spans="8:12" x14ac:dyDescent="0.25">
      <c r="H145" t="str">
        <f>_xlfn.CONCAT(Table3234[[#This Row],[HUB ]],"/",Table3234[[#This Row],[DEST]])</f>
        <v>BOM/DLC</v>
      </c>
      <c r="I145" t="s">
        <v>406</v>
      </c>
      <c r="J145" s="445" t="s">
        <v>337</v>
      </c>
      <c r="K145" s="16">
        <v>20</v>
      </c>
      <c r="L145">
        <f>Table3234[[#This Row],[AICRAFT]]/7</f>
        <v>2.8571428571428572</v>
      </c>
    </row>
    <row r="146" spans="8:12" x14ac:dyDescent="0.25">
      <c r="H146" t="str">
        <f>_xlfn.CONCAT(Table3234[[#This Row],[HUB ]],"/",Table3234[[#This Row],[DEST]])</f>
        <v>BOM/DVO</v>
      </c>
      <c r="I146" t="s">
        <v>406</v>
      </c>
      <c r="J146" s="445" t="s">
        <v>322</v>
      </c>
      <c r="K146" s="16">
        <v>20</v>
      </c>
      <c r="L146">
        <f>Table3234[[#This Row],[AICRAFT]]/7</f>
        <v>2.8571428571428572</v>
      </c>
    </row>
    <row r="147" spans="8:12" x14ac:dyDescent="0.25">
      <c r="H147" t="str">
        <f>_xlfn.CONCAT(Table3234[[#This Row],[HUB ]],"/",Table3234[[#This Row],[DEST]])</f>
        <v>BOM/HRB</v>
      </c>
      <c r="I147" t="s">
        <v>406</v>
      </c>
      <c r="J147" s="445" t="s">
        <v>268</v>
      </c>
      <c r="K147" s="16">
        <v>20</v>
      </c>
      <c r="L147">
        <f>Table3234[[#This Row],[AICRAFT]]/7</f>
        <v>2.8571428571428572</v>
      </c>
    </row>
    <row r="148" spans="8:12" x14ac:dyDescent="0.25">
      <c r="H148" t="str">
        <f>_xlfn.CONCAT(Table3234[[#This Row],[HUB ]],"/",Table3234[[#This Row],[DEST]])</f>
        <v>BOM/LED</v>
      </c>
      <c r="I148" t="s">
        <v>406</v>
      </c>
      <c r="J148" s="445" t="s">
        <v>204</v>
      </c>
      <c r="K148" s="16">
        <v>20</v>
      </c>
      <c r="L148">
        <f>Table3234[[#This Row],[AICRAFT]]/7</f>
        <v>2.8571428571428572</v>
      </c>
    </row>
    <row r="149" spans="8:12" x14ac:dyDescent="0.25">
      <c r="H149" t="str">
        <f>_xlfn.CONCAT(Table3234[[#This Row],[HUB ]],"/",Table3234[[#This Row],[DEST]])</f>
        <v>BOM/NGB</v>
      </c>
      <c r="I149" t="s">
        <v>406</v>
      </c>
      <c r="J149" s="445" t="s">
        <v>5272</v>
      </c>
      <c r="K149" s="16">
        <v>20</v>
      </c>
      <c r="L149">
        <f>Table3234[[#This Row],[AICRAFT]]/7</f>
        <v>2.8571428571428572</v>
      </c>
    </row>
    <row r="150" spans="8:12" x14ac:dyDescent="0.25">
      <c r="H150" t="str">
        <f>_xlfn.CONCAT(Table3234[[#This Row],[HUB ]],"/",Table3234[[#This Row],[DEST]])</f>
        <v>BOM/OTP</v>
      </c>
      <c r="I150" t="s">
        <v>406</v>
      </c>
      <c r="J150" s="445" t="s">
        <v>5358</v>
      </c>
      <c r="K150" s="16">
        <v>20</v>
      </c>
      <c r="L150">
        <f>Table3234[[#This Row],[AICRAFT]]/7</f>
        <v>2.8571428571428572</v>
      </c>
    </row>
    <row r="151" spans="8:12" x14ac:dyDescent="0.25">
      <c r="H151" t="str">
        <f>_xlfn.CONCAT(Table3234[[#This Row],[HUB ]],"/",Table3234[[#This Row],[DEST]])</f>
        <v>BOM/SHE</v>
      </c>
      <c r="I151" t="s">
        <v>406</v>
      </c>
      <c r="J151" s="445" t="s">
        <v>95</v>
      </c>
      <c r="K151" s="16">
        <v>20</v>
      </c>
      <c r="L151">
        <f>Table3234[[#This Row],[AICRAFT]]/7</f>
        <v>2.8571428571428572</v>
      </c>
    </row>
    <row r="152" spans="8:12" x14ac:dyDescent="0.25">
      <c r="H152" t="str">
        <f>_xlfn.CONCAT(Table3234[[#This Row],[HUB ]],"/",Table3234[[#This Row],[DEST]])</f>
        <v>BOM/WAW</v>
      </c>
      <c r="I152" t="s">
        <v>406</v>
      </c>
      <c r="J152" s="445" t="s">
        <v>5567</v>
      </c>
      <c r="K152" s="16">
        <v>20</v>
      </c>
      <c r="L152">
        <f>Table3234[[#This Row],[AICRAFT]]/7</f>
        <v>2.8571428571428572</v>
      </c>
    </row>
    <row r="153" spans="8:12" x14ac:dyDescent="0.25">
      <c r="H153" t="str">
        <f>_xlfn.CONCAT(Table3234[[#This Row],[HUB ]],"/",Table3234[[#This Row],[DEST]])</f>
        <v>BOM/ABJ</v>
      </c>
      <c r="I153" t="s">
        <v>406</v>
      </c>
      <c r="J153" s="444" t="s">
        <v>4529</v>
      </c>
      <c r="K153" s="16">
        <v>25</v>
      </c>
      <c r="L153">
        <f>Table3234[[#This Row],[AICRAFT]]/7</f>
        <v>3.5714285714285716</v>
      </c>
    </row>
    <row r="154" spans="8:12" x14ac:dyDescent="0.25">
      <c r="H154" t="str">
        <f>_xlfn.CONCAT(Table3234[[#This Row],[HUB ]],"/",Table3234[[#This Row],[DEST]])</f>
        <v>BOM/ABV</v>
      </c>
      <c r="I154" t="s">
        <v>406</v>
      </c>
      <c r="J154" s="444" t="s">
        <v>5267</v>
      </c>
      <c r="K154" s="16">
        <v>25</v>
      </c>
      <c r="L154">
        <f>Table3234[[#This Row],[AICRAFT]]/7</f>
        <v>3.5714285714285716</v>
      </c>
    </row>
    <row r="155" spans="8:12" x14ac:dyDescent="0.25">
      <c r="H155" t="str">
        <f>_xlfn.CONCAT(Table3234[[#This Row],[HUB ]],"/",Table3234[[#This Row],[DEST]])</f>
        <v>BOM/AWA</v>
      </c>
      <c r="I155" t="s">
        <v>406</v>
      </c>
      <c r="J155" s="444" t="s">
        <v>3941</v>
      </c>
      <c r="K155" s="16">
        <v>25</v>
      </c>
      <c r="L155">
        <f>Table3234[[#This Row],[AICRAFT]]/7</f>
        <v>3.5714285714285716</v>
      </c>
    </row>
    <row r="156" spans="8:12" x14ac:dyDescent="0.25">
      <c r="H156" t="str">
        <f>_xlfn.CONCAT(Table3234[[#This Row],[HUB ]],"/",Table3234[[#This Row],[DEST]])</f>
        <v>BOM/CAI</v>
      </c>
      <c r="I156" t="s">
        <v>406</v>
      </c>
      <c r="J156" s="444" t="s">
        <v>388</v>
      </c>
      <c r="K156" s="16">
        <v>25</v>
      </c>
      <c r="L156">
        <f>Table3234[[#This Row],[AICRAFT]]/7</f>
        <v>3.5714285714285716</v>
      </c>
    </row>
    <row r="157" spans="8:12" x14ac:dyDescent="0.25">
      <c r="H157" t="str">
        <f>_xlfn.CONCAT(Table3234[[#This Row],[HUB ]],"/",Table3234[[#This Row],[DEST]])</f>
        <v>BOM/CKG</v>
      </c>
      <c r="I157" t="s">
        <v>406</v>
      </c>
      <c r="J157" s="444" t="s">
        <v>361</v>
      </c>
      <c r="K157" s="16">
        <v>25</v>
      </c>
      <c r="L157">
        <f>Table3234[[#This Row],[AICRAFT]]/7</f>
        <v>3.5714285714285716</v>
      </c>
    </row>
    <row r="158" spans="8:12" x14ac:dyDescent="0.25">
      <c r="H158" t="str">
        <f>_xlfn.CONCAT(Table3234[[#This Row],[HUB ]],"/",Table3234[[#This Row],[DEST]])</f>
        <v>BOM/DSS</v>
      </c>
      <c r="I158" t="s">
        <v>406</v>
      </c>
      <c r="J158" s="444" t="s">
        <v>5163</v>
      </c>
      <c r="K158" s="16">
        <v>25</v>
      </c>
      <c r="L158">
        <f>Table3234[[#This Row],[AICRAFT]]/7</f>
        <v>3.5714285714285716</v>
      </c>
    </row>
    <row r="159" spans="8:12" x14ac:dyDescent="0.25">
      <c r="H159" t="str">
        <f>_xlfn.CONCAT(Table3234[[#This Row],[HUB ]],"/",Table3234[[#This Row],[DEST]])</f>
        <v>BOM/JNB</v>
      </c>
      <c r="I159" t="s">
        <v>406</v>
      </c>
      <c r="J159" s="444" t="s">
        <v>234</v>
      </c>
      <c r="K159" s="16">
        <v>25</v>
      </c>
      <c r="L159">
        <f>Table3234[[#This Row],[AICRAFT]]/7</f>
        <v>3.5714285714285716</v>
      </c>
    </row>
    <row r="160" spans="8:12" x14ac:dyDescent="0.25">
      <c r="H160" t="str">
        <f>_xlfn.CONCAT(Table3234[[#This Row],[HUB ]],"/",Table3234[[#This Row],[DEST]])</f>
        <v>BOM/KAN</v>
      </c>
      <c r="I160" t="s">
        <v>406</v>
      </c>
      <c r="J160" s="444" t="s">
        <v>5452</v>
      </c>
      <c r="K160" s="16">
        <v>25</v>
      </c>
      <c r="L160">
        <f>Table3234[[#This Row],[AICRAFT]]/7</f>
        <v>3.5714285714285716</v>
      </c>
    </row>
    <row r="161" spans="8:12" x14ac:dyDescent="0.25">
      <c r="H161" t="str">
        <f>_xlfn.CONCAT(Table3234[[#This Row],[HUB ]],"/",Table3234[[#This Row],[DEST]])</f>
        <v>BOM/KMG</v>
      </c>
      <c r="I161" t="s">
        <v>406</v>
      </c>
      <c r="J161" s="444" t="s">
        <v>217</v>
      </c>
      <c r="K161" s="16">
        <v>25</v>
      </c>
      <c r="L161">
        <f>Table3234[[#This Row],[AICRAFT]]/7</f>
        <v>3.5714285714285716</v>
      </c>
    </row>
    <row r="162" spans="8:12" x14ac:dyDescent="0.25">
      <c r="H162" t="str">
        <f>_xlfn.CONCAT(Table3234[[#This Row],[HUB ]],"/",Table3234[[#This Row],[DEST]])</f>
        <v>BOM/LOS</v>
      </c>
      <c r="I162" t="s">
        <v>406</v>
      </c>
      <c r="J162" s="444" t="s">
        <v>484</v>
      </c>
      <c r="K162" s="16">
        <v>25</v>
      </c>
      <c r="L162">
        <f>Table3234[[#This Row],[AICRAFT]]/7</f>
        <v>3.5714285714285716</v>
      </c>
    </row>
    <row r="163" spans="8:12" x14ac:dyDescent="0.25">
      <c r="H163" t="str">
        <f>_xlfn.CONCAT(Table3234[[#This Row],[HUB ]],"/",Table3234[[#This Row],[DEST]])</f>
        <v>BOM/SGN</v>
      </c>
      <c r="I163" t="s">
        <v>406</v>
      </c>
      <c r="J163" s="444" t="s">
        <v>100</v>
      </c>
      <c r="K163" s="16">
        <v>25</v>
      </c>
      <c r="L163">
        <f>Table3234[[#This Row],[AICRAFT]]/7</f>
        <v>3.5714285714285716</v>
      </c>
    </row>
    <row r="164" spans="8:12" x14ac:dyDescent="0.25">
      <c r="H164" t="str">
        <f>_xlfn.CONCAT(Table3234[[#This Row],[HUB ]],"/",Table3234[[#This Row],[DEST]])</f>
        <v>BOM/ADL</v>
      </c>
      <c r="I164" t="s">
        <v>406</v>
      </c>
      <c r="J164" t="s">
        <v>5487</v>
      </c>
      <c r="K164" s="16">
        <v>14</v>
      </c>
      <c r="L164">
        <f>Table3234[[#This Row],[AICRAFT]]/7</f>
        <v>2</v>
      </c>
    </row>
    <row r="165" spans="8:12" x14ac:dyDescent="0.25">
      <c r="H165" t="str">
        <f>_xlfn.CONCAT(Table3234[[#This Row],[HUB ]],"/",Table3234[[#This Row],[DEST]])</f>
        <v>BOM/AGA</v>
      </c>
      <c r="I165" t="s">
        <v>406</v>
      </c>
      <c r="J165" t="s">
        <v>4816</v>
      </c>
      <c r="K165" s="16">
        <v>14</v>
      </c>
      <c r="L165">
        <f>Table3234[[#This Row],[AICRAFT]]/7</f>
        <v>2</v>
      </c>
    </row>
    <row r="166" spans="8:12" x14ac:dyDescent="0.25">
      <c r="H166" t="str">
        <f>_xlfn.CONCAT(Table3234[[#This Row],[HUB ]],"/",Table3234[[#This Row],[DEST]])</f>
        <v>BOM/AKL</v>
      </c>
      <c r="I166" t="s">
        <v>406</v>
      </c>
      <c r="J166" t="s">
        <v>452</v>
      </c>
      <c r="K166" s="16">
        <v>14</v>
      </c>
      <c r="L166">
        <f>Table3234[[#This Row],[AICRAFT]]/7</f>
        <v>2</v>
      </c>
    </row>
    <row r="167" spans="8:12" x14ac:dyDescent="0.25">
      <c r="H167" t="str">
        <f>_xlfn.CONCAT(Table3234[[#This Row],[HUB ]],"/",Table3234[[#This Row],[DEST]])</f>
        <v>BOM/AMS</v>
      </c>
      <c r="I167" t="s">
        <v>406</v>
      </c>
      <c r="J167" t="s">
        <v>446</v>
      </c>
      <c r="K167" s="16">
        <v>14</v>
      </c>
      <c r="L167">
        <f>Table3234[[#This Row],[AICRAFT]]/7</f>
        <v>2</v>
      </c>
    </row>
    <row r="168" spans="8:12" x14ac:dyDescent="0.25">
      <c r="H168" t="str">
        <f>_xlfn.CONCAT(Table3234[[#This Row],[HUB ]],"/",Table3234[[#This Row],[DEST]])</f>
        <v>BOM/ATL</v>
      </c>
      <c r="I168" t="s">
        <v>406</v>
      </c>
      <c r="J168" t="s">
        <v>5768</v>
      </c>
      <c r="K168" s="16">
        <v>14</v>
      </c>
      <c r="L168">
        <f>Table3234[[#This Row],[AICRAFT]]/7</f>
        <v>2</v>
      </c>
    </row>
    <row r="169" spans="8:12" x14ac:dyDescent="0.25">
      <c r="H169" t="str">
        <f>_xlfn.CONCAT(Table3234[[#This Row],[HUB ]],"/",Table3234[[#This Row],[DEST]])</f>
        <v>BOM/BCN</v>
      </c>
      <c r="I169" t="s">
        <v>406</v>
      </c>
      <c r="J169" t="s">
        <v>430</v>
      </c>
      <c r="K169" s="16">
        <v>14</v>
      </c>
      <c r="L169">
        <f>Table3234[[#This Row],[AICRAFT]]/7</f>
        <v>2</v>
      </c>
    </row>
    <row r="170" spans="8:12" x14ac:dyDescent="0.25">
      <c r="H170" t="str">
        <f>_xlfn.CONCAT(Table3234[[#This Row],[HUB ]],"/",Table3234[[#This Row],[DEST]])</f>
        <v>BOM/BEL</v>
      </c>
      <c r="I170" t="s">
        <v>406</v>
      </c>
      <c r="J170" t="s">
        <v>426</v>
      </c>
      <c r="K170" s="16">
        <v>14</v>
      </c>
      <c r="L170">
        <f>Table3234[[#This Row],[AICRAFT]]/7</f>
        <v>2</v>
      </c>
    </row>
    <row r="171" spans="8:12" x14ac:dyDescent="0.25">
      <c r="H171" t="str">
        <f>_xlfn.CONCAT(Table3234[[#This Row],[HUB ]],"/",Table3234[[#This Row],[DEST]])</f>
        <v>BOM/BGY</v>
      </c>
      <c r="I171" t="s">
        <v>406</v>
      </c>
      <c r="J171" t="s">
        <v>5507</v>
      </c>
      <c r="K171" s="16">
        <v>14</v>
      </c>
      <c r="L171">
        <f>Table3234[[#This Row],[AICRAFT]]/7</f>
        <v>2</v>
      </c>
    </row>
    <row r="172" spans="8:12" x14ac:dyDescent="0.25">
      <c r="H172" t="str">
        <f>_xlfn.CONCAT(Table3234[[#This Row],[HUB ]],"/",Table3234[[#This Row],[DEST]])</f>
        <v>BOM/BNE</v>
      </c>
      <c r="I172" t="s">
        <v>406</v>
      </c>
      <c r="J172" t="s">
        <v>410</v>
      </c>
      <c r="K172" s="16">
        <v>14</v>
      </c>
      <c r="L172">
        <f>Table3234[[#This Row],[AICRAFT]]/7</f>
        <v>2</v>
      </c>
    </row>
    <row r="173" spans="8:12" x14ac:dyDescent="0.25">
      <c r="H173" t="str">
        <f>_xlfn.CONCAT(Table3234[[#This Row],[HUB ]],"/",Table3234[[#This Row],[DEST]])</f>
        <v>BOM/BOG</v>
      </c>
      <c r="I173" t="s">
        <v>406</v>
      </c>
      <c r="J173" t="s">
        <v>408</v>
      </c>
      <c r="K173" s="16">
        <v>14</v>
      </c>
      <c r="L173">
        <f>Table3234[[#This Row],[AICRAFT]]/7</f>
        <v>2</v>
      </c>
    </row>
    <row r="174" spans="8:12" x14ac:dyDescent="0.25">
      <c r="H174" t="str">
        <f>_xlfn.CONCAT(Table3234[[#This Row],[HUB ]],"/",Table3234[[#This Row],[DEST]])</f>
        <v>BOM/BOS</v>
      </c>
      <c r="I174" t="s">
        <v>406</v>
      </c>
      <c r="J174" t="s">
        <v>404</v>
      </c>
      <c r="K174" s="16">
        <v>14</v>
      </c>
      <c r="L174">
        <f>Table3234[[#This Row],[AICRAFT]]/7</f>
        <v>2</v>
      </c>
    </row>
    <row r="175" spans="8:12" x14ac:dyDescent="0.25">
      <c r="H175" t="str">
        <f>_xlfn.CONCAT(Table3234[[#This Row],[HUB ]],"/",Table3234[[#This Row],[DEST]])</f>
        <v>BOM/BRU</v>
      </c>
      <c r="I175" t="s">
        <v>406</v>
      </c>
      <c r="J175" t="s">
        <v>402</v>
      </c>
      <c r="K175" s="16">
        <v>14</v>
      </c>
      <c r="L175">
        <f>Table3234[[#This Row],[AICRAFT]]/7</f>
        <v>2</v>
      </c>
    </row>
    <row r="176" spans="8:12" x14ac:dyDescent="0.25">
      <c r="H176" t="str">
        <f>_xlfn.CONCAT(Table3234[[#This Row],[HUB ]],"/",Table3234[[#This Row],[DEST]])</f>
        <v>BOM/BTH</v>
      </c>
      <c r="I176" t="s">
        <v>406</v>
      </c>
      <c r="J176" t="s">
        <v>395</v>
      </c>
      <c r="K176" s="16">
        <v>14</v>
      </c>
      <c r="L176">
        <f>Table3234[[#This Row],[AICRAFT]]/7</f>
        <v>2</v>
      </c>
    </row>
    <row r="177" spans="8:12" x14ac:dyDescent="0.25">
      <c r="H177" t="str">
        <f>_xlfn.CONCAT(Table3234[[#This Row],[HUB ]],"/",Table3234[[#This Row],[DEST]])</f>
        <v>BOM/BUD</v>
      </c>
      <c r="I177" t="s">
        <v>406</v>
      </c>
      <c r="J177" t="s">
        <v>393</v>
      </c>
      <c r="K177" s="16">
        <v>14</v>
      </c>
      <c r="L177">
        <f>Table3234[[#This Row],[AICRAFT]]/7</f>
        <v>2</v>
      </c>
    </row>
    <row r="178" spans="8:12" x14ac:dyDescent="0.25">
      <c r="H178" t="str">
        <f>_xlfn.CONCAT(Table3234[[#This Row],[HUB ]],"/",Table3234[[#This Row],[DEST]])</f>
        <v>BOM/BWI</v>
      </c>
      <c r="I178" t="s">
        <v>406</v>
      </c>
      <c r="J178" t="s">
        <v>5682</v>
      </c>
      <c r="K178" s="16">
        <v>14</v>
      </c>
      <c r="L178">
        <f>Table3234[[#This Row],[AICRAFT]]/7</f>
        <v>2</v>
      </c>
    </row>
    <row r="179" spans="8:12" x14ac:dyDescent="0.25">
      <c r="H179" t="str">
        <f>_xlfn.CONCAT(Table3234[[#This Row],[HUB ]],"/",Table3234[[#This Row],[DEST]])</f>
        <v>BOM/CAY</v>
      </c>
      <c r="I179" t="s">
        <v>406</v>
      </c>
      <c r="J179" t="s">
        <v>4052</v>
      </c>
      <c r="K179" s="16">
        <v>14</v>
      </c>
      <c r="L179">
        <f>Table3234[[#This Row],[AICRAFT]]/7</f>
        <v>2</v>
      </c>
    </row>
    <row r="180" spans="8:12" x14ac:dyDescent="0.25">
      <c r="H180" t="str">
        <f>_xlfn.CONCAT(Table3234[[#This Row],[HUB ]],"/",Table3234[[#This Row],[DEST]])</f>
        <v>BOM/CCS</v>
      </c>
      <c r="I180" t="s">
        <v>406</v>
      </c>
      <c r="J180" t="s">
        <v>381</v>
      </c>
      <c r="K180" s="16">
        <v>14</v>
      </c>
      <c r="L180">
        <f>Table3234[[#This Row],[AICRAFT]]/7</f>
        <v>2</v>
      </c>
    </row>
    <row r="181" spans="8:12" x14ac:dyDescent="0.25">
      <c r="H181" t="str">
        <f>_xlfn.CONCAT(Table3234[[#This Row],[HUB ]],"/",Table3234[[#This Row],[DEST]])</f>
        <v>BOM/CDG</v>
      </c>
      <c r="I181" t="s">
        <v>406</v>
      </c>
      <c r="J181" t="s">
        <v>376</v>
      </c>
      <c r="K181" s="16">
        <v>14</v>
      </c>
      <c r="L181">
        <f>Table3234[[#This Row],[AICRAFT]]/7</f>
        <v>2</v>
      </c>
    </row>
    <row r="182" spans="8:12" x14ac:dyDescent="0.25">
      <c r="H182" t="str">
        <f>_xlfn.CONCAT(Table3234[[#This Row],[HUB ]],"/",Table3234[[#This Row],[DEST]])</f>
        <v>BOM/CEI</v>
      </c>
      <c r="I182" t="s">
        <v>406</v>
      </c>
      <c r="J182" t="s">
        <v>371</v>
      </c>
      <c r="K182" s="16">
        <v>14</v>
      </c>
      <c r="L182">
        <f>Table3234[[#This Row],[AICRAFT]]/7</f>
        <v>2</v>
      </c>
    </row>
    <row r="183" spans="8:12" x14ac:dyDescent="0.25">
      <c r="H183" t="str">
        <f>_xlfn.CONCAT(Table3234[[#This Row],[HUB ]],"/",Table3234[[#This Row],[DEST]])</f>
        <v>BOM/CHC</v>
      </c>
      <c r="I183" t="s">
        <v>406</v>
      </c>
      <c r="J183" t="s">
        <v>364</v>
      </c>
      <c r="K183" s="16">
        <v>14</v>
      </c>
      <c r="L183">
        <f>Table3234[[#This Row],[AICRAFT]]/7</f>
        <v>2</v>
      </c>
    </row>
    <row r="184" spans="8:12" x14ac:dyDescent="0.25">
      <c r="H184" t="str">
        <f>_xlfn.CONCAT(Table3234[[#This Row],[HUB ]],"/",Table3234[[#This Row],[DEST]])</f>
        <v>BOM/CJU</v>
      </c>
      <c r="I184" t="s">
        <v>406</v>
      </c>
      <c r="J184" t="s">
        <v>5608</v>
      </c>
      <c r="K184" s="16">
        <v>14</v>
      </c>
      <c r="L184">
        <f>Table3234[[#This Row],[AICRAFT]]/7</f>
        <v>2</v>
      </c>
    </row>
    <row r="185" spans="8:12" x14ac:dyDescent="0.25">
      <c r="H185" t="str">
        <f>_xlfn.CONCAT(Table3234[[#This Row],[HUB ]],"/",Table3234[[#This Row],[DEST]])</f>
        <v>BOM/CLT</v>
      </c>
      <c r="I185" t="s">
        <v>406</v>
      </c>
      <c r="J185" t="s">
        <v>5732</v>
      </c>
      <c r="K185" s="16">
        <v>14</v>
      </c>
      <c r="L185">
        <f>Table3234[[#This Row],[AICRAFT]]/7</f>
        <v>2</v>
      </c>
    </row>
    <row r="186" spans="8:12" x14ac:dyDescent="0.25">
      <c r="H186" t="str">
        <f>_xlfn.CONCAT(Table3234[[#This Row],[HUB ]],"/",Table3234[[#This Row],[DEST]])</f>
        <v>BOM/CMN</v>
      </c>
      <c r="I186" t="s">
        <v>406</v>
      </c>
      <c r="J186" t="s">
        <v>359</v>
      </c>
      <c r="K186" s="16">
        <v>14</v>
      </c>
      <c r="L186">
        <f>Table3234[[#This Row],[AICRAFT]]/7</f>
        <v>2</v>
      </c>
    </row>
    <row r="187" spans="8:12" x14ac:dyDescent="0.25">
      <c r="H187" t="str">
        <f>_xlfn.CONCAT(Table3234[[#This Row],[HUB ]],"/",Table3234[[#This Row],[DEST]])</f>
        <v>BOM/CNF</v>
      </c>
      <c r="I187" t="s">
        <v>406</v>
      </c>
      <c r="J187" t="s">
        <v>5485</v>
      </c>
      <c r="K187" s="16">
        <v>14</v>
      </c>
      <c r="L187">
        <f>Table3234[[#This Row],[AICRAFT]]/7</f>
        <v>2</v>
      </c>
    </row>
    <row r="188" spans="8:12" x14ac:dyDescent="0.25">
      <c r="H188" t="str">
        <f>_xlfn.CONCAT(Table3234[[#This Row],[HUB ]],"/",Table3234[[#This Row],[DEST]])</f>
        <v>BOM/CNX</v>
      </c>
      <c r="I188" t="s">
        <v>406</v>
      </c>
      <c r="J188" t="s">
        <v>357</v>
      </c>
      <c r="K188" s="16">
        <v>14</v>
      </c>
      <c r="L188">
        <f>Table3234[[#This Row],[AICRAFT]]/7</f>
        <v>2</v>
      </c>
    </row>
    <row r="189" spans="8:12" x14ac:dyDescent="0.25">
      <c r="H189" t="str">
        <f>_xlfn.CONCAT(Table3234[[#This Row],[HUB ]],"/",Table3234[[#This Row],[DEST]])</f>
        <v>BOM/COR</v>
      </c>
      <c r="I189" t="s">
        <v>406</v>
      </c>
      <c r="J189" t="s">
        <v>4642</v>
      </c>
      <c r="K189" s="16">
        <v>14</v>
      </c>
      <c r="L189">
        <f>Table3234[[#This Row],[AICRAFT]]/7</f>
        <v>2</v>
      </c>
    </row>
    <row r="190" spans="8:12" x14ac:dyDescent="0.25">
      <c r="H190" t="str">
        <f>_xlfn.CONCAT(Table3234[[#This Row],[HUB ]],"/",Table3234[[#This Row],[DEST]])</f>
        <v>BOM/CPH</v>
      </c>
      <c r="I190" t="s">
        <v>406</v>
      </c>
      <c r="J190" t="s">
        <v>5658</v>
      </c>
      <c r="K190" s="16">
        <v>14</v>
      </c>
      <c r="L190">
        <f>Table3234[[#This Row],[AICRAFT]]/7</f>
        <v>2</v>
      </c>
    </row>
    <row r="191" spans="8:12" x14ac:dyDescent="0.25">
      <c r="H191" t="str">
        <f>_xlfn.CONCAT(Table3234[[#This Row],[HUB ]],"/",Table3234[[#This Row],[DEST]])</f>
        <v>BOM/CTS</v>
      </c>
      <c r="I191" t="s">
        <v>406</v>
      </c>
      <c r="J191" t="s">
        <v>349</v>
      </c>
      <c r="K191" s="16">
        <v>14</v>
      </c>
      <c r="L191">
        <f>Table3234[[#This Row],[AICRAFT]]/7</f>
        <v>2</v>
      </c>
    </row>
    <row r="192" spans="8:12" x14ac:dyDescent="0.25">
      <c r="H192" t="str">
        <f>_xlfn.CONCAT(Table3234[[#This Row],[HUB ]],"/",Table3234[[#This Row],[DEST]])</f>
        <v>BOM/CUN</v>
      </c>
      <c r="I192" t="s">
        <v>406</v>
      </c>
      <c r="J192" t="s">
        <v>5616</v>
      </c>
      <c r="K192" s="16">
        <v>14</v>
      </c>
      <c r="L192">
        <f>Table3234[[#This Row],[AICRAFT]]/7</f>
        <v>2</v>
      </c>
    </row>
    <row r="193" spans="8:12" x14ac:dyDescent="0.25">
      <c r="H193" t="str">
        <f>_xlfn.CONCAT(Table3234[[#This Row],[HUB ]],"/",Table3234[[#This Row],[DEST]])</f>
        <v>BOM/DNH</v>
      </c>
      <c r="I193" t="s">
        <v>406</v>
      </c>
      <c r="J193" t="s">
        <v>3070</v>
      </c>
      <c r="K193" s="16">
        <v>14</v>
      </c>
      <c r="L193">
        <f>Table3234[[#This Row],[AICRAFT]]/7</f>
        <v>2</v>
      </c>
    </row>
    <row r="194" spans="8:12" x14ac:dyDescent="0.25">
      <c r="H194" t="str">
        <f>_xlfn.CONCAT(Table3234[[#This Row],[HUB ]],"/",Table3234[[#This Row],[DEST]])</f>
        <v>BOM/DPS</v>
      </c>
      <c r="I194" t="s">
        <v>406</v>
      </c>
      <c r="J194" t="s">
        <v>328</v>
      </c>
      <c r="K194" s="16">
        <v>14</v>
      </c>
      <c r="L194">
        <f>Table3234[[#This Row],[AICRAFT]]/7</f>
        <v>2</v>
      </c>
    </row>
    <row r="195" spans="8:12" x14ac:dyDescent="0.25">
      <c r="H195" t="str">
        <f>_xlfn.CONCAT(Table3234[[#This Row],[HUB ]],"/",Table3234[[#This Row],[DEST]])</f>
        <v>BOM/DUS</v>
      </c>
      <c r="I195" t="s">
        <v>406</v>
      </c>
      <c r="J195" t="s">
        <v>324</v>
      </c>
      <c r="K195" s="16">
        <v>14</v>
      </c>
      <c r="L195">
        <f>Table3234[[#This Row],[AICRAFT]]/7</f>
        <v>2</v>
      </c>
    </row>
    <row r="196" spans="8:12" x14ac:dyDescent="0.25">
      <c r="H196" t="str">
        <f>_xlfn.CONCAT(Table3234[[#This Row],[HUB ]],"/",Table3234[[#This Row],[DEST]])</f>
        <v>BOM/EWR</v>
      </c>
      <c r="I196" t="s">
        <v>406</v>
      </c>
      <c r="J196" t="s">
        <v>314</v>
      </c>
      <c r="K196" s="16">
        <v>14</v>
      </c>
      <c r="L196">
        <f>Table3234[[#This Row],[AICRAFT]]/7</f>
        <v>2</v>
      </c>
    </row>
    <row r="197" spans="8:12" x14ac:dyDescent="0.25">
      <c r="H197" t="str">
        <f>_xlfn.CONCAT(Table3234[[#This Row],[HUB ]],"/",Table3234[[#This Row],[DEST]])</f>
        <v>BOM/EZE</v>
      </c>
      <c r="I197" t="s">
        <v>406</v>
      </c>
      <c r="J197" t="s">
        <v>312</v>
      </c>
      <c r="K197" s="16">
        <v>14</v>
      </c>
      <c r="L197">
        <f>Table3234[[#This Row],[AICRAFT]]/7</f>
        <v>2</v>
      </c>
    </row>
    <row r="198" spans="8:12" x14ac:dyDescent="0.25">
      <c r="H198" t="str">
        <f>_xlfn.CONCAT(Table3234[[#This Row],[HUB ]],"/",Table3234[[#This Row],[DEST]])</f>
        <v>BOM/FCO</v>
      </c>
      <c r="I198" t="s">
        <v>406</v>
      </c>
      <c r="J198" t="s">
        <v>309</v>
      </c>
      <c r="K198" s="16">
        <v>14</v>
      </c>
      <c r="L198">
        <f>Table3234[[#This Row],[AICRAFT]]/7</f>
        <v>2</v>
      </c>
    </row>
    <row r="199" spans="8:12" x14ac:dyDescent="0.25">
      <c r="H199" t="str">
        <f>_xlfn.CONCAT(Table3234[[#This Row],[HUB ]],"/",Table3234[[#This Row],[DEST]])</f>
        <v>BOM/FEZ</v>
      </c>
      <c r="I199" t="s">
        <v>406</v>
      </c>
      <c r="J199" t="s">
        <v>4104</v>
      </c>
      <c r="K199" s="16">
        <v>14</v>
      </c>
      <c r="L199">
        <f>Table3234[[#This Row],[AICRAFT]]/7</f>
        <v>2</v>
      </c>
    </row>
    <row r="200" spans="8:12" x14ac:dyDescent="0.25">
      <c r="H200" t="str">
        <f>_xlfn.CONCAT(Table3234[[#This Row],[HUB ]],"/",Table3234[[#This Row],[DEST]])</f>
        <v>BOM/FNC</v>
      </c>
      <c r="I200" t="s">
        <v>406</v>
      </c>
      <c r="J200" t="s">
        <v>5064</v>
      </c>
      <c r="K200" s="16">
        <v>14</v>
      </c>
      <c r="L200">
        <f>Table3234[[#This Row],[AICRAFT]]/7</f>
        <v>2</v>
      </c>
    </row>
    <row r="201" spans="8:12" x14ac:dyDescent="0.25">
      <c r="H201" t="str">
        <f>_xlfn.CONCAT(Table3234[[#This Row],[HUB ]],"/",Table3234[[#This Row],[DEST]])</f>
        <v>BOM/FRA</v>
      </c>
      <c r="I201" t="s">
        <v>406</v>
      </c>
      <c r="J201" t="s">
        <v>306</v>
      </c>
      <c r="K201" s="16">
        <v>14</v>
      </c>
      <c r="L201">
        <f>Table3234[[#This Row],[AICRAFT]]/7</f>
        <v>2</v>
      </c>
    </row>
    <row r="202" spans="8:12" x14ac:dyDescent="0.25">
      <c r="H202" t="str">
        <f>_xlfn.CONCAT(Table3234[[#This Row],[HUB ]],"/",Table3234[[#This Row],[DEST]])</f>
        <v>BOM/FUK</v>
      </c>
      <c r="I202" t="s">
        <v>406</v>
      </c>
      <c r="J202" t="s">
        <v>5661</v>
      </c>
      <c r="K202" s="16">
        <v>14</v>
      </c>
      <c r="L202">
        <f>Table3234[[#This Row],[AICRAFT]]/7</f>
        <v>2</v>
      </c>
    </row>
    <row r="203" spans="8:12" x14ac:dyDescent="0.25">
      <c r="H203" t="str">
        <f>_xlfn.CONCAT(Table3234[[#This Row],[HUB ]],"/",Table3234[[#This Row],[DEST]])</f>
        <v>BOM/GAU</v>
      </c>
      <c r="I203" t="s">
        <v>406</v>
      </c>
      <c r="J203" t="s">
        <v>304</v>
      </c>
      <c r="K203" s="16">
        <v>14</v>
      </c>
      <c r="L203">
        <f>Table3234[[#This Row],[AICRAFT]]/7</f>
        <v>2</v>
      </c>
    </row>
    <row r="204" spans="8:12" x14ac:dyDescent="0.25">
      <c r="H204" t="str">
        <f>_xlfn.CONCAT(Table3234[[#This Row],[HUB ]],"/",Table3234[[#This Row],[DEST]])</f>
        <v>BOM/GIG</v>
      </c>
      <c r="I204" t="s">
        <v>406</v>
      </c>
      <c r="J204" t="s">
        <v>5611</v>
      </c>
      <c r="K204" s="16">
        <v>14</v>
      </c>
      <c r="L204">
        <f>Table3234[[#This Row],[AICRAFT]]/7</f>
        <v>2</v>
      </c>
    </row>
    <row r="205" spans="8:12" x14ac:dyDescent="0.25">
      <c r="H205" t="str">
        <f>_xlfn.CONCAT(Table3234[[#This Row],[HUB ]],"/",Table3234[[#This Row],[DEST]])</f>
        <v>BOM/GMP</v>
      </c>
      <c r="I205" t="s">
        <v>406</v>
      </c>
      <c r="J205" t="s">
        <v>5625</v>
      </c>
      <c r="K205" s="16">
        <v>14</v>
      </c>
      <c r="L205">
        <f>Table3234[[#This Row],[AICRAFT]]/7</f>
        <v>2</v>
      </c>
    </row>
    <row r="206" spans="8:12" x14ac:dyDescent="0.25">
      <c r="H206" t="str">
        <f>_xlfn.CONCAT(Table3234[[#This Row],[HUB ]],"/",Table3234[[#This Row],[DEST]])</f>
        <v>BOM/HAV</v>
      </c>
      <c r="I206" t="s">
        <v>406</v>
      </c>
      <c r="J206" t="s">
        <v>5465</v>
      </c>
      <c r="K206" s="16">
        <v>14</v>
      </c>
      <c r="L206">
        <f>Table3234[[#This Row],[AICRAFT]]/7</f>
        <v>2</v>
      </c>
    </row>
    <row r="207" spans="8:12" x14ac:dyDescent="0.25">
      <c r="H207" t="str">
        <f>_xlfn.CONCAT(Table3234[[#This Row],[HUB ]],"/",Table3234[[#This Row],[DEST]])</f>
        <v>BOM/HEL</v>
      </c>
      <c r="I207" t="s">
        <v>406</v>
      </c>
      <c r="J207" t="s">
        <v>282</v>
      </c>
      <c r="K207" s="16">
        <v>14</v>
      </c>
      <c r="L207">
        <f>Table3234[[#This Row],[AICRAFT]]/7</f>
        <v>2</v>
      </c>
    </row>
    <row r="208" spans="8:12" x14ac:dyDescent="0.25">
      <c r="H208" t="str">
        <f>_xlfn.CONCAT(Table3234[[#This Row],[HUB ]],"/",Table3234[[#This Row],[DEST]])</f>
        <v>BOM/HLP</v>
      </c>
      <c r="I208" t="s">
        <v>406</v>
      </c>
      <c r="J208" t="s">
        <v>272</v>
      </c>
      <c r="K208" s="16">
        <v>14</v>
      </c>
      <c r="L208">
        <f>Table3234[[#This Row],[AICRAFT]]/7</f>
        <v>2</v>
      </c>
    </row>
    <row r="209" spans="8:12" x14ac:dyDescent="0.25">
      <c r="H209" t="str">
        <f>_xlfn.CONCAT(Table3234[[#This Row],[HUB ]],"/",Table3234[[#This Row],[DEST]])</f>
        <v>BOM/HND</v>
      </c>
      <c r="I209" t="s">
        <v>406</v>
      </c>
      <c r="J209" t="s">
        <v>270</v>
      </c>
      <c r="K209" s="16">
        <v>14</v>
      </c>
      <c r="L209">
        <f>Table3234[[#This Row],[AICRAFT]]/7</f>
        <v>2</v>
      </c>
    </row>
    <row r="210" spans="8:12" x14ac:dyDescent="0.25">
      <c r="H210" t="str">
        <f>_xlfn.CONCAT(Table3234[[#This Row],[HUB ]],"/",Table3234[[#This Row],[DEST]])</f>
        <v>BOM/IAD</v>
      </c>
      <c r="I210" t="s">
        <v>406</v>
      </c>
      <c r="J210" t="s">
        <v>261</v>
      </c>
      <c r="K210" s="16">
        <v>14</v>
      </c>
      <c r="L210">
        <f>Table3234[[#This Row],[AICRAFT]]/7</f>
        <v>2</v>
      </c>
    </row>
    <row r="211" spans="8:12" x14ac:dyDescent="0.25">
      <c r="H211" t="str">
        <f>_xlfn.CONCAT(Table3234[[#This Row],[HUB ]],"/",Table3234[[#This Row],[DEST]])</f>
        <v>BOM/ICN</v>
      </c>
      <c r="I211" t="s">
        <v>406</v>
      </c>
      <c r="J211" t="s">
        <v>259</v>
      </c>
      <c r="K211" s="16">
        <v>14</v>
      </c>
      <c r="L211">
        <f>Table3234[[#This Row],[AICRAFT]]/7</f>
        <v>2</v>
      </c>
    </row>
    <row r="212" spans="8:12" x14ac:dyDescent="0.25">
      <c r="H212" t="str">
        <f>_xlfn.CONCAT(Table3234[[#This Row],[HUB ]],"/",Table3234[[#This Row],[DEST]])</f>
        <v>BOM/IST</v>
      </c>
      <c r="I212" t="s">
        <v>406</v>
      </c>
      <c r="J212" t="s">
        <v>252</v>
      </c>
      <c r="K212" s="16">
        <v>14</v>
      </c>
      <c r="L212">
        <f>Table3234[[#This Row],[AICRAFT]]/7</f>
        <v>2</v>
      </c>
    </row>
    <row r="213" spans="8:12" x14ac:dyDescent="0.25">
      <c r="H213" t="str">
        <f>_xlfn.CONCAT(Table3234[[#This Row],[HUB ]],"/",Table3234[[#This Row],[DEST]])</f>
        <v>BOM/ITM</v>
      </c>
      <c r="I213" t="s">
        <v>406</v>
      </c>
      <c r="J213" t="s">
        <v>249</v>
      </c>
      <c r="K213" s="16">
        <v>14</v>
      </c>
      <c r="L213">
        <f>Table3234[[#This Row],[AICRAFT]]/7</f>
        <v>2</v>
      </c>
    </row>
    <row r="214" spans="8:12" x14ac:dyDescent="0.25">
      <c r="H214" t="str">
        <f>_xlfn.CONCAT(Table3234[[#This Row],[HUB ]],"/",Table3234[[#This Row],[DEST]])</f>
        <v>BOM/JFK</v>
      </c>
      <c r="I214" t="s">
        <v>406</v>
      </c>
      <c r="J214" t="s">
        <v>238</v>
      </c>
      <c r="K214" s="16">
        <v>14</v>
      </c>
      <c r="L214">
        <f>Table3234[[#This Row],[AICRAFT]]/7</f>
        <v>2</v>
      </c>
    </row>
    <row r="215" spans="8:12" x14ac:dyDescent="0.25">
      <c r="H215" t="str">
        <f>_xlfn.CONCAT(Table3234[[#This Row],[HUB ]],"/",Table3234[[#This Row],[DEST]])</f>
        <v>BOM/KIX</v>
      </c>
      <c r="I215" t="s">
        <v>406</v>
      </c>
      <c r="J215" t="s">
        <v>219</v>
      </c>
      <c r="K215" s="16">
        <v>14</v>
      </c>
      <c r="L215">
        <f>Table3234[[#This Row],[AICRAFT]]/7</f>
        <v>2</v>
      </c>
    </row>
    <row r="216" spans="8:12" x14ac:dyDescent="0.25">
      <c r="H216" t="str">
        <f>_xlfn.CONCAT(Table3234[[#This Row],[HUB ]],"/",Table3234[[#This Row],[DEST]])</f>
        <v>BOM/LAX</v>
      </c>
      <c r="I216" t="s">
        <v>406</v>
      </c>
      <c r="J216" t="s">
        <v>5754</v>
      </c>
      <c r="K216" s="16">
        <v>14</v>
      </c>
      <c r="L216">
        <f>Table3234[[#This Row],[AICRAFT]]/7</f>
        <v>2</v>
      </c>
    </row>
    <row r="217" spans="8:12" x14ac:dyDescent="0.25">
      <c r="H217" t="str">
        <f>_xlfn.CONCAT(Table3234[[#This Row],[HUB ]],"/",Table3234[[#This Row],[DEST]])</f>
        <v>BOM/LGW</v>
      </c>
      <c r="I217" t="s">
        <v>406</v>
      </c>
      <c r="J217" t="s">
        <v>200</v>
      </c>
      <c r="K217" s="16">
        <v>14</v>
      </c>
      <c r="L217">
        <f>Table3234[[#This Row],[AICRAFT]]/7</f>
        <v>2</v>
      </c>
    </row>
    <row r="218" spans="8:12" x14ac:dyDescent="0.25">
      <c r="H218" t="str">
        <f>_xlfn.CONCAT(Table3234[[#This Row],[HUB ]],"/",Table3234[[#This Row],[DEST]])</f>
        <v>BOM/LHR</v>
      </c>
      <c r="I218" t="s">
        <v>406</v>
      </c>
      <c r="J218" t="s">
        <v>195</v>
      </c>
      <c r="K218" s="16">
        <v>14</v>
      </c>
      <c r="L218">
        <f>Table3234[[#This Row],[AICRAFT]]/7</f>
        <v>2</v>
      </c>
    </row>
    <row r="219" spans="8:12" x14ac:dyDescent="0.25">
      <c r="H219" t="str">
        <f>_xlfn.CONCAT(Table3234[[#This Row],[HUB ]],"/",Table3234[[#This Row],[DEST]])</f>
        <v>BOM/LIS</v>
      </c>
      <c r="I219" t="s">
        <v>406</v>
      </c>
      <c r="J219" t="s">
        <v>193</v>
      </c>
      <c r="K219" s="16">
        <v>14</v>
      </c>
      <c r="L219">
        <f>Table3234[[#This Row],[AICRAFT]]/7</f>
        <v>2</v>
      </c>
    </row>
    <row r="220" spans="8:12" x14ac:dyDescent="0.25">
      <c r="H220" t="str">
        <f>_xlfn.CONCAT(Table3234[[#This Row],[HUB ]],"/",Table3234[[#This Row],[DEST]])</f>
        <v>BOM/MAD</v>
      </c>
      <c r="I220" t="s">
        <v>406</v>
      </c>
      <c r="J220" t="s">
        <v>185</v>
      </c>
      <c r="K220" s="16">
        <v>14</v>
      </c>
      <c r="L220">
        <f>Table3234[[#This Row],[AICRAFT]]/7</f>
        <v>2</v>
      </c>
    </row>
    <row r="221" spans="8:12" x14ac:dyDescent="0.25">
      <c r="H221" t="str">
        <f>_xlfn.CONCAT(Table3234[[#This Row],[HUB ]],"/",Table3234[[#This Row],[DEST]])</f>
        <v>BOM/MAN</v>
      </c>
      <c r="I221" t="s">
        <v>406</v>
      </c>
      <c r="J221" t="s">
        <v>182</v>
      </c>
      <c r="K221" s="16">
        <v>14</v>
      </c>
      <c r="L221">
        <f>Table3234[[#This Row],[AICRAFT]]/7</f>
        <v>2</v>
      </c>
    </row>
    <row r="222" spans="8:12" x14ac:dyDescent="0.25">
      <c r="H222" t="str">
        <f>_xlfn.CONCAT(Table3234[[#This Row],[HUB ]],"/",Table3234[[#This Row],[DEST]])</f>
        <v>BOM/MAR</v>
      </c>
      <c r="I222" t="s">
        <v>406</v>
      </c>
      <c r="J222" t="s">
        <v>5130</v>
      </c>
      <c r="K222" s="16">
        <v>14</v>
      </c>
      <c r="L222">
        <f>Table3234[[#This Row],[AICRAFT]]/7</f>
        <v>2</v>
      </c>
    </row>
    <row r="223" spans="8:12" x14ac:dyDescent="0.25">
      <c r="H223" t="str">
        <f>_xlfn.CONCAT(Table3234[[#This Row],[HUB ]],"/",Table3234[[#This Row],[DEST]])</f>
        <v>BOM/MCI</v>
      </c>
      <c r="I223" t="s">
        <v>406</v>
      </c>
      <c r="J223" t="s">
        <v>5574</v>
      </c>
      <c r="K223" s="16">
        <v>14</v>
      </c>
      <c r="L223">
        <f>Table3234[[#This Row],[AICRAFT]]/7</f>
        <v>2</v>
      </c>
    </row>
    <row r="224" spans="8:12" x14ac:dyDescent="0.25">
      <c r="H224" t="str">
        <f>_xlfn.CONCAT(Table3234[[#This Row],[HUB ]],"/",Table3234[[#This Row],[DEST]])</f>
        <v>BOM/MEL</v>
      </c>
      <c r="I224" t="s">
        <v>406</v>
      </c>
      <c r="J224" t="s">
        <v>170</v>
      </c>
      <c r="K224" s="16">
        <v>14</v>
      </c>
      <c r="L224">
        <f>Table3234[[#This Row],[AICRAFT]]/7</f>
        <v>2</v>
      </c>
    </row>
    <row r="225" spans="8:12" x14ac:dyDescent="0.25">
      <c r="H225" t="str">
        <f>_xlfn.CONCAT(Table3234[[#This Row],[HUB ]],"/",Table3234[[#This Row],[DEST]])</f>
        <v>BOM/MUC</v>
      </c>
      <c r="I225" t="s">
        <v>406</v>
      </c>
      <c r="J225" t="s">
        <v>157</v>
      </c>
      <c r="K225" s="16">
        <v>14</v>
      </c>
      <c r="L225">
        <f>Table3234[[#This Row],[AICRAFT]]/7</f>
        <v>2</v>
      </c>
    </row>
    <row r="226" spans="8:12" x14ac:dyDescent="0.25">
      <c r="H226" t="str">
        <f>_xlfn.CONCAT(Table3234[[#This Row],[HUB ]],"/",Table3234[[#This Row],[DEST]])</f>
        <v>BOM/MXP</v>
      </c>
      <c r="I226" t="s">
        <v>406</v>
      </c>
      <c r="J226" t="s">
        <v>5672</v>
      </c>
      <c r="K226" s="16">
        <v>14</v>
      </c>
      <c r="L226">
        <f>Table3234[[#This Row],[AICRAFT]]/7</f>
        <v>2</v>
      </c>
    </row>
    <row r="227" spans="8:12" x14ac:dyDescent="0.25">
      <c r="H227" t="str">
        <f>_xlfn.CONCAT(Table3234[[#This Row],[HUB ]],"/",Table3234[[#This Row],[DEST]])</f>
        <v>BOM/MYR</v>
      </c>
      <c r="I227" t="s">
        <v>406</v>
      </c>
      <c r="J227" t="s">
        <v>4785</v>
      </c>
      <c r="K227" s="16">
        <v>14</v>
      </c>
      <c r="L227">
        <f>Table3234[[#This Row],[AICRAFT]]/7</f>
        <v>2</v>
      </c>
    </row>
    <row r="228" spans="8:12" x14ac:dyDescent="0.25">
      <c r="H228" t="str">
        <f>_xlfn.CONCAT(Table3234[[#This Row],[HUB ]],"/",Table3234[[#This Row],[DEST]])</f>
        <v>BOM/NGO</v>
      </c>
      <c r="I228" t="s">
        <v>406</v>
      </c>
      <c r="J228" t="s">
        <v>149</v>
      </c>
      <c r="K228" s="16">
        <v>14</v>
      </c>
      <c r="L228">
        <f>Table3234[[#This Row],[AICRAFT]]/7</f>
        <v>2</v>
      </c>
    </row>
    <row r="229" spans="8:12" x14ac:dyDescent="0.25">
      <c r="H229" t="str">
        <f>_xlfn.CONCAT(Table3234[[#This Row],[HUB ]],"/",Table3234[[#This Row],[DEST]])</f>
        <v>BOM/NRT</v>
      </c>
      <c r="I229" t="s">
        <v>406</v>
      </c>
      <c r="J229" t="s">
        <v>145</v>
      </c>
      <c r="K229" s="16">
        <v>14</v>
      </c>
      <c r="L229">
        <f>Table3234[[#This Row],[AICRAFT]]/7</f>
        <v>2</v>
      </c>
    </row>
    <row r="230" spans="8:12" x14ac:dyDescent="0.25">
      <c r="H230" t="str">
        <f>_xlfn.CONCAT(Table3234[[#This Row],[HUB ]],"/",Table3234[[#This Row],[DEST]])</f>
        <v>BOM/OKA</v>
      </c>
      <c r="I230" t="s">
        <v>406</v>
      </c>
      <c r="J230" t="s">
        <v>143</v>
      </c>
      <c r="K230" s="16">
        <v>14</v>
      </c>
      <c r="L230">
        <f>Table3234[[#This Row],[AICRAFT]]/7</f>
        <v>2</v>
      </c>
    </row>
    <row r="231" spans="8:12" x14ac:dyDescent="0.25">
      <c r="H231" t="str">
        <f>_xlfn.CONCAT(Table3234[[#This Row],[HUB ]],"/",Table3234[[#This Row],[DEST]])</f>
        <v>BOM/ORD</v>
      </c>
      <c r="I231" t="s">
        <v>406</v>
      </c>
      <c r="J231" t="s">
        <v>5762</v>
      </c>
      <c r="K231" s="16">
        <v>14</v>
      </c>
      <c r="L231">
        <f>Table3234[[#This Row],[AICRAFT]]/7</f>
        <v>2</v>
      </c>
    </row>
    <row r="232" spans="8:12" x14ac:dyDescent="0.25">
      <c r="H232" t="str">
        <f>_xlfn.CONCAT(Table3234[[#This Row],[HUB ]],"/",Table3234[[#This Row],[DEST]])</f>
        <v>BOM/PER</v>
      </c>
      <c r="I232" t="s">
        <v>406</v>
      </c>
      <c r="J232" t="s">
        <v>126</v>
      </c>
      <c r="K232" s="16">
        <v>14</v>
      </c>
      <c r="L232">
        <f>Table3234[[#This Row],[AICRAFT]]/7</f>
        <v>2</v>
      </c>
    </row>
    <row r="233" spans="8:12" x14ac:dyDescent="0.25">
      <c r="H233" t="str">
        <f>_xlfn.CONCAT(Table3234[[#This Row],[HUB ]],"/",Table3234[[#This Row],[DEST]])</f>
        <v>BOM/PHX</v>
      </c>
      <c r="I233" t="s">
        <v>406</v>
      </c>
      <c r="J233" t="s">
        <v>5734</v>
      </c>
      <c r="K233" s="16">
        <v>14</v>
      </c>
      <c r="L233">
        <f>Table3234[[#This Row],[AICRAFT]]/7</f>
        <v>2</v>
      </c>
    </row>
    <row r="234" spans="8:12" x14ac:dyDescent="0.25">
      <c r="H234" t="str">
        <f>_xlfn.CONCAT(Table3234[[#This Row],[HUB ]],"/",Table3234[[#This Row],[DEST]])</f>
        <v>BOM/PKX</v>
      </c>
      <c r="I234" t="s">
        <v>406</v>
      </c>
      <c r="J234" t="s">
        <v>122</v>
      </c>
      <c r="K234" s="16">
        <v>14</v>
      </c>
      <c r="L234">
        <f>Table3234[[#This Row],[AICRAFT]]/7</f>
        <v>2</v>
      </c>
    </row>
    <row r="235" spans="8:12" x14ac:dyDescent="0.25">
      <c r="H235" t="str">
        <f>_xlfn.CONCAT(Table3234[[#This Row],[HUB ]],"/",Table3234[[#This Row],[DEST]])</f>
        <v>BOM/PNZ</v>
      </c>
      <c r="I235" t="s">
        <v>406</v>
      </c>
      <c r="J235" t="s">
        <v>3553</v>
      </c>
      <c r="K235" s="16">
        <v>14</v>
      </c>
      <c r="L235">
        <f>Table3234[[#This Row],[AICRAFT]]/7</f>
        <v>2</v>
      </c>
    </row>
    <row r="236" spans="8:12" x14ac:dyDescent="0.25">
      <c r="H236" t="str">
        <f>_xlfn.CONCAT(Table3234[[#This Row],[HUB ]],"/",Table3234[[#This Row],[DEST]])</f>
        <v>BOM/PUS</v>
      </c>
      <c r="I236" t="s">
        <v>406</v>
      </c>
      <c r="J236" t="s">
        <v>5497</v>
      </c>
      <c r="K236" s="16">
        <v>14</v>
      </c>
      <c r="L236">
        <f>Table3234[[#This Row],[AICRAFT]]/7</f>
        <v>2</v>
      </c>
    </row>
    <row r="237" spans="8:12" x14ac:dyDescent="0.25">
      <c r="H237" t="str">
        <f>_xlfn.CONCAT(Table3234[[#This Row],[HUB ]],"/",Table3234[[#This Row],[DEST]])</f>
        <v>BOM/RAK</v>
      </c>
      <c r="I237" t="s">
        <v>406</v>
      </c>
      <c r="J237" t="s">
        <v>5155</v>
      </c>
      <c r="K237" s="16">
        <v>14</v>
      </c>
      <c r="L237">
        <f>Table3234[[#This Row],[AICRAFT]]/7</f>
        <v>2</v>
      </c>
    </row>
    <row r="238" spans="8:12" x14ac:dyDescent="0.25">
      <c r="H238" t="str">
        <f>_xlfn.CONCAT(Table3234[[#This Row],[HUB ]],"/",Table3234[[#This Row],[DEST]])</f>
        <v>BOM/RBA</v>
      </c>
      <c r="I238" t="s">
        <v>406</v>
      </c>
      <c r="J238" t="s">
        <v>3799</v>
      </c>
      <c r="K238" s="16">
        <v>14</v>
      </c>
      <c r="L238">
        <f>Table3234[[#This Row],[AICRAFT]]/7</f>
        <v>2</v>
      </c>
    </row>
    <row r="239" spans="8:12" x14ac:dyDescent="0.25">
      <c r="H239" t="str">
        <f>_xlfn.CONCAT(Table3234[[#This Row],[HUB ]],"/",Table3234[[#This Row],[DEST]])</f>
        <v>BOM/REC</v>
      </c>
      <c r="I239" t="s">
        <v>406</v>
      </c>
      <c r="J239" t="s">
        <v>5425</v>
      </c>
      <c r="K239" s="16">
        <v>14</v>
      </c>
      <c r="L239">
        <f>Table3234[[#This Row],[AICRAFT]]/7</f>
        <v>2</v>
      </c>
    </row>
    <row r="240" spans="8:12" x14ac:dyDescent="0.25">
      <c r="H240" t="str">
        <f>_xlfn.CONCAT(Table3234[[#This Row],[HUB ]],"/",Table3234[[#This Row],[DEST]])</f>
        <v>BOM/RMQ</v>
      </c>
      <c r="I240" t="s">
        <v>406</v>
      </c>
      <c r="J240" t="s">
        <v>14212</v>
      </c>
      <c r="K240" s="16">
        <v>14</v>
      </c>
      <c r="L240">
        <f>Table3234[[#This Row],[AICRAFT]]/7</f>
        <v>2</v>
      </c>
    </row>
    <row r="241" spans="8:12" x14ac:dyDescent="0.25">
      <c r="H241" t="str">
        <f>_xlfn.CONCAT(Table3234[[#This Row],[HUB ]],"/",Table3234[[#This Row],[DEST]])</f>
        <v>BOM/RNO</v>
      </c>
      <c r="I241" t="s">
        <v>406</v>
      </c>
      <c r="J241" t="s">
        <v>5247</v>
      </c>
      <c r="K241" s="16">
        <v>14</v>
      </c>
      <c r="L241">
        <f>Table3234[[#This Row],[AICRAFT]]/7</f>
        <v>2</v>
      </c>
    </row>
    <row r="242" spans="8:12" x14ac:dyDescent="0.25">
      <c r="H242" t="str">
        <f>_xlfn.CONCAT(Table3234[[#This Row],[HUB ]],"/",Table3234[[#This Row],[DEST]])</f>
        <v>BOM/SEA</v>
      </c>
      <c r="I242" t="s">
        <v>406</v>
      </c>
      <c r="J242" t="s">
        <v>5717</v>
      </c>
      <c r="K242" s="16">
        <v>14</v>
      </c>
      <c r="L242">
        <f>Table3234[[#This Row],[AICRAFT]]/7</f>
        <v>2</v>
      </c>
    </row>
    <row r="243" spans="8:12" x14ac:dyDescent="0.25">
      <c r="H243" t="str">
        <f>_xlfn.CONCAT(Table3234[[#This Row],[HUB ]],"/",Table3234[[#This Row],[DEST]])</f>
        <v>BOM/SFO</v>
      </c>
      <c r="I243" t="s">
        <v>406</v>
      </c>
      <c r="J243" t="s">
        <v>5737</v>
      </c>
      <c r="K243" s="16">
        <v>14</v>
      </c>
      <c r="L243">
        <f>Table3234[[#This Row],[AICRAFT]]/7</f>
        <v>2</v>
      </c>
    </row>
    <row r="244" spans="8:12" x14ac:dyDescent="0.25">
      <c r="H244" t="str">
        <f>_xlfn.CONCAT(Table3234[[#This Row],[HUB ]],"/",Table3234[[#This Row],[DEST]])</f>
        <v>BOM/SJU</v>
      </c>
      <c r="I244" t="s">
        <v>406</v>
      </c>
      <c r="J244" t="s">
        <v>5532</v>
      </c>
      <c r="K244" s="16">
        <v>14</v>
      </c>
      <c r="L244">
        <f>Table3234[[#This Row],[AICRAFT]]/7</f>
        <v>2</v>
      </c>
    </row>
    <row r="245" spans="8:12" x14ac:dyDescent="0.25">
      <c r="H245" t="str">
        <f>_xlfn.CONCAT(Table3234[[#This Row],[HUB ]],"/",Table3234[[#This Row],[DEST]])</f>
        <v>BOM/SLC</v>
      </c>
      <c r="I245" t="s">
        <v>406</v>
      </c>
      <c r="J245" t="s">
        <v>5676</v>
      </c>
      <c r="K245" s="16">
        <v>14</v>
      </c>
      <c r="L245">
        <f>Table3234[[#This Row],[AICRAFT]]/7</f>
        <v>2</v>
      </c>
    </row>
    <row r="246" spans="8:12" x14ac:dyDescent="0.25">
      <c r="H246" t="str">
        <f>_xlfn.CONCAT(Table3234[[#This Row],[HUB ]],"/",Table3234[[#This Row],[DEST]])</f>
        <v>BOM/SSA</v>
      </c>
      <c r="I246" t="s">
        <v>406</v>
      </c>
      <c r="J246" t="s">
        <v>5509</v>
      </c>
      <c r="K246" s="16">
        <v>14</v>
      </c>
      <c r="L246">
        <f>Table3234[[#This Row],[AICRAFT]]/7</f>
        <v>2</v>
      </c>
    </row>
    <row r="247" spans="8:12" x14ac:dyDescent="0.25">
      <c r="H247" t="str">
        <f>_xlfn.CONCAT(Table3234[[#This Row],[HUB ]],"/",Table3234[[#This Row],[DEST]])</f>
        <v>BOM/STN</v>
      </c>
      <c r="I247" t="s">
        <v>406</v>
      </c>
      <c r="J247" t="s">
        <v>84</v>
      </c>
      <c r="K247" s="16">
        <v>14</v>
      </c>
      <c r="L247">
        <f>Table3234[[#This Row],[AICRAFT]]/7</f>
        <v>2</v>
      </c>
    </row>
    <row r="248" spans="8:12" x14ac:dyDescent="0.25">
      <c r="H248" t="str">
        <f>_xlfn.CONCAT(Table3234[[#This Row],[HUB ]],"/",Table3234[[#This Row],[DEST]])</f>
        <v>BOM/SUB</v>
      </c>
      <c r="I248" t="s">
        <v>406</v>
      </c>
      <c r="J248" t="s">
        <v>81</v>
      </c>
      <c r="K248" s="16">
        <v>14</v>
      </c>
      <c r="L248">
        <f>Table3234[[#This Row],[AICRAFT]]/7</f>
        <v>2</v>
      </c>
    </row>
    <row r="249" spans="8:12" x14ac:dyDescent="0.25">
      <c r="H249" t="str">
        <f>_xlfn.CONCAT(Table3234[[#This Row],[HUB ]],"/",Table3234[[#This Row],[DEST]])</f>
        <v>BOM/SYD</v>
      </c>
      <c r="I249" t="s">
        <v>406</v>
      </c>
      <c r="J249" t="s">
        <v>71</v>
      </c>
      <c r="K249" s="16">
        <v>14</v>
      </c>
      <c r="L249">
        <f>Table3234[[#This Row],[AICRAFT]]/7</f>
        <v>2</v>
      </c>
    </row>
    <row r="250" spans="8:12" x14ac:dyDescent="0.25">
      <c r="H250" t="str">
        <f>_xlfn.CONCAT(Table3234[[#This Row],[HUB ]],"/",Table3234[[#This Row],[DEST]])</f>
        <v>BOM/TNG</v>
      </c>
      <c r="I250" t="s">
        <v>406</v>
      </c>
      <c r="J250" t="s">
        <v>50</v>
      </c>
      <c r="K250" s="16">
        <v>14</v>
      </c>
      <c r="L250">
        <f>Table3234[[#This Row],[AICRAFT]]/7</f>
        <v>2</v>
      </c>
    </row>
    <row r="251" spans="8:12" x14ac:dyDescent="0.25">
      <c r="H251" t="str">
        <f>_xlfn.CONCAT(Table3234[[#This Row],[HUB ]],"/",Table3234[[#This Row],[DEST]])</f>
        <v>BOM/TXL</v>
      </c>
      <c r="I251" t="s">
        <v>406</v>
      </c>
      <c r="J251" t="s">
        <v>5631</v>
      </c>
      <c r="K251" s="16">
        <v>14</v>
      </c>
      <c r="L251">
        <f>Table3234[[#This Row],[AICRAFT]]/7</f>
        <v>2</v>
      </c>
    </row>
    <row r="252" spans="8:12" x14ac:dyDescent="0.25">
      <c r="H252" t="str">
        <f>_xlfn.CONCAT(Table3234[[#This Row],[HUB ]],"/",Table3234[[#This Row],[DEST]])</f>
        <v>BOM/UPG</v>
      </c>
      <c r="I252" t="s">
        <v>406</v>
      </c>
      <c r="J252" t="s">
        <v>37</v>
      </c>
      <c r="K252" s="16">
        <v>14</v>
      </c>
      <c r="L252">
        <f>Table3234[[#This Row],[AICRAFT]]/7</f>
        <v>2</v>
      </c>
    </row>
    <row r="253" spans="8:12" x14ac:dyDescent="0.25">
      <c r="H253" t="str">
        <f>_xlfn.CONCAT(Table3234[[#This Row],[HUB ]],"/",Table3234[[#This Row],[DEST]])</f>
        <v>BOM/URT</v>
      </c>
      <c r="I253" t="s">
        <v>406</v>
      </c>
      <c r="J253" t="s">
        <v>32</v>
      </c>
      <c r="K253" s="16">
        <v>14</v>
      </c>
      <c r="L253">
        <f>Table3234[[#This Row],[AICRAFT]]/7</f>
        <v>2</v>
      </c>
    </row>
    <row r="254" spans="8:12" x14ac:dyDescent="0.25">
      <c r="H254" t="str">
        <f>_xlfn.CONCAT(Table3234[[#This Row],[HUB ]],"/",Table3234[[#This Row],[DEST]])</f>
        <v>BOM/UTP</v>
      </c>
      <c r="I254" t="s">
        <v>406</v>
      </c>
      <c r="J254" t="s">
        <v>30</v>
      </c>
      <c r="K254" s="16">
        <v>14</v>
      </c>
      <c r="L254">
        <f>Table3234[[#This Row],[AICRAFT]]/7</f>
        <v>2</v>
      </c>
    </row>
    <row r="255" spans="8:12" x14ac:dyDescent="0.25">
      <c r="H255" t="str">
        <f>_xlfn.CONCAT(Table3234[[#This Row],[HUB ]],"/",Table3234[[#This Row],[DEST]])</f>
        <v>BOM/VCP</v>
      </c>
      <c r="I255" t="s">
        <v>406</v>
      </c>
      <c r="J255" t="s">
        <v>5380</v>
      </c>
      <c r="K255" s="16">
        <v>14</v>
      </c>
      <c r="L255">
        <f>Table3234[[#This Row],[AICRAFT]]/7</f>
        <v>2</v>
      </c>
    </row>
    <row r="256" spans="8:12" x14ac:dyDescent="0.25">
      <c r="H256" t="str">
        <f>_xlfn.CONCAT(Table3234[[#This Row],[HUB ]],"/",Table3234[[#This Row],[DEST]])</f>
        <v>BOM/VIE</v>
      </c>
      <c r="I256" t="s">
        <v>406</v>
      </c>
      <c r="J256" t="s">
        <v>27</v>
      </c>
      <c r="K256" s="16">
        <v>14</v>
      </c>
      <c r="L256">
        <f>Table3234[[#This Row],[AICRAFT]]/7</f>
        <v>2</v>
      </c>
    </row>
    <row r="257" spans="8:12" x14ac:dyDescent="0.25">
      <c r="H257" t="str">
        <f>_xlfn.CONCAT(Table3234[[#This Row],[HUB ]],"/",Table3234[[#This Row],[DEST]])</f>
        <v>BOM/YEG</v>
      </c>
      <c r="I257" t="s">
        <v>406</v>
      </c>
      <c r="J257" t="s">
        <v>5454</v>
      </c>
      <c r="K257" s="16">
        <v>14</v>
      </c>
      <c r="L257">
        <f>Table3234[[#This Row],[AICRAFT]]/7</f>
        <v>2</v>
      </c>
    </row>
    <row r="258" spans="8:12" x14ac:dyDescent="0.25">
      <c r="H258" t="str">
        <f>_xlfn.CONCAT(Table3234[[#This Row],[HUB ]],"/",Table3234[[#This Row],[DEST]])</f>
        <v>BOM/YUL</v>
      </c>
      <c r="I258" t="s">
        <v>406</v>
      </c>
      <c r="J258" t="s">
        <v>9</v>
      </c>
      <c r="K258" s="16">
        <v>14</v>
      </c>
      <c r="L258">
        <f>Table3234[[#This Row],[AICRAFT]]/7</f>
        <v>2</v>
      </c>
    </row>
    <row r="259" spans="8:12" x14ac:dyDescent="0.25">
      <c r="H259" t="str">
        <f>_xlfn.CONCAT(Table3234[[#This Row],[HUB ]],"/",Table3234[[#This Row],[DEST]])</f>
        <v>BOM/YVR</v>
      </c>
      <c r="I259" t="s">
        <v>406</v>
      </c>
      <c r="J259" t="s">
        <v>483</v>
      </c>
      <c r="K259" s="16">
        <v>14</v>
      </c>
      <c r="L259">
        <f>Table3234[[#This Row],[AICRAFT]]/7</f>
        <v>2</v>
      </c>
    </row>
    <row r="260" spans="8:12" x14ac:dyDescent="0.25">
      <c r="H260" t="str">
        <f>_xlfn.CONCAT(Table3234[[#This Row],[HUB ]],"/",Table3234[[#This Row],[DEST]])</f>
        <v>BOM/YYC</v>
      </c>
      <c r="I260" t="s">
        <v>406</v>
      </c>
      <c r="J260" t="s">
        <v>5613</v>
      </c>
      <c r="K260" s="16">
        <v>14</v>
      </c>
      <c r="L260">
        <f>Table3234[[#This Row],[AICRAFT]]/7</f>
        <v>2</v>
      </c>
    </row>
    <row r="261" spans="8:12" x14ac:dyDescent="0.25">
      <c r="H261" t="str">
        <f>_xlfn.CONCAT(Table3234[[#This Row],[HUB ]],"/",Table3234[[#This Row],[DEST]])</f>
        <v>BOM/YYZ</v>
      </c>
      <c r="I261" t="s">
        <v>406</v>
      </c>
      <c r="J261" t="s">
        <v>5721</v>
      </c>
      <c r="K261" s="16">
        <v>14</v>
      </c>
      <c r="L261">
        <f>Table3234[[#This Row],[AICRAFT]]/7</f>
        <v>2</v>
      </c>
    </row>
    <row r="262" spans="8:12" x14ac:dyDescent="0.25">
      <c r="H262" t="str">
        <f>_xlfn.CONCAT(Table3234[[#This Row],[HUB ]],"/",Table3234[[#This Row],[DEST]])</f>
        <v>BOM/AGP</v>
      </c>
      <c r="I262" t="s">
        <v>406</v>
      </c>
      <c r="J262" t="s">
        <v>5619</v>
      </c>
      <c r="K262" s="16">
        <v>7</v>
      </c>
      <c r="L262">
        <f>Table3234[[#This Row],[AICRAFT]]/7</f>
        <v>1</v>
      </c>
    </row>
    <row r="263" spans="8:12" x14ac:dyDescent="0.25">
      <c r="H263" t="str">
        <f>_xlfn.CONCAT(Table3234[[#This Row],[HUB ]],"/",Table3234[[#This Row],[DEST]])</f>
        <v>BOM/BHV</v>
      </c>
      <c r="I263" t="s">
        <v>406</v>
      </c>
      <c r="J263" t="s">
        <v>419</v>
      </c>
      <c r="K263" s="16">
        <v>7</v>
      </c>
      <c r="L263">
        <f>Table3234[[#This Row],[AICRAFT]]/7</f>
        <v>1</v>
      </c>
    </row>
    <row r="264" spans="8:12" x14ac:dyDescent="0.25">
      <c r="H264" t="str">
        <f>_xlfn.CONCAT(Table3234[[#This Row],[HUB ]],"/",Table3234[[#This Row],[DEST]])</f>
        <v>BOM/COK</v>
      </c>
      <c r="I264" t="s">
        <v>406</v>
      </c>
      <c r="J264" t="s">
        <v>355</v>
      </c>
      <c r="K264" s="16">
        <v>7</v>
      </c>
      <c r="L264">
        <f>Table3234[[#This Row],[AICRAFT]]/7</f>
        <v>1</v>
      </c>
    </row>
    <row r="265" spans="8:12" x14ac:dyDescent="0.25">
      <c r="H265" t="str">
        <f>_xlfn.CONCAT(Table3234[[#This Row],[HUB ]],"/",Table3234[[#This Row],[DEST]])</f>
        <v>BOM/DFW</v>
      </c>
      <c r="I265" t="s">
        <v>406</v>
      </c>
      <c r="J265" t="s">
        <v>5758</v>
      </c>
      <c r="K265" s="16">
        <v>7</v>
      </c>
      <c r="L265">
        <f>Table3234[[#This Row],[AICRAFT]]/7</f>
        <v>1</v>
      </c>
    </row>
    <row r="266" spans="8:12" x14ac:dyDescent="0.25">
      <c r="H266" t="str">
        <f>_xlfn.CONCAT(Table3234[[#This Row],[HUB ]],"/",Table3234[[#This Row],[DEST]])</f>
        <v>BOM/GUM</v>
      </c>
      <c r="I266" t="s">
        <v>406</v>
      </c>
      <c r="J266" t="s">
        <v>5082</v>
      </c>
      <c r="K266" s="16">
        <v>7</v>
      </c>
      <c r="L266">
        <f>Table3234[[#This Row],[AICRAFT]]/7</f>
        <v>1</v>
      </c>
    </row>
    <row r="267" spans="8:12" x14ac:dyDescent="0.25">
      <c r="H267" t="str">
        <f>_xlfn.CONCAT(Table3234[[#This Row],[HUB ]],"/",Table3234[[#This Row],[DEST]])</f>
        <v>BOM/GVA</v>
      </c>
      <c r="I267" t="s">
        <v>406</v>
      </c>
      <c r="J267" t="s">
        <v>295</v>
      </c>
      <c r="K267" s="16">
        <v>7</v>
      </c>
      <c r="L267">
        <f>Table3234[[#This Row],[AICRAFT]]/7</f>
        <v>1</v>
      </c>
    </row>
    <row r="268" spans="8:12" x14ac:dyDescent="0.25">
      <c r="H268" t="str">
        <f>_xlfn.CONCAT(Table3234[[#This Row],[HUB ]],"/",Table3234[[#This Row],[DEST]])</f>
        <v>BOM/KHH</v>
      </c>
      <c r="I268" t="s">
        <v>406</v>
      </c>
      <c r="J268" t="s">
        <v>5275</v>
      </c>
      <c r="K268" s="16">
        <v>7</v>
      </c>
      <c r="L268">
        <f>Table3234[[#This Row],[AICRAFT]]/7</f>
        <v>1</v>
      </c>
    </row>
    <row r="269" spans="8:12" x14ac:dyDescent="0.25">
      <c r="H269" t="str">
        <f>_xlfn.CONCAT(Table3234[[#This Row],[HUB ]],"/",Table3234[[#This Row],[DEST]])</f>
        <v>BOM/LHE</v>
      </c>
      <c r="I269" t="s">
        <v>406</v>
      </c>
      <c r="J269" t="s">
        <v>198</v>
      </c>
      <c r="K269" s="16">
        <v>7</v>
      </c>
      <c r="L269">
        <f>Table3234[[#This Row],[AICRAFT]]/7</f>
        <v>1</v>
      </c>
    </row>
    <row r="270" spans="8:12" x14ac:dyDescent="0.25">
      <c r="H270" t="str">
        <f>_xlfn.CONCAT(Table3234[[#This Row],[HUB ]],"/",Table3234[[#This Row],[DEST]])</f>
        <v>BOM/LPA</v>
      </c>
      <c r="I270" t="s">
        <v>406</v>
      </c>
      <c r="J270" t="s">
        <v>5583</v>
      </c>
      <c r="K270" s="16">
        <v>7</v>
      </c>
      <c r="L270">
        <f>Table3234[[#This Row],[AICRAFT]]/7</f>
        <v>1</v>
      </c>
    </row>
    <row r="271" spans="8:12" x14ac:dyDescent="0.25">
      <c r="H271" t="str">
        <f>_xlfn.CONCAT(Table3234[[#This Row],[HUB ]],"/",Table3234[[#This Row],[DEST]])</f>
        <v>BOM/MAA</v>
      </c>
      <c r="I271" t="s">
        <v>406</v>
      </c>
      <c r="J271" t="s">
        <v>187</v>
      </c>
      <c r="K271" s="16">
        <v>7</v>
      </c>
      <c r="L271">
        <f>Table3234[[#This Row],[AICRAFT]]/7</f>
        <v>1</v>
      </c>
    </row>
    <row r="272" spans="8:12" x14ac:dyDescent="0.25">
      <c r="H272" t="str">
        <f>_xlfn.CONCAT(Table3234[[#This Row],[HUB ]],"/",Table3234[[#This Row],[DEST]])</f>
        <v>BOM/MCO</v>
      </c>
      <c r="I272" t="s">
        <v>406</v>
      </c>
      <c r="J272" t="s">
        <v>5727</v>
      </c>
      <c r="K272" s="16">
        <v>7</v>
      </c>
      <c r="L272">
        <f>Table3234[[#This Row],[AICRAFT]]/7</f>
        <v>1</v>
      </c>
    </row>
    <row r="273" spans="8:12" x14ac:dyDescent="0.25">
      <c r="H273" t="str">
        <f>_xlfn.CONCAT(Table3234[[#This Row],[HUB ]],"/",Table3234[[#This Row],[DEST]])</f>
        <v>BOM/MIA</v>
      </c>
      <c r="I273" t="s">
        <v>406</v>
      </c>
      <c r="J273" t="s">
        <v>168</v>
      </c>
      <c r="K273" s="16">
        <v>7</v>
      </c>
      <c r="L273">
        <f>Table3234[[#This Row],[AICRAFT]]/7</f>
        <v>1</v>
      </c>
    </row>
    <row r="274" spans="8:12" x14ac:dyDescent="0.25">
      <c r="H274" t="str">
        <f>_xlfn.CONCAT(Table3234[[#This Row],[HUB ]],"/",Table3234[[#This Row],[DEST]])</f>
        <v>BOM/ORY</v>
      </c>
      <c r="I274" t="s">
        <v>406</v>
      </c>
      <c r="J274" t="s">
        <v>5706</v>
      </c>
      <c r="K274" s="16">
        <v>7</v>
      </c>
      <c r="L274">
        <f>Table3234[[#This Row],[AICRAFT]]/7</f>
        <v>1</v>
      </c>
    </row>
    <row r="275" spans="8:12" x14ac:dyDescent="0.25">
      <c r="H275" t="str">
        <f>_xlfn.CONCAT(Table3234[[#This Row],[HUB ]],"/",Table3234[[#This Row],[DEST]])</f>
        <v>BOM/POS</v>
      </c>
      <c r="I275" t="s">
        <v>406</v>
      </c>
      <c r="J275" t="s">
        <v>5079</v>
      </c>
      <c r="K275" s="16">
        <v>7</v>
      </c>
      <c r="L275">
        <f>Table3234[[#This Row],[AICRAFT]]/7</f>
        <v>1</v>
      </c>
    </row>
    <row r="276" spans="8:12" x14ac:dyDescent="0.25">
      <c r="H276" t="str">
        <f>_xlfn.CONCAT(Table3234[[#This Row],[HUB ]],"/",Table3234[[#This Row],[DEST]])</f>
        <v>BOM/SDJ</v>
      </c>
      <c r="I276" t="s">
        <v>406</v>
      </c>
      <c r="J276" t="s">
        <v>5204</v>
      </c>
      <c r="K276" s="16">
        <v>7</v>
      </c>
      <c r="L276">
        <f>Table3234[[#This Row],[AICRAFT]]/7</f>
        <v>1</v>
      </c>
    </row>
    <row r="277" spans="8:12" x14ac:dyDescent="0.25">
      <c r="H277" t="str">
        <f>_xlfn.CONCAT(Table3234[[#This Row],[HUB ]],"/",Table3234[[#This Row],[DEST]])</f>
        <v>BOM/TFS</v>
      </c>
      <c r="I277" t="s">
        <v>406</v>
      </c>
      <c r="J277" t="s">
        <v>5536</v>
      </c>
      <c r="K277" s="16">
        <v>7</v>
      </c>
      <c r="L277">
        <f>Table3234[[#This Row],[AICRAFT]]/7</f>
        <v>1</v>
      </c>
    </row>
    <row r="278" spans="8:12" x14ac:dyDescent="0.25">
      <c r="H278" t="str">
        <f>_xlfn.CONCAT(Table3234[[#This Row],[HUB ]],"/",Table3234[[#This Row],[DEST]])</f>
        <v>BOM/TRV</v>
      </c>
      <c r="I278" t="s">
        <v>406</v>
      </c>
      <c r="J278" t="s">
        <v>44</v>
      </c>
      <c r="K278" s="16">
        <v>7</v>
      </c>
      <c r="L278">
        <f>Table3234[[#This Row],[AICRAFT]]/7</f>
        <v>1</v>
      </c>
    </row>
    <row r="279" spans="8:12" x14ac:dyDescent="0.25">
      <c r="H279" t="str">
        <f>_xlfn.CONCAT(Table3234[[#This Row],[HUB ]],"/",Table3234[[#This Row],[DEST]])</f>
        <v>BOM/ZRH</v>
      </c>
      <c r="I279" t="s">
        <v>406</v>
      </c>
      <c r="J279" t="s">
        <v>6</v>
      </c>
      <c r="K279" s="16">
        <v>7</v>
      </c>
      <c r="L279">
        <f>Table3234[[#This Row],[AICRAFT]]/7</f>
        <v>1</v>
      </c>
    </row>
  </sheetData>
  <sortState xmlns:xlrd2="http://schemas.microsoft.com/office/spreadsheetml/2017/richdata2" ref="AR3:AS11">
    <sortCondition ref="AR3"/>
  </sortState>
  <mergeCells count="97">
    <mergeCell ref="P3:P17"/>
    <mergeCell ref="P18:P33"/>
    <mergeCell ref="Y29:Y40"/>
    <mergeCell ref="Y41:Y52"/>
    <mergeCell ref="AB31:AB44"/>
    <mergeCell ref="AB45:AB58"/>
    <mergeCell ref="Y3:Y8"/>
    <mergeCell ref="AB3:AB8"/>
    <mergeCell ref="Y9:Y14"/>
    <mergeCell ref="AB9:AB14"/>
    <mergeCell ref="Y15:Y21"/>
    <mergeCell ref="AB15:AB22"/>
    <mergeCell ref="AE54:AE72"/>
    <mergeCell ref="BF3:BF18"/>
    <mergeCell ref="BI39:BI56"/>
    <mergeCell ref="BO14:BO24"/>
    <mergeCell ref="AE3:AE8"/>
    <mergeCell ref="AH3:AH8"/>
    <mergeCell ref="AK3:AK8"/>
    <mergeCell ref="AN3:AN8"/>
    <mergeCell ref="AE9:AE14"/>
    <mergeCell ref="AH9:AH14"/>
    <mergeCell ref="AK9:AK14"/>
    <mergeCell ref="AN9:AN14"/>
    <mergeCell ref="BO3:BO13"/>
    <mergeCell ref="AT3:AT11"/>
    <mergeCell ref="AW3:AW14"/>
    <mergeCell ref="BO25:BO35"/>
    <mergeCell ref="AT12:AT20"/>
    <mergeCell ref="AW15:AW26"/>
    <mergeCell ref="AZ16:AZ28"/>
    <mergeCell ref="BC18:BC32"/>
    <mergeCell ref="BF19:BF34"/>
    <mergeCell ref="BI21:BI38"/>
    <mergeCell ref="BO36:BO46"/>
    <mergeCell ref="AT21:AT29"/>
    <mergeCell ref="AW27:AW38"/>
    <mergeCell ref="AZ29:AZ41"/>
    <mergeCell ref="AZ3:AZ15"/>
    <mergeCell ref="BC33:BC47"/>
    <mergeCell ref="BC3:BC17"/>
    <mergeCell ref="BF35:BF50"/>
    <mergeCell ref="BI3:BI20"/>
    <mergeCell ref="AE15:AE24"/>
    <mergeCell ref="AH15:AH24"/>
    <mergeCell ref="AK15:AK25"/>
    <mergeCell ref="AN15:AN25"/>
    <mergeCell ref="Y22:Y28"/>
    <mergeCell ref="AB23:AB30"/>
    <mergeCell ref="AE25:AE34"/>
    <mergeCell ref="AH25:AH34"/>
    <mergeCell ref="AK26:AK36"/>
    <mergeCell ref="AN26:AN36"/>
    <mergeCell ref="AE35:AE53"/>
    <mergeCell ref="H21:H22"/>
    <mergeCell ref="J21:J22"/>
    <mergeCell ref="H11:H12"/>
    <mergeCell ref="J11:J12"/>
    <mergeCell ref="H19:H20"/>
    <mergeCell ref="J19:J20"/>
    <mergeCell ref="H13:H14"/>
    <mergeCell ref="J13:J14"/>
    <mergeCell ref="H15:H16"/>
    <mergeCell ref="J15:J16"/>
    <mergeCell ref="H17:H18"/>
    <mergeCell ref="J17:J18"/>
    <mergeCell ref="CD57:CD62"/>
    <mergeCell ref="CD63:CD68"/>
    <mergeCell ref="CD69:CD74"/>
    <mergeCell ref="CA13:CA18"/>
    <mergeCell ref="CA19:CA24"/>
    <mergeCell ref="CA25:CA30"/>
    <mergeCell ref="CA31:CA36"/>
    <mergeCell ref="CA37:CA44"/>
    <mergeCell ref="CA45:CA52"/>
    <mergeCell ref="CA53:CA62"/>
    <mergeCell ref="CD39:CD44"/>
    <mergeCell ref="CD45:CD50"/>
    <mergeCell ref="CD51:CD56"/>
    <mergeCell ref="CD3:CD14"/>
    <mergeCell ref="CD15:CD26"/>
    <mergeCell ref="CD27:CD38"/>
    <mergeCell ref="BX55:BX73"/>
    <mergeCell ref="BU43:BU66"/>
    <mergeCell ref="CA63:CA72"/>
    <mergeCell ref="BX3:BX8"/>
    <mergeCell ref="BX9:BX14"/>
    <mergeCell ref="CA3:CA7"/>
    <mergeCell ref="CA8:CA12"/>
    <mergeCell ref="BX33:BX43"/>
    <mergeCell ref="BX24:BX32"/>
    <mergeCell ref="BX15:BX23"/>
    <mergeCell ref="BX44:BX54"/>
    <mergeCell ref="BU3:BU8"/>
    <mergeCell ref="BU9:BU18"/>
    <mergeCell ref="BU19:BU30"/>
    <mergeCell ref="BU31:BU42"/>
  </mergeCells>
  <conditionalFormatting sqref="BV55:BV73">
    <cfRule type="duplicateValues" dxfId="77" priority="13"/>
  </conditionalFormatting>
  <conditionalFormatting sqref="BS43:BS66">
    <cfRule type="duplicateValues" dxfId="76" priority="12"/>
  </conditionalFormatting>
  <conditionalFormatting sqref="H26:H30">
    <cfRule type="duplicateValues" dxfId="75" priority="11"/>
  </conditionalFormatting>
  <conditionalFormatting sqref="C1:C2">
    <cfRule type="colorScale" priority="10">
      <colorScale>
        <cfvo type="min"/>
        <cfvo type="max"/>
        <color rgb="FF00B0F0"/>
        <color rgb="FF92D050"/>
      </colorScale>
    </cfRule>
  </conditionalFormatting>
  <conditionalFormatting sqref="C3"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">
    <cfRule type="duplicateValues" dxfId="74" priority="757"/>
  </conditionalFormatting>
  <conditionalFormatting sqref="N18:N33">
    <cfRule type="duplicateValues" dxfId="73" priority="7"/>
  </conditionalFormatting>
  <conditionalFormatting sqref="BM3:BM13">
    <cfRule type="duplicateValues" dxfId="72" priority="6"/>
  </conditionalFormatting>
  <conditionalFormatting sqref="BA3:BA17">
    <cfRule type="duplicateValues" dxfId="71" priority="4"/>
  </conditionalFormatting>
  <conditionalFormatting sqref="J1:J1048576">
    <cfRule type="duplicateValues" dxfId="70" priority="3"/>
  </conditionalFormatting>
  <conditionalFormatting sqref="J1:J1048576">
    <cfRule type="duplicateValues" dxfId="69" priority="2"/>
  </conditionalFormatting>
  <conditionalFormatting sqref="J1:J1048576">
    <cfRule type="duplicateValues" dxfId="68" priority="1"/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18854-23A6-417F-B02F-C802F2CB587E}">
  <sheetPr>
    <tabColor theme="4"/>
  </sheetPr>
  <dimension ref="F2:J245"/>
  <sheetViews>
    <sheetView topLeftCell="A200" zoomScale="85" zoomScaleNormal="85" workbookViewId="0">
      <selection activeCell="F2" sqref="F2:J245"/>
    </sheetView>
  </sheetViews>
  <sheetFormatPr defaultRowHeight="15" x14ac:dyDescent="0.25"/>
  <cols>
    <col min="6" max="8" width="11.140625" bestFit="1" customWidth="1"/>
    <col min="9" max="9" width="8.5703125" bestFit="1" customWidth="1"/>
  </cols>
  <sheetData>
    <row r="2" spans="6:10" x14ac:dyDescent="0.25">
      <c r="F2" t="s">
        <v>467</v>
      </c>
      <c r="G2" t="s">
        <v>19828</v>
      </c>
      <c r="H2" t="s">
        <v>488</v>
      </c>
      <c r="I2" s="16" t="s">
        <v>19827</v>
      </c>
      <c r="J2" t="s">
        <v>19829</v>
      </c>
    </row>
    <row r="3" spans="6:10" x14ac:dyDescent="0.25">
      <c r="F3" t="str">
        <f>_xlfn.CONCAT(Table32[[#This Row],[HUB ]],"/",Table32[[#This Row],[DEST]])</f>
        <v>BOM/BKK</v>
      </c>
      <c r="G3" t="s">
        <v>406</v>
      </c>
      <c r="H3" t="s">
        <v>415</v>
      </c>
      <c r="I3" s="16">
        <v>28</v>
      </c>
      <c r="J3">
        <f>Table32[[#This Row],[AICRAFT]]/7</f>
        <v>4</v>
      </c>
    </row>
    <row r="4" spans="6:10" x14ac:dyDescent="0.25">
      <c r="F4" t="str">
        <f>_xlfn.CONCAT(Table32[[#This Row],[HUB ]],"/",Table32[[#This Row],[DEST]])</f>
        <v>BOM/CCU</v>
      </c>
      <c r="G4" t="s">
        <v>406</v>
      </c>
      <c r="H4" t="s">
        <v>378</v>
      </c>
      <c r="I4" s="16">
        <v>28</v>
      </c>
      <c r="J4">
        <f>Table32[[#This Row],[AICRAFT]]/7</f>
        <v>4</v>
      </c>
    </row>
    <row r="5" spans="6:10" x14ac:dyDescent="0.25">
      <c r="F5" t="str">
        <f>_xlfn.CONCAT(Table32[[#This Row],[HUB ]],"/",Table32[[#This Row],[DEST]])</f>
        <v>BOM/CTU</v>
      </c>
      <c r="G5" t="s">
        <v>406</v>
      </c>
      <c r="H5" t="s">
        <v>347</v>
      </c>
      <c r="I5" s="16">
        <v>28</v>
      </c>
      <c r="J5">
        <f>Table32[[#This Row],[AICRAFT]]/7</f>
        <v>4</v>
      </c>
    </row>
    <row r="6" spans="6:10" x14ac:dyDescent="0.25">
      <c r="F6" t="str">
        <f>_xlfn.CONCAT(Table32[[#This Row],[HUB ]],"/",Table32[[#This Row],[DEST]])</f>
        <v>BOM/DMK</v>
      </c>
      <c r="G6" t="s">
        <v>406</v>
      </c>
      <c r="H6" t="s">
        <v>333</v>
      </c>
      <c r="I6" s="16">
        <v>28</v>
      </c>
      <c r="J6">
        <f>Table32[[#This Row],[AICRAFT]]/7</f>
        <v>4</v>
      </c>
    </row>
    <row r="7" spans="6:10" x14ac:dyDescent="0.25">
      <c r="F7" t="str">
        <f>_xlfn.CONCAT(Table32[[#This Row],[HUB ]],"/",Table32[[#This Row],[DEST]])</f>
        <v>BOM/HKT</v>
      </c>
      <c r="G7" t="s">
        <v>406</v>
      </c>
      <c r="H7" t="s">
        <v>275</v>
      </c>
      <c r="I7" s="16">
        <v>28</v>
      </c>
      <c r="J7">
        <f>Table32[[#This Row],[AICRAFT]]/7</f>
        <v>4</v>
      </c>
    </row>
    <row r="8" spans="6:10" x14ac:dyDescent="0.25">
      <c r="F8" t="str">
        <f>_xlfn.CONCAT(Table32[[#This Row],[HUB ]],"/",Table32[[#This Row],[DEST]])</f>
        <v>BOM/ISB</v>
      </c>
      <c r="G8" t="s">
        <v>406</v>
      </c>
      <c r="H8" t="s">
        <v>254</v>
      </c>
      <c r="I8" s="16">
        <v>28</v>
      </c>
      <c r="J8">
        <f>Table32[[#This Row],[AICRAFT]]/7</f>
        <v>4</v>
      </c>
    </row>
    <row r="9" spans="6:10" x14ac:dyDescent="0.25">
      <c r="F9" t="str">
        <f>_xlfn.CONCAT(Table32[[#This Row],[HUB ]],"/",Table32[[#This Row],[DEST]])</f>
        <v>BOM/ABJ</v>
      </c>
      <c r="G9" t="s">
        <v>406</v>
      </c>
      <c r="H9" t="s">
        <v>4529</v>
      </c>
      <c r="I9" s="16">
        <v>25</v>
      </c>
      <c r="J9">
        <f>Table32[[#This Row],[AICRAFT]]/7</f>
        <v>3.5714285714285716</v>
      </c>
    </row>
    <row r="10" spans="6:10" x14ac:dyDescent="0.25">
      <c r="F10" t="str">
        <f>_xlfn.CONCAT(Table32[[#This Row],[HUB ]],"/",Table32[[#This Row],[DEST]])</f>
        <v>BOM/ABV</v>
      </c>
      <c r="G10" t="s">
        <v>406</v>
      </c>
      <c r="H10" t="s">
        <v>5267</v>
      </c>
      <c r="I10" s="16">
        <v>25</v>
      </c>
      <c r="J10">
        <f>Table32[[#This Row],[AICRAFT]]/7</f>
        <v>3.5714285714285716</v>
      </c>
    </row>
    <row r="11" spans="6:10" x14ac:dyDescent="0.25">
      <c r="F11" t="str">
        <f>_xlfn.CONCAT(Table32[[#This Row],[HUB ]],"/",Table32[[#This Row],[DEST]])</f>
        <v>BOM/AWA</v>
      </c>
      <c r="G11" t="s">
        <v>406</v>
      </c>
      <c r="H11" t="s">
        <v>3941</v>
      </c>
      <c r="I11" s="16">
        <v>25</v>
      </c>
      <c r="J11">
        <f>Table32[[#This Row],[AICRAFT]]/7</f>
        <v>3.5714285714285716</v>
      </c>
    </row>
    <row r="12" spans="6:10" x14ac:dyDescent="0.25">
      <c r="F12" t="str">
        <f>_xlfn.CONCAT(Table32[[#This Row],[HUB ]],"/",Table32[[#This Row],[DEST]])</f>
        <v>BOM/CAI</v>
      </c>
      <c r="G12" t="s">
        <v>406</v>
      </c>
      <c r="H12" t="s">
        <v>388</v>
      </c>
      <c r="I12" s="16">
        <v>25</v>
      </c>
      <c r="J12">
        <f>Table32[[#This Row],[AICRAFT]]/7</f>
        <v>3.5714285714285716</v>
      </c>
    </row>
    <row r="13" spans="6:10" x14ac:dyDescent="0.25">
      <c r="F13" t="str">
        <f>_xlfn.CONCAT(Table32[[#This Row],[HUB ]],"/",Table32[[#This Row],[DEST]])</f>
        <v>BOM/CKG</v>
      </c>
      <c r="G13" t="s">
        <v>406</v>
      </c>
      <c r="H13" t="s">
        <v>361</v>
      </c>
      <c r="I13" s="16">
        <v>25</v>
      </c>
      <c r="J13">
        <f>Table32[[#This Row],[AICRAFT]]/7</f>
        <v>3.5714285714285716</v>
      </c>
    </row>
    <row r="14" spans="6:10" x14ac:dyDescent="0.25">
      <c r="F14" t="str">
        <f>_xlfn.CONCAT(Table32[[#This Row],[HUB ]],"/",Table32[[#This Row],[DEST]])</f>
        <v>BOM/DSS</v>
      </c>
      <c r="G14" t="s">
        <v>406</v>
      </c>
      <c r="H14" t="s">
        <v>5163</v>
      </c>
      <c r="I14" s="16">
        <v>25</v>
      </c>
      <c r="J14">
        <f>Table32[[#This Row],[AICRAFT]]/7</f>
        <v>3.5714285714285716</v>
      </c>
    </row>
    <row r="15" spans="6:10" x14ac:dyDescent="0.25">
      <c r="F15" t="str">
        <f>_xlfn.CONCAT(Table32[[#This Row],[HUB ]],"/",Table32[[#This Row],[DEST]])</f>
        <v>BOM/JNB</v>
      </c>
      <c r="G15" t="s">
        <v>406</v>
      </c>
      <c r="H15" t="s">
        <v>234</v>
      </c>
      <c r="I15" s="16">
        <v>25</v>
      </c>
      <c r="J15">
        <f>Table32[[#This Row],[AICRAFT]]/7</f>
        <v>3.5714285714285716</v>
      </c>
    </row>
    <row r="16" spans="6:10" x14ac:dyDescent="0.25">
      <c r="F16" t="str">
        <f>_xlfn.CONCAT(Table32[[#This Row],[HUB ]],"/",Table32[[#This Row],[DEST]])</f>
        <v>BOM/KAN</v>
      </c>
      <c r="G16" t="s">
        <v>406</v>
      </c>
      <c r="H16" t="s">
        <v>5452</v>
      </c>
      <c r="I16" s="16">
        <v>25</v>
      </c>
      <c r="J16">
        <f>Table32[[#This Row],[AICRAFT]]/7</f>
        <v>3.5714285714285716</v>
      </c>
    </row>
    <row r="17" spans="6:10" x14ac:dyDescent="0.25">
      <c r="F17" t="str">
        <f>_xlfn.CONCAT(Table32[[#This Row],[HUB ]],"/",Table32[[#This Row],[DEST]])</f>
        <v>BOM/KMG</v>
      </c>
      <c r="G17" t="s">
        <v>406</v>
      </c>
      <c r="H17" t="s">
        <v>217</v>
      </c>
      <c r="I17" s="16">
        <v>25</v>
      </c>
      <c r="J17">
        <f>Table32[[#This Row],[AICRAFT]]/7</f>
        <v>3.5714285714285716</v>
      </c>
    </row>
    <row r="18" spans="6:10" x14ac:dyDescent="0.25">
      <c r="F18" t="str">
        <f>_xlfn.CONCAT(Table32[[#This Row],[HUB ]],"/",Table32[[#This Row],[DEST]])</f>
        <v>BOM/LOS</v>
      </c>
      <c r="G18" t="s">
        <v>406</v>
      </c>
      <c r="H18" t="s">
        <v>484</v>
      </c>
      <c r="I18" s="16">
        <v>25</v>
      </c>
      <c r="J18">
        <f>Table32[[#This Row],[AICRAFT]]/7</f>
        <v>3.5714285714285716</v>
      </c>
    </row>
    <row r="19" spans="6:10" x14ac:dyDescent="0.25">
      <c r="F19" t="str">
        <f>_xlfn.CONCAT(Table32[[#This Row],[HUB ]],"/",Table32[[#This Row],[DEST]])</f>
        <v>BOM/SGN</v>
      </c>
      <c r="G19" t="s">
        <v>406</v>
      </c>
      <c r="H19" t="s">
        <v>100</v>
      </c>
      <c r="I19" s="16">
        <v>25</v>
      </c>
      <c r="J19">
        <f>Table32[[#This Row],[AICRAFT]]/7</f>
        <v>3.5714285714285716</v>
      </c>
    </row>
    <row r="20" spans="6:10" x14ac:dyDescent="0.25">
      <c r="F20" t="str">
        <f>_xlfn.CONCAT(Table32[[#This Row],[HUB ]],"/",Table32[[#This Row],[DEST]])</f>
        <v>BOM/ACC</v>
      </c>
      <c r="G20" t="s">
        <v>406</v>
      </c>
      <c r="H20" t="s">
        <v>4631</v>
      </c>
      <c r="I20" s="16">
        <v>21</v>
      </c>
      <c r="J20">
        <f>Table32[[#This Row],[AICRAFT]]/7</f>
        <v>3</v>
      </c>
    </row>
    <row r="21" spans="6:10" x14ac:dyDescent="0.25">
      <c r="F21" t="str">
        <f>_xlfn.CONCAT(Table32[[#This Row],[HUB ]],"/",Table32[[#This Row],[DEST]])</f>
        <v>BOM/ALG</v>
      </c>
      <c r="G21" t="s">
        <v>406</v>
      </c>
      <c r="H21" t="s">
        <v>450</v>
      </c>
      <c r="I21" s="16">
        <v>21</v>
      </c>
      <c r="J21">
        <f>Table32[[#This Row],[AICRAFT]]/7</f>
        <v>3</v>
      </c>
    </row>
    <row r="22" spans="6:10" x14ac:dyDescent="0.25">
      <c r="F22" t="str">
        <f>_xlfn.CONCAT(Table32[[#This Row],[HUB ]],"/",Table32[[#This Row],[DEST]])</f>
        <v>BOM/AUH</v>
      </c>
      <c r="G22" t="s">
        <v>406</v>
      </c>
      <c r="H22" t="s">
        <v>435</v>
      </c>
      <c r="I22" s="16">
        <v>21</v>
      </c>
      <c r="J22">
        <f>Table32[[#This Row],[AICRAFT]]/7</f>
        <v>3</v>
      </c>
    </row>
    <row r="23" spans="6:10" x14ac:dyDescent="0.25">
      <c r="F23" t="str">
        <f>_xlfn.CONCAT(Table32[[#This Row],[HUB ]],"/",Table32[[#This Row],[DEST]])</f>
        <v>BOM/BSB</v>
      </c>
      <c r="G23" t="s">
        <v>406</v>
      </c>
      <c r="H23" t="s">
        <v>399</v>
      </c>
      <c r="I23" s="16">
        <v>21</v>
      </c>
      <c r="J23">
        <f>Table32[[#This Row],[AICRAFT]]/7</f>
        <v>3</v>
      </c>
    </row>
    <row r="24" spans="6:10" x14ac:dyDescent="0.25">
      <c r="F24" t="str">
        <f>_xlfn.CONCAT(Table32[[#This Row],[HUB ]],"/",Table32[[#This Row],[DEST]])</f>
        <v>BOM/CAN</v>
      </c>
      <c r="G24" t="s">
        <v>406</v>
      </c>
      <c r="H24" t="s">
        <v>385</v>
      </c>
      <c r="I24" s="16">
        <v>21</v>
      </c>
      <c r="J24">
        <f>Table32[[#This Row],[AICRAFT]]/7</f>
        <v>3</v>
      </c>
    </row>
    <row r="25" spans="6:10" x14ac:dyDescent="0.25">
      <c r="F25" t="str">
        <f>_xlfn.CONCAT(Table32[[#This Row],[HUB ]],"/",Table32[[#This Row],[DEST]])</f>
        <v>BOM/CCJ</v>
      </c>
      <c r="G25" t="s">
        <v>406</v>
      </c>
      <c r="H25" t="s">
        <v>383</v>
      </c>
      <c r="I25" s="16">
        <v>21</v>
      </c>
      <c r="J25">
        <f>Table32[[#This Row],[AICRAFT]]/7</f>
        <v>3</v>
      </c>
    </row>
    <row r="26" spans="6:10" x14ac:dyDescent="0.25">
      <c r="F26" t="str">
        <f>_xlfn.CONCAT(Table32[[#This Row],[HUB ]],"/",Table32[[#This Row],[DEST]])</f>
        <v>BOM/CKY</v>
      </c>
      <c r="G26" t="s">
        <v>406</v>
      </c>
      <c r="H26" t="s">
        <v>3537</v>
      </c>
      <c r="I26" s="16">
        <v>21</v>
      </c>
      <c r="J26">
        <f>Table32[[#This Row],[AICRAFT]]/7</f>
        <v>3</v>
      </c>
    </row>
    <row r="27" spans="6:10" x14ac:dyDescent="0.25">
      <c r="F27" t="str">
        <f>_xlfn.CONCAT(Table32[[#This Row],[HUB ]],"/",Table32[[#This Row],[DEST]])</f>
        <v>BOM/CPT</v>
      </c>
      <c r="G27" t="s">
        <v>406</v>
      </c>
      <c r="H27" t="s">
        <v>353</v>
      </c>
      <c r="I27" s="16">
        <v>21</v>
      </c>
      <c r="J27">
        <f>Table32[[#This Row],[AICRAFT]]/7</f>
        <v>3</v>
      </c>
    </row>
    <row r="28" spans="6:10" x14ac:dyDescent="0.25">
      <c r="F28" t="str">
        <f>_xlfn.CONCAT(Table32[[#This Row],[HUB ]],"/",Table32[[#This Row],[DEST]])</f>
        <v>BOM/DEL</v>
      </c>
      <c r="G28" t="s">
        <v>406</v>
      </c>
      <c r="H28" t="s">
        <v>339</v>
      </c>
      <c r="I28" s="16">
        <v>21</v>
      </c>
      <c r="J28">
        <f>Table32[[#This Row],[AICRAFT]]/7</f>
        <v>3</v>
      </c>
    </row>
    <row r="29" spans="6:10" x14ac:dyDescent="0.25">
      <c r="F29" t="str">
        <f>_xlfn.CONCAT(Table32[[#This Row],[HUB ]],"/",Table32[[#This Row],[DEST]])</f>
        <v>BOM/DUR</v>
      </c>
      <c r="G29" t="s">
        <v>406</v>
      </c>
      <c r="H29" t="s">
        <v>326</v>
      </c>
      <c r="I29" s="16">
        <v>21</v>
      </c>
      <c r="J29">
        <f>Table32[[#This Row],[AICRAFT]]/7</f>
        <v>3</v>
      </c>
    </row>
    <row r="30" spans="6:10" x14ac:dyDescent="0.25">
      <c r="F30" t="str">
        <f>_xlfn.CONCAT(Table32[[#This Row],[HUB ]],"/",Table32[[#This Row],[DEST]])</f>
        <v>BOM/DXB</v>
      </c>
      <c r="G30" t="s">
        <v>406</v>
      </c>
      <c r="H30" t="s">
        <v>319</v>
      </c>
      <c r="I30" s="16">
        <v>21</v>
      </c>
      <c r="J30">
        <f>Table32[[#This Row],[AICRAFT]]/7</f>
        <v>3</v>
      </c>
    </row>
    <row r="31" spans="6:10" x14ac:dyDescent="0.25">
      <c r="F31" t="str">
        <f>_xlfn.CONCAT(Table32[[#This Row],[HUB ]],"/",Table32[[#This Row],[DEST]])</f>
        <v>BOM/GRU</v>
      </c>
      <c r="G31" t="s">
        <v>406</v>
      </c>
      <c r="H31" t="s">
        <v>298</v>
      </c>
      <c r="I31" s="16">
        <v>21</v>
      </c>
      <c r="J31">
        <f>Table32[[#This Row],[AICRAFT]]/7</f>
        <v>3</v>
      </c>
    </row>
    <row r="32" spans="6:10" x14ac:dyDescent="0.25">
      <c r="F32" t="str">
        <f>_xlfn.CONCAT(Table32[[#This Row],[HUB ]],"/",Table32[[#This Row],[DEST]])</f>
        <v>BOM/HDY</v>
      </c>
      <c r="G32" t="s">
        <v>406</v>
      </c>
      <c r="H32" t="s">
        <v>284</v>
      </c>
      <c r="I32" s="16">
        <v>21</v>
      </c>
      <c r="J32">
        <f>Table32[[#This Row],[AICRAFT]]/7</f>
        <v>3</v>
      </c>
    </row>
    <row r="33" spans="6:10" x14ac:dyDescent="0.25">
      <c r="F33" t="str">
        <f>_xlfn.CONCAT(Table32[[#This Row],[HUB ]],"/",Table32[[#This Row],[DEST]])</f>
        <v>BOM/HKG</v>
      </c>
      <c r="G33" t="s">
        <v>406</v>
      </c>
      <c r="H33" t="s">
        <v>277</v>
      </c>
      <c r="I33" s="16">
        <v>21</v>
      </c>
      <c r="J33">
        <f>Table32[[#This Row],[AICRAFT]]/7</f>
        <v>3</v>
      </c>
    </row>
    <row r="34" spans="6:10" x14ac:dyDescent="0.25">
      <c r="F34" t="str">
        <f>_xlfn.CONCAT(Table32[[#This Row],[HUB ]],"/",Table32[[#This Row],[DEST]])</f>
        <v>BOM/IXB</v>
      </c>
      <c r="G34" t="s">
        <v>406</v>
      </c>
      <c r="H34" t="s">
        <v>248</v>
      </c>
      <c r="I34" s="16">
        <v>21</v>
      </c>
      <c r="J34">
        <f>Table32[[#This Row],[AICRAFT]]/7</f>
        <v>3</v>
      </c>
    </row>
    <row r="35" spans="6:10" x14ac:dyDescent="0.25">
      <c r="F35" t="str">
        <f>_xlfn.CONCAT(Table32[[#This Row],[HUB ]],"/",Table32[[#This Row],[DEST]])</f>
        <v>BOM/IXZ</v>
      </c>
      <c r="G35" t="s">
        <v>406</v>
      </c>
      <c r="H35" t="s">
        <v>242</v>
      </c>
      <c r="I35" s="16">
        <v>21</v>
      </c>
      <c r="J35">
        <f>Table32[[#This Row],[AICRAFT]]/7</f>
        <v>3</v>
      </c>
    </row>
    <row r="36" spans="6:10" x14ac:dyDescent="0.25">
      <c r="F36" t="str">
        <f>_xlfn.CONCAT(Table32[[#This Row],[HUB ]],"/",Table32[[#This Row],[DEST]])</f>
        <v>BOM/KAD</v>
      </c>
      <c r="G36" t="s">
        <v>406</v>
      </c>
      <c r="H36" t="s">
        <v>2907</v>
      </c>
      <c r="I36" s="16">
        <v>21</v>
      </c>
      <c r="J36">
        <f>Table32[[#This Row],[AICRAFT]]/7</f>
        <v>3</v>
      </c>
    </row>
    <row r="37" spans="6:10" x14ac:dyDescent="0.25">
      <c r="F37" t="str">
        <f>_xlfn.CONCAT(Table32[[#This Row],[HUB ]],"/",Table32[[#This Row],[DEST]])</f>
        <v>BOM/KBV</v>
      </c>
      <c r="G37" t="s">
        <v>406</v>
      </c>
      <c r="H37" t="s">
        <v>229</v>
      </c>
      <c r="I37" s="16">
        <v>21</v>
      </c>
      <c r="J37">
        <f>Table32[[#This Row],[AICRAFT]]/7</f>
        <v>3</v>
      </c>
    </row>
    <row r="38" spans="6:10" x14ac:dyDescent="0.25">
      <c r="F38" t="str">
        <f>_xlfn.CONCAT(Table32[[#This Row],[HUB ]],"/",Table32[[#This Row],[DEST]])</f>
        <v>BOM/KJT</v>
      </c>
      <c r="G38" t="s">
        <v>406</v>
      </c>
      <c r="H38" t="s">
        <v>11164</v>
      </c>
      <c r="I38" s="16">
        <v>21</v>
      </c>
      <c r="J38">
        <f>Table32[[#This Row],[AICRAFT]]/7</f>
        <v>3</v>
      </c>
    </row>
    <row r="39" spans="6:10" x14ac:dyDescent="0.25">
      <c r="F39" t="str">
        <f>_xlfn.CONCAT(Table32[[#This Row],[HUB ]],"/",Table32[[#This Row],[DEST]])</f>
        <v>BOM/KNO</v>
      </c>
      <c r="G39" t="s">
        <v>406</v>
      </c>
      <c r="H39" t="s">
        <v>215</v>
      </c>
      <c r="I39" s="16">
        <v>21</v>
      </c>
      <c r="J39">
        <f>Table32[[#This Row],[AICRAFT]]/7</f>
        <v>3</v>
      </c>
    </row>
    <row r="40" spans="6:10" x14ac:dyDescent="0.25">
      <c r="F40" t="str">
        <f>_xlfn.CONCAT(Table32[[#This Row],[HUB ]],"/",Table32[[#This Row],[DEST]])</f>
        <v>BOM/KUL</v>
      </c>
      <c r="G40" t="s">
        <v>406</v>
      </c>
      <c r="H40" t="s">
        <v>211</v>
      </c>
      <c r="I40" s="16">
        <v>21</v>
      </c>
      <c r="J40">
        <f>Table32[[#This Row],[AICRAFT]]/7</f>
        <v>3</v>
      </c>
    </row>
    <row r="41" spans="6:10" x14ac:dyDescent="0.25">
      <c r="F41" t="str">
        <f>_xlfn.CONCAT(Table32[[#This Row],[HUB ]],"/",Table32[[#This Row],[DEST]])</f>
        <v>BOM/MED</v>
      </c>
      <c r="G41" t="s">
        <v>406</v>
      </c>
      <c r="H41" t="s">
        <v>173</v>
      </c>
      <c r="I41" s="16">
        <v>21</v>
      </c>
      <c r="J41">
        <f>Table32[[#This Row],[AICRAFT]]/7</f>
        <v>3</v>
      </c>
    </row>
    <row r="42" spans="6:10" x14ac:dyDescent="0.25">
      <c r="F42" t="str">
        <f>_xlfn.CONCAT(Table32[[#This Row],[HUB ]],"/",Table32[[#This Row],[DEST]])</f>
        <v>BOM/MNL</v>
      </c>
      <c r="G42" t="s">
        <v>406</v>
      </c>
      <c r="H42" t="s">
        <v>166</v>
      </c>
      <c r="I42" s="16">
        <v>21</v>
      </c>
      <c r="J42">
        <f>Table32[[#This Row],[AICRAFT]]/7</f>
        <v>3</v>
      </c>
    </row>
    <row r="43" spans="6:10" x14ac:dyDescent="0.25">
      <c r="F43" t="str">
        <f>_xlfn.CONCAT(Table32[[#This Row],[HUB ]],"/",Table32[[#This Row],[DEST]])</f>
        <v>BOM/OSL</v>
      </c>
      <c r="G43" t="s">
        <v>406</v>
      </c>
      <c r="H43" t="s">
        <v>140</v>
      </c>
      <c r="I43" s="16">
        <v>21</v>
      </c>
      <c r="J43">
        <f>Table32[[#This Row],[AICRAFT]]/7</f>
        <v>3</v>
      </c>
    </row>
    <row r="44" spans="6:10" x14ac:dyDescent="0.25">
      <c r="F44" t="str">
        <f>_xlfn.CONCAT(Table32[[#This Row],[HUB ]],"/",Table32[[#This Row],[DEST]])</f>
        <v>BOM/PEK</v>
      </c>
      <c r="G44" t="s">
        <v>406</v>
      </c>
      <c r="H44" t="s">
        <v>130</v>
      </c>
      <c r="I44" s="16">
        <v>21</v>
      </c>
      <c r="J44">
        <f>Table32[[#This Row],[AICRAFT]]/7</f>
        <v>3</v>
      </c>
    </row>
    <row r="45" spans="6:10" x14ac:dyDescent="0.25">
      <c r="F45" t="str">
        <f>_xlfn.CONCAT(Table32[[#This Row],[HUB ]],"/",Table32[[#This Row],[DEST]])</f>
        <v>BOM/PHC</v>
      </c>
      <c r="G45" t="s">
        <v>406</v>
      </c>
      <c r="H45" t="s">
        <v>4629</v>
      </c>
      <c r="I45" s="16">
        <v>21</v>
      </c>
      <c r="J45">
        <f>Table32[[#This Row],[AICRAFT]]/7</f>
        <v>3</v>
      </c>
    </row>
    <row r="46" spans="6:10" x14ac:dyDescent="0.25">
      <c r="F46" t="str">
        <f>_xlfn.CONCAT(Table32[[#This Row],[HUB ]],"/",Table32[[#This Row],[DEST]])</f>
        <v>BOM/PMI</v>
      </c>
      <c r="G46" t="s">
        <v>406</v>
      </c>
      <c r="H46" t="s">
        <v>120</v>
      </c>
      <c r="I46" s="16">
        <v>21</v>
      </c>
      <c r="J46">
        <f>Table32[[#This Row],[AICRAFT]]/7</f>
        <v>3</v>
      </c>
    </row>
    <row r="47" spans="6:10" x14ac:dyDescent="0.25">
      <c r="F47" t="str">
        <f>_xlfn.CONCAT(Table32[[#This Row],[HUB ]],"/",Table32[[#This Row],[DEST]])</f>
        <v>BOM/PVG</v>
      </c>
      <c r="G47" t="s">
        <v>406</v>
      </c>
      <c r="H47" t="s">
        <v>114</v>
      </c>
      <c r="I47" s="16">
        <v>21</v>
      </c>
      <c r="J47">
        <f>Table32[[#This Row],[AICRAFT]]/7</f>
        <v>3</v>
      </c>
    </row>
    <row r="48" spans="6:10" x14ac:dyDescent="0.25">
      <c r="F48" t="str">
        <f>_xlfn.CONCAT(Table32[[#This Row],[HUB ]],"/",Table32[[#This Row],[DEST]])</f>
        <v>BOM/RUH</v>
      </c>
      <c r="G48" t="s">
        <v>406</v>
      </c>
      <c r="H48" t="s">
        <v>110</v>
      </c>
      <c r="I48" s="16">
        <v>21</v>
      </c>
      <c r="J48">
        <f>Table32[[#This Row],[AICRAFT]]/7</f>
        <v>3</v>
      </c>
    </row>
    <row r="49" spans="6:10" x14ac:dyDescent="0.25">
      <c r="F49" t="str">
        <f>_xlfn.CONCAT(Table32[[#This Row],[HUB ]],"/",Table32[[#This Row],[DEST]])</f>
        <v>BOM/SHA</v>
      </c>
      <c r="G49" t="s">
        <v>406</v>
      </c>
      <c r="H49" t="s">
        <v>97</v>
      </c>
      <c r="I49" s="16">
        <v>21</v>
      </c>
      <c r="J49">
        <f>Table32[[#This Row],[AICRAFT]]/7</f>
        <v>3</v>
      </c>
    </row>
    <row r="50" spans="6:10" x14ac:dyDescent="0.25">
      <c r="F50" t="str">
        <f>_xlfn.CONCAT(Table32[[#This Row],[HUB ]],"/",Table32[[#This Row],[DEST]])</f>
        <v>BOM/SIN</v>
      </c>
      <c r="G50" t="s">
        <v>406</v>
      </c>
      <c r="H50" t="s">
        <v>93</v>
      </c>
      <c r="I50" s="16">
        <v>21</v>
      </c>
      <c r="J50">
        <f>Table32[[#This Row],[AICRAFT]]/7</f>
        <v>3</v>
      </c>
    </row>
    <row r="51" spans="6:10" x14ac:dyDescent="0.25">
      <c r="F51" t="str">
        <f>_xlfn.CONCAT(Table32[[#This Row],[HUB ]],"/",Table32[[#This Row],[DEST]])</f>
        <v>BOM/SXR</v>
      </c>
      <c r="G51" t="s">
        <v>406</v>
      </c>
      <c r="H51" t="s">
        <v>74</v>
      </c>
      <c r="I51" s="16">
        <v>21</v>
      </c>
      <c r="J51">
        <f>Table32[[#This Row],[AICRAFT]]/7</f>
        <v>3</v>
      </c>
    </row>
    <row r="52" spans="6:10" x14ac:dyDescent="0.25">
      <c r="F52" t="str">
        <f>_xlfn.CONCAT(Table32[[#This Row],[HUB ]],"/",Table32[[#This Row],[DEST]])</f>
        <v>BOM/SZX</v>
      </c>
      <c r="G52" t="s">
        <v>406</v>
      </c>
      <c r="H52" t="s">
        <v>65</v>
      </c>
      <c r="I52" s="16">
        <v>21</v>
      </c>
      <c r="J52">
        <f>Table32[[#This Row],[AICRAFT]]/7</f>
        <v>3</v>
      </c>
    </row>
    <row r="53" spans="6:10" x14ac:dyDescent="0.25">
      <c r="F53" t="str">
        <f>_xlfn.CONCAT(Table32[[#This Row],[HUB ]],"/",Table32[[#This Row],[DEST]])</f>
        <v>BOM/TPE</v>
      </c>
      <c r="G53" t="s">
        <v>406</v>
      </c>
      <c r="H53" t="s">
        <v>47</v>
      </c>
      <c r="I53" s="16">
        <v>21</v>
      </c>
      <c r="J53">
        <f>Table32[[#This Row],[AICRAFT]]/7</f>
        <v>3</v>
      </c>
    </row>
    <row r="54" spans="6:10" x14ac:dyDescent="0.25">
      <c r="F54" t="str">
        <f>_xlfn.CONCAT(Table32[[#This Row],[HUB ]],"/",Table32[[#This Row],[DEST]])</f>
        <v>BOM/YIA</v>
      </c>
      <c r="G54" t="s">
        <v>406</v>
      </c>
      <c r="H54" t="s">
        <v>14211</v>
      </c>
      <c r="I54" s="16">
        <v>21</v>
      </c>
      <c r="J54">
        <f>Table32[[#This Row],[AICRAFT]]/7</f>
        <v>3</v>
      </c>
    </row>
    <row r="55" spans="6:10" x14ac:dyDescent="0.25">
      <c r="F55" t="str">
        <f>_xlfn.CONCAT(Table32[[#This Row],[HUB ]],"/",Table32[[#This Row],[DEST]])</f>
        <v>BOM/YOL</v>
      </c>
      <c r="G55" t="s">
        <v>406</v>
      </c>
      <c r="H55" t="s">
        <v>2061</v>
      </c>
      <c r="I55" s="16">
        <v>21</v>
      </c>
      <c r="J55">
        <f>Table32[[#This Row],[AICRAFT]]/7</f>
        <v>3</v>
      </c>
    </row>
    <row r="56" spans="6:10" x14ac:dyDescent="0.25">
      <c r="F56" t="str">
        <f>_xlfn.CONCAT(Table32[[#This Row],[HUB ]],"/",Table32[[#This Row],[DEST]])</f>
        <v>BOM/ABS</v>
      </c>
      <c r="G56" t="s">
        <v>406</v>
      </c>
      <c r="H56" t="s">
        <v>4229</v>
      </c>
      <c r="I56" s="16">
        <v>20</v>
      </c>
      <c r="J56">
        <f>Table32[[#This Row],[AICRAFT]]/7</f>
        <v>2.8571428571428572</v>
      </c>
    </row>
    <row r="57" spans="6:10" x14ac:dyDescent="0.25">
      <c r="F57" t="str">
        <f>_xlfn.CONCAT(Table32[[#This Row],[HUB ]],"/",Table32[[#This Row],[DEST]])</f>
        <v>BOM/AHB</v>
      </c>
      <c r="G57" t="s">
        <v>406</v>
      </c>
      <c r="H57" t="s">
        <v>454</v>
      </c>
      <c r="I57" s="16">
        <v>20</v>
      </c>
      <c r="J57">
        <f>Table32[[#This Row],[AICRAFT]]/7</f>
        <v>2.8571428571428572</v>
      </c>
    </row>
    <row r="58" spans="6:10" x14ac:dyDescent="0.25">
      <c r="F58" t="str">
        <f>_xlfn.CONCAT(Table32[[#This Row],[HUB ]],"/",Table32[[#This Row],[DEST]])</f>
        <v>BOM/ASR</v>
      </c>
      <c r="G58" t="s">
        <v>406</v>
      </c>
      <c r="H58" t="s">
        <v>4404</v>
      </c>
      <c r="I58" s="16">
        <v>20</v>
      </c>
      <c r="J58">
        <f>Table32[[#This Row],[AICRAFT]]/7</f>
        <v>2.8571428571428572</v>
      </c>
    </row>
    <row r="59" spans="6:10" x14ac:dyDescent="0.25">
      <c r="F59" t="str">
        <f>_xlfn.CONCAT(Table32[[#This Row],[HUB ]],"/",Table32[[#This Row],[DEST]])</f>
        <v>BOM/AWZ</v>
      </c>
      <c r="G59" t="s">
        <v>406</v>
      </c>
      <c r="H59" t="s">
        <v>4964</v>
      </c>
      <c r="I59" s="16">
        <v>20</v>
      </c>
      <c r="J59">
        <f>Table32[[#This Row],[AICRAFT]]/7</f>
        <v>2.8571428571428572</v>
      </c>
    </row>
    <row r="60" spans="6:10" x14ac:dyDescent="0.25">
      <c r="F60" t="str">
        <f>_xlfn.CONCAT(Table32[[#This Row],[HUB ]],"/",Table32[[#This Row],[DEST]])</f>
        <v>BOM/AYT</v>
      </c>
      <c r="G60" t="s">
        <v>406</v>
      </c>
      <c r="H60" t="s">
        <v>5663</v>
      </c>
      <c r="I60" s="16">
        <v>20</v>
      </c>
      <c r="J60">
        <f>Table32[[#This Row],[AICRAFT]]/7</f>
        <v>2.8571428571428572</v>
      </c>
    </row>
    <row r="61" spans="6:10" x14ac:dyDescent="0.25">
      <c r="F61" t="str">
        <f>_xlfn.CONCAT(Table32[[#This Row],[HUB ]],"/",Table32[[#This Row],[DEST]])</f>
        <v>BOM/BBU</v>
      </c>
      <c r="G61" t="s">
        <v>406</v>
      </c>
      <c r="H61" t="s">
        <v>5526</v>
      </c>
      <c r="I61" s="16">
        <v>20</v>
      </c>
      <c r="J61">
        <f>Table32[[#This Row],[AICRAFT]]/7</f>
        <v>2.8571428571428572</v>
      </c>
    </row>
    <row r="62" spans="6:10" x14ac:dyDescent="0.25">
      <c r="F62" t="str">
        <f>_xlfn.CONCAT(Table32[[#This Row],[HUB ]],"/",Table32[[#This Row],[DEST]])</f>
        <v>BOM/CEB</v>
      </c>
      <c r="G62" t="s">
        <v>406</v>
      </c>
      <c r="H62" t="s">
        <v>373</v>
      </c>
      <c r="I62" s="16">
        <v>20</v>
      </c>
      <c r="J62">
        <f>Table32[[#This Row],[AICRAFT]]/7</f>
        <v>2.8571428571428572</v>
      </c>
    </row>
    <row r="63" spans="6:10" x14ac:dyDescent="0.25">
      <c r="F63" t="str">
        <f>_xlfn.CONCAT(Table32[[#This Row],[HUB ]],"/",Table32[[#This Row],[DEST]])</f>
        <v>BOM/CGO</v>
      </c>
      <c r="G63" t="s">
        <v>406</v>
      </c>
      <c r="H63" t="s">
        <v>5489</v>
      </c>
      <c r="I63" s="16">
        <v>20</v>
      </c>
      <c r="J63">
        <f>Table32[[#This Row],[AICRAFT]]/7</f>
        <v>2.8571428571428572</v>
      </c>
    </row>
    <row r="64" spans="6:10" x14ac:dyDescent="0.25">
      <c r="F64" t="str">
        <f>_xlfn.CONCAT(Table32[[#This Row],[HUB ]],"/",Table32[[#This Row],[DEST]])</f>
        <v>BOM/CGQ</v>
      </c>
      <c r="G64" t="s">
        <v>406</v>
      </c>
      <c r="H64" t="s">
        <v>366</v>
      </c>
      <c r="I64" s="16">
        <v>20</v>
      </c>
      <c r="J64">
        <f>Table32[[#This Row],[AICRAFT]]/7</f>
        <v>2.8571428571428572</v>
      </c>
    </row>
    <row r="65" spans="6:10" x14ac:dyDescent="0.25">
      <c r="F65" t="str">
        <f>_xlfn.CONCAT(Table32[[#This Row],[HUB ]],"/",Table32[[#This Row],[DEST]])</f>
        <v>BOM/DAD</v>
      </c>
      <c r="G65" t="s">
        <v>406</v>
      </c>
      <c r="H65" t="s">
        <v>341</v>
      </c>
      <c r="I65" s="16">
        <v>20</v>
      </c>
      <c r="J65">
        <f>Table32[[#This Row],[AICRAFT]]/7</f>
        <v>2.8571428571428572</v>
      </c>
    </row>
    <row r="66" spans="6:10" x14ac:dyDescent="0.25">
      <c r="F66" t="str">
        <f>_xlfn.CONCAT(Table32[[#This Row],[HUB ]],"/",Table32[[#This Row],[DEST]])</f>
        <v>BOM/DIY</v>
      </c>
      <c r="G66" t="s">
        <v>406</v>
      </c>
      <c r="H66" t="s">
        <v>4609</v>
      </c>
      <c r="I66" s="16">
        <v>20</v>
      </c>
      <c r="J66">
        <f>Table32[[#This Row],[AICRAFT]]/7</f>
        <v>2.8571428571428572</v>
      </c>
    </row>
    <row r="67" spans="6:10" x14ac:dyDescent="0.25">
      <c r="F67" t="str">
        <f>_xlfn.CONCAT(Table32[[#This Row],[HUB ]],"/",Table32[[#This Row],[DEST]])</f>
        <v>BOM/DLC</v>
      </c>
      <c r="G67" t="s">
        <v>406</v>
      </c>
      <c r="H67" t="s">
        <v>337</v>
      </c>
      <c r="I67" s="16">
        <v>20</v>
      </c>
      <c r="J67">
        <f>Table32[[#This Row],[AICRAFT]]/7</f>
        <v>2.8571428571428572</v>
      </c>
    </row>
    <row r="68" spans="6:10" x14ac:dyDescent="0.25">
      <c r="F68" t="str">
        <f>_xlfn.CONCAT(Table32[[#This Row],[HUB ]],"/",Table32[[#This Row],[DEST]])</f>
        <v>BOM/DVO</v>
      </c>
      <c r="G68" t="s">
        <v>406</v>
      </c>
      <c r="H68" t="s">
        <v>322</v>
      </c>
      <c r="I68" s="16">
        <v>20</v>
      </c>
      <c r="J68">
        <f>Table32[[#This Row],[AICRAFT]]/7</f>
        <v>2.8571428571428572</v>
      </c>
    </row>
    <row r="69" spans="6:10" x14ac:dyDescent="0.25">
      <c r="F69" t="str">
        <f>_xlfn.CONCAT(Table32[[#This Row],[HUB ]],"/",Table32[[#This Row],[DEST]])</f>
        <v>BOM/ESB</v>
      </c>
      <c r="G69" t="s">
        <v>406</v>
      </c>
      <c r="H69" t="s">
        <v>316</v>
      </c>
      <c r="I69" s="16">
        <v>20</v>
      </c>
      <c r="J69">
        <f>Table32[[#This Row],[AICRAFT]]/7</f>
        <v>2.8571428571428572</v>
      </c>
    </row>
    <row r="70" spans="6:10" x14ac:dyDescent="0.25">
      <c r="F70" t="str">
        <f>_xlfn.CONCAT(Table32[[#This Row],[HUB ]],"/",Table32[[#This Row],[DEST]])</f>
        <v>BOM/HAN</v>
      </c>
      <c r="G70" t="s">
        <v>406</v>
      </c>
      <c r="H70" t="s">
        <v>286</v>
      </c>
      <c r="I70" s="16">
        <v>20</v>
      </c>
      <c r="J70">
        <f>Table32[[#This Row],[AICRAFT]]/7</f>
        <v>2.8571428571428572</v>
      </c>
    </row>
    <row r="71" spans="6:10" x14ac:dyDescent="0.25">
      <c r="F71" t="str">
        <f>_xlfn.CONCAT(Table32[[#This Row],[HUB ]],"/",Table32[[#This Row],[DEST]])</f>
        <v>BOM/HET</v>
      </c>
      <c r="G71" t="s">
        <v>406</v>
      </c>
      <c r="H71" t="s">
        <v>5149</v>
      </c>
      <c r="I71" s="16">
        <v>20</v>
      </c>
      <c r="J71">
        <f>Table32[[#This Row],[AICRAFT]]/7</f>
        <v>2.8571428571428572</v>
      </c>
    </row>
    <row r="72" spans="6:10" x14ac:dyDescent="0.25">
      <c r="F72" t="str">
        <f>_xlfn.CONCAT(Table32[[#This Row],[HUB ]],"/",Table32[[#This Row],[DEST]])</f>
        <v>BOM/HRB</v>
      </c>
      <c r="G72" t="s">
        <v>406</v>
      </c>
      <c r="H72" t="s">
        <v>268</v>
      </c>
      <c r="I72" s="16">
        <v>20</v>
      </c>
      <c r="J72">
        <f>Table32[[#This Row],[AICRAFT]]/7</f>
        <v>2.8571428571428572</v>
      </c>
    </row>
    <row r="73" spans="6:10" x14ac:dyDescent="0.25">
      <c r="F73" t="str">
        <f>_xlfn.CONCAT(Table32[[#This Row],[HUB ]],"/",Table32[[#This Row],[DEST]])</f>
        <v>BOM/IFN</v>
      </c>
      <c r="G73" t="s">
        <v>406</v>
      </c>
      <c r="H73" t="s">
        <v>4935</v>
      </c>
      <c r="I73" s="16">
        <v>20</v>
      </c>
      <c r="J73">
        <f>Table32[[#This Row],[AICRAFT]]/7</f>
        <v>2.8571428571428572</v>
      </c>
    </row>
    <row r="74" spans="6:10" x14ac:dyDescent="0.25">
      <c r="F74" t="str">
        <f>_xlfn.CONCAT(Table32[[#This Row],[HUB ]],"/",Table32[[#This Row],[DEST]])</f>
        <v>BOM/IKA</v>
      </c>
      <c r="G74" t="s">
        <v>406</v>
      </c>
      <c r="H74" t="s">
        <v>5283</v>
      </c>
      <c r="I74" s="16">
        <v>20</v>
      </c>
      <c r="J74">
        <f>Table32[[#This Row],[AICRAFT]]/7</f>
        <v>2.8571428571428572</v>
      </c>
    </row>
    <row r="75" spans="6:10" x14ac:dyDescent="0.25">
      <c r="F75" t="str">
        <f>_xlfn.CONCAT(Table32[[#This Row],[HUB ]],"/",Table32[[#This Row],[DEST]])</f>
        <v>BOM/JZH</v>
      </c>
      <c r="G75" t="s">
        <v>406</v>
      </c>
      <c r="H75" t="s">
        <v>4915</v>
      </c>
      <c r="I75" s="16">
        <v>20</v>
      </c>
      <c r="J75">
        <f>Table32[[#This Row],[AICRAFT]]/7</f>
        <v>2.8571428571428572</v>
      </c>
    </row>
    <row r="76" spans="6:10" x14ac:dyDescent="0.25">
      <c r="F76" t="str">
        <f>_xlfn.CONCAT(Table32[[#This Row],[HUB ]],"/",Table32[[#This Row],[DEST]])</f>
        <v>BOM/KHN</v>
      </c>
      <c r="G76" t="s">
        <v>406</v>
      </c>
      <c r="H76" t="s">
        <v>5265</v>
      </c>
      <c r="I76" s="16">
        <v>20</v>
      </c>
      <c r="J76">
        <f>Table32[[#This Row],[AICRAFT]]/7</f>
        <v>2.8571428571428572</v>
      </c>
    </row>
    <row r="77" spans="6:10" x14ac:dyDescent="0.25">
      <c r="F77" t="str">
        <f>_xlfn.CONCAT(Table32[[#This Row],[HUB ]],"/",Table32[[#This Row],[DEST]])</f>
        <v>BOM/KSH</v>
      </c>
      <c r="G77" t="s">
        <v>406</v>
      </c>
      <c r="H77" t="s">
        <v>4160</v>
      </c>
      <c r="I77" s="16">
        <v>20</v>
      </c>
      <c r="J77">
        <f>Table32[[#This Row],[AICRAFT]]/7</f>
        <v>2.8571428571428572</v>
      </c>
    </row>
    <row r="78" spans="6:10" x14ac:dyDescent="0.25">
      <c r="F78" t="str">
        <f>_xlfn.CONCAT(Table32[[#This Row],[HUB ]],"/",Table32[[#This Row],[DEST]])</f>
        <v>BOM/KTM</v>
      </c>
      <c r="G78" t="s">
        <v>406</v>
      </c>
      <c r="H78" t="s">
        <v>5037</v>
      </c>
      <c r="I78" s="16">
        <v>20</v>
      </c>
      <c r="J78">
        <f>Table32[[#This Row],[AICRAFT]]/7</f>
        <v>2.8571428571428572</v>
      </c>
    </row>
    <row r="79" spans="6:10" x14ac:dyDescent="0.25">
      <c r="F79" t="str">
        <f>_xlfn.CONCAT(Table32[[#This Row],[HUB ]],"/",Table32[[#This Row],[DEST]])</f>
        <v>BOM/KWE</v>
      </c>
      <c r="G79" t="s">
        <v>406</v>
      </c>
      <c r="H79" t="s">
        <v>5406</v>
      </c>
      <c r="I79" s="16">
        <v>20</v>
      </c>
      <c r="J79">
        <f>Table32[[#This Row],[AICRAFT]]/7</f>
        <v>2.8571428571428572</v>
      </c>
    </row>
    <row r="80" spans="6:10" x14ac:dyDescent="0.25">
      <c r="F80" t="str">
        <f>_xlfn.CONCAT(Table32[[#This Row],[HUB ]],"/",Table32[[#This Row],[DEST]])</f>
        <v>BOM/LED</v>
      </c>
      <c r="G80" t="s">
        <v>406</v>
      </c>
      <c r="H80" t="s">
        <v>204</v>
      </c>
      <c r="I80" s="16">
        <v>20</v>
      </c>
      <c r="J80">
        <f>Table32[[#This Row],[AICRAFT]]/7</f>
        <v>2.8571428571428572</v>
      </c>
    </row>
    <row r="81" spans="6:10" x14ac:dyDescent="0.25">
      <c r="F81" t="str">
        <f>_xlfn.CONCAT(Table32[[#This Row],[HUB ]],"/",Table32[[#This Row],[DEST]])</f>
        <v>BOM/LHW</v>
      </c>
      <c r="G81" t="s">
        <v>406</v>
      </c>
      <c r="H81" t="s">
        <v>5141</v>
      </c>
      <c r="I81" s="16">
        <v>20</v>
      </c>
      <c r="J81">
        <f>Table32[[#This Row],[AICRAFT]]/7</f>
        <v>2.8571428571428572</v>
      </c>
    </row>
    <row r="82" spans="6:10" x14ac:dyDescent="0.25">
      <c r="F82" t="str">
        <f>_xlfn.CONCAT(Table32[[#This Row],[HUB ]],"/",Table32[[#This Row],[DEST]])</f>
        <v>BOM/LXR</v>
      </c>
      <c r="G82" t="s">
        <v>406</v>
      </c>
      <c r="H82" t="s">
        <v>5019</v>
      </c>
      <c r="I82" s="16">
        <v>20</v>
      </c>
      <c r="J82">
        <f>Table32[[#This Row],[AICRAFT]]/7</f>
        <v>2.8571428571428572</v>
      </c>
    </row>
    <row r="83" spans="6:10" x14ac:dyDescent="0.25">
      <c r="F83" t="str">
        <f>_xlfn.CONCAT(Table32[[#This Row],[HUB ]],"/",Table32[[#This Row],[DEST]])</f>
        <v>BOM/MFM</v>
      </c>
      <c r="G83" t="s">
        <v>406</v>
      </c>
      <c r="H83" t="s">
        <v>5300</v>
      </c>
      <c r="I83" s="16">
        <v>20</v>
      </c>
      <c r="J83">
        <f>Table32[[#This Row],[AICRAFT]]/7</f>
        <v>2.8571428571428572</v>
      </c>
    </row>
    <row r="84" spans="6:10" x14ac:dyDescent="0.25">
      <c r="F84" t="str">
        <f>_xlfn.CONCAT(Table32[[#This Row],[HUB ]],"/",Table32[[#This Row],[DEST]])</f>
        <v>BOM/MGQ</v>
      </c>
      <c r="G84" t="s">
        <v>406</v>
      </c>
      <c r="H84" t="s">
        <v>2258</v>
      </c>
      <c r="I84" s="16">
        <v>20</v>
      </c>
      <c r="J84">
        <f>Table32[[#This Row],[AICRAFT]]/7</f>
        <v>2.8571428571428572</v>
      </c>
    </row>
    <row r="85" spans="6:10" x14ac:dyDescent="0.25">
      <c r="F85" t="str">
        <f>_xlfn.CONCAT(Table32[[#This Row],[HUB ]],"/",Table32[[#This Row],[DEST]])</f>
        <v>BOM/NGB</v>
      </c>
      <c r="G85" t="s">
        <v>406</v>
      </c>
      <c r="H85" t="s">
        <v>5272</v>
      </c>
      <c r="I85" s="16">
        <v>20</v>
      </c>
      <c r="J85">
        <f>Table32[[#This Row],[AICRAFT]]/7</f>
        <v>2.8571428571428572</v>
      </c>
    </row>
    <row r="86" spans="6:10" x14ac:dyDescent="0.25">
      <c r="F86" t="str">
        <f>_xlfn.CONCAT(Table32[[#This Row],[HUB ]],"/",Table32[[#This Row],[DEST]])</f>
        <v>BOM/OTP</v>
      </c>
      <c r="G86" t="s">
        <v>406</v>
      </c>
      <c r="H86" t="s">
        <v>5358</v>
      </c>
      <c r="I86" s="16">
        <v>20</v>
      </c>
      <c r="J86">
        <f>Table32[[#This Row],[AICRAFT]]/7</f>
        <v>2.8571428571428572</v>
      </c>
    </row>
    <row r="87" spans="6:10" x14ac:dyDescent="0.25">
      <c r="F87" t="str">
        <f>_xlfn.CONCAT(Table32[[#This Row],[HUB ]],"/",Table32[[#This Row],[DEST]])</f>
        <v>BOM/SHE</v>
      </c>
      <c r="G87" t="s">
        <v>406</v>
      </c>
      <c r="H87" t="s">
        <v>95</v>
      </c>
      <c r="I87" s="16">
        <v>20</v>
      </c>
      <c r="J87">
        <f>Table32[[#This Row],[AICRAFT]]/7</f>
        <v>2.8571428571428572</v>
      </c>
    </row>
    <row r="88" spans="6:10" x14ac:dyDescent="0.25">
      <c r="F88" t="str">
        <f>_xlfn.CONCAT(Table32[[#This Row],[HUB ]],"/",Table32[[#This Row],[DEST]])</f>
        <v>BOM/SYX</v>
      </c>
      <c r="G88" t="s">
        <v>406</v>
      </c>
      <c r="H88" t="s">
        <v>68</v>
      </c>
      <c r="I88" s="16">
        <v>20</v>
      </c>
      <c r="J88">
        <f>Table32[[#This Row],[AICRAFT]]/7</f>
        <v>2.8571428571428572</v>
      </c>
    </row>
    <row r="89" spans="6:10" x14ac:dyDescent="0.25">
      <c r="F89" t="str">
        <f>_xlfn.CONCAT(Table32[[#This Row],[HUB ]],"/",Table32[[#This Row],[DEST]])</f>
        <v>BOM/SYZ</v>
      </c>
      <c r="G89" t="s">
        <v>406</v>
      </c>
      <c r="H89" t="s">
        <v>5035</v>
      </c>
      <c r="I89" s="16">
        <v>20</v>
      </c>
      <c r="J89">
        <f>Table32[[#This Row],[AICRAFT]]/7</f>
        <v>2.8571428571428572</v>
      </c>
    </row>
    <row r="90" spans="6:10" x14ac:dyDescent="0.25">
      <c r="F90" t="str">
        <f>_xlfn.CONCAT(Table32[[#This Row],[HUB ]],"/",Table32[[#This Row],[DEST]])</f>
        <v>BOM/TBZ</v>
      </c>
      <c r="G90" t="s">
        <v>406</v>
      </c>
      <c r="H90" t="s">
        <v>4611</v>
      </c>
      <c r="I90" s="16">
        <v>20</v>
      </c>
      <c r="J90">
        <f>Table32[[#This Row],[AICRAFT]]/7</f>
        <v>2.8571428571428572</v>
      </c>
    </row>
    <row r="91" spans="6:10" x14ac:dyDescent="0.25">
      <c r="F91" t="str">
        <f>_xlfn.CONCAT(Table32[[#This Row],[HUB ]],"/",Table32[[#This Row],[DEST]])</f>
        <v>BOM/TNA</v>
      </c>
      <c r="G91" t="s">
        <v>406</v>
      </c>
      <c r="H91" t="s">
        <v>52</v>
      </c>
      <c r="I91" s="16">
        <v>20</v>
      </c>
      <c r="J91">
        <f>Table32[[#This Row],[AICRAFT]]/7</f>
        <v>2.8571428571428572</v>
      </c>
    </row>
    <row r="92" spans="6:10" x14ac:dyDescent="0.25">
      <c r="F92" t="str">
        <f>_xlfn.CONCAT(Table32[[#This Row],[HUB ]],"/",Table32[[#This Row],[DEST]])</f>
        <v>BOM/TYN</v>
      </c>
      <c r="G92" t="s">
        <v>406</v>
      </c>
      <c r="H92" t="s">
        <v>5331</v>
      </c>
      <c r="I92" s="16">
        <v>20</v>
      </c>
      <c r="J92">
        <f>Table32[[#This Row],[AICRAFT]]/7</f>
        <v>2.8571428571428572</v>
      </c>
    </row>
    <row r="93" spans="6:10" x14ac:dyDescent="0.25">
      <c r="F93" t="str">
        <f>_xlfn.CONCAT(Table32[[#This Row],[HUB ]],"/",Table32[[#This Row],[DEST]])</f>
        <v>BOM/UET</v>
      </c>
      <c r="G93" t="s">
        <v>406</v>
      </c>
      <c r="H93" t="s">
        <v>3628</v>
      </c>
      <c r="I93" s="16">
        <v>20</v>
      </c>
      <c r="J93">
        <f>Table32[[#This Row],[AICRAFT]]/7</f>
        <v>2.8571428571428572</v>
      </c>
    </row>
    <row r="94" spans="6:10" x14ac:dyDescent="0.25">
      <c r="F94" t="str">
        <f>_xlfn.CONCAT(Table32[[#This Row],[HUB ]],"/",Table32[[#This Row],[DEST]])</f>
        <v>BOM/ULN</v>
      </c>
      <c r="G94" t="s">
        <v>406</v>
      </c>
      <c r="H94" t="s">
        <v>40</v>
      </c>
      <c r="I94" s="16">
        <v>20</v>
      </c>
      <c r="J94">
        <f>Table32[[#This Row],[AICRAFT]]/7</f>
        <v>2.8571428571428572</v>
      </c>
    </row>
    <row r="95" spans="6:10" x14ac:dyDescent="0.25">
      <c r="F95" t="str">
        <f>_xlfn.CONCAT(Table32[[#This Row],[HUB ]],"/",Table32[[#This Row],[DEST]])</f>
        <v>BOM/URC</v>
      </c>
      <c r="G95" t="s">
        <v>406</v>
      </c>
      <c r="H95" t="s">
        <v>34</v>
      </c>
      <c r="I95" s="16">
        <v>20</v>
      </c>
      <c r="J95">
        <f>Table32[[#This Row],[AICRAFT]]/7</f>
        <v>2.8571428571428572</v>
      </c>
    </row>
    <row r="96" spans="6:10" x14ac:dyDescent="0.25">
      <c r="F96" t="str">
        <f>_xlfn.CONCAT(Table32[[#This Row],[HUB ]],"/",Table32[[#This Row],[DEST]])</f>
        <v>BOM/WAW</v>
      </c>
      <c r="G96" t="s">
        <v>406</v>
      </c>
      <c r="H96" t="s">
        <v>5567</v>
      </c>
      <c r="I96" s="16">
        <v>20</v>
      </c>
      <c r="J96">
        <f>Table32[[#This Row],[AICRAFT]]/7</f>
        <v>2.8571428571428572</v>
      </c>
    </row>
    <row r="97" spans="6:10" x14ac:dyDescent="0.25">
      <c r="F97" t="str">
        <f>_xlfn.CONCAT(Table32[[#This Row],[HUB ]],"/",Table32[[#This Row],[DEST]])</f>
        <v>BOM/WUH</v>
      </c>
      <c r="G97" t="s">
        <v>406</v>
      </c>
      <c r="H97" t="s">
        <v>18</v>
      </c>
      <c r="I97" s="16">
        <v>20</v>
      </c>
      <c r="J97">
        <f>Table32[[#This Row],[AICRAFT]]/7</f>
        <v>2.8571428571428572</v>
      </c>
    </row>
    <row r="98" spans="6:10" x14ac:dyDescent="0.25">
      <c r="F98" t="str">
        <f>_xlfn.CONCAT(Table32[[#This Row],[HUB ]],"/",Table32[[#This Row],[DEST]])</f>
        <v>BOM/XIY</v>
      </c>
      <c r="G98" t="s">
        <v>406</v>
      </c>
      <c r="H98" t="s">
        <v>15</v>
      </c>
      <c r="I98" s="16">
        <v>20</v>
      </c>
      <c r="J98">
        <f>Table32[[#This Row],[AICRAFT]]/7</f>
        <v>2.8571428571428572</v>
      </c>
    </row>
    <row r="99" spans="6:10" x14ac:dyDescent="0.25">
      <c r="F99" t="str">
        <f>_xlfn.CONCAT(Table32[[#This Row],[HUB ]],"/",Table32[[#This Row],[DEST]])</f>
        <v>BOM/XMN</v>
      </c>
      <c r="G99" t="s">
        <v>406</v>
      </c>
      <c r="H99" t="s">
        <v>5597</v>
      </c>
      <c r="I99" s="16">
        <v>20</v>
      </c>
      <c r="J99">
        <f>Table32[[#This Row],[AICRAFT]]/7</f>
        <v>2.8571428571428572</v>
      </c>
    </row>
    <row r="100" spans="6:10" x14ac:dyDescent="0.25">
      <c r="F100" t="str">
        <f>_xlfn.CONCAT(Table32[[#This Row],[HUB ]],"/",Table32[[#This Row],[DEST]])</f>
        <v>BOM/XNN</v>
      </c>
      <c r="G100" t="s">
        <v>406</v>
      </c>
      <c r="H100" t="s">
        <v>4760</v>
      </c>
      <c r="I100" s="16">
        <v>20</v>
      </c>
      <c r="J100">
        <f>Table32[[#This Row],[AICRAFT]]/7</f>
        <v>2.8571428571428572</v>
      </c>
    </row>
    <row r="101" spans="6:10" x14ac:dyDescent="0.25">
      <c r="F101" t="str">
        <f>_xlfn.CONCAT(Table32[[#This Row],[HUB ]],"/",Table32[[#This Row],[DEST]])</f>
        <v>BOM/ADB</v>
      </c>
      <c r="G101" t="s">
        <v>406</v>
      </c>
      <c r="H101" t="s">
        <v>5443</v>
      </c>
      <c r="I101" s="16">
        <v>18</v>
      </c>
      <c r="J101">
        <f>Table32[[#This Row],[AICRAFT]]/7</f>
        <v>2.5714285714285716</v>
      </c>
    </row>
    <row r="102" spans="6:10" x14ac:dyDescent="0.25">
      <c r="F102" t="str">
        <f>_xlfn.CONCAT(Table32[[#This Row],[HUB ]],"/",Table32[[#This Row],[DEST]])</f>
        <v>BOM/ALP</v>
      </c>
      <c r="G102" t="s">
        <v>406</v>
      </c>
      <c r="H102" t="s">
        <v>4814</v>
      </c>
      <c r="I102" s="16">
        <v>18</v>
      </c>
      <c r="J102">
        <f>Table32[[#This Row],[AICRAFT]]/7</f>
        <v>2.5714285714285716</v>
      </c>
    </row>
    <row r="103" spans="6:10" x14ac:dyDescent="0.25">
      <c r="F103" t="str">
        <f>_xlfn.CONCAT(Table32[[#This Row],[HUB ]],"/",Table32[[#This Row],[DEST]])</f>
        <v>BOM/AMM</v>
      </c>
      <c r="G103" t="s">
        <v>406</v>
      </c>
      <c r="H103" t="s">
        <v>5317</v>
      </c>
      <c r="I103" s="16">
        <v>18</v>
      </c>
      <c r="J103">
        <f>Table32[[#This Row],[AICRAFT]]/7</f>
        <v>2.5714285714285716</v>
      </c>
    </row>
    <row r="104" spans="6:10" x14ac:dyDescent="0.25">
      <c r="F104" t="str">
        <f>_xlfn.CONCAT(Table32[[#This Row],[HUB ]],"/",Table32[[#This Row],[DEST]])</f>
        <v>BOM/ASW</v>
      </c>
      <c r="G104" t="s">
        <v>406</v>
      </c>
      <c r="H104" t="s">
        <v>4640</v>
      </c>
      <c r="I104" s="16">
        <v>18</v>
      </c>
      <c r="J104">
        <f>Table32[[#This Row],[AICRAFT]]/7</f>
        <v>2.5714285714285716</v>
      </c>
    </row>
    <row r="105" spans="6:10" x14ac:dyDescent="0.25">
      <c r="F105" t="str">
        <f>_xlfn.CONCAT(Table32[[#This Row],[HUB ]],"/",Table32[[#This Row],[DEST]])</f>
        <v>BOM/BJV</v>
      </c>
      <c r="G105" t="s">
        <v>406</v>
      </c>
      <c r="H105" t="s">
        <v>5128</v>
      </c>
      <c r="I105" s="16">
        <v>18</v>
      </c>
      <c r="J105">
        <f>Table32[[#This Row],[AICRAFT]]/7</f>
        <v>2.5714285714285716</v>
      </c>
    </row>
    <row r="106" spans="6:10" x14ac:dyDescent="0.25">
      <c r="F106" t="str">
        <f>_xlfn.CONCAT(Table32[[#This Row],[HUB ]],"/",Table32[[#This Row],[DEST]])</f>
        <v>BOM/BKI</v>
      </c>
      <c r="G106" t="s">
        <v>406</v>
      </c>
      <c r="H106" t="s">
        <v>417</v>
      </c>
      <c r="I106" s="16">
        <v>18</v>
      </c>
      <c r="J106">
        <f>Table32[[#This Row],[AICRAFT]]/7</f>
        <v>2.5714285714285716</v>
      </c>
    </row>
    <row r="107" spans="6:10" x14ac:dyDescent="0.25">
      <c r="F107" t="str">
        <f>_xlfn.CONCAT(Table32[[#This Row],[HUB ]],"/",Table32[[#This Row],[DEST]])</f>
        <v>BOM/CXR</v>
      </c>
      <c r="G107" t="s">
        <v>406</v>
      </c>
      <c r="H107" t="s">
        <v>345</v>
      </c>
      <c r="I107" s="16">
        <v>18</v>
      </c>
      <c r="J107">
        <f>Table32[[#This Row],[AICRAFT]]/7</f>
        <v>2.5714285714285716</v>
      </c>
    </row>
    <row r="108" spans="6:10" x14ac:dyDescent="0.25">
      <c r="F108" t="str">
        <f>_xlfn.CONCAT(Table32[[#This Row],[HUB ]],"/",Table32[[#This Row],[DEST]])</f>
        <v>BOM/DAM</v>
      </c>
      <c r="G108" t="s">
        <v>406</v>
      </c>
      <c r="H108" t="s">
        <v>5196</v>
      </c>
      <c r="I108" s="16">
        <v>18</v>
      </c>
      <c r="J108">
        <f>Table32[[#This Row],[AICRAFT]]/7</f>
        <v>2.5714285714285716</v>
      </c>
    </row>
    <row r="109" spans="6:10" x14ac:dyDescent="0.25">
      <c r="F109" t="str">
        <f>_xlfn.CONCAT(Table32[[#This Row],[HUB ]],"/",Table32[[#This Row],[DEST]])</f>
        <v>BOM/DLM</v>
      </c>
      <c r="G109" t="s">
        <v>406</v>
      </c>
      <c r="H109" t="s">
        <v>5221</v>
      </c>
      <c r="I109" s="16">
        <v>18</v>
      </c>
      <c r="J109">
        <f>Table32[[#This Row],[AICRAFT]]/7</f>
        <v>2.5714285714285716</v>
      </c>
    </row>
    <row r="110" spans="6:10" x14ac:dyDescent="0.25">
      <c r="F110" t="str">
        <f>_xlfn.CONCAT(Table32[[#This Row],[HUB ]],"/",Table32[[#This Row],[DEST]])</f>
        <v>BOM/FOC</v>
      </c>
      <c r="G110" t="s">
        <v>406</v>
      </c>
      <c r="H110" t="s">
        <v>5386</v>
      </c>
      <c r="I110" s="16">
        <v>18</v>
      </c>
      <c r="J110">
        <f>Table32[[#This Row],[AICRAFT]]/7</f>
        <v>2.5714285714285716</v>
      </c>
    </row>
    <row r="111" spans="6:10" x14ac:dyDescent="0.25">
      <c r="F111" t="str">
        <f>_xlfn.CONCAT(Table32[[#This Row],[HUB ]],"/",Table32[[#This Row],[DEST]])</f>
        <v>BOM/GZT</v>
      </c>
      <c r="G111" t="s">
        <v>406</v>
      </c>
      <c r="H111" t="s">
        <v>4447</v>
      </c>
      <c r="I111" s="16">
        <v>18</v>
      </c>
      <c r="J111">
        <f>Table32[[#This Row],[AICRAFT]]/7</f>
        <v>2.5714285714285716</v>
      </c>
    </row>
    <row r="112" spans="6:10" x14ac:dyDescent="0.25">
      <c r="F112" t="str">
        <f>_xlfn.CONCAT(Table32[[#This Row],[HUB ]],"/",Table32[[#This Row],[DEST]])</f>
        <v>BOM/HAK</v>
      </c>
      <c r="G112" t="s">
        <v>406</v>
      </c>
      <c r="H112" t="s">
        <v>290</v>
      </c>
      <c r="I112" s="16">
        <v>18</v>
      </c>
      <c r="J112">
        <f>Table32[[#This Row],[AICRAFT]]/7</f>
        <v>2.5714285714285716</v>
      </c>
    </row>
    <row r="113" spans="6:10" x14ac:dyDescent="0.25">
      <c r="F113" t="str">
        <f>_xlfn.CONCAT(Table32[[#This Row],[HUB ]],"/",Table32[[#This Row],[DEST]])</f>
        <v>BOM/HFE</v>
      </c>
      <c r="G113" t="s">
        <v>406</v>
      </c>
      <c r="H113" t="s">
        <v>5194</v>
      </c>
      <c r="I113" s="16">
        <v>18</v>
      </c>
      <c r="J113">
        <f>Table32[[#This Row],[AICRAFT]]/7</f>
        <v>2.5714285714285716</v>
      </c>
    </row>
    <row r="114" spans="6:10" x14ac:dyDescent="0.25">
      <c r="F114" t="str">
        <f>_xlfn.CONCAT(Table32[[#This Row],[HUB ]],"/",Table32[[#This Row],[DEST]])</f>
        <v>BOM/HGH</v>
      </c>
      <c r="G114" t="s">
        <v>406</v>
      </c>
      <c r="H114" t="s">
        <v>279</v>
      </c>
      <c r="I114" s="16">
        <v>18</v>
      </c>
      <c r="J114">
        <f>Table32[[#This Row],[AICRAFT]]/7</f>
        <v>2.5714285714285716</v>
      </c>
    </row>
    <row r="115" spans="6:10" x14ac:dyDescent="0.25">
      <c r="F115" t="str">
        <f>_xlfn.CONCAT(Table32[[#This Row],[HUB ]],"/",Table32[[#This Row],[DEST]])</f>
        <v>BOM/HRG</v>
      </c>
      <c r="G115" t="s">
        <v>406</v>
      </c>
      <c r="H115" t="s">
        <v>5471</v>
      </c>
      <c r="I115" s="16">
        <v>18</v>
      </c>
      <c r="J115">
        <f>Table32[[#This Row],[AICRAFT]]/7</f>
        <v>2.5714285714285716</v>
      </c>
    </row>
    <row r="116" spans="6:10" x14ac:dyDescent="0.25">
      <c r="F116" t="str">
        <f>_xlfn.CONCAT(Table32[[#This Row],[HUB ]],"/",Table32[[#This Row],[DEST]])</f>
        <v>BOM/INC</v>
      </c>
      <c r="G116" t="s">
        <v>406</v>
      </c>
      <c r="H116" t="s">
        <v>5043</v>
      </c>
      <c r="I116" s="16">
        <v>18</v>
      </c>
      <c r="J116">
        <f>Table32[[#This Row],[AICRAFT]]/7</f>
        <v>2.5714285714285716</v>
      </c>
    </row>
    <row r="117" spans="6:10" x14ac:dyDescent="0.25">
      <c r="F117" t="str">
        <f>_xlfn.CONCAT(Table32[[#This Row],[HUB ]],"/",Table32[[#This Row],[DEST]])</f>
        <v>BOM/JED</v>
      </c>
      <c r="G117" t="s">
        <v>406</v>
      </c>
      <c r="H117" t="s">
        <v>5639</v>
      </c>
      <c r="I117" s="16">
        <v>18</v>
      </c>
      <c r="J117">
        <f>Table32[[#This Row],[AICRAFT]]/7</f>
        <v>2.5714285714285716</v>
      </c>
    </row>
    <row r="118" spans="6:10" x14ac:dyDescent="0.25">
      <c r="F118" t="str">
        <f>_xlfn.CONCAT(Table32[[#This Row],[HUB ]],"/",Table32[[#This Row],[DEST]])</f>
        <v>BOM/KWL</v>
      </c>
      <c r="G118" t="s">
        <v>406</v>
      </c>
      <c r="H118" t="s">
        <v>5373</v>
      </c>
      <c r="I118" s="16">
        <v>18</v>
      </c>
      <c r="J118">
        <f>Table32[[#This Row],[AICRAFT]]/7</f>
        <v>2.5714285714285716</v>
      </c>
    </row>
    <row r="119" spans="6:10" x14ac:dyDescent="0.25">
      <c r="F119" t="str">
        <f>_xlfn.CONCAT(Table32[[#This Row],[HUB ]],"/",Table32[[#This Row],[DEST]])</f>
        <v>BOM/NAG</v>
      </c>
      <c r="G119" t="s">
        <v>406</v>
      </c>
      <c r="H119" t="s">
        <v>154</v>
      </c>
      <c r="I119" s="16">
        <v>18</v>
      </c>
      <c r="J119">
        <f>Table32[[#This Row],[AICRAFT]]/7</f>
        <v>2.5714285714285716</v>
      </c>
    </row>
    <row r="120" spans="6:10" x14ac:dyDescent="0.25">
      <c r="F120" t="str">
        <f>_xlfn.CONCAT(Table32[[#This Row],[HUB ]],"/",Table32[[#This Row],[DEST]])</f>
        <v>BOM/NKG</v>
      </c>
      <c r="G120" t="s">
        <v>406</v>
      </c>
      <c r="H120" t="s">
        <v>147</v>
      </c>
      <c r="I120" s="16">
        <v>18</v>
      </c>
      <c r="J120">
        <f>Table32[[#This Row],[AICRAFT]]/7</f>
        <v>2.5714285714285716</v>
      </c>
    </row>
    <row r="121" spans="6:10" x14ac:dyDescent="0.25">
      <c r="F121" t="str">
        <f>_xlfn.CONCAT(Table32[[#This Row],[HUB ]],"/",Table32[[#This Row],[DEST]])</f>
        <v>BOM/RMF</v>
      </c>
      <c r="G121" t="s">
        <v>406</v>
      </c>
      <c r="H121" t="s">
        <v>4445</v>
      </c>
      <c r="I121" s="16">
        <v>18</v>
      </c>
      <c r="J121">
        <f>Table32[[#This Row],[AICRAFT]]/7</f>
        <v>2.5714285714285716</v>
      </c>
    </row>
    <row r="122" spans="6:10" x14ac:dyDescent="0.25">
      <c r="F122" t="str">
        <f>_xlfn.CONCAT(Table32[[#This Row],[HUB ]],"/",Table32[[#This Row],[DEST]])</f>
        <v>BOM/SAW</v>
      </c>
      <c r="G122" t="s">
        <v>406</v>
      </c>
      <c r="H122" t="s">
        <v>5457</v>
      </c>
      <c r="I122" s="16">
        <v>18</v>
      </c>
      <c r="J122">
        <f>Table32[[#This Row],[AICRAFT]]/7</f>
        <v>2.5714285714285716</v>
      </c>
    </row>
    <row r="123" spans="6:10" x14ac:dyDescent="0.25">
      <c r="F123" t="str">
        <f>_xlfn.CONCAT(Table32[[#This Row],[HUB ]],"/",Table32[[#This Row],[DEST]])</f>
        <v>BOM/SSH</v>
      </c>
      <c r="G123" t="s">
        <v>406</v>
      </c>
      <c r="H123" t="s">
        <v>5513</v>
      </c>
      <c r="I123" s="16">
        <v>18</v>
      </c>
      <c r="J123">
        <f>Table32[[#This Row],[AICRAFT]]/7</f>
        <v>2.5714285714285716</v>
      </c>
    </row>
    <row r="124" spans="6:10" x14ac:dyDescent="0.25">
      <c r="F124" t="str">
        <f>_xlfn.CONCAT(Table32[[#This Row],[HUB ]],"/",Table32[[#This Row],[DEST]])</f>
        <v>BOM/SVO</v>
      </c>
      <c r="G124" t="s">
        <v>406</v>
      </c>
      <c r="H124" t="s">
        <v>79</v>
      </c>
      <c r="I124" s="16">
        <v>18</v>
      </c>
      <c r="J124">
        <f>Table32[[#This Row],[AICRAFT]]/7</f>
        <v>2.5714285714285716</v>
      </c>
    </row>
    <row r="125" spans="6:10" x14ac:dyDescent="0.25">
      <c r="F125" t="str">
        <f>_xlfn.CONCAT(Table32[[#This Row],[HUB ]],"/",Table32[[#This Row],[DEST]])</f>
        <v>BOM/SZF</v>
      </c>
      <c r="G125" t="s">
        <v>406</v>
      </c>
      <c r="H125" t="s">
        <v>4488</v>
      </c>
      <c r="I125" s="16">
        <v>18</v>
      </c>
      <c r="J125">
        <f>Table32[[#This Row],[AICRAFT]]/7</f>
        <v>2.5714285714285716</v>
      </c>
    </row>
    <row r="126" spans="6:10" x14ac:dyDescent="0.25">
      <c r="F126" t="str">
        <f>_xlfn.CONCAT(Table32[[#This Row],[HUB ]],"/",Table32[[#This Row],[DEST]])</f>
        <v>BOM/TAO</v>
      </c>
      <c r="G126" t="s">
        <v>406</v>
      </c>
      <c r="H126" t="s">
        <v>63</v>
      </c>
      <c r="I126" s="16">
        <v>18</v>
      </c>
      <c r="J126">
        <f>Table32[[#This Row],[AICRAFT]]/7</f>
        <v>2.5714285714285716</v>
      </c>
    </row>
    <row r="127" spans="6:10" x14ac:dyDescent="0.25">
      <c r="F127" t="str">
        <f>_xlfn.CONCAT(Table32[[#This Row],[HUB ]],"/",Table32[[#This Row],[DEST]])</f>
        <v>BOM/TSN</v>
      </c>
      <c r="G127" t="s">
        <v>406</v>
      </c>
      <c r="H127" t="s">
        <v>42</v>
      </c>
      <c r="I127" s="16">
        <v>18</v>
      </c>
      <c r="J127">
        <f>Table32[[#This Row],[AICRAFT]]/7</f>
        <v>2.5714285714285716</v>
      </c>
    </row>
    <row r="128" spans="6:10" x14ac:dyDescent="0.25">
      <c r="F128" t="str">
        <f>_xlfn.CONCAT(Table32[[#This Row],[HUB ]],"/",Table32[[#This Row],[DEST]])</f>
        <v>BOM/VKO</v>
      </c>
      <c r="G128" t="s">
        <v>406</v>
      </c>
      <c r="H128" t="s">
        <v>5511</v>
      </c>
      <c r="I128" s="16">
        <v>18</v>
      </c>
      <c r="J128">
        <f>Table32[[#This Row],[AICRAFT]]/7</f>
        <v>2.5714285714285716</v>
      </c>
    </row>
    <row r="129" spans="6:10" x14ac:dyDescent="0.25">
      <c r="F129" t="str">
        <f>_xlfn.CONCAT(Table32[[#This Row],[HUB ]],"/",Table32[[#This Row],[DEST]])</f>
        <v>BOM/ZUH</v>
      </c>
      <c r="G129" t="s">
        <v>406</v>
      </c>
      <c r="H129" t="s">
        <v>4781</v>
      </c>
      <c r="I129" s="16">
        <v>18</v>
      </c>
      <c r="J129">
        <f>Table32[[#This Row],[AICRAFT]]/7</f>
        <v>2.5714285714285716</v>
      </c>
    </row>
    <row r="130" spans="6:10" x14ac:dyDescent="0.25">
      <c r="F130" t="str">
        <f>_xlfn.CONCAT(Table32[[#This Row],[HUB ]],"/",Table32[[#This Row],[DEST]])</f>
        <v>BOM/ADL</v>
      </c>
      <c r="G130" t="s">
        <v>406</v>
      </c>
      <c r="H130" t="s">
        <v>5487</v>
      </c>
      <c r="I130" s="16">
        <v>14</v>
      </c>
      <c r="J130">
        <f>Table32[[#This Row],[AICRAFT]]/7</f>
        <v>2</v>
      </c>
    </row>
    <row r="131" spans="6:10" x14ac:dyDescent="0.25">
      <c r="F131" t="str">
        <f>_xlfn.CONCAT(Table32[[#This Row],[HUB ]],"/",Table32[[#This Row],[DEST]])</f>
        <v>BOM/AGA</v>
      </c>
      <c r="G131" t="s">
        <v>406</v>
      </c>
      <c r="H131" t="s">
        <v>4816</v>
      </c>
      <c r="I131" s="16">
        <v>14</v>
      </c>
      <c r="J131">
        <f>Table32[[#This Row],[AICRAFT]]/7</f>
        <v>2</v>
      </c>
    </row>
    <row r="132" spans="6:10" x14ac:dyDescent="0.25">
      <c r="F132" t="str">
        <f>_xlfn.CONCAT(Table32[[#This Row],[HUB ]],"/",Table32[[#This Row],[DEST]])</f>
        <v>BOM/AKL</v>
      </c>
      <c r="G132" t="s">
        <v>406</v>
      </c>
      <c r="H132" t="s">
        <v>452</v>
      </c>
      <c r="I132" s="16">
        <v>14</v>
      </c>
      <c r="J132">
        <f>Table32[[#This Row],[AICRAFT]]/7</f>
        <v>2</v>
      </c>
    </row>
    <row r="133" spans="6:10" x14ac:dyDescent="0.25">
      <c r="F133" t="str">
        <f>_xlfn.CONCAT(Table32[[#This Row],[HUB ]],"/",Table32[[#This Row],[DEST]])</f>
        <v>BOM/AMS</v>
      </c>
      <c r="G133" t="s">
        <v>406</v>
      </c>
      <c r="H133" t="s">
        <v>446</v>
      </c>
      <c r="I133" s="16">
        <v>14</v>
      </c>
      <c r="J133">
        <f>Table32[[#This Row],[AICRAFT]]/7</f>
        <v>2</v>
      </c>
    </row>
    <row r="134" spans="6:10" x14ac:dyDescent="0.25">
      <c r="F134" t="str">
        <f>_xlfn.CONCAT(Table32[[#This Row],[HUB ]],"/",Table32[[#This Row],[DEST]])</f>
        <v>BOM/ATL</v>
      </c>
      <c r="G134" t="s">
        <v>406</v>
      </c>
      <c r="H134" t="s">
        <v>5768</v>
      </c>
      <c r="I134" s="16">
        <v>14</v>
      </c>
      <c r="J134">
        <f>Table32[[#This Row],[AICRAFT]]/7</f>
        <v>2</v>
      </c>
    </row>
    <row r="135" spans="6:10" x14ac:dyDescent="0.25">
      <c r="F135" t="str">
        <f>_xlfn.CONCAT(Table32[[#This Row],[HUB ]],"/",Table32[[#This Row],[DEST]])</f>
        <v>BOM/BCN</v>
      </c>
      <c r="G135" t="s">
        <v>406</v>
      </c>
      <c r="H135" t="s">
        <v>430</v>
      </c>
      <c r="I135" s="16">
        <v>14</v>
      </c>
      <c r="J135">
        <f>Table32[[#This Row],[AICRAFT]]/7</f>
        <v>2</v>
      </c>
    </row>
    <row r="136" spans="6:10" x14ac:dyDescent="0.25">
      <c r="F136" t="str">
        <f>_xlfn.CONCAT(Table32[[#This Row],[HUB ]],"/",Table32[[#This Row],[DEST]])</f>
        <v>BOM/BEL</v>
      </c>
      <c r="G136" t="s">
        <v>406</v>
      </c>
      <c r="H136" t="s">
        <v>426</v>
      </c>
      <c r="I136" s="16">
        <v>14</v>
      </c>
      <c r="J136">
        <f>Table32[[#This Row],[AICRAFT]]/7</f>
        <v>2</v>
      </c>
    </row>
    <row r="137" spans="6:10" x14ac:dyDescent="0.25">
      <c r="F137" t="str">
        <f>_xlfn.CONCAT(Table32[[#This Row],[HUB ]],"/",Table32[[#This Row],[DEST]])</f>
        <v>BOM/BGY</v>
      </c>
      <c r="G137" t="s">
        <v>406</v>
      </c>
      <c r="H137" t="s">
        <v>5507</v>
      </c>
      <c r="I137" s="16">
        <v>14</v>
      </c>
      <c r="J137">
        <f>Table32[[#This Row],[AICRAFT]]/7</f>
        <v>2</v>
      </c>
    </row>
    <row r="138" spans="6:10" x14ac:dyDescent="0.25">
      <c r="F138" t="str">
        <f>_xlfn.CONCAT(Table32[[#This Row],[HUB ]],"/",Table32[[#This Row],[DEST]])</f>
        <v>BOM/BNE</v>
      </c>
      <c r="G138" t="s">
        <v>406</v>
      </c>
      <c r="H138" t="s">
        <v>410</v>
      </c>
      <c r="I138" s="16">
        <v>14</v>
      </c>
      <c r="J138">
        <f>Table32[[#This Row],[AICRAFT]]/7</f>
        <v>2</v>
      </c>
    </row>
    <row r="139" spans="6:10" x14ac:dyDescent="0.25">
      <c r="F139" t="str">
        <f>_xlfn.CONCAT(Table32[[#This Row],[HUB ]],"/",Table32[[#This Row],[DEST]])</f>
        <v>BOM/BOG</v>
      </c>
      <c r="G139" t="s">
        <v>406</v>
      </c>
      <c r="H139" t="s">
        <v>408</v>
      </c>
      <c r="I139" s="16">
        <v>14</v>
      </c>
      <c r="J139">
        <f>Table32[[#This Row],[AICRAFT]]/7</f>
        <v>2</v>
      </c>
    </row>
    <row r="140" spans="6:10" x14ac:dyDescent="0.25">
      <c r="F140" t="str">
        <f>_xlfn.CONCAT(Table32[[#This Row],[HUB ]],"/",Table32[[#This Row],[DEST]])</f>
        <v>BOM/BOS</v>
      </c>
      <c r="G140" t="s">
        <v>406</v>
      </c>
      <c r="H140" t="s">
        <v>404</v>
      </c>
      <c r="I140" s="16">
        <v>14</v>
      </c>
      <c r="J140">
        <f>Table32[[#This Row],[AICRAFT]]/7</f>
        <v>2</v>
      </c>
    </row>
    <row r="141" spans="6:10" x14ac:dyDescent="0.25">
      <c r="F141" t="str">
        <f>_xlfn.CONCAT(Table32[[#This Row],[HUB ]],"/",Table32[[#This Row],[DEST]])</f>
        <v>BOM/BRU</v>
      </c>
      <c r="G141" t="s">
        <v>406</v>
      </c>
      <c r="H141" t="s">
        <v>402</v>
      </c>
      <c r="I141" s="16">
        <v>14</v>
      </c>
      <c r="J141">
        <f>Table32[[#This Row],[AICRAFT]]/7</f>
        <v>2</v>
      </c>
    </row>
    <row r="142" spans="6:10" x14ac:dyDescent="0.25">
      <c r="F142" t="str">
        <f>_xlfn.CONCAT(Table32[[#This Row],[HUB ]],"/",Table32[[#This Row],[DEST]])</f>
        <v>BOM/BTH</v>
      </c>
      <c r="G142" t="s">
        <v>406</v>
      </c>
      <c r="H142" t="s">
        <v>395</v>
      </c>
      <c r="I142" s="16">
        <v>14</v>
      </c>
      <c r="J142">
        <f>Table32[[#This Row],[AICRAFT]]/7</f>
        <v>2</v>
      </c>
    </row>
    <row r="143" spans="6:10" x14ac:dyDescent="0.25">
      <c r="F143" t="str">
        <f>_xlfn.CONCAT(Table32[[#This Row],[HUB ]],"/",Table32[[#This Row],[DEST]])</f>
        <v>BOM/BUD</v>
      </c>
      <c r="G143" t="s">
        <v>406</v>
      </c>
      <c r="H143" t="s">
        <v>393</v>
      </c>
      <c r="I143" s="16">
        <v>14</v>
      </c>
      <c r="J143">
        <f>Table32[[#This Row],[AICRAFT]]/7</f>
        <v>2</v>
      </c>
    </row>
    <row r="144" spans="6:10" x14ac:dyDescent="0.25">
      <c r="F144" t="str">
        <f>_xlfn.CONCAT(Table32[[#This Row],[HUB ]],"/",Table32[[#This Row],[DEST]])</f>
        <v>BOM/BWI</v>
      </c>
      <c r="G144" t="s">
        <v>406</v>
      </c>
      <c r="H144" t="s">
        <v>5682</v>
      </c>
      <c r="I144" s="16">
        <v>14</v>
      </c>
      <c r="J144">
        <f>Table32[[#This Row],[AICRAFT]]/7</f>
        <v>2</v>
      </c>
    </row>
    <row r="145" spans="6:10" x14ac:dyDescent="0.25">
      <c r="F145" t="str">
        <f>_xlfn.CONCAT(Table32[[#This Row],[HUB ]],"/",Table32[[#This Row],[DEST]])</f>
        <v>BOM/CAY</v>
      </c>
      <c r="G145" t="s">
        <v>406</v>
      </c>
      <c r="H145" t="s">
        <v>4052</v>
      </c>
      <c r="I145" s="16">
        <v>14</v>
      </c>
      <c r="J145">
        <f>Table32[[#This Row],[AICRAFT]]/7</f>
        <v>2</v>
      </c>
    </row>
    <row r="146" spans="6:10" x14ac:dyDescent="0.25">
      <c r="F146" t="str">
        <f>_xlfn.CONCAT(Table32[[#This Row],[HUB ]],"/",Table32[[#This Row],[DEST]])</f>
        <v>BOM/CCS</v>
      </c>
      <c r="G146" t="s">
        <v>406</v>
      </c>
      <c r="H146" t="s">
        <v>381</v>
      </c>
      <c r="I146" s="16">
        <v>14</v>
      </c>
      <c r="J146">
        <f>Table32[[#This Row],[AICRAFT]]/7</f>
        <v>2</v>
      </c>
    </row>
    <row r="147" spans="6:10" x14ac:dyDescent="0.25">
      <c r="F147" t="str">
        <f>_xlfn.CONCAT(Table32[[#This Row],[HUB ]],"/",Table32[[#This Row],[DEST]])</f>
        <v>BOM/CDG</v>
      </c>
      <c r="G147" t="s">
        <v>406</v>
      </c>
      <c r="H147" t="s">
        <v>376</v>
      </c>
      <c r="I147" s="16">
        <v>14</v>
      </c>
      <c r="J147">
        <f>Table32[[#This Row],[AICRAFT]]/7</f>
        <v>2</v>
      </c>
    </row>
    <row r="148" spans="6:10" x14ac:dyDescent="0.25">
      <c r="F148" t="str">
        <f>_xlfn.CONCAT(Table32[[#This Row],[HUB ]],"/",Table32[[#This Row],[DEST]])</f>
        <v>BOM/CEI</v>
      </c>
      <c r="G148" t="s">
        <v>406</v>
      </c>
      <c r="H148" t="s">
        <v>371</v>
      </c>
      <c r="I148" s="16">
        <v>14</v>
      </c>
      <c r="J148">
        <f>Table32[[#This Row],[AICRAFT]]/7</f>
        <v>2</v>
      </c>
    </row>
    <row r="149" spans="6:10" x14ac:dyDescent="0.25">
      <c r="F149" t="str">
        <f>_xlfn.CONCAT(Table32[[#This Row],[HUB ]],"/",Table32[[#This Row],[DEST]])</f>
        <v>BOM/CHC</v>
      </c>
      <c r="G149" t="s">
        <v>406</v>
      </c>
      <c r="H149" t="s">
        <v>364</v>
      </c>
      <c r="I149" s="16">
        <v>14</v>
      </c>
      <c r="J149">
        <f>Table32[[#This Row],[AICRAFT]]/7</f>
        <v>2</v>
      </c>
    </row>
    <row r="150" spans="6:10" x14ac:dyDescent="0.25">
      <c r="F150" t="str">
        <f>_xlfn.CONCAT(Table32[[#This Row],[HUB ]],"/",Table32[[#This Row],[DEST]])</f>
        <v>BOM/CJU</v>
      </c>
      <c r="G150" t="s">
        <v>406</v>
      </c>
      <c r="H150" t="s">
        <v>5608</v>
      </c>
      <c r="I150" s="16">
        <v>14</v>
      </c>
      <c r="J150">
        <f>Table32[[#This Row],[AICRAFT]]/7</f>
        <v>2</v>
      </c>
    </row>
    <row r="151" spans="6:10" x14ac:dyDescent="0.25">
      <c r="F151" t="str">
        <f>_xlfn.CONCAT(Table32[[#This Row],[HUB ]],"/",Table32[[#This Row],[DEST]])</f>
        <v>BOM/CLT</v>
      </c>
      <c r="G151" t="s">
        <v>406</v>
      </c>
      <c r="H151" t="s">
        <v>5732</v>
      </c>
      <c r="I151" s="16">
        <v>14</v>
      </c>
      <c r="J151">
        <f>Table32[[#This Row],[AICRAFT]]/7</f>
        <v>2</v>
      </c>
    </row>
    <row r="152" spans="6:10" x14ac:dyDescent="0.25">
      <c r="F152" t="str">
        <f>_xlfn.CONCAT(Table32[[#This Row],[HUB ]],"/",Table32[[#This Row],[DEST]])</f>
        <v>BOM/CMN</v>
      </c>
      <c r="G152" t="s">
        <v>406</v>
      </c>
      <c r="H152" t="s">
        <v>359</v>
      </c>
      <c r="I152" s="16">
        <v>14</v>
      </c>
      <c r="J152">
        <f>Table32[[#This Row],[AICRAFT]]/7</f>
        <v>2</v>
      </c>
    </row>
    <row r="153" spans="6:10" x14ac:dyDescent="0.25">
      <c r="F153" t="str">
        <f>_xlfn.CONCAT(Table32[[#This Row],[HUB ]],"/",Table32[[#This Row],[DEST]])</f>
        <v>BOM/CNF</v>
      </c>
      <c r="G153" t="s">
        <v>406</v>
      </c>
      <c r="H153" t="s">
        <v>5485</v>
      </c>
      <c r="I153" s="16">
        <v>14</v>
      </c>
      <c r="J153">
        <f>Table32[[#This Row],[AICRAFT]]/7</f>
        <v>2</v>
      </c>
    </row>
    <row r="154" spans="6:10" x14ac:dyDescent="0.25">
      <c r="F154" t="str">
        <f>_xlfn.CONCAT(Table32[[#This Row],[HUB ]],"/",Table32[[#This Row],[DEST]])</f>
        <v>BOM/CNX</v>
      </c>
      <c r="G154" t="s">
        <v>406</v>
      </c>
      <c r="H154" t="s">
        <v>357</v>
      </c>
      <c r="I154" s="16">
        <v>14</v>
      </c>
      <c r="J154">
        <f>Table32[[#This Row],[AICRAFT]]/7</f>
        <v>2</v>
      </c>
    </row>
    <row r="155" spans="6:10" x14ac:dyDescent="0.25">
      <c r="F155" t="str">
        <f>_xlfn.CONCAT(Table32[[#This Row],[HUB ]],"/",Table32[[#This Row],[DEST]])</f>
        <v>BOM/COR</v>
      </c>
      <c r="G155" t="s">
        <v>406</v>
      </c>
      <c r="H155" t="s">
        <v>4642</v>
      </c>
      <c r="I155" s="16">
        <v>14</v>
      </c>
      <c r="J155">
        <f>Table32[[#This Row],[AICRAFT]]/7</f>
        <v>2</v>
      </c>
    </row>
    <row r="156" spans="6:10" x14ac:dyDescent="0.25">
      <c r="F156" t="str">
        <f>_xlfn.CONCAT(Table32[[#This Row],[HUB ]],"/",Table32[[#This Row],[DEST]])</f>
        <v>BOM/CPH</v>
      </c>
      <c r="G156" t="s">
        <v>406</v>
      </c>
      <c r="H156" t="s">
        <v>5658</v>
      </c>
      <c r="I156" s="16">
        <v>14</v>
      </c>
      <c r="J156">
        <f>Table32[[#This Row],[AICRAFT]]/7</f>
        <v>2</v>
      </c>
    </row>
    <row r="157" spans="6:10" x14ac:dyDescent="0.25">
      <c r="F157" t="str">
        <f>_xlfn.CONCAT(Table32[[#This Row],[HUB ]],"/",Table32[[#This Row],[DEST]])</f>
        <v>BOM/CTS</v>
      </c>
      <c r="G157" t="s">
        <v>406</v>
      </c>
      <c r="H157" t="s">
        <v>349</v>
      </c>
      <c r="I157" s="16">
        <v>14</v>
      </c>
      <c r="J157">
        <f>Table32[[#This Row],[AICRAFT]]/7</f>
        <v>2</v>
      </c>
    </row>
    <row r="158" spans="6:10" x14ac:dyDescent="0.25">
      <c r="F158" t="str">
        <f>_xlfn.CONCAT(Table32[[#This Row],[HUB ]],"/",Table32[[#This Row],[DEST]])</f>
        <v>BOM/CUN</v>
      </c>
      <c r="G158" t="s">
        <v>406</v>
      </c>
      <c r="H158" t="s">
        <v>5616</v>
      </c>
      <c r="I158" s="16">
        <v>14</v>
      </c>
      <c r="J158">
        <f>Table32[[#This Row],[AICRAFT]]/7</f>
        <v>2</v>
      </c>
    </row>
    <row r="159" spans="6:10" x14ac:dyDescent="0.25">
      <c r="F159" t="str">
        <f>_xlfn.CONCAT(Table32[[#This Row],[HUB ]],"/",Table32[[#This Row],[DEST]])</f>
        <v>BOM/DNH</v>
      </c>
      <c r="G159" t="s">
        <v>406</v>
      </c>
      <c r="H159" t="s">
        <v>3070</v>
      </c>
      <c r="I159" s="16">
        <v>14</v>
      </c>
      <c r="J159">
        <f>Table32[[#This Row],[AICRAFT]]/7</f>
        <v>2</v>
      </c>
    </row>
    <row r="160" spans="6:10" x14ac:dyDescent="0.25">
      <c r="F160" t="str">
        <f>_xlfn.CONCAT(Table32[[#This Row],[HUB ]],"/",Table32[[#This Row],[DEST]])</f>
        <v>BOM/DPS</v>
      </c>
      <c r="G160" t="s">
        <v>406</v>
      </c>
      <c r="H160" t="s">
        <v>328</v>
      </c>
      <c r="I160" s="16">
        <v>14</v>
      </c>
      <c r="J160">
        <f>Table32[[#This Row],[AICRAFT]]/7</f>
        <v>2</v>
      </c>
    </row>
    <row r="161" spans="6:10" x14ac:dyDescent="0.25">
      <c r="F161" t="str">
        <f>_xlfn.CONCAT(Table32[[#This Row],[HUB ]],"/",Table32[[#This Row],[DEST]])</f>
        <v>BOM/DUS</v>
      </c>
      <c r="G161" t="s">
        <v>406</v>
      </c>
      <c r="H161" t="s">
        <v>324</v>
      </c>
      <c r="I161" s="16">
        <v>14</v>
      </c>
      <c r="J161">
        <f>Table32[[#This Row],[AICRAFT]]/7</f>
        <v>2</v>
      </c>
    </row>
    <row r="162" spans="6:10" x14ac:dyDescent="0.25">
      <c r="F162" t="str">
        <f>_xlfn.CONCAT(Table32[[#This Row],[HUB ]],"/",Table32[[#This Row],[DEST]])</f>
        <v>BOM/EWR</v>
      </c>
      <c r="G162" t="s">
        <v>406</v>
      </c>
      <c r="H162" t="s">
        <v>314</v>
      </c>
      <c r="I162" s="16">
        <v>14</v>
      </c>
      <c r="J162">
        <f>Table32[[#This Row],[AICRAFT]]/7</f>
        <v>2</v>
      </c>
    </row>
    <row r="163" spans="6:10" x14ac:dyDescent="0.25">
      <c r="F163" t="str">
        <f>_xlfn.CONCAT(Table32[[#This Row],[HUB ]],"/",Table32[[#This Row],[DEST]])</f>
        <v>BOM/EZE</v>
      </c>
      <c r="G163" t="s">
        <v>406</v>
      </c>
      <c r="H163" t="s">
        <v>312</v>
      </c>
      <c r="I163" s="16">
        <v>14</v>
      </c>
      <c r="J163">
        <f>Table32[[#This Row],[AICRAFT]]/7</f>
        <v>2</v>
      </c>
    </row>
    <row r="164" spans="6:10" x14ac:dyDescent="0.25">
      <c r="F164" t="str">
        <f>_xlfn.CONCAT(Table32[[#This Row],[HUB ]],"/",Table32[[#This Row],[DEST]])</f>
        <v>BOM/FCO</v>
      </c>
      <c r="G164" t="s">
        <v>406</v>
      </c>
      <c r="H164" t="s">
        <v>309</v>
      </c>
      <c r="I164" s="16">
        <v>14</v>
      </c>
      <c r="J164">
        <f>Table32[[#This Row],[AICRAFT]]/7</f>
        <v>2</v>
      </c>
    </row>
    <row r="165" spans="6:10" x14ac:dyDescent="0.25">
      <c r="F165" t="str">
        <f>_xlfn.CONCAT(Table32[[#This Row],[HUB ]],"/",Table32[[#This Row],[DEST]])</f>
        <v>BOM/FEZ</v>
      </c>
      <c r="G165" t="s">
        <v>406</v>
      </c>
      <c r="H165" t="s">
        <v>4104</v>
      </c>
      <c r="I165" s="16">
        <v>14</v>
      </c>
      <c r="J165">
        <f>Table32[[#This Row],[AICRAFT]]/7</f>
        <v>2</v>
      </c>
    </row>
    <row r="166" spans="6:10" x14ac:dyDescent="0.25">
      <c r="F166" t="str">
        <f>_xlfn.CONCAT(Table32[[#This Row],[HUB ]],"/",Table32[[#This Row],[DEST]])</f>
        <v>BOM/FNC</v>
      </c>
      <c r="G166" t="s">
        <v>406</v>
      </c>
      <c r="H166" t="s">
        <v>5064</v>
      </c>
      <c r="I166" s="16">
        <v>14</v>
      </c>
      <c r="J166">
        <f>Table32[[#This Row],[AICRAFT]]/7</f>
        <v>2</v>
      </c>
    </row>
    <row r="167" spans="6:10" x14ac:dyDescent="0.25">
      <c r="F167" t="str">
        <f>_xlfn.CONCAT(Table32[[#This Row],[HUB ]],"/",Table32[[#This Row],[DEST]])</f>
        <v>BOM/FRA</v>
      </c>
      <c r="G167" t="s">
        <v>406</v>
      </c>
      <c r="H167" t="s">
        <v>306</v>
      </c>
      <c r="I167" s="16">
        <v>14</v>
      </c>
      <c r="J167">
        <f>Table32[[#This Row],[AICRAFT]]/7</f>
        <v>2</v>
      </c>
    </row>
    <row r="168" spans="6:10" x14ac:dyDescent="0.25">
      <c r="F168" t="str">
        <f>_xlfn.CONCAT(Table32[[#This Row],[HUB ]],"/",Table32[[#This Row],[DEST]])</f>
        <v>BOM/FUK</v>
      </c>
      <c r="G168" t="s">
        <v>406</v>
      </c>
      <c r="H168" t="s">
        <v>5661</v>
      </c>
      <c r="I168" s="16">
        <v>14</v>
      </c>
      <c r="J168">
        <f>Table32[[#This Row],[AICRAFT]]/7</f>
        <v>2</v>
      </c>
    </row>
    <row r="169" spans="6:10" x14ac:dyDescent="0.25">
      <c r="F169" t="str">
        <f>_xlfn.CONCAT(Table32[[#This Row],[HUB ]],"/",Table32[[#This Row],[DEST]])</f>
        <v>BOM/GAU</v>
      </c>
      <c r="G169" t="s">
        <v>406</v>
      </c>
      <c r="H169" t="s">
        <v>304</v>
      </c>
      <c r="I169" s="16">
        <v>14</v>
      </c>
      <c r="J169">
        <f>Table32[[#This Row],[AICRAFT]]/7</f>
        <v>2</v>
      </c>
    </row>
    <row r="170" spans="6:10" x14ac:dyDescent="0.25">
      <c r="F170" t="str">
        <f>_xlfn.CONCAT(Table32[[#This Row],[HUB ]],"/",Table32[[#This Row],[DEST]])</f>
        <v>BOM/GIG</v>
      </c>
      <c r="G170" t="s">
        <v>406</v>
      </c>
      <c r="H170" t="s">
        <v>5611</v>
      </c>
      <c r="I170" s="16">
        <v>14</v>
      </c>
      <c r="J170">
        <f>Table32[[#This Row],[AICRAFT]]/7</f>
        <v>2</v>
      </c>
    </row>
    <row r="171" spans="6:10" x14ac:dyDescent="0.25">
      <c r="F171" t="str">
        <f>_xlfn.CONCAT(Table32[[#This Row],[HUB ]],"/",Table32[[#This Row],[DEST]])</f>
        <v>BOM/GMP</v>
      </c>
      <c r="G171" t="s">
        <v>406</v>
      </c>
      <c r="H171" t="s">
        <v>5625</v>
      </c>
      <c r="I171" s="16">
        <v>14</v>
      </c>
      <c r="J171">
        <f>Table32[[#This Row],[AICRAFT]]/7</f>
        <v>2</v>
      </c>
    </row>
    <row r="172" spans="6:10" x14ac:dyDescent="0.25">
      <c r="F172" t="str">
        <f>_xlfn.CONCAT(Table32[[#This Row],[HUB ]],"/",Table32[[#This Row],[DEST]])</f>
        <v>BOM/HAV</v>
      </c>
      <c r="G172" t="s">
        <v>406</v>
      </c>
      <c r="H172" t="s">
        <v>5465</v>
      </c>
      <c r="I172" s="16">
        <v>14</v>
      </c>
      <c r="J172">
        <f>Table32[[#This Row],[AICRAFT]]/7</f>
        <v>2</v>
      </c>
    </row>
    <row r="173" spans="6:10" x14ac:dyDescent="0.25">
      <c r="F173" t="str">
        <f>_xlfn.CONCAT(Table32[[#This Row],[HUB ]],"/",Table32[[#This Row],[DEST]])</f>
        <v>BOM/HEL</v>
      </c>
      <c r="G173" t="s">
        <v>406</v>
      </c>
      <c r="H173" t="s">
        <v>282</v>
      </c>
      <c r="I173" s="16">
        <v>14</v>
      </c>
      <c r="J173">
        <f>Table32[[#This Row],[AICRAFT]]/7</f>
        <v>2</v>
      </c>
    </row>
    <row r="174" spans="6:10" x14ac:dyDescent="0.25">
      <c r="F174" t="str">
        <f>_xlfn.CONCAT(Table32[[#This Row],[HUB ]],"/",Table32[[#This Row],[DEST]])</f>
        <v>BOM/HLP</v>
      </c>
      <c r="G174" t="s">
        <v>406</v>
      </c>
      <c r="H174" t="s">
        <v>272</v>
      </c>
      <c r="I174" s="16">
        <v>14</v>
      </c>
      <c r="J174">
        <f>Table32[[#This Row],[AICRAFT]]/7</f>
        <v>2</v>
      </c>
    </row>
    <row r="175" spans="6:10" x14ac:dyDescent="0.25">
      <c r="F175" t="str">
        <f>_xlfn.CONCAT(Table32[[#This Row],[HUB ]],"/",Table32[[#This Row],[DEST]])</f>
        <v>BOM/HND</v>
      </c>
      <c r="G175" t="s">
        <v>406</v>
      </c>
      <c r="H175" t="s">
        <v>270</v>
      </c>
      <c r="I175" s="16">
        <v>14</v>
      </c>
      <c r="J175">
        <f>Table32[[#This Row],[AICRAFT]]/7</f>
        <v>2</v>
      </c>
    </row>
    <row r="176" spans="6:10" x14ac:dyDescent="0.25">
      <c r="F176" t="str">
        <f>_xlfn.CONCAT(Table32[[#This Row],[HUB ]],"/",Table32[[#This Row],[DEST]])</f>
        <v>BOM/IAD</v>
      </c>
      <c r="G176" t="s">
        <v>406</v>
      </c>
      <c r="H176" t="s">
        <v>261</v>
      </c>
      <c r="I176" s="16">
        <v>14</v>
      </c>
      <c r="J176">
        <f>Table32[[#This Row],[AICRAFT]]/7</f>
        <v>2</v>
      </c>
    </row>
    <row r="177" spans="6:10" x14ac:dyDescent="0.25">
      <c r="F177" t="str">
        <f>_xlfn.CONCAT(Table32[[#This Row],[HUB ]],"/",Table32[[#This Row],[DEST]])</f>
        <v>BOM/ICN</v>
      </c>
      <c r="G177" t="s">
        <v>406</v>
      </c>
      <c r="H177" t="s">
        <v>259</v>
      </c>
      <c r="I177" s="16">
        <v>14</v>
      </c>
      <c r="J177">
        <f>Table32[[#This Row],[AICRAFT]]/7</f>
        <v>2</v>
      </c>
    </row>
    <row r="178" spans="6:10" x14ac:dyDescent="0.25">
      <c r="F178" t="str">
        <f>_xlfn.CONCAT(Table32[[#This Row],[HUB ]],"/",Table32[[#This Row],[DEST]])</f>
        <v>BOM/IST</v>
      </c>
      <c r="G178" t="s">
        <v>406</v>
      </c>
      <c r="H178" t="s">
        <v>252</v>
      </c>
      <c r="I178" s="16">
        <v>14</v>
      </c>
      <c r="J178">
        <f>Table32[[#This Row],[AICRAFT]]/7</f>
        <v>2</v>
      </c>
    </row>
    <row r="179" spans="6:10" x14ac:dyDescent="0.25">
      <c r="F179" t="str">
        <f>_xlfn.CONCAT(Table32[[#This Row],[HUB ]],"/",Table32[[#This Row],[DEST]])</f>
        <v>BOM/ITM</v>
      </c>
      <c r="G179" t="s">
        <v>406</v>
      </c>
      <c r="H179" t="s">
        <v>249</v>
      </c>
      <c r="I179" s="16">
        <v>14</v>
      </c>
      <c r="J179">
        <f>Table32[[#This Row],[AICRAFT]]/7</f>
        <v>2</v>
      </c>
    </row>
    <row r="180" spans="6:10" x14ac:dyDescent="0.25">
      <c r="F180" t="str">
        <f>_xlfn.CONCAT(Table32[[#This Row],[HUB ]],"/",Table32[[#This Row],[DEST]])</f>
        <v>BOM/JFK</v>
      </c>
      <c r="G180" t="s">
        <v>406</v>
      </c>
      <c r="H180" t="s">
        <v>238</v>
      </c>
      <c r="I180" s="16">
        <v>14</v>
      </c>
      <c r="J180">
        <f>Table32[[#This Row],[AICRAFT]]/7</f>
        <v>2</v>
      </c>
    </row>
    <row r="181" spans="6:10" x14ac:dyDescent="0.25">
      <c r="F181" t="str">
        <f>_xlfn.CONCAT(Table32[[#This Row],[HUB ]],"/",Table32[[#This Row],[DEST]])</f>
        <v>BOM/KIX</v>
      </c>
      <c r="G181" t="s">
        <v>406</v>
      </c>
      <c r="H181" t="s">
        <v>219</v>
      </c>
      <c r="I181" s="16">
        <v>14</v>
      </c>
      <c r="J181">
        <f>Table32[[#This Row],[AICRAFT]]/7</f>
        <v>2</v>
      </c>
    </row>
    <row r="182" spans="6:10" x14ac:dyDescent="0.25">
      <c r="F182" t="str">
        <f>_xlfn.CONCAT(Table32[[#This Row],[HUB ]],"/",Table32[[#This Row],[DEST]])</f>
        <v>BOM/LAX</v>
      </c>
      <c r="G182" t="s">
        <v>406</v>
      </c>
      <c r="H182" t="s">
        <v>5754</v>
      </c>
      <c r="I182" s="16">
        <v>14</v>
      </c>
      <c r="J182">
        <f>Table32[[#This Row],[AICRAFT]]/7</f>
        <v>2</v>
      </c>
    </row>
    <row r="183" spans="6:10" x14ac:dyDescent="0.25">
      <c r="F183" t="str">
        <f>_xlfn.CONCAT(Table32[[#This Row],[HUB ]],"/",Table32[[#This Row],[DEST]])</f>
        <v>BOM/LGW</v>
      </c>
      <c r="G183" t="s">
        <v>406</v>
      </c>
      <c r="H183" t="s">
        <v>200</v>
      </c>
      <c r="I183" s="16">
        <v>14</v>
      </c>
      <c r="J183">
        <f>Table32[[#This Row],[AICRAFT]]/7</f>
        <v>2</v>
      </c>
    </row>
    <row r="184" spans="6:10" x14ac:dyDescent="0.25">
      <c r="F184" t="str">
        <f>_xlfn.CONCAT(Table32[[#This Row],[HUB ]],"/",Table32[[#This Row],[DEST]])</f>
        <v>BOM/LHR</v>
      </c>
      <c r="G184" t="s">
        <v>406</v>
      </c>
      <c r="H184" t="s">
        <v>195</v>
      </c>
      <c r="I184" s="16">
        <v>14</v>
      </c>
      <c r="J184">
        <f>Table32[[#This Row],[AICRAFT]]/7</f>
        <v>2</v>
      </c>
    </row>
    <row r="185" spans="6:10" x14ac:dyDescent="0.25">
      <c r="F185" t="str">
        <f>_xlfn.CONCAT(Table32[[#This Row],[HUB ]],"/",Table32[[#This Row],[DEST]])</f>
        <v>BOM/LIS</v>
      </c>
      <c r="G185" t="s">
        <v>406</v>
      </c>
      <c r="H185" t="s">
        <v>193</v>
      </c>
      <c r="I185" s="16">
        <v>14</v>
      </c>
      <c r="J185">
        <f>Table32[[#This Row],[AICRAFT]]/7</f>
        <v>2</v>
      </c>
    </row>
    <row r="186" spans="6:10" x14ac:dyDescent="0.25">
      <c r="F186" t="str">
        <f>_xlfn.CONCAT(Table32[[#This Row],[HUB ]],"/",Table32[[#This Row],[DEST]])</f>
        <v>BOM/MAD</v>
      </c>
      <c r="G186" t="s">
        <v>406</v>
      </c>
      <c r="H186" t="s">
        <v>185</v>
      </c>
      <c r="I186" s="16">
        <v>14</v>
      </c>
      <c r="J186">
        <f>Table32[[#This Row],[AICRAFT]]/7</f>
        <v>2</v>
      </c>
    </row>
    <row r="187" spans="6:10" x14ac:dyDescent="0.25">
      <c r="F187" t="str">
        <f>_xlfn.CONCAT(Table32[[#This Row],[HUB ]],"/",Table32[[#This Row],[DEST]])</f>
        <v>BOM/MAN</v>
      </c>
      <c r="G187" t="s">
        <v>406</v>
      </c>
      <c r="H187" t="s">
        <v>182</v>
      </c>
      <c r="I187" s="16">
        <v>14</v>
      </c>
      <c r="J187">
        <f>Table32[[#This Row],[AICRAFT]]/7</f>
        <v>2</v>
      </c>
    </row>
    <row r="188" spans="6:10" x14ac:dyDescent="0.25">
      <c r="F188" t="str">
        <f>_xlfn.CONCAT(Table32[[#This Row],[HUB ]],"/",Table32[[#This Row],[DEST]])</f>
        <v>BOM/MAR</v>
      </c>
      <c r="G188" t="s">
        <v>406</v>
      </c>
      <c r="H188" t="s">
        <v>5130</v>
      </c>
      <c r="I188" s="16">
        <v>14</v>
      </c>
      <c r="J188">
        <f>Table32[[#This Row],[AICRAFT]]/7</f>
        <v>2</v>
      </c>
    </row>
    <row r="189" spans="6:10" x14ac:dyDescent="0.25">
      <c r="F189" t="str">
        <f>_xlfn.CONCAT(Table32[[#This Row],[HUB ]],"/",Table32[[#This Row],[DEST]])</f>
        <v>BOM/MCI</v>
      </c>
      <c r="G189" t="s">
        <v>406</v>
      </c>
      <c r="H189" t="s">
        <v>5574</v>
      </c>
      <c r="I189" s="16">
        <v>14</v>
      </c>
      <c r="J189">
        <f>Table32[[#This Row],[AICRAFT]]/7</f>
        <v>2</v>
      </c>
    </row>
    <row r="190" spans="6:10" x14ac:dyDescent="0.25">
      <c r="F190" t="str">
        <f>_xlfn.CONCAT(Table32[[#This Row],[HUB ]],"/",Table32[[#This Row],[DEST]])</f>
        <v>BOM/MEL</v>
      </c>
      <c r="G190" t="s">
        <v>406</v>
      </c>
      <c r="H190" t="s">
        <v>170</v>
      </c>
      <c r="I190" s="16">
        <v>14</v>
      </c>
      <c r="J190">
        <f>Table32[[#This Row],[AICRAFT]]/7</f>
        <v>2</v>
      </c>
    </row>
    <row r="191" spans="6:10" x14ac:dyDescent="0.25">
      <c r="F191" t="str">
        <f>_xlfn.CONCAT(Table32[[#This Row],[HUB ]],"/",Table32[[#This Row],[DEST]])</f>
        <v>BOM/MUC</v>
      </c>
      <c r="G191" t="s">
        <v>406</v>
      </c>
      <c r="H191" t="s">
        <v>157</v>
      </c>
      <c r="I191" s="16">
        <v>14</v>
      </c>
      <c r="J191">
        <f>Table32[[#This Row],[AICRAFT]]/7</f>
        <v>2</v>
      </c>
    </row>
    <row r="192" spans="6:10" x14ac:dyDescent="0.25">
      <c r="F192" t="str">
        <f>_xlfn.CONCAT(Table32[[#This Row],[HUB ]],"/",Table32[[#This Row],[DEST]])</f>
        <v>BOM/MXP</v>
      </c>
      <c r="G192" t="s">
        <v>406</v>
      </c>
      <c r="H192" t="s">
        <v>5672</v>
      </c>
      <c r="I192" s="16">
        <v>14</v>
      </c>
      <c r="J192">
        <f>Table32[[#This Row],[AICRAFT]]/7</f>
        <v>2</v>
      </c>
    </row>
    <row r="193" spans="6:10" x14ac:dyDescent="0.25">
      <c r="F193" t="str">
        <f>_xlfn.CONCAT(Table32[[#This Row],[HUB ]],"/",Table32[[#This Row],[DEST]])</f>
        <v>BOM/MYR</v>
      </c>
      <c r="G193" t="s">
        <v>406</v>
      </c>
      <c r="H193" t="s">
        <v>4785</v>
      </c>
      <c r="I193" s="16">
        <v>14</v>
      </c>
      <c r="J193">
        <f>Table32[[#This Row],[AICRAFT]]/7</f>
        <v>2</v>
      </c>
    </row>
    <row r="194" spans="6:10" x14ac:dyDescent="0.25">
      <c r="F194" t="str">
        <f>_xlfn.CONCAT(Table32[[#This Row],[HUB ]],"/",Table32[[#This Row],[DEST]])</f>
        <v>BOM/NGO</v>
      </c>
      <c r="G194" t="s">
        <v>406</v>
      </c>
      <c r="H194" t="s">
        <v>149</v>
      </c>
      <c r="I194" s="16">
        <v>14</v>
      </c>
      <c r="J194">
        <f>Table32[[#This Row],[AICRAFT]]/7</f>
        <v>2</v>
      </c>
    </row>
    <row r="195" spans="6:10" x14ac:dyDescent="0.25">
      <c r="F195" t="str">
        <f>_xlfn.CONCAT(Table32[[#This Row],[HUB ]],"/",Table32[[#This Row],[DEST]])</f>
        <v>BOM/NRT</v>
      </c>
      <c r="G195" t="s">
        <v>406</v>
      </c>
      <c r="H195" t="s">
        <v>145</v>
      </c>
      <c r="I195" s="16">
        <v>14</v>
      </c>
      <c r="J195">
        <f>Table32[[#This Row],[AICRAFT]]/7</f>
        <v>2</v>
      </c>
    </row>
    <row r="196" spans="6:10" x14ac:dyDescent="0.25">
      <c r="F196" t="str">
        <f>_xlfn.CONCAT(Table32[[#This Row],[HUB ]],"/",Table32[[#This Row],[DEST]])</f>
        <v>BOM/OKA</v>
      </c>
      <c r="G196" t="s">
        <v>406</v>
      </c>
      <c r="H196" t="s">
        <v>143</v>
      </c>
      <c r="I196" s="16">
        <v>14</v>
      </c>
      <c r="J196">
        <f>Table32[[#This Row],[AICRAFT]]/7</f>
        <v>2</v>
      </c>
    </row>
    <row r="197" spans="6:10" x14ac:dyDescent="0.25">
      <c r="F197" t="str">
        <f>_xlfn.CONCAT(Table32[[#This Row],[HUB ]],"/",Table32[[#This Row],[DEST]])</f>
        <v>BOM/ORD</v>
      </c>
      <c r="G197" t="s">
        <v>406</v>
      </c>
      <c r="H197" t="s">
        <v>5762</v>
      </c>
      <c r="I197" s="16">
        <v>14</v>
      </c>
      <c r="J197">
        <f>Table32[[#This Row],[AICRAFT]]/7</f>
        <v>2</v>
      </c>
    </row>
    <row r="198" spans="6:10" x14ac:dyDescent="0.25">
      <c r="F198" t="str">
        <f>_xlfn.CONCAT(Table32[[#This Row],[HUB ]],"/",Table32[[#This Row],[DEST]])</f>
        <v>BOM/PER</v>
      </c>
      <c r="G198" t="s">
        <v>406</v>
      </c>
      <c r="H198" t="s">
        <v>126</v>
      </c>
      <c r="I198" s="16">
        <v>14</v>
      </c>
      <c r="J198">
        <f>Table32[[#This Row],[AICRAFT]]/7</f>
        <v>2</v>
      </c>
    </row>
    <row r="199" spans="6:10" x14ac:dyDescent="0.25">
      <c r="F199" t="str">
        <f>_xlfn.CONCAT(Table32[[#This Row],[HUB ]],"/",Table32[[#This Row],[DEST]])</f>
        <v>BOM/PHX</v>
      </c>
      <c r="G199" t="s">
        <v>406</v>
      </c>
      <c r="H199" t="s">
        <v>5734</v>
      </c>
      <c r="I199" s="16">
        <v>14</v>
      </c>
      <c r="J199">
        <f>Table32[[#This Row],[AICRAFT]]/7</f>
        <v>2</v>
      </c>
    </row>
    <row r="200" spans="6:10" x14ac:dyDescent="0.25">
      <c r="F200" t="str">
        <f>_xlfn.CONCAT(Table32[[#This Row],[HUB ]],"/",Table32[[#This Row],[DEST]])</f>
        <v>BOM/PKX</v>
      </c>
      <c r="G200" t="s">
        <v>406</v>
      </c>
      <c r="H200" t="s">
        <v>122</v>
      </c>
      <c r="I200" s="16">
        <v>14</v>
      </c>
      <c r="J200">
        <f>Table32[[#This Row],[AICRAFT]]/7</f>
        <v>2</v>
      </c>
    </row>
    <row r="201" spans="6:10" x14ac:dyDescent="0.25">
      <c r="F201" t="str">
        <f>_xlfn.CONCAT(Table32[[#This Row],[HUB ]],"/",Table32[[#This Row],[DEST]])</f>
        <v>BOM/PNZ</v>
      </c>
      <c r="G201" t="s">
        <v>406</v>
      </c>
      <c r="H201" t="s">
        <v>3553</v>
      </c>
      <c r="I201" s="16">
        <v>14</v>
      </c>
      <c r="J201">
        <f>Table32[[#This Row],[AICRAFT]]/7</f>
        <v>2</v>
      </c>
    </row>
    <row r="202" spans="6:10" x14ac:dyDescent="0.25">
      <c r="F202" t="str">
        <f>_xlfn.CONCAT(Table32[[#This Row],[HUB ]],"/",Table32[[#This Row],[DEST]])</f>
        <v>BOM/PUS</v>
      </c>
      <c r="G202" t="s">
        <v>406</v>
      </c>
      <c r="H202" t="s">
        <v>5497</v>
      </c>
      <c r="I202" s="16">
        <v>14</v>
      </c>
      <c r="J202">
        <f>Table32[[#This Row],[AICRAFT]]/7</f>
        <v>2</v>
      </c>
    </row>
    <row r="203" spans="6:10" x14ac:dyDescent="0.25">
      <c r="F203" t="str">
        <f>_xlfn.CONCAT(Table32[[#This Row],[HUB ]],"/",Table32[[#This Row],[DEST]])</f>
        <v>BOM/RAK</v>
      </c>
      <c r="G203" t="s">
        <v>406</v>
      </c>
      <c r="H203" t="s">
        <v>5155</v>
      </c>
      <c r="I203" s="16">
        <v>14</v>
      </c>
      <c r="J203">
        <f>Table32[[#This Row],[AICRAFT]]/7</f>
        <v>2</v>
      </c>
    </row>
    <row r="204" spans="6:10" x14ac:dyDescent="0.25">
      <c r="F204" t="str">
        <f>_xlfn.CONCAT(Table32[[#This Row],[HUB ]],"/",Table32[[#This Row],[DEST]])</f>
        <v>BOM/RBA</v>
      </c>
      <c r="G204" t="s">
        <v>406</v>
      </c>
      <c r="H204" t="s">
        <v>3799</v>
      </c>
      <c r="I204" s="16">
        <v>14</v>
      </c>
      <c r="J204">
        <f>Table32[[#This Row],[AICRAFT]]/7</f>
        <v>2</v>
      </c>
    </row>
    <row r="205" spans="6:10" x14ac:dyDescent="0.25">
      <c r="F205" t="str">
        <f>_xlfn.CONCAT(Table32[[#This Row],[HUB ]],"/",Table32[[#This Row],[DEST]])</f>
        <v>BOM/REC</v>
      </c>
      <c r="G205" t="s">
        <v>406</v>
      </c>
      <c r="H205" t="s">
        <v>5425</v>
      </c>
      <c r="I205" s="16">
        <v>14</v>
      </c>
      <c r="J205">
        <f>Table32[[#This Row],[AICRAFT]]/7</f>
        <v>2</v>
      </c>
    </row>
    <row r="206" spans="6:10" x14ac:dyDescent="0.25">
      <c r="F206" t="str">
        <f>_xlfn.CONCAT(Table32[[#This Row],[HUB ]],"/",Table32[[#This Row],[DEST]])</f>
        <v>BOM/RMQ</v>
      </c>
      <c r="G206" t="s">
        <v>406</v>
      </c>
      <c r="H206" t="s">
        <v>14212</v>
      </c>
      <c r="I206" s="16">
        <v>14</v>
      </c>
      <c r="J206">
        <f>Table32[[#This Row],[AICRAFT]]/7</f>
        <v>2</v>
      </c>
    </row>
    <row r="207" spans="6:10" x14ac:dyDescent="0.25">
      <c r="F207" t="str">
        <f>_xlfn.CONCAT(Table32[[#This Row],[HUB ]],"/",Table32[[#This Row],[DEST]])</f>
        <v>BOM/RNO</v>
      </c>
      <c r="G207" t="s">
        <v>406</v>
      </c>
      <c r="H207" t="s">
        <v>5247</v>
      </c>
      <c r="I207" s="16">
        <v>14</v>
      </c>
      <c r="J207">
        <f>Table32[[#This Row],[AICRAFT]]/7</f>
        <v>2</v>
      </c>
    </row>
    <row r="208" spans="6:10" x14ac:dyDescent="0.25">
      <c r="F208" t="str">
        <f>_xlfn.CONCAT(Table32[[#This Row],[HUB ]],"/",Table32[[#This Row],[DEST]])</f>
        <v>BOM/SEA</v>
      </c>
      <c r="G208" t="s">
        <v>406</v>
      </c>
      <c r="H208" t="s">
        <v>5717</v>
      </c>
      <c r="I208" s="16">
        <v>14</v>
      </c>
      <c r="J208">
        <f>Table32[[#This Row],[AICRAFT]]/7</f>
        <v>2</v>
      </c>
    </row>
    <row r="209" spans="6:10" x14ac:dyDescent="0.25">
      <c r="F209" t="str">
        <f>_xlfn.CONCAT(Table32[[#This Row],[HUB ]],"/",Table32[[#This Row],[DEST]])</f>
        <v>BOM/SFO</v>
      </c>
      <c r="G209" t="s">
        <v>406</v>
      </c>
      <c r="H209" t="s">
        <v>5737</v>
      </c>
      <c r="I209" s="16">
        <v>14</v>
      </c>
      <c r="J209">
        <f>Table32[[#This Row],[AICRAFT]]/7</f>
        <v>2</v>
      </c>
    </row>
    <row r="210" spans="6:10" x14ac:dyDescent="0.25">
      <c r="F210" t="str">
        <f>_xlfn.CONCAT(Table32[[#This Row],[HUB ]],"/",Table32[[#This Row],[DEST]])</f>
        <v>BOM/SJU</v>
      </c>
      <c r="G210" t="s">
        <v>406</v>
      </c>
      <c r="H210" t="s">
        <v>5532</v>
      </c>
      <c r="I210" s="16">
        <v>14</v>
      </c>
      <c r="J210">
        <f>Table32[[#This Row],[AICRAFT]]/7</f>
        <v>2</v>
      </c>
    </row>
    <row r="211" spans="6:10" x14ac:dyDescent="0.25">
      <c r="F211" t="str">
        <f>_xlfn.CONCAT(Table32[[#This Row],[HUB ]],"/",Table32[[#This Row],[DEST]])</f>
        <v>BOM/SLC</v>
      </c>
      <c r="G211" t="s">
        <v>406</v>
      </c>
      <c r="H211" t="s">
        <v>5676</v>
      </c>
      <c r="I211" s="16">
        <v>14</v>
      </c>
      <c r="J211">
        <f>Table32[[#This Row],[AICRAFT]]/7</f>
        <v>2</v>
      </c>
    </row>
    <row r="212" spans="6:10" x14ac:dyDescent="0.25">
      <c r="F212" t="str">
        <f>_xlfn.CONCAT(Table32[[#This Row],[HUB ]],"/",Table32[[#This Row],[DEST]])</f>
        <v>BOM/SSA</v>
      </c>
      <c r="G212" t="s">
        <v>406</v>
      </c>
      <c r="H212" t="s">
        <v>5509</v>
      </c>
      <c r="I212" s="16">
        <v>14</v>
      </c>
      <c r="J212">
        <f>Table32[[#This Row],[AICRAFT]]/7</f>
        <v>2</v>
      </c>
    </row>
    <row r="213" spans="6:10" x14ac:dyDescent="0.25">
      <c r="F213" t="str">
        <f>_xlfn.CONCAT(Table32[[#This Row],[HUB ]],"/",Table32[[#This Row],[DEST]])</f>
        <v>BOM/STN</v>
      </c>
      <c r="G213" t="s">
        <v>406</v>
      </c>
      <c r="H213" t="s">
        <v>84</v>
      </c>
      <c r="I213" s="16">
        <v>14</v>
      </c>
      <c r="J213">
        <f>Table32[[#This Row],[AICRAFT]]/7</f>
        <v>2</v>
      </c>
    </row>
    <row r="214" spans="6:10" x14ac:dyDescent="0.25">
      <c r="F214" t="str">
        <f>_xlfn.CONCAT(Table32[[#This Row],[HUB ]],"/",Table32[[#This Row],[DEST]])</f>
        <v>BOM/SUB</v>
      </c>
      <c r="G214" t="s">
        <v>406</v>
      </c>
      <c r="H214" t="s">
        <v>81</v>
      </c>
      <c r="I214" s="16">
        <v>14</v>
      </c>
      <c r="J214">
        <f>Table32[[#This Row],[AICRAFT]]/7</f>
        <v>2</v>
      </c>
    </row>
    <row r="215" spans="6:10" x14ac:dyDescent="0.25">
      <c r="F215" t="str">
        <f>_xlfn.CONCAT(Table32[[#This Row],[HUB ]],"/",Table32[[#This Row],[DEST]])</f>
        <v>BOM/SYD</v>
      </c>
      <c r="G215" t="s">
        <v>406</v>
      </c>
      <c r="H215" t="s">
        <v>71</v>
      </c>
      <c r="I215" s="16">
        <v>14</v>
      </c>
      <c r="J215">
        <f>Table32[[#This Row],[AICRAFT]]/7</f>
        <v>2</v>
      </c>
    </row>
    <row r="216" spans="6:10" x14ac:dyDescent="0.25">
      <c r="F216" t="str">
        <f>_xlfn.CONCAT(Table32[[#This Row],[HUB ]],"/",Table32[[#This Row],[DEST]])</f>
        <v>BOM/TNG</v>
      </c>
      <c r="G216" t="s">
        <v>406</v>
      </c>
      <c r="H216" t="s">
        <v>50</v>
      </c>
      <c r="I216" s="16">
        <v>14</v>
      </c>
      <c r="J216">
        <f>Table32[[#This Row],[AICRAFT]]/7</f>
        <v>2</v>
      </c>
    </row>
    <row r="217" spans="6:10" x14ac:dyDescent="0.25">
      <c r="F217" t="str">
        <f>_xlfn.CONCAT(Table32[[#This Row],[HUB ]],"/",Table32[[#This Row],[DEST]])</f>
        <v>BOM/TXL</v>
      </c>
      <c r="G217" t="s">
        <v>406</v>
      </c>
      <c r="H217" t="s">
        <v>5631</v>
      </c>
      <c r="I217" s="16">
        <v>14</v>
      </c>
      <c r="J217">
        <f>Table32[[#This Row],[AICRAFT]]/7</f>
        <v>2</v>
      </c>
    </row>
    <row r="218" spans="6:10" x14ac:dyDescent="0.25">
      <c r="F218" t="str">
        <f>_xlfn.CONCAT(Table32[[#This Row],[HUB ]],"/",Table32[[#This Row],[DEST]])</f>
        <v>BOM/UPG</v>
      </c>
      <c r="G218" t="s">
        <v>406</v>
      </c>
      <c r="H218" t="s">
        <v>37</v>
      </c>
      <c r="I218" s="16">
        <v>14</v>
      </c>
      <c r="J218">
        <f>Table32[[#This Row],[AICRAFT]]/7</f>
        <v>2</v>
      </c>
    </row>
    <row r="219" spans="6:10" x14ac:dyDescent="0.25">
      <c r="F219" t="str">
        <f>_xlfn.CONCAT(Table32[[#This Row],[HUB ]],"/",Table32[[#This Row],[DEST]])</f>
        <v>BOM/URT</v>
      </c>
      <c r="G219" t="s">
        <v>406</v>
      </c>
      <c r="H219" t="s">
        <v>32</v>
      </c>
      <c r="I219" s="16">
        <v>14</v>
      </c>
      <c r="J219">
        <f>Table32[[#This Row],[AICRAFT]]/7</f>
        <v>2</v>
      </c>
    </row>
    <row r="220" spans="6:10" x14ac:dyDescent="0.25">
      <c r="F220" t="str">
        <f>_xlfn.CONCAT(Table32[[#This Row],[HUB ]],"/",Table32[[#This Row],[DEST]])</f>
        <v>BOM/UTP</v>
      </c>
      <c r="G220" t="s">
        <v>406</v>
      </c>
      <c r="H220" t="s">
        <v>30</v>
      </c>
      <c r="I220" s="16">
        <v>14</v>
      </c>
      <c r="J220">
        <f>Table32[[#This Row],[AICRAFT]]/7</f>
        <v>2</v>
      </c>
    </row>
    <row r="221" spans="6:10" x14ac:dyDescent="0.25">
      <c r="F221" t="str">
        <f>_xlfn.CONCAT(Table32[[#This Row],[HUB ]],"/",Table32[[#This Row],[DEST]])</f>
        <v>BOM/VCP</v>
      </c>
      <c r="G221" t="s">
        <v>406</v>
      </c>
      <c r="H221" t="s">
        <v>5380</v>
      </c>
      <c r="I221" s="16">
        <v>14</v>
      </c>
      <c r="J221">
        <f>Table32[[#This Row],[AICRAFT]]/7</f>
        <v>2</v>
      </c>
    </row>
    <row r="222" spans="6:10" x14ac:dyDescent="0.25">
      <c r="F222" t="str">
        <f>_xlfn.CONCAT(Table32[[#This Row],[HUB ]],"/",Table32[[#This Row],[DEST]])</f>
        <v>BOM/VIE</v>
      </c>
      <c r="G222" t="s">
        <v>406</v>
      </c>
      <c r="H222" t="s">
        <v>27</v>
      </c>
      <c r="I222" s="16">
        <v>14</v>
      </c>
      <c r="J222">
        <f>Table32[[#This Row],[AICRAFT]]/7</f>
        <v>2</v>
      </c>
    </row>
    <row r="223" spans="6:10" x14ac:dyDescent="0.25">
      <c r="F223" t="str">
        <f>_xlfn.CONCAT(Table32[[#This Row],[HUB ]],"/",Table32[[#This Row],[DEST]])</f>
        <v>BOM/YEG</v>
      </c>
      <c r="G223" t="s">
        <v>406</v>
      </c>
      <c r="H223" t="s">
        <v>5454</v>
      </c>
      <c r="I223" s="16">
        <v>14</v>
      </c>
      <c r="J223">
        <f>Table32[[#This Row],[AICRAFT]]/7</f>
        <v>2</v>
      </c>
    </row>
    <row r="224" spans="6:10" x14ac:dyDescent="0.25">
      <c r="F224" t="str">
        <f>_xlfn.CONCAT(Table32[[#This Row],[HUB ]],"/",Table32[[#This Row],[DEST]])</f>
        <v>BOM/YUL</v>
      </c>
      <c r="G224" t="s">
        <v>406</v>
      </c>
      <c r="H224" t="s">
        <v>9</v>
      </c>
      <c r="I224" s="16">
        <v>14</v>
      </c>
      <c r="J224">
        <f>Table32[[#This Row],[AICRAFT]]/7</f>
        <v>2</v>
      </c>
    </row>
    <row r="225" spans="6:10" x14ac:dyDescent="0.25">
      <c r="F225" t="str">
        <f>_xlfn.CONCAT(Table32[[#This Row],[HUB ]],"/",Table32[[#This Row],[DEST]])</f>
        <v>BOM/YVR</v>
      </c>
      <c r="G225" t="s">
        <v>406</v>
      </c>
      <c r="H225" t="s">
        <v>483</v>
      </c>
      <c r="I225" s="16">
        <v>14</v>
      </c>
      <c r="J225">
        <f>Table32[[#This Row],[AICRAFT]]/7</f>
        <v>2</v>
      </c>
    </row>
    <row r="226" spans="6:10" x14ac:dyDescent="0.25">
      <c r="F226" t="str">
        <f>_xlfn.CONCAT(Table32[[#This Row],[HUB ]],"/",Table32[[#This Row],[DEST]])</f>
        <v>BOM/YYC</v>
      </c>
      <c r="G226" t="s">
        <v>406</v>
      </c>
      <c r="H226" t="s">
        <v>5613</v>
      </c>
      <c r="I226" s="16">
        <v>14</v>
      </c>
      <c r="J226">
        <f>Table32[[#This Row],[AICRAFT]]/7</f>
        <v>2</v>
      </c>
    </row>
    <row r="227" spans="6:10" x14ac:dyDescent="0.25">
      <c r="F227" t="str">
        <f>_xlfn.CONCAT(Table32[[#This Row],[HUB ]],"/",Table32[[#This Row],[DEST]])</f>
        <v>BOM/YYZ</v>
      </c>
      <c r="G227" t="s">
        <v>406</v>
      </c>
      <c r="H227" t="s">
        <v>5721</v>
      </c>
      <c r="I227" s="16">
        <v>14</v>
      </c>
      <c r="J227">
        <f>Table32[[#This Row],[AICRAFT]]/7</f>
        <v>2</v>
      </c>
    </row>
    <row r="228" spans="6:10" x14ac:dyDescent="0.25">
      <c r="F228" t="str">
        <f>_xlfn.CONCAT(Table32[[#This Row],[HUB ]],"/",Table32[[#This Row],[DEST]])</f>
        <v>BOM/AGP</v>
      </c>
      <c r="G228" t="s">
        <v>406</v>
      </c>
      <c r="H228" t="s">
        <v>5619</v>
      </c>
      <c r="I228" s="16">
        <v>7</v>
      </c>
      <c r="J228">
        <f>Table32[[#This Row],[AICRAFT]]/7</f>
        <v>1</v>
      </c>
    </row>
    <row r="229" spans="6:10" x14ac:dyDescent="0.25">
      <c r="F229" t="str">
        <f>_xlfn.CONCAT(Table32[[#This Row],[HUB ]],"/",Table32[[#This Row],[DEST]])</f>
        <v>BOM/BHV</v>
      </c>
      <c r="G229" t="s">
        <v>406</v>
      </c>
      <c r="H229" t="s">
        <v>419</v>
      </c>
      <c r="I229" s="16">
        <v>7</v>
      </c>
      <c r="J229">
        <f>Table32[[#This Row],[AICRAFT]]/7</f>
        <v>1</v>
      </c>
    </row>
    <row r="230" spans="6:10" x14ac:dyDescent="0.25">
      <c r="F230" t="str">
        <f>_xlfn.CONCAT(Table32[[#This Row],[HUB ]],"/",Table32[[#This Row],[DEST]])</f>
        <v>BOM/COK</v>
      </c>
      <c r="G230" t="s">
        <v>406</v>
      </c>
      <c r="H230" t="s">
        <v>355</v>
      </c>
      <c r="I230" s="16">
        <v>7</v>
      </c>
      <c r="J230">
        <f>Table32[[#This Row],[AICRAFT]]/7</f>
        <v>1</v>
      </c>
    </row>
    <row r="231" spans="6:10" x14ac:dyDescent="0.25">
      <c r="F231" t="str">
        <f>_xlfn.CONCAT(Table32[[#This Row],[HUB ]],"/",Table32[[#This Row],[DEST]])</f>
        <v>BOM/DFW</v>
      </c>
      <c r="G231" t="s">
        <v>406</v>
      </c>
      <c r="H231" t="s">
        <v>5758</v>
      </c>
      <c r="I231" s="16">
        <v>7</v>
      </c>
      <c r="J231">
        <f>Table32[[#This Row],[AICRAFT]]/7</f>
        <v>1</v>
      </c>
    </row>
    <row r="232" spans="6:10" x14ac:dyDescent="0.25">
      <c r="F232" t="str">
        <f>_xlfn.CONCAT(Table32[[#This Row],[HUB ]],"/",Table32[[#This Row],[DEST]])</f>
        <v>BOM/GUM</v>
      </c>
      <c r="G232" t="s">
        <v>406</v>
      </c>
      <c r="H232" t="s">
        <v>5082</v>
      </c>
      <c r="I232" s="16">
        <v>7</v>
      </c>
      <c r="J232">
        <f>Table32[[#This Row],[AICRAFT]]/7</f>
        <v>1</v>
      </c>
    </row>
    <row r="233" spans="6:10" x14ac:dyDescent="0.25">
      <c r="F233" t="str">
        <f>_xlfn.CONCAT(Table32[[#This Row],[HUB ]],"/",Table32[[#This Row],[DEST]])</f>
        <v>BOM/GVA</v>
      </c>
      <c r="G233" t="s">
        <v>406</v>
      </c>
      <c r="H233" t="s">
        <v>295</v>
      </c>
      <c r="I233" s="16">
        <v>7</v>
      </c>
      <c r="J233">
        <f>Table32[[#This Row],[AICRAFT]]/7</f>
        <v>1</v>
      </c>
    </row>
    <row r="234" spans="6:10" x14ac:dyDescent="0.25">
      <c r="F234" t="str">
        <f>_xlfn.CONCAT(Table32[[#This Row],[HUB ]],"/",Table32[[#This Row],[DEST]])</f>
        <v>BOM/KHH</v>
      </c>
      <c r="G234" t="s">
        <v>406</v>
      </c>
      <c r="H234" t="s">
        <v>5275</v>
      </c>
      <c r="I234" s="16">
        <v>7</v>
      </c>
      <c r="J234">
        <f>Table32[[#This Row],[AICRAFT]]/7</f>
        <v>1</v>
      </c>
    </row>
    <row r="235" spans="6:10" x14ac:dyDescent="0.25">
      <c r="F235" t="str">
        <f>_xlfn.CONCAT(Table32[[#This Row],[HUB ]],"/",Table32[[#This Row],[DEST]])</f>
        <v>BOM/LHE</v>
      </c>
      <c r="G235" t="s">
        <v>406</v>
      </c>
      <c r="H235" t="s">
        <v>198</v>
      </c>
      <c r="I235" s="16">
        <v>7</v>
      </c>
      <c r="J235">
        <f>Table32[[#This Row],[AICRAFT]]/7</f>
        <v>1</v>
      </c>
    </row>
    <row r="236" spans="6:10" x14ac:dyDescent="0.25">
      <c r="F236" t="str">
        <f>_xlfn.CONCAT(Table32[[#This Row],[HUB ]],"/",Table32[[#This Row],[DEST]])</f>
        <v>BOM/LPA</v>
      </c>
      <c r="G236" t="s">
        <v>406</v>
      </c>
      <c r="H236" t="s">
        <v>5583</v>
      </c>
      <c r="I236" s="16">
        <v>7</v>
      </c>
      <c r="J236">
        <f>Table32[[#This Row],[AICRAFT]]/7</f>
        <v>1</v>
      </c>
    </row>
    <row r="237" spans="6:10" x14ac:dyDescent="0.25">
      <c r="F237" t="str">
        <f>_xlfn.CONCAT(Table32[[#This Row],[HUB ]],"/",Table32[[#This Row],[DEST]])</f>
        <v>BOM/MAA</v>
      </c>
      <c r="G237" t="s">
        <v>406</v>
      </c>
      <c r="H237" t="s">
        <v>187</v>
      </c>
      <c r="I237" s="16">
        <v>7</v>
      </c>
      <c r="J237">
        <f>Table32[[#This Row],[AICRAFT]]/7</f>
        <v>1</v>
      </c>
    </row>
    <row r="238" spans="6:10" x14ac:dyDescent="0.25">
      <c r="F238" t="str">
        <f>_xlfn.CONCAT(Table32[[#This Row],[HUB ]],"/",Table32[[#This Row],[DEST]])</f>
        <v>BOM/MCO</v>
      </c>
      <c r="G238" t="s">
        <v>406</v>
      </c>
      <c r="H238" t="s">
        <v>5727</v>
      </c>
      <c r="I238" s="16">
        <v>7</v>
      </c>
      <c r="J238">
        <f>Table32[[#This Row],[AICRAFT]]/7</f>
        <v>1</v>
      </c>
    </row>
    <row r="239" spans="6:10" x14ac:dyDescent="0.25">
      <c r="F239" t="str">
        <f>_xlfn.CONCAT(Table32[[#This Row],[HUB ]],"/",Table32[[#This Row],[DEST]])</f>
        <v>BOM/MIA</v>
      </c>
      <c r="G239" t="s">
        <v>406</v>
      </c>
      <c r="H239" t="s">
        <v>168</v>
      </c>
      <c r="I239" s="16">
        <v>7</v>
      </c>
      <c r="J239">
        <f>Table32[[#This Row],[AICRAFT]]/7</f>
        <v>1</v>
      </c>
    </row>
    <row r="240" spans="6:10" x14ac:dyDescent="0.25">
      <c r="F240" t="str">
        <f>_xlfn.CONCAT(Table32[[#This Row],[HUB ]],"/",Table32[[#This Row],[DEST]])</f>
        <v>BOM/ORY</v>
      </c>
      <c r="G240" t="s">
        <v>406</v>
      </c>
      <c r="H240" t="s">
        <v>5706</v>
      </c>
      <c r="I240" s="16">
        <v>7</v>
      </c>
      <c r="J240">
        <f>Table32[[#This Row],[AICRAFT]]/7</f>
        <v>1</v>
      </c>
    </row>
    <row r="241" spans="6:10" x14ac:dyDescent="0.25">
      <c r="F241" t="str">
        <f>_xlfn.CONCAT(Table32[[#This Row],[HUB ]],"/",Table32[[#This Row],[DEST]])</f>
        <v>BOM/POS</v>
      </c>
      <c r="G241" t="s">
        <v>406</v>
      </c>
      <c r="H241" t="s">
        <v>5079</v>
      </c>
      <c r="I241" s="16">
        <v>7</v>
      </c>
      <c r="J241">
        <f>Table32[[#This Row],[AICRAFT]]/7</f>
        <v>1</v>
      </c>
    </row>
    <row r="242" spans="6:10" x14ac:dyDescent="0.25">
      <c r="F242" t="str">
        <f>_xlfn.CONCAT(Table32[[#This Row],[HUB ]],"/",Table32[[#This Row],[DEST]])</f>
        <v>BOM/SDJ</v>
      </c>
      <c r="G242" t="s">
        <v>406</v>
      </c>
      <c r="H242" t="s">
        <v>5204</v>
      </c>
      <c r="I242" s="16">
        <v>7</v>
      </c>
      <c r="J242">
        <f>Table32[[#This Row],[AICRAFT]]/7</f>
        <v>1</v>
      </c>
    </row>
    <row r="243" spans="6:10" x14ac:dyDescent="0.25">
      <c r="F243" t="str">
        <f>_xlfn.CONCAT(Table32[[#This Row],[HUB ]],"/",Table32[[#This Row],[DEST]])</f>
        <v>BOM/TFS</v>
      </c>
      <c r="G243" t="s">
        <v>406</v>
      </c>
      <c r="H243" t="s">
        <v>5536</v>
      </c>
      <c r="I243" s="16">
        <v>7</v>
      </c>
      <c r="J243">
        <f>Table32[[#This Row],[AICRAFT]]/7</f>
        <v>1</v>
      </c>
    </row>
    <row r="244" spans="6:10" x14ac:dyDescent="0.25">
      <c r="F244" t="str">
        <f>_xlfn.CONCAT(Table32[[#This Row],[HUB ]],"/",Table32[[#This Row],[DEST]])</f>
        <v>BOM/TRV</v>
      </c>
      <c r="G244" t="s">
        <v>406</v>
      </c>
      <c r="H244" t="s">
        <v>44</v>
      </c>
      <c r="I244" s="16">
        <v>7</v>
      </c>
      <c r="J244">
        <f>Table32[[#This Row],[AICRAFT]]/7</f>
        <v>1</v>
      </c>
    </row>
    <row r="245" spans="6:10" x14ac:dyDescent="0.25">
      <c r="F245" t="str">
        <f>_xlfn.CONCAT(Table32[[#This Row],[HUB ]],"/",Table32[[#This Row],[DEST]])</f>
        <v>BOM/ZRH</v>
      </c>
      <c r="G245" t="s">
        <v>406</v>
      </c>
      <c r="H245" t="s">
        <v>6</v>
      </c>
      <c r="I245" s="16">
        <v>7</v>
      </c>
      <c r="J245">
        <f>Table32[[#This Row],[AICRAFT]]/7</f>
        <v>1</v>
      </c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186DC-7E08-45F4-BC9E-A0266D628271}">
  <sheetPr>
    <tabColor theme="4"/>
  </sheetPr>
  <dimension ref="A3:G12"/>
  <sheetViews>
    <sheetView workbookViewId="0">
      <selection activeCell="B10" sqref="B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6" width="3" bestFit="1" customWidth="1"/>
    <col min="7" max="7" width="2" bestFit="1" customWidth="1"/>
    <col min="8" max="8" width="7.28515625" bestFit="1" customWidth="1"/>
    <col min="9" max="9" width="4.42578125" bestFit="1" customWidth="1"/>
    <col min="10" max="10" width="4.85546875" bestFit="1" customWidth="1"/>
    <col min="11" max="11" width="4.7109375" bestFit="1" customWidth="1"/>
    <col min="12" max="13" width="4.28515625" bestFit="1" customWidth="1"/>
    <col min="14" max="15" width="4.5703125" bestFit="1" customWidth="1"/>
    <col min="16" max="16" width="5" bestFit="1" customWidth="1"/>
    <col min="17" max="17" width="4.7109375" bestFit="1" customWidth="1"/>
    <col min="18" max="18" width="4.42578125" bestFit="1" customWidth="1"/>
    <col min="19" max="19" width="4.7109375" bestFit="1" customWidth="1"/>
    <col min="20" max="20" width="4.140625" bestFit="1" customWidth="1"/>
    <col min="21" max="22" width="4.7109375" bestFit="1" customWidth="1"/>
    <col min="23" max="23" width="4.5703125" bestFit="1" customWidth="1"/>
    <col min="24" max="24" width="4.140625" bestFit="1" customWidth="1"/>
    <col min="25" max="25" width="4.85546875" bestFit="1" customWidth="1"/>
    <col min="26" max="26" width="5" bestFit="1" customWidth="1"/>
    <col min="27" max="27" width="4.7109375" bestFit="1" customWidth="1"/>
    <col min="28" max="28" width="4.28515625" bestFit="1" customWidth="1"/>
    <col min="29" max="29" width="4.85546875" bestFit="1" customWidth="1"/>
    <col min="30" max="30" width="4" bestFit="1" customWidth="1"/>
    <col min="31" max="31" width="4.28515625" bestFit="1" customWidth="1"/>
    <col min="32" max="32" width="4.7109375" bestFit="1" customWidth="1"/>
    <col min="33" max="34" width="5" bestFit="1" customWidth="1"/>
    <col min="35" max="35" width="4.28515625" bestFit="1" customWidth="1"/>
    <col min="36" max="36" width="4.7109375" bestFit="1" customWidth="1"/>
    <col min="37" max="37" width="4" bestFit="1" customWidth="1"/>
    <col min="38" max="38" width="5.28515625" bestFit="1" customWidth="1"/>
    <col min="39" max="40" width="4.5703125" bestFit="1" customWidth="1"/>
    <col min="41" max="41" width="4.28515625" bestFit="1" customWidth="1"/>
    <col min="42" max="42" width="4.140625" bestFit="1" customWidth="1"/>
    <col min="43" max="43" width="5" bestFit="1" customWidth="1"/>
    <col min="44" max="44" width="4.85546875" bestFit="1" customWidth="1"/>
    <col min="45" max="45" width="4.42578125" bestFit="1" customWidth="1"/>
    <col min="46" max="46" width="4.28515625" bestFit="1" customWidth="1"/>
    <col min="47" max="47" width="5" bestFit="1" customWidth="1"/>
    <col min="48" max="48" width="4.42578125" bestFit="1" customWidth="1"/>
    <col min="49" max="49" width="4.7109375" bestFit="1" customWidth="1"/>
    <col min="50" max="50" width="3.85546875" bestFit="1" customWidth="1"/>
    <col min="51" max="51" width="4" bestFit="1" customWidth="1"/>
    <col min="52" max="52" width="4.5703125" bestFit="1" customWidth="1"/>
    <col min="53" max="53" width="4.42578125" bestFit="1" customWidth="1"/>
    <col min="54" max="54" width="4.5703125" bestFit="1" customWidth="1"/>
    <col min="55" max="55" width="5.42578125" bestFit="1" customWidth="1"/>
    <col min="56" max="56" width="5" bestFit="1" customWidth="1"/>
    <col min="57" max="57" width="4.7109375" bestFit="1" customWidth="1"/>
    <col min="58" max="58" width="5.42578125" bestFit="1" customWidth="1"/>
    <col min="59" max="59" width="4.85546875" bestFit="1" customWidth="1"/>
    <col min="60" max="60" width="4.140625" bestFit="1" customWidth="1"/>
    <col min="61" max="61" width="5" bestFit="1" customWidth="1"/>
    <col min="62" max="63" width="4.5703125" bestFit="1" customWidth="1"/>
    <col min="64" max="64" width="4.85546875" bestFit="1" customWidth="1"/>
    <col min="65" max="65" width="4.7109375" bestFit="1" customWidth="1"/>
    <col min="66" max="66" width="4.28515625" bestFit="1" customWidth="1"/>
    <col min="67" max="67" width="4.42578125" bestFit="1" customWidth="1"/>
    <col min="68" max="68" width="4.140625" bestFit="1" customWidth="1"/>
    <col min="69" max="69" width="4" bestFit="1" customWidth="1"/>
    <col min="70" max="70" width="4.28515625" bestFit="1" customWidth="1"/>
    <col min="71" max="71" width="4.85546875" bestFit="1" customWidth="1"/>
    <col min="72" max="73" width="3.85546875" bestFit="1" customWidth="1"/>
    <col min="74" max="74" width="5.42578125" bestFit="1" customWidth="1"/>
    <col min="75" max="75" width="5" bestFit="1" customWidth="1"/>
    <col min="76" max="76" width="4.7109375" bestFit="1" customWidth="1"/>
    <col min="77" max="77" width="3.42578125" bestFit="1" customWidth="1"/>
    <col min="78" max="78" width="4.42578125" bestFit="1" customWidth="1"/>
    <col min="79" max="80" width="4.28515625" bestFit="1" customWidth="1"/>
    <col min="81" max="81" width="4" bestFit="1" customWidth="1"/>
    <col min="82" max="82" width="5.42578125" bestFit="1" customWidth="1"/>
    <col min="83" max="83" width="4.5703125" bestFit="1" customWidth="1"/>
    <col min="84" max="84" width="5.7109375" bestFit="1" customWidth="1"/>
    <col min="85" max="85" width="5" bestFit="1" customWidth="1"/>
    <col min="86" max="86" width="5.85546875" bestFit="1" customWidth="1"/>
    <col min="87" max="89" width="5" bestFit="1" customWidth="1"/>
    <col min="90" max="90" width="5.140625" bestFit="1" customWidth="1"/>
    <col min="91" max="91" width="4.5703125" bestFit="1" customWidth="1"/>
    <col min="92" max="92" width="5.28515625" bestFit="1" customWidth="1"/>
    <col min="93" max="93" width="5" bestFit="1" customWidth="1"/>
    <col min="94" max="95" width="4.85546875" bestFit="1" customWidth="1"/>
    <col min="96" max="96" width="4.28515625" bestFit="1" customWidth="1"/>
    <col min="97" max="97" width="4.5703125" bestFit="1" customWidth="1"/>
    <col min="98" max="98" width="3.85546875" bestFit="1" customWidth="1"/>
    <col min="99" max="99" width="4.5703125" bestFit="1" customWidth="1"/>
    <col min="100" max="100" width="4.28515625" bestFit="1" customWidth="1"/>
    <col min="101" max="101" width="3.7109375" bestFit="1" customWidth="1"/>
    <col min="102" max="102" width="4.7109375" bestFit="1" customWidth="1"/>
    <col min="103" max="103" width="4.5703125" bestFit="1" customWidth="1"/>
    <col min="104" max="104" width="4.85546875" bestFit="1" customWidth="1"/>
    <col min="105" max="105" width="5.140625" bestFit="1" customWidth="1"/>
    <col min="106" max="106" width="4.7109375" bestFit="1" customWidth="1"/>
    <col min="107" max="107" width="5.28515625" bestFit="1" customWidth="1"/>
    <col min="108" max="108" width="4.85546875" bestFit="1" customWidth="1"/>
    <col min="109" max="109" width="4.28515625" bestFit="1" customWidth="1"/>
    <col min="110" max="110" width="3.85546875" bestFit="1" customWidth="1"/>
    <col min="111" max="111" width="4.140625" bestFit="1" customWidth="1"/>
    <col min="112" max="112" width="4.85546875" bestFit="1" customWidth="1"/>
    <col min="113" max="114" width="4.28515625" bestFit="1" customWidth="1"/>
    <col min="115" max="115" width="3.85546875" bestFit="1" customWidth="1"/>
    <col min="116" max="116" width="4.140625" bestFit="1" customWidth="1"/>
    <col min="117" max="117" width="4.5703125" bestFit="1" customWidth="1"/>
    <col min="118" max="118" width="4.7109375" bestFit="1" customWidth="1"/>
    <col min="119" max="119" width="4.28515625" bestFit="1" customWidth="1"/>
    <col min="120" max="120" width="4.7109375" bestFit="1" customWidth="1"/>
    <col min="121" max="121" width="4" bestFit="1" customWidth="1"/>
    <col min="122" max="122" width="4.42578125" bestFit="1" customWidth="1"/>
    <col min="123" max="123" width="3.85546875" bestFit="1" customWidth="1"/>
    <col min="124" max="124" width="4.140625" bestFit="1" customWidth="1"/>
    <col min="125" max="125" width="4.42578125" bestFit="1" customWidth="1"/>
    <col min="126" max="126" width="4" bestFit="1" customWidth="1"/>
    <col min="127" max="127" width="4.7109375" bestFit="1" customWidth="1"/>
    <col min="128" max="128" width="4.42578125" bestFit="1" customWidth="1"/>
    <col min="129" max="129" width="4.85546875" bestFit="1" customWidth="1"/>
    <col min="130" max="130" width="6.28515625" bestFit="1" customWidth="1"/>
    <col min="131" max="131" width="5.7109375" bestFit="1" customWidth="1"/>
    <col min="132" max="132" width="3.85546875" bestFit="1" customWidth="1"/>
    <col min="133" max="133" width="5.42578125" bestFit="1" customWidth="1"/>
    <col min="134" max="134" width="4.5703125" bestFit="1" customWidth="1"/>
    <col min="135" max="135" width="4.42578125" bestFit="1" customWidth="1"/>
    <col min="136" max="136" width="4.5703125" bestFit="1" customWidth="1"/>
    <col min="137" max="137" width="4.42578125" bestFit="1" customWidth="1"/>
    <col min="138" max="138" width="6.85546875" bestFit="1" customWidth="1"/>
    <col min="139" max="139" width="3.85546875" bestFit="1" customWidth="1"/>
    <col min="141" max="141" width="12.140625" bestFit="1" customWidth="1"/>
  </cols>
  <sheetData>
    <row r="3" spans="1:7" x14ac:dyDescent="0.25">
      <c r="A3" s="152" t="s">
        <v>14060</v>
      </c>
      <c r="B3" s="152" t="s">
        <v>15101</v>
      </c>
    </row>
    <row r="4" spans="1:7" x14ac:dyDescent="0.25">
      <c r="A4" s="152" t="s">
        <v>14058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</row>
    <row r="5" spans="1:7" x14ac:dyDescent="0.25">
      <c r="A5" s="17" t="s">
        <v>14078</v>
      </c>
      <c r="B5" s="153"/>
      <c r="C5" s="153"/>
      <c r="D5" s="153"/>
      <c r="E5" s="153"/>
      <c r="F5" s="153"/>
      <c r="G5" s="153"/>
    </row>
    <row r="6" spans="1:7" x14ac:dyDescent="0.25">
      <c r="A6" s="191" t="s">
        <v>15969</v>
      </c>
      <c r="B6" s="153">
        <v>34</v>
      </c>
      <c r="C6" s="153">
        <v>29</v>
      </c>
      <c r="D6" s="153">
        <v>50</v>
      </c>
      <c r="E6" s="153">
        <v>24</v>
      </c>
      <c r="F6" s="153">
        <v>18</v>
      </c>
      <c r="G6" s="153">
        <v>4</v>
      </c>
    </row>
    <row r="7" spans="1:7" x14ac:dyDescent="0.25">
      <c r="A7" s="191" t="s">
        <v>12670</v>
      </c>
      <c r="B7" s="153">
        <v>15</v>
      </c>
      <c r="C7" s="153">
        <v>26</v>
      </c>
      <c r="D7" s="153">
        <v>76</v>
      </c>
      <c r="E7" s="153">
        <v>34</v>
      </c>
      <c r="F7" s="153">
        <v>3</v>
      </c>
      <c r="G7" s="153"/>
    </row>
    <row r="8" spans="1:7" x14ac:dyDescent="0.25">
      <c r="A8" s="191" t="s">
        <v>12674</v>
      </c>
      <c r="B8" s="153">
        <v>2</v>
      </c>
      <c r="C8" s="153">
        <v>27</v>
      </c>
      <c r="D8" s="153">
        <v>89</v>
      </c>
      <c r="E8" s="153">
        <v>53</v>
      </c>
      <c r="F8" s="153">
        <v>3</v>
      </c>
      <c r="G8" s="153">
        <v>2</v>
      </c>
    </row>
    <row r="9" spans="1:7" x14ac:dyDescent="0.25">
      <c r="A9" s="191" t="s">
        <v>12671</v>
      </c>
      <c r="B9" s="153">
        <v>1</v>
      </c>
      <c r="C9" s="153">
        <v>40</v>
      </c>
      <c r="D9" s="153">
        <v>51</v>
      </c>
      <c r="E9" s="153">
        <v>8</v>
      </c>
      <c r="F9" s="153"/>
      <c r="G9" s="153"/>
    </row>
    <row r="10" spans="1:7" x14ac:dyDescent="0.25">
      <c r="A10" s="191" t="s">
        <v>12694</v>
      </c>
      <c r="B10" s="153"/>
      <c r="C10" s="153">
        <v>2</v>
      </c>
      <c r="D10" s="153">
        <v>18</v>
      </c>
      <c r="E10" s="153">
        <v>5</v>
      </c>
      <c r="F10" s="153"/>
      <c r="G10" s="153"/>
    </row>
    <row r="11" spans="1:7" x14ac:dyDescent="0.25">
      <c r="A11" s="191" t="s">
        <v>12682</v>
      </c>
      <c r="B11" s="153"/>
      <c r="C11" s="153">
        <v>4</v>
      </c>
      <c r="D11" s="153">
        <v>9</v>
      </c>
      <c r="E11" s="153">
        <v>4</v>
      </c>
      <c r="F11" s="153"/>
      <c r="G11" s="153"/>
    </row>
    <row r="12" spans="1:7" x14ac:dyDescent="0.25">
      <c r="A12" s="191" t="s">
        <v>12688</v>
      </c>
      <c r="B12" s="153">
        <v>1</v>
      </c>
      <c r="C12" s="153">
        <v>4</v>
      </c>
      <c r="D12" s="153">
        <v>41</v>
      </c>
      <c r="E12" s="153">
        <v>14</v>
      </c>
      <c r="F12" s="153"/>
      <c r="G12" s="15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5E675-C79D-40F5-A843-5B85566FB957}">
  <sheetPr>
    <tabColor theme="6"/>
  </sheetPr>
  <dimension ref="A2:P883"/>
  <sheetViews>
    <sheetView zoomScale="70" zoomScaleNormal="70" workbookViewId="0">
      <pane ySplit="2" topLeftCell="A324" activePane="bottomLeft" state="frozen"/>
      <selection activeCell="I13" sqref="I13:I14"/>
      <selection pane="bottomLeft" activeCell="R16" sqref="R16"/>
    </sheetView>
  </sheetViews>
  <sheetFormatPr defaultColWidth="8.85546875" defaultRowHeight="15.75" customHeight="1" x14ac:dyDescent="0.25"/>
  <cols>
    <col min="1" max="1" width="11.42578125" style="196" customWidth="1"/>
    <col min="2" max="2" width="11.7109375" style="196" bestFit="1" customWidth="1"/>
    <col min="3" max="3" width="15.7109375" style="196" customWidth="1"/>
    <col min="4" max="4" width="11.42578125" style="230" customWidth="1"/>
    <col min="5" max="5" width="14.85546875" style="196" customWidth="1"/>
    <col min="6" max="6" width="10.85546875" style="196" customWidth="1"/>
    <col min="7" max="7" width="25.7109375" style="231" customWidth="1"/>
    <col min="8" max="8" width="15.140625" style="196" customWidth="1"/>
    <col min="9" max="9" width="10.42578125" style="196" customWidth="1"/>
    <col min="10" max="10" width="18.85546875" style="196" customWidth="1"/>
    <col min="11" max="11" width="13.7109375" style="232" customWidth="1"/>
    <col min="12" max="12" width="17.140625" style="196" customWidth="1"/>
    <col min="13" max="13" width="10.7109375" style="196" customWidth="1"/>
    <col min="14" max="16384" width="8.85546875" style="196"/>
  </cols>
  <sheetData>
    <row r="2" spans="1:16" s="137" customFormat="1" ht="25.9" customHeight="1" x14ac:dyDescent="0.25">
      <c r="A2" s="109" t="s">
        <v>467</v>
      </c>
      <c r="B2" s="214" t="s">
        <v>466</v>
      </c>
      <c r="C2" s="214" t="s">
        <v>465</v>
      </c>
      <c r="D2" s="215" t="s">
        <v>14057</v>
      </c>
      <c r="E2" s="214" t="s">
        <v>464</v>
      </c>
      <c r="F2" s="214" t="s">
        <v>15097</v>
      </c>
      <c r="G2" s="216" t="s">
        <v>463</v>
      </c>
      <c r="H2" s="215" t="s">
        <v>462</v>
      </c>
      <c r="I2" s="217" t="s">
        <v>15098</v>
      </c>
      <c r="J2" s="218" t="s">
        <v>460</v>
      </c>
      <c r="K2" s="219" t="s">
        <v>14209</v>
      </c>
      <c r="L2" s="108" t="s">
        <v>458</v>
      </c>
      <c r="M2" s="263" t="s">
        <v>16795</v>
      </c>
      <c r="N2" s="263" t="s">
        <v>16796</v>
      </c>
      <c r="O2" s="263" t="s">
        <v>16797</v>
      </c>
      <c r="P2" s="263" t="s">
        <v>16798</v>
      </c>
    </row>
    <row r="3" spans="1:16" ht="15.75" customHeight="1" x14ac:dyDescent="0.25">
      <c r="A3" s="220" t="s">
        <v>15011</v>
      </c>
      <c r="B3" s="220" t="s">
        <v>1126</v>
      </c>
      <c r="C3" s="212" t="s">
        <v>2</v>
      </c>
      <c r="D3" s="221">
        <v>1</v>
      </c>
      <c r="E3" s="220" t="s">
        <v>1124</v>
      </c>
      <c r="F3" s="220" t="s">
        <v>12671</v>
      </c>
      <c r="G3" s="222" t="s">
        <v>11871</v>
      </c>
      <c r="H3" s="223">
        <v>2725</v>
      </c>
      <c r="I3" s="224">
        <v>8.25</v>
      </c>
      <c r="J3" s="225">
        <v>132478488</v>
      </c>
      <c r="K3" s="209">
        <v>46256.455307262571</v>
      </c>
      <c r="L3" s="220">
        <v>2864</v>
      </c>
      <c r="M3" s="212">
        <f>VLOOKUP(Table12[[#This Row],[ROUTE]],DEMAND!A:F,5,FALSE)</f>
        <v>2971</v>
      </c>
      <c r="N3" s="212">
        <f>VLOOKUP(Table12[[#This Row],[ROUTE]],DEMAND!A:F,6,FALSE)</f>
        <v>771</v>
      </c>
      <c r="O3" s="212">
        <f>ROUNDDOWN(Table12[[#This Row],[R-DEMAND]]/1320,0)</f>
        <v>0</v>
      </c>
      <c r="P3" s="212">
        <f>Table12[[#This Row],[ADD ACC]]*Table12[[#This Row],[RT TIME 
(777-500ER)]]</f>
        <v>0</v>
      </c>
    </row>
    <row r="4" spans="1:16" ht="15.75" customHeight="1" x14ac:dyDescent="0.25">
      <c r="A4" s="212" t="s">
        <v>14389</v>
      </c>
      <c r="B4" s="212" t="s">
        <v>5411</v>
      </c>
      <c r="C4" s="212" t="s">
        <v>2</v>
      </c>
      <c r="D4" s="226">
        <v>4</v>
      </c>
      <c r="E4" s="212" t="s">
        <v>647</v>
      </c>
      <c r="F4" s="212" t="s">
        <v>12688</v>
      </c>
      <c r="G4" s="227" t="s">
        <v>13292</v>
      </c>
      <c r="H4" s="228">
        <v>9409</v>
      </c>
      <c r="I4" s="208">
        <v>23.25</v>
      </c>
      <c r="J4" s="211">
        <v>237227496</v>
      </c>
      <c r="K4" s="209">
        <v>107732.74114441416</v>
      </c>
      <c r="L4" s="212">
        <v>2202</v>
      </c>
      <c r="M4" s="212">
        <f>VLOOKUP(Table12[[#This Row],[ROUTE]],DEMAND!A:F,5,FALSE)</f>
        <v>2320</v>
      </c>
      <c r="N4" s="212">
        <f>VLOOKUP(Table12[[#This Row],[ROUTE]],DEMAND!A:F,6,FALSE)</f>
        <v>1220</v>
      </c>
      <c r="O4" s="212">
        <f>ROUNDDOWN(Table12[[#This Row],[R-DEMAND]]/1320,0)</f>
        <v>0</v>
      </c>
      <c r="P4" s="212">
        <f>Table12[[#This Row],[ADD ACC]]*Table12[[#This Row],[RT TIME 
(777-500ER)]]</f>
        <v>0</v>
      </c>
    </row>
    <row r="5" spans="1:16" ht="15.75" customHeight="1" x14ac:dyDescent="0.25">
      <c r="A5" s="212" t="s">
        <v>15021</v>
      </c>
      <c r="B5" s="212" t="s">
        <v>4229</v>
      </c>
      <c r="C5" s="212" t="s">
        <v>2</v>
      </c>
      <c r="D5" s="226">
        <v>2</v>
      </c>
      <c r="E5" s="212" t="s">
        <v>1124</v>
      </c>
      <c r="F5" s="212" t="s">
        <v>12671</v>
      </c>
      <c r="G5" s="227" t="s">
        <v>11001</v>
      </c>
      <c r="H5" s="228">
        <v>3710</v>
      </c>
      <c r="I5" s="208">
        <v>10.5</v>
      </c>
      <c r="J5" s="211">
        <v>158533329</v>
      </c>
      <c r="K5" s="209">
        <v>48749.486162361623</v>
      </c>
      <c r="L5" s="212">
        <v>3252</v>
      </c>
      <c r="M5" s="212">
        <f>VLOOKUP(Table12[[#This Row],[ROUTE]],DEMAND!A:F,5,FALSE)</f>
        <v>3405</v>
      </c>
      <c r="N5" s="212">
        <f>VLOOKUP(Table12[[#This Row],[ROUTE]],DEMAND!A:F,6,FALSE)</f>
        <v>1205</v>
      </c>
      <c r="O5" s="212">
        <f>ROUNDDOWN(Table12[[#This Row],[R-DEMAND]]/1320,0)</f>
        <v>0</v>
      </c>
      <c r="P5" s="212">
        <f>Table12[[#This Row],[ADD ACC]]*Table12[[#This Row],[RT TIME 
(777-500ER)]]</f>
        <v>0</v>
      </c>
    </row>
    <row r="6" spans="1:16" ht="15.75" customHeight="1" x14ac:dyDescent="0.25">
      <c r="A6" s="212" t="s">
        <v>15062</v>
      </c>
      <c r="B6" s="212" t="s">
        <v>5267</v>
      </c>
      <c r="C6" s="212" t="s">
        <v>2</v>
      </c>
      <c r="D6" s="226">
        <v>3</v>
      </c>
      <c r="E6" s="212" t="s">
        <v>2059</v>
      </c>
      <c r="F6" s="212" t="s">
        <v>12671</v>
      </c>
      <c r="G6" s="227" t="s">
        <v>11753</v>
      </c>
      <c r="H6" s="228">
        <v>5819</v>
      </c>
      <c r="I6" s="208">
        <v>15.25</v>
      </c>
      <c r="J6" s="211">
        <v>196894564</v>
      </c>
      <c r="K6" s="209">
        <v>47058.930210325045</v>
      </c>
      <c r="L6" s="212">
        <v>4184</v>
      </c>
      <c r="M6" s="212">
        <f>VLOOKUP(Table12[[#This Row],[ROUTE]],DEMAND!A:F,5,FALSE)</f>
        <v>4367</v>
      </c>
      <c r="N6" s="212">
        <f>VLOOKUP(Table12[[#This Row],[ROUTE]],DEMAND!A:F,6,FALSE)</f>
        <v>-33</v>
      </c>
      <c r="O6" s="212">
        <f>ROUNDDOWN(Table12[[#This Row],[R-DEMAND]]/1320,0)</f>
        <v>0</v>
      </c>
      <c r="P6" s="212">
        <f>Table12[[#This Row],[ADD ACC]]*Table12[[#This Row],[RT TIME 
(777-500ER)]]</f>
        <v>0</v>
      </c>
    </row>
    <row r="7" spans="1:16" ht="15.75" customHeight="1" x14ac:dyDescent="0.25">
      <c r="A7" s="212" t="s">
        <v>15023</v>
      </c>
      <c r="B7" s="212" t="s">
        <v>457</v>
      </c>
      <c r="C7" s="212" t="s">
        <v>2</v>
      </c>
      <c r="D7" s="226">
        <v>4</v>
      </c>
      <c r="E7" s="212" t="s">
        <v>2527</v>
      </c>
      <c r="F7" s="212" t="s">
        <v>12671</v>
      </c>
      <c r="G7" s="227" t="s">
        <v>11119</v>
      </c>
      <c r="H7" s="228">
        <v>5164</v>
      </c>
      <c r="I7" s="208">
        <v>13.75</v>
      </c>
      <c r="J7" s="211">
        <v>197226182</v>
      </c>
      <c r="K7" s="209">
        <v>41140.213183145599</v>
      </c>
      <c r="L7" s="212">
        <v>4794</v>
      </c>
      <c r="M7" s="212">
        <f>VLOOKUP(Table12[[#This Row],[ROUTE]],DEMAND!A:F,5,FALSE)</f>
        <v>5115</v>
      </c>
      <c r="N7" s="212">
        <f>VLOOKUP(Table12[[#This Row],[ROUTE]],DEMAND!A:F,6,FALSE)</f>
        <v>715</v>
      </c>
      <c r="O7" s="212">
        <f>ROUNDDOWN(Table12[[#This Row],[R-DEMAND]]/1320,0)</f>
        <v>0</v>
      </c>
      <c r="P7" s="212">
        <f>Table12[[#This Row],[ADD ACC]]*Table12[[#This Row],[RT TIME 
(777-500ER)]]</f>
        <v>0</v>
      </c>
    </row>
    <row r="8" spans="1:16" ht="15.75" customHeight="1" x14ac:dyDescent="0.25">
      <c r="A8" s="212" t="s">
        <v>14277</v>
      </c>
      <c r="B8" s="212" t="s">
        <v>5487</v>
      </c>
      <c r="C8" s="212" t="s">
        <v>11122</v>
      </c>
      <c r="D8" s="226">
        <v>4</v>
      </c>
      <c r="E8" s="212" t="s">
        <v>774</v>
      </c>
      <c r="F8" s="212" t="s">
        <v>12682</v>
      </c>
      <c r="G8" s="227" t="s">
        <v>11118</v>
      </c>
      <c r="H8" s="228">
        <v>13777</v>
      </c>
      <c r="I8" s="208">
        <v>33</v>
      </c>
      <c r="J8" s="211">
        <v>282141000</v>
      </c>
      <c r="K8" s="209">
        <v>98512.918994413412</v>
      </c>
      <c r="L8" s="212">
        <v>2864</v>
      </c>
      <c r="M8" s="212">
        <f>VLOOKUP(Table12[[#This Row],[ROUTE]],DEMAND!A:F,5,FALSE)</f>
        <v>2960</v>
      </c>
      <c r="N8" s="212">
        <f>VLOOKUP(Table12[[#This Row],[ROUTE]],DEMAND!A:F,6,FALSE)</f>
        <v>760</v>
      </c>
      <c r="O8" s="212">
        <f>ROUNDDOWN(Table12[[#This Row],[R-DEMAND]]/1320,0)</f>
        <v>0</v>
      </c>
      <c r="P8" s="212">
        <f>Table12[[#This Row],[ADD ACC]]*Table12[[#This Row],[RT TIME 
(777-500ER)]]</f>
        <v>0</v>
      </c>
    </row>
    <row r="9" spans="1:16" ht="15.75" customHeight="1" x14ac:dyDescent="0.25">
      <c r="A9" s="212" t="s">
        <v>15052</v>
      </c>
      <c r="B9" s="212" t="s">
        <v>4816</v>
      </c>
      <c r="C9" s="212" t="s">
        <v>2</v>
      </c>
      <c r="D9" s="226">
        <v>3</v>
      </c>
      <c r="E9" s="212" t="s">
        <v>608</v>
      </c>
      <c r="F9" s="212" t="s">
        <v>12671</v>
      </c>
      <c r="G9" s="227" t="s">
        <v>11674</v>
      </c>
      <c r="H9" s="228">
        <v>4626</v>
      </c>
      <c r="I9" s="208">
        <v>12.5</v>
      </c>
      <c r="J9" s="211">
        <v>174478286</v>
      </c>
      <c r="K9" s="209">
        <v>52192.12862698175</v>
      </c>
      <c r="L9" s="212">
        <v>3343</v>
      </c>
      <c r="M9" s="212">
        <f>VLOOKUP(Table12[[#This Row],[ROUTE]],DEMAND!A:F,5,FALSE)</f>
        <v>3535</v>
      </c>
      <c r="N9" s="212">
        <f>VLOOKUP(Table12[[#This Row],[ROUTE]],DEMAND!A:F,6,FALSE)</f>
        <v>235</v>
      </c>
      <c r="O9" s="212">
        <f>ROUNDDOWN(Table12[[#This Row],[R-DEMAND]]/1320,0)</f>
        <v>0</v>
      </c>
      <c r="P9" s="212">
        <f>Table12[[#This Row],[ADD ACC]]*Table12[[#This Row],[RT TIME 
(777-500ER)]]</f>
        <v>0</v>
      </c>
    </row>
    <row r="10" spans="1:16" ht="15.75" customHeight="1" x14ac:dyDescent="0.25">
      <c r="A10" s="212" t="s">
        <v>14663</v>
      </c>
      <c r="B10" s="212" t="s">
        <v>5619</v>
      </c>
      <c r="C10" s="212" t="s">
        <v>2</v>
      </c>
      <c r="D10" s="226">
        <v>4</v>
      </c>
      <c r="E10" s="212" t="s">
        <v>119</v>
      </c>
      <c r="F10" s="212" t="s">
        <v>12674</v>
      </c>
      <c r="G10" s="227" t="s">
        <v>11117</v>
      </c>
      <c r="H10" s="228">
        <v>3794</v>
      </c>
      <c r="I10" s="208">
        <v>10.75</v>
      </c>
      <c r="J10" s="211">
        <v>189465547</v>
      </c>
      <c r="K10" s="209">
        <v>67811.577308518259</v>
      </c>
      <c r="L10" s="212">
        <v>2794</v>
      </c>
      <c r="M10" s="212">
        <f>VLOOKUP(Table12[[#This Row],[ROUTE]],DEMAND!A:F,5,FALSE)</f>
        <v>2963</v>
      </c>
      <c r="N10" s="212">
        <f>VLOOKUP(Table12[[#This Row],[ROUTE]],DEMAND!A:F,6,FALSE)</f>
        <v>763</v>
      </c>
      <c r="O10" s="212">
        <f>ROUNDDOWN(Table12[[#This Row],[R-DEMAND]]/1320,0)</f>
        <v>0</v>
      </c>
      <c r="P10" s="212">
        <f>Table12[[#This Row],[ADD ACC]]*Table12[[#This Row],[RT TIME 
(777-500ER)]]</f>
        <v>0</v>
      </c>
    </row>
    <row r="11" spans="1:16" ht="15.75" customHeight="1" x14ac:dyDescent="0.25">
      <c r="A11" s="212" t="s">
        <v>14885</v>
      </c>
      <c r="B11" s="212" t="s">
        <v>454</v>
      </c>
      <c r="C11" s="212" t="s">
        <v>2</v>
      </c>
      <c r="D11" s="226">
        <v>4</v>
      </c>
      <c r="E11" s="212" t="s">
        <v>172</v>
      </c>
      <c r="F11" s="212" t="s">
        <v>12670</v>
      </c>
      <c r="G11" s="227" t="s">
        <v>10941</v>
      </c>
      <c r="H11" s="228">
        <v>4153</v>
      </c>
      <c r="I11" s="208">
        <v>11.5</v>
      </c>
      <c r="J11" s="211">
        <v>193501765</v>
      </c>
      <c r="K11" s="209">
        <v>53335.657386990075</v>
      </c>
      <c r="L11" s="212">
        <v>3628</v>
      </c>
      <c r="M11" s="212">
        <f>VLOOKUP(Table12[[#This Row],[ROUTE]],DEMAND!A:F,5,FALSE)</f>
        <v>3774</v>
      </c>
      <c r="N11" s="212">
        <f>VLOOKUP(Table12[[#This Row],[ROUTE]],DEMAND!A:F,6,FALSE)</f>
        <v>474</v>
      </c>
      <c r="O11" s="212">
        <f>ROUNDDOWN(Table12[[#This Row],[R-DEMAND]]/1320,0)</f>
        <v>0</v>
      </c>
      <c r="P11" s="212">
        <f>Table12[[#This Row],[ADD ACC]]*Table12[[#This Row],[RT TIME 
(777-500ER)]]</f>
        <v>0</v>
      </c>
    </row>
    <row r="12" spans="1:16" ht="15.75" customHeight="1" x14ac:dyDescent="0.25">
      <c r="A12" s="212" t="s">
        <v>14656</v>
      </c>
      <c r="B12" s="212" t="s">
        <v>5570</v>
      </c>
      <c r="C12" s="212" t="s">
        <v>2</v>
      </c>
      <c r="D12" s="226">
        <v>4</v>
      </c>
      <c r="E12" s="212" t="s">
        <v>119</v>
      </c>
      <c r="F12" s="212" t="s">
        <v>12674</v>
      </c>
      <c r="G12" s="227" t="s">
        <v>11113</v>
      </c>
      <c r="H12" s="228">
        <v>3425</v>
      </c>
      <c r="I12" s="208">
        <v>9.75</v>
      </c>
      <c r="J12" s="211">
        <v>181912900</v>
      </c>
      <c r="K12" s="209">
        <v>63761.969856291624</v>
      </c>
      <c r="L12" s="212">
        <v>2853</v>
      </c>
      <c r="M12" s="212">
        <f>VLOOKUP(Table12[[#This Row],[ROUTE]],DEMAND!A:F,5,FALSE)</f>
        <v>2978</v>
      </c>
      <c r="N12" s="212">
        <f>VLOOKUP(Table12[[#This Row],[ROUTE]],DEMAND!A:F,6,FALSE)</f>
        <v>778</v>
      </c>
      <c r="O12" s="212">
        <f>ROUNDDOWN(Table12[[#This Row],[R-DEMAND]]/1320,0)</f>
        <v>0</v>
      </c>
      <c r="P12" s="212">
        <f>Table12[[#This Row],[ADD ACC]]*Table12[[#This Row],[RT TIME 
(777-500ER)]]</f>
        <v>0</v>
      </c>
    </row>
    <row r="13" spans="1:16" ht="15.75" customHeight="1" x14ac:dyDescent="0.25">
      <c r="A13" s="212" t="s">
        <v>14975</v>
      </c>
      <c r="B13" s="212" t="s">
        <v>450</v>
      </c>
      <c r="C13" s="212" t="s">
        <v>2</v>
      </c>
      <c r="D13" s="226">
        <v>4</v>
      </c>
      <c r="E13" s="212" t="s">
        <v>493</v>
      </c>
      <c r="F13" s="212" t="s">
        <v>12671</v>
      </c>
      <c r="G13" s="227" t="s">
        <v>11112</v>
      </c>
      <c r="H13" s="228">
        <v>3334</v>
      </c>
      <c r="I13" s="208">
        <v>9.5</v>
      </c>
      <c r="J13" s="211">
        <v>176697514</v>
      </c>
      <c r="K13" s="209">
        <v>43878.200645641919</v>
      </c>
      <c r="L13" s="212">
        <v>4027</v>
      </c>
      <c r="M13" s="212">
        <f>VLOOKUP(Table12[[#This Row],[ROUTE]],DEMAND!A:F,5,FALSE)</f>
        <v>4271</v>
      </c>
      <c r="N13" s="212">
        <f>VLOOKUP(Table12[[#This Row],[ROUTE]],DEMAND!A:F,6,FALSE)</f>
        <v>971</v>
      </c>
      <c r="O13" s="212">
        <f>ROUNDDOWN(Table12[[#This Row],[R-DEMAND]]/1320,0)</f>
        <v>0</v>
      </c>
      <c r="P13" s="212">
        <f>Table12[[#This Row],[ADD ACC]]*Table12[[#This Row],[RT TIME 
(777-500ER)]]</f>
        <v>0</v>
      </c>
    </row>
    <row r="14" spans="1:16" ht="15.75" customHeight="1" x14ac:dyDescent="0.25">
      <c r="A14" s="212" t="s">
        <v>14772</v>
      </c>
      <c r="B14" s="212" t="s">
        <v>448</v>
      </c>
      <c r="C14" s="212" t="s">
        <v>2</v>
      </c>
      <c r="D14" s="226">
        <v>3</v>
      </c>
      <c r="E14" s="212" t="s">
        <v>1070</v>
      </c>
      <c r="F14" s="212" t="s">
        <v>12670</v>
      </c>
      <c r="G14" s="227" t="s">
        <v>12031</v>
      </c>
      <c r="H14" s="228">
        <v>4587</v>
      </c>
      <c r="I14" s="208">
        <v>12.5</v>
      </c>
      <c r="J14" s="211">
        <v>183035502</v>
      </c>
      <c r="K14" s="209">
        <v>48460.551231135825</v>
      </c>
      <c r="L14" s="212">
        <v>3777</v>
      </c>
      <c r="M14" s="212">
        <f>VLOOKUP(Table12[[#This Row],[ROUTE]],DEMAND!A:F,5,FALSE)</f>
        <v>3980</v>
      </c>
      <c r="N14" s="212">
        <f>VLOOKUP(Table12[[#This Row],[ROUTE]],DEMAND!A:F,6,FALSE)</f>
        <v>680</v>
      </c>
      <c r="O14" s="212">
        <f>ROUNDDOWN(Table12[[#This Row],[R-DEMAND]]/1320,0)</f>
        <v>0</v>
      </c>
      <c r="P14" s="212">
        <f>Table12[[#This Row],[ADD ACC]]*Table12[[#This Row],[RT TIME 
(777-500ER)]]</f>
        <v>0</v>
      </c>
    </row>
    <row r="15" spans="1:16" ht="15.75" customHeight="1" x14ac:dyDescent="0.25">
      <c r="A15" s="212" t="s">
        <v>14585</v>
      </c>
      <c r="B15" s="212" t="s">
        <v>446</v>
      </c>
      <c r="C15" s="212" t="s">
        <v>2</v>
      </c>
      <c r="D15" s="226">
        <v>5</v>
      </c>
      <c r="E15" s="212" t="s">
        <v>3204</v>
      </c>
      <c r="F15" s="212" t="s">
        <v>12674</v>
      </c>
      <c r="G15" s="227" t="s">
        <v>11111</v>
      </c>
      <c r="H15" s="228">
        <v>2179</v>
      </c>
      <c r="I15" s="208">
        <v>7</v>
      </c>
      <c r="J15" s="211">
        <v>194027793</v>
      </c>
      <c r="K15" s="209">
        <v>62934.736620175157</v>
      </c>
      <c r="L15" s="212">
        <v>3083</v>
      </c>
      <c r="M15" s="212">
        <f>VLOOKUP(Table12[[#This Row],[ROUTE]],DEMAND!A:F,5,FALSE)</f>
        <v>3229</v>
      </c>
      <c r="N15" s="212">
        <f>VLOOKUP(Table12[[#This Row],[ROUTE]],DEMAND!A:F,6,FALSE)</f>
        <v>1029</v>
      </c>
      <c r="O15" s="212">
        <f>ROUNDDOWN(Table12[[#This Row],[R-DEMAND]]/1320,0)</f>
        <v>0</v>
      </c>
      <c r="P15" s="212">
        <f>Table12[[#This Row],[ADD ACC]]*Table12[[#This Row],[RT TIME 
(777-500ER)]]</f>
        <v>0</v>
      </c>
    </row>
    <row r="16" spans="1:16" ht="15.75" customHeight="1" x14ac:dyDescent="0.25">
      <c r="A16" s="212" t="s">
        <v>14812</v>
      </c>
      <c r="B16" s="212" t="s">
        <v>4725</v>
      </c>
      <c r="C16" s="212" t="s">
        <v>2</v>
      </c>
      <c r="D16" s="226">
        <v>3</v>
      </c>
      <c r="E16" s="212" t="s">
        <v>142</v>
      </c>
      <c r="F16" s="212" t="s">
        <v>12670</v>
      </c>
      <c r="G16" s="227" t="s">
        <v>10855</v>
      </c>
      <c r="H16" s="228">
        <v>7092</v>
      </c>
      <c r="I16" s="208">
        <v>18</v>
      </c>
      <c r="J16" s="211">
        <v>198399172</v>
      </c>
      <c r="K16" s="209">
        <v>90551.881332724777</v>
      </c>
      <c r="L16" s="212">
        <v>2191</v>
      </c>
      <c r="M16" s="212">
        <f>VLOOKUP(Table12[[#This Row],[ROUTE]],DEMAND!A:F,5,FALSE)</f>
        <v>2272</v>
      </c>
      <c r="N16" s="212">
        <f>VLOOKUP(Table12[[#This Row],[ROUTE]],DEMAND!A:F,6,FALSE)</f>
        <v>1172</v>
      </c>
      <c r="O16" s="212">
        <f>ROUNDDOWN(Table12[[#This Row],[R-DEMAND]]/1320,0)</f>
        <v>0</v>
      </c>
      <c r="P16" s="212">
        <f>Table12[[#This Row],[ADD ACC]]*Table12[[#This Row],[RT TIME 
(777-500ER)]]</f>
        <v>0</v>
      </c>
    </row>
    <row r="17" spans="1:16" ht="15.75" customHeight="1" x14ac:dyDescent="0.25">
      <c r="A17" s="212" t="s">
        <v>14266</v>
      </c>
      <c r="B17" s="212" t="s">
        <v>4941</v>
      </c>
      <c r="C17" s="212" t="s">
        <v>2</v>
      </c>
      <c r="D17" s="226">
        <v>3</v>
      </c>
      <c r="E17" s="212" t="s">
        <v>714</v>
      </c>
      <c r="F17" s="212" t="s">
        <v>12694</v>
      </c>
      <c r="G17" s="227" t="s">
        <v>13242</v>
      </c>
      <c r="H17" s="228">
        <v>12726</v>
      </c>
      <c r="I17" s="208">
        <v>30.75</v>
      </c>
      <c r="J17" s="211">
        <v>257887013</v>
      </c>
      <c r="K17" s="209">
        <v>75207.64450277049</v>
      </c>
      <c r="L17" s="212">
        <v>3429</v>
      </c>
      <c r="M17" s="212">
        <f>VLOOKUP(Table12[[#This Row],[ROUTE]],DEMAND!A:F,5,FALSE)</f>
        <v>3659</v>
      </c>
      <c r="N17" s="212">
        <f>VLOOKUP(Table12[[#This Row],[ROUTE]],DEMAND!A:F,6,FALSE)</f>
        <v>359</v>
      </c>
      <c r="O17" s="212">
        <f>ROUNDDOWN(Table12[[#This Row],[R-DEMAND]]/1320,0)</f>
        <v>0</v>
      </c>
      <c r="P17" s="212">
        <f>Table12[[#This Row],[ADD ACC]]*Table12[[#This Row],[RT TIME 
(777-500ER)]]</f>
        <v>0</v>
      </c>
    </row>
    <row r="18" spans="1:16" ht="15.75" customHeight="1" x14ac:dyDescent="0.25">
      <c r="A18" s="212" t="s">
        <v>15020</v>
      </c>
      <c r="B18" s="212" t="s">
        <v>4640</v>
      </c>
      <c r="C18" s="212" t="s">
        <v>2</v>
      </c>
      <c r="D18" s="226">
        <v>2</v>
      </c>
      <c r="E18" s="212" t="s">
        <v>1124</v>
      </c>
      <c r="F18" s="212" t="s">
        <v>12671</v>
      </c>
      <c r="G18" s="227" t="s">
        <v>11878</v>
      </c>
      <c r="H18" s="228">
        <v>3522</v>
      </c>
      <c r="I18" s="208">
        <v>10</v>
      </c>
      <c r="J18" s="211">
        <v>160749762</v>
      </c>
      <c r="K18" s="209">
        <v>45040.560941440177</v>
      </c>
      <c r="L18" s="212">
        <v>3569</v>
      </c>
      <c r="M18" s="212">
        <f>VLOOKUP(Table12[[#This Row],[ROUTE]],DEMAND!A:F,5,FALSE)</f>
        <v>3749</v>
      </c>
      <c r="N18" s="212">
        <f>VLOOKUP(Table12[[#This Row],[ROUTE]],DEMAND!A:F,6,FALSE)</f>
        <v>449</v>
      </c>
      <c r="O18" s="212">
        <f>ROUNDDOWN(Table12[[#This Row],[R-DEMAND]]/1320,0)</f>
        <v>0</v>
      </c>
      <c r="P18" s="212">
        <f>Table12[[#This Row],[ADD ACC]]*Table12[[#This Row],[RT TIME 
(777-500ER)]]</f>
        <v>0</v>
      </c>
    </row>
    <row r="19" spans="1:16" ht="15.75" customHeight="1" x14ac:dyDescent="0.25">
      <c r="A19" s="212" t="s">
        <v>14260</v>
      </c>
      <c r="B19" s="212" t="s">
        <v>4945</v>
      </c>
      <c r="C19" s="212" t="s">
        <v>2</v>
      </c>
      <c r="D19" s="226">
        <v>3</v>
      </c>
      <c r="E19" s="212" t="s">
        <v>714</v>
      </c>
      <c r="F19" s="212" t="s">
        <v>12694</v>
      </c>
      <c r="G19" s="227" t="s">
        <v>13236</v>
      </c>
      <c r="H19" s="228">
        <v>12459</v>
      </c>
      <c r="I19" s="208">
        <v>30</v>
      </c>
      <c r="J19" s="211">
        <v>255210459</v>
      </c>
      <c r="K19" s="209">
        <v>74427.080489938759</v>
      </c>
      <c r="L19" s="212">
        <v>3429</v>
      </c>
      <c r="M19" s="212">
        <f>VLOOKUP(Table12[[#This Row],[ROUTE]],DEMAND!A:F,5,FALSE)</f>
        <v>3579</v>
      </c>
      <c r="N19" s="212">
        <f>VLOOKUP(Table12[[#This Row],[ROUTE]],DEMAND!A:F,6,FALSE)</f>
        <v>279</v>
      </c>
      <c r="O19" s="212">
        <f>ROUNDDOWN(Table12[[#This Row],[R-DEMAND]]/1320,0)</f>
        <v>0</v>
      </c>
      <c r="P19" s="212">
        <f>Table12[[#This Row],[ADD ACC]]*Table12[[#This Row],[RT TIME 
(777-500ER)]]</f>
        <v>0</v>
      </c>
    </row>
    <row r="20" spans="1:16" ht="15.75" customHeight="1" x14ac:dyDescent="0.25">
      <c r="A20" s="212" t="s">
        <v>14547</v>
      </c>
      <c r="B20" s="212" t="s">
        <v>440</v>
      </c>
      <c r="C20" s="212" t="s">
        <v>2</v>
      </c>
      <c r="D20" s="226">
        <v>4</v>
      </c>
      <c r="E20" s="212" t="s">
        <v>597</v>
      </c>
      <c r="F20" s="212" t="s">
        <v>12674</v>
      </c>
      <c r="G20" s="227" t="s">
        <v>11110</v>
      </c>
      <c r="H20" s="228">
        <v>2206</v>
      </c>
      <c r="I20" s="208">
        <v>7</v>
      </c>
      <c r="J20" s="211">
        <v>177375733</v>
      </c>
      <c r="K20" s="209">
        <v>63735.441250449156</v>
      </c>
      <c r="L20" s="212">
        <v>2783</v>
      </c>
      <c r="M20" s="212">
        <f>VLOOKUP(Table12[[#This Row],[ROUTE]],DEMAND!A:F,5,FALSE)</f>
        <v>2906</v>
      </c>
      <c r="N20" s="212">
        <f>VLOOKUP(Table12[[#This Row],[ROUTE]],DEMAND!A:F,6,FALSE)</f>
        <v>706</v>
      </c>
      <c r="O20" s="212">
        <f>ROUNDDOWN(Table12[[#This Row],[R-DEMAND]]/1320,0)</f>
        <v>0</v>
      </c>
      <c r="P20" s="212">
        <f>Table12[[#This Row],[ADD ACC]]*Table12[[#This Row],[RT TIME 
(777-500ER)]]</f>
        <v>0</v>
      </c>
    </row>
    <row r="21" spans="1:16" ht="15.75" customHeight="1" x14ac:dyDescent="0.25">
      <c r="A21" s="212" t="s">
        <v>14348</v>
      </c>
      <c r="B21" s="212" t="s">
        <v>5768</v>
      </c>
      <c r="C21" s="212" t="s">
        <v>2</v>
      </c>
      <c r="D21" s="226">
        <v>5</v>
      </c>
      <c r="E21" s="212" t="s">
        <v>647</v>
      </c>
      <c r="F21" s="212" t="s">
        <v>12688</v>
      </c>
      <c r="G21" s="227" t="s">
        <v>13354</v>
      </c>
      <c r="H21" s="228">
        <v>8706</v>
      </c>
      <c r="I21" s="208">
        <v>21.75</v>
      </c>
      <c r="J21" s="211">
        <v>261056562</v>
      </c>
      <c r="K21" s="209">
        <v>96651.818585708999</v>
      </c>
      <c r="L21" s="212">
        <v>2701</v>
      </c>
      <c r="M21" s="212">
        <f>VLOOKUP(Table12[[#This Row],[ROUTE]],DEMAND!A:F,5,FALSE)</f>
        <v>2820</v>
      </c>
      <c r="N21" s="212">
        <f>VLOOKUP(Table12[[#This Row],[ROUTE]],DEMAND!A:F,6,FALSE)</f>
        <v>620</v>
      </c>
      <c r="O21" s="212">
        <f>ROUNDDOWN(Table12[[#This Row],[R-DEMAND]]/1320,0)</f>
        <v>0</v>
      </c>
      <c r="P21" s="212">
        <f>Table12[[#This Row],[ADD ACC]]*Table12[[#This Row],[RT TIME 
(777-500ER)]]</f>
        <v>0</v>
      </c>
    </row>
    <row r="22" spans="1:16" ht="15.75" customHeight="1" x14ac:dyDescent="0.25">
      <c r="A22" s="212" t="s">
        <v>14768</v>
      </c>
      <c r="B22" s="212" t="s">
        <v>437</v>
      </c>
      <c r="C22" s="212" t="s">
        <v>2</v>
      </c>
      <c r="D22" s="226">
        <v>2</v>
      </c>
      <c r="E22" s="212" t="s">
        <v>1070</v>
      </c>
      <c r="F22" s="212" t="s">
        <v>12670</v>
      </c>
      <c r="G22" s="227" t="s">
        <v>12018</v>
      </c>
      <c r="H22" s="228">
        <v>3895</v>
      </c>
      <c r="I22" s="208">
        <v>10.75</v>
      </c>
      <c r="J22" s="211">
        <v>161632681</v>
      </c>
      <c r="K22" s="209">
        <v>44319.353166986562</v>
      </c>
      <c r="L22" s="212">
        <v>3647</v>
      </c>
      <c r="M22" s="212">
        <f>VLOOKUP(Table12[[#This Row],[ROUTE]],DEMAND!A:F,5,FALSE)</f>
        <v>3831</v>
      </c>
      <c r="N22" s="212">
        <f>VLOOKUP(Table12[[#This Row],[ROUTE]],DEMAND!A:F,6,FALSE)</f>
        <v>531</v>
      </c>
      <c r="O22" s="212">
        <f>ROUNDDOWN(Table12[[#This Row],[R-DEMAND]]/1320,0)</f>
        <v>0</v>
      </c>
      <c r="P22" s="212">
        <f>Table12[[#This Row],[ADD ACC]]*Table12[[#This Row],[RT TIME 
(777-500ER)]]</f>
        <v>0</v>
      </c>
    </row>
    <row r="23" spans="1:16" ht="15.75" customHeight="1" x14ac:dyDescent="0.25">
      <c r="A23" s="212" t="s">
        <v>15016</v>
      </c>
      <c r="B23" s="212" t="s">
        <v>3751</v>
      </c>
      <c r="C23" s="212" t="s">
        <v>2</v>
      </c>
      <c r="D23" s="226">
        <v>2</v>
      </c>
      <c r="E23" s="212" t="s">
        <v>1124</v>
      </c>
      <c r="F23" s="212" t="s">
        <v>12671</v>
      </c>
      <c r="G23" s="227" t="s">
        <v>11864</v>
      </c>
      <c r="H23" s="228">
        <v>3203</v>
      </c>
      <c r="I23" s="208">
        <v>9.25</v>
      </c>
      <c r="J23" s="211">
        <v>149454078</v>
      </c>
      <c r="K23" s="209">
        <v>45482.068776628119</v>
      </c>
      <c r="L23" s="212">
        <v>3286</v>
      </c>
      <c r="M23" s="212">
        <f>VLOOKUP(Table12[[#This Row],[ROUTE]],DEMAND!A:F,5,FALSE)</f>
        <v>3441</v>
      </c>
      <c r="N23" s="212">
        <f>VLOOKUP(Table12[[#This Row],[ROUTE]],DEMAND!A:F,6,FALSE)</f>
        <v>1241</v>
      </c>
      <c r="O23" s="212">
        <f>ROUNDDOWN(Table12[[#This Row],[R-DEMAND]]/1320,0)</f>
        <v>0</v>
      </c>
      <c r="P23" s="212">
        <f>Table12[[#This Row],[ADD ACC]]*Table12[[#This Row],[RT TIME 
(777-500ER)]]</f>
        <v>0</v>
      </c>
    </row>
    <row r="24" spans="1:16" ht="15.75" customHeight="1" x14ac:dyDescent="0.25">
      <c r="A24" s="212" t="s">
        <v>14415</v>
      </c>
      <c r="B24" s="212" t="s">
        <v>4960</v>
      </c>
      <c r="C24" s="212" t="s">
        <v>2</v>
      </c>
      <c r="D24" s="226">
        <v>3</v>
      </c>
      <c r="E24" s="212" t="s">
        <v>4958</v>
      </c>
      <c r="F24" s="212" t="s">
        <v>12688</v>
      </c>
      <c r="G24" s="227" t="s">
        <v>13144</v>
      </c>
      <c r="H24" s="228">
        <v>9961</v>
      </c>
      <c r="I24" s="208">
        <v>24.5</v>
      </c>
      <c r="J24" s="211">
        <v>229771310</v>
      </c>
      <c r="K24" s="209">
        <v>80339.618881118877</v>
      </c>
      <c r="L24" s="212">
        <v>2860</v>
      </c>
      <c r="M24" s="212">
        <f>VLOOKUP(Table12[[#This Row],[ROUTE]],DEMAND!A:F,5,FALSE)</f>
        <v>3033</v>
      </c>
      <c r="N24" s="212">
        <f>VLOOKUP(Table12[[#This Row],[ROUTE]],DEMAND!A:F,6,FALSE)</f>
        <v>833</v>
      </c>
      <c r="O24" s="212">
        <f>ROUNDDOWN(Table12[[#This Row],[R-DEMAND]]/1320,0)</f>
        <v>0</v>
      </c>
      <c r="P24" s="212">
        <f>Table12[[#This Row],[ADD ACC]]*Table12[[#This Row],[RT TIME 
(777-500ER)]]</f>
        <v>0</v>
      </c>
    </row>
    <row r="25" spans="1:16" ht="15.75" customHeight="1" x14ac:dyDescent="0.25">
      <c r="A25" s="212" t="s">
        <v>14948</v>
      </c>
      <c r="B25" s="212" t="s">
        <v>435</v>
      </c>
      <c r="C25" s="212" t="s">
        <v>2</v>
      </c>
      <c r="D25" s="226">
        <v>4</v>
      </c>
      <c r="E25" s="212" t="s">
        <v>1847</v>
      </c>
      <c r="F25" s="212" t="s">
        <v>12670</v>
      </c>
      <c r="G25" s="227" t="s">
        <v>11109</v>
      </c>
      <c r="H25" s="228">
        <v>3708</v>
      </c>
      <c r="I25" s="208">
        <v>10.5</v>
      </c>
      <c r="J25" s="211">
        <v>183744438</v>
      </c>
      <c r="K25" s="209">
        <v>58817.041613316258</v>
      </c>
      <c r="L25" s="212">
        <v>3124</v>
      </c>
      <c r="M25" s="212">
        <f>VLOOKUP(Table12[[#This Row],[ROUTE]],DEMAND!A:F,5,FALSE)</f>
        <v>3240</v>
      </c>
      <c r="N25" s="212">
        <f>VLOOKUP(Table12[[#This Row],[ROUTE]],DEMAND!A:F,6,FALSE)</f>
        <v>1040</v>
      </c>
      <c r="O25" s="212">
        <f>ROUNDDOWN(Table12[[#This Row],[R-DEMAND]]/1320,0)</f>
        <v>0</v>
      </c>
      <c r="P25" s="212">
        <f>Table12[[#This Row],[ADD ACC]]*Table12[[#This Row],[RT TIME 
(777-500ER)]]</f>
        <v>0</v>
      </c>
    </row>
    <row r="26" spans="1:16" ht="15.75" customHeight="1" x14ac:dyDescent="0.25">
      <c r="A26" s="212" t="s">
        <v>14400</v>
      </c>
      <c r="B26" s="212" t="s">
        <v>5524</v>
      </c>
      <c r="C26" s="212" t="s">
        <v>2</v>
      </c>
      <c r="D26" s="226">
        <v>4</v>
      </c>
      <c r="E26" s="212" t="s">
        <v>647</v>
      </c>
      <c r="F26" s="212" t="s">
        <v>12688</v>
      </c>
      <c r="G26" s="227" t="s">
        <v>13324</v>
      </c>
      <c r="H26" s="228">
        <v>9604</v>
      </c>
      <c r="I26" s="208">
        <v>23.75</v>
      </c>
      <c r="J26" s="211">
        <v>242872420</v>
      </c>
      <c r="K26" s="209">
        <v>107228.44150110375</v>
      </c>
      <c r="L26" s="212">
        <v>2265</v>
      </c>
      <c r="M26" s="212">
        <f>VLOOKUP(Table12[[#This Row],[ROUTE]],DEMAND!A:F,5,FALSE)</f>
        <v>2402</v>
      </c>
      <c r="N26" s="212">
        <f>VLOOKUP(Table12[[#This Row],[ROUTE]],DEMAND!A:F,6,FALSE)</f>
        <v>1302</v>
      </c>
      <c r="O26" s="212">
        <f>ROUNDDOWN(Table12[[#This Row],[R-DEMAND]]/1320,0)</f>
        <v>0</v>
      </c>
      <c r="P26" s="212">
        <f>Table12[[#This Row],[ADD ACC]]*Table12[[#This Row],[RT TIME 
(777-500ER)]]</f>
        <v>0</v>
      </c>
    </row>
    <row r="27" spans="1:16" ht="15.75" customHeight="1" x14ac:dyDescent="0.25">
      <c r="A27" s="212" t="s">
        <v>14279</v>
      </c>
      <c r="B27" s="212" t="s">
        <v>2692</v>
      </c>
      <c r="C27" s="212" t="s">
        <v>2</v>
      </c>
      <c r="D27" s="226">
        <v>2</v>
      </c>
      <c r="E27" s="212" t="s">
        <v>774</v>
      </c>
      <c r="F27" s="212" t="s">
        <v>12682</v>
      </c>
      <c r="G27" s="227" t="s">
        <v>12022</v>
      </c>
      <c r="H27" s="228">
        <v>14392</v>
      </c>
      <c r="I27" s="208">
        <v>34.5</v>
      </c>
      <c r="J27" s="211">
        <v>255962069</v>
      </c>
      <c r="K27" s="209">
        <v>170527.69420386408</v>
      </c>
      <c r="L27" s="212">
        <v>1501</v>
      </c>
      <c r="M27" s="212">
        <f>VLOOKUP(Table12[[#This Row],[ROUTE]],DEMAND!A:F,5,FALSE)</f>
        <v>1567</v>
      </c>
      <c r="N27" s="212">
        <f>VLOOKUP(Table12[[#This Row],[ROUTE]],DEMAND!A:F,6,FALSE)</f>
        <v>467</v>
      </c>
      <c r="O27" s="212">
        <f>ROUNDDOWN(Table12[[#This Row],[R-DEMAND]]/1320,0)</f>
        <v>0</v>
      </c>
      <c r="P27" s="212">
        <f>Table12[[#This Row],[ADD ACC]]*Table12[[#This Row],[RT TIME 
(777-500ER)]]</f>
        <v>0</v>
      </c>
    </row>
    <row r="28" spans="1:16" ht="15.75" customHeight="1" x14ac:dyDescent="0.25">
      <c r="A28" s="212" t="s">
        <v>15024</v>
      </c>
      <c r="B28" s="212" t="s">
        <v>3941</v>
      </c>
      <c r="C28" s="212" t="s">
        <v>2</v>
      </c>
      <c r="D28" s="226">
        <v>2</v>
      </c>
      <c r="E28" s="212" t="s">
        <v>2527</v>
      </c>
      <c r="F28" s="212" t="s">
        <v>12671</v>
      </c>
      <c r="G28" s="227" t="s">
        <v>11929</v>
      </c>
      <c r="H28" s="228">
        <v>5377</v>
      </c>
      <c r="I28" s="208">
        <v>14.25</v>
      </c>
      <c r="J28" s="211">
        <v>176532268</v>
      </c>
      <c r="K28" s="209">
        <v>44942.023421588594</v>
      </c>
      <c r="L28" s="212">
        <v>3928</v>
      </c>
      <c r="M28" s="212">
        <f>VLOOKUP(Table12[[#This Row],[ROUTE]],DEMAND!A:F,5,FALSE)</f>
        <v>4074</v>
      </c>
      <c r="N28" s="212">
        <f>VLOOKUP(Table12[[#This Row],[ROUTE]],DEMAND!A:F,6,FALSE)</f>
        <v>774</v>
      </c>
      <c r="O28" s="212">
        <f>ROUNDDOWN(Table12[[#This Row],[R-DEMAND]]/1320,0)</f>
        <v>0</v>
      </c>
      <c r="P28" s="212">
        <f>Table12[[#This Row],[ADD ACC]]*Table12[[#This Row],[RT TIME 
(777-500ER)]]</f>
        <v>0</v>
      </c>
    </row>
    <row r="29" spans="1:16" ht="15.75" customHeight="1" x14ac:dyDescent="0.25">
      <c r="A29" s="212" t="s">
        <v>14264</v>
      </c>
      <c r="B29" s="212" t="s">
        <v>1842</v>
      </c>
      <c r="C29" s="212" t="s">
        <v>2</v>
      </c>
      <c r="D29" s="226">
        <v>1</v>
      </c>
      <c r="E29" s="212" t="s">
        <v>714</v>
      </c>
      <c r="F29" s="212" t="s">
        <v>12694</v>
      </c>
      <c r="G29" s="227" t="s">
        <v>13240</v>
      </c>
      <c r="H29" s="228">
        <v>12601</v>
      </c>
      <c r="I29" s="208">
        <v>30.5</v>
      </c>
      <c r="J29" s="211">
        <v>234887686</v>
      </c>
      <c r="K29" s="209">
        <v>89926.37289433385</v>
      </c>
      <c r="L29" s="212">
        <v>2612</v>
      </c>
      <c r="M29" s="212">
        <f>VLOOKUP(Table12[[#This Row],[ROUTE]],DEMAND!A:F,5,FALSE)</f>
        <v>2726</v>
      </c>
      <c r="N29" s="212">
        <f>VLOOKUP(Table12[[#This Row],[ROUTE]],DEMAND!A:F,6,FALSE)</f>
        <v>526</v>
      </c>
      <c r="O29" s="212">
        <f>ROUNDDOWN(Table12[[#This Row],[R-DEMAND]]/1320,0)</f>
        <v>0</v>
      </c>
      <c r="P29" s="212">
        <f>Table12[[#This Row],[ADD ACC]]*Table12[[#This Row],[RT TIME 
(777-500ER)]]</f>
        <v>0</v>
      </c>
    </row>
    <row r="30" spans="1:16" ht="15.75" customHeight="1" x14ac:dyDescent="0.25">
      <c r="A30" s="212" t="s">
        <v>14940</v>
      </c>
      <c r="B30" s="212" t="s">
        <v>5663</v>
      </c>
      <c r="C30" s="212" t="s">
        <v>2</v>
      </c>
      <c r="D30" s="226">
        <v>4</v>
      </c>
      <c r="E30" s="212" t="s">
        <v>700</v>
      </c>
      <c r="F30" s="212" t="s">
        <v>12670</v>
      </c>
      <c r="G30" s="227" t="s">
        <v>10756</v>
      </c>
      <c r="H30" s="228">
        <v>2127</v>
      </c>
      <c r="I30" s="208">
        <v>7</v>
      </c>
      <c r="J30" s="211">
        <v>177231845</v>
      </c>
      <c r="K30" s="209">
        <v>45189.149668536462</v>
      </c>
      <c r="L30" s="212">
        <v>3922</v>
      </c>
      <c r="M30" s="212">
        <f>VLOOKUP(Table12[[#This Row],[ROUTE]],DEMAND!A:F,5,FALSE)</f>
        <v>4055</v>
      </c>
      <c r="N30" s="212">
        <f>VLOOKUP(Table12[[#This Row],[ROUTE]],DEMAND!A:F,6,FALSE)</f>
        <v>755</v>
      </c>
      <c r="O30" s="212">
        <f>ROUNDDOWN(Table12[[#This Row],[R-DEMAND]]/1320,0)</f>
        <v>0</v>
      </c>
      <c r="P30" s="212">
        <f>Table12[[#This Row],[ADD ACC]]*Table12[[#This Row],[RT TIME 
(777-500ER)]]</f>
        <v>0</v>
      </c>
    </row>
    <row r="31" spans="1:16" ht="15.75" customHeight="1" x14ac:dyDescent="0.25">
      <c r="A31" s="212" t="s">
        <v>14247</v>
      </c>
      <c r="B31" s="212" t="s">
        <v>4649</v>
      </c>
      <c r="C31" s="212" t="s">
        <v>2</v>
      </c>
      <c r="D31" s="226">
        <v>2</v>
      </c>
      <c r="E31" s="212" t="s">
        <v>860</v>
      </c>
      <c r="F31" s="212" t="s">
        <v>12694</v>
      </c>
      <c r="G31" s="227" t="s">
        <v>13181</v>
      </c>
      <c r="H31" s="228">
        <v>10389</v>
      </c>
      <c r="I31" s="208">
        <v>25.5</v>
      </c>
      <c r="J31" s="211">
        <v>229493790</v>
      </c>
      <c r="K31" s="209">
        <v>75169.927939731409</v>
      </c>
      <c r="L31" s="212">
        <v>3053</v>
      </c>
      <c r="M31" s="212">
        <f>VLOOKUP(Table12[[#This Row],[ROUTE]],DEMAND!A:F,5,FALSE)</f>
        <v>3166</v>
      </c>
      <c r="N31" s="212">
        <f>VLOOKUP(Table12[[#This Row],[ROUTE]],DEMAND!A:F,6,FALSE)</f>
        <v>966</v>
      </c>
      <c r="O31" s="212">
        <f>ROUNDDOWN(Table12[[#This Row],[R-DEMAND]]/1320,0)</f>
        <v>0</v>
      </c>
      <c r="P31" s="212">
        <f>Table12[[#This Row],[ADD ACC]]*Table12[[#This Row],[RT TIME 
(777-500ER)]]</f>
        <v>0</v>
      </c>
    </row>
    <row r="32" spans="1:16" ht="15.75" customHeight="1" x14ac:dyDescent="0.25">
      <c r="A32" s="212" t="s">
        <v>14606</v>
      </c>
      <c r="B32" s="212" t="s">
        <v>5526</v>
      </c>
      <c r="C32" s="212" t="s">
        <v>2</v>
      </c>
      <c r="D32" s="226">
        <v>4</v>
      </c>
      <c r="E32" s="212" t="s">
        <v>1420</v>
      </c>
      <c r="F32" s="212" t="s">
        <v>12674</v>
      </c>
      <c r="G32" s="227" t="s">
        <v>11108</v>
      </c>
      <c r="H32" s="228">
        <v>1473</v>
      </c>
      <c r="I32" s="208">
        <v>5.5</v>
      </c>
      <c r="J32" s="211">
        <v>159434089</v>
      </c>
      <c r="K32" s="209">
        <v>50405.971862156184</v>
      </c>
      <c r="L32" s="212">
        <v>3163</v>
      </c>
      <c r="M32" s="212">
        <f>VLOOKUP(Table12[[#This Row],[ROUTE]],DEMAND!A:F,5,FALSE)</f>
        <v>3271</v>
      </c>
      <c r="N32" s="212">
        <f>VLOOKUP(Table12[[#This Row],[ROUTE]],DEMAND!A:F,6,FALSE)</f>
        <v>1071</v>
      </c>
      <c r="O32" s="212">
        <f>ROUNDDOWN(Table12[[#This Row],[R-DEMAND]]/1320,0)</f>
        <v>0</v>
      </c>
      <c r="P32" s="212">
        <f>Table12[[#This Row],[ADD ACC]]*Table12[[#This Row],[RT TIME 
(777-500ER)]]</f>
        <v>0</v>
      </c>
    </row>
    <row r="33" spans="1:16" ht="15.75" customHeight="1" x14ac:dyDescent="0.25">
      <c r="A33" s="212" t="s">
        <v>14649</v>
      </c>
      <c r="B33" s="212" t="s">
        <v>430</v>
      </c>
      <c r="C33" s="212" t="s">
        <v>2</v>
      </c>
      <c r="D33" s="226">
        <v>5</v>
      </c>
      <c r="E33" s="212" t="s">
        <v>119</v>
      </c>
      <c r="F33" s="212" t="s">
        <v>12674</v>
      </c>
      <c r="G33" s="227" t="s">
        <v>11107</v>
      </c>
      <c r="H33" s="228">
        <v>3029</v>
      </c>
      <c r="I33" s="208">
        <v>9</v>
      </c>
      <c r="J33" s="211">
        <v>195044070</v>
      </c>
      <c r="K33" s="209">
        <v>60032.03139427516</v>
      </c>
      <c r="L33" s="212">
        <v>3249</v>
      </c>
      <c r="M33" s="212">
        <f>VLOOKUP(Table12[[#This Row],[ROUTE]],DEMAND!A:F,5,FALSE)</f>
        <v>3380</v>
      </c>
      <c r="N33" s="212">
        <f>VLOOKUP(Table12[[#This Row],[ROUTE]],DEMAND!A:F,6,FALSE)</f>
        <v>1180</v>
      </c>
      <c r="O33" s="212">
        <f>ROUNDDOWN(Table12[[#This Row],[R-DEMAND]]/1320,0)</f>
        <v>0</v>
      </c>
      <c r="P33" s="212">
        <f>Table12[[#This Row],[ADD ACC]]*Table12[[#This Row],[RT TIME 
(777-500ER)]]</f>
        <v>0</v>
      </c>
    </row>
    <row r="34" spans="1:16" ht="15.75" customHeight="1" x14ac:dyDescent="0.25">
      <c r="A34" s="212" t="s">
        <v>14237</v>
      </c>
      <c r="B34" s="212" t="s">
        <v>426</v>
      </c>
      <c r="C34" s="212" t="s">
        <v>2</v>
      </c>
      <c r="D34" s="226">
        <v>3</v>
      </c>
      <c r="E34" s="212" t="s">
        <v>517</v>
      </c>
      <c r="F34" s="212" t="s">
        <v>12694</v>
      </c>
      <c r="G34" s="227" t="s">
        <v>13155</v>
      </c>
      <c r="H34" s="228">
        <v>9908</v>
      </c>
      <c r="I34" s="208">
        <v>24.25</v>
      </c>
      <c r="J34" s="211">
        <v>231760526</v>
      </c>
      <c r="K34" s="209">
        <v>76971.280637661912</v>
      </c>
      <c r="L34" s="212">
        <v>3011</v>
      </c>
      <c r="M34" s="212">
        <f>VLOOKUP(Table12[[#This Row],[ROUTE]],DEMAND!A:F,5,FALSE)</f>
        <v>3173</v>
      </c>
      <c r="N34" s="212">
        <f>VLOOKUP(Table12[[#This Row],[ROUTE]],DEMAND!A:F,6,FALSE)</f>
        <v>973</v>
      </c>
      <c r="O34" s="212">
        <f>ROUNDDOWN(Table12[[#This Row],[R-DEMAND]]/1320,0)</f>
        <v>0</v>
      </c>
      <c r="P34" s="212">
        <f>Table12[[#This Row],[ADD ACC]]*Table12[[#This Row],[RT TIME 
(777-500ER)]]</f>
        <v>0</v>
      </c>
    </row>
    <row r="35" spans="1:16" ht="15.75" customHeight="1" x14ac:dyDescent="0.25">
      <c r="A35" s="212" t="s">
        <v>14418</v>
      </c>
      <c r="B35" s="212" t="s">
        <v>4993</v>
      </c>
      <c r="C35" s="212" t="s">
        <v>2</v>
      </c>
      <c r="D35" s="226">
        <v>3</v>
      </c>
      <c r="E35" s="212" t="s">
        <v>4991</v>
      </c>
      <c r="F35" s="212" t="s">
        <v>12688</v>
      </c>
      <c r="G35" s="227" t="s">
        <v>13147</v>
      </c>
      <c r="H35" s="228">
        <v>9275</v>
      </c>
      <c r="I35" s="208">
        <v>23</v>
      </c>
      <c r="J35" s="211">
        <v>223372478</v>
      </c>
      <c r="K35" s="209">
        <v>91098.074225122342</v>
      </c>
      <c r="L35" s="212">
        <v>2452</v>
      </c>
      <c r="M35" s="212">
        <f>VLOOKUP(Table12[[#This Row],[ROUTE]],DEMAND!A:F,5,FALSE)</f>
        <v>2551</v>
      </c>
      <c r="N35" s="212">
        <f>VLOOKUP(Table12[[#This Row],[ROUTE]],DEMAND!A:F,6,FALSE)</f>
        <v>351</v>
      </c>
      <c r="O35" s="212">
        <f>ROUNDDOWN(Table12[[#This Row],[R-DEMAND]]/1320,0)</f>
        <v>0</v>
      </c>
      <c r="P35" s="212">
        <f>Table12[[#This Row],[ADD ACC]]*Table12[[#This Row],[RT TIME 
(777-500ER)]]</f>
        <v>0</v>
      </c>
    </row>
    <row r="36" spans="1:16" ht="15.75" customHeight="1" x14ac:dyDescent="0.25">
      <c r="A36" s="212" t="s">
        <v>14564</v>
      </c>
      <c r="B36" s="212" t="s">
        <v>5507</v>
      </c>
      <c r="C36" s="212" t="s">
        <v>2</v>
      </c>
      <c r="D36" s="226">
        <v>4</v>
      </c>
      <c r="E36" s="212" t="s">
        <v>308</v>
      </c>
      <c r="F36" s="212" t="s">
        <v>12674</v>
      </c>
      <c r="G36" s="227" t="s">
        <v>11106</v>
      </c>
      <c r="H36" s="228">
        <v>2246</v>
      </c>
      <c r="I36" s="208">
        <v>7.25</v>
      </c>
      <c r="J36" s="211">
        <v>167411813</v>
      </c>
      <c r="K36" s="209">
        <v>66937.950019992</v>
      </c>
      <c r="L36" s="212">
        <v>2501</v>
      </c>
      <c r="M36" s="212">
        <f>VLOOKUP(Table12[[#This Row],[ROUTE]],DEMAND!A:F,5,FALSE)</f>
        <v>2636</v>
      </c>
      <c r="N36" s="212">
        <f>VLOOKUP(Table12[[#This Row],[ROUTE]],DEMAND!A:F,6,FALSE)</f>
        <v>436</v>
      </c>
      <c r="O36" s="212">
        <f>ROUNDDOWN(Table12[[#This Row],[R-DEMAND]]/1320,0)</f>
        <v>0</v>
      </c>
      <c r="P36" s="212">
        <f>Table12[[#This Row],[ADD ACC]]*Table12[[#This Row],[RT TIME 
(777-500ER)]]</f>
        <v>0</v>
      </c>
    </row>
    <row r="37" spans="1:16" ht="15.75" customHeight="1" x14ac:dyDescent="0.25">
      <c r="A37" s="212" t="s">
        <v>14854</v>
      </c>
      <c r="B37" s="212" t="s">
        <v>419</v>
      </c>
      <c r="C37" s="212" t="s">
        <v>2</v>
      </c>
      <c r="D37" s="226">
        <v>4</v>
      </c>
      <c r="E37" s="212" t="s">
        <v>197</v>
      </c>
      <c r="F37" s="212" t="s">
        <v>12670</v>
      </c>
      <c r="G37" s="227" t="s">
        <v>418</v>
      </c>
      <c r="H37" s="228">
        <v>3942</v>
      </c>
      <c r="I37" s="208">
        <v>11</v>
      </c>
      <c r="J37" s="211">
        <v>187927585</v>
      </c>
      <c r="K37" s="209">
        <v>39472.292585591262</v>
      </c>
      <c r="L37" s="212">
        <v>4761</v>
      </c>
      <c r="M37" s="212">
        <f>VLOOKUP(Table12[[#This Row],[ROUTE]],DEMAND!A:F,5,FALSE)</f>
        <v>4922</v>
      </c>
      <c r="N37" s="212">
        <f>VLOOKUP(Table12[[#This Row],[ROUTE]],DEMAND!A:F,6,FALSE)</f>
        <v>522</v>
      </c>
      <c r="O37" s="212">
        <f>ROUNDDOWN(Table12[[#This Row],[R-DEMAND]]/1320,0)</f>
        <v>0</v>
      </c>
      <c r="P37" s="212">
        <f>Table12[[#This Row],[ADD ACC]]*Table12[[#This Row],[RT TIME 
(777-500ER)]]</f>
        <v>0</v>
      </c>
    </row>
    <row r="38" spans="1:16" ht="15.75" customHeight="1" x14ac:dyDescent="0.25">
      <c r="A38" s="212" t="s">
        <v>14839</v>
      </c>
      <c r="B38" s="212" t="s">
        <v>417</v>
      </c>
      <c r="C38" s="212" t="s">
        <v>2</v>
      </c>
      <c r="D38" s="226">
        <v>3</v>
      </c>
      <c r="E38" s="212" t="s">
        <v>709</v>
      </c>
      <c r="F38" s="212" t="s">
        <v>12670</v>
      </c>
      <c r="G38" s="227" t="s">
        <v>12105</v>
      </c>
      <c r="H38" s="228">
        <v>8719</v>
      </c>
      <c r="I38" s="208">
        <v>21.75</v>
      </c>
      <c r="J38" s="211">
        <v>225797455</v>
      </c>
      <c r="K38" s="209">
        <v>69884.69668833178</v>
      </c>
      <c r="L38" s="212">
        <v>3231</v>
      </c>
      <c r="M38" s="212">
        <f>VLOOKUP(Table12[[#This Row],[ROUTE]],DEMAND!A:F,5,FALSE)</f>
        <v>3426</v>
      </c>
      <c r="N38" s="212">
        <f>VLOOKUP(Table12[[#This Row],[ROUTE]],DEMAND!A:F,6,FALSE)</f>
        <v>1226</v>
      </c>
      <c r="O38" s="212">
        <f>ROUNDDOWN(Table12[[#This Row],[R-DEMAND]]/1320,0)</f>
        <v>0</v>
      </c>
      <c r="P38" s="212">
        <f>Table12[[#This Row],[ADD ACC]]*Table12[[#This Row],[RT TIME 
(777-500ER)]]</f>
        <v>0</v>
      </c>
    </row>
    <row r="39" spans="1:16" ht="15.75" customHeight="1" x14ac:dyDescent="0.25">
      <c r="A39" s="212" t="s">
        <v>14908</v>
      </c>
      <c r="B39" s="212" t="s">
        <v>415</v>
      </c>
      <c r="C39" s="212" t="s">
        <v>2</v>
      </c>
      <c r="D39" s="226">
        <v>5</v>
      </c>
      <c r="E39" s="212" t="s">
        <v>332</v>
      </c>
      <c r="F39" s="212" t="s">
        <v>12670</v>
      </c>
      <c r="G39" s="227" t="s">
        <v>11105</v>
      </c>
      <c r="H39" s="228">
        <v>7060</v>
      </c>
      <c r="I39" s="208">
        <v>18</v>
      </c>
      <c r="J39" s="211">
        <v>241205847</v>
      </c>
      <c r="K39" s="209">
        <v>56501.721011946589</v>
      </c>
      <c r="L39" s="212">
        <v>4269</v>
      </c>
      <c r="M39" s="212">
        <f>VLOOKUP(Table12[[#This Row],[ROUTE]],DEMAND!A:F,5,FALSE)</f>
        <v>4541</v>
      </c>
      <c r="N39" s="212">
        <f>VLOOKUP(Table12[[#This Row],[ROUTE]],DEMAND!A:F,6,FALSE)</f>
        <v>1241</v>
      </c>
      <c r="O39" s="212">
        <f>ROUNDDOWN(Table12[[#This Row],[R-DEMAND]]/1320,0)</f>
        <v>0</v>
      </c>
      <c r="P39" s="212">
        <f>Table12[[#This Row],[ADD ACC]]*Table12[[#This Row],[RT TIME 
(777-500ER)]]</f>
        <v>0</v>
      </c>
    </row>
    <row r="40" spans="1:16" ht="15.75" customHeight="1" x14ac:dyDescent="0.25">
      <c r="A40" s="212" t="s">
        <v>14784</v>
      </c>
      <c r="B40" s="212" t="s">
        <v>414</v>
      </c>
      <c r="C40" s="212" t="s">
        <v>2</v>
      </c>
      <c r="D40" s="226">
        <v>4</v>
      </c>
      <c r="E40" s="212" t="s">
        <v>1070</v>
      </c>
      <c r="F40" s="212" t="s">
        <v>12670</v>
      </c>
      <c r="G40" s="227" t="s">
        <v>12064</v>
      </c>
      <c r="H40" s="228">
        <v>5808</v>
      </c>
      <c r="I40" s="208">
        <v>15.25</v>
      </c>
      <c r="J40" s="211">
        <v>208351367</v>
      </c>
      <c r="K40" s="209">
        <v>49844.824641148327</v>
      </c>
      <c r="L40" s="212">
        <v>4180</v>
      </c>
      <c r="M40" s="212">
        <f>VLOOKUP(Table12[[#This Row],[ROUTE]],DEMAND!A:F,5,FALSE)</f>
        <v>4460</v>
      </c>
      <c r="N40" s="212">
        <f>VLOOKUP(Table12[[#This Row],[ROUTE]],DEMAND!A:F,6,FALSE)</f>
        <v>1160</v>
      </c>
      <c r="O40" s="212">
        <f>ROUNDDOWN(Table12[[#This Row],[R-DEMAND]]/1320,0)</f>
        <v>0</v>
      </c>
      <c r="P40" s="212">
        <f>Table12[[#This Row],[ADD ACC]]*Table12[[#This Row],[RT TIME 
(777-500ER)]]</f>
        <v>0</v>
      </c>
    </row>
    <row r="41" spans="1:16" ht="15.75" customHeight="1" x14ac:dyDescent="0.25">
      <c r="A41" s="212" t="s">
        <v>14278</v>
      </c>
      <c r="B41" s="212" t="s">
        <v>410</v>
      </c>
      <c r="C41" s="212" t="s">
        <v>11122</v>
      </c>
      <c r="D41" s="226">
        <v>5</v>
      </c>
      <c r="E41" s="212" t="s">
        <v>774</v>
      </c>
      <c r="F41" s="212" t="s">
        <v>12682</v>
      </c>
      <c r="G41" s="227" t="s">
        <v>11104</v>
      </c>
      <c r="H41" s="228">
        <v>14058</v>
      </c>
      <c r="I41" s="208">
        <v>33.75</v>
      </c>
      <c r="J41" s="211">
        <v>298708040</v>
      </c>
      <c r="K41" s="209">
        <v>125877.80868099452</v>
      </c>
      <c r="L41" s="212">
        <v>2373</v>
      </c>
      <c r="M41" s="212">
        <f>VLOOKUP(Table12[[#This Row],[ROUTE]],DEMAND!A:F,5,FALSE)</f>
        <v>2524</v>
      </c>
      <c r="N41" s="212">
        <f>VLOOKUP(Table12[[#This Row],[ROUTE]],DEMAND!A:F,6,FALSE)</f>
        <v>324</v>
      </c>
      <c r="O41" s="212">
        <f>ROUNDDOWN(Table12[[#This Row],[R-DEMAND]]/1320,0)</f>
        <v>0</v>
      </c>
      <c r="P41" s="212">
        <f>Table12[[#This Row],[ADD ACC]]*Table12[[#This Row],[RT TIME 
(777-500ER)]]</f>
        <v>0</v>
      </c>
    </row>
    <row r="42" spans="1:16" ht="15.75" customHeight="1" x14ac:dyDescent="0.25">
      <c r="A42" s="212" t="s">
        <v>14249</v>
      </c>
      <c r="B42" s="212" t="s">
        <v>408</v>
      </c>
      <c r="C42" s="212" t="s">
        <v>2</v>
      </c>
      <c r="D42" s="226">
        <v>4</v>
      </c>
      <c r="E42" s="212" t="s">
        <v>860</v>
      </c>
      <c r="F42" s="212" t="s">
        <v>12694</v>
      </c>
      <c r="G42" s="227" t="s">
        <v>13184</v>
      </c>
      <c r="H42" s="228">
        <v>10937</v>
      </c>
      <c r="I42" s="208">
        <v>26.75</v>
      </c>
      <c r="J42" s="211">
        <v>266043728</v>
      </c>
      <c r="K42" s="209">
        <v>66727.797341359415</v>
      </c>
      <c r="L42" s="212">
        <v>3987</v>
      </c>
      <c r="M42" s="212">
        <f>VLOOKUP(Table12[[#This Row],[ROUTE]],DEMAND!A:F,5,FALSE)</f>
        <v>4121</v>
      </c>
      <c r="N42" s="212">
        <f>VLOOKUP(Table12[[#This Row],[ROUTE]],DEMAND!A:F,6,FALSE)</f>
        <v>821</v>
      </c>
      <c r="O42" s="212">
        <f>ROUNDDOWN(Table12[[#This Row],[R-DEMAND]]/1320,0)</f>
        <v>0</v>
      </c>
      <c r="P42" s="212">
        <f>Table12[[#This Row],[ADD ACC]]*Table12[[#This Row],[RT TIME 
(777-500ER)]]</f>
        <v>0</v>
      </c>
    </row>
    <row r="43" spans="1:16" ht="15.75" customHeight="1" x14ac:dyDescent="0.25">
      <c r="A43" s="212" t="s">
        <v>14773</v>
      </c>
      <c r="B43" s="212" t="s">
        <v>406</v>
      </c>
      <c r="C43" s="212" t="s">
        <v>2</v>
      </c>
      <c r="D43" s="226">
        <v>5</v>
      </c>
      <c r="E43" s="212" t="s">
        <v>1070</v>
      </c>
      <c r="F43" s="212" t="s">
        <v>12670</v>
      </c>
      <c r="G43" s="227" t="s">
        <v>12040</v>
      </c>
      <c r="H43" s="228">
        <v>4989</v>
      </c>
      <c r="I43" s="208">
        <v>13.25</v>
      </c>
      <c r="J43" s="211">
        <v>213766036</v>
      </c>
      <c r="K43" s="209">
        <v>46219.683459459462</v>
      </c>
      <c r="L43" s="212">
        <v>4625</v>
      </c>
      <c r="M43" s="212">
        <f>VLOOKUP(Table12[[#This Row],[ROUTE]],DEMAND!A:F,5,FALSE)</f>
        <v>4843</v>
      </c>
      <c r="N43" s="212">
        <f>VLOOKUP(Table12[[#This Row],[ROUTE]],DEMAND!A:F,6,FALSE)</f>
        <v>443</v>
      </c>
      <c r="O43" s="212">
        <f>ROUNDDOWN(Table12[[#This Row],[R-DEMAND]]/1320,0)</f>
        <v>0</v>
      </c>
      <c r="P43" s="212">
        <f>Table12[[#This Row],[ADD ACC]]*Table12[[#This Row],[RT TIME 
(777-500ER)]]</f>
        <v>0</v>
      </c>
    </row>
    <row r="44" spans="1:16" ht="15.75" customHeight="1" x14ac:dyDescent="0.25">
      <c r="A44" s="212" t="s">
        <v>14293</v>
      </c>
      <c r="B44" s="212" t="s">
        <v>404</v>
      </c>
      <c r="C44" s="212" t="s">
        <v>2</v>
      </c>
      <c r="D44" s="226">
        <v>5</v>
      </c>
      <c r="E44" s="212" t="s">
        <v>647</v>
      </c>
      <c r="F44" s="212" t="s">
        <v>12688</v>
      </c>
      <c r="G44" s="227" t="s">
        <v>13343</v>
      </c>
      <c r="H44" s="228">
        <v>7256</v>
      </c>
      <c r="I44" s="208">
        <v>18.5</v>
      </c>
      <c r="J44" s="211">
        <v>235106048</v>
      </c>
      <c r="K44" s="209">
        <v>96950.947628865979</v>
      </c>
      <c r="L44" s="212">
        <v>2425</v>
      </c>
      <c r="M44" s="212">
        <f>VLOOKUP(Table12[[#This Row],[ROUTE]],DEMAND!A:F,5,FALSE)</f>
        <v>2572</v>
      </c>
      <c r="N44" s="212">
        <f>VLOOKUP(Table12[[#This Row],[ROUTE]],DEMAND!A:F,6,FALSE)</f>
        <v>372</v>
      </c>
      <c r="O44" s="212">
        <f>ROUNDDOWN(Table12[[#This Row],[R-DEMAND]]/1320,0)</f>
        <v>0</v>
      </c>
      <c r="P44" s="212">
        <f>Table12[[#This Row],[ADD ACC]]*Table12[[#This Row],[RT TIME 
(777-500ER)]]</f>
        <v>0</v>
      </c>
    </row>
    <row r="45" spans="1:16" ht="15.75" customHeight="1" x14ac:dyDescent="0.25">
      <c r="A45" s="212" t="s">
        <v>14494</v>
      </c>
      <c r="B45" s="212" t="s">
        <v>402</v>
      </c>
      <c r="C45" s="212" t="s">
        <v>2</v>
      </c>
      <c r="D45" s="226">
        <v>4</v>
      </c>
      <c r="E45" s="212" t="s">
        <v>3180</v>
      </c>
      <c r="F45" s="212" t="s">
        <v>12674</v>
      </c>
      <c r="G45" s="227" t="s">
        <v>11103</v>
      </c>
      <c r="H45" s="228">
        <v>2260</v>
      </c>
      <c r="I45" s="208">
        <v>7.25</v>
      </c>
      <c r="J45" s="211">
        <v>179582029</v>
      </c>
      <c r="K45" s="209">
        <v>65089.535701341068</v>
      </c>
      <c r="L45" s="212">
        <v>2759</v>
      </c>
      <c r="M45" s="212">
        <f>VLOOKUP(Table12[[#This Row],[ROUTE]],DEMAND!A:F,5,FALSE)</f>
        <v>2908</v>
      </c>
      <c r="N45" s="212">
        <f>VLOOKUP(Table12[[#This Row],[ROUTE]],DEMAND!A:F,6,FALSE)</f>
        <v>708</v>
      </c>
      <c r="O45" s="212">
        <f>ROUNDDOWN(Table12[[#This Row],[R-DEMAND]]/1320,0)</f>
        <v>0</v>
      </c>
      <c r="P45" s="212">
        <f>Table12[[#This Row],[ADD ACC]]*Table12[[#This Row],[RT TIME 
(777-500ER)]]</f>
        <v>0</v>
      </c>
    </row>
    <row r="46" spans="1:16" ht="15.75" customHeight="1" x14ac:dyDescent="0.25">
      <c r="A46" s="212" t="s">
        <v>14240</v>
      </c>
      <c r="B46" s="212" t="s">
        <v>399</v>
      </c>
      <c r="C46" s="212" t="s">
        <v>2</v>
      </c>
      <c r="D46" s="226">
        <v>4</v>
      </c>
      <c r="E46" s="212" t="s">
        <v>517</v>
      </c>
      <c r="F46" s="212" t="s">
        <v>12694</v>
      </c>
      <c r="G46" s="227" t="s">
        <v>13159</v>
      </c>
      <c r="H46" s="228">
        <v>11198</v>
      </c>
      <c r="I46" s="208">
        <v>27.25</v>
      </c>
      <c r="J46" s="211">
        <v>264304815</v>
      </c>
      <c r="K46" s="209">
        <v>67476.337758488633</v>
      </c>
      <c r="L46" s="212">
        <v>3917</v>
      </c>
      <c r="M46" s="212">
        <f>VLOOKUP(Table12[[#This Row],[ROUTE]],DEMAND!A:F,5,FALSE)</f>
        <v>4180</v>
      </c>
      <c r="N46" s="212">
        <f>VLOOKUP(Table12[[#This Row],[ROUTE]],DEMAND!A:F,6,FALSE)</f>
        <v>880</v>
      </c>
      <c r="O46" s="212">
        <f>ROUNDDOWN(Table12[[#This Row],[R-DEMAND]]/1320,0)</f>
        <v>0</v>
      </c>
      <c r="P46" s="212">
        <f>Table12[[#This Row],[ADD ACC]]*Table12[[#This Row],[RT TIME 
(777-500ER)]]</f>
        <v>0</v>
      </c>
    </row>
    <row r="47" spans="1:16" ht="15.75" customHeight="1" x14ac:dyDescent="0.25">
      <c r="A47" s="212" t="s">
        <v>14789</v>
      </c>
      <c r="B47" s="212" t="s">
        <v>395</v>
      </c>
      <c r="C47" s="212" t="s">
        <v>2</v>
      </c>
      <c r="D47" s="226">
        <v>3</v>
      </c>
      <c r="E47" s="212" t="s">
        <v>1261</v>
      </c>
      <c r="F47" s="212" t="s">
        <v>12670</v>
      </c>
      <c r="G47" s="227" t="s">
        <v>12116</v>
      </c>
      <c r="H47" s="228">
        <v>8432</v>
      </c>
      <c r="I47" s="208">
        <v>21</v>
      </c>
      <c r="J47" s="211">
        <v>219984288</v>
      </c>
      <c r="K47" s="209">
        <v>62978.610936158031</v>
      </c>
      <c r="L47" s="212">
        <v>3493</v>
      </c>
      <c r="M47" s="212">
        <f>VLOOKUP(Table12[[#This Row],[ROUTE]],DEMAND!A:F,5,FALSE)</f>
        <v>3646</v>
      </c>
      <c r="N47" s="212">
        <f>VLOOKUP(Table12[[#This Row],[ROUTE]],DEMAND!A:F,6,FALSE)</f>
        <v>346</v>
      </c>
      <c r="O47" s="212">
        <f>ROUNDDOWN(Table12[[#This Row],[R-DEMAND]]/1320,0)</f>
        <v>0</v>
      </c>
      <c r="P47" s="212">
        <f>Table12[[#This Row],[ADD ACC]]*Table12[[#This Row],[RT TIME 
(777-500ER)]]</f>
        <v>0</v>
      </c>
    </row>
    <row r="48" spans="1:16" ht="15.75" customHeight="1" x14ac:dyDescent="0.25">
      <c r="A48" s="212" t="s">
        <v>14553</v>
      </c>
      <c r="B48" s="212" t="s">
        <v>393</v>
      </c>
      <c r="C48" s="212" t="s">
        <v>2</v>
      </c>
      <c r="D48" s="226">
        <v>4</v>
      </c>
      <c r="E48" s="212" t="s">
        <v>2729</v>
      </c>
      <c r="F48" s="212" t="s">
        <v>12674</v>
      </c>
      <c r="G48" s="227" t="s">
        <v>11102</v>
      </c>
      <c r="H48" s="228">
        <v>1559</v>
      </c>
      <c r="I48" s="208">
        <v>5.5</v>
      </c>
      <c r="J48" s="211">
        <v>161038346</v>
      </c>
      <c r="K48" s="209">
        <v>55358.661395668612</v>
      </c>
      <c r="L48" s="212">
        <v>2909</v>
      </c>
      <c r="M48" s="212">
        <f>VLOOKUP(Table12[[#This Row],[ROUTE]],DEMAND!A:F,5,FALSE)</f>
        <v>3017</v>
      </c>
      <c r="N48" s="212">
        <f>VLOOKUP(Table12[[#This Row],[ROUTE]],DEMAND!A:F,6,FALSE)</f>
        <v>817</v>
      </c>
      <c r="O48" s="212">
        <f>ROUNDDOWN(Table12[[#This Row],[R-DEMAND]]/1320,0)</f>
        <v>0</v>
      </c>
      <c r="P48" s="212">
        <f>Table12[[#This Row],[ADD ACC]]*Table12[[#This Row],[RT TIME 
(777-500ER)]]</f>
        <v>0</v>
      </c>
    </row>
    <row r="49" spans="1:16" ht="15.75" customHeight="1" x14ac:dyDescent="0.25">
      <c r="A49" s="212" t="s">
        <v>14310</v>
      </c>
      <c r="B49" s="212" t="s">
        <v>5682</v>
      </c>
      <c r="C49" s="212" t="s">
        <v>11122</v>
      </c>
      <c r="D49" s="226">
        <v>5</v>
      </c>
      <c r="E49" s="212" t="s">
        <v>647</v>
      </c>
      <c r="F49" s="212" t="s">
        <v>12688</v>
      </c>
      <c r="G49" s="227" t="s">
        <v>13351</v>
      </c>
      <c r="H49" s="228">
        <v>7819</v>
      </c>
      <c r="I49" s="208">
        <v>19.75</v>
      </c>
      <c r="J49" s="211">
        <v>237653817</v>
      </c>
      <c r="K49" s="209">
        <v>99938.526913372581</v>
      </c>
      <c r="L49" s="212">
        <v>2378</v>
      </c>
      <c r="M49" s="212">
        <f>VLOOKUP(Table12[[#This Row],[ROUTE]],DEMAND!A:F,5,FALSE)</f>
        <v>2529</v>
      </c>
      <c r="N49" s="212">
        <f>VLOOKUP(Table12[[#This Row],[ROUTE]],DEMAND!A:F,6,FALSE)</f>
        <v>329</v>
      </c>
      <c r="O49" s="212">
        <f>ROUNDDOWN(Table12[[#This Row],[R-DEMAND]]/1320,0)</f>
        <v>0</v>
      </c>
      <c r="P49" s="212">
        <f>Table12[[#This Row],[ADD ACC]]*Table12[[#This Row],[RT TIME 
(777-500ER)]]</f>
        <v>0</v>
      </c>
    </row>
    <row r="50" spans="1:16" ht="15.75" customHeight="1" x14ac:dyDescent="0.25">
      <c r="A50" s="212" t="s">
        <v>15014</v>
      </c>
      <c r="B50" s="212" t="s">
        <v>388</v>
      </c>
      <c r="C50" s="212" t="s">
        <v>2</v>
      </c>
      <c r="D50" s="226">
        <v>4</v>
      </c>
      <c r="E50" s="212" t="s">
        <v>1124</v>
      </c>
      <c r="F50" s="212" t="s">
        <v>12671</v>
      </c>
      <c r="G50" s="227" t="s">
        <v>11101</v>
      </c>
      <c r="H50" s="228">
        <v>2859</v>
      </c>
      <c r="I50" s="208">
        <v>8.5</v>
      </c>
      <c r="J50" s="211">
        <v>181185204</v>
      </c>
      <c r="K50" s="209">
        <v>40138.50332299513</v>
      </c>
      <c r="L50" s="212">
        <v>4514</v>
      </c>
      <c r="M50" s="212">
        <f>VLOOKUP(Table12[[#This Row],[ROUTE]],DEMAND!A:F,5,FALSE)</f>
        <v>4788</v>
      </c>
      <c r="N50" s="212">
        <f>VLOOKUP(Table12[[#This Row],[ROUTE]],DEMAND!A:F,6,FALSE)</f>
        <v>388</v>
      </c>
      <c r="O50" s="212">
        <f>ROUNDDOWN(Table12[[#This Row],[R-DEMAND]]/1320,0)</f>
        <v>0</v>
      </c>
      <c r="P50" s="212">
        <f>Table12[[#This Row],[ADD ACC]]*Table12[[#This Row],[RT TIME 
(777-500ER)]]</f>
        <v>0</v>
      </c>
    </row>
    <row r="51" spans="1:16" ht="15.75" customHeight="1" x14ac:dyDescent="0.25">
      <c r="A51" s="212" t="s">
        <v>14740</v>
      </c>
      <c r="B51" s="212" t="s">
        <v>385</v>
      </c>
      <c r="C51" s="212" t="s">
        <v>2</v>
      </c>
      <c r="D51" s="226">
        <v>5</v>
      </c>
      <c r="E51" s="212" t="s">
        <v>14</v>
      </c>
      <c r="F51" s="212" t="s">
        <v>12670</v>
      </c>
      <c r="G51" s="227" t="s">
        <v>384</v>
      </c>
      <c r="H51" s="228">
        <v>6976</v>
      </c>
      <c r="I51" s="208">
        <v>17.75</v>
      </c>
      <c r="J51" s="211">
        <v>239103049</v>
      </c>
      <c r="K51" s="209">
        <v>60980.119612343791</v>
      </c>
      <c r="L51" s="212">
        <v>3921</v>
      </c>
      <c r="M51" s="212">
        <f>VLOOKUP(Table12[[#This Row],[ROUTE]],DEMAND!A:F,5,FALSE)</f>
        <v>4106</v>
      </c>
      <c r="N51" s="212">
        <f>VLOOKUP(Table12[[#This Row],[ROUTE]],DEMAND!A:F,6,FALSE)</f>
        <v>806</v>
      </c>
      <c r="O51" s="212">
        <f>ROUNDDOWN(Table12[[#This Row],[R-DEMAND]]/1320,0)</f>
        <v>0</v>
      </c>
      <c r="P51" s="212">
        <f>Table12[[#This Row],[ADD ACC]]*Table12[[#This Row],[RT TIME 
(777-500ER)]]</f>
        <v>0</v>
      </c>
    </row>
    <row r="52" spans="1:16" ht="15.75" customHeight="1" x14ac:dyDescent="0.25">
      <c r="A52" s="212" t="s">
        <v>14280</v>
      </c>
      <c r="B52" s="212" t="s">
        <v>5200</v>
      </c>
      <c r="C52" s="212" t="s">
        <v>2</v>
      </c>
      <c r="D52" s="226">
        <v>3</v>
      </c>
      <c r="E52" s="212" t="s">
        <v>774</v>
      </c>
      <c r="F52" s="212" t="s">
        <v>12682</v>
      </c>
      <c r="G52" s="227" t="s">
        <v>10392</v>
      </c>
      <c r="H52" s="228">
        <v>14469</v>
      </c>
      <c r="I52" s="208">
        <v>34.5</v>
      </c>
      <c r="J52" s="211">
        <v>280152531</v>
      </c>
      <c r="K52" s="209">
        <v>144037.29100257068</v>
      </c>
      <c r="L52" s="212">
        <v>1945</v>
      </c>
      <c r="M52" s="212">
        <f>VLOOKUP(Table12[[#This Row],[ROUTE]],DEMAND!A:F,5,FALSE)</f>
        <v>2057</v>
      </c>
      <c r="N52" s="212">
        <f>VLOOKUP(Table12[[#This Row],[ROUTE]],DEMAND!A:F,6,FALSE)</f>
        <v>957</v>
      </c>
      <c r="O52" s="212">
        <f>ROUNDDOWN(Table12[[#This Row],[R-DEMAND]]/1320,0)</f>
        <v>0</v>
      </c>
      <c r="P52" s="212">
        <f>Table12[[#This Row],[ADD ACC]]*Table12[[#This Row],[RT TIME 
(777-500ER)]]</f>
        <v>0</v>
      </c>
    </row>
    <row r="53" spans="1:16" ht="15.75" customHeight="1" x14ac:dyDescent="0.25">
      <c r="A53" s="212" t="s">
        <v>14785</v>
      </c>
      <c r="B53" s="212" t="s">
        <v>383</v>
      </c>
      <c r="C53" s="212" t="s">
        <v>2</v>
      </c>
      <c r="D53" s="226">
        <v>3</v>
      </c>
      <c r="E53" s="212" t="s">
        <v>1070</v>
      </c>
      <c r="F53" s="212" t="s">
        <v>12670</v>
      </c>
      <c r="G53" s="227" t="s">
        <v>12063</v>
      </c>
      <c r="H53" s="228">
        <v>5928</v>
      </c>
      <c r="I53" s="208">
        <v>15.5</v>
      </c>
      <c r="J53" s="211">
        <v>190704361</v>
      </c>
      <c r="K53" s="209">
        <v>53448.531670403587</v>
      </c>
      <c r="L53" s="212">
        <v>3568</v>
      </c>
      <c r="M53" s="212">
        <f>VLOOKUP(Table12[[#This Row],[ROUTE]],DEMAND!A:F,5,FALSE)</f>
        <v>3688</v>
      </c>
      <c r="N53" s="212">
        <f>VLOOKUP(Table12[[#This Row],[ROUTE]],DEMAND!A:F,6,FALSE)</f>
        <v>388</v>
      </c>
      <c r="O53" s="212">
        <f>ROUNDDOWN(Table12[[#This Row],[R-DEMAND]]/1320,0)</f>
        <v>0</v>
      </c>
      <c r="P53" s="212">
        <f>Table12[[#This Row],[ADD ACC]]*Table12[[#This Row],[RT TIME 
(777-500ER)]]</f>
        <v>0</v>
      </c>
    </row>
    <row r="54" spans="1:16" ht="15.75" customHeight="1" x14ac:dyDescent="0.25">
      <c r="A54" s="212" t="s">
        <v>14270</v>
      </c>
      <c r="B54" s="212" t="s">
        <v>381</v>
      </c>
      <c r="C54" s="212" t="s">
        <v>2</v>
      </c>
      <c r="D54" s="226">
        <v>4</v>
      </c>
      <c r="E54" s="212" t="s">
        <v>4045</v>
      </c>
      <c r="F54" s="212" t="s">
        <v>12694</v>
      </c>
      <c r="G54" s="227" t="s">
        <v>13377</v>
      </c>
      <c r="H54" s="228">
        <v>9959</v>
      </c>
      <c r="I54" s="208">
        <v>24.5</v>
      </c>
      <c r="J54" s="211">
        <v>246463856</v>
      </c>
      <c r="K54" s="209">
        <v>67413.527352297591</v>
      </c>
      <c r="L54" s="212">
        <v>3656</v>
      </c>
      <c r="M54" s="212">
        <f>VLOOKUP(Table12[[#This Row],[ROUTE]],DEMAND!A:F,5,FALSE)</f>
        <v>3876</v>
      </c>
      <c r="N54" s="212">
        <f>VLOOKUP(Table12[[#This Row],[ROUTE]],DEMAND!A:F,6,FALSE)</f>
        <v>576</v>
      </c>
      <c r="O54" s="212">
        <f>ROUNDDOWN(Table12[[#This Row],[R-DEMAND]]/1320,0)</f>
        <v>0</v>
      </c>
      <c r="P54" s="212">
        <f>Table12[[#This Row],[ADD ACC]]*Table12[[#This Row],[RT TIME 
(777-500ER)]]</f>
        <v>0</v>
      </c>
    </row>
    <row r="55" spans="1:16" ht="15.75" customHeight="1" x14ac:dyDescent="0.25">
      <c r="A55" s="212" t="s">
        <v>14779</v>
      </c>
      <c r="B55" s="212" t="s">
        <v>378</v>
      </c>
      <c r="C55" s="212" t="s">
        <v>2</v>
      </c>
      <c r="D55" s="226">
        <v>4</v>
      </c>
      <c r="E55" s="212" t="s">
        <v>1070</v>
      </c>
      <c r="F55" s="212" t="s">
        <v>12670</v>
      </c>
      <c r="G55" s="227" t="s">
        <v>12071</v>
      </c>
      <c r="H55" s="228">
        <v>5500</v>
      </c>
      <c r="I55" s="208">
        <v>14.5</v>
      </c>
      <c r="J55" s="211">
        <v>203297434</v>
      </c>
      <c r="K55" s="209">
        <v>49572.649109973179</v>
      </c>
      <c r="L55" s="212">
        <v>4101</v>
      </c>
      <c r="M55" s="212">
        <f>VLOOKUP(Table12[[#This Row],[ROUTE]],DEMAND!A:F,5,FALSE)</f>
        <v>4335</v>
      </c>
      <c r="N55" s="212">
        <f>VLOOKUP(Table12[[#This Row],[ROUTE]],DEMAND!A:F,6,FALSE)</f>
        <v>1035</v>
      </c>
      <c r="O55" s="212">
        <f>ROUNDDOWN(Table12[[#This Row],[R-DEMAND]]/1320,0)</f>
        <v>0</v>
      </c>
      <c r="P55" s="212">
        <f>Table12[[#This Row],[ADD ACC]]*Table12[[#This Row],[RT TIME 
(777-500ER)]]</f>
        <v>0</v>
      </c>
    </row>
    <row r="56" spans="1:16" ht="15.75" customHeight="1" x14ac:dyDescent="0.25">
      <c r="A56" s="212" t="s">
        <v>14518</v>
      </c>
      <c r="B56" s="212" t="s">
        <v>376</v>
      </c>
      <c r="C56" s="212" t="s">
        <v>2</v>
      </c>
      <c r="D56" s="226">
        <v>5</v>
      </c>
      <c r="E56" s="212" t="s">
        <v>560</v>
      </c>
      <c r="F56" s="212" t="s">
        <v>12674</v>
      </c>
      <c r="G56" s="227" t="s">
        <v>11100</v>
      </c>
      <c r="H56" s="228">
        <v>2481</v>
      </c>
      <c r="I56" s="208">
        <v>7.75</v>
      </c>
      <c r="J56" s="211">
        <v>199505245</v>
      </c>
      <c r="K56" s="209">
        <v>75771.076718571974</v>
      </c>
      <c r="L56" s="212">
        <v>2633</v>
      </c>
      <c r="M56" s="212">
        <f>VLOOKUP(Table12[[#This Row],[ROUTE]],DEMAND!A:F,5,FALSE)</f>
        <v>2784</v>
      </c>
      <c r="N56" s="212">
        <f>VLOOKUP(Table12[[#This Row],[ROUTE]],DEMAND!A:F,6,FALSE)</f>
        <v>584</v>
      </c>
      <c r="O56" s="212">
        <f>ROUNDDOWN(Table12[[#This Row],[R-DEMAND]]/1320,0)</f>
        <v>0</v>
      </c>
      <c r="P56" s="212">
        <f>Table12[[#This Row],[ADD ACC]]*Table12[[#This Row],[RT TIME 
(777-500ER)]]</f>
        <v>0</v>
      </c>
    </row>
    <row r="57" spans="1:16" ht="15.75" customHeight="1" x14ac:dyDescent="0.25">
      <c r="A57" s="212" t="s">
        <v>14859</v>
      </c>
      <c r="B57" s="212" t="s">
        <v>373</v>
      </c>
      <c r="C57" s="212" t="s">
        <v>2</v>
      </c>
      <c r="D57" s="226">
        <v>3</v>
      </c>
      <c r="E57" s="212" t="s">
        <v>717</v>
      </c>
      <c r="F57" s="212" t="s">
        <v>12670</v>
      </c>
      <c r="G57" s="227" t="s">
        <v>12093</v>
      </c>
      <c r="H57" s="228">
        <v>8821</v>
      </c>
      <c r="I57" s="208">
        <v>22</v>
      </c>
      <c r="J57" s="211">
        <v>230438422</v>
      </c>
      <c r="K57" s="209">
        <v>60088.245632333768</v>
      </c>
      <c r="L57" s="212">
        <v>3835</v>
      </c>
      <c r="M57" s="212">
        <f>VLOOKUP(Table12[[#This Row],[ROUTE]],DEMAND!A:F,5,FALSE)</f>
        <v>3991</v>
      </c>
      <c r="N57" s="212">
        <f>VLOOKUP(Table12[[#This Row],[ROUTE]],DEMAND!A:F,6,FALSE)</f>
        <v>691</v>
      </c>
      <c r="O57" s="212">
        <f>ROUNDDOWN(Table12[[#This Row],[R-DEMAND]]/1320,0)</f>
        <v>0</v>
      </c>
      <c r="P57" s="212">
        <f>Table12[[#This Row],[ADD ACC]]*Table12[[#This Row],[RT TIME 
(777-500ER)]]</f>
        <v>0</v>
      </c>
    </row>
    <row r="58" spans="1:16" ht="15.75" customHeight="1" x14ac:dyDescent="0.25">
      <c r="A58" s="212" t="s">
        <v>14537</v>
      </c>
      <c r="B58" s="212" t="s">
        <v>5587</v>
      </c>
      <c r="C58" s="212" t="s">
        <v>2</v>
      </c>
      <c r="D58" s="226">
        <v>4</v>
      </c>
      <c r="E58" s="212" t="s">
        <v>1427</v>
      </c>
      <c r="F58" s="212" t="s">
        <v>12674</v>
      </c>
      <c r="G58" s="227" t="s">
        <v>11099</v>
      </c>
      <c r="H58" s="228">
        <v>2095</v>
      </c>
      <c r="I58" s="208">
        <v>6.75</v>
      </c>
      <c r="J58" s="211">
        <v>169771102</v>
      </c>
      <c r="K58" s="209">
        <v>64798.130534351149</v>
      </c>
      <c r="L58" s="212">
        <v>2620</v>
      </c>
      <c r="M58" s="212">
        <f>VLOOKUP(Table12[[#This Row],[ROUTE]],DEMAND!A:F,5,FALSE)</f>
        <v>2736</v>
      </c>
      <c r="N58" s="212">
        <f>VLOOKUP(Table12[[#This Row],[ROUTE]],DEMAND!A:F,6,FALSE)</f>
        <v>536</v>
      </c>
      <c r="O58" s="212">
        <f>ROUNDDOWN(Table12[[#This Row],[R-DEMAND]]/1320,0)</f>
        <v>0</v>
      </c>
      <c r="P58" s="212">
        <f>Table12[[#This Row],[ADD ACC]]*Table12[[#This Row],[RT TIME 
(777-500ER)]]</f>
        <v>0</v>
      </c>
    </row>
    <row r="59" spans="1:16" ht="15.75" customHeight="1" x14ac:dyDescent="0.25">
      <c r="A59" s="212" t="s">
        <v>14766</v>
      </c>
      <c r="B59" s="212" t="s">
        <v>5489</v>
      </c>
      <c r="C59" s="212" t="s">
        <v>2</v>
      </c>
      <c r="D59" s="226">
        <v>4</v>
      </c>
      <c r="E59" s="212" t="s">
        <v>14</v>
      </c>
      <c r="F59" s="212" t="s">
        <v>12670</v>
      </c>
      <c r="G59" s="227" t="s">
        <v>11098</v>
      </c>
      <c r="H59" s="228">
        <v>6065</v>
      </c>
      <c r="I59" s="208">
        <v>15.75</v>
      </c>
      <c r="J59" s="211">
        <v>204127405</v>
      </c>
      <c r="K59" s="209">
        <v>62808.43230769231</v>
      </c>
      <c r="L59" s="212">
        <v>3250</v>
      </c>
      <c r="M59" s="212">
        <f>VLOOKUP(Table12[[#This Row],[ROUTE]],DEMAND!A:F,5,FALSE)</f>
        <v>3436</v>
      </c>
      <c r="N59" s="212">
        <f>VLOOKUP(Table12[[#This Row],[ROUTE]],DEMAND!A:F,6,FALSE)</f>
        <v>1236</v>
      </c>
      <c r="O59" s="212">
        <f>ROUNDDOWN(Table12[[#This Row],[R-DEMAND]]/1320,0)</f>
        <v>0</v>
      </c>
      <c r="P59" s="212">
        <f>Table12[[#This Row],[ADD ACC]]*Table12[[#This Row],[RT TIME 
(777-500ER)]]</f>
        <v>0</v>
      </c>
    </row>
    <row r="60" spans="1:16" ht="15.75" customHeight="1" x14ac:dyDescent="0.25">
      <c r="A60" s="212" t="s">
        <v>14699</v>
      </c>
      <c r="B60" s="212" t="s">
        <v>368</v>
      </c>
      <c r="C60" s="212" t="s">
        <v>2</v>
      </c>
      <c r="D60" s="226">
        <v>3</v>
      </c>
      <c r="E60" s="212" t="s">
        <v>1710</v>
      </c>
      <c r="F60" s="212" t="s">
        <v>12670</v>
      </c>
      <c r="G60" s="227" t="s">
        <v>12075</v>
      </c>
      <c r="H60" s="228">
        <v>5738</v>
      </c>
      <c r="I60" s="208">
        <v>15</v>
      </c>
      <c r="J60" s="211">
        <v>195083897</v>
      </c>
      <c r="K60" s="209">
        <v>47627.904541015625</v>
      </c>
      <c r="L60" s="212">
        <v>4096</v>
      </c>
      <c r="M60" s="212">
        <f>VLOOKUP(Table12[[#This Row],[ROUTE]],DEMAND!A:F,5,FALSE)</f>
        <v>4289</v>
      </c>
      <c r="N60" s="212">
        <f>VLOOKUP(Table12[[#This Row],[ROUTE]],DEMAND!A:F,6,FALSE)</f>
        <v>989</v>
      </c>
      <c r="O60" s="212">
        <f>ROUNDDOWN(Table12[[#This Row],[R-DEMAND]]/1320,0)</f>
        <v>0</v>
      </c>
      <c r="P60" s="212">
        <f>Table12[[#This Row],[ADD ACC]]*Table12[[#This Row],[RT TIME 
(777-500ER)]]</f>
        <v>0</v>
      </c>
    </row>
    <row r="61" spans="1:16" ht="15.75" customHeight="1" x14ac:dyDescent="0.25">
      <c r="A61" s="212" t="s">
        <v>14760</v>
      </c>
      <c r="B61" s="212" t="s">
        <v>366</v>
      </c>
      <c r="C61" s="212" t="s">
        <v>2</v>
      </c>
      <c r="D61" s="226">
        <v>3</v>
      </c>
      <c r="E61" s="212" t="s">
        <v>14</v>
      </c>
      <c r="F61" s="212" t="s">
        <v>12670</v>
      </c>
      <c r="G61" s="227" t="s">
        <v>12002</v>
      </c>
      <c r="H61" s="228">
        <v>6007</v>
      </c>
      <c r="I61" s="208">
        <v>15.5</v>
      </c>
      <c r="J61" s="211">
        <v>196502005</v>
      </c>
      <c r="K61" s="209">
        <v>64132.508159268931</v>
      </c>
      <c r="L61" s="212">
        <v>3064</v>
      </c>
      <c r="M61" s="212">
        <f>VLOOKUP(Table12[[#This Row],[ROUTE]],DEMAND!A:F,5,FALSE)</f>
        <v>3188</v>
      </c>
      <c r="N61" s="212">
        <f>VLOOKUP(Table12[[#This Row],[ROUTE]],DEMAND!A:F,6,FALSE)</f>
        <v>988</v>
      </c>
      <c r="O61" s="212">
        <f>ROUNDDOWN(Table12[[#This Row],[R-DEMAND]]/1320,0)</f>
        <v>0</v>
      </c>
      <c r="P61" s="212">
        <f>Table12[[#This Row],[ADD ACC]]*Table12[[#This Row],[RT TIME 
(777-500ER)]]</f>
        <v>0</v>
      </c>
    </row>
    <row r="62" spans="1:16" ht="15.75" customHeight="1" x14ac:dyDescent="0.25">
      <c r="A62" s="212" t="s">
        <v>14896</v>
      </c>
      <c r="B62" s="212" t="s">
        <v>5608</v>
      </c>
      <c r="C62" s="212" t="s">
        <v>2</v>
      </c>
      <c r="D62" s="226">
        <v>4</v>
      </c>
      <c r="E62" s="212" t="s">
        <v>258</v>
      </c>
      <c r="F62" s="212" t="s">
        <v>12670</v>
      </c>
      <c r="G62" s="227" t="s">
        <v>11097</v>
      </c>
      <c r="H62" s="228">
        <v>6919</v>
      </c>
      <c r="I62" s="208">
        <v>17.75</v>
      </c>
      <c r="J62" s="211">
        <v>219794164</v>
      </c>
      <c r="K62" s="209">
        <v>72016.436435124502</v>
      </c>
      <c r="L62" s="212">
        <v>3052</v>
      </c>
      <c r="M62" s="212">
        <f>VLOOKUP(Table12[[#This Row],[ROUTE]],DEMAND!A:F,5,FALSE)</f>
        <v>3155</v>
      </c>
      <c r="N62" s="212">
        <f>VLOOKUP(Table12[[#This Row],[ROUTE]],DEMAND!A:F,6,FALSE)</f>
        <v>955</v>
      </c>
      <c r="O62" s="212">
        <f>ROUNDDOWN(Table12[[#This Row],[R-DEMAND]]/1320,0)</f>
        <v>0</v>
      </c>
      <c r="P62" s="212">
        <f>Table12[[#This Row],[ADD ACC]]*Table12[[#This Row],[RT TIME 
(777-500ER)]]</f>
        <v>0</v>
      </c>
    </row>
    <row r="63" spans="1:16" ht="15.75" customHeight="1" x14ac:dyDescent="0.25">
      <c r="A63" s="212" t="s">
        <v>14761</v>
      </c>
      <c r="B63" s="212" t="s">
        <v>361</v>
      </c>
      <c r="C63" s="212" t="s">
        <v>2</v>
      </c>
      <c r="D63" s="226">
        <v>4</v>
      </c>
      <c r="E63" s="212" t="s">
        <v>14</v>
      </c>
      <c r="F63" s="212" t="s">
        <v>12670</v>
      </c>
      <c r="G63" s="227" t="s">
        <v>11096</v>
      </c>
      <c r="H63" s="228">
        <v>6012</v>
      </c>
      <c r="I63" s="208">
        <v>15.5</v>
      </c>
      <c r="J63" s="211">
        <v>211830694</v>
      </c>
      <c r="K63" s="209">
        <v>61011.14458525346</v>
      </c>
      <c r="L63" s="212">
        <v>3472</v>
      </c>
      <c r="M63" s="212">
        <f>VLOOKUP(Table12[[#This Row],[ROUTE]],DEMAND!A:F,5,FALSE)</f>
        <v>3623</v>
      </c>
      <c r="N63" s="212">
        <f>VLOOKUP(Table12[[#This Row],[ROUTE]],DEMAND!A:F,6,FALSE)</f>
        <v>323</v>
      </c>
      <c r="O63" s="212">
        <f>ROUNDDOWN(Table12[[#This Row],[R-DEMAND]]/1320,0)</f>
        <v>0</v>
      </c>
      <c r="P63" s="212">
        <f>Table12[[#This Row],[ADD ACC]]*Table12[[#This Row],[RT TIME 
(777-500ER)]]</f>
        <v>0</v>
      </c>
    </row>
    <row r="64" spans="1:16" ht="15.75" customHeight="1" x14ac:dyDescent="0.25">
      <c r="A64" s="212" t="s">
        <v>14250</v>
      </c>
      <c r="B64" s="212" t="s">
        <v>5021</v>
      </c>
      <c r="C64" s="212" t="s">
        <v>2</v>
      </c>
      <c r="D64" s="226">
        <v>3</v>
      </c>
      <c r="E64" s="212" t="s">
        <v>860</v>
      </c>
      <c r="F64" s="212" t="s">
        <v>12694</v>
      </c>
      <c r="G64" s="227" t="s">
        <v>13183</v>
      </c>
      <c r="H64" s="228">
        <v>11177</v>
      </c>
      <c r="I64" s="208">
        <v>27.25</v>
      </c>
      <c r="J64" s="211">
        <v>242701376</v>
      </c>
      <c r="K64" s="209">
        <v>75490.319129082432</v>
      </c>
      <c r="L64" s="212">
        <v>3215</v>
      </c>
      <c r="M64" s="212">
        <f>VLOOKUP(Table12[[#This Row],[ROUTE]],DEMAND!A:F,5,FALSE)</f>
        <v>3387</v>
      </c>
      <c r="N64" s="212">
        <f>VLOOKUP(Table12[[#This Row],[ROUTE]],DEMAND!A:F,6,FALSE)</f>
        <v>1187</v>
      </c>
      <c r="O64" s="212">
        <f>ROUNDDOWN(Table12[[#This Row],[R-DEMAND]]/1320,0)</f>
        <v>0</v>
      </c>
      <c r="P64" s="212">
        <f>Table12[[#This Row],[ADD ACC]]*Table12[[#This Row],[RT TIME 
(777-500ER)]]</f>
        <v>0</v>
      </c>
    </row>
    <row r="65" spans="1:16" ht="15.75" customHeight="1" x14ac:dyDescent="0.25">
      <c r="A65" s="212" t="s">
        <v>14335</v>
      </c>
      <c r="B65" s="212" t="s">
        <v>5732</v>
      </c>
      <c r="C65" s="212" t="s">
        <v>2</v>
      </c>
      <c r="D65" s="226">
        <v>5</v>
      </c>
      <c r="E65" s="212" t="s">
        <v>647</v>
      </c>
      <c r="F65" s="212" t="s">
        <v>12688</v>
      </c>
      <c r="G65" s="227" t="s">
        <v>13358</v>
      </c>
      <c r="H65" s="228">
        <v>8394</v>
      </c>
      <c r="I65" s="208">
        <v>21</v>
      </c>
      <c r="J65" s="211">
        <v>253687404</v>
      </c>
      <c r="K65" s="209">
        <v>96276.054648956357</v>
      </c>
      <c r="L65" s="212">
        <v>2635</v>
      </c>
      <c r="M65" s="212">
        <f>VLOOKUP(Table12[[#This Row],[ROUTE]],DEMAND!A:F,5,FALSE)</f>
        <v>2786</v>
      </c>
      <c r="N65" s="212">
        <f>VLOOKUP(Table12[[#This Row],[ROUTE]],DEMAND!A:F,6,FALSE)</f>
        <v>586</v>
      </c>
      <c r="O65" s="212">
        <f>ROUNDDOWN(Table12[[#This Row],[R-DEMAND]]/1320,0)</f>
        <v>0</v>
      </c>
      <c r="P65" s="212">
        <f>Table12[[#This Row],[ADD ACC]]*Table12[[#This Row],[RT TIME 
(777-500ER)]]</f>
        <v>0</v>
      </c>
    </row>
    <row r="66" spans="1:16" ht="15.75" customHeight="1" x14ac:dyDescent="0.25">
      <c r="A66" s="212" t="s">
        <v>15049</v>
      </c>
      <c r="B66" s="212" t="s">
        <v>359</v>
      </c>
      <c r="C66" s="212" t="s">
        <v>2</v>
      </c>
      <c r="D66" s="226">
        <v>3</v>
      </c>
      <c r="E66" s="212" t="s">
        <v>608</v>
      </c>
      <c r="F66" s="212" t="s">
        <v>12671</v>
      </c>
      <c r="G66" s="227" t="s">
        <v>11676</v>
      </c>
      <c r="H66" s="228">
        <v>4256</v>
      </c>
      <c r="I66" s="208">
        <v>11.75</v>
      </c>
      <c r="J66" s="211">
        <v>184660195</v>
      </c>
      <c r="K66" s="209">
        <v>44453.585700529613</v>
      </c>
      <c r="L66" s="212">
        <v>4154</v>
      </c>
      <c r="M66" s="212">
        <f>VLOOKUP(Table12[[#This Row],[ROUTE]],DEMAND!A:F,5,FALSE)</f>
        <v>4433</v>
      </c>
      <c r="N66" s="212">
        <f>VLOOKUP(Table12[[#This Row],[ROUTE]],DEMAND!A:F,6,FALSE)</f>
        <v>1133</v>
      </c>
      <c r="O66" s="212">
        <f>ROUNDDOWN(Table12[[#This Row],[R-DEMAND]]/1320,0)</f>
        <v>0</v>
      </c>
      <c r="P66" s="212">
        <f>Table12[[#This Row],[ADD ACC]]*Table12[[#This Row],[RT TIME 
(777-500ER)]]</f>
        <v>0</v>
      </c>
    </row>
    <row r="67" spans="1:16" ht="15.75" customHeight="1" x14ac:dyDescent="0.25">
      <c r="A67" s="212" t="s">
        <v>14241</v>
      </c>
      <c r="B67" s="212" t="s">
        <v>5485</v>
      </c>
      <c r="C67" s="212" t="s">
        <v>11122</v>
      </c>
      <c r="D67" s="226">
        <v>4</v>
      </c>
      <c r="E67" s="212" t="s">
        <v>517</v>
      </c>
      <c r="F67" s="212" t="s">
        <v>12694</v>
      </c>
      <c r="G67" s="227" t="s">
        <v>13160</v>
      </c>
      <c r="H67" s="228">
        <v>11300</v>
      </c>
      <c r="I67" s="208">
        <v>27.5</v>
      </c>
      <c r="J67" s="211">
        <v>256497569</v>
      </c>
      <c r="K67" s="209">
        <v>70485.729321242106</v>
      </c>
      <c r="L67" s="212">
        <v>3639</v>
      </c>
      <c r="M67" s="212">
        <f>VLOOKUP(Table12[[#This Row],[ROUTE]],DEMAND!A:F,5,FALSE)</f>
        <v>3799</v>
      </c>
      <c r="N67" s="212">
        <f>VLOOKUP(Table12[[#This Row],[ROUTE]],DEMAND!A:F,6,FALSE)</f>
        <v>499</v>
      </c>
      <c r="O67" s="212">
        <f>ROUNDDOWN(Table12[[#This Row],[R-DEMAND]]/1320,0)</f>
        <v>0</v>
      </c>
      <c r="P67" s="212">
        <f>Table12[[#This Row],[ADD ACC]]*Table12[[#This Row],[RT TIME 
(777-500ER)]]</f>
        <v>0</v>
      </c>
    </row>
    <row r="68" spans="1:16" ht="15.75" customHeight="1" x14ac:dyDescent="0.25">
      <c r="A68" s="212" t="s">
        <v>14283</v>
      </c>
      <c r="B68" s="212" t="s">
        <v>5262</v>
      </c>
      <c r="C68" s="212" t="s">
        <v>2</v>
      </c>
      <c r="D68" s="226">
        <v>3</v>
      </c>
      <c r="E68" s="212" t="s">
        <v>774</v>
      </c>
      <c r="F68" s="212" t="s">
        <v>12682</v>
      </c>
      <c r="G68" s="227" t="s">
        <v>12048</v>
      </c>
      <c r="H68" s="228">
        <v>12670</v>
      </c>
      <c r="I68" s="208">
        <v>30.5</v>
      </c>
      <c r="J68" s="211">
        <v>264162629</v>
      </c>
      <c r="K68" s="209">
        <v>98494.641685309471</v>
      </c>
      <c r="L68" s="212">
        <v>2682</v>
      </c>
      <c r="M68" s="212">
        <f>VLOOKUP(Table12[[#This Row],[ROUTE]],DEMAND!A:F,5,FALSE)</f>
        <v>2772</v>
      </c>
      <c r="N68" s="212">
        <f>VLOOKUP(Table12[[#This Row],[ROUTE]],DEMAND!A:F,6,FALSE)</f>
        <v>572</v>
      </c>
      <c r="O68" s="212">
        <f>ROUNDDOWN(Table12[[#This Row],[R-DEMAND]]/1320,0)</f>
        <v>0</v>
      </c>
      <c r="P68" s="212">
        <f>Table12[[#This Row],[ADD ACC]]*Table12[[#This Row],[RT TIME 
(777-500ER)]]</f>
        <v>0</v>
      </c>
    </row>
    <row r="69" spans="1:16" ht="15.75" customHeight="1" x14ac:dyDescent="0.25">
      <c r="A69" s="212" t="s">
        <v>14907</v>
      </c>
      <c r="B69" s="212" t="s">
        <v>357</v>
      </c>
      <c r="C69" s="212" t="s">
        <v>2</v>
      </c>
      <c r="D69" s="226">
        <v>3</v>
      </c>
      <c r="E69" s="212" t="s">
        <v>332</v>
      </c>
      <c r="F69" s="212" t="s">
        <v>12670</v>
      </c>
      <c r="G69" s="227" t="s">
        <v>12086</v>
      </c>
      <c r="H69" s="228">
        <v>6488</v>
      </c>
      <c r="I69" s="208">
        <v>16.75</v>
      </c>
      <c r="J69" s="211">
        <v>199492878</v>
      </c>
      <c r="K69" s="209">
        <v>63190.648717136522</v>
      </c>
      <c r="L69" s="212">
        <v>3157</v>
      </c>
      <c r="M69" s="212">
        <f>VLOOKUP(Table12[[#This Row],[ROUTE]],DEMAND!A:F,5,FALSE)</f>
        <v>3338</v>
      </c>
      <c r="N69" s="212">
        <f>VLOOKUP(Table12[[#This Row],[ROUTE]],DEMAND!A:F,6,FALSE)</f>
        <v>1138</v>
      </c>
      <c r="O69" s="212">
        <f>ROUNDDOWN(Table12[[#This Row],[R-DEMAND]]/1320,0)</f>
        <v>0</v>
      </c>
      <c r="P69" s="212">
        <f>Table12[[#This Row],[ADD ACC]]*Table12[[#This Row],[RT TIME 
(777-500ER)]]</f>
        <v>0</v>
      </c>
    </row>
    <row r="70" spans="1:16" ht="15.75" customHeight="1" x14ac:dyDescent="0.25">
      <c r="A70" s="212" t="s">
        <v>14787</v>
      </c>
      <c r="B70" s="212" t="s">
        <v>355</v>
      </c>
      <c r="C70" s="212" t="s">
        <v>2</v>
      </c>
      <c r="D70" s="226">
        <v>3</v>
      </c>
      <c r="E70" s="212" t="s">
        <v>1070</v>
      </c>
      <c r="F70" s="212" t="s">
        <v>12670</v>
      </c>
      <c r="G70" s="227" t="s">
        <v>12069</v>
      </c>
      <c r="H70" s="228">
        <v>6047</v>
      </c>
      <c r="I70" s="208">
        <v>15.75</v>
      </c>
      <c r="J70" s="211">
        <v>199080424</v>
      </c>
      <c r="K70" s="209">
        <v>52375.802157327016</v>
      </c>
      <c r="L70" s="212">
        <v>3801</v>
      </c>
      <c r="M70" s="212">
        <f>VLOOKUP(Table12[[#This Row],[ROUTE]],DEMAND!A:F,5,FALSE)</f>
        <v>3980</v>
      </c>
      <c r="N70" s="212">
        <f>VLOOKUP(Table12[[#This Row],[ROUTE]],DEMAND!A:F,6,FALSE)</f>
        <v>680</v>
      </c>
      <c r="O70" s="212">
        <f>ROUNDDOWN(Table12[[#This Row],[R-DEMAND]]/1320,0)</f>
        <v>0</v>
      </c>
      <c r="P70" s="212">
        <f>Table12[[#This Row],[ADD ACC]]*Table12[[#This Row],[RT TIME 
(777-500ER)]]</f>
        <v>0</v>
      </c>
    </row>
    <row r="71" spans="1:16" ht="15.75" customHeight="1" x14ac:dyDescent="0.25">
      <c r="A71" s="212" t="s">
        <v>14502</v>
      </c>
      <c r="B71" s="212" t="s">
        <v>5658</v>
      </c>
      <c r="C71" s="212" t="s">
        <v>2</v>
      </c>
      <c r="D71" s="226">
        <v>4</v>
      </c>
      <c r="E71" s="212" t="s">
        <v>876</v>
      </c>
      <c r="F71" s="212" t="s">
        <v>12674</v>
      </c>
      <c r="G71" s="227" t="s">
        <v>11095</v>
      </c>
      <c r="H71" s="228">
        <v>1581</v>
      </c>
      <c r="I71" s="208">
        <v>5.75</v>
      </c>
      <c r="J71" s="211">
        <v>171699593</v>
      </c>
      <c r="K71" s="209">
        <v>64572.994734862732</v>
      </c>
      <c r="L71" s="212">
        <v>2659</v>
      </c>
      <c r="M71" s="212">
        <f>VLOOKUP(Table12[[#This Row],[ROUTE]],DEMAND!A:F,5,FALSE)</f>
        <v>2776</v>
      </c>
      <c r="N71" s="212">
        <f>VLOOKUP(Table12[[#This Row],[ROUTE]],DEMAND!A:F,6,FALSE)</f>
        <v>576</v>
      </c>
      <c r="O71" s="212">
        <f>ROUNDDOWN(Table12[[#This Row],[R-DEMAND]]/1320,0)</f>
        <v>0</v>
      </c>
      <c r="P71" s="212">
        <f>Table12[[#This Row],[ADD ACC]]*Table12[[#This Row],[RT TIME 
(777-500ER)]]</f>
        <v>0</v>
      </c>
    </row>
    <row r="72" spans="1:16" ht="15.75" customHeight="1" x14ac:dyDescent="0.25">
      <c r="A72" s="212" t="s">
        <v>15076</v>
      </c>
      <c r="B72" s="212" t="s">
        <v>353</v>
      </c>
      <c r="C72" s="212" t="s">
        <v>2</v>
      </c>
      <c r="D72" s="226">
        <v>4</v>
      </c>
      <c r="E72" s="212" t="s">
        <v>926</v>
      </c>
      <c r="F72" s="212" t="s">
        <v>12671</v>
      </c>
      <c r="G72" s="227" t="s">
        <v>11094</v>
      </c>
      <c r="H72" s="228">
        <v>10109</v>
      </c>
      <c r="I72" s="208">
        <v>24.75</v>
      </c>
      <c r="J72" s="211">
        <v>246704440</v>
      </c>
      <c r="K72" s="209">
        <v>57200.194760027822</v>
      </c>
      <c r="L72" s="212">
        <v>4313</v>
      </c>
      <c r="M72" s="212">
        <f>VLOOKUP(Table12[[#This Row],[ROUTE]],DEMAND!A:F,5,FALSE)</f>
        <v>4545</v>
      </c>
      <c r="N72" s="212">
        <f>VLOOKUP(Table12[[#This Row],[ROUTE]],DEMAND!A:F,6,FALSE)</f>
        <v>1245</v>
      </c>
      <c r="O72" s="212">
        <f>ROUNDDOWN(Table12[[#This Row],[R-DEMAND]]/1320,0)</f>
        <v>0</v>
      </c>
      <c r="P72" s="212">
        <f>Table12[[#This Row],[ADD ACC]]*Table12[[#This Row],[RT TIME 
(777-500ER)]]</f>
        <v>0</v>
      </c>
    </row>
    <row r="73" spans="1:16" ht="15.75" customHeight="1" x14ac:dyDescent="0.25">
      <c r="A73" s="212" t="s">
        <v>14811</v>
      </c>
      <c r="B73" s="212" t="s">
        <v>349</v>
      </c>
      <c r="C73" s="212" t="s">
        <v>2</v>
      </c>
      <c r="D73" s="226">
        <v>4</v>
      </c>
      <c r="E73" s="212" t="s">
        <v>142</v>
      </c>
      <c r="F73" s="212" t="s">
        <v>12670</v>
      </c>
      <c r="G73" s="227" t="s">
        <v>11093</v>
      </c>
      <c r="H73" s="228">
        <v>6965</v>
      </c>
      <c r="I73" s="208">
        <v>17.75</v>
      </c>
      <c r="J73" s="211">
        <v>226325644</v>
      </c>
      <c r="K73" s="209">
        <v>77508.782191780818</v>
      </c>
      <c r="L73" s="212">
        <v>2920</v>
      </c>
      <c r="M73" s="212">
        <f>VLOOKUP(Table12[[#This Row],[ROUTE]],DEMAND!A:F,5,FALSE)</f>
        <v>3077</v>
      </c>
      <c r="N73" s="212">
        <f>VLOOKUP(Table12[[#This Row],[ROUTE]],DEMAND!A:F,6,FALSE)</f>
        <v>877</v>
      </c>
      <c r="O73" s="212">
        <f>ROUNDDOWN(Table12[[#This Row],[R-DEMAND]]/1320,0)</f>
        <v>0</v>
      </c>
      <c r="P73" s="212">
        <f>Table12[[#This Row],[ADD ACC]]*Table12[[#This Row],[RT TIME 
(777-500ER)]]</f>
        <v>0</v>
      </c>
    </row>
    <row r="74" spans="1:16" ht="15.75" customHeight="1" x14ac:dyDescent="0.25">
      <c r="A74" s="212" t="s">
        <v>14753</v>
      </c>
      <c r="B74" s="212" t="s">
        <v>347</v>
      </c>
      <c r="C74" s="212" t="s">
        <v>2</v>
      </c>
      <c r="D74" s="226">
        <v>5</v>
      </c>
      <c r="E74" s="212" t="s">
        <v>14</v>
      </c>
      <c r="F74" s="212" t="s">
        <v>12670</v>
      </c>
      <c r="G74" s="227" t="s">
        <v>11092</v>
      </c>
      <c r="H74" s="228">
        <v>5760</v>
      </c>
      <c r="I74" s="208">
        <v>15</v>
      </c>
      <c r="J74" s="211">
        <v>216604861</v>
      </c>
      <c r="K74" s="209">
        <v>59214.013395297974</v>
      </c>
      <c r="L74" s="212">
        <v>3658</v>
      </c>
      <c r="M74" s="212">
        <f>VLOOKUP(Table12[[#This Row],[ROUTE]],DEMAND!A:F,5,FALSE)</f>
        <v>3818</v>
      </c>
      <c r="N74" s="212">
        <f>VLOOKUP(Table12[[#This Row],[ROUTE]],DEMAND!A:F,6,FALSE)</f>
        <v>518</v>
      </c>
      <c r="O74" s="212">
        <f>ROUNDDOWN(Table12[[#This Row],[R-DEMAND]]/1320,0)</f>
        <v>0</v>
      </c>
      <c r="P74" s="212">
        <f>Table12[[#This Row],[ADD ACC]]*Table12[[#This Row],[RT TIME 
(777-500ER)]]</f>
        <v>0</v>
      </c>
    </row>
    <row r="75" spans="1:16" ht="15.75" customHeight="1" x14ac:dyDescent="0.25">
      <c r="A75" s="212" t="s">
        <v>14463</v>
      </c>
      <c r="B75" s="212" t="s">
        <v>5616</v>
      </c>
      <c r="C75" s="212" t="s">
        <v>2</v>
      </c>
      <c r="D75" s="226">
        <v>4</v>
      </c>
      <c r="E75" s="212" t="s">
        <v>1749</v>
      </c>
      <c r="F75" s="212" t="s">
        <v>12688</v>
      </c>
      <c r="G75" s="227" t="s">
        <v>13229</v>
      </c>
      <c r="H75" s="228">
        <v>10053</v>
      </c>
      <c r="I75" s="208">
        <v>24.75</v>
      </c>
      <c r="J75" s="211">
        <v>250951462</v>
      </c>
      <c r="K75" s="209">
        <v>77144.624039348288</v>
      </c>
      <c r="L75" s="212">
        <v>3253</v>
      </c>
      <c r="M75" s="212">
        <f>VLOOKUP(Table12[[#This Row],[ROUTE]],DEMAND!A:F,5,FALSE)</f>
        <v>3363</v>
      </c>
      <c r="N75" s="212">
        <f>VLOOKUP(Table12[[#This Row],[ROUTE]],DEMAND!A:F,6,FALSE)</f>
        <v>1163</v>
      </c>
      <c r="O75" s="212">
        <f>ROUNDDOWN(Table12[[#This Row],[R-DEMAND]]/1320,0)</f>
        <v>0</v>
      </c>
      <c r="P75" s="212">
        <f>Table12[[#This Row],[ADD ACC]]*Table12[[#This Row],[RT TIME 
(777-500ER)]]</f>
        <v>0</v>
      </c>
    </row>
    <row r="76" spans="1:16" ht="15.75" customHeight="1" x14ac:dyDescent="0.25">
      <c r="A76" s="212" t="s">
        <v>14263</v>
      </c>
      <c r="B76" s="212" t="s">
        <v>4738</v>
      </c>
      <c r="C76" s="212" t="s">
        <v>2</v>
      </c>
      <c r="D76" s="226">
        <v>3</v>
      </c>
      <c r="E76" s="212" t="s">
        <v>714</v>
      </c>
      <c r="F76" s="212" t="s">
        <v>12694</v>
      </c>
      <c r="G76" s="227" t="s">
        <v>13241</v>
      </c>
      <c r="H76" s="228">
        <v>12495</v>
      </c>
      <c r="I76" s="208">
        <v>30.25</v>
      </c>
      <c r="J76" s="211">
        <v>252550492</v>
      </c>
      <c r="K76" s="209">
        <v>76184.160482654595</v>
      </c>
      <c r="L76" s="212">
        <v>3315</v>
      </c>
      <c r="M76" s="212">
        <f>VLOOKUP(Table12[[#This Row],[ROUTE]],DEMAND!A:F,5,FALSE)</f>
        <v>3481</v>
      </c>
      <c r="N76" s="212">
        <f>VLOOKUP(Table12[[#This Row],[ROUTE]],DEMAND!A:F,6,FALSE)</f>
        <v>1281</v>
      </c>
      <c r="O76" s="212">
        <f>ROUNDDOWN(Table12[[#This Row],[R-DEMAND]]/1320,0)</f>
        <v>0</v>
      </c>
      <c r="P76" s="212">
        <f>Table12[[#This Row],[ADD ACC]]*Table12[[#This Row],[RT TIME 
(777-500ER)]]</f>
        <v>0</v>
      </c>
    </row>
    <row r="77" spans="1:16" ht="15.75" customHeight="1" x14ac:dyDescent="0.25">
      <c r="A77" s="212" t="s">
        <v>14324</v>
      </c>
      <c r="B77" s="212" t="s">
        <v>5589</v>
      </c>
      <c r="C77" s="212" t="s">
        <v>2</v>
      </c>
      <c r="D77" s="226">
        <v>4</v>
      </c>
      <c r="E77" s="212" t="s">
        <v>647</v>
      </c>
      <c r="F77" s="212" t="s">
        <v>12688</v>
      </c>
      <c r="G77" s="227" t="s">
        <v>13328</v>
      </c>
      <c r="H77" s="228">
        <v>8193</v>
      </c>
      <c r="I77" s="208">
        <v>20.5</v>
      </c>
      <c r="J77" s="211">
        <v>231917588</v>
      </c>
      <c r="K77" s="209">
        <v>100137.12780656305</v>
      </c>
      <c r="L77" s="212">
        <v>2316</v>
      </c>
      <c r="M77" s="212">
        <f>VLOOKUP(Table12[[#This Row],[ROUTE]],DEMAND!A:F,5,FALSE)</f>
        <v>2464</v>
      </c>
      <c r="N77" s="212">
        <f>VLOOKUP(Table12[[#This Row],[ROUTE]],DEMAND!A:F,6,FALSE)</f>
        <v>264</v>
      </c>
      <c r="O77" s="212">
        <f>ROUNDDOWN(Table12[[#This Row],[R-DEMAND]]/1320,0)</f>
        <v>0</v>
      </c>
      <c r="P77" s="212">
        <f>Table12[[#This Row],[ADD ACC]]*Table12[[#This Row],[RT TIME 
(777-500ER)]]</f>
        <v>0</v>
      </c>
    </row>
    <row r="78" spans="1:16" ht="15.75" customHeight="1" x14ac:dyDescent="0.25">
      <c r="A78" s="212" t="s">
        <v>14698</v>
      </c>
      <c r="B78" s="212" t="s">
        <v>343</v>
      </c>
      <c r="C78" s="212" t="s">
        <v>2</v>
      </c>
      <c r="D78" s="226">
        <v>3</v>
      </c>
      <c r="E78" s="212" t="s">
        <v>1710</v>
      </c>
      <c r="F78" s="212" t="s">
        <v>12670</v>
      </c>
      <c r="G78" s="227" t="s">
        <v>12070</v>
      </c>
      <c r="H78" s="228">
        <v>5510</v>
      </c>
      <c r="I78" s="208">
        <v>14.5</v>
      </c>
      <c r="J78" s="211">
        <v>196143659</v>
      </c>
      <c r="K78" s="209">
        <v>46523.638282732449</v>
      </c>
      <c r="L78" s="212">
        <v>4216</v>
      </c>
      <c r="M78" s="212">
        <f>VLOOKUP(Table12[[#This Row],[ROUTE]],DEMAND!A:F,5,FALSE)</f>
        <v>4485</v>
      </c>
      <c r="N78" s="212">
        <f>VLOOKUP(Table12[[#This Row],[ROUTE]],DEMAND!A:F,6,FALSE)</f>
        <v>1185</v>
      </c>
      <c r="O78" s="212">
        <f>ROUNDDOWN(Table12[[#This Row],[R-DEMAND]]/1320,0)</f>
        <v>0</v>
      </c>
      <c r="P78" s="212">
        <f>Table12[[#This Row],[ADD ACC]]*Table12[[#This Row],[RT TIME 
(777-500ER)]]</f>
        <v>0</v>
      </c>
    </row>
    <row r="79" spans="1:16" ht="15.75" customHeight="1" x14ac:dyDescent="0.25">
      <c r="A79" s="212" t="s">
        <v>14953</v>
      </c>
      <c r="B79" s="212" t="s">
        <v>341</v>
      </c>
      <c r="C79" s="212" t="s">
        <v>2</v>
      </c>
      <c r="D79" s="226">
        <v>3</v>
      </c>
      <c r="E79" s="212" t="s">
        <v>1314</v>
      </c>
      <c r="F79" s="212" t="s">
        <v>12670</v>
      </c>
      <c r="G79" s="227" t="s">
        <v>12096</v>
      </c>
      <c r="H79" s="228">
        <v>7307</v>
      </c>
      <c r="I79" s="208">
        <v>18.5</v>
      </c>
      <c r="J79" s="211">
        <v>200564919</v>
      </c>
      <c r="K79" s="209">
        <v>65845.344386080105</v>
      </c>
      <c r="L79" s="212">
        <v>3046</v>
      </c>
      <c r="M79" s="212">
        <f>VLOOKUP(Table12[[#This Row],[ROUTE]],DEMAND!A:F,5,FALSE)</f>
        <v>3209</v>
      </c>
      <c r="N79" s="212">
        <f>VLOOKUP(Table12[[#This Row],[ROUTE]],DEMAND!A:F,6,FALSE)</f>
        <v>1009</v>
      </c>
      <c r="O79" s="212">
        <f>ROUNDDOWN(Table12[[#This Row],[R-DEMAND]]/1320,0)</f>
        <v>0</v>
      </c>
      <c r="P79" s="212">
        <f>Table12[[#This Row],[ADD ACC]]*Table12[[#This Row],[RT TIME 
(777-500ER)]]</f>
        <v>0</v>
      </c>
    </row>
    <row r="80" spans="1:16" ht="15.75" customHeight="1" x14ac:dyDescent="0.25">
      <c r="A80" s="212" t="s">
        <v>15083</v>
      </c>
      <c r="B80" s="212" t="s">
        <v>4716</v>
      </c>
      <c r="C80" s="212" t="s">
        <v>2</v>
      </c>
      <c r="D80" s="226">
        <v>3</v>
      </c>
      <c r="E80" s="212" t="s">
        <v>1516</v>
      </c>
      <c r="F80" s="212" t="s">
        <v>12671</v>
      </c>
      <c r="G80" s="227" t="s">
        <v>11939</v>
      </c>
      <c r="H80" s="228">
        <v>6928</v>
      </c>
      <c r="I80" s="208">
        <v>17.75</v>
      </c>
      <c r="J80" s="211">
        <v>197400442</v>
      </c>
      <c r="K80" s="209">
        <v>52180.925720327781</v>
      </c>
      <c r="L80" s="212">
        <v>3783</v>
      </c>
      <c r="M80" s="212">
        <f>VLOOKUP(Table12[[#This Row],[ROUTE]],DEMAND!A:F,5,FALSE)</f>
        <v>4013</v>
      </c>
      <c r="N80" s="212">
        <f>VLOOKUP(Table12[[#This Row],[ROUTE]],DEMAND!A:F,6,FALSE)</f>
        <v>713</v>
      </c>
      <c r="O80" s="212">
        <f>ROUNDDOWN(Table12[[#This Row],[R-DEMAND]]/1320,0)</f>
        <v>0</v>
      </c>
      <c r="P80" s="212">
        <f>Table12[[#This Row],[ADD ACC]]*Table12[[#This Row],[RT TIME 
(777-500ER)]]</f>
        <v>0</v>
      </c>
    </row>
    <row r="81" spans="1:16" ht="15.75" customHeight="1" x14ac:dyDescent="0.25">
      <c r="A81" s="212" t="s">
        <v>14770</v>
      </c>
      <c r="B81" s="212" t="s">
        <v>339</v>
      </c>
      <c r="C81" s="212" t="s">
        <v>2</v>
      </c>
      <c r="D81" s="226">
        <v>5</v>
      </c>
      <c r="E81" s="212" t="s">
        <v>1070</v>
      </c>
      <c r="F81" s="212" t="s">
        <v>12670</v>
      </c>
      <c r="G81" s="227" t="s">
        <v>12027</v>
      </c>
      <c r="H81" s="228">
        <v>4308</v>
      </c>
      <c r="I81" s="208">
        <v>11.75</v>
      </c>
      <c r="J81" s="211">
        <v>208195152</v>
      </c>
      <c r="K81" s="209">
        <v>40798.579659024101</v>
      </c>
      <c r="L81" s="212">
        <v>5103</v>
      </c>
      <c r="M81" s="212">
        <f>VLOOKUP(Table12[[#This Row],[ROUTE]],DEMAND!A:F,5,FALSE)</f>
        <v>5410</v>
      </c>
      <c r="N81" s="212">
        <f>VLOOKUP(Table12[[#This Row],[ROUTE]],DEMAND!A:F,6,FALSE)</f>
        <v>1010</v>
      </c>
      <c r="O81" s="212">
        <f>ROUNDDOWN(Table12[[#This Row],[R-DEMAND]]/1320,0)</f>
        <v>0</v>
      </c>
      <c r="P81" s="212">
        <f>Table12[[#This Row],[ADD ACC]]*Table12[[#This Row],[RT TIME 
(777-500ER)]]</f>
        <v>0</v>
      </c>
    </row>
    <row r="82" spans="1:16" ht="15.75" customHeight="1" x14ac:dyDescent="0.25">
      <c r="A82" s="212" t="s">
        <v>14354</v>
      </c>
      <c r="B82" s="212" t="s">
        <v>5765</v>
      </c>
      <c r="C82" s="212" t="s">
        <v>11122</v>
      </c>
      <c r="D82" s="226">
        <v>5</v>
      </c>
      <c r="E82" s="212" t="s">
        <v>647</v>
      </c>
      <c r="F82" s="212" t="s">
        <v>12688</v>
      </c>
      <c r="G82" s="227" t="s">
        <v>13288</v>
      </c>
      <c r="H82" s="228">
        <v>8847</v>
      </c>
      <c r="I82" s="208">
        <v>22</v>
      </c>
      <c r="J82" s="211">
        <v>263788762</v>
      </c>
      <c r="K82" s="209">
        <v>97663.369863013693</v>
      </c>
      <c r="L82" s="212">
        <v>2701</v>
      </c>
      <c r="M82" s="212">
        <f>VLOOKUP(Table12[[#This Row],[ROUTE]],DEMAND!A:F,5,FALSE)</f>
        <v>2810</v>
      </c>
      <c r="N82" s="212">
        <f>VLOOKUP(Table12[[#This Row],[ROUTE]],DEMAND!A:F,6,FALSE)</f>
        <v>610</v>
      </c>
      <c r="O82" s="212">
        <f>ROUNDDOWN(Table12[[#This Row],[R-DEMAND]]/1320,0)</f>
        <v>0</v>
      </c>
      <c r="P82" s="212">
        <f>Table12[[#This Row],[ADD ACC]]*Table12[[#This Row],[RT TIME 
(777-500ER)]]</f>
        <v>0</v>
      </c>
    </row>
    <row r="83" spans="1:16" ht="15.75" customHeight="1" x14ac:dyDescent="0.25">
      <c r="A83" s="212" t="s">
        <v>14385</v>
      </c>
      <c r="B83" s="212" t="s">
        <v>5758</v>
      </c>
      <c r="C83" s="212" t="s">
        <v>2</v>
      </c>
      <c r="D83" s="226">
        <v>5</v>
      </c>
      <c r="E83" s="212" t="s">
        <v>647</v>
      </c>
      <c r="F83" s="212" t="s">
        <v>12688</v>
      </c>
      <c r="G83" s="227" t="s">
        <v>13316</v>
      </c>
      <c r="H83" s="228">
        <v>9305</v>
      </c>
      <c r="I83" s="208">
        <v>23</v>
      </c>
      <c r="J83" s="211">
        <v>267645573</v>
      </c>
      <c r="K83" s="209">
        <v>99091.289522399107</v>
      </c>
      <c r="L83" s="212">
        <v>2701</v>
      </c>
      <c r="M83" s="212">
        <f>VLOOKUP(Table12[[#This Row],[ROUTE]],DEMAND!A:F,5,FALSE)</f>
        <v>2873</v>
      </c>
      <c r="N83" s="212">
        <f>VLOOKUP(Table12[[#This Row],[ROUTE]],DEMAND!A:F,6,FALSE)</f>
        <v>673</v>
      </c>
      <c r="O83" s="212">
        <f>ROUNDDOWN(Table12[[#This Row],[R-DEMAND]]/1320,0)</f>
        <v>0</v>
      </c>
      <c r="P83" s="212">
        <f>Table12[[#This Row],[ADD ACC]]*Table12[[#This Row],[RT TIME 
(777-500ER)]]</f>
        <v>0</v>
      </c>
    </row>
    <row r="84" spans="1:16" ht="15.75" customHeight="1" x14ac:dyDescent="0.25">
      <c r="A84" s="212" t="s">
        <v>15091</v>
      </c>
      <c r="B84" s="212" t="s">
        <v>5068</v>
      </c>
      <c r="C84" s="212" t="s">
        <v>2</v>
      </c>
      <c r="D84" s="226">
        <v>3</v>
      </c>
      <c r="E84" s="212" t="s">
        <v>971</v>
      </c>
      <c r="F84" s="212" t="s">
        <v>12671</v>
      </c>
      <c r="G84" s="227" t="s">
        <v>11777</v>
      </c>
      <c r="H84" s="228">
        <v>3176</v>
      </c>
      <c r="I84" s="208">
        <v>9.25</v>
      </c>
      <c r="J84" s="211">
        <v>163842323</v>
      </c>
      <c r="K84" s="209">
        <v>47244.037773933102</v>
      </c>
      <c r="L84" s="212">
        <v>3468</v>
      </c>
      <c r="M84" s="212">
        <f>VLOOKUP(Table12[[#This Row],[ROUTE]],DEMAND!A:F,5,FALSE)</f>
        <v>3678</v>
      </c>
      <c r="N84" s="212">
        <f>VLOOKUP(Table12[[#This Row],[ROUTE]],DEMAND!A:F,6,FALSE)</f>
        <v>378</v>
      </c>
      <c r="O84" s="212">
        <f>ROUNDDOWN(Table12[[#This Row],[R-DEMAND]]/1320,0)</f>
        <v>0</v>
      </c>
      <c r="P84" s="212">
        <f>Table12[[#This Row],[ADD ACC]]*Table12[[#This Row],[RT TIME 
(777-500ER)]]</f>
        <v>0</v>
      </c>
    </row>
    <row r="85" spans="1:16" ht="15.75" customHeight="1" x14ac:dyDescent="0.25">
      <c r="A85" s="212" t="s">
        <v>14722</v>
      </c>
      <c r="B85" s="212" t="s">
        <v>337</v>
      </c>
      <c r="C85" s="212" t="s">
        <v>2</v>
      </c>
      <c r="D85" s="226">
        <v>4</v>
      </c>
      <c r="E85" s="212" t="s">
        <v>14</v>
      </c>
      <c r="F85" s="212" t="s">
        <v>12670</v>
      </c>
      <c r="G85" s="227" t="s">
        <v>336</v>
      </c>
      <c r="H85" s="228">
        <v>6171</v>
      </c>
      <c r="I85" s="208">
        <v>16</v>
      </c>
      <c r="J85" s="211">
        <v>208375301</v>
      </c>
      <c r="K85" s="209">
        <v>62462.62020383693</v>
      </c>
      <c r="L85" s="212">
        <v>3336</v>
      </c>
      <c r="M85" s="212">
        <f>VLOOKUP(Table12[[#This Row],[ROUTE]],DEMAND!A:F,5,FALSE)</f>
        <v>3526</v>
      </c>
      <c r="N85" s="212">
        <f>VLOOKUP(Table12[[#This Row],[ROUTE]],DEMAND!A:F,6,FALSE)</f>
        <v>226</v>
      </c>
      <c r="O85" s="212">
        <f>ROUNDDOWN(Table12[[#This Row],[R-DEMAND]]/1320,0)</f>
        <v>0</v>
      </c>
      <c r="P85" s="212">
        <f>Table12[[#This Row],[ADD ACC]]*Table12[[#This Row],[RT TIME 
(777-500ER)]]</f>
        <v>0</v>
      </c>
    </row>
    <row r="86" spans="1:16" ht="15.75" customHeight="1" x14ac:dyDescent="0.25">
      <c r="A86" s="212" t="s">
        <v>14909</v>
      </c>
      <c r="B86" s="212" t="s">
        <v>333</v>
      </c>
      <c r="C86" s="212" t="s">
        <v>2</v>
      </c>
      <c r="D86" s="226">
        <v>5</v>
      </c>
      <c r="E86" s="212" t="s">
        <v>332</v>
      </c>
      <c r="F86" s="212" t="s">
        <v>12670</v>
      </c>
      <c r="G86" s="227" t="s">
        <v>12098</v>
      </c>
      <c r="H86" s="228">
        <v>7030</v>
      </c>
      <c r="I86" s="208">
        <v>18</v>
      </c>
      <c r="J86" s="211">
        <v>238938562</v>
      </c>
      <c r="K86" s="209">
        <v>56660.792506521226</v>
      </c>
      <c r="L86" s="212">
        <v>4217</v>
      </c>
      <c r="M86" s="212">
        <f>VLOOKUP(Table12[[#This Row],[ROUTE]],DEMAND!A:F,5,FALSE)</f>
        <v>4387</v>
      </c>
      <c r="N86" s="212">
        <f>VLOOKUP(Table12[[#This Row],[ROUTE]],DEMAND!A:F,6,FALSE)</f>
        <v>1087</v>
      </c>
      <c r="O86" s="212">
        <f>ROUNDDOWN(Table12[[#This Row],[R-DEMAND]]/1320,0)</f>
        <v>0</v>
      </c>
      <c r="P86" s="212">
        <f>Table12[[#This Row],[ADD ACC]]*Table12[[#This Row],[RT TIME 
(777-500ER)]]</f>
        <v>0</v>
      </c>
    </row>
    <row r="87" spans="1:16" ht="15.75" customHeight="1" x14ac:dyDescent="0.25">
      <c r="A87" s="212" t="s">
        <v>14794</v>
      </c>
      <c r="B87" s="212" t="s">
        <v>328</v>
      </c>
      <c r="C87" s="212" t="s">
        <v>2</v>
      </c>
      <c r="D87" s="226">
        <v>4</v>
      </c>
      <c r="E87" s="212" t="s">
        <v>1261</v>
      </c>
      <c r="F87" s="212" t="s">
        <v>12670</v>
      </c>
      <c r="G87" s="227" t="s">
        <v>11089</v>
      </c>
      <c r="H87" s="228">
        <v>10019</v>
      </c>
      <c r="I87" s="208">
        <v>24.5</v>
      </c>
      <c r="J87" s="211">
        <v>242774952</v>
      </c>
      <c r="K87" s="209">
        <v>64999.98714859438</v>
      </c>
      <c r="L87" s="212">
        <v>3735</v>
      </c>
      <c r="M87" s="212">
        <f>VLOOKUP(Table12[[#This Row],[ROUTE]],DEMAND!A:F,5,FALSE)</f>
        <v>3873</v>
      </c>
      <c r="N87" s="212">
        <f>VLOOKUP(Table12[[#This Row],[ROUTE]],DEMAND!A:F,6,FALSE)</f>
        <v>573</v>
      </c>
      <c r="O87" s="212">
        <f>ROUNDDOWN(Table12[[#This Row],[R-DEMAND]]/1320,0)</f>
        <v>0</v>
      </c>
      <c r="P87" s="212">
        <f>Table12[[#This Row],[ADD ACC]]*Table12[[#This Row],[RT TIME 
(777-500ER)]]</f>
        <v>0</v>
      </c>
    </row>
    <row r="88" spans="1:16" ht="15.75" customHeight="1" x14ac:dyDescent="0.25">
      <c r="A88" s="212" t="s">
        <v>14275</v>
      </c>
      <c r="B88" s="212" t="s">
        <v>4884</v>
      </c>
      <c r="C88" s="212" t="s">
        <v>2</v>
      </c>
      <c r="D88" s="226">
        <v>3</v>
      </c>
      <c r="E88" s="212" t="s">
        <v>774</v>
      </c>
      <c r="F88" s="212" t="s">
        <v>12682</v>
      </c>
      <c r="G88" s="227" t="s">
        <v>12090</v>
      </c>
      <c r="H88" s="228">
        <v>11330</v>
      </c>
      <c r="I88" s="208">
        <v>27.5</v>
      </c>
      <c r="J88" s="211">
        <v>243080663</v>
      </c>
      <c r="K88" s="209">
        <v>97937.414585012084</v>
      </c>
      <c r="L88" s="212">
        <v>2482</v>
      </c>
      <c r="M88" s="212">
        <f>VLOOKUP(Table12[[#This Row],[ROUTE]],DEMAND!A:F,5,FALSE)</f>
        <v>2608</v>
      </c>
      <c r="N88" s="212">
        <f>VLOOKUP(Table12[[#This Row],[ROUTE]],DEMAND!A:F,6,FALSE)</f>
        <v>408</v>
      </c>
      <c r="O88" s="212">
        <f>ROUNDDOWN(Table12[[#This Row],[R-DEMAND]]/1320,0)</f>
        <v>0</v>
      </c>
      <c r="P88" s="212">
        <f>Table12[[#This Row],[ADD ACC]]*Table12[[#This Row],[RT TIME 
(777-500ER)]]</f>
        <v>0</v>
      </c>
    </row>
    <row r="89" spans="1:16" ht="15.75" customHeight="1" x14ac:dyDescent="0.25">
      <c r="A89" s="212" t="s">
        <v>15064</v>
      </c>
      <c r="B89" s="212" t="s">
        <v>5163</v>
      </c>
      <c r="C89" s="212" t="s">
        <v>2</v>
      </c>
      <c r="D89" s="226">
        <v>3</v>
      </c>
      <c r="E89" s="212" t="s">
        <v>611</v>
      </c>
      <c r="F89" s="212" t="s">
        <v>12671</v>
      </c>
      <c r="G89" s="227" t="s">
        <v>13250</v>
      </c>
      <c r="H89" s="228">
        <v>6497</v>
      </c>
      <c r="I89" s="208">
        <v>16.75</v>
      </c>
      <c r="J89" s="211">
        <v>199977392</v>
      </c>
      <c r="K89" s="209">
        <v>47921.73304577043</v>
      </c>
      <c r="L89" s="212">
        <v>4173</v>
      </c>
      <c r="M89" s="212">
        <f>VLOOKUP(Table12[[#This Row],[ROUTE]],DEMAND!A:F,5,FALSE)</f>
        <v>4342</v>
      </c>
      <c r="N89" s="212">
        <f>VLOOKUP(Table12[[#This Row],[ROUTE]],DEMAND!A:F,6,FALSE)</f>
        <v>1042</v>
      </c>
      <c r="O89" s="212">
        <f>ROUNDDOWN(Table12[[#This Row],[R-DEMAND]]/1320,0)</f>
        <v>0</v>
      </c>
      <c r="P89" s="212">
        <f>Table12[[#This Row],[ADD ACC]]*Table12[[#This Row],[RT TIME 
(777-500ER)]]</f>
        <v>0</v>
      </c>
    </row>
    <row r="90" spans="1:16" ht="15.75" customHeight="1" x14ac:dyDescent="0.25">
      <c r="A90" s="212" t="s">
        <v>14309</v>
      </c>
      <c r="B90" s="212" t="s">
        <v>5715</v>
      </c>
      <c r="C90" s="212" t="s">
        <v>11122</v>
      </c>
      <c r="D90" s="226">
        <v>5</v>
      </c>
      <c r="E90" s="212" t="s">
        <v>647</v>
      </c>
      <c r="F90" s="212" t="s">
        <v>12688</v>
      </c>
      <c r="G90" s="227" t="s">
        <v>13318</v>
      </c>
      <c r="H90" s="228">
        <v>7833</v>
      </c>
      <c r="I90" s="208">
        <v>19.75</v>
      </c>
      <c r="J90" s="211">
        <v>244346060</v>
      </c>
      <c r="K90" s="209">
        <v>98805.523655479177</v>
      </c>
      <c r="L90" s="212">
        <v>2473</v>
      </c>
      <c r="M90" s="212">
        <f>VLOOKUP(Table12[[#This Row],[ROUTE]],DEMAND!A:F,5,FALSE)</f>
        <v>2598</v>
      </c>
      <c r="N90" s="212">
        <f>VLOOKUP(Table12[[#This Row],[ROUTE]],DEMAND!A:F,6,FALSE)</f>
        <v>398</v>
      </c>
      <c r="O90" s="212">
        <f>ROUNDDOWN(Table12[[#This Row],[R-DEMAND]]/1320,0)</f>
        <v>0</v>
      </c>
      <c r="P90" s="212">
        <f>Table12[[#This Row],[ADD ACC]]*Table12[[#This Row],[RT TIME 
(777-500ER)]]</f>
        <v>0</v>
      </c>
    </row>
    <row r="91" spans="1:16" ht="15.75" customHeight="1" x14ac:dyDescent="0.25">
      <c r="A91" s="212" t="s">
        <v>15075</v>
      </c>
      <c r="B91" s="212" t="s">
        <v>326</v>
      </c>
      <c r="C91" s="212" t="s">
        <v>2</v>
      </c>
      <c r="D91" s="226">
        <v>3</v>
      </c>
      <c r="E91" s="212" t="s">
        <v>926</v>
      </c>
      <c r="F91" s="212" t="s">
        <v>12671</v>
      </c>
      <c r="G91" s="227" t="s">
        <v>11905</v>
      </c>
      <c r="H91" s="228">
        <v>9478</v>
      </c>
      <c r="I91" s="208">
        <v>23.5</v>
      </c>
      <c r="J91" s="211">
        <v>233324741</v>
      </c>
      <c r="K91" s="209">
        <v>61807.878410596029</v>
      </c>
      <c r="L91" s="212">
        <v>3775</v>
      </c>
      <c r="M91" s="212">
        <f>VLOOKUP(Table12[[#This Row],[ROUTE]],DEMAND!A:F,5,FALSE)</f>
        <v>4003</v>
      </c>
      <c r="N91" s="212">
        <f>VLOOKUP(Table12[[#This Row],[ROUTE]],DEMAND!A:F,6,FALSE)</f>
        <v>703</v>
      </c>
      <c r="O91" s="212">
        <f>ROUNDDOWN(Table12[[#This Row],[R-DEMAND]]/1320,0)</f>
        <v>0</v>
      </c>
      <c r="P91" s="212">
        <f>Table12[[#This Row],[ADD ACC]]*Table12[[#This Row],[RT TIME 
(777-500ER)]]</f>
        <v>0</v>
      </c>
    </row>
    <row r="92" spans="1:16" ht="15.75" customHeight="1" x14ac:dyDescent="0.25">
      <c r="A92" s="212" t="s">
        <v>14536</v>
      </c>
      <c r="B92" s="212" t="s">
        <v>324</v>
      </c>
      <c r="C92" s="212" t="s">
        <v>2</v>
      </c>
      <c r="D92" s="226">
        <v>4</v>
      </c>
      <c r="E92" s="212" t="s">
        <v>1427</v>
      </c>
      <c r="F92" s="212" t="s">
        <v>12674</v>
      </c>
      <c r="G92" s="227" t="s">
        <v>11088</v>
      </c>
      <c r="H92" s="228">
        <v>2098</v>
      </c>
      <c r="I92" s="208">
        <v>6.75</v>
      </c>
      <c r="J92" s="211">
        <v>177475833</v>
      </c>
      <c r="K92" s="209">
        <v>63452.210582767249</v>
      </c>
      <c r="L92" s="212">
        <v>2797</v>
      </c>
      <c r="M92" s="212">
        <f>VLOOKUP(Table12[[#This Row],[ROUTE]],DEMAND!A:F,5,FALSE)</f>
        <v>2966</v>
      </c>
      <c r="N92" s="212">
        <f>VLOOKUP(Table12[[#This Row],[ROUTE]],DEMAND!A:F,6,FALSE)</f>
        <v>766</v>
      </c>
      <c r="O92" s="212">
        <f>ROUNDDOWN(Table12[[#This Row],[R-DEMAND]]/1320,0)</f>
        <v>0</v>
      </c>
      <c r="P92" s="212">
        <f>Table12[[#This Row],[ADD ACC]]*Table12[[#This Row],[RT TIME 
(777-500ER)]]</f>
        <v>0</v>
      </c>
    </row>
    <row r="93" spans="1:16" ht="15.75" customHeight="1" x14ac:dyDescent="0.25">
      <c r="A93" s="212" t="s">
        <v>14860</v>
      </c>
      <c r="B93" s="212" t="s">
        <v>322</v>
      </c>
      <c r="C93" s="212" t="s">
        <v>2</v>
      </c>
      <c r="D93" s="226">
        <v>3</v>
      </c>
      <c r="E93" s="212" t="s">
        <v>717</v>
      </c>
      <c r="F93" s="212" t="s">
        <v>12670</v>
      </c>
      <c r="G93" s="227" t="s">
        <v>12094</v>
      </c>
      <c r="H93" s="228">
        <v>9215</v>
      </c>
      <c r="I93" s="208">
        <v>22.75</v>
      </c>
      <c r="J93" s="211">
        <v>223280641</v>
      </c>
      <c r="K93" s="209">
        <v>71267.360676667726</v>
      </c>
      <c r="L93" s="212">
        <v>3133</v>
      </c>
      <c r="M93" s="212">
        <f>VLOOKUP(Table12[[#This Row],[ROUTE]],DEMAND!A:F,5,FALSE)</f>
        <v>3280</v>
      </c>
      <c r="N93" s="212">
        <f>VLOOKUP(Table12[[#This Row],[ROUTE]],DEMAND!A:F,6,FALSE)</f>
        <v>1080</v>
      </c>
      <c r="O93" s="212">
        <f>ROUNDDOWN(Table12[[#This Row],[R-DEMAND]]/1320,0)</f>
        <v>0</v>
      </c>
      <c r="P93" s="212">
        <f>Table12[[#This Row],[ADD ACC]]*Table12[[#This Row],[RT TIME 
(777-500ER)]]</f>
        <v>0</v>
      </c>
    </row>
    <row r="94" spans="1:16" ht="15.75" customHeight="1" x14ac:dyDescent="0.25">
      <c r="A94" s="212" t="s">
        <v>14944</v>
      </c>
      <c r="B94" s="212" t="s">
        <v>319</v>
      </c>
      <c r="C94" s="212" t="s">
        <v>2</v>
      </c>
      <c r="D94" s="226">
        <v>5</v>
      </c>
      <c r="E94" s="212" t="s">
        <v>1847</v>
      </c>
      <c r="F94" s="212" t="s">
        <v>12670</v>
      </c>
      <c r="G94" s="227" t="s">
        <v>11087</v>
      </c>
      <c r="H94" s="228">
        <v>3643</v>
      </c>
      <c r="I94" s="208">
        <v>10.25</v>
      </c>
      <c r="J94" s="211">
        <v>209271617</v>
      </c>
      <c r="K94" s="209">
        <v>52187.435660847877</v>
      </c>
      <c r="L94" s="212">
        <v>4010</v>
      </c>
      <c r="M94" s="212">
        <f>VLOOKUP(Table12[[#This Row],[ROUTE]],DEMAND!A:F,5,FALSE)</f>
        <v>4159</v>
      </c>
      <c r="N94" s="212">
        <f>VLOOKUP(Table12[[#This Row],[ROUTE]],DEMAND!A:F,6,FALSE)</f>
        <v>859</v>
      </c>
      <c r="O94" s="212">
        <f>ROUNDDOWN(Table12[[#This Row],[R-DEMAND]]/1320,0)</f>
        <v>0</v>
      </c>
      <c r="P94" s="212">
        <f>Table12[[#This Row],[ADD ACC]]*Table12[[#This Row],[RT TIME 
(777-500ER)]]</f>
        <v>0</v>
      </c>
    </row>
    <row r="95" spans="1:16" ht="15.75" customHeight="1" x14ac:dyDescent="0.25">
      <c r="A95" s="212" t="s">
        <v>14298</v>
      </c>
      <c r="B95" s="212" t="s">
        <v>314</v>
      </c>
      <c r="C95" s="212" t="s">
        <v>2</v>
      </c>
      <c r="D95" s="226">
        <v>5</v>
      </c>
      <c r="E95" s="212" t="s">
        <v>647</v>
      </c>
      <c r="F95" s="212" t="s">
        <v>12688</v>
      </c>
      <c r="G95" s="227" t="s">
        <v>13345</v>
      </c>
      <c r="H95" s="228">
        <v>7560</v>
      </c>
      <c r="I95" s="208">
        <v>19</v>
      </c>
      <c r="J95" s="211">
        <v>242975142</v>
      </c>
      <c r="K95" s="209">
        <v>97306.824989987988</v>
      </c>
      <c r="L95" s="212">
        <v>2497</v>
      </c>
      <c r="M95" s="212">
        <f>VLOOKUP(Table12[[#This Row],[ROUTE]],DEMAND!A:F,5,FALSE)</f>
        <v>2589</v>
      </c>
      <c r="N95" s="212">
        <f>VLOOKUP(Table12[[#This Row],[ROUTE]],DEMAND!A:F,6,FALSE)</f>
        <v>389</v>
      </c>
      <c r="O95" s="212">
        <f>ROUNDDOWN(Table12[[#This Row],[R-DEMAND]]/1320,0)</f>
        <v>0</v>
      </c>
      <c r="P95" s="212">
        <f>Table12[[#This Row],[ADD ACC]]*Table12[[#This Row],[RT TIME 
(777-500ER)]]</f>
        <v>0</v>
      </c>
    </row>
    <row r="96" spans="1:16" ht="15.75" customHeight="1" x14ac:dyDescent="0.25">
      <c r="A96" s="212" t="s">
        <v>14226</v>
      </c>
      <c r="B96" s="212" t="s">
        <v>312</v>
      </c>
      <c r="C96" s="212" t="s">
        <v>2</v>
      </c>
      <c r="D96" s="226">
        <v>4</v>
      </c>
      <c r="E96" s="212" t="s">
        <v>505</v>
      </c>
      <c r="F96" s="212" t="s">
        <v>12694</v>
      </c>
      <c r="G96" s="227" t="s">
        <v>13142</v>
      </c>
      <c r="H96" s="228">
        <v>13513</v>
      </c>
      <c r="I96" s="208">
        <v>32.5</v>
      </c>
      <c r="J96" s="211">
        <v>279620078</v>
      </c>
      <c r="K96" s="209">
        <v>78127.990500139698</v>
      </c>
      <c r="L96" s="212">
        <v>3579</v>
      </c>
      <c r="M96" s="212">
        <f>VLOOKUP(Table12[[#This Row],[ROUTE]],DEMAND!A:F,5,FALSE)</f>
        <v>3808</v>
      </c>
      <c r="N96" s="212">
        <f>VLOOKUP(Table12[[#This Row],[ROUTE]],DEMAND!A:F,6,FALSE)</f>
        <v>508</v>
      </c>
      <c r="O96" s="212">
        <f>ROUNDDOWN(Table12[[#This Row],[R-DEMAND]]/1320,0)</f>
        <v>0</v>
      </c>
      <c r="P96" s="212">
        <f>Table12[[#This Row],[ADD ACC]]*Table12[[#This Row],[RT TIME 
(777-500ER)]]</f>
        <v>0</v>
      </c>
    </row>
    <row r="97" spans="1:16" ht="15.75" customHeight="1" x14ac:dyDescent="0.25">
      <c r="A97" s="212" t="s">
        <v>14568</v>
      </c>
      <c r="B97" s="212" t="s">
        <v>309</v>
      </c>
      <c r="C97" s="212" t="s">
        <v>2</v>
      </c>
      <c r="D97" s="226">
        <v>5</v>
      </c>
      <c r="E97" s="212" t="s">
        <v>308</v>
      </c>
      <c r="F97" s="212" t="s">
        <v>12674</v>
      </c>
      <c r="G97" s="227" t="s">
        <v>307</v>
      </c>
      <c r="H97" s="228">
        <v>2395</v>
      </c>
      <c r="I97" s="208">
        <v>7.5</v>
      </c>
      <c r="J97" s="211">
        <v>192166618</v>
      </c>
      <c r="K97" s="209">
        <v>64119.658992325662</v>
      </c>
      <c r="L97" s="212">
        <v>2997</v>
      </c>
      <c r="M97" s="212">
        <f>VLOOKUP(Table12[[#This Row],[ROUTE]],DEMAND!A:F,5,FALSE)</f>
        <v>3168</v>
      </c>
      <c r="N97" s="212">
        <f>VLOOKUP(Table12[[#This Row],[ROUTE]],DEMAND!A:F,6,FALSE)</f>
        <v>968</v>
      </c>
      <c r="O97" s="212">
        <f>ROUNDDOWN(Table12[[#This Row],[R-DEMAND]]/1320,0)</f>
        <v>0</v>
      </c>
      <c r="P97" s="212">
        <f>Table12[[#This Row],[ADD ACC]]*Table12[[#This Row],[RT TIME 
(777-500ER)]]</f>
        <v>0</v>
      </c>
    </row>
    <row r="98" spans="1:16" ht="15.75" customHeight="1" x14ac:dyDescent="0.25">
      <c r="A98" s="212" t="s">
        <v>14461</v>
      </c>
      <c r="B98" s="212" t="s">
        <v>4863</v>
      </c>
      <c r="C98" s="212" t="s">
        <v>2</v>
      </c>
      <c r="D98" s="226">
        <v>3</v>
      </c>
      <c r="E98" s="212" t="s">
        <v>4861</v>
      </c>
      <c r="F98" s="212" t="s">
        <v>12688</v>
      </c>
      <c r="G98" s="227" t="s">
        <v>13212</v>
      </c>
      <c r="H98" s="228">
        <v>9229</v>
      </c>
      <c r="I98" s="208">
        <v>22.75</v>
      </c>
      <c r="J98" s="211">
        <v>220757818</v>
      </c>
      <c r="K98" s="209">
        <v>86233.522656250003</v>
      </c>
      <c r="L98" s="212">
        <v>2560</v>
      </c>
      <c r="M98" s="212">
        <f>VLOOKUP(Table12[[#This Row],[ROUTE]],DEMAND!A:F,5,FALSE)</f>
        <v>2680</v>
      </c>
      <c r="N98" s="212">
        <f>VLOOKUP(Table12[[#This Row],[ROUTE]],DEMAND!A:F,6,FALSE)</f>
        <v>480</v>
      </c>
      <c r="O98" s="212">
        <f>ROUNDDOWN(Table12[[#This Row],[R-DEMAND]]/1320,0)</f>
        <v>0</v>
      </c>
      <c r="P98" s="212">
        <f>Table12[[#This Row],[ADD ACC]]*Table12[[#This Row],[RT TIME 
(777-500ER)]]</f>
        <v>0</v>
      </c>
    </row>
    <row r="99" spans="1:16" ht="15.75" customHeight="1" x14ac:dyDescent="0.25">
      <c r="A99" s="212" t="s">
        <v>14746</v>
      </c>
      <c r="B99" s="212" t="s">
        <v>5386</v>
      </c>
      <c r="C99" s="212" t="s">
        <v>2</v>
      </c>
      <c r="D99" s="226">
        <v>3</v>
      </c>
      <c r="E99" s="212" t="s">
        <v>14</v>
      </c>
      <c r="F99" s="212" t="s">
        <v>12670</v>
      </c>
      <c r="G99" s="227" t="s">
        <v>12066</v>
      </c>
      <c r="H99" s="228">
        <v>7154</v>
      </c>
      <c r="I99" s="208">
        <v>18.25</v>
      </c>
      <c r="J99" s="211">
        <v>211683944</v>
      </c>
      <c r="K99" s="209">
        <v>66988.589873417717</v>
      </c>
      <c r="L99" s="212">
        <v>3160</v>
      </c>
      <c r="M99" s="212">
        <f>VLOOKUP(Table12[[#This Row],[ROUTE]],DEMAND!A:F,5,FALSE)</f>
        <v>3320</v>
      </c>
      <c r="N99" s="212">
        <f>VLOOKUP(Table12[[#This Row],[ROUTE]],DEMAND!A:F,6,FALSE)</f>
        <v>1120</v>
      </c>
      <c r="O99" s="212">
        <f>ROUNDDOWN(Table12[[#This Row],[R-DEMAND]]/1320,0)</f>
        <v>0</v>
      </c>
      <c r="P99" s="212">
        <f>Table12[[#This Row],[ADD ACC]]*Table12[[#This Row],[RT TIME 
(777-500ER)]]</f>
        <v>0</v>
      </c>
    </row>
    <row r="100" spans="1:16" ht="15.75" customHeight="1" x14ac:dyDescent="0.25">
      <c r="A100" s="212" t="s">
        <v>14539</v>
      </c>
      <c r="B100" s="212" t="s">
        <v>306</v>
      </c>
      <c r="C100" s="212" t="s">
        <v>2</v>
      </c>
      <c r="D100" s="226">
        <v>5</v>
      </c>
      <c r="E100" s="212" t="s">
        <v>1427</v>
      </c>
      <c r="F100" s="212" t="s">
        <v>12674</v>
      </c>
      <c r="G100" s="227" t="s">
        <v>11086</v>
      </c>
      <c r="H100" s="228">
        <v>2047</v>
      </c>
      <c r="I100" s="208">
        <v>6.75</v>
      </c>
      <c r="J100" s="211">
        <v>193830599</v>
      </c>
      <c r="K100" s="209">
        <v>61631.351033386331</v>
      </c>
      <c r="L100" s="212">
        <v>3145</v>
      </c>
      <c r="M100" s="212">
        <f>VLOOKUP(Table12[[#This Row],[ROUTE]],DEMAND!A:F,5,FALSE)</f>
        <v>3305</v>
      </c>
      <c r="N100" s="212">
        <f>VLOOKUP(Table12[[#This Row],[ROUTE]],DEMAND!A:F,6,FALSE)</f>
        <v>1105</v>
      </c>
      <c r="O100" s="212">
        <f>ROUNDDOWN(Table12[[#This Row],[R-DEMAND]]/1320,0)</f>
        <v>0</v>
      </c>
      <c r="P100" s="212">
        <f>Table12[[#This Row],[ADD ACC]]*Table12[[#This Row],[RT TIME 
(777-500ER)]]</f>
        <v>0</v>
      </c>
    </row>
    <row r="101" spans="1:16" ht="15.75" customHeight="1" x14ac:dyDescent="0.25">
      <c r="A101" s="212" t="s">
        <v>14816</v>
      </c>
      <c r="B101" s="212" t="s">
        <v>5661</v>
      </c>
      <c r="C101" s="212" t="s">
        <v>2</v>
      </c>
      <c r="D101" s="226">
        <v>4</v>
      </c>
      <c r="E101" s="212" t="s">
        <v>142</v>
      </c>
      <c r="F101" s="212" t="s">
        <v>12670</v>
      </c>
      <c r="G101" s="227" t="s">
        <v>9777</v>
      </c>
      <c r="H101" s="228">
        <v>7146</v>
      </c>
      <c r="I101" s="208">
        <v>18.25</v>
      </c>
      <c r="J101" s="211">
        <v>227849855</v>
      </c>
      <c r="K101" s="209">
        <v>78191.439601921753</v>
      </c>
      <c r="L101" s="212">
        <v>2914</v>
      </c>
      <c r="M101" s="212">
        <f>VLOOKUP(Table12[[#This Row],[ROUTE]],DEMAND!A:F,5,FALSE)</f>
        <v>3061</v>
      </c>
      <c r="N101" s="212">
        <f>VLOOKUP(Table12[[#This Row],[ROUTE]],DEMAND!A:F,6,FALSE)</f>
        <v>861</v>
      </c>
      <c r="O101" s="212">
        <f>ROUNDDOWN(Table12[[#This Row],[R-DEMAND]]/1320,0)</f>
        <v>0</v>
      </c>
      <c r="P101" s="212">
        <f>Table12[[#This Row],[ADD ACC]]*Table12[[#This Row],[RT TIME 
(777-500ER)]]</f>
        <v>0</v>
      </c>
    </row>
    <row r="102" spans="1:16" ht="15.75" customHeight="1" x14ac:dyDescent="0.25">
      <c r="A102" s="212" t="s">
        <v>14777</v>
      </c>
      <c r="B102" s="212" t="s">
        <v>304</v>
      </c>
      <c r="C102" s="212" t="s">
        <v>2</v>
      </c>
      <c r="D102" s="226">
        <v>3</v>
      </c>
      <c r="E102" s="212" t="s">
        <v>1070</v>
      </c>
      <c r="F102" s="212" t="s">
        <v>12670</v>
      </c>
      <c r="G102" s="227" t="s">
        <v>12062</v>
      </c>
      <c r="H102" s="228">
        <v>5381</v>
      </c>
      <c r="I102" s="208">
        <v>14.25</v>
      </c>
      <c r="J102" s="211">
        <v>184702919</v>
      </c>
      <c r="K102" s="209">
        <v>52028.991267605634</v>
      </c>
      <c r="L102" s="212">
        <v>3550</v>
      </c>
      <c r="M102" s="212">
        <f>VLOOKUP(Table12[[#This Row],[ROUTE]],DEMAND!A:F,5,FALSE)</f>
        <v>3789</v>
      </c>
      <c r="N102" s="212">
        <f>VLOOKUP(Table12[[#This Row],[ROUTE]],DEMAND!A:F,6,FALSE)</f>
        <v>489</v>
      </c>
      <c r="O102" s="212">
        <f>ROUNDDOWN(Table12[[#This Row],[R-DEMAND]]/1320,0)</f>
        <v>0</v>
      </c>
      <c r="P102" s="212">
        <f>Table12[[#This Row],[ADD ACC]]*Table12[[#This Row],[RT TIME 
(777-500ER)]]</f>
        <v>0</v>
      </c>
    </row>
    <row r="103" spans="1:16" ht="15.75" customHeight="1" x14ac:dyDescent="0.25">
      <c r="A103" s="212" t="s">
        <v>14475</v>
      </c>
      <c r="B103" s="212" t="s">
        <v>5480</v>
      </c>
      <c r="C103" s="212" t="s">
        <v>2</v>
      </c>
      <c r="D103" s="226">
        <v>4</v>
      </c>
      <c r="E103" s="212" t="s">
        <v>1749</v>
      </c>
      <c r="F103" s="212" t="s">
        <v>12688</v>
      </c>
      <c r="G103" s="227" t="s">
        <v>13219</v>
      </c>
      <c r="H103" s="228">
        <v>10813</v>
      </c>
      <c r="I103" s="208">
        <v>26.25</v>
      </c>
      <c r="J103" s="211">
        <v>251618502</v>
      </c>
      <c r="K103" s="209">
        <v>75020.423971377459</v>
      </c>
      <c r="L103" s="212">
        <v>3354</v>
      </c>
      <c r="M103" s="212">
        <f>VLOOKUP(Table12[[#This Row],[ROUTE]],DEMAND!A:F,5,FALSE)</f>
        <v>3513</v>
      </c>
      <c r="N103" s="212">
        <f>VLOOKUP(Table12[[#This Row],[ROUTE]],DEMAND!A:F,6,FALSE)</f>
        <v>1313</v>
      </c>
      <c r="O103" s="212">
        <f>ROUNDDOWN(Table12[[#This Row],[R-DEMAND]]/1320,0)</f>
        <v>0</v>
      </c>
      <c r="P103" s="212">
        <f>Table12[[#This Row],[ADD ACC]]*Table12[[#This Row],[RT TIME 
(777-500ER)]]</f>
        <v>0</v>
      </c>
    </row>
    <row r="104" spans="1:16" ht="15.75" customHeight="1" x14ac:dyDescent="0.25">
      <c r="A104" s="212" t="s">
        <v>14242</v>
      </c>
      <c r="B104" s="212" t="s">
        <v>5611</v>
      </c>
      <c r="C104" s="212" t="s">
        <v>2</v>
      </c>
      <c r="D104" s="226">
        <v>4</v>
      </c>
      <c r="E104" s="212" t="s">
        <v>517</v>
      </c>
      <c r="F104" s="212" t="s">
        <v>12694</v>
      </c>
      <c r="G104" s="227" t="s">
        <v>13161</v>
      </c>
      <c r="H104" s="228">
        <v>11545</v>
      </c>
      <c r="I104" s="208">
        <v>28</v>
      </c>
      <c r="J104" s="211">
        <v>266039771</v>
      </c>
      <c r="K104" s="209">
        <v>69083.295507660354</v>
      </c>
      <c r="L104" s="212">
        <v>3851</v>
      </c>
      <c r="M104" s="212">
        <f>VLOOKUP(Table12[[#This Row],[ROUTE]],DEMAND!A:F,5,FALSE)</f>
        <v>4110</v>
      </c>
      <c r="N104" s="212">
        <f>VLOOKUP(Table12[[#This Row],[ROUTE]],DEMAND!A:F,6,FALSE)</f>
        <v>810</v>
      </c>
      <c r="O104" s="212">
        <f>ROUNDDOWN(Table12[[#This Row],[R-DEMAND]]/1320,0)</f>
        <v>0</v>
      </c>
      <c r="P104" s="212">
        <f>Table12[[#This Row],[ADD ACC]]*Table12[[#This Row],[RT TIME 
(777-500ER)]]</f>
        <v>0</v>
      </c>
    </row>
    <row r="105" spans="1:16" ht="15.75" customHeight="1" x14ac:dyDescent="0.25">
      <c r="A105" s="212" t="s">
        <v>14890</v>
      </c>
      <c r="B105" s="212" t="s">
        <v>5625</v>
      </c>
      <c r="C105" s="212" t="s">
        <v>2</v>
      </c>
      <c r="D105" s="226">
        <v>4</v>
      </c>
      <c r="E105" s="212" t="s">
        <v>258</v>
      </c>
      <c r="F105" s="212" t="s">
        <v>12670</v>
      </c>
      <c r="G105" s="227" t="s">
        <v>11085</v>
      </c>
      <c r="H105" s="228">
        <v>6595</v>
      </c>
      <c r="I105" s="208">
        <v>17</v>
      </c>
      <c r="J105" s="211">
        <v>218368531</v>
      </c>
      <c r="K105" s="209">
        <v>70509.696803358092</v>
      </c>
      <c r="L105" s="212">
        <v>3097</v>
      </c>
      <c r="M105" s="212">
        <f>VLOOKUP(Table12[[#This Row],[ROUTE]],DEMAND!A:F,5,FALSE)</f>
        <v>3274</v>
      </c>
      <c r="N105" s="212">
        <f>VLOOKUP(Table12[[#This Row],[ROUTE]],DEMAND!A:F,6,FALSE)</f>
        <v>1074</v>
      </c>
      <c r="O105" s="212">
        <f>ROUNDDOWN(Table12[[#This Row],[R-DEMAND]]/1320,0)</f>
        <v>0</v>
      </c>
      <c r="P105" s="212">
        <f>Table12[[#This Row],[ADD ACC]]*Table12[[#This Row],[RT TIME 
(777-500ER)]]</f>
        <v>0</v>
      </c>
    </row>
    <row r="106" spans="1:16" ht="15.75" customHeight="1" x14ac:dyDescent="0.25">
      <c r="A106" s="212" t="s">
        <v>14776</v>
      </c>
      <c r="B106" s="212" t="s">
        <v>300</v>
      </c>
      <c r="C106" s="212" t="s">
        <v>2</v>
      </c>
      <c r="D106" s="226">
        <v>3</v>
      </c>
      <c r="E106" s="212" t="s">
        <v>1070</v>
      </c>
      <c r="F106" s="212" t="s">
        <v>12670</v>
      </c>
      <c r="G106" s="227" t="s">
        <v>12052</v>
      </c>
      <c r="H106" s="228">
        <v>5403</v>
      </c>
      <c r="I106" s="208">
        <v>14.25</v>
      </c>
      <c r="J106" s="211">
        <v>188302504</v>
      </c>
      <c r="K106" s="209">
        <v>51044.322038492814</v>
      </c>
      <c r="L106" s="212">
        <v>3689</v>
      </c>
      <c r="M106" s="212">
        <f>VLOOKUP(Table12[[#This Row],[ROUTE]],DEMAND!A:F,5,FALSE)</f>
        <v>3936</v>
      </c>
      <c r="N106" s="212">
        <f>VLOOKUP(Table12[[#This Row],[ROUTE]],DEMAND!A:F,6,FALSE)</f>
        <v>636</v>
      </c>
      <c r="O106" s="212">
        <f>ROUNDDOWN(Table12[[#This Row],[R-DEMAND]]/1320,0)</f>
        <v>0</v>
      </c>
      <c r="P106" s="212">
        <f>Table12[[#This Row],[ADD ACC]]*Table12[[#This Row],[RT TIME 
(777-500ER)]]</f>
        <v>0</v>
      </c>
    </row>
    <row r="107" spans="1:16" ht="15.75" customHeight="1" x14ac:dyDescent="0.25">
      <c r="A107" s="212" t="s">
        <v>14457</v>
      </c>
      <c r="B107" s="212" t="s">
        <v>5121</v>
      </c>
      <c r="C107" s="212" t="s">
        <v>2</v>
      </c>
      <c r="D107" s="226">
        <v>3</v>
      </c>
      <c r="E107" s="212" t="s">
        <v>5119</v>
      </c>
      <c r="F107" s="212" t="s">
        <v>12688</v>
      </c>
      <c r="G107" s="227" t="s">
        <v>13207</v>
      </c>
      <c r="H107" s="228">
        <v>10868</v>
      </c>
      <c r="I107" s="208">
        <v>26.5</v>
      </c>
      <c r="J107" s="211">
        <v>241941548</v>
      </c>
      <c r="K107" s="209">
        <v>60621.786018541716</v>
      </c>
      <c r="L107" s="212">
        <v>3991</v>
      </c>
      <c r="M107" s="212">
        <f>VLOOKUP(Table12[[#This Row],[ROUTE]],DEMAND!A:F,5,FALSE)</f>
        <v>4191</v>
      </c>
      <c r="N107" s="212">
        <f>VLOOKUP(Table12[[#This Row],[ROUTE]],DEMAND!A:F,6,FALSE)</f>
        <v>891</v>
      </c>
      <c r="O107" s="212">
        <f>ROUNDDOWN(Table12[[#This Row],[R-DEMAND]]/1320,0)</f>
        <v>0</v>
      </c>
      <c r="P107" s="212">
        <f>Table12[[#This Row],[ADD ACC]]*Table12[[#This Row],[RT TIME 
(777-500ER)]]</f>
        <v>0</v>
      </c>
    </row>
    <row r="108" spans="1:16" ht="15.75" customHeight="1" x14ac:dyDescent="0.25">
      <c r="A108" s="212" t="s">
        <v>14285</v>
      </c>
      <c r="B108" s="212" t="s">
        <v>5082</v>
      </c>
      <c r="C108" s="212" t="s">
        <v>2</v>
      </c>
      <c r="D108" s="226">
        <v>3</v>
      </c>
      <c r="E108" s="212" t="s">
        <v>5080</v>
      </c>
      <c r="F108" s="212" t="s">
        <v>12682</v>
      </c>
      <c r="G108" s="227" t="s">
        <v>12038</v>
      </c>
      <c r="H108" s="228">
        <v>9809</v>
      </c>
      <c r="I108" s="208">
        <v>24</v>
      </c>
      <c r="J108" s="211">
        <v>230879347</v>
      </c>
      <c r="K108" s="209">
        <v>98750.789991445679</v>
      </c>
      <c r="L108" s="212">
        <v>2338</v>
      </c>
      <c r="M108" s="212">
        <f>VLOOKUP(Table12[[#This Row],[ROUTE]],DEMAND!A:F,5,FALSE)</f>
        <v>2440</v>
      </c>
      <c r="N108" s="212">
        <f>VLOOKUP(Table12[[#This Row],[ROUTE]],DEMAND!A:F,6,FALSE)</f>
        <v>240</v>
      </c>
      <c r="O108" s="212">
        <f>ROUNDDOWN(Table12[[#This Row],[R-DEMAND]]/1320,0)</f>
        <v>0</v>
      </c>
      <c r="P108" s="212">
        <f>Table12[[#This Row],[ADD ACC]]*Table12[[#This Row],[RT TIME 
(777-500ER)]]</f>
        <v>0</v>
      </c>
    </row>
    <row r="109" spans="1:16" ht="15.75" customHeight="1" x14ac:dyDescent="0.25">
      <c r="A109" s="212" t="s">
        <v>14674</v>
      </c>
      <c r="B109" s="212" t="s">
        <v>295</v>
      </c>
      <c r="C109" s="212" t="s">
        <v>2</v>
      </c>
      <c r="D109" s="226">
        <v>4</v>
      </c>
      <c r="E109" s="212" t="s">
        <v>1674</v>
      </c>
      <c r="F109" s="212" t="s">
        <v>12674</v>
      </c>
      <c r="G109" s="227" t="s">
        <v>11084</v>
      </c>
      <c r="H109" s="228">
        <v>2428</v>
      </c>
      <c r="I109" s="208">
        <v>7.5</v>
      </c>
      <c r="J109" s="211">
        <v>175108619</v>
      </c>
      <c r="K109" s="209">
        <v>71707.051187551187</v>
      </c>
      <c r="L109" s="212">
        <v>2442</v>
      </c>
      <c r="M109" s="212">
        <f>VLOOKUP(Table12[[#This Row],[ROUTE]],DEMAND!A:F,5,FALSE)</f>
        <v>2558</v>
      </c>
      <c r="N109" s="212">
        <f>VLOOKUP(Table12[[#This Row],[ROUTE]],DEMAND!A:F,6,FALSE)</f>
        <v>358</v>
      </c>
      <c r="O109" s="212">
        <f>ROUNDDOWN(Table12[[#This Row],[R-DEMAND]]/1320,0)</f>
        <v>0</v>
      </c>
      <c r="P109" s="212">
        <f>Table12[[#This Row],[ADD ACC]]*Table12[[#This Row],[RT TIME 
(777-500ER)]]</f>
        <v>0</v>
      </c>
    </row>
    <row r="110" spans="1:16" ht="15.75" customHeight="1" x14ac:dyDescent="0.25">
      <c r="A110" s="212" t="s">
        <v>14253</v>
      </c>
      <c r="B110" s="212" t="s">
        <v>5225</v>
      </c>
      <c r="C110" s="212" t="s">
        <v>2</v>
      </c>
      <c r="D110" s="226">
        <v>3</v>
      </c>
      <c r="E110" s="212" t="s">
        <v>2293</v>
      </c>
      <c r="F110" s="212" t="s">
        <v>12694</v>
      </c>
      <c r="G110" s="227" t="s">
        <v>13202</v>
      </c>
      <c r="H110" s="228">
        <v>11922</v>
      </c>
      <c r="I110" s="208">
        <v>28.75</v>
      </c>
      <c r="J110" s="211">
        <v>255123858</v>
      </c>
      <c r="K110" s="209">
        <v>70127.503573391979</v>
      </c>
      <c r="L110" s="212">
        <v>3638</v>
      </c>
      <c r="M110" s="212">
        <f>VLOOKUP(Table12[[#This Row],[ROUTE]],DEMAND!A:F,5,FALSE)</f>
        <v>3834</v>
      </c>
      <c r="N110" s="212">
        <f>VLOOKUP(Table12[[#This Row],[ROUTE]],DEMAND!A:F,6,FALSE)</f>
        <v>534</v>
      </c>
      <c r="O110" s="212">
        <f>ROUNDDOWN(Table12[[#This Row],[R-DEMAND]]/1320,0)</f>
        <v>0</v>
      </c>
      <c r="P110" s="212">
        <f>Table12[[#This Row],[ADD ACC]]*Table12[[#This Row],[RT TIME 
(777-500ER)]]</f>
        <v>0</v>
      </c>
    </row>
    <row r="111" spans="1:16" ht="15.75" customHeight="1" x14ac:dyDescent="0.25">
      <c r="A111" s="212" t="s">
        <v>14743</v>
      </c>
      <c r="B111" s="212" t="s">
        <v>290</v>
      </c>
      <c r="C111" s="212" t="s">
        <v>2</v>
      </c>
      <c r="D111" s="226">
        <v>4</v>
      </c>
      <c r="E111" s="212" t="s">
        <v>14</v>
      </c>
      <c r="F111" s="212" t="s">
        <v>12670</v>
      </c>
      <c r="G111" s="227" t="s">
        <v>12085</v>
      </c>
      <c r="H111" s="228">
        <v>7101</v>
      </c>
      <c r="I111" s="208">
        <v>18</v>
      </c>
      <c r="J111" s="211">
        <v>216185637</v>
      </c>
      <c r="K111" s="209">
        <v>65630.126593806926</v>
      </c>
      <c r="L111" s="212">
        <v>3294</v>
      </c>
      <c r="M111" s="212">
        <f>VLOOKUP(Table12[[#This Row],[ROUTE]],DEMAND!A:F,5,FALSE)</f>
        <v>3427</v>
      </c>
      <c r="N111" s="212">
        <f>VLOOKUP(Table12[[#This Row],[ROUTE]],DEMAND!A:F,6,FALSE)</f>
        <v>1227</v>
      </c>
      <c r="O111" s="212">
        <f>ROUNDDOWN(Table12[[#This Row],[R-DEMAND]]/1320,0)</f>
        <v>0</v>
      </c>
      <c r="P111" s="212">
        <f>Table12[[#This Row],[ADD ACC]]*Table12[[#This Row],[RT TIME 
(777-500ER)]]</f>
        <v>0</v>
      </c>
    </row>
    <row r="112" spans="1:16" ht="15.75" customHeight="1" x14ac:dyDescent="0.25">
      <c r="A112" s="212" t="s">
        <v>14533</v>
      </c>
      <c r="B112" s="212" t="s">
        <v>288</v>
      </c>
      <c r="C112" s="212" t="s">
        <v>2</v>
      </c>
      <c r="D112" s="226">
        <v>4</v>
      </c>
      <c r="E112" s="212" t="s">
        <v>1427</v>
      </c>
      <c r="F112" s="212" t="s">
        <v>12674</v>
      </c>
      <c r="G112" s="227" t="s">
        <v>11083</v>
      </c>
      <c r="H112" s="228">
        <v>1800</v>
      </c>
      <c r="I112" s="208">
        <v>6.25</v>
      </c>
      <c r="J112" s="211">
        <v>166169453</v>
      </c>
      <c r="K112" s="209">
        <v>65731.587420886077</v>
      </c>
      <c r="L112" s="212">
        <v>2528</v>
      </c>
      <c r="M112" s="212">
        <f>VLOOKUP(Table12[[#This Row],[ROUTE]],DEMAND!A:F,5,FALSE)</f>
        <v>2698</v>
      </c>
      <c r="N112" s="212">
        <f>VLOOKUP(Table12[[#This Row],[ROUTE]],DEMAND!A:F,6,FALSE)</f>
        <v>498</v>
      </c>
      <c r="O112" s="212">
        <f>ROUNDDOWN(Table12[[#This Row],[R-DEMAND]]/1320,0)</f>
        <v>0</v>
      </c>
      <c r="P112" s="212">
        <f>Table12[[#This Row],[ADD ACC]]*Table12[[#This Row],[RT TIME 
(777-500ER)]]</f>
        <v>0</v>
      </c>
    </row>
    <row r="113" spans="1:16" ht="15.75" customHeight="1" x14ac:dyDescent="0.25">
      <c r="A113" s="212" t="s">
        <v>14952</v>
      </c>
      <c r="B113" s="212" t="s">
        <v>286</v>
      </c>
      <c r="C113" s="212" t="s">
        <v>2</v>
      </c>
      <c r="D113" s="226">
        <v>3</v>
      </c>
      <c r="E113" s="212" t="s">
        <v>1314</v>
      </c>
      <c r="F113" s="212" t="s">
        <v>12670</v>
      </c>
      <c r="G113" s="227" t="s">
        <v>12083</v>
      </c>
      <c r="H113" s="228">
        <v>6695</v>
      </c>
      <c r="I113" s="208">
        <v>17.25</v>
      </c>
      <c r="J113" s="211">
        <v>202504956</v>
      </c>
      <c r="K113" s="209">
        <v>61758.144556267158</v>
      </c>
      <c r="L113" s="212">
        <v>3279</v>
      </c>
      <c r="M113" s="212">
        <f>VLOOKUP(Table12[[#This Row],[ROUTE]],DEMAND!A:F,5,FALSE)</f>
        <v>3478</v>
      </c>
      <c r="N113" s="212">
        <f>VLOOKUP(Table12[[#This Row],[ROUTE]],DEMAND!A:F,6,FALSE)</f>
        <v>1278</v>
      </c>
      <c r="O113" s="212">
        <f>ROUNDDOWN(Table12[[#This Row],[R-DEMAND]]/1320,0)</f>
        <v>0</v>
      </c>
      <c r="P113" s="212">
        <f>Table12[[#This Row],[ADD ACC]]*Table12[[#This Row],[RT TIME 
(777-500ER)]]</f>
        <v>0</v>
      </c>
    </row>
    <row r="114" spans="1:16" ht="15.75" customHeight="1" x14ac:dyDescent="0.25">
      <c r="A114" s="212" t="s">
        <v>14446</v>
      </c>
      <c r="B114" s="212" t="s">
        <v>5465</v>
      </c>
      <c r="C114" s="212" t="s">
        <v>2</v>
      </c>
      <c r="D114" s="226">
        <v>4</v>
      </c>
      <c r="E114" s="212" t="s">
        <v>683</v>
      </c>
      <c r="F114" s="212" t="s">
        <v>12688</v>
      </c>
      <c r="G114" s="227" t="s">
        <v>13186</v>
      </c>
      <c r="H114" s="228">
        <v>9642</v>
      </c>
      <c r="I114" s="208">
        <v>23.75</v>
      </c>
      <c r="J114" s="211">
        <v>238948247</v>
      </c>
      <c r="K114" s="209">
        <v>75235.594143576833</v>
      </c>
      <c r="L114" s="212">
        <v>3176</v>
      </c>
      <c r="M114" s="212">
        <f>VLOOKUP(Table12[[#This Row],[ROUTE]],DEMAND!A:F,5,FALSE)</f>
        <v>3326</v>
      </c>
      <c r="N114" s="212">
        <f>VLOOKUP(Table12[[#This Row],[ROUTE]],DEMAND!A:F,6,FALSE)</f>
        <v>1126</v>
      </c>
      <c r="O114" s="212">
        <f>ROUNDDOWN(Table12[[#This Row],[R-DEMAND]]/1320,0)</f>
        <v>0</v>
      </c>
      <c r="P114" s="212">
        <f>Table12[[#This Row],[ADD ACC]]*Table12[[#This Row],[RT TIME 
(777-500ER)]]</f>
        <v>0</v>
      </c>
    </row>
    <row r="115" spans="1:16" ht="15.75" customHeight="1" x14ac:dyDescent="0.25">
      <c r="A115" s="212" t="s">
        <v>15013</v>
      </c>
      <c r="B115" s="212" t="s">
        <v>3463</v>
      </c>
      <c r="C115" s="212" t="s">
        <v>2</v>
      </c>
      <c r="D115" s="226">
        <v>2</v>
      </c>
      <c r="E115" s="212" t="s">
        <v>1124</v>
      </c>
      <c r="F115" s="212" t="s">
        <v>12671</v>
      </c>
      <c r="G115" s="227" t="s">
        <v>11857</v>
      </c>
      <c r="H115" s="228">
        <v>2799</v>
      </c>
      <c r="I115" s="208">
        <v>8.5</v>
      </c>
      <c r="J115" s="211">
        <v>143538403</v>
      </c>
      <c r="K115" s="209">
        <v>44563.304253337476</v>
      </c>
      <c r="L115" s="212">
        <v>3221</v>
      </c>
      <c r="M115" s="212">
        <f>VLOOKUP(Table12[[#This Row],[ROUTE]],DEMAND!A:F,5,FALSE)</f>
        <v>3405</v>
      </c>
      <c r="N115" s="212">
        <f>VLOOKUP(Table12[[#This Row],[ROUTE]],DEMAND!A:F,6,FALSE)</f>
        <v>1205</v>
      </c>
      <c r="O115" s="212">
        <f>ROUNDDOWN(Table12[[#This Row],[R-DEMAND]]/1320,0)</f>
        <v>0</v>
      </c>
      <c r="P115" s="212">
        <f>Table12[[#This Row],[ADD ACC]]*Table12[[#This Row],[RT TIME 
(777-500ER)]]</f>
        <v>0</v>
      </c>
    </row>
    <row r="116" spans="1:16" ht="15.75" customHeight="1" x14ac:dyDescent="0.25">
      <c r="A116" s="212" t="s">
        <v>14914</v>
      </c>
      <c r="B116" s="212" t="s">
        <v>284</v>
      </c>
      <c r="C116" s="212" t="s">
        <v>2</v>
      </c>
      <c r="D116" s="226">
        <v>3</v>
      </c>
      <c r="E116" s="212" t="s">
        <v>332</v>
      </c>
      <c r="F116" s="212" t="s">
        <v>12670</v>
      </c>
      <c r="G116" s="227" t="s">
        <v>12106</v>
      </c>
      <c r="H116" s="228">
        <v>7665</v>
      </c>
      <c r="I116" s="208">
        <v>19.25</v>
      </c>
      <c r="J116" s="211">
        <v>204179324</v>
      </c>
      <c r="K116" s="209">
        <v>69496.025867937366</v>
      </c>
      <c r="L116" s="212">
        <v>2938</v>
      </c>
      <c r="M116" s="212">
        <f>VLOOKUP(Table12[[#This Row],[ROUTE]],DEMAND!A:F,5,FALSE)</f>
        <v>3087</v>
      </c>
      <c r="N116" s="212">
        <f>VLOOKUP(Table12[[#This Row],[ROUTE]],DEMAND!A:F,6,FALSE)</f>
        <v>887</v>
      </c>
      <c r="O116" s="212">
        <f>ROUNDDOWN(Table12[[#This Row],[R-DEMAND]]/1320,0)</f>
        <v>0</v>
      </c>
      <c r="P116" s="212">
        <f>Table12[[#This Row],[ADD ACC]]*Table12[[#This Row],[RT TIME 
(777-500ER)]]</f>
        <v>0</v>
      </c>
    </row>
    <row r="117" spans="1:16" ht="15.75" customHeight="1" x14ac:dyDescent="0.25">
      <c r="A117" s="212" t="s">
        <v>14507</v>
      </c>
      <c r="B117" s="212" t="s">
        <v>282</v>
      </c>
      <c r="C117" s="212" t="s">
        <v>2</v>
      </c>
      <c r="D117" s="226">
        <v>4</v>
      </c>
      <c r="E117" s="212" t="s">
        <v>807</v>
      </c>
      <c r="F117" s="212" t="s">
        <v>12674</v>
      </c>
      <c r="G117" s="227" t="s">
        <v>11082</v>
      </c>
      <c r="H117" s="212">
        <v>937</v>
      </c>
      <c r="I117" s="208">
        <v>4.25</v>
      </c>
      <c r="J117" s="211">
        <v>161055289</v>
      </c>
      <c r="K117" s="209">
        <v>62545.743300970877</v>
      </c>
      <c r="L117" s="212">
        <v>2575</v>
      </c>
      <c r="M117" s="212">
        <f>VLOOKUP(Table12[[#This Row],[ROUTE]],DEMAND!A:F,5,FALSE)</f>
        <v>2706</v>
      </c>
      <c r="N117" s="212">
        <f>VLOOKUP(Table12[[#This Row],[ROUTE]],DEMAND!A:F,6,FALSE)</f>
        <v>506</v>
      </c>
      <c r="O117" s="212">
        <f>ROUNDDOWN(Table12[[#This Row],[R-DEMAND]]/1320,0)</f>
        <v>0</v>
      </c>
      <c r="P117" s="212">
        <f>Table12[[#This Row],[ADD ACC]]*Table12[[#This Row],[RT TIME 
(777-500ER)]]</f>
        <v>0</v>
      </c>
    </row>
    <row r="118" spans="1:16" ht="15.75" customHeight="1" x14ac:dyDescent="0.25">
      <c r="A118" s="212" t="s">
        <v>14716</v>
      </c>
      <c r="B118" s="212" t="s">
        <v>5149</v>
      </c>
      <c r="C118" s="212" t="s">
        <v>2</v>
      </c>
      <c r="D118" s="226">
        <v>3</v>
      </c>
      <c r="E118" s="212" t="s">
        <v>14</v>
      </c>
      <c r="F118" s="212" t="s">
        <v>12670</v>
      </c>
      <c r="G118" s="227" t="s">
        <v>12019</v>
      </c>
      <c r="H118" s="228">
        <v>5438</v>
      </c>
      <c r="I118" s="208">
        <v>14.25</v>
      </c>
      <c r="J118" s="211">
        <v>188023093</v>
      </c>
      <c r="K118" s="209">
        <v>62905.016058882567</v>
      </c>
      <c r="L118" s="212">
        <v>2989</v>
      </c>
      <c r="M118" s="212">
        <f>VLOOKUP(Table12[[#This Row],[ROUTE]],DEMAND!A:F,5,FALSE)</f>
        <v>3139</v>
      </c>
      <c r="N118" s="212">
        <f>VLOOKUP(Table12[[#This Row],[ROUTE]],DEMAND!A:F,6,FALSE)</f>
        <v>939</v>
      </c>
      <c r="O118" s="212">
        <f>ROUNDDOWN(Table12[[#This Row],[R-DEMAND]]/1320,0)</f>
        <v>0</v>
      </c>
      <c r="P118" s="212">
        <f>Table12[[#This Row],[ADD ACC]]*Table12[[#This Row],[RT TIME 
(777-500ER)]]</f>
        <v>0</v>
      </c>
    </row>
    <row r="119" spans="1:16" ht="15.75" customHeight="1" x14ac:dyDescent="0.25">
      <c r="A119" s="212" t="s">
        <v>14727</v>
      </c>
      <c r="B119" s="212" t="s">
        <v>5194</v>
      </c>
      <c r="C119" s="212" t="s">
        <v>2</v>
      </c>
      <c r="D119" s="226">
        <v>3</v>
      </c>
      <c r="E119" s="212" t="s">
        <v>14</v>
      </c>
      <c r="F119" s="212" t="s">
        <v>12670</v>
      </c>
      <c r="G119" s="227" t="s">
        <v>12050</v>
      </c>
      <c r="H119" s="228">
        <v>6507</v>
      </c>
      <c r="I119" s="208">
        <v>16.75</v>
      </c>
      <c r="J119" s="211">
        <v>199602135</v>
      </c>
      <c r="K119" s="209">
        <v>66224.995023224954</v>
      </c>
      <c r="L119" s="212">
        <v>3014</v>
      </c>
      <c r="M119" s="212">
        <f>VLOOKUP(Table12[[#This Row],[ROUTE]],DEMAND!A:F,5,FALSE)</f>
        <v>3176</v>
      </c>
      <c r="N119" s="212">
        <f>VLOOKUP(Table12[[#This Row],[ROUTE]],DEMAND!A:F,6,FALSE)</f>
        <v>976</v>
      </c>
      <c r="O119" s="212">
        <f>ROUNDDOWN(Table12[[#This Row],[R-DEMAND]]/1320,0)</f>
        <v>0</v>
      </c>
      <c r="P119" s="212">
        <f>Table12[[#This Row],[ADD ACC]]*Table12[[#This Row],[RT TIME 
(777-500ER)]]</f>
        <v>0</v>
      </c>
    </row>
    <row r="120" spans="1:16" ht="15.75" customHeight="1" x14ac:dyDescent="0.25">
      <c r="A120" s="212" t="s">
        <v>14736</v>
      </c>
      <c r="B120" s="212" t="s">
        <v>279</v>
      </c>
      <c r="C120" s="212" t="s">
        <v>2</v>
      </c>
      <c r="D120" s="226">
        <v>4</v>
      </c>
      <c r="E120" s="212" t="s">
        <v>14</v>
      </c>
      <c r="F120" s="212" t="s">
        <v>12670</v>
      </c>
      <c r="G120" s="227" t="s">
        <v>278</v>
      </c>
      <c r="H120" s="228">
        <v>6832</v>
      </c>
      <c r="I120" s="208">
        <v>17.5</v>
      </c>
      <c r="J120" s="211">
        <v>221096964</v>
      </c>
      <c r="K120" s="209">
        <v>63279.039496279336</v>
      </c>
      <c r="L120" s="212">
        <v>3494</v>
      </c>
      <c r="M120" s="212">
        <f>VLOOKUP(Table12[[#This Row],[ROUTE]],DEMAND!A:F,5,FALSE)</f>
        <v>3718</v>
      </c>
      <c r="N120" s="212">
        <f>VLOOKUP(Table12[[#This Row],[ROUTE]],DEMAND!A:F,6,FALSE)</f>
        <v>418</v>
      </c>
      <c r="O120" s="212">
        <f>ROUNDDOWN(Table12[[#This Row],[R-DEMAND]]/1320,0)</f>
        <v>0</v>
      </c>
      <c r="P120" s="212">
        <f>Table12[[#This Row],[ADD ACC]]*Table12[[#This Row],[RT TIME 
(777-500ER)]]</f>
        <v>0</v>
      </c>
    </row>
    <row r="121" spans="1:16" ht="15.75" customHeight="1" x14ac:dyDescent="0.25">
      <c r="A121" s="212" t="s">
        <v>14810</v>
      </c>
      <c r="B121" s="212" t="s">
        <v>5008</v>
      </c>
      <c r="C121" s="212" t="s">
        <v>2</v>
      </c>
      <c r="D121" s="226">
        <v>3</v>
      </c>
      <c r="E121" s="212" t="s">
        <v>142</v>
      </c>
      <c r="F121" s="212" t="s">
        <v>12670</v>
      </c>
      <c r="G121" s="227" t="s">
        <v>9502</v>
      </c>
      <c r="H121" s="228">
        <v>7009</v>
      </c>
      <c r="I121" s="208">
        <v>17.75</v>
      </c>
      <c r="J121" s="211">
        <v>201748077</v>
      </c>
      <c r="K121" s="209">
        <v>87945.979511769838</v>
      </c>
      <c r="L121" s="212">
        <v>2294</v>
      </c>
      <c r="M121" s="212">
        <f>VLOOKUP(Table12[[#This Row],[ROUTE]],DEMAND!A:F,5,FALSE)</f>
        <v>2372</v>
      </c>
      <c r="N121" s="212">
        <f>VLOOKUP(Table12[[#This Row],[ROUTE]],DEMAND!A:F,6,FALSE)</f>
        <v>1272</v>
      </c>
      <c r="O121" s="212">
        <f>ROUNDDOWN(Table12[[#This Row],[R-DEMAND]]/1320,0)</f>
        <v>0</v>
      </c>
      <c r="P121" s="212">
        <f>Table12[[#This Row],[ADD ACC]]*Table12[[#This Row],[RT TIME 
(777-500ER)]]</f>
        <v>0</v>
      </c>
    </row>
    <row r="122" spans="1:16" ht="15.75" customHeight="1" x14ac:dyDescent="0.25">
      <c r="A122" s="212" t="s">
        <v>14744</v>
      </c>
      <c r="B122" s="212" t="s">
        <v>277</v>
      </c>
      <c r="C122" s="212" t="s">
        <v>2</v>
      </c>
      <c r="D122" s="226">
        <v>5</v>
      </c>
      <c r="E122" s="212" t="s">
        <v>14</v>
      </c>
      <c r="F122" s="212" t="s">
        <v>12670</v>
      </c>
      <c r="G122" s="227" t="s">
        <v>11081</v>
      </c>
      <c r="H122" s="228">
        <v>7110</v>
      </c>
      <c r="I122" s="208">
        <v>18</v>
      </c>
      <c r="J122" s="211">
        <v>243425868</v>
      </c>
      <c r="K122" s="209">
        <v>60886.910455227611</v>
      </c>
      <c r="L122" s="212">
        <v>3998</v>
      </c>
      <c r="M122" s="212">
        <f>VLOOKUP(Table12[[#This Row],[ROUTE]],DEMAND!A:F,5,FALSE)</f>
        <v>4254</v>
      </c>
      <c r="N122" s="212">
        <f>VLOOKUP(Table12[[#This Row],[ROUTE]],DEMAND!A:F,6,FALSE)</f>
        <v>954</v>
      </c>
      <c r="O122" s="212">
        <f>ROUNDDOWN(Table12[[#This Row],[R-DEMAND]]/1320,0)</f>
        <v>0</v>
      </c>
      <c r="P122" s="212">
        <f>Table12[[#This Row],[ADD ACC]]*Table12[[#This Row],[RT TIME 
(777-500ER)]]</f>
        <v>0</v>
      </c>
    </row>
    <row r="123" spans="1:16" ht="15.75" customHeight="1" x14ac:dyDescent="0.25">
      <c r="A123" s="212" t="s">
        <v>14912</v>
      </c>
      <c r="B123" s="212" t="s">
        <v>275</v>
      </c>
      <c r="C123" s="212" t="s">
        <v>2</v>
      </c>
      <c r="D123" s="226">
        <v>3</v>
      </c>
      <c r="E123" s="212" t="s">
        <v>332</v>
      </c>
      <c r="F123" s="212" t="s">
        <v>12670</v>
      </c>
      <c r="G123" s="227" t="s">
        <v>12104</v>
      </c>
      <c r="H123" s="228">
        <v>7431</v>
      </c>
      <c r="I123" s="208">
        <v>18.75</v>
      </c>
      <c r="J123" s="211">
        <v>215636372</v>
      </c>
      <c r="K123" s="209">
        <v>64120.241451085341</v>
      </c>
      <c r="L123" s="212">
        <v>3363</v>
      </c>
      <c r="M123" s="212">
        <f>VLOOKUP(Table12[[#This Row],[ROUTE]],DEMAND!A:F,5,FALSE)</f>
        <v>3499</v>
      </c>
      <c r="N123" s="212">
        <f>VLOOKUP(Table12[[#This Row],[ROUTE]],DEMAND!A:F,6,FALSE)</f>
        <v>1299</v>
      </c>
      <c r="O123" s="212">
        <f>ROUNDDOWN(Table12[[#This Row],[R-DEMAND]]/1320,0)</f>
        <v>0</v>
      </c>
      <c r="P123" s="212">
        <f>Table12[[#This Row],[ADD ACC]]*Table12[[#This Row],[RT TIME 
(777-500ER)]]</f>
        <v>0</v>
      </c>
    </row>
    <row r="124" spans="1:16" ht="15.75" customHeight="1" x14ac:dyDescent="0.25">
      <c r="A124" s="212" t="s">
        <v>14790</v>
      </c>
      <c r="B124" s="212" t="s">
        <v>272</v>
      </c>
      <c r="C124" s="212" t="s">
        <v>2</v>
      </c>
      <c r="D124" s="226">
        <v>2</v>
      </c>
      <c r="E124" s="212" t="s">
        <v>1261</v>
      </c>
      <c r="F124" s="212" t="s">
        <v>12670</v>
      </c>
      <c r="G124" s="227" t="s">
        <v>12117</v>
      </c>
      <c r="H124" s="228">
        <v>9291</v>
      </c>
      <c r="I124" s="208">
        <v>23</v>
      </c>
      <c r="J124" s="211">
        <v>208902318</v>
      </c>
      <c r="K124" s="209">
        <v>73350.533005617981</v>
      </c>
      <c r="L124" s="212">
        <v>2848</v>
      </c>
      <c r="M124" s="212">
        <f>VLOOKUP(Table12[[#This Row],[ROUTE]],DEMAND!A:F,5,FALSE)</f>
        <v>2953</v>
      </c>
      <c r="N124" s="212">
        <f>VLOOKUP(Table12[[#This Row],[ROUTE]],DEMAND!A:F,6,FALSE)</f>
        <v>753</v>
      </c>
      <c r="O124" s="212">
        <f>ROUNDDOWN(Table12[[#This Row],[R-DEMAND]]/1320,0)</f>
        <v>0</v>
      </c>
      <c r="P124" s="212">
        <f>Table12[[#This Row],[ADD ACC]]*Table12[[#This Row],[RT TIME 
(777-500ER)]]</f>
        <v>0</v>
      </c>
    </row>
    <row r="125" spans="1:16" ht="15.75" customHeight="1" x14ac:dyDescent="0.25">
      <c r="A125" s="212" t="s">
        <v>14823</v>
      </c>
      <c r="B125" s="212" t="s">
        <v>270</v>
      </c>
      <c r="C125" s="212" t="s">
        <v>2</v>
      </c>
      <c r="D125" s="226">
        <v>5</v>
      </c>
      <c r="E125" s="212" t="s">
        <v>142</v>
      </c>
      <c r="F125" s="212" t="s">
        <v>12670</v>
      </c>
      <c r="G125" s="227" t="s">
        <v>269</v>
      </c>
      <c r="H125" s="228">
        <v>7501</v>
      </c>
      <c r="I125" s="208">
        <v>19</v>
      </c>
      <c r="J125" s="211"/>
      <c r="K125" s="209">
        <v>0</v>
      </c>
      <c r="L125" s="212"/>
      <c r="M125" s="212">
        <f>VLOOKUP(Table12[[#This Row],[ROUTE]],DEMAND!A:F,5,FALSE)</f>
        <v>3527</v>
      </c>
      <c r="N125" s="212">
        <f>VLOOKUP(Table12[[#This Row],[ROUTE]],DEMAND!A:F,6,FALSE)</f>
        <v>227</v>
      </c>
      <c r="O125" s="212">
        <f>ROUNDDOWN(Table12[[#This Row],[R-DEMAND]]/1320,0)</f>
        <v>0</v>
      </c>
      <c r="P125" s="212">
        <f>Table12[[#This Row],[ADD ACC]]*Table12[[#This Row],[RT TIME 
(777-500ER)]]</f>
        <v>0</v>
      </c>
    </row>
    <row r="126" spans="1:16" ht="15.75" customHeight="1" x14ac:dyDescent="0.25">
      <c r="A126" s="212" t="s">
        <v>14412</v>
      </c>
      <c r="B126" s="212" t="s">
        <v>485</v>
      </c>
      <c r="C126" s="212" t="s">
        <v>2</v>
      </c>
      <c r="D126" s="226">
        <v>4</v>
      </c>
      <c r="E126" s="212" t="s">
        <v>647</v>
      </c>
      <c r="F126" s="212" t="s">
        <v>12688</v>
      </c>
      <c r="G126" s="227" t="s">
        <v>11080</v>
      </c>
      <c r="H126" s="228">
        <v>11355</v>
      </c>
      <c r="I126" s="208">
        <v>27.5</v>
      </c>
      <c r="J126" s="211"/>
      <c r="K126" s="209">
        <v>0</v>
      </c>
      <c r="L126" s="212"/>
      <c r="M126" s="212">
        <f>VLOOKUP(Table12[[#This Row],[ROUTE]],DEMAND!A:F,5,FALSE)</f>
        <v>2790</v>
      </c>
      <c r="N126" s="212">
        <f>VLOOKUP(Table12[[#This Row],[ROUTE]],DEMAND!A:F,6,FALSE)</f>
        <v>590</v>
      </c>
      <c r="O126" s="212">
        <f>ROUNDDOWN(Table12[[#This Row],[R-DEMAND]]/1320,0)</f>
        <v>0</v>
      </c>
      <c r="P126" s="212">
        <f>Table12[[#This Row],[ADD ACC]]*Table12[[#This Row],[RT TIME 
(777-500ER)]]</f>
        <v>0</v>
      </c>
    </row>
    <row r="127" spans="1:16" ht="15.75" customHeight="1" x14ac:dyDescent="0.25">
      <c r="A127" s="212" t="s">
        <v>14762</v>
      </c>
      <c r="B127" s="212" t="s">
        <v>268</v>
      </c>
      <c r="C127" s="212" t="s">
        <v>2</v>
      </c>
      <c r="D127" s="226">
        <v>4</v>
      </c>
      <c r="E127" s="212" t="s">
        <v>14</v>
      </c>
      <c r="F127" s="212" t="s">
        <v>12670</v>
      </c>
      <c r="G127" s="227" t="s">
        <v>11995</v>
      </c>
      <c r="H127" s="228">
        <v>5910</v>
      </c>
      <c r="I127" s="208">
        <v>15.5</v>
      </c>
      <c r="J127" s="211">
        <v>201206983</v>
      </c>
      <c r="K127" s="209">
        <v>62583.820528771386</v>
      </c>
      <c r="L127" s="212">
        <v>3215</v>
      </c>
      <c r="M127" s="212">
        <f>VLOOKUP(Table12[[#This Row],[ROUTE]],DEMAND!A:F,5,FALSE)</f>
        <v>3377</v>
      </c>
      <c r="N127" s="212">
        <f>VLOOKUP(Table12[[#This Row],[ROUTE]],DEMAND!A:F,6,FALSE)</f>
        <v>1177</v>
      </c>
      <c r="O127" s="212">
        <f>ROUNDDOWN(Table12[[#This Row],[R-DEMAND]]/1320,0)</f>
        <v>0</v>
      </c>
      <c r="P127" s="212">
        <f>Table12[[#This Row],[ADD ACC]]*Table12[[#This Row],[RT TIME 
(777-500ER)]]</f>
        <v>0</v>
      </c>
    </row>
    <row r="128" spans="1:16" ht="15.75" customHeight="1" x14ac:dyDescent="0.25">
      <c r="A128" s="212" t="s">
        <v>15017</v>
      </c>
      <c r="B128" s="212" t="s">
        <v>5471</v>
      </c>
      <c r="C128" s="212" t="s">
        <v>2</v>
      </c>
      <c r="D128" s="226">
        <v>4</v>
      </c>
      <c r="E128" s="212" t="s">
        <v>1124</v>
      </c>
      <c r="F128" s="212" t="s">
        <v>12671</v>
      </c>
      <c r="G128" s="227" t="s">
        <v>11079</v>
      </c>
      <c r="H128" s="228">
        <v>3157</v>
      </c>
      <c r="I128" s="208">
        <v>9.25</v>
      </c>
      <c r="J128" s="211">
        <v>174460242</v>
      </c>
      <c r="K128" s="209">
        <v>41806.911574406899</v>
      </c>
      <c r="L128" s="212">
        <v>4173</v>
      </c>
      <c r="M128" s="212">
        <f>VLOOKUP(Table12[[#This Row],[ROUTE]],DEMAND!A:F,5,FALSE)</f>
        <v>4426</v>
      </c>
      <c r="N128" s="212">
        <f>VLOOKUP(Table12[[#This Row],[ROUTE]],DEMAND!A:F,6,FALSE)</f>
        <v>1126</v>
      </c>
      <c r="O128" s="212">
        <f>ROUNDDOWN(Table12[[#This Row],[R-DEMAND]]/1320,0)</f>
        <v>0</v>
      </c>
      <c r="P128" s="212">
        <f>Table12[[#This Row],[ADD ACC]]*Table12[[#This Row],[RT TIME 
(777-500ER)]]</f>
        <v>0</v>
      </c>
    </row>
    <row r="129" spans="1:16" ht="15.75" customHeight="1" x14ac:dyDescent="0.25">
      <c r="A129" s="212" t="s">
        <v>14778</v>
      </c>
      <c r="B129" s="212" t="s">
        <v>263</v>
      </c>
      <c r="C129" s="212" t="s">
        <v>2</v>
      </c>
      <c r="D129" s="226">
        <v>4</v>
      </c>
      <c r="E129" s="212" t="s">
        <v>1070</v>
      </c>
      <c r="F129" s="212" t="s">
        <v>12670</v>
      </c>
      <c r="G129" s="227" t="s">
        <v>11078</v>
      </c>
      <c r="H129" s="228">
        <v>5449</v>
      </c>
      <c r="I129" s="208">
        <v>14.25</v>
      </c>
      <c r="J129" s="211">
        <v>199143590</v>
      </c>
      <c r="K129" s="209">
        <v>49711.330504243633</v>
      </c>
      <c r="L129" s="212">
        <v>4006</v>
      </c>
      <c r="M129" s="212">
        <f>VLOOKUP(Table12[[#This Row],[ROUTE]],DEMAND!A:F,5,FALSE)</f>
        <v>4209</v>
      </c>
      <c r="N129" s="212">
        <f>VLOOKUP(Table12[[#This Row],[ROUTE]],DEMAND!A:F,6,FALSE)</f>
        <v>909</v>
      </c>
      <c r="O129" s="212">
        <f>ROUNDDOWN(Table12[[#This Row],[R-DEMAND]]/1320,0)</f>
        <v>0</v>
      </c>
      <c r="P129" s="212">
        <f>Table12[[#This Row],[ADD ACC]]*Table12[[#This Row],[RT TIME 
(777-500ER)]]</f>
        <v>0</v>
      </c>
    </row>
    <row r="130" spans="1:16" ht="15.75" customHeight="1" x14ac:dyDescent="0.25">
      <c r="A130" s="212" t="s">
        <v>14308</v>
      </c>
      <c r="B130" s="212" t="s">
        <v>261</v>
      </c>
      <c r="C130" s="212" t="s">
        <v>11122</v>
      </c>
      <c r="D130" s="226">
        <v>5</v>
      </c>
      <c r="E130" s="212" t="s">
        <v>647</v>
      </c>
      <c r="F130" s="212" t="s">
        <v>12688</v>
      </c>
      <c r="G130" s="227" t="s">
        <v>13348</v>
      </c>
      <c r="H130" s="228">
        <v>7878</v>
      </c>
      <c r="I130" s="208">
        <v>19.75</v>
      </c>
      <c r="J130" s="211">
        <v>239568039</v>
      </c>
      <c r="K130" s="209">
        <v>100028.40876826723</v>
      </c>
      <c r="L130" s="212">
        <v>2395</v>
      </c>
      <c r="M130" s="212">
        <f>VLOOKUP(Table12[[#This Row],[ROUTE]],DEMAND!A:F,5,FALSE)</f>
        <v>2540</v>
      </c>
      <c r="N130" s="212">
        <f>VLOOKUP(Table12[[#This Row],[ROUTE]],DEMAND!A:F,6,FALSE)</f>
        <v>340</v>
      </c>
      <c r="O130" s="212">
        <f>ROUNDDOWN(Table12[[#This Row],[R-DEMAND]]/1320,0)</f>
        <v>0</v>
      </c>
      <c r="P130" s="212">
        <f>Table12[[#This Row],[ADD ACC]]*Table12[[#This Row],[RT TIME 
(777-500ER)]]</f>
        <v>0</v>
      </c>
    </row>
    <row r="131" spans="1:16" ht="15.75" customHeight="1" x14ac:dyDescent="0.25">
      <c r="A131" s="212" t="s">
        <v>14395</v>
      </c>
      <c r="B131" s="212" t="s">
        <v>5741</v>
      </c>
      <c r="C131" s="212" t="s">
        <v>2</v>
      </c>
      <c r="D131" s="226">
        <v>5</v>
      </c>
      <c r="E131" s="212" t="s">
        <v>647</v>
      </c>
      <c r="F131" s="212" t="s">
        <v>12688</v>
      </c>
      <c r="G131" s="227" t="s">
        <v>13335</v>
      </c>
      <c r="H131" s="228">
        <v>9535</v>
      </c>
      <c r="I131" s="208">
        <v>23.5</v>
      </c>
      <c r="J131" s="211">
        <v>266453817</v>
      </c>
      <c r="K131" s="209">
        <v>100510.68162957375</v>
      </c>
      <c r="L131" s="212">
        <v>2651</v>
      </c>
      <c r="M131" s="212">
        <f>VLOOKUP(Table12[[#This Row],[ROUTE]],DEMAND!A:F,5,FALSE)</f>
        <v>2802</v>
      </c>
      <c r="N131" s="212">
        <f>VLOOKUP(Table12[[#This Row],[ROUTE]],DEMAND!A:F,6,FALSE)</f>
        <v>602</v>
      </c>
      <c r="O131" s="212">
        <f>ROUNDDOWN(Table12[[#This Row],[R-DEMAND]]/1320,0)</f>
        <v>0</v>
      </c>
      <c r="P131" s="212">
        <f>Table12[[#This Row],[ADD ACC]]*Table12[[#This Row],[RT TIME 
(777-500ER)]]</f>
        <v>0</v>
      </c>
    </row>
    <row r="132" spans="1:16" ht="15.75" customHeight="1" x14ac:dyDescent="0.25">
      <c r="A132" s="212" t="s">
        <v>14891</v>
      </c>
      <c r="B132" s="212" t="s">
        <v>259</v>
      </c>
      <c r="C132" s="212" t="s">
        <v>2</v>
      </c>
      <c r="D132" s="226">
        <v>5</v>
      </c>
      <c r="E132" s="212" t="s">
        <v>258</v>
      </c>
      <c r="F132" s="212" t="s">
        <v>12670</v>
      </c>
      <c r="G132" s="227" t="s">
        <v>257</v>
      </c>
      <c r="H132" s="228">
        <v>6583</v>
      </c>
      <c r="I132" s="208">
        <v>17</v>
      </c>
      <c r="J132" s="211">
        <v>230587168</v>
      </c>
      <c r="K132" s="209">
        <v>67109.187427240977</v>
      </c>
      <c r="L132" s="212">
        <v>3436</v>
      </c>
      <c r="M132" s="212">
        <f>VLOOKUP(Table12[[#This Row],[ROUTE]],DEMAND!A:F,5,FALSE)</f>
        <v>3644</v>
      </c>
      <c r="N132" s="212">
        <f>VLOOKUP(Table12[[#This Row],[ROUTE]],DEMAND!A:F,6,FALSE)</f>
        <v>344</v>
      </c>
      <c r="O132" s="212">
        <f>ROUNDDOWN(Table12[[#This Row],[R-DEMAND]]/1320,0)</f>
        <v>0</v>
      </c>
      <c r="P132" s="212">
        <f>Table12[[#This Row],[ADD ACC]]*Table12[[#This Row],[RT TIME 
(777-500ER)]]</f>
        <v>0</v>
      </c>
    </row>
    <row r="133" spans="1:16" ht="15.75" customHeight="1" x14ac:dyDescent="0.25">
      <c r="A133" s="212" t="s">
        <v>14714</v>
      </c>
      <c r="B133" s="212" t="s">
        <v>5043</v>
      </c>
      <c r="C133" s="212" t="s">
        <v>2</v>
      </c>
      <c r="D133" s="226">
        <v>3</v>
      </c>
      <c r="E133" s="212" t="s">
        <v>14</v>
      </c>
      <c r="F133" s="212" t="s">
        <v>12670</v>
      </c>
      <c r="G133" s="227" t="s">
        <v>12029</v>
      </c>
      <c r="H133" s="228">
        <v>5298</v>
      </c>
      <c r="I133" s="208">
        <v>14</v>
      </c>
      <c r="J133" s="211">
        <v>184430606</v>
      </c>
      <c r="K133" s="209">
        <v>62902.662346521145</v>
      </c>
      <c r="L133" s="212">
        <v>2932</v>
      </c>
      <c r="M133" s="212">
        <f>VLOOKUP(Table12[[#This Row],[ROUTE]],DEMAND!A:F,5,FALSE)</f>
        <v>3051</v>
      </c>
      <c r="N133" s="212">
        <f>VLOOKUP(Table12[[#This Row],[ROUTE]],DEMAND!A:F,6,FALSE)</f>
        <v>851</v>
      </c>
      <c r="O133" s="212">
        <f>ROUNDDOWN(Table12[[#This Row],[R-DEMAND]]/1320,0)</f>
        <v>0</v>
      </c>
      <c r="P133" s="212">
        <f>Table12[[#This Row],[ADD ACC]]*Table12[[#This Row],[RT TIME 
(777-500ER)]]</f>
        <v>0</v>
      </c>
    </row>
    <row r="134" spans="1:16" ht="15.75" customHeight="1" x14ac:dyDescent="0.25">
      <c r="A134" s="212" t="s">
        <v>14850</v>
      </c>
      <c r="B134" s="212" t="s">
        <v>254</v>
      </c>
      <c r="C134" s="212" t="s">
        <v>2</v>
      </c>
      <c r="D134" s="226">
        <v>3</v>
      </c>
      <c r="E134" s="212" t="s">
        <v>197</v>
      </c>
      <c r="F134" s="212" t="s">
        <v>12670</v>
      </c>
      <c r="G134" s="227" t="s">
        <v>12008</v>
      </c>
      <c r="H134" s="228">
        <v>3629</v>
      </c>
      <c r="I134" s="208">
        <v>10.25</v>
      </c>
      <c r="J134" s="211">
        <v>176461093</v>
      </c>
      <c r="K134" s="209">
        <v>37753.764013692766</v>
      </c>
      <c r="L134" s="212">
        <v>4674</v>
      </c>
      <c r="M134" s="212">
        <f>VLOOKUP(Table12[[#This Row],[ROUTE]],DEMAND!A:F,5,FALSE)</f>
        <v>4847</v>
      </c>
      <c r="N134" s="212">
        <f>VLOOKUP(Table12[[#This Row],[ROUTE]],DEMAND!A:F,6,FALSE)</f>
        <v>447</v>
      </c>
      <c r="O134" s="212">
        <f>ROUNDDOWN(Table12[[#This Row],[R-DEMAND]]/1320,0)</f>
        <v>0</v>
      </c>
      <c r="P134" s="212">
        <f>Table12[[#This Row],[ADD ACC]]*Table12[[#This Row],[RT TIME 
(777-500ER)]]</f>
        <v>0</v>
      </c>
    </row>
    <row r="135" spans="1:16" ht="15.75" customHeight="1" x14ac:dyDescent="0.25">
      <c r="A135" s="212" t="s">
        <v>14924</v>
      </c>
      <c r="B135" s="212" t="s">
        <v>252</v>
      </c>
      <c r="C135" s="212" t="s">
        <v>2</v>
      </c>
      <c r="D135" s="226">
        <v>5</v>
      </c>
      <c r="E135" s="212" t="s">
        <v>700</v>
      </c>
      <c r="F135" s="212" t="s">
        <v>12670</v>
      </c>
      <c r="G135" s="227" t="s">
        <v>11077</v>
      </c>
      <c r="H135" s="228">
        <v>1709</v>
      </c>
      <c r="I135" s="208">
        <v>6</v>
      </c>
      <c r="J135" s="211">
        <v>190049703</v>
      </c>
      <c r="K135" s="209">
        <v>62764.102708058126</v>
      </c>
      <c r="L135" s="212">
        <v>3028</v>
      </c>
      <c r="M135" s="212">
        <f>VLOOKUP(Table12[[#This Row],[ROUTE]],DEMAND!A:F,5,FALSE)</f>
        <v>3029</v>
      </c>
      <c r="N135" s="212">
        <f>VLOOKUP(Table12[[#This Row],[ROUTE]],DEMAND!A:F,6,FALSE)</f>
        <v>829</v>
      </c>
      <c r="O135" s="212">
        <f>ROUNDDOWN(Table12[[#This Row],[R-DEMAND]]/1320,0)</f>
        <v>0</v>
      </c>
      <c r="P135" s="212">
        <f>Table12[[#This Row],[ADD ACC]]*Table12[[#This Row],[RT TIME 
(777-500ER)]]</f>
        <v>0</v>
      </c>
    </row>
    <row r="136" spans="1:16" ht="15.75" customHeight="1" x14ac:dyDescent="0.25">
      <c r="A136" s="212" t="s">
        <v>14820</v>
      </c>
      <c r="B136" s="212" t="s">
        <v>249</v>
      </c>
      <c r="C136" s="212" t="s">
        <v>2</v>
      </c>
      <c r="D136" s="226">
        <v>4</v>
      </c>
      <c r="E136" s="212" t="s">
        <v>142</v>
      </c>
      <c r="F136" s="212" t="s">
        <v>12670</v>
      </c>
      <c r="G136" s="227" t="s">
        <v>11076</v>
      </c>
      <c r="H136" s="228">
        <v>7328</v>
      </c>
      <c r="I136" s="208">
        <v>18.5</v>
      </c>
      <c r="J136" s="211">
        <v>230287389</v>
      </c>
      <c r="K136" s="209">
        <v>78623.212359166952</v>
      </c>
      <c r="L136" s="212">
        <v>2929</v>
      </c>
      <c r="M136" s="212">
        <f>VLOOKUP(Table12[[#This Row],[ROUTE]],DEMAND!A:F,5,FALSE)</f>
        <v>3125</v>
      </c>
      <c r="N136" s="212">
        <f>VLOOKUP(Table12[[#This Row],[ROUTE]],DEMAND!A:F,6,FALSE)</f>
        <v>925</v>
      </c>
      <c r="O136" s="212">
        <f>ROUNDDOWN(Table12[[#This Row],[R-DEMAND]]/1320,0)</f>
        <v>0</v>
      </c>
      <c r="P136" s="212">
        <f>Table12[[#This Row],[ADD ACC]]*Table12[[#This Row],[RT TIME 
(777-500ER)]]</f>
        <v>0</v>
      </c>
    </row>
    <row r="137" spans="1:16" ht="15.75" customHeight="1" x14ac:dyDescent="0.25">
      <c r="A137" s="212" t="s">
        <v>14413</v>
      </c>
      <c r="B137" s="212" t="s">
        <v>4744</v>
      </c>
      <c r="C137" s="212" t="s">
        <v>2</v>
      </c>
      <c r="D137" s="226" t="s">
        <v>15106</v>
      </c>
      <c r="E137" s="212" t="s">
        <v>647</v>
      </c>
      <c r="F137" s="212" t="s">
        <v>12688</v>
      </c>
      <c r="G137" s="227" t="s">
        <v>11759</v>
      </c>
      <c r="H137" s="228">
        <v>11574</v>
      </c>
      <c r="I137" s="208">
        <v>28</v>
      </c>
      <c r="J137" s="211"/>
      <c r="K137" s="209">
        <v>0</v>
      </c>
      <c r="L137" s="212"/>
      <c r="M137" s="212">
        <f>VLOOKUP(Table12[[#This Row],[ROUTE]],DEMAND!A:F,5,FALSE)</f>
        <v>2253</v>
      </c>
      <c r="N137" s="212">
        <f>VLOOKUP(Table12[[#This Row],[ROUTE]],DEMAND!A:F,6,FALSE)</f>
        <v>1153</v>
      </c>
      <c r="O137" s="212">
        <f>ROUNDDOWN(Table12[[#This Row],[R-DEMAND]]/1320,0)</f>
        <v>0</v>
      </c>
      <c r="P137" s="212">
        <f>Table12[[#This Row],[ADD ACC]]*Table12[[#This Row],[RT TIME 
(777-500ER)]]</f>
        <v>0</v>
      </c>
    </row>
    <row r="138" spans="1:16" ht="15.75" customHeight="1" x14ac:dyDescent="0.25">
      <c r="A138" s="212" t="s">
        <v>14775</v>
      </c>
      <c r="B138" s="212" t="s">
        <v>248</v>
      </c>
      <c r="C138" s="212" t="s">
        <v>2</v>
      </c>
      <c r="D138" s="226">
        <v>2</v>
      </c>
      <c r="E138" s="212" t="s">
        <v>1070</v>
      </c>
      <c r="F138" s="212" t="s">
        <v>12670</v>
      </c>
      <c r="G138" s="227" t="s">
        <v>9270</v>
      </c>
      <c r="H138" s="228">
        <v>5132</v>
      </c>
      <c r="I138" s="208">
        <v>13.75</v>
      </c>
      <c r="J138" s="211">
        <v>174027810</v>
      </c>
      <c r="K138" s="209">
        <v>52912.073578595315</v>
      </c>
      <c r="L138" s="212">
        <v>3289</v>
      </c>
      <c r="M138" s="212">
        <f>VLOOKUP(Table12[[#This Row],[ROUTE]],DEMAND!A:F,5,FALSE)</f>
        <v>3466</v>
      </c>
      <c r="N138" s="212">
        <f>VLOOKUP(Table12[[#This Row],[ROUTE]],DEMAND!A:F,6,FALSE)</f>
        <v>1266</v>
      </c>
      <c r="O138" s="212">
        <f>ROUNDDOWN(Table12[[#This Row],[R-DEMAND]]/1320,0)</f>
        <v>0</v>
      </c>
      <c r="P138" s="212">
        <f>Table12[[#This Row],[ADD ACC]]*Table12[[#This Row],[RT TIME 
(777-500ER)]]</f>
        <v>0</v>
      </c>
    </row>
    <row r="139" spans="1:16" ht="15.75" customHeight="1" x14ac:dyDescent="0.25">
      <c r="A139" s="212" t="s">
        <v>14783</v>
      </c>
      <c r="B139" s="212" t="s">
        <v>246</v>
      </c>
      <c r="C139" s="212" t="s">
        <v>2</v>
      </c>
      <c r="D139" s="226">
        <v>2</v>
      </c>
      <c r="E139" s="212" t="s">
        <v>1070</v>
      </c>
      <c r="F139" s="212" t="s">
        <v>12670</v>
      </c>
      <c r="G139" s="227" t="s">
        <v>9268</v>
      </c>
      <c r="H139" s="228">
        <v>5694</v>
      </c>
      <c r="I139" s="208">
        <v>15</v>
      </c>
      <c r="J139" s="211">
        <v>181177077</v>
      </c>
      <c r="K139" s="209">
        <v>54244.633832335327</v>
      </c>
      <c r="L139" s="212">
        <v>3340</v>
      </c>
      <c r="M139" s="212">
        <f>VLOOKUP(Table12[[#This Row],[ROUTE]],DEMAND!A:F,5,FALSE)</f>
        <v>3453</v>
      </c>
      <c r="N139" s="212">
        <f>VLOOKUP(Table12[[#This Row],[ROUTE]],DEMAND!A:F,6,FALSE)</f>
        <v>153</v>
      </c>
      <c r="O139" s="212">
        <f>ROUNDDOWN(Table12[[#This Row],[R-DEMAND]]/1320,0)</f>
        <v>0</v>
      </c>
      <c r="P139" s="212">
        <f>Table12[[#This Row],[ADD ACC]]*Table12[[#This Row],[RT TIME 
(777-500ER)]]</f>
        <v>0</v>
      </c>
    </row>
    <row r="140" spans="1:16" ht="15.75" customHeight="1" x14ac:dyDescent="0.25">
      <c r="A140" s="212" t="s">
        <v>14769</v>
      </c>
      <c r="B140" s="212" t="s">
        <v>244</v>
      </c>
      <c r="C140" s="212" t="s">
        <v>2</v>
      </c>
      <c r="D140" s="226">
        <v>2</v>
      </c>
      <c r="E140" s="212" t="s">
        <v>1070</v>
      </c>
      <c r="F140" s="212" t="s">
        <v>12670</v>
      </c>
      <c r="G140" s="227" t="s">
        <v>12015</v>
      </c>
      <c r="H140" s="228">
        <v>3840</v>
      </c>
      <c r="I140" s="208">
        <v>10.75</v>
      </c>
      <c r="J140" s="211">
        <v>155350504</v>
      </c>
      <c r="K140" s="209">
        <v>45517.288016407852</v>
      </c>
      <c r="L140" s="212">
        <v>3413</v>
      </c>
      <c r="M140" s="212">
        <f>VLOOKUP(Table12[[#This Row],[ROUTE]],DEMAND!A:F,5,FALSE)</f>
        <v>3643</v>
      </c>
      <c r="N140" s="212">
        <f>VLOOKUP(Table12[[#This Row],[ROUTE]],DEMAND!A:F,6,FALSE)</f>
        <v>343</v>
      </c>
      <c r="O140" s="212">
        <f>ROUNDDOWN(Table12[[#This Row],[R-DEMAND]]/1320,0)</f>
        <v>0</v>
      </c>
      <c r="P140" s="212">
        <f>Table12[[#This Row],[ADD ACC]]*Table12[[#This Row],[RT TIME 
(777-500ER)]]</f>
        <v>0</v>
      </c>
    </row>
    <row r="141" spans="1:16" ht="15.75" customHeight="1" x14ac:dyDescent="0.25">
      <c r="A141" s="212" t="s">
        <v>14782</v>
      </c>
      <c r="B141" s="212" t="s">
        <v>242</v>
      </c>
      <c r="C141" s="212" t="s">
        <v>2</v>
      </c>
      <c r="D141" s="226">
        <v>2</v>
      </c>
      <c r="E141" s="212" t="s">
        <v>1070</v>
      </c>
      <c r="F141" s="212" t="s">
        <v>12670</v>
      </c>
      <c r="G141" s="227" t="s">
        <v>12095</v>
      </c>
      <c r="H141" s="228">
        <v>6772</v>
      </c>
      <c r="I141" s="208">
        <v>17.25</v>
      </c>
      <c r="J141" s="211">
        <v>189264776</v>
      </c>
      <c r="K141" s="209">
        <v>58110.155357691125</v>
      </c>
      <c r="L141" s="212">
        <v>3257</v>
      </c>
      <c r="M141" s="212">
        <f>VLOOKUP(Table12[[#This Row],[ROUTE]],DEMAND!A:F,5,FALSE)</f>
        <v>3465</v>
      </c>
      <c r="N141" s="212">
        <f>VLOOKUP(Table12[[#This Row],[ROUTE]],DEMAND!A:F,6,FALSE)</f>
        <v>1265</v>
      </c>
      <c r="O141" s="212">
        <f>ROUNDDOWN(Table12[[#This Row],[R-DEMAND]]/1320,0)</f>
        <v>0</v>
      </c>
      <c r="P141" s="212">
        <f>Table12[[#This Row],[ADD ACC]]*Table12[[#This Row],[RT TIME 
(777-500ER)]]</f>
        <v>0</v>
      </c>
    </row>
    <row r="142" spans="1:16" ht="15.75" customHeight="1" x14ac:dyDescent="0.25">
      <c r="A142" s="212" t="s">
        <v>14771</v>
      </c>
      <c r="B142" s="212" t="s">
        <v>240</v>
      </c>
      <c r="C142" s="212" t="s">
        <v>2</v>
      </c>
      <c r="D142" s="226">
        <v>3</v>
      </c>
      <c r="E142" s="212" t="s">
        <v>1070</v>
      </c>
      <c r="F142" s="212" t="s">
        <v>12670</v>
      </c>
      <c r="G142" s="227" t="s">
        <v>12028</v>
      </c>
      <c r="H142" s="228">
        <v>4397</v>
      </c>
      <c r="I142" s="208">
        <v>12</v>
      </c>
      <c r="J142" s="211">
        <v>173521099</v>
      </c>
      <c r="K142" s="209">
        <v>44988.61783769769</v>
      </c>
      <c r="L142" s="212">
        <v>3857</v>
      </c>
      <c r="M142" s="212">
        <f>VLOOKUP(Table12[[#This Row],[ROUTE]],DEMAND!A:F,5,FALSE)</f>
        <v>4116</v>
      </c>
      <c r="N142" s="212">
        <f>VLOOKUP(Table12[[#This Row],[ROUTE]],DEMAND!A:F,6,FALSE)</f>
        <v>816</v>
      </c>
      <c r="O142" s="212">
        <f>ROUNDDOWN(Table12[[#This Row],[R-DEMAND]]/1320,0)</f>
        <v>0</v>
      </c>
      <c r="P142" s="212">
        <f>Table12[[#This Row],[ADD ACC]]*Table12[[#This Row],[RT TIME 
(777-500ER)]]</f>
        <v>0</v>
      </c>
    </row>
    <row r="143" spans="1:16" ht="15.75" customHeight="1" x14ac:dyDescent="0.25">
      <c r="A143" s="212" t="s">
        <v>14261</v>
      </c>
      <c r="B143" s="212" t="s">
        <v>917</v>
      </c>
      <c r="C143" s="212" t="s">
        <v>2</v>
      </c>
      <c r="D143" s="226">
        <v>1</v>
      </c>
      <c r="E143" s="212" t="s">
        <v>714</v>
      </c>
      <c r="F143" s="212" t="s">
        <v>12694</v>
      </c>
      <c r="G143" s="227" t="s">
        <v>13239</v>
      </c>
      <c r="H143" s="228">
        <v>12554</v>
      </c>
      <c r="I143" s="208">
        <v>30.25</v>
      </c>
      <c r="J143" s="211">
        <v>230867321</v>
      </c>
      <c r="K143" s="209">
        <v>93091.661693548391</v>
      </c>
      <c r="L143" s="212">
        <v>2480</v>
      </c>
      <c r="M143" s="212">
        <f>VLOOKUP(Table12[[#This Row],[ROUTE]],DEMAND!A:F,5,FALSE)</f>
        <v>2565</v>
      </c>
      <c r="N143" s="212">
        <f>VLOOKUP(Table12[[#This Row],[ROUTE]],DEMAND!A:F,6,FALSE)</f>
        <v>365</v>
      </c>
      <c r="O143" s="212">
        <f>ROUNDDOWN(Table12[[#This Row],[R-DEMAND]]/1320,0)</f>
        <v>0</v>
      </c>
      <c r="P143" s="212">
        <f>Table12[[#This Row],[ADD ACC]]*Table12[[#This Row],[RT TIME 
(777-500ER)]]</f>
        <v>0</v>
      </c>
    </row>
    <row r="144" spans="1:16" ht="15.75" customHeight="1" x14ac:dyDescent="0.25">
      <c r="A144" s="204" t="s">
        <v>14352</v>
      </c>
      <c r="B144" s="204" t="s">
        <v>5397</v>
      </c>
      <c r="C144" s="212" t="s">
        <v>2</v>
      </c>
      <c r="D144" s="205">
        <v>4</v>
      </c>
      <c r="E144" s="204" t="s">
        <v>647</v>
      </c>
      <c r="F144" s="204" t="s">
        <v>12688</v>
      </c>
      <c r="G144" s="206" t="s">
        <v>13363</v>
      </c>
      <c r="H144" s="207">
        <v>8881</v>
      </c>
      <c r="I144" s="208">
        <v>22</v>
      </c>
      <c r="J144" s="209">
        <v>231135789</v>
      </c>
      <c r="K144" s="209">
        <v>105301.04282460136</v>
      </c>
      <c r="L144" s="204">
        <v>2195</v>
      </c>
      <c r="M144" s="212">
        <f>VLOOKUP(Table12[[#This Row],[ROUTE]],DEMAND!A:F,5,FALSE)</f>
        <v>2335</v>
      </c>
      <c r="N144" s="212">
        <f>VLOOKUP(Table12[[#This Row],[ROUTE]],DEMAND!A:F,6,FALSE)</f>
        <v>1235</v>
      </c>
      <c r="O144" s="212">
        <f>ROUNDDOWN(Table12[[#This Row],[R-DEMAND]]/1320,0)</f>
        <v>0</v>
      </c>
      <c r="P144" s="212">
        <f>Table12[[#This Row],[ADD ACC]]*Table12[[#This Row],[RT TIME 
(777-500ER)]]</f>
        <v>0</v>
      </c>
    </row>
    <row r="145" spans="1:16" ht="15.75" customHeight="1" x14ac:dyDescent="0.25">
      <c r="A145" s="212" t="s">
        <v>14881</v>
      </c>
      <c r="B145" s="212" t="s">
        <v>5639</v>
      </c>
      <c r="C145" s="212" t="s">
        <v>2</v>
      </c>
      <c r="D145" s="226">
        <v>4</v>
      </c>
      <c r="E145" s="212" t="s">
        <v>172</v>
      </c>
      <c r="F145" s="212" t="s">
        <v>12670</v>
      </c>
      <c r="G145" s="227" t="s">
        <v>11075</v>
      </c>
      <c r="H145" s="228">
        <v>3752</v>
      </c>
      <c r="I145" s="208">
        <v>10.5</v>
      </c>
      <c r="J145" s="211">
        <v>190698689</v>
      </c>
      <c r="K145" s="209">
        <v>52146.209734755263</v>
      </c>
      <c r="L145" s="212">
        <v>3657</v>
      </c>
      <c r="M145" s="212">
        <f>VLOOKUP(Table12[[#This Row],[ROUTE]],DEMAND!A:F,5,FALSE)</f>
        <v>3903</v>
      </c>
      <c r="N145" s="212">
        <f>VLOOKUP(Table12[[#This Row],[ROUTE]],DEMAND!A:F,6,FALSE)</f>
        <v>603</v>
      </c>
      <c r="O145" s="212">
        <f>ROUNDDOWN(Table12[[#This Row],[R-DEMAND]]/1320,0)</f>
        <v>0</v>
      </c>
      <c r="P145" s="212">
        <f>Table12[[#This Row],[ADD ACC]]*Table12[[#This Row],[RT TIME 
(777-500ER)]]</f>
        <v>0</v>
      </c>
    </row>
    <row r="146" spans="1:16" ht="15.75" customHeight="1" x14ac:dyDescent="0.25">
      <c r="A146" s="212" t="s">
        <v>14299</v>
      </c>
      <c r="B146" s="212" t="s">
        <v>238</v>
      </c>
      <c r="C146" s="212" t="s">
        <v>2</v>
      </c>
      <c r="D146" s="226">
        <v>5</v>
      </c>
      <c r="E146" s="212" t="s">
        <v>647</v>
      </c>
      <c r="F146" s="212" t="s">
        <v>12688</v>
      </c>
      <c r="G146" s="227" t="s">
        <v>13346</v>
      </c>
      <c r="H146" s="228">
        <v>7547</v>
      </c>
      <c r="I146" s="208">
        <v>19</v>
      </c>
      <c r="J146" s="211">
        <v>249826426</v>
      </c>
      <c r="K146" s="209">
        <v>96495.336423329471</v>
      </c>
      <c r="L146" s="212">
        <v>2589</v>
      </c>
      <c r="M146" s="212">
        <f>VLOOKUP(Table12[[#This Row],[ROUTE]],DEMAND!A:F,5,FALSE)</f>
        <v>2754</v>
      </c>
      <c r="N146" s="212">
        <f>VLOOKUP(Table12[[#This Row],[ROUTE]],DEMAND!A:F,6,FALSE)</f>
        <v>554</v>
      </c>
      <c r="O146" s="212">
        <f>ROUNDDOWN(Table12[[#This Row],[R-DEMAND]]/1320,0)</f>
        <v>0</v>
      </c>
      <c r="P146" s="212">
        <f>Table12[[#This Row],[ADD ACC]]*Table12[[#This Row],[RT TIME 
(777-500ER)]]</f>
        <v>0</v>
      </c>
    </row>
    <row r="147" spans="1:16" ht="15.75" customHeight="1" x14ac:dyDescent="0.25">
      <c r="A147" s="212" t="s">
        <v>14837</v>
      </c>
      <c r="B147" s="212" t="s">
        <v>236</v>
      </c>
      <c r="C147" s="212" t="s">
        <v>2</v>
      </c>
      <c r="D147" s="226">
        <v>3</v>
      </c>
      <c r="E147" s="212" t="s">
        <v>709</v>
      </c>
      <c r="F147" s="212" t="s">
        <v>12670</v>
      </c>
      <c r="G147" s="227" t="s">
        <v>12115</v>
      </c>
      <c r="H147" s="228">
        <v>8357</v>
      </c>
      <c r="I147" s="208">
        <v>20.75</v>
      </c>
      <c r="J147" s="211">
        <v>210288769</v>
      </c>
      <c r="K147" s="209">
        <v>75998.832309360325</v>
      </c>
      <c r="L147" s="212">
        <v>2767</v>
      </c>
      <c r="M147" s="212">
        <f>VLOOKUP(Table12[[#This Row],[ROUTE]],DEMAND!A:F,5,FALSE)</f>
        <v>2925</v>
      </c>
      <c r="N147" s="212">
        <f>VLOOKUP(Table12[[#This Row],[ROUTE]],DEMAND!A:F,6,FALSE)</f>
        <v>725</v>
      </c>
      <c r="O147" s="212">
        <f>ROUNDDOWN(Table12[[#This Row],[R-DEMAND]]/1320,0)</f>
        <v>0</v>
      </c>
      <c r="P147" s="212">
        <f>Table12[[#This Row],[ADD ACC]]*Table12[[#This Row],[RT TIME 
(777-500ER)]]</f>
        <v>0</v>
      </c>
    </row>
    <row r="148" spans="1:16" ht="15.75" customHeight="1" x14ac:dyDescent="0.25">
      <c r="A148" s="212" t="s">
        <v>15072</v>
      </c>
      <c r="B148" s="212" t="s">
        <v>234</v>
      </c>
      <c r="C148" s="212" t="s">
        <v>2</v>
      </c>
      <c r="D148" s="226">
        <v>4</v>
      </c>
      <c r="E148" s="212" t="s">
        <v>926</v>
      </c>
      <c r="F148" s="212" t="s">
        <v>12671</v>
      </c>
      <c r="G148" s="227" t="s">
        <v>11074</v>
      </c>
      <c r="H148" s="228">
        <v>9116</v>
      </c>
      <c r="I148" s="208">
        <v>22.5</v>
      </c>
      <c r="J148" s="211">
        <v>247766598</v>
      </c>
      <c r="K148" s="209">
        <v>58038.556570625442</v>
      </c>
      <c r="L148" s="212">
        <v>4269</v>
      </c>
      <c r="M148" s="212">
        <f>VLOOKUP(Table12[[#This Row],[ROUTE]],DEMAND!A:F,5,FALSE)</f>
        <v>4414</v>
      </c>
      <c r="N148" s="212">
        <f>VLOOKUP(Table12[[#This Row],[ROUTE]],DEMAND!A:F,6,FALSE)</f>
        <v>1114</v>
      </c>
      <c r="O148" s="212">
        <f>ROUNDDOWN(Table12[[#This Row],[R-DEMAND]]/1320,0)</f>
        <v>0</v>
      </c>
      <c r="P148" s="212">
        <f>Table12[[#This Row],[ADD ACC]]*Table12[[#This Row],[RT TIME 
(777-500ER)]]</f>
        <v>0</v>
      </c>
    </row>
    <row r="149" spans="1:16" ht="15.75" customHeight="1" x14ac:dyDescent="0.25">
      <c r="A149" s="212" t="s">
        <v>14262</v>
      </c>
      <c r="B149" s="212" t="s">
        <v>3307</v>
      </c>
      <c r="C149" s="212" t="s">
        <v>2</v>
      </c>
      <c r="D149" s="226">
        <v>2</v>
      </c>
      <c r="E149" s="212" t="s">
        <v>714</v>
      </c>
      <c r="F149" s="212" t="s">
        <v>12694</v>
      </c>
      <c r="G149" s="227" t="s">
        <v>13244</v>
      </c>
      <c r="H149" s="228">
        <v>12558</v>
      </c>
      <c r="I149" s="208">
        <v>30.25</v>
      </c>
      <c r="J149" s="211">
        <v>241487578</v>
      </c>
      <c r="K149" s="209">
        <v>84171.341233879401</v>
      </c>
      <c r="L149" s="212">
        <v>2869</v>
      </c>
      <c r="M149" s="212">
        <f>VLOOKUP(Table12[[#This Row],[ROUTE]],DEMAND!A:F,5,FALSE)</f>
        <v>3061</v>
      </c>
      <c r="N149" s="212">
        <f>VLOOKUP(Table12[[#This Row],[ROUTE]],DEMAND!A:F,6,FALSE)</f>
        <v>-239</v>
      </c>
      <c r="O149" s="212">
        <f>ROUNDDOWN(Table12[[#This Row],[R-DEMAND]]/1320,0)</f>
        <v>0</v>
      </c>
      <c r="P149" s="212">
        <f>Table12[[#This Row],[ADD ACC]]*Table12[[#This Row],[RT TIME 
(777-500ER)]]</f>
        <v>0</v>
      </c>
    </row>
    <row r="150" spans="1:16" ht="15.75" customHeight="1" x14ac:dyDescent="0.25">
      <c r="A150" s="212" t="s">
        <v>14718</v>
      </c>
      <c r="B150" s="212" t="s">
        <v>4915</v>
      </c>
      <c r="C150" s="212" t="s">
        <v>2</v>
      </c>
      <c r="D150" s="226">
        <v>3</v>
      </c>
      <c r="E150" s="212" t="s">
        <v>14</v>
      </c>
      <c r="F150" s="212" t="s">
        <v>12670</v>
      </c>
      <c r="G150" s="227" t="s">
        <v>12051</v>
      </c>
      <c r="H150" s="228">
        <v>5565</v>
      </c>
      <c r="I150" s="208">
        <v>14.5</v>
      </c>
      <c r="J150" s="211">
        <v>184690525</v>
      </c>
      <c r="K150" s="209">
        <v>64374.529452770999</v>
      </c>
      <c r="L150" s="212">
        <v>2869</v>
      </c>
      <c r="M150" s="212">
        <f>VLOOKUP(Table12[[#This Row],[ROUTE]],DEMAND!A:F,5,FALSE)</f>
        <v>3043</v>
      </c>
      <c r="N150" s="212">
        <f>VLOOKUP(Table12[[#This Row],[ROUTE]],DEMAND!A:F,6,FALSE)</f>
        <v>843</v>
      </c>
      <c r="O150" s="212">
        <f>ROUNDDOWN(Table12[[#This Row],[R-DEMAND]]/1320,0)</f>
        <v>0</v>
      </c>
      <c r="P150" s="212">
        <f>Table12[[#This Row],[ADD ACC]]*Table12[[#This Row],[RT TIME 
(777-500ER)]]</f>
        <v>0</v>
      </c>
    </row>
    <row r="151" spans="1:16" ht="15.75" customHeight="1" x14ac:dyDescent="0.25">
      <c r="A151" s="212" t="s">
        <v>15057</v>
      </c>
      <c r="B151" s="212" t="s">
        <v>5452</v>
      </c>
      <c r="C151" s="212" t="s">
        <v>2</v>
      </c>
      <c r="D151" s="226">
        <v>4</v>
      </c>
      <c r="E151" s="212" t="s">
        <v>2059</v>
      </c>
      <c r="F151" s="212" t="s">
        <v>12671</v>
      </c>
      <c r="G151" s="227" t="s">
        <v>11073</v>
      </c>
      <c r="H151" s="228">
        <v>5453</v>
      </c>
      <c r="I151" s="208">
        <v>14.25</v>
      </c>
      <c r="J151" s="211">
        <v>198264776</v>
      </c>
      <c r="K151" s="209">
        <v>45338.389206494394</v>
      </c>
      <c r="L151" s="212">
        <v>4373</v>
      </c>
      <c r="M151" s="212">
        <f>VLOOKUP(Table12[[#This Row],[ROUTE]],DEMAND!A:F,5,FALSE)</f>
        <v>4623</v>
      </c>
      <c r="N151" s="212">
        <f>VLOOKUP(Table12[[#This Row],[ROUTE]],DEMAND!A:F,6,FALSE)</f>
        <v>223</v>
      </c>
      <c r="O151" s="212">
        <f>ROUNDDOWN(Table12[[#This Row],[R-DEMAND]]/1320,0)</f>
        <v>0</v>
      </c>
      <c r="P151" s="212">
        <f>Table12[[#This Row],[ADD ACC]]*Table12[[#This Row],[RT TIME 
(777-500ER)]]</f>
        <v>0</v>
      </c>
    </row>
    <row r="152" spans="1:16" ht="15.75" customHeight="1" x14ac:dyDescent="0.25">
      <c r="A152" s="212" t="s">
        <v>14904</v>
      </c>
      <c r="B152" s="212" t="s">
        <v>5275</v>
      </c>
      <c r="C152" s="212" t="s">
        <v>2</v>
      </c>
      <c r="D152" s="226">
        <v>3</v>
      </c>
      <c r="E152" s="212" t="s">
        <v>46</v>
      </c>
      <c r="F152" s="212" t="s">
        <v>12670</v>
      </c>
      <c r="G152" s="227" t="s">
        <v>12076</v>
      </c>
      <c r="H152" s="228">
        <v>7491</v>
      </c>
      <c r="I152" s="208">
        <v>19</v>
      </c>
      <c r="J152" s="211">
        <v>212680028</v>
      </c>
      <c r="K152" s="209">
        <v>85516.698029754727</v>
      </c>
      <c r="L152" s="212">
        <v>2487</v>
      </c>
      <c r="M152" s="212">
        <f>VLOOKUP(Table12[[#This Row],[ROUTE]],DEMAND!A:F,5,FALSE)</f>
        <v>2621</v>
      </c>
      <c r="N152" s="212">
        <f>VLOOKUP(Table12[[#This Row],[ROUTE]],DEMAND!A:F,6,FALSE)</f>
        <v>421</v>
      </c>
      <c r="O152" s="212">
        <f>ROUNDDOWN(Table12[[#This Row],[R-DEMAND]]/1320,0)</f>
        <v>0</v>
      </c>
      <c r="P152" s="212">
        <f>Table12[[#This Row],[ADD ACC]]*Table12[[#This Row],[RT TIME 
(777-500ER)]]</f>
        <v>0</v>
      </c>
    </row>
    <row r="153" spans="1:16" ht="15.75" customHeight="1" x14ac:dyDescent="0.25">
      <c r="A153" s="212" t="s">
        <v>14855</v>
      </c>
      <c r="B153" s="212" t="s">
        <v>224</v>
      </c>
      <c r="C153" s="212" t="s">
        <v>2</v>
      </c>
      <c r="D153" s="226">
        <v>3</v>
      </c>
      <c r="E153" s="212" t="s">
        <v>197</v>
      </c>
      <c r="F153" s="212" t="s">
        <v>12670</v>
      </c>
      <c r="G153" s="227" t="s">
        <v>12012</v>
      </c>
      <c r="H153" s="228">
        <v>4144</v>
      </c>
      <c r="I153" s="208">
        <v>11.5</v>
      </c>
      <c r="J153" s="211">
        <v>183147797</v>
      </c>
      <c r="K153" s="209">
        <v>40600.265351363334</v>
      </c>
      <c r="L153" s="212">
        <v>4511</v>
      </c>
      <c r="M153" s="212">
        <f>VLOOKUP(Table12[[#This Row],[ROUTE]],DEMAND!A:F,5,FALSE)</f>
        <v>4769</v>
      </c>
      <c r="N153" s="212">
        <f>VLOOKUP(Table12[[#This Row],[ROUTE]],DEMAND!A:F,6,FALSE)</f>
        <v>369</v>
      </c>
      <c r="O153" s="212">
        <f>ROUNDDOWN(Table12[[#This Row],[R-DEMAND]]/1320,0)</f>
        <v>0</v>
      </c>
      <c r="P153" s="212">
        <f>Table12[[#This Row],[ADD ACC]]*Table12[[#This Row],[RT TIME 
(777-500ER)]]</f>
        <v>0</v>
      </c>
    </row>
    <row r="154" spans="1:16" ht="15.75" customHeight="1" x14ac:dyDescent="0.25">
      <c r="A154" s="212" t="s">
        <v>14731</v>
      </c>
      <c r="B154" s="212" t="s">
        <v>5265</v>
      </c>
      <c r="C154" s="212" t="s">
        <v>2</v>
      </c>
      <c r="D154" s="226">
        <v>3</v>
      </c>
      <c r="E154" s="212" t="s">
        <v>14</v>
      </c>
      <c r="F154" s="212" t="s">
        <v>12670</v>
      </c>
      <c r="G154" s="227" t="s">
        <v>12061</v>
      </c>
      <c r="H154" s="228">
        <v>6667</v>
      </c>
      <c r="I154" s="208">
        <v>17</v>
      </c>
      <c r="J154" s="211">
        <v>203256485</v>
      </c>
      <c r="K154" s="209">
        <v>66250.484028683175</v>
      </c>
      <c r="L154" s="212">
        <v>3068</v>
      </c>
      <c r="M154" s="212">
        <f>VLOOKUP(Table12[[#This Row],[ROUTE]],DEMAND!A:F,5,FALSE)</f>
        <v>3254</v>
      </c>
      <c r="N154" s="212">
        <f>VLOOKUP(Table12[[#This Row],[ROUTE]],DEMAND!A:F,6,FALSE)</f>
        <v>1054</v>
      </c>
      <c r="O154" s="212">
        <f>ROUNDDOWN(Table12[[#This Row],[R-DEMAND]]/1320,0)</f>
        <v>0</v>
      </c>
      <c r="P154" s="212">
        <f>Table12[[#This Row],[ADD ACC]]*Table12[[#This Row],[RT TIME 
(777-500ER)]]</f>
        <v>0</v>
      </c>
    </row>
    <row r="155" spans="1:16" ht="15.75" customHeight="1" x14ac:dyDescent="0.25">
      <c r="A155" s="212" t="s">
        <v>14819</v>
      </c>
      <c r="B155" s="212" t="s">
        <v>219</v>
      </c>
      <c r="C155" s="212" t="s">
        <v>2</v>
      </c>
      <c r="D155" s="226">
        <v>4</v>
      </c>
      <c r="E155" s="212" t="s">
        <v>142</v>
      </c>
      <c r="F155" s="212" t="s">
        <v>12670</v>
      </c>
      <c r="G155" s="227" t="s">
        <v>11072</v>
      </c>
      <c r="H155" s="228">
        <v>7348</v>
      </c>
      <c r="I155" s="208">
        <v>18.5</v>
      </c>
      <c r="J155" s="211">
        <v>229144418</v>
      </c>
      <c r="K155" s="209">
        <v>79481.241068331597</v>
      </c>
      <c r="L155" s="212">
        <v>2883</v>
      </c>
      <c r="M155" s="212">
        <f>VLOOKUP(Table12[[#This Row],[ROUTE]],DEMAND!A:F,5,FALSE)</f>
        <v>2999</v>
      </c>
      <c r="N155" s="212">
        <f>VLOOKUP(Table12[[#This Row],[ROUTE]],DEMAND!A:F,6,FALSE)</f>
        <v>799</v>
      </c>
      <c r="O155" s="212">
        <f>ROUNDDOWN(Table12[[#This Row],[R-DEMAND]]/1320,0)</f>
        <v>0</v>
      </c>
      <c r="P155" s="212">
        <f>Table12[[#This Row],[ADD ACC]]*Table12[[#This Row],[RT TIME 
(777-500ER)]]</f>
        <v>0</v>
      </c>
    </row>
    <row r="156" spans="1:16" ht="15.75" customHeight="1" x14ac:dyDescent="0.25">
      <c r="A156" s="212" t="s">
        <v>14721</v>
      </c>
      <c r="B156" s="212" t="s">
        <v>217</v>
      </c>
      <c r="C156" s="212" t="s">
        <v>2</v>
      </c>
      <c r="D156" s="226">
        <v>4</v>
      </c>
      <c r="E156" s="212" t="s">
        <v>14</v>
      </c>
      <c r="F156" s="212" t="s">
        <v>12670</v>
      </c>
      <c r="G156" s="227" t="s">
        <v>11071</v>
      </c>
      <c r="H156" s="228">
        <v>6171</v>
      </c>
      <c r="I156" s="208">
        <v>16</v>
      </c>
      <c r="J156" s="211">
        <v>218091952</v>
      </c>
      <c r="K156" s="209">
        <v>60817.610708310094</v>
      </c>
      <c r="L156" s="212">
        <v>3586</v>
      </c>
      <c r="M156" s="212">
        <f>VLOOKUP(Table12[[#This Row],[ROUTE]],DEMAND!A:F,5,FALSE)</f>
        <v>3827</v>
      </c>
      <c r="N156" s="212">
        <f>VLOOKUP(Table12[[#This Row],[ROUTE]],DEMAND!A:F,6,FALSE)</f>
        <v>527</v>
      </c>
      <c r="O156" s="212">
        <f>ROUNDDOWN(Table12[[#This Row],[R-DEMAND]]/1320,0)</f>
        <v>0</v>
      </c>
      <c r="P156" s="212">
        <f>Table12[[#This Row],[ADD ACC]]*Table12[[#This Row],[RT TIME 
(777-500ER)]]</f>
        <v>0</v>
      </c>
    </row>
    <row r="157" spans="1:16" ht="15.75" customHeight="1" x14ac:dyDescent="0.25">
      <c r="A157" s="212" t="s">
        <v>14813</v>
      </c>
      <c r="B157" s="212" t="s">
        <v>5187</v>
      </c>
      <c r="C157" s="212" t="s">
        <v>2</v>
      </c>
      <c r="D157" s="226">
        <v>3</v>
      </c>
      <c r="E157" s="212" t="s">
        <v>142</v>
      </c>
      <c r="F157" s="212" t="s">
        <v>12670</v>
      </c>
      <c r="G157" s="227" t="s">
        <v>12024</v>
      </c>
      <c r="H157" s="228">
        <v>7235</v>
      </c>
      <c r="I157" s="208">
        <v>18.25</v>
      </c>
      <c r="J157" s="211">
        <v>207733853</v>
      </c>
      <c r="K157" s="209">
        <v>87063.64333612741</v>
      </c>
      <c r="L157" s="212">
        <v>2386</v>
      </c>
      <c r="M157" s="212">
        <f>VLOOKUP(Table12[[#This Row],[ROUTE]],DEMAND!A:F,5,FALSE)</f>
        <v>2515</v>
      </c>
      <c r="N157" s="212">
        <f>VLOOKUP(Table12[[#This Row],[ROUTE]],DEMAND!A:F,6,FALSE)</f>
        <v>315</v>
      </c>
      <c r="O157" s="212">
        <f>ROUNDDOWN(Table12[[#This Row],[R-DEMAND]]/1320,0)</f>
        <v>0</v>
      </c>
      <c r="P157" s="212">
        <f>Table12[[#This Row],[ADD ACC]]*Table12[[#This Row],[RT TIME 
(777-500ER)]]</f>
        <v>0</v>
      </c>
    </row>
    <row r="158" spans="1:16" ht="15.75" customHeight="1" x14ac:dyDescent="0.25">
      <c r="A158" s="212" t="s">
        <v>14788</v>
      </c>
      <c r="B158" s="212" t="s">
        <v>215</v>
      </c>
      <c r="C158" s="212" t="s">
        <v>2</v>
      </c>
      <c r="D158" s="226">
        <v>4</v>
      </c>
      <c r="E158" s="212" t="s">
        <v>1261</v>
      </c>
      <c r="F158" s="212" t="s">
        <v>12670</v>
      </c>
      <c r="G158" s="227" t="s">
        <v>11070</v>
      </c>
      <c r="H158" s="228">
        <v>7886</v>
      </c>
      <c r="I158" s="208">
        <v>19.75</v>
      </c>
      <c r="J158" s="211">
        <v>229256662</v>
      </c>
      <c r="K158" s="209">
        <v>61595.019344438471</v>
      </c>
      <c r="L158" s="212">
        <v>3722</v>
      </c>
      <c r="M158" s="212">
        <f>VLOOKUP(Table12[[#This Row],[ROUTE]],DEMAND!A:F,5,FALSE)</f>
        <v>3860</v>
      </c>
      <c r="N158" s="212">
        <f>VLOOKUP(Table12[[#This Row],[ROUTE]],DEMAND!A:F,6,FALSE)</f>
        <v>560</v>
      </c>
      <c r="O158" s="212">
        <f>ROUNDDOWN(Table12[[#This Row],[R-DEMAND]]/1320,0)</f>
        <v>0</v>
      </c>
      <c r="P158" s="212">
        <f>Table12[[#This Row],[ADD ACC]]*Table12[[#This Row],[RT TIME 
(777-500ER)]]</f>
        <v>0</v>
      </c>
    </row>
    <row r="159" spans="1:16" ht="15.75" customHeight="1" x14ac:dyDescent="0.25">
      <c r="A159" s="212" t="s">
        <v>14414</v>
      </c>
      <c r="B159" s="212" t="s">
        <v>5095</v>
      </c>
      <c r="C159" s="212" t="s">
        <v>2</v>
      </c>
      <c r="D159" s="226" t="s">
        <v>15106</v>
      </c>
      <c r="E159" s="212" t="s">
        <v>647</v>
      </c>
      <c r="F159" s="212" t="s">
        <v>12688</v>
      </c>
      <c r="G159" s="227" t="s">
        <v>11765</v>
      </c>
      <c r="H159" s="228">
        <v>11558</v>
      </c>
      <c r="I159" s="208">
        <v>28</v>
      </c>
      <c r="J159" s="211"/>
      <c r="K159" s="209">
        <v>0</v>
      </c>
      <c r="L159" s="212"/>
      <c r="M159" s="212">
        <f>VLOOKUP(Table12[[#This Row],[ROUTE]],DEMAND!A:F,5,FALSE)</f>
        <v>2389</v>
      </c>
      <c r="N159" s="212">
        <f>VLOOKUP(Table12[[#This Row],[ROUTE]],DEMAND!A:F,6,FALSE)</f>
        <v>1289</v>
      </c>
      <c r="O159" s="212">
        <f>ROUNDDOWN(Table12[[#This Row],[R-DEMAND]]/1320,0)</f>
        <v>0</v>
      </c>
      <c r="P159" s="212">
        <f>Table12[[#This Row],[ADD ACC]]*Table12[[#This Row],[RT TIME 
(777-500ER)]]</f>
        <v>0</v>
      </c>
    </row>
    <row r="160" spans="1:16" ht="15.75" customHeight="1" x14ac:dyDescent="0.25">
      <c r="A160" s="212" t="s">
        <v>14818</v>
      </c>
      <c r="B160" s="212" t="s">
        <v>5408</v>
      </c>
      <c r="C160" s="212" t="s">
        <v>2</v>
      </c>
      <c r="D160" s="226">
        <v>3</v>
      </c>
      <c r="E160" s="212" t="s">
        <v>142</v>
      </c>
      <c r="F160" s="212" t="s">
        <v>12670</v>
      </c>
      <c r="G160" s="227" t="s">
        <v>12030</v>
      </c>
      <c r="H160" s="228">
        <v>7317</v>
      </c>
      <c r="I160" s="208">
        <v>18.5</v>
      </c>
      <c r="J160" s="211">
        <v>214758620</v>
      </c>
      <c r="K160" s="209">
        <v>84484.114870180958</v>
      </c>
      <c r="L160" s="212">
        <v>2542</v>
      </c>
      <c r="M160" s="212">
        <f>VLOOKUP(Table12[[#This Row],[ROUTE]],DEMAND!A:F,5,FALSE)</f>
        <v>2687</v>
      </c>
      <c r="N160" s="212">
        <f>VLOOKUP(Table12[[#This Row],[ROUTE]],DEMAND!A:F,6,FALSE)</f>
        <v>487</v>
      </c>
      <c r="O160" s="212">
        <f>ROUNDDOWN(Table12[[#This Row],[R-DEMAND]]/1320,0)</f>
        <v>0</v>
      </c>
      <c r="P160" s="212">
        <f>Table12[[#This Row],[ADD ACC]]*Table12[[#This Row],[RT TIME 
(777-500ER)]]</f>
        <v>0</v>
      </c>
    </row>
    <row r="161" spans="1:16" ht="15.75" customHeight="1" x14ac:dyDescent="0.25">
      <c r="A161" s="212" t="s">
        <v>14836</v>
      </c>
      <c r="B161" s="212" t="s">
        <v>211</v>
      </c>
      <c r="C161" s="212" t="s">
        <v>2</v>
      </c>
      <c r="D161" s="226">
        <v>5</v>
      </c>
      <c r="E161" s="212" t="s">
        <v>709</v>
      </c>
      <c r="F161" s="212" t="s">
        <v>12670</v>
      </c>
      <c r="G161" s="227" t="s">
        <v>11069</v>
      </c>
      <c r="H161" s="228">
        <v>8136</v>
      </c>
      <c r="I161" s="208">
        <v>20.25</v>
      </c>
      <c r="J161" s="211"/>
      <c r="K161" s="209">
        <v>0</v>
      </c>
      <c r="L161" s="212"/>
      <c r="M161" s="212">
        <f>VLOOKUP(Table12[[#This Row],[ROUTE]],DEMAND!A:F,5,FALSE)</f>
        <v>3771</v>
      </c>
      <c r="N161" s="212">
        <f>VLOOKUP(Table12[[#This Row],[ROUTE]],DEMAND!A:F,6,FALSE)</f>
        <v>471</v>
      </c>
      <c r="O161" s="212">
        <f>ROUNDDOWN(Table12[[#This Row],[R-DEMAND]]/1320,0)</f>
        <v>0</v>
      </c>
      <c r="P161" s="212">
        <f>Table12[[#This Row],[ADD ACC]]*Table12[[#This Row],[RT TIME 
(777-500ER)]]</f>
        <v>0</v>
      </c>
    </row>
    <row r="162" spans="1:16" ht="15.75" customHeight="1" x14ac:dyDescent="0.25">
      <c r="A162" s="212" t="s">
        <v>14724</v>
      </c>
      <c r="B162" s="212" t="s">
        <v>5406</v>
      </c>
      <c r="C162" s="212" t="s">
        <v>2</v>
      </c>
      <c r="D162" s="226">
        <v>3</v>
      </c>
      <c r="E162" s="212" t="s">
        <v>14</v>
      </c>
      <c r="F162" s="212" t="s">
        <v>12670</v>
      </c>
      <c r="G162" s="227" t="s">
        <v>12074</v>
      </c>
      <c r="H162" s="228">
        <v>6287</v>
      </c>
      <c r="I162" s="208">
        <v>16.25</v>
      </c>
      <c r="J162" s="211">
        <v>203373721</v>
      </c>
      <c r="K162" s="209">
        <v>64115.296658259773</v>
      </c>
      <c r="L162" s="212">
        <v>3172</v>
      </c>
      <c r="M162" s="212">
        <f>VLOOKUP(Table12[[#This Row],[ROUTE]],DEMAND!A:F,5,FALSE)</f>
        <v>3354</v>
      </c>
      <c r="N162" s="212">
        <f>VLOOKUP(Table12[[#This Row],[ROUTE]],DEMAND!A:F,6,FALSE)</f>
        <v>1154</v>
      </c>
      <c r="O162" s="212">
        <f>ROUNDDOWN(Table12[[#This Row],[R-DEMAND]]/1320,0)</f>
        <v>0</v>
      </c>
      <c r="P162" s="212">
        <f>Table12[[#This Row],[ADD ACC]]*Table12[[#This Row],[RT TIME 
(777-500ER)]]</f>
        <v>0</v>
      </c>
    </row>
    <row r="163" spans="1:16" ht="15.75" customHeight="1" x14ac:dyDescent="0.25">
      <c r="A163" s="212" t="s">
        <v>14827</v>
      </c>
      <c r="B163" s="212" t="s">
        <v>5483</v>
      </c>
      <c r="C163" s="212" t="s">
        <v>2</v>
      </c>
      <c r="D163" s="226">
        <v>4</v>
      </c>
      <c r="E163" s="212" t="s">
        <v>5481</v>
      </c>
      <c r="F163" s="212" t="s">
        <v>12670</v>
      </c>
      <c r="G163" s="227" t="s">
        <v>11068</v>
      </c>
      <c r="H163" s="228">
        <v>3020</v>
      </c>
      <c r="I163" s="208">
        <v>9</v>
      </c>
      <c r="J163" s="211">
        <v>175630124</v>
      </c>
      <c r="K163" s="209">
        <v>47518.972943722947</v>
      </c>
      <c r="L163" s="212">
        <v>3696</v>
      </c>
      <c r="M163" s="212">
        <f>VLOOKUP(Table12[[#This Row],[ROUTE]],DEMAND!A:F,5,FALSE)</f>
        <v>3921</v>
      </c>
      <c r="N163" s="212">
        <f>VLOOKUP(Table12[[#This Row],[ROUTE]],DEMAND!A:F,6,FALSE)</f>
        <v>621</v>
      </c>
      <c r="O163" s="212">
        <f>ROUNDDOWN(Table12[[#This Row],[R-DEMAND]]/1320,0)</f>
        <v>0</v>
      </c>
      <c r="P163" s="212">
        <f>Table12[[#This Row],[ADD ACC]]*Table12[[#This Row],[RT TIME 
(777-500ER)]]</f>
        <v>0</v>
      </c>
    </row>
    <row r="164" spans="1:16" ht="15.75" customHeight="1" x14ac:dyDescent="0.25">
      <c r="A164" s="212" t="s">
        <v>14732</v>
      </c>
      <c r="B164" s="212" t="s">
        <v>5373</v>
      </c>
      <c r="C164" s="212" t="s">
        <v>2</v>
      </c>
      <c r="D164" s="226">
        <v>3</v>
      </c>
      <c r="E164" s="212" t="s">
        <v>14</v>
      </c>
      <c r="F164" s="212" t="s">
        <v>12670</v>
      </c>
      <c r="G164" s="227" t="s">
        <v>12077</v>
      </c>
      <c r="H164" s="228">
        <v>6612</v>
      </c>
      <c r="I164" s="208">
        <v>17</v>
      </c>
      <c r="J164" s="211">
        <v>205860324</v>
      </c>
      <c r="K164" s="209">
        <v>65290.302568981919</v>
      </c>
      <c r="L164" s="212">
        <v>3153</v>
      </c>
      <c r="M164" s="212">
        <f>VLOOKUP(Table12[[#This Row],[ROUTE]],DEMAND!A:F,5,FALSE)</f>
        <v>3311</v>
      </c>
      <c r="N164" s="212">
        <f>VLOOKUP(Table12[[#This Row],[ROUTE]],DEMAND!A:F,6,FALSE)</f>
        <v>1111</v>
      </c>
      <c r="O164" s="212">
        <f>ROUNDDOWN(Table12[[#This Row],[R-DEMAND]]/1320,0)</f>
        <v>0</v>
      </c>
      <c r="P164" s="212">
        <f>Table12[[#This Row],[ADD ACC]]*Table12[[#This Row],[RT TIME 
(777-500ER)]]</f>
        <v>0</v>
      </c>
    </row>
    <row r="165" spans="1:16" ht="15.75" customHeight="1" x14ac:dyDescent="0.25">
      <c r="A165" s="212" t="s">
        <v>14997</v>
      </c>
      <c r="B165" s="212" t="s">
        <v>209</v>
      </c>
      <c r="C165" s="212" t="s">
        <v>2</v>
      </c>
      <c r="D165" s="226">
        <v>3</v>
      </c>
      <c r="E165" s="212" t="s">
        <v>644</v>
      </c>
      <c r="F165" s="212" t="s">
        <v>12671</v>
      </c>
      <c r="G165" s="227" t="s">
        <v>11811</v>
      </c>
      <c r="H165" s="228">
        <v>7505</v>
      </c>
      <c r="I165" s="208">
        <v>19</v>
      </c>
      <c r="J165" s="211">
        <v>209108626</v>
      </c>
      <c r="K165" s="209">
        <v>53521.532121832606</v>
      </c>
      <c r="L165" s="212">
        <v>3907</v>
      </c>
      <c r="M165" s="212">
        <f>VLOOKUP(Table12[[#This Row],[ROUTE]],DEMAND!A:F,5,FALSE)</f>
        <v>4103</v>
      </c>
      <c r="N165" s="212">
        <f>VLOOKUP(Table12[[#This Row],[ROUTE]],DEMAND!A:F,6,FALSE)</f>
        <v>803</v>
      </c>
      <c r="O165" s="212">
        <f>ROUNDDOWN(Table12[[#This Row],[R-DEMAND]]/1320,0)</f>
        <v>0</v>
      </c>
      <c r="P165" s="212">
        <f>Table12[[#This Row],[ADD ACC]]*Table12[[#This Row],[RT TIME 
(777-500ER)]]</f>
        <v>0</v>
      </c>
    </row>
    <row r="166" spans="1:16" ht="15.75" customHeight="1" x14ac:dyDescent="0.25">
      <c r="A166" s="212" t="s">
        <v>14396</v>
      </c>
      <c r="B166" s="212" t="s">
        <v>5739</v>
      </c>
      <c r="C166" s="212" t="s">
        <v>2</v>
      </c>
      <c r="D166" s="226">
        <v>5</v>
      </c>
      <c r="E166" s="212" t="s">
        <v>647</v>
      </c>
      <c r="F166" s="212" t="s">
        <v>12688</v>
      </c>
      <c r="G166" s="227" t="s">
        <v>13274</v>
      </c>
      <c r="H166" s="228">
        <v>9527</v>
      </c>
      <c r="I166" s="208">
        <v>23.5</v>
      </c>
      <c r="J166" s="211">
        <v>266635599</v>
      </c>
      <c r="K166" s="209">
        <v>100769.31179138322</v>
      </c>
      <c r="L166" s="212">
        <v>2646</v>
      </c>
      <c r="M166" s="212">
        <f>VLOOKUP(Table12[[#This Row],[ROUTE]],DEMAND!A:F,5,FALSE)</f>
        <v>2824</v>
      </c>
      <c r="N166" s="212">
        <f>VLOOKUP(Table12[[#This Row],[ROUTE]],DEMAND!A:F,6,FALSE)</f>
        <v>624</v>
      </c>
      <c r="O166" s="212">
        <f>ROUNDDOWN(Table12[[#This Row],[R-DEMAND]]/1320,0)</f>
        <v>0</v>
      </c>
      <c r="P166" s="212">
        <f>Table12[[#This Row],[ADD ACC]]*Table12[[#This Row],[RT TIME 
(777-500ER)]]</f>
        <v>0</v>
      </c>
    </row>
    <row r="167" spans="1:16" ht="15.75" customHeight="1" x14ac:dyDescent="0.25">
      <c r="A167" s="212" t="s">
        <v>14410</v>
      </c>
      <c r="B167" s="212" t="s">
        <v>5754</v>
      </c>
      <c r="C167" s="212" t="s">
        <v>2</v>
      </c>
      <c r="D167" s="226">
        <v>5</v>
      </c>
      <c r="E167" s="212" t="s">
        <v>647</v>
      </c>
      <c r="F167" s="212" t="s">
        <v>12688</v>
      </c>
      <c r="G167" s="227" t="s">
        <v>13269</v>
      </c>
      <c r="H167" s="228">
        <v>9829</v>
      </c>
      <c r="I167" s="208">
        <v>24.25</v>
      </c>
      <c r="J167" s="211">
        <v>272535688</v>
      </c>
      <c r="K167" s="209">
        <v>100901.77267678638</v>
      </c>
      <c r="L167" s="212">
        <v>2701</v>
      </c>
      <c r="M167" s="212">
        <f>VLOOKUP(Table12[[#This Row],[ROUTE]],DEMAND!A:F,5,FALSE)</f>
        <v>2792</v>
      </c>
      <c r="N167" s="212">
        <f>VLOOKUP(Table12[[#This Row],[ROUTE]],DEMAND!A:F,6,FALSE)</f>
        <v>592</v>
      </c>
      <c r="O167" s="212">
        <f>ROUNDDOWN(Table12[[#This Row],[R-DEMAND]]/1320,0)</f>
        <v>0</v>
      </c>
      <c r="P167" s="212">
        <f>Table12[[#This Row],[ADD ACC]]*Table12[[#This Row],[RT TIME 
(777-500ER)]]</f>
        <v>0</v>
      </c>
    </row>
    <row r="168" spans="1:16" ht="15.75" customHeight="1" x14ac:dyDescent="0.25">
      <c r="A168" s="212" t="s">
        <v>14659</v>
      </c>
      <c r="B168" s="212" t="s">
        <v>4590</v>
      </c>
      <c r="C168" s="212" t="s">
        <v>2</v>
      </c>
      <c r="D168" s="226">
        <v>2</v>
      </c>
      <c r="E168" s="212" t="s">
        <v>119</v>
      </c>
      <c r="F168" s="212" t="s">
        <v>12674</v>
      </c>
      <c r="G168" s="227" t="s">
        <v>11696</v>
      </c>
      <c r="H168" s="228">
        <v>3651</v>
      </c>
      <c r="I168" s="208">
        <v>10.25</v>
      </c>
      <c r="J168" s="211">
        <v>162352028</v>
      </c>
      <c r="K168" s="209">
        <v>69470.272999572102</v>
      </c>
      <c r="L168" s="212">
        <v>2337</v>
      </c>
      <c r="M168" s="212">
        <f>VLOOKUP(Table12[[#This Row],[ROUTE]],DEMAND!A:F,5,FALSE)</f>
        <v>2486</v>
      </c>
      <c r="N168" s="212">
        <f>VLOOKUP(Table12[[#This Row],[ROUTE]],DEMAND!A:F,6,FALSE)</f>
        <v>286</v>
      </c>
      <c r="O168" s="212">
        <f>ROUNDDOWN(Table12[[#This Row],[R-DEMAND]]/1320,0)</f>
        <v>0</v>
      </c>
      <c r="P168" s="212">
        <f>Table12[[#This Row],[ADD ACC]]*Table12[[#This Row],[RT TIME 
(777-500ER)]]</f>
        <v>0</v>
      </c>
    </row>
    <row r="169" spans="1:16" ht="15.75" customHeight="1" x14ac:dyDescent="0.25">
      <c r="A169" s="212" t="s">
        <v>14683</v>
      </c>
      <c r="B169" s="212" t="s">
        <v>200</v>
      </c>
      <c r="C169" s="212" t="s">
        <v>2</v>
      </c>
      <c r="D169" s="226">
        <v>5</v>
      </c>
      <c r="E169" s="212" t="s">
        <v>83</v>
      </c>
      <c r="F169" s="212" t="s">
        <v>12674</v>
      </c>
      <c r="G169" s="227" t="s">
        <v>11067</v>
      </c>
      <c r="H169" s="228">
        <v>2544</v>
      </c>
      <c r="I169" s="208">
        <v>7.75</v>
      </c>
      <c r="J169" s="211">
        <v>192067084</v>
      </c>
      <c r="K169" s="209">
        <v>63577.320092684538</v>
      </c>
      <c r="L169" s="212">
        <v>3021</v>
      </c>
      <c r="M169" s="212">
        <f>VLOOKUP(Table12[[#This Row],[ROUTE]],DEMAND!A:F,5,FALSE)</f>
        <v>3134</v>
      </c>
      <c r="N169" s="212">
        <f>VLOOKUP(Table12[[#This Row],[ROUTE]],DEMAND!A:F,6,FALSE)</f>
        <v>934</v>
      </c>
      <c r="O169" s="212">
        <f>ROUNDDOWN(Table12[[#This Row],[R-DEMAND]]/1320,0)</f>
        <v>0</v>
      </c>
      <c r="P169" s="212">
        <f>Table12[[#This Row],[ADD ACC]]*Table12[[#This Row],[RT TIME 
(777-500ER)]]</f>
        <v>0</v>
      </c>
    </row>
    <row r="170" spans="1:16" ht="15.75" customHeight="1" x14ac:dyDescent="0.25">
      <c r="A170" s="212" t="s">
        <v>14852</v>
      </c>
      <c r="B170" s="212" t="s">
        <v>198</v>
      </c>
      <c r="C170" s="212" t="s">
        <v>2</v>
      </c>
      <c r="D170" s="226">
        <v>3</v>
      </c>
      <c r="E170" s="212" t="s">
        <v>197</v>
      </c>
      <c r="F170" s="212" t="s">
        <v>12670</v>
      </c>
      <c r="G170" s="227" t="s">
        <v>12017</v>
      </c>
      <c r="H170" s="228">
        <v>3889</v>
      </c>
      <c r="I170" s="208">
        <v>10.75</v>
      </c>
      <c r="J170" s="211">
        <v>174587297</v>
      </c>
      <c r="K170" s="209">
        <v>40925.292311298639</v>
      </c>
      <c r="L170" s="212">
        <v>4266</v>
      </c>
      <c r="M170" s="212">
        <f>VLOOKUP(Table12[[#This Row],[ROUTE]],DEMAND!A:F,5,FALSE)</f>
        <v>4552</v>
      </c>
      <c r="N170" s="212">
        <f>VLOOKUP(Table12[[#This Row],[ROUTE]],DEMAND!A:F,6,FALSE)</f>
        <v>1252</v>
      </c>
      <c r="O170" s="212">
        <f>ROUNDDOWN(Table12[[#This Row],[R-DEMAND]]/1320,0)</f>
        <v>0</v>
      </c>
      <c r="P170" s="212">
        <f>Table12[[#This Row],[ADD ACC]]*Table12[[#This Row],[RT TIME 
(777-500ER)]]</f>
        <v>0</v>
      </c>
    </row>
    <row r="171" spans="1:16" ht="15.75" customHeight="1" x14ac:dyDescent="0.25">
      <c r="A171" s="212" t="s">
        <v>14682</v>
      </c>
      <c r="B171" s="212" t="s">
        <v>195</v>
      </c>
      <c r="C171" s="212" t="s">
        <v>2</v>
      </c>
      <c r="D171" s="226">
        <v>5</v>
      </c>
      <c r="E171" s="212" t="s">
        <v>83</v>
      </c>
      <c r="F171" s="212" t="s">
        <v>12674</v>
      </c>
      <c r="G171" s="227" t="s">
        <v>11066</v>
      </c>
      <c r="H171" s="228">
        <v>2545</v>
      </c>
      <c r="I171" s="208">
        <v>7.75</v>
      </c>
      <c r="J171" s="211">
        <v>198620442</v>
      </c>
      <c r="K171" s="209">
        <v>63154.353577106522</v>
      </c>
      <c r="L171" s="212">
        <v>3145</v>
      </c>
      <c r="M171" s="212">
        <f>VLOOKUP(Table12[[#This Row],[ROUTE]],DEMAND!A:F,5,FALSE)</f>
        <v>3294</v>
      </c>
      <c r="N171" s="212">
        <f>VLOOKUP(Table12[[#This Row],[ROUTE]],DEMAND!A:F,6,FALSE)</f>
        <v>1094</v>
      </c>
      <c r="O171" s="212">
        <f>ROUNDDOWN(Table12[[#This Row],[R-DEMAND]]/1320,0)</f>
        <v>0</v>
      </c>
      <c r="P171" s="212">
        <f>Table12[[#This Row],[ADD ACC]]*Table12[[#This Row],[RT TIME 
(777-500ER)]]</f>
        <v>0</v>
      </c>
    </row>
    <row r="172" spans="1:16" ht="15.75" customHeight="1" x14ac:dyDescent="0.25">
      <c r="A172" s="212" t="s">
        <v>14715</v>
      </c>
      <c r="B172" s="212" t="s">
        <v>5141</v>
      </c>
      <c r="C172" s="212" t="s">
        <v>2</v>
      </c>
      <c r="D172" s="226">
        <v>3</v>
      </c>
      <c r="E172" s="212" t="s">
        <v>14</v>
      </c>
      <c r="F172" s="212" t="s">
        <v>12670</v>
      </c>
      <c r="G172" s="227" t="s">
        <v>12037</v>
      </c>
      <c r="H172" s="228">
        <v>5266</v>
      </c>
      <c r="I172" s="208">
        <v>14</v>
      </c>
      <c r="J172" s="211">
        <v>186183813</v>
      </c>
      <c r="K172" s="209">
        <v>62373.136683417084</v>
      </c>
      <c r="L172" s="212">
        <v>2985</v>
      </c>
      <c r="M172" s="212">
        <f>VLOOKUP(Table12[[#This Row],[ROUTE]],DEMAND!A:F,5,FALSE)</f>
        <v>3086</v>
      </c>
      <c r="N172" s="212">
        <f>VLOOKUP(Table12[[#This Row],[ROUTE]],DEMAND!A:F,6,FALSE)</f>
        <v>886</v>
      </c>
      <c r="O172" s="212">
        <f>ROUNDDOWN(Table12[[#This Row],[R-DEMAND]]/1320,0)</f>
        <v>0</v>
      </c>
      <c r="P172" s="212">
        <f>Table12[[#This Row],[ADD ACC]]*Table12[[#This Row],[RT TIME 
(777-500ER)]]</f>
        <v>0</v>
      </c>
    </row>
    <row r="173" spans="1:16" ht="15.75" customHeight="1" x14ac:dyDescent="0.25">
      <c r="A173" s="212" t="s">
        <v>14265</v>
      </c>
      <c r="B173" s="212" t="s">
        <v>5549</v>
      </c>
      <c r="C173" s="212" t="s">
        <v>2</v>
      </c>
      <c r="D173" s="226">
        <v>4</v>
      </c>
      <c r="E173" s="212" t="s">
        <v>714</v>
      </c>
      <c r="F173" s="212" t="s">
        <v>12694</v>
      </c>
      <c r="G173" s="227" t="s">
        <v>13237</v>
      </c>
      <c r="H173" s="228">
        <v>12676</v>
      </c>
      <c r="I173" s="208">
        <v>30.5</v>
      </c>
      <c r="J173" s="211">
        <v>273417461</v>
      </c>
      <c r="K173" s="209">
        <v>67711.109707776122</v>
      </c>
      <c r="L173" s="212">
        <v>4038</v>
      </c>
      <c r="M173" s="212">
        <f>VLOOKUP(Table12[[#This Row],[ROUTE]],DEMAND!A:F,5,FALSE)</f>
        <v>4188</v>
      </c>
      <c r="N173" s="212">
        <f>VLOOKUP(Table12[[#This Row],[ROUTE]],DEMAND!A:F,6,FALSE)</f>
        <v>888</v>
      </c>
      <c r="O173" s="212">
        <f>ROUNDDOWN(Table12[[#This Row],[R-DEMAND]]/1320,0)</f>
        <v>0</v>
      </c>
      <c r="P173" s="212">
        <f>Table12[[#This Row],[ADD ACC]]*Table12[[#This Row],[RT TIME 
(777-500ER)]]</f>
        <v>0</v>
      </c>
    </row>
    <row r="174" spans="1:16" ht="15.75" customHeight="1" x14ac:dyDescent="0.25">
      <c r="A174" s="212" t="s">
        <v>14598</v>
      </c>
      <c r="B174" s="212" t="s">
        <v>193</v>
      </c>
      <c r="C174" s="212" t="s">
        <v>2</v>
      </c>
      <c r="D174" s="226">
        <v>4</v>
      </c>
      <c r="E174" s="212" t="s">
        <v>733</v>
      </c>
      <c r="F174" s="212" t="s">
        <v>12674</v>
      </c>
      <c r="G174" s="227" t="s">
        <v>11065</v>
      </c>
      <c r="H174" s="228">
        <v>3914</v>
      </c>
      <c r="I174" s="208">
        <v>11</v>
      </c>
      <c r="J174" s="211">
        <v>190944140</v>
      </c>
      <c r="K174" s="209">
        <v>57896.949666464527</v>
      </c>
      <c r="L174" s="212">
        <v>3298</v>
      </c>
      <c r="M174" s="212">
        <f>VLOOKUP(Table12[[#This Row],[ROUTE]],DEMAND!A:F,5,FALSE)</f>
        <v>3486</v>
      </c>
      <c r="N174" s="212">
        <f>VLOOKUP(Table12[[#This Row],[ROUTE]],DEMAND!A:F,6,FALSE)</f>
        <v>1286</v>
      </c>
      <c r="O174" s="212">
        <f>ROUNDDOWN(Table12[[#This Row],[R-DEMAND]]/1320,0)</f>
        <v>0</v>
      </c>
      <c r="P174" s="212">
        <f>Table12[[#This Row],[ADD ACC]]*Table12[[#This Row],[RT TIME 
(777-500ER)]]</f>
        <v>0</v>
      </c>
    </row>
    <row r="175" spans="1:16" ht="15.75" customHeight="1" x14ac:dyDescent="0.25">
      <c r="A175" s="212" t="s">
        <v>15060</v>
      </c>
      <c r="B175" s="212" t="s">
        <v>484</v>
      </c>
      <c r="C175" s="212" t="s">
        <v>2</v>
      </c>
      <c r="D175" s="226">
        <v>4</v>
      </c>
      <c r="E175" s="212" t="s">
        <v>2059</v>
      </c>
      <c r="F175" s="212" t="s">
        <v>12671</v>
      </c>
      <c r="G175" s="227" t="s">
        <v>11064</v>
      </c>
      <c r="H175" s="228">
        <v>6233</v>
      </c>
      <c r="I175" s="208">
        <v>16</v>
      </c>
      <c r="J175" s="211">
        <v>206131809</v>
      </c>
      <c r="K175" s="209">
        <v>47234.60334555454</v>
      </c>
      <c r="L175" s="212">
        <v>4364</v>
      </c>
      <c r="M175" s="212">
        <f>VLOOKUP(Table12[[#This Row],[ROUTE]],DEMAND!A:F,5,FALSE)</f>
        <v>4541</v>
      </c>
      <c r="N175" s="212">
        <f>VLOOKUP(Table12[[#This Row],[ROUTE]],DEMAND!A:F,6,FALSE)</f>
        <v>1241</v>
      </c>
      <c r="O175" s="212">
        <f>ROUNDDOWN(Table12[[#This Row],[R-DEMAND]]/1320,0)</f>
        <v>0</v>
      </c>
      <c r="P175" s="212">
        <f>Table12[[#This Row],[ADD ACC]]*Table12[[#This Row],[RT TIME 
(777-500ER)]]</f>
        <v>0</v>
      </c>
    </row>
    <row r="176" spans="1:16" ht="15.75" customHeight="1" x14ac:dyDescent="0.25">
      <c r="A176" s="212" t="s">
        <v>14665</v>
      </c>
      <c r="B176" s="212" t="s">
        <v>5583</v>
      </c>
      <c r="C176" s="212" t="s">
        <v>2</v>
      </c>
      <c r="D176" s="226">
        <v>4</v>
      </c>
      <c r="E176" s="212" t="s">
        <v>119</v>
      </c>
      <c r="F176" s="212" t="s">
        <v>12674</v>
      </c>
      <c r="G176" s="227" t="s">
        <v>13252</v>
      </c>
      <c r="H176" s="228">
        <v>5197</v>
      </c>
      <c r="I176" s="208">
        <v>13.75</v>
      </c>
      <c r="J176" s="211">
        <v>200496934</v>
      </c>
      <c r="K176" s="209">
        <v>80845.537903225806</v>
      </c>
      <c r="L176" s="212">
        <v>2480</v>
      </c>
      <c r="M176" s="212">
        <f>VLOOKUP(Table12[[#This Row],[ROUTE]],DEMAND!A:F,5,FALSE)</f>
        <v>2605</v>
      </c>
      <c r="N176" s="212">
        <f>VLOOKUP(Table12[[#This Row],[ROUTE]],DEMAND!A:F,6,FALSE)</f>
        <v>405</v>
      </c>
      <c r="O176" s="212">
        <f>ROUNDDOWN(Table12[[#This Row],[R-DEMAND]]/1320,0)</f>
        <v>0</v>
      </c>
      <c r="P176" s="212">
        <f>Table12[[#This Row],[ADD ACC]]*Table12[[#This Row],[RT TIME 
(777-500ER)]]</f>
        <v>0</v>
      </c>
    </row>
    <row r="177" spans="1:16" ht="15.75" customHeight="1" x14ac:dyDescent="0.25">
      <c r="A177" s="212" t="s">
        <v>14709</v>
      </c>
      <c r="B177" s="212" t="s">
        <v>8728</v>
      </c>
      <c r="C177" s="212" t="s">
        <v>2</v>
      </c>
      <c r="D177" s="226">
        <v>3</v>
      </c>
      <c r="E177" s="212" t="s">
        <v>14</v>
      </c>
      <c r="F177" s="212" t="s">
        <v>12670</v>
      </c>
      <c r="G177" s="227" t="s">
        <v>12054</v>
      </c>
      <c r="H177" s="228">
        <v>5061</v>
      </c>
      <c r="I177" s="208">
        <v>13.5</v>
      </c>
      <c r="J177" s="211">
        <v>188491888</v>
      </c>
      <c r="K177" s="209">
        <v>58903.714999999997</v>
      </c>
      <c r="L177" s="212">
        <v>3200</v>
      </c>
      <c r="M177" s="212">
        <f>VLOOKUP(Table12[[#This Row],[ROUTE]],DEMAND!A:F,5,FALSE)</f>
        <v>3383</v>
      </c>
      <c r="N177" s="212">
        <f>VLOOKUP(Table12[[#This Row],[ROUTE]],DEMAND!A:F,6,FALSE)</f>
        <v>1183</v>
      </c>
      <c r="O177" s="212">
        <f>ROUNDDOWN(Table12[[#This Row],[R-DEMAND]]/1320,0)</f>
        <v>0</v>
      </c>
      <c r="P177" s="212">
        <f>Table12[[#This Row],[ADD ACC]]*Table12[[#This Row],[RT TIME 
(777-500ER)]]</f>
        <v>0</v>
      </c>
    </row>
    <row r="178" spans="1:16" ht="15.75" customHeight="1" x14ac:dyDescent="0.25">
      <c r="A178" s="212" t="s">
        <v>15019</v>
      </c>
      <c r="B178" s="212" t="s">
        <v>5019</v>
      </c>
      <c r="C178" s="212" t="s">
        <v>2</v>
      </c>
      <c r="D178" s="226">
        <v>3</v>
      </c>
      <c r="E178" s="212" t="s">
        <v>1124</v>
      </c>
      <c r="F178" s="212" t="s">
        <v>12671</v>
      </c>
      <c r="G178" s="227" t="s">
        <v>11872</v>
      </c>
      <c r="H178" s="228">
        <v>3334</v>
      </c>
      <c r="I178" s="208">
        <v>9.5</v>
      </c>
      <c r="J178" s="211">
        <v>164406350</v>
      </c>
      <c r="K178" s="209">
        <v>43678.626461211476</v>
      </c>
      <c r="L178" s="212">
        <v>3764</v>
      </c>
      <c r="M178" s="212">
        <f>VLOOKUP(Table12[[#This Row],[ROUTE]],DEMAND!A:F,5,FALSE)</f>
        <v>4017</v>
      </c>
      <c r="N178" s="212">
        <f>VLOOKUP(Table12[[#This Row],[ROUTE]],DEMAND!A:F,6,FALSE)</f>
        <v>717</v>
      </c>
      <c r="O178" s="212">
        <f>ROUNDDOWN(Table12[[#This Row],[R-DEMAND]]/1320,0)</f>
        <v>0</v>
      </c>
      <c r="P178" s="212">
        <f>Table12[[#This Row],[ADD ACC]]*Table12[[#This Row],[RT TIME 
(777-500ER)]]</f>
        <v>0</v>
      </c>
    </row>
    <row r="179" spans="1:16" ht="15.75" customHeight="1" x14ac:dyDescent="0.25">
      <c r="A179" s="212" t="s">
        <v>14851</v>
      </c>
      <c r="B179" s="212" t="s">
        <v>3243</v>
      </c>
      <c r="C179" s="212" t="s">
        <v>2</v>
      </c>
      <c r="D179" s="226">
        <v>2</v>
      </c>
      <c r="E179" s="212" t="s">
        <v>197</v>
      </c>
      <c r="F179" s="212" t="s">
        <v>12670</v>
      </c>
      <c r="G179" s="227" t="s">
        <v>12013</v>
      </c>
      <c r="H179" s="228">
        <v>3825</v>
      </c>
      <c r="I179" s="208">
        <v>10.75</v>
      </c>
      <c r="J179" s="211">
        <v>154239055</v>
      </c>
      <c r="K179" s="209">
        <v>43805.46861687021</v>
      </c>
      <c r="L179" s="212">
        <v>3521</v>
      </c>
      <c r="M179" s="212">
        <f>VLOOKUP(Table12[[#This Row],[ROUTE]],DEMAND!A:F,5,FALSE)</f>
        <v>3664</v>
      </c>
      <c r="N179" s="212">
        <f>VLOOKUP(Table12[[#This Row],[ROUTE]],DEMAND!A:F,6,FALSE)</f>
        <v>364</v>
      </c>
      <c r="O179" s="212">
        <f>ROUNDDOWN(Table12[[#This Row],[R-DEMAND]]/1320,0)</f>
        <v>0</v>
      </c>
      <c r="P179" s="212">
        <f>Table12[[#This Row],[ADD ACC]]*Table12[[#This Row],[RT TIME 
(777-500ER)]]</f>
        <v>0</v>
      </c>
    </row>
    <row r="180" spans="1:16" ht="15.75" customHeight="1" x14ac:dyDescent="0.25">
      <c r="A180" s="212" t="s">
        <v>14516</v>
      </c>
      <c r="B180" s="212" t="s">
        <v>5543</v>
      </c>
      <c r="C180" s="212" t="s">
        <v>2</v>
      </c>
      <c r="D180" s="226">
        <v>4</v>
      </c>
      <c r="E180" s="212" t="s">
        <v>560</v>
      </c>
      <c r="F180" s="212" t="s">
        <v>12674</v>
      </c>
      <c r="G180" s="227" t="s">
        <v>11063</v>
      </c>
      <c r="H180" s="228">
        <v>2526</v>
      </c>
      <c r="I180" s="208">
        <v>7.75</v>
      </c>
      <c r="J180" s="211">
        <v>172820936</v>
      </c>
      <c r="K180" s="209">
        <v>77987.787003610109</v>
      </c>
      <c r="L180" s="212">
        <v>2216</v>
      </c>
      <c r="M180" s="212">
        <f>VLOOKUP(Table12[[#This Row],[ROUTE]],DEMAND!A:F,5,FALSE)</f>
        <v>2306</v>
      </c>
      <c r="N180" s="212">
        <f>VLOOKUP(Table12[[#This Row],[ROUTE]],DEMAND!A:F,6,FALSE)</f>
        <v>1206</v>
      </c>
      <c r="O180" s="212">
        <f>ROUNDDOWN(Table12[[#This Row],[R-DEMAND]]/1320,0)</f>
        <v>0</v>
      </c>
      <c r="P180" s="212">
        <f>Table12[[#This Row],[ADD ACC]]*Table12[[#This Row],[RT TIME 
(777-500ER)]]</f>
        <v>0</v>
      </c>
    </row>
    <row r="181" spans="1:16" ht="15.75" customHeight="1" x14ac:dyDescent="0.25">
      <c r="A181" s="212" t="s">
        <v>14786</v>
      </c>
      <c r="B181" s="212" t="s">
        <v>187</v>
      </c>
      <c r="C181" s="212" t="s">
        <v>2</v>
      </c>
      <c r="D181" s="226">
        <v>4</v>
      </c>
      <c r="E181" s="212" t="s">
        <v>1070</v>
      </c>
      <c r="F181" s="212" t="s">
        <v>12670</v>
      </c>
      <c r="G181" s="227" t="s">
        <v>11062</v>
      </c>
      <c r="H181" s="228">
        <v>5953</v>
      </c>
      <c r="I181" s="208">
        <v>15.5</v>
      </c>
      <c r="J181" s="211">
        <v>210214251</v>
      </c>
      <c r="K181" s="209">
        <v>50098.72521448999</v>
      </c>
      <c r="L181" s="212">
        <v>4196</v>
      </c>
      <c r="M181" s="212">
        <f>VLOOKUP(Table12[[#This Row],[ROUTE]],DEMAND!A:F,5,FALSE)</f>
        <v>4450</v>
      </c>
      <c r="N181" s="212">
        <f>VLOOKUP(Table12[[#This Row],[ROUTE]],DEMAND!A:F,6,FALSE)</f>
        <v>1150</v>
      </c>
      <c r="O181" s="212">
        <f>ROUNDDOWN(Table12[[#This Row],[R-DEMAND]]/1320,0)</f>
        <v>0</v>
      </c>
      <c r="P181" s="212">
        <f>Table12[[#This Row],[ADD ACC]]*Table12[[#This Row],[RT TIME 
(777-500ER)]]</f>
        <v>0</v>
      </c>
    </row>
    <row r="182" spans="1:16" ht="15.75" customHeight="1" x14ac:dyDescent="0.25">
      <c r="A182" s="212" t="s">
        <v>14657</v>
      </c>
      <c r="B182" s="212" t="s">
        <v>185</v>
      </c>
      <c r="C182" s="212" t="s">
        <v>2</v>
      </c>
      <c r="D182" s="226">
        <v>5</v>
      </c>
      <c r="E182" s="212" t="s">
        <v>119</v>
      </c>
      <c r="F182" s="212" t="s">
        <v>12674</v>
      </c>
      <c r="G182" s="227" t="s">
        <v>11061</v>
      </c>
      <c r="H182" s="228">
        <v>3436</v>
      </c>
      <c r="I182" s="208">
        <v>9.75</v>
      </c>
      <c r="J182" s="211">
        <v>208194410</v>
      </c>
      <c r="K182" s="209">
        <v>60486.464264962233</v>
      </c>
      <c r="L182" s="212">
        <v>3442</v>
      </c>
      <c r="M182" s="212">
        <f>VLOOKUP(Table12[[#This Row],[ROUTE]],DEMAND!A:F,5,FALSE)</f>
        <v>3571</v>
      </c>
      <c r="N182" s="212">
        <f>VLOOKUP(Table12[[#This Row],[ROUTE]],DEMAND!A:F,6,FALSE)</f>
        <v>271</v>
      </c>
      <c r="O182" s="212">
        <f>ROUNDDOWN(Table12[[#This Row],[R-DEMAND]]/1320,0)</f>
        <v>0</v>
      </c>
      <c r="P182" s="212">
        <f>Table12[[#This Row],[ADD ACC]]*Table12[[#This Row],[RT TIME 
(777-500ER)]]</f>
        <v>0</v>
      </c>
    </row>
    <row r="183" spans="1:16" ht="15.75" customHeight="1" x14ac:dyDescent="0.25">
      <c r="A183" s="212" t="s">
        <v>14686</v>
      </c>
      <c r="B183" s="212" t="s">
        <v>182</v>
      </c>
      <c r="C183" s="212" t="s">
        <v>2</v>
      </c>
      <c r="D183" s="226">
        <v>5</v>
      </c>
      <c r="E183" s="212" t="s">
        <v>83</v>
      </c>
      <c r="F183" s="212" t="s">
        <v>12674</v>
      </c>
      <c r="G183" s="227" t="s">
        <v>181</v>
      </c>
      <c r="H183" s="228">
        <v>2576</v>
      </c>
      <c r="I183" s="208">
        <v>8</v>
      </c>
      <c r="J183" s="211">
        <v>185676638</v>
      </c>
      <c r="K183" s="209">
        <v>64718.242593238065</v>
      </c>
      <c r="L183" s="212">
        <v>2869</v>
      </c>
      <c r="M183" s="212">
        <f>VLOOKUP(Table12[[#This Row],[ROUTE]],DEMAND!A:F,5,FALSE)</f>
        <v>2995</v>
      </c>
      <c r="N183" s="212">
        <f>VLOOKUP(Table12[[#This Row],[ROUTE]],DEMAND!A:F,6,FALSE)</f>
        <v>795</v>
      </c>
      <c r="O183" s="212">
        <f>ROUNDDOWN(Table12[[#This Row],[R-DEMAND]]/1320,0)</f>
        <v>0</v>
      </c>
      <c r="P183" s="212">
        <f>Table12[[#This Row],[ADD ACC]]*Table12[[#This Row],[RT TIME 
(777-500ER)]]</f>
        <v>0</v>
      </c>
    </row>
    <row r="184" spans="1:16" ht="15.75" customHeight="1" x14ac:dyDescent="0.25">
      <c r="A184" s="212" t="s">
        <v>14272</v>
      </c>
      <c r="B184" s="212" t="s">
        <v>5130</v>
      </c>
      <c r="C184" s="212" t="s">
        <v>2</v>
      </c>
      <c r="D184" s="226">
        <v>3</v>
      </c>
      <c r="E184" s="212" t="s">
        <v>4045</v>
      </c>
      <c r="F184" s="212" t="s">
        <v>12694</v>
      </c>
      <c r="G184" s="227" t="s">
        <v>13375</v>
      </c>
      <c r="H184" s="228">
        <v>10244</v>
      </c>
      <c r="I184" s="208">
        <v>25</v>
      </c>
      <c r="J184" s="211">
        <v>235927034</v>
      </c>
      <c r="K184" s="209">
        <v>70404.963891375708</v>
      </c>
      <c r="L184" s="212">
        <v>3351</v>
      </c>
      <c r="M184" s="212">
        <f>VLOOKUP(Table12[[#This Row],[ROUTE]],DEMAND!A:F,5,FALSE)</f>
        <v>3509</v>
      </c>
      <c r="N184" s="212">
        <f>VLOOKUP(Table12[[#This Row],[ROUTE]],DEMAND!A:F,6,FALSE)</f>
        <v>1309</v>
      </c>
      <c r="O184" s="212">
        <f>ROUNDDOWN(Table12[[#This Row],[R-DEMAND]]/1320,0)</f>
        <v>0</v>
      </c>
      <c r="P184" s="212">
        <f>Table12[[#This Row],[ADD ACC]]*Table12[[#This Row],[RT TIME 
(777-500ER)]]</f>
        <v>0</v>
      </c>
    </row>
    <row r="185" spans="1:16" ht="15.75" customHeight="1" x14ac:dyDescent="0.25">
      <c r="A185" s="212" t="s">
        <v>14339</v>
      </c>
      <c r="B185" s="212" t="s">
        <v>5574</v>
      </c>
      <c r="C185" s="212" t="s">
        <v>2</v>
      </c>
      <c r="D185" s="226">
        <v>4</v>
      </c>
      <c r="E185" s="212" t="s">
        <v>647</v>
      </c>
      <c r="F185" s="212" t="s">
        <v>12688</v>
      </c>
      <c r="G185" s="227" t="s">
        <v>13303</v>
      </c>
      <c r="H185" s="228">
        <v>8571</v>
      </c>
      <c r="I185" s="208">
        <v>21.25</v>
      </c>
      <c r="J185" s="211">
        <v>234792494</v>
      </c>
      <c r="K185" s="209">
        <v>101862.25336225597</v>
      </c>
      <c r="L185" s="212">
        <v>2305</v>
      </c>
      <c r="M185" s="212">
        <f>VLOOKUP(Table12[[#This Row],[ROUTE]],DEMAND!A:F,5,FALSE)</f>
        <v>2413</v>
      </c>
      <c r="N185" s="212">
        <f>VLOOKUP(Table12[[#This Row],[ROUTE]],DEMAND!A:F,6,FALSE)</f>
        <v>1313</v>
      </c>
      <c r="O185" s="212">
        <f>ROUNDDOWN(Table12[[#This Row],[R-DEMAND]]/1320,0)</f>
        <v>0</v>
      </c>
      <c r="P185" s="212">
        <f>Table12[[#This Row],[ADD ACC]]*Table12[[#This Row],[RT TIME 
(777-500ER)]]</f>
        <v>0</v>
      </c>
    </row>
    <row r="186" spans="1:16" ht="15.75" customHeight="1" x14ac:dyDescent="0.25">
      <c r="A186" s="212" t="s">
        <v>14370</v>
      </c>
      <c r="B186" s="212" t="s">
        <v>5727</v>
      </c>
      <c r="C186" s="212" t="s">
        <v>2</v>
      </c>
      <c r="D186" s="226">
        <v>5</v>
      </c>
      <c r="E186" s="212" t="s">
        <v>647</v>
      </c>
      <c r="F186" s="212" t="s">
        <v>12688</v>
      </c>
      <c r="G186" s="227" t="s">
        <v>13368</v>
      </c>
      <c r="H186" s="228">
        <v>9061</v>
      </c>
      <c r="I186" s="208">
        <v>22.5</v>
      </c>
      <c r="J186" s="211">
        <v>259011865</v>
      </c>
      <c r="K186" s="209">
        <v>99314.365414110434</v>
      </c>
      <c r="L186" s="212">
        <v>2608</v>
      </c>
      <c r="M186" s="212">
        <f>VLOOKUP(Table12[[#This Row],[ROUTE]],DEMAND!A:F,5,FALSE)</f>
        <v>2758</v>
      </c>
      <c r="N186" s="212">
        <f>VLOOKUP(Table12[[#This Row],[ROUTE]],DEMAND!A:F,6,FALSE)</f>
        <v>558</v>
      </c>
      <c r="O186" s="212">
        <f>ROUNDDOWN(Table12[[#This Row],[R-DEMAND]]/1320,0)</f>
        <v>0</v>
      </c>
      <c r="P186" s="212">
        <f>Table12[[#This Row],[ADD ACC]]*Table12[[#This Row],[RT TIME 
(777-500ER)]]</f>
        <v>0</v>
      </c>
    </row>
    <row r="187" spans="1:16" ht="15.75" customHeight="1" x14ac:dyDescent="0.25">
      <c r="A187" s="212" t="s">
        <v>14248</v>
      </c>
      <c r="B187" s="212" t="s">
        <v>178</v>
      </c>
      <c r="C187" s="212" t="s">
        <v>2</v>
      </c>
      <c r="D187" s="226">
        <v>2</v>
      </c>
      <c r="E187" s="212" t="s">
        <v>860</v>
      </c>
      <c r="F187" s="212" t="s">
        <v>12694</v>
      </c>
      <c r="G187" s="227" t="s">
        <v>13182</v>
      </c>
      <c r="H187" s="228">
        <v>10874</v>
      </c>
      <c r="I187" s="208">
        <v>26.5</v>
      </c>
      <c r="J187" s="211">
        <v>230403970</v>
      </c>
      <c r="K187" s="209">
        <v>78582.527285129603</v>
      </c>
      <c r="L187" s="212">
        <v>2932</v>
      </c>
      <c r="M187" s="212">
        <f>VLOOKUP(Table12[[#This Row],[ROUTE]],DEMAND!A:F,5,FALSE)</f>
        <v>3110</v>
      </c>
      <c r="N187" s="212">
        <f>VLOOKUP(Table12[[#This Row],[ROUTE]],DEMAND!A:F,6,FALSE)</f>
        <v>910</v>
      </c>
      <c r="O187" s="212">
        <f>ROUNDDOWN(Table12[[#This Row],[R-DEMAND]]/1320,0)</f>
        <v>0</v>
      </c>
      <c r="P187" s="212">
        <f>Table12[[#This Row],[ADD ACC]]*Table12[[#This Row],[RT TIME 
(777-500ER)]]</f>
        <v>0</v>
      </c>
    </row>
    <row r="188" spans="1:16" ht="15.75" customHeight="1" x14ac:dyDescent="0.25">
      <c r="A188" s="212" t="s">
        <v>14844</v>
      </c>
      <c r="B188" s="212" t="s">
        <v>175</v>
      </c>
      <c r="C188" s="212" t="s">
        <v>2</v>
      </c>
      <c r="D188" s="226">
        <v>3</v>
      </c>
      <c r="E188" s="212" t="s">
        <v>11046</v>
      </c>
      <c r="F188" s="212" t="s">
        <v>12670</v>
      </c>
      <c r="G188" s="227" t="s">
        <v>4748</v>
      </c>
      <c r="H188" s="228">
        <v>6040</v>
      </c>
      <c r="I188" s="208">
        <v>15.75</v>
      </c>
      <c r="J188" s="211">
        <v>187708626</v>
      </c>
      <c r="K188" s="209">
        <v>53326.314204545452</v>
      </c>
      <c r="L188" s="212">
        <v>3520</v>
      </c>
      <c r="M188" s="212">
        <f>VLOOKUP(Table12[[#This Row],[ROUTE]],DEMAND!A:F,5,FALSE)</f>
        <v>3709</v>
      </c>
      <c r="N188" s="212">
        <f>VLOOKUP(Table12[[#This Row],[ROUTE]],DEMAND!A:F,6,FALSE)</f>
        <v>409</v>
      </c>
      <c r="O188" s="212">
        <f>ROUNDDOWN(Table12[[#This Row],[R-DEMAND]]/1320,0)</f>
        <v>0</v>
      </c>
      <c r="P188" s="212">
        <f>Table12[[#This Row],[ADD ACC]]*Table12[[#This Row],[RT TIME 
(777-500ER)]]</f>
        <v>0</v>
      </c>
    </row>
    <row r="189" spans="1:16" ht="15.75" customHeight="1" x14ac:dyDescent="0.25">
      <c r="A189" s="212" t="s">
        <v>14252</v>
      </c>
      <c r="B189" s="212" t="s">
        <v>3595</v>
      </c>
      <c r="C189" s="212" t="s">
        <v>2</v>
      </c>
      <c r="D189" s="226">
        <v>2</v>
      </c>
      <c r="E189" s="212" t="s">
        <v>2293</v>
      </c>
      <c r="F189" s="212" t="s">
        <v>12694</v>
      </c>
      <c r="G189" s="227" t="s">
        <v>13200</v>
      </c>
      <c r="H189" s="228">
        <v>11853</v>
      </c>
      <c r="I189" s="208">
        <v>28.75</v>
      </c>
      <c r="J189" s="211">
        <v>235960698</v>
      </c>
      <c r="K189" s="209">
        <v>80505.185261003076</v>
      </c>
      <c r="L189" s="212">
        <v>2931</v>
      </c>
      <c r="M189" s="212">
        <f>VLOOKUP(Table12[[#This Row],[ROUTE]],DEMAND!A:F,5,FALSE)</f>
        <v>3059</v>
      </c>
      <c r="N189" s="212">
        <f>VLOOKUP(Table12[[#This Row],[ROUTE]],DEMAND!A:F,6,FALSE)</f>
        <v>859</v>
      </c>
      <c r="O189" s="212">
        <f>ROUNDDOWN(Table12[[#This Row],[R-DEMAND]]/1320,0)</f>
        <v>0</v>
      </c>
      <c r="P189" s="212">
        <f>Table12[[#This Row],[ADD ACC]]*Table12[[#This Row],[RT TIME 
(777-500ER)]]</f>
        <v>0</v>
      </c>
    </row>
    <row r="190" spans="1:16" ht="15.75" customHeight="1" x14ac:dyDescent="0.25">
      <c r="A190" s="212" t="s">
        <v>14875</v>
      </c>
      <c r="B190" s="212" t="s">
        <v>173</v>
      </c>
      <c r="C190" s="212" t="s">
        <v>2</v>
      </c>
      <c r="D190" s="226">
        <v>5</v>
      </c>
      <c r="E190" s="212" t="s">
        <v>172</v>
      </c>
      <c r="F190" s="212" t="s">
        <v>12670</v>
      </c>
      <c r="G190" s="227" t="s">
        <v>171</v>
      </c>
      <c r="H190" s="228">
        <v>3435</v>
      </c>
      <c r="I190" s="208">
        <v>9.75</v>
      </c>
      <c r="J190" s="211">
        <v>194991759</v>
      </c>
      <c r="K190" s="209">
        <v>48241.404997525977</v>
      </c>
      <c r="L190" s="212">
        <v>4042</v>
      </c>
      <c r="M190" s="212">
        <f>VLOOKUP(Table12[[#This Row],[ROUTE]],DEMAND!A:F,5,FALSE)</f>
        <v>4192</v>
      </c>
      <c r="N190" s="212">
        <f>VLOOKUP(Table12[[#This Row],[ROUTE]],DEMAND!A:F,6,FALSE)</f>
        <v>892</v>
      </c>
      <c r="O190" s="212">
        <f>ROUNDDOWN(Table12[[#This Row],[R-DEMAND]]/1320,0)</f>
        <v>0</v>
      </c>
      <c r="P190" s="212">
        <f>Table12[[#This Row],[ADD ACC]]*Table12[[#This Row],[RT TIME 
(777-500ER)]]</f>
        <v>0</v>
      </c>
    </row>
    <row r="191" spans="1:16" ht="15.75" customHeight="1" x14ac:dyDescent="0.25">
      <c r="A191" s="212" t="s">
        <v>14282</v>
      </c>
      <c r="B191" s="212" t="s">
        <v>170</v>
      </c>
      <c r="C191" s="212" t="s">
        <v>2</v>
      </c>
      <c r="D191" s="226">
        <v>5</v>
      </c>
      <c r="E191" s="212" t="s">
        <v>774</v>
      </c>
      <c r="F191" s="212" t="s">
        <v>12682</v>
      </c>
      <c r="G191" s="227" t="s">
        <v>11060</v>
      </c>
      <c r="H191" s="228">
        <v>14386</v>
      </c>
      <c r="I191" s="208">
        <v>34.5</v>
      </c>
      <c r="J191" s="211">
        <v>307480851</v>
      </c>
      <c r="K191" s="209">
        <v>124234.68727272727</v>
      </c>
      <c r="L191" s="212">
        <v>2475</v>
      </c>
      <c r="M191" s="212">
        <f>VLOOKUP(Table12[[#This Row],[ROUTE]],DEMAND!A:F,5,FALSE)</f>
        <v>2640</v>
      </c>
      <c r="N191" s="212">
        <f>VLOOKUP(Table12[[#This Row],[ROUTE]],DEMAND!A:F,6,FALSE)</f>
        <v>440</v>
      </c>
      <c r="O191" s="212">
        <f>ROUNDDOWN(Table12[[#This Row],[R-DEMAND]]/1320,0)</f>
        <v>0</v>
      </c>
      <c r="P191" s="212">
        <f>Table12[[#This Row],[ADD ACC]]*Table12[[#This Row],[RT TIME 
(777-500ER)]]</f>
        <v>0</v>
      </c>
    </row>
    <row r="192" spans="1:16" ht="15.75" customHeight="1" x14ac:dyDescent="0.25">
      <c r="A192" s="212" t="s">
        <v>14353</v>
      </c>
      <c r="B192" s="212" t="s">
        <v>5579</v>
      </c>
      <c r="C192" s="212" t="s">
        <v>2</v>
      </c>
      <c r="D192" s="226">
        <v>4</v>
      </c>
      <c r="E192" s="212" t="s">
        <v>647</v>
      </c>
      <c r="F192" s="212" t="s">
        <v>12688</v>
      </c>
      <c r="G192" s="227" t="s">
        <v>13331</v>
      </c>
      <c r="H192" s="228">
        <v>8809</v>
      </c>
      <c r="I192" s="208">
        <v>22</v>
      </c>
      <c r="J192" s="211">
        <v>237613124</v>
      </c>
      <c r="K192" s="209">
        <v>102818.31414971873</v>
      </c>
      <c r="L192" s="212">
        <v>2311</v>
      </c>
      <c r="M192" s="212">
        <f>VLOOKUP(Table12[[#This Row],[ROUTE]],DEMAND!A:F,5,FALSE)</f>
        <v>2458</v>
      </c>
      <c r="N192" s="212">
        <f>VLOOKUP(Table12[[#This Row],[ROUTE]],DEMAND!A:F,6,FALSE)</f>
        <v>-842</v>
      </c>
      <c r="O192" s="212">
        <f>ROUNDDOWN(Table12[[#This Row],[R-DEMAND]]/1320,0)</f>
        <v>0</v>
      </c>
      <c r="P192" s="212">
        <f>Table12[[#This Row],[ADD ACC]]*Table12[[#This Row],[RT TIME 
(777-500ER)]]</f>
        <v>0</v>
      </c>
    </row>
    <row r="193" spans="1:16" ht="15.75" customHeight="1" x14ac:dyDescent="0.25">
      <c r="A193" s="212" t="s">
        <v>14476</v>
      </c>
      <c r="B193" s="212" t="s">
        <v>5703</v>
      </c>
      <c r="C193" s="212" t="s">
        <v>2</v>
      </c>
      <c r="D193" s="226">
        <v>5</v>
      </c>
      <c r="E193" s="212" t="s">
        <v>1749</v>
      </c>
      <c r="F193" s="212" t="s">
        <v>12688</v>
      </c>
      <c r="G193" s="227" t="s">
        <v>13225</v>
      </c>
      <c r="H193" s="228">
        <v>10760</v>
      </c>
      <c r="I193" s="208">
        <v>26.25</v>
      </c>
      <c r="J193" s="211">
        <v>269216717</v>
      </c>
      <c r="K193" s="209">
        <v>69385.751804123705</v>
      </c>
      <c r="L193" s="212">
        <v>3880</v>
      </c>
      <c r="M193" s="212">
        <f>VLOOKUP(Table12[[#This Row],[ROUTE]],DEMAND!A:F,5,FALSE)</f>
        <v>4063</v>
      </c>
      <c r="N193" s="212">
        <f>VLOOKUP(Table12[[#This Row],[ROUTE]],DEMAND!A:F,6,FALSE)</f>
        <v>763</v>
      </c>
      <c r="O193" s="212">
        <f>ROUNDDOWN(Table12[[#This Row],[R-DEMAND]]/1320,0)</f>
        <v>0</v>
      </c>
      <c r="P193" s="212">
        <f>Table12[[#This Row],[ADD ACC]]*Table12[[#This Row],[RT TIME 
(777-500ER)]]</f>
        <v>0</v>
      </c>
    </row>
    <row r="194" spans="1:16" ht="15.75" customHeight="1" x14ac:dyDescent="0.25">
      <c r="A194" s="212" t="s">
        <v>14741</v>
      </c>
      <c r="B194" s="212" t="s">
        <v>5300</v>
      </c>
      <c r="C194" s="212" t="s">
        <v>2</v>
      </c>
      <c r="D194" s="226">
        <v>3</v>
      </c>
      <c r="E194" s="212" t="s">
        <v>14</v>
      </c>
      <c r="F194" s="212" t="s">
        <v>12670</v>
      </c>
      <c r="G194" s="227" t="s">
        <v>12079</v>
      </c>
      <c r="H194" s="228">
        <v>7104</v>
      </c>
      <c r="I194" s="208">
        <v>18</v>
      </c>
      <c r="J194" s="211">
        <v>208357825</v>
      </c>
      <c r="K194" s="209">
        <v>67429.716828478966</v>
      </c>
      <c r="L194" s="212">
        <v>3090</v>
      </c>
      <c r="M194" s="212">
        <f>VLOOKUP(Table12[[#This Row],[ROUTE]],DEMAND!A:F,5,FALSE)</f>
        <v>3256</v>
      </c>
      <c r="N194" s="212">
        <f>VLOOKUP(Table12[[#This Row],[ROUTE]],DEMAND!A:F,6,FALSE)</f>
        <v>1056</v>
      </c>
      <c r="O194" s="212">
        <f>ROUNDDOWN(Table12[[#This Row],[R-DEMAND]]/1320,0)</f>
        <v>0</v>
      </c>
      <c r="P194" s="212">
        <f>Table12[[#This Row],[ADD ACC]]*Table12[[#This Row],[RT TIME 
(777-500ER)]]</f>
        <v>0</v>
      </c>
    </row>
    <row r="195" spans="1:16" ht="15.75" customHeight="1" x14ac:dyDescent="0.25">
      <c r="A195" s="212" t="s">
        <v>14386</v>
      </c>
      <c r="B195" s="212" t="s">
        <v>168</v>
      </c>
      <c r="C195" s="212" t="s">
        <v>2</v>
      </c>
      <c r="D195" s="226">
        <v>5</v>
      </c>
      <c r="E195" s="212" t="s">
        <v>647</v>
      </c>
      <c r="F195" s="212" t="s">
        <v>12688</v>
      </c>
      <c r="G195" s="227" t="s">
        <v>13373</v>
      </c>
      <c r="H195" s="228">
        <v>9265</v>
      </c>
      <c r="I195" s="208">
        <v>23</v>
      </c>
      <c r="J195" s="211">
        <v>261694141</v>
      </c>
      <c r="K195" s="209">
        <v>100035.98662079511</v>
      </c>
      <c r="L195" s="212">
        <v>2616</v>
      </c>
      <c r="M195" s="212">
        <f>VLOOKUP(Table12[[#This Row],[ROUTE]],DEMAND!A:F,5,FALSE)</f>
        <v>2721</v>
      </c>
      <c r="N195" s="212">
        <f>VLOOKUP(Table12[[#This Row],[ROUTE]],DEMAND!A:F,6,FALSE)</f>
        <v>-579</v>
      </c>
      <c r="O195" s="212">
        <f>ROUNDDOWN(Table12[[#This Row],[R-DEMAND]]/1320,0)</f>
        <v>0</v>
      </c>
      <c r="P195" s="212">
        <f>Table12[[#This Row],[ADD ACC]]*Table12[[#This Row],[RT TIME 
(777-500ER)]]</f>
        <v>0</v>
      </c>
    </row>
    <row r="196" spans="1:16" ht="15.75" customHeight="1" x14ac:dyDescent="0.25">
      <c r="A196" s="212" t="s">
        <v>14464</v>
      </c>
      <c r="B196" s="212" t="s">
        <v>4735</v>
      </c>
      <c r="C196" s="212" t="s">
        <v>2</v>
      </c>
      <c r="D196" s="226">
        <v>3</v>
      </c>
      <c r="E196" s="212" t="s">
        <v>1749</v>
      </c>
      <c r="F196" s="212" t="s">
        <v>12688</v>
      </c>
      <c r="G196" s="227" t="s">
        <v>13228</v>
      </c>
      <c r="H196" s="228">
        <v>10195</v>
      </c>
      <c r="I196" s="208">
        <v>25</v>
      </c>
      <c r="J196" s="211">
        <v>228442383</v>
      </c>
      <c r="K196" s="209">
        <v>79679.938262992669</v>
      </c>
      <c r="L196" s="212">
        <v>2867</v>
      </c>
      <c r="M196" s="212">
        <f>VLOOKUP(Table12[[#This Row],[ROUTE]],DEMAND!A:F,5,FALSE)</f>
        <v>2973</v>
      </c>
      <c r="N196" s="212">
        <f>VLOOKUP(Table12[[#This Row],[ROUTE]],DEMAND!A:F,6,FALSE)</f>
        <v>773</v>
      </c>
      <c r="O196" s="212">
        <f>ROUNDDOWN(Table12[[#This Row],[R-DEMAND]]/1320,0)</f>
        <v>0</v>
      </c>
      <c r="P196" s="212">
        <f>Table12[[#This Row],[ADD ACC]]*Table12[[#This Row],[RT TIME 
(777-500ER)]]</f>
        <v>0</v>
      </c>
    </row>
    <row r="197" spans="1:16" ht="15.75" customHeight="1" x14ac:dyDescent="0.25">
      <c r="A197" s="212" t="s">
        <v>15087</v>
      </c>
      <c r="B197" s="212" t="s">
        <v>5304</v>
      </c>
      <c r="C197" s="212" t="s">
        <v>2</v>
      </c>
      <c r="D197" s="226">
        <v>3</v>
      </c>
      <c r="E197" s="212" t="s">
        <v>971</v>
      </c>
      <c r="F197" s="212" t="s">
        <v>12671</v>
      </c>
      <c r="G197" s="227" t="s">
        <v>11775</v>
      </c>
      <c r="H197" s="228">
        <v>3003</v>
      </c>
      <c r="I197" s="208">
        <v>8.75</v>
      </c>
      <c r="J197" s="211">
        <v>167468388</v>
      </c>
      <c r="K197" s="209">
        <v>46007.798901098904</v>
      </c>
      <c r="L197" s="212">
        <v>3640</v>
      </c>
      <c r="M197" s="212">
        <f>VLOOKUP(Table12[[#This Row],[ROUTE]],DEMAND!A:F,5,FALSE)</f>
        <v>3787</v>
      </c>
      <c r="N197" s="212">
        <f>VLOOKUP(Table12[[#This Row],[ROUTE]],DEMAND!A:F,6,FALSE)</f>
        <v>487</v>
      </c>
      <c r="O197" s="212">
        <f>ROUNDDOWN(Table12[[#This Row],[R-DEMAND]]/1320,0)</f>
        <v>0</v>
      </c>
      <c r="P197" s="212">
        <f>Table12[[#This Row],[ADD ACC]]*Table12[[#This Row],[RT TIME 
(777-500ER)]]</f>
        <v>0</v>
      </c>
    </row>
    <row r="198" spans="1:16" ht="15.75" customHeight="1" x14ac:dyDescent="0.25">
      <c r="A198" s="212" t="s">
        <v>14858</v>
      </c>
      <c r="B198" s="212" t="s">
        <v>166</v>
      </c>
      <c r="C198" s="212" t="s">
        <v>2</v>
      </c>
      <c r="D198" s="226">
        <v>5</v>
      </c>
      <c r="E198" s="212" t="s">
        <v>717</v>
      </c>
      <c r="F198" s="212" t="s">
        <v>12670</v>
      </c>
      <c r="G198" s="227" t="s">
        <v>12089</v>
      </c>
      <c r="H198" s="228">
        <v>8253</v>
      </c>
      <c r="I198" s="208">
        <v>20.75</v>
      </c>
      <c r="J198" s="211">
        <v>241346776</v>
      </c>
      <c r="K198" s="209">
        <v>61867.925147398106</v>
      </c>
      <c r="L198" s="212">
        <v>3901</v>
      </c>
      <c r="M198" s="212">
        <f>VLOOKUP(Table12[[#This Row],[ROUTE]],DEMAND!A:F,5,FALSE)</f>
        <v>4045</v>
      </c>
      <c r="N198" s="212">
        <f>VLOOKUP(Table12[[#This Row],[ROUTE]],DEMAND!A:F,6,FALSE)</f>
        <v>745</v>
      </c>
      <c r="O198" s="212">
        <f>ROUNDDOWN(Table12[[#This Row],[R-DEMAND]]/1320,0)</f>
        <v>0</v>
      </c>
      <c r="P198" s="212">
        <f>Table12[[#This Row],[ADD ACC]]*Table12[[#This Row],[RT TIME 
(777-500ER)]]</f>
        <v>0</v>
      </c>
    </row>
    <row r="199" spans="1:16" ht="15.75" customHeight="1" x14ac:dyDescent="0.25">
      <c r="A199" s="212" t="s">
        <v>14521</v>
      </c>
      <c r="B199" s="212" t="s">
        <v>5495</v>
      </c>
      <c r="C199" s="212" t="s">
        <v>2</v>
      </c>
      <c r="D199" s="226">
        <v>4</v>
      </c>
      <c r="E199" s="212" t="s">
        <v>560</v>
      </c>
      <c r="F199" s="212" t="s">
        <v>12674</v>
      </c>
      <c r="G199" s="227" t="s">
        <v>11058</v>
      </c>
      <c r="H199" s="228">
        <v>2678</v>
      </c>
      <c r="I199" s="208">
        <v>8.25</v>
      </c>
      <c r="J199" s="211">
        <v>172423916</v>
      </c>
      <c r="K199" s="209">
        <v>68859.391373801918</v>
      </c>
      <c r="L199" s="212">
        <v>2504</v>
      </c>
      <c r="M199" s="212">
        <f>VLOOKUP(Table12[[#This Row],[ROUTE]],DEMAND!A:F,5,FALSE)</f>
        <v>2621</v>
      </c>
      <c r="N199" s="212">
        <f>VLOOKUP(Table12[[#This Row],[ROUTE]],DEMAND!A:F,6,FALSE)</f>
        <v>421</v>
      </c>
      <c r="O199" s="212">
        <f>ROUNDDOWN(Table12[[#This Row],[R-DEMAND]]/1320,0)</f>
        <v>0</v>
      </c>
      <c r="P199" s="212">
        <f>Table12[[#This Row],[ADD ACC]]*Table12[[#This Row],[RT TIME 
(777-500ER)]]</f>
        <v>0</v>
      </c>
    </row>
    <row r="200" spans="1:16" ht="15.75" customHeight="1" x14ac:dyDescent="0.25">
      <c r="A200" s="212" t="s">
        <v>15042</v>
      </c>
      <c r="B200" s="212" t="s">
        <v>160</v>
      </c>
      <c r="C200" s="212" t="s">
        <v>2</v>
      </c>
      <c r="D200" s="226">
        <v>3</v>
      </c>
      <c r="E200" s="212" t="s">
        <v>5096</v>
      </c>
      <c r="F200" s="212" t="s">
        <v>12671</v>
      </c>
      <c r="G200" s="227" t="s">
        <v>12011</v>
      </c>
      <c r="H200" s="228">
        <v>8640</v>
      </c>
      <c r="I200" s="208">
        <v>21.5</v>
      </c>
      <c r="J200" s="211">
        <v>218838657</v>
      </c>
      <c r="K200" s="209">
        <v>73931.97871621621</v>
      </c>
      <c r="L200" s="212">
        <v>2960</v>
      </c>
      <c r="M200" s="212">
        <f>VLOOKUP(Table12[[#This Row],[ROUTE]],DEMAND!A:F,5,FALSE)</f>
        <v>3139</v>
      </c>
      <c r="N200" s="212">
        <f>VLOOKUP(Table12[[#This Row],[ROUTE]],DEMAND!A:F,6,FALSE)</f>
        <v>939</v>
      </c>
      <c r="O200" s="212">
        <f>ROUNDDOWN(Table12[[#This Row],[R-DEMAND]]/1320,0)</f>
        <v>0</v>
      </c>
      <c r="P200" s="212">
        <f>Table12[[#This Row],[ADD ACC]]*Table12[[#This Row],[RT TIME 
(777-500ER)]]</f>
        <v>0</v>
      </c>
    </row>
    <row r="201" spans="1:16" ht="15.75" customHeight="1" x14ac:dyDescent="0.25">
      <c r="A201" s="212" t="s">
        <v>14313</v>
      </c>
      <c r="B201" s="212" t="s">
        <v>5719</v>
      </c>
      <c r="C201" s="212" t="s">
        <v>11122</v>
      </c>
      <c r="D201" s="226">
        <v>5</v>
      </c>
      <c r="E201" s="212" t="s">
        <v>647</v>
      </c>
      <c r="F201" s="212" t="s">
        <v>12688</v>
      </c>
      <c r="G201" s="227" t="s">
        <v>13294</v>
      </c>
      <c r="H201" s="228">
        <v>7959</v>
      </c>
      <c r="I201" s="208">
        <v>20</v>
      </c>
      <c r="J201" s="211">
        <v>245769832</v>
      </c>
      <c r="K201" s="209">
        <v>99140.714804356598</v>
      </c>
      <c r="L201" s="212">
        <v>2479</v>
      </c>
      <c r="M201" s="212">
        <f>VLOOKUP(Table12[[#This Row],[ROUTE]],DEMAND!A:F,5,FALSE)</f>
        <v>2563</v>
      </c>
      <c r="N201" s="212">
        <f>VLOOKUP(Table12[[#This Row],[ROUTE]],DEMAND!A:F,6,FALSE)</f>
        <v>363</v>
      </c>
      <c r="O201" s="212">
        <f>ROUNDDOWN(Table12[[#This Row],[R-DEMAND]]/1320,0)</f>
        <v>0</v>
      </c>
      <c r="P201" s="212">
        <f>Table12[[#This Row],[ADD ACC]]*Table12[[#This Row],[RT TIME 
(777-500ER)]]</f>
        <v>0</v>
      </c>
    </row>
    <row r="202" spans="1:16" ht="15.75" customHeight="1" x14ac:dyDescent="0.25">
      <c r="A202" s="212" t="s">
        <v>15035</v>
      </c>
      <c r="B202" s="212" t="s">
        <v>2106</v>
      </c>
      <c r="C202" s="212" t="s">
        <v>2</v>
      </c>
      <c r="D202" s="226">
        <v>1</v>
      </c>
      <c r="E202" s="212" t="s">
        <v>2104</v>
      </c>
      <c r="F202" s="212" t="s">
        <v>12671</v>
      </c>
      <c r="G202" s="227" t="s">
        <v>11881</v>
      </c>
      <c r="H202" s="228">
        <v>9491</v>
      </c>
      <c r="I202" s="208">
        <v>23.5</v>
      </c>
      <c r="J202" s="211"/>
      <c r="K202" s="209">
        <v>0</v>
      </c>
      <c r="L202" s="212"/>
      <c r="M202" s="212">
        <f>VLOOKUP(Table12[[#This Row],[ROUTE]],DEMAND!A:F,5,FALSE)</f>
        <v>3471</v>
      </c>
      <c r="N202" s="212">
        <f>VLOOKUP(Table12[[#This Row],[ROUTE]],DEMAND!A:F,6,FALSE)</f>
        <v>1271</v>
      </c>
      <c r="O202" s="212">
        <f>ROUNDDOWN(Table12[[#This Row],[R-DEMAND]]/1320,0)</f>
        <v>0</v>
      </c>
      <c r="P202" s="212">
        <f>Table12[[#This Row],[ADD ACC]]*Table12[[#This Row],[RT TIME 
(777-500ER)]]</f>
        <v>0</v>
      </c>
    </row>
    <row r="203" spans="1:16" ht="15.75" customHeight="1" x14ac:dyDescent="0.25">
      <c r="A203" s="212" t="s">
        <v>14383</v>
      </c>
      <c r="B203" s="212" t="s">
        <v>5516</v>
      </c>
      <c r="C203" s="212" t="s">
        <v>2</v>
      </c>
      <c r="D203" s="226">
        <v>4</v>
      </c>
      <c r="E203" s="212" t="s">
        <v>647</v>
      </c>
      <c r="F203" s="212" t="s">
        <v>12688</v>
      </c>
      <c r="G203" s="227" t="s">
        <v>13353</v>
      </c>
      <c r="H203" s="228">
        <v>9322</v>
      </c>
      <c r="I203" s="208">
        <v>23</v>
      </c>
      <c r="J203" s="211">
        <v>239484202</v>
      </c>
      <c r="K203" s="209">
        <v>105966.4610619469</v>
      </c>
      <c r="L203" s="212">
        <v>2260</v>
      </c>
      <c r="M203" s="212">
        <f>VLOOKUP(Table12[[#This Row],[ROUTE]],DEMAND!A:F,5,FALSE)</f>
        <v>2351</v>
      </c>
      <c r="N203" s="212">
        <f>VLOOKUP(Table12[[#This Row],[ROUTE]],DEMAND!A:F,6,FALSE)</f>
        <v>1251</v>
      </c>
      <c r="O203" s="212">
        <f>ROUNDDOWN(Table12[[#This Row],[R-DEMAND]]/1320,0)</f>
        <v>0</v>
      </c>
      <c r="P203" s="212">
        <f>Table12[[#This Row],[ADD ACC]]*Table12[[#This Row],[RT TIME 
(777-500ER)]]</f>
        <v>0</v>
      </c>
    </row>
    <row r="204" spans="1:16" ht="15.75" customHeight="1" x14ac:dyDescent="0.25">
      <c r="A204" s="212" t="s">
        <v>14465</v>
      </c>
      <c r="B204" s="212" t="s">
        <v>5463</v>
      </c>
      <c r="C204" s="212" t="s">
        <v>2</v>
      </c>
      <c r="D204" s="226">
        <v>4</v>
      </c>
      <c r="E204" s="212" t="s">
        <v>1749</v>
      </c>
      <c r="F204" s="212" t="s">
        <v>12688</v>
      </c>
      <c r="G204" s="227" t="s">
        <v>13218</v>
      </c>
      <c r="H204" s="228">
        <v>10150</v>
      </c>
      <c r="I204" s="208">
        <v>25</v>
      </c>
      <c r="J204" s="211">
        <v>243635751</v>
      </c>
      <c r="K204" s="209">
        <v>73273.910075187974</v>
      </c>
      <c r="L204" s="212">
        <v>3325</v>
      </c>
      <c r="M204" s="212">
        <f>VLOOKUP(Table12[[#This Row],[ROUTE]],DEMAND!A:F,5,FALSE)</f>
        <v>3437</v>
      </c>
      <c r="N204" s="212">
        <f>VLOOKUP(Table12[[#This Row],[ROUTE]],DEMAND!A:F,6,FALSE)</f>
        <v>1237</v>
      </c>
      <c r="O204" s="212">
        <f>ROUNDDOWN(Table12[[#This Row],[R-DEMAND]]/1320,0)</f>
        <v>0</v>
      </c>
      <c r="P204" s="212">
        <f>Table12[[#This Row],[ADD ACC]]*Table12[[#This Row],[RT TIME 
(777-500ER)]]</f>
        <v>0</v>
      </c>
    </row>
    <row r="205" spans="1:16" ht="15.75" customHeight="1" x14ac:dyDescent="0.25">
      <c r="A205" s="212" t="s">
        <v>14534</v>
      </c>
      <c r="B205" s="212" t="s">
        <v>157</v>
      </c>
      <c r="C205" s="212" t="s">
        <v>2</v>
      </c>
      <c r="D205" s="226">
        <v>5</v>
      </c>
      <c r="E205" s="212" t="s">
        <v>1427</v>
      </c>
      <c r="F205" s="212" t="s">
        <v>12674</v>
      </c>
      <c r="G205" s="227" t="s">
        <v>11057</v>
      </c>
      <c r="H205" s="228">
        <v>1942</v>
      </c>
      <c r="I205" s="208">
        <v>6.5</v>
      </c>
      <c r="J205" s="211">
        <v>186798401</v>
      </c>
      <c r="K205" s="209">
        <v>61894.765076209413</v>
      </c>
      <c r="L205" s="212">
        <v>3018</v>
      </c>
      <c r="M205" s="212">
        <f>VLOOKUP(Table12[[#This Row],[ROUTE]],DEMAND!A:F,5,FALSE)</f>
        <v>3171</v>
      </c>
      <c r="N205" s="212">
        <f>VLOOKUP(Table12[[#This Row],[ROUTE]],DEMAND!A:F,6,FALSE)</f>
        <v>971</v>
      </c>
      <c r="O205" s="212">
        <f>ROUNDDOWN(Table12[[#This Row],[R-DEMAND]]/1320,0)</f>
        <v>0</v>
      </c>
      <c r="P205" s="212">
        <f>Table12[[#This Row],[ADD ACC]]*Table12[[#This Row],[RT TIME 
(777-500ER)]]</f>
        <v>0</v>
      </c>
    </row>
    <row r="206" spans="1:16" ht="15.75" customHeight="1" x14ac:dyDescent="0.25">
      <c r="A206" s="212" t="s">
        <v>14268</v>
      </c>
      <c r="B206" s="212" t="s">
        <v>4752</v>
      </c>
      <c r="C206" s="212" t="s">
        <v>2</v>
      </c>
      <c r="D206" s="226">
        <v>3</v>
      </c>
      <c r="E206" s="212" t="s">
        <v>545</v>
      </c>
      <c r="F206" s="212" t="s">
        <v>12694</v>
      </c>
      <c r="G206" s="227" t="s">
        <v>13374</v>
      </c>
      <c r="H206" s="228">
        <v>13363</v>
      </c>
      <c r="I206" s="208">
        <v>32</v>
      </c>
      <c r="J206" s="211">
        <v>260224095</v>
      </c>
      <c r="K206" s="209">
        <v>88602.007150153222</v>
      </c>
      <c r="L206" s="212">
        <v>2937</v>
      </c>
      <c r="M206" s="212">
        <f>VLOOKUP(Table12[[#This Row],[ROUTE]],DEMAND!A:F,5,FALSE)</f>
        <v>3134</v>
      </c>
      <c r="N206" s="212">
        <f>VLOOKUP(Table12[[#This Row],[ROUTE]],DEMAND!A:F,6,FALSE)</f>
        <v>934</v>
      </c>
      <c r="O206" s="212">
        <f>ROUNDDOWN(Table12[[#This Row],[R-DEMAND]]/1320,0)</f>
        <v>0</v>
      </c>
      <c r="P206" s="212">
        <f>Table12[[#This Row],[ADD ACC]]*Table12[[#This Row],[RT TIME 
(777-500ER)]]</f>
        <v>0</v>
      </c>
    </row>
    <row r="207" spans="1:16" ht="15.75" customHeight="1" x14ac:dyDescent="0.25">
      <c r="A207" s="212" t="s">
        <v>14563</v>
      </c>
      <c r="B207" s="212" t="s">
        <v>5672</v>
      </c>
      <c r="C207" s="212" t="s">
        <v>2</v>
      </c>
      <c r="D207" s="226">
        <v>4</v>
      </c>
      <c r="E207" s="212" t="s">
        <v>308</v>
      </c>
      <c r="F207" s="212" t="s">
        <v>12674</v>
      </c>
      <c r="G207" s="227" t="s">
        <v>11056</v>
      </c>
      <c r="H207" s="228">
        <v>2308</v>
      </c>
      <c r="I207" s="208">
        <v>7.25</v>
      </c>
      <c r="J207" s="211">
        <v>180588653</v>
      </c>
      <c r="K207" s="209">
        <v>65265.143838091797</v>
      </c>
      <c r="L207" s="212">
        <v>2767</v>
      </c>
      <c r="M207" s="212">
        <f>VLOOKUP(Table12[[#This Row],[ROUTE]],DEMAND!A:F,5,FALSE)</f>
        <v>2943</v>
      </c>
      <c r="N207" s="212">
        <f>VLOOKUP(Table12[[#This Row],[ROUTE]],DEMAND!A:F,6,FALSE)</f>
        <v>743</v>
      </c>
      <c r="O207" s="212">
        <f>ROUNDDOWN(Table12[[#This Row],[R-DEMAND]]/1320,0)</f>
        <v>0</v>
      </c>
      <c r="P207" s="212">
        <f>Table12[[#This Row],[ADD ACC]]*Table12[[#This Row],[RT TIME 
(777-500ER)]]</f>
        <v>0</v>
      </c>
    </row>
    <row r="208" spans="1:16" ht="15.75" customHeight="1" x14ac:dyDescent="0.25">
      <c r="A208" s="212" t="s">
        <v>14774</v>
      </c>
      <c r="B208" s="212" t="s">
        <v>154</v>
      </c>
      <c r="C208" s="212" t="s">
        <v>2</v>
      </c>
      <c r="D208" s="226">
        <v>3</v>
      </c>
      <c r="E208" s="212" t="s">
        <v>1070</v>
      </c>
      <c r="F208" s="212" t="s">
        <v>12670</v>
      </c>
      <c r="G208" s="227" t="s">
        <v>12055</v>
      </c>
      <c r="H208" s="228">
        <v>5112</v>
      </c>
      <c r="I208" s="208">
        <v>13.5</v>
      </c>
      <c r="J208" s="211">
        <v>178164117</v>
      </c>
      <c r="K208" s="209">
        <v>51927.751967356453</v>
      </c>
      <c r="L208" s="212">
        <v>3431</v>
      </c>
      <c r="M208" s="212">
        <f>VLOOKUP(Table12[[#This Row],[ROUTE]],DEMAND!A:F,5,FALSE)</f>
        <v>3628</v>
      </c>
      <c r="N208" s="212">
        <f>VLOOKUP(Table12[[#This Row],[ROUTE]],DEMAND!A:F,6,FALSE)</f>
        <v>328</v>
      </c>
      <c r="O208" s="212">
        <f>ROUNDDOWN(Table12[[#This Row],[R-DEMAND]]/1320,0)</f>
        <v>0</v>
      </c>
      <c r="P208" s="212">
        <f>Table12[[#This Row],[ADD ACC]]*Table12[[#This Row],[RT TIME 
(777-500ER)]]</f>
        <v>0</v>
      </c>
    </row>
    <row r="209" spans="1:16" ht="15.75" customHeight="1" x14ac:dyDescent="0.25">
      <c r="A209" s="204" t="s">
        <v>14284</v>
      </c>
      <c r="B209" s="204" t="s">
        <v>4804</v>
      </c>
      <c r="C209" s="212" t="s">
        <v>11122</v>
      </c>
      <c r="D209" s="205">
        <v>4</v>
      </c>
      <c r="E209" s="204" t="s">
        <v>2356</v>
      </c>
      <c r="F209" s="204" t="s">
        <v>12682</v>
      </c>
      <c r="G209" s="206" t="s">
        <v>11925</v>
      </c>
      <c r="H209" s="207">
        <v>14624</v>
      </c>
      <c r="I209" s="208">
        <v>35</v>
      </c>
      <c r="J209" s="209">
        <v>273932514</v>
      </c>
      <c r="K209" s="209">
        <v>109616.85234093637</v>
      </c>
      <c r="L209" s="204">
        <v>2499</v>
      </c>
      <c r="M209" s="212">
        <f>VLOOKUP(Table12[[#This Row],[ROUTE]],DEMAND!A:F,5,FALSE)</f>
        <v>2608</v>
      </c>
      <c r="N209" s="212">
        <f>VLOOKUP(Table12[[#This Row],[ROUTE]],DEMAND!A:F,6,FALSE)</f>
        <v>408</v>
      </c>
      <c r="O209" s="212">
        <f>ROUNDDOWN(Table12[[#This Row],[R-DEMAND]]/1320,0)</f>
        <v>0</v>
      </c>
      <c r="P209" s="212">
        <f>Table12[[#This Row],[ADD ACC]]*Table12[[#This Row],[RT TIME 
(777-500ER)]]</f>
        <v>0</v>
      </c>
    </row>
    <row r="210" spans="1:16" ht="15.75" customHeight="1" x14ac:dyDescent="0.25">
      <c r="A210" s="212" t="s">
        <v>14417</v>
      </c>
      <c r="B210" s="212" t="s">
        <v>5179</v>
      </c>
      <c r="C210" s="212" t="s">
        <v>2</v>
      </c>
      <c r="D210" s="226">
        <v>3</v>
      </c>
      <c r="E210" s="212" t="s">
        <v>13119</v>
      </c>
      <c r="F210" s="212" t="s">
        <v>12688</v>
      </c>
      <c r="G210" s="227" t="s">
        <v>13146</v>
      </c>
      <c r="H210" s="228">
        <v>9192</v>
      </c>
      <c r="I210" s="208">
        <v>22.75</v>
      </c>
      <c r="J210" s="211">
        <v>226105069</v>
      </c>
      <c r="K210" s="209">
        <v>85194.072720422002</v>
      </c>
      <c r="L210" s="212">
        <v>2654</v>
      </c>
      <c r="M210" s="212">
        <f>VLOOKUP(Table12[[#This Row],[ROUTE]],DEMAND!A:F,5,FALSE)</f>
        <v>2815</v>
      </c>
      <c r="N210" s="212">
        <f>VLOOKUP(Table12[[#This Row],[ROUTE]],DEMAND!A:F,6,FALSE)</f>
        <v>615</v>
      </c>
      <c r="O210" s="212">
        <f>ROUNDDOWN(Table12[[#This Row],[R-DEMAND]]/1320,0)</f>
        <v>0</v>
      </c>
      <c r="P210" s="212">
        <f>Table12[[#This Row],[ADD ACC]]*Table12[[#This Row],[RT TIME 
(777-500ER)]]</f>
        <v>0</v>
      </c>
    </row>
    <row r="211" spans="1:16" ht="15.75" customHeight="1" x14ac:dyDescent="0.25">
      <c r="A211" s="212" t="s">
        <v>15032</v>
      </c>
      <c r="B211" s="212" t="s">
        <v>152</v>
      </c>
      <c r="C211" s="212" t="s">
        <v>2</v>
      </c>
      <c r="D211" s="226">
        <v>3</v>
      </c>
      <c r="E211" s="212" t="s">
        <v>1189</v>
      </c>
      <c r="F211" s="212" t="s">
        <v>12671</v>
      </c>
      <c r="G211" s="227" t="s">
        <v>11926</v>
      </c>
      <c r="H211" s="228">
        <v>6310</v>
      </c>
      <c r="I211" s="208">
        <v>16.25</v>
      </c>
      <c r="J211" s="211">
        <v>204543694</v>
      </c>
      <c r="K211" s="209">
        <v>48642.971224732464</v>
      </c>
      <c r="L211" s="212">
        <v>4205</v>
      </c>
      <c r="M211" s="212">
        <f>VLOOKUP(Table12[[#This Row],[ROUTE]],DEMAND!A:F,5,FALSE)</f>
        <v>4360</v>
      </c>
      <c r="N211" s="212">
        <f>VLOOKUP(Table12[[#This Row],[ROUTE]],DEMAND!A:F,6,FALSE)</f>
        <v>1060</v>
      </c>
      <c r="O211" s="212">
        <f>ROUNDDOWN(Table12[[#This Row],[R-DEMAND]]/1320,0)</f>
        <v>0</v>
      </c>
      <c r="P211" s="212">
        <f>Table12[[#This Row],[ADD ACC]]*Table12[[#This Row],[RT TIME 
(777-500ER)]]</f>
        <v>0</v>
      </c>
    </row>
    <row r="212" spans="1:16" ht="15.75" customHeight="1" x14ac:dyDescent="0.25">
      <c r="A212" s="212" t="s">
        <v>14515</v>
      </c>
      <c r="B212" s="212" t="s">
        <v>5591</v>
      </c>
      <c r="C212" s="212" t="s">
        <v>2</v>
      </c>
      <c r="D212" s="226">
        <v>4</v>
      </c>
      <c r="E212" s="212" t="s">
        <v>560</v>
      </c>
      <c r="F212" s="212" t="s">
        <v>12674</v>
      </c>
      <c r="G212" s="227" t="s">
        <v>11055</v>
      </c>
      <c r="H212" s="228">
        <v>2541</v>
      </c>
      <c r="I212" s="208">
        <v>7.75</v>
      </c>
      <c r="J212" s="211">
        <v>175265289</v>
      </c>
      <c r="K212" s="209">
        <v>77619.70283436669</v>
      </c>
      <c r="L212" s="212">
        <v>2258</v>
      </c>
      <c r="M212" s="212">
        <f>VLOOKUP(Table12[[#This Row],[ROUTE]],DEMAND!A:F,5,FALSE)</f>
        <v>2334</v>
      </c>
      <c r="N212" s="212">
        <f>VLOOKUP(Table12[[#This Row],[ROUTE]],DEMAND!A:F,6,FALSE)</f>
        <v>1234</v>
      </c>
      <c r="O212" s="212">
        <f>ROUNDDOWN(Table12[[#This Row],[R-DEMAND]]/1320,0)</f>
        <v>0</v>
      </c>
      <c r="P212" s="212">
        <f>Table12[[#This Row],[ADD ACC]]*Table12[[#This Row],[RT TIME 
(777-500ER)]]</f>
        <v>0</v>
      </c>
    </row>
    <row r="213" spans="1:16" ht="15.75" customHeight="1" x14ac:dyDescent="0.25">
      <c r="A213" s="212" t="s">
        <v>14739</v>
      </c>
      <c r="B213" s="212" t="s">
        <v>5272</v>
      </c>
      <c r="C213" s="212" t="s">
        <v>2</v>
      </c>
      <c r="D213" s="226">
        <v>3</v>
      </c>
      <c r="E213" s="212" t="s">
        <v>14</v>
      </c>
      <c r="F213" s="212" t="s">
        <v>12670</v>
      </c>
      <c r="G213" s="227" t="s">
        <v>12053</v>
      </c>
      <c r="H213" s="228">
        <v>6930</v>
      </c>
      <c r="I213" s="208">
        <v>17.75</v>
      </c>
      <c r="J213" s="211">
        <v>206127786</v>
      </c>
      <c r="K213" s="209">
        <v>67033.426341463419</v>
      </c>
      <c r="L213" s="212">
        <v>3075</v>
      </c>
      <c r="M213" s="212">
        <f>VLOOKUP(Table12[[#This Row],[ROUTE]],DEMAND!A:F,5,FALSE)</f>
        <v>3260</v>
      </c>
      <c r="N213" s="212">
        <f>VLOOKUP(Table12[[#This Row],[ROUTE]],DEMAND!A:F,6,FALSE)</f>
        <v>1060</v>
      </c>
      <c r="O213" s="212">
        <f>ROUNDDOWN(Table12[[#This Row],[R-DEMAND]]/1320,0)</f>
        <v>0</v>
      </c>
      <c r="P213" s="212">
        <f>Table12[[#This Row],[ADD ACC]]*Table12[[#This Row],[RT TIME 
(777-500ER)]]</f>
        <v>0</v>
      </c>
    </row>
    <row r="214" spans="1:16" ht="15.75" customHeight="1" x14ac:dyDescent="0.25">
      <c r="A214" s="212" t="s">
        <v>14821</v>
      </c>
      <c r="B214" s="212" t="s">
        <v>149</v>
      </c>
      <c r="C214" s="212" t="s">
        <v>2</v>
      </c>
      <c r="D214" s="226">
        <v>4</v>
      </c>
      <c r="E214" s="212" t="s">
        <v>142</v>
      </c>
      <c r="F214" s="212" t="s">
        <v>12670</v>
      </c>
      <c r="G214" s="227" t="s">
        <v>11054</v>
      </c>
      <c r="H214" s="228">
        <v>7398</v>
      </c>
      <c r="I214" s="208">
        <v>18.75</v>
      </c>
      <c r="J214" s="211">
        <v>225133289</v>
      </c>
      <c r="K214" s="209">
        <v>81041.5007199424</v>
      </c>
      <c r="L214" s="212">
        <v>2778</v>
      </c>
      <c r="M214" s="212">
        <f>VLOOKUP(Table12[[#This Row],[ROUTE]],DEMAND!A:F,5,FALSE)</f>
        <v>2890</v>
      </c>
      <c r="N214" s="212">
        <f>VLOOKUP(Table12[[#This Row],[ROUTE]],DEMAND!A:F,6,FALSE)</f>
        <v>690</v>
      </c>
      <c r="O214" s="212">
        <f>ROUNDDOWN(Table12[[#This Row],[R-DEMAND]]/1320,0)</f>
        <v>0</v>
      </c>
      <c r="P214" s="212">
        <f>Table12[[#This Row],[ADD ACC]]*Table12[[#This Row],[RT TIME 
(777-500ER)]]</f>
        <v>0</v>
      </c>
    </row>
    <row r="215" spans="1:16" ht="15.75" customHeight="1" x14ac:dyDescent="0.25">
      <c r="A215" s="212" t="s">
        <v>14815</v>
      </c>
      <c r="B215" s="212" t="s">
        <v>5108</v>
      </c>
      <c r="C215" s="212" t="s">
        <v>2</v>
      </c>
      <c r="D215" s="226">
        <v>3</v>
      </c>
      <c r="E215" s="212" t="s">
        <v>142</v>
      </c>
      <c r="F215" s="212" t="s">
        <v>12670</v>
      </c>
      <c r="G215" s="227" t="s">
        <v>5107</v>
      </c>
      <c r="H215" s="228">
        <v>7173</v>
      </c>
      <c r="I215" s="208">
        <v>18.25</v>
      </c>
      <c r="J215" s="211">
        <v>205462049</v>
      </c>
      <c r="K215" s="209">
        <v>87617.078464818769</v>
      </c>
      <c r="L215" s="212">
        <v>2345</v>
      </c>
      <c r="M215" s="212">
        <f>VLOOKUP(Table12[[#This Row],[ROUTE]],DEMAND!A:F,5,FALSE)</f>
        <v>2448</v>
      </c>
      <c r="N215" s="212">
        <f>VLOOKUP(Table12[[#This Row],[ROUTE]],DEMAND!A:F,6,FALSE)</f>
        <v>248</v>
      </c>
      <c r="O215" s="212">
        <f>ROUNDDOWN(Table12[[#This Row],[R-DEMAND]]/1320,0)</f>
        <v>0</v>
      </c>
      <c r="P215" s="212">
        <f>Table12[[#This Row],[ADD ACC]]*Table12[[#This Row],[RT TIME 
(777-500ER)]]</f>
        <v>0</v>
      </c>
    </row>
    <row r="216" spans="1:16" ht="15.75" customHeight="1" x14ac:dyDescent="0.25">
      <c r="A216" s="212" t="s">
        <v>15041</v>
      </c>
      <c r="B216" s="212" t="s">
        <v>5089</v>
      </c>
      <c r="C216" s="212" t="s">
        <v>2</v>
      </c>
      <c r="D216" s="226">
        <v>3</v>
      </c>
      <c r="E216" s="212" t="s">
        <v>2547</v>
      </c>
      <c r="F216" s="212" t="s">
        <v>12671</v>
      </c>
      <c r="G216" s="227" t="s">
        <v>8242</v>
      </c>
      <c r="H216" s="228">
        <v>6113</v>
      </c>
      <c r="I216" s="208">
        <v>15.75</v>
      </c>
      <c r="J216" s="211">
        <v>195408776</v>
      </c>
      <c r="K216" s="209">
        <v>48272.918972332016</v>
      </c>
      <c r="L216" s="212">
        <v>4048</v>
      </c>
      <c r="M216" s="212">
        <f>VLOOKUP(Table12[[#This Row],[ROUTE]],DEMAND!A:F,5,FALSE)</f>
        <v>4198</v>
      </c>
      <c r="N216" s="212">
        <f>VLOOKUP(Table12[[#This Row],[ROUTE]],DEMAND!A:F,6,FALSE)</f>
        <v>-202</v>
      </c>
      <c r="O216" s="212">
        <f>ROUNDDOWN(Table12[[#This Row],[R-DEMAND]]/1320,0)</f>
        <v>0</v>
      </c>
      <c r="P216" s="212">
        <f>Table12[[#This Row],[ADD ACC]]*Table12[[#This Row],[RT TIME 
(777-500ER)]]</f>
        <v>0</v>
      </c>
    </row>
    <row r="217" spans="1:16" ht="15.75" customHeight="1" x14ac:dyDescent="0.25">
      <c r="A217" s="212" t="s">
        <v>14733</v>
      </c>
      <c r="B217" s="212" t="s">
        <v>147</v>
      </c>
      <c r="C217" s="212" t="s">
        <v>2</v>
      </c>
      <c r="D217" s="226">
        <v>4</v>
      </c>
      <c r="E217" s="212" t="s">
        <v>14</v>
      </c>
      <c r="F217" s="212" t="s">
        <v>12670</v>
      </c>
      <c r="G217" s="227" t="s">
        <v>146</v>
      </c>
      <c r="H217" s="228">
        <v>6582</v>
      </c>
      <c r="I217" s="208">
        <v>17</v>
      </c>
      <c r="J217" s="211">
        <v>214226919</v>
      </c>
      <c r="K217" s="209">
        <v>63399.50251553714</v>
      </c>
      <c r="L217" s="212">
        <v>3379</v>
      </c>
      <c r="M217" s="212">
        <f>VLOOKUP(Table12[[#This Row],[ROUTE]],DEMAND!A:F,5,FALSE)</f>
        <v>3538</v>
      </c>
      <c r="N217" s="212">
        <f>VLOOKUP(Table12[[#This Row],[ROUTE]],DEMAND!A:F,6,FALSE)</f>
        <v>238</v>
      </c>
      <c r="O217" s="212">
        <f>ROUNDDOWN(Table12[[#This Row],[R-DEMAND]]/1320,0)</f>
        <v>0</v>
      </c>
      <c r="P217" s="212">
        <f>Table12[[#This Row],[ADD ACC]]*Table12[[#This Row],[RT TIME 
(777-500ER)]]</f>
        <v>0</v>
      </c>
    </row>
    <row r="218" spans="1:16" ht="15.75" customHeight="1" x14ac:dyDescent="0.25">
      <c r="A218" s="212" t="s">
        <v>14286</v>
      </c>
      <c r="B218" s="212" t="s">
        <v>4032</v>
      </c>
      <c r="C218" s="212" t="s">
        <v>2</v>
      </c>
      <c r="D218" s="226">
        <v>2</v>
      </c>
      <c r="E218" s="212" t="s">
        <v>523</v>
      </c>
      <c r="F218" s="212" t="s">
        <v>12682</v>
      </c>
      <c r="G218" s="227" t="s">
        <v>11972</v>
      </c>
      <c r="H218" s="228">
        <v>14393</v>
      </c>
      <c r="I218" s="208">
        <v>34.5</v>
      </c>
      <c r="J218" s="211"/>
      <c r="K218" s="209">
        <v>0</v>
      </c>
      <c r="L218" s="212"/>
      <c r="M218" s="212">
        <f>VLOOKUP(Table12[[#This Row],[ROUTE]],DEMAND!A:F,5,FALSE)</f>
        <v>2224</v>
      </c>
      <c r="N218" s="212">
        <f>VLOOKUP(Table12[[#This Row],[ROUTE]],DEMAND!A:F,6,FALSE)</f>
        <v>1124</v>
      </c>
      <c r="O218" s="212">
        <f>ROUNDDOWN(Table12[[#This Row],[R-DEMAND]]/1320,0)</f>
        <v>0</v>
      </c>
      <c r="P218" s="212">
        <f>Table12[[#This Row],[ADD ACC]]*Table12[[#This Row],[RT TIME 
(777-500ER)]]</f>
        <v>0</v>
      </c>
    </row>
    <row r="219" spans="1:16" ht="15.75" customHeight="1" x14ac:dyDescent="0.25">
      <c r="A219" s="212" t="s">
        <v>14822</v>
      </c>
      <c r="B219" s="212" t="s">
        <v>145</v>
      </c>
      <c r="C219" s="212" t="s">
        <v>2</v>
      </c>
      <c r="D219" s="226">
        <v>5</v>
      </c>
      <c r="E219" s="212" t="s">
        <v>142</v>
      </c>
      <c r="F219" s="212" t="s">
        <v>12670</v>
      </c>
      <c r="G219" s="227" t="s">
        <v>144</v>
      </c>
      <c r="H219" s="228">
        <v>7515</v>
      </c>
      <c r="I219" s="208">
        <v>19</v>
      </c>
      <c r="J219" s="211">
        <v>242013305</v>
      </c>
      <c r="K219" s="209">
        <v>76707.862123613319</v>
      </c>
      <c r="L219" s="212">
        <v>3155</v>
      </c>
      <c r="M219" s="212">
        <f>VLOOKUP(Table12[[#This Row],[ROUTE]],DEMAND!A:F,5,FALSE)</f>
        <v>3366</v>
      </c>
      <c r="N219" s="212">
        <f>VLOOKUP(Table12[[#This Row],[ROUTE]],DEMAND!A:F,6,FALSE)</f>
        <v>1166</v>
      </c>
      <c r="O219" s="212">
        <f>ROUNDDOWN(Table12[[#This Row],[R-DEMAND]]/1320,0)</f>
        <v>0</v>
      </c>
      <c r="P219" s="212">
        <f>Table12[[#This Row],[ADD ACC]]*Table12[[#This Row],[RT TIME 
(777-500ER)]]</f>
        <v>0</v>
      </c>
    </row>
    <row r="220" spans="1:16" ht="15.75" customHeight="1" x14ac:dyDescent="0.25">
      <c r="A220" s="212" t="s">
        <v>14394</v>
      </c>
      <c r="B220" s="212" t="s">
        <v>5563</v>
      </c>
      <c r="C220" s="212" t="s">
        <v>2</v>
      </c>
      <c r="D220" s="226">
        <v>4</v>
      </c>
      <c r="E220" s="212" t="s">
        <v>647</v>
      </c>
      <c r="F220" s="212" t="s">
        <v>12688</v>
      </c>
      <c r="G220" s="227" t="s">
        <v>13259</v>
      </c>
      <c r="H220" s="228">
        <v>9491</v>
      </c>
      <c r="I220" s="208">
        <v>23.5</v>
      </c>
      <c r="J220" s="211">
        <v>243167632</v>
      </c>
      <c r="K220" s="209">
        <v>106094.0802792321</v>
      </c>
      <c r="L220" s="212">
        <v>2292</v>
      </c>
      <c r="M220" s="212">
        <f>VLOOKUP(Table12[[#This Row],[ROUTE]],DEMAND!A:F,5,FALSE)</f>
        <v>2400</v>
      </c>
      <c r="N220" s="212">
        <f>VLOOKUP(Table12[[#This Row],[ROUTE]],DEMAND!A:F,6,FALSE)</f>
        <v>1300</v>
      </c>
      <c r="O220" s="212">
        <f>ROUNDDOWN(Table12[[#This Row],[R-DEMAND]]/1320,0)</f>
        <v>0</v>
      </c>
      <c r="P220" s="212">
        <f>Table12[[#This Row],[ADD ACC]]*Table12[[#This Row],[RT TIME 
(777-500ER)]]</f>
        <v>0</v>
      </c>
    </row>
    <row r="221" spans="1:16" ht="15.75" customHeight="1" x14ac:dyDescent="0.25">
      <c r="A221" s="212" t="s">
        <v>14814</v>
      </c>
      <c r="B221" s="212" t="s">
        <v>4943</v>
      </c>
      <c r="C221" s="212" t="s">
        <v>2</v>
      </c>
      <c r="D221" s="226">
        <v>3</v>
      </c>
      <c r="E221" s="212" t="s">
        <v>142</v>
      </c>
      <c r="F221" s="212" t="s">
        <v>12670</v>
      </c>
      <c r="G221" s="227" t="s">
        <v>8110</v>
      </c>
      <c r="H221" s="228">
        <v>7230</v>
      </c>
      <c r="I221" s="208">
        <v>18.25</v>
      </c>
      <c r="J221" s="211">
        <v>202939774</v>
      </c>
      <c r="K221" s="209">
        <v>89440.18245923314</v>
      </c>
      <c r="L221" s="212">
        <v>2269</v>
      </c>
      <c r="M221" s="212">
        <f>VLOOKUP(Table12[[#This Row],[ROUTE]],DEMAND!A:F,5,FALSE)</f>
        <v>2421</v>
      </c>
      <c r="N221" s="212">
        <f>VLOOKUP(Table12[[#This Row],[ROUTE]],DEMAND!A:F,6,FALSE)</f>
        <v>221</v>
      </c>
      <c r="O221" s="212">
        <f>ROUNDDOWN(Table12[[#This Row],[R-DEMAND]]/1320,0)</f>
        <v>0</v>
      </c>
      <c r="P221" s="212">
        <f>Table12[[#This Row],[ADD ACC]]*Table12[[#This Row],[RT TIME 
(777-500ER)]]</f>
        <v>0</v>
      </c>
    </row>
    <row r="222" spans="1:16" ht="15.75" customHeight="1" x14ac:dyDescent="0.25">
      <c r="A222" s="212" t="s">
        <v>14824</v>
      </c>
      <c r="B222" s="212" t="s">
        <v>143</v>
      </c>
      <c r="C222" s="212" t="s">
        <v>2</v>
      </c>
      <c r="D222" s="226">
        <v>4</v>
      </c>
      <c r="E222" s="212" t="s">
        <v>142</v>
      </c>
      <c r="F222" s="212" t="s">
        <v>12670</v>
      </c>
      <c r="G222" s="227" t="s">
        <v>11053</v>
      </c>
      <c r="H222" s="228">
        <v>7624</v>
      </c>
      <c r="I222" s="208">
        <v>19.25</v>
      </c>
      <c r="J222" s="211">
        <v>229380534</v>
      </c>
      <c r="K222" s="209">
        <v>80967.361101306029</v>
      </c>
      <c r="L222" s="212">
        <v>2833</v>
      </c>
      <c r="M222" s="212">
        <f>VLOOKUP(Table12[[#This Row],[ROUTE]],DEMAND!A:F,5,FALSE)</f>
        <v>3004</v>
      </c>
      <c r="N222" s="212">
        <f>VLOOKUP(Table12[[#This Row],[ROUTE]],DEMAND!A:F,6,FALSE)</f>
        <v>804</v>
      </c>
      <c r="O222" s="212">
        <f>ROUNDDOWN(Table12[[#This Row],[R-DEMAND]]/1320,0)</f>
        <v>0</v>
      </c>
      <c r="P222" s="212">
        <f>Table12[[#This Row],[ADD ACC]]*Table12[[#This Row],[RT TIME 
(777-500ER)]]</f>
        <v>0</v>
      </c>
    </row>
    <row r="223" spans="1:16" ht="15.75" customHeight="1" x14ac:dyDescent="0.25">
      <c r="A223" s="212" t="s">
        <v>14318</v>
      </c>
      <c r="B223" s="212" t="s">
        <v>5762</v>
      </c>
      <c r="C223" s="212" t="s">
        <v>2</v>
      </c>
      <c r="D223" s="226">
        <v>5</v>
      </c>
      <c r="E223" s="212" t="s">
        <v>647</v>
      </c>
      <c r="F223" s="212" t="s">
        <v>12688</v>
      </c>
      <c r="G223" s="227" t="s">
        <v>13309</v>
      </c>
      <c r="H223" s="228">
        <v>8044</v>
      </c>
      <c r="I223" s="208">
        <v>20.25</v>
      </c>
      <c r="J223" s="211">
        <v>254855011</v>
      </c>
      <c r="K223" s="209">
        <v>98096.617013086987</v>
      </c>
      <c r="L223" s="212">
        <v>2598</v>
      </c>
      <c r="M223" s="212">
        <f>VLOOKUP(Table12[[#This Row],[ROUTE]],DEMAND!A:F,5,FALSE)</f>
        <v>2764</v>
      </c>
      <c r="N223" s="212">
        <f>VLOOKUP(Table12[[#This Row],[ROUTE]],DEMAND!A:F,6,FALSE)</f>
        <v>564</v>
      </c>
      <c r="O223" s="212">
        <f>ROUNDDOWN(Table12[[#This Row],[R-DEMAND]]/1320,0)</f>
        <v>0</v>
      </c>
      <c r="P223" s="212">
        <f>Table12[[#This Row],[ADD ACC]]*Table12[[#This Row],[RT TIME 
(777-500ER)]]</f>
        <v>0</v>
      </c>
    </row>
    <row r="224" spans="1:16" ht="15.75" customHeight="1" x14ac:dyDescent="0.25">
      <c r="A224" s="212" t="s">
        <v>14517</v>
      </c>
      <c r="B224" s="212" t="s">
        <v>5706</v>
      </c>
      <c r="C224" s="212" t="s">
        <v>2</v>
      </c>
      <c r="D224" s="226">
        <v>5</v>
      </c>
      <c r="E224" s="212" t="s">
        <v>560</v>
      </c>
      <c r="F224" s="212" t="s">
        <v>12674</v>
      </c>
      <c r="G224" s="227" t="s">
        <v>11052</v>
      </c>
      <c r="H224" s="228">
        <v>2509</v>
      </c>
      <c r="I224" s="208">
        <v>7.75</v>
      </c>
      <c r="J224" s="211">
        <v>189219079</v>
      </c>
      <c r="K224" s="209">
        <v>76390.423496164716</v>
      </c>
      <c r="L224" s="212">
        <v>2477</v>
      </c>
      <c r="M224" s="212">
        <f>VLOOKUP(Table12[[#This Row],[ROUTE]],DEMAND!A:F,5,FALSE)</f>
        <v>2602</v>
      </c>
      <c r="N224" s="212">
        <f>VLOOKUP(Table12[[#This Row],[ROUTE]],DEMAND!A:F,6,FALSE)</f>
        <v>402</v>
      </c>
      <c r="O224" s="212">
        <f>ROUNDDOWN(Table12[[#This Row],[R-DEMAND]]/1320,0)</f>
        <v>0</v>
      </c>
      <c r="P224" s="212">
        <f>Table12[[#This Row],[ADD ACC]]*Table12[[#This Row],[RT TIME 
(777-500ER)]]</f>
        <v>0</v>
      </c>
    </row>
    <row r="225" spans="1:16" ht="15.75" customHeight="1" x14ac:dyDescent="0.25">
      <c r="A225" s="212" t="s">
        <v>14586</v>
      </c>
      <c r="B225" s="212" t="s">
        <v>140</v>
      </c>
      <c r="C225" s="212" t="s">
        <v>2</v>
      </c>
      <c r="D225" s="226">
        <v>4</v>
      </c>
      <c r="E225" s="212" t="s">
        <v>605</v>
      </c>
      <c r="F225" s="212" t="s">
        <v>12674</v>
      </c>
      <c r="G225" s="227" t="s">
        <v>11051</v>
      </c>
      <c r="H225" s="228">
        <v>1661</v>
      </c>
      <c r="I225" s="208">
        <v>5.75</v>
      </c>
      <c r="J225" s="211">
        <v>174176394</v>
      </c>
      <c r="K225" s="209">
        <v>57769.94825870647</v>
      </c>
      <c r="L225" s="212">
        <v>3015</v>
      </c>
      <c r="M225" s="212">
        <f>VLOOKUP(Table12[[#This Row],[ROUTE]],DEMAND!A:F,5,FALSE)</f>
        <v>3177</v>
      </c>
      <c r="N225" s="212">
        <f>VLOOKUP(Table12[[#This Row],[ROUTE]],DEMAND!A:F,6,FALSE)</f>
        <v>977</v>
      </c>
      <c r="O225" s="212">
        <f>ROUNDDOWN(Table12[[#This Row],[R-DEMAND]]/1320,0)</f>
        <v>0</v>
      </c>
      <c r="P225" s="212">
        <f>Table12[[#This Row],[ADD ACC]]*Table12[[#This Row],[RT TIME 
(777-500ER)]]</f>
        <v>0</v>
      </c>
    </row>
    <row r="226" spans="1:16" ht="15.75" customHeight="1" x14ac:dyDescent="0.25">
      <c r="A226" s="212" t="s">
        <v>14458</v>
      </c>
      <c r="B226" s="212" t="s">
        <v>137</v>
      </c>
      <c r="C226" s="212" t="s">
        <v>2</v>
      </c>
      <c r="D226" s="226">
        <v>4</v>
      </c>
      <c r="E226" s="212" t="s">
        <v>5476</v>
      </c>
      <c r="F226" s="212" t="s">
        <v>12688</v>
      </c>
      <c r="G226" s="227" t="s">
        <v>13209</v>
      </c>
      <c r="H226" s="228">
        <v>9522</v>
      </c>
      <c r="I226" s="208">
        <v>23.5</v>
      </c>
      <c r="J226" s="211">
        <v>238969078</v>
      </c>
      <c r="K226" s="209">
        <v>54212.585753176041</v>
      </c>
      <c r="L226" s="212">
        <v>4408</v>
      </c>
      <c r="M226" s="212">
        <f>VLOOKUP(Table12[[#This Row],[ROUTE]],DEMAND!A:F,5,FALSE)</f>
        <v>4689</v>
      </c>
      <c r="N226" s="212">
        <f>VLOOKUP(Table12[[#This Row],[ROUTE]],DEMAND!A:F,6,FALSE)</f>
        <v>289</v>
      </c>
      <c r="O226" s="212">
        <f>ROUNDDOWN(Table12[[#This Row],[R-DEMAND]]/1320,0)</f>
        <v>0</v>
      </c>
      <c r="P226" s="212">
        <f>Table12[[#This Row],[ADD ACC]]*Table12[[#This Row],[RT TIME 
(777-500ER)]]</f>
        <v>0</v>
      </c>
    </row>
    <row r="227" spans="1:16" ht="15.75" customHeight="1" x14ac:dyDescent="0.25">
      <c r="A227" s="212" t="s">
        <v>14378</v>
      </c>
      <c r="B227" s="212" t="s">
        <v>132</v>
      </c>
      <c r="C227" s="212" t="s">
        <v>2</v>
      </c>
      <c r="D227" s="226">
        <v>4</v>
      </c>
      <c r="E227" s="212" t="s">
        <v>647</v>
      </c>
      <c r="F227" s="212" t="s">
        <v>12688</v>
      </c>
      <c r="G227" s="227" t="s">
        <v>13372</v>
      </c>
      <c r="H227" s="228">
        <v>9169</v>
      </c>
      <c r="I227" s="208">
        <v>22.75</v>
      </c>
      <c r="J227" s="211">
        <v>234914834</v>
      </c>
      <c r="K227" s="209">
        <v>106296.30497737556</v>
      </c>
      <c r="L227" s="212">
        <v>2210</v>
      </c>
      <c r="M227" s="212">
        <f>VLOOKUP(Table12[[#This Row],[ROUTE]],DEMAND!A:F,5,FALSE)</f>
        <v>2307</v>
      </c>
      <c r="N227" s="212">
        <f>VLOOKUP(Table12[[#This Row],[ROUTE]],DEMAND!A:F,6,FALSE)</f>
        <v>1207</v>
      </c>
      <c r="O227" s="212">
        <f>ROUNDDOWN(Table12[[#This Row],[R-DEMAND]]/1320,0)</f>
        <v>0</v>
      </c>
      <c r="P227" s="212">
        <f>Table12[[#This Row],[ADD ACC]]*Table12[[#This Row],[RT TIME 
(777-500ER)]]</f>
        <v>0</v>
      </c>
    </row>
    <row r="228" spans="1:16" ht="15.75" customHeight="1" x14ac:dyDescent="0.25">
      <c r="A228" s="212" t="s">
        <v>14258</v>
      </c>
      <c r="B228" s="212" t="s">
        <v>3481</v>
      </c>
      <c r="C228" s="212" t="s">
        <v>2</v>
      </c>
      <c r="D228" s="226">
        <v>2</v>
      </c>
      <c r="E228" s="212" t="s">
        <v>714</v>
      </c>
      <c r="F228" s="212" t="s">
        <v>12694</v>
      </c>
      <c r="G228" s="227" t="s">
        <v>13238</v>
      </c>
      <c r="H228" s="228">
        <v>12185</v>
      </c>
      <c r="I228" s="208">
        <v>29.5</v>
      </c>
      <c r="J228" s="211">
        <v>238462217</v>
      </c>
      <c r="K228" s="209">
        <v>82256.715074163498</v>
      </c>
      <c r="L228" s="212">
        <v>2899</v>
      </c>
      <c r="M228" s="212">
        <f>VLOOKUP(Table12[[#This Row],[ROUTE]],DEMAND!A:F,5,FALSE)</f>
        <v>3035</v>
      </c>
      <c r="N228" s="212">
        <f>VLOOKUP(Table12[[#This Row],[ROUTE]],DEMAND!A:F,6,FALSE)</f>
        <v>835</v>
      </c>
      <c r="O228" s="212">
        <f>ROUNDDOWN(Table12[[#This Row],[R-DEMAND]]/1320,0)</f>
        <v>0</v>
      </c>
      <c r="P228" s="212">
        <f>Table12[[#This Row],[ADD ACC]]*Table12[[#This Row],[RT TIME 
(777-500ER)]]</f>
        <v>0</v>
      </c>
    </row>
    <row r="229" spans="1:16" ht="15.75" customHeight="1" x14ac:dyDescent="0.25">
      <c r="A229" s="212" t="s">
        <v>14341</v>
      </c>
      <c r="B229" s="212" t="s">
        <v>5620</v>
      </c>
      <c r="C229" s="212" t="s">
        <v>2</v>
      </c>
      <c r="D229" s="226">
        <v>4</v>
      </c>
      <c r="E229" s="212" t="s">
        <v>647</v>
      </c>
      <c r="F229" s="212" t="s">
        <v>12688</v>
      </c>
      <c r="G229" s="227" t="s">
        <v>13257</v>
      </c>
      <c r="H229" s="228">
        <v>8638</v>
      </c>
      <c r="I229" s="208">
        <v>21.5</v>
      </c>
      <c r="J229" s="211">
        <v>239061891</v>
      </c>
      <c r="K229" s="209">
        <v>101211.63886536834</v>
      </c>
      <c r="L229" s="212">
        <v>2362</v>
      </c>
      <c r="M229" s="212">
        <f>VLOOKUP(Table12[[#This Row],[ROUTE]],DEMAND!A:F,5,FALSE)</f>
        <v>2505</v>
      </c>
      <c r="N229" s="212">
        <f>VLOOKUP(Table12[[#This Row],[ROUTE]],DEMAND!A:F,6,FALSE)</f>
        <v>305</v>
      </c>
      <c r="O229" s="212">
        <f>ROUNDDOWN(Table12[[#This Row],[R-DEMAND]]/1320,0)</f>
        <v>0</v>
      </c>
      <c r="P229" s="212">
        <f>Table12[[#This Row],[ADD ACC]]*Table12[[#This Row],[RT TIME 
(777-500ER)]]</f>
        <v>0</v>
      </c>
    </row>
    <row r="230" spans="1:16" ht="15.75" customHeight="1" x14ac:dyDescent="0.25">
      <c r="A230" s="212" t="s">
        <v>14752</v>
      </c>
      <c r="B230" s="212" t="s">
        <v>130</v>
      </c>
      <c r="C230" s="212" t="s">
        <v>2</v>
      </c>
      <c r="D230" s="226">
        <v>5</v>
      </c>
      <c r="E230" s="212" t="s">
        <v>14</v>
      </c>
      <c r="F230" s="212" t="s">
        <v>12670</v>
      </c>
      <c r="G230" s="227" t="s">
        <v>12020</v>
      </c>
      <c r="H230" s="228">
        <v>5786</v>
      </c>
      <c r="I230" s="208">
        <v>15</v>
      </c>
      <c r="J230" s="211">
        <v>229990203</v>
      </c>
      <c r="K230" s="209">
        <v>57526.313906953474</v>
      </c>
      <c r="L230" s="212">
        <v>3998</v>
      </c>
      <c r="M230" s="212">
        <f>VLOOKUP(Table12[[#This Row],[ROUTE]],DEMAND!A:F,5,FALSE)</f>
        <v>4200</v>
      </c>
      <c r="N230" s="212">
        <f>VLOOKUP(Table12[[#This Row],[ROUTE]],DEMAND!A:F,6,FALSE)</f>
        <v>900</v>
      </c>
      <c r="O230" s="212">
        <f>ROUNDDOWN(Table12[[#This Row],[R-DEMAND]]/1320,0)</f>
        <v>0</v>
      </c>
      <c r="P230" s="212">
        <f>Table12[[#This Row],[ADD ACC]]*Table12[[#This Row],[RT TIME 
(777-500ER)]]</f>
        <v>0</v>
      </c>
    </row>
    <row r="231" spans="1:16" ht="15.75" customHeight="1" x14ac:dyDescent="0.25">
      <c r="A231" s="212" t="s">
        <v>14257</v>
      </c>
      <c r="B231" s="212" t="s">
        <v>3225</v>
      </c>
      <c r="C231" s="212" t="s">
        <v>2</v>
      </c>
      <c r="D231" s="226">
        <v>2</v>
      </c>
      <c r="E231" s="212" t="s">
        <v>714</v>
      </c>
      <c r="F231" s="212" t="s">
        <v>12694</v>
      </c>
      <c r="G231" s="227" t="s">
        <v>13243</v>
      </c>
      <c r="H231" s="228">
        <v>12241</v>
      </c>
      <c r="I231" s="208">
        <v>29.5</v>
      </c>
      <c r="J231" s="211">
        <v>237802374</v>
      </c>
      <c r="K231" s="209">
        <v>83234.992649632477</v>
      </c>
      <c r="L231" s="212">
        <v>2857</v>
      </c>
      <c r="M231" s="212">
        <f>VLOOKUP(Table12[[#This Row],[ROUTE]],DEMAND!A:F,5,FALSE)</f>
        <v>3000</v>
      </c>
      <c r="N231" s="212">
        <f>VLOOKUP(Table12[[#This Row],[ROUTE]],DEMAND!A:F,6,FALSE)</f>
        <v>800</v>
      </c>
      <c r="O231" s="212">
        <f>ROUNDDOWN(Table12[[#This Row],[R-DEMAND]]/1320,0)</f>
        <v>0</v>
      </c>
      <c r="P231" s="212">
        <f>Table12[[#This Row],[ADD ACC]]*Table12[[#This Row],[RT TIME 
(777-500ER)]]</f>
        <v>0</v>
      </c>
    </row>
    <row r="232" spans="1:16" ht="15.75" customHeight="1" x14ac:dyDescent="0.25">
      <c r="A232" s="212" t="s">
        <v>14832</v>
      </c>
      <c r="B232" s="212" t="s">
        <v>128</v>
      </c>
      <c r="C232" s="212" t="s">
        <v>2</v>
      </c>
      <c r="D232" s="226">
        <v>3</v>
      </c>
      <c r="E232" s="212" t="s">
        <v>709</v>
      </c>
      <c r="F232" s="212" t="s">
        <v>12670</v>
      </c>
      <c r="G232" s="227" t="s">
        <v>12109</v>
      </c>
      <c r="H232" s="228">
        <v>7812</v>
      </c>
      <c r="I232" s="208">
        <v>19.75</v>
      </c>
      <c r="J232" s="211">
        <v>212628101</v>
      </c>
      <c r="K232" s="209">
        <v>71279.953402614818</v>
      </c>
      <c r="L232" s="212">
        <v>2983</v>
      </c>
      <c r="M232" s="212">
        <f>VLOOKUP(Table12[[#This Row],[ROUTE]],DEMAND!A:F,5,FALSE)</f>
        <v>3143</v>
      </c>
      <c r="N232" s="212">
        <f>VLOOKUP(Table12[[#This Row],[ROUTE]],DEMAND!A:F,6,FALSE)</f>
        <v>943</v>
      </c>
      <c r="O232" s="212">
        <f>ROUNDDOWN(Table12[[#This Row],[R-DEMAND]]/1320,0)</f>
        <v>0</v>
      </c>
      <c r="P232" s="212">
        <f>Table12[[#This Row],[ADD ACC]]*Table12[[#This Row],[RT TIME 
(777-500ER)]]</f>
        <v>0</v>
      </c>
    </row>
    <row r="233" spans="1:16" ht="15.75" customHeight="1" x14ac:dyDescent="0.25">
      <c r="A233" s="212" t="s">
        <v>14276</v>
      </c>
      <c r="B233" s="212" t="s">
        <v>126</v>
      </c>
      <c r="C233" s="212" t="s">
        <v>2</v>
      </c>
      <c r="D233" s="226">
        <v>4</v>
      </c>
      <c r="E233" s="212" t="s">
        <v>774</v>
      </c>
      <c r="F233" s="212" t="s">
        <v>12682</v>
      </c>
      <c r="G233" s="227" t="s">
        <v>11050</v>
      </c>
      <c r="H233" s="228">
        <v>12192</v>
      </c>
      <c r="I233" s="208">
        <v>29.5</v>
      </c>
      <c r="J233" s="211">
        <v>271478756</v>
      </c>
      <c r="K233" s="209">
        <v>90674.267201068811</v>
      </c>
      <c r="L233" s="212">
        <v>2994</v>
      </c>
      <c r="M233" s="212">
        <f>VLOOKUP(Table12[[#This Row],[ROUTE]],DEMAND!A:F,5,FALSE)</f>
        <v>3124</v>
      </c>
      <c r="N233" s="212">
        <f>VLOOKUP(Table12[[#This Row],[ROUTE]],DEMAND!A:F,6,FALSE)</f>
        <v>924</v>
      </c>
      <c r="O233" s="212">
        <f>ROUNDDOWN(Table12[[#This Row],[R-DEMAND]]/1320,0)</f>
        <v>0</v>
      </c>
      <c r="P233" s="212">
        <f>Table12[[#This Row],[ADD ACC]]*Table12[[#This Row],[RT TIME 
(777-500ER)]]</f>
        <v>0</v>
      </c>
    </row>
    <row r="234" spans="1:16" ht="15.75" customHeight="1" x14ac:dyDescent="0.25">
      <c r="A234" s="212" t="s">
        <v>14302</v>
      </c>
      <c r="B234" s="212" t="s">
        <v>124</v>
      </c>
      <c r="C234" s="212" t="s">
        <v>11122</v>
      </c>
      <c r="D234" s="226">
        <v>5</v>
      </c>
      <c r="E234" s="212" t="s">
        <v>647</v>
      </c>
      <c r="F234" s="212" t="s">
        <v>12688</v>
      </c>
      <c r="G234" s="227" t="s">
        <v>13349</v>
      </c>
      <c r="H234" s="228">
        <v>7687</v>
      </c>
      <c r="I234" s="208">
        <v>19.25</v>
      </c>
      <c r="J234" s="211">
        <v>242343023</v>
      </c>
      <c r="K234" s="209">
        <v>98154.322802754148</v>
      </c>
      <c r="L234" s="212">
        <v>2469</v>
      </c>
      <c r="M234" s="212">
        <f>VLOOKUP(Table12[[#This Row],[ROUTE]],DEMAND!A:F,5,FALSE)</f>
        <v>2618</v>
      </c>
      <c r="N234" s="212">
        <f>VLOOKUP(Table12[[#This Row],[ROUTE]],DEMAND!A:F,6,FALSE)</f>
        <v>418</v>
      </c>
      <c r="O234" s="212">
        <f>ROUNDDOWN(Table12[[#This Row],[R-DEMAND]]/1320,0)</f>
        <v>0</v>
      </c>
      <c r="P234" s="212">
        <f>Table12[[#This Row],[ADD ACC]]*Table12[[#This Row],[RT TIME 
(777-500ER)]]</f>
        <v>0</v>
      </c>
    </row>
    <row r="235" spans="1:16" ht="15.75" customHeight="1" x14ac:dyDescent="0.25">
      <c r="A235" s="212" t="s">
        <v>14406</v>
      </c>
      <c r="B235" s="212" t="s">
        <v>5734</v>
      </c>
      <c r="C235" s="212" t="s">
        <v>2</v>
      </c>
      <c r="D235" s="226">
        <v>5</v>
      </c>
      <c r="E235" s="212" t="s">
        <v>647</v>
      </c>
      <c r="F235" s="212" t="s">
        <v>12688</v>
      </c>
      <c r="G235" s="227" t="s">
        <v>13283</v>
      </c>
      <c r="H235" s="228">
        <v>9732</v>
      </c>
      <c r="I235" s="208">
        <v>24</v>
      </c>
      <c r="J235" s="211">
        <v>267413242</v>
      </c>
      <c r="K235" s="209">
        <v>101369.68991660349</v>
      </c>
      <c r="L235" s="212">
        <v>2638</v>
      </c>
      <c r="M235" s="212">
        <f>VLOOKUP(Table12[[#This Row],[ROUTE]],DEMAND!A:F,5,FALSE)</f>
        <v>2726</v>
      </c>
      <c r="N235" s="212">
        <f>VLOOKUP(Table12[[#This Row],[ROUTE]],DEMAND!A:F,6,FALSE)</f>
        <v>526</v>
      </c>
      <c r="O235" s="212">
        <f>ROUNDDOWN(Table12[[#This Row],[R-DEMAND]]/1320,0)</f>
        <v>0</v>
      </c>
      <c r="P235" s="212">
        <f>Table12[[#This Row],[ADD ACC]]*Table12[[#This Row],[RT TIME 
(777-500ER)]]</f>
        <v>0</v>
      </c>
    </row>
    <row r="236" spans="1:16" ht="15.75" customHeight="1" x14ac:dyDescent="0.25">
      <c r="A236" s="212" t="s">
        <v>14758</v>
      </c>
      <c r="B236" s="212" t="s">
        <v>122</v>
      </c>
      <c r="C236" s="212" t="s">
        <v>2</v>
      </c>
      <c r="D236" s="226">
        <v>5</v>
      </c>
      <c r="E236" s="212" t="s">
        <v>14</v>
      </c>
      <c r="F236" s="212" t="s">
        <v>12670</v>
      </c>
      <c r="G236" s="227" t="s">
        <v>121</v>
      </c>
      <c r="H236" s="228">
        <v>5821</v>
      </c>
      <c r="I236" s="208">
        <v>15.25</v>
      </c>
      <c r="J236" s="211">
        <v>230352462</v>
      </c>
      <c r="K236" s="209">
        <v>60939.804761904765</v>
      </c>
      <c r="L236" s="212">
        <v>3780</v>
      </c>
      <c r="M236" s="212">
        <f>VLOOKUP(Table12[[#This Row],[ROUTE]],DEMAND!A:F,5,FALSE)</f>
        <v>3958</v>
      </c>
      <c r="N236" s="212">
        <f>VLOOKUP(Table12[[#This Row],[ROUTE]],DEMAND!A:F,6,FALSE)</f>
        <v>658</v>
      </c>
      <c r="O236" s="212">
        <f>ROUNDDOWN(Table12[[#This Row],[R-DEMAND]]/1320,0)</f>
        <v>0</v>
      </c>
      <c r="P236" s="212">
        <f>Table12[[#This Row],[ADD ACC]]*Table12[[#This Row],[RT TIME 
(777-500ER)]]</f>
        <v>0</v>
      </c>
    </row>
    <row r="237" spans="1:16" ht="15.75" customHeight="1" x14ac:dyDescent="0.25">
      <c r="A237" s="212" t="s">
        <v>14652</v>
      </c>
      <c r="B237" s="212" t="s">
        <v>120</v>
      </c>
      <c r="C237" s="212" t="s">
        <v>2</v>
      </c>
      <c r="D237" s="226">
        <v>5</v>
      </c>
      <c r="E237" s="212" t="s">
        <v>119</v>
      </c>
      <c r="F237" s="212" t="s">
        <v>12674</v>
      </c>
      <c r="G237" s="227" t="s">
        <v>118</v>
      </c>
      <c r="H237" s="228">
        <v>3126</v>
      </c>
      <c r="I237" s="208">
        <v>9.25</v>
      </c>
      <c r="J237" s="211">
        <v>191274924</v>
      </c>
      <c r="K237" s="209">
        <v>60876.805856142586</v>
      </c>
      <c r="L237" s="212">
        <v>3142</v>
      </c>
      <c r="M237" s="212">
        <f>VLOOKUP(Table12[[#This Row],[ROUTE]],DEMAND!A:F,5,FALSE)</f>
        <v>3302</v>
      </c>
      <c r="N237" s="212">
        <f>VLOOKUP(Table12[[#This Row],[ROUTE]],DEMAND!A:F,6,FALSE)</f>
        <v>1102</v>
      </c>
      <c r="O237" s="212">
        <f>ROUNDDOWN(Table12[[#This Row],[R-DEMAND]]/1320,0)</f>
        <v>0</v>
      </c>
      <c r="P237" s="212">
        <f>Table12[[#This Row],[ADD ACC]]*Table12[[#This Row],[RT TIME 
(777-500ER)]]</f>
        <v>0</v>
      </c>
    </row>
    <row r="238" spans="1:16" ht="15.75" customHeight="1" x14ac:dyDescent="0.25">
      <c r="A238" s="212" t="s">
        <v>14269</v>
      </c>
      <c r="B238" s="212" t="s">
        <v>4973</v>
      </c>
      <c r="C238" s="212" t="s">
        <v>2</v>
      </c>
      <c r="D238" s="226">
        <v>3</v>
      </c>
      <c r="E238" s="212" t="s">
        <v>4045</v>
      </c>
      <c r="F238" s="212" t="s">
        <v>12694</v>
      </c>
      <c r="G238" s="227" t="s">
        <v>13378</v>
      </c>
      <c r="H238" s="228">
        <v>9748</v>
      </c>
      <c r="I238" s="208">
        <v>24</v>
      </c>
      <c r="J238" s="211">
        <v>229233601</v>
      </c>
      <c r="K238" s="209">
        <v>73922.476942921639</v>
      </c>
      <c r="L238" s="212">
        <v>3101</v>
      </c>
      <c r="M238" s="212">
        <f>VLOOKUP(Table12[[#This Row],[ROUTE]],DEMAND!A:F,5,FALSE)</f>
        <v>3277</v>
      </c>
      <c r="N238" s="212">
        <f>VLOOKUP(Table12[[#This Row],[ROUTE]],DEMAND!A:F,6,FALSE)</f>
        <v>1077</v>
      </c>
      <c r="O238" s="212">
        <f>ROUNDDOWN(Table12[[#This Row],[R-DEMAND]]/1320,0)</f>
        <v>0</v>
      </c>
      <c r="P238" s="212">
        <f>Table12[[#This Row],[ADD ACC]]*Table12[[#This Row],[RT TIME 
(777-500ER)]]</f>
        <v>0</v>
      </c>
    </row>
    <row r="239" spans="1:16" ht="15.75" customHeight="1" x14ac:dyDescent="0.25">
      <c r="A239" s="212" t="s">
        <v>14701</v>
      </c>
      <c r="B239" s="212" t="s">
        <v>117</v>
      </c>
      <c r="C239" s="212" t="s">
        <v>2</v>
      </c>
      <c r="D239" s="226">
        <v>3</v>
      </c>
      <c r="E239" s="212" t="s">
        <v>4853</v>
      </c>
      <c r="F239" s="212" t="s">
        <v>12670</v>
      </c>
      <c r="G239" s="227" t="s">
        <v>12103</v>
      </c>
      <c r="H239" s="228">
        <v>7507</v>
      </c>
      <c r="I239" s="208">
        <v>19</v>
      </c>
      <c r="J239" s="211">
        <v>205611549</v>
      </c>
      <c r="K239" s="209">
        <v>55450.795307443368</v>
      </c>
      <c r="L239" s="212">
        <v>3708</v>
      </c>
      <c r="M239" s="212">
        <f>VLOOKUP(Table12[[#This Row],[ROUTE]],DEMAND!A:F,5,FALSE)</f>
        <v>3944</v>
      </c>
      <c r="N239" s="212">
        <f>VLOOKUP(Table12[[#This Row],[ROUTE]],DEMAND!A:F,6,FALSE)</f>
        <v>644</v>
      </c>
      <c r="O239" s="212">
        <f>ROUNDDOWN(Table12[[#This Row],[R-DEMAND]]/1320,0)</f>
        <v>0</v>
      </c>
      <c r="P239" s="212">
        <f>Table12[[#This Row],[ADD ACC]]*Table12[[#This Row],[RT TIME 
(777-500ER)]]</f>
        <v>0</v>
      </c>
    </row>
    <row r="240" spans="1:16" ht="15.75" customHeight="1" x14ac:dyDescent="0.25">
      <c r="A240" s="212" t="s">
        <v>14238</v>
      </c>
      <c r="B240" s="212" t="s">
        <v>3553</v>
      </c>
      <c r="C240" s="212" t="s">
        <v>2</v>
      </c>
      <c r="D240" s="226">
        <v>2</v>
      </c>
      <c r="E240" s="212" t="s">
        <v>517</v>
      </c>
      <c r="F240" s="212" t="s">
        <v>12694</v>
      </c>
      <c r="G240" s="227" t="s">
        <v>13157</v>
      </c>
      <c r="H240" s="228">
        <v>10150</v>
      </c>
      <c r="I240" s="208">
        <v>25</v>
      </c>
      <c r="J240" s="211">
        <v>217437346</v>
      </c>
      <c r="K240" s="209">
        <v>78243.017632241812</v>
      </c>
      <c r="L240" s="212">
        <v>2779</v>
      </c>
      <c r="M240" s="212">
        <f>VLOOKUP(Table12[[#This Row],[ROUTE]],DEMAND!A:F,5,FALSE)</f>
        <v>2901</v>
      </c>
      <c r="N240" s="212">
        <f>VLOOKUP(Table12[[#This Row],[ROUTE]],DEMAND!A:F,6,FALSE)</f>
        <v>701</v>
      </c>
      <c r="O240" s="212">
        <f>ROUNDDOWN(Table12[[#This Row],[R-DEMAND]]/1320,0)</f>
        <v>0</v>
      </c>
      <c r="P240" s="212">
        <f>Table12[[#This Row],[ADD ACC]]*Table12[[#This Row],[RT TIME 
(777-500ER)]]</f>
        <v>0</v>
      </c>
    </row>
    <row r="241" spans="1:16" ht="15.75" customHeight="1" x14ac:dyDescent="0.25">
      <c r="A241" s="212" t="s">
        <v>14486</v>
      </c>
      <c r="B241" s="212" t="s">
        <v>5602</v>
      </c>
      <c r="C241" s="212" t="s">
        <v>2</v>
      </c>
      <c r="D241" s="226">
        <v>4</v>
      </c>
      <c r="E241" s="229" t="s">
        <v>2441</v>
      </c>
      <c r="F241" s="212" t="s">
        <v>12674</v>
      </c>
      <c r="G241" s="227" t="s">
        <v>11048</v>
      </c>
      <c r="H241" s="228">
        <v>1687</v>
      </c>
      <c r="I241" s="208">
        <v>6</v>
      </c>
      <c r="J241" s="211">
        <v>166479802</v>
      </c>
      <c r="K241" s="209">
        <v>56722.249403747868</v>
      </c>
      <c r="L241" s="212">
        <v>2935</v>
      </c>
      <c r="M241" s="212">
        <f>VLOOKUP(Table12[[#This Row],[ROUTE]],DEMAND!A:F,5,FALSE)</f>
        <v>3055</v>
      </c>
      <c r="N241" s="212">
        <f>VLOOKUP(Table12[[#This Row],[ROUTE]],DEMAND!A:F,6,FALSE)</f>
        <v>855</v>
      </c>
      <c r="O241" s="212">
        <f>ROUNDDOWN(Table12[[#This Row],[R-DEMAND]]/1320,0)</f>
        <v>0</v>
      </c>
      <c r="P241" s="212">
        <f>Table12[[#This Row],[ADD ACC]]*Table12[[#This Row],[RT TIME 
(777-500ER)]]</f>
        <v>0</v>
      </c>
    </row>
    <row r="242" spans="1:16" ht="15.75" customHeight="1" x14ac:dyDescent="0.25">
      <c r="A242" s="212" t="s">
        <v>14456</v>
      </c>
      <c r="B242" s="212" t="s">
        <v>4990</v>
      </c>
      <c r="C242" s="212" t="s">
        <v>2</v>
      </c>
      <c r="D242" s="226">
        <v>3</v>
      </c>
      <c r="E242" s="212" t="s">
        <v>4988</v>
      </c>
      <c r="F242" s="212" t="s">
        <v>12688</v>
      </c>
      <c r="G242" s="227" t="s">
        <v>13206</v>
      </c>
      <c r="H242" s="228">
        <v>9107</v>
      </c>
      <c r="I242" s="208">
        <v>22.5</v>
      </c>
      <c r="J242" s="211">
        <v>221533099</v>
      </c>
      <c r="K242" s="209">
        <v>84911.1149865849</v>
      </c>
      <c r="L242" s="212">
        <v>2609</v>
      </c>
      <c r="M242" s="212">
        <f>VLOOKUP(Table12[[#This Row],[ROUTE]],DEMAND!A:F,5,FALSE)</f>
        <v>2758</v>
      </c>
      <c r="N242" s="212">
        <f>VLOOKUP(Table12[[#This Row],[ROUTE]],DEMAND!A:F,6,FALSE)</f>
        <v>558</v>
      </c>
      <c r="O242" s="212">
        <f>ROUNDDOWN(Table12[[#This Row],[R-DEMAND]]/1320,0)</f>
        <v>0</v>
      </c>
      <c r="P242" s="212">
        <f>Table12[[#This Row],[ADD ACC]]*Table12[[#This Row],[RT TIME 
(777-500ER)]]</f>
        <v>0</v>
      </c>
    </row>
    <row r="243" spans="1:16" ht="15.75" customHeight="1" x14ac:dyDescent="0.25">
      <c r="A243" s="212" t="s">
        <v>14481</v>
      </c>
      <c r="B243" s="212" t="s">
        <v>5323</v>
      </c>
      <c r="C243" s="212" t="s">
        <v>2</v>
      </c>
      <c r="D243" s="226">
        <v>3</v>
      </c>
      <c r="E243" s="212" t="s">
        <v>2329</v>
      </c>
      <c r="F243" s="212" t="s">
        <v>12688</v>
      </c>
      <c r="G243" s="227" t="s">
        <v>13232</v>
      </c>
      <c r="H243" s="228">
        <v>10823</v>
      </c>
      <c r="I243" s="208">
        <v>26.5</v>
      </c>
      <c r="J243" s="211">
        <v>246306342</v>
      </c>
      <c r="K243" s="209">
        <v>74865.149544072949</v>
      </c>
      <c r="L243" s="212">
        <v>3290</v>
      </c>
      <c r="M243" s="212">
        <f>VLOOKUP(Table12[[#This Row],[ROUTE]],DEMAND!A:F,5,FALSE)</f>
        <v>3467</v>
      </c>
      <c r="N243" s="212">
        <f>VLOOKUP(Table12[[#This Row],[ROUTE]],DEMAND!A:F,6,FALSE)</f>
        <v>1267</v>
      </c>
      <c r="O243" s="212">
        <f>ROUNDDOWN(Table12[[#This Row],[R-DEMAND]]/1320,0)</f>
        <v>0</v>
      </c>
      <c r="P243" s="212">
        <f>Table12[[#This Row],[ADD ACC]]*Table12[[#This Row],[RT TIME 
(777-500ER)]]</f>
        <v>0</v>
      </c>
    </row>
    <row r="244" spans="1:16" ht="15.75" customHeight="1" x14ac:dyDescent="0.25">
      <c r="A244" s="212" t="s">
        <v>14452</v>
      </c>
      <c r="B244" s="212" t="s">
        <v>4977</v>
      </c>
      <c r="C244" s="212" t="s">
        <v>2</v>
      </c>
      <c r="D244" s="226">
        <v>3</v>
      </c>
      <c r="E244" s="212" t="s">
        <v>2791</v>
      </c>
      <c r="F244" s="212" t="s">
        <v>12688</v>
      </c>
      <c r="G244" s="227" t="s">
        <v>13199</v>
      </c>
      <c r="H244" s="228">
        <v>9298</v>
      </c>
      <c r="I244" s="208">
        <v>23</v>
      </c>
      <c r="J244" s="211">
        <v>223007094</v>
      </c>
      <c r="K244" s="209">
        <v>73021.314341846752</v>
      </c>
      <c r="L244" s="212">
        <v>3054</v>
      </c>
      <c r="M244" s="212">
        <f>VLOOKUP(Table12[[#This Row],[ROUTE]],DEMAND!A:F,5,FALSE)</f>
        <v>3249</v>
      </c>
      <c r="N244" s="212">
        <f>VLOOKUP(Table12[[#This Row],[ROUTE]],DEMAND!A:F,6,FALSE)</f>
        <v>1049</v>
      </c>
      <c r="O244" s="212">
        <f>ROUNDDOWN(Table12[[#This Row],[R-DEMAND]]/1320,0)</f>
        <v>0</v>
      </c>
      <c r="P244" s="212">
        <f>Table12[[#This Row],[ADD ACC]]*Table12[[#This Row],[RT TIME 
(777-500ER)]]</f>
        <v>0</v>
      </c>
    </row>
    <row r="245" spans="1:16" ht="15.75" customHeight="1" x14ac:dyDescent="0.25">
      <c r="A245" s="212" t="s">
        <v>14895</v>
      </c>
      <c r="B245" s="212" t="s">
        <v>5497</v>
      </c>
      <c r="C245" s="212" t="s">
        <v>2</v>
      </c>
      <c r="D245" s="226">
        <v>4</v>
      </c>
      <c r="E245" s="212" t="s">
        <v>258</v>
      </c>
      <c r="F245" s="212" t="s">
        <v>12670</v>
      </c>
      <c r="G245" s="227" t="s">
        <v>11047</v>
      </c>
      <c r="H245" s="228">
        <v>6921</v>
      </c>
      <c r="I245" s="208">
        <v>17.75</v>
      </c>
      <c r="J245" s="211">
        <v>213487298</v>
      </c>
      <c r="K245" s="209">
        <v>74437.691073919108</v>
      </c>
      <c r="L245" s="212">
        <v>2868</v>
      </c>
      <c r="M245" s="212">
        <f>VLOOKUP(Table12[[#This Row],[ROUTE]],DEMAND!A:F,5,FALSE)</f>
        <v>2965</v>
      </c>
      <c r="N245" s="212">
        <f>VLOOKUP(Table12[[#This Row],[ROUTE]],DEMAND!A:F,6,FALSE)</f>
        <v>765</v>
      </c>
      <c r="O245" s="212">
        <f>ROUNDDOWN(Table12[[#This Row],[R-DEMAND]]/1320,0)</f>
        <v>0</v>
      </c>
      <c r="P245" s="212">
        <f>Table12[[#This Row],[ADD ACC]]*Table12[[#This Row],[RT TIME 
(777-500ER)]]</f>
        <v>0</v>
      </c>
    </row>
    <row r="246" spans="1:16" ht="15.75" customHeight="1" x14ac:dyDescent="0.25">
      <c r="A246" s="212" t="s">
        <v>14737</v>
      </c>
      <c r="B246" s="212" t="s">
        <v>114</v>
      </c>
      <c r="C246" s="212" t="s">
        <v>2</v>
      </c>
      <c r="D246" s="226">
        <v>5</v>
      </c>
      <c r="E246" s="212" t="s">
        <v>14</v>
      </c>
      <c r="F246" s="212" t="s">
        <v>12670</v>
      </c>
      <c r="G246" s="227" t="s">
        <v>12045</v>
      </c>
      <c r="H246" s="228">
        <v>6838</v>
      </c>
      <c r="I246" s="208">
        <v>17.5</v>
      </c>
      <c r="J246" s="211">
        <v>237692563</v>
      </c>
      <c r="K246" s="209">
        <v>60682.298442685729</v>
      </c>
      <c r="L246" s="212">
        <v>3917</v>
      </c>
      <c r="M246" s="212">
        <f>VLOOKUP(Table12[[#This Row],[ROUTE]],DEMAND!A:F,5,FALSE)</f>
        <v>4062</v>
      </c>
      <c r="N246" s="212">
        <f>VLOOKUP(Table12[[#This Row],[ROUTE]],DEMAND!A:F,6,FALSE)</f>
        <v>762</v>
      </c>
      <c r="O246" s="212">
        <f>ROUNDDOWN(Table12[[#This Row],[R-DEMAND]]/1320,0)</f>
        <v>0</v>
      </c>
      <c r="P246" s="212">
        <f>Table12[[#This Row],[ADD ACC]]*Table12[[#This Row],[RT TIME 
(777-500ER)]]</f>
        <v>0</v>
      </c>
    </row>
    <row r="247" spans="1:16" ht="15.75" customHeight="1" x14ac:dyDescent="0.25">
      <c r="A247" s="212" t="s">
        <v>14477</v>
      </c>
      <c r="B247" s="212" t="s">
        <v>5210</v>
      </c>
      <c r="C247" s="212" t="s">
        <v>2</v>
      </c>
      <c r="D247" s="226">
        <v>3</v>
      </c>
      <c r="E247" s="212" t="s">
        <v>1749</v>
      </c>
      <c r="F247" s="212" t="s">
        <v>12688</v>
      </c>
      <c r="G247" s="227" t="s">
        <v>13216</v>
      </c>
      <c r="H247" s="228">
        <v>10869</v>
      </c>
      <c r="I247" s="208">
        <v>26.5</v>
      </c>
      <c r="J247" s="211">
        <v>243457260</v>
      </c>
      <c r="K247" s="209">
        <v>78357.663340843254</v>
      </c>
      <c r="L247" s="212">
        <v>3107</v>
      </c>
      <c r="M247" s="212">
        <f>VLOOKUP(Table12[[#This Row],[ROUTE]],DEMAND!A:F,5,FALSE)</f>
        <v>3233</v>
      </c>
      <c r="N247" s="212">
        <f>VLOOKUP(Table12[[#This Row],[ROUTE]],DEMAND!A:F,6,FALSE)</f>
        <v>1033</v>
      </c>
      <c r="O247" s="212">
        <f>ROUNDDOWN(Table12[[#This Row],[R-DEMAND]]/1320,0)</f>
        <v>0</v>
      </c>
      <c r="P247" s="212">
        <f>Table12[[#This Row],[ADD ACC]]*Table12[[#This Row],[RT TIME 
(777-500ER)]]</f>
        <v>0</v>
      </c>
    </row>
    <row r="248" spans="1:16" ht="15.75" customHeight="1" x14ac:dyDescent="0.25">
      <c r="A248" s="212" t="s">
        <v>14236</v>
      </c>
      <c r="B248" s="212" t="s">
        <v>5425</v>
      </c>
      <c r="C248" s="212" t="s">
        <v>2</v>
      </c>
      <c r="D248" s="226">
        <v>3</v>
      </c>
      <c r="E248" s="212" t="s">
        <v>517</v>
      </c>
      <c r="F248" s="212" t="s">
        <v>12694</v>
      </c>
      <c r="G248" s="227" t="s">
        <v>13156</v>
      </c>
      <c r="H248" s="228">
        <v>9694</v>
      </c>
      <c r="I248" s="208">
        <v>23.75</v>
      </c>
      <c r="J248" s="211">
        <v>238123983</v>
      </c>
      <c r="K248" s="209">
        <v>73156.369585253458</v>
      </c>
      <c r="L248" s="212">
        <v>3255</v>
      </c>
      <c r="M248" s="212">
        <f>VLOOKUP(Table12[[#This Row],[ROUTE]],DEMAND!A:F,5,FALSE)</f>
        <v>3409</v>
      </c>
      <c r="N248" s="212">
        <f>VLOOKUP(Table12[[#This Row],[ROUTE]],DEMAND!A:F,6,FALSE)</f>
        <v>1209</v>
      </c>
      <c r="O248" s="212">
        <f>ROUNDDOWN(Table12[[#This Row],[R-DEMAND]]/1320,0)</f>
        <v>0</v>
      </c>
      <c r="P248" s="212">
        <f>Table12[[#This Row],[ADD ACC]]*Table12[[#This Row],[RT TIME 
(777-500ER)]]</f>
        <v>0</v>
      </c>
    </row>
    <row r="249" spans="1:16" ht="15.75" customHeight="1" x14ac:dyDescent="0.25">
      <c r="A249" s="212" t="s">
        <v>14843</v>
      </c>
      <c r="B249" s="212" t="s">
        <v>113</v>
      </c>
      <c r="C249" s="212" t="s">
        <v>2</v>
      </c>
      <c r="D249" s="226">
        <v>3</v>
      </c>
      <c r="E249" s="212" t="s">
        <v>11046</v>
      </c>
      <c r="F249" s="212" t="s">
        <v>12670</v>
      </c>
      <c r="G249" s="227" t="s">
        <v>12088</v>
      </c>
      <c r="H249" s="228">
        <v>6484</v>
      </c>
      <c r="I249" s="208">
        <v>16.75</v>
      </c>
      <c r="J249" s="211">
        <v>204941902</v>
      </c>
      <c r="K249" s="209">
        <v>45401.396101019054</v>
      </c>
      <c r="L249" s="212">
        <v>4514</v>
      </c>
      <c r="M249" s="212">
        <f>VLOOKUP(Table12[[#This Row],[ROUTE]],DEMAND!A:F,5,FALSE)</f>
        <v>4757</v>
      </c>
      <c r="N249" s="212">
        <f>VLOOKUP(Table12[[#This Row],[ROUTE]],DEMAND!A:F,6,FALSE)</f>
        <v>357</v>
      </c>
      <c r="O249" s="212">
        <f>ROUNDDOWN(Table12[[#This Row],[R-DEMAND]]/1320,0)</f>
        <v>0</v>
      </c>
      <c r="P249" s="212">
        <f>Table12[[#This Row],[ADD ACC]]*Table12[[#This Row],[RT TIME 
(777-500ER)]]</f>
        <v>0</v>
      </c>
    </row>
    <row r="250" spans="1:16" ht="15.75" customHeight="1" x14ac:dyDescent="0.25">
      <c r="A250" s="212" t="s">
        <v>14961</v>
      </c>
      <c r="B250" s="212" t="s">
        <v>3078</v>
      </c>
      <c r="C250" s="212" t="s">
        <v>2</v>
      </c>
      <c r="D250" s="226">
        <v>2</v>
      </c>
      <c r="E250" s="212" t="s">
        <v>1289</v>
      </c>
      <c r="F250" s="212" t="s">
        <v>12670</v>
      </c>
      <c r="G250" s="227" t="s">
        <v>11968</v>
      </c>
      <c r="H250" s="228">
        <v>4638</v>
      </c>
      <c r="I250" s="208">
        <v>12.5</v>
      </c>
      <c r="J250" s="211"/>
      <c r="K250" s="209">
        <v>0</v>
      </c>
      <c r="L250" s="212"/>
      <c r="M250" s="212">
        <f>VLOOKUP(Table12[[#This Row],[ROUTE]],DEMAND!A:F,5,FALSE)</f>
        <v>3313</v>
      </c>
      <c r="N250" s="212">
        <f>VLOOKUP(Table12[[#This Row],[ROUTE]],DEMAND!A:F,6,FALSE)</f>
        <v>1113</v>
      </c>
      <c r="O250" s="212">
        <f>ROUNDDOWN(Table12[[#This Row],[R-DEMAND]]/1320,0)</f>
        <v>0</v>
      </c>
      <c r="P250" s="212">
        <f>Table12[[#This Row],[ADD ACC]]*Table12[[#This Row],[RT TIME 
(777-500ER)]]</f>
        <v>0</v>
      </c>
    </row>
    <row r="251" spans="1:16" ht="15.75" customHeight="1" x14ac:dyDescent="0.25">
      <c r="A251" s="212" t="s">
        <v>15018</v>
      </c>
      <c r="B251" s="212" t="s">
        <v>4445</v>
      </c>
      <c r="C251" s="212" t="s">
        <v>2</v>
      </c>
      <c r="D251" s="226">
        <v>2</v>
      </c>
      <c r="E251" s="212" t="s">
        <v>1124</v>
      </c>
      <c r="F251" s="212" t="s">
        <v>12671</v>
      </c>
      <c r="G251" s="227" t="s">
        <v>11894</v>
      </c>
      <c r="H251" s="228">
        <v>3331</v>
      </c>
      <c r="I251" s="208">
        <v>9.5</v>
      </c>
      <c r="J251" s="211">
        <v>156642049</v>
      </c>
      <c r="K251" s="209">
        <v>44857.40234822451</v>
      </c>
      <c r="L251" s="212">
        <v>3492</v>
      </c>
      <c r="M251" s="212">
        <f>VLOOKUP(Table12[[#This Row],[ROUTE]],DEMAND!A:F,5,FALSE)</f>
        <v>3622</v>
      </c>
      <c r="N251" s="212">
        <f>VLOOKUP(Table12[[#This Row],[ROUTE]],DEMAND!A:F,6,FALSE)</f>
        <v>322</v>
      </c>
      <c r="O251" s="212">
        <f>ROUNDDOWN(Table12[[#This Row],[R-DEMAND]]/1320,0)</f>
        <v>0</v>
      </c>
      <c r="P251" s="212">
        <f>Table12[[#This Row],[ADD ACC]]*Table12[[#This Row],[RT TIME 
(777-500ER)]]</f>
        <v>0</v>
      </c>
    </row>
    <row r="252" spans="1:16" ht="15.75" customHeight="1" x14ac:dyDescent="0.25">
      <c r="A252" s="212" t="s">
        <v>14384</v>
      </c>
      <c r="B252" s="212" t="s">
        <v>5491</v>
      </c>
      <c r="C252" s="212" t="s">
        <v>2</v>
      </c>
      <c r="D252" s="226">
        <v>4</v>
      </c>
      <c r="E252" s="212" t="s">
        <v>647</v>
      </c>
      <c r="F252" s="212" t="s">
        <v>12688</v>
      </c>
      <c r="G252" s="227" t="s">
        <v>13371</v>
      </c>
      <c r="H252" s="228">
        <v>9266</v>
      </c>
      <c r="I252" s="208">
        <v>23</v>
      </c>
      <c r="J252" s="211">
        <v>238333852</v>
      </c>
      <c r="K252" s="209">
        <v>106067.57988429017</v>
      </c>
      <c r="L252" s="212">
        <v>2247</v>
      </c>
      <c r="M252" s="212">
        <f>VLOOKUP(Table12[[#This Row],[ROUTE]],DEMAND!A:F,5,FALSE)</f>
        <v>2368</v>
      </c>
      <c r="N252" s="212">
        <f>VLOOKUP(Table12[[#This Row],[ROUTE]],DEMAND!A:F,6,FALSE)</f>
        <v>2368</v>
      </c>
      <c r="O252" s="212">
        <f>ROUNDDOWN(Table12[[#This Row],[R-DEMAND]]/1320,0)</f>
        <v>1</v>
      </c>
      <c r="P252" s="212">
        <f>Table12[[#This Row],[ADD ACC]]*Table12[[#This Row],[RT TIME 
(777-500ER)]]</f>
        <v>23</v>
      </c>
    </row>
    <row r="253" spans="1:16" ht="15.75" customHeight="1" x14ac:dyDescent="0.25">
      <c r="A253" s="212" t="s">
        <v>14879</v>
      </c>
      <c r="B253" s="212" t="s">
        <v>110</v>
      </c>
      <c r="C253" s="212" t="s">
        <v>2</v>
      </c>
      <c r="D253" s="226">
        <v>5</v>
      </c>
      <c r="E253" s="212" t="s">
        <v>172</v>
      </c>
      <c r="F253" s="212" t="s">
        <v>12670</v>
      </c>
      <c r="G253" s="227" t="s">
        <v>11045</v>
      </c>
      <c r="H253" s="228">
        <v>3462</v>
      </c>
      <c r="I253" s="208">
        <v>10</v>
      </c>
      <c r="J253" s="211">
        <v>193681598</v>
      </c>
      <c r="K253" s="209">
        <v>48083.812810327705</v>
      </c>
      <c r="L253" s="212">
        <v>4028</v>
      </c>
      <c r="M253" s="212">
        <f>VLOOKUP(Table12[[#This Row],[ROUTE]],DEMAND!A:F,5,FALSE)</f>
        <v>4204</v>
      </c>
      <c r="N253" s="212">
        <f>VLOOKUP(Table12[[#This Row],[ROUTE]],DEMAND!A:F,6,FALSE)</f>
        <v>904</v>
      </c>
      <c r="O253" s="212">
        <f>ROUNDDOWN(Table12[[#This Row],[R-DEMAND]]/1320,0)</f>
        <v>0</v>
      </c>
      <c r="P253" s="212">
        <f>Table12[[#This Row],[ADD ACC]]*Table12[[#This Row],[RT TIME 
(777-500ER)]]</f>
        <v>0</v>
      </c>
    </row>
    <row r="254" spans="1:16" ht="15.75" customHeight="1" x14ac:dyDescent="0.25">
      <c r="A254" s="212" t="s">
        <v>14970</v>
      </c>
      <c r="B254" s="212" t="s">
        <v>4979</v>
      </c>
      <c r="C254" s="212" t="s">
        <v>2</v>
      </c>
      <c r="D254" s="226">
        <v>3</v>
      </c>
      <c r="E254" s="212" t="s">
        <v>12976</v>
      </c>
      <c r="F254" s="212" t="s">
        <v>12671</v>
      </c>
      <c r="G254" s="227" t="s">
        <v>12005</v>
      </c>
      <c r="H254" s="228">
        <v>8648</v>
      </c>
      <c r="I254" s="208">
        <v>21.5</v>
      </c>
      <c r="J254" s="211">
        <v>216692106</v>
      </c>
      <c r="K254" s="209">
        <v>84645.353906250006</v>
      </c>
      <c r="L254" s="212">
        <v>2560</v>
      </c>
      <c r="M254" s="212">
        <f>VLOOKUP(Table12[[#This Row],[ROUTE]],DEMAND!A:F,5,FALSE)</f>
        <v>2697</v>
      </c>
      <c r="N254" s="212">
        <f>VLOOKUP(Table12[[#This Row],[ROUTE]],DEMAND!A:F,6,FALSE)</f>
        <v>497</v>
      </c>
      <c r="O254" s="212">
        <f>ROUNDDOWN(Table12[[#This Row],[R-DEMAND]]/1320,0)</f>
        <v>0</v>
      </c>
      <c r="P254" s="212">
        <f>Table12[[#This Row],[ADD ACC]]*Table12[[#This Row],[RT TIME 
(777-500ER)]]</f>
        <v>0</v>
      </c>
    </row>
    <row r="255" spans="1:16" ht="15.75" customHeight="1" x14ac:dyDescent="0.25">
      <c r="A255" s="212" t="s">
        <v>14853</v>
      </c>
      <c r="B255" s="212" t="s">
        <v>1904</v>
      </c>
      <c r="C255" s="212" t="s">
        <v>2</v>
      </c>
      <c r="D255" s="226">
        <v>1</v>
      </c>
      <c r="E255" s="212" t="s">
        <v>197</v>
      </c>
      <c r="F255" s="212" t="s">
        <v>12670</v>
      </c>
      <c r="G255" s="227" t="s">
        <v>12014</v>
      </c>
      <c r="H255" s="228">
        <v>3958</v>
      </c>
      <c r="I255" s="208">
        <v>11</v>
      </c>
      <c r="J255" s="211">
        <v>149037645</v>
      </c>
      <c r="K255" s="209">
        <v>45424.457482474856</v>
      </c>
      <c r="L255" s="212">
        <v>3281</v>
      </c>
      <c r="M255" s="212">
        <f>VLOOKUP(Table12[[#This Row],[ROUTE]],DEMAND!A:F,5,FALSE)</f>
        <v>3479</v>
      </c>
      <c r="N255" s="212">
        <f>VLOOKUP(Table12[[#This Row],[ROUTE]],DEMAND!A:F,6,FALSE)</f>
        <v>1279</v>
      </c>
      <c r="O255" s="212">
        <f>ROUNDDOWN(Table12[[#This Row],[R-DEMAND]]/1320,0)</f>
        <v>0</v>
      </c>
      <c r="P255" s="212">
        <f>Table12[[#This Row],[ADD ACC]]*Table12[[#This Row],[RT TIME 
(777-500ER)]]</f>
        <v>0</v>
      </c>
    </row>
    <row r="256" spans="1:16" ht="15.75" customHeight="1" x14ac:dyDescent="0.25">
      <c r="A256" s="212" t="s">
        <v>14454</v>
      </c>
      <c r="B256" s="212" t="s">
        <v>4922</v>
      </c>
      <c r="C256" s="212" t="s">
        <v>2</v>
      </c>
      <c r="D256" s="226">
        <v>3</v>
      </c>
      <c r="E256" s="212" t="s">
        <v>4920</v>
      </c>
      <c r="F256" s="212" t="s">
        <v>12688</v>
      </c>
      <c r="G256" s="227" t="s">
        <v>13203</v>
      </c>
      <c r="H256" s="228">
        <v>10909</v>
      </c>
      <c r="I256" s="208">
        <v>26.5</v>
      </c>
      <c r="J256" s="211">
        <v>239232291</v>
      </c>
      <c r="K256" s="209">
        <v>66214.306947135337</v>
      </c>
      <c r="L256" s="212">
        <v>3613</v>
      </c>
      <c r="M256" s="212">
        <f>VLOOKUP(Table12[[#This Row],[ROUTE]],DEMAND!A:F,5,FALSE)</f>
        <v>3759</v>
      </c>
      <c r="N256" s="212">
        <f>VLOOKUP(Table12[[#This Row],[ROUTE]],DEMAND!A:F,6,FALSE)</f>
        <v>459</v>
      </c>
      <c r="O256" s="212">
        <f>ROUNDDOWN(Table12[[#This Row],[R-DEMAND]]/1320,0)</f>
        <v>0</v>
      </c>
      <c r="P256" s="212">
        <f>Table12[[#This Row],[ADD ACC]]*Table12[[#This Row],[RT TIME 
(777-500ER)]]</f>
        <v>0</v>
      </c>
    </row>
    <row r="257" spans="1:16" ht="15.75" customHeight="1" x14ac:dyDescent="0.25">
      <c r="A257" s="212" t="s">
        <v>14411</v>
      </c>
      <c r="B257" s="212" t="s">
        <v>5651</v>
      </c>
      <c r="C257" s="212" t="s">
        <v>2</v>
      </c>
      <c r="D257" s="226">
        <v>4</v>
      </c>
      <c r="E257" s="212" t="s">
        <v>647</v>
      </c>
      <c r="F257" s="212" t="s">
        <v>12688</v>
      </c>
      <c r="G257" s="227" t="s">
        <v>13276</v>
      </c>
      <c r="H257" s="228">
        <v>9933</v>
      </c>
      <c r="I257" s="208">
        <v>24.5</v>
      </c>
      <c r="J257" s="211">
        <v>255655799</v>
      </c>
      <c r="K257" s="209">
        <v>105512.09203466777</v>
      </c>
      <c r="L257" s="212">
        <v>2423</v>
      </c>
      <c r="M257" s="212">
        <f>VLOOKUP(Table12[[#This Row],[ROUTE]],DEMAND!A:F,5,FALSE)</f>
        <v>2578</v>
      </c>
      <c r="N257" s="212">
        <f>VLOOKUP(Table12[[#This Row],[ROUTE]],DEMAND!A:F,6,FALSE)</f>
        <v>378</v>
      </c>
      <c r="O257" s="212">
        <f>ROUNDDOWN(Table12[[#This Row],[R-DEMAND]]/1320,0)</f>
        <v>0</v>
      </c>
      <c r="P257" s="212">
        <f>Table12[[#This Row],[ADD ACC]]*Table12[[#This Row],[RT TIME 
(777-500ER)]]</f>
        <v>0</v>
      </c>
    </row>
    <row r="258" spans="1:16" ht="15.75" customHeight="1" x14ac:dyDescent="0.25">
      <c r="A258" s="212" t="s">
        <v>14923</v>
      </c>
      <c r="B258" s="212" t="s">
        <v>5457</v>
      </c>
      <c r="C258" s="212" t="s">
        <v>2</v>
      </c>
      <c r="D258" s="226">
        <v>4</v>
      </c>
      <c r="E258" s="212" t="s">
        <v>700</v>
      </c>
      <c r="F258" s="212" t="s">
        <v>12670</v>
      </c>
      <c r="G258" s="227" t="s">
        <v>11044</v>
      </c>
      <c r="H258" s="228">
        <v>1734</v>
      </c>
      <c r="I258" s="208">
        <v>6</v>
      </c>
      <c r="J258" s="211">
        <v>159655634</v>
      </c>
      <c r="K258" s="209">
        <v>47193.506946497189</v>
      </c>
      <c r="L258" s="212">
        <v>3383</v>
      </c>
      <c r="M258" s="212">
        <f>VLOOKUP(Table12[[#This Row],[ROUTE]],DEMAND!A:F,5,FALSE)</f>
        <v>3589</v>
      </c>
      <c r="N258" s="212">
        <f>VLOOKUP(Table12[[#This Row],[ROUTE]],DEMAND!A:F,6,FALSE)</f>
        <v>289</v>
      </c>
      <c r="O258" s="212">
        <f>ROUNDDOWN(Table12[[#This Row],[R-DEMAND]]/1320,0)</f>
        <v>0</v>
      </c>
      <c r="P258" s="212">
        <f>Table12[[#This Row],[ADD ACC]]*Table12[[#This Row],[RT TIME 
(777-500ER)]]</f>
        <v>0</v>
      </c>
    </row>
    <row r="259" spans="1:16" ht="15.75" customHeight="1" x14ac:dyDescent="0.25">
      <c r="A259" s="212" t="s">
        <v>14246</v>
      </c>
      <c r="B259" s="212" t="s">
        <v>103</v>
      </c>
      <c r="C259" s="212" t="s">
        <v>2</v>
      </c>
      <c r="D259" s="226">
        <v>4</v>
      </c>
      <c r="E259" s="212" t="s">
        <v>530</v>
      </c>
      <c r="F259" s="212" t="s">
        <v>12694</v>
      </c>
      <c r="G259" s="227" t="s">
        <v>13178</v>
      </c>
      <c r="H259" s="228">
        <v>14151</v>
      </c>
      <c r="I259" s="208">
        <v>33.75</v>
      </c>
      <c r="J259" s="211"/>
      <c r="K259" s="209">
        <v>0</v>
      </c>
      <c r="L259" s="212"/>
      <c r="M259" s="212">
        <f>VLOOKUP(Table12[[#This Row],[ROUTE]],DEMAND!A:F,5,FALSE)</f>
        <v>2692</v>
      </c>
      <c r="N259" s="212">
        <f>VLOOKUP(Table12[[#This Row],[ROUTE]],DEMAND!A:F,6,FALSE)</f>
        <v>492</v>
      </c>
      <c r="O259" s="212">
        <f>ROUNDDOWN(Table12[[#This Row],[R-DEMAND]]/1320,0)</f>
        <v>0</v>
      </c>
      <c r="P259" s="212">
        <f>Table12[[#This Row],[ADD ACC]]*Table12[[#This Row],[RT TIME 
(777-500ER)]]</f>
        <v>0</v>
      </c>
    </row>
    <row r="260" spans="1:16" ht="15.75" customHeight="1" x14ac:dyDescent="0.25">
      <c r="A260" s="212" t="s">
        <v>14817</v>
      </c>
      <c r="B260" s="212" t="s">
        <v>5204</v>
      </c>
      <c r="C260" s="212" t="s">
        <v>2</v>
      </c>
      <c r="D260" s="226">
        <v>3</v>
      </c>
      <c r="E260" s="212" t="s">
        <v>142</v>
      </c>
      <c r="F260" s="212" t="s">
        <v>12670</v>
      </c>
      <c r="G260" s="227" t="s">
        <v>11997</v>
      </c>
      <c r="H260" s="228">
        <v>7332</v>
      </c>
      <c r="I260" s="208">
        <v>18.5</v>
      </c>
      <c r="J260" s="211">
        <v>209023982</v>
      </c>
      <c r="K260" s="209">
        <v>87275.149060542797</v>
      </c>
      <c r="L260" s="212">
        <v>2395</v>
      </c>
      <c r="M260" s="212">
        <f>VLOOKUP(Table12[[#This Row],[ROUTE]],DEMAND!A:F,5,FALSE)</f>
        <v>2524</v>
      </c>
      <c r="N260" s="212">
        <f>VLOOKUP(Table12[[#This Row],[ROUTE]],DEMAND!A:F,6,FALSE)</f>
        <v>324</v>
      </c>
      <c r="O260" s="212">
        <f>ROUNDDOWN(Table12[[#This Row],[R-DEMAND]]/1320,0)</f>
        <v>0</v>
      </c>
      <c r="P260" s="212">
        <f>Table12[[#This Row],[ADD ACC]]*Table12[[#This Row],[RT TIME 
(777-500ER)]]</f>
        <v>0</v>
      </c>
    </row>
    <row r="261" spans="1:16" ht="15.75" customHeight="1" x14ac:dyDescent="0.25">
      <c r="A261" s="212" t="s">
        <v>14453</v>
      </c>
      <c r="B261" s="212" t="s">
        <v>5147</v>
      </c>
      <c r="C261" s="212" t="s">
        <v>2</v>
      </c>
      <c r="D261" s="226">
        <v>3</v>
      </c>
      <c r="E261" s="212" t="s">
        <v>2791</v>
      </c>
      <c r="F261" s="212" t="s">
        <v>12688</v>
      </c>
      <c r="G261" s="227" t="s">
        <v>13197</v>
      </c>
      <c r="H261" s="228">
        <v>9387</v>
      </c>
      <c r="I261" s="208">
        <v>23.25</v>
      </c>
      <c r="J261" s="211">
        <v>227003642</v>
      </c>
      <c r="K261" s="209">
        <v>71950.441204437404</v>
      </c>
      <c r="L261" s="212">
        <v>3155</v>
      </c>
      <c r="M261" s="212">
        <f>VLOOKUP(Table12[[#This Row],[ROUTE]],DEMAND!A:F,5,FALSE)</f>
        <v>3315</v>
      </c>
      <c r="N261" s="212">
        <f>VLOOKUP(Table12[[#This Row],[ROUTE]],DEMAND!A:F,6,FALSE)</f>
        <v>1115</v>
      </c>
      <c r="O261" s="212">
        <f>ROUNDDOWN(Table12[[#This Row],[R-DEMAND]]/1320,0)</f>
        <v>0</v>
      </c>
      <c r="P261" s="212">
        <f>Table12[[#This Row],[ADD ACC]]*Table12[[#This Row],[RT TIME 
(777-500ER)]]</f>
        <v>0</v>
      </c>
    </row>
    <row r="262" spans="1:16" ht="15.75" customHeight="1" x14ac:dyDescent="0.25">
      <c r="A262" s="212" t="s">
        <v>14334</v>
      </c>
      <c r="B262" s="212" t="s">
        <v>5717</v>
      </c>
      <c r="C262" s="212" t="s">
        <v>2</v>
      </c>
      <c r="D262" s="226">
        <v>5</v>
      </c>
      <c r="E262" s="212" t="s">
        <v>647</v>
      </c>
      <c r="F262" s="212" t="s">
        <v>12688</v>
      </c>
      <c r="G262" s="227" t="s">
        <v>13256</v>
      </c>
      <c r="H262" s="228">
        <v>8431</v>
      </c>
      <c r="I262" s="208">
        <v>21</v>
      </c>
      <c r="J262" s="211">
        <v>250365029</v>
      </c>
      <c r="K262" s="209">
        <v>97342.546267496116</v>
      </c>
      <c r="L262" s="212">
        <v>2572</v>
      </c>
      <c r="M262" s="212">
        <f>VLOOKUP(Table12[[#This Row],[ROUTE]],DEMAND!A:F,5,FALSE)</f>
        <v>2677</v>
      </c>
      <c r="N262" s="212">
        <f>VLOOKUP(Table12[[#This Row],[ROUTE]],DEMAND!A:F,6,FALSE)</f>
        <v>477</v>
      </c>
      <c r="O262" s="212">
        <f>ROUNDDOWN(Table12[[#This Row],[R-DEMAND]]/1320,0)</f>
        <v>0</v>
      </c>
      <c r="P262" s="212">
        <f>Table12[[#This Row],[ADD ACC]]*Table12[[#This Row],[RT TIME 
(777-500ER)]]</f>
        <v>0</v>
      </c>
    </row>
    <row r="263" spans="1:16" ht="15.75" customHeight="1" x14ac:dyDescent="0.25">
      <c r="A263" s="212" t="s">
        <v>14397</v>
      </c>
      <c r="B263" s="212" t="s">
        <v>5737</v>
      </c>
      <c r="C263" s="212" t="s">
        <v>2</v>
      </c>
      <c r="D263" s="226">
        <v>5</v>
      </c>
      <c r="E263" s="212" t="s">
        <v>647</v>
      </c>
      <c r="F263" s="212" t="s">
        <v>12688</v>
      </c>
      <c r="G263" s="227" t="s">
        <v>13258</v>
      </c>
      <c r="H263" s="228">
        <v>9505</v>
      </c>
      <c r="I263" s="208">
        <v>23.5</v>
      </c>
      <c r="J263" s="211">
        <v>265551371</v>
      </c>
      <c r="K263" s="209">
        <v>100511.49545798637</v>
      </c>
      <c r="L263" s="212">
        <v>2642</v>
      </c>
      <c r="M263" s="212">
        <f>VLOOKUP(Table12[[#This Row],[ROUTE]],DEMAND!A:F,5,FALSE)</f>
        <v>2731</v>
      </c>
      <c r="N263" s="212">
        <f>VLOOKUP(Table12[[#This Row],[ROUTE]],DEMAND!A:F,6,FALSE)</f>
        <v>531</v>
      </c>
      <c r="O263" s="212">
        <f>ROUNDDOWN(Table12[[#This Row],[R-DEMAND]]/1320,0)</f>
        <v>0</v>
      </c>
      <c r="P263" s="212">
        <f>Table12[[#This Row],[ADD ACC]]*Table12[[#This Row],[RT TIME 
(777-500ER)]]</f>
        <v>0</v>
      </c>
    </row>
    <row r="264" spans="1:16" ht="15.75" customHeight="1" x14ac:dyDescent="0.25">
      <c r="A264" s="212" t="s">
        <v>14955</v>
      </c>
      <c r="B264" s="212" t="s">
        <v>100</v>
      </c>
      <c r="C264" s="212" t="s">
        <v>2</v>
      </c>
      <c r="D264" s="226">
        <v>4</v>
      </c>
      <c r="E264" s="212" t="s">
        <v>1314</v>
      </c>
      <c r="F264" s="212" t="s">
        <v>12670</v>
      </c>
      <c r="G264" s="227" t="s">
        <v>11043</v>
      </c>
      <c r="H264" s="228">
        <v>7686</v>
      </c>
      <c r="I264" s="208">
        <v>19.25</v>
      </c>
      <c r="J264" s="211">
        <v>231512444</v>
      </c>
      <c r="K264" s="209">
        <v>60289.698958333334</v>
      </c>
      <c r="L264" s="212">
        <v>3840</v>
      </c>
      <c r="M264" s="212">
        <f>VLOOKUP(Table12[[#This Row],[ROUTE]],DEMAND!A:F,5,FALSE)</f>
        <v>3983</v>
      </c>
      <c r="N264" s="212">
        <f>VLOOKUP(Table12[[#This Row],[ROUTE]],DEMAND!A:F,6,FALSE)</f>
        <v>683</v>
      </c>
      <c r="O264" s="212">
        <f>ROUNDDOWN(Table12[[#This Row],[R-DEMAND]]/1320,0)</f>
        <v>0</v>
      </c>
      <c r="P264" s="212">
        <f>Table12[[#This Row],[ADD ACC]]*Table12[[#This Row],[RT TIME 
(777-500ER)]]</f>
        <v>0</v>
      </c>
    </row>
    <row r="265" spans="1:16" ht="15.75" customHeight="1" x14ac:dyDescent="0.25">
      <c r="A265" s="212" t="s">
        <v>14738</v>
      </c>
      <c r="B265" s="212" t="s">
        <v>97</v>
      </c>
      <c r="C265" s="212" t="s">
        <v>2</v>
      </c>
      <c r="D265" s="226">
        <v>5</v>
      </c>
      <c r="E265" s="212" t="s">
        <v>14</v>
      </c>
      <c r="F265" s="212" t="s">
        <v>12670</v>
      </c>
      <c r="G265" s="227" t="s">
        <v>12046</v>
      </c>
      <c r="H265" s="228">
        <v>6805</v>
      </c>
      <c r="I265" s="208">
        <v>17.5</v>
      </c>
      <c r="J265" s="211">
        <v>228565364</v>
      </c>
      <c r="K265" s="209">
        <v>61757.731423939476</v>
      </c>
      <c r="L265" s="212">
        <v>3701</v>
      </c>
      <c r="M265" s="212">
        <f>VLOOKUP(Table12[[#This Row],[ROUTE]],DEMAND!A:F,5,FALSE)</f>
        <v>3937</v>
      </c>
      <c r="N265" s="212">
        <f>VLOOKUP(Table12[[#This Row],[ROUTE]],DEMAND!A:F,6,FALSE)</f>
        <v>637</v>
      </c>
      <c r="O265" s="212">
        <f>ROUNDDOWN(Table12[[#This Row],[R-DEMAND]]/1320,0)</f>
        <v>0</v>
      </c>
      <c r="P265" s="212">
        <f>Table12[[#This Row],[ADD ACC]]*Table12[[#This Row],[RT TIME 
(777-500ER)]]</f>
        <v>0</v>
      </c>
    </row>
    <row r="266" spans="1:16" ht="15.75" customHeight="1" x14ac:dyDescent="0.25">
      <c r="A266" s="212" t="s">
        <v>14765</v>
      </c>
      <c r="B266" s="212" t="s">
        <v>95</v>
      </c>
      <c r="C266" s="212" t="s">
        <v>2</v>
      </c>
      <c r="D266" s="226">
        <v>4</v>
      </c>
      <c r="E266" s="212" t="s">
        <v>14</v>
      </c>
      <c r="F266" s="212" t="s">
        <v>12670</v>
      </c>
      <c r="G266" s="227" t="s">
        <v>94</v>
      </c>
      <c r="H266" s="228">
        <v>6069</v>
      </c>
      <c r="I266" s="208">
        <v>15.75</v>
      </c>
      <c r="J266" s="211">
        <v>204383628</v>
      </c>
      <c r="K266" s="209">
        <v>62752.111759287691</v>
      </c>
      <c r="L266" s="212">
        <v>3257</v>
      </c>
      <c r="M266" s="212">
        <f>VLOOKUP(Table12[[#This Row],[ROUTE]],DEMAND!A:F,5,FALSE)</f>
        <v>3477</v>
      </c>
      <c r="N266" s="212">
        <f>VLOOKUP(Table12[[#This Row],[ROUTE]],DEMAND!A:F,6,FALSE)</f>
        <v>1277</v>
      </c>
      <c r="O266" s="212">
        <f>ROUNDDOWN(Table12[[#This Row],[R-DEMAND]]/1320,0)</f>
        <v>0</v>
      </c>
      <c r="P266" s="212">
        <f>Table12[[#This Row],[ADD ACC]]*Table12[[#This Row],[RT TIME 
(777-500ER)]]</f>
        <v>0</v>
      </c>
    </row>
    <row r="267" spans="1:16" ht="15.75" customHeight="1" x14ac:dyDescent="0.25">
      <c r="A267" s="212" t="s">
        <v>14889</v>
      </c>
      <c r="B267" s="212" t="s">
        <v>93</v>
      </c>
      <c r="C267" s="212" t="s">
        <v>2</v>
      </c>
      <c r="D267" s="226">
        <v>5</v>
      </c>
      <c r="E267" s="212" t="s">
        <v>92</v>
      </c>
      <c r="F267" s="212" t="s">
        <v>12670</v>
      </c>
      <c r="G267" s="227" t="s">
        <v>91</v>
      </c>
      <c r="H267" s="228">
        <v>8402</v>
      </c>
      <c r="I267" s="208">
        <v>21</v>
      </c>
      <c r="J267" s="211">
        <v>254883979</v>
      </c>
      <c r="K267" s="209">
        <v>79576.640337183897</v>
      </c>
      <c r="L267" s="212">
        <v>3203</v>
      </c>
      <c r="M267" s="212">
        <f>VLOOKUP(Table12[[#This Row],[ROUTE]],DEMAND!A:F,5,FALSE)</f>
        <v>3354</v>
      </c>
      <c r="N267" s="212">
        <f>VLOOKUP(Table12[[#This Row],[ROUTE]],DEMAND!A:F,6,FALSE)</f>
        <v>1154</v>
      </c>
      <c r="O267" s="212">
        <f>ROUNDDOWN(Table12[[#This Row],[R-DEMAND]]/1320,0)</f>
        <v>0</v>
      </c>
      <c r="P267" s="212">
        <f>Table12[[#This Row],[ADD ACC]]*Table12[[#This Row],[RT TIME 
(777-500ER)]]</f>
        <v>0</v>
      </c>
    </row>
    <row r="268" spans="1:16" ht="15.75" customHeight="1" x14ac:dyDescent="0.25">
      <c r="A268" s="212" t="s">
        <v>14393</v>
      </c>
      <c r="B268" s="212" t="s">
        <v>5534</v>
      </c>
      <c r="C268" s="212" t="s">
        <v>2</v>
      </c>
      <c r="D268" s="226">
        <v>4</v>
      </c>
      <c r="E268" s="212" t="s">
        <v>647</v>
      </c>
      <c r="F268" s="212" t="s">
        <v>12688</v>
      </c>
      <c r="G268" s="227" t="s">
        <v>13260</v>
      </c>
      <c r="H268" s="228">
        <v>9525</v>
      </c>
      <c r="I268" s="208">
        <v>23.5</v>
      </c>
      <c r="J268" s="211">
        <v>242159689</v>
      </c>
      <c r="K268" s="209">
        <v>106772.34964726631</v>
      </c>
      <c r="L268" s="212">
        <v>2268</v>
      </c>
      <c r="M268" s="212">
        <f>VLOOKUP(Table12[[#This Row],[ROUTE]],DEMAND!A:F,5,FALSE)</f>
        <v>2368</v>
      </c>
      <c r="N268" s="212">
        <f>VLOOKUP(Table12[[#This Row],[ROUTE]],DEMAND!A:F,6,FALSE)</f>
        <v>1268</v>
      </c>
      <c r="O268" s="212">
        <f>ROUNDDOWN(Table12[[#This Row],[R-DEMAND]]/1320,0)</f>
        <v>0</v>
      </c>
      <c r="P268" s="212">
        <f>Table12[[#This Row],[ADD ACC]]*Table12[[#This Row],[RT TIME 
(777-500ER)]]</f>
        <v>0</v>
      </c>
    </row>
    <row r="269" spans="1:16" ht="15.75" customHeight="1" x14ac:dyDescent="0.25">
      <c r="A269" s="212" t="s">
        <v>14474</v>
      </c>
      <c r="B269" s="212" t="s">
        <v>5114</v>
      </c>
      <c r="C269" s="212" t="s">
        <v>2</v>
      </c>
      <c r="D269" s="226">
        <v>3</v>
      </c>
      <c r="E269" s="212" t="s">
        <v>1749</v>
      </c>
      <c r="F269" s="212" t="s">
        <v>12688</v>
      </c>
      <c r="G269" s="227" t="s">
        <v>13214</v>
      </c>
      <c r="H269" s="228">
        <v>10759</v>
      </c>
      <c r="I269" s="208">
        <v>26.25</v>
      </c>
      <c r="J269" s="211">
        <v>240394548</v>
      </c>
      <c r="K269" s="209">
        <v>78843.734995080347</v>
      </c>
      <c r="L269" s="212">
        <v>3049</v>
      </c>
      <c r="M269" s="212">
        <f>VLOOKUP(Table12[[#This Row],[ROUTE]],DEMAND!A:F,5,FALSE)</f>
        <v>3244</v>
      </c>
      <c r="N269" s="212">
        <f>VLOOKUP(Table12[[#This Row],[ROUTE]],DEMAND!A:F,6,FALSE)</f>
        <v>1044</v>
      </c>
      <c r="O269" s="212">
        <f>ROUNDDOWN(Table12[[#This Row],[R-DEMAND]]/1320,0)</f>
        <v>0</v>
      </c>
      <c r="P269" s="212">
        <f>Table12[[#This Row],[ADD ACC]]*Table12[[#This Row],[RT TIME 
(777-500ER)]]</f>
        <v>0</v>
      </c>
    </row>
    <row r="270" spans="1:16" ht="15.75" customHeight="1" x14ac:dyDescent="0.25">
      <c r="A270" s="212" t="s">
        <v>14439</v>
      </c>
      <c r="B270" s="212" t="s">
        <v>5298</v>
      </c>
      <c r="C270" s="212" t="s">
        <v>2</v>
      </c>
      <c r="D270" s="226">
        <v>3</v>
      </c>
      <c r="E270" s="212" t="s">
        <v>812</v>
      </c>
      <c r="F270" s="212" t="s">
        <v>12688</v>
      </c>
      <c r="G270" s="227" t="s">
        <v>13185</v>
      </c>
      <c r="H270" s="228">
        <v>10998</v>
      </c>
      <c r="I270" s="208">
        <v>26.75</v>
      </c>
      <c r="J270" s="211">
        <v>247325161</v>
      </c>
      <c r="K270" s="209">
        <v>77677.500314070348</v>
      </c>
      <c r="L270" s="212">
        <v>3184</v>
      </c>
      <c r="M270" s="212">
        <f>VLOOKUP(Table12[[#This Row],[ROUTE]],DEMAND!A:F,5,FALSE)</f>
        <v>3323</v>
      </c>
      <c r="N270" s="212">
        <f>VLOOKUP(Table12[[#This Row],[ROUTE]],DEMAND!A:F,6,FALSE)</f>
        <v>1123</v>
      </c>
      <c r="O270" s="212">
        <f>ROUNDDOWN(Table12[[#This Row],[R-DEMAND]]/1320,0)</f>
        <v>0</v>
      </c>
      <c r="P270" s="212">
        <f>Table12[[#This Row],[ADD ACC]]*Table12[[#This Row],[RT TIME 
(777-500ER)]]</f>
        <v>0</v>
      </c>
    </row>
    <row r="271" spans="1:16" ht="15.75" customHeight="1" x14ac:dyDescent="0.25">
      <c r="A271" s="212" t="s">
        <v>14483</v>
      </c>
      <c r="B271" s="212" t="s">
        <v>5532</v>
      </c>
      <c r="C271" s="212" t="s">
        <v>2</v>
      </c>
      <c r="D271" s="226">
        <v>4</v>
      </c>
      <c r="E271" s="212" t="s">
        <v>1946</v>
      </c>
      <c r="F271" s="212" t="s">
        <v>12688</v>
      </c>
      <c r="G271" s="227" t="s">
        <v>13249</v>
      </c>
      <c r="H271" s="228">
        <v>9173</v>
      </c>
      <c r="I271" s="208">
        <v>22.75</v>
      </c>
      <c r="J271" s="211">
        <v>237480226</v>
      </c>
      <c r="K271" s="209">
        <v>91904.11222910216</v>
      </c>
      <c r="L271" s="212">
        <v>2584</v>
      </c>
      <c r="M271" s="212">
        <f>VLOOKUP(Table12[[#This Row],[ROUTE]],DEMAND!A:F,5,FALSE)</f>
        <v>2671</v>
      </c>
      <c r="N271" s="212">
        <f>VLOOKUP(Table12[[#This Row],[ROUTE]],DEMAND!A:F,6,FALSE)</f>
        <v>471</v>
      </c>
      <c r="O271" s="212">
        <f>ROUNDDOWN(Table12[[#This Row],[R-DEMAND]]/1320,0)</f>
        <v>0</v>
      </c>
      <c r="P271" s="212">
        <f>Table12[[#This Row],[ADD ACC]]*Table12[[#This Row],[RT TIME 
(777-500ER)]]</f>
        <v>0</v>
      </c>
    </row>
    <row r="272" spans="1:16" ht="15.75" customHeight="1" x14ac:dyDescent="0.25">
      <c r="A272" s="212" t="s">
        <v>14757</v>
      </c>
      <c r="B272" s="212" t="s">
        <v>4750</v>
      </c>
      <c r="C272" s="212" t="s">
        <v>2</v>
      </c>
      <c r="D272" s="226">
        <v>3</v>
      </c>
      <c r="E272" s="212" t="s">
        <v>14</v>
      </c>
      <c r="F272" s="212" t="s">
        <v>12670</v>
      </c>
      <c r="G272" s="227" t="s">
        <v>12026</v>
      </c>
      <c r="H272" s="228">
        <v>5814</v>
      </c>
      <c r="I272" s="208">
        <v>15.25</v>
      </c>
      <c r="J272" s="211">
        <v>184894039</v>
      </c>
      <c r="K272" s="209">
        <v>65822.014595941611</v>
      </c>
      <c r="L272" s="212">
        <v>2809</v>
      </c>
      <c r="M272" s="212">
        <f>VLOOKUP(Table12[[#This Row],[ROUTE]],DEMAND!A:F,5,FALSE)</f>
        <v>2913</v>
      </c>
      <c r="N272" s="212">
        <f>VLOOKUP(Table12[[#This Row],[ROUTE]],DEMAND!A:F,6,FALSE)</f>
        <v>713</v>
      </c>
      <c r="O272" s="212">
        <f>ROUNDDOWN(Table12[[#This Row],[R-DEMAND]]/1320,0)</f>
        <v>0</v>
      </c>
      <c r="P272" s="212">
        <f>Table12[[#This Row],[ADD ACC]]*Table12[[#This Row],[RT TIME 
(777-500ER)]]</f>
        <v>0</v>
      </c>
    </row>
    <row r="273" spans="1:16" ht="15.75" customHeight="1" x14ac:dyDescent="0.25">
      <c r="A273" s="212" t="s">
        <v>14362</v>
      </c>
      <c r="B273" s="212" t="s">
        <v>5676</v>
      </c>
      <c r="C273" s="212" t="s">
        <v>11122</v>
      </c>
      <c r="D273" s="226">
        <v>5</v>
      </c>
      <c r="E273" s="212" t="s">
        <v>647</v>
      </c>
      <c r="F273" s="212" t="s">
        <v>12688</v>
      </c>
      <c r="G273" s="227" t="s">
        <v>13273</v>
      </c>
      <c r="H273" s="228">
        <v>8947</v>
      </c>
      <c r="I273" s="208">
        <v>22.25</v>
      </c>
      <c r="J273" s="211">
        <v>248535874</v>
      </c>
      <c r="K273" s="209">
        <v>100948.77091795289</v>
      </c>
      <c r="L273" s="212">
        <v>2462</v>
      </c>
      <c r="M273" s="212">
        <f>VLOOKUP(Table12[[#This Row],[ROUTE]],DEMAND!A:F,5,FALSE)</f>
        <v>2562</v>
      </c>
      <c r="N273" s="212">
        <f>VLOOKUP(Table12[[#This Row],[ROUTE]],DEMAND!A:F,6,FALSE)</f>
        <v>362</v>
      </c>
      <c r="O273" s="212">
        <f>ROUNDDOWN(Table12[[#This Row],[R-DEMAND]]/1320,0)</f>
        <v>0</v>
      </c>
      <c r="P273" s="212">
        <f>Table12[[#This Row],[ADD ACC]]*Table12[[#This Row],[RT TIME 
(777-500ER)]]</f>
        <v>0</v>
      </c>
    </row>
    <row r="274" spans="1:16" ht="15.75" customHeight="1" x14ac:dyDescent="0.25">
      <c r="A274" s="212" t="s">
        <v>14999</v>
      </c>
      <c r="B274" s="212" t="s">
        <v>1965</v>
      </c>
      <c r="C274" s="212" t="s">
        <v>2</v>
      </c>
      <c r="D274" s="226">
        <v>1</v>
      </c>
      <c r="E274" s="212" t="s">
        <v>644</v>
      </c>
      <c r="F274" s="212" t="s">
        <v>12671</v>
      </c>
      <c r="G274" s="227" t="s">
        <v>11839</v>
      </c>
      <c r="H274" s="228">
        <v>8020</v>
      </c>
      <c r="I274" s="208">
        <v>20</v>
      </c>
      <c r="J274" s="211"/>
      <c r="K274" s="209">
        <v>0</v>
      </c>
      <c r="L274" s="212"/>
      <c r="M274" s="212">
        <f>VLOOKUP(Table12[[#This Row],[ROUTE]],DEMAND!A:F,5,FALSE)</f>
        <v>3220</v>
      </c>
      <c r="N274" s="212">
        <f>VLOOKUP(Table12[[#This Row],[ROUTE]],DEMAND!A:F,6,FALSE)</f>
        <v>1020</v>
      </c>
      <c r="O274" s="212">
        <f>ROUNDDOWN(Table12[[#This Row],[R-DEMAND]]/1320,0)</f>
        <v>0</v>
      </c>
      <c r="P274" s="212">
        <f>Table12[[#This Row],[ADD ACC]]*Table12[[#This Row],[RT TIME 
(777-500ER)]]</f>
        <v>0</v>
      </c>
    </row>
    <row r="275" spans="1:16" ht="15.75" customHeight="1" x14ac:dyDescent="0.25">
      <c r="A275" s="212" t="s">
        <v>14239</v>
      </c>
      <c r="B275" s="212" t="s">
        <v>5509</v>
      </c>
      <c r="C275" s="212" t="s">
        <v>2</v>
      </c>
      <c r="D275" s="226">
        <v>4</v>
      </c>
      <c r="E275" s="212" t="s">
        <v>517</v>
      </c>
      <c r="F275" s="212" t="s">
        <v>12694</v>
      </c>
      <c r="G275" s="227" t="s">
        <v>13158</v>
      </c>
      <c r="H275" s="228">
        <v>10343</v>
      </c>
      <c r="I275" s="208">
        <v>25.25</v>
      </c>
      <c r="J275" s="211">
        <v>247546923</v>
      </c>
      <c r="K275" s="209">
        <v>67617.296640262226</v>
      </c>
      <c r="L275" s="212">
        <v>3661</v>
      </c>
      <c r="M275" s="212">
        <f>VLOOKUP(Table12[[#This Row],[ROUTE]],DEMAND!A:F,5,FALSE)</f>
        <v>3797</v>
      </c>
      <c r="N275" s="212">
        <f>VLOOKUP(Table12[[#This Row],[ROUTE]],DEMAND!A:F,6,FALSE)</f>
        <v>497</v>
      </c>
      <c r="O275" s="212">
        <f>ROUNDDOWN(Table12[[#This Row],[R-DEMAND]]/1320,0)</f>
        <v>0</v>
      </c>
      <c r="P275" s="212">
        <f>Table12[[#This Row],[ADD ACC]]*Table12[[#This Row],[RT TIME 
(777-500ER)]]</f>
        <v>0</v>
      </c>
    </row>
    <row r="276" spans="1:16" ht="15.75" customHeight="1" x14ac:dyDescent="0.25">
      <c r="A276" s="212" t="s">
        <v>15015</v>
      </c>
      <c r="B276" s="212" t="s">
        <v>5513</v>
      </c>
      <c r="C276" s="212" t="s">
        <v>2</v>
      </c>
      <c r="D276" s="226">
        <v>4</v>
      </c>
      <c r="E276" s="212" t="s">
        <v>1124</v>
      </c>
      <c r="F276" s="212" t="s">
        <v>12671</v>
      </c>
      <c r="G276" s="227" t="s">
        <v>11042</v>
      </c>
      <c r="H276" s="228">
        <v>3064</v>
      </c>
      <c r="I276" s="208">
        <v>9</v>
      </c>
      <c r="J276" s="211">
        <v>174849411</v>
      </c>
      <c r="K276" s="209">
        <v>41316.023393194708</v>
      </c>
      <c r="L276" s="212">
        <v>4232</v>
      </c>
      <c r="M276" s="212">
        <f>VLOOKUP(Table12[[#This Row],[ROUTE]],DEMAND!A:F,5,FALSE)</f>
        <v>4502</v>
      </c>
      <c r="N276" s="212">
        <f>VLOOKUP(Table12[[#This Row],[ROUTE]],DEMAND!A:F,6,FALSE)</f>
        <v>1202</v>
      </c>
      <c r="O276" s="212">
        <f>ROUNDDOWN(Table12[[#This Row],[R-DEMAND]]/1320,0)</f>
        <v>0</v>
      </c>
      <c r="P276" s="212">
        <f>Table12[[#This Row],[ADD ACC]]*Table12[[#This Row],[RT TIME 
(777-500ER)]]</f>
        <v>0</v>
      </c>
    </row>
    <row r="277" spans="1:16" ht="15.75" customHeight="1" x14ac:dyDescent="0.25">
      <c r="A277" s="212" t="s">
        <v>14333</v>
      </c>
      <c r="B277" s="212" t="s">
        <v>5606</v>
      </c>
      <c r="C277" s="212" t="s">
        <v>2</v>
      </c>
      <c r="D277" s="226">
        <v>4</v>
      </c>
      <c r="E277" s="212" t="s">
        <v>647</v>
      </c>
      <c r="F277" s="212" t="s">
        <v>12688</v>
      </c>
      <c r="G277" s="227" t="s">
        <v>13314</v>
      </c>
      <c r="H277" s="228">
        <v>8459</v>
      </c>
      <c r="I277" s="208">
        <v>21</v>
      </c>
      <c r="J277" s="211">
        <v>236518333</v>
      </c>
      <c r="K277" s="209">
        <v>100646.09914893618</v>
      </c>
      <c r="L277" s="212">
        <v>2350</v>
      </c>
      <c r="M277" s="212">
        <f>VLOOKUP(Table12[[#This Row],[ROUTE]],DEMAND!A:F,5,FALSE)</f>
        <v>2500</v>
      </c>
      <c r="N277" s="212">
        <f>VLOOKUP(Table12[[#This Row],[ROUTE]],DEMAND!A:F,6,FALSE)</f>
        <v>300</v>
      </c>
      <c r="O277" s="212">
        <f>ROUNDDOWN(Table12[[#This Row],[R-DEMAND]]/1320,0)</f>
        <v>0</v>
      </c>
      <c r="P277" s="212">
        <f>Table12[[#This Row],[ADD ACC]]*Table12[[#This Row],[RT TIME 
(777-500ER)]]</f>
        <v>0</v>
      </c>
    </row>
    <row r="278" spans="1:16" ht="15.75" customHeight="1" x14ac:dyDescent="0.25">
      <c r="A278" s="212" t="s">
        <v>14684</v>
      </c>
      <c r="B278" s="212" t="s">
        <v>84</v>
      </c>
      <c r="C278" s="212" t="s">
        <v>2</v>
      </c>
      <c r="D278" s="226">
        <v>5</v>
      </c>
      <c r="E278" s="212" t="s">
        <v>83</v>
      </c>
      <c r="F278" s="212" t="s">
        <v>12674</v>
      </c>
      <c r="G278" s="227" t="s">
        <v>82</v>
      </c>
      <c r="H278" s="228">
        <v>2482</v>
      </c>
      <c r="I278" s="208">
        <v>7.75</v>
      </c>
      <c r="J278" s="211">
        <v>184296616</v>
      </c>
      <c r="K278" s="209">
        <v>64439.37622377622</v>
      </c>
      <c r="L278" s="212">
        <v>2860</v>
      </c>
      <c r="M278" s="212">
        <f>VLOOKUP(Table12[[#This Row],[ROUTE]],DEMAND!A:F,5,FALSE)</f>
        <v>3004</v>
      </c>
      <c r="N278" s="212">
        <f>VLOOKUP(Table12[[#This Row],[ROUTE]],DEMAND!A:F,6,FALSE)</f>
        <v>804</v>
      </c>
      <c r="O278" s="212">
        <f>ROUNDDOWN(Table12[[#This Row],[R-DEMAND]]/1320,0)</f>
        <v>0</v>
      </c>
      <c r="P278" s="212">
        <f>Table12[[#This Row],[ADD ACC]]*Table12[[#This Row],[RT TIME 
(777-500ER)]]</f>
        <v>0</v>
      </c>
    </row>
    <row r="279" spans="1:16" ht="15.75" customHeight="1" x14ac:dyDescent="0.25">
      <c r="A279" s="212" t="s">
        <v>14538</v>
      </c>
      <c r="B279" s="212" t="s">
        <v>5585</v>
      </c>
      <c r="C279" s="212" t="s">
        <v>2</v>
      </c>
      <c r="D279" s="226">
        <v>4</v>
      </c>
      <c r="E279" s="212" t="s">
        <v>1427</v>
      </c>
      <c r="F279" s="212" t="s">
        <v>12674</v>
      </c>
      <c r="G279" s="227" t="s">
        <v>11041</v>
      </c>
      <c r="H279" s="228">
        <v>2081</v>
      </c>
      <c r="I279" s="208">
        <v>6.75</v>
      </c>
      <c r="J279" s="211">
        <v>169388180</v>
      </c>
      <c r="K279" s="209">
        <v>64651.977099236639</v>
      </c>
      <c r="L279" s="212">
        <v>2620</v>
      </c>
      <c r="M279" s="212">
        <f>VLOOKUP(Table12[[#This Row],[ROUTE]],DEMAND!A:F,5,FALSE)</f>
        <v>2744</v>
      </c>
      <c r="N279" s="212">
        <f>VLOOKUP(Table12[[#This Row],[ROUTE]],DEMAND!A:F,6,FALSE)</f>
        <v>544</v>
      </c>
      <c r="O279" s="212">
        <f>ROUNDDOWN(Table12[[#This Row],[R-DEMAND]]/1320,0)</f>
        <v>0</v>
      </c>
      <c r="P279" s="212">
        <f>Table12[[#This Row],[ADD ACC]]*Table12[[#This Row],[RT TIME 
(777-500ER)]]</f>
        <v>0</v>
      </c>
    </row>
    <row r="280" spans="1:16" ht="15.75" customHeight="1" x14ac:dyDescent="0.25">
      <c r="A280" s="212" t="s">
        <v>14792</v>
      </c>
      <c r="B280" s="212" t="s">
        <v>81</v>
      </c>
      <c r="C280" s="212" t="s">
        <v>2</v>
      </c>
      <c r="D280" s="226">
        <v>4</v>
      </c>
      <c r="E280" s="212" t="s">
        <v>1261</v>
      </c>
      <c r="F280" s="212" t="s">
        <v>12670</v>
      </c>
      <c r="G280" s="227" t="s">
        <v>11040</v>
      </c>
      <c r="H280" s="228">
        <v>9748</v>
      </c>
      <c r="I280" s="208">
        <v>24</v>
      </c>
      <c r="J280" s="211">
        <v>245270570</v>
      </c>
      <c r="K280" s="209">
        <v>62745.093374264521</v>
      </c>
      <c r="L280" s="212">
        <v>3909</v>
      </c>
      <c r="M280" s="212">
        <f>VLOOKUP(Table12[[#This Row],[ROUTE]],DEMAND!A:F,5,FALSE)</f>
        <v>4120</v>
      </c>
      <c r="N280" s="212">
        <f>VLOOKUP(Table12[[#This Row],[ROUTE]],DEMAND!A:F,6,FALSE)</f>
        <v>820</v>
      </c>
      <c r="O280" s="212">
        <f>ROUNDDOWN(Table12[[#This Row],[R-DEMAND]]/1320,0)</f>
        <v>0</v>
      </c>
      <c r="P280" s="212">
        <f>Table12[[#This Row],[ADD ACC]]*Table12[[#This Row],[RT TIME 
(777-500ER)]]</f>
        <v>0</v>
      </c>
    </row>
    <row r="281" spans="1:16" ht="15.75" customHeight="1" x14ac:dyDescent="0.25">
      <c r="A281" s="212" t="s">
        <v>14767</v>
      </c>
      <c r="B281" s="212" t="s">
        <v>74</v>
      </c>
      <c r="C281" s="212" t="s">
        <v>2</v>
      </c>
      <c r="D281" s="226">
        <v>2</v>
      </c>
      <c r="E281" s="212" t="s">
        <v>1070</v>
      </c>
      <c r="F281" s="212" t="s">
        <v>12670</v>
      </c>
      <c r="G281" s="227" t="s">
        <v>12009</v>
      </c>
      <c r="H281" s="228">
        <v>3692</v>
      </c>
      <c r="I281" s="208">
        <v>10.5</v>
      </c>
      <c r="J281" s="211">
        <v>162666629</v>
      </c>
      <c r="K281" s="209">
        <v>41454.28873598369</v>
      </c>
      <c r="L281" s="212">
        <v>3924</v>
      </c>
      <c r="M281" s="212">
        <f>VLOOKUP(Table12[[#This Row],[ROUTE]],DEMAND!A:F,5,FALSE)</f>
        <v>4149</v>
      </c>
      <c r="N281" s="212">
        <f>VLOOKUP(Table12[[#This Row],[ROUTE]],DEMAND!A:F,6,FALSE)</f>
        <v>849</v>
      </c>
      <c r="O281" s="212">
        <f>ROUNDDOWN(Table12[[#This Row],[R-DEMAND]]/1320,0)</f>
        <v>0</v>
      </c>
      <c r="P281" s="212">
        <f>Table12[[#This Row],[ADD ACC]]*Table12[[#This Row],[RT TIME 
(777-500ER)]]</f>
        <v>0</v>
      </c>
    </row>
    <row r="282" spans="1:16" ht="15.75" customHeight="1" x14ac:dyDescent="0.25">
      <c r="A282" s="212" t="s">
        <v>14281</v>
      </c>
      <c r="B282" s="212" t="s">
        <v>71</v>
      </c>
      <c r="C282" s="212" t="s">
        <v>2</v>
      </c>
      <c r="D282" s="226">
        <v>5</v>
      </c>
      <c r="E282" s="212" t="s">
        <v>774</v>
      </c>
      <c r="F282" s="212" t="s">
        <v>12682</v>
      </c>
      <c r="G282" s="227" t="s">
        <v>12010</v>
      </c>
      <c r="H282" s="228">
        <v>14484</v>
      </c>
      <c r="I282" s="208">
        <v>34.5</v>
      </c>
      <c r="J282" s="211"/>
      <c r="K282" s="209">
        <v>0</v>
      </c>
      <c r="L282" s="212"/>
      <c r="M282" s="212">
        <f>VLOOKUP(Table12[[#This Row],[ROUTE]],DEMAND!A:F,5,FALSE)</f>
        <v>2728</v>
      </c>
      <c r="N282" s="212">
        <f>VLOOKUP(Table12[[#This Row],[ROUTE]],DEMAND!A:F,6,FALSE)</f>
        <v>528</v>
      </c>
      <c r="O282" s="212">
        <f>ROUNDDOWN(Table12[[#This Row],[R-DEMAND]]/1320,0)</f>
        <v>0</v>
      </c>
      <c r="P282" s="212">
        <f>Table12[[#This Row],[ADD ACC]]*Table12[[#This Row],[RT TIME 
(777-500ER)]]</f>
        <v>0</v>
      </c>
    </row>
    <row r="283" spans="1:16" ht="15.75" customHeight="1" x14ac:dyDescent="0.25">
      <c r="A283" s="212" t="s">
        <v>14747</v>
      </c>
      <c r="B283" s="212" t="s">
        <v>68</v>
      </c>
      <c r="C283" s="212" t="s">
        <v>2</v>
      </c>
      <c r="D283" s="226">
        <v>4</v>
      </c>
      <c r="E283" s="212" t="s">
        <v>14</v>
      </c>
      <c r="F283" s="212" t="s">
        <v>12670</v>
      </c>
      <c r="G283" s="227" t="s">
        <v>12091</v>
      </c>
      <c r="H283" s="228">
        <v>7181</v>
      </c>
      <c r="I283" s="208">
        <v>18.25</v>
      </c>
      <c r="J283" s="211">
        <v>216226412</v>
      </c>
      <c r="K283" s="209">
        <v>66003.178266178264</v>
      </c>
      <c r="L283" s="212">
        <v>3276</v>
      </c>
      <c r="M283" s="212">
        <f>VLOOKUP(Table12[[#This Row],[ROUTE]],DEMAND!A:F,5,FALSE)</f>
        <v>3397</v>
      </c>
      <c r="N283" s="212">
        <f>VLOOKUP(Table12[[#This Row],[ROUTE]],DEMAND!A:F,6,FALSE)</f>
        <v>1197</v>
      </c>
      <c r="O283" s="212">
        <f>ROUNDDOWN(Table12[[#This Row],[R-DEMAND]]/1320,0)</f>
        <v>0</v>
      </c>
      <c r="P283" s="212">
        <f>Table12[[#This Row],[ADD ACC]]*Table12[[#This Row],[RT TIME 
(777-500ER)]]</f>
        <v>0</v>
      </c>
    </row>
    <row r="284" spans="1:16" ht="15.75" customHeight="1" x14ac:dyDescent="0.25">
      <c r="A284" s="212" t="s">
        <v>14745</v>
      </c>
      <c r="B284" s="212" t="s">
        <v>65</v>
      </c>
      <c r="C284" s="212" t="s">
        <v>2</v>
      </c>
      <c r="D284" s="226">
        <v>5</v>
      </c>
      <c r="E284" s="212" t="s">
        <v>14</v>
      </c>
      <c r="F284" s="212" t="s">
        <v>12670</v>
      </c>
      <c r="G284" s="227" t="s">
        <v>11039</v>
      </c>
      <c r="H284" s="228">
        <v>7075</v>
      </c>
      <c r="I284" s="208">
        <v>18</v>
      </c>
      <c r="J284" s="211">
        <v>230884231</v>
      </c>
      <c r="K284" s="209">
        <v>62553.300189650501</v>
      </c>
      <c r="L284" s="212">
        <v>3691</v>
      </c>
      <c r="M284" s="212">
        <f>VLOOKUP(Table12[[#This Row],[ROUTE]],DEMAND!A:F,5,FALSE)</f>
        <v>3926</v>
      </c>
      <c r="N284" s="212">
        <f>VLOOKUP(Table12[[#This Row],[ROUTE]],DEMAND!A:F,6,FALSE)</f>
        <v>626</v>
      </c>
      <c r="O284" s="212">
        <f>ROUNDDOWN(Table12[[#This Row],[R-DEMAND]]/1320,0)</f>
        <v>0</v>
      </c>
      <c r="P284" s="212">
        <f>Table12[[#This Row],[ADD ACC]]*Table12[[#This Row],[RT TIME 
(777-500ER)]]</f>
        <v>0</v>
      </c>
    </row>
    <row r="285" spans="1:16" ht="15.75" customHeight="1" x14ac:dyDescent="0.25">
      <c r="A285" s="212" t="s">
        <v>14725</v>
      </c>
      <c r="B285" s="212" t="s">
        <v>63</v>
      </c>
      <c r="C285" s="212" t="s">
        <v>2</v>
      </c>
      <c r="D285" s="226">
        <v>4</v>
      </c>
      <c r="E285" s="212" t="s">
        <v>14</v>
      </c>
      <c r="F285" s="212" t="s">
        <v>12670</v>
      </c>
      <c r="G285" s="227" t="s">
        <v>62</v>
      </c>
      <c r="H285" s="228">
        <v>6322</v>
      </c>
      <c r="I285" s="208">
        <v>16.25</v>
      </c>
      <c r="J285" s="211">
        <v>210056778</v>
      </c>
      <c r="K285" s="209">
        <v>62910.086253369271</v>
      </c>
      <c r="L285" s="212">
        <v>3339</v>
      </c>
      <c r="M285" s="212">
        <f>VLOOKUP(Table12[[#This Row],[ROUTE]],DEMAND!A:F,5,FALSE)</f>
        <v>3508</v>
      </c>
      <c r="N285" s="212">
        <f>VLOOKUP(Table12[[#This Row],[ROUTE]],DEMAND!A:F,6,FALSE)</f>
        <v>1308</v>
      </c>
      <c r="O285" s="212">
        <f>ROUNDDOWN(Table12[[#This Row],[R-DEMAND]]/1320,0)</f>
        <v>0</v>
      </c>
      <c r="P285" s="212">
        <f>Table12[[#This Row],[ADD ACC]]*Table12[[#This Row],[RT TIME 
(777-500ER)]]</f>
        <v>0</v>
      </c>
    </row>
    <row r="286" spans="1:16" ht="15.75" customHeight="1" x14ac:dyDescent="0.25">
      <c r="A286" s="212" t="s">
        <v>15012</v>
      </c>
      <c r="B286" s="212" t="s">
        <v>3373</v>
      </c>
      <c r="C286" s="212" t="s">
        <v>2</v>
      </c>
      <c r="D286" s="226">
        <v>2</v>
      </c>
      <c r="E286" s="212" t="s">
        <v>1124</v>
      </c>
      <c r="F286" s="212" t="s">
        <v>12671</v>
      </c>
      <c r="G286" s="227" t="s">
        <v>11882</v>
      </c>
      <c r="H286" s="228">
        <v>2882</v>
      </c>
      <c r="I286" s="208">
        <v>8.5</v>
      </c>
      <c r="J286" s="211">
        <v>144011577</v>
      </c>
      <c r="K286" s="209">
        <v>44933.409360374419</v>
      </c>
      <c r="L286" s="212">
        <v>3205</v>
      </c>
      <c r="M286" s="212">
        <f>VLOOKUP(Table12[[#This Row],[ROUTE]],DEMAND!A:F,5,FALSE)</f>
        <v>3420</v>
      </c>
      <c r="N286" s="212">
        <f>VLOOKUP(Table12[[#This Row],[ROUTE]],DEMAND!A:F,6,FALSE)</f>
        <v>1220</v>
      </c>
      <c r="O286" s="212">
        <f>ROUNDDOWN(Table12[[#This Row],[R-DEMAND]]/1320,0)</f>
        <v>0</v>
      </c>
      <c r="P286" s="212">
        <f>Table12[[#This Row],[ADD ACC]]*Table12[[#This Row],[RT TIME 
(777-500ER)]]</f>
        <v>0</v>
      </c>
    </row>
    <row r="287" spans="1:16" ht="15.75" customHeight="1" x14ac:dyDescent="0.25">
      <c r="A287" s="212" t="s">
        <v>14664</v>
      </c>
      <c r="B287" s="212" t="s">
        <v>5277</v>
      </c>
      <c r="C287" s="212" t="s">
        <v>2</v>
      </c>
      <c r="D287" s="226">
        <v>3</v>
      </c>
      <c r="E287" s="212" t="s">
        <v>119</v>
      </c>
      <c r="F287" s="212" t="s">
        <v>12674</v>
      </c>
      <c r="G287" s="227" t="s">
        <v>13251</v>
      </c>
      <c r="H287" s="228">
        <v>5208</v>
      </c>
      <c r="I287" s="208">
        <v>13.75</v>
      </c>
      <c r="J287" s="211">
        <v>190036934</v>
      </c>
      <c r="K287" s="209">
        <v>83975.666813963762</v>
      </c>
      <c r="L287" s="212">
        <v>2263</v>
      </c>
      <c r="M287" s="212">
        <f>VLOOKUP(Table12[[#This Row],[ROUTE]],DEMAND!A:F,5,FALSE)</f>
        <v>2385</v>
      </c>
      <c r="N287" s="212">
        <f>VLOOKUP(Table12[[#This Row],[ROUTE]],DEMAND!A:F,6,FALSE)</f>
        <v>1285</v>
      </c>
      <c r="O287" s="212">
        <f>ROUNDDOWN(Table12[[#This Row],[R-DEMAND]]/1320,0)</f>
        <v>0</v>
      </c>
      <c r="P287" s="212">
        <f>Table12[[#This Row],[ADD ACC]]*Table12[[#This Row],[RT TIME 
(777-500ER)]]</f>
        <v>0</v>
      </c>
    </row>
    <row r="288" spans="1:16" ht="15.75" customHeight="1" x14ac:dyDescent="0.25">
      <c r="A288" s="212" t="s">
        <v>14666</v>
      </c>
      <c r="B288" s="212" t="s">
        <v>5536</v>
      </c>
      <c r="C288" s="212" t="s">
        <v>2</v>
      </c>
      <c r="D288" s="226">
        <v>4</v>
      </c>
      <c r="E288" s="212" t="s">
        <v>119</v>
      </c>
      <c r="F288" s="212" t="s">
        <v>12674</v>
      </c>
      <c r="G288" s="227" t="s">
        <v>13253</v>
      </c>
      <c r="H288" s="228">
        <v>5261</v>
      </c>
      <c r="I288" s="208">
        <v>14</v>
      </c>
      <c r="J288" s="211">
        <v>198484489</v>
      </c>
      <c r="K288" s="209">
        <v>81815.535449299263</v>
      </c>
      <c r="L288" s="212">
        <v>2426</v>
      </c>
      <c r="M288" s="212">
        <f>VLOOKUP(Table12[[#This Row],[ROUTE]],DEMAND!A:F,5,FALSE)</f>
        <v>2581</v>
      </c>
      <c r="N288" s="212">
        <f>VLOOKUP(Table12[[#This Row],[ROUTE]],DEMAND!A:F,6,FALSE)</f>
        <v>381</v>
      </c>
      <c r="O288" s="212">
        <f>ROUNDDOWN(Table12[[#This Row],[R-DEMAND]]/1320,0)</f>
        <v>0</v>
      </c>
      <c r="P288" s="212">
        <f>Table12[[#This Row],[ADD ACC]]*Table12[[#This Row],[RT TIME 
(777-500ER)]]</f>
        <v>0</v>
      </c>
    </row>
    <row r="289" spans="1:16" ht="15.75" customHeight="1" x14ac:dyDescent="0.25">
      <c r="A289" s="212" t="s">
        <v>14798</v>
      </c>
      <c r="B289" s="212" t="s">
        <v>58</v>
      </c>
      <c r="C289" s="212" t="s">
        <v>2</v>
      </c>
      <c r="D289" s="226">
        <v>4</v>
      </c>
      <c r="E289" s="212" t="s">
        <v>502</v>
      </c>
      <c r="F289" s="212" t="s">
        <v>12670</v>
      </c>
      <c r="G289" s="227" t="s">
        <v>11038</v>
      </c>
      <c r="H289" s="228">
        <v>2419</v>
      </c>
      <c r="I289" s="208">
        <v>7.5</v>
      </c>
      <c r="J289" s="211">
        <v>171051914</v>
      </c>
      <c r="K289" s="209">
        <v>46468.870958978536</v>
      </c>
      <c r="L289" s="212">
        <v>3681</v>
      </c>
      <c r="M289" s="212">
        <f>VLOOKUP(Table12[[#This Row],[ROUTE]],DEMAND!A:F,5,FALSE)</f>
        <v>3842</v>
      </c>
      <c r="N289" s="212">
        <f>VLOOKUP(Table12[[#This Row],[ROUTE]],DEMAND!A:F,6,FALSE)</f>
        <v>542</v>
      </c>
      <c r="O289" s="212">
        <f>ROUNDDOWN(Table12[[#This Row],[R-DEMAND]]/1320,0)</f>
        <v>0</v>
      </c>
      <c r="P289" s="212">
        <f>Table12[[#This Row],[ADD ACC]]*Table12[[#This Row],[RT TIME 
(777-500ER)]]</f>
        <v>0</v>
      </c>
    </row>
    <row r="290" spans="1:16" ht="15.75" customHeight="1" x14ac:dyDescent="0.25">
      <c r="A290" s="212" t="s">
        <v>14462</v>
      </c>
      <c r="B290" s="212" t="s">
        <v>5269</v>
      </c>
      <c r="C290" s="212" t="s">
        <v>2</v>
      </c>
      <c r="D290" s="226">
        <v>3</v>
      </c>
      <c r="E290" s="212" t="s">
        <v>1749</v>
      </c>
      <c r="F290" s="212" t="s">
        <v>12688</v>
      </c>
      <c r="G290" s="227" t="s">
        <v>13213</v>
      </c>
      <c r="H290" s="228">
        <v>9949</v>
      </c>
      <c r="I290" s="208">
        <v>24.5</v>
      </c>
      <c r="J290" s="211">
        <v>236154076</v>
      </c>
      <c r="K290" s="209">
        <v>81799.125736058195</v>
      </c>
      <c r="L290" s="212">
        <v>2887</v>
      </c>
      <c r="M290" s="212">
        <f>VLOOKUP(Table12[[#This Row],[ROUTE]],DEMAND!A:F,5,FALSE)</f>
        <v>3071</v>
      </c>
      <c r="N290" s="212">
        <f>VLOOKUP(Table12[[#This Row],[ROUTE]],DEMAND!A:F,6,FALSE)</f>
        <v>871</v>
      </c>
      <c r="O290" s="212">
        <f>ROUNDDOWN(Table12[[#This Row],[R-DEMAND]]/1320,0)</f>
        <v>0</v>
      </c>
      <c r="P290" s="212">
        <f>Table12[[#This Row],[ADD ACC]]*Table12[[#This Row],[RT TIME 
(777-500ER)]]</f>
        <v>0</v>
      </c>
    </row>
    <row r="291" spans="1:16" ht="15.75" customHeight="1" x14ac:dyDescent="0.25">
      <c r="A291" s="212" t="s">
        <v>15038</v>
      </c>
      <c r="B291" s="212" t="s">
        <v>5171</v>
      </c>
      <c r="C291" s="212" t="s">
        <v>2</v>
      </c>
      <c r="D291" s="226">
        <v>3</v>
      </c>
      <c r="E291" s="212" t="s">
        <v>4549</v>
      </c>
      <c r="F291" s="212" t="s">
        <v>12671</v>
      </c>
      <c r="G291" s="227" t="s">
        <v>11792</v>
      </c>
      <c r="H291" s="228">
        <v>3175</v>
      </c>
      <c r="I291" s="208">
        <v>9.25</v>
      </c>
      <c r="J291" s="211">
        <v>166073833</v>
      </c>
      <c r="K291" s="209">
        <v>50818.186352509183</v>
      </c>
      <c r="L291" s="212">
        <v>3268</v>
      </c>
      <c r="M291" s="212">
        <f>VLOOKUP(Table12[[#This Row],[ROUTE]],DEMAND!A:F,5,FALSE)</f>
        <v>3411</v>
      </c>
      <c r="N291" s="212">
        <f>VLOOKUP(Table12[[#This Row],[ROUTE]],DEMAND!A:F,6,FALSE)</f>
        <v>1211</v>
      </c>
      <c r="O291" s="212">
        <f>ROUNDDOWN(Table12[[#This Row],[R-DEMAND]]/1320,0)</f>
        <v>0</v>
      </c>
      <c r="P291" s="212">
        <f>Table12[[#This Row],[ADD ACC]]*Table12[[#This Row],[RT TIME 
(777-500ER)]]</f>
        <v>0</v>
      </c>
    </row>
    <row r="292" spans="1:16" ht="15.75" customHeight="1" x14ac:dyDescent="0.25">
      <c r="A292" s="212" t="s">
        <v>14473</v>
      </c>
      <c r="B292" s="212" t="s">
        <v>5070</v>
      </c>
      <c r="C292" s="212" t="s">
        <v>2</v>
      </c>
      <c r="D292" s="226">
        <v>3</v>
      </c>
      <c r="E292" s="212" t="s">
        <v>1749</v>
      </c>
      <c r="F292" s="212" t="s">
        <v>12688</v>
      </c>
      <c r="G292" s="227" t="s">
        <v>13224</v>
      </c>
      <c r="H292" s="228">
        <v>10791</v>
      </c>
      <c r="I292" s="208">
        <v>26.25</v>
      </c>
      <c r="J292" s="211">
        <v>240051679</v>
      </c>
      <c r="K292" s="209">
        <v>79277.304821664467</v>
      </c>
      <c r="L292" s="212">
        <v>3028</v>
      </c>
      <c r="M292" s="212">
        <f>VLOOKUP(Table12[[#This Row],[ROUTE]],DEMAND!A:F,5,FALSE)</f>
        <v>3201</v>
      </c>
      <c r="N292" s="212">
        <f>VLOOKUP(Table12[[#This Row],[ROUTE]],DEMAND!A:F,6,FALSE)</f>
        <v>1001</v>
      </c>
      <c r="O292" s="212">
        <f>ROUNDDOWN(Table12[[#This Row],[R-DEMAND]]/1320,0)</f>
        <v>0</v>
      </c>
      <c r="P292" s="212">
        <f>Table12[[#This Row],[ADD ACC]]*Table12[[#This Row],[RT TIME 
(777-500ER)]]</f>
        <v>0</v>
      </c>
    </row>
    <row r="293" spans="1:16" ht="15.75" customHeight="1" x14ac:dyDescent="0.25">
      <c r="A293" s="212" t="s">
        <v>14525</v>
      </c>
      <c r="B293" s="212" t="s">
        <v>5475</v>
      </c>
      <c r="C293" s="212" t="s">
        <v>2</v>
      </c>
      <c r="D293" s="226">
        <v>4</v>
      </c>
      <c r="E293" s="212" t="s">
        <v>560</v>
      </c>
      <c r="F293" s="212" t="s">
        <v>12674</v>
      </c>
      <c r="G293" s="227" t="s">
        <v>11037</v>
      </c>
      <c r="H293" s="228">
        <v>2900</v>
      </c>
      <c r="I293" s="208">
        <v>8.75</v>
      </c>
      <c r="J293" s="211">
        <v>174089256</v>
      </c>
      <c r="K293" s="209">
        <v>69859.252006420546</v>
      </c>
      <c r="L293" s="212">
        <v>2492</v>
      </c>
      <c r="M293" s="212">
        <f>VLOOKUP(Table12[[#This Row],[ROUTE]],DEMAND!A:F,5,FALSE)</f>
        <v>2626</v>
      </c>
      <c r="N293" s="212">
        <f>VLOOKUP(Table12[[#This Row],[ROUTE]],DEMAND!A:F,6,FALSE)</f>
        <v>426</v>
      </c>
      <c r="O293" s="212">
        <f>ROUNDDOWN(Table12[[#This Row],[R-DEMAND]]/1320,0)</f>
        <v>0</v>
      </c>
      <c r="P293" s="212">
        <f>Table12[[#This Row],[ADD ACC]]*Table12[[#This Row],[RT TIME 
(777-500ER)]]</f>
        <v>0</v>
      </c>
    </row>
    <row r="294" spans="1:16" ht="15.75" customHeight="1" x14ac:dyDescent="0.25">
      <c r="A294" s="212" t="s">
        <v>14807</v>
      </c>
      <c r="B294" s="212" t="s">
        <v>55</v>
      </c>
      <c r="C294" s="212" t="s">
        <v>2</v>
      </c>
      <c r="D294" s="226">
        <v>4</v>
      </c>
      <c r="E294" s="212" t="s">
        <v>1216</v>
      </c>
      <c r="F294" s="212" t="s">
        <v>12670</v>
      </c>
      <c r="G294" s="227" t="s">
        <v>11036</v>
      </c>
      <c r="H294" s="228">
        <v>2613</v>
      </c>
      <c r="I294" s="208">
        <v>8</v>
      </c>
      <c r="J294" s="211">
        <v>175481038</v>
      </c>
      <c r="K294" s="209">
        <v>53451.427962229667</v>
      </c>
      <c r="L294" s="212">
        <v>3283</v>
      </c>
      <c r="M294" s="212">
        <f>VLOOKUP(Table12[[#This Row],[ROUTE]],DEMAND!A:F,5,FALSE)</f>
        <v>3439</v>
      </c>
      <c r="N294" s="212">
        <f>VLOOKUP(Table12[[#This Row],[ROUTE]],DEMAND!A:F,6,FALSE)</f>
        <v>1239</v>
      </c>
      <c r="O294" s="212">
        <f>ROUNDDOWN(Table12[[#This Row],[R-DEMAND]]/1320,0)</f>
        <v>0</v>
      </c>
      <c r="P294" s="212">
        <f>Table12[[#This Row],[ADD ACC]]*Table12[[#This Row],[RT TIME 
(777-500ER)]]</f>
        <v>0</v>
      </c>
    </row>
    <row r="295" spans="1:16" ht="15.75" customHeight="1" x14ac:dyDescent="0.25">
      <c r="A295" s="212" t="s">
        <v>14764</v>
      </c>
      <c r="B295" s="212" t="s">
        <v>52</v>
      </c>
      <c r="C295" s="212" t="s">
        <v>2</v>
      </c>
      <c r="D295" s="226">
        <v>3</v>
      </c>
      <c r="E295" s="212" t="s">
        <v>14</v>
      </c>
      <c r="F295" s="212" t="s">
        <v>12670</v>
      </c>
      <c r="G295" s="227" t="s">
        <v>12033</v>
      </c>
      <c r="H295" s="228">
        <v>6082</v>
      </c>
      <c r="I295" s="208">
        <v>15.75</v>
      </c>
      <c r="J295" s="211">
        <v>201753628</v>
      </c>
      <c r="K295" s="209">
        <v>63424.592266582833</v>
      </c>
      <c r="L295" s="212">
        <v>3181</v>
      </c>
      <c r="M295" s="212">
        <f>VLOOKUP(Table12[[#This Row],[ROUTE]],DEMAND!A:F,5,FALSE)</f>
        <v>3341</v>
      </c>
      <c r="N295" s="212">
        <f>VLOOKUP(Table12[[#This Row],[ROUTE]],DEMAND!A:F,6,FALSE)</f>
        <v>1141</v>
      </c>
      <c r="O295" s="212">
        <f>ROUNDDOWN(Table12[[#This Row],[R-DEMAND]]/1320,0)</f>
        <v>0</v>
      </c>
      <c r="P295" s="212">
        <f>Table12[[#This Row],[ADD ACC]]*Table12[[#This Row],[RT TIME 
(777-500ER)]]</f>
        <v>0</v>
      </c>
    </row>
    <row r="296" spans="1:16" ht="15.75" customHeight="1" x14ac:dyDescent="0.25">
      <c r="A296" s="212" t="s">
        <v>14379</v>
      </c>
      <c r="B296" s="212" t="s">
        <v>5647</v>
      </c>
      <c r="C296" s="212" t="s">
        <v>2</v>
      </c>
      <c r="D296" s="226">
        <v>4</v>
      </c>
      <c r="E296" s="212" t="s">
        <v>647</v>
      </c>
      <c r="F296" s="212" t="s">
        <v>12688</v>
      </c>
      <c r="G296" s="227" t="s">
        <v>13366</v>
      </c>
      <c r="H296" s="228">
        <v>9165</v>
      </c>
      <c r="I296" s="208">
        <v>22.75</v>
      </c>
      <c r="J296" s="211">
        <v>247856713</v>
      </c>
      <c r="K296" s="209">
        <v>102462.46920214964</v>
      </c>
      <c r="L296" s="212">
        <v>2419</v>
      </c>
      <c r="M296" s="212">
        <f>VLOOKUP(Table12[[#This Row],[ROUTE]],DEMAND!A:F,5,FALSE)</f>
        <v>2533</v>
      </c>
      <c r="N296" s="212">
        <f>VLOOKUP(Table12[[#This Row],[ROUTE]],DEMAND!A:F,6,FALSE)</f>
        <v>333</v>
      </c>
      <c r="O296" s="212">
        <f>ROUNDDOWN(Table12[[#This Row],[R-DEMAND]]/1320,0)</f>
        <v>0</v>
      </c>
      <c r="P296" s="212">
        <f>Table12[[#This Row],[ADD ACC]]*Table12[[#This Row],[RT TIME 
(777-500ER)]]</f>
        <v>0</v>
      </c>
    </row>
    <row r="297" spans="1:16" ht="15.75" customHeight="1" x14ac:dyDescent="0.25">
      <c r="A297" s="212" t="s">
        <v>14903</v>
      </c>
      <c r="B297" s="212" t="s">
        <v>47</v>
      </c>
      <c r="C297" s="212" t="s">
        <v>2</v>
      </c>
      <c r="D297" s="226">
        <v>5</v>
      </c>
      <c r="E297" s="212" t="s">
        <v>46</v>
      </c>
      <c r="F297" s="212" t="s">
        <v>12670</v>
      </c>
      <c r="G297" s="227" t="s">
        <v>45</v>
      </c>
      <c r="H297" s="228">
        <v>7327</v>
      </c>
      <c r="I297" s="208">
        <v>18.5</v>
      </c>
      <c r="J297" s="211">
        <v>234980194</v>
      </c>
      <c r="K297" s="209">
        <v>76441.182173064415</v>
      </c>
      <c r="L297" s="212">
        <v>3074</v>
      </c>
      <c r="M297" s="212">
        <f>VLOOKUP(Table12[[#This Row],[ROUTE]],DEMAND!A:F,5,FALSE)</f>
        <v>3229</v>
      </c>
      <c r="N297" s="212">
        <f>VLOOKUP(Table12[[#This Row],[ROUTE]],DEMAND!A:F,6,FALSE)</f>
        <v>1029</v>
      </c>
      <c r="O297" s="212">
        <f>ROUNDDOWN(Table12[[#This Row],[R-DEMAND]]/1320,0)</f>
        <v>0</v>
      </c>
      <c r="P297" s="212">
        <f>Table12[[#This Row],[ADD ACC]]*Table12[[#This Row],[RT TIME 
(777-500ER)]]</f>
        <v>0</v>
      </c>
    </row>
    <row r="298" spans="1:16" ht="15.75" customHeight="1" x14ac:dyDescent="0.25">
      <c r="A298" s="212" t="s">
        <v>14259</v>
      </c>
      <c r="B298" s="212" t="s">
        <v>3442</v>
      </c>
      <c r="C298" s="212" t="s">
        <v>2</v>
      </c>
      <c r="D298" s="226">
        <v>2</v>
      </c>
      <c r="E298" s="212" t="s">
        <v>714</v>
      </c>
      <c r="F298" s="212" t="s">
        <v>12694</v>
      </c>
      <c r="G298" s="227" t="s">
        <v>13235</v>
      </c>
      <c r="H298" s="228">
        <v>12432</v>
      </c>
      <c r="I298" s="208">
        <v>30</v>
      </c>
      <c r="J298" s="211">
        <v>240631111</v>
      </c>
      <c r="K298" s="209">
        <v>83263.360207612452</v>
      </c>
      <c r="L298" s="212">
        <v>2890</v>
      </c>
      <c r="M298" s="212">
        <f>VLOOKUP(Table12[[#This Row],[ROUTE]],DEMAND!A:F,5,FALSE)</f>
        <v>3046</v>
      </c>
      <c r="N298" s="212">
        <f>VLOOKUP(Table12[[#This Row],[ROUTE]],DEMAND!A:F,6,FALSE)</f>
        <v>-254</v>
      </c>
      <c r="O298" s="212">
        <f>ROUNDDOWN(Table12[[#This Row],[R-DEMAND]]/1320,0)</f>
        <v>0</v>
      </c>
      <c r="P298" s="212">
        <f>Table12[[#This Row],[ADD ACC]]*Table12[[#This Row],[RT TIME 
(777-500ER)]]</f>
        <v>0</v>
      </c>
    </row>
    <row r="299" spans="1:16" ht="15.75" customHeight="1" x14ac:dyDescent="0.25">
      <c r="A299" s="212" t="s">
        <v>14781</v>
      </c>
      <c r="B299" s="212" t="s">
        <v>44</v>
      </c>
      <c r="C299" s="212" t="s">
        <v>2</v>
      </c>
      <c r="D299" s="226">
        <v>3</v>
      </c>
      <c r="E299" s="212" t="s">
        <v>1070</v>
      </c>
      <c r="F299" s="212" t="s">
        <v>12670</v>
      </c>
      <c r="G299" s="227" t="s">
        <v>12072</v>
      </c>
      <c r="H299" s="228">
        <v>6240</v>
      </c>
      <c r="I299" s="208">
        <v>16</v>
      </c>
      <c r="J299" s="211">
        <v>195473892</v>
      </c>
      <c r="K299" s="209">
        <v>53879.242557883132</v>
      </c>
      <c r="L299" s="212">
        <v>3628</v>
      </c>
      <c r="M299" s="212">
        <f>VLOOKUP(Table12[[#This Row],[ROUTE]],DEMAND!A:F,5,FALSE)</f>
        <v>3787</v>
      </c>
      <c r="N299" s="212">
        <f>VLOOKUP(Table12[[#This Row],[ROUTE]],DEMAND!A:F,6,FALSE)</f>
        <v>487</v>
      </c>
      <c r="O299" s="212">
        <f>ROUNDDOWN(Table12[[#This Row],[R-DEMAND]]/1320,0)</f>
        <v>0</v>
      </c>
      <c r="P299" s="212">
        <f>Table12[[#This Row],[ADD ACC]]*Table12[[#This Row],[RT TIME 
(777-500ER)]]</f>
        <v>0</v>
      </c>
    </row>
    <row r="300" spans="1:16" ht="15.75" customHeight="1" x14ac:dyDescent="0.25">
      <c r="A300" s="212" t="s">
        <v>14756</v>
      </c>
      <c r="B300" s="212" t="s">
        <v>42</v>
      </c>
      <c r="C300" s="212" t="s">
        <v>2</v>
      </c>
      <c r="D300" s="226">
        <v>3</v>
      </c>
      <c r="E300" s="212" t="s">
        <v>14</v>
      </c>
      <c r="F300" s="212" t="s">
        <v>12670</v>
      </c>
      <c r="G300" s="227" t="s">
        <v>12023</v>
      </c>
      <c r="H300" s="228">
        <v>5908</v>
      </c>
      <c r="I300" s="208">
        <v>15.25</v>
      </c>
      <c r="J300" s="211">
        <v>199876382</v>
      </c>
      <c r="K300" s="209">
        <v>62913.560591753223</v>
      </c>
      <c r="L300" s="212">
        <v>3177</v>
      </c>
      <c r="M300" s="212">
        <f>VLOOKUP(Table12[[#This Row],[ROUTE]],DEMAND!A:F,5,FALSE)</f>
        <v>3306</v>
      </c>
      <c r="N300" s="212">
        <f>VLOOKUP(Table12[[#This Row],[ROUTE]],DEMAND!A:F,6,FALSE)</f>
        <v>1106</v>
      </c>
      <c r="O300" s="212">
        <f>ROUNDDOWN(Table12[[#This Row],[R-DEMAND]]/1320,0)</f>
        <v>0</v>
      </c>
      <c r="P300" s="212">
        <f>Table12[[#This Row],[ADD ACC]]*Table12[[#This Row],[RT TIME 
(777-500ER)]]</f>
        <v>0</v>
      </c>
    </row>
    <row r="301" spans="1:16" ht="15.75" customHeight="1" x14ac:dyDescent="0.25">
      <c r="A301" s="212" t="s">
        <v>15088</v>
      </c>
      <c r="B301" s="212" t="s">
        <v>5295</v>
      </c>
      <c r="C301" s="212" t="s">
        <v>2</v>
      </c>
      <c r="D301" s="226">
        <v>3</v>
      </c>
      <c r="E301" s="212" t="s">
        <v>971</v>
      </c>
      <c r="F301" s="212" t="s">
        <v>12671</v>
      </c>
      <c r="G301" s="227" t="s">
        <v>11767</v>
      </c>
      <c r="H301" s="228">
        <v>2931</v>
      </c>
      <c r="I301" s="208">
        <v>8.75</v>
      </c>
      <c r="J301" s="211">
        <v>166533854</v>
      </c>
      <c r="K301" s="209">
        <v>45839.211120286265</v>
      </c>
      <c r="L301" s="212">
        <v>3633</v>
      </c>
      <c r="M301" s="212">
        <f>VLOOKUP(Table12[[#This Row],[ROUTE]],DEMAND!A:F,5,FALSE)</f>
        <v>3804</v>
      </c>
      <c r="N301" s="212">
        <f>VLOOKUP(Table12[[#This Row],[ROUTE]],DEMAND!A:F,6,FALSE)</f>
        <v>504</v>
      </c>
      <c r="O301" s="212">
        <f>ROUNDDOWN(Table12[[#This Row],[R-DEMAND]]/1320,0)</f>
        <v>0</v>
      </c>
      <c r="P301" s="212">
        <f>Table12[[#This Row],[ADD ACC]]*Table12[[#This Row],[RT TIME 
(777-500ER)]]</f>
        <v>0</v>
      </c>
    </row>
    <row r="302" spans="1:16" ht="15.75" customHeight="1" x14ac:dyDescent="0.25">
      <c r="A302" s="212" t="s">
        <v>14530</v>
      </c>
      <c r="B302" s="212" t="s">
        <v>5631</v>
      </c>
      <c r="C302" s="212" t="s">
        <v>2</v>
      </c>
      <c r="D302" s="226">
        <v>4</v>
      </c>
      <c r="E302" s="212" t="s">
        <v>1427</v>
      </c>
      <c r="F302" s="212" t="s">
        <v>12674</v>
      </c>
      <c r="G302" s="227" t="s">
        <v>11034</v>
      </c>
      <c r="H302" s="228">
        <v>1631</v>
      </c>
      <c r="I302" s="208">
        <v>5.75</v>
      </c>
      <c r="J302" s="211">
        <v>169292644</v>
      </c>
      <c r="K302" s="209">
        <v>64223.309559939305</v>
      </c>
      <c r="L302" s="212">
        <v>2636</v>
      </c>
      <c r="M302" s="212">
        <f>VLOOKUP(Table12[[#This Row],[ROUTE]],DEMAND!A:F,5,FALSE)</f>
        <v>2787</v>
      </c>
      <c r="N302" s="212">
        <f>VLOOKUP(Table12[[#This Row],[ROUTE]],DEMAND!A:F,6,FALSE)</f>
        <v>587</v>
      </c>
      <c r="O302" s="212">
        <f>ROUNDDOWN(Table12[[#This Row],[R-DEMAND]]/1320,0)</f>
        <v>0</v>
      </c>
      <c r="P302" s="212">
        <f>Table12[[#This Row],[ADD ACC]]*Table12[[#This Row],[RT TIME 
(777-500ER)]]</f>
        <v>0</v>
      </c>
    </row>
    <row r="303" spans="1:16" ht="15.75" customHeight="1" x14ac:dyDescent="0.25">
      <c r="A303" s="212" t="s">
        <v>14750</v>
      </c>
      <c r="B303" s="212" t="s">
        <v>5331</v>
      </c>
      <c r="C303" s="212" t="s">
        <v>2</v>
      </c>
      <c r="D303" s="226">
        <v>3</v>
      </c>
      <c r="E303" s="212" t="s">
        <v>14</v>
      </c>
      <c r="F303" s="212" t="s">
        <v>12670</v>
      </c>
      <c r="G303" s="227" t="s">
        <v>12032</v>
      </c>
      <c r="H303" s="228">
        <v>5730</v>
      </c>
      <c r="I303" s="208">
        <v>15</v>
      </c>
      <c r="J303" s="211">
        <v>195573792</v>
      </c>
      <c r="K303" s="209">
        <v>62824.860905878573</v>
      </c>
      <c r="L303" s="212">
        <v>3113</v>
      </c>
      <c r="M303" s="212">
        <f>VLOOKUP(Table12[[#This Row],[ROUTE]],DEMAND!A:F,5,FALSE)</f>
        <v>3270</v>
      </c>
      <c r="N303" s="212">
        <f>VLOOKUP(Table12[[#This Row],[ROUTE]],DEMAND!A:F,6,FALSE)</f>
        <v>1070</v>
      </c>
      <c r="O303" s="212">
        <f>ROUNDDOWN(Table12[[#This Row],[R-DEMAND]]/1320,0)</f>
        <v>0</v>
      </c>
      <c r="P303" s="212">
        <f>Table12[[#This Row],[ADD ACC]]*Table12[[#This Row],[RT TIME 
(777-500ER)]]</f>
        <v>0</v>
      </c>
    </row>
    <row r="304" spans="1:16" ht="15.75" customHeight="1" x14ac:dyDescent="0.25">
      <c r="A304" s="212" t="s">
        <v>14849</v>
      </c>
      <c r="B304" s="212" t="s">
        <v>3628</v>
      </c>
      <c r="C304" s="212" t="s">
        <v>2</v>
      </c>
      <c r="D304" s="226">
        <v>2</v>
      </c>
      <c r="E304" s="212" t="s">
        <v>197</v>
      </c>
      <c r="F304" s="212" t="s">
        <v>12670</v>
      </c>
      <c r="G304" s="227" t="s">
        <v>12003</v>
      </c>
      <c r="H304" s="228">
        <v>3613</v>
      </c>
      <c r="I304" s="208">
        <v>10.25</v>
      </c>
      <c r="J304" s="211">
        <v>154203687</v>
      </c>
      <c r="K304" s="209">
        <v>40644.092514496573</v>
      </c>
      <c r="L304" s="212">
        <v>3794</v>
      </c>
      <c r="M304" s="212">
        <f>VLOOKUP(Table12[[#This Row],[ROUTE]],DEMAND!A:F,5,FALSE)</f>
        <v>4024</v>
      </c>
      <c r="N304" s="212">
        <f>VLOOKUP(Table12[[#This Row],[ROUTE]],DEMAND!A:F,6,FALSE)</f>
        <v>724</v>
      </c>
      <c r="O304" s="212">
        <f>ROUNDDOWN(Table12[[#This Row],[R-DEMAND]]/1320,0)</f>
        <v>0</v>
      </c>
      <c r="P304" s="212">
        <f>Table12[[#This Row],[ADD ACC]]*Table12[[#This Row],[RT TIME 
(777-500ER)]]</f>
        <v>0</v>
      </c>
    </row>
    <row r="305" spans="1:16" ht="15.75" customHeight="1" x14ac:dyDescent="0.25">
      <c r="A305" s="212" t="s">
        <v>14251</v>
      </c>
      <c r="B305" s="212" t="s">
        <v>5336</v>
      </c>
      <c r="C305" s="212" t="s">
        <v>2</v>
      </c>
      <c r="D305" s="226">
        <v>3</v>
      </c>
      <c r="E305" s="212" t="s">
        <v>2293</v>
      </c>
      <c r="F305" s="212" t="s">
        <v>12694</v>
      </c>
      <c r="G305" s="227" t="s">
        <v>13201</v>
      </c>
      <c r="H305" s="228">
        <v>11649</v>
      </c>
      <c r="I305" s="208">
        <v>28.25</v>
      </c>
      <c r="J305" s="211">
        <v>256177099</v>
      </c>
      <c r="K305" s="209">
        <v>67951.485145888597</v>
      </c>
      <c r="L305" s="212">
        <v>3770</v>
      </c>
      <c r="M305" s="212">
        <f>VLOOKUP(Table12[[#This Row],[ROUTE]],DEMAND!A:F,5,FALSE)</f>
        <v>3897</v>
      </c>
      <c r="N305" s="212">
        <f>VLOOKUP(Table12[[#This Row],[ROUTE]],DEMAND!A:F,6,FALSE)</f>
        <v>597</v>
      </c>
      <c r="O305" s="212">
        <f>ROUNDDOWN(Table12[[#This Row],[R-DEMAND]]/1320,0)</f>
        <v>0</v>
      </c>
      <c r="P305" s="212">
        <f>Table12[[#This Row],[ADD ACC]]*Table12[[#This Row],[RT TIME 
(777-500ER)]]</f>
        <v>0</v>
      </c>
    </row>
    <row r="306" spans="1:16" ht="15.75" customHeight="1" x14ac:dyDescent="0.25">
      <c r="A306" s="212" t="s">
        <v>14793</v>
      </c>
      <c r="B306" s="212" t="s">
        <v>37</v>
      </c>
      <c r="C306" s="212" t="s">
        <v>2</v>
      </c>
      <c r="D306" s="226">
        <v>3</v>
      </c>
      <c r="E306" s="212" t="s">
        <v>1261</v>
      </c>
      <c r="F306" s="212" t="s">
        <v>12670</v>
      </c>
      <c r="G306" s="227" t="s">
        <v>12110</v>
      </c>
      <c r="H306" s="228">
        <v>9949</v>
      </c>
      <c r="I306" s="208">
        <v>24.5</v>
      </c>
      <c r="J306" s="211">
        <v>235954066</v>
      </c>
      <c r="K306" s="209">
        <v>67666.781187266984</v>
      </c>
      <c r="L306" s="212">
        <v>3487</v>
      </c>
      <c r="M306" s="212">
        <f>VLOOKUP(Table12[[#This Row],[ROUTE]],DEMAND!A:F,5,FALSE)</f>
        <v>3697</v>
      </c>
      <c r="N306" s="212">
        <f>VLOOKUP(Table12[[#This Row],[ROUTE]],DEMAND!A:F,6,FALSE)</f>
        <v>397</v>
      </c>
      <c r="O306" s="212">
        <f>ROUNDDOWN(Table12[[#This Row],[R-DEMAND]]/1320,0)</f>
        <v>0</v>
      </c>
      <c r="P306" s="212">
        <f>Table12[[#This Row],[ADD ACC]]*Table12[[#This Row],[RT TIME 
(777-500ER)]]</f>
        <v>0</v>
      </c>
    </row>
    <row r="307" spans="1:16" ht="15.75" customHeight="1" x14ac:dyDescent="0.25">
      <c r="A307" s="212" t="s">
        <v>14705</v>
      </c>
      <c r="B307" s="212" t="s">
        <v>34</v>
      </c>
      <c r="C307" s="212" t="s">
        <v>2</v>
      </c>
      <c r="D307" s="226">
        <v>4</v>
      </c>
      <c r="E307" s="212" t="s">
        <v>14</v>
      </c>
      <c r="F307" s="212" t="s">
        <v>12670</v>
      </c>
      <c r="G307" s="227" t="s">
        <v>33</v>
      </c>
      <c r="H307" s="228">
        <v>3699</v>
      </c>
      <c r="I307" s="208">
        <v>10.5</v>
      </c>
      <c r="J307" s="211">
        <v>179247561</v>
      </c>
      <c r="K307" s="209">
        <v>48133.072234156818</v>
      </c>
      <c r="L307" s="212">
        <v>3724</v>
      </c>
      <c r="M307" s="212">
        <f>VLOOKUP(Table12[[#This Row],[ROUTE]],DEMAND!A:F,5,FALSE)</f>
        <v>3901</v>
      </c>
      <c r="N307" s="212">
        <f>VLOOKUP(Table12[[#This Row],[ROUTE]],DEMAND!A:F,6,FALSE)</f>
        <v>601</v>
      </c>
      <c r="O307" s="212">
        <f>ROUNDDOWN(Table12[[#This Row],[R-DEMAND]]/1320,0)</f>
        <v>0</v>
      </c>
      <c r="P307" s="212">
        <f>Table12[[#This Row],[ADD ACC]]*Table12[[#This Row],[RT TIME 
(777-500ER)]]</f>
        <v>0</v>
      </c>
    </row>
    <row r="308" spans="1:16" ht="15.75" customHeight="1" x14ac:dyDescent="0.25">
      <c r="A308" s="212" t="s">
        <v>14642</v>
      </c>
      <c r="B308" s="212" t="s">
        <v>4181</v>
      </c>
      <c r="C308" s="212" t="s">
        <v>2</v>
      </c>
      <c r="D308" s="226">
        <v>2</v>
      </c>
      <c r="E308" s="212" t="s">
        <v>78</v>
      </c>
      <c r="F308" s="212" t="s">
        <v>12674</v>
      </c>
      <c r="G308" s="227" t="s">
        <v>11962</v>
      </c>
      <c r="H308" s="228">
        <v>6660</v>
      </c>
      <c r="I308" s="208">
        <v>17</v>
      </c>
      <c r="J308" s="211">
        <v>187425418</v>
      </c>
      <c r="K308" s="209">
        <v>72701.868890612881</v>
      </c>
      <c r="L308" s="212">
        <v>2578</v>
      </c>
      <c r="M308" s="212">
        <f>VLOOKUP(Table12[[#This Row],[ROUTE]],DEMAND!A:F,5,FALSE)</f>
        <v>2708</v>
      </c>
      <c r="N308" s="212">
        <f>VLOOKUP(Table12[[#This Row],[ROUTE]],DEMAND!A:F,6,FALSE)</f>
        <v>508</v>
      </c>
      <c r="O308" s="212">
        <f>ROUNDDOWN(Table12[[#This Row],[R-DEMAND]]/1320,0)</f>
        <v>0</v>
      </c>
      <c r="P308" s="212">
        <f>Table12[[#This Row],[ADD ACC]]*Table12[[#This Row],[RT TIME 
(777-500ER)]]</f>
        <v>0</v>
      </c>
    </row>
    <row r="309" spans="1:16" ht="15.75" customHeight="1" x14ac:dyDescent="0.25">
      <c r="A309" s="212" t="s">
        <v>14557</v>
      </c>
      <c r="B309" s="212" t="s">
        <v>5473</v>
      </c>
      <c r="C309" s="212" t="s">
        <v>2</v>
      </c>
      <c r="D309" s="226">
        <v>4</v>
      </c>
      <c r="E309" s="212" t="s">
        <v>308</v>
      </c>
      <c r="F309" s="212" t="s">
        <v>12674</v>
      </c>
      <c r="G309" s="227" t="s">
        <v>11032</v>
      </c>
      <c r="H309" s="228">
        <v>2100</v>
      </c>
      <c r="I309" s="208">
        <v>6.75</v>
      </c>
      <c r="J309" s="211">
        <v>164726324</v>
      </c>
      <c r="K309" s="209">
        <v>66636.86245954693</v>
      </c>
      <c r="L309" s="212">
        <v>2472</v>
      </c>
      <c r="M309" s="212">
        <f>VLOOKUP(Table12[[#This Row],[ROUTE]],DEMAND!A:F,5,FALSE)</f>
        <v>2556</v>
      </c>
      <c r="N309" s="212">
        <f>VLOOKUP(Table12[[#This Row],[ROUTE]],DEMAND!A:F,6,FALSE)</f>
        <v>356</v>
      </c>
      <c r="O309" s="212">
        <f>ROUNDDOWN(Table12[[#This Row],[R-DEMAND]]/1320,0)</f>
        <v>0</v>
      </c>
      <c r="P309" s="212">
        <f>Table12[[#This Row],[ADD ACC]]*Table12[[#This Row],[RT TIME 
(777-500ER)]]</f>
        <v>0</v>
      </c>
    </row>
    <row r="310" spans="1:16" ht="15.75" customHeight="1" x14ac:dyDescent="0.25">
      <c r="A310" s="212" t="s">
        <v>14243</v>
      </c>
      <c r="B310" s="212" t="s">
        <v>5380</v>
      </c>
      <c r="C310" s="212" t="s">
        <v>2</v>
      </c>
      <c r="D310" s="226">
        <v>3</v>
      </c>
      <c r="E310" s="212" t="s">
        <v>517</v>
      </c>
      <c r="F310" s="212" t="s">
        <v>12694</v>
      </c>
      <c r="G310" s="227" t="s">
        <v>13162</v>
      </c>
      <c r="H310" s="228">
        <v>11796</v>
      </c>
      <c r="I310" s="208">
        <v>28.5</v>
      </c>
      <c r="J310" s="211">
        <v>258549843</v>
      </c>
      <c r="K310" s="209">
        <v>73139.983875530408</v>
      </c>
      <c r="L310" s="212">
        <v>3535</v>
      </c>
      <c r="M310" s="212">
        <f>VLOOKUP(Table12[[#This Row],[ROUTE]],DEMAND!A:F,5,FALSE)</f>
        <v>3736</v>
      </c>
      <c r="N310" s="212">
        <f>VLOOKUP(Table12[[#This Row],[ROUTE]],DEMAND!A:F,6,FALSE)</f>
        <v>436</v>
      </c>
      <c r="O310" s="212">
        <f>ROUNDDOWN(Table12[[#This Row],[R-DEMAND]]/1320,0)</f>
        <v>0</v>
      </c>
      <c r="P310" s="212">
        <f>Table12[[#This Row],[ADD ACC]]*Table12[[#This Row],[RT TIME 
(777-500ER)]]</f>
        <v>0</v>
      </c>
    </row>
    <row r="311" spans="1:16" ht="15.75" customHeight="1" x14ac:dyDescent="0.25">
      <c r="A311" s="212" t="s">
        <v>14487</v>
      </c>
      <c r="B311" s="212" t="s">
        <v>27</v>
      </c>
      <c r="C311" s="212" t="s">
        <v>2</v>
      </c>
      <c r="D311" s="226">
        <v>5</v>
      </c>
      <c r="E311" s="212" t="s">
        <v>3915</v>
      </c>
      <c r="F311" s="212" t="s">
        <v>12674</v>
      </c>
      <c r="G311" s="227" t="s">
        <v>11031</v>
      </c>
      <c r="H311" s="228">
        <v>1668</v>
      </c>
      <c r="I311" s="208">
        <v>5.75</v>
      </c>
      <c r="J311" s="211">
        <v>174614661</v>
      </c>
      <c r="K311" s="209">
        <v>62496.299570508228</v>
      </c>
      <c r="L311" s="212">
        <v>2794</v>
      </c>
      <c r="M311" s="212">
        <f>VLOOKUP(Table12[[#This Row],[ROUTE]],DEMAND!A:F,5,FALSE)</f>
        <v>2973</v>
      </c>
      <c r="N311" s="212">
        <f>VLOOKUP(Table12[[#This Row],[ROUTE]],DEMAND!A:F,6,FALSE)</f>
        <v>773</v>
      </c>
      <c r="O311" s="212">
        <f>ROUNDDOWN(Table12[[#This Row],[R-DEMAND]]/1320,0)</f>
        <v>0</v>
      </c>
      <c r="P311" s="212">
        <f>Table12[[#This Row],[ADD ACC]]*Table12[[#This Row],[RT TIME 
(777-500ER)]]</f>
        <v>0</v>
      </c>
    </row>
    <row r="312" spans="1:16" ht="15.75" customHeight="1" x14ac:dyDescent="0.25">
      <c r="A312" s="212" t="s">
        <v>14271</v>
      </c>
      <c r="B312" s="212" t="s">
        <v>4058</v>
      </c>
      <c r="C312" s="212" t="s">
        <v>2</v>
      </c>
      <c r="D312" s="226">
        <v>2</v>
      </c>
      <c r="E312" s="212" t="s">
        <v>4045</v>
      </c>
      <c r="F312" s="212" t="s">
        <v>12694</v>
      </c>
      <c r="G312" s="227" t="s">
        <v>13376</v>
      </c>
      <c r="H312" s="228">
        <v>10057</v>
      </c>
      <c r="I312" s="208">
        <v>24.75</v>
      </c>
      <c r="J312" s="211">
        <v>222253468</v>
      </c>
      <c r="K312" s="209">
        <v>81351.928257686683</v>
      </c>
      <c r="L312" s="212">
        <v>2732</v>
      </c>
      <c r="M312" s="212">
        <f>VLOOKUP(Table12[[#This Row],[ROUTE]],DEMAND!A:F,5,FALSE)</f>
        <v>2833</v>
      </c>
      <c r="N312" s="212">
        <f>VLOOKUP(Table12[[#This Row],[ROUTE]],DEMAND!A:F,6,FALSE)</f>
        <v>633</v>
      </c>
      <c r="O312" s="212">
        <f>ROUNDDOWN(Table12[[#This Row],[R-DEMAND]]/1320,0)</f>
        <v>0</v>
      </c>
      <c r="P312" s="212">
        <f>Table12[[#This Row],[ADD ACC]]*Table12[[#This Row],[RT TIME 
(777-500ER)]]</f>
        <v>0</v>
      </c>
    </row>
    <row r="313" spans="1:16" ht="15.75" customHeight="1" x14ac:dyDescent="0.25">
      <c r="A313" s="212" t="s">
        <v>14780</v>
      </c>
      <c r="B313" s="212" t="s">
        <v>24</v>
      </c>
      <c r="C313" s="212" t="s">
        <v>2</v>
      </c>
      <c r="D313" s="226">
        <v>2</v>
      </c>
      <c r="E313" s="212" t="s">
        <v>1070</v>
      </c>
      <c r="F313" s="212" t="s">
        <v>12670</v>
      </c>
      <c r="G313" s="227" t="s">
        <v>6654</v>
      </c>
      <c r="H313" s="228">
        <v>5660</v>
      </c>
      <c r="I313" s="208">
        <v>14.75</v>
      </c>
      <c r="J313" s="211">
        <v>179591748</v>
      </c>
      <c r="K313" s="209">
        <v>54405.255377158435</v>
      </c>
      <c r="L313" s="212">
        <v>3301</v>
      </c>
      <c r="M313" s="212">
        <f>VLOOKUP(Table12[[#This Row],[ROUTE]],DEMAND!A:F,5,FALSE)</f>
        <v>3467</v>
      </c>
      <c r="N313" s="212">
        <f>VLOOKUP(Table12[[#This Row],[ROUTE]],DEMAND!A:F,6,FALSE)</f>
        <v>1267</v>
      </c>
      <c r="O313" s="212">
        <f>ROUNDDOWN(Table12[[#This Row],[R-DEMAND]]/1320,0)</f>
        <v>0</v>
      </c>
      <c r="P313" s="212">
        <f>Table12[[#This Row],[ADD ACC]]*Table12[[#This Row],[RT TIME 
(777-500ER)]]</f>
        <v>0</v>
      </c>
    </row>
    <row r="314" spans="1:16" ht="15.75" customHeight="1" x14ac:dyDescent="0.25">
      <c r="A314" s="212" t="s">
        <v>14641</v>
      </c>
      <c r="B314" s="212" t="s">
        <v>21</v>
      </c>
      <c r="C314" s="212" t="s">
        <v>2</v>
      </c>
      <c r="D314" s="226">
        <v>3</v>
      </c>
      <c r="E314" s="212" t="s">
        <v>78</v>
      </c>
      <c r="F314" s="212" t="s">
        <v>12674</v>
      </c>
      <c r="G314" s="227" t="s">
        <v>11996</v>
      </c>
      <c r="H314" s="228">
        <v>6412</v>
      </c>
      <c r="I314" s="208">
        <v>16.5</v>
      </c>
      <c r="J314" s="211">
        <v>190527980</v>
      </c>
      <c r="K314" s="209">
        <v>69561.146403797</v>
      </c>
      <c r="L314" s="212">
        <v>2739</v>
      </c>
      <c r="M314" s="212">
        <f>VLOOKUP(Table12[[#This Row],[ROUTE]],DEMAND!A:F,5,FALSE)</f>
        <v>2869</v>
      </c>
      <c r="N314" s="212">
        <f>VLOOKUP(Table12[[#This Row],[ROUTE]],DEMAND!A:F,6,FALSE)</f>
        <v>669</v>
      </c>
      <c r="O314" s="212">
        <f>ROUNDDOWN(Table12[[#This Row],[R-DEMAND]]/1320,0)</f>
        <v>0</v>
      </c>
      <c r="P314" s="212">
        <f>Table12[[#This Row],[ADD ACC]]*Table12[[#This Row],[RT TIME 
(777-500ER)]]</f>
        <v>0</v>
      </c>
    </row>
    <row r="315" spans="1:16" ht="15.75" customHeight="1" x14ac:dyDescent="0.25">
      <c r="A315" s="212" t="s">
        <v>14594</v>
      </c>
      <c r="B315" s="212" t="s">
        <v>5567</v>
      </c>
      <c r="C315" s="212" t="s">
        <v>2</v>
      </c>
      <c r="D315" s="226">
        <v>4</v>
      </c>
      <c r="E315" s="212" t="s">
        <v>758</v>
      </c>
      <c r="F315" s="212" t="s">
        <v>12674</v>
      </c>
      <c r="G315" s="227" t="s">
        <v>11029</v>
      </c>
      <c r="H315" s="228">
        <v>1166</v>
      </c>
      <c r="I315" s="208">
        <v>4.75</v>
      </c>
      <c r="J315" s="211">
        <v>158483070</v>
      </c>
      <c r="K315" s="209">
        <v>55452.438768369488</v>
      </c>
      <c r="L315" s="212">
        <v>2858</v>
      </c>
      <c r="M315" s="212">
        <f>VLOOKUP(Table12[[#This Row],[ROUTE]],DEMAND!A:F,5,FALSE)</f>
        <v>2964</v>
      </c>
      <c r="N315" s="212">
        <f>VLOOKUP(Table12[[#This Row],[ROUTE]],DEMAND!A:F,6,FALSE)</f>
        <v>764</v>
      </c>
      <c r="O315" s="212">
        <f>ROUNDDOWN(Table12[[#This Row],[R-DEMAND]]/1320,0)</f>
        <v>0</v>
      </c>
      <c r="P315" s="212">
        <f>Table12[[#This Row],[ADD ACC]]*Table12[[#This Row],[RT TIME 
(777-500ER)]]</f>
        <v>0</v>
      </c>
    </row>
    <row r="316" spans="1:16" ht="15.75" customHeight="1" x14ac:dyDescent="0.25">
      <c r="A316" s="212" t="s">
        <v>14726</v>
      </c>
      <c r="B316" s="212" t="s">
        <v>18</v>
      </c>
      <c r="C316" s="212" t="s">
        <v>2</v>
      </c>
      <c r="D316" s="226">
        <v>4</v>
      </c>
      <c r="E316" s="212" t="s">
        <v>14</v>
      </c>
      <c r="F316" s="212" t="s">
        <v>12670</v>
      </c>
      <c r="G316" s="227" t="s">
        <v>11028</v>
      </c>
      <c r="H316" s="228">
        <v>6399</v>
      </c>
      <c r="I316" s="208">
        <v>16.5</v>
      </c>
      <c r="J316" s="211">
        <v>212868868</v>
      </c>
      <c r="K316" s="209">
        <v>62719.171479080731</v>
      </c>
      <c r="L316" s="212">
        <v>3394</v>
      </c>
      <c r="M316" s="212">
        <f>VLOOKUP(Table12[[#This Row],[ROUTE]],DEMAND!A:F,5,FALSE)</f>
        <v>3588</v>
      </c>
      <c r="N316" s="212">
        <f>VLOOKUP(Table12[[#This Row],[ROUTE]],DEMAND!A:F,6,FALSE)</f>
        <v>288</v>
      </c>
      <c r="O316" s="212">
        <f>ROUNDDOWN(Table12[[#This Row],[R-DEMAND]]/1320,0)</f>
        <v>0</v>
      </c>
      <c r="P316" s="212">
        <f>Table12[[#This Row],[ADD ACC]]*Table12[[#This Row],[RT TIME 
(777-500ER)]]</f>
        <v>0</v>
      </c>
    </row>
    <row r="317" spans="1:16" ht="15.75" customHeight="1" x14ac:dyDescent="0.25">
      <c r="A317" s="212" t="s">
        <v>14734</v>
      </c>
      <c r="B317" s="212" t="s">
        <v>5029</v>
      </c>
      <c r="C317" s="212" t="s">
        <v>2</v>
      </c>
      <c r="D317" s="226">
        <v>3</v>
      </c>
      <c r="E317" s="212" t="s">
        <v>14</v>
      </c>
      <c r="F317" s="212" t="s">
        <v>12670</v>
      </c>
      <c r="G317" s="227" t="s">
        <v>12047</v>
      </c>
      <c r="H317" s="228">
        <v>6724</v>
      </c>
      <c r="I317" s="208">
        <v>17.25</v>
      </c>
      <c r="J317" s="211">
        <v>198352171</v>
      </c>
      <c r="K317" s="209">
        <v>67859.10742387957</v>
      </c>
      <c r="L317" s="212">
        <v>2923</v>
      </c>
      <c r="M317" s="212">
        <f>VLOOKUP(Table12[[#This Row],[ROUTE]],DEMAND!A:F,5,FALSE)</f>
        <v>3022</v>
      </c>
      <c r="N317" s="212">
        <f>VLOOKUP(Table12[[#This Row],[ROUTE]],DEMAND!A:F,6,FALSE)</f>
        <v>822</v>
      </c>
      <c r="O317" s="212">
        <f>ROUNDDOWN(Table12[[#This Row],[R-DEMAND]]/1320,0)</f>
        <v>0</v>
      </c>
      <c r="P317" s="212">
        <f>Table12[[#This Row],[ADD ACC]]*Table12[[#This Row],[RT TIME 
(777-500ER)]]</f>
        <v>0</v>
      </c>
    </row>
    <row r="318" spans="1:16" ht="15.75" customHeight="1" x14ac:dyDescent="0.25">
      <c r="A318" s="212" t="s">
        <v>14751</v>
      </c>
      <c r="B318" s="212" t="s">
        <v>15</v>
      </c>
      <c r="C318" s="212" t="s">
        <v>2</v>
      </c>
      <c r="D318" s="226">
        <v>4</v>
      </c>
      <c r="E318" s="212" t="s">
        <v>14</v>
      </c>
      <c r="F318" s="212" t="s">
        <v>12670</v>
      </c>
      <c r="G318" s="227" t="s">
        <v>13</v>
      </c>
      <c r="H318" s="228">
        <v>5754</v>
      </c>
      <c r="I318" s="208">
        <v>15</v>
      </c>
      <c r="J318" s="211">
        <v>210381854</v>
      </c>
      <c r="K318" s="209">
        <v>60040.483447488587</v>
      </c>
      <c r="L318" s="212">
        <v>3504</v>
      </c>
      <c r="M318" s="212">
        <f>VLOOKUP(Table12[[#This Row],[ROUTE]],DEMAND!A:F,5,FALSE)</f>
        <v>3645</v>
      </c>
      <c r="N318" s="212">
        <f>VLOOKUP(Table12[[#This Row],[ROUTE]],DEMAND!A:F,6,FALSE)</f>
        <v>345</v>
      </c>
      <c r="O318" s="212">
        <f>ROUNDDOWN(Table12[[#This Row],[R-DEMAND]]/1320,0)</f>
        <v>0</v>
      </c>
      <c r="P318" s="212">
        <f>Table12[[#This Row],[ADD ACC]]*Table12[[#This Row],[RT TIME 
(777-500ER)]]</f>
        <v>0</v>
      </c>
    </row>
    <row r="319" spans="1:16" ht="15.75" customHeight="1" x14ac:dyDescent="0.25">
      <c r="A319" s="212" t="s">
        <v>14748</v>
      </c>
      <c r="B319" s="212" t="s">
        <v>5597</v>
      </c>
      <c r="C319" s="212" t="s">
        <v>2</v>
      </c>
      <c r="D319" s="226">
        <v>4</v>
      </c>
      <c r="E319" s="212" t="s">
        <v>14</v>
      </c>
      <c r="F319" s="212" t="s">
        <v>12670</v>
      </c>
      <c r="G319" s="227" t="s">
        <v>11027</v>
      </c>
      <c r="H319" s="228">
        <v>7180</v>
      </c>
      <c r="I319" s="208">
        <v>18.25</v>
      </c>
      <c r="J319" s="211">
        <v>220693074</v>
      </c>
      <c r="K319" s="209">
        <v>65024.476723629938</v>
      </c>
      <c r="L319" s="212">
        <v>3394</v>
      </c>
      <c r="M319" s="212">
        <f>VLOOKUP(Table12[[#This Row],[ROUTE]],DEMAND!A:F,5,FALSE)</f>
        <v>3543</v>
      </c>
      <c r="N319" s="212">
        <f>VLOOKUP(Table12[[#This Row],[ROUTE]],DEMAND!A:F,6,FALSE)</f>
        <v>243</v>
      </c>
      <c r="O319" s="212">
        <f>ROUNDDOWN(Table12[[#This Row],[R-DEMAND]]/1320,0)</f>
        <v>0</v>
      </c>
      <c r="P319" s="212">
        <f>Table12[[#This Row],[ADD ACC]]*Table12[[#This Row],[RT TIME 
(777-500ER)]]</f>
        <v>0</v>
      </c>
    </row>
    <row r="320" spans="1:16" ht="15.75" customHeight="1" x14ac:dyDescent="0.25">
      <c r="A320" s="212" t="s">
        <v>14710</v>
      </c>
      <c r="B320" s="212" t="s">
        <v>4760</v>
      </c>
      <c r="C320" s="212" t="s">
        <v>2</v>
      </c>
      <c r="D320" s="226">
        <v>3</v>
      </c>
      <c r="E320" s="212" t="s">
        <v>14</v>
      </c>
      <c r="F320" s="212" t="s">
        <v>12670</v>
      </c>
      <c r="G320" s="227" t="s">
        <v>12035</v>
      </c>
      <c r="H320" s="228">
        <v>5166</v>
      </c>
      <c r="I320" s="208">
        <v>13.75</v>
      </c>
      <c r="J320" s="211">
        <v>178602367</v>
      </c>
      <c r="K320" s="209">
        <v>63491.776395307497</v>
      </c>
      <c r="L320" s="212">
        <v>2813</v>
      </c>
      <c r="M320" s="212">
        <f>VLOOKUP(Table12[[#This Row],[ROUTE]],DEMAND!A:F,5,FALSE)</f>
        <v>2918</v>
      </c>
      <c r="N320" s="212">
        <f>VLOOKUP(Table12[[#This Row],[ROUTE]],DEMAND!A:F,6,FALSE)</f>
        <v>718</v>
      </c>
      <c r="O320" s="212">
        <f>ROUNDDOWN(Table12[[#This Row],[R-DEMAND]]/1320,0)</f>
        <v>0</v>
      </c>
      <c r="P320" s="212">
        <f>Table12[[#This Row],[ADD ACC]]*Table12[[#This Row],[RT TIME 
(777-500ER)]]</f>
        <v>0</v>
      </c>
    </row>
    <row r="321" spans="1:16" ht="15.75" customHeight="1" x14ac:dyDescent="0.25">
      <c r="A321" s="212" t="s">
        <v>14430</v>
      </c>
      <c r="B321" s="212" t="s">
        <v>5454</v>
      </c>
      <c r="C321" s="212" t="s">
        <v>2</v>
      </c>
      <c r="D321" s="226">
        <v>4</v>
      </c>
      <c r="E321" s="212" t="s">
        <v>514</v>
      </c>
      <c r="F321" s="212" t="s">
        <v>12688</v>
      </c>
      <c r="G321" s="227" t="s">
        <v>13163</v>
      </c>
      <c r="H321" s="228">
        <v>7649</v>
      </c>
      <c r="I321" s="208">
        <v>19.25</v>
      </c>
      <c r="J321" s="211">
        <v>219473035</v>
      </c>
      <c r="K321" s="209">
        <v>93512.158074137202</v>
      </c>
      <c r="L321" s="212">
        <v>2347</v>
      </c>
      <c r="M321" s="212">
        <f>VLOOKUP(Table12[[#This Row],[ROUTE]],DEMAND!A:F,5,FALSE)</f>
        <v>2473</v>
      </c>
      <c r="N321" s="212">
        <f>VLOOKUP(Table12[[#This Row],[ROUTE]],DEMAND!A:F,6,FALSE)</f>
        <v>273</v>
      </c>
      <c r="O321" s="212">
        <f>ROUNDDOWN(Table12[[#This Row],[R-DEMAND]]/1320,0)</f>
        <v>0</v>
      </c>
      <c r="P321" s="212">
        <f>Table12[[#This Row],[ADD ACC]]*Table12[[#This Row],[RT TIME 
(777-500ER)]]</f>
        <v>0</v>
      </c>
    </row>
    <row r="322" spans="1:16" ht="15.75" customHeight="1" x14ac:dyDescent="0.25">
      <c r="A322" s="212" t="s">
        <v>14791</v>
      </c>
      <c r="B322" s="212" t="s">
        <v>14211</v>
      </c>
      <c r="C322" s="212" t="s">
        <v>2</v>
      </c>
      <c r="D322" s="226">
        <v>3</v>
      </c>
      <c r="E322" s="212" t="s">
        <v>1261</v>
      </c>
      <c r="F322" s="212" t="s">
        <v>12670</v>
      </c>
      <c r="G322" s="227" t="s">
        <v>14210</v>
      </c>
      <c r="H322" s="228">
        <v>9644</v>
      </c>
      <c r="I322" s="208">
        <v>23.75</v>
      </c>
      <c r="J322" s="211">
        <v>238767952</v>
      </c>
      <c r="K322" s="209">
        <v>64953.196953210012</v>
      </c>
      <c r="L322" s="212">
        <v>3676</v>
      </c>
      <c r="M322" s="212">
        <f>VLOOKUP(Table12[[#This Row],[ROUTE]],DEMAND!A:F,5,FALSE)</f>
        <v>3837</v>
      </c>
      <c r="N322" s="212">
        <f>VLOOKUP(Table12[[#This Row],[ROUTE]],DEMAND!A:F,6,FALSE)</f>
        <v>537</v>
      </c>
      <c r="O322" s="212">
        <f>ROUNDDOWN(Table12[[#This Row],[R-DEMAND]]/1320,0)</f>
        <v>0</v>
      </c>
      <c r="P322" s="212">
        <f>Table12[[#This Row],[ADD ACC]]*Table12[[#This Row],[RT TIME 
(777-500ER)]]</f>
        <v>0</v>
      </c>
    </row>
    <row r="323" spans="1:16" ht="15.75" customHeight="1" x14ac:dyDescent="0.25">
      <c r="A323" s="212" t="s">
        <v>14425</v>
      </c>
      <c r="B323" s="212" t="s">
        <v>12</v>
      </c>
      <c r="C323" s="212" t="s">
        <v>2</v>
      </c>
      <c r="D323" s="226">
        <v>3</v>
      </c>
      <c r="E323" s="212" t="s">
        <v>514</v>
      </c>
      <c r="F323" s="212" t="s">
        <v>12688</v>
      </c>
      <c r="G323" s="227" t="s">
        <v>13170</v>
      </c>
      <c r="H323" s="228">
        <v>7207</v>
      </c>
      <c r="I323" s="208">
        <v>18.25</v>
      </c>
      <c r="J323" s="211">
        <v>210439692</v>
      </c>
      <c r="K323" s="209">
        <v>93321.371175166292</v>
      </c>
      <c r="L323" s="212">
        <v>2255</v>
      </c>
      <c r="M323" s="212">
        <f>VLOOKUP(Table12[[#This Row],[ROUTE]],DEMAND!A:F,5,FALSE)</f>
        <v>2331</v>
      </c>
      <c r="N323" s="212">
        <f>VLOOKUP(Table12[[#This Row],[ROUTE]],DEMAND!A:F,6,FALSE)</f>
        <v>1231</v>
      </c>
      <c r="O323" s="212">
        <f>ROUNDDOWN(Table12[[#This Row],[R-DEMAND]]/1320,0)</f>
        <v>0</v>
      </c>
      <c r="P323" s="212">
        <f>Table12[[#This Row],[ADD ACC]]*Table12[[#This Row],[RT TIME 
(777-500ER)]]</f>
        <v>0</v>
      </c>
    </row>
    <row r="324" spans="1:16" ht="15.75" customHeight="1" x14ac:dyDescent="0.25">
      <c r="A324" s="212" t="s">
        <v>14424</v>
      </c>
      <c r="B324" s="212" t="s">
        <v>9</v>
      </c>
      <c r="C324" s="212" t="s">
        <v>2</v>
      </c>
      <c r="D324" s="226">
        <v>4</v>
      </c>
      <c r="E324" s="212" t="s">
        <v>514</v>
      </c>
      <c r="F324" s="212" t="s">
        <v>12688</v>
      </c>
      <c r="G324" s="227" t="s">
        <v>13173</v>
      </c>
      <c r="H324" s="228">
        <v>7106</v>
      </c>
      <c r="I324" s="208">
        <v>18</v>
      </c>
      <c r="J324" s="211">
        <v>222630891</v>
      </c>
      <c r="K324" s="209">
        <v>88380.663358475591</v>
      </c>
      <c r="L324" s="212">
        <v>2519</v>
      </c>
      <c r="M324" s="212">
        <f>VLOOKUP(Table12[[#This Row],[ROUTE]],DEMAND!A:F,5,FALSE)</f>
        <v>2604</v>
      </c>
      <c r="N324" s="212">
        <f>VLOOKUP(Table12[[#This Row],[ROUTE]],DEMAND!A:F,6,FALSE)</f>
        <v>404</v>
      </c>
      <c r="O324" s="212">
        <f>ROUNDDOWN(Table12[[#This Row],[R-DEMAND]]/1320,0)</f>
        <v>0</v>
      </c>
      <c r="P324" s="212">
        <f>Table12[[#This Row],[ADD ACC]]*Table12[[#This Row],[RT TIME 
(777-500ER)]]</f>
        <v>0</v>
      </c>
    </row>
    <row r="325" spans="1:16" ht="15.75" customHeight="1" x14ac:dyDescent="0.25">
      <c r="A325" s="212" t="s">
        <v>14435</v>
      </c>
      <c r="B325" s="212" t="s">
        <v>483</v>
      </c>
      <c r="C325" s="212" t="s">
        <v>2</v>
      </c>
      <c r="D325" s="226">
        <v>4</v>
      </c>
      <c r="E325" s="212" t="s">
        <v>514</v>
      </c>
      <c r="F325" s="212" t="s">
        <v>12688</v>
      </c>
      <c r="G325" s="227" t="s">
        <v>11026</v>
      </c>
      <c r="H325" s="228">
        <v>8253</v>
      </c>
      <c r="I325" s="208">
        <v>20.75</v>
      </c>
      <c r="J325" s="211">
        <v>238888220</v>
      </c>
      <c r="K325" s="209">
        <v>87923.525947736474</v>
      </c>
      <c r="L325" s="212">
        <v>2717</v>
      </c>
      <c r="M325" s="212">
        <f>VLOOKUP(Table12[[#This Row],[ROUTE]],DEMAND!A:F,5,FALSE)</f>
        <v>2890</v>
      </c>
      <c r="N325" s="212">
        <f>VLOOKUP(Table12[[#This Row],[ROUTE]],DEMAND!A:F,6,FALSE)</f>
        <v>690</v>
      </c>
      <c r="O325" s="212">
        <f>ROUNDDOWN(Table12[[#This Row],[R-DEMAND]]/1320,0)</f>
        <v>0</v>
      </c>
      <c r="P325" s="212">
        <f>Table12[[#This Row],[ADD ACC]]*Table12[[#This Row],[RT TIME 
(777-500ER)]]</f>
        <v>0</v>
      </c>
    </row>
    <row r="326" spans="1:16" ht="15.75" customHeight="1" x14ac:dyDescent="0.25">
      <c r="A326" s="212" t="s">
        <v>14429</v>
      </c>
      <c r="B326" s="212" t="s">
        <v>5240</v>
      </c>
      <c r="C326" s="212" t="s">
        <v>2</v>
      </c>
      <c r="D326" s="226">
        <v>3</v>
      </c>
      <c r="E326" s="212" t="s">
        <v>514</v>
      </c>
      <c r="F326" s="212" t="s">
        <v>12688</v>
      </c>
      <c r="G326" s="227" t="s">
        <v>13166</v>
      </c>
      <c r="H326" s="228">
        <v>7591</v>
      </c>
      <c r="I326" s="208">
        <v>19.25</v>
      </c>
      <c r="J326" s="211">
        <v>212590195</v>
      </c>
      <c r="K326" s="209">
        <v>95718.232778027916</v>
      </c>
      <c r="L326" s="212">
        <v>2221</v>
      </c>
      <c r="M326" s="212">
        <f>VLOOKUP(Table12[[#This Row],[ROUTE]],DEMAND!A:F,5,FALSE)</f>
        <v>2355</v>
      </c>
      <c r="N326" s="212">
        <f>VLOOKUP(Table12[[#This Row],[ROUTE]],DEMAND!A:F,6,FALSE)</f>
        <v>1255</v>
      </c>
      <c r="O326" s="212">
        <f>ROUNDDOWN(Table12[[#This Row],[R-DEMAND]]/1320,0)</f>
        <v>0</v>
      </c>
      <c r="P326" s="212">
        <f>Table12[[#This Row],[ADD ACC]]*Table12[[#This Row],[RT TIME 
(777-500ER)]]</f>
        <v>0</v>
      </c>
    </row>
    <row r="327" spans="1:16" ht="15.75" customHeight="1" x14ac:dyDescent="0.25">
      <c r="A327" s="212" t="s">
        <v>14432</v>
      </c>
      <c r="B327" s="212" t="s">
        <v>5613</v>
      </c>
      <c r="C327" s="212" t="s">
        <v>2</v>
      </c>
      <c r="D327" s="226">
        <v>4</v>
      </c>
      <c r="E327" s="212" t="s">
        <v>514</v>
      </c>
      <c r="F327" s="212" t="s">
        <v>12688</v>
      </c>
      <c r="G327" s="227" t="s">
        <v>13164</v>
      </c>
      <c r="H327" s="228">
        <v>7891</v>
      </c>
      <c r="I327" s="208">
        <v>19.75</v>
      </c>
      <c r="J327" s="211">
        <v>230418673</v>
      </c>
      <c r="K327" s="209">
        <v>91727.178742038217</v>
      </c>
      <c r="L327" s="212">
        <v>2512</v>
      </c>
      <c r="M327" s="212">
        <f>VLOOKUP(Table12[[#This Row],[ROUTE]],DEMAND!A:F,5,FALSE)</f>
        <v>2614</v>
      </c>
      <c r="N327" s="212">
        <f>VLOOKUP(Table12[[#This Row],[ROUTE]],DEMAND!A:F,6,FALSE)</f>
        <v>-686</v>
      </c>
      <c r="O327" s="212">
        <f>ROUNDDOWN(Table12[[#This Row],[R-DEMAND]]/1320,0)</f>
        <v>0</v>
      </c>
      <c r="P327" s="212">
        <f>Table12[[#This Row],[ADD ACC]]*Table12[[#This Row],[RT TIME 
(777-500ER)]]</f>
        <v>0</v>
      </c>
    </row>
    <row r="328" spans="1:16" ht="15.75" customHeight="1" x14ac:dyDescent="0.25">
      <c r="A328" s="212" t="s">
        <v>14427</v>
      </c>
      <c r="B328" s="212" t="s">
        <v>5721</v>
      </c>
      <c r="C328" s="212" t="s">
        <v>2</v>
      </c>
      <c r="D328" s="226">
        <v>5</v>
      </c>
      <c r="E328" s="212" t="s">
        <v>514</v>
      </c>
      <c r="F328" s="212" t="s">
        <v>12688</v>
      </c>
      <c r="G328" s="227" t="s">
        <v>13171</v>
      </c>
      <c r="H328" s="228">
        <v>7535</v>
      </c>
      <c r="I328" s="208">
        <v>19</v>
      </c>
      <c r="J328" s="211">
        <v>241177219</v>
      </c>
      <c r="K328" s="209">
        <v>86103.969653695109</v>
      </c>
      <c r="L328" s="212">
        <v>2801</v>
      </c>
      <c r="M328" s="212">
        <f>VLOOKUP(Table12[[#This Row],[ROUTE]],DEMAND!A:F,5,FALSE)</f>
        <v>2914</v>
      </c>
      <c r="N328" s="212">
        <f>VLOOKUP(Table12[[#This Row],[ROUTE]],DEMAND!A:F,6,FALSE)</f>
        <v>714</v>
      </c>
      <c r="O328" s="212">
        <f>ROUNDDOWN(Table12[[#This Row],[R-DEMAND]]/1320,0)</f>
        <v>0</v>
      </c>
      <c r="P328" s="212">
        <f>Table12[[#This Row],[ADD ACC]]*Table12[[#This Row],[RT TIME 
(777-500ER)]]</f>
        <v>0</v>
      </c>
    </row>
    <row r="329" spans="1:16" ht="15.75" customHeight="1" x14ac:dyDescent="0.25">
      <c r="A329" s="212" t="s">
        <v>14672</v>
      </c>
      <c r="B329" s="212" t="s">
        <v>6</v>
      </c>
      <c r="C329" s="212" t="s">
        <v>2</v>
      </c>
      <c r="D329" s="226">
        <v>5</v>
      </c>
      <c r="E329" s="212" t="s">
        <v>1674</v>
      </c>
      <c r="F329" s="212" t="s">
        <v>12674</v>
      </c>
      <c r="G329" s="227" t="s">
        <v>11025</v>
      </c>
      <c r="H329" s="228">
        <v>2197</v>
      </c>
      <c r="I329" s="208">
        <v>7</v>
      </c>
      <c r="J329" s="211">
        <v>181705980</v>
      </c>
      <c r="K329" s="209">
        <v>66534.595386305387</v>
      </c>
      <c r="L329" s="212">
        <v>2731</v>
      </c>
      <c r="M329" s="212">
        <f>VLOOKUP(Table12[[#This Row],[ROUTE]],DEMAND!A:F,5,FALSE)</f>
        <v>2732</v>
      </c>
      <c r="N329" s="212">
        <f>VLOOKUP(Table12[[#This Row],[ROUTE]],DEMAND!A:F,6,FALSE)</f>
        <v>532</v>
      </c>
      <c r="O329" s="212">
        <f>ROUNDDOWN(Table12[[#This Row],[R-DEMAND]]/1320,0)</f>
        <v>0</v>
      </c>
      <c r="P329" s="212">
        <f>Table12[[#This Row],[ADD ACC]]*Table12[[#This Row],[RT TIME 
(777-500ER)]]</f>
        <v>0</v>
      </c>
    </row>
    <row r="330" spans="1:16" ht="15.75" customHeight="1" x14ac:dyDescent="0.25">
      <c r="A330" s="212" t="s">
        <v>14742</v>
      </c>
      <c r="B330" s="212" t="s">
        <v>4781</v>
      </c>
      <c r="C330" s="212" t="s">
        <v>2</v>
      </c>
      <c r="D330" s="226">
        <v>3</v>
      </c>
      <c r="E330" s="212" t="s">
        <v>14</v>
      </c>
      <c r="F330" s="212" t="s">
        <v>12670</v>
      </c>
      <c r="G330" s="227" t="s">
        <v>12080</v>
      </c>
      <c r="H330" s="228">
        <v>7103</v>
      </c>
      <c r="I330" s="208">
        <v>18</v>
      </c>
      <c r="J330" s="211">
        <v>198368667</v>
      </c>
      <c r="K330" s="209">
        <v>70368.452288045402</v>
      </c>
      <c r="L330" s="212">
        <v>2819</v>
      </c>
      <c r="M330" s="212">
        <f>VLOOKUP(Table12[[#This Row],[ROUTE]],DEMAND!A:F,5,FALSE)</f>
        <v>2970</v>
      </c>
      <c r="N330" s="212">
        <f>VLOOKUP(Table12[[#This Row],[ROUTE]],DEMAND!A:F,6,FALSE)</f>
        <v>770</v>
      </c>
      <c r="O330" s="212">
        <f>ROUNDDOWN(Table12[[#This Row],[R-DEMAND]]/1320,0)</f>
        <v>0</v>
      </c>
      <c r="P330" s="212">
        <f>Table12[[#This Row],[ADD ACC]]*Table12[[#This Row],[RT TIME 
(777-500ER)]]</f>
        <v>0</v>
      </c>
    </row>
    <row r="331" spans="1:16" ht="15.75" customHeight="1" x14ac:dyDescent="0.25">
      <c r="A331" s="212" t="s">
        <v>14340</v>
      </c>
      <c r="B331" s="212" t="s">
        <v>5551</v>
      </c>
      <c r="C331" s="212" t="s">
        <v>2</v>
      </c>
      <c r="D331" s="226">
        <v>4</v>
      </c>
      <c r="E331" s="212" t="s">
        <v>647</v>
      </c>
      <c r="F331" s="212" t="s">
        <v>12688</v>
      </c>
      <c r="G331" s="227" t="s">
        <v>13336</v>
      </c>
      <c r="H331" s="228">
        <v>8563</v>
      </c>
      <c r="I331" s="208">
        <v>21.25</v>
      </c>
      <c r="J331" s="211">
        <v>233359514</v>
      </c>
      <c r="K331" s="209">
        <v>102260.96143733567</v>
      </c>
      <c r="L331" s="212">
        <v>2282</v>
      </c>
      <c r="M331" s="212">
        <f>VLOOKUP(Table12[[#This Row],[ROUTE]],DEMAND!A:F,5,FALSE)</f>
        <v>2374</v>
      </c>
      <c r="N331" s="212">
        <f>VLOOKUP(Table12[[#This Row],[ROUTE]],DEMAND!A:F,6,FALSE)</f>
        <v>1274</v>
      </c>
      <c r="O331" s="212">
        <f>ROUNDDOWN(Table12[[#This Row],[R-DEMAND]]/1320,0)</f>
        <v>0</v>
      </c>
      <c r="P331" s="212">
        <f>Table12[[#This Row],[ADD ACC]]*Table12[[#This Row],[RT TIME 
(777-500ER)]]</f>
        <v>0</v>
      </c>
    </row>
    <row r="332" spans="1:16" ht="15.75" customHeight="1" x14ac:dyDescent="0.25">
      <c r="A332" s="212" t="s">
        <v>14700</v>
      </c>
      <c r="B332" s="212" t="s">
        <v>4831</v>
      </c>
      <c r="C332" s="212" t="s">
        <v>2</v>
      </c>
      <c r="D332" s="226">
        <v>3</v>
      </c>
      <c r="E332" s="212" t="s">
        <v>4829</v>
      </c>
      <c r="F332" s="212" t="s">
        <v>12670</v>
      </c>
      <c r="G332" s="227" t="s">
        <v>12108</v>
      </c>
      <c r="H332" s="228">
        <v>8740</v>
      </c>
      <c r="I332" s="208">
        <v>21.75</v>
      </c>
      <c r="J332" s="211">
        <v>216002206</v>
      </c>
      <c r="K332" s="209">
        <v>93588.477469670717</v>
      </c>
      <c r="L332" s="212">
        <v>2308</v>
      </c>
      <c r="M332" s="212">
        <f>VLOOKUP(Table12[[#This Row],[ROUTE]],DEMAND!A:F,5,FALSE)</f>
        <v>2393</v>
      </c>
      <c r="N332" s="212">
        <f>VLOOKUP(Table12[[#This Row],[ROUTE]],DEMAND!A:F,6,FALSE)</f>
        <v>1293</v>
      </c>
      <c r="O332" s="212">
        <f>ROUNDDOWN(Table12[[#This Row],[R-DEMAND]]/1320,0)</f>
        <v>0</v>
      </c>
      <c r="P332" s="212">
        <f>Table12[[#This Row],[ADD ACC]]*Table12[[#This Row],[RT TIME 
(777-500ER)]]</f>
        <v>0</v>
      </c>
    </row>
    <row r="333" spans="1:16" ht="15.75" customHeight="1" x14ac:dyDescent="0.25">
      <c r="A333" s="212" t="s">
        <v>14971</v>
      </c>
      <c r="B333" s="212" t="s">
        <v>4054</v>
      </c>
      <c r="C333" s="212"/>
      <c r="D333" s="226">
        <v>2</v>
      </c>
      <c r="E333" s="212" t="s">
        <v>493</v>
      </c>
      <c r="F333" s="212" t="s">
        <v>12671</v>
      </c>
      <c r="G333" s="227" t="s">
        <v>11743</v>
      </c>
      <c r="H333" s="228">
        <v>3064</v>
      </c>
      <c r="I333" s="208">
        <v>9</v>
      </c>
      <c r="J333" s="211"/>
      <c r="K333" s="209">
        <v>0</v>
      </c>
      <c r="L333" s="212"/>
      <c r="M333" s="212" t="e">
        <f>VLOOKUP(Table12[[#This Row],[ROUTE]],DEMAND!A:F,5,FALSE)</f>
        <v>#N/A</v>
      </c>
      <c r="N333" s="212" t="e">
        <f>VLOOKUP(Table12[[#This Row],[ROUTE]],DEMAND!A:F,6,FALSE)</f>
        <v>#N/A</v>
      </c>
      <c r="O333" s="212" t="e">
        <f>ROUNDDOWN(Table12[[#This Row],[R-DEMAND]]/1320,0)</f>
        <v>#N/A</v>
      </c>
      <c r="P333" s="212" t="e">
        <f>Table12[[#This Row],[ADD ACC]]*Table12[[#This Row],[RT TIME 
(777-500ER)]]</f>
        <v>#N/A</v>
      </c>
    </row>
    <row r="334" spans="1:16" ht="15.75" customHeight="1" x14ac:dyDescent="0.25">
      <c r="A334" s="212" t="s">
        <v>14947</v>
      </c>
      <c r="B334" s="212" t="s">
        <v>2872</v>
      </c>
      <c r="C334" s="212"/>
      <c r="D334" s="226">
        <v>2</v>
      </c>
      <c r="E334" s="212" t="s">
        <v>1847</v>
      </c>
      <c r="F334" s="212" t="s">
        <v>12670</v>
      </c>
      <c r="G334" s="227" t="s">
        <v>11982</v>
      </c>
      <c r="H334" s="228">
        <v>3755</v>
      </c>
      <c r="I334" s="208">
        <v>10.5</v>
      </c>
      <c r="J334" s="211"/>
      <c r="K334" s="209">
        <v>0</v>
      </c>
      <c r="L334" s="212"/>
      <c r="M334" s="212" t="e">
        <f>VLOOKUP(Table12[[#This Row],[ROUTE]],DEMAND!A:F,5,FALSE)</f>
        <v>#N/A</v>
      </c>
      <c r="N334" s="212" t="e">
        <f>VLOOKUP(Table12[[#This Row],[ROUTE]],DEMAND!A:F,6,FALSE)</f>
        <v>#N/A</v>
      </c>
      <c r="O334" s="212" t="e">
        <f>ROUNDDOWN(Table12[[#This Row],[R-DEMAND]]/1320,0)</f>
        <v>#N/A</v>
      </c>
      <c r="P334" s="212" t="e">
        <f>Table12[[#This Row],[ADD ACC]]*Table12[[#This Row],[RT TIME 
(777-500ER)]]</f>
        <v>#N/A</v>
      </c>
    </row>
    <row r="335" spans="1:16" ht="15.75" customHeight="1" x14ac:dyDescent="0.25">
      <c r="A335" s="212" t="s">
        <v>14503</v>
      </c>
      <c r="B335" s="212" t="s">
        <v>4164</v>
      </c>
      <c r="C335" s="212"/>
      <c r="D335" s="226">
        <v>2</v>
      </c>
      <c r="E335" s="212" t="s">
        <v>876</v>
      </c>
      <c r="F335" s="212" t="s">
        <v>12674</v>
      </c>
      <c r="G335" s="227" t="s">
        <v>11772</v>
      </c>
      <c r="H335" s="228">
        <v>1695</v>
      </c>
      <c r="I335" s="208">
        <v>6</v>
      </c>
      <c r="J335" s="211"/>
      <c r="K335" s="209">
        <v>0</v>
      </c>
      <c r="L335" s="212"/>
      <c r="M335" s="212" t="e">
        <f>VLOOKUP(Table12[[#This Row],[ROUTE]],DEMAND!A:F,5,FALSE)</f>
        <v>#N/A</v>
      </c>
      <c r="N335" s="212" t="e">
        <f>VLOOKUP(Table12[[#This Row],[ROUTE]],DEMAND!A:F,6,FALSE)</f>
        <v>#N/A</v>
      </c>
      <c r="O335" s="212" t="e">
        <f>ROUNDDOWN(Table12[[#This Row],[R-DEMAND]]/1320,0)</f>
        <v>#N/A</v>
      </c>
      <c r="P335" s="212" t="e">
        <f>Table12[[#This Row],[ADD ACC]]*Table12[[#This Row],[RT TIME 
(777-500ER)]]</f>
        <v>#N/A</v>
      </c>
    </row>
    <row r="336" spans="1:16" ht="15.75" customHeight="1" x14ac:dyDescent="0.25">
      <c r="A336" s="212" t="s">
        <v>14631</v>
      </c>
      <c r="B336" s="212" t="s">
        <v>2268</v>
      </c>
      <c r="C336" s="212"/>
      <c r="D336" s="226">
        <v>1</v>
      </c>
      <c r="E336" s="212" t="s">
        <v>78</v>
      </c>
      <c r="F336" s="212" t="s">
        <v>12674</v>
      </c>
      <c r="G336" s="227" t="s">
        <v>11013</v>
      </c>
      <c r="H336" s="228">
        <v>3367</v>
      </c>
      <c r="I336" s="208">
        <v>9.75</v>
      </c>
      <c r="J336" s="211"/>
      <c r="K336" s="209">
        <v>0</v>
      </c>
      <c r="L336" s="212"/>
      <c r="M336" s="212" t="e">
        <f>VLOOKUP(Table12[[#This Row],[ROUTE]],DEMAND!A:F,5,FALSE)</f>
        <v>#N/A</v>
      </c>
      <c r="N336" s="212" t="e">
        <f>VLOOKUP(Table12[[#This Row],[ROUTE]],DEMAND!A:F,6,FALSE)</f>
        <v>#N/A</v>
      </c>
      <c r="O336" s="212" t="e">
        <f>ROUNDDOWN(Table12[[#This Row],[R-DEMAND]]/1320,0)</f>
        <v>#N/A</v>
      </c>
      <c r="P336" s="212" t="e">
        <f>Table12[[#This Row],[ADD ACC]]*Table12[[#This Row],[RT TIME 
(777-500ER)]]</f>
        <v>#N/A</v>
      </c>
    </row>
    <row r="337" spans="1:16" ht="15.75" customHeight="1" x14ac:dyDescent="0.25">
      <c r="A337" s="212" t="s">
        <v>15031</v>
      </c>
      <c r="B337" s="212" t="s">
        <v>4529</v>
      </c>
      <c r="C337" s="212"/>
      <c r="D337" s="226">
        <v>2</v>
      </c>
      <c r="E337" s="212" t="s">
        <v>499</v>
      </c>
      <c r="F337" s="212" t="s">
        <v>12671</v>
      </c>
      <c r="G337" s="227" t="s">
        <v>11688</v>
      </c>
      <c r="H337" s="228">
        <v>6697</v>
      </c>
      <c r="I337" s="208">
        <v>17.25</v>
      </c>
      <c r="J337" s="211"/>
      <c r="K337" s="209">
        <v>0</v>
      </c>
      <c r="L337" s="212"/>
      <c r="M337" s="212" t="e">
        <f>VLOOKUP(Table12[[#This Row],[ROUTE]],DEMAND!A:F,5,FALSE)</f>
        <v>#N/A</v>
      </c>
      <c r="N337" s="212" t="e">
        <f>VLOOKUP(Table12[[#This Row],[ROUTE]],DEMAND!A:F,6,FALSE)</f>
        <v>#N/A</v>
      </c>
      <c r="O337" s="212" t="e">
        <f>ROUNDDOWN(Table12[[#This Row],[R-DEMAND]]/1320,0)</f>
        <v>#N/A</v>
      </c>
      <c r="P337" s="212" t="e">
        <f>Table12[[#This Row],[ADD ACC]]*Table12[[#This Row],[RT TIME 
(777-500ER)]]</f>
        <v>#N/A</v>
      </c>
    </row>
    <row r="338" spans="1:16" ht="15.75" customHeight="1" x14ac:dyDescent="0.25">
      <c r="A338" s="212" t="s">
        <v>14884</v>
      </c>
      <c r="B338" s="212" t="s">
        <v>3497</v>
      </c>
      <c r="C338" s="212"/>
      <c r="D338" s="226">
        <v>2</v>
      </c>
      <c r="E338" s="212" t="s">
        <v>172</v>
      </c>
      <c r="F338" s="212" t="s">
        <v>12670</v>
      </c>
      <c r="G338" s="227" t="s">
        <v>11931</v>
      </c>
      <c r="H338" s="228">
        <v>3917</v>
      </c>
      <c r="I338" s="208">
        <v>11</v>
      </c>
      <c r="J338" s="211"/>
      <c r="K338" s="209">
        <v>0</v>
      </c>
      <c r="L338" s="212"/>
      <c r="M338" s="212" t="e">
        <f>VLOOKUP(Table12[[#This Row],[ROUTE]],DEMAND!A:F,5,FALSE)</f>
        <v>#N/A</v>
      </c>
      <c r="N338" s="212" t="e">
        <f>VLOOKUP(Table12[[#This Row],[ROUTE]],DEMAND!A:F,6,FALSE)</f>
        <v>#N/A</v>
      </c>
      <c r="O338" s="212" t="e">
        <f>ROUNDDOWN(Table12[[#This Row],[R-DEMAND]]/1320,0)</f>
        <v>#N/A</v>
      </c>
      <c r="P338" s="212" t="e">
        <f>Table12[[#This Row],[ADD ACC]]*Table12[[#This Row],[RT TIME 
(777-500ER)]]</f>
        <v>#N/A</v>
      </c>
    </row>
    <row r="339" spans="1:16" ht="15.75" customHeight="1" x14ac:dyDescent="0.25">
      <c r="A339" s="212" t="s">
        <v>14478</v>
      </c>
      <c r="B339" s="212" t="s">
        <v>4469</v>
      </c>
      <c r="C339" s="212"/>
      <c r="D339" s="226">
        <v>2</v>
      </c>
      <c r="E339" s="212" t="s">
        <v>1749</v>
      </c>
      <c r="F339" s="212" t="s">
        <v>12688</v>
      </c>
      <c r="G339" s="227" t="s">
        <v>13227</v>
      </c>
      <c r="H339" s="228">
        <v>11063</v>
      </c>
      <c r="I339" s="208">
        <v>27</v>
      </c>
      <c r="J339" s="211"/>
      <c r="K339" s="209">
        <v>0</v>
      </c>
      <c r="L339" s="212"/>
      <c r="M339" s="212" t="e">
        <f>VLOOKUP(Table12[[#This Row],[ROUTE]],DEMAND!A:F,5,FALSE)</f>
        <v>#N/A</v>
      </c>
      <c r="N339" s="212" t="e">
        <f>VLOOKUP(Table12[[#This Row],[ROUTE]],DEMAND!A:F,6,FALSE)</f>
        <v>#N/A</v>
      </c>
      <c r="O339" s="212" t="e">
        <f>ROUNDDOWN(Table12[[#This Row],[R-DEMAND]]/1320,0)</f>
        <v>#N/A</v>
      </c>
      <c r="P339" s="212" t="e">
        <f>Table12[[#This Row],[ADD ACC]]*Table12[[#This Row],[RT TIME 
(777-500ER)]]</f>
        <v>#N/A</v>
      </c>
    </row>
    <row r="340" spans="1:16" ht="15.75" customHeight="1" x14ac:dyDescent="0.25">
      <c r="A340" s="212" t="s">
        <v>15027</v>
      </c>
      <c r="B340" s="212" t="s">
        <v>4631</v>
      </c>
      <c r="C340" s="212"/>
      <c r="D340" s="226">
        <v>2</v>
      </c>
      <c r="E340" s="212" t="s">
        <v>1441</v>
      </c>
      <c r="F340" s="212" t="s">
        <v>12671</v>
      </c>
      <c r="G340" s="227" t="s">
        <v>11704</v>
      </c>
      <c r="H340" s="228">
        <v>6486</v>
      </c>
      <c r="I340" s="208">
        <v>16.75</v>
      </c>
      <c r="J340" s="211"/>
      <c r="K340" s="209">
        <v>0</v>
      </c>
      <c r="L340" s="212"/>
      <c r="M340" s="212" t="e">
        <f>VLOOKUP(Table12[[#This Row],[ROUTE]],DEMAND!A:F,5,FALSE)</f>
        <v>#N/A</v>
      </c>
      <c r="N340" s="212" t="e">
        <f>VLOOKUP(Table12[[#This Row],[ROUTE]],DEMAND!A:F,6,FALSE)</f>
        <v>#N/A</v>
      </c>
      <c r="O340" s="212" t="e">
        <f>ROUNDDOWN(Table12[[#This Row],[R-DEMAND]]/1320,0)</f>
        <v>#N/A</v>
      </c>
      <c r="P340" s="212" t="e">
        <f>Table12[[#This Row],[ADD ACC]]*Table12[[#This Row],[RT TIME 
(777-500ER)]]</f>
        <v>#N/A</v>
      </c>
    </row>
    <row r="341" spans="1:16" ht="15.75" customHeight="1" x14ac:dyDescent="0.25">
      <c r="A341" s="212" t="s">
        <v>14300</v>
      </c>
      <c r="B341" s="212" t="s">
        <v>4605</v>
      </c>
      <c r="C341" s="212"/>
      <c r="D341" s="226" t="s">
        <v>15105</v>
      </c>
      <c r="E341" s="212" t="s">
        <v>647</v>
      </c>
      <c r="F341" s="212" t="s">
        <v>12688</v>
      </c>
      <c r="G341" s="227" t="s">
        <v>13352</v>
      </c>
      <c r="H341" s="228">
        <v>7693</v>
      </c>
      <c r="I341" s="208">
        <v>19.25</v>
      </c>
      <c r="J341" s="211"/>
      <c r="K341" s="209">
        <v>0</v>
      </c>
      <c r="L341" s="212"/>
      <c r="M341" s="212" t="e">
        <f>VLOOKUP(Table12[[#This Row],[ROUTE]],DEMAND!A:F,5,FALSE)</f>
        <v>#N/A</v>
      </c>
      <c r="N341" s="212" t="e">
        <f>VLOOKUP(Table12[[#This Row],[ROUTE]],DEMAND!A:F,6,FALSE)</f>
        <v>#N/A</v>
      </c>
      <c r="O341" s="212" t="e">
        <f>ROUNDDOWN(Table12[[#This Row],[R-DEMAND]]/1320,0)</f>
        <v>#N/A</v>
      </c>
      <c r="P341" s="212" t="e">
        <f>Table12[[#This Row],[ADD ACC]]*Table12[[#This Row],[RT TIME 
(777-500ER)]]</f>
        <v>#N/A</v>
      </c>
    </row>
    <row r="342" spans="1:16" ht="15.75" customHeight="1" x14ac:dyDescent="0.25">
      <c r="A342" s="212" t="s">
        <v>14805</v>
      </c>
      <c r="B342" s="212" t="s">
        <v>504</v>
      </c>
      <c r="C342" s="212"/>
      <c r="D342" s="226">
        <v>1</v>
      </c>
      <c r="E342" s="212" t="s">
        <v>502</v>
      </c>
      <c r="F342" s="212" t="s">
        <v>12670</v>
      </c>
      <c r="G342" s="227" t="s">
        <v>11986</v>
      </c>
      <c r="H342" s="228">
        <v>3278</v>
      </c>
      <c r="I342" s="208">
        <v>9.5</v>
      </c>
      <c r="J342" s="211"/>
      <c r="K342" s="209">
        <v>0</v>
      </c>
      <c r="L342" s="212"/>
      <c r="M342" s="212" t="e">
        <f>VLOOKUP(Table12[[#This Row],[ROUTE]],DEMAND!A:F,5,FALSE)</f>
        <v>#N/A</v>
      </c>
      <c r="N342" s="212" t="e">
        <f>VLOOKUP(Table12[[#This Row],[ROUTE]],DEMAND!A:F,6,FALSE)</f>
        <v>#N/A</v>
      </c>
      <c r="O342" s="212" t="e">
        <f>ROUNDDOWN(Table12[[#This Row],[R-DEMAND]]/1320,0)</f>
        <v>#N/A</v>
      </c>
      <c r="P342" s="212" t="e">
        <f>Table12[[#This Row],[ADD ACC]]*Table12[[#This Row],[RT TIME 
(777-500ER)]]</f>
        <v>#N/A</v>
      </c>
    </row>
    <row r="343" spans="1:16" ht="15.75" customHeight="1" x14ac:dyDescent="0.25">
      <c r="A343" s="212" t="s">
        <v>14936</v>
      </c>
      <c r="B343" s="212" t="s">
        <v>5443</v>
      </c>
      <c r="C343" s="212"/>
      <c r="D343" s="226">
        <v>3</v>
      </c>
      <c r="E343" s="212" t="s">
        <v>700</v>
      </c>
      <c r="F343" s="212" t="s">
        <v>12670</v>
      </c>
      <c r="G343" s="227" t="s">
        <v>11847</v>
      </c>
      <c r="H343" s="228">
        <v>2066</v>
      </c>
      <c r="I343" s="208">
        <v>6.75</v>
      </c>
      <c r="J343" s="211"/>
      <c r="K343" s="209">
        <v>0</v>
      </c>
      <c r="L343" s="212"/>
      <c r="M343" s="212" t="e">
        <f>VLOOKUP(Table12[[#This Row],[ROUTE]],DEMAND!A:F,5,FALSE)</f>
        <v>#N/A</v>
      </c>
      <c r="N343" s="212" t="e">
        <f>VLOOKUP(Table12[[#This Row],[ROUTE]],DEMAND!A:F,6,FALSE)</f>
        <v>#N/A</v>
      </c>
      <c r="O343" s="212" t="e">
        <f>ROUNDDOWN(Table12[[#This Row],[R-DEMAND]]/1320,0)</f>
        <v>#N/A</v>
      </c>
      <c r="P343" s="212" t="e">
        <f>Table12[[#This Row],[ADD ACC]]*Table12[[#This Row],[RT TIME 
(777-500ER)]]</f>
        <v>#N/A</v>
      </c>
    </row>
    <row r="344" spans="1:16" ht="15.75" customHeight="1" x14ac:dyDescent="0.25">
      <c r="A344" s="212" t="s">
        <v>14962</v>
      </c>
      <c r="B344" s="212" t="s">
        <v>3950</v>
      </c>
      <c r="C344" s="212"/>
      <c r="D344" s="226">
        <v>2</v>
      </c>
      <c r="E344" s="212" t="s">
        <v>1289</v>
      </c>
      <c r="F344" s="212" t="s">
        <v>12670</v>
      </c>
      <c r="G344" s="227" t="s">
        <v>11950</v>
      </c>
      <c r="H344" s="228">
        <v>4776</v>
      </c>
      <c r="I344" s="208">
        <v>12.75</v>
      </c>
      <c r="J344" s="211"/>
      <c r="K344" s="209">
        <v>0</v>
      </c>
      <c r="L344" s="212"/>
      <c r="M344" s="212" t="e">
        <f>VLOOKUP(Table12[[#This Row],[ROUTE]],DEMAND!A:F,5,FALSE)</f>
        <v>#N/A</v>
      </c>
      <c r="N344" s="212" t="e">
        <f>VLOOKUP(Table12[[#This Row],[ROUTE]],DEMAND!A:F,6,FALSE)</f>
        <v>#N/A</v>
      </c>
      <c r="O344" s="212" t="e">
        <f>ROUNDDOWN(Table12[[#This Row],[R-DEMAND]]/1320,0)</f>
        <v>#N/A</v>
      </c>
      <c r="P344" s="212" t="e">
        <f>Table12[[#This Row],[ADD ACC]]*Table12[[#This Row],[RT TIME 
(777-500ER)]]</f>
        <v>#N/A</v>
      </c>
    </row>
    <row r="345" spans="1:16" ht="15.75" customHeight="1" x14ac:dyDescent="0.25">
      <c r="A345" s="212" t="s">
        <v>14618</v>
      </c>
      <c r="B345" s="212" t="s">
        <v>4828</v>
      </c>
      <c r="C345" s="212"/>
      <c r="D345" s="226">
        <v>3</v>
      </c>
      <c r="E345" s="212" t="s">
        <v>78</v>
      </c>
      <c r="F345" s="212" t="s">
        <v>12674</v>
      </c>
      <c r="G345" s="227" t="s">
        <v>11879</v>
      </c>
      <c r="H345" s="228">
        <v>1338</v>
      </c>
      <c r="I345" s="208">
        <v>5</v>
      </c>
      <c r="J345" s="211"/>
      <c r="K345" s="209">
        <v>0</v>
      </c>
      <c r="L345" s="212"/>
      <c r="M345" s="212" t="e">
        <f>VLOOKUP(Table12[[#This Row],[ROUTE]],DEMAND!A:F,5,FALSE)</f>
        <v>#N/A</v>
      </c>
      <c r="N345" s="212" t="e">
        <f>VLOOKUP(Table12[[#This Row],[ROUTE]],DEMAND!A:F,6,FALSE)</f>
        <v>#N/A</v>
      </c>
      <c r="O345" s="212" t="e">
        <f>ROUNDDOWN(Table12[[#This Row],[R-DEMAND]]/1320,0)</f>
        <v>#N/A</v>
      </c>
      <c r="P345" s="212" t="e">
        <f>Table12[[#This Row],[ADD ACC]]*Table12[[#This Row],[RT TIME 
(777-500ER)]]</f>
        <v>#N/A</v>
      </c>
    </row>
    <row r="346" spans="1:16" ht="15.75" customHeight="1" x14ac:dyDescent="0.25">
      <c r="A346" s="212" t="s">
        <v>14382</v>
      </c>
      <c r="B346" s="212" t="s">
        <v>3721</v>
      </c>
      <c r="C346" s="212"/>
      <c r="D346" s="226" t="s">
        <v>15105</v>
      </c>
      <c r="E346" s="212" t="s">
        <v>647</v>
      </c>
      <c r="F346" s="212" t="s">
        <v>12688</v>
      </c>
      <c r="G346" s="227" t="s">
        <v>13337</v>
      </c>
      <c r="H346" s="228">
        <v>9286</v>
      </c>
      <c r="I346" s="208">
        <v>23</v>
      </c>
      <c r="J346" s="211"/>
      <c r="K346" s="209">
        <v>0</v>
      </c>
      <c r="L346" s="212"/>
      <c r="M346" s="212" t="e">
        <f>VLOOKUP(Table12[[#This Row],[ROUTE]],DEMAND!A:F,5,FALSE)</f>
        <v>#N/A</v>
      </c>
      <c r="N346" s="212" t="e">
        <f>VLOOKUP(Table12[[#This Row],[ROUTE]],DEMAND!A:F,6,FALSE)</f>
        <v>#N/A</v>
      </c>
      <c r="O346" s="212" t="e">
        <f>ROUNDDOWN(Table12[[#This Row],[R-DEMAND]]/1320,0)</f>
        <v>#N/A</v>
      </c>
      <c r="P346" s="212" t="e">
        <f>Table12[[#This Row],[ADD ACC]]*Table12[[#This Row],[RT TIME 
(777-500ER)]]</f>
        <v>#N/A</v>
      </c>
    </row>
    <row r="347" spans="1:16" ht="15.75" customHeight="1" x14ac:dyDescent="0.25">
      <c r="A347" s="212" t="s">
        <v>14381</v>
      </c>
      <c r="B347" s="212" t="s">
        <v>4183</v>
      </c>
      <c r="C347" s="212"/>
      <c r="D347" s="226" t="s">
        <v>15105</v>
      </c>
      <c r="E347" s="212" t="s">
        <v>647</v>
      </c>
      <c r="F347" s="212" t="s">
        <v>12688</v>
      </c>
      <c r="G347" s="227" t="s">
        <v>13315</v>
      </c>
      <c r="H347" s="228">
        <v>9306</v>
      </c>
      <c r="I347" s="208">
        <v>23</v>
      </c>
      <c r="J347" s="211"/>
      <c r="K347" s="209">
        <v>0</v>
      </c>
      <c r="L347" s="212"/>
      <c r="M347" s="212" t="e">
        <f>VLOOKUP(Table12[[#This Row],[ROUTE]],DEMAND!A:F,5,FALSE)</f>
        <v>#N/A</v>
      </c>
      <c r="N347" s="212" t="e">
        <f>VLOOKUP(Table12[[#This Row],[ROUTE]],DEMAND!A:F,6,FALSE)</f>
        <v>#N/A</v>
      </c>
      <c r="O347" s="212" t="e">
        <f>ROUNDDOWN(Table12[[#This Row],[R-DEMAND]]/1320,0)</f>
        <v>#N/A</v>
      </c>
      <c r="P347" s="212" t="e">
        <f>Table12[[#This Row],[ADD ACC]]*Table12[[#This Row],[RT TIME 
(777-500ER)]]</f>
        <v>#N/A</v>
      </c>
    </row>
    <row r="348" spans="1:16" ht="15.75" customHeight="1" x14ac:dyDescent="0.25">
      <c r="A348" s="212" t="s">
        <v>14255</v>
      </c>
      <c r="B348" s="212" t="s">
        <v>2397</v>
      </c>
      <c r="C348" s="212"/>
      <c r="D348" s="226">
        <v>1</v>
      </c>
      <c r="E348" s="212" t="s">
        <v>2395</v>
      </c>
      <c r="F348" s="212" t="s">
        <v>12694</v>
      </c>
      <c r="G348" s="227" t="s">
        <v>13234</v>
      </c>
      <c r="H348" s="228">
        <v>12483</v>
      </c>
      <c r="I348" s="208">
        <v>30</v>
      </c>
      <c r="J348" s="211"/>
      <c r="K348" s="209">
        <v>0</v>
      </c>
      <c r="L348" s="212"/>
      <c r="M348" s="212" t="e">
        <f>VLOOKUP(Table12[[#This Row],[ROUTE]],DEMAND!A:F,5,FALSE)</f>
        <v>#N/A</v>
      </c>
      <c r="N348" s="212" t="e">
        <f>VLOOKUP(Table12[[#This Row],[ROUTE]],DEMAND!A:F,6,FALSE)</f>
        <v>#N/A</v>
      </c>
      <c r="O348" s="212" t="e">
        <f>ROUNDDOWN(Table12[[#This Row],[R-DEMAND]]/1320,0)</f>
        <v>#N/A</v>
      </c>
      <c r="P348" s="212" t="e">
        <f>Table12[[#This Row],[ADD ACC]]*Table12[[#This Row],[RT TIME 
(777-500ER)]]</f>
        <v>#N/A</v>
      </c>
    </row>
    <row r="349" spans="1:16" ht="15.75" customHeight="1" x14ac:dyDescent="0.25">
      <c r="A349" s="212" t="s">
        <v>14470</v>
      </c>
      <c r="B349" s="212" t="s">
        <v>3925</v>
      </c>
      <c r="C349" s="212"/>
      <c r="D349" s="226">
        <v>2</v>
      </c>
      <c r="E349" s="212" t="s">
        <v>1749</v>
      </c>
      <c r="F349" s="212" t="s">
        <v>12688</v>
      </c>
      <c r="G349" s="227" t="s">
        <v>13220</v>
      </c>
      <c r="H349" s="228">
        <v>10654</v>
      </c>
      <c r="I349" s="208">
        <v>26</v>
      </c>
      <c r="J349" s="211"/>
      <c r="K349" s="209">
        <v>0</v>
      </c>
      <c r="L349" s="212"/>
      <c r="M349" s="212" t="e">
        <f>VLOOKUP(Table12[[#This Row],[ROUTE]],DEMAND!A:F,5,FALSE)</f>
        <v>#N/A</v>
      </c>
      <c r="N349" s="212" t="e">
        <f>VLOOKUP(Table12[[#This Row],[ROUTE]],DEMAND!A:F,6,FALSE)</f>
        <v>#N/A</v>
      </c>
      <c r="O349" s="212" t="e">
        <f>ROUNDDOWN(Table12[[#This Row],[R-DEMAND]]/1320,0)</f>
        <v>#N/A</v>
      </c>
      <c r="P349" s="212" t="e">
        <f>Table12[[#This Row],[ADD ACC]]*Table12[[#This Row],[RT TIME 
(777-500ER)]]</f>
        <v>#N/A</v>
      </c>
    </row>
    <row r="350" spans="1:16" ht="15.75" customHeight="1" x14ac:dyDescent="0.25">
      <c r="A350" s="212" t="s">
        <v>14571</v>
      </c>
      <c r="B350" s="212" t="s">
        <v>4776</v>
      </c>
      <c r="C350" s="212"/>
      <c r="D350" s="226">
        <v>3</v>
      </c>
      <c r="E350" s="212" t="s">
        <v>308</v>
      </c>
      <c r="F350" s="212" t="s">
        <v>12674</v>
      </c>
      <c r="G350" s="227" t="s">
        <v>11750</v>
      </c>
      <c r="H350" s="228">
        <v>2714</v>
      </c>
      <c r="I350" s="208">
        <v>8.25</v>
      </c>
      <c r="J350" s="211"/>
      <c r="K350" s="209">
        <v>0</v>
      </c>
      <c r="L350" s="212"/>
      <c r="M350" s="212" t="e">
        <f>VLOOKUP(Table12[[#This Row],[ROUTE]],DEMAND!A:F,5,FALSE)</f>
        <v>#N/A</v>
      </c>
      <c r="N350" s="212" t="e">
        <f>VLOOKUP(Table12[[#This Row],[ROUTE]],DEMAND!A:F,6,FALSE)</f>
        <v>#N/A</v>
      </c>
      <c r="O350" s="212" t="e">
        <f>ROUNDDOWN(Table12[[#This Row],[R-DEMAND]]/1320,0)</f>
        <v>#N/A</v>
      </c>
      <c r="P350" s="212" t="e">
        <f>Table12[[#This Row],[ADD ACC]]*Table12[[#This Row],[RT TIME 
(777-500ER)]]</f>
        <v>#N/A</v>
      </c>
    </row>
    <row r="351" spans="1:16" ht="15.75" customHeight="1" x14ac:dyDescent="0.25">
      <c r="A351" s="212" t="s">
        <v>14866</v>
      </c>
      <c r="B351" s="212" t="s">
        <v>4494</v>
      </c>
      <c r="C351" s="212"/>
      <c r="D351" s="226">
        <v>2</v>
      </c>
      <c r="E351" s="212" t="s">
        <v>172</v>
      </c>
      <c r="F351" s="212" t="s">
        <v>12670</v>
      </c>
      <c r="G351" s="227" t="s">
        <v>10925</v>
      </c>
      <c r="H351" s="228">
        <v>2855</v>
      </c>
      <c r="I351" s="208">
        <v>8.5</v>
      </c>
      <c r="J351" s="211"/>
      <c r="K351" s="209">
        <v>0</v>
      </c>
      <c r="L351" s="212"/>
      <c r="M351" s="212" t="e">
        <f>VLOOKUP(Table12[[#This Row],[ROUTE]],DEMAND!A:F,5,FALSE)</f>
        <v>#N/A</v>
      </c>
      <c r="N351" s="212" t="e">
        <f>VLOOKUP(Table12[[#This Row],[ROUTE]],DEMAND!A:F,6,FALSE)</f>
        <v>#N/A</v>
      </c>
      <c r="O351" s="212" t="e">
        <f>ROUNDDOWN(Table12[[#This Row],[R-DEMAND]]/1320,0)</f>
        <v>#N/A</v>
      </c>
      <c r="P351" s="212" t="e">
        <f>Table12[[#This Row],[ADD ACC]]*Table12[[#This Row],[RT TIME 
(777-500ER)]]</f>
        <v>#N/A</v>
      </c>
    </row>
    <row r="352" spans="1:16" ht="15.75" customHeight="1" x14ac:dyDescent="0.25">
      <c r="A352" s="212" t="s">
        <v>14573</v>
      </c>
      <c r="B352" s="212" t="s">
        <v>3365</v>
      </c>
      <c r="C352" s="212"/>
      <c r="D352" s="226">
        <v>2</v>
      </c>
      <c r="E352" s="212" t="s">
        <v>588</v>
      </c>
      <c r="F352" s="212" t="s">
        <v>12674</v>
      </c>
      <c r="G352" s="227" t="s">
        <v>11924</v>
      </c>
      <c r="H352" s="228">
        <v>1412</v>
      </c>
      <c r="I352" s="208">
        <v>5.25</v>
      </c>
      <c r="J352" s="211"/>
      <c r="K352" s="209">
        <v>0</v>
      </c>
      <c r="L352" s="212"/>
      <c r="M352" s="212" t="e">
        <f>VLOOKUP(Table12[[#This Row],[ROUTE]],DEMAND!A:F,5,FALSE)</f>
        <v>#N/A</v>
      </c>
      <c r="N352" s="212" t="e">
        <f>VLOOKUP(Table12[[#This Row],[ROUTE]],DEMAND!A:F,6,FALSE)</f>
        <v>#N/A</v>
      </c>
      <c r="O352" s="212" t="e">
        <f>ROUNDDOWN(Table12[[#This Row],[R-DEMAND]]/1320,0)</f>
        <v>#N/A</v>
      </c>
      <c r="P352" s="212" t="e">
        <f>Table12[[#This Row],[ADD ACC]]*Table12[[#This Row],[RT TIME 
(777-500ER)]]</f>
        <v>#N/A</v>
      </c>
    </row>
    <row r="353" spans="1:16" ht="15.75" customHeight="1" x14ac:dyDescent="0.25">
      <c r="A353" s="212" t="s">
        <v>14577</v>
      </c>
      <c r="B353" s="212" t="s">
        <v>5253</v>
      </c>
      <c r="C353" s="212"/>
      <c r="D353" s="226">
        <v>3</v>
      </c>
      <c r="E353" s="212" t="s">
        <v>588</v>
      </c>
      <c r="F353" s="212" t="s">
        <v>12674</v>
      </c>
      <c r="G353" s="227" t="s">
        <v>11991</v>
      </c>
      <c r="H353" s="228">
        <v>3081</v>
      </c>
      <c r="I353" s="208">
        <v>9</v>
      </c>
      <c r="J353" s="211"/>
      <c r="K353" s="209">
        <v>0</v>
      </c>
      <c r="L353" s="212"/>
      <c r="M353" s="212" t="e">
        <f>VLOOKUP(Table12[[#This Row],[ROUTE]],DEMAND!A:F,5,FALSE)</f>
        <v>#N/A</v>
      </c>
      <c r="N353" s="212" t="e">
        <f>VLOOKUP(Table12[[#This Row],[ROUTE]],DEMAND!A:F,6,FALSE)</f>
        <v>#N/A</v>
      </c>
      <c r="O353" s="212" t="e">
        <f>ROUNDDOWN(Table12[[#This Row],[R-DEMAND]]/1320,0)</f>
        <v>#N/A</v>
      </c>
      <c r="P353" s="212" t="e">
        <f>Table12[[#This Row],[ADD ACC]]*Table12[[#This Row],[RT TIME 
(777-500ER)]]</f>
        <v>#N/A</v>
      </c>
    </row>
    <row r="354" spans="1:16" ht="15.75" customHeight="1" x14ac:dyDescent="0.25">
      <c r="A354" s="212" t="s">
        <v>14900</v>
      </c>
      <c r="B354" s="212" t="s">
        <v>4814</v>
      </c>
      <c r="C354" s="212"/>
      <c r="D354" s="226">
        <v>3</v>
      </c>
      <c r="E354" s="212" t="s">
        <v>1654</v>
      </c>
      <c r="F354" s="212" t="s">
        <v>12670</v>
      </c>
      <c r="G354" s="227" t="s">
        <v>11886</v>
      </c>
      <c r="H354" s="228">
        <v>2139</v>
      </c>
      <c r="I354" s="208">
        <v>7</v>
      </c>
      <c r="J354" s="211"/>
      <c r="K354" s="209">
        <v>0</v>
      </c>
      <c r="L354" s="212"/>
      <c r="M354" s="212" t="e">
        <f>VLOOKUP(Table12[[#This Row],[ROUTE]],DEMAND!A:F,5,FALSE)</f>
        <v>#N/A</v>
      </c>
      <c r="N354" s="212" t="e">
        <f>VLOOKUP(Table12[[#This Row],[ROUTE]],DEMAND!A:F,6,FALSE)</f>
        <v>#N/A</v>
      </c>
      <c r="O354" s="212" t="e">
        <f>ROUNDDOWN(Table12[[#This Row],[R-DEMAND]]/1320,0)</f>
        <v>#N/A</v>
      </c>
      <c r="P354" s="212" t="e">
        <f>Table12[[#This Row],[ADD ACC]]*Table12[[#This Row],[RT TIME 
(777-500ER)]]</f>
        <v>#N/A</v>
      </c>
    </row>
    <row r="355" spans="1:16" ht="15.75" customHeight="1" x14ac:dyDescent="0.25">
      <c r="A355" s="212" t="s">
        <v>14372</v>
      </c>
      <c r="B355" s="212" t="s">
        <v>4416</v>
      </c>
      <c r="C355" s="212"/>
      <c r="D355" s="226" t="s">
        <v>15105</v>
      </c>
      <c r="E355" s="212" t="s">
        <v>647</v>
      </c>
      <c r="F355" s="212" t="s">
        <v>12688</v>
      </c>
      <c r="G355" s="227" t="s">
        <v>13300</v>
      </c>
      <c r="H355" s="228">
        <v>9234</v>
      </c>
      <c r="I355" s="208">
        <v>22.75</v>
      </c>
      <c r="J355" s="211"/>
      <c r="K355" s="209">
        <v>0</v>
      </c>
      <c r="L355" s="212"/>
      <c r="M355" s="212" t="e">
        <f>VLOOKUP(Table12[[#This Row],[ROUTE]],DEMAND!A:F,5,FALSE)</f>
        <v>#N/A</v>
      </c>
      <c r="N355" s="212" t="e">
        <f>VLOOKUP(Table12[[#This Row],[ROUTE]],DEMAND!A:F,6,FALSE)</f>
        <v>#N/A</v>
      </c>
      <c r="O355" s="212" t="e">
        <f>ROUNDDOWN(Table12[[#This Row],[R-DEMAND]]/1320,0)</f>
        <v>#N/A</v>
      </c>
      <c r="P355" s="212" t="e">
        <f>Table12[[#This Row],[ADD ACC]]*Table12[[#This Row],[RT TIME 
(777-500ER)]]</f>
        <v>#N/A</v>
      </c>
    </row>
    <row r="356" spans="1:16" ht="15.75" customHeight="1" x14ac:dyDescent="0.25">
      <c r="A356" s="212" t="s">
        <v>14825</v>
      </c>
      <c r="B356" s="212" t="s">
        <v>5317</v>
      </c>
      <c r="C356" s="212"/>
      <c r="D356" s="226">
        <v>3</v>
      </c>
      <c r="E356" s="212" t="s">
        <v>2711</v>
      </c>
      <c r="F356" s="212" t="s">
        <v>12670</v>
      </c>
      <c r="G356" s="227" t="s">
        <v>11892</v>
      </c>
      <c r="H356" s="228">
        <v>2638</v>
      </c>
      <c r="I356" s="208">
        <v>8</v>
      </c>
      <c r="J356" s="211"/>
      <c r="K356" s="209">
        <v>0</v>
      </c>
      <c r="L356" s="212"/>
      <c r="M356" s="212" t="e">
        <f>VLOOKUP(Table12[[#This Row],[ROUTE]],DEMAND!A:F,5,FALSE)</f>
        <v>#N/A</v>
      </c>
      <c r="N356" s="212" t="e">
        <f>VLOOKUP(Table12[[#This Row],[ROUTE]],DEMAND!A:F,6,FALSE)</f>
        <v>#N/A</v>
      </c>
      <c r="O356" s="212" t="e">
        <f>ROUNDDOWN(Table12[[#This Row],[R-DEMAND]]/1320,0)</f>
        <v>#N/A</v>
      </c>
      <c r="P356" s="212" t="e">
        <f>Table12[[#This Row],[ADD ACC]]*Table12[[#This Row],[RT TIME 
(777-500ER)]]</f>
        <v>#N/A</v>
      </c>
    </row>
    <row r="357" spans="1:16" ht="15.75" customHeight="1" x14ac:dyDescent="0.25">
      <c r="A357" s="212" t="s">
        <v>14289</v>
      </c>
      <c r="B357" s="212" t="s">
        <v>5327</v>
      </c>
      <c r="C357" s="212"/>
      <c r="D357" s="226" t="s">
        <v>15106</v>
      </c>
      <c r="E357" s="212" t="s">
        <v>647</v>
      </c>
      <c r="F357" s="212" t="s">
        <v>12688</v>
      </c>
      <c r="G357" s="227" t="s">
        <v>11737</v>
      </c>
      <c r="H357" s="228">
        <v>7035</v>
      </c>
      <c r="I357" s="208">
        <v>18</v>
      </c>
      <c r="J357" s="211"/>
      <c r="K357" s="209">
        <v>0</v>
      </c>
      <c r="L357" s="212"/>
      <c r="M357" s="212" t="e">
        <f>VLOOKUP(Table12[[#This Row],[ROUTE]],DEMAND!A:F,5,FALSE)</f>
        <v>#N/A</v>
      </c>
      <c r="N357" s="212" t="e">
        <f>VLOOKUP(Table12[[#This Row],[ROUTE]],DEMAND!A:F,6,FALSE)</f>
        <v>#N/A</v>
      </c>
      <c r="O357" s="212" t="e">
        <f>ROUNDDOWN(Table12[[#This Row],[R-DEMAND]]/1320,0)</f>
        <v>#N/A</v>
      </c>
      <c r="P357" s="212" t="e">
        <f>Table12[[#This Row],[ADD ACC]]*Table12[[#This Row],[RT TIME 
(777-500ER)]]</f>
        <v>#N/A</v>
      </c>
    </row>
    <row r="358" spans="1:16" ht="15.75" customHeight="1" x14ac:dyDescent="0.25">
      <c r="A358" s="212" t="s">
        <v>14560</v>
      </c>
      <c r="B358" s="212" t="s">
        <v>4092</v>
      </c>
      <c r="C358" s="212"/>
      <c r="D358" s="226">
        <v>2</v>
      </c>
      <c r="E358" s="212" t="s">
        <v>308</v>
      </c>
      <c r="F358" s="212" t="s">
        <v>12674</v>
      </c>
      <c r="G358" s="227" t="s">
        <v>11789</v>
      </c>
      <c r="H358" s="228">
        <v>2185</v>
      </c>
      <c r="I358" s="208">
        <v>7</v>
      </c>
      <c r="J358" s="211"/>
      <c r="K358" s="209">
        <v>0</v>
      </c>
      <c r="L358" s="212"/>
      <c r="M358" s="212" t="e">
        <f>VLOOKUP(Table12[[#This Row],[ROUTE]],DEMAND!A:F,5,FALSE)</f>
        <v>#N/A</v>
      </c>
      <c r="N358" s="212" t="e">
        <f>VLOOKUP(Table12[[#This Row],[ROUTE]],DEMAND!A:F,6,FALSE)</f>
        <v>#N/A</v>
      </c>
      <c r="O358" s="212" t="e">
        <f>ROUNDDOWN(Table12[[#This Row],[R-DEMAND]]/1320,0)</f>
        <v>#N/A</v>
      </c>
      <c r="P358" s="212" t="e">
        <f>Table12[[#This Row],[ADD ACC]]*Table12[[#This Row],[RT TIME 
(777-500ER)]]</f>
        <v>#N/A</v>
      </c>
    </row>
    <row r="359" spans="1:16" ht="15.75" customHeight="1" x14ac:dyDescent="0.25">
      <c r="A359" s="212" t="s">
        <v>14729</v>
      </c>
      <c r="B359" s="212" t="s">
        <v>1678</v>
      </c>
      <c r="C359" s="212"/>
      <c r="D359" s="226">
        <v>1</v>
      </c>
      <c r="E359" s="212" t="s">
        <v>14</v>
      </c>
      <c r="F359" s="212" t="s">
        <v>12670</v>
      </c>
      <c r="G359" s="227" t="s">
        <v>12056</v>
      </c>
      <c r="H359" s="228">
        <v>6593</v>
      </c>
      <c r="I359" s="208">
        <v>17</v>
      </c>
      <c r="J359" s="211"/>
      <c r="K359" s="209">
        <v>0</v>
      </c>
      <c r="L359" s="212"/>
      <c r="M359" s="212" t="e">
        <f>VLOOKUP(Table12[[#This Row],[ROUTE]],DEMAND!A:F,5,FALSE)</f>
        <v>#N/A</v>
      </c>
      <c r="N359" s="212" t="e">
        <f>VLOOKUP(Table12[[#This Row],[ROUTE]],DEMAND!A:F,6,FALSE)</f>
        <v>#N/A</v>
      </c>
      <c r="O359" s="212" t="e">
        <f>ROUNDDOWN(Table12[[#This Row],[R-DEMAND]]/1320,0)</f>
        <v>#N/A</v>
      </c>
      <c r="P359" s="212" t="e">
        <f>Table12[[#This Row],[ADD ACC]]*Table12[[#This Row],[RT TIME 
(777-500ER)]]</f>
        <v>#N/A</v>
      </c>
    </row>
    <row r="360" spans="1:16" ht="15.75" customHeight="1" x14ac:dyDescent="0.25">
      <c r="A360" s="212" t="s">
        <v>14870</v>
      </c>
      <c r="B360" s="212" t="s">
        <v>4543</v>
      </c>
      <c r="C360" s="212"/>
      <c r="D360" s="226">
        <v>2</v>
      </c>
      <c r="E360" s="212" t="s">
        <v>172</v>
      </c>
      <c r="F360" s="212" t="s">
        <v>12670</v>
      </c>
      <c r="G360" s="227" t="s">
        <v>11936</v>
      </c>
      <c r="H360" s="228">
        <v>3082</v>
      </c>
      <c r="I360" s="208">
        <v>9</v>
      </c>
      <c r="J360" s="211"/>
      <c r="K360" s="209">
        <v>0</v>
      </c>
      <c r="L360" s="212"/>
      <c r="M360" s="212" t="e">
        <f>VLOOKUP(Table12[[#This Row],[ROUTE]],DEMAND!A:F,5,FALSE)</f>
        <v>#N/A</v>
      </c>
      <c r="N360" s="212" t="e">
        <f>VLOOKUP(Table12[[#This Row],[ROUTE]],DEMAND!A:F,6,FALSE)</f>
        <v>#N/A</v>
      </c>
      <c r="O360" s="212" t="e">
        <f>ROUNDDOWN(Table12[[#This Row],[R-DEMAND]]/1320,0)</f>
        <v>#N/A</v>
      </c>
      <c r="P360" s="212" t="e">
        <f>Table12[[#This Row],[ADD ACC]]*Table12[[#This Row],[RT TIME 
(777-500ER)]]</f>
        <v>#N/A</v>
      </c>
    </row>
    <row r="361" spans="1:16" ht="15.75" customHeight="1" x14ac:dyDescent="0.25">
      <c r="A361" s="212" t="s">
        <v>14826</v>
      </c>
      <c r="B361" s="212" t="s">
        <v>2713</v>
      </c>
      <c r="C361" s="212"/>
      <c r="D361" s="226">
        <v>2</v>
      </c>
      <c r="E361" s="212" t="s">
        <v>2711</v>
      </c>
      <c r="F361" s="212" t="s">
        <v>12670</v>
      </c>
      <c r="G361" s="227" t="s">
        <v>11887</v>
      </c>
      <c r="H361" s="228">
        <v>2878</v>
      </c>
      <c r="I361" s="208">
        <v>8.5</v>
      </c>
      <c r="J361" s="211"/>
      <c r="K361" s="209">
        <v>0</v>
      </c>
      <c r="L361" s="212"/>
      <c r="M361" s="212" t="e">
        <f>VLOOKUP(Table12[[#This Row],[ROUTE]],DEMAND!A:F,5,FALSE)</f>
        <v>#N/A</v>
      </c>
      <c r="N361" s="212" t="e">
        <f>VLOOKUP(Table12[[#This Row],[ROUTE]],DEMAND!A:F,6,FALSE)</f>
        <v>#N/A</v>
      </c>
      <c r="O361" s="212" t="e">
        <f>ROUNDDOWN(Table12[[#This Row],[R-DEMAND]]/1320,0)</f>
        <v>#N/A</v>
      </c>
      <c r="P361" s="212" t="e">
        <f>Table12[[#This Row],[ADD ACC]]*Table12[[#This Row],[RT TIME 
(777-500ER)]]</f>
        <v>#N/A</v>
      </c>
    </row>
    <row r="362" spans="1:16" ht="15.75" customHeight="1" x14ac:dyDescent="0.25">
      <c r="A362" s="212" t="s">
        <v>14668</v>
      </c>
      <c r="B362" s="212" t="s">
        <v>5653</v>
      </c>
      <c r="C362" s="212"/>
      <c r="D362" s="226">
        <v>3</v>
      </c>
      <c r="E362" s="212" t="s">
        <v>585</v>
      </c>
      <c r="F362" s="212" t="s">
        <v>12674</v>
      </c>
      <c r="G362" s="227" t="s">
        <v>11802</v>
      </c>
      <c r="H362" s="228">
        <v>1277</v>
      </c>
      <c r="I362" s="208">
        <v>5</v>
      </c>
      <c r="J362" s="211"/>
      <c r="K362" s="209">
        <v>0</v>
      </c>
      <c r="L362" s="212"/>
      <c r="M362" s="212" t="e">
        <f>VLOOKUP(Table12[[#This Row],[ROUTE]],DEMAND!A:F,5,FALSE)</f>
        <v>#N/A</v>
      </c>
      <c r="N362" s="212" t="e">
        <f>VLOOKUP(Table12[[#This Row],[ROUTE]],DEMAND!A:F,6,FALSE)</f>
        <v>#N/A</v>
      </c>
      <c r="O362" s="212" t="e">
        <f>ROUNDDOWN(Table12[[#This Row],[R-DEMAND]]/1320,0)</f>
        <v>#N/A</v>
      </c>
      <c r="P362" s="212" t="e">
        <f>Table12[[#This Row],[ADD ACC]]*Table12[[#This Row],[RT TIME 
(777-500ER)]]</f>
        <v>#N/A</v>
      </c>
    </row>
    <row r="363" spans="1:16" ht="15.75" customHeight="1" x14ac:dyDescent="0.25">
      <c r="A363" s="212" t="s">
        <v>14941</v>
      </c>
      <c r="B363" s="212" t="s">
        <v>4499</v>
      </c>
      <c r="C363" s="212"/>
      <c r="D363" s="226">
        <v>2</v>
      </c>
      <c r="E363" s="212" t="s">
        <v>4497</v>
      </c>
      <c r="F363" s="212" t="s">
        <v>12670</v>
      </c>
      <c r="G363" s="227" t="s">
        <v>11958</v>
      </c>
      <c r="H363" s="228">
        <v>2468</v>
      </c>
      <c r="I363" s="208">
        <v>7.75</v>
      </c>
      <c r="J363" s="211"/>
      <c r="K363" s="209">
        <v>0</v>
      </c>
      <c r="L363" s="212"/>
      <c r="M363" s="212" t="e">
        <f>VLOOKUP(Table12[[#This Row],[ROUTE]],DEMAND!A:F,5,FALSE)</f>
        <v>#N/A</v>
      </c>
      <c r="N363" s="212" t="e">
        <f>VLOOKUP(Table12[[#This Row],[ROUTE]],DEMAND!A:F,6,FALSE)</f>
        <v>#N/A</v>
      </c>
      <c r="O363" s="212" t="e">
        <f>ROUNDDOWN(Table12[[#This Row],[R-DEMAND]]/1320,0)</f>
        <v>#N/A</v>
      </c>
      <c r="P363" s="212" t="e">
        <f>Table12[[#This Row],[ADD ACC]]*Table12[[#This Row],[RT TIME 
(777-500ER)]]</f>
        <v>#N/A</v>
      </c>
    </row>
    <row r="364" spans="1:16" ht="15.75" customHeight="1" x14ac:dyDescent="0.25">
      <c r="A364" s="212" t="s">
        <v>15030</v>
      </c>
      <c r="B364" s="212" t="s">
        <v>501</v>
      </c>
      <c r="C364" s="212"/>
      <c r="D364" s="226">
        <v>1</v>
      </c>
      <c r="E364" s="212" t="s">
        <v>499</v>
      </c>
      <c r="F364" s="212" t="s">
        <v>12671</v>
      </c>
      <c r="G364" s="227" t="s">
        <v>11679</v>
      </c>
      <c r="H364" s="228">
        <v>6604</v>
      </c>
      <c r="I364" s="208">
        <v>17</v>
      </c>
      <c r="J364" s="211"/>
      <c r="K364" s="209">
        <v>0</v>
      </c>
      <c r="L364" s="212"/>
      <c r="M364" s="212" t="e">
        <f>VLOOKUP(Table12[[#This Row],[ROUTE]],DEMAND!A:F,5,FALSE)</f>
        <v>#N/A</v>
      </c>
      <c r="N364" s="212" t="e">
        <f>VLOOKUP(Table12[[#This Row],[ROUTE]],DEMAND!A:F,6,FALSE)</f>
        <v>#N/A</v>
      </c>
      <c r="O364" s="212" t="e">
        <f>ROUNDDOWN(Table12[[#This Row],[R-DEMAND]]/1320,0)</f>
        <v>#N/A</v>
      </c>
      <c r="P364" s="212" t="e">
        <f>Table12[[#This Row],[ADD ACC]]*Table12[[#This Row],[RT TIME 
(777-500ER)]]</f>
        <v>#N/A</v>
      </c>
    </row>
    <row r="365" spans="1:16" ht="15.75" customHeight="1" x14ac:dyDescent="0.25">
      <c r="A365" s="212" t="s">
        <v>14929</v>
      </c>
      <c r="B365" s="212" t="s">
        <v>4404</v>
      </c>
      <c r="C365" s="212"/>
      <c r="D365" s="226">
        <v>2</v>
      </c>
      <c r="E365" s="212" t="s">
        <v>700</v>
      </c>
      <c r="F365" s="212" t="s">
        <v>12670</v>
      </c>
      <c r="G365" s="227" t="s">
        <v>11867</v>
      </c>
      <c r="H365" s="228">
        <v>1859</v>
      </c>
      <c r="I365" s="208">
        <v>6.25</v>
      </c>
      <c r="J365" s="211"/>
      <c r="K365" s="209">
        <v>0</v>
      </c>
      <c r="L365" s="212"/>
      <c r="M365" s="212" t="e">
        <f>VLOOKUP(Table12[[#This Row],[ROUTE]],DEMAND!A:F,5,FALSE)</f>
        <v>#N/A</v>
      </c>
      <c r="N365" s="212" t="e">
        <f>VLOOKUP(Table12[[#This Row],[ROUTE]],DEMAND!A:F,6,FALSE)</f>
        <v>#N/A</v>
      </c>
      <c r="O365" s="212" t="e">
        <f>ROUNDDOWN(Table12[[#This Row],[R-DEMAND]]/1320,0)</f>
        <v>#N/A</v>
      </c>
      <c r="P365" s="212" t="e">
        <f>Table12[[#This Row],[ADD ACC]]*Table12[[#This Row],[RT TIME 
(777-500ER)]]</f>
        <v>#N/A</v>
      </c>
    </row>
    <row r="366" spans="1:16" ht="15.75" customHeight="1" x14ac:dyDescent="0.25">
      <c r="A366" s="212" t="s">
        <v>14256</v>
      </c>
      <c r="B366" s="212" t="s">
        <v>443</v>
      </c>
      <c r="C366" s="212"/>
      <c r="D366" s="226">
        <v>2</v>
      </c>
      <c r="E366" s="212" t="s">
        <v>2395</v>
      </c>
      <c r="F366" s="212" t="s">
        <v>12694</v>
      </c>
      <c r="G366" s="227" t="s">
        <v>13233</v>
      </c>
      <c r="H366" s="228">
        <v>12629</v>
      </c>
      <c r="I366" s="208">
        <v>30.5</v>
      </c>
      <c r="J366" s="211"/>
      <c r="K366" s="209">
        <v>0</v>
      </c>
      <c r="L366" s="212"/>
      <c r="M366" s="212" t="e">
        <f>VLOOKUP(Table12[[#This Row],[ROUTE]],DEMAND!A:F,5,FALSE)</f>
        <v>#N/A</v>
      </c>
      <c r="N366" s="212" t="e">
        <f>VLOOKUP(Table12[[#This Row],[ROUTE]],DEMAND!A:F,6,FALSE)</f>
        <v>#N/A</v>
      </c>
      <c r="O366" s="212" t="e">
        <f>ROUNDDOWN(Table12[[#This Row],[R-DEMAND]]/1320,0)</f>
        <v>#N/A</v>
      </c>
      <c r="P366" s="212" t="e">
        <f>Table12[[#This Row],[ADD ACC]]*Table12[[#This Row],[RT TIME 
(777-500ER)]]</f>
        <v>#N/A</v>
      </c>
    </row>
    <row r="367" spans="1:16" ht="15.75" customHeight="1" x14ac:dyDescent="0.25">
      <c r="A367" s="212" t="s">
        <v>14801</v>
      </c>
      <c r="B367" s="212" t="s">
        <v>4964</v>
      </c>
      <c r="C367" s="212"/>
      <c r="D367" s="226">
        <v>3</v>
      </c>
      <c r="E367" s="212" t="s">
        <v>502</v>
      </c>
      <c r="F367" s="212" t="s">
        <v>12670</v>
      </c>
      <c r="G367" s="227" t="s">
        <v>10765</v>
      </c>
      <c r="H367" s="228">
        <v>2809</v>
      </c>
      <c r="I367" s="208">
        <v>8.5</v>
      </c>
      <c r="J367" s="211"/>
      <c r="K367" s="209">
        <v>0</v>
      </c>
      <c r="L367" s="212"/>
      <c r="M367" s="212" t="e">
        <f>VLOOKUP(Table12[[#This Row],[ROUTE]],DEMAND!A:F,5,FALSE)</f>
        <v>#N/A</v>
      </c>
      <c r="N367" s="212" t="e">
        <f>VLOOKUP(Table12[[#This Row],[ROUTE]],DEMAND!A:F,6,FALSE)</f>
        <v>#N/A</v>
      </c>
      <c r="O367" s="212" t="e">
        <f>ROUNDDOWN(Table12[[#This Row],[R-DEMAND]]/1320,0)</f>
        <v>#N/A</v>
      </c>
      <c r="P367" s="212" t="e">
        <f>Table12[[#This Row],[ADD ACC]]*Table12[[#This Row],[RT TIME 
(777-500ER)]]</f>
        <v>#N/A</v>
      </c>
    </row>
    <row r="368" spans="1:16" ht="15.75" customHeight="1" x14ac:dyDescent="0.25">
      <c r="A368" s="212" t="s">
        <v>14402</v>
      </c>
      <c r="B368" s="212" t="s">
        <v>4178</v>
      </c>
      <c r="C368" s="212"/>
      <c r="D368" s="226" t="s">
        <v>15105</v>
      </c>
      <c r="E368" s="212" t="s">
        <v>647</v>
      </c>
      <c r="F368" s="212" t="s">
        <v>12688</v>
      </c>
      <c r="G368" s="227" t="s">
        <v>13285</v>
      </c>
      <c r="H368" s="228">
        <v>9736</v>
      </c>
      <c r="I368" s="208">
        <v>24</v>
      </c>
      <c r="J368" s="211"/>
      <c r="K368" s="209">
        <v>0</v>
      </c>
      <c r="L368" s="212"/>
      <c r="M368" s="212" t="e">
        <f>VLOOKUP(Table12[[#This Row],[ROUTE]],DEMAND!A:F,5,FALSE)</f>
        <v>#N/A</v>
      </c>
      <c r="N368" s="212" t="e">
        <f>VLOOKUP(Table12[[#This Row],[ROUTE]],DEMAND!A:F,6,FALSE)</f>
        <v>#N/A</v>
      </c>
      <c r="O368" s="212" t="e">
        <f>ROUNDDOWN(Table12[[#This Row],[R-DEMAND]]/1320,0)</f>
        <v>#N/A</v>
      </c>
      <c r="P368" s="212" t="e">
        <f>Table12[[#This Row],[ADD ACC]]*Table12[[#This Row],[RT TIME 
(777-500ER)]]</f>
        <v>#N/A</v>
      </c>
    </row>
    <row r="369" spans="1:16" ht="15.75" customHeight="1" x14ac:dyDescent="0.25">
      <c r="A369" s="212" t="s">
        <v>14802</v>
      </c>
      <c r="B369" s="212" t="s">
        <v>3790</v>
      </c>
      <c r="C369" s="212"/>
      <c r="D369" s="226">
        <v>2</v>
      </c>
      <c r="E369" s="212" t="s">
        <v>502</v>
      </c>
      <c r="F369" s="212" t="s">
        <v>12670</v>
      </c>
      <c r="G369" s="227" t="s">
        <v>11961</v>
      </c>
      <c r="H369" s="228">
        <v>2910</v>
      </c>
      <c r="I369" s="208">
        <v>8.75</v>
      </c>
      <c r="J369" s="211"/>
      <c r="K369" s="209">
        <v>0</v>
      </c>
      <c r="L369" s="212"/>
      <c r="M369" s="212" t="e">
        <f>VLOOKUP(Table12[[#This Row],[ROUTE]],DEMAND!A:F,5,FALSE)</f>
        <v>#N/A</v>
      </c>
      <c r="N369" s="212" t="e">
        <f>VLOOKUP(Table12[[#This Row],[ROUTE]],DEMAND!A:F,6,FALSE)</f>
        <v>#N/A</v>
      </c>
      <c r="O369" s="212" t="e">
        <f>ROUNDDOWN(Table12[[#This Row],[R-DEMAND]]/1320,0)</f>
        <v>#N/A</v>
      </c>
      <c r="P369" s="212" t="e">
        <f>Table12[[#This Row],[ADD ACC]]*Table12[[#This Row],[RT TIME 
(777-500ER)]]</f>
        <v>#N/A</v>
      </c>
    </row>
    <row r="370" spans="1:16" ht="15.75" customHeight="1" x14ac:dyDescent="0.25">
      <c r="A370" s="212" t="s">
        <v>14993</v>
      </c>
      <c r="B370" s="212" t="s">
        <v>1920</v>
      </c>
      <c r="C370" s="212"/>
      <c r="D370" s="226">
        <v>1</v>
      </c>
      <c r="E370" s="212" t="s">
        <v>493</v>
      </c>
      <c r="F370" s="212" t="s">
        <v>12671</v>
      </c>
      <c r="G370" s="227" t="s">
        <v>11701</v>
      </c>
      <c r="H370" s="228">
        <v>4313</v>
      </c>
      <c r="I370" s="208">
        <v>11.75</v>
      </c>
      <c r="J370" s="211"/>
      <c r="K370" s="209">
        <v>0</v>
      </c>
      <c r="L370" s="212"/>
      <c r="M370" s="212" t="e">
        <f>VLOOKUP(Table12[[#This Row],[ROUTE]],DEMAND!A:F,5,FALSE)</f>
        <v>#N/A</v>
      </c>
      <c r="N370" s="212" t="e">
        <f>VLOOKUP(Table12[[#This Row],[ROUTE]],DEMAND!A:F,6,FALSE)</f>
        <v>#N/A</v>
      </c>
      <c r="O370" s="212" t="e">
        <f>ROUNDDOWN(Table12[[#This Row],[R-DEMAND]]/1320,0)</f>
        <v>#N/A</v>
      </c>
      <c r="P370" s="212" t="e">
        <f>Table12[[#This Row],[ADD ACC]]*Table12[[#This Row],[RT TIME 
(777-500ER)]]</f>
        <v>#N/A</v>
      </c>
    </row>
    <row r="371" spans="1:16" ht="15.75" customHeight="1" x14ac:dyDescent="0.25">
      <c r="A371" s="212" t="s">
        <v>14451</v>
      </c>
      <c r="B371" s="212" t="s">
        <v>2793</v>
      </c>
      <c r="C371" s="212"/>
      <c r="D371" s="226">
        <v>2</v>
      </c>
      <c r="E371" s="212" t="s">
        <v>2791</v>
      </c>
      <c r="F371" s="212" t="s">
        <v>12688</v>
      </c>
      <c r="G371" s="227" t="s">
        <v>13196</v>
      </c>
      <c r="H371" s="228">
        <v>9313</v>
      </c>
      <c r="I371" s="208">
        <v>23</v>
      </c>
      <c r="J371" s="211"/>
      <c r="K371" s="209">
        <v>0</v>
      </c>
      <c r="L371" s="212"/>
      <c r="M371" s="212" t="e">
        <f>VLOOKUP(Table12[[#This Row],[ROUTE]],DEMAND!A:F,5,FALSE)</f>
        <v>#N/A</v>
      </c>
      <c r="N371" s="212" t="e">
        <f>VLOOKUP(Table12[[#This Row],[ROUTE]],DEMAND!A:F,6,FALSE)</f>
        <v>#N/A</v>
      </c>
      <c r="O371" s="212" t="e">
        <f>ROUNDDOWN(Table12[[#This Row],[R-DEMAND]]/1320,0)</f>
        <v>#N/A</v>
      </c>
      <c r="P371" s="212" t="e">
        <f>Table12[[#This Row],[ADD ACC]]*Table12[[#This Row],[RT TIME 
(777-500ER)]]</f>
        <v>#N/A</v>
      </c>
    </row>
    <row r="372" spans="1:16" ht="15.75" customHeight="1" x14ac:dyDescent="0.25">
      <c r="A372" s="212" t="s">
        <v>14696</v>
      </c>
      <c r="B372" s="212" t="s">
        <v>5430</v>
      </c>
      <c r="C372" s="212"/>
      <c r="D372" s="226">
        <v>3</v>
      </c>
      <c r="E372" s="212" t="s">
        <v>5428</v>
      </c>
      <c r="F372" s="212" t="s">
        <v>12670</v>
      </c>
      <c r="G372" s="227" t="s">
        <v>11956</v>
      </c>
      <c r="H372" s="228">
        <v>3401</v>
      </c>
      <c r="I372" s="208">
        <v>9.75</v>
      </c>
      <c r="J372" s="211"/>
      <c r="K372" s="209">
        <v>0</v>
      </c>
      <c r="L372" s="212"/>
      <c r="M372" s="212" t="e">
        <f>VLOOKUP(Table12[[#This Row],[ROUTE]],DEMAND!A:F,5,FALSE)</f>
        <v>#N/A</v>
      </c>
      <c r="N372" s="212" t="e">
        <f>VLOOKUP(Table12[[#This Row],[ROUTE]],DEMAND!A:F,6,FALSE)</f>
        <v>#N/A</v>
      </c>
      <c r="O372" s="212" t="e">
        <f>ROUNDDOWN(Table12[[#This Row],[R-DEMAND]]/1320,0)</f>
        <v>#N/A</v>
      </c>
      <c r="P372" s="212" t="e">
        <f>Table12[[#This Row],[ADD ACC]]*Table12[[#This Row],[RT TIME 
(777-500ER)]]</f>
        <v>#N/A</v>
      </c>
    </row>
    <row r="373" spans="1:16" ht="15.75" customHeight="1" x14ac:dyDescent="0.25">
      <c r="A373" s="212" t="s">
        <v>14931</v>
      </c>
      <c r="B373" s="212" t="s">
        <v>3129</v>
      </c>
      <c r="C373" s="212"/>
      <c r="D373" s="226">
        <v>2</v>
      </c>
      <c r="E373" s="212" t="s">
        <v>700</v>
      </c>
      <c r="F373" s="212" t="s">
        <v>12670</v>
      </c>
      <c r="G373" s="227" t="s">
        <v>10746</v>
      </c>
      <c r="H373" s="228">
        <v>1959</v>
      </c>
      <c r="I373" s="208">
        <v>6.5</v>
      </c>
      <c r="J373" s="211"/>
      <c r="K373" s="209">
        <v>0</v>
      </c>
      <c r="L373" s="212"/>
      <c r="M373" s="212" t="e">
        <f>VLOOKUP(Table12[[#This Row],[ROUTE]],DEMAND!A:F,5,FALSE)</f>
        <v>#N/A</v>
      </c>
      <c r="N373" s="212" t="e">
        <f>VLOOKUP(Table12[[#This Row],[ROUTE]],DEMAND!A:F,6,FALSE)</f>
        <v>#N/A</v>
      </c>
      <c r="O373" s="212" t="e">
        <f>ROUNDDOWN(Table12[[#This Row],[R-DEMAND]]/1320,0)</f>
        <v>#N/A</v>
      </c>
      <c r="P373" s="212" t="e">
        <f>Table12[[#This Row],[ADD ACC]]*Table12[[#This Row],[RT TIME 
(777-500ER)]]</f>
        <v>#N/A</v>
      </c>
    </row>
    <row r="374" spans="1:16" ht="15.75" customHeight="1" x14ac:dyDescent="0.25">
      <c r="A374" s="212" t="s">
        <v>14629</v>
      </c>
      <c r="B374" s="212" t="s">
        <v>5002</v>
      </c>
      <c r="C374" s="212"/>
      <c r="D374" s="226">
        <v>3</v>
      </c>
      <c r="E374" s="212" t="s">
        <v>78</v>
      </c>
      <c r="F374" s="212" t="s">
        <v>12674</v>
      </c>
      <c r="G374" s="227" t="s">
        <v>10740</v>
      </c>
      <c r="H374" s="228">
        <v>2911</v>
      </c>
      <c r="I374" s="208">
        <v>8.75</v>
      </c>
      <c r="J374" s="211"/>
      <c r="K374" s="209">
        <v>0</v>
      </c>
      <c r="L374" s="212"/>
      <c r="M374" s="212" t="e">
        <f>VLOOKUP(Table12[[#This Row],[ROUTE]],DEMAND!A:F,5,FALSE)</f>
        <v>#N/A</v>
      </c>
      <c r="N374" s="212" t="e">
        <f>VLOOKUP(Table12[[#This Row],[ROUTE]],DEMAND!A:F,6,FALSE)</f>
        <v>#N/A</v>
      </c>
      <c r="O374" s="212" t="e">
        <f>ROUNDDOWN(Table12[[#This Row],[R-DEMAND]]/1320,0)</f>
        <v>#N/A</v>
      </c>
      <c r="P374" s="212" t="e">
        <f>Table12[[#This Row],[ADD ACC]]*Table12[[#This Row],[RT TIME 
(777-500ER)]]</f>
        <v>#N/A</v>
      </c>
    </row>
    <row r="375" spans="1:16" ht="15.75" customHeight="1" x14ac:dyDescent="0.25">
      <c r="A375" s="212" t="s">
        <v>15067</v>
      </c>
      <c r="B375" s="212" t="s">
        <v>433</v>
      </c>
      <c r="C375" s="212"/>
      <c r="D375" s="226">
        <v>2</v>
      </c>
      <c r="E375" s="212" t="s">
        <v>1513</v>
      </c>
      <c r="F375" s="212" t="s">
        <v>12671</v>
      </c>
      <c r="G375" s="227" t="s">
        <v>10731</v>
      </c>
      <c r="H375" s="228">
        <v>5045</v>
      </c>
      <c r="I375" s="208">
        <v>13.5</v>
      </c>
      <c r="J375" s="211"/>
      <c r="K375" s="209">
        <v>0</v>
      </c>
      <c r="L375" s="212"/>
      <c r="M375" s="212" t="e">
        <f>VLOOKUP(Table12[[#This Row],[ROUTE]],DEMAND!A:F,5,FALSE)</f>
        <v>#N/A</v>
      </c>
      <c r="N375" s="212" t="e">
        <f>VLOOKUP(Table12[[#This Row],[ROUTE]],DEMAND!A:F,6,FALSE)</f>
        <v>#N/A</v>
      </c>
      <c r="O375" s="212" t="e">
        <f>ROUNDDOWN(Table12[[#This Row],[R-DEMAND]]/1320,0)</f>
        <v>#N/A</v>
      </c>
      <c r="P375" s="212" t="e">
        <f>Table12[[#This Row],[ADD ACC]]*Table12[[#This Row],[RT TIME 
(777-500ER)]]</f>
        <v>#N/A</v>
      </c>
    </row>
    <row r="376" spans="1:16" ht="15.75" customHeight="1" x14ac:dyDescent="0.25">
      <c r="A376" s="212" t="s">
        <v>14419</v>
      </c>
      <c r="B376" s="212" t="s">
        <v>4429</v>
      </c>
      <c r="C376" s="212"/>
      <c r="D376" s="226">
        <v>2</v>
      </c>
      <c r="E376" s="212" t="s">
        <v>4427</v>
      </c>
      <c r="F376" s="212" t="s">
        <v>12688</v>
      </c>
      <c r="G376" s="227" t="s">
        <v>13148</v>
      </c>
      <c r="H376" s="228">
        <v>7825</v>
      </c>
      <c r="I376" s="208">
        <v>19.75</v>
      </c>
      <c r="J376" s="211"/>
      <c r="K376" s="209">
        <v>0</v>
      </c>
      <c r="L376" s="212"/>
      <c r="M376" s="212" t="e">
        <f>VLOOKUP(Table12[[#This Row],[ROUTE]],DEMAND!A:F,5,FALSE)</f>
        <v>#N/A</v>
      </c>
      <c r="N376" s="212" t="e">
        <f>VLOOKUP(Table12[[#This Row],[ROUTE]],DEMAND!A:F,6,FALSE)</f>
        <v>#N/A</v>
      </c>
      <c r="O376" s="212" t="e">
        <f>ROUNDDOWN(Table12[[#This Row],[R-DEMAND]]/1320,0)</f>
        <v>#N/A</v>
      </c>
      <c r="P376" s="212" t="e">
        <f>Table12[[#This Row],[ADD ACC]]*Table12[[#This Row],[RT TIME 
(777-500ER)]]</f>
        <v>#N/A</v>
      </c>
    </row>
    <row r="377" spans="1:16" ht="15.75" customHeight="1" x14ac:dyDescent="0.25">
      <c r="A377" s="212" t="s">
        <v>14294</v>
      </c>
      <c r="B377" s="212" t="s">
        <v>428</v>
      </c>
      <c r="C377" s="212"/>
      <c r="D377" s="226" t="s">
        <v>15106</v>
      </c>
      <c r="E377" s="212" t="s">
        <v>647</v>
      </c>
      <c r="F377" s="212" t="s">
        <v>12688</v>
      </c>
      <c r="G377" s="227" t="s">
        <v>13341</v>
      </c>
      <c r="H377" s="228">
        <v>7376</v>
      </c>
      <c r="I377" s="208">
        <v>18.75</v>
      </c>
      <c r="J377" s="211"/>
      <c r="K377" s="209">
        <v>0</v>
      </c>
      <c r="L377" s="212"/>
      <c r="M377" s="212" t="e">
        <f>VLOOKUP(Table12[[#This Row],[ROUTE]],DEMAND!A:F,5,FALSE)</f>
        <v>#N/A</v>
      </c>
      <c r="N377" s="212" t="e">
        <f>VLOOKUP(Table12[[#This Row],[ROUTE]],DEMAND!A:F,6,FALSE)</f>
        <v>#N/A</v>
      </c>
      <c r="O377" s="212" t="e">
        <f>ROUNDDOWN(Table12[[#This Row],[R-DEMAND]]/1320,0)</f>
        <v>#N/A</v>
      </c>
      <c r="P377" s="212" t="e">
        <f>Table12[[#This Row],[ADD ACC]]*Table12[[#This Row],[RT TIME 
(777-500ER)]]</f>
        <v>#N/A</v>
      </c>
    </row>
    <row r="378" spans="1:16" ht="15.75" customHeight="1" x14ac:dyDescent="0.25">
      <c r="A378" s="212" t="s">
        <v>14645</v>
      </c>
      <c r="B378" s="212" t="s">
        <v>5110</v>
      </c>
      <c r="C378" s="212"/>
      <c r="D378" s="226">
        <v>3</v>
      </c>
      <c r="E378" s="212" t="s">
        <v>1683</v>
      </c>
      <c r="F378" s="212" t="s">
        <v>12674</v>
      </c>
      <c r="G378" s="227" t="s">
        <v>11813</v>
      </c>
      <c r="H378" s="228">
        <v>1712</v>
      </c>
      <c r="I378" s="208">
        <v>6</v>
      </c>
      <c r="J378" s="211"/>
      <c r="K378" s="209">
        <v>0</v>
      </c>
      <c r="L378" s="212"/>
      <c r="M378" s="212" t="e">
        <f>VLOOKUP(Table12[[#This Row],[ROUTE]],DEMAND!A:F,5,FALSE)</f>
        <v>#N/A</v>
      </c>
      <c r="N378" s="212" t="e">
        <f>VLOOKUP(Table12[[#This Row],[ROUTE]],DEMAND!A:F,6,FALSE)</f>
        <v>#N/A</v>
      </c>
      <c r="O378" s="212" t="e">
        <f>ROUNDDOWN(Table12[[#This Row],[R-DEMAND]]/1320,0)</f>
        <v>#N/A</v>
      </c>
      <c r="P378" s="212" t="e">
        <f>Table12[[#This Row],[ADD ACC]]*Table12[[#This Row],[RT TIME 
(777-500ER)]]</f>
        <v>#N/A</v>
      </c>
    </row>
    <row r="379" spans="1:16" ht="15.75" customHeight="1" x14ac:dyDescent="0.25">
      <c r="A379" s="212" t="s">
        <v>15037</v>
      </c>
      <c r="B379" s="212" t="s">
        <v>4551</v>
      </c>
      <c r="C379" s="212"/>
      <c r="D379" s="226">
        <v>2</v>
      </c>
      <c r="E379" s="212" t="s">
        <v>4549</v>
      </c>
      <c r="F379" s="212" t="s">
        <v>12671</v>
      </c>
      <c r="G379" s="227" t="s">
        <v>11826</v>
      </c>
      <c r="H379" s="228">
        <v>2935</v>
      </c>
      <c r="I379" s="208">
        <v>8.75</v>
      </c>
      <c r="J379" s="211"/>
      <c r="K379" s="209">
        <v>0</v>
      </c>
      <c r="L379" s="212"/>
      <c r="M379" s="212" t="e">
        <f>VLOOKUP(Table12[[#This Row],[ROUTE]],DEMAND!A:F,5,FALSE)</f>
        <v>#N/A</v>
      </c>
      <c r="N379" s="212" t="e">
        <f>VLOOKUP(Table12[[#This Row],[ROUTE]],DEMAND!A:F,6,FALSE)</f>
        <v>#N/A</v>
      </c>
      <c r="O379" s="212" t="e">
        <f>ROUNDDOWN(Table12[[#This Row],[R-DEMAND]]/1320,0)</f>
        <v>#N/A</v>
      </c>
      <c r="P379" s="212" t="e">
        <f>Table12[[#This Row],[ADD ACC]]*Table12[[#This Row],[RT TIME 
(777-500ER)]]</f>
        <v>#N/A</v>
      </c>
    </row>
    <row r="380" spans="1:16" ht="15.75" customHeight="1" x14ac:dyDescent="0.25">
      <c r="A380" s="212" t="s">
        <v>14523</v>
      </c>
      <c r="B380" s="212" t="s">
        <v>4553</v>
      </c>
      <c r="C380" s="212"/>
      <c r="D380" s="226">
        <v>2</v>
      </c>
      <c r="E380" s="212" t="s">
        <v>560</v>
      </c>
      <c r="F380" s="212" t="s">
        <v>12674</v>
      </c>
      <c r="G380" s="227" t="s">
        <v>11698</v>
      </c>
      <c r="H380" s="228">
        <v>2954</v>
      </c>
      <c r="I380" s="208">
        <v>8.75</v>
      </c>
      <c r="J380" s="211"/>
      <c r="K380" s="209">
        <v>0</v>
      </c>
      <c r="L380" s="212"/>
      <c r="M380" s="212" t="e">
        <f>VLOOKUP(Table12[[#This Row],[ROUTE]],DEMAND!A:F,5,FALSE)</f>
        <v>#N/A</v>
      </c>
      <c r="N380" s="212" t="e">
        <f>VLOOKUP(Table12[[#This Row],[ROUTE]],DEMAND!A:F,6,FALSE)</f>
        <v>#N/A</v>
      </c>
      <c r="O380" s="212" t="e">
        <f>ROUNDDOWN(Table12[[#This Row],[R-DEMAND]]/1320,0)</f>
        <v>#N/A</v>
      </c>
      <c r="P380" s="212" t="e">
        <f>Table12[[#This Row],[ADD ACC]]*Table12[[#This Row],[RT TIME 
(777-500ER)]]</f>
        <v>#N/A</v>
      </c>
    </row>
    <row r="381" spans="1:16" ht="15.75" customHeight="1" x14ac:dyDescent="0.25">
      <c r="A381" s="212" t="s">
        <v>14830</v>
      </c>
      <c r="B381" s="212" t="s">
        <v>5395</v>
      </c>
      <c r="C381" s="212"/>
      <c r="D381" s="226">
        <v>3</v>
      </c>
      <c r="E381" s="212" t="s">
        <v>5393</v>
      </c>
      <c r="F381" s="212" t="s">
        <v>12670</v>
      </c>
      <c r="G381" s="227" t="s">
        <v>11877</v>
      </c>
      <c r="H381" s="228">
        <v>2408</v>
      </c>
      <c r="I381" s="208">
        <v>7.5</v>
      </c>
      <c r="J381" s="211"/>
      <c r="K381" s="209">
        <v>0</v>
      </c>
      <c r="L381" s="212"/>
      <c r="M381" s="212" t="e">
        <f>VLOOKUP(Table12[[#This Row],[ROUTE]],DEMAND!A:F,5,FALSE)</f>
        <v>#N/A</v>
      </c>
      <c r="N381" s="212" t="e">
        <f>VLOOKUP(Table12[[#This Row],[ROUTE]],DEMAND!A:F,6,FALSE)</f>
        <v>#N/A</v>
      </c>
      <c r="O381" s="212" t="e">
        <f>ROUNDDOWN(Table12[[#This Row],[R-DEMAND]]/1320,0)</f>
        <v>#N/A</v>
      </c>
      <c r="P381" s="212" t="e">
        <f>Table12[[#This Row],[ADD ACC]]*Table12[[#This Row],[RT TIME 
(777-500ER)]]</f>
        <v>#N/A</v>
      </c>
    </row>
    <row r="382" spans="1:16" ht="15.75" customHeight="1" x14ac:dyDescent="0.25">
      <c r="A382" s="212" t="s">
        <v>14330</v>
      </c>
      <c r="B382" s="212" t="s">
        <v>2451</v>
      </c>
      <c r="C382" s="212"/>
      <c r="D382" s="226" t="s">
        <v>15104</v>
      </c>
      <c r="E382" s="212" t="s">
        <v>647</v>
      </c>
      <c r="F382" s="212" t="s">
        <v>12688</v>
      </c>
      <c r="G382" s="227" t="s">
        <v>13255</v>
      </c>
      <c r="H382" s="228">
        <v>8422</v>
      </c>
      <c r="I382" s="208">
        <v>21</v>
      </c>
      <c r="J382" s="211"/>
      <c r="K382" s="209">
        <v>0</v>
      </c>
      <c r="L382" s="212"/>
      <c r="M382" s="212" t="e">
        <f>VLOOKUP(Table12[[#This Row],[ROUTE]],DEMAND!A:F,5,FALSE)</f>
        <v>#N/A</v>
      </c>
      <c r="N382" s="212" t="e">
        <f>VLOOKUP(Table12[[#This Row],[ROUTE]],DEMAND!A:F,6,FALSE)</f>
        <v>#N/A</v>
      </c>
      <c r="O382" s="212" t="e">
        <f>ROUNDDOWN(Table12[[#This Row],[R-DEMAND]]/1320,0)</f>
        <v>#N/A</v>
      </c>
      <c r="P382" s="212" t="e">
        <f>Table12[[#This Row],[ADD ACC]]*Table12[[#This Row],[RT TIME 
(777-500ER)]]</f>
        <v>#N/A</v>
      </c>
    </row>
    <row r="383" spans="1:16" ht="15.75" customHeight="1" x14ac:dyDescent="0.25">
      <c r="A383" s="212" t="s">
        <v>14398</v>
      </c>
      <c r="B383" s="212" t="s">
        <v>3337</v>
      </c>
      <c r="C383" s="212"/>
      <c r="D383" s="226" t="s">
        <v>15105</v>
      </c>
      <c r="E383" s="212" t="s">
        <v>647</v>
      </c>
      <c r="F383" s="212" t="s">
        <v>12688</v>
      </c>
      <c r="G383" s="227" t="s">
        <v>13267</v>
      </c>
      <c r="H383" s="228">
        <v>9681</v>
      </c>
      <c r="I383" s="208">
        <v>23.75</v>
      </c>
      <c r="J383" s="211"/>
      <c r="K383" s="209">
        <v>0</v>
      </c>
      <c r="L383" s="212"/>
      <c r="M383" s="212" t="e">
        <f>VLOOKUP(Table12[[#This Row],[ROUTE]],DEMAND!A:F,5,FALSE)</f>
        <v>#N/A</v>
      </c>
      <c r="N383" s="212" t="e">
        <f>VLOOKUP(Table12[[#This Row],[ROUTE]],DEMAND!A:F,6,FALSE)</f>
        <v>#N/A</v>
      </c>
      <c r="O383" s="212" t="e">
        <f>ROUNDDOWN(Table12[[#This Row],[R-DEMAND]]/1320,0)</f>
        <v>#N/A</v>
      </c>
      <c r="P383" s="212" t="e">
        <f>Table12[[#This Row],[ADD ACC]]*Table12[[#This Row],[RT TIME 
(777-500ER)]]</f>
        <v>#N/A</v>
      </c>
    </row>
    <row r="384" spans="1:16" ht="15.75" customHeight="1" x14ac:dyDescent="0.25">
      <c r="A384" s="212" t="s">
        <v>14377</v>
      </c>
      <c r="B384" s="212" t="s">
        <v>4837</v>
      </c>
      <c r="C384" s="212"/>
      <c r="D384" s="226" t="s">
        <v>15106</v>
      </c>
      <c r="E384" s="212" t="s">
        <v>647</v>
      </c>
      <c r="F384" s="212" t="s">
        <v>12688</v>
      </c>
      <c r="G384" s="227" t="s">
        <v>13357</v>
      </c>
      <c r="H384" s="228">
        <v>9164</v>
      </c>
      <c r="I384" s="208">
        <v>22.75</v>
      </c>
      <c r="J384" s="211"/>
      <c r="K384" s="209">
        <v>0</v>
      </c>
      <c r="L384" s="212"/>
      <c r="M384" s="212" t="e">
        <f>VLOOKUP(Table12[[#This Row],[ROUTE]],DEMAND!A:F,5,FALSE)</f>
        <v>#N/A</v>
      </c>
      <c r="N384" s="212" t="e">
        <f>VLOOKUP(Table12[[#This Row],[ROUTE]],DEMAND!A:F,6,FALSE)</f>
        <v>#N/A</v>
      </c>
      <c r="O384" s="212" t="e">
        <f>ROUNDDOWN(Table12[[#This Row],[R-DEMAND]]/1320,0)</f>
        <v>#N/A</v>
      </c>
      <c r="P384" s="212" t="e">
        <f>Table12[[#This Row],[ADD ACC]]*Table12[[#This Row],[RT TIME 
(777-500ER)]]</f>
        <v>#N/A</v>
      </c>
    </row>
    <row r="385" spans="1:16" ht="15.75" customHeight="1" x14ac:dyDescent="0.25">
      <c r="A385" s="212" t="s">
        <v>14688</v>
      </c>
      <c r="B385" s="212" t="s">
        <v>424</v>
      </c>
      <c r="C385" s="212"/>
      <c r="D385" s="226">
        <v>3</v>
      </c>
      <c r="E385" s="212" t="s">
        <v>83</v>
      </c>
      <c r="F385" s="212" t="s">
        <v>12674</v>
      </c>
      <c r="G385" s="227" t="s">
        <v>11700</v>
      </c>
      <c r="H385" s="228">
        <v>2766</v>
      </c>
      <c r="I385" s="208">
        <v>8.25</v>
      </c>
      <c r="J385" s="211"/>
      <c r="K385" s="209">
        <v>0</v>
      </c>
      <c r="L385" s="212"/>
      <c r="M385" s="212" t="e">
        <f>VLOOKUP(Table12[[#This Row],[ROUTE]],DEMAND!A:F,5,FALSE)</f>
        <v>#N/A</v>
      </c>
      <c r="N385" s="212" t="e">
        <f>VLOOKUP(Table12[[#This Row],[ROUTE]],DEMAND!A:F,6,FALSE)</f>
        <v>#N/A</v>
      </c>
      <c r="O385" s="212" t="e">
        <f>ROUNDDOWN(Table12[[#This Row],[R-DEMAND]]/1320,0)</f>
        <v>#N/A</v>
      </c>
      <c r="P385" s="212" t="e">
        <f>Table12[[#This Row],[ADD ACC]]*Table12[[#This Row],[RT TIME 
(777-500ER)]]</f>
        <v>#N/A</v>
      </c>
    </row>
    <row r="386" spans="1:16" ht="15.75" customHeight="1" x14ac:dyDescent="0.25">
      <c r="A386" s="212" t="s">
        <v>14592</v>
      </c>
      <c r="B386" s="212" t="s">
        <v>5356</v>
      </c>
      <c r="C386" s="212"/>
      <c r="D386" s="226">
        <v>3</v>
      </c>
      <c r="E386" s="212" t="s">
        <v>605</v>
      </c>
      <c r="F386" s="212" t="s">
        <v>12674</v>
      </c>
      <c r="G386" s="227" t="s">
        <v>11742</v>
      </c>
      <c r="H386" s="228">
        <v>1986</v>
      </c>
      <c r="I386" s="208">
        <v>6.5</v>
      </c>
      <c r="J386" s="211"/>
      <c r="K386" s="209">
        <v>0</v>
      </c>
      <c r="L386" s="212"/>
      <c r="M386" s="212" t="e">
        <f>VLOOKUP(Table12[[#This Row],[ROUTE]],DEMAND!A:F,5,FALSE)</f>
        <v>#N/A</v>
      </c>
      <c r="N386" s="212" t="e">
        <f>VLOOKUP(Table12[[#This Row],[ROUTE]],DEMAND!A:F,6,FALSE)</f>
        <v>#N/A</v>
      </c>
      <c r="O386" s="212" t="e">
        <f>ROUNDDOWN(Table12[[#This Row],[R-DEMAND]]/1320,0)</f>
        <v>#N/A</v>
      </c>
      <c r="P386" s="212" t="e">
        <f>Table12[[#This Row],[ADD ACC]]*Table12[[#This Row],[RT TIME 
(777-500ER)]]</f>
        <v>#N/A</v>
      </c>
    </row>
    <row r="387" spans="1:16" ht="15.75" customHeight="1" x14ac:dyDescent="0.25">
      <c r="A387" s="212" t="s">
        <v>14288</v>
      </c>
      <c r="B387" s="212" t="s">
        <v>4406</v>
      </c>
      <c r="C387" s="212"/>
      <c r="D387" s="226" t="s">
        <v>15105</v>
      </c>
      <c r="E387" s="212" t="s">
        <v>647</v>
      </c>
      <c r="F387" s="212" t="s">
        <v>12688</v>
      </c>
      <c r="G387" s="227" t="s">
        <v>13333</v>
      </c>
      <c r="H387" s="228">
        <v>6934</v>
      </c>
      <c r="I387" s="208">
        <v>17.75</v>
      </c>
      <c r="J387" s="211"/>
      <c r="K387" s="209">
        <v>0</v>
      </c>
      <c r="L387" s="212"/>
      <c r="M387" s="212" t="e">
        <f>VLOOKUP(Table12[[#This Row],[ROUTE]],DEMAND!A:F,5,FALSE)</f>
        <v>#N/A</v>
      </c>
      <c r="N387" s="212" t="e">
        <f>VLOOKUP(Table12[[#This Row],[ROUTE]],DEMAND!A:F,6,FALSE)</f>
        <v>#N/A</v>
      </c>
      <c r="O387" s="212" t="e">
        <f>ROUNDDOWN(Table12[[#This Row],[R-DEMAND]]/1320,0)</f>
        <v>#N/A</v>
      </c>
      <c r="P387" s="212" t="e">
        <f>Table12[[#This Row],[ADD ACC]]*Table12[[#This Row],[RT TIME 
(777-500ER)]]</f>
        <v>#N/A</v>
      </c>
    </row>
    <row r="388" spans="1:16" ht="15.75" customHeight="1" x14ac:dyDescent="0.25">
      <c r="A388" s="212" t="s">
        <v>14689</v>
      </c>
      <c r="B388" s="212" t="s">
        <v>422</v>
      </c>
      <c r="C388" s="212"/>
      <c r="D388" s="226">
        <v>2</v>
      </c>
      <c r="E388" s="212" t="s">
        <v>3163</v>
      </c>
      <c r="F388" s="212" t="s">
        <v>12670</v>
      </c>
      <c r="G388" s="227" t="s">
        <v>11923</v>
      </c>
      <c r="H388" s="228">
        <v>2511</v>
      </c>
      <c r="I388" s="208">
        <v>7.75</v>
      </c>
      <c r="J388" s="211"/>
      <c r="K388" s="209">
        <v>0</v>
      </c>
      <c r="L388" s="212"/>
      <c r="M388" s="212" t="e">
        <f>VLOOKUP(Table12[[#This Row],[ROUTE]],DEMAND!A:F,5,FALSE)</f>
        <v>#N/A</v>
      </c>
      <c r="N388" s="212" t="e">
        <f>VLOOKUP(Table12[[#This Row],[ROUTE]],DEMAND!A:F,6,FALSE)</f>
        <v>#N/A</v>
      </c>
      <c r="O388" s="212" t="e">
        <f>ROUNDDOWN(Table12[[#This Row],[R-DEMAND]]/1320,0)</f>
        <v>#N/A</v>
      </c>
      <c r="P388" s="212" t="e">
        <f>Table12[[#This Row],[ADD ACC]]*Table12[[#This Row],[RT TIME 
(777-500ER)]]</f>
        <v>#N/A</v>
      </c>
    </row>
    <row r="389" spans="1:16" ht="15.75" customHeight="1" x14ac:dyDescent="0.25">
      <c r="A389" s="212" t="s">
        <v>14882</v>
      </c>
      <c r="B389" s="212" t="s">
        <v>3469</v>
      </c>
      <c r="C389" s="212"/>
      <c r="D389" s="226">
        <v>2</v>
      </c>
      <c r="E389" s="212" t="s">
        <v>172</v>
      </c>
      <c r="F389" s="212" t="s">
        <v>12670</v>
      </c>
      <c r="G389" s="227" t="s">
        <v>10659</v>
      </c>
      <c r="H389" s="228">
        <v>3959</v>
      </c>
      <c r="I389" s="208">
        <v>11</v>
      </c>
      <c r="J389" s="211"/>
      <c r="K389" s="209">
        <v>0</v>
      </c>
      <c r="L389" s="212"/>
      <c r="M389" s="212" t="e">
        <f>VLOOKUP(Table12[[#This Row],[ROUTE]],DEMAND!A:F,5,FALSE)</f>
        <v>#N/A</v>
      </c>
      <c r="N389" s="212" t="e">
        <f>VLOOKUP(Table12[[#This Row],[ROUTE]],DEMAND!A:F,6,FALSE)</f>
        <v>#N/A</v>
      </c>
      <c r="O389" s="212" t="e">
        <f>ROUNDDOWN(Table12[[#This Row],[R-DEMAND]]/1320,0)</f>
        <v>#N/A</v>
      </c>
      <c r="P389" s="212" t="e">
        <f>Table12[[#This Row],[ADD ACC]]*Table12[[#This Row],[RT TIME 
(777-500ER)]]</f>
        <v>#N/A</v>
      </c>
    </row>
    <row r="390" spans="1:16" ht="15.75" customHeight="1" x14ac:dyDescent="0.25">
      <c r="A390" s="212" t="s">
        <v>14949</v>
      </c>
      <c r="B390" s="212" t="s">
        <v>3539</v>
      </c>
      <c r="C390" s="212"/>
      <c r="D390" s="226">
        <v>2</v>
      </c>
      <c r="E390" s="212" t="s">
        <v>2764</v>
      </c>
      <c r="F390" s="212" t="s">
        <v>12670</v>
      </c>
      <c r="G390" s="227" t="s">
        <v>11969</v>
      </c>
      <c r="H390" s="228">
        <v>2616</v>
      </c>
      <c r="I390" s="208">
        <v>8</v>
      </c>
      <c r="J390" s="211"/>
      <c r="K390" s="209">
        <v>0</v>
      </c>
      <c r="L390" s="212"/>
      <c r="M390" s="212" t="e">
        <f>VLOOKUP(Table12[[#This Row],[ROUTE]],DEMAND!A:F,5,FALSE)</f>
        <v>#N/A</v>
      </c>
      <c r="N390" s="212" t="e">
        <f>VLOOKUP(Table12[[#This Row],[ROUTE]],DEMAND!A:F,6,FALSE)</f>
        <v>#N/A</v>
      </c>
      <c r="O390" s="212" t="e">
        <f>ROUNDDOWN(Table12[[#This Row],[R-DEMAND]]/1320,0)</f>
        <v>#N/A</v>
      </c>
      <c r="P390" s="212" t="e">
        <f>Table12[[#This Row],[ADD ACC]]*Table12[[#This Row],[RT TIME 
(777-500ER)]]</f>
        <v>#N/A</v>
      </c>
    </row>
    <row r="391" spans="1:16" ht="15.75" customHeight="1" x14ac:dyDescent="0.25">
      <c r="A391" s="212" t="s">
        <v>14351</v>
      </c>
      <c r="B391" s="212" t="s">
        <v>5145</v>
      </c>
      <c r="C391" s="212"/>
      <c r="D391" s="226" t="s">
        <v>15106</v>
      </c>
      <c r="E391" s="212" t="s">
        <v>647</v>
      </c>
      <c r="F391" s="212" t="s">
        <v>12688</v>
      </c>
      <c r="G391" s="227" t="s">
        <v>13350</v>
      </c>
      <c r="H391" s="228">
        <v>8817</v>
      </c>
      <c r="I391" s="208">
        <v>22</v>
      </c>
      <c r="J391" s="211"/>
      <c r="K391" s="209">
        <v>0</v>
      </c>
      <c r="L391" s="212"/>
      <c r="M391" s="212" t="e">
        <f>VLOOKUP(Table12[[#This Row],[ROUTE]],DEMAND!A:F,5,FALSE)</f>
        <v>#N/A</v>
      </c>
      <c r="N391" s="212" t="e">
        <f>VLOOKUP(Table12[[#This Row],[ROUTE]],DEMAND!A:F,6,FALSE)</f>
        <v>#N/A</v>
      </c>
      <c r="O391" s="212" t="e">
        <f>ROUNDDOWN(Table12[[#This Row],[R-DEMAND]]/1320,0)</f>
        <v>#N/A</v>
      </c>
      <c r="P391" s="212" t="e">
        <f>Table12[[#This Row],[ADD ACC]]*Table12[[#This Row],[RT TIME 
(777-500ER)]]</f>
        <v>#N/A</v>
      </c>
    </row>
    <row r="392" spans="1:16" ht="15.75" customHeight="1" x14ac:dyDescent="0.25">
      <c r="A392" s="212" t="s">
        <v>14735</v>
      </c>
      <c r="B392" s="212" t="s">
        <v>4064</v>
      </c>
      <c r="C392" s="212"/>
      <c r="D392" s="226">
        <v>2</v>
      </c>
      <c r="E392" s="212" t="s">
        <v>14</v>
      </c>
      <c r="F392" s="212" t="s">
        <v>12670</v>
      </c>
      <c r="G392" s="227" t="s">
        <v>12082</v>
      </c>
      <c r="H392" s="228">
        <v>6886</v>
      </c>
      <c r="I392" s="208">
        <v>17.5</v>
      </c>
      <c r="J392" s="211"/>
      <c r="K392" s="209">
        <v>0</v>
      </c>
      <c r="L392" s="212"/>
      <c r="M392" s="212" t="e">
        <f>VLOOKUP(Table12[[#This Row],[ROUTE]],DEMAND!A:F,5,FALSE)</f>
        <v>#N/A</v>
      </c>
      <c r="N392" s="212" t="e">
        <f>VLOOKUP(Table12[[#This Row],[ROUTE]],DEMAND!A:F,6,FALSE)</f>
        <v>#N/A</v>
      </c>
      <c r="O392" s="212" t="e">
        <f>ROUNDDOWN(Table12[[#This Row],[R-DEMAND]]/1320,0)</f>
        <v>#N/A</v>
      </c>
      <c r="P392" s="212" t="e">
        <f>Table12[[#This Row],[ADD ACC]]*Table12[[#This Row],[RT TIME 
(777-500ER)]]</f>
        <v>#N/A</v>
      </c>
    </row>
    <row r="393" spans="1:16" ht="15.75" customHeight="1" x14ac:dyDescent="0.25">
      <c r="A393" s="212" t="s">
        <v>14326</v>
      </c>
      <c r="B393" s="212" t="s">
        <v>4424</v>
      </c>
      <c r="C393" s="212"/>
      <c r="D393" s="226" t="s">
        <v>15105</v>
      </c>
      <c r="E393" s="212" t="s">
        <v>647</v>
      </c>
      <c r="F393" s="212" t="s">
        <v>12688</v>
      </c>
      <c r="G393" s="227" t="s">
        <v>13270</v>
      </c>
      <c r="H393" s="228">
        <v>8331</v>
      </c>
      <c r="I393" s="208">
        <v>20.75</v>
      </c>
      <c r="J393" s="211"/>
      <c r="K393" s="209">
        <v>0</v>
      </c>
      <c r="L393" s="212"/>
      <c r="M393" s="212" t="e">
        <f>VLOOKUP(Table12[[#This Row],[ROUTE]],DEMAND!A:F,5,FALSE)</f>
        <v>#N/A</v>
      </c>
      <c r="N393" s="212" t="e">
        <f>VLOOKUP(Table12[[#This Row],[ROUTE]],DEMAND!A:F,6,FALSE)</f>
        <v>#N/A</v>
      </c>
      <c r="O393" s="212" t="e">
        <f>ROUNDDOWN(Table12[[#This Row],[R-DEMAND]]/1320,0)</f>
        <v>#N/A</v>
      </c>
      <c r="P393" s="212" t="e">
        <f>Table12[[#This Row],[ADD ACC]]*Table12[[#This Row],[RT TIME 
(777-500ER)]]</f>
        <v>#N/A</v>
      </c>
    </row>
    <row r="394" spans="1:16" ht="15.75" customHeight="1" x14ac:dyDescent="0.25">
      <c r="A394" s="212" t="s">
        <v>15026</v>
      </c>
      <c r="B394" s="212" t="s">
        <v>3726</v>
      </c>
      <c r="C394" s="212"/>
      <c r="D394" s="226">
        <v>2</v>
      </c>
      <c r="E394" s="212" t="s">
        <v>3724</v>
      </c>
      <c r="F394" s="212" t="s">
        <v>12671</v>
      </c>
      <c r="G394" s="227" t="s">
        <v>13205</v>
      </c>
      <c r="H394" s="228">
        <v>6597</v>
      </c>
      <c r="I394" s="208">
        <v>17</v>
      </c>
      <c r="J394" s="211"/>
      <c r="K394" s="209">
        <v>0</v>
      </c>
      <c r="L394" s="212"/>
      <c r="M394" s="212" t="e">
        <f>VLOOKUP(Table12[[#This Row],[ROUTE]],DEMAND!A:F,5,FALSE)</f>
        <v>#N/A</v>
      </c>
      <c r="N394" s="212" t="e">
        <f>VLOOKUP(Table12[[#This Row],[ROUTE]],DEMAND!A:F,6,FALSE)</f>
        <v>#N/A</v>
      </c>
      <c r="O394" s="212" t="e">
        <f>ROUNDDOWN(Table12[[#This Row],[R-DEMAND]]/1320,0)</f>
        <v>#N/A</v>
      </c>
      <c r="P394" s="212" t="e">
        <f>Table12[[#This Row],[ADD ACC]]*Table12[[#This Row],[RT TIME 
(777-500ER)]]</f>
        <v>#N/A</v>
      </c>
    </row>
    <row r="395" spans="1:16" ht="15.75" customHeight="1" x14ac:dyDescent="0.25">
      <c r="A395" s="212" t="s">
        <v>15005</v>
      </c>
      <c r="B395" s="212" t="s">
        <v>2614</v>
      </c>
      <c r="C395" s="212"/>
      <c r="D395" s="226">
        <v>2</v>
      </c>
      <c r="E395" s="212" t="s">
        <v>2612</v>
      </c>
      <c r="F395" s="212" t="s">
        <v>12671</v>
      </c>
      <c r="G395" s="227" t="s">
        <v>11891</v>
      </c>
      <c r="H395" s="228">
        <v>6579</v>
      </c>
      <c r="I395" s="208">
        <v>17</v>
      </c>
      <c r="J395" s="211"/>
      <c r="K395" s="209">
        <v>0</v>
      </c>
      <c r="L395" s="212"/>
      <c r="M395" s="212" t="e">
        <f>VLOOKUP(Table12[[#This Row],[ROUTE]],DEMAND!A:F,5,FALSE)</f>
        <v>#N/A</v>
      </c>
      <c r="N395" s="212" t="e">
        <f>VLOOKUP(Table12[[#This Row],[ROUTE]],DEMAND!A:F,6,FALSE)</f>
        <v>#N/A</v>
      </c>
      <c r="O395" s="212" t="e">
        <f>ROUNDDOWN(Table12[[#This Row],[R-DEMAND]]/1320,0)</f>
        <v>#N/A</v>
      </c>
      <c r="P395" s="212" t="e">
        <f>Table12[[#This Row],[ADD ACC]]*Table12[[#This Row],[RT TIME 
(777-500ER)]]</f>
        <v>#N/A</v>
      </c>
    </row>
    <row r="396" spans="1:16" ht="15.75" customHeight="1" x14ac:dyDescent="0.25">
      <c r="A396" s="212" t="s">
        <v>14939</v>
      </c>
      <c r="B396" s="212" t="s">
        <v>5128</v>
      </c>
      <c r="C396" s="212"/>
      <c r="D396" s="226">
        <v>3</v>
      </c>
      <c r="E396" s="212" t="s">
        <v>700</v>
      </c>
      <c r="F396" s="212" t="s">
        <v>12670</v>
      </c>
      <c r="G396" s="227" t="s">
        <v>11849</v>
      </c>
      <c r="H396" s="228">
        <v>2162</v>
      </c>
      <c r="I396" s="208">
        <v>7</v>
      </c>
      <c r="J396" s="211"/>
      <c r="K396" s="209">
        <v>0</v>
      </c>
      <c r="L396" s="212"/>
      <c r="M396" s="212" t="e">
        <f>VLOOKUP(Table12[[#This Row],[ROUTE]],DEMAND!A:F,5,FALSE)</f>
        <v>#N/A</v>
      </c>
      <c r="N396" s="212" t="e">
        <f>VLOOKUP(Table12[[#This Row],[ROUTE]],DEMAND!A:F,6,FALSE)</f>
        <v>#N/A</v>
      </c>
      <c r="O396" s="212" t="e">
        <f>ROUNDDOWN(Table12[[#This Row],[R-DEMAND]]/1320,0)</f>
        <v>#N/A</v>
      </c>
      <c r="P396" s="212" t="e">
        <f>Table12[[#This Row],[ADD ACC]]*Table12[[#This Row],[RT TIME 
(777-500ER)]]</f>
        <v>#N/A</v>
      </c>
    </row>
    <row r="397" spans="1:16" ht="15.75" customHeight="1" x14ac:dyDescent="0.25">
      <c r="A397" s="212" t="s">
        <v>14469</v>
      </c>
      <c r="B397" s="212" t="s">
        <v>4638</v>
      </c>
      <c r="C397" s="212"/>
      <c r="D397" s="226">
        <v>2</v>
      </c>
      <c r="E397" s="212" t="s">
        <v>1749</v>
      </c>
      <c r="F397" s="212" t="s">
        <v>12688</v>
      </c>
      <c r="G397" s="227" t="s">
        <v>13222</v>
      </c>
      <c r="H397" s="228">
        <v>10696</v>
      </c>
      <c r="I397" s="208">
        <v>26</v>
      </c>
      <c r="J397" s="211"/>
      <c r="K397" s="209">
        <v>0</v>
      </c>
      <c r="L397" s="212"/>
      <c r="M397" s="212" t="e">
        <f>VLOOKUP(Table12[[#This Row],[ROUTE]],DEMAND!A:F,5,FALSE)</f>
        <v>#N/A</v>
      </c>
      <c r="N397" s="212" t="e">
        <f>VLOOKUP(Table12[[#This Row],[ROUTE]],DEMAND!A:F,6,FALSE)</f>
        <v>#N/A</v>
      </c>
      <c r="O397" s="212" t="e">
        <f>ROUNDDOWN(Table12[[#This Row],[R-DEMAND]]/1320,0)</f>
        <v>#N/A</v>
      </c>
      <c r="P397" s="212" t="e">
        <f>Table12[[#This Row],[ADD ACC]]*Table12[[#This Row],[RT TIME 
(777-500ER)]]</f>
        <v>#N/A</v>
      </c>
    </row>
    <row r="398" spans="1:16" ht="15.75" customHeight="1" x14ac:dyDescent="0.25">
      <c r="A398" s="212" t="s">
        <v>14660</v>
      </c>
      <c r="B398" s="212" t="s">
        <v>2553</v>
      </c>
      <c r="C398" s="212"/>
      <c r="D398" s="226">
        <v>2</v>
      </c>
      <c r="E398" s="212" t="s">
        <v>119</v>
      </c>
      <c r="F398" s="212" t="s">
        <v>12674</v>
      </c>
      <c r="G398" s="227" t="s">
        <v>11681</v>
      </c>
      <c r="H398" s="228">
        <v>3761</v>
      </c>
      <c r="I398" s="208">
        <v>10.5</v>
      </c>
      <c r="J398" s="211"/>
      <c r="K398" s="209">
        <v>0</v>
      </c>
      <c r="L398" s="212"/>
      <c r="M398" s="212" t="e">
        <f>VLOOKUP(Table12[[#This Row],[ROUTE]],DEMAND!A:F,5,FALSE)</f>
        <v>#N/A</v>
      </c>
      <c r="N398" s="212" t="e">
        <f>VLOOKUP(Table12[[#This Row],[ROUTE]],DEMAND!A:F,6,FALSE)</f>
        <v>#N/A</v>
      </c>
      <c r="O398" s="212" t="e">
        <f>ROUNDDOWN(Table12[[#This Row],[R-DEMAND]]/1320,0)</f>
        <v>#N/A</v>
      </c>
      <c r="P398" s="212" t="e">
        <f>Table12[[#This Row],[ADD ACC]]*Table12[[#This Row],[RT TIME 
(777-500ER)]]</f>
        <v>#N/A</v>
      </c>
    </row>
    <row r="399" spans="1:16" ht="15.75" customHeight="1" x14ac:dyDescent="0.25">
      <c r="A399" s="212" t="s">
        <v>14974</v>
      </c>
      <c r="B399" s="212" t="s">
        <v>2512</v>
      </c>
      <c r="C399" s="212"/>
      <c r="D399" s="226">
        <v>2</v>
      </c>
      <c r="E399" s="212" t="s">
        <v>493</v>
      </c>
      <c r="F399" s="212" t="s">
        <v>12671</v>
      </c>
      <c r="G399" s="227" t="s">
        <v>11734</v>
      </c>
      <c r="H399" s="228">
        <v>3239</v>
      </c>
      <c r="I399" s="208">
        <v>9.5</v>
      </c>
      <c r="J399" s="211"/>
      <c r="K399" s="209">
        <v>0</v>
      </c>
      <c r="L399" s="212"/>
      <c r="M399" s="212" t="e">
        <f>VLOOKUP(Table12[[#This Row],[ROUTE]],DEMAND!A:F,5,FALSE)</f>
        <v>#N/A</v>
      </c>
      <c r="N399" s="212" t="e">
        <f>VLOOKUP(Table12[[#This Row],[ROUTE]],DEMAND!A:F,6,FALSE)</f>
        <v>#N/A</v>
      </c>
      <c r="O399" s="212" t="e">
        <f>ROUNDDOWN(Table12[[#This Row],[R-DEMAND]]/1320,0)</f>
        <v>#N/A</v>
      </c>
      <c r="P399" s="212" t="e">
        <f>Table12[[#This Row],[ADD ACC]]*Table12[[#This Row],[RT TIME 
(777-500ER)]]</f>
        <v>#N/A</v>
      </c>
    </row>
    <row r="400" spans="1:16" ht="15.75" customHeight="1" x14ac:dyDescent="0.25">
      <c r="A400" s="212" t="s">
        <v>14505</v>
      </c>
      <c r="B400" s="212" t="s">
        <v>5091</v>
      </c>
      <c r="C400" s="212"/>
      <c r="D400" s="226">
        <v>3</v>
      </c>
      <c r="E400" s="212" t="s">
        <v>876</v>
      </c>
      <c r="F400" s="212" t="s">
        <v>12674</v>
      </c>
      <c r="G400" s="227" t="s">
        <v>10595</v>
      </c>
      <c r="H400" s="228">
        <v>1795</v>
      </c>
      <c r="I400" s="208">
        <v>6.25</v>
      </c>
      <c r="J400" s="211"/>
      <c r="K400" s="209">
        <v>0</v>
      </c>
      <c r="L400" s="212"/>
      <c r="M400" s="212" t="e">
        <f>VLOOKUP(Table12[[#This Row],[ROUTE]],DEMAND!A:F,5,FALSE)</f>
        <v>#N/A</v>
      </c>
      <c r="N400" s="212" t="e">
        <f>VLOOKUP(Table12[[#This Row],[ROUTE]],DEMAND!A:F,6,FALSE)</f>
        <v>#N/A</v>
      </c>
      <c r="O400" s="212" t="e">
        <f>ROUNDDOWN(Table12[[#This Row],[R-DEMAND]]/1320,0)</f>
        <v>#N/A</v>
      </c>
      <c r="P400" s="212" t="e">
        <f>Table12[[#This Row],[ADD ACC]]*Table12[[#This Row],[RT TIME 
(777-500ER)]]</f>
        <v>#N/A</v>
      </c>
    </row>
    <row r="401" spans="1:16" ht="15.75" customHeight="1" x14ac:dyDescent="0.25">
      <c r="A401" s="212" t="s">
        <v>14562</v>
      </c>
      <c r="B401" s="212" t="s">
        <v>5392</v>
      </c>
      <c r="C401" s="212"/>
      <c r="D401" s="226">
        <v>3</v>
      </c>
      <c r="E401" s="212" t="s">
        <v>308</v>
      </c>
      <c r="F401" s="212" t="s">
        <v>12674</v>
      </c>
      <c r="G401" s="227" t="s">
        <v>11778</v>
      </c>
      <c r="H401" s="228">
        <v>2233</v>
      </c>
      <c r="I401" s="208">
        <v>7.25</v>
      </c>
      <c r="J401" s="211"/>
      <c r="K401" s="209">
        <v>0</v>
      </c>
      <c r="L401" s="212"/>
      <c r="M401" s="212" t="e">
        <f>VLOOKUP(Table12[[#This Row],[ROUTE]],DEMAND!A:F,5,FALSE)</f>
        <v>#N/A</v>
      </c>
      <c r="N401" s="212" t="e">
        <f>VLOOKUP(Table12[[#This Row],[ROUTE]],DEMAND!A:F,6,FALSE)</f>
        <v>#N/A</v>
      </c>
      <c r="O401" s="212" t="e">
        <f>ROUNDDOWN(Table12[[#This Row],[R-DEMAND]]/1320,0)</f>
        <v>#N/A</v>
      </c>
      <c r="P401" s="212" t="e">
        <f>Table12[[#This Row],[ADD ACC]]*Table12[[#This Row],[RT TIME 
(777-500ER)]]</f>
        <v>#N/A</v>
      </c>
    </row>
    <row r="402" spans="1:16" ht="15.75" customHeight="1" x14ac:dyDescent="0.25">
      <c r="A402" s="212" t="s">
        <v>14329</v>
      </c>
      <c r="B402" s="212" t="s">
        <v>2207</v>
      </c>
      <c r="C402" s="212"/>
      <c r="D402" s="226" t="s">
        <v>15104</v>
      </c>
      <c r="E402" s="212" t="s">
        <v>647</v>
      </c>
      <c r="F402" s="212" t="s">
        <v>12688</v>
      </c>
      <c r="G402" s="227" t="s">
        <v>13317</v>
      </c>
      <c r="H402" s="228">
        <v>8458</v>
      </c>
      <c r="I402" s="208">
        <v>21</v>
      </c>
      <c r="J402" s="211"/>
      <c r="K402" s="209">
        <v>0</v>
      </c>
      <c r="L402" s="212"/>
      <c r="M402" s="212" t="e">
        <f>VLOOKUP(Table12[[#This Row],[ROUTE]],DEMAND!A:F,5,FALSE)</f>
        <v>#N/A</v>
      </c>
      <c r="N402" s="212" t="e">
        <f>VLOOKUP(Table12[[#This Row],[ROUTE]],DEMAND!A:F,6,FALSE)</f>
        <v>#N/A</v>
      </c>
      <c r="O402" s="212" t="e">
        <f>ROUNDDOWN(Table12[[#This Row],[R-DEMAND]]/1320,0)</f>
        <v>#N/A</v>
      </c>
      <c r="P402" s="212" t="e">
        <f>Table12[[#This Row],[ADD ACC]]*Table12[[#This Row],[RT TIME 
(777-500ER)]]</f>
        <v>#N/A</v>
      </c>
    </row>
    <row r="403" spans="1:16" ht="15.75" customHeight="1" x14ac:dyDescent="0.25">
      <c r="A403" s="212" t="s">
        <v>14954</v>
      </c>
      <c r="B403" s="212" t="s">
        <v>412</v>
      </c>
      <c r="C403" s="212"/>
      <c r="D403" s="226">
        <v>2</v>
      </c>
      <c r="E403" s="212" t="s">
        <v>1314</v>
      </c>
      <c r="F403" s="212" t="s">
        <v>12670</v>
      </c>
      <c r="G403" s="227" t="s">
        <v>12101</v>
      </c>
      <c r="H403" s="228">
        <v>7608</v>
      </c>
      <c r="I403" s="208">
        <v>19.25</v>
      </c>
      <c r="J403" s="211"/>
      <c r="K403" s="209">
        <v>0</v>
      </c>
      <c r="L403" s="212"/>
      <c r="M403" s="212" t="e">
        <f>VLOOKUP(Table12[[#This Row],[ROUTE]],DEMAND!A:F,5,FALSE)</f>
        <v>#N/A</v>
      </c>
      <c r="N403" s="212" t="e">
        <f>VLOOKUP(Table12[[#This Row],[ROUTE]],DEMAND!A:F,6,FALSE)</f>
        <v>#N/A</v>
      </c>
      <c r="O403" s="212" t="e">
        <f>ROUNDDOWN(Table12[[#This Row],[R-DEMAND]]/1320,0)</f>
        <v>#N/A</v>
      </c>
      <c r="P403" s="212" t="e">
        <f>Table12[[#This Row],[ADD ACC]]*Table12[[#This Row],[RT TIME 
(777-500ER)]]</f>
        <v>#N/A</v>
      </c>
    </row>
    <row r="404" spans="1:16" ht="15.75" customHeight="1" x14ac:dyDescent="0.25">
      <c r="A404" s="212" t="s">
        <v>14806</v>
      </c>
      <c r="B404" s="212" t="s">
        <v>4410</v>
      </c>
      <c r="C404" s="212"/>
      <c r="D404" s="226">
        <v>2</v>
      </c>
      <c r="E404" s="212" t="s">
        <v>502</v>
      </c>
      <c r="F404" s="212" t="s">
        <v>12670</v>
      </c>
      <c r="G404" s="227" t="s">
        <v>11974</v>
      </c>
      <c r="H404" s="228">
        <v>3470</v>
      </c>
      <c r="I404" s="208">
        <v>10</v>
      </c>
      <c r="J404" s="211"/>
      <c r="K404" s="209">
        <v>0</v>
      </c>
      <c r="L404" s="212"/>
      <c r="M404" s="212" t="e">
        <f>VLOOKUP(Table12[[#This Row],[ROUTE]],DEMAND!A:F,5,FALSE)</f>
        <v>#N/A</v>
      </c>
      <c r="N404" s="212" t="e">
        <f>VLOOKUP(Table12[[#This Row],[ROUTE]],DEMAND!A:F,6,FALSE)</f>
        <v>#N/A</v>
      </c>
      <c r="O404" s="212" t="e">
        <f>ROUNDDOWN(Table12[[#This Row],[R-DEMAND]]/1320,0)</f>
        <v>#N/A</v>
      </c>
      <c r="P404" s="212" t="e">
        <f>Table12[[#This Row],[ADD ACC]]*Table12[[#This Row],[RT TIME 
(777-500ER)]]</f>
        <v>#N/A</v>
      </c>
    </row>
    <row r="405" spans="1:16" ht="15.75" customHeight="1" x14ac:dyDescent="0.25">
      <c r="A405" s="212" t="s">
        <v>14524</v>
      </c>
      <c r="B405" s="212" t="s">
        <v>5281</v>
      </c>
      <c r="C405" s="212"/>
      <c r="D405" s="226">
        <v>3</v>
      </c>
      <c r="E405" s="212" t="s">
        <v>560</v>
      </c>
      <c r="F405" s="212" t="s">
        <v>12674</v>
      </c>
      <c r="G405" s="227" t="s">
        <v>11708</v>
      </c>
      <c r="H405" s="228">
        <v>2947</v>
      </c>
      <c r="I405" s="208">
        <v>8.75</v>
      </c>
      <c r="J405" s="211"/>
      <c r="K405" s="209">
        <v>0</v>
      </c>
      <c r="L405" s="212"/>
      <c r="M405" s="212" t="e">
        <f>VLOOKUP(Table12[[#This Row],[ROUTE]],DEMAND!A:F,5,FALSE)</f>
        <v>#N/A</v>
      </c>
      <c r="N405" s="212" t="e">
        <f>VLOOKUP(Table12[[#This Row],[ROUTE]],DEMAND!A:F,6,FALSE)</f>
        <v>#N/A</v>
      </c>
      <c r="O405" s="212" t="e">
        <f>ROUNDDOWN(Table12[[#This Row],[R-DEMAND]]/1320,0)</f>
        <v>#N/A</v>
      </c>
      <c r="P405" s="212" t="e">
        <f>Table12[[#This Row],[ADD ACC]]*Table12[[#This Row],[RT TIME 
(777-500ER)]]</f>
        <v>#N/A</v>
      </c>
    </row>
    <row r="406" spans="1:16" ht="15.75" customHeight="1" x14ac:dyDescent="0.25">
      <c r="A406" s="212" t="s">
        <v>14345</v>
      </c>
      <c r="B406" s="212" t="s">
        <v>5132</v>
      </c>
      <c r="C406" s="212"/>
      <c r="D406" s="226" t="s">
        <v>15106</v>
      </c>
      <c r="E406" s="212" t="s">
        <v>647</v>
      </c>
      <c r="F406" s="212" t="s">
        <v>12688</v>
      </c>
      <c r="G406" s="227" t="s">
        <v>13264</v>
      </c>
      <c r="H406" s="228">
        <v>8745</v>
      </c>
      <c r="I406" s="208">
        <v>21.75</v>
      </c>
      <c r="J406" s="211"/>
      <c r="K406" s="209">
        <v>0</v>
      </c>
      <c r="L406" s="212"/>
      <c r="M406" s="212" t="e">
        <f>VLOOKUP(Table12[[#This Row],[ROUTE]],DEMAND!A:F,5,FALSE)</f>
        <v>#N/A</v>
      </c>
      <c r="N406" s="212" t="e">
        <f>VLOOKUP(Table12[[#This Row],[ROUTE]],DEMAND!A:F,6,FALSE)</f>
        <v>#N/A</v>
      </c>
      <c r="O406" s="212" t="e">
        <f>ROUNDDOWN(Table12[[#This Row],[R-DEMAND]]/1320,0)</f>
        <v>#N/A</v>
      </c>
      <c r="P406" s="212" t="e">
        <f>Table12[[#This Row],[ADD ACC]]*Table12[[#This Row],[RT TIME 
(777-500ER)]]</f>
        <v>#N/A</v>
      </c>
    </row>
    <row r="407" spans="1:16" ht="15.75" customHeight="1" x14ac:dyDescent="0.25">
      <c r="A407" s="212" t="s">
        <v>14496</v>
      </c>
      <c r="B407" s="212" t="s">
        <v>4975</v>
      </c>
      <c r="C407" s="212"/>
      <c r="D407" s="226">
        <v>3</v>
      </c>
      <c r="E407" s="212" t="s">
        <v>1459</v>
      </c>
      <c r="F407" s="212" t="s">
        <v>12674</v>
      </c>
      <c r="G407" s="227" t="s">
        <v>11842</v>
      </c>
      <c r="H407" s="228">
        <v>1612</v>
      </c>
      <c r="I407" s="208">
        <v>5.75</v>
      </c>
      <c r="J407" s="211"/>
      <c r="K407" s="209">
        <v>0</v>
      </c>
      <c r="L407" s="212"/>
      <c r="M407" s="212" t="e">
        <f>VLOOKUP(Table12[[#This Row],[ROUTE]],DEMAND!A:F,5,FALSE)</f>
        <v>#N/A</v>
      </c>
      <c r="N407" s="212" t="e">
        <f>VLOOKUP(Table12[[#This Row],[ROUTE]],DEMAND!A:F,6,FALSE)</f>
        <v>#N/A</v>
      </c>
      <c r="O407" s="212" t="e">
        <f>ROUNDDOWN(Table12[[#This Row],[R-DEMAND]]/1320,0)</f>
        <v>#N/A</v>
      </c>
      <c r="P407" s="212" t="e">
        <f>Table12[[#This Row],[ADD ACC]]*Table12[[#This Row],[RT TIME 
(777-500ER)]]</f>
        <v>#N/A</v>
      </c>
    </row>
    <row r="408" spans="1:16" ht="15.75" customHeight="1" x14ac:dyDescent="0.25">
      <c r="A408" s="212" t="s">
        <v>14479</v>
      </c>
      <c r="B408" s="212" t="s">
        <v>4076</v>
      </c>
      <c r="C408" s="212"/>
      <c r="D408" s="226">
        <v>2</v>
      </c>
      <c r="E408" s="212" t="s">
        <v>2324</v>
      </c>
      <c r="F408" s="212" t="s">
        <v>12688</v>
      </c>
      <c r="G408" s="227" t="s">
        <v>13231</v>
      </c>
      <c r="H408" s="228">
        <v>9893</v>
      </c>
      <c r="I408" s="208">
        <v>24.25</v>
      </c>
      <c r="J408" s="211"/>
      <c r="K408" s="209">
        <v>0</v>
      </c>
      <c r="L408" s="212"/>
      <c r="M408" s="212" t="e">
        <f>VLOOKUP(Table12[[#This Row],[ROUTE]],DEMAND!A:F,5,FALSE)</f>
        <v>#N/A</v>
      </c>
      <c r="N408" s="212" t="e">
        <f>VLOOKUP(Table12[[#This Row],[ROUTE]],DEMAND!A:F,6,FALSE)</f>
        <v>#N/A</v>
      </c>
      <c r="O408" s="212" t="e">
        <f>ROUNDDOWN(Table12[[#This Row],[R-DEMAND]]/1320,0)</f>
        <v>#N/A</v>
      </c>
      <c r="P408" s="212" t="e">
        <f>Table12[[#This Row],[ADD ACC]]*Table12[[#This Row],[RT TIME 
(777-500ER)]]</f>
        <v>#N/A</v>
      </c>
    </row>
    <row r="409" spans="1:16" ht="15.75" customHeight="1" x14ac:dyDescent="0.25">
      <c r="A409" s="212" t="s">
        <v>14591</v>
      </c>
      <c r="B409" s="212" t="s">
        <v>4865</v>
      </c>
      <c r="C409" s="212"/>
      <c r="D409" s="226">
        <v>3</v>
      </c>
      <c r="E409" s="212" t="s">
        <v>605</v>
      </c>
      <c r="F409" s="212" t="s">
        <v>12674</v>
      </c>
      <c r="G409" s="227" t="s">
        <v>10545</v>
      </c>
      <c r="H409" s="228">
        <v>1799</v>
      </c>
      <c r="I409" s="208">
        <v>6.25</v>
      </c>
      <c r="J409" s="211"/>
      <c r="K409" s="209">
        <v>0</v>
      </c>
      <c r="L409" s="212"/>
      <c r="M409" s="212" t="e">
        <f>VLOOKUP(Table12[[#This Row],[ROUTE]],DEMAND!A:F,5,FALSE)</f>
        <v>#N/A</v>
      </c>
      <c r="N409" s="212" t="e">
        <f>VLOOKUP(Table12[[#This Row],[ROUTE]],DEMAND!A:F,6,FALSE)</f>
        <v>#N/A</v>
      </c>
      <c r="O409" s="212" t="e">
        <f>ROUNDDOWN(Table12[[#This Row],[R-DEMAND]]/1320,0)</f>
        <v>#N/A</v>
      </c>
      <c r="P409" s="212" t="e">
        <f>Table12[[#This Row],[ADD ACC]]*Table12[[#This Row],[RT TIME 
(777-500ER)]]</f>
        <v>#N/A</v>
      </c>
    </row>
    <row r="410" spans="1:16" ht="15.75" customHeight="1" x14ac:dyDescent="0.25">
      <c r="A410" s="212" t="s">
        <v>15004</v>
      </c>
      <c r="B410" s="212" t="s">
        <v>763</v>
      </c>
      <c r="C410" s="212"/>
      <c r="D410" s="226">
        <v>1</v>
      </c>
      <c r="E410" s="212" t="s">
        <v>761</v>
      </c>
      <c r="F410" s="212" t="s">
        <v>12671</v>
      </c>
      <c r="G410" s="227" t="s">
        <v>11684</v>
      </c>
      <c r="H410" s="228">
        <v>6131</v>
      </c>
      <c r="I410" s="208">
        <v>15.75</v>
      </c>
      <c r="J410" s="211"/>
      <c r="K410" s="209">
        <v>0</v>
      </c>
      <c r="L410" s="212"/>
      <c r="M410" s="212" t="e">
        <f>VLOOKUP(Table12[[#This Row],[ROUTE]],DEMAND!A:F,5,FALSE)</f>
        <v>#N/A</v>
      </c>
      <c r="N410" s="212" t="e">
        <f>VLOOKUP(Table12[[#This Row],[ROUTE]],DEMAND!A:F,6,FALSE)</f>
        <v>#N/A</v>
      </c>
      <c r="O410" s="212" t="e">
        <f>ROUNDDOWN(Table12[[#This Row],[R-DEMAND]]/1320,0)</f>
        <v>#N/A</v>
      </c>
      <c r="P410" s="212" t="e">
        <f>Table12[[#This Row],[ADD ACC]]*Table12[[#This Row],[RT TIME 
(777-500ER)]]</f>
        <v>#N/A</v>
      </c>
    </row>
    <row r="411" spans="1:16" ht="15.75" customHeight="1" x14ac:dyDescent="0.25">
      <c r="A411" s="212" t="s">
        <v>14711</v>
      </c>
      <c r="B411" s="212" t="s">
        <v>2496</v>
      </c>
      <c r="C411" s="212"/>
      <c r="D411" s="226">
        <v>1</v>
      </c>
      <c r="E411" s="212" t="s">
        <v>14</v>
      </c>
      <c r="F411" s="212" t="s">
        <v>12670</v>
      </c>
      <c r="G411" s="227" t="s">
        <v>12057</v>
      </c>
      <c r="H411" s="228">
        <v>5341</v>
      </c>
      <c r="I411" s="208">
        <v>14</v>
      </c>
      <c r="J411" s="211"/>
      <c r="K411" s="209">
        <v>0</v>
      </c>
      <c r="L411" s="212"/>
      <c r="M411" s="212" t="e">
        <f>VLOOKUP(Table12[[#This Row],[ROUTE]],DEMAND!A:F,5,FALSE)</f>
        <v>#N/A</v>
      </c>
      <c r="N411" s="212" t="e">
        <f>VLOOKUP(Table12[[#This Row],[ROUTE]],DEMAND!A:F,6,FALSE)</f>
        <v>#N/A</v>
      </c>
      <c r="O411" s="212" t="e">
        <f>ROUNDDOWN(Table12[[#This Row],[R-DEMAND]]/1320,0)</f>
        <v>#N/A</v>
      </c>
      <c r="P411" s="212" t="e">
        <f>Table12[[#This Row],[ADD ACC]]*Table12[[#This Row],[RT TIME 
(777-500ER)]]</f>
        <v>#N/A</v>
      </c>
    </row>
    <row r="412" spans="1:16" ht="15.75" customHeight="1" x14ac:dyDescent="0.25">
      <c r="A412" s="212" t="s">
        <v>14482</v>
      </c>
      <c r="B412" s="212" t="s">
        <v>3992</v>
      </c>
      <c r="C412" s="212"/>
      <c r="D412" s="226">
        <v>2</v>
      </c>
      <c r="E412" s="212" t="s">
        <v>1946</v>
      </c>
      <c r="F412" s="212" t="s">
        <v>12688</v>
      </c>
      <c r="G412" s="227" t="s">
        <v>13248</v>
      </c>
      <c r="H412" s="228">
        <v>9234</v>
      </c>
      <c r="I412" s="208">
        <v>22.75</v>
      </c>
      <c r="J412" s="211"/>
      <c r="K412" s="209">
        <v>0</v>
      </c>
      <c r="L412" s="212"/>
      <c r="M412" s="212" t="e">
        <f>VLOOKUP(Table12[[#This Row],[ROUTE]],DEMAND!A:F,5,FALSE)</f>
        <v>#N/A</v>
      </c>
      <c r="N412" s="212" t="e">
        <f>VLOOKUP(Table12[[#This Row],[ROUTE]],DEMAND!A:F,6,FALSE)</f>
        <v>#N/A</v>
      </c>
      <c r="O412" s="212" t="e">
        <f>ROUNDDOWN(Table12[[#This Row],[R-DEMAND]]/1320,0)</f>
        <v>#N/A</v>
      </c>
      <c r="P412" s="212" t="e">
        <f>Table12[[#This Row],[ADD ACC]]*Table12[[#This Row],[RT TIME 
(777-500ER)]]</f>
        <v>#N/A</v>
      </c>
    </row>
    <row r="413" spans="1:16" ht="15.75" customHeight="1" x14ac:dyDescent="0.25">
      <c r="A413" s="212" t="s">
        <v>14638</v>
      </c>
      <c r="B413" s="212" t="s">
        <v>2870</v>
      </c>
      <c r="C413" s="212"/>
      <c r="D413" s="226">
        <v>2</v>
      </c>
      <c r="E413" s="212" t="s">
        <v>78</v>
      </c>
      <c r="F413" s="212" t="s">
        <v>12674</v>
      </c>
      <c r="G413" s="227" t="s">
        <v>11973</v>
      </c>
      <c r="H413" s="228">
        <v>5603</v>
      </c>
      <c r="I413" s="208">
        <v>14.75</v>
      </c>
      <c r="J413" s="211"/>
      <c r="K413" s="209">
        <v>0</v>
      </c>
      <c r="L413" s="212"/>
      <c r="M413" s="212" t="e">
        <f>VLOOKUP(Table12[[#This Row],[ROUTE]],DEMAND!A:F,5,FALSE)</f>
        <v>#N/A</v>
      </c>
      <c r="N413" s="212" t="e">
        <f>VLOOKUP(Table12[[#This Row],[ROUTE]],DEMAND!A:F,6,FALSE)</f>
        <v>#N/A</v>
      </c>
      <c r="O413" s="212" t="e">
        <f>ROUNDDOWN(Table12[[#This Row],[R-DEMAND]]/1320,0)</f>
        <v>#N/A</v>
      </c>
      <c r="P413" s="212" t="e">
        <f>Table12[[#This Row],[ADD ACC]]*Table12[[#This Row],[RT TIME 
(777-500ER)]]</f>
        <v>#N/A</v>
      </c>
    </row>
    <row r="414" spans="1:16" ht="15.75" customHeight="1" x14ac:dyDescent="0.25">
      <c r="A414" s="212" t="s">
        <v>14977</v>
      </c>
      <c r="B414" s="212" t="s">
        <v>1695</v>
      </c>
      <c r="C414" s="212"/>
      <c r="D414" s="226">
        <v>1</v>
      </c>
      <c r="E414" s="212" t="s">
        <v>493</v>
      </c>
      <c r="F414" s="212" t="s">
        <v>12671</v>
      </c>
      <c r="G414" s="227" t="s">
        <v>11728</v>
      </c>
      <c r="H414" s="228">
        <v>3357</v>
      </c>
      <c r="I414" s="208">
        <v>9.75</v>
      </c>
      <c r="J414" s="211"/>
      <c r="K414" s="209">
        <v>0</v>
      </c>
      <c r="L414" s="212"/>
      <c r="M414" s="212" t="e">
        <f>VLOOKUP(Table12[[#This Row],[ROUTE]],DEMAND!A:F,5,FALSE)</f>
        <v>#N/A</v>
      </c>
      <c r="N414" s="212" t="e">
        <f>VLOOKUP(Table12[[#This Row],[ROUTE]],DEMAND!A:F,6,FALSE)</f>
        <v>#N/A</v>
      </c>
      <c r="O414" s="212" t="e">
        <f>ROUNDDOWN(Table12[[#This Row],[R-DEMAND]]/1320,0)</f>
        <v>#N/A</v>
      </c>
      <c r="P414" s="212" t="e">
        <f>Table12[[#This Row],[ADD ACC]]*Table12[[#This Row],[RT TIME 
(777-500ER)]]</f>
        <v>#N/A</v>
      </c>
    </row>
    <row r="415" spans="1:16" ht="15.75" customHeight="1" x14ac:dyDescent="0.25">
      <c r="A415" s="212" t="s">
        <v>14673</v>
      </c>
      <c r="B415" s="212" t="s">
        <v>397</v>
      </c>
      <c r="C415" s="212"/>
      <c r="D415" s="226">
        <v>3</v>
      </c>
      <c r="E415" s="212" t="s">
        <v>1674</v>
      </c>
      <c r="F415" s="212" t="s">
        <v>12674</v>
      </c>
      <c r="G415" s="227" t="s">
        <v>11746</v>
      </c>
      <c r="H415" s="228">
        <v>2252</v>
      </c>
      <c r="I415" s="208">
        <v>7.25</v>
      </c>
      <c r="J415" s="211"/>
      <c r="K415" s="209">
        <v>0</v>
      </c>
      <c r="L415" s="212"/>
      <c r="M415" s="212" t="e">
        <f>VLOOKUP(Table12[[#This Row],[ROUTE]],DEMAND!A:F,5,FALSE)</f>
        <v>#N/A</v>
      </c>
      <c r="N415" s="212" t="e">
        <f>VLOOKUP(Table12[[#This Row],[ROUTE]],DEMAND!A:F,6,FALSE)</f>
        <v>#N/A</v>
      </c>
      <c r="O415" s="212" t="e">
        <f>ROUNDDOWN(Table12[[#This Row],[R-DEMAND]]/1320,0)</f>
        <v>#N/A</v>
      </c>
      <c r="P415" s="212" t="e">
        <f>Table12[[#This Row],[ADD ACC]]*Table12[[#This Row],[RT TIME 
(777-500ER)]]</f>
        <v>#N/A</v>
      </c>
    </row>
    <row r="416" spans="1:16" ht="15.75" customHeight="1" x14ac:dyDescent="0.25">
      <c r="A416" s="212" t="s">
        <v>14690</v>
      </c>
      <c r="B416" s="212" t="s">
        <v>3165</v>
      </c>
      <c r="C416" s="212"/>
      <c r="D416" s="226">
        <v>2</v>
      </c>
      <c r="E416" s="212" t="s">
        <v>3163</v>
      </c>
      <c r="F416" s="212" t="s">
        <v>12670</v>
      </c>
      <c r="G416" s="227" t="s">
        <v>11937</v>
      </c>
      <c r="H416" s="228">
        <v>2870</v>
      </c>
      <c r="I416" s="208">
        <v>8.5</v>
      </c>
      <c r="J416" s="211"/>
      <c r="K416" s="209">
        <v>0</v>
      </c>
      <c r="L416" s="212"/>
      <c r="M416" s="212" t="e">
        <f>VLOOKUP(Table12[[#This Row],[ROUTE]],DEMAND!A:F,5,FALSE)</f>
        <v>#N/A</v>
      </c>
      <c r="N416" s="212" t="e">
        <f>VLOOKUP(Table12[[#This Row],[ROUTE]],DEMAND!A:F,6,FALSE)</f>
        <v>#N/A</v>
      </c>
      <c r="O416" s="212" t="e">
        <f>ROUNDDOWN(Table12[[#This Row],[R-DEMAND]]/1320,0)</f>
        <v>#N/A</v>
      </c>
      <c r="P416" s="212" t="e">
        <f>Table12[[#This Row],[ADD ACC]]*Table12[[#This Row],[RT TIME 
(777-500ER)]]</f>
        <v>#N/A</v>
      </c>
    </row>
    <row r="417" spans="1:16" ht="15.75" customHeight="1" x14ac:dyDescent="0.25">
      <c r="A417" s="212" t="s">
        <v>14647</v>
      </c>
      <c r="B417" s="212" t="s">
        <v>5031</v>
      </c>
      <c r="C417" s="212"/>
      <c r="D417" s="226">
        <v>3</v>
      </c>
      <c r="E417" s="212" t="s">
        <v>659</v>
      </c>
      <c r="F417" s="212" t="s">
        <v>12674</v>
      </c>
      <c r="G417" s="227" t="s">
        <v>11804</v>
      </c>
      <c r="H417" s="228">
        <v>1626</v>
      </c>
      <c r="I417" s="208">
        <v>5.75</v>
      </c>
      <c r="J417" s="211"/>
      <c r="K417" s="209">
        <v>0</v>
      </c>
      <c r="L417" s="212"/>
      <c r="M417" s="212" t="e">
        <f>VLOOKUP(Table12[[#This Row],[ROUTE]],DEMAND!A:F,5,FALSE)</f>
        <v>#N/A</v>
      </c>
      <c r="N417" s="212" t="e">
        <f>VLOOKUP(Table12[[#This Row],[ROUTE]],DEMAND!A:F,6,FALSE)</f>
        <v>#N/A</v>
      </c>
      <c r="O417" s="212" t="e">
        <f>ROUNDDOWN(Table12[[#This Row],[R-DEMAND]]/1320,0)</f>
        <v>#N/A</v>
      </c>
      <c r="P417" s="212" t="e">
        <f>Table12[[#This Row],[ADD ACC]]*Table12[[#This Row],[RT TIME 
(777-500ER)]]</f>
        <v>#N/A</v>
      </c>
    </row>
    <row r="418" spans="1:16" ht="15.75" customHeight="1" x14ac:dyDescent="0.25">
      <c r="A418" s="212" t="s">
        <v>14841</v>
      </c>
      <c r="B418" s="212" t="s">
        <v>390</v>
      </c>
      <c r="C418" s="212"/>
      <c r="D418" s="226">
        <v>1</v>
      </c>
      <c r="E418" s="212" t="s">
        <v>533</v>
      </c>
      <c r="F418" s="212" t="s">
        <v>12670</v>
      </c>
      <c r="G418" s="227" t="s">
        <v>12004</v>
      </c>
      <c r="H418" s="228">
        <v>4374</v>
      </c>
      <c r="I418" s="208">
        <v>12</v>
      </c>
      <c r="J418" s="211"/>
      <c r="K418" s="209">
        <v>0</v>
      </c>
      <c r="L418" s="212"/>
      <c r="M418" s="212" t="e">
        <f>VLOOKUP(Table12[[#This Row],[ROUTE]],DEMAND!A:F,5,FALSE)</f>
        <v>#N/A</v>
      </c>
      <c r="N418" s="212" t="e">
        <f>VLOOKUP(Table12[[#This Row],[ROUTE]],DEMAND!A:F,6,FALSE)</f>
        <v>#N/A</v>
      </c>
      <c r="O418" s="212" t="e">
        <f>ROUNDDOWN(Table12[[#This Row],[R-DEMAND]]/1320,0)</f>
        <v>#N/A</v>
      </c>
      <c r="P418" s="212" t="e">
        <f>Table12[[#This Row],[ADD ACC]]*Table12[[#This Row],[RT TIME 
(777-500ER)]]</f>
        <v>#N/A</v>
      </c>
    </row>
    <row r="419" spans="1:16" ht="15.75" customHeight="1" x14ac:dyDescent="0.25">
      <c r="A419" s="212" t="s">
        <v>15009</v>
      </c>
      <c r="B419" s="212" t="s">
        <v>4548</v>
      </c>
      <c r="C419" s="212"/>
      <c r="D419" s="226">
        <v>2</v>
      </c>
      <c r="E419" s="212" t="s">
        <v>4546</v>
      </c>
      <c r="F419" s="212" t="s">
        <v>12671</v>
      </c>
      <c r="G419" s="227" t="s">
        <v>11821</v>
      </c>
      <c r="H419" s="228">
        <v>6953</v>
      </c>
      <c r="I419" s="208">
        <v>17.75</v>
      </c>
      <c r="J419" s="211"/>
      <c r="K419" s="209">
        <v>0</v>
      </c>
      <c r="L419" s="212"/>
      <c r="M419" s="212" t="e">
        <f>VLOOKUP(Table12[[#This Row],[ROUTE]],DEMAND!A:F,5,FALSE)</f>
        <v>#N/A</v>
      </c>
      <c r="N419" s="212" t="e">
        <f>VLOOKUP(Table12[[#This Row],[ROUTE]],DEMAND!A:F,6,FALSE)</f>
        <v>#N/A</v>
      </c>
      <c r="O419" s="212" t="e">
        <f>ROUNDDOWN(Table12[[#This Row],[R-DEMAND]]/1320,0)</f>
        <v>#N/A</v>
      </c>
      <c r="P419" s="212" t="e">
        <f>Table12[[#This Row],[ADD ACC]]*Table12[[#This Row],[RT TIME 
(777-500ER)]]</f>
        <v>#N/A</v>
      </c>
    </row>
    <row r="420" spans="1:16" ht="15.75" customHeight="1" x14ac:dyDescent="0.25">
      <c r="A420" s="212" t="s">
        <v>14570</v>
      </c>
      <c r="B420" s="212" t="s">
        <v>5231</v>
      </c>
      <c r="C420" s="212"/>
      <c r="D420" s="226">
        <v>3</v>
      </c>
      <c r="E420" s="212" t="s">
        <v>308</v>
      </c>
      <c r="F420" s="212" t="s">
        <v>12674</v>
      </c>
      <c r="G420" s="227" t="s">
        <v>11760</v>
      </c>
      <c r="H420" s="228">
        <v>2786</v>
      </c>
      <c r="I420" s="208">
        <v>8.25</v>
      </c>
      <c r="J420" s="211"/>
      <c r="K420" s="209">
        <v>0</v>
      </c>
      <c r="L420" s="212"/>
      <c r="M420" s="212" t="e">
        <f>VLOOKUP(Table12[[#This Row],[ROUTE]],DEMAND!A:F,5,FALSE)</f>
        <v>#N/A</v>
      </c>
      <c r="N420" s="212" t="e">
        <f>VLOOKUP(Table12[[#This Row],[ROUTE]],DEMAND!A:F,6,FALSE)</f>
        <v>#N/A</v>
      </c>
      <c r="O420" s="212" t="e">
        <f>ROUNDDOWN(Table12[[#This Row],[R-DEMAND]]/1320,0)</f>
        <v>#N/A</v>
      </c>
      <c r="P420" s="212" t="e">
        <f>Table12[[#This Row],[ADD ACC]]*Table12[[#This Row],[RT TIME 
(777-500ER)]]</f>
        <v>#N/A</v>
      </c>
    </row>
    <row r="421" spans="1:16" ht="15.75" customHeight="1" x14ac:dyDescent="0.25">
      <c r="A421" s="212" t="s">
        <v>14687</v>
      </c>
      <c r="B421" s="212" t="s">
        <v>847</v>
      </c>
      <c r="C421" s="212"/>
      <c r="D421" s="226">
        <v>1</v>
      </c>
      <c r="E421" s="212" t="s">
        <v>83</v>
      </c>
      <c r="F421" s="212" t="s">
        <v>12674</v>
      </c>
      <c r="G421" s="227" t="s">
        <v>10413</v>
      </c>
      <c r="H421" s="228">
        <v>2706</v>
      </c>
      <c r="I421" s="208">
        <v>8.25</v>
      </c>
      <c r="J421" s="211"/>
      <c r="K421" s="209">
        <v>0</v>
      </c>
      <c r="L421" s="212"/>
      <c r="M421" s="212" t="e">
        <f>VLOOKUP(Table12[[#This Row],[ROUTE]],DEMAND!A:F,5,FALSE)</f>
        <v>#N/A</v>
      </c>
      <c r="N421" s="212" t="e">
        <f>VLOOKUP(Table12[[#This Row],[ROUTE]],DEMAND!A:F,6,FALSE)</f>
        <v>#N/A</v>
      </c>
      <c r="O421" s="212" t="e">
        <f>ROUNDDOWN(Table12[[#This Row],[R-DEMAND]]/1320,0)</f>
        <v>#N/A</v>
      </c>
      <c r="P421" s="212" t="e">
        <f>Table12[[#This Row],[ADD ACC]]*Table12[[#This Row],[RT TIME 
(777-500ER)]]</f>
        <v>#N/A</v>
      </c>
    </row>
    <row r="422" spans="1:16" ht="15.75" customHeight="1" x14ac:dyDescent="0.25">
      <c r="A422" s="212" t="s">
        <v>14254</v>
      </c>
      <c r="B422" s="212" t="s">
        <v>4052</v>
      </c>
      <c r="C422" s="212"/>
      <c r="D422" s="226"/>
      <c r="E422" s="212" t="s">
        <v>4050</v>
      </c>
      <c r="F422" s="212" t="s">
        <v>12694</v>
      </c>
      <c r="G422" s="227" t="s">
        <v>13204</v>
      </c>
      <c r="H422" s="228">
        <v>9585</v>
      </c>
      <c r="I422" s="208">
        <v>23.5</v>
      </c>
      <c r="J422" s="211"/>
      <c r="K422" s="209">
        <v>0</v>
      </c>
      <c r="L422" s="212"/>
      <c r="M422" s="212" t="e">
        <f>VLOOKUP(Table12[[#This Row],[ROUTE]],DEMAND!A:F,5,FALSE)</f>
        <v>#N/A</v>
      </c>
      <c r="N422" s="212" t="e">
        <f>VLOOKUP(Table12[[#This Row],[ROUTE]],DEMAND!A:F,6,FALSE)</f>
        <v>#N/A</v>
      </c>
      <c r="O422" s="212" t="e">
        <f>ROUNDDOWN(Table12[[#This Row],[R-DEMAND]]/1320,0)</f>
        <v>#N/A</v>
      </c>
      <c r="P422" s="212" t="e">
        <f>Table12[[#This Row],[ADD ACC]]*Table12[[#This Row],[RT TIME 
(777-500ER)]]</f>
        <v>#N/A</v>
      </c>
    </row>
    <row r="423" spans="1:16" ht="15.75" customHeight="1" x14ac:dyDescent="0.25">
      <c r="A423" s="212" t="s">
        <v>14232</v>
      </c>
      <c r="B423" s="212" t="s">
        <v>4291</v>
      </c>
      <c r="C423" s="212"/>
      <c r="D423" s="226">
        <v>2</v>
      </c>
      <c r="E423" s="212" t="s">
        <v>1144</v>
      </c>
      <c r="F423" s="212" t="s">
        <v>12694</v>
      </c>
      <c r="G423" s="227" t="s">
        <v>13150</v>
      </c>
      <c r="H423" s="228">
        <v>12482</v>
      </c>
      <c r="I423" s="208">
        <v>30</v>
      </c>
      <c r="J423" s="211"/>
      <c r="K423" s="209">
        <v>0</v>
      </c>
      <c r="L423" s="212"/>
      <c r="M423" s="212" t="e">
        <f>VLOOKUP(Table12[[#This Row],[ROUTE]],DEMAND!A:F,5,FALSE)</f>
        <v>#N/A</v>
      </c>
      <c r="N423" s="212" t="e">
        <f>VLOOKUP(Table12[[#This Row],[ROUTE]],DEMAND!A:F,6,FALSE)</f>
        <v>#N/A</v>
      </c>
      <c r="O423" s="212" t="e">
        <f>ROUNDDOWN(Table12[[#This Row],[R-DEMAND]]/1320,0)</f>
        <v>#N/A</v>
      </c>
      <c r="P423" s="212" t="e">
        <f>Table12[[#This Row],[ADD ACC]]*Table12[[#This Row],[RT TIME 
(777-500ER)]]</f>
        <v>#N/A</v>
      </c>
    </row>
    <row r="424" spans="1:16" ht="15.75" customHeight="1" x14ac:dyDescent="0.25">
      <c r="A424" s="212" t="s">
        <v>14989</v>
      </c>
      <c r="B424" s="212" t="s">
        <v>1522</v>
      </c>
      <c r="C424" s="212"/>
      <c r="D424" s="226">
        <v>1</v>
      </c>
      <c r="E424" s="212" t="s">
        <v>493</v>
      </c>
      <c r="F424" s="212" t="s">
        <v>12671</v>
      </c>
      <c r="G424" s="227" t="s">
        <v>11693</v>
      </c>
      <c r="H424" s="228">
        <v>4088</v>
      </c>
      <c r="I424" s="208">
        <v>11.25</v>
      </c>
      <c r="J424" s="211">
        <v>150249514</v>
      </c>
      <c r="K424" s="209">
        <v>57655.224098234845</v>
      </c>
      <c r="L424" s="212">
        <v>2606</v>
      </c>
      <c r="M424" s="212" t="e">
        <f>VLOOKUP(Table12[[#This Row],[ROUTE]],DEMAND!A:F,5,FALSE)</f>
        <v>#N/A</v>
      </c>
      <c r="N424" s="212" t="e">
        <f>VLOOKUP(Table12[[#This Row],[ROUTE]],DEMAND!A:F,6,FALSE)</f>
        <v>#N/A</v>
      </c>
      <c r="O424" s="212" t="e">
        <f>ROUNDDOWN(Table12[[#This Row],[R-DEMAND]]/1320,0)</f>
        <v>#N/A</v>
      </c>
      <c r="P424" s="212" t="e">
        <f>Table12[[#This Row],[ADD ACC]]*Table12[[#This Row],[RT TIME 
(777-500ER)]]</f>
        <v>#N/A</v>
      </c>
    </row>
    <row r="425" spans="1:16" ht="15.75" customHeight="1" x14ac:dyDescent="0.25">
      <c r="A425" s="212" t="s">
        <v>14998</v>
      </c>
      <c r="B425" s="212" t="s">
        <v>2531</v>
      </c>
      <c r="C425" s="212"/>
      <c r="D425" s="226">
        <v>2</v>
      </c>
      <c r="E425" s="212" t="s">
        <v>644</v>
      </c>
      <c r="F425" s="212" t="s">
        <v>12671</v>
      </c>
      <c r="G425" s="227" t="s">
        <v>11812</v>
      </c>
      <c r="H425" s="228">
        <v>7888</v>
      </c>
      <c r="I425" s="208">
        <v>19.75</v>
      </c>
      <c r="J425" s="211"/>
      <c r="K425" s="209">
        <v>0</v>
      </c>
      <c r="L425" s="212"/>
      <c r="M425" s="212" t="e">
        <f>VLOOKUP(Table12[[#This Row],[ROUTE]],DEMAND!A:F,5,FALSE)</f>
        <v>#N/A</v>
      </c>
      <c r="N425" s="212" t="e">
        <f>VLOOKUP(Table12[[#This Row],[ROUTE]],DEMAND!A:F,6,FALSE)</f>
        <v>#N/A</v>
      </c>
      <c r="O425" s="212" t="e">
        <f>ROUNDDOWN(Table12[[#This Row],[R-DEMAND]]/1320,0)</f>
        <v>#N/A</v>
      </c>
      <c r="P425" s="212" t="e">
        <f>Table12[[#This Row],[ADD ACC]]*Table12[[#This Row],[RT TIME 
(777-500ER)]]</f>
        <v>#N/A</v>
      </c>
    </row>
    <row r="426" spans="1:16" ht="15.75" customHeight="1" x14ac:dyDescent="0.25">
      <c r="A426" s="212" t="s">
        <v>14445</v>
      </c>
      <c r="B426" s="212" t="s">
        <v>2710</v>
      </c>
      <c r="C426" s="212"/>
      <c r="D426" s="226">
        <v>2</v>
      </c>
      <c r="E426" s="212" t="s">
        <v>683</v>
      </c>
      <c r="F426" s="212" t="s">
        <v>12688</v>
      </c>
      <c r="G426" s="227" t="s">
        <v>13190</v>
      </c>
      <c r="H426" s="228">
        <v>9487</v>
      </c>
      <c r="I426" s="208">
        <v>23.5</v>
      </c>
      <c r="J426" s="211"/>
      <c r="K426" s="209">
        <v>0</v>
      </c>
      <c r="L426" s="212"/>
      <c r="M426" s="212" t="e">
        <f>VLOOKUP(Table12[[#This Row],[ROUTE]],DEMAND!A:F,5,FALSE)</f>
        <v>#N/A</v>
      </c>
      <c r="N426" s="212" t="e">
        <f>VLOOKUP(Table12[[#This Row],[ROUTE]],DEMAND!A:F,6,FALSE)</f>
        <v>#N/A</v>
      </c>
      <c r="O426" s="212" t="e">
        <f>ROUNDDOWN(Table12[[#This Row],[R-DEMAND]]/1320,0)</f>
        <v>#N/A</v>
      </c>
      <c r="P426" s="212" t="e">
        <f>Table12[[#This Row],[ADD ACC]]*Table12[[#This Row],[RT TIME 
(777-500ER)]]</f>
        <v>#N/A</v>
      </c>
    </row>
    <row r="427" spans="1:16" ht="15.75" customHeight="1" x14ac:dyDescent="0.25">
      <c r="A427" s="212" t="s">
        <v>14297</v>
      </c>
      <c r="B427" s="212" t="s">
        <v>5377</v>
      </c>
      <c r="C427" s="212"/>
      <c r="D427" s="226" t="s">
        <v>15106</v>
      </c>
      <c r="E427" s="212" t="s">
        <v>647</v>
      </c>
      <c r="F427" s="212" t="s">
        <v>12688</v>
      </c>
      <c r="G427" s="227" t="s">
        <v>10380</v>
      </c>
      <c r="H427" s="228">
        <v>7575</v>
      </c>
      <c r="I427" s="208">
        <v>19</v>
      </c>
      <c r="J427" s="211"/>
      <c r="K427" s="209">
        <v>0</v>
      </c>
      <c r="L427" s="212"/>
      <c r="M427" s="212" t="e">
        <f>VLOOKUP(Table12[[#This Row],[ROUTE]],DEMAND!A:F,5,FALSE)</f>
        <v>#N/A</v>
      </c>
      <c r="N427" s="212" t="e">
        <f>VLOOKUP(Table12[[#This Row],[ROUTE]],DEMAND!A:F,6,FALSE)</f>
        <v>#N/A</v>
      </c>
      <c r="O427" s="212" t="e">
        <f>ROUNDDOWN(Table12[[#This Row],[R-DEMAND]]/1320,0)</f>
        <v>#N/A</v>
      </c>
      <c r="P427" s="212" t="e">
        <f>Table12[[#This Row],[ADD ACC]]*Table12[[#This Row],[RT TIME 
(777-500ER)]]</f>
        <v>#N/A</v>
      </c>
    </row>
    <row r="428" spans="1:16" ht="15.75" customHeight="1" x14ac:dyDescent="0.25">
      <c r="A428" s="212" t="s">
        <v>14906</v>
      </c>
      <c r="B428" s="212" t="s">
        <v>371</v>
      </c>
      <c r="C428" s="212"/>
      <c r="D428" s="226">
        <v>2</v>
      </c>
      <c r="E428" s="212" t="s">
        <v>332</v>
      </c>
      <c r="F428" s="212" t="s">
        <v>12670</v>
      </c>
      <c r="G428" s="227" t="s">
        <v>12084</v>
      </c>
      <c r="H428" s="228">
        <v>6438</v>
      </c>
      <c r="I428" s="208">
        <v>16.5</v>
      </c>
      <c r="J428" s="211"/>
      <c r="K428" s="209">
        <v>0</v>
      </c>
      <c r="L428" s="212"/>
      <c r="M428" s="212" t="e">
        <f>VLOOKUP(Table12[[#This Row],[ROUTE]],DEMAND!A:F,5,FALSE)</f>
        <v>#N/A</v>
      </c>
      <c r="N428" s="212" t="e">
        <f>VLOOKUP(Table12[[#This Row],[ROUTE]],DEMAND!A:F,6,FALSE)</f>
        <v>#N/A</v>
      </c>
      <c r="O428" s="212" t="e">
        <f>ROUNDDOWN(Table12[[#This Row],[R-DEMAND]]/1320,0)</f>
        <v>#N/A</v>
      </c>
      <c r="P428" s="212" t="e">
        <f>Table12[[#This Row],[ADD ACC]]*Table12[[#This Row],[RT TIME 
(777-500ER)]]</f>
        <v>#N/A</v>
      </c>
    </row>
    <row r="429" spans="1:16" ht="15.75" customHeight="1" x14ac:dyDescent="0.25">
      <c r="A429" s="212" t="s">
        <v>14621</v>
      </c>
      <c r="B429" s="212" t="s">
        <v>5438</v>
      </c>
      <c r="C429" s="212"/>
      <c r="D429" s="226">
        <v>3</v>
      </c>
      <c r="E429" s="212" t="s">
        <v>78</v>
      </c>
      <c r="F429" s="212" t="s">
        <v>12674</v>
      </c>
      <c r="G429" s="227" t="s">
        <v>11918</v>
      </c>
      <c r="H429" s="228">
        <v>1484</v>
      </c>
      <c r="I429" s="208">
        <v>5.5</v>
      </c>
      <c r="J429" s="211"/>
      <c r="K429" s="209">
        <v>0</v>
      </c>
      <c r="L429" s="212"/>
      <c r="M429" s="212" t="e">
        <f>VLOOKUP(Table12[[#This Row],[ROUTE]],DEMAND!A:F,5,FALSE)</f>
        <v>#N/A</v>
      </c>
      <c r="N429" s="212" t="e">
        <f>VLOOKUP(Table12[[#This Row],[ROUTE]],DEMAND!A:F,6,FALSE)</f>
        <v>#N/A</v>
      </c>
      <c r="O429" s="212" t="e">
        <f>ROUNDDOWN(Table12[[#This Row],[R-DEMAND]]/1320,0)</f>
        <v>#N/A</v>
      </c>
      <c r="P429" s="212" t="e">
        <f>Table12[[#This Row],[ADD ACC]]*Table12[[#This Row],[RT TIME 
(777-500ER)]]</f>
        <v>#N/A</v>
      </c>
    </row>
    <row r="430" spans="1:16" ht="15.75" customHeight="1" x14ac:dyDescent="0.25">
      <c r="A430" s="212" t="s">
        <v>14520</v>
      </c>
      <c r="B430" s="212" t="s">
        <v>3885</v>
      </c>
      <c r="C430" s="212"/>
      <c r="D430" s="226">
        <v>2</v>
      </c>
      <c r="E430" s="212" t="s">
        <v>560</v>
      </c>
      <c r="F430" s="212" t="s">
        <v>12674</v>
      </c>
      <c r="G430" s="227" t="s">
        <v>11722</v>
      </c>
      <c r="H430" s="228">
        <v>2641</v>
      </c>
      <c r="I430" s="208">
        <v>8</v>
      </c>
      <c r="J430" s="211"/>
      <c r="K430" s="209">
        <v>0</v>
      </c>
      <c r="L430" s="212"/>
      <c r="M430" s="212" t="e">
        <f>VLOOKUP(Table12[[#This Row],[ROUTE]],DEMAND!A:F,5,FALSE)</f>
        <v>#N/A</v>
      </c>
      <c r="N430" s="212" t="e">
        <f>VLOOKUP(Table12[[#This Row],[ROUTE]],DEMAND!A:F,6,FALSE)</f>
        <v>#N/A</v>
      </c>
      <c r="O430" s="212" t="e">
        <f>ROUNDDOWN(Table12[[#This Row],[R-DEMAND]]/1320,0)</f>
        <v>#N/A</v>
      </c>
      <c r="P430" s="212" t="e">
        <f>Table12[[#This Row],[ADD ACC]]*Table12[[#This Row],[RT TIME 
(777-500ER)]]</f>
        <v>#N/A</v>
      </c>
    </row>
    <row r="431" spans="1:16" ht="15.75" customHeight="1" x14ac:dyDescent="0.25">
      <c r="A431" s="212" t="s">
        <v>14552</v>
      </c>
      <c r="B431" s="212" t="s">
        <v>4924</v>
      </c>
      <c r="C431" s="212"/>
      <c r="D431" s="226">
        <v>3</v>
      </c>
      <c r="E431" s="212" t="s">
        <v>597</v>
      </c>
      <c r="F431" s="212" t="s">
        <v>12674</v>
      </c>
      <c r="G431" s="227" t="s">
        <v>11838</v>
      </c>
      <c r="H431" s="228">
        <v>2447</v>
      </c>
      <c r="I431" s="208">
        <v>7.5</v>
      </c>
      <c r="J431" s="211"/>
      <c r="K431" s="209">
        <v>0</v>
      </c>
      <c r="L431" s="212"/>
      <c r="M431" s="212" t="e">
        <f>VLOOKUP(Table12[[#This Row],[ROUTE]],DEMAND!A:F,5,FALSE)</f>
        <v>#N/A</v>
      </c>
      <c r="N431" s="212" t="e">
        <f>VLOOKUP(Table12[[#This Row],[ROUTE]],DEMAND!A:F,6,FALSE)</f>
        <v>#N/A</v>
      </c>
      <c r="O431" s="212" t="e">
        <f>ROUNDDOWN(Table12[[#This Row],[R-DEMAND]]/1320,0)</f>
        <v>#N/A</v>
      </c>
      <c r="P431" s="212" t="e">
        <f>Table12[[#This Row],[ADD ACC]]*Table12[[#This Row],[RT TIME 
(777-500ER)]]</f>
        <v>#N/A</v>
      </c>
    </row>
    <row r="432" spans="1:16" ht="15.75" customHeight="1" x14ac:dyDescent="0.25">
      <c r="A432" s="212" t="s">
        <v>14519</v>
      </c>
      <c r="B432" s="212" t="s">
        <v>584</v>
      </c>
      <c r="C432" s="212"/>
      <c r="D432" s="226">
        <v>1</v>
      </c>
      <c r="E432" s="212" t="s">
        <v>560</v>
      </c>
      <c r="F432" s="212" t="s">
        <v>12674</v>
      </c>
      <c r="G432" s="227" t="s">
        <v>11718</v>
      </c>
      <c r="H432" s="228">
        <v>2662</v>
      </c>
      <c r="I432" s="208">
        <v>8</v>
      </c>
      <c r="J432" s="211"/>
      <c r="K432" s="209">
        <v>0</v>
      </c>
      <c r="L432" s="212"/>
      <c r="M432" s="212" t="e">
        <f>VLOOKUP(Table12[[#This Row],[ROUTE]],DEMAND!A:F,5,FALSE)</f>
        <v>#N/A</v>
      </c>
      <c r="N432" s="212" t="e">
        <f>VLOOKUP(Table12[[#This Row],[ROUTE]],DEMAND!A:F,6,FALSE)</f>
        <v>#N/A</v>
      </c>
      <c r="O432" s="212" t="e">
        <f>ROUNDDOWN(Table12[[#This Row],[R-DEMAND]]/1320,0)</f>
        <v>#N/A</v>
      </c>
      <c r="P432" s="212" t="e">
        <f>Table12[[#This Row],[ADD ACC]]*Table12[[#This Row],[RT TIME 
(777-500ER)]]</f>
        <v>#N/A</v>
      </c>
    </row>
    <row r="433" spans="1:16" ht="15.75" customHeight="1" x14ac:dyDescent="0.25">
      <c r="A433" s="212" t="s">
        <v>14245</v>
      </c>
      <c r="B433" s="212" t="s">
        <v>3739</v>
      </c>
      <c r="C433" s="212"/>
      <c r="D433" s="226">
        <v>2</v>
      </c>
      <c r="E433" s="212" t="s">
        <v>530</v>
      </c>
      <c r="F433" s="212" t="s">
        <v>12694</v>
      </c>
      <c r="G433" s="227" t="s">
        <v>13180</v>
      </c>
      <c r="H433" s="228">
        <v>13104</v>
      </c>
      <c r="I433" s="208">
        <v>31.5</v>
      </c>
      <c r="J433" s="211"/>
      <c r="K433" s="209">
        <v>0</v>
      </c>
      <c r="L433" s="212"/>
      <c r="M433" s="212" t="e">
        <f>VLOOKUP(Table12[[#This Row],[ROUTE]],DEMAND!A:F,5,FALSE)</f>
        <v>#N/A</v>
      </c>
      <c r="N433" s="212" t="e">
        <f>VLOOKUP(Table12[[#This Row],[ROUTE]],DEMAND!A:F,6,FALSE)</f>
        <v>#N/A</v>
      </c>
      <c r="O433" s="212" t="e">
        <f>ROUNDDOWN(Table12[[#This Row],[R-DEMAND]]/1320,0)</f>
        <v>#N/A</v>
      </c>
      <c r="P433" s="212" t="e">
        <f>Table12[[#This Row],[ADD ACC]]*Table12[[#This Row],[RT TIME 
(777-500ER)]]</f>
        <v>#N/A</v>
      </c>
    </row>
    <row r="434" spans="1:16" ht="15.75" customHeight="1" x14ac:dyDescent="0.25">
      <c r="A434" s="212" t="s">
        <v>15028</v>
      </c>
      <c r="B434" s="212" t="s">
        <v>3537</v>
      </c>
      <c r="C434" s="212"/>
      <c r="D434" s="226">
        <v>2</v>
      </c>
      <c r="E434" s="212" t="s">
        <v>3535</v>
      </c>
      <c r="F434" s="212" t="s">
        <v>12671</v>
      </c>
      <c r="G434" s="227" t="s">
        <v>11666</v>
      </c>
      <c r="H434" s="228">
        <v>6781</v>
      </c>
      <c r="I434" s="208">
        <v>17.25</v>
      </c>
      <c r="J434" s="211"/>
      <c r="K434" s="209">
        <v>0</v>
      </c>
      <c r="L434" s="212"/>
      <c r="M434" s="212" t="e">
        <f>VLOOKUP(Table12[[#This Row],[ROUTE]],DEMAND!A:F,5,FALSE)</f>
        <v>#N/A</v>
      </c>
      <c r="N434" s="212" t="e">
        <f>VLOOKUP(Table12[[#This Row],[ROUTE]],DEMAND!A:F,6,FALSE)</f>
        <v>#N/A</v>
      </c>
      <c r="O434" s="212" t="e">
        <f>ROUNDDOWN(Table12[[#This Row],[R-DEMAND]]/1320,0)</f>
        <v>#N/A</v>
      </c>
      <c r="P434" s="212" t="e">
        <f>Table12[[#This Row],[ADD ACC]]*Table12[[#This Row],[RT TIME 
(777-500ER)]]</f>
        <v>#N/A</v>
      </c>
    </row>
    <row r="435" spans="1:16" ht="15.75" customHeight="1" x14ac:dyDescent="0.25">
      <c r="A435" s="212" t="s">
        <v>14897</v>
      </c>
      <c r="B435" s="212" t="s">
        <v>5126</v>
      </c>
      <c r="C435" s="212"/>
      <c r="D435" s="226">
        <v>3</v>
      </c>
      <c r="E435" s="212" t="s">
        <v>5124</v>
      </c>
      <c r="F435" s="212" t="s">
        <v>12670</v>
      </c>
      <c r="G435" s="227" t="s">
        <v>12078</v>
      </c>
      <c r="H435" s="228">
        <v>6513</v>
      </c>
      <c r="I435" s="208">
        <v>16.75</v>
      </c>
      <c r="J435" s="211"/>
      <c r="K435" s="209">
        <v>0</v>
      </c>
      <c r="L435" s="212"/>
      <c r="M435" s="212" t="e">
        <f>VLOOKUP(Table12[[#This Row],[ROUTE]],DEMAND!A:F,5,FALSE)</f>
        <v>#N/A</v>
      </c>
      <c r="N435" s="212" t="e">
        <f>VLOOKUP(Table12[[#This Row],[ROUTE]],DEMAND!A:F,6,FALSE)</f>
        <v>#N/A</v>
      </c>
      <c r="O435" s="212" t="e">
        <f>ROUNDDOWN(Table12[[#This Row],[R-DEMAND]]/1320,0)</f>
        <v>#N/A</v>
      </c>
      <c r="P435" s="212" t="e">
        <f>Table12[[#This Row],[ADD ACC]]*Table12[[#This Row],[RT TIME 
(777-500ER)]]</f>
        <v>#N/A</v>
      </c>
    </row>
    <row r="436" spans="1:16" ht="15.75" customHeight="1" x14ac:dyDescent="0.25">
      <c r="A436" s="212" t="s">
        <v>14311</v>
      </c>
      <c r="B436" s="212" t="s">
        <v>5441</v>
      </c>
      <c r="C436" s="212"/>
      <c r="D436" s="226" t="s">
        <v>15107</v>
      </c>
      <c r="E436" s="212" t="s">
        <v>647</v>
      </c>
      <c r="F436" s="212" t="s">
        <v>12688</v>
      </c>
      <c r="G436" s="227" t="s">
        <v>13329</v>
      </c>
      <c r="H436" s="228">
        <v>8025</v>
      </c>
      <c r="I436" s="208">
        <v>20</v>
      </c>
      <c r="J436" s="211"/>
      <c r="K436" s="209">
        <v>0</v>
      </c>
      <c r="L436" s="212"/>
      <c r="M436" s="212" t="e">
        <f>VLOOKUP(Table12[[#This Row],[ROUTE]],DEMAND!A:F,5,FALSE)</f>
        <v>#N/A</v>
      </c>
      <c r="N436" s="212" t="e">
        <f>VLOOKUP(Table12[[#This Row],[ROUTE]],DEMAND!A:F,6,FALSE)</f>
        <v>#N/A</v>
      </c>
      <c r="O436" s="212" t="e">
        <f>ROUNDDOWN(Table12[[#This Row],[R-DEMAND]]/1320,0)</f>
        <v>#N/A</v>
      </c>
      <c r="P436" s="212" t="e">
        <f>Table12[[#This Row],[ADD ACC]]*Table12[[#This Row],[RT TIME 
(777-500ER)]]</f>
        <v>#N/A</v>
      </c>
    </row>
    <row r="437" spans="1:16" ht="15.75" customHeight="1" x14ac:dyDescent="0.25">
      <c r="A437" s="212" t="s">
        <v>14443</v>
      </c>
      <c r="B437" s="212" t="s">
        <v>2520</v>
      </c>
      <c r="C437" s="212"/>
      <c r="D437" s="226">
        <v>2</v>
      </c>
      <c r="E437" s="212" t="s">
        <v>683</v>
      </c>
      <c r="F437" s="212" t="s">
        <v>12688</v>
      </c>
      <c r="G437" s="227" t="s">
        <v>13191</v>
      </c>
      <c r="H437" s="228">
        <v>9557</v>
      </c>
      <c r="I437" s="208">
        <v>23.5</v>
      </c>
      <c r="J437" s="211"/>
      <c r="K437" s="209">
        <v>0</v>
      </c>
      <c r="L437" s="212"/>
      <c r="M437" s="212" t="e">
        <f>VLOOKUP(Table12[[#This Row],[ROUTE]],DEMAND!A:F,5,FALSE)</f>
        <v>#N/A</v>
      </c>
      <c r="N437" s="212" t="e">
        <f>VLOOKUP(Table12[[#This Row],[ROUTE]],DEMAND!A:F,6,FALSE)</f>
        <v>#N/A</v>
      </c>
      <c r="O437" s="212" t="e">
        <f>ROUNDDOWN(Table12[[#This Row],[R-DEMAND]]/1320,0)</f>
        <v>#N/A</v>
      </c>
      <c r="P437" s="212" t="e">
        <f>Table12[[#This Row],[ADD ACC]]*Table12[[#This Row],[RT TIME 
(777-500ER)]]</f>
        <v>#N/A</v>
      </c>
    </row>
    <row r="438" spans="1:16" ht="15.75" customHeight="1" x14ac:dyDescent="0.25">
      <c r="A438" s="212" t="s">
        <v>14604</v>
      </c>
      <c r="B438" s="212" t="s">
        <v>4408</v>
      </c>
      <c r="C438" s="212"/>
      <c r="D438" s="226">
        <v>2</v>
      </c>
      <c r="E438" s="212" t="s">
        <v>1420</v>
      </c>
      <c r="F438" s="212" t="s">
        <v>12674</v>
      </c>
      <c r="G438" s="227" t="s">
        <v>11844</v>
      </c>
      <c r="H438" s="228">
        <v>1398</v>
      </c>
      <c r="I438" s="208">
        <v>5.25</v>
      </c>
      <c r="J438" s="211"/>
      <c r="K438" s="209">
        <v>0</v>
      </c>
      <c r="L438" s="212"/>
      <c r="M438" s="212" t="e">
        <f>VLOOKUP(Table12[[#This Row],[ROUTE]],DEMAND!A:F,5,FALSE)</f>
        <v>#N/A</v>
      </c>
      <c r="N438" s="212" t="e">
        <f>VLOOKUP(Table12[[#This Row],[ROUTE]],DEMAND!A:F,6,FALSE)</f>
        <v>#N/A</v>
      </c>
      <c r="O438" s="212" t="e">
        <f>ROUNDDOWN(Table12[[#This Row],[R-DEMAND]]/1320,0)</f>
        <v>#N/A</v>
      </c>
      <c r="P438" s="212" t="e">
        <f>Table12[[#This Row],[ADD ACC]]*Table12[[#This Row],[RT TIME 
(777-500ER)]]</f>
        <v>#N/A</v>
      </c>
    </row>
    <row r="439" spans="1:16" ht="15.75" customHeight="1" x14ac:dyDescent="0.25">
      <c r="A439" s="212" t="s">
        <v>14225</v>
      </c>
      <c r="B439" s="212" t="s">
        <v>4642</v>
      </c>
      <c r="C439" s="212"/>
      <c r="D439" s="226">
        <v>2</v>
      </c>
      <c r="E439" s="212" t="s">
        <v>505</v>
      </c>
      <c r="F439" s="212" t="s">
        <v>12694</v>
      </c>
      <c r="G439" s="227" t="s">
        <v>13137</v>
      </c>
      <c r="H439" s="228">
        <v>13568</v>
      </c>
      <c r="I439" s="208">
        <v>32.5</v>
      </c>
      <c r="J439" s="211"/>
      <c r="K439" s="209">
        <v>0</v>
      </c>
      <c r="L439" s="212"/>
      <c r="M439" s="212" t="e">
        <f>VLOOKUP(Table12[[#This Row],[ROUTE]],DEMAND!A:F,5,FALSE)</f>
        <v>#N/A</v>
      </c>
      <c r="N439" s="212" t="e">
        <f>VLOOKUP(Table12[[#This Row],[ROUTE]],DEMAND!A:F,6,FALSE)</f>
        <v>#N/A</v>
      </c>
      <c r="O439" s="212" t="e">
        <f>ROUNDDOWN(Table12[[#This Row],[R-DEMAND]]/1320,0)</f>
        <v>#N/A</v>
      </c>
      <c r="P439" s="212" t="e">
        <f>Table12[[#This Row],[ADD ACC]]*Table12[[#This Row],[RT TIME 
(777-500ER)]]</f>
        <v>#N/A</v>
      </c>
    </row>
    <row r="440" spans="1:16" ht="15.75" customHeight="1" x14ac:dyDescent="0.25">
      <c r="A440" s="212" t="s">
        <v>14360</v>
      </c>
      <c r="B440" s="212" t="s">
        <v>4947</v>
      </c>
      <c r="C440" s="212"/>
      <c r="D440" s="226" t="s">
        <v>15106</v>
      </c>
      <c r="E440" s="212" t="s">
        <v>647</v>
      </c>
      <c r="F440" s="212" t="s">
        <v>12688</v>
      </c>
      <c r="G440" s="227" t="s">
        <v>13290</v>
      </c>
      <c r="H440" s="228">
        <v>8957</v>
      </c>
      <c r="I440" s="208">
        <v>22.25</v>
      </c>
      <c r="J440" s="211"/>
      <c r="K440" s="209">
        <v>0</v>
      </c>
      <c r="L440" s="212"/>
      <c r="M440" s="212" t="e">
        <f>VLOOKUP(Table12[[#This Row],[ROUTE]],DEMAND!A:F,5,FALSE)</f>
        <v>#N/A</v>
      </c>
      <c r="N440" s="212" t="e">
        <f>VLOOKUP(Table12[[#This Row],[ROUTE]],DEMAND!A:F,6,FALSE)</f>
        <v>#N/A</v>
      </c>
      <c r="O440" s="212" t="e">
        <f>ROUNDDOWN(Table12[[#This Row],[R-DEMAND]]/1320,0)</f>
        <v>#N/A</v>
      </c>
      <c r="P440" s="212" t="e">
        <f>Table12[[#This Row],[ADD ACC]]*Table12[[#This Row],[RT TIME 
(777-500ER)]]</f>
        <v>#N/A</v>
      </c>
    </row>
    <row r="441" spans="1:16" ht="15.75" customHeight="1" x14ac:dyDescent="0.25">
      <c r="A441" s="212" t="s">
        <v>14336</v>
      </c>
      <c r="B441" s="212" t="s">
        <v>3035</v>
      </c>
      <c r="C441" s="212"/>
      <c r="D441" s="226" t="s">
        <v>15105</v>
      </c>
      <c r="E441" s="212" t="s">
        <v>647</v>
      </c>
      <c r="F441" s="212" t="s">
        <v>12688</v>
      </c>
      <c r="G441" s="227" t="s">
        <v>13278</v>
      </c>
      <c r="H441" s="228">
        <v>8580</v>
      </c>
      <c r="I441" s="208">
        <v>21.25</v>
      </c>
      <c r="J441" s="211"/>
      <c r="K441" s="209">
        <v>0</v>
      </c>
      <c r="L441" s="212"/>
      <c r="M441" s="212" t="e">
        <f>VLOOKUP(Table12[[#This Row],[ROUTE]],DEMAND!A:F,5,FALSE)</f>
        <v>#N/A</v>
      </c>
      <c r="N441" s="212" t="e">
        <f>VLOOKUP(Table12[[#This Row],[ROUTE]],DEMAND!A:F,6,FALSE)</f>
        <v>#N/A</v>
      </c>
      <c r="O441" s="212" t="e">
        <f>ROUNDDOWN(Table12[[#This Row],[R-DEMAND]]/1320,0)</f>
        <v>#N/A</v>
      </c>
      <c r="P441" s="212" t="e">
        <f>Table12[[#This Row],[ADD ACC]]*Table12[[#This Row],[RT TIME 
(777-500ER)]]</f>
        <v>#N/A</v>
      </c>
    </row>
    <row r="442" spans="1:16" ht="15.75" customHeight="1" x14ac:dyDescent="0.25">
      <c r="A442" s="212" t="s">
        <v>14857</v>
      </c>
      <c r="B442" s="212" t="s">
        <v>351</v>
      </c>
      <c r="C442" s="212"/>
      <c r="D442" s="226">
        <v>2</v>
      </c>
      <c r="E442" s="212" t="s">
        <v>717</v>
      </c>
      <c r="F442" s="212" t="s">
        <v>12670</v>
      </c>
      <c r="G442" s="227" t="s">
        <v>12087</v>
      </c>
      <c r="H442" s="228">
        <v>8163</v>
      </c>
      <c r="I442" s="208">
        <v>20.5</v>
      </c>
      <c r="J442" s="211"/>
      <c r="K442" s="209">
        <v>0</v>
      </c>
      <c r="L442" s="212"/>
      <c r="M442" s="212" t="e">
        <f>VLOOKUP(Table12[[#This Row],[ROUTE]],DEMAND!A:F,5,FALSE)</f>
        <v>#N/A</v>
      </c>
      <c r="N442" s="212" t="e">
        <f>VLOOKUP(Table12[[#This Row],[ROUTE]],DEMAND!A:F,6,FALSE)</f>
        <v>#N/A</v>
      </c>
      <c r="O442" s="212" t="e">
        <f>ROUNDDOWN(Table12[[#This Row],[R-DEMAND]]/1320,0)</f>
        <v>#N/A</v>
      </c>
      <c r="P442" s="212" t="e">
        <f>Table12[[#This Row],[ADD ACC]]*Table12[[#This Row],[RT TIME 
(777-500ER)]]</f>
        <v>#N/A</v>
      </c>
    </row>
    <row r="443" spans="1:16" ht="15.75" customHeight="1" x14ac:dyDescent="0.25">
      <c r="A443" s="212" t="s">
        <v>14222</v>
      </c>
      <c r="B443" s="212" t="s">
        <v>1828</v>
      </c>
      <c r="C443" s="212"/>
      <c r="D443" s="226">
        <v>1</v>
      </c>
      <c r="E443" s="212" t="s">
        <v>505</v>
      </c>
      <c r="F443" s="212" t="s">
        <v>12694</v>
      </c>
      <c r="G443" s="227" t="s">
        <v>10204</v>
      </c>
      <c r="H443" s="228">
        <v>13433</v>
      </c>
      <c r="I443" s="208">
        <v>32.25</v>
      </c>
      <c r="J443" s="211"/>
      <c r="K443" s="209">
        <v>0</v>
      </c>
      <c r="L443" s="212"/>
      <c r="M443" s="212" t="e">
        <f>VLOOKUP(Table12[[#This Row],[ROUTE]],DEMAND!A:F,5,FALSE)</f>
        <v>#N/A</v>
      </c>
      <c r="N443" s="212" t="e">
        <f>VLOOKUP(Table12[[#This Row],[ROUTE]],DEMAND!A:F,6,FALSE)</f>
        <v>#N/A</v>
      </c>
      <c r="O443" s="212" t="e">
        <f>ROUNDDOWN(Table12[[#This Row],[R-DEMAND]]/1320,0)</f>
        <v>#N/A</v>
      </c>
      <c r="P443" s="212" t="e">
        <f>Table12[[#This Row],[ADD ACC]]*Table12[[#This Row],[RT TIME 
(777-500ER)]]</f>
        <v>#N/A</v>
      </c>
    </row>
    <row r="444" spans="1:16" ht="15.75" customHeight="1" x14ac:dyDescent="0.25">
      <c r="A444" s="212" t="s">
        <v>14480</v>
      </c>
      <c r="B444" s="212" t="s">
        <v>4621</v>
      </c>
      <c r="C444" s="212"/>
      <c r="D444" s="226">
        <v>2</v>
      </c>
      <c r="E444" s="212" t="s">
        <v>2324</v>
      </c>
      <c r="F444" s="212" t="s">
        <v>12688</v>
      </c>
      <c r="G444" s="227" t="s">
        <v>13230</v>
      </c>
      <c r="H444" s="228">
        <v>9928</v>
      </c>
      <c r="I444" s="208">
        <v>24.5</v>
      </c>
      <c r="J444" s="211"/>
      <c r="K444" s="209">
        <v>0</v>
      </c>
      <c r="L444" s="212"/>
      <c r="M444" s="212" t="e">
        <f>VLOOKUP(Table12[[#This Row],[ROUTE]],DEMAND!A:F,5,FALSE)</f>
        <v>#N/A</v>
      </c>
      <c r="N444" s="212" t="e">
        <f>VLOOKUP(Table12[[#This Row],[ROUTE]],DEMAND!A:F,6,FALSE)</f>
        <v>#N/A</v>
      </c>
      <c r="O444" s="212" t="e">
        <f>ROUNDDOWN(Table12[[#This Row],[R-DEMAND]]/1320,0)</f>
        <v>#N/A</v>
      </c>
      <c r="P444" s="212" t="e">
        <f>Table12[[#This Row],[ADD ACC]]*Table12[[#This Row],[RT TIME 
(777-500ER)]]</f>
        <v>#N/A</v>
      </c>
    </row>
    <row r="445" spans="1:16" ht="15.75" customHeight="1" x14ac:dyDescent="0.25">
      <c r="A445" s="212" t="s">
        <v>14956</v>
      </c>
      <c r="B445" s="212" t="s">
        <v>345</v>
      </c>
      <c r="C445" s="212"/>
      <c r="D445" s="226">
        <v>2</v>
      </c>
      <c r="E445" s="212" t="s">
        <v>1314</v>
      </c>
      <c r="F445" s="212" t="s">
        <v>12670</v>
      </c>
      <c r="G445" s="227" t="s">
        <v>12102</v>
      </c>
      <c r="H445" s="228">
        <v>7738</v>
      </c>
      <c r="I445" s="208">
        <v>19.5</v>
      </c>
      <c r="J445" s="211"/>
      <c r="K445" s="209">
        <v>0</v>
      </c>
      <c r="L445" s="212"/>
      <c r="M445" s="212" t="e">
        <f>VLOOKUP(Table12[[#This Row],[ROUTE]],DEMAND!A:F,5,FALSE)</f>
        <v>#N/A</v>
      </c>
      <c r="N445" s="212" t="e">
        <f>VLOOKUP(Table12[[#This Row],[ROUTE]],DEMAND!A:F,6,FALSE)</f>
        <v>#N/A</v>
      </c>
      <c r="O445" s="212" t="e">
        <f>ROUNDDOWN(Table12[[#This Row],[R-DEMAND]]/1320,0)</f>
        <v>#N/A</v>
      </c>
      <c r="P445" s="212" t="e">
        <f>Table12[[#This Row],[ADD ACC]]*Table12[[#This Row],[RT TIME 
(777-500ER)]]</f>
        <v>#N/A</v>
      </c>
    </row>
    <row r="446" spans="1:16" ht="15.75" customHeight="1" x14ac:dyDescent="0.25">
      <c r="A446" s="212" t="s">
        <v>14447</v>
      </c>
      <c r="B446" s="212" t="s">
        <v>2844</v>
      </c>
      <c r="C446" s="212"/>
      <c r="D446" s="226">
        <v>2</v>
      </c>
      <c r="E446" s="212" t="s">
        <v>683</v>
      </c>
      <c r="F446" s="212" t="s">
        <v>12688</v>
      </c>
      <c r="G446" s="227" t="s">
        <v>13188</v>
      </c>
      <c r="H446" s="228">
        <v>9731</v>
      </c>
      <c r="I446" s="208">
        <v>24</v>
      </c>
      <c r="J446" s="211"/>
      <c r="K446" s="209">
        <v>0</v>
      </c>
      <c r="L446" s="212"/>
      <c r="M446" s="212" t="e">
        <f>VLOOKUP(Table12[[#This Row],[ROUTE]],DEMAND!A:F,5,FALSE)</f>
        <v>#N/A</v>
      </c>
      <c r="N446" s="212" t="e">
        <f>VLOOKUP(Table12[[#This Row],[ROUTE]],DEMAND!A:F,6,FALSE)</f>
        <v>#N/A</v>
      </c>
      <c r="O446" s="212" t="e">
        <f>ROUNDDOWN(Table12[[#This Row],[R-DEMAND]]/1320,0)</f>
        <v>#N/A</v>
      </c>
      <c r="P446" s="212" t="e">
        <f>Table12[[#This Row],[ADD ACC]]*Table12[[#This Row],[RT TIME 
(777-500ER)]]</f>
        <v>#N/A</v>
      </c>
    </row>
    <row r="447" spans="1:16" ht="15.75" customHeight="1" x14ac:dyDescent="0.25">
      <c r="A447" s="212" t="s">
        <v>14344</v>
      </c>
      <c r="B447" s="212" t="s">
        <v>1505</v>
      </c>
      <c r="C447" s="212"/>
      <c r="D447" s="226" t="s">
        <v>15104</v>
      </c>
      <c r="E447" s="212" t="s">
        <v>647</v>
      </c>
      <c r="F447" s="212" t="s">
        <v>12688</v>
      </c>
      <c r="G447" s="227" t="s">
        <v>13284</v>
      </c>
      <c r="H447" s="228">
        <v>8717</v>
      </c>
      <c r="I447" s="208">
        <v>21.75</v>
      </c>
      <c r="J447" s="211"/>
      <c r="K447" s="209">
        <v>0</v>
      </c>
      <c r="L447" s="212"/>
      <c r="M447" s="212" t="e">
        <f>VLOOKUP(Table12[[#This Row],[ROUTE]],DEMAND!A:F,5,FALSE)</f>
        <v>#N/A</v>
      </c>
      <c r="N447" s="212" t="e">
        <f>VLOOKUP(Table12[[#This Row],[ROUTE]],DEMAND!A:F,6,FALSE)</f>
        <v>#N/A</v>
      </c>
      <c r="O447" s="212" t="e">
        <f>ROUNDDOWN(Table12[[#This Row],[R-DEMAND]]/1320,0)</f>
        <v>#N/A</v>
      </c>
      <c r="P447" s="212" t="e">
        <f>Table12[[#This Row],[ADD ACC]]*Table12[[#This Row],[RT TIME 
(777-500ER)]]</f>
        <v>#N/A</v>
      </c>
    </row>
    <row r="448" spans="1:16" ht="15.75" customHeight="1" x14ac:dyDescent="0.25">
      <c r="A448" s="212" t="s">
        <v>14972</v>
      </c>
      <c r="B448" s="212" t="s">
        <v>3693</v>
      </c>
      <c r="C448" s="212"/>
      <c r="D448" s="226">
        <v>2</v>
      </c>
      <c r="E448" s="212" t="s">
        <v>493</v>
      </c>
      <c r="F448" s="212" t="s">
        <v>12671</v>
      </c>
      <c r="G448" s="227" t="s">
        <v>11738</v>
      </c>
      <c r="H448" s="228">
        <v>3177</v>
      </c>
      <c r="I448" s="208">
        <v>9.25</v>
      </c>
      <c r="J448" s="211"/>
      <c r="K448" s="209">
        <v>0</v>
      </c>
      <c r="L448" s="212"/>
      <c r="M448" s="212" t="e">
        <f>VLOOKUP(Table12[[#This Row],[ROUTE]],DEMAND!A:F,5,FALSE)</f>
        <v>#N/A</v>
      </c>
      <c r="N448" s="212" t="e">
        <f>VLOOKUP(Table12[[#This Row],[ROUTE]],DEMAND!A:F,6,FALSE)</f>
        <v>#N/A</v>
      </c>
      <c r="O448" s="212" t="e">
        <f>ROUNDDOWN(Table12[[#This Row],[R-DEMAND]]/1320,0)</f>
        <v>#N/A</v>
      </c>
      <c r="P448" s="212" t="e">
        <f>Table12[[#This Row],[ADD ACC]]*Table12[[#This Row],[RT TIME 
(777-500ER)]]</f>
        <v>#N/A</v>
      </c>
    </row>
    <row r="449" spans="1:16" ht="15.75" customHeight="1" x14ac:dyDescent="0.25">
      <c r="A449" s="212" t="s">
        <v>14730</v>
      </c>
      <c r="B449" s="212" t="s">
        <v>4118</v>
      </c>
      <c r="C449" s="212"/>
      <c r="D449" s="226">
        <v>2</v>
      </c>
      <c r="E449" s="212" t="s">
        <v>14</v>
      </c>
      <c r="F449" s="212" t="s">
        <v>12670</v>
      </c>
      <c r="G449" s="227" t="s">
        <v>12044</v>
      </c>
      <c r="H449" s="228">
        <v>6648</v>
      </c>
      <c r="I449" s="208">
        <v>17</v>
      </c>
      <c r="J449" s="211"/>
      <c r="K449" s="209">
        <v>0</v>
      </c>
      <c r="L449" s="212"/>
      <c r="M449" s="212" t="e">
        <f>VLOOKUP(Table12[[#This Row],[ROUTE]],DEMAND!A:F,5,FALSE)</f>
        <v>#N/A</v>
      </c>
      <c r="N449" s="212" t="e">
        <f>VLOOKUP(Table12[[#This Row],[ROUTE]],DEMAND!A:F,6,FALSE)</f>
        <v>#N/A</v>
      </c>
      <c r="O449" s="212" t="e">
        <f>ROUNDDOWN(Table12[[#This Row],[R-DEMAND]]/1320,0)</f>
        <v>#N/A</v>
      </c>
      <c r="P449" s="212" t="e">
        <f>Table12[[#This Row],[ADD ACC]]*Table12[[#This Row],[RT TIME 
(777-500ER)]]</f>
        <v>#N/A</v>
      </c>
    </row>
    <row r="450" spans="1:16" ht="15.75" customHeight="1" x14ac:dyDescent="0.25">
      <c r="A450" s="212" t="s">
        <v>14358</v>
      </c>
      <c r="B450" s="212" t="s">
        <v>3897</v>
      </c>
      <c r="C450" s="212"/>
      <c r="D450" s="226" t="s">
        <v>15105</v>
      </c>
      <c r="E450" s="212" t="s">
        <v>647</v>
      </c>
      <c r="F450" s="212" t="s">
        <v>12688</v>
      </c>
      <c r="G450" s="227" t="s">
        <v>13364</v>
      </c>
      <c r="H450" s="228">
        <v>8977</v>
      </c>
      <c r="I450" s="208">
        <v>22.25</v>
      </c>
      <c r="J450" s="211"/>
      <c r="K450" s="209">
        <v>0</v>
      </c>
      <c r="L450" s="212"/>
      <c r="M450" s="212" t="e">
        <f>VLOOKUP(Table12[[#This Row],[ROUTE]],DEMAND!A:F,5,FALSE)</f>
        <v>#N/A</v>
      </c>
      <c r="N450" s="212" t="e">
        <f>VLOOKUP(Table12[[#This Row],[ROUTE]],DEMAND!A:F,6,FALSE)</f>
        <v>#N/A</v>
      </c>
      <c r="O450" s="212" t="e">
        <f>ROUNDDOWN(Table12[[#This Row],[R-DEMAND]]/1320,0)</f>
        <v>#N/A</v>
      </c>
      <c r="P450" s="212" t="e">
        <f>Table12[[#This Row],[ADD ACC]]*Table12[[#This Row],[RT TIME 
(777-500ER)]]</f>
        <v>#N/A</v>
      </c>
    </row>
    <row r="451" spans="1:16" ht="15.75" customHeight="1" x14ac:dyDescent="0.25">
      <c r="A451" s="212" t="s">
        <v>14902</v>
      </c>
      <c r="B451" s="212" t="s">
        <v>5196</v>
      </c>
      <c r="C451" s="212"/>
      <c r="D451" s="226">
        <v>3</v>
      </c>
      <c r="E451" s="212" t="s">
        <v>1654</v>
      </c>
      <c r="F451" s="212" t="s">
        <v>12670</v>
      </c>
      <c r="G451" s="227" t="s">
        <v>11890</v>
      </c>
      <c r="H451" s="228">
        <v>2449</v>
      </c>
      <c r="I451" s="208">
        <v>7.5</v>
      </c>
      <c r="J451" s="211"/>
      <c r="K451" s="209">
        <v>0</v>
      </c>
      <c r="L451" s="212"/>
      <c r="M451" s="212" t="e">
        <f>VLOOKUP(Table12[[#This Row],[ROUTE]],DEMAND!A:F,5,FALSE)</f>
        <v>#N/A</v>
      </c>
      <c r="N451" s="212" t="e">
        <f>VLOOKUP(Table12[[#This Row],[ROUTE]],DEMAND!A:F,6,FALSE)</f>
        <v>#N/A</v>
      </c>
      <c r="O451" s="212" t="e">
        <f>ROUNDDOWN(Table12[[#This Row],[R-DEMAND]]/1320,0)</f>
        <v>#N/A</v>
      </c>
      <c r="P451" s="212" t="e">
        <f>Table12[[#This Row],[ADD ACC]]*Table12[[#This Row],[RT TIME 
(777-500ER)]]</f>
        <v>#N/A</v>
      </c>
    </row>
    <row r="452" spans="1:16" ht="15.75" customHeight="1" x14ac:dyDescent="0.25">
      <c r="A452" s="212" t="s">
        <v>14317</v>
      </c>
      <c r="B452" s="212" t="s">
        <v>5074</v>
      </c>
      <c r="C452" s="212"/>
      <c r="D452" s="226" t="s">
        <v>15106</v>
      </c>
      <c r="E452" s="212" t="s">
        <v>647</v>
      </c>
      <c r="F452" s="212" t="s">
        <v>12688</v>
      </c>
      <c r="G452" s="227" t="s">
        <v>13325</v>
      </c>
      <c r="H452" s="228">
        <v>8092</v>
      </c>
      <c r="I452" s="208">
        <v>20.25</v>
      </c>
      <c r="J452" s="211"/>
      <c r="K452" s="209">
        <v>0</v>
      </c>
      <c r="L452" s="212"/>
      <c r="M452" s="212" t="e">
        <f>VLOOKUP(Table12[[#This Row],[ROUTE]],DEMAND!A:F,5,FALSE)</f>
        <v>#N/A</v>
      </c>
      <c r="N452" s="212" t="e">
        <f>VLOOKUP(Table12[[#This Row],[ROUTE]],DEMAND!A:F,6,FALSE)</f>
        <v>#N/A</v>
      </c>
      <c r="O452" s="212" t="e">
        <f>ROUNDDOWN(Table12[[#This Row],[R-DEMAND]]/1320,0)</f>
        <v>#N/A</v>
      </c>
      <c r="P452" s="212" t="e">
        <f>Table12[[#This Row],[ADD ACC]]*Table12[[#This Row],[RT TIME 
(777-500ER)]]</f>
        <v>#N/A</v>
      </c>
    </row>
    <row r="453" spans="1:16" ht="15.75" customHeight="1" x14ac:dyDescent="0.25">
      <c r="A453" s="212" t="s">
        <v>14500</v>
      </c>
      <c r="B453" s="212" t="s">
        <v>4651</v>
      </c>
      <c r="C453" s="212"/>
      <c r="D453" s="226"/>
      <c r="E453" s="212" t="s">
        <v>1117</v>
      </c>
      <c r="F453" s="212" t="s">
        <v>12674</v>
      </c>
      <c r="G453" s="227" t="s">
        <v>10122</v>
      </c>
      <c r="H453" s="228">
        <v>2010</v>
      </c>
      <c r="I453" s="208">
        <v>6.75</v>
      </c>
      <c r="J453" s="211"/>
      <c r="K453" s="209">
        <v>0</v>
      </c>
      <c r="L453" s="212"/>
      <c r="M453" s="212" t="e">
        <f>VLOOKUP(Table12[[#This Row],[ROUTE]],DEMAND!A:F,5,FALSE)</f>
        <v>#N/A</v>
      </c>
      <c r="N453" s="212" t="e">
        <f>VLOOKUP(Table12[[#This Row],[ROUTE]],DEMAND!A:F,6,FALSE)</f>
        <v>#N/A</v>
      </c>
      <c r="O453" s="212" t="e">
        <f>ROUNDDOWN(Table12[[#This Row],[R-DEMAND]]/1320,0)</f>
        <v>#N/A</v>
      </c>
      <c r="P453" s="212" t="e">
        <f>Table12[[#This Row],[ADD ACC]]*Table12[[#This Row],[RT TIME 
(777-500ER)]]</f>
        <v>#N/A</v>
      </c>
    </row>
    <row r="454" spans="1:16" ht="15.75" customHeight="1" x14ac:dyDescent="0.25">
      <c r="A454" s="212" t="s">
        <v>14274</v>
      </c>
      <c r="B454" s="212" t="s">
        <v>1937</v>
      </c>
      <c r="C454" s="212"/>
      <c r="D454" s="226">
        <v>1</v>
      </c>
      <c r="E454" s="212" t="s">
        <v>774</v>
      </c>
      <c r="F454" s="212" t="s">
        <v>12682</v>
      </c>
      <c r="G454" s="227" t="s">
        <v>12099</v>
      </c>
      <c r="H454" s="228">
        <v>11359</v>
      </c>
      <c r="I454" s="208">
        <v>27.5</v>
      </c>
      <c r="J454" s="211"/>
      <c r="K454" s="209">
        <v>0</v>
      </c>
      <c r="L454" s="212"/>
      <c r="M454" s="212" t="e">
        <f>VLOOKUP(Table12[[#This Row],[ROUTE]],DEMAND!A:F,5,FALSE)</f>
        <v>#N/A</v>
      </c>
      <c r="N454" s="212" t="e">
        <f>VLOOKUP(Table12[[#This Row],[ROUTE]],DEMAND!A:F,6,FALSE)</f>
        <v>#N/A</v>
      </c>
      <c r="O454" s="212" t="e">
        <f>ROUNDDOWN(Table12[[#This Row],[R-DEMAND]]/1320,0)</f>
        <v>#N/A</v>
      </c>
      <c r="P454" s="212" t="e">
        <f>Table12[[#This Row],[ADD ACC]]*Table12[[#This Row],[RT TIME 
(777-500ER)]]</f>
        <v>#N/A</v>
      </c>
    </row>
    <row r="455" spans="1:16" ht="15.75" customHeight="1" x14ac:dyDescent="0.25">
      <c r="A455" s="212" t="s">
        <v>14901</v>
      </c>
      <c r="B455" s="212" t="s">
        <v>2067</v>
      </c>
      <c r="C455" s="212"/>
      <c r="D455" s="226">
        <v>1</v>
      </c>
      <c r="E455" s="212" t="s">
        <v>1654</v>
      </c>
      <c r="F455" s="212" t="s">
        <v>12670</v>
      </c>
      <c r="G455" s="227" t="s">
        <v>11900</v>
      </c>
      <c r="H455" s="228">
        <v>2244</v>
      </c>
      <c r="I455" s="208">
        <v>7.25</v>
      </c>
      <c r="J455" s="211"/>
      <c r="K455" s="209">
        <v>0</v>
      </c>
      <c r="L455" s="212"/>
      <c r="M455" s="212" t="e">
        <f>VLOOKUP(Table12[[#This Row],[ROUTE]],DEMAND!A:F,5,FALSE)</f>
        <v>#N/A</v>
      </c>
      <c r="N455" s="212" t="e">
        <f>VLOOKUP(Table12[[#This Row],[ROUTE]],DEMAND!A:F,6,FALSE)</f>
        <v>#N/A</v>
      </c>
      <c r="O455" s="212" t="e">
        <f>ROUNDDOWN(Table12[[#This Row],[R-DEMAND]]/1320,0)</f>
        <v>#N/A</v>
      </c>
      <c r="P455" s="212" t="e">
        <f>Table12[[#This Row],[ADD ACC]]*Table12[[#This Row],[RT TIME 
(777-500ER)]]</f>
        <v>#N/A</v>
      </c>
    </row>
    <row r="456" spans="1:16" ht="15.75" customHeight="1" x14ac:dyDescent="0.25">
      <c r="A456" s="212" t="s">
        <v>14468</v>
      </c>
      <c r="B456" s="212" t="s">
        <v>3483</v>
      </c>
      <c r="C456" s="212"/>
      <c r="D456" s="226">
        <v>2</v>
      </c>
      <c r="E456" s="212" t="s">
        <v>1749</v>
      </c>
      <c r="F456" s="212" t="s">
        <v>12688</v>
      </c>
      <c r="G456" s="227" t="s">
        <v>13215</v>
      </c>
      <c r="H456" s="228">
        <v>10483</v>
      </c>
      <c r="I456" s="208">
        <v>25.75</v>
      </c>
      <c r="J456" s="211"/>
      <c r="K456" s="209">
        <v>0</v>
      </c>
      <c r="L456" s="212"/>
      <c r="M456" s="212" t="e">
        <f>VLOOKUP(Table12[[#This Row],[ROUTE]],DEMAND!A:F,5,FALSE)</f>
        <v>#N/A</v>
      </c>
      <c r="N456" s="212" t="e">
        <f>VLOOKUP(Table12[[#This Row],[ROUTE]],DEMAND!A:F,6,FALSE)</f>
        <v>#N/A</v>
      </c>
      <c r="O456" s="212" t="e">
        <f>ROUNDDOWN(Table12[[#This Row],[R-DEMAND]]/1320,0)</f>
        <v>#N/A</v>
      </c>
      <c r="P456" s="212" t="e">
        <f>Table12[[#This Row],[ADD ACC]]*Table12[[#This Row],[RT TIME 
(777-500ER)]]</f>
        <v>#N/A</v>
      </c>
    </row>
    <row r="457" spans="1:16" ht="15.75" customHeight="1" x14ac:dyDescent="0.25">
      <c r="A457" s="212" t="s">
        <v>14749</v>
      </c>
      <c r="B457" s="212" t="s">
        <v>3435</v>
      </c>
      <c r="C457" s="212"/>
      <c r="D457" s="226">
        <v>2</v>
      </c>
      <c r="E457" s="212" t="s">
        <v>14</v>
      </c>
      <c r="F457" s="212" t="s">
        <v>12670</v>
      </c>
      <c r="G457" s="227" t="s">
        <v>12065</v>
      </c>
      <c r="H457" s="228">
        <v>5737</v>
      </c>
      <c r="I457" s="208">
        <v>15</v>
      </c>
      <c r="J457" s="211"/>
      <c r="K457" s="209">
        <v>0</v>
      </c>
      <c r="L457" s="212"/>
      <c r="M457" s="212" t="e">
        <f>VLOOKUP(Table12[[#This Row],[ROUTE]],DEMAND!A:F,5,FALSE)</f>
        <v>#N/A</v>
      </c>
      <c r="N457" s="212" t="e">
        <f>VLOOKUP(Table12[[#This Row],[ROUTE]],DEMAND!A:F,6,FALSE)</f>
        <v>#N/A</v>
      </c>
      <c r="O457" s="212" t="e">
        <f>ROUNDDOWN(Table12[[#This Row],[R-DEMAND]]/1320,0)</f>
        <v>#N/A</v>
      </c>
      <c r="P457" s="212" t="e">
        <f>Table12[[#This Row],[ADD ACC]]*Table12[[#This Row],[RT TIME 
(777-500ER)]]</f>
        <v>#N/A</v>
      </c>
    </row>
    <row r="458" spans="1:16" ht="15.75" customHeight="1" x14ac:dyDescent="0.25">
      <c r="A458" s="212" t="s">
        <v>14932</v>
      </c>
      <c r="B458" s="212" t="s">
        <v>4609</v>
      </c>
      <c r="C458" s="212"/>
      <c r="D458" s="226">
        <v>2</v>
      </c>
      <c r="E458" s="212" t="s">
        <v>700</v>
      </c>
      <c r="F458" s="212" t="s">
        <v>12670</v>
      </c>
      <c r="G458" s="227" t="s">
        <v>10085</v>
      </c>
      <c r="H458" s="228">
        <v>1955</v>
      </c>
      <c r="I458" s="208">
        <v>6.5</v>
      </c>
      <c r="J458" s="211"/>
      <c r="K458" s="209">
        <v>0</v>
      </c>
      <c r="L458" s="212"/>
      <c r="M458" s="212" t="e">
        <f>VLOOKUP(Table12[[#This Row],[ROUTE]],DEMAND!A:F,5,FALSE)</f>
        <v>#N/A</v>
      </c>
      <c r="N458" s="212" t="e">
        <f>VLOOKUP(Table12[[#This Row],[ROUTE]],DEMAND!A:F,6,FALSE)</f>
        <v>#N/A</v>
      </c>
      <c r="O458" s="212" t="e">
        <f>ROUNDDOWN(Table12[[#This Row],[R-DEMAND]]/1320,0)</f>
        <v>#N/A</v>
      </c>
      <c r="P458" s="212" t="e">
        <f>Table12[[#This Row],[ADD ACC]]*Table12[[#This Row],[RT TIME 
(777-500ER)]]</f>
        <v>#N/A</v>
      </c>
    </row>
    <row r="459" spans="1:16" ht="15.75" customHeight="1" x14ac:dyDescent="0.25">
      <c r="A459" s="212" t="s">
        <v>14991</v>
      </c>
      <c r="B459" s="212" t="s">
        <v>1838</v>
      </c>
      <c r="C459" s="212"/>
      <c r="D459" s="226">
        <v>1</v>
      </c>
      <c r="E459" s="212" t="s">
        <v>493</v>
      </c>
      <c r="F459" s="212" t="s">
        <v>12671</v>
      </c>
      <c r="G459" s="227" t="s">
        <v>11763</v>
      </c>
      <c r="H459" s="228">
        <v>4168</v>
      </c>
      <c r="I459" s="208">
        <v>11.5</v>
      </c>
      <c r="J459" s="211"/>
      <c r="K459" s="209">
        <v>0</v>
      </c>
      <c r="L459" s="212"/>
      <c r="M459" s="212" t="e">
        <f>VLOOKUP(Table12[[#This Row],[ROUTE]],DEMAND!A:F,5,FALSE)</f>
        <v>#N/A</v>
      </c>
      <c r="N459" s="212" t="e">
        <f>VLOOKUP(Table12[[#This Row],[ROUTE]],DEMAND!A:F,6,FALSE)</f>
        <v>#N/A</v>
      </c>
      <c r="O459" s="212" t="e">
        <f>ROUNDDOWN(Table12[[#This Row],[R-DEMAND]]/1320,0)</f>
        <v>#N/A</v>
      </c>
      <c r="P459" s="212" t="e">
        <f>Table12[[#This Row],[ADD ACC]]*Table12[[#This Row],[RT TIME 
(777-500ER)]]</f>
        <v>#N/A</v>
      </c>
    </row>
    <row r="460" spans="1:16" ht="15.75" customHeight="1" x14ac:dyDescent="0.25">
      <c r="A460" s="212" t="s">
        <v>14966</v>
      </c>
      <c r="B460" s="212" t="s">
        <v>4324</v>
      </c>
      <c r="C460" s="212"/>
      <c r="D460" s="226">
        <v>2</v>
      </c>
      <c r="E460" s="229" t="s">
        <v>511</v>
      </c>
      <c r="F460" s="212" t="s">
        <v>12671</v>
      </c>
      <c r="G460" s="227" t="s">
        <v>11783</v>
      </c>
      <c r="H460" s="228">
        <v>6247</v>
      </c>
      <c r="I460" s="208">
        <v>16.25</v>
      </c>
      <c r="J460" s="211"/>
      <c r="K460" s="209">
        <v>0</v>
      </c>
      <c r="L460" s="212"/>
      <c r="M460" s="212" t="e">
        <f>VLOOKUP(Table12[[#This Row],[ROUTE]],DEMAND!A:F,5,FALSE)</f>
        <v>#N/A</v>
      </c>
      <c r="N460" s="212" t="e">
        <f>VLOOKUP(Table12[[#This Row],[ROUTE]],DEMAND!A:F,6,FALSE)</f>
        <v>#N/A</v>
      </c>
      <c r="O460" s="212" t="e">
        <f>ROUNDDOWN(Table12[[#This Row],[R-DEMAND]]/1320,0)</f>
        <v>#N/A</v>
      </c>
      <c r="P460" s="212" t="e">
        <f>Table12[[#This Row],[ADD ACC]]*Table12[[#This Row],[RT TIME 
(777-500ER)]]</f>
        <v>#N/A</v>
      </c>
    </row>
    <row r="461" spans="1:16" ht="15.75" customHeight="1" x14ac:dyDescent="0.25">
      <c r="A461" s="212" t="s">
        <v>14303</v>
      </c>
      <c r="B461" s="212" t="s">
        <v>3545</v>
      </c>
      <c r="C461" s="212"/>
      <c r="D461" s="226" t="s">
        <v>15105</v>
      </c>
      <c r="E461" s="212" t="s">
        <v>647</v>
      </c>
      <c r="F461" s="212" t="s">
        <v>12688</v>
      </c>
      <c r="G461" s="227" t="s">
        <v>13293</v>
      </c>
      <c r="H461" s="228">
        <v>7728</v>
      </c>
      <c r="I461" s="208">
        <v>19.5</v>
      </c>
      <c r="J461" s="211"/>
      <c r="K461" s="209">
        <v>0</v>
      </c>
      <c r="L461" s="212"/>
      <c r="M461" s="212" t="e">
        <f>VLOOKUP(Table12[[#This Row],[ROUTE]],DEMAND!A:F,5,FALSE)</f>
        <v>#N/A</v>
      </c>
      <c r="N461" s="212" t="e">
        <f>VLOOKUP(Table12[[#This Row],[ROUTE]],DEMAND!A:F,6,FALSE)</f>
        <v>#N/A</v>
      </c>
      <c r="O461" s="212" t="e">
        <f>ROUNDDOWN(Table12[[#This Row],[R-DEMAND]]/1320,0)</f>
        <v>#N/A</v>
      </c>
      <c r="P461" s="212" t="e">
        <f>Table12[[#This Row],[ADD ACC]]*Table12[[#This Row],[RT TIME 
(777-500ER)]]</f>
        <v>#N/A</v>
      </c>
    </row>
    <row r="462" spans="1:16" ht="15.75" customHeight="1" x14ac:dyDescent="0.25">
      <c r="A462" s="212" t="s">
        <v>14938</v>
      </c>
      <c r="B462" s="212" t="s">
        <v>5221</v>
      </c>
      <c r="C462" s="212"/>
      <c r="D462" s="226">
        <v>3</v>
      </c>
      <c r="E462" s="212" t="s">
        <v>700</v>
      </c>
      <c r="F462" s="212" t="s">
        <v>12670</v>
      </c>
      <c r="G462" s="227" t="s">
        <v>10068</v>
      </c>
      <c r="H462" s="228">
        <v>2190</v>
      </c>
      <c r="I462" s="208">
        <v>7</v>
      </c>
      <c r="J462" s="211"/>
      <c r="K462" s="209">
        <v>0</v>
      </c>
      <c r="L462" s="212"/>
      <c r="M462" s="212" t="e">
        <f>VLOOKUP(Table12[[#This Row],[ROUTE]],DEMAND!A:F,5,FALSE)</f>
        <v>#N/A</v>
      </c>
      <c r="N462" s="212" t="e">
        <f>VLOOKUP(Table12[[#This Row],[ROUTE]],DEMAND!A:F,6,FALSE)</f>
        <v>#N/A</v>
      </c>
      <c r="O462" s="212" t="e">
        <f>ROUNDDOWN(Table12[[#This Row],[R-DEMAND]]/1320,0)</f>
        <v>#N/A</v>
      </c>
      <c r="P462" s="212" t="e">
        <f>Table12[[#This Row],[ADD ACC]]*Table12[[#This Row],[RT TIME 
(777-500ER)]]</f>
        <v>#N/A</v>
      </c>
    </row>
    <row r="463" spans="1:16" ht="15.75" customHeight="1" x14ac:dyDescent="0.25">
      <c r="A463" s="212" t="s">
        <v>14874</v>
      </c>
      <c r="B463" s="212" t="s">
        <v>5260</v>
      </c>
      <c r="C463" s="212"/>
      <c r="D463" s="226">
        <v>3</v>
      </c>
      <c r="E463" s="212" t="s">
        <v>172</v>
      </c>
      <c r="F463" s="212" t="s">
        <v>12670</v>
      </c>
      <c r="G463" s="227" t="s">
        <v>11951</v>
      </c>
      <c r="H463" s="228">
        <v>3359</v>
      </c>
      <c r="I463" s="208">
        <v>9.75</v>
      </c>
      <c r="J463" s="211"/>
      <c r="K463" s="209">
        <v>0</v>
      </c>
      <c r="L463" s="212"/>
      <c r="M463" s="212" t="e">
        <f>VLOOKUP(Table12[[#This Row],[ROUTE]],DEMAND!A:F,5,FALSE)</f>
        <v>#N/A</v>
      </c>
      <c r="N463" s="212" t="e">
        <f>VLOOKUP(Table12[[#This Row],[ROUTE]],DEMAND!A:F,6,FALSE)</f>
        <v>#N/A</v>
      </c>
      <c r="O463" s="212" t="e">
        <f>ROUNDDOWN(Table12[[#This Row],[R-DEMAND]]/1320,0)</f>
        <v>#N/A</v>
      </c>
      <c r="P463" s="212" t="e">
        <f>Table12[[#This Row],[ADD ACC]]*Table12[[#This Row],[RT TIME 
(777-500ER)]]</f>
        <v>#N/A</v>
      </c>
    </row>
    <row r="464" spans="1:16" ht="15.75" customHeight="1" x14ac:dyDescent="0.25">
      <c r="A464" s="212" t="s">
        <v>14706</v>
      </c>
      <c r="B464" s="212" t="s">
        <v>3070</v>
      </c>
      <c r="C464" s="212"/>
      <c r="D464" s="226">
        <v>2</v>
      </c>
      <c r="E464" s="212" t="s">
        <v>14</v>
      </c>
      <c r="F464" s="212" t="s">
        <v>12670</v>
      </c>
      <c r="G464" s="227" t="s">
        <v>10058</v>
      </c>
      <c r="H464" s="228">
        <v>4431</v>
      </c>
      <c r="I464" s="208">
        <v>12</v>
      </c>
      <c r="J464" s="211"/>
      <c r="K464" s="209">
        <v>0</v>
      </c>
      <c r="L464" s="212"/>
      <c r="M464" s="212" t="e">
        <f>VLOOKUP(Table12[[#This Row],[ROUTE]],DEMAND!A:F,5,FALSE)</f>
        <v>#N/A</v>
      </c>
      <c r="N464" s="212" t="e">
        <f>VLOOKUP(Table12[[#This Row],[ROUTE]],DEMAND!A:F,6,FALSE)</f>
        <v>#N/A</v>
      </c>
      <c r="O464" s="212" t="e">
        <f>ROUNDDOWN(Table12[[#This Row],[R-DEMAND]]/1320,0)</f>
        <v>#N/A</v>
      </c>
      <c r="P464" s="212" t="e">
        <f>Table12[[#This Row],[ADD ACC]]*Table12[[#This Row],[RT TIME 
(777-500ER)]]</f>
        <v>#N/A</v>
      </c>
    </row>
    <row r="465" spans="1:16" ht="15.75" customHeight="1" x14ac:dyDescent="0.25">
      <c r="A465" s="212" t="s">
        <v>14676</v>
      </c>
      <c r="B465" s="212" t="s">
        <v>4987</v>
      </c>
      <c r="C465" s="212"/>
      <c r="D465" s="226">
        <v>3</v>
      </c>
      <c r="E465" s="212" t="s">
        <v>722</v>
      </c>
      <c r="F465" s="212" t="s">
        <v>12674</v>
      </c>
      <c r="G465" s="227" t="s">
        <v>11855</v>
      </c>
      <c r="H465" s="212">
        <v>807</v>
      </c>
      <c r="I465" s="208">
        <v>4</v>
      </c>
      <c r="J465" s="211"/>
      <c r="K465" s="209">
        <v>0</v>
      </c>
      <c r="L465" s="212"/>
      <c r="M465" s="212" t="e">
        <f>VLOOKUP(Table12[[#This Row],[ROUTE]],DEMAND!A:F,5,FALSE)</f>
        <v>#N/A</v>
      </c>
      <c r="N465" s="212" t="e">
        <f>VLOOKUP(Table12[[#This Row],[ROUTE]],DEMAND!A:F,6,FALSE)</f>
        <v>#N/A</v>
      </c>
      <c r="O465" s="212" t="e">
        <f>ROUNDDOWN(Table12[[#This Row],[R-DEMAND]]/1320,0)</f>
        <v>#N/A</v>
      </c>
      <c r="P465" s="212" t="e">
        <f>Table12[[#This Row],[ADD ACC]]*Table12[[#This Row],[RT TIME 
(777-500ER)]]</f>
        <v>#N/A</v>
      </c>
    </row>
    <row r="466" spans="1:16" ht="15.75" customHeight="1" x14ac:dyDescent="0.25">
      <c r="A466" s="212" t="s">
        <v>14934</v>
      </c>
      <c r="B466" s="212" t="s">
        <v>3046</v>
      </c>
      <c r="C466" s="212"/>
      <c r="D466" s="226">
        <v>2</v>
      </c>
      <c r="E466" s="212" t="s">
        <v>700</v>
      </c>
      <c r="F466" s="212" t="s">
        <v>12670</v>
      </c>
      <c r="G466" s="227" t="s">
        <v>11853</v>
      </c>
      <c r="H466" s="228">
        <v>2054</v>
      </c>
      <c r="I466" s="208">
        <v>6.75</v>
      </c>
      <c r="J466" s="211"/>
      <c r="K466" s="209">
        <v>0</v>
      </c>
      <c r="L466" s="212"/>
      <c r="M466" s="212" t="e">
        <f>VLOOKUP(Table12[[#This Row],[ROUTE]],DEMAND!A:F,5,FALSE)</f>
        <v>#N/A</v>
      </c>
      <c r="N466" s="212" t="e">
        <f>VLOOKUP(Table12[[#This Row],[ROUTE]],DEMAND!A:F,6,FALSE)</f>
        <v>#N/A</v>
      </c>
      <c r="O466" s="212" t="e">
        <f>ROUNDDOWN(Table12[[#This Row],[R-DEMAND]]/1320,0)</f>
        <v>#N/A</v>
      </c>
      <c r="P466" s="212" t="e">
        <f>Table12[[#This Row],[ADD ACC]]*Table12[[#This Row],[RT TIME 
(777-500ER)]]</f>
        <v>#N/A</v>
      </c>
    </row>
    <row r="467" spans="1:16" ht="15.75" customHeight="1" x14ac:dyDescent="0.25">
      <c r="A467" s="212" t="s">
        <v>14862</v>
      </c>
      <c r="B467" s="212" t="s">
        <v>5636</v>
      </c>
      <c r="C467" s="212"/>
      <c r="D467" s="226">
        <v>4</v>
      </c>
      <c r="E467" s="212" t="s">
        <v>5634</v>
      </c>
      <c r="F467" s="212" t="s">
        <v>12670</v>
      </c>
      <c r="G467" s="227" t="s">
        <v>11090</v>
      </c>
      <c r="H467" s="228">
        <v>3533</v>
      </c>
      <c r="I467" s="208">
        <v>10</v>
      </c>
      <c r="J467" s="211"/>
      <c r="K467" s="209">
        <v>0</v>
      </c>
      <c r="L467" s="212"/>
      <c r="M467" s="212" t="e">
        <f>VLOOKUP(Table12[[#This Row],[ROUTE]],DEMAND!A:F,5,FALSE)</f>
        <v>#N/A</v>
      </c>
      <c r="N467" s="212" t="e">
        <f>VLOOKUP(Table12[[#This Row],[ROUTE]],DEMAND!A:F,6,FALSE)</f>
        <v>#N/A</v>
      </c>
      <c r="O467" s="212" t="e">
        <f>ROUNDDOWN(Table12[[#This Row],[R-DEMAND]]/1320,0)</f>
        <v>#N/A</v>
      </c>
      <c r="P467" s="212" t="e">
        <f>Table12[[#This Row],[ADD ACC]]*Table12[[#This Row],[RT TIME 
(777-500ER)]]</f>
        <v>#N/A</v>
      </c>
    </row>
    <row r="468" spans="1:16" ht="15.75" customHeight="1" x14ac:dyDescent="0.25">
      <c r="A468" s="212" t="s">
        <v>14448</v>
      </c>
      <c r="B468" s="212" t="s">
        <v>3419</v>
      </c>
      <c r="C468" s="212"/>
      <c r="D468" s="226">
        <v>2</v>
      </c>
      <c r="E468" s="212" t="s">
        <v>3417</v>
      </c>
      <c r="F468" s="212" t="s">
        <v>12688</v>
      </c>
      <c r="G468" s="227" t="s">
        <v>13194</v>
      </c>
      <c r="H468" s="228">
        <v>9159</v>
      </c>
      <c r="I468" s="208">
        <v>22.75</v>
      </c>
      <c r="J468" s="211"/>
      <c r="K468" s="209">
        <v>0</v>
      </c>
      <c r="L468" s="212"/>
      <c r="M468" s="212" t="e">
        <f>VLOOKUP(Table12[[#This Row],[ROUTE]],DEMAND!A:F,5,FALSE)</f>
        <v>#N/A</v>
      </c>
      <c r="N468" s="212" t="e">
        <f>VLOOKUP(Table12[[#This Row],[ROUTE]],DEMAND!A:F,6,FALSE)</f>
        <v>#N/A</v>
      </c>
      <c r="O468" s="212" t="e">
        <f>ROUNDDOWN(Table12[[#This Row],[R-DEMAND]]/1320,0)</f>
        <v>#N/A</v>
      </c>
      <c r="P468" s="212" t="e">
        <f>Table12[[#This Row],[ADD ACC]]*Table12[[#This Row],[RT TIME 
(777-500ER)]]</f>
        <v>#N/A</v>
      </c>
    </row>
    <row r="469" spans="1:16" ht="15.75" customHeight="1" x14ac:dyDescent="0.25">
      <c r="A469" s="212" t="s">
        <v>14373</v>
      </c>
      <c r="B469" s="212" t="s">
        <v>3672</v>
      </c>
      <c r="C469" s="212"/>
      <c r="D469" s="226" t="s">
        <v>15105</v>
      </c>
      <c r="E469" s="212" t="s">
        <v>647</v>
      </c>
      <c r="F469" s="212" t="s">
        <v>12688</v>
      </c>
      <c r="G469" s="227" t="s">
        <v>13287</v>
      </c>
      <c r="H469" s="228">
        <v>9221</v>
      </c>
      <c r="I469" s="208">
        <v>22.75</v>
      </c>
      <c r="J469" s="211"/>
      <c r="K469" s="209">
        <v>0</v>
      </c>
      <c r="L469" s="212"/>
      <c r="M469" s="212" t="e">
        <f>VLOOKUP(Table12[[#This Row],[ROUTE]],DEMAND!A:F,5,FALSE)</f>
        <v>#N/A</v>
      </c>
      <c r="N469" s="212" t="e">
        <f>VLOOKUP(Table12[[#This Row],[ROUTE]],DEMAND!A:F,6,FALSE)</f>
        <v>#N/A</v>
      </c>
      <c r="O469" s="212" t="e">
        <f>ROUNDDOWN(Table12[[#This Row],[R-DEMAND]]/1320,0)</f>
        <v>#N/A</v>
      </c>
      <c r="P469" s="212" t="e">
        <f>Table12[[#This Row],[ADD ACC]]*Table12[[#This Row],[RT TIME 
(777-500ER)]]</f>
        <v>#N/A</v>
      </c>
    </row>
    <row r="470" spans="1:16" ht="15.75" customHeight="1" x14ac:dyDescent="0.25">
      <c r="A470" s="212" t="s">
        <v>14529</v>
      </c>
      <c r="B470" s="212" t="s">
        <v>4937</v>
      </c>
      <c r="C470" s="212"/>
      <c r="D470" s="226">
        <v>3</v>
      </c>
      <c r="E470" s="212" t="s">
        <v>1427</v>
      </c>
      <c r="F470" s="212" t="s">
        <v>12674</v>
      </c>
      <c r="G470" s="227" t="s">
        <v>11791</v>
      </c>
      <c r="H470" s="228">
        <v>1664</v>
      </c>
      <c r="I470" s="208">
        <v>5.75</v>
      </c>
      <c r="J470" s="211"/>
      <c r="K470" s="209">
        <v>0</v>
      </c>
      <c r="L470" s="212"/>
      <c r="M470" s="212" t="e">
        <f>VLOOKUP(Table12[[#This Row],[ROUTE]],DEMAND!A:F,5,FALSE)</f>
        <v>#N/A</v>
      </c>
      <c r="N470" s="212" t="e">
        <f>VLOOKUP(Table12[[#This Row],[ROUTE]],DEMAND!A:F,6,FALSE)</f>
        <v>#N/A</v>
      </c>
      <c r="O470" s="212" t="e">
        <f>ROUNDDOWN(Table12[[#This Row],[R-DEMAND]]/1320,0)</f>
        <v>#N/A</v>
      </c>
      <c r="P470" s="212" t="e">
        <f>Table12[[#This Row],[ADD ACC]]*Table12[[#This Row],[RT TIME 
(777-500ER)]]</f>
        <v>#N/A</v>
      </c>
    </row>
    <row r="471" spans="1:16" ht="15.75" customHeight="1" x14ac:dyDescent="0.25">
      <c r="A471" s="212" t="s">
        <v>14680</v>
      </c>
      <c r="B471" s="212" t="s">
        <v>4533</v>
      </c>
      <c r="C471" s="212"/>
      <c r="D471" s="226">
        <v>2</v>
      </c>
      <c r="E471" s="212" t="s">
        <v>83</v>
      </c>
      <c r="F471" s="212" t="s">
        <v>12674</v>
      </c>
      <c r="G471" s="227" t="s">
        <v>11714</v>
      </c>
      <c r="H471" s="228">
        <v>2492</v>
      </c>
      <c r="I471" s="208">
        <v>7.75</v>
      </c>
      <c r="J471" s="211"/>
      <c r="K471" s="209">
        <v>0</v>
      </c>
      <c r="L471" s="212"/>
      <c r="M471" s="212" t="e">
        <f>VLOOKUP(Table12[[#This Row],[ROUTE]],DEMAND!A:F,5,FALSE)</f>
        <v>#N/A</v>
      </c>
      <c r="N471" s="212" t="e">
        <f>VLOOKUP(Table12[[#This Row],[ROUTE]],DEMAND!A:F,6,FALSE)</f>
        <v>#N/A</v>
      </c>
      <c r="O471" s="212" t="e">
        <f>ROUNDDOWN(Table12[[#This Row],[R-DEMAND]]/1320,0)</f>
        <v>#N/A</v>
      </c>
      <c r="P471" s="212" t="e">
        <f>Table12[[#This Row],[ADD ACC]]*Table12[[#This Row],[RT TIME 
(777-500ER)]]</f>
        <v>#N/A</v>
      </c>
    </row>
    <row r="472" spans="1:16" ht="15.75" customHeight="1" x14ac:dyDescent="0.25">
      <c r="A472" s="212" t="s">
        <v>14945</v>
      </c>
      <c r="B472" s="212" t="s">
        <v>320</v>
      </c>
      <c r="C472" s="212"/>
      <c r="D472" s="226"/>
      <c r="E472" s="212" t="s">
        <v>1847</v>
      </c>
      <c r="F472" s="212" t="s">
        <v>12670</v>
      </c>
      <c r="G472" s="227" t="s">
        <v>11976</v>
      </c>
      <c r="H472" s="228">
        <v>3675</v>
      </c>
      <c r="I472" s="208">
        <v>10.25</v>
      </c>
      <c r="J472" s="211"/>
      <c r="K472" s="209">
        <v>0</v>
      </c>
      <c r="L472" s="212"/>
      <c r="M472" s="212" t="e">
        <f>VLOOKUP(Table12[[#This Row],[ROUTE]],DEMAND!A:F,5,FALSE)</f>
        <v>#N/A</v>
      </c>
      <c r="N472" s="212" t="e">
        <f>VLOOKUP(Table12[[#This Row],[ROUTE]],DEMAND!A:F,6,FALSE)</f>
        <v>#N/A</v>
      </c>
      <c r="O472" s="212" t="e">
        <f>ROUNDDOWN(Table12[[#This Row],[R-DEMAND]]/1320,0)</f>
        <v>#N/A</v>
      </c>
      <c r="P472" s="212" t="e">
        <f>Table12[[#This Row],[ADD ACC]]*Table12[[#This Row],[RT TIME 
(777-500ER)]]</f>
        <v>#N/A</v>
      </c>
    </row>
    <row r="473" spans="1:16" ht="15.75" customHeight="1" x14ac:dyDescent="0.25">
      <c r="A473" s="212" t="s">
        <v>14876</v>
      </c>
      <c r="B473" s="212" t="s">
        <v>1269</v>
      </c>
      <c r="C473" s="212"/>
      <c r="D473" s="226">
        <v>1</v>
      </c>
      <c r="E473" s="212" t="s">
        <v>172</v>
      </c>
      <c r="F473" s="212" t="s">
        <v>12670</v>
      </c>
      <c r="G473" s="227" t="s">
        <v>11934</v>
      </c>
      <c r="H473" s="228">
        <v>3480</v>
      </c>
      <c r="I473" s="208">
        <v>10</v>
      </c>
      <c r="J473" s="211"/>
      <c r="K473" s="209">
        <v>0</v>
      </c>
      <c r="L473" s="212"/>
      <c r="M473" s="212" t="e">
        <f>VLOOKUP(Table12[[#This Row],[ROUTE]],DEMAND!A:F,5,FALSE)</f>
        <v>#N/A</v>
      </c>
      <c r="N473" s="212" t="e">
        <f>VLOOKUP(Table12[[#This Row],[ROUTE]],DEMAND!A:F,6,FALSE)</f>
        <v>#N/A</v>
      </c>
      <c r="O473" s="212" t="e">
        <f>ROUNDDOWN(Table12[[#This Row],[R-DEMAND]]/1320,0)</f>
        <v>#N/A</v>
      </c>
      <c r="P473" s="212" t="e">
        <f>Table12[[#This Row],[ADD ACC]]*Table12[[#This Row],[RT TIME 
(777-500ER)]]</f>
        <v>#N/A</v>
      </c>
    </row>
    <row r="474" spans="1:16" ht="15.75" customHeight="1" x14ac:dyDescent="0.25">
      <c r="A474" s="212" t="s">
        <v>14639</v>
      </c>
      <c r="B474" s="212" t="s">
        <v>1653</v>
      </c>
      <c r="C474" s="212"/>
      <c r="D474" s="226">
        <v>1</v>
      </c>
      <c r="E474" s="212" t="s">
        <v>78</v>
      </c>
      <c r="F474" s="212" t="s">
        <v>12674</v>
      </c>
      <c r="G474" s="227" t="s">
        <v>11836</v>
      </c>
      <c r="H474" s="228">
        <v>6227</v>
      </c>
      <c r="I474" s="208">
        <v>16</v>
      </c>
      <c r="J474" s="211"/>
      <c r="K474" s="209">
        <v>0</v>
      </c>
      <c r="L474" s="212"/>
      <c r="M474" s="212" t="e">
        <f>VLOOKUP(Table12[[#This Row],[ROUTE]],DEMAND!A:F,5,FALSE)</f>
        <v>#N/A</v>
      </c>
      <c r="N474" s="212" t="e">
        <f>VLOOKUP(Table12[[#This Row],[ROUTE]],DEMAND!A:F,6,FALSE)</f>
        <v>#N/A</v>
      </c>
      <c r="O474" s="212" t="e">
        <f>ROUNDDOWN(Table12[[#This Row],[R-DEMAND]]/1320,0)</f>
        <v>#N/A</v>
      </c>
      <c r="P474" s="212" t="e">
        <f>Table12[[#This Row],[ADD ACC]]*Table12[[#This Row],[RT TIME 
(777-500ER)]]</f>
        <v>#N/A</v>
      </c>
    </row>
    <row r="475" spans="1:16" ht="15.75" customHeight="1" x14ac:dyDescent="0.25">
      <c r="A475" s="212" t="s">
        <v>14905</v>
      </c>
      <c r="B475" s="212" t="s">
        <v>4454</v>
      </c>
      <c r="C475" s="212"/>
      <c r="D475" s="226">
        <v>2</v>
      </c>
      <c r="E475" s="212" t="s">
        <v>4452</v>
      </c>
      <c r="F475" s="212" t="s">
        <v>12670</v>
      </c>
      <c r="G475" s="227" t="s">
        <v>11988</v>
      </c>
      <c r="H475" s="228">
        <v>2962</v>
      </c>
      <c r="I475" s="208">
        <v>8.75</v>
      </c>
      <c r="J475" s="211"/>
      <c r="K475" s="209">
        <v>0</v>
      </c>
      <c r="L475" s="212"/>
      <c r="M475" s="212" t="e">
        <f>VLOOKUP(Table12[[#This Row],[ROUTE]],DEMAND!A:F,5,FALSE)</f>
        <v>#N/A</v>
      </c>
      <c r="N475" s="212" t="e">
        <f>VLOOKUP(Table12[[#This Row],[ROUTE]],DEMAND!A:F,6,FALSE)</f>
        <v>#N/A</v>
      </c>
      <c r="O475" s="212" t="e">
        <f>ROUNDDOWN(Table12[[#This Row],[R-DEMAND]]/1320,0)</f>
        <v>#N/A</v>
      </c>
      <c r="P475" s="212" t="e">
        <f>Table12[[#This Row],[ADD ACC]]*Table12[[#This Row],[RT TIME 
(777-500ER)]]</f>
        <v>#N/A</v>
      </c>
    </row>
    <row r="476" spans="1:16" ht="15.75" customHeight="1" x14ac:dyDescent="0.25">
      <c r="A476" s="212" t="s">
        <v>14888</v>
      </c>
      <c r="B476" s="212" t="s">
        <v>3939</v>
      </c>
      <c r="C476" s="212"/>
      <c r="D476" s="226">
        <v>2</v>
      </c>
      <c r="E476" s="212" t="s">
        <v>172</v>
      </c>
      <c r="F476" s="212" t="s">
        <v>12670</v>
      </c>
      <c r="G476" s="227" t="s">
        <v>9989</v>
      </c>
      <c r="H476" s="228">
        <v>4240</v>
      </c>
      <c r="I476" s="208">
        <v>11.75</v>
      </c>
      <c r="J476" s="211"/>
      <c r="K476" s="209">
        <v>0</v>
      </c>
      <c r="L476" s="212"/>
      <c r="M476" s="212" t="e">
        <f>VLOOKUP(Table12[[#This Row],[ROUTE]],DEMAND!A:F,5,FALSE)</f>
        <v>#N/A</v>
      </c>
      <c r="N476" s="212" t="e">
        <f>VLOOKUP(Table12[[#This Row],[ROUTE]],DEMAND!A:F,6,FALSE)</f>
        <v>#N/A</v>
      </c>
      <c r="O476" s="212" t="e">
        <f>ROUNDDOWN(Table12[[#This Row],[R-DEMAND]]/1320,0)</f>
        <v>#N/A</v>
      </c>
      <c r="P476" s="212" t="e">
        <f>Table12[[#This Row],[ADD ACC]]*Table12[[#This Row],[RT TIME 
(777-500ER)]]</f>
        <v>#N/A</v>
      </c>
    </row>
    <row r="477" spans="1:16" ht="15.75" customHeight="1" x14ac:dyDescent="0.25">
      <c r="A477" s="212" t="s">
        <v>15093</v>
      </c>
      <c r="B477" s="212" t="s">
        <v>4562</v>
      </c>
      <c r="C477" s="212"/>
      <c r="D477" s="226">
        <v>2</v>
      </c>
      <c r="E477" s="212" t="s">
        <v>637</v>
      </c>
      <c r="F477" s="212" t="s">
        <v>12671</v>
      </c>
      <c r="G477" s="227" t="s">
        <v>11908</v>
      </c>
      <c r="H477" s="228">
        <v>6177</v>
      </c>
      <c r="I477" s="208">
        <v>16</v>
      </c>
      <c r="J477" s="211"/>
      <c r="K477" s="209">
        <v>0</v>
      </c>
      <c r="L477" s="212"/>
      <c r="M477" s="212" t="e">
        <f>VLOOKUP(Table12[[#This Row],[ROUTE]],DEMAND!A:F,5,FALSE)</f>
        <v>#N/A</v>
      </c>
      <c r="N477" s="212" t="e">
        <f>VLOOKUP(Table12[[#This Row],[ROUTE]],DEMAND!A:F,6,FALSE)</f>
        <v>#N/A</v>
      </c>
      <c r="O477" s="212" t="e">
        <f>ROUNDDOWN(Table12[[#This Row],[R-DEMAND]]/1320,0)</f>
        <v>#N/A</v>
      </c>
      <c r="P477" s="212" t="e">
        <f>Table12[[#This Row],[ADD ACC]]*Table12[[#This Row],[RT TIME 
(777-500ER)]]</f>
        <v>#N/A</v>
      </c>
    </row>
    <row r="478" spans="1:16" ht="15.75" customHeight="1" x14ac:dyDescent="0.25">
      <c r="A478" s="212" t="s">
        <v>15079</v>
      </c>
      <c r="B478" s="212" t="s">
        <v>883</v>
      </c>
      <c r="C478" s="212"/>
      <c r="D478" s="226">
        <v>1</v>
      </c>
      <c r="E478" s="212" t="s">
        <v>881</v>
      </c>
      <c r="F478" s="212" t="s">
        <v>12671</v>
      </c>
      <c r="G478" s="227" t="s">
        <v>9981</v>
      </c>
      <c r="H478" s="228">
        <v>4746</v>
      </c>
      <c r="I478" s="208">
        <v>12.75</v>
      </c>
      <c r="J478" s="211"/>
      <c r="K478" s="209">
        <v>0</v>
      </c>
      <c r="L478" s="212"/>
      <c r="M478" s="212" t="e">
        <f>VLOOKUP(Table12[[#This Row],[ROUTE]],DEMAND!A:F,5,FALSE)</f>
        <v>#N/A</v>
      </c>
      <c r="N478" s="212" t="e">
        <f>VLOOKUP(Table12[[#This Row],[ROUTE]],DEMAND!A:F,6,FALSE)</f>
        <v>#N/A</v>
      </c>
      <c r="O478" s="212" t="e">
        <f>ROUNDDOWN(Table12[[#This Row],[R-DEMAND]]/1320,0)</f>
        <v>#N/A</v>
      </c>
      <c r="P478" s="212" t="e">
        <f>Table12[[#This Row],[ADD ACC]]*Table12[[#This Row],[RT TIME 
(777-500ER)]]</f>
        <v>#N/A</v>
      </c>
    </row>
    <row r="479" spans="1:16" ht="15.75" customHeight="1" x14ac:dyDescent="0.25">
      <c r="A479" s="212" t="s">
        <v>14368</v>
      </c>
      <c r="B479" s="212" t="s">
        <v>5161</v>
      </c>
      <c r="C479" s="212"/>
      <c r="D479" s="226" t="s">
        <v>15106</v>
      </c>
      <c r="E479" s="212" t="s">
        <v>647</v>
      </c>
      <c r="F479" s="212" t="s">
        <v>12688</v>
      </c>
      <c r="G479" s="227" t="s">
        <v>13232</v>
      </c>
      <c r="H479" s="228">
        <v>9087</v>
      </c>
      <c r="I479" s="208">
        <v>22.5</v>
      </c>
      <c r="J479" s="211"/>
      <c r="K479" s="209">
        <v>0</v>
      </c>
      <c r="L479" s="212"/>
      <c r="M479" s="212" t="e">
        <f>VLOOKUP(Table12[[#This Row],[ROUTE]],DEMAND!A:F,5,FALSE)</f>
        <v>#N/A</v>
      </c>
      <c r="N479" s="212" t="e">
        <f>VLOOKUP(Table12[[#This Row],[ROUTE]],DEMAND!A:F,6,FALSE)</f>
        <v>#N/A</v>
      </c>
      <c r="O479" s="212" t="e">
        <f>ROUNDDOWN(Table12[[#This Row],[R-DEMAND]]/1320,0)</f>
        <v>#N/A</v>
      </c>
      <c r="P479" s="212" t="e">
        <f>Table12[[#This Row],[ADD ACC]]*Table12[[#This Row],[RT TIME 
(777-500ER)]]</f>
        <v>#N/A</v>
      </c>
    </row>
    <row r="480" spans="1:16" ht="15.75" customHeight="1" x14ac:dyDescent="0.25">
      <c r="A480" s="212" t="s">
        <v>15034</v>
      </c>
      <c r="B480" s="212" t="s">
        <v>1600</v>
      </c>
      <c r="C480" s="212"/>
      <c r="D480" s="226">
        <v>1</v>
      </c>
      <c r="E480" s="212" t="s">
        <v>1189</v>
      </c>
      <c r="F480" s="212" t="s">
        <v>12671</v>
      </c>
      <c r="G480" s="227" t="s">
        <v>11920</v>
      </c>
      <c r="H480" s="228">
        <v>6122</v>
      </c>
      <c r="I480" s="208">
        <v>15.75</v>
      </c>
      <c r="J480" s="211"/>
      <c r="K480" s="209">
        <v>0</v>
      </c>
      <c r="L480" s="212"/>
      <c r="M480" s="212" t="e">
        <f>VLOOKUP(Table12[[#This Row],[ROUTE]],DEMAND!A:F,5,FALSE)</f>
        <v>#N/A</v>
      </c>
      <c r="N480" s="212" t="e">
        <f>VLOOKUP(Table12[[#This Row],[ROUTE]],DEMAND!A:F,6,FALSE)</f>
        <v>#N/A</v>
      </c>
      <c r="O480" s="212" t="e">
        <f>ROUNDDOWN(Table12[[#This Row],[R-DEMAND]]/1320,0)</f>
        <v>#N/A</v>
      </c>
      <c r="P480" s="212" t="e">
        <f>Table12[[#This Row],[ADD ACC]]*Table12[[#This Row],[RT TIME 
(777-500ER)]]</f>
        <v>#N/A</v>
      </c>
    </row>
    <row r="481" spans="1:16" ht="15.75" customHeight="1" x14ac:dyDescent="0.25">
      <c r="A481" s="212" t="s">
        <v>14584</v>
      </c>
      <c r="B481" s="212" t="s">
        <v>4898</v>
      </c>
      <c r="C481" s="212"/>
      <c r="D481" s="226">
        <v>3</v>
      </c>
      <c r="E481" s="212" t="s">
        <v>3204</v>
      </c>
      <c r="F481" s="212" t="s">
        <v>12674</v>
      </c>
      <c r="G481" s="227" t="s">
        <v>11736</v>
      </c>
      <c r="H481" s="228">
        <v>2178</v>
      </c>
      <c r="I481" s="208">
        <v>7</v>
      </c>
      <c r="J481" s="211"/>
      <c r="K481" s="209">
        <v>0</v>
      </c>
      <c r="L481" s="212"/>
      <c r="M481" s="212" t="e">
        <f>VLOOKUP(Table12[[#This Row],[ROUTE]],DEMAND!A:F,5,FALSE)</f>
        <v>#N/A</v>
      </c>
      <c r="N481" s="212" t="e">
        <f>VLOOKUP(Table12[[#This Row],[ROUTE]],DEMAND!A:F,6,FALSE)</f>
        <v>#N/A</v>
      </c>
      <c r="O481" s="212" t="e">
        <f>ROUNDDOWN(Table12[[#This Row],[R-DEMAND]]/1320,0)</f>
        <v>#N/A</v>
      </c>
      <c r="P481" s="212" t="e">
        <f>Table12[[#This Row],[ADD ACC]]*Table12[[#This Row],[RT TIME 
(777-500ER)]]</f>
        <v>#N/A</v>
      </c>
    </row>
    <row r="482" spans="1:16" ht="15.75" customHeight="1" x14ac:dyDescent="0.25">
      <c r="A482" s="212" t="s">
        <v>14872</v>
      </c>
      <c r="B482" s="212" t="s">
        <v>1939</v>
      </c>
      <c r="C482" s="212"/>
      <c r="D482" s="226">
        <v>1</v>
      </c>
      <c r="E482" s="212" t="s">
        <v>172</v>
      </c>
      <c r="F482" s="212" t="s">
        <v>12670</v>
      </c>
      <c r="G482" s="227" t="s">
        <v>9941</v>
      </c>
      <c r="H482" s="228">
        <v>3250</v>
      </c>
      <c r="I482" s="208">
        <v>9.5</v>
      </c>
      <c r="J482" s="211"/>
      <c r="K482" s="209">
        <v>0</v>
      </c>
      <c r="L482" s="212"/>
      <c r="M482" s="212" t="e">
        <f>VLOOKUP(Table12[[#This Row],[ROUTE]],DEMAND!A:F,5,FALSE)</f>
        <v>#N/A</v>
      </c>
      <c r="N482" s="212" t="e">
        <f>VLOOKUP(Table12[[#This Row],[ROUTE]],DEMAND!A:F,6,FALSE)</f>
        <v>#N/A</v>
      </c>
      <c r="O482" s="212" t="e">
        <f>ROUNDDOWN(Table12[[#This Row],[R-DEMAND]]/1320,0)</f>
        <v>#N/A</v>
      </c>
      <c r="P482" s="212" t="e">
        <f>Table12[[#This Row],[ADD ACC]]*Table12[[#This Row],[RT TIME 
(777-500ER)]]</f>
        <v>#N/A</v>
      </c>
    </row>
    <row r="483" spans="1:16" ht="15.75" customHeight="1" x14ac:dyDescent="0.25">
      <c r="A483" s="212" t="s">
        <v>15078</v>
      </c>
      <c r="B483" s="212" t="s">
        <v>2394</v>
      </c>
      <c r="C483" s="212"/>
      <c r="D483" s="226">
        <v>1</v>
      </c>
      <c r="E483" s="212" t="s">
        <v>881</v>
      </c>
      <c r="F483" s="212" t="s">
        <v>12671</v>
      </c>
      <c r="G483" s="227" t="s">
        <v>9934</v>
      </c>
      <c r="H483" s="228">
        <v>4773</v>
      </c>
      <c r="I483" s="208">
        <v>12.75</v>
      </c>
      <c r="J483" s="211"/>
      <c r="K483" s="209">
        <v>0</v>
      </c>
      <c r="L483" s="212"/>
      <c r="M483" s="212" t="e">
        <f>VLOOKUP(Table12[[#This Row],[ROUTE]],DEMAND!A:F,5,FALSE)</f>
        <v>#N/A</v>
      </c>
      <c r="N483" s="212" t="e">
        <f>VLOOKUP(Table12[[#This Row],[ROUTE]],DEMAND!A:F,6,FALSE)</f>
        <v>#N/A</v>
      </c>
      <c r="O483" s="212" t="e">
        <f>ROUNDDOWN(Table12[[#This Row],[R-DEMAND]]/1320,0)</f>
        <v>#N/A</v>
      </c>
      <c r="P483" s="212" t="e">
        <f>Table12[[#This Row],[ADD ACC]]*Table12[[#This Row],[RT TIME 
(777-500ER)]]</f>
        <v>#N/A</v>
      </c>
    </row>
    <row r="484" spans="1:16" ht="15.75" customHeight="1" x14ac:dyDescent="0.25">
      <c r="A484" s="212" t="s">
        <v>14987</v>
      </c>
      <c r="B484" s="212" t="s">
        <v>615</v>
      </c>
      <c r="C484" s="212"/>
      <c r="D484" s="226">
        <v>1</v>
      </c>
      <c r="E484" s="212" t="s">
        <v>493</v>
      </c>
      <c r="F484" s="212" t="s">
        <v>12671</v>
      </c>
      <c r="G484" s="227" t="s">
        <v>11716</v>
      </c>
      <c r="H484" s="228">
        <v>3895</v>
      </c>
      <c r="I484" s="208">
        <v>10.75</v>
      </c>
      <c r="J484" s="211"/>
      <c r="K484" s="209">
        <v>0</v>
      </c>
      <c r="L484" s="212"/>
      <c r="M484" s="212" t="e">
        <f>VLOOKUP(Table12[[#This Row],[ROUTE]],DEMAND!A:F,5,FALSE)</f>
        <v>#N/A</v>
      </c>
      <c r="N484" s="212" t="e">
        <f>VLOOKUP(Table12[[#This Row],[ROUTE]],DEMAND!A:F,6,FALSE)</f>
        <v>#N/A</v>
      </c>
      <c r="O484" s="212" t="e">
        <f>ROUNDDOWN(Table12[[#This Row],[R-DEMAND]]/1320,0)</f>
        <v>#N/A</v>
      </c>
      <c r="P484" s="212" t="e">
        <f>Table12[[#This Row],[ADD ACC]]*Table12[[#This Row],[RT TIME 
(777-500ER)]]</f>
        <v>#N/A</v>
      </c>
    </row>
    <row r="485" spans="1:16" ht="15.75" customHeight="1" x14ac:dyDescent="0.25">
      <c r="A485" s="212" t="s">
        <v>14405</v>
      </c>
      <c r="B485" s="212" t="s">
        <v>5157</v>
      </c>
      <c r="C485" s="212"/>
      <c r="D485" s="226" t="s">
        <v>15106</v>
      </c>
      <c r="E485" s="212" t="s">
        <v>647</v>
      </c>
      <c r="F485" s="212" t="s">
        <v>12688</v>
      </c>
      <c r="G485" s="227" t="s">
        <v>13295</v>
      </c>
      <c r="H485" s="228">
        <v>9741</v>
      </c>
      <c r="I485" s="208">
        <v>24</v>
      </c>
      <c r="J485" s="211"/>
      <c r="K485" s="209">
        <v>0</v>
      </c>
      <c r="L485" s="212"/>
      <c r="M485" s="212" t="e">
        <f>VLOOKUP(Table12[[#This Row],[ROUTE]],DEMAND!A:F,5,FALSE)</f>
        <v>#N/A</v>
      </c>
      <c r="N485" s="212" t="e">
        <f>VLOOKUP(Table12[[#This Row],[ROUTE]],DEMAND!A:F,6,FALSE)</f>
        <v>#N/A</v>
      </c>
      <c r="O485" s="212" t="e">
        <f>ROUNDDOWN(Table12[[#This Row],[R-DEMAND]]/1320,0)</f>
        <v>#N/A</v>
      </c>
      <c r="P485" s="212" t="e">
        <f>Table12[[#This Row],[ADD ACC]]*Table12[[#This Row],[RT TIME 
(777-500ER)]]</f>
        <v>#N/A</v>
      </c>
    </row>
    <row r="486" spans="1:16" ht="15.75" customHeight="1" x14ac:dyDescent="0.25">
      <c r="A486" s="212" t="s">
        <v>14873</v>
      </c>
      <c r="B486" s="212" t="s">
        <v>3883</v>
      </c>
      <c r="C486" s="212"/>
      <c r="D486" s="226">
        <v>2</v>
      </c>
      <c r="E486" s="212" t="s">
        <v>172</v>
      </c>
      <c r="F486" s="212" t="s">
        <v>12670</v>
      </c>
      <c r="G486" s="227" t="s">
        <v>9929</v>
      </c>
      <c r="H486" s="228">
        <v>3272</v>
      </c>
      <c r="I486" s="208">
        <v>9.5</v>
      </c>
      <c r="J486" s="211"/>
      <c r="K486" s="209">
        <v>0</v>
      </c>
      <c r="L486" s="212"/>
      <c r="M486" s="212" t="e">
        <f>VLOOKUP(Table12[[#This Row],[ROUTE]],DEMAND!A:F,5,FALSE)</f>
        <v>#N/A</v>
      </c>
      <c r="N486" s="212" t="e">
        <f>VLOOKUP(Table12[[#This Row],[ROUTE]],DEMAND!A:F,6,FALSE)</f>
        <v>#N/A</v>
      </c>
      <c r="O486" s="212" t="e">
        <f>ROUNDDOWN(Table12[[#This Row],[R-DEMAND]]/1320,0)</f>
        <v>#N/A</v>
      </c>
      <c r="P486" s="212" t="e">
        <f>Table12[[#This Row],[ADD ACC]]*Table12[[#This Row],[RT TIME 
(777-500ER)]]</f>
        <v>#N/A</v>
      </c>
    </row>
    <row r="487" spans="1:16" ht="15.75" customHeight="1" x14ac:dyDescent="0.25">
      <c r="A487" s="212" t="s">
        <v>14976</v>
      </c>
      <c r="B487" s="212" t="s">
        <v>1163</v>
      </c>
      <c r="C487" s="212"/>
      <c r="D487" s="226">
        <v>1</v>
      </c>
      <c r="E487" s="212" t="s">
        <v>493</v>
      </c>
      <c r="F487" s="212" t="s">
        <v>12671</v>
      </c>
      <c r="G487" s="227" t="s">
        <v>11739</v>
      </c>
      <c r="H487" s="228">
        <v>3416</v>
      </c>
      <c r="I487" s="208">
        <v>9.75</v>
      </c>
      <c r="J487" s="211"/>
      <c r="K487" s="209">
        <v>0</v>
      </c>
      <c r="L487" s="212"/>
      <c r="M487" s="212" t="e">
        <f>VLOOKUP(Table12[[#This Row],[ROUTE]],DEMAND!A:F,5,FALSE)</f>
        <v>#N/A</v>
      </c>
      <c r="N487" s="212" t="e">
        <f>VLOOKUP(Table12[[#This Row],[ROUTE]],DEMAND!A:F,6,FALSE)</f>
        <v>#N/A</v>
      </c>
      <c r="O487" s="212" t="e">
        <f>ROUNDDOWN(Table12[[#This Row],[R-DEMAND]]/1320,0)</f>
        <v>#N/A</v>
      </c>
      <c r="P487" s="212" t="e">
        <f>Table12[[#This Row],[ADD ACC]]*Table12[[#This Row],[RT TIME 
(777-500ER)]]</f>
        <v>#N/A</v>
      </c>
    </row>
    <row r="488" spans="1:16" ht="15.75" customHeight="1" x14ac:dyDescent="0.25">
      <c r="A488" s="212" t="s">
        <v>14681</v>
      </c>
      <c r="B488" s="212" t="s">
        <v>5401</v>
      </c>
      <c r="C488" s="212"/>
      <c r="D488" s="226">
        <v>3</v>
      </c>
      <c r="E488" s="212" t="s">
        <v>83</v>
      </c>
      <c r="F488" s="212" t="s">
        <v>12674</v>
      </c>
      <c r="G488" s="227" t="s">
        <v>11712</v>
      </c>
      <c r="H488" s="228">
        <v>2539</v>
      </c>
      <c r="I488" s="208">
        <v>7.75</v>
      </c>
      <c r="J488" s="211"/>
      <c r="K488" s="209">
        <v>0</v>
      </c>
      <c r="L488" s="212"/>
      <c r="M488" s="212" t="e">
        <f>VLOOKUP(Table12[[#This Row],[ROUTE]],DEMAND!A:F,5,FALSE)</f>
        <v>#N/A</v>
      </c>
      <c r="N488" s="212" t="e">
        <f>VLOOKUP(Table12[[#This Row],[ROUTE]],DEMAND!A:F,6,FALSE)</f>
        <v>#N/A</v>
      </c>
      <c r="O488" s="212" t="e">
        <f>ROUNDDOWN(Table12[[#This Row],[R-DEMAND]]/1320,0)</f>
        <v>#N/A</v>
      </c>
      <c r="P488" s="212" t="e">
        <f>Table12[[#This Row],[ADD ACC]]*Table12[[#This Row],[RT TIME 
(777-500ER)]]</f>
        <v>#N/A</v>
      </c>
    </row>
    <row r="489" spans="1:16" ht="15.75" customHeight="1" x14ac:dyDescent="0.25">
      <c r="A489" s="212" t="s">
        <v>14719</v>
      </c>
      <c r="B489" s="212" t="s">
        <v>2618</v>
      </c>
      <c r="C489" s="212"/>
      <c r="D489" s="226">
        <v>2</v>
      </c>
      <c r="E489" s="212" t="s">
        <v>14</v>
      </c>
      <c r="F489" s="212" t="s">
        <v>12670</v>
      </c>
      <c r="G489" s="227" t="s">
        <v>12036</v>
      </c>
      <c r="H489" s="228">
        <v>5628</v>
      </c>
      <c r="I489" s="208">
        <v>14.75</v>
      </c>
      <c r="J489" s="211"/>
      <c r="K489" s="209">
        <v>0</v>
      </c>
      <c r="L489" s="212"/>
      <c r="M489" s="212" t="e">
        <f>VLOOKUP(Table12[[#This Row],[ROUTE]],DEMAND!A:F,5,FALSE)</f>
        <v>#N/A</v>
      </c>
      <c r="N489" s="212" t="e">
        <f>VLOOKUP(Table12[[#This Row],[ROUTE]],DEMAND!A:F,6,FALSE)</f>
        <v>#N/A</v>
      </c>
      <c r="O489" s="212" t="e">
        <f>ROUNDDOWN(Table12[[#This Row],[R-DEMAND]]/1320,0)</f>
        <v>#N/A</v>
      </c>
      <c r="P489" s="212" t="e">
        <f>Table12[[#This Row],[ADD ACC]]*Table12[[#This Row],[RT TIME 
(777-500ER)]]</f>
        <v>#N/A</v>
      </c>
    </row>
    <row r="490" spans="1:16" ht="15.75" customHeight="1" x14ac:dyDescent="0.25">
      <c r="A490" s="212" t="s">
        <v>14918</v>
      </c>
      <c r="B490" s="212" t="s">
        <v>2914</v>
      </c>
      <c r="C490" s="212"/>
      <c r="D490" s="226">
        <v>2</v>
      </c>
      <c r="E490" s="212" t="s">
        <v>700</v>
      </c>
      <c r="F490" s="212" t="s">
        <v>12670</v>
      </c>
      <c r="G490" s="227" t="s">
        <v>9893</v>
      </c>
      <c r="H490" s="228">
        <v>1750</v>
      </c>
      <c r="I490" s="208">
        <v>6</v>
      </c>
      <c r="J490" s="211"/>
      <c r="K490" s="209">
        <v>0</v>
      </c>
      <c r="L490" s="212"/>
      <c r="M490" s="212" t="e">
        <f>VLOOKUP(Table12[[#This Row],[ROUTE]],DEMAND!A:F,5,FALSE)</f>
        <v>#N/A</v>
      </c>
      <c r="N490" s="212" t="e">
        <f>VLOOKUP(Table12[[#This Row],[ROUTE]],DEMAND!A:F,6,FALSE)</f>
        <v>#N/A</v>
      </c>
      <c r="O490" s="212" t="e">
        <f>ROUNDDOWN(Table12[[#This Row],[R-DEMAND]]/1320,0)</f>
        <v>#N/A</v>
      </c>
      <c r="P490" s="212" t="e">
        <f>Table12[[#This Row],[ADD ACC]]*Table12[[#This Row],[RT TIME 
(777-500ER)]]</f>
        <v>#N/A</v>
      </c>
    </row>
    <row r="491" spans="1:16" ht="15.75" customHeight="1" x14ac:dyDescent="0.25">
      <c r="A491" s="212" t="s">
        <v>15047</v>
      </c>
      <c r="B491" s="212" t="s">
        <v>853</v>
      </c>
      <c r="C491" s="212"/>
      <c r="D491" s="226">
        <v>1</v>
      </c>
      <c r="E491" s="212" t="s">
        <v>608</v>
      </c>
      <c r="F491" s="212" t="s">
        <v>12671</v>
      </c>
      <c r="G491" s="227" t="s">
        <v>11687</v>
      </c>
      <c r="H491" s="228">
        <v>4186</v>
      </c>
      <c r="I491" s="208">
        <v>11.5</v>
      </c>
      <c r="J491" s="211"/>
      <c r="K491" s="209">
        <v>0</v>
      </c>
      <c r="L491" s="212"/>
      <c r="M491" s="212" t="e">
        <f>VLOOKUP(Table12[[#This Row],[ROUTE]],DEMAND!A:F,5,FALSE)</f>
        <v>#N/A</v>
      </c>
      <c r="N491" s="212" t="e">
        <f>VLOOKUP(Table12[[#This Row],[ROUTE]],DEMAND!A:F,6,FALSE)</f>
        <v>#N/A</v>
      </c>
      <c r="O491" s="212" t="e">
        <f>ROUNDDOWN(Table12[[#This Row],[R-DEMAND]]/1320,0)</f>
        <v>#N/A</v>
      </c>
      <c r="P491" s="212" t="e">
        <f>Table12[[#This Row],[ADD ACC]]*Table12[[#This Row],[RT TIME 
(777-500ER)]]</f>
        <v>#N/A</v>
      </c>
    </row>
    <row r="492" spans="1:16" ht="15.75" customHeight="1" x14ac:dyDescent="0.25">
      <c r="A492" s="212" t="s">
        <v>14920</v>
      </c>
      <c r="B492" s="212" t="s">
        <v>4198</v>
      </c>
      <c r="C492" s="212"/>
      <c r="D492" s="226">
        <v>2</v>
      </c>
      <c r="E492" s="212" t="s">
        <v>700</v>
      </c>
      <c r="F492" s="212" t="s">
        <v>12670</v>
      </c>
      <c r="G492" s="227" t="s">
        <v>9890</v>
      </c>
      <c r="H492" s="228">
        <v>1735</v>
      </c>
      <c r="I492" s="208">
        <v>6</v>
      </c>
      <c r="J492" s="211"/>
      <c r="K492" s="209">
        <v>0</v>
      </c>
      <c r="L492" s="212"/>
      <c r="M492" s="212" t="e">
        <f>VLOOKUP(Table12[[#This Row],[ROUTE]],DEMAND!A:F,5,FALSE)</f>
        <v>#N/A</v>
      </c>
      <c r="N492" s="212" t="e">
        <f>VLOOKUP(Table12[[#This Row],[ROUTE]],DEMAND!A:F,6,FALSE)</f>
        <v>#N/A</v>
      </c>
      <c r="O492" s="212" t="e">
        <f>ROUNDDOWN(Table12[[#This Row],[R-DEMAND]]/1320,0)</f>
        <v>#N/A</v>
      </c>
      <c r="P492" s="212" t="e">
        <f>Table12[[#This Row],[ADD ACC]]*Table12[[#This Row],[RT TIME 
(777-500ER)]]</f>
        <v>#N/A</v>
      </c>
    </row>
    <row r="493" spans="1:16" ht="15.75" customHeight="1" x14ac:dyDescent="0.25">
      <c r="A493" s="212" t="s">
        <v>14922</v>
      </c>
      <c r="B493" s="212" t="s">
        <v>316</v>
      </c>
      <c r="C493" s="212"/>
      <c r="D493" s="226">
        <v>3</v>
      </c>
      <c r="E493" s="212" t="s">
        <v>700</v>
      </c>
      <c r="F493" s="212" t="s">
        <v>12670</v>
      </c>
      <c r="G493" s="227" t="s">
        <v>11858</v>
      </c>
      <c r="H493" s="228">
        <v>1737</v>
      </c>
      <c r="I493" s="208">
        <v>6</v>
      </c>
      <c r="J493" s="211"/>
      <c r="K493" s="209">
        <v>0</v>
      </c>
      <c r="L493" s="212"/>
      <c r="M493" s="212" t="e">
        <f>VLOOKUP(Table12[[#This Row],[ROUTE]],DEMAND!A:F,5,FALSE)</f>
        <v>#N/A</v>
      </c>
      <c r="N493" s="212" t="e">
        <f>VLOOKUP(Table12[[#This Row],[ROUTE]],DEMAND!A:F,6,FALSE)</f>
        <v>#N/A</v>
      </c>
      <c r="O493" s="212" t="e">
        <f>ROUNDDOWN(Table12[[#This Row],[R-DEMAND]]/1320,0)</f>
        <v>#N/A</v>
      </c>
      <c r="P493" s="212" t="e">
        <f>Table12[[#This Row],[ADD ACC]]*Table12[[#This Row],[RT TIME 
(777-500ER)]]</f>
        <v>#N/A</v>
      </c>
    </row>
    <row r="494" spans="1:16" ht="15.75" customHeight="1" x14ac:dyDescent="0.25">
      <c r="A494" s="212" t="s">
        <v>14808</v>
      </c>
      <c r="B494" s="212" t="s">
        <v>3363</v>
      </c>
      <c r="C494" s="212"/>
      <c r="D494" s="226"/>
      <c r="E494" s="212" t="s">
        <v>1216</v>
      </c>
      <c r="F494" s="212" t="s">
        <v>12670</v>
      </c>
      <c r="G494" s="227" t="s">
        <v>11876</v>
      </c>
      <c r="H494" s="228">
        <v>2613</v>
      </c>
      <c r="I494" s="208">
        <v>8</v>
      </c>
      <c r="J494" s="211"/>
      <c r="K494" s="209">
        <v>0</v>
      </c>
      <c r="L494" s="212"/>
      <c r="M494" s="212" t="e">
        <f>VLOOKUP(Table12[[#This Row],[ROUTE]],DEMAND!A:F,5,FALSE)</f>
        <v>#N/A</v>
      </c>
      <c r="N494" s="212" t="e">
        <f>VLOOKUP(Table12[[#This Row],[ROUTE]],DEMAND!A:F,6,FALSE)</f>
        <v>#N/A</v>
      </c>
      <c r="O494" s="212" t="e">
        <f>ROUNDDOWN(Table12[[#This Row],[R-DEMAND]]/1320,0)</f>
        <v>#N/A</v>
      </c>
      <c r="P494" s="212" t="e">
        <f>Table12[[#This Row],[ADD ACC]]*Table12[[#This Row],[RT TIME 
(777-500ER)]]</f>
        <v>#N/A</v>
      </c>
    </row>
    <row r="495" spans="1:16" ht="15.75" customHeight="1" x14ac:dyDescent="0.25">
      <c r="A495" s="212" t="s">
        <v>14510</v>
      </c>
      <c r="B495" s="212" t="s">
        <v>3607</v>
      </c>
      <c r="C495" s="212"/>
      <c r="D495" s="226">
        <v>2</v>
      </c>
      <c r="E495" s="212" t="s">
        <v>560</v>
      </c>
      <c r="F495" s="212" t="s">
        <v>12674</v>
      </c>
      <c r="G495" s="227" t="s">
        <v>11740</v>
      </c>
      <c r="H495" s="228">
        <v>2251</v>
      </c>
      <c r="I495" s="208">
        <v>7.25</v>
      </c>
      <c r="J495" s="211"/>
      <c r="K495" s="209">
        <v>0</v>
      </c>
      <c r="L495" s="212"/>
      <c r="M495" s="212" t="e">
        <f>VLOOKUP(Table12[[#This Row],[ROUTE]],DEMAND!A:F,5,FALSE)</f>
        <v>#N/A</v>
      </c>
      <c r="N495" s="212" t="e">
        <f>VLOOKUP(Table12[[#This Row],[ROUTE]],DEMAND!A:F,6,FALSE)</f>
        <v>#N/A</v>
      </c>
      <c r="O495" s="212" t="e">
        <f>ROUNDDOWN(Table12[[#This Row],[R-DEMAND]]/1320,0)</f>
        <v>#N/A</v>
      </c>
      <c r="P495" s="212" t="e">
        <f>Table12[[#This Row],[ADD ACC]]*Table12[[#This Row],[RT TIME 
(777-500ER)]]</f>
        <v>#N/A</v>
      </c>
    </row>
    <row r="496" spans="1:16" ht="15.75" customHeight="1" x14ac:dyDescent="0.25">
      <c r="A496" s="212" t="s">
        <v>14590</v>
      </c>
      <c r="B496" s="212" t="s">
        <v>4142</v>
      </c>
      <c r="C496" s="212"/>
      <c r="D496" s="226">
        <v>2</v>
      </c>
      <c r="E496" s="212" t="s">
        <v>605</v>
      </c>
      <c r="F496" s="212" t="s">
        <v>12674</v>
      </c>
      <c r="G496" s="227" t="s">
        <v>11795</v>
      </c>
      <c r="H496" s="228">
        <v>1810</v>
      </c>
      <c r="I496" s="208">
        <v>6.25</v>
      </c>
      <c r="J496" s="211"/>
      <c r="K496" s="209">
        <v>0</v>
      </c>
      <c r="L496" s="212"/>
      <c r="M496" s="212" t="e">
        <f>VLOOKUP(Table12[[#This Row],[ROUTE]],DEMAND!A:F,5,FALSE)</f>
        <v>#N/A</v>
      </c>
      <c r="N496" s="212" t="e">
        <f>VLOOKUP(Table12[[#This Row],[ROUTE]],DEMAND!A:F,6,FALSE)</f>
        <v>#N/A</v>
      </c>
      <c r="O496" s="212" t="e">
        <f>ROUNDDOWN(Table12[[#This Row],[R-DEMAND]]/1320,0)</f>
        <v>#N/A</v>
      </c>
      <c r="P496" s="212" t="e">
        <f>Table12[[#This Row],[ADD ACC]]*Table12[[#This Row],[RT TIME 
(777-500ER)]]</f>
        <v>#N/A</v>
      </c>
    </row>
    <row r="497" spans="1:16" ht="15.75" customHeight="1" x14ac:dyDescent="0.25">
      <c r="A497" s="212" t="s">
        <v>14695</v>
      </c>
      <c r="B497" s="212" t="s">
        <v>4779</v>
      </c>
      <c r="C497" s="212"/>
      <c r="D497" s="226">
        <v>3</v>
      </c>
      <c r="E497" s="212" t="s">
        <v>1270</v>
      </c>
      <c r="F497" s="212" t="s">
        <v>12670</v>
      </c>
      <c r="G497" s="227" t="s">
        <v>11912</v>
      </c>
      <c r="H497" s="228">
        <v>1763</v>
      </c>
      <c r="I497" s="208">
        <v>6</v>
      </c>
      <c r="J497" s="211"/>
      <c r="K497" s="209">
        <v>0</v>
      </c>
      <c r="L497" s="212"/>
      <c r="M497" s="212" t="e">
        <f>VLOOKUP(Table12[[#This Row],[ROUTE]],DEMAND!A:F,5,FALSE)</f>
        <v>#N/A</v>
      </c>
      <c r="N497" s="212" t="e">
        <f>VLOOKUP(Table12[[#This Row],[ROUTE]],DEMAND!A:F,6,FALSE)</f>
        <v>#N/A</v>
      </c>
      <c r="O497" s="212" t="e">
        <f>ROUNDDOWN(Table12[[#This Row],[R-DEMAND]]/1320,0)</f>
        <v>#N/A</v>
      </c>
      <c r="P497" s="212" t="e">
        <f>Table12[[#This Row],[ADD ACC]]*Table12[[#This Row],[RT TIME 
(777-500ER)]]</f>
        <v>#N/A</v>
      </c>
    </row>
    <row r="498" spans="1:16" ht="15.75" customHeight="1" x14ac:dyDescent="0.25">
      <c r="A498" s="212" t="s">
        <v>14287</v>
      </c>
      <c r="B498" s="212" t="s">
        <v>4475</v>
      </c>
      <c r="C498" s="212"/>
      <c r="D498" s="226" t="s">
        <v>15105</v>
      </c>
      <c r="E498" s="212" t="s">
        <v>647</v>
      </c>
      <c r="F498" s="212" t="s">
        <v>12688</v>
      </c>
      <c r="G498" s="227" t="s">
        <v>11733</v>
      </c>
      <c r="H498" s="228">
        <v>6639</v>
      </c>
      <c r="I498" s="208">
        <v>17</v>
      </c>
      <c r="J498" s="211"/>
      <c r="K498" s="209">
        <v>0</v>
      </c>
      <c r="L498" s="212"/>
      <c r="M498" s="212" t="e">
        <f>VLOOKUP(Table12[[#This Row],[ROUTE]],DEMAND!A:F,5,FALSE)</f>
        <v>#N/A</v>
      </c>
      <c r="N498" s="212" t="e">
        <f>VLOOKUP(Table12[[#This Row],[ROUTE]],DEMAND!A:F,6,FALSE)</f>
        <v>#N/A</v>
      </c>
      <c r="O498" s="212" t="e">
        <f>ROUNDDOWN(Table12[[#This Row],[R-DEMAND]]/1320,0)</f>
        <v>#N/A</v>
      </c>
      <c r="P498" s="212" t="e">
        <f>Table12[[#This Row],[ADD ACC]]*Table12[[#This Row],[RT TIME 
(777-500ER)]]</f>
        <v>#N/A</v>
      </c>
    </row>
    <row r="499" spans="1:16" ht="15.75" customHeight="1" x14ac:dyDescent="0.25">
      <c r="A499" s="212" t="s">
        <v>14392</v>
      </c>
      <c r="B499" s="212" t="s">
        <v>4665</v>
      </c>
      <c r="C499" s="212"/>
      <c r="D499" s="226" t="s">
        <v>15106</v>
      </c>
      <c r="E499" s="212" t="s">
        <v>647</v>
      </c>
      <c r="F499" s="212" t="s">
        <v>12688</v>
      </c>
      <c r="G499" s="227" t="s">
        <v>13266</v>
      </c>
      <c r="H499" s="228">
        <v>9548</v>
      </c>
      <c r="I499" s="208">
        <v>23.5</v>
      </c>
      <c r="J499" s="211"/>
      <c r="K499" s="209">
        <v>0</v>
      </c>
      <c r="L499" s="212"/>
      <c r="M499" s="212" t="e">
        <f>VLOOKUP(Table12[[#This Row],[ROUTE]],DEMAND!A:F,5,FALSE)</f>
        <v>#N/A</v>
      </c>
      <c r="N499" s="212" t="e">
        <f>VLOOKUP(Table12[[#This Row],[ROUTE]],DEMAND!A:F,6,FALSE)</f>
        <v>#N/A</v>
      </c>
      <c r="O499" s="212" t="e">
        <f>ROUNDDOWN(Table12[[#This Row],[R-DEMAND]]/1320,0)</f>
        <v>#N/A</v>
      </c>
      <c r="P499" s="212" t="e">
        <f>Table12[[#This Row],[ADD ACC]]*Table12[[#This Row],[RT TIME 
(777-500ER)]]</f>
        <v>#N/A</v>
      </c>
    </row>
    <row r="500" spans="1:16" ht="15.75" customHeight="1" x14ac:dyDescent="0.25">
      <c r="A500" s="212" t="s">
        <v>14969</v>
      </c>
      <c r="B500" s="212" t="s">
        <v>3313</v>
      </c>
      <c r="C500" s="212"/>
      <c r="D500" s="226">
        <v>2</v>
      </c>
      <c r="E500" s="229" t="s">
        <v>725</v>
      </c>
      <c r="F500" s="212" t="s">
        <v>12671</v>
      </c>
      <c r="G500" s="227" t="s">
        <v>11873</v>
      </c>
      <c r="H500" s="228">
        <v>7514</v>
      </c>
      <c r="I500" s="208">
        <v>19</v>
      </c>
      <c r="J500" s="211"/>
      <c r="K500" s="209">
        <v>0</v>
      </c>
      <c r="L500" s="212"/>
      <c r="M500" s="212" t="e">
        <f>VLOOKUP(Table12[[#This Row],[ROUTE]],DEMAND!A:F,5,FALSE)</f>
        <v>#N/A</v>
      </c>
      <c r="N500" s="212" t="e">
        <f>VLOOKUP(Table12[[#This Row],[ROUTE]],DEMAND!A:F,6,FALSE)</f>
        <v>#N/A</v>
      </c>
      <c r="O500" s="212" t="e">
        <f>ROUNDDOWN(Table12[[#This Row],[R-DEMAND]]/1320,0)</f>
        <v>#N/A</v>
      </c>
      <c r="P500" s="212" t="e">
        <f>Table12[[#This Row],[ADD ACC]]*Table12[[#This Row],[RT TIME 
(777-500ER)]]</f>
        <v>#N/A</v>
      </c>
    </row>
    <row r="501" spans="1:16" ht="15.75" customHeight="1" x14ac:dyDescent="0.25">
      <c r="A501" s="212" t="s">
        <v>15046</v>
      </c>
      <c r="B501" s="212" t="s">
        <v>4104</v>
      </c>
      <c r="C501" s="212" t="s">
        <v>11122</v>
      </c>
      <c r="D501" s="226">
        <v>2</v>
      </c>
      <c r="E501" s="212" t="s">
        <v>608</v>
      </c>
      <c r="F501" s="212" t="s">
        <v>12671</v>
      </c>
      <c r="G501" s="227" t="s">
        <v>11686</v>
      </c>
      <c r="H501" s="228">
        <v>4051</v>
      </c>
      <c r="I501" s="208">
        <v>11.25</v>
      </c>
      <c r="J501" s="211">
        <v>160722346</v>
      </c>
      <c r="K501" s="209">
        <v>47876.778671432825</v>
      </c>
      <c r="L501" s="212">
        <v>3357</v>
      </c>
      <c r="M501" s="212" t="e">
        <f>VLOOKUP(Table12[[#This Row],[ROUTE]],DEMAND!A:F,5,FALSE)</f>
        <v>#N/A</v>
      </c>
      <c r="N501" s="212" t="e">
        <f>VLOOKUP(Table12[[#This Row],[ROUTE]],DEMAND!A:F,6,FALSE)</f>
        <v>#N/A</v>
      </c>
      <c r="O501" s="212" t="e">
        <f>ROUNDDOWN(Table12[[#This Row],[R-DEMAND]]/1320,0)</f>
        <v>#N/A</v>
      </c>
      <c r="P501" s="212" t="e">
        <f>Table12[[#This Row],[ADD ACC]]*Table12[[#This Row],[RT TIME 
(777-500ER)]]</f>
        <v>#N/A</v>
      </c>
    </row>
    <row r="502" spans="1:16" ht="15.75" customHeight="1" x14ac:dyDescent="0.25">
      <c r="A502" s="212" t="s">
        <v>14968</v>
      </c>
      <c r="B502" s="212" t="s">
        <v>4088</v>
      </c>
      <c r="C502" s="212"/>
      <c r="D502" s="226">
        <v>2</v>
      </c>
      <c r="E502" s="229" t="s">
        <v>725</v>
      </c>
      <c r="F502" s="212" t="s">
        <v>12671</v>
      </c>
      <c r="G502" s="227" t="s">
        <v>11824</v>
      </c>
      <c r="H502" s="228">
        <v>6963</v>
      </c>
      <c r="I502" s="208">
        <v>17.75</v>
      </c>
      <c r="J502" s="211"/>
      <c r="K502" s="209">
        <v>0</v>
      </c>
      <c r="L502" s="212"/>
      <c r="M502" s="212" t="e">
        <f>VLOOKUP(Table12[[#This Row],[ROUTE]],DEMAND!A:F,5,FALSE)</f>
        <v>#N/A</v>
      </c>
      <c r="N502" s="212" t="e">
        <f>VLOOKUP(Table12[[#This Row],[ROUTE]],DEMAND!A:F,6,FALSE)</f>
        <v>#N/A</v>
      </c>
      <c r="O502" s="212" t="e">
        <f>ROUNDDOWN(Table12[[#This Row],[R-DEMAND]]/1320,0)</f>
        <v>#N/A</v>
      </c>
      <c r="P502" s="212" t="e">
        <f>Table12[[#This Row],[ADD ACC]]*Table12[[#This Row],[RT TIME 
(777-500ER)]]</f>
        <v>#N/A</v>
      </c>
    </row>
    <row r="503" spans="1:16" ht="15.75" customHeight="1" x14ac:dyDescent="0.25">
      <c r="A503" s="212" t="s">
        <v>14946</v>
      </c>
      <c r="B503" s="212" t="s">
        <v>1849</v>
      </c>
      <c r="C503" s="212"/>
      <c r="D503" s="226">
        <v>1</v>
      </c>
      <c r="E503" s="212" t="s">
        <v>1847</v>
      </c>
      <c r="F503" s="212" t="s">
        <v>12670</v>
      </c>
      <c r="G503" s="227" t="s">
        <v>11983</v>
      </c>
      <c r="H503" s="228">
        <v>3688</v>
      </c>
      <c r="I503" s="208">
        <v>10.5</v>
      </c>
      <c r="J503" s="211"/>
      <c r="K503" s="209">
        <v>0</v>
      </c>
      <c r="L503" s="212"/>
      <c r="M503" s="212" t="e">
        <f>VLOOKUP(Table12[[#This Row],[ROUTE]],DEMAND!A:F,5,FALSE)</f>
        <v>#N/A</v>
      </c>
      <c r="N503" s="212" t="e">
        <f>VLOOKUP(Table12[[#This Row],[ROUTE]],DEMAND!A:F,6,FALSE)</f>
        <v>#N/A</v>
      </c>
      <c r="O503" s="212" t="e">
        <f>ROUNDDOWN(Table12[[#This Row],[R-DEMAND]]/1320,0)</f>
        <v>#N/A</v>
      </c>
      <c r="P503" s="212" t="e">
        <f>Table12[[#This Row],[ADD ACC]]*Table12[[#This Row],[RT TIME 
(777-500ER)]]</f>
        <v>#N/A</v>
      </c>
    </row>
    <row r="504" spans="1:16" ht="15.75" customHeight="1" x14ac:dyDescent="0.25">
      <c r="A504" s="212" t="s">
        <v>14541</v>
      </c>
      <c r="B504" s="212" t="s">
        <v>4661</v>
      </c>
      <c r="C504" s="212"/>
      <c r="D504" s="226">
        <v>2</v>
      </c>
      <c r="E504" s="212" t="s">
        <v>1427</v>
      </c>
      <c r="F504" s="212" t="s">
        <v>12674</v>
      </c>
      <c r="G504" s="227" t="s">
        <v>11752</v>
      </c>
      <c r="H504" s="228">
        <v>2147</v>
      </c>
      <c r="I504" s="208">
        <v>7</v>
      </c>
      <c r="J504" s="211"/>
      <c r="K504" s="209">
        <v>0</v>
      </c>
      <c r="L504" s="212"/>
      <c r="M504" s="212" t="e">
        <f>VLOOKUP(Table12[[#This Row],[ROUTE]],DEMAND!A:F,5,FALSE)</f>
        <v>#N/A</v>
      </c>
      <c r="N504" s="212" t="e">
        <f>VLOOKUP(Table12[[#This Row],[ROUTE]],DEMAND!A:F,6,FALSE)</f>
        <v>#N/A</v>
      </c>
      <c r="O504" s="212" t="e">
        <f>ROUNDDOWN(Table12[[#This Row],[R-DEMAND]]/1320,0)</f>
        <v>#N/A</v>
      </c>
      <c r="P504" s="212" t="e">
        <f>Table12[[#This Row],[ADD ACC]]*Table12[[#This Row],[RT TIME 
(777-500ER)]]</f>
        <v>#N/A</v>
      </c>
    </row>
    <row r="505" spans="1:16" ht="15.75" customHeight="1" x14ac:dyDescent="0.25">
      <c r="A505" s="212" t="s">
        <v>14967</v>
      </c>
      <c r="B505" s="212" t="s">
        <v>3339</v>
      </c>
      <c r="C505" s="212"/>
      <c r="D505" s="226">
        <v>2</v>
      </c>
      <c r="E505" s="229" t="s">
        <v>725</v>
      </c>
      <c r="F505" s="212" t="s">
        <v>12671</v>
      </c>
      <c r="G505" s="227" t="s">
        <v>11859</v>
      </c>
      <c r="H505" s="228">
        <v>6214</v>
      </c>
      <c r="I505" s="208">
        <v>16</v>
      </c>
      <c r="J505" s="211"/>
      <c r="K505" s="209">
        <v>0</v>
      </c>
      <c r="L505" s="212"/>
      <c r="M505" s="212" t="e">
        <f>VLOOKUP(Table12[[#This Row],[ROUTE]],DEMAND!A:F,5,FALSE)</f>
        <v>#N/A</v>
      </c>
      <c r="N505" s="212" t="e">
        <f>VLOOKUP(Table12[[#This Row],[ROUTE]],DEMAND!A:F,6,FALSE)</f>
        <v>#N/A</v>
      </c>
      <c r="O505" s="212" t="e">
        <f>ROUNDDOWN(Table12[[#This Row],[R-DEMAND]]/1320,0)</f>
        <v>#N/A</v>
      </c>
      <c r="P505" s="212" t="e">
        <f>Table12[[#This Row],[ADD ACC]]*Table12[[#This Row],[RT TIME 
(777-500ER)]]</f>
        <v>#N/A</v>
      </c>
    </row>
    <row r="506" spans="1:16" ht="15.75" customHeight="1" x14ac:dyDescent="0.25">
      <c r="A506" s="212" t="s">
        <v>14535</v>
      </c>
      <c r="B506" s="212" t="s">
        <v>4003</v>
      </c>
      <c r="C506" s="212"/>
      <c r="D506" s="226">
        <v>2</v>
      </c>
      <c r="E506" s="212" t="s">
        <v>1427</v>
      </c>
      <c r="F506" s="212" t="s">
        <v>12674</v>
      </c>
      <c r="G506" s="227" t="s">
        <v>11766</v>
      </c>
      <c r="H506" s="228">
        <v>2060</v>
      </c>
      <c r="I506" s="208">
        <v>6.75</v>
      </c>
      <c r="J506" s="211"/>
      <c r="K506" s="209">
        <v>0</v>
      </c>
      <c r="L506" s="212"/>
      <c r="M506" s="212" t="e">
        <f>VLOOKUP(Table12[[#This Row],[ROUTE]],DEMAND!A:F,5,FALSE)</f>
        <v>#N/A</v>
      </c>
      <c r="N506" s="212" t="e">
        <f>VLOOKUP(Table12[[#This Row],[ROUTE]],DEMAND!A:F,6,FALSE)</f>
        <v>#N/A</v>
      </c>
      <c r="O506" s="212" t="e">
        <f>ROUNDDOWN(Table12[[#This Row],[R-DEMAND]]/1320,0)</f>
        <v>#N/A</v>
      </c>
      <c r="P506" s="212" t="e">
        <f>Table12[[#This Row],[ADD ACC]]*Table12[[#This Row],[RT TIME 
(777-500ER)]]</f>
        <v>#N/A</v>
      </c>
    </row>
    <row r="507" spans="1:16" ht="15.75" customHeight="1" x14ac:dyDescent="0.25">
      <c r="A507" s="212" t="s">
        <v>15066</v>
      </c>
      <c r="B507" s="212" t="s">
        <v>3148</v>
      </c>
      <c r="C507" s="212"/>
      <c r="D507" s="226">
        <v>2</v>
      </c>
      <c r="E507" s="212" t="s">
        <v>3146</v>
      </c>
      <c r="F507" s="212" t="s">
        <v>12671</v>
      </c>
      <c r="G507" s="227" t="s">
        <v>11668</v>
      </c>
      <c r="H507" s="228">
        <v>6850</v>
      </c>
      <c r="I507" s="208">
        <v>17.5</v>
      </c>
      <c r="J507" s="211"/>
      <c r="K507" s="209">
        <v>0</v>
      </c>
      <c r="L507" s="212"/>
      <c r="M507" s="212" t="e">
        <f>VLOOKUP(Table12[[#This Row],[ROUTE]],DEMAND!A:F,5,FALSE)</f>
        <v>#N/A</v>
      </c>
      <c r="N507" s="212" t="e">
        <f>VLOOKUP(Table12[[#This Row],[ROUTE]],DEMAND!A:F,6,FALSE)</f>
        <v>#N/A</v>
      </c>
      <c r="O507" s="212" t="e">
        <f>ROUNDDOWN(Table12[[#This Row],[R-DEMAND]]/1320,0)</f>
        <v>#N/A</v>
      </c>
      <c r="P507" s="212" t="e">
        <f>Table12[[#This Row],[ADD ACC]]*Table12[[#This Row],[RT TIME 
(777-500ER)]]</f>
        <v>#N/A</v>
      </c>
    </row>
    <row r="508" spans="1:16" ht="15.75" customHeight="1" x14ac:dyDescent="0.25">
      <c r="A508" s="212" t="s">
        <v>14600</v>
      </c>
      <c r="B508" s="212" t="s">
        <v>5064</v>
      </c>
      <c r="C508" s="212"/>
      <c r="D508" s="226">
        <v>3</v>
      </c>
      <c r="E508" s="212" t="s">
        <v>733</v>
      </c>
      <c r="F508" s="212" t="s">
        <v>12674</v>
      </c>
      <c r="G508" s="227" t="s">
        <v>13247</v>
      </c>
      <c r="H508" s="228">
        <v>4879</v>
      </c>
      <c r="I508" s="208">
        <v>13</v>
      </c>
      <c r="J508" s="211"/>
      <c r="K508" s="209">
        <v>0</v>
      </c>
      <c r="L508" s="212"/>
      <c r="M508" s="212" t="e">
        <f>VLOOKUP(Table12[[#This Row],[ROUTE]],DEMAND!A:F,5,FALSE)</f>
        <v>#N/A</v>
      </c>
      <c r="N508" s="212" t="e">
        <f>VLOOKUP(Table12[[#This Row],[ROUTE]],DEMAND!A:F,6,FALSE)</f>
        <v>#N/A</v>
      </c>
      <c r="O508" s="212" t="e">
        <f>ROUNDDOWN(Table12[[#This Row],[R-DEMAND]]/1320,0)</f>
        <v>#N/A</v>
      </c>
      <c r="P508" s="212" t="e">
        <f>Table12[[#This Row],[ADD ACC]]*Table12[[#This Row],[RT TIME 
(777-500ER)]]</f>
        <v>#N/A</v>
      </c>
    </row>
    <row r="509" spans="1:16" ht="15.75" customHeight="1" x14ac:dyDescent="0.25">
      <c r="A509" s="212" t="s">
        <v>14846</v>
      </c>
      <c r="B509" s="212" t="s">
        <v>2893</v>
      </c>
      <c r="C509" s="212"/>
      <c r="D509" s="226">
        <v>2</v>
      </c>
      <c r="E509" s="212" t="s">
        <v>2891</v>
      </c>
      <c r="F509" s="212" t="s">
        <v>12670</v>
      </c>
      <c r="G509" s="227" t="s">
        <v>12016</v>
      </c>
      <c r="H509" s="228">
        <v>6392</v>
      </c>
      <c r="I509" s="208">
        <v>16.5</v>
      </c>
      <c r="J509" s="211"/>
      <c r="K509" s="209">
        <v>0</v>
      </c>
      <c r="L509" s="212"/>
      <c r="M509" s="212" t="e">
        <f>VLOOKUP(Table12[[#This Row],[ROUTE]],DEMAND!A:F,5,FALSE)</f>
        <v>#N/A</v>
      </c>
      <c r="N509" s="212" t="e">
        <f>VLOOKUP(Table12[[#This Row],[ROUTE]],DEMAND!A:F,6,FALSE)</f>
        <v>#N/A</v>
      </c>
      <c r="O509" s="212" t="e">
        <f>ROUNDDOWN(Table12[[#This Row],[R-DEMAND]]/1320,0)</f>
        <v>#N/A</v>
      </c>
      <c r="P509" s="212" t="e">
        <f>Table12[[#This Row],[ADD ACC]]*Table12[[#This Row],[RT TIME 
(777-500ER)]]</f>
        <v>#N/A</v>
      </c>
    </row>
    <row r="510" spans="1:16" ht="15.75" customHeight="1" x14ac:dyDescent="0.25">
      <c r="A510" s="212" t="s">
        <v>14416</v>
      </c>
      <c r="B510" s="212" t="s">
        <v>3891</v>
      </c>
      <c r="C510" s="212"/>
      <c r="D510" s="226">
        <v>2</v>
      </c>
      <c r="E510" s="212" t="s">
        <v>13119</v>
      </c>
      <c r="F510" s="212" t="s">
        <v>12688</v>
      </c>
      <c r="G510" s="227" t="s">
        <v>13145</v>
      </c>
      <c r="H510" s="228">
        <v>9110</v>
      </c>
      <c r="I510" s="208">
        <v>22.5</v>
      </c>
      <c r="J510" s="211"/>
      <c r="K510" s="209">
        <v>0</v>
      </c>
      <c r="L510" s="212"/>
      <c r="M510" s="212" t="e">
        <f>VLOOKUP(Table12[[#This Row],[ROUTE]],DEMAND!A:F,5,FALSE)</f>
        <v>#N/A</v>
      </c>
      <c r="N510" s="212" t="e">
        <f>VLOOKUP(Table12[[#This Row],[ROUTE]],DEMAND!A:F,6,FALSE)</f>
        <v>#N/A</v>
      </c>
      <c r="O510" s="212" t="e">
        <f>ROUNDDOWN(Table12[[#This Row],[R-DEMAND]]/1320,0)</f>
        <v>#N/A</v>
      </c>
      <c r="P510" s="212" t="e">
        <f>Table12[[#This Row],[ADD ACC]]*Table12[[#This Row],[RT TIME 
(777-500ER)]]</f>
        <v>#N/A</v>
      </c>
    </row>
    <row r="511" spans="1:16" ht="15.75" customHeight="1" x14ac:dyDescent="0.25">
      <c r="A511" s="212" t="s">
        <v>14828</v>
      </c>
      <c r="B511" s="212" t="s">
        <v>4239</v>
      </c>
      <c r="C511" s="212"/>
      <c r="D511" s="226">
        <v>2</v>
      </c>
      <c r="E511" s="212" t="s">
        <v>3265</v>
      </c>
      <c r="F511" s="212" t="s">
        <v>12670</v>
      </c>
      <c r="G511" s="227" t="s">
        <v>11985</v>
      </c>
      <c r="H511" s="228">
        <v>2943</v>
      </c>
      <c r="I511" s="208">
        <v>8.75</v>
      </c>
      <c r="J511" s="211"/>
      <c r="K511" s="209">
        <v>0</v>
      </c>
      <c r="L511" s="212"/>
      <c r="M511" s="212" t="e">
        <f>VLOOKUP(Table12[[#This Row],[ROUTE]],DEMAND!A:F,5,FALSE)</f>
        <v>#N/A</v>
      </c>
      <c r="N511" s="212" t="e">
        <f>VLOOKUP(Table12[[#This Row],[ROUTE]],DEMAND!A:F,6,FALSE)</f>
        <v>#N/A</v>
      </c>
      <c r="O511" s="212" t="e">
        <f>ROUNDDOWN(Table12[[#This Row],[R-DEMAND]]/1320,0)</f>
        <v>#N/A</v>
      </c>
      <c r="P511" s="212" t="e">
        <f>Table12[[#This Row],[ADD ACC]]*Table12[[#This Row],[RT TIME 
(777-500ER)]]</f>
        <v>#N/A</v>
      </c>
    </row>
    <row r="512" spans="1:16" ht="15.75" customHeight="1" x14ac:dyDescent="0.25">
      <c r="A512" s="212" t="s">
        <v>14315</v>
      </c>
      <c r="B512" s="212" t="s">
        <v>4094</v>
      </c>
      <c r="C512" s="212"/>
      <c r="D512" s="226" t="s">
        <v>15105</v>
      </c>
      <c r="E512" s="212" t="s">
        <v>647</v>
      </c>
      <c r="F512" s="212" t="s">
        <v>12688</v>
      </c>
      <c r="G512" s="227" t="s">
        <v>13319</v>
      </c>
      <c r="H512" s="228">
        <v>8029</v>
      </c>
      <c r="I512" s="208">
        <v>20.25</v>
      </c>
      <c r="J512" s="211"/>
      <c r="K512" s="209">
        <v>0</v>
      </c>
      <c r="L512" s="212"/>
      <c r="M512" s="212" t="e">
        <f>VLOOKUP(Table12[[#This Row],[ROUTE]],DEMAND!A:F,5,FALSE)</f>
        <v>#N/A</v>
      </c>
      <c r="N512" s="212" t="e">
        <f>VLOOKUP(Table12[[#This Row],[ROUTE]],DEMAND!A:F,6,FALSE)</f>
        <v>#N/A</v>
      </c>
      <c r="O512" s="212" t="e">
        <f>ROUNDDOWN(Table12[[#This Row],[R-DEMAND]]/1320,0)</f>
        <v>#N/A</v>
      </c>
      <c r="P512" s="212" t="e">
        <f>Table12[[#This Row],[ADD ACC]]*Table12[[#This Row],[RT TIME 
(777-500ER)]]</f>
        <v>#N/A</v>
      </c>
    </row>
    <row r="513" spans="1:16" ht="15.75" customHeight="1" x14ac:dyDescent="0.25">
      <c r="A513" s="212" t="s">
        <v>15090</v>
      </c>
      <c r="B513" s="212" t="s">
        <v>973</v>
      </c>
      <c r="C513" s="212"/>
      <c r="D513" s="226">
        <v>1</v>
      </c>
      <c r="E513" s="212" t="s">
        <v>971</v>
      </c>
      <c r="F513" s="212" t="s">
        <v>12671</v>
      </c>
      <c r="G513" s="227" t="s">
        <v>11755</v>
      </c>
      <c r="H513" s="228">
        <v>3226</v>
      </c>
      <c r="I513" s="208">
        <v>9.25</v>
      </c>
      <c r="J513" s="211"/>
      <c r="K513" s="209">
        <v>0</v>
      </c>
      <c r="L513" s="212"/>
      <c r="M513" s="212" t="e">
        <f>VLOOKUP(Table12[[#This Row],[ROUTE]],DEMAND!A:F,5,FALSE)</f>
        <v>#N/A</v>
      </c>
      <c r="N513" s="212" t="e">
        <f>VLOOKUP(Table12[[#This Row],[ROUTE]],DEMAND!A:F,6,FALSE)</f>
        <v>#N/A</v>
      </c>
      <c r="O513" s="212" t="e">
        <f>ROUNDDOWN(Table12[[#This Row],[R-DEMAND]]/1320,0)</f>
        <v>#N/A</v>
      </c>
      <c r="P513" s="212" t="e">
        <f>Table12[[#This Row],[ADD ACC]]*Table12[[#This Row],[RT TIME 
(777-500ER)]]</f>
        <v>#N/A</v>
      </c>
    </row>
    <row r="514" spans="1:16" ht="15.75" customHeight="1" x14ac:dyDescent="0.25">
      <c r="A514" s="212" t="s">
        <v>15002</v>
      </c>
      <c r="B514" s="212" t="s">
        <v>3868</v>
      </c>
      <c r="C514" s="212"/>
      <c r="D514" s="226">
        <v>2</v>
      </c>
      <c r="E514" s="212" t="s">
        <v>1625</v>
      </c>
      <c r="F514" s="212" t="s">
        <v>12671</v>
      </c>
      <c r="G514" s="227" t="s">
        <v>11869</v>
      </c>
      <c r="H514" s="228">
        <v>8966</v>
      </c>
      <c r="I514" s="208">
        <v>22.25</v>
      </c>
      <c r="J514" s="211"/>
      <c r="K514" s="209">
        <v>0</v>
      </c>
      <c r="L514" s="212"/>
      <c r="M514" s="212" t="e">
        <f>VLOOKUP(Table12[[#This Row],[ROUTE]],DEMAND!A:F,5,FALSE)</f>
        <v>#N/A</v>
      </c>
      <c r="N514" s="212" t="e">
        <f>VLOOKUP(Table12[[#This Row],[ROUTE]],DEMAND!A:F,6,FALSE)</f>
        <v>#N/A</v>
      </c>
      <c r="O514" s="212" t="e">
        <f>ROUNDDOWN(Table12[[#This Row],[R-DEMAND]]/1320,0)</f>
        <v>#N/A</v>
      </c>
      <c r="P514" s="212" t="e">
        <f>Table12[[#This Row],[ADD ACC]]*Table12[[#This Row],[RT TIME 
(777-500ER)]]</f>
        <v>#N/A</v>
      </c>
    </row>
    <row r="515" spans="1:16" ht="15.75" customHeight="1" x14ac:dyDescent="0.25">
      <c r="A515" s="212" t="s">
        <v>14595</v>
      </c>
      <c r="B515" s="212" t="s">
        <v>4900</v>
      </c>
      <c r="C515" s="212"/>
      <c r="D515" s="226">
        <v>3</v>
      </c>
      <c r="E515" s="212" t="s">
        <v>758</v>
      </c>
      <c r="F515" s="212" t="s">
        <v>12674</v>
      </c>
      <c r="G515" s="227" t="s">
        <v>11805</v>
      </c>
      <c r="H515" s="228">
        <v>1244</v>
      </c>
      <c r="I515" s="208">
        <v>5</v>
      </c>
      <c r="J515" s="211"/>
      <c r="K515" s="209">
        <v>0</v>
      </c>
      <c r="L515" s="212"/>
      <c r="M515" s="212" t="e">
        <f>VLOOKUP(Table12[[#This Row],[ROUTE]],DEMAND!A:F,5,FALSE)</f>
        <v>#N/A</v>
      </c>
      <c r="N515" s="212" t="e">
        <f>VLOOKUP(Table12[[#This Row],[ROUTE]],DEMAND!A:F,6,FALSE)</f>
        <v>#N/A</v>
      </c>
      <c r="O515" s="212" t="e">
        <f>ROUNDDOWN(Table12[[#This Row],[R-DEMAND]]/1320,0)</f>
        <v>#N/A</v>
      </c>
      <c r="P515" s="212" t="e">
        <f>Table12[[#This Row],[ADD ACC]]*Table12[[#This Row],[RT TIME 
(777-500ER)]]</f>
        <v>#N/A</v>
      </c>
    </row>
    <row r="516" spans="1:16" ht="15.75" customHeight="1" x14ac:dyDescent="0.25">
      <c r="A516" s="212" t="s">
        <v>14644</v>
      </c>
      <c r="B516" s="212" t="s">
        <v>2401</v>
      </c>
      <c r="C516" s="212"/>
      <c r="D516" s="226">
        <v>1</v>
      </c>
      <c r="E516" s="212" t="s">
        <v>78</v>
      </c>
      <c r="F516" s="212" t="s">
        <v>12674</v>
      </c>
      <c r="G516" s="227" t="s">
        <v>11902</v>
      </c>
      <c r="H516" s="228">
        <v>5894</v>
      </c>
      <c r="I516" s="208">
        <v>15.25</v>
      </c>
      <c r="J516" s="211"/>
      <c r="K516" s="209">
        <v>0</v>
      </c>
      <c r="L516" s="212"/>
      <c r="M516" s="212" t="e">
        <f>VLOOKUP(Table12[[#This Row],[ROUTE]],DEMAND!A:F,5,FALSE)</f>
        <v>#N/A</v>
      </c>
      <c r="N516" s="212" t="e">
        <f>VLOOKUP(Table12[[#This Row],[ROUTE]],DEMAND!A:F,6,FALSE)</f>
        <v>#N/A</v>
      </c>
      <c r="O516" s="212" t="e">
        <f>ROUNDDOWN(Table12[[#This Row],[R-DEMAND]]/1320,0)</f>
        <v>#N/A</v>
      </c>
      <c r="P516" s="212" t="e">
        <f>Table12[[#This Row],[ADD ACC]]*Table12[[#This Row],[RT TIME 
(777-500ER)]]</f>
        <v>#N/A</v>
      </c>
    </row>
    <row r="517" spans="1:16" ht="15.75" customHeight="1" x14ac:dyDescent="0.25">
      <c r="A517" s="212" t="s">
        <v>14861</v>
      </c>
      <c r="B517" s="212" t="s">
        <v>302</v>
      </c>
      <c r="C517" s="212"/>
      <c r="D517" s="226">
        <v>2</v>
      </c>
      <c r="E517" s="212" t="s">
        <v>717</v>
      </c>
      <c r="F517" s="212" t="s">
        <v>12670</v>
      </c>
      <c r="G517" s="227" t="s">
        <v>12097</v>
      </c>
      <c r="H517" s="228">
        <v>9278</v>
      </c>
      <c r="I517" s="208">
        <v>23</v>
      </c>
      <c r="J517" s="211"/>
      <c r="K517" s="209">
        <v>0</v>
      </c>
      <c r="L517" s="212"/>
      <c r="M517" s="212" t="e">
        <f>VLOOKUP(Table12[[#This Row],[ROUTE]],DEMAND!A:F,5,FALSE)</f>
        <v>#N/A</v>
      </c>
      <c r="N517" s="212" t="e">
        <f>VLOOKUP(Table12[[#This Row],[ROUTE]],DEMAND!A:F,6,FALSE)</f>
        <v>#N/A</v>
      </c>
      <c r="O517" s="212" t="e">
        <f>ROUNDDOWN(Table12[[#This Row],[R-DEMAND]]/1320,0)</f>
        <v>#N/A</v>
      </c>
      <c r="P517" s="212" t="e">
        <f>Table12[[#This Row],[ADD ACC]]*Table12[[#This Row],[RT TIME 
(777-500ER)]]</f>
        <v>#N/A</v>
      </c>
    </row>
    <row r="518" spans="1:16" ht="15.75" customHeight="1" x14ac:dyDescent="0.25">
      <c r="A518" s="212" t="s">
        <v>14380</v>
      </c>
      <c r="B518" s="212" t="s">
        <v>2132</v>
      </c>
      <c r="C518" s="212"/>
      <c r="D518" s="226" t="s">
        <v>15104</v>
      </c>
      <c r="E518" s="212" t="s">
        <v>647</v>
      </c>
      <c r="F518" s="212" t="s">
        <v>12688</v>
      </c>
      <c r="G518" s="227" t="s">
        <v>13327</v>
      </c>
      <c r="H518" s="228">
        <v>9267</v>
      </c>
      <c r="I518" s="208">
        <v>23</v>
      </c>
      <c r="J518" s="211"/>
      <c r="K518" s="209">
        <v>0</v>
      </c>
      <c r="L518" s="212"/>
      <c r="M518" s="212" t="e">
        <f>VLOOKUP(Table12[[#This Row],[ROUTE]],DEMAND!A:F,5,FALSE)</f>
        <v>#N/A</v>
      </c>
      <c r="N518" s="212" t="e">
        <f>VLOOKUP(Table12[[#This Row],[ROUTE]],DEMAND!A:F,6,FALSE)</f>
        <v>#N/A</v>
      </c>
      <c r="O518" s="212" t="e">
        <f>ROUNDDOWN(Table12[[#This Row],[R-DEMAND]]/1320,0)</f>
        <v>#N/A</v>
      </c>
      <c r="P518" s="212" t="e">
        <f>Table12[[#This Row],[ADD ACC]]*Table12[[#This Row],[RT TIME 
(777-500ER)]]</f>
        <v>#N/A</v>
      </c>
    </row>
    <row r="519" spans="1:16" ht="15.75" customHeight="1" x14ac:dyDescent="0.25">
      <c r="A519" s="212" t="s">
        <v>14980</v>
      </c>
      <c r="B519" s="212" t="s">
        <v>2079</v>
      </c>
      <c r="C519" s="212"/>
      <c r="D519" s="226">
        <v>1</v>
      </c>
      <c r="E519" s="212" t="s">
        <v>493</v>
      </c>
      <c r="F519" s="212" t="s">
        <v>12671</v>
      </c>
      <c r="G519" s="227" t="s">
        <v>11721</v>
      </c>
      <c r="H519" s="228">
        <v>3679</v>
      </c>
      <c r="I519" s="208">
        <v>10.25</v>
      </c>
      <c r="J519" s="211"/>
      <c r="K519" s="209">
        <v>0</v>
      </c>
      <c r="L519" s="212"/>
      <c r="M519" s="212" t="e">
        <f>VLOOKUP(Table12[[#This Row],[ROUTE]],DEMAND!A:F,5,FALSE)</f>
        <v>#N/A</v>
      </c>
      <c r="N519" s="212" t="e">
        <f>VLOOKUP(Table12[[#This Row],[ROUTE]],DEMAND!A:F,6,FALSE)</f>
        <v>#N/A</v>
      </c>
      <c r="O519" s="212" t="e">
        <f>ROUNDDOWN(Table12[[#This Row],[R-DEMAND]]/1320,0)</f>
        <v>#N/A</v>
      </c>
      <c r="P519" s="212" t="e">
        <f>Table12[[#This Row],[ADD ACC]]*Table12[[#This Row],[RT TIME 
(777-500ER)]]</f>
        <v>#N/A</v>
      </c>
    </row>
    <row r="520" spans="1:16" ht="15.75" customHeight="1" x14ac:dyDescent="0.25">
      <c r="A520" s="212" t="s">
        <v>14886</v>
      </c>
      <c r="B520" s="212" t="s">
        <v>4414</v>
      </c>
      <c r="C520" s="212"/>
      <c r="D520" s="226">
        <v>2</v>
      </c>
      <c r="E520" s="212" t="s">
        <v>172</v>
      </c>
      <c r="F520" s="212" t="s">
        <v>12670</v>
      </c>
      <c r="G520" s="227" t="s">
        <v>9697</v>
      </c>
      <c r="H520" s="228">
        <v>4301</v>
      </c>
      <c r="I520" s="208">
        <v>11.75</v>
      </c>
      <c r="J520" s="211"/>
      <c r="K520" s="209">
        <v>0</v>
      </c>
      <c r="L520" s="212"/>
      <c r="M520" s="212" t="e">
        <f>VLOOKUP(Table12[[#This Row],[ROUTE]],DEMAND!A:F,5,FALSE)</f>
        <v>#N/A</v>
      </c>
      <c r="N520" s="212" t="e">
        <f>VLOOKUP(Table12[[#This Row],[ROUTE]],DEMAND!A:F,6,FALSE)</f>
        <v>#N/A</v>
      </c>
      <c r="O520" s="212" t="e">
        <f>ROUNDDOWN(Table12[[#This Row],[R-DEMAND]]/1320,0)</f>
        <v>#N/A</v>
      </c>
      <c r="P520" s="212" t="e">
        <f>Table12[[#This Row],[ADD ACC]]*Table12[[#This Row],[RT TIME 
(777-500ER)]]</f>
        <v>#N/A</v>
      </c>
    </row>
    <row r="521" spans="1:16" ht="15.75" customHeight="1" x14ac:dyDescent="0.25">
      <c r="A521" s="212" t="s">
        <v>14367</v>
      </c>
      <c r="B521" s="212" t="s">
        <v>4005</v>
      </c>
      <c r="C521" s="212"/>
      <c r="D521" s="226" t="s">
        <v>15105</v>
      </c>
      <c r="E521" s="212" t="s">
        <v>647</v>
      </c>
      <c r="F521" s="212" t="s">
        <v>12688</v>
      </c>
      <c r="G521" s="227" t="s">
        <v>13280</v>
      </c>
      <c r="H521" s="228">
        <v>9035</v>
      </c>
      <c r="I521" s="208">
        <v>22.5</v>
      </c>
      <c r="J521" s="211"/>
      <c r="K521" s="209">
        <v>0</v>
      </c>
      <c r="L521" s="212"/>
      <c r="M521" s="212" t="e">
        <f>VLOOKUP(Table12[[#This Row],[ROUTE]],DEMAND!A:F,5,FALSE)</f>
        <v>#N/A</v>
      </c>
      <c r="N521" s="212" t="e">
        <f>VLOOKUP(Table12[[#This Row],[ROUTE]],DEMAND!A:F,6,FALSE)</f>
        <v>#N/A</v>
      </c>
      <c r="O521" s="212" t="e">
        <f>ROUNDDOWN(Table12[[#This Row],[R-DEMAND]]/1320,0)</f>
        <v>#N/A</v>
      </c>
      <c r="P521" s="212" t="e">
        <f>Table12[[#This Row],[ADD ACC]]*Table12[[#This Row],[RT TIME 
(777-500ER)]]</f>
        <v>#N/A</v>
      </c>
    </row>
    <row r="522" spans="1:16" ht="15.75" customHeight="1" x14ac:dyDescent="0.25">
      <c r="A522" s="212" t="s">
        <v>15068</v>
      </c>
      <c r="B522" s="212" t="s">
        <v>2007</v>
      </c>
      <c r="C522" s="212"/>
      <c r="D522" s="226">
        <v>1</v>
      </c>
      <c r="E522" s="212" t="s">
        <v>1513</v>
      </c>
      <c r="F522" s="212" t="s">
        <v>12671</v>
      </c>
      <c r="G522" s="227" t="s">
        <v>11967</v>
      </c>
      <c r="H522" s="228">
        <v>5474</v>
      </c>
      <c r="I522" s="208">
        <v>14.5</v>
      </c>
      <c r="J522" s="211"/>
      <c r="K522" s="209">
        <v>0</v>
      </c>
      <c r="L522" s="212"/>
      <c r="M522" s="212" t="e">
        <f>VLOOKUP(Table12[[#This Row],[ROUTE]],DEMAND!A:F,5,FALSE)</f>
        <v>#N/A</v>
      </c>
      <c r="N522" s="212" t="e">
        <f>VLOOKUP(Table12[[#This Row],[ROUTE]],DEMAND!A:F,6,FALSE)</f>
        <v>#N/A</v>
      </c>
      <c r="O522" s="212" t="e">
        <f>ROUNDDOWN(Table12[[#This Row],[R-DEMAND]]/1320,0)</f>
        <v>#N/A</v>
      </c>
      <c r="P522" s="212" t="e">
        <f>Table12[[#This Row],[ADD ACC]]*Table12[[#This Row],[RT TIME 
(777-500ER)]]</f>
        <v>#N/A</v>
      </c>
    </row>
    <row r="523" spans="1:16" ht="15.75" customHeight="1" x14ac:dyDescent="0.25">
      <c r="A523" s="212" t="s">
        <v>14514</v>
      </c>
      <c r="B523" s="212" t="s">
        <v>3774</v>
      </c>
      <c r="C523" s="212"/>
      <c r="D523" s="226">
        <v>2</v>
      </c>
      <c r="E523" s="212" t="s">
        <v>560</v>
      </c>
      <c r="F523" s="212" t="s">
        <v>12674</v>
      </c>
      <c r="G523" s="227" t="s">
        <v>11729</v>
      </c>
      <c r="H523" s="228">
        <v>2535</v>
      </c>
      <c r="I523" s="208">
        <v>7.75</v>
      </c>
      <c r="J523" s="211"/>
      <c r="K523" s="209">
        <v>0</v>
      </c>
      <c r="L523" s="212"/>
      <c r="M523" s="212" t="e">
        <f>VLOOKUP(Table12[[#This Row],[ROUTE]],DEMAND!A:F,5,FALSE)</f>
        <v>#N/A</v>
      </c>
      <c r="N523" s="212" t="e">
        <f>VLOOKUP(Table12[[#This Row],[ROUTE]],DEMAND!A:F,6,FALSE)</f>
        <v>#N/A</v>
      </c>
      <c r="O523" s="212" t="e">
        <f>ROUNDDOWN(Table12[[#This Row],[R-DEMAND]]/1320,0)</f>
        <v>#N/A</v>
      </c>
      <c r="P523" s="212" t="e">
        <f>Table12[[#This Row],[ADD ACC]]*Table12[[#This Row],[RT TIME 
(777-500ER)]]</f>
        <v>#N/A</v>
      </c>
    </row>
    <row r="524" spans="1:16" ht="15.75" customHeight="1" x14ac:dyDescent="0.25">
      <c r="A524" s="212" t="s">
        <v>14566</v>
      </c>
      <c r="B524" s="212" t="s">
        <v>299</v>
      </c>
      <c r="C524" s="212"/>
      <c r="D524" s="226">
        <v>3</v>
      </c>
      <c r="E524" s="212" t="s">
        <v>308</v>
      </c>
      <c r="F524" s="212" t="s">
        <v>12674</v>
      </c>
      <c r="G524" s="227" t="s">
        <v>11758</v>
      </c>
      <c r="H524" s="228">
        <v>2388</v>
      </c>
      <c r="I524" s="208">
        <v>7.5</v>
      </c>
      <c r="J524" s="211"/>
      <c r="K524" s="209">
        <v>0</v>
      </c>
      <c r="L524" s="212"/>
      <c r="M524" s="212" t="e">
        <f>VLOOKUP(Table12[[#This Row],[ROUTE]],DEMAND!A:F,5,FALSE)</f>
        <v>#N/A</v>
      </c>
      <c r="N524" s="212" t="e">
        <f>VLOOKUP(Table12[[#This Row],[ROUTE]],DEMAND!A:F,6,FALSE)</f>
        <v>#N/A</v>
      </c>
      <c r="O524" s="212" t="e">
        <f>ROUNDDOWN(Table12[[#This Row],[R-DEMAND]]/1320,0)</f>
        <v>#N/A</v>
      </c>
      <c r="P524" s="212" t="e">
        <f>Table12[[#This Row],[ADD ACC]]*Table12[[#This Row],[RT TIME 
(777-500ER)]]</f>
        <v>#N/A</v>
      </c>
    </row>
    <row r="525" spans="1:16" ht="15.75" customHeight="1" x14ac:dyDescent="0.25">
      <c r="A525" s="212" t="s">
        <v>14609</v>
      </c>
      <c r="B525" s="212" t="s">
        <v>3615</v>
      </c>
      <c r="C525" s="212"/>
      <c r="D525" s="226">
        <v>2</v>
      </c>
      <c r="E525" s="212" t="s">
        <v>78</v>
      </c>
      <c r="F525" s="212" t="s">
        <v>12674</v>
      </c>
      <c r="G525" s="227" t="s">
        <v>11861</v>
      </c>
      <c r="H525" s="212">
        <v>378</v>
      </c>
      <c r="I525" s="208">
        <v>3</v>
      </c>
      <c r="J525" s="211"/>
      <c r="K525" s="209">
        <v>0</v>
      </c>
      <c r="L525" s="212"/>
      <c r="M525" s="212" t="e">
        <f>VLOOKUP(Table12[[#This Row],[ROUTE]],DEMAND!A:F,5,FALSE)</f>
        <v>#N/A</v>
      </c>
      <c r="N525" s="212" t="e">
        <f>VLOOKUP(Table12[[#This Row],[ROUTE]],DEMAND!A:F,6,FALSE)</f>
        <v>#N/A</v>
      </c>
      <c r="O525" s="212" t="e">
        <f>ROUNDDOWN(Table12[[#This Row],[R-DEMAND]]/1320,0)</f>
        <v>#N/A</v>
      </c>
      <c r="P525" s="212" t="e">
        <f>Table12[[#This Row],[ADD ACC]]*Table12[[#This Row],[RT TIME 
(777-500ER)]]</f>
        <v>#N/A</v>
      </c>
    </row>
    <row r="526" spans="1:16" ht="15.75" customHeight="1" x14ac:dyDescent="0.25">
      <c r="A526" s="212" t="s">
        <v>14707</v>
      </c>
      <c r="B526" s="212" t="s">
        <v>1882</v>
      </c>
      <c r="C526" s="212"/>
      <c r="D526" s="226">
        <v>1</v>
      </c>
      <c r="E526" s="212" t="s">
        <v>14</v>
      </c>
      <c r="F526" s="212" t="s">
        <v>12670</v>
      </c>
      <c r="G526" s="227" t="s">
        <v>9663</v>
      </c>
      <c r="H526" s="228">
        <v>4718</v>
      </c>
      <c r="I526" s="208">
        <v>12.75</v>
      </c>
      <c r="J526" s="211"/>
      <c r="K526" s="209">
        <v>0</v>
      </c>
      <c r="L526" s="212"/>
      <c r="M526" s="212" t="e">
        <f>VLOOKUP(Table12[[#This Row],[ROUTE]],DEMAND!A:F,5,FALSE)</f>
        <v>#N/A</v>
      </c>
      <c r="N526" s="212" t="e">
        <f>VLOOKUP(Table12[[#This Row],[ROUTE]],DEMAND!A:F,6,FALSE)</f>
        <v>#N/A</v>
      </c>
      <c r="O526" s="212" t="e">
        <f>ROUNDDOWN(Table12[[#This Row],[R-DEMAND]]/1320,0)</f>
        <v>#N/A</v>
      </c>
      <c r="P526" s="212" t="e">
        <f>Table12[[#This Row],[ADD ACC]]*Table12[[#This Row],[RT TIME 
(777-500ER)]]</f>
        <v>#N/A</v>
      </c>
    </row>
    <row r="527" spans="1:16" ht="15.75" customHeight="1" x14ac:dyDescent="0.25">
      <c r="A527" s="212" t="s">
        <v>14671</v>
      </c>
      <c r="B527" s="212" t="s">
        <v>5285</v>
      </c>
      <c r="C527" s="212"/>
      <c r="D527" s="226">
        <v>3</v>
      </c>
      <c r="E527" s="212" t="s">
        <v>585</v>
      </c>
      <c r="F527" s="212" t="s">
        <v>12674</v>
      </c>
      <c r="G527" s="227" t="s">
        <v>11781</v>
      </c>
      <c r="H527" s="228">
        <v>1581</v>
      </c>
      <c r="I527" s="208">
        <v>5.75</v>
      </c>
      <c r="J527" s="211"/>
      <c r="K527" s="209">
        <v>0</v>
      </c>
      <c r="L527" s="212"/>
      <c r="M527" s="212" t="e">
        <f>VLOOKUP(Table12[[#This Row],[ROUTE]],DEMAND!A:F,5,FALSE)</f>
        <v>#N/A</v>
      </c>
      <c r="N527" s="212" t="e">
        <f>VLOOKUP(Table12[[#This Row],[ROUTE]],DEMAND!A:F,6,FALSE)</f>
        <v>#N/A</v>
      </c>
      <c r="O527" s="212" t="e">
        <f>ROUNDDOWN(Table12[[#This Row],[R-DEMAND]]/1320,0)</f>
        <v>#N/A</v>
      </c>
      <c r="P527" s="212" t="e">
        <f>Table12[[#This Row],[ADD ACC]]*Table12[[#This Row],[RT TIME 
(777-500ER)]]</f>
        <v>#N/A</v>
      </c>
    </row>
    <row r="528" spans="1:16" ht="15.75" customHeight="1" x14ac:dyDescent="0.25">
      <c r="A528" s="212" t="s">
        <v>14964</v>
      </c>
      <c r="B528" s="212" t="s">
        <v>1769</v>
      </c>
      <c r="C528" s="212"/>
      <c r="D528" s="226">
        <v>1</v>
      </c>
      <c r="E528" s="229" t="s">
        <v>511</v>
      </c>
      <c r="F528" s="212" t="s">
        <v>12671</v>
      </c>
      <c r="G528" s="227" t="s">
        <v>11803</v>
      </c>
      <c r="H528" s="228">
        <v>5558</v>
      </c>
      <c r="I528" s="208">
        <v>14.5</v>
      </c>
      <c r="J528" s="211"/>
      <c r="K528" s="209">
        <v>0</v>
      </c>
      <c r="L528" s="212"/>
      <c r="M528" s="212" t="e">
        <f>VLOOKUP(Table12[[#This Row],[ROUTE]],DEMAND!A:F,5,FALSE)</f>
        <v>#N/A</v>
      </c>
      <c r="N528" s="212" t="e">
        <f>VLOOKUP(Table12[[#This Row],[ROUTE]],DEMAND!A:F,6,FALSE)</f>
        <v>#N/A</v>
      </c>
      <c r="O528" s="212" t="e">
        <f>ROUNDDOWN(Table12[[#This Row],[R-DEMAND]]/1320,0)</f>
        <v>#N/A</v>
      </c>
      <c r="P528" s="212" t="e">
        <f>Table12[[#This Row],[ADD ACC]]*Table12[[#This Row],[RT TIME 
(777-500ER)]]</f>
        <v>#N/A</v>
      </c>
    </row>
    <row r="529" spans="1:16" ht="15.75" customHeight="1" x14ac:dyDescent="0.25">
      <c r="A529" s="212" t="s">
        <v>14548</v>
      </c>
      <c r="B529" s="212" t="s">
        <v>2571</v>
      </c>
      <c r="C529" s="212"/>
      <c r="D529" s="226">
        <v>2</v>
      </c>
      <c r="E529" s="212" t="s">
        <v>597</v>
      </c>
      <c r="F529" s="212" t="s">
        <v>12674</v>
      </c>
      <c r="G529" s="227" t="s">
        <v>11827</v>
      </c>
      <c r="H529" s="228">
        <v>2280</v>
      </c>
      <c r="I529" s="208">
        <v>7.25</v>
      </c>
      <c r="J529" s="211"/>
      <c r="K529" s="209">
        <v>0</v>
      </c>
      <c r="L529" s="212"/>
      <c r="M529" s="212" t="e">
        <f>VLOOKUP(Table12[[#This Row],[ROUTE]],DEMAND!A:F,5,FALSE)</f>
        <v>#N/A</v>
      </c>
      <c r="N529" s="212" t="e">
        <f>VLOOKUP(Table12[[#This Row],[ROUTE]],DEMAND!A:F,6,FALSE)</f>
        <v>#N/A</v>
      </c>
      <c r="O529" s="212" t="e">
        <f>ROUNDDOWN(Table12[[#This Row],[R-DEMAND]]/1320,0)</f>
        <v>#N/A</v>
      </c>
      <c r="P529" s="212" t="e">
        <f>Table12[[#This Row],[ADD ACC]]*Table12[[#This Row],[RT TIME 
(777-500ER)]]</f>
        <v>#N/A</v>
      </c>
    </row>
    <row r="530" spans="1:16" ht="15.75" customHeight="1" x14ac:dyDescent="0.25">
      <c r="A530" s="212" t="s">
        <v>14391</v>
      </c>
      <c r="B530" s="212" t="s">
        <v>4011</v>
      </c>
      <c r="C530" s="212"/>
      <c r="D530" s="226" t="s">
        <v>15105</v>
      </c>
      <c r="E530" s="212" t="s">
        <v>647</v>
      </c>
      <c r="F530" s="212" t="s">
        <v>12688</v>
      </c>
      <c r="G530" s="227" t="s">
        <v>13321</v>
      </c>
      <c r="H530" s="228">
        <v>9521</v>
      </c>
      <c r="I530" s="208">
        <v>23.5</v>
      </c>
      <c r="J530" s="211"/>
      <c r="K530" s="209">
        <v>0</v>
      </c>
      <c r="L530" s="212"/>
      <c r="M530" s="212" t="e">
        <f>VLOOKUP(Table12[[#This Row],[ROUTE]],DEMAND!A:F,5,FALSE)</f>
        <v>#N/A</v>
      </c>
      <c r="N530" s="212" t="e">
        <f>VLOOKUP(Table12[[#This Row],[ROUTE]],DEMAND!A:F,6,FALSE)</f>
        <v>#N/A</v>
      </c>
      <c r="O530" s="212" t="e">
        <f>ROUNDDOWN(Table12[[#This Row],[R-DEMAND]]/1320,0)</f>
        <v>#N/A</v>
      </c>
      <c r="P530" s="212" t="e">
        <f>Table12[[#This Row],[ADD ACC]]*Table12[[#This Row],[RT TIME 
(777-500ER)]]</f>
        <v>#N/A</v>
      </c>
    </row>
    <row r="531" spans="1:16" ht="15.75" customHeight="1" x14ac:dyDescent="0.25">
      <c r="A531" s="212" t="s">
        <v>14306</v>
      </c>
      <c r="B531" s="212" t="s">
        <v>4917</v>
      </c>
      <c r="C531" s="212"/>
      <c r="D531" s="226" t="s">
        <v>15106</v>
      </c>
      <c r="E531" s="212" t="s">
        <v>647</v>
      </c>
      <c r="F531" s="212" t="s">
        <v>12688</v>
      </c>
      <c r="G531" s="227" t="s">
        <v>13313</v>
      </c>
      <c r="H531" s="228">
        <v>7860</v>
      </c>
      <c r="I531" s="208">
        <v>19.75</v>
      </c>
      <c r="J531" s="211"/>
      <c r="K531" s="209">
        <v>0</v>
      </c>
      <c r="L531" s="212"/>
      <c r="M531" s="212" t="e">
        <f>VLOOKUP(Table12[[#This Row],[ROUTE]],DEMAND!A:F,5,FALSE)</f>
        <v>#N/A</v>
      </c>
      <c r="N531" s="212" t="e">
        <f>VLOOKUP(Table12[[#This Row],[ROUTE]],DEMAND!A:F,6,FALSE)</f>
        <v>#N/A</v>
      </c>
      <c r="O531" s="212" t="e">
        <f>ROUNDDOWN(Table12[[#This Row],[R-DEMAND]]/1320,0)</f>
        <v>#N/A</v>
      </c>
      <c r="P531" s="212" t="e">
        <f>Table12[[#This Row],[ADD ACC]]*Table12[[#This Row],[RT TIME 
(777-500ER)]]</f>
        <v>#N/A</v>
      </c>
    </row>
    <row r="532" spans="1:16" ht="15.75" customHeight="1" x14ac:dyDescent="0.25">
      <c r="A532" s="212" t="s">
        <v>14661</v>
      </c>
      <c r="B532" s="212" t="s">
        <v>4789</v>
      </c>
      <c r="C532" s="212"/>
      <c r="D532" s="226">
        <v>3</v>
      </c>
      <c r="E532" s="212" t="s">
        <v>119</v>
      </c>
      <c r="F532" s="212" t="s">
        <v>12674</v>
      </c>
      <c r="G532" s="227" t="s">
        <v>11691</v>
      </c>
      <c r="H532" s="228">
        <v>3709</v>
      </c>
      <c r="I532" s="208">
        <v>10.5</v>
      </c>
      <c r="J532" s="211"/>
      <c r="K532" s="209">
        <v>0</v>
      </c>
      <c r="L532" s="212"/>
      <c r="M532" s="212" t="e">
        <f>VLOOKUP(Table12[[#This Row],[ROUTE]],DEMAND!A:F,5,FALSE)</f>
        <v>#N/A</v>
      </c>
      <c r="N532" s="212" t="e">
        <f>VLOOKUP(Table12[[#This Row],[ROUTE]],DEMAND!A:F,6,FALSE)</f>
        <v>#N/A</v>
      </c>
      <c r="O532" s="212" t="e">
        <f>ROUNDDOWN(Table12[[#This Row],[R-DEMAND]]/1320,0)</f>
        <v>#N/A</v>
      </c>
      <c r="P532" s="212" t="e">
        <f>Table12[[#This Row],[ADD ACC]]*Table12[[#This Row],[RT TIME 
(777-500ER)]]</f>
        <v>#N/A</v>
      </c>
    </row>
    <row r="533" spans="1:16" ht="15.75" customHeight="1" x14ac:dyDescent="0.25">
      <c r="A533" s="212" t="s">
        <v>14488</v>
      </c>
      <c r="B533" s="212" t="s">
        <v>4568</v>
      </c>
      <c r="C533" s="212"/>
      <c r="D533" s="226">
        <v>2</v>
      </c>
      <c r="E533" s="212" t="s">
        <v>3915</v>
      </c>
      <c r="F533" s="212" t="s">
        <v>12674</v>
      </c>
      <c r="G533" s="227" t="s">
        <v>11798</v>
      </c>
      <c r="H533" s="228">
        <v>1812</v>
      </c>
      <c r="I533" s="208">
        <v>6.25</v>
      </c>
      <c r="J533" s="211"/>
      <c r="K533" s="209">
        <v>0</v>
      </c>
      <c r="L533" s="212"/>
      <c r="M533" s="212" t="e">
        <f>VLOOKUP(Table12[[#This Row],[ROUTE]],DEMAND!A:F,5,FALSE)</f>
        <v>#N/A</v>
      </c>
      <c r="N533" s="212" t="e">
        <f>VLOOKUP(Table12[[#This Row],[ROUTE]],DEMAND!A:F,6,FALSE)</f>
        <v>#N/A</v>
      </c>
      <c r="O533" s="212" t="e">
        <f>ROUNDDOWN(Table12[[#This Row],[R-DEMAND]]/1320,0)</f>
        <v>#N/A</v>
      </c>
      <c r="P533" s="212" t="e">
        <f>Table12[[#This Row],[ADD ACC]]*Table12[[#This Row],[RT TIME 
(777-500ER)]]</f>
        <v>#N/A</v>
      </c>
    </row>
    <row r="534" spans="1:16" ht="15.75" customHeight="1" x14ac:dyDescent="0.25">
      <c r="A534" s="212" t="s">
        <v>14328</v>
      </c>
      <c r="B534" s="212" t="s">
        <v>4902</v>
      </c>
      <c r="C534" s="212"/>
      <c r="D534" s="226" t="s">
        <v>15106</v>
      </c>
      <c r="E534" s="212" t="s">
        <v>647</v>
      </c>
      <c r="F534" s="212" t="s">
        <v>12688</v>
      </c>
      <c r="G534" s="227" t="s">
        <v>13356</v>
      </c>
      <c r="H534" s="228">
        <v>8263</v>
      </c>
      <c r="I534" s="208">
        <v>20.75</v>
      </c>
      <c r="J534" s="211"/>
      <c r="K534" s="209">
        <v>0</v>
      </c>
      <c r="L534" s="212"/>
      <c r="M534" s="212" t="e">
        <f>VLOOKUP(Table12[[#This Row],[ROUTE]],DEMAND!A:F,5,FALSE)</f>
        <v>#N/A</v>
      </c>
      <c r="N534" s="212" t="e">
        <f>VLOOKUP(Table12[[#This Row],[ROUTE]],DEMAND!A:F,6,FALSE)</f>
        <v>#N/A</v>
      </c>
      <c r="O534" s="212" t="e">
        <f>ROUNDDOWN(Table12[[#This Row],[R-DEMAND]]/1320,0)</f>
        <v>#N/A</v>
      </c>
      <c r="P534" s="212" t="e">
        <f>Table12[[#This Row],[ADD ACC]]*Table12[[#This Row],[RT TIME 
(777-500ER)]]</f>
        <v>#N/A</v>
      </c>
    </row>
    <row r="535" spans="1:16" ht="15.75" customHeight="1" x14ac:dyDescent="0.25">
      <c r="A535" s="212" t="s">
        <v>14338</v>
      </c>
      <c r="B535" s="212" t="s">
        <v>4718</v>
      </c>
      <c r="C535" s="212"/>
      <c r="D535" s="226" t="s">
        <v>15106</v>
      </c>
      <c r="E535" s="212" t="s">
        <v>647</v>
      </c>
      <c r="F535" s="212" t="s">
        <v>12688</v>
      </c>
      <c r="G535" s="227" t="s">
        <v>13355</v>
      </c>
      <c r="H535" s="228">
        <v>8483</v>
      </c>
      <c r="I535" s="208">
        <v>21.25</v>
      </c>
      <c r="J535" s="211"/>
      <c r="K535" s="209">
        <v>0</v>
      </c>
      <c r="L535" s="212"/>
      <c r="M535" s="212" t="e">
        <f>VLOOKUP(Table12[[#This Row],[ROUTE]],DEMAND!A:F,5,FALSE)</f>
        <v>#N/A</v>
      </c>
      <c r="N535" s="212" t="e">
        <f>VLOOKUP(Table12[[#This Row],[ROUTE]],DEMAND!A:F,6,FALSE)</f>
        <v>#N/A</v>
      </c>
      <c r="O535" s="212" t="e">
        <f>ROUNDDOWN(Table12[[#This Row],[R-DEMAND]]/1320,0)</f>
        <v>#N/A</v>
      </c>
      <c r="P535" s="212" t="e">
        <f>Table12[[#This Row],[ADD ACC]]*Table12[[#This Row],[RT TIME 
(777-500ER)]]</f>
        <v>#N/A</v>
      </c>
    </row>
    <row r="536" spans="1:16" ht="15.75" customHeight="1" x14ac:dyDescent="0.25">
      <c r="A536" s="212" t="s">
        <v>14320</v>
      </c>
      <c r="B536" s="212" t="s">
        <v>3666</v>
      </c>
      <c r="C536" s="212"/>
      <c r="D536" s="226" t="s">
        <v>15105</v>
      </c>
      <c r="E536" s="212" t="s">
        <v>647</v>
      </c>
      <c r="F536" s="212" t="s">
        <v>12688</v>
      </c>
      <c r="G536" s="227" t="s">
        <v>13265</v>
      </c>
      <c r="H536" s="228">
        <v>8222</v>
      </c>
      <c r="I536" s="208">
        <v>20.5</v>
      </c>
      <c r="J536" s="211"/>
      <c r="K536" s="209">
        <v>0</v>
      </c>
      <c r="L536" s="212"/>
      <c r="M536" s="212" t="e">
        <f>VLOOKUP(Table12[[#This Row],[ROUTE]],DEMAND!A:F,5,FALSE)</f>
        <v>#N/A</v>
      </c>
      <c r="N536" s="212" t="e">
        <f>VLOOKUP(Table12[[#This Row],[ROUTE]],DEMAND!A:F,6,FALSE)</f>
        <v>#N/A</v>
      </c>
      <c r="O536" s="212" t="e">
        <f>ROUNDDOWN(Table12[[#This Row],[R-DEMAND]]/1320,0)</f>
        <v>#N/A</v>
      </c>
      <c r="P536" s="212" t="e">
        <f>Table12[[#This Row],[ADD ACC]]*Table12[[#This Row],[RT TIME 
(777-500ER)]]</f>
        <v>#N/A</v>
      </c>
    </row>
    <row r="537" spans="1:16" ht="15.75" customHeight="1" x14ac:dyDescent="0.25">
      <c r="A537" s="212" t="s">
        <v>14366</v>
      </c>
      <c r="B537" s="212" t="s">
        <v>2599</v>
      </c>
      <c r="C537" s="212"/>
      <c r="D537" s="226" t="s">
        <v>15105</v>
      </c>
      <c r="E537" s="212" t="s">
        <v>647</v>
      </c>
      <c r="F537" s="212" t="s">
        <v>12688</v>
      </c>
      <c r="G537" s="227" t="s">
        <v>13286</v>
      </c>
      <c r="H537" s="228">
        <v>9052</v>
      </c>
      <c r="I537" s="208">
        <v>22.5</v>
      </c>
      <c r="J537" s="211"/>
      <c r="K537" s="209">
        <v>0</v>
      </c>
      <c r="L537" s="212"/>
      <c r="M537" s="212" t="e">
        <f>VLOOKUP(Table12[[#This Row],[ROUTE]],DEMAND!A:F,5,FALSE)</f>
        <v>#N/A</v>
      </c>
      <c r="N537" s="212" t="e">
        <f>VLOOKUP(Table12[[#This Row],[ROUTE]],DEMAND!A:F,6,FALSE)</f>
        <v>#N/A</v>
      </c>
      <c r="O537" s="212" t="e">
        <f>ROUNDDOWN(Table12[[#This Row],[R-DEMAND]]/1320,0)</f>
        <v>#N/A</v>
      </c>
      <c r="P537" s="212" t="e">
        <f>Table12[[#This Row],[ADD ACC]]*Table12[[#This Row],[RT TIME 
(777-500ER)]]</f>
        <v>#N/A</v>
      </c>
    </row>
    <row r="538" spans="1:16" ht="15.75" customHeight="1" x14ac:dyDescent="0.25">
      <c r="A538" s="212" t="s">
        <v>14572</v>
      </c>
      <c r="B538" s="212" t="s">
        <v>590</v>
      </c>
      <c r="C538" s="212"/>
      <c r="D538" s="226">
        <v>1</v>
      </c>
      <c r="E538" s="212" t="s">
        <v>588</v>
      </c>
      <c r="F538" s="212" t="s">
        <v>12674</v>
      </c>
      <c r="G538" s="227" t="s">
        <v>9615</v>
      </c>
      <c r="H538" s="228">
        <v>1332</v>
      </c>
      <c r="I538" s="208">
        <v>5</v>
      </c>
      <c r="J538" s="211"/>
      <c r="K538" s="209">
        <v>0</v>
      </c>
      <c r="L538" s="212"/>
      <c r="M538" s="212" t="e">
        <f>VLOOKUP(Table12[[#This Row],[ROUTE]],DEMAND!A:F,5,FALSE)</f>
        <v>#N/A</v>
      </c>
      <c r="N538" s="212" t="e">
        <f>VLOOKUP(Table12[[#This Row],[ROUTE]],DEMAND!A:F,6,FALSE)</f>
        <v>#N/A</v>
      </c>
      <c r="O538" s="212" t="e">
        <f>ROUNDDOWN(Table12[[#This Row],[R-DEMAND]]/1320,0)</f>
        <v>#N/A</v>
      </c>
      <c r="P538" s="212" t="e">
        <f>Table12[[#This Row],[ADD ACC]]*Table12[[#This Row],[RT TIME 
(777-500ER)]]</f>
        <v>#N/A</v>
      </c>
    </row>
    <row r="539" spans="1:16" ht="15.75" customHeight="1" x14ac:dyDescent="0.25">
      <c r="A539" s="212" t="s">
        <v>14958</v>
      </c>
      <c r="B539" s="212" t="s">
        <v>1755</v>
      </c>
      <c r="C539" s="212"/>
      <c r="D539" s="226">
        <v>1</v>
      </c>
      <c r="E539" s="212" t="s">
        <v>1289</v>
      </c>
      <c r="F539" s="212" t="s">
        <v>12670</v>
      </c>
      <c r="G539" s="227" t="s">
        <v>11964</v>
      </c>
      <c r="H539" s="228">
        <v>4484</v>
      </c>
      <c r="I539" s="208">
        <v>12.25</v>
      </c>
      <c r="J539" s="211"/>
      <c r="K539" s="209">
        <v>0</v>
      </c>
      <c r="L539" s="212"/>
      <c r="M539" s="212" t="e">
        <f>VLOOKUP(Table12[[#This Row],[ROUTE]],DEMAND!A:F,5,FALSE)</f>
        <v>#N/A</v>
      </c>
      <c r="N539" s="212" t="e">
        <f>VLOOKUP(Table12[[#This Row],[ROUTE]],DEMAND!A:F,6,FALSE)</f>
        <v>#N/A</v>
      </c>
      <c r="O539" s="212" t="e">
        <f>ROUNDDOWN(Table12[[#This Row],[R-DEMAND]]/1320,0)</f>
        <v>#N/A</v>
      </c>
      <c r="P539" s="212" t="e">
        <f>Table12[[#This Row],[ADD ACC]]*Table12[[#This Row],[RT TIME 
(777-500ER)]]</f>
        <v>#N/A</v>
      </c>
    </row>
    <row r="540" spans="1:16" ht="15.75" customHeight="1" x14ac:dyDescent="0.25">
      <c r="A540" s="212" t="s">
        <v>14491</v>
      </c>
      <c r="B540" s="212" t="s">
        <v>4962</v>
      </c>
      <c r="C540" s="212"/>
      <c r="D540" s="226">
        <v>3</v>
      </c>
      <c r="E540" s="212" t="s">
        <v>1377</v>
      </c>
      <c r="F540" s="212" t="s">
        <v>12674</v>
      </c>
      <c r="G540" s="227" t="s">
        <v>11927</v>
      </c>
      <c r="H540" s="228">
        <v>1885</v>
      </c>
      <c r="I540" s="208">
        <v>6.25</v>
      </c>
      <c r="J540" s="211"/>
      <c r="K540" s="209">
        <v>0</v>
      </c>
      <c r="L540" s="212"/>
      <c r="M540" s="212" t="e">
        <f>VLOOKUP(Table12[[#This Row],[ROUTE]],DEMAND!A:F,5,FALSE)</f>
        <v>#N/A</v>
      </c>
      <c r="N540" s="212" t="e">
        <f>VLOOKUP(Table12[[#This Row],[ROUTE]],DEMAND!A:F,6,FALSE)</f>
        <v>#N/A</v>
      </c>
      <c r="O540" s="212" t="e">
        <f>ROUNDDOWN(Table12[[#This Row],[R-DEMAND]]/1320,0)</f>
        <v>#N/A</v>
      </c>
      <c r="P540" s="212" t="e">
        <f>Table12[[#This Row],[ADD ACC]]*Table12[[#This Row],[RT TIME 
(777-500ER)]]</f>
        <v>#N/A</v>
      </c>
    </row>
    <row r="541" spans="1:16" ht="15.75" customHeight="1" x14ac:dyDescent="0.25">
      <c r="A541" s="212" t="s">
        <v>14935</v>
      </c>
      <c r="B541" s="212" t="s">
        <v>4447</v>
      </c>
      <c r="C541" s="212"/>
      <c r="D541" s="226">
        <v>2</v>
      </c>
      <c r="E541" s="212" t="s">
        <v>700</v>
      </c>
      <c r="F541" s="212" t="s">
        <v>12670</v>
      </c>
      <c r="G541" s="227" t="s">
        <v>11884</v>
      </c>
      <c r="H541" s="228">
        <v>2053</v>
      </c>
      <c r="I541" s="208">
        <v>6.75</v>
      </c>
      <c r="J541" s="211"/>
      <c r="K541" s="209">
        <v>0</v>
      </c>
      <c r="L541" s="212"/>
      <c r="M541" s="212" t="e">
        <f>VLOOKUP(Table12[[#This Row],[ROUTE]],DEMAND!A:F,5,FALSE)</f>
        <v>#N/A</v>
      </c>
      <c r="N541" s="212" t="e">
        <f>VLOOKUP(Table12[[#This Row],[ROUTE]],DEMAND!A:F,6,FALSE)</f>
        <v>#N/A</v>
      </c>
      <c r="O541" s="212" t="e">
        <f>ROUNDDOWN(Table12[[#This Row],[R-DEMAND]]/1320,0)</f>
        <v>#N/A</v>
      </c>
      <c r="P541" s="212" t="e">
        <f>Table12[[#This Row],[ADD ACC]]*Table12[[#This Row],[RT TIME 
(777-500ER)]]</f>
        <v>#N/A</v>
      </c>
    </row>
    <row r="542" spans="1:16" ht="15.75" customHeight="1" x14ac:dyDescent="0.25">
      <c r="A542" s="212" t="s">
        <v>15008</v>
      </c>
      <c r="B542" s="212" t="s">
        <v>293</v>
      </c>
      <c r="C542" s="212"/>
      <c r="D542" s="226">
        <v>2</v>
      </c>
      <c r="E542" s="212" t="s">
        <v>1135</v>
      </c>
      <c r="F542" s="212" t="s">
        <v>12671</v>
      </c>
      <c r="G542" s="227" t="s">
        <v>11960</v>
      </c>
      <c r="H542" s="228">
        <v>7462</v>
      </c>
      <c r="I542" s="208">
        <v>18.75</v>
      </c>
      <c r="J542" s="211"/>
      <c r="K542" s="209">
        <v>0</v>
      </c>
      <c r="L542" s="212"/>
      <c r="M542" s="212" t="e">
        <f>VLOOKUP(Table12[[#This Row],[ROUTE]],DEMAND!A:F,5,FALSE)</f>
        <v>#N/A</v>
      </c>
      <c r="N542" s="212" t="e">
        <f>VLOOKUP(Table12[[#This Row],[ROUTE]],DEMAND!A:F,6,FALSE)</f>
        <v>#N/A</v>
      </c>
      <c r="O542" s="212" t="e">
        <f>ROUNDDOWN(Table12[[#This Row],[R-DEMAND]]/1320,0)</f>
        <v>#N/A</v>
      </c>
      <c r="P542" s="212" t="e">
        <f>Table12[[#This Row],[ADD ACC]]*Table12[[#This Row],[RT TIME 
(777-500ER)]]</f>
        <v>#N/A</v>
      </c>
    </row>
    <row r="543" spans="1:16" ht="15.75" customHeight="1" x14ac:dyDescent="0.25">
      <c r="A543" s="212" t="s">
        <v>14532</v>
      </c>
      <c r="B543" s="212" t="s">
        <v>5343</v>
      </c>
      <c r="C543" s="212"/>
      <c r="D543" s="226">
        <v>3</v>
      </c>
      <c r="E543" s="212" t="s">
        <v>1427</v>
      </c>
      <c r="F543" s="212" t="s">
        <v>12674</v>
      </c>
      <c r="G543" s="227" t="s">
        <v>11762</v>
      </c>
      <c r="H543" s="228">
        <v>1862</v>
      </c>
      <c r="I543" s="208">
        <v>6.25</v>
      </c>
      <c r="J543" s="211"/>
      <c r="K543" s="209">
        <v>0</v>
      </c>
      <c r="L543" s="212"/>
      <c r="M543" s="212" t="e">
        <f>VLOOKUP(Table12[[#This Row],[ROUTE]],DEMAND!A:F,5,FALSE)</f>
        <v>#N/A</v>
      </c>
      <c r="N543" s="212" t="e">
        <f>VLOOKUP(Table12[[#This Row],[ROUTE]],DEMAND!A:F,6,FALSE)</f>
        <v>#N/A</v>
      </c>
      <c r="O543" s="212" t="e">
        <f>ROUNDDOWN(Table12[[#This Row],[R-DEMAND]]/1320,0)</f>
        <v>#N/A</v>
      </c>
      <c r="P543" s="212" t="e">
        <f>Table12[[#This Row],[ADD ACC]]*Table12[[#This Row],[RT TIME 
(777-500ER)]]</f>
        <v>#N/A</v>
      </c>
    </row>
    <row r="544" spans="1:16" ht="15.75" customHeight="1" x14ac:dyDescent="0.25">
      <c r="A544" s="212" t="s">
        <v>14871</v>
      </c>
      <c r="B544" s="212" t="s">
        <v>3906</v>
      </c>
      <c r="C544" s="212"/>
      <c r="D544" s="226">
        <v>2</v>
      </c>
      <c r="E544" s="212" t="s">
        <v>172</v>
      </c>
      <c r="F544" s="212" t="s">
        <v>12670</v>
      </c>
      <c r="G544" s="227" t="s">
        <v>9572</v>
      </c>
      <c r="H544" s="228">
        <v>3125</v>
      </c>
      <c r="I544" s="208">
        <v>9.25</v>
      </c>
      <c r="J544" s="211"/>
      <c r="K544" s="209">
        <v>0</v>
      </c>
      <c r="L544" s="212"/>
      <c r="M544" s="212" t="e">
        <f>VLOOKUP(Table12[[#This Row],[ROUTE]],DEMAND!A:F,5,FALSE)</f>
        <v>#N/A</v>
      </c>
      <c r="N544" s="212" t="e">
        <f>VLOOKUP(Table12[[#This Row],[ROUTE]],DEMAND!A:F,6,FALSE)</f>
        <v>#N/A</v>
      </c>
      <c r="O544" s="212" t="e">
        <f>ROUNDDOWN(Table12[[#This Row],[R-DEMAND]]/1320,0)</f>
        <v>#N/A</v>
      </c>
      <c r="P544" s="212" t="e">
        <f>Table12[[#This Row],[ADD ACC]]*Table12[[#This Row],[RT TIME 
(777-500ER)]]</f>
        <v>#N/A</v>
      </c>
    </row>
    <row r="545" spans="1:16" ht="15.75" customHeight="1" x14ac:dyDescent="0.25">
      <c r="A545" s="212" t="s">
        <v>14869</v>
      </c>
      <c r="B545" s="212" t="s">
        <v>902</v>
      </c>
      <c r="C545" s="212"/>
      <c r="D545" s="226">
        <v>1</v>
      </c>
      <c r="E545" s="212" t="s">
        <v>172</v>
      </c>
      <c r="F545" s="212" t="s">
        <v>12670</v>
      </c>
      <c r="G545" s="227" t="s">
        <v>11935</v>
      </c>
      <c r="H545" s="228">
        <v>3120</v>
      </c>
      <c r="I545" s="208">
        <v>9</v>
      </c>
      <c r="J545" s="211"/>
      <c r="K545" s="209">
        <v>0</v>
      </c>
      <c r="L545" s="212"/>
      <c r="M545" s="212" t="e">
        <f>VLOOKUP(Table12[[#This Row],[ROUTE]],DEMAND!A:F,5,FALSE)</f>
        <v>#N/A</v>
      </c>
      <c r="N545" s="212" t="e">
        <f>VLOOKUP(Table12[[#This Row],[ROUTE]],DEMAND!A:F,6,FALSE)</f>
        <v>#N/A</v>
      </c>
      <c r="O545" s="212" t="e">
        <f>ROUNDDOWN(Table12[[#This Row],[R-DEMAND]]/1320,0)</f>
        <v>#N/A</v>
      </c>
      <c r="P545" s="212" t="e">
        <f>Table12[[#This Row],[ADD ACC]]*Table12[[#This Row],[RT TIME 
(777-500ER)]]</f>
        <v>#N/A</v>
      </c>
    </row>
    <row r="546" spans="1:16" ht="15.75" customHeight="1" x14ac:dyDescent="0.25">
      <c r="A546" s="212" t="s">
        <v>14349</v>
      </c>
      <c r="B546" s="212" t="s">
        <v>3532</v>
      </c>
      <c r="C546" s="212"/>
      <c r="D546" s="226" t="s">
        <v>15105</v>
      </c>
      <c r="E546" s="212" t="s">
        <v>647</v>
      </c>
      <c r="F546" s="212" t="s">
        <v>12688</v>
      </c>
      <c r="G546" s="227" t="s">
        <v>13281</v>
      </c>
      <c r="H546" s="228">
        <v>8855</v>
      </c>
      <c r="I546" s="208">
        <v>22</v>
      </c>
      <c r="J546" s="211"/>
      <c r="K546" s="209">
        <v>0</v>
      </c>
      <c r="L546" s="212"/>
      <c r="M546" s="212" t="e">
        <f>VLOOKUP(Table12[[#This Row],[ROUTE]],DEMAND!A:F,5,FALSE)</f>
        <v>#N/A</v>
      </c>
      <c r="N546" s="212" t="e">
        <f>VLOOKUP(Table12[[#This Row],[ROUTE]],DEMAND!A:F,6,FALSE)</f>
        <v>#N/A</v>
      </c>
      <c r="O546" s="212" t="e">
        <f>ROUNDDOWN(Table12[[#This Row],[R-DEMAND]]/1320,0)</f>
        <v>#N/A</v>
      </c>
      <c r="P546" s="212" t="e">
        <f>Table12[[#This Row],[ADD ACC]]*Table12[[#This Row],[RT TIME 
(777-500ER)]]</f>
        <v>#N/A</v>
      </c>
    </row>
    <row r="547" spans="1:16" ht="15.75" customHeight="1" x14ac:dyDescent="0.25">
      <c r="A547" s="212" t="s">
        <v>14542</v>
      </c>
      <c r="B547" s="212" t="s">
        <v>5010</v>
      </c>
      <c r="C547" s="212"/>
      <c r="D547" s="226"/>
      <c r="E547" s="212" t="s">
        <v>1427</v>
      </c>
      <c r="F547" s="212" t="s">
        <v>12674</v>
      </c>
      <c r="G547" s="227" t="s">
        <v>14214</v>
      </c>
      <c r="H547" s="228">
        <v>2134</v>
      </c>
      <c r="I547" s="208">
        <v>7</v>
      </c>
      <c r="J547" s="211"/>
      <c r="K547" s="209">
        <v>0</v>
      </c>
      <c r="L547" s="212"/>
      <c r="M547" s="212" t="e">
        <f>VLOOKUP(Table12[[#This Row],[ROUTE]],DEMAND!A:F,5,FALSE)</f>
        <v>#N/A</v>
      </c>
      <c r="N547" s="212" t="e">
        <f>VLOOKUP(Table12[[#This Row],[ROUTE]],DEMAND!A:F,6,FALSE)</f>
        <v>#N/A</v>
      </c>
      <c r="O547" s="212" t="e">
        <f>ROUNDDOWN(Table12[[#This Row],[R-DEMAND]]/1320,0)</f>
        <v>#N/A</v>
      </c>
      <c r="P547" s="212" t="e">
        <f>Table12[[#This Row],[ADD ACC]]*Table12[[#This Row],[RT TIME 
(777-500ER)]]</f>
        <v>#N/A</v>
      </c>
    </row>
    <row r="548" spans="1:16" ht="15.75" customHeight="1" x14ac:dyDescent="0.25">
      <c r="A548" s="212" t="s">
        <v>15071</v>
      </c>
      <c r="B548" s="212" t="s">
        <v>273</v>
      </c>
      <c r="C548" s="212"/>
      <c r="D548" s="226">
        <v>2</v>
      </c>
      <c r="E548" s="212" t="s">
        <v>926</v>
      </c>
      <c r="F548" s="212" t="s">
        <v>12671</v>
      </c>
      <c r="G548" s="227" t="s">
        <v>11889</v>
      </c>
      <c r="H548" s="228">
        <v>9097</v>
      </c>
      <c r="I548" s="208">
        <v>22.5</v>
      </c>
      <c r="J548" s="211"/>
      <c r="K548" s="209">
        <v>0</v>
      </c>
      <c r="L548" s="212"/>
      <c r="M548" s="212" t="e">
        <f>VLOOKUP(Table12[[#This Row],[ROUTE]],DEMAND!A:F,5,FALSE)</f>
        <v>#N/A</v>
      </c>
      <c r="N548" s="212" t="e">
        <f>VLOOKUP(Table12[[#This Row],[ROUTE]],DEMAND!A:F,6,FALSE)</f>
        <v>#N/A</v>
      </c>
      <c r="O548" s="212" t="e">
        <f>ROUNDDOWN(Table12[[#This Row],[R-DEMAND]]/1320,0)</f>
        <v>#N/A</v>
      </c>
      <c r="P548" s="212" t="e">
        <f>Table12[[#This Row],[ADD ACC]]*Table12[[#This Row],[RT TIME 
(777-500ER)]]</f>
        <v>#N/A</v>
      </c>
    </row>
    <row r="549" spans="1:16" ht="15.75" customHeight="1" x14ac:dyDescent="0.25">
      <c r="A549" s="212" t="s">
        <v>14985</v>
      </c>
      <c r="B549" s="212" t="s">
        <v>3984</v>
      </c>
      <c r="C549" s="212"/>
      <c r="D549" s="226">
        <v>2</v>
      </c>
      <c r="E549" s="212" t="s">
        <v>493</v>
      </c>
      <c r="F549" s="212" t="s">
        <v>12671</v>
      </c>
      <c r="G549" s="227" t="s">
        <v>11731</v>
      </c>
      <c r="H549" s="228">
        <v>3618</v>
      </c>
      <c r="I549" s="208">
        <v>10.25</v>
      </c>
      <c r="J549" s="211"/>
      <c r="K549" s="209">
        <v>0</v>
      </c>
      <c r="L549" s="212"/>
      <c r="M549" s="212" t="e">
        <f>VLOOKUP(Table12[[#This Row],[ROUTE]],DEMAND!A:F,5,FALSE)</f>
        <v>#N/A</v>
      </c>
      <c r="N549" s="212" t="e">
        <f>VLOOKUP(Table12[[#This Row],[ROUTE]],DEMAND!A:F,6,FALSE)</f>
        <v>#N/A</v>
      </c>
      <c r="O549" s="212" t="e">
        <f>ROUNDDOWN(Table12[[#This Row],[R-DEMAND]]/1320,0)</f>
        <v>#N/A</v>
      </c>
      <c r="P549" s="212" t="e">
        <f>Table12[[#This Row],[ADD ACC]]*Table12[[#This Row],[RT TIME 
(777-500ER)]]</f>
        <v>#N/A</v>
      </c>
    </row>
    <row r="550" spans="1:16" ht="15.75" customHeight="1" x14ac:dyDescent="0.25">
      <c r="A550" s="212" t="s">
        <v>14957</v>
      </c>
      <c r="B550" s="212" t="s">
        <v>1475</v>
      </c>
      <c r="C550" s="212"/>
      <c r="D550" s="226">
        <v>1</v>
      </c>
      <c r="E550" s="212" t="s">
        <v>1289</v>
      </c>
      <c r="F550" s="212" t="s">
        <v>12670</v>
      </c>
      <c r="G550" s="227" t="s">
        <v>11942</v>
      </c>
      <c r="H550" s="228">
        <v>4542</v>
      </c>
      <c r="I550" s="208">
        <v>12.25</v>
      </c>
      <c r="J550" s="211"/>
      <c r="K550" s="209">
        <v>0</v>
      </c>
      <c r="L550" s="212"/>
      <c r="M550" s="212" t="e">
        <f>VLOOKUP(Table12[[#This Row],[ROUTE]],DEMAND!A:F,5,FALSE)</f>
        <v>#N/A</v>
      </c>
      <c r="N550" s="212" t="e">
        <f>VLOOKUP(Table12[[#This Row],[ROUTE]],DEMAND!A:F,6,FALSE)</f>
        <v>#N/A</v>
      </c>
      <c r="O550" s="212" t="e">
        <f>ROUNDDOWN(Table12[[#This Row],[R-DEMAND]]/1320,0)</f>
        <v>#N/A</v>
      </c>
      <c r="P550" s="212" t="e">
        <f>Table12[[#This Row],[ADD ACC]]*Table12[[#This Row],[RT TIME 
(777-500ER)]]</f>
        <v>#N/A</v>
      </c>
    </row>
    <row r="551" spans="1:16" ht="15.75" customHeight="1" x14ac:dyDescent="0.25">
      <c r="A551" s="212" t="s">
        <v>14877</v>
      </c>
      <c r="B551" s="212" t="s">
        <v>1703</v>
      </c>
      <c r="C551" s="212"/>
      <c r="D551" s="226">
        <v>1</v>
      </c>
      <c r="E551" s="212" t="s">
        <v>172</v>
      </c>
      <c r="F551" s="212" t="s">
        <v>12670</v>
      </c>
      <c r="G551" s="227" t="s">
        <v>11952</v>
      </c>
      <c r="H551" s="228">
        <v>3480</v>
      </c>
      <c r="I551" s="208">
        <v>10</v>
      </c>
      <c r="J551" s="211"/>
      <c r="K551" s="209">
        <v>0</v>
      </c>
      <c r="L551" s="212"/>
      <c r="M551" s="212" t="e">
        <f>VLOOKUP(Table12[[#This Row],[ROUTE]],DEMAND!A:F,5,FALSE)</f>
        <v>#N/A</v>
      </c>
      <c r="N551" s="212" t="e">
        <f>VLOOKUP(Table12[[#This Row],[ROUTE]],DEMAND!A:F,6,FALSE)</f>
        <v>#N/A</v>
      </c>
      <c r="O551" s="212" t="e">
        <f>ROUNDDOWN(Table12[[#This Row],[R-DEMAND]]/1320,0)</f>
        <v>#N/A</v>
      </c>
      <c r="P551" s="212" t="e">
        <f>Table12[[#This Row],[ADD ACC]]*Table12[[#This Row],[RT TIME 
(777-500ER)]]</f>
        <v>#N/A</v>
      </c>
    </row>
    <row r="552" spans="1:16" ht="15.75" customHeight="1" x14ac:dyDescent="0.25">
      <c r="A552" s="212" t="s">
        <v>14444</v>
      </c>
      <c r="B552" s="212" t="s">
        <v>4391</v>
      </c>
      <c r="C552" s="212"/>
      <c r="D552" s="226">
        <v>2</v>
      </c>
      <c r="E552" s="212" t="s">
        <v>683</v>
      </c>
      <c r="F552" s="212" t="s">
        <v>12688</v>
      </c>
      <c r="G552" s="227" t="s">
        <v>13192</v>
      </c>
      <c r="H552" s="228">
        <v>9535</v>
      </c>
      <c r="I552" s="208">
        <v>23.5</v>
      </c>
      <c r="J552" s="211"/>
      <c r="K552" s="209">
        <v>0</v>
      </c>
      <c r="L552" s="212"/>
      <c r="M552" s="212" t="e">
        <f>VLOOKUP(Table12[[#This Row],[ROUTE]],DEMAND!A:F,5,FALSE)</f>
        <v>#N/A</v>
      </c>
      <c r="N552" s="212" t="e">
        <f>VLOOKUP(Table12[[#This Row],[ROUTE]],DEMAND!A:F,6,FALSE)</f>
        <v>#N/A</v>
      </c>
      <c r="O552" s="212" t="e">
        <f>ROUNDDOWN(Table12[[#This Row],[R-DEMAND]]/1320,0)</f>
        <v>#N/A</v>
      </c>
      <c r="P552" s="212" t="e">
        <f>Table12[[#This Row],[ADD ACC]]*Table12[[#This Row],[RT TIME 
(777-500ER)]]</f>
        <v>#N/A</v>
      </c>
    </row>
    <row r="553" spans="1:16" ht="15.75" customHeight="1" x14ac:dyDescent="0.25">
      <c r="A553" s="212" t="s">
        <v>15096</v>
      </c>
      <c r="B553" s="212" t="s">
        <v>266</v>
      </c>
      <c r="C553" s="212" t="s">
        <v>11122</v>
      </c>
      <c r="D553" s="226"/>
      <c r="E553" s="212" t="s">
        <v>542</v>
      </c>
      <c r="F553" s="212" t="s">
        <v>12671</v>
      </c>
      <c r="G553" s="227" t="s">
        <v>11906</v>
      </c>
      <c r="H553" s="228">
        <v>8182</v>
      </c>
      <c r="I553" s="208">
        <v>20.5</v>
      </c>
      <c r="J553" s="211">
        <v>205034151</v>
      </c>
      <c r="K553" s="209">
        <v>54284.922160444796</v>
      </c>
      <c r="L553" s="212">
        <v>3777</v>
      </c>
      <c r="M553" s="212" t="e">
        <f>VLOOKUP(Table12[[#This Row],[ROUTE]],DEMAND!A:F,5,FALSE)</f>
        <v>#N/A</v>
      </c>
      <c r="N553" s="212" t="e">
        <f>VLOOKUP(Table12[[#This Row],[ROUTE]],DEMAND!A:F,6,FALSE)</f>
        <v>#N/A</v>
      </c>
      <c r="O553" s="212" t="e">
        <f>ROUNDDOWN(Table12[[#This Row],[R-DEMAND]]/1320,0)</f>
        <v>#N/A</v>
      </c>
      <c r="P553" s="212" t="e">
        <f>Table12[[#This Row],[ADD ACC]]*Table12[[#This Row],[RT TIME 
(777-500ER)]]</f>
        <v>#N/A</v>
      </c>
    </row>
    <row r="554" spans="1:16" ht="15.75" customHeight="1" x14ac:dyDescent="0.25">
      <c r="A554" s="212" t="s">
        <v>14981</v>
      </c>
      <c r="B554" s="212" t="s">
        <v>1643</v>
      </c>
      <c r="C554" s="212"/>
      <c r="D554" s="226">
        <v>1</v>
      </c>
      <c r="E554" s="212" t="s">
        <v>493</v>
      </c>
      <c r="F554" s="212" t="s">
        <v>12671</v>
      </c>
      <c r="G554" s="227" t="s">
        <v>11719</v>
      </c>
      <c r="H554" s="228">
        <v>3657</v>
      </c>
      <c r="I554" s="208">
        <v>10.25</v>
      </c>
      <c r="J554" s="211"/>
      <c r="K554" s="209">
        <v>0</v>
      </c>
      <c r="L554" s="212"/>
      <c r="M554" s="212" t="e">
        <f>VLOOKUP(Table12[[#This Row],[ROUTE]],DEMAND!A:F,5,FALSE)</f>
        <v>#N/A</v>
      </c>
      <c r="N554" s="212" t="e">
        <f>VLOOKUP(Table12[[#This Row],[ROUTE]],DEMAND!A:F,6,FALSE)</f>
        <v>#N/A</v>
      </c>
      <c r="O554" s="212" t="e">
        <f>ROUNDDOWN(Table12[[#This Row],[R-DEMAND]]/1320,0)</f>
        <v>#N/A</v>
      </c>
      <c r="P554" s="212" t="e">
        <f>Table12[[#This Row],[ADD ACC]]*Table12[[#This Row],[RT TIME 
(777-500ER)]]</f>
        <v>#N/A</v>
      </c>
    </row>
    <row r="555" spans="1:16" ht="15.75" customHeight="1" x14ac:dyDescent="0.25">
      <c r="A555" s="212" t="s">
        <v>14346</v>
      </c>
      <c r="B555" s="212" t="s">
        <v>4653</v>
      </c>
      <c r="C555" s="212"/>
      <c r="D555" s="226" t="s">
        <v>15106</v>
      </c>
      <c r="E555" s="212" t="s">
        <v>647</v>
      </c>
      <c r="F555" s="212" t="s">
        <v>12688</v>
      </c>
      <c r="G555" s="227" t="s">
        <v>13344</v>
      </c>
      <c r="H555" s="228">
        <v>8713</v>
      </c>
      <c r="I555" s="208">
        <v>21.75</v>
      </c>
      <c r="J555" s="211"/>
      <c r="K555" s="209">
        <v>0</v>
      </c>
      <c r="L555" s="212"/>
      <c r="M555" s="212" t="e">
        <f>VLOOKUP(Table12[[#This Row],[ROUTE]],DEMAND!A:F,5,FALSE)</f>
        <v>#N/A</v>
      </c>
      <c r="N555" s="212" t="e">
        <f>VLOOKUP(Table12[[#This Row],[ROUTE]],DEMAND!A:F,6,FALSE)</f>
        <v>#N/A</v>
      </c>
      <c r="O555" s="212" t="e">
        <f>ROUNDDOWN(Table12[[#This Row],[R-DEMAND]]/1320,0)</f>
        <v>#N/A</v>
      </c>
      <c r="P555" s="212" t="e">
        <f>Table12[[#This Row],[ADD ACC]]*Table12[[#This Row],[RT TIME 
(777-500ER)]]</f>
        <v>#N/A</v>
      </c>
    </row>
    <row r="556" spans="1:16" ht="15.75" customHeight="1" x14ac:dyDescent="0.25">
      <c r="A556" s="212" t="s">
        <v>14636</v>
      </c>
      <c r="B556" s="212" t="s">
        <v>2986</v>
      </c>
      <c r="C556" s="212"/>
      <c r="D556" s="226">
        <v>2</v>
      </c>
      <c r="E556" s="212" t="s">
        <v>78</v>
      </c>
      <c r="F556" s="212" t="s">
        <v>12674</v>
      </c>
      <c r="G556" s="227" t="s">
        <v>11980</v>
      </c>
      <c r="H556" s="228">
        <v>4729</v>
      </c>
      <c r="I556" s="208">
        <v>12.75</v>
      </c>
      <c r="J556" s="211"/>
      <c r="K556" s="209">
        <v>0</v>
      </c>
      <c r="L556" s="212"/>
      <c r="M556" s="212" t="e">
        <f>VLOOKUP(Table12[[#This Row],[ROUTE]],DEMAND!A:F,5,FALSE)</f>
        <v>#N/A</v>
      </c>
      <c r="N556" s="212" t="e">
        <f>VLOOKUP(Table12[[#This Row],[ROUTE]],DEMAND!A:F,6,FALSE)</f>
        <v>#N/A</v>
      </c>
      <c r="O556" s="212" t="e">
        <f>ROUNDDOWN(Table12[[#This Row],[R-DEMAND]]/1320,0)</f>
        <v>#N/A</v>
      </c>
      <c r="P556" s="212" t="e">
        <f>Table12[[#This Row],[ADD ACC]]*Table12[[#This Row],[RT TIME 
(777-500ER)]]</f>
        <v>#N/A</v>
      </c>
    </row>
    <row r="557" spans="1:16" ht="15.75" customHeight="1" x14ac:dyDescent="0.25">
      <c r="A557" s="212" t="s">
        <v>14704</v>
      </c>
      <c r="B557" s="212" t="s">
        <v>3235</v>
      </c>
      <c r="C557" s="212"/>
      <c r="D557" s="226">
        <v>2</v>
      </c>
      <c r="E557" s="212" t="s">
        <v>14</v>
      </c>
      <c r="F557" s="212" t="s">
        <v>12670</v>
      </c>
      <c r="G557" s="227" t="s">
        <v>9438</v>
      </c>
      <c r="H557" s="228">
        <v>3737</v>
      </c>
      <c r="I557" s="208">
        <v>10.5</v>
      </c>
      <c r="J557" s="211"/>
      <c r="K557" s="209">
        <v>0</v>
      </c>
      <c r="L557" s="212"/>
      <c r="M557" s="212" t="e">
        <f>VLOOKUP(Table12[[#This Row],[ROUTE]],DEMAND!A:F,5,FALSE)</f>
        <v>#N/A</v>
      </c>
      <c r="N557" s="212" t="e">
        <f>VLOOKUP(Table12[[#This Row],[ROUTE]],DEMAND!A:F,6,FALSE)</f>
        <v>#N/A</v>
      </c>
      <c r="O557" s="212" t="e">
        <f>ROUNDDOWN(Table12[[#This Row],[R-DEMAND]]/1320,0)</f>
        <v>#N/A</v>
      </c>
      <c r="P557" s="212" t="e">
        <f>Table12[[#This Row],[ADD ACC]]*Table12[[#This Row],[RT TIME 
(777-500ER)]]</f>
        <v>#N/A</v>
      </c>
    </row>
    <row r="558" spans="1:16" ht="15.75" customHeight="1" x14ac:dyDescent="0.25">
      <c r="A558" s="212" t="s">
        <v>14937</v>
      </c>
      <c r="B558" s="212" t="s">
        <v>3753</v>
      </c>
      <c r="C558" s="212"/>
      <c r="D558" s="226">
        <v>2</v>
      </c>
      <c r="E558" s="212" t="s">
        <v>700</v>
      </c>
      <c r="F558" s="212" t="s">
        <v>12670</v>
      </c>
      <c r="G558" s="227" t="s">
        <v>11874</v>
      </c>
      <c r="H558" s="228">
        <v>2122</v>
      </c>
      <c r="I558" s="208">
        <v>7</v>
      </c>
      <c r="J558" s="211"/>
      <c r="K558" s="209">
        <v>0</v>
      </c>
      <c r="L558" s="212"/>
      <c r="M558" s="212" t="e">
        <f>VLOOKUP(Table12[[#This Row],[ROUTE]],DEMAND!A:F,5,FALSE)</f>
        <v>#N/A</v>
      </c>
      <c r="N558" s="212" t="e">
        <f>VLOOKUP(Table12[[#This Row],[ROUTE]],DEMAND!A:F,6,FALSE)</f>
        <v>#N/A</v>
      </c>
      <c r="O558" s="212" t="e">
        <f>ROUNDDOWN(Table12[[#This Row],[R-DEMAND]]/1320,0)</f>
        <v>#N/A</v>
      </c>
      <c r="P558" s="212" t="e">
        <f>Table12[[#This Row],[ADD ACC]]*Table12[[#This Row],[RT TIME 
(777-500ER)]]</f>
        <v>#N/A</v>
      </c>
    </row>
    <row r="559" spans="1:16" ht="15.75" customHeight="1" x14ac:dyDescent="0.25">
      <c r="A559" s="212" t="s">
        <v>14840</v>
      </c>
      <c r="B559" s="212" t="s">
        <v>1267</v>
      </c>
      <c r="C559" s="212"/>
      <c r="D559" s="226">
        <v>1</v>
      </c>
      <c r="E559" s="212" t="s">
        <v>533</v>
      </c>
      <c r="F559" s="212" t="s">
        <v>12670</v>
      </c>
      <c r="G559" s="227" t="s">
        <v>11993</v>
      </c>
      <c r="H559" s="228">
        <v>3697</v>
      </c>
      <c r="I559" s="208">
        <v>10.5</v>
      </c>
      <c r="J559" s="211"/>
      <c r="K559" s="209">
        <v>0</v>
      </c>
      <c r="L559" s="212"/>
      <c r="M559" s="212" t="e">
        <f>VLOOKUP(Table12[[#This Row],[ROUTE]],DEMAND!A:F,5,FALSE)</f>
        <v>#N/A</v>
      </c>
      <c r="N559" s="212" t="e">
        <f>VLOOKUP(Table12[[#This Row],[ROUTE]],DEMAND!A:F,6,FALSE)</f>
        <v>#N/A</v>
      </c>
      <c r="O559" s="212" t="e">
        <f>ROUNDDOWN(Table12[[#This Row],[R-DEMAND]]/1320,0)</f>
        <v>#N/A</v>
      </c>
      <c r="P559" s="212" t="e">
        <f>Table12[[#This Row],[ADD ACC]]*Table12[[#This Row],[RT TIME 
(777-500ER)]]</f>
        <v>#N/A</v>
      </c>
    </row>
    <row r="560" spans="1:16" ht="15.75" customHeight="1" x14ac:dyDescent="0.25">
      <c r="A560" s="212" t="s">
        <v>14295</v>
      </c>
      <c r="B560" s="212" t="s">
        <v>811</v>
      </c>
      <c r="C560" s="212"/>
      <c r="D560" s="226" t="s">
        <v>15104</v>
      </c>
      <c r="E560" s="212" t="s">
        <v>647</v>
      </c>
      <c r="F560" s="212" t="s">
        <v>12688</v>
      </c>
      <c r="G560" s="227" t="s">
        <v>13323</v>
      </c>
      <c r="H560" s="228">
        <v>7558</v>
      </c>
      <c r="I560" s="208">
        <v>19</v>
      </c>
      <c r="J560" s="211"/>
      <c r="K560" s="209">
        <v>0</v>
      </c>
      <c r="L560" s="212"/>
      <c r="M560" s="212" t="e">
        <f>VLOOKUP(Table12[[#This Row],[ROUTE]],DEMAND!A:F,5,FALSE)</f>
        <v>#N/A</v>
      </c>
      <c r="N560" s="212" t="e">
        <f>VLOOKUP(Table12[[#This Row],[ROUTE]],DEMAND!A:F,6,FALSE)</f>
        <v>#N/A</v>
      </c>
      <c r="O560" s="212" t="e">
        <f>ROUNDDOWN(Table12[[#This Row],[R-DEMAND]]/1320,0)</f>
        <v>#N/A</v>
      </c>
      <c r="P560" s="212" t="e">
        <f>Table12[[#This Row],[ADD ACC]]*Table12[[#This Row],[RT TIME 
(777-500ER)]]</f>
        <v>#N/A</v>
      </c>
    </row>
    <row r="561" spans="1:16" ht="15.75" customHeight="1" x14ac:dyDescent="0.25">
      <c r="A561" s="212" t="s">
        <v>14986</v>
      </c>
      <c r="B561" s="212" t="s">
        <v>3008</v>
      </c>
      <c r="C561" s="212"/>
      <c r="D561" s="226">
        <v>2</v>
      </c>
      <c r="E561" s="212" t="s">
        <v>493</v>
      </c>
      <c r="F561" s="212" t="s">
        <v>12671</v>
      </c>
      <c r="G561" s="227" t="s">
        <v>11764</v>
      </c>
      <c r="H561" s="228">
        <v>3788</v>
      </c>
      <c r="I561" s="208">
        <v>10.5</v>
      </c>
      <c r="J561" s="211"/>
      <c r="K561" s="209">
        <v>0</v>
      </c>
      <c r="L561" s="212"/>
      <c r="M561" s="212" t="e">
        <f>VLOOKUP(Table12[[#This Row],[ROUTE]],DEMAND!A:F,5,FALSE)</f>
        <v>#N/A</v>
      </c>
      <c r="N561" s="212" t="e">
        <f>VLOOKUP(Table12[[#This Row],[ROUTE]],DEMAND!A:F,6,FALSE)</f>
        <v>#N/A</v>
      </c>
      <c r="O561" s="212" t="e">
        <f>ROUNDDOWN(Table12[[#This Row],[R-DEMAND]]/1320,0)</f>
        <v>#N/A</v>
      </c>
      <c r="P561" s="212" t="e">
        <f>Table12[[#This Row],[ADD ACC]]*Table12[[#This Row],[RT TIME 
(777-500ER)]]</f>
        <v>#N/A</v>
      </c>
    </row>
    <row r="562" spans="1:16" ht="15.75" customHeight="1" x14ac:dyDescent="0.25">
      <c r="A562" s="212" t="s">
        <v>14654</v>
      </c>
      <c r="B562" s="212" t="s">
        <v>5333</v>
      </c>
      <c r="C562" s="212"/>
      <c r="D562" s="226">
        <v>3</v>
      </c>
      <c r="E562" s="212" t="s">
        <v>119</v>
      </c>
      <c r="F562" s="212" t="s">
        <v>12674</v>
      </c>
      <c r="G562" s="227" t="s">
        <v>9386</v>
      </c>
      <c r="H562" s="228">
        <v>3262</v>
      </c>
      <c r="I562" s="208">
        <v>9.5</v>
      </c>
      <c r="J562" s="211"/>
      <c r="K562" s="209">
        <v>0</v>
      </c>
      <c r="L562" s="212"/>
      <c r="M562" s="212" t="e">
        <f>VLOOKUP(Table12[[#This Row],[ROUTE]],DEMAND!A:F,5,FALSE)</f>
        <v>#N/A</v>
      </c>
      <c r="N562" s="212" t="e">
        <f>VLOOKUP(Table12[[#This Row],[ROUTE]],DEMAND!A:F,6,FALSE)</f>
        <v>#N/A</v>
      </c>
      <c r="O562" s="212" t="e">
        <f>ROUNDDOWN(Table12[[#This Row],[R-DEMAND]]/1320,0)</f>
        <v>#N/A</v>
      </c>
      <c r="P562" s="212" t="e">
        <f>Table12[[#This Row],[ADD ACC]]*Table12[[#This Row],[RT TIME 
(777-500ER)]]</f>
        <v>#N/A</v>
      </c>
    </row>
    <row r="563" spans="1:16" ht="15.75" customHeight="1" x14ac:dyDescent="0.25">
      <c r="A563" s="212" t="s">
        <v>14350</v>
      </c>
      <c r="B563" s="212" t="s">
        <v>4798</v>
      </c>
      <c r="C563" s="212"/>
      <c r="D563" s="226" t="s">
        <v>15106</v>
      </c>
      <c r="E563" s="212" t="s">
        <v>647</v>
      </c>
      <c r="F563" s="212" t="s">
        <v>12688</v>
      </c>
      <c r="G563" s="227" t="s">
        <v>13302</v>
      </c>
      <c r="H563" s="228">
        <v>8836</v>
      </c>
      <c r="I563" s="208">
        <v>22</v>
      </c>
      <c r="J563" s="211"/>
      <c r="K563" s="209">
        <v>0</v>
      </c>
      <c r="L563" s="212"/>
      <c r="M563" s="212" t="e">
        <f>VLOOKUP(Table12[[#This Row],[ROUTE]],DEMAND!A:F,5,FALSE)</f>
        <v>#N/A</v>
      </c>
      <c r="N563" s="212" t="e">
        <f>VLOOKUP(Table12[[#This Row],[ROUTE]],DEMAND!A:F,6,FALSE)</f>
        <v>#N/A</v>
      </c>
      <c r="O563" s="212" t="e">
        <f>ROUNDDOWN(Table12[[#This Row],[R-DEMAND]]/1320,0)</f>
        <v>#N/A</v>
      </c>
      <c r="P563" s="212" t="e">
        <f>Table12[[#This Row],[ADD ACC]]*Table12[[#This Row],[RT TIME 
(777-500ER)]]</f>
        <v>#N/A</v>
      </c>
    </row>
    <row r="564" spans="1:16" ht="15.75" customHeight="1" x14ac:dyDescent="0.25">
      <c r="A564" s="212" t="s">
        <v>14799</v>
      </c>
      <c r="B564" s="212" t="s">
        <v>4935</v>
      </c>
      <c r="C564" s="212"/>
      <c r="D564" s="226">
        <v>3</v>
      </c>
      <c r="E564" s="212" t="s">
        <v>502</v>
      </c>
      <c r="F564" s="212" t="s">
        <v>12670</v>
      </c>
      <c r="G564" s="227" t="s">
        <v>11947</v>
      </c>
      <c r="H564" s="228">
        <v>2743</v>
      </c>
      <c r="I564" s="208">
        <v>8.25</v>
      </c>
      <c r="J564" s="211"/>
      <c r="K564" s="209">
        <v>0</v>
      </c>
      <c r="L564" s="212"/>
      <c r="M564" s="212" t="e">
        <f>VLOOKUP(Table12[[#This Row],[ROUTE]],DEMAND!A:F,5,FALSE)</f>
        <v>#N/A</v>
      </c>
      <c r="N564" s="212" t="e">
        <f>VLOOKUP(Table12[[#This Row],[ROUTE]],DEMAND!A:F,6,FALSE)</f>
        <v>#N/A</v>
      </c>
      <c r="O564" s="212" t="e">
        <f>ROUNDDOWN(Table12[[#This Row],[R-DEMAND]]/1320,0)</f>
        <v>#N/A</v>
      </c>
      <c r="P564" s="212" t="e">
        <f>Table12[[#This Row],[ADD ACC]]*Table12[[#This Row],[RT TIME 
(777-500ER)]]</f>
        <v>#N/A</v>
      </c>
    </row>
    <row r="565" spans="1:16" ht="15.75" customHeight="1" x14ac:dyDescent="0.25">
      <c r="A565" s="212" t="s">
        <v>14229</v>
      </c>
      <c r="B565" s="212" t="s">
        <v>4213</v>
      </c>
      <c r="C565" s="212"/>
      <c r="D565" s="226">
        <v>2</v>
      </c>
      <c r="E565" s="212" t="s">
        <v>505</v>
      </c>
      <c r="F565" s="212" t="s">
        <v>12694</v>
      </c>
      <c r="G565" s="227" t="s">
        <v>13143</v>
      </c>
      <c r="H565" s="228">
        <v>12485</v>
      </c>
      <c r="I565" s="208">
        <v>30</v>
      </c>
      <c r="J565" s="211"/>
      <c r="K565" s="209">
        <v>0</v>
      </c>
      <c r="L565" s="212"/>
      <c r="M565" s="212" t="e">
        <f>VLOOKUP(Table12[[#This Row],[ROUTE]],DEMAND!A:F,5,FALSE)</f>
        <v>#N/A</v>
      </c>
      <c r="N565" s="212" t="e">
        <f>VLOOKUP(Table12[[#This Row],[ROUTE]],DEMAND!A:F,6,FALSE)</f>
        <v>#N/A</v>
      </c>
      <c r="O565" s="212" t="e">
        <f>ROUNDDOWN(Table12[[#This Row],[R-DEMAND]]/1320,0)</f>
        <v>#N/A</v>
      </c>
      <c r="P565" s="212" t="e">
        <f>Table12[[#This Row],[ADD ACC]]*Table12[[#This Row],[RT TIME 
(777-500ER)]]</f>
        <v>#N/A</v>
      </c>
    </row>
    <row r="566" spans="1:16" ht="15.75" customHeight="1" x14ac:dyDescent="0.25">
      <c r="A566" s="212" t="s">
        <v>14797</v>
      </c>
      <c r="B566" s="212" t="s">
        <v>5283</v>
      </c>
      <c r="C566" s="212"/>
      <c r="D566" s="226">
        <v>3</v>
      </c>
      <c r="E566" s="212" t="s">
        <v>502</v>
      </c>
      <c r="F566" s="212" t="s">
        <v>12670</v>
      </c>
      <c r="G566" s="227" t="s">
        <v>11941</v>
      </c>
      <c r="H566" s="228">
        <v>2442</v>
      </c>
      <c r="I566" s="208">
        <v>7.5</v>
      </c>
      <c r="J566" s="211"/>
      <c r="K566" s="209">
        <v>0</v>
      </c>
      <c r="L566" s="212"/>
      <c r="M566" s="212" t="e">
        <f>VLOOKUP(Table12[[#This Row],[ROUTE]],DEMAND!A:F,5,FALSE)</f>
        <v>#N/A</v>
      </c>
      <c r="N566" s="212" t="e">
        <f>VLOOKUP(Table12[[#This Row],[ROUTE]],DEMAND!A:F,6,FALSE)</f>
        <v>#N/A</v>
      </c>
      <c r="O566" s="212" t="e">
        <f>ROUNDDOWN(Table12[[#This Row],[R-DEMAND]]/1320,0)</f>
        <v>#N/A</v>
      </c>
      <c r="P566" s="212" t="e">
        <f>Table12[[#This Row],[ADD ACC]]*Table12[[#This Row],[RT TIME 
(777-500ER)]]</f>
        <v>#N/A</v>
      </c>
    </row>
    <row r="567" spans="1:16" ht="15.75" customHeight="1" x14ac:dyDescent="0.25">
      <c r="A567" s="212" t="s">
        <v>14634</v>
      </c>
      <c r="B567" s="212" t="s">
        <v>1467</v>
      </c>
      <c r="C567" s="212"/>
      <c r="D567" s="226">
        <v>1</v>
      </c>
      <c r="E567" s="212" t="s">
        <v>78</v>
      </c>
      <c r="F567" s="212" t="s">
        <v>12674</v>
      </c>
      <c r="G567" s="227" t="s">
        <v>9359</v>
      </c>
      <c r="H567" s="228">
        <v>4324</v>
      </c>
      <c r="I567" s="208">
        <v>11.75</v>
      </c>
      <c r="J567" s="211"/>
      <c r="K567" s="209">
        <v>0</v>
      </c>
      <c r="L567" s="212"/>
      <c r="M567" s="212" t="e">
        <f>VLOOKUP(Table12[[#This Row],[ROUTE]],DEMAND!A:F,5,FALSE)</f>
        <v>#N/A</v>
      </c>
      <c r="N567" s="212" t="e">
        <f>VLOOKUP(Table12[[#This Row],[ROUTE]],DEMAND!A:F,6,FALSE)</f>
        <v>#N/A</v>
      </c>
      <c r="O567" s="212" t="e">
        <f>ROUNDDOWN(Table12[[#This Row],[R-DEMAND]]/1320,0)</f>
        <v>#N/A</v>
      </c>
      <c r="P567" s="212" t="e">
        <f>Table12[[#This Row],[ADD ACC]]*Table12[[#This Row],[RT TIME 
(777-500ER)]]</f>
        <v>#N/A</v>
      </c>
    </row>
    <row r="568" spans="1:16" ht="15.75" customHeight="1" x14ac:dyDescent="0.25">
      <c r="A568" s="212" t="s">
        <v>14632</v>
      </c>
      <c r="B568" s="212" t="s">
        <v>4582</v>
      </c>
      <c r="C568" s="212"/>
      <c r="D568" s="226">
        <v>2</v>
      </c>
      <c r="E568" s="212" t="s">
        <v>78</v>
      </c>
      <c r="F568" s="212" t="s">
        <v>12674</v>
      </c>
      <c r="G568" s="227" t="s">
        <v>9358</v>
      </c>
      <c r="H568" s="228">
        <v>4209</v>
      </c>
      <c r="I568" s="208">
        <v>11.5</v>
      </c>
      <c r="J568" s="211"/>
      <c r="K568" s="209">
        <v>0</v>
      </c>
      <c r="L568" s="212"/>
      <c r="M568" s="212" t="e">
        <f>VLOOKUP(Table12[[#This Row],[ROUTE]],DEMAND!A:F,5,FALSE)</f>
        <v>#N/A</v>
      </c>
      <c r="N568" s="212" t="e">
        <f>VLOOKUP(Table12[[#This Row],[ROUTE]],DEMAND!A:F,6,FALSE)</f>
        <v>#N/A</v>
      </c>
      <c r="O568" s="212" t="e">
        <f>ROUNDDOWN(Table12[[#This Row],[R-DEMAND]]/1320,0)</f>
        <v>#N/A</v>
      </c>
      <c r="P568" s="212" t="e">
        <f>Table12[[#This Row],[ADD ACC]]*Table12[[#This Row],[RT TIME 
(777-500ER)]]</f>
        <v>#N/A</v>
      </c>
    </row>
    <row r="569" spans="1:16" ht="15.75" customHeight="1" x14ac:dyDescent="0.25">
      <c r="A569" s="212" t="s">
        <v>14323</v>
      </c>
      <c r="B569" s="212" t="s">
        <v>5499</v>
      </c>
      <c r="C569" s="212"/>
      <c r="D569" s="226" t="s">
        <v>15107</v>
      </c>
      <c r="E569" s="212" t="s">
        <v>647</v>
      </c>
      <c r="F569" s="212" t="s">
        <v>12688</v>
      </c>
      <c r="G569" s="227" t="s">
        <v>13322</v>
      </c>
      <c r="H569" s="228">
        <v>8197</v>
      </c>
      <c r="I569" s="208">
        <v>20.5</v>
      </c>
      <c r="J569" s="211"/>
      <c r="K569" s="209">
        <v>0</v>
      </c>
      <c r="L569" s="212"/>
      <c r="M569" s="212" t="e">
        <f>VLOOKUP(Table12[[#This Row],[ROUTE]],DEMAND!A:F,5,FALSE)</f>
        <v>#N/A</v>
      </c>
      <c r="N569" s="212" t="e">
        <f>VLOOKUP(Table12[[#This Row],[ROUTE]],DEMAND!A:F,6,FALSE)</f>
        <v>#N/A</v>
      </c>
      <c r="O569" s="212" t="e">
        <f>ROUNDDOWN(Table12[[#This Row],[R-DEMAND]]/1320,0)</f>
        <v>#N/A</v>
      </c>
      <c r="P569" s="212" t="e">
        <f>Table12[[#This Row],[ADD ACC]]*Table12[[#This Row],[RT TIME 
(777-500ER)]]</f>
        <v>#N/A</v>
      </c>
    </row>
    <row r="570" spans="1:16" ht="15.75" customHeight="1" x14ac:dyDescent="0.25">
      <c r="A570" s="212" t="s">
        <v>14990</v>
      </c>
      <c r="B570" s="212" t="s">
        <v>1169</v>
      </c>
      <c r="C570" s="212"/>
      <c r="D570" s="226">
        <v>1</v>
      </c>
      <c r="E570" s="212" t="s">
        <v>493</v>
      </c>
      <c r="F570" s="212" t="s">
        <v>12671</v>
      </c>
      <c r="G570" s="227" t="s">
        <v>11715</v>
      </c>
      <c r="H570" s="228">
        <v>4222</v>
      </c>
      <c r="I570" s="208">
        <v>11.5</v>
      </c>
      <c r="J570" s="211"/>
      <c r="K570" s="209">
        <v>0</v>
      </c>
      <c r="L570" s="212"/>
      <c r="M570" s="212" t="e">
        <f>VLOOKUP(Table12[[#This Row],[ROUTE]],DEMAND!A:F,5,FALSE)</f>
        <v>#N/A</v>
      </c>
      <c r="N570" s="212" t="e">
        <f>VLOOKUP(Table12[[#This Row],[ROUTE]],DEMAND!A:F,6,FALSE)</f>
        <v>#N/A</v>
      </c>
      <c r="O570" s="212" t="e">
        <f>ROUNDDOWN(Table12[[#This Row],[R-DEMAND]]/1320,0)</f>
        <v>#N/A</v>
      </c>
      <c r="P570" s="212" t="e">
        <f>Table12[[#This Row],[ADD ACC]]*Table12[[#This Row],[RT TIME 
(777-500ER)]]</f>
        <v>#N/A</v>
      </c>
    </row>
    <row r="571" spans="1:16" ht="15.75" customHeight="1" x14ac:dyDescent="0.25">
      <c r="A571" s="212" t="s">
        <v>14244</v>
      </c>
      <c r="B571" s="212" t="s">
        <v>3964</v>
      </c>
      <c r="C571" s="212"/>
      <c r="D571" s="226">
        <v>2</v>
      </c>
      <c r="E571" s="212" t="s">
        <v>530</v>
      </c>
      <c r="F571" s="212" t="s">
        <v>12694</v>
      </c>
      <c r="G571" s="227" t="s">
        <v>13179</v>
      </c>
      <c r="H571" s="228">
        <v>13012</v>
      </c>
      <c r="I571" s="208">
        <v>31.25</v>
      </c>
      <c r="J571" s="211"/>
      <c r="K571" s="209">
        <v>0</v>
      </c>
      <c r="L571" s="212"/>
      <c r="M571" s="212" t="e">
        <f>VLOOKUP(Table12[[#This Row],[ROUTE]],DEMAND!A:F,5,FALSE)</f>
        <v>#N/A</v>
      </c>
      <c r="N571" s="212" t="e">
        <f>VLOOKUP(Table12[[#This Row],[ROUTE]],DEMAND!A:F,6,FALSE)</f>
        <v>#N/A</v>
      </c>
      <c r="O571" s="212" t="e">
        <f>ROUNDDOWN(Table12[[#This Row],[R-DEMAND]]/1320,0)</f>
        <v>#N/A</v>
      </c>
      <c r="P571" s="212" t="e">
        <f>Table12[[#This Row],[ADD ACC]]*Table12[[#This Row],[RT TIME 
(777-500ER)]]</f>
        <v>#N/A</v>
      </c>
    </row>
    <row r="572" spans="1:16" ht="15.75" customHeight="1" x14ac:dyDescent="0.25">
      <c r="A572" s="212" t="s">
        <v>14224</v>
      </c>
      <c r="B572" s="212" t="s">
        <v>1795</v>
      </c>
      <c r="C572" s="212"/>
      <c r="D572" s="226">
        <v>1</v>
      </c>
      <c r="E572" s="212" t="s">
        <v>505</v>
      </c>
      <c r="F572" s="212" t="s">
        <v>12694</v>
      </c>
      <c r="G572" s="227" t="s">
        <v>13136</v>
      </c>
      <c r="H572" s="228">
        <v>13566</v>
      </c>
      <c r="I572" s="208">
        <v>32.5</v>
      </c>
      <c r="J572" s="211"/>
      <c r="K572" s="209">
        <v>0</v>
      </c>
      <c r="L572" s="212"/>
      <c r="M572" s="212" t="e">
        <f>VLOOKUP(Table12[[#This Row],[ROUTE]],DEMAND!A:F,5,FALSE)</f>
        <v>#N/A</v>
      </c>
      <c r="N572" s="212" t="e">
        <f>VLOOKUP(Table12[[#This Row],[ROUTE]],DEMAND!A:F,6,FALSE)</f>
        <v>#N/A</v>
      </c>
      <c r="O572" s="212" t="e">
        <f>ROUNDDOWN(Table12[[#This Row],[R-DEMAND]]/1320,0)</f>
        <v>#N/A</v>
      </c>
      <c r="P572" s="212" t="e">
        <f>Table12[[#This Row],[ADD ACC]]*Table12[[#This Row],[RT TIME 
(777-500ER)]]</f>
        <v>#N/A</v>
      </c>
    </row>
    <row r="573" spans="1:16" ht="15.75" customHeight="1" x14ac:dyDescent="0.25">
      <c r="A573" s="212" t="s">
        <v>14933</v>
      </c>
      <c r="B573" s="212" t="s">
        <v>1211</v>
      </c>
      <c r="C573" s="212"/>
      <c r="D573" s="226">
        <v>1</v>
      </c>
      <c r="E573" s="212" t="s">
        <v>700</v>
      </c>
      <c r="F573" s="212" t="s">
        <v>12670</v>
      </c>
      <c r="G573" s="227" t="s">
        <v>11854</v>
      </c>
      <c r="H573" s="228">
        <v>2032</v>
      </c>
      <c r="I573" s="208">
        <v>6.75</v>
      </c>
      <c r="J573" s="211"/>
      <c r="K573" s="209">
        <v>0</v>
      </c>
      <c r="L573" s="212"/>
      <c r="M573" s="212" t="e">
        <f>VLOOKUP(Table12[[#This Row],[ROUTE]],DEMAND!A:F,5,FALSE)</f>
        <v>#N/A</v>
      </c>
      <c r="N573" s="212" t="e">
        <f>VLOOKUP(Table12[[#This Row],[ROUTE]],DEMAND!A:F,6,FALSE)</f>
        <v>#N/A</v>
      </c>
      <c r="O573" s="212" t="e">
        <f>ROUNDDOWN(Table12[[#This Row],[R-DEMAND]]/1320,0)</f>
        <v>#N/A</v>
      </c>
      <c r="P573" s="212" t="e">
        <f>Table12[[#This Row],[ADD ACC]]*Table12[[#This Row],[RT TIME 
(777-500ER)]]</f>
        <v>#N/A</v>
      </c>
    </row>
    <row r="574" spans="1:16" ht="15.75" customHeight="1" x14ac:dyDescent="0.25">
      <c r="A574" s="212" t="s">
        <v>15010</v>
      </c>
      <c r="B574" s="212" t="s">
        <v>3215</v>
      </c>
      <c r="C574" s="212"/>
      <c r="D574" s="226">
        <v>2</v>
      </c>
      <c r="E574" s="212" t="s">
        <v>3213</v>
      </c>
      <c r="F574" s="212" t="s">
        <v>12671</v>
      </c>
      <c r="G574" s="227" t="s">
        <v>11944</v>
      </c>
      <c r="H574" s="228">
        <v>4899</v>
      </c>
      <c r="I574" s="208">
        <v>13</v>
      </c>
      <c r="J574" s="211"/>
      <c r="K574" s="209">
        <v>0</v>
      </c>
      <c r="L574" s="212"/>
      <c r="M574" s="212" t="e">
        <f>VLOOKUP(Table12[[#This Row],[ROUTE]],DEMAND!A:F,5,FALSE)</f>
        <v>#N/A</v>
      </c>
      <c r="N574" s="212" t="e">
        <f>VLOOKUP(Table12[[#This Row],[ROUTE]],DEMAND!A:F,6,FALSE)</f>
        <v>#N/A</v>
      </c>
      <c r="O574" s="212" t="e">
        <f>ROUNDDOWN(Table12[[#This Row],[R-DEMAND]]/1320,0)</f>
        <v>#N/A</v>
      </c>
      <c r="P574" s="212" t="e">
        <f>Table12[[#This Row],[ADD ACC]]*Table12[[#This Row],[RT TIME 
(777-500ER)]]</f>
        <v>#N/A</v>
      </c>
    </row>
    <row r="575" spans="1:16" ht="15.75" customHeight="1" x14ac:dyDescent="0.25">
      <c r="A575" s="212" t="s">
        <v>14728</v>
      </c>
      <c r="B575" s="212" t="s">
        <v>2313</v>
      </c>
      <c r="C575" s="212"/>
      <c r="D575" s="226">
        <v>1</v>
      </c>
      <c r="E575" s="212" t="s">
        <v>14</v>
      </c>
      <c r="F575" s="212" t="s">
        <v>12670</v>
      </c>
      <c r="G575" s="227" t="s">
        <v>12060</v>
      </c>
      <c r="H575" s="228">
        <v>6609</v>
      </c>
      <c r="I575" s="208">
        <v>17</v>
      </c>
      <c r="J575" s="211"/>
      <c r="K575" s="209">
        <v>0</v>
      </c>
      <c r="L575" s="212"/>
      <c r="M575" s="212" t="e">
        <f>VLOOKUP(Table12[[#This Row],[ROUTE]],DEMAND!A:F,5,FALSE)</f>
        <v>#N/A</v>
      </c>
      <c r="N575" s="212" t="e">
        <f>VLOOKUP(Table12[[#This Row],[ROUTE]],DEMAND!A:F,6,FALSE)</f>
        <v>#N/A</v>
      </c>
      <c r="O575" s="212" t="e">
        <f>ROUNDDOWN(Table12[[#This Row],[R-DEMAND]]/1320,0)</f>
        <v>#N/A</v>
      </c>
      <c r="P575" s="212" t="e">
        <f>Table12[[#This Row],[ADD ACC]]*Table12[[#This Row],[RT TIME 
(777-500ER)]]</f>
        <v>#N/A</v>
      </c>
    </row>
    <row r="576" spans="1:16" ht="15.75" customHeight="1" x14ac:dyDescent="0.25">
      <c r="A576" s="212" t="s">
        <v>14720</v>
      </c>
      <c r="B576" s="212" t="s">
        <v>2868</v>
      </c>
      <c r="C576" s="212"/>
      <c r="D576" s="226">
        <v>2</v>
      </c>
      <c r="E576" s="212" t="s">
        <v>14</v>
      </c>
      <c r="F576" s="212" t="s">
        <v>12670</v>
      </c>
      <c r="G576" s="227" t="s">
        <v>12039</v>
      </c>
      <c r="H576" s="228">
        <v>6157</v>
      </c>
      <c r="I576" s="208">
        <v>16</v>
      </c>
      <c r="J576" s="211"/>
      <c r="K576" s="209">
        <v>0</v>
      </c>
      <c r="L576" s="212"/>
      <c r="M576" s="212" t="e">
        <f>VLOOKUP(Table12[[#This Row],[ROUTE]],DEMAND!A:F,5,FALSE)</f>
        <v>#N/A</v>
      </c>
      <c r="N576" s="212" t="e">
        <f>VLOOKUP(Table12[[#This Row],[ROUTE]],DEMAND!A:F,6,FALSE)</f>
        <v>#N/A</v>
      </c>
      <c r="O576" s="212" t="e">
        <f>ROUNDDOWN(Table12[[#This Row],[R-DEMAND]]/1320,0)</f>
        <v>#N/A</v>
      </c>
      <c r="P576" s="212" t="e">
        <f>Table12[[#This Row],[ADD ACC]]*Table12[[#This Row],[RT TIME 
(777-500ER)]]</f>
        <v>#N/A</v>
      </c>
    </row>
    <row r="577" spans="1:16" ht="15.75" customHeight="1" x14ac:dyDescent="0.25">
      <c r="A577" s="212" t="s">
        <v>15082</v>
      </c>
      <c r="B577" s="212" t="s">
        <v>3668</v>
      </c>
      <c r="C577" s="212"/>
      <c r="D577" s="226">
        <v>2</v>
      </c>
      <c r="E577" s="212" t="s">
        <v>1516</v>
      </c>
      <c r="F577" s="212" t="s">
        <v>12671</v>
      </c>
      <c r="G577" s="227" t="s">
        <v>11928</v>
      </c>
      <c r="H577" s="228">
        <v>6544</v>
      </c>
      <c r="I577" s="208">
        <v>16.75</v>
      </c>
      <c r="J577" s="211"/>
      <c r="K577" s="209">
        <v>0</v>
      </c>
      <c r="L577" s="212"/>
      <c r="M577" s="212" t="e">
        <f>VLOOKUP(Table12[[#This Row],[ROUTE]],DEMAND!A:F,5,FALSE)</f>
        <v>#N/A</v>
      </c>
      <c r="N577" s="212" t="e">
        <f>VLOOKUP(Table12[[#This Row],[ROUTE]],DEMAND!A:F,6,FALSE)</f>
        <v>#N/A</v>
      </c>
      <c r="O577" s="212" t="e">
        <f>ROUNDDOWN(Table12[[#This Row],[R-DEMAND]]/1320,0)</f>
        <v>#N/A</v>
      </c>
      <c r="P577" s="212" t="e">
        <f>Table12[[#This Row],[ADD ACC]]*Table12[[#This Row],[RT TIME 
(777-500ER)]]</f>
        <v>#N/A</v>
      </c>
    </row>
    <row r="578" spans="1:16" ht="15.75" customHeight="1" x14ac:dyDescent="0.25">
      <c r="A578" s="212" t="s">
        <v>14218</v>
      </c>
      <c r="B578" s="212" t="s">
        <v>2085</v>
      </c>
      <c r="C578" s="212"/>
      <c r="D578" s="226">
        <v>1</v>
      </c>
      <c r="E578" s="212" t="s">
        <v>505</v>
      </c>
      <c r="F578" s="212" t="s">
        <v>12694</v>
      </c>
      <c r="G578" s="227" t="s">
        <v>13140</v>
      </c>
      <c r="H578" s="228">
        <v>13030</v>
      </c>
      <c r="I578" s="208">
        <v>31.25</v>
      </c>
      <c r="J578" s="211"/>
      <c r="K578" s="209">
        <v>0</v>
      </c>
      <c r="L578" s="212"/>
      <c r="M578" s="212" t="e">
        <f>VLOOKUP(Table12[[#This Row],[ROUTE]],DEMAND!A:F,5,FALSE)</f>
        <v>#N/A</v>
      </c>
      <c r="N578" s="212" t="e">
        <f>VLOOKUP(Table12[[#This Row],[ROUTE]],DEMAND!A:F,6,FALSE)</f>
        <v>#N/A</v>
      </c>
      <c r="O578" s="212" t="e">
        <f>ROUNDDOWN(Table12[[#This Row],[R-DEMAND]]/1320,0)</f>
        <v>#N/A</v>
      </c>
      <c r="P578" s="212" t="e">
        <f>Table12[[#This Row],[ADD ACC]]*Table12[[#This Row],[RT TIME 
(777-500ER)]]</f>
        <v>#N/A</v>
      </c>
    </row>
    <row r="579" spans="1:16" ht="15.75" customHeight="1" x14ac:dyDescent="0.25">
      <c r="A579" s="212" t="s">
        <v>14898</v>
      </c>
      <c r="B579" s="212" t="s">
        <v>1656</v>
      </c>
      <c r="C579" s="212"/>
      <c r="D579" s="226">
        <v>1</v>
      </c>
      <c r="E579" s="212" t="s">
        <v>1654</v>
      </c>
      <c r="F579" s="212" t="s">
        <v>12670</v>
      </c>
      <c r="G579" s="227" t="s">
        <v>11901</v>
      </c>
      <c r="H579" s="228">
        <v>2060</v>
      </c>
      <c r="I579" s="208">
        <v>6.75</v>
      </c>
      <c r="J579" s="211"/>
      <c r="K579" s="209">
        <v>0</v>
      </c>
      <c r="L579" s="212"/>
      <c r="M579" s="212" t="e">
        <f>VLOOKUP(Table12[[#This Row],[ROUTE]],DEMAND!A:F,5,FALSE)</f>
        <v>#N/A</v>
      </c>
      <c r="N579" s="212" t="e">
        <f>VLOOKUP(Table12[[#This Row],[ROUTE]],DEMAND!A:F,6,FALSE)</f>
        <v>#N/A</v>
      </c>
      <c r="O579" s="212" t="e">
        <f>ROUNDDOWN(Table12[[#This Row],[R-DEMAND]]/1320,0)</f>
        <v>#N/A</v>
      </c>
      <c r="P579" s="212" t="e">
        <f>Table12[[#This Row],[ADD ACC]]*Table12[[#This Row],[RT TIME 
(777-500ER)]]</f>
        <v>#N/A</v>
      </c>
    </row>
    <row r="580" spans="1:16" ht="15.75" customHeight="1" x14ac:dyDescent="0.25">
      <c r="A580" s="212" t="s">
        <v>15059</v>
      </c>
      <c r="B580" s="212" t="s">
        <v>2907</v>
      </c>
      <c r="C580" s="212"/>
      <c r="D580" s="226">
        <v>2</v>
      </c>
      <c r="E580" s="212" t="s">
        <v>2059</v>
      </c>
      <c r="F580" s="212" t="s">
        <v>12671</v>
      </c>
      <c r="G580" s="227" t="s">
        <v>11751</v>
      </c>
      <c r="H580" s="228">
        <v>5642</v>
      </c>
      <c r="I580" s="208">
        <v>14.75</v>
      </c>
      <c r="J580" s="211"/>
      <c r="K580" s="209">
        <v>0</v>
      </c>
      <c r="L580" s="212"/>
      <c r="M580" s="212" t="e">
        <f>VLOOKUP(Table12[[#This Row],[ROUTE]],DEMAND!A:F,5,FALSE)</f>
        <v>#N/A</v>
      </c>
      <c r="N580" s="212" t="e">
        <f>VLOOKUP(Table12[[#This Row],[ROUTE]],DEMAND!A:F,6,FALSE)</f>
        <v>#N/A</v>
      </c>
      <c r="O580" s="212" t="e">
        <f>ROUNDDOWN(Table12[[#This Row],[R-DEMAND]]/1320,0)</f>
        <v>#N/A</v>
      </c>
      <c r="P580" s="212" t="e">
        <f>Table12[[#This Row],[ADD ACC]]*Table12[[#This Row],[RT TIME 
(777-500ER)]]</f>
        <v>#N/A</v>
      </c>
    </row>
    <row r="581" spans="1:16" ht="15.75" customHeight="1" x14ac:dyDescent="0.25">
      <c r="A581" s="212" t="s">
        <v>14692</v>
      </c>
      <c r="B581" s="212" t="s">
        <v>232</v>
      </c>
      <c r="C581" s="212"/>
      <c r="D581" s="226">
        <v>3</v>
      </c>
      <c r="E581" s="212" t="s">
        <v>567</v>
      </c>
      <c r="F581" s="212" t="s">
        <v>12670</v>
      </c>
      <c r="G581" s="227" t="s">
        <v>12000</v>
      </c>
      <c r="H581" s="228">
        <v>3330</v>
      </c>
      <c r="I581" s="208">
        <v>9.5</v>
      </c>
      <c r="J581" s="211"/>
      <c r="K581" s="209">
        <v>0</v>
      </c>
      <c r="L581" s="212"/>
      <c r="M581" s="212" t="e">
        <f>VLOOKUP(Table12[[#This Row],[ROUTE]],DEMAND!A:F,5,FALSE)</f>
        <v>#N/A</v>
      </c>
      <c r="N581" s="212" t="e">
        <f>VLOOKUP(Table12[[#This Row],[ROUTE]],DEMAND!A:F,6,FALSE)</f>
        <v>#N/A</v>
      </c>
      <c r="O581" s="212" t="e">
        <f>ROUNDDOWN(Table12[[#This Row],[R-DEMAND]]/1320,0)</f>
        <v>#N/A</v>
      </c>
      <c r="P581" s="212" t="e">
        <f>Table12[[#This Row],[ADD ACC]]*Table12[[#This Row],[RT TIME 
(777-500ER)]]</f>
        <v>#N/A</v>
      </c>
    </row>
    <row r="582" spans="1:16" ht="15.75" customHeight="1" x14ac:dyDescent="0.25">
      <c r="A582" s="212" t="s">
        <v>14675</v>
      </c>
      <c r="B582" s="212" t="s">
        <v>5419</v>
      </c>
      <c r="C582" s="212"/>
      <c r="D582" s="226">
        <v>3</v>
      </c>
      <c r="E582" s="212" t="s">
        <v>722</v>
      </c>
      <c r="F582" s="212" t="s">
        <v>12674</v>
      </c>
      <c r="G582" s="227" t="s">
        <v>11845</v>
      </c>
      <c r="H582" s="212">
        <v>733</v>
      </c>
      <c r="I582" s="208">
        <v>3.75</v>
      </c>
      <c r="J582" s="211"/>
      <c r="K582" s="209">
        <v>0</v>
      </c>
      <c r="L582" s="212"/>
      <c r="M582" s="212" t="e">
        <f>VLOOKUP(Table12[[#This Row],[ROUTE]],DEMAND!A:F,5,FALSE)</f>
        <v>#N/A</v>
      </c>
      <c r="N582" s="212" t="e">
        <f>VLOOKUP(Table12[[#This Row],[ROUTE]],DEMAND!A:F,6,FALSE)</f>
        <v>#N/A</v>
      </c>
      <c r="O582" s="212" t="e">
        <f>ROUNDDOWN(Table12[[#This Row],[R-DEMAND]]/1320,0)</f>
        <v>#N/A</v>
      </c>
      <c r="P582" s="212" t="e">
        <f>Table12[[#This Row],[ADD ACC]]*Table12[[#This Row],[RT TIME 
(777-500ER)]]</f>
        <v>#N/A</v>
      </c>
    </row>
    <row r="583" spans="1:16" ht="15.75" customHeight="1" x14ac:dyDescent="0.25">
      <c r="A583" s="212" t="s">
        <v>14913</v>
      </c>
      <c r="B583" s="212" t="s">
        <v>229</v>
      </c>
      <c r="C583" s="212"/>
      <c r="D583" s="226">
        <v>2</v>
      </c>
      <c r="E583" s="212" t="s">
        <v>332</v>
      </c>
      <c r="F583" s="212" t="s">
        <v>12670</v>
      </c>
      <c r="G583" s="227" t="s">
        <v>9107</v>
      </c>
      <c r="H583" s="228">
        <v>7472</v>
      </c>
      <c r="I583" s="208">
        <v>19</v>
      </c>
      <c r="J583" s="211"/>
      <c r="K583" s="209">
        <v>0</v>
      </c>
      <c r="L583" s="212"/>
      <c r="M583" s="212" t="e">
        <f>VLOOKUP(Table12[[#This Row],[ROUTE]],DEMAND!A:F,5,FALSE)</f>
        <v>#N/A</v>
      </c>
      <c r="N583" s="212" t="e">
        <f>VLOOKUP(Table12[[#This Row],[ROUTE]],DEMAND!A:F,6,FALSE)</f>
        <v>#N/A</v>
      </c>
      <c r="O583" s="212" t="e">
        <f>ROUNDDOWN(Table12[[#This Row],[R-DEMAND]]/1320,0)</f>
        <v>#N/A</v>
      </c>
      <c r="P583" s="212" t="e">
        <f>Table12[[#This Row],[ADD ACC]]*Table12[[#This Row],[RT TIME 
(777-500ER)]]</f>
        <v>#N/A</v>
      </c>
    </row>
    <row r="584" spans="1:16" ht="15.75" customHeight="1" x14ac:dyDescent="0.25">
      <c r="A584" s="212" t="s">
        <v>14693</v>
      </c>
      <c r="B584" s="212" t="s">
        <v>3674</v>
      </c>
      <c r="C584" s="212"/>
      <c r="D584" s="226">
        <v>2</v>
      </c>
      <c r="E584" s="212" t="s">
        <v>567</v>
      </c>
      <c r="F584" s="212" t="s">
        <v>12670</v>
      </c>
      <c r="G584" s="227" t="s">
        <v>11998</v>
      </c>
      <c r="H584" s="228">
        <v>3439</v>
      </c>
      <c r="I584" s="208">
        <v>9.75</v>
      </c>
      <c r="J584" s="211"/>
      <c r="K584" s="209">
        <v>0</v>
      </c>
      <c r="L584" s="212"/>
      <c r="M584" s="212" t="e">
        <f>VLOOKUP(Table12[[#This Row],[ROUTE]],DEMAND!A:F,5,FALSE)</f>
        <v>#N/A</v>
      </c>
      <c r="N584" s="212" t="e">
        <f>VLOOKUP(Table12[[#This Row],[ROUTE]],DEMAND!A:F,6,FALSE)</f>
        <v>#N/A</v>
      </c>
      <c r="O584" s="212" t="e">
        <f>ROUNDDOWN(Table12[[#This Row],[R-DEMAND]]/1320,0)</f>
        <v>#N/A</v>
      </c>
      <c r="P584" s="212" t="e">
        <f>Table12[[#This Row],[ADD ACC]]*Table12[[#This Row],[RT TIME 
(777-500ER)]]</f>
        <v>#N/A</v>
      </c>
    </row>
    <row r="585" spans="1:16" ht="15.75" customHeight="1" x14ac:dyDescent="0.25">
      <c r="A585" s="212" t="s">
        <v>14554</v>
      </c>
      <c r="B585" s="212" t="s">
        <v>227</v>
      </c>
      <c r="C585" s="212"/>
      <c r="D585" s="226">
        <v>3</v>
      </c>
      <c r="E585" s="212" t="s">
        <v>630</v>
      </c>
      <c r="F585" s="212" t="s">
        <v>12674</v>
      </c>
      <c r="G585" s="227" t="s">
        <v>11683</v>
      </c>
      <c r="H585" s="228">
        <v>3382</v>
      </c>
      <c r="I585" s="208">
        <v>9.75</v>
      </c>
      <c r="J585" s="211"/>
      <c r="K585" s="209">
        <v>0</v>
      </c>
      <c r="L585" s="212"/>
      <c r="M585" s="212" t="e">
        <f>VLOOKUP(Table12[[#This Row],[ROUTE]],DEMAND!A:F,5,FALSE)</f>
        <v>#N/A</v>
      </c>
      <c r="N585" s="212" t="e">
        <f>VLOOKUP(Table12[[#This Row],[ROUTE]],DEMAND!A:F,6,FALSE)</f>
        <v>#N/A</v>
      </c>
      <c r="O585" s="212" t="e">
        <f>ROUNDDOWN(Table12[[#This Row],[R-DEMAND]]/1320,0)</f>
        <v>#N/A</v>
      </c>
      <c r="P585" s="212" t="e">
        <f>Table12[[#This Row],[ADD ACC]]*Table12[[#This Row],[RT TIME 
(777-500ER)]]</f>
        <v>#N/A</v>
      </c>
    </row>
    <row r="586" spans="1:16" ht="15.75" customHeight="1" x14ac:dyDescent="0.25">
      <c r="A586" s="212" t="s">
        <v>14628</v>
      </c>
      <c r="B586" s="212" t="s">
        <v>3588</v>
      </c>
      <c r="C586" s="212"/>
      <c r="D586" s="226">
        <v>2</v>
      </c>
      <c r="E586" s="212" t="s">
        <v>78</v>
      </c>
      <c r="F586" s="212" t="s">
        <v>12674</v>
      </c>
      <c r="G586" s="227" t="s">
        <v>11953</v>
      </c>
      <c r="H586" s="228">
        <v>2987</v>
      </c>
      <c r="I586" s="208">
        <v>8.75</v>
      </c>
      <c r="J586" s="211"/>
      <c r="K586" s="209">
        <v>0</v>
      </c>
      <c r="L586" s="212"/>
      <c r="M586" s="212" t="e">
        <f>VLOOKUP(Table12[[#This Row],[ROUTE]],DEMAND!A:F,5,FALSE)</f>
        <v>#N/A</v>
      </c>
      <c r="N586" s="212" t="e">
        <f>VLOOKUP(Table12[[#This Row],[ROUTE]],DEMAND!A:F,6,FALSE)</f>
        <v>#N/A</v>
      </c>
      <c r="O586" s="212" t="e">
        <f>ROUNDDOWN(Table12[[#This Row],[R-DEMAND]]/1320,0)</f>
        <v>#N/A</v>
      </c>
      <c r="P586" s="212" t="e">
        <f>Table12[[#This Row],[ADD ACC]]*Table12[[#This Row],[RT TIME 
(777-500ER)]]</f>
        <v>#N/A</v>
      </c>
    </row>
    <row r="587" spans="1:16" ht="15.75" customHeight="1" x14ac:dyDescent="0.25">
      <c r="A587" s="212" t="s">
        <v>14804</v>
      </c>
      <c r="B587" s="212" t="s">
        <v>4256</v>
      </c>
      <c r="C587" s="212"/>
      <c r="D587" s="226">
        <v>2</v>
      </c>
      <c r="E587" s="212" t="s">
        <v>502</v>
      </c>
      <c r="F587" s="212" t="s">
        <v>12670</v>
      </c>
      <c r="G587" s="227" t="s">
        <v>11971</v>
      </c>
      <c r="H587" s="228">
        <v>3174</v>
      </c>
      <c r="I587" s="208">
        <v>9.25</v>
      </c>
      <c r="J587" s="211"/>
      <c r="K587" s="209">
        <v>0</v>
      </c>
      <c r="L587" s="212"/>
      <c r="M587" s="212" t="e">
        <f>VLOOKUP(Table12[[#This Row],[ROUTE]],DEMAND!A:F,5,FALSE)</f>
        <v>#N/A</v>
      </c>
      <c r="N587" s="212" t="e">
        <f>VLOOKUP(Table12[[#This Row],[ROUTE]],DEMAND!A:F,6,FALSE)</f>
        <v>#N/A</v>
      </c>
      <c r="O587" s="212" t="e">
        <f>ROUNDDOWN(Table12[[#This Row],[R-DEMAND]]/1320,0)</f>
        <v>#N/A</v>
      </c>
      <c r="P587" s="212" t="e">
        <f>Table12[[#This Row],[ADD ACC]]*Table12[[#This Row],[RT TIME 
(777-500ER)]]</f>
        <v>#N/A</v>
      </c>
    </row>
    <row r="588" spans="1:16" ht="15.75" customHeight="1" x14ac:dyDescent="0.25">
      <c r="A588" s="212" t="s">
        <v>14575</v>
      </c>
      <c r="B588" s="212" t="s">
        <v>2601</v>
      </c>
      <c r="C588" s="212"/>
      <c r="D588" s="226">
        <v>2</v>
      </c>
      <c r="E588" s="212" t="s">
        <v>588</v>
      </c>
      <c r="F588" s="212" t="s">
        <v>12674</v>
      </c>
      <c r="G588" s="227" t="s">
        <v>11959</v>
      </c>
      <c r="H588" s="228">
        <v>2450</v>
      </c>
      <c r="I588" s="208">
        <v>7.5</v>
      </c>
      <c r="J588" s="211"/>
      <c r="K588" s="209">
        <v>0</v>
      </c>
      <c r="L588" s="212"/>
      <c r="M588" s="212" t="e">
        <f>VLOOKUP(Table12[[#This Row],[ROUTE]],DEMAND!A:F,5,FALSE)</f>
        <v>#N/A</v>
      </c>
      <c r="N588" s="212" t="e">
        <f>VLOOKUP(Table12[[#This Row],[ROUTE]],DEMAND!A:F,6,FALSE)</f>
        <v>#N/A</v>
      </c>
      <c r="O588" s="212" t="e">
        <f>ROUNDDOWN(Table12[[#This Row],[R-DEMAND]]/1320,0)</f>
        <v>#N/A</v>
      </c>
      <c r="P588" s="212" t="e">
        <f>Table12[[#This Row],[ADD ACC]]*Table12[[#This Row],[RT TIME 
(777-500ER)]]</f>
        <v>#N/A</v>
      </c>
    </row>
    <row r="589" spans="1:16" ht="15.75" customHeight="1" x14ac:dyDescent="0.25">
      <c r="A589" s="212" t="s">
        <v>15063</v>
      </c>
      <c r="B589" s="212" t="s">
        <v>2962</v>
      </c>
      <c r="C589" s="212"/>
      <c r="D589" s="226">
        <v>2</v>
      </c>
      <c r="E589" s="212" t="s">
        <v>1352</v>
      </c>
      <c r="F589" s="212" t="s">
        <v>12671</v>
      </c>
      <c r="G589" s="227" t="s">
        <v>11897</v>
      </c>
      <c r="H589" s="228">
        <v>6420</v>
      </c>
      <c r="I589" s="208">
        <v>16.5</v>
      </c>
      <c r="J589" s="211"/>
      <c r="K589" s="209">
        <v>0</v>
      </c>
      <c r="L589" s="212"/>
      <c r="M589" s="212" t="e">
        <f>VLOOKUP(Table12[[#This Row],[ROUTE]],DEMAND!A:F,5,FALSE)</f>
        <v>#N/A</v>
      </c>
      <c r="N589" s="212" t="e">
        <f>VLOOKUP(Table12[[#This Row],[ROUTE]],DEMAND!A:F,6,FALSE)</f>
        <v>#N/A</v>
      </c>
      <c r="O589" s="212" t="e">
        <f>ROUNDDOWN(Table12[[#This Row],[R-DEMAND]]/1320,0)</f>
        <v>#N/A</v>
      </c>
      <c r="P589" s="212" t="e">
        <f>Table12[[#This Row],[ADD ACC]]*Table12[[#This Row],[RT TIME 
(777-500ER)]]</f>
        <v>#N/A</v>
      </c>
    </row>
    <row r="590" spans="1:16" ht="15.75" customHeight="1" x14ac:dyDescent="0.25">
      <c r="A590" s="212" t="s">
        <v>14702</v>
      </c>
      <c r="B590" s="212" t="s">
        <v>4172</v>
      </c>
      <c r="C590" s="212"/>
      <c r="D590" s="226">
        <v>2</v>
      </c>
      <c r="E590" s="212" t="s">
        <v>14</v>
      </c>
      <c r="F590" s="212" t="s">
        <v>12670</v>
      </c>
      <c r="G590" s="227" t="s">
        <v>12001</v>
      </c>
      <c r="H590" s="228">
        <v>3304</v>
      </c>
      <c r="I590" s="208">
        <v>9.5</v>
      </c>
      <c r="J590" s="211"/>
      <c r="K590" s="209">
        <v>0</v>
      </c>
      <c r="L590" s="212"/>
      <c r="M590" s="212" t="e">
        <f>VLOOKUP(Table12[[#This Row],[ROUTE]],DEMAND!A:F,5,FALSE)</f>
        <v>#N/A</v>
      </c>
      <c r="N590" s="212" t="e">
        <f>VLOOKUP(Table12[[#This Row],[ROUTE]],DEMAND!A:F,6,FALSE)</f>
        <v>#N/A</v>
      </c>
      <c r="O590" s="212" t="e">
        <f>ROUNDDOWN(Table12[[#This Row],[R-DEMAND]]/1320,0)</f>
        <v>#N/A</v>
      </c>
      <c r="P590" s="212" t="e">
        <f>Table12[[#This Row],[ADD ACC]]*Table12[[#This Row],[RT TIME 
(777-500ER)]]</f>
        <v>#N/A</v>
      </c>
    </row>
    <row r="591" spans="1:16" ht="15.75" customHeight="1" x14ac:dyDescent="0.25">
      <c r="A591" s="212" t="s">
        <v>14640</v>
      </c>
      <c r="B591" s="212" t="s">
        <v>221</v>
      </c>
      <c r="C591" s="212"/>
      <c r="D591" s="226">
        <v>2</v>
      </c>
      <c r="E591" s="212" t="s">
        <v>78</v>
      </c>
      <c r="F591" s="212" t="s">
        <v>12674</v>
      </c>
      <c r="G591" s="227" t="s">
        <v>11970</v>
      </c>
      <c r="H591" s="228">
        <v>6151</v>
      </c>
      <c r="I591" s="208">
        <v>16</v>
      </c>
      <c r="J591" s="211"/>
      <c r="K591" s="209">
        <v>0</v>
      </c>
      <c r="L591" s="212"/>
      <c r="M591" s="212" t="e">
        <f>VLOOKUP(Table12[[#This Row],[ROUTE]],DEMAND!A:F,5,FALSE)</f>
        <v>#N/A</v>
      </c>
      <c r="N591" s="212" t="e">
        <f>VLOOKUP(Table12[[#This Row],[ROUTE]],DEMAND!A:F,6,FALSE)</f>
        <v>#N/A</v>
      </c>
      <c r="O591" s="212" t="e">
        <f>ROUNDDOWN(Table12[[#This Row],[R-DEMAND]]/1320,0)</f>
        <v>#N/A</v>
      </c>
      <c r="P591" s="212" t="e">
        <f>Table12[[#This Row],[ADD ACC]]*Table12[[#This Row],[RT TIME 
(777-500ER)]]</f>
        <v>#N/A</v>
      </c>
    </row>
    <row r="592" spans="1:16" ht="15.75" customHeight="1" x14ac:dyDescent="0.25">
      <c r="A592" s="212" t="s">
        <v>15074</v>
      </c>
      <c r="B592" s="212" t="s">
        <v>2374</v>
      </c>
      <c r="C592" s="212"/>
      <c r="D592" s="226">
        <v>1</v>
      </c>
      <c r="E592" s="212" t="s">
        <v>926</v>
      </c>
      <c r="F592" s="212" t="s">
        <v>12671</v>
      </c>
      <c r="G592" s="227" t="s">
        <v>11866</v>
      </c>
      <c r="H592" s="228">
        <v>9449</v>
      </c>
      <c r="I592" s="208">
        <v>23.25</v>
      </c>
      <c r="J592" s="211"/>
      <c r="K592" s="209">
        <v>0</v>
      </c>
      <c r="L592" s="212"/>
      <c r="M592" s="212" t="e">
        <f>VLOOKUP(Table12[[#This Row],[ROUTE]],DEMAND!A:F,5,FALSE)</f>
        <v>#N/A</v>
      </c>
      <c r="N592" s="212" t="e">
        <f>VLOOKUP(Table12[[#This Row],[ROUTE]],DEMAND!A:F,6,FALSE)</f>
        <v>#N/A</v>
      </c>
      <c r="O592" s="212" t="e">
        <f>ROUNDDOWN(Table12[[#This Row],[R-DEMAND]]/1320,0)</f>
        <v>#N/A</v>
      </c>
      <c r="P592" s="212" t="e">
        <f>Table12[[#This Row],[ADD ACC]]*Table12[[#This Row],[RT TIME 
(777-500ER)]]</f>
        <v>#N/A</v>
      </c>
    </row>
    <row r="593" spans="1:16" ht="15.75" customHeight="1" x14ac:dyDescent="0.25">
      <c r="A593" s="212" t="s">
        <v>14583</v>
      </c>
      <c r="B593" s="212" t="s">
        <v>4436</v>
      </c>
      <c r="C593" s="212"/>
      <c r="D593" s="226">
        <v>2</v>
      </c>
      <c r="E593" s="212" t="s">
        <v>4434</v>
      </c>
      <c r="F593" s="212" t="s">
        <v>12674</v>
      </c>
      <c r="G593" s="227" t="s">
        <v>11843</v>
      </c>
      <c r="H593" s="228">
        <v>1130</v>
      </c>
      <c r="I593" s="208">
        <v>4.75</v>
      </c>
      <c r="J593" s="211"/>
      <c r="K593" s="209">
        <v>0</v>
      </c>
      <c r="L593" s="212"/>
      <c r="M593" s="212" t="e">
        <f>VLOOKUP(Table12[[#This Row],[ROUTE]],DEMAND!A:F,5,FALSE)</f>
        <v>#N/A</v>
      </c>
      <c r="N593" s="212" t="e">
        <f>VLOOKUP(Table12[[#This Row],[ROUTE]],DEMAND!A:F,6,FALSE)</f>
        <v>#N/A</v>
      </c>
      <c r="O593" s="212" t="e">
        <f>ROUNDDOWN(Table12[[#This Row],[R-DEMAND]]/1320,0)</f>
        <v>#N/A</v>
      </c>
      <c r="P593" s="212" t="e">
        <f>Table12[[#This Row],[ADD ACC]]*Table12[[#This Row],[RT TIME 
(777-500ER)]]</f>
        <v>#N/A</v>
      </c>
    </row>
    <row r="594" spans="1:16" ht="15.75" customHeight="1" x14ac:dyDescent="0.25">
      <c r="A594" s="212" t="s">
        <v>14630</v>
      </c>
      <c r="B594" s="212" t="s">
        <v>4663</v>
      </c>
      <c r="C594" s="212"/>
      <c r="D594" s="226">
        <v>2</v>
      </c>
      <c r="E594" s="212" t="s">
        <v>78</v>
      </c>
      <c r="F594" s="212" t="s">
        <v>12674</v>
      </c>
      <c r="G594" s="227" t="s">
        <v>11954</v>
      </c>
      <c r="H594" s="228">
        <v>3324</v>
      </c>
      <c r="I594" s="208">
        <v>9.5</v>
      </c>
      <c r="J594" s="211"/>
      <c r="K594" s="209">
        <v>0</v>
      </c>
      <c r="L594" s="212"/>
      <c r="M594" s="212" t="e">
        <f>VLOOKUP(Table12[[#This Row],[ROUTE]],DEMAND!A:F,5,FALSE)</f>
        <v>#N/A</v>
      </c>
      <c r="N594" s="212" t="e">
        <f>VLOOKUP(Table12[[#This Row],[ROUTE]],DEMAND!A:F,6,FALSE)</f>
        <v>#N/A</v>
      </c>
      <c r="O594" s="212" t="e">
        <f>ROUNDDOWN(Table12[[#This Row],[R-DEMAND]]/1320,0)</f>
        <v>#N/A</v>
      </c>
      <c r="P594" s="212" t="e">
        <f>Table12[[#This Row],[ADD ACC]]*Table12[[#This Row],[RT TIME 
(777-500ER)]]</f>
        <v>#N/A</v>
      </c>
    </row>
    <row r="595" spans="1:16" ht="15.75" customHeight="1" x14ac:dyDescent="0.25">
      <c r="A595" s="212" t="s">
        <v>14551</v>
      </c>
      <c r="B595" s="212" t="s">
        <v>2808</v>
      </c>
      <c r="C595" s="212"/>
      <c r="D595" s="226">
        <v>2</v>
      </c>
      <c r="E595" s="212" t="s">
        <v>597</v>
      </c>
      <c r="F595" s="212" t="s">
        <v>12674</v>
      </c>
      <c r="G595" s="227" t="s">
        <v>11828</v>
      </c>
      <c r="H595" s="228">
        <v>2365</v>
      </c>
      <c r="I595" s="208">
        <v>7.5</v>
      </c>
      <c r="J595" s="211"/>
      <c r="K595" s="209">
        <v>0</v>
      </c>
      <c r="L595" s="212"/>
      <c r="M595" s="212" t="e">
        <f>VLOOKUP(Table12[[#This Row],[ROUTE]],DEMAND!A:F,5,FALSE)</f>
        <v>#N/A</v>
      </c>
      <c r="N595" s="212" t="e">
        <f>VLOOKUP(Table12[[#This Row],[ROUTE]],DEMAND!A:F,6,FALSE)</f>
        <v>#N/A</v>
      </c>
      <c r="O595" s="212" t="e">
        <f>ROUNDDOWN(Table12[[#This Row],[R-DEMAND]]/1320,0)</f>
        <v>#N/A</v>
      </c>
      <c r="P595" s="212" t="e">
        <f>Table12[[#This Row],[ADD ACC]]*Table12[[#This Row],[RT TIME 
(777-500ER)]]</f>
        <v>#N/A</v>
      </c>
    </row>
    <row r="596" spans="1:16" ht="15.75" customHeight="1" x14ac:dyDescent="0.25">
      <c r="A596" s="212" t="s">
        <v>14703</v>
      </c>
      <c r="B596" s="212" t="s">
        <v>3586</v>
      </c>
      <c r="C596" s="212"/>
      <c r="D596" s="226">
        <v>2</v>
      </c>
      <c r="E596" s="212" t="s">
        <v>14</v>
      </c>
      <c r="F596" s="212" t="s">
        <v>12670</v>
      </c>
      <c r="G596" s="227" t="s">
        <v>12006</v>
      </c>
      <c r="H596" s="228">
        <v>3770</v>
      </c>
      <c r="I596" s="208">
        <v>10.5</v>
      </c>
      <c r="J596" s="211"/>
      <c r="K596" s="209">
        <v>0</v>
      </c>
      <c r="L596" s="212"/>
      <c r="M596" s="212" t="e">
        <f>VLOOKUP(Table12[[#This Row],[ROUTE]],DEMAND!A:F,5,FALSE)</f>
        <v>#N/A</v>
      </c>
      <c r="N596" s="212" t="e">
        <f>VLOOKUP(Table12[[#This Row],[ROUTE]],DEMAND!A:F,6,FALSE)</f>
        <v>#N/A</v>
      </c>
      <c r="O596" s="212" t="e">
        <f>ROUNDDOWN(Table12[[#This Row],[R-DEMAND]]/1320,0)</f>
        <v>#N/A</v>
      </c>
      <c r="P596" s="212" t="e">
        <f>Table12[[#This Row],[ADD ACC]]*Table12[[#This Row],[RT TIME 
(777-500ER)]]</f>
        <v>#N/A</v>
      </c>
    </row>
    <row r="597" spans="1:16" ht="15.75" customHeight="1" x14ac:dyDescent="0.25">
      <c r="A597" s="212" t="s">
        <v>14504</v>
      </c>
      <c r="B597" s="212" t="s">
        <v>3664</v>
      </c>
      <c r="C597" s="212"/>
      <c r="D597" s="226">
        <v>2</v>
      </c>
      <c r="E597" s="212" t="s">
        <v>876</v>
      </c>
      <c r="F597" s="212" t="s">
        <v>12674</v>
      </c>
      <c r="G597" s="227" t="s">
        <v>11761</v>
      </c>
      <c r="H597" s="228">
        <v>1786</v>
      </c>
      <c r="I597" s="208">
        <v>6.25</v>
      </c>
      <c r="J597" s="211"/>
      <c r="K597" s="209">
        <v>0</v>
      </c>
      <c r="L597" s="212"/>
      <c r="M597" s="212" t="e">
        <f>VLOOKUP(Table12[[#This Row],[ROUTE]],DEMAND!A:F,5,FALSE)</f>
        <v>#N/A</v>
      </c>
      <c r="N597" s="212" t="e">
        <f>VLOOKUP(Table12[[#This Row],[ROUTE]],DEMAND!A:F,6,FALSE)</f>
        <v>#N/A</v>
      </c>
      <c r="O597" s="212" t="e">
        <f>ROUNDDOWN(Table12[[#This Row],[R-DEMAND]]/1320,0)</f>
        <v>#N/A</v>
      </c>
      <c r="P597" s="212" t="e">
        <f>Table12[[#This Row],[ADD ACC]]*Table12[[#This Row],[RT TIME 
(777-500ER)]]</f>
        <v>#N/A</v>
      </c>
    </row>
    <row r="598" spans="1:16" ht="15.75" customHeight="1" x14ac:dyDescent="0.25">
      <c r="A598" s="212" t="s">
        <v>14616</v>
      </c>
      <c r="B598" s="212" t="s">
        <v>4860</v>
      </c>
      <c r="C598" s="212"/>
      <c r="D598" s="226">
        <v>3</v>
      </c>
      <c r="E598" s="212" t="s">
        <v>78</v>
      </c>
      <c r="F598" s="212" t="s">
        <v>12674</v>
      </c>
      <c r="G598" s="227" t="s">
        <v>11870</v>
      </c>
      <c r="H598" s="228">
        <v>1157</v>
      </c>
      <c r="I598" s="208">
        <v>4.75</v>
      </c>
      <c r="J598" s="211"/>
      <c r="K598" s="209">
        <v>0</v>
      </c>
      <c r="L598" s="212"/>
      <c r="M598" s="212" t="e">
        <f>VLOOKUP(Table12[[#This Row],[ROUTE]],DEMAND!A:F,5,FALSE)</f>
        <v>#N/A</v>
      </c>
      <c r="N598" s="212" t="e">
        <f>VLOOKUP(Table12[[#This Row],[ROUTE]],DEMAND!A:F,6,FALSE)</f>
        <v>#N/A</v>
      </c>
      <c r="O598" s="212" t="e">
        <f>ROUNDDOWN(Table12[[#This Row],[R-DEMAND]]/1320,0)</f>
        <v>#N/A</v>
      </c>
      <c r="P598" s="212" t="e">
        <f>Table12[[#This Row],[ADD ACC]]*Table12[[#This Row],[RT TIME 
(777-500ER)]]</f>
        <v>#N/A</v>
      </c>
    </row>
    <row r="599" spans="1:16" ht="15.75" customHeight="1" x14ac:dyDescent="0.25">
      <c r="A599" s="212" t="s">
        <v>15077</v>
      </c>
      <c r="B599" s="212" t="s">
        <v>3650</v>
      </c>
      <c r="C599" s="212"/>
      <c r="D599" s="226">
        <v>2</v>
      </c>
      <c r="E599" s="212" t="s">
        <v>881</v>
      </c>
      <c r="F599" s="212" t="s">
        <v>12671</v>
      </c>
      <c r="G599" s="227" t="s">
        <v>11896</v>
      </c>
      <c r="H599" s="228">
        <v>4452</v>
      </c>
      <c r="I599" s="208">
        <v>12</v>
      </c>
      <c r="J599" s="211"/>
      <c r="K599" s="209">
        <v>0</v>
      </c>
      <c r="L599" s="212"/>
      <c r="M599" s="212" t="e">
        <f>VLOOKUP(Table12[[#This Row],[ROUTE]],DEMAND!A:F,5,FALSE)</f>
        <v>#N/A</v>
      </c>
      <c r="N599" s="212" t="e">
        <f>VLOOKUP(Table12[[#This Row],[ROUTE]],DEMAND!A:F,6,FALSE)</f>
        <v>#N/A</v>
      </c>
      <c r="O599" s="212" t="e">
        <f>ROUNDDOWN(Table12[[#This Row],[R-DEMAND]]/1320,0)</f>
        <v>#N/A</v>
      </c>
      <c r="P599" s="212" t="e">
        <f>Table12[[#This Row],[ADD ACC]]*Table12[[#This Row],[RT TIME 
(777-500ER)]]</f>
        <v>#N/A</v>
      </c>
    </row>
    <row r="600" spans="1:16" ht="15.75" customHeight="1" x14ac:dyDescent="0.25">
      <c r="A600" s="212" t="s">
        <v>14646</v>
      </c>
      <c r="B600" s="212" t="s">
        <v>4187</v>
      </c>
      <c r="C600" s="212"/>
      <c r="D600" s="226">
        <v>2</v>
      </c>
      <c r="E600" s="212" t="s">
        <v>659</v>
      </c>
      <c r="F600" s="212" t="s">
        <v>12674</v>
      </c>
      <c r="G600" s="227" t="s">
        <v>11814</v>
      </c>
      <c r="H600" s="228">
        <v>1359</v>
      </c>
      <c r="I600" s="208">
        <v>5.25</v>
      </c>
      <c r="J600" s="211"/>
      <c r="K600" s="209">
        <v>0</v>
      </c>
      <c r="L600" s="212"/>
      <c r="M600" s="212" t="e">
        <f>VLOOKUP(Table12[[#This Row],[ROUTE]],DEMAND!A:F,5,FALSE)</f>
        <v>#N/A</v>
      </c>
      <c r="N600" s="212" t="e">
        <f>VLOOKUP(Table12[[#This Row],[ROUTE]],DEMAND!A:F,6,FALSE)</f>
        <v>#N/A</v>
      </c>
      <c r="O600" s="212" t="e">
        <f>ROUNDDOWN(Table12[[#This Row],[R-DEMAND]]/1320,0)</f>
        <v>#N/A</v>
      </c>
      <c r="P600" s="212" t="e">
        <f>Table12[[#This Row],[ADD ACC]]*Table12[[#This Row],[RT TIME 
(777-500ER)]]</f>
        <v>#N/A</v>
      </c>
    </row>
    <row r="601" spans="1:16" ht="15.75" customHeight="1" x14ac:dyDescent="0.25">
      <c r="A601" s="212" t="s">
        <v>14796</v>
      </c>
      <c r="B601" s="212" t="s">
        <v>4160</v>
      </c>
      <c r="C601" s="212"/>
      <c r="D601" s="226">
        <v>2</v>
      </c>
      <c r="E601" s="212" t="s">
        <v>502</v>
      </c>
      <c r="F601" s="212" t="s">
        <v>12670</v>
      </c>
      <c r="G601" s="227" t="s">
        <v>11930</v>
      </c>
      <c r="H601" s="228">
        <v>2448</v>
      </c>
      <c r="I601" s="208">
        <v>7.5</v>
      </c>
      <c r="J601" s="211"/>
      <c r="K601" s="209">
        <v>0</v>
      </c>
      <c r="L601" s="212"/>
      <c r="M601" s="212" t="e">
        <f>VLOOKUP(Table12[[#This Row],[ROUTE]],DEMAND!A:F,5,FALSE)</f>
        <v>#N/A</v>
      </c>
      <c r="N601" s="212" t="e">
        <f>VLOOKUP(Table12[[#This Row],[ROUTE]],DEMAND!A:F,6,FALSE)</f>
        <v>#N/A</v>
      </c>
      <c r="O601" s="212" t="e">
        <f>ROUNDDOWN(Table12[[#This Row],[R-DEMAND]]/1320,0)</f>
        <v>#N/A</v>
      </c>
      <c r="P601" s="212" t="e">
        <f>Table12[[#This Row],[ADD ACC]]*Table12[[#This Row],[RT TIME 
(777-500ER)]]</f>
        <v>#N/A</v>
      </c>
    </row>
    <row r="602" spans="1:16" ht="15.75" customHeight="1" x14ac:dyDescent="0.25">
      <c r="A602" s="212" t="s">
        <v>14921</v>
      </c>
      <c r="B602" s="212" t="s">
        <v>3640</v>
      </c>
      <c r="C602" s="212"/>
      <c r="D602" s="226">
        <v>2</v>
      </c>
      <c r="E602" s="212" t="s">
        <v>700</v>
      </c>
      <c r="F602" s="212" t="s">
        <v>12670</v>
      </c>
      <c r="G602" s="227" t="s">
        <v>11904</v>
      </c>
      <c r="H602" s="228">
        <v>1695</v>
      </c>
      <c r="I602" s="208">
        <v>6</v>
      </c>
      <c r="J602" s="211"/>
      <c r="K602" s="209">
        <v>0</v>
      </c>
      <c r="L602" s="212"/>
      <c r="M602" s="212" t="e">
        <f>VLOOKUP(Table12[[#This Row],[ROUTE]],DEMAND!A:F,5,FALSE)</f>
        <v>#N/A</v>
      </c>
      <c r="N602" s="212" t="e">
        <f>VLOOKUP(Table12[[#This Row],[ROUTE]],DEMAND!A:F,6,FALSE)</f>
        <v>#N/A</v>
      </c>
      <c r="O602" s="212" t="e">
        <f>ROUNDDOWN(Table12[[#This Row],[R-DEMAND]]/1320,0)</f>
        <v>#N/A</v>
      </c>
      <c r="P602" s="212" t="e">
        <f>Table12[[#This Row],[ADD ACC]]*Table12[[#This Row],[RT TIME 
(777-500ER)]]</f>
        <v>#N/A</v>
      </c>
    </row>
    <row r="603" spans="1:16" ht="15.75" customHeight="1" x14ac:dyDescent="0.25">
      <c r="A603" s="212" t="s">
        <v>14845</v>
      </c>
      <c r="B603" s="212" t="s">
        <v>5037</v>
      </c>
      <c r="C603" s="212"/>
      <c r="D603" s="226">
        <v>3</v>
      </c>
      <c r="E603" s="212" t="s">
        <v>867</v>
      </c>
      <c r="F603" s="212" t="s">
        <v>12670</v>
      </c>
      <c r="G603" s="227" t="s">
        <v>12049</v>
      </c>
      <c r="H603" s="228">
        <v>4864</v>
      </c>
      <c r="I603" s="208">
        <v>13</v>
      </c>
      <c r="J603" s="211"/>
      <c r="K603" s="209">
        <v>0</v>
      </c>
      <c r="L603" s="212"/>
      <c r="M603" s="212" t="e">
        <f>VLOOKUP(Table12[[#This Row],[ROUTE]],DEMAND!A:F,5,FALSE)</f>
        <v>#N/A</v>
      </c>
      <c r="N603" s="212" t="e">
        <f>VLOOKUP(Table12[[#This Row],[ROUTE]],DEMAND!A:F,6,FALSE)</f>
        <v>#N/A</v>
      </c>
      <c r="O603" s="212" t="e">
        <f>ROUNDDOWN(Table12[[#This Row],[R-DEMAND]]/1320,0)</f>
        <v>#N/A</v>
      </c>
      <c r="P603" s="212" t="e">
        <f>Table12[[#This Row],[ADD ACC]]*Table12[[#This Row],[RT TIME 
(777-500ER)]]</f>
        <v>#N/A</v>
      </c>
    </row>
    <row r="604" spans="1:16" ht="15.75" customHeight="1" x14ac:dyDescent="0.25">
      <c r="A604" s="212" t="s">
        <v>14596</v>
      </c>
      <c r="B604" s="212" t="s">
        <v>5061</v>
      </c>
      <c r="C604" s="212"/>
      <c r="D604" s="226">
        <v>3</v>
      </c>
      <c r="E604" s="212" t="s">
        <v>758</v>
      </c>
      <c r="F604" s="212" t="s">
        <v>12674</v>
      </c>
      <c r="G604" s="227" t="s">
        <v>11808</v>
      </c>
      <c r="H604" s="228">
        <v>1370</v>
      </c>
      <c r="I604" s="208">
        <v>5.25</v>
      </c>
      <c r="J604" s="211"/>
      <c r="K604" s="209">
        <v>0</v>
      </c>
      <c r="L604" s="212"/>
      <c r="M604" s="212" t="e">
        <f>VLOOKUP(Table12[[#This Row],[ROUTE]],DEMAND!A:F,5,FALSE)</f>
        <v>#N/A</v>
      </c>
      <c r="N604" s="212" t="e">
        <f>VLOOKUP(Table12[[#This Row],[ROUTE]],DEMAND!A:F,6,FALSE)</f>
        <v>#N/A</v>
      </c>
      <c r="O604" s="212" t="e">
        <f>ROUNDDOWN(Table12[[#This Row],[R-DEMAND]]/1320,0)</f>
        <v>#N/A</v>
      </c>
      <c r="P604" s="212" t="e">
        <f>Table12[[#This Row],[ADD ACC]]*Table12[[#This Row],[RT TIME 
(777-500ER)]]</f>
        <v>#N/A</v>
      </c>
    </row>
    <row r="605" spans="1:16" ht="15.75" customHeight="1" x14ac:dyDescent="0.25">
      <c r="A605" s="212" t="s">
        <v>14834</v>
      </c>
      <c r="B605" s="212" t="s">
        <v>213</v>
      </c>
      <c r="C605" s="212"/>
      <c r="D605" s="226">
        <v>2</v>
      </c>
      <c r="E605" s="212" t="s">
        <v>709</v>
      </c>
      <c r="F605" s="212" t="s">
        <v>12670</v>
      </c>
      <c r="G605" s="227" t="s">
        <v>12113</v>
      </c>
      <c r="H605" s="228">
        <v>8129</v>
      </c>
      <c r="I605" s="208">
        <v>20.25</v>
      </c>
      <c r="J605" s="211"/>
      <c r="K605" s="209">
        <v>0</v>
      </c>
      <c r="L605" s="212"/>
      <c r="M605" s="212" t="e">
        <f>VLOOKUP(Table12[[#This Row],[ROUTE]],DEMAND!A:F,5,FALSE)</f>
        <v>#N/A</v>
      </c>
      <c r="N605" s="212" t="e">
        <f>VLOOKUP(Table12[[#This Row],[ROUTE]],DEMAND!A:F,6,FALSE)</f>
        <v>#N/A</v>
      </c>
      <c r="O605" s="212" t="e">
        <f>ROUNDDOWN(Table12[[#This Row],[R-DEMAND]]/1320,0)</f>
        <v>#N/A</v>
      </c>
      <c r="P605" s="212" t="e">
        <f>Table12[[#This Row],[ADD ACC]]*Table12[[#This Row],[RT TIME 
(777-500ER)]]</f>
        <v>#N/A</v>
      </c>
    </row>
    <row r="606" spans="1:16" ht="15.75" customHeight="1" x14ac:dyDescent="0.25">
      <c r="A606" s="212" t="s">
        <v>14613</v>
      </c>
      <c r="B606" s="212" t="s">
        <v>4703</v>
      </c>
      <c r="C606" s="212"/>
      <c r="D606" s="226">
        <v>2</v>
      </c>
      <c r="E606" s="212" t="s">
        <v>78</v>
      </c>
      <c r="F606" s="212" t="s">
        <v>12674</v>
      </c>
      <c r="G606" s="227" t="s">
        <v>11898</v>
      </c>
      <c r="H606" s="212">
        <v>818</v>
      </c>
      <c r="I606" s="208">
        <v>4</v>
      </c>
      <c r="J606" s="211"/>
      <c r="K606" s="209">
        <v>0</v>
      </c>
      <c r="L606" s="212"/>
      <c r="M606" s="212" t="e">
        <f>VLOOKUP(Table12[[#This Row],[ROUTE]],DEMAND!A:F,5,FALSE)</f>
        <v>#N/A</v>
      </c>
      <c r="N606" s="212" t="e">
        <f>VLOOKUP(Table12[[#This Row],[ROUTE]],DEMAND!A:F,6,FALSE)</f>
        <v>#N/A</v>
      </c>
      <c r="O606" s="212" t="e">
        <f>ROUNDDOWN(Table12[[#This Row],[R-DEMAND]]/1320,0)</f>
        <v>#N/A</v>
      </c>
      <c r="P606" s="212" t="e">
        <f>Table12[[#This Row],[ADD ACC]]*Table12[[#This Row],[RT TIME 
(777-500ER)]]</f>
        <v>#N/A</v>
      </c>
    </row>
    <row r="607" spans="1:16" ht="15.75" customHeight="1" x14ac:dyDescent="0.25">
      <c r="A607" s="212" t="s">
        <v>14579</v>
      </c>
      <c r="B607" s="212" t="s">
        <v>3999</v>
      </c>
      <c r="C607" s="212"/>
      <c r="D607" s="226"/>
      <c r="E607" s="212" t="s">
        <v>508</v>
      </c>
      <c r="F607" s="212" t="s">
        <v>12674</v>
      </c>
      <c r="G607" s="227" t="s">
        <v>11822</v>
      </c>
      <c r="H607" s="212">
        <v>877</v>
      </c>
      <c r="I607" s="208">
        <v>4</v>
      </c>
      <c r="J607" s="211"/>
      <c r="K607" s="209">
        <v>0</v>
      </c>
      <c r="L607" s="212"/>
      <c r="M607" s="212" t="e">
        <f>VLOOKUP(Table12[[#This Row],[ROUTE]],DEMAND!A:F,5,FALSE)</f>
        <v>#N/A</v>
      </c>
      <c r="N607" s="212" t="e">
        <f>VLOOKUP(Table12[[#This Row],[ROUTE]],DEMAND!A:F,6,FALSE)</f>
        <v>#N/A</v>
      </c>
      <c r="O607" s="212" t="e">
        <f>ROUNDDOWN(Table12[[#This Row],[R-DEMAND]]/1320,0)</f>
        <v>#N/A</v>
      </c>
      <c r="P607" s="212" t="e">
        <f>Table12[[#This Row],[ADD ACC]]*Table12[[#This Row],[RT TIME 
(777-500ER)]]</f>
        <v>#N/A</v>
      </c>
    </row>
    <row r="608" spans="1:16" ht="15.75" customHeight="1" x14ac:dyDescent="0.25">
      <c r="A608" s="212" t="s">
        <v>14508</v>
      </c>
      <c r="B608" s="212" t="s">
        <v>3551</v>
      </c>
      <c r="C608" s="212"/>
      <c r="D608" s="226">
        <v>2</v>
      </c>
      <c r="E608" s="212" t="s">
        <v>807</v>
      </c>
      <c r="F608" s="212" t="s">
        <v>12674</v>
      </c>
      <c r="G608" s="227" t="s">
        <v>9001</v>
      </c>
      <c r="H608" s="228">
        <v>1020</v>
      </c>
      <c r="I608" s="208">
        <v>4.5</v>
      </c>
      <c r="J608" s="211"/>
      <c r="K608" s="209">
        <v>0</v>
      </c>
      <c r="L608" s="212"/>
      <c r="M608" s="212" t="e">
        <f>VLOOKUP(Table12[[#This Row],[ROUTE]],DEMAND!A:F,5,FALSE)</f>
        <v>#N/A</v>
      </c>
      <c r="N608" s="212" t="e">
        <f>VLOOKUP(Table12[[#This Row],[ROUTE]],DEMAND!A:F,6,FALSE)</f>
        <v>#N/A</v>
      </c>
      <c r="O608" s="212" t="e">
        <f>ROUNDDOWN(Table12[[#This Row],[R-DEMAND]]/1320,0)</f>
        <v>#N/A</v>
      </c>
      <c r="P608" s="212" t="e">
        <f>Table12[[#This Row],[ADD ACC]]*Table12[[#This Row],[RT TIME 
(777-500ER)]]</f>
        <v>#N/A</v>
      </c>
    </row>
    <row r="609" spans="1:16" ht="15.75" customHeight="1" x14ac:dyDescent="0.25">
      <c r="A609" s="212" t="s">
        <v>14543</v>
      </c>
      <c r="B609" s="212" t="s">
        <v>3763</v>
      </c>
      <c r="C609" s="212"/>
      <c r="D609" s="226">
        <v>2</v>
      </c>
      <c r="E609" s="212" t="s">
        <v>597</v>
      </c>
      <c r="F609" s="212" t="s">
        <v>12674</v>
      </c>
      <c r="G609" s="227" t="s">
        <v>11834</v>
      </c>
      <c r="H609" s="228">
        <v>1882</v>
      </c>
      <c r="I609" s="208">
        <v>6.25</v>
      </c>
      <c r="J609" s="211"/>
      <c r="K609" s="209">
        <v>0</v>
      </c>
      <c r="L609" s="212"/>
      <c r="M609" s="212" t="e">
        <f>VLOOKUP(Table12[[#This Row],[ROUTE]],DEMAND!A:F,5,FALSE)</f>
        <v>#N/A</v>
      </c>
      <c r="N609" s="212" t="e">
        <f>VLOOKUP(Table12[[#This Row],[ROUTE]],DEMAND!A:F,6,FALSE)</f>
        <v>#N/A</v>
      </c>
      <c r="O609" s="212" t="e">
        <f>ROUNDDOWN(Table12[[#This Row],[R-DEMAND]]/1320,0)</f>
        <v>#N/A</v>
      </c>
      <c r="P609" s="212" t="e">
        <f>Table12[[#This Row],[ADD ACC]]*Table12[[#This Row],[RT TIME 
(777-500ER)]]</f>
        <v>#N/A</v>
      </c>
    </row>
    <row r="610" spans="1:16" ht="15.75" customHeight="1" x14ac:dyDescent="0.25">
      <c r="A610" s="212" t="s">
        <v>14893</v>
      </c>
      <c r="B610" s="212" t="s">
        <v>4764</v>
      </c>
      <c r="C610" s="212"/>
      <c r="D610" s="226">
        <v>3</v>
      </c>
      <c r="E610" s="212" t="s">
        <v>258</v>
      </c>
      <c r="F610" s="212" t="s">
        <v>12670</v>
      </c>
      <c r="G610" s="227" t="s">
        <v>8977</v>
      </c>
      <c r="H610" s="228">
        <v>6801</v>
      </c>
      <c r="I610" s="208">
        <v>17.25</v>
      </c>
      <c r="J610" s="211"/>
      <c r="K610" s="209">
        <v>0</v>
      </c>
      <c r="L610" s="212"/>
      <c r="M610" s="212" t="e">
        <f>VLOOKUP(Table12[[#This Row],[ROUTE]],DEMAND!A:F,5,FALSE)</f>
        <v>#N/A</v>
      </c>
      <c r="N610" s="212" t="e">
        <f>VLOOKUP(Table12[[#This Row],[ROUTE]],DEMAND!A:F,6,FALSE)</f>
        <v>#N/A</v>
      </c>
      <c r="O610" s="212" t="e">
        <f>ROUNDDOWN(Table12[[#This Row],[R-DEMAND]]/1320,0)</f>
        <v>#N/A</v>
      </c>
      <c r="P610" s="212" t="e">
        <f>Table12[[#This Row],[ADD ACC]]*Table12[[#This Row],[RT TIME 
(777-500ER)]]</f>
        <v>#N/A</v>
      </c>
    </row>
    <row r="611" spans="1:16" ht="15.75" customHeight="1" x14ac:dyDescent="0.25">
      <c r="A611" s="212" t="s">
        <v>14930</v>
      </c>
      <c r="B611" s="212" t="s">
        <v>3699</v>
      </c>
      <c r="C611" s="212"/>
      <c r="D611" s="226">
        <v>2</v>
      </c>
      <c r="E611" s="212" t="s">
        <v>700</v>
      </c>
      <c r="F611" s="212" t="s">
        <v>12670</v>
      </c>
      <c r="G611" s="227" t="s">
        <v>8961</v>
      </c>
      <c r="H611" s="228">
        <v>1979</v>
      </c>
      <c r="I611" s="208">
        <v>6.5</v>
      </c>
      <c r="J611" s="211"/>
      <c r="K611" s="209">
        <v>0</v>
      </c>
      <c r="L611" s="212"/>
      <c r="M611" s="212" t="e">
        <f>VLOOKUP(Table12[[#This Row],[ROUTE]],DEMAND!A:F,5,FALSE)</f>
        <v>#N/A</v>
      </c>
      <c r="N611" s="212" t="e">
        <f>VLOOKUP(Table12[[#This Row],[ROUTE]],DEMAND!A:F,6,FALSE)</f>
        <v>#N/A</v>
      </c>
      <c r="O611" s="212" t="e">
        <f>ROUNDDOWN(Table12[[#This Row],[R-DEMAND]]/1320,0)</f>
        <v>#N/A</v>
      </c>
      <c r="P611" s="212" t="e">
        <f>Table12[[#This Row],[ADD ACC]]*Table12[[#This Row],[RT TIME 
(777-500ER)]]</f>
        <v>#N/A</v>
      </c>
    </row>
    <row r="612" spans="1:16" ht="15.75" customHeight="1" x14ac:dyDescent="0.25">
      <c r="A612" s="212" t="s">
        <v>14611</v>
      </c>
      <c r="B612" s="212" t="s">
        <v>4705</v>
      </c>
      <c r="C612" s="212"/>
      <c r="D612" s="226">
        <v>2</v>
      </c>
      <c r="E612" s="212" t="s">
        <v>78</v>
      </c>
      <c r="F612" s="212" t="s">
        <v>12674</v>
      </c>
      <c r="G612" s="227" t="s">
        <v>11880</v>
      </c>
      <c r="H612" s="212">
        <v>716</v>
      </c>
      <c r="I612" s="208">
        <v>3.75</v>
      </c>
      <c r="J612" s="211"/>
      <c r="K612" s="209">
        <v>0</v>
      </c>
      <c r="L612" s="212"/>
      <c r="M612" s="212" t="e">
        <f>VLOOKUP(Table12[[#This Row],[ROUTE]],DEMAND!A:F,5,FALSE)</f>
        <v>#N/A</v>
      </c>
      <c r="N612" s="212" t="e">
        <f>VLOOKUP(Table12[[#This Row],[ROUTE]],DEMAND!A:F,6,FALSE)</f>
        <v>#N/A</v>
      </c>
      <c r="O612" s="212" t="e">
        <f>ROUNDDOWN(Table12[[#This Row],[R-DEMAND]]/1320,0)</f>
        <v>#N/A</v>
      </c>
      <c r="P612" s="212" t="e">
        <f>Table12[[#This Row],[ADD ACC]]*Table12[[#This Row],[RT TIME 
(777-500ER)]]</f>
        <v>#N/A</v>
      </c>
    </row>
    <row r="613" spans="1:16" ht="15.75" customHeight="1" x14ac:dyDescent="0.25">
      <c r="A613" s="212" t="s">
        <v>14856</v>
      </c>
      <c r="B613" s="212" t="s">
        <v>206</v>
      </c>
      <c r="C613" s="212"/>
      <c r="D613" s="226">
        <v>2</v>
      </c>
      <c r="E613" s="212" t="s">
        <v>717</v>
      </c>
      <c r="F613" s="212" t="s">
        <v>12670</v>
      </c>
      <c r="G613" s="227" t="s">
        <v>12081</v>
      </c>
      <c r="H613" s="228">
        <v>7893</v>
      </c>
      <c r="I613" s="208">
        <v>19.75</v>
      </c>
      <c r="J613" s="211"/>
      <c r="K613" s="209">
        <v>0</v>
      </c>
      <c r="L613" s="212"/>
      <c r="M613" s="212" t="e">
        <f>VLOOKUP(Table12[[#This Row],[ROUTE]],DEMAND!A:F,5,FALSE)</f>
        <v>#N/A</v>
      </c>
      <c r="N613" s="212" t="e">
        <f>VLOOKUP(Table12[[#This Row],[ROUTE]],DEMAND!A:F,6,FALSE)</f>
        <v>#N/A</v>
      </c>
      <c r="O613" s="212" t="e">
        <f>ROUNDDOWN(Table12[[#This Row],[R-DEMAND]]/1320,0)</f>
        <v>#N/A</v>
      </c>
      <c r="P613" s="212" t="e">
        <f>Table12[[#This Row],[ADD ACC]]*Table12[[#This Row],[RT TIME 
(777-500ER)]]</f>
        <v>#N/A</v>
      </c>
    </row>
    <row r="614" spans="1:16" ht="15.75" customHeight="1" x14ac:dyDescent="0.25">
      <c r="A614" s="212" t="s">
        <v>14388</v>
      </c>
      <c r="B614" s="212" t="s">
        <v>4613</v>
      </c>
      <c r="C614" s="212"/>
      <c r="D614" s="226" t="s">
        <v>15105</v>
      </c>
      <c r="E614" s="212" t="s">
        <v>647</v>
      </c>
      <c r="F614" s="212" t="s">
        <v>12688</v>
      </c>
      <c r="G614" s="227" t="s">
        <v>13301</v>
      </c>
      <c r="H614" s="228">
        <v>9398</v>
      </c>
      <c r="I614" s="208">
        <v>23.25</v>
      </c>
      <c r="J614" s="211"/>
      <c r="K614" s="209">
        <v>0</v>
      </c>
      <c r="L614" s="212"/>
      <c r="M614" s="212" t="e">
        <f>VLOOKUP(Table12[[#This Row],[ROUTE]],DEMAND!A:F,5,FALSE)</f>
        <v>#N/A</v>
      </c>
      <c r="N614" s="212" t="e">
        <f>VLOOKUP(Table12[[#This Row],[ROUTE]],DEMAND!A:F,6,FALSE)</f>
        <v>#N/A</v>
      </c>
      <c r="O614" s="212" t="e">
        <f>ROUNDDOWN(Table12[[#This Row],[R-DEMAND]]/1320,0)</f>
        <v>#N/A</v>
      </c>
      <c r="P614" s="212" t="e">
        <f>Table12[[#This Row],[ADD ACC]]*Table12[[#This Row],[RT TIME 
(777-500ER)]]</f>
        <v>#N/A</v>
      </c>
    </row>
    <row r="615" spans="1:16" ht="15.75" customHeight="1" x14ac:dyDescent="0.25">
      <c r="A615" s="212" t="s">
        <v>15025</v>
      </c>
      <c r="B615" s="212" t="s">
        <v>4349</v>
      </c>
      <c r="C615" s="212"/>
      <c r="D615" s="226">
        <v>2</v>
      </c>
      <c r="E615" s="212" t="s">
        <v>4347</v>
      </c>
      <c r="F615" s="212" t="s">
        <v>12671</v>
      </c>
      <c r="G615" s="227" t="s">
        <v>11784</v>
      </c>
      <c r="H615" s="228">
        <v>6632</v>
      </c>
      <c r="I615" s="208">
        <v>17</v>
      </c>
      <c r="J615" s="211"/>
      <c r="K615" s="209">
        <v>0</v>
      </c>
      <c r="L615" s="212"/>
      <c r="M615" s="212" t="e">
        <f>VLOOKUP(Table12[[#This Row],[ROUTE]],DEMAND!A:F,5,FALSE)</f>
        <v>#N/A</v>
      </c>
      <c r="N615" s="212" t="e">
        <f>VLOOKUP(Table12[[#This Row],[ROUTE]],DEMAND!A:F,6,FALSE)</f>
        <v>#N/A</v>
      </c>
      <c r="O615" s="212" t="e">
        <f>ROUNDDOWN(Table12[[#This Row],[R-DEMAND]]/1320,0)</f>
        <v>#N/A</v>
      </c>
      <c r="P615" s="212" t="e">
        <f>Table12[[#This Row],[ADD ACC]]*Table12[[#This Row],[RT TIME 
(777-500ER)]]</f>
        <v>#N/A</v>
      </c>
    </row>
    <row r="616" spans="1:16" ht="15.75" customHeight="1" x14ac:dyDescent="0.25">
      <c r="A616" s="212" t="s">
        <v>14501</v>
      </c>
      <c r="B616" s="212" t="s">
        <v>5365</v>
      </c>
      <c r="C616" s="212"/>
      <c r="D616" s="226">
        <v>3</v>
      </c>
      <c r="E616" s="212" t="s">
        <v>4909</v>
      </c>
      <c r="F616" s="212" t="s">
        <v>12674</v>
      </c>
      <c r="G616" s="227" t="s">
        <v>8912</v>
      </c>
      <c r="H616" s="228">
        <v>2307</v>
      </c>
      <c r="I616" s="208">
        <v>7.25</v>
      </c>
      <c r="J616" s="211"/>
      <c r="K616" s="209">
        <v>0</v>
      </c>
      <c r="L616" s="212"/>
      <c r="M616" s="212" t="e">
        <f>VLOOKUP(Table12[[#This Row],[ROUTE]],DEMAND!A:F,5,FALSE)</f>
        <v>#N/A</v>
      </c>
      <c r="N616" s="212" t="e">
        <f>VLOOKUP(Table12[[#This Row],[ROUTE]],DEMAND!A:F,6,FALSE)</f>
        <v>#N/A</v>
      </c>
      <c r="O616" s="212" t="e">
        <f>ROUNDDOWN(Table12[[#This Row],[R-DEMAND]]/1320,0)</f>
        <v>#N/A</v>
      </c>
      <c r="P616" s="212" t="e">
        <f>Table12[[#This Row],[ADD ACC]]*Table12[[#This Row],[RT TIME 
(777-500ER)]]</f>
        <v>#N/A</v>
      </c>
    </row>
    <row r="617" spans="1:16" ht="15.75" customHeight="1" x14ac:dyDescent="0.25">
      <c r="A617" s="212" t="s">
        <v>14459</v>
      </c>
      <c r="B617" s="212" t="s">
        <v>3461</v>
      </c>
      <c r="C617" s="212"/>
      <c r="D617" s="226">
        <v>2</v>
      </c>
      <c r="E617" s="212" t="s">
        <v>3350</v>
      </c>
      <c r="F617" s="212" t="s">
        <v>12688</v>
      </c>
      <c r="G617" s="227" t="s">
        <v>13211</v>
      </c>
      <c r="H617" s="228">
        <v>10573</v>
      </c>
      <c r="I617" s="208">
        <v>25.75</v>
      </c>
      <c r="J617" s="211"/>
      <c r="K617" s="209">
        <v>0</v>
      </c>
      <c r="L617" s="212"/>
      <c r="M617" s="212" t="e">
        <f>VLOOKUP(Table12[[#This Row],[ROUTE]],DEMAND!A:F,5,FALSE)</f>
        <v>#N/A</v>
      </c>
      <c r="N617" s="212" t="e">
        <f>VLOOKUP(Table12[[#This Row],[ROUTE]],DEMAND!A:F,6,FALSE)</f>
        <v>#N/A</v>
      </c>
      <c r="O617" s="212" t="e">
        <f>ROUNDDOWN(Table12[[#This Row],[R-DEMAND]]/1320,0)</f>
        <v>#N/A</v>
      </c>
      <c r="P617" s="212" t="e">
        <f>Table12[[#This Row],[ADD ACC]]*Table12[[#This Row],[RT TIME 
(777-500ER)]]</f>
        <v>#N/A</v>
      </c>
    </row>
    <row r="618" spans="1:16" ht="15.75" customHeight="1" x14ac:dyDescent="0.25">
      <c r="A618" s="212" t="s">
        <v>14526</v>
      </c>
      <c r="B618" s="212" t="s">
        <v>3990</v>
      </c>
      <c r="C618" s="212"/>
      <c r="D618" s="226">
        <v>2</v>
      </c>
      <c r="E618" s="212" t="s">
        <v>560</v>
      </c>
      <c r="F618" s="212" t="s">
        <v>12674</v>
      </c>
      <c r="G618" s="227" t="s">
        <v>11709</v>
      </c>
      <c r="H618" s="228">
        <v>3017</v>
      </c>
      <c r="I618" s="208">
        <v>9</v>
      </c>
      <c r="J618" s="211"/>
      <c r="K618" s="209">
        <v>0</v>
      </c>
      <c r="L618" s="212"/>
      <c r="M618" s="212" t="e">
        <f>VLOOKUP(Table12[[#This Row],[ROUTE]],DEMAND!A:F,5,FALSE)</f>
        <v>#N/A</v>
      </c>
      <c r="N618" s="212" t="e">
        <f>VLOOKUP(Table12[[#This Row],[ROUTE]],DEMAND!A:F,6,FALSE)</f>
        <v>#N/A</v>
      </c>
      <c r="O618" s="212" t="e">
        <f>ROUNDDOWN(Table12[[#This Row],[R-DEMAND]]/1320,0)</f>
        <v>#N/A</v>
      </c>
      <c r="P618" s="212" t="e">
        <f>Table12[[#This Row],[ADD ACC]]*Table12[[#This Row],[RT TIME 
(777-500ER)]]</f>
        <v>#N/A</v>
      </c>
    </row>
    <row r="619" spans="1:16" ht="15.75" customHeight="1" x14ac:dyDescent="0.25">
      <c r="A619" s="212" t="s">
        <v>14273</v>
      </c>
      <c r="B619" s="212" t="s">
        <v>2231</v>
      </c>
      <c r="C619" s="212"/>
      <c r="D619" s="226">
        <v>1</v>
      </c>
      <c r="E619" s="212" t="s">
        <v>774</v>
      </c>
      <c r="F619" s="212" t="s">
        <v>12682</v>
      </c>
      <c r="G619" s="227" t="s">
        <v>8897</v>
      </c>
      <c r="H619" s="228">
        <v>11202</v>
      </c>
      <c r="I619" s="208">
        <v>27.25</v>
      </c>
      <c r="J619" s="211"/>
      <c r="K619" s="209">
        <v>0</v>
      </c>
      <c r="L619" s="212"/>
      <c r="M619" s="212" t="e">
        <f>VLOOKUP(Table12[[#This Row],[ROUTE]],DEMAND!A:F,5,FALSE)</f>
        <v>#N/A</v>
      </c>
      <c r="N619" s="212" t="e">
        <f>VLOOKUP(Table12[[#This Row],[ROUTE]],DEMAND!A:F,6,FALSE)</f>
        <v>#N/A</v>
      </c>
      <c r="O619" s="212" t="e">
        <f>ROUNDDOWN(Table12[[#This Row],[R-DEMAND]]/1320,0)</f>
        <v>#N/A</v>
      </c>
      <c r="P619" s="212" t="e">
        <f>Table12[[#This Row],[ADD ACC]]*Table12[[#This Row],[RT TIME 
(777-500ER)]]</f>
        <v>#N/A</v>
      </c>
    </row>
    <row r="620" spans="1:16" ht="15.75" customHeight="1" x14ac:dyDescent="0.25">
      <c r="A620" s="212" t="s">
        <v>14610</v>
      </c>
      <c r="B620" s="212" t="s">
        <v>204</v>
      </c>
      <c r="C620" s="212"/>
      <c r="D620" s="226">
        <v>3</v>
      </c>
      <c r="E620" s="212" t="s">
        <v>78</v>
      </c>
      <c r="F620" s="212" t="s">
        <v>12674</v>
      </c>
      <c r="G620" s="227" t="s">
        <v>11832</v>
      </c>
      <c r="H620" s="212">
        <v>667</v>
      </c>
      <c r="I620" s="208">
        <v>3.5</v>
      </c>
      <c r="J620" s="211"/>
      <c r="K620" s="209">
        <v>0</v>
      </c>
      <c r="L620" s="212"/>
      <c r="M620" s="212" t="e">
        <f>VLOOKUP(Table12[[#This Row],[ROUTE]],DEMAND!A:F,5,FALSE)</f>
        <v>#N/A</v>
      </c>
      <c r="N620" s="212" t="e">
        <f>VLOOKUP(Table12[[#This Row],[ROUTE]],DEMAND!A:F,6,FALSE)</f>
        <v>#N/A</v>
      </c>
      <c r="O620" s="212" t="e">
        <f>ROUNDDOWN(Table12[[#This Row],[R-DEMAND]]/1320,0)</f>
        <v>#N/A</v>
      </c>
      <c r="P620" s="212" t="e">
        <f>Table12[[#This Row],[ADD ACC]]*Table12[[#This Row],[RT TIME 
(777-500ER)]]</f>
        <v>#N/A</v>
      </c>
    </row>
    <row r="621" spans="1:16" ht="15.75" customHeight="1" x14ac:dyDescent="0.25">
      <c r="A621" s="212" t="s">
        <v>14531</v>
      </c>
      <c r="B621" s="212" t="s">
        <v>5051</v>
      </c>
      <c r="C621" s="212"/>
      <c r="D621" s="226">
        <v>3</v>
      </c>
      <c r="E621" s="212" t="s">
        <v>1427</v>
      </c>
      <c r="F621" s="212" t="s">
        <v>12674</v>
      </c>
      <c r="G621" s="227" t="s">
        <v>11780</v>
      </c>
      <c r="H621" s="228">
        <v>1748</v>
      </c>
      <c r="I621" s="208">
        <v>6</v>
      </c>
      <c r="J621" s="211"/>
      <c r="K621" s="209">
        <v>0</v>
      </c>
      <c r="L621" s="212"/>
      <c r="M621" s="212" t="e">
        <f>VLOOKUP(Table12[[#This Row],[ROUTE]],DEMAND!A:F,5,FALSE)</f>
        <v>#N/A</v>
      </c>
      <c r="N621" s="212" t="e">
        <f>VLOOKUP(Table12[[#This Row],[ROUTE]],DEMAND!A:F,6,FALSE)</f>
        <v>#N/A</v>
      </c>
      <c r="O621" s="212" t="e">
        <f>ROUNDDOWN(Table12[[#This Row],[R-DEMAND]]/1320,0)</f>
        <v>#N/A</v>
      </c>
      <c r="P621" s="212" t="e">
        <f>Table12[[#This Row],[ADD ACC]]*Table12[[#This Row],[RT TIME 
(777-500ER)]]</f>
        <v>#N/A</v>
      </c>
    </row>
    <row r="622" spans="1:16" ht="15.75" customHeight="1" x14ac:dyDescent="0.25">
      <c r="A622" s="212" t="s">
        <v>15084</v>
      </c>
      <c r="B622" s="212" t="s">
        <v>3678</v>
      </c>
      <c r="C622" s="212"/>
      <c r="D622" s="226">
        <v>2</v>
      </c>
      <c r="E622" s="212" t="s">
        <v>490</v>
      </c>
      <c r="F622" s="212" t="s">
        <v>12671</v>
      </c>
      <c r="G622" s="227" t="s">
        <v>11711</v>
      </c>
      <c r="H622" s="228">
        <v>6365</v>
      </c>
      <c r="I622" s="208">
        <v>16.5</v>
      </c>
      <c r="J622" s="211"/>
      <c r="K622" s="209">
        <v>0</v>
      </c>
      <c r="L622" s="212"/>
      <c r="M622" s="212" t="e">
        <f>VLOOKUP(Table12[[#This Row],[ROUTE]],DEMAND!A:F,5,FALSE)</f>
        <v>#N/A</v>
      </c>
      <c r="N622" s="212" t="e">
        <f>VLOOKUP(Table12[[#This Row],[ROUTE]],DEMAND!A:F,6,FALSE)</f>
        <v>#N/A</v>
      </c>
      <c r="O622" s="212" t="e">
        <f>ROUNDDOWN(Table12[[#This Row],[R-DEMAND]]/1320,0)</f>
        <v>#N/A</v>
      </c>
      <c r="P622" s="212" t="e">
        <f>Table12[[#This Row],[ADD ACC]]*Table12[[#This Row],[RT TIME 
(777-500ER)]]</f>
        <v>#N/A</v>
      </c>
    </row>
    <row r="623" spans="1:16" ht="15.75" customHeight="1" x14ac:dyDescent="0.25">
      <c r="A623" s="212" t="s">
        <v>14409</v>
      </c>
      <c r="B623" s="212" t="s">
        <v>5135</v>
      </c>
      <c r="C623" s="212"/>
      <c r="D623" s="226" t="s">
        <v>15106</v>
      </c>
      <c r="E623" s="212" t="s">
        <v>647</v>
      </c>
      <c r="F623" s="212" t="s">
        <v>12688</v>
      </c>
      <c r="G623" s="227" t="s">
        <v>13271</v>
      </c>
      <c r="H623" s="228">
        <v>9837</v>
      </c>
      <c r="I623" s="208">
        <v>24.25</v>
      </c>
      <c r="J623" s="211"/>
      <c r="K623" s="209">
        <v>0</v>
      </c>
      <c r="L623" s="212"/>
      <c r="M623" s="212" t="e">
        <f>VLOOKUP(Table12[[#This Row],[ROUTE]],DEMAND!A:F,5,FALSE)</f>
        <v>#N/A</v>
      </c>
      <c r="N623" s="212" t="e">
        <f>VLOOKUP(Table12[[#This Row],[ROUTE]],DEMAND!A:F,6,FALSE)</f>
        <v>#N/A</v>
      </c>
      <c r="O623" s="212" t="e">
        <f>ROUNDDOWN(Table12[[#This Row],[R-DEMAND]]/1320,0)</f>
        <v>#N/A</v>
      </c>
      <c r="P623" s="212" t="e">
        <f>Table12[[#This Row],[ADD ACC]]*Table12[[#This Row],[RT TIME 
(777-500ER)]]</f>
        <v>#N/A</v>
      </c>
    </row>
    <row r="624" spans="1:16" ht="15.75" customHeight="1" x14ac:dyDescent="0.25">
      <c r="A624" s="212" t="s">
        <v>14493</v>
      </c>
      <c r="B624" s="212" t="s">
        <v>3929</v>
      </c>
      <c r="C624" s="212"/>
      <c r="D624" s="226">
        <v>2</v>
      </c>
      <c r="E624" s="212" t="s">
        <v>3180</v>
      </c>
      <c r="F624" s="212" t="s">
        <v>12674</v>
      </c>
      <c r="G624" s="227" t="s">
        <v>11735</v>
      </c>
      <c r="H624" s="228">
        <v>2213</v>
      </c>
      <c r="I624" s="208">
        <v>7</v>
      </c>
      <c r="J624" s="211"/>
      <c r="K624" s="209">
        <v>0</v>
      </c>
      <c r="L624" s="212"/>
      <c r="M624" s="212" t="e">
        <f>VLOOKUP(Table12[[#This Row],[ROUTE]],DEMAND!A:F,5,FALSE)</f>
        <v>#N/A</v>
      </c>
      <c r="N624" s="212" t="e">
        <f>VLOOKUP(Table12[[#This Row],[ROUTE]],DEMAND!A:F,6,FALSE)</f>
        <v>#N/A</v>
      </c>
      <c r="O624" s="212" t="e">
        <f>ROUNDDOWN(Table12[[#This Row],[R-DEMAND]]/1320,0)</f>
        <v>#N/A</v>
      </c>
      <c r="P624" s="212" t="e">
        <f>Table12[[#This Row],[ADD ACC]]*Table12[[#This Row],[RT TIME 
(777-500ER)]]</f>
        <v>#N/A</v>
      </c>
    </row>
    <row r="625" spans="1:16" ht="15.75" customHeight="1" x14ac:dyDescent="0.25">
      <c r="A625" s="212" t="s">
        <v>14831</v>
      </c>
      <c r="B625" s="212" t="s">
        <v>202</v>
      </c>
      <c r="C625" s="212"/>
      <c r="D625" s="226">
        <v>2</v>
      </c>
      <c r="E625" s="212" t="s">
        <v>709</v>
      </c>
      <c r="F625" s="212" t="s">
        <v>12670</v>
      </c>
      <c r="G625" s="227" t="s">
        <v>12107</v>
      </c>
      <c r="H625" s="228">
        <v>7682</v>
      </c>
      <c r="I625" s="208">
        <v>19.25</v>
      </c>
      <c r="J625" s="211"/>
      <c r="K625" s="209">
        <v>0</v>
      </c>
      <c r="L625" s="212"/>
      <c r="M625" s="212" t="e">
        <f>VLOOKUP(Table12[[#This Row],[ROUTE]],DEMAND!A:F,5,FALSE)</f>
        <v>#N/A</v>
      </c>
      <c r="N625" s="212" t="e">
        <f>VLOOKUP(Table12[[#This Row],[ROUTE]],DEMAND!A:F,6,FALSE)</f>
        <v>#N/A</v>
      </c>
      <c r="O625" s="212" t="e">
        <f>ROUNDDOWN(Table12[[#This Row],[R-DEMAND]]/1320,0)</f>
        <v>#N/A</v>
      </c>
      <c r="P625" s="212" t="e">
        <f>Table12[[#This Row],[ADD ACC]]*Table12[[#This Row],[RT TIME 
(777-500ER)]]</f>
        <v>#N/A</v>
      </c>
    </row>
    <row r="626" spans="1:16" ht="15.75" customHeight="1" x14ac:dyDescent="0.25">
      <c r="A626" s="212" t="s">
        <v>14513</v>
      </c>
      <c r="B626" s="212" t="s">
        <v>4671</v>
      </c>
      <c r="C626" s="212"/>
      <c r="D626" s="226">
        <v>2</v>
      </c>
      <c r="E626" s="212" t="s">
        <v>560</v>
      </c>
      <c r="F626" s="212" t="s">
        <v>12674</v>
      </c>
      <c r="G626" s="227" t="s">
        <v>11724</v>
      </c>
      <c r="H626" s="228">
        <v>2366</v>
      </c>
      <c r="I626" s="208">
        <v>7.5</v>
      </c>
      <c r="J626" s="211"/>
      <c r="K626" s="209">
        <v>0</v>
      </c>
      <c r="L626" s="212"/>
      <c r="M626" s="212" t="e">
        <f>VLOOKUP(Table12[[#This Row],[ROUTE]],DEMAND!A:F,5,FALSE)</f>
        <v>#N/A</v>
      </c>
      <c r="N626" s="212" t="e">
        <f>VLOOKUP(Table12[[#This Row],[ROUTE]],DEMAND!A:F,6,FALSE)</f>
        <v>#N/A</v>
      </c>
      <c r="O626" s="212" t="e">
        <f>ROUNDDOWN(Table12[[#This Row],[R-DEMAND]]/1320,0)</f>
        <v>#N/A</v>
      </c>
      <c r="P626" s="212" t="e">
        <f>Table12[[#This Row],[ADD ACC]]*Table12[[#This Row],[RT TIME 
(777-500ER)]]</f>
        <v>#N/A</v>
      </c>
    </row>
    <row r="627" spans="1:16" ht="15.75" customHeight="1" x14ac:dyDescent="0.25">
      <c r="A627" s="212" t="s">
        <v>14648</v>
      </c>
      <c r="B627" s="212" t="s">
        <v>4822</v>
      </c>
      <c r="C627" s="212"/>
      <c r="D627" s="226">
        <v>3</v>
      </c>
      <c r="E627" s="212" t="s">
        <v>992</v>
      </c>
      <c r="F627" s="212" t="s">
        <v>12674</v>
      </c>
      <c r="G627" s="227" t="s">
        <v>11794</v>
      </c>
      <c r="H627" s="228">
        <v>1924</v>
      </c>
      <c r="I627" s="208">
        <v>6.5</v>
      </c>
      <c r="J627" s="211"/>
      <c r="K627" s="209">
        <v>0</v>
      </c>
      <c r="L627" s="212"/>
      <c r="M627" s="212" t="e">
        <f>VLOOKUP(Table12[[#This Row],[ROUTE]],DEMAND!A:F,5,FALSE)</f>
        <v>#N/A</v>
      </c>
      <c r="N627" s="212" t="e">
        <f>VLOOKUP(Table12[[#This Row],[ROUTE]],DEMAND!A:F,6,FALSE)</f>
        <v>#N/A</v>
      </c>
      <c r="O627" s="212" t="e">
        <f>ROUNDDOWN(Table12[[#This Row],[R-DEMAND]]/1320,0)</f>
        <v>#N/A</v>
      </c>
      <c r="P627" s="212" t="e">
        <f>Table12[[#This Row],[ADD ACC]]*Table12[[#This Row],[RT TIME 
(777-500ER)]]</f>
        <v>#N/A</v>
      </c>
    </row>
    <row r="628" spans="1:16" ht="15.75" customHeight="1" x14ac:dyDescent="0.25">
      <c r="A628" s="212" t="s">
        <v>14587</v>
      </c>
      <c r="B628" s="212" t="s">
        <v>2266</v>
      </c>
      <c r="C628" s="212"/>
      <c r="D628" s="226">
        <v>1</v>
      </c>
      <c r="E628" s="212" t="s">
        <v>605</v>
      </c>
      <c r="F628" s="212" t="s">
        <v>12674</v>
      </c>
      <c r="G628" s="227" t="s">
        <v>11809</v>
      </c>
      <c r="H628" s="228">
        <v>1749</v>
      </c>
      <c r="I628" s="208">
        <v>6</v>
      </c>
      <c r="J628" s="211"/>
      <c r="K628" s="209">
        <v>0</v>
      </c>
      <c r="L628" s="212"/>
      <c r="M628" s="212" t="e">
        <f>VLOOKUP(Table12[[#This Row],[ROUTE]],DEMAND!A:F,5,FALSE)</f>
        <v>#N/A</v>
      </c>
      <c r="N628" s="212" t="e">
        <f>VLOOKUP(Table12[[#This Row],[ROUTE]],DEMAND!A:F,6,FALSE)</f>
        <v>#N/A</v>
      </c>
      <c r="O628" s="212" t="e">
        <f>ROUNDDOWN(Table12[[#This Row],[R-DEMAND]]/1320,0)</f>
        <v>#N/A</v>
      </c>
      <c r="P628" s="212" t="e">
        <f>Table12[[#This Row],[ADD ACC]]*Table12[[#This Row],[RT TIME 
(777-500ER)]]</f>
        <v>#N/A</v>
      </c>
    </row>
    <row r="629" spans="1:16" ht="15.75" customHeight="1" x14ac:dyDescent="0.25">
      <c r="A629" s="212" t="s">
        <v>14669</v>
      </c>
      <c r="B629" s="212" t="s">
        <v>4545</v>
      </c>
      <c r="C629" s="212"/>
      <c r="D629" s="226">
        <v>2</v>
      </c>
      <c r="E629" s="212" t="s">
        <v>585</v>
      </c>
      <c r="F629" s="212" t="s">
        <v>12674</v>
      </c>
      <c r="G629" s="227" t="s">
        <v>11807</v>
      </c>
      <c r="H629" s="228">
        <v>1412</v>
      </c>
      <c r="I629" s="208">
        <v>5.25</v>
      </c>
      <c r="J629" s="211"/>
      <c r="K629" s="209">
        <v>0</v>
      </c>
      <c r="L629" s="212"/>
      <c r="M629" s="212" t="e">
        <f>VLOOKUP(Table12[[#This Row],[ROUTE]],DEMAND!A:F,5,FALSE)</f>
        <v>#N/A</v>
      </c>
      <c r="N629" s="212" t="e">
        <f>VLOOKUP(Table12[[#This Row],[ROUTE]],DEMAND!A:F,6,FALSE)</f>
        <v>#N/A</v>
      </c>
      <c r="O629" s="212" t="e">
        <f>ROUNDDOWN(Table12[[#This Row],[R-DEMAND]]/1320,0)</f>
        <v>#N/A</v>
      </c>
      <c r="P629" s="212" t="e">
        <f>Table12[[#This Row],[ADD ACC]]*Table12[[#This Row],[RT TIME 
(777-500ER)]]</f>
        <v>#N/A</v>
      </c>
    </row>
    <row r="630" spans="1:16" ht="15.75" customHeight="1" x14ac:dyDescent="0.25">
      <c r="A630" s="212" t="s">
        <v>15040</v>
      </c>
      <c r="B630" s="212" t="s">
        <v>3295</v>
      </c>
      <c r="C630" s="212"/>
      <c r="D630" s="226">
        <v>2</v>
      </c>
      <c r="E630" s="212" t="s">
        <v>3293</v>
      </c>
      <c r="F630" s="212" t="s">
        <v>12671</v>
      </c>
      <c r="G630" s="227" t="s">
        <v>11917</v>
      </c>
      <c r="H630" s="228">
        <v>7706</v>
      </c>
      <c r="I630" s="208">
        <v>19.5</v>
      </c>
      <c r="J630" s="211"/>
      <c r="K630" s="209">
        <v>0</v>
      </c>
      <c r="L630" s="212"/>
      <c r="M630" s="212" t="e">
        <f>VLOOKUP(Table12[[#This Row],[ROUTE]],DEMAND!A:F,5,FALSE)</f>
        <v>#N/A</v>
      </c>
      <c r="N630" s="212" t="e">
        <f>VLOOKUP(Table12[[#This Row],[ROUTE]],DEMAND!A:F,6,FALSE)</f>
        <v>#N/A</v>
      </c>
      <c r="O630" s="212" t="e">
        <f>ROUNDDOWN(Table12[[#This Row],[R-DEMAND]]/1320,0)</f>
        <v>#N/A</v>
      </c>
      <c r="P630" s="212" t="e">
        <f>Table12[[#This Row],[ADD ACC]]*Table12[[#This Row],[RT TIME 
(777-500ER)]]</f>
        <v>#N/A</v>
      </c>
    </row>
    <row r="631" spans="1:16" ht="15.75" customHeight="1" x14ac:dyDescent="0.25">
      <c r="A631" s="212" t="s">
        <v>14357</v>
      </c>
      <c r="B631" s="212" t="s">
        <v>1924</v>
      </c>
      <c r="C631" s="212"/>
      <c r="D631" s="226" t="s">
        <v>15104</v>
      </c>
      <c r="E631" s="212" t="s">
        <v>647</v>
      </c>
      <c r="F631" s="212" t="s">
        <v>12688</v>
      </c>
      <c r="G631" s="227" t="s">
        <v>8825</v>
      </c>
      <c r="H631" s="228">
        <v>8999</v>
      </c>
      <c r="I631" s="208">
        <v>22.25</v>
      </c>
      <c r="J631" s="211"/>
      <c r="K631" s="209">
        <v>0</v>
      </c>
      <c r="L631" s="212"/>
      <c r="M631" s="212" t="e">
        <f>VLOOKUP(Table12[[#This Row],[ROUTE]],DEMAND!A:F,5,FALSE)</f>
        <v>#N/A</v>
      </c>
      <c r="N631" s="212" t="e">
        <f>VLOOKUP(Table12[[#This Row],[ROUTE]],DEMAND!A:F,6,FALSE)</f>
        <v>#N/A</v>
      </c>
      <c r="O631" s="212" t="e">
        <f>ROUNDDOWN(Table12[[#This Row],[R-DEMAND]]/1320,0)</f>
        <v>#N/A</v>
      </c>
      <c r="P631" s="212" t="e">
        <f>Table12[[#This Row],[ADD ACC]]*Table12[[#This Row],[RT TIME 
(777-500ER)]]</f>
        <v>#N/A</v>
      </c>
    </row>
    <row r="632" spans="1:16" ht="15.75" customHeight="1" x14ac:dyDescent="0.25">
      <c r="A632" s="212" t="s">
        <v>14337</v>
      </c>
      <c r="B632" s="212" t="s">
        <v>3630</v>
      </c>
      <c r="C632" s="212"/>
      <c r="D632" s="226" t="s">
        <v>15105</v>
      </c>
      <c r="E632" s="212" t="s">
        <v>647</v>
      </c>
      <c r="F632" s="212" t="s">
        <v>12688</v>
      </c>
      <c r="G632" s="227" t="s">
        <v>8820</v>
      </c>
      <c r="H632" s="228">
        <v>8488</v>
      </c>
      <c r="I632" s="208">
        <v>21.25</v>
      </c>
      <c r="J632" s="211"/>
      <c r="K632" s="209">
        <v>0</v>
      </c>
      <c r="L632" s="212"/>
      <c r="M632" s="212" t="e">
        <f>VLOOKUP(Table12[[#This Row],[ROUTE]],DEMAND!A:F,5,FALSE)</f>
        <v>#N/A</v>
      </c>
      <c r="N632" s="212" t="e">
        <f>VLOOKUP(Table12[[#This Row],[ROUTE]],DEMAND!A:F,6,FALSE)</f>
        <v>#N/A</v>
      </c>
      <c r="O632" s="212" t="e">
        <f>ROUNDDOWN(Table12[[#This Row],[R-DEMAND]]/1320,0)</f>
        <v>#N/A</v>
      </c>
      <c r="P632" s="212" t="e">
        <f>Table12[[#This Row],[ADD ACC]]*Table12[[#This Row],[RT TIME 
(777-500ER)]]</f>
        <v>#N/A</v>
      </c>
    </row>
    <row r="633" spans="1:16" ht="15.75" customHeight="1" x14ac:dyDescent="0.25">
      <c r="A633" s="212" t="s">
        <v>14489</v>
      </c>
      <c r="B633" s="212" t="s">
        <v>4402</v>
      </c>
      <c r="C633" s="212"/>
      <c r="D633" s="226">
        <v>2</v>
      </c>
      <c r="E633" s="212" t="s">
        <v>3915</v>
      </c>
      <c r="F633" s="212" t="s">
        <v>12674</v>
      </c>
      <c r="G633" s="227" t="s">
        <v>11793</v>
      </c>
      <c r="H633" s="228">
        <v>1803</v>
      </c>
      <c r="I633" s="208">
        <v>6.25</v>
      </c>
      <c r="J633" s="211"/>
      <c r="K633" s="209">
        <v>0</v>
      </c>
      <c r="L633" s="212"/>
      <c r="M633" s="212" t="e">
        <f>VLOOKUP(Table12[[#This Row],[ROUTE]],DEMAND!A:F,5,FALSE)</f>
        <v>#N/A</v>
      </c>
      <c r="N633" s="212" t="e">
        <f>VLOOKUP(Table12[[#This Row],[ROUTE]],DEMAND!A:F,6,FALSE)</f>
        <v>#N/A</v>
      </c>
      <c r="O633" s="212" t="e">
        <f>ROUNDDOWN(Table12[[#This Row],[R-DEMAND]]/1320,0)</f>
        <v>#N/A</v>
      </c>
      <c r="P633" s="212" t="e">
        <f>Table12[[#This Row],[ADD ACC]]*Table12[[#This Row],[RT TIME 
(777-500ER)]]</f>
        <v>#N/A</v>
      </c>
    </row>
    <row r="634" spans="1:16" ht="15.75" customHeight="1" x14ac:dyDescent="0.25">
      <c r="A634" s="212" t="s">
        <v>14983</v>
      </c>
      <c r="B634" s="212" t="s">
        <v>575</v>
      </c>
      <c r="C634" s="212"/>
      <c r="D634" s="226">
        <v>1</v>
      </c>
      <c r="E634" s="212" t="s">
        <v>493</v>
      </c>
      <c r="F634" s="212" t="s">
        <v>12671</v>
      </c>
      <c r="G634" s="227" t="s">
        <v>11717</v>
      </c>
      <c r="H634" s="228">
        <v>3604</v>
      </c>
      <c r="I634" s="208">
        <v>10.25</v>
      </c>
      <c r="J634" s="211"/>
      <c r="K634" s="209">
        <v>0</v>
      </c>
      <c r="L634" s="212"/>
      <c r="M634" s="212" t="e">
        <f>VLOOKUP(Table12[[#This Row],[ROUTE]],DEMAND!A:F,5,FALSE)</f>
        <v>#N/A</v>
      </c>
      <c r="N634" s="212" t="e">
        <f>VLOOKUP(Table12[[#This Row],[ROUTE]],DEMAND!A:F,6,FALSE)</f>
        <v>#N/A</v>
      </c>
      <c r="O634" s="212" t="e">
        <f>ROUNDDOWN(Table12[[#This Row],[R-DEMAND]]/1320,0)</f>
        <v>#N/A</v>
      </c>
      <c r="P634" s="212" t="e">
        <f>Table12[[#This Row],[ADD ACC]]*Table12[[#This Row],[RT TIME 
(777-500ER)]]</f>
        <v>#N/A</v>
      </c>
    </row>
    <row r="635" spans="1:16" ht="15.75" customHeight="1" x14ac:dyDescent="0.25">
      <c r="A635" s="212" t="s">
        <v>14234</v>
      </c>
      <c r="B635" s="212" t="s">
        <v>4456</v>
      </c>
      <c r="C635" s="212"/>
      <c r="D635" s="226">
        <v>2</v>
      </c>
      <c r="E635" s="212" t="s">
        <v>1144</v>
      </c>
      <c r="F635" s="212" t="s">
        <v>12694</v>
      </c>
      <c r="G635" s="227" t="s">
        <v>13149</v>
      </c>
      <c r="H635" s="228">
        <v>12528</v>
      </c>
      <c r="I635" s="208">
        <v>30.25</v>
      </c>
      <c r="J635" s="211"/>
      <c r="K635" s="209">
        <v>0</v>
      </c>
      <c r="L635" s="212"/>
      <c r="M635" s="212" t="e">
        <f>VLOOKUP(Table12[[#This Row],[ROUTE]],DEMAND!A:F,5,FALSE)</f>
        <v>#N/A</v>
      </c>
      <c r="N635" s="212" t="e">
        <f>VLOOKUP(Table12[[#This Row],[ROUTE]],DEMAND!A:F,6,FALSE)</f>
        <v>#N/A</v>
      </c>
      <c r="O635" s="212" t="e">
        <f>ROUNDDOWN(Table12[[#This Row],[R-DEMAND]]/1320,0)</f>
        <v>#N/A</v>
      </c>
      <c r="P635" s="212" t="e">
        <f>Table12[[#This Row],[ADD ACC]]*Table12[[#This Row],[RT TIME 
(777-500ER)]]</f>
        <v>#N/A</v>
      </c>
    </row>
    <row r="636" spans="1:16" ht="15.75" customHeight="1" x14ac:dyDescent="0.25">
      <c r="A636" s="212" t="s">
        <v>14449</v>
      </c>
      <c r="B636" s="212" t="s">
        <v>3889</v>
      </c>
      <c r="C636" s="212"/>
      <c r="D636" s="226">
        <v>2</v>
      </c>
      <c r="E636" s="212" t="s">
        <v>2791</v>
      </c>
      <c r="F636" s="212" t="s">
        <v>12688</v>
      </c>
      <c r="G636" s="227" t="s">
        <v>13198</v>
      </c>
      <c r="H636" s="228">
        <v>9341</v>
      </c>
      <c r="I636" s="208">
        <v>23</v>
      </c>
      <c r="J636" s="211"/>
      <c r="K636" s="209">
        <v>0</v>
      </c>
      <c r="L636" s="212"/>
      <c r="M636" s="212" t="e">
        <f>VLOOKUP(Table12[[#This Row],[ROUTE]],DEMAND!A:F,5,FALSE)</f>
        <v>#N/A</v>
      </c>
      <c r="N636" s="212" t="e">
        <f>VLOOKUP(Table12[[#This Row],[ROUTE]],DEMAND!A:F,6,FALSE)</f>
        <v>#N/A</v>
      </c>
      <c r="O636" s="212" t="e">
        <f>ROUNDDOWN(Table12[[#This Row],[R-DEMAND]]/1320,0)</f>
        <v>#N/A</v>
      </c>
      <c r="P636" s="212" t="e">
        <f>Table12[[#This Row],[ADD ACC]]*Table12[[#This Row],[RT TIME 
(777-500ER)]]</f>
        <v>#N/A</v>
      </c>
    </row>
    <row r="637" spans="1:16" ht="15.75" customHeight="1" x14ac:dyDescent="0.25">
      <c r="A637" s="212" t="s">
        <v>14899</v>
      </c>
      <c r="B637" s="212" t="s">
        <v>2972</v>
      </c>
      <c r="C637" s="212"/>
      <c r="D637" s="226">
        <v>2</v>
      </c>
      <c r="E637" s="212" t="s">
        <v>1654</v>
      </c>
      <c r="F637" s="212" t="s">
        <v>12670</v>
      </c>
      <c r="G637" s="227" t="s">
        <v>11875</v>
      </c>
      <c r="H637" s="228">
        <v>2230</v>
      </c>
      <c r="I637" s="208">
        <v>7</v>
      </c>
      <c r="J637" s="211"/>
      <c r="K637" s="209">
        <v>0</v>
      </c>
      <c r="L637" s="212"/>
      <c r="M637" s="212" t="e">
        <f>VLOOKUP(Table12[[#This Row],[ROUTE]],DEMAND!A:F,5,FALSE)</f>
        <v>#N/A</v>
      </c>
      <c r="N637" s="212" t="e">
        <f>VLOOKUP(Table12[[#This Row],[ROUTE]],DEMAND!A:F,6,FALSE)</f>
        <v>#N/A</v>
      </c>
      <c r="O637" s="212" t="e">
        <f>ROUNDDOWN(Table12[[#This Row],[R-DEMAND]]/1320,0)</f>
        <v>#N/A</v>
      </c>
      <c r="P637" s="212" t="e">
        <f>Table12[[#This Row],[ADD ACC]]*Table12[[#This Row],[RT TIME 
(777-500ER)]]</f>
        <v>#N/A</v>
      </c>
    </row>
    <row r="638" spans="1:16" ht="15.75" customHeight="1" x14ac:dyDescent="0.25">
      <c r="A638" s="212" t="s">
        <v>15095</v>
      </c>
      <c r="B638" s="212" t="s">
        <v>190</v>
      </c>
      <c r="C638" s="212"/>
      <c r="D638" s="226">
        <v>2</v>
      </c>
      <c r="E638" s="212" t="s">
        <v>1323</v>
      </c>
      <c r="F638" s="212" t="s">
        <v>12671</v>
      </c>
      <c r="G638" s="227" t="s">
        <v>11893</v>
      </c>
      <c r="H638" s="228">
        <v>7918</v>
      </c>
      <c r="I638" s="208">
        <v>20</v>
      </c>
      <c r="J638" s="211"/>
      <c r="K638" s="209">
        <v>0</v>
      </c>
      <c r="L638" s="212"/>
      <c r="M638" s="212" t="e">
        <f>VLOOKUP(Table12[[#This Row],[ROUTE]],DEMAND!A:F,5,FALSE)</f>
        <v>#N/A</v>
      </c>
      <c r="N638" s="212" t="e">
        <f>VLOOKUP(Table12[[#This Row],[ROUTE]],DEMAND!A:F,6,FALSE)</f>
        <v>#N/A</v>
      </c>
      <c r="O638" s="212" t="e">
        <f>ROUNDDOWN(Table12[[#This Row],[R-DEMAND]]/1320,0)</f>
        <v>#N/A</v>
      </c>
      <c r="P638" s="212" t="e">
        <f>Table12[[#This Row],[ADD ACC]]*Table12[[#This Row],[RT TIME 
(777-500ER)]]</f>
        <v>#N/A</v>
      </c>
    </row>
    <row r="639" spans="1:16" ht="15.75" customHeight="1" x14ac:dyDescent="0.25">
      <c r="A639" s="212" t="s">
        <v>14227</v>
      </c>
      <c r="B639" s="212" t="s">
        <v>1596</v>
      </c>
      <c r="C639" s="212"/>
      <c r="D639" s="226">
        <v>1</v>
      </c>
      <c r="E639" s="212" t="s">
        <v>505</v>
      </c>
      <c r="F639" s="212" t="s">
        <v>12694</v>
      </c>
      <c r="G639" s="227" t="s">
        <v>13135</v>
      </c>
      <c r="H639" s="228">
        <v>13864</v>
      </c>
      <c r="I639" s="208">
        <v>33.25</v>
      </c>
      <c r="J639" s="211"/>
      <c r="K639" s="209">
        <v>0</v>
      </c>
      <c r="L639" s="212"/>
      <c r="M639" s="212" t="e">
        <f>VLOOKUP(Table12[[#This Row],[ROUTE]],DEMAND!A:F,5,FALSE)</f>
        <v>#N/A</v>
      </c>
      <c r="N639" s="212" t="e">
        <f>VLOOKUP(Table12[[#This Row],[ROUTE]],DEMAND!A:F,6,FALSE)</f>
        <v>#N/A</v>
      </c>
      <c r="O639" s="212" t="e">
        <f>ROUNDDOWN(Table12[[#This Row],[R-DEMAND]]/1320,0)</f>
        <v>#N/A</v>
      </c>
      <c r="P639" s="212" t="e">
        <f>Table12[[#This Row],[ADD ACC]]*Table12[[#This Row],[RT TIME 
(777-500ER)]]</f>
        <v>#N/A</v>
      </c>
    </row>
    <row r="640" spans="1:16" ht="15.75" customHeight="1" x14ac:dyDescent="0.25">
      <c r="A640" s="212" t="s">
        <v>14581</v>
      </c>
      <c r="B640" s="212" t="s">
        <v>4891</v>
      </c>
      <c r="C640" s="212"/>
      <c r="D640" s="226">
        <v>3</v>
      </c>
      <c r="E640" s="212" t="s">
        <v>4889</v>
      </c>
      <c r="F640" s="212" t="s">
        <v>12674</v>
      </c>
      <c r="G640" s="227" t="s">
        <v>4889</v>
      </c>
      <c r="H640" s="228">
        <v>2217</v>
      </c>
      <c r="I640" s="208">
        <v>7</v>
      </c>
      <c r="J640" s="211"/>
      <c r="K640" s="209">
        <v>0</v>
      </c>
      <c r="L640" s="212"/>
      <c r="M640" s="212" t="e">
        <f>VLOOKUP(Table12[[#This Row],[ROUTE]],DEMAND!A:F,5,FALSE)</f>
        <v>#N/A</v>
      </c>
      <c r="N640" s="212" t="e">
        <f>VLOOKUP(Table12[[#This Row],[ROUTE]],DEMAND!A:F,6,FALSE)</f>
        <v>#N/A</v>
      </c>
      <c r="O640" s="212" t="e">
        <f>ROUNDDOWN(Table12[[#This Row],[R-DEMAND]]/1320,0)</f>
        <v>#N/A</v>
      </c>
      <c r="P640" s="212" t="e">
        <f>Table12[[#This Row],[ADD ACC]]*Table12[[#This Row],[RT TIME 
(777-500ER)]]</f>
        <v>#N/A</v>
      </c>
    </row>
    <row r="641" spans="1:16" ht="15.75" customHeight="1" x14ac:dyDescent="0.25">
      <c r="A641" s="212" t="s">
        <v>14694</v>
      </c>
      <c r="B641" s="212" t="s">
        <v>1272</v>
      </c>
      <c r="C641" s="212"/>
      <c r="D641" s="226">
        <v>1</v>
      </c>
      <c r="E641" s="212" t="s">
        <v>1270</v>
      </c>
      <c r="F641" s="212" t="s">
        <v>12670</v>
      </c>
      <c r="G641" s="227" t="s">
        <v>11909</v>
      </c>
      <c r="H641" s="228">
        <v>1687</v>
      </c>
      <c r="I641" s="208">
        <v>6</v>
      </c>
      <c r="J641" s="211"/>
      <c r="K641" s="209">
        <v>0</v>
      </c>
      <c r="L641" s="212"/>
      <c r="M641" s="212" t="e">
        <f>VLOOKUP(Table12[[#This Row],[ROUTE]],DEMAND!A:F,5,FALSE)</f>
        <v>#N/A</v>
      </c>
      <c r="N641" s="212" t="e">
        <f>VLOOKUP(Table12[[#This Row],[ROUTE]],DEMAND!A:F,6,FALSE)</f>
        <v>#N/A</v>
      </c>
      <c r="O641" s="212" t="e">
        <f>ROUNDDOWN(Table12[[#This Row],[R-DEMAND]]/1320,0)</f>
        <v>#N/A</v>
      </c>
      <c r="P641" s="212" t="e">
        <f>Table12[[#This Row],[ADD ACC]]*Table12[[#This Row],[RT TIME 
(777-500ER)]]</f>
        <v>#N/A</v>
      </c>
    </row>
    <row r="642" spans="1:16" ht="15.75" customHeight="1" x14ac:dyDescent="0.25">
      <c r="A642" s="212" t="s">
        <v>14544</v>
      </c>
      <c r="B642" s="212" t="s">
        <v>2922</v>
      </c>
      <c r="C642" s="212"/>
      <c r="D642" s="226">
        <v>2</v>
      </c>
      <c r="E642" s="212" t="s">
        <v>597</v>
      </c>
      <c r="F642" s="212" t="s">
        <v>12674</v>
      </c>
      <c r="G642" s="227" t="s">
        <v>11840</v>
      </c>
      <c r="H642" s="228">
        <v>1960</v>
      </c>
      <c r="I642" s="208">
        <v>6.5</v>
      </c>
      <c r="J642" s="211"/>
      <c r="K642" s="209">
        <v>0</v>
      </c>
      <c r="L642" s="212"/>
      <c r="M642" s="212" t="e">
        <f>VLOOKUP(Table12[[#This Row],[ROUTE]],DEMAND!A:F,5,FALSE)</f>
        <v>#N/A</v>
      </c>
      <c r="N642" s="212" t="e">
        <f>VLOOKUP(Table12[[#This Row],[ROUTE]],DEMAND!A:F,6,FALSE)</f>
        <v>#N/A</v>
      </c>
      <c r="O642" s="212" t="e">
        <f>ROUNDDOWN(Table12[[#This Row],[R-DEMAND]]/1320,0)</f>
        <v>#N/A</v>
      </c>
      <c r="P642" s="212" t="e">
        <f>Table12[[#This Row],[ADD ACC]]*Table12[[#This Row],[RT TIME 
(777-500ER)]]</f>
        <v>#N/A</v>
      </c>
    </row>
    <row r="643" spans="1:16" ht="15.75" customHeight="1" x14ac:dyDescent="0.25">
      <c r="A643" s="212" t="s">
        <v>14713</v>
      </c>
      <c r="B643" s="212" t="s">
        <v>2884</v>
      </c>
      <c r="C643" s="212"/>
      <c r="D643" s="226">
        <v>2</v>
      </c>
      <c r="E643" s="212" t="s">
        <v>14</v>
      </c>
      <c r="F643" s="212" t="s">
        <v>12670</v>
      </c>
      <c r="G643" s="227" t="s">
        <v>12058</v>
      </c>
      <c r="H643" s="228">
        <v>5273</v>
      </c>
      <c r="I643" s="208">
        <v>14</v>
      </c>
      <c r="J643" s="211"/>
      <c r="K643" s="209">
        <v>0</v>
      </c>
      <c r="L643" s="212"/>
      <c r="M643" s="212" t="e">
        <f>VLOOKUP(Table12[[#This Row],[ROUTE]],DEMAND!A:F,5,FALSE)</f>
        <v>#N/A</v>
      </c>
      <c r="N643" s="212" t="e">
        <f>VLOOKUP(Table12[[#This Row],[ROUTE]],DEMAND!A:F,6,FALSE)</f>
        <v>#N/A</v>
      </c>
      <c r="O643" s="212" t="e">
        <f>ROUNDDOWN(Table12[[#This Row],[R-DEMAND]]/1320,0)</f>
        <v>#N/A</v>
      </c>
      <c r="P643" s="212" t="e">
        <f>Table12[[#This Row],[ADD ACC]]*Table12[[#This Row],[RT TIME 
(777-500ER)]]</f>
        <v>#N/A</v>
      </c>
    </row>
    <row r="644" spans="1:16" ht="15.75" customHeight="1" x14ac:dyDescent="0.25">
      <c r="A644" s="212" t="s">
        <v>14399</v>
      </c>
      <c r="B644" s="212" t="s">
        <v>4473</v>
      </c>
      <c r="C644" s="212"/>
      <c r="D644" s="226" t="s">
        <v>15105</v>
      </c>
      <c r="E644" s="212" t="s">
        <v>647</v>
      </c>
      <c r="F644" s="212" t="s">
        <v>12688</v>
      </c>
      <c r="G644" s="227" t="s">
        <v>13304</v>
      </c>
      <c r="H644" s="228">
        <v>9590</v>
      </c>
      <c r="I644" s="208">
        <v>23.75</v>
      </c>
      <c r="J644" s="211"/>
      <c r="K644" s="209">
        <v>0</v>
      </c>
      <c r="L644" s="212"/>
      <c r="M644" s="212" t="e">
        <f>VLOOKUP(Table12[[#This Row],[ROUTE]],DEMAND!A:F,5,FALSE)</f>
        <v>#N/A</v>
      </c>
      <c r="N644" s="212" t="e">
        <f>VLOOKUP(Table12[[#This Row],[ROUTE]],DEMAND!A:F,6,FALSE)</f>
        <v>#N/A</v>
      </c>
      <c r="O644" s="212" t="e">
        <f>ROUNDDOWN(Table12[[#This Row],[R-DEMAND]]/1320,0)</f>
        <v>#N/A</v>
      </c>
      <c r="P644" s="212" t="e">
        <f>Table12[[#This Row],[ADD ACC]]*Table12[[#This Row],[RT TIME 
(777-500ER)]]</f>
        <v>#N/A</v>
      </c>
    </row>
    <row r="645" spans="1:16" ht="15.75" customHeight="1" x14ac:dyDescent="0.25">
      <c r="A645" s="212" t="s">
        <v>15033</v>
      </c>
      <c r="B645" s="212" t="s">
        <v>4644</v>
      </c>
      <c r="C645" s="212"/>
      <c r="D645" s="226">
        <v>2</v>
      </c>
      <c r="E645" s="212" t="s">
        <v>1189</v>
      </c>
      <c r="F645" s="212" t="s">
        <v>12671</v>
      </c>
      <c r="G645" s="227" t="s">
        <v>11940</v>
      </c>
      <c r="H645" s="228">
        <v>6613</v>
      </c>
      <c r="I645" s="208">
        <v>17</v>
      </c>
      <c r="J645" s="211"/>
      <c r="K645" s="209">
        <v>0</v>
      </c>
      <c r="L645" s="212"/>
      <c r="M645" s="212" t="e">
        <f>VLOOKUP(Table12[[#This Row],[ROUTE]],DEMAND!A:F,5,FALSE)</f>
        <v>#N/A</v>
      </c>
      <c r="N645" s="212" t="e">
        <f>VLOOKUP(Table12[[#This Row],[ROUTE]],DEMAND!A:F,6,FALSE)</f>
        <v>#N/A</v>
      </c>
      <c r="O645" s="212" t="e">
        <f>ROUNDDOWN(Table12[[#This Row],[R-DEMAND]]/1320,0)</f>
        <v>#N/A</v>
      </c>
      <c r="P645" s="212" t="e">
        <f>Table12[[#This Row],[ADD ACC]]*Table12[[#This Row],[RT TIME 
(777-500ER)]]</f>
        <v>#N/A</v>
      </c>
    </row>
    <row r="646" spans="1:16" ht="15.75" customHeight="1" x14ac:dyDescent="0.25">
      <c r="A646" s="212" t="s">
        <v>14847</v>
      </c>
      <c r="B646" s="212" t="s">
        <v>180</v>
      </c>
      <c r="C646" s="212"/>
      <c r="D646" s="226">
        <v>3</v>
      </c>
      <c r="E646" s="212" t="s">
        <v>1456</v>
      </c>
      <c r="F646" s="212" t="s">
        <v>12670</v>
      </c>
      <c r="G646" s="227" t="s">
        <v>11992</v>
      </c>
      <c r="H646" s="228">
        <v>3914</v>
      </c>
      <c r="I646" s="208">
        <v>11</v>
      </c>
      <c r="J646" s="211"/>
      <c r="K646" s="209">
        <v>0</v>
      </c>
      <c r="L646" s="212"/>
      <c r="M646" s="212" t="e">
        <f>VLOOKUP(Table12[[#This Row],[ROUTE]],DEMAND!A:F,5,FALSE)</f>
        <v>#N/A</v>
      </c>
      <c r="N646" s="212" t="e">
        <f>VLOOKUP(Table12[[#This Row],[ROUTE]],DEMAND!A:F,6,FALSE)</f>
        <v>#N/A</v>
      </c>
      <c r="O646" s="212" t="e">
        <f>ROUNDDOWN(Table12[[#This Row],[R-DEMAND]]/1320,0)</f>
        <v>#N/A</v>
      </c>
      <c r="P646" s="212" t="e">
        <f>Table12[[#This Row],[ADD ACC]]*Table12[[#This Row],[RT TIME 
(777-500ER)]]</f>
        <v>#N/A</v>
      </c>
    </row>
    <row r="647" spans="1:16" ht="15.75" customHeight="1" x14ac:dyDescent="0.25">
      <c r="A647" s="212" t="s">
        <v>14304</v>
      </c>
      <c r="B647" s="212" t="s">
        <v>4707</v>
      </c>
      <c r="C647" s="212"/>
      <c r="D647" s="226" t="s">
        <v>15106</v>
      </c>
      <c r="E647" s="212" t="s">
        <v>647</v>
      </c>
      <c r="F647" s="212" t="s">
        <v>12688</v>
      </c>
      <c r="G647" s="227" t="s">
        <v>13342</v>
      </c>
      <c r="H647" s="228">
        <v>7729</v>
      </c>
      <c r="I647" s="208">
        <v>19.5</v>
      </c>
      <c r="J647" s="211"/>
      <c r="K647" s="209">
        <v>0</v>
      </c>
      <c r="L647" s="212"/>
      <c r="M647" s="212" t="e">
        <f>VLOOKUP(Table12[[#This Row],[ROUTE]],DEMAND!A:F,5,FALSE)</f>
        <v>#N/A</v>
      </c>
      <c r="N647" s="212" t="e">
        <f>VLOOKUP(Table12[[#This Row],[ROUTE]],DEMAND!A:F,6,FALSE)</f>
        <v>#N/A</v>
      </c>
      <c r="O647" s="212" t="e">
        <f>ROUNDDOWN(Table12[[#This Row],[R-DEMAND]]/1320,0)</f>
        <v>#N/A</v>
      </c>
      <c r="P647" s="212" t="e">
        <f>Table12[[#This Row],[ADD ACC]]*Table12[[#This Row],[RT TIME 
(777-500ER)]]</f>
        <v>#N/A</v>
      </c>
    </row>
    <row r="648" spans="1:16" ht="15.75" customHeight="1" x14ac:dyDescent="0.25">
      <c r="A648" s="212" t="s">
        <v>14228</v>
      </c>
      <c r="B648" s="212" t="s">
        <v>4412</v>
      </c>
      <c r="C648" s="212"/>
      <c r="D648" s="226">
        <v>2</v>
      </c>
      <c r="E648" s="212" t="s">
        <v>505</v>
      </c>
      <c r="F648" s="212" t="s">
        <v>12694</v>
      </c>
      <c r="G648" s="227" t="s">
        <v>13134</v>
      </c>
      <c r="H648" s="228">
        <v>13980</v>
      </c>
      <c r="I648" s="208">
        <v>33.5</v>
      </c>
      <c r="J648" s="211"/>
      <c r="K648" s="209">
        <v>0</v>
      </c>
      <c r="L648" s="212"/>
      <c r="M648" s="212" t="e">
        <f>VLOOKUP(Table12[[#This Row],[ROUTE]],DEMAND!A:F,5,FALSE)</f>
        <v>#N/A</v>
      </c>
      <c r="N648" s="212" t="e">
        <f>VLOOKUP(Table12[[#This Row],[ROUTE]],DEMAND!A:F,6,FALSE)</f>
        <v>#N/A</v>
      </c>
      <c r="O648" s="212" t="e">
        <f>ROUNDDOWN(Table12[[#This Row],[R-DEMAND]]/1320,0)</f>
        <v>#N/A</v>
      </c>
      <c r="P648" s="212" t="e">
        <f>Table12[[#This Row],[ADD ACC]]*Table12[[#This Row],[RT TIME 
(777-500ER)]]</f>
        <v>#N/A</v>
      </c>
    </row>
    <row r="649" spans="1:16" ht="15.75" customHeight="1" x14ac:dyDescent="0.25">
      <c r="A649" s="212" t="s">
        <v>14355</v>
      </c>
      <c r="B649" s="212" t="s">
        <v>1846</v>
      </c>
      <c r="C649" s="212"/>
      <c r="D649" s="226" t="s">
        <v>15104</v>
      </c>
      <c r="E649" s="212" t="s">
        <v>647</v>
      </c>
      <c r="F649" s="212" t="s">
        <v>12688</v>
      </c>
      <c r="G649" s="227" t="s">
        <v>13347</v>
      </c>
      <c r="H649" s="228">
        <v>9025</v>
      </c>
      <c r="I649" s="208">
        <v>22.25</v>
      </c>
      <c r="J649" s="211"/>
      <c r="K649" s="209">
        <v>0</v>
      </c>
      <c r="L649" s="212"/>
      <c r="M649" s="212" t="e">
        <f>VLOOKUP(Table12[[#This Row],[ROUTE]],DEMAND!A:F,5,FALSE)</f>
        <v>#N/A</v>
      </c>
      <c r="N649" s="212" t="e">
        <f>VLOOKUP(Table12[[#This Row],[ROUTE]],DEMAND!A:F,6,FALSE)</f>
        <v>#N/A</v>
      </c>
      <c r="O649" s="212" t="e">
        <f>ROUNDDOWN(Table12[[#This Row],[R-DEMAND]]/1320,0)</f>
        <v>#N/A</v>
      </c>
      <c r="P649" s="212" t="e">
        <f>Table12[[#This Row],[ADD ACC]]*Table12[[#This Row],[RT TIME 
(777-500ER)]]</f>
        <v>#N/A</v>
      </c>
    </row>
    <row r="650" spans="1:16" ht="15.75" customHeight="1" x14ac:dyDescent="0.25">
      <c r="A650" s="212" t="s">
        <v>15069</v>
      </c>
      <c r="B650" s="212" t="s">
        <v>2258</v>
      </c>
      <c r="C650" s="212"/>
      <c r="D650" s="226">
        <v>1</v>
      </c>
      <c r="E650" s="212" t="s">
        <v>1513</v>
      </c>
      <c r="F650" s="212" t="s">
        <v>12671</v>
      </c>
      <c r="G650" s="227" t="s">
        <v>11963</v>
      </c>
      <c r="H650" s="228">
        <v>5976</v>
      </c>
      <c r="I650" s="208">
        <v>15.5</v>
      </c>
      <c r="J650" s="211"/>
      <c r="K650" s="209">
        <v>0</v>
      </c>
      <c r="L650" s="212"/>
      <c r="M650" s="212" t="e">
        <f>VLOOKUP(Table12[[#This Row],[ROUTE]],DEMAND!A:F,5,FALSE)</f>
        <v>#N/A</v>
      </c>
      <c r="N650" s="212" t="e">
        <f>VLOOKUP(Table12[[#This Row],[ROUTE]],DEMAND!A:F,6,FALSE)</f>
        <v>#N/A</v>
      </c>
      <c r="O650" s="212" t="e">
        <f>ROUNDDOWN(Table12[[#This Row],[R-DEMAND]]/1320,0)</f>
        <v>#N/A</v>
      </c>
      <c r="P650" s="212" t="e">
        <f>Table12[[#This Row],[ADD ACC]]*Table12[[#This Row],[RT TIME 
(777-500ER)]]</f>
        <v>#N/A</v>
      </c>
    </row>
    <row r="651" spans="1:16" ht="15.75" customHeight="1" x14ac:dyDescent="0.25">
      <c r="A651" s="212" t="s">
        <v>14800</v>
      </c>
      <c r="B651" s="212" t="s">
        <v>4824</v>
      </c>
      <c r="C651" s="212"/>
      <c r="D651" s="226">
        <v>3</v>
      </c>
      <c r="E651" s="212" t="s">
        <v>502</v>
      </c>
      <c r="F651" s="212" t="s">
        <v>12670</v>
      </c>
      <c r="G651" s="227" t="s">
        <v>11965</v>
      </c>
      <c r="H651" s="228">
        <v>2693</v>
      </c>
      <c r="I651" s="208">
        <v>8.25</v>
      </c>
      <c r="J651" s="211"/>
      <c r="K651" s="209">
        <v>0</v>
      </c>
      <c r="L651" s="212"/>
      <c r="M651" s="212" t="e">
        <f>VLOOKUP(Table12[[#This Row],[ROUTE]],DEMAND!A:F,5,FALSE)</f>
        <v>#N/A</v>
      </c>
      <c r="N651" s="212" t="e">
        <f>VLOOKUP(Table12[[#This Row],[ROUTE]],DEMAND!A:F,6,FALSE)</f>
        <v>#N/A</v>
      </c>
      <c r="O651" s="212" t="e">
        <f>ROUNDDOWN(Table12[[#This Row],[R-DEMAND]]/1320,0)</f>
        <v>#N/A</v>
      </c>
      <c r="P651" s="212" t="e">
        <f>Table12[[#This Row],[ADD ACC]]*Table12[[#This Row],[RT TIME 
(777-500ER)]]</f>
        <v>#N/A</v>
      </c>
    </row>
    <row r="652" spans="1:16" ht="15.75" customHeight="1" x14ac:dyDescent="0.25">
      <c r="A652" s="212" t="s">
        <v>14292</v>
      </c>
      <c r="B652" s="212" t="s">
        <v>5192</v>
      </c>
      <c r="C652" s="212"/>
      <c r="D652" s="226" t="s">
        <v>15106</v>
      </c>
      <c r="E652" s="212" t="s">
        <v>647</v>
      </c>
      <c r="F652" s="212" t="s">
        <v>12688</v>
      </c>
      <c r="G652" s="227" t="s">
        <v>13338</v>
      </c>
      <c r="H652" s="228">
        <v>7226</v>
      </c>
      <c r="I652" s="208">
        <v>18.25</v>
      </c>
      <c r="J652" s="211"/>
      <c r="K652" s="209">
        <v>0</v>
      </c>
      <c r="L652" s="212"/>
      <c r="M652" s="212" t="e">
        <f>VLOOKUP(Table12[[#This Row],[ROUTE]],DEMAND!A:F,5,FALSE)</f>
        <v>#N/A</v>
      </c>
      <c r="N652" s="212" t="e">
        <f>VLOOKUP(Table12[[#This Row],[ROUTE]],DEMAND!A:F,6,FALSE)</f>
        <v>#N/A</v>
      </c>
      <c r="O652" s="212" t="e">
        <f>ROUNDDOWN(Table12[[#This Row],[R-DEMAND]]/1320,0)</f>
        <v>#N/A</v>
      </c>
      <c r="P652" s="212" t="e">
        <f>Table12[[#This Row],[ADD ACC]]*Table12[[#This Row],[RT TIME 
(777-500ER)]]</f>
        <v>#N/A</v>
      </c>
    </row>
    <row r="653" spans="1:16" ht="15.75" customHeight="1" x14ac:dyDescent="0.25">
      <c r="A653" s="212" t="s">
        <v>14633</v>
      </c>
      <c r="B653" s="212" t="s">
        <v>3626</v>
      </c>
      <c r="C653" s="212"/>
      <c r="D653" s="226">
        <v>2</v>
      </c>
      <c r="E653" s="212" t="s">
        <v>78</v>
      </c>
      <c r="F653" s="212" t="s">
        <v>12674</v>
      </c>
      <c r="G653" s="227" t="s">
        <v>11932</v>
      </c>
      <c r="H653" s="228">
        <v>4172</v>
      </c>
      <c r="I653" s="208">
        <v>11.5</v>
      </c>
      <c r="J653" s="211"/>
      <c r="K653" s="209">
        <v>0</v>
      </c>
      <c r="L653" s="212"/>
      <c r="M653" s="212" t="e">
        <f>VLOOKUP(Table12[[#This Row],[ROUTE]],DEMAND!A:F,5,FALSE)</f>
        <v>#N/A</v>
      </c>
      <c r="N653" s="212" t="e">
        <f>VLOOKUP(Table12[[#This Row],[ROUTE]],DEMAND!A:F,6,FALSE)</f>
        <v>#N/A</v>
      </c>
      <c r="O653" s="212" t="e">
        <f>ROUNDDOWN(Table12[[#This Row],[R-DEMAND]]/1320,0)</f>
        <v>#N/A</v>
      </c>
      <c r="P653" s="212" t="e">
        <f>Table12[[#This Row],[ADD ACC]]*Table12[[#This Row],[RT TIME 
(777-500ER)]]</f>
        <v>#N/A</v>
      </c>
    </row>
    <row r="654" spans="1:16" ht="15.75" customHeight="1" x14ac:dyDescent="0.25">
      <c r="A654" s="212" t="s">
        <v>14312</v>
      </c>
      <c r="B654" s="212" t="s">
        <v>5505</v>
      </c>
      <c r="C654" s="212"/>
      <c r="D654" s="226" t="s">
        <v>15107</v>
      </c>
      <c r="E654" s="212" t="s">
        <v>647</v>
      </c>
      <c r="F654" s="212" t="s">
        <v>12688</v>
      </c>
      <c r="G654" s="227" t="s">
        <v>13306</v>
      </c>
      <c r="H654" s="228">
        <v>7949</v>
      </c>
      <c r="I654" s="208">
        <v>20</v>
      </c>
      <c r="J654" s="211"/>
      <c r="K654" s="209">
        <v>0</v>
      </c>
      <c r="L654" s="212"/>
      <c r="M654" s="212" t="e">
        <f>VLOOKUP(Table12[[#This Row],[ROUTE]],DEMAND!A:F,5,FALSE)</f>
        <v>#N/A</v>
      </c>
      <c r="N654" s="212" t="e">
        <f>VLOOKUP(Table12[[#This Row],[ROUTE]],DEMAND!A:F,6,FALSE)</f>
        <v>#N/A</v>
      </c>
      <c r="O654" s="212" t="e">
        <f>ROUNDDOWN(Table12[[#This Row],[R-DEMAND]]/1320,0)</f>
        <v>#N/A</v>
      </c>
      <c r="P654" s="212" t="e">
        <f>Table12[[#This Row],[ADD ACC]]*Table12[[#This Row],[RT TIME 
(777-500ER)]]</f>
        <v>#N/A</v>
      </c>
    </row>
    <row r="655" spans="1:16" ht="15.75" customHeight="1" x14ac:dyDescent="0.25">
      <c r="A655" s="212" t="s">
        <v>14582</v>
      </c>
      <c r="B655" s="212" t="s">
        <v>5185</v>
      </c>
      <c r="C655" s="212"/>
      <c r="D655" s="226">
        <v>3</v>
      </c>
      <c r="E655" s="212" t="s">
        <v>5183</v>
      </c>
      <c r="F655" s="212" t="s">
        <v>12674</v>
      </c>
      <c r="G655" s="227" t="s">
        <v>11797</v>
      </c>
      <c r="H655" s="228">
        <v>2809</v>
      </c>
      <c r="I655" s="208">
        <v>8.5</v>
      </c>
      <c r="J655" s="211"/>
      <c r="K655" s="209">
        <v>0</v>
      </c>
      <c r="L655" s="212"/>
      <c r="M655" s="212" t="e">
        <f>VLOOKUP(Table12[[#This Row],[ROUTE]],DEMAND!A:F,5,FALSE)</f>
        <v>#N/A</v>
      </c>
      <c r="N655" s="212" t="e">
        <f>VLOOKUP(Table12[[#This Row],[ROUTE]],DEMAND!A:F,6,FALSE)</f>
        <v>#N/A</v>
      </c>
      <c r="O655" s="212" t="e">
        <f>ROUNDDOWN(Table12[[#This Row],[R-DEMAND]]/1320,0)</f>
        <v>#N/A</v>
      </c>
      <c r="P655" s="212" t="e">
        <f>Table12[[#This Row],[ADD ACC]]*Table12[[#This Row],[RT TIME 
(777-500ER)]]</f>
        <v>#N/A</v>
      </c>
    </row>
    <row r="656" spans="1:16" ht="15.75" customHeight="1" x14ac:dyDescent="0.25">
      <c r="A656" s="212" t="s">
        <v>14365</v>
      </c>
      <c r="B656" s="212" t="s">
        <v>3433</v>
      </c>
      <c r="C656" s="212"/>
      <c r="D656" s="226" t="s">
        <v>15105</v>
      </c>
      <c r="E656" s="212" t="s">
        <v>647</v>
      </c>
      <c r="F656" s="212" t="s">
        <v>12688</v>
      </c>
      <c r="G656" s="227" t="s">
        <v>13370</v>
      </c>
      <c r="H656" s="228">
        <v>9060</v>
      </c>
      <c r="I656" s="208">
        <v>22.5</v>
      </c>
      <c r="J656" s="211"/>
      <c r="K656" s="209">
        <v>0</v>
      </c>
      <c r="L656" s="212"/>
      <c r="M656" s="212" t="e">
        <f>VLOOKUP(Table12[[#This Row],[ROUTE]],DEMAND!A:F,5,FALSE)</f>
        <v>#N/A</v>
      </c>
      <c r="N656" s="212" t="e">
        <f>VLOOKUP(Table12[[#This Row],[ROUTE]],DEMAND!A:F,6,FALSE)</f>
        <v>#N/A</v>
      </c>
      <c r="O656" s="212" t="e">
        <f>ROUNDDOWN(Table12[[#This Row],[R-DEMAND]]/1320,0)</f>
        <v>#N/A</v>
      </c>
      <c r="P656" s="212" t="e">
        <f>Table12[[#This Row],[ADD ACC]]*Table12[[#This Row],[RT TIME 
(777-500ER)]]</f>
        <v>#N/A</v>
      </c>
    </row>
    <row r="657" spans="1:16" ht="15.75" customHeight="1" x14ac:dyDescent="0.25">
      <c r="A657" s="212" t="s">
        <v>14511</v>
      </c>
      <c r="B657" s="212" t="s">
        <v>5350</v>
      </c>
      <c r="C657" s="212"/>
      <c r="D657" s="226">
        <v>3</v>
      </c>
      <c r="E657" s="212" t="s">
        <v>560</v>
      </c>
      <c r="F657" s="212" t="s">
        <v>12674</v>
      </c>
      <c r="G657" s="227" t="s">
        <v>11747</v>
      </c>
      <c r="H657" s="228">
        <v>2252</v>
      </c>
      <c r="I657" s="208">
        <v>7.25</v>
      </c>
      <c r="J657" s="211"/>
      <c r="K657" s="209">
        <v>0</v>
      </c>
      <c r="L657" s="212"/>
      <c r="M657" s="212" t="e">
        <f>VLOOKUP(Table12[[#This Row],[ROUTE]],DEMAND!A:F,5,FALSE)</f>
        <v>#N/A</v>
      </c>
      <c r="N657" s="212" t="e">
        <f>VLOOKUP(Table12[[#This Row],[ROUTE]],DEMAND!A:F,6,FALSE)</f>
        <v>#N/A</v>
      </c>
      <c r="O657" s="212" t="e">
        <f>ROUNDDOWN(Table12[[#This Row],[R-DEMAND]]/1320,0)</f>
        <v>#N/A</v>
      </c>
      <c r="P657" s="212" t="e">
        <f>Table12[[#This Row],[ADD ACC]]*Table12[[#This Row],[RT TIME 
(777-500ER)]]</f>
        <v>#N/A</v>
      </c>
    </row>
    <row r="658" spans="1:16" ht="15.75" customHeight="1" x14ac:dyDescent="0.25">
      <c r="A658" s="212" t="s">
        <v>14321</v>
      </c>
      <c r="B658" s="212" t="s">
        <v>4518</v>
      </c>
      <c r="C658" s="212"/>
      <c r="D658" s="226" t="s">
        <v>15105</v>
      </c>
      <c r="E658" s="212" t="s">
        <v>647</v>
      </c>
      <c r="F658" s="212" t="s">
        <v>12688</v>
      </c>
      <c r="G658" s="227" t="s">
        <v>13305</v>
      </c>
      <c r="H658" s="228">
        <v>8198</v>
      </c>
      <c r="I658" s="208">
        <v>20.5</v>
      </c>
      <c r="J658" s="211"/>
      <c r="K658" s="209">
        <v>0</v>
      </c>
      <c r="L658" s="212"/>
      <c r="M658" s="212" t="e">
        <f>VLOOKUP(Table12[[#This Row],[ROUTE]],DEMAND!A:F,5,FALSE)</f>
        <v>#N/A</v>
      </c>
      <c r="N658" s="212" t="e">
        <f>VLOOKUP(Table12[[#This Row],[ROUTE]],DEMAND!A:F,6,FALSE)</f>
        <v>#N/A</v>
      </c>
      <c r="O658" s="212" t="e">
        <f>ROUNDDOWN(Table12[[#This Row],[R-DEMAND]]/1320,0)</f>
        <v>#N/A</v>
      </c>
      <c r="P658" s="212" t="e">
        <f>Table12[[#This Row],[ADD ACC]]*Table12[[#This Row],[RT TIME 
(777-500ER)]]</f>
        <v>#N/A</v>
      </c>
    </row>
    <row r="659" spans="1:16" ht="15.75" customHeight="1" x14ac:dyDescent="0.25">
      <c r="A659" s="212" t="s">
        <v>14471</v>
      </c>
      <c r="B659" s="212" t="s">
        <v>4266</v>
      </c>
      <c r="C659" s="212"/>
      <c r="D659" s="226">
        <v>2</v>
      </c>
      <c r="E659" s="212" t="s">
        <v>1749</v>
      </c>
      <c r="F659" s="212" t="s">
        <v>12688</v>
      </c>
      <c r="G659" s="227" t="s">
        <v>13223</v>
      </c>
      <c r="H659" s="228">
        <v>10796</v>
      </c>
      <c r="I659" s="208">
        <v>26.25</v>
      </c>
      <c r="J659" s="211"/>
      <c r="K659" s="209">
        <v>0</v>
      </c>
      <c r="L659" s="212"/>
      <c r="M659" s="212" t="e">
        <f>VLOOKUP(Table12[[#This Row],[ROUTE]],DEMAND!A:F,5,FALSE)</f>
        <v>#N/A</v>
      </c>
      <c r="N659" s="212" t="e">
        <f>VLOOKUP(Table12[[#This Row],[ROUTE]],DEMAND!A:F,6,FALSE)</f>
        <v>#N/A</v>
      </c>
      <c r="O659" s="212" t="e">
        <f>ROUNDDOWN(Table12[[#This Row],[R-DEMAND]]/1320,0)</f>
        <v>#N/A</v>
      </c>
      <c r="P659" s="212" t="e">
        <f>Table12[[#This Row],[ADD ACC]]*Table12[[#This Row],[RT TIME 
(777-500ER)]]</f>
        <v>#N/A</v>
      </c>
    </row>
    <row r="660" spans="1:16" ht="15.75" customHeight="1" x14ac:dyDescent="0.25">
      <c r="A660" s="212" t="s">
        <v>14926</v>
      </c>
      <c r="B660" s="212" t="s">
        <v>4013</v>
      </c>
      <c r="C660" s="212"/>
      <c r="D660" s="226">
        <v>2</v>
      </c>
      <c r="E660" s="212" t="s">
        <v>700</v>
      </c>
      <c r="F660" s="212" t="s">
        <v>12670</v>
      </c>
      <c r="G660" s="227" t="s">
        <v>11885</v>
      </c>
      <c r="H660" s="228">
        <v>1887</v>
      </c>
      <c r="I660" s="208">
        <v>6.25</v>
      </c>
      <c r="J660" s="211"/>
      <c r="K660" s="209">
        <v>0</v>
      </c>
      <c r="L660" s="212"/>
      <c r="M660" s="212" t="e">
        <f>VLOOKUP(Table12[[#This Row],[ROUTE]],DEMAND!A:F,5,FALSE)</f>
        <v>#N/A</v>
      </c>
      <c r="N660" s="212" t="e">
        <f>VLOOKUP(Table12[[#This Row],[ROUTE]],DEMAND!A:F,6,FALSE)</f>
        <v>#N/A</v>
      </c>
      <c r="O660" s="212" t="e">
        <f>ROUNDDOWN(Table12[[#This Row],[R-DEMAND]]/1320,0)</f>
        <v>#N/A</v>
      </c>
      <c r="P660" s="212" t="e">
        <f>Table12[[#This Row],[ADD ACC]]*Table12[[#This Row],[RT TIME 
(777-500ER)]]</f>
        <v>#N/A</v>
      </c>
    </row>
    <row r="661" spans="1:16" ht="15.75" customHeight="1" x14ac:dyDescent="0.25">
      <c r="A661" s="212" t="s">
        <v>14670</v>
      </c>
      <c r="B661" s="212" t="s">
        <v>4851</v>
      </c>
      <c r="C661" s="212"/>
      <c r="D661" s="226">
        <v>3</v>
      </c>
      <c r="E661" s="212" t="s">
        <v>585</v>
      </c>
      <c r="F661" s="212" t="s">
        <v>12674</v>
      </c>
      <c r="G661" s="227" t="s">
        <v>11786</v>
      </c>
      <c r="H661" s="228">
        <v>1538</v>
      </c>
      <c r="I661" s="208">
        <v>5.5</v>
      </c>
      <c r="J661" s="211"/>
      <c r="K661" s="209">
        <v>0</v>
      </c>
      <c r="L661" s="212"/>
      <c r="M661" s="212" t="e">
        <f>VLOOKUP(Table12[[#This Row],[ROUTE]],DEMAND!A:F,5,FALSE)</f>
        <v>#N/A</v>
      </c>
      <c r="N661" s="212" t="e">
        <f>VLOOKUP(Table12[[#This Row],[ROUTE]],DEMAND!A:F,6,FALSE)</f>
        <v>#N/A</v>
      </c>
      <c r="O661" s="212" t="e">
        <f>ROUNDDOWN(Table12[[#This Row],[R-DEMAND]]/1320,0)</f>
        <v>#N/A</v>
      </c>
      <c r="P661" s="212" t="e">
        <f>Table12[[#This Row],[ADD ACC]]*Table12[[#This Row],[RT TIME 
(777-500ER)]]</f>
        <v>#N/A</v>
      </c>
    </row>
    <row r="662" spans="1:16" ht="15.75" customHeight="1" x14ac:dyDescent="0.25">
      <c r="A662" s="212" t="s">
        <v>15070</v>
      </c>
      <c r="B662" s="212" t="s">
        <v>163</v>
      </c>
      <c r="C662" s="212"/>
      <c r="D662" s="226">
        <v>2</v>
      </c>
      <c r="E662" s="212" t="s">
        <v>926</v>
      </c>
      <c r="F662" s="212" t="s">
        <v>12671</v>
      </c>
      <c r="G662" s="227" t="s">
        <v>11907</v>
      </c>
      <c r="H662" s="228">
        <v>9009</v>
      </c>
      <c r="I662" s="208">
        <v>22.25</v>
      </c>
      <c r="J662" s="211"/>
      <c r="K662" s="209">
        <v>0</v>
      </c>
      <c r="L662" s="212"/>
      <c r="M662" s="212" t="e">
        <f>VLOOKUP(Table12[[#This Row],[ROUTE]],DEMAND!A:F,5,FALSE)</f>
        <v>#N/A</v>
      </c>
      <c r="N662" s="212" t="e">
        <f>VLOOKUP(Table12[[#This Row],[ROUTE]],DEMAND!A:F,6,FALSE)</f>
        <v>#N/A</v>
      </c>
      <c r="O662" s="212" t="e">
        <f>ROUNDDOWN(Table12[[#This Row],[R-DEMAND]]/1320,0)</f>
        <v>#N/A</v>
      </c>
      <c r="P662" s="212" t="e">
        <f>Table12[[#This Row],[ADD ACC]]*Table12[[#This Row],[RT TIME 
(777-500ER)]]</f>
        <v>#N/A</v>
      </c>
    </row>
    <row r="663" spans="1:16" ht="15.75" customHeight="1" x14ac:dyDescent="0.25">
      <c r="A663" s="212" t="s">
        <v>14301</v>
      </c>
      <c r="B663" s="212" t="s">
        <v>2790</v>
      </c>
      <c r="C663" s="212"/>
      <c r="D663" s="226" t="s">
        <v>15105</v>
      </c>
      <c r="E663" s="212" t="s">
        <v>647</v>
      </c>
      <c r="F663" s="212" t="s">
        <v>12688</v>
      </c>
      <c r="G663" s="227" t="s">
        <v>13299</v>
      </c>
      <c r="H663" s="228">
        <v>7600</v>
      </c>
      <c r="I663" s="208">
        <v>19.25</v>
      </c>
      <c r="J663" s="211"/>
      <c r="K663" s="209">
        <v>0</v>
      </c>
      <c r="L663" s="212"/>
      <c r="M663" s="212" t="e">
        <f>VLOOKUP(Table12[[#This Row],[ROUTE]],DEMAND!A:F,5,FALSE)</f>
        <v>#N/A</v>
      </c>
      <c r="N663" s="212" t="e">
        <f>VLOOKUP(Table12[[#This Row],[ROUTE]],DEMAND!A:F,6,FALSE)</f>
        <v>#N/A</v>
      </c>
      <c r="O663" s="212" t="e">
        <f>ROUNDDOWN(Table12[[#This Row],[R-DEMAND]]/1320,0)</f>
        <v>#N/A</v>
      </c>
      <c r="P663" s="212" t="e">
        <f>Table12[[#This Row],[ADD ACC]]*Table12[[#This Row],[RT TIME 
(777-500ER)]]</f>
        <v>#N/A</v>
      </c>
    </row>
    <row r="664" spans="1:16" ht="15.75" customHeight="1" x14ac:dyDescent="0.25">
      <c r="A664" s="212" t="s">
        <v>14617</v>
      </c>
      <c r="B664" s="212" t="s">
        <v>4080</v>
      </c>
      <c r="C664" s="212"/>
      <c r="D664" s="226">
        <v>2</v>
      </c>
      <c r="E664" s="212" t="s">
        <v>78</v>
      </c>
      <c r="F664" s="212" t="s">
        <v>12674</v>
      </c>
      <c r="G664" s="227" t="s">
        <v>8419</v>
      </c>
      <c r="H664" s="228">
        <v>1297</v>
      </c>
      <c r="I664" s="208">
        <v>5</v>
      </c>
      <c r="J664" s="211"/>
      <c r="K664" s="209">
        <v>0</v>
      </c>
      <c r="L664" s="212"/>
      <c r="M664" s="212" t="e">
        <f>VLOOKUP(Table12[[#This Row],[ROUTE]],DEMAND!A:F,5,FALSE)</f>
        <v>#N/A</v>
      </c>
      <c r="N664" s="212" t="e">
        <f>VLOOKUP(Table12[[#This Row],[ROUTE]],DEMAND!A:F,6,FALSE)</f>
        <v>#N/A</v>
      </c>
      <c r="O664" s="212" t="e">
        <f>ROUNDDOWN(Table12[[#This Row],[R-DEMAND]]/1320,0)</f>
        <v>#N/A</v>
      </c>
      <c r="P664" s="212" t="e">
        <f>Table12[[#This Row],[ADD ACC]]*Table12[[#This Row],[RT TIME 
(777-500ER)]]</f>
        <v>#N/A</v>
      </c>
    </row>
    <row r="665" spans="1:16" ht="15.75" customHeight="1" x14ac:dyDescent="0.25">
      <c r="A665" s="212" t="s">
        <v>14679</v>
      </c>
      <c r="B665" s="212" t="s">
        <v>1199</v>
      </c>
      <c r="C665" s="212"/>
      <c r="D665" s="226">
        <v>1</v>
      </c>
      <c r="E665" s="212" t="s">
        <v>83</v>
      </c>
      <c r="F665" s="212" t="s">
        <v>12674</v>
      </c>
      <c r="G665" s="227" t="s">
        <v>11720</v>
      </c>
      <c r="H665" s="228">
        <v>2438</v>
      </c>
      <c r="I665" s="208">
        <v>7.5</v>
      </c>
      <c r="J665" s="211"/>
      <c r="K665" s="209">
        <v>0</v>
      </c>
      <c r="L665" s="212"/>
      <c r="M665" s="212" t="e">
        <f>VLOOKUP(Table12[[#This Row],[ROUTE]],DEMAND!A:F,5,FALSE)</f>
        <v>#N/A</v>
      </c>
      <c r="N665" s="212" t="e">
        <f>VLOOKUP(Table12[[#This Row],[ROUTE]],DEMAND!A:F,6,FALSE)</f>
        <v>#N/A</v>
      </c>
      <c r="O665" s="212" t="e">
        <f>ROUNDDOWN(Table12[[#This Row],[R-DEMAND]]/1320,0)</f>
        <v>#N/A</v>
      </c>
      <c r="P665" s="212" t="e">
        <f>Table12[[#This Row],[ADD ACC]]*Table12[[#This Row],[RT TIME 
(777-500ER)]]</f>
        <v>#N/A</v>
      </c>
    </row>
    <row r="666" spans="1:16" ht="15.75" customHeight="1" x14ac:dyDescent="0.25">
      <c r="A666" s="212" t="s">
        <v>14325</v>
      </c>
      <c r="B666" s="212" t="s">
        <v>4158</v>
      </c>
      <c r="C666" s="212"/>
      <c r="D666" s="226" t="s">
        <v>15105</v>
      </c>
      <c r="E666" s="212" t="s">
        <v>647</v>
      </c>
      <c r="F666" s="212" t="s">
        <v>12688</v>
      </c>
      <c r="G666" s="227" t="s">
        <v>13262</v>
      </c>
      <c r="H666" s="228">
        <v>8341</v>
      </c>
      <c r="I666" s="208">
        <v>20.75</v>
      </c>
      <c r="J666" s="211"/>
      <c r="K666" s="209">
        <v>0</v>
      </c>
      <c r="L666" s="212"/>
      <c r="M666" s="212" t="e">
        <f>VLOOKUP(Table12[[#This Row],[ROUTE]],DEMAND!A:F,5,FALSE)</f>
        <v>#N/A</v>
      </c>
      <c r="N666" s="212" t="e">
        <f>VLOOKUP(Table12[[#This Row],[ROUTE]],DEMAND!A:F,6,FALSE)</f>
        <v>#N/A</v>
      </c>
      <c r="O666" s="212" t="e">
        <f>ROUNDDOWN(Table12[[#This Row],[R-DEMAND]]/1320,0)</f>
        <v>#N/A</v>
      </c>
      <c r="P666" s="212" t="e">
        <f>Table12[[#This Row],[ADD ACC]]*Table12[[#This Row],[RT TIME 
(777-500ER)]]</f>
        <v>#N/A</v>
      </c>
    </row>
    <row r="667" spans="1:16" ht="15.75" customHeight="1" x14ac:dyDescent="0.25">
      <c r="A667" s="212" t="s">
        <v>14492</v>
      </c>
      <c r="B667" s="212" t="s">
        <v>4572</v>
      </c>
      <c r="C667" s="212"/>
      <c r="D667" s="226">
        <v>2</v>
      </c>
      <c r="E667" s="212" t="s">
        <v>1959</v>
      </c>
      <c r="F667" s="212" t="s">
        <v>12674</v>
      </c>
      <c r="G667" s="227" t="s">
        <v>11833</v>
      </c>
      <c r="H667" s="212">
        <v>657</v>
      </c>
      <c r="I667" s="208">
        <v>3.5</v>
      </c>
      <c r="J667" s="211"/>
      <c r="K667" s="209">
        <v>0</v>
      </c>
      <c r="L667" s="212"/>
      <c r="M667" s="212" t="e">
        <f>VLOOKUP(Table12[[#This Row],[ROUTE]],DEMAND!A:F,5,FALSE)</f>
        <v>#N/A</v>
      </c>
      <c r="N667" s="212" t="e">
        <f>VLOOKUP(Table12[[#This Row],[ROUTE]],DEMAND!A:F,6,FALSE)</f>
        <v>#N/A</v>
      </c>
      <c r="O667" s="212" t="e">
        <f>ROUNDDOWN(Table12[[#This Row],[R-DEMAND]]/1320,0)</f>
        <v>#N/A</v>
      </c>
      <c r="P667" s="212" t="e">
        <f>Table12[[#This Row],[ADD ACC]]*Table12[[#This Row],[RT TIME 
(777-500ER)]]</f>
        <v>#N/A</v>
      </c>
    </row>
    <row r="668" spans="1:16" ht="15.75" customHeight="1" x14ac:dyDescent="0.25">
      <c r="A668" s="212" t="s">
        <v>14927</v>
      </c>
      <c r="B668" s="212" t="s">
        <v>2846</v>
      </c>
      <c r="C668" s="212"/>
      <c r="D668" s="226">
        <v>2</v>
      </c>
      <c r="E668" s="212" t="s">
        <v>700</v>
      </c>
      <c r="F668" s="212" t="s">
        <v>12670</v>
      </c>
      <c r="G668" s="227" t="s">
        <v>8406</v>
      </c>
      <c r="H668" s="228">
        <v>1874</v>
      </c>
      <c r="I668" s="208">
        <v>6.25</v>
      </c>
      <c r="J668" s="211"/>
      <c r="K668" s="209">
        <v>0</v>
      </c>
      <c r="L668" s="212"/>
      <c r="M668" s="212" t="e">
        <f>VLOOKUP(Table12[[#This Row],[ROUTE]],DEMAND!A:F,5,FALSE)</f>
        <v>#N/A</v>
      </c>
      <c r="N668" s="212" t="e">
        <f>VLOOKUP(Table12[[#This Row],[ROUTE]],DEMAND!A:F,6,FALSE)</f>
        <v>#N/A</v>
      </c>
      <c r="O668" s="212" t="e">
        <f>ROUNDDOWN(Table12[[#This Row],[R-DEMAND]]/1320,0)</f>
        <v>#N/A</v>
      </c>
      <c r="P668" s="212" t="e">
        <f>Table12[[#This Row],[ADD ACC]]*Table12[[#This Row],[RT TIME 
(777-500ER)]]</f>
        <v>#N/A</v>
      </c>
    </row>
    <row r="669" spans="1:16" ht="15.75" customHeight="1" x14ac:dyDescent="0.25">
      <c r="A669" s="212" t="s">
        <v>14364</v>
      </c>
      <c r="B669" s="212" t="s">
        <v>3217</v>
      </c>
      <c r="C669" s="212"/>
      <c r="D669" s="226" t="s">
        <v>15105</v>
      </c>
      <c r="E669" s="212" t="s">
        <v>647</v>
      </c>
      <c r="F669" s="212" t="s">
        <v>12688</v>
      </c>
      <c r="G669" s="227" t="s">
        <v>13282</v>
      </c>
      <c r="H669" s="228">
        <v>9082</v>
      </c>
      <c r="I669" s="208">
        <v>22.5</v>
      </c>
      <c r="J669" s="211"/>
      <c r="K669" s="209">
        <v>0</v>
      </c>
      <c r="L669" s="212"/>
      <c r="M669" s="212" t="e">
        <f>VLOOKUP(Table12[[#This Row],[ROUTE]],DEMAND!A:F,5,FALSE)</f>
        <v>#N/A</v>
      </c>
      <c r="N669" s="212" t="e">
        <f>VLOOKUP(Table12[[#This Row],[ROUTE]],DEMAND!A:F,6,FALSE)</f>
        <v>#N/A</v>
      </c>
      <c r="O669" s="212" t="e">
        <f>ROUNDDOWN(Table12[[#This Row],[R-DEMAND]]/1320,0)</f>
        <v>#N/A</v>
      </c>
      <c r="P669" s="212" t="e">
        <f>Table12[[#This Row],[ADD ACC]]*Table12[[#This Row],[RT TIME 
(777-500ER)]]</f>
        <v>#N/A</v>
      </c>
    </row>
    <row r="670" spans="1:16" ht="15.75" customHeight="1" x14ac:dyDescent="0.25">
      <c r="A670" s="212" t="s">
        <v>14892</v>
      </c>
      <c r="B670" s="212" t="s">
        <v>2253</v>
      </c>
      <c r="C670" s="212"/>
      <c r="D670" s="226">
        <v>1</v>
      </c>
      <c r="E670" s="212" t="s">
        <v>258</v>
      </c>
      <c r="F670" s="212" t="s">
        <v>12670</v>
      </c>
      <c r="G670" s="227" t="s">
        <v>12025</v>
      </c>
      <c r="H670" s="228">
        <v>6787</v>
      </c>
      <c r="I670" s="208">
        <v>17.25</v>
      </c>
      <c r="J670" s="211"/>
      <c r="K670" s="209">
        <v>0</v>
      </c>
      <c r="L670" s="212"/>
      <c r="M670" s="212" t="e">
        <f>VLOOKUP(Table12[[#This Row],[ROUTE]],DEMAND!A:F,5,FALSE)</f>
        <v>#N/A</v>
      </c>
      <c r="N670" s="212" t="e">
        <f>VLOOKUP(Table12[[#This Row],[ROUTE]],DEMAND!A:F,6,FALSE)</f>
        <v>#N/A</v>
      </c>
      <c r="O670" s="212" t="e">
        <f>ROUNDDOWN(Table12[[#This Row],[R-DEMAND]]/1320,0)</f>
        <v>#N/A</v>
      </c>
      <c r="P670" s="212" t="e">
        <f>Table12[[#This Row],[ADD ACC]]*Table12[[#This Row],[RT TIME 
(777-500ER)]]</f>
        <v>#N/A</v>
      </c>
    </row>
    <row r="671" spans="1:16" ht="15.75" customHeight="1" x14ac:dyDescent="0.25">
      <c r="A671" s="212" t="s">
        <v>15081</v>
      </c>
      <c r="B671" s="212" t="s">
        <v>3329</v>
      </c>
      <c r="C671" s="212"/>
      <c r="D671" s="226">
        <v>2</v>
      </c>
      <c r="E671" s="212" t="s">
        <v>1516</v>
      </c>
      <c r="F671" s="212" t="s">
        <v>12671</v>
      </c>
      <c r="G671" s="227" t="s">
        <v>8355</v>
      </c>
      <c r="H671" s="228">
        <v>6450</v>
      </c>
      <c r="I671" s="208">
        <v>16.5</v>
      </c>
      <c r="J671" s="211"/>
      <c r="K671" s="209">
        <v>0</v>
      </c>
      <c r="L671" s="212"/>
      <c r="M671" s="212" t="e">
        <f>VLOOKUP(Table12[[#This Row],[ROUTE]],DEMAND!A:F,5,FALSE)</f>
        <v>#N/A</v>
      </c>
      <c r="N671" s="212" t="e">
        <f>VLOOKUP(Table12[[#This Row],[ROUTE]],DEMAND!A:F,6,FALSE)</f>
        <v>#N/A</v>
      </c>
      <c r="O671" s="212" t="e">
        <f>ROUNDDOWN(Table12[[#This Row],[R-DEMAND]]/1320,0)</f>
        <v>#N/A</v>
      </c>
      <c r="P671" s="212" t="e">
        <f>Table12[[#This Row],[ADD ACC]]*Table12[[#This Row],[RT TIME 
(777-500ER)]]</f>
        <v>#N/A</v>
      </c>
    </row>
    <row r="672" spans="1:16" ht="15.75" customHeight="1" x14ac:dyDescent="0.25">
      <c r="A672" s="212" t="s">
        <v>14331</v>
      </c>
      <c r="B672" s="212" t="s">
        <v>4785</v>
      </c>
      <c r="C672" s="212"/>
      <c r="D672" s="226" t="s">
        <v>15106</v>
      </c>
      <c r="E672" s="212" t="s">
        <v>647</v>
      </c>
      <c r="F672" s="212" t="s">
        <v>12688</v>
      </c>
      <c r="G672" s="227" t="s">
        <v>13361</v>
      </c>
      <c r="H672" s="228">
        <v>8444</v>
      </c>
      <c r="I672" s="208">
        <v>21</v>
      </c>
      <c r="J672" s="211"/>
      <c r="K672" s="209">
        <v>0</v>
      </c>
      <c r="L672" s="212"/>
      <c r="M672" s="212" t="e">
        <f>VLOOKUP(Table12[[#This Row],[ROUTE]],DEMAND!A:F,5,FALSE)</f>
        <v>#N/A</v>
      </c>
      <c r="N672" s="212" t="e">
        <f>VLOOKUP(Table12[[#This Row],[ROUTE]],DEMAND!A:F,6,FALSE)</f>
        <v>#N/A</v>
      </c>
      <c r="O672" s="212" t="e">
        <f>ROUNDDOWN(Table12[[#This Row],[R-DEMAND]]/1320,0)</f>
        <v>#N/A</v>
      </c>
      <c r="P672" s="212" t="e">
        <f>Table12[[#This Row],[ADD ACC]]*Table12[[#This Row],[RT TIME 
(777-500ER)]]</f>
        <v>#N/A</v>
      </c>
    </row>
    <row r="673" spans="1:16" ht="15.75" customHeight="1" x14ac:dyDescent="0.25">
      <c r="A673" s="212" t="s">
        <v>14915</v>
      </c>
      <c r="B673" s="212" t="s">
        <v>1916</v>
      </c>
      <c r="C673" s="212"/>
      <c r="D673" s="226">
        <v>1</v>
      </c>
      <c r="E673" s="212" t="s">
        <v>700</v>
      </c>
      <c r="F673" s="212" t="s">
        <v>12670</v>
      </c>
      <c r="G673" s="227" t="s">
        <v>11865</v>
      </c>
      <c r="H673" s="228">
        <v>1630</v>
      </c>
      <c r="I673" s="208">
        <v>5.75</v>
      </c>
      <c r="J673" s="211"/>
      <c r="K673" s="209">
        <v>0</v>
      </c>
      <c r="L673" s="212"/>
      <c r="M673" s="212" t="e">
        <f>VLOOKUP(Table12[[#This Row],[ROUTE]],DEMAND!A:F,5,FALSE)</f>
        <v>#N/A</v>
      </c>
      <c r="N673" s="212" t="e">
        <f>VLOOKUP(Table12[[#This Row],[ROUTE]],DEMAND!A:F,6,FALSE)</f>
        <v>#N/A</v>
      </c>
      <c r="O673" s="212" t="e">
        <f>ROUNDDOWN(Table12[[#This Row],[R-DEMAND]]/1320,0)</f>
        <v>#N/A</v>
      </c>
      <c r="P673" s="212" t="e">
        <f>Table12[[#This Row],[ADD ACC]]*Table12[[#This Row],[RT TIME 
(777-500ER)]]</f>
        <v>#N/A</v>
      </c>
    </row>
    <row r="674" spans="1:16" ht="15.75" customHeight="1" x14ac:dyDescent="0.25">
      <c r="A674" s="212" t="s">
        <v>14691</v>
      </c>
      <c r="B674" s="212" t="s">
        <v>3072</v>
      </c>
      <c r="C674" s="212"/>
      <c r="D674" s="226">
        <v>2</v>
      </c>
      <c r="E674" s="212" t="s">
        <v>567</v>
      </c>
      <c r="F674" s="212" t="s">
        <v>12670</v>
      </c>
      <c r="G674" s="227" t="s">
        <v>11989</v>
      </c>
      <c r="H674" s="228">
        <v>3031</v>
      </c>
      <c r="I674" s="208">
        <v>9</v>
      </c>
      <c r="J674" s="211"/>
      <c r="K674" s="209">
        <v>0</v>
      </c>
      <c r="L674" s="212"/>
      <c r="M674" s="212" t="e">
        <f>VLOOKUP(Table12[[#This Row],[ROUTE]],DEMAND!A:F,5,FALSE)</f>
        <v>#N/A</v>
      </c>
      <c r="N674" s="212" t="e">
        <f>VLOOKUP(Table12[[#This Row],[ROUTE]],DEMAND!A:F,6,FALSE)</f>
        <v>#N/A</v>
      </c>
      <c r="O674" s="212" t="e">
        <f>ROUNDDOWN(Table12[[#This Row],[R-DEMAND]]/1320,0)</f>
        <v>#N/A</v>
      </c>
      <c r="P674" s="212" t="e">
        <f>Table12[[#This Row],[ADD ACC]]*Table12[[#This Row],[RT TIME 
(777-500ER)]]</f>
        <v>#N/A</v>
      </c>
    </row>
    <row r="675" spans="1:16" ht="15.75" customHeight="1" x14ac:dyDescent="0.25">
      <c r="A675" s="212" t="s">
        <v>14490</v>
      </c>
      <c r="B675" s="212" t="s">
        <v>1379</v>
      </c>
      <c r="C675" s="212"/>
      <c r="D675" s="226">
        <v>1</v>
      </c>
      <c r="E675" s="212" t="s">
        <v>1377</v>
      </c>
      <c r="F675" s="212" t="s">
        <v>12674</v>
      </c>
      <c r="G675" s="227" t="s">
        <v>11915</v>
      </c>
      <c r="H675" s="228">
        <v>1889</v>
      </c>
      <c r="I675" s="208">
        <v>6.25</v>
      </c>
      <c r="J675" s="211"/>
      <c r="K675" s="209">
        <v>0</v>
      </c>
      <c r="L675" s="212"/>
      <c r="M675" s="212" t="e">
        <f>VLOOKUP(Table12[[#This Row],[ROUTE]],DEMAND!A:F,5,FALSE)</f>
        <v>#N/A</v>
      </c>
      <c r="N675" s="212" t="e">
        <f>VLOOKUP(Table12[[#This Row],[ROUTE]],DEMAND!A:F,6,FALSE)</f>
        <v>#N/A</v>
      </c>
      <c r="O675" s="212" t="e">
        <f>ROUNDDOWN(Table12[[#This Row],[R-DEMAND]]/1320,0)</f>
        <v>#N/A</v>
      </c>
      <c r="P675" s="212" t="e">
        <f>Table12[[#This Row],[ADD ACC]]*Table12[[#This Row],[RT TIME 
(777-500ER)]]</f>
        <v>#N/A</v>
      </c>
    </row>
    <row r="676" spans="1:16" ht="15.75" customHeight="1" x14ac:dyDescent="0.25">
      <c r="A676" s="212" t="s">
        <v>14928</v>
      </c>
      <c r="B676" s="212" t="s">
        <v>2890</v>
      </c>
      <c r="C676" s="212"/>
      <c r="D676" s="226">
        <v>2</v>
      </c>
      <c r="E676" s="212" t="s">
        <v>700</v>
      </c>
      <c r="F676" s="212" t="s">
        <v>12670</v>
      </c>
      <c r="G676" s="227" t="s">
        <v>11863</v>
      </c>
      <c r="H676" s="228">
        <v>1867</v>
      </c>
      <c r="I676" s="208">
        <v>6.25</v>
      </c>
      <c r="J676" s="211"/>
      <c r="K676" s="209">
        <v>0</v>
      </c>
      <c r="L676" s="212"/>
      <c r="M676" s="212" t="e">
        <f>VLOOKUP(Table12[[#This Row],[ROUTE]],DEMAND!A:F,5,FALSE)</f>
        <v>#N/A</v>
      </c>
      <c r="N676" s="212" t="e">
        <f>VLOOKUP(Table12[[#This Row],[ROUTE]],DEMAND!A:F,6,FALSE)</f>
        <v>#N/A</v>
      </c>
      <c r="O676" s="212" t="e">
        <f>ROUNDDOWN(Table12[[#This Row],[R-DEMAND]]/1320,0)</f>
        <v>#N/A</v>
      </c>
      <c r="P676" s="212" t="e">
        <f>Table12[[#This Row],[ADD ACC]]*Table12[[#This Row],[RT TIME 
(777-500ER)]]</f>
        <v>#N/A</v>
      </c>
    </row>
    <row r="677" spans="1:16" ht="15.75" customHeight="1" x14ac:dyDescent="0.25">
      <c r="A677" s="212" t="s">
        <v>15086</v>
      </c>
      <c r="B677" s="212" t="s">
        <v>3381</v>
      </c>
      <c r="C677" s="212"/>
      <c r="D677" s="226">
        <v>2</v>
      </c>
      <c r="E677" s="212" t="s">
        <v>971</v>
      </c>
      <c r="F677" s="212" t="s">
        <v>12671</v>
      </c>
      <c r="G677" s="227" t="s">
        <v>11770</v>
      </c>
      <c r="H677" s="228">
        <v>2990</v>
      </c>
      <c r="I677" s="208">
        <v>8.75</v>
      </c>
      <c r="J677" s="211"/>
      <c r="K677" s="209">
        <v>0</v>
      </c>
      <c r="L677" s="212"/>
      <c r="M677" s="212" t="e">
        <f>VLOOKUP(Table12[[#This Row],[ROUTE]],DEMAND!A:F,5,FALSE)</f>
        <v>#N/A</v>
      </c>
      <c r="N677" s="212" t="e">
        <f>VLOOKUP(Table12[[#This Row],[ROUTE]],DEMAND!A:F,6,FALSE)</f>
        <v>#N/A</v>
      </c>
      <c r="O677" s="212" t="e">
        <f>ROUNDDOWN(Table12[[#This Row],[R-DEMAND]]/1320,0)</f>
        <v>#N/A</v>
      </c>
      <c r="P677" s="212" t="e">
        <f>Table12[[#This Row],[ADD ACC]]*Table12[[#This Row],[RT TIME 
(777-500ER)]]</f>
        <v>#N/A</v>
      </c>
    </row>
    <row r="678" spans="1:16" ht="15.75" customHeight="1" x14ac:dyDescent="0.25">
      <c r="A678" s="212" t="s">
        <v>15007</v>
      </c>
      <c r="B678" s="212" t="s">
        <v>3274</v>
      </c>
      <c r="C678" s="212"/>
      <c r="D678" s="226">
        <v>2</v>
      </c>
      <c r="E678" s="212" t="s">
        <v>3272</v>
      </c>
      <c r="F678" s="212" t="s">
        <v>12671</v>
      </c>
      <c r="G678" s="227" t="s">
        <v>11810</v>
      </c>
      <c r="H678" s="228">
        <v>5206</v>
      </c>
      <c r="I678" s="208">
        <v>13.75</v>
      </c>
      <c r="J678" s="211"/>
      <c r="K678" s="209">
        <v>0</v>
      </c>
      <c r="L678" s="212"/>
      <c r="M678" s="212" t="e">
        <f>VLOOKUP(Table12[[#This Row],[ROUTE]],DEMAND!A:F,5,FALSE)</f>
        <v>#N/A</v>
      </c>
      <c r="N678" s="212" t="e">
        <f>VLOOKUP(Table12[[#This Row],[ROUTE]],DEMAND!A:F,6,FALSE)</f>
        <v>#N/A</v>
      </c>
      <c r="O678" s="212" t="e">
        <f>ROUNDDOWN(Table12[[#This Row],[R-DEMAND]]/1320,0)</f>
        <v>#N/A</v>
      </c>
      <c r="P678" s="212" t="e">
        <f>Table12[[#This Row],[ADD ACC]]*Table12[[#This Row],[RT TIME 
(777-500ER)]]</f>
        <v>#N/A</v>
      </c>
    </row>
    <row r="679" spans="1:16" ht="15.75" customHeight="1" x14ac:dyDescent="0.25">
      <c r="A679" s="212" t="s">
        <v>15043</v>
      </c>
      <c r="B679" s="212" t="s">
        <v>3705</v>
      </c>
      <c r="C679" s="212"/>
      <c r="D679" s="226">
        <v>2</v>
      </c>
      <c r="E679" s="212" t="s">
        <v>608</v>
      </c>
      <c r="F679" s="212" t="s">
        <v>12671</v>
      </c>
      <c r="G679" s="227" t="s">
        <v>11692</v>
      </c>
      <c r="H679" s="228">
        <v>3845</v>
      </c>
      <c r="I679" s="208">
        <v>10.75</v>
      </c>
      <c r="J679" s="211"/>
      <c r="K679" s="209">
        <v>0</v>
      </c>
      <c r="L679" s="212"/>
      <c r="M679" s="212" t="e">
        <f>VLOOKUP(Table12[[#This Row],[ROUTE]],DEMAND!A:F,5,FALSE)</f>
        <v>#N/A</v>
      </c>
      <c r="N679" s="212" t="e">
        <f>VLOOKUP(Table12[[#This Row],[ROUTE]],DEMAND!A:F,6,FALSE)</f>
        <v>#N/A</v>
      </c>
      <c r="O679" s="212" t="e">
        <f>ROUNDDOWN(Table12[[#This Row],[R-DEMAND]]/1320,0)</f>
        <v>#N/A</v>
      </c>
      <c r="P679" s="212" t="e">
        <f>Table12[[#This Row],[ADD ACC]]*Table12[[#This Row],[RT TIME 
(777-500ER)]]</f>
        <v>#N/A</v>
      </c>
    </row>
    <row r="680" spans="1:16" ht="15.75" customHeight="1" x14ac:dyDescent="0.25">
      <c r="A680" s="212" t="s">
        <v>15056</v>
      </c>
      <c r="B680" s="212" t="s">
        <v>3081</v>
      </c>
      <c r="C680" s="212"/>
      <c r="D680" s="226">
        <v>2</v>
      </c>
      <c r="E680" s="212" t="s">
        <v>3079</v>
      </c>
      <c r="F680" s="212" t="s">
        <v>12671</v>
      </c>
      <c r="G680" s="227" t="s">
        <v>11713</v>
      </c>
      <c r="H680" s="228">
        <v>5584</v>
      </c>
      <c r="I680" s="208">
        <v>14.75</v>
      </c>
      <c r="J680" s="211"/>
      <c r="K680" s="209">
        <v>0</v>
      </c>
      <c r="L680" s="212"/>
      <c r="M680" s="212" t="e">
        <f>VLOOKUP(Table12[[#This Row],[ROUTE]],DEMAND!A:F,5,FALSE)</f>
        <v>#N/A</v>
      </c>
      <c r="N680" s="212" t="e">
        <f>VLOOKUP(Table12[[#This Row],[ROUTE]],DEMAND!A:F,6,FALSE)</f>
        <v>#N/A</v>
      </c>
      <c r="O680" s="212" t="e">
        <f>ROUNDDOWN(Table12[[#This Row],[R-DEMAND]]/1320,0)</f>
        <v>#N/A</v>
      </c>
      <c r="P680" s="212" t="e">
        <f>Table12[[#This Row],[ADD ACC]]*Table12[[#This Row],[RT TIME 
(777-500ER)]]</f>
        <v>#N/A</v>
      </c>
    </row>
    <row r="681" spans="1:16" ht="15.75" customHeight="1" x14ac:dyDescent="0.25">
      <c r="A681" s="212" t="s">
        <v>14625</v>
      </c>
      <c r="B681" s="212" t="s">
        <v>3755</v>
      </c>
      <c r="C681" s="212"/>
      <c r="D681" s="226">
        <v>2</v>
      </c>
      <c r="E681" s="212" t="s">
        <v>78</v>
      </c>
      <c r="F681" s="212" t="s">
        <v>12674</v>
      </c>
      <c r="G681" s="227" t="s">
        <v>8243</v>
      </c>
      <c r="H681" s="228">
        <v>2307</v>
      </c>
      <c r="I681" s="208">
        <v>7.25</v>
      </c>
      <c r="J681" s="211"/>
      <c r="K681" s="209">
        <v>0</v>
      </c>
      <c r="L681" s="212"/>
      <c r="M681" s="212" t="e">
        <f>VLOOKUP(Table12[[#This Row],[ROUTE]],DEMAND!A:F,5,FALSE)</f>
        <v>#N/A</v>
      </c>
      <c r="N681" s="212" t="e">
        <f>VLOOKUP(Table12[[#This Row],[ROUTE]],DEMAND!A:F,6,FALSE)</f>
        <v>#N/A</v>
      </c>
      <c r="O681" s="212" t="e">
        <f>ROUNDDOWN(Table12[[#This Row],[R-DEMAND]]/1320,0)</f>
        <v>#N/A</v>
      </c>
      <c r="P681" s="212" t="e">
        <f>Table12[[#This Row],[ADD ACC]]*Table12[[#This Row],[RT TIME 
(777-500ER)]]</f>
        <v>#N/A</v>
      </c>
    </row>
    <row r="682" spans="1:16" ht="15.75" customHeight="1" x14ac:dyDescent="0.25">
      <c r="A682" s="212" t="s">
        <v>14965</v>
      </c>
      <c r="B682" s="212" t="s">
        <v>3361</v>
      </c>
      <c r="C682" s="212"/>
      <c r="D682" s="226">
        <v>2</v>
      </c>
      <c r="E682" s="229" t="s">
        <v>511</v>
      </c>
      <c r="F682" s="212" t="s">
        <v>12671</v>
      </c>
      <c r="G682" s="227" t="s">
        <v>11796</v>
      </c>
      <c r="H682" s="228">
        <v>6213</v>
      </c>
      <c r="I682" s="208">
        <v>16</v>
      </c>
      <c r="J682" s="211"/>
      <c r="K682" s="209">
        <v>0</v>
      </c>
      <c r="L682" s="212"/>
      <c r="M682" s="212" t="e">
        <f>VLOOKUP(Table12[[#This Row],[ROUTE]],DEMAND!A:F,5,FALSE)</f>
        <v>#N/A</v>
      </c>
      <c r="N682" s="212" t="e">
        <f>VLOOKUP(Table12[[#This Row],[ROUTE]],DEMAND!A:F,6,FALSE)</f>
        <v>#N/A</v>
      </c>
      <c r="O682" s="212" t="e">
        <f>ROUNDDOWN(Table12[[#This Row],[R-DEMAND]]/1320,0)</f>
        <v>#N/A</v>
      </c>
      <c r="P682" s="212" t="e">
        <f>Table12[[#This Row],[ADD ACC]]*Table12[[#This Row],[RT TIME 
(777-500ER)]]</f>
        <v>#N/A</v>
      </c>
    </row>
    <row r="683" spans="1:16" ht="15.75" customHeight="1" x14ac:dyDescent="0.25">
      <c r="A683" s="212" t="s">
        <v>14626</v>
      </c>
      <c r="B683" s="212" t="s">
        <v>3876</v>
      </c>
      <c r="C683" s="212"/>
      <c r="D683" s="226">
        <v>2</v>
      </c>
      <c r="E683" s="212" t="s">
        <v>78</v>
      </c>
      <c r="F683" s="212" t="s">
        <v>12674</v>
      </c>
      <c r="G683" s="227" t="s">
        <v>11895</v>
      </c>
      <c r="H683" s="228">
        <v>2865</v>
      </c>
      <c r="I683" s="208">
        <v>8.5</v>
      </c>
      <c r="J683" s="211"/>
      <c r="K683" s="209">
        <v>0</v>
      </c>
      <c r="L683" s="212"/>
      <c r="M683" s="212" t="e">
        <f>VLOOKUP(Table12[[#This Row],[ROUTE]],DEMAND!A:F,5,FALSE)</f>
        <v>#N/A</v>
      </c>
      <c r="N683" s="212" t="e">
        <f>VLOOKUP(Table12[[#This Row],[ROUTE]],DEMAND!A:F,6,FALSE)</f>
        <v>#N/A</v>
      </c>
      <c r="O683" s="212" t="e">
        <f>ROUNDDOWN(Table12[[#This Row],[R-DEMAND]]/1320,0)</f>
        <v>#N/A</v>
      </c>
      <c r="P683" s="212" t="e">
        <f>Table12[[#This Row],[ADD ACC]]*Table12[[#This Row],[RT TIME 
(777-500ER)]]</f>
        <v>#N/A</v>
      </c>
    </row>
    <row r="684" spans="1:16" ht="15.75" customHeight="1" x14ac:dyDescent="0.25">
      <c r="A684" s="212" t="s">
        <v>14522</v>
      </c>
      <c r="B684" s="212" t="s">
        <v>5202</v>
      </c>
      <c r="C684" s="212"/>
      <c r="D684" s="226">
        <v>3</v>
      </c>
      <c r="E684" s="212" t="s">
        <v>560</v>
      </c>
      <c r="F684" s="212" t="s">
        <v>12674</v>
      </c>
      <c r="G684" s="227" t="s">
        <v>11707</v>
      </c>
      <c r="H684" s="228">
        <v>2853</v>
      </c>
      <c r="I684" s="208">
        <v>8.5</v>
      </c>
      <c r="J684" s="211"/>
      <c r="K684" s="209">
        <v>0</v>
      </c>
      <c r="L684" s="212"/>
      <c r="M684" s="212" t="e">
        <f>VLOOKUP(Table12[[#This Row],[ROUTE]],DEMAND!A:F,5,FALSE)</f>
        <v>#N/A</v>
      </c>
      <c r="N684" s="212" t="e">
        <f>VLOOKUP(Table12[[#This Row],[ROUTE]],DEMAND!A:F,6,FALSE)</f>
        <v>#N/A</v>
      </c>
      <c r="O684" s="212" t="e">
        <f>ROUNDDOWN(Table12[[#This Row],[R-DEMAND]]/1320,0)</f>
        <v>#N/A</v>
      </c>
      <c r="P684" s="212" t="e">
        <f>Table12[[#This Row],[ADD ACC]]*Table12[[#This Row],[RT TIME 
(777-500ER)]]</f>
        <v>#N/A</v>
      </c>
    </row>
    <row r="685" spans="1:16" ht="15.75" customHeight="1" x14ac:dyDescent="0.25">
      <c r="A685" s="212" t="s">
        <v>14667</v>
      </c>
      <c r="B685" s="212" t="s">
        <v>5084</v>
      </c>
      <c r="C685" s="212"/>
      <c r="D685" s="226">
        <v>3</v>
      </c>
      <c r="E685" s="212" t="s">
        <v>585</v>
      </c>
      <c r="F685" s="212" t="s">
        <v>12674</v>
      </c>
      <c r="G685" s="227" t="s">
        <v>11800</v>
      </c>
      <c r="H685" s="228">
        <v>1316</v>
      </c>
      <c r="I685" s="208">
        <v>5</v>
      </c>
      <c r="J685" s="211"/>
      <c r="K685" s="209">
        <v>0</v>
      </c>
      <c r="L685" s="212"/>
      <c r="M685" s="212" t="e">
        <f>VLOOKUP(Table12[[#This Row],[ROUTE]],DEMAND!A:F,5,FALSE)</f>
        <v>#N/A</v>
      </c>
      <c r="N685" s="212" t="e">
        <f>VLOOKUP(Table12[[#This Row],[ROUTE]],DEMAND!A:F,6,FALSE)</f>
        <v>#N/A</v>
      </c>
      <c r="O685" s="212" t="e">
        <f>ROUNDDOWN(Table12[[#This Row],[R-DEMAND]]/1320,0)</f>
        <v>#N/A</v>
      </c>
      <c r="P685" s="212" t="e">
        <f>Table12[[#This Row],[ADD ACC]]*Table12[[#This Row],[RT TIME 
(777-500ER)]]</f>
        <v>#N/A</v>
      </c>
    </row>
    <row r="686" spans="1:16" ht="15.75" customHeight="1" x14ac:dyDescent="0.25">
      <c r="A686" s="212" t="s">
        <v>14708</v>
      </c>
      <c r="B686" s="212" t="s">
        <v>3025</v>
      </c>
      <c r="C686" s="212"/>
      <c r="D686" s="226">
        <v>2</v>
      </c>
      <c r="E686" s="212" t="s">
        <v>14</v>
      </c>
      <c r="F686" s="212" t="s">
        <v>12670</v>
      </c>
      <c r="G686" s="227" t="s">
        <v>11990</v>
      </c>
      <c r="H686" s="228">
        <v>5120</v>
      </c>
      <c r="I686" s="208">
        <v>13.5</v>
      </c>
      <c r="J686" s="211"/>
      <c r="K686" s="209">
        <v>0</v>
      </c>
      <c r="L686" s="212"/>
      <c r="M686" s="212" t="e">
        <f>VLOOKUP(Table12[[#This Row],[ROUTE]],DEMAND!A:F,5,FALSE)</f>
        <v>#N/A</v>
      </c>
      <c r="N686" s="212" t="e">
        <f>VLOOKUP(Table12[[#This Row],[ROUTE]],DEMAND!A:F,6,FALSE)</f>
        <v>#N/A</v>
      </c>
      <c r="O686" s="212" t="e">
        <f>ROUNDDOWN(Table12[[#This Row],[R-DEMAND]]/1320,0)</f>
        <v>#N/A</v>
      </c>
      <c r="P686" s="212" t="e">
        <f>Table12[[#This Row],[ADD ACC]]*Table12[[#This Row],[RT TIME 
(777-500ER)]]</f>
        <v>#N/A</v>
      </c>
    </row>
    <row r="687" spans="1:16" ht="15.75" customHeight="1" x14ac:dyDescent="0.25">
      <c r="A687" s="212" t="s">
        <v>14678</v>
      </c>
      <c r="B687" s="212" t="s">
        <v>4985</v>
      </c>
      <c r="C687" s="212"/>
      <c r="D687" s="226">
        <v>3</v>
      </c>
      <c r="E687" s="212" t="s">
        <v>722</v>
      </c>
      <c r="F687" s="212" t="s">
        <v>12674</v>
      </c>
      <c r="G687" s="227" t="s">
        <v>11850</v>
      </c>
      <c r="H687" s="228">
        <v>1118</v>
      </c>
      <c r="I687" s="208">
        <v>4.75</v>
      </c>
      <c r="J687" s="211"/>
      <c r="K687" s="209">
        <v>0</v>
      </c>
      <c r="L687" s="212"/>
      <c r="M687" s="212" t="e">
        <f>VLOOKUP(Table12[[#This Row],[ROUTE]],DEMAND!A:F,5,FALSE)</f>
        <v>#N/A</v>
      </c>
      <c r="N687" s="212" t="e">
        <f>VLOOKUP(Table12[[#This Row],[ROUTE]],DEMAND!A:F,6,FALSE)</f>
        <v>#N/A</v>
      </c>
      <c r="O687" s="212" t="e">
        <f>ROUNDDOWN(Table12[[#This Row],[R-DEMAND]]/1320,0)</f>
        <v>#N/A</v>
      </c>
      <c r="P687" s="212" t="e">
        <f>Table12[[#This Row],[ADD ACC]]*Table12[[#This Row],[RT TIME 
(777-500ER)]]</f>
        <v>#N/A</v>
      </c>
    </row>
    <row r="688" spans="1:16" ht="15.75" customHeight="1" x14ac:dyDescent="0.25">
      <c r="A688" s="212" t="s">
        <v>14982</v>
      </c>
      <c r="B688" s="212" t="s">
        <v>1553</v>
      </c>
      <c r="C688" s="212"/>
      <c r="D688" s="226">
        <v>1</v>
      </c>
      <c r="E688" s="212" t="s">
        <v>493</v>
      </c>
      <c r="F688" s="212" t="s">
        <v>12671</v>
      </c>
      <c r="G688" s="227" t="s">
        <v>11726</v>
      </c>
      <c r="H688" s="228">
        <v>3634</v>
      </c>
      <c r="I688" s="208">
        <v>10.25</v>
      </c>
      <c r="J688" s="211"/>
      <c r="K688" s="209">
        <v>0</v>
      </c>
      <c r="L688" s="212"/>
      <c r="M688" s="212" t="e">
        <f>VLOOKUP(Table12[[#This Row],[ROUTE]],DEMAND!A:F,5,FALSE)</f>
        <v>#N/A</v>
      </c>
      <c r="N688" s="212" t="e">
        <f>VLOOKUP(Table12[[#This Row],[ROUTE]],DEMAND!A:F,6,FALSE)</f>
        <v>#N/A</v>
      </c>
      <c r="O688" s="212" t="e">
        <f>ROUNDDOWN(Table12[[#This Row],[R-DEMAND]]/1320,0)</f>
        <v>#N/A</v>
      </c>
      <c r="P688" s="212" t="e">
        <f>Table12[[#This Row],[ADD ACC]]*Table12[[#This Row],[RT TIME 
(777-500ER)]]</f>
        <v>#N/A</v>
      </c>
    </row>
    <row r="689" spans="1:16" ht="15.75" customHeight="1" x14ac:dyDescent="0.25">
      <c r="A689" s="212" t="s">
        <v>14619</v>
      </c>
      <c r="B689" s="212" t="s">
        <v>3271</v>
      </c>
      <c r="C689" s="212"/>
      <c r="D689" s="226">
        <v>2</v>
      </c>
      <c r="E689" s="212" t="s">
        <v>78</v>
      </c>
      <c r="F689" s="212" t="s">
        <v>12674</v>
      </c>
      <c r="G689" s="227" t="s">
        <v>11903</v>
      </c>
      <c r="H689" s="228">
        <v>1440</v>
      </c>
      <c r="I689" s="208">
        <v>5.25</v>
      </c>
      <c r="J689" s="211"/>
      <c r="K689" s="209">
        <v>0</v>
      </c>
      <c r="L689" s="212"/>
      <c r="M689" s="212" t="e">
        <f>VLOOKUP(Table12[[#This Row],[ROUTE]],DEMAND!A:F,5,FALSE)</f>
        <v>#N/A</v>
      </c>
      <c r="N689" s="212" t="e">
        <f>VLOOKUP(Table12[[#This Row],[ROUTE]],DEMAND!A:F,6,FALSE)</f>
        <v>#N/A</v>
      </c>
      <c r="O689" s="212" t="e">
        <f>ROUNDDOWN(Table12[[#This Row],[R-DEMAND]]/1320,0)</f>
        <v>#N/A</v>
      </c>
      <c r="P689" s="212" t="e">
        <f>Table12[[#This Row],[ADD ACC]]*Table12[[#This Row],[RT TIME 
(777-500ER)]]</f>
        <v>#N/A</v>
      </c>
    </row>
    <row r="690" spans="1:16" ht="15.75" customHeight="1" x14ac:dyDescent="0.25">
      <c r="A690" s="212" t="s">
        <v>14369</v>
      </c>
      <c r="B690" s="212" t="s">
        <v>5217</v>
      </c>
      <c r="C690" s="212"/>
      <c r="D690" s="226" t="s">
        <v>15106</v>
      </c>
      <c r="E690" s="212" t="s">
        <v>647</v>
      </c>
      <c r="F690" s="212" t="s">
        <v>12688</v>
      </c>
      <c r="G690" s="227" t="s">
        <v>13308</v>
      </c>
      <c r="H690" s="228">
        <v>9072</v>
      </c>
      <c r="I690" s="208">
        <v>22.5</v>
      </c>
      <c r="J690" s="211"/>
      <c r="K690" s="209">
        <v>0</v>
      </c>
      <c r="L690" s="212"/>
      <c r="M690" s="212" t="e">
        <f>VLOOKUP(Table12[[#This Row],[ROUTE]],DEMAND!A:F,5,FALSE)</f>
        <v>#N/A</v>
      </c>
      <c r="N690" s="212" t="e">
        <f>VLOOKUP(Table12[[#This Row],[ROUTE]],DEMAND!A:F,6,FALSE)</f>
        <v>#N/A</v>
      </c>
      <c r="O690" s="212" t="e">
        <f>ROUNDDOWN(Table12[[#This Row],[R-DEMAND]]/1320,0)</f>
        <v>#N/A</v>
      </c>
      <c r="P690" s="212" t="e">
        <f>Table12[[#This Row],[ADD ACC]]*Table12[[#This Row],[RT TIME 
(777-500ER)]]</f>
        <v>#N/A</v>
      </c>
    </row>
    <row r="691" spans="1:16" ht="15.75" customHeight="1" x14ac:dyDescent="0.25">
      <c r="A691" s="212" t="s">
        <v>14332</v>
      </c>
      <c r="B691" s="212" t="s">
        <v>5293</v>
      </c>
      <c r="C691" s="212"/>
      <c r="D691" s="226" t="s">
        <v>15106</v>
      </c>
      <c r="E691" s="212" t="s">
        <v>647</v>
      </c>
      <c r="F691" s="212" t="s">
        <v>12688</v>
      </c>
      <c r="G691" s="227" t="s">
        <v>13297</v>
      </c>
      <c r="H691" s="228">
        <v>8412</v>
      </c>
      <c r="I691" s="208">
        <v>21</v>
      </c>
      <c r="J691" s="211"/>
      <c r="K691" s="209">
        <v>0</v>
      </c>
      <c r="L691" s="212"/>
      <c r="M691" s="212" t="e">
        <f>VLOOKUP(Table12[[#This Row],[ROUTE]],DEMAND!A:F,5,FALSE)</f>
        <v>#N/A</v>
      </c>
      <c r="N691" s="212" t="e">
        <f>VLOOKUP(Table12[[#This Row],[ROUTE]],DEMAND!A:F,6,FALSE)</f>
        <v>#N/A</v>
      </c>
      <c r="O691" s="212" t="e">
        <f>ROUNDDOWN(Table12[[#This Row],[R-DEMAND]]/1320,0)</f>
        <v>#N/A</v>
      </c>
      <c r="P691" s="212" t="e">
        <f>Table12[[#This Row],[ADD ACC]]*Table12[[#This Row],[RT TIME 
(777-500ER)]]</f>
        <v>#N/A</v>
      </c>
    </row>
    <row r="692" spans="1:16" ht="15.75" customHeight="1" x14ac:dyDescent="0.25">
      <c r="A692" s="212" t="s">
        <v>14624</v>
      </c>
      <c r="B692" s="212" t="s">
        <v>5436</v>
      </c>
      <c r="C692" s="212"/>
      <c r="D692" s="226">
        <v>3</v>
      </c>
      <c r="E692" s="212" t="s">
        <v>78</v>
      </c>
      <c r="F692" s="212" t="s">
        <v>12674</v>
      </c>
      <c r="G692" s="227" t="s">
        <v>11938</v>
      </c>
      <c r="H692" s="228">
        <v>2224</v>
      </c>
      <c r="I692" s="208">
        <v>7</v>
      </c>
      <c r="J692" s="211"/>
      <c r="K692" s="209">
        <v>0</v>
      </c>
      <c r="L692" s="212"/>
      <c r="M692" s="212" t="e">
        <f>VLOOKUP(Table12[[#This Row],[ROUTE]],DEMAND!A:F,5,FALSE)</f>
        <v>#N/A</v>
      </c>
      <c r="N692" s="212" t="e">
        <f>VLOOKUP(Table12[[#This Row],[ROUTE]],DEMAND!A:F,6,FALSE)</f>
        <v>#N/A</v>
      </c>
      <c r="O692" s="212" t="e">
        <f>ROUNDDOWN(Table12[[#This Row],[R-DEMAND]]/1320,0)</f>
        <v>#N/A</v>
      </c>
      <c r="P692" s="212" t="e">
        <f>Table12[[#This Row],[ADD ACC]]*Table12[[#This Row],[RT TIME 
(777-500ER)]]</f>
        <v>#N/A</v>
      </c>
    </row>
    <row r="693" spans="1:16" ht="15.75" customHeight="1" x14ac:dyDescent="0.25">
      <c r="A693" s="212" t="s">
        <v>15054</v>
      </c>
      <c r="B693" s="212" t="s">
        <v>1465</v>
      </c>
      <c r="C693" s="212"/>
      <c r="D693" s="226">
        <v>1</v>
      </c>
      <c r="E693" s="212" t="s">
        <v>580</v>
      </c>
      <c r="F693" s="212" t="s">
        <v>12671</v>
      </c>
      <c r="G693" s="227" t="s">
        <v>8079</v>
      </c>
      <c r="H693" s="228">
        <v>8410</v>
      </c>
      <c r="I693" s="208">
        <v>21</v>
      </c>
      <c r="J693" s="211"/>
      <c r="K693" s="209">
        <v>0</v>
      </c>
      <c r="L693" s="212"/>
      <c r="M693" s="212" t="e">
        <f>VLOOKUP(Table12[[#This Row],[ROUTE]],DEMAND!A:F,5,FALSE)</f>
        <v>#N/A</v>
      </c>
      <c r="N693" s="212" t="e">
        <f>VLOOKUP(Table12[[#This Row],[ROUTE]],DEMAND!A:F,6,FALSE)</f>
        <v>#N/A</v>
      </c>
      <c r="O693" s="212" t="e">
        <f>ROUNDDOWN(Table12[[#This Row],[R-DEMAND]]/1320,0)</f>
        <v>#N/A</v>
      </c>
      <c r="P693" s="212" t="e">
        <f>Table12[[#This Row],[ADD ACC]]*Table12[[#This Row],[RT TIME 
(777-500ER)]]</f>
        <v>#N/A</v>
      </c>
    </row>
    <row r="694" spans="1:16" ht="15.75" customHeight="1" x14ac:dyDescent="0.25">
      <c r="A694" s="212" t="s">
        <v>14403</v>
      </c>
      <c r="B694" s="212" t="s">
        <v>5341</v>
      </c>
      <c r="C694" s="212"/>
      <c r="D694" s="226" t="s">
        <v>15106</v>
      </c>
      <c r="E694" s="212" t="s">
        <v>647</v>
      </c>
      <c r="F694" s="212" t="s">
        <v>12688</v>
      </c>
      <c r="G694" s="227" t="s">
        <v>13272</v>
      </c>
      <c r="H694" s="228">
        <v>9800</v>
      </c>
      <c r="I694" s="208">
        <v>24</v>
      </c>
      <c r="J694" s="211"/>
      <c r="K694" s="209">
        <v>0</v>
      </c>
      <c r="L694" s="212"/>
      <c r="M694" s="212" t="e">
        <f>VLOOKUP(Table12[[#This Row],[ROUTE]],DEMAND!A:F,5,FALSE)</f>
        <v>#N/A</v>
      </c>
      <c r="N694" s="212" t="e">
        <f>VLOOKUP(Table12[[#This Row],[ROUTE]],DEMAND!A:F,6,FALSE)</f>
        <v>#N/A</v>
      </c>
      <c r="O694" s="212" t="e">
        <f>ROUNDDOWN(Table12[[#This Row],[R-DEMAND]]/1320,0)</f>
        <v>#N/A</v>
      </c>
      <c r="P694" s="212" t="e">
        <f>Table12[[#This Row],[ADD ACC]]*Table12[[#This Row],[RT TIME 
(777-500ER)]]</f>
        <v>#N/A</v>
      </c>
    </row>
    <row r="695" spans="1:16" ht="15.75" customHeight="1" x14ac:dyDescent="0.25">
      <c r="A695" s="212" t="s">
        <v>14597</v>
      </c>
      <c r="B695" s="212" t="s">
        <v>5321</v>
      </c>
      <c r="C695" s="212"/>
      <c r="D695" s="226">
        <v>3</v>
      </c>
      <c r="E695" s="212" t="s">
        <v>733</v>
      </c>
      <c r="F695" s="212" t="s">
        <v>12674</v>
      </c>
      <c r="G695" s="227" t="s">
        <v>11677</v>
      </c>
      <c r="H695" s="228">
        <v>3700</v>
      </c>
      <c r="I695" s="208">
        <v>10.5</v>
      </c>
      <c r="J695" s="211"/>
      <c r="K695" s="209">
        <v>0</v>
      </c>
      <c r="L695" s="212"/>
      <c r="M695" s="212" t="e">
        <f>VLOOKUP(Table12[[#This Row],[ROUTE]],DEMAND!A:F,5,FALSE)</f>
        <v>#N/A</v>
      </c>
      <c r="N695" s="212" t="e">
        <f>VLOOKUP(Table12[[#This Row],[ROUTE]],DEMAND!A:F,6,FALSE)</f>
        <v>#N/A</v>
      </c>
      <c r="O695" s="212" t="e">
        <f>ROUNDDOWN(Table12[[#This Row],[R-DEMAND]]/1320,0)</f>
        <v>#N/A</v>
      </c>
      <c r="P695" s="212" t="e">
        <f>Table12[[#This Row],[ADD ACC]]*Table12[[#This Row],[RT TIME 
(777-500ER)]]</f>
        <v>#N/A</v>
      </c>
    </row>
    <row r="696" spans="1:16" ht="15.75" customHeight="1" x14ac:dyDescent="0.25">
      <c r="A696" s="212" t="s">
        <v>14984</v>
      </c>
      <c r="B696" s="212" t="s">
        <v>4636</v>
      </c>
      <c r="C696" s="212"/>
      <c r="D696" s="226">
        <v>2</v>
      </c>
      <c r="E696" s="212" t="s">
        <v>493</v>
      </c>
      <c r="F696" s="212" t="s">
        <v>12671</v>
      </c>
      <c r="G696" s="227" t="s">
        <v>11702</v>
      </c>
      <c r="H696" s="228">
        <v>3647</v>
      </c>
      <c r="I696" s="208">
        <v>10.25</v>
      </c>
      <c r="J696" s="211"/>
      <c r="K696" s="209">
        <v>0</v>
      </c>
      <c r="L696" s="212"/>
      <c r="M696" s="212" t="e">
        <f>VLOOKUP(Table12[[#This Row],[ROUTE]],DEMAND!A:F,5,FALSE)</f>
        <v>#N/A</v>
      </c>
      <c r="N696" s="212" t="e">
        <f>VLOOKUP(Table12[[#This Row],[ROUTE]],DEMAND!A:F,6,FALSE)</f>
        <v>#N/A</v>
      </c>
      <c r="O696" s="212" t="e">
        <f>ROUNDDOWN(Table12[[#This Row],[R-DEMAND]]/1320,0)</f>
        <v>#N/A</v>
      </c>
      <c r="P696" s="212" t="e">
        <f>Table12[[#This Row],[ADD ACC]]*Table12[[#This Row],[RT TIME 
(777-500ER)]]</f>
        <v>#N/A</v>
      </c>
    </row>
    <row r="697" spans="1:16" ht="15.75" customHeight="1" x14ac:dyDescent="0.25">
      <c r="A697" s="212" t="s">
        <v>14485</v>
      </c>
      <c r="B697" s="212" t="s">
        <v>3576</v>
      </c>
      <c r="C697" s="212"/>
      <c r="D697" s="226">
        <v>2</v>
      </c>
      <c r="E697" s="229" t="s">
        <v>2441</v>
      </c>
      <c r="F697" s="212" t="s">
        <v>12674</v>
      </c>
      <c r="G697" s="227" t="s">
        <v>11806</v>
      </c>
      <c r="H697" s="228">
        <v>1474</v>
      </c>
      <c r="I697" s="208">
        <v>5.5</v>
      </c>
      <c r="J697" s="211"/>
      <c r="K697" s="209">
        <v>0</v>
      </c>
      <c r="L697" s="212"/>
      <c r="M697" s="212" t="e">
        <f>VLOOKUP(Table12[[#This Row],[ROUTE]],DEMAND!A:F,5,FALSE)</f>
        <v>#N/A</v>
      </c>
      <c r="N697" s="212" t="e">
        <f>VLOOKUP(Table12[[#This Row],[ROUTE]],DEMAND!A:F,6,FALSE)</f>
        <v>#N/A</v>
      </c>
      <c r="O697" s="212" t="e">
        <f>ROUNDDOWN(Table12[[#This Row],[R-DEMAND]]/1320,0)</f>
        <v>#N/A</v>
      </c>
      <c r="P697" s="212" t="e">
        <f>Table12[[#This Row],[ADD ACC]]*Table12[[#This Row],[RT TIME 
(777-500ER)]]</f>
        <v>#N/A</v>
      </c>
    </row>
    <row r="698" spans="1:16" ht="15.75" customHeight="1" x14ac:dyDescent="0.25">
      <c r="A698" s="212" t="s">
        <v>14495</v>
      </c>
      <c r="B698" s="212" t="s">
        <v>3311</v>
      </c>
      <c r="C698" s="212"/>
      <c r="D698" s="226">
        <v>2</v>
      </c>
      <c r="E698" s="212" t="s">
        <v>3180</v>
      </c>
      <c r="F698" s="212" t="s">
        <v>12674</v>
      </c>
      <c r="G698" s="227" t="s">
        <v>11723</v>
      </c>
      <c r="H698" s="228">
        <v>2348</v>
      </c>
      <c r="I698" s="208">
        <v>7.5</v>
      </c>
      <c r="J698" s="211"/>
      <c r="K698" s="209">
        <v>0</v>
      </c>
      <c r="L698" s="212"/>
      <c r="M698" s="212" t="e">
        <f>VLOOKUP(Table12[[#This Row],[ROUTE]],DEMAND!A:F,5,FALSE)</f>
        <v>#N/A</v>
      </c>
      <c r="N698" s="212" t="e">
        <f>VLOOKUP(Table12[[#This Row],[ROUTE]],DEMAND!A:F,6,FALSE)</f>
        <v>#N/A</v>
      </c>
      <c r="O698" s="212" t="e">
        <f>ROUNDDOWN(Table12[[#This Row],[R-DEMAND]]/1320,0)</f>
        <v>#N/A</v>
      </c>
      <c r="P698" s="212" t="e">
        <f>Table12[[#This Row],[ADD ACC]]*Table12[[#This Row],[RT TIME 
(777-500ER)]]</f>
        <v>#N/A</v>
      </c>
    </row>
    <row r="699" spans="1:16" ht="15.75" customHeight="1" x14ac:dyDescent="0.25">
      <c r="A699" s="212" t="s">
        <v>14605</v>
      </c>
      <c r="B699" s="212" t="s">
        <v>5358</v>
      </c>
      <c r="C699" s="212"/>
      <c r="D699" s="226">
        <v>3</v>
      </c>
      <c r="E699" s="212" t="s">
        <v>1420</v>
      </c>
      <c r="F699" s="212" t="s">
        <v>12674</v>
      </c>
      <c r="G699" s="227" t="s">
        <v>11837</v>
      </c>
      <c r="H699" s="228">
        <v>1467</v>
      </c>
      <c r="I699" s="208">
        <v>5.5</v>
      </c>
      <c r="J699" s="211"/>
      <c r="K699" s="209">
        <v>0</v>
      </c>
      <c r="L699" s="212"/>
      <c r="M699" s="212" t="e">
        <f>VLOOKUP(Table12[[#This Row],[ROUTE]],DEMAND!A:F,5,FALSE)</f>
        <v>#N/A</v>
      </c>
      <c r="N699" s="212" t="e">
        <f>VLOOKUP(Table12[[#This Row],[ROUTE]],DEMAND!A:F,6,FALSE)</f>
        <v>#N/A</v>
      </c>
      <c r="O699" s="212" t="e">
        <f>ROUNDDOWN(Table12[[#This Row],[R-DEMAND]]/1320,0)</f>
        <v>#N/A</v>
      </c>
      <c r="P699" s="212" t="e">
        <f>Table12[[#This Row],[ADD ACC]]*Table12[[#This Row],[RT TIME 
(777-500ER)]]</f>
        <v>#N/A</v>
      </c>
    </row>
    <row r="700" spans="1:16" ht="15.75" customHeight="1" x14ac:dyDescent="0.25">
      <c r="A700" s="212" t="s">
        <v>15003</v>
      </c>
      <c r="B700" s="212" t="s">
        <v>3515</v>
      </c>
      <c r="C700" s="212"/>
      <c r="D700" s="226">
        <v>2</v>
      </c>
      <c r="E700" s="212" t="s">
        <v>761</v>
      </c>
      <c r="F700" s="212" t="s">
        <v>12671</v>
      </c>
      <c r="G700" s="227" t="s">
        <v>8016</v>
      </c>
      <c r="H700" s="228">
        <v>5873</v>
      </c>
      <c r="I700" s="208">
        <v>15.25</v>
      </c>
      <c r="J700" s="211"/>
      <c r="K700" s="209">
        <v>0</v>
      </c>
      <c r="L700" s="212"/>
      <c r="M700" s="212" t="e">
        <f>VLOOKUP(Table12[[#This Row],[ROUTE]],DEMAND!A:F,5,FALSE)</f>
        <v>#N/A</v>
      </c>
      <c r="N700" s="212" t="e">
        <f>VLOOKUP(Table12[[#This Row],[ROUTE]],DEMAND!A:F,6,FALSE)</f>
        <v>#N/A</v>
      </c>
      <c r="O700" s="212" t="e">
        <f>ROUNDDOWN(Table12[[#This Row],[R-DEMAND]]/1320,0)</f>
        <v>#N/A</v>
      </c>
      <c r="P700" s="212" t="e">
        <f>Table12[[#This Row],[ADD ACC]]*Table12[[#This Row],[RT TIME 
(777-500ER)]]</f>
        <v>#N/A</v>
      </c>
    </row>
    <row r="701" spans="1:16" ht="15.75" customHeight="1" x14ac:dyDescent="0.25">
      <c r="A701" s="212" t="s">
        <v>15044</v>
      </c>
      <c r="B701" s="212" t="s">
        <v>3743</v>
      </c>
      <c r="C701" s="212"/>
      <c r="D701" s="226">
        <v>2</v>
      </c>
      <c r="E701" s="212" t="s">
        <v>608</v>
      </c>
      <c r="F701" s="212" t="s">
        <v>12671</v>
      </c>
      <c r="G701" s="227" t="s">
        <v>11697</v>
      </c>
      <c r="H701" s="228">
        <v>3796</v>
      </c>
      <c r="I701" s="208">
        <v>10.75</v>
      </c>
      <c r="J701" s="211"/>
      <c r="K701" s="209">
        <v>0</v>
      </c>
      <c r="L701" s="212"/>
      <c r="M701" s="212" t="e">
        <f>VLOOKUP(Table12[[#This Row],[ROUTE]],DEMAND!A:F,5,FALSE)</f>
        <v>#N/A</v>
      </c>
      <c r="N701" s="212" t="e">
        <f>VLOOKUP(Table12[[#This Row],[ROUTE]],DEMAND!A:F,6,FALSE)</f>
        <v>#N/A</v>
      </c>
      <c r="O701" s="212" t="e">
        <f>ROUNDDOWN(Table12[[#This Row],[R-DEMAND]]/1320,0)</f>
        <v>#N/A</v>
      </c>
      <c r="P701" s="212" t="e">
        <f>Table12[[#This Row],[ADD ACC]]*Table12[[#This Row],[RT TIME 
(777-500ER)]]</f>
        <v>#N/A</v>
      </c>
    </row>
    <row r="702" spans="1:16" ht="15.75" customHeight="1" x14ac:dyDescent="0.25">
      <c r="A702" s="212" t="s">
        <v>14627</v>
      </c>
      <c r="B702" s="212" t="s">
        <v>4928</v>
      </c>
      <c r="C702" s="212"/>
      <c r="D702" s="226">
        <v>3</v>
      </c>
      <c r="E702" s="212" t="s">
        <v>78</v>
      </c>
      <c r="F702" s="212" t="s">
        <v>12674</v>
      </c>
      <c r="G702" s="227" t="s">
        <v>11949</v>
      </c>
      <c r="H702" s="228">
        <v>2790</v>
      </c>
      <c r="I702" s="208">
        <v>8.5</v>
      </c>
      <c r="J702" s="211"/>
      <c r="K702" s="209">
        <v>0</v>
      </c>
      <c r="L702" s="212"/>
      <c r="M702" s="212" t="e">
        <f>VLOOKUP(Table12[[#This Row],[ROUTE]],DEMAND!A:F,5,FALSE)</f>
        <v>#N/A</v>
      </c>
      <c r="N702" s="212" t="e">
        <f>VLOOKUP(Table12[[#This Row],[ROUTE]],DEMAND!A:F,6,FALSE)</f>
        <v>#N/A</v>
      </c>
      <c r="O702" s="212" t="e">
        <f>ROUNDDOWN(Table12[[#This Row],[R-DEMAND]]/1320,0)</f>
        <v>#N/A</v>
      </c>
      <c r="P702" s="212" t="e">
        <f>Table12[[#This Row],[ADD ACC]]*Table12[[#This Row],[RT TIME 
(777-500ER)]]</f>
        <v>#N/A</v>
      </c>
    </row>
    <row r="703" spans="1:16" ht="15.75" customHeight="1" x14ac:dyDescent="0.25">
      <c r="A703" s="212" t="s">
        <v>15029</v>
      </c>
      <c r="B703" s="212" t="s">
        <v>2024</v>
      </c>
      <c r="C703" s="212"/>
      <c r="D703" s="226">
        <v>1</v>
      </c>
      <c r="E703" s="212" t="s">
        <v>2022</v>
      </c>
      <c r="F703" s="212" t="s">
        <v>12671</v>
      </c>
      <c r="G703" s="227" t="s">
        <v>13208</v>
      </c>
      <c r="H703" s="228">
        <v>6676</v>
      </c>
      <c r="I703" s="208">
        <v>17</v>
      </c>
      <c r="J703" s="211"/>
      <c r="K703" s="209">
        <v>0</v>
      </c>
      <c r="L703" s="212"/>
      <c r="M703" s="212" t="e">
        <f>VLOOKUP(Table12[[#This Row],[ROUTE]],DEMAND!A:F,5,FALSE)</f>
        <v>#N/A</v>
      </c>
      <c r="N703" s="212" t="e">
        <f>VLOOKUP(Table12[[#This Row],[ROUTE]],DEMAND!A:F,6,FALSE)</f>
        <v>#N/A</v>
      </c>
      <c r="O703" s="212" t="e">
        <f>ROUNDDOWN(Table12[[#This Row],[R-DEMAND]]/1320,0)</f>
        <v>#N/A</v>
      </c>
      <c r="P703" s="212" t="e">
        <f>Table12[[#This Row],[ADD ACC]]*Table12[[#This Row],[RT TIME 
(777-500ER)]]</f>
        <v>#N/A</v>
      </c>
    </row>
    <row r="704" spans="1:16" ht="15.75" customHeight="1" x14ac:dyDescent="0.25">
      <c r="A704" s="212" t="s">
        <v>15050</v>
      </c>
      <c r="B704" s="212" t="s">
        <v>2569</v>
      </c>
      <c r="C704" s="212"/>
      <c r="D704" s="226">
        <v>2</v>
      </c>
      <c r="E704" s="212" t="s">
        <v>608</v>
      </c>
      <c r="F704" s="212" t="s">
        <v>12671</v>
      </c>
      <c r="G704" s="227" t="s">
        <v>7996</v>
      </c>
      <c r="H704" s="228">
        <v>4422</v>
      </c>
      <c r="I704" s="208">
        <v>12</v>
      </c>
      <c r="J704" s="211"/>
      <c r="K704" s="209">
        <v>0</v>
      </c>
      <c r="L704" s="212"/>
      <c r="M704" s="212" t="e">
        <f>VLOOKUP(Table12[[#This Row],[ROUTE]],DEMAND!A:F,5,FALSE)</f>
        <v>#N/A</v>
      </c>
      <c r="N704" s="212" t="e">
        <f>VLOOKUP(Table12[[#This Row],[ROUTE]],DEMAND!A:F,6,FALSE)</f>
        <v>#N/A</v>
      </c>
      <c r="O704" s="212" t="e">
        <f>ROUNDDOWN(Table12[[#This Row],[R-DEMAND]]/1320,0)</f>
        <v>#N/A</v>
      </c>
      <c r="P704" s="212" t="e">
        <f>Table12[[#This Row],[ADD ACC]]*Table12[[#This Row],[RT TIME 
(777-500ER)]]</f>
        <v>#N/A</v>
      </c>
    </row>
    <row r="705" spans="1:16" ht="15.75" customHeight="1" x14ac:dyDescent="0.25">
      <c r="A705" s="212" t="s">
        <v>14472</v>
      </c>
      <c r="B705" s="212" t="s">
        <v>3792</v>
      </c>
      <c r="C705" s="212"/>
      <c r="D705" s="226">
        <v>2</v>
      </c>
      <c r="E705" s="212" t="s">
        <v>1749</v>
      </c>
      <c r="F705" s="212" t="s">
        <v>12688</v>
      </c>
      <c r="G705" s="227" t="s">
        <v>13226</v>
      </c>
      <c r="H705" s="228">
        <v>10760</v>
      </c>
      <c r="I705" s="208">
        <v>26.25</v>
      </c>
      <c r="J705" s="211"/>
      <c r="K705" s="209">
        <v>0</v>
      </c>
      <c r="L705" s="212"/>
      <c r="M705" s="212" t="e">
        <f>VLOOKUP(Table12[[#This Row],[ROUTE]],DEMAND!A:F,5,FALSE)</f>
        <v>#N/A</v>
      </c>
      <c r="N705" s="212" t="e">
        <f>VLOOKUP(Table12[[#This Row],[ROUTE]],DEMAND!A:F,6,FALSE)</f>
        <v>#N/A</v>
      </c>
      <c r="O705" s="212" t="e">
        <f>ROUNDDOWN(Table12[[#This Row],[R-DEMAND]]/1320,0)</f>
        <v>#N/A</v>
      </c>
      <c r="P705" s="212" t="e">
        <f>Table12[[#This Row],[ADD ACC]]*Table12[[#This Row],[RT TIME 
(777-500ER)]]</f>
        <v>#N/A</v>
      </c>
    </row>
    <row r="706" spans="1:16" ht="15.75" customHeight="1" x14ac:dyDescent="0.25">
      <c r="A706" s="212" t="s">
        <v>14291</v>
      </c>
      <c r="B706" s="212" t="s">
        <v>134</v>
      </c>
      <c r="C706" s="212"/>
      <c r="D706" s="226" t="s">
        <v>15105</v>
      </c>
      <c r="E706" s="212" t="s">
        <v>647</v>
      </c>
      <c r="F706" s="212" t="s">
        <v>12688</v>
      </c>
      <c r="G706" s="227" t="s">
        <v>13326</v>
      </c>
      <c r="H706" s="228">
        <v>7168</v>
      </c>
      <c r="I706" s="208">
        <v>18.25</v>
      </c>
      <c r="J706" s="211"/>
      <c r="K706" s="209">
        <v>0</v>
      </c>
      <c r="L706" s="212"/>
      <c r="M706" s="212" t="e">
        <f>VLOOKUP(Table12[[#This Row],[ROUTE]],DEMAND!A:F,5,FALSE)</f>
        <v>#N/A</v>
      </c>
      <c r="N706" s="212" t="e">
        <f>VLOOKUP(Table12[[#This Row],[ROUTE]],DEMAND!A:F,6,FALSE)</f>
        <v>#N/A</v>
      </c>
      <c r="O706" s="212" t="e">
        <f>ROUNDDOWN(Table12[[#This Row],[R-DEMAND]]/1320,0)</f>
        <v>#N/A</v>
      </c>
      <c r="P706" s="212" t="e">
        <f>Table12[[#This Row],[ADD ACC]]*Table12[[#This Row],[RT TIME 
(777-500ER)]]</f>
        <v>#N/A</v>
      </c>
    </row>
    <row r="707" spans="1:16" ht="15.75" customHeight="1" x14ac:dyDescent="0.25">
      <c r="A707" s="212" t="s">
        <v>14267</v>
      </c>
      <c r="B707" s="212" t="s">
        <v>3836</v>
      </c>
      <c r="C707" s="212"/>
      <c r="D707" s="226">
        <v>2</v>
      </c>
      <c r="E707" s="212" t="s">
        <v>3834</v>
      </c>
      <c r="F707" s="212" t="s">
        <v>12694</v>
      </c>
      <c r="G707" s="227" t="s">
        <v>13254</v>
      </c>
      <c r="H707" s="228">
        <v>9706</v>
      </c>
      <c r="I707" s="208">
        <v>24</v>
      </c>
      <c r="J707" s="211"/>
      <c r="K707" s="209">
        <v>0</v>
      </c>
      <c r="L707" s="212"/>
      <c r="M707" s="212" t="e">
        <f>VLOOKUP(Table12[[#This Row],[ROUTE]],DEMAND!A:F,5,FALSE)</f>
        <v>#N/A</v>
      </c>
      <c r="N707" s="212" t="e">
        <f>VLOOKUP(Table12[[#This Row],[ROUTE]],DEMAND!A:F,6,FALSE)</f>
        <v>#N/A</v>
      </c>
      <c r="O707" s="212" t="e">
        <f>ROUNDDOWN(Table12[[#This Row],[R-DEMAND]]/1320,0)</f>
        <v>#N/A</v>
      </c>
      <c r="P707" s="212" t="e">
        <f>Table12[[#This Row],[ADD ACC]]*Table12[[#This Row],[RT TIME 
(777-500ER)]]</f>
        <v>#N/A</v>
      </c>
    </row>
    <row r="708" spans="1:16" ht="15.75" customHeight="1" x14ac:dyDescent="0.25">
      <c r="A708" s="212" t="s">
        <v>14615</v>
      </c>
      <c r="B708" s="212" t="s">
        <v>4308</v>
      </c>
      <c r="C708" s="212"/>
      <c r="D708" s="226">
        <v>2</v>
      </c>
      <c r="E708" s="212" t="s">
        <v>78</v>
      </c>
      <c r="F708" s="212" t="s">
        <v>12674</v>
      </c>
      <c r="G708" s="227" t="s">
        <v>11899</v>
      </c>
      <c r="H708" s="228">
        <v>1138</v>
      </c>
      <c r="I708" s="208">
        <v>4.75</v>
      </c>
      <c r="J708" s="211"/>
      <c r="K708" s="209">
        <v>0</v>
      </c>
      <c r="L708" s="212"/>
      <c r="M708" s="212" t="e">
        <f>VLOOKUP(Table12[[#This Row],[ROUTE]],DEMAND!A:F,5,FALSE)</f>
        <v>#N/A</v>
      </c>
      <c r="N708" s="212" t="e">
        <f>VLOOKUP(Table12[[#This Row],[ROUTE]],DEMAND!A:F,6,FALSE)</f>
        <v>#N/A</v>
      </c>
      <c r="O708" s="212" t="e">
        <f>ROUNDDOWN(Table12[[#This Row],[R-DEMAND]]/1320,0)</f>
        <v>#N/A</v>
      </c>
      <c r="P708" s="212" t="e">
        <f>Table12[[#This Row],[ADD ACC]]*Table12[[#This Row],[RT TIME 
(777-500ER)]]</f>
        <v>#N/A</v>
      </c>
    </row>
    <row r="709" spans="1:16" ht="15.75" customHeight="1" x14ac:dyDescent="0.25">
      <c r="A709" s="212" t="s">
        <v>15061</v>
      </c>
      <c r="B709" s="212" t="s">
        <v>4629</v>
      </c>
      <c r="C709" s="212"/>
      <c r="D709" s="226">
        <v>2</v>
      </c>
      <c r="E709" s="212" t="s">
        <v>2059</v>
      </c>
      <c r="F709" s="212" t="s">
        <v>12671</v>
      </c>
      <c r="G709" s="227" t="s">
        <v>11754</v>
      </c>
      <c r="H709" s="228">
        <v>6245</v>
      </c>
      <c r="I709" s="208">
        <v>16.25</v>
      </c>
      <c r="J709" s="211"/>
      <c r="K709" s="209">
        <v>0</v>
      </c>
      <c r="L709" s="212"/>
      <c r="M709" s="212" t="e">
        <f>VLOOKUP(Table12[[#This Row],[ROUTE]],DEMAND!A:F,5,FALSE)</f>
        <v>#N/A</v>
      </c>
      <c r="N709" s="212" t="e">
        <f>VLOOKUP(Table12[[#This Row],[ROUTE]],DEMAND!A:F,6,FALSE)</f>
        <v>#N/A</v>
      </c>
      <c r="O709" s="212" t="e">
        <f>ROUNDDOWN(Table12[[#This Row],[R-DEMAND]]/1320,0)</f>
        <v>#N/A</v>
      </c>
      <c r="P709" s="212" t="e">
        <f>Table12[[#This Row],[ADD ACC]]*Table12[[#This Row],[RT TIME 
(777-500ER)]]</f>
        <v>#N/A</v>
      </c>
    </row>
    <row r="710" spans="1:16" ht="15.75" customHeight="1" x14ac:dyDescent="0.25">
      <c r="A710" s="212" t="s">
        <v>14319</v>
      </c>
      <c r="B710" s="212" t="s">
        <v>4036</v>
      </c>
      <c r="C710" s="212"/>
      <c r="D710" s="226" t="s">
        <v>15105</v>
      </c>
      <c r="E710" s="212" t="s">
        <v>647</v>
      </c>
      <c r="F710" s="212" t="s">
        <v>12688</v>
      </c>
      <c r="G710" s="227" t="s">
        <v>13312</v>
      </c>
      <c r="H710" s="228">
        <v>8243</v>
      </c>
      <c r="I710" s="208">
        <v>20.5</v>
      </c>
      <c r="J710" s="211"/>
      <c r="K710" s="209">
        <v>0</v>
      </c>
      <c r="L710" s="212"/>
      <c r="M710" s="212" t="e">
        <f>VLOOKUP(Table12[[#This Row],[ROUTE]],DEMAND!A:F,5,FALSE)</f>
        <v>#N/A</v>
      </c>
      <c r="N710" s="212" t="e">
        <f>VLOOKUP(Table12[[#This Row],[ROUTE]],DEMAND!A:F,6,FALSE)</f>
        <v>#N/A</v>
      </c>
      <c r="O710" s="212" t="e">
        <f>ROUNDDOWN(Table12[[#This Row],[R-DEMAND]]/1320,0)</f>
        <v>#N/A</v>
      </c>
      <c r="P710" s="212" t="e">
        <f>Table12[[#This Row],[ADD ACC]]*Table12[[#This Row],[RT TIME 
(777-500ER)]]</f>
        <v>#N/A</v>
      </c>
    </row>
    <row r="711" spans="1:16" ht="15.75" customHeight="1" x14ac:dyDescent="0.25">
      <c r="A711" s="212" t="s">
        <v>14374</v>
      </c>
      <c r="B711" s="212" t="s">
        <v>4389</v>
      </c>
      <c r="C711" s="212"/>
      <c r="D711" s="226" t="s">
        <v>15105</v>
      </c>
      <c r="E711" s="212" t="s">
        <v>647</v>
      </c>
      <c r="F711" s="212" t="s">
        <v>12688</v>
      </c>
      <c r="G711" s="227" t="s">
        <v>13365</v>
      </c>
      <c r="H711" s="228">
        <v>9179</v>
      </c>
      <c r="I711" s="208">
        <v>22.75</v>
      </c>
      <c r="J711" s="211"/>
      <c r="K711" s="209">
        <v>0</v>
      </c>
      <c r="L711" s="212"/>
      <c r="M711" s="212" t="e">
        <f>VLOOKUP(Table12[[#This Row],[ROUTE]],DEMAND!A:F,5,FALSE)</f>
        <v>#N/A</v>
      </c>
      <c r="N711" s="212" t="e">
        <f>VLOOKUP(Table12[[#This Row],[ROUTE]],DEMAND!A:F,6,FALSE)</f>
        <v>#N/A</v>
      </c>
      <c r="O711" s="212" t="e">
        <f>ROUNDDOWN(Table12[[#This Row],[R-DEMAND]]/1320,0)</f>
        <v>#N/A</v>
      </c>
      <c r="P711" s="212" t="e">
        <f>Table12[[#This Row],[ADD ACC]]*Table12[[#This Row],[RT TIME 
(777-500ER)]]</f>
        <v>#N/A</v>
      </c>
    </row>
    <row r="712" spans="1:16" ht="15.75" customHeight="1" x14ac:dyDescent="0.25">
      <c r="A712" s="212" t="s">
        <v>14343</v>
      </c>
      <c r="B712" s="212" t="s">
        <v>1971</v>
      </c>
      <c r="C712" s="212"/>
      <c r="D712" s="226" t="s">
        <v>15104</v>
      </c>
      <c r="E712" s="212" t="s">
        <v>647</v>
      </c>
      <c r="F712" s="212" t="s">
        <v>12688</v>
      </c>
      <c r="G712" s="227" t="s">
        <v>13268</v>
      </c>
      <c r="H712" s="228">
        <v>8736</v>
      </c>
      <c r="I712" s="208">
        <v>21.75</v>
      </c>
      <c r="J712" s="211"/>
      <c r="K712" s="209">
        <v>0</v>
      </c>
      <c r="L712" s="212"/>
      <c r="M712" s="212" t="e">
        <f>VLOOKUP(Table12[[#This Row],[ROUTE]],DEMAND!A:F,5,FALSE)</f>
        <v>#N/A</v>
      </c>
      <c r="N712" s="212" t="e">
        <f>VLOOKUP(Table12[[#This Row],[ROUTE]],DEMAND!A:F,6,FALSE)</f>
        <v>#N/A</v>
      </c>
      <c r="O712" s="212" t="e">
        <f>ROUNDDOWN(Table12[[#This Row],[R-DEMAND]]/1320,0)</f>
        <v>#N/A</v>
      </c>
      <c r="P712" s="212" t="e">
        <f>Table12[[#This Row],[ADD ACC]]*Table12[[#This Row],[RT TIME 
(777-500ER)]]</f>
        <v>#N/A</v>
      </c>
    </row>
    <row r="713" spans="1:16" ht="15.75" customHeight="1" x14ac:dyDescent="0.25">
      <c r="A713" s="212" t="s">
        <v>14685</v>
      </c>
      <c r="B713" s="212" t="s">
        <v>5057</v>
      </c>
      <c r="C713" s="212"/>
      <c r="D713" s="226">
        <v>3</v>
      </c>
      <c r="E713" s="212" t="s">
        <v>83</v>
      </c>
      <c r="F713" s="212" t="s">
        <v>12674</v>
      </c>
      <c r="G713" s="227" t="s">
        <v>11706</v>
      </c>
      <c r="H713" s="228">
        <v>2638</v>
      </c>
      <c r="I713" s="208">
        <v>8</v>
      </c>
      <c r="J713" s="211"/>
      <c r="K713" s="209">
        <v>0</v>
      </c>
      <c r="L713" s="212"/>
      <c r="M713" s="212" t="e">
        <f>VLOOKUP(Table12[[#This Row],[ROUTE]],DEMAND!A:F,5,FALSE)</f>
        <v>#N/A</v>
      </c>
      <c r="N713" s="212" t="e">
        <f>VLOOKUP(Table12[[#This Row],[ROUTE]],DEMAND!A:F,6,FALSE)</f>
        <v>#N/A</v>
      </c>
      <c r="O713" s="212" t="e">
        <f>ROUNDDOWN(Table12[[#This Row],[R-DEMAND]]/1320,0)</f>
        <v>#N/A</v>
      </c>
      <c r="P713" s="212" t="e">
        <f>Table12[[#This Row],[ADD ACC]]*Table12[[#This Row],[RT TIME 
(777-500ER)]]</f>
        <v>#N/A</v>
      </c>
    </row>
    <row r="714" spans="1:16" ht="15.75" customHeight="1" x14ac:dyDescent="0.25">
      <c r="A714" s="212" t="s">
        <v>14307</v>
      </c>
      <c r="B714" s="212" t="s">
        <v>5519</v>
      </c>
      <c r="C714" s="212"/>
      <c r="D714" s="226" t="s">
        <v>15107</v>
      </c>
      <c r="E714" s="212" t="s">
        <v>647</v>
      </c>
      <c r="F714" s="212" t="s">
        <v>12688</v>
      </c>
      <c r="G714" s="227" t="s">
        <v>13334</v>
      </c>
      <c r="H714" s="228">
        <v>7860</v>
      </c>
      <c r="I714" s="208">
        <v>19.75</v>
      </c>
      <c r="J714" s="211"/>
      <c r="K714" s="209">
        <v>0</v>
      </c>
      <c r="L714" s="212"/>
      <c r="M714" s="212" t="e">
        <f>VLOOKUP(Table12[[#This Row],[ROUTE]],DEMAND!A:F,5,FALSE)</f>
        <v>#N/A</v>
      </c>
      <c r="N714" s="212" t="e">
        <f>VLOOKUP(Table12[[#This Row],[ROUTE]],DEMAND!A:F,6,FALSE)</f>
        <v>#N/A</v>
      </c>
      <c r="O714" s="212" t="e">
        <f>ROUNDDOWN(Table12[[#This Row],[R-DEMAND]]/1320,0)</f>
        <v>#N/A</v>
      </c>
      <c r="P714" s="212" t="e">
        <f>Table12[[#This Row],[ADD ACC]]*Table12[[#This Row],[RT TIME 
(777-500ER)]]</f>
        <v>#N/A</v>
      </c>
    </row>
    <row r="715" spans="1:16" ht="15.75" customHeight="1" x14ac:dyDescent="0.25">
      <c r="A715" s="212" t="s">
        <v>14643</v>
      </c>
      <c r="B715" s="212" t="s">
        <v>2984</v>
      </c>
      <c r="C715" s="212"/>
      <c r="D715" s="226">
        <v>2</v>
      </c>
      <c r="E715" s="212" t="s">
        <v>78</v>
      </c>
      <c r="F715" s="212" t="s">
        <v>12674</v>
      </c>
      <c r="G715" s="227" t="s">
        <v>11911</v>
      </c>
      <c r="H715" s="228">
        <v>6776</v>
      </c>
      <c r="I715" s="208">
        <v>17.25</v>
      </c>
      <c r="J715" s="211"/>
      <c r="K715" s="209">
        <v>0</v>
      </c>
      <c r="L715" s="212"/>
      <c r="M715" s="212" t="e">
        <f>VLOOKUP(Table12[[#This Row],[ROUTE]],DEMAND!A:F,5,FALSE)</f>
        <v>#N/A</v>
      </c>
      <c r="N715" s="212" t="e">
        <f>VLOOKUP(Table12[[#This Row],[ROUTE]],DEMAND!A:F,6,FALSE)</f>
        <v>#N/A</v>
      </c>
      <c r="O715" s="212" t="e">
        <f>ROUNDDOWN(Table12[[#This Row],[R-DEMAND]]/1320,0)</f>
        <v>#N/A</v>
      </c>
      <c r="P715" s="212" t="e">
        <f>Table12[[#This Row],[ADD ACC]]*Table12[[#This Row],[RT TIME 
(777-500ER)]]</f>
        <v>#N/A</v>
      </c>
    </row>
    <row r="716" spans="1:16" ht="15.75" customHeight="1" x14ac:dyDescent="0.25">
      <c r="A716" s="212" t="s">
        <v>14576</v>
      </c>
      <c r="B716" s="212" t="s">
        <v>1335</v>
      </c>
      <c r="C716" s="212"/>
      <c r="D716" s="226">
        <v>1</v>
      </c>
      <c r="E716" s="212" t="s">
        <v>588</v>
      </c>
      <c r="F716" s="212" t="s">
        <v>12674</v>
      </c>
      <c r="G716" s="227" t="s">
        <v>11966</v>
      </c>
      <c r="H716" s="228">
        <v>2849</v>
      </c>
      <c r="I716" s="208">
        <v>8.5</v>
      </c>
      <c r="J716" s="211"/>
      <c r="K716" s="209">
        <v>0</v>
      </c>
      <c r="L716" s="212"/>
      <c r="M716" s="212" t="e">
        <f>VLOOKUP(Table12[[#This Row],[ROUTE]],DEMAND!A:F,5,FALSE)</f>
        <v>#N/A</v>
      </c>
      <c r="N716" s="212" t="e">
        <f>VLOOKUP(Table12[[#This Row],[ROUTE]],DEMAND!A:F,6,FALSE)</f>
        <v>#N/A</v>
      </c>
      <c r="O716" s="212" t="e">
        <f>ROUNDDOWN(Table12[[#This Row],[R-DEMAND]]/1320,0)</f>
        <v>#N/A</v>
      </c>
      <c r="P716" s="212" t="e">
        <f>Table12[[#This Row],[ADD ACC]]*Table12[[#This Row],[RT TIME 
(777-500ER)]]</f>
        <v>#N/A</v>
      </c>
    </row>
    <row r="717" spans="1:16" ht="15.75" customHeight="1" x14ac:dyDescent="0.25">
      <c r="A717" s="212" t="s">
        <v>14569</v>
      </c>
      <c r="B717" s="212" t="s">
        <v>5311</v>
      </c>
      <c r="C717" s="212"/>
      <c r="D717" s="226">
        <v>3</v>
      </c>
      <c r="E717" s="212" t="s">
        <v>308</v>
      </c>
      <c r="F717" s="212" t="s">
        <v>12674</v>
      </c>
      <c r="G717" s="227" t="s">
        <v>11790</v>
      </c>
      <c r="H717" s="228">
        <v>2662</v>
      </c>
      <c r="I717" s="208">
        <v>8</v>
      </c>
      <c r="J717" s="211"/>
      <c r="K717" s="209">
        <v>0</v>
      </c>
      <c r="L717" s="212"/>
      <c r="M717" s="212" t="e">
        <f>VLOOKUP(Table12[[#This Row],[ROUTE]],DEMAND!A:F,5,FALSE)</f>
        <v>#N/A</v>
      </c>
      <c r="N717" s="212" t="e">
        <f>VLOOKUP(Table12[[#This Row],[ROUTE]],DEMAND!A:F,6,FALSE)</f>
        <v>#N/A</v>
      </c>
      <c r="O717" s="212" t="e">
        <f>ROUNDDOWN(Table12[[#This Row],[R-DEMAND]]/1320,0)</f>
        <v>#N/A</v>
      </c>
      <c r="P717" s="212" t="e">
        <f>Table12[[#This Row],[ADD ACC]]*Table12[[#This Row],[RT TIME 
(777-500ER)]]</f>
        <v>#N/A</v>
      </c>
    </row>
    <row r="718" spans="1:16" ht="15.75" customHeight="1" x14ac:dyDescent="0.25">
      <c r="A718" s="212" t="s">
        <v>14450</v>
      </c>
      <c r="B718" s="212" t="s">
        <v>4675</v>
      </c>
      <c r="C718" s="212"/>
      <c r="D718" s="226">
        <v>2</v>
      </c>
      <c r="E718" s="212" t="s">
        <v>2791</v>
      </c>
      <c r="F718" s="212" t="s">
        <v>12688</v>
      </c>
      <c r="G718" s="227" t="s">
        <v>13195</v>
      </c>
      <c r="H718" s="228">
        <v>9314</v>
      </c>
      <c r="I718" s="208">
        <v>23</v>
      </c>
      <c r="J718" s="211"/>
      <c r="K718" s="209">
        <v>0</v>
      </c>
      <c r="L718" s="212"/>
      <c r="M718" s="212" t="e">
        <f>VLOOKUP(Table12[[#This Row],[ROUTE]],DEMAND!A:F,5,FALSE)</f>
        <v>#N/A</v>
      </c>
      <c r="N718" s="212" t="e">
        <f>VLOOKUP(Table12[[#This Row],[ROUTE]],DEMAND!A:F,6,FALSE)</f>
        <v>#N/A</v>
      </c>
      <c r="O718" s="212" t="e">
        <f>ROUNDDOWN(Table12[[#This Row],[R-DEMAND]]/1320,0)</f>
        <v>#N/A</v>
      </c>
      <c r="P718" s="212" t="e">
        <f>Table12[[#This Row],[ADD ACC]]*Table12[[#This Row],[RT TIME 
(777-500ER)]]</f>
        <v>#N/A</v>
      </c>
    </row>
    <row r="719" spans="1:16" ht="15.75" customHeight="1" x14ac:dyDescent="0.25">
      <c r="A719" s="212" t="s">
        <v>14484</v>
      </c>
      <c r="B719" s="212" t="s">
        <v>5079</v>
      </c>
      <c r="C719" s="212" t="s">
        <v>11122</v>
      </c>
      <c r="D719" s="226"/>
      <c r="E719" s="212" t="s">
        <v>5077</v>
      </c>
      <c r="F719" s="212" t="s">
        <v>12688</v>
      </c>
      <c r="G719" s="227" t="s">
        <v>5078</v>
      </c>
      <c r="H719" s="228">
        <v>9616</v>
      </c>
      <c r="I719" s="208">
        <v>23.75</v>
      </c>
      <c r="J719" s="211"/>
      <c r="K719" s="209">
        <v>0</v>
      </c>
      <c r="L719" s="212"/>
      <c r="M719" s="212" t="e">
        <f>VLOOKUP(Table12[[#This Row],[ROUTE]],DEMAND!A:F,5,FALSE)</f>
        <v>#N/A</v>
      </c>
      <c r="N719" s="212" t="e">
        <f>VLOOKUP(Table12[[#This Row],[ROUTE]],DEMAND!A:F,6,FALSE)</f>
        <v>#N/A</v>
      </c>
      <c r="O719" s="212" t="e">
        <f>ROUNDDOWN(Table12[[#This Row],[R-DEMAND]]/1320,0)</f>
        <v>#N/A</v>
      </c>
      <c r="P719" s="212" t="e">
        <f>Table12[[#This Row],[ADD ACC]]*Table12[[#This Row],[RT TIME 
(777-500ER)]]</f>
        <v>#N/A</v>
      </c>
    </row>
    <row r="720" spans="1:16" ht="15.75" customHeight="1" x14ac:dyDescent="0.25">
      <c r="A720" s="212" t="s">
        <v>14567</v>
      </c>
      <c r="B720" s="212" t="s">
        <v>5279</v>
      </c>
      <c r="C720" s="212"/>
      <c r="D720" s="226">
        <v>3</v>
      </c>
      <c r="E720" s="212" t="s">
        <v>308</v>
      </c>
      <c r="F720" s="212" t="s">
        <v>12674</v>
      </c>
      <c r="G720" s="227" t="s">
        <v>11769</v>
      </c>
      <c r="H720" s="228">
        <v>2351</v>
      </c>
      <c r="I720" s="208">
        <v>7.5</v>
      </c>
      <c r="J720" s="211"/>
      <c r="K720" s="209">
        <v>0</v>
      </c>
      <c r="L720" s="212"/>
      <c r="M720" s="212" t="e">
        <f>VLOOKUP(Table12[[#This Row],[ROUTE]],DEMAND!A:F,5,FALSE)</f>
        <v>#N/A</v>
      </c>
      <c r="N720" s="212" t="e">
        <f>VLOOKUP(Table12[[#This Row],[ROUTE]],DEMAND!A:F,6,FALSE)</f>
        <v>#N/A</v>
      </c>
      <c r="O720" s="212" t="e">
        <f>ROUNDDOWN(Table12[[#This Row],[R-DEMAND]]/1320,0)</f>
        <v>#N/A</v>
      </c>
      <c r="P720" s="212" t="e">
        <f>Table12[[#This Row],[ADD ACC]]*Table12[[#This Row],[RT TIME 
(777-500ER)]]</f>
        <v>#N/A</v>
      </c>
    </row>
    <row r="721" spans="1:16" ht="15.75" customHeight="1" x14ac:dyDescent="0.25">
      <c r="A721" s="212" t="s">
        <v>14290</v>
      </c>
      <c r="B721" s="212" t="s">
        <v>2735</v>
      </c>
      <c r="C721" s="212"/>
      <c r="D721" s="226" t="s">
        <v>15105</v>
      </c>
      <c r="E721" s="212" t="s">
        <v>647</v>
      </c>
      <c r="F721" s="212" t="s">
        <v>12688</v>
      </c>
      <c r="G721" s="227" t="s">
        <v>13339</v>
      </c>
      <c r="H721" s="228">
        <v>7184</v>
      </c>
      <c r="I721" s="208">
        <v>18.25</v>
      </c>
      <c r="J721" s="211"/>
      <c r="K721" s="209">
        <v>0</v>
      </c>
      <c r="L721" s="212"/>
      <c r="M721" s="212" t="e">
        <f>VLOOKUP(Table12[[#This Row],[ROUTE]],DEMAND!A:F,5,FALSE)</f>
        <v>#N/A</v>
      </c>
      <c r="N721" s="212" t="e">
        <f>VLOOKUP(Table12[[#This Row],[ROUTE]],DEMAND!A:F,6,FALSE)</f>
        <v>#N/A</v>
      </c>
      <c r="O721" s="212" t="e">
        <f>ROUNDDOWN(Table12[[#This Row],[R-DEMAND]]/1320,0)</f>
        <v>#N/A</v>
      </c>
      <c r="P721" s="212" t="e">
        <f>Table12[[#This Row],[ADD ACC]]*Table12[[#This Row],[RT TIME 
(777-500ER)]]</f>
        <v>#N/A</v>
      </c>
    </row>
    <row r="722" spans="1:16" ht="15.75" customHeight="1" x14ac:dyDescent="0.25">
      <c r="A722" s="212" t="s">
        <v>14404</v>
      </c>
      <c r="B722" s="212" t="s">
        <v>4802</v>
      </c>
      <c r="C722" s="212"/>
      <c r="D722" s="226" t="s">
        <v>15106</v>
      </c>
      <c r="E722" s="212" t="s">
        <v>647</v>
      </c>
      <c r="F722" s="212" t="s">
        <v>12688</v>
      </c>
      <c r="G722" s="227" t="s">
        <v>13275</v>
      </c>
      <c r="H722" s="228">
        <v>9800</v>
      </c>
      <c r="I722" s="208">
        <v>24</v>
      </c>
      <c r="J722" s="211"/>
      <c r="K722" s="209">
        <v>0</v>
      </c>
      <c r="L722" s="212"/>
      <c r="M722" s="212" t="e">
        <f>VLOOKUP(Table12[[#This Row],[ROUTE]],DEMAND!A:F,5,FALSE)</f>
        <v>#N/A</v>
      </c>
      <c r="N722" s="212" t="e">
        <f>VLOOKUP(Table12[[#This Row],[ROUTE]],DEMAND!A:F,6,FALSE)</f>
        <v>#N/A</v>
      </c>
      <c r="O722" s="212" t="e">
        <f>ROUNDDOWN(Table12[[#This Row],[R-DEMAND]]/1320,0)</f>
        <v>#N/A</v>
      </c>
      <c r="P722" s="212" t="e">
        <f>Table12[[#This Row],[ADD ACC]]*Table12[[#This Row],[RT TIME 
(777-500ER)]]</f>
        <v>#N/A</v>
      </c>
    </row>
    <row r="723" spans="1:16" ht="15.75" customHeight="1" x14ac:dyDescent="0.25">
      <c r="A723" s="212" t="s">
        <v>14356</v>
      </c>
      <c r="B723" s="212" t="s">
        <v>900</v>
      </c>
      <c r="C723" s="212"/>
      <c r="D723" s="226" t="s">
        <v>15104</v>
      </c>
      <c r="E723" s="212" t="s">
        <v>647</v>
      </c>
      <c r="F723" s="212" t="s">
        <v>12688</v>
      </c>
      <c r="G723" s="227" t="s">
        <v>13291</v>
      </c>
      <c r="H723" s="228">
        <v>9005</v>
      </c>
      <c r="I723" s="208">
        <v>22.25</v>
      </c>
      <c r="J723" s="211"/>
      <c r="K723" s="209">
        <v>0</v>
      </c>
      <c r="L723" s="212"/>
      <c r="M723" s="212" t="e">
        <f>VLOOKUP(Table12[[#This Row],[ROUTE]],DEMAND!A:F,5,FALSE)</f>
        <v>#N/A</v>
      </c>
      <c r="N723" s="212" t="e">
        <f>VLOOKUP(Table12[[#This Row],[ROUTE]],DEMAND!A:F,6,FALSE)</f>
        <v>#N/A</v>
      </c>
      <c r="O723" s="212" t="e">
        <f>ROUNDDOWN(Table12[[#This Row],[R-DEMAND]]/1320,0)</f>
        <v>#N/A</v>
      </c>
      <c r="P723" s="212" t="e">
        <f>Table12[[#This Row],[ADD ACC]]*Table12[[#This Row],[RT TIME 
(777-500ER)]]</f>
        <v>#N/A</v>
      </c>
    </row>
    <row r="724" spans="1:16" ht="15.75" customHeight="1" x14ac:dyDescent="0.25">
      <c r="A724" s="212" t="s">
        <v>14499</v>
      </c>
      <c r="B724" s="212" t="s">
        <v>3741</v>
      </c>
      <c r="C724" s="212"/>
      <c r="D724" s="226">
        <v>2</v>
      </c>
      <c r="E724" s="212" t="s">
        <v>1117</v>
      </c>
      <c r="F724" s="212" t="s">
        <v>12674</v>
      </c>
      <c r="G724" s="227" t="s">
        <v>7722</v>
      </c>
      <c r="H724" s="228">
        <v>2054</v>
      </c>
      <c r="I724" s="208">
        <v>6.75</v>
      </c>
      <c r="J724" s="211"/>
      <c r="K724" s="209">
        <v>0</v>
      </c>
      <c r="L724" s="212"/>
      <c r="M724" s="212" t="e">
        <f>VLOOKUP(Table12[[#This Row],[ROUTE]],DEMAND!A:F,5,FALSE)</f>
        <v>#N/A</v>
      </c>
      <c r="N724" s="212" t="e">
        <f>VLOOKUP(Table12[[#This Row],[ROUTE]],DEMAND!A:F,6,FALSE)</f>
        <v>#N/A</v>
      </c>
      <c r="O724" s="212" t="e">
        <f>ROUNDDOWN(Table12[[#This Row],[R-DEMAND]]/1320,0)</f>
        <v>#N/A</v>
      </c>
      <c r="P724" s="212" t="e">
        <f>Table12[[#This Row],[ADD ACC]]*Table12[[#This Row],[RT TIME 
(777-500ER)]]</f>
        <v>#N/A</v>
      </c>
    </row>
    <row r="725" spans="1:16" ht="15.75" customHeight="1" x14ac:dyDescent="0.25">
      <c r="A725" s="212" t="s">
        <v>14549</v>
      </c>
      <c r="B725" s="212" t="s">
        <v>3543</v>
      </c>
      <c r="C725" s="212"/>
      <c r="D725" s="226">
        <v>2</v>
      </c>
      <c r="E725" s="212" t="s">
        <v>597</v>
      </c>
      <c r="F725" s="212" t="s">
        <v>12674</v>
      </c>
      <c r="G725" s="227" t="s">
        <v>11825</v>
      </c>
      <c r="H725" s="228">
        <v>2231</v>
      </c>
      <c r="I725" s="208">
        <v>7.25</v>
      </c>
      <c r="J725" s="211"/>
      <c r="K725" s="209">
        <v>0</v>
      </c>
      <c r="L725" s="212"/>
      <c r="M725" s="212" t="e">
        <f>VLOOKUP(Table12[[#This Row],[ROUTE]],DEMAND!A:F,5,FALSE)</f>
        <v>#N/A</v>
      </c>
      <c r="N725" s="212" t="e">
        <f>VLOOKUP(Table12[[#This Row],[ROUTE]],DEMAND!A:F,6,FALSE)</f>
        <v>#N/A</v>
      </c>
      <c r="O725" s="212" t="e">
        <f>ROUNDDOWN(Table12[[#This Row],[R-DEMAND]]/1320,0)</f>
        <v>#N/A</v>
      </c>
      <c r="P725" s="212" t="e">
        <f>Table12[[#This Row],[ADD ACC]]*Table12[[#This Row],[RT TIME 
(777-500ER)]]</f>
        <v>#N/A</v>
      </c>
    </row>
    <row r="726" spans="1:16" ht="15.75" customHeight="1" x14ac:dyDescent="0.25">
      <c r="A726" s="212" t="s">
        <v>14599</v>
      </c>
      <c r="B726" s="212" t="s">
        <v>2886</v>
      </c>
      <c r="C726" s="212"/>
      <c r="D726" s="226">
        <v>2</v>
      </c>
      <c r="E726" s="212" t="s">
        <v>733</v>
      </c>
      <c r="F726" s="212" t="s">
        <v>12674</v>
      </c>
      <c r="G726" s="227" t="s">
        <v>11665</v>
      </c>
      <c r="H726" s="228">
        <v>4821</v>
      </c>
      <c r="I726" s="208">
        <v>13</v>
      </c>
      <c r="J726" s="211"/>
      <c r="K726" s="209">
        <v>0</v>
      </c>
      <c r="L726" s="212"/>
      <c r="M726" s="212" t="e">
        <f>VLOOKUP(Table12[[#This Row],[ROUTE]],DEMAND!A:F,5,FALSE)</f>
        <v>#N/A</v>
      </c>
      <c r="N726" s="212" t="e">
        <f>VLOOKUP(Table12[[#This Row],[ROUTE]],DEMAND!A:F,6,FALSE)</f>
        <v>#N/A</v>
      </c>
      <c r="O726" s="212" t="e">
        <f>ROUNDDOWN(Table12[[#This Row],[R-DEMAND]]/1320,0)</f>
        <v>#N/A</v>
      </c>
      <c r="P726" s="212" t="e">
        <f>Table12[[#This Row],[ADD ACC]]*Table12[[#This Row],[RT TIME 
(777-500ER)]]</f>
        <v>#N/A</v>
      </c>
    </row>
    <row r="727" spans="1:16" ht="15.75" customHeight="1" x14ac:dyDescent="0.25">
      <c r="A727" s="212" t="s">
        <v>14759</v>
      </c>
      <c r="B727" s="212" t="s">
        <v>3189</v>
      </c>
      <c r="C727" s="212"/>
      <c r="D727" s="226">
        <v>2</v>
      </c>
      <c r="E727" s="212" t="s">
        <v>14</v>
      </c>
      <c r="F727" s="212" t="s">
        <v>12670</v>
      </c>
      <c r="G727" s="227" t="s">
        <v>12073</v>
      </c>
      <c r="H727" s="228">
        <v>5978</v>
      </c>
      <c r="I727" s="208">
        <v>15.5</v>
      </c>
      <c r="J727" s="211"/>
      <c r="K727" s="209">
        <v>0</v>
      </c>
      <c r="L727" s="212"/>
      <c r="M727" s="212" t="e">
        <f>VLOOKUP(Table12[[#This Row],[ROUTE]],DEMAND!A:F,5,FALSE)</f>
        <v>#N/A</v>
      </c>
      <c r="N727" s="212" t="e">
        <f>VLOOKUP(Table12[[#This Row],[ROUTE]],DEMAND!A:F,6,FALSE)</f>
        <v>#N/A</v>
      </c>
      <c r="O727" s="212" t="e">
        <f>ROUNDDOWN(Table12[[#This Row],[R-DEMAND]]/1320,0)</f>
        <v>#N/A</v>
      </c>
      <c r="P727" s="212" t="e">
        <f>Table12[[#This Row],[ADD ACC]]*Table12[[#This Row],[RT TIME 
(777-500ER)]]</f>
        <v>#N/A</v>
      </c>
    </row>
    <row r="728" spans="1:16" ht="15.75" customHeight="1" x14ac:dyDescent="0.25">
      <c r="A728" s="212" t="s">
        <v>14865</v>
      </c>
      <c r="B728" s="212" t="s">
        <v>3074</v>
      </c>
      <c r="C728" s="212"/>
      <c r="D728" s="226">
        <v>2</v>
      </c>
      <c r="E728" s="212" t="s">
        <v>172</v>
      </c>
      <c r="F728" s="212" t="s">
        <v>12670</v>
      </c>
      <c r="G728" s="227" t="s">
        <v>7651</v>
      </c>
      <c r="H728" s="228">
        <v>2737</v>
      </c>
      <c r="I728" s="208">
        <v>8.25</v>
      </c>
      <c r="J728" s="211"/>
      <c r="K728" s="209">
        <v>0</v>
      </c>
      <c r="L728" s="212"/>
      <c r="M728" s="212" t="e">
        <f>VLOOKUP(Table12[[#This Row],[ROUTE]],DEMAND!A:F,5,FALSE)</f>
        <v>#N/A</v>
      </c>
      <c r="N728" s="212" t="e">
        <f>VLOOKUP(Table12[[#This Row],[ROUTE]],DEMAND!A:F,6,FALSE)</f>
        <v>#N/A</v>
      </c>
      <c r="O728" s="212" t="e">
        <f>ROUNDDOWN(Table12[[#This Row],[R-DEMAND]]/1320,0)</f>
        <v>#N/A</v>
      </c>
      <c r="P728" s="212" t="e">
        <f>Table12[[#This Row],[ADD ACC]]*Table12[[#This Row],[RT TIME 
(777-500ER)]]</f>
        <v>#N/A</v>
      </c>
    </row>
    <row r="729" spans="1:16" ht="15.75" customHeight="1" x14ac:dyDescent="0.25">
      <c r="A729" s="212" t="s">
        <v>14867</v>
      </c>
      <c r="B729" s="212" t="s">
        <v>1844</v>
      </c>
      <c r="C729" s="212"/>
      <c r="D729" s="226">
        <v>1</v>
      </c>
      <c r="E729" s="212" t="s">
        <v>172</v>
      </c>
      <c r="F729" s="212" t="s">
        <v>12670</v>
      </c>
      <c r="G729" s="227" t="s">
        <v>7650</v>
      </c>
      <c r="H729" s="228">
        <v>2901</v>
      </c>
      <c r="I729" s="208">
        <v>8.75</v>
      </c>
      <c r="J729" s="211"/>
      <c r="K729" s="209">
        <v>0</v>
      </c>
      <c r="L729" s="212"/>
      <c r="M729" s="212" t="e">
        <f>VLOOKUP(Table12[[#This Row],[ROUTE]],DEMAND!A:F,5,FALSE)</f>
        <v>#N/A</v>
      </c>
      <c r="N729" s="212" t="e">
        <f>VLOOKUP(Table12[[#This Row],[ROUTE]],DEMAND!A:F,6,FALSE)</f>
        <v>#N/A</v>
      </c>
      <c r="O729" s="212" t="e">
        <f>ROUNDDOWN(Table12[[#This Row],[R-DEMAND]]/1320,0)</f>
        <v>#N/A</v>
      </c>
      <c r="P729" s="212" t="e">
        <f>Table12[[#This Row],[ADD ACC]]*Table12[[#This Row],[RT TIME 
(777-500ER)]]</f>
        <v>#N/A</v>
      </c>
    </row>
    <row r="730" spans="1:16" ht="15.75" customHeight="1" x14ac:dyDescent="0.25">
      <c r="A730" s="212" t="s">
        <v>15051</v>
      </c>
      <c r="B730" s="212" t="s">
        <v>5155</v>
      </c>
      <c r="C730" s="212" t="s">
        <v>11122</v>
      </c>
      <c r="D730" s="226">
        <v>3</v>
      </c>
      <c r="E730" s="212" t="s">
        <v>608</v>
      </c>
      <c r="F730" s="212" t="s">
        <v>12671</v>
      </c>
      <c r="G730" s="227" t="s">
        <v>11675</v>
      </c>
      <c r="H730" s="228">
        <v>4433</v>
      </c>
      <c r="I730" s="208">
        <v>12</v>
      </c>
      <c r="J730" s="211">
        <v>178612066</v>
      </c>
      <c r="K730" s="209">
        <v>45951.136094674555</v>
      </c>
      <c r="L730" s="212">
        <v>3887</v>
      </c>
      <c r="M730" s="212" t="e">
        <f>VLOOKUP(Table12[[#This Row],[ROUTE]],DEMAND!A:F,5,FALSE)</f>
        <v>#N/A</v>
      </c>
      <c r="N730" s="212" t="e">
        <f>VLOOKUP(Table12[[#This Row],[ROUTE]],DEMAND!A:F,6,FALSE)</f>
        <v>#N/A</v>
      </c>
      <c r="O730" s="212" t="e">
        <f>ROUNDDOWN(Table12[[#This Row],[R-DEMAND]]/1320,0)</f>
        <v>#N/A</v>
      </c>
      <c r="P730" s="212" t="e">
        <f>Table12[[#This Row],[ADD ACC]]*Table12[[#This Row],[RT TIME 
(777-500ER)]]</f>
        <v>#N/A</v>
      </c>
    </row>
    <row r="731" spans="1:16" ht="15.75" customHeight="1" x14ac:dyDescent="0.25">
      <c r="A731" s="212" t="s">
        <v>15048</v>
      </c>
      <c r="B731" s="212" t="s">
        <v>3799</v>
      </c>
      <c r="C731" s="212"/>
      <c r="D731" s="226">
        <v>2</v>
      </c>
      <c r="E731" s="212" t="s">
        <v>608</v>
      </c>
      <c r="F731" s="212" t="s">
        <v>12671</v>
      </c>
      <c r="G731" s="227" t="s">
        <v>11678</v>
      </c>
      <c r="H731" s="228">
        <v>4148</v>
      </c>
      <c r="I731" s="208">
        <v>11.5</v>
      </c>
      <c r="J731" s="211"/>
      <c r="K731" s="209">
        <v>0</v>
      </c>
      <c r="L731" s="212"/>
      <c r="M731" s="212" t="e">
        <f>VLOOKUP(Table12[[#This Row],[ROUTE]],DEMAND!A:F,5,FALSE)</f>
        <v>#N/A</v>
      </c>
      <c r="N731" s="212" t="e">
        <f>VLOOKUP(Table12[[#This Row],[ROUTE]],DEMAND!A:F,6,FALSE)</f>
        <v>#N/A</v>
      </c>
      <c r="O731" s="212" t="e">
        <f>ROUNDDOWN(Table12[[#This Row],[R-DEMAND]]/1320,0)</f>
        <v>#N/A</v>
      </c>
      <c r="P731" s="212" t="e">
        <f>Table12[[#This Row],[ADD ACC]]*Table12[[#This Row],[RT TIME 
(777-500ER)]]</f>
        <v>#N/A</v>
      </c>
    </row>
    <row r="732" spans="1:16" ht="15.75" customHeight="1" x14ac:dyDescent="0.25">
      <c r="A732" s="212" t="s">
        <v>14219</v>
      </c>
      <c r="B732" s="212" t="s">
        <v>627</v>
      </c>
      <c r="C732" s="212"/>
      <c r="D732" s="226">
        <v>1</v>
      </c>
      <c r="E732" s="212" t="s">
        <v>505</v>
      </c>
      <c r="F732" s="212" t="s">
        <v>12694</v>
      </c>
      <c r="G732" s="227" t="s">
        <v>7613</v>
      </c>
      <c r="H732" s="228">
        <v>13108</v>
      </c>
      <c r="I732" s="208">
        <v>31.5</v>
      </c>
      <c r="J732" s="211"/>
      <c r="K732" s="209">
        <v>0</v>
      </c>
      <c r="L732" s="212"/>
      <c r="M732" s="212" t="e">
        <f>VLOOKUP(Table12[[#This Row],[ROUTE]],DEMAND!A:F,5,FALSE)</f>
        <v>#N/A</v>
      </c>
      <c r="N732" s="212" t="e">
        <f>VLOOKUP(Table12[[#This Row],[ROUTE]],DEMAND!A:F,6,FALSE)</f>
        <v>#N/A</v>
      </c>
      <c r="O732" s="212" t="e">
        <f>ROUNDDOWN(Table12[[#This Row],[R-DEMAND]]/1320,0)</f>
        <v>#N/A</v>
      </c>
      <c r="P732" s="212" t="e">
        <f>Table12[[#This Row],[ADD ACC]]*Table12[[#This Row],[RT TIME 
(777-500ER)]]</f>
        <v>#N/A</v>
      </c>
    </row>
    <row r="733" spans="1:16" ht="15.75" customHeight="1" x14ac:dyDescent="0.25">
      <c r="A733" s="212" t="s">
        <v>14322</v>
      </c>
      <c r="B733" s="212" t="s">
        <v>5553</v>
      </c>
      <c r="C733" s="212"/>
      <c r="D733" s="226" t="s">
        <v>15107</v>
      </c>
      <c r="E733" s="212" t="s">
        <v>647</v>
      </c>
      <c r="F733" s="212" t="s">
        <v>12688</v>
      </c>
      <c r="G733" s="227" t="s">
        <v>13359</v>
      </c>
      <c r="H733" s="228">
        <v>8229</v>
      </c>
      <c r="I733" s="208">
        <v>20.5</v>
      </c>
      <c r="J733" s="211"/>
      <c r="K733" s="209">
        <v>0</v>
      </c>
      <c r="L733" s="212"/>
      <c r="M733" s="212" t="e">
        <f>VLOOKUP(Table12[[#This Row],[ROUTE]],DEMAND!A:F,5,FALSE)</f>
        <v>#N/A</v>
      </c>
      <c r="N733" s="212" t="e">
        <f>VLOOKUP(Table12[[#This Row],[ROUTE]],DEMAND!A:F,6,FALSE)</f>
        <v>#N/A</v>
      </c>
      <c r="O733" s="212" t="e">
        <f>ROUNDDOWN(Table12[[#This Row],[R-DEMAND]]/1320,0)</f>
        <v>#N/A</v>
      </c>
      <c r="P733" s="212" t="e">
        <f>Table12[[#This Row],[ADD ACC]]*Table12[[#This Row],[RT TIME 
(777-500ER)]]</f>
        <v>#N/A</v>
      </c>
    </row>
    <row r="734" spans="1:16" ht="15.75" customHeight="1" x14ac:dyDescent="0.25">
      <c r="A734" s="212" t="s">
        <v>14217</v>
      </c>
      <c r="B734" s="212" t="s">
        <v>2611</v>
      </c>
      <c r="C734" s="212"/>
      <c r="D734" s="226">
        <v>2</v>
      </c>
      <c r="E734" s="212" t="s">
        <v>505</v>
      </c>
      <c r="F734" s="212" t="s">
        <v>12694</v>
      </c>
      <c r="G734" s="227" t="s">
        <v>7593</v>
      </c>
      <c r="H734" s="228">
        <v>12917</v>
      </c>
      <c r="I734" s="208">
        <v>31</v>
      </c>
      <c r="J734" s="211"/>
      <c r="K734" s="209">
        <v>0</v>
      </c>
      <c r="L734" s="212"/>
      <c r="M734" s="212" t="e">
        <f>VLOOKUP(Table12[[#This Row],[ROUTE]],DEMAND!A:F,5,FALSE)</f>
        <v>#N/A</v>
      </c>
      <c r="N734" s="212" t="e">
        <f>VLOOKUP(Table12[[#This Row],[ROUTE]],DEMAND!A:F,6,FALSE)</f>
        <v>#N/A</v>
      </c>
      <c r="O734" s="212" t="e">
        <f>ROUNDDOWN(Table12[[#This Row],[R-DEMAND]]/1320,0)</f>
        <v>#N/A</v>
      </c>
      <c r="P734" s="212" t="e">
        <f>Table12[[#This Row],[ADD ACC]]*Table12[[#This Row],[RT TIME 
(777-500ER)]]</f>
        <v>#N/A</v>
      </c>
    </row>
    <row r="735" spans="1:16" ht="15.75" customHeight="1" x14ac:dyDescent="0.25">
      <c r="A735" s="212" t="s">
        <v>14314</v>
      </c>
      <c r="B735" s="212" t="s">
        <v>3284</v>
      </c>
      <c r="C735" s="212"/>
      <c r="D735" s="226" t="s">
        <v>15105</v>
      </c>
      <c r="E735" s="212" t="s">
        <v>647</v>
      </c>
      <c r="F735" s="212" t="s">
        <v>12688</v>
      </c>
      <c r="G735" s="227" t="s">
        <v>13307</v>
      </c>
      <c r="H735" s="228">
        <v>8070</v>
      </c>
      <c r="I735" s="208">
        <v>20.25</v>
      </c>
      <c r="J735" s="211"/>
      <c r="K735" s="209">
        <v>0</v>
      </c>
      <c r="L735" s="212"/>
      <c r="M735" s="212" t="e">
        <f>VLOOKUP(Table12[[#This Row],[ROUTE]],DEMAND!A:F,5,FALSE)</f>
        <v>#N/A</v>
      </c>
      <c r="N735" s="212" t="e">
        <f>VLOOKUP(Table12[[#This Row],[ROUTE]],DEMAND!A:F,6,FALSE)</f>
        <v>#N/A</v>
      </c>
      <c r="O735" s="212" t="e">
        <f>ROUNDDOWN(Table12[[#This Row],[R-DEMAND]]/1320,0)</f>
        <v>#N/A</v>
      </c>
      <c r="P735" s="212" t="e">
        <f>Table12[[#This Row],[ADD ACC]]*Table12[[#This Row],[RT TIME 
(777-500ER)]]</f>
        <v>#N/A</v>
      </c>
    </row>
    <row r="736" spans="1:16" ht="15.75" customHeight="1" x14ac:dyDescent="0.25">
      <c r="A736" s="212" t="s">
        <v>14550</v>
      </c>
      <c r="B736" s="212" t="s">
        <v>5219</v>
      </c>
      <c r="C736" s="212"/>
      <c r="D736" s="226">
        <v>3</v>
      </c>
      <c r="E736" s="212" t="s">
        <v>597</v>
      </c>
      <c r="F736" s="212" t="s">
        <v>12674</v>
      </c>
      <c r="G736" s="227" t="s">
        <v>11851</v>
      </c>
      <c r="H736" s="228">
        <v>2240</v>
      </c>
      <c r="I736" s="208">
        <v>7.25</v>
      </c>
      <c r="J736" s="211"/>
      <c r="K736" s="209">
        <v>0</v>
      </c>
      <c r="L736" s="212"/>
      <c r="M736" s="212" t="e">
        <f>VLOOKUP(Table12[[#This Row],[ROUTE]],DEMAND!A:F,5,FALSE)</f>
        <v>#N/A</v>
      </c>
      <c r="N736" s="212" t="e">
        <f>VLOOKUP(Table12[[#This Row],[ROUTE]],DEMAND!A:F,6,FALSE)</f>
        <v>#N/A</v>
      </c>
      <c r="O736" s="212" t="e">
        <f>ROUNDDOWN(Table12[[#This Row],[R-DEMAND]]/1320,0)</f>
        <v>#N/A</v>
      </c>
      <c r="P736" s="212" t="e">
        <f>Table12[[#This Row],[ADD ACC]]*Table12[[#This Row],[RT TIME 
(777-500ER)]]</f>
        <v>#N/A</v>
      </c>
    </row>
    <row r="737" spans="1:16" ht="15.75" customHeight="1" x14ac:dyDescent="0.25">
      <c r="A737" s="212" t="s">
        <v>14578</v>
      </c>
      <c r="B737" s="212" t="s">
        <v>5255</v>
      </c>
      <c r="C737" s="212"/>
      <c r="D737" s="226">
        <v>3</v>
      </c>
      <c r="E737" s="212" t="s">
        <v>496</v>
      </c>
      <c r="F737" s="212" t="s">
        <v>12674</v>
      </c>
      <c r="G737" s="227" t="s">
        <v>11819</v>
      </c>
      <c r="H737" s="212">
        <v>877</v>
      </c>
      <c r="I737" s="208">
        <v>4</v>
      </c>
      <c r="J737" s="211"/>
      <c r="K737" s="209">
        <v>0</v>
      </c>
      <c r="L737" s="212"/>
      <c r="M737" s="212" t="e">
        <f>VLOOKUP(Table12[[#This Row],[ROUTE]],DEMAND!A:F,5,FALSE)</f>
        <v>#N/A</v>
      </c>
      <c r="N737" s="212" t="e">
        <f>VLOOKUP(Table12[[#This Row],[ROUTE]],DEMAND!A:F,6,FALSE)</f>
        <v>#N/A</v>
      </c>
      <c r="O737" s="212" t="e">
        <f>ROUNDDOWN(Table12[[#This Row],[R-DEMAND]]/1320,0)</f>
        <v>#N/A</v>
      </c>
      <c r="P737" s="212" t="e">
        <f>Table12[[#This Row],[ADD ACC]]*Table12[[#This Row],[RT TIME 
(777-500ER)]]</f>
        <v>#N/A</v>
      </c>
    </row>
    <row r="738" spans="1:16" ht="15.75" customHeight="1" x14ac:dyDescent="0.25">
      <c r="A738" s="212" t="s">
        <v>14342</v>
      </c>
      <c r="B738" s="212" t="s">
        <v>1898</v>
      </c>
      <c r="C738" s="212"/>
      <c r="D738" s="226" t="s">
        <v>15104</v>
      </c>
      <c r="E738" s="212" t="s">
        <v>647</v>
      </c>
      <c r="F738" s="212" t="s">
        <v>12688</v>
      </c>
      <c r="G738" s="227" t="s">
        <v>13277</v>
      </c>
      <c r="H738" s="228">
        <v>8788</v>
      </c>
      <c r="I738" s="208">
        <v>21.75</v>
      </c>
      <c r="J738" s="211"/>
      <c r="K738" s="209">
        <v>0</v>
      </c>
      <c r="L738" s="212"/>
      <c r="M738" s="212" t="e">
        <f>VLOOKUP(Table12[[#This Row],[ROUTE]],DEMAND!A:F,5,FALSE)</f>
        <v>#N/A</v>
      </c>
      <c r="N738" s="212" t="e">
        <f>VLOOKUP(Table12[[#This Row],[ROUTE]],DEMAND!A:F,6,FALSE)</f>
        <v>#N/A</v>
      </c>
      <c r="O738" s="212" t="e">
        <f>ROUNDDOWN(Table12[[#This Row],[R-DEMAND]]/1320,0)</f>
        <v>#N/A</v>
      </c>
      <c r="P738" s="212" t="e">
        <f>Table12[[#This Row],[ADD ACC]]*Table12[[#This Row],[RT TIME 
(777-500ER)]]</f>
        <v>#N/A</v>
      </c>
    </row>
    <row r="739" spans="1:16" ht="15.75" customHeight="1" x14ac:dyDescent="0.25">
      <c r="A739" s="212" t="s">
        <v>14942</v>
      </c>
      <c r="B739" s="212" t="s">
        <v>3141</v>
      </c>
      <c r="C739" s="212"/>
      <c r="D739" s="226">
        <v>2</v>
      </c>
      <c r="E739" s="212" t="s">
        <v>1847</v>
      </c>
      <c r="F739" s="212" t="s">
        <v>12670</v>
      </c>
      <c r="G739" s="227" t="s">
        <v>11979</v>
      </c>
      <c r="H739" s="228">
        <v>3623</v>
      </c>
      <c r="I739" s="208">
        <v>10.25</v>
      </c>
      <c r="J739" s="211"/>
      <c r="K739" s="209">
        <v>0</v>
      </c>
      <c r="L739" s="212"/>
      <c r="M739" s="212" t="e">
        <f>VLOOKUP(Table12[[#This Row],[ROUTE]],DEMAND!A:F,5,FALSE)</f>
        <v>#N/A</v>
      </c>
      <c r="N739" s="212" t="e">
        <f>VLOOKUP(Table12[[#This Row],[ROUTE]],DEMAND!A:F,6,FALSE)</f>
        <v>#N/A</v>
      </c>
      <c r="O739" s="212" t="e">
        <f>ROUNDDOWN(Table12[[#This Row],[R-DEMAND]]/1320,0)</f>
        <v>#N/A</v>
      </c>
      <c r="P739" s="212" t="e">
        <f>Table12[[#This Row],[ADD ACC]]*Table12[[#This Row],[RT TIME 
(777-500ER)]]</f>
        <v>#N/A</v>
      </c>
    </row>
    <row r="740" spans="1:16" ht="15.75" customHeight="1" x14ac:dyDescent="0.25">
      <c r="A740" s="212" t="s">
        <v>14559</v>
      </c>
      <c r="B740" s="212" t="s">
        <v>4144</v>
      </c>
      <c r="C740" s="212"/>
      <c r="D740" s="226">
        <v>2</v>
      </c>
      <c r="E740" s="212" t="s">
        <v>308</v>
      </c>
      <c r="F740" s="212" t="s">
        <v>12674</v>
      </c>
      <c r="G740" s="227" t="s">
        <v>11785</v>
      </c>
      <c r="H740" s="228">
        <v>2196</v>
      </c>
      <c r="I740" s="208">
        <v>7</v>
      </c>
      <c r="J740" s="211"/>
      <c r="K740" s="209">
        <v>0</v>
      </c>
      <c r="L740" s="212"/>
      <c r="M740" s="212" t="e">
        <f>VLOOKUP(Table12[[#This Row],[ROUTE]],DEMAND!A:F,5,FALSE)</f>
        <v>#N/A</v>
      </c>
      <c r="N740" s="212" t="e">
        <f>VLOOKUP(Table12[[#This Row],[ROUTE]],DEMAND!A:F,6,FALSE)</f>
        <v>#N/A</v>
      </c>
      <c r="O740" s="212" t="e">
        <f>ROUNDDOWN(Table12[[#This Row],[R-DEMAND]]/1320,0)</f>
        <v>#N/A</v>
      </c>
      <c r="P740" s="212" t="e">
        <f>Table12[[#This Row],[ADD ACC]]*Table12[[#This Row],[RT TIME 
(777-500ER)]]</f>
        <v>#N/A</v>
      </c>
    </row>
    <row r="741" spans="1:16" ht="15.75" customHeight="1" x14ac:dyDescent="0.25">
      <c r="A741" s="212" t="s">
        <v>14484</v>
      </c>
      <c r="B741" s="212" t="s">
        <v>14212</v>
      </c>
      <c r="C741" s="212" t="s">
        <v>11122</v>
      </c>
      <c r="D741" s="226"/>
      <c r="E741" s="212" t="s">
        <v>46</v>
      </c>
      <c r="F741" s="212" t="s">
        <v>12670</v>
      </c>
      <c r="G741" s="227" t="s">
        <v>14213</v>
      </c>
      <c r="H741" s="228">
        <v>7360</v>
      </c>
      <c r="I741" s="208">
        <v>18.75</v>
      </c>
      <c r="J741" s="211"/>
      <c r="K741" s="209">
        <v>0</v>
      </c>
      <c r="L741" s="212"/>
      <c r="M741" s="212" t="e">
        <f>VLOOKUP(Table12[[#This Row],[ROUTE]],DEMAND!A:F,5,FALSE)</f>
        <v>#N/A</v>
      </c>
      <c r="N741" s="212" t="e">
        <f>VLOOKUP(Table12[[#This Row],[ROUTE]],DEMAND!A:F,6,FALSE)</f>
        <v>#N/A</v>
      </c>
      <c r="O741" s="212" t="e">
        <f>ROUNDDOWN(Table12[[#This Row],[R-DEMAND]]/1320,0)</f>
        <v>#N/A</v>
      </c>
      <c r="P741" s="212" t="e">
        <f>Table12[[#This Row],[ADD ACC]]*Table12[[#This Row],[RT TIME 
(777-500ER)]]</f>
        <v>#N/A</v>
      </c>
    </row>
    <row r="742" spans="1:16" ht="15.75" customHeight="1" x14ac:dyDescent="0.25">
      <c r="A742" s="212" t="s">
        <v>14375</v>
      </c>
      <c r="B742" s="212" t="s">
        <v>5247</v>
      </c>
      <c r="C742" s="212"/>
      <c r="D742" s="226" t="s">
        <v>15106</v>
      </c>
      <c r="E742" s="212" t="s">
        <v>647</v>
      </c>
      <c r="F742" s="212" t="s">
        <v>12688</v>
      </c>
      <c r="G742" s="227" t="s">
        <v>13263</v>
      </c>
      <c r="H742" s="228">
        <v>9254</v>
      </c>
      <c r="I742" s="208">
        <v>22.75</v>
      </c>
      <c r="J742" s="211"/>
      <c r="K742" s="209">
        <v>0</v>
      </c>
      <c r="L742" s="212"/>
      <c r="M742" s="212" t="e">
        <f>VLOOKUP(Table12[[#This Row],[ROUTE]],DEMAND!A:F,5,FALSE)</f>
        <v>#N/A</v>
      </c>
      <c r="N742" s="212" t="e">
        <f>VLOOKUP(Table12[[#This Row],[ROUTE]],DEMAND!A:F,6,FALSE)</f>
        <v>#N/A</v>
      </c>
      <c r="O742" s="212" t="e">
        <f>ROUNDDOWN(Table12[[#This Row],[R-DEMAND]]/1320,0)</f>
        <v>#N/A</v>
      </c>
      <c r="P742" s="212" t="e">
        <f>Table12[[#This Row],[ADD ACC]]*Table12[[#This Row],[RT TIME 
(777-500ER)]]</f>
        <v>#N/A</v>
      </c>
    </row>
    <row r="743" spans="1:16" ht="15.75" customHeight="1" x14ac:dyDescent="0.25">
      <c r="A743" s="212" t="s">
        <v>15036</v>
      </c>
      <c r="B743" s="212" t="s">
        <v>3152</v>
      </c>
      <c r="C743" s="212"/>
      <c r="D743" s="226">
        <v>2</v>
      </c>
      <c r="E743" s="212" t="s">
        <v>2454</v>
      </c>
      <c r="F743" s="212" t="s">
        <v>12671</v>
      </c>
      <c r="G743" s="227" t="s">
        <v>11672</v>
      </c>
      <c r="H743" s="228">
        <v>6927</v>
      </c>
      <c r="I743" s="208">
        <v>17.75</v>
      </c>
      <c r="J743" s="211"/>
      <c r="K743" s="209">
        <v>0</v>
      </c>
      <c r="L743" s="212"/>
      <c r="M743" s="212" t="e">
        <f>VLOOKUP(Table12[[#This Row],[ROUTE]],DEMAND!A:F,5,FALSE)</f>
        <v>#N/A</v>
      </c>
      <c r="N743" s="212" t="e">
        <f>VLOOKUP(Table12[[#This Row],[ROUTE]],DEMAND!A:F,6,FALSE)</f>
        <v>#N/A</v>
      </c>
      <c r="O743" s="212" t="e">
        <f>ROUNDDOWN(Table12[[#This Row],[R-DEMAND]]/1320,0)</f>
        <v>#N/A</v>
      </c>
      <c r="P743" s="212" t="e">
        <f>Table12[[#This Row],[ADD ACC]]*Table12[[#This Row],[RT TIME 
(777-500ER)]]</f>
        <v>#N/A</v>
      </c>
    </row>
    <row r="744" spans="1:16" ht="15.75" customHeight="1" x14ac:dyDescent="0.25">
      <c r="A744" s="212" t="s">
        <v>14223</v>
      </c>
      <c r="B744" s="212" t="s">
        <v>2671</v>
      </c>
      <c r="C744" s="212"/>
      <c r="D744" s="226">
        <v>2</v>
      </c>
      <c r="E744" s="212" t="s">
        <v>505</v>
      </c>
      <c r="F744" s="212" t="s">
        <v>12694</v>
      </c>
      <c r="G744" s="227" t="s">
        <v>13141</v>
      </c>
      <c r="H744" s="228">
        <v>13489</v>
      </c>
      <c r="I744" s="208">
        <v>32.25</v>
      </c>
      <c r="J744" s="211"/>
      <c r="K744" s="209">
        <v>0</v>
      </c>
      <c r="L744" s="212"/>
      <c r="M744" s="212" t="e">
        <f>VLOOKUP(Table12[[#This Row],[ROUTE]],DEMAND!A:F,5,FALSE)</f>
        <v>#N/A</v>
      </c>
      <c r="N744" s="212" t="e">
        <f>VLOOKUP(Table12[[#This Row],[ROUTE]],DEMAND!A:F,6,FALSE)</f>
        <v>#N/A</v>
      </c>
      <c r="O744" s="212" t="e">
        <f>ROUNDDOWN(Table12[[#This Row],[R-DEMAND]]/1320,0)</f>
        <v>#N/A</v>
      </c>
      <c r="P744" s="212" t="e">
        <f>Table12[[#This Row],[ADD ACC]]*Table12[[#This Row],[RT TIME 
(777-500ER)]]</f>
        <v>#N/A</v>
      </c>
    </row>
    <row r="745" spans="1:16" ht="15.75" customHeight="1" x14ac:dyDescent="0.25">
      <c r="A745" s="212" t="s">
        <v>14390</v>
      </c>
      <c r="B745" s="212" t="s">
        <v>2494</v>
      </c>
      <c r="C745" s="212"/>
      <c r="D745" s="226" t="s">
        <v>15105</v>
      </c>
      <c r="E745" s="212" t="s">
        <v>647</v>
      </c>
      <c r="F745" s="212" t="s">
        <v>12688</v>
      </c>
      <c r="G745" s="227" t="s">
        <v>13298</v>
      </c>
      <c r="H745" s="228">
        <v>9526</v>
      </c>
      <c r="I745" s="208">
        <v>23.5</v>
      </c>
      <c r="J745" s="211"/>
      <c r="K745" s="209">
        <v>0</v>
      </c>
      <c r="L745" s="212"/>
      <c r="M745" s="212" t="e">
        <f>VLOOKUP(Table12[[#This Row],[ROUTE]],DEMAND!A:F,5,FALSE)</f>
        <v>#N/A</v>
      </c>
      <c r="N745" s="212" t="e">
        <f>VLOOKUP(Table12[[#This Row],[ROUTE]],DEMAND!A:F,6,FALSE)</f>
        <v>#N/A</v>
      </c>
      <c r="O745" s="212" t="e">
        <f>ROUNDDOWN(Table12[[#This Row],[R-DEMAND]]/1320,0)</f>
        <v>#N/A</v>
      </c>
      <c r="P745" s="212" t="e">
        <f>Table12[[#This Row],[ADD ACC]]*Table12[[#This Row],[RT TIME 
(777-500ER)]]</f>
        <v>#N/A</v>
      </c>
    </row>
    <row r="746" spans="1:16" ht="15.75" customHeight="1" x14ac:dyDescent="0.25">
      <c r="A746" s="212" t="s">
        <v>14316</v>
      </c>
      <c r="B746" s="212" t="s">
        <v>3559</v>
      </c>
      <c r="C746" s="212"/>
      <c r="D746" s="226" t="s">
        <v>15105</v>
      </c>
      <c r="E746" s="212" t="s">
        <v>647</v>
      </c>
      <c r="F746" s="212" t="s">
        <v>12688</v>
      </c>
      <c r="G746" s="227" t="s">
        <v>13296</v>
      </c>
      <c r="H746" s="228">
        <v>8029</v>
      </c>
      <c r="I746" s="208">
        <v>20.25</v>
      </c>
      <c r="J746" s="211"/>
      <c r="K746" s="209">
        <v>0</v>
      </c>
      <c r="L746" s="212"/>
      <c r="M746" s="212" t="e">
        <f>VLOOKUP(Table12[[#This Row],[ROUTE]],DEMAND!A:F,5,FALSE)</f>
        <v>#N/A</v>
      </c>
      <c r="N746" s="212" t="e">
        <f>VLOOKUP(Table12[[#This Row],[ROUTE]],DEMAND!A:F,6,FALSE)</f>
        <v>#N/A</v>
      </c>
      <c r="O746" s="212" t="e">
        <f>ROUNDDOWN(Table12[[#This Row],[R-DEMAND]]/1320,0)</f>
        <v>#N/A</v>
      </c>
      <c r="P746" s="212" t="e">
        <f>Table12[[#This Row],[ADD ACC]]*Table12[[#This Row],[RT TIME 
(777-500ER)]]</f>
        <v>#N/A</v>
      </c>
    </row>
    <row r="747" spans="1:16" ht="15.75" customHeight="1" x14ac:dyDescent="0.25">
      <c r="A747" s="212" t="s">
        <v>14509</v>
      </c>
      <c r="B747" s="212" t="s">
        <v>3723</v>
      </c>
      <c r="C747" s="212"/>
      <c r="D747" s="226">
        <v>2</v>
      </c>
      <c r="E747" s="212" t="s">
        <v>807</v>
      </c>
      <c r="F747" s="212" t="s">
        <v>12674</v>
      </c>
      <c r="G747" s="227" t="s">
        <v>7487</v>
      </c>
      <c r="H747" s="228">
        <v>1395</v>
      </c>
      <c r="I747" s="208">
        <v>5.25</v>
      </c>
      <c r="J747" s="211"/>
      <c r="K747" s="209">
        <v>0</v>
      </c>
      <c r="L747" s="212"/>
      <c r="M747" s="212" t="e">
        <f>VLOOKUP(Table12[[#This Row],[ROUTE]],DEMAND!A:F,5,FALSE)</f>
        <v>#N/A</v>
      </c>
      <c r="N747" s="212" t="e">
        <f>VLOOKUP(Table12[[#This Row],[ROUTE]],DEMAND!A:F,6,FALSE)</f>
        <v>#N/A</v>
      </c>
      <c r="O747" s="212" t="e">
        <f>ROUNDDOWN(Table12[[#This Row],[R-DEMAND]]/1320,0)</f>
        <v>#N/A</v>
      </c>
      <c r="P747" s="212" t="e">
        <f>Table12[[#This Row],[ADD ACC]]*Table12[[#This Row],[RT TIME 
(777-500ER)]]</f>
        <v>#N/A</v>
      </c>
    </row>
    <row r="748" spans="1:16" ht="15.75" customHeight="1" x14ac:dyDescent="0.25">
      <c r="A748" s="212" t="s">
        <v>14593</v>
      </c>
      <c r="B748" s="212" t="s">
        <v>3597</v>
      </c>
      <c r="C748" s="212"/>
      <c r="D748" s="226">
        <v>2</v>
      </c>
      <c r="E748" s="212" t="s">
        <v>758</v>
      </c>
      <c r="F748" s="212" t="s">
        <v>12674</v>
      </c>
      <c r="G748" s="227" t="s">
        <v>11817</v>
      </c>
      <c r="H748" s="228">
        <v>1217</v>
      </c>
      <c r="I748" s="208">
        <v>4.75</v>
      </c>
      <c r="J748" s="211"/>
      <c r="K748" s="209">
        <v>0</v>
      </c>
      <c r="L748" s="212"/>
      <c r="M748" s="212" t="e">
        <f>VLOOKUP(Table12[[#This Row],[ROUTE]],DEMAND!A:F,5,FALSE)</f>
        <v>#N/A</v>
      </c>
      <c r="N748" s="212" t="e">
        <f>VLOOKUP(Table12[[#This Row],[ROUTE]],DEMAND!A:F,6,FALSE)</f>
        <v>#N/A</v>
      </c>
      <c r="O748" s="212" t="e">
        <f>ROUNDDOWN(Table12[[#This Row],[R-DEMAND]]/1320,0)</f>
        <v>#N/A</v>
      </c>
      <c r="P748" s="212" t="e">
        <f>Table12[[#This Row],[ADD ACC]]*Table12[[#This Row],[RT TIME 
(777-500ER)]]</f>
        <v>#N/A</v>
      </c>
    </row>
    <row r="749" spans="1:16" ht="15.75" customHeight="1" x14ac:dyDescent="0.25">
      <c r="A749" s="212" t="s">
        <v>14959</v>
      </c>
      <c r="B749" s="212" t="s">
        <v>4756</v>
      </c>
      <c r="C749" s="212"/>
      <c r="D749" s="226">
        <v>3</v>
      </c>
      <c r="E749" s="212" t="s">
        <v>1289</v>
      </c>
      <c r="F749" s="212" t="s">
        <v>12670</v>
      </c>
      <c r="G749" s="227" t="s">
        <v>11945</v>
      </c>
      <c r="H749" s="228">
        <v>4474</v>
      </c>
      <c r="I749" s="208">
        <v>12.25</v>
      </c>
      <c r="J749" s="211"/>
      <c r="K749" s="209">
        <v>0</v>
      </c>
      <c r="L749" s="212"/>
      <c r="M749" s="212" t="e">
        <f>VLOOKUP(Table12[[#This Row],[ROUTE]],DEMAND!A:F,5,FALSE)</f>
        <v>#N/A</v>
      </c>
      <c r="N749" s="212" t="e">
        <f>VLOOKUP(Table12[[#This Row],[ROUTE]],DEMAND!A:F,6,FALSE)</f>
        <v>#N/A</v>
      </c>
      <c r="O749" s="212" t="e">
        <f>ROUNDDOWN(Table12[[#This Row],[R-DEMAND]]/1320,0)</f>
        <v>#N/A</v>
      </c>
      <c r="P749" s="212" t="e">
        <f>Table12[[#This Row],[ADD ACC]]*Table12[[#This Row],[RT TIME 
(777-500ER)]]</f>
        <v>#N/A</v>
      </c>
    </row>
    <row r="750" spans="1:16" ht="15.75" customHeight="1" x14ac:dyDescent="0.25">
      <c r="A750" s="212" t="s">
        <v>14460</v>
      </c>
      <c r="B750" s="212" t="s">
        <v>4335</v>
      </c>
      <c r="C750" s="212"/>
      <c r="D750" s="226">
        <v>2</v>
      </c>
      <c r="E750" s="212" t="s">
        <v>3350</v>
      </c>
      <c r="F750" s="212" t="s">
        <v>12688</v>
      </c>
      <c r="G750" s="227" t="s">
        <v>13210</v>
      </c>
      <c r="H750" s="228">
        <v>10654</v>
      </c>
      <c r="I750" s="208">
        <v>26</v>
      </c>
      <c r="J750" s="211"/>
      <c r="K750" s="209">
        <v>0</v>
      </c>
      <c r="L750" s="212"/>
      <c r="M750" s="212" t="e">
        <f>VLOOKUP(Table12[[#This Row],[ROUTE]],DEMAND!A:F,5,FALSE)</f>
        <v>#N/A</v>
      </c>
      <c r="N750" s="212" t="e">
        <f>VLOOKUP(Table12[[#This Row],[ROUTE]],DEMAND!A:F,6,FALSE)</f>
        <v>#N/A</v>
      </c>
      <c r="O750" s="212" t="e">
        <f>ROUNDDOWN(Table12[[#This Row],[R-DEMAND]]/1320,0)</f>
        <v>#N/A</v>
      </c>
      <c r="P750" s="212" t="e">
        <f>Table12[[#This Row],[ADD ACC]]*Table12[[#This Row],[RT TIME 
(777-500ER)]]</f>
        <v>#N/A</v>
      </c>
    </row>
    <row r="751" spans="1:16" ht="15.75" customHeight="1" x14ac:dyDescent="0.25">
      <c r="A751" s="212" t="s">
        <v>14347</v>
      </c>
      <c r="B751" s="212" t="s">
        <v>4852</v>
      </c>
      <c r="C751" s="212"/>
      <c r="D751" s="226" t="s">
        <v>15106</v>
      </c>
      <c r="E751" s="212" t="s">
        <v>647</v>
      </c>
      <c r="F751" s="212" t="s">
        <v>12688</v>
      </c>
      <c r="G751" s="227" t="s">
        <v>13362</v>
      </c>
      <c r="H751" s="228">
        <v>8701</v>
      </c>
      <c r="I751" s="208">
        <v>21.75</v>
      </c>
      <c r="J751" s="211"/>
      <c r="K751" s="209">
        <v>0</v>
      </c>
      <c r="L751" s="212"/>
      <c r="M751" s="212" t="e">
        <f>VLOOKUP(Table12[[#This Row],[ROUTE]],DEMAND!A:F,5,FALSE)</f>
        <v>#N/A</v>
      </c>
      <c r="N751" s="212" t="e">
        <f>VLOOKUP(Table12[[#This Row],[ROUTE]],DEMAND!A:F,6,FALSE)</f>
        <v>#N/A</v>
      </c>
      <c r="O751" s="212" t="e">
        <f>ROUNDDOWN(Table12[[#This Row],[R-DEMAND]]/1320,0)</f>
        <v>#N/A</v>
      </c>
      <c r="P751" s="212" t="e">
        <f>Table12[[#This Row],[ADD ACC]]*Table12[[#This Row],[RT TIME 
(777-500ER)]]</f>
        <v>#N/A</v>
      </c>
    </row>
    <row r="752" spans="1:16" ht="15.75" customHeight="1" x14ac:dyDescent="0.25">
      <c r="A752" s="212" t="s">
        <v>14838</v>
      </c>
      <c r="B752" s="212" t="s">
        <v>107</v>
      </c>
      <c r="C752" s="212"/>
      <c r="D752" s="226">
        <v>2</v>
      </c>
      <c r="E752" s="212" t="s">
        <v>709</v>
      </c>
      <c r="F752" s="212" t="s">
        <v>12670</v>
      </c>
      <c r="G752" s="227" t="s">
        <v>12114</v>
      </c>
      <c r="H752" s="228">
        <v>8804</v>
      </c>
      <c r="I752" s="208">
        <v>21.75</v>
      </c>
      <c r="J752" s="211"/>
      <c r="K752" s="209">
        <v>0</v>
      </c>
      <c r="L752" s="212"/>
      <c r="M752" s="212" t="e">
        <f>VLOOKUP(Table12[[#This Row],[ROUTE]],DEMAND!A:F,5,FALSE)</f>
        <v>#N/A</v>
      </c>
      <c r="N752" s="212" t="e">
        <f>VLOOKUP(Table12[[#This Row],[ROUTE]],DEMAND!A:F,6,FALSE)</f>
        <v>#N/A</v>
      </c>
      <c r="O752" s="212" t="e">
        <f>ROUNDDOWN(Table12[[#This Row],[R-DEMAND]]/1320,0)</f>
        <v>#N/A</v>
      </c>
      <c r="P752" s="212" t="e">
        <f>Table12[[#This Row],[ADD ACC]]*Table12[[#This Row],[RT TIME 
(777-500ER)]]</f>
        <v>#N/A</v>
      </c>
    </row>
    <row r="753" spans="1:16" ht="15.75" customHeight="1" x14ac:dyDescent="0.25">
      <c r="A753" s="212" t="s">
        <v>14603</v>
      </c>
      <c r="B753" s="212" t="s">
        <v>105</v>
      </c>
      <c r="C753" s="212"/>
      <c r="D753" s="226">
        <v>2</v>
      </c>
      <c r="E753" s="212" t="s">
        <v>1420</v>
      </c>
      <c r="F753" s="212" t="s">
        <v>12674</v>
      </c>
      <c r="G753" s="227" t="s">
        <v>11829</v>
      </c>
      <c r="H753" s="228">
        <v>1442</v>
      </c>
      <c r="I753" s="208">
        <v>5.25</v>
      </c>
      <c r="J753" s="211"/>
      <c r="K753" s="209">
        <v>0</v>
      </c>
      <c r="L753" s="212"/>
      <c r="M753" s="212" t="e">
        <f>VLOOKUP(Table12[[#This Row],[ROUTE]],DEMAND!A:F,5,FALSE)</f>
        <v>#N/A</v>
      </c>
      <c r="N753" s="212" t="e">
        <f>VLOOKUP(Table12[[#This Row],[ROUTE]],DEMAND!A:F,6,FALSE)</f>
        <v>#N/A</v>
      </c>
      <c r="O753" s="212" t="e">
        <f>ROUNDDOWN(Table12[[#This Row],[R-DEMAND]]/1320,0)</f>
        <v>#N/A</v>
      </c>
      <c r="P753" s="212" t="e">
        <f>Table12[[#This Row],[ADD ACC]]*Table12[[#This Row],[RT TIME 
(777-500ER)]]</f>
        <v>#N/A</v>
      </c>
    </row>
    <row r="754" spans="1:16" ht="15.75" customHeight="1" x14ac:dyDescent="0.25">
      <c r="A754" s="212" t="s">
        <v>14387</v>
      </c>
      <c r="B754" s="212" t="s">
        <v>2247</v>
      </c>
      <c r="C754" s="212"/>
      <c r="D754" s="226" t="s">
        <v>15104</v>
      </c>
      <c r="E754" s="212" t="s">
        <v>647</v>
      </c>
      <c r="F754" s="212" t="s">
        <v>12688</v>
      </c>
      <c r="G754" s="227" t="s">
        <v>13261</v>
      </c>
      <c r="H754" s="228">
        <v>9455</v>
      </c>
      <c r="I754" s="208">
        <v>23.25</v>
      </c>
      <c r="J754" s="211"/>
      <c r="K754" s="209">
        <v>0</v>
      </c>
      <c r="L754" s="212"/>
      <c r="M754" s="212" t="e">
        <f>VLOOKUP(Table12[[#This Row],[ROUTE]],DEMAND!A:F,5,FALSE)</f>
        <v>#N/A</v>
      </c>
      <c r="N754" s="212" t="e">
        <f>VLOOKUP(Table12[[#This Row],[ROUTE]],DEMAND!A:F,6,FALSE)</f>
        <v>#N/A</v>
      </c>
      <c r="O754" s="212" t="e">
        <f>ROUNDDOWN(Table12[[#This Row],[R-DEMAND]]/1320,0)</f>
        <v>#N/A</v>
      </c>
      <c r="P754" s="212" t="e">
        <f>Table12[[#This Row],[ADD ACC]]*Table12[[#This Row],[RT TIME 
(777-500ER)]]</f>
        <v>#N/A</v>
      </c>
    </row>
    <row r="755" spans="1:16" ht="15.75" customHeight="1" x14ac:dyDescent="0.25">
      <c r="A755" s="212" t="s">
        <v>14658</v>
      </c>
      <c r="B755" s="212" t="s">
        <v>4955</v>
      </c>
      <c r="C755" s="212"/>
      <c r="D755" s="226">
        <v>3</v>
      </c>
      <c r="E755" s="212" t="s">
        <v>119</v>
      </c>
      <c r="F755" s="212" t="s">
        <v>12674</v>
      </c>
      <c r="G755" s="227" t="s">
        <v>11680</v>
      </c>
      <c r="H755" s="228">
        <v>3565</v>
      </c>
      <c r="I755" s="208">
        <v>10</v>
      </c>
      <c r="J755" s="211"/>
      <c r="K755" s="209">
        <v>0</v>
      </c>
      <c r="L755" s="212"/>
      <c r="M755" s="212" t="e">
        <f>VLOOKUP(Table12[[#This Row],[ROUTE]],DEMAND!A:F,5,FALSE)</f>
        <v>#N/A</v>
      </c>
      <c r="N755" s="212" t="e">
        <f>VLOOKUP(Table12[[#This Row],[ROUTE]],DEMAND!A:F,6,FALSE)</f>
        <v>#N/A</v>
      </c>
      <c r="O755" s="212" t="e">
        <f>ROUNDDOWN(Table12[[#This Row],[R-DEMAND]]/1320,0)</f>
        <v>#N/A</v>
      </c>
      <c r="P755" s="212" t="e">
        <f>Table12[[#This Row],[ADD ACC]]*Table12[[#This Row],[RT TIME 
(777-500ER)]]</f>
        <v>#N/A</v>
      </c>
    </row>
    <row r="756" spans="1:16" ht="15.75" customHeight="1" x14ac:dyDescent="0.25">
      <c r="A756" s="212" t="s">
        <v>14963</v>
      </c>
      <c r="B756" s="212" t="s">
        <v>1291</v>
      </c>
      <c r="C756" s="212"/>
      <c r="D756" s="226">
        <v>1</v>
      </c>
      <c r="E756" s="212" t="s">
        <v>1289</v>
      </c>
      <c r="F756" s="212" t="s">
        <v>12670</v>
      </c>
      <c r="G756" s="227" t="s">
        <v>11994</v>
      </c>
      <c r="H756" s="228">
        <v>4956</v>
      </c>
      <c r="I756" s="208">
        <v>13.25</v>
      </c>
      <c r="J756" s="211"/>
      <c r="K756" s="209">
        <v>0</v>
      </c>
      <c r="L756" s="212"/>
      <c r="M756" s="212" t="e">
        <f>VLOOKUP(Table12[[#This Row],[ROUTE]],DEMAND!A:F,5,FALSE)</f>
        <v>#N/A</v>
      </c>
      <c r="N756" s="212" t="e">
        <f>VLOOKUP(Table12[[#This Row],[ROUTE]],DEMAND!A:F,6,FALSE)</f>
        <v>#N/A</v>
      </c>
      <c r="O756" s="212" t="e">
        <f>ROUNDDOWN(Table12[[#This Row],[R-DEMAND]]/1320,0)</f>
        <v>#N/A</v>
      </c>
      <c r="P756" s="212" t="e">
        <f>Table12[[#This Row],[ADD ACC]]*Table12[[#This Row],[RT TIME 
(777-500ER)]]</f>
        <v>#N/A</v>
      </c>
    </row>
    <row r="757" spans="1:16" ht="15.75" customHeight="1" x14ac:dyDescent="0.25">
      <c r="A757" s="212" t="s">
        <v>14442</v>
      </c>
      <c r="B757" s="212" t="s">
        <v>3452</v>
      </c>
      <c r="C757" s="212"/>
      <c r="D757" s="226">
        <v>2</v>
      </c>
      <c r="E757" s="212" t="s">
        <v>683</v>
      </c>
      <c r="F757" s="212" t="s">
        <v>12688</v>
      </c>
      <c r="G757" s="227" t="s">
        <v>13193</v>
      </c>
      <c r="H757" s="228">
        <v>9587</v>
      </c>
      <c r="I757" s="208">
        <v>23.5</v>
      </c>
      <c r="J757" s="211"/>
      <c r="K757" s="209">
        <v>0</v>
      </c>
      <c r="L757" s="212"/>
      <c r="M757" s="212" t="e">
        <f>VLOOKUP(Table12[[#This Row],[ROUTE]],DEMAND!A:F,5,FALSE)</f>
        <v>#N/A</v>
      </c>
      <c r="N757" s="212" t="e">
        <f>VLOOKUP(Table12[[#This Row],[ROUTE]],DEMAND!A:F,6,FALSE)</f>
        <v>#N/A</v>
      </c>
      <c r="O757" s="212" t="e">
        <f>ROUNDDOWN(Table12[[#This Row],[R-DEMAND]]/1320,0)</f>
        <v>#N/A</v>
      </c>
      <c r="P757" s="212" t="e">
        <f>Table12[[#This Row],[ADD ACC]]*Table12[[#This Row],[RT TIME 
(777-500ER)]]</f>
        <v>#N/A</v>
      </c>
    </row>
    <row r="758" spans="1:16" ht="15.75" customHeight="1" x14ac:dyDescent="0.25">
      <c r="A758" s="212" t="s">
        <v>15000</v>
      </c>
      <c r="B758" s="212" t="s">
        <v>3292</v>
      </c>
      <c r="C758" s="212"/>
      <c r="D758" s="226">
        <v>2</v>
      </c>
      <c r="E758" s="212" t="s">
        <v>644</v>
      </c>
      <c r="F758" s="212" t="s">
        <v>12671</v>
      </c>
      <c r="G758" s="227" t="s">
        <v>11815</v>
      </c>
      <c r="H758" s="228">
        <v>8149</v>
      </c>
      <c r="I758" s="208">
        <v>20.5</v>
      </c>
      <c r="J758" s="211"/>
      <c r="K758" s="209">
        <v>0</v>
      </c>
      <c r="L758" s="212"/>
      <c r="M758" s="212" t="e">
        <f>VLOOKUP(Table12[[#This Row],[ROUTE]],DEMAND!A:F,5,FALSE)</f>
        <v>#N/A</v>
      </c>
      <c r="N758" s="212" t="e">
        <f>VLOOKUP(Table12[[#This Row],[ROUTE]],DEMAND!A:F,6,FALSE)</f>
        <v>#N/A</v>
      </c>
      <c r="O758" s="212" t="e">
        <f>ROUNDDOWN(Table12[[#This Row],[R-DEMAND]]/1320,0)</f>
        <v>#N/A</v>
      </c>
      <c r="P758" s="212" t="e">
        <f>Table12[[#This Row],[ADD ACC]]*Table12[[#This Row],[RT TIME 
(777-500ER)]]</f>
        <v>#N/A</v>
      </c>
    </row>
    <row r="759" spans="1:16" ht="15.75" customHeight="1" x14ac:dyDescent="0.25">
      <c r="A759" s="212" t="s">
        <v>14327</v>
      </c>
      <c r="B759" s="212" t="s">
        <v>5206</v>
      </c>
      <c r="C759" s="212"/>
      <c r="D759" s="226" t="s">
        <v>15106</v>
      </c>
      <c r="E759" s="212" t="s">
        <v>647</v>
      </c>
      <c r="F759" s="212" t="s">
        <v>12688</v>
      </c>
      <c r="G759" s="227" t="s">
        <v>13330</v>
      </c>
      <c r="H759" s="228">
        <v>8323</v>
      </c>
      <c r="I759" s="208">
        <v>20.75</v>
      </c>
      <c r="J759" s="211"/>
      <c r="K759" s="209">
        <v>0</v>
      </c>
      <c r="L759" s="212"/>
      <c r="M759" s="212" t="e">
        <f>VLOOKUP(Table12[[#This Row],[ROUTE]],DEMAND!A:F,5,FALSE)</f>
        <v>#N/A</v>
      </c>
      <c r="N759" s="212" t="e">
        <f>VLOOKUP(Table12[[#This Row],[ROUTE]],DEMAND!A:F,6,FALSE)</f>
        <v>#N/A</v>
      </c>
      <c r="O759" s="212" t="e">
        <f>ROUNDDOWN(Table12[[#This Row],[R-DEMAND]]/1320,0)</f>
        <v>#N/A</v>
      </c>
      <c r="P759" s="212" t="e">
        <f>Table12[[#This Row],[ADD ACC]]*Table12[[#This Row],[RT TIME 
(777-500ER)]]</f>
        <v>#N/A</v>
      </c>
    </row>
    <row r="760" spans="1:16" ht="15.75" customHeight="1" x14ac:dyDescent="0.25">
      <c r="A760" s="212" t="s">
        <v>15065</v>
      </c>
      <c r="B760" s="212" t="s">
        <v>3772</v>
      </c>
      <c r="C760" s="212"/>
      <c r="D760" s="226">
        <v>2</v>
      </c>
      <c r="E760" s="212" t="s">
        <v>2851</v>
      </c>
      <c r="F760" s="212" t="s">
        <v>12671</v>
      </c>
      <c r="G760" s="227" t="s">
        <v>12007</v>
      </c>
      <c r="H760" s="228">
        <v>6876</v>
      </c>
      <c r="I760" s="208">
        <v>17.5</v>
      </c>
      <c r="J760" s="211"/>
      <c r="K760" s="209">
        <v>0</v>
      </c>
      <c r="L760" s="212"/>
      <c r="M760" s="212" t="e">
        <f>VLOOKUP(Table12[[#This Row],[ROUTE]],DEMAND!A:F,5,FALSE)</f>
        <v>#N/A</v>
      </c>
      <c r="N760" s="212" t="e">
        <f>VLOOKUP(Table12[[#This Row],[ROUTE]],DEMAND!A:F,6,FALSE)</f>
        <v>#N/A</v>
      </c>
      <c r="O760" s="212" t="e">
        <f>ROUNDDOWN(Table12[[#This Row],[R-DEMAND]]/1320,0)</f>
        <v>#N/A</v>
      </c>
      <c r="P760" s="212" t="e">
        <f>Table12[[#This Row],[ADD ACC]]*Table12[[#This Row],[RT TIME 
(777-500ER)]]</f>
        <v>#N/A</v>
      </c>
    </row>
    <row r="761" spans="1:16" ht="15.75" customHeight="1" x14ac:dyDescent="0.25">
      <c r="A761" s="212" t="s">
        <v>15089</v>
      </c>
      <c r="B761" s="212" t="s">
        <v>2476</v>
      </c>
      <c r="C761" s="212"/>
      <c r="D761" s="226">
        <v>1</v>
      </c>
      <c r="E761" s="212" t="s">
        <v>971</v>
      </c>
      <c r="F761" s="212" t="s">
        <v>12671</v>
      </c>
      <c r="G761" s="227" t="s">
        <v>11774</v>
      </c>
      <c r="H761" s="228">
        <v>3102</v>
      </c>
      <c r="I761" s="208">
        <v>9</v>
      </c>
      <c r="J761" s="211"/>
      <c r="K761" s="209">
        <v>0</v>
      </c>
      <c r="L761" s="212"/>
      <c r="M761" s="212" t="e">
        <f>VLOOKUP(Table12[[#This Row],[ROUTE]],DEMAND!A:F,5,FALSE)</f>
        <v>#N/A</v>
      </c>
      <c r="N761" s="212" t="e">
        <f>VLOOKUP(Table12[[#This Row],[ROUTE]],DEMAND!A:F,6,FALSE)</f>
        <v>#N/A</v>
      </c>
      <c r="O761" s="212" t="e">
        <f>ROUNDDOWN(Table12[[#This Row],[R-DEMAND]]/1320,0)</f>
        <v>#N/A</v>
      </c>
      <c r="P761" s="212" t="e">
        <f>Table12[[#This Row],[ADD ACC]]*Table12[[#This Row],[RT TIME 
(777-500ER)]]</f>
        <v>#N/A</v>
      </c>
    </row>
    <row r="762" spans="1:16" ht="15.75" customHeight="1" x14ac:dyDescent="0.25">
      <c r="A762" s="212" t="s">
        <v>14359</v>
      </c>
      <c r="B762" s="212" t="s">
        <v>4880</v>
      </c>
      <c r="C762" s="212"/>
      <c r="D762" s="226" t="s">
        <v>15106</v>
      </c>
      <c r="E762" s="212" t="s">
        <v>647</v>
      </c>
      <c r="F762" s="212" t="s">
        <v>12688</v>
      </c>
      <c r="G762" s="227" t="s">
        <v>13367</v>
      </c>
      <c r="H762" s="228">
        <v>9025</v>
      </c>
      <c r="I762" s="208">
        <v>22.25</v>
      </c>
      <c r="J762" s="211"/>
      <c r="K762" s="209">
        <v>0</v>
      </c>
      <c r="L762" s="212"/>
      <c r="M762" s="212" t="e">
        <f>VLOOKUP(Table12[[#This Row],[ROUTE]],DEMAND!A:F,5,FALSE)</f>
        <v>#N/A</v>
      </c>
      <c r="N762" s="212" t="e">
        <f>VLOOKUP(Table12[[#This Row],[ROUTE]],DEMAND!A:F,6,FALSE)</f>
        <v>#N/A</v>
      </c>
      <c r="O762" s="212" t="e">
        <f>ROUNDDOWN(Table12[[#This Row],[R-DEMAND]]/1320,0)</f>
        <v>#N/A</v>
      </c>
      <c r="P762" s="212" t="e">
        <f>Table12[[#This Row],[ADD ACC]]*Table12[[#This Row],[RT TIME 
(777-500ER)]]</f>
        <v>#N/A</v>
      </c>
    </row>
    <row r="763" spans="1:16" ht="15.75" customHeight="1" x14ac:dyDescent="0.25">
      <c r="A763" s="212" t="s">
        <v>14455</v>
      </c>
      <c r="B763" s="212" t="s">
        <v>2958</v>
      </c>
      <c r="C763" s="212"/>
      <c r="D763" s="226">
        <v>2</v>
      </c>
      <c r="E763" s="212" t="s">
        <v>600</v>
      </c>
      <c r="F763" s="212" t="s">
        <v>12688</v>
      </c>
      <c r="G763" s="227" t="s">
        <v>11673</v>
      </c>
      <c r="H763" s="228">
        <v>4476</v>
      </c>
      <c r="I763" s="208">
        <v>12.25</v>
      </c>
      <c r="J763" s="211"/>
      <c r="K763" s="209">
        <v>0</v>
      </c>
      <c r="L763" s="212"/>
      <c r="M763" s="212" t="e">
        <f>VLOOKUP(Table12[[#This Row],[ROUTE]],DEMAND!A:F,5,FALSE)</f>
        <v>#N/A</v>
      </c>
      <c r="N763" s="212" t="e">
        <f>VLOOKUP(Table12[[#This Row],[ROUTE]],DEMAND!A:F,6,FALSE)</f>
        <v>#N/A</v>
      </c>
      <c r="O763" s="212" t="e">
        <f>ROUNDDOWN(Table12[[#This Row],[R-DEMAND]]/1320,0)</f>
        <v>#N/A</v>
      </c>
      <c r="P763" s="212" t="e">
        <f>Table12[[#This Row],[ADD ACC]]*Table12[[#This Row],[RT TIME 
(777-500ER)]]</f>
        <v>#N/A</v>
      </c>
    </row>
    <row r="764" spans="1:16" ht="15.75" customHeight="1" x14ac:dyDescent="0.25">
      <c r="A764" s="212" t="s">
        <v>14623</v>
      </c>
      <c r="B764" s="212" t="s">
        <v>4580</v>
      </c>
      <c r="C764" s="212"/>
      <c r="D764" s="226">
        <v>2</v>
      </c>
      <c r="E764" s="212" t="s">
        <v>78</v>
      </c>
      <c r="F764" s="212" t="s">
        <v>12674</v>
      </c>
      <c r="G764" s="227" t="s">
        <v>11916</v>
      </c>
      <c r="H764" s="228">
        <v>2142</v>
      </c>
      <c r="I764" s="208">
        <v>7</v>
      </c>
      <c r="J764" s="211"/>
      <c r="K764" s="209">
        <v>0</v>
      </c>
      <c r="L764" s="212"/>
      <c r="M764" s="212" t="e">
        <f>VLOOKUP(Table12[[#This Row],[ROUTE]],DEMAND!A:F,5,FALSE)</f>
        <v>#N/A</v>
      </c>
      <c r="N764" s="212" t="e">
        <f>VLOOKUP(Table12[[#This Row],[ROUTE]],DEMAND!A:F,6,FALSE)</f>
        <v>#N/A</v>
      </c>
      <c r="O764" s="212" t="e">
        <f>ROUNDDOWN(Table12[[#This Row],[R-DEMAND]]/1320,0)</f>
        <v>#N/A</v>
      </c>
      <c r="P764" s="212" t="e">
        <f>Table12[[#This Row],[ADD ACC]]*Table12[[#This Row],[RT TIME 
(777-500ER)]]</f>
        <v>#N/A</v>
      </c>
    </row>
    <row r="765" spans="1:16" ht="15.75" customHeight="1" x14ac:dyDescent="0.25">
      <c r="A765" s="212" t="s">
        <v>14943</v>
      </c>
      <c r="B765" s="212" t="s">
        <v>5369</v>
      </c>
      <c r="C765" s="212"/>
      <c r="D765" s="226">
        <v>3</v>
      </c>
      <c r="E765" s="212" t="s">
        <v>1847</v>
      </c>
      <c r="F765" s="212" t="s">
        <v>12670</v>
      </c>
      <c r="G765" s="227" t="s">
        <v>11977</v>
      </c>
      <c r="H765" s="228">
        <v>3639</v>
      </c>
      <c r="I765" s="208">
        <v>10.25</v>
      </c>
      <c r="J765" s="211"/>
      <c r="K765" s="209">
        <v>0</v>
      </c>
      <c r="L765" s="212"/>
      <c r="M765" s="212" t="e">
        <f>VLOOKUP(Table12[[#This Row],[ROUTE]],DEMAND!A:F,5,FALSE)</f>
        <v>#N/A</v>
      </c>
      <c r="N765" s="212" t="e">
        <f>VLOOKUP(Table12[[#This Row],[ROUTE]],DEMAND!A:F,6,FALSE)</f>
        <v>#N/A</v>
      </c>
      <c r="O765" s="212" t="e">
        <f>ROUNDDOWN(Table12[[#This Row],[R-DEMAND]]/1320,0)</f>
        <v>#N/A</v>
      </c>
      <c r="P765" s="212" t="e">
        <f>Table12[[#This Row],[ADD ACC]]*Table12[[#This Row],[RT TIME 
(777-500ER)]]</f>
        <v>#N/A</v>
      </c>
    </row>
    <row r="766" spans="1:16" ht="15.75" customHeight="1" x14ac:dyDescent="0.25">
      <c r="A766" s="212" t="s">
        <v>14887</v>
      </c>
      <c r="B766" s="212" t="s">
        <v>2557</v>
      </c>
      <c r="C766" s="212"/>
      <c r="D766" s="226">
        <v>2</v>
      </c>
      <c r="E766" s="212" t="s">
        <v>172</v>
      </c>
      <c r="F766" s="212" t="s">
        <v>12670</v>
      </c>
      <c r="G766" s="227" t="s">
        <v>11955</v>
      </c>
      <c r="H766" s="228">
        <v>4292</v>
      </c>
      <c r="I766" s="208">
        <v>11.75</v>
      </c>
      <c r="J766" s="211"/>
      <c r="K766" s="209">
        <v>0</v>
      </c>
      <c r="L766" s="212"/>
      <c r="M766" s="212" t="e">
        <f>VLOOKUP(Table12[[#This Row],[ROUTE]],DEMAND!A:F,5,FALSE)</f>
        <v>#N/A</v>
      </c>
      <c r="N766" s="212" t="e">
        <f>VLOOKUP(Table12[[#This Row],[ROUTE]],DEMAND!A:F,6,FALSE)</f>
        <v>#N/A</v>
      </c>
      <c r="O766" s="212" t="e">
        <f>ROUNDDOWN(Table12[[#This Row],[R-DEMAND]]/1320,0)</f>
        <v>#N/A</v>
      </c>
      <c r="P766" s="212" t="e">
        <f>Table12[[#This Row],[ADD ACC]]*Table12[[#This Row],[RT TIME 
(777-500ER)]]</f>
        <v>#N/A</v>
      </c>
    </row>
    <row r="767" spans="1:16" ht="15.75" customHeight="1" x14ac:dyDescent="0.25">
      <c r="A767" s="212" t="s">
        <v>15006</v>
      </c>
      <c r="B767" s="212" t="s">
        <v>4570</v>
      </c>
      <c r="C767" s="212"/>
      <c r="D767" s="226">
        <v>2</v>
      </c>
      <c r="E767" s="212" t="s">
        <v>886</v>
      </c>
      <c r="F767" s="212" t="s">
        <v>12671</v>
      </c>
      <c r="G767" s="227" t="s">
        <v>13176</v>
      </c>
      <c r="H767" s="228">
        <v>6659</v>
      </c>
      <c r="I767" s="208">
        <v>17</v>
      </c>
      <c r="J767" s="211"/>
      <c r="K767" s="209">
        <v>0</v>
      </c>
      <c r="L767" s="212"/>
      <c r="M767" s="212" t="e">
        <f>VLOOKUP(Table12[[#This Row],[ROUTE]],DEMAND!A:F,5,FALSE)</f>
        <v>#N/A</v>
      </c>
      <c r="N767" s="212" t="e">
        <f>VLOOKUP(Table12[[#This Row],[ROUTE]],DEMAND!A:F,6,FALSE)</f>
        <v>#N/A</v>
      </c>
      <c r="O767" s="212" t="e">
        <f>ROUNDDOWN(Table12[[#This Row],[R-DEMAND]]/1320,0)</f>
        <v>#N/A</v>
      </c>
      <c r="P767" s="212" t="e">
        <f>Table12[[#This Row],[ADD ACC]]*Table12[[#This Row],[RT TIME 
(777-500ER)]]</f>
        <v>#N/A</v>
      </c>
    </row>
    <row r="768" spans="1:16" ht="15.75" customHeight="1" x14ac:dyDescent="0.25">
      <c r="A768" s="212" t="s">
        <v>14677</v>
      </c>
      <c r="B768" s="212" t="s">
        <v>4477</v>
      </c>
      <c r="C768" s="212"/>
      <c r="D768" s="226">
        <v>2</v>
      </c>
      <c r="E768" s="212" t="s">
        <v>722</v>
      </c>
      <c r="F768" s="212" t="s">
        <v>12674</v>
      </c>
      <c r="G768" s="227" t="s">
        <v>11856</v>
      </c>
      <c r="H768" s="228">
        <v>1184</v>
      </c>
      <c r="I768" s="208">
        <v>4.75</v>
      </c>
      <c r="J768" s="211"/>
      <c r="K768" s="209">
        <v>0</v>
      </c>
      <c r="L768" s="212"/>
      <c r="M768" s="212" t="e">
        <f>VLOOKUP(Table12[[#This Row],[ROUTE]],DEMAND!A:F,5,FALSE)</f>
        <v>#N/A</v>
      </c>
      <c r="N768" s="212" t="e">
        <f>VLOOKUP(Table12[[#This Row],[ROUTE]],DEMAND!A:F,6,FALSE)</f>
        <v>#N/A</v>
      </c>
      <c r="O768" s="212" t="e">
        <f>ROUNDDOWN(Table12[[#This Row],[R-DEMAND]]/1320,0)</f>
        <v>#N/A</v>
      </c>
      <c r="P768" s="212" t="e">
        <f>Table12[[#This Row],[ADD ACC]]*Table12[[#This Row],[RT TIME 
(777-500ER)]]</f>
        <v>#N/A</v>
      </c>
    </row>
    <row r="769" spans="1:16" ht="15.75" customHeight="1" x14ac:dyDescent="0.25">
      <c r="A769" s="212" t="s">
        <v>14950</v>
      </c>
      <c r="B769" s="212" t="s">
        <v>2766</v>
      </c>
      <c r="C769" s="212"/>
      <c r="D769" s="226">
        <v>2</v>
      </c>
      <c r="E769" s="212" t="s">
        <v>2764</v>
      </c>
      <c r="F769" s="212" t="s">
        <v>12670</v>
      </c>
      <c r="G769" s="227" t="s">
        <v>11978</v>
      </c>
      <c r="H769" s="228">
        <v>2761</v>
      </c>
      <c r="I769" s="208">
        <v>8.25</v>
      </c>
      <c r="J769" s="211"/>
      <c r="K769" s="209">
        <v>0</v>
      </c>
      <c r="L769" s="212"/>
      <c r="M769" s="212" t="e">
        <f>VLOOKUP(Table12[[#This Row],[ROUTE]],DEMAND!A:F,5,FALSE)</f>
        <v>#N/A</v>
      </c>
      <c r="N769" s="212" t="e">
        <f>VLOOKUP(Table12[[#This Row],[ROUTE]],DEMAND!A:F,6,FALSE)</f>
        <v>#N/A</v>
      </c>
      <c r="O769" s="212" t="e">
        <f>ROUNDDOWN(Table12[[#This Row],[R-DEMAND]]/1320,0)</f>
        <v>#N/A</v>
      </c>
      <c r="P769" s="212" t="e">
        <f>Table12[[#This Row],[ADD ACC]]*Table12[[#This Row],[RT TIME 
(777-500ER)]]</f>
        <v>#N/A</v>
      </c>
    </row>
    <row r="770" spans="1:16" ht="15.75" customHeight="1" x14ac:dyDescent="0.25">
      <c r="A770" s="212" t="s">
        <v>14545</v>
      </c>
      <c r="B770" s="212" t="s">
        <v>930</v>
      </c>
      <c r="C770" s="212"/>
      <c r="D770" s="226">
        <v>1</v>
      </c>
      <c r="E770" s="212" t="s">
        <v>597</v>
      </c>
      <c r="F770" s="212" t="s">
        <v>12674</v>
      </c>
      <c r="G770" s="227" t="s">
        <v>11835</v>
      </c>
      <c r="H770" s="228">
        <v>2082</v>
      </c>
      <c r="I770" s="208">
        <v>6.75</v>
      </c>
      <c r="J770" s="211"/>
      <c r="K770" s="209">
        <v>0</v>
      </c>
      <c r="L770" s="212"/>
      <c r="M770" s="212" t="e">
        <f>VLOOKUP(Table12[[#This Row],[ROUTE]],DEMAND!A:F,5,FALSE)</f>
        <v>#N/A</v>
      </c>
      <c r="N770" s="212" t="e">
        <f>VLOOKUP(Table12[[#This Row],[ROUTE]],DEMAND!A:F,6,FALSE)</f>
        <v>#N/A</v>
      </c>
      <c r="O770" s="212" t="e">
        <f>ROUNDDOWN(Table12[[#This Row],[R-DEMAND]]/1320,0)</f>
        <v>#N/A</v>
      </c>
      <c r="P770" s="212" t="e">
        <f>Table12[[#This Row],[ADD ACC]]*Table12[[#This Row],[RT TIME 
(777-500ER)]]</f>
        <v>#N/A</v>
      </c>
    </row>
    <row r="771" spans="1:16" ht="15.75" customHeight="1" x14ac:dyDescent="0.25">
      <c r="A771" s="212" t="s">
        <v>14220</v>
      </c>
      <c r="B771" s="212" t="s">
        <v>4017</v>
      </c>
      <c r="C771" s="212"/>
      <c r="D771" s="226">
        <v>2</v>
      </c>
      <c r="E771" s="212" t="s">
        <v>505</v>
      </c>
      <c r="F771" s="212" t="s">
        <v>12694</v>
      </c>
      <c r="G771" s="227" t="s">
        <v>13138</v>
      </c>
      <c r="H771" s="228">
        <v>13093</v>
      </c>
      <c r="I771" s="208">
        <v>31.5</v>
      </c>
      <c r="J771" s="211"/>
      <c r="K771" s="209">
        <v>0</v>
      </c>
      <c r="L771" s="212"/>
      <c r="M771" s="212" t="e">
        <f>VLOOKUP(Table12[[#This Row],[ROUTE]],DEMAND!A:F,5,FALSE)</f>
        <v>#N/A</v>
      </c>
      <c r="N771" s="212" t="e">
        <f>VLOOKUP(Table12[[#This Row],[ROUTE]],DEMAND!A:F,6,FALSE)</f>
        <v>#N/A</v>
      </c>
      <c r="O771" s="212" t="e">
        <f>ROUNDDOWN(Table12[[#This Row],[R-DEMAND]]/1320,0)</f>
        <v>#N/A</v>
      </c>
      <c r="P771" s="212" t="e">
        <f>Table12[[#This Row],[ADD ACC]]*Table12[[#This Row],[RT TIME 
(777-500ER)]]</f>
        <v>#N/A</v>
      </c>
    </row>
    <row r="772" spans="1:16" ht="15.75" customHeight="1" x14ac:dyDescent="0.25">
      <c r="A772" s="212" t="s">
        <v>14848</v>
      </c>
      <c r="B772" s="212" t="s">
        <v>90</v>
      </c>
      <c r="C772" s="212"/>
      <c r="D772" s="226">
        <v>2</v>
      </c>
      <c r="E772" s="212" t="s">
        <v>1456</v>
      </c>
      <c r="F772" s="212" t="s">
        <v>12670</v>
      </c>
      <c r="G772" s="227" t="s">
        <v>11987</v>
      </c>
      <c r="H772" s="228">
        <v>4484</v>
      </c>
      <c r="I772" s="208">
        <v>12.25</v>
      </c>
      <c r="J772" s="211"/>
      <c r="K772" s="209">
        <v>0</v>
      </c>
      <c r="L772" s="212"/>
      <c r="M772" s="212" t="e">
        <f>VLOOKUP(Table12[[#This Row],[ROUTE]],DEMAND!A:F,5,FALSE)</f>
        <v>#N/A</v>
      </c>
      <c r="N772" s="212" t="e">
        <f>VLOOKUP(Table12[[#This Row],[ROUTE]],DEMAND!A:F,6,FALSE)</f>
        <v>#N/A</v>
      </c>
      <c r="O772" s="212" t="e">
        <f>ROUNDDOWN(Table12[[#This Row],[R-DEMAND]]/1320,0)</f>
        <v>#N/A</v>
      </c>
      <c r="P772" s="212" t="e">
        <f>Table12[[#This Row],[ADD ACC]]*Table12[[#This Row],[RT TIME 
(777-500ER)]]</f>
        <v>#N/A</v>
      </c>
    </row>
    <row r="773" spans="1:16" ht="15.75" customHeight="1" x14ac:dyDescent="0.25">
      <c r="A773" s="212" t="s">
        <v>14466</v>
      </c>
      <c r="B773" s="212" t="s">
        <v>3574</v>
      </c>
      <c r="C773" s="212"/>
      <c r="D773" s="226">
        <v>2</v>
      </c>
      <c r="E773" s="212" t="s">
        <v>1749</v>
      </c>
      <c r="F773" s="212" t="s">
        <v>12688</v>
      </c>
      <c r="G773" s="227" t="s">
        <v>13221</v>
      </c>
      <c r="H773" s="228">
        <v>10545</v>
      </c>
      <c r="I773" s="208">
        <v>25.75</v>
      </c>
      <c r="J773" s="211"/>
      <c r="K773" s="209">
        <v>0</v>
      </c>
      <c r="L773" s="212"/>
      <c r="M773" s="212" t="e">
        <f>VLOOKUP(Table12[[#This Row],[ROUTE]],DEMAND!A:F,5,FALSE)</f>
        <v>#N/A</v>
      </c>
      <c r="N773" s="212" t="e">
        <f>VLOOKUP(Table12[[#This Row],[ROUTE]],DEMAND!A:F,6,FALSE)</f>
        <v>#N/A</v>
      </c>
      <c r="O773" s="212" t="e">
        <f>ROUNDDOWN(Table12[[#This Row],[R-DEMAND]]/1320,0)</f>
        <v>#N/A</v>
      </c>
      <c r="P773" s="212" t="e">
        <f>Table12[[#This Row],[ADD ACC]]*Table12[[#This Row],[RT TIME 
(777-500ER)]]</f>
        <v>#N/A</v>
      </c>
    </row>
    <row r="774" spans="1:16" ht="15.75" customHeight="1" x14ac:dyDescent="0.25">
      <c r="A774" s="212" t="s">
        <v>14601</v>
      </c>
      <c r="B774" s="212" t="s">
        <v>2686</v>
      </c>
      <c r="C774" s="212"/>
      <c r="D774" s="226">
        <v>2</v>
      </c>
      <c r="E774" s="212" t="s">
        <v>733</v>
      </c>
      <c r="F774" s="212" t="s">
        <v>12674</v>
      </c>
      <c r="G774" s="227" t="s">
        <v>13246</v>
      </c>
      <c r="H774" s="228">
        <v>5064</v>
      </c>
      <c r="I774" s="208">
        <v>13.5</v>
      </c>
      <c r="J774" s="211"/>
      <c r="K774" s="209">
        <v>0</v>
      </c>
      <c r="L774" s="212"/>
      <c r="M774" s="212" t="e">
        <f>VLOOKUP(Table12[[#This Row],[ROUTE]],DEMAND!A:F,5,FALSE)</f>
        <v>#N/A</v>
      </c>
      <c r="N774" s="212" t="e">
        <f>VLOOKUP(Table12[[#This Row],[ROUTE]],DEMAND!A:F,6,FALSE)</f>
        <v>#N/A</v>
      </c>
      <c r="O774" s="212" t="e">
        <f>ROUNDDOWN(Table12[[#This Row],[R-DEMAND]]/1320,0)</f>
        <v>#N/A</v>
      </c>
      <c r="P774" s="212" t="e">
        <f>Table12[[#This Row],[ADD ACC]]*Table12[[#This Row],[RT TIME 
(777-500ER)]]</f>
        <v>#N/A</v>
      </c>
    </row>
    <row r="775" spans="1:16" ht="15.75" customHeight="1" x14ac:dyDescent="0.25">
      <c r="A775" s="212" t="s">
        <v>14555</v>
      </c>
      <c r="B775" s="212" t="s">
        <v>87</v>
      </c>
      <c r="C775" s="212"/>
      <c r="D775" s="226">
        <v>3</v>
      </c>
      <c r="E775" s="212" t="s">
        <v>1858</v>
      </c>
      <c r="F775" s="212" t="s">
        <v>12674</v>
      </c>
      <c r="G775" s="227" t="s">
        <v>11689</v>
      </c>
      <c r="H775" s="228">
        <v>3014</v>
      </c>
      <c r="I775" s="208">
        <v>9</v>
      </c>
      <c r="J775" s="211"/>
      <c r="K775" s="209">
        <v>0</v>
      </c>
      <c r="L775" s="212"/>
      <c r="M775" s="212" t="e">
        <f>VLOOKUP(Table12[[#This Row],[ROUTE]],DEMAND!A:F,5,FALSE)</f>
        <v>#N/A</v>
      </c>
      <c r="N775" s="212" t="e">
        <f>VLOOKUP(Table12[[#This Row],[ROUTE]],DEMAND!A:F,6,FALSE)</f>
        <v>#N/A</v>
      </c>
      <c r="O775" s="212" t="e">
        <f>ROUNDDOWN(Table12[[#This Row],[R-DEMAND]]/1320,0)</f>
        <v>#N/A</v>
      </c>
      <c r="P775" s="212" t="e">
        <f>Table12[[#This Row],[ADD ACC]]*Table12[[#This Row],[RT TIME 
(777-500ER)]]</f>
        <v>#N/A</v>
      </c>
    </row>
    <row r="776" spans="1:16" ht="15.75" customHeight="1" x14ac:dyDescent="0.25">
      <c r="A776" s="212" t="s">
        <v>14440</v>
      </c>
      <c r="B776" s="212" t="s">
        <v>2484</v>
      </c>
      <c r="C776" s="212"/>
      <c r="D776" s="226">
        <v>1</v>
      </c>
      <c r="E776" s="212" t="s">
        <v>683</v>
      </c>
      <c r="F776" s="212" t="s">
        <v>12688</v>
      </c>
      <c r="G776" s="227" t="s">
        <v>13189</v>
      </c>
      <c r="H776" s="228">
        <v>9564</v>
      </c>
      <c r="I776" s="208">
        <v>23.5</v>
      </c>
      <c r="J776" s="211"/>
      <c r="K776" s="209">
        <v>0</v>
      </c>
      <c r="L776" s="212"/>
      <c r="M776" s="212" t="e">
        <f>VLOOKUP(Table12[[#This Row],[ROUTE]],DEMAND!A:F,5,FALSE)</f>
        <v>#N/A</v>
      </c>
      <c r="N776" s="212" t="e">
        <f>VLOOKUP(Table12[[#This Row],[ROUTE]],DEMAND!A:F,6,FALSE)</f>
        <v>#N/A</v>
      </c>
      <c r="O776" s="212" t="e">
        <f>ROUNDDOWN(Table12[[#This Row],[R-DEMAND]]/1320,0)</f>
        <v>#N/A</v>
      </c>
      <c r="P776" s="212" t="e">
        <f>Table12[[#This Row],[ADD ACC]]*Table12[[#This Row],[RT TIME 
(777-500ER)]]</f>
        <v>#N/A</v>
      </c>
    </row>
    <row r="777" spans="1:16" ht="15.75" customHeight="1" x14ac:dyDescent="0.25">
      <c r="A777" s="212" t="s">
        <v>14497</v>
      </c>
      <c r="B777" s="212" t="s">
        <v>5190</v>
      </c>
      <c r="C777" s="212"/>
      <c r="D777" s="226">
        <v>3</v>
      </c>
      <c r="E777" s="212" t="s">
        <v>1459</v>
      </c>
      <c r="F777" s="212" t="s">
        <v>12674</v>
      </c>
      <c r="G777" s="227" t="s">
        <v>7386</v>
      </c>
      <c r="H777" s="228">
        <v>1757</v>
      </c>
      <c r="I777" s="208">
        <v>6</v>
      </c>
      <c r="J777" s="211"/>
      <c r="K777" s="209">
        <v>0</v>
      </c>
      <c r="L777" s="212"/>
      <c r="M777" s="212" t="e">
        <f>VLOOKUP(Table12[[#This Row],[ROUTE]],DEMAND!A:F,5,FALSE)</f>
        <v>#N/A</v>
      </c>
      <c r="N777" s="212" t="e">
        <f>VLOOKUP(Table12[[#This Row],[ROUTE]],DEMAND!A:F,6,FALSE)</f>
        <v>#N/A</v>
      </c>
      <c r="O777" s="212" t="e">
        <f>ROUNDDOWN(Table12[[#This Row],[R-DEMAND]]/1320,0)</f>
        <v>#N/A</v>
      </c>
      <c r="P777" s="212" t="e">
        <f>Table12[[#This Row],[ADD ACC]]*Table12[[#This Row],[RT TIME 
(777-500ER)]]</f>
        <v>#N/A</v>
      </c>
    </row>
    <row r="778" spans="1:16" ht="15.75" customHeight="1" x14ac:dyDescent="0.25">
      <c r="A778" s="212" t="s">
        <v>14371</v>
      </c>
      <c r="B778" s="212" t="s">
        <v>2635</v>
      </c>
      <c r="C778" s="212"/>
      <c r="D778" s="226" t="s">
        <v>15105</v>
      </c>
      <c r="E778" s="212" t="s">
        <v>647</v>
      </c>
      <c r="F778" s="212" t="s">
        <v>12688</v>
      </c>
      <c r="G778" s="227" t="s">
        <v>13310</v>
      </c>
      <c r="H778" s="228">
        <v>9248</v>
      </c>
      <c r="I778" s="208">
        <v>22.75</v>
      </c>
      <c r="J778" s="211"/>
      <c r="K778" s="209">
        <v>0</v>
      </c>
      <c r="L778" s="212"/>
      <c r="M778" s="212" t="e">
        <f>VLOOKUP(Table12[[#This Row],[ROUTE]],DEMAND!A:F,5,FALSE)</f>
        <v>#N/A</v>
      </c>
      <c r="N778" s="212" t="e">
        <f>VLOOKUP(Table12[[#This Row],[ROUTE]],DEMAND!A:F,6,FALSE)</f>
        <v>#N/A</v>
      </c>
      <c r="O778" s="212" t="e">
        <f>ROUNDDOWN(Table12[[#This Row],[R-DEMAND]]/1320,0)</f>
        <v>#N/A</v>
      </c>
      <c r="P778" s="212" t="e">
        <f>Table12[[#This Row],[ADD ACC]]*Table12[[#This Row],[RT TIME 
(777-500ER)]]</f>
        <v>#N/A</v>
      </c>
    </row>
    <row r="779" spans="1:16" ht="15.75" customHeight="1" x14ac:dyDescent="0.25">
      <c r="A779" s="212" t="s">
        <v>14580</v>
      </c>
      <c r="B779" s="212" t="s">
        <v>510</v>
      </c>
      <c r="C779" s="212"/>
      <c r="D779" s="226">
        <v>1</v>
      </c>
      <c r="E779" s="212" t="s">
        <v>508</v>
      </c>
      <c r="F779" s="212" t="s">
        <v>12674</v>
      </c>
      <c r="G779" s="227" t="s">
        <v>11816</v>
      </c>
      <c r="H779" s="212">
        <v>910</v>
      </c>
      <c r="I779" s="208">
        <v>4.25</v>
      </c>
      <c r="J779" s="211"/>
      <c r="K779" s="209">
        <v>0</v>
      </c>
      <c r="L779" s="212"/>
      <c r="M779" s="212" t="e">
        <f>VLOOKUP(Table12[[#This Row],[ROUTE]],DEMAND!A:F,5,FALSE)</f>
        <v>#N/A</v>
      </c>
      <c r="N779" s="212" t="e">
        <f>VLOOKUP(Table12[[#This Row],[ROUTE]],DEMAND!A:F,6,FALSE)</f>
        <v>#N/A</v>
      </c>
      <c r="O779" s="212" t="e">
        <f>ROUNDDOWN(Table12[[#This Row],[R-DEMAND]]/1320,0)</f>
        <v>#N/A</v>
      </c>
      <c r="P779" s="212" t="e">
        <f>Table12[[#This Row],[ADD ACC]]*Table12[[#This Row],[RT TIME 
(777-500ER)]]</f>
        <v>#N/A</v>
      </c>
    </row>
    <row r="780" spans="1:16" ht="15.75" customHeight="1" x14ac:dyDescent="0.25">
      <c r="A780" s="212" t="s">
        <v>14233</v>
      </c>
      <c r="B780" s="212" t="s">
        <v>3107</v>
      </c>
      <c r="C780" s="212"/>
      <c r="D780" s="226">
        <v>2</v>
      </c>
      <c r="E780" s="212" t="s">
        <v>1144</v>
      </c>
      <c r="F780" s="212" t="s">
        <v>12694</v>
      </c>
      <c r="G780" s="227" t="s">
        <v>13151</v>
      </c>
      <c r="H780" s="228">
        <v>12567</v>
      </c>
      <c r="I780" s="208">
        <v>30.25</v>
      </c>
      <c r="J780" s="211"/>
      <c r="K780" s="209">
        <v>0</v>
      </c>
      <c r="L780" s="212"/>
      <c r="M780" s="212" t="e">
        <f>VLOOKUP(Table12[[#This Row],[ROUTE]],DEMAND!A:F,5,FALSE)</f>
        <v>#N/A</v>
      </c>
      <c r="N780" s="212" t="e">
        <f>VLOOKUP(Table12[[#This Row],[ROUTE]],DEMAND!A:F,6,FALSE)</f>
        <v>#N/A</v>
      </c>
      <c r="O780" s="212" t="e">
        <f>ROUNDDOWN(Table12[[#This Row],[R-DEMAND]]/1320,0)</f>
        <v>#N/A</v>
      </c>
      <c r="P780" s="212" t="e">
        <f>Table12[[#This Row],[ADD ACC]]*Table12[[#This Row],[RT TIME 
(777-500ER)]]</f>
        <v>#N/A</v>
      </c>
    </row>
    <row r="781" spans="1:16" ht="15.75" customHeight="1" x14ac:dyDescent="0.25">
      <c r="A781" s="212" t="s">
        <v>14376</v>
      </c>
      <c r="B781" s="212" t="s">
        <v>4758</v>
      </c>
      <c r="C781" s="212"/>
      <c r="D781" s="226" t="s">
        <v>15106</v>
      </c>
      <c r="E781" s="212" t="s">
        <v>647</v>
      </c>
      <c r="F781" s="212" t="s">
        <v>12688</v>
      </c>
      <c r="G781" s="227" t="s">
        <v>13369</v>
      </c>
      <c r="H781" s="228">
        <v>9222</v>
      </c>
      <c r="I781" s="208">
        <v>22.75</v>
      </c>
      <c r="J781" s="211"/>
      <c r="K781" s="209">
        <v>0</v>
      </c>
      <c r="L781" s="212"/>
      <c r="M781" s="212" t="e">
        <f>VLOOKUP(Table12[[#This Row],[ROUTE]],DEMAND!A:F,5,FALSE)</f>
        <v>#N/A</v>
      </c>
      <c r="N781" s="212" t="e">
        <f>VLOOKUP(Table12[[#This Row],[ROUTE]],DEMAND!A:F,6,FALSE)</f>
        <v>#N/A</v>
      </c>
      <c r="O781" s="212" t="e">
        <f>ROUNDDOWN(Table12[[#This Row],[R-DEMAND]]/1320,0)</f>
        <v>#N/A</v>
      </c>
      <c r="P781" s="212" t="e">
        <f>Table12[[#This Row],[ADD ACC]]*Table12[[#This Row],[RT TIME 
(777-500ER)]]</f>
        <v>#N/A</v>
      </c>
    </row>
    <row r="782" spans="1:16" ht="15.75" customHeight="1" x14ac:dyDescent="0.25">
      <c r="A782" s="212" t="s">
        <v>14230</v>
      </c>
      <c r="B782" s="212" t="s">
        <v>4100</v>
      </c>
      <c r="C782" s="212"/>
      <c r="D782" s="226">
        <v>2</v>
      </c>
      <c r="E782" s="212" t="s">
        <v>1144</v>
      </c>
      <c r="F782" s="212" t="s">
        <v>12694</v>
      </c>
      <c r="G782" s="227" t="s">
        <v>13154</v>
      </c>
      <c r="H782" s="228">
        <v>12327</v>
      </c>
      <c r="I782" s="208">
        <v>29.75</v>
      </c>
      <c r="J782" s="211"/>
      <c r="K782" s="209">
        <v>0</v>
      </c>
      <c r="L782" s="212"/>
      <c r="M782" s="212" t="e">
        <f>VLOOKUP(Table12[[#This Row],[ROUTE]],DEMAND!A:F,5,FALSE)</f>
        <v>#N/A</v>
      </c>
      <c r="N782" s="212" t="e">
        <f>VLOOKUP(Table12[[#This Row],[ROUTE]],DEMAND!A:F,6,FALSE)</f>
        <v>#N/A</v>
      </c>
      <c r="O782" s="212" t="e">
        <f>ROUNDDOWN(Table12[[#This Row],[R-DEMAND]]/1320,0)</f>
        <v>#N/A</v>
      </c>
      <c r="P782" s="212" t="e">
        <f>Table12[[#This Row],[ADD ACC]]*Table12[[#This Row],[RT TIME 
(777-500ER)]]</f>
        <v>#N/A</v>
      </c>
    </row>
    <row r="783" spans="1:16" ht="15.75" customHeight="1" x14ac:dyDescent="0.25">
      <c r="A783" s="212" t="s">
        <v>15022</v>
      </c>
      <c r="B783" s="212" t="s">
        <v>3618</v>
      </c>
      <c r="C783" s="212"/>
      <c r="D783" s="226">
        <v>2</v>
      </c>
      <c r="E783" s="212" t="s">
        <v>3616</v>
      </c>
      <c r="F783" s="212" t="s">
        <v>12671</v>
      </c>
      <c r="G783" s="227" t="s">
        <v>11776</v>
      </c>
      <c r="H783" s="228">
        <v>6311</v>
      </c>
      <c r="I783" s="208">
        <v>16.25</v>
      </c>
      <c r="J783" s="211"/>
      <c r="K783" s="209">
        <v>0</v>
      </c>
      <c r="L783" s="212"/>
      <c r="M783" s="212" t="e">
        <f>VLOOKUP(Table12[[#This Row],[ROUTE]],DEMAND!A:F,5,FALSE)</f>
        <v>#N/A</v>
      </c>
      <c r="N783" s="212" t="e">
        <f>VLOOKUP(Table12[[#This Row],[ROUTE]],DEMAND!A:F,6,FALSE)</f>
        <v>#N/A</v>
      </c>
      <c r="O783" s="212" t="e">
        <f>ROUNDDOWN(Table12[[#This Row],[R-DEMAND]]/1320,0)</f>
        <v>#N/A</v>
      </c>
      <c r="P783" s="212" t="e">
        <f>Table12[[#This Row],[ADD ACC]]*Table12[[#This Row],[RT TIME 
(777-500ER)]]</f>
        <v>#N/A</v>
      </c>
    </row>
    <row r="784" spans="1:16" ht="15.75" customHeight="1" x14ac:dyDescent="0.25">
      <c r="A784" s="212" t="s">
        <v>14662</v>
      </c>
      <c r="B784" s="212" t="s">
        <v>5313</v>
      </c>
      <c r="C784" s="212"/>
      <c r="D784" s="226">
        <v>3</v>
      </c>
      <c r="E784" s="212" t="s">
        <v>119</v>
      </c>
      <c r="F784" s="212" t="s">
        <v>12674</v>
      </c>
      <c r="G784" s="227" t="s">
        <v>11685</v>
      </c>
      <c r="H784" s="228">
        <v>3820</v>
      </c>
      <c r="I784" s="208">
        <v>10.75</v>
      </c>
      <c r="J784" s="211"/>
      <c r="K784" s="209">
        <v>0</v>
      </c>
      <c r="L784" s="212"/>
      <c r="M784" s="212" t="e">
        <f>VLOOKUP(Table12[[#This Row],[ROUTE]],DEMAND!A:F,5,FALSE)</f>
        <v>#N/A</v>
      </c>
      <c r="N784" s="212" t="e">
        <f>VLOOKUP(Table12[[#This Row],[ROUTE]],DEMAND!A:F,6,FALSE)</f>
        <v>#N/A</v>
      </c>
      <c r="O784" s="212" t="e">
        <f>ROUNDDOWN(Table12[[#This Row],[R-DEMAND]]/1320,0)</f>
        <v>#N/A</v>
      </c>
      <c r="P784" s="212" t="e">
        <f>Table12[[#This Row],[ADD ACC]]*Table12[[#This Row],[RT TIME 
(777-500ER)]]</f>
        <v>#N/A</v>
      </c>
    </row>
    <row r="785" spans="1:16" ht="15.75" customHeight="1" x14ac:dyDescent="0.25">
      <c r="A785" s="212" t="s">
        <v>14620</v>
      </c>
      <c r="B785" s="212" t="s">
        <v>5047</v>
      </c>
      <c r="C785" s="212"/>
      <c r="D785" s="226">
        <v>3</v>
      </c>
      <c r="E785" s="212" t="s">
        <v>78</v>
      </c>
      <c r="F785" s="212" t="s">
        <v>12674</v>
      </c>
      <c r="G785" s="227" t="s">
        <v>11914</v>
      </c>
      <c r="H785" s="228">
        <v>1422</v>
      </c>
      <c r="I785" s="208">
        <v>5.25</v>
      </c>
      <c r="J785" s="211"/>
      <c r="K785" s="209">
        <v>0</v>
      </c>
      <c r="L785" s="212"/>
      <c r="M785" s="212" t="e">
        <f>VLOOKUP(Table12[[#This Row],[ROUTE]],DEMAND!A:F,5,FALSE)</f>
        <v>#N/A</v>
      </c>
      <c r="N785" s="212" t="e">
        <f>VLOOKUP(Table12[[#This Row],[ROUTE]],DEMAND!A:F,6,FALSE)</f>
        <v>#N/A</v>
      </c>
      <c r="O785" s="212" t="e">
        <f>ROUNDDOWN(Table12[[#This Row],[R-DEMAND]]/1320,0)</f>
        <v>#N/A</v>
      </c>
      <c r="P785" s="212" t="e">
        <f>Table12[[#This Row],[ADD ACC]]*Table12[[#This Row],[RT TIME 
(777-500ER)]]</f>
        <v>#N/A</v>
      </c>
    </row>
    <row r="786" spans="1:16" ht="15.75" customHeight="1" x14ac:dyDescent="0.25">
      <c r="A786" s="212" t="s">
        <v>14296</v>
      </c>
      <c r="B786" s="212" t="s">
        <v>76</v>
      </c>
      <c r="C786" s="212"/>
      <c r="D786" s="226" t="s">
        <v>15105</v>
      </c>
      <c r="E786" s="212" t="s">
        <v>647</v>
      </c>
      <c r="F786" s="212" t="s">
        <v>12688</v>
      </c>
      <c r="G786" s="227" t="s">
        <v>13340</v>
      </c>
      <c r="H786" s="228">
        <v>7483</v>
      </c>
      <c r="I786" s="208">
        <v>19</v>
      </c>
      <c r="J786" s="211"/>
      <c r="K786" s="209">
        <v>0</v>
      </c>
      <c r="L786" s="212"/>
      <c r="M786" s="212" t="e">
        <f>VLOOKUP(Table12[[#This Row],[ROUTE]],DEMAND!A:F,5,FALSE)</f>
        <v>#N/A</v>
      </c>
      <c r="N786" s="212" t="e">
        <f>VLOOKUP(Table12[[#This Row],[ROUTE]],DEMAND!A:F,6,FALSE)</f>
        <v>#N/A</v>
      </c>
      <c r="O786" s="212" t="e">
        <f>ROUNDDOWN(Table12[[#This Row],[R-DEMAND]]/1320,0)</f>
        <v>#N/A</v>
      </c>
      <c r="P786" s="212" t="e">
        <f>Table12[[#This Row],[ADD ACC]]*Table12[[#This Row],[RT TIME 
(777-500ER)]]</f>
        <v>#N/A</v>
      </c>
    </row>
    <row r="787" spans="1:16" ht="15.75" customHeight="1" x14ac:dyDescent="0.25">
      <c r="A787" s="212" t="s">
        <v>14528</v>
      </c>
      <c r="B787" s="212" t="s">
        <v>4279</v>
      </c>
      <c r="C787" s="212"/>
      <c r="D787" s="226">
        <v>2</v>
      </c>
      <c r="E787" s="212" t="s">
        <v>1427</v>
      </c>
      <c r="F787" s="212" t="s">
        <v>12674</v>
      </c>
      <c r="G787" s="227" t="s">
        <v>11787</v>
      </c>
      <c r="H787" s="228">
        <v>1624</v>
      </c>
      <c r="I787" s="208">
        <v>5.75</v>
      </c>
      <c r="J787" s="211"/>
      <c r="K787" s="209">
        <v>0</v>
      </c>
      <c r="L787" s="212"/>
      <c r="M787" s="212" t="e">
        <f>VLOOKUP(Table12[[#This Row],[ROUTE]],DEMAND!A:F,5,FALSE)</f>
        <v>#N/A</v>
      </c>
      <c r="N787" s="212" t="e">
        <f>VLOOKUP(Table12[[#This Row],[ROUTE]],DEMAND!A:F,6,FALSE)</f>
        <v>#N/A</v>
      </c>
      <c r="O787" s="212" t="e">
        <f>ROUNDDOWN(Table12[[#This Row],[R-DEMAND]]/1320,0)</f>
        <v>#N/A</v>
      </c>
      <c r="P787" s="212" t="e">
        <f>Table12[[#This Row],[ADD ACC]]*Table12[[#This Row],[RT TIME 
(777-500ER)]]</f>
        <v>#N/A</v>
      </c>
    </row>
    <row r="788" spans="1:16" ht="15.75" customHeight="1" x14ac:dyDescent="0.25">
      <c r="A788" s="212" t="s">
        <v>14803</v>
      </c>
      <c r="B788" s="212" t="s">
        <v>5035</v>
      </c>
      <c r="C788" s="212"/>
      <c r="D788" s="226">
        <v>3</v>
      </c>
      <c r="E788" s="212" t="s">
        <v>502</v>
      </c>
      <c r="F788" s="212" t="s">
        <v>12670</v>
      </c>
      <c r="G788" s="227" t="s">
        <v>11957</v>
      </c>
      <c r="H788" s="228">
        <v>3104</v>
      </c>
      <c r="I788" s="208">
        <v>9</v>
      </c>
      <c r="J788" s="211"/>
      <c r="K788" s="209">
        <v>0</v>
      </c>
      <c r="L788" s="212"/>
      <c r="M788" s="212" t="e">
        <f>VLOOKUP(Table12[[#This Row],[ROUTE]],DEMAND!A:F,5,FALSE)</f>
        <v>#N/A</v>
      </c>
      <c r="N788" s="212" t="e">
        <f>VLOOKUP(Table12[[#This Row],[ROUTE]],DEMAND!A:F,6,FALSE)</f>
        <v>#N/A</v>
      </c>
      <c r="O788" s="212" t="e">
        <f>ROUNDDOWN(Table12[[#This Row],[R-DEMAND]]/1320,0)</f>
        <v>#N/A</v>
      </c>
      <c r="P788" s="212" t="e">
        <f>Table12[[#This Row],[ADD ACC]]*Table12[[#This Row],[RT TIME 
(777-500ER)]]</f>
        <v>#N/A</v>
      </c>
    </row>
    <row r="789" spans="1:16" ht="15.75" customHeight="1" x14ac:dyDescent="0.25">
      <c r="A789" s="212" t="s">
        <v>14835</v>
      </c>
      <c r="B789" s="212" t="s">
        <v>4439</v>
      </c>
      <c r="C789" s="212"/>
      <c r="D789" s="226">
        <v>2</v>
      </c>
      <c r="E789" s="212" t="s">
        <v>709</v>
      </c>
      <c r="F789" s="212" t="s">
        <v>12670</v>
      </c>
      <c r="G789" s="227" t="s">
        <v>12112</v>
      </c>
      <c r="H789" s="228">
        <v>8091</v>
      </c>
      <c r="I789" s="208">
        <v>20.25</v>
      </c>
      <c r="J789" s="211"/>
      <c r="K789" s="209">
        <v>0</v>
      </c>
      <c r="L789" s="212"/>
      <c r="M789" s="212" t="e">
        <f>VLOOKUP(Table12[[#This Row],[ROUTE]],DEMAND!A:F,5,FALSE)</f>
        <v>#N/A</v>
      </c>
      <c r="N789" s="212" t="e">
        <f>VLOOKUP(Table12[[#This Row],[ROUTE]],DEMAND!A:F,6,FALSE)</f>
        <v>#N/A</v>
      </c>
      <c r="O789" s="212" t="e">
        <f>ROUNDDOWN(Table12[[#This Row],[R-DEMAND]]/1320,0)</f>
        <v>#N/A</v>
      </c>
      <c r="P789" s="212" t="e">
        <f>Table12[[#This Row],[ADD ACC]]*Table12[[#This Row],[RT TIME 
(777-500ER)]]</f>
        <v>#N/A</v>
      </c>
    </row>
    <row r="790" spans="1:16" ht="15.75" customHeight="1" x14ac:dyDescent="0.25">
      <c r="A790" s="212" t="s">
        <v>14916</v>
      </c>
      <c r="B790" s="212" t="s">
        <v>4488</v>
      </c>
      <c r="C790" s="212"/>
      <c r="D790" s="226">
        <v>2</v>
      </c>
      <c r="E790" s="212" t="s">
        <v>700</v>
      </c>
      <c r="F790" s="212" t="s">
        <v>12670</v>
      </c>
      <c r="G790" s="227" t="s">
        <v>11868</v>
      </c>
      <c r="H790" s="228">
        <v>1576</v>
      </c>
      <c r="I790" s="208">
        <v>5.75</v>
      </c>
      <c r="J790" s="211"/>
      <c r="K790" s="209">
        <v>0</v>
      </c>
      <c r="L790" s="212"/>
      <c r="M790" s="212" t="e">
        <f>VLOOKUP(Table12[[#This Row],[ROUTE]],DEMAND!A:F,5,FALSE)</f>
        <v>#N/A</v>
      </c>
      <c r="N790" s="212" t="e">
        <f>VLOOKUP(Table12[[#This Row],[ROUTE]],DEMAND!A:F,6,FALSE)</f>
        <v>#N/A</v>
      </c>
      <c r="O790" s="212" t="e">
        <f>ROUNDDOWN(Table12[[#This Row],[R-DEMAND]]/1320,0)</f>
        <v>#N/A</v>
      </c>
      <c r="P790" s="212" t="e">
        <f>Table12[[#This Row],[ADD ACC]]*Table12[[#This Row],[RT TIME 
(777-500ER)]]</f>
        <v>#N/A</v>
      </c>
    </row>
    <row r="791" spans="1:16" ht="15.75" customHeight="1" x14ac:dyDescent="0.25">
      <c r="A791" s="212" t="s">
        <v>14894</v>
      </c>
      <c r="B791" s="212" t="s">
        <v>4683</v>
      </c>
      <c r="C791" s="212"/>
      <c r="D791" s="226">
        <v>2</v>
      </c>
      <c r="E791" s="212" t="s">
        <v>258</v>
      </c>
      <c r="F791" s="212" t="s">
        <v>12670</v>
      </c>
      <c r="G791" s="227" t="s">
        <v>12021</v>
      </c>
      <c r="H791" s="228">
        <v>6844</v>
      </c>
      <c r="I791" s="208">
        <v>17.5</v>
      </c>
      <c r="J791" s="211"/>
      <c r="K791" s="209">
        <v>0</v>
      </c>
      <c r="L791" s="212"/>
      <c r="M791" s="212" t="e">
        <f>VLOOKUP(Table12[[#This Row],[ROUTE]],DEMAND!A:F,5,FALSE)</f>
        <v>#N/A</v>
      </c>
      <c r="N791" s="212" t="e">
        <f>VLOOKUP(Table12[[#This Row],[ROUTE]],DEMAND!A:F,6,FALSE)</f>
        <v>#N/A</v>
      </c>
      <c r="O791" s="212" t="e">
        <f>ROUNDDOWN(Table12[[#This Row],[R-DEMAND]]/1320,0)</f>
        <v>#N/A</v>
      </c>
      <c r="P791" s="212" t="e">
        <f>Table12[[#This Row],[ADD ACC]]*Table12[[#This Row],[RT TIME 
(777-500ER)]]</f>
        <v>#N/A</v>
      </c>
    </row>
    <row r="792" spans="1:16" ht="15.75" customHeight="1" x14ac:dyDescent="0.25">
      <c r="A792" s="212" t="s">
        <v>14960</v>
      </c>
      <c r="B792" s="212" t="s">
        <v>1989</v>
      </c>
      <c r="C792" s="212"/>
      <c r="D792" s="226">
        <v>1</v>
      </c>
      <c r="E792" s="212" t="s">
        <v>1289</v>
      </c>
      <c r="F792" s="212" t="s">
        <v>12670</v>
      </c>
      <c r="G792" s="227" t="s">
        <v>11946</v>
      </c>
      <c r="H792" s="228">
        <v>4671</v>
      </c>
      <c r="I792" s="208">
        <v>12.5</v>
      </c>
      <c r="J792" s="211"/>
      <c r="K792" s="209">
        <v>0</v>
      </c>
      <c r="L792" s="212"/>
      <c r="M792" s="212" t="e">
        <f>VLOOKUP(Table12[[#This Row],[ROUTE]],DEMAND!A:F,5,FALSE)</f>
        <v>#N/A</v>
      </c>
      <c r="N792" s="212" t="e">
        <f>VLOOKUP(Table12[[#This Row],[ROUTE]],DEMAND!A:F,6,FALSE)</f>
        <v>#N/A</v>
      </c>
      <c r="O792" s="212" t="e">
        <f>ROUNDDOWN(Table12[[#This Row],[R-DEMAND]]/1320,0)</f>
        <v>#N/A</v>
      </c>
      <c r="P792" s="212" t="e">
        <f>Table12[[#This Row],[ADD ACC]]*Table12[[#This Row],[RT TIME 
(777-500ER)]]</f>
        <v>#N/A</v>
      </c>
    </row>
    <row r="793" spans="1:16" ht="15.75" customHeight="1" x14ac:dyDescent="0.25">
      <c r="A793" s="212" t="s">
        <v>14951</v>
      </c>
      <c r="B793" s="212" t="s">
        <v>4969</v>
      </c>
      <c r="C793" s="212"/>
      <c r="D793" s="226">
        <v>3</v>
      </c>
      <c r="E793" s="212" t="s">
        <v>2764</v>
      </c>
      <c r="F793" s="212" t="s">
        <v>12670</v>
      </c>
      <c r="G793" s="227" t="s">
        <v>11981</v>
      </c>
      <c r="H793" s="228">
        <v>2766</v>
      </c>
      <c r="I793" s="208">
        <v>8.25</v>
      </c>
      <c r="J793" s="211"/>
      <c r="K793" s="209">
        <v>0</v>
      </c>
      <c r="L793" s="212"/>
      <c r="M793" s="212" t="e">
        <f>VLOOKUP(Table12[[#This Row],[ROUTE]],DEMAND!A:F,5,FALSE)</f>
        <v>#N/A</v>
      </c>
      <c r="N793" s="212" t="e">
        <f>VLOOKUP(Table12[[#This Row],[ROUTE]],DEMAND!A:F,6,FALSE)</f>
        <v>#N/A</v>
      </c>
      <c r="O793" s="212" t="e">
        <f>ROUNDDOWN(Table12[[#This Row],[R-DEMAND]]/1320,0)</f>
        <v>#N/A</v>
      </c>
      <c r="P793" s="212" t="e">
        <f>Table12[[#This Row],[ADD ACC]]*Table12[[#This Row],[RT TIME 
(777-500ER)]]</f>
        <v>#N/A</v>
      </c>
    </row>
    <row r="794" spans="1:16" ht="15.75" customHeight="1" x14ac:dyDescent="0.25">
      <c r="A794" s="212" t="s">
        <v>15085</v>
      </c>
      <c r="B794" s="212" t="s">
        <v>2434</v>
      </c>
      <c r="C794" s="212"/>
      <c r="D794" s="226">
        <v>1</v>
      </c>
      <c r="E794" s="212" t="s">
        <v>971</v>
      </c>
      <c r="F794" s="212" t="s">
        <v>12671</v>
      </c>
      <c r="G794" s="227" t="s">
        <v>11757</v>
      </c>
      <c r="H794" s="228">
        <v>2992</v>
      </c>
      <c r="I794" s="208">
        <v>8.75</v>
      </c>
      <c r="J794" s="211"/>
      <c r="K794" s="209">
        <v>0</v>
      </c>
      <c r="L794" s="212"/>
      <c r="M794" s="212" t="e">
        <f>VLOOKUP(Table12[[#This Row],[ROUTE]],DEMAND!A:F,5,FALSE)</f>
        <v>#N/A</v>
      </c>
      <c r="N794" s="212" t="e">
        <f>VLOOKUP(Table12[[#This Row],[ROUTE]],DEMAND!A:F,6,FALSE)</f>
        <v>#N/A</v>
      </c>
      <c r="O794" s="212" t="e">
        <f>ROUNDDOWN(Table12[[#This Row],[R-DEMAND]]/1320,0)</f>
        <v>#N/A</v>
      </c>
      <c r="P794" s="212" t="e">
        <f>Table12[[#This Row],[ADD ACC]]*Table12[[#This Row],[RT TIME 
(777-500ER)]]</f>
        <v>#N/A</v>
      </c>
    </row>
    <row r="795" spans="1:16" ht="15.75" customHeight="1" x14ac:dyDescent="0.25">
      <c r="A795" s="212" t="s">
        <v>14527</v>
      </c>
      <c r="B795" s="212" t="s">
        <v>4223</v>
      </c>
      <c r="C795" s="212"/>
      <c r="D795" s="226">
        <v>2</v>
      </c>
      <c r="E795" s="212" t="s">
        <v>1578</v>
      </c>
      <c r="F795" s="212" t="s">
        <v>12674</v>
      </c>
      <c r="G795" s="227" t="s">
        <v>11910</v>
      </c>
      <c r="H795" s="228">
        <v>1611</v>
      </c>
      <c r="I795" s="208">
        <v>5.75</v>
      </c>
      <c r="J795" s="211"/>
      <c r="K795" s="209">
        <v>0</v>
      </c>
      <c r="L795" s="212"/>
      <c r="M795" s="212" t="e">
        <f>VLOOKUP(Table12[[#This Row],[ROUTE]],DEMAND!A:F,5,FALSE)</f>
        <v>#N/A</v>
      </c>
      <c r="N795" s="212" t="e">
        <f>VLOOKUP(Table12[[#This Row],[ROUTE]],DEMAND!A:F,6,FALSE)</f>
        <v>#N/A</v>
      </c>
      <c r="O795" s="212" t="e">
        <f>ROUNDDOWN(Table12[[#This Row],[R-DEMAND]]/1320,0)</f>
        <v>#N/A</v>
      </c>
      <c r="P795" s="212" t="e">
        <f>Table12[[#This Row],[ADD ACC]]*Table12[[#This Row],[RT TIME 
(777-500ER)]]</f>
        <v>#N/A</v>
      </c>
    </row>
    <row r="796" spans="1:16" ht="15.75" customHeight="1" x14ac:dyDescent="0.25">
      <c r="A796" s="212" t="s">
        <v>14795</v>
      </c>
      <c r="B796" s="212" t="s">
        <v>4611</v>
      </c>
      <c r="C796" s="212"/>
      <c r="D796" s="226">
        <v>2</v>
      </c>
      <c r="E796" s="212" t="s">
        <v>502</v>
      </c>
      <c r="F796" s="212" t="s">
        <v>12670</v>
      </c>
      <c r="G796" s="227" t="s">
        <v>11921</v>
      </c>
      <c r="H796" s="228">
        <v>2020</v>
      </c>
      <c r="I796" s="208">
        <v>6.75</v>
      </c>
      <c r="J796" s="211"/>
      <c r="K796" s="209">
        <v>0</v>
      </c>
      <c r="L796" s="212"/>
      <c r="M796" s="212" t="e">
        <f>VLOOKUP(Table12[[#This Row],[ROUTE]],DEMAND!A:F,5,FALSE)</f>
        <v>#N/A</v>
      </c>
      <c r="N796" s="212" t="e">
        <f>VLOOKUP(Table12[[#This Row],[ROUTE]],DEMAND!A:F,6,FALSE)</f>
        <v>#N/A</v>
      </c>
      <c r="O796" s="212" t="e">
        <f>ROUNDDOWN(Table12[[#This Row],[R-DEMAND]]/1320,0)</f>
        <v>#N/A</v>
      </c>
      <c r="P796" s="212" t="e">
        <f>Table12[[#This Row],[ADD ACC]]*Table12[[#This Row],[RT TIME 
(777-500ER)]]</f>
        <v>#N/A</v>
      </c>
    </row>
    <row r="797" spans="1:16" ht="15.75" customHeight="1" x14ac:dyDescent="0.25">
      <c r="A797" s="212" t="s">
        <v>14973</v>
      </c>
      <c r="B797" s="212" t="s">
        <v>2579</v>
      </c>
      <c r="C797" s="212"/>
      <c r="D797" s="226">
        <v>2</v>
      </c>
      <c r="E797" s="212" t="s">
        <v>493</v>
      </c>
      <c r="F797" s="212" t="s">
        <v>12671</v>
      </c>
      <c r="G797" s="227" t="s">
        <v>11749</v>
      </c>
      <c r="H797" s="228">
        <v>3170</v>
      </c>
      <c r="I797" s="208">
        <v>9.25</v>
      </c>
      <c r="J797" s="211"/>
      <c r="K797" s="209">
        <v>0</v>
      </c>
      <c r="L797" s="212"/>
      <c r="M797" s="212" t="e">
        <f>VLOOKUP(Table12[[#This Row],[ROUTE]],DEMAND!A:F,5,FALSE)</f>
        <v>#N/A</v>
      </c>
      <c r="N797" s="212" t="e">
        <f>VLOOKUP(Table12[[#This Row],[ROUTE]],DEMAND!A:F,6,FALSE)</f>
        <v>#N/A</v>
      </c>
      <c r="O797" s="212" t="e">
        <f>ROUNDDOWN(Table12[[#This Row],[R-DEMAND]]/1320,0)</f>
        <v>#N/A</v>
      </c>
      <c r="P797" s="212" t="e">
        <f>Table12[[#This Row],[ADD ACC]]*Table12[[#This Row],[RT TIME 
(777-500ER)]]</f>
        <v>#N/A</v>
      </c>
    </row>
    <row r="798" spans="1:16" ht="15.75" customHeight="1" x14ac:dyDescent="0.25">
      <c r="A798" s="212" t="s">
        <v>14917</v>
      </c>
      <c r="B798" s="212" t="s">
        <v>1935</v>
      </c>
      <c r="C798" s="212"/>
      <c r="D798" s="226">
        <v>1</v>
      </c>
      <c r="E798" s="212" t="s">
        <v>700</v>
      </c>
      <c r="F798" s="212" t="s">
        <v>12670</v>
      </c>
      <c r="G798" s="227" t="s">
        <v>11846</v>
      </c>
      <c r="H798" s="228">
        <v>1746</v>
      </c>
      <c r="I798" s="208">
        <v>6</v>
      </c>
      <c r="J798" s="211"/>
      <c r="K798" s="209">
        <v>0</v>
      </c>
      <c r="L798" s="212"/>
      <c r="M798" s="212" t="e">
        <f>VLOOKUP(Table12[[#This Row],[ROUTE]],DEMAND!A:F,5,FALSE)</f>
        <v>#N/A</v>
      </c>
      <c r="N798" s="212" t="e">
        <f>VLOOKUP(Table12[[#This Row],[ROUTE]],DEMAND!A:F,6,FALSE)</f>
        <v>#N/A</v>
      </c>
      <c r="O798" s="212" t="e">
        <f>ROUNDDOWN(Table12[[#This Row],[R-DEMAND]]/1320,0)</f>
        <v>#N/A</v>
      </c>
      <c r="P798" s="212" t="e">
        <f>Table12[[#This Row],[ADD ACC]]*Table12[[#This Row],[RT TIME 
(777-500ER)]]</f>
        <v>#N/A</v>
      </c>
    </row>
    <row r="799" spans="1:16" ht="15.75" customHeight="1" x14ac:dyDescent="0.25">
      <c r="A799" s="212" t="s">
        <v>14602</v>
      </c>
      <c r="B799" s="212" t="s">
        <v>3388</v>
      </c>
      <c r="C799" s="212"/>
      <c r="D799" s="226">
        <v>3</v>
      </c>
      <c r="E799" s="212" t="s">
        <v>733</v>
      </c>
      <c r="F799" s="212" t="s">
        <v>12674</v>
      </c>
      <c r="G799" s="227" t="s">
        <v>13245</v>
      </c>
      <c r="H799" s="228">
        <v>5046</v>
      </c>
      <c r="I799" s="208">
        <v>13.5</v>
      </c>
      <c r="J799" s="211"/>
      <c r="K799" s="209">
        <v>0</v>
      </c>
      <c r="L799" s="212"/>
      <c r="M799" s="212" t="e">
        <f>VLOOKUP(Table12[[#This Row],[ROUTE]],DEMAND!A:F,5,FALSE)</f>
        <v>#N/A</v>
      </c>
      <c r="N799" s="212" t="e">
        <f>VLOOKUP(Table12[[#This Row],[ROUTE]],DEMAND!A:F,6,FALSE)</f>
        <v>#N/A</v>
      </c>
      <c r="O799" s="212" t="e">
        <f>ROUNDDOWN(Table12[[#This Row],[R-DEMAND]]/1320,0)</f>
        <v>#N/A</v>
      </c>
      <c r="P799" s="212" t="e">
        <f>Table12[[#This Row],[ADD ACC]]*Table12[[#This Row],[RT TIME 
(777-500ER)]]</f>
        <v>#N/A</v>
      </c>
    </row>
    <row r="800" spans="1:16" ht="15.75" customHeight="1" x14ac:dyDescent="0.25">
      <c r="A800" s="212" t="s">
        <v>14833</v>
      </c>
      <c r="B800" s="212" t="s">
        <v>61</v>
      </c>
      <c r="C800" s="212"/>
      <c r="D800" s="226">
        <v>2</v>
      </c>
      <c r="E800" s="212" t="s">
        <v>709</v>
      </c>
      <c r="F800" s="212" t="s">
        <v>12670</v>
      </c>
      <c r="G800" s="227" t="s">
        <v>12111</v>
      </c>
      <c r="H800" s="228">
        <v>7972</v>
      </c>
      <c r="I800" s="208">
        <v>20</v>
      </c>
      <c r="J800" s="211"/>
      <c r="K800" s="209">
        <v>0</v>
      </c>
      <c r="L800" s="212"/>
      <c r="M800" s="212" t="e">
        <f>VLOOKUP(Table12[[#This Row],[ROUTE]],DEMAND!A:F,5,FALSE)</f>
        <v>#N/A</v>
      </c>
      <c r="N800" s="212" t="e">
        <f>VLOOKUP(Table12[[#This Row],[ROUTE]],DEMAND!A:F,6,FALSE)</f>
        <v>#N/A</v>
      </c>
      <c r="O800" s="212" t="e">
        <f>ROUNDDOWN(Table12[[#This Row],[R-DEMAND]]/1320,0)</f>
        <v>#N/A</v>
      </c>
      <c r="P800" s="212" t="e">
        <f>Table12[[#This Row],[ADD ACC]]*Table12[[#This Row],[RT TIME 
(777-500ER)]]</f>
        <v>#N/A</v>
      </c>
    </row>
    <row r="801" spans="1:16" ht="15.75" customHeight="1" x14ac:dyDescent="0.25">
      <c r="A801" s="212" t="s">
        <v>14979</v>
      </c>
      <c r="B801" s="212" t="s">
        <v>820</v>
      </c>
      <c r="C801" s="212"/>
      <c r="D801" s="226">
        <v>1</v>
      </c>
      <c r="E801" s="212" t="s">
        <v>493</v>
      </c>
      <c r="F801" s="212" t="s">
        <v>12671</v>
      </c>
      <c r="G801" s="227" t="s">
        <v>11730</v>
      </c>
      <c r="H801" s="228">
        <v>3493</v>
      </c>
      <c r="I801" s="208">
        <v>10</v>
      </c>
      <c r="J801" s="211"/>
      <c r="K801" s="209">
        <v>0</v>
      </c>
      <c r="L801" s="212"/>
      <c r="M801" s="212" t="e">
        <f>VLOOKUP(Table12[[#This Row],[ROUTE]],DEMAND!A:F,5,FALSE)</f>
        <v>#N/A</v>
      </c>
      <c r="N801" s="212" t="e">
        <f>VLOOKUP(Table12[[#This Row],[ROUTE]],DEMAND!A:F,6,FALSE)</f>
        <v>#N/A</v>
      </c>
      <c r="O801" s="212" t="e">
        <f>ROUNDDOWN(Table12[[#This Row],[R-DEMAND]]/1320,0)</f>
        <v>#N/A</v>
      </c>
      <c r="P801" s="212" t="e">
        <f>Table12[[#This Row],[ADD ACC]]*Table12[[#This Row],[RT TIME 
(777-500ER)]]</f>
        <v>#N/A</v>
      </c>
    </row>
    <row r="802" spans="1:16" ht="15.75" customHeight="1" x14ac:dyDescent="0.25">
      <c r="A802" s="212" t="s">
        <v>14717</v>
      </c>
      <c r="B802" s="212" t="s">
        <v>1463</v>
      </c>
      <c r="C802" s="212"/>
      <c r="D802" s="226">
        <v>1</v>
      </c>
      <c r="E802" s="212" t="s">
        <v>14</v>
      </c>
      <c r="F802" s="212" t="s">
        <v>12670</v>
      </c>
      <c r="G802" s="227" t="s">
        <v>12043</v>
      </c>
      <c r="H802" s="228">
        <v>5564</v>
      </c>
      <c r="I802" s="208">
        <v>14.5</v>
      </c>
      <c r="J802" s="211"/>
      <c r="K802" s="209">
        <v>0</v>
      </c>
      <c r="L802" s="212"/>
      <c r="M802" s="212" t="e">
        <f>VLOOKUP(Table12[[#This Row],[ROUTE]],DEMAND!A:F,5,FALSE)</f>
        <v>#N/A</v>
      </c>
      <c r="N802" s="212" t="e">
        <f>VLOOKUP(Table12[[#This Row],[ROUTE]],DEMAND!A:F,6,FALSE)</f>
        <v>#N/A</v>
      </c>
      <c r="O802" s="212" t="e">
        <f>ROUNDDOWN(Table12[[#This Row],[R-DEMAND]]/1320,0)</f>
        <v>#N/A</v>
      </c>
      <c r="P802" s="212" t="e">
        <f>Table12[[#This Row],[ADD ACC]]*Table12[[#This Row],[RT TIME 
(777-500ER)]]</f>
        <v>#N/A</v>
      </c>
    </row>
    <row r="803" spans="1:16" ht="15.75" customHeight="1" x14ac:dyDescent="0.25">
      <c r="A803" s="212" t="s">
        <v>14978</v>
      </c>
      <c r="B803" s="212" t="s">
        <v>527</v>
      </c>
      <c r="C803" s="212"/>
      <c r="D803" s="226">
        <v>1</v>
      </c>
      <c r="E803" s="212" t="s">
        <v>493</v>
      </c>
      <c r="F803" s="212" t="s">
        <v>12671</v>
      </c>
      <c r="G803" s="227" t="s">
        <v>11710</v>
      </c>
      <c r="H803" s="228">
        <v>3551</v>
      </c>
      <c r="I803" s="208">
        <v>10</v>
      </c>
      <c r="J803" s="211"/>
      <c r="K803" s="209">
        <v>0</v>
      </c>
      <c r="L803" s="212"/>
      <c r="M803" s="212" t="e">
        <f>VLOOKUP(Table12[[#This Row],[ROUTE]],DEMAND!A:F,5,FALSE)</f>
        <v>#N/A</v>
      </c>
      <c r="N803" s="212" t="e">
        <f>VLOOKUP(Table12[[#This Row],[ROUTE]],DEMAND!A:F,6,FALSE)</f>
        <v>#N/A</v>
      </c>
      <c r="O803" s="212" t="e">
        <f>ROUNDDOWN(Table12[[#This Row],[R-DEMAND]]/1320,0)</f>
        <v>#N/A</v>
      </c>
      <c r="P803" s="212" t="e">
        <f>Table12[[#This Row],[ADD ACC]]*Table12[[#This Row],[RT TIME 
(777-500ER)]]</f>
        <v>#N/A</v>
      </c>
    </row>
    <row r="804" spans="1:16" ht="15.75" customHeight="1" x14ac:dyDescent="0.25">
      <c r="A804" s="212" t="s">
        <v>14880</v>
      </c>
      <c r="B804" s="212" t="s">
        <v>3931</v>
      </c>
      <c r="C804" s="212"/>
      <c r="D804" s="226">
        <v>2</v>
      </c>
      <c r="E804" s="212" t="s">
        <v>172</v>
      </c>
      <c r="F804" s="212" t="s">
        <v>12670</v>
      </c>
      <c r="G804" s="227" t="s">
        <v>7147</v>
      </c>
      <c r="H804" s="228">
        <v>3779</v>
      </c>
      <c r="I804" s="208">
        <v>10.5</v>
      </c>
      <c r="J804" s="211"/>
      <c r="K804" s="209">
        <v>0</v>
      </c>
      <c r="L804" s="212"/>
      <c r="M804" s="212" t="e">
        <f>VLOOKUP(Table12[[#This Row],[ROUTE]],DEMAND!A:F,5,FALSE)</f>
        <v>#N/A</v>
      </c>
      <c r="N804" s="212" t="e">
        <f>VLOOKUP(Table12[[#This Row],[ROUTE]],DEMAND!A:F,6,FALSE)</f>
        <v>#N/A</v>
      </c>
      <c r="O804" s="212" t="e">
        <f>ROUNDDOWN(Table12[[#This Row],[R-DEMAND]]/1320,0)</f>
        <v>#N/A</v>
      </c>
      <c r="P804" s="212" t="e">
        <f>Table12[[#This Row],[ADD ACC]]*Table12[[#This Row],[RT TIME 
(777-500ER)]]</f>
        <v>#N/A</v>
      </c>
    </row>
    <row r="805" spans="1:16" ht="15.75" customHeight="1" x14ac:dyDescent="0.25">
      <c r="A805" s="212" t="s">
        <v>14995</v>
      </c>
      <c r="B805" s="212" t="s">
        <v>2103</v>
      </c>
      <c r="C805" s="212"/>
      <c r="D805" s="226">
        <v>1</v>
      </c>
      <c r="E805" s="212" t="s">
        <v>493</v>
      </c>
      <c r="F805" s="212" t="s">
        <v>12671</v>
      </c>
      <c r="G805" s="227" t="s">
        <v>7142</v>
      </c>
      <c r="H805" s="228">
        <v>4782</v>
      </c>
      <c r="I805" s="208">
        <v>12.75</v>
      </c>
      <c r="J805" s="211"/>
      <c r="K805" s="209">
        <v>0</v>
      </c>
      <c r="L805" s="212"/>
      <c r="M805" s="212" t="e">
        <f>VLOOKUP(Table12[[#This Row],[ROUTE]],DEMAND!A:F,5,FALSE)</f>
        <v>#N/A</v>
      </c>
      <c r="N805" s="212" t="e">
        <f>VLOOKUP(Table12[[#This Row],[ROUTE]],DEMAND!A:F,6,FALSE)</f>
        <v>#N/A</v>
      </c>
      <c r="O805" s="212" t="e">
        <f>ROUNDDOWN(Table12[[#This Row],[R-DEMAND]]/1320,0)</f>
        <v>#N/A</v>
      </c>
      <c r="P805" s="212" t="e">
        <f>Table12[[#This Row],[ADD ACC]]*Table12[[#This Row],[RT TIME 
(777-500ER)]]</f>
        <v>#N/A</v>
      </c>
    </row>
    <row r="806" spans="1:16" ht="15.75" customHeight="1" x14ac:dyDescent="0.25">
      <c r="A806" s="212" t="s">
        <v>14235</v>
      </c>
      <c r="B806" s="212" t="s">
        <v>3251</v>
      </c>
      <c r="C806" s="212"/>
      <c r="D806" s="226">
        <v>2</v>
      </c>
      <c r="E806" s="212" t="s">
        <v>1144</v>
      </c>
      <c r="F806" s="212" t="s">
        <v>12694</v>
      </c>
      <c r="G806" s="227" t="s">
        <v>13152</v>
      </c>
      <c r="H806" s="228">
        <v>12756</v>
      </c>
      <c r="I806" s="208">
        <v>30.75</v>
      </c>
      <c r="J806" s="211"/>
      <c r="K806" s="209">
        <v>0</v>
      </c>
      <c r="L806" s="212"/>
      <c r="M806" s="212" t="e">
        <f>VLOOKUP(Table12[[#This Row],[ROUTE]],DEMAND!A:F,5,FALSE)</f>
        <v>#N/A</v>
      </c>
      <c r="N806" s="212" t="e">
        <f>VLOOKUP(Table12[[#This Row],[ROUTE]],DEMAND!A:F,6,FALSE)</f>
        <v>#N/A</v>
      </c>
      <c r="O806" s="212" t="e">
        <f>ROUNDDOWN(Table12[[#This Row],[R-DEMAND]]/1320,0)</f>
        <v>#N/A</v>
      </c>
      <c r="P806" s="212" t="e">
        <f>Table12[[#This Row],[ADD ACC]]*Table12[[#This Row],[RT TIME 
(777-500ER)]]</f>
        <v>#N/A</v>
      </c>
    </row>
    <row r="807" spans="1:16" ht="15.75" customHeight="1" x14ac:dyDescent="0.25">
      <c r="A807" s="212" t="s">
        <v>14622</v>
      </c>
      <c r="B807" s="212" t="s">
        <v>4510</v>
      </c>
      <c r="C807" s="212"/>
      <c r="D807" s="226">
        <v>2</v>
      </c>
      <c r="E807" s="212" t="s">
        <v>78</v>
      </c>
      <c r="F807" s="212" t="s">
        <v>12674</v>
      </c>
      <c r="G807" s="227" t="s">
        <v>11919</v>
      </c>
      <c r="H807" s="228">
        <v>1691</v>
      </c>
      <c r="I807" s="208">
        <v>6</v>
      </c>
      <c r="J807" s="211"/>
      <c r="K807" s="209">
        <v>0</v>
      </c>
      <c r="L807" s="212"/>
      <c r="M807" s="212" t="e">
        <f>VLOOKUP(Table12[[#This Row],[ROUTE]],DEMAND!A:F,5,FALSE)</f>
        <v>#N/A</v>
      </c>
      <c r="N807" s="212" t="e">
        <f>VLOOKUP(Table12[[#This Row],[ROUTE]],DEMAND!A:F,6,FALSE)</f>
        <v>#N/A</v>
      </c>
      <c r="O807" s="212" t="e">
        <f>ROUNDDOWN(Table12[[#This Row],[R-DEMAND]]/1320,0)</f>
        <v>#N/A</v>
      </c>
      <c r="P807" s="212" t="e">
        <f>Table12[[#This Row],[ADD ACC]]*Table12[[#This Row],[RT TIME 
(777-500ER)]]</f>
        <v>#N/A</v>
      </c>
    </row>
    <row r="808" spans="1:16" ht="15.75" customHeight="1" x14ac:dyDescent="0.25">
      <c r="A808" s="212" t="s">
        <v>14506</v>
      </c>
      <c r="B808" s="212" t="s">
        <v>4930</v>
      </c>
      <c r="C808" s="212"/>
      <c r="D808" s="226">
        <v>3</v>
      </c>
      <c r="E808" s="212" t="s">
        <v>520</v>
      </c>
      <c r="F808" s="212" t="s">
        <v>12674</v>
      </c>
      <c r="G808" s="227" t="s">
        <v>11818</v>
      </c>
      <c r="H808" s="212">
        <v>900</v>
      </c>
      <c r="I808" s="208">
        <v>4.25</v>
      </c>
      <c r="J808" s="211"/>
      <c r="K808" s="209">
        <v>0</v>
      </c>
      <c r="L808" s="212"/>
      <c r="M808" s="212" t="e">
        <f>VLOOKUP(Table12[[#This Row],[ROUTE]],DEMAND!A:F,5,FALSE)</f>
        <v>#N/A</v>
      </c>
      <c r="N808" s="212" t="e">
        <f>VLOOKUP(Table12[[#This Row],[ROUTE]],DEMAND!A:F,6,FALSE)</f>
        <v>#N/A</v>
      </c>
      <c r="O808" s="212" t="e">
        <f>ROUNDDOWN(Table12[[#This Row],[R-DEMAND]]/1320,0)</f>
        <v>#N/A</v>
      </c>
      <c r="P808" s="212" t="e">
        <f>Table12[[#This Row],[ADD ACC]]*Table12[[#This Row],[RT TIME 
(777-500ER)]]</f>
        <v>#N/A</v>
      </c>
    </row>
    <row r="809" spans="1:16" ht="15.75" customHeight="1" x14ac:dyDescent="0.25">
      <c r="A809" s="212" t="s">
        <v>14994</v>
      </c>
      <c r="B809" s="212" t="s">
        <v>2946</v>
      </c>
      <c r="C809" s="212"/>
      <c r="D809" s="226">
        <v>2</v>
      </c>
      <c r="E809" s="212" t="s">
        <v>493</v>
      </c>
      <c r="F809" s="212" t="s">
        <v>12671</v>
      </c>
      <c r="G809" s="227" t="s">
        <v>11727</v>
      </c>
      <c r="H809" s="228">
        <v>4501</v>
      </c>
      <c r="I809" s="208">
        <v>12.25</v>
      </c>
      <c r="J809" s="211"/>
      <c r="K809" s="209">
        <v>0</v>
      </c>
      <c r="L809" s="212"/>
      <c r="M809" s="212" t="e">
        <f>VLOOKUP(Table12[[#This Row],[ROUTE]],DEMAND!A:F,5,FALSE)</f>
        <v>#N/A</v>
      </c>
      <c r="N809" s="212" t="e">
        <f>VLOOKUP(Table12[[#This Row],[ROUTE]],DEMAND!A:F,6,FALSE)</f>
        <v>#N/A</v>
      </c>
      <c r="O809" s="212" t="e">
        <f>ROUNDDOWN(Table12[[#This Row],[R-DEMAND]]/1320,0)</f>
        <v>#N/A</v>
      </c>
      <c r="P809" s="212" t="e">
        <f>Table12[[#This Row],[ADD ACC]]*Table12[[#This Row],[RT TIME 
(777-500ER)]]</f>
        <v>#N/A</v>
      </c>
    </row>
    <row r="810" spans="1:16" ht="15.75" customHeight="1" x14ac:dyDescent="0.25">
      <c r="A810" s="212" t="s">
        <v>14992</v>
      </c>
      <c r="B810" s="212" t="s">
        <v>673</v>
      </c>
      <c r="C810" s="212"/>
      <c r="D810" s="226">
        <v>1</v>
      </c>
      <c r="E810" s="212" t="s">
        <v>493</v>
      </c>
      <c r="F810" s="212" t="s">
        <v>12671</v>
      </c>
      <c r="G810" s="227" t="s">
        <v>7071</v>
      </c>
      <c r="H810" s="228">
        <v>4159</v>
      </c>
      <c r="I810" s="208">
        <v>11.5</v>
      </c>
      <c r="J810" s="211"/>
      <c r="K810" s="209">
        <v>0</v>
      </c>
      <c r="L810" s="212"/>
      <c r="M810" s="212" t="e">
        <f>VLOOKUP(Table12[[#This Row],[ROUTE]],DEMAND!A:F,5,FALSE)</f>
        <v>#N/A</v>
      </c>
      <c r="N810" s="212" t="e">
        <f>VLOOKUP(Table12[[#This Row],[ROUTE]],DEMAND!A:F,6,FALSE)</f>
        <v>#N/A</v>
      </c>
      <c r="O810" s="212" t="e">
        <f>ROUNDDOWN(Table12[[#This Row],[R-DEMAND]]/1320,0)</f>
        <v>#N/A</v>
      </c>
      <c r="P810" s="212" t="e">
        <f>Table12[[#This Row],[ADD ACC]]*Table12[[#This Row],[RT TIME 
(777-500ER)]]</f>
        <v>#N/A</v>
      </c>
    </row>
    <row r="811" spans="1:16" ht="15.75" customHeight="1" x14ac:dyDescent="0.25">
      <c r="A811" s="212" t="s">
        <v>15045</v>
      </c>
      <c r="B811" s="212" t="s">
        <v>50</v>
      </c>
      <c r="C811" s="212"/>
      <c r="D811" s="226">
        <v>2</v>
      </c>
      <c r="E811" s="212" t="s">
        <v>608</v>
      </c>
      <c r="F811" s="212" t="s">
        <v>12671</v>
      </c>
      <c r="G811" s="227" t="s">
        <v>11682</v>
      </c>
      <c r="H811" s="228">
        <v>3958</v>
      </c>
      <c r="I811" s="208">
        <v>11</v>
      </c>
      <c r="J811" s="211"/>
      <c r="K811" s="209">
        <v>0</v>
      </c>
      <c r="L811" s="212"/>
      <c r="M811" s="212" t="e">
        <f>VLOOKUP(Table12[[#This Row],[ROUTE]],DEMAND!A:F,5,FALSE)</f>
        <v>#N/A</v>
      </c>
      <c r="N811" s="212" t="e">
        <f>VLOOKUP(Table12[[#This Row],[ROUTE]],DEMAND!A:F,6,FALSE)</f>
        <v>#N/A</v>
      </c>
      <c r="O811" s="212" t="e">
        <f>ROUNDDOWN(Table12[[#This Row],[R-DEMAND]]/1320,0)</f>
        <v>#N/A</v>
      </c>
      <c r="P811" s="212" t="e">
        <f>Table12[[#This Row],[ADD ACC]]*Table12[[#This Row],[RT TIME 
(777-500ER)]]</f>
        <v>#N/A</v>
      </c>
    </row>
    <row r="812" spans="1:16" ht="15.75" customHeight="1" x14ac:dyDescent="0.25">
      <c r="A812" s="212" t="s">
        <v>15039</v>
      </c>
      <c r="B812" s="212" t="s">
        <v>4211</v>
      </c>
      <c r="C812" s="212"/>
      <c r="D812" s="226">
        <v>2</v>
      </c>
      <c r="E812" s="212" t="s">
        <v>938</v>
      </c>
      <c r="F812" s="212" t="s">
        <v>12671</v>
      </c>
      <c r="G812" s="227" t="s">
        <v>11975</v>
      </c>
      <c r="H812" s="228">
        <v>8303</v>
      </c>
      <c r="I812" s="208">
        <v>20.75</v>
      </c>
      <c r="J812" s="211"/>
      <c r="K812" s="209">
        <v>0</v>
      </c>
      <c r="L812" s="212"/>
      <c r="M812" s="212" t="e">
        <f>VLOOKUP(Table12[[#This Row],[ROUTE]],DEMAND!A:F,5,FALSE)</f>
        <v>#N/A</v>
      </c>
      <c r="N812" s="212" t="e">
        <f>VLOOKUP(Table12[[#This Row],[ROUTE]],DEMAND!A:F,6,FALSE)</f>
        <v>#N/A</v>
      </c>
      <c r="O812" s="212" t="e">
        <f>ROUNDDOWN(Table12[[#This Row],[R-DEMAND]]/1320,0)</f>
        <v>#N/A</v>
      </c>
      <c r="P812" s="212" t="e">
        <f>Table12[[#This Row],[ADD ACC]]*Table12[[#This Row],[RT TIME 
(777-500ER)]]</f>
        <v>#N/A</v>
      </c>
    </row>
    <row r="813" spans="1:16" ht="15.75" customHeight="1" x14ac:dyDescent="0.25">
      <c r="A813" s="212" t="s">
        <v>15092</v>
      </c>
      <c r="B813" s="212" t="s">
        <v>2665</v>
      </c>
      <c r="C813" s="212"/>
      <c r="D813" s="226">
        <v>2</v>
      </c>
      <c r="E813" s="212" t="s">
        <v>971</v>
      </c>
      <c r="F813" s="212" t="s">
        <v>12671</v>
      </c>
      <c r="G813" s="227" t="s">
        <v>11748</v>
      </c>
      <c r="H813" s="228">
        <v>3307</v>
      </c>
      <c r="I813" s="208">
        <v>9.5</v>
      </c>
      <c r="J813" s="211"/>
      <c r="K813" s="209">
        <v>0</v>
      </c>
      <c r="L813" s="212"/>
      <c r="M813" s="212" t="e">
        <f>VLOOKUP(Table12[[#This Row],[ROUTE]],DEMAND!A:F,5,FALSE)</f>
        <v>#N/A</v>
      </c>
      <c r="N813" s="212" t="e">
        <f>VLOOKUP(Table12[[#This Row],[ROUTE]],DEMAND!A:F,6,FALSE)</f>
        <v>#N/A</v>
      </c>
      <c r="O813" s="212" t="e">
        <f>ROUNDDOWN(Table12[[#This Row],[R-DEMAND]]/1320,0)</f>
        <v>#N/A</v>
      </c>
      <c r="P813" s="212" t="e">
        <f>Table12[[#This Row],[ADD ACC]]*Table12[[#This Row],[RT TIME 
(777-500ER)]]</f>
        <v>#N/A</v>
      </c>
    </row>
    <row r="814" spans="1:16" ht="15.75" customHeight="1" x14ac:dyDescent="0.25">
      <c r="A814" s="212" t="s">
        <v>14305</v>
      </c>
      <c r="B814" s="212" t="s">
        <v>3223</v>
      </c>
      <c r="C814" s="212"/>
      <c r="D814" s="226" t="s">
        <v>15105</v>
      </c>
      <c r="E814" s="212" t="s">
        <v>647</v>
      </c>
      <c r="F814" s="212" t="s">
        <v>12688</v>
      </c>
      <c r="G814" s="227" t="s">
        <v>13320</v>
      </c>
      <c r="H814" s="228">
        <v>7913</v>
      </c>
      <c r="I814" s="208">
        <v>19.75</v>
      </c>
      <c r="J814" s="211"/>
      <c r="K814" s="209">
        <v>0</v>
      </c>
      <c r="L814" s="212"/>
      <c r="M814" s="212" t="e">
        <f>VLOOKUP(Table12[[#This Row],[ROUTE]],DEMAND!A:F,5,FALSE)</f>
        <v>#N/A</v>
      </c>
      <c r="N814" s="212" t="e">
        <f>VLOOKUP(Table12[[#This Row],[ROUTE]],DEMAND!A:F,6,FALSE)</f>
        <v>#N/A</v>
      </c>
      <c r="O814" s="212" t="e">
        <f>ROUNDDOWN(Table12[[#This Row],[R-DEMAND]]/1320,0)</f>
        <v>#N/A</v>
      </c>
      <c r="P814" s="212" t="e">
        <f>Table12[[#This Row],[ADD ACC]]*Table12[[#This Row],[RT TIME 
(777-500ER)]]</f>
        <v>#N/A</v>
      </c>
    </row>
    <row r="815" spans="1:16" ht="15.75" customHeight="1" x14ac:dyDescent="0.25">
      <c r="A815" s="212" t="s">
        <v>14588</v>
      </c>
      <c r="B815" s="212" t="s">
        <v>5234</v>
      </c>
      <c r="C815" s="212"/>
      <c r="D815" s="226">
        <v>3</v>
      </c>
      <c r="E815" s="212" t="s">
        <v>605</v>
      </c>
      <c r="F815" s="212" t="s">
        <v>12674</v>
      </c>
      <c r="G815" s="227" t="s">
        <v>11779</v>
      </c>
      <c r="H815" s="228">
        <v>1749</v>
      </c>
      <c r="I815" s="208">
        <v>6</v>
      </c>
      <c r="J815" s="211"/>
      <c r="K815" s="209">
        <v>0</v>
      </c>
      <c r="L815" s="212"/>
      <c r="M815" s="212" t="e">
        <f>VLOOKUP(Table12[[#This Row],[ROUTE]],DEMAND!A:F,5,FALSE)</f>
        <v>#N/A</v>
      </c>
      <c r="N815" s="212" t="e">
        <f>VLOOKUP(Table12[[#This Row],[ROUTE]],DEMAND!A:F,6,FALSE)</f>
        <v>#N/A</v>
      </c>
      <c r="O815" s="212" t="e">
        <f>ROUNDDOWN(Table12[[#This Row],[R-DEMAND]]/1320,0)</f>
        <v>#N/A</v>
      </c>
      <c r="P815" s="212" t="e">
        <f>Table12[[#This Row],[ADD ACC]]*Table12[[#This Row],[RT TIME 
(777-500ER)]]</f>
        <v>#N/A</v>
      </c>
    </row>
    <row r="816" spans="1:16" ht="15.75" customHeight="1" x14ac:dyDescent="0.25">
      <c r="A816" s="212" t="s">
        <v>14589</v>
      </c>
      <c r="B816" s="212" t="s">
        <v>4847</v>
      </c>
      <c r="C816" s="212"/>
      <c r="D816" s="226">
        <v>3</v>
      </c>
      <c r="E816" s="212" t="s">
        <v>605</v>
      </c>
      <c r="F816" s="212" t="s">
        <v>12674</v>
      </c>
      <c r="G816" s="227" t="s">
        <v>11771</v>
      </c>
      <c r="H816" s="228">
        <v>1700</v>
      </c>
      <c r="I816" s="208">
        <v>6</v>
      </c>
      <c r="J816" s="211"/>
      <c r="K816" s="209">
        <v>0</v>
      </c>
      <c r="L816" s="212"/>
      <c r="M816" s="212" t="e">
        <f>VLOOKUP(Table12[[#This Row],[ROUTE]],DEMAND!A:F,5,FALSE)</f>
        <v>#N/A</v>
      </c>
      <c r="N816" s="212" t="e">
        <f>VLOOKUP(Table12[[#This Row],[ROUTE]],DEMAND!A:F,6,FALSE)</f>
        <v>#N/A</v>
      </c>
      <c r="O816" s="212" t="e">
        <f>ROUNDDOWN(Table12[[#This Row],[R-DEMAND]]/1320,0)</f>
        <v>#N/A</v>
      </c>
      <c r="P816" s="212" t="e">
        <f>Table12[[#This Row],[ADD ACC]]*Table12[[#This Row],[RT TIME 
(777-500ER)]]</f>
        <v>#N/A</v>
      </c>
    </row>
    <row r="817" spans="1:16" ht="15.75" customHeight="1" x14ac:dyDescent="0.25">
      <c r="A817" s="212" t="s">
        <v>14565</v>
      </c>
      <c r="B817" s="212" t="s">
        <v>5236</v>
      </c>
      <c r="C817" s="212"/>
      <c r="D817" s="226">
        <v>3</v>
      </c>
      <c r="E817" s="212" t="s">
        <v>308</v>
      </c>
      <c r="F817" s="212" t="s">
        <v>12674</v>
      </c>
      <c r="G817" s="227" t="s">
        <v>11744</v>
      </c>
      <c r="H817" s="228">
        <v>2404</v>
      </c>
      <c r="I817" s="208">
        <v>7.5</v>
      </c>
      <c r="J817" s="211"/>
      <c r="K817" s="209">
        <v>0</v>
      </c>
      <c r="L817" s="212"/>
      <c r="M817" s="212" t="e">
        <f>VLOOKUP(Table12[[#This Row],[ROUTE]],DEMAND!A:F,5,FALSE)</f>
        <v>#N/A</v>
      </c>
      <c r="N817" s="212" t="e">
        <f>VLOOKUP(Table12[[#This Row],[ROUTE]],DEMAND!A:F,6,FALSE)</f>
        <v>#N/A</v>
      </c>
      <c r="O817" s="212" t="e">
        <f>ROUNDDOWN(Table12[[#This Row],[R-DEMAND]]/1320,0)</f>
        <v>#N/A</v>
      </c>
      <c r="P817" s="212" t="e">
        <f>Table12[[#This Row],[ADD ACC]]*Table12[[#This Row],[RT TIME 
(777-500ER)]]</f>
        <v>#N/A</v>
      </c>
    </row>
    <row r="818" spans="1:16" ht="15.75" customHeight="1" x14ac:dyDescent="0.25">
      <c r="A818" s="212" t="s">
        <v>14556</v>
      </c>
      <c r="B818" s="212" t="s">
        <v>4355</v>
      </c>
      <c r="C818" s="212"/>
      <c r="D818" s="226">
        <v>2</v>
      </c>
      <c r="E818" s="212" t="s">
        <v>308</v>
      </c>
      <c r="F818" s="212" t="s">
        <v>12674</v>
      </c>
      <c r="G818" s="227" t="s">
        <v>11788</v>
      </c>
      <c r="H818" s="228">
        <v>2012</v>
      </c>
      <c r="I818" s="208">
        <v>6.75</v>
      </c>
      <c r="J818" s="211"/>
      <c r="K818" s="209">
        <v>0</v>
      </c>
      <c r="L818" s="212"/>
      <c r="M818" s="212" t="e">
        <f>VLOOKUP(Table12[[#This Row],[ROUTE]],DEMAND!A:F,5,FALSE)</f>
        <v>#N/A</v>
      </c>
      <c r="N818" s="212" t="e">
        <f>VLOOKUP(Table12[[#This Row],[ROUTE]],DEMAND!A:F,6,FALSE)</f>
        <v>#N/A</v>
      </c>
      <c r="O818" s="212" t="e">
        <f>ROUNDDOWN(Table12[[#This Row],[R-DEMAND]]/1320,0)</f>
        <v>#N/A</v>
      </c>
      <c r="P818" s="212" t="e">
        <f>Table12[[#This Row],[ADD ACC]]*Table12[[#This Row],[RT TIME 
(777-500ER)]]</f>
        <v>#N/A</v>
      </c>
    </row>
    <row r="819" spans="1:16" ht="15.75" customHeight="1" x14ac:dyDescent="0.25">
      <c r="A819" s="212" t="s">
        <v>14574</v>
      </c>
      <c r="B819" s="212" t="s">
        <v>4677</v>
      </c>
      <c r="C819" s="212"/>
      <c r="D819" s="226">
        <v>2</v>
      </c>
      <c r="E819" s="212" t="s">
        <v>588</v>
      </c>
      <c r="F819" s="212" t="s">
        <v>12674</v>
      </c>
      <c r="G819" s="227" t="s">
        <v>11948</v>
      </c>
      <c r="H819" s="228">
        <v>2264</v>
      </c>
      <c r="I819" s="208">
        <v>7.25</v>
      </c>
      <c r="J819" s="211"/>
      <c r="K819" s="209">
        <v>0</v>
      </c>
      <c r="L819" s="212"/>
      <c r="M819" s="212" t="e">
        <f>VLOOKUP(Table12[[#This Row],[ROUTE]],DEMAND!A:F,5,FALSE)</f>
        <v>#N/A</v>
      </c>
      <c r="N819" s="212" t="e">
        <f>VLOOKUP(Table12[[#This Row],[ROUTE]],DEMAND!A:F,6,FALSE)</f>
        <v>#N/A</v>
      </c>
      <c r="O819" s="212" t="e">
        <f>ROUNDDOWN(Table12[[#This Row],[R-DEMAND]]/1320,0)</f>
        <v>#N/A</v>
      </c>
      <c r="P819" s="212" t="e">
        <f>Table12[[#This Row],[ADD ACC]]*Table12[[#This Row],[RT TIME 
(777-500ER)]]</f>
        <v>#N/A</v>
      </c>
    </row>
    <row r="820" spans="1:16" ht="15.75" customHeight="1" x14ac:dyDescent="0.25">
      <c r="A820" s="212" t="s">
        <v>14607</v>
      </c>
      <c r="B820" s="212" t="s">
        <v>4535</v>
      </c>
      <c r="C820" s="212"/>
      <c r="D820" s="226">
        <v>2</v>
      </c>
      <c r="E820" s="212" t="s">
        <v>1420</v>
      </c>
      <c r="F820" s="212" t="s">
        <v>12674</v>
      </c>
      <c r="G820" s="227" t="s">
        <v>11820</v>
      </c>
      <c r="H820" s="228">
        <v>1576</v>
      </c>
      <c r="I820" s="208">
        <v>5.75</v>
      </c>
      <c r="J820" s="211"/>
      <c r="K820" s="209">
        <v>0</v>
      </c>
      <c r="L820" s="212"/>
      <c r="M820" s="212" t="e">
        <f>VLOOKUP(Table12[[#This Row],[ROUTE]],DEMAND!A:F,5,FALSE)</f>
        <v>#N/A</v>
      </c>
      <c r="N820" s="212" t="e">
        <f>VLOOKUP(Table12[[#This Row],[ROUTE]],DEMAND!A:F,6,FALSE)</f>
        <v>#N/A</v>
      </c>
      <c r="O820" s="212" t="e">
        <f>ROUNDDOWN(Table12[[#This Row],[R-DEMAND]]/1320,0)</f>
        <v>#N/A</v>
      </c>
      <c r="P820" s="212" t="e">
        <f>Table12[[#This Row],[ADD ACC]]*Table12[[#This Row],[RT TIME 
(777-500ER)]]</f>
        <v>#N/A</v>
      </c>
    </row>
    <row r="821" spans="1:16" ht="15.75" customHeight="1" x14ac:dyDescent="0.25">
      <c r="A821" s="212" t="s">
        <v>14221</v>
      </c>
      <c r="B821" s="212" t="s">
        <v>3636</v>
      </c>
      <c r="C821" s="212"/>
      <c r="D821" s="226">
        <v>2</v>
      </c>
      <c r="E821" s="212" t="s">
        <v>505</v>
      </c>
      <c r="F821" s="212" t="s">
        <v>12694</v>
      </c>
      <c r="G821" s="227" t="s">
        <v>13139</v>
      </c>
      <c r="H821" s="228">
        <v>13242</v>
      </c>
      <c r="I821" s="208">
        <v>31.75</v>
      </c>
      <c r="J821" s="211"/>
      <c r="K821" s="209">
        <v>0</v>
      </c>
      <c r="L821" s="212"/>
      <c r="M821" s="212" t="e">
        <f>VLOOKUP(Table12[[#This Row],[ROUTE]],DEMAND!A:F,5,FALSE)</f>
        <v>#N/A</v>
      </c>
      <c r="N821" s="212" t="e">
        <f>VLOOKUP(Table12[[#This Row],[ROUTE]],DEMAND!A:F,6,FALSE)</f>
        <v>#N/A</v>
      </c>
      <c r="O821" s="212" t="e">
        <f>ROUNDDOWN(Table12[[#This Row],[R-DEMAND]]/1320,0)</f>
        <v>#N/A</v>
      </c>
      <c r="P821" s="212" t="e">
        <f>Table12[[#This Row],[ADD ACC]]*Table12[[#This Row],[RT TIME 
(777-500ER)]]</f>
        <v>#N/A</v>
      </c>
    </row>
    <row r="822" spans="1:16" ht="15.75" customHeight="1" x14ac:dyDescent="0.25">
      <c r="A822" s="212" t="s">
        <v>14863</v>
      </c>
      <c r="B822" s="212" t="s">
        <v>1820</v>
      </c>
      <c r="C822" s="212"/>
      <c r="D822" s="226">
        <v>1</v>
      </c>
      <c r="E822" s="212" t="s">
        <v>172</v>
      </c>
      <c r="F822" s="212" t="s">
        <v>12670</v>
      </c>
      <c r="G822" s="227" t="s">
        <v>6966</v>
      </c>
      <c r="H822" s="228">
        <v>2638</v>
      </c>
      <c r="I822" s="208">
        <v>8</v>
      </c>
      <c r="J822" s="211"/>
      <c r="K822" s="209">
        <v>0</v>
      </c>
      <c r="L822" s="212"/>
      <c r="M822" s="212" t="e">
        <f>VLOOKUP(Table12[[#This Row],[ROUTE]],DEMAND!A:F,5,FALSE)</f>
        <v>#N/A</v>
      </c>
      <c r="N822" s="212" t="e">
        <f>VLOOKUP(Table12[[#This Row],[ROUTE]],DEMAND!A:F,6,FALSE)</f>
        <v>#N/A</v>
      </c>
      <c r="O822" s="212" t="e">
        <f>ROUNDDOWN(Table12[[#This Row],[R-DEMAND]]/1320,0)</f>
        <v>#N/A</v>
      </c>
      <c r="P822" s="212" t="e">
        <f>Table12[[#This Row],[ADD ACC]]*Table12[[#This Row],[RT TIME 
(777-500ER)]]</f>
        <v>#N/A</v>
      </c>
    </row>
    <row r="823" spans="1:16" ht="15.75" customHeight="1" x14ac:dyDescent="0.25">
      <c r="A823" s="212" t="s">
        <v>14361</v>
      </c>
      <c r="B823" s="212" t="s">
        <v>5139</v>
      </c>
      <c r="C823" s="212"/>
      <c r="D823" s="226" t="s">
        <v>15106</v>
      </c>
      <c r="E823" s="212" t="s">
        <v>647</v>
      </c>
      <c r="F823" s="212" t="s">
        <v>12688</v>
      </c>
      <c r="G823" s="227" t="s">
        <v>13311</v>
      </c>
      <c r="H823" s="228">
        <v>8927</v>
      </c>
      <c r="I823" s="208">
        <v>22.25</v>
      </c>
      <c r="J823" s="211"/>
      <c r="K823" s="209">
        <v>0</v>
      </c>
      <c r="L823" s="212"/>
      <c r="M823" s="212" t="e">
        <f>VLOOKUP(Table12[[#This Row],[ROUTE]],DEMAND!A:F,5,FALSE)</f>
        <v>#N/A</v>
      </c>
      <c r="N823" s="212" t="e">
        <f>VLOOKUP(Table12[[#This Row],[ROUTE]],DEMAND!A:F,6,FALSE)</f>
        <v>#N/A</v>
      </c>
      <c r="O823" s="212" t="e">
        <f>ROUNDDOWN(Table12[[#This Row],[R-DEMAND]]/1320,0)</f>
        <v>#N/A</v>
      </c>
      <c r="P823" s="212" t="e">
        <f>Table12[[#This Row],[ADD ACC]]*Table12[[#This Row],[RT TIME 
(777-500ER)]]</f>
        <v>#N/A</v>
      </c>
    </row>
    <row r="824" spans="1:16" ht="15.75" customHeight="1" x14ac:dyDescent="0.25">
      <c r="A824" s="212" t="s">
        <v>14408</v>
      </c>
      <c r="B824" s="212" t="s">
        <v>5244</v>
      </c>
      <c r="C824" s="212"/>
      <c r="D824" s="226" t="s">
        <v>15106</v>
      </c>
      <c r="E824" s="212" t="s">
        <v>647</v>
      </c>
      <c r="F824" s="212" t="s">
        <v>12688</v>
      </c>
      <c r="G824" s="227" t="s">
        <v>13289</v>
      </c>
      <c r="H824" s="228">
        <v>9843</v>
      </c>
      <c r="I824" s="208">
        <v>24.25</v>
      </c>
      <c r="J824" s="211"/>
      <c r="K824" s="209">
        <v>0</v>
      </c>
      <c r="L824" s="212"/>
      <c r="M824" s="212" t="e">
        <f>VLOOKUP(Table12[[#This Row],[ROUTE]],DEMAND!A:F,5,FALSE)</f>
        <v>#N/A</v>
      </c>
      <c r="N824" s="212" t="e">
        <f>VLOOKUP(Table12[[#This Row],[ROUTE]],DEMAND!A:F,6,FALSE)</f>
        <v>#N/A</v>
      </c>
      <c r="O824" s="212" t="e">
        <f>ROUNDDOWN(Table12[[#This Row],[R-DEMAND]]/1320,0)</f>
        <v>#N/A</v>
      </c>
      <c r="P824" s="212" t="e">
        <f>Table12[[#This Row],[ADD ACC]]*Table12[[#This Row],[RT TIME 
(777-500ER)]]</f>
        <v>#N/A</v>
      </c>
    </row>
    <row r="825" spans="1:16" ht="15.75" customHeight="1" x14ac:dyDescent="0.25">
      <c r="A825" s="212" t="s">
        <v>14868</v>
      </c>
      <c r="B825" s="212" t="s">
        <v>4245</v>
      </c>
      <c r="C825" s="212"/>
      <c r="D825" s="226">
        <v>2</v>
      </c>
      <c r="E825" s="212" t="s">
        <v>172</v>
      </c>
      <c r="F825" s="212" t="s">
        <v>12670</v>
      </c>
      <c r="G825" s="227" t="s">
        <v>6951</v>
      </c>
      <c r="H825" s="228">
        <v>3009</v>
      </c>
      <c r="I825" s="208">
        <v>8.75</v>
      </c>
      <c r="J825" s="211"/>
      <c r="K825" s="209">
        <v>0</v>
      </c>
      <c r="L825" s="212"/>
      <c r="M825" s="212" t="e">
        <f>VLOOKUP(Table12[[#This Row],[ROUTE]],DEMAND!A:F,5,FALSE)</f>
        <v>#N/A</v>
      </c>
      <c r="N825" s="212" t="e">
        <f>VLOOKUP(Table12[[#This Row],[ROUTE]],DEMAND!A:F,6,FALSE)</f>
        <v>#N/A</v>
      </c>
      <c r="O825" s="212" t="e">
        <f>ROUNDDOWN(Table12[[#This Row],[R-DEMAND]]/1320,0)</f>
        <v>#N/A</v>
      </c>
      <c r="P825" s="212" t="e">
        <f>Table12[[#This Row],[ADD ACC]]*Table12[[#This Row],[RT TIME 
(777-500ER)]]</f>
        <v>#N/A</v>
      </c>
    </row>
    <row r="826" spans="1:16" ht="15.75" customHeight="1" x14ac:dyDescent="0.25">
      <c r="A826" s="212" t="s">
        <v>14614</v>
      </c>
      <c r="B826" s="212" t="s">
        <v>4685</v>
      </c>
      <c r="C826" s="212"/>
      <c r="D826" s="226">
        <v>2</v>
      </c>
      <c r="E826" s="212" t="s">
        <v>78</v>
      </c>
      <c r="F826" s="212" t="s">
        <v>12674</v>
      </c>
      <c r="G826" s="227" t="s">
        <v>6880</v>
      </c>
      <c r="H826" s="228">
        <v>1147</v>
      </c>
      <c r="I826" s="208">
        <v>4.75</v>
      </c>
      <c r="J826" s="211"/>
      <c r="K826" s="209">
        <v>0</v>
      </c>
      <c r="L826" s="212"/>
      <c r="M826" s="212" t="e">
        <f>VLOOKUP(Table12[[#This Row],[ROUTE]],DEMAND!A:F,5,FALSE)</f>
        <v>#N/A</v>
      </c>
      <c r="N826" s="212" t="e">
        <f>VLOOKUP(Table12[[#This Row],[ROUTE]],DEMAND!A:F,6,FALSE)</f>
        <v>#N/A</v>
      </c>
      <c r="O826" s="212" t="e">
        <f>ROUNDDOWN(Table12[[#This Row],[R-DEMAND]]/1320,0)</f>
        <v>#N/A</v>
      </c>
      <c r="P826" s="212" t="e">
        <f>Table12[[#This Row],[ADD ACC]]*Table12[[#This Row],[RT TIME 
(777-500ER)]]</f>
        <v>#N/A</v>
      </c>
    </row>
    <row r="827" spans="1:16" ht="15.75" customHeight="1" x14ac:dyDescent="0.25">
      <c r="A827" s="212" t="s">
        <v>14842</v>
      </c>
      <c r="B827" s="212" t="s">
        <v>40</v>
      </c>
      <c r="C827" s="212"/>
      <c r="D827" s="226">
        <v>2</v>
      </c>
      <c r="E827" s="212" t="s">
        <v>533</v>
      </c>
      <c r="F827" s="212" t="s">
        <v>12670</v>
      </c>
      <c r="G827" s="227" t="s">
        <v>11999</v>
      </c>
      <c r="H827" s="228">
        <v>4628</v>
      </c>
      <c r="I827" s="208">
        <v>12.5</v>
      </c>
      <c r="J827" s="211"/>
      <c r="K827" s="209">
        <v>0</v>
      </c>
      <c r="L827" s="212"/>
      <c r="M827" s="212" t="e">
        <f>VLOOKUP(Table12[[#This Row],[ROUTE]],DEMAND!A:F,5,FALSE)</f>
        <v>#N/A</v>
      </c>
      <c r="N827" s="212" t="e">
        <f>VLOOKUP(Table12[[#This Row],[ROUTE]],DEMAND!A:F,6,FALSE)</f>
        <v>#N/A</v>
      </c>
      <c r="O827" s="212" t="e">
        <f>ROUNDDOWN(Table12[[#This Row],[R-DEMAND]]/1320,0)</f>
        <v>#N/A</v>
      </c>
      <c r="P827" s="212" t="e">
        <f>Table12[[#This Row],[ADD ACC]]*Table12[[#This Row],[RT TIME 
(777-500ER)]]</f>
        <v>#N/A</v>
      </c>
    </row>
    <row r="828" spans="1:16" ht="15.75" customHeight="1" x14ac:dyDescent="0.25">
      <c r="A828" s="212" t="s">
        <v>15094</v>
      </c>
      <c r="B828" s="212" t="s">
        <v>651</v>
      </c>
      <c r="C828" s="212"/>
      <c r="D828" s="226">
        <v>1</v>
      </c>
      <c r="E828" s="212" t="s">
        <v>637</v>
      </c>
      <c r="F828" s="212" t="s">
        <v>12671</v>
      </c>
      <c r="G828" s="227" t="s">
        <v>6840</v>
      </c>
      <c r="H828" s="228">
        <v>5872</v>
      </c>
      <c r="I828" s="208">
        <v>15.25</v>
      </c>
      <c r="J828" s="211"/>
      <c r="K828" s="209">
        <v>0</v>
      </c>
      <c r="L828" s="212"/>
      <c r="M828" s="212" t="e">
        <f>VLOOKUP(Table12[[#This Row],[ROUTE]],DEMAND!A:F,5,FALSE)</f>
        <v>#N/A</v>
      </c>
      <c r="N828" s="212" t="e">
        <f>VLOOKUP(Table12[[#This Row],[ROUTE]],DEMAND!A:F,6,FALSE)</f>
        <v>#N/A</v>
      </c>
      <c r="O828" s="212" t="e">
        <f>ROUNDDOWN(Table12[[#This Row],[R-DEMAND]]/1320,0)</f>
        <v>#N/A</v>
      </c>
      <c r="P828" s="212" t="e">
        <f>Table12[[#This Row],[ADD ACC]]*Table12[[#This Row],[RT TIME 
(777-500ER)]]</f>
        <v>#N/A</v>
      </c>
    </row>
    <row r="829" spans="1:16" ht="15.75" customHeight="1" x14ac:dyDescent="0.25">
      <c r="A829" s="212" t="s">
        <v>14612</v>
      </c>
      <c r="B829" s="212" t="s">
        <v>2737</v>
      </c>
      <c r="C829" s="212"/>
      <c r="D829" s="226">
        <v>2</v>
      </c>
      <c r="E829" s="212" t="s">
        <v>78</v>
      </c>
      <c r="F829" s="212" t="s">
        <v>12674</v>
      </c>
      <c r="G829" s="227" t="s">
        <v>11888</v>
      </c>
      <c r="H829" s="212">
        <v>705</v>
      </c>
      <c r="I829" s="208">
        <v>3.75</v>
      </c>
      <c r="J829" s="211"/>
      <c r="K829" s="209">
        <v>0</v>
      </c>
      <c r="L829" s="212"/>
      <c r="M829" s="212" t="e">
        <f>VLOOKUP(Table12[[#This Row],[ROUTE]],DEMAND!A:F,5,FALSE)</f>
        <v>#N/A</v>
      </c>
      <c r="N829" s="212" t="e">
        <f>VLOOKUP(Table12[[#This Row],[ROUTE]],DEMAND!A:F,6,FALSE)</f>
        <v>#N/A</v>
      </c>
      <c r="O829" s="212" t="e">
        <f>ROUNDDOWN(Table12[[#This Row],[R-DEMAND]]/1320,0)</f>
        <v>#N/A</v>
      </c>
      <c r="P829" s="212" t="e">
        <f>Table12[[#This Row],[ADD ACC]]*Table12[[#This Row],[RT TIME 
(777-500ER)]]</f>
        <v>#N/A</v>
      </c>
    </row>
    <row r="830" spans="1:16" ht="15.75" customHeight="1" x14ac:dyDescent="0.25">
      <c r="A830" s="212" t="s">
        <v>14911</v>
      </c>
      <c r="B830" s="212" t="s">
        <v>32</v>
      </c>
      <c r="C830" s="212"/>
      <c r="D830" s="226">
        <v>2</v>
      </c>
      <c r="E830" s="212" t="s">
        <v>332</v>
      </c>
      <c r="F830" s="212" t="s">
        <v>12670</v>
      </c>
      <c r="G830" s="227" t="s">
        <v>6817</v>
      </c>
      <c r="H830" s="228">
        <v>7384</v>
      </c>
      <c r="I830" s="208">
        <v>18.75</v>
      </c>
      <c r="J830" s="211"/>
      <c r="K830" s="209">
        <v>0</v>
      </c>
      <c r="L830" s="212"/>
      <c r="M830" s="212" t="e">
        <f>VLOOKUP(Table12[[#This Row],[ROUTE]],DEMAND!A:F,5,FALSE)</f>
        <v>#N/A</v>
      </c>
      <c r="N830" s="212" t="e">
        <f>VLOOKUP(Table12[[#This Row],[ROUTE]],DEMAND!A:F,6,FALSE)</f>
        <v>#N/A</v>
      </c>
      <c r="O830" s="212" t="e">
        <f>ROUNDDOWN(Table12[[#This Row],[R-DEMAND]]/1320,0)</f>
        <v>#N/A</v>
      </c>
      <c r="P830" s="212" t="e">
        <f>Table12[[#This Row],[ADD ACC]]*Table12[[#This Row],[RT TIME 
(777-500ER)]]</f>
        <v>#N/A</v>
      </c>
    </row>
    <row r="831" spans="1:16" ht="15.75" customHeight="1" x14ac:dyDescent="0.25">
      <c r="A831" s="212" t="s">
        <v>14864</v>
      </c>
      <c r="B831" s="212" t="s">
        <v>3048</v>
      </c>
      <c r="C831" s="212"/>
      <c r="D831" s="226">
        <v>2</v>
      </c>
      <c r="E831" s="212" t="s">
        <v>172</v>
      </c>
      <c r="F831" s="212" t="s">
        <v>12670</v>
      </c>
      <c r="G831" s="227" t="s">
        <v>6814</v>
      </c>
      <c r="H831" s="228">
        <v>2669</v>
      </c>
      <c r="I831" s="208">
        <v>8</v>
      </c>
      <c r="J831" s="211"/>
      <c r="K831" s="209">
        <v>0</v>
      </c>
      <c r="L831" s="212"/>
      <c r="M831" s="212" t="e">
        <f>VLOOKUP(Table12[[#This Row],[ROUTE]],DEMAND!A:F,5,FALSE)</f>
        <v>#N/A</v>
      </c>
      <c r="N831" s="212" t="e">
        <f>VLOOKUP(Table12[[#This Row],[ROUTE]],DEMAND!A:F,6,FALSE)</f>
        <v>#N/A</v>
      </c>
      <c r="O831" s="212" t="e">
        <f>ROUNDDOWN(Table12[[#This Row],[R-DEMAND]]/1320,0)</f>
        <v>#N/A</v>
      </c>
      <c r="P831" s="212" t="e">
        <f>Table12[[#This Row],[ADD ACC]]*Table12[[#This Row],[RT TIME 
(777-500ER)]]</f>
        <v>#N/A</v>
      </c>
    </row>
    <row r="832" spans="1:16" ht="15.75" customHeight="1" x14ac:dyDescent="0.25">
      <c r="A832" s="212" t="s">
        <v>15073</v>
      </c>
      <c r="B832" s="212" t="s">
        <v>1851</v>
      </c>
      <c r="C832" s="212"/>
      <c r="D832" s="226">
        <v>1</v>
      </c>
      <c r="E832" s="212" t="s">
        <v>926</v>
      </c>
      <c r="F832" s="212" t="s">
        <v>12671</v>
      </c>
      <c r="G832" s="227" t="s">
        <v>6801</v>
      </c>
      <c r="H832" s="228">
        <v>9455</v>
      </c>
      <c r="I832" s="208">
        <v>23.25</v>
      </c>
      <c r="J832" s="211"/>
      <c r="K832" s="209">
        <v>0</v>
      </c>
      <c r="L832" s="212"/>
      <c r="M832" s="212" t="e">
        <f>VLOOKUP(Table12[[#This Row],[ROUTE]],DEMAND!A:F,5,FALSE)</f>
        <v>#N/A</v>
      </c>
      <c r="N832" s="212" t="e">
        <f>VLOOKUP(Table12[[#This Row],[ROUTE]],DEMAND!A:F,6,FALSE)</f>
        <v>#N/A</v>
      </c>
      <c r="O832" s="212" t="e">
        <f>ROUNDDOWN(Table12[[#This Row],[R-DEMAND]]/1320,0)</f>
        <v>#N/A</v>
      </c>
      <c r="P832" s="212" t="e">
        <f>Table12[[#This Row],[ADD ACC]]*Table12[[#This Row],[RT TIME 
(777-500ER)]]</f>
        <v>#N/A</v>
      </c>
    </row>
    <row r="833" spans="1:16" ht="15.75" customHeight="1" x14ac:dyDescent="0.25">
      <c r="A833" s="212" t="s">
        <v>14910</v>
      </c>
      <c r="B833" s="212" t="s">
        <v>30</v>
      </c>
      <c r="C833" s="212"/>
      <c r="D833" s="226">
        <v>1</v>
      </c>
      <c r="E833" s="212" t="s">
        <v>332</v>
      </c>
      <c r="F833" s="212" t="s">
        <v>12670</v>
      </c>
      <c r="G833" s="227" t="s">
        <v>12100</v>
      </c>
      <c r="H833" s="228">
        <v>7168</v>
      </c>
      <c r="I833" s="208">
        <v>18.25</v>
      </c>
      <c r="J833" s="211"/>
      <c r="K833" s="209">
        <v>0</v>
      </c>
      <c r="L833" s="212"/>
      <c r="M833" s="212" t="e">
        <f>VLOOKUP(Table12[[#This Row],[ROUTE]],DEMAND!A:F,5,FALSE)</f>
        <v>#N/A</v>
      </c>
      <c r="N833" s="212" t="e">
        <f>VLOOKUP(Table12[[#This Row],[ROUTE]],DEMAND!A:F,6,FALSE)</f>
        <v>#N/A</v>
      </c>
      <c r="O833" s="212" t="e">
        <f>ROUNDDOWN(Table12[[#This Row],[R-DEMAND]]/1320,0)</f>
        <v>#N/A</v>
      </c>
      <c r="P833" s="212" t="e">
        <f>Table12[[#This Row],[ADD ACC]]*Table12[[#This Row],[RT TIME 
(777-500ER)]]</f>
        <v>#N/A</v>
      </c>
    </row>
    <row r="834" spans="1:16" ht="15.75" customHeight="1" x14ac:dyDescent="0.25">
      <c r="A834" s="212" t="s">
        <v>14635</v>
      </c>
      <c r="B834" s="212" t="s">
        <v>3044</v>
      </c>
      <c r="C834" s="212"/>
      <c r="D834" s="226">
        <v>2</v>
      </c>
      <c r="E834" s="212" t="s">
        <v>78</v>
      </c>
      <c r="F834" s="212" t="s">
        <v>12674</v>
      </c>
      <c r="G834" s="227" t="s">
        <v>11984</v>
      </c>
      <c r="H834" s="228">
        <v>4412</v>
      </c>
      <c r="I834" s="208">
        <v>12</v>
      </c>
      <c r="J834" s="211"/>
      <c r="K834" s="209">
        <v>0</v>
      </c>
      <c r="L834" s="212"/>
      <c r="M834" s="212" t="e">
        <f>VLOOKUP(Table12[[#This Row],[ROUTE]],DEMAND!A:F,5,FALSE)</f>
        <v>#N/A</v>
      </c>
      <c r="N834" s="212" t="e">
        <f>VLOOKUP(Table12[[#This Row],[ROUTE]],DEMAND!A:F,6,FALSE)</f>
        <v>#N/A</v>
      </c>
      <c r="O834" s="212" t="e">
        <f>ROUNDDOWN(Table12[[#This Row],[R-DEMAND]]/1320,0)</f>
        <v>#N/A</v>
      </c>
      <c r="P834" s="212" t="e">
        <f>Table12[[#This Row],[ADD ACC]]*Table12[[#This Row],[RT TIME 
(777-500ER)]]</f>
        <v>#N/A</v>
      </c>
    </row>
    <row r="835" spans="1:16" ht="15.75" customHeight="1" x14ac:dyDescent="0.25">
      <c r="A835" s="212" t="s">
        <v>15080</v>
      </c>
      <c r="B835" s="212" t="s">
        <v>2490</v>
      </c>
      <c r="C835" s="212"/>
      <c r="D835" s="226">
        <v>1</v>
      </c>
      <c r="E835" s="212" t="s">
        <v>881</v>
      </c>
      <c r="F835" s="212" t="s">
        <v>12671</v>
      </c>
      <c r="G835" s="227" t="s">
        <v>6783</v>
      </c>
      <c r="H835" s="228">
        <v>4951</v>
      </c>
      <c r="I835" s="208">
        <v>13.25</v>
      </c>
      <c r="J835" s="211"/>
      <c r="K835" s="209">
        <v>0</v>
      </c>
      <c r="L835" s="212"/>
      <c r="M835" s="212" t="e">
        <f>VLOOKUP(Table12[[#This Row],[ROUTE]],DEMAND!A:F,5,FALSE)</f>
        <v>#N/A</v>
      </c>
      <c r="N835" s="212" t="e">
        <f>VLOOKUP(Table12[[#This Row],[ROUTE]],DEMAND!A:F,6,FALSE)</f>
        <v>#N/A</v>
      </c>
      <c r="O835" s="212" t="e">
        <f>ROUNDDOWN(Table12[[#This Row],[R-DEMAND]]/1320,0)</f>
        <v>#N/A</v>
      </c>
      <c r="P835" s="212" t="e">
        <f>Table12[[#This Row],[ADD ACC]]*Table12[[#This Row],[RT TIME 
(777-500ER)]]</f>
        <v>#N/A</v>
      </c>
    </row>
    <row r="836" spans="1:16" ht="15.75" customHeight="1" x14ac:dyDescent="0.25">
      <c r="A836" s="212" t="s">
        <v>14919</v>
      </c>
      <c r="B836" s="212" t="s">
        <v>2903</v>
      </c>
      <c r="C836" s="212"/>
      <c r="D836" s="226">
        <v>2</v>
      </c>
      <c r="E836" s="212" t="s">
        <v>700</v>
      </c>
      <c r="F836" s="212" t="s">
        <v>12670</v>
      </c>
      <c r="G836" s="227" t="s">
        <v>6768</v>
      </c>
      <c r="H836" s="228">
        <v>1736</v>
      </c>
      <c r="I836" s="208">
        <v>6</v>
      </c>
      <c r="J836" s="211"/>
      <c r="K836" s="209">
        <v>0</v>
      </c>
      <c r="L836" s="212"/>
      <c r="M836" s="212" t="e">
        <f>VLOOKUP(Table12[[#This Row],[ROUTE]],DEMAND!A:F,5,FALSE)</f>
        <v>#N/A</v>
      </c>
      <c r="N836" s="212" t="e">
        <f>VLOOKUP(Table12[[#This Row],[ROUTE]],DEMAND!A:F,6,FALSE)</f>
        <v>#N/A</v>
      </c>
      <c r="O836" s="212" t="e">
        <f>ROUNDDOWN(Table12[[#This Row],[R-DEMAND]]/1320,0)</f>
        <v>#N/A</v>
      </c>
      <c r="P836" s="212" t="e">
        <f>Table12[[#This Row],[ADD ACC]]*Table12[[#This Row],[RT TIME 
(777-500ER)]]</f>
        <v>#N/A</v>
      </c>
    </row>
    <row r="837" spans="1:16" ht="15.75" customHeight="1" x14ac:dyDescent="0.25">
      <c r="A837" s="212" t="s">
        <v>14558</v>
      </c>
      <c r="B837" s="212" t="s">
        <v>3127</v>
      </c>
      <c r="C837" s="212"/>
      <c r="D837" s="226">
        <v>2</v>
      </c>
      <c r="E837" s="212" t="s">
        <v>308</v>
      </c>
      <c r="F837" s="212" t="s">
        <v>12674</v>
      </c>
      <c r="G837" s="227" t="s">
        <v>11768</v>
      </c>
      <c r="H837" s="228">
        <v>2226</v>
      </c>
      <c r="I837" s="208">
        <v>7</v>
      </c>
      <c r="J837" s="211"/>
      <c r="K837" s="209">
        <v>0</v>
      </c>
      <c r="L837" s="212"/>
      <c r="M837" s="212" t="e">
        <f>VLOOKUP(Table12[[#This Row],[ROUTE]],DEMAND!A:F,5,FALSE)</f>
        <v>#N/A</v>
      </c>
      <c r="N837" s="212" t="e">
        <f>VLOOKUP(Table12[[#This Row],[ROUTE]],DEMAND!A:F,6,FALSE)</f>
        <v>#N/A</v>
      </c>
      <c r="O837" s="212" t="e">
        <f>ROUNDDOWN(Table12[[#This Row],[R-DEMAND]]/1320,0)</f>
        <v>#N/A</v>
      </c>
      <c r="P837" s="212" t="e">
        <f>Table12[[#This Row],[ADD ACC]]*Table12[[#This Row],[RT TIME 
(777-500ER)]]</f>
        <v>#N/A</v>
      </c>
    </row>
    <row r="838" spans="1:16" ht="15.75" customHeight="1" x14ac:dyDescent="0.25">
      <c r="A838" s="212" t="s">
        <v>14401</v>
      </c>
      <c r="B838" s="212" t="s">
        <v>937</v>
      </c>
      <c r="C838" s="212"/>
      <c r="D838" s="226" t="s">
        <v>15104</v>
      </c>
      <c r="E838" s="212" t="s">
        <v>647</v>
      </c>
      <c r="F838" s="212" t="s">
        <v>12688</v>
      </c>
      <c r="G838" s="227" t="s">
        <v>13332</v>
      </c>
      <c r="H838" s="228">
        <v>9712</v>
      </c>
      <c r="I838" s="208">
        <v>24</v>
      </c>
      <c r="J838" s="211"/>
      <c r="K838" s="209">
        <v>0</v>
      </c>
      <c r="L838" s="212"/>
      <c r="M838" s="212" t="e">
        <f>VLOOKUP(Table12[[#This Row],[ROUTE]],DEMAND!A:F,5,FALSE)</f>
        <v>#N/A</v>
      </c>
      <c r="N838" s="212" t="e">
        <f>VLOOKUP(Table12[[#This Row],[ROUTE]],DEMAND!A:F,6,FALSE)</f>
        <v>#N/A</v>
      </c>
      <c r="O838" s="212" t="e">
        <f>ROUNDDOWN(Table12[[#This Row],[R-DEMAND]]/1320,0)</f>
        <v>#N/A</v>
      </c>
      <c r="P838" s="212" t="e">
        <f>Table12[[#This Row],[ADD ACC]]*Table12[[#This Row],[RT TIME 
(777-500ER)]]</f>
        <v>#N/A</v>
      </c>
    </row>
    <row r="839" spans="1:16" ht="15.75" customHeight="1" x14ac:dyDescent="0.25">
      <c r="A839" s="212" t="s">
        <v>14809</v>
      </c>
      <c r="B839" s="212" t="s">
        <v>2555</v>
      </c>
      <c r="C839" s="212"/>
      <c r="D839" s="226">
        <v>2</v>
      </c>
      <c r="E839" s="212" t="s">
        <v>1216</v>
      </c>
      <c r="F839" s="212" t="s">
        <v>12670</v>
      </c>
      <c r="G839" s="227" t="s">
        <v>11883</v>
      </c>
      <c r="H839" s="228">
        <v>2842</v>
      </c>
      <c r="I839" s="208">
        <v>8.5</v>
      </c>
      <c r="J839" s="211"/>
      <c r="K839" s="209">
        <v>0</v>
      </c>
      <c r="L839" s="212"/>
      <c r="M839" s="212" t="e">
        <f>VLOOKUP(Table12[[#This Row],[ROUTE]],DEMAND!A:F,5,FALSE)</f>
        <v>#N/A</v>
      </c>
      <c r="N839" s="212" t="e">
        <f>VLOOKUP(Table12[[#This Row],[ROUTE]],DEMAND!A:F,6,FALSE)</f>
        <v>#N/A</v>
      </c>
      <c r="O839" s="212" t="e">
        <f>ROUNDDOWN(Table12[[#This Row],[R-DEMAND]]/1320,0)</f>
        <v>#N/A</v>
      </c>
      <c r="P839" s="212" t="e">
        <f>Table12[[#This Row],[ADD ACC]]*Table12[[#This Row],[RT TIME 
(777-500ER)]]</f>
        <v>#N/A</v>
      </c>
    </row>
    <row r="840" spans="1:16" ht="15.75" customHeight="1" x14ac:dyDescent="0.25">
      <c r="A840" s="212" t="s">
        <v>14996</v>
      </c>
      <c r="B840" s="212" t="s">
        <v>1598</v>
      </c>
      <c r="C840" s="212"/>
      <c r="D840" s="226">
        <v>1</v>
      </c>
      <c r="E840" s="212" t="s">
        <v>644</v>
      </c>
      <c r="F840" s="212" t="s">
        <v>12671</v>
      </c>
      <c r="G840" s="227" t="s">
        <v>11848</v>
      </c>
      <c r="H840" s="228">
        <v>7420</v>
      </c>
      <c r="I840" s="208">
        <v>18.75</v>
      </c>
      <c r="J840" s="211"/>
      <c r="K840" s="209">
        <v>0</v>
      </c>
      <c r="L840" s="212"/>
      <c r="M840" s="212" t="e">
        <f>VLOOKUP(Table12[[#This Row],[ROUTE]],DEMAND!A:F,5,FALSE)</f>
        <v>#N/A</v>
      </c>
      <c r="N840" s="212" t="e">
        <f>VLOOKUP(Table12[[#This Row],[ROUTE]],DEMAND!A:F,6,FALSE)</f>
        <v>#N/A</v>
      </c>
      <c r="O840" s="212" t="e">
        <f>ROUNDDOWN(Table12[[#This Row],[R-DEMAND]]/1320,0)</f>
        <v>#N/A</v>
      </c>
      <c r="P840" s="212" t="e">
        <f>Table12[[#This Row],[ADD ACC]]*Table12[[#This Row],[RT TIME 
(777-500ER)]]</f>
        <v>#N/A</v>
      </c>
    </row>
    <row r="841" spans="1:16" ht="15.75" customHeight="1" x14ac:dyDescent="0.25">
      <c r="A841" s="212" t="s">
        <v>15053</v>
      </c>
      <c r="B841" s="212" t="s">
        <v>1393</v>
      </c>
      <c r="C841" s="212"/>
      <c r="D841" s="226">
        <v>1</v>
      </c>
      <c r="E841" s="212" t="s">
        <v>608</v>
      </c>
      <c r="F841" s="212" t="s">
        <v>12671</v>
      </c>
      <c r="G841" s="227" t="s">
        <v>6718</v>
      </c>
      <c r="H841" s="228">
        <v>5602</v>
      </c>
      <c r="I841" s="208">
        <v>14.75</v>
      </c>
      <c r="J841" s="211"/>
      <c r="K841" s="209">
        <v>0</v>
      </c>
      <c r="L841" s="212"/>
      <c r="M841" s="212" t="e">
        <f>VLOOKUP(Table12[[#This Row],[ROUTE]],DEMAND!A:F,5,FALSE)</f>
        <v>#N/A</v>
      </c>
      <c r="N841" s="212" t="e">
        <f>VLOOKUP(Table12[[#This Row],[ROUTE]],DEMAND!A:F,6,FALSE)</f>
        <v>#N/A</v>
      </c>
      <c r="O841" s="212" t="e">
        <f>ROUNDDOWN(Table12[[#This Row],[R-DEMAND]]/1320,0)</f>
        <v>#N/A</v>
      </c>
      <c r="P841" s="212" t="e">
        <f>Table12[[#This Row],[ADD ACC]]*Table12[[#This Row],[RT TIME 
(777-500ER)]]</f>
        <v>#N/A</v>
      </c>
    </row>
    <row r="842" spans="1:16" ht="15.75" customHeight="1" x14ac:dyDescent="0.25">
      <c r="A842" s="212" t="s">
        <v>14650</v>
      </c>
      <c r="B842" s="212" t="s">
        <v>2409</v>
      </c>
      <c r="C842" s="212"/>
      <c r="D842" s="226">
        <v>1</v>
      </c>
      <c r="E842" s="212" t="s">
        <v>119</v>
      </c>
      <c r="F842" s="212" t="s">
        <v>12674</v>
      </c>
      <c r="G842" s="227" t="s">
        <v>11699</v>
      </c>
      <c r="H842" s="228">
        <v>3208</v>
      </c>
      <c r="I842" s="208">
        <v>9.25</v>
      </c>
      <c r="J842" s="211"/>
      <c r="K842" s="209">
        <v>0</v>
      </c>
      <c r="L842" s="212"/>
      <c r="M842" s="212" t="e">
        <f>VLOOKUP(Table12[[#This Row],[ROUTE]],DEMAND!A:F,5,FALSE)</f>
        <v>#N/A</v>
      </c>
      <c r="N842" s="212" t="e">
        <f>VLOOKUP(Table12[[#This Row],[ROUTE]],DEMAND!A:F,6,FALSE)</f>
        <v>#N/A</v>
      </c>
      <c r="O842" s="212" t="e">
        <f>ROUNDDOWN(Table12[[#This Row],[R-DEMAND]]/1320,0)</f>
        <v>#N/A</v>
      </c>
      <c r="P842" s="212" t="e">
        <f>Table12[[#This Row],[ADD ACC]]*Table12[[#This Row],[RT TIME 
(777-500ER)]]</f>
        <v>#N/A</v>
      </c>
    </row>
    <row r="843" spans="1:16" ht="15.75" customHeight="1" x14ac:dyDescent="0.25">
      <c r="A843" s="212" t="s">
        <v>14653</v>
      </c>
      <c r="B843" s="212" t="s">
        <v>5416</v>
      </c>
      <c r="C843" s="212"/>
      <c r="D843" s="226">
        <v>3</v>
      </c>
      <c r="E843" s="212" t="s">
        <v>119</v>
      </c>
      <c r="F843" s="212" t="s">
        <v>12674</v>
      </c>
      <c r="G843" s="227" t="s">
        <v>11705</v>
      </c>
      <c r="H843" s="228">
        <v>3324</v>
      </c>
      <c r="I843" s="208">
        <v>9.5</v>
      </c>
      <c r="J843" s="211"/>
      <c r="K843" s="209">
        <v>0</v>
      </c>
      <c r="L843" s="212"/>
      <c r="M843" s="212" t="e">
        <f>VLOOKUP(Table12[[#This Row],[ROUTE]],DEMAND!A:F,5,FALSE)</f>
        <v>#N/A</v>
      </c>
      <c r="N843" s="212" t="e">
        <f>VLOOKUP(Table12[[#This Row],[ROUTE]],DEMAND!A:F,6,FALSE)</f>
        <v>#N/A</v>
      </c>
      <c r="O843" s="212" t="e">
        <f>ROUNDDOWN(Table12[[#This Row],[R-DEMAND]]/1320,0)</f>
        <v>#N/A</v>
      </c>
      <c r="P843" s="212" t="e">
        <f>Table12[[#This Row],[ADD ACC]]*Table12[[#This Row],[RT TIME 
(777-500ER)]]</f>
        <v>#N/A</v>
      </c>
    </row>
    <row r="844" spans="1:16" ht="15.75" customHeight="1" x14ac:dyDescent="0.25">
      <c r="A844" s="212" t="s">
        <v>14655</v>
      </c>
      <c r="B844" s="212" t="s">
        <v>4030</v>
      </c>
      <c r="C844" s="212"/>
      <c r="D844" s="226">
        <v>2</v>
      </c>
      <c r="E844" s="212" t="s">
        <v>119</v>
      </c>
      <c r="F844" s="212" t="s">
        <v>12674</v>
      </c>
      <c r="G844" s="227" t="s">
        <v>11690</v>
      </c>
      <c r="H844" s="228">
        <v>3426</v>
      </c>
      <c r="I844" s="208">
        <v>9.75</v>
      </c>
      <c r="J844" s="211"/>
      <c r="K844" s="209">
        <v>0</v>
      </c>
      <c r="L844" s="212"/>
      <c r="M844" s="212" t="e">
        <f>VLOOKUP(Table12[[#This Row],[ROUTE]],DEMAND!A:F,5,FALSE)</f>
        <v>#N/A</v>
      </c>
      <c r="N844" s="212" t="e">
        <f>VLOOKUP(Table12[[#This Row],[ROUTE]],DEMAND!A:F,6,FALSE)</f>
        <v>#N/A</v>
      </c>
      <c r="O844" s="212" t="e">
        <f>ROUNDDOWN(Table12[[#This Row],[R-DEMAND]]/1320,0)</f>
        <v>#N/A</v>
      </c>
      <c r="P844" s="212" t="e">
        <f>Table12[[#This Row],[ADD ACC]]*Table12[[#This Row],[RT TIME 
(777-500ER)]]</f>
        <v>#N/A</v>
      </c>
    </row>
    <row r="845" spans="1:16" ht="15.75" customHeight="1" x14ac:dyDescent="0.25">
      <c r="A845" s="212" t="s">
        <v>14546</v>
      </c>
      <c r="B845" s="212" t="s">
        <v>1057</v>
      </c>
      <c r="C845" s="212"/>
      <c r="D845" s="226">
        <v>1</v>
      </c>
      <c r="E845" s="212" t="s">
        <v>597</v>
      </c>
      <c r="F845" s="212" t="s">
        <v>12674</v>
      </c>
      <c r="G845" s="227" t="s">
        <v>11830</v>
      </c>
      <c r="H845" s="228">
        <v>2120</v>
      </c>
      <c r="I845" s="208">
        <v>7</v>
      </c>
      <c r="J845" s="211"/>
      <c r="K845" s="209">
        <v>0</v>
      </c>
      <c r="L845" s="212"/>
      <c r="M845" s="212" t="e">
        <f>VLOOKUP(Table12[[#This Row],[ROUTE]],DEMAND!A:F,5,FALSE)</f>
        <v>#N/A</v>
      </c>
      <c r="N845" s="212" t="e">
        <f>VLOOKUP(Table12[[#This Row],[ROUTE]],DEMAND!A:F,6,FALSE)</f>
        <v>#N/A</v>
      </c>
      <c r="O845" s="212" t="e">
        <f>ROUNDDOWN(Table12[[#This Row],[R-DEMAND]]/1320,0)</f>
        <v>#N/A</v>
      </c>
      <c r="P845" s="212" t="e">
        <f>Table12[[#This Row],[ADD ACC]]*Table12[[#This Row],[RT TIME 
(777-500ER)]]</f>
        <v>#N/A</v>
      </c>
    </row>
    <row r="846" spans="1:16" ht="15.75" customHeight="1" x14ac:dyDescent="0.25">
      <c r="A846" s="212" t="s">
        <v>15001</v>
      </c>
      <c r="B846" s="212" t="s">
        <v>3371</v>
      </c>
      <c r="C846" s="212"/>
      <c r="D846" s="226">
        <v>2</v>
      </c>
      <c r="E846" s="212" t="s">
        <v>644</v>
      </c>
      <c r="F846" s="212" t="s">
        <v>12671</v>
      </c>
      <c r="G846" s="227" t="s">
        <v>11831</v>
      </c>
      <c r="H846" s="228">
        <v>8326</v>
      </c>
      <c r="I846" s="208">
        <v>20.75</v>
      </c>
      <c r="J846" s="211"/>
      <c r="K846" s="209">
        <v>0</v>
      </c>
      <c r="L846" s="212"/>
      <c r="M846" s="212" t="e">
        <f>VLOOKUP(Table12[[#This Row],[ROUTE]],DEMAND!A:F,5,FALSE)</f>
        <v>#N/A</v>
      </c>
      <c r="N846" s="212" t="e">
        <f>VLOOKUP(Table12[[#This Row],[ROUTE]],DEMAND!A:F,6,FALSE)</f>
        <v>#N/A</v>
      </c>
      <c r="O846" s="212" t="e">
        <f>ROUNDDOWN(Table12[[#This Row],[R-DEMAND]]/1320,0)</f>
        <v>#N/A</v>
      </c>
      <c r="P846" s="212" t="e">
        <f>Table12[[#This Row],[ADD ACC]]*Table12[[#This Row],[RT TIME 
(777-500ER)]]</f>
        <v>#N/A</v>
      </c>
    </row>
    <row r="847" spans="1:16" ht="15.75" customHeight="1" x14ac:dyDescent="0.25">
      <c r="A847" s="212" t="s">
        <v>14363</v>
      </c>
      <c r="B847" s="212" t="s">
        <v>4371</v>
      </c>
      <c r="C847" s="212"/>
      <c r="D847" s="226" t="s">
        <v>15105</v>
      </c>
      <c r="E847" s="212" t="s">
        <v>647</v>
      </c>
      <c r="F847" s="212" t="s">
        <v>12688</v>
      </c>
      <c r="G847" s="227" t="s">
        <v>13360</v>
      </c>
      <c r="H847" s="228">
        <v>9108</v>
      </c>
      <c r="I847" s="208">
        <v>22.5</v>
      </c>
      <c r="J847" s="211"/>
      <c r="K847" s="209">
        <v>0</v>
      </c>
      <c r="L847" s="212"/>
      <c r="M847" s="212" t="e">
        <f>VLOOKUP(Table12[[#This Row],[ROUTE]],DEMAND!A:F,5,FALSE)</f>
        <v>#N/A</v>
      </c>
      <c r="N847" s="212" t="e">
        <f>VLOOKUP(Table12[[#This Row],[ROUTE]],DEMAND!A:F,6,FALSE)</f>
        <v>#N/A</v>
      </c>
      <c r="O847" s="212" t="e">
        <f>ROUNDDOWN(Table12[[#This Row],[R-DEMAND]]/1320,0)</f>
        <v>#N/A</v>
      </c>
      <c r="P847" s="212" t="e">
        <f>Table12[[#This Row],[ADD ACC]]*Table12[[#This Row],[RT TIME 
(777-500ER)]]</f>
        <v>#N/A</v>
      </c>
    </row>
    <row r="848" spans="1:16" ht="15.75" customHeight="1" x14ac:dyDescent="0.25">
      <c r="A848" s="212" t="s">
        <v>14441</v>
      </c>
      <c r="B848" s="212" t="s">
        <v>4729</v>
      </c>
      <c r="C848" s="212"/>
      <c r="D848" s="226">
        <v>2</v>
      </c>
      <c r="E848" s="212" t="s">
        <v>683</v>
      </c>
      <c r="F848" s="212" t="s">
        <v>12688</v>
      </c>
      <c r="G848" s="227" t="s">
        <v>13187</v>
      </c>
      <c r="H848" s="228">
        <v>9588</v>
      </c>
      <c r="I848" s="208">
        <v>23.5</v>
      </c>
      <c r="J848" s="211"/>
      <c r="K848" s="209">
        <v>0</v>
      </c>
      <c r="L848" s="212"/>
      <c r="M848" s="212" t="e">
        <f>VLOOKUP(Table12[[#This Row],[ROUTE]],DEMAND!A:F,5,FALSE)</f>
        <v>#N/A</v>
      </c>
      <c r="N848" s="212" t="e">
        <f>VLOOKUP(Table12[[#This Row],[ROUTE]],DEMAND!A:F,6,FALSE)</f>
        <v>#N/A</v>
      </c>
      <c r="O848" s="212" t="e">
        <f>ROUNDDOWN(Table12[[#This Row],[R-DEMAND]]/1320,0)</f>
        <v>#N/A</v>
      </c>
      <c r="P848" s="212" t="e">
        <f>Table12[[#This Row],[ADD ACC]]*Table12[[#This Row],[RT TIME 
(777-500ER)]]</f>
        <v>#N/A</v>
      </c>
    </row>
    <row r="849" spans="1:16" ht="15.75" customHeight="1" x14ac:dyDescent="0.25">
      <c r="A849" s="212" t="s">
        <v>14561</v>
      </c>
      <c r="B849" s="212" t="s">
        <v>5167</v>
      </c>
      <c r="C849" s="212"/>
      <c r="D849" s="226">
        <v>3</v>
      </c>
      <c r="E849" s="212" t="s">
        <v>308</v>
      </c>
      <c r="F849" s="212" t="s">
        <v>12674</v>
      </c>
      <c r="G849" s="227" t="s">
        <v>11773</v>
      </c>
      <c r="H849" s="228">
        <v>2195</v>
      </c>
      <c r="I849" s="208">
        <v>7</v>
      </c>
      <c r="J849" s="211"/>
      <c r="K849" s="209">
        <v>0</v>
      </c>
      <c r="L849" s="212"/>
      <c r="M849" s="212" t="e">
        <f>VLOOKUP(Table12[[#This Row],[ROUTE]],DEMAND!A:F,5,FALSE)</f>
        <v>#N/A</v>
      </c>
      <c r="N849" s="212" t="e">
        <f>VLOOKUP(Table12[[#This Row],[ROUTE]],DEMAND!A:F,6,FALSE)</f>
        <v>#N/A</v>
      </c>
      <c r="O849" s="212" t="e">
        <f>ROUNDDOWN(Table12[[#This Row],[R-DEMAND]]/1320,0)</f>
        <v>#N/A</v>
      </c>
      <c r="P849" s="212" t="e">
        <f>Table12[[#This Row],[ADD ACC]]*Table12[[#This Row],[RT TIME 
(777-500ER)]]</f>
        <v>#N/A</v>
      </c>
    </row>
    <row r="850" spans="1:16" ht="15.75" customHeight="1" x14ac:dyDescent="0.25">
      <c r="A850" s="212" t="s">
        <v>14829</v>
      </c>
      <c r="B850" s="212" t="s">
        <v>3996</v>
      </c>
      <c r="C850" s="212"/>
      <c r="D850" s="226">
        <v>2</v>
      </c>
      <c r="E850" s="212" t="s">
        <v>974</v>
      </c>
      <c r="F850" s="212" t="s">
        <v>12670</v>
      </c>
      <c r="G850" s="227" t="s">
        <v>12092</v>
      </c>
      <c r="H850" s="228">
        <v>6780</v>
      </c>
      <c r="I850" s="208">
        <v>17.25</v>
      </c>
      <c r="J850" s="211"/>
      <c r="K850" s="209">
        <v>0</v>
      </c>
      <c r="L850" s="212"/>
      <c r="M850" s="212" t="e">
        <f>VLOOKUP(Table12[[#This Row],[ROUTE]],DEMAND!A:F,5,FALSE)</f>
        <v>#N/A</v>
      </c>
      <c r="N850" s="212" t="e">
        <f>VLOOKUP(Table12[[#This Row],[ROUTE]],DEMAND!A:F,6,FALSE)</f>
        <v>#N/A</v>
      </c>
      <c r="O850" s="212" t="e">
        <f>ROUNDDOWN(Table12[[#This Row],[R-DEMAND]]/1320,0)</f>
        <v>#N/A</v>
      </c>
      <c r="P850" s="212" t="e">
        <f>Table12[[#This Row],[ADD ACC]]*Table12[[#This Row],[RT TIME 
(777-500ER)]]</f>
        <v>#N/A</v>
      </c>
    </row>
    <row r="851" spans="1:16" ht="15.75" customHeight="1" x14ac:dyDescent="0.25">
      <c r="A851" s="212" t="s">
        <v>14231</v>
      </c>
      <c r="B851" s="212" t="s">
        <v>4464</v>
      </c>
      <c r="C851" s="212"/>
      <c r="D851" s="226">
        <v>2</v>
      </c>
      <c r="E851" s="212" t="s">
        <v>1144</v>
      </c>
      <c r="F851" s="212" t="s">
        <v>12694</v>
      </c>
      <c r="G851" s="227" t="s">
        <v>13153</v>
      </c>
      <c r="H851" s="228">
        <v>12310</v>
      </c>
      <c r="I851" s="208">
        <v>29.75</v>
      </c>
      <c r="J851" s="211"/>
      <c r="K851" s="209">
        <v>0</v>
      </c>
      <c r="L851" s="212"/>
      <c r="M851" s="212" t="e">
        <f>VLOOKUP(Table12[[#This Row],[ROUTE]],DEMAND!A:F,5,FALSE)</f>
        <v>#N/A</v>
      </c>
      <c r="N851" s="212" t="e">
        <f>VLOOKUP(Table12[[#This Row],[ROUTE]],DEMAND!A:F,6,FALSE)</f>
        <v>#N/A</v>
      </c>
      <c r="O851" s="212" t="e">
        <f>ROUNDDOWN(Table12[[#This Row],[R-DEMAND]]/1320,0)</f>
        <v>#N/A</v>
      </c>
      <c r="P851" s="212" t="e">
        <f>Table12[[#This Row],[ADD ACC]]*Table12[[#This Row],[RT TIME 
(777-500ER)]]</f>
        <v>#N/A</v>
      </c>
    </row>
    <row r="852" spans="1:16" ht="15.75" customHeight="1" x14ac:dyDescent="0.25">
      <c r="A852" s="212" t="s">
        <v>14988</v>
      </c>
      <c r="B852" s="212" t="s">
        <v>1433</v>
      </c>
      <c r="C852" s="212"/>
      <c r="D852" s="226">
        <v>1</v>
      </c>
      <c r="E852" s="212" t="s">
        <v>493</v>
      </c>
      <c r="F852" s="212" t="s">
        <v>12671</v>
      </c>
      <c r="G852" s="227" t="s">
        <v>11756</v>
      </c>
      <c r="H852" s="228">
        <v>3966</v>
      </c>
      <c r="I852" s="208">
        <v>11</v>
      </c>
      <c r="J852" s="211"/>
      <c r="K852" s="209">
        <v>0</v>
      </c>
      <c r="L852" s="212"/>
      <c r="M852" s="212" t="e">
        <f>VLOOKUP(Table12[[#This Row],[ROUTE]],DEMAND!A:F,5,FALSE)</f>
        <v>#N/A</v>
      </c>
      <c r="N852" s="212" t="e">
        <f>VLOOKUP(Table12[[#This Row],[ROUTE]],DEMAND!A:F,6,FALSE)</f>
        <v>#N/A</v>
      </c>
      <c r="O852" s="212" t="e">
        <f>ROUNDDOWN(Table12[[#This Row],[R-DEMAND]]/1320,0)</f>
        <v>#N/A</v>
      </c>
      <c r="P852" s="212" t="e">
        <f>Table12[[#This Row],[ADD ACC]]*Table12[[#This Row],[RT TIME 
(777-500ER)]]</f>
        <v>#N/A</v>
      </c>
    </row>
    <row r="853" spans="1:16" ht="15.75" customHeight="1" x14ac:dyDescent="0.25">
      <c r="A853" s="212" t="s">
        <v>14883</v>
      </c>
      <c r="B853" s="212" t="s">
        <v>2653</v>
      </c>
      <c r="C853" s="212"/>
      <c r="D853" s="226">
        <v>2</v>
      </c>
      <c r="E853" s="212" t="s">
        <v>172</v>
      </c>
      <c r="F853" s="212" t="s">
        <v>12670</v>
      </c>
      <c r="G853" s="227" t="s">
        <v>11943</v>
      </c>
      <c r="H853" s="228">
        <v>3929</v>
      </c>
      <c r="I853" s="208">
        <v>11</v>
      </c>
      <c r="J853" s="211"/>
      <c r="K853" s="209">
        <v>0</v>
      </c>
      <c r="L853" s="212"/>
      <c r="M853" s="212" t="e">
        <f>VLOOKUP(Table12[[#This Row],[ROUTE]],DEMAND!A:F,5,FALSE)</f>
        <v>#N/A</v>
      </c>
      <c r="N853" s="212" t="e">
        <f>VLOOKUP(Table12[[#This Row],[ROUTE]],DEMAND!A:F,6,FALSE)</f>
        <v>#N/A</v>
      </c>
      <c r="O853" s="212" t="e">
        <f>ROUNDDOWN(Table12[[#This Row],[R-DEMAND]]/1320,0)</f>
        <v>#N/A</v>
      </c>
      <c r="P853" s="212" t="e">
        <f>Table12[[#This Row],[ADD ACC]]*Table12[[#This Row],[RT TIME 
(777-500ER)]]</f>
        <v>#N/A</v>
      </c>
    </row>
    <row r="854" spans="1:16" ht="15.75" customHeight="1" x14ac:dyDescent="0.25">
      <c r="A854" s="212" t="s">
        <v>15055</v>
      </c>
      <c r="B854" s="212" t="s">
        <v>4327</v>
      </c>
      <c r="C854" s="212"/>
      <c r="D854" s="226">
        <v>2</v>
      </c>
      <c r="E854" s="212" t="s">
        <v>580</v>
      </c>
      <c r="F854" s="212" t="s">
        <v>12671</v>
      </c>
      <c r="G854" s="227" t="s">
        <v>11841</v>
      </c>
      <c r="H854" s="228">
        <v>8878</v>
      </c>
      <c r="I854" s="208">
        <v>22</v>
      </c>
      <c r="J854" s="211"/>
      <c r="K854" s="209">
        <v>0</v>
      </c>
      <c r="L854" s="212"/>
      <c r="M854" s="212" t="e">
        <f>VLOOKUP(Table12[[#This Row],[ROUTE]],DEMAND!A:F,5,FALSE)</f>
        <v>#N/A</v>
      </c>
      <c r="N854" s="212" t="e">
        <f>VLOOKUP(Table12[[#This Row],[ROUTE]],DEMAND!A:F,6,FALSE)</f>
        <v>#N/A</v>
      </c>
      <c r="O854" s="212" t="e">
        <f>ROUNDDOWN(Table12[[#This Row],[R-DEMAND]]/1320,0)</f>
        <v>#N/A</v>
      </c>
      <c r="P854" s="212" t="e">
        <f>Table12[[#This Row],[ADD ACC]]*Table12[[#This Row],[RT TIME 
(777-500ER)]]</f>
        <v>#N/A</v>
      </c>
    </row>
    <row r="855" spans="1:16" ht="15.75" customHeight="1" x14ac:dyDescent="0.25">
      <c r="A855" s="212" t="s">
        <v>14763</v>
      </c>
      <c r="B855" s="212" t="s">
        <v>3358</v>
      </c>
      <c r="C855" s="212"/>
      <c r="D855" s="226">
        <v>2</v>
      </c>
      <c r="E855" s="212" t="s">
        <v>14</v>
      </c>
      <c r="F855" s="212" t="s">
        <v>12670</v>
      </c>
      <c r="G855" s="227" t="s">
        <v>12059</v>
      </c>
      <c r="H855" s="228">
        <v>6035</v>
      </c>
      <c r="I855" s="208">
        <v>15.75</v>
      </c>
      <c r="J855" s="211"/>
      <c r="K855" s="209">
        <v>0</v>
      </c>
      <c r="L855" s="212"/>
      <c r="M855" s="212" t="e">
        <f>VLOOKUP(Table12[[#This Row],[ROUTE]],DEMAND!A:F,5,FALSE)</f>
        <v>#N/A</v>
      </c>
      <c r="N855" s="212" t="e">
        <f>VLOOKUP(Table12[[#This Row],[ROUTE]],DEMAND!A:F,6,FALSE)</f>
        <v>#N/A</v>
      </c>
      <c r="O855" s="212" t="e">
        <f>ROUNDDOWN(Table12[[#This Row],[R-DEMAND]]/1320,0)</f>
        <v>#N/A</v>
      </c>
      <c r="P855" s="212" t="e">
        <f>Table12[[#This Row],[ADD ACC]]*Table12[[#This Row],[RT TIME 
(777-500ER)]]</f>
        <v>#N/A</v>
      </c>
    </row>
    <row r="856" spans="1:16" ht="15.75" customHeight="1" x14ac:dyDescent="0.25">
      <c r="A856" s="212" t="s">
        <v>14512</v>
      </c>
      <c r="B856" s="212" t="s">
        <v>2154</v>
      </c>
      <c r="C856" s="212"/>
      <c r="D856" s="226">
        <v>1</v>
      </c>
      <c r="E856" s="212" t="s">
        <v>560</v>
      </c>
      <c r="F856" s="212" t="s">
        <v>12674</v>
      </c>
      <c r="G856" s="227" t="s">
        <v>11725</v>
      </c>
      <c r="H856" s="228">
        <v>2391</v>
      </c>
      <c r="I856" s="208">
        <v>7.5</v>
      </c>
      <c r="J856" s="211"/>
      <c r="K856" s="209">
        <v>0</v>
      </c>
      <c r="L856" s="212"/>
      <c r="M856" s="212" t="e">
        <f>VLOOKUP(Table12[[#This Row],[ROUTE]],DEMAND!A:F,5,FALSE)</f>
        <v>#N/A</v>
      </c>
      <c r="N856" s="212" t="e">
        <f>VLOOKUP(Table12[[#This Row],[ROUTE]],DEMAND!A:F,6,FALSE)</f>
        <v>#N/A</v>
      </c>
      <c r="O856" s="212" t="e">
        <f>ROUNDDOWN(Table12[[#This Row],[R-DEMAND]]/1320,0)</f>
        <v>#N/A</v>
      </c>
      <c r="P856" s="212" t="e">
        <f>Table12[[#This Row],[ADD ACC]]*Table12[[#This Row],[RT TIME 
(777-500ER)]]</f>
        <v>#N/A</v>
      </c>
    </row>
    <row r="857" spans="1:16" ht="15.75" customHeight="1" x14ac:dyDescent="0.25">
      <c r="A857" s="212" t="s">
        <v>14754</v>
      </c>
      <c r="B857" s="212" t="s">
        <v>3842</v>
      </c>
      <c r="C857" s="212"/>
      <c r="D857" s="226">
        <v>2</v>
      </c>
      <c r="E857" s="212" t="s">
        <v>14</v>
      </c>
      <c r="F857" s="212" t="s">
        <v>12670</v>
      </c>
      <c r="G857" s="227" t="s">
        <v>12067</v>
      </c>
      <c r="H857" s="228">
        <v>5878</v>
      </c>
      <c r="I857" s="208">
        <v>15.25</v>
      </c>
      <c r="J857" s="211"/>
      <c r="K857" s="209">
        <v>0</v>
      </c>
      <c r="L857" s="212"/>
      <c r="M857" s="212" t="e">
        <f>VLOOKUP(Table12[[#This Row],[ROUTE]],DEMAND!A:F,5,FALSE)</f>
        <v>#N/A</v>
      </c>
      <c r="N857" s="212" t="e">
        <f>VLOOKUP(Table12[[#This Row],[ROUTE]],DEMAND!A:F,6,FALSE)</f>
        <v>#N/A</v>
      </c>
      <c r="O857" s="212" t="e">
        <f>ROUNDDOWN(Table12[[#This Row],[R-DEMAND]]/1320,0)</f>
        <v>#N/A</v>
      </c>
      <c r="P857" s="212" t="e">
        <f>Table12[[#This Row],[ADD ACC]]*Table12[[#This Row],[RT TIME 
(777-500ER)]]</f>
        <v>#N/A</v>
      </c>
    </row>
    <row r="858" spans="1:16" ht="15.75" customHeight="1" x14ac:dyDescent="0.25">
      <c r="A858" s="212" t="s">
        <v>14723</v>
      </c>
      <c r="B858" s="212" t="s">
        <v>4072</v>
      </c>
      <c r="C858" s="212"/>
      <c r="D858" s="226">
        <v>2</v>
      </c>
      <c r="E858" s="212" t="s">
        <v>14</v>
      </c>
      <c r="F858" s="212" t="s">
        <v>12670</v>
      </c>
      <c r="G858" s="227" t="s">
        <v>12041</v>
      </c>
      <c r="H858" s="228">
        <v>6333</v>
      </c>
      <c r="I858" s="208">
        <v>16.25</v>
      </c>
      <c r="J858" s="211"/>
      <c r="K858" s="209">
        <v>0</v>
      </c>
      <c r="L858" s="212"/>
      <c r="M858" s="212" t="e">
        <f>VLOOKUP(Table12[[#This Row],[ROUTE]],DEMAND!A:F,5,FALSE)</f>
        <v>#N/A</v>
      </c>
      <c r="N858" s="212" t="e">
        <f>VLOOKUP(Table12[[#This Row],[ROUTE]],DEMAND!A:F,6,FALSE)</f>
        <v>#N/A</v>
      </c>
      <c r="O858" s="212" t="e">
        <f>ROUNDDOWN(Table12[[#This Row],[R-DEMAND]]/1320,0)</f>
        <v>#N/A</v>
      </c>
      <c r="P858" s="212" t="e">
        <f>Table12[[#This Row],[ADD ACC]]*Table12[[#This Row],[RT TIME 
(777-500ER)]]</f>
        <v>#N/A</v>
      </c>
    </row>
    <row r="859" spans="1:16" ht="15.75" customHeight="1" x14ac:dyDescent="0.25">
      <c r="A859" s="212" t="s">
        <v>14421</v>
      </c>
      <c r="B859" s="212" t="s">
        <v>2651</v>
      </c>
      <c r="C859" s="212"/>
      <c r="D859" s="226">
        <v>2</v>
      </c>
      <c r="E859" s="212" t="s">
        <v>514</v>
      </c>
      <c r="F859" s="212" t="s">
        <v>12688</v>
      </c>
      <c r="G859" s="227" t="s">
        <v>13169</v>
      </c>
      <c r="H859" s="228">
        <v>6727</v>
      </c>
      <c r="I859" s="208">
        <v>17.25</v>
      </c>
      <c r="J859" s="211"/>
      <c r="K859" s="209">
        <v>0</v>
      </c>
      <c r="L859" s="212"/>
      <c r="M859" s="212" t="e">
        <f>VLOOKUP(Table12[[#This Row],[ROUTE]],DEMAND!A:F,5,FALSE)</f>
        <v>#N/A</v>
      </c>
      <c r="N859" s="212" t="e">
        <f>VLOOKUP(Table12[[#This Row],[ROUTE]],DEMAND!A:F,6,FALSE)</f>
        <v>#N/A</v>
      </c>
      <c r="O859" s="212" t="e">
        <f>ROUNDDOWN(Table12[[#This Row],[R-DEMAND]]/1320,0)</f>
        <v>#N/A</v>
      </c>
      <c r="P859" s="212" t="e">
        <f>Table12[[#This Row],[ADD ACC]]*Table12[[#This Row],[RT TIME 
(777-500ER)]]</f>
        <v>#N/A</v>
      </c>
    </row>
    <row r="860" spans="1:16" ht="15.75" customHeight="1" x14ac:dyDescent="0.25">
      <c r="A860" s="212" t="s">
        <v>14755</v>
      </c>
      <c r="B860" s="212" t="s">
        <v>4070</v>
      </c>
      <c r="C860" s="212"/>
      <c r="D860" s="226">
        <v>2</v>
      </c>
      <c r="E860" s="212" t="s">
        <v>14</v>
      </c>
      <c r="F860" s="212" t="s">
        <v>12670</v>
      </c>
      <c r="G860" s="227" t="s">
        <v>12042</v>
      </c>
      <c r="H860" s="228">
        <v>5843</v>
      </c>
      <c r="I860" s="208">
        <v>15.25</v>
      </c>
      <c r="J860" s="211"/>
      <c r="K860" s="209">
        <v>0</v>
      </c>
      <c r="L860" s="212"/>
      <c r="M860" s="212" t="e">
        <f>VLOOKUP(Table12[[#This Row],[ROUTE]],DEMAND!A:F,5,FALSE)</f>
        <v>#N/A</v>
      </c>
      <c r="N860" s="212" t="e">
        <f>VLOOKUP(Table12[[#This Row],[ROUTE]],DEMAND!A:F,6,FALSE)</f>
        <v>#N/A</v>
      </c>
      <c r="O860" s="212" t="e">
        <f>ROUNDDOWN(Table12[[#This Row],[R-DEMAND]]/1320,0)</f>
        <v>#N/A</v>
      </c>
      <c r="P860" s="212" t="e">
        <f>Table12[[#This Row],[ADD ACC]]*Table12[[#This Row],[RT TIME 
(777-500ER)]]</f>
        <v>#N/A</v>
      </c>
    </row>
    <row r="861" spans="1:16" ht="15.75" customHeight="1" x14ac:dyDescent="0.25">
      <c r="A861" s="212" t="s">
        <v>14925</v>
      </c>
      <c r="B861" s="212" t="s">
        <v>2466</v>
      </c>
      <c r="C861" s="212"/>
      <c r="D861" s="226">
        <v>1</v>
      </c>
      <c r="E861" s="212" t="s">
        <v>700</v>
      </c>
      <c r="F861" s="212" t="s">
        <v>12670</v>
      </c>
      <c r="G861" s="227" t="s">
        <v>11852</v>
      </c>
      <c r="H861" s="228">
        <v>1793</v>
      </c>
      <c r="I861" s="208">
        <v>6.25</v>
      </c>
      <c r="J861" s="211"/>
      <c r="K861" s="209">
        <v>0</v>
      </c>
      <c r="L861" s="212"/>
      <c r="M861" s="212" t="e">
        <f>VLOOKUP(Table12[[#This Row],[ROUTE]],DEMAND!A:F,5,FALSE)</f>
        <v>#N/A</v>
      </c>
      <c r="N861" s="212" t="e">
        <f>VLOOKUP(Table12[[#This Row],[ROUTE]],DEMAND!A:F,6,FALSE)</f>
        <v>#N/A</v>
      </c>
      <c r="O861" s="212" t="e">
        <f>ROUNDDOWN(Table12[[#This Row],[R-DEMAND]]/1320,0)</f>
        <v>#N/A</v>
      </c>
      <c r="P861" s="212" t="e">
        <f>Table12[[#This Row],[ADD ACC]]*Table12[[#This Row],[RT TIME 
(777-500ER)]]</f>
        <v>#N/A</v>
      </c>
    </row>
    <row r="862" spans="1:16" ht="15.75" customHeight="1" x14ac:dyDescent="0.25">
      <c r="A862" s="212" t="s">
        <v>14428</v>
      </c>
      <c r="B862" s="212" t="s">
        <v>4136</v>
      </c>
      <c r="C862" s="212"/>
      <c r="D862" s="226">
        <v>2</v>
      </c>
      <c r="E862" s="212" t="s">
        <v>514</v>
      </c>
      <c r="F862" s="212" t="s">
        <v>12688</v>
      </c>
      <c r="G862" s="227" t="s">
        <v>13172</v>
      </c>
      <c r="H862" s="228">
        <v>7595</v>
      </c>
      <c r="I862" s="208">
        <v>19.25</v>
      </c>
      <c r="J862" s="211"/>
      <c r="K862" s="209">
        <v>0</v>
      </c>
      <c r="L862" s="212"/>
      <c r="M862" s="212" t="e">
        <f>VLOOKUP(Table12[[#This Row],[ROUTE]],DEMAND!A:F,5,FALSE)</f>
        <v>#N/A</v>
      </c>
      <c r="N862" s="212" t="e">
        <f>VLOOKUP(Table12[[#This Row],[ROUTE]],DEMAND!A:F,6,FALSE)</f>
        <v>#N/A</v>
      </c>
      <c r="O862" s="212" t="e">
        <f>ROUNDDOWN(Table12[[#This Row],[R-DEMAND]]/1320,0)</f>
        <v>#N/A</v>
      </c>
      <c r="P862" s="212" t="e">
        <f>Table12[[#This Row],[ADD ACC]]*Table12[[#This Row],[RT TIME 
(777-500ER)]]</f>
        <v>#N/A</v>
      </c>
    </row>
    <row r="863" spans="1:16" ht="15.75" customHeight="1" x14ac:dyDescent="0.25">
      <c r="A863" s="212" t="s">
        <v>14438</v>
      </c>
      <c r="B863" s="212" t="s">
        <v>1477</v>
      </c>
      <c r="C863" s="212"/>
      <c r="D863" s="226">
        <v>1</v>
      </c>
      <c r="E863" s="212" t="s">
        <v>514</v>
      </c>
      <c r="F863" s="212" t="s">
        <v>12688</v>
      </c>
      <c r="G863" s="227" t="s">
        <v>13174</v>
      </c>
      <c r="H863" s="228">
        <v>6108</v>
      </c>
      <c r="I863" s="208">
        <v>15.75</v>
      </c>
      <c r="J863" s="211"/>
      <c r="K863" s="209">
        <v>0</v>
      </c>
      <c r="L863" s="212"/>
      <c r="M863" s="212" t="e">
        <f>VLOOKUP(Table12[[#This Row],[ROUTE]],DEMAND!A:F,5,FALSE)</f>
        <v>#N/A</v>
      </c>
      <c r="N863" s="212" t="e">
        <f>VLOOKUP(Table12[[#This Row],[ROUTE]],DEMAND!A:F,6,FALSE)</f>
        <v>#N/A</v>
      </c>
      <c r="O863" s="212" t="e">
        <f>ROUNDDOWN(Table12[[#This Row],[R-DEMAND]]/1320,0)</f>
        <v>#N/A</v>
      </c>
      <c r="P863" s="212" t="e">
        <f>Table12[[#This Row],[ADD ACC]]*Table12[[#This Row],[RT TIME 
(777-500ER)]]</f>
        <v>#N/A</v>
      </c>
    </row>
    <row r="864" spans="1:16" ht="15.75" customHeight="1" x14ac:dyDescent="0.25">
      <c r="A864" s="212" t="s">
        <v>14637</v>
      </c>
      <c r="B864" s="212" t="s">
        <v>4106</v>
      </c>
      <c r="C864" s="212"/>
      <c r="D864" s="226">
        <v>2</v>
      </c>
      <c r="E864" s="212" t="s">
        <v>78</v>
      </c>
      <c r="F864" s="212" t="s">
        <v>12674</v>
      </c>
      <c r="G864" s="227" t="s">
        <v>6123</v>
      </c>
      <c r="H864" s="228">
        <v>4898</v>
      </c>
      <c r="I864" s="208">
        <v>13</v>
      </c>
      <c r="J864" s="211"/>
      <c r="K864" s="209">
        <v>0</v>
      </c>
      <c r="L864" s="212"/>
      <c r="M864" s="212" t="e">
        <f>VLOOKUP(Table12[[#This Row],[ROUTE]],DEMAND!A:F,5,FALSE)</f>
        <v>#N/A</v>
      </c>
      <c r="N864" s="212" t="e">
        <f>VLOOKUP(Table12[[#This Row],[ROUTE]],DEMAND!A:F,6,FALSE)</f>
        <v>#N/A</v>
      </c>
      <c r="O864" s="212" t="e">
        <f>ROUNDDOWN(Table12[[#This Row],[R-DEMAND]]/1320,0)</f>
        <v>#N/A</v>
      </c>
      <c r="P864" s="212" t="e">
        <f>Table12[[#This Row],[ADD ACC]]*Table12[[#This Row],[RT TIME 
(777-500ER)]]</f>
        <v>#N/A</v>
      </c>
    </row>
    <row r="865" spans="1:16" ht="15.75" customHeight="1" x14ac:dyDescent="0.25">
      <c r="A865" s="212" t="s">
        <v>14878</v>
      </c>
      <c r="B865" s="212" t="s">
        <v>3219</v>
      </c>
      <c r="C865" s="212"/>
      <c r="D865" s="226">
        <v>2</v>
      </c>
      <c r="E865" s="212" t="s">
        <v>172</v>
      </c>
      <c r="F865" s="212" t="s">
        <v>12670</v>
      </c>
      <c r="G865" s="227" t="s">
        <v>11913</v>
      </c>
      <c r="H865" s="228">
        <v>3477</v>
      </c>
      <c r="I865" s="208">
        <v>10</v>
      </c>
      <c r="J865" s="211"/>
      <c r="K865" s="209">
        <v>0</v>
      </c>
      <c r="L865" s="212"/>
      <c r="M865" s="212" t="e">
        <f>VLOOKUP(Table12[[#This Row],[ROUTE]],DEMAND!A:F,5,FALSE)</f>
        <v>#N/A</v>
      </c>
      <c r="N865" s="212" t="e">
        <f>VLOOKUP(Table12[[#This Row],[ROUTE]],DEMAND!A:F,6,FALSE)</f>
        <v>#N/A</v>
      </c>
      <c r="O865" s="212" t="e">
        <f>ROUNDDOWN(Table12[[#This Row],[R-DEMAND]]/1320,0)</f>
        <v>#N/A</v>
      </c>
      <c r="P865" s="212" t="e">
        <f>Table12[[#This Row],[ADD ACC]]*Table12[[#This Row],[RT TIME 
(777-500ER)]]</f>
        <v>#N/A</v>
      </c>
    </row>
    <row r="866" spans="1:16" ht="15.75" customHeight="1" x14ac:dyDescent="0.25">
      <c r="A866" s="212" t="s">
        <v>15058</v>
      </c>
      <c r="B866" s="212" t="s">
        <v>2061</v>
      </c>
      <c r="C866" s="212"/>
      <c r="D866" s="226">
        <v>1</v>
      </c>
      <c r="E866" s="212" t="s">
        <v>2059</v>
      </c>
      <c r="F866" s="212" t="s">
        <v>12671</v>
      </c>
      <c r="G866" s="227" t="s">
        <v>11799</v>
      </c>
      <c r="H866" s="228">
        <v>5598</v>
      </c>
      <c r="I866" s="208">
        <v>14.75</v>
      </c>
      <c r="J866" s="211"/>
      <c r="K866" s="209">
        <v>0</v>
      </c>
      <c r="L866" s="212"/>
      <c r="M866" s="212" t="e">
        <f>VLOOKUP(Table12[[#This Row],[ROUTE]],DEMAND!A:F,5,FALSE)</f>
        <v>#N/A</v>
      </c>
      <c r="N866" s="212" t="e">
        <f>VLOOKUP(Table12[[#This Row],[ROUTE]],DEMAND!A:F,6,FALSE)</f>
        <v>#N/A</v>
      </c>
      <c r="O866" s="212" t="e">
        <f>ROUNDDOWN(Table12[[#This Row],[R-DEMAND]]/1320,0)</f>
        <v>#N/A</v>
      </c>
      <c r="P866" s="212" t="e">
        <f>Table12[[#This Row],[ADD ACC]]*Table12[[#This Row],[RT TIME 
(777-500ER)]]</f>
        <v>#N/A</v>
      </c>
    </row>
    <row r="867" spans="1:16" ht="15.75" customHeight="1" x14ac:dyDescent="0.25">
      <c r="A867" s="212" t="s">
        <v>14433</v>
      </c>
      <c r="B867" s="212" t="s">
        <v>3507</v>
      </c>
      <c r="C867" s="212"/>
      <c r="D867" s="226">
        <v>2</v>
      </c>
      <c r="E867" s="212" t="s">
        <v>514</v>
      </c>
      <c r="F867" s="212" t="s">
        <v>12688</v>
      </c>
      <c r="G867" s="227" t="s">
        <v>6041</v>
      </c>
      <c r="H867" s="228">
        <v>8219</v>
      </c>
      <c r="I867" s="208">
        <v>20.5</v>
      </c>
      <c r="J867" s="211"/>
      <c r="K867" s="209">
        <v>0</v>
      </c>
      <c r="L867" s="212"/>
      <c r="M867" s="212" t="e">
        <f>VLOOKUP(Table12[[#This Row],[ROUTE]],DEMAND!A:F,5,FALSE)</f>
        <v>#N/A</v>
      </c>
      <c r="N867" s="212" t="e">
        <f>VLOOKUP(Table12[[#This Row],[ROUTE]],DEMAND!A:F,6,FALSE)</f>
        <v>#N/A</v>
      </c>
      <c r="O867" s="212" t="e">
        <f>ROUNDDOWN(Table12[[#This Row],[R-DEMAND]]/1320,0)</f>
        <v>#N/A</v>
      </c>
      <c r="P867" s="212" t="e">
        <f>Table12[[#This Row],[ADD ACC]]*Table12[[#This Row],[RT TIME 
(777-500ER)]]</f>
        <v>#N/A</v>
      </c>
    </row>
    <row r="868" spans="1:16" ht="15.75" customHeight="1" x14ac:dyDescent="0.25">
      <c r="A868" s="212" t="s">
        <v>14436</v>
      </c>
      <c r="B868" s="212" t="s">
        <v>3652</v>
      </c>
      <c r="C868" s="212"/>
      <c r="D868" s="226">
        <v>2</v>
      </c>
      <c r="E868" s="212" t="s">
        <v>514</v>
      </c>
      <c r="F868" s="212" t="s">
        <v>12688</v>
      </c>
      <c r="G868" s="227" t="s">
        <v>13175</v>
      </c>
      <c r="H868" s="228">
        <v>5872</v>
      </c>
      <c r="I868" s="208">
        <v>15.25</v>
      </c>
      <c r="J868" s="211"/>
      <c r="K868" s="209">
        <v>0</v>
      </c>
      <c r="L868" s="212"/>
      <c r="M868" s="212" t="e">
        <f>VLOOKUP(Table12[[#This Row],[ROUTE]],DEMAND!A:F,5,FALSE)</f>
        <v>#N/A</v>
      </c>
      <c r="N868" s="212" t="e">
        <f>VLOOKUP(Table12[[#This Row],[ROUTE]],DEMAND!A:F,6,FALSE)</f>
        <v>#N/A</v>
      </c>
      <c r="O868" s="212" t="e">
        <f>ROUNDDOWN(Table12[[#This Row],[R-DEMAND]]/1320,0)</f>
        <v>#N/A</v>
      </c>
      <c r="P868" s="212" t="e">
        <f>Table12[[#This Row],[ADD ACC]]*Table12[[#This Row],[RT TIME 
(777-500ER)]]</f>
        <v>#N/A</v>
      </c>
    </row>
    <row r="869" spans="1:16" ht="15.75" customHeight="1" x14ac:dyDescent="0.25">
      <c r="A869" s="212" t="s">
        <v>14407</v>
      </c>
      <c r="B869" s="212" t="s">
        <v>3091</v>
      </c>
      <c r="C869" s="212"/>
      <c r="D869" s="226" t="s">
        <v>15105</v>
      </c>
      <c r="E869" s="212" t="s">
        <v>647</v>
      </c>
      <c r="F869" s="212" t="s">
        <v>12688</v>
      </c>
      <c r="G869" s="227" t="s">
        <v>13279</v>
      </c>
      <c r="H869" s="228">
        <v>9881</v>
      </c>
      <c r="I869" s="208">
        <v>24.25</v>
      </c>
      <c r="J869" s="211"/>
      <c r="K869" s="209">
        <v>0</v>
      </c>
      <c r="L869" s="212"/>
      <c r="M869" s="212" t="e">
        <f>VLOOKUP(Table12[[#This Row],[ROUTE]],DEMAND!A:F,5,FALSE)</f>
        <v>#N/A</v>
      </c>
      <c r="N869" s="212" t="e">
        <f>VLOOKUP(Table12[[#This Row],[ROUTE]],DEMAND!A:F,6,FALSE)</f>
        <v>#N/A</v>
      </c>
      <c r="O869" s="212" t="e">
        <f>ROUNDDOWN(Table12[[#This Row],[R-DEMAND]]/1320,0)</f>
        <v>#N/A</v>
      </c>
      <c r="P869" s="212" t="e">
        <f>Table12[[#This Row],[ADD ACC]]*Table12[[#This Row],[RT TIME 
(777-500ER)]]</f>
        <v>#N/A</v>
      </c>
    </row>
    <row r="870" spans="1:16" ht="15.75" customHeight="1" x14ac:dyDescent="0.25">
      <c r="A870" s="212" t="s">
        <v>14423</v>
      </c>
      <c r="B870" s="212" t="s">
        <v>2974</v>
      </c>
      <c r="C870" s="212"/>
      <c r="D870" s="226">
        <v>2</v>
      </c>
      <c r="E870" s="212" t="s">
        <v>514</v>
      </c>
      <c r="F870" s="212" t="s">
        <v>12688</v>
      </c>
      <c r="G870" s="227" t="s">
        <v>13167</v>
      </c>
      <c r="H870" s="228">
        <v>7051</v>
      </c>
      <c r="I870" s="208">
        <v>18</v>
      </c>
      <c r="J870" s="211"/>
      <c r="K870" s="209">
        <v>0</v>
      </c>
      <c r="L870" s="212"/>
      <c r="M870" s="212" t="e">
        <f>VLOOKUP(Table12[[#This Row],[ROUTE]],DEMAND!A:F,5,FALSE)</f>
        <v>#N/A</v>
      </c>
      <c r="N870" s="212" t="e">
        <f>VLOOKUP(Table12[[#This Row],[ROUTE]],DEMAND!A:F,6,FALSE)</f>
        <v>#N/A</v>
      </c>
      <c r="O870" s="212" t="e">
        <f>ROUNDDOWN(Table12[[#This Row],[R-DEMAND]]/1320,0)</f>
        <v>#N/A</v>
      </c>
      <c r="P870" s="212" t="e">
        <f>Table12[[#This Row],[ADD ACC]]*Table12[[#This Row],[RT TIME 
(777-500ER)]]</f>
        <v>#N/A</v>
      </c>
    </row>
    <row r="871" spans="1:16" ht="15.75" customHeight="1" x14ac:dyDescent="0.25">
      <c r="A871" s="212" t="s">
        <v>14431</v>
      </c>
      <c r="B871" s="212" t="s">
        <v>3904</v>
      </c>
      <c r="C871" s="212"/>
      <c r="D871" s="226">
        <v>2</v>
      </c>
      <c r="E871" s="212" t="s">
        <v>514</v>
      </c>
      <c r="F871" s="212" t="s">
        <v>12688</v>
      </c>
      <c r="G871" s="227" t="s">
        <v>11671</v>
      </c>
      <c r="H871" s="228">
        <v>7735</v>
      </c>
      <c r="I871" s="208">
        <v>19.5</v>
      </c>
      <c r="J871" s="211"/>
      <c r="K871" s="209">
        <v>0</v>
      </c>
      <c r="L871" s="212"/>
      <c r="M871" s="212" t="e">
        <f>VLOOKUP(Table12[[#This Row],[ROUTE]],DEMAND!A:F,5,FALSE)</f>
        <v>#N/A</v>
      </c>
      <c r="N871" s="212" t="e">
        <f>VLOOKUP(Table12[[#This Row],[ROUTE]],DEMAND!A:F,6,FALSE)</f>
        <v>#N/A</v>
      </c>
      <c r="O871" s="212" t="e">
        <f>ROUNDDOWN(Table12[[#This Row],[R-DEMAND]]/1320,0)</f>
        <v>#N/A</v>
      </c>
      <c r="P871" s="212" t="e">
        <f>Table12[[#This Row],[ADD ACC]]*Table12[[#This Row],[RT TIME 
(777-500ER)]]</f>
        <v>#N/A</v>
      </c>
    </row>
    <row r="872" spans="1:16" ht="15.75" customHeight="1" x14ac:dyDescent="0.25">
      <c r="A872" s="212" t="s">
        <v>14434</v>
      </c>
      <c r="B872" s="212" t="s">
        <v>4062</v>
      </c>
      <c r="C872" s="212"/>
      <c r="D872" s="226">
        <v>2</v>
      </c>
      <c r="E872" s="212" t="s">
        <v>514</v>
      </c>
      <c r="F872" s="212" t="s">
        <v>12688</v>
      </c>
      <c r="G872" s="227" t="s">
        <v>11667</v>
      </c>
      <c r="H872" s="228">
        <v>8260</v>
      </c>
      <c r="I872" s="208">
        <v>20.75</v>
      </c>
      <c r="J872" s="211"/>
      <c r="K872" s="209">
        <v>0</v>
      </c>
      <c r="L872" s="212"/>
      <c r="M872" s="212" t="e">
        <f>VLOOKUP(Table12[[#This Row],[ROUTE]],DEMAND!A:F,5,FALSE)</f>
        <v>#N/A</v>
      </c>
      <c r="N872" s="212" t="e">
        <f>VLOOKUP(Table12[[#This Row],[ROUTE]],DEMAND!A:F,6,FALSE)</f>
        <v>#N/A</v>
      </c>
      <c r="O872" s="212" t="e">
        <f>ROUNDDOWN(Table12[[#This Row],[R-DEMAND]]/1320,0)</f>
        <v>#N/A</v>
      </c>
      <c r="P872" s="212" t="e">
        <f>Table12[[#This Row],[ADD ACC]]*Table12[[#This Row],[RT TIME 
(777-500ER)]]</f>
        <v>#N/A</v>
      </c>
    </row>
    <row r="873" spans="1:16" ht="15.75" customHeight="1" x14ac:dyDescent="0.25">
      <c r="A873" s="212" t="s">
        <v>14422</v>
      </c>
      <c r="B873" s="212" t="s">
        <v>3269</v>
      </c>
      <c r="C873" s="212"/>
      <c r="D873" s="226">
        <v>2</v>
      </c>
      <c r="E873" s="212" t="s">
        <v>514</v>
      </c>
      <c r="F873" s="212" t="s">
        <v>12688</v>
      </c>
      <c r="G873" s="227" t="s">
        <v>11695</v>
      </c>
      <c r="H873" s="228">
        <v>7090</v>
      </c>
      <c r="I873" s="208">
        <v>18</v>
      </c>
      <c r="J873" s="211"/>
      <c r="K873" s="209">
        <v>0</v>
      </c>
      <c r="L873" s="212"/>
      <c r="M873" s="212" t="e">
        <f>VLOOKUP(Table12[[#This Row],[ROUTE]],DEMAND!A:F,5,FALSE)</f>
        <v>#N/A</v>
      </c>
      <c r="N873" s="212" t="e">
        <f>VLOOKUP(Table12[[#This Row],[ROUTE]],DEMAND!A:F,6,FALSE)</f>
        <v>#N/A</v>
      </c>
      <c r="O873" s="212" t="e">
        <f>ROUNDDOWN(Table12[[#This Row],[R-DEMAND]]/1320,0)</f>
        <v>#N/A</v>
      </c>
      <c r="P873" s="212" t="e">
        <f>Table12[[#This Row],[ADD ACC]]*Table12[[#This Row],[RT TIME 
(777-500ER)]]</f>
        <v>#N/A</v>
      </c>
    </row>
    <row r="874" spans="1:16" ht="15.75" customHeight="1" x14ac:dyDescent="0.25">
      <c r="A874" s="212" t="s">
        <v>14426</v>
      </c>
      <c r="B874" s="212" t="s">
        <v>2321</v>
      </c>
      <c r="C874" s="212"/>
      <c r="D874" s="226">
        <v>1</v>
      </c>
      <c r="E874" s="212" t="s">
        <v>514</v>
      </c>
      <c r="F874" s="212" t="s">
        <v>12688</v>
      </c>
      <c r="G874" s="227" t="s">
        <v>13168</v>
      </c>
      <c r="H874" s="228">
        <v>7276</v>
      </c>
      <c r="I874" s="208">
        <v>18.5</v>
      </c>
      <c r="J874" s="211"/>
      <c r="K874" s="209">
        <v>0</v>
      </c>
      <c r="L874" s="212"/>
      <c r="M874" s="212" t="e">
        <f>VLOOKUP(Table12[[#This Row],[ROUTE]],DEMAND!A:F,5,FALSE)</f>
        <v>#N/A</v>
      </c>
      <c r="N874" s="212" t="e">
        <f>VLOOKUP(Table12[[#This Row],[ROUTE]],DEMAND!A:F,6,FALSE)</f>
        <v>#N/A</v>
      </c>
      <c r="O874" s="212" t="e">
        <f>ROUNDDOWN(Table12[[#This Row],[R-DEMAND]]/1320,0)</f>
        <v>#N/A</v>
      </c>
      <c r="P874" s="212" t="e">
        <f>Table12[[#This Row],[ADD ACC]]*Table12[[#This Row],[RT TIME 
(777-500ER)]]</f>
        <v>#N/A</v>
      </c>
    </row>
    <row r="875" spans="1:16" ht="15.75" customHeight="1" x14ac:dyDescent="0.25">
      <c r="A875" s="212" t="s">
        <v>14420</v>
      </c>
      <c r="B875" s="212" t="s">
        <v>2759</v>
      </c>
      <c r="C875" s="212"/>
      <c r="D875" s="226">
        <v>2</v>
      </c>
      <c r="E875" s="212" t="s">
        <v>514</v>
      </c>
      <c r="F875" s="212" t="s">
        <v>12688</v>
      </c>
      <c r="G875" s="227" t="s">
        <v>13165</v>
      </c>
      <c r="H875" s="228">
        <v>6624</v>
      </c>
      <c r="I875" s="208">
        <v>17</v>
      </c>
      <c r="J875" s="211"/>
      <c r="K875" s="209">
        <v>0</v>
      </c>
      <c r="L875" s="212"/>
      <c r="M875" s="212" t="e">
        <f>VLOOKUP(Table12[[#This Row],[ROUTE]],DEMAND!A:F,5,FALSE)</f>
        <v>#N/A</v>
      </c>
      <c r="N875" s="212" t="e">
        <f>VLOOKUP(Table12[[#This Row],[ROUTE]],DEMAND!A:F,6,FALSE)</f>
        <v>#N/A</v>
      </c>
      <c r="O875" s="212" t="e">
        <f>ROUNDDOWN(Table12[[#This Row],[R-DEMAND]]/1320,0)</f>
        <v>#N/A</v>
      </c>
      <c r="P875" s="212" t="e">
        <f>Table12[[#This Row],[ADD ACC]]*Table12[[#This Row],[RT TIME 
(777-500ER)]]</f>
        <v>#N/A</v>
      </c>
    </row>
    <row r="876" spans="1:16" ht="15.75" customHeight="1" x14ac:dyDescent="0.25">
      <c r="A876" s="212" t="s">
        <v>14437</v>
      </c>
      <c r="B876" s="212" t="s">
        <v>3398</v>
      </c>
      <c r="C876" s="212"/>
      <c r="D876" s="226">
        <v>2</v>
      </c>
      <c r="E876" s="212" t="s">
        <v>514</v>
      </c>
      <c r="F876" s="212" t="s">
        <v>12688</v>
      </c>
      <c r="G876" s="227" t="s">
        <v>5935</v>
      </c>
      <c r="H876" s="228">
        <v>5820</v>
      </c>
      <c r="I876" s="208">
        <v>15.25</v>
      </c>
      <c r="J876" s="211"/>
      <c r="K876" s="209">
        <v>0</v>
      </c>
      <c r="L876" s="212"/>
      <c r="M876" s="212" t="e">
        <f>VLOOKUP(Table12[[#This Row],[ROUTE]],DEMAND!A:F,5,FALSE)</f>
        <v>#N/A</v>
      </c>
      <c r="N876" s="212" t="e">
        <f>VLOOKUP(Table12[[#This Row],[ROUTE]],DEMAND!A:F,6,FALSE)</f>
        <v>#N/A</v>
      </c>
      <c r="O876" s="212" t="e">
        <f>ROUNDDOWN(Table12[[#This Row],[R-DEMAND]]/1320,0)</f>
        <v>#N/A</v>
      </c>
      <c r="P876" s="212" t="e">
        <f>Table12[[#This Row],[ADD ACC]]*Table12[[#This Row],[RT TIME 
(777-500ER)]]</f>
        <v>#N/A</v>
      </c>
    </row>
    <row r="877" spans="1:16" ht="15.75" customHeight="1" x14ac:dyDescent="0.25">
      <c r="A877" s="212" t="s">
        <v>14498</v>
      </c>
      <c r="B877" s="212" t="s">
        <v>5025</v>
      </c>
      <c r="C877" s="212"/>
      <c r="D877" s="226">
        <v>3</v>
      </c>
      <c r="E877" s="212" t="s">
        <v>1117</v>
      </c>
      <c r="F877" s="212" t="s">
        <v>12674</v>
      </c>
      <c r="G877" s="227" t="s">
        <v>11801</v>
      </c>
      <c r="H877" s="228">
        <v>1867</v>
      </c>
      <c r="I877" s="208">
        <v>6.25</v>
      </c>
      <c r="J877" s="211"/>
      <c r="K877" s="209">
        <v>0</v>
      </c>
      <c r="L877" s="212"/>
      <c r="M877" s="212" t="e">
        <f>VLOOKUP(Table12[[#This Row],[ROUTE]],DEMAND!A:F,5,FALSE)</f>
        <v>#N/A</v>
      </c>
      <c r="N877" s="212" t="e">
        <f>VLOOKUP(Table12[[#This Row],[ROUTE]],DEMAND!A:F,6,FALSE)</f>
        <v>#N/A</v>
      </c>
      <c r="O877" s="212" t="e">
        <f>ROUNDDOWN(Table12[[#This Row],[R-DEMAND]]/1320,0)</f>
        <v>#N/A</v>
      </c>
      <c r="P877" s="212" t="e">
        <f>Table12[[#This Row],[ADD ACC]]*Table12[[#This Row],[RT TIME 
(777-500ER)]]</f>
        <v>#N/A</v>
      </c>
    </row>
    <row r="878" spans="1:16" ht="15.75" customHeight="1" x14ac:dyDescent="0.25">
      <c r="A878" s="212" t="s">
        <v>14651</v>
      </c>
      <c r="B878" s="212" t="s">
        <v>4194</v>
      </c>
      <c r="C878" s="212"/>
      <c r="D878" s="226">
        <v>2</v>
      </c>
      <c r="E878" s="212" t="s">
        <v>119</v>
      </c>
      <c r="F878" s="212" t="s">
        <v>12674</v>
      </c>
      <c r="G878" s="227" t="s">
        <v>11703</v>
      </c>
      <c r="H878" s="228">
        <v>3192</v>
      </c>
      <c r="I878" s="208">
        <v>9.25</v>
      </c>
      <c r="J878" s="211"/>
      <c r="K878" s="209">
        <v>0</v>
      </c>
      <c r="L878" s="212"/>
      <c r="M878" s="212" t="e">
        <f>VLOOKUP(Table12[[#This Row],[ROUTE]],DEMAND!A:F,5,FALSE)</f>
        <v>#N/A</v>
      </c>
      <c r="N878" s="212" t="e">
        <f>VLOOKUP(Table12[[#This Row],[ROUTE]],DEMAND!A:F,6,FALSE)</f>
        <v>#N/A</v>
      </c>
      <c r="O878" s="212" t="e">
        <f>ROUNDDOWN(Table12[[#This Row],[R-DEMAND]]/1320,0)</f>
        <v>#N/A</v>
      </c>
      <c r="P878" s="212" t="e">
        <f>Table12[[#This Row],[ADD ACC]]*Table12[[#This Row],[RT TIME 
(777-500ER)]]</f>
        <v>#N/A</v>
      </c>
    </row>
    <row r="879" spans="1:16" ht="15.75" customHeight="1" x14ac:dyDescent="0.25">
      <c r="A879" s="212" t="s">
        <v>14467</v>
      </c>
      <c r="B879" s="212" t="s">
        <v>3972</v>
      </c>
      <c r="C879" s="212"/>
      <c r="D879" s="226">
        <v>2</v>
      </c>
      <c r="E879" s="212" t="s">
        <v>1749</v>
      </c>
      <c r="F879" s="212" t="s">
        <v>12688</v>
      </c>
      <c r="G879" s="227" t="s">
        <v>13217</v>
      </c>
      <c r="H879" s="228">
        <v>10544</v>
      </c>
      <c r="I879" s="208">
        <v>25.75</v>
      </c>
      <c r="J879" s="211"/>
      <c r="K879" s="209">
        <v>0</v>
      </c>
      <c r="L879" s="212"/>
      <c r="M879" s="212" t="e">
        <f>VLOOKUP(Table12[[#This Row],[ROUTE]],DEMAND!A:F,5,FALSE)</f>
        <v>#N/A</v>
      </c>
      <c r="N879" s="212" t="e">
        <f>VLOOKUP(Table12[[#This Row],[ROUTE]],DEMAND!A:F,6,FALSE)</f>
        <v>#N/A</v>
      </c>
      <c r="O879" s="212" t="e">
        <f>ROUNDDOWN(Table12[[#This Row],[R-DEMAND]]/1320,0)</f>
        <v>#N/A</v>
      </c>
      <c r="P879" s="212" t="e">
        <f>Table12[[#This Row],[ADD ACC]]*Table12[[#This Row],[RT TIME 
(777-500ER)]]</f>
        <v>#N/A</v>
      </c>
    </row>
    <row r="880" spans="1:16" ht="15.75" customHeight="1" x14ac:dyDescent="0.25">
      <c r="A880" s="212" t="s">
        <v>14712</v>
      </c>
      <c r="B880" s="212" t="s">
        <v>1963</v>
      </c>
      <c r="C880" s="212"/>
      <c r="D880" s="226">
        <v>1</v>
      </c>
      <c r="E880" s="212" t="s">
        <v>14</v>
      </c>
      <c r="F880" s="212" t="s">
        <v>12670</v>
      </c>
      <c r="G880" s="227" t="s">
        <v>12034</v>
      </c>
      <c r="H880" s="228">
        <v>5279</v>
      </c>
      <c r="I880" s="208">
        <v>14</v>
      </c>
      <c r="J880" s="211"/>
      <c r="K880" s="209">
        <v>0</v>
      </c>
      <c r="L880" s="212"/>
      <c r="M880" s="212" t="e">
        <f>VLOOKUP(Table12[[#This Row],[ROUTE]],DEMAND!A:F,5,FALSE)</f>
        <v>#N/A</v>
      </c>
      <c r="N880" s="212" t="e">
        <f>VLOOKUP(Table12[[#This Row],[ROUTE]],DEMAND!A:F,6,FALSE)</f>
        <v>#N/A</v>
      </c>
      <c r="O880" s="212" t="e">
        <f>ROUNDDOWN(Table12[[#This Row],[R-DEMAND]]/1320,0)</f>
        <v>#N/A</v>
      </c>
      <c r="P880" s="212" t="e">
        <f>Table12[[#This Row],[ADD ACC]]*Table12[[#This Row],[RT TIME 
(777-500ER)]]</f>
        <v>#N/A</v>
      </c>
    </row>
    <row r="881" spans="1:16" ht="15.75" customHeight="1" x14ac:dyDescent="0.25">
      <c r="A881" s="204" t="s">
        <v>14608</v>
      </c>
      <c r="B881" s="204" t="s">
        <v>14216</v>
      </c>
      <c r="C881" s="204"/>
      <c r="D881" s="205">
        <v>3</v>
      </c>
      <c r="E881" s="204" t="s">
        <v>78</v>
      </c>
      <c r="F881" s="204" t="s">
        <v>12674</v>
      </c>
      <c r="G881" s="206" t="s">
        <v>14215</v>
      </c>
      <c r="H881" s="204">
        <v>21</v>
      </c>
      <c r="I881" s="208">
        <v>2.25</v>
      </c>
      <c r="J881" s="209"/>
      <c r="K881" s="209">
        <v>0</v>
      </c>
      <c r="L881" s="204"/>
      <c r="M881" s="212" t="e">
        <f>VLOOKUP(Table12[[#This Row],[ROUTE]],DEMAND!A:F,5,FALSE)</f>
        <v>#N/A</v>
      </c>
      <c r="N881" s="212" t="e">
        <f>VLOOKUP(Table12[[#This Row],[ROUTE]],DEMAND!A:F,6,FALSE)</f>
        <v>#N/A</v>
      </c>
      <c r="O881" s="212" t="e">
        <f>ROUNDDOWN(Table12[[#This Row],[R-DEMAND]]/1320,0)</f>
        <v>#N/A</v>
      </c>
      <c r="P881" s="212" t="e">
        <f>Table12[[#This Row],[ADD ACC]]*Table12[[#This Row],[RT TIME 
(777-500ER)]]</f>
        <v>#N/A</v>
      </c>
    </row>
    <row r="882" spans="1:16" ht="15.75" customHeight="1" x14ac:dyDescent="0.25">
      <c r="A882" s="212" t="s">
        <v>14540</v>
      </c>
      <c r="B882" s="212" t="s">
        <v>3638</v>
      </c>
      <c r="C882" s="212"/>
      <c r="D882" s="226">
        <v>2</v>
      </c>
      <c r="E882" s="212" t="s">
        <v>1427</v>
      </c>
      <c r="F882" s="212" t="s">
        <v>12674</v>
      </c>
      <c r="G882" s="227" t="s">
        <v>11745</v>
      </c>
      <c r="H882" s="228">
        <v>2165</v>
      </c>
      <c r="I882" s="208">
        <v>7</v>
      </c>
      <c r="J882" s="211"/>
      <c r="K882" s="209">
        <v>0</v>
      </c>
      <c r="L882" s="212"/>
      <c r="M882" s="212" t="e">
        <f>VLOOKUP(Table12[[#This Row],[ROUTE]],DEMAND!A:F,5,FALSE)</f>
        <v>#N/A</v>
      </c>
      <c r="N882" s="212" t="e">
        <f>VLOOKUP(Table12[[#This Row],[ROUTE]],DEMAND!A:F,6,FALSE)</f>
        <v>#N/A</v>
      </c>
      <c r="O882" s="212" t="e">
        <f>ROUNDDOWN(Table12[[#This Row],[R-DEMAND]]/1320,0)</f>
        <v>#N/A</v>
      </c>
      <c r="P882" s="212" t="e">
        <f>Table12[[#This Row],[ADD ACC]]*Table12[[#This Row],[RT TIME 
(777-500ER)]]</f>
        <v>#N/A</v>
      </c>
    </row>
    <row r="883" spans="1:16" ht="15.75" customHeight="1" x14ac:dyDescent="0.25">
      <c r="A883" s="212" t="s">
        <v>14697</v>
      </c>
      <c r="B883" s="212" t="s">
        <v>3</v>
      </c>
      <c r="C883" s="212"/>
      <c r="D883" s="226">
        <v>2</v>
      </c>
      <c r="E883" s="212" t="s">
        <v>1710</v>
      </c>
      <c r="F883" s="212" t="s">
        <v>12670</v>
      </c>
      <c r="G883" s="227" t="s">
        <v>12068</v>
      </c>
      <c r="H883" s="228">
        <v>5499</v>
      </c>
      <c r="I883" s="208">
        <v>14.5</v>
      </c>
      <c r="J883" s="211"/>
      <c r="K883" s="209">
        <v>0</v>
      </c>
      <c r="L883" s="212"/>
      <c r="M883" s="212" t="e">
        <f>VLOOKUP(Table12[[#This Row],[ROUTE]],DEMAND!A:F,5,FALSE)</f>
        <v>#N/A</v>
      </c>
      <c r="N883" s="212" t="e">
        <f>VLOOKUP(Table12[[#This Row],[ROUTE]],DEMAND!A:F,6,FALSE)</f>
        <v>#N/A</v>
      </c>
      <c r="O883" s="212" t="e">
        <f>ROUNDDOWN(Table12[[#This Row],[R-DEMAND]]/1320,0)</f>
        <v>#N/A</v>
      </c>
      <c r="P883" s="212" t="e">
        <f>Table12[[#This Row],[ADD ACC]]*Table12[[#This Row],[RT TIME 
(777-500ER)]]</f>
        <v>#N/A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DF83E-7F99-432E-BD4E-8F967896C90C}">
  <sheetPr>
    <tabColor theme="6"/>
  </sheetPr>
  <dimension ref="A1:CG112"/>
  <sheetViews>
    <sheetView showGridLines="0" zoomScale="55" zoomScaleNormal="55" workbookViewId="0">
      <selection activeCell="AT36" sqref="AT36"/>
    </sheetView>
  </sheetViews>
  <sheetFormatPr defaultColWidth="9.140625" defaultRowHeight="15" x14ac:dyDescent="0.25"/>
  <cols>
    <col min="1" max="20" width="9.7109375" style="136" customWidth="1"/>
    <col min="21" max="30" width="9.7109375" style="470" customWidth="1"/>
    <col min="31" max="55" width="9.140625" style="470"/>
    <col min="56" max="56" width="9.140625" style="529"/>
    <col min="57" max="66" width="9.140625" style="470"/>
    <col min="67" max="73" width="9.140625" style="136"/>
    <col min="74" max="77" width="9.140625" style="470"/>
    <col min="78" max="85" width="9.140625" style="518"/>
    <col min="86" max="16384" width="9.140625" style="519"/>
  </cols>
  <sheetData>
    <row r="1" spans="1:85" ht="37.5" customHeight="1" thickBot="1" x14ac:dyDescent="0.3">
      <c r="A1" s="679" t="s">
        <v>19835</v>
      </c>
      <c r="B1" s="679"/>
      <c r="C1" s="679"/>
      <c r="D1" s="679"/>
      <c r="E1" s="679"/>
      <c r="F1" s="679"/>
      <c r="G1" s="679"/>
      <c r="H1" s="679"/>
      <c r="I1" s="679"/>
      <c r="J1" s="679"/>
      <c r="K1" s="679"/>
      <c r="L1" s="679"/>
      <c r="M1" s="679"/>
      <c r="N1" s="679"/>
      <c r="O1" s="679"/>
      <c r="P1" s="679"/>
      <c r="Q1" s="679"/>
      <c r="R1" s="679"/>
      <c r="S1" s="679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V1" s="136"/>
      <c r="BW1" s="136"/>
      <c r="BX1" s="136"/>
      <c r="BY1" s="136"/>
    </row>
    <row r="2" spans="1:85" x14ac:dyDescent="0.25">
      <c r="A2" s="527" t="s">
        <v>1126</v>
      </c>
      <c r="B2" s="539">
        <v>8.25</v>
      </c>
      <c r="C2" s="596" t="s">
        <v>12663</v>
      </c>
      <c r="D2" s="471" t="s">
        <v>4941</v>
      </c>
      <c r="E2" s="516">
        <v>30.75</v>
      </c>
      <c r="F2" s="596" t="s">
        <v>12664</v>
      </c>
      <c r="G2" s="527" t="s">
        <v>457</v>
      </c>
      <c r="H2" s="539">
        <v>13.75</v>
      </c>
      <c r="I2" s="596" t="s">
        <v>12663</v>
      </c>
      <c r="J2" s="124" t="s">
        <v>4649</v>
      </c>
      <c r="K2" s="175">
        <v>25.5</v>
      </c>
      <c r="L2" s="596" t="s">
        <v>12663</v>
      </c>
      <c r="M2" s="527" t="s">
        <v>5625</v>
      </c>
      <c r="N2" s="539">
        <v>17</v>
      </c>
      <c r="O2" s="596" t="s">
        <v>12664</v>
      </c>
      <c r="P2" s="124" t="s">
        <v>2692</v>
      </c>
      <c r="Q2" s="175">
        <v>34.5</v>
      </c>
      <c r="R2" s="596" t="s">
        <v>12664</v>
      </c>
      <c r="S2" s="124" t="s">
        <v>4640</v>
      </c>
      <c r="T2" s="175">
        <v>10</v>
      </c>
      <c r="U2" s="596" t="s">
        <v>12664</v>
      </c>
      <c r="V2" s="471" t="s">
        <v>457</v>
      </c>
      <c r="W2" s="516">
        <v>13.75</v>
      </c>
      <c r="X2" s="596" t="s">
        <v>12664</v>
      </c>
      <c r="Y2" s="471" t="s">
        <v>402</v>
      </c>
      <c r="Z2" s="175">
        <v>7.25</v>
      </c>
      <c r="AA2" s="596" t="s">
        <v>12664</v>
      </c>
      <c r="AB2" s="471" t="s">
        <v>415</v>
      </c>
      <c r="AC2" s="125">
        <v>18</v>
      </c>
      <c r="AD2" s="596" t="s">
        <v>12664</v>
      </c>
      <c r="AE2" s="471" t="s">
        <v>217</v>
      </c>
      <c r="AF2" s="516">
        <v>16</v>
      </c>
      <c r="AG2" s="596" t="s">
        <v>12664</v>
      </c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  <c r="BZ2" s="519"/>
      <c r="CA2" s="519"/>
      <c r="CB2" s="519"/>
      <c r="CC2" s="519"/>
      <c r="CD2" s="519"/>
      <c r="CE2" s="519"/>
      <c r="CF2" s="519"/>
      <c r="CG2" s="519"/>
    </row>
    <row r="3" spans="1:85" x14ac:dyDescent="0.25">
      <c r="A3" s="540" t="s">
        <v>4229</v>
      </c>
      <c r="B3" s="541">
        <v>10.5</v>
      </c>
      <c r="C3" s="597"/>
      <c r="D3" s="478" t="s">
        <v>300</v>
      </c>
      <c r="E3" s="510">
        <v>14.25</v>
      </c>
      <c r="F3" s="597"/>
      <c r="G3" s="540" t="s">
        <v>4725</v>
      </c>
      <c r="H3" s="541">
        <v>18</v>
      </c>
      <c r="I3" s="597"/>
      <c r="J3" s="123" t="s">
        <v>5130</v>
      </c>
      <c r="K3" s="176">
        <v>25</v>
      </c>
      <c r="L3" s="597"/>
      <c r="M3" s="540" t="s">
        <v>286</v>
      </c>
      <c r="N3" s="541">
        <v>17.25</v>
      </c>
      <c r="O3" s="597"/>
      <c r="P3" s="123" t="s">
        <v>5200</v>
      </c>
      <c r="Q3" s="176">
        <v>34.5</v>
      </c>
      <c r="R3" s="597"/>
      <c r="S3" s="123" t="s">
        <v>381</v>
      </c>
      <c r="T3" s="176">
        <v>24.5</v>
      </c>
      <c r="U3" s="597"/>
      <c r="V3" s="478" t="s">
        <v>3941</v>
      </c>
      <c r="W3" s="510">
        <v>14.25</v>
      </c>
      <c r="X3" s="597"/>
      <c r="Y3" s="478" t="s">
        <v>290</v>
      </c>
      <c r="Z3" s="176">
        <v>18</v>
      </c>
      <c r="AA3" s="597"/>
      <c r="AB3" s="478" t="s">
        <v>385</v>
      </c>
      <c r="AC3" s="120">
        <v>17.75</v>
      </c>
      <c r="AD3" s="597"/>
      <c r="AE3" s="478" t="s">
        <v>450</v>
      </c>
      <c r="AF3" s="510">
        <v>9.5</v>
      </c>
      <c r="AG3" s="597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  <c r="BZ3" s="519"/>
      <c r="CA3" s="519"/>
      <c r="CB3" s="519"/>
      <c r="CC3" s="519"/>
      <c r="CD3" s="519"/>
      <c r="CE3" s="519"/>
      <c r="CF3" s="519"/>
      <c r="CG3" s="519"/>
    </row>
    <row r="4" spans="1:85" x14ac:dyDescent="0.25">
      <c r="A4" s="540" t="s">
        <v>446</v>
      </c>
      <c r="B4" s="541">
        <v>7</v>
      </c>
      <c r="C4" s="597"/>
      <c r="D4" s="478" t="s">
        <v>917</v>
      </c>
      <c r="E4" s="510">
        <v>30.25</v>
      </c>
      <c r="F4" s="597"/>
      <c r="G4" s="540" t="s">
        <v>4640</v>
      </c>
      <c r="H4" s="541">
        <v>10</v>
      </c>
      <c r="I4" s="597"/>
      <c r="J4" s="123" t="s">
        <v>178</v>
      </c>
      <c r="K4" s="176">
        <v>26.5</v>
      </c>
      <c r="L4" s="597"/>
      <c r="M4" s="540" t="s">
        <v>242</v>
      </c>
      <c r="N4" s="541">
        <v>17.25</v>
      </c>
      <c r="O4" s="597"/>
      <c r="P4" s="123" t="s">
        <v>4884</v>
      </c>
      <c r="Q4" s="176">
        <v>27.5</v>
      </c>
      <c r="R4" s="597"/>
      <c r="S4" s="123" t="s">
        <v>5616</v>
      </c>
      <c r="T4" s="176">
        <v>24.75</v>
      </c>
      <c r="U4" s="597"/>
      <c r="V4" s="478" t="s">
        <v>419</v>
      </c>
      <c r="W4" s="510">
        <v>11</v>
      </c>
      <c r="X4" s="597"/>
      <c r="Y4" s="478" t="s">
        <v>279</v>
      </c>
      <c r="Z4" s="176">
        <v>17.5</v>
      </c>
      <c r="AA4" s="597"/>
      <c r="AB4" s="478" t="s">
        <v>333</v>
      </c>
      <c r="AC4" s="120">
        <v>18</v>
      </c>
      <c r="AD4" s="597"/>
      <c r="AE4" s="478" t="s">
        <v>406</v>
      </c>
      <c r="AF4" s="510">
        <v>13.25</v>
      </c>
      <c r="AG4" s="597"/>
      <c r="AH4" s="519"/>
      <c r="AI4" s="519"/>
      <c r="AJ4" s="519"/>
      <c r="AK4" s="519"/>
      <c r="AL4" s="519"/>
      <c r="AM4" s="519"/>
      <c r="AN4" s="519"/>
      <c r="AO4" s="519"/>
      <c r="AP4" s="519"/>
      <c r="AQ4" s="519"/>
      <c r="AR4" s="519"/>
      <c r="AS4" s="519"/>
      <c r="AT4" s="519"/>
      <c r="AU4" s="519"/>
      <c r="AV4" s="519"/>
      <c r="AW4" s="519"/>
      <c r="AX4" s="519"/>
      <c r="AY4" s="519"/>
      <c r="AZ4" s="519"/>
      <c r="BA4" s="519"/>
      <c r="BB4" s="519"/>
      <c r="BC4" s="519"/>
      <c r="BD4" s="519"/>
      <c r="BE4" s="519"/>
      <c r="BF4" s="519"/>
      <c r="BG4" s="519"/>
      <c r="BH4" s="519"/>
      <c r="BI4" s="519"/>
      <c r="BJ4" s="519"/>
      <c r="BK4" s="519"/>
      <c r="BL4" s="519"/>
      <c r="BM4" s="519"/>
      <c r="BN4" s="519"/>
      <c r="BO4" s="519"/>
      <c r="BP4" s="519"/>
      <c r="BQ4" s="519"/>
      <c r="BR4" s="519"/>
      <c r="BS4" s="519"/>
      <c r="BT4" s="519"/>
      <c r="BU4" s="519"/>
      <c r="BV4" s="519"/>
      <c r="BW4" s="519"/>
      <c r="BX4" s="519"/>
      <c r="BY4" s="519"/>
      <c r="BZ4" s="519"/>
      <c r="CA4" s="519"/>
      <c r="CB4" s="519"/>
      <c r="CC4" s="519"/>
      <c r="CD4" s="519"/>
      <c r="CE4" s="519"/>
      <c r="CF4" s="519"/>
      <c r="CG4" s="519"/>
    </row>
    <row r="5" spans="1:85" x14ac:dyDescent="0.25">
      <c r="A5" s="540" t="s">
        <v>440</v>
      </c>
      <c r="B5" s="541">
        <v>7</v>
      </c>
      <c r="C5" s="597"/>
      <c r="D5" s="478" t="s">
        <v>5579</v>
      </c>
      <c r="E5" s="510">
        <v>22</v>
      </c>
      <c r="F5" s="597"/>
      <c r="G5" s="540" t="s">
        <v>5587</v>
      </c>
      <c r="H5" s="541">
        <v>6.75</v>
      </c>
      <c r="I5" s="597"/>
      <c r="J5" s="123" t="s">
        <v>4735</v>
      </c>
      <c r="K5" s="176">
        <v>25</v>
      </c>
      <c r="L5" s="597"/>
      <c r="M5" s="540" t="s">
        <v>5265</v>
      </c>
      <c r="N5" s="541">
        <v>17</v>
      </c>
      <c r="O5" s="597"/>
      <c r="P5" s="123" t="s">
        <v>917</v>
      </c>
      <c r="Q5" s="176">
        <v>30.25</v>
      </c>
      <c r="R5" s="597"/>
      <c r="S5" s="123" t="s">
        <v>5480</v>
      </c>
      <c r="T5" s="176">
        <v>26.25</v>
      </c>
      <c r="U5" s="597"/>
      <c r="V5" s="478" t="s">
        <v>388</v>
      </c>
      <c r="W5" s="510">
        <v>8.5</v>
      </c>
      <c r="X5" s="597"/>
      <c r="Y5" s="478" t="s">
        <v>147</v>
      </c>
      <c r="Z5" s="176">
        <v>17</v>
      </c>
      <c r="AA5" s="597"/>
      <c r="AB5" s="478" t="s">
        <v>277</v>
      </c>
      <c r="AC5" s="120">
        <v>18</v>
      </c>
      <c r="AD5" s="597"/>
      <c r="AE5" s="478" t="s">
        <v>376</v>
      </c>
      <c r="AF5" s="510">
        <v>7.75</v>
      </c>
      <c r="AG5" s="597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519"/>
      <c r="CB5" s="519"/>
      <c r="CC5" s="519"/>
      <c r="CD5" s="519"/>
      <c r="CE5" s="519"/>
      <c r="CF5" s="519"/>
      <c r="CG5" s="519"/>
    </row>
    <row r="6" spans="1:85" x14ac:dyDescent="0.25">
      <c r="A6" s="540" t="s">
        <v>3751</v>
      </c>
      <c r="B6" s="541">
        <v>9.25</v>
      </c>
      <c r="C6" s="597"/>
      <c r="D6" s="478" t="s">
        <v>117</v>
      </c>
      <c r="E6" s="510">
        <v>19</v>
      </c>
      <c r="F6" s="597"/>
      <c r="G6" s="540" t="s">
        <v>5658</v>
      </c>
      <c r="H6" s="541">
        <v>5.75</v>
      </c>
      <c r="I6" s="597"/>
      <c r="J6" s="123" t="s">
        <v>3553</v>
      </c>
      <c r="K6" s="176">
        <v>25</v>
      </c>
      <c r="L6" s="597"/>
      <c r="M6" s="540" t="s">
        <v>5406</v>
      </c>
      <c r="N6" s="541">
        <v>16.25</v>
      </c>
      <c r="O6" s="597"/>
      <c r="P6" s="123" t="s">
        <v>4032</v>
      </c>
      <c r="Q6" s="176">
        <v>34.5</v>
      </c>
      <c r="R6" s="597"/>
      <c r="S6" s="123" t="s">
        <v>5465</v>
      </c>
      <c r="T6" s="176">
        <v>23.75</v>
      </c>
      <c r="U6" s="597"/>
      <c r="V6" s="478" t="s">
        <v>5471</v>
      </c>
      <c r="W6" s="510">
        <v>9.25</v>
      </c>
      <c r="X6" s="597"/>
      <c r="Y6" s="478" t="s">
        <v>5762</v>
      </c>
      <c r="Z6" s="176">
        <v>20.25</v>
      </c>
      <c r="AA6" s="597"/>
      <c r="AB6" s="478" t="s">
        <v>145</v>
      </c>
      <c r="AC6" s="120">
        <v>19</v>
      </c>
      <c r="AD6" s="597"/>
      <c r="AE6" s="478" t="s">
        <v>5489</v>
      </c>
      <c r="AF6" s="176">
        <v>15.75</v>
      </c>
      <c r="AG6" s="597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519"/>
      <c r="CB6" s="519"/>
      <c r="CC6" s="519"/>
      <c r="CD6" s="519"/>
      <c r="CE6" s="519"/>
      <c r="CF6" s="519"/>
      <c r="CG6" s="519"/>
    </row>
    <row r="7" spans="1:85" ht="15.75" thickBot="1" x14ac:dyDescent="0.3">
      <c r="A7" s="540" t="s">
        <v>435</v>
      </c>
      <c r="B7" s="541">
        <v>10.5</v>
      </c>
      <c r="C7" s="597"/>
      <c r="D7" s="478" t="s">
        <v>4445</v>
      </c>
      <c r="E7" s="510">
        <v>9.5</v>
      </c>
      <c r="F7" s="597"/>
      <c r="G7" s="540" t="s">
        <v>347</v>
      </c>
      <c r="H7" s="541">
        <v>15</v>
      </c>
      <c r="I7" s="597"/>
      <c r="J7" s="123" t="s">
        <v>5114</v>
      </c>
      <c r="K7" s="176">
        <v>26.25</v>
      </c>
      <c r="L7" s="597"/>
      <c r="M7" s="540" t="s">
        <v>5373</v>
      </c>
      <c r="N7" s="541">
        <v>17</v>
      </c>
      <c r="O7" s="597"/>
      <c r="P7" s="164" t="s">
        <v>5473</v>
      </c>
      <c r="Q7" s="190">
        <v>6.75</v>
      </c>
      <c r="R7" s="601"/>
      <c r="S7" s="123" t="s">
        <v>248</v>
      </c>
      <c r="T7" s="176">
        <v>13.75</v>
      </c>
      <c r="U7" s="597"/>
      <c r="V7" s="478" t="s">
        <v>254</v>
      </c>
      <c r="W7" s="510">
        <v>10.25</v>
      </c>
      <c r="X7" s="597"/>
      <c r="Y7" s="478" t="s">
        <v>114</v>
      </c>
      <c r="Z7" s="176">
        <v>17.5</v>
      </c>
      <c r="AA7" s="597"/>
      <c r="AB7" s="478" t="s">
        <v>120</v>
      </c>
      <c r="AC7" s="120">
        <v>9.25</v>
      </c>
      <c r="AD7" s="597"/>
      <c r="AE7" s="123" t="s">
        <v>347</v>
      </c>
      <c r="AF7" s="176">
        <v>15</v>
      </c>
      <c r="AG7" s="597"/>
      <c r="AH7" s="519"/>
      <c r="AI7" s="519"/>
      <c r="AJ7" s="519"/>
      <c r="AK7" s="519"/>
      <c r="AL7" s="519"/>
      <c r="AM7" s="519"/>
      <c r="AN7" s="519"/>
      <c r="AO7" s="519"/>
      <c r="AP7" s="519"/>
      <c r="AQ7" s="519"/>
      <c r="AR7" s="519"/>
      <c r="AS7" s="519"/>
      <c r="AT7" s="519"/>
      <c r="AU7" s="519"/>
      <c r="AV7" s="519"/>
      <c r="AW7" s="519"/>
      <c r="AX7" s="519"/>
      <c r="AY7" s="519"/>
      <c r="AZ7" s="519"/>
      <c r="BA7" s="519"/>
      <c r="BB7" s="519"/>
      <c r="BC7" s="519"/>
      <c r="BD7" s="519"/>
      <c r="BE7" s="519"/>
      <c r="BF7" s="519"/>
      <c r="BG7" s="519"/>
      <c r="BH7" s="519"/>
      <c r="BI7" s="519"/>
      <c r="BJ7" s="519"/>
      <c r="BK7" s="519"/>
      <c r="BL7" s="519"/>
      <c r="BM7" s="519"/>
      <c r="BN7" s="519"/>
      <c r="BO7" s="519"/>
      <c r="BP7" s="519"/>
      <c r="BQ7" s="519"/>
      <c r="BR7" s="519"/>
      <c r="BS7" s="519"/>
      <c r="BT7" s="519"/>
      <c r="BU7" s="519"/>
      <c r="BV7" s="519"/>
      <c r="BW7" s="519"/>
      <c r="BX7" s="519"/>
      <c r="BY7" s="519"/>
      <c r="BZ7" s="519"/>
      <c r="CA7" s="519"/>
      <c r="CB7" s="519"/>
      <c r="CC7" s="519"/>
      <c r="CD7" s="519"/>
      <c r="CE7" s="519"/>
      <c r="CF7" s="519"/>
      <c r="CG7" s="519"/>
    </row>
    <row r="8" spans="1:85" ht="15.75" thickBot="1" x14ac:dyDescent="0.3">
      <c r="A8" s="540" t="s">
        <v>430</v>
      </c>
      <c r="B8" s="541">
        <v>9</v>
      </c>
      <c r="C8" s="597"/>
      <c r="D8" s="478" t="s">
        <v>5204</v>
      </c>
      <c r="E8" s="510">
        <v>18.5</v>
      </c>
      <c r="F8" s="597"/>
      <c r="G8" s="540" t="s">
        <v>324</v>
      </c>
      <c r="H8" s="541">
        <v>6.75</v>
      </c>
      <c r="I8" s="597"/>
      <c r="J8" s="164" t="s">
        <v>24</v>
      </c>
      <c r="K8" s="190">
        <v>14.75</v>
      </c>
      <c r="L8" s="601"/>
      <c r="M8" s="540" t="s">
        <v>8728</v>
      </c>
      <c r="N8" s="541">
        <v>13.5</v>
      </c>
      <c r="O8" s="597"/>
      <c r="P8" s="527" t="s">
        <v>322</v>
      </c>
      <c r="Q8" s="539">
        <v>22.75</v>
      </c>
      <c r="R8" s="596" t="s">
        <v>12664</v>
      </c>
      <c r="S8" s="123" t="s">
        <v>5463</v>
      </c>
      <c r="T8" s="176">
        <v>25</v>
      </c>
      <c r="U8" s="597"/>
      <c r="V8" s="478" t="s">
        <v>240</v>
      </c>
      <c r="W8" s="510">
        <v>12</v>
      </c>
      <c r="X8" s="597"/>
      <c r="Y8" s="478" t="s">
        <v>97</v>
      </c>
      <c r="Z8" s="176">
        <v>17.5</v>
      </c>
      <c r="AA8" s="597"/>
      <c r="AB8" s="478" t="s">
        <v>3078</v>
      </c>
      <c r="AC8" s="120">
        <v>12.5</v>
      </c>
      <c r="AD8" s="597"/>
      <c r="AE8" s="478" t="s">
        <v>309</v>
      </c>
      <c r="AF8" s="510">
        <v>7.5</v>
      </c>
      <c r="AG8" s="597"/>
      <c r="AH8" s="519"/>
      <c r="AI8" s="519"/>
      <c r="AJ8" s="519"/>
      <c r="AK8" s="519"/>
      <c r="AL8" s="519"/>
      <c r="AM8" s="519"/>
      <c r="AN8" s="519"/>
      <c r="AO8" s="519"/>
      <c r="AP8" s="519"/>
      <c r="AQ8" s="519"/>
      <c r="AR8" s="519"/>
      <c r="AS8" s="519"/>
      <c r="AT8" s="519"/>
      <c r="AU8" s="519"/>
      <c r="AV8" s="519"/>
      <c r="AW8" s="519"/>
      <c r="AX8" s="519"/>
      <c r="AY8" s="519"/>
      <c r="AZ8" s="519"/>
      <c r="BA8" s="519"/>
      <c r="BB8" s="519"/>
      <c r="BC8" s="519"/>
      <c r="BD8" s="519"/>
      <c r="BE8" s="519"/>
      <c r="BF8" s="519"/>
      <c r="BG8" s="519"/>
      <c r="BH8" s="519"/>
      <c r="BI8" s="519"/>
      <c r="BJ8" s="519"/>
      <c r="BK8" s="519"/>
      <c r="BL8" s="519"/>
      <c r="BM8" s="519"/>
      <c r="BN8" s="519"/>
      <c r="BO8" s="519"/>
      <c r="BP8" s="519"/>
      <c r="BQ8" s="519"/>
      <c r="BR8" s="519"/>
      <c r="BS8" s="519"/>
      <c r="BT8" s="519"/>
      <c r="BU8" s="519"/>
      <c r="BV8" s="519"/>
      <c r="BW8" s="519"/>
      <c r="BX8" s="519"/>
      <c r="BY8" s="519"/>
      <c r="BZ8" s="519"/>
      <c r="CA8" s="519"/>
      <c r="CB8" s="519"/>
      <c r="CC8" s="519"/>
      <c r="CD8" s="519"/>
      <c r="CE8" s="519"/>
      <c r="CF8" s="519"/>
      <c r="CG8" s="519"/>
    </row>
    <row r="9" spans="1:85" ht="15.75" thickBot="1" x14ac:dyDescent="0.3">
      <c r="A9" s="540" t="s">
        <v>5068</v>
      </c>
      <c r="B9" s="541">
        <v>9.25</v>
      </c>
      <c r="C9" s="597"/>
      <c r="D9" s="486" t="s">
        <v>14211</v>
      </c>
      <c r="E9" s="487">
        <v>23.75</v>
      </c>
      <c r="F9" s="601"/>
      <c r="G9" s="540" t="s">
        <v>5187</v>
      </c>
      <c r="H9" s="541">
        <v>18.25</v>
      </c>
      <c r="I9" s="597"/>
      <c r="J9" s="124" t="s">
        <v>4649</v>
      </c>
      <c r="K9" s="175">
        <v>25.5</v>
      </c>
      <c r="L9" s="596" t="s">
        <v>12663</v>
      </c>
      <c r="M9" s="540" t="s">
        <v>5272</v>
      </c>
      <c r="N9" s="541">
        <v>17.75</v>
      </c>
      <c r="O9" s="597"/>
      <c r="P9" s="540" t="s">
        <v>288</v>
      </c>
      <c r="Q9" s="541">
        <v>6.25</v>
      </c>
      <c r="R9" s="597"/>
      <c r="S9" s="164" t="s">
        <v>1965</v>
      </c>
      <c r="T9" s="190">
        <v>20</v>
      </c>
      <c r="U9" s="601"/>
      <c r="V9" s="478" t="s">
        <v>5452</v>
      </c>
      <c r="W9" s="510">
        <v>14.25</v>
      </c>
      <c r="X9" s="597"/>
      <c r="Y9" s="478" t="s">
        <v>68</v>
      </c>
      <c r="Z9" s="176">
        <v>18.25</v>
      </c>
      <c r="AA9" s="597"/>
      <c r="AB9" s="478" t="s">
        <v>65</v>
      </c>
      <c r="AC9" s="120">
        <v>18</v>
      </c>
      <c r="AD9" s="597"/>
      <c r="AE9" s="123" t="s">
        <v>200</v>
      </c>
      <c r="AF9" s="176">
        <v>7.75</v>
      </c>
      <c r="AG9" s="597"/>
      <c r="AH9" s="519"/>
      <c r="AI9" s="519"/>
      <c r="AJ9" s="519"/>
      <c r="AK9" s="519"/>
      <c r="AL9" s="519"/>
      <c r="AM9" s="519"/>
      <c r="AN9" s="519"/>
      <c r="AO9" s="519"/>
      <c r="AP9" s="519"/>
      <c r="AQ9" s="519"/>
      <c r="AR9" s="519"/>
      <c r="AS9" s="519"/>
      <c r="AT9" s="519"/>
      <c r="AU9" s="519"/>
      <c r="AV9" s="519"/>
      <c r="AW9" s="519"/>
      <c r="AX9" s="519"/>
      <c r="AY9" s="519"/>
      <c r="AZ9" s="519"/>
      <c r="BA9" s="519"/>
      <c r="BB9" s="519"/>
      <c r="BC9" s="519"/>
      <c r="BD9" s="519"/>
      <c r="BE9" s="519"/>
      <c r="BF9" s="519"/>
      <c r="BG9" s="519"/>
      <c r="BH9" s="519"/>
      <c r="BI9" s="519"/>
      <c r="BJ9" s="519"/>
      <c r="BK9" s="519"/>
      <c r="BL9" s="519"/>
      <c r="BM9" s="519"/>
      <c r="BN9" s="519"/>
      <c r="BO9" s="519"/>
      <c r="BP9" s="519"/>
      <c r="BQ9" s="519"/>
      <c r="BR9" s="519"/>
      <c r="BS9" s="519"/>
      <c r="BT9" s="519"/>
      <c r="BU9" s="519"/>
      <c r="BV9" s="519"/>
      <c r="BW9" s="519"/>
      <c r="BX9" s="519"/>
      <c r="BY9" s="519"/>
      <c r="BZ9" s="519"/>
      <c r="CA9" s="519"/>
      <c r="CB9" s="519"/>
      <c r="CC9" s="519"/>
      <c r="CD9" s="519"/>
      <c r="CE9" s="519"/>
      <c r="CF9" s="519"/>
      <c r="CG9" s="519"/>
    </row>
    <row r="10" spans="1:85" x14ac:dyDescent="0.25">
      <c r="A10" s="540" t="s">
        <v>3463</v>
      </c>
      <c r="B10" s="541">
        <v>8.5</v>
      </c>
      <c r="C10" s="597"/>
      <c r="D10" s="527" t="s">
        <v>4993</v>
      </c>
      <c r="E10" s="539">
        <v>23</v>
      </c>
      <c r="F10" s="596" t="s">
        <v>12664</v>
      </c>
      <c r="G10" s="540" t="s">
        <v>5543</v>
      </c>
      <c r="H10" s="541">
        <v>7.75</v>
      </c>
      <c r="I10" s="597"/>
      <c r="J10" s="123" t="s">
        <v>5130</v>
      </c>
      <c r="K10" s="176">
        <v>25</v>
      </c>
      <c r="L10" s="597"/>
      <c r="M10" s="540" t="s">
        <v>5497</v>
      </c>
      <c r="N10" s="541">
        <v>17.75</v>
      </c>
      <c r="O10" s="597"/>
      <c r="P10" s="540" t="s">
        <v>5179</v>
      </c>
      <c r="Q10" s="541">
        <v>22.75</v>
      </c>
      <c r="R10" s="597"/>
      <c r="S10" s="124" t="s">
        <v>4640</v>
      </c>
      <c r="T10" s="175">
        <v>10</v>
      </c>
      <c r="U10" s="596" t="s">
        <v>12664</v>
      </c>
      <c r="V10" s="478" t="s">
        <v>224</v>
      </c>
      <c r="W10" s="510">
        <v>11.5</v>
      </c>
      <c r="X10" s="597"/>
      <c r="Y10" s="478" t="s">
        <v>18</v>
      </c>
      <c r="Z10" s="176">
        <v>16.5</v>
      </c>
      <c r="AA10" s="597"/>
      <c r="AB10" s="478" t="s">
        <v>47</v>
      </c>
      <c r="AC10" s="120">
        <v>18.5</v>
      </c>
      <c r="AD10" s="597"/>
      <c r="AE10" s="478" t="s">
        <v>185</v>
      </c>
      <c r="AF10" s="510">
        <v>9.75</v>
      </c>
      <c r="AG10" s="597"/>
      <c r="AH10" s="519"/>
      <c r="AI10" s="519"/>
      <c r="AJ10" s="519"/>
      <c r="AK10" s="519"/>
      <c r="AL10" s="519"/>
      <c r="AM10" s="519"/>
      <c r="AN10" s="519"/>
      <c r="AO10" s="519"/>
      <c r="AP10" s="519"/>
      <c r="AQ10" s="519"/>
      <c r="AR10" s="519"/>
      <c r="AS10" s="519"/>
      <c r="AT10" s="519"/>
      <c r="AU10" s="519"/>
      <c r="AV10" s="519"/>
      <c r="AW10" s="519"/>
      <c r="AX10" s="519"/>
      <c r="AY10" s="519"/>
      <c r="AZ10" s="519"/>
      <c r="BA10" s="519"/>
      <c r="BB10" s="519"/>
      <c r="BC10" s="519"/>
      <c r="BD10" s="519"/>
      <c r="BE10" s="519"/>
      <c r="BF10" s="519"/>
      <c r="BG10" s="519"/>
      <c r="BH10" s="519"/>
      <c r="BI10" s="519"/>
      <c r="BJ10" s="519"/>
      <c r="BK10" s="519"/>
      <c r="BL10" s="519"/>
      <c r="BM10" s="519"/>
      <c r="BN10" s="519"/>
      <c r="BO10" s="519"/>
      <c r="BP10" s="519"/>
      <c r="BQ10" s="519"/>
      <c r="BR10" s="519"/>
      <c r="BS10" s="519"/>
      <c r="BT10" s="519"/>
      <c r="BU10" s="519"/>
      <c r="BV10" s="519"/>
      <c r="BW10" s="519"/>
      <c r="BX10" s="519"/>
      <c r="BY10" s="519"/>
      <c r="BZ10" s="519"/>
      <c r="CA10" s="519"/>
      <c r="CB10" s="519"/>
      <c r="CC10" s="519"/>
      <c r="CD10" s="519"/>
      <c r="CE10" s="519"/>
      <c r="CF10" s="519"/>
      <c r="CG10" s="519"/>
    </row>
    <row r="11" spans="1:85" ht="15.75" thickBot="1" x14ac:dyDescent="0.3">
      <c r="A11" s="540" t="s">
        <v>282</v>
      </c>
      <c r="B11" s="541">
        <v>4.25</v>
      </c>
      <c r="C11" s="597"/>
      <c r="D11" s="540" t="s">
        <v>5225</v>
      </c>
      <c r="E11" s="541">
        <v>28.75</v>
      </c>
      <c r="F11" s="597"/>
      <c r="G11" s="540" t="s">
        <v>4943</v>
      </c>
      <c r="H11" s="541">
        <v>18.25</v>
      </c>
      <c r="I11" s="597"/>
      <c r="J11" s="123" t="s">
        <v>178</v>
      </c>
      <c r="K11" s="176">
        <v>26.5</v>
      </c>
      <c r="L11" s="597"/>
      <c r="M11" s="542" t="s">
        <v>5029</v>
      </c>
      <c r="N11" s="543">
        <v>17.25</v>
      </c>
      <c r="O11" s="601"/>
      <c r="P11" s="540" t="s">
        <v>4990</v>
      </c>
      <c r="Q11" s="541">
        <v>22.5</v>
      </c>
      <c r="R11" s="597"/>
      <c r="S11" s="123" t="s">
        <v>381</v>
      </c>
      <c r="T11" s="176">
        <v>24.5</v>
      </c>
      <c r="U11" s="597"/>
      <c r="V11" s="478" t="s">
        <v>198</v>
      </c>
      <c r="W11" s="510">
        <v>10.75</v>
      </c>
      <c r="X11" s="597"/>
      <c r="Y11" s="486" t="s">
        <v>5597</v>
      </c>
      <c r="Z11" s="190">
        <v>18.25</v>
      </c>
      <c r="AA11" s="601"/>
      <c r="AB11" s="486" t="s">
        <v>5721</v>
      </c>
      <c r="AC11" s="524">
        <v>19</v>
      </c>
      <c r="AD11" s="601"/>
      <c r="AE11" s="478" t="s">
        <v>173</v>
      </c>
      <c r="AF11" s="510">
        <v>9.75</v>
      </c>
      <c r="AG11" s="597"/>
      <c r="AH11" s="519"/>
      <c r="AI11" s="519"/>
      <c r="AJ11" s="519"/>
      <c r="AK11" s="519"/>
      <c r="AL11" s="519"/>
      <c r="AM11" s="519"/>
      <c r="AN11" s="519"/>
      <c r="AO11" s="519"/>
      <c r="AP11" s="519"/>
      <c r="AQ11" s="519"/>
      <c r="AR11" s="519"/>
      <c r="AS11" s="519"/>
      <c r="AT11" s="519"/>
      <c r="AU11" s="519"/>
      <c r="AV11" s="519"/>
      <c r="AW11" s="519"/>
      <c r="AX11" s="519"/>
      <c r="AY11" s="519"/>
      <c r="AZ11" s="519"/>
      <c r="BA11" s="519"/>
      <c r="BB11" s="519"/>
      <c r="BC11" s="519"/>
      <c r="BD11" s="519"/>
      <c r="BE11" s="519"/>
      <c r="BF11" s="519"/>
      <c r="BG11" s="519"/>
      <c r="BH11" s="519"/>
      <c r="BI11" s="519"/>
      <c r="BJ11" s="519"/>
      <c r="BK11" s="519"/>
      <c r="BL11" s="519"/>
      <c r="BM11" s="519"/>
      <c r="BN11" s="519"/>
      <c r="BO11" s="519"/>
      <c r="BP11" s="519"/>
      <c r="BQ11" s="519"/>
      <c r="BR11" s="519"/>
      <c r="BS11" s="519"/>
      <c r="BT11" s="519"/>
      <c r="BU11" s="519"/>
      <c r="BV11" s="519"/>
      <c r="BW11" s="519"/>
      <c r="BX11" s="519"/>
      <c r="BY11" s="519"/>
      <c r="BZ11" s="519"/>
      <c r="CA11" s="519"/>
      <c r="CB11" s="519"/>
      <c r="CC11" s="519"/>
      <c r="CD11" s="519"/>
      <c r="CE11" s="519"/>
      <c r="CF11" s="519"/>
      <c r="CG11" s="519"/>
    </row>
    <row r="12" spans="1:85" x14ac:dyDescent="0.25">
      <c r="A12" s="540" t="s">
        <v>5639</v>
      </c>
      <c r="B12" s="541">
        <v>10.5</v>
      </c>
      <c r="C12" s="597"/>
      <c r="D12" s="540" t="s">
        <v>5187</v>
      </c>
      <c r="E12" s="541">
        <v>18.25</v>
      </c>
      <c r="F12" s="597"/>
      <c r="G12" s="540" t="s">
        <v>140</v>
      </c>
      <c r="H12" s="541">
        <v>5.75</v>
      </c>
      <c r="I12" s="597"/>
      <c r="J12" s="123" t="s">
        <v>4735</v>
      </c>
      <c r="K12" s="176">
        <v>25</v>
      </c>
      <c r="L12" s="597"/>
      <c r="M12" s="527" t="s">
        <v>5272</v>
      </c>
      <c r="N12" s="539">
        <v>17.75</v>
      </c>
      <c r="O12" s="596" t="s">
        <v>12664</v>
      </c>
      <c r="P12" s="540" t="s">
        <v>4977</v>
      </c>
      <c r="Q12" s="541">
        <v>23</v>
      </c>
      <c r="R12" s="597"/>
      <c r="S12" s="123" t="s">
        <v>5616</v>
      </c>
      <c r="T12" s="176">
        <v>24.75</v>
      </c>
      <c r="U12" s="597"/>
      <c r="V12" s="478" t="s">
        <v>5019</v>
      </c>
      <c r="W12" s="510">
        <v>9.5</v>
      </c>
      <c r="X12" s="597"/>
      <c r="Y12" s="471" t="s">
        <v>5762</v>
      </c>
      <c r="Z12" s="175">
        <v>20.25</v>
      </c>
      <c r="AA12" s="596" t="s">
        <v>12664</v>
      </c>
      <c r="AB12" s="124" t="s">
        <v>5768</v>
      </c>
      <c r="AC12" s="125">
        <v>21.75</v>
      </c>
      <c r="AD12" s="596" t="s">
        <v>12664</v>
      </c>
      <c r="AE12" s="123" t="s">
        <v>122</v>
      </c>
      <c r="AF12" s="176">
        <v>15.25</v>
      </c>
      <c r="AG12" s="597"/>
      <c r="AH12" s="519"/>
      <c r="AI12" s="519"/>
      <c r="AJ12" s="519"/>
      <c r="AK12" s="519"/>
      <c r="AL12" s="519"/>
      <c r="AM12" s="519"/>
      <c r="AN12" s="519"/>
      <c r="AO12" s="519"/>
      <c r="AP12" s="519"/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519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519"/>
      <c r="BV12" s="519"/>
      <c r="BW12" s="519"/>
      <c r="BX12" s="519"/>
      <c r="BY12" s="519"/>
      <c r="BZ12" s="519"/>
      <c r="CA12" s="519"/>
      <c r="CB12" s="519"/>
      <c r="CC12" s="519"/>
      <c r="CD12" s="519"/>
      <c r="CE12" s="519"/>
      <c r="CF12" s="519"/>
      <c r="CG12" s="519"/>
    </row>
    <row r="13" spans="1:85" x14ac:dyDescent="0.25">
      <c r="A13" s="540" t="s">
        <v>5483</v>
      </c>
      <c r="B13" s="541">
        <v>9</v>
      </c>
      <c r="C13" s="597"/>
      <c r="D13" s="540" t="s">
        <v>3243</v>
      </c>
      <c r="E13" s="541">
        <v>10.75</v>
      </c>
      <c r="F13" s="597"/>
      <c r="G13" s="540" t="s">
        <v>5602</v>
      </c>
      <c r="H13" s="541">
        <v>6</v>
      </c>
      <c r="I13" s="597"/>
      <c r="J13" s="123" t="s">
        <v>3553</v>
      </c>
      <c r="K13" s="176">
        <v>25</v>
      </c>
      <c r="L13" s="597"/>
      <c r="M13" s="540" t="s">
        <v>5497</v>
      </c>
      <c r="N13" s="541">
        <v>17.75</v>
      </c>
      <c r="O13" s="597"/>
      <c r="P13" s="540" t="s">
        <v>5425</v>
      </c>
      <c r="Q13" s="541">
        <v>23.75</v>
      </c>
      <c r="R13" s="597"/>
      <c r="S13" s="123" t="s">
        <v>5480</v>
      </c>
      <c r="T13" s="176">
        <v>26.25</v>
      </c>
      <c r="U13" s="597"/>
      <c r="V13" s="478" t="s">
        <v>5513</v>
      </c>
      <c r="W13" s="510">
        <v>9</v>
      </c>
      <c r="X13" s="597"/>
      <c r="Y13" s="478" t="s">
        <v>68</v>
      </c>
      <c r="Z13" s="176">
        <v>18.25</v>
      </c>
      <c r="AA13" s="597"/>
      <c r="AB13" s="123" t="s">
        <v>406</v>
      </c>
      <c r="AC13" s="120">
        <v>13.25</v>
      </c>
      <c r="AD13" s="597"/>
      <c r="AE13" s="478" t="s">
        <v>110</v>
      </c>
      <c r="AF13" s="510">
        <v>10</v>
      </c>
      <c r="AG13" s="597"/>
      <c r="AH13" s="519"/>
      <c r="AI13" s="519"/>
      <c r="AJ13" s="519"/>
      <c r="AK13" s="519"/>
      <c r="AL13" s="519"/>
      <c r="AM13" s="519"/>
      <c r="AN13" s="519"/>
      <c r="AO13" s="519"/>
      <c r="AP13" s="519"/>
      <c r="AQ13" s="519"/>
      <c r="AR13" s="519"/>
      <c r="AS13" s="519"/>
      <c r="AT13" s="519"/>
      <c r="AU13" s="519"/>
      <c r="AV13" s="519"/>
      <c r="AW13" s="519"/>
      <c r="AX13" s="519"/>
      <c r="AY13" s="519"/>
      <c r="AZ13" s="519"/>
      <c r="BA13" s="519"/>
      <c r="BB13" s="519"/>
      <c r="BC13" s="519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519"/>
      <c r="BO13" s="519"/>
      <c r="BP13" s="519"/>
      <c r="BQ13" s="519"/>
      <c r="BR13" s="519"/>
      <c r="BS13" s="519"/>
      <c r="BT13" s="519"/>
      <c r="BU13" s="519"/>
      <c r="BV13" s="519"/>
      <c r="BW13" s="519"/>
      <c r="BX13" s="519"/>
      <c r="BY13" s="519"/>
      <c r="BZ13" s="519"/>
      <c r="CA13" s="519"/>
      <c r="CB13" s="519"/>
      <c r="CC13" s="519"/>
      <c r="CD13" s="519"/>
      <c r="CE13" s="519"/>
      <c r="CF13" s="519"/>
      <c r="CG13" s="519"/>
    </row>
    <row r="14" spans="1:85" x14ac:dyDescent="0.25">
      <c r="A14" s="540" t="s">
        <v>5304</v>
      </c>
      <c r="B14" s="541">
        <v>8.75</v>
      </c>
      <c r="C14" s="597"/>
      <c r="D14" s="540" t="s">
        <v>5457</v>
      </c>
      <c r="E14" s="541">
        <v>6</v>
      </c>
      <c r="F14" s="597"/>
      <c r="G14" s="540" t="s">
        <v>84</v>
      </c>
      <c r="H14" s="541">
        <v>7.75</v>
      </c>
      <c r="I14" s="597"/>
      <c r="J14" s="123" t="s">
        <v>5114</v>
      </c>
      <c r="K14" s="176">
        <v>26.25</v>
      </c>
      <c r="L14" s="597"/>
      <c r="M14" s="540" t="s">
        <v>286</v>
      </c>
      <c r="N14" s="541">
        <v>17.25</v>
      </c>
      <c r="O14" s="597"/>
      <c r="P14" s="540" t="s">
        <v>5147</v>
      </c>
      <c r="Q14" s="541">
        <v>23.25</v>
      </c>
      <c r="R14" s="597"/>
      <c r="S14" s="123" t="s">
        <v>5465</v>
      </c>
      <c r="T14" s="176">
        <v>23.75</v>
      </c>
      <c r="U14" s="597"/>
      <c r="V14" s="478" t="s">
        <v>74</v>
      </c>
      <c r="W14" s="510">
        <v>10.5</v>
      </c>
      <c r="X14" s="597"/>
      <c r="Y14" s="478" t="s">
        <v>5597</v>
      </c>
      <c r="Z14" s="176">
        <v>18.25</v>
      </c>
      <c r="AA14" s="597"/>
      <c r="AB14" s="123" t="s">
        <v>319</v>
      </c>
      <c r="AC14" s="120">
        <v>10.25</v>
      </c>
      <c r="AD14" s="597"/>
      <c r="AE14" s="478" t="s">
        <v>95</v>
      </c>
      <c r="AF14" s="176">
        <v>15.75</v>
      </c>
      <c r="AG14" s="597"/>
      <c r="AH14" s="519"/>
      <c r="AI14" s="519"/>
      <c r="AJ14" s="519"/>
      <c r="AK14" s="519"/>
      <c r="AL14" s="519"/>
      <c r="AM14" s="519"/>
      <c r="AN14" s="519"/>
      <c r="AO14" s="519"/>
      <c r="AP14" s="519"/>
      <c r="AQ14" s="519"/>
      <c r="AR14" s="519"/>
      <c r="AS14" s="519"/>
      <c r="AT14" s="519"/>
      <c r="AU14" s="519"/>
      <c r="AV14" s="519"/>
      <c r="AW14" s="519"/>
      <c r="AX14" s="519"/>
      <c r="AY14" s="519"/>
      <c r="AZ14" s="519"/>
      <c r="BA14" s="519"/>
      <c r="BB14" s="519"/>
      <c r="BC14" s="519"/>
      <c r="BD14" s="519"/>
      <c r="BE14" s="519"/>
      <c r="BF14" s="519"/>
      <c r="BG14" s="519"/>
      <c r="BH14" s="519"/>
      <c r="BI14" s="519"/>
      <c r="BJ14" s="519"/>
      <c r="BK14" s="519"/>
      <c r="BL14" s="519"/>
      <c r="BM14" s="519"/>
      <c r="BN14" s="519"/>
      <c r="BO14" s="519"/>
      <c r="BP14" s="519"/>
      <c r="BQ14" s="519"/>
      <c r="BR14" s="519"/>
      <c r="BS14" s="519"/>
      <c r="BT14" s="519"/>
      <c r="BU14" s="519"/>
      <c r="BV14" s="519"/>
      <c r="BW14" s="519"/>
      <c r="BX14" s="519"/>
      <c r="BY14" s="519"/>
      <c r="BZ14" s="519"/>
      <c r="CA14" s="519"/>
      <c r="CB14" s="519"/>
      <c r="CC14" s="519"/>
      <c r="CD14" s="519"/>
      <c r="CE14" s="519"/>
      <c r="CF14" s="519"/>
      <c r="CG14" s="519"/>
    </row>
    <row r="15" spans="1:85" ht="15.75" thickBot="1" x14ac:dyDescent="0.3">
      <c r="A15" s="540" t="s">
        <v>4445</v>
      </c>
      <c r="B15" s="541">
        <v>9.5</v>
      </c>
      <c r="C15" s="597"/>
      <c r="D15" s="540" t="s">
        <v>5536</v>
      </c>
      <c r="E15" s="541">
        <v>14</v>
      </c>
      <c r="F15" s="597"/>
      <c r="G15" s="540" t="s">
        <v>5585</v>
      </c>
      <c r="H15" s="541">
        <v>6.75</v>
      </c>
      <c r="I15" s="597"/>
      <c r="J15" s="164" t="s">
        <v>24</v>
      </c>
      <c r="K15" s="190">
        <v>14.75</v>
      </c>
      <c r="L15" s="601"/>
      <c r="M15" s="540" t="s">
        <v>242</v>
      </c>
      <c r="N15" s="541">
        <v>17.25</v>
      </c>
      <c r="O15" s="597"/>
      <c r="P15" s="542" t="s">
        <v>14211</v>
      </c>
      <c r="Q15" s="543">
        <v>23.75</v>
      </c>
      <c r="R15" s="601"/>
      <c r="S15" s="123" t="s">
        <v>248</v>
      </c>
      <c r="T15" s="176">
        <v>13.75</v>
      </c>
      <c r="U15" s="597"/>
      <c r="V15" s="478" t="s">
        <v>3628</v>
      </c>
      <c r="W15" s="510">
        <v>10.25</v>
      </c>
      <c r="X15" s="597"/>
      <c r="Y15" s="478" t="s">
        <v>290</v>
      </c>
      <c r="Z15" s="176">
        <v>18</v>
      </c>
      <c r="AA15" s="597"/>
      <c r="AB15" s="123" t="s">
        <v>270</v>
      </c>
      <c r="AC15" s="120">
        <v>19</v>
      </c>
      <c r="AD15" s="597"/>
      <c r="AE15" s="164" t="s">
        <v>15</v>
      </c>
      <c r="AF15" s="190">
        <v>15</v>
      </c>
      <c r="AG15" s="601"/>
      <c r="AH15" s="519"/>
      <c r="AI15" s="519"/>
      <c r="AJ15" s="519"/>
      <c r="AK15" s="519"/>
      <c r="AL15" s="519"/>
      <c r="AM15" s="519"/>
      <c r="AN15" s="519"/>
      <c r="AO15" s="519"/>
      <c r="AP15" s="519"/>
      <c r="AQ15" s="519"/>
      <c r="AR15" s="519"/>
      <c r="AS15" s="519"/>
      <c r="AT15" s="519"/>
      <c r="AU15" s="519"/>
      <c r="AV15" s="519"/>
      <c r="AW15" s="519"/>
      <c r="AX15" s="519"/>
      <c r="AY15" s="519"/>
      <c r="AZ15" s="519"/>
      <c r="BA15" s="519"/>
      <c r="BB15" s="519"/>
      <c r="BC15" s="519"/>
      <c r="BD15" s="519"/>
      <c r="BE15" s="519"/>
      <c r="BF15" s="519"/>
      <c r="BG15" s="519"/>
      <c r="BH15" s="519"/>
      <c r="BI15" s="519"/>
      <c r="BJ15" s="519"/>
      <c r="BK15" s="519"/>
      <c r="BL15" s="519"/>
      <c r="BM15" s="519"/>
      <c r="BN15" s="519"/>
      <c r="BO15" s="519"/>
      <c r="BP15" s="519"/>
      <c r="BQ15" s="519"/>
      <c r="BR15" s="519"/>
      <c r="BS15" s="519"/>
      <c r="BT15" s="519"/>
      <c r="BU15" s="519"/>
      <c r="BV15" s="519"/>
      <c r="BW15" s="519"/>
      <c r="BX15" s="519"/>
      <c r="BY15" s="519"/>
      <c r="BZ15" s="519"/>
      <c r="CA15" s="519"/>
      <c r="CB15" s="519"/>
      <c r="CC15" s="519"/>
      <c r="CD15" s="519"/>
      <c r="CE15" s="519"/>
      <c r="CF15" s="519"/>
      <c r="CG15" s="519"/>
    </row>
    <row r="16" spans="1:85" x14ac:dyDescent="0.25">
      <c r="A16" s="540" t="s">
        <v>3373</v>
      </c>
      <c r="B16" s="541">
        <v>8.5</v>
      </c>
      <c r="C16" s="597"/>
      <c r="D16" s="540" t="s">
        <v>5647</v>
      </c>
      <c r="E16" s="541">
        <v>22.75</v>
      </c>
      <c r="F16" s="597"/>
      <c r="G16" s="540" t="s">
        <v>5475</v>
      </c>
      <c r="H16" s="541">
        <v>8.75</v>
      </c>
      <c r="I16" s="597"/>
      <c r="J16" s="124" t="s">
        <v>4960</v>
      </c>
      <c r="K16" s="175">
        <v>24.5</v>
      </c>
      <c r="L16" s="596" t="s">
        <v>12663</v>
      </c>
      <c r="M16" s="540" t="s">
        <v>5029</v>
      </c>
      <c r="N16" s="541">
        <v>17.25</v>
      </c>
      <c r="O16" s="597"/>
      <c r="P16" s="527" t="s">
        <v>5425</v>
      </c>
      <c r="Q16" s="539">
        <v>23.75</v>
      </c>
      <c r="R16" s="596" t="s">
        <v>12664</v>
      </c>
      <c r="S16" s="123" t="s">
        <v>5463</v>
      </c>
      <c r="T16" s="176">
        <v>25</v>
      </c>
      <c r="U16" s="597"/>
      <c r="V16" s="123" t="s">
        <v>195</v>
      </c>
      <c r="W16" s="176">
        <v>7.75</v>
      </c>
      <c r="X16" s="597"/>
      <c r="Y16" s="478" t="s">
        <v>279</v>
      </c>
      <c r="Z16" s="176">
        <v>17.5</v>
      </c>
      <c r="AA16" s="597"/>
      <c r="AB16" s="123" t="s">
        <v>238</v>
      </c>
      <c r="AC16" s="120">
        <v>19</v>
      </c>
      <c r="AD16" s="597"/>
      <c r="AE16" s="471" t="s">
        <v>217</v>
      </c>
      <c r="AF16" s="516">
        <v>16</v>
      </c>
      <c r="AG16" s="596" t="s">
        <v>12664</v>
      </c>
      <c r="AH16" s="519"/>
      <c r="AI16" s="519"/>
      <c r="AJ16" s="519"/>
      <c r="AK16" s="519"/>
      <c r="AL16" s="519"/>
      <c r="AM16" s="519"/>
      <c r="AN16" s="519"/>
      <c r="AO16" s="519"/>
      <c r="AP16" s="519"/>
      <c r="AQ16" s="519"/>
      <c r="AR16" s="519"/>
      <c r="AS16" s="519"/>
      <c r="AT16" s="519"/>
      <c r="AU16" s="519"/>
      <c r="AV16" s="519"/>
      <c r="AW16" s="519"/>
      <c r="AX16" s="519"/>
      <c r="AY16" s="519"/>
      <c r="AZ16" s="519"/>
      <c r="BA16" s="519"/>
      <c r="BB16" s="519"/>
      <c r="BC16" s="519"/>
      <c r="BD16" s="519"/>
      <c r="BE16" s="519"/>
      <c r="BF16" s="519"/>
      <c r="BG16" s="519"/>
      <c r="BH16" s="519"/>
      <c r="BI16" s="519"/>
      <c r="BJ16" s="519"/>
      <c r="BK16" s="519"/>
      <c r="BL16" s="519"/>
      <c r="BM16" s="519"/>
      <c r="BN16" s="519"/>
      <c r="BO16" s="519"/>
      <c r="BP16" s="519"/>
      <c r="BQ16" s="519"/>
      <c r="BR16" s="519"/>
      <c r="BS16" s="519"/>
      <c r="BT16" s="519"/>
      <c r="BU16" s="519"/>
      <c r="BV16" s="519"/>
      <c r="BW16" s="519"/>
      <c r="BX16" s="519"/>
      <c r="BY16" s="519"/>
      <c r="BZ16" s="519"/>
      <c r="CA16" s="519"/>
      <c r="CB16" s="519"/>
      <c r="CC16" s="519"/>
      <c r="CD16" s="519"/>
      <c r="CE16" s="519"/>
      <c r="CF16" s="519"/>
      <c r="CG16" s="519"/>
    </row>
    <row r="17" spans="1:85" ht="15.75" thickBot="1" x14ac:dyDescent="0.3">
      <c r="A17" s="540" t="s">
        <v>58</v>
      </c>
      <c r="B17" s="541">
        <v>7.5</v>
      </c>
      <c r="C17" s="597"/>
      <c r="D17" s="540" t="s">
        <v>44</v>
      </c>
      <c r="E17" s="541">
        <v>16</v>
      </c>
      <c r="F17" s="597"/>
      <c r="G17" s="540" t="s">
        <v>5631</v>
      </c>
      <c r="H17" s="541">
        <v>5.75</v>
      </c>
      <c r="I17" s="597"/>
      <c r="J17" s="123" t="s">
        <v>426</v>
      </c>
      <c r="K17" s="176">
        <v>24.25</v>
      </c>
      <c r="L17" s="597"/>
      <c r="M17" s="540" t="s">
        <v>5625</v>
      </c>
      <c r="N17" s="541">
        <v>17</v>
      </c>
      <c r="O17" s="597"/>
      <c r="P17" s="540" t="s">
        <v>14211</v>
      </c>
      <c r="Q17" s="541">
        <v>23.75</v>
      </c>
      <c r="R17" s="597"/>
      <c r="S17" s="164" t="s">
        <v>1965</v>
      </c>
      <c r="T17" s="190">
        <v>20</v>
      </c>
      <c r="U17" s="601"/>
      <c r="V17" s="164" t="s">
        <v>5526</v>
      </c>
      <c r="W17" s="190">
        <v>5.5</v>
      </c>
      <c r="X17" s="601"/>
      <c r="Y17" s="478" t="s">
        <v>114</v>
      </c>
      <c r="Z17" s="176">
        <v>17.5</v>
      </c>
      <c r="AA17" s="597"/>
      <c r="AB17" s="123" t="s">
        <v>211</v>
      </c>
      <c r="AC17" s="120">
        <v>20.25</v>
      </c>
      <c r="AD17" s="597"/>
      <c r="AE17" s="478" t="s">
        <v>450</v>
      </c>
      <c r="AF17" s="510">
        <v>9.5</v>
      </c>
      <c r="AG17" s="597"/>
      <c r="AH17" s="519"/>
      <c r="AI17" s="519"/>
      <c r="AJ17" s="519"/>
      <c r="AK17" s="519"/>
      <c r="AL17" s="519"/>
      <c r="AM17" s="519"/>
      <c r="AN17" s="519"/>
      <c r="AO17" s="519"/>
      <c r="AP17" s="519"/>
      <c r="AQ17" s="519"/>
      <c r="AR17" s="519"/>
      <c r="AS17" s="519"/>
      <c r="AT17" s="519"/>
      <c r="AU17" s="519"/>
      <c r="AV17" s="519"/>
      <c r="AW17" s="519"/>
      <c r="AX17" s="519"/>
      <c r="AY17" s="519"/>
      <c r="AZ17" s="519"/>
      <c r="BA17" s="519"/>
      <c r="BB17" s="519"/>
      <c r="BC17" s="519"/>
      <c r="BD17" s="519"/>
      <c r="BE17" s="519"/>
      <c r="BF17" s="519"/>
      <c r="BG17" s="519"/>
      <c r="BH17" s="519"/>
      <c r="BI17" s="519"/>
      <c r="BJ17" s="519"/>
      <c r="BK17" s="519"/>
      <c r="BL17" s="519"/>
      <c r="BM17" s="519"/>
      <c r="BN17" s="519"/>
      <c r="BO17" s="519"/>
      <c r="BP17" s="519"/>
      <c r="BQ17" s="519"/>
      <c r="BR17" s="519"/>
      <c r="BS17" s="519"/>
      <c r="BT17" s="519"/>
      <c r="BU17" s="519"/>
      <c r="BV17" s="519"/>
      <c r="BW17" s="519"/>
      <c r="BX17" s="519"/>
      <c r="BY17" s="519"/>
      <c r="BZ17" s="519"/>
      <c r="CA17" s="519"/>
      <c r="CB17" s="519"/>
      <c r="CC17" s="519"/>
      <c r="CD17" s="519"/>
      <c r="CE17" s="519"/>
      <c r="CF17" s="519"/>
      <c r="CG17" s="519"/>
    </row>
    <row r="18" spans="1:85" ht="15.75" thickBot="1" x14ac:dyDescent="0.3">
      <c r="A18" s="540" t="s">
        <v>5171</v>
      </c>
      <c r="B18" s="541">
        <v>9.25</v>
      </c>
      <c r="C18" s="597"/>
      <c r="D18" s="542" t="s">
        <v>5380</v>
      </c>
      <c r="E18" s="543">
        <v>28.5</v>
      </c>
      <c r="F18" s="601"/>
      <c r="G18" s="542" t="s">
        <v>6</v>
      </c>
      <c r="H18" s="543">
        <v>7</v>
      </c>
      <c r="I18" s="601"/>
      <c r="J18" s="123" t="s">
        <v>160</v>
      </c>
      <c r="K18" s="176">
        <v>21.5</v>
      </c>
      <c r="L18" s="597"/>
      <c r="M18" s="540" t="s">
        <v>5265</v>
      </c>
      <c r="N18" s="541">
        <v>17</v>
      </c>
      <c r="O18" s="597"/>
      <c r="P18" s="540" t="s">
        <v>5147</v>
      </c>
      <c r="Q18" s="541">
        <v>23.25</v>
      </c>
      <c r="R18" s="597"/>
      <c r="S18" s="124" t="s">
        <v>5619</v>
      </c>
      <c r="T18" s="175">
        <v>10.75</v>
      </c>
      <c r="U18" s="596" t="s">
        <v>12664</v>
      </c>
      <c r="V18" s="471" t="s">
        <v>457</v>
      </c>
      <c r="W18" s="516">
        <v>13.75</v>
      </c>
      <c r="X18" s="596" t="s">
        <v>12664</v>
      </c>
      <c r="Y18" s="478" t="s">
        <v>97</v>
      </c>
      <c r="Z18" s="176">
        <v>17.5</v>
      </c>
      <c r="AA18" s="597"/>
      <c r="AB18" s="123" t="s">
        <v>5727</v>
      </c>
      <c r="AC18" s="120">
        <v>22.5</v>
      </c>
      <c r="AD18" s="597"/>
      <c r="AE18" s="478" t="s">
        <v>406</v>
      </c>
      <c r="AF18" s="510">
        <v>13.25</v>
      </c>
      <c r="AG18" s="597"/>
      <c r="AH18" s="519"/>
      <c r="AI18" s="519"/>
      <c r="AJ18" s="519"/>
      <c r="AK18" s="519"/>
      <c r="AL18" s="519"/>
      <c r="AM18" s="519"/>
      <c r="AN18" s="519"/>
      <c r="AO18" s="519"/>
      <c r="AP18" s="519"/>
      <c r="AQ18" s="519"/>
      <c r="AR18" s="519"/>
      <c r="AS18" s="519"/>
      <c r="AT18" s="519"/>
      <c r="AU18" s="519"/>
      <c r="AV18" s="519"/>
      <c r="AW18" s="519"/>
      <c r="AX18" s="519"/>
      <c r="AY18" s="519"/>
      <c r="AZ18" s="519"/>
      <c r="BA18" s="519"/>
      <c r="BB18" s="519"/>
      <c r="BC18" s="519"/>
      <c r="BD18" s="519"/>
      <c r="BE18" s="519"/>
      <c r="BF18" s="519"/>
      <c r="BG18" s="519"/>
      <c r="BH18" s="519"/>
      <c r="BI18" s="519"/>
      <c r="BJ18" s="519"/>
      <c r="BK18" s="519"/>
      <c r="BL18" s="519"/>
      <c r="BM18" s="519"/>
      <c r="BN18" s="519"/>
      <c r="BO18" s="519"/>
      <c r="BP18" s="519"/>
      <c r="BQ18" s="519"/>
      <c r="BR18" s="519"/>
      <c r="BS18" s="519"/>
      <c r="BT18" s="519"/>
      <c r="BU18" s="519"/>
      <c r="BV18" s="519"/>
      <c r="BW18" s="519"/>
      <c r="BX18" s="519"/>
      <c r="BY18" s="519"/>
      <c r="BZ18" s="519"/>
      <c r="CA18" s="519"/>
      <c r="CB18" s="519"/>
      <c r="CC18" s="519"/>
      <c r="CD18" s="519"/>
      <c r="CE18" s="519"/>
      <c r="CF18" s="519"/>
      <c r="CG18" s="519"/>
    </row>
    <row r="19" spans="1:85" x14ac:dyDescent="0.25">
      <c r="A19" s="540" t="s">
        <v>55</v>
      </c>
      <c r="B19" s="541">
        <v>8</v>
      </c>
      <c r="C19" s="598"/>
      <c r="D19" s="527" t="s">
        <v>395</v>
      </c>
      <c r="E19" s="539">
        <v>21</v>
      </c>
      <c r="F19" s="596" t="s">
        <v>12664</v>
      </c>
      <c r="G19" s="527" t="s">
        <v>388</v>
      </c>
      <c r="H19" s="539">
        <v>8.5</v>
      </c>
      <c r="I19" s="596" t="s">
        <v>12663</v>
      </c>
      <c r="J19" s="123" t="s">
        <v>4973</v>
      </c>
      <c r="K19" s="176">
        <v>24</v>
      </c>
      <c r="L19" s="597"/>
      <c r="M19" s="540" t="s">
        <v>5373</v>
      </c>
      <c r="N19" s="541">
        <v>17</v>
      </c>
      <c r="O19" s="597"/>
      <c r="P19" s="540" t="s">
        <v>4977</v>
      </c>
      <c r="Q19" s="541">
        <v>23</v>
      </c>
      <c r="R19" s="597"/>
      <c r="S19" s="123" t="s">
        <v>5608</v>
      </c>
      <c r="T19" s="176">
        <v>17.75</v>
      </c>
      <c r="U19" s="597"/>
      <c r="V19" s="478" t="s">
        <v>3941</v>
      </c>
      <c r="W19" s="510">
        <v>14.25</v>
      </c>
      <c r="X19" s="597"/>
      <c r="Y19" s="478" t="s">
        <v>147</v>
      </c>
      <c r="Z19" s="176">
        <v>17</v>
      </c>
      <c r="AA19" s="597"/>
      <c r="AB19" s="123" t="s">
        <v>5717</v>
      </c>
      <c r="AC19" s="120">
        <v>21</v>
      </c>
      <c r="AD19" s="597"/>
      <c r="AE19" s="478" t="s">
        <v>376</v>
      </c>
      <c r="AF19" s="510">
        <v>7.75</v>
      </c>
      <c r="AG19" s="597"/>
      <c r="AH19" s="519"/>
      <c r="AI19" s="519"/>
      <c r="AJ19" s="519"/>
      <c r="AK19" s="519"/>
      <c r="AL19" s="519"/>
      <c r="AM19" s="519"/>
      <c r="AN19" s="519"/>
      <c r="AO19" s="519"/>
      <c r="AP19" s="519"/>
      <c r="AQ19" s="519"/>
      <c r="AR19" s="519"/>
      <c r="AS19" s="519"/>
      <c r="AT19" s="519"/>
      <c r="AU19" s="519"/>
      <c r="AV19" s="519"/>
      <c r="AW19" s="519"/>
      <c r="AX19" s="519"/>
      <c r="AY19" s="519"/>
      <c r="AZ19" s="519"/>
      <c r="BA19" s="519"/>
      <c r="BB19" s="519"/>
      <c r="BC19" s="519"/>
      <c r="BD19" s="519"/>
      <c r="BE19" s="519"/>
      <c r="BF19" s="519"/>
      <c r="BG19" s="519"/>
      <c r="BH19" s="519"/>
      <c r="BI19" s="519"/>
      <c r="BJ19" s="519"/>
      <c r="BK19" s="519"/>
      <c r="BL19" s="519"/>
      <c r="BM19" s="519"/>
      <c r="BN19" s="519"/>
      <c r="BO19" s="519"/>
      <c r="BP19" s="519"/>
      <c r="BQ19" s="519"/>
      <c r="BR19" s="519"/>
      <c r="BS19" s="519"/>
      <c r="BT19" s="519"/>
      <c r="BU19" s="519"/>
      <c r="BV19" s="519"/>
      <c r="BW19" s="519"/>
      <c r="BX19" s="519"/>
      <c r="BY19" s="519"/>
      <c r="BZ19" s="519"/>
      <c r="CA19" s="519"/>
      <c r="CB19" s="519"/>
      <c r="CC19" s="519"/>
      <c r="CD19" s="519"/>
      <c r="CE19" s="519"/>
      <c r="CF19" s="519"/>
      <c r="CG19" s="519"/>
    </row>
    <row r="20" spans="1:85" ht="15.75" thickBot="1" x14ac:dyDescent="0.3">
      <c r="A20" s="540" t="s">
        <v>5295</v>
      </c>
      <c r="B20" s="541">
        <v>8.75</v>
      </c>
      <c r="C20" s="598"/>
      <c r="D20" s="540" t="s">
        <v>383</v>
      </c>
      <c r="E20" s="541">
        <v>15.5</v>
      </c>
      <c r="F20" s="597"/>
      <c r="G20" s="540" t="s">
        <v>5587</v>
      </c>
      <c r="H20" s="541">
        <v>6.75</v>
      </c>
      <c r="I20" s="597"/>
      <c r="J20" s="123" t="s">
        <v>5269</v>
      </c>
      <c r="K20" s="176">
        <v>24.5</v>
      </c>
      <c r="L20" s="597"/>
      <c r="M20" s="540" t="s">
        <v>5406</v>
      </c>
      <c r="N20" s="541">
        <v>16.25</v>
      </c>
      <c r="O20" s="597"/>
      <c r="P20" s="540" t="s">
        <v>322</v>
      </c>
      <c r="Q20" s="541">
        <v>22.75</v>
      </c>
      <c r="R20" s="597"/>
      <c r="S20" s="123" t="s">
        <v>5661</v>
      </c>
      <c r="T20" s="176">
        <v>18.25</v>
      </c>
      <c r="U20" s="597"/>
      <c r="V20" s="478" t="s">
        <v>419</v>
      </c>
      <c r="W20" s="510">
        <v>11</v>
      </c>
      <c r="X20" s="597"/>
      <c r="Y20" s="478" t="s">
        <v>18</v>
      </c>
      <c r="Z20" s="176">
        <v>16.5</v>
      </c>
      <c r="AA20" s="597"/>
      <c r="AB20" s="123" t="s">
        <v>93</v>
      </c>
      <c r="AC20" s="120">
        <v>21</v>
      </c>
      <c r="AD20" s="601"/>
      <c r="AE20" s="478" t="s">
        <v>5489</v>
      </c>
      <c r="AF20" s="176">
        <v>15.75</v>
      </c>
      <c r="AG20" s="597"/>
      <c r="AH20" s="519"/>
      <c r="AI20" s="519"/>
      <c r="AJ20" s="519"/>
      <c r="AK20" s="519"/>
      <c r="AL20" s="519"/>
      <c r="AM20" s="519"/>
      <c r="AN20" s="519"/>
      <c r="AO20" s="519"/>
      <c r="AP20" s="519"/>
      <c r="AQ20" s="519"/>
      <c r="AR20" s="519"/>
      <c r="AS20" s="519"/>
      <c r="AT20" s="519"/>
      <c r="AU20" s="519"/>
      <c r="AV20" s="519"/>
      <c r="AW20" s="519"/>
      <c r="AX20" s="519"/>
      <c r="AY20" s="519"/>
      <c r="AZ20" s="519"/>
      <c r="BA20" s="519"/>
      <c r="BB20" s="519"/>
      <c r="BC20" s="519"/>
      <c r="BD20" s="519"/>
      <c r="BE20" s="519"/>
      <c r="BF20" s="519"/>
      <c r="BG20" s="519"/>
      <c r="BH20" s="519"/>
      <c r="BI20" s="519"/>
      <c r="BJ20" s="519"/>
      <c r="BK20" s="519"/>
      <c r="BL20" s="519"/>
      <c r="BM20" s="519"/>
      <c r="BN20" s="519"/>
      <c r="BO20" s="519"/>
      <c r="BP20" s="519"/>
      <c r="BQ20" s="519"/>
      <c r="BR20" s="519"/>
      <c r="BS20" s="519"/>
      <c r="BT20" s="519"/>
      <c r="BU20" s="519"/>
      <c r="BV20" s="519"/>
      <c r="BW20" s="519"/>
      <c r="BX20" s="519"/>
      <c r="BY20" s="519"/>
      <c r="BZ20" s="519"/>
      <c r="CA20" s="519"/>
      <c r="CB20" s="519"/>
      <c r="CC20" s="519"/>
      <c r="CD20" s="519"/>
      <c r="CE20" s="519"/>
      <c r="CF20" s="519"/>
      <c r="CG20" s="519"/>
    </row>
    <row r="21" spans="1:85" ht="15.75" thickBot="1" x14ac:dyDescent="0.3">
      <c r="A21" s="542" t="s">
        <v>5567</v>
      </c>
      <c r="B21" s="543">
        <v>4.75</v>
      </c>
      <c r="C21" s="599"/>
      <c r="D21" s="540" t="s">
        <v>5068</v>
      </c>
      <c r="E21" s="541">
        <v>9.25</v>
      </c>
      <c r="F21" s="597"/>
      <c r="G21" s="540" t="s">
        <v>5658</v>
      </c>
      <c r="H21" s="541">
        <v>5.75</v>
      </c>
      <c r="I21" s="597"/>
      <c r="J21" s="123" t="s">
        <v>37</v>
      </c>
      <c r="K21" s="176">
        <v>24.5</v>
      </c>
      <c r="L21" s="597"/>
      <c r="M21" s="542" t="s">
        <v>8728</v>
      </c>
      <c r="N21" s="543">
        <v>13.5</v>
      </c>
      <c r="O21" s="601"/>
      <c r="P21" s="540" t="s">
        <v>5179</v>
      </c>
      <c r="Q21" s="541">
        <v>22.75</v>
      </c>
      <c r="R21" s="597"/>
      <c r="S21" s="123" t="s">
        <v>249</v>
      </c>
      <c r="T21" s="176">
        <v>18.5</v>
      </c>
      <c r="U21" s="597"/>
      <c r="V21" s="478" t="s">
        <v>388</v>
      </c>
      <c r="W21" s="510">
        <v>8.5</v>
      </c>
      <c r="X21" s="597"/>
      <c r="Y21" s="486" t="s">
        <v>402</v>
      </c>
      <c r="Z21" s="190">
        <v>7.25</v>
      </c>
      <c r="AA21" s="601"/>
      <c r="AB21" s="471" t="s">
        <v>5732</v>
      </c>
      <c r="AC21" s="125">
        <v>21</v>
      </c>
      <c r="AD21" s="596" t="s">
        <v>12664</v>
      </c>
      <c r="AE21" s="123" t="s">
        <v>347</v>
      </c>
      <c r="AF21" s="176">
        <v>15</v>
      </c>
      <c r="AG21" s="597"/>
      <c r="AH21" s="519"/>
      <c r="AI21" s="519"/>
      <c r="AJ21" s="519"/>
      <c r="AK21" s="519"/>
      <c r="AL21" s="519"/>
      <c r="AM21" s="519"/>
      <c r="AN21" s="519"/>
      <c r="AO21" s="519"/>
      <c r="AP21" s="519"/>
      <c r="AQ21" s="519"/>
      <c r="AR21" s="519"/>
      <c r="AS21" s="519"/>
      <c r="AT21" s="519"/>
      <c r="AU21" s="519"/>
      <c r="AV21" s="519"/>
      <c r="AW21" s="519"/>
      <c r="AX21" s="519"/>
      <c r="AY21" s="519"/>
      <c r="AZ21" s="519"/>
      <c r="BA21" s="519"/>
      <c r="BB21" s="519"/>
      <c r="BC21" s="519"/>
      <c r="BD21" s="519"/>
      <c r="BE21" s="519"/>
      <c r="BF21" s="519"/>
      <c r="BG21" s="519"/>
      <c r="BH21" s="519"/>
      <c r="BI21" s="519"/>
      <c r="BJ21" s="519"/>
      <c r="BK21" s="519"/>
      <c r="BL21" s="519"/>
      <c r="BM21" s="519"/>
      <c r="BN21" s="519"/>
      <c r="BO21" s="519"/>
      <c r="BP21" s="519"/>
      <c r="BQ21" s="519"/>
      <c r="BR21" s="519"/>
      <c r="BS21" s="519"/>
      <c r="BT21" s="519"/>
      <c r="BU21" s="519"/>
      <c r="BV21" s="519"/>
      <c r="BW21" s="519"/>
      <c r="BX21" s="519"/>
      <c r="BY21" s="519"/>
      <c r="BZ21" s="519"/>
      <c r="CA21" s="519"/>
      <c r="CB21" s="519"/>
      <c r="CC21" s="519"/>
      <c r="CD21" s="519"/>
      <c r="CE21" s="519"/>
      <c r="CF21" s="519"/>
      <c r="CG21" s="519"/>
    </row>
    <row r="22" spans="1:85" ht="15.75" thickBot="1" x14ac:dyDescent="0.3">
      <c r="A22" s="527" t="s">
        <v>4229</v>
      </c>
      <c r="B22" s="539">
        <v>10.5</v>
      </c>
      <c r="C22" s="600" t="s">
        <v>12663</v>
      </c>
      <c r="D22" s="540" t="s">
        <v>5583</v>
      </c>
      <c r="E22" s="541">
        <v>13.75</v>
      </c>
      <c r="F22" s="597"/>
      <c r="G22" s="540" t="s">
        <v>324</v>
      </c>
      <c r="H22" s="541">
        <v>6.75</v>
      </c>
      <c r="I22" s="597"/>
      <c r="J22" s="164" t="s">
        <v>4058</v>
      </c>
      <c r="K22" s="190">
        <v>24.75</v>
      </c>
      <c r="L22" s="601"/>
      <c r="M22" s="527" t="s">
        <v>383</v>
      </c>
      <c r="N22" s="539">
        <v>15.5</v>
      </c>
      <c r="O22" s="596" t="s">
        <v>12664</v>
      </c>
      <c r="P22" s="540" t="s">
        <v>4990</v>
      </c>
      <c r="Q22" s="541">
        <v>22.5</v>
      </c>
      <c r="R22" s="597"/>
      <c r="S22" s="123" t="s">
        <v>219</v>
      </c>
      <c r="T22" s="176">
        <v>18.5</v>
      </c>
      <c r="U22" s="597"/>
      <c r="V22" s="478" t="s">
        <v>5471</v>
      </c>
      <c r="W22" s="510">
        <v>9.25</v>
      </c>
      <c r="X22" s="597"/>
      <c r="Y22" s="124" t="s">
        <v>5611</v>
      </c>
      <c r="Z22" s="125">
        <v>28</v>
      </c>
      <c r="AA22" s="596" t="s">
        <v>12664</v>
      </c>
      <c r="AB22" s="478" t="s">
        <v>5758</v>
      </c>
      <c r="AC22" s="120">
        <v>23</v>
      </c>
      <c r="AD22" s="597"/>
      <c r="AE22" s="478" t="s">
        <v>309</v>
      </c>
      <c r="AF22" s="510">
        <v>7.5</v>
      </c>
      <c r="AG22" s="597"/>
      <c r="AH22" s="519"/>
      <c r="AI22" s="519"/>
      <c r="AJ22" s="519"/>
      <c r="AK22" s="519"/>
      <c r="AL22" s="519"/>
      <c r="AM22" s="519"/>
      <c r="AN22" s="519"/>
      <c r="AO22" s="519"/>
      <c r="AP22" s="519"/>
      <c r="AQ22" s="519"/>
      <c r="AR22" s="519"/>
      <c r="AS22" s="519"/>
      <c r="AT22" s="519"/>
      <c r="AU22" s="519"/>
      <c r="AV22" s="519"/>
      <c r="AW22" s="519"/>
      <c r="AX22" s="519"/>
      <c r="AY22" s="519"/>
      <c r="AZ22" s="519"/>
      <c r="BA22" s="519"/>
      <c r="BB22" s="519"/>
      <c r="BC22" s="519"/>
      <c r="BD22" s="519"/>
      <c r="BE22" s="519"/>
      <c r="BF22" s="519"/>
      <c r="BG22" s="519"/>
      <c r="BH22" s="519"/>
      <c r="BI22" s="519"/>
      <c r="BJ22" s="519"/>
      <c r="BK22" s="519"/>
      <c r="BL22" s="519"/>
      <c r="BM22" s="519"/>
      <c r="BN22" s="519"/>
      <c r="BO22" s="519"/>
      <c r="BP22" s="519"/>
      <c r="BQ22" s="519"/>
      <c r="BR22" s="519"/>
      <c r="BS22" s="519"/>
      <c r="BT22" s="519"/>
      <c r="BU22" s="519"/>
      <c r="BV22" s="519"/>
      <c r="BW22" s="519"/>
      <c r="BX22" s="519"/>
      <c r="BY22" s="519"/>
      <c r="BZ22" s="519"/>
      <c r="CA22" s="519"/>
      <c r="CB22" s="519"/>
      <c r="CC22" s="519"/>
      <c r="CD22" s="519"/>
      <c r="CE22" s="519"/>
      <c r="CF22" s="519"/>
      <c r="CG22" s="519"/>
    </row>
    <row r="23" spans="1:85" ht="15.75" thickBot="1" x14ac:dyDescent="0.3">
      <c r="A23" s="540" t="s">
        <v>435</v>
      </c>
      <c r="B23" s="541">
        <v>10.5</v>
      </c>
      <c r="C23" s="598"/>
      <c r="D23" s="540" t="s">
        <v>5304</v>
      </c>
      <c r="E23" s="541">
        <v>8.75</v>
      </c>
      <c r="F23" s="597"/>
      <c r="G23" s="540" t="s">
        <v>295</v>
      </c>
      <c r="H23" s="541">
        <v>7.5</v>
      </c>
      <c r="I23" s="597"/>
      <c r="J23" s="124" t="s">
        <v>4960</v>
      </c>
      <c r="K23" s="175">
        <v>24.5</v>
      </c>
      <c r="L23" s="596" t="s">
        <v>12663</v>
      </c>
      <c r="M23" s="540" t="s">
        <v>366</v>
      </c>
      <c r="N23" s="541">
        <v>15.5</v>
      </c>
      <c r="O23" s="597"/>
      <c r="P23" s="542" t="s">
        <v>288</v>
      </c>
      <c r="Q23" s="543">
        <v>6.25</v>
      </c>
      <c r="R23" s="601"/>
      <c r="S23" s="123" t="s">
        <v>2106</v>
      </c>
      <c r="T23" s="176">
        <v>23.5</v>
      </c>
      <c r="U23" s="597"/>
      <c r="V23" s="478" t="s">
        <v>254</v>
      </c>
      <c r="W23" s="510">
        <v>10.25</v>
      </c>
      <c r="X23" s="597"/>
      <c r="Y23" s="123" t="s">
        <v>5611</v>
      </c>
      <c r="Z23" s="120">
        <v>28</v>
      </c>
      <c r="AA23" s="597"/>
      <c r="AB23" s="478" t="s">
        <v>5741</v>
      </c>
      <c r="AC23" s="120">
        <v>23.5</v>
      </c>
      <c r="AD23" s="597"/>
      <c r="AE23" s="123" t="s">
        <v>200</v>
      </c>
      <c r="AF23" s="176">
        <v>7.75</v>
      </c>
      <c r="AG23" s="597"/>
      <c r="AH23" s="519"/>
      <c r="AI23" s="519"/>
      <c r="AJ23" s="519"/>
      <c r="AK23" s="519"/>
      <c r="AL23" s="519"/>
      <c r="AM23" s="519"/>
      <c r="AN23" s="519"/>
      <c r="AO23" s="519"/>
      <c r="AP23" s="519"/>
      <c r="AQ23" s="519"/>
      <c r="AR23" s="519"/>
      <c r="AS23" s="519"/>
      <c r="AT23" s="519"/>
      <c r="AU23" s="519"/>
      <c r="AV23" s="519"/>
      <c r="AW23" s="519"/>
      <c r="AX23" s="519"/>
      <c r="AY23" s="519"/>
      <c r="AZ23" s="519"/>
      <c r="BA23" s="519"/>
      <c r="BB23" s="519"/>
      <c r="BC23" s="519"/>
      <c r="BD23" s="519"/>
      <c r="BE23" s="519"/>
      <c r="BF23" s="519"/>
      <c r="BG23" s="519"/>
      <c r="BH23" s="519"/>
      <c r="BI23" s="519"/>
      <c r="BJ23" s="519"/>
      <c r="BK23" s="519"/>
      <c r="BL23" s="519"/>
      <c r="BM23" s="519"/>
      <c r="BN23" s="519"/>
      <c r="BO23" s="519"/>
      <c r="BP23" s="519"/>
      <c r="BQ23" s="519"/>
      <c r="BR23" s="519"/>
      <c r="BS23" s="519"/>
      <c r="BT23" s="519"/>
      <c r="BU23" s="519"/>
      <c r="BV23" s="519"/>
      <c r="BW23" s="519"/>
      <c r="BX23" s="519"/>
      <c r="BY23" s="519"/>
      <c r="BZ23" s="519"/>
      <c r="CA23" s="519"/>
      <c r="CB23" s="519"/>
      <c r="CC23" s="519"/>
      <c r="CD23" s="519"/>
      <c r="CE23" s="519"/>
      <c r="CF23" s="519"/>
      <c r="CG23" s="519"/>
    </row>
    <row r="24" spans="1:85" x14ac:dyDescent="0.25">
      <c r="A24" s="540" t="s">
        <v>5639</v>
      </c>
      <c r="B24" s="541">
        <v>10.5</v>
      </c>
      <c r="C24" s="598"/>
      <c r="D24" s="540" t="s">
        <v>154</v>
      </c>
      <c r="E24" s="541">
        <v>13.5</v>
      </c>
      <c r="F24" s="597"/>
      <c r="G24" s="540" t="s">
        <v>5452</v>
      </c>
      <c r="H24" s="541">
        <v>14.25</v>
      </c>
      <c r="I24" s="597"/>
      <c r="J24" s="123" t="s">
        <v>426</v>
      </c>
      <c r="K24" s="176">
        <v>24.25</v>
      </c>
      <c r="L24" s="597"/>
      <c r="M24" s="540" t="s">
        <v>357</v>
      </c>
      <c r="N24" s="541">
        <v>16.75</v>
      </c>
      <c r="O24" s="597"/>
      <c r="P24" s="527" t="s">
        <v>5570</v>
      </c>
      <c r="Q24" s="539">
        <v>9.75</v>
      </c>
      <c r="R24" s="596" t="s">
        <v>12664</v>
      </c>
      <c r="S24" s="123" t="s">
        <v>149</v>
      </c>
      <c r="T24" s="176">
        <v>18.75</v>
      </c>
      <c r="U24" s="597"/>
      <c r="V24" s="478" t="s">
        <v>240</v>
      </c>
      <c r="W24" s="510">
        <v>12</v>
      </c>
      <c r="X24" s="597"/>
      <c r="Y24" s="123" t="s">
        <v>5611</v>
      </c>
      <c r="Z24" s="120">
        <v>28</v>
      </c>
      <c r="AA24" s="597"/>
      <c r="AB24" s="478" t="s">
        <v>5739</v>
      </c>
      <c r="AC24" s="120">
        <v>23.5</v>
      </c>
      <c r="AD24" s="597"/>
      <c r="AE24" s="478" t="s">
        <v>185</v>
      </c>
      <c r="AF24" s="510">
        <v>9.75</v>
      </c>
      <c r="AG24" s="597"/>
      <c r="AH24" s="519"/>
      <c r="AI24" s="519"/>
      <c r="AJ24" s="519"/>
      <c r="AK24" s="519"/>
      <c r="AL24" s="519"/>
      <c r="AM24" s="519"/>
      <c r="AN24" s="519"/>
      <c r="AO24" s="519"/>
      <c r="AP24" s="519"/>
      <c r="AQ24" s="519"/>
      <c r="AR24" s="519"/>
      <c r="AS24" s="519"/>
      <c r="AT24" s="519"/>
      <c r="AU24" s="519"/>
      <c r="AV24" s="519"/>
      <c r="AW24" s="519"/>
      <c r="AX24" s="519"/>
      <c r="AY24" s="519"/>
      <c r="AZ24" s="519"/>
      <c r="BA24" s="519"/>
      <c r="BB24" s="519"/>
      <c r="BC24" s="519"/>
      <c r="BD24" s="519"/>
      <c r="BE24" s="519"/>
      <c r="BF24" s="519"/>
      <c r="BG24" s="519"/>
      <c r="BH24" s="519"/>
      <c r="BI24" s="519"/>
      <c r="BJ24" s="519"/>
      <c r="BK24" s="519"/>
      <c r="BL24" s="519"/>
      <c r="BM24" s="519"/>
      <c r="BN24" s="519"/>
      <c r="BO24" s="519"/>
      <c r="BP24" s="519"/>
      <c r="BQ24" s="519"/>
      <c r="BR24" s="519"/>
      <c r="BS24" s="519"/>
      <c r="BT24" s="519"/>
      <c r="BU24" s="519"/>
      <c r="BV24" s="519"/>
      <c r="BW24" s="519"/>
      <c r="BX24" s="519"/>
      <c r="BY24" s="519"/>
      <c r="BZ24" s="519"/>
      <c r="CA24" s="519"/>
      <c r="CB24" s="519"/>
      <c r="CC24" s="519"/>
      <c r="CD24" s="519"/>
      <c r="CE24" s="519"/>
      <c r="CF24" s="519"/>
      <c r="CG24" s="519"/>
    </row>
    <row r="25" spans="1:85" x14ac:dyDescent="0.25">
      <c r="A25" s="540" t="s">
        <v>4445</v>
      </c>
      <c r="B25" s="541">
        <v>9.5</v>
      </c>
      <c r="C25" s="598"/>
      <c r="D25" s="540" t="s">
        <v>5108</v>
      </c>
      <c r="E25" s="541">
        <v>18.25</v>
      </c>
      <c r="F25" s="597"/>
      <c r="G25" s="540" t="s">
        <v>5591</v>
      </c>
      <c r="H25" s="541">
        <v>7.75</v>
      </c>
      <c r="I25" s="597"/>
      <c r="J25" s="123" t="s">
        <v>160</v>
      </c>
      <c r="K25" s="176">
        <v>21.5</v>
      </c>
      <c r="L25" s="597"/>
      <c r="M25" s="540" t="s">
        <v>5194</v>
      </c>
      <c r="N25" s="541">
        <v>16.75</v>
      </c>
      <c r="O25" s="597"/>
      <c r="P25" s="540" t="s">
        <v>417</v>
      </c>
      <c r="Q25" s="541">
        <v>21.75</v>
      </c>
      <c r="R25" s="597"/>
      <c r="S25" s="123" t="s">
        <v>143</v>
      </c>
      <c r="T25" s="176">
        <v>19.25</v>
      </c>
      <c r="U25" s="597"/>
      <c r="V25" s="478" t="s">
        <v>5452</v>
      </c>
      <c r="W25" s="510">
        <v>14.25</v>
      </c>
      <c r="X25" s="597"/>
      <c r="Y25" s="123" t="s">
        <v>399</v>
      </c>
      <c r="Z25" s="120">
        <v>27.25</v>
      </c>
      <c r="AA25" s="597"/>
      <c r="AB25" s="478" t="s">
        <v>168</v>
      </c>
      <c r="AC25" s="120">
        <v>23</v>
      </c>
      <c r="AD25" s="597"/>
      <c r="AE25" s="478" t="s">
        <v>173</v>
      </c>
      <c r="AF25" s="510">
        <v>9.75</v>
      </c>
      <c r="AG25" s="597"/>
      <c r="AH25" s="519"/>
      <c r="AI25" s="519"/>
      <c r="AJ25" s="519"/>
      <c r="AK25" s="519"/>
      <c r="AL25" s="519"/>
      <c r="AM25" s="519"/>
      <c r="AN25" s="519"/>
      <c r="AO25" s="519"/>
      <c r="AP25" s="519"/>
      <c r="AQ25" s="519"/>
      <c r="AR25" s="519"/>
      <c r="AS25" s="519"/>
      <c r="AT25" s="519"/>
      <c r="AU25" s="519"/>
      <c r="AV25" s="519"/>
      <c r="AW25" s="519"/>
      <c r="AX25" s="519"/>
      <c r="AY25" s="519"/>
      <c r="AZ25" s="519"/>
      <c r="BA25" s="519"/>
      <c r="BB25" s="519"/>
      <c r="BC25" s="519"/>
      <c r="BD25" s="519"/>
      <c r="BE25" s="519"/>
      <c r="BF25" s="519"/>
      <c r="BG25" s="519"/>
      <c r="BH25" s="519"/>
      <c r="BI25" s="519"/>
      <c r="BJ25" s="519"/>
      <c r="BK25" s="519"/>
      <c r="BL25" s="519"/>
      <c r="BM25" s="519"/>
      <c r="BN25" s="519"/>
      <c r="BO25" s="519"/>
      <c r="BP25" s="519"/>
      <c r="BQ25" s="519"/>
      <c r="BR25" s="519"/>
      <c r="BS25" s="519"/>
      <c r="BT25" s="519"/>
      <c r="BU25" s="519"/>
      <c r="BV25" s="519"/>
      <c r="BW25" s="519"/>
      <c r="BX25" s="519"/>
      <c r="BY25" s="519"/>
      <c r="BZ25" s="519"/>
      <c r="CA25" s="519"/>
      <c r="CB25" s="519"/>
      <c r="CC25" s="519"/>
      <c r="CD25" s="519"/>
      <c r="CE25" s="519"/>
      <c r="CF25" s="519"/>
      <c r="CG25" s="519"/>
    </row>
    <row r="26" spans="1:85" ht="15.75" thickBot="1" x14ac:dyDescent="0.3">
      <c r="A26" s="540" t="s">
        <v>3751</v>
      </c>
      <c r="B26" s="541">
        <v>9.25</v>
      </c>
      <c r="C26" s="598"/>
      <c r="D26" s="540" t="s">
        <v>4943</v>
      </c>
      <c r="E26" s="541">
        <v>18.25</v>
      </c>
      <c r="F26" s="597"/>
      <c r="G26" s="540" t="s">
        <v>5108</v>
      </c>
      <c r="H26" s="541">
        <v>18.25</v>
      </c>
      <c r="I26" s="597"/>
      <c r="J26" s="123" t="s">
        <v>4973</v>
      </c>
      <c r="K26" s="176">
        <v>24</v>
      </c>
      <c r="L26" s="597"/>
      <c r="M26" s="540" t="s">
        <v>175</v>
      </c>
      <c r="N26" s="541">
        <v>15.75</v>
      </c>
      <c r="O26" s="597"/>
      <c r="P26" s="540" t="s">
        <v>395</v>
      </c>
      <c r="Q26" s="541">
        <v>21</v>
      </c>
      <c r="R26" s="597"/>
      <c r="S26" s="164" t="s">
        <v>5532</v>
      </c>
      <c r="T26" s="190">
        <v>22.75</v>
      </c>
      <c r="U26" s="601"/>
      <c r="V26" s="478" t="s">
        <v>224</v>
      </c>
      <c r="W26" s="510">
        <v>11.5</v>
      </c>
      <c r="X26" s="597"/>
      <c r="Y26" s="123" t="s">
        <v>399</v>
      </c>
      <c r="Z26" s="120">
        <v>27.25</v>
      </c>
      <c r="AA26" s="597"/>
      <c r="AB26" s="478" t="s">
        <v>157</v>
      </c>
      <c r="AC26" s="120">
        <v>6.5</v>
      </c>
      <c r="AD26" s="597"/>
      <c r="AE26" s="123" t="s">
        <v>122</v>
      </c>
      <c r="AF26" s="176">
        <v>15.25</v>
      </c>
      <c r="AG26" s="597"/>
      <c r="AH26" s="519"/>
      <c r="AI26" s="519"/>
      <c r="AJ26" s="519"/>
      <c r="AK26" s="519"/>
      <c r="AL26" s="519"/>
      <c r="AM26" s="519"/>
      <c r="AN26" s="519"/>
      <c r="AO26" s="519"/>
      <c r="AP26" s="519"/>
      <c r="AQ26" s="519"/>
      <c r="AR26" s="519"/>
      <c r="AS26" s="519"/>
      <c r="AT26" s="519"/>
      <c r="AU26" s="519"/>
      <c r="AV26" s="519"/>
      <c r="AW26" s="519"/>
      <c r="AX26" s="519"/>
      <c r="AY26" s="519"/>
      <c r="AZ26" s="519"/>
      <c r="BA26" s="519"/>
      <c r="BB26" s="519"/>
      <c r="BC26" s="519"/>
      <c r="BD26" s="519"/>
      <c r="BE26" s="519"/>
      <c r="BF26" s="519"/>
      <c r="BG26" s="519"/>
      <c r="BH26" s="519"/>
      <c r="BI26" s="519"/>
      <c r="BJ26" s="519"/>
      <c r="BK26" s="519"/>
      <c r="BL26" s="519"/>
      <c r="BM26" s="519"/>
      <c r="BN26" s="519"/>
      <c r="BO26" s="519"/>
      <c r="BP26" s="519"/>
      <c r="BQ26" s="519"/>
      <c r="BR26" s="519"/>
      <c r="BS26" s="519"/>
      <c r="BT26" s="519"/>
      <c r="BU26" s="519"/>
      <c r="BV26" s="519"/>
      <c r="BW26" s="519"/>
      <c r="BX26" s="519"/>
      <c r="BY26" s="519"/>
      <c r="BZ26" s="519"/>
      <c r="CA26" s="519"/>
      <c r="CB26" s="519"/>
      <c r="CC26" s="519"/>
      <c r="CD26" s="519"/>
      <c r="CE26" s="519"/>
      <c r="CF26" s="519"/>
      <c r="CG26" s="519"/>
    </row>
    <row r="27" spans="1:85" x14ac:dyDescent="0.25">
      <c r="A27" s="540" t="s">
        <v>5068</v>
      </c>
      <c r="B27" s="541">
        <v>9.25</v>
      </c>
      <c r="C27" s="598"/>
      <c r="D27" s="540" t="s">
        <v>5620</v>
      </c>
      <c r="E27" s="541">
        <v>21.5</v>
      </c>
      <c r="F27" s="597"/>
      <c r="G27" s="540" t="s">
        <v>140</v>
      </c>
      <c r="H27" s="541">
        <v>5.75</v>
      </c>
      <c r="I27" s="597"/>
      <c r="J27" s="123" t="s">
        <v>5269</v>
      </c>
      <c r="K27" s="176">
        <v>24.5</v>
      </c>
      <c r="L27" s="597"/>
      <c r="M27" s="540" t="s">
        <v>5672</v>
      </c>
      <c r="N27" s="541">
        <v>7.25</v>
      </c>
      <c r="O27" s="597"/>
      <c r="P27" s="540" t="s">
        <v>284</v>
      </c>
      <c r="Q27" s="541">
        <v>19.25</v>
      </c>
      <c r="R27" s="597"/>
      <c r="S27" s="124" t="s">
        <v>5619</v>
      </c>
      <c r="T27" s="175">
        <v>10.75</v>
      </c>
      <c r="U27" s="596" t="s">
        <v>12664</v>
      </c>
      <c r="V27" s="478" t="s">
        <v>198</v>
      </c>
      <c r="W27" s="510">
        <v>10.75</v>
      </c>
      <c r="X27" s="597"/>
      <c r="Y27" s="478" t="s">
        <v>385</v>
      </c>
      <c r="Z27" s="120">
        <v>17.75</v>
      </c>
      <c r="AA27" s="597"/>
      <c r="AB27" s="478" t="s">
        <v>5734</v>
      </c>
      <c r="AC27" s="120">
        <v>24</v>
      </c>
      <c r="AD27" s="597"/>
      <c r="AE27" s="478" t="s">
        <v>110</v>
      </c>
      <c r="AF27" s="510">
        <v>10</v>
      </c>
      <c r="AG27" s="597"/>
      <c r="AH27" s="519"/>
      <c r="AI27" s="519"/>
      <c r="AJ27" s="519"/>
      <c r="AK27" s="519"/>
      <c r="AL27" s="519"/>
      <c r="AM27" s="519"/>
      <c r="AN27" s="519"/>
      <c r="AO27" s="519"/>
      <c r="AP27" s="519"/>
      <c r="AQ27" s="519"/>
      <c r="AR27" s="519"/>
      <c r="AS27" s="519"/>
      <c r="AT27" s="519"/>
      <c r="AU27" s="519"/>
      <c r="AV27" s="519"/>
      <c r="AW27" s="519"/>
      <c r="AX27" s="519"/>
      <c r="AY27" s="519"/>
      <c r="AZ27" s="519"/>
      <c r="BA27" s="519"/>
      <c r="BB27" s="519"/>
      <c r="BC27" s="519"/>
      <c r="BD27" s="519"/>
      <c r="BE27" s="519"/>
      <c r="BF27" s="519"/>
      <c r="BG27" s="519"/>
      <c r="BH27" s="519"/>
      <c r="BI27" s="519"/>
      <c r="BJ27" s="519"/>
      <c r="BK27" s="519"/>
      <c r="BL27" s="519"/>
      <c r="BM27" s="519"/>
      <c r="BN27" s="519"/>
      <c r="BO27" s="519"/>
      <c r="BP27" s="519"/>
      <c r="BQ27" s="519"/>
      <c r="BR27" s="519"/>
      <c r="BS27" s="519"/>
      <c r="BT27" s="519"/>
      <c r="BU27" s="519"/>
      <c r="BV27" s="519"/>
      <c r="BW27" s="519"/>
      <c r="BX27" s="519"/>
      <c r="BY27" s="519"/>
      <c r="BZ27" s="519"/>
      <c r="CA27" s="519"/>
      <c r="CB27" s="519"/>
      <c r="CC27" s="519"/>
      <c r="CD27" s="519"/>
      <c r="CE27" s="519"/>
      <c r="CF27" s="519"/>
      <c r="CG27" s="519"/>
    </row>
    <row r="28" spans="1:85" ht="15.75" thickBot="1" x14ac:dyDescent="0.3">
      <c r="A28" s="540" t="s">
        <v>5171</v>
      </c>
      <c r="B28" s="541">
        <v>9.25</v>
      </c>
      <c r="C28" s="598"/>
      <c r="D28" s="542" t="s">
        <v>5336</v>
      </c>
      <c r="E28" s="543">
        <v>28.25</v>
      </c>
      <c r="F28" s="601"/>
      <c r="G28" s="540" t="s">
        <v>5602</v>
      </c>
      <c r="H28" s="541">
        <v>6</v>
      </c>
      <c r="I28" s="597"/>
      <c r="J28" s="123" t="s">
        <v>37</v>
      </c>
      <c r="K28" s="176">
        <v>24.5</v>
      </c>
      <c r="L28" s="597"/>
      <c r="M28" s="540" t="s">
        <v>4750</v>
      </c>
      <c r="N28" s="541">
        <v>15.25</v>
      </c>
      <c r="O28" s="597"/>
      <c r="P28" s="540" t="s">
        <v>236</v>
      </c>
      <c r="Q28" s="541">
        <v>20.75</v>
      </c>
      <c r="R28" s="597"/>
      <c r="S28" s="123" t="s">
        <v>5608</v>
      </c>
      <c r="T28" s="176">
        <v>17.75</v>
      </c>
      <c r="U28" s="597"/>
      <c r="V28" s="478" t="s">
        <v>5019</v>
      </c>
      <c r="W28" s="510">
        <v>9.5</v>
      </c>
      <c r="X28" s="597"/>
      <c r="Y28" s="164" t="s">
        <v>339</v>
      </c>
      <c r="Z28" s="524">
        <v>11.75</v>
      </c>
      <c r="AA28" s="601"/>
      <c r="AB28" s="478" t="s">
        <v>5737</v>
      </c>
      <c r="AC28" s="120">
        <v>23.5</v>
      </c>
      <c r="AD28" s="601"/>
      <c r="AE28" s="478" t="s">
        <v>95</v>
      </c>
      <c r="AF28" s="176">
        <v>15.75</v>
      </c>
      <c r="AG28" s="597"/>
      <c r="AH28" s="519"/>
      <c r="AI28" s="519"/>
      <c r="AJ28" s="519"/>
      <c r="AK28" s="519"/>
      <c r="AL28" s="519"/>
      <c r="AM28" s="519"/>
      <c r="AN28" s="519"/>
      <c r="AO28" s="519"/>
      <c r="AP28" s="519"/>
      <c r="AQ28" s="519"/>
      <c r="AR28" s="519"/>
      <c r="AS28" s="519"/>
      <c r="AT28" s="519"/>
      <c r="AU28" s="519"/>
      <c r="AV28" s="519"/>
      <c r="AW28" s="519"/>
      <c r="AX28" s="519"/>
      <c r="AY28" s="519"/>
      <c r="AZ28" s="519"/>
      <c r="BA28" s="519"/>
      <c r="BB28" s="519"/>
      <c r="BC28" s="519"/>
      <c r="BD28" s="519"/>
      <c r="BE28" s="519"/>
      <c r="BF28" s="519"/>
      <c r="BG28" s="519"/>
      <c r="BH28" s="519"/>
      <c r="BI28" s="519"/>
      <c r="BJ28" s="519"/>
      <c r="BK28" s="519"/>
      <c r="BL28" s="519"/>
      <c r="BM28" s="519"/>
      <c r="BN28" s="519"/>
      <c r="BO28" s="519"/>
      <c r="BP28" s="519"/>
      <c r="BQ28" s="519"/>
      <c r="BR28" s="519"/>
      <c r="BS28" s="519"/>
      <c r="BT28" s="519"/>
      <c r="BU28" s="519"/>
      <c r="BV28" s="519"/>
      <c r="BW28" s="519"/>
      <c r="BX28" s="519"/>
      <c r="BY28" s="519"/>
      <c r="BZ28" s="519"/>
      <c r="CA28" s="519"/>
      <c r="CB28" s="519"/>
      <c r="CC28" s="519"/>
      <c r="CD28" s="519"/>
      <c r="CE28" s="519"/>
      <c r="CF28" s="519"/>
      <c r="CG28" s="519"/>
    </row>
    <row r="29" spans="1:85" ht="15.75" thickBot="1" x14ac:dyDescent="0.3">
      <c r="A29" s="540" t="s">
        <v>430</v>
      </c>
      <c r="B29" s="541">
        <v>9</v>
      </c>
      <c r="C29" s="598"/>
      <c r="D29" s="527" t="s">
        <v>4816</v>
      </c>
      <c r="E29" s="544">
        <v>12.5</v>
      </c>
      <c r="F29" s="596" t="s">
        <v>12663</v>
      </c>
      <c r="G29" s="540" t="s">
        <v>110</v>
      </c>
      <c r="H29" s="541">
        <v>10</v>
      </c>
      <c r="I29" s="597"/>
      <c r="J29" s="164" t="s">
        <v>4058</v>
      </c>
      <c r="K29" s="190">
        <v>24.75</v>
      </c>
      <c r="L29" s="601"/>
      <c r="M29" s="540" t="s">
        <v>52</v>
      </c>
      <c r="N29" s="541">
        <v>15.75</v>
      </c>
      <c r="O29" s="597"/>
      <c r="P29" s="540" t="s">
        <v>128</v>
      </c>
      <c r="Q29" s="541">
        <v>19.75</v>
      </c>
      <c r="R29" s="597"/>
      <c r="S29" s="123" t="s">
        <v>5661</v>
      </c>
      <c r="T29" s="176">
        <v>18.25</v>
      </c>
      <c r="U29" s="597"/>
      <c r="V29" s="478" t="s">
        <v>5513</v>
      </c>
      <c r="W29" s="510">
        <v>9</v>
      </c>
      <c r="X29" s="597"/>
      <c r="Y29" s="471" t="s">
        <v>414</v>
      </c>
      <c r="Z29" s="516">
        <v>15.25</v>
      </c>
      <c r="AA29" s="596" t="s">
        <v>12664</v>
      </c>
      <c r="AB29" s="124" t="s">
        <v>485</v>
      </c>
      <c r="AC29" s="125">
        <v>27.5</v>
      </c>
      <c r="AD29" s="596" t="s">
        <v>12664</v>
      </c>
      <c r="AE29" s="164" t="s">
        <v>15</v>
      </c>
      <c r="AF29" s="190">
        <v>15</v>
      </c>
      <c r="AG29" s="601"/>
      <c r="AH29" s="519"/>
      <c r="AI29" s="519"/>
      <c r="AJ29" s="519"/>
      <c r="AK29" s="519"/>
      <c r="AL29" s="519"/>
      <c r="AM29" s="519"/>
      <c r="AN29" s="519"/>
      <c r="AO29" s="519"/>
      <c r="AP29" s="519"/>
      <c r="AQ29" s="519"/>
      <c r="AR29" s="519"/>
      <c r="AS29" s="519"/>
      <c r="AT29" s="519"/>
      <c r="AU29" s="519"/>
      <c r="AV29" s="519"/>
      <c r="AW29" s="519"/>
      <c r="AX29" s="519"/>
      <c r="AY29" s="519"/>
      <c r="AZ29" s="519"/>
      <c r="BA29" s="519"/>
      <c r="BB29" s="519"/>
      <c r="BC29" s="519"/>
      <c r="BD29" s="519"/>
      <c r="BE29" s="519"/>
      <c r="BF29" s="519"/>
      <c r="BG29" s="519"/>
      <c r="BH29" s="519"/>
      <c r="BI29" s="519"/>
      <c r="BJ29" s="519"/>
      <c r="BK29" s="519"/>
      <c r="BL29" s="519"/>
      <c r="BM29" s="519"/>
      <c r="BN29" s="519"/>
      <c r="BO29" s="519"/>
      <c r="BP29" s="519"/>
      <c r="BQ29" s="519"/>
      <c r="BR29" s="519"/>
      <c r="BS29" s="519"/>
      <c r="BT29" s="519"/>
      <c r="BU29" s="519"/>
      <c r="BV29" s="519"/>
      <c r="BW29" s="519"/>
      <c r="BX29" s="519"/>
      <c r="BY29" s="519"/>
      <c r="BZ29" s="519"/>
      <c r="CA29" s="519"/>
      <c r="CB29" s="519"/>
      <c r="CC29" s="519"/>
      <c r="CD29" s="519"/>
      <c r="CE29" s="519"/>
      <c r="CF29" s="519"/>
      <c r="CG29" s="519"/>
    </row>
    <row r="30" spans="1:85" x14ac:dyDescent="0.25">
      <c r="A30" s="540" t="s">
        <v>5483</v>
      </c>
      <c r="B30" s="541">
        <v>9</v>
      </c>
      <c r="C30" s="598"/>
      <c r="D30" s="540" t="s">
        <v>454</v>
      </c>
      <c r="E30" s="136">
        <v>11.5</v>
      </c>
      <c r="F30" s="597"/>
      <c r="G30" s="540" t="s">
        <v>5585</v>
      </c>
      <c r="H30" s="541">
        <v>6.75</v>
      </c>
      <c r="I30" s="597"/>
      <c r="J30" s="124" t="s">
        <v>5267</v>
      </c>
      <c r="K30" s="125">
        <v>15.25</v>
      </c>
      <c r="L30" s="596" t="s">
        <v>12663</v>
      </c>
      <c r="M30" s="540" t="s">
        <v>44</v>
      </c>
      <c r="N30" s="541">
        <v>16</v>
      </c>
      <c r="O30" s="597"/>
      <c r="P30" s="540" t="s">
        <v>117</v>
      </c>
      <c r="Q30" s="541">
        <v>19</v>
      </c>
      <c r="R30" s="597"/>
      <c r="S30" s="123" t="s">
        <v>249</v>
      </c>
      <c r="T30" s="176">
        <v>18.5</v>
      </c>
      <c r="U30" s="597"/>
      <c r="V30" s="478" t="s">
        <v>74</v>
      </c>
      <c r="W30" s="510">
        <v>10.5</v>
      </c>
      <c r="X30" s="597"/>
      <c r="Y30" s="478" t="s">
        <v>378</v>
      </c>
      <c r="Z30" s="510">
        <v>14.5</v>
      </c>
      <c r="AA30" s="597"/>
      <c r="AB30" s="123" t="s">
        <v>259</v>
      </c>
      <c r="AC30" s="120">
        <v>17</v>
      </c>
      <c r="AD30" s="597"/>
      <c r="AE30" s="471" t="s">
        <v>314</v>
      </c>
      <c r="AF30" s="175">
        <v>19</v>
      </c>
      <c r="AG30" s="596" t="s">
        <v>12664</v>
      </c>
      <c r="AH30" s="519"/>
      <c r="AI30" s="519"/>
      <c r="AJ30" s="519"/>
      <c r="AK30" s="519"/>
      <c r="AL30" s="519"/>
      <c r="AM30" s="519"/>
      <c r="AN30" s="519"/>
      <c r="AO30" s="519"/>
      <c r="AP30" s="519"/>
      <c r="AQ30" s="519"/>
      <c r="AR30" s="519"/>
      <c r="AS30" s="519"/>
      <c r="AT30" s="519"/>
      <c r="AU30" s="519"/>
      <c r="AV30" s="519"/>
      <c r="AW30" s="519"/>
      <c r="AX30" s="519"/>
      <c r="AY30" s="519"/>
      <c r="AZ30" s="519"/>
      <c r="BA30" s="519"/>
      <c r="BB30" s="519"/>
      <c r="BC30" s="519"/>
      <c r="BD30" s="519"/>
      <c r="BE30" s="519"/>
      <c r="BF30" s="519"/>
      <c r="BG30" s="519"/>
      <c r="BH30" s="519"/>
      <c r="BI30" s="519"/>
      <c r="BJ30" s="519"/>
      <c r="BK30" s="519"/>
      <c r="BL30" s="519"/>
      <c r="BM30" s="519"/>
      <c r="BN30" s="519"/>
      <c r="BO30" s="519"/>
      <c r="BP30" s="519"/>
      <c r="BQ30" s="519"/>
      <c r="BR30" s="519"/>
      <c r="BS30" s="519"/>
      <c r="BT30" s="519"/>
      <c r="BU30" s="519"/>
      <c r="BV30" s="519"/>
      <c r="BW30" s="519"/>
      <c r="BX30" s="519"/>
      <c r="BY30" s="519"/>
      <c r="BZ30" s="519"/>
      <c r="CA30" s="519"/>
      <c r="CB30" s="519"/>
      <c r="CC30" s="519"/>
      <c r="CD30" s="519"/>
      <c r="CE30" s="519"/>
      <c r="CF30" s="519"/>
      <c r="CG30" s="519"/>
    </row>
    <row r="31" spans="1:85" x14ac:dyDescent="0.25">
      <c r="A31" s="540" t="s">
        <v>5304</v>
      </c>
      <c r="B31" s="541">
        <v>8.75</v>
      </c>
      <c r="C31" s="598"/>
      <c r="D31" s="540" t="s">
        <v>361</v>
      </c>
      <c r="E31" s="136">
        <v>15.5</v>
      </c>
      <c r="F31" s="597"/>
      <c r="G31" s="540" t="s">
        <v>5631</v>
      </c>
      <c r="H31" s="541">
        <v>5.75</v>
      </c>
      <c r="I31" s="597"/>
      <c r="J31" s="123" t="s">
        <v>4945</v>
      </c>
      <c r="K31" s="120">
        <v>30</v>
      </c>
      <c r="L31" s="597"/>
      <c r="M31" s="540" t="s">
        <v>4181</v>
      </c>
      <c r="N31" s="541">
        <v>17</v>
      </c>
      <c r="O31" s="597"/>
      <c r="P31" s="540" t="s">
        <v>4979</v>
      </c>
      <c r="Q31" s="541">
        <v>21.5</v>
      </c>
      <c r="R31" s="597"/>
      <c r="S31" s="123" t="s">
        <v>219</v>
      </c>
      <c r="T31" s="176">
        <v>18.5</v>
      </c>
      <c r="U31" s="597"/>
      <c r="V31" s="478" t="s">
        <v>3628</v>
      </c>
      <c r="W31" s="510">
        <v>10.25</v>
      </c>
      <c r="X31" s="597"/>
      <c r="Y31" s="478" t="s">
        <v>339</v>
      </c>
      <c r="Z31" s="510">
        <v>11.75</v>
      </c>
      <c r="AA31" s="597"/>
      <c r="AB31" s="123" t="s">
        <v>170</v>
      </c>
      <c r="AC31" s="120">
        <v>34.5</v>
      </c>
      <c r="AD31" s="597"/>
      <c r="AE31" s="478" t="s">
        <v>415</v>
      </c>
      <c r="AF31" s="510">
        <v>18</v>
      </c>
      <c r="AG31" s="597"/>
      <c r="AH31" s="519"/>
      <c r="AI31" s="519"/>
      <c r="AJ31" s="519"/>
      <c r="AK31" s="519"/>
      <c r="AL31" s="519"/>
      <c r="AM31" s="519"/>
      <c r="AN31" s="519"/>
      <c r="AO31" s="519"/>
      <c r="AP31" s="519"/>
      <c r="AQ31" s="519"/>
      <c r="AR31" s="519"/>
      <c r="AS31" s="519"/>
      <c r="AT31" s="519"/>
      <c r="AU31" s="519"/>
      <c r="AV31" s="519"/>
      <c r="AW31" s="519"/>
      <c r="AX31" s="519"/>
      <c r="AY31" s="519"/>
      <c r="AZ31" s="519"/>
      <c r="BA31" s="519"/>
      <c r="BB31" s="519"/>
      <c r="BC31" s="519"/>
      <c r="BD31" s="519"/>
      <c r="BE31" s="519"/>
      <c r="BF31" s="519"/>
      <c r="BG31" s="519"/>
      <c r="BH31" s="519"/>
      <c r="BI31" s="519"/>
      <c r="BJ31" s="519"/>
      <c r="BK31" s="519"/>
      <c r="BL31" s="519"/>
      <c r="BM31" s="519"/>
      <c r="BN31" s="519"/>
      <c r="BO31" s="519"/>
      <c r="BP31" s="519"/>
      <c r="BQ31" s="519"/>
      <c r="BR31" s="519"/>
      <c r="BS31" s="519"/>
      <c r="BT31" s="519"/>
      <c r="BU31" s="519"/>
      <c r="BV31" s="519"/>
      <c r="BW31" s="519"/>
      <c r="BX31" s="519"/>
      <c r="BY31" s="519"/>
      <c r="BZ31" s="519"/>
      <c r="CA31" s="519"/>
      <c r="CB31" s="519"/>
      <c r="CC31" s="519"/>
      <c r="CD31" s="519"/>
      <c r="CE31" s="519"/>
      <c r="CF31" s="519"/>
      <c r="CG31" s="519"/>
    </row>
    <row r="32" spans="1:85" ht="15.75" thickBot="1" x14ac:dyDescent="0.3">
      <c r="A32" s="540" t="s">
        <v>5295</v>
      </c>
      <c r="B32" s="541">
        <v>8.75</v>
      </c>
      <c r="C32" s="598"/>
      <c r="D32" s="540" t="s">
        <v>5589</v>
      </c>
      <c r="E32" s="136">
        <v>20.5</v>
      </c>
      <c r="F32" s="597"/>
      <c r="G32" s="540" t="s">
        <v>15</v>
      </c>
      <c r="H32" s="541">
        <v>15</v>
      </c>
      <c r="I32" s="597"/>
      <c r="J32" s="123" t="s">
        <v>368</v>
      </c>
      <c r="K32" s="120">
        <v>15</v>
      </c>
      <c r="L32" s="597"/>
      <c r="M32" s="542" t="s">
        <v>21</v>
      </c>
      <c r="N32" s="543">
        <v>16.5</v>
      </c>
      <c r="O32" s="601"/>
      <c r="P32" s="542" t="s">
        <v>42</v>
      </c>
      <c r="Q32" s="543">
        <v>15.25</v>
      </c>
      <c r="R32" s="601"/>
      <c r="S32" s="123" t="s">
        <v>2106</v>
      </c>
      <c r="T32" s="176">
        <v>23.5</v>
      </c>
      <c r="U32" s="597"/>
      <c r="V32" s="87" t="s">
        <v>195</v>
      </c>
      <c r="W32" s="120">
        <v>7.75</v>
      </c>
      <c r="X32" s="597"/>
      <c r="Y32" s="478" t="s">
        <v>263</v>
      </c>
      <c r="Z32" s="510">
        <v>14.25</v>
      </c>
      <c r="AA32" s="597"/>
      <c r="AB32" s="478" t="s">
        <v>166</v>
      </c>
      <c r="AC32" s="120">
        <v>20.75</v>
      </c>
      <c r="AD32" s="597"/>
      <c r="AE32" s="478" t="s">
        <v>404</v>
      </c>
      <c r="AF32" s="176">
        <v>18.5</v>
      </c>
      <c r="AG32" s="597"/>
      <c r="AH32" s="519"/>
      <c r="AI32" s="519"/>
      <c r="AJ32" s="519"/>
      <c r="AK32" s="519"/>
      <c r="AL32" s="519"/>
      <c r="AM32" s="519"/>
      <c r="AN32" s="519"/>
      <c r="AO32" s="519"/>
      <c r="AP32" s="519"/>
      <c r="AQ32" s="519"/>
      <c r="AR32" s="519"/>
      <c r="AS32" s="519"/>
      <c r="AT32" s="519"/>
      <c r="AU32" s="519"/>
      <c r="AV32" s="519"/>
      <c r="AW32" s="519"/>
      <c r="AX32" s="519"/>
      <c r="AY32" s="519"/>
      <c r="AZ32" s="519"/>
      <c r="BA32" s="519"/>
      <c r="BB32" s="519"/>
      <c r="BC32" s="519"/>
      <c r="BD32" s="519"/>
      <c r="BE32" s="519"/>
      <c r="BF32" s="519"/>
      <c r="BG32" s="519"/>
      <c r="BH32" s="519"/>
      <c r="BI32" s="519"/>
      <c r="BJ32" s="519"/>
      <c r="BK32" s="519"/>
      <c r="BL32" s="519"/>
      <c r="BM32" s="519"/>
      <c r="BN32" s="519"/>
      <c r="BO32" s="519"/>
      <c r="BP32" s="519"/>
      <c r="BQ32" s="519"/>
      <c r="BR32" s="519"/>
      <c r="BS32" s="519"/>
      <c r="BT32" s="519"/>
      <c r="BU32" s="519"/>
      <c r="BV32" s="519"/>
      <c r="BW32" s="519"/>
      <c r="BX32" s="519"/>
      <c r="BY32" s="519"/>
      <c r="BZ32" s="519"/>
      <c r="CA32" s="519"/>
      <c r="CB32" s="519"/>
      <c r="CC32" s="519"/>
      <c r="CD32" s="519"/>
      <c r="CE32" s="519"/>
      <c r="CF32" s="519"/>
      <c r="CG32" s="519"/>
    </row>
    <row r="33" spans="1:85" ht="15.75" thickBot="1" x14ac:dyDescent="0.3">
      <c r="A33" s="540" t="s">
        <v>3463</v>
      </c>
      <c r="B33" s="541">
        <v>8.5</v>
      </c>
      <c r="C33" s="598"/>
      <c r="D33" s="540" t="s">
        <v>244</v>
      </c>
      <c r="E33" s="136">
        <v>10.75</v>
      </c>
      <c r="F33" s="597"/>
      <c r="G33" s="540" t="s">
        <v>12</v>
      </c>
      <c r="H33" s="541">
        <v>18.25</v>
      </c>
      <c r="I33" s="597"/>
      <c r="J33" s="123" t="s">
        <v>246</v>
      </c>
      <c r="K33" s="120">
        <v>15</v>
      </c>
      <c r="L33" s="597"/>
      <c r="M33" s="527" t="s">
        <v>4181</v>
      </c>
      <c r="N33" s="539">
        <v>17</v>
      </c>
      <c r="O33" s="596" t="s">
        <v>12664</v>
      </c>
      <c r="P33" s="527" t="s">
        <v>417</v>
      </c>
      <c r="Q33" s="539">
        <v>21.75</v>
      </c>
      <c r="R33" s="596" t="s">
        <v>12664</v>
      </c>
      <c r="S33" s="123" t="s">
        <v>149</v>
      </c>
      <c r="T33" s="176">
        <v>18.75</v>
      </c>
      <c r="U33" s="597"/>
      <c r="V33" s="87" t="s">
        <v>5526</v>
      </c>
      <c r="W33" s="120">
        <v>5.5</v>
      </c>
      <c r="X33" s="601"/>
      <c r="Y33" s="478" t="s">
        <v>5549</v>
      </c>
      <c r="Z33" s="510">
        <v>30.5</v>
      </c>
      <c r="AA33" s="597"/>
      <c r="AB33" s="123" t="s">
        <v>103</v>
      </c>
      <c r="AC33" s="120">
        <v>33.75</v>
      </c>
      <c r="AD33" s="597"/>
      <c r="AE33" s="478" t="s">
        <v>333</v>
      </c>
      <c r="AF33" s="510">
        <v>18</v>
      </c>
      <c r="AG33" s="597"/>
      <c r="AH33" s="519"/>
      <c r="AI33" s="519"/>
      <c r="AJ33" s="519"/>
      <c r="AK33" s="519"/>
      <c r="AL33" s="519"/>
      <c r="AM33" s="519"/>
      <c r="AN33" s="519"/>
      <c r="AO33" s="519"/>
      <c r="AP33" s="519"/>
      <c r="AQ33" s="519"/>
      <c r="AR33" s="519"/>
      <c r="AS33" s="519"/>
      <c r="AT33" s="519"/>
      <c r="AU33" s="519"/>
      <c r="AV33" s="519"/>
      <c r="AW33" s="519"/>
      <c r="AX33" s="519"/>
      <c r="AY33" s="519"/>
      <c r="AZ33" s="519"/>
      <c r="BA33" s="519"/>
      <c r="BB33" s="519"/>
      <c r="BC33" s="519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519"/>
      <c r="BV33" s="519"/>
      <c r="BW33" s="519"/>
      <c r="BX33" s="519"/>
      <c r="BY33" s="519"/>
      <c r="BZ33" s="519"/>
      <c r="CA33" s="519"/>
      <c r="CB33" s="519"/>
      <c r="CC33" s="519"/>
      <c r="CD33" s="519"/>
      <c r="CE33" s="519"/>
      <c r="CF33" s="519"/>
      <c r="CG33" s="519"/>
    </row>
    <row r="34" spans="1:85" ht="15.75" thickBot="1" x14ac:dyDescent="0.3">
      <c r="A34" s="540" t="s">
        <v>3373</v>
      </c>
      <c r="B34" s="541">
        <v>8.5</v>
      </c>
      <c r="C34" s="597"/>
      <c r="D34" s="540" t="s">
        <v>5397</v>
      </c>
      <c r="E34" s="136">
        <v>22</v>
      </c>
      <c r="F34" s="597"/>
      <c r="G34" s="540" t="s">
        <v>9</v>
      </c>
      <c r="H34" s="541">
        <v>18</v>
      </c>
      <c r="I34" s="597"/>
      <c r="J34" s="123" t="s">
        <v>3307</v>
      </c>
      <c r="K34" s="120">
        <v>30.25</v>
      </c>
      <c r="L34" s="597"/>
      <c r="M34" s="540" t="s">
        <v>5194</v>
      </c>
      <c r="N34" s="541">
        <v>16.75</v>
      </c>
      <c r="O34" s="597"/>
      <c r="P34" s="540" t="s">
        <v>4979</v>
      </c>
      <c r="Q34" s="541">
        <v>21.5</v>
      </c>
      <c r="R34" s="597"/>
      <c r="S34" s="123" t="s">
        <v>143</v>
      </c>
      <c r="T34" s="176">
        <v>19.25</v>
      </c>
      <c r="U34" s="597"/>
      <c r="V34" s="471" t="s">
        <v>457</v>
      </c>
      <c r="W34" s="516">
        <v>13.75</v>
      </c>
      <c r="X34" s="596" t="s">
        <v>12664</v>
      </c>
      <c r="Y34" s="478" t="s">
        <v>187</v>
      </c>
      <c r="Z34" s="510">
        <v>15.5</v>
      </c>
      <c r="AA34" s="597"/>
      <c r="AB34" s="164" t="s">
        <v>71</v>
      </c>
      <c r="AC34" s="524">
        <v>34.5</v>
      </c>
      <c r="AD34" s="601"/>
      <c r="AE34" s="478" t="s">
        <v>277</v>
      </c>
      <c r="AF34" s="510">
        <v>18</v>
      </c>
      <c r="AG34" s="597"/>
      <c r="AH34" s="519"/>
      <c r="AI34" s="519"/>
      <c r="AJ34" s="519"/>
      <c r="AK34" s="519"/>
      <c r="AL34" s="519"/>
      <c r="AM34" s="519"/>
      <c r="AN34" s="519"/>
      <c r="AO34" s="519"/>
      <c r="AP34" s="519"/>
      <c r="AQ34" s="519"/>
      <c r="AR34" s="519"/>
      <c r="AS34" s="519"/>
      <c r="AT34" s="519"/>
      <c r="AU34" s="519"/>
      <c r="AV34" s="519"/>
      <c r="AW34" s="519"/>
      <c r="AX34" s="519"/>
      <c r="AY34" s="519"/>
      <c r="AZ34" s="519"/>
      <c r="BA34" s="519"/>
      <c r="BB34" s="519"/>
      <c r="BC34" s="519"/>
      <c r="BD34" s="519"/>
      <c r="BE34" s="519"/>
      <c r="BF34" s="519"/>
      <c r="BG34" s="519"/>
      <c r="BH34" s="519"/>
      <c r="BI34" s="519"/>
      <c r="BJ34" s="519"/>
      <c r="BK34" s="519"/>
      <c r="BL34" s="519"/>
      <c r="BM34" s="519"/>
      <c r="BN34" s="519"/>
      <c r="BO34" s="519"/>
      <c r="BP34" s="519"/>
      <c r="BQ34" s="519"/>
      <c r="BR34" s="519"/>
      <c r="BS34" s="519"/>
      <c r="BT34" s="519"/>
      <c r="BU34" s="519"/>
      <c r="BV34" s="519"/>
      <c r="BW34" s="519"/>
      <c r="BX34" s="519"/>
      <c r="BY34" s="519"/>
      <c r="BZ34" s="519"/>
      <c r="CA34" s="519"/>
      <c r="CB34" s="519"/>
      <c r="CC34" s="519"/>
      <c r="CD34" s="519"/>
      <c r="CE34" s="519"/>
      <c r="CF34" s="519"/>
      <c r="CG34" s="519"/>
    </row>
    <row r="35" spans="1:85" ht="15.75" thickBot="1" x14ac:dyDescent="0.3">
      <c r="A35" s="540" t="s">
        <v>1126</v>
      </c>
      <c r="B35" s="541">
        <v>8.25</v>
      </c>
      <c r="C35" s="597"/>
      <c r="D35" s="540" t="s">
        <v>5639</v>
      </c>
      <c r="E35" s="136">
        <v>10.5</v>
      </c>
      <c r="F35" s="597"/>
      <c r="G35" s="542" t="s">
        <v>6</v>
      </c>
      <c r="H35" s="543">
        <v>7</v>
      </c>
      <c r="I35" s="601"/>
      <c r="J35" s="123" t="s">
        <v>5089</v>
      </c>
      <c r="K35" s="120">
        <v>15.75</v>
      </c>
      <c r="L35" s="597"/>
      <c r="M35" s="540" t="s">
        <v>357</v>
      </c>
      <c r="N35" s="541">
        <v>16.75</v>
      </c>
      <c r="O35" s="597"/>
      <c r="P35" s="540" t="s">
        <v>395</v>
      </c>
      <c r="Q35" s="541">
        <v>21</v>
      </c>
      <c r="R35" s="597"/>
      <c r="S35" s="164" t="s">
        <v>5532</v>
      </c>
      <c r="T35" s="190">
        <v>22.75</v>
      </c>
      <c r="U35" s="601"/>
      <c r="V35" s="478" t="s">
        <v>3941</v>
      </c>
      <c r="W35" s="510">
        <v>14.25</v>
      </c>
      <c r="X35" s="597"/>
      <c r="Y35" s="478" t="s">
        <v>5703</v>
      </c>
      <c r="Z35" s="510">
        <v>26.25</v>
      </c>
      <c r="AA35" s="597"/>
      <c r="AB35" s="471" t="s">
        <v>415</v>
      </c>
      <c r="AC35" s="125">
        <v>18</v>
      </c>
      <c r="AD35" s="596" t="s">
        <v>12664</v>
      </c>
      <c r="AE35" s="123" t="s">
        <v>270</v>
      </c>
      <c r="AF35" s="176">
        <v>19</v>
      </c>
      <c r="AG35" s="597"/>
      <c r="AH35" s="519"/>
      <c r="AI35" s="519"/>
      <c r="AJ35" s="519"/>
      <c r="AK35" s="519"/>
      <c r="AL35" s="519"/>
      <c r="AM35" s="519"/>
      <c r="AN35" s="519"/>
      <c r="AO35" s="519"/>
      <c r="AP35" s="519"/>
      <c r="AQ35" s="519"/>
      <c r="AR35" s="519"/>
      <c r="AS35" s="519"/>
      <c r="AT35" s="519"/>
      <c r="AU35" s="519"/>
      <c r="AV35" s="519"/>
      <c r="AW35" s="519"/>
      <c r="AX35" s="519"/>
      <c r="AY35" s="519"/>
      <c r="AZ35" s="519"/>
      <c r="BA35" s="519"/>
      <c r="BB35" s="519"/>
      <c r="BC35" s="519"/>
      <c r="BD35" s="519"/>
      <c r="BE35" s="519"/>
      <c r="BF35" s="519"/>
      <c r="BG35" s="519"/>
      <c r="BH35" s="519"/>
      <c r="BI35" s="519"/>
      <c r="BJ35" s="519"/>
      <c r="BK35" s="519"/>
      <c r="BL35" s="519"/>
      <c r="BM35" s="519"/>
      <c r="BN35" s="519"/>
      <c r="BO35" s="519"/>
      <c r="BP35" s="519"/>
      <c r="BQ35" s="519"/>
      <c r="BR35" s="519"/>
      <c r="BS35" s="519"/>
      <c r="BT35" s="519"/>
      <c r="BU35" s="519"/>
      <c r="BV35" s="519"/>
      <c r="BW35" s="519"/>
      <c r="BX35" s="519"/>
      <c r="BY35" s="519"/>
      <c r="BZ35" s="519"/>
      <c r="CA35" s="519"/>
      <c r="CB35" s="519"/>
      <c r="CC35" s="519"/>
      <c r="CD35" s="519"/>
      <c r="CE35" s="519"/>
      <c r="CF35" s="519"/>
      <c r="CG35" s="519"/>
    </row>
    <row r="36" spans="1:85" x14ac:dyDescent="0.25">
      <c r="A36" s="540" t="s">
        <v>55</v>
      </c>
      <c r="B36" s="541">
        <v>8</v>
      </c>
      <c r="C36" s="597"/>
      <c r="D36" s="540" t="s">
        <v>5483</v>
      </c>
      <c r="E36" s="136">
        <v>9</v>
      </c>
      <c r="F36" s="597"/>
      <c r="G36" s="124" t="s">
        <v>5551</v>
      </c>
      <c r="H36" s="175">
        <v>21.25</v>
      </c>
      <c r="I36" s="596" t="s">
        <v>12663</v>
      </c>
      <c r="J36" s="123" t="s">
        <v>113</v>
      </c>
      <c r="K36" s="120">
        <v>16.75</v>
      </c>
      <c r="L36" s="597"/>
      <c r="M36" s="540" t="s">
        <v>21</v>
      </c>
      <c r="N36" s="541">
        <v>16.5</v>
      </c>
      <c r="O36" s="597"/>
      <c r="P36" s="540" t="s">
        <v>236</v>
      </c>
      <c r="Q36" s="541">
        <v>20.75</v>
      </c>
      <c r="R36" s="597"/>
      <c r="S36" s="527" t="s">
        <v>4816</v>
      </c>
      <c r="T36" s="539">
        <v>12.5</v>
      </c>
      <c r="U36" s="596" t="s">
        <v>12664</v>
      </c>
      <c r="V36" s="478" t="s">
        <v>419</v>
      </c>
      <c r="W36" s="510">
        <v>11</v>
      </c>
      <c r="X36" s="597"/>
      <c r="Y36" s="478" t="s">
        <v>130</v>
      </c>
      <c r="Z36" s="510">
        <v>15</v>
      </c>
      <c r="AA36" s="597"/>
      <c r="AB36" s="478" t="s">
        <v>385</v>
      </c>
      <c r="AC36" s="120">
        <v>17.75</v>
      </c>
      <c r="AD36" s="597"/>
      <c r="AE36" s="123" t="s">
        <v>252</v>
      </c>
      <c r="AF36" s="176">
        <v>6</v>
      </c>
      <c r="AG36" s="597"/>
      <c r="AH36" s="519"/>
      <c r="AI36" s="519"/>
      <c r="AJ36" s="519"/>
      <c r="AK36" s="519"/>
      <c r="AL36" s="519"/>
      <c r="AM36" s="519"/>
      <c r="AN36" s="519"/>
      <c r="AO36" s="519"/>
      <c r="AP36" s="519"/>
      <c r="AQ36" s="519"/>
      <c r="AR36" s="519"/>
      <c r="AS36" s="519"/>
      <c r="AT36" s="519"/>
      <c r="AU36" s="519"/>
      <c r="AV36" s="519"/>
      <c r="AW36" s="519"/>
      <c r="AX36" s="519"/>
      <c r="AY36" s="519"/>
      <c r="AZ36" s="519"/>
      <c r="BA36" s="519"/>
      <c r="BB36" s="519"/>
      <c r="BC36" s="519"/>
      <c r="BD36" s="519"/>
      <c r="BE36" s="519"/>
      <c r="BF36" s="519"/>
      <c r="BG36" s="519"/>
      <c r="BH36" s="519"/>
      <c r="BI36" s="519"/>
      <c r="BJ36" s="519"/>
      <c r="BK36" s="519"/>
      <c r="BL36" s="519"/>
      <c r="BM36" s="519"/>
      <c r="BN36" s="519"/>
      <c r="BO36" s="519"/>
      <c r="BP36" s="519"/>
      <c r="BQ36" s="519"/>
      <c r="BR36" s="519"/>
      <c r="BS36" s="519"/>
      <c r="BT36" s="519"/>
      <c r="BU36" s="519"/>
      <c r="BV36" s="519"/>
      <c r="BW36" s="519"/>
      <c r="BX36" s="519"/>
      <c r="BY36" s="519"/>
      <c r="BZ36" s="519"/>
      <c r="CA36" s="519"/>
      <c r="CB36" s="519"/>
      <c r="CC36" s="519"/>
      <c r="CD36" s="519"/>
      <c r="CE36" s="519"/>
      <c r="CF36" s="519"/>
      <c r="CG36" s="519"/>
    </row>
    <row r="37" spans="1:85" ht="15.75" thickBot="1" x14ac:dyDescent="0.3">
      <c r="A37" s="540" t="s">
        <v>58</v>
      </c>
      <c r="B37" s="541">
        <v>7.5</v>
      </c>
      <c r="C37" s="597"/>
      <c r="D37" s="540" t="s">
        <v>175</v>
      </c>
      <c r="E37" s="136">
        <v>15.75</v>
      </c>
      <c r="F37" s="597"/>
      <c r="G37" s="123" t="s">
        <v>4831</v>
      </c>
      <c r="H37" s="176">
        <v>21.75</v>
      </c>
      <c r="I37" s="597"/>
      <c r="J37" s="164" t="s">
        <v>3442</v>
      </c>
      <c r="K37" s="524">
        <v>30</v>
      </c>
      <c r="L37" s="601"/>
      <c r="M37" s="540" t="s">
        <v>44</v>
      </c>
      <c r="N37" s="541">
        <v>16</v>
      </c>
      <c r="O37" s="597"/>
      <c r="P37" s="540" t="s">
        <v>128</v>
      </c>
      <c r="Q37" s="541">
        <v>19.75</v>
      </c>
      <c r="R37" s="597"/>
      <c r="S37" s="540" t="s">
        <v>349</v>
      </c>
      <c r="T37" s="541">
        <v>17.75</v>
      </c>
      <c r="U37" s="597"/>
      <c r="V37" s="478" t="s">
        <v>388</v>
      </c>
      <c r="W37" s="510">
        <v>8.5</v>
      </c>
      <c r="X37" s="597"/>
      <c r="Y37" s="486" t="s">
        <v>81</v>
      </c>
      <c r="Z37" s="487">
        <v>24</v>
      </c>
      <c r="AA37" s="601"/>
      <c r="AB37" s="478" t="s">
        <v>333</v>
      </c>
      <c r="AC37" s="120">
        <v>18</v>
      </c>
      <c r="AD37" s="601"/>
      <c r="AE37" s="123" t="s">
        <v>122</v>
      </c>
      <c r="AF37" s="176">
        <v>15.25</v>
      </c>
      <c r="AG37" s="597"/>
      <c r="AH37" s="519"/>
      <c r="AI37" s="519"/>
      <c r="AJ37" s="519"/>
      <c r="AK37" s="519"/>
      <c r="AL37" s="519"/>
      <c r="AM37" s="519"/>
      <c r="AN37" s="519"/>
      <c r="AO37" s="519"/>
      <c r="AP37" s="519"/>
      <c r="AQ37" s="519"/>
      <c r="AR37" s="519"/>
      <c r="AS37" s="519"/>
      <c r="AT37" s="519"/>
      <c r="AU37" s="519"/>
      <c r="AV37" s="519"/>
      <c r="AW37" s="519"/>
      <c r="AX37" s="519"/>
      <c r="AY37" s="519"/>
      <c r="AZ37" s="519"/>
      <c r="BA37" s="519"/>
      <c r="BB37" s="519"/>
      <c r="BC37" s="519"/>
      <c r="BD37" s="519"/>
      <c r="BE37" s="519"/>
      <c r="BF37" s="519"/>
      <c r="BG37" s="519"/>
      <c r="BH37" s="519"/>
      <c r="BI37" s="519"/>
      <c r="BJ37" s="519"/>
      <c r="BK37" s="519"/>
      <c r="BL37" s="519"/>
      <c r="BM37" s="519"/>
      <c r="BN37" s="519"/>
      <c r="BO37" s="519"/>
      <c r="BP37" s="519"/>
      <c r="BQ37" s="519"/>
      <c r="BR37" s="519"/>
      <c r="BS37" s="519"/>
      <c r="BT37" s="519"/>
      <c r="BU37" s="519"/>
      <c r="BV37" s="519"/>
      <c r="BW37" s="519"/>
      <c r="BX37" s="519"/>
      <c r="BY37" s="519"/>
      <c r="BZ37" s="519"/>
      <c r="CA37" s="519"/>
      <c r="CB37" s="519"/>
      <c r="CC37" s="519"/>
      <c r="CD37" s="519"/>
      <c r="CE37" s="519"/>
      <c r="CF37" s="519"/>
      <c r="CG37" s="519"/>
    </row>
    <row r="38" spans="1:85" x14ac:dyDescent="0.25">
      <c r="A38" s="540" t="s">
        <v>446</v>
      </c>
      <c r="B38" s="541">
        <v>7</v>
      </c>
      <c r="C38" s="597"/>
      <c r="D38" s="540" t="s">
        <v>5606</v>
      </c>
      <c r="E38" s="136">
        <v>21</v>
      </c>
      <c r="F38" s="597"/>
      <c r="G38" s="123" t="s">
        <v>217</v>
      </c>
      <c r="H38" s="176">
        <v>16</v>
      </c>
      <c r="I38" s="597"/>
      <c r="J38" s="123" t="s">
        <v>5267</v>
      </c>
      <c r="K38" s="120">
        <v>15.25</v>
      </c>
      <c r="L38" s="596" t="s">
        <v>12663</v>
      </c>
      <c r="M38" s="540" t="s">
        <v>52</v>
      </c>
      <c r="N38" s="541">
        <v>15.75</v>
      </c>
      <c r="O38" s="597"/>
      <c r="P38" s="540" t="s">
        <v>284</v>
      </c>
      <c r="Q38" s="541">
        <v>19.25</v>
      </c>
      <c r="R38" s="597"/>
      <c r="S38" s="540" t="s">
        <v>341</v>
      </c>
      <c r="T38" s="541">
        <v>18.5</v>
      </c>
      <c r="U38" s="597"/>
      <c r="V38" s="478" t="s">
        <v>5471</v>
      </c>
      <c r="W38" s="510">
        <v>9.25</v>
      </c>
      <c r="X38" s="597"/>
      <c r="Y38" s="478" t="s">
        <v>312</v>
      </c>
      <c r="Z38" s="510">
        <v>32.5</v>
      </c>
      <c r="AA38" s="596"/>
      <c r="AB38" s="124" t="s">
        <v>404</v>
      </c>
      <c r="AC38" s="175">
        <v>18.5</v>
      </c>
      <c r="AD38" s="596" t="s">
        <v>12664</v>
      </c>
      <c r="AE38" s="478" t="s">
        <v>65</v>
      </c>
      <c r="AF38" s="510">
        <v>18</v>
      </c>
      <c r="AG38" s="597"/>
      <c r="AT38" s="136"/>
      <c r="AU38" s="136"/>
      <c r="AV38" s="136"/>
      <c r="AW38" s="528"/>
      <c r="AX38" s="528"/>
      <c r="AY38" s="528"/>
      <c r="AZ38" s="528"/>
      <c r="BA38" s="528"/>
      <c r="BC38" s="528"/>
      <c r="BD38" s="530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R38" s="470"/>
      <c r="BS38" s="470"/>
      <c r="BT38" s="470"/>
      <c r="BU38" s="470"/>
      <c r="CD38" s="519"/>
      <c r="CE38" s="519"/>
      <c r="CF38" s="519"/>
      <c r="CG38" s="519"/>
    </row>
    <row r="39" spans="1:85" ht="15.75" thickBot="1" x14ac:dyDescent="0.3">
      <c r="A39" s="540" t="s">
        <v>440</v>
      </c>
      <c r="B39" s="541">
        <v>7</v>
      </c>
      <c r="C39" s="597"/>
      <c r="D39" s="540" t="s">
        <v>58</v>
      </c>
      <c r="E39" s="136">
        <v>7.5</v>
      </c>
      <c r="F39" s="597"/>
      <c r="G39" s="123" t="s">
        <v>5579</v>
      </c>
      <c r="H39" s="176">
        <v>22</v>
      </c>
      <c r="I39" s="597"/>
      <c r="J39" s="123" t="s">
        <v>4945</v>
      </c>
      <c r="K39" s="120">
        <v>30</v>
      </c>
      <c r="L39" s="597"/>
      <c r="M39" s="540" t="s">
        <v>175</v>
      </c>
      <c r="N39" s="541">
        <v>15.75</v>
      </c>
      <c r="O39" s="597"/>
      <c r="P39" s="540" t="s">
        <v>117</v>
      </c>
      <c r="Q39" s="541">
        <v>19</v>
      </c>
      <c r="R39" s="597"/>
      <c r="S39" s="540" t="s">
        <v>5386</v>
      </c>
      <c r="T39" s="541">
        <v>18.25</v>
      </c>
      <c r="U39" s="597"/>
      <c r="V39" s="478" t="s">
        <v>254</v>
      </c>
      <c r="W39" s="510">
        <v>10.25</v>
      </c>
      <c r="X39" s="597"/>
      <c r="Y39" s="123" t="s">
        <v>268</v>
      </c>
      <c r="Z39" s="176">
        <v>15.5</v>
      </c>
      <c r="AA39" s="597"/>
      <c r="AB39" s="123" t="s">
        <v>337</v>
      </c>
      <c r="AC39" s="176">
        <v>16</v>
      </c>
      <c r="AD39" s="597"/>
      <c r="AE39" s="486" t="s">
        <v>5597</v>
      </c>
      <c r="AF39" s="190">
        <v>18.25</v>
      </c>
      <c r="AG39" s="601"/>
      <c r="AT39" s="136"/>
      <c r="AU39" s="136"/>
      <c r="AV39" s="136"/>
      <c r="AW39" s="528"/>
      <c r="AX39" s="528"/>
      <c r="AY39" s="528"/>
      <c r="AZ39" s="528"/>
      <c r="BA39" s="528"/>
      <c r="BC39" s="528"/>
      <c r="BD39" s="530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R39" s="470"/>
      <c r="BS39" s="470"/>
      <c r="BT39" s="470"/>
      <c r="BU39" s="470"/>
      <c r="CD39" s="519"/>
      <c r="CE39" s="519"/>
      <c r="CF39" s="519"/>
      <c r="CG39" s="519"/>
    </row>
    <row r="40" spans="1:85" ht="15.75" thickBot="1" x14ac:dyDescent="0.3">
      <c r="A40" s="540" t="s">
        <v>5567</v>
      </c>
      <c r="B40" s="541">
        <v>4.75</v>
      </c>
      <c r="C40" s="597"/>
      <c r="D40" s="542" t="s">
        <v>5475</v>
      </c>
      <c r="E40" s="545">
        <v>8.75</v>
      </c>
      <c r="F40" s="601"/>
      <c r="G40" s="123" t="s">
        <v>5620</v>
      </c>
      <c r="H40" s="176">
        <v>21.5</v>
      </c>
      <c r="I40" s="597"/>
      <c r="J40" s="123" t="s">
        <v>368</v>
      </c>
      <c r="K40" s="120">
        <v>15</v>
      </c>
      <c r="L40" s="597"/>
      <c r="M40" s="540" t="s">
        <v>366</v>
      </c>
      <c r="N40" s="541">
        <v>15.5</v>
      </c>
      <c r="O40" s="597"/>
      <c r="P40" s="540" t="s">
        <v>42</v>
      </c>
      <c r="Q40" s="541">
        <v>15.25</v>
      </c>
      <c r="R40" s="597"/>
      <c r="S40" s="540" t="s">
        <v>275</v>
      </c>
      <c r="T40" s="541">
        <v>18.75</v>
      </c>
      <c r="U40" s="597"/>
      <c r="V40" s="478" t="s">
        <v>240</v>
      </c>
      <c r="W40" s="510">
        <v>12</v>
      </c>
      <c r="X40" s="597"/>
      <c r="Y40" s="478" t="s">
        <v>182</v>
      </c>
      <c r="Z40" s="510">
        <v>8</v>
      </c>
      <c r="AA40" s="597"/>
      <c r="AB40" s="123" t="s">
        <v>314</v>
      </c>
      <c r="AC40" s="176">
        <v>19</v>
      </c>
      <c r="AD40" s="597"/>
      <c r="AE40" s="124" t="s">
        <v>5336</v>
      </c>
      <c r="AF40" s="175">
        <v>28.25</v>
      </c>
      <c r="AG40" s="596" t="s">
        <v>12663</v>
      </c>
      <c r="AT40" s="136"/>
      <c r="AU40" s="136"/>
      <c r="AV40" s="136"/>
      <c r="AW40" s="528"/>
      <c r="AX40" s="528"/>
      <c r="AY40" s="528"/>
      <c r="AZ40" s="528"/>
      <c r="BA40" s="528"/>
      <c r="BC40" s="528"/>
      <c r="BD40" s="530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R40" s="470"/>
      <c r="BS40" s="470"/>
      <c r="BT40" s="470"/>
      <c r="BU40" s="470"/>
      <c r="CD40" s="519"/>
      <c r="CE40" s="519"/>
      <c r="CF40" s="519"/>
      <c r="CG40" s="519"/>
    </row>
    <row r="41" spans="1:85" ht="15.75" thickBot="1" x14ac:dyDescent="0.3">
      <c r="A41" s="542" t="s">
        <v>282</v>
      </c>
      <c r="B41" s="543">
        <v>4.25</v>
      </c>
      <c r="C41" s="601"/>
      <c r="D41" s="527" t="s">
        <v>4884</v>
      </c>
      <c r="E41" s="539">
        <v>27.5</v>
      </c>
      <c r="F41" s="596" t="s">
        <v>12663</v>
      </c>
      <c r="G41" s="123" t="s">
        <v>5491</v>
      </c>
      <c r="H41" s="176">
        <v>23</v>
      </c>
      <c r="I41" s="597"/>
      <c r="J41" s="123" t="s">
        <v>246</v>
      </c>
      <c r="K41" s="120">
        <v>15</v>
      </c>
      <c r="L41" s="597"/>
      <c r="M41" s="540" t="s">
        <v>383</v>
      </c>
      <c r="N41" s="541">
        <v>15.5</v>
      </c>
      <c r="O41" s="597"/>
      <c r="P41" s="542" t="s">
        <v>5570</v>
      </c>
      <c r="Q41" s="543">
        <v>9.75</v>
      </c>
      <c r="R41" s="601"/>
      <c r="S41" s="540" t="s">
        <v>5408</v>
      </c>
      <c r="T41" s="541">
        <v>18.5</v>
      </c>
      <c r="U41" s="597"/>
      <c r="V41" s="478" t="s">
        <v>5452</v>
      </c>
      <c r="W41" s="510">
        <v>14.25</v>
      </c>
      <c r="X41" s="597"/>
      <c r="Y41" s="486" t="s">
        <v>126</v>
      </c>
      <c r="Z41" s="487">
        <v>29.5</v>
      </c>
      <c r="AA41" s="601"/>
      <c r="AB41" s="123" t="s">
        <v>279</v>
      </c>
      <c r="AC41" s="176">
        <v>17.5</v>
      </c>
      <c r="AD41" s="597"/>
      <c r="AE41" s="123" t="s">
        <v>5021</v>
      </c>
      <c r="AF41" s="176">
        <v>27.25</v>
      </c>
      <c r="AG41" s="597"/>
      <c r="AT41" s="136"/>
      <c r="AU41" s="136"/>
      <c r="AV41" s="136"/>
      <c r="AW41" s="528"/>
      <c r="AX41" s="528"/>
      <c r="AY41" s="528"/>
      <c r="AZ41" s="528"/>
      <c r="BA41" s="528"/>
      <c r="BC41" s="528"/>
      <c r="BD41" s="530"/>
      <c r="BE41" s="136"/>
      <c r="BF41" s="136"/>
      <c r="BG41" s="136"/>
      <c r="BH41" s="136"/>
      <c r="BI41" s="136"/>
      <c r="BJ41" s="136"/>
      <c r="BK41" s="136"/>
      <c r="BL41" s="136"/>
      <c r="BM41" s="136"/>
      <c r="BN41" s="136"/>
      <c r="BR41" s="470"/>
      <c r="BS41" s="470"/>
      <c r="BT41" s="470"/>
      <c r="BU41" s="470"/>
      <c r="CD41" s="519"/>
      <c r="CE41" s="519"/>
      <c r="CF41" s="519"/>
      <c r="CG41" s="519"/>
    </row>
    <row r="42" spans="1:85" x14ac:dyDescent="0.25">
      <c r="A42" s="527" t="s">
        <v>437</v>
      </c>
      <c r="B42" s="539">
        <v>10.75</v>
      </c>
      <c r="C42" s="596" t="s">
        <v>12663</v>
      </c>
      <c r="D42" s="540" t="s">
        <v>5298</v>
      </c>
      <c r="E42" s="541">
        <v>26.75</v>
      </c>
      <c r="F42" s="597"/>
      <c r="G42" s="123" t="s">
        <v>5647</v>
      </c>
      <c r="H42" s="176">
        <v>22.75</v>
      </c>
      <c r="I42" s="597"/>
      <c r="J42" s="123" t="s">
        <v>3307</v>
      </c>
      <c r="K42" s="120">
        <v>30.25</v>
      </c>
      <c r="L42" s="597"/>
      <c r="M42" s="540" t="s">
        <v>4750</v>
      </c>
      <c r="N42" s="541">
        <v>15.25</v>
      </c>
      <c r="O42" s="597"/>
      <c r="P42" s="527" t="s">
        <v>454</v>
      </c>
      <c r="Q42" s="539">
        <v>11.5</v>
      </c>
      <c r="R42" s="596" t="s">
        <v>12664</v>
      </c>
      <c r="S42" s="540" t="s">
        <v>5141</v>
      </c>
      <c r="T42" s="541">
        <v>14</v>
      </c>
      <c r="U42" s="597"/>
      <c r="V42" s="478" t="s">
        <v>224</v>
      </c>
      <c r="W42" s="510">
        <v>11.5</v>
      </c>
      <c r="X42" s="597"/>
      <c r="Y42" s="471" t="s">
        <v>361</v>
      </c>
      <c r="Z42" s="175">
        <v>15.5</v>
      </c>
      <c r="AA42" s="596" t="s">
        <v>12664</v>
      </c>
      <c r="AB42" s="478" t="s">
        <v>147</v>
      </c>
      <c r="AC42" s="510">
        <v>17</v>
      </c>
      <c r="AD42" s="597"/>
      <c r="AE42" s="123" t="s">
        <v>4922</v>
      </c>
      <c r="AF42" s="176">
        <v>26.5</v>
      </c>
      <c r="AG42" s="597"/>
      <c r="AT42" s="136"/>
      <c r="AU42" s="136"/>
      <c r="AV42" s="136"/>
      <c r="AW42" s="528"/>
      <c r="AX42" s="528"/>
      <c r="AY42" s="528"/>
      <c r="AZ42" s="528"/>
      <c r="BA42" s="528"/>
      <c r="BC42" s="528"/>
      <c r="BD42" s="530"/>
      <c r="BE42" s="136"/>
      <c r="BF42" s="136"/>
      <c r="BG42" s="136"/>
      <c r="BH42" s="136"/>
      <c r="BI42" s="136"/>
      <c r="BJ42" s="136"/>
      <c r="BK42" s="136"/>
      <c r="BL42" s="136"/>
      <c r="BM42" s="136"/>
      <c r="BN42" s="136"/>
      <c r="BR42" s="470"/>
      <c r="BS42" s="470"/>
      <c r="BT42" s="470"/>
      <c r="BU42" s="470"/>
      <c r="CD42" s="519"/>
      <c r="CE42" s="519"/>
      <c r="CF42" s="519"/>
      <c r="CG42" s="519"/>
    </row>
    <row r="43" spans="1:85" ht="15.75" thickBot="1" x14ac:dyDescent="0.3">
      <c r="A43" s="540" t="s">
        <v>5507</v>
      </c>
      <c r="B43" s="541">
        <v>7.25</v>
      </c>
      <c r="C43" s="597"/>
      <c r="D43" s="540" t="s">
        <v>5298</v>
      </c>
      <c r="E43" s="541">
        <v>26.75</v>
      </c>
      <c r="F43" s="597"/>
      <c r="G43" s="164" t="s">
        <v>5613</v>
      </c>
      <c r="H43" s="190">
        <v>19.75</v>
      </c>
      <c r="I43" s="601"/>
      <c r="J43" s="123" t="s">
        <v>5089</v>
      </c>
      <c r="K43" s="120">
        <v>15.75</v>
      </c>
      <c r="L43" s="597"/>
      <c r="M43" s="542" t="s">
        <v>5672</v>
      </c>
      <c r="N43" s="543">
        <v>7.25</v>
      </c>
      <c r="O43" s="601"/>
      <c r="P43" s="540" t="s">
        <v>437</v>
      </c>
      <c r="Q43" s="541">
        <v>10.75</v>
      </c>
      <c r="R43" s="597"/>
      <c r="S43" s="540" t="s">
        <v>5300</v>
      </c>
      <c r="T43" s="541">
        <v>18</v>
      </c>
      <c r="U43" s="597"/>
      <c r="V43" s="478" t="s">
        <v>198</v>
      </c>
      <c r="W43" s="510">
        <v>10.75</v>
      </c>
      <c r="X43" s="597"/>
      <c r="Y43" s="478" t="s">
        <v>337</v>
      </c>
      <c r="Z43" s="510">
        <v>16</v>
      </c>
      <c r="AA43" s="597"/>
      <c r="AB43" s="478" t="s">
        <v>114</v>
      </c>
      <c r="AC43" s="510">
        <v>17.5</v>
      </c>
      <c r="AD43" s="597"/>
      <c r="AE43" s="123" t="s">
        <v>5210</v>
      </c>
      <c r="AF43" s="176">
        <v>26.5</v>
      </c>
      <c r="AG43" s="597"/>
      <c r="AT43" s="136"/>
      <c r="AU43" s="136"/>
      <c r="AV43" s="136"/>
      <c r="AW43" s="528"/>
      <c r="AX43" s="528"/>
      <c r="AY43" s="528"/>
      <c r="AZ43" s="528"/>
      <c r="BA43" s="528"/>
      <c r="BC43" s="528"/>
      <c r="BD43" s="530"/>
      <c r="BE43" s="136"/>
      <c r="BF43" s="136"/>
      <c r="BG43" s="136"/>
      <c r="BH43" s="136"/>
      <c r="BI43" s="136"/>
      <c r="BJ43" s="136"/>
      <c r="BK43" s="136"/>
      <c r="BL43" s="136"/>
      <c r="BM43" s="136"/>
      <c r="BN43" s="136"/>
      <c r="BR43" s="470"/>
      <c r="BS43" s="470"/>
      <c r="BT43" s="470"/>
      <c r="BU43" s="470"/>
      <c r="CD43" s="519"/>
      <c r="CE43" s="519"/>
      <c r="CF43" s="519"/>
      <c r="CG43" s="519"/>
    </row>
    <row r="44" spans="1:85" x14ac:dyDescent="0.25">
      <c r="A44" s="540" t="s">
        <v>304</v>
      </c>
      <c r="B44" s="541">
        <v>14.25</v>
      </c>
      <c r="C44" s="597"/>
      <c r="D44" s="540" t="s">
        <v>4863</v>
      </c>
      <c r="E44" s="541">
        <v>22.75</v>
      </c>
      <c r="F44" s="597"/>
      <c r="G44" s="124" t="s">
        <v>5589</v>
      </c>
      <c r="H44" s="175">
        <v>20.5</v>
      </c>
      <c r="I44" s="596" t="s">
        <v>12663</v>
      </c>
      <c r="J44" s="123" t="s">
        <v>113</v>
      </c>
      <c r="K44" s="120">
        <v>16.75</v>
      </c>
      <c r="L44" s="597"/>
      <c r="M44" s="471" t="s">
        <v>373</v>
      </c>
      <c r="N44" s="500">
        <v>22</v>
      </c>
      <c r="O44" s="596" t="s">
        <v>12663</v>
      </c>
      <c r="P44" s="540" t="s">
        <v>304</v>
      </c>
      <c r="Q44" s="541">
        <v>14.25</v>
      </c>
      <c r="R44" s="597"/>
      <c r="S44" s="136" t="s">
        <v>4760</v>
      </c>
      <c r="T44" s="541">
        <v>13.75</v>
      </c>
      <c r="U44" s="597"/>
      <c r="V44" s="478" t="s">
        <v>5019</v>
      </c>
      <c r="W44" s="510">
        <v>9.5</v>
      </c>
      <c r="X44" s="597"/>
      <c r="Y44" s="478" t="s">
        <v>328</v>
      </c>
      <c r="Z44" s="510">
        <v>24.5</v>
      </c>
      <c r="AA44" s="597"/>
      <c r="AB44" s="123" t="s">
        <v>97</v>
      </c>
      <c r="AC44" s="176">
        <v>17.5</v>
      </c>
      <c r="AD44" s="597"/>
      <c r="AE44" s="123" t="s">
        <v>5323</v>
      </c>
      <c r="AF44" s="176">
        <v>26.5</v>
      </c>
      <c r="AG44" s="597"/>
      <c r="AT44" s="136"/>
      <c r="AU44" s="136"/>
      <c r="AV44" s="136"/>
      <c r="AW44" s="528"/>
      <c r="AX44" s="528"/>
      <c r="AY44" s="528"/>
      <c r="AZ44" s="528"/>
      <c r="BA44" s="528"/>
      <c r="BC44" s="528"/>
      <c r="BD44" s="530"/>
      <c r="BE44" s="136"/>
      <c r="BF44" s="136"/>
      <c r="BG44" s="136"/>
      <c r="BH44" s="136"/>
      <c r="BI44" s="136"/>
      <c r="BJ44" s="136"/>
      <c r="BK44" s="136"/>
      <c r="BL44" s="136"/>
      <c r="BM44" s="136"/>
      <c r="BN44" s="136"/>
      <c r="BR44" s="470"/>
      <c r="BS44" s="470"/>
      <c r="BT44" s="470"/>
      <c r="BU44" s="470"/>
      <c r="CD44" s="519"/>
      <c r="CE44" s="519"/>
      <c r="CF44" s="519"/>
      <c r="CG44" s="519"/>
    </row>
    <row r="45" spans="1:85" ht="15.75" thickBot="1" x14ac:dyDescent="0.3">
      <c r="A45" s="540" t="s">
        <v>5082</v>
      </c>
      <c r="B45" s="541">
        <v>24</v>
      </c>
      <c r="C45" s="597"/>
      <c r="D45" s="540" t="s">
        <v>4922</v>
      </c>
      <c r="E45" s="541">
        <v>26.5</v>
      </c>
      <c r="F45" s="597"/>
      <c r="G45" s="123" t="s">
        <v>5008</v>
      </c>
      <c r="H45" s="176">
        <v>17.75</v>
      </c>
      <c r="I45" s="597"/>
      <c r="J45" s="164" t="s">
        <v>3442</v>
      </c>
      <c r="K45" s="524">
        <v>30</v>
      </c>
      <c r="L45" s="601"/>
      <c r="M45" s="478" t="s">
        <v>359</v>
      </c>
      <c r="N45" s="501">
        <v>11.75</v>
      </c>
      <c r="O45" s="597"/>
      <c r="P45" s="540" t="s">
        <v>300</v>
      </c>
      <c r="Q45" s="541">
        <v>14.25</v>
      </c>
      <c r="R45" s="597"/>
      <c r="S45" s="545" t="s">
        <v>4781</v>
      </c>
      <c r="T45" s="543">
        <v>18</v>
      </c>
      <c r="U45" s="601"/>
      <c r="V45" s="478" t="s">
        <v>5513</v>
      </c>
      <c r="W45" s="510">
        <v>9</v>
      </c>
      <c r="X45" s="597"/>
      <c r="Y45" s="478" t="s">
        <v>215</v>
      </c>
      <c r="Z45" s="510">
        <v>19.75</v>
      </c>
      <c r="AA45" s="597"/>
      <c r="AB45" s="478" t="s">
        <v>34</v>
      </c>
      <c r="AC45" s="510">
        <v>10.5</v>
      </c>
      <c r="AD45" s="597"/>
      <c r="AE45" s="123" t="s">
        <v>5070</v>
      </c>
      <c r="AF45" s="176">
        <v>26.25</v>
      </c>
      <c r="AG45" s="597"/>
      <c r="AT45" s="136"/>
      <c r="AU45" s="136"/>
      <c r="AV45" s="136"/>
      <c r="AW45" s="528"/>
      <c r="AX45" s="528"/>
      <c r="AY45" s="528"/>
      <c r="AZ45" s="528"/>
      <c r="BA45" s="528"/>
      <c r="BC45" s="528"/>
      <c r="BD45" s="530"/>
      <c r="BE45" s="136"/>
      <c r="BF45" s="136"/>
      <c r="BG45" s="136"/>
      <c r="BH45" s="136"/>
      <c r="BI45" s="136"/>
      <c r="BJ45" s="136"/>
      <c r="BK45" s="136"/>
      <c r="BL45" s="136"/>
      <c r="BM45" s="136"/>
      <c r="BN45" s="136"/>
      <c r="BR45" s="470"/>
      <c r="BS45" s="470"/>
      <c r="BT45" s="470"/>
      <c r="BU45" s="470"/>
      <c r="CD45" s="519"/>
      <c r="CE45" s="519"/>
      <c r="CF45" s="519"/>
      <c r="CG45" s="519"/>
    </row>
    <row r="46" spans="1:85" ht="15.75" thickBot="1" x14ac:dyDescent="0.3">
      <c r="A46" s="540" t="s">
        <v>295</v>
      </c>
      <c r="B46" s="541">
        <v>7.5</v>
      </c>
      <c r="C46" s="597"/>
      <c r="D46" s="540" t="s">
        <v>4863</v>
      </c>
      <c r="E46" s="541">
        <v>22.75</v>
      </c>
      <c r="F46" s="597"/>
      <c r="G46" s="123" t="s">
        <v>5275</v>
      </c>
      <c r="H46" s="176">
        <v>19</v>
      </c>
      <c r="I46" s="597"/>
      <c r="J46" s="124" t="s">
        <v>5267</v>
      </c>
      <c r="K46" s="125">
        <v>15.25</v>
      </c>
      <c r="L46" s="596" t="s">
        <v>12663</v>
      </c>
      <c r="M46" s="478" t="s">
        <v>343</v>
      </c>
      <c r="N46" s="501">
        <v>14.5</v>
      </c>
      <c r="O46" s="597"/>
      <c r="P46" s="540" t="s">
        <v>5149</v>
      </c>
      <c r="Q46" s="541">
        <v>14.25</v>
      </c>
      <c r="R46" s="597"/>
      <c r="S46" s="544" t="s">
        <v>275</v>
      </c>
      <c r="T46" s="539">
        <v>18.75</v>
      </c>
      <c r="U46" s="596" t="s">
        <v>12664</v>
      </c>
      <c r="V46" s="478" t="s">
        <v>74</v>
      </c>
      <c r="W46" s="510">
        <v>10.5</v>
      </c>
      <c r="X46" s="597"/>
      <c r="Y46" s="478" t="s">
        <v>5754</v>
      </c>
      <c r="Z46" s="510">
        <v>24.25</v>
      </c>
      <c r="AA46" s="597"/>
      <c r="AB46" s="478" t="s">
        <v>18</v>
      </c>
      <c r="AC46" s="510">
        <v>16.5</v>
      </c>
      <c r="AD46" s="597"/>
      <c r="AE46" s="164" t="s">
        <v>306</v>
      </c>
      <c r="AF46" s="190">
        <v>6.75</v>
      </c>
      <c r="AG46" s="601"/>
      <c r="AT46" s="136"/>
      <c r="AU46" s="136"/>
      <c r="AV46" s="136"/>
      <c r="AW46" s="528"/>
      <c r="AX46" s="528"/>
      <c r="AY46" s="528"/>
      <c r="AZ46" s="528"/>
      <c r="BA46" s="528"/>
      <c r="BC46" s="528"/>
      <c r="BD46" s="530"/>
      <c r="BE46" s="136"/>
      <c r="BF46" s="136"/>
      <c r="BG46" s="136"/>
      <c r="BH46" s="136"/>
      <c r="BI46" s="136"/>
      <c r="BJ46" s="136"/>
      <c r="BK46" s="136"/>
      <c r="BL46" s="136"/>
      <c r="BM46" s="136"/>
      <c r="BN46" s="136"/>
      <c r="BR46" s="470"/>
      <c r="BS46" s="470"/>
      <c r="BT46" s="470"/>
      <c r="BU46" s="470"/>
      <c r="CD46" s="519"/>
      <c r="CE46" s="519"/>
      <c r="CF46" s="519"/>
      <c r="CG46" s="519"/>
    </row>
    <row r="47" spans="1:85" ht="15.75" thickBot="1" x14ac:dyDescent="0.3">
      <c r="A47" s="540" t="s">
        <v>5275</v>
      </c>
      <c r="B47" s="541">
        <v>19</v>
      </c>
      <c r="C47" s="597"/>
      <c r="D47" s="540" t="s">
        <v>5495</v>
      </c>
      <c r="E47" s="541">
        <v>8.25</v>
      </c>
      <c r="F47" s="597"/>
      <c r="G47" s="123" t="s">
        <v>224</v>
      </c>
      <c r="H47" s="176">
        <v>11.5</v>
      </c>
      <c r="I47" s="597"/>
      <c r="J47" s="123" t="s">
        <v>4945</v>
      </c>
      <c r="K47" s="120">
        <v>30</v>
      </c>
      <c r="L47" s="597"/>
      <c r="M47" s="478" t="s">
        <v>4716</v>
      </c>
      <c r="N47" s="501">
        <v>17.75</v>
      </c>
      <c r="O47" s="597"/>
      <c r="P47" s="540" t="s">
        <v>244</v>
      </c>
      <c r="Q47" s="541">
        <v>10.75</v>
      </c>
      <c r="R47" s="597"/>
      <c r="S47" s="136" t="s">
        <v>341</v>
      </c>
      <c r="T47" s="541">
        <v>18.5</v>
      </c>
      <c r="U47" s="597"/>
      <c r="V47" s="478" t="s">
        <v>3628</v>
      </c>
      <c r="W47" s="510">
        <v>10.25</v>
      </c>
      <c r="X47" s="597"/>
      <c r="Y47" s="478" t="s">
        <v>5509</v>
      </c>
      <c r="Z47" s="510">
        <v>25.25</v>
      </c>
      <c r="AA47" s="597"/>
      <c r="AB47" s="486" t="s">
        <v>9</v>
      </c>
      <c r="AC47" s="487">
        <v>18</v>
      </c>
      <c r="AD47" s="601"/>
      <c r="AE47" s="527" t="s">
        <v>450</v>
      </c>
      <c r="AF47" s="539">
        <v>9.5</v>
      </c>
      <c r="AG47" s="602" t="s">
        <v>12663</v>
      </c>
      <c r="AT47" s="136"/>
      <c r="AU47" s="136"/>
      <c r="AV47" s="136"/>
      <c r="AW47" s="528"/>
      <c r="AX47" s="528"/>
      <c r="AY47" s="528"/>
      <c r="AZ47" s="528"/>
      <c r="BA47" s="528"/>
      <c r="BC47" s="528"/>
      <c r="BD47" s="530"/>
      <c r="BE47" s="136"/>
      <c r="BF47" s="136"/>
      <c r="BG47" s="136"/>
      <c r="BH47" s="136"/>
      <c r="BI47" s="136"/>
      <c r="BJ47" s="136"/>
      <c r="BK47" s="136"/>
      <c r="BL47" s="136"/>
      <c r="BM47" s="136"/>
      <c r="BN47" s="136"/>
      <c r="BR47" s="470"/>
      <c r="BS47" s="470"/>
      <c r="BT47" s="470"/>
      <c r="BU47" s="470"/>
      <c r="CD47" s="519"/>
      <c r="CE47" s="519"/>
      <c r="CF47" s="519"/>
      <c r="CG47" s="519"/>
    </row>
    <row r="48" spans="1:85" ht="15.75" thickBot="1" x14ac:dyDescent="0.3">
      <c r="A48" s="540" t="s">
        <v>5706</v>
      </c>
      <c r="B48" s="541">
        <v>7.75</v>
      </c>
      <c r="C48" s="597"/>
      <c r="D48" s="542" t="s">
        <v>5473</v>
      </c>
      <c r="E48" s="543">
        <v>6.75</v>
      </c>
      <c r="F48" s="601"/>
      <c r="G48" s="123" t="s">
        <v>5574</v>
      </c>
      <c r="H48" s="176">
        <v>21.25</v>
      </c>
      <c r="I48" s="597"/>
      <c r="J48" s="123" t="s">
        <v>368</v>
      </c>
      <c r="K48" s="120">
        <v>15</v>
      </c>
      <c r="L48" s="597"/>
      <c r="M48" s="478" t="s">
        <v>5163</v>
      </c>
      <c r="N48" s="501">
        <v>16.75</v>
      </c>
      <c r="O48" s="597"/>
      <c r="P48" s="540" t="s">
        <v>4915</v>
      </c>
      <c r="Q48" s="541">
        <v>14.5</v>
      </c>
      <c r="R48" s="597"/>
      <c r="S48" s="136" t="s">
        <v>5408</v>
      </c>
      <c r="T48" s="541">
        <v>18.5</v>
      </c>
      <c r="U48" s="597"/>
      <c r="V48" s="123" t="s">
        <v>84</v>
      </c>
      <c r="W48" s="120">
        <v>7.75</v>
      </c>
      <c r="X48" s="597"/>
      <c r="Y48" s="478" t="s">
        <v>63</v>
      </c>
      <c r="Z48" s="510">
        <v>16.25</v>
      </c>
      <c r="AA48" s="597"/>
      <c r="AB48" s="527" t="s">
        <v>5331</v>
      </c>
      <c r="AC48" s="539">
        <v>15</v>
      </c>
      <c r="AD48" s="596" t="s">
        <v>12664</v>
      </c>
      <c r="AE48" s="540" t="s">
        <v>5507</v>
      </c>
      <c r="AF48" s="541">
        <v>7.25</v>
      </c>
      <c r="AG48" s="603"/>
      <c r="AT48" s="136"/>
      <c r="AU48" s="136"/>
      <c r="AV48" s="136"/>
      <c r="AW48" s="528"/>
      <c r="AX48" s="528"/>
      <c r="AY48" s="528"/>
      <c r="AZ48" s="528"/>
      <c r="BA48" s="528"/>
      <c r="BC48" s="528"/>
      <c r="BD48" s="530"/>
      <c r="BE48" s="136"/>
      <c r="BF48" s="136"/>
      <c r="BG48" s="136"/>
      <c r="BH48" s="136"/>
      <c r="BI48" s="136"/>
      <c r="BJ48" s="136"/>
      <c r="BK48" s="136"/>
      <c r="BL48" s="136"/>
      <c r="BM48" s="136"/>
      <c r="BN48" s="136"/>
      <c r="BR48" s="470"/>
      <c r="BS48" s="470"/>
      <c r="BT48" s="470"/>
      <c r="BU48" s="470"/>
      <c r="CD48" s="519"/>
      <c r="CE48" s="519"/>
      <c r="CF48" s="519"/>
      <c r="CG48" s="519"/>
    </row>
    <row r="49" spans="1:85" ht="15.75" thickBot="1" x14ac:dyDescent="0.3">
      <c r="A49" s="540" t="s">
        <v>5651</v>
      </c>
      <c r="B49" s="541">
        <v>24.5</v>
      </c>
      <c r="C49" s="597"/>
      <c r="D49" s="124" t="s">
        <v>5225</v>
      </c>
      <c r="E49" s="125">
        <v>28.75</v>
      </c>
      <c r="F49" s="596" t="s">
        <v>12663</v>
      </c>
      <c r="G49" s="123" t="s">
        <v>5204</v>
      </c>
      <c r="H49" s="176">
        <v>18.5</v>
      </c>
      <c r="I49" s="597"/>
      <c r="J49" s="123" t="s">
        <v>361</v>
      </c>
      <c r="K49" s="120">
        <v>15</v>
      </c>
      <c r="L49" s="597"/>
      <c r="M49" s="478" t="s">
        <v>326</v>
      </c>
      <c r="N49" s="501">
        <v>23.5</v>
      </c>
      <c r="O49" s="597"/>
      <c r="P49" s="540" t="s">
        <v>193</v>
      </c>
      <c r="Q49" s="541">
        <v>11</v>
      </c>
      <c r="R49" s="597"/>
      <c r="S49" s="136" t="s">
        <v>5386</v>
      </c>
      <c r="T49" s="541">
        <v>18.25</v>
      </c>
      <c r="U49" s="597"/>
      <c r="V49" s="164" t="s">
        <v>393</v>
      </c>
      <c r="W49" s="524">
        <v>5.5</v>
      </c>
      <c r="X49" s="601"/>
      <c r="Y49" s="478" t="s">
        <v>27</v>
      </c>
      <c r="Z49" s="510">
        <v>5.75</v>
      </c>
      <c r="AA49" s="597"/>
      <c r="AB49" s="540" t="s">
        <v>4915</v>
      </c>
      <c r="AC49" s="541">
        <v>14.5</v>
      </c>
      <c r="AD49" s="597"/>
      <c r="AE49" s="540" t="s">
        <v>419</v>
      </c>
      <c r="AF49" s="541">
        <v>11</v>
      </c>
      <c r="AG49" s="603"/>
      <c r="AT49" s="136"/>
      <c r="AU49" s="136"/>
      <c r="AV49" s="136"/>
      <c r="AW49" s="528"/>
      <c r="AX49" s="528"/>
      <c r="AY49" s="528"/>
      <c r="AZ49" s="528"/>
      <c r="BA49" s="528"/>
      <c r="BC49" s="528"/>
      <c r="BD49" s="530"/>
      <c r="BE49" s="136"/>
      <c r="BF49" s="136"/>
      <c r="BG49" s="136"/>
      <c r="BH49" s="136"/>
      <c r="BI49" s="136"/>
      <c r="BJ49" s="136"/>
      <c r="BK49" s="136"/>
      <c r="BL49" s="136"/>
      <c r="BM49" s="136"/>
      <c r="BN49" s="136"/>
      <c r="BR49" s="470"/>
      <c r="BS49" s="470"/>
      <c r="BT49" s="470"/>
      <c r="BU49" s="470"/>
      <c r="CD49" s="519"/>
      <c r="CE49" s="519"/>
      <c r="CF49" s="519"/>
      <c r="CG49" s="519"/>
    </row>
    <row r="50" spans="1:85" ht="15.75" thickBot="1" x14ac:dyDescent="0.3">
      <c r="A50" s="540" t="s">
        <v>5295</v>
      </c>
      <c r="B50" s="541">
        <v>8.75</v>
      </c>
      <c r="C50" s="597"/>
      <c r="D50" s="123" t="s">
        <v>272</v>
      </c>
      <c r="E50" s="120">
        <v>23</v>
      </c>
      <c r="F50" s="597"/>
      <c r="G50" s="123" t="s">
        <v>5606</v>
      </c>
      <c r="H50" s="176">
        <v>21</v>
      </c>
      <c r="I50" s="597"/>
      <c r="J50" s="123" t="s">
        <v>3307</v>
      </c>
      <c r="K50" s="120">
        <v>30.25</v>
      </c>
      <c r="L50" s="597"/>
      <c r="M50" s="478" t="s">
        <v>5121</v>
      </c>
      <c r="N50" s="501">
        <v>26.5</v>
      </c>
      <c r="O50" s="597"/>
      <c r="P50" s="540" t="s">
        <v>3243</v>
      </c>
      <c r="Q50" s="541">
        <v>10.75</v>
      </c>
      <c r="R50" s="597"/>
      <c r="S50" s="136" t="s">
        <v>5300</v>
      </c>
      <c r="T50" s="541">
        <v>18</v>
      </c>
      <c r="U50" s="597"/>
      <c r="V50" s="527" t="s">
        <v>408</v>
      </c>
      <c r="W50" s="539">
        <v>26.75</v>
      </c>
      <c r="X50" s="596" t="s">
        <v>12664</v>
      </c>
      <c r="Y50" s="486" t="s">
        <v>483</v>
      </c>
      <c r="Z50" s="487">
        <v>20.75</v>
      </c>
      <c r="AA50" s="601"/>
      <c r="AB50" s="540" t="s">
        <v>5149</v>
      </c>
      <c r="AC50" s="541">
        <v>14.25</v>
      </c>
      <c r="AD50" s="597"/>
      <c r="AE50" s="540" t="s">
        <v>254</v>
      </c>
      <c r="AF50" s="541">
        <v>10.25</v>
      </c>
      <c r="AG50" s="603"/>
      <c r="AT50" s="136"/>
      <c r="AU50" s="136"/>
      <c r="AV50" s="136"/>
      <c r="AW50" s="528"/>
      <c r="AX50" s="528"/>
      <c r="AY50" s="528"/>
      <c r="AZ50" s="528"/>
      <c r="BA50" s="528"/>
      <c r="BC50" s="528"/>
      <c r="BD50" s="530"/>
      <c r="BE50" s="136"/>
      <c r="BF50" s="136"/>
      <c r="BG50" s="136"/>
      <c r="BH50" s="136"/>
      <c r="BI50" s="136"/>
      <c r="BJ50" s="136"/>
      <c r="BK50" s="136"/>
      <c r="BL50" s="136"/>
      <c r="BM50" s="136"/>
      <c r="BN50" s="136"/>
      <c r="BR50" s="470"/>
      <c r="BS50" s="470"/>
      <c r="BT50" s="470"/>
      <c r="BU50" s="470"/>
      <c r="CD50" s="519"/>
      <c r="CE50" s="519"/>
      <c r="CF50" s="519"/>
      <c r="CG50" s="519"/>
    </row>
    <row r="51" spans="1:85" x14ac:dyDescent="0.25">
      <c r="A51" s="540" t="s">
        <v>37</v>
      </c>
      <c r="B51" s="541">
        <v>24.5</v>
      </c>
      <c r="C51" s="597"/>
      <c r="D51" s="123" t="s">
        <v>3595</v>
      </c>
      <c r="E51" s="120">
        <v>28.75</v>
      </c>
      <c r="F51" s="597"/>
      <c r="G51" s="123" t="s">
        <v>5454</v>
      </c>
      <c r="H51" s="176">
        <v>19.25</v>
      </c>
      <c r="I51" s="597"/>
      <c r="J51" s="123" t="s">
        <v>5089</v>
      </c>
      <c r="K51" s="120">
        <v>15.75</v>
      </c>
      <c r="L51" s="597"/>
      <c r="M51" s="478" t="s">
        <v>209</v>
      </c>
      <c r="N51" s="501">
        <v>19</v>
      </c>
      <c r="O51" s="597"/>
      <c r="P51" s="540" t="s">
        <v>154</v>
      </c>
      <c r="Q51" s="541">
        <v>13.5</v>
      </c>
      <c r="R51" s="597"/>
      <c r="S51" s="136" t="s">
        <v>4781</v>
      </c>
      <c r="T51" s="541">
        <v>18</v>
      </c>
      <c r="U51" s="597"/>
      <c r="V51" s="540" t="s">
        <v>353</v>
      </c>
      <c r="W51" s="541">
        <v>24.75</v>
      </c>
      <c r="X51" s="597"/>
      <c r="Y51" s="471" t="s">
        <v>361</v>
      </c>
      <c r="Z51" s="175">
        <v>15.5</v>
      </c>
      <c r="AA51" s="596" t="s">
        <v>12664</v>
      </c>
      <c r="AB51" s="540" t="s">
        <v>300</v>
      </c>
      <c r="AC51" s="541">
        <v>14.25</v>
      </c>
      <c r="AD51" s="597"/>
      <c r="AE51" s="540" t="s">
        <v>4590</v>
      </c>
      <c r="AF51" s="541">
        <v>10.5</v>
      </c>
      <c r="AG51" s="603"/>
      <c r="AT51" s="136"/>
      <c r="AU51" s="136"/>
      <c r="AV51" s="136"/>
      <c r="AW51" s="528"/>
      <c r="AX51" s="528"/>
      <c r="AY51" s="528"/>
      <c r="AZ51" s="528"/>
      <c r="BA51" s="528"/>
      <c r="BC51" s="528"/>
      <c r="BD51" s="530"/>
      <c r="BE51" s="136"/>
      <c r="BF51" s="136"/>
      <c r="BG51" s="136"/>
      <c r="BH51" s="136"/>
      <c r="BI51" s="136"/>
      <c r="BJ51" s="136"/>
      <c r="BK51" s="136"/>
      <c r="BL51" s="136"/>
      <c r="BM51" s="136"/>
      <c r="BN51" s="136"/>
      <c r="BR51" s="470"/>
      <c r="BS51" s="470"/>
      <c r="BT51" s="470"/>
      <c r="BU51" s="470"/>
      <c r="CD51" s="519"/>
      <c r="CE51" s="519"/>
      <c r="CF51" s="519"/>
      <c r="CG51" s="519"/>
    </row>
    <row r="52" spans="1:85" ht="15.75" thickBot="1" x14ac:dyDescent="0.3">
      <c r="A52" s="542" t="s">
        <v>5613</v>
      </c>
      <c r="B52" s="543">
        <v>19.75</v>
      </c>
      <c r="C52" s="601"/>
      <c r="D52" s="123" t="s">
        <v>3481</v>
      </c>
      <c r="E52" s="120">
        <v>29.5</v>
      </c>
      <c r="F52" s="597"/>
      <c r="G52" s="123" t="s">
        <v>5240</v>
      </c>
      <c r="H52" s="176">
        <v>19.25</v>
      </c>
      <c r="I52" s="601"/>
      <c r="J52" s="123" t="s">
        <v>113</v>
      </c>
      <c r="K52" s="120">
        <v>16.75</v>
      </c>
      <c r="L52" s="597"/>
      <c r="M52" s="478" t="s">
        <v>152</v>
      </c>
      <c r="N52" s="503">
        <v>16.25</v>
      </c>
      <c r="O52" s="601"/>
      <c r="P52" s="540" t="s">
        <v>1904</v>
      </c>
      <c r="Q52" s="541">
        <v>11</v>
      </c>
      <c r="R52" s="597"/>
      <c r="S52" s="136" t="s">
        <v>349</v>
      </c>
      <c r="T52" s="541">
        <v>17.75</v>
      </c>
      <c r="U52" s="597"/>
      <c r="V52" s="540" t="s">
        <v>137</v>
      </c>
      <c r="W52" s="541">
        <v>23.5</v>
      </c>
      <c r="X52" s="597"/>
      <c r="Y52" s="478" t="s">
        <v>337</v>
      </c>
      <c r="Z52" s="510">
        <v>16</v>
      </c>
      <c r="AA52" s="597"/>
      <c r="AB52" s="540" t="s">
        <v>304</v>
      </c>
      <c r="AC52" s="541">
        <v>14.25</v>
      </c>
      <c r="AD52" s="597"/>
      <c r="AE52" s="540" t="s">
        <v>5583</v>
      </c>
      <c r="AF52" s="541">
        <v>13.75</v>
      </c>
      <c r="AG52" s="603"/>
      <c r="AT52" s="136"/>
      <c r="AU52" s="136"/>
      <c r="AV52" s="136"/>
      <c r="AW52" s="528"/>
      <c r="AX52" s="528"/>
      <c r="AY52" s="528"/>
      <c r="AZ52" s="528"/>
      <c r="BA52" s="528"/>
      <c r="BC52" s="528"/>
      <c r="BD52" s="530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R52" s="470"/>
      <c r="BS52" s="470"/>
      <c r="BT52" s="470"/>
      <c r="BU52" s="470"/>
      <c r="CD52" s="519"/>
      <c r="CE52" s="519"/>
      <c r="CF52" s="519"/>
      <c r="CG52" s="519"/>
    </row>
    <row r="53" spans="1:85" ht="15.75" thickBot="1" x14ac:dyDescent="0.3">
      <c r="A53" s="471" t="s">
        <v>373</v>
      </c>
      <c r="B53" s="500">
        <v>22</v>
      </c>
      <c r="C53" s="596" t="s">
        <v>12663</v>
      </c>
      <c r="D53" s="123" t="s">
        <v>3225</v>
      </c>
      <c r="E53" s="120">
        <v>29.5</v>
      </c>
      <c r="F53" s="597"/>
      <c r="G53" s="471" t="s">
        <v>373</v>
      </c>
      <c r="H53" s="500">
        <v>22</v>
      </c>
      <c r="I53" s="596" t="s">
        <v>12663</v>
      </c>
      <c r="J53" s="164" t="s">
        <v>3442</v>
      </c>
      <c r="K53" s="524">
        <v>30</v>
      </c>
      <c r="L53" s="601"/>
      <c r="M53" s="527" t="s">
        <v>408</v>
      </c>
      <c r="N53" s="539">
        <v>26.75</v>
      </c>
      <c r="O53" s="596" t="s">
        <v>12664</v>
      </c>
      <c r="P53" s="540" t="s">
        <v>5457</v>
      </c>
      <c r="Q53" s="541">
        <v>6</v>
      </c>
      <c r="R53" s="597"/>
      <c r="S53" s="136" t="s">
        <v>5141</v>
      </c>
      <c r="T53" s="541">
        <v>14</v>
      </c>
      <c r="U53" s="597"/>
      <c r="V53" s="540" t="s">
        <v>234</v>
      </c>
      <c r="W53" s="541">
        <v>22.5</v>
      </c>
      <c r="X53" s="597"/>
      <c r="Y53" s="478" t="s">
        <v>328</v>
      </c>
      <c r="Z53" s="510">
        <v>24.5</v>
      </c>
      <c r="AA53" s="597"/>
      <c r="AB53" s="540" t="s">
        <v>154</v>
      </c>
      <c r="AC53" s="541">
        <v>13.5</v>
      </c>
      <c r="AD53" s="597"/>
      <c r="AE53" s="540" t="s">
        <v>185</v>
      </c>
      <c r="AF53" s="541">
        <v>9.75</v>
      </c>
      <c r="AG53" s="603"/>
      <c r="AT53" s="136"/>
      <c r="AU53" s="136"/>
      <c r="AV53" s="136"/>
      <c r="AW53" s="528"/>
      <c r="AX53" s="528"/>
      <c r="AY53" s="528"/>
      <c r="AZ53" s="528"/>
      <c r="BA53" s="528"/>
      <c r="BC53" s="528"/>
      <c r="BD53" s="530"/>
      <c r="BE53" s="136"/>
      <c r="BF53" s="136"/>
      <c r="BG53" s="136"/>
      <c r="BH53" s="136"/>
      <c r="BI53" s="136"/>
      <c r="BJ53" s="136"/>
      <c r="BK53" s="136"/>
      <c r="BL53" s="136"/>
      <c r="BM53" s="136"/>
      <c r="BN53" s="136"/>
      <c r="BR53" s="470"/>
      <c r="BS53" s="470"/>
      <c r="BT53" s="470"/>
      <c r="BU53" s="470"/>
      <c r="CD53" s="519"/>
      <c r="CE53" s="519"/>
      <c r="CF53" s="519"/>
      <c r="CG53" s="519"/>
    </row>
    <row r="54" spans="1:85" ht="15.75" thickBot="1" x14ac:dyDescent="0.3">
      <c r="A54" s="478" t="s">
        <v>359</v>
      </c>
      <c r="B54" s="501">
        <v>11.75</v>
      </c>
      <c r="C54" s="597"/>
      <c r="D54" s="164" t="s">
        <v>5380</v>
      </c>
      <c r="E54" s="524">
        <v>28.5</v>
      </c>
      <c r="F54" s="601"/>
      <c r="G54" s="478" t="s">
        <v>359</v>
      </c>
      <c r="H54" s="501">
        <v>11.75</v>
      </c>
      <c r="I54" s="597"/>
      <c r="J54" s="124" t="s">
        <v>5021</v>
      </c>
      <c r="K54" s="175">
        <v>27.25</v>
      </c>
      <c r="L54" s="596" t="s">
        <v>12663</v>
      </c>
      <c r="M54" s="540" t="s">
        <v>353</v>
      </c>
      <c r="N54" s="541">
        <v>24.75</v>
      </c>
      <c r="O54" s="597"/>
      <c r="P54" s="540" t="s">
        <v>5331</v>
      </c>
      <c r="Q54" s="541">
        <v>15</v>
      </c>
      <c r="R54" s="597"/>
      <c r="S54" s="136" t="s">
        <v>4760</v>
      </c>
      <c r="T54" s="541">
        <v>13.75</v>
      </c>
      <c r="U54" s="597"/>
      <c r="V54" s="540" t="s">
        <v>100</v>
      </c>
      <c r="W54" s="541">
        <v>19.25</v>
      </c>
      <c r="X54" s="597"/>
      <c r="Y54" s="478" t="s">
        <v>215</v>
      </c>
      <c r="Z54" s="510">
        <v>19.75</v>
      </c>
      <c r="AA54" s="597"/>
      <c r="AB54" s="540" t="s">
        <v>454</v>
      </c>
      <c r="AC54" s="541">
        <v>11.5</v>
      </c>
      <c r="AD54" s="597"/>
      <c r="AE54" s="540" t="s">
        <v>173</v>
      </c>
      <c r="AF54" s="541">
        <v>9.75</v>
      </c>
      <c r="AG54" s="603"/>
      <c r="AT54" s="136"/>
      <c r="AU54" s="136"/>
      <c r="AV54" s="136"/>
      <c r="AW54" s="528"/>
      <c r="AX54" s="528"/>
      <c r="AY54" s="528"/>
      <c r="AZ54" s="528"/>
      <c r="BA54" s="528"/>
      <c r="BC54" s="528"/>
      <c r="BD54" s="530"/>
      <c r="BE54" s="136"/>
      <c r="BF54" s="136"/>
      <c r="BG54" s="136"/>
      <c r="BH54" s="136"/>
      <c r="BI54" s="136"/>
      <c r="BJ54" s="136"/>
      <c r="BK54" s="136"/>
      <c r="BL54" s="136"/>
      <c r="BM54" s="136"/>
      <c r="BN54" s="136"/>
      <c r="BR54" s="470"/>
      <c r="BS54" s="470"/>
      <c r="BT54" s="470"/>
      <c r="BU54" s="470"/>
      <c r="CD54" s="519"/>
      <c r="CE54" s="519"/>
      <c r="CF54" s="519"/>
      <c r="CG54" s="519"/>
    </row>
    <row r="55" spans="1:85" ht="15.75" thickBot="1" x14ac:dyDescent="0.3">
      <c r="A55" s="478" t="s">
        <v>343</v>
      </c>
      <c r="B55" s="501">
        <v>14.5</v>
      </c>
      <c r="C55" s="597"/>
      <c r="D55" s="124" t="s">
        <v>5225</v>
      </c>
      <c r="E55" s="125">
        <v>28.75</v>
      </c>
      <c r="F55" s="596" t="s">
        <v>12663</v>
      </c>
      <c r="G55" s="478" t="s">
        <v>343</v>
      </c>
      <c r="H55" s="501">
        <v>14.5</v>
      </c>
      <c r="I55" s="597"/>
      <c r="J55" s="123" t="s">
        <v>306</v>
      </c>
      <c r="K55" s="176">
        <v>6.75</v>
      </c>
      <c r="L55" s="597"/>
      <c r="M55" s="540" t="s">
        <v>137</v>
      </c>
      <c r="N55" s="541">
        <v>23.5</v>
      </c>
      <c r="O55" s="597"/>
      <c r="P55" s="542" t="s">
        <v>34</v>
      </c>
      <c r="Q55" s="543">
        <v>10.5</v>
      </c>
      <c r="R55" s="601"/>
      <c r="S55" s="545" t="s">
        <v>4816</v>
      </c>
      <c r="T55" s="543">
        <v>12.5</v>
      </c>
      <c r="U55" s="601"/>
      <c r="V55" s="540" t="s">
        <v>484</v>
      </c>
      <c r="W55" s="541">
        <v>16</v>
      </c>
      <c r="X55" s="597"/>
      <c r="Y55" s="478" t="s">
        <v>5754</v>
      </c>
      <c r="Z55" s="510">
        <v>24.25</v>
      </c>
      <c r="AA55" s="597"/>
      <c r="AB55" s="540" t="s">
        <v>1904</v>
      </c>
      <c r="AC55" s="541">
        <v>11</v>
      </c>
      <c r="AD55" s="597"/>
      <c r="AE55" s="540" t="s">
        <v>5495</v>
      </c>
      <c r="AF55" s="541">
        <v>8.25</v>
      </c>
      <c r="AG55" s="603"/>
      <c r="AT55" s="136"/>
      <c r="AU55" s="136"/>
      <c r="AV55" s="136"/>
      <c r="AW55" s="528"/>
      <c r="AX55" s="528"/>
      <c r="AY55" s="528"/>
      <c r="AZ55" s="528"/>
      <c r="BA55" s="528"/>
      <c r="BC55" s="528"/>
      <c r="BD55" s="530"/>
      <c r="BE55" s="136"/>
      <c r="BF55" s="136"/>
      <c r="BG55" s="136"/>
      <c r="BH55" s="136"/>
      <c r="BI55" s="136"/>
      <c r="BJ55" s="136"/>
      <c r="BK55" s="136"/>
      <c r="BL55" s="136"/>
      <c r="BM55" s="136"/>
      <c r="BN55" s="136"/>
      <c r="BR55" s="470"/>
      <c r="BS55" s="470"/>
      <c r="BT55" s="470"/>
      <c r="BU55" s="470"/>
      <c r="CD55" s="519"/>
      <c r="CE55" s="519"/>
      <c r="CF55" s="519"/>
      <c r="CG55" s="519"/>
    </row>
    <row r="56" spans="1:85" x14ac:dyDescent="0.25">
      <c r="A56" s="478" t="s">
        <v>4716</v>
      </c>
      <c r="B56" s="501">
        <v>17.75</v>
      </c>
      <c r="C56" s="597"/>
      <c r="D56" s="123" t="s">
        <v>272</v>
      </c>
      <c r="E56" s="120">
        <v>23</v>
      </c>
      <c r="F56" s="597"/>
      <c r="G56" s="478" t="s">
        <v>4716</v>
      </c>
      <c r="H56" s="501">
        <v>17.75</v>
      </c>
      <c r="I56" s="597"/>
      <c r="J56" s="123" t="s">
        <v>5323</v>
      </c>
      <c r="K56" s="176">
        <v>26.5</v>
      </c>
      <c r="L56" s="597"/>
      <c r="M56" s="540" t="s">
        <v>234</v>
      </c>
      <c r="N56" s="541">
        <v>22.5</v>
      </c>
      <c r="O56" s="597"/>
      <c r="P56" s="124" t="s">
        <v>5267</v>
      </c>
      <c r="Q56" s="175">
        <v>15.25</v>
      </c>
      <c r="R56" s="596" t="s">
        <v>12663</v>
      </c>
      <c r="S56" s="124" t="s">
        <v>4941</v>
      </c>
      <c r="T56" s="175">
        <v>30.75</v>
      </c>
      <c r="U56" s="596" t="s">
        <v>12664</v>
      </c>
      <c r="V56" s="540" t="s">
        <v>355</v>
      </c>
      <c r="W56" s="541">
        <v>15.75</v>
      </c>
      <c r="X56" s="597"/>
      <c r="Y56" s="478" t="s">
        <v>5509</v>
      </c>
      <c r="Z56" s="510">
        <v>25.25</v>
      </c>
      <c r="AA56" s="597"/>
      <c r="AB56" s="540" t="s">
        <v>193</v>
      </c>
      <c r="AC56" s="541">
        <v>11</v>
      </c>
      <c r="AD56" s="597"/>
      <c r="AE56" s="540" t="s">
        <v>5089</v>
      </c>
      <c r="AF56" s="541">
        <v>15.75</v>
      </c>
      <c r="AG56" s="603"/>
      <c r="AT56" s="136"/>
      <c r="AU56" s="136"/>
      <c r="AV56" s="136"/>
      <c r="AW56" s="528"/>
      <c r="AX56" s="528"/>
      <c r="AY56" s="528"/>
      <c r="AZ56" s="528"/>
      <c r="BA56" s="528"/>
      <c r="BC56" s="528"/>
      <c r="BD56" s="530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R56" s="470"/>
      <c r="BS56" s="470"/>
      <c r="BT56" s="470"/>
      <c r="BU56" s="470"/>
      <c r="CD56" s="519"/>
      <c r="CE56" s="519"/>
      <c r="CF56" s="519"/>
      <c r="CG56" s="519"/>
    </row>
    <row r="57" spans="1:85" x14ac:dyDescent="0.25">
      <c r="A57" s="478" t="s">
        <v>5163</v>
      </c>
      <c r="B57" s="501">
        <v>16.75</v>
      </c>
      <c r="C57" s="597"/>
      <c r="D57" s="123" t="s">
        <v>3595</v>
      </c>
      <c r="E57" s="120">
        <v>28.75</v>
      </c>
      <c r="F57" s="597"/>
      <c r="G57" s="478" t="s">
        <v>5163</v>
      </c>
      <c r="H57" s="501">
        <v>16.75</v>
      </c>
      <c r="I57" s="597"/>
      <c r="J57" s="123" t="s">
        <v>5210</v>
      </c>
      <c r="K57" s="176">
        <v>26.5</v>
      </c>
      <c r="L57" s="597"/>
      <c r="M57" s="540" t="s">
        <v>100</v>
      </c>
      <c r="N57" s="541">
        <v>19.25</v>
      </c>
      <c r="O57" s="597"/>
      <c r="P57" s="123" t="s">
        <v>5524</v>
      </c>
      <c r="Q57" s="176">
        <v>23.75</v>
      </c>
      <c r="R57" s="597"/>
      <c r="S57" s="123" t="s">
        <v>1842</v>
      </c>
      <c r="T57" s="176">
        <v>30.5</v>
      </c>
      <c r="U57" s="597"/>
      <c r="V57" s="540" t="s">
        <v>448</v>
      </c>
      <c r="W57" s="541">
        <v>12.5</v>
      </c>
      <c r="X57" s="597"/>
      <c r="Y57" s="478" t="s">
        <v>63</v>
      </c>
      <c r="Z57" s="510">
        <v>16.25</v>
      </c>
      <c r="AA57" s="597"/>
      <c r="AB57" s="540" t="s">
        <v>3243</v>
      </c>
      <c r="AC57" s="541">
        <v>10.75</v>
      </c>
      <c r="AD57" s="597"/>
      <c r="AE57" s="540" t="s">
        <v>5706</v>
      </c>
      <c r="AF57" s="541">
        <v>7.75</v>
      </c>
      <c r="AG57" s="603"/>
      <c r="AT57" s="136"/>
      <c r="AU57" s="136"/>
      <c r="AV57" s="136"/>
      <c r="AW57" s="528"/>
      <c r="AX57" s="528"/>
      <c r="AY57" s="528"/>
      <c r="AZ57" s="528"/>
      <c r="BA57" s="528"/>
      <c r="BC57" s="528"/>
      <c r="BD57" s="530"/>
      <c r="BE57" s="136"/>
      <c r="BF57" s="136"/>
      <c r="BG57" s="136"/>
      <c r="BH57" s="136"/>
      <c r="BI57" s="136"/>
      <c r="BJ57" s="136"/>
      <c r="BK57" s="136"/>
      <c r="BL57" s="136"/>
      <c r="BM57" s="136"/>
      <c r="BN57" s="136"/>
      <c r="BR57" s="470"/>
      <c r="BS57" s="470"/>
      <c r="BT57" s="470"/>
      <c r="BU57" s="470"/>
      <c r="CD57" s="519"/>
      <c r="CE57" s="519"/>
      <c r="CF57" s="519"/>
      <c r="CG57" s="519"/>
    </row>
    <row r="58" spans="1:85" ht="15.75" thickBot="1" x14ac:dyDescent="0.3">
      <c r="A58" s="478" t="s">
        <v>326</v>
      </c>
      <c r="B58" s="501">
        <v>23.5</v>
      </c>
      <c r="C58" s="597"/>
      <c r="D58" s="123" t="s">
        <v>3481</v>
      </c>
      <c r="E58" s="120">
        <v>29.5</v>
      </c>
      <c r="F58" s="597"/>
      <c r="G58" s="478" t="s">
        <v>326</v>
      </c>
      <c r="H58" s="501">
        <v>23.5</v>
      </c>
      <c r="I58" s="597"/>
      <c r="J58" s="123" t="s">
        <v>4922</v>
      </c>
      <c r="K58" s="176">
        <v>26.5</v>
      </c>
      <c r="L58" s="597"/>
      <c r="M58" s="540" t="s">
        <v>484</v>
      </c>
      <c r="N58" s="541">
        <v>16</v>
      </c>
      <c r="O58" s="597"/>
      <c r="P58" s="123" t="s">
        <v>381</v>
      </c>
      <c r="Q58" s="176">
        <v>24.5</v>
      </c>
      <c r="R58" s="597"/>
      <c r="S58" s="123" t="s">
        <v>5262</v>
      </c>
      <c r="T58" s="176">
        <v>30.5</v>
      </c>
      <c r="U58" s="597"/>
      <c r="V58" s="542" t="s">
        <v>5663</v>
      </c>
      <c r="W58" s="543">
        <v>7</v>
      </c>
      <c r="X58" s="601"/>
      <c r="Y58" s="478" t="s">
        <v>27</v>
      </c>
      <c r="Z58" s="510">
        <v>5.75</v>
      </c>
      <c r="AA58" s="597"/>
      <c r="AB58" s="540" t="s">
        <v>244</v>
      </c>
      <c r="AC58" s="541">
        <v>10.75</v>
      </c>
      <c r="AD58" s="597"/>
      <c r="AE58" s="540" t="s">
        <v>113</v>
      </c>
      <c r="AF58" s="541">
        <v>16.75</v>
      </c>
      <c r="AG58" s="603"/>
      <c r="AT58" s="136"/>
      <c r="AU58" s="136"/>
      <c r="AV58" s="136"/>
      <c r="AW58" s="528"/>
      <c r="AX58" s="528"/>
      <c r="AY58" s="528"/>
      <c r="AZ58" s="528"/>
      <c r="BA58" s="528"/>
      <c r="BC58" s="528"/>
      <c r="BD58" s="530"/>
      <c r="BE58" s="136"/>
      <c r="BF58" s="136"/>
      <c r="BG58" s="136"/>
      <c r="BH58" s="136"/>
      <c r="BI58" s="136"/>
      <c r="BJ58" s="136"/>
      <c r="BK58" s="136"/>
      <c r="BL58" s="136"/>
      <c r="BM58" s="136"/>
      <c r="BN58" s="136"/>
      <c r="BR58" s="470"/>
      <c r="BS58" s="470"/>
      <c r="BT58" s="470"/>
      <c r="BU58" s="470"/>
      <c r="CD58" s="519"/>
      <c r="CE58" s="519"/>
      <c r="CF58" s="519"/>
      <c r="CG58" s="519"/>
    </row>
    <row r="59" spans="1:85" ht="15.75" thickBot="1" x14ac:dyDescent="0.3">
      <c r="A59" s="478" t="s">
        <v>5121</v>
      </c>
      <c r="B59" s="501">
        <v>26.5</v>
      </c>
      <c r="C59" s="597"/>
      <c r="D59" s="123" t="s">
        <v>3225</v>
      </c>
      <c r="E59" s="120">
        <v>29.5</v>
      </c>
      <c r="F59" s="597"/>
      <c r="G59" s="478" t="s">
        <v>5121</v>
      </c>
      <c r="H59" s="501">
        <v>26.5</v>
      </c>
      <c r="I59" s="597"/>
      <c r="J59" s="123" t="s">
        <v>5070</v>
      </c>
      <c r="K59" s="176">
        <v>26.25</v>
      </c>
      <c r="L59" s="597"/>
      <c r="M59" s="540" t="s">
        <v>355</v>
      </c>
      <c r="N59" s="541">
        <v>15.75</v>
      </c>
      <c r="O59" s="597"/>
      <c r="P59" s="123" t="s">
        <v>5082</v>
      </c>
      <c r="Q59" s="176">
        <v>24</v>
      </c>
      <c r="R59" s="597"/>
      <c r="S59" s="123" t="s">
        <v>4738</v>
      </c>
      <c r="T59" s="176">
        <v>30.25</v>
      </c>
      <c r="U59" s="597"/>
      <c r="V59" s="527" t="s">
        <v>408</v>
      </c>
      <c r="W59" s="539">
        <v>26.75</v>
      </c>
      <c r="X59" s="596" t="s">
        <v>12664</v>
      </c>
      <c r="Y59" s="486" t="s">
        <v>483</v>
      </c>
      <c r="Z59" s="487">
        <v>20.75</v>
      </c>
      <c r="AA59" s="601"/>
      <c r="AB59" s="540" t="s">
        <v>437</v>
      </c>
      <c r="AC59" s="541">
        <v>10.75</v>
      </c>
      <c r="AD59" s="597"/>
      <c r="AE59" s="540" t="s">
        <v>5277</v>
      </c>
      <c r="AF59" s="541">
        <v>13.75</v>
      </c>
      <c r="AG59" s="603"/>
      <c r="AT59" s="136"/>
      <c r="AU59" s="136"/>
      <c r="AV59" s="136"/>
      <c r="AW59" s="528"/>
      <c r="AX59" s="528"/>
      <c r="AY59" s="528"/>
      <c r="AZ59" s="528"/>
      <c r="BA59" s="528"/>
      <c r="BC59" s="528"/>
      <c r="BD59" s="530"/>
      <c r="BE59" s="136"/>
      <c r="BF59" s="136"/>
      <c r="BG59" s="136"/>
      <c r="BH59" s="136"/>
      <c r="BI59" s="136"/>
      <c r="BJ59" s="136"/>
      <c r="BK59" s="136"/>
      <c r="BL59" s="136"/>
      <c r="BM59" s="136"/>
      <c r="BN59" s="136"/>
      <c r="BR59" s="470"/>
      <c r="BS59" s="470"/>
      <c r="BT59" s="470"/>
      <c r="BU59" s="470"/>
      <c r="CD59" s="519"/>
      <c r="CE59" s="519"/>
      <c r="CF59" s="519"/>
      <c r="CG59" s="519"/>
    </row>
    <row r="60" spans="1:85" ht="15.75" thickBot="1" x14ac:dyDescent="0.3">
      <c r="A60" s="478" t="s">
        <v>209</v>
      </c>
      <c r="B60" s="501">
        <v>19</v>
      </c>
      <c r="C60" s="597"/>
      <c r="D60" s="164" t="s">
        <v>5380</v>
      </c>
      <c r="E60" s="524">
        <v>28.5</v>
      </c>
      <c r="F60" s="601"/>
      <c r="G60" s="478" t="s">
        <v>209</v>
      </c>
      <c r="H60" s="501">
        <v>19</v>
      </c>
      <c r="I60" s="597"/>
      <c r="J60" s="164" t="s">
        <v>5336</v>
      </c>
      <c r="K60" s="190">
        <v>28.25</v>
      </c>
      <c r="L60" s="601"/>
      <c r="M60" s="540" t="s">
        <v>448</v>
      </c>
      <c r="N60" s="541">
        <v>12.5</v>
      </c>
      <c r="O60" s="597"/>
      <c r="P60" s="123" t="s">
        <v>4744</v>
      </c>
      <c r="Q60" s="176">
        <v>28</v>
      </c>
      <c r="R60" s="597"/>
      <c r="S60" s="123" t="s">
        <v>5043</v>
      </c>
      <c r="T60" s="176">
        <v>14</v>
      </c>
      <c r="U60" s="597"/>
      <c r="V60" s="540" t="s">
        <v>353</v>
      </c>
      <c r="W60" s="541">
        <v>24.75</v>
      </c>
      <c r="X60" s="597"/>
      <c r="Y60" s="124" t="s">
        <v>4752</v>
      </c>
      <c r="Z60" s="175">
        <v>32</v>
      </c>
      <c r="AA60" s="596" t="s">
        <v>12664</v>
      </c>
      <c r="AB60" s="540" t="s">
        <v>34</v>
      </c>
      <c r="AC60" s="541">
        <v>10.5</v>
      </c>
      <c r="AD60" s="597"/>
      <c r="AE60" s="540" t="s">
        <v>5536</v>
      </c>
      <c r="AF60" s="541">
        <v>14</v>
      </c>
      <c r="AG60" s="603"/>
      <c r="AT60" s="136"/>
      <c r="AU60" s="136"/>
      <c r="AV60" s="136"/>
      <c r="AW60" s="528"/>
      <c r="AX60" s="528"/>
      <c r="AY60" s="528"/>
      <c r="AZ60" s="528"/>
      <c r="BA60" s="528"/>
      <c r="BC60" s="528"/>
      <c r="BD60" s="530"/>
      <c r="BE60" s="136"/>
      <c r="BF60" s="136"/>
      <c r="BG60" s="136"/>
      <c r="BH60" s="136"/>
      <c r="BI60" s="136"/>
      <c r="BJ60" s="136"/>
      <c r="BK60" s="136"/>
      <c r="BL60" s="136"/>
      <c r="BM60" s="136"/>
      <c r="BN60" s="136"/>
      <c r="BR60" s="470"/>
      <c r="BS60" s="470"/>
      <c r="BT60" s="470"/>
      <c r="BU60" s="470"/>
      <c r="CD60" s="519"/>
      <c r="CE60" s="519"/>
      <c r="CF60" s="519"/>
      <c r="CG60" s="519"/>
    </row>
    <row r="61" spans="1:85" ht="15.75" thickBot="1" x14ac:dyDescent="0.3">
      <c r="A61" s="486" t="s">
        <v>152</v>
      </c>
      <c r="B61" s="503">
        <v>16.25</v>
      </c>
      <c r="C61" s="601"/>
      <c r="D61" s="124" t="s">
        <v>5411</v>
      </c>
      <c r="E61" s="175">
        <v>23.25</v>
      </c>
      <c r="F61" s="596" t="s">
        <v>12663</v>
      </c>
      <c r="G61" s="478" t="s">
        <v>152</v>
      </c>
      <c r="H61" s="503">
        <v>16.25</v>
      </c>
      <c r="I61" s="601"/>
      <c r="J61" s="519"/>
      <c r="K61" s="519"/>
      <c r="L61" s="519"/>
      <c r="M61" s="542" t="s">
        <v>5663</v>
      </c>
      <c r="N61" s="543">
        <v>7</v>
      </c>
      <c r="O61" s="601"/>
      <c r="P61" s="123" t="s">
        <v>5095</v>
      </c>
      <c r="Q61" s="176">
        <v>28</v>
      </c>
      <c r="R61" s="597"/>
      <c r="S61" s="164" t="s">
        <v>4752</v>
      </c>
      <c r="T61" s="190">
        <v>32</v>
      </c>
      <c r="U61" s="601"/>
      <c r="V61" s="540" t="s">
        <v>137</v>
      </c>
      <c r="W61" s="541">
        <v>23.5</v>
      </c>
      <c r="X61" s="597"/>
      <c r="Y61" s="123" t="s">
        <v>4941</v>
      </c>
      <c r="Z61" s="176">
        <v>30.75</v>
      </c>
      <c r="AA61" s="597"/>
      <c r="AB61" s="542" t="s">
        <v>5457</v>
      </c>
      <c r="AC61" s="543">
        <v>6</v>
      </c>
      <c r="AD61" s="601"/>
      <c r="AE61" s="542" t="s">
        <v>4590</v>
      </c>
      <c r="AF61" s="543">
        <v>10.5</v>
      </c>
      <c r="AG61" s="604"/>
      <c r="AT61" s="136"/>
      <c r="AU61" s="136"/>
      <c r="AV61" s="136"/>
      <c r="AW61" s="528"/>
      <c r="AX61" s="528"/>
      <c r="AY61" s="528"/>
      <c r="AZ61" s="528"/>
      <c r="BA61" s="528"/>
      <c r="BC61" s="528"/>
      <c r="BD61" s="530"/>
      <c r="BE61" s="136"/>
      <c r="BF61" s="136"/>
      <c r="BG61" s="136"/>
      <c r="BH61" s="136"/>
      <c r="BI61" s="136"/>
      <c r="BJ61" s="136"/>
      <c r="BK61" s="136"/>
      <c r="BL61" s="136"/>
      <c r="BM61" s="136"/>
      <c r="BN61" s="136"/>
      <c r="BR61" s="470"/>
      <c r="BS61" s="470"/>
      <c r="BT61" s="470"/>
      <c r="BU61" s="470"/>
      <c r="CD61" s="519"/>
      <c r="CE61" s="519"/>
      <c r="CF61" s="519"/>
      <c r="CG61" s="519"/>
    </row>
    <row r="62" spans="1:85" ht="15.75" thickBot="1" x14ac:dyDescent="0.3">
      <c r="D62" s="123" t="s">
        <v>4993</v>
      </c>
      <c r="E62" s="176">
        <v>23</v>
      </c>
      <c r="F62" s="597"/>
      <c r="G62" s="519"/>
      <c r="H62" s="519"/>
      <c r="I62" s="519"/>
      <c r="J62" s="519"/>
      <c r="K62" s="519"/>
      <c r="L62" s="519"/>
      <c r="M62" s="519"/>
      <c r="N62" s="519"/>
      <c r="O62" s="519"/>
      <c r="P62" s="164" t="s">
        <v>5651</v>
      </c>
      <c r="Q62" s="190">
        <v>24.5</v>
      </c>
      <c r="R62" s="601"/>
      <c r="S62" s="519"/>
      <c r="T62" s="519"/>
      <c r="U62" s="519"/>
      <c r="V62" s="540" t="s">
        <v>234</v>
      </c>
      <c r="W62" s="541">
        <v>22.5</v>
      </c>
      <c r="X62" s="597"/>
      <c r="Y62" s="123" t="s">
        <v>1842</v>
      </c>
      <c r="Z62" s="176">
        <v>30.5</v>
      </c>
      <c r="AA62" s="597"/>
      <c r="AT62" s="136"/>
      <c r="AU62" s="136"/>
      <c r="AV62" s="136"/>
      <c r="AW62" s="528"/>
      <c r="AX62" s="528"/>
      <c r="AY62" s="528"/>
      <c r="AZ62" s="528"/>
      <c r="BA62" s="528"/>
      <c r="BC62" s="528"/>
      <c r="BD62" s="530"/>
      <c r="BE62" s="136"/>
      <c r="BF62" s="136"/>
      <c r="BG62" s="136"/>
      <c r="BH62" s="136"/>
      <c r="BI62" s="136"/>
      <c r="BJ62" s="136"/>
      <c r="BK62" s="136"/>
      <c r="BL62" s="136"/>
      <c r="BM62" s="136"/>
      <c r="BN62" s="136"/>
      <c r="BR62" s="470"/>
      <c r="BS62" s="470"/>
      <c r="BT62" s="470"/>
      <c r="BU62" s="470"/>
      <c r="CD62" s="519"/>
      <c r="CE62" s="519"/>
      <c r="CF62" s="519"/>
      <c r="CG62" s="519"/>
    </row>
    <row r="63" spans="1:85" x14ac:dyDescent="0.25">
      <c r="D63" s="123" t="s">
        <v>393</v>
      </c>
      <c r="E63" s="176">
        <v>5.5</v>
      </c>
      <c r="F63" s="597"/>
      <c r="G63" s="519"/>
      <c r="H63" s="519"/>
      <c r="I63" s="519"/>
      <c r="J63" s="519"/>
      <c r="K63" s="519"/>
      <c r="L63" s="519"/>
      <c r="M63" s="519"/>
      <c r="N63" s="519"/>
      <c r="O63" s="519"/>
      <c r="P63" s="519"/>
      <c r="Q63" s="519"/>
      <c r="R63" s="519"/>
      <c r="S63" s="519"/>
      <c r="T63" s="519"/>
      <c r="U63" s="519"/>
      <c r="V63" s="540" t="s">
        <v>100</v>
      </c>
      <c r="W63" s="541">
        <v>19.25</v>
      </c>
      <c r="X63" s="597"/>
      <c r="Y63" s="123" t="s">
        <v>5262</v>
      </c>
      <c r="Z63" s="176">
        <v>30.5</v>
      </c>
      <c r="AA63" s="597"/>
      <c r="AT63" s="136"/>
      <c r="AU63" s="136"/>
      <c r="AV63" s="136"/>
      <c r="AW63" s="528"/>
      <c r="AX63" s="528"/>
      <c r="AY63" s="528"/>
      <c r="AZ63" s="528"/>
      <c r="BA63" s="528"/>
      <c r="BC63" s="528"/>
      <c r="BD63" s="530"/>
      <c r="BE63" s="136"/>
      <c r="BF63" s="136"/>
      <c r="BG63" s="136"/>
      <c r="BH63" s="136"/>
      <c r="BI63" s="136"/>
      <c r="BJ63" s="136"/>
      <c r="BK63" s="136"/>
      <c r="BL63" s="136"/>
      <c r="BM63" s="136"/>
      <c r="BN63" s="136"/>
      <c r="BR63" s="470"/>
      <c r="BS63" s="470"/>
      <c r="BT63" s="470"/>
      <c r="BU63" s="470"/>
      <c r="CD63" s="519"/>
      <c r="CE63" s="519"/>
      <c r="CF63" s="519"/>
      <c r="CG63" s="519"/>
    </row>
    <row r="64" spans="1:85" x14ac:dyDescent="0.25">
      <c r="D64" s="123" t="s">
        <v>5516</v>
      </c>
      <c r="E64" s="176">
        <v>23</v>
      </c>
      <c r="F64" s="597"/>
      <c r="G64" s="519"/>
      <c r="H64" s="519"/>
      <c r="I64" s="519"/>
      <c r="J64" s="519"/>
      <c r="K64" s="519"/>
      <c r="L64" s="519"/>
      <c r="M64" s="519"/>
      <c r="N64" s="519"/>
      <c r="O64" s="519"/>
      <c r="P64" s="519"/>
      <c r="Q64" s="519"/>
      <c r="R64" s="519"/>
      <c r="S64" s="519"/>
      <c r="T64" s="519"/>
      <c r="U64" s="519"/>
      <c r="V64" s="540" t="s">
        <v>484</v>
      </c>
      <c r="W64" s="541">
        <v>16</v>
      </c>
      <c r="X64" s="597"/>
      <c r="Y64" s="123" t="s">
        <v>4738</v>
      </c>
      <c r="Z64" s="176">
        <v>30.25</v>
      </c>
      <c r="AA64" s="597"/>
      <c r="AT64" s="136"/>
      <c r="AU64" s="136"/>
      <c r="AV64" s="136"/>
      <c r="AW64" s="528"/>
      <c r="AX64" s="528"/>
      <c r="AY64" s="528"/>
      <c r="AZ64" s="528"/>
      <c r="BA64" s="528"/>
      <c r="BC64" s="528"/>
      <c r="BD64" s="530"/>
      <c r="BE64" s="136"/>
      <c r="BF64" s="136"/>
      <c r="BG64" s="136"/>
      <c r="BH64" s="136"/>
      <c r="BI64" s="136"/>
      <c r="BJ64" s="136"/>
      <c r="BK64" s="136"/>
      <c r="BL64" s="136"/>
      <c r="BM64" s="136"/>
      <c r="BN64" s="136"/>
      <c r="BR64" s="470"/>
      <c r="BS64" s="470"/>
      <c r="BT64" s="470"/>
      <c r="BU64" s="470"/>
      <c r="CD64" s="519"/>
      <c r="CE64" s="519"/>
      <c r="CF64" s="519"/>
      <c r="CG64" s="519"/>
    </row>
    <row r="65" spans="4:85" ht="15.75" thickBot="1" x14ac:dyDescent="0.3">
      <c r="D65" s="123" t="s">
        <v>5563</v>
      </c>
      <c r="E65" s="176">
        <v>23.5</v>
      </c>
      <c r="F65" s="597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519"/>
      <c r="T65" s="519"/>
      <c r="U65" s="519"/>
      <c r="V65" s="540" t="s">
        <v>355</v>
      </c>
      <c r="W65" s="541">
        <v>15.75</v>
      </c>
      <c r="X65" s="597"/>
      <c r="Y65" s="164" t="s">
        <v>5043</v>
      </c>
      <c r="Z65" s="190">
        <v>14</v>
      </c>
      <c r="AA65" s="601"/>
      <c r="AT65" s="136"/>
      <c r="AU65" s="136"/>
      <c r="AV65" s="136"/>
      <c r="AW65" s="528"/>
      <c r="AX65" s="528"/>
      <c r="AY65" s="528"/>
      <c r="AZ65" s="528"/>
      <c r="BA65" s="528"/>
      <c r="BC65" s="528"/>
      <c r="BD65" s="530"/>
      <c r="BE65" s="136"/>
      <c r="BF65" s="136"/>
      <c r="BG65" s="136"/>
      <c r="BH65" s="136"/>
      <c r="BI65" s="136"/>
      <c r="BJ65" s="136"/>
      <c r="BK65" s="136"/>
      <c r="BL65" s="136"/>
      <c r="BM65" s="136"/>
      <c r="BN65" s="136"/>
      <c r="BR65" s="470"/>
      <c r="BS65" s="470"/>
      <c r="BT65" s="470"/>
      <c r="BU65" s="470"/>
      <c r="CD65" s="519"/>
      <c r="CE65" s="519"/>
      <c r="CF65" s="519"/>
      <c r="CG65" s="519"/>
    </row>
    <row r="66" spans="4:85" x14ac:dyDescent="0.25">
      <c r="D66" s="123" t="s">
        <v>137</v>
      </c>
      <c r="E66" s="176">
        <v>23.5</v>
      </c>
      <c r="F66" s="597"/>
      <c r="G66" s="519"/>
      <c r="H66" s="519"/>
      <c r="I66" s="519"/>
      <c r="J66" s="519"/>
      <c r="K66" s="519"/>
      <c r="L66" s="519"/>
      <c r="M66" s="519"/>
      <c r="N66" s="519"/>
      <c r="O66" s="519"/>
      <c r="P66" s="519"/>
      <c r="Q66" s="519"/>
      <c r="R66" s="519"/>
      <c r="S66" s="519"/>
      <c r="T66" s="519"/>
      <c r="U66" s="519"/>
      <c r="V66" s="540" t="s">
        <v>448</v>
      </c>
      <c r="W66" s="541">
        <v>12.5</v>
      </c>
      <c r="X66" s="597"/>
      <c r="AT66" s="136"/>
      <c r="AU66" s="136"/>
      <c r="AV66" s="136"/>
      <c r="AW66" s="528"/>
      <c r="AX66" s="528"/>
      <c r="AY66" s="528"/>
      <c r="AZ66" s="528"/>
      <c r="BA66" s="528"/>
      <c r="BC66" s="528"/>
      <c r="BD66" s="530"/>
      <c r="BE66" s="136"/>
      <c r="BF66" s="136"/>
      <c r="BG66" s="136"/>
      <c r="BH66" s="136"/>
      <c r="BI66" s="136"/>
      <c r="BJ66" s="136"/>
      <c r="BK66" s="136"/>
      <c r="BL66" s="136"/>
      <c r="BM66" s="136"/>
      <c r="BN66" s="136"/>
      <c r="BR66" s="470"/>
      <c r="BS66" s="470"/>
      <c r="BT66" s="470"/>
      <c r="BU66" s="470"/>
      <c r="CD66" s="519"/>
      <c r="CE66" s="519"/>
      <c r="CF66" s="519"/>
      <c r="CG66" s="519"/>
    </row>
    <row r="67" spans="4:85" ht="15.75" thickBot="1" x14ac:dyDescent="0.3">
      <c r="D67" s="123" t="s">
        <v>132</v>
      </c>
      <c r="E67" s="176">
        <v>22.75</v>
      </c>
      <c r="F67" s="597"/>
      <c r="G67" s="519"/>
      <c r="H67" s="519"/>
      <c r="I67" s="519"/>
      <c r="J67" s="519"/>
      <c r="K67" s="519"/>
      <c r="L67" s="519"/>
      <c r="M67" s="519"/>
      <c r="N67" s="519"/>
      <c r="O67" s="519"/>
      <c r="P67" s="519"/>
      <c r="Q67" s="519"/>
      <c r="R67" s="519"/>
      <c r="S67" s="519"/>
      <c r="T67" s="519"/>
      <c r="U67" s="519"/>
      <c r="V67" s="542" t="s">
        <v>5663</v>
      </c>
      <c r="W67" s="543">
        <v>7</v>
      </c>
      <c r="X67" s="601"/>
      <c r="AT67" s="136"/>
      <c r="AU67" s="136"/>
      <c r="AV67" s="136"/>
      <c r="AW67" s="528"/>
      <c r="AX67" s="528"/>
      <c r="AY67" s="528"/>
      <c r="AZ67" s="528"/>
      <c r="BA67" s="528"/>
      <c r="BC67" s="528"/>
      <c r="BD67" s="530"/>
      <c r="BE67" s="136"/>
      <c r="BF67" s="136"/>
      <c r="BG67" s="136"/>
      <c r="BH67" s="136"/>
      <c r="BI67" s="136"/>
      <c r="BJ67" s="136"/>
      <c r="BK67" s="136"/>
      <c r="BL67" s="136"/>
      <c r="BM67" s="136"/>
      <c r="BN67" s="136"/>
      <c r="BR67" s="470"/>
      <c r="BS67" s="470"/>
      <c r="BT67" s="470"/>
      <c r="BU67" s="470"/>
      <c r="CD67" s="519"/>
      <c r="CE67" s="519"/>
      <c r="CF67" s="519"/>
      <c r="CG67" s="519"/>
    </row>
    <row r="68" spans="4:85" ht="15.75" thickBot="1" x14ac:dyDescent="0.3">
      <c r="D68" s="164" t="s">
        <v>5534</v>
      </c>
      <c r="E68" s="190">
        <v>23.5</v>
      </c>
      <c r="F68" s="601"/>
      <c r="J68" s="519"/>
      <c r="K68" s="519"/>
      <c r="L68" s="519"/>
      <c r="M68" s="519"/>
      <c r="N68" s="519"/>
      <c r="O68" s="519"/>
      <c r="P68" s="519"/>
      <c r="Q68" s="519"/>
      <c r="R68" s="519"/>
      <c r="S68" s="519"/>
      <c r="T68" s="519"/>
      <c r="U68" s="519"/>
      <c r="V68" s="519"/>
      <c r="W68" s="519"/>
      <c r="X68" s="519"/>
      <c r="AT68" s="136"/>
      <c r="AU68" s="136"/>
      <c r="AV68" s="136"/>
      <c r="AW68" s="528"/>
      <c r="AX68" s="528"/>
      <c r="AY68" s="528"/>
      <c r="AZ68" s="528"/>
      <c r="BA68" s="528"/>
      <c r="BC68" s="528"/>
      <c r="BD68" s="530"/>
      <c r="BE68" s="136"/>
      <c r="BF68" s="136"/>
      <c r="BG68" s="136"/>
      <c r="BH68" s="136"/>
      <c r="BI68" s="136"/>
      <c r="BJ68" s="136"/>
      <c r="BK68" s="136"/>
      <c r="BL68" s="136"/>
      <c r="BM68" s="136"/>
      <c r="BN68" s="136"/>
      <c r="BR68" s="470"/>
      <c r="BS68" s="470"/>
      <c r="BT68" s="470"/>
      <c r="BU68" s="470"/>
      <c r="CD68" s="519"/>
      <c r="CE68" s="519"/>
      <c r="CF68" s="519"/>
      <c r="CG68" s="519"/>
    </row>
    <row r="69" spans="4:85" x14ac:dyDescent="0.25">
      <c r="D69" s="87"/>
      <c r="J69" s="519"/>
      <c r="K69" s="519"/>
      <c r="L69" s="519"/>
      <c r="M69" s="519"/>
      <c r="N69" s="519"/>
      <c r="O69" s="519"/>
      <c r="P69" s="519"/>
      <c r="Q69" s="519"/>
      <c r="R69" s="519"/>
      <c r="S69" s="519"/>
      <c r="T69" s="519"/>
      <c r="U69" s="519"/>
      <c r="V69" s="519"/>
      <c r="W69" s="519"/>
      <c r="X69" s="519"/>
      <c r="AT69" s="136"/>
      <c r="AU69" s="136"/>
      <c r="AV69" s="136"/>
      <c r="AW69" s="528"/>
      <c r="AX69" s="528"/>
      <c r="AY69" s="528"/>
      <c r="AZ69" s="528"/>
      <c r="BA69" s="528"/>
      <c r="BC69" s="528"/>
      <c r="BD69" s="530"/>
      <c r="BE69" s="136"/>
      <c r="BF69" s="136"/>
      <c r="BG69" s="136"/>
      <c r="BH69" s="136"/>
      <c r="BI69" s="136"/>
      <c r="BJ69" s="136"/>
      <c r="BK69" s="136"/>
      <c r="BL69" s="136"/>
      <c r="BM69" s="136"/>
      <c r="BN69" s="136"/>
      <c r="BR69" s="470"/>
      <c r="BS69" s="470"/>
      <c r="BT69" s="470"/>
      <c r="BU69" s="470"/>
      <c r="CD69" s="519"/>
      <c r="CE69" s="519"/>
      <c r="CF69" s="519"/>
      <c r="CG69" s="519"/>
    </row>
    <row r="70" spans="4:85" x14ac:dyDescent="0.25">
      <c r="D70" s="87"/>
      <c r="J70" s="519"/>
      <c r="K70" s="519"/>
      <c r="L70" s="519"/>
      <c r="M70" s="519"/>
      <c r="N70" s="519"/>
      <c r="O70" s="519"/>
      <c r="P70" s="519"/>
      <c r="Q70" s="519"/>
      <c r="R70" s="519"/>
      <c r="S70" s="519"/>
      <c r="T70" s="519"/>
      <c r="U70" s="519"/>
      <c r="V70" s="519"/>
      <c r="W70" s="519"/>
      <c r="X70" s="519"/>
      <c r="AT70" s="136"/>
      <c r="AU70" s="136"/>
      <c r="AV70" s="136"/>
      <c r="AW70" s="528"/>
      <c r="AX70" s="528"/>
      <c r="AY70" s="528"/>
      <c r="AZ70" s="528"/>
      <c r="BA70" s="528"/>
      <c r="BC70" s="528"/>
      <c r="BD70" s="530"/>
      <c r="BE70" s="136"/>
      <c r="BF70" s="136"/>
      <c r="BG70" s="136"/>
      <c r="BH70" s="136"/>
      <c r="BI70" s="136"/>
      <c r="BJ70" s="136"/>
      <c r="BK70" s="136"/>
      <c r="BL70" s="136"/>
      <c r="BM70" s="136"/>
      <c r="BN70" s="136"/>
      <c r="BR70" s="470"/>
      <c r="BS70" s="470"/>
      <c r="BT70" s="470"/>
      <c r="BU70" s="470"/>
      <c r="CD70" s="519"/>
      <c r="CE70" s="519"/>
      <c r="CF70" s="519"/>
      <c r="CG70" s="519"/>
    </row>
    <row r="71" spans="4:85" x14ac:dyDescent="0.25">
      <c r="D71" s="87"/>
      <c r="J71" s="519"/>
      <c r="K71" s="519"/>
      <c r="L71" s="519"/>
      <c r="P71" s="519"/>
      <c r="Q71" s="519"/>
      <c r="R71" s="519"/>
      <c r="S71" s="519"/>
      <c r="T71" s="519"/>
      <c r="U71" s="519"/>
      <c r="V71" s="519"/>
      <c r="W71" s="519"/>
      <c r="X71" s="519"/>
      <c r="AT71" s="136"/>
      <c r="AU71" s="136"/>
      <c r="AV71" s="136"/>
      <c r="AW71" s="528"/>
      <c r="AX71" s="528"/>
      <c r="AY71" s="528"/>
      <c r="AZ71" s="528"/>
      <c r="BA71" s="528"/>
      <c r="BC71" s="528"/>
      <c r="BD71" s="530"/>
      <c r="BE71" s="136"/>
      <c r="BF71" s="136"/>
      <c r="BG71" s="136"/>
      <c r="BH71" s="136"/>
      <c r="BI71" s="136"/>
      <c r="BJ71" s="136"/>
      <c r="BK71" s="136"/>
      <c r="BL71" s="136"/>
      <c r="BM71" s="136"/>
      <c r="BN71" s="136"/>
      <c r="BR71" s="470"/>
      <c r="BS71" s="470"/>
      <c r="BT71" s="470"/>
      <c r="BU71" s="470"/>
      <c r="CD71" s="519"/>
      <c r="CE71" s="519"/>
      <c r="CF71" s="519"/>
      <c r="CG71" s="519"/>
    </row>
    <row r="72" spans="4:85" x14ac:dyDescent="0.25">
      <c r="D72" s="87"/>
      <c r="J72" s="519"/>
      <c r="K72" s="519"/>
      <c r="L72" s="519"/>
      <c r="P72" s="519"/>
      <c r="Q72" s="519"/>
      <c r="R72" s="519"/>
      <c r="S72" s="519"/>
      <c r="T72" s="519"/>
      <c r="U72" s="519"/>
      <c r="V72" s="519"/>
      <c r="W72" s="519"/>
      <c r="X72" s="519"/>
      <c r="AT72" s="136"/>
      <c r="AU72" s="136"/>
      <c r="AV72" s="136"/>
      <c r="AW72" s="528"/>
      <c r="AX72" s="528"/>
      <c r="AY72" s="528"/>
      <c r="AZ72" s="528"/>
      <c r="BA72" s="528"/>
      <c r="BC72" s="528"/>
      <c r="BD72" s="530"/>
      <c r="BE72" s="136"/>
      <c r="BF72" s="136"/>
      <c r="BG72" s="136"/>
      <c r="BH72" s="136"/>
      <c r="BI72" s="136"/>
      <c r="BJ72" s="136"/>
      <c r="BK72" s="136"/>
      <c r="BL72" s="136"/>
      <c r="BM72" s="136"/>
      <c r="BN72" s="136"/>
      <c r="BR72" s="470"/>
      <c r="BS72" s="470"/>
      <c r="BT72" s="470"/>
      <c r="BU72" s="470"/>
      <c r="CD72" s="519"/>
      <c r="CE72" s="519"/>
      <c r="CF72" s="519"/>
      <c r="CG72" s="519"/>
    </row>
    <row r="73" spans="4:85" x14ac:dyDescent="0.25">
      <c r="D73" s="87"/>
      <c r="J73" s="519"/>
      <c r="K73" s="519"/>
      <c r="L73" s="519"/>
      <c r="P73" s="519"/>
      <c r="Q73" s="519"/>
      <c r="R73" s="519"/>
      <c r="S73" s="519"/>
      <c r="T73" s="519"/>
      <c r="U73" s="519"/>
      <c r="V73" s="519"/>
      <c r="W73" s="519"/>
      <c r="X73" s="519"/>
      <c r="AT73" s="136"/>
      <c r="AU73" s="136"/>
      <c r="AV73" s="136"/>
      <c r="AW73" s="528"/>
      <c r="AX73" s="528"/>
      <c r="AY73" s="528"/>
      <c r="AZ73" s="528"/>
      <c r="BA73" s="528"/>
      <c r="BC73" s="528"/>
      <c r="BD73" s="530"/>
      <c r="BE73" s="136"/>
      <c r="BF73" s="136"/>
      <c r="BG73" s="136"/>
      <c r="BH73" s="136"/>
      <c r="BI73" s="136"/>
      <c r="BJ73" s="136"/>
      <c r="BK73" s="136"/>
      <c r="BL73" s="136"/>
      <c r="BM73" s="136"/>
      <c r="BN73" s="136"/>
      <c r="BR73" s="470"/>
      <c r="BS73" s="470"/>
      <c r="BT73" s="470"/>
      <c r="BU73" s="470"/>
      <c r="CD73" s="519"/>
      <c r="CE73" s="519"/>
      <c r="CF73" s="519"/>
      <c r="CG73" s="519"/>
    </row>
    <row r="74" spans="4:85" x14ac:dyDescent="0.25">
      <c r="P74" s="519"/>
      <c r="Q74" s="519"/>
      <c r="R74" s="519"/>
      <c r="S74" s="519"/>
      <c r="T74" s="519"/>
      <c r="U74" s="519"/>
      <c r="V74" s="519"/>
      <c r="W74" s="519"/>
      <c r="X74" s="519"/>
      <c r="AT74" s="136"/>
      <c r="AU74" s="136"/>
      <c r="AV74" s="136"/>
      <c r="AW74" s="528"/>
      <c r="AX74" s="528"/>
      <c r="AY74" s="528"/>
      <c r="AZ74" s="528"/>
      <c r="BA74" s="528"/>
      <c r="BC74" s="528"/>
      <c r="BD74" s="530"/>
      <c r="BE74" s="136"/>
      <c r="BF74" s="136"/>
      <c r="BG74" s="136"/>
      <c r="BH74" s="136"/>
      <c r="BI74" s="136"/>
      <c r="BJ74" s="136"/>
      <c r="BK74" s="136"/>
      <c r="BL74" s="136"/>
      <c r="BM74" s="136"/>
      <c r="BN74" s="136"/>
      <c r="BR74" s="470"/>
      <c r="BS74" s="470"/>
      <c r="BT74" s="470"/>
      <c r="BU74" s="470"/>
      <c r="CD74" s="519"/>
      <c r="CE74" s="519"/>
      <c r="CF74" s="519"/>
      <c r="CG74" s="519"/>
    </row>
    <row r="75" spans="4:85" x14ac:dyDescent="0.25">
      <c r="P75" s="519"/>
      <c r="Q75" s="519"/>
      <c r="R75" s="519"/>
      <c r="V75" s="519"/>
      <c r="W75" s="519"/>
      <c r="X75" s="519"/>
      <c r="AT75" s="136"/>
      <c r="AU75" s="136"/>
      <c r="AV75" s="136"/>
      <c r="AW75" s="528"/>
      <c r="AX75" s="528"/>
      <c r="AY75" s="528"/>
      <c r="AZ75" s="528"/>
      <c r="BA75" s="528"/>
      <c r="BC75" s="528"/>
      <c r="BD75" s="530"/>
      <c r="BE75" s="136"/>
      <c r="BF75" s="136"/>
      <c r="BG75" s="136"/>
      <c r="BH75" s="136"/>
      <c r="BI75" s="136"/>
      <c r="BJ75" s="136"/>
      <c r="BK75" s="136"/>
      <c r="BL75" s="136"/>
      <c r="BM75" s="136"/>
      <c r="BN75" s="136"/>
      <c r="BR75" s="470"/>
      <c r="BS75" s="470"/>
      <c r="BT75" s="470"/>
      <c r="BU75" s="470"/>
      <c r="CD75" s="519"/>
      <c r="CE75" s="519"/>
      <c r="CF75" s="519"/>
      <c r="CG75" s="519"/>
    </row>
    <row r="76" spans="4:85" x14ac:dyDescent="0.25">
      <c r="P76" s="519"/>
      <c r="Q76" s="519"/>
      <c r="R76" s="519"/>
      <c r="V76" s="519"/>
      <c r="W76" s="519"/>
      <c r="X76" s="519"/>
      <c r="AT76" s="136"/>
      <c r="AU76" s="136"/>
      <c r="AV76" s="136"/>
      <c r="AW76" s="528"/>
      <c r="AX76" s="528"/>
      <c r="AY76" s="528"/>
      <c r="AZ76" s="528"/>
      <c r="BA76" s="528"/>
      <c r="BC76" s="528"/>
      <c r="BD76" s="530"/>
      <c r="BE76" s="136"/>
      <c r="BF76" s="136"/>
      <c r="BG76" s="136"/>
      <c r="BH76" s="136"/>
      <c r="BI76" s="136"/>
      <c r="BJ76" s="136"/>
      <c r="BK76" s="136"/>
      <c r="BL76" s="136"/>
      <c r="BM76" s="136"/>
      <c r="BN76" s="136"/>
      <c r="BR76" s="470"/>
      <c r="BS76" s="470"/>
      <c r="BT76" s="470"/>
      <c r="BU76" s="470"/>
      <c r="CD76" s="519"/>
      <c r="CE76" s="519"/>
      <c r="CF76" s="519"/>
      <c r="CG76" s="519"/>
    </row>
    <row r="77" spans="4:85" x14ac:dyDescent="0.25">
      <c r="AT77" s="136"/>
      <c r="AU77" s="136"/>
      <c r="AV77" s="136"/>
      <c r="AW77" s="528"/>
      <c r="AX77" s="528"/>
      <c r="AY77" s="528"/>
      <c r="AZ77" s="528"/>
      <c r="BA77" s="528"/>
      <c r="BC77" s="528"/>
      <c r="BD77" s="530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R77" s="470"/>
      <c r="BS77" s="470"/>
      <c r="BT77" s="470"/>
      <c r="BU77" s="470"/>
      <c r="CD77" s="519"/>
      <c r="CE77" s="519"/>
      <c r="CF77" s="519"/>
      <c r="CG77" s="519"/>
    </row>
    <row r="78" spans="4:85" x14ac:dyDescent="0.25">
      <c r="AT78" s="136"/>
      <c r="AU78" s="136"/>
      <c r="AV78" s="136"/>
      <c r="AW78" s="528"/>
      <c r="AX78" s="528"/>
      <c r="AY78" s="528"/>
      <c r="AZ78" s="528"/>
      <c r="BA78" s="528"/>
      <c r="BC78" s="528"/>
      <c r="BD78" s="530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R78" s="470"/>
      <c r="BS78" s="470"/>
      <c r="BT78" s="470"/>
      <c r="BU78" s="470"/>
      <c r="CD78" s="519"/>
      <c r="CE78" s="519"/>
      <c r="CF78" s="519"/>
      <c r="CG78" s="519"/>
    </row>
    <row r="79" spans="4:85" x14ac:dyDescent="0.25">
      <c r="AT79" s="136"/>
      <c r="AU79" s="136"/>
      <c r="AV79" s="136"/>
      <c r="AW79" s="528"/>
      <c r="AX79" s="528"/>
      <c r="AY79" s="528"/>
      <c r="AZ79" s="528"/>
      <c r="BA79" s="528"/>
      <c r="BC79" s="528"/>
      <c r="BD79" s="530"/>
      <c r="BE79" s="136"/>
      <c r="BF79" s="136"/>
      <c r="BG79" s="136"/>
      <c r="BH79" s="136"/>
      <c r="BI79" s="136"/>
      <c r="BJ79" s="136"/>
      <c r="BK79" s="136"/>
      <c r="BL79" s="136"/>
      <c r="BM79" s="136"/>
      <c r="BN79" s="136"/>
      <c r="BR79" s="470"/>
      <c r="BS79" s="470"/>
      <c r="BT79" s="470"/>
      <c r="BU79" s="470"/>
      <c r="CD79" s="519"/>
      <c r="CE79" s="519"/>
      <c r="CF79" s="519"/>
      <c r="CG79" s="519"/>
    </row>
    <row r="80" spans="4:85" x14ac:dyDescent="0.25">
      <c r="AT80" s="136"/>
      <c r="AU80" s="136"/>
      <c r="AV80" s="136"/>
      <c r="AW80" s="528"/>
      <c r="AX80" s="528"/>
      <c r="AY80" s="528"/>
      <c r="AZ80" s="528"/>
      <c r="BA80" s="528"/>
      <c r="BC80" s="528"/>
      <c r="BD80" s="530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R80" s="470"/>
      <c r="BS80" s="470"/>
      <c r="BT80" s="470"/>
      <c r="BU80" s="470"/>
      <c r="CD80" s="519"/>
      <c r="CE80" s="519"/>
      <c r="CF80" s="519"/>
      <c r="CG80" s="519"/>
    </row>
    <row r="81" spans="46:85" x14ac:dyDescent="0.25">
      <c r="AT81" s="136"/>
      <c r="AU81" s="136"/>
      <c r="AV81" s="136"/>
      <c r="AW81" s="528"/>
      <c r="AX81" s="528"/>
      <c r="AY81" s="528"/>
      <c r="AZ81" s="528"/>
      <c r="BA81" s="528"/>
      <c r="BC81" s="528"/>
      <c r="BD81" s="530"/>
      <c r="BE81" s="136"/>
      <c r="BF81" s="136"/>
      <c r="BG81" s="136"/>
      <c r="BH81" s="136"/>
      <c r="BI81" s="136"/>
      <c r="BJ81" s="136"/>
      <c r="BK81" s="136"/>
      <c r="BL81" s="136"/>
      <c r="BM81" s="136"/>
      <c r="BN81" s="136"/>
      <c r="BR81" s="470"/>
      <c r="BS81" s="470"/>
      <c r="BT81" s="470"/>
      <c r="BU81" s="470"/>
      <c r="CD81" s="519"/>
      <c r="CE81" s="519"/>
      <c r="CF81" s="519"/>
      <c r="CG81" s="519"/>
    </row>
    <row r="82" spans="46:85" x14ac:dyDescent="0.25">
      <c r="AT82" s="136"/>
      <c r="AU82" s="136"/>
      <c r="AV82" s="136"/>
      <c r="AW82" s="528"/>
      <c r="AX82" s="528"/>
      <c r="AY82" s="528"/>
      <c r="AZ82" s="528"/>
      <c r="BA82" s="528"/>
      <c r="BC82" s="528"/>
      <c r="BD82" s="530"/>
      <c r="BE82" s="136"/>
      <c r="BF82" s="136"/>
      <c r="BG82" s="136"/>
      <c r="BH82" s="136"/>
      <c r="BI82" s="136"/>
      <c r="BJ82" s="136"/>
      <c r="BK82" s="136"/>
      <c r="BL82" s="136"/>
      <c r="BM82" s="136"/>
      <c r="BN82" s="136"/>
      <c r="BR82" s="470"/>
      <c r="BS82" s="470"/>
      <c r="BT82" s="470"/>
      <c r="BU82" s="470"/>
      <c r="CD82" s="519"/>
      <c r="CE82" s="519"/>
      <c r="CF82" s="519"/>
      <c r="CG82" s="519"/>
    </row>
    <row r="83" spans="46:85" x14ac:dyDescent="0.25">
      <c r="AT83" s="136"/>
      <c r="AU83" s="136"/>
      <c r="AV83" s="136"/>
      <c r="AW83" s="528"/>
      <c r="AX83" s="528"/>
      <c r="AY83" s="528"/>
      <c r="AZ83" s="528"/>
      <c r="BA83" s="528"/>
      <c r="BC83" s="528"/>
      <c r="BD83" s="530"/>
      <c r="BE83" s="136"/>
      <c r="BF83" s="136"/>
      <c r="BG83" s="136"/>
      <c r="BH83" s="136"/>
      <c r="BI83" s="136"/>
      <c r="BJ83" s="136"/>
      <c r="BK83" s="136"/>
      <c r="BL83" s="136"/>
      <c r="BM83" s="136"/>
      <c r="BN83" s="136"/>
      <c r="BR83" s="470"/>
      <c r="BS83" s="470"/>
      <c r="BT83" s="470"/>
      <c r="BU83" s="470"/>
      <c r="CD83" s="519"/>
      <c r="CE83" s="519"/>
      <c r="CF83" s="519"/>
      <c r="CG83" s="519"/>
    </row>
    <row r="84" spans="46:85" x14ac:dyDescent="0.25">
      <c r="AT84" s="136"/>
      <c r="AU84" s="136"/>
      <c r="AV84" s="136"/>
      <c r="AW84" s="528"/>
      <c r="AX84" s="528"/>
      <c r="AY84" s="528"/>
      <c r="AZ84" s="528"/>
      <c r="BA84" s="528"/>
      <c r="BC84" s="528"/>
      <c r="BD84" s="530"/>
      <c r="BE84" s="136"/>
      <c r="BF84" s="136"/>
      <c r="BG84" s="136"/>
      <c r="BH84" s="136"/>
      <c r="BI84" s="136"/>
      <c r="BJ84" s="136"/>
      <c r="BK84" s="136"/>
      <c r="BL84" s="136"/>
      <c r="BM84" s="136"/>
      <c r="BN84" s="136"/>
      <c r="BR84" s="470"/>
      <c r="BS84" s="470"/>
      <c r="BT84" s="470"/>
      <c r="BU84" s="470"/>
      <c r="CD84" s="519"/>
      <c r="CE84" s="519"/>
      <c r="CF84" s="519"/>
      <c r="CG84" s="519"/>
    </row>
    <row r="85" spans="46:85" x14ac:dyDescent="0.25">
      <c r="AT85" s="136"/>
      <c r="AU85" s="136"/>
      <c r="AV85" s="136"/>
      <c r="AW85" s="528"/>
      <c r="AX85" s="528"/>
      <c r="AY85" s="528"/>
      <c r="AZ85" s="528"/>
      <c r="BA85" s="528"/>
      <c r="BC85" s="528"/>
      <c r="BD85" s="530"/>
      <c r="BE85" s="136"/>
      <c r="BF85" s="136"/>
      <c r="BG85" s="136"/>
      <c r="BH85" s="136"/>
      <c r="BI85" s="136"/>
      <c r="BJ85" s="136"/>
      <c r="BK85" s="136"/>
      <c r="BL85" s="136"/>
      <c r="BM85" s="136"/>
      <c r="BN85" s="136"/>
      <c r="BR85" s="470"/>
      <c r="BS85" s="470"/>
      <c r="BT85" s="470"/>
      <c r="BU85" s="470"/>
      <c r="CD85" s="519"/>
      <c r="CE85" s="519"/>
      <c r="CF85" s="519"/>
      <c r="CG85" s="519"/>
    </row>
    <row r="86" spans="46:85" x14ac:dyDescent="0.25">
      <c r="AT86" s="136"/>
      <c r="AU86" s="136"/>
      <c r="AV86" s="136"/>
      <c r="AW86" s="528"/>
      <c r="AX86" s="528"/>
      <c r="AY86" s="528"/>
      <c r="AZ86" s="528"/>
      <c r="BA86" s="528"/>
      <c r="BC86" s="528"/>
      <c r="BD86" s="530"/>
      <c r="BE86" s="136"/>
      <c r="BF86" s="136"/>
      <c r="BG86" s="136"/>
      <c r="BH86" s="136"/>
      <c r="BI86" s="136"/>
      <c r="BJ86" s="136"/>
      <c r="BK86" s="136"/>
      <c r="BL86" s="136"/>
      <c r="BM86" s="136"/>
      <c r="BN86" s="136"/>
      <c r="BR86" s="470"/>
      <c r="BS86" s="470"/>
      <c r="BT86" s="470"/>
      <c r="BU86" s="470"/>
      <c r="CD86" s="519"/>
      <c r="CE86" s="519"/>
      <c r="CF86" s="519"/>
      <c r="CG86" s="519"/>
    </row>
    <row r="87" spans="46:85" x14ac:dyDescent="0.25">
      <c r="AT87" s="136"/>
      <c r="AU87" s="136"/>
      <c r="AV87" s="136"/>
      <c r="AW87" s="528"/>
      <c r="AX87" s="528"/>
      <c r="AY87" s="528"/>
      <c r="AZ87" s="528"/>
      <c r="BA87" s="528"/>
      <c r="BC87" s="528"/>
      <c r="BD87" s="530"/>
      <c r="BE87" s="136"/>
      <c r="BF87" s="136"/>
      <c r="BG87" s="136"/>
      <c r="BH87" s="136"/>
      <c r="BI87" s="136"/>
      <c r="BJ87" s="136"/>
      <c r="BK87" s="136"/>
      <c r="BL87" s="136"/>
      <c r="BM87" s="136"/>
      <c r="BN87" s="136"/>
      <c r="BR87" s="470"/>
      <c r="BS87" s="470"/>
      <c r="BT87" s="470"/>
      <c r="BU87" s="470"/>
      <c r="CD87" s="519"/>
      <c r="CE87" s="519"/>
      <c r="CF87" s="519"/>
      <c r="CG87" s="519"/>
    </row>
    <row r="88" spans="46:85" x14ac:dyDescent="0.25">
      <c r="AT88" s="136"/>
      <c r="AU88" s="136"/>
      <c r="AV88" s="136"/>
      <c r="AW88" s="528"/>
      <c r="AX88" s="528"/>
      <c r="AY88" s="528"/>
      <c r="AZ88" s="528"/>
      <c r="BA88" s="528"/>
      <c r="BC88" s="528"/>
      <c r="BD88" s="530"/>
      <c r="BE88" s="136"/>
      <c r="BF88" s="136"/>
      <c r="BG88" s="136"/>
      <c r="BH88" s="136"/>
      <c r="BI88" s="136"/>
      <c r="BJ88" s="136"/>
      <c r="BK88" s="136"/>
      <c r="BL88" s="136"/>
      <c r="BM88" s="136"/>
      <c r="BN88" s="136"/>
      <c r="BR88" s="470"/>
      <c r="BS88" s="470"/>
      <c r="BT88" s="470"/>
      <c r="BU88" s="470"/>
      <c r="CD88" s="519"/>
      <c r="CE88" s="519"/>
      <c r="CF88" s="519"/>
      <c r="CG88" s="519"/>
    </row>
    <row r="89" spans="46:85" x14ac:dyDescent="0.25">
      <c r="AT89" s="136"/>
      <c r="AU89" s="136"/>
      <c r="AV89" s="136"/>
      <c r="AW89" s="528"/>
      <c r="AX89" s="528"/>
      <c r="AY89" s="528"/>
      <c r="AZ89" s="528"/>
      <c r="BA89" s="528"/>
      <c r="BC89" s="528"/>
      <c r="BD89" s="530"/>
      <c r="BE89" s="136"/>
      <c r="BF89" s="136"/>
      <c r="BG89" s="136"/>
      <c r="BH89" s="136"/>
      <c r="BI89" s="136"/>
      <c r="BJ89" s="136"/>
      <c r="BK89" s="136"/>
      <c r="BL89" s="136"/>
      <c r="BM89" s="136"/>
      <c r="BN89" s="136"/>
      <c r="BR89" s="470"/>
      <c r="BS89" s="470"/>
      <c r="BT89" s="470"/>
      <c r="BU89" s="470"/>
      <c r="CD89" s="519"/>
      <c r="CE89" s="519"/>
      <c r="CF89" s="519"/>
      <c r="CG89" s="519"/>
    </row>
    <row r="90" spans="46:85" x14ac:dyDescent="0.25">
      <c r="AT90" s="136"/>
      <c r="AU90" s="136"/>
      <c r="AV90" s="136"/>
      <c r="AW90" s="528"/>
      <c r="AX90" s="528"/>
      <c r="AY90" s="528"/>
      <c r="AZ90" s="528"/>
      <c r="BA90" s="528"/>
      <c r="BC90" s="528"/>
      <c r="BD90" s="530"/>
      <c r="BE90" s="136"/>
      <c r="BF90" s="136"/>
      <c r="BG90" s="136"/>
      <c r="BH90" s="136"/>
      <c r="BI90" s="136"/>
      <c r="BJ90" s="136"/>
      <c r="BK90" s="136"/>
      <c r="BL90" s="136"/>
      <c r="BM90" s="136"/>
      <c r="BN90" s="136"/>
      <c r="BR90" s="470"/>
      <c r="BS90" s="470"/>
      <c r="BT90" s="470"/>
      <c r="BU90" s="470"/>
      <c r="CD90" s="519"/>
      <c r="CE90" s="519"/>
      <c r="CF90" s="519"/>
      <c r="CG90" s="519"/>
    </row>
    <row r="91" spans="46:85" x14ac:dyDescent="0.25">
      <c r="AT91" s="136"/>
      <c r="AU91" s="136"/>
      <c r="AV91" s="136"/>
      <c r="AW91" s="528"/>
      <c r="AX91" s="528"/>
      <c r="AY91" s="528"/>
      <c r="AZ91" s="528"/>
      <c r="BA91" s="528"/>
      <c r="BC91" s="528"/>
      <c r="BD91" s="530"/>
      <c r="BE91" s="136"/>
      <c r="BF91" s="136"/>
      <c r="BG91" s="136"/>
      <c r="BH91" s="136"/>
      <c r="BI91" s="136"/>
      <c r="BJ91" s="136"/>
      <c r="BK91" s="136"/>
      <c r="BL91" s="136"/>
      <c r="BM91" s="136"/>
      <c r="BN91" s="136"/>
      <c r="BR91" s="470"/>
      <c r="BS91" s="470"/>
      <c r="BT91" s="470"/>
      <c r="BU91" s="470"/>
      <c r="CD91" s="519"/>
      <c r="CE91" s="519"/>
      <c r="CF91" s="519"/>
      <c r="CG91" s="519"/>
    </row>
    <row r="92" spans="46:85" x14ac:dyDescent="0.25">
      <c r="AT92" s="136"/>
      <c r="AU92" s="136"/>
      <c r="AV92" s="136"/>
      <c r="AW92" s="528"/>
      <c r="AX92" s="528"/>
      <c r="AY92" s="528"/>
      <c r="AZ92" s="528"/>
      <c r="BA92" s="528"/>
      <c r="BC92" s="528"/>
      <c r="BD92" s="530"/>
      <c r="BE92" s="136"/>
      <c r="BF92" s="136"/>
      <c r="BG92" s="136"/>
      <c r="BH92" s="136"/>
      <c r="BI92" s="136"/>
      <c r="BJ92" s="136"/>
      <c r="BK92" s="136"/>
      <c r="BL92" s="136"/>
      <c r="BM92" s="136"/>
      <c r="BN92" s="136"/>
      <c r="BR92" s="470"/>
      <c r="BS92" s="470"/>
      <c r="BT92" s="470"/>
      <c r="BU92" s="470"/>
      <c r="CD92" s="519"/>
      <c r="CE92" s="519"/>
      <c r="CF92" s="519"/>
      <c r="CG92" s="519"/>
    </row>
    <row r="93" spans="46:85" x14ac:dyDescent="0.25">
      <c r="AT93" s="136"/>
      <c r="AU93" s="136"/>
      <c r="AV93" s="136"/>
      <c r="AW93" s="528"/>
      <c r="AX93" s="528"/>
      <c r="AY93" s="528"/>
      <c r="AZ93" s="528"/>
      <c r="BA93" s="528"/>
      <c r="BC93" s="528"/>
      <c r="BD93" s="530"/>
      <c r="BE93" s="136"/>
      <c r="BF93" s="136"/>
      <c r="BG93" s="136"/>
      <c r="BH93" s="136"/>
      <c r="BI93" s="136"/>
      <c r="BJ93" s="136"/>
      <c r="BK93" s="136"/>
      <c r="BL93" s="136"/>
      <c r="BM93" s="136"/>
      <c r="BN93" s="136"/>
      <c r="BR93" s="470"/>
      <c r="BS93" s="470"/>
      <c r="BT93" s="470"/>
      <c r="BU93" s="470"/>
      <c r="CD93" s="519"/>
      <c r="CE93" s="519"/>
      <c r="CF93" s="519"/>
      <c r="CG93" s="519"/>
    </row>
    <row r="94" spans="46:85" x14ac:dyDescent="0.25">
      <c r="AT94" s="136"/>
      <c r="AU94" s="136"/>
      <c r="AV94" s="136"/>
      <c r="AW94" s="528"/>
      <c r="AX94" s="528"/>
      <c r="AY94" s="528"/>
      <c r="AZ94" s="528"/>
      <c r="BA94" s="528"/>
      <c r="BC94" s="528"/>
      <c r="BD94" s="530"/>
      <c r="BE94" s="136"/>
      <c r="BF94" s="136"/>
      <c r="BG94" s="136"/>
      <c r="BH94" s="136"/>
      <c r="BI94" s="136"/>
      <c r="BJ94" s="136"/>
      <c r="BK94" s="136"/>
      <c r="BL94" s="136"/>
      <c r="BM94" s="136"/>
      <c r="BN94" s="136"/>
      <c r="BR94" s="470"/>
      <c r="BS94" s="470"/>
      <c r="BT94" s="470"/>
      <c r="BU94" s="470"/>
      <c r="CD94" s="519"/>
      <c r="CE94" s="519"/>
      <c r="CF94" s="519"/>
      <c r="CG94" s="519"/>
    </row>
    <row r="95" spans="46:85" x14ac:dyDescent="0.25">
      <c r="AT95" s="136"/>
      <c r="AU95" s="136"/>
      <c r="AV95" s="136"/>
      <c r="AW95" s="528"/>
      <c r="AX95" s="528"/>
      <c r="AY95" s="528"/>
      <c r="AZ95" s="528"/>
      <c r="BA95" s="528"/>
      <c r="BC95" s="528"/>
      <c r="BD95" s="530"/>
      <c r="BE95" s="136"/>
      <c r="BF95" s="136"/>
      <c r="BG95" s="136"/>
      <c r="BH95" s="136"/>
      <c r="BI95" s="136"/>
      <c r="BJ95" s="136"/>
      <c r="BK95" s="136"/>
      <c r="BL95" s="136"/>
      <c r="BM95" s="136"/>
      <c r="BN95" s="136"/>
      <c r="BR95" s="470"/>
      <c r="BS95" s="470"/>
      <c r="BT95" s="470"/>
      <c r="BU95" s="470"/>
      <c r="CD95" s="519"/>
      <c r="CE95" s="519"/>
      <c r="CF95" s="519"/>
      <c r="CG95" s="519"/>
    </row>
    <row r="96" spans="46:85" x14ac:dyDescent="0.25">
      <c r="AT96" s="136"/>
      <c r="AU96" s="136"/>
      <c r="AV96" s="136"/>
      <c r="AW96" s="528"/>
      <c r="AX96" s="528"/>
      <c r="AY96" s="528"/>
      <c r="AZ96" s="528"/>
      <c r="BA96" s="528"/>
      <c r="BC96" s="528"/>
      <c r="BD96" s="530"/>
      <c r="BE96" s="136"/>
      <c r="BF96" s="136"/>
      <c r="BG96" s="136"/>
      <c r="BH96" s="136"/>
      <c r="BI96" s="136"/>
      <c r="BJ96" s="136"/>
      <c r="BK96" s="136"/>
      <c r="BL96" s="136"/>
      <c r="BM96" s="136"/>
      <c r="BN96" s="136"/>
      <c r="BR96" s="470"/>
      <c r="BS96" s="470"/>
      <c r="BT96" s="470"/>
      <c r="BU96" s="470"/>
      <c r="CD96" s="519"/>
      <c r="CE96" s="519"/>
      <c r="CF96" s="519"/>
      <c r="CG96" s="519"/>
    </row>
    <row r="97" spans="31:85" x14ac:dyDescent="0.25">
      <c r="AT97" s="136"/>
      <c r="AU97" s="136"/>
      <c r="AV97" s="136"/>
      <c r="AW97" s="528"/>
      <c r="AX97" s="528"/>
      <c r="AY97" s="528"/>
      <c r="AZ97" s="528"/>
      <c r="BA97" s="528"/>
      <c r="BC97" s="528"/>
      <c r="BD97" s="530"/>
      <c r="BE97" s="136"/>
      <c r="BF97" s="136"/>
      <c r="BG97" s="136"/>
      <c r="BH97" s="136"/>
      <c r="BI97" s="136"/>
      <c r="BJ97" s="136"/>
      <c r="BK97" s="136"/>
      <c r="BL97" s="136"/>
      <c r="BM97" s="136"/>
      <c r="BN97" s="136"/>
      <c r="BR97" s="470"/>
      <c r="BS97" s="470"/>
      <c r="BT97" s="470"/>
      <c r="BU97" s="470"/>
      <c r="CD97" s="519"/>
      <c r="CE97" s="519"/>
      <c r="CF97" s="519"/>
      <c r="CG97" s="519"/>
    </row>
    <row r="98" spans="31:85" x14ac:dyDescent="0.25">
      <c r="AT98" s="136"/>
      <c r="AU98" s="136"/>
      <c r="AV98" s="136"/>
      <c r="AW98" s="528"/>
      <c r="AX98" s="528"/>
      <c r="AY98" s="528"/>
      <c r="AZ98" s="528"/>
      <c r="BA98" s="528"/>
      <c r="BC98" s="528"/>
      <c r="BD98" s="530"/>
      <c r="BE98" s="136"/>
      <c r="BF98" s="136"/>
      <c r="BG98" s="136"/>
      <c r="BH98" s="136"/>
      <c r="BI98" s="136"/>
      <c r="BJ98" s="136"/>
      <c r="BK98" s="136"/>
      <c r="BL98" s="136"/>
      <c r="BM98" s="136"/>
      <c r="BN98" s="136"/>
      <c r="BR98" s="470"/>
      <c r="BS98" s="470"/>
      <c r="BT98" s="470"/>
      <c r="BU98" s="470"/>
      <c r="CD98" s="519"/>
      <c r="CE98" s="519"/>
      <c r="CF98" s="519"/>
      <c r="CG98" s="519"/>
    </row>
    <row r="99" spans="31:85" x14ac:dyDescent="0.25">
      <c r="AT99" s="136"/>
      <c r="AU99" s="136"/>
      <c r="AV99" s="136"/>
      <c r="AW99" s="528"/>
      <c r="AX99" s="528"/>
      <c r="AY99" s="528"/>
      <c r="AZ99" s="528"/>
      <c r="BA99" s="528"/>
      <c r="BC99" s="528"/>
      <c r="BD99" s="530"/>
      <c r="BE99" s="136"/>
      <c r="BF99" s="136"/>
      <c r="BG99" s="136"/>
      <c r="BH99" s="136"/>
      <c r="BI99" s="136"/>
      <c r="BJ99" s="136"/>
      <c r="BK99" s="136"/>
      <c r="BL99" s="136"/>
      <c r="BM99" s="136"/>
      <c r="BN99" s="136"/>
      <c r="BR99" s="470"/>
      <c r="BS99" s="470"/>
      <c r="BT99" s="470"/>
      <c r="BU99" s="470"/>
      <c r="CD99" s="519"/>
      <c r="CE99" s="519"/>
      <c r="CF99" s="519"/>
      <c r="CG99" s="519"/>
    </row>
    <row r="100" spans="31:85" x14ac:dyDescent="0.25">
      <c r="AT100" s="136"/>
      <c r="AU100" s="136"/>
      <c r="AV100" s="136"/>
      <c r="AW100" s="528"/>
      <c r="AX100" s="528"/>
      <c r="AY100" s="528"/>
      <c r="AZ100" s="528"/>
      <c r="BA100" s="528"/>
      <c r="BC100" s="528"/>
      <c r="BD100" s="530"/>
      <c r="BE100" s="136"/>
      <c r="BF100" s="136"/>
      <c r="BG100" s="136"/>
      <c r="BH100" s="136"/>
      <c r="BI100" s="136"/>
      <c r="BJ100" s="136"/>
      <c r="BK100" s="136"/>
      <c r="BL100" s="136"/>
      <c r="BM100" s="136"/>
      <c r="BN100" s="136"/>
      <c r="BR100" s="470"/>
      <c r="BS100" s="470"/>
      <c r="BT100" s="470"/>
      <c r="BU100" s="470"/>
      <c r="CD100" s="519"/>
      <c r="CE100" s="519"/>
      <c r="CF100" s="519"/>
      <c r="CG100" s="519"/>
    </row>
    <row r="101" spans="31:85" x14ac:dyDescent="0.25">
      <c r="AE101" s="136"/>
      <c r="AF101" s="136"/>
      <c r="AT101" s="136"/>
      <c r="AU101" s="136"/>
      <c r="AV101" s="136"/>
      <c r="AW101" s="528"/>
      <c r="AX101" s="528"/>
      <c r="AY101" s="528"/>
      <c r="AZ101" s="528"/>
      <c r="BA101" s="528"/>
      <c r="BC101" s="528"/>
      <c r="BD101" s="530"/>
      <c r="BE101" s="136"/>
      <c r="BF101" s="136"/>
      <c r="BG101" s="136"/>
      <c r="BH101" s="136"/>
      <c r="BI101" s="136"/>
      <c r="BJ101" s="136"/>
      <c r="BK101" s="136"/>
      <c r="BL101" s="136"/>
      <c r="BM101" s="136"/>
      <c r="BN101" s="136"/>
      <c r="BR101" s="470"/>
      <c r="BS101" s="470"/>
      <c r="BT101" s="470"/>
      <c r="BU101" s="470"/>
      <c r="CD101" s="519"/>
      <c r="CE101" s="519"/>
      <c r="CF101" s="519"/>
      <c r="CG101" s="519"/>
    </row>
    <row r="102" spans="31:85" x14ac:dyDescent="0.25">
      <c r="AE102" s="136"/>
      <c r="AF102" s="136"/>
      <c r="AT102" s="136"/>
      <c r="AU102" s="136"/>
      <c r="AV102" s="136"/>
      <c r="AW102" s="528"/>
      <c r="AX102" s="528"/>
      <c r="AY102" s="528"/>
      <c r="AZ102" s="528"/>
      <c r="BA102" s="528"/>
      <c r="BC102" s="528"/>
      <c r="BD102" s="530"/>
      <c r="BE102" s="136"/>
      <c r="BF102" s="136"/>
      <c r="BG102" s="136"/>
      <c r="BH102" s="136"/>
      <c r="BI102" s="136"/>
      <c r="BJ102" s="136"/>
      <c r="BK102" s="136"/>
      <c r="BL102" s="136"/>
      <c r="BM102" s="136"/>
      <c r="BN102" s="136"/>
      <c r="BR102" s="470"/>
      <c r="BS102" s="470"/>
      <c r="BT102" s="470"/>
      <c r="BU102" s="470"/>
      <c r="CD102" s="519"/>
      <c r="CE102" s="519"/>
      <c r="CF102" s="519"/>
      <c r="CG102" s="519"/>
    </row>
    <row r="103" spans="31:85" x14ac:dyDescent="0.25">
      <c r="AT103" s="136"/>
      <c r="AU103" s="136"/>
      <c r="AV103" s="136"/>
      <c r="AW103" s="528"/>
      <c r="AX103" s="528"/>
      <c r="AY103" s="528"/>
      <c r="AZ103" s="528"/>
      <c r="BA103" s="528"/>
      <c r="BC103" s="528"/>
      <c r="BD103" s="530"/>
      <c r="BE103" s="136"/>
      <c r="BF103" s="136"/>
      <c r="BG103" s="136"/>
      <c r="BH103" s="136"/>
      <c r="BI103" s="136"/>
      <c r="BJ103" s="136"/>
      <c r="BK103" s="136"/>
      <c r="BL103" s="136"/>
      <c r="BM103" s="136"/>
      <c r="BN103" s="136"/>
      <c r="BR103" s="470"/>
      <c r="BS103" s="470"/>
      <c r="BT103" s="470"/>
      <c r="BU103" s="470"/>
      <c r="CD103" s="519"/>
      <c r="CE103" s="519"/>
      <c r="CF103" s="519"/>
      <c r="CG103" s="519"/>
    </row>
    <row r="104" spans="31:85" x14ac:dyDescent="0.25">
      <c r="AT104" s="136"/>
      <c r="AU104" s="136"/>
      <c r="AV104" s="136"/>
      <c r="AW104" s="528"/>
      <c r="AX104" s="528"/>
      <c r="AY104" s="528"/>
      <c r="AZ104" s="528"/>
      <c r="BA104" s="528"/>
      <c r="BC104" s="528"/>
      <c r="BD104" s="530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R104" s="470"/>
      <c r="BS104" s="470"/>
      <c r="BT104" s="470"/>
      <c r="BU104" s="470"/>
      <c r="CD104" s="519"/>
      <c r="CE104" s="519"/>
      <c r="CF104" s="519"/>
      <c r="CG104" s="519"/>
    </row>
    <row r="105" spans="31:85" x14ac:dyDescent="0.25">
      <c r="AT105" s="136"/>
      <c r="AU105" s="136"/>
      <c r="AV105" s="136"/>
      <c r="AW105" s="528"/>
      <c r="AX105" s="528"/>
      <c r="AY105" s="528"/>
      <c r="AZ105" s="528"/>
      <c r="BA105" s="528"/>
      <c r="BC105" s="528"/>
      <c r="BD105" s="530"/>
      <c r="BE105" s="136"/>
      <c r="BF105" s="136"/>
      <c r="BG105" s="136"/>
      <c r="BH105" s="136"/>
      <c r="BI105" s="136"/>
      <c r="BJ105" s="136"/>
      <c r="BK105" s="136"/>
      <c r="BL105" s="136"/>
      <c r="BM105" s="136"/>
      <c r="BN105" s="136"/>
      <c r="BR105" s="470"/>
      <c r="BS105" s="470"/>
      <c r="BT105" s="470"/>
      <c r="BU105" s="470"/>
      <c r="CD105" s="519"/>
      <c r="CE105" s="519"/>
      <c r="CF105" s="519"/>
      <c r="CG105" s="519"/>
    </row>
    <row r="106" spans="31:85" x14ac:dyDescent="0.25">
      <c r="AT106" s="136"/>
      <c r="AU106" s="136"/>
      <c r="AV106" s="136"/>
      <c r="AW106" s="528"/>
      <c r="AX106" s="528"/>
      <c r="AY106" s="528"/>
      <c r="AZ106" s="528"/>
      <c r="BA106" s="528"/>
      <c r="BC106" s="528"/>
      <c r="BD106" s="530"/>
      <c r="BE106" s="136"/>
      <c r="BF106" s="136"/>
      <c r="BG106" s="136"/>
      <c r="BH106" s="136"/>
      <c r="BI106" s="136"/>
      <c r="BJ106" s="136"/>
      <c r="BK106" s="136"/>
      <c r="BL106" s="136"/>
      <c r="BM106" s="136"/>
      <c r="BN106" s="136"/>
      <c r="BR106" s="470"/>
      <c r="BS106" s="470"/>
      <c r="BT106" s="470"/>
      <c r="BU106" s="470"/>
      <c r="CD106" s="519"/>
      <c r="CE106" s="519"/>
      <c r="CF106" s="519"/>
      <c r="CG106" s="519"/>
    </row>
    <row r="107" spans="31:85" x14ac:dyDescent="0.25">
      <c r="AT107" s="136"/>
      <c r="AU107" s="136"/>
      <c r="AV107" s="136"/>
      <c r="AW107" s="528"/>
      <c r="AX107" s="528"/>
      <c r="AY107" s="528"/>
      <c r="AZ107" s="528"/>
      <c r="BA107" s="528"/>
      <c r="BC107" s="528"/>
      <c r="BD107" s="530"/>
      <c r="BE107" s="136"/>
      <c r="BF107" s="136"/>
      <c r="BG107" s="136"/>
      <c r="BH107" s="136"/>
      <c r="BI107" s="136"/>
      <c r="BJ107" s="136"/>
      <c r="BK107" s="136"/>
      <c r="BL107" s="136"/>
      <c r="BM107" s="136"/>
      <c r="BN107" s="136"/>
      <c r="BR107" s="470"/>
      <c r="BS107" s="470"/>
      <c r="BT107" s="470"/>
      <c r="BU107" s="470"/>
      <c r="CD107" s="519"/>
      <c r="CE107" s="519"/>
      <c r="CF107" s="519"/>
      <c r="CG107" s="519"/>
    </row>
    <row r="108" spans="31:85" x14ac:dyDescent="0.25">
      <c r="AG108" s="136"/>
      <c r="AH108" s="136"/>
      <c r="AI108" s="136"/>
      <c r="AJ108" s="136"/>
      <c r="AK108" s="136"/>
      <c r="AL108" s="136"/>
      <c r="AM108" s="136"/>
      <c r="AO108" s="136"/>
      <c r="AP108" s="136"/>
      <c r="AQ108" s="136"/>
      <c r="AR108" s="136"/>
      <c r="AS108" s="136"/>
      <c r="AT108" s="136"/>
      <c r="AU108" s="136"/>
      <c r="AV108" s="136"/>
      <c r="AW108" s="528"/>
      <c r="AX108" s="528"/>
      <c r="AY108" s="528"/>
      <c r="AZ108" s="528"/>
      <c r="BA108" s="528"/>
      <c r="BC108" s="528"/>
      <c r="BD108" s="530"/>
      <c r="BE108" s="136"/>
      <c r="BF108" s="136"/>
      <c r="BG108" s="136"/>
      <c r="BH108" s="136"/>
      <c r="BI108" s="136"/>
      <c r="BJ108" s="136"/>
      <c r="BK108" s="136"/>
      <c r="BL108" s="136"/>
      <c r="BM108" s="136"/>
      <c r="BN108" s="136"/>
      <c r="BR108" s="470"/>
      <c r="BS108" s="470"/>
      <c r="BT108" s="470"/>
      <c r="BU108" s="470"/>
      <c r="CD108" s="519"/>
      <c r="CE108" s="519"/>
      <c r="CF108" s="519"/>
      <c r="CG108" s="519"/>
    </row>
    <row r="109" spans="31:85" x14ac:dyDescent="0.25">
      <c r="AG109" s="136"/>
      <c r="AH109" s="136"/>
      <c r="AI109" s="136"/>
      <c r="AJ109" s="136"/>
      <c r="AK109" s="136"/>
      <c r="AL109" s="136"/>
      <c r="AM109" s="136"/>
      <c r="AO109" s="136"/>
      <c r="AP109" s="136"/>
      <c r="AQ109" s="136"/>
      <c r="AR109" s="136"/>
      <c r="AS109" s="136"/>
      <c r="AT109" s="136"/>
      <c r="AU109" s="136"/>
      <c r="AV109" s="136"/>
      <c r="AW109" s="528"/>
      <c r="AX109" s="528"/>
      <c r="AY109" s="528"/>
      <c r="AZ109" s="528"/>
      <c r="BA109" s="528"/>
      <c r="BC109" s="528"/>
      <c r="BD109" s="530"/>
      <c r="BE109" s="136"/>
      <c r="BF109" s="136"/>
      <c r="BG109" s="136"/>
      <c r="BH109" s="136"/>
      <c r="BI109" s="136"/>
      <c r="BJ109" s="136"/>
      <c r="BK109" s="136"/>
      <c r="BL109" s="136"/>
      <c r="BM109" s="136"/>
      <c r="BN109" s="136"/>
      <c r="BR109" s="470"/>
      <c r="BS109" s="470"/>
      <c r="BT109" s="470"/>
      <c r="BU109" s="470"/>
      <c r="CD109" s="519"/>
      <c r="CE109" s="519"/>
      <c r="CF109" s="519"/>
      <c r="CG109" s="519"/>
    </row>
    <row r="110" spans="31:85" x14ac:dyDescent="0.25">
      <c r="AL110" s="136"/>
      <c r="AM110" s="136"/>
      <c r="AO110" s="136"/>
      <c r="AP110" s="136"/>
      <c r="AQ110" s="136"/>
      <c r="AR110" s="136"/>
      <c r="AS110" s="136"/>
      <c r="AT110" s="136"/>
      <c r="AU110" s="136"/>
      <c r="AV110" s="136"/>
      <c r="AW110" s="528"/>
      <c r="AX110" s="528"/>
      <c r="AY110" s="528"/>
      <c r="AZ110" s="528"/>
      <c r="BA110" s="528"/>
      <c r="BC110" s="528"/>
      <c r="BD110" s="530"/>
      <c r="BE110" s="136"/>
      <c r="BF110" s="136"/>
      <c r="BG110" s="136"/>
      <c r="BH110" s="136"/>
      <c r="BI110" s="136"/>
      <c r="BJ110" s="136"/>
      <c r="BK110" s="136"/>
      <c r="BL110" s="136"/>
      <c r="BM110" s="136"/>
      <c r="BN110" s="136"/>
      <c r="CD110" s="519"/>
      <c r="CE110" s="519"/>
      <c r="CF110" s="519"/>
      <c r="CG110" s="519"/>
    </row>
    <row r="111" spans="31:85" x14ac:dyDescent="0.25">
      <c r="AS111" s="136"/>
      <c r="AT111" s="136"/>
      <c r="AU111" s="136"/>
      <c r="AV111" s="136"/>
      <c r="AW111" s="528"/>
      <c r="AX111" s="528"/>
      <c r="AY111" s="528"/>
      <c r="AZ111" s="528"/>
      <c r="BA111" s="528"/>
      <c r="BC111" s="528"/>
      <c r="BD111" s="530"/>
      <c r="BE111" s="136"/>
      <c r="BF111" s="136"/>
      <c r="BG111" s="136"/>
      <c r="BH111" s="136"/>
      <c r="BI111" s="136"/>
      <c r="BJ111" s="136"/>
      <c r="BK111" s="136"/>
      <c r="BL111" s="136"/>
      <c r="BM111" s="136"/>
      <c r="BN111" s="136"/>
      <c r="CD111" s="519"/>
      <c r="CE111" s="519"/>
      <c r="CF111" s="519"/>
      <c r="CG111" s="519"/>
    </row>
    <row r="112" spans="31:85" x14ac:dyDescent="0.25">
      <c r="AS112" s="136"/>
      <c r="AT112" s="136"/>
      <c r="AU112" s="136"/>
      <c r="AV112" s="136"/>
      <c r="AW112" s="528"/>
      <c r="AX112" s="528"/>
      <c r="AY112" s="528"/>
      <c r="AZ112" s="528"/>
      <c r="BA112" s="528"/>
      <c r="BC112" s="528"/>
      <c r="BD112" s="530"/>
      <c r="BE112" s="136"/>
      <c r="BF112" s="136"/>
      <c r="BG112" s="136"/>
      <c r="BH112" s="136"/>
      <c r="BI112" s="136"/>
      <c r="BJ112" s="136"/>
      <c r="BK112" s="136"/>
      <c r="BL112" s="136"/>
      <c r="BM112" s="136"/>
      <c r="BN112" s="136"/>
      <c r="CD112" s="519"/>
      <c r="CE112" s="519"/>
      <c r="CF112" s="519"/>
      <c r="CG112" s="519"/>
    </row>
  </sheetData>
  <sortState xmlns:xlrd2="http://schemas.microsoft.com/office/spreadsheetml/2017/richdata2" ref="D29:E40">
    <sortCondition ref="D29"/>
  </sortState>
  <mergeCells count="71">
    <mergeCell ref="A1:AG1"/>
    <mergeCell ref="F61:F68"/>
    <mergeCell ref="I53:I61"/>
    <mergeCell ref="L54:L60"/>
    <mergeCell ref="L2:L8"/>
    <mergeCell ref="L9:L15"/>
    <mergeCell ref="L16:L22"/>
    <mergeCell ref="L23:L29"/>
    <mergeCell ref="O2:O11"/>
    <mergeCell ref="F55:F60"/>
    <mergeCell ref="C53:C61"/>
    <mergeCell ref="L38:L45"/>
    <mergeCell ref="L46:L53"/>
    <mergeCell ref="F49:F54"/>
    <mergeCell ref="O44:O52"/>
    <mergeCell ref="O33:O43"/>
    <mergeCell ref="L30:L37"/>
    <mergeCell ref="AA22:AA28"/>
    <mergeCell ref="X50:X58"/>
    <mergeCell ref="I36:I43"/>
    <mergeCell ref="I44:I52"/>
    <mergeCell ref="O12:O21"/>
    <mergeCell ref="O22:O32"/>
    <mergeCell ref="AD29:AD34"/>
    <mergeCell ref="AD35:AD37"/>
    <mergeCell ref="AA2:AA11"/>
    <mergeCell ref="U2:U9"/>
    <mergeCell ref="U10:U17"/>
    <mergeCell ref="AA12:AA21"/>
    <mergeCell ref="AD21:AD28"/>
    <mergeCell ref="AD12:AD20"/>
    <mergeCell ref="AD2:AD11"/>
    <mergeCell ref="U18:U26"/>
    <mergeCell ref="X34:X49"/>
    <mergeCell ref="AA38:AA41"/>
    <mergeCell ref="AA42:AA50"/>
    <mergeCell ref="AA29:AA37"/>
    <mergeCell ref="U36:U45"/>
    <mergeCell ref="U46:U55"/>
    <mergeCell ref="AD38:AD47"/>
    <mergeCell ref="AG2:AG15"/>
    <mergeCell ref="AG16:AG29"/>
    <mergeCell ref="AG30:AG39"/>
    <mergeCell ref="AA51:AA59"/>
    <mergeCell ref="AG40:AG46"/>
    <mergeCell ref="R2:R7"/>
    <mergeCell ref="O53:O61"/>
    <mergeCell ref="R56:R62"/>
    <mergeCell ref="X2:X17"/>
    <mergeCell ref="X18:X33"/>
    <mergeCell ref="R8:R15"/>
    <mergeCell ref="U27:U35"/>
    <mergeCell ref="R16:R23"/>
    <mergeCell ref="R33:R41"/>
    <mergeCell ref="AD48:AD61"/>
    <mergeCell ref="R42:R55"/>
    <mergeCell ref="R24:R32"/>
    <mergeCell ref="X59:X67"/>
    <mergeCell ref="U56:U61"/>
    <mergeCell ref="AA60:AA65"/>
    <mergeCell ref="C2:C21"/>
    <mergeCell ref="C22:C41"/>
    <mergeCell ref="I2:I18"/>
    <mergeCell ref="I19:I35"/>
    <mergeCell ref="AG47:AG61"/>
    <mergeCell ref="F2:F9"/>
    <mergeCell ref="F10:F18"/>
    <mergeCell ref="F19:F28"/>
    <mergeCell ref="C42:C52"/>
    <mergeCell ref="F41:F48"/>
    <mergeCell ref="F29:F40"/>
  </mergeCells>
  <conditionalFormatting sqref="P56:P62 D61:D68 G36:G43 P2:P7">
    <cfRule type="duplicateValues" dxfId="67" priority="20"/>
  </conditionalFormatting>
  <conditionalFormatting sqref="D49:D54">
    <cfRule type="duplicateValues" dxfId="66" priority="19"/>
  </conditionalFormatting>
  <conditionalFormatting sqref="J54:J60">
    <cfRule type="duplicateValues" dxfId="65" priority="17"/>
  </conditionalFormatting>
  <conditionalFormatting sqref="AE40:AE46">
    <cfRule type="duplicateValues" dxfId="64" priority="16"/>
  </conditionalFormatting>
  <conditionalFormatting sqref="J2:J8">
    <cfRule type="duplicateValues" dxfId="63" priority="15"/>
  </conditionalFormatting>
  <conditionalFormatting sqref="J16:J22">
    <cfRule type="duplicateValues" dxfId="62" priority="13"/>
  </conditionalFormatting>
  <conditionalFormatting sqref="G44:G52">
    <cfRule type="duplicateValues" dxfId="61" priority="11"/>
  </conditionalFormatting>
  <conditionalFormatting sqref="J9:J15">
    <cfRule type="duplicateValues" dxfId="60" priority="10"/>
  </conditionalFormatting>
  <conditionalFormatting sqref="J23:J29">
    <cfRule type="duplicateValues" dxfId="59" priority="9"/>
  </conditionalFormatting>
  <conditionalFormatting sqref="D55:D60">
    <cfRule type="duplicateValues" dxfId="58" priority="8"/>
  </conditionalFormatting>
  <conditionalFormatting sqref="D2:D9">
    <cfRule type="duplicateValues" dxfId="57" priority="3"/>
  </conditionalFormatting>
  <conditionalFormatting sqref="D69:D73">
    <cfRule type="duplicateValues" dxfId="56" priority="761"/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FF02A-F6D7-4F79-B308-F84CD16F5CF5}">
  <sheetPr>
    <tabColor theme="6"/>
  </sheetPr>
  <dimension ref="A2:P80"/>
  <sheetViews>
    <sheetView workbookViewId="0">
      <selection activeCell="I13" sqref="I13:I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5703125" bestFit="1" customWidth="1"/>
    <col min="4" max="4" width="8.85546875" bestFit="1" customWidth="1"/>
    <col min="5" max="5" width="9.28515625" bestFit="1" customWidth="1"/>
    <col min="6" max="6" width="11.28515625" bestFit="1" customWidth="1"/>
    <col min="7" max="8" width="10.7109375" bestFit="1" customWidth="1"/>
    <col min="9" max="9" width="20" bestFit="1" customWidth="1"/>
    <col min="10" max="10" width="22.140625" bestFit="1" customWidth="1"/>
    <col min="11" max="11" width="15.140625" bestFit="1" customWidth="1"/>
    <col min="12" max="12" width="5.7109375" bestFit="1" customWidth="1"/>
    <col min="13" max="13" width="8.5703125" bestFit="1" customWidth="1"/>
    <col min="14" max="14" width="21.140625" bestFit="1" customWidth="1"/>
    <col min="15" max="15" width="13.5703125" bestFit="1" customWidth="1"/>
    <col min="16" max="16" width="18.7109375" bestFit="1" customWidth="1"/>
    <col min="17" max="18" width="4" bestFit="1" customWidth="1"/>
    <col min="19" max="19" width="3" bestFit="1" customWidth="1"/>
    <col min="20" max="20" width="7" bestFit="1" customWidth="1"/>
    <col min="21" max="21" width="10.7109375" bestFit="1" customWidth="1"/>
  </cols>
  <sheetData>
    <row r="2" spans="1:16" x14ac:dyDescent="0.25">
      <c r="I2" s="152" t="s">
        <v>465</v>
      </c>
      <c r="J2" t="s">
        <v>14063</v>
      </c>
    </row>
    <row r="3" spans="1:16" x14ac:dyDescent="0.25">
      <c r="I3" s="152" t="s">
        <v>14057</v>
      </c>
      <c r="J3" t="s">
        <v>14064</v>
      </c>
      <c r="N3" s="192" t="s">
        <v>465</v>
      </c>
      <c r="O3" s="145" t="s">
        <v>14064</v>
      </c>
    </row>
    <row r="5" spans="1:16" x14ac:dyDescent="0.25">
      <c r="A5" s="152" t="s">
        <v>15099</v>
      </c>
      <c r="B5" s="152" t="s">
        <v>15101</v>
      </c>
      <c r="I5" s="152" t="s">
        <v>14058</v>
      </c>
      <c r="J5" t="s">
        <v>15102</v>
      </c>
      <c r="K5" t="s">
        <v>14060</v>
      </c>
      <c r="N5" s="192" t="s">
        <v>14058</v>
      </c>
      <c r="O5" s="145" t="s">
        <v>15099</v>
      </c>
      <c r="P5" s="145" t="s">
        <v>15103</v>
      </c>
    </row>
    <row r="6" spans="1:16" x14ac:dyDescent="0.25">
      <c r="A6" s="152" t="s">
        <v>14058</v>
      </c>
      <c r="B6" t="s">
        <v>14078</v>
      </c>
      <c r="C6" t="s">
        <v>2</v>
      </c>
      <c r="D6" t="s">
        <v>11122</v>
      </c>
      <c r="E6" t="s">
        <v>15109</v>
      </c>
      <c r="F6" t="s">
        <v>14059</v>
      </c>
      <c r="I6" s="17" t="s">
        <v>14</v>
      </c>
      <c r="J6" s="163">
        <v>3306.6046511627906</v>
      </c>
      <c r="K6" s="163">
        <v>43</v>
      </c>
      <c r="N6" s="193" t="s">
        <v>14078</v>
      </c>
      <c r="O6" s="145">
        <v>9</v>
      </c>
      <c r="P6" s="145">
        <v>13.611111111111111</v>
      </c>
    </row>
    <row r="7" spans="1:16" x14ac:dyDescent="0.25">
      <c r="A7" s="17" t="s">
        <v>12671</v>
      </c>
      <c r="B7" s="163"/>
      <c r="C7" s="163">
        <v>21</v>
      </c>
      <c r="D7" s="163">
        <v>1</v>
      </c>
      <c r="E7" s="163">
        <v>4</v>
      </c>
      <c r="F7" s="163">
        <v>26</v>
      </c>
      <c r="I7" s="17" t="s">
        <v>647</v>
      </c>
      <c r="J7" s="163">
        <v>2489.7333333333331</v>
      </c>
      <c r="K7" s="163">
        <v>33</v>
      </c>
      <c r="N7" s="193">
        <v>5</v>
      </c>
      <c r="O7" s="145">
        <v>65</v>
      </c>
      <c r="P7" s="145">
        <v>16.926923076923078</v>
      </c>
    </row>
    <row r="8" spans="1:16" x14ac:dyDescent="0.25">
      <c r="A8" s="191">
        <v>3</v>
      </c>
      <c r="B8" s="153"/>
      <c r="C8" s="153">
        <v>12</v>
      </c>
      <c r="D8" s="153">
        <v>1</v>
      </c>
      <c r="E8" s="153">
        <v>4</v>
      </c>
      <c r="F8" s="153">
        <v>17</v>
      </c>
      <c r="I8" s="17" t="s">
        <v>1070</v>
      </c>
      <c r="J8" s="163">
        <v>3794.4285714285716</v>
      </c>
      <c r="K8" s="163">
        <v>21</v>
      </c>
      <c r="N8" s="194" t="s">
        <v>12682</v>
      </c>
      <c r="O8" s="145">
        <v>3</v>
      </c>
      <c r="P8" s="145">
        <v>34.25</v>
      </c>
    </row>
    <row r="9" spans="1:16" x14ac:dyDescent="0.25">
      <c r="A9" s="191">
        <v>4</v>
      </c>
      <c r="B9" s="153"/>
      <c r="C9" s="153">
        <v>9</v>
      </c>
      <c r="D9" s="153"/>
      <c r="E9" s="153"/>
      <c r="F9" s="153">
        <v>9</v>
      </c>
      <c r="I9" s="17" t="s">
        <v>1124</v>
      </c>
      <c r="J9" s="163">
        <v>3597.4545454545455</v>
      </c>
      <c r="K9" s="163">
        <v>11</v>
      </c>
      <c r="N9" s="195" t="s">
        <v>774</v>
      </c>
      <c r="O9" s="145">
        <v>3</v>
      </c>
      <c r="P9" s="145">
        <v>34.25</v>
      </c>
    </row>
    <row r="10" spans="1:16" x14ac:dyDescent="0.25">
      <c r="A10" s="17" t="s">
        <v>12670</v>
      </c>
      <c r="B10" s="163">
        <v>25</v>
      </c>
      <c r="C10" s="163">
        <v>109</v>
      </c>
      <c r="D10" s="163"/>
      <c r="E10" s="163">
        <v>13</v>
      </c>
      <c r="F10" s="163">
        <v>147</v>
      </c>
      <c r="I10" s="17" t="s">
        <v>714</v>
      </c>
      <c r="J10" s="163">
        <v>3081.8</v>
      </c>
      <c r="K10" s="163">
        <v>10</v>
      </c>
      <c r="N10" s="194" t="s">
        <v>12688</v>
      </c>
      <c r="O10" s="145">
        <v>24</v>
      </c>
      <c r="P10" s="145">
        <v>21.489583333333332</v>
      </c>
    </row>
    <row r="11" spans="1:16" x14ac:dyDescent="0.25">
      <c r="A11" s="191">
        <v>3</v>
      </c>
      <c r="B11" s="153">
        <v>24</v>
      </c>
      <c r="C11" s="153">
        <v>50</v>
      </c>
      <c r="D11" s="153"/>
      <c r="E11" s="153">
        <v>8</v>
      </c>
      <c r="F11" s="153">
        <v>82</v>
      </c>
      <c r="I11" s="17" t="s">
        <v>774</v>
      </c>
      <c r="J11" s="163">
        <v>2414.5</v>
      </c>
      <c r="K11" s="163">
        <v>9</v>
      </c>
      <c r="N11" s="194" t="s">
        <v>12670</v>
      </c>
      <c r="O11" s="145">
        <v>23</v>
      </c>
      <c r="P11" s="145">
        <v>15.934782608695652</v>
      </c>
    </row>
    <row r="12" spans="1:16" x14ac:dyDescent="0.25">
      <c r="A12" s="191">
        <v>4</v>
      </c>
      <c r="B12" s="153">
        <v>1</v>
      </c>
      <c r="C12" s="153">
        <v>36</v>
      </c>
      <c r="D12" s="153"/>
      <c r="E12" s="153">
        <v>5</v>
      </c>
      <c r="F12" s="153">
        <v>42</v>
      </c>
      <c r="I12" s="17" t="s">
        <v>1749</v>
      </c>
      <c r="J12" s="163">
        <v>3194.4444444444443</v>
      </c>
      <c r="K12" s="163">
        <v>9</v>
      </c>
      <c r="N12" s="194" t="s">
        <v>12674</v>
      </c>
      <c r="O12" s="145">
        <v>15</v>
      </c>
      <c r="P12" s="145">
        <v>7.6833333333333336</v>
      </c>
    </row>
    <row r="13" spans="1:16" x14ac:dyDescent="0.25">
      <c r="A13" s="191">
        <v>5</v>
      </c>
      <c r="B13" s="153"/>
      <c r="C13" s="153">
        <v>23</v>
      </c>
      <c r="D13" s="153"/>
      <c r="E13" s="153"/>
      <c r="F13" s="153">
        <v>23</v>
      </c>
      <c r="I13" s="17" t="s">
        <v>142</v>
      </c>
      <c r="J13" s="163">
        <v>2869.25</v>
      </c>
      <c r="K13" s="163">
        <v>9</v>
      </c>
      <c r="N13" s="195" t="s">
        <v>119</v>
      </c>
      <c r="O13" s="145">
        <v>3</v>
      </c>
      <c r="P13" s="145">
        <v>9.3333333333333339</v>
      </c>
    </row>
    <row r="14" spans="1:16" x14ac:dyDescent="0.25">
      <c r="A14" s="17" t="s">
        <v>12674</v>
      </c>
      <c r="B14" s="163">
        <v>68</v>
      </c>
      <c r="C14" s="163">
        <v>21</v>
      </c>
      <c r="D14" s="163"/>
      <c r="E14" s="163">
        <v>23</v>
      </c>
      <c r="F14" s="163">
        <v>112</v>
      </c>
      <c r="I14" s="17" t="s">
        <v>517</v>
      </c>
      <c r="J14" s="163">
        <v>3456</v>
      </c>
      <c r="K14" s="163">
        <v>8</v>
      </c>
      <c r="N14" s="195" t="s">
        <v>83</v>
      </c>
      <c r="O14" s="145">
        <v>4</v>
      </c>
      <c r="P14" s="145">
        <v>7.8125</v>
      </c>
    </row>
    <row r="15" spans="1:16" x14ac:dyDescent="0.25">
      <c r="A15" s="191">
        <v>3</v>
      </c>
      <c r="B15" s="153">
        <v>68</v>
      </c>
      <c r="C15" s="153">
        <v>1</v>
      </c>
      <c r="D15" s="153"/>
      <c r="E15" s="153">
        <v>1</v>
      </c>
      <c r="F15" s="153">
        <v>70</v>
      </c>
      <c r="I15" s="17" t="s">
        <v>197</v>
      </c>
      <c r="J15" s="163">
        <v>4115.4285714285716</v>
      </c>
      <c r="K15" s="163">
        <v>7</v>
      </c>
      <c r="N15" s="195" t="s">
        <v>560</v>
      </c>
      <c r="O15" s="145">
        <v>2</v>
      </c>
      <c r="P15" s="145">
        <v>7.75</v>
      </c>
    </row>
    <row r="16" spans="1:16" x14ac:dyDescent="0.25">
      <c r="A16" s="191">
        <v>4</v>
      </c>
      <c r="B16" s="153"/>
      <c r="C16" s="153">
        <v>9</v>
      </c>
      <c r="D16" s="153"/>
      <c r="E16" s="153">
        <v>18</v>
      </c>
      <c r="F16" s="153">
        <v>27</v>
      </c>
      <c r="I16" s="17" t="s">
        <v>1261</v>
      </c>
      <c r="J16" s="163">
        <v>3552.8571428571427</v>
      </c>
      <c r="K16" s="163">
        <v>7</v>
      </c>
      <c r="N16" s="195" t="s">
        <v>308</v>
      </c>
      <c r="O16" s="145">
        <v>1</v>
      </c>
      <c r="P16" s="145">
        <v>7.5</v>
      </c>
    </row>
    <row r="17" spans="1:16" x14ac:dyDescent="0.25">
      <c r="A17" s="191">
        <v>5</v>
      </c>
      <c r="B17" s="153"/>
      <c r="C17" s="153">
        <v>11</v>
      </c>
      <c r="D17" s="153"/>
      <c r="E17" s="153">
        <v>4</v>
      </c>
      <c r="F17" s="153">
        <v>15</v>
      </c>
      <c r="I17" s="17" t="s">
        <v>514</v>
      </c>
      <c r="J17" s="163">
        <v>2579.1999999999998</v>
      </c>
      <c r="K17" s="163">
        <v>5</v>
      </c>
      <c r="N17" s="195" t="s">
        <v>3204</v>
      </c>
      <c r="O17" s="145">
        <v>1</v>
      </c>
      <c r="P17" s="145">
        <v>7</v>
      </c>
    </row>
    <row r="18" spans="1:16" x14ac:dyDescent="0.25">
      <c r="A18" s="17" t="s">
        <v>12688</v>
      </c>
      <c r="B18" s="163"/>
      <c r="C18" s="163">
        <v>56</v>
      </c>
      <c r="D18" s="163">
        <v>3</v>
      </c>
      <c r="E18" s="163">
        <v>10</v>
      </c>
      <c r="F18" s="163">
        <v>69</v>
      </c>
      <c r="I18" s="17" t="s">
        <v>332</v>
      </c>
      <c r="J18" s="163">
        <v>3588.8</v>
      </c>
      <c r="K18" s="163">
        <v>5</v>
      </c>
      <c r="N18" s="195" t="s">
        <v>1674</v>
      </c>
      <c r="O18" s="145">
        <v>1</v>
      </c>
      <c r="P18" s="145">
        <v>7</v>
      </c>
    </row>
    <row r="19" spans="1:16" x14ac:dyDescent="0.25">
      <c r="A19" s="191">
        <v>3</v>
      </c>
      <c r="B19" s="153"/>
      <c r="C19" s="153">
        <v>14</v>
      </c>
      <c r="D19" s="153">
        <v>2</v>
      </c>
      <c r="E19" s="153">
        <v>2</v>
      </c>
      <c r="F19" s="153">
        <v>18</v>
      </c>
      <c r="I19" s="17" t="s">
        <v>860</v>
      </c>
      <c r="J19" s="163">
        <v>3296.75</v>
      </c>
      <c r="K19" s="163">
        <v>4</v>
      </c>
      <c r="N19" s="195" t="s">
        <v>1427</v>
      </c>
      <c r="O19" s="145">
        <v>2</v>
      </c>
      <c r="P19" s="145">
        <v>6.625</v>
      </c>
    </row>
    <row r="20" spans="1:16" x14ac:dyDescent="0.25">
      <c r="A20" s="191">
        <v>4</v>
      </c>
      <c r="B20" s="153"/>
      <c r="C20" s="153">
        <v>18</v>
      </c>
      <c r="D20" s="153">
        <v>1</v>
      </c>
      <c r="E20" s="153">
        <v>8</v>
      </c>
      <c r="F20" s="153">
        <v>27</v>
      </c>
      <c r="I20" s="17" t="s">
        <v>258</v>
      </c>
      <c r="J20" s="163">
        <v>3113.25</v>
      </c>
      <c r="K20" s="163">
        <v>4</v>
      </c>
      <c r="N20" s="195" t="s">
        <v>3915</v>
      </c>
      <c r="O20" s="145">
        <v>1</v>
      </c>
      <c r="P20" s="145">
        <v>5.75</v>
      </c>
    </row>
    <row r="21" spans="1:16" x14ac:dyDescent="0.25">
      <c r="A21" s="191">
        <v>5</v>
      </c>
      <c r="B21" s="153"/>
      <c r="C21" s="153">
        <v>24</v>
      </c>
      <c r="D21" s="153"/>
      <c r="E21" s="153"/>
      <c r="F21" s="153">
        <v>24</v>
      </c>
      <c r="I21" s="17" t="s">
        <v>119</v>
      </c>
      <c r="J21" s="163">
        <v>3057.75</v>
      </c>
      <c r="K21" s="163">
        <v>4</v>
      </c>
      <c r="N21" s="193">
        <v>4</v>
      </c>
      <c r="O21" s="145">
        <v>117</v>
      </c>
      <c r="P21" s="145">
        <v>16.576923076923077</v>
      </c>
    </row>
    <row r="22" spans="1:16" x14ac:dyDescent="0.25">
      <c r="A22" s="17" t="s">
        <v>12682</v>
      </c>
      <c r="B22" s="163"/>
      <c r="C22" s="163">
        <v>10</v>
      </c>
      <c r="D22" s="163"/>
      <c r="E22" s="163"/>
      <c r="F22" s="163">
        <v>10</v>
      </c>
      <c r="I22" s="17" t="s">
        <v>83</v>
      </c>
      <c r="J22" s="163">
        <v>2973.75</v>
      </c>
      <c r="K22" s="163">
        <v>4</v>
      </c>
      <c r="N22" s="193">
        <v>3</v>
      </c>
      <c r="O22" s="145">
        <v>203</v>
      </c>
      <c r="P22" s="145">
        <v>13.990147783251231</v>
      </c>
    </row>
    <row r="23" spans="1:16" x14ac:dyDescent="0.25">
      <c r="A23" s="191">
        <v>3</v>
      </c>
      <c r="B23" s="153"/>
      <c r="C23" s="153">
        <v>4</v>
      </c>
      <c r="D23" s="153"/>
      <c r="E23" s="153"/>
      <c r="F23" s="153">
        <v>4</v>
      </c>
      <c r="I23" s="17" t="s">
        <v>608</v>
      </c>
      <c r="J23" s="163">
        <v>3685.25</v>
      </c>
      <c r="K23" s="163">
        <v>4</v>
      </c>
      <c r="N23" s="193">
        <v>2</v>
      </c>
      <c r="O23" s="145">
        <v>299</v>
      </c>
      <c r="P23" s="145">
        <v>14.448160535117056</v>
      </c>
    </row>
    <row r="24" spans="1:16" x14ac:dyDescent="0.25">
      <c r="A24" s="191">
        <v>4</v>
      </c>
      <c r="B24" s="153"/>
      <c r="C24" s="153">
        <v>3</v>
      </c>
      <c r="D24" s="153"/>
      <c r="E24" s="153"/>
      <c r="F24" s="153">
        <v>3</v>
      </c>
      <c r="I24" s="17" t="s">
        <v>4045</v>
      </c>
      <c r="J24" s="163">
        <v>3210</v>
      </c>
      <c r="K24" s="163">
        <v>4</v>
      </c>
      <c r="N24" s="193">
        <v>1</v>
      </c>
      <c r="O24" s="145">
        <v>99</v>
      </c>
      <c r="P24" s="145">
        <v>13.858585858585858</v>
      </c>
    </row>
    <row r="25" spans="1:16" x14ac:dyDescent="0.25">
      <c r="A25" s="191">
        <v>5</v>
      </c>
      <c r="B25" s="153"/>
      <c r="C25" s="153">
        <v>3</v>
      </c>
      <c r="D25" s="153"/>
      <c r="E25" s="153"/>
      <c r="F25" s="153">
        <v>3</v>
      </c>
      <c r="I25" s="17" t="s">
        <v>709</v>
      </c>
      <c r="J25" s="163">
        <v>2993.6666666666665</v>
      </c>
      <c r="K25" s="163">
        <v>4</v>
      </c>
      <c r="N25" s="193" t="s">
        <v>14059</v>
      </c>
      <c r="O25" s="145">
        <v>792</v>
      </c>
      <c r="P25" s="145">
        <v>14.765467171717171</v>
      </c>
    </row>
    <row r="26" spans="1:16" x14ac:dyDescent="0.25">
      <c r="A26" s="17" t="s">
        <v>12694</v>
      </c>
      <c r="B26" s="163"/>
      <c r="C26" s="163">
        <v>21</v>
      </c>
      <c r="D26" s="163"/>
      <c r="E26" s="163"/>
      <c r="F26" s="163">
        <v>21</v>
      </c>
      <c r="I26" s="17" t="s">
        <v>926</v>
      </c>
      <c r="J26" s="163">
        <v>4119</v>
      </c>
      <c r="K26" s="163">
        <v>3</v>
      </c>
    </row>
    <row r="27" spans="1:16" x14ac:dyDescent="0.25">
      <c r="A27" s="191">
        <v>3</v>
      </c>
      <c r="B27" s="153"/>
      <c r="C27" s="153">
        <v>12</v>
      </c>
      <c r="D27" s="153"/>
      <c r="E27" s="153"/>
      <c r="F27" s="153">
        <v>12</v>
      </c>
      <c r="I27" s="17" t="s">
        <v>717</v>
      </c>
      <c r="J27" s="163">
        <v>3623</v>
      </c>
      <c r="K27" s="163">
        <v>3</v>
      </c>
    </row>
    <row r="28" spans="1:16" x14ac:dyDescent="0.25">
      <c r="A28" s="191">
        <v>4</v>
      </c>
      <c r="B28" s="153"/>
      <c r="C28" s="153">
        <v>9</v>
      </c>
      <c r="D28" s="153"/>
      <c r="E28" s="153"/>
      <c r="F28" s="153">
        <v>9</v>
      </c>
      <c r="I28" s="17" t="s">
        <v>2293</v>
      </c>
      <c r="J28" s="163">
        <v>3446.3333333333335</v>
      </c>
      <c r="K28" s="163">
        <v>3</v>
      </c>
    </row>
    <row r="29" spans="1:16" x14ac:dyDescent="0.25">
      <c r="A29" s="17" t="s">
        <v>14059</v>
      </c>
      <c r="B29" s="153">
        <v>93</v>
      </c>
      <c r="C29" s="153">
        <v>238</v>
      </c>
      <c r="D29" s="153">
        <v>4</v>
      </c>
      <c r="E29" s="153">
        <v>50</v>
      </c>
      <c r="F29" s="153">
        <v>385</v>
      </c>
      <c r="I29" s="17" t="s">
        <v>1427</v>
      </c>
      <c r="J29" s="163">
        <v>2897</v>
      </c>
      <c r="K29" s="163">
        <v>3</v>
      </c>
    </row>
    <row r="30" spans="1:16" x14ac:dyDescent="0.25">
      <c r="I30" s="17" t="s">
        <v>172</v>
      </c>
      <c r="J30" s="163">
        <v>3899.3333333333335</v>
      </c>
      <c r="K30" s="163">
        <v>3</v>
      </c>
    </row>
    <row r="31" spans="1:16" x14ac:dyDescent="0.25">
      <c r="I31" s="17" t="s">
        <v>308</v>
      </c>
      <c r="J31" s="163">
        <v>2745.3333333333335</v>
      </c>
      <c r="K31" s="163">
        <v>3</v>
      </c>
    </row>
    <row r="32" spans="1:16" x14ac:dyDescent="0.25">
      <c r="I32" s="17" t="s">
        <v>700</v>
      </c>
      <c r="J32" s="163">
        <v>3444.3333333333335</v>
      </c>
      <c r="K32" s="163">
        <v>3</v>
      </c>
    </row>
    <row r="33" spans="9:11" x14ac:dyDescent="0.25">
      <c r="I33" s="17" t="s">
        <v>1314</v>
      </c>
      <c r="J33" s="163">
        <v>3388.3333333333335</v>
      </c>
      <c r="K33" s="163">
        <v>3</v>
      </c>
    </row>
    <row r="34" spans="9:11" x14ac:dyDescent="0.25">
      <c r="I34" s="17" t="s">
        <v>2059</v>
      </c>
      <c r="J34" s="163">
        <v>4307</v>
      </c>
      <c r="K34" s="163">
        <v>3</v>
      </c>
    </row>
    <row r="35" spans="9:11" x14ac:dyDescent="0.25">
      <c r="I35" s="17" t="s">
        <v>46</v>
      </c>
      <c r="J35" s="163">
        <v>3074</v>
      </c>
      <c r="K35" s="163">
        <v>2</v>
      </c>
    </row>
    <row r="36" spans="9:11" x14ac:dyDescent="0.25">
      <c r="I36" s="17" t="s">
        <v>644</v>
      </c>
      <c r="J36" s="163">
        <v>3907</v>
      </c>
      <c r="K36" s="163">
        <v>2</v>
      </c>
    </row>
    <row r="37" spans="9:11" x14ac:dyDescent="0.25">
      <c r="I37" s="17" t="s">
        <v>2791</v>
      </c>
      <c r="J37" s="163">
        <v>3104.5</v>
      </c>
      <c r="K37" s="163">
        <v>2</v>
      </c>
    </row>
    <row r="38" spans="9:11" x14ac:dyDescent="0.25">
      <c r="I38" s="17" t="s">
        <v>1710</v>
      </c>
      <c r="J38" s="163">
        <v>4156</v>
      </c>
      <c r="K38" s="163">
        <v>2</v>
      </c>
    </row>
    <row r="39" spans="9:11" x14ac:dyDescent="0.25">
      <c r="I39" s="17" t="s">
        <v>78</v>
      </c>
      <c r="J39" s="163">
        <v>2658.5</v>
      </c>
      <c r="K39" s="163">
        <v>2</v>
      </c>
    </row>
    <row r="40" spans="9:11" x14ac:dyDescent="0.25">
      <c r="I40" s="17" t="s">
        <v>2527</v>
      </c>
      <c r="J40" s="163">
        <v>4361</v>
      </c>
      <c r="K40" s="163">
        <v>2</v>
      </c>
    </row>
    <row r="41" spans="9:11" x14ac:dyDescent="0.25">
      <c r="I41" s="17" t="s">
        <v>11046</v>
      </c>
      <c r="J41" s="163">
        <v>4017</v>
      </c>
      <c r="K41" s="163">
        <v>2</v>
      </c>
    </row>
    <row r="42" spans="9:11" x14ac:dyDescent="0.25">
      <c r="I42" s="17" t="s">
        <v>4920</v>
      </c>
      <c r="J42" s="163">
        <v>3613</v>
      </c>
      <c r="K42" s="163">
        <v>1</v>
      </c>
    </row>
    <row r="43" spans="9:11" x14ac:dyDescent="0.25">
      <c r="I43" s="17" t="s">
        <v>812</v>
      </c>
      <c r="J43" s="163">
        <v>3184</v>
      </c>
      <c r="K43" s="163">
        <v>1</v>
      </c>
    </row>
    <row r="44" spans="9:11" x14ac:dyDescent="0.25">
      <c r="I44" s="17" t="s">
        <v>2729</v>
      </c>
      <c r="J44" s="163">
        <v>2909</v>
      </c>
      <c r="K44" s="163">
        <v>1</v>
      </c>
    </row>
    <row r="45" spans="9:11" x14ac:dyDescent="0.25">
      <c r="I45" s="17" t="s">
        <v>4988</v>
      </c>
      <c r="J45" s="163">
        <v>2609</v>
      </c>
      <c r="K45" s="163">
        <v>1</v>
      </c>
    </row>
    <row r="46" spans="9:11" x14ac:dyDescent="0.25">
      <c r="I46" s="17" t="s">
        <v>560</v>
      </c>
      <c r="J46" s="163">
        <v>2633</v>
      </c>
      <c r="K46" s="163">
        <v>1</v>
      </c>
    </row>
    <row r="47" spans="9:11" x14ac:dyDescent="0.25">
      <c r="I47" s="17" t="s">
        <v>545</v>
      </c>
      <c r="J47" s="163">
        <v>2937</v>
      </c>
      <c r="K47" s="163">
        <v>1</v>
      </c>
    </row>
    <row r="48" spans="9:11" x14ac:dyDescent="0.25">
      <c r="I48" s="17" t="s">
        <v>1420</v>
      </c>
      <c r="J48" s="163">
        <v>3163</v>
      </c>
      <c r="K48" s="163">
        <v>1</v>
      </c>
    </row>
    <row r="49" spans="9:11" x14ac:dyDescent="0.25">
      <c r="I49" s="17" t="s">
        <v>2547</v>
      </c>
      <c r="J49" s="163">
        <v>4048</v>
      </c>
      <c r="K49" s="163">
        <v>1</v>
      </c>
    </row>
    <row r="50" spans="9:11" x14ac:dyDescent="0.25">
      <c r="I50" s="17" t="s">
        <v>92</v>
      </c>
      <c r="J50" s="163">
        <v>3203</v>
      </c>
      <c r="K50" s="163">
        <v>1</v>
      </c>
    </row>
    <row r="51" spans="9:11" x14ac:dyDescent="0.25">
      <c r="I51" s="17" t="s">
        <v>5096</v>
      </c>
      <c r="J51" s="163">
        <v>2960</v>
      </c>
      <c r="K51" s="163">
        <v>1</v>
      </c>
    </row>
    <row r="52" spans="9:11" x14ac:dyDescent="0.25">
      <c r="I52" s="17" t="s">
        <v>3180</v>
      </c>
      <c r="J52" s="163">
        <v>2759</v>
      </c>
      <c r="K52" s="163">
        <v>1</v>
      </c>
    </row>
    <row r="53" spans="9:11" x14ac:dyDescent="0.25">
      <c r="I53" s="17" t="s">
        <v>3915</v>
      </c>
      <c r="J53" s="163">
        <v>2794</v>
      </c>
      <c r="K53" s="163">
        <v>1</v>
      </c>
    </row>
    <row r="54" spans="9:11" x14ac:dyDescent="0.25">
      <c r="I54" s="17" t="s">
        <v>530</v>
      </c>
      <c r="J54" s="163"/>
      <c r="K54" s="163">
        <v>1</v>
      </c>
    </row>
    <row r="55" spans="9:11" x14ac:dyDescent="0.25">
      <c r="I55" s="17" t="s">
        <v>505</v>
      </c>
      <c r="J55" s="163">
        <v>3579</v>
      </c>
      <c r="K55" s="163">
        <v>1</v>
      </c>
    </row>
    <row r="56" spans="9:11" x14ac:dyDescent="0.25">
      <c r="I56" s="17" t="s">
        <v>12976</v>
      </c>
      <c r="J56" s="163">
        <v>2560</v>
      </c>
      <c r="K56" s="163">
        <v>1</v>
      </c>
    </row>
    <row r="57" spans="9:11" x14ac:dyDescent="0.25">
      <c r="I57" s="17" t="s">
        <v>4958</v>
      </c>
      <c r="J57" s="163">
        <v>2860</v>
      </c>
      <c r="K57" s="163">
        <v>1</v>
      </c>
    </row>
    <row r="58" spans="9:11" x14ac:dyDescent="0.25">
      <c r="I58" s="17" t="s">
        <v>5476</v>
      </c>
      <c r="J58" s="163">
        <v>4408</v>
      </c>
      <c r="K58" s="163">
        <v>1</v>
      </c>
    </row>
    <row r="59" spans="9:11" x14ac:dyDescent="0.25">
      <c r="I59" s="17" t="s">
        <v>523</v>
      </c>
      <c r="J59" s="163"/>
      <c r="K59" s="163">
        <v>1</v>
      </c>
    </row>
    <row r="60" spans="9:11" x14ac:dyDescent="0.25">
      <c r="I60" s="17" t="s">
        <v>611</v>
      </c>
      <c r="J60" s="163">
        <v>4173</v>
      </c>
      <c r="K60" s="163">
        <v>1</v>
      </c>
    </row>
    <row r="61" spans="9:11" x14ac:dyDescent="0.25">
      <c r="I61" s="17" t="s">
        <v>5080</v>
      </c>
      <c r="J61" s="163">
        <v>2338</v>
      </c>
      <c r="K61" s="163">
        <v>1</v>
      </c>
    </row>
    <row r="62" spans="9:11" x14ac:dyDescent="0.25">
      <c r="I62" s="17" t="s">
        <v>2356</v>
      </c>
      <c r="J62" s="163">
        <v>2499</v>
      </c>
      <c r="K62" s="163">
        <v>1</v>
      </c>
    </row>
    <row r="63" spans="9:11" x14ac:dyDescent="0.25">
      <c r="I63" s="17" t="s">
        <v>4853</v>
      </c>
      <c r="J63" s="163">
        <v>3708</v>
      </c>
      <c r="K63" s="163">
        <v>1</v>
      </c>
    </row>
    <row r="64" spans="9:11" x14ac:dyDescent="0.25">
      <c r="I64" s="17" t="s">
        <v>683</v>
      </c>
      <c r="J64" s="163">
        <v>3176</v>
      </c>
      <c r="K64" s="163">
        <v>1</v>
      </c>
    </row>
    <row r="65" spans="9:11" x14ac:dyDescent="0.25">
      <c r="I65" s="17" t="s">
        <v>2329</v>
      </c>
      <c r="J65" s="163">
        <v>3290</v>
      </c>
      <c r="K65" s="163">
        <v>1</v>
      </c>
    </row>
    <row r="66" spans="9:11" x14ac:dyDescent="0.25">
      <c r="I66" s="17" t="s">
        <v>1516</v>
      </c>
      <c r="J66" s="163">
        <v>3783</v>
      </c>
      <c r="K66" s="163">
        <v>1</v>
      </c>
    </row>
    <row r="67" spans="9:11" x14ac:dyDescent="0.25">
      <c r="I67" s="17" t="s">
        <v>13119</v>
      </c>
      <c r="J67" s="163">
        <v>2654</v>
      </c>
      <c r="K67" s="163">
        <v>1</v>
      </c>
    </row>
    <row r="68" spans="9:11" x14ac:dyDescent="0.25">
      <c r="I68" s="17" t="s">
        <v>5077</v>
      </c>
      <c r="J68" s="163"/>
      <c r="K68" s="163">
        <v>1</v>
      </c>
    </row>
    <row r="69" spans="9:11" x14ac:dyDescent="0.25">
      <c r="I69" s="17" t="s">
        <v>5119</v>
      </c>
      <c r="J69" s="163">
        <v>3991</v>
      </c>
      <c r="K69" s="163">
        <v>1</v>
      </c>
    </row>
    <row r="70" spans="9:11" x14ac:dyDescent="0.25">
      <c r="I70" s="17" t="s">
        <v>1847</v>
      </c>
      <c r="J70" s="163">
        <v>4010</v>
      </c>
      <c r="K70" s="163">
        <v>1</v>
      </c>
    </row>
    <row r="71" spans="9:11" x14ac:dyDescent="0.25">
      <c r="I71" s="17" t="s">
        <v>733</v>
      </c>
      <c r="J71" s="163">
        <v>3298</v>
      </c>
      <c r="K71" s="163">
        <v>1</v>
      </c>
    </row>
    <row r="72" spans="9:11" x14ac:dyDescent="0.25">
      <c r="I72" s="17" t="s">
        <v>542</v>
      </c>
      <c r="J72" s="163">
        <v>3777</v>
      </c>
      <c r="K72" s="163">
        <v>1</v>
      </c>
    </row>
    <row r="73" spans="9:11" x14ac:dyDescent="0.25">
      <c r="I73" s="17" t="s">
        <v>1946</v>
      </c>
      <c r="J73" s="163">
        <v>2584</v>
      </c>
      <c r="K73" s="163">
        <v>1</v>
      </c>
    </row>
    <row r="74" spans="9:11" x14ac:dyDescent="0.25">
      <c r="I74" s="17" t="s">
        <v>4991</v>
      </c>
      <c r="J74" s="163">
        <v>2452</v>
      </c>
      <c r="K74" s="163">
        <v>1</v>
      </c>
    </row>
    <row r="75" spans="9:11" x14ac:dyDescent="0.25">
      <c r="I75" s="17" t="s">
        <v>4861</v>
      </c>
      <c r="J75" s="163">
        <v>2560</v>
      </c>
      <c r="K75" s="163">
        <v>1</v>
      </c>
    </row>
    <row r="76" spans="9:11" x14ac:dyDescent="0.25">
      <c r="I76" s="17" t="s">
        <v>1289</v>
      </c>
      <c r="J76" s="163"/>
      <c r="K76" s="163">
        <v>1</v>
      </c>
    </row>
    <row r="77" spans="9:11" x14ac:dyDescent="0.25">
      <c r="I77" s="17" t="s">
        <v>1189</v>
      </c>
      <c r="J77" s="163">
        <v>4205</v>
      </c>
      <c r="K77" s="163">
        <v>1</v>
      </c>
    </row>
    <row r="78" spans="9:11" x14ac:dyDescent="0.25">
      <c r="I78" s="17" t="s">
        <v>493</v>
      </c>
      <c r="J78" s="163">
        <v>4027</v>
      </c>
      <c r="K78" s="163">
        <v>1</v>
      </c>
    </row>
    <row r="79" spans="9:11" x14ac:dyDescent="0.25">
      <c r="I79" s="17" t="s">
        <v>2104</v>
      </c>
      <c r="J79" s="163"/>
      <c r="K79" s="163">
        <v>1</v>
      </c>
    </row>
    <row r="80" spans="9:11" x14ac:dyDescent="0.25">
      <c r="I80" s="17" t="s">
        <v>14059</v>
      </c>
      <c r="J80" s="163">
        <v>3256.0553505535054</v>
      </c>
      <c r="K80" s="163">
        <v>284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CBAFA-0A80-47AE-B5B6-0CA635F7CAFE}">
  <sheetPr>
    <tabColor theme="5" tint="0.59999389629810485"/>
  </sheetPr>
  <dimension ref="A2:P770"/>
  <sheetViews>
    <sheetView zoomScale="70" zoomScaleNormal="70" workbookViewId="0">
      <pane ySplit="2" topLeftCell="A3" activePane="bottomLeft" state="frozen"/>
      <selection activeCell="I13" sqref="I13:I14"/>
      <selection pane="bottomLeft" activeCell="R6" sqref="R6"/>
    </sheetView>
  </sheetViews>
  <sheetFormatPr defaultColWidth="10" defaultRowHeight="15" customHeight="1" x14ac:dyDescent="0.25"/>
  <cols>
    <col min="1" max="1" width="10.42578125" style="1" bestFit="1" customWidth="1"/>
    <col min="2" max="2" width="11.7109375" style="1" bestFit="1" customWidth="1"/>
    <col min="3" max="3" width="13.7109375" style="44" bestFit="1" customWidth="1"/>
    <col min="4" max="4" width="12.7109375" style="44" bestFit="1" customWidth="1"/>
    <col min="5" max="5" width="14.42578125" style="1" customWidth="1"/>
    <col min="6" max="6" width="7.7109375" style="1" customWidth="1"/>
    <col min="7" max="7" width="14.140625" style="156" customWidth="1"/>
    <col min="8" max="8" width="10.7109375" style="151" customWidth="1"/>
    <col min="9" max="9" width="8.85546875" style="150" customWidth="1"/>
    <col min="10" max="10" width="17.28515625" style="158" bestFit="1" customWidth="1"/>
    <col min="11" max="11" width="14.42578125" style="1" bestFit="1" customWidth="1"/>
    <col min="12" max="12" width="15.28515625" style="2" bestFit="1" customWidth="1"/>
    <col min="13" max="16384" width="10" style="1"/>
  </cols>
  <sheetData>
    <row r="2" spans="1:16" ht="30" x14ac:dyDescent="0.25">
      <c r="A2" s="1" t="s">
        <v>467</v>
      </c>
      <c r="B2" s="15" t="s">
        <v>466</v>
      </c>
      <c r="C2" s="50" t="s">
        <v>465</v>
      </c>
      <c r="D2" s="50" t="s">
        <v>14057</v>
      </c>
      <c r="E2" s="15" t="s">
        <v>464</v>
      </c>
      <c r="F2" s="15" t="s">
        <v>13114</v>
      </c>
      <c r="G2" s="154" t="s">
        <v>463</v>
      </c>
      <c r="H2" s="14" t="s">
        <v>462</v>
      </c>
      <c r="I2" s="13" t="s">
        <v>461</v>
      </c>
      <c r="J2" s="148" t="s">
        <v>460</v>
      </c>
      <c r="K2" s="148" t="s">
        <v>459</v>
      </c>
      <c r="L2" s="11" t="s">
        <v>458</v>
      </c>
      <c r="M2" s="263" t="s">
        <v>16795</v>
      </c>
      <c r="N2" s="263" t="s">
        <v>16796</v>
      </c>
      <c r="O2" s="263" t="s">
        <v>16797</v>
      </c>
      <c r="P2" s="263" t="s">
        <v>16798</v>
      </c>
    </row>
    <row r="3" spans="1:16" x14ac:dyDescent="0.25">
      <c r="A3" s="38" t="s">
        <v>14042</v>
      </c>
      <c r="B3" s="39" t="s">
        <v>4752</v>
      </c>
      <c r="C3" s="39" t="s">
        <v>2</v>
      </c>
      <c r="D3" s="39">
        <v>3</v>
      </c>
      <c r="E3" s="38" t="s">
        <v>545</v>
      </c>
      <c r="F3" s="38" t="str">
        <f>VLOOKUP(E:E,Table10[[COUNTRY NAME]:[CONTINENT CODE]],3,FALSE)</f>
        <v>SA</v>
      </c>
      <c r="G3" s="155" t="s">
        <v>13374</v>
      </c>
      <c r="H3" s="40">
        <v>1570</v>
      </c>
      <c r="I3" s="41">
        <v>5.5</v>
      </c>
      <c r="J3" s="157">
        <v>146808221</v>
      </c>
      <c r="K3" s="42">
        <f>IFERROR(Table215[[#This Row],[ROUTE $]]/Table215[[#This Row],[E - DEMAND]],0)</f>
        <v>57190.580833657965</v>
      </c>
      <c r="L3" s="43">
        <v>2567</v>
      </c>
      <c r="M3" s="196">
        <f>VLOOKUP(Table215[[#This Row],[ROUTE]],DEMAND!A:F,5,FALSE)</f>
        <v>2731</v>
      </c>
      <c r="N3" s="196">
        <f>VLOOKUP(Table215[[#This Row],[ROUTE]],DEMAND!A:F,6,FALSE)</f>
        <v>91</v>
      </c>
      <c r="O3" s="196">
        <f>ROUNDDOWN(Table215[[#This Row],[R-DEMAND]]/1320,0)</f>
        <v>0</v>
      </c>
      <c r="P3" s="264">
        <f>Table215[[#This Row],[ADD ACC]]*Table215[[#This Row],[RT TIME (744)]]</f>
        <v>0</v>
      </c>
    </row>
    <row r="4" spans="1:16" x14ac:dyDescent="0.25">
      <c r="A4" s="38" t="s">
        <v>13462</v>
      </c>
      <c r="B4" s="39" t="s">
        <v>5190</v>
      </c>
      <c r="C4" s="39" t="s">
        <v>2</v>
      </c>
      <c r="D4" s="39">
        <v>3</v>
      </c>
      <c r="E4" s="1" t="s">
        <v>1459</v>
      </c>
      <c r="F4" s="1" t="str">
        <f>VLOOKUP(E:E,Table10[[COUNTRY NAME]:[CONTINENT CODE]],3,FALSE)</f>
        <v>EU</v>
      </c>
      <c r="G4" s="155" t="s">
        <v>7386</v>
      </c>
      <c r="H4" s="40">
        <v>10250</v>
      </c>
      <c r="I4" s="41">
        <v>24.75</v>
      </c>
      <c r="J4" s="157">
        <v>241400314</v>
      </c>
      <c r="K4" s="42">
        <f>IFERROR(Table215[[#This Row],[ROUTE $]]/Table215[[#This Row],[E - DEMAND]],0)</f>
        <v>73218.172277828329</v>
      </c>
      <c r="L4" s="43">
        <v>3297</v>
      </c>
      <c r="M4" s="39">
        <f>VLOOKUP(Table215[[#This Row],[ROUTE]],DEMAND!A:F,5,FALSE)</f>
        <v>3419</v>
      </c>
      <c r="N4" s="39">
        <f>VLOOKUP(Table215[[#This Row],[ROUTE]],DEMAND!A:F,6,FALSE)</f>
        <v>779</v>
      </c>
      <c r="O4" s="39">
        <f>ROUNDDOWN(Table215[[#This Row],[R-DEMAND]]/1320,0)</f>
        <v>0</v>
      </c>
      <c r="P4" s="41">
        <f>Table215[[#This Row],[ADD ACC]]*Table215[[#This Row],[RT TIME (744)]]</f>
        <v>0</v>
      </c>
    </row>
    <row r="5" spans="1:16" x14ac:dyDescent="0.25">
      <c r="A5" s="38" t="s">
        <v>13655</v>
      </c>
      <c r="B5" s="39" t="s">
        <v>5255</v>
      </c>
      <c r="C5" s="39" t="s">
        <v>2</v>
      </c>
      <c r="D5" s="39">
        <v>3</v>
      </c>
      <c r="E5" s="38" t="s">
        <v>496</v>
      </c>
      <c r="F5" s="38" t="str">
        <f>VLOOKUP(E:E,Table10[[COUNTRY NAME]:[CONTINENT CODE]],3,FALSE)</f>
        <v>EU</v>
      </c>
      <c r="G5" s="155" t="s">
        <v>11819</v>
      </c>
      <c r="H5" s="40">
        <v>11070</v>
      </c>
      <c r="I5" s="41">
        <v>26.75</v>
      </c>
      <c r="J5" s="157">
        <v>251142337</v>
      </c>
      <c r="K5" s="42">
        <f>IFERROR(Table215[[#This Row],[ROUTE $]]/Table215[[#This Row],[E - DEMAND]],0)</f>
        <v>81433.961413748373</v>
      </c>
      <c r="L5" s="43">
        <v>3084</v>
      </c>
      <c r="M5" s="39">
        <f>VLOOKUP(Table215[[#This Row],[ROUTE]],DEMAND!A:F,5,FALSE)</f>
        <v>3240</v>
      </c>
      <c r="N5" s="39">
        <f>VLOOKUP(Table215[[#This Row],[ROUTE]],DEMAND!A:F,6,FALSE)</f>
        <v>600</v>
      </c>
      <c r="O5" s="39">
        <f>ROUNDDOWN(Table215[[#This Row],[R-DEMAND]]/1320,0)</f>
        <v>0</v>
      </c>
      <c r="P5" s="41">
        <f>Table215[[#This Row],[ADD ACC]]*Table215[[#This Row],[RT TIME (744)]]</f>
        <v>0</v>
      </c>
    </row>
    <row r="6" spans="1:16" x14ac:dyDescent="0.25">
      <c r="A6" s="38" t="s">
        <v>13716</v>
      </c>
      <c r="B6" s="39" t="s">
        <v>4865</v>
      </c>
      <c r="C6" s="39" t="s">
        <v>2</v>
      </c>
      <c r="D6" s="39">
        <v>3</v>
      </c>
      <c r="E6" s="38" t="s">
        <v>605</v>
      </c>
      <c r="F6" s="38" t="str">
        <f>VLOOKUP(E:E,Table10[[COUNTRY NAME]:[CONTINENT CODE]],3,FALSE)</f>
        <v>EU</v>
      </c>
      <c r="G6" s="155" t="s">
        <v>10545</v>
      </c>
      <c r="H6" s="40">
        <v>11254</v>
      </c>
      <c r="I6" s="41">
        <v>27</v>
      </c>
      <c r="J6" s="157">
        <v>246776221</v>
      </c>
      <c r="K6" s="42">
        <f>IFERROR(Table215[[#This Row],[ROUTE $]]/Table215[[#This Row],[E - DEMAND]],0)</f>
        <v>89282.279667149065</v>
      </c>
      <c r="L6" s="43">
        <v>2764</v>
      </c>
      <c r="M6" s="39">
        <f>VLOOKUP(Table215[[#This Row],[ROUTE]],DEMAND!A:F,5,FALSE)</f>
        <v>2857</v>
      </c>
      <c r="N6" s="39">
        <f>VLOOKUP(Table215[[#This Row],[ROUTE]],DEMAND!A:F,6,FALSE)</f>
        <v>217</v>
      </c>
      <c r="O6" s="39">
        <f>ROUNDDOWN(Table215[[#This Row],[R-DEMAND]]/1320,0)</f>
        <v>0</v>
      </c>
      <c r="P6" s="41">
        <f>Table215[[#This Row],[ADD ACC]]*Table215[[#This Row],[RT TIME (744)]]</f>
        <v>0</v>
      </c>
    </row>
    <row r="7" spans="1:16" x14ac:dyDescent="0.25">
      <c r="A7" s="38" t="s">
        <v>13406</v>
      </c>
      <c r="B7" s="39" t="s">
        <v>1598</v>
      </c>
      <c r="C7" s="39" t="s">
        <v>2</v>
      </c>
      <c r="D7" s="39">
        <v>1</v>
      </c>
      <c r="E7" s="1" t="s">
        <v>644</v>
      </c>
      <c r="F7" s="1" t="str">
        <f>VLOOKUP(E:E,Table10[[COUNTRY NAME]:[CONTINENT CODE]],3,FALSE)</f>
        <v>AF</v>
      </c>
      <c r="G7" s="160" t="s">
        <v>11848</v>
      </c>
      <c r="H7" s="40">
        <v>7235</v>
      </c>
      <c r="I7" s="41">
        <v>18.25</v>
      </c>
      <c r="J7" s="157">
        <v>185442183</v>
      </c>
      <c r="K7" s="42">
        <f>IFERROR(Table215[[#This Row],[ROUTE $]]/Table215[[#This Row],[E - DEMAND]],0)</f>
        <v>60522.905678851173</v>
      </c>
      <c r="L7" s="43">
        <v>3064</v>
      </c>
      <c r="M7" s="39">
        <f>VLOOKUP(Table215[[#This Row],[ROUTE]],DEMAND!A:F,5,FALSE)</f>
        <v>3229</v>
      </c>
      <c r="N7" s="39">
        <f>VLOOKUP(Table215[[#This Row],[ROUTE]],DEMAND!A:F,6,FALSE)</f>
        <v>589</v>
      </c>
      <c r="O7" s="39">
        <f>ROUNDDOWN(Table215[[#This Row],[R-DEMAND]]/1320,0)</f>
        <v>0</v>
      </c>
      <c r="P7" s="41">
        <f>Table215[[#This Row],[ADD ACC]]*Table215[[#This Row],[RT TIME (744)]]</f>
        <v>0</v>
      </c>
    </row>
    <row r="8" spans="1:16" x14ac:dyDescent="0.25">
      <c r="A8" s="38" t="s">
        <v>13429</v>
      </c>
      <c r="B8" s="39" t="s">
        <v>4960</v>
      </c>
      <c r="C8" s="39" t="s">
        <v>2</v>
      </c>
      <c r="D8" s="39">
        <v>3</v>
      </c>
      <c r="E8" s="1" t="s">
        <v>4958</v>
      </c>
      <c r="F8" s="1" t="str">
        <f>VLOOKUP(E:E,Table10[[COUNTRY NAME]:[CONTINENT CODE]],3,FALSE)</f>
        <v>NA</v>
      </c>
      <c r="G8" s="156" t="s">
        <v>13144</v>
      </c>
      <c r="H8" s="8">
        <v>4747</v>
      </c>
      <c r="I8" s="41">
        <v>12.75</v>
      </c>
      <c r="J8" s="157">
        <v>182145436</v>
      </c>
      <c r="K8" s="6">
        <f>IFERROR(Table215[[#This Row],[ROUTE $]]/Table215[[#This Row],[E - DEMAND]],0)</f>
        <v>65355.377108001434</v>
      </c>
      <c r="L8" s="4">
        <v>2787</v>
      </c>
      <c r="M8" s="39">
        <f>VLOOKUP(Table215[[#This Row],[ROUTE]],DEMAND!A:F,5,FALSE)</f>
        <v>2892</v>
      </c>
      <c r="N8" s="39">
        <f>VLOOKUP(Table215[[#This Row],[ROUTE]],DEMAND!A:F,6,FALSE)</f>
        <v>252</v>
      </c>
      <c r="O8" s="39">
        <f>ROUNDDOWN(Table215[[#This Row],[R-DEMAND]]/1320,0)</f>
        <v>0</v>
      </c>
      <c r="P8" s="41">
        <f>Table215[[#This Row],[ADD ACC]]*Table215[[#This Row],[RT TIME (744)]]</f>
        <v>0</v>
      </c>
    </row>
    <row r="9" spans="1:16" x14ac:dyDescent="0.25">
      <c r="A9" s="38" t="s">
        <v>13433</v>
      </c>
      <c r="B9" s="39" t="s">
        <v>2692</v>
      </c>
      <c r="C9" s="39" t="s">
        <v>2</v>
      </c>
      <c r="D9" s="39">
        <v>2</v>
      </c>
      <c r="E9" s="1" t="s">
        <v>774</v>
      </c>
      <c r="F9" s="1" t="str">
        <f>VLOOKUP(E:E,Table10[[COUNTRY NAME]:[CONTINENT CODE]],3,FALSE)</f>
        <v>OC</v>
      </c>
      <c r="G9" s="156" t="s">
        <v>12022</v>
      </c>
      <c r="H9" s="8">
        <v>13088</v>
      </c>
      <c r="I9" s="41">
        <v>31</v>
      </c>
      <c r="J9" s="157">
        <v>247436194</v>
      </c>
      <c r="K9" s="6">
        <f>IFERROR(Table215[[#This Row],[ROUTE $]]/Table215[[#This Row],[E - DEMAND]],0)</f>
        <v>120114.6572815534</v>
      </c>
      <c r="L9" s="5">
        <v>2060</v>
      </c>
      <c r="M9" s="39">
        <f>VLOOKUP(Table215[[#This Row],[ROUTE]],DEMAND!A:F,5,FALSE)</f>
        <v>2184</v>
      </c>
      <c r="N9" s="39">
        <f>VLOOKUP(Table215[[#This Row],[ROUTE]],DEMAND!A:F,6,FALSE)</f>
        <v>864</v>
      </c>
      <c r="O9" s="39">
        <f>ROUNDDOWN(Table215[[#This Row],[R-DEMAND]]/1320,0)</f>
        <v>0</v>
      </c>
      <c r="P9" s="41">
        <f>Table215[[#This Row],[ADD ACC]]*Table215[[#This Row],[RT TIME (744)]]</f>
        <v>0</v>
      </c>
    </row>
    <row r="10" spans="1:16" x14ac:dyDescent="0.25">
      <c r="A10" s="38" t="s">
        <v>13461</v>
      </c>
      <c r="B10" s="39" t="s">
        <v>4975</v>
      </c>
      <c r="C10" s="39" t="s">
        <v>2</v>
      </c>
      <c r="D10" s="39">
        <v>3</v>
      </c>
      <c r="E10" s="1" t="s">
        <v>1459</v>
      </c>
      <c r="F10" s="1" t="str">
        <f>VLOOKUP(E:E,Table10[[COUNTRY NAME]:[CONTINENT CODE]],3,FALSE)</f>
        <v>EU</v>
      </c>
      <c r="G10" s="156" t="s">
        <v>11842</v>
      </c>
      <c r="H10" s="8">
        <v>10536</v>
      </c>
      <c r="I10" s="41">
        <v>25.5</v>
      </c>
      <c r="J10" s="157">
        <v>239842852</v>
      </c>
      <c r="K10" s="6">
        <f>IFERROR(Table215[[#This Row],[ROUTE $]]/Table215[[#This Row],[E - DEMAND]],0)</f>
        <v>75899.636708860766</v>
      </c>
      <c r="L10" s="4">
        <v>3160</v>
      </c>
      <c r="M10" s="39">
        <f>VLOOKUP(Table215[[#This Row],[ROUTE]],DEMAND!A:F,5,FALSE)</f>
        <v>3329</v>
      </c>
      <c r="N10" s="39">
        <f>VLOOKUP(Table215[[#This Row],[ROUTE]],DEMAND!A:F,6,FALSE)</f>
        <v>689</v>
      </c>
      <c r="O10" s="39">
        <f>ROUNDDOWN(Table215[[#This Row],[R-DEMAND]]/1320,0)</f>
        <v>0</v>
      </c>
      <c r="P10" s="41">
        <f>Table215[[#This Row],[ADD ACC]]*Table215[[#This Row],[RT TIME (744)]]</f>
        <v>0</v>
      </c>
    </row>
    <row r="11" spans="1:16" x14ac:dyDescent="0.25">
      <c r="A11" s="38" t="s">
        <v>13493</v>
      </c>
      <c r="B11" s="39" t="s">
        <v>3964</v>
      </c>
      <c r="C11" s="39" t="s">
        <v>2</v>
      </c>
      <c r="D11" s="39">
        <v>2</v>
      </c>
      <c r="E11" s="1" t="s">
        <v>530</v>
      </c>
      <c r="F11" s="1" t="str">
        <f>VLOOKUP(E:E,Table10[[COUNTRY NAME]:[CONTINENT CODE]],3,FALSE)</f>
        <v>SA</v>
      </c>
      <c r="G11" s="156" t="s">
        <v>13179</v>
      </c>
      <c r="H11" s="8">
        <v>2464</v>
      </c>
      <c r="I11" s="41">
        <v>7.5</v>
      </c>
      <c r="J11" s="157">
        <v>148271835</v>
      </c>
      <c r="K11" s="6">
        <f>IFERROR(Table215[[#This Row],[ROUTE $]]/Table215[[#This Row],[E - DEMAND]],0)</f>
        <v>62509.205311973019</v>
      </c>
      <c r="L11" s="4">
        <v>2372</v>
      </c>
      <c r="M11" s="39">
        <f>VLOOKUP(Table215[[#This Row],[ROUTE]],DEMAND!A:F,5,FALSE)</f>
        <v>2476</v>
      </c>
      <c r="N11" s="39">
        <f>VLOOKUP(Table215[[#This Row],[ROUTE]],DEMAND!A:F,6,FALSE)</f>
        <v>1156</v>
      </c>
      <c r="O11" s="39">
        <f>ROUNDDOWN(Table215[[#This Row],[R-DEMAND]]/1320,0)</f>
        <v>0</v>
      </c>
      <c r="P11" s="41">
        <f>Table215[[#This Row],[ADD ACC]]*Table215[[#This Row],[RT TIME (744)]]</f>
        <v>0</v>
      </c>
    </row>
    <row r="12" spans="1:16" x14ac:dyDescent="0.25">
      <c r="A12" s="38" t="s">
        <v>13501</v>
      </c>
      <c r="B12" s="39" t="s">
        <v>5298</v>
      </c>
      <c r="C12" s="39" t="s">
        <v>2</v>
      </c>
      <c r="D12" s="39">
        <v>3</v>
      </c>
      <c r="E12" s="1" t="s">
        <v>812</v>
      </c>
      <c r="F12" s="1" t="str">
        <f>VLOOKUP(E:E,Table10[[COUNTRY NAME]:[CONTINENT CODE]],3,FALSE)</f>
        <v>NA</v>
      </c>
      <c r="G12" s="156" t="s">
        <v>13185</v>
      </c>
      <c r="H12" s="8">
        <v>5538</v>
      </c>
      <c r="I12" s="41">
        <v>14.5</v>
      </c>
      <c r="J12" s="157">
        <v>197239287</v>
      </c>
      <c r="K12" s="6">
        <f>IFERROR(Table215[[#This Row],[ROUTE $]]/Table215[[#This Row],[E - DEMAND]],0)</f>
        <v>69597.490119971771</v>
      </c>
      <c r="L12" s="4">
        <v>2834</v>
      </c>
      <c r="M12" s="39">
        <f>VLOOKUP(Table215[[#This Row],[ROUTE]],DEMAND!A:F,5,FALSE)</f>
        <v>2938</v>
      </c>
      <c r="N12" s="39">
        <f>VLOOKUP(Table215[[#This Row],[ROUTE]],DEMAND!A:F,6,FALSE)</f>
        <v>298</v>
      </c>
      <c r="O12" s="39">
        <f>ROUNDDOWN(Table215[[#This Row],[R-DEMAND]]/1320,0)</f>
        <v>0</v>
      </c>
      <c r="P12" s="41">
        <f>Table215[[#This Row],[ADD ACC]]*Table215[[#This Row],[RT TIME (744)]]</f>
        <v>0</v>
      </c>
    </row>
    <row r="13" spans="1:16" x14ac:dyDescent="0.25">
      <c r="A13" s="38" t="s">
        <v>13546</v>
      </c>
      <c r="B13" s="39" t="s">
        <v>4930</v>
      </c>
      <c r="C13" s="39" t="s">
        <v>2</v>
      </c>
      <c r="D13" s="39">
        <v>3</v>
      </c>
      <c r="E13" s="1" t="s">
        <v>520</v>
      </c>
      <c r="F13" s="1" t="str">
        <f>VLOOKUP(E:E,Table10[[COUNTRY NAME]:[CONTINENT CODE]],3,FALSE)</f>
        <v>EU</v>
      </c>
      <c r="G13" s="156" t="s">
        <v>11818</v>
      </c>
      <c r="H13" s="8">
        <v>11244</v>
      </c>
      <c r="I13" s="41">
        <v>27</v>
      </c>
      <c r="J13" s="157">
        <v>246438865</v>
      </c>
      <c r="K13" s="6">
        <f>IFERROR(Table215[[#This Row],[ROUTE $]]/Table215[[#This Row],[E - DEMAND]],0)</f>
        <v>86318.341506129596</v>
      </c>
      <c r="L13" s="5">
        <v>2855</v>
      </c>
      <c r="M13" s="39">
        <f>VLOOKUP(Table215[[#This Row],[ROUTE]],DEMAND!A:F,5,FALSE)</f>
        <v>2961</v>
      </c>
      <c r="N13" s="39">
        <f>VLOOKUP(Table215[[#This Row],[ROUTE]],DEMAND!A:F,6,FALSE)</f>
        <v>321</v>
      </c>
      <c r="O13" s="39">
        <f>ROUNDDOWN(Table215[[#This Row],[R-DEMAND]]/1320,0)</f>
        <v>0</v>
      </c>
      <c r="P13" s="41">
        <f>Table215[[#This Row],[ADD ACC]]*Table215[[#This Row],[RT TIME (744)]]</f>
        <v>0</v>
      </c>
    </row>
    <row r="14" spans="1:16" x14ac:dyDescent="0.25">
      <c r="A14" s="38" t="s">
        <v>13801</v>
      </c>
      <c r="B14" s="39" t="s">
        <v>5110</v>
      </c>
      <c r="C14" s="39" t="s">
        <v>2</v>
      </c>
      <c r="D14" s="39">
        <v>3</v>
      </c>
      <c r="E14" s="38" t="s">
        <v>1683</v>
      </c>
      <c r="F14" s="38" t="str">
        <f>VLOOKUP(E:E,Table10[[COUNTRY NAME]:[CONTINENT CODE]],3,FALSE)</f>
        <v>EU</v>
      </c>
      <c r="G14" s="155" t="s">
        <v>11813</v>
      </c>
      <c r="H14" s="40">
        <v>10160</v>
      </c>
      <c r="I14" s="41">
        <v>24.75</v>
      </c>
      <c r="J14" s="157">
        <v>239765430</v>
      </c>
      <c r="K14" s="42">
        <f>IFERROR(Table215[[#This Row],[ROUTE $]]/Table215[[#This Row],[E - DEMAND]],0)</f>
        <v>68582.788901601831</v>
      </c>
      <c r="L14" s="43">
        <v>3496</v>
      </c>
      <c r="M14" s="39">
        <f>VLOOKUP(Table215[[#This Row],[ROUTE]],DEMAND!A:F,5,FALSE)</f>
        <v>3637</v>
      </c>
      <c r="N14" s="39">
        <f>VLOOKUP(Table215[[#This Row],[ROUTE]],DEMAND!A:F,6,FALSE)</f>
        <v>997</v>
      </c>
      <c r="O14" s="39">
        <f>ROUNDDOWN(Table215[[#This Row],[R-DEMAND]]/1320,0)</f>
        <v>0</v>
      </c>
      <c r="P14" s="41">
        <f>Table215[[#This Row],[ADD ACC]]*Table215[[#This Row],[RT TIME (744)]]</f>
        <v>0</v>
      </c>
    </row>
    <row r="15" spans="1:16" x14ac:dyDescent="0.25">
      <c r="A15" s="38" t="s">
        <v>13894</v>
      </c>
      <c r="B15" s="39" t="s">
        <v>4987</v>
      </c>
      <c r="C15" s="39" t="s">
        <v>2</v>
      </c>
      <c r="D15" s="39">
        <v>3</v>
      </c>
      <c r="E15" s="38" t="s">
        <v>722</v>
      </c>
      <c r="F15" s="38" t="str">
        <f>VLOOKUP(E:E,Table10[[COUNTRY NAME]:[CONTINENT CODE]],3,FALSE)</f>
        <v>EU</v>
      </c>
      <c r="G15" s="155" t="s">
        <v>11855</v>
      </c>
      <c r="H15" s="40">
        <v>11343</v>
      </c>
      <c r="I15" s="41">
        <v>27.25</v>
      </c>
      <c r="J15" s="157">
        <v>248174959</v>
      </c>
      <c r="K15" s="42">
        <f>IFERROR(Table215[[#This Row],[ROUTE $]]/Table215[[#This Row],[E - DEMAND]],0)</f>
        <v>74192.812855007476</v>
      </c>
      <c r="L15" s="43">
        <v>3345</v>
      </c>
      <c r="M15" s="39">
        <f>VLOOKUP(Table215[[#This Row],[ROUTE]],DEMAND!A:F,5,FALSE)</f>
        <v>3469</v>
      </c>
      <c r="N15" s="39">
        <f>VLOOKUP(Table215[[#This Row],[ROUTE]],DEMAND!A:F,6,FALSE)</f>
        <v>829</v>
      </c>
      <c r="O15" s="39">
        <f>ROUNDDOWN(Table215[[#This Row],[R-DEMAND]]/1320,0)</f>
        <v>0</v>
      </c>
      <c r="P15" s="41">
        <f>Table215[[#This Row],[ADD ACC]]*Table215[[#This Row],[RT TIME (744)]]</f>
        <v>0</v>
      </c>
    </row>
    <row r="16" spans="1:16" x14ac:dyDescent="0.25">
      <c r="A16" s="38" t="s">
        <v>13895</v>
      </c>
      <c r="B16" s="39" t="s">
        <v>5419</v>
      </c>
      <c r="C16" s="39" t="s">
        <v>2</v>
      </c>
      <c r="D16" s="39">
        <v>3</v>
      </c>
      <c r="E16" s="38" t="s">
        <v>722</v>
      </c>
      <c r="F16" s="38" t="str">
        <f>VLOOKUP(E:E,Table10[[COUNTRY NAME]:[CONTINENT CODE]],3,FALSE)</f>
        <v>EU</v>
      </c>
      <c r="G16" s="155" t="s">
        <v>11845</v>
      </c>
      <c r="H16" s="40">
        <v>11150</v>
      </c>
      <c r="I16" s="41">
        <v>26.75</v>
      </c>
      <c r="J16" s="157">
        <v>256933648</v>
      </c>
      <c r="K16" s="42">
        <f>IFERROR(Table215[[#This Row],[ROUTE $]]/Table215[[#This Row],[E - DEMAND]],0)</f>
        <v>69554.317271250678</v>
      </c>
      <c r="L16" s="43">
        <v>3694</v>
      </c>
      <c r="M16" s="39">
        <f>VLOOKUP(Table215[[#This Row],[ROUTE]],DEMAND!A:F,5,FALSE)</f>
        <v>3831</v>
      </c>
      <c r="N16" s="39">
        <f>VLOOKUP(Table215[[#This Row],[ROUTE]],DEMAND!A:F,6,FALSE)</f>
        <v>1191</v>
      </c>
      <c r="O16" s="39">
        <f>ROUNDDOWN(Table215[[#This Row],[R-DEMAND]]/1320,0)</f>
        <v>0</v>
      </c>
      <c r="P16" s="41">
        <f>Table215[[#This Row],[ADD ACC]]*Table215[[#This Row],[RT TIME (744)]]</f>
        <v>0</v>
      </c>
    </row>
    <row r="17" spans="1:16" x14ac:dyDescent="0.25">
      <c r="A17" s="38" t="s">
        <v>13897</v>
      </c>
      <c r="B17" s="39" t="s">
        <v>4985</v>
      </c>
      <c r="C17" s="39" t="s">
        <v>2</v>
      </c>
      <c r="D17" s="39">
        <v>3</v>
      </c>
      <c r="E17" s="38" t="s">
        <v>722</v>
      </c>
      <c r="F17" s="38" t="str">
        <f>VLOOKUP(E:E,Table10[[COUNTRY NAME]:[CONTINENT CODE]],3,FALSE)</f>
        <v>EU</v>
      </c>
      <c r="G17" s="155" t="s">
        <v>11850</v>
      </c>
      <c r="H17" s="40">
        <v>10952</v>
      </c>
      <c r="I17" s="41">
        <v>26.5</v>
      </c>
      <c r="J17" s="157">
        <v>244277480</v>
      </c>
      <c r="K17" s="42">
        <f>IFERROR(Table215[[#This Row],[ROUTE $]]/Table215[[#This Row],[E - DEMAND]],0)</f>
        <v>73027.647234678618</v>
      </c>
      <c r="L17" s="43">
        <v>3345</v>
      </c>
      <c r="M17" s="39">
        <f>VLOOKUP(Table215[[#This Row],[ROUTE]],DEMAND!A:F,5,FALSE)</f>
        <v>3458</v>
      </c>
      <c r="N17" s="39">
        <f>VLOOKUP(Table215[[#This Row],[ROUTE]],DEMAND!A:F,6,FALSE)</f>
        <v>818</v>
      </c>
      <c r="O17" s="39">
        <f>ROUNDDOWN(Table215[[#This Row],[R-DEMAND]]/1320,0)</f>
        <v>0</v>
      </c>
      <c r="P17" s="41">
        <f>Table215[[#This Row],[ADD ACC]]*Table215[[#This Row],[RT TIME (744)]]</f>
        <v>0</v>
      </c>
    </row>
    <row r="18" spans="1:16" x14ac:dyDescent="0.25">
      <c r="A18" s="38" t="s">
        <v>13379</v>
      </c>
      <c r="B18" s="39" t="s">
        <v>3674</v>
      </c>
      <c r="C18" s="39" t="s">
        <v>2</v>
      </c>
      <c r="D18" s="39">
        <v>2</v>
      </c>
      <c r="E18" s="1" t="s">
        <v>567</v>
      </c>
      <c r="F18" s="1" t="str">
        <f>VLOOKUP(E:E,Table10[[COUNTRY NAME]:[CONTINENT CODE]],3,FALSE)</f>
        <v>AS</v>
      </c>
      <c r="G18" s="156" t="s">
        <v>11998</v>
      </c>
      <c r="H18" s="8">
        <v>13383</v>
      </c>
      <c r="I18" s="41">
        <v>31.75</v>
      </c>
      <c r="J18" s="157"/>
      <c r="K18" s="149">
        <f>IFERROR(Table215[[#This Row],[ROUTE $]]/Table215[[#This Row],[E - DEMAND]],0)</f>
        <v>0</v>
      </c>
      <c r="L18" s="4"/>
      <c r="M18" s="39">
        <f>VLOOKUP(Table215[[#This Row],[ROUTE]],DEMAND!A:F,5,FALSE)</f>
        <v>2787</v>
      </c>
      <c r="N18" s="39">
        <f>VLOOKUP(Table215[[#This Row],[ROUTE]],DEMAND!A:F,6,FALSE)</f>
        <v>147</v>
      </c>
      <c r="O18" s="39">
        <f>ROUNDDOWN(Table215[[#This Row],[R-DEMAND]]/1320,0)</f>
        <v>0</v>
      </c>
      <c r="P18" s="41">
        <f>Table215[[#This Row],[ADD ACC]]*Table215[[#This Row],[RT TIME (744)]]</f>
        <v>0</v>
      </c>
    </row>
    <row r="19" spans="1:16" x14ac:dyDescent="0.25">
      <c r="A19" s="38" t="s">
        <v>13386</v>
      </c>
      <c r="B19" s="39" t="s">
        <v>450</v>
      </c>
      <c r="C19" s="39" t="s">
        <v>2</v>
      </c>
      <c r="D19" s="39">
        <v>4</v>
      </c>
      <c r="E19" s="1" t="s">
        <v>493</v>
      </c>
      <c r="F19" s="1" t="str">
        <f>VLOOKUP(E:E,Table10[[COUNTRY NAME]:[CONTINENT CODE]],3,FALSE)</f>
        <v>AF</v>
      </c>
      <c r="G19" s="160" t="s">
        <v>11112</v>
      </c>
      <c r="H19" s="40">
        <v>8476</v>
      </c>
      <c r="I19" s="41">
        <v>21</v>
      </c>
      <c r="J19" s="157">
        <v>232631640</v>
      </c>
      <c r="K19" s="42">
        <f>IFERROR(Table215[[#This Row],[ROUTE $]]/Table215[[#This Row],[E - DEMAND]],0)</f>
        <v>63421.93020719738</v>
      </c>
      <c r="L19" s="43">
        <v>3668</v>
      </c>
      <c r="M19" s="39">
        <f>VLOOKUP(Table215[[#This Row],[ROUTE]],DEMAND!A:F,5,FALSE)</f>
        <v>3913</v>
      </c>
      <c r="N19" s="39">
        <f>VLOOKUP(Table215[[#This Row],[ROUTE]],DEMAND!A:F,6,FALSE)</f>
        <v>1273</v>
      </c>
      <c r="O19" s="39">
        <f>ROUNDDOWN(Table215[[#This Row],[R-DEMAND]]/1320,0)</f>
        <v>0</v>
      </c>
      <c r="P19" s="41">
        <f>Table215[[#This Row],[ADD ACC]]*Table215[[#This Row],[RT TIME (744)]]</f>
        <v>0</v>
      </c>
    </row>
    <row r="20" spans="1:16" ht="15.75" customHeight="1" x14ac:dyDescent="0.25">
      <c r="A20" s="38" t="s">
        <v>13381</v>
      </c>
      <c r="B20" s="39" t="s">
        <v>2579</v>
      </c>
      <c r="C20" s="39" t="s">
        <v>2</v>
      </c>
      <c r="D20" s="39">
        <v>2</v>
      </c>
      <c r="E20" s="1" t="s">
        <v>493</v>
      </c>
      <c r="F20" s="1" t="str">
        <f>VLOOKUP(E:E,Table10[[COUNTRY NAME]:[CONTINENT CODE]],3,FALSE)</f>
        <v>AF</v>
      </c>
      <c r="G20" s="160" t="s">
        <v>11749</v>
      </c>
      <c r="H20" s="40">
        <v>8709</v>
      </c>
      <c r="I20" s="41">
        <v>21.5</v>
      </c>
      <c r="J20" s="157">
        <v>203221640</v>
      </c>
      <c r="K20" s="42">
        <f>IFERROR(Table215[[#This Row],[ROUTE $]]/Table215[[#This Row],[E - DEMAND]],0)</f>
        <v>77506.346300533944</v>
      </c>
      <c r="L20" s="43">
        <v>2622</v>
      </c>
      <c r="M20" s="39">
        <f>VLOOKUP(Table215[[#This Row],[ROUTE]],DEMAND!A:F,5,FALSE)</f>
        <v>2798</v>
      </c>
      <c r="N20" s="39">
        <f>VLOOKUP(Table215[[#This Row],[ROUTE]],DEMAND!A:F,6,FALSE)</f>
        <v>158</v>
      </c>
      <c r="O20" s="39">
        <f>ROUNDDOWN(Table215[[#This Row],[R-DEMAND]]/1320,0)</f>
        <v>0</v>
      </c>
      <c r="P20" s="41">
        <f>Table215[[#This Row],[ADD ACC]]*Table215[[#This Row],[RT TIME (744)]]</f>
        <v>0</v>
      </c>
    </row>
    <row r="21" spans="1:16" ht="15.75" customHeight="1" x14ac:dyDescent="0.25">
      <c r="A21" s="38" t="s">
        <v>13383</v>
      </c>
      <c r="B21" s="39" t="s">
        <v>2512</v>
      </c>
      <c r="C21" s="39" t="s">
        <v>2</v>
      </c>
      <c r="D21" s="39">
        <v>2</v>
      </c>
      <c r="E21" s="1" t="s">
        <v>493</v>
      </c>
      <c r="F21" s="1" t="str">
        <f>VLOOKUP(E:E,Table10[[COUNTRY NAME]:[CONTINENT CODE]],3,FALSE)</f>
        <v>AF</v>
      </c>
      <c r="G21" s="160" t="s">
        <v>11734</v>
      </c>
      <c r="H21" s="40">
        <v>8610</v>
      </c>
      <c r="I21" s="41">
        <v>21.25</v>
      </c>
      <c r="J21" s="157">
        <v>203107640</v>
      </c>
      <c r="K21" s="42">
        <f>IFERROR(Table215[[#This Row],[ROUTE $]]/Table215[[#This Row],[E - DEMAND]],0)</f>
        <v>77670.225621414909</v>
      </c>
      <c r="L21" s="43">
        <v>2615</v>
      </c>
      <c r="M21" s="39">
        <f>VLOOKUP(Table215[[#This Row],[ROUTE]],DEMAND!A:F,5,FALSE)</f>
        <v>2791</v>
      </c>
      <c r="N21" s="39">
        <f>VLOOKUP(Table215[[#This Row],[ROUTE]],DEMAND!A:F,6,FALSE)</f>
        <v>151</v>
      </c>
      <c r="O21" s="39">
        <f>ROUNDDOWN(Table215[[#This Row],[R-DEMAND]]/1320,0)</f>
        <v>0</v>
      </c>
      <c r="P21" s="41">
        <f>Table215[[#This Row],[ADD ACC]]*Table215[[#This Row],[RT TIME (744)]]</f>
        <v>0</v>
      </c>
    </row>
    <row r="22" spans="1:16" ht="15.75" customHeight="1" x14ac:dyDescent="0.25">
      <c r="A22" s="38" t="s">
        <v>13382</v>
      </c>
      <c r="B22" s="39" t="s">
        <v>3693</v>
      </c>
      <c r="C22" s="39" t="s">
        <v>2</v>
      </c>
      <c r="D22" s="39">
        <v>2</v>
      </c>
      <c r="E22" s="1" t="s">
        <v>493</v>
      </c>
      <c r="F22" s="1" t="str">
        <f>VLOOKUP(E:E,Table10[[COUNTRY NAME]:[CONTINENT CODE]],3,FALSE)</f>
        <v>AF</v>
      </c>
      <c r="G22" s="156" t="s">
        <v>11738</v>
      </c>
      <c r="H22" s="8">
        <v>8669</v>
      </c>
      <c r="I22" s="41">
        <v>21.25</v>
      </c>
      <c r="J22" s="157">
        <v>209029640</v>
      </c>
      <c r="K22" s="6">
        <f>IFERROR(Table215[[#This Row],[ROUTE $]]/Table215[[#This Row],[E - DEMAND]],0)</f>
        <v>74176.593328601841</v>
      </c>
      <c r="L22" s="4">
        <v>2818</v>
      </c>
      <c r="M22" s="39">
        <f>VLOOKUP(Table215[[#This Row],[ROUTE]],DEMAND!A:F,5,FALSE)</f>
        <v>2969</v>
      </c>
      <c r="N22" s="39">
        <f>VLOOKUP(Table215[[#This Row],[ROUTE]],DEMAND!A:F,6,FALSE)</f>
        <v>329</v>
      </c>
      <c r="O22" s="39">
        <f>ROUNDDOWN(Table215[[#This Row],[R-DEMAND]]/1320,0)</f>
        <v>0</v>
      </c>
      <c r="P22" s="41">
        <f>Table215[[#This Row],[ADD ACC]]*Table215[[#This Row],[RT TIME (744)]]</f>
        <v>0</v>
      </c>
    </row>
    <row r="23" spans="1:16" ht="15.75" customHeight="1" x14ac:dyDescent="0.25">
      <c r="A23" s="38" t="s">
        <v>13389</v>
      </c>
      <c r="B23" s="39" t="s">
        <v>3984</v>
      </c>
      <c r="C23" s="39" t="s">
        <v>2</v>
      </c>
      <c r="D23" s="39">
        <v>2</v>
      </c>
      <c r="E23" s="1" t="s">
        <v>493</v>
      </c>
      <c r="F23" s="1" t="str">
        <f>VLOOKUP(E:E,Table10[[COUNTRY NAME]:[CONTINENT CODE]],3,FALSE)</f>
        <v>AF</v>
      </c>
      <c r="G23" s="160" t="s">
        <v>11731</v>
      </c>
      <c r="H23" s="40">
        <v>8298</v>
      </c>
      <c r="I23" s="41">
        <v>20.5</v>
      </c>
      <c r="J23" s="157">
        <v>207216211</v>
      </c>
      <c r="K23" s="42">
        <f>IFERROR(Table215[[#This Row],[ROUTE $]]/Table215[[#This Row],[E - DEMAND]],0)</f>
        <v>71651.525242047021</v>
      </c>
      <c r="L23" s="43">
        <v>2892</v>
      </c>
      <c r="M23" s="39">
        <f>VLOOKUP(Table215[[#This Row],[ROUTE]],DEMAND!A:F,5,FALSE)</f>
        <v>3077</v>
      </c>
      <c r="N23" s="39">
        <f>VLOOKUP(Table215[[#This Row],[ROUTE]],DEMAND!A:F,6,FALSE)</f>
        <v>437</v>
      </c>
      <c r="O23" s="39">
        <f>ROUNDDOWN(Table215[[#This Row],[R-DEMAND]]/1320,0)</f>
        <v>0</v>
      </c>
      <c r="P23" s="41">
        <f>Table215[[#This Row],[ADD ACC]]*Table215[[#This Row],[RT TIME (744)]]</f>
        <v>0</v>
      </c>
    </row>
    <row r="24" spans="1:16" ht="15.75" customHeight="1" x14ac:dyDescent="0.25">
      <c r="A24" s="38" t="s">
        <v>13388</v>
      </c>
      <c r="B24" s="39" t="s">
        <v>3008</v>
      </c>
      <c r="C24" s="39" t="s">
        <v>2</v>
      </c>
      <c r="D24" s="39">
        <v>2</v>
      </c>
      <c r="E24" s="1" t="s">
        <v>493</v>
      </c>
      <c r="F24" s="1" t="str">
        <f>VLOOKUP(E:E,Table10[[COUNTRY NAME]:[CONTINENT CODE]],3,FALSE)</f>
        <v>AF</v>
      </c>
      <c r="G24" s="156" t="s">
        <v>11764</v>
      </c>
      <c r="H24" s="8">
        <v>8304</v>
      </c>
      <c r="I24" s="41">
        <v>20.5</v>
      </c>
      <c r="J24" s="157">
        <v>201555640</v>
      </c>
      <c r="K24" s="6">
        <f>IFERROR(Table215[[#This Row],[ROUTE $]]/Table215[[#This Row],[E - DEMAND]],0)</f>
        <v>74733.274008157212</v>
      </c>
      <c r="L24" s="4">
        <v>2697</v>
      </c>
      <c r="M24" s="39">
        <f>VLOOKUP(Table215[[#This Row],[ROUTE]],DEMAND!A:F,5,FALSE)</f>
        <v>2806</v>
      </c>
      <c r="N24" s="39">
        <f>VLOOKUP(Table215[[#This Row],[ROUTE]],DEMAND!A:F,6,FALSE)</f>
        <v>166</v>
      </c>
      <c r="O24" s="39">
        <f>ROUNDDOWN(Table215[[#This Row],[R-DEMAND]]/1320,0)</f>
        <v>0</v>
      </c>
      <c r="P24" s="41">
        <f>Table215[[#This Row],[ADD ACC]]*Table215[[#This Row],[RT TIME (744)]]</f>
        <v>0</v>
      </c>
    </row>
    <row r="25" spans="1:16" ht="15.75" customHeight="1" x14ac:dyDescent="0.25">
      <c r="A25" s="38" t="s">
        <v>13395</v>
      </c>
      <c r="B25" s="39" t="s">
        <v>4636</v>
      </c>
      <c r="C25" s="39" t="s">
        <v>2</v>
      </c>
      <c r="D25" s="39">
        <v>2</v>
      </c>
      <c r="E25" s="1" t="s">
        <v>493</v>
      </c>
      <c r="F25" s="1" t="str">
        <f>VLOOKUP(E:E,Table10[[COUNTRY NAME]:[CONTINENT CODE]],3,FALSE)</f>
        <v>AF</v>
      </c>
      <c r="G25" s="156" t="s">
        <v>11702</v>
      </c>
      <c r="H25" s="8">
        <v>8149</v>
      </c>
      <c r="I25" s="41">
        <v>20.25</v>
      </c>
      <c r="J25" s="157">
        <v>211920307</v>
      </c>
      <c r="K25" s="6">
        <f>IFERROR(Table215[[#This Row],[ROUTE $]]/Table215[[#This Row],[E - DEMAND]],0)</f>
        <v>71305.621467025572</v>
      </c>
      <c r="L25" s="4">
        <v>2972</v>
      </c>
      <c r="M25" s="39">
        <f>VLOOKUP(Table215[[#This Row],[ROUTE]],DEMAND!A:F,5,FALSE)</f>
        <v>3151</v>
      </c>
      <c r="N25" s="39">
        <f>VLOOKUP(Table215[[#This Row],[ROUTE]],DEMAND!A:F,6,FALSE)</f>
        <v>511</v>
      </c>
      <c r="O25" s="39">
        <f>ROUNDDOWN(Table215[[#This Row],[R-DEMAND]]/1320,0)</f>
        <v>0</v>
      </c>
      <c r="P25" s="41">
        <f>Table215[[#This Row],[ADD ACC]]*Table215[[#This Row],[RT TIME (744)]]</f>
        <v>0</v>
      </c>
    </row>
    <row r="26" spans="1:16" ht="15.75" customHeight="1" x14ac:dyDescent="0.25">
      <c r="A26" s="38" t="s">
        <v>13405</v>
      </c>
      <c r="B26" s="39" t="s">
        <v>2625</v>
      </c>
      <c r="C26" s="39" t="s">
        <v>2</v>
      </c>
      <c r="D26" s="39">
        <v>2</v>
      </c>
      <c r="E26" s="1" t="s">
        <v>2623</v>
      </c>
      <c r="F26" s="1" t="str">
        <f>VLOOKUP(E:E,Table10[[COUNTRY NAME]:[CONTINENT CODE]],3,FALSE)</f>
        <v>OC</v>
      </c>
      <c r="G26" s="156" t="s">
        <v>11860</v>
      </c>
      <c r="H26" s="8">
        <v>12645</v>
      </c>
      <c r="I26" s="41">
        <v>30.25</v>
      </c>
      <c r="J26" s="157"/>
      <c r="K26" s="6">
        <f>IFERROR(Table215[[#This Row],[ROUTE $]]/Table215[[#This Row],[E - DEMAND]],0)</f>
        <v>0</v>
      </c>
      <c r="L26" s="4"/>
      <c r="M26" s="39">
        <f>VLOOKUP(Table215[[#This Row],[ROUTE]],DEMAND!A:F,5,FALSE)</f>
        <v>2967</v>
      </c>
      <c r="N26" s="39">
        <f>VLOOKUP(Table215[[#This Row],[ROUTE]],DEMAND!A:F,6,FALSE)</f>
        <v>327</v>
      </c>
      <c r="O26" s="39">
        <f>ROUNDDOWN(Table215[[#This Row],[R-DEMAND]]/1320,0)</f>
        <v>0</v>
      </c>
      <c r="P26" s="41">
        <f>Table215[[#This Row],[ADD ACC]]*Table215[[#This Row],[RT TIME (744)]]</f>
        <v>0</v>
      </c>
    </row>
    <row r="27" spans="1:16" ht="15.75" customHeight="1" x14ac:dyDescent="0.25">
      <c r="A27" s="38" t="s">
        <v>13408</v>
      </c>
      <c r="B27" s="39" t="s">
        <v>209</v>
      </c>
      <c r="C27" s="39" t="s">
        <v>2</v>
      </c>
      <c r="D27" s="39">
        <v>3</v>
      </c>
      <c r="E27" s="1" t="s">
        <v>644</v>
      </c>
      <c r="F27" s="1" t="str">
        <f>VLOOKUP(E:E,Table10[[COUNTRY NAME]:[CONTINENT CODE]],3,FALSE)</f>
        <v>AF</v>
      </c>
      <c r="G27" s="156" t="s">
        <v>11811</v>
      </c>
      <c r="H27" s="8">
        <v>6535</v>
      </c>
      <c r="I27" s="41">
        <v>16.5</v>
      </c>
      <c r="J27" s="157">
        <v>203922752</v>
      </c>
      <c r="K27" s="6">
        <f>IFERROR(Table215[[#This Row],[ROUTE $]]/Table215[[#This Row],[E - DEMAND]],0)</f>
        <v>51495.644444444442</v>
      </c>
      <c r="L27" s="4">
        <v>3960</v>
      </c>
      <c r="M27" s="39">
        <f>VLOOKUP(Table215[[#This Row],[ROUTE]],DEMAND!A:F,5,FALSE)</f>
        <v>4185</v>
      </c>
      <c r="N27" s="39">
        <f>VLOOKUP(Table215[[#This Row],[ROUTE]],DEMAND!A:F,6,FALSE)</f>
        <v>225</v>
      </c>
      <c r="O27" s="39">
        <f>ROUNDDOWN(Table215[[#This Row],[R-DEMAND]]/1320,0)</f>
        <v>0</v>
      </c>
      <c r="P27" s="41">
        <f>Table215[[#This Row],[ADD ACC]]*Table215[[#This Row],[RT TIME (744)]]</f>
        <v>0</v>
      </c>
    </row>
    <row r="28" spans="1:16" ht="15.75" customHeight="1" x14ac:dyDescent="0.25">
      <c r="A28" s="38" t="s">
        <v>13411</v>
      </c>
      <c r="B28" s="39" t="s">
        <v>3292</v>
      </c>
      <c r="C28" s="39" t="s">
        <v>2</v>
      </c>
      <c r="D28" s="39">
        <v>2</v>
      </c>
      <c r="E28" s="1" t="s">
        <v>644</v>
      </c>
      <c r="F28" s="1" t="str">
        <f>VLOOKUP(E:E,Table10[[COUNTRY NAME]:[CONTINENT CODE]],3,FALSE)</f>
        <v>AF</v>
      </c>
      <c r="G28" s="156" t="s">
        <v>11815</v>
      </c>
      <c r="H28" s="8">
        <v>6335</v>
      </c>
      <c r="I28" s="41">
        <v>16.25</v>
      </c>
      <c r="J28" s="157">
        <v>184266718</v>
      </c>
      <c r="K28" s="6">
        <f>IFERROR(Table215[[#This Row],[ROUTE $]]/Table215[[#This Row],[E - DEMAND]],0)</f>
        <v>55186.19886193471</v>
      </c>
      <c r="L28" s="4">
        <v>3339</v>
      </c>
      <c r="M28" s="39">
        <f>VLOOKUP(Table215[[#This Row],[ROUTE]],DEMAND!A:F,5,FALSE)</f>
        <v>3452</v>
      </c>
      <c r="N28" s="39">
        <f>VLOOKUP(Table215[[#This Row],[ROUTE]],DEMAND!A:F,6,FALSE)</f>
        <v>812</v>
      </c>
      <c r="O28" s="39">
        <f>ROUNDDOWN(Table215[[#This Row],[R-DEMAND]]/1320,0)</f>
        <v>0</v>
      </c>
      <c r="P28" s="41">
        <f>Table215[[#This Row],[ADD ACC]]*Table215[[#This Row],[RT TIME (744)]]</f>
        <v>0</v>
      </c>
    </row>
    <row r="29" spans="1:16" ht="15.75" customHeight="1" x14ac:dyDescent="0.25">
      <c r="A29" s="38" t="s">
        <v>13409</v>
      </c>
      <c r="B29" s="39" t="s">
        <v>3371</v>
      </c>
      <c r="C29" s="39" t="s">
        <v>2</v>
      </c>
      <c r="D29" s="39">
        <v>2</v>
      </c>
      <c r="E29" s="1" t="s">
        <v>644</v>
      </c>
      <c r="F29" s="1" t="str">
        <f>VLOOKUP(E:E,Table10[[COUNTRY NAME]:[CONTINENT CODE]],3,FALSE)</f>
        <v>AF</v>
      </c>
      <c r="G29" s="156" t="s">
        <v>11831</v>
      </c>
      <c r="H29" s="8">
        <v>6477</v>
      </c>
      <c r="I29" s="41">
        <v>16.5</v>
      </c>
      <c r="J29" s="157">
        <v>186003276</v>
      </c>
      <c r="K29" s="6">
        <f>IFERROR(Table215[[#This Row],[ROUTE $]]/Table215[[#This Row],[E - DEMAND]],0)</f>
        <v>55490.237470167063</v>
      </c>
      <c r="L29" s="4">
        <v>3352</v>
      </c>
      <c r="M29" s="39">
        <f>VLOOKUP(Table215[[#This Row],[ROUTE]],DEMAND!A:F,5,FALSE)</f>
        <v>3509</v>
      </c>
      <c r="N29" s="39">
        <f>VLOOKUP(Table215[[#This Row],[ROUTE]],DEMAND!A:F,6,FALSE)</f>
        <v>869</v>
      </c>
      <c r="O29" s="39">
        <f>ROUNDDOWN(Table215[[#This Row],[R-DEMAND]]/1320,0)</f>
        <v>0</v>
      </c>
      <c r="P29" s="41">
        <f>Table215[[#This Row],[ADD ACC]]*Table215[[#This Row],[RT TIME (744)]]</f>
        <v>0</v>
      </c>
    </row>
    <row r="30" spans="1:16" ht="15.75" customHeight="1" x14ac:dyDescent="0.25">
      <c r="A30" s="38" t="s">
        <v>13410</v>
      </c>
      <c r="B30" s="39" t="s">
        <v>2531</v>
      </c>
      <c r="C30" s="39" t="s">
        <v>2</v>
      </c>
      <c r="D30" s="39">
        <v>2</v>
      </c>
      <c r="E30" s="1" t="s">
        <v>644</v>
      </c>
      <c r="F30" s="1" t="str">
        <f>VLOOKUP(E:E,Table10[[COUNTRY NAME]:[CONTINENT CODE]],3,FALSE)</f>
        <v>AF</v>
      </c>
      <c r="G30" s="156" t="s">
        <v>11812</v>
      </c>
      <c r="H30" s="8">
        <v>6416</v>
      </c>
      <c r="I30" s="41">
        <v>16.25</v>
      </c>
      <c r="J30" s="157">
        <v>181041812</v>
      </c>
      <c r="K30" s="6">
        <f>IFERROR(Table215[[#This Row],[ROUTE $]]/Table215[[#This Row],[E - DEMAND]],0)</f>
        <v>56646.374217772216</v>
      </c>
      <c r="L30" s="5">
        <v>3196</v>
      </c>
      <c r="M30" s="39">
        <f>VLOOKUP(Table215[[#This Row],[ROUTE]],DEMAND!A:F,5,FALSE)</f>
        <v>3379</v>
      </c>
      <c r="N30" s="39">
        <f>VLOOKUP(Table215[[#This Row],[ROUTE]],DEMAND!A:F,6,FALSE)</f>
        <v>739</v>
      </c>
      <c r="O30" s="39">
        <f>ROUNDDOWN(Table215[[#This Row],[R-DEMAND]]/1320,0)</f>
        <v>0</v>
      </c>
      <c r="P30" s="41">
        <f>Table215[[#This Row],[ADD ACC]]*Table215[[#This Row],[RT TIME (744)]]</f>
        <v>0</v>
      </c>
    </row>
    <row r="31" spans="1:16" ht="15.75" customHeight="1" x14ac:dyDescent="0.25">
      <c r="A31" s="38" t="s">
        <v>13407</v>
      </c>
      <c r="B31" s="39" t="s">
        <v>1965</v>
      </c>
      <c r="C31" s="39" t="s">
        <v>2</v>
      </c>
      <c r="D31" s="39">
        <v>1</v>
      </c>
      <c r="E31" s="1" t="s">
        <v>644</v>
      </c>
      <c r="F31" s="1" t="str">
        <f>VLOOKUP(E:E,Table10[[COUNTRY NAME]:[CONTINENT CODE]],3,FALSE)</f>
        <v>AF</v>
      </c>
      <c r="G31" s="156" t="s">
        <v>11839</v>
      </c>
      <c r="H31" s="8">
        <v>6767</v>
      </c>
      <c r="I31" s="41">
        <v>17</v>
      </c>
      <c r="J31" s="157"/>
      <c r="K31" s="6">
        <f>IFERROR(Table215[[#This Row],[ROUTE $]]/Table215[[#This Row],[E - DEMAND]],0)</f>
        <v>0</v>
      </c>
      <c r="L31" s="5"/>
      <c r="M31" s="39">
        <f>VLOOKUP(Table215[[#This Row],[ROUTE]],DEMAND!A:F,5,FALSE)</f>
        <v>3268</v>
      </c>
      <c r="N31" s="39">
        <f>VLOOKUP(Table215[[#This Row],[ROUTE]],DEMAND!A:F,6,FALSE)</f>
        <v>628</v>
      </c>
      <c r="O31" s="39">
        <f>ROUNDDOWN(Table215[[#This Row],[R-DEMAND]]/1320,0)</f>
        <v>0</v>
      </c>
      <c r="P31" s="41">
        <f>Table215[[#This Row],[ADD ACC]]*Table215[[#This Row],[RT TIME (744)]]</f>
        <v>0</v>
      </c>
    </row>
    <row r="32" spans="1:16" ht="15.75" customHeight="1" x14ac:dyDescent="0.25">
      <c r="A32" s="38" t="s">
        <v>13423</v>
      </c>
      <c r="B32" s="39" t="s">
        <v>312</v>
      </c>
      <c r="C32" s="39" t="s">
        <v>2</v>
      </c>
      <c r="D32" s="39">
        <v>4</v>
      </c>
      <c r="E32" s="143" t="s">
        <v>505</v>
      </c>
      <c r="F32" s="1" t="e">
        <f>VLOOKUP(E:E,Table10[[COUNTRY NAME]:[CONTINENT CODE]],3,FALSE)</f>
        <v>#N/A</v>
      </c>
      <c r="G32" s="156" t="s">
        <v>13142</v>
      </c>
      <c r="H32" s="8">
        <v>1723</v>
      </c>
      <c r="I32" s="41">
        <v>6</v>
      </c>
      <c r="J32" s="157">
        <v>166234203</v>
      </c>
      <c r="K32" s="6">
        <f>IFERROR(Table215[[#This Row],[ROUTE $]]/Table215[[#This Row],[E - DEMAND]],0)</f>
        <v>53314.369146889032</v>
      </c>
      <c r="L32" s="5">
        <v>3118</v>
      </c>
      <c r="M32" s="39">
        <f>VLOOKUP(Table215[[#This Row],[ROUTE]],DEMAND!A:F,5,FALSE)</f>
        <v>3333</v>
      </c>
      <c r="N32" s="39">
        <f>VLOOKUP(Table215[[#This Row],[ROUTE]],DEMAND!A:F,6,FALSE)</f>
        <v>693</v>
      </c>
      <c r="O32" s="39">
        <f>ROUNDDOWN(Table215[[#This Row],[R-DEMAND]]/1320,0)</f>
        <v>0</v>
      </c>
      <c r="P32" s="41">
        <f>Table215[[#This Row],[ADD ACC]]*Table215[[#This Row],[RT TIME (744)]]</f>
        <v>0</v>
      </c>
    </row>
    <row r="33" spans="1:16" ht="15.75" customHeight="1" x14ac:dyDescent="0.25">
      <c r="A33" s="38" t="s">
        <v>13412</v>
      </c>
      <c r="B33" s="39" t="s">
        <v>4078</v>
      </c>
      <c r="C33" s="39" t="s">
        <v>2</v>
      </c>
      <c r="D33" s="39">
        <v>2</v>
      </c>
      <c r="E33" s="143" t="s">
        <v>505</v>
      </c>
      <c r="F33" s="1" t="e">
        <f>VLOOKUP(E:E,Table10[[COUNTRY NAME]:[CONTINENT CODE]],3,FALSE)</f>
        <v>#N/A</v>
      </c>
      <c r="G33" s="160" t="s">
        <v>11670</v>
      </c>
      <c r="H33" s="8">
        <v>3933</v>
      </c>
      <c r="I33" s="41">
        <v>10.75</v>
      </c>
      <c r="J33" s="157">
        <v>163919977</v>
      </c>
      <c r="K33" s="42">
        <f>IFERROR(Table215[[#This Row],[ROUTE $]]/Table215[[#This Row],[E - DEMAND]],0)</f>
        <v>61693.630786601432</v>
      </c>
      <c r="L33" s="43">
        <v>2657</v>
      </c>
      <c r="M33" s="39">
        <f>VLOOKUP(Table215[[#This Row],[ROUTE]],DEMAND!A:F,5,FALSE)</f>
        <v>2809</v>
      </c>
      <c r="N33" s="39">
        <f>VLOOKUP(Table215[[#This Row],[ROUTE]],DEMAND!A:F,6,FALSE)</f>
        <v>169</v>
      </c>
      <c r="O33" s="39">
        <f>ROUNDDOWN(Table215[[#This Row],[R-DEMAND]]/1320,0)</f>
        <v>0</v>
      </c>
      <c r="P33" s="41">
        <f>Table215[[#This Row],[ADD ACC]]*Table215[[#This Row],[RT TIME (744)]]</f>
        <v>0</v>
      </c>
    </row>
    <row r="34" spans="1:16" ht="15.75" customHeight="1" x14ac:dyDescent="0.25">
      <c r="A34" s="38" t="s">
        <v>13427</v>
      </c>
      <c r="B34" s="39" t="s">
        <v>4779</v>
      </c>
      <c r="C34" s="39" t="s">
        <v>2</v>
      </c>
      <c r="D34" s="39">
        <v>3</v>
      </c>
      <c r="E34" s="1" t="s">
        <v>1270</v>
      </c>
      <c r="F34" s="1" t="str">
        <f>VLOOKUP(E:E,Table10[[COUNTRY NAME]:[CONTINENT CODE]],3,FALSE)</f>
        <v>AS</v>
      </c>
      <c r="G34" s="156" t="s">
        <v>11912</v>
      </c>
      <c r="H34" s="8">
        <v>11732</v>
      </c>
      <c r="I34" s="41">
        <v>28</v>
      </c>
      <c r="J34" s="157">
        <v>249525800</v>
      </c>
      <c r="K34" s="6">
        <f>IFERROR(Table215[[#This Row],[ROUTE $]]/Table215[[#This Row],[E - DEMAND]],0)</f>
        <v>74153.283803863305</v>
      </c>
      <c r="L34" s="4">
        <v>3365</v>
      </c>
      <c r="M34" s="39">
        <f>VLOOKUP(Table215[[#This Row],[ROUTE]],DEMAND!A:F,5,FALSE)</f>
        <v>3558</v>
      </c>
      <c r="N34" s="39">
        <f>VLOOKUP(Table215[[#This Row],[ROUTE]],DEMAND!A:F,6,FALSE)</f>
        <v>918</v>
      </c>
      <c r="O34" s="39">
        <f>ROUNDDOWN(Table215[[#This Row],[R-DEMAND]]/1320,0)</f>
        <v>0</v>
      </c>
      <c r="P34" s="41">
        <f>Table215[[#This Row],[ADD ACC]]*Table215[[#This Row],[RT TIME (744)]]</f>
        <v>0</v>
      </c>
    </row>
    <row r="35" spans="1:16" ht="15.75" customHeight="1" x14ac:dyDescent="0.25">
      <c r="A35" s="38" t="s">
        <v>13428</v>
      </c>
      <c r="B35" s="39" t="s">
        <v>1272</v>
      </c>
      <c r="C35" s="39" t="s">
        <v>2</v>
      </c>
      <c r="D35" s="39">
        <v>1</v>
      </c>
      <c r="E35" s="1" t="s">
        <v>1270</v>
      </c>
      <c r="F35" s="1" t="str">
        <f>VLOOKUP(E:E,Table10[[COUNTRY NAME]:[CONTINENT CODE]],3,FALSE)</f>
        <v>AS</v>
      </c>
      <c r="G35" s="162" t="s">
        <v>11909</v>
      </c>
      <c r="H35" s="8">
        <v>11709</v>
      </c>
      <c r="I35" s="41">
        <v>28</v>
      </c>
      <c r="J35" s="157">
        <v>227666609</v>
      </c>
      <c r="K35" s="6">
        <f>IFERROR(Table215[[#This Row],[ROUTE $]]/Table215[[#This Row],[E - DEMAND]],0)</f>
        <v>88072.189168278535</v>
      </c>
      <c r="L35" s="5">
        <v>2585</v>
      </c>
      <c r="M35" s="39">
        <f>VLOOKUP(Table215[[#This Row],[ROUTE]],DEMAND!A:F,5,FALSE)</f>
        <v>2706</v>
      </c>
      <c r="N35" s="39">
        <f>VLOOKUP(Table215[[#This Row],[ROUTE]],DEMAND!A:F,6,FALSE)</f>
        <v>66</v>
      </c>
      <c r="O35" s="39">
        <f>ROUNDDOWN(Table215[[#This Row],[R-DEMAND]]/1320,0)</f>
        <v>0</v>
      </c>
      <c r="P35" s="41">
        <f>Table215[[#This Row],[ADD ACC]]*Table215[[#This Row],[RT TIME (744)]]</f>
        <v>0</v>
      </c>
    </row>
    <row r="36" spans="1:16" ht="15.75" customHeight="1" x14ac:dyDescent="0.25">
      <c r="A36" s="38" t="s">
        <v>13431</v>
      </c>
      <c r="B36" s="39" t="s">
        <v>5200</v>
      </c>
      <c r="C36" s="39" t="s">
        <v>2</v>
      </c>
      <c r="D36" s="39">
        <v>3</v>
      </c>
      <c r="E36" s="1" t="s">
        <v>774</v>
      </c>
      <c r="F36" s="1" t="str">
        <f>VLOOKUP(E:E,Table10[[COUNTRY NAME]:[CONTINENT CODE]],3,FALSE)</f>
        <v>OC</v>
      </c>
      <c r="G36" s="160" t="s">
        <v>10392</v>
      </c>
      <c r="H36" s="40">
        <v>13282</v>
      </c>
      <c r="I36" s="41">
        <v>31.5</v>
      </c>
      <c r="J36" s="157">
        <v>272796656</v>
      </c>
      <c r="K36" s="42">
        <f>IFERROR(Table215[[#This Row],[ROUTE $]]/Table215[[#This Row],[E - DEMAND]],0)</f>
        <v>102018.19596110696</v>
      </c>
      <c r="L36" s="43">
        <v>2674</v>
      </c>
      <c r="M36" s="39">
        <f>VLOOKUP(Table215[[#This Row],[ROUTE]],DEMAND!A:F,5,FALSE)</f>
        <v>2853</v>
      </c>
      <c r="N36" s="39">
        <f>VLOOKUP(Table215[[#This Row],[ROUTE]],DEMAND!A:F,6,FALSE)</f>
        <v>213</v>
      </c>
      <c r="O36" s="39">
        <f>ROUNDDOWN(Table215[[#This Row],[R-DEMAND]]/1320,0)</f>
        <v>0</v>
      </c>
      <c r="P36" s="41">
        <f>Table215[[#This Row],[ADD ACC]]*Table215[[#This Row],[RT TIME (744)]]</f>
        <v>0</v>
      </c>
    </row>
    <row r="37" spans="1:16" ht="15.75" customHeight="1" x14ac:dyDescent="0.25">
      <c r="A37" s="38" t="s">
        <v>13432</v>
      </c>
      <c r="B37" s="39" t="s">
        <v>170</v>
      </c>
      <c r="C37" s="39" t="s">
        <v>2</v>
      </c>
      <c r="D37" s="39">
        <v>5</v>
      </c>
      <c r="E37" s="1" t="s">
        <v>774</v>
      </c>
      <c r="F37" s="1" t="str">
        <f>VLOOKUP(E:E,Table10[[COUNTRY NAME]:[CONTINENT CODE]],3,FALSE)</f>
        <v>OC</v>
      </c>
      <c r="G37" s="156" t="s">
        <v>11060</v>
      </c>
      <c r="H37" s="8">
        <v>13122</v>
      </c>
      <c r="I37" s="41">
        <v>31.25</v>
      </c>
      <c r="J37" s="157">
        <v>299354976</v>
      </c>
      <c r="K37" s="6">
        <f>IFERROR(Table215[[#This Row],[ROUTE $]]/Table215[[#This Row],[E - DEMAND]],0)</f>
        <v>87916.29251101322</v>
      </c>
      <c r="L37" s="5">
        <v>3405</v>
      </c>
      <c r="M37" s="39">
        <f>VLOOKUP(Table215[[#This Row],[ROUTE]],DEMAND!A:F,5,FALSE)</f>
        <v>3407</v>
      </c>
      <c r="N37" s="39">
        <f>VLOOKUP(Table215[[#This Row],[ROUTE]],DEMAND!A:F,6,FALSE)</f>
        <v>767</v>
      </c>
      <c r="O37" s="39">
        <f>ROUNDDOWN(Table215[[#This Row],[R-DEMAND]]/1320,0)</f>
        <v>0</v>
      </c>
      <c r="P37" s="41">
        <f>Table215[[#This Row],[ADD ACC]]*Table215[[#This Row],[RT TIME (744)]]</f>
        <v>0</v>
      </c>
    </row>
    <row r="38" spans="1:16" ht="15.75" customHeight="1" x14ac:dyDescent="0.25">
      <c r="A38" s="38" t="s">
        <v>13430</v>
      </c>
      <c r="B38" s="39" t="s">
        <v>71</v>
      </c>
      <c r="C38" s="39" t="s">
        <v>2</v>
      </c>
      <c r="D38" s="39">
        <v>5</v>
      </c>
      <c r="E38" s="1" t="s">
        <v>774</v>
      </c>
      <c r="F38" s="1" t="str">
        <f>VLOOKUP(E:E,Table10[[COUNTRY NAME]:[CONTINENT CODE]],3,FALSE)</f>
        <v>OC</v>
      </c>
      <c r="G38" s="156" t="s">
        <v>12010</v>
      </c>
      <c r="H38" s="8">
        <v>13371</v>
      </c>
      <c r="I38" s="41">
        <v>31.75</v>
      </c>
      <c r="J38" s="157">
        <v>306345854</v>
      </c>
      <c r="K38" s="6">
        <f>IFERROR(Table215[[#This Row],[ROUTE $]]/Table215[[#This Row],[E - DEMAND]],0)</f>
        <v>87079.549175667998</v>
      </c>
      <c r="L38" s="4">
        <v>3518</v>
      </c>
      <c r="M38" s="39">
        <f>VLOOKUP(Table215[[#This Row],[ROUTE]],DEMAND!A:F,5,FALSE)</f>
        <v>3519</v>
      </c>
      <c r="N38" s="39">
        <f>VLOOKUP(Table215[[#This Row],[ROUTE]],DEMAND!A:F,6,FALSE)</f>
        <v>879</v>
      </c>
      <c r="O38" s="39">
        <f>ROUNDDOWN(Table215[[#This Row],[R-DEMAND]]/1320,0)</f>
        <v>0</v>
      </c>
      <c r="P38" s="41">
        <f>Table215[[#This Row],[ADD ACC]]*Table215[[#This Row],[RT TIME (744)]]</f>
        <v>0</v>
      </c>
    </row>
    <row r="39" spans="1:16" ht="15.75" customHeight="1" x14ac:dyDescent="0.25">
      <c r="A39" s="38" t="s">
        <v>13434</v>
      </c>
      <c r="B39" s="39" t="s">
        <v>27</v>
      </c>
      <c r="C39" s="39" t="s">
        <v>2</v>
      </c>
      <c r="D39" s="39">
        <v>5</v>
      </c>
      <c r="E39" s="1" t="s">
        <v>3915</v>
      </c>
      <c r="F39" s="1" t="str">
        <f>VLOOKUP(E:E,Table10[[COUNTRY NAME]:[CONTINENT CODE]],3,FALSE)</f>
        <v>EU</v>
      </c>
      <c r="G39" s="156" t="s">
        <v>11031</v>
      </c>
      <c r="H39" s="8">
        <v>10126</v>
      </c>
      <c r="I39" s="41">
        <v>24.5</v>
      </c>
      <c r="J39" s="157">
        <v>263708787</v>
      </c>
      <c r="K39" s="6">
        <f>IFERROR(Table215[[#This Row],[ROUTE $]]/Table215[[#This Row],[E - DEMAND]],0)</f>
        <v>80154.646504559278</v>
      </c>
      <c r="L39" s="4">
        <v>3290</v>
      </c>
      <c r="M39" s="39">
        <f>VLOOKUP(Table215[[#This Row],[ROUTE]],DEMAND!A:F,5,FALSE)</f>
        <v>3290</v>
      </c>
      <c r="N39" s="39">
        <f>VLOOKUP(Table215[[#This Row],[ROUTE]],DEMAND!A:F,6,FALSE)</f>
        <v>650</v>
      </c>
      <c r="O39" s="39">
        <f>ROUNDDOWN(Table215[[#This Row],[R-DEMAND]]/1320,0)</f>
        <v>0</v>
      </c>
      <c r="P39" s="41">
        <f>Table215[[#This Row],[ADD ACC]]*Table215[[#This Row],[RT TIME (744)]]</f>
        <v>0</v>
      </c>
    </row>
    <row r="40" spans="1:16" ht="15.75" customHeight="1" x14ac:dyDescent="0.25">
      <c r="A40" s="38" t="s">
        <v>13437</v>
      </c>
      <c r="B40" s="39" t="s">
        <v>4962</v>
      </c>
      <c r="C40" s="39" t="s">
        <v>2</v>
      </c>
      <c r="D40" s="39">
        <v>3</v>
      </c>
      <c r="E40" s="1" t="s">
        <v>1377</v>
      </c>
      <c r="F40" s="1" t="str">
        <f>VLOOKUP(E:E,Table10[[COUNTRY NAME]:[CONTINENT CODE]],3,FALSE)</f>
        <v>EU</v>
      </c>
      <c r="G40" s="156" t="s">
        <v>11927</v>
      </c>
      <c r="H40" s="8">
        <v>12202</v>
      </c>
      <c r="I40" s="41">
        <v>29.25</v>
      </c>
      <c r="J40" s="157">
        <v>256726353</v>
      </c>
      <c r="K40" s="6">
        <f>IFERROR(Table215[[#This Row],[ROUTE $]]/Table215[[#This Row],[E - DEMAND]],0)</f>
        <v>74760.149388468257</v>
      </c>
      <c r="L40" s="4">
        <v>3434</v>
      </c>
      <c r="M40" s="39">
        <f>VLOOKUP(Table215[[#This Row],[ROUTE]],DEMAND!A:F,5,FALSE)</f>
        <v>3641</v>
      </c>
      <c r="N40" s="39">
        <f>VLOOKUP(Table215[[#This Row],[ROUTE]],DEMAND!A:F,6,FALSE)</f>
        <v>1001</v>
      </c>
      <c r="O40" s="39">
        <f>ROUNDDOWN(Table215[[#This Row],[R-DEMAND]]/1320,0)</f>
        <v>0</v>
      </c>
      <c r="P40" s="41">
        <f>Table215[[#This Row],[ADD ACC]]*Table215[[#This Row],[RT TIME (744)]]</f>
        <v>0</v>
      </c>
    </row>
    <row r="41" spans="1:16" ht="15.75" customHeight="1" x14ac:dyDescent="0.25">
      <c r="A41" s="38" t="s">
        <v>13440</v>
      </c>
      <c r="B41" s="39" t="s">
        <v>5430</v>
      </c>
      <c r="C41" s="39" t="s">
        <v>2</v>
      </c>
      <c r="D41" s="39">
        <v>3</v>
      </c>
      <c r="E41" s="1" t="s">
        <v>5428</v>
      </c>
      <c r="F41" s="1" t="str">
        <f>VLOOKUP(E:E,Table10[[COUNTRY NAME]:[CONTINENT CODE]],3,FALSE)</f>
        <v>AS</v>
      </c>
      <c r="G41" s="156" t="s">
        <v>11956</v>
      </c>
      <c r="H41" s="8">
        <v>11803</v>
      </c>
      <c r="I41" s="41">
        <v>28.25</v>
      </c>
      <c r="J41" s="157">
        <v>264431112</v>
      </c>
      <c r="K41" s="6">
        <f>IFERROR(Table215[[#This Row],[ROUTE $]]/Table215[[#This Row],[E - DEMAND]],0)</f>
        <v>83285.389606299213</v>
      </c>
      <c r="L41" s="4">
        <v>3175</v>
      </c>
      <c r="M41" s="39">
        <f>VLOOKUP(Table215[[#This Row],[ROUTE]],DEMAND!A:F,5,FALSE)</f>
        <v>3356</v>
      </c>
      <c r="N41" s="39">
        <f>VLOOKUP(Table215[[#This Row],[ROUTE]],DEMAND!A:F,6,FALSE)</f>
        <v>716</v>
      </c>
      <c r="O41" s="39">
        <f>ROUNDDOWN(Table215[[#This Row],[R-DEMAND]]/1320,0)</f>
        <v>0</v>
      </c>
      <c r="P41" s="41">
        <f>Table215[[#This Row],[ADD ACC]]*Table215[[#This Row],[RT TIME (744)]]</f>
        <v>0</v>
      </c>
    </row>
    <row r="42" spans="1:16" ht="15.75" customHeight="1" x14ac:dyDescent="0.25">
      <c r="A42" s="38" t="s">
        <v>13443</v>
      </c>
      <c r="B42" s="39" t="s">
        <v>402</v>
      </c>
      <c r="C42" s="39" t="s">
        <v>2</v>
      </c>
      <c r="D42" s="39">
        <v>4</v>
      </c>
      <c r="E42" s="1" t="s">
        <v>3180</v>
      </c>
      <c r="F42" s="1" t="str">
        <f>VLOOKUP(E:E,Table10[[COUNTRY NAME]:[CONTINENT CODE]],3,FALSE)</f>
        <v>EU</v>
      </c>
      <c r="G42" s="159" t="s">
        <v>11103</v>
      </c>
      <c r="H42" s="8">
        <v>9653</v>
      </c>
      <c r="I42" s="41">
        <v>23.5</v>
      </c>
      <c r="J42" s="157">
        <v>258026155</v>
      </c>
      <c r="K42" s="6">
        <f>IFERROR(Table215[[#This Row],[ROUTE $]]/Table215[[#This Row],[E - DEMAND]],0)</f>
        <v>89810.704838148275</v>
      </c>
      <c r="L42" s="4">
        <v>2873</v>
      </c>
      <c r="M42" s="39">
        <f>VLOOKUP(Table215[[#This Row],[ROUTE]],DEMAND!A:F,5,FALSE)</f>
        <v>2979</v>
      </c>
      <c r="N42" s="39">
        <f>VLOOKUP(Table215[[#This Row],[ROUTE]],DEMAND!A:F,6,FALSE)</f>
        <v>339</v>
      </c>
      <c r="O42" s="39">
        <f>ROUNDDOWN(Table215[[#This Row],[R-DEMAND]]/1320,0)</f>
        <v>0</v>
      </c>
      <c r="P42" s="41">
        <f>Table215[[#This Row],[ADD ACC]]*Table215[[#This Row],[RT TIME (744)]]</f>
        <v>0</v>
      </c>
    </row>
    <row r="43" spans="1:16" ht="15.75" customHeight="1" x14ac:dyDescent="0.25">
      <c r="A43" s="38" t="s">
        <v>13445</v>
      </c>
      <c r="B43" s="39" t="s">
        <v>4429</v>
      </c>
      <c r="C43" s="39" t="s">
        <v>2</v>
      </c>
      <c r="D43" s="39">
        <v>2</v>
      </c>
      <c r="E43" s="1" t="s">
        <v>4427</v>
      </c>
      <c r="F43" s="1" t="str">
        <f>VLOOKUP(E:E,Table10[[COUNTRY NAME]:[CONTINENT CODE]],3,FALSE)</f>
        <v>NA</v>
      </c>
      <c r="G43" s="159" t="s">
        <v>13148</v>
      </c>
      <c r="H43" s="40">
        <v>6500</v>
      </c>
      <c r="I43" s="41">
        <v>16.5</v>
      </c>
      <c r="J43" s="157"/>
      <c r="K43" s="6">
        <f>IFERROR(Table215[[#This Row],[ROUTE $]]/Table215[[#This Row],[E - DEMAND]],0)</f>
        <v>0</v>
      </c>
      <c r="L43" s="4"/>
      <c r="M43" s="39">
        <f>VLOOKUP(Table215[[#This Row],[ROUTE]],DEMAND!A:F,5,FALSE)</f>
        <v>2422</v>
      </c>
      <c r="N43" s="39">
        <f>VLOOKUP(Table215[[#This Row],[ROUTE]],DEMAND!A:F,6,FALSE)</f>
        <v>1102</v>
      </c>
      <c r="O43" s="39">
        <f>ROUNDDOWN(Table215[[#This Row],[R-DEMAND]]/1320,0)</f>
        <v>0</v>
      </c>
      <c r="P43" s="41">
        <f>Table215[[#This Row],[ADD ACC]]*Table215[[#This Row],[RT TIME (744)]]</f>
        <v>0</v>
      </c>
    </row>
    <row r="44" spans="1:16" ht="15.75" customHeight="1" x14ac:dyDescent="0.25">
      <c r="A44" s="38" t="s">
        <v>13452</v>
      </c>
      <c r="B44" s="39" t="s">
        <v>3868</v>
      </c>
      <c r="C44" s="39" t="s">
        <v>2</v>
      </c>
      <c r="D44" s="39">
        <v>2</v>
      </c>
      <c r="E44" s="1" t="s">
        <v>1625</v>
      </c>
      <c r="F44" s="1" t="str">
        <f>VLOOKUP(E:E,Table10[[COUNTRY NAME]:[CONTINENT CODE]],3,FALSE)</f>
        <v>AF</v>
      </c>
      <c r="G44" s="156" t="s">
        <v>11869</v>
      </c>
      <c r="H44" s="8">
        <v>7263</v>
      </c>
      <c r="I44" s="41">
        <v>18.25</v>
      </c>
      <c r="J44" s="157">
        <v>196327593</v>
      </c>
      <c r="K44" s="6">
        <f>IFERROR(Table215[[#This Row],[ROUTE $]]/Table215[[#This Row],[E - DEMAND]],0)</f>
        <v>66282.104321404462</v>
      </c>
      <c r="L44" s="4">
        <v>2962</v>
      </c>
      <c r="M44" s="39">
        <f>VLOOKUP(Table215[[#This Row],[ROUTE]],DEMAND!A:F,5,FALSE)</f>
        <v>3161</v>
      </c>
      <c r="N44" s="39">
        <f>VLOOKUP(Table215[[#This Row],[ROUTE]],DEMAND!A:F,6,FALSE)</f>
        <v>521</v>
      </c>
      <c r="O44" s="39">
        <f>ROUNDDOWN(Table215[[#This Row],[R-DEMAND]]/1320,0)</f>
        <v>0</v>
      </c>
      <c r="P44" s="41">
        <f>Table215[[#This Row],[ADD ACC]]*Table215[[#This Row],[RT TIME (744)]]</f>
        <v>0</v>
      </c>
    </row>
    <row r="45" spans="1:16" ht="15.75" customHeight="1" x14ac:dyDescent="0.25">
      <c r="A45" s="38" t="s">
        <v>13453</v>
      </c>
      <c r="B45" s="39" t="s">
        <v>426</v>
      </c>
      <c r="C45" s="39" t="s">
        <v>2</v>
      </c>
      <c r="D45" s="39">
        <v>3</v>
      </c>
      <c r="E45" s="1" t="s">
        <v>517</v>
      </c>
      <c r="F45" s="1" t="str">
        <f>VLOOKUP(E:E,Table10[[COUNTRY NAME]:[CONTINENT CODE]],3,FALSE)</f>
        <v>SA</v>
      </c>
      <c r="G45" s="156" t="s">
        <v>13155</v>
      </c>
      <c r="H45" s="8">
        <v>2462</v>
      </c>
      <c r="I45" s="41">
        <v>7.5</v>
      </c>
      <c r="J45" s="157">
        <v>161814652</v>
      </c>
      <c r="K45" s="6">
        <f>IFERROR(Table215[[#This Row],[ROUTE $]]/Table215[[#This Row],[E - DEMAND]],0)</f>
        <v>54391.479663865546</v>
      </c>
      <c r="L45" s="5">
        <v>2975</v>
      </c>
      <c r="M45" s="39">
        <f>VLOOKUP(Table215[[#This Row],[ROUTE]],DEMAND!A:F,5,FALSE)</f>
        <v>3126</v>
      </c>
      <c r="N45" s="39">
        <f>VLOOKUP(Table215[[#This Row],[ROUTE]],DEMAND!A:F,6,FALSE)</f>
        <v>486</v>
      </c>
      <c r="O45" s="39">
        <f>ROUNDDOWN(Table215[[#This Row],[R-DEMAND]]/1320,0)</f>
        <v>0</v>
      </c>
      <c r="P45" s="41">
        <f>Table215[[#This Row],[ADD ACC]]*Table215[[#This Row],[RT TIME (744)]]</f>
        <v>0</v>
      </c>
    </row>
    <row r="46" spans="1:16" ht="15.75" customHeight="1" x14ac:dyDescent="0.25">
      <c r="A46" s="38" t="s">
        <v>13454</v>
      </c>
      <c r="B46" s="39" t="s">
        <v>5425</v>
      </c>
      <c r="C46" s="39" t="s">
        <v>2</v>
      </c>
      <c r="D46" s="39">
        <v>3</v>
      </c>
      <c r="E46" s="1" t="s">
        <v>517</v>
      </c>
      <c r="F46" s="1" t="str">
        <f>VLOOKUP(E:E,Table10[[COUNTRY NAME]:[CONTINENT CODE]],3,FALSE)</f>
        <v>SA</v>
      </c>
      <c r="G46" s="156" t="s">
        <v>13156</v>
      </c>
      <c r="H46" s="8">
        <v>2100</v>
      </c>
      <c r="I46" s="41">
        <v>6.75</v>
      </c>
      <c r="J46" s="157">
        <v>166698109</v>
      </c>
      <c r="K46" s="6">
        <f>IFERROR(Table215[[#This Row],[ROUTE $]]/Table215[[#This Row],[E - DEMAND]],0)</f>
        <v>51801.77408328154</v>
      </c>
      <c r="L46" s="4">
        <v>3218</v>
      </c>
      <c r="M46" s="39">
        <f>VLOOKUP(Table215[[#This Row],[ROUTE]],DEMAND!A:F,5,FALSE)</f>
        <v>3360</v>
      </c>
      <c r="N46" s="39">
        <f>VLOOKUP(Table215[[#This Row],[ROUTE]],DEMAND!A:F,6,FALSE)</f>
        <v>720</v>
      </c>
      <c r="O46" s="39">
        <f>ROUNDDOWN(Table215[[#This Row],[R-DEMAND]]/1320,0)</f>
        <v>0</v>
      </c>
      <c r="P46" s="41">
        <f>Table215[[#This Row],[ADD ACC]]*Table215[[#This Row],[RT TIME (744)]]</f>
        <v>0</v>
      </c>
    </row>
    <row r="47" spans="1:16" ht="15.75" customHeight="1" x14ac:dyDescent="0.25">
      <c r="A47" s="38" t="s">
        <v>13456</v>
      </c>
      <c r="B47" s="39" t="s">
        <v>5509</v>
      </c>
      <c r="C47" s="39" t="s">
        <v>2</v>
      </c>
      <c r="D47" s="39">
        <v>4</v>
      </c>
      <c r="E47" s="1" t="s">
        <v>517</v>
      </c>
      <c r="F47" s="1" t="str">
        <f>VLOOKUP(E:E,Table10[[COUNTRY NAME]:[CONTINENT CODE]],3,FALSE)</f>
        <v>SA</v>
      </c>
      <c r="G47" s="160" t="s">
        <v>13158</v>
      </c>
      <c r="H47" s="40">
        <v>1451</v>
      </c>
      <c r="I47" s="41">
        <v>5.25</v>
      </c>
      <c r="J47" s="157">
        <v>163141049</v>
      </c>
      <c r="K47" s="6">
        <f>IFERROR(Table215[[#This Row],[ROUTE $]]/Table215[[#This Row],[E - DEMAND]],0)</f>
        <v>50949.734228607122</v>
      </c>
      <c r="L47" s="43">
        <v>3202</v>
      </c>
      <c r="M47" s="39">
        <f>VLOOKUP(Table215[[#This Row],[ROUTE]],DEMAND!A:F,5,FALSE)</f>
        <v>3365</v>
      </c>
      <c r="N47" s="39">
        <f>VLOOKUP(Table215[[#This Row],[ROUTE]],DEMAND!A:F,6,FALSE)</f>
        <v>725</v>
      </c>
      <c r="O47" s="39">
        <f>ROUNDDOWN(Table215[[#This Row],[R-DEMAND]]/1320,0)</f>
        <v>0</v>
      </c>
      <c r="P47" s="41">
        <f>Table215[[#This Row],[ADD ACC]]*Table215[[#This Row],[RT TIME (744)]]</f>
        <v>0</v>
      </c>
    </row>
    <row r="48" spans="1:16" ht="15.75" customHeight="1" x14ac:dyDescent="0.25">
      <c r="A48" s="38" t="s">
        <v>13457</v>
      </c>
      <c r="B48" s="39" t="s">
        <v>399</v>
      </c>
      <c r="C48" s="39" t="s">
        <v>2</v>
      </c>
      <c r="D48" s="39">
        <v>4</v>
      </c>
      <c r="E48" s="1" t="s">
        <v>517</v>
      </c>
      <c r="F48" s="1" t="str">
        <f>VLOOKUP(E:E,Table10[[COUNTRY NAME]:[CONTINENT CODE]],3,FALSE)</f>
        <v>SA</v>
      </c>
      <c r="G48" s="156" t="s">
        <v>13159</v>
      </c>
      <c r="H48" s="8">
        <v>854</v>
      </c>
      <c r="I48" s="41">
        <v>4</v>
      </c>
      <c r="J48" s="157">
        <v>165378940</v>
      </c>
      <c r="K48" s="6">
        <f>IFERROR(Table215[[#This Row],[ROUTE $]]/Table215[[#This Row],[E - DEMAND]],0)</f>
        <v>49723.072760072158</v>
      </c>
      <c r="L48" s="4">
        <v>3326</v>
      </c>
      <c r="M48" s="39">
        <f>VLOOKUP(Table215[[#This Row],[ROUTE]],DEMAND!A:F,5,FALSE)</f>
        <v>3538</v>
      </c>
      <c r="N48" s="39">
        <f>VLOOKUP(Table215[[#This Row],[ROUTE]],DEMAND!A:F,6,FALSE)</f>
        <v>898</v>
      </c>
      <c r="O48" s="39">
        <f>ROUNDDOWN(Table215[[#This Row],[R-DEMAND]]/1320,0)</f>
        <v>0</v>
      </c>
      <c r="P48" s="41">
        <f>Table215[[#This Row],[ADD ACC]]*Table215[[#This Row],[RT TIME (744)]]</f>
        <v>0</v>
      </c>
    </row>
    <row r="49" spans="1:16" ht="15.75" customHeight="1" x14ac:dyDescent="0.25">
      <c r="A49" s="38" t="s">
        <v>13458</v>
      </c>
      <c r="B49" s="39" t="s">
        <v>5485</v>
      </c>
      <c r="C49" s="39" t="s">
        <v>2</v>
      </c>
      <c r="D49" s="39">
        <v>4</v>
      </c>
      <c r="E49" s="1" t="s">
        <v>517</v>
      </c>
      <c r="F49" s="1" t="str">
        <f>VLOOKUP(E:E,Table10[[COUNTRY NAME]:[CONTINENT CODE]],3,FALSE)</f>
        <v>SA</v>
      </c>
      <c r="G49" s="159" t="s">
        <v>13160</v>
      </c>
      <c r="H49" s="8">
        <v>495</v>
      </c>
      <c r="I49" s="41">
        <v>3.25</v>
      </c>
      <c r="J49" s="157">
        <v>152961694</v>
      </c>
      <c r="K49" s="6">
        <f>IFERROR(Table215[[#This Row],[ROUTE $]]/Table215[[#This Row],[E - DEMAND]],0)</f>
        <v>66274.564124783356</v>
      </c>
      <c r="L49" s="4">
        <v>2308</v>
      </c>
      <c r="M49" s="39">
        <f>VLOOKUP(Table215[[#This Row],[ROUTE]],DEMAND!A:F,5,FALSE)</f>
        <v>2450</v>
      </c>
      <c r="N49" s="39">
        <f>VLOOKUP(Table215[[#This Row],[ROUTE]],DEMAND!A:F,6,FALSE)</f>
        <v>1130</v>
      </c>
      <c r="O49" s="39">
        <f>ROUNDDOWN(Table215[[#This Row],[R-DEMAND]]/1320,0)</f>
        <v>0</v>
      </c>
      <c r="P49" s="41">
        <f>Table215[[#This Row],[ADD ACC]]*Table215[[#This Row],[RT TIME (744)]]</f>
        <v>0</v>
      </c>
    </row>
    <row r="50" spans="1:16" ht="15.75" customHeight="1" x14ac:dyDescent="0.25">
      <c r="A50" s="38" t="s">
        <v>13463</v>
      </c>
      <c r="B50" s="39" t="s">
        <v>3515</v>
      </c>
      <c r="C50" s="39" t="s">
        <v>2</v>
      </c>
      <c r="D50" s="39">
        <v>2</v>
      </c>
      <c r="E50" s="1" t="s">
        <v>761</v>
      </c>
      <c r="F50" s="1" t="str">
        <f>VLOOKUP(E:E,Table10[[COUNTRY NAME]:[CONTINENT CODE]],3,FALSE)</f>
        <v>AF</v>
      </c>
      <c r="G50" s="160" t="s">
        <v>8016</v>
      </c>
      <c r="H50" s="40">
        <v>6304</v>
      </c>
      <c r="I50" s="41">
        <v>16</v>
      </c>
      <c r="J50" s="157">
        <v>186975869</v>
      </c>
      <c r="K50" s="42">
        <f>IFERROR(Table215[[#This Row],[ROUTE $]]/Table215[[#This Row],[E - DEMAND]],0)</f>
        <v>47832.148631363518</v>
      </c>
      <c r="L50" s="43">
        <v>3909</v>
      </c>
      <c r="M50" s="39">
        <f>VLOOKUP(Table215[[#This Row],[ROUTE]],DEMAND!A:F,5,FALSE)</f>
        <v>4067</v>
      </c>
      <c r="N50" s="39">
        <f>VLOOKUP(Table215[[#This Row],[ROUTE]],DEMAND!A:F,6,FALSE)</f>
        <v>107</v>
      </c>
      <c r="O50" s="39">
        <f>ROUNDDOWN(Table215[[#This Row],[R-DEMAND]]/1320,0)</f>
        <v>0</v>
      </c>
      <c r="P50" s="41">
        <f>Table215[[#This Row],[ADD ACC]]*Table215[[#This Row],[RT TIME (744)]]</f>
        <v>0</v>
      </c>
    </row>
    <row r="51" spans="1:16" ht="15.75" customHeight="1" x14ac:dyDescent="0.25">
      <c r="A51" s="38" t="s">
        <v>13465</v>
      </c>
      <c r="B51" s="39" t="s">
        <v>2614</v>
      </c>
      <c r="C51" s="39" t="s">
        <v>2</v>
      </c>
      <c r="D51" s="39">
        <v>2</v>
      </c>
      <c r="E51" s="1" t="s">
        <v>2612</v>
      </c>
      <c r="F51" s="1" t="str">
        <f>VLOOKUP(E:E,Table10[[COUNTRY NAME]:[CONTINENT CODE]],3,FALSE)</f>
        <v>AF</v>
      </c>
      <c r="G51" s="156" t="s">
        <v>11891</v>
      </c>
      <c r="H51" s="8">
        <v>8413</v>
      </c>
      <c r="I51" s="41">
        <v>20.75</v>
      </c>
      <c r="J51" s="157">
        <v>203664834</v>
      </c>
      <c r="K51" s="6">
        <f>IFERROR(Table215[[#This Row],[ROUTE $]]/Table215[[#This Row],[E - DEMAND]],0)</f>
        <v>52261.953810623556</v>
      </c>
      <c r="L51" s="5">
        <v>3897</v>
      </c>
      <c r="M51" s="39">
        <f>VLOOKUP(Table215[[#This Row],[ROUTE]],DEMAND!A:F,5,FALSE)</f>
        <v>4094</v>
      </c>
      <c r="N51" s="39">
        <f>VLOOKUP(Table215[[#This Row],[ROUTE]],DEMAND!A:F,6,FALSE)</f>
        <v>134</v>
      </c>
      <c r="O51" s="39">
        <f>ROUNDDOWN(Table215[[#This Row],[R-DEMAND]]/1320,0)</f>
        <v>0</v>
      </c>
      <c r="P51" s="41">
        <f>Table215[[#This Row],[ADD ACC]]*Table215[[#This Row],[RT TIME (744)]]</f>
        <v>0</v>
      </c>
    </row>
    <row r="52" spans="1:16" ht="15.75" customHeight="1" x14ac:dyDescent="0.25">
      <c r="A52" s="38" t="s">
        <v>13468</v>
      </c>
      <c r="B52" s="39" t="s">
        <v>4324</v>
      </c>
      <c r="C52" s="39" t="s">
        <v>2</v>
      </c>
      <c r="D52" s="39">
        <v>2</v>
      </c>
      <c r="E52" s="143" t="s">
        <v>511</v>
      </c>
      <c r="F52" s="1" t="e">
        <f>VLOOKUP(E:E,Table10[[COUNTRY NAME]:[CONTINENT CODE]],3,FALSE)</f>
        <v>#N/A</v>
      </c>
      <c r="G52" s="160" t="s">
        <v>11783</v>
      </c>
      <c r="H52" s="40">
        <v>6808</v>
      </c>
      <c r="I52" s="41">
        <v>17.25</v>
      </c>
      <c r="J52" s="157">
        <v>196894234</v>
      </c>
      <c r="K52" s="42">
        <f>IFERROR(Table215[[#This Row],[ROUTE $]]/Table215[[#This Row],[E - DEMAND]],0)</f>
        <v>52617.37947621593</v>
      </c>
      <c r="L52" s="43">
        <v>3742</v>
      </c>
      <c r="M52" s="39">
        <f>VLOOKUP(Table215[[#This Row],[ROUTE]],DEMAND!A:F,5,FALSE)</f>
        <v>3981</v>
      </c>
      <c r="N52" s="39">
        <f>VLOOKUP(Table215[[#This Row],[ROUTE]],DEMAND!A:F,6,FALSE)</f>
        <v>21</v>
      </c>
      <c r="O52" s="39">
        <f>ROUNDDOWN(Table215[[#This Row],[R-DEMAND]]/1320,0)</f>
        <v>0</v>
      </c>
      <c r="P52" s="41">
        <f>Table215[[#This Row],[ADD ACC]]*Table215[[#This Row],[RT TIME (744)]]</f>
        <v>0</v>
      </c>
    </row>
    <row r="53" spans="1:16" ht="15.75" customHeight="1" x14ac:dyDescent="0.25">
      <c r="A53" s="38" t="s">
        <v>13467</v>
      </c>
      <c r="B53" s="39" t="s">
        <v>3361</v>
      </c>
      <c r="C53" s="39" t="s">
        <v>2</v>
      </c>
      <c r="D53" s="39">
        <v>2</v>
      </c>
      <c r="E53" s="143" t="s">
        <v>511</v>
      </c>
      <c r="F53" s="1" t="e">
        <f>VLOOKUP(E:E,Table10[[COUNTRY NAME]:[CONTINENT CODE]],3,FALSE)</f>
        <v>#N/A</v>
      </c>
      <c r="G53" s="156" t="s">
        <v>11796</v>
      </c>
      <c r="H53" s="8">
        <v>6970</v>
      </c>
      <c r="I53" s="41">
        <v>17.5</v>
      </c>
      <c r="J53" s="157">
        <v>191217456</v>
      </c>
      <c r="K53" s="6">
        <f>IFERROR(Table215[[#This Row],[ROUTE $]]/Table215[[#This Row],[E - DEMAND]],0)</f>
        <v>54947.544827586207</v>
      </c>
      <c r="L53" s="4">
        <v>3480</v>
      </c>
      <c r="M53" s="39">
        <f>VLOOKUP(Table215[[#This Row],[ROUTE]],DEMAND!A:F,5,FALSE)</f>
        <v>3644</v>
      </c>
      <c r="N53" s="39">
        <f>VLOOKUP(Table215[[#This Row],[ROUTE]],DEMAND!A:F,6,FALSE)</f>
        <v>1004</v>
      </c>
      <c r="O53" s="39">
        <f>ROUNDDOWN(Table215[[#This Row],[R-DEMAND]]/1320,0)</f>
        <v>0</v>
      </c>
      <c r="P53" s="41">
        <f>Table215[[#This Row],[ADD ACC]]*Table215[[#This Row],[RT TIME (744)]]</f>
        <v>0</v>
      </c>
    </row>
    <row r="54" spans="1:16" ht="15.75" customHeight="1" x14ac:dyDescent="0.25">
      <c r="A54" s="38" t="s">
        <v>13466</v>
      </c>
      <c r="B54" s="39" t="s">
        <v>1769</v>
      </c>
      <c r="C54" s="39" t="s">
        <v>2</v>
      </c>
      <c r="D54" s="39">
        <v>1</v>
      </c>
      <c r="E54" s="143" t="s">
        <v>511</v>
      </c>
      <c r="F54" s="1" t="e">
        <f>VLOOKUP(E:E,Table10[[COUNTRY NAME]:[CONTINENT CODE]],3,FALSE)</f>
        <v>#N/A</v>
      </c>
      <c r="G54" s="160" t="s">
        <v>11803</v>
      </c>
      <c r="H54" s="40">
        <v>7454</v>
      </c>
      <c r="I54" s="41">
        <v>18.75</v>
      </c>
      <c r="J54" s="157">
        <v>187652547</v>
      </c>
      <c r="K54" s="42">
        <f>IFERROR(Table215[[#This Row],[ROUTE $]]/Table215[[#This Row],[E - DEMAND]],0)</f>
        <v>58531.674048658766</v>
      </c>
      <c r="L54" s="43">
        <v>3206</v>
      </c>
      <c r="M54" s="39">
        <f>VLOOKUP(Table215[[#This Row],[ROUTE]],DEMAND!A:F,5,FALSE)</f>
        <v>3357</v>
      </c>
      <c r="N54" s="39">
        <f>VLOOKUP(Table215[[#This Row],[ROUTE]],DEMAND!A:F,6,FALSE)</f>
        <v>717</v>
      </c>
      <c r="O54" s="39">
        <f>ROUNDDOWN(Table215[[#This Row],[R-DEMAND]]/1320,0)</f>
        <v>0</v>
      </c>
      <c r="P54" s="41">
        <f>Table215[[#This Row],[ADD ACC]]*Table215[[#This Row],[RT TIME (744)]]</f>
        <v>0</v>
      </c>
    </row>
    <row r="55" spans="1:16" ht="15.75" customHeight="1" x14ac:dyDescent="0.25">
      <c r="A55" s="38" t="s">
        <v>13472</v>
      </c>
      <c r="B55" s="39" t="s">
        <v>483</v>
      </c>
      <c r="C55" s="39" t="s">
        <v>2</v>
      </c>
      <c r="D55" s="39">
        <v>4</v>
      </c>
      <c r="E55" s="1" t="s">
        <v>514</v>
      </c>
      <c r="F55" s="1" t="str">
        <f>VLOOKUP(E:E,Table10[[COUNTRY NAME]:[CONTINENT CODE]],3,FALSE)</f>
        <v>NA</v>
      </c>
      <c r="G55" s="156" t="s">
        <v>11026</v>
      </c>
      <c r="H55" s="8">
        <v>11055</v>
      </c>
      <c r="I55" s="41">
        <v>26.5</v>
      </c>
      <c r="J55" s="157">
        <v>271422345</v>
      </c>
      <c r="K55" s="6">
        <f>IFERROR(Table215[[#This Row],[ROUTE $]]/Table215[[#This Row],[E - DEMAND]],0)</f>
        <v>89845.198609731873</v>
      </c>
      <c r="L55" s="4">
        <v>3021</v>
      </c>
      <c r="M55" s="39">
        <f>VLOOKUP(Table215[[#This Row],[ROUTE]],DEMAND!A:F,5,FALSE)</f>
        <v>3022</v>
      </c>
      <c r="N55" s="39">
        <f>VLOOKUP(Table215[[#This Row],[ROUTE]],DEMAND!A:F,6,FALSE)</f>
        <v>382</v>
      </c>
      <c r="O55" s="39">
        <f>ROUNDDOWN(Table215[[#This Row],[R-DEMAND]]/1320,0)</f>
        <v>0</v>
      </c>
      <c r="P55" s="41">
        <f>Table215[[#This Row],[ADD ACC]]*Table215[[#This Row],[RT TIME (744)]]</f>
        <v>0</v>
      </c>
    </row>
    <row r="56" spans="1:16" ht="15.75" customHeight="1" x14ac:dyDescent="0.25">
      <c r="A56" s="38" t="s">
        <v>13474</v>
      </c>
      <c r="B56" s="39" t="s">
        <v>5454</v>
      </c>
      <c r="C56" s="39" t="s">
        <v>2</v>
      </c>
      <c r="D56" s="39">
        <v>4</v>
      </c>
      <c r="E56" s="1" t="s">
        <v>514</v>
      </c>
      <c r="F56" s="1" t="str">
        <f>VLOOKUP(E:E,Table10[[COUNTRY NAME]:[CONTINENT CODE]],3,FALSE)</f>
        <v>NA</v>
      </c>
      <c r="G56" s="156" t="s">
        <v>13163</v>
      </c>
      <c r="H56" s="8">
        <v>10685</v>
      </c>
      <c r="I56" s="41">
        <v>25.75</v>
      </c>
      <c r="J56" s="157">
        <v>254347160</v>
      </c>
      <c r="K56" s="6">
        <f>IFERROR(Table215[[#This Row],[ROUTE $]]/Table215[[#This Row],[E - DEMAND]],0)</f>
        <v>93785.825958702058</v>
      </c>
      <c r="L56" s="4">
        <v>2712</v>
      </c>
      <c r="M56" s="39">
        <f>VLOOKUP(Table215[[#This Row],[ROUTE]],DEMAND!A:F,5,FALSE)</f>
        <v>2712</v>
      </c>
      <c r="N56" s="39">
        <f>VLOOKUP(Table215[[#This Row],[ROUTE]],DEMAND!A:F,6,FALSE)</f>
        <v>72</v>
      </c>
      <c r="O56" s="39">
        <f>ROUNDDOWN(Table215[[#This Row],[R-DEMAND]]/1320,0)</f>
        <v>0</v>
      </c>
      <c r="P56" s="41">
        <f>Table215[[#This Row],[ADD ACC]]*Table215[[#This Row],[RT TIME (744)]]</f>
        <v>0</v>
      </c>
    </row>
    <row r="57" spans="1:16" ht="15.75" customHeight="1" x14ac:dyDescent="0.25">
      <c r="A57" s="38" t="s">
        <v>13475</v>
      </c>
      <c r="B57" s="39" t="s">
        <v>5613</v>
      </c>
      <c r="C57" s="39" t="s">
        <v>2</v>
      </c>
      <c r="D57" s="39">
        <v>4</v>
      </c>
      <c r="E57" s="1" t="s">
        <v>514</v>
      </c>
      <c r="F57" s="1" t="str">
        <f>VLOOKUP(E:E,Table10[[COUNTRY NAME]:[CONTINENT CODE]],3,FALSE)</f>
        <v>NA</v>
      </c>
      <c r="G57" s="156" t="s">
        <v>13164</v>
      </c>
      <c r="H57" s="8">
        <v>10582</v>
      </c>
      <c r="I57" s="41">
        <v>25.5</v>
      </c>
      <c r="J57" s="157">
        <v>261842799</v>
      </c>
      <c r="K57" s="6">
        <f>IFERROR(Table215[[#This Row],[ROUTE $]]/Table215[[#This Row],[E - DEMAND]],0)</f>
        <v>90135.214802065399</v>
      </c>
      <c r="L57" s="4">
        <v>2905</v>
      </c>
      <c r="M57" s="39">
        <f>VLOOKUP(Table215[[#This Row],[ROUTE]],DEMAND!A:F,5,FALSE)</f>
        <v>2905</v>
      </c>
      <c r="N57" s="39">
        <f>VLOOKUP(Table215[[#This Row],[ROUTE]],DEMAND!A:F,6,FALSE)</f>
        <v>265</v>
      </c>
      <c r="O57" s="39">
        <f>ROUNDDOWN(Table215[[#This Row],[R-DEMAND]]/1320,0)</f>
        <v>0</v>
      </c>
      <c r="P57" s="41">
        <f>Table215[[#This Row],[ADD ACC]]*Table215[[#This Row],[RT TIME (744)]]</f>
        <v>0</v>
      </c>
    </row>
    <row r="58" spans="1:16" ht="15.75" customHeight="1" x14ac:dyDescent="0.25">
      <c r="A58" s="38" t="s">
        <v>13485</v>
      </c>
      <c r="B58" s="39" t="s">
        <v>9</v>
      </c>
      <c r="C58" s="39" t="s">
        <v>2</v>
      </c>
      <c r="D58" s="39">
        <v>4</v>
      </c>
      <c r="E58" s="1" t="s">
        <v>514</v>
      </c>
      <c r="F58" s="1" t="str">
        <f>VLOOKUP(E:E,Table10[[COUNTRY NAME]:[CONTINENT CODE]],3,FALSE)</f>
        <v>NA</v>
      </c>
      <c r="G58" s="160" t="s">
        <v>13173</v>
      </c>
      <c r="H58" s="8">
        <v>8145</v>
      </c>
      <c r="I58" s="41">
        <v>20.25</v>
      </c>
      <c r="J58" s="157">
        <v>237535016</v>
      </c>
      <c r="K58" s="42">
        <f>IFERROR(Table215[[#This Row],[ROUTE $]]/Table215[[#This Row],[E - DEMAND]],0)</f>
        <v>92932.322378716752</v>
      </c>
      <c r="L58" s="43">
        <v>2556</v>
      </c>
      <c r="M58" s="39">
        <f>VLOOKUP(Table215[[#This Row],[ROUTE]],DEMAND!A:F,5,FALSE)</f>
        <v>2557</v>
      </c>
      <c r="N58" s="39">
        <f>VLOOKUP(Table215[[#This Row],[ROUTE]],DEMAND!A:F,6,FALSE)</f>
        <v>1237</v>
      </c>
      <c r="O58" s="39">
        <f>ROUNDDOWN(Table215[[#This Row],[R-DEMAND]]/1320,0)</f>
        <v>0</v>
      </c>
      <c r="P58" s="41">
        <f>Table215[[#This Row],[ADD ACC]]*Table215[[#This Row],[RT TIME (744)]]</f>
        <v>0</v>
      </c>
    </row>
    <row r="59" spans="1:16" ht="15.75" customHeight="1" x14ac:dyDescent="0.25">
      <c r="A59" s="38" t="s">
        <v>13483</v>
      </c>
      <c r="B59" s="39" t="s">
        <v>5721</v>
      </c>
      <c r="C59" s="39" t="s">
        <v>2</v>
      </c>
      <c r="D59" s="39">
        <v>5</v>
      </c>
      <c r="E59" s="1" t="s">
        <v>514</v>
      </c>
      <c r="F59" s="1" t="str">
        <f>VLOOKUP(E:E,Table10[[COUNTRY NAME]:[CONTINENT CODE]],3,FALSE)</f>
        <v>NA</v>
      </c>
      <c r="G59" s="156" t="s">
        <v>13171</v>
      </c>
      <c r="H59" s="8">
        <v>8196</v>
      </c>
      <c r="I59" s="41">
        <v>20.25</v>
      </c>
      <c r="J59" s="157">
        <v>252301345</v>
      </c>
      <c r="K59" s="6">
        <f>IFERROR(Table215[[#This Row],[ROUTE $]]/Table215[[#This Row],[E - DEMAND]],0)</f>
        <v>85352.281799729361</v>
      </c>
      <c r="L59" s="4">
        <v>2956</v>
      </c>
      <c r="M59" s="39">
        <f>VLOOKUP(Table215[[#This Row],[ROUTE]],DEMAND!A:F,5,FALSE)</f>
        <v>2957</v>
      </c>
      <c r="N59" s="39">
        <f>VLOOKUP(Table215[[#This Row],[ROUTE]],DEMAND!A:F,6,FALSE)</f>
        <v>317</v>
      </c>
      <c r="O59" s="39">
        <f>ROUNDDOWN(Table215[[#This Row],[R-DEMAND]]/1320,0)</f>
        <v>0</v>
      </c>
      <c r="P59" s="41">
        <f>Table215[[#This Row],[ADD ACC]]*Table215[[#This Row],[RT TIME (744)]]</f>
        <v>0</v>
      </c>
    </row>
    <row r="60" spans="1:16" ht="15.75" customHeight="1" x14ac:dyDescent="0.25">
      <c r="A60" s="38" t="s">
        <v>13488</v>
      </c>
      <c r="B60" s="39" t="s">
        <v>4570</v>
      </c>
      <c r="C60" s="39" t="s">
        <v>2</v>
      </c>
      <c r="D60" s="39">
        <v>2</v>
      </c>
      <c r="E60" s="1" t="s">
        <v>886</v>
      </c>
      <c r="F60" s="1" t="str">
        <f>VLOOKUP(E:E,Table10[[COUNTRY NAME]:[CONTINENT CODE]],3,FALSE)</f>
        <v>AF</v>
      </c>
      <c r="G60" s="156" t="s">
        <v>13176</v>
      </c>
      <c r="H60" s="8">
        <v>5147</v>
      </c>
      <c r="I60" s="41">
        <v>13.5</v>
      </c>
      <c r="J60" s="157">
        <v>182152024</v>
      </c>
      <c r="K60" s="6">
        <f>IFERROR(Table215[[#This Row],[ROUTE $]]/Table215[[#This Row],[E - DEMAND]],0)</f>
        <v>56498.766749379654</v>
      </c>
      <c r="L60" s="5">
        <v>3224</v>
      </c>
      <c r="M60" s="39">
        <f>VLOOKUP(Table215[[#This Row],[ROUTE]],DEMAND!A:F,5,FALSE)</f>
        <v>3429</v>
      </c>
      <c r="N60" s="39">
        <f>VLOOKUP(Table215[[#This Row],[ROUTE]],DEMAND!A:F,6,FALSE)</f>
        <v>789</v>
      </c>
      <c r="O60" s="39">
        <f>ROUNDDOWN(Table215[[#This Row],[R-DEMAND]]/1320,0)</f>
        <v>0</v>
      </c>
      <c r="P60" s="41">
        <f>Table215[[#This Row],[ADD ACC]]*Table215[[#This Row],[RT TIME (744)]]</f>
        <v>0</v>
      </c>
    </row>
    <row r="61" spans="1:16" ht="15.75" customHeight="1" x14ac:dyDescent="0.25">
      <c r="A61" s="38" t="s">
        <v>13492</v>
      </c>
      <c r="B61" s="39" t="s">
        <v>103</v>
      </c>
      <c r="C61" s="39" t="s">
        <v>2</v>
      </c>
      <c r="D61" s="39">
        <v>4</v>
      </c>
      <c r="E61" s="1" t="s">
        <v>530</v>
      </c>
      <c r="F61" s="1" t="str">
        <f>VLOOKUP(E:E,Table10[[COUNTRY NAME]:[CONTINENT CODE]],3,FALSE)</f>
        <v>SA</v>
      </c>
      <c r="G61" s="156" t="s">
        <v>13178</v>
      </c>
      <c r="H61" s="8">
        <v>2615</v>
      </c>
      <c r="I61" s="41">
        <v>8</v>
      </c>
      <c r="J61" s="157"/>
      <c r="K61" s="6">
        <f>IFERROR(Table215[[#This Row],[ROUTE $]]/Table215[[#This Row],[E - DEMAND]],0)</f>
        <v>0</v>
      </c>
      <c r="L61" s="4"/>
      <c r="M61" s="39">
        <f>VLOOKUP(Table215[[#This Row],[ROUTE]],DEMAND!A:F,5,FALSE)</f>
        <v>3716</v>
      </c>
      <c r="N61" s="39">
        <f>VLOOKUP(Table215[[#This Row],[ROUTE]],DEMAND!A:F,6,FALSE)</f>
        <v>1076</v>
      </c>
      <c r="O61" s="39">
        <f>ROUNDDOWN(Table215[[#This Row],[R-DEMAND]]/1320,0)</f>
        <v>0</v>
      </c>
      <c r="P61" s="41">
        <f>Table215[[#This Row],[ADD ACC]]*Table215[[#This Row],[RT TIME (744)]]</f>
        <v>0</v>
      </c>
    </row>
    <row r="62" spans="1:16" ht="15.75" customHeight="1" x14ac:dyDescent="0.25">
      <c r="A62" s="38" t="s">
        <v>13490</v>
      </c>
      <c r="B62" s="39" t="s">
        <v>256</v>
      </c>
      <c r="C62" s="39" t="s">
        <v>2</v>
      </c>
      <c r="D62" s="39">
        <v>1</v>
      </c>
      <c r="E62" s="1" t="s">
        <v>530</v>
      </c>
      <c r="F62" s="1" t="str">
        <f>VLOOKUP(E:E,Table10[[COUNTRY NAME]:[CONTINENT CODE]],3,FALSE)</f>
        <v>SA</v>
      </c>
      <c r="G62" s="156" t="s">
        <v>13177</v>
      </c>
      <c r="H62" s="8">
        <v>6278</v>
      </c>
      <c r="I62" s="41">
        <v>16</v>
      </c>
      <c r="J62" s="157"/>
      <c r="K62" s="6">
        <f>IFERROR(Table215[[#This Row],[ROUTE $]]/Table215[[#This Row],[E - DEMAND]],0)</f>
        <v>0</v>
      </c>
      <c r="L62" s="4"/>
      <c r="M62" s="39">
        <f>VLOOKUP(Table215[[#This Row],[ROUTE]],DEMAND!A:F,5,FALSE)</f>
        <v>2023</v>
      </c>
      <c r="N62" s="39">
        <f>VLOOKUP(Table215[[#This Row],[ROUTE]],DEMAND!A:F,6,FALSE)</f>
        <v>703</v>
      </c>
      <c r="O62" s="39">
        <f>ROUNDDOWN(Table215[[#This Row],[R-DEMAND]]/1320,0)</f>
        <v>0</v>
      </c>
      <c r="P62" s="41">
        <f>Table215[[#This Row],[ADD ACC]]*Table215[[#This Row],[RT TIME (744)]]</f>
        <v>0</v>
      </c>
    </row>
    <row r="63" spans="1:16" ht="15.75" customHeight="1" x14ac:dyDescent="0.25">
      <c r="A63" s="38" t="s">
        <v>13491</v>
      </c>
      <c r="B63" s="39" t="s">
        <v>3761</v>
      </c>
      <c r="C63" s="39" t="s">
        <v>2</v>
      </c>
      <c r="D63" s="39">
        <v>2</v>
      </c>
      <c r="E63" s="1" t="s">
        <v>530</v>
      </c>
      <c r="F63" s="1" t="str">
        <f>VLOOKUP(E:E,Table10[[COUNTRY NAME]:[CONTINENT CODE]],3,FALSE)</f>
        <v>SA</v>
      </c>
      <c r="G63" s="156" t="s">
        <v>11664</v>
      </c>
      <c r="H63" s="8">
        <v>3878</v>
      </c>
      <c r="I63" s="41">
        <v>10.75</v>
      </c>
      <c r="J63" s="157"/>
      <c r="K63" s="6">
        <f>IFERROR(Table215[[#This Row],[ROUTE $]]/Table215[[#This Row],[E - DEMAND]],0)</f>
        <v>0</v>
      </c>
      <c r="L63" s="4"/>
      <c r="M63" s="39">
        <f>VLOOKUP(Table215[[#This Row],[ROUTE]],DEMAND!A:F,5,FALSE)</f>
        <v>2665</v>
      </c>
      <c r="N63" s="39">
        <f>VLOOKUP(Table215[[#This Row],[ROUTE]],DEMAND!A:F,6,FALSE)</f>
        <v>25</v>
      </c>
      <c r="O63" s="39">
        <f>ROUNDDOWN(Table215[[#This Row],[R-DEMAND]]/1320,0)</f>
        <v>0</v>
      </c>
      <c r="P63" s="41">
        <f>Table215[[#This Row],[ADD ACC]]*Table215[[#This Row],[RT TIME (744)]]</f>
        <v>0</v>
      </c>
    </row>
    <row r="64" spans="1:16" ht="15.75" customHeight="1" x14ac:dyDescent="0.25">
      <c r="A64" s="38" t="s">
        <v>13497</v>
      </c>
      <c r="B64" s="39" t="s">
        <v>5021</v>
      </c>
      <c r="C64" s="39" t="s">
        <v>2</v>
      </c>
      <c r="D64" s="39">
        <v>3</v>
      </c>
      <c r="E64" s="1" t="s">
        <v>860</v>
      </c>
      <c r="F64" s="1" t="str">
        <f>VLOOKUP(E:E,Table10[[COUNTRY NAME]:[CONTINENT CODE]],3,FALSE)</f>
        <v>SA</v>
      </c>
      <c r="G64" s="160" t="s">
        <v>13183</v>
      </c>
      <c r="H64" s="8">
        <v>4417</v>
      </c>
      <c r="I64" s="41">
        <v>12</v>
      </c>
      <c r="J64" s="157">
        <v>179615502</v>
      </c>
      <c r="K64" s="42">
        <f>IFERROR(Table215[[#This Row],[ROUTE $]]/Table215[[#This Row],[E - DEMAND]],0)</f>
        <v>57129.612595419851</v>
      </c>
      <c r="L64" s="43">
        <v>3144</v>
      </c>
      <c r="M64" s="39">
        <f>VLOOKUP(Table215[[#This Row],[ROUTE]],DEMAND!A:F,5,FALSE)</f>
        <v>3345</v>
      </c>
      <c r="N64" s="39">
        <f>VLOOKUP(Table215[[#This Row],[ROUTE]],DEMAND!A:F,6,FALSE)</f>
        <v>705</v>
      </c>
      <c r="O64" s="39">
        <f>ROUNDDOWN(Table215[[#This Row],[R-DEMAND]]/1320,0)</f>
        <v>0</v>
      </c>
      <c r="P64" s="41">
        <f>Table215[[#This Row],[ADD ACC]]*Table215[[#This Row],[RT TIME (744)]]</f>
        <v>0</v>
      </c>
    </row>
    <row r="65" spans="1:16" ht="15.75" customHeight="1" x14ac:dyDescent="0.25">
      <c r="A65" s="38" t="s">
        <v>13498</v>
      </c>
      <c r="B65" s="39" t="s">
        <v>408</v>
      </c>
      <c r="C65" s="39" t="s">
        <v>2</v>
      </c>
      <c r="D65" s="39">
        <v>4</v>
      </c>
      <c r="E65" s="1" t="s">
        <v>860</v>
      </c>
      <c r="F65" s="1" t="str">
        <f>VLOOKUP(E:E,Table10[[COUNTRY NAME]:[CONTINENT CODE]],3,FALSE)</f>
        <v>SA</v>
      </c>
      <c r="G65" s="156" t="s">
        <v>13184</v>
      </c>
      <c r="H65" s="8">
        <v>4337</v>
      </c>
      <c r="I65" s="41">
        <v>11.75</v>
      </c>
      <c r="J65" s="157">
        <v>204557853</v>
      </c>
      <c r="K65" s="6">
        <f>IFERROR(Table215[[#This Row],[ROUTE $]]/Table215[[#This Row],[E - DEMAND]],0)</f>
        <v>52383.57311139565</v>
      </c>
      <c r="L65" s="4">
        <v>3905</v>
      </c>
      <c r="M65" s="39">
        <f>VLOOKUP(Table215[[#This Row],[ROUTE]],DEMAND!A:F,5,FALSE)</f>
        <v>4141</v>
      </c>
      <c r="N65" s="39">
        <f>VLOOKUP(Table215[[#This Row],[ROUTE]],DEMAND!A:F,6,FALSE)</f>
        <v>181</v>
      </c>
      <c r="O65" s="39">
        <f>ROUNDDOWN(Table215[[#This Row],[R-DEMAND]]/1320,0)</f>
        <v>0</v>
      </c>
      <c r="P65" s="41">
        <f>Table215[[#This Row],[ADD ACC]]*Table215[[#This Row],[RT TIME (744)]]</f>
        <v>0</v>
      </c>
    </row>
    <row r="66" spans="1:16" ht="15.75" customHeight="1" x14ac:dyDescent="0.25">
      <c r="A66" s="38" t="s">
        <v>13500</v>
      </c>
      <c r="B66" s="39" t="s">
        <v>4548</v>
      </c>
      <c r="C66" s="39" t="s">
        <v>2</v>
      </c>
      <c r="D66" s="39">
        <v>2</v>
      </c>
      <c r="E66" s="1" t="s">
        <v>4546</v>
      </c>
      <c r="F66" s="1" t="str">
        <f>VLOOKUP(E:E,Table10[[COUNTRY NAME]:[CONTINENT CODE]],3,FALSE)</f>
        <v>AF</v>
      </c>
      <c r="G66" s="156" t="s">
        <v>11821</v>
      </c>
      <c r="H66" s="8">
        <v>6942</v>
      </c>
      <c r="I66" s="41">
        <v>17.5</v>
      </c>
      <c r="J66" s="157"/>
      <c r="K66" s="6">
        <f>IFERROR(Table215[[#This Row],[ROUTE $]]/Table215[[#This Row],[E - DEMAND]],0)</f>
        <v>0</v>
      </c>
      <c r="L66" s="4"/>
      <c r="M66" s="39">
        <f>VLOOKUP(Table215[[#This Row],[ROUTE]],DEMAND!A:F,5,FALSE)</f>
        <v>3630</v>
      </c>
      <c r="N66" s="39">
        <f>VLOOKUP(Table215[[#This Row],[ROUTE]],DEMAND!A:F,6,FALSE)</f>
        <v>990</v>
      </c>
      <c r="O66" s="39">
        <f>ROUNDDOWN(Table215[[#This Row],[R-DEMAND]]/1320,0)</f>
        <v>0</v>
      </c>
      <c r="P66" s="41">
        <f>Table215[[#This Row],[ADD ACC]]*Table215[[#This Row],[RT TIME (744)]]</f>
        <v>0</v>
      </c>
    </row>
    <row r="67" spans="1:16" ht="15.75" customHeight="1" x14ac:dyDescent="0.25">
      <c r="A67" s="38" t="s">
        <v>13517</v>
      </c>
      <c r="B67" s="39" t="s">
        <v>3313</v>
      </c>
      <c r="C67" s="39" t="s">
        <v>2</v>
      </c>
      <c r="D67" s="39">
        <v>2</v>
      </c>
      <c r="E67" s="143" t="s">
        <v>725</v>
      </c>
      <c r="F67" s="1" t="e">
        <f>VLOOKUP(E:E,Table10[[COUNTRY NAME]:[CONTINENT CODE]],3,FALSE)</f>
        <v>#N/A</v>
      </c>
      <c r="G67" s="156" t="s">
        <v>11873</v>
      </c>
      <c r="H67" s="8">
        <v>7882</v>
      </c>
      <c r="I67" s="41">
        <v>19.5</v>
      </c>
      <c r="J67" s="157"/>
      <c r="K67" s="6">
        <f>IFERROR(Table215[[#This Row],[ROUTE $]]/Table215[[#This Row],[E - DEMAND]],0)</f>
        <v>0</v>
      </c>
      <c r="L67" s="43"/>
      <c r="M67" s="39">
        <f>VLOOKUP(Table215[[#This Row],[ROUTE]],DEMAND!A:F,5,FALSE)</f>
        <v>4063</v>
      </c>
      <c r="N67" s="39">
        <f>VLOOKUP(Table215[[#This Row],[ROUTE]],DEMAND!A:F,6,FALSE)</f>
        <v>103</v>
      </c>
      <c r="O67" s="39">
        <f>ROUNDDOWN(Table215[[#This Row],[R-DEMAND]]/1320,0)</f>
        <v>0</v>
      </c>
      <c r="P67" s="41">
        <f>Table215[[#This Row],[ADD ACC]]*Table215[[#This Row],[RT TIME (744)]]</f>
        <v>0</v>
      </c>
    </row>
    <row r="68" spans="1:16" ht="15.75" customHeight="1" x14ac:dyDescent="0.25">
      <c r="A68" s="38" t="s">
        <v>13502</v>
      </c>
      <c r="B68" s="39" t="s">
        <v>5025</v>
      </c>
      <c r="C68" s="39" t="s">
        <v>2</v>
      </c>
      <c r="D68" s="39">
        <v>3</v>
      </c>
      <c r="E68" s="1" t="s">
        <v>1117</v>
      </c>
      <c r="F68" s="1" t="str">
        <f>VLOOKUP(E:E,Table10[[COUNTRY NAME]:[CONTINENT CODE]],3,FALSE)</f>
        <v>EU</v>
      </c>
      <c r="G68" s="156" t="s">
        <v>11801</v>
      </c>
      <c r="H68" s="8">
        <v>9943</v>
      </c>
      <c r="I68" s="41">
        <v>24.25</v>
      </c>
      <c r="J68" s="157">
        <v>234955007</v>
      </c>
      <c r="K68" s="6">
        <f>IFERROR(Table215[[#This Row],[ROUTE $]]/Table215[[#This Row],[E - DEMAND]],0)</f>
        <v>83554.41216216216</v>
      </c>
      <c r="L68" s="4">
        <v>2812</v>
      </c>
      <c r="M68" s="39">
        <f>VLOOKUP(Table215[[#This Row],[ROUTE]],DEMAND!A:F,5,FALSE)</f>
        <v>2906</v>
      </c>
      <c r="N68" s="39">
        <f>VLOOKUP(Table215[[#This Row],[ROUTE]],DEMAND!A:F,6,FALSE)</f>
        <v>266</v>
      </c>
      <c r="O68" s="39">
        <f>ROUNDDOWN(Table215[[#This Row],[R-DEMAND]]/1320,0)</f>
        <v>0</v>
      </c>
      <c r="P68" s="41">
        <f>Table215[[#This Row],[ADD ACC]]*Table215[[#This Row],[RT TIME (744)]]</f>
        <v>0</v>
      </c>
    </row>
    <row r="69" spans="1:16" ht="15.75" customHeight="1" x14ac:dyDescent="0.25">
      <c r="A69" s="38" t="s">
        <v>13505</v>
      </c>
      <c r="B69" s="39" t="s">
        <v>5465</v>
      </c>
      <c r="C69" s="39" t="s">
        <v>2</v>
      </c>
      <c r="D69" s="39">
        <v>4</v>
      </c>
      <c r="E69" s="1" t="s">
        <v>683</v>
      </c>
      <c r="F69" s="1" t="str">
        <f>VLOOKUP(E:E,Table10[[COUNTRY NAME]:[CONTINENT CODE]],3,FALSE)</f>
        <v>NA</v>
      </c>
      <c r="G69" s="156" t="s">
        <v>13186</v>
      </c>
      <c r="H69" s="8">
        <v>6461</v>
      </c>
      <c r="I69" s="41">
        <v>16.5</v>
      </c>
      <c r="J69" s="157">
        <v>211652373</v>
      </c>
      <c r="K69" s="6">
        <f>IFERROR(Table215[[#This Row],[ROUTE $]]/Table215[[#This Row],[E - DEMAND]],0)</f>
        <v>68296.990319457895</v>
      </c>
      <c r="L69" s="4">
        <v>3099</v>
      </c>
      <c r="M69" s="39">
        <f>VLOOKUP(Table215[[#This Row],[ROUTE]],DEMAND!A:F,5,FALSE)</f>
        <v>3204</v>
      </c>
      <c r="N69" s="39">
        <f>VLOOKUP(Table215[[#This Row],[ROUTE]],DEMAND!A:F,6,FALSE)</f>
        <v>564</v>
      </c>
      <c r="O69" s="39">
        <f>ROUNDDOWN(Table215[[#This Row],[R-DEMAND]]/1320,0)</f>
        <v>0</v>
      </c>
      <c r="P69" s="41">
        <f>Table215[[#This Row],[ADD ACC]]*Table215[[#This Row],[RT TIME (744)]]</f>
        <v>0</v>
      </c>
    </row>
    <row r="70" spans="1:16" ht="15.75" customHeight="1" x14ac:dyDescent="0.25">
      <c r="A70" s="38" t="s">
        <v>13506</v>
      </c>
      <c r="B70" s="39" t="s">
        <v>4729</v>
      </c>
      <c r="C70" s="39" t="s">
        <v>2</v>
      </c>
      <c r="D70" s="39">
        <v>2</v>
      </c>
      <c r="E70" s="1" t="s">
        <v>683</v>
      </c>
      <c r="F70" s="1" t="str">
        <f>VLOOKUP(E:E,Table10[[COUNTRY NAME]:[CONTINENT CODE]],3,FALSE)</f>
        <v>NA</v>
      </c>
      <c r="G70" s="156" t="s">
        <v>13187</v>
      </c>
      <c r="H70" s="8">
        <v>6402</v>
      </c>
      <c r="I70" s="41">
        <v>16.25</v>
      </c>
      <c r="J70" s="157">
        <v>194262413</v>
      </c>
      <c r="K70" s="6">
        <f>IFERROR(Table215[[#This Row],[ROUTE $]]/Table215[[#This Row],[E - DEMAND]],0)</f>
        <v>73584.247348484845</v>
      </c>
      <c r="L70" s="4">
        <v>2640</v>
      </c>
      <c r="M70" s="39">
        <f>VLOOKUP(Table215[[#This Row],[ROUTE]],DEMAND!A:F,5,FALSE)</f>
        <v>2738</v>
      </c>
      <c r="N70" s="39">
        <f>VLOOKUP(Table215[[#This Row],[ROUTE]],DEMAND!A:F,6,FALSE)</f>
        <v>98</v>
      </c>
      <c r="O70" s="39">
        <f>ROUNDDOWN(Table215[[#This Row],[R-DEMAND]]/1320,0)</f>
        <v>0</v>
      </c>
      <c r="P70" s="41">
        <f>Table215[[#This Row],[ADD ACC]]*Table215[[#This Row],[RT TIME (744)]]</f>
        <v>0</v>
      </c>
    </row>
    <row r="71" spans="1:16" ht="15.75" customHeight="1" x14ac:dyDescent="0.25">
      <c r="A71" s="38" t="s">
        <v>13511</v>
      </c>
      <c r="B71" s="39" t="s">
        <v>4391</v>
      </c>
      <c r="C71" s="39" t="s">
        <v>2</v>
      </c>
      <c r="D71" s="39">
        <v>2</v>
      </c>
      <c r="E71" s="1" t="s">
        <v>683</v>
      </c>
      <c r="F71" s="1" t="str">
        <f>VLOOKUP(E:E,Table10[[COUNTRY NAME]:[CONTINENT CODE]],3,FALSE)</f>
        <v>NA</v>
      </c>
      <c r="G71" s="160" t="s">
        <v>13192</v>
      </c>
      <c r="H71" s="40">
        <v>5886</v>
      </c>
      <c r="I71" s="41">
        <v>15.25</v>
      </c>
      <c r="J71" s="157">
        <v>186018899</v>
      </c>
      <c r="K71" s="42">
        <f>IFERROR(Table215[[#This Row],[ROUTE $]]/Table215[[#This Row],[E - DEMAND]],0)</f>
        <v>73525.256521739124</v>
      </c>
      <c r="L71" s="43">
        <v>2530</v>
      </c>
      <c r="M71" s="39">
        <f>VLOOKUP(Table215[[#This Row],[ROUTE]],DEMAND!A:F,5,FALSE)</f>
        <v>2640</v>
      </c>
      <c r="N71" s="39">
        <f>VLOOKUP(Table215[[#This Row],[ROUTE]],DEMAND!A:F,6,FALSE)</f>
        <v>0</v>
      </c>
      <c r="O71" s="39">
        <f>ROUNDDOWN(Table215[[#This Row],[R-DEMAND]]/1320,0)</f>
        <v>0</v>
      </c>
      <c r="P71" s="41">
        <f>Table215[[#This Row],[ADD ACC]]*Table215[[#This Row],[RT TIME (744)]]</f>
        <v>0</v>
      </c>
    </row>
    <row r="72" spans="1:16" ht="15.75" customHeight="1" x14ac:dyDescent="0.25">
      <c r="A72" s="38" t="s">
        <v>13515</v>
      </c>
      <c r="B72" s="39" t="s">
        <v>5602</v>
      </c>
      <c r="C72" s="39" t="s">
        <v>2</v>
      </c>
      <c r="D72" s="39">
        <v>4</v>
      </c>
      <c r="E72" s="143" t="s">
        <v>2441</v>
      </c>
      <c r="F72" s="1" t="e">
        <f>VLOOKUP(E:E,Table10[[COUNTRY NAME]:[CONTINENT CODE]],3,FALSE)</f>
        <v>#N/A</v>
      </c>
      <c r="G72" s="156" t="s">
        <v>11048</v>
      </c>
      <c r="H72" s="8">
        <v>10120</v>
      </c>
      <c r="I72" s="41">
        <v>24.5</v>
      </c>
      <c r="J72" s="157">
        <v>255323927</v>
      </c>
      <c r="K72" s="6">
        <f>IFERROR(Table215[[#This Row],[ROUTE $]]/Table215[[#This Row],[E - DEMAND]],0)</f>
        <v>73899.834153400865</v>
      </c>
      <c r="L72" s="4">
        <v>3455</v>
      </c>
      <c r="M72" s="39">
        <f>VLOOKUP(Table215[[#This Row],[ROUTE]],DEMAND!A:F,5,FALSE)</f>
        <v>3594</v>
      </c>
      <c r="N72" s="39">
        <f>VLOOKUP(Table215[[#This Row],[ROUTE]],DEMAND!A:F,6,FALSE)</f>
        <v>954</v>
      </c>
      <c r="O72" s="39">
        <f>ROUNDDOWN(Table215[[#This Row],[R-DEMAND]]/1320,0)</f>
        <v>0</v>
      </c>
      <c r="P72" s="41">
        <f>Table215[[#This Row],[ADD ACC]]*Table215[[#This Row],[RT TIME (744)]]</f>
        <v>0</v>
      </c>
    </row>
    <row r="73" spans="1:16" ht="15.75" customHeight="1" x14ac:dyDescent="0.25">
      <c r="A73" s="38" t="s">
        <v>13519</v>
      </c>
      <c r="B73" s="39" t="s">
        <v>5658</v>
      </c>
      <c r="C73" s="39" t="s">
        <v>2</v>
      </c>
      <c r="D73" s="39">
        <v>4</v>
      </c>
      <c r="E73" s="1" t="s">
        <v>876</v>
      </c>
      <c r="F73" s="1" t="str">
        <f>VLOOKUP(E:E,Table10[[COUNTRY NAME]:[CONTINENT CODE]],3,FALSE)</f>
        <v>EU</v>
      </c>
      <c r="G73" s="156" t="s">
        <v>11095</v>
      </c>
      <c r="H73" s="8">
        <v>10407</v>
      </c>
      <c r="I73" s="41">
        <v>25.25</v>
      </c>
      <c r="J73" s="157">
        <v>264473719</v>
      </c>
      <c r="K73" s="6">
        <f>IFERROR(Table215[[#This Row],[ROUTE $]]/Table215[[#This Row],[E - DEMAND]],0)</f>
        <v>84496.395846645362</v>
      </c>
      <c r="L73" s="4">
        <v>3130</v>
      </c>
      <c r="M73" s="39">
        <f>VLOOKUP(Table215[[#This Row],[ROUTE]],DEMAND!A:F,5,FALSE)</f>
        <v>3319</v>
      </c>
      <c r="N73" s="39">
        <f>VLOOKUP(Table215[[#This Row],[ROUTE]],DEMAND!A:F,6,FALSE)</f>
        <v>679</v>
      </c>
      <c r="O73" s="39">
        <f>ROUNDDOWN(Table215[[#This Row],[R-DEMAND]]/1320,0)</f>
        <v>0</v>
      </c>
      <c r="P73" s="41">
        <f>Table215[[#This Row],[ADD ACC]]*Table215[[#This Row],[RT TIME (744)]]</f>
        <v>0</v>
      </c>
    </row>
    <row r="74" spans="1:16" ht="15.75" customHeight="1" x14ac:dyDescent="0.25">
      <c r="A74" s="38" t="s">
        <v>13523</v>
      </c>
      <c r="B74" s="39" t="s">
        <v>3215</v>
      </c>
      <c r="C74" s="39" t="s">
        <v>2</v>
      </c>
      <c r="D74" s="39">
        <v>2</v>
      </c>
      <c r="E74" s="1" t="s">
        <v>3213</v>
      </c>
      <c r="F74" s="1" t="str">
        <f>VLOOKUP(E:E,Table10[[COUNTRY NAME]:[CONTINENT CODE]],3,FALSE)</f>
        <v>AF</v>
      </c>
      <c r="G74" s="160" t="s">
        <v>11944</v>
      </c>
      <c r="H74" s="40">
        <v>10480</v>
      </c>
      <c r="I74" s="41">
        <v>25.25</v>
      </c>
      <c r="J74" s="157">
        <v>225937105</v>
      </c>
      <c r="K74" s="42">
        <f>IFERROR(Table215[[#This Row],[ROUTE $]]/Table215[[#This Row],[E - DEMAND]],0)</f>
        <v>57126.954487989889</v>
      </c>
      <c r="L74" s="43">
        <v>3955</v>
      </c>
      <c r="M74" s="39">
        <f>VLOOKUP(Table215[[#This Row],[ROUTE]],DEMAND!A:F,5,FALSE)</f>
        <v>4181</v>
      </c>
      <c r="N74" s="39">
        <f>VLOOKUP(Table215[[#This Row],[ROUTE]],DEMAND!A:F,6,FALSE)</f>
        <v>221</v>
      </c>
      <c r="O74" s="39">
        <f>ROUNDDOWN(Table215[[#This Row],[R-DEMAND]]/1320,0)</f>
        <v>0</v>
      </c>
      <c r="P74" s="41">
        <f>Table215[[#This Row],[ADD ACC]]*Table215[[#This Row],[RT TIME (744)]]</f>
        <v>0</v>
      </c>
    </row>
    <row r="75" spans="1:16" ht="15.75" customHeight="1" x14ac:dyDescent="0.25">
      <c r="A75" s="38" t="s">
        <v>13526</v>
      </c>
      <c r="B75" s="39" t="s">
        <v>2793</v>
      </c>
      <c r="C75" s="39" t="s">
        <v>2</v>
      </c>
      <c r="D75" s="39">
        <v>2</v>
      </c>
      <c r="E75" s="1" t="s">
        <v>2791</v>
      </c>
      <c r="F75" s="1" t="str">
        <f>VLOOKUP(E:E,Table10[[COUNTRY NAME]:[CONTINENT CODE]],3,FALSE)</f>
        <v>NA</v>
      </c>
      <c r="G75" s="159" t="s">
        <v>13196</v>
      </c>
      <c r="H75" s="8">
        <v>5378</v>
      </c>
      <c r="I75" s="41">
        <v>14</v>
      </c>
      <c r="J75" s="157">
        <v>170158438</v>
      </c>
      <c r="K75" s="6">
        <f>IFERROR(Table215[[#This Row],[ROUTE $]]/Table215[[#This Row],[E - DEMAND]],0)</f>
        <v>68890.055870445343</v>
      </c>
      <c r="L75" s="4">
        <v>2470</v>
      </c>
      <c r="M75" s="39">
        <f>VLOOKUP(Table215[[#This Row],[ROUTE]],DEMAND!A:F,5,FALSE)</f>
        <v>2636</v>
      </c>
      <c r="N75" s="39">
        <f>VLOOKUP(Table215[[#This Row],[ROUTE]],DEMAND!A:F,6,FALSE)</f>
        <v>1316</v>
      </c>
      <c r="O75" s="39">
        <f>ROUNDDOWN(Table215[[#This Row],[R-DEMAND]]/1320,0)</f>
        <v>0</v>
      </c>
      <c r="P75" s="41">
        <f>Table215[[#This Row],[ADD ACC]]*Table215[[#This Row],[RT TIME (744)]]</f>
        <v>0</v>
      </c>
    </row>
    <row r="76" spans="1:16" ht="15.75" customHeight="1" x14ac:dyDescent="0.25">
      <c r="A76" s="38" t="s">
        <v>13528</v>
      </c>
      <c r="B76" s="39" t="s">
        <v>3889</v>
      </c>
      <c r="C76" s="39" t="s">
        <v>2</v>
      </c>
      <c r="D76" s="39">
        <v>2</v>
      </c>
      <c r="E76" s="1" t="s">
        <v>2791</v>
      </c>
      <c r="F76" s="1" t="str">
        <f>VLOOKUP(E:E,Table10[[COUNTRY NAME]:[CONTINENT CODE]],3,FALSE)</f>
        <v>NA</v>
      </c>
      <c r="G76" s="156" t="s">
        <v>13198</v>
      </c>
      <c r="H76" s="8">
        <v>5257</v>
      </c>
      <c r="I76" s="41">
        <v>13.75</v>
      </c>
      <c r="J76" s="157">
        <v>175621064</v>
      </c>
      <c r="K76" s="6">
        <f>IFERROR(Table215[[#This Row],[ROUTE $]]/Table215[[#This Row],[E - DEMAND]],0)</f>
        <v>66172.217030896762</v>
      </c>
      <c r="L76" s="4">
        <v>2654</v>
      </c>
      <c r="M76" s="39">
        <f>VLOOKUP(Table215[[#This Row],[ROUTE]],DEMAND!A:F,5,FALSE)</f>
        <v>2824</v>
      </c>
      <c r="N76" s="39">
        <f>VLOOKUP(Table215[[#This Row],[ROUTE]],DEMAND!A:F,6,FALSE)</f>
        <v>184</v>
      </c>
      <c r="O76" s="39">
        <f>ROUNDDOWN(Table215[[#This Row],[R-DEMAND]]/1320,0)</f>
        <v>0</v>
      </c>
      <c r="P76" s="41">
        <f>Table215[[#This Row],[ADD ACC]]*Table215[[#This Row],[RT TIME (744)]]</f>
        <v>0</v>
      </c>
    </row>
    <row r="77" spans="1:16" ht="15.75" customHeight="1" x14ac:dyDescent="0.25">
      <c r="A77" s="38" t="s">
        <v>13525</v>
      </c>
      <c r="B77" s="39" t="s">
        <v>4675</v>
      </c>
      <c r="C77" s="39" t="s">
        <v>2</v>
      </c>
      <c r="D77" s="39">
        <v>2</v>
      </c>
      <c r="E77" s="1" t="s">
        <v>2791</v>
      </c>
      <c r="F77" s="1" t="str">
        <f>VLOOKUP(E:E,Table10[[COUNTRY NAME]:[CONTINENT CODE]],3,FALSE)</f>
        <v>NA</v>
      </c>
      <c r="G77" s="156" t="s">
        <v>13195</v>
      </c>
      <c r="H77" s="8">
        <v>5469</v>
      </c>
      <c r="I77" s="41">
        <v>14.25</v>
      </c>
      <c r="J77" s="157">
        <v>185011339</v>
      </c>
      <c r="K77" s="6">
        <f>IFERROR(Table215[[#This Row],[ROUTE $]]/Table215[[#This Row],[E - DEMAND]],0)</f>
        <v>64711.905911157744</v>
      </c>
      <c r="L77" s="4">
        <v>2859</v>
      </c>
      <c r="M77" s="39">
        <f>VLOOKUP(Table215[[#This Row],[ROUTE]],DEMAND!A:F,5,FALSE)</f>
        <v>3003</v>
      </c>
      <c r="N77" s="39">
        <f>VLOOKUP(Table215[[#This Row],[ROUTE]],DEMAND!A:F,6,FALSE)</f>
        <v>363</v>
      </c>
      <c r="O77" s="39">
        <f>ROUNDDOWN(Table215[[#This Row],[R-DEMAND]]/1320,0)</f>
        <v>0</v>
      </c>
      <c r="P77" s="41">
        <f>Table215[[#This Row],[ADD ACC]]*Table215[[#This Row],[RT TIME (744)]]</f>
        <v>0</v>
      </c>
    </row>
    <row r="78" spans="1:16" ht="15.75" customHeight="1" x14ac:dyDescent="0.25">
      <c r="A78" s="38" t="s">
        <v>13529</v>
      </c>
      <c r="B78" s="39" t="s">
        <v>4977</v>
      </c>
      <c r="C78" s="39" t="s">
        <v>2</v>
      </c>
      <c r="D78" s="39">
        <v>3</v>
      </c>
      <c r="E78" s="1" t="s">
        <v>2791</v>
      </c>
      <c r="F78" s="1" t="str">
        <f>VLOOKUP(E:E,Table10[[COUNTRY NAME]:[CONTINENT CODE]],3,FALSE)</f>
        <v>NA</v>
      </c>
      <c r="G78" s="156" t="s">
        <v>13199</v>
      </c>
      <c r="H78" s="8">
        <v>5240</v>
      </c>
      <c r="I78" s="41">
        <v>13.75</v>
      </c>
      <c r="J78" s="157">
        <v>186941220</v>
      </c>
      <c r="K78" s="6">
        <f>IFERROR(Table215[[#This Row],[ROUTE $]]/Table215[[#This Row],[E - DEMAND]],0)</f>
        <v>62816.270161290326</v>
      </c>
      <c r="L78" s="4">
        <v>2976</v>
      </c>
      <c r="M78" s="39">
        <f>VLOOKUP(Table215[[#This Row],[ROUTE]],DEMAND!A:F,5,FALSE)</f>
        <v>3097</v>
      </c>
      <c r="N78" s="39">
        <f>VLOOKUP(Table215[[#This Row],[ROUTE]],DEMAND!A:F,6,FALSE)</f>
        <v>457</v>
      </c>
      <c r="O78" s="39">
        <f>ROUNDDOWN(Table215[[#This Row],[R-DEMAND]]/1320,0)</f>
        <v>0</v>
      </c>
      <c r="P78" s="41">
        <f>Table215[[#This Row],[ADD ACC]]*Table215[[#This Row],[RT TIME (744)]]</f>
        <v>0</v>
      </c>
    </row>
    <row r="79" spans="1:16" ht="15.75" customHeight="1" x14ac:dyDescent="0.25">
      <c r="A79" s="38" t="s">
        <v>13527</v>
      </c>
      <c r="B79" s="39" t="s">
        <v>5147</v>
      </c>
      <c r="C79" s="39" t="s">
        <v>2</v>
      </c>
      <c r="D79" s="39">
        <v>3</v>
      </c>
      <c r="E79" s="1" t="s">
        <v>2791</v>
      </c>
      <c r="F79" s="1" t="str">
        <f>VLOOKUP(E:E,Table10[[COUNTRY NAME]:[CONTINENT CODE]],3,FALSE)</f>
        <v>NA</v>
      </c>
      <c r="G79" s="156" t="s">
        <v>13197</v>
      </c>
      <c r="H79" s="8">
        <v>5293</v>
      </c>
      <c r="I79" s="41">
        <v>13.75</v>
      </c>
      <c r="J79" s="157">
        <v>190577768</v>
      </c>
      <c r="K79" s="6">
        <f>IFERROR(Table215[[#This Row],[ROUTE $]]/Table215[[#This Row],[E - DEMAND]],0)</f>
        <v>61976.509918699187</v>
      </c>
      <c r="L79" s="4">
        <v>3075</v>
      </c>
      <c r="M79" s="39">
        <f>VLOOKUP(Table215[[#This Row],[ROUTE]],DEMAND!A:F,5,FALSE)</f>
        <v>3241</v>
      </c>
      <c r="N79" s="39">
        <f>VLOOKUP(Table215[[#This Row],[ROUTE]],DEMAND!A:F,6,FALSE)</f>
        <v>601</v>
      </c>
      <c r="O79" s="39">
        <f>ROUNDDOWN(Table215[[#This Row],[R-DEMAND]]/1320,0)</f>
        <v>0</v>
      </c>
      <c r="P79" s="41">
        <f>Table215[[#This Row],[ADD ACC]]*Table215[[#This Row],[RT TIME (744)]]</f>
        <v>0</v>
      </c>
    </row>
    <row r="80" spans="1:16" ht="15.75" customHeight="1" x14ac:dyDescent="0.25">
      <c r="A80" s="38" t="s">
        <v>13530</v>
      </c>
      <c r="B80" s="39" t="s">
        <v>3595</v>
      </c>
      <c r="C80" s="39" t="s">
        <v>2</v>
      </c>
      <c r="D80" s="39">
        <v>2</v>
      </c>
      <c r="E80" s="1" t="s">
        <v>2293</v>
      </c>
      <c r="F80" s="1" t="str">
        <f>VLOOKUP(E:E,Table10[[COUNTRY NAME]:[CONTINENT CODE]],3,FALSE)</f>
        <v>SA</v>
      </c>
      <c r="G80" s="159" t="s">
        <v>13200</v>
      </c>
      <c r="H80" s="8">
        <v>4457</v>
      </c>
      <c r="I80" s="41">
        <v>12</v>
      </c>
      <c r="J80" s="157"/>
      <c r="K80" s="6">
        <f>IFERROR(Table215[[#This Row],[ROUTE $]]/Table215[[#This Row],[E - DEMAND]],0)</f>
        <v>0</v>
      </c>
      <c r="L80" s="4"/>
      <c r="M80" s="39">
        <f>VLOOKUP(Table215[[#This Row],[ROUTE]],DEMAND!A:F,5,FALSE)</f>
        <v>3057</v>
      </c>
      <c r="N80" s="39">
        <f>VLOOKUP(Table215[[#This Row],[ROUTE]],DEMAND!A:F,6,FALSE)</f>
        <v>417</v>
      </c>
      <c r="O80" s="39">
        <f>ROUNDDOWN(Table215[[#This Row],[R-DEMAND]]/1320,0)</f>
        <v>0</v>
      </c>
      <c r="P80" s="41">
        <f>Table215[[#This Row],[ADD ACC]]*Table215[[#This Row],[RT TIME (744)]]</f>
        <v>0</v>
      </c>
    </row>
    <row r="81" spans="1:16" ht="15.75" customHeight="1" x14ac:dyDescent="0.25">
      <c r="A81" s="38" t="s">
        <v>13536</v>
      </c>
      <c r="B81" s="39" t="s">
        <v>5471</v>
      </c>
      <c r="C81" s="39" t="s">
        <v>2</v>
      </c>
      <c r="D81" s="39">
        <v>4</v>
      </c>
      <c r="E81" s="1" t="s">
        <v>1124</v>
      </c>
      <c r="F81" s="1" t="str">
        <f>VLOOKUP(E:E,Table10[[COUNTRY NAME]:[CONTINENT CODE]],3,FALSE)</f>
        <v>AF</v>
      </c>
      <c r="G81" s="156" t="s">
        <v>11079</v>
      </c>
      <c r="H81" s="8">
        <v>10288</v>
      </c>
      <c r="I81" s="41">
        <v>25</v>
      </c>
      <c r="J81" s="157">
        <v>250284367</v>
      </c>
      <c r="K81" s="6">
        <f>IFERROR(Table215[[#This Row],[ROUTE $]]/Table215[[#This Row],[E - DEMAND]],0)</f>
        <v>60106.716378482226</v>
      </c>
      <c r="L81" s="4">
        <v>4164</v>
      </c>
      <c r="M81" s="39">
        <f>VLOOKUP(Table215[[#This Row],[ROUTE]],DEMAND!A:F,5,FALSE)</f>
        <v>4165</v>
      </c>
      <c r="N81" s="39">
        <f>VLOOKUP(Table215[[#This Row],[ROUTE]],DEMAND!A:F,6,FALSE)</f>
        <v>205</v>
      </c>
      <c r="O81" s="39">
        <f>ROUNDDOWN(Table215[[#This Row],[R-DEMAND]]/1320,0)</f>
        <v>0</v>
      </c>
      <c r="P81" s="41">
        <f>Table215[[#This Row],[ADD ACC]]*Table215[[#This Row],[RT TIME (744)]]</f>
        <v>0</v>
      </c>
    </row>
    <row r="82" spans="1:16" ht="15.75" customHeight="1" x14ac:dyDescent="0.25">
      <c r="A82" s="38" t="s">
        <v>13535</v>
      </c>
      <c r="B82" s="39" t="s">
        <v>5513</v>
      </c>
      <c r="C82" s="39" t="s">
        <v>2</v>
      </c>
      <c r="D82" s="39">
        <v>4</v>
      </c>
      <c r="E82" s="1" t="s">
        <v>1124</v>
      </c>
      <c r="F82" s="1" t="str">
        <f>VLOOKUP(E:E,Table10[[COUNTRY NAME]:[CONTINENT CODE]],3,FALSE)</f>
        <v>AF</v>
      </c>
      <c r="G82" s="156" t="s">
        <v>11042</v>
      </c>
      <c r="H82" s="8">
        <v>10379</v>
      </c>
      <c r="I82" s="41">
        <v>25</v>
      </c>
      <c r="J82" s="157">
        <v>252513537</v>
      </c>
      <c r="K82" s="6">
        <f>IFERROR(Table215[[#This Row],[ROUTE $]]/Table215[[#This Row],[E - DEMAND]],0)</f>
        <v>59808.985551871148</v>
      </c>
      <c r="L82" s="4">
        <v>4222</v>
      </c>
      <c r="M82" s="39">
        <f>VLOOKUP(Table215[[#This Row],[ROUTE]],DEMAND!A:F,5,FALSE)</f>
        <v>4224</v>
      </c>
      <c r="N82" s="39">
        <f>VLOOKUP(Table215[[#This Row],[ROUTE]],DEMAND!A:F,6,FALSE)</f>
        <v>264</v>
      </c>
      <c r="O82" s="39">
        <f>ROUNDDOWN(Table215[[#This Row],[R-DEMAND]]/1320,0)</f>
        <v>0</v>
      </c>
      <c r="P82" s="41">
        <f>Table215[[#This Row],[ADD ACC]]*Table215[[#This Row],[RT TIME (744)]]</f>
        <v>0</v>
      </c>
    </row>
    <row r="83" spans="1:16" ht="15.75" customHeight="1" x14ac:dyDescent="0.25">
      <c r="A83" s="38" t="s">
        <v>13538</v>
      </c>
      <c r="B83" s="39" t="s">
        <v>388</v>
      </c>
      <c r="C83" s="39" t="s">
        <v>2</v>
      </c>
      <c r="D83" s="39">
        <v>4</v>
      </c>
      <c r="E83" s="1" t="s">
        <v>1124</v>
      </c>
      <c r="F83" s="1" t="str">
        <f>VLOOKUP(E:E,Table10[[COUNTRY NAME]:[CONTINENT CODE]],3,FALSE)</f>
        <v>AF</v>
      </c>
      <c r="G83" s="160" t="s">
        <v>11101</v>
      </c>
      <c r="H83" s="40">
        <v>10219</v>
      </c>
      <c r="I83" s="41">
        <v>24.75</v>
      </c>
      <c r="J83" s="157">
        <v>259299330</v>
      </c>
      <c r="K83" s="42">
        <f>IFERROR(Table215[[#This Row],[ROUTE $]]/Table215[[#This Row],[E - DEMAND]],0)</f>
        <v>57545.346205059919</v>
      </c>
      <c r="L83" s="43">
        <v>4506</v>
      </c>
      <c r="M83" s="39">
        <f>VLOOKUP(Table215[[#This Row],[ROUTE]],DEMAND!A:F,5,FALSE)</f>
        <v>4507</v>
      </c>
      <c r="N83" s="39">
        <f>VLOOKUP(Table215[[#This Row],[ROUTE]],DEMAND!A:F,6,FALSE)</f>
        <v>547</v>
      </c>
      <c r="O83" s="39">
        <f>ROUNDDOWN(Table215[[#This Row],[R-DEMAND]]/1320,0)</f>
        <v>0</v>
      </c>
      <c r="P83" s="41">
        <f>Table215[[#This Row],[ADD ACC]]*Table215[[#This Row],[RT TIME (744)]]</f>
        <v>0</v>
      </c>
    </row>
    <row r="84" spans="1:16" ht="15.75" customHeight="1" x14ac:dyDescent="0.25">
      <c r="A84" s="38" t="s">
        <v>13539</v>
      </c>
      <c r="B84" s="39" t="s">
        <v>5019</v>
      </c>
      <c r="C84" s="39" t="s">
        <v>2</v>
      </c>
      <c r="D84" s="39">
        <v>3</v>
      </c>
      <c r="E84" s="1" t="s">
        <v>1124</v>
      </c>
      <c r="F84" s="1" t="str">
        <f>VLOOKUP(E:E,Table10[[COUNTRY NAME]:[CONTINENT CODE]],3,FALSE)</f>
        <v>AF</v>
      </c>
      <c r="G84" s="156" t="s">
        <v>11872</v>
      </c>
      <c r="H84" s="8">
        <v>10118</v>
      </c>
      <c r="I84" s="41">
        <v>24.5</v>
      </c>
      <c r="J84" s="157">
        <v>236760475</v>
      </c>
      <c r="K84" s="6">
        <f>IFERROR(Table215[[#This Row],[ROUTE $]]/Table215[[#This Row],[E - DEMAND]],0)</f>
        <v>63085.658140154541</v>
      </c>
      <c r="L84" s="4">
        <v>3753</v>
      </c>
      <c r="M84" s="39">
        <f>VLOOKUP(Table215[[#This Row],[ROUTE]],DEMAND!A:F,5,FALSE)</f>
        <v>3754</v>
      </c>
      <c r="N84" s="39">
        <f>VLOOKUP(Table215[[#This Row],[ROUTE]],DEMAND!A:F,6,FALSE)</f>
        <v>1114</v>
      </c>
      <c r="O84" s="39">
        <f>ROUNDDOWN(Table215[[#This Row],[R-DEMAND]]/1320,0)</f>
        <v>0</v>
      </c>
      <c r="P84" s="41">
        <f>Table215[[#This Row],[ADD ACC]]*Table215[[#This Row],[RT TIME (744)]]</f>
        <v>0</v>
      </c>
    </row>
    <row r="85" spans="1:16" ht="15.75" customHeight="1" x14ac:dyDescent="0.25">
      <c r="A85" s="38" t="s">
        <v>13548</v>
      </c>
      <c r="B85" s="39" t="s">
        <v>3941</v>
      </c>
      <c r="C85" s="39" t="s">
        <v>2</v>
      </c>
      <c r="D85" s="39">
        <v>2</v>
      </c>
      <c r="E85" s="1" t="s">
        <v>2527</v>
      </c>
      <c r="F85" s="1" t="str">
        <f>VLOOKUP(E:E,Table10[[COUNTRY NAME]:[CONTINENT CODE]],3,FALSE)</f>
        <v>AF</v>
      </c>
      <c r="G85" s="156" t="s">
        <v>11929</v>
      </c>
      <c r="H85" s="8">
        <v>9811</v>
      </c>
      <c r="I85" s="41">
        <v>23.75</v>
      </c>
      <c r="J85" s="157">
        <v>225386394</v>
      </c>
      <c r="K85" s="6">
        <f>IFERROR(Table215[[#This Row],[ROUTE $]]/Table215[[#This Row],[E - DEMAND]],0)</f>
        <v>54506.987666263602</v>
      </c>
      <c r="L85" s="4">
        <v>4135</v>
      </c>
      <c r="M85" s="39">
        <f>VLOOKUP(Table215[[#This Row],[ROUTE]],DEMAND!A:F,5,FALSE)</f>
        <v>4275</v>
      </c>
      <c r="N85" s="39">
        <f>VLOOKUP(Table215[[#This Row],[ROUTE]],DEMAND!A:F,6,FALSE)</f>
        <v>315</v>
      </c>
      <c r="O85" s="39">
        <f>ROUNDDOWN(Table215[[#This Row],[R-DEMAND]]/1320,0)</f>
        <v>0</v>
      </c>
      <c r="P85" s="41">
        <f>Table215[[#This Row],[ADD ACC]]*Table215[[#This Row],[RT TIME (744)]]</f>
        <v>0</v>
      </c>
    </row>
    <row r="86" spans="1:16" ht="15.75" customHeight="1" x14ac:dyDescent="0.25">
      <c r="A86" s="38" t="s">
        <v>13547</v>
      </c>
      <c r="B86" s="39" t="s">
        <v>457</v>
      </c>
      <c r="C86" s="39" t="s">
        <v>2</v>
      </c>
      <c r="D86" s="39">
        <v>4</v>
      </c>
      <c r="E86" s="1" t="s">
        <v>2527</v>
      </c>
      <c r="F86" s="1" t="str">
        <f>VLOOKUP(E:E,Table10[[COUNTRY NAME]:[CONTINENT CODE]],3,FALSE)</f>
        <v>AF</v>
      </c>
      <c r="G86" s="161" t="s">
        <v>11119</v>
      </c>
      <c r="H86" s="8">
        <v>9928</v>
      </c>
      <c r="I86" s="41">
        <v>24</v>
      </c>
      <c r="J86" s="157">
        <v>249380308</v>
      </c>
      <c r="K86" s="6">
        <f>IFERROR(Table215[[#This Row],[ROUTE $]]/Table215[[#This Row],[E - DEMAND]],0)</f>
        <v>49343.1555203799</v>
      </c>
      <c r="L86" s="4">
        <v>5054</v>
      </c>
      <c r="M86" s="39">
        <f>VLOOKUP(Table215[[#This Row],[ROUTE]],DEMAND!A:F,5,FALSE)</f>
        <v>5342</v>
      </c>
      <c r="N86" s="39">
        <f>VLOOKUP(Table215[[#This Row],[ROUTE]],DEMAND!A:F,6,FALSE)</f>
        <v>62</v>
      </c>
      <c r="O86" s="39">
        <f>ROUNDDOWN(Table215[[#This Row],[R-DEMAND]]/1320,0)</f>
        <v>0</v>
      </c>
      <c r="P86" s="41">
        <f>Table215[[#This Row],[ADD ACC]]*Table215[[#This Row],[RT TIME (744)]]</f>
        <v>0</v>
      </c>
    </row>
    <row r="87" spans="1:16" ht="15.75" customHeight="1" x14ac:dyDescent="0.25">
      <c r="A87" s="38" t="s">
        <v>13549</v>
      </c>
      <c r="B87" s="39" t="s">
        <v>4804</v>
      </c>
      <c r="C87" s="39" t="s">
        <v>2</v>
      </c>
      <c r="D87" s="39">
        <v>3</v>
      </c>
      <c r="E87" s="1" t="s">
        <v>2356</v>
      </c>
      <c r="F87" s="1" t="str">
        <f>VLOOKUP(E:E,Table10[[COUNTRY NAME]:[CONTINENT CODE]],3,FALSE)</f>
        <v>OC</v>
      </c>
      <c r="G87" s="156" t="s">
        <v>11925</v>
      </c>
      <c r="H87" s="8">
        <v>13408</v>
      </c>
      <c r="I87" s="41">
        <v>31.75</v>
      </c>
      <c r="J87" s="157">
        <v>266286640</v>
      </c>
      <c r="K87" s="6">
        <f>IFERROR(Table215[[#This Row],[ROUTE $]]/Table215[[#This Row],[E - DEMAND]],0)</f>
        <v>77589.347319347318</v>
      </c>
      <c r="L87" s="4">
        <v>3432</v>
      </c>
      <c r="M87" s="39">
        <f>VLOOKUP(Table215[[#This Row],[ROUTE]],DEMAND!A:F,5,FALSE)</f>
        <v>3605</v>
      </c>
      <c r="N87" s="39">
        <f>VLOOKUP(Table215[[#This Row],[ROUTE]],DEMAND!A:F,6,FALSE)</f>
        <v>965</v>
      </c>
      <c r="O87" s="39">
        <f>ROUNDDOWN(Table215[[#This Row],[R-DEMAND]]/1320,0)</f>
        <v>0</v>
      </c>
      <c r="P87" s="41">
        <f>Table215[[#This Row],[ADD ACC]]*Table215[[#This Row],[RT TIME (744)]]</f>
        <v>0</v>
      </c>
    </row>
    <row r="88" spans="1:16" ht="15.75" customHeight="1" x14ac:dyDescent="0.25">
      <c r="A88" s="38" t="s">
        <v>13552</v>
      </c>
      <c r="B88" s="39" t="s">
        <v>282</v>
      </c>
      <c r="C88" s="39" t="s">
        <v>2</v>
      </c>
      <c r="D88" s="39">
        <v>4</v>
      </c>
      <c r="E88" s="1" t="s">
        <v>807</v>
      </c>
      <c r="F88" s="1" t="str">
        <f>VLOOKUP(E:E,Table10[[COUNTRY NAME]:[CONTINENT CODE]],3,FALSE)</f>
        <v>EU</v>
      </c>
      <c r="G88" s="156" t="s">
        <v>11082</v>
      </c>
      <c r="H88" s="8">
        <v>11298</v>
      </c>
      <c r="I88" s="41">
        <v>27.25</v>
      </c>
      <c r="J88" s="157">
        <v>269179415</v>
      </c>
      <c r="K88" s="6">
        <f>IFERROR(Table215[[#This Row],[ROUTE $]]/Table215[[#This Row],[E - DEMAND]],0)</f>
        <v>86164.985595390521</v>
      </c>
      <c r="L88" s="4">
        <v>3124</v>
      </c>
      <c r="M88" s="39">
        <f>VLOOKUP(Table215[[#This Row],[ROUTE]],DEMAND!A:F,5,FALSE)</f>
        <v>3302</v>
      </c>
      <c r="N88" s="39">
        <f>VLOOKUP(Table215[[#This Row],[ROUTE]],DEMAND!A:F,6,FALSE)</f>
        <v>662</v>
      </c>
      <c r="O88" s="39">
        <f>ROUNDDOWN(Table215[[#This Row],[R-DEMAND]]/1320,0)</f>
        <v>0</v>
      </c>
      <c r="P88" s="41">
        <f>Table215[[#This Row],[ADD ACC]]*Table215[[#This Row],[RT TIME (744)]]</f>
        <v>0</v>
      </c>
    </row>
    <row r="89" spans="1:16" ht="15.75" customHeight="1" x14ac:dyDescent="0.25">
      <c r="A89" s="38" t="s">
        <v>13557</v>
      </c>
      <c r="B89" s="39" t="s">
        <v>376</v>
      </c>
      <c r="C89" s="39" t="s">
        <v>2</v>
      </c>
      <c r="D89" s="39">
        <v>5</v>
      </c>
      <c r="E89" s="1" t="s">
        <v>560</v>
      </c>
      <c r="F89" s="1" t="str">
        <f>VLOOKUP(E:E,Table10[[COUNTRY NAME]:[CONTINENT CODE]],3,FALSE)</f>
        <v>EU</v>
      </c>
      <c r="G89" s="156" t="s">
        <v>11100</v>
      </c>
      <c r="H89" s="8">
        <v>9406</v>
      </c>
      <c r="I89" s="41">
        <v>23</v>
      </c>
      <c r="J89" s="157">
        <v>273269370</v>
      </c>
      <c r="K89" s="6">
        <f>IFERROR(Table215[[#This Row],[ROUTE $]]/Table215[[#This Row],[E - DEMAND]],0)</f>
        <v>99660.601750547052</v>
      </c>
      <c r="L89" s="4">
        <v>2742</v>
      </c>
      <c r="M89" s="39">
        <f>VLOOKUP(Table215[[#This Row],[ROUTE]],DEMAND!A:F,5,FALSE)</f>
        <v>2742</v>
      </c>
      <c r="N89" s="39">
        <f>VLOOKUP(Table215[[#This Row],[ROUTE]],DEMAND!A:F,6,FALSE)</f>
        <v>102</v>
      </c>
      <c r="O89" s="39">
        <f>ROUNDDOWN(Table215[[#This Row],[R-DEMAND]]/1320,0)</f>
        <v>0</v>
      </c>
      <c r="P89" s="41">
        <f>Table215[[#This Row],[ADD ACC]]*Table215[[#This Row],[RT TIME (744)]]</f>
        <v>0</v>
      </c>
    </row>
    <row r="90" spans="1:16" ht="15.75" customHeight="1" x14ac:dyDescent="0.25">
      <c r="A90" s="38" t="s">
        <v>13558</v>
      </c>
      <c r="B90" s="39" t="s">
        <v>5706</v>
      </c>
      <c r="C90" s="39" t="s">
        <v>2</v>
      </c>
      <c r="D90" s="39">
        <v>5</v>
      </c>
      <c r="E90" s="1" t="s">
        <v>560</v>
      </c>
      <c r="F90" s="1" t="str">
        <f>VLOOKUP(E:E,Table10[[COUNTRY NAME]:[CONTINENT CODE]],3,FALSE)</f>
        <v>EU</v>
      </c>
      <c r="G90" s="160" t="s">
        <v>11052</v>
      </c>
      <c r="H90" s="40">
        <v>9374</v>
      </c>
      <c r="I90" s="41">
        <v>23</v>
      </c>
      <c r="J90" s="157">
        <v>262383204</v>
      </c>
      <c r="K90" s="42">
        <f>IFERROR(Table215[[#This Row],[ROUTE $]]/Table215[[#This Row],[E - DEMAND]],0)</f>
        <v>101777.81380915438</v>
      </c>
      <c r="L90" s="43">
        <v>2578</v>
      </c>
      <c r="M90" s="39">
        <f>VLOOKUP(Table215[[#This Row],[ROUTE]],DEMAND!A:F,5,FALSE)</f>
        <v>2579</v>
      </c>
      <c r="N90" s="39">
        <f>VLOOKUP(Table215[[#This Row],[ROUTE]],DEMAND!A:F,6,FALSE)</f>
        <v>1259</v>
      </c>
      <c r="O90" s="39">
        <f>ROUNDDOWN(Table215[[#This Row],[R-DEMAND]]/1320,0)</f>
        <v>0</v>
      </c>
      <c r="P90" s="41">
        <f>Table215[[#This Row],[ADD ACC]]*Table215[[#This Row],[RT TIME (744)]]</f>
        <v>0</v>
      </c>
    </row>
    <row r="91" spans="1:16" ht="15.75" customHeight="1" x14ac:dyDescent="0.25">
      <c r="A91" s="38" t="s">
        <v>13559</v>
      </c>
      <c r="B91" s="39" t="s">
        <v>5543</v>
      </c>
      <c r="C91" s="39" t="s">
        <v>2</v>
      </c>
      <c r="D91" s="39">
        <v>4</v>
      </c>
      <c r="E91" s="1" t="s">
        <v>560</v>
      </c>
      <c r="F91" s="1" t="str">
        <f>VLOOKUP(E:E,Table10[[COUNTRY NAME]:[CONTINENT CODE]],3,FALSE)</f>
        <v>EU</v>
      </c>
      <c r="G91" s="156" t="s">
        <v>11063</v>
      </c>
      <c r="H91" s="8">
        <v>9284</v>
      </c>
      <c r="I91" s="41">
        <v>22.75</v>
      </c>
      <c r="J91" s="157">
        <v>244915062</v>
      </c>
      <c r="K91" s="6">
        <f>IFERROR(Table215[[#This Row],[ROUTE $]]/Table215[[#This Row],[E - DEMAND]],0)</f>
        <v>106253.8229934924</v>
      </c>
      <c r="L91" s="4">
        <v>2305</v>
      </c>
      <c r="M91" s="39">
        <f>VLOOKUP(Table215[[#This Row],[ROUTE]],DEMAND!A:F,5,FALSE)</f>
        <v>2306</v>
      </c>
      <c r="N91" s="39">
        <f>VLOOKUP(Table215[[#This Row],[ROUTE]],DEMAND!A:F,6,FALSE)</f>
        <v>986</v>
      </c>
      <c r="O91" s="39">
        <f>ROUNDDOWN(Table215[[#This Row],[R-DEMAND]]/1320,0)</f>
        <v>0</v>
      </c>
      <c r="P91" s="41">
        <f>Table215[[#This Row],[ADD ACC]]*Table215[[#This Row],[RT TIME (744)]]</f>
        <v>0</v>
      </c>
    </row>
    <row r="92" spans="1:16" ht="15.75" customHeight="1" x14ac:dyDescent="0.25">
      <c r="A92" s="38" t="s">
        <v>13561</v>
      </c>
      <c r="B92" s="39" t="s">
        <v>5591</v>
      </c>
      <c r="C92" s="39" t="s">
        <v>2</v>
      </c>
      <c r="D92" s="39">
        <v>4</v>
      </c>
      <c r="E92" s="1" t="s">
        <v>560</v>
      </c>
      <c r="F92" s="1" t="str">
        <f>VLOOKUP(E:E,Table10[[COUNTRY NAME]:[CONTINENT CODE]],3,FALSE)</f>
        <v>EU</v>
      </c>
      <c r="G92" s="160" t="s">
        <v>11055</v>
      </c>
      <c r="H92" s="40">
        <v>9252</v>
      </c>
      <c r="I92" s="41">
        <v>22.5</v>
      </c>
      <c r="J92" s="157">
        <v>246889415</v>
      </c>
      <c r="K92" s="42">
        <f>IFERROR(Table215[[#This Row],[ROUTE $]]/Table215[[#This Row],[E - DEMAND]],0)</f>
        <v>105104.05065985526</v>
      </c>
      <c r="L92" s="43">
        <v>2349</v>
      </c>
      <c r="M92" s="39">
        <f>VLOOKUP(Table215[[#This Row],[ROUTE]],DEMAND!A:F,5,FALSE)</f>
        <v>2350</v>
      </c>
      <c r="N92" s="39">
        <f>VLOOKUP(Table215[[#This Row],[ROUTE]],DEMAND!A:F,6,FALSE)</f>
        <v>1030</v>
      </c>
      <c r="O92" s="39">
        <f>ROUNDDOWN(Table215[[#This Row],[R-DEMAND]]/1320,0)</f>
        <v>0</v>
      </c>
      <c r="P92" s="41">
        <f>Table215[[#This Row],[ADD ACC]]*Table215[[#This Row],[RT TIME (744)]]</f>
        <v>0</v>
      </c>
    </row>
    <row r="93" spans="1:16" ht="15.75" customHeight="1" x14ac:dyDescent="0.25">
      <c r="A93" s="38" t="s">
        <v>13564</v>
      </c>
      <c r="B93" s="39" t="s">
        <v>5495</v>
      </c>
      <c r="C93" s="39" t="s">
        <v>2</v>
      </c>
      <c r="D93" s="39">
        <v>4</v>
      </c>
      <c r="E93" s="1" t="s">
        <v>560</v>
      </c>
      <c r="F93" s="1" t="str">
        <f>VLOOKUP(E:E,Table10[[COUNTRY NAME]:[CONTINENT CODE]],3,FALSE)</f>
        <v>EU</v>
      </c>
      <c r="G93" s="160" t="s">
        <v>11058</v>
      </c>
      <c r="H93" s="40">
        <v>9117</v>
      </c>
      <c r="I93" s="41">
        <v>22.25</v>
      </c>
      <c r="J93" s="157">
        <v>241328041</v>
      </c>
      <c r="K93" s="42">
        <f>IFERROR(Table215[[#This Row],[ROUTE $]]/Table215[[#This Row],[E - DEMAND]],0)</f>
        <v>105938.56057945566</v>
      </c>
      <c r="L93" s="43">
        <v>2278</v>
      </c>
      <c r="M93" s="39">
        <f>VLOOKUP(Table215[[#This Row],[ROUTE]],DEMAND!A:F,5,FALSE)</f>
        <v>2279</v>
      </c>
      <c r="N93" s="39">
        <f>VLOOKUP(Table215[[#This Row],[ROUTE]],DEMAND!A:F,6,FALSE)</f>
        <v>959</v>
      </c>
      <c r="O93" s="39">
        <f>ROUNDDOWN(Table215[[#This Row],[R-DEMAND]]/1320,0)</f>
        <v>0</v>
      </c>
      <c r="P93" s="41">
        <f>Table215[[#This Row],[ADD ACC]]*Table215[[#This Row],[RT TIME (744)]]</f>
        <v>0</v>
      </c>
    </row>
    <row r="94" spans="1:16" ht="15.75" customHeight="1" x14ac:dyDescent="0.25">
      <c r="A94" s="38" t="s">
        <v>13567</v>
      </c>
      <c r="B94" s="39" t="s">
        <v>5475</v>
      </c>
      <c r="C94" s="39" t="s">
        <v>2</v>
      </c>
      <c r="D94" s="39">
        <v>4</v>
      </c>
      <c r="E94" s="1" t="s">
        <v>560</v>
      </c>
      <c r="F94" s="1" t="str">
        <f>VLOOKUP(E:E,Table10[[COUNTRY NAME]:[CONTINENT CODE]],3,FALSE)</f>
        <v>EU</v>
      </c>
      <c r="G94" s="156" t="s">
        <v>11037</v>
      </c>
      <c r="H94" s="8">
        <v>8912</v>
      </c>
      <c r="I94" s="41">
        <v>21.75</v>
      </c>
      <c r="J94" s="157">
        <v>238723381</v>
      </c>
      <c r="K94" s="6">
        <f>IFERROR(Table215[[#This Row],[ROUTE $]]/Table215[[#This Row],[E - DEMAND]],0)</f>
        <v>105257.22266313933</v>
      </c>
      <c r="L94" s="4">
        <v>2268</v>
      </c>
      <c r="M94" s="39">
        <f>VLOOKUP(Table215[[#This Row],[ROUTE]],DEMAND!A:F,5,FALSE)</f>
        <v>2269</v>
      </c>
      <c r="N94" s="39">
        <f>VLOOKUP(Table215[[#This Row],[ROUTE]],DEMAND!A:F,6,FALSE)</f>
        <v>949</v>
      </c>
      <c r="O94" s="39">
        <f>ROUNDDOWN(Table215[[#This Row],[R-DEMAND]]/1320,0)</f>
        <v>0</v>
      </c>
      <c r="P94" s="41">
        <f>Table215[[#This Row],[ADD ACC]]*Table215[[#This Row],[RT TIME (744)]]</f>
        <v>0</v>
      </c>
    </row>
    <row r="95" spans="1:16" ht="15.75" customHeight="1" x14ac:dyDescent="0.25">
      <c r="A95" s="38" t="s">
        <v>13571</v>
      </c>
      <c r="B95" s="39" t="s">
        <v>4835</v>
      </c>
      <c r="C95" s="39" t="s">
        <v>2</v>
      </c>
      <c r="D95" s="39">
        <v>3</v>
      </c>
      <c r="E95" s="1" t="s">
        <v>662</v>
      </c>
      <c r="F95" s="1" t="str">
        <f>VLOOKUP(E:E,Table10[[COUNTRY NAME]:[CONTINENT CODE]],3,FALSE)</f>
        <v>OC</v>
      </c>
      <c r="G95" s="159" t="s">
        <v>11741</v>
      </c>
      <c r="H95" s="8">
        <v>10514</v>
      </c>
      <c r="I95" s="41">
        <v>25.5</v>
      </c>
      <c r="J95" s="157">
        <v>237775002</v>
      </c>
      <c r="K95" s="6">
        <f>IFERROR(Table215[[#This Row],[ROUTE $]]/Table215[[#This Row],[E - DEMAND]],0)</f>
        <v>83989.756976333447</v>
      </c>
      <c r="L95" s="4">
        <v>2831</v>
      </c>
      <c r="M95" s="39">
        <f>VLOOKUP(Table215[[#This Row],[ROUTE]],DEMAND!A:F,5,FALSE)</f>
        <v>2993</v>
      </c>
      <c r="N95" s="39">
        <f>VLOOKUP(Table215[[#This Row],[ROUTE]],DEMAND!A:F,6,FALSE)</f>
        <v>353</v>
      </c>
      <c r="O95" s="39">
        <f>ROUNDDOWN(Table215[[#This Row],[R-DEMAND]]/1320,0)</f>
        <v>0</v>
      </c>
      <c r="P95" s="41">
        <f>Table215[[#This Row],[ADD ACC]]*Table215[[#This Row],[RT TIME (744)]]</f>
        <v>0</v>
      </c>
    </row>
    <row r="96" spans="1:16" ht="15.75" customHeight="1" x14ac:dyDescent="0.25">
      <c r="A96" s="38" t="s">
        <v>13572</v>
      </c>
      <c r="B96" s="39" t="s">
        <v>1333</v>
      </c>
      <c r="C96" s="39" t="s">
        <v>2</v>
      </c>
      <c r="D96" s="39">
        <v>1</v>
      </c>
      <c r="E96" s="1" t="s">
        <v>662</v>
      </c>
      <c r="F96" s="1" t="str">
        <f>VLOOKUP(E:E,Table10[[COUNTRY NAME]:[CONTINENT CODE]],3,FALSE)</f>
        <v>OC</v>
      </c>
      <c r="G96" s="159" t="s">
        <v>11694</v>
      </c>
      <c r="H96" s="8">
        <v>9658</v>
      </c>
      <c r="I96" s="41">
        <v>23.5</v>
      </c>
      <c r="J96" s="157"/>
      <c r="K96" s="6">
        <f>IFERROR(Table215[[#This Row],[ROUTE $]]/Table215[[#This Row],[E - DEMAND]],0)</f>
        <v>0</v>
      </c>
      <c r="L96" s="4"/>
      <c r="M96" s="39">
        <f>VLOOKUP(Table215[[#This Row],[ROUTE]],DEMAND!A:F,5,FALSE)</f>
        <v>2085</v>
      </c>
      <c r="N96" s="39">
        <f>VLOOKUP(Table215[[#This Row],[ROUTE]],DEMAND!A:F,6,FALSE)</f>
        <v>765</v>
      </c>
      <c r="O96" s="39">
        <f>ROUNDDOWN(Table215[[#This Row],[R-DEMAND]]/1320,0)</f>
        <v>0</v>
      </c>
      <c r="P96" s="41">
        <f>Table215[[#This Row],[ADD ACC]]*Table215[[#This Row],[RT TIME (744)]]</f>
        <v>0</v>
      </c>
    </row>
    <row r="97" spans="1:16" ht="15.75" customHeight="1" x14ac:dyDescent="0.25">
      <c r="A97" s="38" t="s">
        <v>13577</v>
      </c>
      <c r="B97" s="39" t="s">
        <v>5631</v>
      </c>
      <c r="C97" s="39" t="s">
        <v>2</v>
      </c>
      <c r="D97" s="39">
        <v>4</v>
      </c>
      <c r="E97" s="1" t="s">
        <v>1427</v>
      </c>
      <c r="F97" s="1" t="str">
        <f>VLOOKUP(E:E,Table10[[COUNTRY NAME]:[CONTINENT CODE]],3,FALSE)</f>
        <v>EU</v>
      </c>
      <c r="G97" s="159" t="s">
        <v>11034</v>
      </c>
      <c r="H97" s="8">
        <v>10231</v>
      </c>
      <c r="I97" s="41">
        <v>24.75</v>
      </c>
      <c r="J97" s="157">
        <v>259806769</v>
      </c>
      <c r="K97" s="6">
        <f>IFERROR(Table215[[#This Row],[ROUTE $]]/Table215[[#This Row],[E - DEMAND]],0)</f>
        <v>83754.599935525461</v>
      </c>
      <c r="L97" s="4">
        <v>3102</v>
      </c>
      <c r="M97" s="39">
        <f>VLOOKUP(Table215[[#This Row],[ROUTE]],DEMAND!A:F,5,FALSE)</f>
        <v>3103</v>
      </c>
      <c r="N97" s="39">
        <f>VLOOKUP(Table215[[#This Row],[ROUTE]],DEMAND!A:F,6,FALSE)</f>
        <v>463</v>
      </c>
      <c r="O97" s="39">
        <f>ROUNDDOWN(Table215[[#This Row],[R-DEMAND]]/1320,0)</f>
        <v>0</v>
      </c>
      <c r="P97" s="41">
        <f>Table215[[#This Row],[ADD ACC]]*Table215[[#This Row],[RT TIME (744)]]</f>
        <v>0</v>
      </c>
    </row>
    <row r="98" spans="1:16" ht="15.75" customHeight="1" x14ac:dyDescent="0.25">
      <c r="A98" s="38" t="s">
        <v>13579</v>
      </c>
      <c r="B98" s="39" t="s">
        <v>288</v>
      </c>
      <c r="C98" s="39" t="s">
        <v>2</v>
      </c>
      <c r="D98" s="39">
        <v>4</v>
      </c>
      <c r="E98" s="1" t="s">
        <v>1427</v>
      </c>
      <c r="F98" s="1" t="str">
        <f>VLOOKUP(E:E,Table10[[COUNTRY NAME]:[CONTINENT CODE]],3,FALSE)</f>
        <v>EU</v>
      </c>
      <c r="G98" s="156" t="s">
        <v>11083</v>
      </c>
      <c r="H98" s="8">
        <v>10135</v>
      </c>
      <c r="I98" s="41">
        <v>24.5</v>
      </c>
      <c r="J98" s="157">
        <v>254033578</v>
      </c>
      <c r="K98" s="6">
        <f>IFERROR(Table215[[#This Row],[ROUTE $]]/Table215[[#This Row],[E - DEMAND]],0)</f>
        <v>85389.437983193275</v>
      </c>
      <c r="L98" s="4">
        <v>2975</v>
      </c>
      <c r="M98" s="39">
        <f>VLOOKUP(Table215[[#This Row],[ROUTE]],DEMAND!A:F,5,FALSE)</f>
        <v>2975</v>
      </c>
      <c r="N98" s="39">
        <f>VLOOKUP(Table215[[#This Row],[ROUTE]],DEMAND!A:F,6,FALSE)</f>
        <v>335</v>
      </c>
      <c r="O98" s="39">
        <f>ROUNDDOWN(Table215[[#This Row],[R-DEMAND]]/1320,0)</f>
        <v>0</v>
      </c>
      <c r="P98" s="41">
        <f>Table215[[#This Row],[ADD ACC]]*Table215[[#This Row],[RT TIME (744)]]</f>
        <v>0</v>
      </c>
    </row>
    <row r="99" spans="1:16" ht="15.75" customHeight="1" x14ac:dyDescent="0.25">
      <c r="A99" s="38" t="s">
        <v>13582</v>
      </c>
      <c r="B99" s="39" t="s">
        <v>157</v>
      </c>
      <c r="C99" s="39" t="s">
        <v>2</v>
      </c>
      <c r="D99" s="39">
        <v>5</v>
      </c>
      <c r="E99" s="1" t="s">
        <v>1427</v>
      </c>
      <c r="F99" s="1" t="str">
        <f>VLOOKUP(E:E,Table10[[COUNTRY NAME]:[CONTINENT CODE]],3,FALSE)</f>
        <v>EU</v>
      </c>
      <c r="G99" s="156" t="s">
        <v>11057</v>
      </c>
      <c r="H99" s="8">
        <v>9859</v>
      </c>
      <c r="I99" s="41">
        <v>24</v>
      </c>
      <c r="J99" s="157">
        <v>270482527</v>
      </c>
      <c r="K99" s="6">
        <f>IFERROR(Table215[[#This Row],[ROUTE $]]/Table215[[#This Row],[E - DEMAND]],0)</f>
        <v>86031.338104325696</v>
      </c>
      <c r="L99" s="5">
        <v>3144</v>
      </c>
      <c r="M99" s="39">
        <f>VLOOKUP(Table215[[#This Row],[ROUTE]],DEMAND!A:F,5,FALSE)</f>
        <v>3145</v>
      </c>
      <c r="N99" s="39">
        <f>VLOOKUP(Table215[[#This Row],[ROUTE]],DEMAND!A:F,6,FALSE)</f>
        <v>505</v>
      </c>
      <c r="O99" s="39">
        <f>ROUNDDOWN(Table215[[#This Row],[R-DEMAND]]/1320,0)</f>
        <v>0</v>
      </c>
      <c r="P99" s="41">
        <f>Table215[[#This Row],[ADD ACC]]*Table215[[#This Row],[RT TIME (744)]]</f>
        <v>0</v>
      </c>
    </row>
    <row r="100" spans="1:16" ht="15.75" customHeight="1" x14ac:dyDescent="0.25">
      <c r="A100" s="38" t="s">
        <v>13585</v>
      </c>
      <c r="B100" s="39" t="s">
        <v>5587</v>
      </c>
      <c r="C100" s="39" t="s">
        <v>2</v>
      </c>
      <c r="D100" s="39">
        <v>4</v>
      </c>
      <c r="E100" s="1" t="s">
        <v>1427</v>
      </c>
      <c r="F100" s="1" t="str">
        <f>VLOOKUP(E:E,Table10[[COUNTRY NAME]:[CONTINENT CODE]],3,FALSE)</f>
        <v>EU</v>
      </c>
      <c r="G100" s="160" t="s">
        <v>11099</v>
      </c>
      <c r="H100" s="40">
        <v>9786</v>
      </c>
      <c r="I100" s="41">
        <v>23.75</v>
      </c>
      <c r="J100" s="157">
        <v>251195227</v>
      </c>
      <c r="K100" s="42">
        <f>IFERROR(Table215[[#This Row],[ROUTE $]]/Table215[[#This Row],[E - DEMAND]],0)</f>
        <v>92080.361803519059</v>
      </c>
      <c r="L100" s="43">
        <v>2728</v>
      </c>
      <c r="M100" s="39">
        <f>VLOOKUP(Table215[[#This Row],[ROUTE]],DEMAND!A:F,5,FALSE)</f>
        <v>2729</v>
      </c>
      <c r="N100" s="39">
        <f>VLOOKUP(Table215[[#This Row],[ROUTE]],DEMAND!A:F,6,FALSE)</f>
        <v>89</v>
      </c>
      <c r="O100" s="39">
        <f>ROUNDDOWN(Table215[[#This Row],[R-DEMAND]]/1320,0)</f>
        <v>0</v>
      </c>
      <c r="P100" s="41">
        <f>Table215[[#This Row],[ADD ACC]]*Table215[[#This Row],[RT TIME (744)]]</f>
        <v>0</v>
      </c>
    </row>
    <row r="101" spans="1:16" ht="15.75" customHeight="1" x14ac:dyDescent="0.25">
      <c r="A101" s="38" t="s">
        <v>13584</v>
      </c>
      <c r="B101" s="39" t="s">
        <v>324</v>
      </c>
      <c r="C101" s="39" t="s">
        <v>2</v>
      </c>
      <c r="D101" s="39">
        <v>4</v>
      </c>
      <c r="E101" s="1" t="s">
        <v>1427</v>
      </c>
      <c r="F101" s="1" t="str">
        <f>VLOOKUP(E:E,Table10[[COUNTRY NAME]:[CONTINENT CODE]],3,FALSE)</f>
        <v>EU</v>
      </c>
      <c r="G101" s="159" t="s">
        <v>11088</v>
      </c>
      <c r="H101" s="8">
        <v>9798</v>
      </c>
      <c r="I101" s="41">
        <v>23.75</v>
      </c>
      <c r="J101" s="157">
        <v>258989958</v>
      </c>
      <c r="K101" s="6">
        <f>IFERROR(Table215[[#This Row],[ROUTE $]]/Table215[[#This Row],[E - DEMAND]],0)</f>
        <v>88938.859203296699</v>
      </c>
      <c r="L101" s="4">
        <v>2912</v>
      </c>
      <c r="M101" s="39">
        <f>VLOOKUP(Table215[[#This Row],[ROUTE]],DEMAND!A:F,5,FALSE)</f>
        <v>2912</v>
      </c>
      <c r="N101" s="51">
        <f>VLOOKUP(Table215[[#This Row],[ROUTE]],DEMAND!A:F,6,FALSE)</f>
        <v>272</v>
      </c>
      <c r="O101" s="52">
        <f>ROUNDDOWN(Table215[[#This Row],[R-DEMAND]]/1320,0)</f>
        <v>0</v>
      </c>
      <c r="P101" s="41">
        <f>Table215[[#This Row],[ADD ACC]]*Table215[[#This Row],[RT TIME (744)]]</f>
        <v>0</v>
      </c>
    </row>
    <row r="102" spans="1:16" ht="15.75" customHeight="1" x14ac:dyDescent="0.25">
      <c r="A102" s="38" t="s">
        <v>13587</v>
      </c>
      <c r="B102" s="39" t="s">
        <v>5585</v>
      </c>
      <c r="C102" s="39" t="s">
        <v>2</v>
      </c>
      <c r="D102" s="39">
        <v>4</v>
      </c>
      <c r="E102" s="1" t="s">
        <v>1427</v>
      </c>
      <c r="F102" s="1" t="str">
        <f>VLOOKUP(E:E,Table10[[COUNTRY NAME]:[CONTINENT CODE]],3,FALSE)</f>
        <v>EU</v>
      </c>
      <c r="G102" s="156" t="s">
        <v>11041</v>
      </c>
      <c r="H102" s="8">
        <v>9737</v>
      </c>
      <c r="I102" s="41">
        <v>23.75</v>
      </c>
      <c r="J102" s="157">
        <v>250462306</v>
      </c>
      <c r="K102" s="6">
        <f>IFERROR(Table215[[#This Row],[ROUTE $]]/Table215[[#This Row],[E - DEMAND]],0)</f>
        <v>91845.363403006966</v>
      </c>
      <c r="L102" s="4">
        <v>2727</v>
      </c>
      <c r="M102" s="39">
        <f>VLOOKUP(Table215[[#This Row],[ROUTE]],DEMAND!A:F,5,FALSE)</f>
        <v>2728</v>
      </c>
      <c r="N102" s="39">
        <f>VLOOKUP(Table215[[#This Row],[ROUTE]],DEMAND!A:F,6,FALSE)</f>
        <v>88</v>
      </c>
      <c r="O102" s="39">
        <f>ROUNDDOWN(Table215[[#This Row],[R-DEMAND]]/1320,0)</f>
        <v>0</v>
      </c>
      <c r="P102" s="41">
        <f>Table215[[#This Row],[ADD ACC]]*Table215[[#This Row],[RT TIME (744)]]</f>
        <v>0</v>
      </c>
    </row>
    <row r="103" spans="1:16" ht="15.75" customHeight="1" x14ac:dyDescent="0.25">
      <c r="A103" s="38" t="s">
        <v>13583</v>
      </c>
      <c r="B103" s="39" t="s">
        <v>306</v>
      </c>
      <c r="C103" s="39" t="s">
        <v>2</v>
      </c>
      <c r="D103" s="39">
        <v>5</v>
      </c>
      <c r="E103" s="1" t="s">
        <v>1427</v>
      </c>
      <c r="F103" s="1" t="str">
        <f>VLOOKUP(E:E,Table10[[COUNTRY NAME]:[CONTINENT CODE]],3,FALSE)</f>
        <v>EU</v>
      </c>
      <c r="G103" s="160" t="s">
        <v>11086</v>
      </c>
      <c r="H103" s="40">
        <v>9799</v>
      </c>
      <c r="I103" s="41">
        <v>23.75</v>
      </c>
      <c r="J103" s="157">
        <v>275864725</v>
      </c>
      <c r="K103" s="42">
        <f>IFERROR(Table215[[#This Row],[ROUTE $]]/Table215[[#This Row],[E - DEMAND]],0)</f>
        <v>84182.094903875492</v>
      </c>
      <c r="L103" s="43">
        <v>3277</v>
      </c>
      <c r="M103" s="39">
        <f>VLOOKUP(Table215[[#This Row],[ROUTE]],DEMAND!A:F,5,FALSE)</f>
        <v>3278</v>
      </c>
      <c r="N103" s="51">
        <f>VLOOKUP(Table215[[#This Row],[ROUTE]],DEMAND!A:F,6,FALSE)</f>
        <v>638</v>
      </c>
      <c r="O103" s="52">
        <f>ROUNDDOWN(Table215[[#This Row],[R-DEMAND]]/1320,0)</f>
        <v>0</v>
      </c>
      <c r="P103" s="41">
        <f>Table215[[#This Row],[ADD ACC]]*Table215[[#This Row],[RT TIME (744)]]</f>
        <v>0</v>
      </c>
    </row>
    <row r="104" spans="1:16" ht="15.75" customHeight="1" x14ac:dyDescent="0.25">
      <c r="A104" s="38" t="s">
        <v>13591</v>
      </c>
      <c r="B104" s="39" t="s">
        <v>5219</v>
      </c>
      <c r="C104" s="39" t="s">
        <v>2</v>
      </c>
      <c r="D104" s="39">
        <v>3</v>
      </c>
      <c r="E104" s="1" t="s">
        <v>597</v>
      </c>
      <c r="F104" s="1" t="str">
        <f>VLOOKUP(E:E,Table10[[COUNTRY NAME]:[CONTINENT CODE]],3,FALSE)</f>
        <v>EU</v>
      </c>
      <c r="G104" s="159" t="s">
        <v>11851</v>
      </c>
      <c r="H104" s="8">
        <v>10260</v>
      </c>
      <c r="I104" s="41">
        <v>24.75</v>
      </c>
      <c r="J104" s="157">
        <v>242947195</v>
      </c>
      <c r="K104" s="6">
        <f>IFERROR(Table215[[#This Row],[ROUTE $]]/Table215[[#This Row],[E - DEMAND]],0)</f>
        <v>90449.43968726731</v>
      </c>
      <c r="L104" s="4">
        <v>2686</v>
      </c>
      <c r="M104" s="39">
        <f>VLOOKUP(Table215[[#This Row],[ROUTE]],DEMAND!A:F,5,FALSE)</f>
        <v>2831</v>
      </c>
      <c r="N104" s="51">
        <f>VLOOKUP(Table215[[#This Row],[ROUTE]],DEMAND!A:F,6,FALSE)</f>
        <v>191</v>
      </c>
      <c r="O104" s="52">
        <f>ROUNDDOWN(Table215[[#This Row],[R-DEMAND]]/1320,0)</f>
        <v>0</v>
      </c>
      <c r="P104" s="41">
        <f>Table215[[#This Row],[ADD ACC]]*Table215[[#This Row],[RT TIME (744)]]</f>
        <v>0</v>
      </c>
    </row>
    <row r="105" spans="1:16" ht="15.75" customHeight="1" x14ac:dyDescent="0.25">
      <c r="A105" s="38" t="s">
        <v>13595</v>
      </c>
      <c r="B105" s="39" t="s">
        <v>440</v>
      </c>
      <c r="C105" s="39" t="s">
        <v>2</v>
      </c>
      <c r="D105" s="39">
        <v>4</v>
      </c>
      <c r="E105" s="1" t="s">
        <v>597</v>
      </c>
      <c r="F105" s="1" t="str">
        <f>VLOOKUP(E:E,Table10[[COUNTRY NAME]:[CONTINENT CODE]],3,FALSE)</f>
        <v>EU</v>
      </c>
      <c r="G105" s="161" t="s">
        <v>11110</v>
      </c>
      <c r="H105" s="8">
        <v>10022</v>
      </c>
      <c r="I105" s="41">
        <v>24.25</v>
      </c>
      <c r="J105" s="157">
        <v>260049859</v>
      </c>
      <c r="K105" s="6">
        <f>IFERROR(Table215[[#This Row],[ROUTE $]]/Table215[[#This Row],[E - DEMAND]],0)</f>
        <v>87002.294747407155</v>
      </c>
      <c r="L105" s="4">
        <v>2989</v>
      </c>
      <c r="M105" s="39">
        <f>VLOOKUP(Table215[[#This Row],[ROUTE]],DEMAND!A:F,5,FALSE)</f>
        <v>3026</v>
      </c>
      <c r="N105" s="39">
        <f>VLOOKUP(Table215[[#This Row],[ROUTE]],DEMAND!A:F,6,FALSE)</f>
        <v>386</v>
      </c>
      <c r="O105" s="39">
        <f>ROUNDDOWN(Table215[[#This Row],[R-DEMAND]]/1320,0)</f>
        <v>0</v>
      </c>
      <c r="P105" s="41">
        <f>Table215[[#This Row],[ADD ACC]]*Table215[[#This Row],[RT TIME (744)]]</f>
        <v>0</v>
      </c>
    </row>
    <row r="106" spans="1:16" ht="15.75" customHeight="1" x14ac:dyDescent="0.25">
      <c r="A106" s="38" t="s">
        <v>13597</v>
      </c>
      <c r="B106" s="39" t="s">
        <v>4924</v>
      </c>
      <c r="C106" s="39" t="s">
        <v>2</v>
      </c>
      <c r="D106" s="39">
        <v>3</v>
      </c>
      <c r="E106" s="1" t="s">
        <v>597</v>
      </c>
      <c r="F106" s="1" t="str">
        <f>VLOOKUP(E:E,Table10[[COUNTRY NAME]:[CONTINENT CODE]],3,FALSE)</f>
        <v>EU</v>
      </c>
      <c r="G106" s="159" t="s">
        <v>11838</v>
      </c>
      <c r="H106" s="8">
        <v>9903</v>
      </c>
      <c r="I106" s="41">
        <v>24</v>
      </c>
      <c r="J106" s="157">
        <v>233781154</v>
      </c>
      <c r="K106" s="6">
        <f>IFERROR(Table215[[#This Row],[ROUTE $]]/Table215[[#This Row],[E - DEMAND]],0)</f>
        <v>100811.19189305736</v>
      </c>
      <c r="L106" s="5">
        <v>2319</v>
      </c>
      <c r="M106" s="39">
        <f>VLOOKUP(Table215[[#This Row],[ROUTE]],DEMAND!A:F,5,FALSE)</f>
        <v>2475</v>
      </c>
      <c r="N106" s="39">
        <f>VLOOKUP(Table215[[#This Row],[ROUTE]],DEMAND!A:F,6,FALSE)</f>
        <v>1155</v>
      </c>
      <c r="O106" s="39">
        <f>ROUNDDOWN(Table215[[#This Row],[R-DEMAND]]/1320,0)</f>
        <v>0</v>
      </c>
      <c r="P106" s="41">
        <f>Table215[[#This Row],[ADD ACC]]*Table215[[#This Row],[RT TIME (744)]]</f>
        <v>0</v>
      </c>
    </row>
    <row r="107" spans="1:16" ht="15.75" customHeight="1" x14ac:dyDescent="0.25">
      <c r="A107" s="38" t="s">
        <v>13592</v>
      </c>
      <c r="B107" s="39" t="s">
        <v>3763</v>
      </c>
      <c r="C107" s="39" t="s">
        <v>2</v>
      </c>
      <c r="D107" s="39">
        <v>2</v>
      </c>
      <c r="E107" s="1" t="s">
        <v>597</v>
      </c>
      <c r="F107" s="1" t="str">
        <f>VLOOKUP(E:E,Table10[[COUNTRY NAME]:[CONTINENT CODE]],3,FALSE)</f>
        <v>EU</v>
      </c>
      <c r="G107" s="156" t="s">
        <v>11834</v>
      </c>
      <c r="H107" s="8">
        <v>10237</v>
      </c>
      <c r="I107" s="41">
        <v>24.75</v>
      </c>
      <c r="J107" s="157">
        <v>225151608</v>
      </c>
      <c r="K107" s="6">
        <f>IFERROR(Table215[[#This Row],[ROUTE $]]/Table215[[#This Row],[E - DEMAND]],0)</f>
        <v>100559.00312639571</v>
      </c>
      <c r="L107" s="5">
        <v>2239</v>
      </c>
      <c r="M107" s="39">
        <f>VLOOKUP(Table215[[#This Row],[ROUTE]],DEMAND!A:F,5,FALSE)</f>
        <v>2368</v>
      </c>
      <c r="N107" s="39">
        <f>VLOOKUP(Table215[[#This Row],[ROUTE]],DEMAND!A:F,6,FALSE)</f>
        <v>1048</v>
      </c>
      <c r="O107" s="39">
        <f>ROUNDDOWN(Table215[[#This Row],[R-DEMAND]]/1320,0)</f>
        <v>0</v>
      </c>
      <c r="P107" s="41">
        <f>Table215[[#This Row],[ADD ACC]]*Table215[[#This Row],[RT TIME (744)]]</f>
        <v>0</v>
      </c>
    </row>
    <row r="108" spans="1:16" ht="15.75" customHeight="1" x14ac:dyDescent="0.25">
      <c r="A108" s="38" t="s">
        <v>13601</v>
      </c>
      <c r="B108" s="39" t="s">
        <v>2958</v>
      </c>
      <c r="C108" s="39" t="s">
        <v>2</v>
      </c>
      <c r="D108" s="39">
        <v>2</v>
      </c>
      <c r="E108" s="1" t="s">
        <v>600</v>
      </c>
      <c r="F108" s="1" t="str">
        <f>VLOOKUP(E:E,Table10[[COUNTRY NAME]:[CONTINENT CODE]],3,FALSE)</f>
        <v>NA</v>
      </c>
      <c r="G108" s="156" t="s">
        <v>11673</v>
      </c>
      <c r="H108" s="8">
        <v>10066</v>
      </c>
      <c r="I108" s="41">
        <v>24.5</v>
      </c>
      <c r="J108" s="157">
        <v>218749342</v>
      </c>
      <c r="K108" s="6">
        <f>IFERROR(Table215[[#This Row],[ROUTE $]]/Table215[[#This Row],[E - DEMAND]],0)</f>
        <v>93964.493986254296</v>
      </c>
      <c r="L108" s="4">
        <v>2328</v>
      </c>
      <c r="M108" s="39">
        <f>VLOOKUP(Table215[[#This Row],[ROUTE]],DEMAND!A:F,5,FALSE)</f>
        <v>2329</v>
      </c>
      <c r="N108" s="39">
        <f>VLOOKUP(Table215[[#This Row],[ROUTE]],DEMAND!A:F,6,FALSE)</f>
        <v>1009</v>
      </c>
      <c r="O108" s="39">
        <f>ROUNDDOWN(Table215[[#This Row],[R-DEMAND]]/1320,0)</f>
        <v>0</v>
      </c>
      <c r="P108" s="41">
        <f>Table215[[#This Row],[ADD ACC]]*Table215[[#This Row],[RT TIME (744)]]</f>
        <v>0</v>
      </c>
    </row>
    <row r="109" spans="1:16" ht="15.75" customHeight="1" x14ac:dyDescent="0.25">
      <c r="A109" s="38" t="s">
        <v>13606</v>
      </c>
      <c r="B109" s="39" t="s">
        <v>137</v>
      </c>
      <c r="C109" s="39" t="s">
        <v>2</v>
      </c>
      <c r="D109" s="39">
        <v>4</v>
      </c>
      <c r="E109" s="1" t="s">
        <v>5476</v>
      </c>
      <c r="F109" s="1" t="str">
        <f>VLOOKUP(E:E,Table10[[COUNTRY NAME]:[CONTINENT CODE]],3,FALSE)</f>
        <v>NA</v>
      </c>
      <c r="G109" s="159" t="s">
        <v>13209</v>
      </c>
      <c r="H109" s="8">
        <v>5449</v>
      </c>
      <c r="I109" s="41">
        <v>14.25</v>
      </c>
      <c r="J109" s="157"/>
      <c r="K109" s="6">
        <f>IFERROR(Table215[[#This Row],[ROUTE $]]/Table215[[#This Row],[E - DEMAND]],0)</f>
        <v>0</v>
      </c>
      <c r="L109" s="4"/>
      <c r="M109" s="39">
        <f>VLOOKUP(Table215[[#This Row],[ROUTE]],DEMAND!A:F,5,FALSE)</f>
        <v>4486</v>
      </c>
      <c r="N109" s="39">
        <f>VLOOKUP(Table215[[#This Row],[ROUTE]],DEMAND!A:F,6,FALSE)</f>
        <v>526</v>
      </c>
      <c r="O109" s="39">
        <f>ROUNDDOWN(Table215[[#This Row],[R-DEMAND]]/1320,0)</f>
        <v>0</v>
      </c>
      <c r="P109" s="41">
        <f>Table215[[#This Row],[ADD ACC]]*Table215[[#This Row],[RT TIME (744)]]</f>
        <v>0</v>
      </c>
    </row>
    <row r="110" spans="1:16" ht="15.75" customHeight="1" x14ac:dyDescent="0.25">
      <c r="A110" s="38" t="s">
        <v>13609</v>
      </c>
      <c r="B110" s="39" t="s">
        <v>393</v>
      </c>
      <c r="C110" s="39" t="s">
        <v>2</v>
      </c>
      <c r="D110" s="39">
        <v>4</v>
      </c>
      <c r="E110" s="1" t="s">
        <v>2729</v>
      </c>
      <c r="F110" s="1" t="str">
        <f>VLOOKUP(E:E,Table10[[COUNTRY NAME]:[CONTINENT CODE]],3,FALSE)</f>
        <v>EU</v>
      </c>
      <c r="G110" s="156" t="s">
        <v>11102</v>
      </c>
      <c r="H110" s="8">
        <v>10251</v>
      </c>
      <c r="I110" s="41">
        <v>24.75</v>
      </c>
      <c r="J110" s="157">
        <v>252472471</v>
      </c>
      <c r="K110" s="6">
        <f>IFERROR(Table215[[#This Row],[ROUTE $]]/Table215[[#This Row],[E - DEMAND]],0)</f>
        <v>73757.660239555946</v>
      </c>
      <c r="L110" s="4">
        <v>3423</v>
      </c>
      <c r="M110" s="39">
        <f>VLOOKUP(Table215[[#This Row],[ROUTE]],DEMAND!A:F,5,FALSE)</f>
        <v>3606</v>
      </c>
      <c r="N110" s="39">
        <f>VLOOKUP(Table215[[#This Row],[ROUTE]],DEMAND!A:F,6,FALSE)</f>
        <v>966</v>
      </c>
      <c r="O110" s="39">
        <f>ROUNDDOWN(Table215[[#This Row],[R-DEMAND]]/1320,0)</f>
        <v>0</v>
      </c>
      <c r="P110" s="41">
        <f>Table215[[#This Row],[ADD ACC]]*Table215[[#This Row],[RT TIME (744)]]</f>
        <v>0</v>
      </c>
    </row>
    <row r="111" spans="1:16" ht="15.75" customHeight="1" x14ac:dyDescent="0.25">
      <c r="A111" s="38" t="s">
        <v>13610</v>
      </c>
      <c r="B111" s="39" t="s">
        <v>227</v>
      </c>
      <c r="C111" s="39" t="s">
        <v>2</v>
      </c>
      <c r="D111" s="39">
        <v>3</v>
      </c>
      <c r="E111" s="1" t="s">
        <v>630</v>
      </c>
      <c r="F111" s="1" t="str">
        <f>VLOOKUP(E:E,Table10[[COUNTRY NAME]:[CONTINENT CODE]],3,FALSE)</f>
        <v>EU</v>
      </c>
      <c r="G111" s="162" t="s">
        <v>11683</v>
      </c>
      <c r="H111" s="8">
        <v>9942</v>
      </c>
      <c r="I111" s="41">
        <v>24.25</v>
      </c>
      <c r="J111" s="157">
        <v>235739165</v>
      </c>
      <c r="K111" s="6">
        <f>IFERROR(Table215[[#This Row],[ROUTE $]]/Table215[[#This Row],[E - DEMAND]],0)</f>
        <v>93251.251977848107</v>
      </c>
      <c r="L111" s="5">
        <v>2528</v>
      </c>
      <c r="M111" s="39">
        <f>VLOOKUP(Table215[[#This Row],[ROUTE]],DEMAND!A:F,5,FALSE)</f>
        <v>2529</v>
      </c>
      <c r="N111" s="39">
        <f>VLOOKUP(Table215[[#This Row],[ROUTE]],DEMAND!A:F,6,FALSE)</f>
        <v>1209</v>
      </c>
      <c r="O111" s="39">
        <f>ROUNDDOWN(Table215[[#This Row],[R-DEMAND]]/1320,0)</f>
        <v>0</v>
      </c>
      <c r="P111" s="41">
        <f>Table215[[#This Row],[ADD ACC]]*Table215[[#This Row],[RT TIME (744)]]</f>
        <v>0</v>
      </c>
    </row>
    <row r="112" spans="1:16" ht="15.75" customHeight="1" x14ac:dyDescent="0.25">
      <c r="A112" s="38" t="s">
        <v>13614</v>
      </c>
      <c r="B112" s="39" t="s">
        <v>4824</v>
      </c>
      <c r="C112" s="39" t="s">
        <v>2</v>
      </c>
      <c r="D112" s="39">
        <v>3</v>
      </c>
      <c r="E112" s="38" t="s">
        <v>502</v>
      </c>
      <c r="F112" s="38" t="str">
        <f>VLOOKUP(E:E,Table10[[COUNTRY NAME]:[CONTINENT CODE]],3,FALSE)</f>
        <v>AS</v>
      </c>
      <c r="G112" s="155" t="s">
        <v>11965</v>
      </c>
      <c r="H112" s="40">
        <v>12916</v>
      </c>
      <c r="I112" s="41">
        <v>30.75</v>
      </c>
      <c r="J112" s="157">
        <v>262906619</v>
      </c>
      <c r="K112" s="42">
        <f>IFERROR(Table215[[#This Row],[ROUTE $]]/Table215[[#This Row],[E - DEMAND]],0)</f>
        <v>74816.909220261805</v>
      </c>
      <c r="L112" s="43">
        <v>3514</v>
      </c>
      <c r="M112" s="39">
        <f>VLOOKUP(Table215[[#This Row],[ROUTE]],DEMAND!A:F,5,FALSE)</f>
        <v>3515</v>
      </c>
      <c r="N112" s="39">
        <f>VLOOKUP(Table215[[#This Row],[ROUTE]],DEMAND!A:F,6,FALSE)</f>
        <v>875</v>
      </c>
      <c r="O112" s="39">
        <f>ROUNDDOWN(Table215[[#This Row],[R-DEMAND]]/1320,0)</f>
        <v>0</v>
      </c>
      <c r="P112" s="41">
        <f>Table215[[#This Row],[ADD ACC]]*Table215[[#This Row],[RT TIME (744)]]</f>
        <v>0</v>
      </c>
    </row>
    <row r="113" spans="1:16" ht="15.75" customHeight="1" x14ac:dyDescent="0.25">
      <c r="A113" s="38" t="s">
        <v>13620</v>
      </c>
      <c r="B113" s="39" t="s">
        <v>4935</v>
      </c>
      <c r="C113" s="39" t="s">
        <v>2</v>
      </c>
      <c r="D113" s="39">
        <v>3</v>
      </c>
      <c r="E113" s="38" t="s">
        <v>502</v>
      </c>
      <c r="F113" s="38" t="str">
        <f>VLOOKUP(E:E,Table10[[COUNTRY NAME]:[CONTINENT CODE]],3,FALSE)</f>
        <v>AS</v>
      </c>
      <c r="G113" s="155" t="s">
        <v>11947</v>
      </c>
      <c r="H113" s="40">
        <v>12132</v>
      </c>
      <c r="I113" s="41">
        <v>29</v>
      </c>
      <c r="J113" s="157">
        <v>255555860</v>
      </c>
      <c r="K113" s="42">
        <f>IFERROR(Table215[[#This Row],[ROUTE $]]/Table215[[#This Row],[E - DEMAND]],0)</f>
        <v>71564.228507420892</v>
      </c>
      <c r="L113" s="43">
        <v>3571</v>
      </c>
      <c r="M113" s="39">
        <f>VLOOKUP(Table215[[#This Row],[ROUTE]],DEMAND!A:F,5,FALSE)</f>
        <v>3572</v>
      </c>
      <c r="N113" s="39">
        <f>VLOOKUP(Table215[[#This Row],[ROUTE]],DEMAND!A:F,6,FALSE)</f>
        <v>932</v>
      </c>
      <c r="O113" s="39">
        <f>ROUNDDOWN(Table215[[#This Row],[R-DEMAND]]/1320,0)</f>
        <v>0</v>
      </c>
      <c r="P113" s="41">
        <f>Table215[[#This Row],[ADD ACC]]*Table215[[#This Row],[RT TIME (744)]]</f>
        <v>0</v>
      </c>
    </row>
    <row r="114" spans="1:16" ht="15.75" customHeight="1" x14ac:dyDescent="0.25">
      <c r="A114" s="38" t="s">
        <v>13619</v>
      </c>
      <c r="B114" s="39" t="s">
        <v>5283</v>
      </c>
      <c r="C114" s="39" t="s">
        <v>2</v>
      </c>
      <c r="D114" s="39">
        <v>3</v>
      </c>
      <c r="E114" s="38" t="s">
        <v>502</v>
      </c>
      <c r="F114" s="38" t="str">
        <f>VLOOKUP(E:E,Table10[[COUNTRY NAME]:[CONTINENT CODE]],3,FALSE)</f>
        <v>AS</v>
      </c>
      <c r="G114" s="155" t="s">
        <v>11941</v>
      </c>
      <c r="H114" s="40">
        <v>12150</v>
      </c>
      <c r="I114" s="41">
        <v>29</v>
      </c>
      <c r="J114" s="157">
        <v>263616796</v>
      </c>
      <c r="K114" s="42">
        <f>IFERROR(Table215[[#This Row],[ROUTE $]]/Table215[[#This Row],[E - DEMAND]],0)</f>
        <v>70241.618971489472</v>
      </c>
      <c r="L114" s="43">
        <v>3753</v>
      </c>
      <c r="M114" s="39">
        <f>VLOOKUP(Table215[[#This Row],[ROUTE]],DEMAND!A:F,5,FALSE)</f>
        <v>3754</v>
      </c>
      <c r="N114" s="39">
        <f>VLOOKUP(Table215[[#This Row],[ROUTE]],DEMAND!A:F,6,FALSE)</f>
        <v>1114</v>
      </c>
      <c r="O114" s="39">
        <f>ROUNDDOWN(Table215[[#This Row],[R-DEMAND]]/1320,0)</f>
        <v>0</v>
      </c>
      <c r="P114" s="41">
        <f>Table215[[#This Row],[ADD ACC]]*Table215[[#This Row],[RT TIME (744)]]</f>
        <v>0</v>
      </c>
    </row>
    <row r="115" spans="1:16" ht="15.75" customHeight="1" x14ac:dyDescent="0.25">
      <c r="A115" s="38" t="s">
        <v>13621</v>
      </c>
      <c r="B115" s="39" t="s">
        <v>5035</v>
      </c>
      <c r="C115" s="39" t="s">
        <v>2</v>
      </c>
      <c r="D115" s="39">
        <v>3</v>
      </c>
      <c r="E115" s="38" t="s">
        <v>502</v>
      </c>
      <c r="F115" s="38" t="str">
        <f>VLOOKUP(E:E,Table10[[COUNTRY NAME]:[CONTINENT CODE]],3,FALSE)</f>
        <v>AS</v>
      </c>
      <c r="G115" s="155" t="s">
        <v>11957</v>
      </c>
      <c r="H115" s="40">
        <v>12097</v>
      </c>
      <c r="I115" s="41">
        <v>29</v>
      </c>
      <c r="J115" s="157">
        <v>258043909</v>
      </c>
      <c r="K115" s="42">
        <f>IFERROR(Table215[[#This Row],[ROUTE $]]/Table215[[#This Row],[E - DEMAND]],0)</f>
        <v>70793.939368998632</v>
      </c>
      <c r="L115" s="43">
        <v>3645</v>
      </c>
      <c r="M115" s="39">
        <f>VLOOKUP(Table215[[#This Row],[ROUTE]],DEMAND!A:F,5,FALSE)</f>
        <v>3646</v>
      </c>
      <c r="N115" s="39">
        <f>VLOOKUP(Table215[[#This Row],[ROUTE]],DEMAND!A:F,6,FALSE)</f>
        <v>1006</v>
      </c>
      <c r="O115" s="39">
        <f>ROUNDDOWN(Table215[[#This Row],[R-DEMAND]]/1320,0)</f>
        <v>0</v>
      </c>
      <c r="P115" s="41">
        <f>Table215[[#This Row],[ADD ACC]]*Table215[[#This Row],[RT TIME (744)]]</f>
        <v>0</v>
      </c>
    </row>
    <row r="116" spans="1:16" ht="15.75" customHeight="1" x14ac:dyDescent="0.25">
      <c r="A116" s="38" t="s">
        <v>13618</v>
      </c>
      <c r="B116" s="39" t="s">
        <v>58</v>
      </c>
      <c r="C116" s="39" t="s">
        <v>2</v>
      </c>
      <c r="D116" s="39">
        <v>4</v>
      </c>
      <c r="E116" s="38" t="s">
        <v>502</v>
      </c>
      <c r="F116" s="38" t="str">
        <f>VLOOKUP(E:E,Table10[[COUNTRY NAME]:[CONTINENT CODE]],3,FALSE)</f>
        <v>AS</v>
      </c>
      <c r="G116" s="155" t="s">
        <v>11038</v>
      </c>
      <c r="H116" s="40">
        <v>12172</v>
      </c>
      <c r="I116" s="41">
        <v>29</v>
      </c>
      <c r="J116" s="157">
        <v>273096040</v>
      </c>
      <c r="K116" s="42">
        <f>IFERROR(Table215[[#This Row],[ROUTE $]]/Table215[[#This Row],[E - DEMAND]],0)</f>
        <v>65022.866666666669</v>
      </c>
      <c r="L116" s="43">
        <v>4200</v>
      </c>
      <c r="M116" s="39">
        <f>VLOOKUP(Table215[[#This Row],[ROUTE]],DEMAND!A:F,5,FALSE)</f>
        <v>4202</v>
      </c>
      <c r="N116" s="39">
        <f>VLOOKUP(Table215[[#This Row],[ROUTE]],DEMAND!A:F,6,FALSE)</f>
        <v>242</v>
      </c>
      <c r="O116" s="39">
        <f>ROUNDDOWN(Table215[[#This Row],[R-DEMAND]]/1320,0)</f>
        <v>0</v>
      </c>
      <c r="P116" s="41">
        <f>Table215[[#This Row],[ADD ACC]]*Table215[[#This Row],[RT TIME (744)]]</f>
        <v>0</v>
      </c>
    </row>
    <row r="117" spans="1:16" ht="15.75" customHeight="1" x14ac:dyDescent="0.25">
      <c r="A117" s="38" t="s">
        <v>13623</v>
      </c>
      <c r="B117" s="39" t="s">
        <v>4964</v>
      </c>
      <c r="C117" s="39" t="s">
        <v>2</v>
      </c>
      <c r="D117" s="39">
        <v>3</v>
      </c>
      <c r="E117" s="38" t="s">
        <v>502</v>
      </c>
      <c r="F117" s="38" t="str">
        <f>VLOOKUP(E:E,Table10[[COUNTRY NAME]:[CONTINENT CODE]],3,FALSE)</f>
        <v>AS</v>
      </c>
      <c r="G117" s="155" t="s">
        <v>10765</v>
      </c>
      <c r="H117" s="40">
        <v>11807</v>
      </c>
      <c r="I117" s="41">
        <v>28.25</v>
      </c>
      <c r="J117" s="157">
        <v>253662394</v>
      </c>
      <c r="K117" s="42">
        <f>IFERROR(Table215[[#This Row],[ROUTE $]]/Table215[[#This Row],[E - DEMAND]],0)</f>
        <v>70638.372041214141</v>
      </c>
      <c r="L117" s="43">
        <v>3591</v>
      </c>
      <c r="M117" s="39">
        <f>VLOOKUP(Table215[[#This Row],[ROUTE]],DEMAND!A:F,5,FALSE)</f>
        <v>3592</v>
      </c>
      <c r="N117" s="39">
        <f>VLOOKUP(Table215[[#This Row],[ROUTE]],DEMAND!A:F,6,FALSE)</f>
        <v>952</v>
      </c>
      <c r="O117" s="39">
        <f>ROUNDDOWN(Table215[[#This Row],[R-DEMAND]]/1320,0)</f>
        <v>0</v>
      </c>
      <c r="P117" s="41">
        <f>Table215[[#This Row],[ADD ACC]]*Table215[[#This Row],[RT TIME (744)]]</f>
        <v>0</v>
      </c>
    </row>
    <row r="118" spans="1:16" ht="15.75" customHeight="1" x14ac:dyDescent="0.25">
      <c r="A118" s="38" t="s">
        <v>13626</v>
      </c>
      <c r="B118" s="39" t="s">
        <v>55</v>
      </c>
      <c r="C118" s="39" t="s">
        <v>2</v>
      </c>
      <c r="D118" s="39">
        <v>4</v>
      </c>
      <c r="E118" s="38" t="s">
        <v>1216</v>
      </c>
      <c r="F118" s="38" t="str">
        <f>VLOOKUP(E:E,Table10[[COUNTRY NAME]:[CONTINENT CODE]],3,FALSE)</f>
        <v>AS</v>
      </c>
      <c r="G118" s="155" t="s">
        <v>11036</v>
      </c>
      <c r="H118" s="40">
        <v>10609</v>
      </c>
      <c r="I118" s="41">
        <v>25.5</v>
      </c>
      <c r="J118" s="157">
        <v>259955164</v>
      </c>
      <c r="K118" s="42">
        <f>IFERROR(Table215[[#This Row],[ROUTE $]]/Table215[[#This Row],[E - DEMAND]],0)</f>
        <v>79278.793534614219</v>
      </c>
      <c r="L118" s="43">
        <v>3279</v>
      </c>
      <c r="M118" s="39">
        <f>VLOOKUP(Table215[[#This Row],[ROUTE]],DEMAND!A:F,5,FALSE)</f>
        <v>3455</v>
      </c>
      <c r="N118" s="39">
        <f>VLOOKUP(Table215[[#This Row],[ROUTE]],DEMAND!A:F,6,FALSE)</f>
        <v>815</v>
      </c>
      <c r="O118" s="39">
        <f>ROUNDDOWN(Table215[[#This Row],[R-DEMAND]]/1320,0)</f>
        <v>0</v>
      </c>
      <c r="P118" s="41">
        <f>Table215[[#This Row],[ADD ACC]]*Table215[[#This Row],[RT TIME (744)]]</f>
        <v>0</v>
      </c>
    </row>
    <row r="119" spans="1:16" ht="15.75" customHeight="1" x14ac:dyDescent="0.25">
      <c r="A119" s="38" t="s">
        <v>13630</v>
      </c>
      <c r="B119" s="39" t="s">
        <v>5473</v>
      </c>
      <c r="C119" s="39" t="s">
        <v>2</v>
      </c>
      <c r="D119" s="39">
        <v>4</v>
      </c>
      <c r="E119" s="38" t="s">
        <v>308</v>
      </c>
      <c r="F119" s="38" t="str">
        <f>VLOOKUP(E:E,Table10[[COUNTRY NAME]:[CONTINENT CODE]],3,FALSE)</f>
        <v>EU</v>
      </c>
      <c r="G119" s="155" t="s">
        <v>11032</v>
      </c>
      <c r="H119" s="40">
        <v>9696</v>
      </c>
      <c r="I119" s="41">
        <v>23.5</v>
      </c>
      <c r="J119" s="157">
        <v>245200450</v>
      </c>
      <c r="K119" s="42">
        <f>IFERROR(Table215[[#This Row],[ROUTE $]]/Table215[[#This Row],[E - DEMAND]],0)</f>
        <v>95297.49319860086</v>
      </c>
      <c r="L119" s="43">
        <v>2573</v>
      </c>
      <c r="M119" s="39">
        <f>VLOOKUP(Table215[[#This Row],[ROUTE]],DEMAND!A:F,5,FALSE)</f>
        <v>2574</v>
      </c>
      <c r="N119" s="39">
        <f>VLOOKUP(Table215[[#This Row],[ROUTE]],DEMAND!A:F,6,FALSE)</f>
        <v>1254</v>
      </c>
      <c r="O119" s="39">
        <f>ROUNDDOWN(Table215[[#This Row],[R-DEMAND]]/1320,0)</f>
        <v>0</v>
      </c>
      <c r="P119" s="41">
        <f>Table215[[#This Row],[ADD ACC]]*Table215[[#This Row],[RT TIME (744)]]</f>
        <v>0</v>
      </c>
    </row>
    <row r="120" spans="1:16" ht="15.75" customHeight="1" x14ac:dyDescent="0.25">
      <c r="A120" s="38" t="s">
        <v>13635</v>
      </c>
      <c r="B120" s="39" t="s">
        <v>5392</v>
      </c>
      <c r="C120" s="39" t="s">
        <v>2</v>
      </c>
      <c r="D120" s="39">
        <v>3</v>
      </c>
      <c r="E120" s="38" t="s">
        <v>308</v>
      </c>
      <c r="F120" s="38" t="str">
        <f>VLOOKUP(E:E,Table10[[COUNTRY NAME]:[CONTINENT CODE]],3,FALSE)</f>
        <v>EU</v>
      </c>
      <c r="G120" s="155" t="s">
        <v>11778</v>
      </c>
      <c r="H120" s="40">
        <v>9564</v>
      </c>
      <c r="I120" s="41">
        <v>23.25</v>
      </c>
      <c r="J120" s="157">
        <v>241335570</v>
      </c>
      <c r="K120" s="42">
        <f>IFERROR(Table215[[#This Row],[ROUTE $]]/Table215[[#This Row],[E - DEMAND]],0)</f>
        <v>95920.33783783784</v>
      </c>
      <c r="L120" s="43">
        <v>2516</v>
      </c>
      <c r="M120" s="39">
        <f>VLOOKUP(Table215[[#This Row],[ROUTE]],DEMAND!A:F,5,FALSE)</f>
        <v>2668</v>
      </c>
      <c r="N120" s="39">
        <f>VLOOKUP(Table215[[#This Row],[ROUTE]],DEMAND!A:F,6,FALSE)</f>
        <v>28</v>
      </c>
      <c r="O120" s="39">
        <f>ROUNDDOWN(Table215[[#This Row],[R-DEMAND]]/1320,0)</f>
        <v>0</v>
      </c>
      <c r="P120" s="41">
        <f>Table215[[#This Row],[ADD ACC]]*Table215[[#This Row],[RT TIME (744)]]</f>
        <v>0</v>
      </c>
    </row>
    <row r="121" spans="1:16" ht="15.75" customHeight="1" x14ac:dyDescent="0.25">
      <c r="A121" s="38" t="s">
        <v>13636</v>
      </c>
      <c r="B121" s="39" t="s">
        <v>5507</v>
      </c>
      <c r="C121" s="39" t="s">
        <v>2</v>
      </c>
      <c r="D121" s="39">
        <v>4</v>
      </c>
      <c r="E121" s="38" t="s">
        <v>308</v>
      </c>
      <c r="F121" s="38" t="str">
        <f>VLOOKUP(E:E,Table10[[COUNTRY NAME]:[CONTINENT CODE]],3,FALSE)</f>
        <v>EU</v>
      </c>
      <c r="G121" s="155" t="s">
        <v>11106</v>
      </c>
      <c r="H121" s="40">
        <v>9548</v>
      </c>
      <c r="I121" s="41">
        <v>23.25</v>
      </c>
      <c r="J121" s="157">
        <v>244945938</v>
      </c>
      <c r="K121" s="42">
        <f>IFERROR(Table215[[#This Row],[ROUTE $]]/Table215[[#This Row],[E - DEMAND]],0)</f>
        <v>94101.39761813292</v>
      </c>
      <c r="L121" s="43">
        <v>2603</v>
      </c>
      <c r="M121" s="39">
        <f>VLOOKUP(Table215[[#This Row],[ROUTE]],DEMAND!A:F,5,FALSE)</f>
        <v>2604</v>
      </c>
      <c r="N121" s="39">
        <f>VLOOKUP(Table215[[#This Row],[ROUTE]],DEMAND!A:F,6,FALSE)</f>
        <v>1284</v>
      </c>
      <c r="O121" s="39">
        <f>ROUNDDOWN(Table215[[#This Row],[R-DEMAND]]/1320,0)</f>
        <v>0</v>
      </c>
      <c r="P121" s="41">
        <f>Table215[[#This Row],[ADD ACC]]*Table215[[#This Row],[RT TIME (744)]]</f>
        <v>0</v>
      </c>
    </row>
    <row r="122" spans="1:16" ht="15.75" customHeight="1" x14ac:dyDescent="0.25">
      <c r="A122" s="38" t="s">
        <v>13637</v>
      </c>
      <c r="B122" s="39" t="s">
        <v>5672</v>
      </c>
      <c r="C122" s="39" t="s">
        <v>2</v>
      </c>
      <c r="D122" s="39">
        <v>4</v>
      </c>
      <c r="E122" s="38" t="s">
        <v>308</v>
      </c>
      <c r="F122" s="38" t="str">
        <f>VLOOKUP(E:E,Table10[[COUNTRY NAME]:[CONTINENT CODE]],3,FALSE)</f>
        <v>EU</v>
      </c>
      <c r="G122" s="155" t="s">
        <v>11056</v>
      </c>
      <c r="H122" s="40">
        <v>9487</v>
      </c>
      <c r="I122" s="41">
        <v>23.25</v>
      </c>
      <c r="J122" s="157">
        <v>256892779</v>
      </c>
      <c r="K122" s="42">
        <f>IFERROR(Table215[[#This Row],[ROUTE $]]/Table215[[#This Row],[E - DEMAND]],0)</f>
        <v>89167.920513710516</v>
      </c>
      <c r="L122" s="43">
        <v>2881</v>
      </c>
      <c r="M122" s="39">
        <f>VLOOKUP(Table215[[#This Row],[ROUTE]],DEMAND!A:F,5,FALSE)</f>
        <v>2883</v>
      </c>
      <c r="N122" s="39">
        <f>VLOOKUP(Table215[[#This Row],[ROUTE]],DEMAND!A:F,6,FALSE)</f>
        <v>243</v>
      </c>
      <c r="O122" s="39">
        <f>ROUNDDOWN(Table215[[#This Row],[R-DEMAND]]/1320,0)</f>
        <v>0</v>
      </c>
      <c r="P122" s="41">
        <f>Table215[[#This Row],[ADD ACC]]*Table215[[#This Row],[RT TIME (744)]]</f>
        <v>0</v>
      </c>
    </row>
    <row r="123" spans="1:16" ht="15.75" customHeight="1" x14ac:dyDescent="0.25">
      <c r="A123" s="38" t="s">
        <v>13638</v>
      </c>
      <c r="B123" s="39" t="s">
        <v>5279</v>
      </c>
      <c r="C123" s="39" t="s">
        <v>2</v>
      </c>
      <c r="D123" s="39">
        <v>3</v>
      </c>
      <c r="E123" s="38" t="s">
        <v>308</v>
      </c>
      <c r="F123" s="38" t="str">
        <f>VLOOKUP(E:E,Table10[[COUNTRY NAME]:[CONTINENT CODE]],3,FALSE)</f>
        <v>EU</v>
      </c>
      <c r="G123" s="155" t="s">
        <v>11769</v>
      </c>
      <c r="H123" s="40">
        <v>9448</v>
      </c>
      <c r="I123" s="41">
        <v>23</v>
      </c>
      <c r="J123" s="157">
        <v>236950732</v>
      </c>
      <c r="K123" s="42">
        <f>IFERROR(Table215[[#This Row],[ROUTE $]]/Table215[[#This Row],[E - DEMAND]],0)</f>
        <v>97071.172470299061</v>
      </c>
      <c r="L123" s="43">
        <v>2441</v>
      </c>
      <c r="M123" s="39">
        <f>VLOOKUP(Table215[[#This Row],[ROUTE]],DEMAND!A:F,5,FALSE)</f>
        <v>2523</v>
      </c>
      <c r="N123" s="39">
        <f>VLOOKUP(Table215[[#This Row],[ROUTE]],DEMAND!A:F,6,FALSE)</f>
        <v>1203</v>
      </c>
      <c r="O123" s="39">
        <f>ROUNDDOWN(Table215[[#This Row],[R-DEMAND]]/1320,0)</f>
        <v>0</v>
      </c>
      <c r="P123" s="41">
        <f>Table215[[#This Row],[ADD ACC]]*Table215[[#This Row],[RT TIME (744)]]</f>
        <v>0</v>
      </c>
    </row>
    <row r="124" spans="1:16" ht="15.75" customHeight="1" x14ac:dyDescent="0.25">
      <c r="A124" s="38" t="s">
        <v>13639</v>
      </c>
      <c r="B124" s="39" t="s">
        <v>309</v>
      </c>
      <c r="C124" s="39" t="s">
        <v>2</v>
      </c>
      <c r="D124" s="39">
        <v>5</v>
      </c>
      <c r="E124" s="38" t="s">
        <v>308</v>
      </c>
      <c r="F124" s="38" t="str">
        <f>VLOOKUP(E:E,Table10[[COUNTRY NAME]:[CONTINENT CODE]],3,FALSE)</f>
        <v>EU</v>
      </c>
      <c r="G124" s="155" t="s">
        <v>307</v>
      </c>
      <c r="H124" s="40">
        <v>9434</v>
      </c>
      <c r="I124" s="41">
        <v>23</v>
      </c>
      <c r="J124" s="157">
        <v>267070743</v>
      </c>
      <c r="K124" s="42">
        <f>IFERROR(Table215[[#This Row],[ROUTE $]]/Table215[[#This Row],[E - DEMAND]],0)</f>
        <v>85544.760730301088</v>
      </c>
      <c r="L124" s="43">
        <v>3122</v>
      </c>
      <c r="M124" s="39">
        <f>VLOOKUP(Table215[[#This Row],[ROUTE]],DEMAND!A:F,5,FALSE)</f>
        <v>3123</v>
      </c>
      <c r="N124" s="39">
        <f>VLOOKUP(Table215[[#This Row],[ROUTE]],DEMAND!A:F,6,FALSE)</f>
        <v>483</v>
      </c>
      <c r="O124" s="39">
        <f>ROUNDDOWN(Table215[[#This Row],[R-DEMAND]]/1320,0)</f>
        <v>0</v>
      </c>
      <c r="P124" s="41">
        <f>Table215[[#This Row],[ADD ACC]]*Table215[[#This Row],[RT TIME (744)]]</f>
        <v>0</v>
      </c>
    </row>
    <row r="125" spans="1:16" ht="15.75" customHeight="1" x14ac:dyDescent="0.25">
      <c r="A125" s="38" t="s">
        <v>13643</v>
      </c>
      <c r="B125" s="39" t="s">
        <v>4776</v>
      </c>
      <c r="C125" s="39" t="s">
        <v>2</v>
      </c>
      <c r="D125" s="39">
        <v>3</v>
      </c>
      <c r="E125" s="38" t="s">
        <v>308</v>
      </c>
      <c r="F125" s="38" t="str">
        <f>VLOOKUP(E:E,Table10[[COUNTRY NAME]:[CONTINENT CODE]],3,FALSE)</f>
        <v>EU</v>
      </c>
      <c r="G125" s="155" t="s">
        <v>11750</v>
      </c>
      <c r="H125" s="40">
        <v>9096</v>
      </c>
      <c r="I125" s="41">
        <v>22.25</v>
      </c>
      <c r="J125" s="157">
        <v>223668159</v>
      </c>
      <c r="K125" s="42">
        <f>IFERROR(Table215[[#This Row],[ROUTE $]]/Table215[[#This Row],[E - DEMAND]],0)</f>
        <v>100887.75778078484</v>
      </c>
      <c r="L125" s="43">
        <v>2217</v>
      </c>
      <c r="M125" s="39">
        <f>VLOOKUP(Table215[[#This Row],[ROUTE]],DEMAND!A:F,5,FALSE)</f>
        <v>2292</v>
      </c>
      <c r="N125" s="39">
        <f>VLOOKUP(Table215[[#This Row],[ROUTE]],DEMAND!A:F,6,FALSE)</f>
        <v>972</v>
      </c>
      <c r="O125" s="39">
        <f>ROUNDDOWN(Table215[[#This Row],[R-DEMAND]]/1320,0)</f>
        <v>0</v>
      </c>
      <c r="P125" s="41">
        <f>Table215[[#This Row],[ADD ACC]]*Table215[[#This Row],[RT TIME (744)]]</f>
        <v>0</v>
      </c>
    </row>
    <row r="126" spans="1:16" ht="15.75" customHeight="1" x14ac:dyDescent="0.25">
      <c r="A126" s="38" t="s">
        <v>13645</v>
      </c>
      <c r="B126" s="39" t="s">
        <v>4529</v>
      </c>
      <c r="C126" s="39" t="s">
        <v>2</v>
      </c>
      <c r="D126" s="39">
        <v>2</v>
      </c>
      <c r="E126" s="38" t="s">
        <v>499</v>
      </c>
      <c r="F126" s="38" t="str">
        <f>VLOOKUP(E:E,Table10[[COUNTRY NAME]:[CONTINENT CODE]],3,FALSE)</f>
        <v>AF</v>
      </c>
      <c r="G126" s="155" t="s">
        <v>11688</v>
      </c>
      <c r="H126" s="40">
        <v>5611</v>
      </c>
      <c r="I126" s="41">
        <v>14.5</v>
      </c>
      <c r="J126" s="157">
        <v>187340959</v>
      </c>
      <c r="K126" s="42">
        <f>IFERROR(Table215[[#This Row],[ROUTE $]]/Table215[[#This Row],[E - DEMAND]],0)</f>
        <v>47913.288746803068</v>
      </c>
      <c r="L126" s="43">
        <v>3910</v>
      </c>
      <c r="M126" s="39">
        <f>VLOOKUP(Table215[[#This Row],[ROUTE]],DEMAND!A:F,5,FALSE)</f>
        <v>4095</v>
      </c>
      <c r="N126" s="39">
        <f>VLOOKUP(Table215[[#This Row],[ROUTE]],DEMAND!A:F,6,FALSE)</f>
        <v>135</v>
      </c>
      <c r="O126" s="39">
        <f>ROUNDDOWN(Table215[[#This Row],[R-DEMAND]]/1320,0)</f>
        <v>0</v>
      </c>
      <c r="P126" s="41">
        <f>Table215[[#This Row],[ADD ACC]]*Table215[[#This Row],[RT TIME (744)]]</f>
        <v>0</v>
      </c>
    </row>
    <row r="127" spans="1:16" ht="15.75" customHeight="1" x14ac:dyDescent="0.25">
      <c r="A127" s="38" t="s">
        <v>13649</v>
      </c>
      <c r="B127" s="39" t="s">
        <v>3365</v>
      </c>
      <c r="C127" s="39" t="s">
        <v>2</v>
      </c>
      <c r="D127" s="39">
        <v>2</v>
      </c>
      <c r="E127" s="38" t="s">
        <v>588</v>
      </c>
      <c r="F127" s="38" t="str">
        <f>VLOOKUP(E:E,Table10[[COUNTRY NAME]:[CONTINENT CODE]],3,FALSE)</f>
        <v>EU</v>
      </c>
      <c r="G127" s="155" t="s">
        <v>11924</v>
      </c>
      <c r="H127" s="40">
        <v>12944</v>
      </c>
      <c r="I127" s="41">
        <v>30.75</v>
      </c>
      <c r="J127" s="157"/>
      <c r="K127" s="42">
        <f>IFERROR(Table215[[#This Row],[ROUTE $]]/Table215[[#This Row],[E - DEMAND]],0)</f>
        <v>0</v>
      </c>
      <c r="L127" s="43"/>
      <c r="M127" s="39">
        <f>VLOOKUP(Table215[[#This Row],[ROUTE]],DEMAND!A:F,5,FALSE)</f>
        <v>3051</v>
      </c>
      <c r="N127" s="39">
        <f>VLOOKUP(Table215[[#This Row],[ROUTE]],DEMAND!A:F,6,FALSE)</f>
        <v>411</v>
      </c>
      <c r="O127" s="39">
        <f>ROUNDDOWN(Table215[[#This Row],[R-DEMAND]]/1320,0)</f>
        <v>0</v>
      </c>
      <c r="P127" s="41">
        <f>Table215[[#This Row],[ADD ACC]]*Table215[[#This Row],[RT TIME (744)]]</f>
        <v>0</v>
      </c>
    </row>
    <row r="128" spans="1:16" ht="15.75" customHeight="1" x14ac:dyDescent="0.25">
      <c r="A128" s="38" t="s">
        <v>13653</v>
      </c>
      <c r="B128" s="39" t="s">
        <v>1600</v>
      </c>
      <c r="C128" s="39" t="s">
        <v>2</v>
      </c>
      <c r="D128" s="39">
        <v>1</v>
      </c>
      <c r="E128" s="38" t="s">
        <v>1189</v>
      </c>
      <c r="F128" s="38" t="str">
        <f>VLOOKUP(E:E,Table10[[COUNTRY NAME]:[CONTINENT CODE]],3,FALSE)</f>
        <v>AF</v>
      </c>
      <c r="G128" s="155" t="s">
        <v>11920</v>
      </c>
      <c r="H128" s="40">
        <v>9182</v>
      </c>
      <c r="I128" s="41">
        <v>22.5</v>
      </c>
      <c r="J128" s="157">
        <v>204904014</v>
      </c>
      <c r="K128" s="42">
        <f>IFERROR(Table215[[#This Row],[ROUTE $]]/Table215[[#This Row],[E - DEMAND]],0)</f>
        <v>63555.835607940448</v>
      </c>
      <c r="L128" s="43">
        <v>3224</v>
      </c>
      <c r="M128" s="39">
        <f>VLOOKUP(Table215[[#This Row],[ROUTE]],DEMAND!A:F,5,FALSE)</f>
        <v>3440</v>
      </c>
      <c r="N128" s="39">
        <f>VLOOKUP(Table215[[#This Row],[ROUTE]],DEMAND!A:F,6,FALSE)</f>
        <v>800</v>
      </c>
      <c r="O128" s="39">
        <f>ROUNDDOWN(Table215[[#This Row],[R-DEMAND]]/1320,0)</f>
        <v>0</v>
      </c>
      <c r="P128" s="41">
        <f>Table215[[#This Row],[ADD ACC]]*Table215[[#This Row],[RT TIME (744)]]</f>
        <v>0</v>
      </c>
    </row>
    <row r="129" spans="1:16" ht="15.75" customHeight="1" x14ac:dyDescent="0.25">
      <c r="A129" s="38" t="s">
        <v>13651</v>
      </c>
      <c r="B129" s="39" t="s">
        <v>4644</v>
      </c>
      <c r="C129" s="39" t="s">
        <v>2</v>
      </c>
      <c r="D129" s="39">
        <v>2</v>
      </c>
      <c r="E129" s="38" t="s">
        <v>1189</v>
      </c>
      <c r="F129" s="38" t="str">
        <f>VLOOKUP(E:E,Table10[[COUNTRY NAME]:[CONTINENT CODE]],3,FALSE)</f>
        <v>AF</v>
      </c>
      <c r="G129" s="155" t="s">
        <v>11940</v>
      </c>
      <c r="H129" s="40">
        <v>9430</v>
      </c>
      <c r="I129" s="41">
        <v>23</v>
      </c>
      <c r="J129" s="157">
        <v>226022285</v>
      </c>
      <c r="K129" s="42">
        <f>IFERROR(Table215[[#This Row],[ROUTE $]]/Table215[[#This Row],[E - DEMAND]],0)</f>
        <v>57761.892409915665</v>
      </c>
      <c r="L129" s="43">
        <v>3913</v>
      </c>
      <c r="M129" s="39">
        <f>VLOOKUP(Table215[[#This Row],[ROUTE]],DEMAND!A:F,5,FALSE)</f>
        <v>4046</v>
      </c>
      <c r="N129" s="39">
        <f>VLOOKUP(Table215[[#This Row],[ROUTE]],DEMAND!A:F,6,FALSE)</f>
        <v>86</v>
      </c>
      <c r="O129" s="39">
        <f>ROUNDDOWN(Table215[[#This Row],[R-DEMAND]]/1320,0)</f>
        <v>0</v>
      </c>
      <c r="P129" s="41">
        <f>Table215[[#This Row],[ADD ACC]]*Table215[[#This Row],[RT TIME (744)]]</f>
        <v>0</v>
      </c>
    </row>
    <row r="130" spans="1:16" ht="15.75" customHeight="1" x14ac:dyDescent="0.25">
      <c r="A130" s="38" t="s">
        <v>13652</v>
      </c>
      <c r="B130" s="39" t="s">
        <v>152</v>
      </c>
      <c r="C130" s="39" t="s">
        <v>2</v>
      </c>
      <c r="D130" s="39">
        <v>3</v>
      </c>
      <c r="E130" s="38" t="s">
        <v>1189</v>
      </c>
      <c r="F130" s="38" t="str">
        <f>VLOOKUP(E:E,Table10[[COUNTRY NAME]:[CONTINENT CODE]],3,FALSE)</f>
        <v>AF</v>
      </c>
      <c r="G130" s="155" t="s">
        <v>11926</v>
      </c>
      <c r="H130" s="40">
        <v>9277</v>
      </c>
      <c r="I130" s="41">
        <v>22.75</v>
      </c>
      <c r="J130" s="157">
        <v>238727819</v>
      </c>
      <c r="K130" s="42">
        <f>IFERROR(Table215[[#This Row],[ROUTE $]]/Table215[[#This Row],[E - DEMAND]],0)</f>
        <v>53864.580099277977</v>
      </c>
      <c r="L130" s="43">
        <v>4432</v>
      </c>
      <c r="M130" s="39">
        <f>VLOOKUP(Table215[[#This Row],[ROUTE]],DEMAND!A:F,5,FALSE)</f>
        <v>4612</v>
      </c>
      <c r="N130" s="39">
        <f>VLOOKUP(Table215[[#This Row],[ROUTE]],DEMAND!A:F,6,FALSE)</f>
        <v>652</v>
      </c>
      <c r="O130" s="39">
        <f>ROUNDDOWN(Table215[[#This Row],[R-DEMAND]]/1320,0)</f>
        <v>0</v>
      </c>
      <c r="P130" s="41">
        <f>Table215[[#This Row],[ADD ACC]]*Table215[[#This Row],[RT TIME (744)]]</f>
        <v>0</v>
      </c>
    </row>
    <row r="131" spans="1:16" ht="15.75" customHeight="1" x14ac:dyDescent="0.25">
      <c r="A131" s="38" t="s">
        <v>13654</v>
      </c>
      <c r="B131" s="39" t="s">
        <v>5483</v>
      </c>
      <c r="C131" s="39" t="s">
        <v>2</v>
      </c>
      <c r="D131" s="39">
        <v>4</v>
      </c>
      <c r="E131" s="38" t="s">
        <v>5481</v>
      </c>
      <c r="F131" s="38" t="str">
        <f>VLOOKUP(E:E,Table10[[COUNTRY NAME]:[CONTINENT CODE]],3,FALSE)</f>
        <v>AS</v>
      </c>
      <c r="G131" s="155" t="s">
        <v>11068</v>
      </c>
      <c r="H131" s="40">
        <v>11660</v>
      </c>
      <c r="I131" s="41">
        <v>28</v>
      </c>
      <c r="J131" s="157">
        <v>266544250</v>
      </c>
      <c r="K131" s="42">
        <f>IFERROR(Table215[[#This Row],[ROUTE $]]/Table215[[#This Row],[E - DEMAND]],0)</f>
        <v>72195.083965330443</v>
      </c>
      <c r="L131" s="43">
        <v>3692</v>
      </c>
      <c r="M131" s="39">
        <f>VLOOKUP(Table215[[#This Row],[ROUTE]],DEMAND!A:F,5,FALSE)</f>
        <v>3879</v>
      </c>
      <c r="N131" s="39">
        <f>VLOOKUP(Table215[[#This Row],[ROUTE]],DEMAND!A:F,6,FALSE)</f>
        <v>1239</v>
      </c>
      <c r="O131" s="39">
        <f>ROUNDDOWN(Table215[[#This Row],[R-DEMAND]]/1320,0)</f>
        <v>0</v>
      </c>
      <c r="P131" s="41">
        <f>Table215[[#This Row],[ADD ACC]]*Table215[[#This Row],[RT TIME (744)]]</f>
        <v>0</v>
      </c>
    </row>
    <row r="132" spans="1:16" ht="15.75" customHeight="1" x14ac:dyDescent="0.25">
      <c r="A132" s="38" t="s">
        <v>13656</v>
      </c>
      <c r="B132" s="39" t="s">
        <v>5395</v>
      </c>
      <c r="C132" s="39" t="s">
        <v>2</v>
      </c>
      <c r="D132" s="39">
        <v>3</v>
      </c>
      <c r="E132" s="38" t="s">
        <v>5393</v>
      </c>
      <c r="F132" s="38" t="str">
        <f>VLOOKUP(E:E,Table10[[COUNTRY NAME]:[CONTINENT CODE]],3,FALSE)</f>
        <v>AS</v>
      </c>
      <c r="G132" s="155" t="s">
        <v>11877</v>
      </c>
      <c r="H132" s="40">
        <v>10742</v>
      </c>
      <c r="I132" s="41">
        <v>26</v>
      </c>
      <c r="J132" s="157">
        <v>252289148</v>
      </c>
      <c r="K132" s="42">
        <f>IFERROR(Table215[[#This Row],[ROUTE $]]/Table215[[#This Row],[E - DEMAND]],0)</f>
        <v>70255.958785853523</v>
      </c>
      <c r="L132" s="43">
        <v>3591</v>
      </c>
      <c r="M132" s="39">
        <f>VLOOKUP(Table215[[#This Row],[ROUTE]],DEMAND!A:F,5,FALSE)</f>
        <v>3711</v>
      </c>
      <c r="N132" s="39">
        <f>VLOOKUP(Table215[[#This Row],[ROUTE]],DEMAND!A:F,6,FALSE)</f>
        <v>1071</v>
      </c>
      <c r="O132" s="39">
        <f>ROUNDDOWN(Table215[[#This Row],[R-DEMAND]]/1320,0)</f>
        <v>0</v>
      </c>
      <c r="P132" s="41">
        <f>Table215[[#This Row],[ADD ACC]]*Table215[[#This Row],[RT TIME (744)]]</f>
        <v>0</v>
      </c>
    </row>
    <row r="133" spans="1:16" ht="15.75" customHeight="1" x14ac:dyDescent="0.25">
      <c r="A133" s="38" t="s">
        <v>13657</v>
      </c>
      <c r="B133" s="39" t="s">
        <v>2106</v>
      </c>
      <c r="C133" s="39" t="s">
        <v>2</v>
      </c>
      <c r="D133" s="39">
        <v>1</v>
      </c>
      <c r="E133" s="38" t="s">
        <v>2104</v>
      </c>
      <c r="F133" s="38" t="str">
        <f>VLOOKUP(E:E,Table10[[COUNTRY NAME]:[CONTINENT CODE]],3,FALSE)</f>
        <v>AF</v>
      </c>
      <c r="G133" s="155" t="s">
        <v>11881</v>
      </c>
      <c r="H133" s="40">
        <v>7279</v>
      </c>
      <c r="I133" s="41">
        <v>18.25</v>
      </c>
      <c r="J133" s="157"/>
      <c r="K133" s="42">
        <f>IFERROR(Table215[[#This Row],[ROUTE $]]/Table215[[#This Row],[E - DEMAND]],0)</f>
        <v>0</v>
      </c>
      <c r="L133" s="43"/>
      <c r="M133" s="39">
        <f>VLOOKUP(Table215[[#This Row],[ROUTE]],DEMAND!A:F,5,FALSE)</f>
        <v>3388</v>
      </c>
      <c r="N133" s="39">
        <f>VLOOKUP(Table215[[#This Row],[ROUTE]],DEMAND!A:F,6,FALSE)</f>
        <v>748</v>
      </c>
      <c r="O133" s="39">
        <f>ROUNDDOWN(Table215[[#This Row],[R-DEMAND]]/1320,0)</f>
        <v>0</v>
      </c>
      <c r="P133" s="41">
        <f>Table215[[#This Row],[ADD ACC]]*Table215[[#This Row],[RT TIME (744)]]</f>
        <v>0</v>
      </c>
    </row>
    <row r="134" spans="1:16" ht="15.75" customHeight="1" x14ac:dyDescent="0.25">
      <c r="A134" s="38" t="s">
        <v>13659</v>
      </c>
      <c r="B134" s="39" t="s">
        <v>4551</v>
      </c>
      <c r="C134" s="39" t="s">
        <v>2</v>
      </c>
      <c r="D134" s="39">
        <v>2</v>
      </c>
      <c r="E134" s="38" t="s">
        <v>4549</v>
      </c>
      <c r="F134" s="38" t="str">
        <f>VLOOKUP(E:E,Table10[[COUNTRY NAME]:[CONTINENT CODE]],3,FALSE)</f>
        <v>AF</v>
      </c>
      <c r="G134" s="155" t="s">
        <v>11826</v>
      </c>
      <c r="H134" s="40">
        <v>9399</v>
      </c>
      <c r="I134" s="41">
        <v>23</v>
      </c>
      <c r="J134" s="157">
        <v>223092837</v>
      </c>
      <c r="K134" s="42">
        <f>IFERROR(Table215[[#This Row],[ROUTE $]]/Table215[[#This Row],[E - DEMAND]],0)</f>
        <v>83057.645941921073</v>
      </c>
      <c r="L134" s="43">
        <v>2686</v>
      </c>
      <c r="M134" s="39">
        <f>VLOOKUP(Table215[[#This Row],[ROUTE]],DEMAND!A:F,5,FALSE)</f>
        <v>2794</v>
      </c>
      <c r="N134" s="39">
        <f>VLOOKUP(Table215[[#This Row],[ROUTE]],DEMAND!A:F,6,FALSE)</f>
        <v>154</v>
      </c>
      <c r="O134" s="39">
        <f>ROUNDDOWN(Table215[[#This Row],[R-DEMAND]]/1320,0)</f>
        <v>0</v>
      </c>
      <c r="P134" s="41">
        <f>Table215[[#This Row],[ADD ACC]]*Table215[[#This Row],[RT TIME (744)]]</f>
        <v>0</v>
      </c>
    </row>
    <row r="135" spans="1:16" ht="15.75" customHeight="1" x14ac:dyDescent="0.25">
      <c r="A135" s="38" t="s">
        <v>13660</v>
      </c>
      <c r="B135" s="39" t="s">
        <v>5171</v>
      </c>
      <c r="C135" s="39" t="s">
        <v>2</v>
      </c>
      <c r="D135" s="39">
        <v>3</v>
      </c>
      <c r="E135" s="38" t="s">
        <v>4549</v>
      </c>
      <c r="F135" s="38" t="str">
        <f>VLOOKUP(E:E,Table10[[COUNTRY NAME]:[CONTINENT CODE]],3,FALSE)</f>
        <v>AF</v>
      </c>
      <c r="G135" s="155" t="s">
        <v>11792</v>
      </c>
      <c r="H135" s="40">
        <v>8883</v>
      </c>
      <c r="I135" s="41">
        <v>21.75</v>
      </c>
      <c r="J135" s="157">
        <v>227667958</v>
      </c>
      <c r="K135" s="42">
        <f>IFERROR(Table215[[#This Row],[ROUTE $]]/Table215[[#This Row],[E - DEMAND]],0)</f>
        <v>76527.044705882348</v>
      </c>
      <c r="L135" s="43">
        <v>2975</v>
      </c>
      <c r="M135" s="39">
        <f>VLOOKUP(Table215[[#This Row],[ROUTE]],DEMAND!A:F,5,FALSE)</f>
        <v>3126</v>
      </c>
      <c r="N135" s="39">
        <f>VLOOKUP(Table215[[#This Row],[ROUTE]],DEMAND!A:F,6,FALSE)</f>
        <v>486</v>
      </c>
      <c r="O135" s="39">
        <f>ROUNDDOWN(Table215[[#This Row],[R-DEMAND]]/1320,0)</f>
        <v>0</v>
      </c>
      <c r="P135" s="41">
        <f>Table215[[#This Row],[ADD ACC]]*Table215[[#This Row],[RT TIME (744)]]</f>
        <v>0</v>
      </c>
    </row>
    <row r="136" spans="1:16" ht="15.75" customHeight="1" x14ac:dyDescent="0.25">
      <c r="A136" s="38" t="s">
        <v>13663</v>
      </c>
      <c r="B136" s="39" t="s">
        <v>4891</v>
      </c>
      <c r="C136" s="39" t="s">
        <v>2</v>
      </c>
      <c r="D136" s="39">
        <v>3</v>
      </c>
      <c r="E136" s="38" t="s">
        <v>4889</v>
      </c>
      <c r="F136" s="38" t="str">
        <f>VLOOKUP(E:E,Table10[[COUNTRY NAME]:[CONTINENT CODE]],3,FALSE)</f>
        <v>EU</v>
      </c>
      <c r="G136" s="155" t="s">
        <v>4889</v>
      </c>
      <c r="H136" s="40">
        <v>9644</v>
      </c>
      <c r="I136" s="41">
        <v>23.5</v>
      </c>
      <c r="J136" s="157">
        <v>230952777</v>
      </c>
      <c r="K136" s="42">
        <f>IFERROR(Table215[[#This Row],[ROUTE $]]/Table215[[#This Row],[E - DEMAND]],0)</f>
        <v>102418.08292682927</v>
      </c>
      <c r="L136" s="43">
        <v>2255</v>
      </c>
      <c r="M136" s="39">
        <f>VLOOKUP(Table215[[#This Row],[ROUTE]],DEMAND!A:F,5,FALSE)</f>
        <v>2338</v>
      </c>
      <c r="N136" s="39">
        <f>VLOOKUP(Table215[[#This Row],[ROUTE]],DEMAND!A:F,6,FALSE)</f>
        <v>1018</v>
      </c>
      <c r="O136" s="39">
        <f>ROUNDDOWN(Table215[[#This Row],[R-DEMAND]]/1320,0)</f>
        <v>0</v>
      </c>
      <c r="P136" s="41">
        <f>Table215[[#This Row],[ADD ACC]]*Table215[[#This Row],[RT TIME (744)]]</f>
        <v>0</v>
      </c>
    </row>
    <row r="137" spans="1:16" ht="15.75" customHeight="1" x14ac:dyDescent="0.25">
      <c r="A137" s="38" t="s">
        <v>14071</v>
      </c>
      <c r="B137" s="39" t="s">
        <v>5104</v>
      </c>
      <c r="C137" s="39" t="s">
        <v>2</v>
      </c>
      <c r="D137" s="59">
        <v>1</v>
      </c>
      <c r="E137" s="59" t="s">
        <v>14072</v>
      </c>
      <c r="F137" s="38" t="str">
        <f>VLOOKUP(E:E,Table10[[COUNTRY NAME]:[CONTINENT CODE]],3,FALSE)</f>
        <v>AS</v>
      </c>
      <c r="G137" s="166" t="s">
        <v>14073</v>
      </c>
      <c r="H137" s="40">
        <v>13248</v>
      </c>
      <c r="I137" s="41">
        <v>31.5</v>
      </c>
      <c r="J137" s="157"/>
      <c r="K137" s="42">
        <f>IFERROR(Table215[[#This Row],[ROUTE $]]/Table215[[#This Row],[E - DEMAND]],0)</f>
        <v>0</v>
      </c>
      <c r="L137" s="43">
        <v>3521</v>
      </c>
      <c r="M137" s="39">
        <f>VLOOKUP(Table215[[#This Row],[ROUTE]],DEMAND!A:F,5,FALSE)</f>
        <v>3522</v>
      </c>
      <c r="N137" s="39">
        <f>VLOOKUP(Table215[[#This Row],[ROUTE]],DEMAND!A:F,6,FALSE)</f>
        <v>882</v>
      </c>
      <c r="O137" s="39">
        <f>ROUNDDOWN(Table215[[#This Row],[R-DEMAND]]/1320,0)</f>
        <v>0</v>
      </c>
      <c r="P137" s="41">
        <f>Table215[[#This Row],[ADD ACC]]*Table215[[#This Row],[RT TIME (744)]]</f>
        <v>0</v>
      </c>
    </row>
    <row r="138" spans="1:16" ht="15.75" customHeight="1" x14ac:dyDescent="0.25">
      <c r="A138" s="38" t="s">
        <v>13668</v>
      </c>
      <c r="B138" s="39" t="s">
        <v>5089</v>
      </c>
      <c r="C138" s="39" t="s">
        <v>2</v>
      </c>
      <c r="D138" s="39">
        <v>3</v>
      </c>
      <c r="E138" s="38" t="s">
        <v>2547</v>
      </c>
      <c r="F138" s="38" t="str">
        <f>VLOOKUP(E:E,Table10[[COUNTRY NAME]:[CONTINENT CODE]],3,FALSE)</f>
        <v>AF</v>
      </c>
      <c r="G138" s="155" t="s">
        <v>8242</v>
      </c>
      <c r="H138" s="40">
        <v>5684</v>
      </c>
      <c r="I138" s="41">
        <v>14.75</v>
      </c>
      <c r="J138" s="157">
        <v>195632901</v>
      </c>
      <c r="K138" s="42">
        <f>IFERROR(Table215[[#This Row],[ROUTE $]]/Table215[[#This Row],[E - DEMAND]],0)</f>
        <v>47692.077279375917</v>
      </c>
      <c r="L138" s="43">
        <v>4102</v>
      </c>
      <c r="M138" s="39">
        <f>VLOOKUP(Table215[[#This Row],[ROUTE]],DEMAND!A:F,5,FALSE)</f>
        <v>4282</v>
      </c>
      <c r="N138" s="39">
        <f>VLOOKUP(Table215[[#This Row],[ROUTE]],DEMAND!A:F,6,FALSE)</f>
        <v>322</v>
      </c>
      <c r="O138" s="39">
        <f>ROUNDDOWN(Table215[[#This Row],[R-DEMAND]]/1320,0)</f>
        <v>0</v>
      </c>
      <c r="P138" s="41">
        <f>Table215[[#This Row],[ADD ACC]]*Table215[[#This Row],[RT TIME (744)]]</f>
        <v>0</v>
      </c>
    </row>
    <row r="139" spans="1:16" ht="15.75" customHeight="1" x14ac:dyDescent="0.25">
      <c r="A139" s="38" t="s">
        <v>13669</v>
      </c>
      <c r="B139" s="39" t="s">
        <v>160</v>
      </c>
      <c r="C139" s="39" t="s">
        <v>2</v>
      </c>
      <c r="D139" s="39">
        <v>3</v>
      </c>
      <c r="E139" s="38" t="s">
        <v>5096</v>
      </c>
      <c r="F139" s="38" t="str">
        <f>VLOOKUP(E:E,Table10[[COUNTRY NAME]:[CONTINENT CODE]],3,FALSE)</f>
        <v>AF</v>
      </c>
      <c r="G139" s="155" t="s">
        <v>12011</v>
      </c>
      <c r="H139" s="40">
        <v>10465</v>
      </c>
      <c r="I139" s="41">
        <v>25.25</v>
      </c>
      <c r="J139" s="157">
        <v>241602783</v>
      </c>
      <c r="K139" s="42">
        <f>IFERROR(Table215[[#This Row],[ROUTE $]]/Table215[[#This Row],[E - DEMAND]],0)</f>
        <v>73502.5199269851</v>
      </c>
      <c r="L139" s="43">
        <v>3287</v>
      </c>
      <c r="M139" s="39">
        <f>VLOOKUP(Table215[[#This Row],[ROUTE]],DEMAND!A:F,5,FALSE)</f>
        <v>3486</v>
      </c>
      <c r="N139" s="39">
        <f>VLOOKUP(Table215[[#This Row],[ROUTE]],DEMAND!A:F,6,FALSE)</f>
        <v>846</v>
      </c>
      <c r="O139" s="39">
        <f>ROUNDDOWN(Table215[[#This Row],[R-DEMAND]]/1320,0)</f>
        <v>0</v>
      </c>
      <c r="P139" s="41">
        <f>Table215[[#This Row],[ADD ACC]]*Table215[[#This Row],[RT TIME (744)]]</f>
        <v>0</v>
      </c>
    </row>
    <row r="140" spans="1:16" ht="15.75" customHeight="1" x14ac:dyDescent="0.25">
      <c r="A140" s="38" t="s">
        <v>13670</v>
      </c>
      <c r="B140" s="39" t="s">
        <v>5269</v>
      </c>
      <c r="C140" s="39" t="s">
        <v>2</v>
      </c>
      <c r="D140" s="39">
        <v>3</v>
      </c>
      <c r="E140" s="38" t="s">
        <v>1749</v>
      </c>
      <c r="F140" s="38" t="str">
        <f>VLOOKUP(E:E,Table10[[COUNTRY NAME]:[CONTINENT CODE]],3,FALSE)</f>
        <v>NA</v>
      </c>
      <c r="G140" s="155" t="s">
        <v>13213</v>
      </c>
      <c r="H140" s="40">
        <v>9728</v>
      </c>
      <c r="I140" s="41">
        <v>23.75</v>
      </c>
      <c r="J140" s="157">
        <v>238458201</v>
      </c>
      <c r="K140" s="42">
        <f>IFERROR(Table215[[#This Row],[ROUTE $]]/Table215[[#This Row],[E - DEMAND]],0)</f>
        <v>81468.466347796377</v>
      </c>
      <c r="L140" s="43">
        <v>2927</v>
      </c>
      <c r="M140" s="39">
        <f>VLOOKUP(Table215[[#This Row],[ROUTE]],DEMAND!A:F,5,FALSE)</f>
        <v>3066</v>
      </c>
      <c r="N140" s="39">
        <f>VLOOKUP(Table215[[#This Row],[ROUTE]],DEMAND!A:F,6,FALSE)</f>
        <v>426</v>
      </c>
      <c r="O140" s="39">
        <f>ROUNDDOWN(Table215[[#This Row],[R-DEMAND]]/1320,0)</f>
        <v>0</v>
      </c>
      <c r="P140" s="41">
        <f>Table215[[#This Row],[ADD ACC]]*Table215[[#This Row],[RT TIME (744)]]</f>
        <v>0</v>
      </c>
    </row>
    <row r="141" spans="1:16" ht="15.75" customHeight="1" x14ac:dyDescent="0.25">
      <c r="A141" s="38" t="s">
        <v>13671</v>
      </c>
      <c r="B141" s="39" t="s">
        <v>5114</v>
      </c>
      <c r="C141" s="39" t="s">
        <v>2</v>
      </c>
      <c r="D141" s="39">
        <v>3</v>
      </c>
      <c r="E141" s="38" t="s">
        <v>1749</v>
      </c>
      <c r="F141" s="38" t="str">
        <f>VLOOKUP(E:E,Table10[[COUNTRY NAME]:[CONTINENT CODE]],3,FALSE)</f>
        <v>NA</v>
      </c>
      <c r="G141" s="155" t="s">
        <v>13214</v>
      </c>
      <c r="H141" s="40">
        <v>8575</v>
      </c>
      <c r="I141" s="41">
        <v>21</v>
      </c>
      <c r="J141" s="157">
        <v>223068673</v>
      </c>
      <c r="K141" s="42">
        <f>IFERROR(Table215[[#This Row],[ROUTE $]]/Table215[[#This Row],[E - DEMAND]],0)</f>
        <v>79046.305102764003</v>
      </c>
      <c r="L141" s="43">
        <v>2822</v>
      </c>
      <c r="M141" s="39">
        <f>VLOOKUP(Table215[[#This Row],[ROUTE]],DEMAND!A:F,5,FALSE)</f>
        <v>2983</v>
      </c>
      <c r="N141" s="39">
        <f>VLOOKUP(Table215[[#This Row],[ROUTE]],DEMAND!A:F,6,FALSE)</f>
        <v>343</v>
      </c>
      <c r="O141" s="39">
        <f>ROUNDDOWN(Table215[[#This Row],[R-DEMAND]]/1320,0)</f>
        <v>0</v>
      </c>
      <c r="P141" s="41">
        <f>Table215[[#This Row],[ADD ACC]]*Table215[[#This Row],[RT TIME (744)]]</f>
        <v>0</v>
      </c>
    </row>
    <row r="142" spans="1:16" ht="15.75" customHeight="1" x14ac:dyDescent="0.25">
      <c r="A142" s="38" t="s">
        <v>13673</v>
      </c>
      <c r="B142" s="39" t="s">
        <v>5210</v>
      </c>
      <c r="C142" s="39" t="s">
        <v>2</v>
      </c>
      <c r="D142" s="39">
        <v>3</v>
      </c>
      <c r="E142" s="38" t="s">
        <v>1749</v>
      </c>
      <c r="F142" s="38" t="str">
        <f>VLOOKUP(E:E,Table10[[COUNTRY NAME]:[CONTINENT CODE]],3,FALSE)</f>
        <v>NA</v>
      </c>
      <c r="G142" s="155" t="s">
        <v>13216</v>
      </c>
      <c r="H142" s="40">
        <v>8039</v>
      </c>
      <c r="I142" s="41">
        <v>20</v>
      </c>
      <c r="J142" s="157">
        <v>219671385</v>
      </c>
      <c r="K142" s="42">
        <f>IFERROR(Table215[[#This Row],[ROUTE $]]/Table215[[#This Row],[E - DEMAND]],0)</f>
        <v>79447.155515370701</v>
      </c>
      <c r="L142" s="43">
        <v>2765</v>
      </c>
      <c r="M142" s="39">
        <f>VLOOKUP(Table215[[#This Row],[ROUTE]],DEMAND!A:F,5,FALSE)</f>
        <v>2941</v>
      </c>
      <c r="N142" s="39">
        <f>VLOOKUP(Table215[[#This Row],[ROUTE]],DEMAND!A:F,6,FALSE)</f>
        <v>301</v>
      </c>
      <c r="O142" s="39">
        <f>ROUNDDOWN(Table215[[#This Row],[R-DEMAND]]/1320,0)</f>
        <v>0</v>
      </c>
      <c r="P142" s="41">
        <f>Table215[[#This Row],[ADD ACC]]*Table215[[#This Row],[RT TIME (744)]]</f>
        <v>0</v>
      </c>
    </row>
    <row r="143" spans="1:16" ht="15.75" customHeight="1" x14ac:dyDescent="0.25">
      <c r="A143" s="38" t="s">
        <v>13675</v>
      </c>
      <c r="B143" s="39" t="s">
        <v>5463</v>
      </c>
      <c r="C143" s="39" t="s">
        <v>2</v>
      </c>
      <c r="D143" s="39">
        <v>4</v>
      </c>
      <c r="E143" s="38" t="s">
        <v>1749</v>
      </c>
      <c r="F143" s="38" t="str">
        <f>VLOOKUP(E:E,Table10[[COUNTRY NAME]:[CONTINENT CODE]],3,FALSE)</f>
        <v>NA</v>
      </c>
      <c r="G143" s="155" t="s">
        <v>13218</v>
      </c>
      <c r="H143" s="40">
        <v>7955</v>
      </c>
      <c r="I143" s="41">
        <v>19.75</v>
      </c>
      <c r="J143" s="157">
        <v>226199876</v>
      </c>
      <c r="K143" s="42">
        <f>IFERROR(Table215[[#This Row],[ROUTE $]]/Table215[[#This Row],[E - DEMAND]],0)</f>
        <v>76418.877027027032</v>
      </c>
      <c r="L143" s="43">
        <v>2960</v>
      </c>
      <c r="M143" s="39">
        <f>VLOOKUP(Table215[[#This Row],[ROUTE]],DEMAND!A:F,5,FALSE)</f>
        <v>3119</v>
      </c>
      <c r="N143" s="39">
        <f>VLOOKUP(Table215[[#This Row],[ROUTE]],DEMAND!A:F,6,FALSE)</f>
        <v>479</v>
      </c>
      <c r="O143" s="39">
        <f>ROUNDDOWN(Table215[[#This Row],[R-DEMAND]]/1320,0)</f>
        <v>0</v>
      </c>
      <c r="P143" s="41">
        <f>Table215[[#This Row],[ADD ACC]]*Table215[[#This Row],[RT TIME (744)]]</f>
        <v>0</v>
      </c>
    </row>
    <row r="144" spans="1:16" ht="15.75" customHeight="1" x14ac:dyDescent="0.25">
      <c r="A144" s="38" t="s">
        <v>13676</v>
      </c>
      <c r="B144" s="39" t="s">
        <v>5480</v>
      </c>
      <c r="C144" s="39" t="s">
        <v>2</v>
      </c>
      <c r="D144" s="39">
        <v>4</v>
      </c>
      <c r="E144" s="38" t="s">
        <v>1749</v>
      </c>
      <c r="F144" s="38" t="str">
        <f>VLOOKUP(E:E,Table10[[COUNTRY NAME]:[CONTINENT CODE]],3,FALSE)</f>
        <v>NA</v>
      </c>
      <c r="G144" s="155" t="s">
        <v>13219</v>
      </c>
      <c r="H144" s="40">
        <v>7863</v>
      </c>
      <c r="I144" s="41">
        <v>19.5</v>
      </c>
      <c r="J144" s="157">
        <v>226632627</v>
      </c>
      <c r="K144" s="42">
        <f>IFERROR(Table215[[#This Row],[ROUTE $]]/Table215[[#This Row],[E - DEMAND]],0)</f>
        <v>75898.401540522435</v>
      </c>
      <c r="L144" s="43">
        <v>2986</v>
      </c>
      <c r="M144" s="39">
        <f>VLOOKUP(Table215[[#This Row],[ROUTE]],DEMAND!A:F,5,FALSE)</f>
        <v>3167</v>
      </c>
      <c r="N144" s="39">
        <f>VLOOKUP(Table215[[#This Row],[ROUTE]],DEMAND!A:F,6,FALSE)</f>
        <v>527</v>
      </c>
      <c r="O144" s="39">
        <f>ROUNDDOWN(Table215[[#This Row],[R-DEMAND]]/1320,0)</f>
        <v>0</v>
      </c>
      <c r="P144" s="41">
        <f>Table215[[#This Row],[ADD ACC]]*Table215[[#This Row],[RT TIME (744)]]</f>
        <v>0</v>
      </c>
    </row>
    <row r="145" spans="1:16" ht="15.75" customHeight="1" x14ac:dyDescent="0.25">
      <c r="A145" s="38" t="s">
        <v>13681</v>
      </c>
      <c r="B145" s="39" t="s">
        <v>5070</v>
      </c>
      <c r="C145" s="39" t="s">
        <v>2</v>
      </c>
      <c r="D145" s="39">
        <v>3</v>
      </c>
      <c r="E145" s="38" t="s">
        <v>1749</v>
      </c>
      <c r="F145" s="38" t="str">
        <f>VLOOKUP(E:E,Table10[[COUNTRY NAME]:[CONTINENT CODE]],3,FALSE)</f>
        <v>NA</v>
      </c>
      <c r="G145" s="155" t="s">
        <v>13224</v>
      </c>
      <c r="H145" s="40">
        <v>7470</v>
      </c>
      <c r="I145" s="41">
        <v>18.75</v>
      </c>
      <c r="J145" s="157">
        <v>211355805</v>
      </c>
      <c r="K145" s="42">
        <f>IFERROR(Table215[[#This Row],[ROUTE $]]/Table215[[#This Row],[E - DEMAND]],0)</f>
        <v>78454.270601336306</v>
      </c>
      <c r="L145" s="43">
        <v>2694</v>
      </c>
      <c r="M145" s="39">
        <f>VLOOKUP(Table215[[#This Row],[ROUTE]],DEMAND!A:F,5,FALSE)</f>
        <v>2794</v>
      </c>
      <c r="N145" s="39">
        <f>VLOOKUP(Table215[[#This Row],[ROUTE]],DEMAND!A:F,6,FALSE)</f>
        <v>154</v>
      </c>
      <c r="O145" s="39">
        <f>ROUNDDOWN(Table215[[#This Row],[R-DEMAND]]/1320,0)</f>
        <v>0</v>
      </c>
      <c r="P145" s="41">
        <f>Table215[[#This Row],[ADD ACC]]*Table215[[#This Row],[RT TIME (744)]]</f>
        <v>0</v>
      </c>
    </row>
    <row r="146" spans="1:16" ht="15.75" customHeight="1" x14ac:dyDescent="0.25">
      <c r="A146" s="38" t="s">
        <v>13682</v>
      </c>
      <c r="B146" s="39" t="s">
        <v>5703</v>
      </c>
      <c r="C146" s="39" t="s">
        <v>2</v>
      </c>
      <c r="D146" s="39">
        <v>5</v>
      </c>
      <c r="E146" s="38" t="s">
        <v>1749</v>
      </c>
      <c r="F146" s="38" t="str">
        <f>VLOOKUP(E:E,Table10[[COUNTRY NAME]:[CONTINENT CODE]],3,FALSE)</f>
        <v>NA</v>
      </c>
      <c r="G146" s="155" t="s">
        <v>13225</v>
      </c>
      <c r="H146" s="40">
        <v>7435</v>
      </c>
      <c r="I146" s="41">
        <v>18.5</v>
      </c>
      <c r="J146" s="157">
        <v>240480843</v>
      </c>
      <c r="K146" s="42">
        <f>IFERROR(Table215[[#This Row],[ROUTE $]]/Table215[[#This Row],[E - DEMAND]],0)</f>
        <v>69563.44894417125</v>
      </c>
      <c r="L146" s="43">
        <v>3457</v>
      </c>
      <c r="M146" s="39">
        <f>VLOOKUP(Table215[[#This Row],[ROUTE]],DEMAND!A:F,5,FALSE)</f>
        <v>3459</v>
      </c>
      <c r="N146" s="39">
        <f>VLOOKUP(Table215[[#This Row],[ROUTE]],DEMAND!A:F,6,FALSE)</f>
        <v>819</v>
      </c>
      <c r="O146" s="39">
        <f>ROUNDDOWN(Table215[[#This Row],[R-DEMAND]]/1320,0)</f>
        <v>0</v>
      </c>
      <c r="P146" s="41">
        <f>Table215[[#This Row],[ADD ACC]]*Table215[[#This Row],[RT TIME (744)]]</f>
        <v>0</v>
      </c>
    </row>
    <row r="147" spans="1:16" ht="15.75" customHeight="1" x14ac:dyDescent="0.25">
      <c r="A147" s="38" t="s">
        <v>13685</v>
      </c>
      <c r="B147" s="39" t="s">
        <v>4735</v>
      </c>
      <c r="C147" s="39" t="s">
        <v>2</v>
      </c>
      <c r="D147" s="39">
        <v>3</v>
      </c>
      <c r="E147" s="38" t="s">
        <v>1749</v>
      </c>
      <c r="F147" s="38" t="str">
        <f>VLOOKUP(E:E,Table10[[COUNTRY NAME]:[CONTINENT CODE]],3,FALSE)</f>
        <v>NA</v>
      </c>
      <c r="G147" s="155" t="s">
        <v>13228</v>
      </c>
      <c r="H147" s="40">
        <v>6800</v>
      </c>
      <c r="I147" s="41">
        <v>17.25</v>
      </c>
      <c r="J147" s="157">
        <v>199006508</v>
      </c>
      <c r="K147" s="42">
        <f>IFERROR(Table215[[#This Row],[ROUTE $]]/Table215[[#This Row],[E - DEMAND]],0)</f>
        <v>78072.384464495874</v>
      </c>
      <c r="L147" s="43">
        <v>2549</v>
      </c>
      <c r="M147" s="39">
        <f>VLOOKUP(Table215[[#This Row],[ROUTE]],DEMAND!A:F,5,FALSE)</f>
        <v>2687</v>
      </c>
      <c r="N147" s="39">
        <f>VLOOKUP(Table215[[#This Row],[ROUTE]],DEMAND!A:F,6,FALSE)</f>
        <v>47</v>
      </c>
      <c r="O147" s="39">
        <f>ROUNDDOWN(Table215[[#This Row],[R-DEMAND]]/1320,0)</f>
        <v>0</v>
      </c>
      <c r="P147" s="41">
        <f>Table215[[#This Row],[ADD ACC]]*Table215[[#This Row],[RT TIME (744)]]</f>
        <v>0</v>
      </c>
    </row>
    <row r="148" spans="1:16" ht="15.75" customHeight="1" x14ac:dyDescent="0.25">
      <c r="A148" s="38" t="s">
        <v>13686</v>
      </c>
      <c r="B148" s="39" t="s">
        <v>5616</v>
      </c>
      <c r="C148" s="39" t="s">
        <v>2</v>
      </c>
      <c r="D148" s="39">
        <v>4</v>
      </c>
      <c r="E148" s="38" t="s">
        <v>1749</v>
      </c>
      <c r="F148" s="38" t="str">
        <f>VLOOKUP(E:E,Table10[[COUNTRY NAME]:[CONTINENT CODE]],3,FALSE)</f>
        <v>NA</v>
      </c>
      <c r="G148" s="155" t="s">
        <v>13229</v>
      </c>
      <c r="H148" s="40">
        <v>6604</v>
      </c>
      <c r="I148" s="41">
        <v>16.75</v>
      </c>
      <c r="J148" s="157">
        <v>220975587</v>
      </c>
      <c r="K148" s="42">
        <f>IFERROR(Table215[[#This Row],[ROUTE $]]/Table215[[#This Row],[E - DEMAND]],0)</f>
        <v>69598.610078740152</v>
      </c>
      <c r="L148" s="43">
        <v>3175</v>
      </c>
      <c r="M148" s="39">
        <f>VLOOKUP(Table215[[#This Row],[ROUTE]],DEMAND!A:F,5,FALSE)</f>
        <v>3303</v>
      </c>
      <c r="N148" s="39">
        <f>VLOOKUP(Table215[[#This Row],[ROUTE]],DEMAND!A:F,6,FALSE)</f>
        <v>663</v>
      </c>
      <c r="O148" s="39">
        <f>ROUNDDOWN(Table215[[#This Row],[R-DEMAND]]/1320,0)</f>
        <v>0</v>
      </c>
      <c r="P148" s="41">
        <f>Table215[[#This Row],[ADD ACC]]*Table215[[#This Row],[RT TIME (744)]]</f>
        <v>0</v>
      </c>
    </row>
    <row r="149" spans="1:16" ht="15.75" customHeight="1" x14ac:dyDescent="0.25">
      <c r="A149" s="38" t="s">
        <v>13694</v>
      </c>
      <c r="B149" s="39" t="s">
        <v>359</v>
      </c>
      <c r="C149" s="39" t="s">
        <v>2</v>
      </c>
      <c r="D149" s="39">
        <v>3</v>
      </c>
      <c r="E149" s="38" t="s">
        <v>608</v>
      </c>
      <c r="F149" s="38" t="str">
        <f>VLOOKUP(E:E,Table10[[COUNTRY NAME]:[CONTINENT CODE]],3,FALSE)</f>
        <v>AF</v>
      </c>
      <c r="G149" s="155" t="s">
        <v>11676</v>
      </c>
      <c r="H149" s="40">
        <v>7541</v>
      </c>
      <c r="I149" s="41">
        <v>18.75</v>
      </c>
      <c r="J149" s="157">
        <v>222024321</v>
      </c>
      <c r="K149" s="42">
        <f>IFERROR(Table215[[#This Row],[ROUTE $]]/Table215[[#This Row],[E - DEMAND]],0)</f>
        <v>57939.540970772439</v>
      </c>
      <c r="L149" s="43">
        <v>3832</v>
      </c>
      <c r="M149" s="39">
        <f>VLOOKUP(Table215[[#This Row],[ROUTE]],DEMAND!A:F,5,FALSE)</f>
        <v>4063</v>
      </c>
      <c r="N149" s="39">
        <f>VLOOKUP(Table215[[#This Row],[ROUTE]],DEMAND!A:F,6,FALSE)</f>
        <v>103</v>
      </c>
      <c r="O149" s="39">
        <f>ROUNDDOWN(Table215[[#This Row],[R-DEMAND]]/1320,0)</f>
        <v>0</v>
      </c>
      <c r="P149" s="41">
        <f>Table215[[#This Row],[ADD ACC]]*Table215[[#This Row],[RT TIME (744)]]</f>
        <v>0</v>
      </c>
    </row>
    <row r="150" spans="1:16" ht="15.75" customHeight="1" x14ac:dyDescent="0.25">
      <c r="A150" s="38" t="s">
        <v>13696</v>
      </c>
      <c r="B150" s="39" t="s">
        <v>5155</v>
      </c>
      <c r="C150" s="39" t="s">
        <v>2</v>
      </c>
      <c r="D150" s="39">
        <v>3</v>
      </c>
      <c r="E150" s="38" t="s">
        <v>608</v>
      </c>
      <c r="F150" s="38" t="str">
        <f>VLOOKUP(E:E,Table10[[COUNTRY NAME]:[CONTINENT CODE]],3,FALSE)</f>
        <v>AF</v>
      </c>
      <c r="G150" s="155" t="s">
        <v>11675</v>
      </c>
      <c r="H150" s="40">
        <v>7361</v>
      </c>
      <c r="I150" s="41">
        <v>18.5</v>
      </c>
      <c r="J150" s="157">
        <v>212406191</v>
      </c>
      <c r="K150" s="42">
        <f>IFERROR(Table215[[#This Row],[ROUTE $]]/Table215[[#This Row],[E - DEMAND]],0)</f>
        <v>59281.660898688249</v>
      </c>
      <c r="L150" s="43">
        <v>3583</v>
      </c>
      <c r="M150" s="39">
        <f>VLOOKUP(Table215[[#This Row],[ROUTE]],DEMAND!A:F,5,FALSE)</f>
        <v>3824</v>
      </c>
      <c r="N150" s="39">
        <f>VLOOKUP(Table215[[#This Row],[ROUTE]],DEMAND!A:F,6,FALSE)</f>
        <v>1184</v>
      </c>
      <c r="O150" s="39">
        <f>ROUNDDOWN(Table215[[#This Row],[R-DEMAND]]/1320,0)</f>
        <v>0</v>
      </c>
      <c r="P150" s="41">
        <f>Table215[[#This Row],[ADD ACC]]*Table215[[#This Row],[RT TIME (744)]]</f>
        <v>0</v>
      </c>
    </row>
    <row r="151" spans="1:16" ht="15.75" customHeight="1" x14ac:dyDescent="0.25">
      <c r="A151" s="38" t="s">
        <v>13697</v>
      </c>
      <c r="B151" s="39" t="s">
        <v>4816</v>
      </c>
      <c r="C151" s="39" t="s">
        <v>2</v>
      </c>
      <c r="D151" s="39">
        <v>3</v>
      </c>
      <c r="E151" s="38" t="s">
        <v>608</v>
      </c>
      <c r="F151" s="38" t="str">
        <f>VLOOKUP(E:E,Table10[[COUNTRY NAME]:[CONTINENT CODE]],3,FALSE)</f>
        <v>AF</v>
      </c>
      <c r="G151" s="155" t="s">
        <v>11674</v>
      </c>
      <c r="H151" s="40">
        <v>7168</v>
      </c>
      <c r="I151" s="41">
        <v>18</v>
      </c>
      <c r="J151" s="157">
        <v>204412412</v>
      </c>
      <c r="K151" s="42">
        <f>IFERROR(Table215[[#This Row],[ROUTE $]]/Table215[[#This Row],[E - DEMAND]],0)</f>
        <v>60334.24203069658</v>
      </c>
      <c r="L151" s="43">
        <v>3388</v>
      </c>
      <c r="M151" s="39">
        <f>VLOOKUP(Table215[[#This Row],[ROUTE]],DEMAND!A:F,5,FALSE)</f>
        <v>3570</v>
      </c>
      <c r="N151" s="39">
        <f>VLOOKUP(Table215[[#This Row],[ROUTE]],DEMAND!A:F,6,FALSE)</f>
        <v>930</v>
      </c>
      <c r="O151" s="39">
        <f>ROUNDDOWN(Table215[[#This Row],[R-DEMAND]]/1320,0)</f>
        <v>0</v>
      </c>
      <c r="P151" s="41">
        <f>Table215[[#This Row],[ADD ACC]]*Table215[[#This Row],[RT TIME (744)]]</f>
        <v>0</v>
      </c>
    </row>
    <row r="152" spans="1:16" ht="15.75" customHeight="1" x14ac:dyDescent="0.25">
      <c r="A152" s="38" t="s">
        <v>13701</v>
      </c>
      <c r="B152" s="39" t="s">
        <v>446</v>
      </c>
      <c r="C152" s="39" t="s">
        <v>2</v>
      </c>
      <c r="D152" s="39">
        <v>5</v>
      </c>
      <c r="E152" s="38" t="s">
        <v>3204</v>
      </c>
      <c r="F152" s="38" t="str">
        <f>VLOOKUP(E:E,Table10[[COUNTRY NAME]:[CONTINENT CODE]],3,FALSE)</f>
        <v>EU</v>
      </c>
      <c r="G152" s="155" t="s">
        <v>11111</v>
      </c>
      <c r="H152" s="40">
        <v>9777</v>
      </c>
      <c r="I152" s="41">
        <v>23.75</v>
      </c>
      <c r="J152" s="157">
        <v>274521919</v>
      </c>
      <c r="K152" s="42">
        <f>IFERROR(Table215[[#This Row],[ROUTE $]]/Table215[[#This Row],[E - DEMAND]],0)</f>
        <v>85467.596201743465</v>
      </c>
      <c r="L152" s="43">
        <v>3212</v>
      </c>
      <c r="M152" s="39">
        <f>VLOOKUP(Table215[[#This Row],[ROUTE]],DEMAND!A:F,5,FALSE)</f>
        <v>3213</v>
      </c>
      <c r="N152" s="39">
        <f>VLOOKUP(Table215[[#This Row],[ROUTE]],DEMAND!A:F,6,FALSE)</f>
        <v>573</v>
      </c>
      <c r="O152" s="39">
        <f>ROUNDDOWN(Table215[[#This Row],[R-DEMAND]]/1320,0)</f>
        <v>0</v>
      </c>
      <c r="P152" s="41">
        <f>Table215[[#This Row],[ADD ACC]]*Table215[[#This Row],[RT TIME (744)]]</f>
        <v>0</v>
      </c>
    </row>
    <row r="153" spans="1:16" ht="15" customHeight="1" x14ac:dyDescent="0.25">
      <c r="A153" s="38" t="s">
        <v>13703</v>
      </c>
      <c r="B153" s="39" t="s">
        <v>4621</v>
      </c>
      <c r="C153" s="39" t="s">
        <v>2</v>
      </c>
      <c r="D153" s="39">
        <v>2</v>
      </c>
      <c r="E153" s="38" t="s">
        <v>2324</v>
      </c>
      <c r="F153" s="38" t="str">
        <f>VLOOKUP(E:E,Table10[[COUNTRY NAME]:[CONTINENT CODE]],3,FALSE)</f>
        <v>NA</v>
      </c>
      <c r="G153" s="155" t="s">
        <v>13230</v>
      </c>
      <c r="H153" s="40">
        <v>4657</v>
      </c>
      <c r="I153" s="41">
        <v>12.5</v>
      </c>
      <c r="J153" s="157">
        <v>176514201</v>
      </c>
      <c r="K153" s="42">
        <f>IFERROR(Table215[[#This Row],[ROUTE $]]/Table215[[#This Row],[E - DEMAND]],0)</f>
        <v>75854.834980661792</v>
      </c>
      <c r="L153" s="43">
        <v>2327</v>
      </c>
      <c r="M153" s="39">
        <f>VLOOKUP(Table215[[#This Row],[ROUTE]],DEMAND!A:F,5,FALSE)</f>
        <v>2467</v>
      </c>
      <c r="N153" s="39">
        <f>VLOOKUP(Table215[[#This Row],[ROUTE]],DEMAND!A:F,6,FALSE)</f>
        <v>1147</v>
      </c>
      <c r="O153" s="39">
        <f>ROUNDDOWN(Table215[[#This Row],[R-DEMAND]]/1320,0)</f>
        <v>0</v>
      </c>
      <c r="P153" s="41">
        <f>Table215[[#This Row],[ADD ACC]]*Table215[[#This Row],[RT TIME (744)]]</f>
        <v>0</v>
      </c>
    </row>
    <row r="154" spans="1:16" ht="15" customHeight="1" x14ac:dyDescent="0.25">
      <c r="A154" s="38" t="s">
        <v>13705</v>
      </c>
      <c r="B154" s="39" t="s">
        <v>452</v>
      </c>
      <c r="C154" s="39" t="s">
        <v>2</v>
      </c>
      <c r="D154" s="39">
        <v>4</v>
      </c>
      <c r="E154" s="38" t="s">
        <v>730</v>
      </c>
      <c r="F154" s="38" t="str">
        <f>VLOOKUP(E:E,Table10[[COUNTRY NAME]:[CONTINENT CODE]],3,FALSE)</f>
        <v>OC</v>
      </c>
      <c r="G154" s="155" t="s">
        <v>11116</v>
      </c>
      <c r="H154" s="40">
        <v>12028</v>
      </c>
      <c r="I154" s="41">
        <v>28.75</v>
      </c>
      <c r="J154" s="157">
        <v>277208395</v>
      </c>
      <c r="K154" s="42">
        <f>IFERROR(Table215[[#This Row],[ROUTE $]]/Table215[[#This Row],[E - DEMAND]],0)</f>
        <v>76260.906464924352</v>
      </c>
      <c r="L154" s="43">
        <v>3635</v>
      </c>
      <c r="M154" s="39">
        <f>VLOOKUP(Table215[[#This Row],[ROUTE]],DEMAND!A:F,5,FALSE)</f>
        <v>3636</v>
      </c>
      <c r="N154" s="39">
        <f>VLOOKUP(Table215[[#This Row],[ROUTE]],DEMAND!A:F,6,FALSE)</f>
        <v>996</v>
      </c>
      <c r="O154" s="39">
        <f>ROUNDDOWN(Table215[[#This Row],[R-DEMAND]]/1320,0)</f>
        <v>0</v>
      </c>
      <c r="P154" s="41">
        <f>Table215[[#This Row],[ADD ACC]]*Table215[[#This Row],[RT TIME (744)]]</f>
        <v>0</v>
      </c>
    </row>
    <row r="155" spans="1:16" ht="15" customHeight="1" x14ac:dyDescent="0.25">
      <c r="A155" s="38" t="s">
        <v>13706</v>
      </c>
      <c r="B155" s="39" t="s">
        <v>364</v>
      </c>
      <c r="C155" s="39" t="s">
        <v>2</v>
      </c>
      <c r="D155" s="39">
        <v>3</v>
      </c>
      <c r="E155" s="38" t="s">
        <v>730</v>
      </c>
      <c r="F155" s="38" t="str">
        <f>VLOOKUP(E:E,Table10[[COUNTRY NAME]:[CONTINENT CODE]],3,FALSE)</f>
        <v>OC</v>
      </c>
      <c r="G155" s="155" t="s">
        <v>11933</v>
      </c>
      <c r="H155" s="40">
        <v>11579</v>
      </c>
      <c r="I155" s="41">
        <v>27.75</v>
      </c>
      <c r="J155" s="157">
        <v>262600532</v>
      </c>
      <c r="K155" s="42">
        <f>IFERROR(Table215[[#This Row],[ROUTE $]]/Table215[[#This Row],[E - DEMAND]],0)</f>
        <v>80158.892551892553</v>
      </c>
      <c r="L155" s="43">
        <v>3276</v>
      </c>
      <c r="M155" s="39">
        <f>VLOOKUP(Table215[[#This Row],[ROUTE]],DEMAND!A:F,5,FALSE)</f>
        <v>3276</v>
      </c>
      <c r="N155" s="39">
        <f>VLOOKUP(Table215[[#This Row],[ROUTE]],DEMAND!A:F,6,FALSE)</f>
        <v>636</v>
      </c>
      <c r="O155" s="39">
        <f>ROUNDDOWN(Table215[[#This Row],[R-DEMAND]]/1320,0)</f>
        <v>0</v>
      </c>
      <c r="P155" s="41">
        <f>Table215[[#This Row],[ADD ACC]]*Table215[[#This Row],[RT TIME (744)]]</f>
        <v>0</v>
      </c>
    </row>
    <row r="156" spans="1:16" ht="15" customHeight="1" x14ac:dyDescent="0.25">
      <c r="A156" s="38" t="s">
        <v>13709</v>
      </c>
      <c r="B156" s="39" t="s">
        <v>5452</v>
      </c>
      <c r="C156" s="39" t="s">
        <v>2</v>
      </c>
      <c r="D156" s="39">
        <v>4</v>
      </c>
      <c r="E156" s="38" t="s">
        <v>2059</v>
      </c>
      <c r="F156" s="38" t="str">
        <f>VLOOKUP(E:E,Table10[[COUNTRY NAME]:[CONTINENT CODE]],3,FALSE)</f>
        <v>AF</v>
      </c>
      <c r="G156" s="155" t="s">
        <v>11073</v>
      </c>
      <c r="H156" s="40">
        <v>7164</v>
      </c>
      <c r="I156" s="41">
        <v>18</v>
      </c>
      <c r="J156" s="157">
        <v>219888901</v>
      </c>
      <c r="K156" s="42">
        <f>IFERROR(Table215[[#This Row],[ROUTE $]]/Table215[[#This Row],[E - DEMAND]],0)</f>
        <v>49591.542850699145</v>
      </c>
      <c r="L156" s="43">
        <v>4434</v>
      </c>
      <c r="M156" s="39">
        <f>VLOOKUP(Table215[[#This Row],[ROUTE]],DEMAND!A:F,5,FALSE)</f>
        <v>4613</v>
      </c>
      <c r="N156" s="39">
        <f>VLOOKUP(Table215[[#This Row],[ROUTE]],DEMAND!A:F,6,FALSE)</f>
        <v>653</v>
      </c>
      <c r="O156" s="39">
        <f>ROUNDDOWN(Table215[[#This Row],[R-DEMAND]]/1320,0)</f>
        <v>0</v>
      </c>
      <c r="P156" s="41">
        <f>Table215[[#This Row],[ADD ACC]]*Table215[[#This Row],[RT TIME (744)]]</f>
        <v>0</v>
      </c>
    </row>
    <row r="157" spans="1:16" ht="15" customHeight="1" x14ac:dyDescent="0.25">
      <c r="A157" s="38" t="s">
        <v>13711</v>
      </c>
      <c r="B157" s="39" t="s">
        <v>5267</v>
      </c>
      <c r="C157" s="39" t="s">
        <v>2</v>
      </c>
      <c r="D157" s="39">
        <v>3</v>
      </c>
      <c r="E157" s="38" t="s">
        <v>2059</v>
      </c>
      <c r="F157" s="38" t="str">
        <f>VLOOKUP(E:E,Table10[[COUNTRY NAME]:[CONTINENT CODE]],3,FALSE)</f>
        <v>AF</v>
      </c>
      <c r="G157" s="155" t="s">
        <v>11753</v>
      </c>
      <c r="H157" s="40">
        <v>6864</v>
      </c>
      <c r="I157" s="41">
        <v>17.25</v>
      </c>
      <c r="J157" s="157">
        <v>211858689</v>
      </c>
      <c r="K157" s="42">
        <f>IFERROR(Table215[[#This Row],[ROUTE $]]/Table215[[#This Row],[E - DEMAND]],0)</f>
        <v>49943.11386138614</v>
      </c>
      <c r="L157" s="43">
        <v>4242</v>
      </c>
      <c r="M157" s="39">
        <f>VLOOKUP(Table215[[#This Row],[ROUTE]],DEMAND!A:F,5,FALSE)</f>
        <v>4428</v>
      </c>
      <c r="N157" s="39">
        <f>VLOOKUP(Table215[[#This Row],[ROUTE]],DEMAND!A:F,6,FALSE)</f>
        <v>468</v>
      </c>
      <c r="O157" s="39">
        <f>ROUNDDOWN(Table215[[#This Row],[R-DEMAND]]/1320,0)</f>
        <v>0</v>
      </c>
      <c r="P157" s="41">
        <f>Table215[[#This Row],[ADD ACC]]*Table215[[#This Row],[RT TIME (744)]]</f>
        <v>0</v>
      </c>
    </row>
    <row r="158" spans="1:16" ht="15" customHeight="1" x14ac:dyDescent="0.25">
      <c r="A158" s="38" t="s">
        <v>13713</v>
      </c>
      <c r="B158" s="39" t="s">
        <v>484</v>
      </c>
      <c r="C158" s="39" t="s">
        <v>2</v>
      </c>
      <c r="D158" s="39">
        <v>4</v>
      </c>
      <c r="E158" s="38" t="s">
        <v>2059</v>
      </c>
      <c r="F158" s="38" t="str">
        <f>VLOOKUP(E:E,Table10[[COUNTRY NAME]:[CONTINENT CODE]],3,FALSE)</f>
        <v>AF</v>
      </c>
      <c r="G158" s="155" t="s">
        <v>11064</v>
      </c>
      <c r="H158" s="40">
        <v>6352</v>
      </c>
      <c r="I158" s="41">
        <v>16.25</v>
      </c>
      <c r="J158" s="157">
        <v>211835935</v>
      </c>
      <c r="K158" s="42">
        <f>IFERROR(Table215[[#This Row],[ROUTE $]]/Table215[[#This Row],[E - DEMAND]],0)</f>
        <v>47872.527683615823</v>
      </c>
      <c r="L158" s="43">
        <v>4425</v>
      </c>
      <c r="M158" s="39">
        <f>VLOOKUP(Table215[[#This Row],[ROUTE]],DEMAND!A:F,5,FALSE)</f>
        <v>4707</v>
      </c>
      <c r="N158" s="39">
        <f>VLOOKUP(Table215[[#This Row],[ROUTE]],DEMAND!A:F,6,FALSE)</f>
        <v>747</v>
      </c>
      <c r="O158" s="39">
        <f>ROUNDDOWN(Table215[[#This Row],[R-DEMAND]]/1320,0)</f>
        <v>0</v>
      </c>
      <c r="P158" s="41">
        <f>Table215[[#This Row],[ADD ACC]]*Table215[[#This Row],[RT TIME (744)]]</f>
        <v>0</v>
      </c>
    </row>
    <row r="159" spans="1:16" ht="15" customHeight="1" x14ac:dyDescent="0.25">
      <c r="A159" s="38" t="s">
        <v>13712</v>
      </c>
      <c r="B159" s="39" t="s">
        <v>4629</v>
      </c>
      <c r="C159" s="39" t="s">
        <v>2</v>
      </c>
      <c r="D159" s="39">
        <v>2</v>
      </c>
      <c r="E159" s="38" t="s">
        <v>2059</v>
      </c>
      <c r="F159" s="38" t="str">
        <f>VLOOKUP(E:E,Table10[[COUNTRY NAME]:[CONTINENT CODE]],3,FALSE)</f>
        <v>AF</v>
      </c>
      <c r="G159" s="155" t="s">
        <v>11754</v>
      </c>
      <c r="H159" s="40">
        <v>6599</v>
      </c>
      <c r="I159" s="41">
        <v>16.75</v>
      </c>
      <c r="J159" s="157"/>
      <c r="K159" s="42">
        <f>IFERROR(Table215[[#This Row],[ROUTE $]]/Table215[[#This Row],[E - DEMAND]],0)</f>
        <v>0</v>
      </c>
      <c r="L159" s="43"/>
      <c r="M159" s="39">
        <f>VLOOKUP(Table215[[#This Row],[ROUTE]],DEMAND!A:F,5,FALSE)</f>
        <v>4037</v>
      </c>
      <c r="N159" s="39">
        <f>VLOOKUP(Table215[[#This Row],[ROUTE]],DEMAND!A:F,6,FALSE)</f>
        <v>77</v>
      </c>
      <c r="O159" s="39">
        <f>ROUNDDOWN(Table215[[#This Row],[R-DEMAND]]/1320,0)</f>
        <v>0</v>
      </c>
      <c r="P159" s="41">
        <f>Table215[[#This Row],[ADD ACC]]*Table215[[#This Row],[RT TIME (744)]]</f>
        <v>0</v>
      </c>
    </row>
    <row r="160" spans="1:16" ht="15" customHeight="1" x14ac:dyDescent="0.25">
      <c r="A160" s="38" t="s">
        <v>13717</v>
      </c>
      <c r="B160" s="39" t="s">
        <v>5234</v>
      </c>
      <c r="C160" s="39" t="s">
        <v>2</v>
      </c>
      <c r="D160" s="39">
        <v>3</v>
      </c>
      <c r="E160" s="38" t="s">
        <v>605</v>
      </c>
      <c r="F160" s="38" t="str">
        <f>VLOOKUP(E:E,Table10[[COUNTRY NAME]:[CONTINENT CODE]],3,FALSE)</f>
        <v>EU</v>
      </c>
      <c r="G160" s="155" t="s">
        <v>11779</v>
      </c>
      <c r="H160" s="40">
        <v>10872</v>
      </c>
      <c r="I160" s="41">
        <v>26.25</v>
      </c>
      <c r="J160" s="157">
        <v>250072984</v>
      </c>
      <c r="K160" s="42">
        <f>IFERROR(Table215[[#This Row],[ROUTE $]]/Table215[[#This Row],[E - DEMAND]],0)</f>
        <v>82915.445623342181</v>
      </c>
      <c r="L160" s="43">
        <v>3016</v>
      </c>
      <c r="M160" s="39">
        <f>VLOOKUP(Table215[[#This Row],[ROUTE]],DEMAND!A:F,5,FALSE)</f>
        <v>3117</v>
      </c>
      <c r="N160" s="39">
        <f>VLOOKUP(Table215[[#This Row],[ROUTE]],DEMAND!A:F,6,FALSE)</f>
        <v>477</v>
      </c>
      <c r="O160" s="39">
        <f>ROUNDDOWN(Table215[[#This Row],[R-DEMAND]]/1320,0)</f>
        <v>0</v>
      </c>
      <c r="P160" s="41">
        <f>Table215[[#This Row],[ADD ACC]]*Table215[[#This Row],[RT TIME (744)]]</f>
        <v>0</v>
      </c>
    </row>
    <row r="161" spans="1:16" ht="15" customHeight="1" x14ac:dyDescent="0.25">
      <c r="A161" s="38" t="s">
        <v>13718</v>
      </c>
      <c r="B161" s="39" t="s">
        <v>140</v>
      </c>
      <c r="C161" s="39" t="s">
        <v>2</v>
      </c>
      <c r="D161" s="39">
        <v>4</v>
      </c>
      <c r="E161" s="38" t="s">
        <v>605</v>
      </c>
      <c r="F161" s="38" t="str">
        <f>VLOOKUP(E:E,Table10[[COUNTRY NAME]:[CONTINENT CODE]],3,FALSE)</f>
        <v>EU</v>
      </c>
      <c r="G161" s="155" t="s">
        <v>11051</v>
      </c>
      <c r="H161" s="40">
        <v>10651</v>
      </c>
      <c r="I161" s="41">
        <v>25.75</v>
      </c>
      <c r="J161" s="157">
        <v>268590519</v>
      </c>
      <c r="K161" s="42">
        <f>IFERROR(Table215[[#This Row],[ROUTE $]]/Table215[[#This Row],[E - DEMAND]],0)</f>
        <v>75637.994649394532</v>
      </c>
      <c r="L161" s="43">
        <v>3551</v>
      </c>
      <c r="M161" s="39">
        <f>VLOOKUP(Table215[[#This Row],[ROUTE]],DEMAND!A:F,5,FALSE)</f>
        <v>3695</v>
      </c>
      <c r="N161" s="39">
        <f>VLOOKUP(Table215[[#This Row],[ROUTE]],DEMAND!A:F,6,FALSE)</f>
        <v>1055</v>
      </c>
      <c r="O161" s="39">
        <f>ROUNDDOWN(Table215[[#This Row],[R-DEMAND]]/1320,0)</f>
        <v>0</v>
      </c>
      <c r="P161" s="41">
        <f>Table215[[#This Row],[ADD ACC]]*Table215[[#This Row],[RT TIME (744)]]</f>
        <v>0</v>
      </c>
    </row>
    <row r="162" spans="1:16" ht="15" customHeight="1" x14ac:dyDescent="0.25">
      <c r="A162" s="38" t="s">
        <v>13720</v>
      </c>
      <c r="B162" s="39" t="s">
        <v>5356</v>
      </c>
      <c r="C162" s="39" t="s">
        <v>2</v>
      </c>
      <c r="D162" s="39">
        <v>3</v>
      </c>
      <c r="E162" s="38" t="s">
        <v>605</v>
      </c>
      <c r="F162" s="38" t="str">
        <f>VLOOKUP(E:E,Table10[[COUNTRY NAME]:[CONTINENT CODE]],3,FALSE)</f>
        <v>EU</v>
      </c>
      <c r="G162" s="155" t="s">
        <v>11742</v>
      </c>
      <c r="H162" s="40">
        <v>10415</v>
      </c>
      <c r="I162" s="41">
        <v>25.25</v>
      </c>
      <c r="J162" s="157">
        <v>249102706</v>
      </c>
      <c r="K162" s="42">
        <f>IFERROR(Table215[[#This Row],[ROUTE $]]/Table215[[#This Row],[E - DEMAND]],0)</f>
        <v>82896.075207986694</v>
      </c>
      <c r="L162" s="43">
        <v>3005</v>
      </c>
      <c r="M162" s="39">
        <f>VLOOKUP(Table215[[#This Row],[ROUTE]],DEMAND!A:F,5,FALSE)</f>
        <v>3126</v>
      </c>
      <c r="N162" s="39">
        <f>VLOOKUP(Table215[[#This Row],[ROUTE]],DEMAND!A:F,6,FALSE)</f>
        <v>486</v>
      </c>
      <c r="O162" s="39">
        <f>ROUNDDOWN(Table215[[#This Row],[R-DEMAND]]/1320,0)</f>
        <v>0</v>
      </c>
      <c r="P162" s="41">
        <f>Table215[[#This Row],[ADD ACC]]*Table215[[#This Row],[RT TIME (744)]]</f>
        <v>0</v>
      </c>
    </row>
    <row r="163" spans="1:16" ht="15" customHeight="1" x14ac:dyDescent="0.25">
      <c r="A163" s="38" t="s">
        <v>13721</v>
      </c>
      <c r="B163" s="39" t="s">
        <v>180</v>
      </c>
      <c r="C163" s="39" t="s">
        <v>2</v>
      </c>
      <c r="D163" s="39">
        <v>3</v>
      </c>
      <c r="E163" s="38" t="s">
        <v>1456</v>
      </c>
      <c r="F163" s="38" t="str">
        <f>VLOOKUP(E:E,Table10[[COUNTRY NAME]:[CONTINENT CODE]],3,FALSE)</f>
        <v>AS</v>
      </c>
      <c r="G163" s="155" t="s">
        <v>11992</v>
      </c>
      <c r="H163" s="40">
        <v>12447</v>
      </c>
      <c r="I163" s="41">
        <v>29.75</v>
      </c>
      <c r="J163" s="157">
        <v>266570774</v>
      </c>
      <c r="K163" s="42">
        <f>IFERROR(Table215[[#This Row],[ROUTE $]]/Table215[[#This Row],[E - DEMAND]],0)</f>
        <v>78035.940866510544</v>
      </c>
      <c r="L163" s="43">
        <v>3416</v>
      </c>
      <c r="M163" s="39">
        <f>VLOOKUP(Table215[[#This Row],[ROUTE]],DEMAND!A:F,5,FALSE)</f>
        <v>3565</v>
      </c>
      <c r="N163" s="39">
        <f>VLOOKUP(Table215[[#This Row],[ROUTE]],DEMAND!A:F,6,FALSE)</f>
        <v>925</v>
      </c>
      <c r="O163" s="39">
        <f>ROUNDDOWN(Table215[[#This Row],[R-DEMAND]]/1320,0)</f>
        <v>0</v>
      </c>
      <c r="P163" s="41">
        <f>Table215[[#This Row],[ADD ACC]]*Table215[[#This Row],[RT TIME (744)]]</f>
        <v>0</v>
      </c>
    </row>
    <row r="164" spans="1:16" ht="15" customHeight="1" x14ac:dyDescent="0.25">
      <c r="A164" s="38" t="s">
        <v>13722</v>
      </c>
      <c r="B164" s="39" t="s">
        <v>90</v>
      </c>
      <c r="C164" s="39" t="s">
        <v>2</v>
      </c>
      <c r="D164" s="39">
        <v>2</v>
      </c>
      <c r="E164" s="38" t="s">
        <v>1456</v>
      </c>
      <c r="F164" s="38" t="str">
        <f>VLOOKUP(E:E,Table10[[COUNTRY NAME]:[CONTINENT CODE]],3,FALSE)</f>
        <v>AS</v>
      </c>
      <c r="G164" s="155" t="s">
        <v>11987</v>
      </c>
      <c r="H164" s="40">
        <v>11800</v>
      </c>
      <c r="I164" s="41">
        <v>28.25</v>
      </c>
      <c r="J164" s="157">
        <v>241109780</v>
      </c>
      <c r="K164" s="42">
        <f>IFERROR(Table215[[#This Row],[ROUTE $]]/Table215[[#This Row],[E - DEMAND]],0)</f>
        <v>86326.451843895455</v>
      </c>
      <c r="L164" s="43">
        <v>2793</v>
      </c>
      <c r="M164" s="39">
        <f>VLOOKUP(Table215[[#This Row],[ROUTE]],DEMAND!A:F,5,FALSE)</f>
        <v>2944</v>
      </c>
      <c r="N164" s="39">
        <f>VLOOKUP(Table215[[#This Row],[ROUTE]],DEMAND!A:F,6,FALSE)</f>
        <v>304</v>
      </c>
      <c r="O164" s="39">
        <f>ROUNDDOWN(Table215[[#This Row],[R-DEMAND]]/1320,0)</f>
        <v>0</v>
      </c>
      <c r="P164" s="41">
        <f>Table215[[#This Row],[ADD ACC]]*Table215[[#This Row],[RT TIME (744)]]</f>
        <v>0</v>
      </c>
    </row>
    <row r="165" spans="1:16" ht="15" customHeight="1" x14ac:dyDescent="0.25">
      <c r="A165" s="38" t="s">
        <v>13723</v>
      </c>
      <c r="B165" s="39" t="s">
        <v>224</v>
      </c>
      <c r="C165" s="39" t="s">
        <v>2</v>
      </c>
      <c r="D165" s="39">
        <v>3</v>
      </c>
      <c r="E165" s="38" t="s">
        <v>197</v>
      </c>
      <c r="F165" s="38" t="str">
        <f>VLOOKUP(E:E,Table10[[COUNTRY NAME]:[CONTINENT CODE]],3,FALSE)</f>
        <v>AS</v>
      </c>
      <c r="G165" s="155" t="s">
        <v>12012</v>
      </c>
      <c r="H165" s="40">
        <v>13353</v>
      </c>
      <c r="I165" s="41">
        <v>31.75</v>
      </c>
      <c r="J165" s="157">
        <v>279751923</v>
      </c>
      <c r="K165" s="42">
        <f>IFERROR(Table215[[#This Row],[ROUTE $]]/Table215[[#This Row],[E - DEMAND]],0)</f>
        <v>59031.847014138002</v>
      </c>
      <c r="L165" s="43">
        <v>4739</v>
      </c>
      <c r="M165" s="39">
        <f>VLOOKUP(Table215[[#This Row],[ROUTE]],DEMAND!A:F,5,FALSE)</f>
        <v>4932</v>
      </c>
      <c r="N165" s="39">
        <f>VLOOKUP(Table215[[#This Row],[ROUTE]],DEMAND!A:F,6,FALSE)</f>
        <v>972</v>
      </c>
      <c r="O165" s="39">
        <f>ROUNDDOWN(Table215[[#This Row],[R-DEMAND]]/1320,0)</f>
        <v>0</v>
      </c>
      <c r="P165" s="41">
        <f>Table215[[#This Row],[ADD ACC]]*Table215[[#This Row],[RT TIME (744)]]</f>
        <v>0</v>
      </c>
    </row>
    <row r="166" spans="1:16" ht="15" customHeight="1" x14ac:dyDescent="0.25">
      <c r="A166" s="38" t="s">
        <v>13728</v>
      </c>
      <c r="B166" s="39" t="s">
        <v>4945</v>
      </c>
      <c r="C166" s="39" t="s">
        <v>2</v>
      </c>
      <c r="D166" s="39">
        <v>3</v>
      </c>
      <c r="E166" s="38" t="s">
        <v>714</v>
      </c>
      <c r="F166" s="38" t="str">
        <f>VLOOKUP(E:E,Table10[[COUNTRY NAME]:[CONTINENT CODE]],3,FALSE)</f>
        <v>SA</v>
      </c>
      <c r="G166" s="155" t="s">
        <v>13236</v>
      </c>
      <c r="H166" s="40">
        <v>3660</v>
      </c>
      <c r="I166" s="41">
        <v>10.25</v>
      </c>
      <c r="J166" s="157">
        <v>171734585</v>
      </c>
      <c r="K166" s="42">
        <f>IFERROR(Table215[[#This Row],[ROUTE $]]/Table215[[#This Row],[E - DEMAND]],0)</f>
        <v>48581.21216407355</v>
      </c>
      <c r="L166" s="43">
        <v>3535</v>
      </c>
      <c r="M166" s="39">
        <f>VLOOKUP(Table215[[#This Row],[ROUTE]],DEMAND!A:F,5,FALSE)</f>
        <v>3690</v>
      </c>
      <c r="N166" s="39">
        <f>VLOOKUP(Table215[[#This Row],[ROUTE]],DEMAND!A:F,6,FALSE)</f>
        <v>1050</v>
      </c>
      <c r="O166" s="39">
        <f>ROUNDDOWN(Table215[[#This Row],[R-DEMAND]]/1320,0)</f>
        <v>0</v>
      </c>
      <c r="P166" s="41">
        <f>Table215[[#This Row],[ADD ACC]]*Table215[[#This Row],[RT TIME (744)]]</f>
        <v>0</v>
      </c>
    </row>
    <row r="167" spans="1:16" ht="15" customHeight="1" x14ac:dyDescent="0.25">
      <c r="A167" s="38" t="s">
        <v>13729</v>
      </c>
      <c r="B167" s="39" t="s">
        <v>5549</v>
      </c>
      <c r="C167" s="39" t="s">
        <v>2</v>
      </c>
      <c r="D167" s="39">
        <v>4</v>
      </c>
      <c r="E167" s="38" t="s">
        <v>714</v>
      </c>
      <c r="F167" s="38" t="str">
        <f>VLOOKUP(E:E,Table10[[COUNTRY NAME]:[CONTINENT CODE]],3,FALSE)</f>
        <v>SA</v>
      </c>
      <c r="G167" s="155" t="s">
        <v>13237</v>
      </c>
      <c r="H167" s="40">
        <v>3476</v>
      </c>
      <c r="I167" s="41">
        <v>9.75</v>
      </c>
      <c r="J167" s="157"/>
      <c r="K167" s="42">
        <f>IFERROR(Table215[[#This Row],[ROUTE $]]/Table215[[#This Row],[E - DEMAND]],0)</f>
        <v>0</v>
      </c>
      <c r="L167" s="43"/>
      <c r="M167" s="39">
        <f>VLOOKUP(Table215[[#This Row],[ROUTE]],DEMAND!A:F,5,FALSE)</f>
        <v>4445</v>
      </c>
      <c r="N167" s="39">
        <f>VLOOKUP(Table215[[#This Row],[ROUTE]],DEMAND!A:F,6,FALSE)</f>
        <v>485</v>
      </c>
      <c r="O167" s="39">
        <f>ROUNDDOWN(Table215[[#This Row],[R-DEMAND]]/1320,0)</f>
        <v>0</v>
      </c>
      <c r="P167" s="41">
        <f>Table215[[#This Row],[ADD ACC]]*Table215[[#This Row],[RT TIME (744)]]</f>
        <v>0</v>
      </c>
    </row>
    <row r="168" spans="1:16" ht="15" customHeight="1" x14ac:dyDescent="0.25">
      <c r="A168" s="38" t="s">
        <v>13733</v>
      </c>
      <c r="B168" s="39" t="s">
        <v>4738</v>
      </c>
      <c r="C168" s="39" t="s">
        <v>2</v>
      </c>
      <c r="D168" s="39">
        <v>3</v>
      </c>
      <c r="E168" s="38" t="s">
        <v>714</v>
      </c>
      <c r="F168" s="38" t="str">
        <f>VLOOKUP(E:E,Table10[[COUNTRY NAME]:[CONTINENT CODE]],3,FALSE)</f>
        <v>SA</v>
      </c>
      <c r="G168" s="155" t="s">
        <v>13241</v>
      </c>
      <c r="H168" s="40">
        <v>2898</v>
      </c>
      <c r="I168" s="41">
        <v>8.5</v>
      </c>
      <c r="J168" s="157"/>
      <c r="K168" s="42">
        <f>IFERROR(Table215[[#This Row],[ROUTE $]]/Table215[[#This Row],[E - DEMAND]],0)</f>
        <v>0</v>
      </c>
      <c r="L168" s="43"/>
      <c r="M168" s="39">
        <f>VLOOKUP(Table215[[#This Row],[ROUTE]],DEMAND!A:F,5,FALSE)</f>
        <v>3531</v>
      </c>
      <c r="N168" s="39">
        <f>VLOOKUP(Table215[[#This Row],[ROUTE]],DEMAND!A:F,6,FALSE)</f>
        <v>891</v>
      </c>
      <c r="O168" s="39">
        <f>ROUNDDOWN(Table215[[#This Row],[R-DEMAND]]/1320,0)</f>
        <v>0</v>
      </c>
      <c r="P168" s="41">
        <f>Table215[[#This Row],[ADD ACC]]*Table215[[#This Row],[RT TIME (744)]]</f>
        <v>0</v>
      </c>
    </row>
    <row r="169" spans="1:16" ht="15" customHeight="1" x14ac:dyDescent="0.25">
      <c r="A169" s="38" t="s">
        <v>13734</v>
      </c>
      <c r="B169" s="39" t="s">
        <v>4941</v>
      </c>
      <c r="C169" s="39" t="s">
        <v>2</v>
      </c>
      <c r="D169" s="39">
        <v>3</v>
      </c>
      <c r="E169" s="38" t="s">
        <v>714</v>
      </c>
      <c r="F169" s="38" t="str">
        <f>VLOOKUP(E:E,Table10[[COUNTRY NAME]:[CONTINENT CODE]],3,FALSE)</f>
        <v>SA</v>
      </c>
      <c r="G169" s="155" t="s">
        <v>13242</v>
      </c>
      <c r="H169" s="40">
        <v>2738</v>
      </c>
      <c r="I169" s="41">
        <v>8.25</v>
      </c>
      <c r="J169" s="157">
        <v>162521139</v>
      </c>
      <c r="K169" s="42">
        <f>IFERROR(Table215[[#This Row],[ROUTE $]]/Table215[[#This Row],[E - DEMAND]],0)</f>
        <v>45974.86251768034</v>
      </c>
      <c r="L169" s="43">
        <v>3535</v>
      </c>
      <c r="M169" s="39">
        <f>VLOOKUP(Table215[[#This Row],[ROUTE]],DEMAND!A:F,5,FALSE)</f>
        <v>3748</v>
      </c>
      <c r="N169" s="39">
        <f>VLOOKUP(Table215[[#This Row],[ROUTE]],DEMAND!A:F,6,FALSE)</f>
        <v>1108</v>
      </c>
      <c r="O169" s="39">
        <f>ROUNDDOWN(Table215[[#This Row],[R-DEMAND]]/1320,0)</f>
        <v>0</v>
      </c>
      <c r="P169" s="41">
        <f>Table215[[#This Row],[ADD ACC]]*Table215[[#This Row],[RT TIME (744)]]</f>
        <v>0</v>
      </c>
    </row>
    <row r="170" spans="1:16" ht="15" customHeight="1" x14ac:dyDescent="0.25">
      <c r="A170" s="38" t="s">
        <v>13727</v>
      </c>
      <c r="B170" s="39" t="s">
        <v>3442</v>
      </c>
      <c r="C170" s="39" t="s">
        <v>2</v>
      </c>
      <c r="D170" s="39">
        <v>2</v>
      </c>
      <c r="E170" s="38" t="s">
        <v>714</v>
      </c>
      <c r="F170" s="38" t="str">
        <f>VLOOKUP(E:E,Table10[[COUNTRY NAME]:[CONTINENT CODE]],3,FALSE)</f>
        <v>SA</v>
      </c>
      <c r="G170" s="155" t="s">
        <v>13235</v>
      </c>
      <c r="H170" s="40">
        <v>3874</v>
      </c>
      <c r="I170" s="41">
        <v>10.75</v>
      </c>
      <c r="J170" s="157"/>
      <c r="K170" s="42">
        <f>IFERROR(Table215[[#This Row],[ROUTE $]]/Table215[[#This Row],[E - DEMAND]],0)</f>
        <v>0</v>
      </c>
      <c r="L170" s="43"/>
      <c r="M170" s="39">
        <f>VLOOKUP(Table215[[#This Row],[ROUTE]],DEMAND!A:F,5,FALSE)</f>
        <v>2949</v>
      </c>
      <c r="N170" s="39">
        <f>VLOOKUP(Table215[[#This Row],[ROUTE]],DEMAND!A:F,6,FALSE)</f>
        <v>309</v>
      </c>
      <c r="O170" s="39">
        <f>ROUNDDOWN(Table215[[#This Row],[R-DEMAND]]/1320,0)</f>
        <v>0</v>
      </c>
      <c r="P170" s="41">
        <f>Table215[[#This Row],[ADD ACC]]*Table215[[#This Row],[RT TIME (744)]]</f>
        <v>0</v>
      </c>
    </row>
    <row r="171" spans="1:16" ht="15" customHeight="1" x14ac:dyDescent="0.25">
      <c r="A171" s="38" t="s">
        <v>13730</v>
      </c>
      <c r="B171" s="39" t="s">
        <v>3481</v>
      </c>
      <c r="C171" s="39" t="s">
        <v>2</v>
      </c>
      <c r="D171" s="39">
        <v>2</v>
      </c>
      <c r="E171" s="38" t="s">
        <v>714</v>
      </c>
      <c r="F171" s="38" t="str">
        <f>VLOOKUP(E:E,Table10[[COUNTRY NAME]:[CONTINENT CODE]],3,FALSE)</f>
        <v>SA</v>
      </c>
      <c r="G171" s="155" t="s">
        <v>13238</v>
      </c>
      <c r="H171" s="40">
        <v>3430</v>
      </c>
      <c r="I171" s="41">
        <v>9.75</v>
      </c>
      <c r="J171" s="157">
        <v>155426342</v>
      </c>
      <c r="K171" s="42">
        <f>IFERROR(Table215[[#This Row],[ROUTE $]]/Table215[[#This Row],[E - DEMAND]],0)</f>
        <v>52069.126298157455</v>
      </c>
      <c r="L171" s="43">
        <v>2985</v>
      </c>
      <c r="M171" s="39">
        <f>VLOOKUP(Table215[[#This Row],[ROUTE]],DEMAND!A:F,5,FALSE)</f>
        <v>3165</v>
      </c>
      <c r="N171" s="39">
        <f>VLOOKUP(Table215[[#This Row],[ROUTE]],DEMAND!A:F,6,FALSE)</f>
        <v>525</v>
      </c>
      <c r="O171" s="39">
        <f>ROUNDDOWN(Table215[[#This Row],[R-DEMAND]]/1320,0)</f>
        <v>0</v>
      </c>
      <c r="P171" s="41">
        <f>Table215[[#This Row],[ADD ACC]]*Table215[[#This Row],[RT TIME (744)]]</f>
        <v>0</v>
      </c>
    </row>
    <row r="172" spans="1:16" ht="15" customHeight="1" x14ac:dyDescent="0.25">
      <c r="A172" s="38" t="s">
        <v>13731</v>
      </c>
      <c r="B172" s="39" t="s">
        <v>917</v>
      </c>
      <c r="C172" s="39" t="s">
        <v>2</v>
      </c>
      <c r="D172" s="39">
        <v>1</v>
      </c>
      <c r="E172" s="38" t="s">
        <v>714</v>
      </c>
      <c r="F172" s="38" t="str">
        <f>VLOOKUP(E:E,Table10[[COUNTRY NAME]:[CONTINENT CODE]],3,FALSE)</f>
        <v>SA</v>
      </c>
      <c r="G172" s="155" t="s">
        <v>13239</v>
      </c>
      <c r="H172" s="40">
        <v>3327</v>
      </c>
      <c r="I172" s="41">
        <v>9.5</v>
      </c>
      <c r="J172" s="157"/>
      <c r="K172" s="42">
        <f>IFERROR(Table215[[#This Row],[ROUTE $]]/Table215[[#This Row],[E - DEMAND]],0)</f>
        <v>0</v>
      </c>
      <c r="L172" s="43"/>
      <c r="M172" s="39">
        <f>VLOOKUP(Table215[[#This Row],[ROUTE]],DEMAND!A:F,5,FALSE)</f>
        <v>2663</v>
      </c>
      <c r="N172" s="39">
        <f>VLOOKUP(Table215[[#This Row],[ROUTE]],DEMAND!A:F,6,FALSE)</f>
        <v>23</v>
      </c>
      <c r="O172" s="39">
        <f>ROUNDDOWN(Table215[[#This Row],[R-DEMAND]]/1320,0)</f>
        <v>0</v>
      </c>
      <c r="P172" s="41">
        <f>Table215[[#This Row],[ADD ACC]]*Table215[[#This Row],[RT TIME (744)]]</f>
        <v>0</v>
      </c>
    </row>
    <row r="173" spans="1:16" ht="15" customHeight="1" x14ac:dyDescent="0.25">
      <c r="A173" s="38" t="s">
        <v>13738</v>
      </c>
      <c r="B173" s="39" t="s">
        <v>4900</v>
      </c>
      <c r="C173" s="39" t="s">
        <v>2</v>
      </c>
      <c r="D173" s="39">
        <v>3</v>
      </c>
      <c r="E173" s="38" t="s">
        <v>758</v>
      </c>
      <c r="F173" s="38" t="str">
        <f>VLOOKUP(E:E,Table10[[COUNTRY NAME]:[CONTINENT CODE]],3,FALSE)</f>
        <v>EU</v>
      </c>
      <c r="G173" s="155" t="s">
        <v>11805</v>
      </c>
      <c r="H173" s="40">
        <v>10628</v>
      </c>
      <c r="I173" s="41">
        <v>25.75</v>
      </c>
      <c r="J173" s="157">
        <v>239878207</v>
      </c>
      <c r="K173" s="42">
        <f>IFERROR(Table215[[#This Row],[ROUTE $]]/Table215[[#This Row],[E - DEMAND]],0)</f>
        <v>82065.75675675676</v>
      </c>
      <c r="L173" s="43">
        <v>2923</v>
      </c>
      <c r="M173" s="39">
        <f>VLOOKUP(Table215[[#This Row],[ROUTE]],DEMAND!A:F,5,FALSE)</f>
        <v>3021</v>
      </c>
      <c r="N173" s="39">
        <f>VLOOKUP(Table215[[#This Row],[ROUTE]],DEMAND!A:F,6,FALSE)</f>
        <v>381</v>
      </c>
      <c r="O173" s="39">
        <f>ROUNDDOWN(Table215[[#This Row],[R-DEMAND]]/1320,0)</f>
        <v>0</v>
      </c>
      <c r="P173" s="41">
        <f>Table215[[#This Row],[ADD ACC]]*Table215[[#This Row],[RT TIME (744)]]</f>
        <v>0</v>
      </c>
    </row>
    <row r="174" spans="1:16" ht="15" customHeight="1" x14ac:dyDescent="0.25">
      <c r="A174" s="38" t="s">
        <v>13737</v>
      </c>
      <c r="B174" s="39" t="s">
        <v>5567</v>
      </c>
      <c r="C174" s="39" t="s">
        <v>2</v>
      </c>
      <c r="D174" s="39">
        <v>4</v>
      </c>
      <c r="E174" s="38" t="s">
        <v>758</v>
      </c>
      <c r="F174" s="38" t="str">
        <f>VLOOKUP(E:E,Table10[[COUNTRY NAME]:[CONTINENT CODE]],3,FALSE)</f>
        <v>EU</v>
      </c>
      <c r="G174" s="155" t="s">
        <v>11029</v>
      </c>
      <c r="H174" s="40">
        <v>10636</v>
      </c>
      <c r="I174" s="41">
        <v>25.75</v>
      </c>
      <c r="J174" s="157">
        <v>257697195</v>
      </c>
      <c r="K174" s="42">
        <f>IFERROR(Table215[[#This Row],[ROUTE $]]/Table215[[#This Row],[E - DEMAND]],0)</f>
        <v>74371.484848484848</v>
      </c>
      <c r="L174" s="43">
        <v>3465</v>
      </c>
      <c r="M174" s="39">
        <f>VLOOKUP(Table215[[#This Row],[ROUTE]],DEMAND!A:F,5,FALSE)</f>
        <v>3583</v>
      </c>
      <c r="N174" s="39">
        <f>VLOOKUP(Table215[[#This Row],[ROUTE]],DEMAND!A:F,6,FALSE)</f>
        <v>943</v>
      </c>
      <c r="O174" s="39">
        <f>ROUNDDOWN(Table215[[#This Row],[R-DEMAND]]/1320,0)</f>
        <v>0</v>
      </c>
      <c r="P174" s="41">
        <f>Table215[[#This Row],[ADD ACC]]*Table215[[#This Row],[RT TIME (744)]]</f>
        <v>0</v>
      </c>
    </row>
    <row r="175" spans="1:16" ht="15" customHeight="1" x14ac:dyDescent="0.25">
      <c r="A175" s="38" t="s">
        <v>13740</v>
      </c>
      <c r="B175" s="39" t="s">
        <v>5061</v>
      </c>
      <c r="C175" s="39" t="s">
        <v>2</v>
      </c>
      <c r="D175" s="39">
        <v>3</v>
      </c>
      <c r="E175" s="38" t="s">
        <v>758</v>
      </c>
      <c r="F175" s="38" t="str">
        <f>VLOOKUP(E:E,Table10[[COUNTRY NAME]:[CONTINENT CODE]],3,FALSE)</f>
        <v>EU</v>
      </c>
      <c r="G175" s="155" t="s">
        <v>11808</v>
      </c>
      <c r="H175" s="40">
        <v>10424</v>
      </c>
      <c r="I175" s="41">
        <v>25.25</v>
      </c>
      <c r="J175" s="157">
        <v>240848936</v>
      </c>
      <c r="K175" s="42">
        <f>IFERROR(Table215[[#This Row],[ROUTE $]]/Table215[[#This Row],[E - DEMAND]],0)</f>
        <v>79883.560862354891</v>
      </c>
      <c r="L175" s="43">
        <v>3015</v>
      </c>
      <c r="M175" s="39">
        <f>VLOOKUP(Table215[[#This Row],[ROUTE]],DEMAND!A:F,5,FALSE)</f>
        <v>3197</v>
      </c>
      <c r="N175" s="39">
        <f>VLOOKUP(Table215[[#This Row],[ROUTE]],DEMAND!A:F,6,FALSE)</f>
        <v>557</v>
      </c>
      <c r="O175" s="39">
        <f>ROUNDDOWN(Table215[[#This Row],[R-DEMAND]]/1320,0)</f>
        <v>0</v>
      </c>
      <c r="P175" s="41">
        <f>Table215[[#This Row],[ADD ACC]]*Table215[[#This Row],[RT TIME (744)]]</f>
        <v>0</v>
      </c>
    </row>
    <row r="176" spans="1:16" ht="15" customHeight="1" x14ac:dyDescent="0.25">
      <c r="A176" s="38" t="s">
        <v>13741</v>
      </c>
      <c r="B176" s="39" t="s">
        <v>5321</v>
      </c>
      <c r="C176" s="39" t="s">
        <v>2</v>
      </c>
      <c r="D176" s="39">
        <v>3</v>
      </c>
      <c r="E176" s="38" t="s">
        <v>733</v>
      </c>
      <c r="F176" s="38" t="str">
        <f>VLOOKUP(E:E,Table10[[COUNTRY NAME]:[CONTINENT CODE]],3,FALSE)</f>
        <v>EU</v>
      </c>
      <c r="G176" s="155" t="s">
        <v>11677</v>
      </c>
      <c r="H176" s="40">
        <v>8181</v>
      </c>
      <c r="I176" s="41">
        <v>20.25</v>
      </c>
      <c r="J176" s="157">
        <v>224894313</v>
      </c>
      <c r="K176" s="42">
        <f>IFERROR(Table215[[#This Row],[ROUTE $]]/Table215[[#This Row],[E - DEMAND]],0)</f>
        <v>73856.917241379313</v>
      </c>
      <c r="L176" s="43">
        <v>3045</v>
      </c>
      <c r="M176" s="39">
        <f>VLOOKUP(Table215[[#This Row],[ROUTE]],DEMAND!A:F,5,FALSE)</f>
        <v>2998</v>
      </c>
      <c r="N176" s="39">
        <f>VLOOKUP(Table215[[#This Row],[ROUTE]],DEMAND!A:F,6,FALSE)</f>
        <v>358</v>
      </c>
      <c r="O176" s="39">
        <f>ROUNDDOWN(Table215[[#This Row],[R-DEMAND]]/1320,0)</f>
        <v>0</v>
      </c>
      <c r="P176" s="41">
        <f>Table215[[#This Row],[ADD ACC]]*Table215[[#This Row],[RT TIME (744)]]</f>
        <v>0</v>
      </c>
    </row>
    <row r="177" spans="1:16" ht="15" customHeight="1" x14ac:dyDescent="0.25">
      <c r="A177" s="38" t="s">
        <v>13742</v>
      </c>
      <c r="B177" s="39" t="s">
        <v>193</v>
      </c>
      <c r="C177" s="39" t="s">
        <v>2</v>
      </c>
      <c r="D177" s="39">
        <v>4</v>
      </c>
      <c r="E177" s="38" t="s">
        <v>733</v>
      </c>
      <c r="F177" s="38" t="str">
        <f>VLOOKUP(E:E,Table10[[COUNTRY NAME]:[CONTINENT CODE]],3,FALSE)</f>
        <v>EU</v>
      </c>
      <c r="G177" s="155" t="s">
        <v>11065</v>
      </c>
      <c r="H177" s="40">
        <v>7936</v>
      </c>
      <c r="I177" s="41">
        <v>19.75</v>
      </c>
      <c r="J177" s="157">
        <v>235678265</v>
      </c>
      <c r="K177" s="42">
        <f>IFERROR(Table215[[#This Row],[ROUTE $]]/Table215[[#This Row],[E - DEMAND]],0)</f>
        <v>83901.126735493061</v>
      </c>
      <c r="L177" s="43">
        <v>2809</v>
      </c>
      <c r="M177" s="39">
        <f>VLOOKUP(Table215[[#This Row],[ROUTE]],DEMAND!A:F,5,FALSE)</f>
        <v>3249</v>
      </c>
      <c r="N177" s="39">
        <f>VLOOKUP(Table215[[#This Row],[ROUTE]],DEMAND!A:F,6,FALSE)</f>
        <v>609</v>
      </c>
      <c r="O177" s="39">
        <f>ROUNDDOWN(Table215[[#This Row],[R-DEMAND]]/1320,0)</f>
        <v>0</v>
      </c>
      <c r="P177" s="41">
        <f>Table215[[#This Row],[ADD ACC]]*Table215[[#This Row],[RT TIME (744)]]</f>
        <v>0</v>
      </c>
    </row>
    <row r="178" spans="1:16" ht="15" customHeight="1" x14ac:dyDescent="0.25">
      <c r="A178" s="38" t="s">
        <v>13746</v>
      </c>
      <c r="B178" s="39" t="s">
        <v>5064</v>
      </c>
      <c r="C178" s="39" t="s">
        <v>2</v>
      </c>
      <c r="D178" s="39">
        <v>3</v>
      </c>
      <c r="E178" s="38" t="s">
        <v>733</v>
      </c>
      <c r="F178" s="38" t="str">
        <f>VLOOKUP(E:E,Table10[[COUNTRY NAME]:[CONTINENT CODE]],3,FALSE)</f>
        <v>EU</v>
      </c>
      <c r="G178" s="155" t="s">
        <v>13247</v>
      </c>
      <c r="H178" s="40">
        <v>6993</v>
      </c>
      <c r="I178" s="41">
        <v>17.5</v>
      </c>
      <c r="J178" s="157">
        <v>206931672</v>
      </c>
      <c r="K178" s="42">
        <f>IFERROR(Table215[[#This Row],[ROUTE $]]/Table215[[#This Row],[E - DEMAND]],0)</f>
        <v>81405.063729346977</v>
      </c>
      <c r="L178" s="43">
        <v>2542</v>
      </c>
      <c r="M178" s="39">
        <f>VLOOKUP(Table215[[#This Row],[ROUTE]],DEMAND!A:F,5,FALSE)</f>
        <v>2679</v>
      </c>
      <c r="N178" s="39">
        <f>VLOOKUP(Table215[[#This Row],[ROUTE]],DEMAND!A:F,6,FALSE)</f>
        <v>39</v>
      </c>
      <c r="O178" s="39">
        <f>ROUNDDOWN(Table215[[#This Row],[R-DEMAND]]/1320,0)</f>
        <v>0</v>
      </c>
      <c r="P178" s="41">
        <f>Table215[[#This Row],[ADD ACC]]*Table215[[#This Row],[RT TIME (744)]]</f>
        <v>0</v>
      </c>
    </row>
    <row r="179" spans="1:16" ht="15" customHeight="1" x14ac:dyDescent="0.25">
      <c r="A179" s="38" t="s">
        <v>13748</v>
      </c>
      <c r="B179" s="39" t="s">
        <v>5532</v>
      </c>
      <c r="C179" s="39" t="s">
        <v>2</v>
      </c>
      <c r="D179" s="39">
        <v>4</v>
      </c>
      <c r="E179" s="38" t="s">
        <v>1946</v>
      </c>
      <c r="F179" s="38" t="str">
        <f>VLOOKUP(E:E,Table10[[COUNTRY NAME]:[CONTINENT CODE]],3,FALSE)</f>
        <v>NA</v>
      </c>
      <c r="G179" s="155" t="s">
        <v>13249</v>
      </c>
      <c r="H179" s="40">
        <v>5117</v>
      </c>
      <c r="I179" s="41">
        <v>13.5</v>
      </c>
      <c r="J179" s="157">
        <v>201434351</v>
      </c>
      <c r="K179" s="42">
        <f>IFERROR(Table215[[#This Row],[ROUTE $]]/Table215[[#This Row],[E - DEMAND]],0)</f>
        <v>79902.558905196347</v>
      </c>
      <c r="L179" s="43">
        <v>2521</v>
      </c>
      <c r="M179" s="39">
        <f>VLOOKUP(Table215[[#This Row],[ROUTE]],DEMAND!A:F,5,FALSE)</f>
        <v>2615</v>
      </c>
      <c r="N179" s="39">
        <f>VLOOKUP(Table215[[#This Row],[ROUTE]],DEMAND!A:F,6,FALSE)</f>
        <v>1295</v>
      </c>
      <c r="O179" s="39">
        <f>ROUNDDOWN(Table215[[#This Row],[R-DEMAND]]/1320,0)</f>
        <v>0</v>
      </c>
      <c r="P179" s="41">
        <f>Table215[[#This Row],[ADD ACC]]*Table215[[#This Row],[RT TIME (744)]]</f>
        <v>0</v>
      </c>
    </row>
    <row r="180" spans="1:16" ht="15" customHeight="1" x14ac:dyDescent="0.25">
      <c r="A180" s="38" t="s">
        <v>13749</v>
      </c>
      <c r="B180" s="39" t="s">
        <v>5636</v>
      </c>
      <c r="C180" s="39" t="s">
        <v>2</v>
      </c>
      <c r="D180" s="39">
        <v>4</v>
      </c>
      <c r="E180" s="38" t="s">
        <v>5634</v>
      </c>
      <c r="F180" s="38" t="str">
        <f>VLOOKUP(E:E,Table10[[COUNTRY NAME]:[CONTINENT CODE]],3,FALSE)</f>
        <v>AS</v>
      </c>
      <c r="G180" s="155" t="s">
        <v>11090</v>
      </c>
      <c r="H180" s="40">
        <v>11856</v>
      </c>
      <c r="I180" s="41">
        <v>28.5</v>
      </c>
      <c r="J180" s="157">
        <v>277068800</v>
      </c>
      <c r="K180" s="42">
        <f>IFERROR(Table215[[#This Row],[ROUTE $]]/Table215[[#This Row],[E - DEMAND]],0)</f>
        <v>79823.912417170839</v>
      </c>
      <c r="L180" s="43">
        <v>3471</v>
      </c>
      <c r="M180" s="39">
        <f>VLOOKUP(Table215[[#This Row],[ROUTE]],DEMAND!A:F,5,FALSE)</f>
        <v>3472</v>
      </c>
      <c r="N180" s="39">
        <f>VLOOKUP(Table215[[#This Row],[ROUTE]],DEMAND!A:F,6,FALSE)</f>
        <v>832</v>
      </c>
      <c r="O180" s="39">
        <f>ROUNDDOWN(Table215[[#This Row],[R-DEMAND]]/1320,0)</f>
        <v>0</v>
      </c>
      <c r="P180" s="41">
        <f>Table215[[#This Row],[ADD ACC]]*Table215[[#This Row],[RT TIME (744)]]</f>
        <v>0</v>
      </c>
    </row>
    <row r="181" spans="1:16" ht="15" customHeight="1" x14ac:dyDescent="0.25">
      <c r="A181" s="38" t="s">
        <v>13772</v>
      </c>
      <c r="B181" s="39" t="s">
        <v>4979</v>
      </c>
      <c r="C181" s="39" t="s">
        <v>2</v>
      </c>
      <c r="D181" s="39">
        <v>3</v>
      </c>
      <c r="E181" s="143" t="s">
        <v>12976</v>
      </c>
      <c r="F181" s="38" t="e">
        <f>VLOOKUP(E:E,Table10[[COUNTRY NAME]:[CONTINENT CODE]],3,FALSE)</f>
        <v>#N/A</v>
      </c>
      <c r="G181" s="155" t="s">
        <v>12005</v>
      </c>
      <c r="H181" s="40">
        <v>10240</v>
      </c>
      <c r="I181" s="41">
        <v>24.75</v>
      </c>
      <c r="J181" s="157">
        <v>237126231</v>
      </c>
      <c r="K181" s="42">
        <f>IFERROR(Table215[[#This Row],[ROUTE $]]/Table215[[#This Row],[E - DEMAND]],0)</f>
        <v>83436.393736805068</v>
      </c>
      <c r="L181" s="43">
        <v>2842</v>
      </c>
      <c r="M181" s="39">
        <f>VLOOKUP(Table215[[#This Row],[ROUTE]],DEMAND!A:F,5,FALSE)</f>
        <v>3014</v>
      </c>
      <c r="N181" s="39">
        <f>VLOOKUP(Table215[[#This Row],[ROUTE]],DEMAND!A:F,6,FALSE)</f>
        <v>374</v>
      </c>
      <c r="O181" s="39">
        <f>ROUNDDOWN(Table215[[#This Row],[R-DEMAND]]/1320,0)</f>
        <v>0</v>
      </c>
      <c r="P181" s="41">
        <f>Table215[[#This Row],[ADD ACC]]*Table215[[#This Row],[RT TIME (744)]]</f>
        <v>0</v>
      </c>
    </row>
    <row r="182" spans="1:16" ht="15" customHeight="1" x14ac:dyDescent="0.25">
      <c r="A182" s="38" t="s">
        <v>13750</v>
      </c>
      <c r="B182" s="39" t="s">
        <v>4408</v>
      </c>
      <c r="C182" s="39" t="s">
        <v>2</v>
      </c>
      <c r="D182" s="39">
        <v>2</v>
      </c>
      <c r="E182" s="38" t="s">
        <v>1420</v>
      </c>
      <c r="F182" s="38" t="str">
        <f>VLOOKUP(E:E,Table10[[COUNTRY NAME]:[CONTINENT CODE]],3,FALSE)</f>
        <v>EU</v>
      </c>
      <c r="G182" s="155" t="s">
        <v>11844</v>
      </c>
      <c r="H182" s="40">
        <v>10698</v>
      </c>
      <c r="I182" s="41">
        <v>25.75</v>
      </c>
      <c r="J182" s="157">
        <v>234314513</v>
      </c>
      <c r="K182" s="42">
        <f>IFERROR(Table215[[#This Row],[ROUTE $]]/Table215[[#This Row],[E - DEMAND]],0)</f>
        <v>78471.035833891496</v>
      </c>
      <c r="L182" s="43">
        <v>2986</v>
      </c>
      <c r="M182" s="39">
        <f>VLOOKUP(Table215[[#This Row],[ROUTE]],DEMAND!A:F,5,FALSE)</f>
        <v>3147</v>
      </c>
      <c r="N182" s="39">
        <f>VLOOKUP(Table215[[#This Row],[ROUTE]],DEMAND!A:F,6,FALSE)</f>
        <v>507</v>
      </c>
      <c r="O182" s="39">
        <f>ROUNDDOWN(Table215[[#This Row],[R-DEMAND]]/1320,0)</f>
        <v>0</v>
      </c>
      <c r="P182" s="41">
        <f>Table215[[#This Row],[ADD ACC]]*Table215[[#This Row],[RT TIME (744)]]</f>
        <v>0</v>
      </c>
    </row>
    <row r="183" spans="1:16" ht="15" customHeight="1" x14ac:dyDescent="0.25">
      <c r="A183" s="38" t="s">
        <v>13751</v>
      </c>
      <c r="B183" s="39" t="s">
        <v>5358</v>
      </c>
      <c r="C183" s="39" t="s">
        <v>2</v>
      </c>
      <c r="D183" s="39">
        <v>3</v>
      </c>
      <c r="E183" s="38" t="s">
        <v>1420</v>
      </c>
      <c r="F183" s="38" t="str">
        <f>VLOOKUP(E:E,Table10[[COUNTRY NAME]:[CONTINENT CODE]],3,FALSE)</f>
        <v>EU</v>
      </c>
      <c r="G183" s="155" t="s">
        <v>11837</v>
      </c>
      <c r="H183" s="40">
        <v>10541</v>
      </c>
      <c r="I183" s="41">
        <v>25.5</v>
      </c>
      <c r="J183" s="157">
        <v>249224260</v>
      </c>
      <c r="K183" s="42">
        <f>IFERROR(Table215[[#This Row],[ROUTE $]]/Table215[[#This Row],[E - DEMAND]],0)</f>
        <v>70462.04693242861</v>
      </c>
      <c r="L183" s="43">
        <v>3537</v>
      </c>
      <c r="M183" s="39">
        <f>VLOOKUP(Table215[[#This Row],[ROUTE]],DEMAND!A:F,5,FALSE)</f>
        <v>3727</v>
      </c>
      <c r="N183" s="39">
        <f>VLOOKUP(Table215[[#This Row],[ROUTE]],DEMAND!A:F,6,FALSE)</f>
        <v>1087</v>
      </c>
      <c r="O183" s="39">
        <f>ROUNDDOWN(Table215[[#This Row],[R-DEMAND]]/1320,0)</f>
        <v>0</v>
      </c>
      <c r="P183" s="41">
        <f>Table215[[#This Row],[ADD ACC]]*Table215[[#This Row],[RT TIME (744)]]</f>
        <v>0</v>
      </c>
    </row>
    <row r="184" spans="1:16" ht="15" customHeight="1" x14ac:dyDescent="0.25">
      <c r="A184" s="38" t="s">
        <v>13752</v>
      </c>
      <c r="B184" s="39" t="s">
        <v>5526</v>
      </c>
      <c r="C184" s="39" t="s">
        <v>2</v>
      </c>
      <c r="D184" s="39">
        <v>4</v>
      </c>
      <c r="E184" s="38" t="s">
        <v>1420</v>
      </c>
      <c r="F184" s="38" t="str">
        <f>VLOOKUP(E:E,Table10[[COUNTRY NAME]:[CONTINENT CODE]],3,FALSE)</f>
        <v>EU</v>
      </c>
      <c r="G184" s="155" t="s">
        <v>11108</v>
      </c>
      <c r="H184" s="40">
        <v>10537</v>
      </c>
      <c r="I184" s="41">
        <v>25.5</v>
      </c>
      <c r="J184" s="157">
        <v>254588214</v>
      </c>
      <c r="K184" s="42">
        <f>IFERROR(Table215[[#This Row],[ROUTE $]]/Table215[[#This Row],[E - DEMAND]],0)</f>
        <v>68400.917248790967</v>
      </c>
      <c r="L184" s="43">
        <v>3722</v>
      </c>
      <c r="M184" s="39">
        <f>VLOOKUP(Table215[[#This Row],[ROUTE]],DEMAND!A:F,5,FALSE)</f>
        <v>3873</v>
      </c>
      <c r="N184" s="39">
        <f>VLOOKUP(Table215[[#This Row],[ROUTE]],DEMAND!A:F,6,FALSE)</f>
        <v>1233</v>
      </c>
      <c r="O184" s="39">
        <f>ROUNDDOWN(Table215[[#This Row],[R-DEMAND]]/1320,0)</f>
        <v>0</v>
      </c>
      <c r="P184" s="41">
        <f>Table215[[#This Row],[ADD ACC]]*Table215[[#This Row],[RT TIME (744)]]</f>
        <v>0</v>
      </c>
    </row>
    <row r="185" spans="1:16" ht="15" customHeight="1" x14ac:dyDescent="0.25">
      <c r="A185" s="38" t="s">
        <v>13757</v>
      </c>
      <c r="B185" s="39" t="s">
        <v>4308</v>
      </c>
      <c r="C185" s="39" t="s">
        <v>2</v>
      </c>
      <c r="D185" s="39">
        <v>2</v>
      </c>
      <c r="E185" s="38" t="s">
        <v>78</v>
      </c>
      <c r="F185" s="38" t="str">
        <f>VLOOKUP(E:E,Table10[[COUNTRY NAME]:[CONTINENT CODE]],3,FALSE)</f>
        <v>EU</v>
      </c>
      <c r="G185" s="155" t="s">
        <v>11899</v>
      </c>
      <c r="H185" s="40">
        <v>12930</v>
      </c>
      <c r="I185" s="41">
        <v>30.75</v>
      </c>
      <c r="J185" s="157"/>
      <c r="K185" s="42">
        <f>IFERROR(Table215[[#This Row],[ROUTE $]]/Table215[[#This Row],[E - DEMAND]],0)</f>
        <v>0</v>
      </c>
      <c r="L185" s="43"/>
      <c r="M185" s="39">
        <f>VLOOKUP(Table215[[#This Row],[ROUTE]],DEMAND!A:F,5,FALSE)</f>
        <v>3114</v>
      </c>
      <c r="N185" s="39">
        <f>VLOOKUP(Table215[[#This Row],[ROUTE]],DEMAND!A:F,6,FALSE)</f>
        <v>474</v>
      </c>
      <c r="O185" s="39">
        <f>ROUNDDOWN(Table215[[#This Row],[R-DEMAND]]/1320,0)</f>
        <v>0</v>
      </c>
      <c r="P185" s="41">
        <f>Table215[[#This Row],[ADD ACC]]*Table215[[#This Row],[RT TIME (744)]]</f>
        <v>0</v>
      </c>
    </row>
    <row r="186" spans="1:16" ht="15" customHeight="1" x14ac:dyDescent="0.25">
      <c r="A186" s="38" t="s">
        <v>13755</v>
      </c>
      <c r="B186" s="39" t="s">
        <v>5438</v>
      </c>
      <c r="C186" s="39" t="s">
        <v>2</v>
      </c>
      <c r="D186" s="39">
        <v>3</v>
      </c>
      <c r="E186" s="38" t="s">
        <v>78</v>
      </c>
      <c r="F186" s="38" t="str">
        <f>VLOOKUP(E:E,Table10[[COUNTRY NAME]:[CONTINENT CODE]],3,FALSE)</f>
        <v>EU</v>
      </c>
      <c r="G186" s="155" t="s">
        <v>11918</v>
      </c>
      <c r="H186" s="40">
        <v>13259</v>
      </c>
      <c r="I186" s="41">
        <v>31.5</v>
      </c>
      <c r="J186" s="157">
        <v>278471145</v>
      </c>
      <c r="K186" s="42">
        <f>IFERROR(Table215[[#This Row],[ROUTE $]]/Table215[[#This Row],[E - DEMAND]],0)</f>
        <v>75795.085737615678</v>
      </c>
      <c r="L186" s="43">
        <v>3674</v>
      </c>
      <c r="M186" s="39">
        <f>VLOOKUP(Table215[[#This Row],[ROUTE]],DEMAND!A:F,5,FALSE)</f>
        <v>3675</v>
      </c>
      <c r="N186" s="39">
        <f>VLOOKUP(Table215[[#This Row],[ROUTE]],DEMAND!A:F,6,FALSE)</f>
        <v>1035</v>
      </c>
      <c r="O186" s="39">
        <f>ROUNDDOWN(Table215[[#This Row],[R-DEMAND]]/1320,0)</f>
        <v>0</v>
      </c>
      <c r="P186" s="41">
        <f>Table215[[#This Row],[ADD ACC]]*Table215[[#This Row],[RT TIME (744)]]</f>
        <v>0</v>
      </c>
    </row>
    <row r="187" spans="1:16" ht="15" customHeight="1" x14ac:dyDescent="0.25">
      <c r="A187" s="38" t="s">
        <v>13756</v>
      </c>
      <c r="B187" s="39" t="s">
        <v>5047</v>
      </c>
      <c r="C187" s="39" t="s">
        <v>2</v>
      </c>
      <c r="D187" s="39">
        <v>3</v>
      </c>
      <c r="E187" s="38" t="s">
        <v>78</v>
      </c>
      <c r="F187" s="38" t="str">
        <f>VLOOKUP(E:E,Table10[[COUNTRY NAME]:[CONTINENT CODE]],3,FALSE)</f>
        <v>EU</v>
      </c>
      <c r="G187" s="155" t="s">
        <v>11914</v>
      </c>
      <c r="H187" s="40">
        <v>13214</v>
      </c>
      <c r="I187" s="41">
        <v>31.5</v>
      </c>
      <c r="J187" s="157">
        <v>268259955</v>
      </c>
      <c r="K187" s="42">
        <f>IFERROR(Table215[[#This Row],[ROUTE $]]/Table215[[#This Row],[E - DEMAND]],0)</f>
        <v>80317.35179640718</v>
      </c>
      <c r="L187" s="43">
        <v>3340</v>
      </c>
      <c r="M187" s="39">
        <f>VLOOKUP(Table215[[#This Row],[ROUTE]],DEMAND!A:F,5,FALSE)</f>
        <v>3342</v>
      </c>
      <c r="N187" s="39">
        <f>VLOOKUP(Table215[[#This Row],[ROUTE]],DEMAND!A:F,6,FALSE)</f>
        <v>702</v>
      </c>
      <c r="O187" s="39">
        <f>ROUNDDOWN(Table215[[#This Row],[R-DEMAND]]/1320,0)</f>
        <v>0</v>
      </c>
      <c r="P187" s="41">
        <f>Table215[[#This Row],[ADD ACC]]*Table215[[#This Row],[RT TIME (744)]]</f>
        <v>0</v>
      </c>
    </row>
    <row r="188" spans="1:16" ht="15" customHeight="1" x14ac:dyDescent="0.25">
      <c r="A188" s="38" t="s">
        <v>13765</v>
      </c>
      <c r="B188" s="39" t="s">
        <v>79</v>
      </c>
      <c r="C188" s="39" t="s">
        <v>2</v>
      </c>
      <c r="D188" s="39">
        <v>4</v>
      </c>
      <c r="E188" s="38" t="s">
        <v>78</v>
      </c>
      <c r="F188" s="38" t="str">
        <f>VLOOKUP(E:E,Table10[[COUNTRY NAME]:[CONTINENT CODE]],3,FALSE)</f>
        <v>EU</v>
      </c>
      <c r="G188" s="155" t="s">
        <v>77</v>
      </c>
      <c r="H188" s="40">
        <v>11784</v>
      </c>
      <c r="I188" s="41">
        <v>28.25</v>
      </c>
      <c r="J188" s="157">
        <v>275444889</v>
      </c>
      <c r="K188" s="42">
        <f>IFERROR(Table215[[#This Row],[ROUTE $]]/Table215[[#This Row],[E - DEMAND]],0)</f>
        <v>67693.509216023594</v>
      </c>
      <c r="L188" s="43">
        <v>4069</v>
      </c>
      <c r="M188" s="39">
        <f>VLOOKUP(Table215[[#This Row],[ROUTE]],DEMAND!A:F,5,FALSE)</f>
        <v>4069</v>
      </c>
      <c r="N188" s="39">
        <f>VLOOKUP(Table215[[#This Row],[ROUTE]],DEMAND!A:F,6,FALSE)</f>
        <v>109</v>
      </c>
      <c r="O188" s="39">
        <f>ROUNDDOWN(Table215[[#This Row],[R-DEMAND]]/1320,0)</f>
        <v>0</v>
      </c>
      <c r="P188" s="41">
        <f>Table215[[#This Row],[ADD ACC]]*Table215[[#This Row],[RT TIME (744)]]</f>
        <v>0</v>
      </c>
    </row>
    <row r="189" spans="1:16" ht="15" customHeight="1" x14ac:dyDescent="0.25">
      <c r="A189" s="38" t="s">
        <v>13767</v>
      </c>
      <c r="B189" s="39" t="s">
        <v>5511</v>
      </c>
      <c r="C189" s="39" t="s">
        <v>2</v>
      </c>
      <c r="D189" s="39">
        <v>4</v>
      </c>
      <c r="E189" s="38" t="s">
        <v>78</v>
      </c>
      <c r="F189" s="38" t="str">
        <f>VLOOKUP(E:E,Table10[[COUNTRY NAME]:[CONTINENT CODE]],3,FALSE)</f>
        <v>EU</v>
      </c>
      <c r="G189" s="155" t="s">
        <v>11030</v>
      </c>
      <c r="H189" s="40">
        <v>11762</v>
      </c>
      <c r="I189" s="41">
        <v>28.25</v>
      </c>
      <c r="J189" s="157">
        <v>266265669</v>
      </c>
      <c r="K189" s="42">
        <f>IFERROR(Table215[[#This Row],[ROUTE $]]/Table215[[#This Row],[E - DEMAND]],0)</f>
        <v>70702.514338821027</v>
      </c>
      <c r="L189" s="43">
        <v>3766</v>
      </c>
      <c r="M189" s="39">
        <f>VLOOKUP(Table215[[#This Row],[ROUTE]],DEMAND!A:F,5,FALSE)</f>
        <v>3767</v>
      </c>
      <c r="N189" s="39">
        <f>VLOOKUP(Table215[[#This Row],[ROUTE]],DEMAND!A:F,6,FALSE)</f>
        <v>1127</v>
      </c>
      <c r="O189" s="39">
        <f>ROUNDDOWN(Table215[[#This Row],[R-DEMAND]]/1320,0)</f>
        <v>0</v>
      </c>
      <c r="P189" s="41">
        <f>Table215[[#This Row],[ADD ACC]]*Table215[[#This Row],[RT TIME (744)]]</f>
        <v>0</v>
      </c>
    </row>
    <row r="190" spans="1:16" ht="15" customHeight="1" x14ac:dyDescent="0.25">
      <c r="A190" s="38" t="s">
        <v>13764</v>
      </c>
      <c r="B190" s="39" t="s">
        <v>335</v>
      </c>
      <c r="C190" s="39" t="s">
        <v>2</v>
      </c>
      <c r="D190" s="39">
        <v>5</v>
      </c>
      <c r="E190" s="38" t="s">
        <v>78</v>
      </c>
      <c r="F190" s="38" t="str">
        <f>VLOOKUP(E:E,Table10[[COUNTRY NAME]:[CONTINENT CODE]],3,FALSE)</f>
        <v>EU</v>
      </c>
      <c r="G190" s="155" t="s">
        <v>11091</v>
      </c>
      <c r="H190" s="40">
        <v>11794</v>
      </c>
      <c r="I190" s="41">
        <v>28.25</v>
      </c>
      <c r="J190" s="157">
        <v>279981154</v>
      </c>
      <c r="K190" s="42">
        <f>IFERROR(Table215[[#This Row],[ROUTE $]]/Table215[[#This Row],[E - DEMAND]],0)</f>
        <v>66424.94756820878</v>
      </c>
      <c r="L190" s="43">
        <v>4215</v>
      </c>
      <c r="M190" s="39">
        <f>VLOOKUP(Table215[[#This Row],[ROUTE]],DEMAND!A:F,5,FALSE)</f>
        <v>4217</v>
      </c>
      <c r="N190" s="39">
        <f>VLOOKUP(Table215[[#This Row],[ROUTE]],DEMAND!A:F,6,FALSE)</f>
        <v>257</v>
      </c>
      <c r="O190" s="39">
        <f>ROUNDDOWN(Table215[[#This Row],[R-DEMAND]]/1320,0)</f>
        <v>0</v>
      </c>
      <c r="P190" s="41">
        <f>Table215[[#This Row],[ADD ACC]]*Table215[[#This Row],[RT TIME (744)]]</f>
        <v>0</v>
      </c>
    </row>
    <row r="191" spans="1:16" ht="15" customHeight="1" x14ac:dyDescent="0.25">
      <c r="A191" s="38" t="s">
        <v>13768</v>
      </c>
      <c r="B191" s="39" t="s">
        <v>204</v>
      </c>
      <c r="C191" s="39" t="s">
        <v>2</v>
      </c>
      <c r="D191" s="39">
        <v>3</v>
      </c>
      <c r="E191" s="38" t="s">
        <v>78</v>
      </c>
      <c r="F191" s="38" t="str">
        <f>VLOOKUP(E:E,Table10[[COUNTRY NAME]:[CONTINENT CODE]],3,FALSE)</f>
        <v>EU</v>
      </c>
      <c r="G191" s="155" t="s">
        <v>11832</v>
      </c>
      <c r="H191" s="40">
        <v>11539</v>
      </c>
      <c r="I191" s="41">
        <v>27.75</v>
      </c>
      <c r="J191" s="157">
        <v>261457693</v>
      </c>
      <c r="K191" s="42">
        <f>IFERROR(Table215[[#This Row],[ROUTE $]]/Table215[[#This Row],[E - DEMAND]],0)</f>
        <v>71164.314915623298</v>
      </c>
      <c r="L191" s="43">
        <v>3674</v>
      </c>
      <c r="M191" s="39">
        <f>VLOOKUP(Table215[[#This Row],[ROUTE]],DEMAND!A:F,5,FALSE)</f>
        <v>3675</v>
      </c>
      <c r="N191" s="39">
        <f>VLOOKUP(Table215[[#This Row],[ROUTE]],DEMAND!A:F,6,FALSE)</f>
        <v>1035</v>
      </c>
      <c r="O191" s="39">
        <f>ROUNDDOWN(Table215[[#This Row],[R-DEMAND]]/1320,0)</f>
        <v>0</v>
      </c>
      <c r="P191" s="41">
        <f>Table215[[#This Row],[ADD ACC]]*Table215[[#This Row],[RT TIME (744)]]</f>
        <v>0</v>
      </c>
    </row>
    <row r="192" spans="1:16" ht="15" customHeight="1" x14ac:dyDescent="0.25">
      <c r="A192" s="38" t="s">
        <v>13770</v>
      </c>
      <c r="B192" s="39" t="s">
        <v>4828</v>
      </c>
      <c r="C192" s="39" t="s">
        <v>2</v>
      </c>
      <c r="D192" s="39">
        <v>3</v>
      </c>
      <c r="E192" s="38" t="s">
        <v>78</v>
      </c>
      <c r="F192" s="38" t="str">
        <f>VLOOKUP(E:E,Table10[[COUNTRY NAME]:[CONTINENT CODE]],3,FALSE)</f>
        <v>EU</v>
      </c>
      <c r="G192" s="155" t="s">
        <v>11879</v>
      </c>
      <c r="H192" s="40">
        <v>11501</v>
      </c>
      <c r="I192" s="41">
        <v>27.5</v>
      </c>
      <c r="J192" s="157">
        <v>247477293</v>
      </c>
      <c r="K192" s="42">
        <f>IFERROR(Table215[[#This Row],[ROUTE $]]/Table215[[#This Row],[E - DEMAND]],0)</f>
        <v>76951.894589552234</v>
      </c>
      <c r="L192" s="43">
        <v>3216</v>
      </c>
      <c r="M192" s="39">
        <f>VLOOKUP(Table215[[#This Row],[ROUTE]],DEMAND!A:F,5,FALSE)</f>
        <v>3217</v>
      </c>
      <c r="N192" s="39">
        <f>VLOOKUP(Table215[[#This Row],[ROUTE]],DEMAND!A:F,6,FALSE)</f>
        <v>577</v>
      </c>
      <c r="O192" s="39">
        <f>ROUNDDOWN(Table215[[#This Row],[R-DEMAND]]/1320,0)</f>
        <v>0</v>
      </c>
      <c r="P192" s="41">
        <f>Table215[[#This Row],[ADD ACC]]*Table215[[#This Row],[RT TIME (744)]]</f>
        <v>0</v>
      </c>
    </row>
    <row r="193" spans="1:16" ht="15" customHeight="1" x14ac:dyDescent="0.25">
      <c r="A193" s="38" t="s">
        <v>13769</v>
      </c>
      <c r="B193" s="39" t="s">
        <v>4860</v>
      </c>
      <c r="C193" s="39" t="s">
        <v>2</v>
      </c>
      <c r="D193" s="39">
        <v>3</v>
      </c>
      <c r="E193" s="38" t="s">
        <v>78</v>
      </c>
      <c r="F193" s="38" t="str">
        <f>VLOOKUP(E:E,Table10[[COUNTRY NAME]:[CONTINENT CODE]],3,FALSE)</f>
        <v>EU</v>
      </c>
      <c r="G193" s="155" t="s">
        <v>11870</v>
      </c>
      <c r="H193" s="40">
        <v>11502</v>
      </c>
      <c r="I193" s="41">
        <v>27.5</v>
      </c>
      <c r="J193" s="157">
        <v>247887674</v>
      </c>
      <c r="K193" s="42">
        <f>IFERROR(Table215[[#This Row],[ROUTE $]]/Table215[[#This Row],[E - DEMAND]],0)</f>
        <v>76745.409907120746</v>
      </c>
      <c r="L193" s="43">
        <v>3230</v>
      </c>
      <c r="M193" s="39">
        <f>VLOOKUP(Table215[[#This Row],[ROUTE]],DEMAND!A:F,5,FALSE)</f>
        <v>3231</v>
      </c>
      <c r="N193" s="39">
        <f>VLOOKUP(Table215[[#This Row],[ROUTE]],DEMAND!A:F,6,FALSE)</f>
        <v>591</v>
      </c>
      <c r="O193" s="39">
        <f>ROUNDDOWN(Table215[[#This Row],[R-DEMAND]]/1320,0)</f>
        <v>0</v>
      </c>
      <c r="P193" s="41">
        <f>Table215[[#This Row],[ADD ACC]]*Table215[[#This Row],[RT TIME (744)]]</f>
        <v>0</v>
      </c>
    </row>
    <row r="194" spans="1:16" ht="15" customHeight="1" x14ac:dyDescent="0.25">
      <c r="A194" s="38" t="s">
        <v>13773</v>
      </c>
      <c r="B194" s="39" t="s">
        <v>3708</v>
      </c>
      <c r="C194" s="39" t="s">
        <v>2</v>
      </c>
      <c r="D194" s="39">
        <v>2</v>
      </c>
      <c r="E194" s="38" t="s">
        <v>3706</v>
      </c>
      <c r="F194" s="38" t="str">
        <f>VLOOKUP(E:E,Table10[[COUNTRY NAME]:[CONTINENT CODE]],3,FALSE)</f>
        <v>OC</v>
      </c>
      <c r="G194" s="155" t="s">
        <v>11862</v>
      </c>
      <c r="H194" s="40">
        <v>12791</v>
      </c>
      <c r="I194" s="41">
        <v>30.5</v>
      </c>
      <c r="J194" s="157">
        <v>249551015</v>
      </c>
      <c r="K194" s="42">
        <f>IFERROR(Table215[[#This Row],[ROUTE $]]/Table215[[#This Row],[E - DEMAND]],0)</f>
        <v>81873.692585301833</v>
      </c>
      <c r="L194" s="43">
        <v>3048</v>
      </c>
      <c r="M194" s="39">
        <f>VLOOKUP(Table215[[#This Row],[ROUTE]],DEMAND!A:F,5,FALSE)</f>
        <v>3201</v>
      </c>
      <c r="N194" s="39">
        <f>VLOOKUP(Table215[[#This Row],[ROUTE]],DEMAND!A:F,6,FALSE)</f>
        <v>561</v>
      </c>
      <c r="O194" s="39">
        <f>ROUNDDOWN(Table215[[#This Row],[R-DEMAND]]/1320,0)</f>
        <v>0</v>
      </c>
      <c r="P194" s="41">
        <f>Table215[[#This Row],[ADD ACC]]*Table215[[#This Row],[RT TIME (744)]]</f>
        <v>0</v>
      </c>
    </row>
    <row r="195" spans="1:16" ht="15" customHeight="1" x14ac:dyDescent="0.25">
      <c r="A195" s="38" t="s">
        <v>13774</v>
      </c>
      <c r="B195" s="39" t="s">
        <v>5260</v>
      </c>
      <c r="C195" s="39" t="s">
        <v>2</v>
      </c>
      <c r="D195" s="39">
        <v>3</v>
      </c>
      <c r="E195" s="38" t="s">
        <v>172</v>
      </c>
      <c r="F195" s="38" t="str">
        <f>VLOOKUP(E:E,Table10[[COUNTRY NAME]:[CONTINENT CODE]],3,FALSE)</f>
        <v>AS</v>
      </c>
      <c r="G195" s="155" t="s">
        <v>11951</v>
      </c>
      <c r="H195" s="40">
        <v>11731</v>
      </c>
      <c r="I195" s="41">
        <v>28</v>
      </c>
      <c r="J195" s="157">
        <v>258397812</v>
      </c>
      <c r="K195" s="42">
        <f>IFERROR(Table215[[#This Row],[ROUTE $]]/Table215[[#This Row],[E - DEMAND]],0)</f>
        <v>77877.580470162749</v>
      </c>
      <c r="L195" s="43">
        <v>3318</v>
      </c>
      <c r="M195" s="39">
        <f>VLOOKUP(Table215[[#This Row],[ROUTE]],DEMAND!A:F,5,FALSE)</f>
        <v>3475</v>
      </c>
      <c r="N195" s="39">
        <f>VLOOKUP(Table215[[#This Row],[ROUTE]],DEMAND!A:F,6,FALSE)</f>
        <v>835</v>
      </c>
      <c r="O195" s="39">
        <f>ROUNDDOWN(Table215[[#This Row],[R-DEMAND]]/1320,0)</f>
        <v>0</v>
      </c>
      <c r="P195" s="41">
        <f>Table215[[#This Row],[ADD ACC]]*Table215[[#This Row],[RT TIME (744)]]</f>
        <v>0</v>
      </c>
    </row>
    <row r="196" spans="1:16" ht="15" customHeight="1" x14ac:dyDescent="0.25">
      <c r="A196" s="38" t="s">
        <v>13778</v>
      </c>
      <c r="B196" s="39" t="s">
        <v>110</v>
      </c>
      <c r="C196" s="39" t="s">
        <v>2</v>
      </c>
      <c r="D196" s="39">
        <v>5</v>
      </c>
      <c r="E196" s="38" t="s">
        <v>172</v>
      </c>
      <c r="F196" s="38" t="str">
        <f>VLOOKUP(E:E,Table10[[COUNTRY NAME]:[CONTINENT CODE]],3,FALSE)</f>
        <v>AS</v>
      </c>
      <c r="G196" s="155" t="s">
        <v>11045</v>
      </c>
      <c r="H196" s="40">
        <v>11382</v>
      </c>
      <c r="I196" s="41">
        <v>27.25</v>
      </c>
      <c r="J196" s="157">
        <v>277395723</v>
      </c>
      <c r="K196" s="42">
        <f>IFERROR(Table215[[#This Row],[ROUTE $]]/Table215[[#This Row],[E - DEMAND]],0)</f>
        <v>68969.597961213323</v>
      </c>
      <c r="L196" s="43">
        <v>4022</v>
      </c>
      <c r="M196" s="39">
        <f>VLOOKUP(Table215[[#This Row],[ROUTE]],DEMAND!A:F,5,FALSE)</f>
        <v>4024</v>
      </c>
      <c r="N196" s="39">
        <f>VLOOKUP(Table215[[#This Row],[ROUTE]],DEMAND!A:F,6,FALSE)</f>
        <v>64</v>
      </c>
      <c r="O196" s="39">
        <f>ROUNDDOWN(Table215[[#This Row],[R-DEMAND]]/1320,0)</f>
        <v>0</v>
      </c>
      <c r="P196" s="41">
        <f>Table215[[#This Row],[ADD ACC]]*Table215[[#This Row],[RT TIME (744)]]</f>
        <v>0</v>
      </c>
    </row>
    <row r="197" spans="1:16" ht="15" customHeight="1" x14ac:dyDescent="0.25">
      <c r="A197" s="38" t="s">
        <v>13791</v>
      </c>
      <c r="B197" s="39" t="s">
        <v>454</v>
      </c>
      <c r="C197" s="39" t="s">
        <v>2</v>
      </c>
      <c r="D197" s="39">
        <v>4</v>
      </c>
      <c r="E197" s="38" t="s">
        <v>172</v>
      </c>
      <c r="F197" s="38" t="str">
        <f>VLOOKUP(E:E,Table10[[COUNTRY NAME]:[CONTINENT CODE]],3,FALSE)</f>
        <v>AS</v>
      </c>
      <c r="G197" s="155" t="s">
        <v>10941</v>
      </c>
      <c r="H197" s="40">
        <v>10719</v>
      </c>
      <c r="I197" s="41">
        <v>25.75</v>
      </c>
      <c r="J197" s="157">
        <v>263675890</v>
      </c>
      <c r="K197" s="42">
        <f>IFERROR(Table215[[#This Row],[ROUTE $]]/Table215[[#This Row],[E - DEMAND]],0)</f>
        <v>69097.45545073376</v>
      </c>
      <c r="L197" s="43">
        <v>3816</v>
      </c>
      <c r="M197" s="39">
        <f>VLOOKUP(Table215[[#This Row],[ROUTE]],DEMAND!A:F,5,FALSE)</f>
        <v>3817</v>
      </c>
      <c r="N197" s="39">
        <f>VLOOKUP(Table215[[#This Row],[ROUTE]],DEMAND!A:F,6,FALSE)</f>
        <v>1177</v>
      </c>
      <c r="O197" s="39">
        <f>ROUNDDOWN(Table215[[#This Row],[R-DEMAND]]/1320,0)</f>
        <v>0</v>
      </c>
      <c r="P197" s="41">
        <f>Table215[[#This Row],[ADD ACC]]*Table215[[#This Row],[RT TIME (744)]]</f>
        <v>0</v>
      </c>
    </row>
    <row r="198" spans="1:16" ht="15" customHeight="1" x14ac:dyDescent="0.25">
      <c r="A198" s="38" t="s">
        <v>13792</v>
      </c>
      <c r="B198" s="39" t="s">
        <v>173</v>
      </c>
      <c r="C198" s="39" t="s">
        <v>2</v>
      </c>
      <c r="D198" s="39">
        <v>5</v>
      </c>
      <c r="E198" s="38" t="s">
        <v>172</v>
      </c>
      <c r="F198" s="38" t="str">
        <f>VLOOKUP(E:E,Table10[[COUNTRY NAME]:[CONTINENT CODE]],3,FALSE)</f>
        <v>AS</v>
      </c>
      <c r="G198" s="155" t="s">
        <v>171</v>
      </c>
      <c r="H198" s="40">
        <v>10709</v>
      </c>
      <c r="I198" s="41">
        <v>25.75</v>
      </c>
      <c r="J198" s="157">
        <v>272245885</v>
      </c>
      <c r="K198" s="42">
        <f>IFERROR(Table215[[#This Row],[ROUTE $]]/Table215[[#This Row],[E - DEMAND]],0)</f>
        <v>67454.381813676911</v>
      </c>
      <c r="L198" s="43">
        <v>4036</v>
      </c>
      <c r="M198" s="39">
        <f>VLOOKUP(Table215[[#This Row],[ROUTE]],DEMAND!A:F,5,FALSE)</f>
        <v>4038</v>
      </c>
      <c r="N198" s="39">
        <f>VLOOKUP(Table215[[#This Row],[ROUTE]],DEMAND!A:F,6,FALSE)</f>
        <v>78</v>
      </c>
      <c r="O198" s="39">
        <f>ROUNDDOWN(Table215[[#This Row],[R-DEMAND]]/1320,0)</f>
        <v>0</v>
      </c>
      <c r="P198" s="41">
        <f>Table215[[#This Row],[ADD ACC]]*Table215[[#This Row],[RT TIME (744)]]</f>
        <v>0</v>
      </c>
    </row>
    <row r="199" spans="1:16" ht="15" customHeight="1" x14ac:dyDescent="0.25">
      <c r="A199" s="38" t="s">
        <v>13798</v>
      </c>
      <c r="B199" s="39" t="s">
        <v>5639</v>
      </c>
      <c r="C199" s="39" t="s">
        <v>2</v>
      </c>
      <c r="D199" s="39">
        <v>4</v>
      </c>
      <c r="E199" s="38" t="s">
        <v>172</v>
      </c>
      <c r="F199" s="38" t="str">
        <f>VLOOKUP(E:E,Table10[[COUNTRY NAME]:[CONTINENT CODE]],3,FALSE)</f>
        <v>AS</v>
      </c>
      <c r="G199" s="155" t="s">
        <v>11075</v>
      </c>
      <c r="H199" s="40">
        <v>10532</v>
      </c>
      <c r="I199" s="41">
        <v>25.5</v>
      </c>
      <c r="J199" s="157">
        <v>263012815</v>
      </c>
      <c r="K199" s="42">
        <f>IFERROR(Table215[[#This Row],[ROUTE $]]/Table215[[#This Row],[E - DEMAND]],0)</f>
        <v>68386.067342693714</v>
      </c>
      <c r="L199" s="43">
        <v>3846</v>
      </c>
      <c r="M199" s="39">
        <f>VLOOKUP(Table215[[#This Row],[ROUTE]],DEMAND!A:F,5,FALSE)</f>
        <v>3847</v>
      </c>
      <c r="N199" s="39">
        <f>VLOOKUP(Table215[[#This Row],[ROUTE]],DEMAND!A:F,6,FALSE)</f>
        <v>1207</v>
      </c>
      <c r="O199" s="39">
        <f>ROUNDDOWN(Table215[[#This Row],[R-DEMAND]]/1320,0)</f>
        <v>0</v>
      </c>
      <c r="P199" s="41">
        <f>Table215[[#This Row],[ADD ACC]]*Table215[[#This Row],[RT TIME (744)]]</f>
        <v>0</v>
      </c>
    </row>
    <row r="200" spans="1:16" ht="15" customHeight="1" x14ac:dyDescent="0.25">
      <c r="A200" s="38" t="s">
        <v>13800</v>
      </c>
      <c r="B200" s="39" t="s">
        <v>5163</v>
      </c>
      <c r="C200" s="39" t="s">
        <v>2</v>
      </c>
      <c r="D200" s="39">
        <v>3</v>
      </c>
      <c r="E200" s="38" t="s">
        <v>611</v>
      </c>
      <c r="F200" s="38" t="str">
        <f>VLOOKUP(E:E,Table10[[COUNTRY NAME]:[CONTINENT CODE]],3,FALSE)</f>
        <v>AF</v>
      </c>
      <c r="G200" s="155" t="s">
        <v>13250</v>
      </c>
      <c r="H200" s="40">
        <v>5308</v>
      </c>
      <c r="I200" s="41">
        <v>14</v>
      </c>
      <c r="J200" s="157">
        <v>192601517</v>
      </c>
      <c r="K200" s="42">
        <f>IFERROR(Table215[[#This Row],[ROUTE $]]/Table215[[#This Row],[E - DEMAND]],0)</f>
        <v>45543.040198628514</v>
      </c>
      <c r="L200" s="43">
        <v>4229</v>
      </c>
      <c r="M200" s="39">
        <f>VLOOKUP(Table215[[#This Row],[ROUTE]],DEMAND!A:F,5,FALSE)</f>
        <v>4387</v>
      </c>
      <c r="N200" s="39">
        <f>VLOOKUP(Table215[[#This Row],[ROUTE]],DEMAND!A:F,6,FALSE)</f>
        <v>427</v>
      </c>
      <c r="O200" s="39">
        <f>ROUNDDOWN(Table215[[#This Row],[R-DEMAND]]/1320,0)</f>
        <v>0</v>
      </c>
      <c r="P200" s="41">
        <f>Table215[[#This Row],[ADD ACC]]*Table215[[#This Row],[RT TIME (744)]]</f>
        <v>0</v>
      </c>
    </row>
    <row r="201" spans="1:16" ht="15" customHeight="1" x14ac:dyDescent="0.25">
      <c r="A201" s="38" t="s">
        <v>13802</v>
      </c>
      <c r="B201" s="39" t="s">
        <v>3772</v>
      </c>
      <c r="C201" s="39" t="s">
        <v>2</v>
      </c>
      <c r="D201" s="39">
        <v>2</v>
      </c>
      <c r="E201" s="38" t="s">
        <v>2851</v>
      </c>
      <c r="F201" s="38" t="str">
        <f>VLOOKUP(E:E,Table10[[COUNTRY NAME]:[CONTINENT CODE]],3,FALSE)</f>
        <v>AF</v>
      </c>
      <c r="G201" s="155" t="s">
        <v>12007</v>
      </c>
      <c r="H201" s="40">
        <v>11018</v>
      </c>
      <c r="I201" s="41">
        <v>26.5</v>
      </c>
      <c r="J201" s="157"/>
      <c r="K201" s="42">
        <f>IFERROR(Table215[[#This Row],[ROUTE $]]/Table215[[#This Row],[E - DEMAND]],0)</f>
        <v>0</v>
      </c>
      <c r="L201" s="43"/>
      <c r="M201" s="39">
        <f>VLOOKUP(Table215[[#This Row],[ROUTE]],DEMAND!A:F,5,FALSE)</f>
        <v>2845</v>
      </c>
      <c r="N201" s="39">
        <f>VLOOKUP(Table215[[#This Row],[ROUTE]],DEMAND!A:F,6,FALSE)</f>
        <v>205</v>
      </c>
      <c r="O201" s="39">
        <f>ROUNDDOWN(Table215[[#This Row],[R-DEMAND]]/1320,0)</f>
        <v>0</v>
      </c>
      <c r="P201" s="41">
        <f>Table215[[#This Row],[ADD ACC]]*Table215[[#This Row],[RT TIME (744)]]</f>
        <v>0</v>
      </c>
    </row>
    <row r="202" spans="1:16" ht="15" customHeight="1" x14ac:dyDescent="0.25">
      <c r="A202" s="38" t="s">
        <v>13808</v>
      </c>
      <c r="B202" s="39" t="s">
        <v>433</v>
      </c>
      <c r="C202" s="39" t="s">
        <v>2</v>
      </c>
      <c r="D202" s="39">
        <v>2</v>
      </c>
      <c r="E202" s="38" t="s">
        <v>1513</v>
      </c>
      <c r="F202" s="38" t="str">
        <f>VLOOKUP(E:E,Table10[[COUNTRY NAME]:[CONTINENT CODE]],3,FALSE)</f>
        <v>AF</v>
      </c>
      <c r="G202" s="155" t="s">
        <v>10731</v>
      </c>
      <c r="H202" s="40">
        <v>10609</v>
      </c>
      <c r="I202" s="41">
        <v>25.5</v>
      </c>
      <c r="J202" s="157">
        <v>227265817</v>
      </c>
      <c r="K202" s="42">
        <f>IFERROR(Table215[[#This Row],[ROUTE $]]/Table215[[#This Row],[E - DEMAND]],0)</f>
        <v>48937.514427217917</v>
      </c>
      <c r="L202" s="43">
        <v>4644</v>
      </c>
      <c r="M202" s="39">
        <f>VLOOKUP(Table215[[#This Row],[ROUTE]],DEMAND!A:F,5,FALSE)</f>
        <v>4801</v>
      </c>
      <c r="N202" s="39">
        <f>VLOOKUP(Table215[[#This Row],[ROUTE]],DEMAND!A:F,6,FALSE)</f>
        <v>841</v>
      </c>
      <c r="O202" s="39">
        <f>ROUNDDOWN(Table215[[#This Row],[R-DEMAND]]/1320,0)</f>
        <v>0</v>
      </c>
      <c r="P202" s="41">
        <f>Table215[[#This Row],[ADD ACC]]*Table215[[#This Row],[RT TIME (744)]]</f>
        <v>0</v>
      </c>
    </row>
    <row r="203" spans="1:16" ht="15" customHeight="1" x14ac:dyDescent="0.25">
      <c r="A203" s="38" t="s">
        <v>13807</v>
      </c>
      <c r="B203" s="39" t="s">
        <v>2007</v>
      </c>
      <c r="C203" s="39" t="s">
        <v>2</v>
      </c>
      <c r="D203" s="39">
        <v>1</v>
      </c>
      <c r="E203" s="38" t="s">
        <v>1513</v>
      </c>
      <c r="F203" s="38" t="str">
        <f>VLOOKUP(E:E,Table10[[COUNTRY NAME]:[CONTINENT CODE]],3,FALSE)</f>
        <v>AF</v>
      </c>
      <c r="G203" s="155" t="s">
        <v>11967</v>
      </c>
      <c r="H203" s="40">
        <v>10707</v>
      </c>
      <c r="I203" s="41">
        <v>25.75</v>
      </c>
      <c r="J203" s="157">
        <v>225341771</v>
      </c>
      <c r="K203" s="42">
        <f>IFERROR(Table215[[#This Row],[ROUTE $]]/Table215[[#This Row],[E - DEMAND]],0)</f>
        <v>50031.476687388989</v>
      </c>
      <c r="L203" s="43">
        <v>4504</v>
      </c>
      <c r="M203" s="39">
        <f>VLOOKUP(Table215[[#This Row],[ROUTE]],DEMAND!A:F,5,FALSE)</f>
        <v>4761</v>
      </c>
      <c r="N203" s="39">
        <f>VLOOKUP(Table215[[#This Row],[ROUTE]],DEMAND!A:F,6,FALSE)</f>
        <v>801</v>
      </c>
      <c r="O203" s="39">
        <f>ROUNDDOWN(Table215[[#This Row],[R-DEMAND]]/1320,0)</f>
        <v>0</v>
      </c>
      <c r="P203" s="41">
        <f>Table215[[#This Row],[ADD ACC]]*Table215[[#This Row],[RT TIME (744)]]</f>
        <v>0</v>
      </c>
    </row>
    <row r="204" spans="1:16" ht="15" customHeight="1" x14ac:dyDescent="0.25">
      <c r="A204" s="38" t="s">
        <v>13809</v>
      </c>
      <c r="B204" s="39" t="s">
        <v>2258</v>
      </c>
      <c r="C204" s="39" t="s">
        <v>2</v>
      </c>
      <c r="D204" s="39">
        <v>1</v>
      </c>
      <c r="E204" s="38" t="s">
        <v>1513</v>
      </c>
      <c r="F204" s="38" t="str">
        <f>VLOOKUP(E:E,Table10[[COUNTRY NAME]:[CONTINENT CODE]],3,FALSE)</f>
        <v>AF</v>
      </c>
      <c r="G204" s="155" t="s">
        <v>11963</v>
      </c>
      <c r="H204" s="40">
        <v>10279</v>
      </c>
      <c r="I204" s="41">
        <v>25</v>
      </c>
      <c r="J204" s="157">
        <v>221391775</v>
      </c>
      <c r="K204" s="42">
        <f>IFERROR(Table215[[#This Row],[ROUTE $]]/Table215[[#This Row],[E - DEMAND]],0)</f>
        <v>48711.061606160612</v>
      </c>
      <c r="L204" s="43">
        <v>4545</v>
      </c>
      <c r="M204" s="39">
        <f>VLOOKUP(Table215[[#This Row],[ROUTE]],DEMAND!A:F,5,FALSE)</f>
        <v>4820</v>
      </c>
      <c r="N204" s="39">
        <f>VLOOKUP(Table215[[#This Row],[ROUTE]],DEMAND!A:F,6,FALSE)</f>
        <v>860</v>
      </c>
      <c r="O204" s="39">
        <f>ROUNDDOWN(Table215[[#This Row],[R-DEMAND]]/1320,0)</f>
        <v>0</v>
      </c>
      <c r="P204" s="41">
        <f>Table215[[#This Row],[ADD ACC]]*Table215[[#This Row],[RT TIME (744)]]</f>
        <v>0</v>
      </c>
    </row>
    <row r="205" spans="1:16" ht="15" customHeight="1" x14ac:dyDescent="0.25">
      <c r="A205" s="38" t="s">
        <v>13811</v>
      </c>
      <c r="B205" s="39" t="s">
        <v>326</v>
      </c>
      <c r="C205" s="39" t="s">
        <v>2</v>
      </c>
      <c r="D205" s="39">
        <v>3</v>
      </c>
      <c r="E205" s="38" t="s">
        <v>926</v>
      </c>
      <c r="F205" s="38" t="str">
        <f>VLOOKUP(E:E,Table10[[COUNTRY NAME]:[CONTINENT CODE]],3,FALSE)</f>
        <v>AF</v>
      </c>
      <c r="G205" s="155" t="s">
        <v>11905</v>
      </c>
      <c r="H205" s="40">
        <v>7608</v>
      </c>
      <c r="I205" s="41">
        <v>19</v>
      </c>
      <c r="J205" s="157">
        <v>219138867</v>
      </c>
      <c r="K205" s="42">
        <f>IFERROR(Table215[[#This Row],[ROUTE $]]/Table215[[#This Row],[E - DEMAND]],0)</f>
        <v>59532.427872860637</v>
      </c>
      <c r="L205" s="43">
        <v>3681</v>
      </c>
      <c r="M205" s="39">
        <f>VLOOKUP(Table215[[#This Row],[ROUTE]],DEMAND!A:F,5,FALSE)</f>
        <v>3818</v>
      </c>
      <c r="N205" s="39">
        <f>VLOOKUP(Table215[[#This Row],[ROUTE]],DEMAND!A:F,6,FALSE)</f>
        <v>1178</v>
      </c>
      <c r="O205" s="39">
        <f>ROUNDDOWN(Table215[[#This Row],[R-DEMAND]]/1320,0)</f>
        <v>0</v>
      </c>
      <c r="P205" s="41">
        <f>Table215[[#This Row],[ADD ACC]]*Table215[[#This Row],[RT TIME (744)]]</f>
        <v>0</v>
      </c>
    </row>
    <row r="206" spans="1:16" ht="15" customHeight="1" x14ac:dyDescent="0.25">
      <c r="A206" s="38" t="s">
        <v>13812</v>
      </c>
      <c r="B206" s="39" t="s">
        <v>234</v>
      </c>
      <c r="C206" s="39" t="s">
        <v>2</v>
      </c>
      <c r="D206" s="39">
        <v>4</v>
      </c>
      <c r="E206" s="38" t="s">
        <v>926</v>
      </c>
      <c r="F206" s="38" t="str">
        <f>VLOOKUP(E:E,Table10[[COUNTRY NAME]:[CONTINENT CODE]],3,FALSE)</f>
        <v>AF</v>
      </c>
      <c r="G206" s="155" t="s">
        <v>11074</v>
      </c>
      <c r="H206" s="40">
        <v>7440</v>
      </c>
      <c r="I206" s="41">
        <v>18.5</v>
      </c>
      <c r="J206" s="157">
        <v>235520723</v>
      </c>
      <c r="K206" s="42">
        <f>IFERROR(Table215[[#This Row],[ROUTE $]]/Table215[[#This Row],[E - DEMAND]],0)</f>
        <v>56520.451883849295</v>
      </c>
      <c r="L206" s="43">
        <v>4167</v>
      </c>
      <c r="M206" s="39">
        <f>VLOOKUP(Table215[[#This Row],[ROUTE]],DEMAND!A:F,5,FALSE)</f>
        <v>4418</v>
      </c>
      <c r="N206" s="39">
        <f>VLOOKUP(Table215[[#This Row],[ROUTE]],DEMAND!A:F,6,FALSE)</f>
        <v>458</v>
      </c>
      <c r="O206" s="39">
        <f>ROUNDDOWN(Table215[[#This Row],[R-DEMAND]]/1320,0)</f>
        <v>0</v>
      </c>
      <c r="P206" s="41">
        <f>Table215[[#This Row],[ADD ACC]]*Table215[[#This Row],[RT TIME (744)]]</f>
        <v>0</v>
      </c>
    </row>
    <row r="207" spans="1:16" ht="15" customHeight="1" x14ac:dyDescent="0.25">
      <c r="A207" s="38" t="s">
        <v>13816</v>
      </c>
      <c r="B207" s="39" t="s">
        <v>353</v>
      </c>
      <c r="C207" s="39" t="s">
        <v>2</v>
      </c>
      <c r="D207" s="39">
        <v>4</v>
      </c>
      <c r="E207" s="38" t="s">
        <v>926</v>
      </c>
      <c r="F207" s="38" t="str">
        <f>VLOOKUP(E:E,Table10[[COUNTRY NAME]:[CONTINENT CODE]],3,FALSE)</f>
        <v>AF</v>
      </c>
      <c r="G207" s="155" t="s">
        <v>11094</v>
      </c>
      <c r="H207" s="40">
        <v>6352</v>
      </c>
      <c r="I207" s="41">
        <v>16.25</v>
      </c>
      <c r="J207" s="157">
        <v>213648565</v>
      </c>
      <c r="K207" s="42">
        <f>IFERROR(Table215[[#This Row],[ROUTE $]]/Table215[[#This Row],[E - DEMAND]],0)</f>
        <v>55637.647135416664</v>
      </c>
      <c r="L207" s="43">
        <v>3840</v>
      </c>
      <c r="M207" s="39">
        <f>VLOOKUP(Table215[[#This Row],[ROUTE]],DEMAND!A:F,5,FALSE)</f>
        <v>4059</v>
      </c>
      <c r="N207" s="39">
        <f>VLOOKUP(Table215[[#This Row],[ROUTE]],DEMAND!A:F,6,FALSE)</f>
        <v>-1221</v>
      </c>
      <c r="O207" s="39">
        <f>ROUNDDOWN(Table215[[#This Row],[R-DEMAND]]/1320,0)</f>
        <v>0</v>
      </c>
      <c r="P207" s="41">
        <f>Table215[[#This Row],[ADD ACC]]*Table215[[#This Row],[RT TIME (744)]]</f>
        <v>0</v>
      </c>
    </row>
    <row r="208" spans="1:16" ht="15" customHeight="1" x14ac:dyDescent="0.25">
      <c r="A208" s="38" t="s">
        <v>13817</v>
      </c>
      <c r="B208" s="39" t="s">
        <v>430</v>
      </c>
      <c r="C208" s="39" t="s">
        <v>2</v>
      </c>
      <c r="D208" s="39">
        <v>5</v>
      </c>
      <c r="E208" s="38" t="s">
        <v>119</v>
      </c>
      <c r="F208" s="38" t="str">
        <f>VLOOKUP(E:E,Table10[[COUNTRY NAME]:[CONTINENT CODE]],3,FALSE)</f>
        <v>EU</v>
      </c>
      <c r="G208" s="155" t="s">
        <v>11107</v>
      </c>
      <c r="H208" s="40">
        <v>8766</v>
      </c>
      <c r="I208" s="41">
        <v>21.5</v>
      </c>
      <c r="J208" s="157">
        <v>256928195</v>
      </c>
      <c r="K208" s="42">
        <f>IFERROR(Table215[[#This Row],[ROUTE $]]/Table215[[#This Row],[E - DEMAND]],0)</f>
        <v>86770.751435325903</v>
      </c>
      <c r="L208" s="43">
        <v>2961</v>
      </c>
      <c r="M208" s="39">
        <f>VLOOKUP(Table215[[#This Row],[ROUTE]],DEMAND!A:F,5,FALSE)</f>
        <v>2962</v>
      </c>
      <c r="N208" s="39">
        <f>VLOOKUP(Table215[[#This Row],[ROUTE]],DEMAND!A:F,6,FALSE)</f>
        <v>322</v>
      </c>
      <c r="O208" s="39">
        <f>ROUNDDOWN(Table215[[#This Row],[R-DEMAND]]/1320,0)</f>
        <v>0</v>
      </c>
      <c r="P208" s="41">
        <f>Table215[[#This Row],[ADD ACC]]*Table215[[#This Row],[RT TIME (744)]]</f>
        <v>0</v>
      </c>
    </row>
    <row r="209" spans="1:16" ht="15" customHeight="1" x14ac:dyDescent="0.25">
      <c r="A209" s="38" t="s">
        <v>13818</v>
      </c>
      <c r="B209" s="39" t="s">
        <v>120</v>
      </c>
      <c r="C209" s="39" t="s">
        <v>2</v>
      </c>
      <c r="D209" s="39">
        <v>5</v>
      </c>
      <c r="E209" s="38" t="s">
        <v>119</v>
      </c>
      <c r="F209" s="38" t="str">
        <f>VLOOKUP(E:E,Table10[[COUNTRY NAME]:[CONTINENT CODE]],3,FALSE)</f>
        <v>EU</v>
      </c>
      <c r="G209" s="155" t="s">
        <v>118</v>
      </c>
      <c r="H209" s="40">
        <v>8668</v>
      </c>
      <c r="I209" s="41">
        <v>21.25</v>
      </c>
      <c r="J209" s="157">
        <v>251209049</v>
      </c>
      <c r="K209" s="42">
        <f>IFERROR(Table215[[#This Row],[ROUTE $]]/Table215[[#This Row],[E - DEMAND]],0)</f>
        <v>87712.656773743016</v>
      </c>
      <c r="L209" s="43">
        <v>2864</v>
      </c>
      <c r="M209" s="39">
        <f>VLOOKUP(Table215[[#This Row],[ROUTE]],DEMAND!A:F,5,FALSE)</f>
        <v>2865</v>
      </c>
      <c r="N209" s="39">
        <f>VLOOKUP(Table215[[#This Row],[ROUTE]],DEMAND!A:F,6,FALSE)</f>
        <v>225</v>
      </c>
      <c r="O209" s="39">
        <f>ROUNDDOWN(Table215[[#This Row],[R-DEMAND]]/1320,0)</f>
        <v>0</v>
      </c>
      <c r="P209" s="41">
        <f>Table215[[#This Row],[ADD ACC]]*Table215[[#This Row],[RT TIME (744)]]</f>
        <v>0</v>
      </c>
    </row>
    <row r="210" spans="1:16" ht="15" customHeight="1" x14ac:dyDescent="0.25">
      <c r="A210" s="38" t="s">
        <v>13825</v>
      </c>
      <c r="B210" s="39" t="s">
        <v>5570</v>
      </c>
      <c r="C210" s="39" t="s">
        <v>2</v>
      </c>
      <c r="D210" s="39">
        <v>4</v>
      </c>
      <c r="E210" s="38" t="s">
        <v>119</v>
      </c>
      <c r="F210" s="38" t="str">
        <f>VLOOKUP(E:E,Table10[[COUNTRY NAME]:[CONTINENT CODE]],3,FALSE)</f>
        <v>EU</v>
      </c>
      <c r="G210" s="155" t="s">
        <v>11113</v>
      </c>
      <c r="H210" s="40">
        <v>8368</v>
      </c>
      <c r="I210" s="41">
        <v>20.75</v>
      </c>
      <c r="J210" s="157">
        <v>235857025</v>
      </c>
      <c r="K210" s="42">
        <f>IFERROR(Table215[[#This Row],[ROUTE $]]/Table215[[#This Row],[E - DEMAND]],0)</f>
        <v>90749.143901500574</v>
      </c>
      <c r="L210" s="43">
        <v>2599</v>
      </c>
      <c r="M210" s="39">
        <f>VLOOKUP(Table215[[#This Row],[ROUTE]],DEMAND!A:F,5,FALSE)</f>
        <v>2600</v>
      </c>
      <c r="N210" s="39">
        <f>VLOOKUP(Table215[[#This Row],[ROUTE]],DEMAND!A:F,6,FALSE)</f>
        <v>1280</v>
      </c>
      <c r="O210" s="39">
        <f>ROUNDDOWN(Table215[[#This Row],[R-DEMAND]]/1320,0)</f>
        <v>0</v>
      </c>
      <c r="P210" s="41">
        <f>Table215[[#This Row],[ADD ACC]]*Table215[[#This Row],[RT TIME (744)]]</f>
        <v>0</v>
      </c>
    </row>
    <row r="211" spans="1:16" ht="15" customHeight="1" x14ac:dyDescent="0.25">
      <c r="A211" s="38" t="s">
        <v>13824</v>
      </c>
      <c r="B211" s="39" t="s">
        <v>185</v>
      </c>
      <c r="C211" s="39" t="s">
        <v>2</v>
      </c>
      <c r="D211" s="39">
        <v>5</v>
      </c>
      <c r="E211" s="38" t="s">
        <v>119</v>
      </c>
      <c r="F211" s="38" t="str">
        <f>VLOOKUP(E:E,Table10[[COUNTRY NAME]:[CONTINENT CODE]],3,FALSE)</f>
        <v>EU</v>
      </c>
      <c r="G211" s="155" t="s">
        <v>11061</v>
      </c>
      <c r="H211" s="40">
        <v>8380</v>
      </c>
      <c r="I211" s="41">
        <v>20.75</v>
      </c>
      <c r="J211" s="157">
        <v>262148535</v>
      </c>
      <c r="K211" s="42">
        <f>IFERROR(Table215[[#This Row],[ROUTE $]]/Table215[[#This Row],[E - DEMAND]],0)</f>
        <v>83540.004780114716</v>
      </c>
      <c r="L211" s="43">
        <v>3138</v>
      </c>
      <c r="M211" s="39">
        <f>VLOOKUP(Table215[[#This Row],[ROUTE]],DEMAND!A:F,5,FALSE)</f>
        <v>3140</v>
      </c>
      <c r="N211" s="39">
        <f>VLOOKUP(Table215[[#This Row],[ROUTE]],DEMAND!A:F,6,FALSE)</f>
        <v>500</v>
      </c>
      <c r="O211" s="39">
        <f>ROUNDDOWN(Table215[[#This Row],[R-DEMAND]]/1320,0)</f>
        <v>0</v>
      </c>
      <c r="P211" s="41">
        <f>Table215[[#This Row],[ADD ACC]]*Table215[[#This Row],[RT TIME (744)]]</f>
        <v>0</v>
      </c>
    </row>
    <row r="212" spans="1:16" ht="15" customHeight="1" x14ac:dyDescent="0.25">
      <c r="A212" s="38" t="s">
        <v>13830</v>
      </c>
      <c r="B212" s="39" t="s">
        <v>5619</v>
      </c>
      <c r="C212" s="39" t="s">
        <v>2</v>
      </c>
      <c r="D212" s="39">
        <v>4</v>
      </c>
      <c r="E212" s="38" t="s">
        <v>119</v>
      </c>
      <c r="F212" s="38" t="str">
        <f>VLOOKUP(E:E,Table10[[COUNTRY NAME]:[CONTINENT CODE]],3,FALSE)</f>
        <v>EU</v>
      </c>
      <c r="G212" s="155" t="s">
        <v>11117</v>
      </c>
      <c r="H212" s="40">
        <v>8004</v>
      </c>
      <c r="I212" s="41">
        <v>19.75</v>
      </c>
      <c r="J212" s="157">
        <v>251209049</v>
      </c>
      <c r="K212" s="42">
        <f>IFERROR(Table215[[#This Row],[ROUTE $]]/Table215[[#This Row],[E - DEMAND]],0)</f>
        <v>97405.602559131439</v>
      </c>
      <c r="L212" s="43">
        <v>2579</v>
      </c>
      <c r="M212" s="39">
        <f>VLOOKUP(Table215[[#This Row],[ROUTE]],DEMAND!A:F,5,FALSE)</f>
        <v>2580</v>
      </c>
      <c r="N212" s="39">
        <f>VLOOKUP(Table215[[#This Row],[ROUTE]],DEMAND!A:F,6,FALSE)</f>
        <v>1260</v>
      </c>
      <c r="O212" s="39">
        <f>ROUNDDOWN(Table215[[#This Row],[R-DEMAND]]/1320,0)</f>
        <v>0</v>
      </c>
      <c r="P212" s="41">
        <f>Table215[[#This Row],[ADD ACC]]*Table215[[#This Row],[RT TIME (744)]]</f>
        <v>0</v>
      </c>
    </row>
    <row r="213" spans="1:16" ht="15" customHeight="1" x14ac:dyDescent="0.25">
      <c r="A213" s="38" t="s">
        <v>13833</v>
      </c>
      <c r="B213" s="39" t="s">
        <v>5583</v>
      </c>
      <c r="C213" s="39" t="s">
        <v>2</v>
      </c>
      <c r="D213" s="39">
        <v>4</v>
      </c>
      <c r="E213" s="38" t="s">
        <v>119</v>
      </c>
      <c r="F213" s="38" t="str">
        <f>VLOOKUP(E:E,Table10[[COUNTRY NAME]:[CONTINENT CODE]],3,FALSE)</f>
        <v>EU</v>
      </c>
      <c r="G213" s="155" t="s">
        <v>13252</v>
      </c>
      <c r="H213" s="40">
        <v>6614</v>
      </c>
      <c r="I213" s="41">
        <v>16.75</v>
      </c>
      <c r="J213" s="157">
        <v>219181060</v>
      </c>
      <c r="K213" s="42">
        <f>IFERROR(Table215[[#This Row],[ROUTE $]]/Table215[[#This Row],[E - DEMAND]],0)</f>
        <v>87114.888712241649</v>
      </c>
      <c r="L213" s="43">
        <v>2516</v>
      </c>
      <c r="M213" s="39">
        <f>VLOOKUP(Table215[[#This Row],[ROUTE]],DEMAND!A:F,5,FALSE)</f>
        <v>2517</v>
      </c>
      <c r="N213" s="39">
        <f>VLOOKUP(Table215[[#This Row],[ROUTE]],DEMAND!A:F,6,FALSE)</f>
        <v>1197</v>
      </c>
      <c r="O213" s="39">
        <f>ROUNDDOWN(Table215[[#This Row],[R-DEMAND]]/1320,0)</f>
        <v>0</v>
      </c>
      <c r="P213" s="41">
        <f>Table215[[#This Row],[ADD ACC]]*Table215[[#This Row],[RT TIME (744)]]</f>
        <v>0</v>
      </c>
    </row>
    <row r="214" spans="1:16" ht="15" customHeight="1" x14ac:dyDescent="0.25">
      <c r="A214" s="38" t="s">
        <v>13834</v>
      </c>
      <c r="B214" s="39" t="s">
        <v>5536</v>
      </c>
      <c r="C214" s="39" t="s">
        <v>2</v>
      </c>
      <c r="D214" s="39">
        <v>4</v>
      </c>
      <c r="E214" s="38" t="s">
        <v>119</v>
      </c>
      <c r="F214" s="38" t="str">
        <f>VLOOKUP(E:E,Table10[[COUNTRY NAME]:[CONTINENT CODE]],3,FALSE)</f>
        <v>EU</v>
      </c>
      <c r="G214" s="155" t="s">
        <v>13253</v>
      </c>
      <c r="H214" s="40">
        <v>6561</v>
      </c>
      <c r="I214" s="41">
        <v>16.75</v>
      </c>
      <c r="J214" s="157">
        <v>215998614</v>
      </c>
      <c r="K214" s="42">
        <f>IFERROR(Table215[[#This Row],[ROUTE $]]/Table215[[#This Row],[E - DEMAND]],0)</f>
        <v>87804.314634146343</v>
      </c>
      <c r="L214" s="43">
        <v>2460</v>
      </c>
      <c r="M214" s="39">
        <f>VLOOKUP(Table215[[#This Row],[ROUTE]],DEMAND!A:F,5,FALSE)</f>
        <v>2461</v>
      </c>
      <c r="N214" s="39">
        <f>VLOOKUP(Table215[[#This Row],[ROUTE]],DEMAND!A:F,6,FALSE)</f>
        <v>1141</v>
      </c>
      <c r="O214" s="39">
        <f>ROUNDDOWN(Table215[[#This Row],[R-DEMAND]]/1320,0)</f>
        <v>0</v>
      </c>
      <c r="P214" s="41">
        <f>Table215[[#This Row],[ADD ACC]]*Table215[[#This Row],[RT TIME (744)]]</f>
        <v>0</v>
      </c>
    </row>
    <row r="215" spans="1:16" ht="15" customHeight="1" x14ac:dyDescent="0.25">
      <c r="A215" s="38" t="s">
        <v>13836</v>
      </c>
      <c r="B215" s="39" t="s">
        <v>883</v>
      </c>
      <c r="C215" s="39" t="s">
        <v>2</v>
      </c>
      <c r="D215" s="39">
        <v>1</v>
      </c>
      <c r="E215" s="38" t="s">
        <v>881</v>
      </c>
      <c r="F215" s="38" t="str">
        <f>VLOOKUP(E:E,Table10[[COUNTRY NAME]:[CONTINENT CODE]],3,FALSE)</f>
        <v>AF</v>
      </c>
      <c r="G215" s="155" t="s">
        <v>9981</v>
      </c>
      <c r="H215" s="40">
        <v>9275</v>
      </c>
      <c r="I215" s="41">
        <v>22.75</v>
      </c>
      <c r="J215" s="157">
        <v>203289864</v>
      </c>
      <c r="K215" s="42">
        <f>IFERROR(Table215[[#This Row],[ROUTE $]]/Table215[[#This Row],[E - DEMAND]],0)</f>
        <v>64169.780303030304</v>
      </c>
      <c r="L215" s="43">
        <v>3168</v>
      </c>
      <c r="M215" s="39">
        <f>VLOOKUP(Table215[[#This Row],[ROUTE]],DEMAND!A:F,5,FALSE)</f>
        <v>3370</v>
      </c>
      <c r="N215" s="39">
        <f>VLOOKUP(Table215[[#This Row],[ROUTE]],DEMAND!A:F,6,FALSE)</f>
        <v>730</v>
      </c>
      <c r="O215" s="39">
        <f>ROUNDDOWN(Table215[[#This Row],[R-DEMAND]]/1320,0)</f>
        <v>0</v>
      </c>
      <c r="P215" s="41">
        <f>Table215[[#This Row],[ADD ACC]]*Table215[[#This Row],[RT TIME (744)]]</f>
        <v>0</v>
      </c>
    </row>
    <row r="216" spans="1:16" ht="15" customHeight="1" x14ac:dyDescent="0.25">
      <c r="A216" s="38" t="s">
        <v>13835</v>
      </c>
      <c r="B216" s="39" t="s">
        <v>3650</v>
      </c>
      <c r="C216" s="39" t="s">
        <v>2</v>
      </c>
      <c r="D216" s="39">
        <v>2</v>
      </c>
      <c r="E216" s="38" t="s">
        <v>881</v>
      </c>
      <c r="F216" s="38" t="str">
        <f>VLOOKUP(E:E,Table10[[COUNTRY NAME]:[CONTINENT CODE]],3,FALSE)</f>
        <v>AF</v>
      </c>
      <c r="G216" s="155" t="s">
        <v>11896</v>
      </c>
      <c r="H216" s="40">
        <v>9618</v>
      </c>
      <c r="I216" s="41">
        <v>23.5</v>
      </c>
      <c r="J216" s="157">
        <v>219308003</v>
      </c>
      <c r="K216" s="42">
        <f>IFERROR(Table215[[#This Row],[ROUTE $]]/Table215[[#This Row],[E - DEMAND]],0)</f>
        <v>60332.32544704264</v>
      </c>
      <c r="L216" s="43">
        <v>3635</v>
      </c>
      <c r="M216" s="39">
        <f>VLOOKUP(Table215[[#This Row],[ROUTE]],DEMAND!A:F,5,FALSE)</f>
        <v>3831</v>
      </c>
      <c r="N216" s="39">
        <f>VLOOKUP(Table215[[#This Row],[ROUTE]],DEMAND!A:F,6,FALSE)</f>
        <v>1191</v>
      </c>
      <c r="O216" s="39">
        <f>ROUNDDOWN(Table215[[#This Row],[R-DEMAND]]/1320,0)</f>
        <v>0</v>
      </c>
      <c r="P216" s="41">
        <f>Table215[[#This Row],[ADD ACC]]*Table215[[#This Row],[RT TIME (744)]]</f>
        <v>0</v>
      </c>
    </row>
    <row r="217" spans="1:16" ht="15" customHeight="1" x14ac:dyDescent="0.25">
      <c r="A217" s="38" t="s">
        <v>13837</v>
      </c>
      <c r="B217" s="39" t="s">
        <v>2394</v>
      </c>
      <c r="C217" s="39" t="s">
        <v>2</v>
      </c>
      <c r="D217" s="39">
        <v>1</v>
      </c>
      <c r="E217" s="38" t="s">
        <v>881</v>
      </c>
      <c r="F217" s="38" t="str">
        <f>VLOOKUP(E:E,Table10[[COUNTRY NAME]:[CONTINENT CODE]],3,FALSE)</f>
        <v>AF</v>
      </c>
      <c r="G217" s="155" t="s">
        <v>9934</v>
      </c>
      <c r="H217" s="40">
        <v>8824</v>
      </c>
      <c r="I217" s="41">
        <v>21.75</v>
      </c>
      <c r="J217" s="157">
        <v>204535677</v>
      </c>
      <c r="K217" s="42">
        <f>IFERROR(Table215[[#This Row],[ROUTE $]]/Table215[[#This Row],[E - DEMAND]],0)</f>
        <v>60495.615794143741</v>
      </c>
      <c r="L217" s="43">
        <v>3381</v>
      </c>
      <c r="M217" s="39">
        <f>VLOOKUP(Table215[[#This Row],[ROUTE]],DEMAND!A:F,5,FALSE)</f>
        <v>3596</v>
      </c>
      <c r="N217" s="39">
        <f>VLOOKUP(Table215[[#This Row],[ROUTE]],DEMAND!A:F,6,FALSE)</f>
        <v>956</v>
      </c>
      <c r="O217" s="39">
        <f>ROUNDDOWN(Table215[[#This Row],[R-DEMAND]]/1320,0)</f>
        <v>0</v>
      </c>
      <c r="P217" s="41">
        <f>Table215[[#This Row],[ADD ACC]]*Table215[[#This Row],[RT TIME (744)]]</f>
        <v>0</v>
      </c>
    </row>
    <row r="218" spans="1:16" ht="15" customHeight="1" x14ac:dyDescent="0.25">
      <c r="A218" s="38" t="s">
        <v>13838</v>
      </c>
      <c r="B218" s="39" t="s">
        <v>2490</v>
      </c>
      <c r="C218" s="39" t="s">
        <v>2</v>
      </c>
      <c r="D218" s="39">
        <v>1</v>
      </c>
      <c r="E218" s="38" t="s">
        <v>881</v>
      </c>
      <c r="F218" s="38" t="str">
        <f>VLOOKUP(E:E,Table10[[COUNTRY NAME]:[CONTINENT CODE]],3,FALSE)</f>
        <v>AF</v>
      </c>
      <c r="G218" s="155" t="s">
        <v>6783</v>
      </c>
      <c r="H218" s="40">
        <v>8708</v>
      </c>
      <c r="I218" s="41">
        <v>21.5</v>
      </c>
      <c r="J218" s="157">
        <v>203876206</v>
      </c>
      <c r="K218" s="42">
        <f>IFERROR(Table215[[#This Row],[ROUTE $]]/Table215[[#This Row],[E - DEMAND]],0)</f>
        <v>59963.59</v>
      </c>
      <c r="L218" s="43">
        <v>3400</v>
      </c>
      <c r="M218" s="39">
        <f>VLOOKUP(Table215[[#This Row],[ROUTE]],DEMAND!A:F,5,FALSE)</f>
        <v>3549</v>
      </c>
      <c r="N218" s="39">
        <f>VLOOKUP(Table215[[#This Row],[ROUTE]],DEMAND!A:F,6,FALSE)</f>
        <v>909</v>
      </c>
      <c r="O218" s="39">
        <f>ROUNDDOWN(Table215[[#This Row],[R-DEMAND]]/1320,0)</f>
        <v>0</v>
      </c>
      <c r="P218" s="41">
        <f>Table215[[#This Row],[ADD ACC]]*Table215[[#This Row],[RT TIME (744)]]</f>
        <v>0</v>
      </c>
    </row>
    <row r="219" spans="1:16" ht="15" customHeight="1" x14ac:dyDescent="0.25">
      <c r="A219" s="38" t="s">
        <v>13841</v>
      </c>
      <c r="B219" s="39" t="s">
        <v>5653</v>
      </c>
      <c r="C219" s="39" t="s">
        <v>2</v>
      </c>
      <c r="D219" s="39">
        <v>3</v>
      </c>
      <c r="E219" s="38" t="s">
        <v>585</v>
      </c>
      <c r="F219" s="38" t="str">
        <f>VLOOKUP(E:E,Table10[[COUNTRY NAME]:[CONTINENT CODE]],3,FALSE)</f>
        <v>EU</v>
      </c>
      <c r="G219" s="155" t="s">
        <v>11802</v>
      </c>
      <c r="H219" s="40">
        <v>10923</v>
      </c>
      <c r="I219" s="41">
        <v>26.25</v>
      </c>
      <c r="J219" s="157">
        <v>269238976</v>
      </c>
      <c r="K219" s="42">
        <f>IFERROR(Table215[[#This Row],[ROUTE $]]/Table215[[#This Row],[E - DEMAND]],0)</f>
        <v>81267.424086930274</v>
      </c>
      <c r="L219" s="43">
        <v>3313</v>
      </c>
      <c r="M219" s="39">
        <f>VLOOKUP(Table215[[#This Row],[ROUTE]],DEMAND!A:F,5,FALSE)</f>
        <v>3480</v>
      </c>
      <c r="N219" s="39">
        <f>VLOOKUP(Table215[[#This Row],[ROUTE]],DEMAND!A:F,6,FALSE)</f>
        <v>840</v>
      </c>
      <c r="O219" s="39">
        <f>ROUNDDOWN(Table215[[#This Row],[R-DEMAND]]/1320,0)</f>
        <v>0</v>
      </c>
      <c r="P219" s="41">
        <f>Table215[[#This Row],[ADD ACC]]*Table215[[#This Row],[RT TIME (744)]]</f>
        <v>0</v>
      </c>
    </row>
    <row r="220" spans="1:16" ht="15" customHeight="1" x14ac:dyDescent="0.25">
      <c r="A220" s="38" t="s">
        <v>13842</v>
      </c>
      <c r="B220" s="39" t="s">
        <v>5084</v>
      </c>
      <c r="C220" s="39" t="s">
        <v>2</v>
      </c>
      <c r="D220" s="39">
        <v>3</v>
      </c>
      <c r="E220" s="38" t="s">
        <v>585</v>
      </c>
      <c r="F220" s="38" t="str">
        <f>VLOOKUP(E:E,Table10[[COUNTRY NAME]:[CONTINENT CODE]],3,FALSE)</f>
        <v>EU</v>
      </c>
      <c r="G220" s="155" t="s">
        <v>11800</v>
      </c>
      <c r="H220" s="40">
        <v>10822</v>
      </c>
      <c r="I220" s="41">
        <v>26</v>
      </c>
      <c r="J220" s="157">
        <v>246016938</v>
      </c>
      <c r="K220" s="42">
        <f>IFERROR(Table215[[#This Row],[ROUTE $]]/Table215[[#This Row],[E - DEMAND]],0)</f>
        <v>91831.630459126536</v>
      </c>
      <c r="L220" s="43">
        <v>2679</v>
      </c>
      <c r="M220" s="39">
        <f>VLOOKUP(Table215[[#This Row],[ROUTE]],DEMAND!A:F,5,FALSE)</f>
        <v>2823</v>
      </c>
      <c r="N220" s="39">
        <f>VLOOKUP(Table215[[#This Row],[ROUTE]],DEMAND!A:F,6,FALSE)</f>
        <v>183</v>
      </c>
      <c r="O220" s="39">
        <f>ROUNDDOWN(Table215[[#This Row],[R-DEMAND]]/1320,0)</f>
        <v>0</v>
      </c>
      <c r="P220" s="41">
        <f>Table215[[#This Row],[ADD ACC]]*Table215[[#This Row],[RT TIME (744)]]</f>
        <v>0</v>
      </c>
    </row>
    <row r="221" spans="1:16" ht="15" customHeight="1" x14ac:dyDescent="0.25">
      <c r="A221" s="38" t="s">
        <v>13844</v>
      </c>
      <c r="B221" s="39" t="s">
        <v>4851</v>
      </c>
      <c r="C221" s="39" t="s">
        <v>2</v>
      </c>
      <c r="D221" s="39">
        <v>3</v>
      </c>
      <c r="E221" s="38" t="s">
        <v>585</v>
      </c>
      <c r="F221" s="38" t="str">
        <f>VLOOKUP(E:E,Table10[[COUNTRY NAME]:[CONTINENT CODE]],3,FALSE)</f>
        <v>EU</v>
      </c>
      <c r="G221" s="155" t="s">
        <v>11786</v>
      </c>
      <c r="H221" s="40">
        <v>10437</v>
      </c>
      <c r="I221" s="41">
        <v>25.25</v>
      </c>
      <c r="J221" s="157">
        <v>238266564</v>
      </c>
      <c r="K221" s="42">
        <f>IFERROR(Table215[[#This Row],[ROUTE $]]/Table215[[#This Row],[E - DEMAND]],0)</f>
        <v>92782.929906542049</v>
      </c>
      <c r="L221" s="43">
        <v>2568</v>
      </c>
      <c r="M221" s="39">
        <f>VLOOKUP(Table215[[#This Row],[ROUTE]],DEMAND!A:F,5,FALSE)</f>
        <v>2655</v>
      </c>
      <c r="N221" s="39">
        <f>VLOOKUP(Table215[[#This Row],[ROUTE]],DEMAND!A:F,6,FALSE)</f>
        <v>15</v>
      </c>
      <c r="O221" s="39">
        <f>ROUNDDOWN(Table215[[#This Row],[R-DEMAND]]/1320,0)</f>
        <v>0</v>
      </c>
      <c r="P221" s="41">
        <f>Table215[[#This Row],[ADD ACC]]*Table215[[#This Row],[RT TIME (744)]]</f>
        <v>0</v>
      </c>
    </row>
    <row r="222" spans="1:16" ht="15" customHeight="1" x14ac:dyDescent="0.25">
      <c r="A222" s="38" t="s">
        <v>13845</v>
      </c>
      <c r="B222" s="39" t="s">
        <v>6</v>
      </c>
      <c r="C222" s="39" t="s">
        <v>2</v>
      </c>
      <c r="D222" s="39">
        <v>5</v>
      </c>
      <c r="E222" s="38" t="s">
        <v>1674</v>
      </c>
      <c r="F222" s="38" t="str">
        <f>VLOOKUP(E:E,Table10[[COUNTRY NAME]:[CONTINENT CODE]],3,FALSE)</f>
        <v>EU</v>
      </c>
      <c r="G222" s="155" t="s">
        <v>11025</v>
      </c>
      <c r="H222" s="40">
        <v>9610</v>
      </c>
      <c r="I222" s="41">
        <v>23.5</v>
      </c>
      <c r="J222" s="157">
        <v>260350106</v>
      </c>
      <c r="K222" s="42">
        <f>IFERROR(Table215[[#This Row],[ROUTE $]]/Table215[[#This Row],[E - DEMAND]],0)</f>
        <v>95857.918262150226</v>
      </c>
      <c r="L222" s="43">
        <v>2716</v>
      </c>
      <c r="M222" s="39">
        <f>VLOOKUP(Table215[[#This Row],[ROUTE]],DEMAND!A:F,5,FALSE)</f>
        <v>2716</v>
      </c>
      <c r="N222" s="39">
        <f>VLOOKUP(Table215[[#This Row],[ROUTE]],DEMAND!A:F,6,FALSE)</f>
        <v>76</v>
      </c>
      <c r="O222" s="39">
        <f>ROUNDDOWN(Table215[[#This Row],[R-DEMAND]]/1320,0)</f>
        <v>0</v>
      </c>
      <c r="P222" s="41">
        <f>Table215[[#This Row],[ADD ACC]]*Table215[[#This Row],[RT TIME (744)]]</f>
        <v>0</v>
      </c>
    </row>
    <row r="223" spans="1:16" ht="15" customHeight="1" x14ac:dyDescent="0.25">
      <c r="A223" s="38" t="s">
        <v>13847</v>
      </c>
      <c r="B223" s="39" t="s">
        <v>295</v>
      </c>
      <c r="C223" s="39" t="s">
        <v>2</v>
      </c>
      <c r="D223" s="39">
        <v>4</v>
      </c>
      <c r="E223" s="38" t="s">
        <v>1674</v>
      </c>
      <c r="F223" s="38" t="str">
        <f>VLOOKUP(E:E,Table10[[COUNTRY NAME]:[CONTINENT CODE]],3,FALSE)</f>
        <v>EU</v>
      </c>
      <c r="G223" s="155" t="s">
        <v>11084</v>
      </c>
      <c r="H223" s="40">
        <v>9381</v>
      </c>
      <c r="I223" s="41">
        <v>23</v>
      </c>
      <c r="J223" s="157">
        <v>249152744</v>
      </c>
      <c r="K223" s="42">
        <f>IFERROR(Table215[[#This Row],[ROUTE $]]/Table215[[#This Row],[E - DEMAND]],0)</f>
        <v>98014.454760031469</v>
      </c>
      <c r="L223" s="43">
        <v>2542</v>
      </c>
      <c r="M223" s="39">
        <f>VLOOKUP(Table215[[#This Row],[ROUTE]],DEMAND!A:F,5,FALSE)</f>
        <v>2712</v>
      </c>
      <c r="N223" s="39">
        <f>VLOOKUP(Table215[[#This Row],[ROUTE]],DEMAND!A:F,6,FALSE)</f>
        <v>72</v>
      </c>
      <c r="O223" s="39">
        <f>ROUNDDOWN(Table215[[#This Row],[R-DEMAND]]/1320,0)</f>
        <v>0</v>
      </c>
      <c r="P223" s="41">
        <f>Table215[[#This Row],[ADD ACC]]*Table215[[#This Row],[RT TIME (744)]]</f>
        <v>0</v>
      </c>
    </row>
    <row r="224" spans="1:16" ht="15" customHeight="1" x14ac:dyDescent="0.25">
      <c r="A224" s="38" t="s">
        <v>13850</v>
      </c>
      <c r="B224" s="39" t="s">
        <v>4814</v>
      </c>
      <c r="C224" s="39" t="s">
        <v>2</v>
      </c>
      <c r="D224" s="39">
        <v>3</v>
      </c>
      <c r="E224" s="38" t="s">
        <v>1654</v>
      </c>
      <c r="F224" s="38" t="str">
        <f>VLOOKUP(E:E,Table10[[COUNTRY NAME]:[CONTINENT CODE]],3,FALSE)</f>
        <v>AS</v>
      </c>
      <c r="G224" s="155" t="s">
        <v>11886</v>
      </c>
      <c r="H224" s="40">
        <v>10991</v>
      </c>
      <c r="I224" s="41">
        <v>26.5</v>
      </c>
      <c r="J224" s="157">
        <v>243718381</v>
      </c>
      <c r="K224" s="42">
        <f>IFERROR(Table215[[#This Row],[ROUTE $]]/Table215[[#This Row],[E - DEMAND]],0)</f>
        <v>66444.487731733912</v>
      </c>
      <c r="L224" s="43">
        <v>3668</v>
      </c>
      <c r="M224" s="39">
        <f>VLOOKUP(Table215[[#This Row],[ROUTE]],DEMAND!A:F,5,FALSE)</f>
        <v>3890</v>
      </c>
      <c r="N224" s="39">
        <f>VLOOKUP(Table215[[#This Row],[ROUTE]],DEMAND!A:F,6,FALSE)</f>
        <v>1250</v>
      </c>
      <c r="O224" s="39">
        <f>ROUNDDOWN(Table215[[#This Row],[R-DEMAND]]/1320,0)</f>
        <v>0</v>
      </c>
      <c r="P224" s="41">
        <f>Table215[[#This Row],[ADD ACC]]*Table215[[#This Row],[RT TIME (744)]]</f>
        <v>0</v>
      </c>
    </row>
    <row r="225" spans="1:16" ht="15" customHeight="1" x14ac:dyDescent="0.25">
      <c r="A225" s="38" t="s">
        <v>13852</v>
      </c>
      <c r="B225" s="39" t="s">
        <v>5196</v>
      </c>
      <c r="C225" s="39" t="s">
        <v>2</v>
      </c>
      <c r="D225" s="39">
        <v>3</v>
      </c>
      <c r="E225" s="38" t="s">
        <v>1654</v>
      </c>
      <c r="F225" s="38" t="str">
        <f>VLOOKUP(E:E,Table10[[COUNTRY NAME]:[CONTINENT CODE]],3,FALSE)</f>
        <v>AS</v>
      </c>
      <c r="G225" s="155" t="s">
        <v>11890</v>
      </c>
      <c r="H225" s="40">
        <v>10811</v>
      </c>
      <c r="I225" s="41">
        <v>26</v>
      </c>
      <c r="J225" s="157">
        <v>248721980</v>
      </c>
      <c r="K225" s="42">
        <f>IFERROR(Table215[[#This Row],[ROUTE $]]/Table215[[#This Row],[E - DEMAND]],0)</f>
        <v>63143.432343234323</v>
      </c>
      <c r="L225" s="43">
        <v>3939</v>
      </c>
      <c r="M225" s="39">
        <f>VLOOKUP(Table215[[#This Row],[ROUTE]],DEMAND!A:F,5,FALSE)</f>
        <v>4111</v>
      </c>
      <c r="N225" s="39">
        <f>VLOOKUP(Table215[[#This Row],[ROUTE]],DEMAND!A:F,6,FALSE)</f>
        <v>151</v>
      </c>
      <c r="O225" s="39">
        <f>ROUNDDOWN(Table215[[#This Row],[R-DEMAND]]/1320,0)</f>
        <v>0</v>
      </c>
      <c r="P225" s="41">
        <f>Table215[[#This Row],[ADD ACC]]*Table215[[#This Row],[RT TIME (744)]]</f>
        <v>0</v>
      </c>
    </row>
    <row r="226" spans="1:16" ht="15" customHeight="1" x14ac:dyDescent="0.25">
      <c r="A226" s="38" t="s">
        <v>13854</v>
      </c>
      <c r="B226" s="39" t="s">
        <v>3668</v>
      </c>
      <c r="C226" s="39" t="s">
        <v>2</v>
      </c>
      <c r="D226" s="39">
        <v>2</v>
      </c>
      <c r="E226" s="38" t="s">
        <v>1516</v>
      </c>
      <c r="F226" s="38" t="str">
        <f>VLOOKUP(E:E,Table10[[COUNTRY NAME]:[CONTINENT CODE]],3,FALSE)</f>
        <v>AF</v>
      </c>
      <c r="G226" s="155" t="s">
        <v>11928</v>
      </c>
      <c r="H226" s="40">
        <v>9199</v>
      </c>
      <c r="I226" s="41">
        <v>22.5</v>
      </c>
      <c r="J226" s="157">
        <v>215059185</v>
      </c>
      <c r="K226" s="42">
        <f>IFERROR(Table215[[#This Row],[ROUTE $]]/Table215[[#This Row],[E - DEMAND]],0)</f>
        <v>59244.954545454544</v>
      </c>
      <c r="L226" s="43">
        <v>3630</v>
      </c>
      <c r="M226" s="39">
        <f>VLOOKUP(Table215[[#This Row],[ROUTE]],DEMAND!A:F,5,FALSE)</f>
        <v>3764</v>
      </c>
      <c r="N226" s="39">
        <f>VLOOKUP(Table215[[#This Row],[ROUTE]],DEMAND!A:F,6,FALSE)</f>
        <v>1124</v>
      </c>
      <c r="O226" s="39">
        <f>ROUNDDOWN(Table215[[#This Row],[R-DEMAND]]/1320,0)</f>
        <v>0</v>
      </c>
      <c r="P226" s="41">
        <f>Table215[[#This Row],[ADD ACC]]*Table215[[#This Row],[RT TIME (744)]]</f>
        <v>0</v>
      </c>
    </row>
    <row r="227" spans="1:16" ht="15" customHeight="1" x14ac:dyDescent="0.25">
      <c r="A227" s="38" t="s">
        <v>13853</v>
      </c>
      <c r="B227" s="39" t="s">
        <v>4716</v>
      </c>
      <c r="C227" s="39" t="s">
        <v>2</v>
      </c>
      <c r="D227" s="39">
        <v>3</v>
      </c>
      <c r="E227" s="38" t="s">
        <v>1516</v>
      </c>
      <c r="F227" s="38" t="str">
        <f>VLOOKUP(E:E,Table10[[COUNTRY NAME]:[CONTINENT CODE]],3,FALSE)</f>
        <v>AF</v>
      </c>
      <c r="G227" s="155" t="s">
        <v>11939</v>
      </c>
      <c r="H227" s="40">
        <v>9266</v>
      </c>
      <c r="I227" s="41">
        <v>22.75</v>
      </c>
      <c r="J227" s="157">
        <v>225294568</v>
      </c>
      <c r="K227" s="42">
        <f>IFERROR(Table215[[#This Row],[ROUTE $]]/Table215[[#This Row],[E - DEMAND]],0)</f>
        <v>56521.467134972401</v>
      </c>
      <c r="L227" s="43">
        <v>3986</v>
      </c>
      <c r="M227" s="39">
        <f>VLOOKUP(Table215[[#This Row],[ROUTE]],DEMAND!A:F,5,FALSE)</f>
        <v>4120</v>
      </c>
      <c r="N227" s="39">
        <f>VLOOKUP(Table215[[#This Row],[ROUTE]],DEMAND!A:F,6,FALSE)</f>
        <v>160</v>
      </c>
      <c r="O227" s="39">
        <f>ROUNDDOWN(Table215[[#This Row],[R-DEMAND]]/1320,0)</f>
        <v>0</v>
      </c>
      <c r="P227" s="41">
        <f>Table215[[#This Row],[ADD ACC]]*Table215[[#This Row],[RT TIME (744)]]</f>
        <v>0</v>
      </c>
    </row>
    <row r="228" spans="1:16" ht="15" customHeight="1" x14ac:dyDescent="0.25">
      <c r="A228" s="38" t="s">
        <v>13855</v>
      </c>
      <c r="B228" s="39" t="s">
        <v>3329</v>
      </c>
      <c r="C228" s="39" t="s">
        <v>2</v>
      </c>
      <c r="D228" s="39">
        <v>2</v>
      </c>
      <c r="E228" s="38" t="s">
        <v>1516</v>
      </c>
      <c r="F228" s="38" t="str">
        <f>VLOOKUP(E:E,Table10[[COUNTRY NAME]:[CONTINENT CODE]],3,FALSE)</f>
        <v>AF</v>
      </c>
      <c r="G228" s="155" t="s">
        <v>8355</v>
      </c>
      <c r="H228" s="40">
        <v>8820</v>
      </c>
      <c r="I228" s="41">
        <v>21.75</v>
      </c>
      <c r="J228" s="157">
        <v>209276898</v>
      </c>
      <c r="K228" s="42">
        <f>IFERROR(Table215[[#This Row],[ROUTE $]]/Table215[[#This Row],[E - DEMAND]],0)</f>
        <v>58835.225752038234</v>
      </c>
      <c r="L228" s="43">
        <v>3557</v>
      </c>
      <c r="M228" s="39">
        <f>VLOOKUP(Table215[[#This Row],[ROUTE]],DEMAND!A:F,5,FALSE)</f>
        <v>3760</v>
      </c>
      <c r="N228" s="39">
        <f>VLOOKUP(Table215[[#This Row],[ROUTE]],DEMAND!A:F,6,FALSE)</f>
        <v>1120</v>
      </c>
      <c r="O228" s="39">
        <f>ROUNDDOWN(Table215[[#This Row],[R-DEMAND]]/1320,0)</f>
        <v>0</v>
      </c>
      <c r="P228" s="41">
        <f>Table215[[#This Row],[ADD ACC]]*Table215[[#This Row],[RT TIME (744)]]</f>
        <v>0</v>
      </c>
    </row>
    <row r="229" spans="1:16" ht="15" customHeight="1" x14ac:dyDescent="0.25">
      <c r="A229" s="38" t="s">
        <v>13857</v>
      </c>
      <c r="B229" s="39" t="s">
        <v>5295</v>
      </c>
      <c r="C229" s="39" t="s">
        <v>2</v>
      </c>
      <c r="D229" s="39">
        <v>3</v>
      </c>
      <c r="E229" s="38" t="s">
        <v>971</v>
      </c>
      <c r="F229" s="38" t="str">
        <f>VLOOKUP(E:E,Table10[[COUNTRY NAME]:[CONTINENT CODE]],3,FALSE)</f>
        <v>AF</v>
      </c>
      <c r="G229" s="155" t="s">
        <v>11767</v>
      </c>
      <c r="H229" s="40">
        <v>8956</v>
      </c>
      <c r="I229" s="41">
        <v>22</v>
      </c>
      <c r="J229" s="157">
        <v>231297980</v>
      </c>
      <c r="K229" s="42">
        <f>IFERROR(Table215[[#This Row],[ROUTE $]]/Table215[[#This Row],[E - DEMAND]],0)</f>
        <v>69941.935288781373</v>
      </c>
      <c r="L229" s="43">
        <v>3307</v>
      </c>
      <c r="M229" s="39">
        <f>VLOOKUP(Table215[[#This Row],[ROUTE]],DEMAND!A:F,5,FALSE)</f>
        <v>3496</v>
      </c>
      <c r="N229" s="39">
        <f>VLOOKUP(Table215[[#This Row],[ROUTE]],DEMAND!A:F,6,FALSE)</f>
        <v>856</v>
      </c>
      <c r="O229" s="39">
        <f>ROUNDDOWN(Table215[[#This Row],[R-DEMAND]]/1320,0)</f>
        <v>0</v>
      </c>
      <c r="P229" s="41">
        <f>Table215[[#This Row],[ADD ACC]]*Table215[[#This Row],[RT TIME (744)]]</f>
        <v>0</v>
      </c>
    </row>
    <row r="230" spans="1:16" ht="15" customHeight="1" x14ac:dyDescent="0.25">
      <c r="A230" s="38" t="s">
        <v>13859</v>
      </c>
      <c r="B230" s="39" t="s">
        <v>5304</v>
      </c>
      <c r="C230" s="39" t="s">
        <v>2</v>
      </c>
      <c r="D230" s="39">
        <v>3</v>
      </c>
      <c r="E230" s="38" t="s">
        <v>971</v>
      </c>
      <c r="F230" s="38" t="str">
        <f>VLOOKUP(E:E,Table10[[COUNTRY NAME]:[CONTINENT CODE]],3,FALSE)</f>
        <v>AF</v>
      </c>
      <c r="G230" s="155" t="s">
        <v>11775</v>
      </c>
      <c r="H230" s="40">
        <v>8916</v>
      </c>
      <c r="I230" s="41">
        <v>21.75</v>
      </c>
      <c r="J230" s="157">
        <v>231112513</v>
      </c>
      <c r="K230" s="42">
        <f>IFERROR(Table215[[#This Row],[ROUTE $]]/Table215[[#This Row],[E - DEMAND]],0)</f>
        <v>69738.23566686784</v>
      </c>
      <c r="L230" s="43">
        <v>3314</v>
      </c>
      <c r="M230" s="39">
        <f>VLOOKUP(Table215[[#This Row],[ROUTE]],DEMAND!A:F,5,FALSE)</f>
        <v>3426</v>
      </c>
      <c r="N230" s="39">
        <f>VLOOKUP(Table215[[#This Row],[ROUTE]],DEMAND!A:F,6,FALSE)</f>
        <v>786</v>
      </c>
      <c r="O230" s="39">
        <f>ROUNDDOWN(Table215[[#This Row],[R-DEMAND]]/1320,0)</f>
        <v>0</v>
      </c>
      <c r="P230" s="41">
        <f>Table215[[#This Row],[ADD ACC]]*Table215[[#This Row],[RT TIME (744)]]</f>
        <v>0</v>
      </c>
    </row>
    <row r="231" spans="1:16" ht="15" customHeight="1" x14ac:dyDescent="0.25">
      <c r="A231" s="38" t="s">
        <v>13862</v>
      </c>
      <c r="B231" s="39" t="s">
        <v>5068</v>
      </c>
      <c r="C231" s="39" t="s">
        <v>2</v>
      </c>
      <c r="D231" s="39">
        <v>3</v>
      </c>
      <c r="E231" s="38" t="s">
        <v>971</v>
      </c>
      <c r="F231" s="38" t="str">
        <f>VLOOKUP(E:E,Table10[[COUNTRY NAME]:[CONTINENT CODE]],3,FALSE)</f>
        <v>AF</v>
      </c>
      <c r="G231" s="155" t="s">
        <v>11777</v>
      </c>
      <c r="H231" s="40">
        <v>8788</v>
      </c>
      <c r="I231" s="41">
        <v>21.5</v>
      </c>
      <c r="J231" s="157">
        <v>224476448</v>
      </c>
      <c r="K231" s="42">
        <f>IFERROR(Table215[[#This Row],[ROUTE $]]/Table215[[#This Row],[E - DEMAND]],0)</f>
        <v>71126.884664131809</v>
      </c>
      <c r="L231" s="43">
        <v>3156</v>
      </c>
      <c r="M231" s="39">
        <f>VLOOKUP(Table215[[#This Row],[ROUTE]],DEMAND!A:F,5,FALSE)</f>
        <v>3293</v>
      </c>
      <c r="N231" s="39">
        <f>VLOOKUP(Table215[[#This Row],[ROUTE]],DEMAND!A:F,6,FALSE)</f>
        <v>653</v>
      </c>
      <c r="O231" s="39">
        <f>ROUNDDOWN(Table215[[#This Row],[R-DEMAND]]/1320,0)</f>
        <v>0</v>
      </c>
      <c r="P231" s="41">
        <f>Table215[[#This Row],[ADD ACC]]*Table215[[#This Row],[RT TIME (744)]]</f>
        <v>0</v>
      </c>
    </row>
    <row r="232" spans="1:16" ht="15" customHeight="1" x14ac:dyDescent="0.25">
      <c r="A232" s="38" t="s">
        <v>13865</v>
      </c>
      <c r="B232" s="39" t="s">
        <v>3640</v>
      </c>
      <c r="C232" s="39" t="s">
        <v>2</v>
      </c>
      <c r="D232" s="39">
        <v>2</v>
      </c>
      <c r="E232" s="38" t="s">
        <v>700</v>
      </c>
      <c r="F232" s="38" t="str">
        <f>VLOOKUP(E:E,Table10[[COUNTRY NAME]:[CONTINENT CODE]],3,FALSE)</f>
        <v>AS</v>
      </c>
      <c r="G232" s="155" t="s">
        <v>11904</v>
      </c>
      <c r="H232" s="40">
        <v>11643</v>
      </c>
      <c r="I232" s="41">
        <v>28</v>
      </c>
      <c r="J232" s="157">
        <v>237857003</v>
      </c>
      <c r="K232" s="42">
        <f>IFERROR(Table215[[#This Row],[ROUTE $]]/Table215[[#This Row],[E - DEMAND]],0)</f>
        <v>77807.328426561988</v>
      </c>
      <c r="L232" s="43">
        <v>3057</v>
      </c>
      <c r="M232" s="39">
        <f>VLOOKUP(Table215[[#This Row],[ROUTE]],DEMAND!A:F,5,FALSE)</f>
        <v>3170</v>
      </c>
      <c r="N232" s="39">
        <f>VLOOKUP(Table215[[#This Row],[ROUTE]],DEMAND!A:F,6,FALSE)</f>
        <v>530</v>
      </c>
      <c r="O232" s="39">
        <f>ROUNDDOWN(Table215[[#This Row],[R-DEMAND]]/1320,0)</f>
        <v>0</v>
      </c>
      <c r="P232" s="41">
        <f>Table215[[#This Row],[ADD ACC]]*Table215[[#This Row],[RT TIME (744)]]</f>
        <v>0</v>
      </c>
    </row>
    <row r="233" spans="1:16" ht="15" customHeight="1" x14ac:dyDescent="0.25">
      <c r="A233" s="38" t="s">
        <v>13866</v>
      </c>
      <c r="B233" s="39" t="s">
        <v>4198</v>
      </c>
      <c r="C233" s="39" t="s">
        <v>2</v>
      </c>
      <c r="D233" s="39">
        <v>2</v>
      </c>
      <c r="E233" s="38" t="s">
        <v>700</v>
      </c>
      <c r="F233" s="38" t="str">
        <f>VLOOKUP(E:E,Table10[[COUNTRY NAME]:[CONTINENT CODE]],3,FALSE)</f>
        <v>AS</v>
      </c>
      <c r="G233" s="155" t="s">
        <v>9890</v>
      </c>
      <c r="H233" s="40">
        <v>11465</v>
      </c>
      <c r="I233" s="41">
        <v>27.5</v>
      </c>
      <c r="J233" s="157">
        <v>240567646</v>
      </c>
      <c r="K233" s="42">
        <f>IFERROR(Table215[[#This Row],[ROUTE $]]/Table215[[#This Row],[E - DEMAND]],0)</f>
        <v>74803.372512437811</v>
      </c>
      <c r="L233" s="43">
        <v>3216</v>
      </c>
      <c r="M233" s="39">
        <f>VLOOKUP(Table215[[#This Row],[ROUTE]],DEMAND!A:F,5,FALSE)</f>
        <v>3324</v>
      </c>
      <c r="N233" s="39">
        <f>VLOOKUP(Table215[[#This Row],[ROUTE]],DEMAND!A:F,6,FALSE)</f>
        <v>684</v>
      </c>
      <c r="O233" s="39">
        <f>ROUNDDOWN(Table215[[#This Row],[R-DEMAND]]/1320,0)</f>
        <v>0</v>
      </c>
      <c r="P233" s="41">
        <f>Table215[[#This Row],[ADD ACC]]*Table215[[#This Row],[RT TIME (744)]]</f>
        <v>0</v>
      </c>
    </row>
    <row r="234" spans="1:16" ht="15" customHeight="1" x14ac:dyDescent="0.25">
      <c r="A234" s="38" t="s">
        <v>13868</v>
      </c>
      <c r="B234" s="39" t="s">
        <v>3129</v>
      </c>
      <c r="C234" s="39" t="s">
        <v>2</v>
      </c>
      <c r="D234" s="39">
        <v>2</v>
      </c>
      <c r="E234" s="38" t="s">
        <v>700</v>
      </c>
      <c r="F234" s="38" t="str">
        <f>VLOOKUP(E:E,Table10[[COUNTRY NAME]:[CONTINENT CODE]],3,FALSE)</f>
        <v>AS</v>
      </c>
      <c r="G234" s="155" t="s">
        <v>10746</v>
      </c>
      <c r="H234" s="40">
        <v>11384</v>
      </c>
      <c r="I234" s="41">
        <v>27.25</v>
      </c>
      <c r="J234" s="157">
        <v>232417713</v>
      </c>
      <c r="K234" s="42">
        <f>IFERROR(Table215[[#This Row],[ROUTE $]]/Table215[[#This Row],[E - DEMAND]],0)</f>
        <v>78678.982058226131</v>
      </c>
      <c r="L234" s="43">
        <v>2954</v>
      </c>
      <c r="M234" s="39">
        <f>VLOOKUP(Table215[[#This Row],[ROUTE]],DEMAND!A:F,5,FALSE)</f>
        <v>3094</v>
      </c>
      <c r="N234" s="39">
        <f>VLOOKUP(Table215[[#This Row],[ROUTE]],DEMAND!A:F,6,FALSE)</f>
        <v>454</v>
      </c>
      <c r="O234" s="39">
        <f>ROUNDDOWN(Table215[[#This Row],[R-DEMAND]]/1320,0)</f>
        <v>0</v>
      </c>
      <c r="P234" s="41">
        <f>Table215[[#This Row],[ADD ACC]]*Table215[[#This Row],[RT TIME (744)]]</f>
        <v>0</v>
      </c>
    </row>
    <row r="235" spans="1:16" ht="15" customHeight="1" x14ac:dyDescent="0.25">
      <c r="A235" s="38" t="s">
        <v>13870</v>
      </c>
      <c r="B235" s="39" t="s">
        <v>4609</v>
      </c>
      <c r="C235" s="39" t="s">
        <v>2</v>
      </c>
      <c r="D235" s="39">
        <v>2</v>
      </c>
      <c r="E235" s="38" t="s">
        <v>700</v>
      </c>
      <c r="F235" s="38" t="str">
        <f>VLOOKUP(E:E,Table10[[COUNTRY NAME]:[CONTINENT CODE]],3,FALSE)</f>
        <v>AS</v>
      </c>
      <c r="G235" s="155" t="s">
        <v>10085</v>
      </c>
      <c r="H235" s="40">
        <v>11307</v>
      </c>
      <c r="I235" s="41">
        <v>27.25</v>
      </c>
      <c r="J235" s="157">
        <v>242955729</v>
      </c>
      <c r="K235" s="42">
        <f>IFERROR(Table215[[#This Row],[ROUTE $]]/Table215[[#This Row],[E - DEMAND]],0)</f>
        <v>72286.738768223746</v>
      </c>
      <c r="L235" s="43">
        <v>3361</v>
      </c>
      <c r="M235" s="39">
        <f>VLOOKUP(Table215[[#This Row],[ROUTE]],DEMAND!A:F,5,FALSE)</f>
        <v>3508</v>
      </c>
      <c r="N235" s="39">
        <f>VLOOKUP(Table215[[#This Row],[ROUTE]],DEMAND!A:F,6,FALSE)</f>
        <v>868</v>
      </c>
      <c r="O235" s="39">
        <f>ROUNDDOWN(Table215[[#This Row],[R-DEMAND]]/1320,0)</f>
        <v>0</v>
      </c>
      <c r="P235" s="41">
        <f>Table215[[#This Row],[ADD ACC]]*Table215[[#This Row],[RT TIME (744)]]</f>
        <v>0</v>
      </c>
    </row>
    <row r="236" spans="1:16" ht="15" customHeight="1" x14ac:dyDescent="0.25">
      <c r="A236" s="38" t="s">
        <v>13871</v>
      </c>
      <c r="B236" s="39" t="s">
        <v>4013</v>
      </c>
      <c r="C236" s="39" t="s">
        <v>2</v>
      </c>
      <c r="D236" s="39">
        <v>2</v>
      </c>
      <c r="E236" s="38" t="s">
        <v>700</v>
      </c>
      <c r="F236" s="38" t="str">
        <f>VLOOKUP(E:E,Table10[[COUNTRY NAME]:[CONTINENT CODE]],3,FALSE)</f>
        <v>AS</v>
      </c>
      <c r="G236" s="155" t="s">
        <v>11885</v>
      </c>
      <c r="H236" s="40">
        <v>11157</v>
      </c>
      <c r="I236" s="41">
        <v>26.75</v>
      </c>
      <c r="J236" s="157">
        <v>235755037</v>
      </c>
      <c r="K236" s="42">
        <f>IFERROR(Table215[[#This Row],[ROUTE $]]/Table215[[#This Row],[E - DEMAND]],0)</f>
        <v>74700.582065906216</v>
      </c>
      <c r="L236" s="43">
        <v>3156</v>
      </c>
      <c r="M236" s="39">
        <f>VLOOKUP(Table215[[#This Row],[ROUTE]],DEMAND!A:F,5,FALSE)</f>
        <v>3357</v>
      </c>
      <c r="N236" s="39">
        <f>VLOOKUP(Table215[[#This Row],[ROUTE]],DEMAND!A:F,6,FALSE)</f>
        <v>717</v>
      </c>
      <c r="O236" s="39">
        <f>ROUNDDOWN(Table215[[#This Row],[R-DEMAND]]/1320,0)</f>
        <v>0</v>
      </c>
      <c r="P236" s="41">
        <f>Table215[[#This Row],[ADD ACC]]*Table215[[#This Row],[RT TIME (744)]]</f>
        <v>0</v>
      </c>
    </row>
    <row r="237" spans="1:16" ht="15" customHeight="1" x14ac:dyDescent="0.25">
      <c r="A237" s="38" t="s">
        <v>13872</v>
      </c>
      <c r="B237" s="39" t="s">
        <v>4488</v>
      </c>
      <c r="C237" s="39" t="s">
        <v>2</v>
      </c>
      <c r="D237" s="39">
        <v>2</v>
      </c>
      <c r="E237" s="38" t="s">
        <v>700</v>
      </c>
      <c r="F237" s="38" t="str">
        <f>VLOOKUP(E:E,Table10[[COUNTRY NAME]:[CONTINENT CODE]],3,FALSE)</f>
        <v>AS</v>
      </c>
      <c r="G237" s="155" t="s">
        <v>11868</v>
      </c>
      <c r="H237" s="40">
        <v>11153</v>
      </c>
      <c r="I237" s="41">
        <v>26.75</v>
      </c>
      <c r="J237" s="157">
        <v>239918368</v>
      </c>
      <c r="K237" s="42">
        <f>IFERROR(Table215[[#This Row],[ROUTE $]]/Table215[[#This Row],[E - DEMAND]],0)</f>
        <v>72548.644693075301</v>
      </c>
      <c r="L237" s="43">
        <v>3307</v>
      </c>
      <c r="M237" s="39">
        <f>VLOOKUP(Table215[[#This Row],[ROUTE]],DEMAND!A:F,5,FALSE)</f>
        <v>3418</v>
      </c>
      <c r="N237" s="39">
        <f>VLOOKUP(Table215[[#This Row],[ROUTE]],DEMAND!A:F,6,FALSE)</f>
        <v>778</v>
      </c>
      <c r="O237" s="39">
        <f>ROUNDDOWN(Table215[[#This Row],[R-DEMAND]]/1320,0)</f>
        <v>0</v>
      </c>
      <c r="P237" s="41">
        <f>Table215[[#This Row],[ADD ACC]]*Table215[[#This Row],[RT TIME (744)]]</f>
        <v>0</v>
      </c>
    </row>
    <row r="238" spans="1:16" ht="15" customHeight="1" x14ac:dyDescent="0.25">
      <c r="A238" s="38" t="s">
        <v>13876</v>
      </c>
      <c r="B238" s="39" t="s">
        <v>4404</v>
      </c>
      <c r="C238" s="39" t="s">
        <v>2</v>
      </c>
      <c r="D238" s="39">
        <v>2</v>
      </c>
      <c r="E238" s="38" t="s">
        <v>700</v>
      </c>
      <c r="F238" s="38" t="str">
        <f>VLOOKUP(E:E,Table10[[COUNTRY NAME]:[CONTINENT CODE]],3,FALSE)</f>
        <v>AS</v>
      </c>
      <c r="G238" s="155" t="s">
        <v>11867</v>
      </c>
      <c r="H238" s="40">
        <v>10963</v>
      </c>
      <c r="I238" s="41">
        <v>26.5</v>
      </c>
      <c r="J238" s="157">
        <v>237266017</v>
      </c>
      <c r="K238" s="42">
        <f>IFERROR(Table215[[#This Row],[ROUTE $]]/Table215[[#This Row],[E - DEMAND]],0)</f>
        <v>72359.26105519975</v>
      </c>
      <c r="L238" s="43">
        <v>3279</v>
      </c>
      <c r="M238" s="39">
        <f>VLOOKUP(Table215[[#This Row],[ROUTE]],DEMAND!A:F,5,FALSE)</f>
        <v>3423</v>
      </c>
      <c r="N238" s="39">
        <f>VLOOKUP(Table215[[#This Row],[ROUTE]],DEMAND!A:F,6,FALSE)</f>
        <v>783</v>
      </c>
      <c r="O238" s="39">
        <f>ROUNDDOWN(Table215[[#This Row],[R-DEMAND]]/1320,0)</f>
        <v>0</v>
      </c>
      <c r="P238" s="41">
        <f>Table215[[#This Row],[ADD ACC]]*Table215[[#This Row],[RT TIME (744)]]</f>
        <v>0</v>
      </c>
    </row>
    <row r="239" spans="1:16" ht="15" customHeight="1" x14ac:dyDescent="0.25">
      <c r="A239" s="38" t="s">
        <v>13875</v>
      </c>
      <c r="B239" s="39" t="s">
        <v>4447</v>
      </c>
      <c r="C239" s="39" t="s">
        <v>2</v>
      </c>
      <c r="D239" s="39">
        <v>2</v>
      </c>
      <c r="E239" s="38" t="s">
        <v>700</v>
      </c>
      <c r="F239" s="38" t="str">
        <f>VLOOKUP(E:E,Table10[[COUNTRY NAME]:[CONTINENT CODE]],3,FALSE)</f>
        <v>AS</v>
      </c>
      <c r="G239" s="155" t="s">
        <v>11884</v>
      </c>
      <c r="H239" s="40">
        <v>11045</v>
      </c>
      <c r="I239" s="41">
        <v>26.5</v>
      </c>
      <c r="J239" s="157">
        <v>238555941</v>
      </c>
      <c r="K239" s="42">
        <f>IFERROR(Table215[[#This Row],[ROUTE $]]/Table215[[#This Row],[E - DEMAND]],0)</f>
        <v>72377.409283980582</v>
      </c>
      <c r="L239" s="43">
        <v>3296</v>
      </c>
      <c r="M239" s="39">
        <f>VLOOKUP(Table215[[#This Row],[ROUTE]],DEMAND!A:F,5,FALSE)</f>
        <v>3473</v>
      </c>
      <c r="N239" s="39">
        <f>VLOOKUP(Table215[[#This Row],[ROUTE]],DEMAND!A:F,6,FALSE)</f>
        <v>833</v>
      </c>
      <c r="O239" s="39">
        <f>ROUNDDOWN(Table215[[#This Row],[R-DEMAND]]/1320,0)</f>
        <v>0</v>
      </c>
      <c r="P239" s="41">
        <f>Table215[[#This Row],[ADD ACC]]*Table215[[#This Row],[RT TIME (744)]]</f>
        <v>0</v>
      </c>
    </row>
    <row r="240" spans="1:16" ht="15" customHeight="1" x14ac:dyDescent="0.25">
      <c r="A240" s="38" t="s">
        <v>13879</v>
      </c>
      <c r="B240" s="39" t="s">
        <v>316</v>
      </c>
      <c r="C240" s="39" t="s">
        <v>2</v>
      </c>
      <c r="D240" s="39">
        <v>3</v>
      </c>
      <c r="E240" s="38" t="s">
        <v>700</v>
      </c>
      <c r="F240" s="38" t="str">
        <f>VLOOKUP(E:E,Table10[[COUNTRY NAME]:[CONTINENT CODE]],3,FALSE)</f>
        <v>AS</v>
      </c>
      <c r="G240" s="155" t="s">
        <v>11858</v>
      </c>
      <c r="H240" s="40">
        <v>10828</v>
      </c>
      <c r="I240" s="41">
        <v>26</v>
      </c>
      <c r="J240" s="157">
        <v>254527748</v>
      </c>
      <c r="K240" s="42">
        <f>IFERROR(Table215[[#This Row],[ROUTE $]]/Table215[[#This Row],[E - DEMAND]],0)</f>
        <v>64421.095418881298</v>
      </c>
      <c r="L240" s="43">
        <v>3951</v>
      </c>
      <c r="M240" s="39">
        <f>VLOOKUP(Table215[[#This Row],[ROUTE]],DEMAND!A:F,5,FALSE)</f>
        <v>4111</v>
      </c>
      <c r="N240" s="39">
        <f>VLOOKUP(Table215[[#This Row],[ROUTE]],DEMAND!A:F,6,FALSE)</f>
        <v>151</v>
      </c>
      <c r="O240" s="39">
        <f>ROUNDDOWN(Table215[[#This Row],[R-DEMAND]]/1320,0)</f>
        <v>0</v>
      </c>
      <c r="P240" s="41">
        <f>Table215[[#This Row],[ADD ACC]]*Table215[[#This Row],[RT TIME (744)]]</f>
        <v>0</v>
      </c>
    </row>
    <row r="241" spans="1:16" ht="15" customHeight="1" x14ac:dyDescent="0.25">
      <c r="A241" s="38" t="s">
        <v>13885</v>
      </c>
      <c r="B241" s="39" t="s">
        <v>5663</v>
      </c>
      <c r="C241" s="39" t="s">
        <v>2</v>
      </c>
      <c r="D241" s="39">
        <v>4</v>
      </c>
      <c r="E241" s="38" t="s">
        <v>700</v>
      </c>
      <c r="F241" s="38" t="str">
        <f>VLOOKUP(E:E,Table10[[COUNTRY NAME]:[CONTINENT CODE]],3,FALSE)</f>
        <v>AS</v>
      </c>
      <c r="G241" s="155" t="s">
        <v>10756</v>
      </c>
      <c r="H241" s="40">
        <v>10501</v>
      </c>
      <c r="I241" s="41">
        <v>25.5</v>
      </c>
      <c r="J241" s="157">
        <v>265485971</v>
      </c>
      <c r="K241" s="42">
        <f>IFERROR(Table215[[#This Row],[ROUTE $]]/Table215[[#This Row],[E - DEMAND]],0)</f>
        <v>59313.219615728332</v>
      </c>
      <c r="L241" s="43">
        <v>4476</v>
      </c>
      <c r="M241" s="39">
        <f>VLOOKUP(Table215[[#This Row],[ROUTE]],DEMAND!A:F,5,FALSE)</f>
        <v>4701</v>
      </c>
      <c r="N241" s="39">
        <f>VLOOKUP(Table215[[#This Row],[ROUTE]],DEMAND!A:F,6,FALSE)</f>
        <v>741</v>
      </c>
      <c r="O241" s="39">
        <f>ROUNDDOWN(Table215[[#This Row],[R-DEMAND]]/1320,0)</f>
        <v>0</v>
      </c>
      <c r="P241" s="41">
        <f>Table215[[#This Row],[ADD ACC]]*Table215[[#This Row],[RT TIME (744)]]</f>
        <v>0</v>
      </c>
    </row>
    <row r="242" spans="1:16" ht="15" customHeight="1" x14ac:dyDescent="0.25">
      <c r="A242" s="38" t="s">
        <v>13881</v>
      </c>
      <c r="B242" s="39" t="s">
        <v>5457</v>
      </c>
      <c r="C242" s="39" t="s">
        <v>2</v>
      </c>
      <c r="D242" s="39">
        <v>4</v>
      </c>
      <c r="E242" s="38" t="s">
        <v>700</v>
      </c>
      <c r="F242" s="38" t="str">
        <f>VLOOKUP(E:E,Table10[[COUNTRY NAME]:[CONTINENT CODE]],3,FALSE)</f>
        <v>AS</v>
      </c>
      <c r="G242" s="155" t="s">
        <v>11044</v>
      </c>
      <c r="H242" s="40">
        <v>10582</v>
      </c>
      <c r="I242" s="41">
        <v>25.5</v>
      </c>
      <c r="J242" s="157">
        <v>252649759</v>
      </c>
      <c r="K242" s="42">
        <f>IFERROR(Table215[[#This Row],[ROUTE $]]/Table215[[#This Row],[E - DEMAND]],0)</f>
        <v>63479.838944723619</v>
      </c>
      <c r="L242" s="43">
        <v>3980</v>
      </c>
      <c r="M242" s="39">
        <f>VLOOKUP(Table215[[#This Row],[ROUTE]],DEMAND!A:F,5,FALSE)</f>
        <v>4194</v>
      </c>
      <c r="N242" s="39">
        <f>VLOOKUP(Table215[[#This Row],[ROUTE]],DEMAND!A:F,6,FALSE)</f>
        <v>234</v>
      </c>
      <c r="O242" s="39">
        <f>ROUNDDOWN(Table215[[#This Row],[R-DEMAND]]/1320,0)</f>
        <v>0</v>
      </c>
      <c r="P242" s="41">
        <f>Table215[[#This Row],[ADD ACC]]*Table215[[#This Row],[RT TIME (744)]]</f>
        <v>0</v>
      </c>
    </row>
    <row r="243" spans="1:16" ht="15" customHeight="1" x14ac:dyDescent="0.25">
      <c r="A243" s="38" t="s">
        <v>13883</v>
      </c>
      <c r="B243" s="39" t="s">
        <v>252</v>
      </c>
      <c r="C243" s="39" t="s">
        <v>2</v>
      </c>
      <c r="D243" s="39">
        <v>5</v>
      </c>
      <c r="E243" s="38" t="s">
        <v>700</v>
      </c>
      <c r="F243" s="38" t="str">
        <f>VLOOKUP(E:E,Table10[[COUNTRY NAME]:[CONTINENT CODE]],3,FALSE)</f>
        <v>AS</v>
      </c>
      <c r="G243" s="155" t="s">
        <v>11077</v>
      </c>
      <c r="H243" s="40">
        <v>10559</v>
      </c>
      <c r="I243" s="41">
        <v>25.5</v>
      </c>
      <c r="J243" s="157">
        <v>283063828</v>
      </c>
      <c r="K243" s="42">
        <f>IFERROR(Table215[[#This Row],[ROUTE $]]/Table215[[#This Row],[E - DEMAND]],0)</f>
        <v>82309.923815062517</v>
      </c>
      <c r="L243" s="43">
        <v>3439</v>
      </c>
      <c r="M243" s="39">
        <f>VLOOKUP(Table215[[#This Row],[ROUTE]],DEMAND!A:F,5,FALSE)</f>
        <v>3440</v>
      </c>
      <c r="N243" s="39">
        <f>VLOOKUP(Table215[[#This Row],[ROUTE]],DEMAND!A:F,6,FALSE)</f>
        <v>800</v>
      </c>
      <c r="O243" s="39">
        <f>ROUNDDOWN(Table215[[#This Row],[R-DEMAND]]/1320,0)</f>
        <v>0</v>
      </c>
      <c r="P243" s="41">
        <f>Table215[[#This Row],[ADD ACC]]*Table215[[#This Row],[RT TIME (744)]]</f>
        <v>0</v>
      </c>
    </row>
    <row r="244" spans="1:16" ht="15" customHeight="1" x14ac:dyDescent="0.25">
      <c r="A244" s="38" t="s">
        <v>13889</v>
      </c>
      <c r="B244" s="39" t="s">
        <v>5443</v>
      </c>
      <c r="C244" s="39" t="s">
        <v>2</v>
      </c>
      <c r="D244" s="39">
        <v>3</v>
      </c>
      <c r="E244" s="38" t="s">
        <v>700</v>
      </c>
      <c r="F244" s="38" t="str">
        <f>VLOOKUP(E:E,Table10[[COUNTRY NAME]:[CONTINENT CODE]],3,FALSE)</f>
        <v>AS</v>
      </c>
      <c r="G244" s="155" t="s">
        <v>11847</v>
      </c>
      <c r="H244" s="40">
        <v>10286</v>
      </c>
      <c r="I244" s="41">
        <v>25</v>
      </c>
      <c r="J244" s="157">
        <v>249154892</v>
      </c>
      <c r="K244" s="42">
        <f>IFERROR(Table215[[#This Row],[ROUTE $]]/Table215[[#This Row],[E - DEMAND]],0)</f>
        <v>62933.794392523363</v>
      </c>
      <c r="L244" s="43">
        <v>3959</v>
      </c>
      <c r="M244" s="39">
        <f>VLOOKUP(Table215[[#This Row],[ROUTE]],DEMAND!A:F,5,FALSE)</f>
        <v>4211</v>
      </c>
      <c r="N244" s="39">
        <f>VLOOKUP(Table215[[#This Row],[ROUTE]],DEMAND!A:F,6,FALSE)</f>
        <v>251</v>
      </c>
      <c r="O244" s="39">
        <f>ROUNDDOWN(Table215[[#This Row],[R-DEMAND]]/1320,0)</f>
        <v>0</v>
      </c>
      <c r="P244" s="41">
        <f>Table215[[#This Row],[ADD ACC]]*Table215[[#This Row],[RT TIME (744)]]</f>
        <v>0</v>
      </c>
    </row>
    <row r="245" spans="1:16" ht="15" customHeight="1" x14ac:dyDescent="0.25">
      <c r="A245" s="38" t="s">
        <v>13888</v>
      </c>
      <c r="B245" s="39" t="s">
        <v>5221</v>
      </c>
      <c r="C245" s="39" t="s">
        <v>2</v>
      </c>
      <c r="D245" s="39">
        <v>3</v>
      </c>
      <c r="E245" s="38" t="s">
        <v>700</v>
      </c>
      <c r="F245" s="38" t="str">
        <f>VLOOKUP(E:E,Table10[[COUNTRY NAME]:[CONTINENT CODE]],3,FALSE)</f>
        <v>AS</v>
      </c>
      <c r="G245" s="155" t="s">
        <v>10068</v>
      </c>
      <c r="H245" s="40">
        <v>10332</v>
      </c>
      <c r="I245" s="41">
        <v>25</v>
      </c>
      <c r="J245" s="157">
        <v>243093264</v>
      </c>
      <c r="K245" s="42">
        <f>IFERROR(Table215[[#This Row],[ROUTE $]]/Table215[[#This Row],[E - DEMAND]],0)</f>
        <v>65347.651612903224</v>
      </c>
      <c r="L245" s="43">
        <v>3720</v>
      </c>
      <c r="M245" s="39">
        <f>VLOOKUP(Table215[[#This Row],[ROUTE]],DEMAND!A:F,5,FALSE)</f>
        <v>3883</v>
      </c>
      <c r="N245" s="39">
        <f>VLOOKUP(Table215[[#This Row],[ROUTE]],DEMAND!A:F,6,FALSE)</f>
        <v>1243</v>
      </c>
      <c r="O245" s="39">
        <f>ROUNDDOWN(Table215[[#This Row],[R-DEMAND]]/1320,0)</f>
        <v>0</v>
      </c>
      <c r="P245" s="41">
        <f>Table215[[#This Row],[ADD ACC]]*Table215[[#This Row],[RT TIME (744)]]</f>
        <v>0</v>
      </c>
    </row>
    <row r="246" spans="1:16" ht="15" customHeight="1" x14ac:dyDescent="0.25">
      <c r="A246" s="38" t="s">
        <v>13890</v>
      </c>
      <c r="B246" s="39" t="s">
        <v>5128</v>
      </c>
      <c r="C246" s="39" t="s">
        <v>2</v>
      </c>
      <c r="D246" s="39">
        <v>3</v>
      </c>
      <c r="E246" s="38" t="s">
        <v>700</v>
      </c>
      <c r="F246" s="38" t="str">
        <f>VLOOKUP(E:E,Table10[[COUNTRY NAME]:[CONTINENT CODE]],3,FALSE)</f>
        <v>AS</v>
      </c>
      <c r="G246" s="155" t="s">
        <v>11849</v>
      </c>
      <c r="H246" s="40">
        <v>10271</v>
      </c>
      <c r="I246" s="41">
        <v>24.75</v>
      </c>
      <c r="J246" s="157">
        <v>240712077</v>
      </c>
      <c r="K246" s="42">
        <f>IFERROR(Table215[[#This Row],[ROUTE $]]/Table215[[#This Row],[E - DEMAND]],0)</f>
        <v>65858.297400820797</v>
      </c>
      <c r="L246" s="43">
        <v>3655</v>
      </c>
      <c r="M246" s="39">
        <f>VLOOKUP(Table215[[#This Row],[ROUTE]],DEMAND!A:F,5,FALSE)</f>
        <v>3827</v>
      </c>
      <c r="N246" s="39">
        <f>VLOOKUP(Table215[[#This Row],[ROUTE]],DEMAND!A:F,6,FALSE)</f>
        <v>1187</v>
      </c>
      <c r="O246" s="39">
        <f>ROUNDDOWN(Table215[[#This Row],[R-DEMAND]]/1320,0)</f>
        <v>0</v>
      </c>
      <c r="P246" s="41">
        <f>Table215[[#This Row],[ADD ACC]]*Table215[[#This Row],[RT TIME (744)]]</f>
        <v>0</v>
      </c>
    </row>
    <row r="247" spans="1:16" ht="15" customHeight="1" x14ac:dyDescent="0.25">
      <c r="A247" s="38" t="s">
        <v>13899</v>
      </c>
      <c r="B247" s="39" t="s">
        <v>3141</v>
      </c>
      <c r="C247" s="39" t="s">
        <v>2</v>
      </c>
      <c r="D247" s="39">
        <v>2</v>
      </c>
      <c r="E247" s="38" t="s">
        <v>1847</v>
      </c>
      <c r="F247" s="38" t="str">
        <f>VLOOKUP(E:E,Table10[[COUNTRY NAME]:[CONTINENT CODE]],3,FALSE)</f>
        <v>AS</v>
      </c>
      <c r="G247" s="155" t="s">
        <v>11979</v>
      </c>
      <c r="H247" s="40">
        <v>12286</v>
      </c>
      <c r="I247" s="41">
        <v>29.25</v>
      </c>
      <c r="J247" s="157">
        <v>241520191</v>
      </c>
      <c r="K247" s="42">
        <f>IFERROR(Table215[[#This Row],[ROUTE $]]/Table215[[#This Row],[E - DEMAND]],0)</f>
        <v>101649.91203703704</v>
      </c>
      <c r="L247" s="43">
        <v>2376</v>
      </c>
      <c r="M247" s="39">
        <f>VLOOKUP(Table215[[#This Row],[ROUTE]],DEMAND!A:F,5,FALSE)</f>
        <v>2496</v>
      </c>
      <c r="N247" s="39">
        <f>VLOOKUP(Table215[[#This Row],[ROUTE]],DEMAND!A:F,6,FALSE)</f>
        <v>1176</v>
      </c>
      <c r="O247" s="39">
        <f>ROUNDDOWN(Table215[[#This Row],[R-DEMAND]]/1320,0)</f>
        <v>0</v>
      </c>
      <c r="P247" s="41">
        <f>Table215[[#This Row],[ADD ACC]]*Table215[[#This Row],[RT TIME (744)]]</f>
        <v>0</v>
      </c>
    </row>
    <row r="248" spans="1:16" ht="15" customHeight="1" x14ac:dyDescent="0.25">
      <c r="A248" s="38" t="s">
        <v>13903</v>
      </c>
      <c r="B248" s="39" t="s">
        <v>320</v>
      </c>
      <c r="C248" s="39" t="s">
        <v>2</v>
      </c>
      <c r="D248" s="39">
        <v>0</v>
      </c>
      <c r="E248" s="38" t="s">
        <v>1847</v>
      </c>
      <c r="F248" s="38" t="str">
        <f>VLOOKUP(E:E,Table10[[COUNTRY NAME]:[CONTINENT CODE]],3,FALSE)</f>
        <v>AS</v>
      </c>
      <c r="G248" s="155" t="s">
        <v>11976</v>
      </c>
      <c r="H248" s="40">
        <v>12187</v>
      </c>
      <c r="I248" s="41">
        <v>29</v>
      </c>
      <c r="J248" s="157">
        <v>250575190</v>
      </c>
      <c r="K248" s="42">
        <f>IFERROR(Table215[[#This Row],[ROUTE $]]/Table215[[#This Row],[E - DEMAND]],0)</f>
        <v>88667.795470629862</v>
      </c>
      <c r="L248" s="43">
        <v>2826</v>
      </c>
      <c r="M248" s="39">
        <f>VLOOKUP(Table215[[#This Row],[ROUTE]],DEMAND!A:F,5,FALSE)</f>
        <v>2968</v>
      </c>
      <c r="N248" s="39">
        <f>VLOOKUP(Table215[[#This Row],[ROUTE]],DEMAND!A:F,6,FALSE)</f>
        <v>328</v>
      </c>
      <c r="O248" s="39">
        <f>ROUNDDOWN(Table215[[#This Row],[R-DEMAND]]/1320,0)</f>
        <v>0</v>
      </c>
      <c r="P248" s="41">
        <f>Table215[[#This Row],[ADD ACC]]*Table215[[#This Row],[RT TIME (744)]]</f>
        <v>0</v>
      </c>
    </row>
    <row r="249" spans="1:16" ht="15" customHeight="1" x14ac:dyDescent="0.25">
      <c r="A249" s="38" t="s">
        <v>13900</v>
      </c>
      <c r="B249" s="39" t="s">
        <v>5369</v>
      </c>
      <c r="C249" s="39" t="s">
        <v>2</v>
      </c>
      <c r="D249" s="39">
        <v>3</v>
      </c>
      <c r="E249" s="38" t="s">
        <v>1847</v>
      </c>
      <c r="F249" s="38" t="str">
        <f>VLOOKUP(E:E,Table10[[COUNTRY NAME]:[CONTINENT CODE]],3,FALSE)</f>
        <v>AS</v>
      </c>
      <c r="G249" s="155" t="s">
        <v>11977</v>
      </c>
      <c r="H249" s="40">
        <v>12236</v>
      </c>
      <c r="I249" s="41">
        <v>29.25</v>
      </c>
      <c r="J249" s="157">
        <v>267156479</v>
      </c>
      <c r="K249" s="42">
        <f>IFERROR(Table215[[#This Row],[ROUTE $]]/Table215[[#This Row],[E - DEMAND]],0)</f>
        <v>86013.032517707659</v>
      </c>
      <c r="L249" s="43">
        <v>3106</v>
      </c>
      <c r="M249" s="39">
        <f>VLOOKUP(Table215[[#This Row],[ROUTE]],DEMAND!A:F,5,FALSE)</f>
        <v>3262</v>
      </c>
      <c r="N249" s="39">
        <f>VLOOKUP(Table215[[#This Row],[ROUTE]],DEMAND!A:F,6,FALSE)</f>
        <v>622</v>
      </c>
      <c r="O249" s="39">
        <f>ROUNDDOWN(Table215[[#This Row],[R-DEMAND]]/1320,0)</f>
        <v>0</v>
      </c>
      <c r="P249" s="41">
        <f>Table215[[#This Row],[ADD ACC]]*Table215[[#This Row],[RT TIME (744)]]</f>
        <v>0</v>
      </c>
    </row>
    <row r="250" spans="1:16" ht="15" customHeight="1" x14ac:dyDescent="0.25">
      <c r="A250" s="38" t="s">
        <v>13901</v>
      </c>
      <c r="B250" s="39" t="s">
        <v>319</v>
      </c>
      <c r="C250" s="39" t="s">
        <v>2</v>
      </c>
      <c r="D250" s="39">
        <v>5</v>
      </c>
      <c r="E250" s="38" t="s">
        <v>1847</v>
      </c>
      <c r="F250" s="38" t="str">
        <f>VLOOKUP(E:E,Table10[[COUNTRY NAME]:[CONTINENT CODE]],3,FALSE)</f>
        <v>AS</v>
      </c>
      <c r="G250" s="155" t="s">
        <v>11087</v>
      </c>
      <c r="H250" s="40">
        <v>12219</v>
      </c>
      <c r="I250" s="41">
        <v>29.25</v>
      </c>
      <c r="J250" s="157">
        <v>299545742</v>
      </c>
      <c r="K250" s="42">
        <f>IFERROR(Table215[[#This Row],[ROUTE $]]/Table215[[#This Row],[E - DEMAND]],0)</f>
        <v>74774.274088866703</v>
      </c>
      <c r="L250" s="43">
        <v>4006</v>
      </c>
      <c r="M250" s="39">
        <f>VLOOKUP(Table215[[#This Row],[ROUTE]],DEMAND!A:F,5,FALSE)</f>
        <v>4008</v>
      </c>
      <c r="N250" s="39">
        <f>VLOOKUP(Table215[[#This Row],[ROUTE]],DEMAND!A:F,6,FALSE)</f>
        <v>48</v>
      </c>
      <c r="O250" s="39">
        <f>ROUNDDOWN(Table215[[#This Row],[R-DEMAND]]/1320,0)</f>
        <v>0</v>
      </c>
      <c r="P250" s="41">
        <f>Table215[[#This Row],[ADD ACC]]*Table215[[#This Row],[RT TIME (744)]]</f>
        <v>0</v>
      </c>
    </row>
    <row r="251" spans="1:16" ht="15" customHeight="1" x14ac:dyDescent="0.25">
      <c r="A251" s="38" t="s">
        <v>13904</v>
      </c>
      <c r="B251" s="39" t="s">
        <v>435</v>
      </c>
      <c r="C251" s="39" t="s">
        <v>2</v>
      </c>
      <c r="D251" s="39">
        <v>4</v>
      </c>
      <c r="E251" s="38" t="s">
        <v>1847</v>
      </c>
      <c r="F251" s="38" t="str">
        <f>VLOOKUP(E:E,Table10[[COUNTRY NAME]:[CONTINENT CODE]],3,FALSE)</f>
        <v>AS</v>
      </c>
      <c r="G251" s="155" t="s">
        <v>11109</v>
      </c>
      <c r="H251" s="40">
        <v>12122</v>
      </c>
      <c r="I251" s="41">
        <v>29</v>
      </c>
      <c r="J251" s="157">
        <v>272398564</v>
      </c>
      <c r="K251" s="42">
        <f>IFERROR(Table215[[#This Row],[ROUTE $]]/Table215[[#This Row],[E - DEMAND]],0)</f>
        <v>82947.187576126671</v>
      </c>
      <c r="L251" s="43">
        <v>3284</v>
      </c>
      <c r="M251" s="39">
        <f>VLOOKUP(Table215[[#This Row],[ROUTE]],DEMAND!A:F,5,FALSE)</f>
        <v>3286</v>
      </c>
      <c r="N251" s="39">
        <f>VLOOKUP(Table215[[#This Row],[ROUTE]],DEMAND!A:F,6,FALSE)</f>
        <v>646</v>
      </c>
      <c r="O251" s="39">
        <f>ROUNDDOWN(Table215[[#This Row],[R-DEMAND]]/1320,0)</f>
        <v>0</v>
      </c>
      <c r="P251" s="41">
        <f>Table215[[#This Row],[ADD ACC]]*Table215[[#This Row],[RT TIME (744)]]</f>
        <v>0</v>
      </c>
    </row>
    <row r="252" spans="1:16" ht="15" customHeight="1" x14ac:dyDescent="0.25">
      <c r="A252" s="38" t="s">
        <v>13912</v>
      </c>
      <c r="B252" s="39" t="s">
        <v>424</v>
      </c>
      <c r="C252" s="39" t="s">
        <v>2</v>
      </c>
      <c r="D252" s="39">
        <v>3</v>
      </c>
      <c r="E252" s="38" t="s">
        <v>83</v>
      </c>
      <c r="F252" s="38" t="str">
        <f>VLOOKUP(E:E,Table10[[COUNTRY NAME]:[CONTINENT CODE]],3,FALSE)</f>
        <v>EU</v>
      </c>
      <c r="G252" s="155" t="s">
        <v>11700</v>
      </c>
      <c r="H252" s="40">
        <v>9495</v>
      </c>
      <c r="I252" s="41">
        <v>23.25</v>
      </c>
      <c r="J252" s="157">
        <v>239999154</v>
      </c>
      <c r="K252" s="42">
        <f>IFERROR(Table215[[#This Row],[ROUTE $]]/Table215[[#This Row],[E - DEMAND]],0)</f>
        <v>94376.387731026349</v>
      </c>
      <c r="L252" s="43">
        <v>2543</v>
      </c>
      <c r="M252" s="39">
        <f>VLOOKUP(Table215[[#This Row],[ROUTE]],DEMAND!A:F,5,FALSE)</f>
        <v>2705</v>
      </c>
      <c r="N252" s="39">
        <f>VLOOKUP(Table215[[#This Row],[ROUTE]],DEMAND!A:F,6,FALSE)</f>
        <v>65</v>
      </c>
      <c r="O252" s="39">
        <f>ROUNDDOWN(Table215[[#This Row],[R-DEMAND]]/1320,0)</f>
        <v>0</v>
      </c>
      <c r="P252" s="41">
        <f>Table215[[#This Row],[ADD ACC]]*Table215[[#This Row],[RT TIME (744)]]</f>
        <v>0</v>
      </c>
    </row>
    <row r="253" spans="1:16" ht="15" customHeight="1" x14ac:dyDescent="0.25">
      <c r="A253" s="38" t="s">
        <v>13909</v>
      </c>
      <c r="B253" s="39" t="s">
        <v>5401</v>
      </c>
      <c r="C253" s="39" t="s">
        <v>2</v>
      </c>
      <c r="D253" s="39">
        <v>3</v>
      </c>
      <c r="E253" s="38" t="s">
        <v>83</v>
      </c>
      <c r="F253" s="38" t="str">
        <f>VLOOKUP(E:E,Table10[[COUNTRY NAME]:[CONTINENT CODE]],3,FALSE)</f>
        <v>EU</v>
      </c>
      <c r="G253" s="155" t="s">
        <v>11712</v>
      </c>
      <c r="H253" s="40">
        <v>9537</v>
      </c>
      <c r="I253" s="41">
        <v>23.25</v>
      </c>
      <c r="J253" s="157">
        <v>241121813</v>
      </c>
      <c r="K253" s="42">
        <f>IFERROR(Table215[[#This Row],[ROUTE $]]/Table215[[#This Row],[E - DEMAND]],0)</f>
        <v>94225.0148495506</v>
      </c>
      <c r="L253" s="43">
        <v>2559</v>
      </c>
      <c r="M253" s="39">
        <f>VLOOKUP(Table215[[#This Row],[ROUTE]],DEMAND!A:F,5,FALSE)</f>
        <v>2714</v>
      </c>
      <c r="N253" s="39">
        <f>VLOOKUP(Table215[[#This Row],[ROUTE]],DEMAND!A:F,6,FALSE)</f>
        <v>74</v>
      </c>
      <c r="O253" s="39">
        <f>ROUNDDOWN(Table215[[#This Row],[R-DEMAND]]/1320,0)</f>
        <v>0</v>
      </c>
      <c r="P253" s="41">
        <f>Table215[[#This Row],[ADD ACC]]*Table215[[#This Row],[RT TIME (744)]]</f>
        <v>0</v>
      </c>
    </row>
    <row r="254" spans="1:16" ht="15" customHeight="1" x14ac:dyDescent="0.25">
      <c r="A254" s="38" t="s">
        <v>13908</v>
      </c>
      <c r="B254" s="39" t="s">
        <v>182</v>
      </c>
      <c r="C254" s="39" t="s">
        <v>2</v>
      </c>
      <c r="D254" s="39">
        <v>5</v>
      </c>
      <c r="E254" s="38" t="s">
        <v>83</v>
      </c>
      <c r="F254" s="38" t="str">
        <f>VLOOKUP(E:E,Table10[[COUNTRY NAME]:[CONTINENT CODE]],3,FALSE)</f>
        <v>EU</v>
      </c>
      <c r="G254" s="155" t="s">
        <v>181</v>
      </c>
      <c r="H254" s="40">
        <v>9540</v>
      </c>
      <c r="I254" s="41">
        <v>23.25</v>
      </c>
      <c r="J254" s="157">
        <v>259830763</v>
      </c>
      <c r="K254" s="42">
        <f>IFERROR(Table215[[#This Row],[ROUTE $]]/Table215[[#This Row],[E - DEMAND]],0)</f>
        <v>86958.086680053544</v>
      </c>
      <c r="L254" s="43">
        <v>2988</v>
      </c>
      <c r="M254" s="39">
        <f>VLOOKUP(Table215[[#This Row],[ROUTE]],DEMAND!A:F,5,FALSE)</f>
        <v>2989</v>
      </c>
      <c r="N254" s="39">
        <f>VLOOKUP(Table215[[#This Row],[ROUTE]],DEMAND!A:F,6,FALSE)</f>
        <v>349</v>
      </c>
      <c r="O254" s="39">
        <f>ROUNDDOWN(Table215[[#This Row],[R-DEMAND]]/1320,0)</f>
        <v>0</v>
      </c>
      <c r="P254" s="41">
        <f>Table215[[#This Row],[ADD ACC]]*Table215[[#This Row],[RT TIME (744)]]</f>
        <v>0</v>
      </c>
    </row>
    <row r="255" spans="1:16" ht="15" customHeight="1" x14ac:dyDescent="0.25">
      <c r="A255" s="38" t="s">
        <v>13911</v>
      </c>
      <c r="B255" s="39" t="s">
        <v>84</v>
      </c>
      <c r="C255" s="39" t="s">
        <v>2</v>
      </c>
      <c r="D255" s="39">
        <v>5</v>
      </c>
      <c r="E255" s="38" t="s">
        <v>83</v>
      </c>
      <c r="F255" s="38" t="str">
        <f>VLOOKUP(E:E,Table10[[COUNTRY NAME]:[CONTINENT CODE]],3,FALSE)</f>
        <v>EU</v>
      </c>
      <c r="G255" s="155" t="s">
        <v>82</v>
      </c>
      <c r="H255" s="40">
        <v>9528</v>
      </c>
      <c r="I255" s="41">
        <v>23.25</v>
      </c>
      <c r="J255" s="157">
        <v>259270741</v>
      </c>
      <c r="K255" s="42">
        <f>IFERROR(Table215[[#This Row],[ROUTE $]]/Table215[[#This Row],[E - DEMAND]],0)</f>
        <v>87062.035258562799</v>
      </c>
      <c r="L255" s="43">
        <v>2978</v>
      </c>
      <c r="M255" s="39">
        <f>VLOOKUP(Table215[[#This Row],[ROUTE]],DEMAND!A:F,5,FALSE)</f>
        <v>2979</v>
      </c>
      <c r="N255" s="39">
        <f>VLOOKUP(Table215[[#This Row],[ROUTE]],DEMAND!A:F,6,FALSE)</f>
        <v>339</v>
      </c>
      <c r="O255" s="39">
        <f>ROUNDDOWN(Table215[[#This Row],[R-DEMAND]]/1320,0)</f>
        <v>0</v>
      </c>
      <c r="P255" s="41">
        <f>Table215[[#This Row],[ADD ACC]]*Table215[[#This Row],[RT TIME (744)]]</f>
        <v>0</v>
      </c>
    </row>
    <row r="256" spans="1:16" ht="15" customHeight="1" x14ac:dyDescent="0.25">
      <c r="A256" s="38" t="s">
        <v>13914</v>
      </c>
      <c r="B256" s="39" t="s">
        <v>200</v>
      </c>
      <c r="C256" s="39" t="s">
        <v>2</v>
      </c>
      <c r="D256" s="39">
        <v>5</v>
      </c>
      <c r="E256" s="38" t="s">
        <v>83</v>
      </c>
      <c r="F256" s="38" t="str">
        <f>VLOOKUP(E:E,Table10[[COUNTRY NAME]:[CONTINENT CODE]],3,FALSE)</f>
        <v>EU</v>
      </c>
      <c r="G256" s="155" t="s">
        <v>11067</v>
      </c>
      <c r="H256" s="40">
        <v>9447</v>
      </c>
      <c r="I256" s="41">
        <v>23</v>
      </c>
      <c r="J256" s="157">
        <v>265611210</v>
      </c>
      <c r="K256" s="42">
        <f>IFERROR(Table215[[#This Row],[ROUTE $]]/Table215[[#This Row],[E - DEMAND]],0)</f>
        <v>84643.470363288725</v>
      </c>
      <c r="L256" s="43">
        <v>3138</v>
      </c>
      <c r="M256" s="39">
        <f>VLOOKUP(Table215[[#This Row],[ROUTE]],DEMAND!A:F,5,FALSE)</f>
        <v>3138</v>
      </c>
      <c r="N256" s="39">
        <f>VLOOKUP(Table215[[#This Row],[ROUTE]],DEMAND!A:F,6,FALSE)</f>
        <v>498</v>
      </c>
      <c r="O256" s="39">
        <f>ROUNDDOWN(Table215[[#This Row],[R-DEMAND]]/1320,0)</f>
        <v>0</v>
      </c>
      <c r="P256" s="41">
        <f>Table215[[#This Row],[ADD ACC]]*Table215[[#This Row],[RT TIME (744)]]</f>
        <v>0</v>
      </c>
    </row>
    <row r="257" spans="1:16" ht="15" customHeight="1" x14ac:dyDescent="0.25">
      <c r="A257" s="38" t="s">
        <v>13913</v>
      </c>
      <c r="B257" s="39" t="s">
        <v>195</v>
      </c>
      <c r="C257" s="39" t="s">
        <v>2</v>
      </c>
      <c r="D257" s="39">
        <v>5</v>
      </c>
      <c r="E257" s="38" t="s">
        <v>83</v>
      </c>
      <c r="F257" s="38" t="str">
        <f>VLOOKUP(E:E,Table10[[COUNTRY NAME]:[CONTINENT CODE]],3,FALSE)</f>
        <v>EU</v>
      </c>
      <c r="G257" s="155" t="s">
        <v>11066</v>
      </c>
      <c r="H257" s="40">
        <v>9462</v>
      </c>
      <c r="I257" s="41">
        <v>23</v>
      </c>
      <c r="J257" s="157">
        <v>272304567</v>
      </c>
      <c r="K257" s="42">
        <f>IFERROR(Table215[[#This Row],[ROUTE $]]/Table215[[#This Row],[E - DEMAND]],0)</f>
        <v>83095.687213915167</v>
      </c>
      <c r="L257" s="43">
        <v>3277</v>
      </c>
      <c r="M257" s="39">
        <f>VLOOKUP(Table215[[#This Row],[ROUTE]],DEMAND!A:F,5,FALSE)</f>
        <v>3278</v>
      </c>
      <c r="N257" s="39">
        <f>VLOOKUP(Table215[[#This Row],[ROUTE]],DEMAND!A:F,6,FALSE)</f>
        <v>638</v>
      </c>
      <c r="O257" s="39">
        <f>ROUNDDOWN(Table215[[#This Row],[R-DEMAND]]/1320,0)</f>
        <v>0</v>
      </c>
      <c r="P257" s="41">
        <f>Table215[[#This Row],[ADD ACC]]*Table215[[#This Row],[RT TIME (744)]]</f>
        <v>0</v>
      </c>
    </row>
    <row r="258" spans="1:16" ht="15" customHeight="1" x14ac:dyDescent="0.25">
      <c r="A258" s="38" t="s">
        <v>13958</v>
      </c>
      <c r="B258" s="39" t="s">
        <v>5411</v>
      </c>
      <c r="C258" s="39" t="s">
        <v>2</v>
      </c>
      <c r="D258" s="39">
        <v>4</v>
      </c>
      <c r="E258" s="143" t="s">
        <v>647</v>
      </c>
      <c r="F258" s="38" t="e">
        <f>VLOOKUP(E:E,Table10[[COUNTRY NAME]:[CONTINENT CODE]],3,FALSE)</f>
        <v>#N/A</v>
      </c>
      <c r="G258" s="155" t="s">
        <v>13292</v>
      </c>
      <c r="H258" s="40">
        <v>9078</v>
      </c>
      <c r="I258" s="41">
        <v>22.25</v>
      </c>
      <c r="J258" s="157">
        <v>238431622</v>
      </c>
      <c r="K258" s="42">
        <f>IFERROR(Table215[[#This Row],[ROUTE $]]/Table215[[#This Row],[E - DEMAND]],0)</f>
        <v>106872.08516360377</v>
      </c>
      <c r="L258" s="43">
        <v>2231</v>
      </c>
      <c r="M258" s="39">
        <f>VLOOKUP(Table215[[#This Row],[ROUTE]],DEMAND!A:F,5,FALSE)</f>
        <v>2366</v>
      </c>
      <c r="N258" s="39">
        <f>VLOOKUP(Table215[[#This Row],[ROUTE]],DEMAND!A:F,6,FALSE)</f>
        <v>1046</v>
      </c>
      <c r="O258" s="39">
        <f>ROUNDDOWN(Table215[[#This Row],[R-DEMAND]]/1320,0)</f>
        <v>0</v>
      </c>
      <c r="P258" s="41">
        <f>Table215[[#This Row],[ADD ACC]]*Table215[[#This Row],[RT TIME (744)]]</f>
        <v>0</v>
      </c>
    </row>
    <row r="259" spans="1:16" ht="15" customHeight="1" x14ac:dyDescent="0.25">
      <c r="A259" s="38" t="s">
        <v>14021</v>
      </c>
      <c r="B259" s="39" t="s">
        <v>5768</v>
      </c>
      <c r="C259" s="39" t="s">
        <v>2</v>
      </c>
      <c r="D259" s="39">
        <v>5</v>
      </c>
      <c r="E259" s="143" t="s">
        <v>647</v>
      </c>
      <c r="F259" s="38" t="e">
        <f>VLOOKUP(E:E,Table10[[COUNTRY NAME]:[CONTINENT CODE]],3,FALSE)</f>
        <v>#N/A</v>
      </c>
      <c r="G259" s="155" t="s">
        <v>13354</v>
      </c>
      <c r="H259" s="40">
        <v>7512</v>
      </c>
      <c r="I259" s="41">
        <v>18.75</v>
      </c>
      <c r="J259" s="157">
        <v>253630687</v>
      </c>
      <c r="K259" s="42">
        <f>IFERROR(Table215[[#This Row],[ROUTE $]]/Table215[[#This Row],[E - DEMAND]],0)</f>
        <v>96218.014795144161</v>
      </c>
      <c r="L259" s="43">
        <v>2636</v>
      </c>
      <c r="M259" s="39">
        <f>VLOOKUP(Table215[[#This Row],[ROUTE]],DEMAND!A:F,5,FALSE)</f>
        <v>2638</v>
      </c>
      <c r="N259" s="39">
        <f>VLOOKUP(Table215[[#This Row],[ROUTE]],DEMAND!A:F,6,FALSE)</f>
        <v>1318</v>
      </c>
      <c r="O259" s="39">
        <f>ROUNDDOWN(Table215[[#This Row],[R-DEMAND]]/1320,0)</f>
        <v>0</v>
      </c>
      <c r="P259" s="41">
        <f>Table215[[#This Row],[ADD ACC]]*Table215[[#This Row],[RT TIME (744)]]</f>
        <v>0</v>
      </c>
    </row>
    <row r="260" spans="1:16" ht="15" customHeight="1" x14ac:dyDescent="0.25">
      <c r="A260" s="38" t="s">
        <v>14010</v>
      </c>
      <c r="B260" s="39" t="s">
        <v>404</v>
      </c>
      <c r="C260" s="39" t="s">
        <v>2</v>
      </c>
      <c r="D260" s="39">
        <v>5</v>
      </c>
      <c r="E260" s="143" t="s">
        <v>647</v>
      </c>
      <c r="F260" s="38" t="e">
        <f>VLOOKUP(E:E,Table10[[COUNTRY NAME]:[CONTINENT CODE]],3,FALSE)</f>
        <v>#N/A</v>
      </c>
      <c r="G260" s="155" t="s">
        <v>13343</v>
      </c>
      <c r="H260" s="40">
        <v>7740</v>
      </c>
      <c r="I260" s="41">
        <v>19.25</v>
      </c>
      <c r="J260" s="157">
        <v>244460173</v>
      </c>
      <c r="K260" s="42">
        <f>IFERROR(Table215[[#This Row],[ROUTE $]]/Table215[[#This Row],[E - DEMAND]],0)</f>
        <v>99374.054065040647</v>
      </c>
      <c r="L260" s="43">
        <v>2460</v>
      </c>
      <c r="M260" s="39">
        <f>VLOOKUP(Table215[[#This Row],[ROUTE]],DEMAND!A:F,5,FALSE)</f>
        <v>2460</v>
      </c>
      <c r="N260" s="39">
        <f>VLOOKUP(Table215[[#This Row],[ROUTE]],DEMAND!A:F,6,FALSE)</f>
        <v>1140</v>
      </c>
      <c r="O260" s="39">
        <f>ROUNDDOWN(Table215[[#This Row],[R-DEMAND]]/1320,0)</f>
        <v>0</v>
      </c>
      <c r="P260" s="41">
        <f>Table215[[#This Row],[ADD ACC]]*Table215[[#This Row],[RT TIME (744)]]</f>
        <v>0</v>
      </c>
    </row>
    <row r="261" spans="1:16" ht="15" customHeight="1" x14ac:dyDescent="0.25">
      <c r="A261" s="38" t="s">
        <v>14018</v>
      </c>
      <c r="B261" s="39" t="s">
        <v>5682</v>
      </c>
      <c r="C261" s="39" t="s">
        <v>2</v>
      </c>
      <c r="D261" s="39">
        <v>5</v>
      </c>
      <c r="E261" s="143" t="s">
        <v>647</v>
      </c>
      <c r="F261" s="38" t="e">
        <f>VLOOKUP(E:E,Table10[[COUNTRY NAME]:[CONTINENT CODE]],3,FALSE)</f>
        <v>#N/A</v>
      </c>
      <c r="G261" s="155" t="s">
        <v>13351</v>
      </c>
      <c r="H261" s="40">
        <v>7639</v>
      </c>
      <c r="I261" s="41">
        <v>19</v>
      </c>
      <c r="J261" s="157">
        <v>240367942</v>
      </c>
      <c r="K261" s="42">
        <f>IFERROR(Table215[[#This Row],[ROUTE $]]/Table215[[#This Row],[E - DEMAND]],0)</f>
        <v>99655.033996683254</v>
      </c>
      <c r="L261" s="43">
        <v>2412</v>
      </c>
      <c r="M261" s="39">
        <f>VLOOKUP(Table215[[#This Row],[ROUTE]],DEMAND!A:F,5,FALSE)</f>
        <v>2412</v>
      </c>
      <c r="N261" s="39">
        <f>VLOOKUP(Table215[[#This Row],[ROUTE]],DEMAND!A:F,6,FALSE)</f>
        <v>1092</v>
      </c>
      <c r="O261" s="39">
        <f>ROUNDDOWN(Table215[[#This Row],[R-DEMAND]]/1320,0)</f>
        <v>0</v>
      </c>
      <c r="P261" s="41">
        <f>Table215[[#This Row],[ADD ACC]]*Table215[[#This Row],[RT TIME (744)]]</f>
        <v>0</v>
      </c>
    </row>
    <row r="262" spans="1:16" ht="15" customHeight="1" x14ac:dyDescent="0.25">
      <c r="A262" s="38" t="s">
        <v>14025</v>
      </c>
      <c r="B262" s="39" t="s">
        <v>5732</v>
      </c>
      <c r="C262" s="39" t="s">
        <v>2</v>
      </c>
      <c r="D262" s="39">
        <v>5</v>
      </c>
      <c r="E262" s="143" t="s">
        <v>647</v>
      </c>
      <c r="F262" s="38" t="e">
        <f>VLOOKUP(E:E,Table10[[COUNTRY NAME]:[CONTINENT CODE]],3,FALSE)</f>
        <v>#N/A</v>
      </c>
      <c r="G262" s="155" t="s">
        <v>13358</v>
      </c>
      <c r="H262" s="40">
        <v>7466</v>
      </c>
      <c r="I262" s="41">
        <v>18.75</v>
      </c>
      <c r="J262" s="157">
        <v>248921530</v>
      </c>
      <c r="K262" s="42">
        <f>IFERROR(Table215[[#This Row],[ROUTE $]]/Table215[[#This Row],[E - DEMAND]],0)</f>
        <v>96818.953714507967</v>
      </c>
      <c r="L262" s="43">
        <v>2571</v>
      </c>
      <c r="M262" s="39">
        <f>VLOOKUP(Table215[[#This Row],[ROUTE]],DEMAND!A:F,5,FALSE)</f>
        <v>2572</v>
      </c>
      <c r="N262" s="39">
        <f>VLOOKUP(Table215[[#This Row],[ROUTE]],DEMAND!A:F,6,FALSE)</f>
        <v>1252</v>
      </c>
      <c r="O262" s="39">
        <f>ROUNDDOWN(Table215[[#This Row],[R-DEMAND]]/1320,0)</f>
        <v>0</v>
      </c>
      <c r="P262" s="41">
        <f>Table215[[#This Row],[ADD ACC]]*Table215[[#This Row],[RT TIME (744)]]</f>
        <v>0</v>
      </c>
    </row>
    <row r="263" spans="1:16" ht="15" customHeight="1" x14ac:dyDescent="0.25">
      <c r="A263" s="38" t="s">
        <v>13954</v>
      </c>
      <c r="B263" s="39" t="s">
        <v>5765</v>
      </c>
      <c r="C263" s="39" t="s">
        <v>2</v>
      </c>
      <c r="D263" s="39">
        <v>5</v>
      </c>
      <c r="E263" s="143" t="s">
        <v>647</v>
      </c>
      <c r="F263" s="38" t="e">
        <f>VLOOKUP(E:E,Table10[[COUNTRY NAME]:[CONTINENT CODE]],3,FALSE)</f>
        <v>#N/A</v>
      </c>
      <c r="G263" s="155" t="s">
        <v>13288</v>
      </c>
      <c r="H263" s="40">
        <v>9268</v>
      </c>
      <c r="I263" s="41">
        <v>22.75</v>
      </c>
      <c r="J263" s="157">
        <v>272512887</v>
      </c>
      <c r="K263" s="42">
        <f>IFERROR(Table215[[#This Row],[ROUTE $]]/Table215[[#This Row],[E - DEMAND]],0)</f>
        <v>99384.714442013123</v>
      </c>
      <c r="L263" s="43">
        <v>2742</v>
      </c>
      <c r="M263" s="39">
        <f>VLOOKUP(Table215[[#This Row],[ROUTE]],DEMAND!A:F,5,FALSE)</f>
        <v>2742</v>
      </c>
      <c r="N263" s="39">
        <f>VLOOKUP(Table215[[#This Row],[ROUTE]],DEMAND!A:F,6,FALSE)</f>
        <v>102</v>
      </c>
      <c r="O263" s="39">
        <f>ROUNDDOWN(Table215[[#This Row],[R-DEMAND]]/1320,0)</f>
        <v>0</v>
      </c>
      <c r="P263" s="41">
        <f>Table215[[#This Row],[ADD ACC]]*Table215[[#This Row],[RT TIME (744)]]</f>
        <v>0</v>
      </c>
    </row>
    <row r="264" spans="1:16" ht="15" customHeight="1" x14ac:dyDescent="0.25">
      <c r="A264" s="38" t="s">
        <v>13983</v>
      </c>
      <c r="B264" s="39" t="s">
        <v>5758</v>
      </c>
      <c r="C264" s="39" t="s">
        <v>2</v>
      </c>
      <c r="D264" s="39">
        <v>5</v>
      </c>
      <c r="E264" s="143" t="s">
        <v>647</v>
      </c>
      <c r="F264" s="38" t="e">
        <f>VLOOKUP(E:E,Table10[[COUNTRY NAME]:[CONTINENT CODE]],3,FALSE)</f>
        <v>#N/A</v>
      </c>
      <c r="G264" s="155" t="s">
        <v>13316</v>
      </c>
      <c r="H264" s="40">
        <v>8246</v>
      </c>
      <c r="I264" s="41">
        <v>20.5</v>
      </c>
      <c r="J264" s="157">
        <v>261569699</v>
      </c>
      <c r="K264" s="42">
        <f>IFERROR(Table215[[#This Row],[ROUTE $]]/Table215[[#This Row],[E - DEMAND]],0)</f>
        <v>95393.76331145149</v>
      </c>
      <c r="L264" s="43">
        <v>2742</v>
      </c>
      <c r="M264" s="39">
        <f>VLOOKUP(Table215[[#This Row],[ROUTE]],DEMAND!A:F,5,FALSE)</f>
        <v>2742</v>
      </c>
      <c r="N264" s="39">
        <f>VLOOKUP(Table215[[#This Row],[ROUTE]],DEMAND!A:F,6,FALSE)</f>
        <v>102</v>
      </c>
      <c r="O264" s="39">
        <f>ROUNDDOWN(Table215[[#This Row],[R-DEMAND]]/1320,0)</f>
        <v>0</v>
      </c>
      <c r="P264" s="41">
        <f>Table215[[#This Row],[ADD ACC]]*Table215[[#This Row],[RT TIME (744)]]</f>
        <v>0</v>
      </c>
    </row>
    <row r="265" spans="1:16" ht="15" customHeight="1" x14ac:dyDescent="0.25">
      <c r="A265" s="38" t="s">
        <v>13985</v>
      </c>
      <c r="B265" s="39" t="s">
        <v>5715</v>
      </c>
      <c r="C265" s="39" t="s">
        <v>2</v>
      </c>
      <c r="D265" s="39">
        <v>5</v>
      </c>
      <c r="E265" s="143" t="s">
        <v>647</v>
      </c>
      <c r="F265" s="38" t="e">
        <f>VLOOKUP(E:E,Table10[[COUNTRY NAME]:[CONTINENT CODE]],3,FALSE)</f>
        <v>#N/A</v>
      </c>
      <c r="G265" s="155" t="s">
        <v>13318</v>
      </c>
      <c r="H265" s="40">
        <v>8226</v>
      </c>
      <c r="I265" s="41">
        <v>20.25</v>
      </c>
      <c r="J265" s="157">
        <v>252790185</v>
      </c>
      <c r="K265" s="42">
        <f>IFERROR(Table215[[#This Row],[ROUTE $]]/Table215[[#This Row],[E - DEMAND]],0)</f>
        <v>96928.751917177913</v>
      </c>
      <c r="L265" s="43">
        <v>2608</v>
      </c>
      <c r="M265" s="39">
        <f>VLOOKUP(Table215[[#This Row],[ROUTE]],DEMAND!A:F,5,FALSE)</f>
        <v>2610</v>
      </c>
      <c r="N265" s="39">
        <f>VLOOKUP(Table215[[#This Row],[ROUTE]],DEMAND!A:F,6,FALSE)</f>
        <v>1290</v>
      </c>
      <c r="O265" s="39">
        <f>ROUNDDOWN(Table215[[#This Row],[R-DEMAND]]/1320,0)</f>
        <v>0</v>
      </c>
      <c r="P265" s="41">
        <f>Table215[[#This Row],[ADD ACC]]*Table215[[#This Row],[RT TIME (744)]]</f>
        <v>0</v>
      </c>
    </row>
    <row r="266" spans="1:16" ht="15" customHeight="1" x14ac:dyDescent="0.25">
      <c r="A266" s="38" t="s">
        <v>14012</v>
      </c>
      <c r="B266" s="39" t="s">
        <v>314</v>
      </c>
      <c r="C266" s="39" t="s">
        <v>2</v>
      </c>
      <c r="D266" s="39">
        <v>5</v>
      </c>
      <c r="E266" s="143" t="s">
        <v>647</v>
      </c>
      <c r="F266" s="38" t="e">
        <f>VLOOKUP(E:E,Table10[[COUNTRY NAME]:[CONTINENT CODE]],3,FALSE)</f>
        <v>#N/A</v>
      </c>
      <c r="G266" s="155" t="s">
        <v>13345</v>
      </c>
      <c r="H266" s="40">
        <v>7686</v>
      </c>
      <c r="I266" s="41">
        <v>19.25</v>
      </c>
      <c r="J266" s="157">
        <v>248749268</v>
      </c>
      <c r="K266" s="42">
        <f>IFERROR(Table215[[#This Row],[ROUTE $]]/Table215[[#This Row],[E - DEMAND]],0)</f>
        <v>94473.706038739081</v>
      </c>
      <c r="L266" s="43">
        <v>2633</v>
      </c>
      <c r="M266" s="39">
        <f>VLOOKUP(Table215[[#This Row],[ROUTE]],DEMAND!A:F,5,FALSE)</f>
        <v>2534</v>
      </c>
      <c r="N266" s="39">
        <f>VLOOKUP(Table215[[#This Row],[ROUTE]],DEMAND!A:F,6,FALSE)</f>
        <v>1214</v>
      </c>
      <c r="O266" s="39">
        <f>ROUNDDOWN(Table215[[#This Row],[R-DEMAND]]/1320,0)</f>
        <v>0</v>
      </c>
      <c r="P266" s="41">
        <f>Table215[[#This Row],[ADD ACC]]*Table215[[#This Row],[RT TIME (744)]]</f>
        <v>0</v>
      </c>
    </row>
    <row r="267" spans="1:16" ht="15" customHeight="1" x14ac:dyDescent="0.25">
      <c r="A267" s="38" t="s">
        <v>13915</v>
      </c>
      <c r="B267" s="39" t="s">
        <v>485</v>
      </c>
      <c r="C267" s="39" t="s">
        <v>2</v>
      </c>
      <c r="D267" s="39">
        <v>4</v>
      </c>
      <c r="E267" s="143" t="s">
        <v>647</v>
      </c>
      <c r="F267" s="38" t="e">
        <f>VLOOKUP(E:E,Table10[[COUNTRY NAME]:[CONTINENT CODE]],3,FALSE)</f>
        <v>#N/A</v>
      </c>
      <c r="G267" s="155" t="s">
        <v>11080</v>
      </c>
      <c r="H267" s="40">
        <v>13037</v>
      </c>
      <c r="I267" s="41">
        <v>31</v>
      </c>
      <c r="J267" s="157">
        <v>292129339</v>
      </c>
      <c r="K267" s="42">
        <f>IFERROR(Table215[[#This Row],[ROUTE $]]/Table215[[#This Row],[E - DEMAND]],0)</f>
        <v>108115.96558105107</v>
      </c>
      <c r="L267" s="43">
        <v>2702</v>
      </c>
      <c r="M267" s="39">
        <f>VLOOKUP(Table215[[#This Row],[ROUTE]],DEMAND!A:F,5,FALSE)</f>
        <v>2703</v>
      </c>
      <c r="N267" s="39">
        <f>VLOOKUP(Table215[[#This Row],[ROUTE]],DEMAND!A:F,6,FALSE)</f>
        <v>63</v>
      </c>
      <c r="O267" s="39">
        <f>ROUNDDOWN(Table215[[#This Row],[R-DEMAND]]/1320,0)</f>
        <v>0</v>
      </c>
      <c r="P267" s="41">
        <f>Table215[[#This Row],[ADD ACC]]*Table215[[#This Row],[RT TIME (744)]]</f>
        <v>0</v>
      </c>
    </row>
    <row r="268" spans="1:16" ht="15" customHeight="1" x14ac:dyDescent="0.25">
      <c r="A268" s="38" t="s">
        <v>14015</v>
      </c>
      <c r="B268" s="39" t="s">
        <v>261</v>
      </c>
      <c r="C268" s="39" t="s">
        <v>2</v>
      </c>
      <c r="D268" s="39">
        <v>5</v>
      </c>
      <c r="E268" s="143" t="s">
        <v>647</v>
      </c>
      <c r="F268" s="38" t="e">
        <f>VLOOKUP(E:E,Table10[[COUNTRY NAME]:[CONTINENT CODE]],3,FALSE)</f>
        <v>#N/A</v>
      </c>
      <c r="G268" s="155" t="s">
        <v>13348</v>
      </c>
      <c r="H268" s="40">
        <v>7651</v>
      </c>
      <c r="I268" s="41">
        <v>19</v>
      </c>
      <c r="J268" s="157">
        <v>241812164</v>
      </c>
      <c r="K268" s="42">
        <f>IFERROR(Table215[[#This Row],[ROUTE $]]/Table215[[#This Row],[E - DEMAND]],0)</f>
        <v>99511.178600823041</v>
      </c>
      <c r="L268" s="43">
        <v>2430</v>
      </c>
      <c r="M268" s="39">
        <f>VLOOKUP(Table215[[#This Row],[ROUTE]],DEMAND!A:F,5,FALSE)</f>
        <v>2431</v>
      </c>
      <c r="N268" s="39">
        <f>VLOOKUP(Table215[[#This Row],[ROUTE]],DEMAND!A:F,6,FALSE)</f>
        <v>1111</v>
      </c>
      <c r="O268" s="39">
        <f>ROUNDDOWN(Table215[[#This Row],[R-DEMAND]]/1320,0)</f>
        <v>0</v>
      </c>
      <c r="P268" s="41">
        <f>Table215[[#This Row],[ADD ACC]]*Table215[[#This Row],[RT TIME (744)]]</f>
        <v>0</v>
      </c>
    </row>
    <row r="269" spans="1:16" ht="15" customHeight="1" x14ac:dyDescent="0.25">
      <c r="A269" s="38" t="s">
        <v>14002</v>
      </c>
      <c r="B269" s="39" t="s">
        <v>5741</v>
      </c>
      <c r="C269" s="39" t="s">
        <v>2</v>
      </c>
      <c r="D269" s="39">
        <v>5</v>
      </c>
      <c r="E269" s="143" t="s">
        <v>647</v>
      </c>
      <c r="F269" s="38" t="e">
        <f>VLOOKUP(E:E,Table10[[COUNTRY NAME]:[CONTINENT CODE]],3,FALSE)</f>
        <v>#N/A</v>
      </c>
      <c r="G269" s="155" t="s">
        <v>13335</v>
      </c>
      <c r="H269" s="40">
        <v>7908</v>
      </c>
      <c r="I269" s="41">
        <v>19.75</v>
      </c>
      <c r="J269" s="157">
        <v>254697943</v>
      </c>
      <c r="K269" s="42">
        <f>IFERROR(Table215[[#This Row],[ROUTE $]]/Table215[[#This Row],[E - DEMAND]],0)</f>
        <v>98453.012369540011</v>
      </c>
      <c r="L269" s="43">
        <v>2587</v>
      </c>
      <c r="M269" s="39">
        <f>VLOOKUP(Table215[[#This Row],[ROUTE]],DEMAND!A:F,5,FALSE)</f>
        <v>2588</v>
      </c>
      <c r="N269" s="39">
        <f>VLOOKUP(Table215[[#This Row],[ROUTE]],DEMAND!A:F,6,FALSE)</f>
        <v>1268</v>
      </c>
      <c r="O269" s="39">
        <f>ROUNDDOWN(Table215[[#This Row],[R-DEMAND]]/1320,0)</f>
        <v>0</v>
      </c>
      <c r="P269" s="41">
        <f>Table215[[#This Row],[ADD ACC]]*Table215[[#This Row],[RT TIME (744)]]</f>
        <v>0</v>
      </c>
    </row>
    <row r="270" spans="1:16" ht="15" customHeight="1" x14ac:dyDescent="0.25">
      <c r="A270" s="38" t="s">
        <v>14013</v>
      </c>
      <c r="B270" s="39" t="s">
        <v>238</v>
      </c>
      <c r="C270" s="39" t="s">
        <v>2</v>
      </c>
      <c r="D270" s="39">
        <v>5</v>
      </c>
      <c r="E270" s="143" t="s">
        <v>647</v>
      </c>
      <c r="F270" s="38" t="e">
        <f>VLOOKUP(E:E,Table10[[COUNTRY NAME]:[CONTINENT CODE]],3,FALSE)</f>
        <v>#N/A</v>
      </c>
      <c r="G270" s="155" t="s">
        <v>13346</v>
      </c>
      <c r="H270" s="40">
        <v>7666</v>
      </c>
      <c r="I270" s="41">
        <v>19</v>
      </c>
      <c r="J270" s="157">
        <v>255530551</v>
      </c>
      <c r="K270" s="42">
        <f>IFERROR(Table215[[#This Row],[ROUTE $]]/Table215[[#This Row],[E - DEMAND]],0)</f>
        <v>97270.860677578981</v>
      </c>
      <c r="L270" s="43">
        <v>2627</v>
      </c>
      <c r="M270" s="39">
        <f>VLOOKUP(Table215[[#This Row],[ROUTE]],DEMAND!A:F,5,FALSE)</f>
        <v>2628</v>
      </c>
      <c r="N270" s="39">
        <f>VLOOKUP(Table215[[#This Row],[ROUTE]],DEMAND!A:F,6,FALSE)</f>
        <v>1308</v>
      </c>
      <c r="O270" s="39">
        <f>ROUNDDOWN(Table215[[#This Row],[R-DEMAND]]/1320,0)</f>
        <v>0</v>
      </c>
      <c r="P270" s="41">
        <f>Table215[[#This Row],[ADD ACC]]*Table215[[#This Row],[RT TIME (744)]]</f>
        <v>0</v>
      </c>
    </row>
    <row r="271" spans="1:16" ht="15" customHeight="1" x14ac:dyDescent="0.25">
      <c r="A271" s="38" t="s">
        <v>13918</v>
      </c>
      <c r="B271" s="39" t="s">
        <v>5095</v>
      </c>
      <c r="C271" s="39" t="s">
        <v>2</v>
      </c>
      <c r="D271" s="39">
        <v>3</v>
      </c>
      <c r="E271" s="143" t="s">
        <v>647</v>
      </c>
      <c r="F271" s="38" t="e">
        <f>VLOOKUP(E:E,Table10[[COUNTRY NAME]:[CONTINENT CODE]],3,FALSE)</f>
        <v>#N/A</v>
      </c>
      <c r="G271" s="155" t="s">
        <v>11765</v>
      </c>
      <c r="H271" s="40">
        <v>12798</v>
      </c>
      <c r="I271" s="41">
        <v>30.5</v>
      </c>
      <c r="J271" s="157">
        <v>267014703</v>
      </c>
      <c r="K271" s="42">
        <f>IFERROR(Table215[[#This Row],[ROUTE $]]/Table215[[#This Row],[E - DEMAND]],0)</f>
        <v>116244.97300827166</v>
      </c>
      <c r="L271" s="43">
        <v>2297</v>
      </c>
      <c r="M271" s="39">
        <f>VLOOKUP(Table215[[#This Row],[ROUTE]],DEMAND!A:F,5,FALSE)</f>
        <v>2389</v>
      </c>
      <c r="N271" s="39">
        <f>VLOOKUP(Table215[[#This Row],[ROUTE]],DEMAND!A:F,6,FALSE)</f>
        <v>1069</v>
      </c>
      <c r="O271" s="39">
        <f>ROUNDDOWN(Table215[[#This Row],[R-DEMAND]]/1320,0)</f>
        <v>0</v>
      </c>
      <c r="P271" s="41">
        <f>Table215[[#This Row],[ADD ACC]]*Table215[[#This Row],[RT TIME (744)]]</f>
        <v>0</v>
      </c>
    </row>
    <row r="272" spans="1:16" ht="15" customHeight="1" x14ac:dyDescent="0.25">
      <c r="A272" s="38" t="s">
        <v>13940</v>
      </c>
      <c r="B272" s="39" t="s">
        <v>5739</v>
      </c>
      <c r="C272" s="39" t="s">
        <v>2</v>
      </c>
      <c r="D272" s="39">
        <v>5</v>
      </c>
      <c r="E272" s="143" t="s">
        <v>647</v>
      </c>
      <c r="F272" s="38" t="e">
        <f>VLOOKUP(E:E,Table10[[COUNTRY NAME]:[CONTINENT CODE]],3,FALSE)</f>
        <v>#N/A</v>
      </c>
      <c r="G272" s="155" t="s">
        <v>13274</v>
      </c>
      <c r="H272" s="40">
        <v>9785</v>
      </c>
      <c r="I272" s="41">
        <v>23.75</v>
      </c>
      <c r="J272" s="157">
        <v>273729724</v>
      </c>
      <c r="K272" s="42">
        <f>IFERROR(Table215[[#This Row],[ROUTE $]]/Table215[[#This Row],[E - DEMAND]],0)</f>
        <v>101947.75567970205</v>
      </c>
      <c r="L272" s="43">
        <v>2685</v>
      </c>
      <c r="M272" s="39">
        <f>VLOOKUP(Table215[[#This Row],[ROUTE]],DEMAND!A:F,5,FALSE)</f>
        <v>2686</v>
      </c>
      <c r="N272" s="39">
        <f>VLOOKUP(Table215[[#This Row],[ROUTE]],DEMAND!A:F,6,FALSE)</f>
        <v>46</v>
      </c>
      <c r="O272" s="39">
        <f>ROUNDDOWN(Table215[[#This Row],[R-DEMAND]]/1320,0)</f>
        <v>0</v>
      </c>
      <c r="P272" s="41">
        <f>Table215[[#This Row],[ADD ACC]]*Table215[[#This Row],[RT TIME (744)]]</f>
        <v>0</v>
      </c>
    </row>
    <row r="273" spans="1:16" ht="15" customHeight="1" x14ac:dyDescent="0.25">
      <c r="A273" s="38" t="s">
        <v>13935</v>
      </c>
      <c r="B273" s="39" t="s">
        <v>5754</v>
      </c>
      <c r="C273" s="39" t="s">
        <v>2</v>
      </c>
      <c r="D273" s="39">
        <v>5</v>
      </c>
      <c r="E273" s="143" t="s">
        <v>647</v>
      </c>
      <c r="F273" s="38" t="e">
        <f>VLOOKUP(E:E,Table10[[COUNTRY NAME]:[CONTINENT CODE]],3,FALSE)</f>
        <v>#N/A</v>
      </c>
      <c r="G273" s="155" t="s">
        <v>13269</v>
      </c>
      <c r="H273" s="40">
        <v>9921</v>
      </c>
      <c r="I273" s="41">
        <v>24</v>
      </c>
      <c r="J273" s="157">
        <v>277969813</v>
      </c>
      <c r="K273" s="42">
        <f>IFERROR(Table215[[#This Row],[ROUTE $]]/Table215[[#This Row],[E - DEMAND]],0)</f>
        <v>101374.84062727935</v>
      </c>
      <c r="L273" s="43">
        <v>2742</v>
      </c>
      <c r="M273" s="39">
        <f>VLOOKUP(Table215[[#This Row],[ROUTE]],DEMAND!A:F,5,FALSE)</f>
        <v>2742</v>
      </c>
      <c r="N273" s="39">
        <f>VLOOKUP(Table215[[#This Row],[ROUTE]],DEMAND!A:F,6,FALSE)</f>
        <v>102</v>
      </c>
      <c r="O273" s="39">
        <f>ROUNDDOWN(Table215[[#This Row],[R-DEMAND]]/1320,0)</f>
        <v>0</v>
      </c>
      <c r="P273" s="41">
        <f>Table215[[#This Row],[ADD ACC]]*Table215[[#This Row],[RT TIME (744)]]</f>
        <v>0</v>
      </c>
    </row>
    <row r="274" spans="1:16" ht="15" customHeight="1" x14ac:dyDescent="0.25">
      <c r="A274" s="38" t="s">
        <v>14036</v>
      </c>
      <c r="B274" s="39" t="s">
        <v>5727</v>
      </c>
      <c r="C274" s="39" t="s">
        <v>2</v>
      </c>
      <c r="D274" s="39">
        <v>5</v>
      </c>
      <c r="E274" s="143" t="s">
        <v>647</v>
      </c>
      <c r="F274" s="38" t="e">
        <f>VLOOKUP(E:E,Table10[[COUNTRY NAME]:[CONTINENT CODE]],3,FALSE)</f>
        <v>#N/A</v>
      </c>
      <c r="G274" s="155" t="s">
        <v>13368</v>
      </c>
      <c r="H274" s="40">
        <v>6871</v>
      </c>
      <c r="I274" s="41">
        <v>17.25</v>
      </c>
      <c r="J274" s="157">
        <v>241625991</v>
      </c>
      <c r="K274" s="42">
        <f>IFERROR(Table215[[#This Row],[ROUTE $]]/Table215[[#This Row],[E - DEMAND]],0)</f>
        <v>94941.450294695474</v>
      </c>
      <c r="L274" s="43">
        <v>2545</v>
      </c>
      <c r="M274" s="39">
        <f>VLOOKUP(Table215[[#This Row],[ROUTE]],DEMAND!A:F,5,FALSE)</f>
        <v>2546</v>
      </c>
      <c r="N274" s="39">
        <f>VLOOKUP(Table215[[#This Row],[ROUTE]],DEMAND!A:F,6,FALSE)</f>
        <v>1226</v>
      </c>
      <c r="O274" s="39">
        <f>ROUNDDOWN(Table215[[#This Row],[R-DEMAND]]/1320,0)</f>
        <v>0</v>
      </c>
      <c r="P274" s="41">
        <f>Table215[[#This Row],[ADD ACC]]*Table215[[#This Row],[RT TIME (744)]]</f>
        <v>0</v>
      </c>
    </row>
    <row r="275" spans="1:16" ht="15" customHeight="1" x14ac:dyDescent="0.25">
      <c r="A275" s="38" t="s">
        <v>14041</v>
      </c>
      <c r="B275" s="39" t="s">
        <v>168</v>
      </c>
      <c r="C275" s="39" t="s">
        <v>2</v>
      </c>
      <c r="D275" s="39">
        <v>5</v>
      </c>
      <c r="E275" s="143" t="s">
        <v>647</v>
      </c>
      <c r="F275" s="38" t="e">
        <f>VLOOKUP(E:E,Table10[[COUNTRY NAME]:[CONTINENT CODE]],3,FALSE)</f>
        <v>#N/A</v>
      </c>
      <c r="G275" s="155" t="s">
        <v>13373</v>
      </c>
      <c r="H275" s="40">
        <v>6575</v>
      </c>
      <c r="I275" s="41">
        <v>16.75</v>
      </c>
      <c r="J275" s="157">
        <v>239308266</v>
      </c>
      <c r="K275" s="42">
        <f>IFERROR(Table215[[#This Row],[ROUTE $]]/Table215[[#This Row],[E - DEMAND]],0)</f>
        <v>93772.83150470219</v>
      </c>
      <c r="L275" s="43">
        <v>2552</v>
      </c>
      <c r="M275" s="39">
        <f>VLOOKUP(Table215[[#This Row],[ROUTE]],DEMAND!A:F,5,FALSE)</f>
        <v>2553</v>
      </c>
      <c r="N275" s="39">
        <f>VLOOKUP(Table215[[#This Row],[ROUTE]],DEMAND!A:F,6,FALSE)</f>
        <v>1233</v>
      </c>
      <c r="O275" s="39">
        <f>ROUNDDOWN(Table215[[#This Row],[R-DEMAND]]/1320,0)</f>
        <v>0</v>
      </c>
      <c r="P275" s="41">
        <f>Table215[[#This Row],[ADD ACC]]*Table215[[#This Row],[RT TIME (744)]]</f>
        <v>0</v>
      </c>
    </row>
    <row r="276" spans="1:16" ht="15" customHeight="1" x14ac:dyDescent="0.25">
      <c r="A276" s="38" t="s">
        <v>13960</v>
      </c>
      <c r="B276" s="39" t="s">
        <v>5719</v>
      </c>
      <c r="C276" s="39" t="s">
        <v>2</v>
      </c>
      <c r="D276" s="39">
        <v>5</v>
      </c>
      <c r="E276" s="143" t="s">
        <v>647</v>
      </c>
      <c r="F276" s="38" t="e">
        <f>VLOOKUP(E:E,Table10[[COUNTRY NAME]:[CONTINENT CODE]],3,FALSE)</f>
        <v>#N/A</v>
      </c>
      <c r="G276" s="155" t="s">
        <v>13294</v>
      </c>
      <c r="H276" s="40">
        <v>8955</v>
      </c>
      <c r="I276" s="41">
        <v>22</v>
      </c>
      <c r="J276" s="157">
        <v>260243957</v>
      </c>
      <c r="K276" s="42">
        <f>IFERROR(Table215[[#This Row],[ROUTE $]]/Table215[[#This Row],[E - DEMAND]],0)</f>
        <v>99519.677629063095</v>
      </c>
      <c r="L276" s="43">
        <v>2615</v>
      </c>
      <c r="M276" s="39">
        <f>VLOOKUP(Table215[[#This Row],[ROUTE]],DEMAND!A:F,5,FALSE)</f>
        <v>2616</v>
      </c>
      <c r="N276" s="39">
        <f>VLOOKUP(Table215[[#This Row],[ROUTE]],DEMAND!A:F,6,FALSE)</f>
        <v>1296</v>
      </c>
      <c r="O276" s="39">
        <f>ROUNDDOWN(Table215[[#This Row],[R-DEMAND]]/1320,0)</f>
        <v>0</v>
      </c>
      <c r="P276" s="41">
        <f>Table215[[#This Row],[ADD ACC]]*Table215[[#This Row],[RT TIME (744)]]</f>
        <v>0</v>
      </c>
    </row>
    <row r="277" spans="1:16" ht="15" customHeight="1" x14ac:dyDescent="0.25">
      <c r="A277" s="38" t="s">
        <v>13925</v>
      </c>
      <c r="B277" s="39" t="s">
        <v>5563</v>
      </c>
      <c r="C277" s="39" t="s">
        <v>2</v>
      </c>
      <c r="D277" s="39">
        <v>4</v>
      </c>
      <c r="E277" s="143" t="s">
        <v>647</v>
      </c>
      <c r="F277" s="38" t="e">
        <f>VLOOKUP(E:E,Table10[[COUNTRY NAME]:[CONTINENT CODE]],3,FALSE)</f>
        <v>#N/A</v>
      </c>
      <c r="G277" s="155" t="s">
        <v>13259</v>
      </c>
      <c r="H277" s="40">
        <v>10423</v>
      </c>
      <c r="I277" s="41">
        <v>25.25</v>
      </c>
      <c r="J277" s="157">
        <v>257001757</v>
      </c>
      <c r="K277" s="42">
        <f>IFERROR(Table215[[#This Row],[ROUTE $]]/Table215[[#This Row],[E - DEMAND]],0)</f>
        <v>100943.34524744698</v>
      </c>
      <c r="L277" s="43">
        <v>2546</v>
      </c>
      <c r="M277" s="39">
        <f>VLOOKUP(Table215[[#This Row],[ROUTE]],DEMAND!A:F,5,FALSE)</f>
        <v>2547</v>
      </c>
      <c r="N277" s="39">
        <f>VLOOKUP(Table215[[#This Row],[ROUTE]],DEMAND!A:F,6,FALSE)</f>
        <v>1227</v>
      </c>
      <c r="O277" s="39">
        <f>ROUNDDOWN(Table215[[#This Row],[R-DEMAND]]/1320,0)</f>
        <v>0</v>
      </c>
      <c r="P277" s="41">
        <f>Table215[[#This Row],[ADD ACC]]*Table215[[#This Row],[RT TIME (744)]]</f>
        <v>0</v>
      </c>
    </row>
    <row r="278" spans="1:16" ht="15" customHeight="1" x14ac:dyDescent="0.25">
      <c r="A278" s="38" t="s">
        <v>13976</v>
      </c>
      <c r="B278" s="39" t="s">
        <v>5762</v>
      </c>
      <c r="C278" s="39" t="s">
        <v>2</v>
      </c>
      <c r="D278" s="39">
        <v>5</v>
      </c>
      <c r="E278" s="143" t="s">
        <v>647</v>
      </c>
      <c r="F278" s="38" t="e">
        <f>VLOOKUP(E:E,Table10[[COUNTRY NAME]:[CONTINENT CODE]],3,FALSE)</f>
        <v>#N/A</v>
      </c>
      <c r="G278" s="155" t="s">
        <v>13309</v>
      </c>
      <c r="H278" s="40">
        <v>8430</v>
      </c>
      <c r="I278" s="41">
        <v>20.75</v>
      </c>
      <c r="J278" s="157">
        <v>263229136</v>
      </c>
      <c r="K278" s="42">
        <f>IFERROR(Table215[[#This Row],[ROUTE $]]/Table215[[#This Row],[E - DEMAND]],0)</f>
        <v>95998.955506929255</v>
      </c>
      <c r="L278" s="43">
        <v>2742</v>
      </c>
      <c r="M278" s="39">
        <f>VLOOKUP(Table215[[#This Row],[ROUTE]],DEMAND!A:F,5,FALSE)</f>
        <v>2742</v>
      </c>
      <c r="N278" s="39">
        <f>VLOOKUP(Table215[[#This Row],[ROUTE]],DEMAND!A:F,6,FALSE)</f>
        <v>102</v>
      </c>
      <c r="O278" s="39">
        <f>ROUNDDOWN(Table215[[#This Row],[R-DEMAND]]/1320,0)</f>
        <v>0</v>
      </c>
      <c r="P278" s="41">
        <f>Table215[[#This Row],[ADD ACC]]*Table215[[#This Row],[RT TIME (744)]]</f>
        <v>0</v>
      </c>
    </row>
    <row r="279" spans="1:16" ht="15" customHeight="1" x14ac:dyDescent="0.25">
      <c r="A279" s="38" t="s">
        <v>13922</v>
      </c>
      <c r="B279" s="39" t="s">
        <v>5620</v>
      </c>
      <c r="C279" s="39" t="s">
        <v>2</v>
      </c>
      <c r="D279" s="39">
        <v>4</v>
      </c>
      <c r="E279" s="143" t="s">
        <v>647</v>
      </c>
      <c r="F279" s="38" t="e">
        <f>VLOOKUP(E:E,Table10[[COUNTRY NAME]:[CONTINENT CODE]],3,FALSE)</f>
        <v>#N/A</v>
      </c>
      <c r="G279" s="155" t="s">
        <v>13257</v>
      </c>
      <c r="H279" s="40">
        <v>10842</v>
      </c>
      <c r="I279" s="41">
        <v>26.25</v>
      </c>
      <c r="J279" s="157">
        <v>265616016</v>
      </c>
      <c r="K279" s="42">
        <f>IFERROR(Table215[[#This Row],[ROUTE $]]/Table215[[#This Row],[E - DEMAND]],0)</f>
        <v>101225.61585365854</v>
      </c>
      <c r="L279" s="43">
        <v>2624</v>
      </c>
      <c r="M279" s="39">
        <f>VLOOKUP(Table215[[#This Row],[ROUTE]],DEMAND!A:F,5,FALSE)</f>
        <v>2625</v>
      </c>
      <c r="N279" s="39">
        <f>VLOOKUP(Table215[[#This Row],[ROUTE]],DEMAND!A:F,6,FALSE)</f>
        <v>1305</v>
      </c>
      <c r="O279" s="39">
        <f>ROUNDDOWN(Table215[[#This Row],[R-DEMAND]]/1320,0)</f>
        <v>0</v>
      </c>
      <c r="P279" s="41">
        <f>Table215[[#This Row],[ADD ACC]]*Table215[[#This Row],[RT TIME (744)]]</f>
        <v>0</v>
      </c>
    </row>
    <row r="280" spans="1:16" ht="15" customHeight="1" x14ac:dyDescent="0.25">
      <c r="A280" s="38" t="s">
        <v>14016</v>
      </c>
      <c r="B280" s="39" t="s">
        <v>124</v>
      </c>
      <c r="C280" s="39" t="s">
        <v>2</v>
      </c>
      <c r="D280" s="39">
        <v>5</v>
      </c>
      <c r="E280" s="143" t="s">
        <v>647</v>
      </c>
      <c r="F280" s="38" t="e">
        <f>VLOOKUP(E:E,Table10[[COUNTRY NAME]:[CONTINENT CODE]],3,FALSE)</f>
        <v>#N/A</v>
      </c>
      <c r="G280" s="155" t="s">
        <v>13349</v>
      </c>
      <c r="H280" s="40">
        <v>7647</v>
      </c>
      <c r="I280" s="41">
        <v>19</v>
      </c>
      <c r="J280" s="157">
        <v>246457149</v>
      </c>
      <c r="K280" s="42">
        <f>IFERROR(Table215[[#This Row],[ROUTE $]]/Table215[[#This Row],[E - DEMAND]],0)</f>
        <v>98386.087425149701</v>
      </c>
      <c r="L280" s="43">
        <v>2505</v>
      </c>
      <c r="M280" s="39">
        <f>VLOOKUP(Table215[[#This Row],[ROUTE]],DEMAND!A:F,5,FALSE)</f>
        <v>2506</v>
      </c>
      <c r="N280" s="39">
        <f>VLOOKUP(Table215[[#This Row],[ROUTE]],DEMAND!A:F,6,FALSE)</f>
        <v>1186</v>
      </c>
      <c r="O280" s="39">
        <f>ROUNDDOWN(Table215[[#This Row],[R-DEMAND]]/1320,0)</f>
        <v>0</v>
      </c>
      <c r="P280" s="41">
        <f>Table215[[#This Row],[ADD ACC]]*Table215[[#This Row],[RT TIME (744)]]</f>
        <v>0</v>
      </c>
    </row>
    <row r="281" spans="1:16" ht="15" customHeight="1" x14ac:dyDescent="0.25">
      <c r="A281" s="38" t="s">
        <v>13949</v>
      </c>
      <c r="B281" s="39" t="s">
        <v>5734</v>
      </c>
      <c r="C281" s="39" t="s">
        <v>2</v>
      </c>
      <c r="D281" s="39">
        <v>5</v>
      </c>
      <c r="E281" s="143" t="s">
        <v>647</v>
      </c>
      <c r="F281" s="38" t="e">
        <f>VLOOKUP(E:E,Table10[[COUNTRY NAME]:[CONTINENT CODE]],3,FALSE)</f>
        <v>#N/A</v>
      </c>
      <c r="G281" s="155" t="s">
        <v>13283</v>
      </c>
      <c r="H281" s="40">
        <v>9385</v>
      </c>
      <c r="I281" s="41">
        <v>23</v>
      </c>
      <c r="J281" s="157">
        <v>268457367</v>
      </c>
      <c r="K281" s="42">
        <f>IFERROR(Table215[[#This Row],[ROUTE $]]/Table215[[#This Row],[E - DEMAND]],0)</f>
        <v>100320.39125560538</v>
      </c>
      <c r="L281" s="43">
        <v>2676</v>
      </c>
      <c r="M281" s="39">
        <f>VLOOKUP(Table215[[#This Row],[ROUTE]],DEMAND!A:F,5,FALSE)</f>
        <v>2677</v>
      </c>
      <c r="N281" s="39">
        <f>VLOOKUP(Table215[[#This Row],[ROUTE]],DEMAND!A:F,6,FALSE)</f>
        <v>37</v>
      </c>
      <c r="O281" s="39">
        <f>ROUNDDOWN(Table215[[#This Row],[R-DEMAND]]/1320,0)</f>
        <v>0</v>
      </c>
      <c r="P281" s="41">
        <f>Table215[[#This Row],[ADD ACC]]*Table215[[#This Row],[RT TIME (744)]]</f>
        <v>0</v>
      </c>
    </row>
    <row r="282" spans="1:16" ht="15" customHeight="1" x14ac:dyDescent="0.25">
      <c r="A282" s="38" t="s">
        <v>13942</v>
      </c>
      <c r="B282" s="39" t="s">
        <v>5651</v>
      </c>
      <c r="C282" s="39" t="s">
        <v>2</v>
      </c>
      <c r="D282" s="39">
        <v>4</v>
      </c>
      <c r="E282" s="143" t="s">
        <v>647</v>
      </c>
      <c r="F282" s="38" t="e">
        <f>VLOOKUP(E:E,Table10[[COUNTRY NAME]:[CONTINENT CODE]],3,FALSE)</f>
        <v>#N/A</v>
      </c>
      <c r="G282" s="155" t="s">
        <v>13276</v>
      </c>
      <c r="H282" s="40">
        <v>9756</v>
      </c>
      <c r="I282" s="41">
        <v>23.75</v>
      </c>
      <c r="J282" s="157">
        <v>258399925</v>
      </c>
      <c r="K282" s="42">
        <f>IFERROR(Table215[[#This Row],[ROUTE $]]/Table215[[#This Row],[E - DEMAND]],0)</f>
        <v>105126.08828315703</v>
      </c>
      <c r="L282" s="43">
        <v>2458</v>
      </c>
      <c r="M282" s="39">
        <f>VLOOKUP(Table215[[#This Row],[ROUTE]],DEMAND!A:F,5,FALSE)</f>
        <v>2459</v>
      </c>
      <c r="N282" s="39">
        <f>VLOOKUP(Table215[[#This Row],[ROUTE]],DEMAND!A:F,6,FALSE)</f>
        <v>1139</v>
      </c>
      <c r="O282" s="39">
        <f>ROUNDDOWN(Table215[[#This Row],[R-DEMAND]]/1320,0)</f>
        <v>0</v>
      </c>
      <c r="P282" s="41">
        <f>Table215[[#This Row],[ADD ACC]]*Table215[[#This Row],[RT TIME (744)]]</f>
        <v>0</v>
      </c>
    </row>
    <row r="283" spans="1:16" ht="15" customHeight="1" x14ac:dyDescent="0.25">
      <c r="A283" s="38" t="s">
        <v>13921</v>
      </c>
      <c r="B283" s="39" t="s">
        <v>5717</v>
      </c>
      <c r="C283" s="39" t="s">
        <v>2</v>
      </c>
      <c r="D283" s="39">
        <v>5</v>
      </c>
      <c r="E283" s="143" t="s">
        <v>647</v>
      </c>
      <c r="F283" s="38" t="e">
        <f>VLOOKUP(E:E,Table10[[COUNTRY NAME]:[CONTINENT CODE]],3,FALSE)</f>
        <v>#N/A</v>
      </c>
      <c r="G283" s="155" t="s">
        <v>13256</v>
      </c>
      <c r="H283" s="40">
        <v>10913</v>
      </c>
      <c r="I283" s="41">
        <v>26.25</v>
      </c>
      <c r="J283" s="157">
        <v>279699154</v>
      </c>
      <c r="K283" s="42">
        <f>IFERROR(Table215[[#This Row],[ROUTE $]]/Table215[[#This Row],[E - DEMAND]],0)</f>
        <v>97796.906993006996</v>
      </c>
      <c r="L283" s="43">
        <v>2860</v>
      </c>
      <c r="M283" s="39">
        <f>VLOOKUP(Table215[[#This Row],[ROUTE]],DEMAND!A:F,5,FALSE)</f>
        <v>2860</v>
      </c>
      <c r="N283" s="39">
        <f>VLOOKUP(Table215[[#This Row],[ROUTE]],DEMAND!A:F,6,FALSE)</f>
        <v>220</v>
      </c>
      <c r="O283" s="39">
        <f>ROUNDDOWN(Table215[[#This Row],[R-DEMAND]]/1320,0)</f>
        <v>0</v>
      </c>
      <c r="P283" s="41">
        <f>Table215[[#This Row],[ADD ACC]]*Table215[[#This Row],[RT TIME (744)]]</f>
        <v>0</v>
      </c>
    </row>
    <row r="284" spans="1:16" ht="15" customHeight="1" x14ac:dyDescent="0.25">
      <c r="A284" s="38" t="s">
        <v>13924</v>
      </c>
      <c r="B284" s="39" t="s">
        <v>5737</v>
      </c>
      <c r="C284" s="39" t="s">
        <v>2</v>
      </c>
      <c r="D284" s="39">
        <v>5</v>
      </c>
      <c r="E284" s="143" t="s">
        <v>647</v>
      </c>
      <c r="F284" s="38" t="e">
        <f>VLOOKUP(E:E,Table10[[COUNTRY NAME]:[CONTINENT CODE]],3,FALSE)</f>
        <v>#N/A</v>
      </c>
      <c r="G284" s="155" t="s">
        <v>13258</v>
      </c>
      <c r="H284" s="40">
        <v>10430</v>
      </c>
      <c r="I284" s="41">
        <v>25.25</v>
      </c>
      <c r="J284" s="157">
        <v>279315497</v>
      </c>
      <c r="K284" s="42">
        <f>IFERROR(Table215[[#This Row],[ROUTE $]]/Table215[[#This Row],[E - DEMAND]],0)</f>
        <v>95069.944520081684</v>
      </c>
      <c r="L284" s="43">
        <v>2938</v>
      </c>
      <c r="M284" s="39">
        <f>VLOOKUP(Table215[[#This Row],[ROUTE]],DEMAND!A:F,5,FALSE)</f>
        <v>2938</v>
      </c>
      <c r="N284" s="39">
        <f>VLOOKUP(Table215[[#This Row],[ROUTE]],DEMAND!A:F,6,FALSE)</f>
        <v>298</v>
      </c>
      <c r="O284" s="39">
        <f>ROUNDDOWN(Table215[[#This Row],[R-DEMAND]]/1320,0)</f>
        <v>0</v>
      </c>
      <c r="P284" s="41">
        <f>Table215[[#This Row],[ADD ACC]]*Table215[[#This Row],[RT TIME (744)]]</f>
        <v>0</v>
      </c>
    </row>
    <row r="285" spans="1:16" ht="15" customHeight="1" x14ac:dyDescent="0.25">
      <c r="A285" s="38" t="s">
        <v>13926</v>
      </c>
      <c r="B285" s="39" t="s">
        <v>5534</v>
      </c>
      <c r="C285" s="39" t="s">
        <v>2</v>
      </c>
      <c r="D285" s="39">
        <v>4</v>
      </c>
      <c r="E285" s="143" t="s">
        <v>647</v>
      </c>
      <c r="F285" s="38" t="e">
        <f>VLOOKUP(E:E,Table10[[COUNTRY NAME]:[CONTINENT CODE]],3,FALSE)</f>
        <v>#N/A</v>
      </c>
      <c r="G285" s="155" t="s">
        <v>13260</v>
      </c>
      <c r="H285" s="40">
        <v>10382</v>
      </c>
      <c r="I285" s="41">
        <v>25</v>
      </c>
      <c r="J285" s="157">
        <v>255243815</v>
      </c>
      <c r="K285" s="42">
        <f>IFERROR(Table215[[#This Row],[ROUTE $]]/Table215[[#This Row],[E - DEMAND]],0)</f>
        <v>101287.22817460318</v>
      </c>
      <c r="L285" s="43">
        <v>2520</v>
      </c>
      <c r="M285" s="39">
        <f>VLOOKUP(Table215[[#This Row],[ROUTE]],DEMAND!A:F,5,FALSE)</f>
        <v>2520</v>
      </c>
      <c r="N285" s="39">
        <f>VLOOKUP(Table215[[#This Row],[ROUTE]],DEMAND!A:F,6,FALSE)</f>
        <v>1200</v>
      </c>
      <c r="O285" s="39">
        <f>ROUNDDOWN(Table215[[#This Row],[R-DEMAND]]/1320,0)</f>
        <v>0</v>
      </c>
      <c r="P285" s="41">
        <f>Table215[[#This Row],[ADD ACC]]*Table215[[#This Row],[RT TIME (744)]]</f>
        <v>0</v>
      </c>
    </row>
    <row r="286" spans="1:16" ht="15" customHeight="1" x14ac:dyDescent="0.25">
      <c r="A286" s="38" t="s">
        <v>13939</v>
      </c>
      <c r="B286" s="39" t="s">
        <v>5676</v>
      </c>
      <c r="C286" s="39" t="s">
        <v>2</v>
      </c>
      <c r="D286" s="39">
        <v>5</v>
      </c>
      <c r="E286" s="143" t="s">
        <v>647</v>
      </c>
      <c r="F286" s="38" t="e">
        <f>VLOOKUP(E:E,Table10[[COUNTRY NAME]:[CONTINENT CODE]],3,FALSE)</f>
        <v>#N/A</v>
      </c>
      <c r="G286" s="155" t="s">
        <v>13273</v>
      </c>
      <c r="H286" s="40">
        <v>9830</v>
      </c>
      <c r="I286" s="41">
        <v>24</v>
      </c>
      <c r="J286" s="157">
        <v>261880000</v>
      </c>
      <c r="K286" s="42">
        <f>IFERROR(Table215[[#This Row],[ROUTE $]]/Table215[[#This Row],[E - DEMAND]],0)</f>
        <v>104877.85342410894</v>
      </c>
      <c r="L286" s="43">
        <v>2497</v>
      </c>
      <c r="M286" s="39">
        <f>VLOOKUP(Table215[[#This Row],[ROUTE]],DEMAND!A:F,5,FALSE)</f>
        <v>2497</v>
      </c>
      <c r="N286" s="39">
        <f>VLOOKUP(Table215[[#This Row],[ROUTE]],DEMAND!A:F,6,FALSE)</f>
        <v>1177</v>
      </c>
      <c r="O286" s="39">
        <f>ROUNDDOWN(Table215[[#This Row],[R-DEMAND]]/1320,0)</f>
        <v>0</v>
      </c>
      <c r="P286" s="41">
        <f>Table215[[#This Row],[ADD ACC]]*Table215[[#This Row],[RT TIME (744)]]</f>
        <v>0</v>
      </c>
    </row>
    <row r="287" spans="1:16" ht="15" customHeight="1" x14ac:dyDescent="0.25">
      <c r="A287" s="38" t="s">
        <v>14043</v>
      </c>
      <c r="B287" s="39" t="s">
        <v>3539</v>
      </c>
      <c r="C287" s="39" t="s">
        <v>2</v>
      </c>
      <c r="D287" s="39">
        <v>2</v>
      </c>
      <c r="E287" s="38" t="s">
        <v>2764</v>
      </c>
      <c r="F287" s="38" t="str">
        <f>VLOOKUP(E:E,Table10[[COUNTRY NAME]:[CONTINENT CODE]],3,FALSE)</f>
        <v>AS</v>
      </c>
      <c r="G287" s="155" t="s">
        <v>11969</v>
      </c>
      <c r="H287" s="40">
        <v>13395</v>
      </c>
      <c r="I287" s="41">
        <v>31.75</v>
      </c>
      <c r="J287" s="157"/>
      <c r="K287" s="42">
        <f>IFERROR(Table215[[#This Row],[ROUTE $]]/Table215[[#This Row],[E - DEMAND]],0)</f>
        <v>0</v>
      </c>
      <c r="L287" s="43"/>
      <c r="M287" s="39">
        <f>VLOOKUP(Table215[[#This Row],[ROUTE]],DEMAND!A:F,5,FALSE)</f>
        <v>3489</v>
      </c>
      <c r="N287" s="39">
        <f>VLOOKUP(Table215[[#This Row],[ROUTE]],DEMAND!A:F,6,FALSE)</f>
        <v>849</v>
      </c>
      <c r="O287" s="39">
        <f>ROUNDDOWN(Table215[[#This Row],[R-DEMAND]]/1320,0)</f>
        <v>0</v>
      </c>
      <c r="P287" s="41">
        <f>Table215[[#This Row],[ADD ACC]]*Table215[[#This Row],[RT TIME (744)]]</f>
        <v>0</v>
      </c>
    </row>
    <row r="288" spans="1:16" ht="15" customHeight="1" x14ac:dyDescent="0.25">
      <c r="A288" s="38" t="s">
        <v>14045</v>
      </c>
      <c r="B288" s="39" t="s">
        <v>4058</v>
      </c>
      <c r="C288" s="39" t="s">
        <v>2</v>
      </c>
      <c r="D288" s="39">
        <v>2</v>
      </c>
      <c r="E288" s="38" t="s">
        <v>4045</v>
      </c>
      <c r="F288" s="38" t="str">
        <f>VLOOKUP(E:E,Table10[[COUNTRY NAME]:[CONTINENT CODE]],3,FALSE)</f>
        <v>SA</v>
      </c>
      <c r="G288" s="155" t="s">
        <v>13376</v>
      </c>
      <c r="H288" s="40">
        <v>4405</v>
      </c>
      <c r="I288" s="41">
        <v>12</v>
      </c>
      <c r="J288" s="157">
        <v>170247593</v>
      </c>
      <c r="K288" s="42">
        <f>IFERROR(Table215[[#This Row],[ROUTE $]]/Table215[[#This Row],[E - DEMAND]],0)</f>
        <v>58144.669740437159</v>
      </c>
      <c r="L288" s="43">
        <v>2928</v>
      </c>
      <c r="M288" s="39">
        <f>VLOOKUP(Table215[[#This Row],[ROUTE]],DEMAND!A:F,5,FALSE)</f>
        <v>3105</v>
      </c>
      <c r="N288" s="39">
        <f>VLOOKUP(Table215[[#This Row],[ROUTE]],DEMAND!A:F,6,FALSE)</f>
        <v>465</v>
      </c>
      <c r="O288" s="39">
        <f>ROUNDDOWN(Table215[[#This Row],[R-DEMAND]]/1320,0)</f>
        <v>0</v>
      </c>
      <c r="P288" s="41">
        <f>Table215[[#This Row],[ADD ACC]]*Table215[[#This Row],[RT TIME (744)]]</f>
        <v>0</v>
      </c>
    </row>
    <row r="289" spans="1:16" ht="15" customHeight="1" x14ac:dyDescent="0.25">
      <c r="A289" s="38" t="s">
        <v>14046</v>
      </c>
      <c r="B289" s="39" t="s">
        <v>381</v>
      </c>
      <c r="C289" s="39" t="s">
        <v>2</v>
      </c>
      <c r="D289" s="39">
        <v>4</v>
      </c>
      <c r="E289" s="38" t="s">
        <v>4045</v>
      </c>
      <c r="F289" s="38" t="str">
        <f>VLOOKUP(E:E,Table10[[COUNTRY NAME]:[CONTINENT CODE]],3,FALSE)</f>
        <v>SA</v>
      </c>
      <c r="G289" s="155" t="s">
        <v>13377</v>
      </c>
      <c r="H289" s="40">
        <v>4395</v>
      </c>
      <c r="I289" s="41">
        <v>11.75</v>
      </c>
      <c r="J289" s="157">
        <v>195337981</v>
      </c>
      <c r="K289" s="42">
        <f>IFERROR(Table215[[#This Row],[ROUTE $]]/Table215[[#This Row],[E - DEMAND]],0)</f>
        <v>49780.321355759428</v>
      </c>
      <c r="L289" s="43">
        <v>3924</v>
      </c>
      <c r="M289" s="39">
        <f>VLOOKUP(Table215[[#This Row],[ROUTE]],DEMAND!A:F,5,FALSE)</f>
        <v>4096</v>
      </c>
      <c r="N289" s="39">
        <f>VLOOKUP(Table215[[#This Row],[ROUTE]],DEMAND!A:F,6,FALSE)</f>
        <v>136</v>
      </c>
      <c r="O289" s="39">
        <f>ROUNDDOWN(Table215[[#This Row],[R-DEMAND]]/1320,0)</f>
        <v>0</v>
      </c>
      <c r="P289" s="41">
        <f>Table215[[#This Row],[ADD ACC]]*Table215[[#This Row],[RT TIME (744)]]</f>
        <v>0</v>
      </c>
    </row>
    <row r="290" spans="1:16" ht="15" customHeight="1" x14ac:dyDescent="0.25">
      <c r="A290" s="38" t="s">
        <v>14044</v>
      </c>
      <c r="B290" s="39" t="s">
        <v>5130</v>
      </c>
      <c r="C290" s="39" t="s">
        <v>2</v>
      </c>
      <c r="D290" s="39">
        <v>3</v>
      </c>
      <c r="E290" s="38" t="s">
        <v>4045</v>
      </c>
      <c r="F290" s="38" t="str">
        <f>VLOOKUP(E:E,Table10[[COUNTRY NAME]:[CONTINENT CODE]],3,FALSE)</f>
        <v>SA</v>
      </c>
      <c r="G290" s="155" t="s">
        <v>13375</v>
      </c>
      <c r="H290" s="40">
        <v>4674</v>
      </c>
      <c r="I290" s="41">
        <v>12.5</v>
      </c>
      <c r="J290" s="157">
        <v>184741160</v>
      </c>
      <c r="K290" s="42">
        <f>IFERROR(Table215[[#This Row],[ROUTE $]]/Table215[[#This Row],[E - DEMAND]],0)</f>
        <v>61931.330874958097</v>
      </c>
      <c r="L290" s="43">
        <v>2983</v>
      </c>
      <c r="M290" s="39">
        <f>VLOOKUP(Table215[[#This Row],[ROUTE]],DEMAND!A:F,5,FALSE)</f>
        <v>3104</v>
      </c>
      <c r="N290" s="39">
        <f>VLOOKUP(Table215[[#This Row],[ROUTE]],DEMAND!A:F,6,FALSE)</f>
        <v>464</v>
      </c>
      <c r="O290" s="39">
        <f>ROUNDDOWN(Table215[[#This Row],[R-DEMAND]]/1320,0)</f>
        <v>0</v>
      </c>
      <c r="P290" s="41">
        <f>Table215[[#This Row],[ADD ACC]]*Table215[[#This Row],[RT TIME (744)]]</f>
        <v>0</v>
      </c>
    </row>
    <row r="291" spans="1:16" ht="15" customHeight="1" x14ac:dyDescent="0.25">
      <c r="A291" s="38" t="s">
        <v>14047</v>
      </c>
      <c r="B291" s="39" t="s">
        <v>4973</v>
      </c>
      <c r="C291" s="39" t="s">
        <v>2</v>
      </c>
      <c r="D291" s="39">
        <v>3</v>
      </c>
      <c r="E291" s="38" t="s">
        <v>4045</v>
      </c>
      <c r="F291" s="38" t="str">
        <f>VLOOKUP(E:E,Table10[[COUNTRY NAME]:[CONTINENT CODE]],3,FALSE)</f>
        <v>SA</v>
      </c>
      <c r="G291" s="155" t="s">
        <v>13378</v>
      </c>
      <c r="H291" s="40">
        <v>4268</v>
      </c>
      <c r="I291" s="41">
        <v>11.5</v>
      </c>
      <c r="J291" s="157">
        <v>178947727</v>
      </c>
      <c r="K291" s="42">
        <f>IFERROR(Table215[[#This Row],[ROUTE $]]/Table215[[#This Row],[E - DEMAND]],0)</f>
        <v>53818.865263157895</v>
      </c>
      <c r="L291" s="43">
        <v>3325</v>
      </c>
      <c r="M291" s="39">
        <f>VLOOKUP(Table215[[#This Row],[ROUTE]],DEMAND!A:F,5,FALSE)</f>
        <v>3504</v>
      </c>
      <c r="N291" s="39">
        <f>VLOOKUP(Table215[[#This Row],[ROUTE]],DEMAND!A:F,6,FALSE)</f>
        <v>864</v>
      </c>
      <c r="O291" s="39">
        <f>ROUNDDOWN(Table215[[#This Row],[R-DEMAND]]/1320,0)</f>
        <v>0</v>
      </c>
      <c r="P291" s="41">
        <f>Table215[[#This Row],[ADD ACC]]*Table215[[#This Row],[RT TIME (744)]]</f>
        <v>0</v>
      </c>
    </row>
    <row r="292" spans="1:16" ht="15" customHeight="1" x14ac:dyDescent="0.25">
      <c r="A292" s="38" t="s">
        <v>14048</v>
      </c>
      <c r="B292" s="39" t="s">
        <v>1291</v>
      </c>
      <c r="C292" s="39" t="s">
        <v>2</v>
      </c>
      <c r="D292" s="39">
        <v>1</v>
      </c>
      <c r="E292" s="38" t="s">
        <v>1289</v>
      </c>
      <c r="F292" s="38" t="str">
        <f>VLOOKUP(E:E,Table10[[COUNTRY NAME]:[CONTINENT CODE]],3,FALSE)</f>
        <v>AS</v>
      </c>
      <c r="G292" s="155" t="s">
        <v>11994</v>
      </c>
      <c r="H292" s="40">
        <v>11608</v>
      </c>
      <c r="I292" s="41">
        <v>27.75</v>
      </c>
      <c r="J292" s="157">
        <v>228067946</v>
      </c>
      <c r="K292" s="42">
        <f>IFERROR(Table215[[#This Row],[ROUTE $]]/Table215[[#This Row],[E - DEMAND]],0)</f>
        <v>67857.16929485272</v>
      </c>
      <c r="L292" s="43">
        <v>3361</v>
      </c>
      <c r="M292" s="39">
        <f>VLOOKUP(Table215[[#This Row],[ROUTE]],DEMAND!A:F,5,FALSE)</f>
        <v>3587</v>
      </c>
      <c r="N292" s="39">
        <f>VLOOKUP(Table215[[#This Row],[ROUTE]],DEMAND!A:F,6,FALSE)</f>
        <v>947</v>
      </c>
      <c r="O292" s="39">
        <f>ROUNDDOWN(Table215[[#This Row],[R-DEMAND]]/1320,0)</f>
        <v>0</v>
      </c>
      <c r="P292" s="41">
        <f>Table215[[#This Row],[ADD ACC]]*Table215[[#This Row],[RT TIME (744)]]</f>
        <v>0</v>
      </c>
    </row>
    <row r="293" spans="1:16" ht="15" customHeight="1" x14ac:dyDescent="0.25">
      <c r="A293" s="38" t="s">
        <v>14050</v>
      </c>
      <c r="B293" s="39" t="s">
        <v>1755</v>
      </c>
      <c r="C293" s="39" t="s">
        <v>2</v>
      </c>
      <c r="D293" s="39">
        <v>1</v>
      </c>
      <c r="E293" s="38" t="s">
        <v>1289</v>
      </c>
      <c r="F293" s="38" t="str">
        <f>VLOOKUP(E:E,Table10[[COUNTRY NAME]:[CONTINENT CODE]],3,FALSE)</f>
        <v>AS</v>
      </c>
      <c r="G293" s="155" t="s">
        <v>11964</v>
      </c>
      <c r="H293" s="40">
        <v>11229</v>
      </c>
      <c r="I293" s="41">
        <v>27</v>
      </c>
      <c r="J293" s="157">
        <v>225924206</v>
      </c>
      <c r="K293" s="42">
        <f>IFERROR(Table215[[#This Row],[ROUTE $]]/Table215[[#This Row],[E - DEMAND]],0)</f>
        <v>65944.018096906017</v>
      </c>
      <c r="L293" s="43">
        <v>3426</v>
      </c>
      <c r="M293" s="39">
        <f>VLOOKUP(Table215[[#This Row],[ROUTE]],DEMAND!A:F,5,FALSE)</f>
        <v>3542</v>
      </c>
      <c r="N293" s="39">
        <f>VLOOKUP(Table215[[#This Row],[ROUTE]],DEMAND!A:F,6,FALSE)</f>
        <v>902</v>
      </c>
      <c r="O293" s="39">
        <f>ROUNDDOWN(Table215[[#This Row],[R-DEMAND]]/1320,0)</f>
        <v>0</v>
      </c>
      <c r="P293" s="41">
        <f>Table215[[#This Row],[ADD ACC]]*Table215[[#This Row],[RT TIME (744)]]</f>
        <v>0</v>
      </c>
    </row>
    <row r="294" spans="1:16" ht="15" customHeight="1" x14ac:dyDescent="0.25">
      <c r="A294" s="38" t="s">
        <v>14049</v>
      </c>
      <c r="B294" s="39" t="s">
        <v>3078</v>
      </c>
      <c r="C294" s="39" t="s">
        <v>2</v>
      </c>
      <c r="D294" s="39">
        <v>2</v>
      </c>
      <c r="E294" s="38" t="s">
        <v>1289</v>
      </c>
      <c r="F294" s="38" t="str">
        <f>VLOOKUP(E:E,Table10[[COUNTRY NAME]:[CONTINENT CODE]],3,FALSE)</f>
        <v>AS</v>
      </c>
      <c r="G294" s="155" t="s">
        <v>11968</v>
      </c>
      <c r="H294" s="40">
        <v>11234</v>
      </c>
      <c r="I294" s="41">
        <v>27</v>
      </c>
      <c r="J294" s="157">
        <v>232108601</v>
      </c>
      <c r="K294" s="42">
        <f>IFERROR(Table215[[#This Row],[ROUTE $]]/Table215[[#This Row],[E - DEMAND]],0)</f>
        <v>63193.193846991562</v>
      </c>
      <c r="L294" s="43">
        <v>3673</v>
      </c>
      <c r="M294" s="39">
        <f>VLOOKUP(Table215[[#This Row],[ROUTE]],DEMAND!A:F,5,FALSE)</f>
        <v>3919</v>
      </c>
      <c r="N294" s="39">
        <f>VLOOKUP(Table215[[#This Row],[ROUTE]],DEMAND!A:F,6,FALSE)</f>
        <v>1279</v>
      </c>
      <c r="O294" s="39">
        <f>ROUNDDOWN(Table215[[#This Row],[R-DEMAND]]/1320,0)</f>
        <v>0</v>
      </c>
      <c r="P294" s="41">
        <f>Table215[[#This Row],[ADD ACC]]*Table215[[#This Row],[RT TIME (744)]]</f>
        <v>0</v>
      </c>
    </row>
    <row r="295" spans="1:16" ht="15" customHeight="1" x14ac:dyDescent="0.25">
      <c r="A295" s="38" t="s">
        <v>14052</v>
      </c>
      <c r="B295" s="39" t="s">
        <v>3950</v>
      </c>
      <c r="C295" s="39" t="s">
        <v>2</v>
      </c>
      <c r="D295" s="39">
        <v>2</v>
      </c>
      <c r="E295" s="38" t="s">
        <v>1289</v>
      </c>
      <c r="F295" s="38" t="str">
        <f>VLOOKUP(E:E,Table10[[COUNTRY NAME]:[CONTINENT CODE]],3,FALSE)</f>
        <v>AS</v>
      </c>
      <c r="G295" s="155" t="s">
        <v>11950</v>
      </c>
      <c r="H295" s="40">
        <v>10723</v>
      </c>
      <c r="I295" s="41">
        <v>25.75</v>
      </c>
      <c r="J295" s="157">
        <v>231209771</v>
      </c>
      <c r="K295" s="42">
        <f>IFERROR(Table215[[#This Row],[ROUTE $]]/Table215[[#This Row],[E - DEMAND]],0)</f>
        <v>59330.195278419298</v>
      </c>
      <c r="L295" s="43">
        <v>3897</v>
      </c>
      <c r="M295" s="39">
        <f>VLOOKUP(Table215[[#This Row],[ROUTE]],DEMAND!A:F,5,FALSE)</f>
        <v>4132</v>
      </c>
      <c r="N295" s="39">
        <f>VLOOKUP(Table215[[#This Row],[ROUTE]],DEMAND!A:F,6,FALSE)</f>
        <v>172</v>
      </c>
      <c r="O295" s="39">
        <f>ROUNDDOWN(Table215[[#This Row],[R-DEMAND]]/1320,0)</f>
        <v>0</v>
      </c>
      <c r="P295" s="41">
        <f>Table215[[#This Row],[ADD ACC]]*Table215[[#This Row],[RT TIME (744)]]</f>
        <v>0</v>
      </c>
    </row>
    <row r="296" spans="1:16" ht="15" customHeight="1" x14ac:dyDescent="0.25">
      <c r="A296" s="38" t="s">
        <v>14051</v>
      </c>
      <c r="B296" s="39" t="s">
        <v>4756</v>
      </c>
      <c r="C296" s="39" t="s">
        <v>2</v>
      </c>
      <c r="D296" s="39">
        <v>3</v>
      </c>
      <c r="E296" s="38" t="s">
        <v>1289</v>
      </c>
      <c r="F296" s="38" t="str">
        <f>VLOOKUP(E:E,Table10[[COUNTRY NAME]:[CONTINENT CODE]],3,FALSE)</f>
        <v>AS</v>
      </c>
      <c r="G296" s="155" t="s">
        <v>11945</v>
      </c>
      <c r="H296" s="40">
        <v>10755</v>
      </c>
      <c r="I296" s="41">
        <v>26</v>
      </c>
      <c r="J296" s="157">
        <v>239803235</v>
      </c>
      <c r="K296" s="42">
        <f>IFERROR(Table215[[#This Row],[ROUTE $]]/Table215[[#This Row],[E - DEMAND]],0)</f>
        <v>56825.411137440758</v>
      </c>
      <c r="L296" s="43">
        <v>4220</v>
      </c>
      <c r="M296" s="39">
        <f>VLOOKUP(Table215[[#This Row],[ROUTE]],DEMAND!A:F,5,FALSE)</f>
        <v>4376</v>
      </c>
      <c r="N296" s="39">
        <f>VLOOKUP(Table215[[#This Row],[ROUTE]],DEMAND!A:F,6,FALSE)</f>
        <v>416</v>
      </c>
      <c r="O296" s="39">
        <f>ROUNDDOWN(Table215[[#This Row],[R-DEMAND]]/1320,0)</f>
        <v>0</v>
      </c>
      <c r="P296" s="41">
        <f>Table215[[#This Row],[ADD ACC]]*Table215[[#This Row],[RT TIME (744)]]</f>
        <v>0</v>
      </c>
    </row>
    <row r="297" spans="1:16" ht="15" customHeight="1" x14ac:dyDescent="0.25">
      <c r="A297" s="38" t="s">
        <v>13719</v>
      </c>
      <c r="B297" s="39" t="s">
        <v>4847</v>
      </c>
      <c r="C297" s="39"/>
      <c r="D297" s="39">
        <v>3</v>
      </c>
      <c r="E297" s="38" t="s">
        <v>605</v>
      </c>
      <c r="F297" s="38" t="str">
        <f>VLOOKUP(E:E,Table10[[COUNTRY NAME]:[CONTINENT CODE]],3,FALSE)</f>
        <v>EU</v>
      </c>
      <c r="G297" s="155" t="s">
        <v>11771</v>
      </c>
      <c r="H297" s="40">
        <v>10544</v>
      </c>
      <c r="I297" s="41">
        <v>25.5</v>
      </c>
      <c r="J297" s="157"/>
      <c r="K297" s="42">
        <f>IFERROR(Table215[[#This Row],[ROUTE $]]/Table215[[#This Row],[E - DEMAND]],0)</f>
        <v>0</v>
      </c>
      <c r="L297" s="43"/>
      <c r="M297" s="39">
        <f>VLOOKUP(Table215[[#This Row],[ROUTE]],DEMAND!A:F,5,FALSE)</f>
        <v>2945</v>
      </c>
      <c r="N297" s="39">
        <f>VLOOKUP(Table215[[#This Row],[ROUTE]],DEMAND!A:F,6,FALSE)</f>
        <v>305</v>
      </c>
      <c r="O297" s="39">
        <f>ROUNDDOWN(Table215[[#This Row],[R-DEMAND]]/1320,0)</f>
        <v>0</v>
      </c>
      <c r="P297" s="41">
        <f>Table215[[#This Row],[ADD ACC]]*Table215[[#This Row],[RT TIME (744)]]</f>
        <v>0</v>
      </c>
    </row>
    <row r="298" spans="1:16" ht="15" customHeight="1" x14ac:dyDescent="0.25">
      <c r="A298" s="38" t="s">
        <v>13446</v>
      </c>
      <c r="B298" s="39" t="s">
        <v>4456</v>
      </c>
      <c r="C298" s="39" t="s">
        <v>2</v>
      </c>
      <c r="D298" s="39">
        <v>2</v>
      </c>
      <c r="E298" s="1" t="s">
        <v>1144</v>
      </c>
      <c r="F298" s="1" t="str">
        <f>VLOOKUP(E:E,Table10[[COUNTRY NAME]:[CONTINENT CODE]],3,FALSE)</f>
        <v>SA</v>
      </c>
      <c r="G298" s="156" t="s">
        <v>13149</v>
      </c>
      <c r="H298" s="8">
        <v>2394</v>
      </c>
      <c r="I298" s="41">
        <v>7.5</v>
      </c>
      <c r="J298" s="157">
        <v>151901447</v>
      </c>
      <c r="K298" s="6">
        <f>IFERROR(Table215[[#This Row],[ROUTE $]]/Table215[[#This Row],[E - DEMAND]],0)</f>
        <v>50633.815666666669</v>
      </c>
      <c r="L298" s="5">
        <v>3000</v>
      </c>
      <c r="M298" s="39">
        <f>VLOOKUP(Table215[[#This Row],[ROUTE]],DEMAND!A:F,5,FALSE)</f>
        <v>3111</v>
      </c>
      <c r="N298" s="39">
        <f>VLOOKUP(Table215[[#This Row],[ROUTE]],DEMAND!A:F,6,FALSE)</f>
        <v>1791</v>
      </c>
      <c r="O298" s="39">
        <f>ROUNDDOWN(Table215[[#This Row],[R-DEMAND]]/1320,0)</f>
        <v>1</v>
      </c>
      <c r="P298" s="41">
        <f>Table215[[#This Row],[ADD ACC]]*Table215[[#This Row],[RT TIME (744)]]</f>
        <v>7.5</v>
      </c>
    </row>
    <row r="299" spans="1:16" ht="15" customHeight="1" x14ac:dyDescent="0.25">
      <c r="A299" s="38" t="s">
        <v>13647</v>
      </c>
      <c r="B299" s="39" t="s">
        <v>5317</v>
      </c>
      <c r="C299" s="39" t="s">
        <v>2</v>
      </c>
      <c r="D299" s="39">
        <v>3</v>
      </c>
      <c r="E299" s="38" t="s">
        <v>2711</v>
      </c>
      <c r="F299" s="38" t="str">
        <f>VLOOKUP(E:E,Table10[[COUNTRY NAME]:[CONTINENT CODE]],3,FALSE)</f>
        <v>AS</v>
      </c>
      <c r="G299" s="155" t="s">
        <v>11892</v>
      </c>
      <c r="H299" s="40">
        <v>10691</v>
      </c>
      <c r="I299" s="41">
        <v>25.75</v>
      </c>
      <c r="J299" s="157">
        <v>249762642</v>
      </c>
      <c r="K299" s="42">
        <f>IFERROR(Table215[[#This Row],[ROUTE $]]/Table215[[#This Row],[E - DEMAND]],0)</f>
        <v>65246.249216300937</v>
      </c>
      <c r="L299" s="43">
        <v>3828</v>
      </c>
      <c r="M299" s="39">
        <f>VLOOKUP(Table215[[#This Row],[ROUTE]],DEMAND!A:F,5,FALSE)</f>
        <v>4073</v>
      </c>
      <c r="N299" s="39">
        <f>VLOOKUP(Table215[[#This Row],[ROUTE]],DEMAND!A:F,6,FALSE)</f>
        <v>1433</v>
      </c>
      <c r="O299" s="39">
        <f>ROUNDDOWN(Table215[[#This Row],[R-DEMAND]]/1320,0)</f>
        <v>1</v>
      </c>
      <c r="P299" s="41">
        <f>Table215[[#This Row],[ADD ACC]]*Table215[[#This Row],[RT TIME (744)]]</f>
        <v>25.75</v>
      </c>
    </row>
    <row r="300" spans="1:16" ht="15" customHeight="1" x14ac:dyDescent="0.25">
      <c r="A300" s="38" t="s">
        <v>13714</v>
      </c>
      <c r="B300" s="39" t="s">
        <v>2266</v>
      </c>
      <c r="C300" s="39" t="s">
        <v>11122</v>
      </c>
      <c r="D300" s="39">
        <v>1</v>
      </c>
      <c r="E300" s="38" t="s">
        <v>605</v>
      </c>
      <c r="F300" s="38" t="str">
        <f>VLOOKUP(E:E,Table10[[COUNTRY NAME]:[CONTINENT CODE]],3,FALSE)</f>
        <v>EU</v>
      </c>
      <c r="G300" s="155" t="s">
        <v>11809</v>
      </c>
      <c r="H300" s="40">
        <v>11780</v>
      </c>
      <c r="I300" s="41">
        <v>28.25</v>
      </c>
      <c r="J300" s="157">
        <v>233071624</v>
      </c>
      <c r="K300" s="42">
        <f>IFERROR(Table215[[#This Row],[ROUTE $]]/Table215[[#This Row],[E - DEMAND]],0)</f>
        <v>111092.28979980934</v>
      </c>
      <c r="L300" s="43">
        <v>2098</v>
      </c>
      <c r="M300" s="39" t="e">
        <f>VLOOKUP(Table215[[#This Row],[ROUTE]],DEMAND!A:F,5,FALSE)</f>
        <v>#N/A</v>
      </c>
      <c r="N300" s="39" t="e">
        <f>VLOOKUP(Table215[[#This Row],[ROUTE]],DEMAND!A:F,6,FALSE)</f>
        <v>#N/A</v>
      </c>
      <c r="O300" s="39" t="e">
        <f>ROUNDDOWN(Table215[[#This Row],[R-DEMAND]]/1320,0)</f>
        <v>#N/A</v>
      </c>
      <c r="P300" s="41" t="e">
        <f>Table215[[#This Row],[ADD ACC]]*Table215[[#This Row],[RT TIME (744)]]</f>
        <v>#N/A</v>
      </c>
    </row>
    <row r="301" spans="1:16" ht="15" customHeight="1" x14ac:dyDescent="0.25">
      <c r="A301" s="38" t="s">
        <v>13715</v>
      </c>
      <c r="B301" s="39" t="s">
        <v>4142</v>
      </c>
      <c r="C301" s="39" t="s">
        <v>11122</v>
      </c>
      <c r="D301" s="39">
        <v>2</v>
      </c>
      <c r="E301" s="38" t="s">
        <v>605</v>
      </c>
      <c r="F301" s="38" t="str">
        <f>VLOOKUP(E:E,Table10[[COUNTRY NAME]:[CONTINENT CODE]],3,FALSE)</f>
        <v>EU</v>
      </c>
      <c r="G301" s="155" t="s">
        <v>11795</v>
      </c>
      <c r="H301" s="40">
        <v>11410</v>
      </c>
      <c r="I301" s="41">
        <v>27.5</v>
      </c>
      <c r="J301" s="157">
        <v>240526436</v>
      </c>
      <c r="K301" s="42">
        <f>IFERROR(Table215[[#This Row],[ROUTE $]]/Table215[[#This Row],[E - DEMAND]],0)</f>
        <v>96713.484519501406</v>
      </c>
      <c r="L301" s="43">
        <v>2487</v>
      </c>
      <c r="M301" s="39" t="e">
        <f>VLOOKUP(Table215[[#This Row],[ROUTE]],DEMAND!A:F,5,FALSE)</f>
        <v>#N/A</v>
      </c>
      <c r="N301" s="39" t="e">
        <f>VLOOKUP(Table215[[#This Row],[ROUTE]],DEMAND!A:F,6,FALSE)</f>
        <v>#N/A</v>
      </c>
      <c r="O301" s="39" t="e">
        <f>ROUNDDOWN(Table215[[#This Row],[R-DEMAND]]/1320,0)</f>
        <v>#N/A</v>
      </c>
      <c r="P301" s="41" t="e">
        <f>Table215[[#This Row],[ADD ACC]]*Table215[[#This Row],[RT TIME (744)]]</f>
        <v>#N/A</v>
      </c>
    </row>
    <row r="302" spans="1:16" ht="15" customHeight="1" x14ac:dyDescent="0.25">
      <c r="A302" s="38" t="s">
        <v>13459</v>
      </c>
      <c r="B302" s="39" t="s">
        <v>5611</v>
      </c>
      <c r="C302" s="39" t="s">
        <v>11122</v>
      </c>
      <c r="D302" s="39">
        <v>4</v>
      </c>
      <c r="E302" s="1" t="s">
        <v>517</v>
      </c>
      <c r="F302" s="1" t="str">
        <f>VLOOKUP(E:E,Table10[[COUNTRY NAME]:[CONTINENT CODE]],3,FALSE)</f>
        <v>SA</v>
      </c>
      <c r="G302" s="156" t="s">
        <v>13161</v>
      </c>
      <c r="H302" s="8">
        <v>336</v>
      </c>
      <c r="I302" s="41">
        <v>2.75</v>
      </c>
      <c r="J302" s="157">
        <v>158463897</v>
      </c>
      <c r="K302" s="6">
        <f>IFERROR(Table215[[#This Row],[ROUTE $]]/Table215[[#This Row],[E - DEMAND]],0)</f>
        <v>64837.928396072013</v>
      </c>
      <c r="L302" s="4">
        <v>2444</v>
      </c>
      <c r="M302" s="39" t="e">
        <f>VLOOKUP(Table215[[#This Row],[ROUTE]],DEMAND!A:F,5,FALSE)</f>
        <v>#N/A</v>
      </c>
      <c r="N302" s="39" t="e">
        <f>VLOOKUP(Table215[[#This Row],[ROUTE]],DEMAND!A:F,6,FALSE)</f>
        <v>#N/A</v>
      </c>
      <c r="O302" s="39" t="e">
        <f>ROUNDDOWN(Table215[[#This Row],[R-DEMAND]]/1320,0)</f>
        <v>#N/A</v>
      </c>
      <c r="P302" s="41" t="e">
        <f>Table215[[#This Row],[ADD ACC]]*Table215[[#This Row],[RT TIME (744)]]</f>
        <v>#N/A</v>
      </c>
    </row>
    <row r="303" spans="1:16" ht="15" customHeight="1" x14ac:dyDescent="0.25">
      <c r="A303" s="38" t="s">
        <v>13704</v>
      </c>
      <c r="B303" s="39" t="s">
        <v>4076</v>
      </c>
      <c r="C303" s="39" t="s">
        <v>11122</v>
      </c>
      <c r="D303" s="39">
        <v>2</v>
      </c>
      <c r="E303" s="38" t="s">
        <v>2324</v>
      </c>
      <c r="F303" s="38" t="str">
        <f>VLOOKUP(E:E,Table10[[COUNTRY NAME]:[CONTINENT CODE]],3,FALSE)</f>
        <v>NA</v>
      </c>
      <c r="G303" s="155" t="s">
        <v>13231</v>
      </c>
      <c r="H303" s="40">
        <v>4612</v>
      </c>
      <c r="I303" s="41">
        <v>12.25</v>
      </c>
      <c r="J303" s="157">
        <v>171013203</v>
      </c>
      <c r="K303" s="42">
        <f>IFERROR(Table215[[#This Row],[ROUTE $]]/Table215[[#This Row],[E - DEMAND]],0)</f>
        <v>77486.725419120979</v>
      </c>
      <c r="L303" s="43">
        <v>2207</v>
      </c>
      <c r="M303" s="39" t="e">
        <f>VLOOKUP(Table215[[#This Row],[ROUTE]],DEMAND!A:F,5,FALSE)</f>
        <v>#N/A</v>
      </c>
      <c r="N303" s="39" t="e">
        <f>VLOOKUP(Table215[[#This Row],[ROUTE]],DEMAND!A:F,6,FALSE)</f>
        <v>#N/A</v>
      </c>
      <c r="O303" s="39" t="e">
        <f>ROUNDDOWN(Table215[[#This Row],[R-DEMAND]]/1320,0)</f>
        <v>#N/A</v>
      </c>
      <c r="P303" s="41" t="e">
        <f>Table215[[#This Row],[ADD ACC]]*Table215[[#This Row],[RT TIME (744)]]</f>
        <v>#N/A</v>
      </c>
    </row>
    <row r="304" spans="1:16" ht="15" customHeight="1" x14ac:dyDescent="0.25">
      <c r="A304" s="38" t="s">
        <v>13460</v>
      </c>
      <c r="B304" s="39" t="s">
        <v>5380</v>
      </c>
      <c r="C304" s="39"/>
      <c r="D304" s="39">
        <v>3</v>
      </c>
      <c r="E304" s="1" t="s">
        <v>517</v>
      </c>
      <c r="F304" s="1" t="str">
        <f>VLOOKUP(E:E,Table10[[COUNTRY NAME]:[CONTINENT CODE]],3,FALSE)</f>
        <v>SA</v>
      </c>
      <c r="G304" s="156" t="s">
        <v>13162</v>
      </c>
      <c r="H304" s="8">
        <v>83</v>
      </c>
      <c r="I304" s="41">
        <v>2.25</v>
      </c>
      <c r="J304" s="157"/>
      <c r="K304" s="6">
        <f>IFERROR(Table215[[#This Row],[ROUTE $]]/Table215[[#This Row],[E - DEMAND]],0)</f>
        <v>0</v>
      </c>
      <c r="L304" s="4"/>
      <c r="M304" s="39" t="e">
        <f>VLOOKUP(Table215[[#This Row],[ROUTE]],DEMAND!A:F,5,FALSE)</f>
        <v>#N/A</v>
      </c>
      <c r="N304" s="39" t="e">
        <f>VLOOKUP(Table215[[#This Row],[ROUTE]],DEMAND!A:F,6,FALSE)</f>
        <v>#N/A</v>
      </c>
      <c r="O304" s="39" t="e">
        <f>ROUNDDOWN(Table215[[#This Row],[R-DEMAND]]/1320,0)</f>
        <v>#N/A</v>
      </c>
      <c r="P304" s="41" t="e">
        <f>Table215[[#This Row],[ADD ACC]]*Table215[[#This Row],[RT TIME (744)]]</f>
        <v>#N/A</v>
      </c>
    </row>
    <row r="305" spans="1:16" ht="15" customHeight="1" x14ac:dyDescent="0.25">
      <c r="A305" s="38" t="s">
        <v>13426</v>
      </c>
      <c r="B305" s="39" t="s">
        <v>4213</v>
      </c>
      <c r="C305" s="39"/>
      <c r="D305" s="39">
        <v>2</v>
      </c>
      <c r="E305" s="143" t="s">
        <v>505</v>
      </c>
      <c r="F305" s="1" t="e">
        <f>VLOOKUP(E:E,Table10[[COUNTRY NAME]:[CONTINENT CODE]],3,FALSE)</f>
        <v>#N/A</v>
      </c>
      <c r="G305" s="156" t="s">
        <v>13143</v>
      </c>
      <c r="H305" s="8">
        <v>849</v>
      </c>
      <c r="I305" s="41">
        <v>4</v>
      </c>
      <c r="J305" s="157"/>
      <c r="K305" s="6">
        <f>IFERROR(Table215[[#This Row],[ROUTE $]]/Table215[[#This Row],[E - DEMAND]],0)</f>
        <v>0</v>
      </c>
      <c r="L305" s="4"/>
      <c r="M305" s="39" t="e">
        <f>VLOOKUP(Table215[[#This Row],[ROUTE]],DEMAND!A:F,5,FALSE)</f>
        <v>#N/A</v>
      </c>
      <c r="N305" s="39" t="e">
        <f>VLOOKUP(Table215[[#This Row],[ROUTE]],DEMAND!A:F,6,FALSE)</f>
        <v>#N/A</v>
      </c>
      <c r="O305" s="39" t="e">
        <f>ROUNDDOWN(Table215[[#This Row],[R-DEMAND]]/1320,0)</f>
        <v>#N/A</v>
      </c>
      <c r="P305" s="41" t="e">
        <f>Table215[[#This Row],[ADD ACC]]*Table215[[#This Row],[RT TIME (744)]]</f>
        <v>#N/A</v>
      </c>
    </row>
    <row r="306" spans="1:16" ht="15" customHeight="1" x14ac:dyDescent="0.25">
      <c r="A306" s="38" t="s">
        <v>13726</v>
      </c>
      <c r="B306" s="39" t="s">
        <v>2397</v>
      </c>
      <c r="C306" s="39"/>
      <c r="D306" s="39">
        <v>1</v>
      </c>
      <c r="E306" s="38" t="s">
        <v>2395</v>
      </c>
      <c r="F306" s="38" t="str">
        <f>VLOOKUP(E:E,Table10[[COUNTRY NAME]:[CONTINENT CODE]],3,FALSE)</f>
        <v>SA</v>
      </c>
      <c r="G306" s="155" t="s">
        <v>13234</v>
      </c>
      <c r="H306" s="40">
        <v>877</v>
      </c>
      <c r="I306" s="41">
        <v>4</v>
      </c>
      <c r="J306" s="157"/>
      <c r="K306" s="42">
        <f>IFERROR(Table215[[#This Row],[ROUTE $]]/Table215[[#This Row],[E - DEMAND]],0)</f>
        <v>0</v>
      </c>
      <c r="L306" s="43"/>
      <c r="M306" s="39" t="e">
        <f>VLOOKUP(Table215[[#This Row],[ROUTE]],DEMAND!A:F,5,FALSE)</f>
        <v>#N/A</v>
      </c>
      <c r="N306" s="39" t="e">
        <f>VLOOKUP(Table215[[#This Row],[ROUTE]],DEMAND!A:F,6,FALSE)</f>
        <v>#N/A</v>
      </c>
      <c r="O306" s="39" t="e">
        <f>ROUNDDOWN(Table215[[#This Row],[R-DEMAND]]/1320,0)</f>
        <v>#N/A</v>
      </c>
      <c r="P306" s="41" t="e">
        <f>Table215[[#This Row],[ADD ACC]]*Table215[[#This Row],[RT TIME (744)]]</f>
        <v>#N/A</v>
      </c>
    </row>
    <row r="307" spans="1:16" ht="15" customHeight="1" x14ac:dyDescent="0.25">
      <c r="A307" s="38" t="s">
        <v>13725</v>
      </c>
      <c r="B307" s="39" t="s">
        <v>443</v>
      </c>
      <c r="C307" s="39"/>
      <c r="D307" s="39">
        <v>2</v>
      </c>
      <c r="E307" s="38" t="s">
        <v>2395</v>
      </c>
      <c r="F307" s="38" t="str">
        <f>VLOOKUP(E:E,Table10[[COUNTRY NAME]:[CONTINENT CODE]],3,FALSE)</f>
        <v>SA</v>
      </c>
      <c r="G307" s="155" t="s">
        <v>13233</v>
      </c>
      <c r="H307" s="40">
        <v>1137</v>
      </c>
      <c r="I307" s="41">
        <v>4.75</v>
      </c>
      <c r="J307" s="157"/>
      <c r="K307" s="42">
        <f>IFERROR(Table215[[#This Row],[ROUTE $]]/Table215[[#This Row],[E - DEMAND]],0)</f>
        <v>0</v>
      </c>
      <c r="L307" s="43"/>
      <c r="M307" s="39" t="e">
        <f>VLOOKUP(Table215[[#This Row],[ROUTE]],DEMAND!A:F,5,FALSE)</f>
        <v>#N/A</v>
      </c>
      <c r="N307" s="39" t="e">
        <f>VLOOKUP(Table215[[#This Row],[ROUTE]],DEMAND!A:F,6,FALSE)</f>
        <v>#N/A</v>
      </c>
      <c r="O307" s="39" t="e">
        <f>ROUNDDOWN(Table215[[#This Row],[R-DEMAND]]/1320,0)</f>
        <v>#N/A</v>
      </c>
      <c r="P307" s="41" t="e">
        <f>Table215[[#This Row],[ADD ACC]]*Table215[[#This Row],[RT TIME (744)]]</f>
        <v>#N/A</v>
      </c>
    </row>
    <row r="308" spans="1:16" ht="15" customHeight="1" x14ac:dyDescent="0.25">
      <c r="A308" s="38" t="s">
        <v>13425</v>
      </c>
      <c r="B308" s="39" t="s">
        <v>2611</v>
      </c>
      <c r="C308" s="39"/>
      <c r="D308" s="39">
        <v>2</v>
      </c>
      <c r="E308" s="143" t="s">
        <v>505</v>
      </c>
      <c r="F308" s="1" t="e">
        <f>VLOOKUP(E:E,Table10[[COUNTRY NAME]:[CONTINENT CODE]],3,FALSE)</f>
        <v>#N/A</v>
      </c>
      <c r="G308" s="156" t="s">
        <v>7593</v>
      </c>
      <c r="H308" s="8">
        <v>1340</v>
      </c>
      <c r="I308" s="41">
        <v>5</v>
      </c>
      <c r="J308" s="157"/>
      <c r="K308" s="6">
        <f>IFERROR(Table215[[#This Row],[ROUTE $]]/Table215[[#This Row],[E - DEMAND]],0)</f>
        <v>0</v>
      </c>
      <c r="L308" s="5"/>
      <c r="M308" s="39" t="e">
        <f>VLOOKUP(Table215[[#This Row],[ROUTE]],DEMAND!A:F,5,FALSE)</f>
        <v>#N/A</v>
      </c>
      <c r="N308" s="39" t="e">
        <f>VLOOKUP(Table215[[#This Row],[ROUTE]],DEMAND!A:F,6,FALSE)</f>
        <v>#N/A</v>
      </c>
      <c r="O308" s="39" t="e">
        <f>ROUNDDOWN(Table215[[#This Row],[R-DEMAND]]/1320,0)</f>
        <v>#N/A</v>
      </c>
      <c r="P308" s="41" t="e">
        <f>Table215[[#This Row],[ADD ACC]]*Table215[[#This Row],[RT TIME (744)]]</f>
        <v>#N/A</v>
      </c>
    </row>
    <row r="309" spans="1:16" ht="15" customHeight="1" x14ac:dyDescent="0.25">
      <c r="A309" s="38" t="s">
        <v>13424</v>
      </c>
      <c r="B309" s="39" t="s">
        <v>627</v>
      </c>
      <c r="C309" s="39"/>
      <c r="D309" s="39">
        <v>1</v>
      </c>
      <c r="E309" s="143" t="s">
        <v>505</v>
      </c>
      <c r="F309" s="1" t="e">
        <f>VLOOKUP(E:E,Table10[[COUNTRY NAME]:[CONTINENT CODE]],3,FALSE)</f>
        <v>#N/A</v>
      </c>
      <c r="G309" s="156" t="s">
        <v>7613</v>
      </c>
      <c r="H309" s="8">
        <v>1464</v>
      </c>
      <c r="I309" s="41">
        <v>5.25</v>
      </c>
      <c r="J309" s="157"/>
      <c r="K309" s="6">
        <f>IFERROR(Table215[[#This Row],[ROUTE $]]/Table215[[#This Row],[E - DEMAND]],0)</f>
        <v>0</v>
      </c>
      <c r="L309" s="4"/>
      <c r="M309" s="39" t="e">
        <f>VLOOKUP(Table215[[#This Row],[ROUTE]],DEMAND!A:F,5,FALSE)</f>
        <v>#N/A</v>
      </c>
      <c r="N309" s="39" t="e">
        <f>VLOOKUP(Table215[[#This Row],[ROUTE]],DEMAND!A:F,6,FALSE)</f>
        <v>#N/A</v>
      </c>
      <c r="O309" s="39" t="e">
        <f>ROUNDDOWN(Table215[[#This Row],[R-DEMAND]]/1320,0)</f>
        <v>#N/A</v>
      </c>
      <c r="P309" s="41" t="e">
        <f>Table215[[#This Row],[ADD ACC]]*Table215[[#This Row],[RT TIME (744)]]</f>
        <v>#N/A</v>
      </c>
    </row>
    <row r="310" spans="1:16" ht="15" customHeight="1" x14ac:dyDescent="0.25">
      <c r="A310" s="38" t="s">
        <v>13455</v>
      </c>
      <c r="B310" s="39" t="s">
        <v>3553</v>
      </c>
      <c r="C310" s="39"/>
      <c r="D310" s="39">
        <v>2</v>
      </c>
      <c r="E310" s="1" t="s">
        <v>517</v>
      </c>
      <c r="F310" s="1" t="str">
        <f>VLOOKUP(E:E,Table10[[COUNTRY NAME]:[CONTINENT CODE]],3,FALSE)</f>
        <v>SA</v>
      </c>
      <c r="G310" s="160" t="s">
        <v>13157</v>
      </c>
      <c r="H310" s="40">
        <v>1685</v>
      </c>
      <c r="I310" s="41">
        <v>5.75</v>
      </c>
      <c r="J310" s="157"/>
      <c r="K310" s="42">
        <f>IFERROR(Table215[[#This Row],[ROUTE $]]/Table215[[#This Row],[E - DEMAND]],0)</f>
        <v>0</v>
      </c>
      <c r="L310" s="43"/>
      <c r="M310" s="39" t="e">
        <f>VLOOKUP(Table215[[#This Row],[ROUTE]],DEMAND!A:F,5,FALSE)</f>
        <v>#N/A</v>
      </c>
      <c r="N310" s="39" t="e">
        <f>VLOOKUP(Table215[[#This Row],[ROUTE]],DEMAND!A:F,6,FALSE)</f>
        <v>#N/A</v>
      </c>
      <c r="O310" s="39" t="e">
        <f>ROUNDDOWN(Table215[[#This Row],[R-DEMAND]]/1320,0)</f>
        <v>#N/A</v>
      </c>
      <c r="P310" s="41" t="e">
        <f>Table215[[#This Row],[ADD ACC]]*Table215[[#This Row],[RT TIME (744)]]</f>
        <v>#N/A</v>
      </c>
    </row>
    <row r="311" spans="1:16" ht="15" customHeight="1" x14ac:dyDescent="0.25">
      <c r="A311" s="38" t="s">
        <v>13422</v>
      </c>
      <c r="B311" s="39" t="s">
        <v>2671</v>
      </c>
      <c r="C311" s="39"/>
      <c r="D311" s="39">
        <v>2</v>
      </c>
      <c r="E311" s="143" t="s">
        <v>505</v>
      </c>
      <c r="F311" s="1" t="e">
        <f>VLOOKUP(E:E,Table10[[COUNTRY NAME]:[CONTINENT CODE]],3,FALSE)</f>
        <v>#N/A</v>
      </c>
      <c r="G311" s="156" t="s">
        <v>13141</v>
      </c>
      <c r="H311" s="8">
        <v>1752</v>
      </c>
      <c r="I311" s="41">
        <v>6</v>
      </c>
      <c r="J311" s="157"/>
      <c r="K311" s="6">
        <f>IFERROR(Table215[[#This Row],[ROUTE $]]/Table215[[#This Row],[E - DEMAND]],0)</f>
        <v>0</v>
      </c>
      <c r="L311" s="5"/>
      <c r="M311" s="39" t="e">
        <f>VLOOKUP(Table215[[#This Row],[ROUTE]],DEMAND!A:F,5,FALSE)</f>
        <v>#N/A</v>
      </c>
      <c r="N311" s="39" t="e">
        <f>VLOOKUP(Table215[[#This Row],[ROUTE]],DEMAND!A:F,6,FALSE)</f>
        <v>#N/A</v>
      </c>
      <c r="O311" s="39" t="e">
        <f>ROUNDDOWN(Table215[[#This Row],[R-DEMAND]]/1320,0)</f>
        <v>#N/A</v>
      </c>
      <c r="P311" s="41" t="e">
        <f>Table215[[#This Row],[ADD ACC]]*Table215[[#This Row],[RT TIME (744)]]</f>
        <v>#N/A</v>
      </c>
    </row>
    <row r="312" spans="1:16" ht="15" customHeight="1" x14ac:dyDescent="0.25">
      <c r="A312" s="38" t="s">
        <v>13420</v>
      </c>
      <c r="B312" s="39" t="s">
        <v>3636</v>
      </c>
      <c r="C312" s="39"/>
      <c r="D312" s="39">
        <v>2</v>
      </c>
      <c r="E312" s="143" t="s">
        <v>505</v>
      </c>
      <c r="F312" s="1" t="e">
        <f>VLOOKUP(E:E,Table10[[COUNTRY NAME]:[CONTINENT CODE]],3,FALSE)</f>
        <v>#N/A</v>
      </c>
      <c r="G312" s="159" t="s">
        <v>13139</v>
      </c>
      <c r="H312" s="8">
        <v>1912</v>
      </c>
      <c r="I312" s="41">
        <v>6.25</v>
      </c>
      <c r="J312" s="157"/>
      <c r="K312" s="6">
        <f>IFERROR(Table215[[#This Row],[ROUTE $]]/Table215[[#This Row],[E - DEMAND]],0)</f>
        <v>0</v>
      </c>
      <c r="L312" s="4"/>
      <c r="M312" s="39" t="e">
        <f>VLOOKUP(Table215[[#This Row],[ROUTE]],DEMAND!A:F,5,FALSE)</f>
        <v>#N/A</v>
      </c>
      <c r="N312" s="39" t="e">
        <f>VLOOKUP(Table215[[#This Row],[ROUTE]],DEMAND!A:F,6,FALSE)</f>
        <v>#N/A</v>
      </c>
      <c r="O312" s="39" t="e">
        <f>ROUNDDOWN(Table215[[#This Row],[R-DEMAND]]/1320,0)</f>
        <v>#N/A</v>
      </c>
      <c r="P312" s="41" t="e">
        <f>Table215[[#This Row],[ADD ACC]]*Table215[[#This Row],[RT TIME (744)]]</f>
        <v>#N/A</v>
      </c>
    </row>
    <row r="313" spans="1:16" ht="15" customHeight="1" x14ac:dyDescent="0.25">
      <c r="A313" s="38" t="s">
        <v>13421</v>
      </c>
      <c r="B313" s="39" t="s">
        <v>2085</v>
      </c>
      <c r="C313" s="39"/>
      <c r="D313" s="39">
        <v>1</v>
      </c>
      <c r="E313" s="143" t="s">
        <v>505</v>
      </c>
      <c r="F313" s="1" t="e">
        <f>VLOOKUP(E:E,Table10[[COUNTRY NAME]:[CONTINENT CODE]],3,FALSE)</f>
        <v>#N/A</v>
      </c>
      <c r="G313" s="156" t="s">
        <v>13140</v>
      </c>
      <c r="H313" s="8">
        <v>1896</v>
      </c>
      <c r="I313" s="41">
        <v>6.25</v>
      </c>
      <c r="J313" s="157"/>
      <c r="K313" s="6">
        <f>IFERROR(Table215[[#This Row],[ROUTE $]]/Table215[[#This Row],[E - DEMAND]],0)</f>
        <v>0</v>
      </c>
      <c r="L313" s="5"/>
      <c r="M313" s="39" t="e">
        <f>VLOOKUP(Table215[[#This Row],[ROUTE]],DEMAND!A:F,5,FALSE)</f>
        <v>#N/A</v>
      </c>
      <c r="N313" s="39" t="e">
        <f>VLOOKUP(Table215[[#This Row],[ROUTE]],DEMAND!A:F,6,FALSE)</f>
        <v>#N/A</v>
      </c>
      <c r="O313" s="39" t="e">
        <f>ROUNDDOWN(Table215[[#This Row],[R-DEMAND]]/1320,0)</f>
        <v>#N/A</v>
      </c>
      <c r="P313" s="41" t="e">
        <f>Table215[[#This Row],[ADD ACC]]*Table215[[#This Row],[RT TIME (744)]]</f>
        <v>#N/A</v>
      </c>
    </row>
    <row r="314" spans="1:16" ht="15" customHeight="1" x14ac:dyDescent="0.25">
      <c r="A314" s="38" t="s">
        <v>13451</v>
      </c>
      <c r="B314" s="39" t="s">
        <v>4100</v>
      </c>
      <c r="C314" s="39"/>
      <c r="D314" s="39">
        <v>2</v>
      </c>
      <c r="E314" s="1" t="s">
        <v>1144</v>
      </c>
      <c r="F314" s="1" t="str">
        <f>VLOOKUP(E:E,Table10[[COUNTRY NAME]:[CONTINENT CODE]],3,FALSE)</f>
        <v>SA</v>
      </c>
      <c r="G314" s="156" t="s">
        <v>13154</v>
      </c>
      <c r="H314" s="8">
        <v>1846</v>
      </c>
      <c r="I314" s="41">
        <v>6.25</v>
      </c>
      <c r="J314" s="157"/>
      <c r="K314" s="6">
        <f>IFERROR(Table215[[#This Row],[ROUTE $]]/Table215[[#This Row],[E - DEMAND]],0)</f>
        <v>0</v>
      </c>
      <c r="L314" s="4"/>
      <c r="M314" s="39" t="e">
        <f>VLOOKUP(Table215[[#This Row],[ROUTE]],DEMAND!A:F,5,FALSE)</f>
        <v>#N/A</v>
      </c>
      <c r="N314" s="39" t="e">
        <f>VLOOKUP(Table215[[#This Row],[ROUTE]],DEMAND!A:F,6,FALSE)</f>
        <v>#N/A</v>
      </c>
      <c r="O314" s="39" t="e">
        <f>ROUNDDOWN(Table215[[#This Row],[R-DEMAND]]/1320,0)</f>
        <v>#N/A</v>
      </c>
      <c r="P314" s="41" t="e">
        <f>Table215[[#This Row],[ADD ACC]]*Table215[[#This Row],[RT TIME (744)]]</f>
        <v>#N/A</v>
      </c>
    </row>
    <row r="315" spans="1:16" ht="15" customHeight="1" x14ac:dyDescent="0.25">
      <c r="A315" s="38" t="s">
        <v>13449</v>
      </c>
      <c r="B315" s="39" t="s">
        <v>3251</v>
      </c>
      <c r="C315" s="39"/>
      <c r="D315" s="39">
        <v>2</v>
      </c>
      <c r="E315" s="1" t="s">
        <v>1144</v>
      </c>
      <c r="F315" s="1" t="str">
        <f>VLOOKUP(E:E,Table10[[COUNTRY NAME]:[CONTINENT CODE]],3,FALSE)</f>
        <v>SA</v>
      </c>
      <c r="G315" s="156" t="s">
        <v>13152</v>
      </c>
      <c r="H315" s="8">
        <v>1884</v>
      </c>
      <c r="I315" s="41">
        <v>6.25</v>
      </c>
      <c r="J315" s="157"/>
      <c r="K315" s="6">
        <f>IFERROR(Table215[[#This Row],[ROUTE $]]/Table215[[#This Row],[E - DEMAND]],0)</f>
        <v>0</v>
      </c>
      <c r="L315" s="4"/>
      <c r="M315" s="39" t="e">
        <f>VLOOKUP(Table215[[#This Row],[ROUTE]],DEMAND!A:F,5,FALSE)</f>
        <v>#N/A</v>
      </c>
      <c r="N315" s="39" t="e">
        <f>VLOOKUP(Table215[[#This Row],[ROUTE]],DEMAND!A:F,6,FALSE)</f>
        <v>#N/A</v>
      </c>
      <c r="O315" s="39" t="e">
        <f>ROUNDDOWN(Table215[[#This Row],[R-DEMAND]]/1320,0)</f>
        <v>#N/A</v>
      </c>
      <c r="P315" s="41" t="e">
        <f>Table215[[#This Row],[ADD ACC]]*Table215[[#This Row],[RT TIME (744)]]</f>
        <v>#N/A</v>
      </c>
    </row>
    <row r="316" spans="1:16" ht="15" customHeight="1" x14ac:dyDescent="0.25">
      <c r="A316" s="38" t="s">
        <v>13450</v>
      </c>
      <c r="B316" s="39" t="s">
        <v>4464</v>
      </c>
      <c r="C316" s="39"/>
      <c r="D316" s="39">
        <v>2</v>
      </c>
      <c r="E316" s="1" t="s">
        <v>1144</v>
      </c>
      <c r="F316" s="1" t="str">
        <f>VLOOKUP(E:E,Table10[[COUNTRY NAME]:[CONTINENT CODE]],3,FALSE)</f>
        <v>SA</v>
      </c>
      <c r="G316" s="156" t="s">
        <v>13153</v>
      </c>
      <c r="H316" s="8">
        <v>1850</v>
      </c>
      <c r="I316" s="41">
        <v>6.25</v>
      </c>
      <c r="J316" s="157"/>
      <c r="K316" s="6">
        <f>IFERROR(Table215[[#This Row],[ROUTE $]]/Table215[[#This Row],[E - DEMAND]],0)</f>
        <v>0</v>
      </c>
      <c r="L316" s="4"/>
      <c r="M316" s="39" t="e">
        <f>VLOOKUP(Table215[[#This Row],[ROUTE]],DEMAND!A:F,5,FALSE)</f>
        <v>#N/A</v>
      </c>
      <c r="N316" s="39" t="e">
        <f>VLOOKUP(Table215[[#This Row],[ROUTE]],DEMAND!A:F,6,FALSE)</f>
        <v>#N/A</v>
      </c>
      <c r="O316" s="39" t="e">
        <f>ROUNDDOWN(Table215[[#This Row],[R-DEMAND]]/1320,0)</f>
        <v>#N/A</v>
      </c>
      <c r="P316" s="41" t="e">
        <f>Table215[[#This Row],[ADD ACC]]*Table215[[#This Row],[RT TIME (744)]]</f>
        <v>#N/A</v>
      </c>
    </row>
    <row r="317" spans="1:16" ht="15" customHeight="1" x14ac:dyDescent="0.25">
      <c r="A317" s="38" t="s">
        <v>13418</v>
      </c>
      <c r="B317" s="39" t="s">
        <v>4642</v>
      </c>
      <c r="C317" s="39"/>
      <c r="D317" s="39">
        <v>2</v>
      </c>
      <c r="E317" s="143" t="s">
        <v>505</v>
      </c>
      <c r="F317" s="1" t="e">
        <f>VLOOKUP(E:E,Table10[[COUNTRY NAME]:[CONTINENT CODE]],3,FALSE)</f>
        <v>#N/A</v>
      </c>
      <c r="G317" s="161" t="s">
        <v>13137</v>
      </c>
      <c r="H317" s="8">
        <v>1956</v>
      </c>
      <c r="I317" s="41">
        <v>6.5</v>
      </c>
      <c r="J317" s="157"/>
      <c r="K317" s="6">
        <f>IFERROR(Table215[[#This Row],[ROUTE $]]/Table215[[#This Row],[E - DEMAND]],0)</f>
        <v>0</v>
      </c>
      <c r="L317" s="4"/>
      <c r="M317" s="39" t="e">
        <f>VLOOKUP(Table215[[#This Row],[ROUTE]],DEMAND!A:F,5,FALSE)</f>
        <v>#N/A</v>
      </c>
      <c r="N317" s="39" t="e">
        <f>VLOOKUP(Table215[[#This Row],[ROUTE]],DEMAND!A:F,6,FALSE)</f>
        <v>#N/A</v>
      </c>
      <c r="O317" s="39" t="e">
        <f>ROUNDDOWN(Table215[[#This Row],[R-DEMAND]]/1320,0)</f>
        <v>#N/A</v>
      </c>
      <c r="P317" s="41" t="e">
        <f>Table215[[#This Row],[ADD ACC]]*Table215[[#This Row],[RT TIME (744)]]</f>
        <v>#N/A</v>
      </c>
    </row>
    <row r="318" spans="1:16" ht="15" customHeight="1" x14ac:dyDescent="0.25">
      <c r="A318" s="38" t="s">
        <v>13419</v>
      </c>
      <c r="B318" s="39" t="s">
        <v>4017</v>
      </c>
      <c r="C318" s="39"/>
      <c r="D318" s="39">
        <v>2</v>
      </c>
      <c r="E318" s="143" t="s">
        <v>505</v>
      </c>
      <c r="F318" s="1" t="e">
        <f>VLOOKUP(E:E,Table10[[COUNTRY NAME]:[CONTINENT CODE]],3,FALSE)</f>
        <v>#N/A</v>
      </c>
      <c r="G318" s="156" t="s">
        <v>13138</v>
      </c>
      <c r="H318" s="8">
        <v>1934</v>
      </c>
      <c r="I318" s="41">
        <v>6.5</v>
      </c>
      <c r="J318" s="157"/>
      <c r="K318" s="6">
        <f>IFERROR(Table215[[#This Row],[ROUTE $]]/Table215[[#This Row],[E - DEMAND]],0)</f>
        <v>0</v>
      </c>
      <c r="L318" s="5"/>
      <c r="M318" s="39" t="e">
        <f>VLOOKUP(Table215[[#This Row],[ROUTE]],DEMAND!A:F,5,FALSE)</f>
        <v>#N/A</v>
      </c>
      <c r="N318" s="39" t="e">
        <f>VLOOKUP(Table215[[#This Row],[ROUTE]],DEMAND!A:F,6,FALSE)</f>
        <v>#N/A</v>
      </c>
      <c r="O318" s="39" t="e">
        <f>ROUNDDOWN(Table215[[#This Row],[R-DEMAND]]/1320,0)</f>
        <v>#N/A</v>
      </c>
      <c r="P318" s="41" t="e">
        <f>Table215[[#This Row],[ADD ACC]]*Table215[[#This Row],[RT TIME (744)]]</f>
        <v>#N/A</v>
      </c>
    </row>
    <row r="319" spans="1:16" ht="15" customHeight="1" x14ac:dyDescent="0.25">
      <c r="A319" s="38" t="s">
        <v>13417</v>
      </c>
      <c r="B319" s="39" t="s">
        <v>1828</v>
      </c>
      <c r="C319" s="39"/>
      <c r="D319" s="39">
        <v>1</v>
      </c>
      <c r="E319" s="143" t="s">
        <v>505</v>
      </c>
      <c r="F319" s="1" t="e">
        <f>VLOOKUP(E:E,Table10[[COUNTRY NAME]:[CONTINENT CODE]],3,FALSE)</f>
        <v>#N/A</v>
      </c>
      <c r="G319" s="156" t="s">
        <v>10204</v>
      </c>
      <c r="H319" s="8">
        <v>2008</v>
      </c>
      <c r="I319" s="41">
        <v>6.5</v>
      </c>
      <c r="J319" s="157"/>
      <c r="K319" s="6">
        <f>IFERROR(Table215[[#This Row],[ROUTE $]]/Table215[[#This Row],[E - DEMAND]],0)</f>
        <v>0</v>
      </c>
      <c r="L319" s="4"/>
      <c r="M319" s="39" t="e">
        <f>VLOOKUP(Table215[[#This Row],[ROUTE]],DEMAND!A:F,5,FALSE)</f>
        <v>#N/A</v>
      </c>
      <c r="N319" s="39" t="e">
        <f>VLOOKUP(Table215[[#This Row],[ROUTE]],DEMAND!A:F,6,FALSE)</f>
        <v>#N/A</v>
      </c>
      <c r="O319" s="39" t="e">
        <f>ROUNDDOWN(Table215[[#This Row],[R-DEMAND]]/1320,0)</f>
        <v>#N/A</v>
      </c>
      <c r="P319" s="41" t="e">
        <f>Table215[[#This Row],[ADD ACC]]*Table215[[#This Row],[RT TIME (744)]]</f>
        <v>#N/A</v>
      </c>
    </row>
    <row r="320" spans="1:16" ht="15" customHeight="1" x14ac:dyDescent="0.25">
      <c r="A320" s="38" t="s">
        <v>13448</v>
      </c>
      <c r="B320" s="39" t="s">
        <v>3107</v>
      </c>
      <c r="C320" s="39"/>
      <c r="D320" s="39">
        <v>2</v>
      </c>
      <c r="E320" s="1" t="s">
        <v>1144</v>
      </c>
      <c r="F320" s="1" t="str">
        <f>VLOOKUP(E:E,Table10[[COUNTRY NAME]:[CONTINENT CODE]],3,FALSE)</f>
        <v>SA</v>
      </c>
      <c r="G320" s="156" t="s">
        <v>13151</v>
      </c>
      <c r="H320" s="8">
        <v>2011</v>
      </c>
      <c r="I320" s="41">
        <v>6.5</v>
      </c>
      <c r="J320" s="157"/>
      <c r="K320" s="6">
        <f>IFERROR(Table215[[#This Row],[ROUTE $]]/Table215[[#This Row],[E - DEMAND]],0)</f>
        <v>0</v>
      </c>
      <c r="L320" s="4"/>
      <c r="M320" s="39" t="e">
        <f>VLOOKUP(Table215[[#This Row],[ROUTE]],DEMAND!A:F,5,FALSE)</f>
        <v>#N/A</v>
      </c>
      <c r="N320" s="39" t="e">
        <f>VLOOKUP(Table215[[#This Row],[ROUTE]],DEMAND!A:F,6,FALSE)</f>
        <v>#N/A</v>
      </c>
      <c r="O320" s="39" t="e">
        <f>ROUNDDOWN(Table215[[#This Row],[R-DEMAND]]/1320,0)</f>
        <v>#N/A</v>
      </c>
      <c r="P320" s="41" t="e">
        <f>Table215[[#This Row],[ADD ACC]]*Table215[[#This Row],[RT TIME (744)]]</f>
        <v>#N/A</v>
      </c>
    </row>
    <row r="321" spans="1:16" ht="15" customHeight="1" x14ac:dyDescent="0.25">
      <c r="A321" s="38" t="s">
        <v>13416</v>
      </c>
      <c r="B321" s="39" t="s">
        <v>1795</v>
      </c>
      <c r="C321" s="39"/>
      <c r="D321" s="39">
        <v>1</v>
      </c>
      <c r="E321" s="143" t="s">
        <v>505</v>
      </c>
      <c r="F321" s="1" t="e">
        <f>VLOOKUP(E:E,Table10[[COUNTRY NAME]:[CONTINENT CODE]],3,FALSE)</f>
        <v>#N/A</v>
      </c>
      <c r="G321" s="156" t="s">
        <v>13136</v>
      </c>
      <c r="H321" s="8">
        <v>2127</v>
      </c>
      <c r="I321" s="41">
        <v>6.75</v>
      </c>
      <c r="J321" s="157"/>
      <c r="K321" s="6">
        <f>IFERROR(Table215[[#This Row],[ROUTE $]]/Table215[[#This Row],[E - DEMAND]],0)</f>
        <v>0</v>
      </c>
      <c r="L321" s="4"/>
      <c r="M321" s="39" t="e">
        <f>VLOOKUP(Table215[[#This Row],[ROUTE]],DEMAND!A:F,5,FALSE)</f>
        <v>#N/A</v>
      </c>
      <c r="N321" s="39" t="e">
        <f>VLOOKUP(Table215[[#This Row],[ROUTE]],DEMAND!A:F,6,FALSE)</f>
        <v>#N/A</v>
      </c>
      <c r="O321" s="39" t="e">
        <f>ROUNDDOWN(Table215[[#This Row],[R-DEMAND]]/1320,0)</f>
        <v>#N/A</v>
      </c>
      <c r="P321" s="41" t="e">
        <f>Table215[[#This Row],[ADD ACC]]*Table215[[#This Row],[RT TIME (744)]]</f>
        <v>#N/A</v>
      </c>
    </row>
    <row r="322" spans="1:16" ht="15" customHeight="1" x14ac:dyDescent="0.25">
      <c r="A322" s="38" t="s">
        <v>13415</v>
      </c>
      <c r="B322" s="39" t="s">
        <v>1596</v>
      </c>
      <c r="C322" s="39"/>
      <c r="D322" s="39">
        <v>1</v>
      </c>
      <c r="E322" s="143" t="s">
        <v>505</v>
      </c>
      <c r="F322" s="1" t="e">
        <f>VLOOKUP(E:E,Table10[[COUNTRY NAME]:[CONTINENT CODE]],3,FALSE)</f>
        <v>#N/A</v>
      </c>
      <c r="G322" s="156" t="s">
        <v>13135</v>
      </c>
      <c r="H322" s="8">
        <v>2227</v>
      </c>
      <c r="I322" s="41">
        <v>7</v>
      </c>
      <c r="J322" s="157"/>
      <c r="K322" s="6">
        <f>IFERROR(Table215[[#This Row],[ROUTE $]]/Table215[[#This Row],[E - DEMAND]],0)</f>
        <v>0</v>
      </c>
      <c r="L322" s="4"/>
      <c r="M322" s="39" t="e">
        <f>VLOOKUP(Table215[[#This Row],[ROUTE]],DEMAND!A:F,5,FALSE)</f>
        <v>#N/A</v>
      </c>
      <c r="N322" s="39" t="e">
        <f>VLOOKUP(Table215[[#This Row],[ROUTE]],DEMAND!A:F,6,FALSE)</f>
        <v>#N/A</v>
      </c>
      <c r="O322" s="39" t="e">
        <f>ROUNDDOWN(Table215[[#This Row],[R-DEMAND]]/1320,0)</f>
        <v>#N/A</v>
      </c>
      <c r="P322" s="41" t="e">
        <f>Table215[[#This Row],[ADD ACC]]*Table215[[#This Row],[RT TIME (744)]]</f>
        <v>#N/A</v>
      </c>
    </row>
    <row r="323" spans="1:16" ht="15" customHeight="1" x14ac:dyDescent="0.25">
      <c r="A323" s="38" t="s">
        <v>13447</v>
      </c>
      <c r="B323" s="39" t="s">
        <v>4291</v>
      </c>
      <c r="C323" s="39"/>
      <c r="D323" s="39">
        <v>2</v>
      </c>
      <c r="E323" s="1" t="s">
        <v>1144</v>
      </c>
      <c r="F323" s="1" t="str">
        <f>VLOOKUP(E:E,Table10[[COUNTRY NAME]:[CONTINENT CODE]],3,FALSE)</f>
        <v>SA</v>
      </c>
      <c r="G323" s="160" t="s">
        <v>13150</v>
      </c>
      <c r="H323" s="40">
        <v>2158</v>
      </c>
      <c r="I323" s="41">
        <v>7</v>
      </c>
      <c r="J323" s="157"/>
      <c r="K323" s="42">
        <f>IFERROR(Table215[[#This Row],[ROUTE $]]/Table215[[#This Row],[E - DEMAND]],0)</f>
        <v>0</v>
      </c>
      <c r="L323" s="43"/>
      <c r="M323" s="39" t="e">
        <f>VLOOKUP(Table215[[#This Row],[ROUTE]],DEMAND!A:F,5,FALSE)</f>
        <v>#N/A</v>
      </c>
      <c r="N323" s="39" t="e">
        <f>VLOOKUP(Table215[[#This Row],[ROUTE]],DEMAND!A:F,6,FALSE)</f>
        <v>#N/A</v>
      </c>
      <c r="O323" s="39" t="e">
        <f>ROUNDDOWN(Table215[[#This Row],[R-DEMAND]]/1320,0)</f>
        <v>#N/A</v>
      </c>
      <c r="P323" s="41" t="e">
        <f>Table215[[#This Row],[ADD ACC]]*Table215[[#This Row],[RT TIME (744)]]</f>
        <v>#N/A</v>
      </c>
    </row>
    <row r="324" spans="1:16" ht="15" customHeight="1" x14ac:dyDescent="0.25">
      <c r="A324" s="38" t="s">
        <v>13494</v>
      </c>
      <c r="B324" s="39" t="s">
        <v>3739</v>
      </c>
      <c r="C324" s="39"/>
      <c r="D324" s="39">
        <v>2</v>
      </c>
      <c r="E324" s="1" t="s">
        <v>530</v>
      </c>
      <c r="F324" s="1" t="str">
        <f>VLOOKUP(E:E,Table10[[COUNTRY NAME]:[CONTINENT CODE]],3,FALSE)</f>
        <v>SA</v>
      </c>
      <c r="G324" s="156" t="s">
        <v>13180</v>
      </c>
      <c r="H324" s="8">
        <v>2298</v>
      </c>
      <c r="I324" s="41">
        <v>7.25</v>
      </c>
      <c r="J324" s="157"/>
      <c r="K324" s="6">
        <f>IFERROR(Table215[[#This Row],[ROUTE $]]/Table215[[#This Row],[E - DEMAND]],0)</f>
        <v>0</v>
      </c>
      <c r="L324" s="4"/>
      <c r="M324" s="39" t="e">
        <f>VLOOKUP(Table215[[#This Row],[ROUTE]],DEMAND!A:F,5,FALSE)</f>
        <v>#N/A</v>
      </c>
      <c r="N324" s="39" t="e">
        <f>VLOOKUP(Table215[[#This Row],[ROUTE]],DEMAND!A:F,6,FALSE)</f>
        <v>#N/A</v>
      </c>
      <c r="O324" s="39" t="e">
        <f>ROUNDDOWN(Table215[[#This Row],[R-DEMAND]]/1320,0)</f>
        <v>#N/A</v>
      </c>
      <c r="P324" s="41" t="e">
        <f>Table215[[#This Row],[ADD ACC]]*Table215[[#This Row],[RT TIME (744)]]</f>
        <v>#N/A</v>
      </c>
    </row>
    <row r="325" spans="1:16" ht="15" customHeight="1" x14ac:dyDescent="0.25">
      <c r="A325" s="38" t="s">
        <v>13414</v>
      </c>
      <c r="B325" s="39" t="s">
        <v>4412</v>
      </c>
      <c r="C325" s="39"/>
      <c r="D325" s="39">
        <v>2</v>
      </c>
      <c r="E325" s="143" t="s">
        <v>505</v>
      </c>
      <c r="F325" s="1" t="e">
        <f>VLOOKUP(E:E,Table10[[COUNTRY NAME]:[CONTINENT CODE]],3,FALSE)</f>
        <v>#N/A</v>
      </c>
      <c r="G325" s="156" t="s">
        <v>13134</v>
      </c>
      <c r="H325" s="8">
        <v>2419</v>
      </c>
      <c r="I325" s="41">
        <v>7.5</v>
      </c>
      <c r="J325" s="157"/>
      <c r="K325" s="6">
        <f>IFERROR(Table215[[#This Row],[ROUTE $]]/Table215[[#This Row],[E - DEMAND]],0)</f>
        <v>0</v>
      </c>
      <c r="L325" s="4"/>
      <c r="M325" s="39" t="e">
        <f>VLOOKUP(Table215[[#This Row],[ROUTE]],DEMAND!A:F,5,FALSE)</f>
        <v>#N/A</v>
      </c>
      <c r="N325" s="39" t="e">
        <f>VLOOKUP(Table215[[#This Row],[ROUTE]],DEMAND!A:F,6,FALSE)</f>
        <v>#N/A</v>
      </c>
      <c r="O325" s="39" t="e">
        <f>ROUNDDOWN(Table215[[#This Row],[R-DEMAND]]/1320,0)</f>
        <v>#N/A</v>
      </c>
      <c r="P325" s="41" t="e">
        <f>Table215[[#This Row],[ADD ACC]]*Table215[[#This Row],[RT TIME (744)]]</f>
        <v>#N/A</v>
      </c>
    </row>
    <row r="326" spans="1:16" ht="15" customHeight="1" x14ac:dyDescent="0.25">
      <c r="A326" s="38" t="s">
        <v>13736</v>
      </c>
      <c r="B326" s="39" t="s">
        <v>3307</v>
      </c>
      <c r="C326" s="39"/>
      <c r="D326" s="39">
        <v>2</v>
      </c>
      <c r="E326" s="38" t="s">
        <v>714</v>
      </c>
      <c r="F326" s="38" t="str">
        <f>VLOOKUP(E:E,Table10[[COUNTRY NAME]:[CONTINENT CODE]],3,FALSE)</f>
        <v>SA</v>
      </c>
      <c r="G326" s="155" t="s">
        <v>13244</v>
      </c>
      <c r="H326" s="40">
        <v>2633</v>
      </c>
      <c r="I326" s="41">
        <v>8</v>
      </c>
      <c r="J326" s="157"/>
      <c r="K326" s="42">
        <f>IFERROR(Table215[[#This Row],[ROUTE $]]/Table215[[#This Row],[E - DEMAND]],0)</f>
        <v>0</v>
      </c>
      <c r="L326" s="43"/>
      <c r="M326" s="39" t="e">
        <f>VLOOKUP(Table215[[#This Row],[ROUTE]],DEMAND!A:F,5,FALSE)</f>
        <v>#N/A</v>
      </c>
      <c r="N326" s="39" t="e">
        <f>VLOOKUP(Table215[[#This Row],[ROUTE]],DEMAND!A:F,6,FALSE)</f>
        <v>#N/A</v>
      </c>
      <c r="O326" s="39" t="e">
        <f>ROUNDDOWN(Table215[[#This Row],[R-DEMAND]]/1320,0)</f>
        <v>#N/A</v>
      </c>
      <c r="P326" s="41" t="e">
        <f>Table215[[#This Row],[ADD ACC]]*Table215[[#This Row],[RT TIME (744)]]</f>
        <v>#N/A</v>
      </c>
    </row>
    <row r="327" spans="1:16" ht="15" customHeight="1" x14ac:dyDescent="0.25">
      <c r="A327" s="38" t="s">
        <v>13735</v>
      </c>
      <c r="B327" s="39" t="s">
        <v>3225</v>
      </c>
      <c r="C327" s="39"/>
      <c r="D327" s="39">
        <v>2</v>
      </c>
      <c r="E327" s="38" t="s">
        <v>714</v>
      </c>
      <c r="F327" s="38" t="str">
        <f>VLOOKUP(E:E,Table10[[COUNTRY NAME]:[CONTINENT CODE]],3,FALSE)</f>
        <v>SA</v>
      </c>
      <c r="G327" s="155" t="s">
        <v>13243</v>
      </c>
      <c r="H327" s="40">
        <v>2686</v>
      </c>
      <c r="I327" s="41">
        <v>8</v>
      </c>
      <c r="J327" s="157"/>
      <c r="K327" s="42">
        <f>IFERROR(Table215[[#This Row],[ROUTE $]]/Table215[[#This Row],[E - DEMAND]],0)</f>
        <v>0</v>
      </c>
      <c r="L327" s="43"/>
      <c r="M327" s="39" t="e">
        <f>VLOOKUP(Table215[[#This Row],[ROUTE]],DEMAND!A:F,5,FALSE)</f>
        <v>#N/A</v>
      </c>
      <c r="N327" s="39" t="e">
        <f>VLOOKUP(Table215[[#This Row],[ROUTE]],DEMAND!A:F,6,FALSE)</f>
        <v>#N/A</v>
      </c>
      <c r="O327" s="39" t="e">
        <f>ROUNDDOWN(Table215[[#This Row],[R-DEMAND]]/1320,0)</f>
        <v>#N/A</v>
      </c>
      <c r="P327" s="41" t="e">
        <f>Table215[[#This Row],[ADD ACC]]*Table215[[#This Row],[RT TIME (744)]]</f>
        <v>#N/A</v>
      </c>
    </row>
    <row r="328" spans="1:16" ht="15" customHeight="1" x14ac:dyDescent="0.25">
      <c r="A328" s="38" t="s">
        <v>13732</v>
      </c>
      <c r="B328" s="39" t="s">
        <v>1842</v>
      </c>
      <c r="C328" s="39"/>
      <c r="D328" s="39">
        <v>1</v>
      </c>
      <c r="E328" s="38" t="s">
        <v>714</v>
      </c>
      <c r="F328" s="38" t="str">
        <f>VLOOKUP(E:E,Table10[[COUNTRY NAME]:[CONTINENT CODE]],3,FALSE)</f>
        <v>SA</v>
      </c>
      <c r="G328" s="155" t="s">
        <v>13240</v>
      </c>
      <c r="H328" s="40">
        <v>3136</v>
      </c>
      <c r="I328" s="41">
        <v>9</v>
      </c>
      <c r="J328" s="157"/>
      <c r="K328" s="42">
        <f>IFERROR(Table215[[#This Row],[ROUTE $]]/Table215[[#This Row],[E - DEMAND]],0)</f>
        <v>0</v>
      </c>
      <c r="L328" s="43"/>
      <c r="M328" s="39" t="e">
        <f>VLOOKUP(Table215[[#This Row],[ROUTE]],DEMAND!A:F,5,FALSE)</f>
        <v>#N/A</v>
      </c>
      <c r="N328" s="39" t="e">
        <f>VLOOKUP(Table215[[#This Row],[ROUTE]],DEMAND!A:F,6,FALSE)</f>
        <v>#N/A</v>
      </c>
      <c r="O328" s="39" t="e">
        <f>ROUNDDOWN(Table215[[#This Row],[R-DEMAND]]/1320,0)</f>
        <v>#N/A</v>
      </c>
      <c r="P328" s="41" t="e">
        <f>Table215[[#This Row],[ADD ACC]]*Table215[[#This Row],[RT TIME (744)]]</f>
        <v>#N/A</v>
      </c>
    </row>
    <row r="329" spans="1:16" ht="15" customHeight="1" x14ac:dyDescent="0.25">
      <c r="A329" s="38" t="s">
        <v>13570</v>
      </c>
      <c r="B329" s="39" t="s">
        <v>4052</v>
      </c>
      <c r="C329" s="39"/>
      <c r="D329" s="39">
        <v>0</v>
      </c>
      <c r="E329" s="1" t="s">
        <v>4050</v>
      </c>
      <c r="F329" s="1" t="str">
        <f>VLOOKUP(E:E,Table10[[COUNTRY NAME]:[CONTINENT CODE]],3,FALSE)</f>
        <v>SA</v>
      </c>
      <c r="G329" s="156" t="s">
        <v>13204</v>
      </c>
      <c r="H329" s="8">
        <v>3206</v>
      </c>
      <c r="I329" s="41">
        <v>9.25</v>
      </c>
      <c r="J329" s="157"/>
      <c r="K329" s="6">
        <f>IFERROR(Table215[[#This Row],[ROUTE $]]/Table215[[#This Row],[E - DEMAND]],0)</f>
        <v>0</v>
      </c>
      <c r="L329" s="4"/>
      <c r="M329" s="39" t="e">
        <f>VLOOKUP(Table215[[#This Row],[ROUTE]],DEMAND!A:F,5,FALSE)</f>
        <v>#N/A</v>
      </c>
      <c r="N329" s="39" t="e">
        <f>VLOOKUP(Table215[[#This Row],[ROUTE]],DEMAND!A:F,6,FALSE)</f>
        <v>#N/A</v>
      </c>
      <c r="O329" s="39" t="e">
        <f>ROUNDDOWN(Table215[[#This Row],[R-DEMAND]]/1320,0)</f>
        <v>#N/A</v>
      </c>
      <c r="P329" s="41" t="e">
        <f>Table215[[#This Row],[ADD ACC]]*Table215[[#This Row],[RT TIME (744)]]</f>
        <v>#N/A</v>
      </c>
    </row>
    <row r="330" spans="1:16" ht="15" customHeight="1" x14ac:dyDescent="0.25">
      <c r="A330" s="38" t="s">
        <v>13839</v>
      </c>
      <c r="B330" s="39" t="s">
        <v>3836</v>
      </c>
      <c r="C330" s="39"/>
      <c r="D330" s="39">
        <v>2</v>
      </c>
      <c r="E330" s="38" t="s">
        <v>3834</v>
      </c>
      <c r="F330" s="38" t="str">
        <f>VLOOKUP(E:E,Table10[[COUNTRY NAME]:[CONTINENT CODE]],3,FALSE)</f>
        <v>SA</v>
      </c>
      <c r="G330" s="155" t="s">
        <v>13254</v>
      </c>
      <c r="H330" s="40">
        <v>3349</v>
      </c>
      <c r="I330" s="41">
        <v>9.5</v>
      </c>
      <c r="J330" s="157"/>
      <c r="K330" s="42">
        <f>IFERROR(Table215[[#This Row],[ROUTE $]]/Table215[[#This Row],[E - DEMAND]],0)</f>
        <v>0</v>
      </c>
      <c r="L330" s="43"/>
      <c r="M330" s="39" t="e">
        <f>VLOOKUP(Table215[[#This Row],[ROUTE]],DEMAND!A:F,5,FALSE)</f>
        <v>#N/A</v>
      </c>
      <c r="N330" s="39" t="e">
        <f>VLOOKUP(Table215[[#This Row],[ROUTE]],DEMAND!A:F,6,FALSE)</f>
        <v>#N/A</v>
      </c>
      <c r="O330" s="39" t="e">
        <f>ROUNDDOWN(Table215[[#This Row],[R-DEMAND]]/1320,0)</f>
        <v>#N/A</v>
      </c>
      <c r="P330" s="41" t="e">
        <f>Table215[[#This Row],[ADD ACC]]*Table215[[#This Row],[RT TIME (744)]]</f>
        <v>#N/A</v>
      </c>
    </row>
    <row r="331" spans="1:16" ht="15" customHeight="1" x14ac:dyDescent="0.25">
      <c r="A331" s="38" t="s">
        <v>13413</v>
      </c>
      <c r="B331" s="39" t="s">
        <v>3323</v>
      </c>
      <c r="C331" s="39"/>
      <c r="D331" s="39">
        <v>2</v>
      </c>
      <c r="E331" s="143" t="s">
        <v>505</v>
      </c>
      <c r="F331" s="1" t="e">
        <f>VLOOKUP(E:E,Table10[[COUNTRY NAME]:[CONTINENT CODE]],3,FALSE)</f>
        <v>#N/A</v>
      </c>
      <c r="G331" s="156" t="s">
        <v>13133</v>
      </c>
      <c r="H331" s="8">
        <v>3692</v>
      </c>
      <c r="I331" s="41">
        <v>10.25</v>
      </c>
      <c r="J331" s="157"/>
      <c r="K331" s="6">
        <f>IFERROR(Table215[[#This Row],[ROUTE $]]/Table215[[#This Row],[E - DEMAND]],0)</f>
        <v>0</v>
      </c>
      <c r="L331" s="4"/>
      <c r="M331" s="39" t="e">
        <f>VLOOKUP(Table215[[#This Row],[ROUTE]],DEMAND!A:F,5,FALSE)</f>
        <v>#N/A</v>
      </c>
      <c r="N331" s="39" t="e">
        <f>VLOOKUP(Table215[[#This Row],[ROUTE]],DEMAND!A:F,6,FALSE)</f>
        <v>#N/A</v>
      </c>
      <c r="O331" s="39" t="e">
        <f>ROUNDDOWN(Table215[[#This Row],[R-DEMAND]]/1320,0)</f>
        <v>#N/A</v>
      </c>
      <c r="P331" s="41" t="e">
        <f>Table215[[#This Row],[ADD ACC]]*Table215[[#This Row],[RT TIME (744)]]</f>
        <v>#N/A</v>
      </c>
    </row>
    <row r="332" spans="1:16" ht="15" customHeight="1" x14ac:dyDescent="0.25">
      <c r="A332" s="38" t="s">
        <v>13532</v>
      </c>
      <c r="B332" s="39" t="s">
        <v>5225</v>
      </c>
      <c r="C332" s="39"/>
      <c r="D332" s="39">
        <v>3</v>
      </c>
      <c r="E332" s="1" t="s">
        <v>2293</v>
      </c>
      <c r="F332" s="1" t="str">
        <f>VLOOKUP(E:E,Table10[[COUNTRY NAME]:[CONTINENT CODE]],3,FALSE)</f>
        <v>SA</v>
      </c>
      <c r="G332" s="160" t="s">
        <v>13202</v>
      </c>
      <c r="H332" s="40">
        <v>4306</v>
      </c>
      <c r="I332" s="41">
        <v>11.75</v>
      </c>
      <c r="J332" s="157"/>
      <c r="K332" s="42">
        <f>IFERROR(Table215[[#This Row],[ROUTE $]]/Table215[[#This Row],[E - DEMAND]],0)</f>
        <v>0</v>
      </c>
      <c r="L332" s="43"/>
      <c r="M332" s="39" t="e">
        <f>VLOOKUP(Table215[[#This Row],[ROUTE]],DEMAND!A:F,5,FALSE)</f>
        <v>#N/A</v>
      </c>
      <c r="N332" s="39" t="e">
        <f>VLOOKUP(Table215[[#This Row],[ROUTE]],DEMAND!A:F,6,FALSE)</f>
        <v>#N/A</v>
      </c>
      <c r="O332" s="39" t="e">
        <f>ROUNDDOWN(Table215[[#This Row],[R-DEMAND]]/1320,0)</f>
        <v>#N/A</v>
      </c>
      <c r="P332" s="41" t="e">
        <f>Table215[[#This Row],[ADD ACC]]*Table215[[#This Row],[RT TIME (744)]]</f>
        <v>#N/A</v>
      </c>
    </row>
    <row r="333" spans="1:16" ht="15" customHeight="1" x14ac:dyDescent="0.25">
      <c r="A333" s="38" t="s">
        <v>13531</v>
      </c>
      <c r="B333" s="39" t="s">
        <v>5336</v>
      </c>
      <c r="C333" s="39"/>
      <c r="D333" s="39">
        <v>3</v>
      </c>
      <c r="E333" s="1" t="s">
        <v>2293</v>
      </c>
      <c r="F333" s="1" t="str">
        <f>VLOOKUP(E:E,Table10[[COUNTRY NAME]:[CONTINENT CODE]],3,FALSE)</f>
        <v>SA</v>
      </c>
      <c r="G333" s="156" t="s">
        <v>13201</v>
      </c>
      <c r="H333" s="8">
        <v>4320</v>
      </c>
      <c r="I333" s="41">
        <v>11.75</v>
      </c>
      <c r="J333" s="157"/>
      <c r="K333" s="6">
        <f>IFERROR(Table215[[#This Row],[ROUTE $]]/Table215[[#This Row],[E - DEMAND]],0)</f>
        <v>0</v>
      </c>
      <c r="L333" s="4"/>
      <c r="M333" s="39" t="e">
        <f>VLOOKUP(Table215[[#This Row],[ROUTE]],DEMAND!A:F,5,FALSE)</f>
        <v>#N/A</v>
      </c>
      <c r="N333" s="39" t="e">
        <f>VLOOKUP(Table215[[#This Row],[ROUTE]],DEMAND!A:F,6,FALSE)</f>
        <v>#N/A</v>
      </c>
      <c r="O333" s="39" t="e">
        <f>ROUNDDOWN(Table215[[#This Row],[R-DEMAND]]/1320,0)</f>
        <v>#N/A</v>
      </c>
      <c r="P333" s="41" t="e">
        <f>Table215[[#This Row],[ADD ACC]]*Table215[[#This Row],[RT TIME (744)]]</f>
        <v>#N/A</v>
      </c>
    </row>
    <row r="334" spans="1:16" ht="15" customHeight="1" x14ac:dyDescent="0.25">
      <c r="A334" s="38" t="s">
        <v>13667</v>
      </c>
      <c r="B334" s="39" t="s">
        <v>4863</v>
      </c>
      <c r="C334" s="39"/>
      <c r="D334" s="39">
        <v>3</v>
      </c>
      <c r="E334" s="38" t="s">
        <v>4861</v>
      </c>
      <c r="F334" s="38" t="str">
        <f>VLOOKUP(E:E,Table10[[COUNTRY NAME]:[CONTINENT CODE]],3,FALSE)</f>
        <v>NA</v>
      </c>
      <c r="G334" s="155" t="s">
        <v>13212</v>
      </c>
      <c r="H334" s="40">
        <v>4515</v>
      </c>
      <c r="I334" s="41">
        <v>12</v>
      </c>
      <c r="J334" s="157"/>
      <c r="K334" s="42">
        <f>IFERROR(Table215[[#This Row],[ROUTE $]]/Table215[[#This Row],[E - DEMAND]],0)</f>
        <v>0</v>
      </c>
      <c r="L334" s="43"/>
      <c r="M334" s="39" t="e">
        <f>VLOOKUP(Table215[[#This Row],[ROUTE]],DEMAND!A:F,5,FALSE)</f>
        <v>#N/A</v>
      </c>
      <c r="N334" s="39" t="e">
        <f>VLOOKUP(Table215[[#This Row],[ROUTE]],DEMAND!A:F,6,FALSE)</f>
        <v>#N/A</v>
      </c>
      <c r="O334" s="39" t="e">
        <f>ROUNDDOWN(Table215[[#This Row],[R-DEMAND]]/1320,0)</f>
        <v>#N/A</v>
      </c>
      <c r="P334" s="41" t="e">
        <f>Table215[[#This Row],[ADD ACC]]*Table215[[#This Row],[RT TIME (744)]]</f>
        <v>#N/A</v>
      </c>
    </row>
    <row r="335" spans="1:16" ht="15" customHeight="1" x14ac:dyDescent="0.25">
      <c r="A335" s="38" t="s">
        <v>13496</v>
      </c>
      <c r="B335" s="39" t="s">
        <v>178</v>
      </c>
      <c r="C335" s="39"/>
      <c r="D335" s="39">
        <v>2</v>
      </c>
      <c r="E335" s="1" t="s">
        <v>860</v>
      </c>
      <c r="F335" s="1" t="str">
        <f>VLOOKUP(E:E,Table10[[COUNTRY NAME]:[CONTINENT CODE]],3,FALSE)</f>
        <v>SA</v>
      </c>
      <c r="G335" s="160" t="s">
        <v>13182</v>
      </c>
      <c r="H335" s="40">
        <v>4553</v>
      </c>
      <c r="I335" s="41">
        <v>12.25</v>
      </c>
      <c r="J335" s="157"/>
      <c r="K335" s="42">
        <f>IFERROR(Table215[[#This Row],[ROUTE $]]/Table215[[#This Row],[E - DEMAND]],0)</f>
        <v>0</v>
      </c>
      <c r="L335" s="43"/>
      <c r="M335" s="39" t="e">
        <f>VLOOKUP(Table215[[#This Row],[ROUTE]],DEMAND!A:F,5,FALSE)</f>
        <v>#N/A</v>
      </c>
      <c r="N335" s="39" t="e">
        <f>VLOOKUP(Table215[[#This Row],[ROUTE]],DEMAND!A:F,6,FALSE)</f>
        <v>#N/A</v>
      </c>
      <c r="O335" s="39" t="e">
        <f>ROUNDDOWN(Table215[[#This Row],[R-DEMAND]]/1320,0)</f>
        <v>#N/A</v>
      </c>
      <c r="P335" s="41" t="e">
        <f>Table215[[#This Row],[ADD ACC]]*Table215[[#This Row],[RT TIME (744)]]</f>
        <v>#N/A</v>
      </c>
    </row>
    <row r="336" spans="1:16" ht="15" customHeight="1" x14ac:dyDescent="0.25">
      <c r="A336" s="38" t="s">
        <v>13524</v>
      </c>
      <c r="B336" s="39" t="s">
        <v>3419</v>
      </c>
      <c r="C336" s="39"/>
      <c r="D336" s="39">
        <v>2</v>
      </c>
      <c r="E336" s="1" t="s">
        <v>3417</v>
      </c>
      <c r="F336" s="1" t="str">
        <f>VLOOKUP(E:E,Table10[[COUNTRY NAME]:[CONTINENT CODE]],3,FALSE)</f>
        <v>NA</v>
      </c>
      <c r="G336" s="156" t="s">
        <v>13194</v>
      </c>
      <c r="H336" s="8">
        <v>4625</v>
      </c>
      <c r="I336" s="41">
        <v>12.25</v>
      </c>
      <c r="J336" s="157"/>
      <c r="K336" s="6">
        <f>IFERROR(Table215[[#This Row],[ROUTE $]]/Table215[[#This Row],[E - DEMAND]],0)</f>
        <v>0</v>
      </c>
      <c r="L336" s="5"/>
      <c r="M336" s="39" t="e">
        <f>VLOOKUP(Table215[[#This Row],[ROUTE]],DEMAND!A:F,5,FALSE)</f>
        <v>#N/A</v>
      </c>
      <c r="N336" s="39" t="e">
        <f>VLOOKUP(Table215[[#This Row],[ROUTE]],DEMAND!A:F,6,FALSE)</f>
        <v>#N/A</v>
      </c>
      <c r="O336" s="39" t="e">
        <f>ROUNDDOWN(Table215[[#This Row],[R-DEMAND]]/1320,0)</f>
        <v>#N/A</v>
      </c>
      <c r="P336" s="41" t="e">
        <f>Table215[[#This Row],[ADD ACC]]*Table215[[#This Row],[RT TIME (744)]]</f>
        <v>#N/A</v>
      </c>
    </row>
    <row r="337" spans="1:16" ht="15" customHeight="1" x14ac:dyDescent="0.25">
      <c r="A337" s="38" t="s">
        <v>13602</v>
      </c>
      <c r="B337" s="39" t="s">
        <v>4990</v>
      </c>
      <c r="C337" s="39"/>
      <c r="D337" s="39">
        <v>3</v>
      </c>
      <c r="E337" s="1" t="s">
        <v>4988</v>
      </c>
      <c r="F337" s="1" t="str">
        <f>VLOOKUP(E:E,Table10[[COUNTRY NAME]:[CONTINENT CODE]],3,FALSE)</f>
        <v>NA</v>
      </c>
      <c r="G337" s="160" t="s">
        <v>13206</v>
      </c>
      <c r="H337" s="40">
        <v>4709</v>
      </c>
      <c r="I337" s="41">
        <v>12.5</v>
      </c>
      <c r="J337" s="157"/>
      <c r="K337" s="42">
        <f>IFERROR(Table215[[#This Row],[ROUTE $]]/Table215[[#This Row],[E - DEMAND]],0)</f>
        <v>0</v>
      </c>
      <c r="L337" s="43"/>
      <c r="M337" s="39" t="e">
        <f>VLOOKUP(Table215[[#This Row],[ROUTE]],DEMAND!A:F,5,FALSE)</f>
        <v>#N/A</v>
      </c>
      <c r="N337" s="39" t="e">
        <f>VLOOKUP(Table215[[#This Row],[ROUTE]],DEMAND!A:F,6,FALSE)</f>
        <v>#N/A</v>
      </c>
      <c r="O337" s="39" t="e">
        <f>ROUNDDOWN(Table215[[#This Row],[R-DEMAND]]/1320,0)</f>
        <v>#N/A</v>
      </c>
      <c r="P337" s="41" t="e">
        <f>Table215[[#This Row],[ADD ACC]]*Table215[[#This Row],[RT TIME (744)]]</f>
        <v>#N/A</v>
      </c>
    </row>
    <row r="338" spans="1:16" ht="15" customHeight="1" x14ac:dyDescent="0.25">
      <c r="A338" s="38" t="s">
        <v>13495</v>
      </c>
      <c r="B338" s="39" t="s">
        <v>4649</v>
      </c>
      <c r="C338" s="39"/>
      <c r="D338" s="39">
        <v>2</v>
      </c>
      <c r="E338" s="1" t="s">
        <v>860</v>
      </c>
      <c r="F338" s="1" t="str">
        <f>VLOOKUP(E:E,Table10[[COUNTRY NAME]:[CONTINENT CODE]],3,FALSE)</f>
        <v>SA</v>
      </c>
      <c r="G338" s="156" t="s">
        <v>13181</v>
      </c>
      <c r="H338" s="8">
        <v>4905</v>
      </c>
      <c r="I338" s="41">
        <v>13</v>
      </c>
      <c r="J338" s="157"/>
      <c r="K338" s="6">
        <f>IFERROR(Table215[[#This Row],[ROUTE $]]/Table215[[#This Row],[E - DEMAND]],0)</f>
        <v>0</v>
      </c>
      <c r="L338" s="5"/>
      <c r="M338" s="39" t="e">
        <f>VLOOKUP(Table215[[#This Row],[ROUTE]],DEMAND!A:F,5,FALSE)</f>
        <v>#N/A</v>
      </c>
      <c r="N338" s="39" t="e">
        <f>VLOOKUP(Table215[[#This Row],[ROUTE]],DEMAND!A:F,6,FALSE)</f>
        <v>#N/A</v>
      </c>
      <c r="O338" s="39" t="e">
        <f>ROUNDDOWN(Table215[[#This Row],[R-DEMAND]]/1320,0)</f>
        <v>#N/A</v>
      </c>
      <c r="P338" s="41" t="e">
        <f>Table215[[#This Row],[ADD ACC]]*Table215[[#This Row],[RT TIME (744)]]</f>
        <v>#N/A</v>
      </c>
    </row>
    <row r="339" spans="1:16" ht="15" customHeight="1" x14ac:dyDescent="0.25">
      <c r="A339" s="38" t="s">
        <v>13803</v>
      </c>
      <c r="B339" s="39" t="s">
        <v>3148</v>
      </c>
      <c r="C339" s="39"/>
      <c r="D339" s="39">
        <v>2</v>
      </c>
      <c r="E339" s="38" t="s">
        <v>3146</v>
      </c>
      <c r="F339" s="38" t="str">
        <f>VLOOKUP(E:E,Table10[[COUNTRY NAME]:[CONTINENT CODE]],3,FALSE)</f>
        <v>AF</v>
      </c>
      <c r="G339" s="155" t="s">
        <v>11668</v>
      </c>
      <c r="H339" s="40">
        <v>5078</v>
      </c>
      <c r="I339" s="41">
        <v>13.25</v>
      </c>
      <c r="J339" s="157"/>
      <c r="K339" s="42">
        <f>IFERROR(Table215[[#This Row],[ROUTE $]]/Table215[[#This Row],[E - DEMAND]],0)</f>
        <v>0</v>
      </c>
      <c r="L339" s="43"/>
      <c r="M339" s="39" t="e">
        <f>VLOOKUP(Table215[[#This Row],[ROUTE]],DEMAND!A:F,5,FALSE)</f>
        <v>#N/A</v>
      </c>
      <c r="N339" s="39" t="e">
        <f>VLOOKUP(Table215[[#This Row],[ROUTE]],DEMAND!A:F,6,FALSE)</f>
        <v>#N/A</v>
      </c>
      <c r="O339" s="39" t="e">
        <f>ROUNDDOWN(Table215[[#This Row],[R-DEMAND]]/1320,0)</f>
        <v>#N/A</v>
      </c>
      <c r="P339" s="41" t="e">
        <f>Table215[[#This Row],[ADD ACC]]*Table215[[#This Row],[RT TIME (744)]]</f>
        <v>#N/A</v>
      </c>
    </row>
    <row r="340" spans="1:16" ht="15" customHeight="1" x14ac:dyDescent="0.25">
      <c r="A340" s="38" t="s">
        <v>13724</v>
      </c>
      <c r="B340" s="39" t="s">
        <v>5323</v>
      </c>
      <c r="C340" s="39"/>
      <c r="D340" s="39">
        <v>3</v>
      </c>
      <c r="E340" s="38" t="s">
        <v>2329</v>
      </c>
      <c r="F340" s="38" t="str">
        <f>VLOOKUP(E:E,Table10[[COUNTRY NAME]:[CONTINENT CODE]],3,FALSE)</f>
        <v>NA</v>
      </c>
      <c r="G340" s="155" t="s">
        <v>13232</v>
      </c>
      <c r="H340" s="40">
        <v>5087</v>
      </c>
      <c r="I340" s="41">
        <v>13.5</v>
      </c>
      <c r="J340" s="157"/>
      <c r="K340" s="42">
        <f>IFERROR(Table215[[#This Row],[ROUTE $]]/Table215[[#This Row],[E - DEMAND]],0)</f>
        <v>0</v>
      </c>
      <c r="L340" s="43"/>
      <c r="M340" s="39" t="e">
        <f>VLOOKUP(Table215[[#This Row],[ROUTE]],DEMAND!A:F,5,FALSE)</f>
        <v>#N/A</v>
      </c>
      <c r="N340" s="39" t="e">
        <f>VLOOKUP(Table215[[#This Row],[ROUTE]],DEMAND!A:F,6,FALSE)</f>
        <v>#N/A</v>
      </c>
      <c r="O340" s="39" t="e">
        <f>ROUNDDOWN(Table215[[#This Row],[R-DEMAND]]/1320,0)</f>
        <v>#N/A</v>
      </c>
      <c r="P340" s="41" t="e">
        <f>Table215[[#This Row],[ADD ACC]]*Table215[[#This Row],[RT TIME (744)]]</f>
        <v>#N/A</v>
      </c>
    </row>
    <row r="341" spans="1:16" ht="15" customHeight="1" x14ac:dyDescent="0.25">
      <c r="A341" s="38" t="s">
        <v>13604</v>
      </c>
      <c r="B341" s="39" t="s">
        <v>3537</v>
      </c>
      <c r="C341" s="39"/>
      <c r="D341" s="39">
        <v>2</v>
      </c>
      <c r="E341" s="1" t="s">
        <v>3535</v>
      </c>
      <c r="F341" s="1" t="str">
        <f>VLOOKUP(E:E,Table10[[COUNTRY NAME]:[CONTINENT CODE]],3,FALSE)</f>
        <v>AF</v>
      </c>
      <c r="G341" s="156" t="s">
        <v>11666</v>
      </c>
      <c r="H341" s="8">
        <v>5123</v>
      </c>
      <c r="I341" s="41">
        <v>13.5</v>
      </c>
      <c r="J341" s="157"/>
      <c r="K341" s="6">
        <f>IFERROR(Table215[[#This Row],[ROUTE $]]/Table215[[#This Row],[E - DEMAND]],0)</f>
        <v>0</v>
      </c>
      <c r="L341" s="4"/>
      <c r="M341" s="39" t="e">
        <f>VLOOKUP(Table215[[#This Row],[ROUTE]],DEMAND!A:F,5,FALSE)</f>
        <v>#N/A</v>
      </c>
      <c r="N341" s="39" t="e">
        <f>VLOOKUP(Table215[[#This Row],[ROUTE]],DEMAND!A:F,6,FALSE)</f>
        <v>#N/A</v>
      </c>
      <c r="O341" s="39" t="e">
        <f>ROUNDDOWN(Table215[[#This Row],[R-DEMAND]]/1320,0)</f>
        <v>#N/A</v>
      </c>
      <c r="P341" s="41" t="e">
        <f>Table215[[#This Row],[ADD ACC]]*Table215[[#This Row],[RT TIME (744)]]</f>
        <v>#N/A</v>
      </c>
    </row>
    <row r="342" spans="1:16" ht="15" customHeight="1" x14ac:dyDescent="0.25">
      <c r="A342" s="38" t="s">
        <v>13605</v>
      </c>
      <c r="B342" s="39" t="s">
        <v>2024</v>
      </c>
      <c r="C342" s="39"/>
      <c r="D342" s="39">
        <v>1</v>
      </c>
      <c r="E342" s="1" t="s">
        <v>2022</v>
      </c>
      <c r="F342" s="1" t="str">
        <f>VLOOKUP(E:E,Table10[[COUNTRY NAME]:[CONTINENT CODE]],3,FALSE)</f>
        <v>AF</v>
      </c>
      <c r="G342" s="156" t="s">
        <v>13208</v>
      </c>
      <c r="H342" s="8">
        <v>5165</v>
      </c>
      <c r="I342" s="41">
        <v>13.5</v>
      </c>
      <c r="J342" s="157"/>
      <c r="K342" s="6">
        <f>IFERROR(Table215[[#This Row],[ROUTE $]]/Table215[[#This Row],[E - DEMAND]],0)</f>
        <v>0</v>
      </c>
      <c r="L342" s="5"/>
      <c r="M342" s="39" t="e">
        <f>VLOOKUP(Table215[[#This Row],[ROUTE]],DEMAND!A:F,5,FALSE)</f>
        <v>#N/A</v>
      </c>
      <c r="N342" s="39" t="e">
        <f>VLOOKUP(Table215[[#This Row],[ROUTE]],DEMAND!A:F,6,FALSE)</f>
        <v>#N/A</v>
      </c>
      <c r="O342" s="39" t="e">
        <f>ROUNDDOWN(Table215[[#This Row],[R-DEMAND]]/1320,0)</f>
        <v>#N/A</v>
      </c>
      <c r="P342" s="41" t="e">
        <f>Table215[[#This Row],[ADD ACC]]*Table215[[#This Row],[RT TIME (744)]]</f>
        <v>#N/A</v>
      </c>
    </row>
    <row r="343" spans="1:16" ht="15" customHeight="1" x14ac:dyDescent="0.25">
      <c r="A343" s="38" t="s">
        <v>13658</v>
      </c>
      <c r="B343" s="39" t="s">
        <v>3152</v>
      </c>
      <c r="C343" s="39"/>
      <c r="D343" s="39">
        <v>2</v>
      </c>
      <c r="E343" s="38" t="s">
        <v>2454</v>
      </c>
      <c r="F343" s="38" t="str">
        <f>VLOOKUP(E:E,Table10[[COUNTRY NAME]:[CONTINENT CODE]],3,FALSE)</f>
        <v>AF</v>
      </c>
      <c r="G343" s="155" t="s">
        <v>11672</v>
      </c>
      <c r="H343" s="40">
        <v>5124</v>
      </c>
      <c r="I343" s="41">
        <v>13.5</v>
      </c>
      <c r="J343" s="157"/>
      <c r="K343" s="42">
        <f>IFERROR(Table215[[#This Row],[ROUTE $]]/Table215[[#This Row],[E - DEMAND]],0)</f>
        <v>0</v>
      </c>
      <c r="L343" s="43"/>
      <c r="M343" s="39" t="e">
        <f>VLOOKUP(Table215[[#This Row],[ROUTE]],DEMAND!A:F,5,FALSE)</f>
        <v>#N/A</v>
      </c>
      <c r="N343" s="39" t="e">
        <f>VLOOKUP(Table215[[#This Row],[ROUTE]],DEMAND!A:F,6,FALSE)</f>
        <v>#N/A</v>
      </c>
      <c r="O343" s="39" t="e">
        <f>ROUNDDOWN(Table215[[#This Row],[R-DEMAND]]/1320,0)</f>
        <v>#N/A</v>
      </c>
      <c r="P343" s="41" t="e">
        <f>Table215[[#This Row],[ADD ACC]]*Table215[[#This Row],[RT TIME (744)]]</f>
        <v>#N/A</v>
      </c>
    </row>
    <row r="344" spans="1:16" ht="15" customHeight="1" x14ac:dyDescent="0.25">
      <c r="A344" s="38" t="s">
        <v>13747</v>
      </c>
      <c r="B344" s="39" t="s">
        <v>3992</v>
      </c>
      <c r="C344" s="39"/>
      <c r="D344" s="39">
        <v>2</v>
      </c>
      <c r="E344" s="38" t="s">
        <v>1946</v>
      </c>
      <c r="F344" s="38" t="str">
        <f>VLOOKUP(E:E,Table10[[COUNTRY NAME]:[CONTINENT CODE]],3,FALSE)</f>
        <v>NA</v>
      </c>
      <c r="G344" s="155" t="s">
        <v>13248</v>
      </c>
      <c r="H344" s="40">
        <v>5175</v>
      </c>
      <c r="I344" s="41">
        <v>13.5</v>
      </c>
      <c r="J344" s="157"/>
      <c r="K344" s="42">
        <f>IFERROR(Table215[[#This Row],[ROUTE $]]/Table215[[#This Row],[E - DEMAND]],0)</f>
        <v>0</v>
      </c>
      <c r="L344" s="43"/>
      <c r="M344" s="39" t="e">
        <f>VLOOKUP(Table215[[#This Row],[ROUTE]],DEMAND!A:F,5,FALSE)</f>
        <v>#N/A</v>
      </c>
      <c r="N344" s="39" t="e">
        <f>VLOOKUP(Table215[[#This Row],[ROUTE]],DEMAND!A:F,6,FALSE)</f>
        <v>#N/A</v>
      </c>
      <c r="O344" s="39" t="e">
        <f>ROUNDDOWN(Table215[[#This Row],[R-DEMAND]]/1320,0)</f>
        <v>#N/A</v>
      </c>
      <c r="P344" s="41" t="e">
        <f>Table215[[#This Row],[ADD ACC]]*Table215[[#This Row],[RT TIME (744)]]</f>
        <v>#N/A</v>
      </c>
    </row>
    <row r="345" spans="1:16" ht="15" customHeight="1" x14ac:dyDescent="0.25">
      <c r="A345" s="38" t="s">
        <v>13574</v>
      </c>
      <c r="B345" s="39" t="s">
        <v>3726</v>
      </c>
      <c r="C345" s="39"/>
      <c r="D345" s="39">
        <v>2</v>
      </c>
      <c r="E345" s="1" t="s">
        <v>3724</v>
      </c>
      <c r="F345" s="1" t="str">
        <f>VLOOKUP(E:E,Table10[[COUNTRY NAME]:[CONTINENT CODE]],3,FALSE)</f>
        <v>AF</v>
      </c>
      <c r="G345" s="156" t="s">
        <v>13205</v>
      </c>
      <c r="H345" s="8">
        <v>5219</v>
      </c>
      <c r="I345" s="41">
        <v>13.75</v>
      </c>
      <c r="J345" s="157"/>
      <c r="K345" s="6">
        <f>IFERROR(Table215[[#This Row],[ROUTE $]]/Table215[[#This Row],[E - DEMAND]],0)</f>
        <v>0</v>
      </c>
      <c r="L345" s="4"/>
      <c r="M345" s="39" t="e">
        <f>VLOOKUP(Table215[[#This Row],[ROUTE]],DEMAND!A:F,5,FALSE)</f>
        <v>#N/A</v>
      </c>
      <c r="N345" s="39" t="e">
        <f>VLOOKUP(Table215[[#This Row],[ROUTE]],DEMAND!A:F,6,FALSE)</f>
        <v>#N/A</v>
      </c>
      <c r="O345" s="39" t="e">
        <f>ROUNDDOWN(Table215[[#This Row],[R-DEMAND]]/1320,0)</f>
        <v>#N/A</v>
      </c>
      <c r="P345" s="41" t="e">
        <f>Table215[[#This Row],[ADD ACC]]*Table215[[#This Row],[RT TIME (744)]]</f>
        <v>#N/A</v>
      </c>
    </row>
    <row r="346" spans="1:16" ht="15" customHeight="1" x14ac:dyDescent="0.25">
      <c r="A346" s="38" t="s">
        <v>13646</v>
      </c>
      <c r="B346" s="39" t="s">
        <v>501</v>
      </c>
      <c r="C346" s="39"/>
      <c r="D346" s="39">
        <v>1</v>
      </c>
      <c r="E346" s="38" t="s">
        <v>499</v>
      </c>
      <c r="F346" s="38" t="str">
        <f>VLOOKUP(E:E,Table10[[COUNTRY NAME]:[CONTINENT CODE]],3,FALSE)</f>
        <v>AF</v>
      </c>
      <c r="G346" s="155" t="s">
        <v>11679</v>
      </c>
      <c r="H346" s="40">
        <v>5595</v>
      </c>
      <c r="I346" s="41">
        <v>14.5</v>
      </c>
      <c r="J346" s="157"/>
      <c r="K346" s="42">
        <f>IFERROR(Table215[[#This Row],[ROUTE $]]/Table215[[#This Row],[E - DEMAND]],0)</f>
        <v>0</v>
      </c>
      <c r="L346" s="43"/>
      <c r="M346" s="39" t="e">
        <f>VLOOKUP(Table215[[#This Row],[ROUTE]],DEMAND!A:F,5,FALSE)</f>
        <v>#N/A</v>
      </c>
      <c r="N346" s="39" t="e">
        <f>VLOOKUP(Table215[[#This Row],[ROUTE]],DEMAND!A:F,6,FALSE)</f>
        <v>#N/A</v>
      </c>
      <c r="O346" s="39" t="e">
        <f>ROUNDDOWN(Table215[[#This Row],[R-DEMAND]]/1320,0)</f>
        <v>#N/A</v>
      </c>
      <c r="P346" s="41" t="e">
        <f>Table215[[#This Row],[ADD ACC]]*Table215[[#This Row],[RT TIME (744)]]</f>
        <v>#N/A</v>
      </c>
    </row>
    <row r="347" spans="1:16" ht="15" customHeight="1" x14ac:dyDescent="0.25">
      <c r="A347" s="38" t="s">
        <v>13512</v>
      </c>
      <c r="B347" s="39" t="s">
        <v>3452</v>
      </c>
      <c r="C347" s="39"/>
      <c r="D347" s="39">
        <v>2</v>
      </c>
      <c r="E347" s="1" t="s">
        <v>683</v>
      </c>
      <c r="F347" s="1" t="str">
        <f>VLOOKUP(E:E,Table10[[COUNTRY NAME]:[CONTINENT CODE]],3,FALSE)</f>
        <v>NA</v>
      </c>
      <c r="G347" s="156" t="s">
        <v>13193</v>
      </c>
      <c r="H347" s="8">
        <v>5783</v>
      </c>
      <c r="I347" s="41">
        <v>15</v>
      </c>
      <c r="J347" s="157"/>
      <c r="K347" s="6">
        <f>IFERROR(Table215[[#This Row],[ROUTE $]]/Table215[[#This Row],[E - DEMAND]],0)</f>
        <v>0</v>
      </c>
      <c r="L347" s="5"/>
      <c r="M347" s="39" t="e">
        <f>VLOOKUP(Table215[[#This Row],[ROUTE]],DEMAND!A:F,5,FALSE)</f>
        <v>#N/A</v>
      </c>
      <c r="N347" s="39" t="e">
        <f>VLOOKUP(Table215[[#This Row],[ROUTE]],DEMAND!A:F,6,FALSE)</f>
        <v>#N/A</v>
      </c>
      <c r="O347" s="39" t="e">
        <f>ROUNDDOWN(Table215[[#This Row],[R-DEMAND]]/1320,0)</f>
        <v>#N/A</v>
      </c>
      <c r="P347" s="41" t="e">
        <f>Table215[[#This Row],[ADD ACC]]*Table215[[#This Row],[RT TIME (744)]]</f>
        <v>#N/A</v>
      </c>
    </row>
    <row r="348" spans="1:16" ht="15" customHeight="1" x14ac:dyDescent="0.25">
      <c r="A348" s="38" t="s">
        <v>13590</v>
      </c>
      <c r="B348" s="39" t="s">
        <v>4631</v>
      </c>
      <c r="C348" s="39"/>
      <c r="D348" s="39">
        <v>2</v>
      </c>
      <c r="E348" s="1" t="s">
        <v>1441</v>
      </c>
      <c r="F348" s="1" t="str">
        <f>VLOOKUP(E:E,Table10[[COUNTRY NAME]:[CONTINENT CODE]],3,FALSE)</f>
        <v>AF</v>
      </c>
      <c r="G348" s="156" t="s">
        <v>11704</v>
      </c>
      <c r="H348" s="8">
        <v>5972</v>
      </c>
      <c r="I348" s="41">
        <v>15.25</v>
      </c>
      <c r="J348" s="157"/>
      <c r="K348" s="6">
        <f>IFERROR(Table215[[#This Row],[ROUTE $]]/Table215[[#This Row],[E - DEMAND]],0)</f>
        <v>0</v>
      </c>
      <c r="L348" s="4"/>
      <c r="M348" s="39" t="e">
        <f>VLOOKUP(Table215[[#This Row],[ROUTE]],DEMAND!A:F,5,FALSE)</f>
        <v>#N/A</v>
      </c>
      <c r="N348" s="39" t="e">
        <f>VLOOKUP(Table215[[#This Row],[ROUTE]],DEMAND!A:F,6,FALSE)</f>
        <v>#N/A</v>
      </c>
      <c r="O348" s="39" t="e">
        <f>ROUNDDOWN(Table215[[#This Row],[R-DEMAND]]/1320,0)</f>
        <v>#N/A</v>
      </c>
      <c r="P348" s="41" t="e">
        <f>Table215[[#This Row],[ADD ACC]]*Table215[[#This Row],[RT TIME (744)]]</f>
        <v>#N/A</v>
      </c>
    </row>
    <row r="349" spans="1:16" ht="15" customHeight="1" x14ac:dyDescent="0.25">
      <c r="A349" s="38" t="s">
        <v>13464</v>
      </c>
      <c r="B349" s="39" t="s">
        <v>763</v>
      </c>
      <c r="C349" s="39"/>
      <c r="D349" s="39">
        <v>1</v>
      </c>
      <c r="E349" s="1" t="s">
        <v>761</v>
      </c>
      <c r="F349" s="1" t="str">
        <f>VLOOKUP(E:E,Table10[[COUNTRY NAME]:[CONTINENT CODE]],3,FALSE)</f>
        <v>AF</v>
      </c>
      <c r="G349" s="156" t="s">
        <v>11684</v>
      </c>
      <c r="H349" s="8">
        <v>5984</v>
      </c>
      <c r="I349" s="41">
        <v>15.5</v>
      </c>
      <c r="J349" s="157"/>
      <c r="K349" s="6">
        <f>IFERROR(Table215[[#This Row],[ROUTE $]]/Table215[[#This Row],[E - DEMAND]],0)</f>
        <v>0</v>
      </c>
      <c r="L349" s="5"/>
      <c r="M349" s="39" t="e">
        <f>VLOOKUP(Table215[[#This Row],[ROUTE]],DEMAND!A:F,5,FALSE)</f>
        <v>#N/A</v>
      </c>
      <c r="N349" s="39" t="e">
        <f>VLOOKUP(Table215[[#This Row],[ROUTE]],DEMAND!A:F,6,FALSE)</f>
        <v>#N/A</v>
      </c>
      <c r="O349" s="39" t="e">
        <f>ROUNDDOWN(Table215[[#This Row],[R-DEMAND]]/1320,0)</f>
        <v>#N/A</v>
      </c>
      <c r="P349" s="41" t="e">
        <f>Table215[[#This Row],[ADD ACC]]*Table215[[#This Row],[RT TIME (744)]]</f>
        <v>#N/A</v>
      </c>
    </row>
    <row r="350" spans="1:16" ht="15" customHeight="1" x14ac:dyDescent="0.25">
      <c r="A350" s="38" t="s">
        <v>13510</v>
      </c>
      <c r="B350" s="39" t="s">
        <v>2520</v>
      </c>
      <c r="C350" s="39"/>
      <c r="D350" s="39">
        <v>2</v>
      </c>
      <c r="E350" s="1" t="s">
        <v>683</v>
      </c>
      <c r="F350" s="1" t="str">
        <f>VLOOKUP(E:E,Table10[[COUNTRY NAME]:[CONTINENT CODE]],3,FALSE)</f>
        <v>NA</v>
      </c>
      <c r="G350" s="156" t="s">
        <v>13191</v>
      </c>
      <c r="H350" s="8">
        <v>6036</v>
      </c>
      <c r="I350" s="41">
        <v>15.5</v>
      </c>
      <c r="J350" s="157"/>
      <c r="K350" s="6">
        <f>IFERROR(Table215[[#This Row],[ROUTE $]]/Table215[[#This Row],[E - DEMAND]],0)</f>
        <v>0</v>
      </c>
      <c r="L350" s="5"/>
      <c r="M350" s="39" t="e">
        <f>VLOOKUP(Table215[[#This Row],[ROUTE]],DEMAND!A:F,5,FALSE)</f>
        <v>#N/A</v>
      </c>
      <c r="N350" s="39" t="e">
        <f>VLOOKUP(Table215[[#This Row],[ROUTE]],DEMAND!A:F,6,FALSE)</f>
        <v>#N/A</v>
      </c>
      <c r="O350" s="39" t="e">
        <f>ROUNDDOWN(Table215[[#This Row],[R-DEMAND]]/1320,0)</f>
        <v>#N/A</v>
      </c>
      <c r="P350" s="41" t="e">
        <f>Table215[[#This Row],[ADD ACC]]*Table215[[#This Row],[RT TIME (744)]]</f>
        <v>#N/A</v>
      </c>
    </row>
    <row r="351" spans="1:16" ht="15" customHeight="1" x14ac:dyDescent="0.25">
      <c r="A351" s="38" t="s">
        <v>13544</v>
      </c>
      <c r="B351" s="39" t="s">
        <v>4922</v>
      </c>
      <c r="C351" s="39"/>
      <c r="D351" s="39">
        <v>3</v>
      </c>
      <c r="E351" s="1" t="s">
        <v>4920</v>
      </c>
      <c r="F351" s="1" t="str">
        <f>VLOOKUP(E:E,Table10[[COUNTRY NAME]:[CONTINENT CODE]],3,FALSE)</f>
        <v>NA</v>
      </c>
      <c r="G351" s="159" t="s">
        <v>13203</v>
      </c>
      <c r="H351" s="8">
        <v>6187</v>
      </c>
      <c r="I351" s="41">
        <v>15.75</v>
      </c>
      <c r="J351" s="157"/>
      <c r="K351" s="6">
        <f>IFERROR(Table215[[#This Row],[ROUTE $]]/Table215[[#This Row],[E - DEMAND]],0)</f>
        <v>0</v>
      </c>
      <c r="L351" s="4"/>
      <c r="M351" s="39" t="e">
        <f>VLOOKUP(Table215[[#This Row],[ROUTE]],DEMAND!A:F,5,FALSE)</f>
        <v>#N/A</v>
      </c>
      <c r="N351" s="39" t="e">
        <f>VLOOKUP(Table215[[#This Row],[ROUTE]],DEMAND!A:F,6,FALSE)</f>
        <v>#N/A</v>
      </c>
      <c r="O351" s="39" t="e">
        <f>ROUNDDOWN(Table215[[#This Row],[R-DEMAND]]/1320,0)</f>
        <v>#N/A</v>
      </c>
      <c r="P351" s="41" t="e">
        <f>Table215[[#This Row],[ADD ACC]]*Table215[[#This Row],[RT TIME (744)]]</f>
        <v>#N/A</v>
      </c>
    </row>
    <row r="352" spans="1:16" ht="15" customHeight="1" x14ac:dyDescent="0.25">
      <c r="A352" s="38" t="s">
        <v>13509</v>
      </c>
      <c r="B352" s="39" t="s">
        <v>2710</v>
      </c>
      <c r="C352" s="39"/>
      <c r="D352" s="39">
        <v>2</v>
      </c>
      <c r="E352" s="1" t="s">
        <v>683</v>
      </c>
      <c r="F352" s="1" t="str">
        <f>VLOOKUP(E:E,Table10[[COUNTRY NAME]:[CONTINENT CODE]],3,FALSE)</f>
        <v>NA</v>
      </c>
      <c r="G352" s="156" t="s">
        <v>13190</v>
      </c>
      <c r="H352" s="8">
        <v>6174</v>
      </c>
      <c r="I352" s="41">
        <v>15.75</v>
      </c>
      <c r="J352" s="157"/>
      <c r="K352" s="6">
        <f>IFERROR(Table215[[#This Row],[ROUTE $]]/Table215[[#This Row],[E - DEMAND]],0)</f>
        <v>0</v>
      </c>
      <c r="L352" s="4"/>
      <c r="M352" s="39" t="e">
        <f>VLOOKUP(Table215[[#This Row],[ROUTE]],DEMAND!A:F,5,FALSE)</f>
        <v>#N/A</v>
      </c>
      <c r="N352" s="39" t="e">
        <f>VLOOKUP(Table215[[#This Row],[ROUTE]],DEMAND!A:F,6,FALSE)</f>
        <v>#N/A</v>
      </c>
      <c r="O352" s="39" t="e">
        <f>ROUNDDOWN(Table215[[#This Row],[R-DEMAND]]/1320,0)</f>
        <v>#N/A</v>
      </c>
      <c r="P352" s="41" t="e">
        <f>Table215[[#This Row],[ADD ACC]]*Table215[[#This Row],[RT TIME (744)]]</f>
        <v>#N/A</v>
      </c>
    </row>
    <row r="353" spans="1:16" ht="15" customHeight="1" x14ac:dyDescent="0.25">
      <c r="A353" s="38" t="s">
        <v>13608</v>
      </c>
      <c r="B353" s="39" t="s">
        <v>3461</v>
      </c>
      <c r="C353" s="39"/>
      <c r="D353" s="39">
        <v>2</v>
      </c>
      <c r="E353" s="1" t="s">
        <v>3350</v>
      </c>
      <c r="F353" s="1" t="str">
        <f>VLOOKUP(E:E,Table10[[COUNTRY NAME]:[CONTINENT CODE]],3,FALSE)</f>
        <v>NA</v>
      </c>
      <c r="G353" s="162" t="s">
        <v>13211</v>
      </c>
      <c r="H353" s="8">
        <v>6185</v>
      </c>
      <c r="I353" s="41">
        <v>15.75</v>
      </c>
      <c r="J353" s="157"/>
      <c r="K353" s="6">
        <f>IFERROR(Table215[[#This Row],[ROUTE $]]/Table215[[#This Row],[E - DEMAND]],0)</f>
        <v>0</v>
      </c>
      <c r="L353" s="5"/>
      <c r="M353" s="39" t="e">
        <f>VLOOKUP(Table215[[#This Row],[ROUTE]],DEMAND!A:F,5,FALSE)</f>
        <v>#N/A</v>
      </c>
      <c r="N353" s="39" t="e">
        <f>VLOOKUP(Table215[[#This Row],[ROUTE]],DEMAND!A:F,6,FALSE)</f>
        <v>#N/A</v>
      </c>
      <c r="O353" s="39" t="e">
        <f>ROUNDDOWN(Table215[[#This Row],[R-DEMAND]]/1320,0)</f>
        <v>#N/A</v>
      </c>
      <c r="P353" s="41" t="e">
        <f>Table215[[#This Row],[ADD ACC]]*Table215[[#This Row],[RT TIME (744)]]</f>
        <v>#N/A</v>
      </c>
    </row>
    <row r="354" spans="1:16" ht="15" customHeight="1" x14ac:dyDescent="0.25">
      <c r="A354" s="38" t="s">
        <v>13698</v>
      </c>
      <c r="B354" s="39" t="s">
        <v>1393</v>
      </c>
      <c r="C354" s="39"/>
      <c r="D354" s="39">
        <v>1</v>
      </c>
      <c r="E354" s="38" t="s">
        <v>608</v>
      </c>
      <c r="F354" s="38" t="str">
        <f>VLOOKUP(E:E,Table10[[COUNTRY NAME]:[CONTINENT CODE]],3,FALSE)</f>
        <v>AF</v>
      </c>
      <c r="G354" s="155" t="s">
        <v>6718</v>
      </c>
      <c r="H354" s="40">
        <v>6194</v>
      </c>
      <c r="I354" s="41">
        <v>15.75</v>
      </c>
      <c r="J354" s="157"/>
      <c r="K354" s="42">
        <f>IFERROR(Table215[[#This Row],[ROUTE $]]/Table215[[#This Row],[E - DEMAND]],0)</f>
        <v>0</v>
      </c>
      <c r="L354" s="43"/>
      <c r="M354" s="39" t="e">
        <f>VLOOKUP(Table215[[#This Row],[ROUTE]],DEMAND!A:F,5,FALSE)</f>
        <v>#N/A</v>
      </c>
      <c r="N354" s="39" t="e">
        <f>VLOOKUP(Table215[[#This Row],[ROUTE]],DEMAND!A:F,6,FALSE)</f>
        <v>#N/A</v>
      </c>
      <c r="O354" s="39" t="e">
        <f>ROUNDDOWN(Table215[[#This Row],[R-DEMAND]]/1320,0)</f>
        <v>#N/A</v>
      </c>
      <c r="P354" s="41" t="e">
        <f>Table215[[#This Row],[ADD ACC]]*Table215[[#This Row],[RT TIME (744)]]</f>
        <v>#N/A</v>
      </c>
    </row>
    <row r="355" spans="1:16" ht="15" customHeight="1" x14ac:dyDescent="0.25">
      <c r="A355" s="38" t="s">
        <v>13856</v>
      </c>
      <c r="B355" s="39" t="s">
        <v>3678</v>
      </c>
      <c r="C355" s="39"/>
      <c r="D355" s="39">
        <v>2</v>
      </c>
      <c r="E355" s="38" t="s">
        <v>490</v>
      </c>
      <c r="F355" s="38" t="str">
        <f>VLOOKUP(E:E,Table10[[COUNTRY NAME]:[CONTINENT CODE]],3,FALSE)</f>
        <v>AF</v>
      </c>
      <c r="G355" s="155" t="s">
        <v>11711</v>
      </c>
      <c r="H355" s="40">
        <v>6137</v>
      </c>
      <c r="I355" s="41">
        <v>15.75</v>
      </c>
      <c r="J355" s="157"/>
      <c r="K355" s="42">
        <f>IFERROR(Table215[[#This Row],[ROUTE $]]/Table215[[#This Row],[E - DEMAND]],0)</f>
        <v>0</v>
      </c>
      <c r="L355" s="43"/>
      <c r="M355" s="39" t="e">
        <f>VLOOKUP(Table215[[#This Row],[ROUTE]],DEMAND!A:F,5,FALSE)</f>
        <v>#N/A</v>
      </c>
      <c r="N355" s="39" t="e">
        <f>VLOOKUP(Table215[[#This Row],[ROUTE]],DEMAND!A:F,6,FALSE)</f>
        <v>#N/A</v>
      </c>
      <c r="O355" s="39" t="e">
        <f>ROUNDDOWN(Table215[[#This Row],[R-DEMAND]]/1320,0)</f>
        <v>#N/A</v>
      </c>
      <c r="P355" s="41" t="e">
        <f>Table215[[#This Row],[ADD ACC]]*Table215[[#This Row],[RT TIME (744)]]</f>
        <v>#N/A</v>
      </c>
    </row>
    <row r="356" spans="1:16" ht="15" customHeight="1" x14ac:dyDescent="0.25">
      <c r="A356" s="38" t="s">
        <v>13507</v>
      </c>
      <c r="B356" s="39" t="s">
        <v>2844</v>
      </c>
      <c r="C356" s="39"/>
      <c r="D356" s="39">
        <v>2</v>
      </c>
      <c r="E356" s="1" t="s">
        <v>683</v>
      </c>
      <c r="F356" s="1" t="str">
        <f>VLOOKUP(E:E,Table10[[COUNTRY NAME]:[CONTINENT CODE]],3,FALSE)</f>
        <v>NA</v>
      </c>
      <c r="G356" s="156" t="s">
        <v>13188</v>
      </c>
      <c r="H356" s="8">
        <v>6287</v>
      </c>
      <c r="I356" s="41">
        <v>16</v>
      </c>
      <c r="J356" s="157"/>
      <c r="K356" s="6">
        <f>IFERROR(Table215[[#This Row],[ROUTE $]]/Table215[[#This Row],[E - DEMAND]],0)</f>
        <v>0</v>
      </c>
      <c r="L356" s="5"/>
      <c r="M356" s="39" t="e">
        <f>VLOOKUP(Table215[[#This Row],[ROUTE]],DEMAND!A:F,5,FALSE)</f>
        <v>#N/A</v>
      </c>
      <c r="N356" s="39" t="e">
        <f>VLOOKUP(Table215[[#This Row],[ROUTE]],DEMAND!A:F,6,FALSE)</f>
        <v>#N/A</v>
      </c>
      <c r="O356" s="39" t="e">
        <f>ROUNDDOWN(Table215[[#This Row],[R-DEMAND]]/1320,0)</f>
        <v>#N/A</v>
      </c>
      <c r="P356" s="41" t="e">
        <f>Table215[[#This Row],[ADD ACC]]*Table215[[#This Row],[RT TIME (744)]]</f>
        <v>#N/A</v>
      </c>
    </row>
    <row r="357" spans="1:16" ht="15" customHeight="1" x14ac:dyDescent="0.25">
      <c r="A357" s="38" t="s">
        <v>13508</v>
      </c>
      <c r="B357" s="39" t="s">
        <v>2484</v>
      </c>
      <c r="C357" s="39"/>
      <c r="D357" s="39">
        <v>1</v>
      </c>
      <c r="E357" s="1" t="s">
        <v>683</v>
      </c>
      <c r="F357" s="1" t="str">
        <f>VLOOKUP(E:E,Table10[[COUNTRY NAME]:[CONTINENT CODE]],3,FALSE)</f>
        <v>NA</v>
      </c>
      <c r="G357" s="156" t="s">
        <v>13189</v>
      </c>
      <c r="H357" s="8">
        <v>6261</v>
      </c>
      <c r="I357" s="41">
        <v>16</v>
      </c>
      <c r="J357" s="157"/>
      <c r="K357" s="6">
        <f>IFERROR(Table215[[#This Row],[ROUTE $]]/Table215[[#This Row],[E - DEMAND]],0)</f>
        <v>0</v>
      </c>
      <c r="L357" s="4"/>
      <c r="M357" s="39" t="e">
        <f>VLOOKUP(Table215[[#This Row],[ROUTE]],DEMAND!A:F,5,FALSE)</f>
        <v>#N/A</v>
      </c>
      <c r="N357" s="39" t="e">
        <f>VLOOKUP(Table215[[#This Row],[ROUTE]],DEMAND!A:F,6,FALSE)</f>
        <v>#N/A</v>
      </c>
      <c r="O357" s="39" t="e">
        <f>ROUNDDOWN(Table215[[#This Row],[R-DEMAND]]/1320,0)</f>
        <v>#N/A</v>
      </c>
      <c r="P357" s="41" t="e">
        <f>Table215[[#This Row],[ADD ACC]]*Table215[[#This Row],[RT TIME (744)]]</f>
        <v>#N/A</v>
      </c>
    </row>
    <row r="358" spans="1:16" ht="15" customHeight="1" x14ac:dyDescent="0.25">
      <c r="A358" s="38" t="s">
        <v>13607</v>
      </c>
      <c r="B358" s="39" t="s">
        <v>4335</v>
      </c>
      <c r="C358" s="39"/>
      <c r="D358" s="39">
        <v>2</v>
      </c>
      <c r="E358" s="1" t="s">
        <v>3350</v>
      </c>
      <c r="F358" s="1" t="str">
        <f>VLOOKUP(E:E,Table10[[COUNTRY NAME]:[CONTINENT CODE]],3,FALSE)</f>
        <v>NA</v>
      </c>
      <c r="G358" s="162" t="s">
        <v>13210</v>
      </c>
      <c r="H358" s="8">
        <v>6246</v>
      </c>
      <c r="I358" s="41">
        <v>16</v>
      </c>
      <c r="J358" s="157"/>
      <c r="K358" s="6">
        <f>IFERROR(Table215[[#This Row],[ROUTE $]]/Table215[[#This Row],[E - DEMAND]],0)</f>
        <v>0</v>
      </c>
      <c r="L358" s="5"/>
      <c r="M358" s="39" t="e">
        <f>VLOOKUP(Table215[[#This Row],[ROUTE]],DEMAND!A:F,5,FALSE)</f>
        <v>#N/A</v>
      </c>
      <c r="N358" s="39" t="e">
        <f>VLOOKUP(Table215[[#This Row],[ROUTE]],DEMAND!A:F,6,FALSE)</f>
        <v>#N/A</v>
      </c>
      <c r="O358" s="39" t="e">
        <f>ROUNDDOWN(Table215[[#This Row],[R-DEMAND]]/1320,0)</f>
        <v>#N/A</v>
      </c>
      <c r="P358" s="41" t="e">
        <f>Table215[[#This Row],[ADD ACC]]*Table215[[#This Row],[RT TIME (744)]]</f>
        <v>#N/A</v>
      </c>
    </row>
    <row r="359" spans="1:16" ht="15" customHeight="1" x14ac:dyDescent="0.25">
      <c r="A359" s="38" t="s">
        <v>13603</v>
      </c>
      <c r="B359" s="39" t="s">
        <v>5121</v>
      </c>
      <c r="C359" s="39"/>
      <c r="D359" s="39">
        <v>3</v>
      </c>
      <c r="E359" s="1" t="s">
        <v>5119</v>
      </c>
      <c r="F359" s="1" t="str">
        <f>VLOOKUP(E:E,Table10[[COUNTRY NAME]:[CONTINENT CODE]],3,FALSE)</f>
        <v>NA</v>
      </c>
      <c r="G359" s="156" t="s">
        <v>13207</v>
      </c>
      <c r="H359" s="8">
        <v>6390</v>
      </c>
      <c r="I359" s="41">
        <v>16.25</v>
      </c>
      <c r="J359" s="157"/>
      <c r="K359" s="6">
        <f>IFERROR(Table215[[#This Row],[ROUTE $]]/Table215[[#This Row],[E - DEMAND]],0)</f>
        <v>0</v>
      </c>
      <c r="L359" s="5"/>
      <c r="M359" s="39" t="e">
        <f>VLOOKUP(Table215[[#This Row],[ROUTE]],DEMAND!A:F,5,FALSE)</f>
        <v>#N/A</v>
      </c>
      <c r="N359" s="39" t="e">
        <f>VLOOKUP(Table215[[#This Row],[ROUTE]],DEMAND!A:F,6,FALSE)</f>
        <v>#N/A</v>
      </c>
      <c r="O359" s="39" t="e">
        <f>ROUNDDOWN(Table215[[#This Row],[R-DEMAND]]/1320,0)</f>
        <v>#N/A</v>
      </c>
      <c r="P359" s="41" t="e">
        <f>Table215[[#This Row],[ADD ACC]]*Table215[[#This Row],[RT TIME (744)]]</f>
        <v>#N/A</v>
      </c>
    </row>
    <row r="360" spans="1:16" ht="15" customHeight="1" x14ac:dyDescent="0.25">
      <c r="A360" s="38" t="s">
        <v>13699</v>
      </c>
      <c r="B360" s="39" t="s">
        <v>4327</v>
      </c>
      <c r="C360" s="39"/>
      <c r="D360" s="39">
        <v>2</v>
      </c>
      <c r="E360" s="38" t="s">
        <v>580</v>
      </c>
      <c r="F360" s="38" t="str">
        <f>VLOOKUP(E:E,Table10[[COUNTRY NAME]:[CONTINENT CODE]],3,FALSE)</f>
        <v>AF</v>
      </c>
      <c r="G360" s="155" t="s">
        <v>11841</v>
      </c>
      <c r="H360" s="40">
        <v>6490</v>
      </c>
      <c r="I360" s="41">
        <v>16.5</v>
      </c>
      <c r="J360" s="157"/>
      <c r="K360" s="42">
        <f>IFERROR(Table215[[#This Row],[ROUTE $]]/Table215[[#This Row],[E - DEMAND]],0)</f>
        <v>0</v>
      </c>
      <c r="L360" s="43"/>
      <c r="M360" s="39" t="e">
        <f>VLOOKUP(Table215[[#This Row],[ROUTE]],DEMAND!A:F,5,FALSE)</f>
        <v>#N/A</v>
      </c>
      <c r="N360" s="39" t="e">
        <f>VLOOKUP(Table215[[#This Row],[ROUTE]],DEMAND!A:F,6,FALSE)</f>
        <v>#N/A</v>
      </c>
      <c r="O360" s="39" t="e">
        <f>ROUNDDOWN(Table215[[#This Row],[R-DEMAND]]/1320,0)</f>
        <v>#N/A</v>
      </c>
      <c r="P360" s="41" t="e">
        <f>Table215[[#This Row],[ADD ACC]]*Table215[[#This Row],[RT TIME (744)]]</f>
        <v>#N/A</v>
      </c>
    </row>
    <row r="361" spans="1:16" ht="15" customHeight="1" x14ac:dyDescent="0.25">
      <c r="A361" s="38" t="s">
        <v>13700</v>
      </c>
      <c r="B361" s="39" t="s">
        <v>1465</v>
      </c>
      <c r="C361" s="39"/>
      <c r="D361" s="39">
        <v>1</v>
      </c>
      <c r="E361" s="38" t="s">
        <v>580</v>
      </c>
      <c r="F361" s="38" t="str">
        <f>VLOOKUP(E:E,Table10[[COUNTRY NAME]:[CONTINENT CODE]],3,FALSE)</f>
        <v>AF</v>
      </c>
      <c r="G361" s="155" t="s">
        <v>8079</v>
      </c>
      <c r="H361" s="40">
        <v>6477</v>
      </c>
      <c r="I361" s="41">
        <v>16.5</v>
      </c>
      <c r="J361" s="157"/>
      <c r="K361" s="42">
        <f>IFERROR(Table215[[#This Row],[ROUTE $]]/Table215[[#This Row],[E - DEMAND]],0)</f>
        <v>0</v>
      </c>
      <c r="L361" s="43"/>
      <c r="M361" s="39" t="e">
        <f>VLOOKUP(Table215[[#This Row],[ROUTE]],DEMAND!A:F,5,FALSE)</f>
        <v>#N/A</v>
      </c>
      <c r="N361" s="39" t="e">
        <f>VLOOKUP(Table215[[#This Row],[ROUTE]],DEMAND!A:F,6,FALSE)</f>
        <v>#N/A</v>
      </c>
      <c r="O361" s="39" t="e">
        <f>ROUNDDOWN(Table215[[#This Row],[R-DEMAND]]/1320,0)</f>
        <v>#N/A</v>
      </c>
      <c r="P361" s="41" t="e">
        <f>Table215[[#This Row],[ADD ACC]]*Table215[[#This Row],[RT TIME (744)]]</f>
        <v>#N/A</v>
      </c>
    </row>
    <row r="362" spans="1:16" ht="15" customHeight="1" x14ac:dyDescent="0.25">
      <c r="A362" s="38" t="s">
        <v>13439</v>
      </c>
      <c r="B362" s="39" t="s">
        <v>3891</v>
      </c>
      <c r="C362" s="39"/>
      <c r="D362" s="39">
        <v>2</v>
      </c>
      <c r="E362" s="1" t="s">
        <v>13119</v>
      </c>
      <c r="F362" s="1" t="str">
        <f>VLOOKUP(E:E,Table10[[COUNTRY NAME]:[CONTINENT CODE]],3,FALSE)</f>
        <v>NA</v>
      </c>
      <c r="G362" s="156" t="s">
        <v>13145</v>
      </c>
      <c r="H362" s="8">
        <v>6551</v>
      </c>
      <c r="I362" s="41">
        <v>16.75</v>
      </c>
      <c r="J362" s="157"/>
      <c r="K362" s="6">
        <f>IFERROR(Table215[[#This Row],[ROUTE $]]/Table215[[#This Row],[E - DEMAND]],0)</f>
        <v>0</v>
      </c>
      <c r="L362" s="5"/>
      <c r="M362" s="39" t="e">
        <f>VLOOKUP(Table215[[#This Row],[ROUTE]],DEMAND!A:F,5,FALSE)</f>
        <v>#N/A</v>
      </c>
      <c r="N362" s="39" t="e">
        <f>VLOOKUP(Table215[[#This Row],[ROUTE]],DEMAND!A:F,6,FALSE)</f>
        <v>#N/A</v>
      </c>
      <c r="O362" s="39" t="e">
        <f>ROUNDDOWN(Table215[[#This Row],[R-DEMAND]]/1320,0)</f>
        <v>#N/A</v>
      </c>
      <c r="P362" s="41" t="e">
        <f>Table215[[#This Row],[ADD ACC]]*Table215[[#This Row],[RT TIME (744)]]</f>
        <v>#N/A</v>
      </c>
    </row>
    <row r="363" spans="1:16" ht="15" customHeight="1" x14ac:dyDescent="0.25">
      <c r="A363" s="38" t="s">
        <v>13832</v>
      </c>
      <c r="B363" s="39" t="s">
        <v>5277</v>
      </c>
      <c r="C363" s="39"/>
      <c r="D363" s="39">
        <v>3</v>
      </c>
      <c r="E363" s="38" t="s">
        <v>119</v>
      </c>
      <c r="F363" s="38" t="str">
        <f>VLOOKUP(E:E,Table10[[COUNTRY NAME]:[CONTINENT CODE]],3,FALSE)</f>
        <v>EU</v>
      </c>
      <c r="G363" s="155" t="s">
        <v>13251</v>
      </c>
      <c r="H363" s="40">
        <v>6615</v>
      </c>
      <c r="I363" s="41">
        <v>16.75</v>
      </c>
      <c r="J363" s="157"/>
      <c r="K363" s="42">
        <f>IFERROR(Table215[[#This Row],[ROUTE $]]/Table215[[#This Row],[E - DEMAND]],0)</f>
        <v>0</v>
      </c>
      <c r="L363" s="43"/>
      <c r="M363" s="39" t="e">
        <f>VLOOKUP(Table215[[#This Row],[ROUTE]],DEMAND!A:F,5,FALSE)</f>
        <v>#N/A</v>
      </c>
      <c r="N363" s="39" t="e">
        <f>VLOOKUP(Table215[[#This Row],[ROUTE]],DEMAND!A:F,6,FALSE)</f>
        <v>#N/A</v>
      </c>
      <c r="O363" s="39" t="e">
        <f>ROUNDDOWN(Table215[[#This Row],[R-DEMAND]]/1320,0)</f>
        <v>#N/A</v>
      </c>
      <c r="P363" s="41" t="e">
        <f>Table215[[#This Row],[ADD ACC]]*Table215[[#This Row],[RT TIME (744)]]</f>
        <v>#N/A</v>
      </c>
    </row>
    <row r="364" spans="1:16" ht="15" customHeight="1" x14ac:dyDescent="0.25">
      <c r="A364" s="38" t="s">
        <v>13573</v>
      </c>
      <c r="B364" s="39" t="s">
        <v>4349</v>
      </c>
      <c r="C364" s="39"/>
      <c r="D364" s="39">
        <v>2</v>
      </c>
      <c r="E364" s="1" t="s">
        <v>4347</v>
      </c>
      <c r="F364" s="1" t="str">
        <f>VLOOKUP(E:E,Table10[[COUNTRY NAME]:[CONTINENT CODE]],3,FALSE)</f>
        <v>AF</v>
      </c>
      <c r="G364" s="156" t="s">
        <v>11784</v>
      </c>
      <c r="H364" s="8">
        <v>6588</v>
      </c>
      <c r="I364" s="41">
        <v>16.75</v>
      </c>
      <c r="J364" s="157"/>
      <c r="K364" s="6">
        <f>IFERROR(Table215[[#This Row],[ROUTE $]]/Table215[[#This Row],[E - DEMAND]],0)</f>
        <v>0</v>
      </c>
      <c r="L364" s="4"/>
      <c r="M364" s="39" t="e">
        <f>VLOOKUP(Table215[[#This Row],[ROUTE]],DEMAND!A:F,5,FALSE)</f>
        <v>#N/A</v>
      </c>
      <c r="N364" s="39" t="e">
        <f>VLOOKUP(Table215[[#This Row],[ROUTE]],DEMAND!A:F,6,FALSE)</f>
        <v>#N/A</v>
      </c>
      <c r="O364" s="39" t="e">
        <f>ROUNDDOWN(Table215[[#This Row],[R-DEMAND]]/1320,0)</f>
        <v>#N/A</v>
      </c>
      <c r="P364" s="41" t="e">
        <f>Table215[[#This Row],[ADD ACC]]*Table215[[#This Row],[RT TIME (744)]]</f>
        <v>#N/A</v>
      </c>
    </row>
    <row r="365" spans="1:16" ht="15" customHeight="1" x14ac:dyDescent="0.25">
      <c r="A365" s="38" t="s">
        <v>14040</v>
      </c>
      <c r="B365" s="39" t="s">
        <v>132</v>
      </c>
      <c r="C365" s="39"/>
      <c r="D365" s="39">
        <v>4</v>
      </c>
      <c r="E365" s="143" t="s">
        <v>647</v>
      </c>
      <c r="F365" s="38" t="e">
        <f>VLOOKUP(E:E,Table10[[COUNTRY NAME]:[CONTINENT CODE]],3,FALSE)</f>
        <v>#N/A</v>
      </c>
      <c r="G365" s="155" t="s">
        <v>13372</v>
      </c>
      <c r="H365" s="40">
        <v>6643</v>
      </c>
      <c r="I365" s="41">
        <v>16.75</v>
      </c>
      <c r="J365" s="157"/>
      <c r="K365" s="42">
        <f>IFERROR(Table215[[#This Row],[ROUTE $]]/Table215[[#This Row],[E - DEMAND]],0)</f>
        <v>0</v>
      </c>
      <c r="L365" s="43"/>
      <c r="M365" s="39" t="e">
        <f>VLOOKUP(Table215[[#This Row],[ROUTE]],DEMAND!A:F,5,FALSE)</f>
        <v>#N/A</v>
      </c>
      <c r="N365" s="39" t="e">
        <f>VLOOKUP(Table215[[#This Row],[ROUTE]],DEMAND!A:F,6,FALSE)</f>
        <v>#N/A</v>
      </c>
      <c r="O365" s="39" t="e">
        <f>ROUNDDOWN(Table215[[#This Row],[R-DEMAND]]/1320,0)</f>
        <v>#N/A</v>
      </c>
      <c r="P365" s="41" t="e">
        <f>Table215[[#This Row],[ADD ACC]]*Table215[[#This Row],[RT TIME (744)]]</f>
        <v>#N/A</v>
      </c>
    </row>
    <row r="366" spans="1:16" ht="15" customHeight="1" x14ac:dyDescent="0.25">
      <c r="A366" s="38" t="s">
        <v>13545</v>
      </c>
      <c r="B366" s="39" t="s">
        <v>3618</v>
      </c>
      <c r="C366" s="39"/>
      <c r="D366" s="39">
        <v>2</v>
      </c>
      <c r="E366" s="1" t="s">
        <v>3616</v>
      </c>
      <c r="F366" s="1" t="str">
        <f>VLOOKUP(E:E,Table10[[COUNTRY NAME]:[CONTINENT CODE]],3,FALSE)</f>
        <v>AF</v>
      </c>
      <c r="G366" s="156" t="s">
        <v>11776</v>
      </c>
      <c r="H366" s="8">
        <v>6696</v>
      </c>
      <c r="I366" s="41">
        <v>17</v>
      </c>
      <c r="J366" s="157"/>
      <c r="K366" s="6">
        <f>IFERROR(Table215[[#This Row],[ROUTE $]]/Table215[[#This Row],[E - DEMAND]],0)</f>
        <v>0</v>
      </c>
      <c r="L366" s="4"/>
      <c r="M366" s="39" t="e">
        <f>VLOOKUP(Table215[[#This Row],[ROUTE]],DEMAND!A:F,5,FALSE)</f>
        <v>#N/A</v>
      </c>
      <c r="N366" s="39" t="e">
        <f>VLOOKUP(Table215[[#This Row],[ROUTE]],DEMAND!A:F,6,FALSE)</f>
        <v>#N/A</v>
      </c>
      <c r="O366" s="39" t="e">
        <f>ROUNDDOWN(Table215[[#This Row],[R-DEMAND]]/1320,0)</f>
        <v>#N/A</v>
      </c>
      <c r="P366" s="41" t="e">
        <f>Table215[[#This Row],[ADD ACC]]*Table215[[#This Row],[RT TIME (744)]]</f>
        <v>#N/A</v>
      </c>
    </row>
    <row r="367" spans="1:16" ht="15" customHeight="1" x14ac:dyDescent="0.25">
      <c r="A367" s="38" t="s">
        <v>13707</v>
      </c>
      <c r="B367" s="39" t="s">
        <v>3081</v>
      </c>
      <c r="C367" s="39"/>
      <c r="D367" s="39">
        <v>2</v>
      </c>
      <c r="E367" s="38" t="s">
        <v>3079</v>
      </c>
      <c r="F367" s="38" t="str">
        <f>VLOOKUP(E:E,Table10[[COUNTRY NAME]:[CONTINENT CODE]],3,FALSE)</f>
        <v>AF</v>
      </c>
      <c r="G367" s="155" t="s">
        <v>11713</v>
      </c>
      <c r="H367" s="40">
        <v>6696</v>
      </c>
      <c r="I367" s="41">
        <v>17</v>
      </c>
      <c r="J367" s="157"/>
      <c r="K367" s="42">
        <f>IFERROR(Table215[[#This Row],[ROUTE $]]/Table215[[#This Row],[E - DEMAND]],0)</f>
        <v>0</v>
      </c>
      <c r="L367" s="43"/>
      <c r="M367" s="39" t="e">
        <f>VLOOKUP(Table215[[#This Row],[ROUTE]],DEMAND!A:F,5,FALSE)</f>
        <v>#N/A</v>
      </c>
      <c r="N367" s="39" t="e">
        <f>VLOOKUP(Table215[[#This Row],[ROUTE]],DEMAND!A:F,6,FALSE)</f>
        <v>#N/A</v>
      </c>
      <c r="O367" s="39" t="e">
        <f>ROUNDDOWN(Table215[[#This Row],[R-DEMAND]]/1320,0)</f>
        <v>#N/A</v>
      </c>
      <c r="P367" s="41" t="e">
        <f>Table215[[#This Row],[ADD ACC]]*Table215[[#This Row],[RT TIME (744)]]</f>
        <v>#N/A</v>
      </c>
    </row>
    <row r="368" spans="1:16" ht="15" customHeight="1" x14ac:dyDescent="0.25">
      <c r="A368" s="38" t="s">
        <v>13815</v>
      </c>
      <c r="B368" s="39" t="s">
        <v>1851</v>
      </c>
      <c r="C368" s="39"/>
      <c r="D368" s="39">
        <v>1</v>
      </c>
      <c r="E368" s="38" t="s">
        <v>926</v>
      </c>
      <c r="F368" s="38" t="str">
        <f>VLOOKUP(E:E,Table10[[COUNTRY NAME]:[CONTINENT CODE]],3,FALSE)</f>
        <v>AF</v>
      </c>
      <c r="G368" s="155" t="s">
        <v>6801</v>
      </c>
      <c r="H368" s="40">
        <v>6709</v>
      </c>
      <c r="I368" s="41">
        <v>17</v>
      </c>
      <c r="J368" s="157"/>
      <c r="K368" s="42">
        <f>IFERROR(Table215[[#This Row],[ROUTE $]]/Table215[[#This Row],[E - DEMAND]],0)</f>
        <v>0</v>
      </c>
      <c r="L368" s="43"/>
      <c r="M368" s="39" t="e">
        <f>VLOOKUP(Table215[[#This Row],[ROUTE]],DEMAND!A:F,5,FALSE)</f>
        <v>#N/A</v>
      </c>
      <c r="N368" s="39" t="e">
        <f>VLOOKUP(Table215[[#This Row],[ROUTE]],DEMAND!A:F,6,FALSE)</f>
        <v>#N/A</v>
      </c>
      <c r="O368" s="39" t="e">
        <f>ROUNDDOWN(Table215[[#This Row],[R-DEMAND]]/1320,0)</f>
        <v>#N/A</v>
      </c>
      <c r="P368" s="41" t="e">
        <f>Table215[[#This Row],[ADD ACC]]*Table215[[#This Row],[RT TIME (744)]]</f>
        <v>#N/A</v>
      </c>
    </row>
    <row r="369" spans="1:16" ht="15" customHeight="1" x14ac:dyDescent="0.25">
      <c r="A369" s="38" t="s">
        <v>14039</v>
      </c>
      <c r="B369" s="39" t="s">
        <v>5491</v>
      </c>
      <c r="C369" s="39"/>
      <c r="D369" s="39">
        <v>4</v>
      </c>
      <c r="E369" s="143" t="s">
        <v>647</v>
      </c>
      <c r="F369" s="38" t="e">
        <f>VLOOKUP(E:E,Table10[[COUNTRY NAME]:[CONTINENT CODE]],3,FALSE)</f>
        <v>#N/A</v>
      </c>
      <c r="G369" s="155" t="s">
        <v>13371</v>
      </c>
      <c r="H369" s="40">
        <v>6729</v>
      </c>
      <c r="I369" s="41">
        <v>17</v>
      </c>
      <c r="J369" s="157"/>
      <c r="K369" s="42">
        <f>IFERROR(Table215[[#This Row],[ROUTE $]]/Table215[[#This Row],[E - DEMAND]],0)</f>
        <v>0</v>
      </c>
      <c r="L369" s="43"/>
      <c r="M369" s="39" t="e">
        <f>VLOOKUP(Table215[[#This Row],[ROUTE]],DEMAND!A:F,5,FALSE)</f>
        <v>#N/A</v>
      </c>
      <c r="N369" s="39" t="e">
        <f>VLOOKUP(Table215[[#This Row],[ROUTE]],DEMAND!A:F,6,FALSE)</f>
        <v>#N/A</v>
      </c>
      <c r="O369" s="39" t="e">
        <f>ROUNDDOWN(Table215[[#This Row],[R-DEMAND]]/1320,0)</f>
        <v>#N/A</v>
      </c>
      <c r="P369" s="41" t="e">
        <f>Table215[[#This Row],[ADD ACC]]*Table215[[#This Row],[RT TIME (744)]]</f>
        <v>#N/A</v>
      </c>
    </row>
    <row r="370" spans="1:16" ht="15" customHeight="1" x14ac:dyDescent="0.25">
      <c r="A370" s="38" t="s">
        <v>14038</v>
      </c>
      <c r="B370" s="39" t="s">
        <v>3433</v>
      </c>
      <c r="C370" s="39"/>
      <c r="D370" s="39">
        <v>2</v>
      </c>
      <c r="E370" s="143" t="s">
        <v>647</v>
      </c>
      <c r="F370" s="38" t="e">
        <f>VLOOKUP(E:E,Table10[[COUNTRY NAME]:[CONTINENT CODE]],3,FALSE)</f>
        <v>#N/A</v>
      </c>
      <c r="G370" s="155" t="s">
        <v>13370</v>
      </c>
      <c r="H370" s="40">
        <v>6803</v>
      </c>
      <c r="I370" s="41">
        <v>17.25</v>
      </c>
      <c r="J370" s="157"/>
      <c r="K370" s="42">
        <f>IFERROR(Table215[[#This Row],[ROUTE $]]/Table215[[#This Row],[E - DEMAND]],0)</f>
        <v>0</v>
      </c>
      <c r="L370" s="43"/>
      <c r="M370" s="39" t="e">
        <f>VLOOKUP(Table215[[#This Row],[ROUTE]],DEMAND!A:F,5,FALSE)</f>
        <v>#N/A</v>
      </c>
      <c r="N370" s="39" t="e">
        <f>VLOOKUP(Table215[[#This Row],[ROUTE]],DEMAND!A:F,6,FALSE)</f>
        <v>#N/A</v>
      </c>
      <c r="O370" s="39" t="e">
        <f>ROUNDDOWN(Table215[[#This Row],[R-DEMAND]]/1320,0)</f>
        <v>#N/A</v>
      </c>
      <c r="P370" s="41" t="e">
        <f>Table215[[#This Row],[ADD ACC]]*Table215[[#This Row],[RT TIME (744)]]</f>
        <v>#N/A</v>
      </c>
    </row>
    <row r="371" spans="1:16" ht="15" customHeight="1" x14ac:dyDescent="0.25">
      <c r="A371" s="38" t="s">
        <v>14037</v>
      </c>
      <c r="B371" s="39" t="s">
        <v>4758</v>
      </c>
      <c r="C371" s="39"/>
      <c r="D371" s="39">
        <v>3</v>
      </c>
      <c r="E371" s="143" t="s">
        <v>647</v>
      </c>
      <c r="F371" s="38" t="e">
        <f>VLOOKUP(E:E,Table10[[COUNTRY NAME]:[CONTINENT CODE]],3,FALSE)</f>
        <v>#N/A</v>
      </c>
      <c r="G371" s="155" t="s">
        <v>13369</v>
      </c>
      <c r="H371" s="40">
        <v>6853</v>
      </c>
      <c r="I371" s="41">
        <v>17.25</v>
      </c>
      <c r="J371" s="157"/>
      <c r="K371" s="42">
        <f>IFERROR(Table215[[#This Row],[ROUTE $]]/Table215[[#This Row],[E - DEMAND]],0)</f>
        <v>0</v>
      </c>
      <c r="L371" s="43"/>
      <c r="M371" s="39" t="e">
        <f>VLOOKUP(Table215[[#This Row],[ROUTE]],DEMAND!A:F,5,FALSE)</f>
        <v>#N/A</v>
      </c>
      <c r="N371" s="39" t="e">
        <f>VLOOKUP(Table215[[#This Row],[ROUTE]],DEMAND!A:F,6,FALSE)</f>
        <v>#N/A</v>
      </c>
      <c r="O371" s="39" t="e">
        <f>ROUNDDOWN(Table215[[#This Row],[R-DEMAND]]/1320,0)</f>
        <v>#N/A</v>
      </c>
      <c r="P371" s="41" t="e">
        <f>Table215[[#This Row],[ADD ACC]]*Table215[[#This Row],[RT TIME (744)]]</f>
        <v>#N/A</v>
      </c>
    </row>
    <row r="372" spans="1:16" ht="15" customHeight="1" x14ac:dyDescent="0.25">
      <c r="A372" s="38" t="s">
        <v>13518</v>
      </c>
      <c r="B372" s="39" t="s">
        <v>4088</v>
      </c>
      <c r="C372" s="39"/>
      <c r="D372" s="39">
        <v>2</v>
      </c>
      <c r="E372" s="143" t="s">
        <v>725</v>
      </c>
      <c r="F372" s="1" t="e">
        <f>VLOOKUP(E:E,Table10[[COUNTRY NAME]:[CONTINENT CODE]],3,FALSE)</f>
        <v>#N/A</v>
      </c>
      <c r="G372" s="156" t="s">
        <v>11824</v>
      </c>
      <c r="H372" s="8">
        <v>6955</v>
      </c>
      <c r="I372" s="41">
        <v>17.5</v>
      </c>
      <c r="J372" s="157"/>
      <c r="K372" s="6">
        <f>IFERROR(Table215[[#This Row],[ROUTE $]]/Table215[[#This Row],[E - DEMAND]],0)</f>
        <v>0</v>
      </c>
      <c r="L372" s="4"/>
      <c r="M372" s="39" t="e">
        <f>VLOOKUP(Table215[[#This Row],[ROUTE]],DEMAND!A:F,5,FALSE)</f>
        <v>#N/A</v>
      </c>
      <c r="N372" s="39" t="e">
        <f>VLOOKUP(Table215[[#This Row],[ROUTE]],DEMAND!A:F,6,FALSE)</f>
        <v>#N/A</v>
      </c>
      <c r="O372" s="39" t="e">
        <f>ROUNDDOWN(Table215[[#This Row],[R-DEMAND]]/1320,0)</f>
        <v>#N/A</v>
      </c>
      <c r="P372" s="41" t="e">
        <f>Table215[[#This Row],[ADD ACC]]*Table215[[#This Row],[RT TIME (744)]]</f>
        <v>#N/A</v>
      </c>
    </row>
    <row r="373" spans="1:16" ht="15" customHeight="1" x14ac:dyDescent="0.25">
      <c r="A373" s="38" t="s">
        <v>13710</v>
      </c>
      <c r="B373" s="39" t="s">
        <v>2907</v>
      </c>
      <c r="C373" s="39"/>
      <c r="D373" s="39">
        <v>2</v>
      </c>
      <c r="E373" s="38" t="s">
        <v>2059</v>
      </c>
      <c r="F373" s="38" t="str">
        <f>VLOOKUP(E:E,Table10[[COUNTRY NAME]:[CONTINENT CODE]],3,FALSE)</f>
        <v>AF</v>
      </c>
      <c r="G373" s="155" t="s">
        <v>11751</v>
      </c>
      <c r="H373" s="40">
        <v>6972</v>
      </c>
      <c r="I373" s="41">
        <v>17.5</v>
      </c>
      <c r="J373" s="157"/>
      <c r="K373" s="42">
        <f>IFERROR(Table215[[#This Row],[ROUTE $]]/Table215[[#This Row],[E - DEMAND]],0)</f>
        <v>0</v>
      </c>
      <c r="L373" s="43"/>
      <c r="M373" s="39" t="e">
        <f>VLOOKUP(Table215[[#This Row],[ROUTE]],DEMAND!A:F,5,FALSE)</f>
        <v>#N/A</v>
      </c>
      <c r="N373" s="39" t="e">
        <f>VLOOKUP(Table215[[#This Row],[ROUTE]],DEMAND!A:F,6,FALSE)</f>
        <v>#N/A</v>
      </c>
      <c r="O373" s="39" t="e">
        <f>ROUNDDOWN(Table215[[#This Row],[R-DEMAND]]/1320,0)</f>
        <v>#N/A</v>
      </c>
      <c r="P373" s="41" t="e">
        <f>Table215[[#This Row],[ADD ACC]]*Table215[[#This Row],[RT TIME (744)]]</f>
        <v>#N/A</v>
      </c>
    </row>
    <row r="374" spans="1:16" ht="15" customHeight="1" x14ac:dyDescent="0.25">
      <c r="A374" s="38" t="s">
        <v>14032</v>
      </c>
      <c r="B374" s="39" t="s">
        <v>3897</v>
      </c>
      <c r="C374" s="39"/>
      <c r="D374" s="39">
        <v>2</v>
      </c>
      <c r="E374" s="143" t="s">
        <v>647</v>
      </c>
      <c r="F374" s="38" t="e">
        <f>VLOOKUP(E:E,Table10[[COUNTRY NAME]:[CONTINENT CODE]],3,FALSE)</f>
        <v>#N/A</v>
      </c>
      <c r="G374" s="155" t="s">
        <v>13364</v>
      </c>
      <c r="H374" s="40">
        <v>6924</v>
      </c>
      <c r="I374" s="41">
        <v>17.5</v>
      </c>
      <c r="J374" s="157"/>
      <c r="K374" s="42">
        <f>IFERROR(Table215[[#This Row],[ROUTE $]]/Table215[[#This Row],[E - DEMAND]],0)</f>
        <v>0</v>
      </c>
      <c r="L374" s="43"/>
      <c r="M374" s="39" t="e">
        <f>VLOOKUP(Table215[[#This Row],[ROUTE]],DEMAND!A:F,5,FALSE)</f>
        <v>#N/A</v>
      </c>
      <c r="N374" s="39" t="e">
        <f>VLOOKUP(Table215[[#This Row],[ROUTE]],DEMAND!A:F,6,FALSE)</f>
        <v>#N/A</v>
      </c>
      <c r="O374" s="39" t="e">
        <f>ROUNDDOWN(Table215[[#This Row],[R-DEMAND]]/1320,0)</f>
        <v>#N/A</v>
      </c>
      <c r="P374" s="41" t="e">
        <f>Table215[[#This Row],[ADD ACC]]*Table215[[#This Row],[RT TIME (744)]]</f>
        <v>#N/A</v>
      </c>
    </row>
    <row r="375" spans="1:16" ht="15" customHeight="1" x14ac:dyDescent="0.25">
      <c r="A375" s="38" t="s">
        <v>14033</v>
      </c>
      <c r="B375" s="39" t="s">
        <v>4389</v>
      </c>
      <c r="C375" s="39"/>
      <c r="D375" s="39">
        <v>2</v>
      </c>
      <c r="E375" s="143" t="s">
        <v>647</v>
      </c>
      <c r="F375" s="38" t="e">
        <f>VLOOKUP(E:E,Table10[[COUNTRY NAME]:[CONTINENT CODE]],3,FALSE)</f>
        <v>#N/A</v>
      </c>
      <c r="G375" s="155" t="s">
        <v>13365</v>
      </c>
      <c r="H375" s="40">
        <v>6906</v>
      </c>
      <c r="I375" s="41">
        <v>17.5</v>
      </c>
      <c r="J375" s="157"/>
      <c r="K375" s="42">
        <f>IFERROR(Table215[[#This Row],[ROUTE $]]/Table215[[#This Row],[E - DEMAND]],0)</f>
        <v>0</v>
      </c>
      <c r="L375" s="43"/>
      <c r="M375" s="39" t="e">
        <f>VLOOKUP(Table215[[#This Row],[ROUTE]],DEMAND!A:F,5,FALSE)</f>
        <v>#N/A</v>
      </c>
      <c r="N375" s="39" t="e">
        <f>VLOOKUP(Table215[[#This Row],[ROUTE]],DEMAND!A:F,6,FALSE)</f>
        <v>#N/A</v>
      </c>
      <c r="O375" s="39" t="e">
        <f>ROUNDDOWN(Table215[[#This Row],[R-DEMAND]]/1320,0)</f>
        <v>#N/A</v>
      </c>
      <c r="P375" s="41" t="e">
        <f>Table215[[#This Row],[ADD ACC]]*Table215[[#This Row],[RT TIME (744)]]</f>
        <v>#N/A</v>
      </c>
    </row>
    <row r="376" spans="1:16" ht="15" customHeight="1" x14ac:dyDescent="0.25">
      <c r="A376" s="38" t="s">
        <v>14034</v>
      </c>
      <c r="B376" s="39" t="s">
        <v>5647</v>
      </c>
      <c r="C376" s="39"/>
      <c r="D376" s="39">
        <v>4</v>
      </c>
      <c r="E376" s="143" t="s">
        <v>647</v>
      </c>
      <c r="F376" s="38" t="e">
        <f>VLOOKUP(E:E,Table10[[COUNTRY NAME]:[CONTINENT CODE]],3,FALSE)</f>
        <v>#N/A</v>
      </c>
      <c r="G376" s="155" t="s">
        <v>13366</v>
      </c>
      <c r="H376" s="40">
        <v>6903</v>
      </c>
      <c r="I376" s="41">
        <v>17.5</v>
      </c>
      <c r="J376" s="157"/>
      <c r="K376" s="42">
        <f>IFERROR(Table215[[#This Row],[ROUTE $]]/Table215[[#This Row],[E - DEMAND]],0)</f>
        <v>0</v>
      </c>
      <c r="L376" s="43"/>
      <c r="M376" s="39" t="e">
        <f>VLOOKUP(Table215[[#This Row],[ROUTE]],DEMAND!A:F,5,FALSE)</f>
        <v>#N/A</v>
      </c>
      <c r="N376" s="39" t="e">
        <f>VLOOKUP(Table215[[#This Row],[ROUTE]],DEMAND!A:F,6,FALSE)</f>
        <v>#N/A</v>
      </c>
      <c r="O376" s="39" t="e">
        <f>ROUNDDOWN(Table215[[#This Row],[R-DEMAND]]/1320,0)</f>
        <v>#N/A</v>
      </c>
      <c r="P376" s="41" t="e">
        <f>Table215[[#This Row],[ADD ACC]]*Table215[[#This Row],[RT TIME (744)]]</f>
        <v>#N/A</v>
      </c>
    </row>
    <row r="377" spans="1:16" ht="15" customHeight="1" x14ac:dyDescent="0.25">
      <c r="A377" s="38" t="s">
        <v>14035</v>
      </c>
      <c r="B377" s="39" t="s">
        <v>4880</v>
      </c>
      <c r="C377" s="39"/>
      <c r="D377" s="39">
        <v>3</v>
      </c>
      <c r="E377" s="143" t="s">
        <v>647</v>
      </c>
      <c r="F377" s="38" t="e">
        <f>VLOOKUP(E:E,Table10[[COUNTRY NAME]:[CONTINENT CODE]],3,FALSE)</f>
        <v>#N/A</v>
      </c>
      <c r="G377" s="155" t="s">
        <v>13367</v>
      </c>
      <c r="H377" s="40">
        <v>6898</v>
      </c>
      <c r="I377" s="41">
        <v>17.5</v>
      </c>
      <c r="J377" s="157"/>
      <c r="K377" s="42">
        <f>IFERROR(Table215[[#This Row],[ROUTE $]]/Table215[[#This Row],[E - DEMAND]],0)</f>
        <v>0</v>
      </c>
      <c r="L377" s="43"/>
      <c r="M377" s="39" t="e">
        <f>VLOOKUP(Table215[[#This Row],[ROUTE]],DEMAND!A:F,5,FALSE)</f>
        <v>#N/A</v>
      </c>
      <c r="N377" s="39" t="e">
        <f>VLOOKUP(Table215[[#This Row],[ROUTE]],DEMAND!A:F,6,FALSE)</f>
        <v>#N/A</v>
      </c>
      <c r="O377" s="39" t="e">
        <f>ROUNDDOWN(Table215[[#This Row],[R-DEMAND]]/1320,0)</f>
        <v>#N/A</v>
      </c>
      <c r="P377" s="41" t="e">
        <f>Table215[[#This Row],[ADD ACC]]*Table215[[#This Row],[RT TIME (744)]]</f>
        <v>#N/A</v>
      </c>
    </row>
    <row r="378" spans="1:16" ht="15" customHeight="1" x14ac:dyDescent="0.25">
      <c r="A378" s="38" t="s">
        <v>13404</v>
      </c>
      <c r="B378" s="39" t="s">
        <v>2103</v>
      </c>
      <c r="C378" s="39"/>
      <c r="D378" s="39">
        <v>1</v>
      </c>
      <c r="E378" s="1" t="s">
        <v>493</v>
      </c>
      <c r="F378" s="1" t="str">
        <f>VLOOKUP(E:E,Table10[[COUNTRY NAME]:[CONTINENT CODE]],3,FALSE)</f>
        <v>AF</v>
      </c>
      <c r="G378" s="156" t="s">
        <v>7142</v>
      </c>
      <c r="H378" s="8">
        <v>7016</v>
      </c>
      <c r="I378" s="41">
        <v>17.75</v>
      </c>
      <c r="J378" s="157"/>
      <c r="K378" s="6">
        <f>IFERROR(Table215[[#This Row],[ROUTE $]]/Table215[[#This Row],[E - DEMAND]],0)</f>
        <v>0</v>
      </c>
      <c r="L378" s="4"/>
      <c r="M378" s="39" t="e">
        <f>VLOOKUP(Table215[[#This Row],[ROUTE]],DEMAND!A:F,5,FALSE)</f>
        <v>#N/A</v>
      </c>
      <c r="N378" s="39" t="e">
        <f>VLOOKUP(Table215[[#This Row],[ROUTE]],DEMAND!A:F,6,FALSE)</f>
        <v>#N/A</v>
      </c>
      <c r="O378" s="39" t="e">
        <f>ROUNDDOWN(Table215[[#This Row],[R-DEMAND]]/1320,0)</f>
        <v>#N/A</v>
      </c>
      <c r="P378" s="41" t="e">
        <f>Table215[[#This Row],[ADD ACC]]*Table215[[#This Row],[RT TIME (744)]]</f>
        <v>#N/A</v>
      </c>
    </row>
    <row r="379" spans="1:16" ht="15" customHeight="1" x14ac:dyDescent="0.25">
      <c r="A379" s="38" t="s">
        <v>13745</v>
      </c>
      <c r="B379" s="39" t="s">
        <v>2886</v>
      </c>
      <c r="C379" s="39"/>
      <c r="D379" s="39">
        <v>2</v>
      </c>
      <c r="E379" s="38" t="s">
        <v>733</v>
      </c>
      <c r="F379" s="38" t="str">
        <f>VLOOKUP(E:E,Table10[[COUNTRY NAME]:[CONTINENT CODE]],3,FALSE)</f>
        <v>EU</v>
      </c>
      <c r="G379" s="155" t="s">
        <v>11665</v>
      </c>
      <c r="H379" s="40">
        <v>7049</v>
      </c>
      <c r="I379" s="41">
        <v>17.75</v>
      </c>
      <c r="J379" s="157"/>
      <c r="K379" s="42">
        <f>IFERROR(Table215[[#This Row],[ROUTE $]]/Table215[[#This Row],[E - DEMAND]],0)</f>
        <v>0</v>
      </c>
      <c r="L379" s="43"/>
      <c r="M379" s="39" t="e">
        <f>VLOOKUP(Table215[[#This Row],[ROUTE]],DEMAND!A:F,5,FALSE)</f>
        <v>#N/A</v>
      </c>
      <c r="N379" s="39" t="e">
        <f>VLOOKUP(Table215[[#This Row],[ROUTE]],DEMAND!A:F,6,FALSE)</f>
        <v>#N/A</v>
      </c>
      <c r="O379" s="39" t="e">
        <f>ROUNDDOWN(Table215[[#This Row],[R-DEMAND]]/1320,0)</f>
        <v>#N/A</v>
      </c>
      <c r="P379" s="41" t="e">
        <f>Table215[[#This Row],[ADD ACC]]*Table215[[#This Row],[RT TIME (744)]]</f>
        <v>#N/A</v>
      </c>
    </row>
    <row r="380" spans="1:16" ht="15" customHeight="1" x14ac:dyDescent="0.25">
      <c r="A380" s="38" t="s">
        <v>13744</v>
      </c>
      <c r="B380" s="39" t="s">
        <v>2686</v>
      </c>
      <c r="C380" s="39"/>
      <c r="D380" s="39">
        <v>2</v>
      </c>
      <c r="E380" s="38" t="s">
        <v>733</v>
      </c>
      <c r="F380" s="38" t="str">
        <f>VLOOKUP(E:E,Table10[[COUNTRY NAME]:[CONTINENT CODE]],3,FALSE)</f>
        <v>EU</v>
      </c>
      <c r="G380" s="155" t="s">
        <v>13246</v>
      </c>
      <c r="H380" s="40">
        <v>7079</v>
      </c>
      <c r="I380" s="41">
        <v>17.75</v>
      </c>
      <c r="J380" s="157"/>
      <c r="K380" s="42">
        <f>IFERROR(Table215[[#This Row],[ROUTE $]]/Table215[[#This Row],[E - DEMAND]],0)</f>
        <v>0</v>
      </c>
      <c r="L380" s="43"/>
      <c r="M380" s="39" t="e">
        <f>VLOOKUP(Table215[[#This Row],[ROUTE]],DEMAND!A:F,5,FALSE)</f>
        <v>#N/A</v>
      </c>
      <c r="N380" s="39" t="e">
        <f>VLOOKUP(Table215[[#This Row],[ROUTE]],DEMAND!A:F,6,FALSE)</f>
        <v>#N/A</v>
      </c>
      <c r="O380" s="39" t="e">
        <f>ROUNDDOWN(Table215[[#This Row],[R-DEMAND]]/1320,0)</f>
        <v>#N/A</v>
      </c>
      <c r="P380" s="41" t="e">
        <f>Table215[[#This Row],[ADD ACC]]*Table215[[#This Row],[RT TIME (744)]]</f>
        <v>#N/A</v>
      </c>
    </row>
    <row r="381" spans="1:16" ht="15" customHeight="1" x14ac:dyDescent="0.25">
      <c r="A381" s="38" t="s">
        <v>13814</v>
      </c>
      <c r="B381" s="39" t="s">
        <v>2374</v>
      </c>
      <c r="C381" s="39"/>
      <c r="D381" s="39">
        <v>1</v>
      </c>
      <c r="E381" s="38" t="s">
        <v>926</v>
      </c>
      <c r="F381" s="38" t="str">
        <f>VLOOKUP(E:E,Table10[[COUNTRY NAME]:[CONTINENT CODE]],3,FALSE)</f>
        <v>AF</v>
      </c>
      <c r="G381" s="155" t="s">
        <v>11866</v>
      </c>
      <c r="H381" s="40">
        <v>7033</v>
      </c>
      <c r="I381" s="41">
        <v>17.75</v>
      </c>
      <c r="J381" s="157"/>
      <c r="K381" s="42">
        <f>IFERROR(Table215[[#This Row],[ROUTE $]]/Table215[[#This Row],[E - DEMAND]],0)</f>
        <v>0</v>
      </c>
      <c r="L381" s="43"/>
      <c r="M381" s="39" t="e">
        <f>VLOOKUP(Table215[[#This Row],[ROUTE]],DEMAND!A:F,5,FALSE)</f>
        <v>#N/A</v>
      </c>
      <c r="N381" s="39" t="e">
        <f>VLOOKUP(Table215[[#This Row],[ROUTE]],DEMAND!A:F,6,FALSE)</f>
        <v>#N/A</v>
      </c>
      <c r="O381" s="39" t="e">
        <f>ROUNDDOWN(Table215[[#This Row],[R-DEMAND]]/1320,0)</f>
        <v>#N/A</v>
      </c>
      <c r="P381" s="41" t="e">
        <f>Table215[[#This Row],[ADD ACC]]*Table215[[#This Row],[RT TIME (744)]]</f>
        <v>#N/A</v>
      </c>
    </row>
    <row r="382" spans="1:16" ht="15" customHeight="1" x14ac:dyDescent="0.25">
      <c r="A382" s="38" t="s">
        <v>14031</v>
      </c>
      <c r="B382" s="39" t="s">
        <v>5397</v>
      </c>
      <c r="C382" s="39"/>
      <c r="D382" s="39">
        <v>4</v>
      </c>
      <c r="E382" s="143" t="s">
        <v>647</v>
      </c>
      <c r="F382" s="38" t="e">
        <f>VLOOKUP(E:E,Table10[[COUNTRY NAME]:[CONTINENT CODE]],3,FALSE)</f>
        <v>#N/A</v>
      </c>
      <c r="G382" s="155" t="s">
        <v>13363</v>
      </c>
      <c r="H382" s="40">
        <v>7077</v>
      </c>
      <c r="I382" s="41">
        <v>17.75</v>
      </c>
      <c r="J382" s="157"/>
      <c r="K382" s="42">
        <f>IFERROR(Table215[[#This Row],[ROUTE $]]/Table215[[#This Row],[E - DEMAND]],0)</f>
        <v>0</v>
      </c>
      <c r="L382" s="43"/>
      <c r="M382" s="39" t="e">
        <f>VLOOKUP(Table215[[#This Row],[ROUTE]],DEMAND!A:F,5,FALSE)</f>
        <v>#N/A</v>
      </c>
      <c r="N382" s="39" t="e">
        <f>VLOOKUP(Table215[[#This Row],[ROUTE]],DEMAND!A:F,6,FALSE)</f>
        <v>#N/A</v>
      </c>
      <c r="O382" s="39" t="e">
        <f>ROUNDDOWN(Table215[[#This Row],[R-DEMAND]]/1320,0)</f>
        <v>#N/A</v>
      </c>
      <c r="P382" s="41" t="e">
        <f>Table215[[#This Row],[ADD ACC]]*Table215[[#This Row],[RT TIME (744)]]</f>
        <v>#N/A</v>
      </c>
    </row>
    <row r="383" spans="1:16" ht="15" customHeight="1" x14ac:dyDescent="0.25">
      <c r="A383" s="38" t="s">
        <v>13743</v>
      </c>
      <c r="B383" s="39" t="s">
        <v>3388</v>
      </c>
      <c r="C383" s="39"/>
      <c r="D383" s="39">
        <v>3</v>
      </c>
      <c r="E383" s="38" t="s">
        <v>733</v>
      </c>
      <c r="F383" s="38" t="str">
        <f>VLOOKUP(E:E,Table10[[COUNTRY NAME]:[CONTINENT CODE]],3,FALSE)</f>
        <v>EU</v>
      </c>
      <c r="G383" s="155" t="s">
        <v>13245</v>
      </c>
      <c r="H383" s="40">
        <v>7206</v>
      </c>
      <c r="I383" s="41">
        <v>18</v>
      </c>
      <c r="J383" s="157"/>
      <c r="K383" s="42">
        <f>IFERROR(Table215[[#This Row],[ROUTE $]]/Table215[[#This Row],[E - DEMAND]],0)</f>
        <v>0</v>
      </c>
      <c r="L383" s="43"/>
      <c r="M383" s="39" t="e">
        <f>VLOOKUP(Table215[[#This Row],[ROUTE]],DEMAND!A:F,5,FALSE)</f>
        <v>#N/A</v>
      </c>
      <c r="N383" s="39" t="e">
        <f>VLOOKUP(Table215[[#This Row],[ROUTE]],DEMAND!A:F,6,FALSE)</f>
        <v>#N/A</v>
      </c>
      <c r="O383" s="39" t="e">
        <f>ROUNDDOWN(Table215[[#This Row],[R-DEMAND]]/1320,0)</f>
        <v>#N/A</v>
      </c>
      <c r="P383" s="41" t="e">
        <f>Table215[[#This Row],[ADD ACC]]*Table215[[#This Row],[RT TIME (744)]]</f>
        <v>#N/A</v>
      </c>
    </row>
    <row r="384" spans="1:16" ht="15" customHeight="1" x14ac:dyDescent="0.25">
      <c r="A384" s="38" t="s">
        <v>14029</v>
      </c>
      <c r="B384" s="39" t="s">
        <v>4785</v>
      </c>
      <c r="C384" s="39"/>
      <c r="D384" s="39">
        <v>3</v>
      </c>
      <c r="E384" s="143" t="s">
        <v>647</v>
      </c>
      <c r="F384" s="38" t="e">
        <f>VLOOKUP(E:E,Table10[[COUNTRY NAME]:[CONTINENT CODE]],3,FALSE)</f>
        <v>#N/A</v>
      </c>
      <c r="G384" s="155" t="s">
        <v>13361</v>
      </c>
      <c r="H384" s="40">
        <v>7222</v>
      </c>
      <c r="I384" s="41">
        <v>18</v>
      </c>
      <c r="J384" s="157"/>
      <c r="K384" s="42">
        <f>IFERROR(Table215[[#This Row],[ROUTE $]]/Table215[[#This Row],[E - DEMAND]],0)</f>
        <v>0</v>
      </c>
      <c r="L384" s="43"/>
      <c r="M384" s="39" t="e">
        <f>VLOOKUP(Table215[[#This Row],[ROUTE]],DEMAND!A:F,5,FALSE)</f>
        <v>#N/A</v>
      </c>
      <c r="N384" s="39" t="e">
        <f>VLOOKUP(Table215[[#This Row],[ROUTE]],DEMAND!A:F,6,FALSE)</f>
        <v>#N/A</v>
      </c>
      <c r="O384" s="39" t="e">
        <f>ROUNDDOWN(Table215[[#This Row],[R-DEMAND]]/1320,0)</f>
        <v>#N/A</v>
      </c>
      <c r="P384" s="41" t="e">
        <f>Table215[[#This Row],[ADD ACC]]*Table215[[#This Row],[RT TIME (744)]]</f>
        <v>#N/A</v>
      </c>
    </row>
    <row r="385" spans="1:16" ht="15" customHeight="1" x14ac:dyDescent="0.25">
      <c r="A385" s="38" t="s">
        <v>14030</v>
      </c>
      <c r="B385" s="39" t="s">
        <v>4852</v>
      </c>
      <c r="C385" s="39"/>
      <c r="D385" s="39">
        <v>3</v>
      </c>
      <c r="E385" s="143" t="s">
        <v>647</v>
      </c>
      <c r="F385" s="38" t="e">
        <f>VLOOKUP(E:E,Table10[[COUNTRY NAME]:[CONTINENT CODE]],3,FALSE)</f>
        <v>#N/A</v>
      </c>
      <c r="G385" s="155" t="s">
        <v>13362</v>
      </c>
      <c r="H385" s="40">
        <v>7198</v>
      </c>
      <c r="I385" s="41">
        <v>18</v>
      </c>
      <c r="J385" s="157"/>
      <c r="K385" s="42">
        <f>IFERROR(Table215[[#This Row],[ROUTE $]]/Table215[[#This Row],[E - DEMAND]],0)</f>
        <v>0</v>
      </c>
      <c r="L385" s="43"/>
      <c r="M385" s="39" t="e">
        <f>VLOOKUP(Table215[[#This Row],[ROUTE]],DEMAND!A:F,5,FALSE)</f>
        <v>#N/A</v>
      </c>
      <c r="N385" s="39" t="e">
        <f>VLOOKUP(Table215[[#This Row],[ROUTE]],DEMAND!A:F,6,FALSE)</f>
        <v>#N/A</v>
      </c>
      <c r="O385" s="39" t="e">
        <f>ROUNDDOWN(Table215[[#This Row],[R-DEMAND]]/1320,0)</f>
        <v>#N/A</v>
      </c>
      <c r="P385" s="41" t="e">
        <f>Table215[[#This Row],[ADD ACC]]*Table215[[#This Row],[RT TIME (744)]]</f>
        <v>#N/A</v>
      </c>
    </row>
    <row r="386" spans="1:16" ht="15" customHeight="1" x14ac:dyDescent="0.25">
      <c r="A386" s="38" t="s">
        <v>13684</v>
      </c>
      <c r="B386" s="39" t="s">
        <v>4469</v>
      </c>
      <c r="C386" s="39"/>
      <c r="D386" s="39">
        <v>2</v>
      </c>
      <c r="E386" s="38" t="s">
        <v>1749</v>
      </c>
      <c r="F386" s="38" t="str">
        <f>VLOOKUP(E:E,Table10[[COUNTRY NAME]:[CONTINENT CODE]],3,FALSE)</f>
        <v>NA</v>
      </c>
      <c r="G386" s="155" t="s">
        <v>13227</v>
      </c>
      <c r="H386" s="40">
        <v>7314</v>
      </c>
      <c r="I386" s="41">
        <v>18.25</v>
      </c>
      <c r="J386" s="157"/>
      <c r="K386" s="42">
        <f>IFERROR(Table215[[#This Row],[ROUTE $]]/Table215[[#This Row],[E - DEMAND]],0)</f>
        <v>0</v>
      </c>
      <c r="L386" s="43"/>
      <c r="M386" s="39" t="e">
        <f>VLOOKUP(Table215[[#This Row],[ROUTE]],DEMAND!A:F,5,FALSE)</f>
        <v>#N/A</v>
      </c>
      <c r="N386" s="39" t="e">
        <f>VLOOKUP(Table215[[#This Row],[ROUTE]],DEMAND!A:F,6,FALSE)</f>
        <v>#N/A</v>
      </c>
      <c r="O386" s="39" t="e">
        <f>ROUNDDOWN(Table215[[#This Row],[R-DEMAND]]/1320,0)</f>
        <v>#N/A</v>
      </c>
      <c r="P386" s="41" t="e">
        <f>Table215[[#This Row],[ADD ACC]]*Table215[[#This Row],[RT TIME (744)]]</f>
        <v>#N/A</v>
      </c>
    </row>
    <row r="387" spans="1:16" ht="15" customHeight="1" x14ac:dyDescent="0.25">
      <c r="A387" s="38" t="s">
        <v>14028</v>
      </c>
      <c r="B387" s="39" t="s">
        <v>5161</v>
      </c>
      <c r="C387" s="39"/>
      <c r="D387" s="39">
        <v>3</v>
      </c>
      <c r="E387" s="143" t="s">
        <v>647</v>
      </c>
      <c r="F387" s="38" t="e">
        <f>VLOOKUP(E:E,Table10[[COUNTRY NAME]:[CONTINENT CODE]],3,FALSE)</f>
        <v>#N/A</v>
      </c>
      <c r="G387" s="155" t="s">
        <v>13232</v>
      </c>
      <c r="H387" s="40">
        <v>7308</v>
      </c>
      <c r="I387" s="41">
        <v>18.25</v>
      </c>
      <c r="J387" s="157"/>
      <c r="K387" s="42">
        <f>IFERROR(Table215[[#This Row],[ROUTE $]]/Table215[[#This Row],[E - DEMAND]],0)</f>
        <v>0</v>
      </c>
      <c r="L387" s="43"/>
      <c r="M387" s="39" t="e">
        <f>VLOOKUP(Table215[[#This Row],[ROUTE]],DEMAND!A:F,5,FALSE)</f>
        <v>#N/A</v>
      </c>
      <c r="N387" s="39" t="e">
        <f>VLOOKUP(Table215[[#This Row],[ROUTE]],DEMAND!A:F,6,FALSE)</f>
        <v>#N/A</v>
      </c>
      <c r="O387" s="39" t="e">
        <f>ROUNDDOWN(Table215[[#This Row],[R-DEMAND]]/1320,0)</f>
        <v>#N/A</v>
      </c>
      <c r="P387" s="41" t="e">
        <f>Table215[[#This Row],[ADD ACC]]*Table215[[#This Row],[RT TIME (744)]]</f>
        <v>#N/A</v>
      </c>
    </row>
    <row r="388" spans="1:16" ht="15" customHeight="1" x14ac:dyDescent="0.25">
      <c r="A388" s="38" t="s">
        <v>13683</v>
      </c>
      <c r="B388" s="39" t="s">
        <v>3792</v>
      </c>
      <c r="C388" s="39"/>
      <c r="D388" s="39">
        <v>2</v>
      </c>
      <c r="E388" s="38" t="s">
        <v>1749</v>
      </c>
      <c r="F388" s="38" t="str">
        <f>VLOOKUP(E:E,Table10[[COUNTRY NAME]:[CONTINENT CODE]],3,FALSE)</f>
        <v>NA</v>
      </c>
      <c r="G388" s="155" t="s">
        <v>13226</v>
      </c>
      <c r="H388" s="40">
        <v>7358</v>
      </c>
      <c r="I388" s="41">
        <v>18.5</v>
      </c>
      <c r="J388" s="157"/>
      <c r="K388" s="42">
        <f>IFERROR(Table215[[#This Row],[ROUTE $]]/Table215[[#This Row],[E - DEMAND]],0)</f>
        <v>0</v>
      </c>
      <c r="L388" s="43"/>
      <c r="M388" s="39" t="e">
        <f>VLOOKUP(Table215[[#This Row],[ROUTE]],DEMAND!A:F,5,FALSE)</f>
        <v>#N/A</v>
      </c>
      <c r="N388" s="39" t="e">
        <f>VLOOKUP(Table215[[#This Row],[ROUTE]],DEMAND!A:F,6,FALSE)</f>
        <v>#N/A</v>
      </c>
      <c r="O388" s="39" t="e">
        <f>ROUNDDOWN(Table215[[#This Row],[R-DEMAND]]/1320,0)</f>
        <v>#N/A</v>
      </c>
      <c r="P388" s="41" t="e">
        <f>Table215[[#This Row],[ADD ACC]]*Table215[[#This Row],[RT TIME (744)]]</f>
        <v>#N/A</v>
      </c>
    </row>
    <row r="389" spans="1:16" ht="15" customHeight="1" x14ac:dyDescent="0.25">
      <c r="A389" s="38" t="s">
        <v>13695</v>
      </c>
      <c r="B389" s="39" t="s">
        <v>2569</v>
      </c>
      <c r="C389" s="39"/>
      <c r="D389" s="39">
        <v>2</v>
      </c>
      <c r="E389" s="38" t="s">
        <v>608</v>
      </c>
      <c r="F389" s="38" t="str">
        <f>VLOOKUP(E:E,Table10[[COUNTRY NAME]:[CONTINENT CODE]],3,FALSE)</f>
        <v>AF</v>
      </c>
      <c r="G389" s="155" t="s">
        <v>7996</v>
      </c>
      <c r="H389" s="40">
        <v>7371</v>
      </c>
      <c r="I389" s="41">
        <v>18.5</v>
      </c>
      <c r="J389" s="157"/>
      <c r="K389" s="42">
        <f>IFERROR(Table215[[#This Row],[ROUTE $]]/Table215[[#This Row],[E - DEMAND]],0)</f>
        <v>0</v>
      </c>
      <c r="L389" s="43"/>
      <c r="M389" s="39" t="e">
        <f>VLOOKUP(Table215[[#This Row],[ROUTE]],DEMAND!A:F,5,FALSE)</f>
        <v>#N/A</v>
      </c>
      <c r="N389" s="39" t="e">
        <f>VLOOKUP(Table215[[#This Row],[ROUTE]],DEMAND!A:F,6,FALSE)</f>
        <v>#N/A</v>
      </c>
      <c r="O389" s="39" t="e">
        <f>ROUNDDOWN(Table215[[#This Row],[R-DEMAND]]/1320,0)</f>
        <v>#N/A</v>
      </c>
      <c r="P389" s="41" t="e">
        <f>Table215[[#This Row],[ADD ACC]]*Table215[[#This Row],[RT TIME (744)]]</f>
        <v>#N/A</v>
      </c>
    </row>
    <row r="390" spans="1:16" ht="15" customHeight="1" x14ac:dyDescent="0.25">
      <c r="A390" s="38" t="s">
        <v>13708</v>
      </c>
      <c r="B390" s="39" t="s">
        <v>2061</v>
      </c>
      <c r="C390" s="39"/>
      <c r="D390" s="39">
        <v>1</v>
      </c>
      <c r="E390" s="38" t="s">
        <v>2059</v>
      </c>
      <c r="F390" s="38" t="str">
        <f>VLOOKUP(E:E,Table10[[COUNTRY NAME]:[CONTINENT CODE]],3,FALSE)</f>
        <v>AF</v>
      </c>
      <c r="G390" s="155" t="s">
        <v>11799</v>
      </c>
      <c r="H390" s="40">
        <v>7361</v>
      </c>
      <c r="I390" s="41">
        <v>18.5</v>
      </c>
      <c r="J390" s="157"/>
      <c r="K390" s="42">
        <f>IFERROR(Table215[[#This Row],[ROUTE $]]/Table215[[#This Row],[E - DEMAND]],0)</f>
        <v>0</v>
      </c>
      <c r="L390" s="43"/>
      <c r="M390" s="39" t="e">
        <f>VLOOKUP(Table215[[#This Row],[ROUTE]],DEMAND!A:F,5,FALSE)</f>
        <v>#N/A</v>
      </c>
      <c r="N390" s="39" t="e">
        <f>VLOOKUP(Table215[[#This Row],[ROUTE]],DEMAND!A:F,6,FALSE)</f>
        <v>#N/A</v>
      </c>
      <c r="O390" s="39" t="e">
        <f>ROUNDDOWN(Table215[[#This Row],[R-DEMAND]]/1320,0)</f>
        <v>#N/A</v>
      </c>
      <c r="P390" s="41" t="e">
        <f>Table215[[#This Row],[ADD ACC]]*Table215[[#This Row],[RT TIME (744)]]</f>
        <v>#N/A</v>
      </c>
    </row>
    <row r="391" spans="1:16" ht="15" customHeight="1" x14ac:dyDescent="0.25">
      <c r="A391" s="38" t="s">
        <v>13813</v>
      </c>
      <c r="B391" s="39" t="s">
        <v>273</v>
      </c>
      <c r="C391" s="39"/>
      <c r="D391" s="39">
        <v>2</v>
      </c>
      <c r="E391" s="38" t="s">
        <v>926</v>
      </c>
      <c r="F391" s="38" t="str">
        <f>VLOOKUP(E:E,Table10[[COUNTRY NAME]:[CONTINENT CODE]],3,FALSE)</f>
        <v>AF</v>
      </c>
      <c r="G391" s="155" t="s">
        <v>11889</v>
      </c>
      <c r="H391" s="40">
        <v>7415</v>
      </c>
      <c r="I391" s="41">
        <v>18.5</v>
      </c>
      <c r="J391" s="157"/>
      <c r="K391" s="42">
        <f>IFERROR(Table215[[#This Row],[ROUTE $]]/Table215[[#This Row],[E - DEMAND]],0)</f>
        <v>0</v>
      </c>
      <c r="L391" s="43"/>
      <c r="M391" s="39" t="e">
        <f>VLOOKUP(Table215[[#This Row],[ROUTE]],DEMAND!A:F,5,FALSE)</f>
        <v>#N/A</v>
      </c>
      <c r="N391" s="39" t="e">
        <f>VLOOKUP(Table215[[#This Row],[ROUTE]],DEMAND!A:F,6,FALSE)</f>
        <v>#N/A</v>
      </c>
      <c r="O391" s="39" t="e">
        <f>ROUNDDOWN(Table215[[#This Row],[R-DEMAND]]/1320,0)</f>
        <v>#N/A</v>
      </c>
      <c r="P391" s="41" t="e">
        <f>Table215[[#This Row],[ADD ACC]]*Table215[[#This Row],[RT TIME (744)]]</f>
        <v>#N/A</v>
      </c>
    </row>
    <row r="392" spans="1:16" ht="15" customHeight="1" x14ac:dyDescent="0.25">
      <c r="A392" s="38" t="s">
        <v>14026</v>
      </c>
      <c r="B392" s="39" t="s">
        <v>5553</v>
      </c>
      <c r="C392" s="39"/>
      <c r="D392" s="39">
        <v>4</v>
      </c>
      <c r="E392" s="143" t="s">
        <v>647</v>
      </c>
      <c r="F392" s="38" t="e">
        <f>VLOOKUP(E:E,Table10[[COUNTRY NAME]:[CONTINENT CODE]],3,FALSE)</f>
        <v>#N/A</v>
      </c>
      <c r="G392" s="155" t="s">
        <v>13359</v>
      </c>
      <c r="H392" s="40">
        <v>7421</v>
      </c>
      <c r="I392" s="41">
        <v>18.5</v>
      </c>
      <c r="J392" s="157"/>
      <c r="K392" s="42">
        <f>IFERROR(Table215[[#This Row],[ROUTE $]]/Table215[[#This Row],[E - DEMAND]],0)</f>
        <v>0</v>
      </c>
      <c r="L392" s="43"/>
      <c r="M392" s="39" t="e">
        <f>VLOOKUP(Table215[[#This Row],[ROUTE]],DEMAND!A:F,5,FALSE)</f>
        <v>#N/A</v>
      </c>
      <c r="N392" s="39" t="e">
        <f>VLOOKUP(Table215[[#This Row],[ROUTE]],DEMAND!A:F,6,FALSE)</f>
        <v>#N/A</v>
      </c>
      <c r="O392" s="39" t="e">
        <f>ROUNDDOWN(Table215[[#This Row],[R-DEMAND]]/1320,0)</f>
        <v>#N/A</v>
      </c>
      <c r="P392" s="41" t="e">
        <f>Table215[[#This Row],[ADD ACC]]*Table215[[#This Row],[RT TIME (744)]]</f>
        <v>#N/A</v>
      </c>
    </row>
    <row r="393" spans="1:16" ht="15" customHeight="1" x14ac:dyDescent="0.25">
      <c r="A393" s="38" t="s">
        <v>14027</v>
      </c>
      <c r="B393" s="39" t="s">
        <v>4371</v>
      </c>
      <c r="C393" s="39"/>
      <c r="D393" s="39">
        <v>2</v>
      </c>
      <c r="E393" s="143" t="s">
        <v>647</v>
      </c>
      <c r="F393" s="38" t="e">
        <f>VLOOKUP(E:E,Table10[[COUNTRY NAME]:[CONTINENT CODE]],3,FALSE)</f>
        <v>#N/A</v>
      </c>
      <c r="G393" s="155" t="s">
        <v>13360</v>
      </c>
      <c r="H393" s="40">
        <v>7363</v>
      </c>
      <c r="I393" s="41">
        <v>18.5</v>
      </c>
      <c r="J393" s="157"/>
      <c r="K393" s="42">
        <f>IFERROR(Table215[[#This Row],[ROUTE $]]/Table215[[#This Row],[E - DEMAND]],0)</f>
        <v>0</v>
      </c>
      <c r="L393" s="43"/>
      <c r="M393" s="39" t="e">
        <f>VLOOKUP(Table215[[#This Row],[ROUTE]],DEMAND!A:F,5,FALSE)</f>
        <v>#N/A</v>
      </c>
      <c r="N393" s="39" t="e">
        <f>VLOOKUP(Table215[[#This Row],[ROUTE]],DEMAND!A:F,6,FALSE)</f>
        <v>#N/A</v>
      </c>
      <c r="O393" s="39" t="e">
        <f>ROUNDDOWN(Table215[[#This Row],[R-DEMAND]]/1320,0)</f>
        <v>#N/A</v>
      </c>
      <c r="P393" s="41" t="e">
        <f>Table215[[#This Row],[ADD ACC]]*Table215[[#This Row],[RT TIME (744)]]</f>
        <v>#N/A</v>
      </c>
    </row>
    <row r="394" spans="1:16" ht="15" customHeight="1" x14ac:dyDescent="0.25">
      <c r="A394" s="38" t="s">
        <v>13403</v>
      </c>
      <c r="B394" s="39" t="s">
        <v>1920</v>
      </c>
      <c r="C394" s="39"/>
      <c r="D394" s="39">
        <v>1</v>
      </c>
      <c r="E394" s="1" t="s">
        <v>493</v>
      </c>
      <c r="F394" s="1" t="str">
        <f>VLOOKUP(E:E,Table10[[COUNTRY NAME]:[CONTINENT CODE]],3,FALSE)</f>
        <v>AF</v>
      </c>
      <c r="G394" s="159" t="s">
        <v>11701</v>
      </c>
      <c r="H394" s="8">
        <v>7560</v>
      </c>
      <c r="I394" s="41">
        <v>18.75</v>
      </c>
      <c r="J394" s="157"/>
      <c r="K394" s="6">
        <f>IFERROR(Table215[[#This Row],[ROUTE $]]/Table215[[#This Row],[E - DEMAND]],0)</f>
        <v>0</v>
      </c>
      <c r="L394" s="4"/>
      <c r="M394" s="39" t="e">
        <f>VLOOKUP(Table215[[#This Row],[ROUTE]],DEMAND!A:F,5,FALSE)</f>
        <v>#N/A</v>
      </c>
      <c r="N394" s="39" t="e">
        <f>VLOOKUP(Table215[[#This Row],[ROUTE]],DEMAND!A:F,6,FALSE)</f>
        <v>#N/A</v>
      </c>
      <c r="O394" s="39" t="e">
        <f>ROUNDDOWN(Table215[[#This Row],[R-DEMAND]]/1320,0)</f>
        <v>#N/A</v>
      </c>
      <c r="P394" s="41" t="e">
        <f>Table215[[#This Row],[ADD ACC]]*Table215[[#This Row],[RT TIME (744)]]</f>
        <v>#N/A</v>
      </c>
    </row>
    <row r="395" spans="1:16" ht="15" customHeight="1" x14ac:dyDescent="0.25">
      <c r="A395" s="38" t="s">
        <v>14020</v>
      </c>
      <c r="B395" s="39" t="s">
        <v>5516</v>
      </c>
      <c r="C395" s="39"/>
      <c r="D395" s="39">
        <v>4</v>
      </c>
      <c r="E395" s="143" t="s">
        <v>647</v>
      </c>
      <c r="F395" s="38" t="e">
        <f>VLOOKUP(E:E,Table10[[COUNTRY NAME]:[CONTINENT CODE]],3,FALSE)</f>
        <v>#N/A</v>
      </c>
      <c r="G395" s="155" t="s">
        <v>13353</v>
      </c>
      <c r="H395" s="40">
        <v>7561</v>
      </c>
      <c r="I395" s="41">
        <v>18.75</v>
      </c>
      <c r="J395" s="157"/>
      <c r="K395" s="42">
        <f>IFERROR(Table215[[#This Row],[ROUTE $]]/Table215[[#This Row],[E - DEMAND]],0)</f>
        <v>0</v>
      </c>
      <c r="L395" s="43"/>
      <c r="M395" s="39" t="e">
        <f>VLOOKUP(Table215[[#This Row],[ROUTE]],DEMAND!A:F,5,FALSE)</f>
        <v>#N/A</v>
      </c>
      <c r="N395" s="39" t="e">
        <f>VLOOKUP(Table215[[#This Row],[ROUTE]],DEMAND!A:F,6,FALSE)</f>
        <v>#N/A</v>
      </c>
      <c r="O395" s="39" t="e">
        <f>ROUNDDOWN(Table215[[#This Row],[R-DEMAND]]/1320,0)</f>
        <v>#N/A</v>
      </c>
      <c r="P395" s="41" t="e">
        <f>Table215[[#This Row],[ADD ACC]]*Table215[[#This Row],[RT TIME (744)]]</f>
        <v>#N/A</v>
      </c>
    </row>
    <row r="396" spans="1:16" ht="15" customHeight="1" x14ac:dyDescent="0.25">
      <c r="A396" s="38" t="s">
        <v>14024</v>
      </c>
      <c r="B396" s="39" t="s">
        <v>4837</v>
      </c>
      <c r="C396" s="39"/>
      <c r="D396" s="39">
        <v>3</v>
      </c>
      <c r="E396" s="143" t="s">
        <v>647</v>
      </c>
      <c r="F396" s="38" t="e">
        <f>VLOOKUP(E:E,Table10[[COUNTRY NAME]:[CONTINENT CODE]],3,FALSE)</f>
        <v>#N/A</v>
      </c>
      <c r="G396" s="155" t="s">
        <v>13357</v>
      </c>
      <c r="H396" s="40">
        <v>7472</v>
      </c>
      <c r="I396" s="41">
        <v>18.75</v>
      </c>
      <c r="J396" s="157"/>
      <c r="K396" s="42">
        <f>IFERROR(Table215[[#This Row],[ROUTE $]]/Table215[[#This Row],[E - DEMAND]],0)</f>
        <v>0</v>
      </c>
      <c r="L396" s="43"/>
      <c r="M396" s="39" t="e">
        <f>VLOOKUP(Table215[[#This Row],[ROUTE]],DEMAND!A:F,5,FALSE)</f>
        <v>#N/A</v>
      </c>
      <c r="N396" s="39" t="e">
        <f>VLOOKUP(Table215[[#This Row],[ROUTE]],DEMAND!A:F,6,FALSE)</f>
        <v>#N/A</v>
      </c>
      <c r="O396" s="39" t="e">
        <f>ROUNDDOWN(Table215[[#This Row],[R-DEMAND]]/1320,0)</f>
        <v>#N/A</v>
      </c>
      <c r="P396" s="41" t="e">
        <f>Table215[[#This Row],[ADD ACC]]*Table215[[#This Row],[RT TIME (744)]]</f>
        <v>#N/A</v>
      </c>
    </row>
    <row r="397" spans="1:16" ht="15" customHeight="1" x14ac:dyDescent="0.25">
      <c r="A397" s="38" t="s">
        <v>14023</v>
      </c>
      <c r="B397" s="39" t="s">
        <v>4902</v>
      </c>
      <c r="C397" s="39"/>
      <c r="D397" s="39">
        <v>3</v>
      </c>
      <c r="E397" s="143" t="s">
        <v>647</v>
      </c>
      <c r="F397" s="38" t="e">
        <f>VLOOKUP(E:E,Table10[[COUNTRY NAME]:[CONTINENT CODE]],3,FALSE)</f>
        <v>#N/A</v>
      </c>
      <c r="G397" s="155" t="s">
        <v>13356</v>
      </c>
      <c r="H397" s="40">
        <v>7497</v>
      </c>
      <c r="I397" s="41">
        <v>18.75</v>
      </c>
      <c r="J397" s="157"/>
      <c r="K397" s="42">
        <f>IFERROR(Table215[[#This Row],[ROUTE $]]/Table215[[#This Row],[E - DEMAND]],0)</f>
        <v>0</v>
      </c>
      <c r="L397" s="43"/>
      <c r="M397" s="39" t="e">
        <f>VLOOKUP(Table215[[#This Row],[ROUTE]],DEMAND!A:F,5,FALSE)</f>
        <v>#N/A</v>
      </c>
      <c r="N397" s="39" t="e">
        <f>VLOOKUP(Table215[[#This Row],[ROUTE]],DEMAND!A:F,6,FALSE)</f>
        <v>#N/A</v>
      </c>
      <c r="O397" s="39" t="e">
        <f>ROUNDDOWN(Table215[[#This Row],[R-DEMAND]]/1320,0)</f>
        <v>#N/A</v>
      </c>
      <c r="P397" s="41" t="e">
        <f>Table215[[#This Row],[ADD ACC]]*Table215[[#This Row],[RT TIME (744)]]</f>
        <v>#N/A</v>
      </c>
    </row>
    <row r="398" spans="1:16" ht="15" customHeight="1" x14ac:dyDescent="0.25">
      <c r="A398" s="38" t="s">
        <v>14022</v>
      </c>
      <c r="B398" s="39" t="s">
        <v>4718</v>
      </c>
      <c r="C398" s="39"/>
      <c r="D398" s="39">
        <v>3</v>
      </c>
      <c r="E398" s="143" t="s">
        <v>647</v>
      </c>
      <c r="F398" s="38" t="e">
        <f>VLOOKUP(E:E,Table10[[COUNTRY NAME]:[CONTINENT CODE]],3,FALSE)</f>
        <v>#N/A</v>
      </c>
      <c r="G398" s="155" t="s">
        <v>13355</v>
      </c>
      <c r="H398" s="40">
        <v>7504</v>
      </c>
      <c r="I398" s="41">
        <v>18.75</v>
      </c>
      <c r="J398" s="157"/>
      <c r="K398" s="42">
        <f>IFERROR(Table215[[#This Row],[ROUTE $]]/Table215[[#This Row],[E - DEMAND]],0)</f>
        <v>0</v>
      </c>
      <c r="L398" s="43"/>
      <c r="M398" s="39" t="e">
        <f>VLOOKUP(Table215[[#This Row],[ROUTE]],DEMAND!A:F,5,FALSE)</f>
        <v>#N/A</v>
      </c>
      <c r="N398" s="39" t="e">
        <f>VLOOKUP(Table215[[#This Row],[ROUTE]],DEMAND!A:F,6,FALSE)</f>
        <v>#N/A</v>
      </c>
      <c r="O398" s="39" t="e">
        <f>ROUNDDOWN(Table215[[#This Row],[R-DEMAND]]/1320,0)</f>
        <v>#N/A</v>
      </c>
      <c r="P398" s="41" t="e">
        <f>Table215[[#This Row],[ADD ACC]]*Table215[[#This Row],[RT TIME (744)]]</f>
        <v>#N/A</v>
      </c>
    </row>
    <row r="399" spans="1:16" ht="15" customHeight="1" x14ac:dyDescent="0.25">
      <c r="A399" s="38" t="s">
        <v>13402</v>
      </c>
      <c r="B399" s="39" t="s">
        <v>2946</v>
      </c>
      <c r="C399" s="39"/>
      <c r="D399" s="39">
        <v>2</v>
      </c>
      <c r="E399" s="1" t="s">
        <v>493</v>
      </c>
      <c r="F399" s="1" t="str">
        <f>VLOOKUP(E:E,Table10[[COUNTRY NAME]:[CONTINENT CODE]],3,FALSE)</f>
        <v>AF</v>
      </c>
      <c r="G399" s="160" t="s">
        <v>11727</v>
      </c>
      <c r="H399" s="40">
        <v>7611</v>
      </c>
      <c r="I399" s="41">
        <v>19</v>
      </c>
      <c r="J399" s="157"/>
      <c r="K399" s="42">
        <f>IFERROR(Table215[[#This Row],[ROUTE $]]/Table215[[#This Row],[E - DEMAND]],0)</f>
        <v>0</v>
      </c>
      <c r="L399" s="43"/>
      <c r="M399" s="39" t="e">
        <f>VLOOKUP(Table215[[#This Row],[ROUTE]],DEMAND!A:F,5,FALSE)</f>
        <v>#N/A</v>
      </c>
      <c r="N399" s="39" t="e">
        <f>VLOOKUP(Table215[[#This Row],[ROUTE]],DEMAND!A:F,6,FALSE)</f>
        <v>#N/A</v>
      </c>
      <c r="O399" s="39" t="e">
        <f>ROUNDDOWN(Table215[[#This Row],[R-DEMAND]]/1320,0)</f>
        <v>#N/A</v>
      </c>
      <c r="P399" s="41" t="e">
        <f>Table215[[#This Row],[ADD ACC]]*Table215[[#This Row],[RT TIME (744)]]</f>
        <v>#N/A</v>
      </c>
    </row>
    <row r="400" spans="1:16" ht="15" customHeight="1" x14ac:dyDescent="0.25">
      <c r="A400" s="38" t="s">
        <v>13680</v>
      </c>
      <c r="B400" s="39" t="s">
        <v>4266</v>
      </c>
      <c r="C400" s="39"/>
      <c r="D400" s="39">
        <v>2</v>
      </c>
      <c r="E400" s="38" t="s">
        <v>1749</v>
      </c>
      <c r="F400" s="38" t="str">
        <f>VLOOKUP(E:E,Table10[[COUNTRY NAME]:[CONTINENT CODE]],3,FALSE)</f>
        <v>NA</v>
      </c>
      <c r="G400" s="155" t="s">
        <v>13223</v>
      </c>
      <c r="H400" s="40">
        <v>7626</v>
      </c>
      <c r="I400" s="41">
        <v>19</v>
      </c>
      <c r="J400" s="157"/>
      <c r="K400" s="42">
        <f>IFERROR(Table215[[#This Row],[ROUTE $]]/Table215[[#This Row],[E - DEMAND]],0)</f>
        <v>0</v>
      </c>
      <c r="L400" s="43"/>
      <c r="M400" s="39" t="e">
        <f>VLOOKUP(Table215[[#This Row],[ROUTE]],DEMAND!A:F,5,FALSE)</f>
        <v>#N/A</v>
      </c>
      <c r="N400" s="39" t="e">
        <f>VLOOKUP(Table215[[#This Row],[ROUTE]],DEMAND!A:F,6,FALSE)</f>
        <v>#N/A</v>
      </c>
      <c r="O400" s="39" t="e">
        <f>ROUNDDOWN(Table215[[#This Row],[R-DEMAND]]/1320,0)</f>
        <v>#N/A</v>
      </c>
      <c r="P400" s="41" t="e">
        <f>Table215[[#This Row],[ADD ACC]]*Table215[[#This Row],[RT TIME (744)]]</f>
        <v>#N/A</v>
      </c>
    </row>
    <row r="401" spans="1:16" ht="15" customHeight="1" x14ac:dyDescent="0.25">
      <c r="A401" s="38" t="s">
        <v>13692</v>
      </c>
      <c r="B401" s="39" t="s">
        <v>3799</v>
      </c>
      <c r="C401" s="39"/>
      <c r="D401" s="39">
        <v>2</v>
      </c>
      <c r="E401" s="38" t="s">
        <v>608</v>
      </c>
      <c r="F401" s="38" t="str">
        <f>VLOOKUP(E:E,Table10[[COUNTRY NAME]:[CONTINENT CODE]],3,FALSE)</f>
        <v>AF</v>
      </c>
      <c r="G401" s="155" t="s">
        <v>11678</v>
      </c>
      <c r="H401" s="40">
        <v>7648</v>
      </c>
      <c r="I401" s="41">
        <v>19</v>
      </c>
      <c r="J401" s="157"/>
      <c r="K401" s="42">
        <f>IFERROR(Table215[[#This Row],[ROUTE $]]/Table215[[#This Row],[E - DEMAND]],0)</f>
        <v>0</v>
      </c>
      <c r="L401" s="43"/>
      <c r="M401" s="39" t="e">
        <f>VLOOKUP(Table215[[#This Row],[ROUTE]],DEMAND!A:F,5,FALSE)</f>
        <v>#N/A</v>
      </c>
      <c r="N401" s="39" t="e">
        <f>VLOOKUP(Table215[[#This Row],[ROUTE]],DEMAND!A:F,6,FALSE)</f>
        <v>#N/A</v>
      </c>
      <c r="O401" s="39" t="e">
        <f>ROUNDDOWN(Table215[[#This Row],[R-DEMAND]]/1320,0)</f>
        <v>#N/A</v>
      </c>
      <c r="P401" s="41" t="e">
        <f>Table215[[#This Row],[ADD ACC]]*Table215[[#This Row],[RT TIME (744)]]</f>
        <v>#N/A</v>
      </c>
    </row>
    <row r="402" spans="1:16" ht="15" customHeight="1" x14ac:dyDescent="0.25">
      <c r="A402" s="38" t="s">
        <v>13693</v>
      </c>
      <c r="B402" s="39" t="s">
        <v>853</v>
      </c>
      <c r="C402" s="39"/>
      <c r="D402" s="39">
        <v>1</v>
      </c>
      <c r="E402" s="38" t="s">
        <v>608</v>
      </c>
      <c r="F402" s="38" t="str">
        <f>VLOOKUP(E:E,Table10[[COUNTRY NAME]:[CONTINENT CODE]],3,FALSE)</f>
        <v>AF</v>
      </c>
      <c r="G402" s="155" t="s">
        <v>11687</v>
      </c>
      <c r="H402" s="40">
        <v>7611</v>
      </c>
      <c r="I402" s="41">
        <v>19</v>
      </c>
      <c r="J402" s="157"/>
      <c r="K402" s="42">
        <f>IFERROR(Table215[[#This Row],[ROUTE $]]/Table215[[#This Row],[E - DEMAND]],0)</f>
        <v>0</v>
      </c>
      <c r="L402" s="43"/>
      <c r="M402" s="39" t="e">
        <f>VLOOKUP(Table215[[#This Row],[ROUTE]],DEMAND!A:F,5,FALSE)</f>
        <v>#N/A</v>
      </c>
      <c r="N402" s="39" t="e">
        <f>VLOOKUP(Table215[[#This Row],[ROUTE]],DEMAND!A:F,6,FALSE)</f>
        <v>#N/A</v>
      </c>
      <c r="O402" s="39" t="e">
        <f>ROUNDDOWN(Table215[[#This Row],[R-DEMAND]]/1320,0)</f>
        <v>#N/A</v>
      </c>
      <c r="P402" s="41" t="e">
        <f>Table215[[#This Row],[ADD ACC]]*Table215[[#This Row],[RT TIME (744)]]</f>
        <v>#N/A</v>
      </c>
    </row>
    <row r="403" spans="1:16" ht="15" customHeight="1" x14ac:dyDescent="0.25">
      <c r="A403" s="38" t="s">
        <v>14019</v>
      </c>
      <c r="B403" s="39" t="s">
        <v>4605</v>
      </c>
      <c r="C403" s="39"/>
      <c r="D403" s="39">
        <v>2</v>
      </c>
      <c r="E403" s="143" t="s">
        <v>647</v>
      </c>
      <c r="F403" s="38" t="e">
        <f>VLOOKUP(E:E,Table10[[COUNTRY NAME]:[CONTINENT CODE]],3,FALSE)</f>
        <v>#N/A</v>
      </c>
      <c r="G403" s="155" t="s">
        <v>13352</v>
      </c>
      <c r="H403" s="40">
        <v>7580</v>
      </c>
      <c r="I403" s="41">
        <v>19</v>
      </c>
      <c r="J403" s="157"/>
      <c r="K403" s="42">
        <f>IFERROR(Table215[[#This Row],[ROUTE $]]/Table215[[#This Row],[E - DEMAND]],0)</f>
        <v>0</v>
      </c>
      <c r="L403" s="43"/>
      <c r="M403" s="39" t="e">
        <f>VLOOKUP(Table215[[#This Row],[ROUTE]],DEMAND!A:F,5,FALSE)</f>
        <v>#N/A</v>
      </c>
      <c r="N403" s="39" t="e">
        <f>VLOOKUP(Table215[[#This Row],[ROUTE]],DEMAND!A:F,6,FALSE)</f>
        <v>#N/A</v>
      </c>
      <c r="O403" s="39" t="e">
        <f>ROUNDDOWN(Table215[[#This Row],[R-DEMAND]]/1320,0)</f>
        <v>#N/A</v>
      </c>
      <c r="P403" s="41" t="e">
        <f>Table215[[#This Row],[ADD ACC]]*Table215[[#This Row],[RT TIME (744)]]</f>
        <v>#N/A</v>
      </c>
    </row>
    <row r="404" spans="1:16" ht="15" customHeight="1" x14ac:dyDescent="0.25">
      <c r="A404" s="38" t="s">
        <v>14017</v>
      </c>
      <c r="B404" s="39" t="s">
        <v>5145</v>
      </c>
      <c r="C404" s="39"/>
      <c r="D404" s="39">
        <v>3</v>
      </c>
      <c r="E404" s="143" t="s">
        <v>647</v>
      </c>
      <c r="F404" s="38" t="e">
        <f>VLOOKUP(E:E,Table10[[COUNTRY NAME]:[CONTINENT CODE]],3,FALSE)</f>
        <v>#N/A</v>
      </c>
      <c r="G404" s="155" t="s">
        <v>13350</v>
      </c>
      <c r="H404" s="40">
        <v>7640</v>
      </c>
      <c r="I404" s="41">
        <v>19</v>
      </c>
      <c r="J404" s="157"/>
      <c r="K404" s="42">
        <f>IFERROR(Table215[[#This Row],[ROUTE $]]/Table215[[#This Row],[E - DEMAND]],0)</f>
        <v>0</v>
      </c>
      <c r="L404" s="43"/>
      <c r="M404" s="39" t="e">
        <f>VLOOKUP(Table215[[#This Row],[ROUTE]],DEMAND!A:F,5,FALSE)</f>
        <v>#N/A</v>
      </c>
      <c r="N404" s="39" t="e">
        <f>VLOOKUP(Table215[[#This Row],[ROUTE]],DEMAND!A:F,6,FALSE)</f>
        <v>#N/A</v>
      </c>
      <c r="O404" s="39" t="e">
        <f>ROUNDDOWN(Table215[[#This Row],[R-DEMAND]]/1320,0)</f>
        <v>#N/A</v>
      </c>
      <c r="P404" s="41" t="e">
        <f>Table215[[#This Row],[ADD ACC]]*Table215[[#This Row],[RT TIME (744)]]</f>
        <v>#N/A</v>
      </c>
    </row>
    <row r="405" spans="1:16" ht="15" customHeight="1" x14ac:dyDescent="0.25">
      <c r="A405" s="38" t="s">
        <v>14014</v>
      </c>
      <c r="B405" s="39" t="s">
        <v>1846</v>
      </c>
      <c r="C405" s="39"/>
      <c r="D405" s="39">
        <v>1</v>
      </c>
      <c r="E405" s="143" t="s">
        <v>647</v>
      </c>
      <c r="F405" s="38" t="e">
        <f>VLOOKUP(E:E,Table10[[COUNTRY NAME]:[CONTINENT CODE]],3,FALSE)</f>
        <v>#N/A</v>
      </c>
      <c r="G405" s="155" t="s">
        <v>13347</v>
      </c>
      <c r="H405" s="40">
        <v>7657</v>
      </c>
      <c r="I405" s="41">
        <v>19</v>
      </c>
      <c r="J405" s="157"/>
      <c r="K405" s="42">
        <f>IFERROR(Table215[[#This Row],[ROUTE $]]/Table215[[#This Row],[E - DEMAND]],0)</f>
        <v>0</v>
      </c>
      <c r="L405" s="43"/>
      <c r="M405" s="39" t="e">
        <f>VLOOKUP(Table215[[#This Row],[ROUTE]],DEMAND!A:F,5,FALSE)</f>
        <v>#N/A</v>
      </c>
      <c r="N405" s="39" t="e">
        <f>VLOOKUP(Table215[[#This Row],[ROUTE]],DEMAND!A:F,6,FALSE)</f>
        <v>#N/A</v>
      </c>
      <c r="O405" s="39" t="e">
        <f>ROUNDDOWN(Table215[[#This Row],[R-DEMAND]]/1320,0)</f>
        <v>#N/A</v>
      </c>
      <c r="P405" s="41" t="e">
        <f>Table215[[#This Row],[ADD ACC]]*Table215[[#This Row],[RT TIME (744)]]</f>
        <v>#N/A</v>
      </c>
    </row>
    <row r="406" spans="1:16" ht="15" customHeight="1" x14ac:dyDescent="0.25">
      <c r="A406" s="38" t="s">
        <v>13399</v>
      </c>
      <c r="B406" s="39" t="s">
        <v>1522</v>
      </c>
      <c r="C406" s="39"/>
      <c r="D406" s="39">
        <v>1</v>
      </c>
      <c r="E406" s="1" t="s">
        <v>493</v>
      </c>
      <c r="F406" s="1" t="str">
        <f>VLOOKUP(E:E,Table10[[COUNTRY NAME]:[CONTINENT CODE]],3,FALSE)</f>
        <v>AF</v>
      </c>
      <c r="G406" s="160" t="s">
        <v>11693</v>
      </c>
      <c r="H406" s="40">
        <v>7722</v>
      </c>
      <c r="I406" s="41">
        <v>19.25</v>
      </c>
      <c r="J406" s="157"/>
      <c r="K406" s="42">
        <f>IFERROR(Table215[[#This Row],[ROUTE $]]/Table215[[#This Row],[E - DEMAND]],0)</f>
        <v>0</v>
      </c>
      <c r="L406" s="43"/>
      <c r="M406" s="39" t="e">
        <f>VLOOKUP(Table215[[#This Row],[ROUTE]],DEMAND!A:F,5,FALSE)</f>
        <v>#N/A</v>
      </c>
      <c r="N406" s="39" t="e">
        <f>VLOOKUP(Table215[[#This Row],[ROUTE]],DEMAND!A:F,6,FALSE)</f>
        <v>#N/A</v>
      </c>
      <c r="O406" s="39" t="e">
        <f>ROUNDDOWN(Table215[[#This Row],[R-DEMAND]]/1320,0)</f>
        <v>#N/A</v>
      </c>
      <c r="P406" s="41" t="e">
        <f>Table215[[#This Row],[ADD ACC]]*Table215[[#This Row],[RT TIME (744)]]</f>
        <v>#N/A</v>
      </c>
    </row>
    <row r="407" spans="1:16" ht="15" customHeight="1" x14ac:dyDescent="0.25">
      <c r="A407" s="38" t="s">
        <v>13400</v>
      </c>
      <c r="B407" s="39" t="s">
        <v>1169</v>
      </c>
      <c r="C407" s="39"/>
      <c r="D407" s="39">
        <v>1</v>
      </c>
      <c r="E407" s="1" t="s">
        <v>493</v>
      </c>
      <c r="F407" s="1" t="str">
        <f>VLOOKUP(E:E,Table10[[COUNTRY NAME]:[CONTINENT CODE]],3,FALSE)</f>
        <v>AF</v>
      </c>
      <c r="G407" s="156" t="s">
        <v>11715</v>
      </c>
      <c r="H407" s="8">
        <v>7709</v>
      </c>
      <c r="I407" s="41">
        <v>19.25</v>
      </c>
      <c r="J407" s="157"/>
      <c r="K407" s="6">
        <f>IFERROR(Table215[[#This Row],[ROUTE $]]/Table215[[#This Row],[E - DEMAND]],0)</f>
        <v>0</v>
      </c>
      <c r="L407" s="4"/>
      <c r="M407" s="39" t="e">
        <f>VLOOKUP(Table215[[#This Row],[ROUTE]],DEMAND!A:F,5,FALSE)</f>
        <v>#N/A</v>
      </c>
      <c r="N407" s="39" t="e">
        <f>VLOOKUP(Table215[[#This Row],[ROUTE]],DEMAND!A:F,6,FALSE)</f>
        <v>#N/A</v>
      </c>
      <c r="O407" s="39" t="e">
        <f>ROUNDDOWN(Table215[[#This Row],[R-DEMAND]]/1320,0)</f>
        <v>#N/A</v>
      </c>
      <c r="P407" s="41" t="e">
        <f>Table215[[#This Row],[ADD ACC]]*Table215[[#This Row],[RT TIME (744)]]</f>
        <v>#N/A</v>
      </c>
    </row>
    <row r="408" spans="1:16" ht="15" customHeight="1" x14ac:dyDescent="0.25">
      <c r="A408" s="38" t="s">
        <v>13401</v>
      </c>
      <c r="B408" s="39" t="s">
        <v>673</v>
      </c>
      <c r="C408" s="39"/>
      <c r="D408" s="39">
        <v>1</v>
      </c>
      <c r="E408" s="1" t="s">
        <v>493</v>
      </c>
      <c r="F408" s="1" t="str">
        <f>VLOOKUP(E:E,Table10[[COUNTRY NAME]:[CONTINENT CODE]],3,FALSE)</f>
        <v>AF</v>
      </c>
      <c r="G408" s="156" t="s">
        <v>7071</v>
      </c>
      <c r="H408" s="8">
        <v>7701</v>
      </c>
      <c r="I408" s="41">
        <v>19.25</v>
      </c>
      <c r="J408" s="157"/>
      <c r="K408" s="6">
        <f>IFERROR(Table215[[#This Row],[ROUTE $]]/Table215[[#This Row],[E - DEMAND]],0)</f>
        <v>0</v>
      </c>
      <c r="L408" s="5"/>
      <c r="M408" s="39" t="e">
        <f>VLOOKUP(Table215[[#This Row],[ROUTE]],DEMAND!A:F,5,FALSE)</f>
        <v>#N/A</v>
      </c>
      <c r="N408" s="39" t="e">
        <f>VLOOKUP(Table215[[#This Row],[ROUTE]],DEMAND!A:F,6,FALSE)</f>
        <v>#N/A</v>
      </c>
      <c r="O408" s="39" t="e">
        <f>ROUNDDOWN(Table215[[#This Row],[R-DEMAND]]/1320,0)</f>
        <v>#N/A</v>
      </c>
      <c r="P408" s="41" t="e">
        <f>Table215[[#This Row],[ADD ACC]]*Table215[[#This Row],[RT TIME (744)]]</f>
        <v>#N/A</v>
      </c>
    </row>
    <row r="409" spans="1:16" ht="15" customHeight="1" x14ac:dyDescent="0.25">
      <c r="A409" s="38" t="s">
        <v>13489</v>
      </c>
      <c r="B409" s="39" t="s">
        <v>3274</v>
      </c>
      <c r="C409" s="39"/>
      <c r="D409" s="39">
        <v>2</v>
      </c>
      <c r="E409" s="1" t="s">
        <v>3272</v>
      </c>
      <c r="F409" s="1" t="str">
        <f>VLOOKUP(E:E,Table10[[COUNTRY NAME]:[CONTINENT CODE]],3,FALSE)</f>
        <v>AF</v>
      </c>
      <c r="G409" s="156" t="s">
        <v>11810</v>
      </c>
      <c r="H409" s="8">
        <v>7769</v>
      </c>
      <c r="I409" s="41">
        <v>19.25</v>
      </c>
      <c r="J409" s="157"/>
      <c r="K409" s="6">
        <f>IFERROR(Table215[[#This Row],[ROUTE $]]/Table215[[#This Row],[E - DEMAND]],0)</f>
        <v>0</v>
      </c>
      <c r="L409" s="4"/>
      <c r="M409" s="39" t="e">
        <f>VLOOKUP(Table215[[#This Row],[ROUTE]],DEMAND!A:F,5,FALSE)</f>
        <v>#N/A</v>
      </c>
      <c r="N409" s="39" t="e">
        <f>VLOOKUP(Table215[[#This Row],[ROUTE]],DEMAND!A:F,6,FALSE)</f>
        <v>#N/A</v>
      </c>
      <c r="O409" s="39" t="e">
        <f>ROUNDDOWN(Table215[[#This Row],[R-DEMAND]]/1320,0)</f>
        <v>#N/A</v>
      </c>
      <c r="P409" s="41" t="e">
        <f>Table215[[#This Row],[ADD ACC]]*Table215[[#This Row],[RT TIME (744)]]</f>
        <v>#N/A</v>
      </c>
    </row>
    <row r="410" spans="1:16" ht="15" customHeight="1" x14ac:dyDescent="0.25">
      <c r="A410" s="38" t="s">
        <v>13679</v>
      </c>
      <c r="B410" s="39" t="s">
        <v>4638</v>
      </c>
      <c r="C410" s="39"/>
      <c r="D410" s="39">
        <v>2</v>
      </c>
      <c r="E410" s="38" t="s">
        <v>1749</v>
      </c>
      <c r="F410" s="38" t="str">
        <f>VLOOKUP(E:E,Table10[[COUNTRY NAME]:[CONTINENT CODE]],3,FALSE)</f>
        <v>NA</v>
      </c>
      <c r="G410" s="155" t="s">
        <v>13222</v>
      </c>
      <c r="H410" s="40">
        <v>7740</v>
      </c>
      <c r="I410" s="41">
        <v>19.25</v>
      </c>
      <c r="J410" s="157"/>
      <c r="K410" s="42">
        <f>IFERROR(Table215[[#This Row],[ROUTE $]]/Table215[[#This Row],[E - DEMAND]],0)</f>
        <v>0</v>
      </c>
      <c r="L410" s="43"/>
      <c r="M410" s="39" t="e">
        <f>VLOOKUP(Table215[[#This Row],[ROUTE]],DEMAND!A:F,5,FALSE)</f>
        <v>#N/A</v>
      </c>
      <c r="N410" s="39" t="e">
        <f>VLOOKUP(Table215[[#This Row],[ROUTE]],DEMAND!A:F,6,FALSE)</f>
        <v>#N/A</v>
      </c>
      <c r="O410" s="39" t="e">
        <f>ROUNDDOWN(Table215[[#This Row],[R-DEMAND]]/1320,0)</f>
        <v>#N/A</v>
      </c>
      <c r="P410" s="41" t="e">
        <f>Table215[[#This Row],[ADD ACC]]*Table215[[#This Row],[RT TIME (744)]]</f>
        <v>#N/A</v>
      </c>
    </row>
    <row r="411" spans="1:16" ht="15" customHeight="1" x14ac:dyDescent="0.25">
      <c r="A411" s="38" t="s">
        <v>13678</v>
      </c>
      <c r="B411" s="39" t="s">
        <v>3574</v>
      </c>
      <c r="C411" s="39"/>
      <c r="D411" s="39">
        <v>2</v>
      </c>
      <c r="E411" s="38" t="s">
        <v>1749</v>
      </c>
      <c r="F411" s="38" t="str">
        <f>VLOOKUP(E:E,Table10[[COUNTRY NAME]:[CONTINENT CODE]],3,FALSE)</f>
        <v>NA</v>
      </c>
      <c r="G411" s="155" t="s">
        <v>13221</v>
      </c>
      <c r="H411" s="40">
        <v>7779</v>
      </c>
      <c r="I411" s="41">
        <v>19.25</v>
      </c>
      <c r="J411" s="157"/>
      <c r="K411" s="42">
        <f>IFERROR(Table215[[#This Row],[ROUTE $]]/Table215[[#This Row],[E - DEMAND]],0)</f>
        <v>0</v>
      </c>
      <c r="L411" s="43"/>
      <c r="M411" s="39" t="e">
        <f>VLOOKUP(Table215[[#This Row],[ROUTE]],DEMAND!A:F,5,FALSE)</f>
        <v>#N/A</v>
      </c>
      <c r="N411" s="39" t="e">
        <f>VLOOKUP(Table215[[#This Row],[ROUTE]],DEMAND!A:F,6,FALSE)</f>
        <v>#N/A</v>
      </c>
      <c r="O411" s="39" t="e">
        <f>ROUNDDOWN(Table215[[#This Row],[R-DEMAND]]/1320,0)</f>
        <v>#N/A</v>
      </c>
      <c r="P411" s="41" t="e">
        <f>Table215[[#This Row],[ADD ACC]]*Table215[[#This Row],[RT TIME (744)]]</f>
        <v>#N/A</v>
      </c>
    </row>
    <row r="412" spans="1:16" ht="15" customHeight="1" x14ac:dyDescent="0.25">
      <c r="A412" s="38" t="s">
        <v>13691</v>
      </c>
      <c r="B412" s="39" t="s">
        <v>4104</v>
      </c>
      <c r="C412" s="39"/>
      <c r="D412" s="39">
        <v>2</v>
      </c>
      <c r="E412" s="38" t="s">
        <v>608</v>
      </c>
      <c r="F412" s="38" t="str">
        <f>VLOOKUP(E:E,Table10[[COUNTRY NAME]:[CONTINENT CODE]],3,FALSE)</f>
        <v>AF</v>
      </c>
      <c r="G412" s="155" t="s">
        <v>11686</v>
      </c>
      <c r="H412" s="40">
        <v>7742</v>
      </c>
      <c r="I412" s="41">
        <v>19.25</v>
      </c>
      <c r="J412" s="157"/>
      <c r="K412" s="42">
        <f>IFERROR(Table215[[#This Row],[ROUTE $]]/Table215[[#This Row],[E - DEMAND]],0)</f>
        <v>0</v>
      </c>
      <c r="L412" s="43"/>
      <c r="M412" s="39" t="e">
        <f>VLOOKUP(Table215[[#This Row],[ROUTE]],DEMAND!A:F,5,FALSE)</f>
        <v>#N/A</v>
      </c>
      <c r="N412" s="39" t="e">
        <f>VLOOKUP(Table215[[#This Row],[ROUTE]],DEMAND!A:F,6,FALSE)</f>
        <v>#N/A</v>
      </c>
      <c r="O412" s="39" t="e">
        <f>ROUNDDOWN(Table215[[#This Row],[R-DEMAND]]/1320,0)</f>
        <v>#N/A</v>
      </c>
      <c r="P412" s="41" t="e">
        <f>Table215[[#This Row],[ADD ACC]]*Table215[[#This Row],[RT TIME (744)]]</f>
        <v>#N/A</v>
      </c>
    </row>
    <row r="413" spans="1:16" ht="15" customHeight="1" x14ac:dyDescent="0.25">
      <c r="A413" s="38" t="s">
        <v>13810</v>
      </c>
      <c r="B413" s="39" t="s">
        <v>163</v>
      </c>
      <c r="C413" s="39"/>
      <c r="D413" s="39">
        <v>2</v>
      </c>
      <c r="E413" s="38" t="s">
        <v>926</v>
      </c>
      <c r="F413" s="38" t="str">
        <f>VLOOKUP(E:E,Table10[[COUNTRY NAME]:[CONTINENT CODE]],3,FALSE)</f>
        <v>AF</v>
      </c>
      <c r="G413" s="155" t="s">
        <v>11907</v>
      </c>
      <c r="H413" s="40">
        <v>7739</v>
      </c>
      <c r="I413" s="41">
        <v>19.25</v>
      </c>
      <c r="J413" s="157"/>
      <c r="K413" s="42">
        <f>IFERROR(Table215[[#This Row],[ROUTE $]]/Table215[[#This Row],[E - DEMAND]],0)</f>
        <v>0</v>
      </c>
      <c r="L413" s="43"/>
      <c r="M413" s="39" t="e">
        <f>VLOOKUP(Table215[[#This Row],[ROUTE]],DEMAND!A:F,5,FALSE)</f>
        <v>#N/A</v>
      </c>
      <c r="N413" s="39" t="e">
        <f>VLOOKUP(Table215[[#This Row],[ROUTE]],DEMAND!A:F,6,FALSE)</f>
        <v>#N/A</v>
      </c>
      <c r="O413" s="39" t="e">
        <f>ROUNDDOWN(Table215[[#This Row],[R-DEMAND]]/1320,0)</f>
        <v>#N/A</v>
      </c>
      <c r="P413" s="41" t="e">
        <f>Table215[[#This Row],[ADD ACC]]*Table215[[#This Row],[RT TIME (744)]]</f>
        <v>#N/A</v>
      </c>
    </row>
    <row r="414" spans="1:16" ht="15" customHeight="1" x14ac:dyDescent="0.25">
      <c r="A414" s="38" t="s">
        <v>14008</v>
      </c>
      <c r="B414" s="39" t="s">
        <v>428</v>
      </c>
      <c r="C414" s="39"/>
      <c r="D414" s="39">
        <v>3</v>
      </c>
      <c r="E414" s="143" t="s">
        <v>647</v>
      </c>
      <c r="F414" s="38" t="e">
        <f>VLOOKUP(E:E,Table10[[COUNTRY NAME]:[CONTINENT CODE]],3,FALSE)</f>
        <v>#N/A</v>
      </c>
      <c r="G414" s="155" t="s">
        <v>13341</v>
      </c>
      <c r="H414" s="40">
        <v>7755</v>
      </c>
      <c r="I414" s="41">
        <v>19.25</v>
      </c>
      <c r="J414" s="157"/>
      <c r="K414" s="42">
        <f>IFERROR(Table215[[#This Row],[ROUTE $]]/Table215[[#This Row],[E - DEMAND]],0)</f>
        <v>0</v>
      </c>
      <c r="L414" s="43"/>
      <c r="M414" s="39" t="e">
        <f>VLOOKUP(Table215[[#This Row],[ROUTE]],DEMAND!A:F,5,FALSE)</f>
        <v>#N/A</v>
      </c>
      <c r="N414" s="39" t="e">
        <f>VLOOKUP(Table215[[#This Row],[ROUTE]],DEMAND!A:F,6,FALSE)</f>
        <v>#N/A</v>
      </c>
      <c r="O414" s="39" t="e">
        <f>ROUNDDOWN(Table215[[#This Row],[R-DEMAND]]/1320,0)</f>
        <v>#N/A</v>
      </c>
      <c r="P414" s="41" t="e">
        <f>Table215[[#This Row],[ADD ACC]]*Table215[[#This Row],[RT TIME (744)]]</f>
        <v>#N/A</v>
      </c>
    </row>
    <row r="415" spans="1:16" ht="15" customHeight="1" x14ac:dyDescent="0.25">
      <c r="A415" s="38" t="s">
        <v>14007</v>
      </c>
      <c r="B415" s="39" t="s">
        <v>76</v>
      </c>
      <c r="C415" s="39"/>
      <c r="D415" s="39">
        <v>2</v>
      </c>
      <c r="E415" s="143" t="s">
        <v>647</v>
      </c>
      <c r="F415" s="38" t="e">
        <f>VLOOKUP(E:E,Table10[[COUNTRY NAME]:[CONTINENT CODE]],3,FALSE)</f>
        <v>#N/A</v>
      </c>
      <c r="G415" s="155" t="s">
        <v>13340</v>
      </c>
      <c r="H415" s="40">
        <v>7764</v>
      </c>
      <c r="I415" s="41">
        <v>19.25</v>
      </c>
      <c r="J415" s="157"/>
      <c r="K415" s="42">
        <f>IFERROR(Table215[[#This Row],[ROUTE $]]/Table215[[#This Row],[E - DEMAND]],0)</f>
        <v>0</v>
      </c>
      <c r="L415" s="43"/>
      <c r="M415" s="39" t="e">
        <f>VLOOKUP(Table215[[#This Row],[ROUTE]],DEMAND!A:F,5,FALSE)</f>
        <v>#N/A</v>
      </c>
      <c r="N415" s="39" t="e">
        <f>VLOOKUP(Table215[[#This Row],[ROUTE]],DEMAND!A:F,6,FALSE)</f>
        <v>#N/A</v>
      </c>
      <c r="O415" s="39" t="e">
        <f>ROUNDDOWN(Table215[[#This Row],[R-DEMAND]]/1320,0)</f>
        <v>#N/A</v>
      </c>
      <c r="P415" s="41" t="e">
        <f>Table215[[#This Row],[ADD ACC]]*Table215[[#This Row],[RT TIME (744)]]</f>
        <v>#N/A</v>
      </c>
    </row>
    <row r="416" spans="1:16" ht="15" customHeight="1" x14ac:dyDescent="0.25">
      <c r="A416" s="38" t="s">
        <v>14011</v>
      </c>
      <c r="B416" s="39" t="s">
        <v>4653</v>
      </c>
      <c r="C416" s="39"/>
      <c r="D416" s="39">
        <v>3</v>
      </c>
      <c r="E416" s="143" t="s">
        <v>647</v>
      </c>
      <c r="F416" s="38" t="e">
        <f>VLOOKUP(E:E,Table10[[COUNTRY NAME]:[CONTINENT CODE]],3,FALSE)</f>
        <v>#N/A</v>
      </c>
      <c r="G416" s="155" t="s">
        <v>13344</v>
      </c>
      <c r="H416" s="40">
        <v>7734</v>
      </c>
      <c r="I416" s="41">
        <v>19.25</v>
      </c>
      <c r="J416" s="157"/>
      <c r="K416" s="42">
        <f>IFERROR(Table215[[#This Row],[ROUTE $]]/Table215[[#This Row],[E - DEMAND]],0)</f>
        <v>0</v>
      </c>
      <c r="L416" s="43"/>
      <c r="M416" s="39" t="e">
        <f>VLOOKUP(Table215[[#This Row],[ROUTE]],DEMAND!A:F,5,FALSE)</f>
        <v>#N/A</v>
      </c>
      <c r="N416" s="39" t="e">
        <f>VLOOKUP(Table215[[#This Row],[ROUTE]],DEMAND!A:F,6,FALSE)</f>
        <v>#N/A</v>
      </c>
      <c r="O416" s="39" t="e">
        <f>ROUNDDOWN(Table215[[#This Row],[R-DEMAND]]/1320,0)</f>
        <v>#N/A</v>
      </c>
      <c r="P416" s="41" t="e">
        <f>Table215[[#This Row],[ADD ACC]]*Table215[[#This Row],[RT TIME (744)]]</f>
        <v>#N/A</v>
      </c>
    </row>
    <row r="417" spans="1:16" ht="15" customHeight="1" x14ac:dyDescent="0.25">
      <c r="A417" s="38" t="s">
        <v>14009</v>
      </c>
      <c r="B417" s="39" t="s">
        <v>4707</v>
      </c>
      <c r="C417" s="39"/>
      <c r="D417" s="39">
        <v>3</v>
      </c>
      <c r="E417" s="143" t="s">
        <v>647</v>
      </c>
      <c r="F417" s="38" t="e">
        <f>VLOOKUP(E:E,Table10[[COUNTRY NAME]:[CONTINENT CODE]],3,FALSE)</f>
        <v>#N/A</v>
      </c>
      <c r="G417" s="155" t="s">
        <v>13342</v>
      </c>
      <c r="H417" s="40">
        <v>7741</v>
      </c>
      <c r="I417" s="41">
        <v>19.25</v>
      </c>
      <c r="J417" s="157"/>
      <c r="K417" s="42">
        <f>IFERROR(Table215[[#This Row],[ROUTE $]]/Table215[[#This Row],[E - DEMAND]],0)</f>
        <v>0</v>
      </c>
      <c r="L417" s="43"/>
      <c r="M417" s="39" t="e">
        <f>VLOOKUP(Table215[[#This Row],[ROUTE]],DEMAND!A:F,5,FALSE)</f>
        <v>#N/A</v>
      </c>
      <c r="N417" s="39" t="e">
        <f>VLOOKUP(Table215[[#This Row],[ROUTE]],DEMAND!A:F,6,FALSE)</f>
        <v>#N/A</v>
      </c>
      <c r="O417" s="39" t="e">
        <f>ROUNDDOWN(Table215[[#This Row],[R-DEMAND]]/1320,0)</f>
        <v>#N/A</v>
      </c>
      <c r="P417" s="41" t="e">
        <f>Table215[[#This Row],[ADD ACC]]*Table215[[#This Row],[RT TIME (744)]]</f>
        <v>#N/A</v>
      </c>
    </row>
    <row r="418" spans="1:16" ht="15" customHeight="1" x14ac:dyDescent="0.25">
      <c r="A418" s="38" t="s">
        <v>13677</v>
      </c>
      <c r="B418" s="39" t="s">
        <v>3925</v>
      </c>
      <c r="C418" s="39"/>
      <c r="D418" s="39">
        <v>2</v>
      </c>
      <c r="E418" s="38" t="s">
        <v>1749</v>
      </c>
      <c r="F418" s="38" t="str">
        <f>VLOOKUP(E:E,Table10[[COUNTRY NAME]:[CONTINENT CODE]],3,FALSE)</f>
        <v>NA</v>
      </c>
      <c r="G418" s="155" t="s">
        <v>13220</v>
      </c>
      <c r="H418" s="40">
        <v>7857</v>
      </c>
      <c r="I418" s="41">
        <v>19.5</v>
      </c>
      <c r="J418" s="157"/>
      <c r="K418" s="42">
        <f>IFERROR(Table215[[#This Row],[ROUTE $]]/Table215[[#This Row],[E - DEMAND]],0)</f>
        <v>0</v>
      </c>
      <c r="L418" s="43"/>
      <c r="M418" s="39" t="e">
        <f>VLOOKUP(Table215[[#This Row],[ROUTE]],DEMAND!A:F,5,FALSE)</f>
        <v>#N/A</v>
      </c>
      <c r="N418" s="39" t="e">
        <f>VLOOKUP(Table215[[#This Row],[ROUTE]],DEMAND!A:F,6,FALSE)</f>
        <v>#N/A</v>
      </c>
      <c r="O418" s="39" t="e">
        <f>ROUNDDOWN(Table215[[#This Row],[R-DEMAND]]/1320,0)</f>
        <v>#N/A</v>
      </c>
      <c r="P418" s="41" t="e">
        <f>Table215[[#This Row],[ADD ACC]]*Table215[[#This Row],[RT TIME (744)]]</f>
        <v>#N/A</v>
      </c>
    </row>
    <row r="419" spans="1:16" ht="15" customHeight="1" x14ac:dyDescent="0.25">
      <c r="A419" s="38" t="s">
        <v>13690</v>
      </c>
      <c r="B419" s="39" t="s">
        <v>50</v>
      </c>
      <c r="C419" s="39"/>
      <c r="D419" s="39">
        <v>2</v>
      </c>
      <c r="E419" s="38" t="s">
        <v>608</v>
      </c>
      <c r="F419" s="38" t="str">
        <f>VLOOKUP(E:E,Table10[[COUNTRY NAME]:[CONTINENT CODE]],3,FALSE)</f>
        <v>AF</v>
      </c>
      <c r="G419" s="155" t="s">
        <v>11682</v>
      </c>
      <c r="H419" s="40">
        <v>7841</v>
      </c>
      <c r="I419" s="41">
        <v>19.5</v>
      </c>
      <c r="J419" s="157"/>
      <c r="K419" s="42">
        <f>IFERROR(Table215[[#This Row],[ROUTE $]]/Table215[[#This Row],[E - DEMAND]],0)</f>
        <v>0</v>
      </c>
      <c r="L419" s="43"/>
      <c r="M419" s="39" t="e">
        <f>VLOOKUP(Table215[[#This Row],[ROUTE]],DEMAND!A:F,5,FALSE)</f>
        <v>#N/A</v>
      </c>
      <c r="N419" s="39" t="e">
        <f>VLOOKUP(Table215[[#This Row],[ROUTE]],DEMAND!A:F,6,FALSE)</f>
        <v>#N/A</v>
      </c>
      <c r="O419" s="39" t="e">
        <f>ROUNDDOWN(Table215[[#This Row],[R-DEMAND]]/1320,0)</f>
        <v>#N/A</v>
      </c>
      <c r="P419" s="41" t="e">
        <f>Table215[[#This Row],[ADD ACC]]*Table215[[#This Row],[RT TIME (744)]]</f>
        <v>#N/A</v>
      </c>
    </row>
    <row r="420" spans="1:16" ht="15" customHeight="1" x14ac:dyDescent="0.25">
      <c r="A420" s="38" t="s">
        <v>14004</v>
      </c>
      <c r="B420" s="39" t="s">
        <v>3721</v>
      </c>
      <c r="C420" s="39"/>
      <c r="D420" s="39">
        <v>2</v>
      </c>
      <c r="E420" s="143" t="s">
        <v>647</v>
      </c>
      <c r="F420" s="38" t="e">
        <f>VLOOKUP(E:E,Table10[[COUNTRY NAME]:[CONTINENT CODE]],3,FALSE)</f>
        <v>#N/A</v>
      </c>
      <c r="G420" s="155" t="s">
        <v>13337</v>
      </c>
      <c r="H420" s="40">
        <v>7820</v>
      </c>
      <c r="I420" s="41">
        <v>19.5</v>
      </c>
      <c r="J420" s="157"/>
      <c r="K420" s="42">
        <f>IFERROR(Table215[[#This Row],[ROUTE $]]/Table215[[#This Row],[E - DEMAND]],0)</f>
        <v>0</v>
      </c>
      <c r="L420" s="43"/>
      <c r="M420" s="39" t="e">
        <f>VLOOKUP(Table215[[#This Row],[ROUTE]],DEMAND!A:F,5,FALSE)</f>
        <v>#N/A</v>
      </c>
      <c r="N420" s="39" t="e">
        <f>VLOOKUP(Table215[[#This Row],[ROUTE]],DEMAND!A:F,6,FALSE)</f>
        <v>#N/A</v>
      </c>
      <c r="O420" s="39" t="e">
        <f>ROUNDDOWN(Table215[[#This Row],[R-DEMAND]]/1320,0)</f>
        <v>#N/A</v>
      </c>
      <c r="P420" s="41" t="e">
        <f>Table215[[#This Row],[ADD ACC]]*Table215[[#This Row],[RT TIME (744)]]</f>
        <v>#N/A</v>
      </c>
    </row>
    <row r="421" spans="1:16" ht="15" customHeight="1" x14ac:dyDescent="0.25">
      <c r="A421" s="38" t="s">
        <v>14006</v>
      </c>
      <c r="B421" s="39" t="s">
        <v>2735</v>
      </c>
      <c r="C421" s="39"/>
      <c r="D421" s="39">
        <v>2</v>
      </c>
      <c r="E421" s="143" t="s">
        <v>647</v>
      </c>
      <c r="F421" s="38" t="e">
        <f>VLOOKUP(E:E,Table10[[COUNTRY NAME]:[CONTINENT CODE]],3,FALSE)</f>
        <v>#N/A</v>
      </c>
      <c r="G421" s="155" t="s">
        <v>13339</v>
      </c>
      <c r="H421" s="40">
        <v>7806</v>
      </c>
      <c r="I421" s="41">
        <v>19.5</v>
      </c>
      <c r="J421" s="157"/>
      <c r="K421" s="42">
        <f>IFERROR(Table215[[#This Row],[ROUTE $]]/Table215[[#This Row],[E - DEMAND]],0)</f>
        <v>0</v>
      </c>
      <c r="L421" s="43"/>
      <c r="M421" s="39" t="e">
        <f>VLOOKUP(Table215[[#This Row],[ROUTE]],DEMAND!A:F,5,FALSE)</f>
        <v>#N/A</v>
      </c>
      <c r="N421" s="39" t="e">
        <f>VLOOKUP(Table215[[#This Row],[ROUTE]],DEMAND!A:F,6,FALSE)</f>
        <v>#N/A</v>
      </c>
      <c r="O421" s="39" t="e">
        <f>ROUNDDOWN(Table215[[#This Row],[R-DEMAND]]/1320,0)</f>
        <v>#N/A</v>
      </c>
      <c r="P421" s="41" t="e">
        <f>Table215[[#This Row],[ADD ACC]]*Table215[[#This Row],[RT TIME (744)]]</f>
        <v>#N/A</v>
      </c>
    </row>
    <row r="422" spans="1:16" ht="15" customHeight="1" x14ac:dyDescent="0.25">
      <c r="A422" s="38" t="s">
        <v>14003</v>
      </c>
      <c r="B422" s="39" t="s">
        <v>5551</v>
      </c>
      <c r="C422" s="39"/>
      <c r="D422" s="39">
        <v>4</v>
      </c>
      <c r="E422" s="143" t="s">
        <v>647</v>
      </c>
      <c r="F422" s="38" t="e">
        <f>VLOOKUP(E:E,Table10[[COUNTRY NAME]:[CONTINENT CODE]],3,FALSE)</f>
        <v>#N/A</v>
      </c>
      <c r="G422" s="155" t="s">
        <v>13336</v>
      </c>
      <c r="H422" s="40">
        <v>7857</v>
      </c>
      <c r="I422" s="41">
        <v>19.5</v>
      </c>
      <c r="J422" s="157"/>
      <c r="K422" s="42">
        <f>IFERROR(Table215[[#This Row],[ROUTE $]]/Table215[[#This Row],[E - DEMAND]],0)</f>
        <v>0</v>
      </c>
      <c r="L422" s="43"/>
      <c r="M422" s="39" t="e">
        <f>VLOOKUP(Table215[[#This Row],[ROUTE]],DEMAND!A:F,5,FALSE)</f>
        <v>#N/A</v>
      </c>
      <c r="N422" s="39" t="e">
        <f>VLOOKUP(Table215[[#This Row],[ROUTE]],DEMAND!A:F,6,FALSE)</f>
        <v>#N/A</v>
      </c>
      <c r="O422" s="39" t="e">
        <f>ROUNDDOWN(Table215[[#This Row],[R-DEMAND]]/1320,0)</f>
        <v>#N/A</v>
      </c>
      <c r="P422" s="41" t="e">
        <f>Table215[[#This Row],[ADD ACC]]*Table215[[#This Row],[RT TIME (744)]]</f>
        <v>#N/A</v>
      </c>
    </row>
    <row r="423" spans="1:16" ht="15" customHeight="1" x14ac:dyDescent="0.25">
      <c r="A423" s="38" t="s">
        <v>14005</v>
      </c>
      <c r="B423" s="39" t="s">
        <v>5192</v>
      </c>
      <c r="C423" s="39"/>
      <c r="D423" s="39">
        <v>3</v>
      </c>
      <c r="E423" s="143" t="s">
        <v>647</v>
      </c>
      <c r="F423" s="38" t="e">
        <f>VLOOKUP(E:E,Table10[[COUNTRY NAME]:[CONTINENT CODE]],3,FALSE)</f>
        <v>#N/A</v>
      </c>
      <c r="G423" s="155" t="s">
        <v>13338</v>
      </c>
      <c r="H423" s="40">
        <v>7812</v>
      </c>
      <c r="I423" s="41">
        <v>19.5</v>
      </c>
      <c r="J423" s="157"/>
      <c r="K423" s="42">
        <f>IFERROR(Table215[[#This Row],[ROUTE $]]/Table215[[#This Row],[E - DEMAND]],0)</f>
        <v>0</v>
      </c>
      <c r="L423" s="43"/>
      <c r="M423" s="39" t="e">
        <f>VLOOKUP(Table215[[#This Row],[ROUTE]],DEMAND!A:F,5,FALSE)</f>
        <v>#N/A</v>
      </c>
      <c r="N423" s="39" t="e">
        <f>VLOOKUP(Table215[[#This Row],[ROUTE]],DEMAND!A:F,6,FALSE)</f>
        <v>#N/A</v>
      </c>
      <c r="O423" s="39" t="e">
        <f>ROUNDDOWN(Table215[[#This Row],[R-DEMAND]]/1320,0)</f>
        <v>#N/A</v>
      </c>
      <c r="P423" s="41" t="e">
        <f>Table215[[#This Row],[ADD ACC]]*Table215[[#This Row],[RT TIME (744)]]</f>
        <v>#N/A</v>
      </c>
    </row>
    <row r="424" spans="1:16" ht="15" customHeight="1" x14ac:dyDescent="0.25">
      <c r="A424" s="38" t="s">
        <v>14055</v>
      </c>
      <c r="B424" s="39" t="s">
        <v>190</v>
      </c>
      <c r="C424" s="39"/>
      <c r="D424" s="39">
        <v>2</v>
      </c>
      <c r="E424" s="38" t="s">
        <v>1323</v>
      </c>
      <c r="F424" s="38" t="str">
        <f>VLOOKUP(E:E,Table10[[COUNTRY NAME]:[CONTINENT CODE]],3,FALSE)</f>
        <v>AF</v>
      </c>
      <c r="G424" s="155" t="s">
        <v>11893</v>
      </c>
      <c r="H424" s="40">
        <v>7830</v>
      </c>
      <c r="I424" s="41">
        <v>19.5</v>
      </c>
      <c r="J424" s="157"/>
      <c r="K424" s="42">
        <f>IFERROR(Table215[[#This Row],[ROUTE $]]/Table215[[#This Row],[E - DEMAND]],0)</f>
        <v>0</v>
      </c>
      <c r="L424" s="43"/>
      <c r="M424" s="39" t="e">
        <f>VLOOKUP(Table215[[#This Row],[ROUTE]],DEMAND!A:F,5,FALSE)</f>
        <v>#N/A</v>
      </c>
      <c r="N424" s="39" t="e">
        <f>VLOOKUP(Table215[[#This Row],[ROUTE]],DEMAND!A:F,6,FALSE)</f>
        <v>#N/A</v>
      </c>
      <c r="O424" s="39" t="e">
        <f>ROUNDDOWN(Table215[[#This Row],[R-DEMAND]]/1320,0)</f>
        <v>#N/A</v>
      </c>
      <c r="P424" s="41" t="e">
        <f>Table215[[#This Row],[ADD ACC]]*Table215[[#This Row],[RT TIME (744)]]</f>
        <v>#N/A</v>
      </c>
    </row>
    <row r="425" spans="1:16" ht="15" customHeight="1" x14ac:dyDescent="0.25">
      <c r="A425" s="38" t="s">
        <v>13398</v>
      </c>
      <c r="B425" s="39" t="s">
        <v>615</v>
      </c>
      <c r="C425" s="39"/>
      <c r="D425" s="39">
        <v>1</v>
      </c>
      <c r="E425" s="1" t="s">
        <v>493</v>
      </c>
      <c r="F425" s="1" t="str">
        <f>VLOOKUP(E:E,Table10[[COUNTRY NAME]:[CONTINENT CODE]],3,FALSE)</f>
        <v>AF</v>
      </c>
      <c r="G425" s="156" t="s">
        <v>11716</v>
      </c>
      <c r="H425" s="8">
        <v>7984</v>
      </c>
      <c r="I425" s="41">
        <v>19.75</v>
      </c>
      <c r="J425" s="157"/>
      <c r="K425" s="6">
        <f>IFERROR(Table215[[#This Row],[ROUTE $]]/Table215[[#This Row],[E - DEMAND]],0)</f>
        <v>0</v>
      </c>
      <c r="L425" s="4"/>
      <c r="M425" s="39" t="e">
        <f>VLOOKUP(Table215[[#This Row],[ROUTE]],DEMAND!A:F,5,FALSE)</f>
        <v>#N/A</v>
      </c>
      <c r="N425" s="39" t="e">
        <f>VLOOKUP(Table215[[#This Row],[ROUTE]],DEMAND!A:F,6,FALSE)</f>
        <v>#N/A</v>
      </c>
      <c r="O425" s="39" t="e">
        <f>ROUNDDOWN(Table215[[#This Row],[R-DEMAND]]/1320,0)</f>
        <v>#N/A</v>
      </c>
      <c r="P425" s="41" t="e">
        <f>Table215[[#This Row],[ADD ACC]]*Table215[[#This Row],[RT TIME (744)]]</f>
        <v>#N/A</v>
      </c>
    </row>
    <row r="426" spans="1:16" ht="15" customHeight="1" x14ac:dyDescent="0.25">
      <c r="A426" s="38" t="s">
        <v>13831</v>
      </c>
      <c r="B426" s="39" t="s">
        <v>5313</v>
      </c>
      <c r="C426" s="39"/>
      <c r="D426" s="39">
        <v>3</v>
      </c>
      <c r="E426" s="38" t="s">
        <v>119</v>
      </c>
      <c r="F426" s="38" t="str">
        <f>VLOOKUP(E:E,Table10[[COUNTRY NAME]:[CONTINENT CODE]],3,FALSE)</f>
        <v>EU</v>
      </c>
      <c r="G426" s="155" t="s">
        <v>11685</v>
      </c>
      <c r="H426" s="40">
        <v>7988</v>
      </c>
      <c r="I426" s="41">
        <v>19.75</v>
      </c>
      <c r="J426" s="157"/>
      <c r="K426" s="42">
        <f>IFERROR(Table215[[#This Row],[ROUTE $]]/Table215[[#This Row],[E - DEMAND]],0)</f>
        <v>0</v>
      </c>
      <c r="L426" s="43"/>
      <c r="M426" s="39" t="e">
        <f>VLOOKUP(Table215[[#This Row],[ROUTE]],DEMAND!A:F,5,FALSE)</f>
        <v>#N/A</v>
      </c>
      <c r="N426" s="39" t="e">
        <f>VLOOKUP(Table215[[#This Row],[ROUTE]],DEMAND!A:F,6,FALSE)</f>
        <v>#N/A</v>
      </c>
      <c r="O426" s="39" t="e">
        <f>ROUNDDOWN(Table215[[#This Row],[R-DEMAND]]/1320,0)</f>
        <v>#N/A</v>
      </c>
      <c r="P426" s="41" t="e">
        <f>Table215[[#This Row],[ADD ACC]]*Table215[[#This Row],[RT TIME (744)]]</f>
        <v>#N/A</v>
      </c>
    </row>
    <row r="427" spans="1:16" ht="15" customHeight="1" x14ac:dyDescent="0.25">
      <c r="A427" s="38" t="s">
        <v>13674</v>
      </c>
      <c r="B427" s="39" t="s">
        <v>3972</v>
      </c>
      <c r="C427" s="39"/>
      <c r="D427" s="39">
        <v>2</v>
      </c>
      <c r="E427" s="38" t="s">
        <v>1749</v>
      </c>
      <c r="F427" s="38" t="str">
        <f>VLOOKUP(E:E,Table10[[COUNTRY NAME]:[CONTINENT CODE]],3,FALSE)</f>
        <v>NA</v>
      </c>
      <c r="G427" s="155" t="s">
        <v>13217</v>
      </c>
      <c r="H427" s="40">
        <v>7966</v>
      </c>
      <c r="I427" s="41">
        <v>19.75</v>
      </c>
      <c r="J427" s="157"/>
      <c r="K427" s="42">
        <f>IFERROR(Table215[[#This Row],[ROUTE $]]/Table215[[#This Row],[E - DEMAND]],0)</f>
        <v>0</v>
      </c>
      <c r="L427" s="43"/>
      <c r="M427" s="39" t="e">
        <f>VLOOKUP(Table215[[#This Row],[ROUTE]],DEMAND!A:F,5,FALSE)</f>
        <v>#N/A</v>
      </c>
      <c r="N427" s="39" t="e">
        <f>VLOOKUP(Table215[[#This Row],[ROUTE]],DEMAND!A:F,6,FALSE)</f>
        <v>#N/A</v>
      </c>
      <c r="O427" s="39" t="e">
        <f>ROUNDDOWN(Table215[[#This Row],[R-DEMAND]]/1320,0)</f>
        <v>#N/A</v>
      </c>
      <c r="P427" s="41" t="e">
        <f>Table215[[#This Row],[ADD ACC]]*Table215[[#This Row],[RT TIME (744)]]</f>
        <v>#N/A</v>
      </c>
    </row>
    <row r="428" spans="1:16" ht="15" customHeight="1" x14ac:dyDescent="0.25">
      <c r="A428" s="38" t="s">
        <v>13689</v>
      </c>
      <c r="B428" s="39" t="s">
        <v>3705</v>
      </c>
      <c r="C428" s="39"/>
      <c r="D428" s="39">
        <v>2</v>
      </c>
      <c r="E428" s="38" t="s">
        <v>608</v>
      </c>
      <c r="F428" s="38" t="str">
        <f>VLOOKUP(E:E,Table10[[COUNTRY NAME]:[CONTINENT CODE]],3,FALSE)</f>
        <v>AF</v>
      </c>
      <c r="G428" s="155" t="s">
        <v>11692</v>
      </c>
      <c r="H428" s="40">
        <v>7949</v>
      </c>
      <c r="I428" s="41">
        <v>19.75</v>
      </c>
      <c r="J428" s="157"/>
      <c r="K428" s="42">
        <f>IFERROR(Table215[[#This Row],[ROUTE $]]/Table215[[#This Row],[E - DEMAND]],0)</f>
        <v>0</v>
      </c>
      <c r="L428" s="43"/>
      <c r="M428" s="39" t="e">
        <f>VLOOKUP(Table215[[#This Row],[ROUTE]],DEMAND!A:F,5,FALSE)</f>
        <v>#N/A</v>
      </c>
      <c r="N428" s="39" t="e">
        <f>VLOOKUP(Table215[[#This Row],[ROUTE]],DEMAND!A:F,6,FALSE)</f>
        <v>#N/A</v>
      </c>
      <c r="O428" s="39" t="e">
        <f>ROUNDDOWN(Table215[[#This Row],[R-DEMAND]]/1320,0)</f>
        <v>#N/A</v>
      </c>
      <c r="P428" s="41" t="e">
        <f>Table215[[#This Row],[ADD ACC]]*Table215[[#This Row],[RT TIME (744)]]</f>
        <v>#N/A</v>
      </c>
    </row>
    <row r="429" spans="1:16" ht="15" customHeight="1" x14ac:dyDescent="0.25">
      <c r="A429" s="38" t="s">
        <v>13688</v>
      </c>
      <c r="B429" s="39" t="s">
        <v>3743</v>
      </c>
      <c r="C429" s="39"/>
      <c r="D429" s="39">
        <v>2</v>
      </c>
      <c r="E429" s="38" t="s">
        <v>608</v>
      </c>
      <c r="F429" s="38" t="str">
        <f>VLOOKUP(E:E,Table10[[COUNTRY NAME]:[CONTINENT CODE]],3,FALSE)</f>
        <v>AF</v>
      </c>
      <c r="G429" s="155" t="s">
        <v>11697</v>
      </c>
      <c r="H429" s="40">
        <v>8000</v>
      </c>
      <c r="I429" s="41">
        <v>19.75</v>
      </c>
      <c r="J429" s="157"/>
      <c r="K429" s="42">
        <f>IFERROR(Table215[[#This Row],[ROUTE $]]/Table215[[#This Row],[E - DEMAND]],0)</f>
        <v>0</v>
      </c>
      <c r="L429" s="43"/>
      <c r="M429" s="39" t="e">
        <f>VLOOKUP(Table215[[#This Row],[ROUTE]],DEMAND!A:F,5,FALSE)</f>
        <v>#N/A</v>
      </c>
      <c r="N429" s="39" t="e">
        <f>VLOOKUP(Table215[[#This Row],[ROUTE]],DEMAND!A:F,6,FALSE)</f>
        <v>#N/A</v>
      </c>
      <c r="O429" s="39" t="e">
        <f>ROUNDDOWN(Table215[[#This Row],[R-DEMAND]]/1320,0)</f>
        <v>#N/A</v>
      </c>
      <c r="P429" s="41" t="e">
        <f>Table215[[#This Row],[ADD ACC]]*Table215[[#This Row],[RT TIME (744)]]</f>
        <v>#N/A</v>
      </c>
    </row>
    <row r="430" spans="1:16" ht="15" customHeight="1" x14ac:dyDescent="0.25">
      <c r="A430" s="38" t="s">
        <v>14000</v>
      </c>
      <c r="B430" s="39" t="s">
        <v>4406</v>
      </c>
      <c r="C430" s="39"/>
      <c r="D430" s="39">
        <v>2</v>
      </c>
      <c r="E430" s="143" t="s">
        <v>647</v>
      </c>
      <c r="F430" s="38" t="e">
        <f>VLOOKUP(E:E,Table10[[COUNTRY NAME]:[CONTINENT CODE]],3,FALSE)</f>
        <v>#N/A</v>
      </c>
      <c r="G430" s="155" t="s">
        <v>13333</v>
      </c>
      <c r="H430" s="40">
        <v>7922</v>
      </c>
      <c r="I430" s="41">
        <v>19.75</v>
      </c>
      <c r="J430" s="157"/>
      <c r="K430" s="42">
        <f>IFERROR(Table215[[#This Row],[ROUTE $]]/Table215[[#This Row],[E - DEMAND]],0)</f>
        <v>0</v>
      </c>
      <c r="L430" s="43"/>
      <c r="M430" s="39" t="e">
        <f>VLOOKUP(Table215[[#This Row],[ROUTE]],DEMAND!A:F,5,FALSE)</f>
        <v>#N/A</v>
      </c>
      <c r="N430" s="39" t="e">
        <f>VLOOKUP(Table215[[#This Row],[ROUTE]],DEMAND!A:F,6,FALSE)</f>
        <v>#N/A</v>
      </c>
      <c r="O430" s="39" t="e">
        <f>ROUNDDOWN(Table215[[#This Row],[R-DEMAND]]/1320,0)</f>
        <v>#N/A</v>
      </c>
      <c r="P430" s="41" t="e">
        <f>Table215[[#This Row],[ADD ACC]]*Table215[[#This Row],[RT TIME (744)]]</f>
        <v>#N/A</v>
      </c>
    </row>
    <row r="431" spans="1:16" ht="15" customHeight="1" x14ac:dyDescent="0.25">
      <c r="A431" s="38" t="s">
        <v>13996</v>
      </c>
      <c r="B431" s="39" t="s">
        <v>5441</v>
      </c>
      <c r="C431" s="39"/>
      <c r="D431" s="39">
        <v>4</v>
      </c>
      <c r="E431" s="143" t="s">
        <v>647</v>
      </c>
      <c r="F431" s="38" t="e">
        <f>VLOOKUP(E:E,Table10[[COUNTRY NAME]:[CONTINENT CODE]],3,FALSE)</f>
        <v>#N/A</v>
      </c>
      <c r="G431" s="155" t="s">
        <v>13329</v>
      </c>
      <c r="H431" s="40">
        <v>8002</v>
      </c>
      <c r="I431" s="41">
        <v>19.75</v>
      </c>
      <c r="J431" s="157"/>
      <c r="K431" s="42">
        <f>IFERROR(Table215[[#This Row],[ROUTE $]]/Table215[[#This Row],[E - DEMAND]],0)</f>
        <v>0</v>
      </c>
      <c r="L431" s="43"/>
      <c r="M431" s="39" t="e">
        <f>VLOOKUP(Table215[[#This Row],[ROUTE]],DEMAND!A:F,5,FALSE)</f>
        <v>#N/A</v>
      </c>
      <c r="N431" s="39" t="e">
        <f>VLOOKUP(Table215[[#This Row],[ROUTE]],DEMAND!A:F,6,FALSE)</f>
        <v>#N/A</v>
      </c>
      <c r="O431" s="39" t="e">
        <f>ROUNDDOWN(Table215[[#This Row],[R-DEMAND]]/1320,0)</f>
        <v>#N/A</v>
      </c>
      <c r="P431" s="41" t="e">
        <f>Table215[[#This Row],[ADD ACC]]*Table215[[#This Row],[RT TIME (744)]]</f>
        <v>#N/A</v>
      </c>
    </row>
    <row r="432" spans="1:16" ht="15" customHeight="1" x14ac:dyDescent="0.25">
      <c r="A432" s="38" t="s">
        <v>13995</v>
      </c>
      <c r="B432" s="39" t="s">
        <v>5589</v>
      </c>
      <c r="C432" s="39"/>
      <c r="D432" s="39">
        <v>4</v>
      </c>
      <c r="E432" s="143" t="s">
        <v>647</v>
      </c>
      <c r="F432" s="38" t="e">
        <f>VLOOKUP(E:E,Table10[[COUNTRY NAME]:[CONTINENT CODE]],3,FALSE)</f>
        <v>#N/A</v>
      </c>
      <c r="G432" s="155" t="s">
        <v>13328</v>
      </c>
      <c r="H432" s="40">
        <v>8005</v>
      </c>
      <c r="I432" s="41">
        <v>19.75</v>
      </c>
      <c r="J432" s="157"/>
      <c r="K432" s="42">
        <f>IFERROR(Table215[[#This Row],[ROUTE $]]/Table215[[#This Row],[E - DEMAND]],0)</f>
        <v>0</v>
      </c>
      <c r="L432" s="43"/>
      <c r="M432" s="39" t="e">
        <f>VLOOKUP(Table215[[#This Row],[ROUTE]],DEMAND!A:F,5,FALSE)</f>
        <v>#N/A</v>
      </c>
      <c r="N432" s="39" t="e">
        <f>VLOOKUP(Table215[[#This Row],[ROUTE]],DEMAND!A:F,6,FALSE)</f>
        <v>#N/A</v>
      </c>
      <c r="O432" s="39" t="e">
        <f>ROUNDDOWN(Table215[[#This Row],[R-DEMAND]]/1320,0)</f>
        <v>#N/A</v>
      </c>
      <c r="P432" s="41" t="e">
        <f>Table215[[#This Row],[ADD ACC]]*Table215[[#This Row],[RT TIME (744)]]</f>
        <v>#N/A</v>
      </c>
    </row>
    <row r="433" spans="1:16" ht="15" customHeight="1" x14ac:dyDescent="0.25">
      <c r="A433" s="38" t="s">
        <v>13998</v>
      </c>
      <c r="B433" s="39" t="s">
        <v>5579</v>
      </c>
      <c r="C433" s="39"/>
      <c r="D433" s="39">
        <v>4</v>
      </c>
      <c r="E433" s="143" t="s">
        <v>647</v>
      </c>
      <c r="F433" s="38" t="e">
        <f>VLOOKUP(E:E,Table10[[COUNTRY NAME]:[CONTINENT CODE]],3,FALSE)</f>
        <v>#N/A</v>
      </c>
      <c r="G433" s="155" t="s">
        <v>13331</v>
      </c>
      <c r="H433" s="40">
        <v>7958</v>
      </c>
      <c r="I433" s="41">
        <v>19.75</v>
      </c>
      <c r="J433" s="157"/>
      <c r="K433" s="42">
        <f>IFERROR(Table215[[#This Row],[ROUTE $]]/Table215[[#This Row],[E - DEMAND]],0)</f>
        <v>0</v>
      </c>
      <c r="L433" s="43"/>
      <c r="M433" s="39" t="e">
        <f>VLOOKUP(Table215[[#This Row],[ROUTE]],DEMAND!A:F,5,FALSE)</f>
        <v>#N/A</v>
      </c>
      <c r="N433" s="39" t="e">
        <f>VLOOKUP(Table215[[#This Row],[ROUTE]],DEMAND!A:F,6,FALSE)</f>
        <v>#N/A</v>
      </c>
      <c r="O433" s="39" t="e">
        <f>ROUNDDOWN(Table215[[#This Row],[R-DEMAND]]/1320,0)</f>
        <v>#N/A</v>
      </c>
      <c r="P433" s="41" t="e">
        <f>Table215[[#This Row],[ADD ACC]]*Table215[[#This Row],[RT TIME (744)]]</f>
        <v>#N/A</v>
      </c>
    </row>
    <row r="434" spans="1:16" ht="15" customHeight="1" x14ac:dyDescent="0.25">
      <c r="A434" s="38" t="s">
        <v>14001</v>
      </c>
      <c r="B434" s="39" t="s">
        <v>5519</v>
      </c>
      <c r="C434" s="39"/>
      <c r="D434" s="39">
        <v>4</v>
      </c>
      <c r="E434" s="143" t="s">
        <v>647</v>
      </c>
      <c r="F434" s="38" t="e">
        <f>VLOOKUP(E:E,Table10[[COUNTRY NAME]:[CONTINENT CODE]],3,FALSE)</f>
        <v>#N/A</v>
      </c>
      <c r="G434" s="155" t="s">
        <v>13334</v>
      </c>
      <c r="H434" s="40">
        <v>7922</v>
      </c>
      <c r="I434" s="41">
        <v>19.75</v>
      </c>
      <c r="J434" s="157"/>
      <c r="K434" s="42">
        <f>IFERROR(Table215[[#This Row],[ROUTE $]]/Table215[[#This Row],[E - DEMAND]],0)</f>
        <v>0</v>
      </c>
      <c r="L434" s="43"/>
      <c r="M434" s="39" t="e">
        <f>VLOOKUP(Table215[[#This Row],[ROUTE]],DEMAND!A:F,5,FALSE)</f>
        <v>#N/A</v>
      </c>
      <c r="N434" s="39" t="e">
        <f>VLOOKUP(Table215[[#This Row],[ROUTE]],DEMAND!A:F,6,FALSE)</f>
        <v>#N/A</v>
      </c>
      <c r="O434" s="39" t="e">
        <f>ROUNDDOWN(Table215[[#This Row],[R-DEMAND]]/1320,0)</f>
        <v>#N/A</v>
      </c>
      <c r="P434" s="41" t="e">
        <f>Table215[[#This Row],[ADD ACC]]*Table215[[#This Row],[RT TIME (744)]]</f>
        <v>#N/A</v>
      </c>
    </row>
    <row r="435" spans="1:16" ht="15" customHeight="1" x14ac:dyDescent="0.25">
      <c r="A435" s="38" t="s">
        <v>13997</v>
      </c>
      <c r="B435" s="39" t="s">
        <v>5206</v>
      </c>
      <c r="C435" s="39"/>
      <c r="D435" s="39">
        <v>3</v>
      </c>
      <c r="E435" s="143" t="s">
        <v>647</v>
      </c>
      <c r="F435" s="38" t="e">
        <f>VLOOKUP(E:E,Table10[[COUNTRY NAME]:[CONTINENT CODE]],3,FALSE)</f>
        <v>#N/A</v>
      </c>
      <c r="G435" s="155" t="s">
        <v>13330</v>
      </c>
      <c r="H435" s="40">
        <v>7984</v>
      </c>
      <c r="I435" s="41">
        <v>19.75</v>
      </c>
      <c r="J435" s="157"/>
      <c r="K435" s="42">
        <f>IFERROR(Table215[[#This Row],[ROUTE $]]/Table215[[#This Row],[E - DEMAND]],0)</f>
        <v>0</v>
      </c>
      <c r="L435" s="43"/>
      <c r="M435" s="39" t="e">
        <f>VLOOKUP(Table215[[#This Row],[ROUTE]],DEMAND!A:F,5,FALSE)</f>
        <v>#N/A</v>
      </c>
      <c r="N435" s="39" t="e">
        <f>VLOOKUP(Table215[[#This Row],[ROUTE]],DEMAND!A:F,6,FALSE)</f>
        <v>#N/A</v>
      </c>
      <c r="O435" s="39" t="e">
        <f>ROUNDDOWN(Table215[[#This Row],[R-DEMAND]]/1320,0)</f>
        <v>#N/A</v>
      </c>
      <c r="P435" s="41" t="e">
        <f>Table215[[#This Row],[ADD ACC]]*Table215[[#This Row],[RT TIME (744)]]</f>
        <v>#N/A</v>
      </c>
    </row>
    <row r="436" spans="1:16" ht="15" customHeight="1" x14ac:dyDescent="0.25">
      <c r="A436" s="38" t="s">
        <v>13999</v>
      </c>
      <c r="B436" s="39" t="s">
        <v>937</v>
      </c>
      <c r="C436" s="39"/>
      <c r="D436" s="39">
        <v>1</v>
      </c>
      <c r="E436" s="143" t="s">
        <v>647</v>
      </c>
      <c r="F436" s="38" t="e">
        <f>VLOOKUP(E:E,Table10[[COUNTRY NAME]:[CONTINENT CODE]],3,FALSE)</f>
        <v>#N/A</v>
      </c>
      <c r="G436" s="155" t="s">
        <v>13332</v>
      </c>
      <c r="H436" s="40">
        <v>7936</v>
      </c>
      <c r="I436" s="41">
        <v>19.75</v>
      </c>
      <c r="J436" s="157"/>
      <c r="K436" s="42">
        <f>IFERROR(Table215[[#This Row],[ROUTE $]]/Table215[[#This Row],[E - DEMAND]],0)</f>
        <v>0</v>
      </c>
      <c r="L436" s="43"/>
      <c r="M436" s="39" t="e">
        <f>VLOOKUP(Table215[[#This Row],[ROUTE]],DEMAND!A:F,5,FALSE)</f>
        <v>#N/A</v>
      </c>
      <c r="N436" s="39" t="e">
        <f>VLOOKUP(Table215[[#This Row],[ROUTE]],DEMAND!A:F,6,FALSE)</f>
        <v>#N/A</v>
      </c>
      <c r="O436" s="39" t="e">
        <f>ROUNDDOWN(Table215[[#This Row],[R-DEMAND]]/1320,0)</f>
        <v>#N/A</v>
      </c>
      <c r="P436" s="41" t="e">
        <f>Table215[[#This Row],[ADD ACC]]*Table215[[#This Row],[RT TIME (744)]]</f>
        <v>#N/A</v>
      </c>
    </row>
    <row r="437" spans="1:16" ht="15" customHeight="1" x14ac:dyDescent="0.25">
      <c r="A437" s="38" t="s">
        <v>14056</v>
      </c>
      <c r="B437" s="39" t="s">
        <v>266</v>
      </c>
      <c r="C437" s="39"/>
      <c r="D437" s="39">
        <v>0</v>
      </c>
      <c r="E437" s="38" t="s">
        <v>542</v>
      </c>
      <c r="F437" s="38" t="str">
        <f>VLOOKUP(E:E,Table10[[COUNTRY NAME]:[CONTINENT CODE]],3,FALSE)</f>
        <v>AF</v>
      </c>
      <c r="G437" s="155" t="s">
        <v>11906</v>
      </c>
      <c r="H437" s="40">
        <v>7998</v>
      </c>
      <c r="I437" s="41">
        <v>19.75</v>
      </c>
      <c r="J437" s="157"/>
      <c r="K437" s="42">
        <f>IFERROR(Table215[[#This Row],[ROUTE $]]/Table215[[#This Row],[E - DEMAND]],0)</f>
        <v>0</v>
      </c>
      <c r="L437" s="43"/>
      <c r="M437" s="39" t="e">
        <f>VLOOKUP(Table215[[#This Row],[ROUTE]],DEMAND!A:F,5,FALSE)</f>
        <v>#N/A</v>
      </c>
      <c r="N437" s="39" t="e">
        <f>VLOOKUP(Table215[[#This Row],[ROUTE]],DEMAND!A:F,6,FALSE)</f>
        <v>#N/A</v>
      </c>
      <c r="O437" s="39" t="e">
        <f>ROUNDDOWN(Table215[[#This Row],[R-DEMAND]]/1320,0)</f>
        <v>#N/A</v>
      </c>
      <c r="P437" s="41" t="e">
        <f>Table215[[#This Row],[ADD ACC]]*Table215[[#This Row],[RT TIME (744)]]</f>
        <v>#N/A</v>
      </c>
    </row>
    <row r="438" spans="1:16" ht="15" customHeight="1" x14ac:dyDescent="0.25">
      <c r="A438" s="38" t="s">
        <v>13397</v>
      </c>
      <c r="B438" s="39" t="s">
        <v>1838</v>
      </c>
      <c r="C438" s="39"/>
      <c r="D438" s="39">
        <v>1</v>
      </c>
      <c r="E438" s="1" t="s">
        <v>493</v>
      </c>
      <c r="F438" s="1" t="str">
        <f>VLOOKUP(E:E,Table10[[COUNTRY NAME]:[CONTINENT CODE]],3,FALSE)</f>
        <v>AF</v>
      </c>
      <c r="G438" s="156" t="s">
        <v>11763</v>
      </c>
      <c r="H438" s="8">
        <v>8034</v>
      </c>
      <c r="I438" s="41">
        <v>20</v>
      </c>
      <c r="J438" s="157"/>
      <c r="K438" s="6">
        <f>IFERROR(Table215[[#This Row],[ROUTE $]]/Table215[[#This Row],[E - DEMAND]],0)</f>
        <v>0</v>
      </c>
      <c r="L438" s="4"/>
      <c r="M438" s="39" t="e">
        <f>VLOOKUP(Table215[[#This Row],[ROUTE]],DEMAND!A:F,5,FALSE)</f>
        <v>#N/A</v>
      </c>
      <c r="N438" s="39" t="e">
        <f>VLOOKUP(Table215[[#This Row],[ROUTE]],DEMAND!A:F,6,FALSE)</f>
        <v>#N/A</v>
      </c>
      <c r="O438" s="39" t="e">
        <f>ROUNDDOWN(Table215[[#This Row],[R-DEMAND]]/1320,0)</f>
        <v>#N/A</v>
      </c>
      <c r="P438" s="41" t="e">
        <f>Table215[[#This Row],[ADD ACC]]*Table215[[#This Row],[RT TIME (744)]]</f>
        <v>#N/A</v>
      </c>
    </row>
    <row r="439" spans="1:16" ht="15" customHeight="1" x14ac:dyDescent="0.25">
      <c r="A439" s="38" t="s">
        <v>13486</v>
      </c>
      <c r="B439" s="39" t="s">
        <v>1477</v>
      </c>
      <c r="C439" s="39"/>
      <c r="D439" s="39">
        <v>1</v>
      </c>
      <c r="E439" s="1" t="s">
        <v>514</v>
      </c>
      <c r="F439" s="1" t="str">
        <f>VLOOKUP(E:E,Table10[[COUNTRY NAME]:[CONTINENT CODE]],3,FALSE)</f>
        <v>NA</v>
      </c>
      <c r="G439" s="159" t="s">
        <v>13174</v>
      </c>
      <c r="H439" s="8">
        <v>8095</v>
      </c>
      <c r="I439" s="41">
        <v>20</v>
      </c>
      <c r="J439" s="157"/>
      <c r="K439" s="6">
        <f>IFERROR(Table215[[#This Row],[ROUTE $]]/Table215[[#This Row],[E - DEMAND]],0)</f>
        <v>0</v>
      </c>
      <c r="L439" s="4"/>
      <c r="M439" s="39" t="e">
        <f>VLOOKUP(Table215[[#This Row],[ROUTE]],DEMAND!A:F,5,FALSE)</f>
        <v>#N/A</v>
      </c>
      <c r="N439" s="39" t="e">
        <f>VLOOKUP(Table215[[#This Row],[ROUTE]],DEMAND!A:F,6,FALSE)</f>
        <v>#N/A</v>
      </c>
      <c r="O439" s="39" t="e">
        <f>ROUNDDOWN(Table215[[#This Row],[R-DEMAND]]/1320,0)</f>
        <v>#N/A</v>
      </c>
      <c r="P439" s="41" t="e">
        <f>Table215[[#This Row],[ADD ACC]]*Table215[[#This Row],[RT TIME (744)]]</f>
        <v>#N/A</v>
      </c>
    </row>
    <row r="440" spans="1:16" ht="15" customHeight="1" x14ac:dyDescent="0.25">
      <c r="A440" s="38" t="s">
        <v>13487</v>
      </c>
      <c r="B440" s="39" t="s">
        <v>3652</v>
      </c>
      <c r="C440" s="39"/>
      <c r="D440" s="39">
        <v>2</v>
      </c>
      <c r="E440" s="1" t="s">
        <v>514</v>
      </c>
      <c r="F440" s="1" t="str">
        <f>VLOOKUP(E:E,Table10[[COUNTRY NAME]:[CONTINENT CODE]],3,FALSE)</f>
        <v>NA</v>
      </c>
      <c r="G440" s="156" t="s">
        <v>13175</v>
      </c>
      <c r="H440" s="8">
        <v>8089</v>
      </c>
      <c r="I440" s="41">
        <v>20</v>
      </c>
      <c r="J440" s="157"/>
      <c r="K440" s="6">
        <f>IFERROR(Table215[[#This Row],[ROUTE $]]/Table215[[#This Row],[E - DEMAND]],0)</f>
        <v>0</v>
      </c>
      <c r="L440" s="4"/>
      <c r="M440" s="39" t="e">
        <f>VLOOKUP(Table215[[#This Row],[ROUTE]],DEMAND!A:F,5,FALSE)</f>
        <v>#N/A</v>
      </c>
      <c r="N440" s="39" t="e">
        <f>VLOOKUP(Table215[[#This Row],[ROUTE]],DEMAND!A:F,6,FALSE)</f>
        <v>#N/A</v>
      </c>
      <c r="O440" s="39" t="e">
        <f>ROUNDDOWN(Table215[[#This Row],[R-DEMAND]]/1320,0)</f>
        <v>#N/A</v>
      </c>
      <c r="P440" s="41" t="e">
        <f>Table215[[#This Row],[ADD ACC]]*Table215[[#This Row],[RT TIME (744)]]</f>
        <v>#N/A</v>
      </c>
    </row>
    <row r="441" spans="1:16" ht="15" customHeight="1" x14ac:dyDescent="0.25">
      <c r="A441" s="38" t="s">
        <v>13829</v>
      </c>
      <c r="B441" s="39" t="s">
        <v>2553</v>
      </c>
      <c r="C441" s="39"/>
      <c r="D441" s="39">
        <v>2</v>
      </c>
      <c r="E441" s="38" t="s">
        <v>119</v>
      </c>
      <c r="F441" s="38" t="str">
        <f>VLOOKUP(E:E,Table10[[COUNTRY NAME]:[CONTINENT CODE]],3,FALSE)</f>
        <v>EU</v>
      </c>
      <c r="G441" s="155" t="s">
        <v>11681</v>
      </c>
      <c r="H441" s="40">
        <v>8066</v>
      </c>
      <c r="I441" s="41">
        <v>20</v>
      </c>
      <c r="J441" s="157"/>
      <c r="K441" s="42">
        <f>IFERROR(Table215[[#This Row],[ROUTE $]]/Table215[[#This Row],[E - DEMAND]],0)</f>
        <v>0</v>
      </c>
      <c r="L441" s="43"/>
      <c r="M441" s="39" t="e">
        <f>VLOOKUP(Table215[[#This Row],[ROUTE]],DEMAND!A:F,5,FALSE)</f>
        <v>#N/A</v>
      </c>
      <c r="N441" s="39" t="e">
        <f>VLOOKUP(Table215[[#This Row],[ROUTE]],DEMAND!A:F,6,FALSE)</f>
        <v>#N/A</v>
      </c>
      <c r="O441" s="39" t="e">
        <f>ROUNDDOWN(Table215[[#This Row],[R-DEMAND]]/1320,0)</f>
        <v>#N/A</v>
      </c>
      <c r="P441" s="41" t="e">
        <f>Table215[[#This Row],[ADD ACC]]*Table215[[#This Row],[RT TIME (744)]]</f>
        <v>#N/A</v>
      </c>
    </row>
    <row r="442" spans="1:16" ht="15" customHeight="1" x14ac:dyDescent="0.25">
      <c r="A442" s="38" t="s">
        <v>13828</v>
      </c>
      <c r="B442" s="39" t="s">
        <v>4789</v>
      </c>
      <c r="C442" s="39"/>
      <c r="D442" s="39">
        <v>3</v>
      </c>
      <c r="E442" s="38" t="s">
        <v>119</v>
      </c>
      <c r="F442" s="38" t="str">
        <f>VLOOKUP(E:E,Table10[[COUNTRY NAME]:[CONTINENT CODE]],3,FALSE)</f>
        <v>EU</v>
      </c>
      <c r="G442" s="155" t="s">
        <v>11691</v>
      </c>
      <c r="H442" s="40">
        <v>8089</v>
      </c>
      <c r="I442" s="41">
        <v>20</v>
      </c>
      <c r="J442" s="157"/>
      <c r="K442" s="42">
        <f>IFERROR(Table215[[#This Row],[ROUTE $]]/Table215[[#This Row],[E - DEMAND]],0)</f>
        <v>0</v>
      </c>
      <c r="L442" s="43"/>
      <c r="M442" s="39" t="e">
        <f>VLOOKUP(Table215[[#This Row],[ROUTE]],DEMAND!A:F,5,FALSE)</f>
        <v>#N/A</v>
      </c>
      <c r="N442" s="39" t="e">
        <f>VLOOKUP(Table215[[#This Row],[ROUTE]],DEMAND!A:F,6,FALSE)</f>
        <v>#N/A</v>
      </c>
      <c r="O442" s="39" t="e">
        <f>ROUNDDOWN(Table215[[#This Row],[R-DEMAND]]/1320,0)</f>
        <v>#N/A</v>
      </c>
      <c r="P442" s="41" t="e">
        <f>Table215[[#This Row],[ADD ACC]]*Table215[[#This Row],[RT TIME (744)]]</f>
        <v>#N/A</v>
      </c>
    </row>
    <row r="443" spans="1:16" ht="15" customHeight="1" x14ac:dyDescent="0.25">
      <c r="A443" s="38" t="s">
        <v>13993</v>
      </c>
      <c r="B443" s="39" t="s">
        <v>134</v>
      </c>
      <c r="C443" s="39"/>
      <c r="D443" s="39">
        <v>2</v>
      </c>
      <c r="E443" s="143" t="s">
        <v>647</v>
      </c>
      <c r="F443" s="38" t="e">
        <f>VLOOKUP(E:E,Table10[[COUNTRY NAME]:[CONTINENT CODE]],3,FALSE)</f>
        <v>#N/A</v>
      </c>
      <c r="G443" s="155" t="s">
        <v>13326</v>
      </c>
      <c r="H443" s="40">
        <v>8054</v>
      </c>
      <c r="I443" s="41">
        <v>20</v>
      </c>
      <c r="J443" s="157"/>
      <c r="K443" s="42">
        <f>IFERROR(Table215[[#This Row],[ROUTE $]]/Table215[[#This Row],[E - DEMAND]],0)</f>
        <v>0</v>
      </c>
      <c r="L443" s="43"/>
      <c r="M443" s="39" t="e">
        <f>VLOOKUP(Table215[[#This Row],[ROUTE]],DEMAND!A:F,5,FALSE)</f>
        <v>#N/A</v>
      </c>
      <c r="N443" s="39" t="e">
        <f>VLOOKUP(Table215[[#This Row],[ROUTE]],DEMAND!A:F,6,FALSE)</f>
        <v>#N/A</v>
      </c>
      <c r="O443" s="39" t="e">
        <f>ROUNDDOWN(Table215[[#This Row],[R-DEMAND]]/1320,0)</f>
        <v>#N/A</v>
      </c>
      <c r="P443" s="41" t="e">
        <f>Table215[[#This Row],[ADD ACC]]*Table215[[#This Row],[RT TIME (744)]]</f>
        <v>#N/A</v>
      </c>
    </row>
    <row r="444" spans="1:16" ht="15" customHeight="1" x14ac:dyDescent="0.25">
      <c r="A444" s="38" t="s">
        <v>13991</v>
      </c>
      <c r="B444" s="39" t="s">
        <v>5524</v>
      </c>
      <c r="C444" s="39"/>
      <c r="D444" s="39">
        <v>4</v>
      </c>
      <c r="E444" s="143" t="s">
        <v>647</v>
      </c>
      <c r="F444" s="38" t="e">
        <f>VLOOKUP(E:E,Table10[[COUNTRY NAME]:[CONTINENT CODE]],3,FALSE)</f>
        <v>#N/A</v>
      </c>
      <c r="G444" s="155" t="s">
        <v>13324</v>
      </c>
      <c r="H444" s="40">
        <v>8089</v>
      </c>
      <c r="I444" s="41">
        <v>20</v>
      </c>
      <c r="J444" s="157"/>
      <c r="K444" s="42">
        <f>IFERROR(Table215[[#This Row],[ROUTE $]]/Table215[[#This Row],[E - DEMAND]],0)</f>
        <v>0</v>
      </c>
      <c r="L444" s="43"/>
      <c r="M444" s="39" t="e">
        <f>VLOOKUP(Table215[[#This Row],[ROUTE]],DEMAND!A:F,5,FALSE)</f>
        <v>#N/A</v>
      </c>
      <c r="N444" s="39" t="e">
        <f>VLOOKUP(Table215[[#This Row],[ROUTE]],DEMAND!A:F,6,FALSE)</f>
        <v>#N/A</v>
      </c>
      <c r="O444" s="39" t="e">
        <f>ROUNDDOWN(Table215[[#This Row],[R-DEMAND]]/1320,0)</f>
        <v>#N/A</v>
      </c>
      <c r="P444" s="41" t="e">
        <f>Table215[[#This Row],[ADD ACC]]*Table215[[#This Row],[RT TIME (744)]]</f>
        <v>#N/A</v>
      </c>
    </row>
    <row r="445" spans="1:16" ht="15" customHeight="1" x14ac:dyDescent="0.25">
      <c r="A445" s="38" t="s">
        <v>13992</v>
      </c>
      <c r="B445" s="39" t="s">
        <v>5074</v>
      </c>
      <c r="C445" s="39"/>
      <c r="D445" s="39">
        <v>3</v>
      </c>
      <c r="E445" s="143" t="s">
        <v>647</v>
      </c>
      <c r="F445" s="38" t="e">
        <f>VLOOKUP(E:E,Table10[[COUNTRY NAME]:[CONTINENT CODE]],3,FALSE)</f>
        <v>#N/A</v>
      </c>
      <c r="G445" s="155" t="s">
        <v>13325</v>
      </c>
      <c r="H445" s="40">
        <v>8059</v>
      </c>
      <c r="I445" s="41">
        <v>20</v>
      </c>
      <c r="J445" s="157"/>
      <c r="K445" s="42">
        <f>IFERROR(Table215[[#This Row],[ROUTE $]]/Table215[[#This Row],[E - DEMAND]],0)</f>
        <v>0</v>
      </c>
      <c r="L445" s="43"/>
      <c r="M445" s="39" t="e">
        <f>VLOOKUP(Table215[[#This Row],[ROUTE]],DEMAND!A:F,5,FALSE)</f>
        <v>#N/A</v>
      </c>
      <c r="N445" s="39" t="e">
        <f>VLOOKUP(Table215[[#This Row],[ROUTE]],DEMAND!A:F,6,FALSE)</f>
        <v>#N/A</v>
      </c>
      <c r="O445" s="39" t="e">
        <f>ROUNDDOWN(Table215[[#This Row],[R-DEMAND]]/1320,0)</f>
        <v>#N/A</v>
      </c>
      <c r="P445" s="41" t="e">
        <f>Table215[[#This Row],[ADD ACC]]*Table215[[#This Row],[RT TIME (744)]]</f>
        <v>#N/A</v>
      </c>
    </row>
    <row r="446" spans="1:16" ht="15" customHeight="1" x14ac:dyDescent="0.25">
      <c r="A446" s="38" t="s">
        <v>13994</v>
      </c>
      <c r="B446" s="39" t="s">
        <v>2132</v>
      </c>
      <c r="C446" s="39"/>
      <c r="D446" s="39">
        <v>1</v>
      </c>
      <c r="E446" s="143" t="s">
        <v>647</v>
      </c>
      <c r="F446" s="38" t="e">
        <f>VLOOKUP(E:E,Table10[[COUNTRY NAME]:[CONTINENT CODE]],3,FALSE)</f>
        <v>#N/A</v>
      </c>
      <c r="G446" s="155" t="s">
        <v>13327</v>
      </c>
      <c r="H446" s="40">
        <v>8048</v>
      </c>
      <c r="I446" s="41">
        <v>20</v>
      </c>
      <c r="J446" s="157"/>
      <c r="K446" s="42">
        <f>IFERROR(Table215[[#This Row],[ROUTE $]]/Table215[[#This Row],[E - DEMAND]],0)</f>
        <v>0</v>
      </c>
      <c r="L446" s="43"/>
      <c r="M446" s="39" t="e">
        <f>VLOOKUP(Table215[[#This Row],[ROUTE]],DEMAND!A:F,5,FALSE)</f>
        <v>#N/A</v>
      </c>
      <c r="N446" s="39" t="e">
        <f>VLOOKUP(Table215[[#This Row],[ROUTE]],DEMAND!A:F,6,FALSE)</f>
        <v>#N/A</v>
      </c>
      <c r="O446" s="39" t="e">
        <f>ROUNDDOWN(Table215[[#This Row],[R-DEMAND]]/1320,0)</f>
        <v>#N/A</v>
      </c>
      <c r="P446" s="41" t="e">
        <f>Table215[[#This Row],[ADD ACC]]*Table215[[#This Row],[RT TIME (744)]]</f>
        <v>#N/A</v>
      </c>
    </row>
    <row r="447" spans="1:16" ht="15" customHeight="1" x14ac:dyDescent="0.25">
      <c r="A447" s="38" t="s">
        <v>13990</v>
      </c>
      <c r="B447" s="39" t="s">
        <v>811</v>
      </c>
      <c r="C447" s="39"/>
      <c r="D447" s="39">
        <v>1</v>
      </c>
      <c r="E447" s="143" t="s">
        <v>647</v>
      </c>
      <c r="F447" s="38" t="e">
        <f>VLOOKUP(E:E,Table10[[COUNTRY NAME]:[CONTINENT CODE]],3,FALSE)</f>
        <v>#N/A</v>
      </c>
      <c r="G447" s="155" t="s">
        <v>13323</v>
      </c>
      <c r="H447" s="40">
        <v>8113</v>
      </c>
      <c r="I447" s="41">
        <v>20</v>
      </c>
      <c r="J447" s="157"/>
      <c r="K447" s="42">
        <f>IFERROR(Table215[[#This Row],[ROUTE $]]/Table215[[#This Row],[E - DEMAND]],0)</f>
        <v>0</v>
      </c>
      <c r="L447" s="43"/>
      <c r="M447" s="39" t="e">
        <f>VLOOKUP(Table215[[#This Row],[ROUTE]],DEMAND!A:F,5,FALSE)</f>
        <v>#N/A</v>
      </c>
      <c r="N447" s="39" t="e">
        <f>VLOOKUP(Table215[[#This Row],[ROUTE]],DEMAND!A:F,6,FALSE)</f>
        <v>#N/A</v>
      </c>
      <c r="O447" s="39" t="e">
        <f>ROUNDDOWN(Table215[[#This Row],[R-DEMAND]]/1320,0)</f>
        <v>#N/A</v>
      </c>
      <c r="P447" s="41" t="e">
        <f>Table215[[#This Row],[ADD ACC]]*Table215[[#This Row],[RT TIME (744)]]</f>
        <v>#N/A</v>
      </c>
    </row>
    <row r="448" spans="1:16" ht="15" customHeight="1" x14ac:dyDescent="0.25">
      <c r="A448" s="38" t="s">
        <v>13394</v>
      </c>
      <c r="B448" s="39" t="s">
        <v>2079</v>
      </c>
      <c r="C448" s="39"/>
      <c r="D448" s="39">
        <v>1</v>
      </c>
      <c r="E448" s="1" t="s">
        <v>493</v>
      </c>
      <c r="F448" s="1" t="str">
        <f>VLOOKUP(E:E,Table10[[COUNTRY NAME]:[CONTINENT CODE]],3,FALSE)</f>
        <v>AF</v>
      </c>
      <c r="G448" s="156" t="s">
        <v>11721</v>
      </c>
      <c r="H448" s="8">
        <v>8186</v>
      </c>
      <c r="I448" s="41">
        <v>20.25</v>
      </c>
      <c r="J448" s="157"/>
      <c r="K448" s="6">
        <f>IFERROR(Table215[[#This Row],[ROUTE $]]/Table215[[#This Row],[E - DEMAND]],0)</f>
        <v>0</v>
      </c>
      <c r="L448" s="5"/>
      <c r="M448" s="39" t="e">
        <f>VLOOKUP(Table215[[#This Row],[ROUTE]],DEMAND!A:F,5,FALSE)</f>
        <v>#N/A</v>
      </c>
      <c r="N448" s="39" t="e">
        <f>VLOOKUP(Table215[[#This Row],[ROUTE]],DEMAND!A:F,6,FALSE)</f>
        <v>#N/A</v>
      </c>
      <c r="O448" s="39" t="e">
        <f>ROUNDDOWN(Table215[[#This Row],[R-DEMAND]]/1320,0)</f>
        <v>#N/A</v>
      </c>
      <c r="P448" s="41" t="e">
        <f>Table215[[#This Row],[ADD ACC]]*Table215[[#This Row],[RT TIME (744)]]</f>
        <v>#N/A</v>
      </c>
    </row>
    <row r="449" spans="1:16" ht="15" customHeight="1" x14ac:dyDescent="0.25">
      <c r="A449" s="38" t="s">
        <v>13393</v>
      </c>
      <c r="B449" s="39" t="s">
        <v>1643</v>
      </c>
      <c r="C449" s="39"/>
      <c r="D449" s="39">
        <v>1</v>
      </c>
      <c r="E449" s="1" t="s">
        <v>493</v>
      </c>
      <c r="F449" s="1" t="str">
        <f>VLOOKUP(E:E,Table10[[COUNTRY NAME]:[CONTINENT CODE]],3,FALSE)</f>
        <v>AF</v>
      </c>
      <c r="G449" s="156" t="s">
        <v>11719</v>
      </c>
      <c r="H449" s="8">
        <v>8194</v>
      </c>
      <c r="I449" s="41">
        <v>20.25</v>
      </c>
      <c r="J449" s="157"/>
      <c r="K449" s="6">
        <f>IFERROR(Table215[[#This Row],[ROUTE $]]/Table215[[#This Row],[E - DEMAND]],0)</f>
        <v>0</v>
      </c>
      <c r="L449" s="4"/>
      <c r="M449" s="39" t="e">
        <f>VLOOKUP(Table215[[#This Row],[ROUTE]],DEMAND!A:F,5,FALSE)</f>
        <v>#N/A</v>
      </c>
      <c r="N449" s="39" t="e">
        <f>VLOOKUP(Table215[[#This Row],[ROUTE]],DEMAND!A:F,6,FALSE)</f>
        <v>#N/A</v>
      </c>
      <c r="O449" s="39" t="e">
        <f>ROUNDDOWN(Table215[[#This Row],[R-DEMAND]]/1320,0)</f>
        <v>#N/A</v>
      </c>
      <c r="P449" s="41" t="e">
        <f>Table215[[#This Row],[ADD ACC]]*Table215[[#This Row],[RT TIME (744)]]</f>
        <v>#N/A</v>
      </c>
    </row>
    <row r="450" spans="1:16" ht="15" customHeight="1" x14ac:dyDescent="0.25">
      <c r="A450" s="38" t="s">
        <v>13392</v>
      </c>
      <c r="B450" s="39" t="s">
        <v>575</v>
      </c>
      <c r="C450" s="39"/>
      <c r="D450" s="39">
        <v>1</v>
      </c>
      <c r="E450" s="1" t="s">
        <v>493</v>
      </c>
      <c r="F450" s="1" t="str">
        <f>VLOOKUP(E:E,Table10[[COUNTRY NAME]:[CONTINENT CODE]],3,FALSE)</f>
        <v>AF</v>
      </c>
      <c r="G450" s="156" t="s">
        <v>11717</v>
      </c>
      <c r="H450" s="8">
        <v>8231</v>
      </c>
      <c r="I450" s="41">
        <v>20.25</v>
      </c>
      <c r="J450" s="157"/>
      <c r="K450" s="6">
        <f>IFERROR(Table215[[#This Row],[ROUTE $]]/Table215[[#This Row],[E - DEMAND]],0)</f>
        <v>0</v>
      </c>
      <c r="L450" s="4"/>
      <c r="M450" s="39" t="e">
        <f>VLOOKUP(Table215[[#This Row],[ROUTE]],DEMAND!A:F,5,FALSE)</f>
        <v>#N/A</v>
      </c>
      <c r="N450" s="39" t="e">
        <f>VLOOKUP(Table215[[#This Row],[ROUTE]],DEMAND!A:F,6,FALSE)</f>
        <v>#N/A</v>
      </c>
      <c r="O450" s="39" t="e">
        <f>ROUNDDOWN(Table215[[#This Row],[R-DEMAND]]/1320,0)</f>
        <v>#N/A</v>
      </c>
      <c r="P450" s="41" t="e">
        <f>Table215[[#This Row],[ADD ACC]]*Table215[[#This Row],[RT TIME (744)]]</f>
        <v>#N/A</v>
      </c>
    </row>
    <row r="451" spans="1:16" ht="15" customHeight="1" x14ac:dyDescent="0.25">
      <c r="A451" s="38" t="s">
        <v>13396</v>
      </c>
      <c r="B451" s="39" t="s">
        <v>1433</v>
      </c>
      <c r="C451" s="39"/>
      <c r="D451" s="39">
        <v>1</v>
      </c>
      <c r="E451" s="1" t="s">
        <v>493</v>
      </c>
      <c r="F451" s="1" t="str">
        <f>VLOOKUP(E:E,Table10[[COUNTRY NAME]:[CONTINENT CODE]],3,FALSE)</f>
        <v>AF</v>
      </c>
      <c r="G451" s="160" t="s">
        <v>11756</v>
      </c>
      <c r="H451" s="40">
        <v>8133</v>
      </c>
      <c r="I451" s="41">
        <v>20.25</v>
      </c>
      <c r="J451" s="157"/>
      <c r="K451" s="42">
        <f>IFERROR(Table215[[#This Row],[ROUTE $]]/Table215[[#This Row],[E - DEMAND]],0)</f>
        <v>0</v>
      </c>
      <c r="L451" s="43"/>
      <c r="M451" s="39" t="e">
        <f>VLOOKUP(Table215[[#This Row],[ROUTE]],DEMAND!A:F,5,FALSE)</f>
        <v>#N/A</v>
      </c>
      <c r="N451" s="39" t="e">
        <f>VLOOKUP(Table215[[#This Row],[ROUTE]],DEMAND!A:F,6,FALSE)</f>
        <v>#N/A</v>
      </c>
      <c r="O451" s="39" t="e">
        <f>ROUNDDOWN(Table215[[#This Row],[R-DEMAND]]/1320,0)</f>
        <v>#N/A</v>
      </c>
      <c r="P451" s="41" t="e">
        <f>Table215[[#This Row],[ADD ACC]]*Table215[[#This Row],[RT TIME (744)]]</f>
        <v>#N/A</v>
      </c>
    </row>
    <row r="452" spans="1:16" ht="15" customHeight="1" x14ac:dyDescent="0.25">
      <c r="A452" s="38" t="s">
        <v>13516</v>
      </c>
      <c r="B452" s="39" t="s">
        <v>3339</v>
      </c>
      <c r="C452" s="39"/>
      <c r="D452" s="39">
        <v>2</v>
      </c>
      <c r="E452" s="143" t="s">
        <v>725</v>
      </c>
      <c r="F452" s="1" t="e">
        <f>VLOOKUP(E:E,Table10[[COUNTRY NAME]:[CONTINENT CODE]],3,FALSE)</f>
        <v>#N/A</v>
      </c>
      <c r="G452" s="156" t="s">
        <v>11859</v>
      </c>
      <c r="H452" s="8">
        <v>8180</v>
      </c>
      <c r="I452" s="41">
        <v>20.25</v>
      </c>
      <c r="J452" s="157"/>
      <c r="K452" s="6">
        <f>IFERROR(Table215[[#This Row],[ROUTE $]]/Table215[[#This Row],[E - DEMAND]],0)</f>
        <v>0</v>
      </c>
      <c r="L452" s="4"/>
      <c r="M452" s="39" t="e">
        <f>VLOOKUP(Table215[[#This Row],[ROUTE]],DEMAND!A:F,5,FALSE)</f>
        <v>#N/A</v>
      </c>
      <c r="N452" s="39" t="e">
        <f>VLOOKUP(Table215[[#This Row],[ROUTE]],DEMAND!A:F,6,FALSE)</f>
        <v>#N/A</v>
      </c>
      <c r="O452" s="39" t="e">
        <f>ROUNDDOWN(Table215[[#This Row],[R-DEMAND]]/1320,0)</f>
        <v>#N/A</v>
      </c>
      <c r="P452" s="41" t="e">
        <f>Table215[[#This Row],[ADD ACC]]*Table215[[#This Row],[RT TIME (744)]]</f>
        <v>#N/A</v>
      </c>
    </row>
    <row r="453" spans="1:16" ht="15" customHeight="1" x14ac:dyDescent="0.25">
      <c r="A453" s="38" t="s">
        <v>13484</v>
      </c>
      <c r="B453" s="39" t="s">
        <v>4136</v>
      </c>
      <c r="C453" s="39"/>
      <c r="D453" s="39">
        <v>2</v>
      </c>
      <c r="E453" s="1" t="s">
        <v>514</v>
      </c>
      <c r="F453" s="1" t="str">
        <f>VLOOKUP(E:E,Table10[[COUNTRY NAME]:[CONTINENT CODE]],3,FALSE)</f>
        <v>NA</v>
      </c>
      <c r="G453" s="156" t="s">
        <v>13172</v>
      </c>
      <c r="H453" s="8">
        <v>8161</v>
      </c>
      <c r="I453" s="41">
        <v>20.25</v>
      </c>
      <c r="J453" s="157"/>
      <c r="K453" s="6">
        <f>IFERROR(Table215[[#This Row],[ROUTE $]]/Table215[[#This Row],[E - DEMAND]],0)</f>
        <v>0</v>
      </c>
      <c r="L453" s="5"/>
      <c r="M453" s="39" t="e">
        <f>VLOOKUP(Table215[[#This Row],[ROUTE]],DEMAND!A:F,5,FALSE)</f>
        <v>#N/A</v>
      </c>
      <c r="N453" s="39" t="e">
        <f>VLOOKUP(Table215[[#This Row],[ROUTE]],DEMAND!A:F,6,FALSE)</f>
        <v>#N/A</v>
      </c>
      <c r="O453" s="39" t="e">
        <f>ROUNDDOWN(Table215[[#This Row],[R-DEMAND]]/1320,0)</f>
        <v>#N/A</v>
      </c>
      <c r="P453" s="41" t="e">
        <f>Table215[[#This Row],[ADD ACC]]*Table215[[#This Row],[RT TIME (744)]]</f>
        <v>#N/A</v>
      </c>
    </row>
    <row r="454" spans="1:16" ht="15" customHeight="1" x14ac:dyDescent="0.25">
      <c r="A454" s="38" t="s">
        <v>13827</v>
      </c>
      <c r="B454" s="39" t="s">
        <v>4590</v>
      </c>
      <c r="C454" s="39"/>
      <c r="D454" s="39">
        <v>2</v>
      </c>
      <c r="E454" s="38" t="s">
        <v>119</v>
      </c>
      <c r="F454" s="38" t="str">
        <f>VLOOKUP(E:E,Table10[[COUNTRY NAME]:[CONTINENT CODE]],3,FALSE)</f>
        <v>EU</v>
      </c>
      <c r="G454" s="155" t="s">
        <v>11696</v>
      </c>
      <c r="H454" s="40">
        <v>8142</v>
      </c>
      <c r="I454" s="41">
        <v>20.25</v>
      </c>
      <c r="J454" s="157"/>
      <c r="K454" s="42">
        <f>IFERROR(Table215[[#This Row],[ROUTE $]]/Table215[[#This Row],[E - DEMAND]],0)</f>
        <v>0</v>
      </c>
      <c r="L454" s="43"/>
      <c r="M454" s="39" t="e">
        <f>VLOOKUP(Table215[[#This Row],[ROUTE]],DEMAND!A:F,5,FALSE)</f>
        <v>#N/A</v>
      </c>
      <c r="N454" s="39" t="e">
        <f>VLOOKUP(Table215[[#This Row],[ROUTE]],DEMAND!A:F,6,FALSE)</f>
        <v>#N/A</v>
      </c>
      <c r="O454" s="39" t="e">
        <f>ROUNDDOWN(Table215[[#This Row],[R-DEMAND]]/1320,0)</f>
        <v>#N/A</v>
      </c>
      <c r="P454" s="41" t="e">
        <f>Table215[[#This Row],[ADD ACC]]*Table215[[#This Row],[RT TIME (744)]]</f>
        <v>#N/A</v>
      </c>
    </row>
    <row r="455" spans="1:16" ht="15" customHeight="1" x14ac:dyDescent="0.25">
      <c r="A455" s="38" t="s">
        <v>13482</v>
      </c>
      <c r="B455" s="39" t="s">
        <v>12</v>
      </c>
      <c r="C455" s="39"/>
      <c r="D455" s="39">
        <v>3</v>
      </c>
      <c r="E455" s="1" t="s">
        <v>514</v>
      </c>
      <c r="F455" s="1" t="str">
        <f>VLOOKUP(E:E,Table10[[COUNTRY NAME]:[CONTINENT CODE]],3,FALSE)</f>
        <v>NA</v>
      </c>
      <c r="G455" s="156" t="s">
        <v>13170</v>
      </c>
      <c r="H455" s="8">
        <v>8199</v>
      </c>
      <c r="I455" s="41">
        <v>20.25</v>
      </c>
      <c r="J455" s="157"/>
      <c r="K455" s="6">
        <f>IFERROR(Table215[[#This Row],[ROUTE $]]/Table215[[#This Row],[E - DEMAND]],0)</f>
        <v>0</v>
      </c>
      <c r="L455" s="4"/>
      <c r="M455" s="39" t="e">
        <f>VLOOKUP(Table215[[#This Row],[ROUTE]],DEMAND!A:F,5,FALSE)</f>
        <v>#N/A</v>
      </c>
      <c r="N455" s="39" t="e">
        <f>VLOOKUP(Table215[[#This Row],[ROUTE]],DEMAND!A:F,6,FALSE)</f>
        <v>#N/A</v>
      </c>
      <c r="O455" s="39" t="e">
        <f>ROUNDDOWN(Table215[[#This Row],[R-DEMAND]]/1320,0)</f>
        <v>#N/A</v>
      </c>
      <c r="P455" s="41" t="e">
        <f>Table215[[#This Row],[ADD ACC]]*Table215[[#This Row],[RT TIME (744)]]</f>
        <v>#N/A</v>
      </c>
    </row>
    <row r="456" spans="1:16" ht="15" customHeight="1" x14ac:dyDescent="0.25">
      <c r="A456" s="38" t="s">
        <v>13672</v>
      </c>
      <c r="B456" s="39" t="s">
        <v>3483</v>
      </c>
      <c r="C456" s="39"/>
      <c r="D456" s="39">
        <v>2</v>
      </c>
      <c r="E456" s="38" t="s">
        <v>1749</v>
      </c>
      <c r="F456" s="38" t="str">
        <f>VLOOKUP(E:E,Table10[[COUNTRY NAME]:[CONTINENT CODE]],3,FALSE)</f>
        <v>NA</v>
      </c>
      <c r="G456" s="155" t="s">
        <v>13215</v>
      </c>
      <c r="H456" s="40">
        <v>8198</v>
      </c>
      <c r="I456" s="41">
        <v>20.25</v>
      </c>
      <c r="J456" s="157"/>
      <c r="K456" s="42">
        <f>IFERROR(Table215[[#This Row],[ROUTE $]]/Table215[[#This Row],[E - DEMAND]],0)</f>
        <v>0</v>
      </c>
      <c r="L456" s="43"/>
      <c r="M456" s="39" t="e">
        <f>VLOOKUP(Table215[[#This Row],[ROUTE]],DEMAND!A:F,5,FALSE)</f>
        <v>#N/A</v>
      </c>
      <c r="N456" s="39" t="e">
        <f>VLOOKUP(Table215[[#This Row],[ROUTE]],DEMAND!A:F,6,FALSE)</f>
        <v>#N/A</v>
      </c>
      <c r="O456" s="39" t="e">
        <f>ROUNDDOWN(Table215[[#This Row],[R-DEMAND]]/1320,0)</f>
        <v>#N/A</v>
      </c>
      <c r="P456" s="41" t="e">
        <f>Table215[[#This Row],[ADD ACC]]*Table215[[#This Row],[RT TIME (744)]]</f>
        <v>#N/A</v>
      </c>
    </row>
    <row r="457" spans="1:16" ht="15" customHeight="1" x14ac:dyDescent="0.25">
      <c r="A457" s="38" t="s">
        <v>13986</v>
      </c>
      <c r="B457" s="39" t="s">
        <v>4094</v>
      </c>
      <c r="C457" s="39"/>
      <c r="D457" s="39">
        <v>2</v>
      </c>
      <c r="E457" s="143" t="s">
        <v>647</v>
      </c>
      <c r="F457" s="38" t="e">
        <f>VLOOKUP(E:E,Table10[[COUNTRY NAME]:[CONTINENT CODE]],3,FALSE)</f>
        <v>#N/A</v>
      </c>
      <c r="G457" s="155" t="s">
        <v>13319</v>
      </c>
      <c r="H457" s="40">
        <v>8204</v>
      </c>
      <c r="I457" s="41">
        <v>20.25</v>
      </c>
      <c r="J457" s="157"/>
      <c r="K457" s="42">
        <f>IFERROR(Table215[[#This Row],[ROUTE $]]/Table215[[#This Row],[E - DEMAND]],0)</f>
        <v>0</v>
      </c>
      <c r="L457" s="43"/>
      <c r="M457" s="39" t="e">
        <f>VLOOKUP(Table215[[#This Row],[ROUTE]],DEMAND!A:F,5,FALSE)</f>
        <v>#N/A</v>
      </c>
      <c r="N457" s="39" t="e">
        <f>VLOOKUP(Table215[[#This Row],[ROUTE]],DEMAND!A:F,6,FALSE)</f>
        <v>#N/A</v>
      </c>
      <c r="O457" s="39" t="e">
        <f>ROUNDDOWN(Table215[[#This Row],[R-DEMAND]]/1320,0)</f>
        <v>#N/A</v>
      </c>
      <c r="P457" s="41" t="e">
        <f>Table215[[#This Row],[ADD ACC]]*Table215[[#This Row],[RT TIME (744)]]</f>
        <v>#N/A</v>
      </c>
    </row>
    <row r="458" spans="1:16" ht="15" customHeight="1" x14ac:dyDescent="0.25">
      <c r="A458" s="38" t="s">
        <v>13988</v>
      </c>
      <c r="B458" s="39" t="s">
        <v>4011</v>
      </c>
      <c r="C458" s="39"/>
      <c r="D458" s="39">
        <v>2</v>
      </c>
      <c r="E458" s="143" t="s">
        <v>647</v>
      </c>
      <c r="F458" s="38" t="e">
        <f>VLOOKUP(E:E,Table10[[COUNTRY NAME]:[CONTINENT CODE]],3,FALSE)</f>
        <v>#N/A</v>
      </c>
      <c r="G458" s="155" t="s">
        <v>13321</v>
      </c>
      <c r="H458" s="40">
        <v>8165</v>
      </c>
      <c r="I458" s="41">
        <v>20.25</v>
      </c>
      <c r="J458" s="157"/>
      <c r="K458" s="42">
        <f>IFERROR(Table215[[#This Row],[ROUTE $]]/Table215[[#This Row],[E - DEMAND]],0)</f>
        <v>0</v>
      </c>
      <c r="L458" s="43"/>
      <c r="M458" s="39" t="e">
        <f>VLOOKUP(Table215[[#This Row],[ROUTE]],DEMAND!A:F,5,FALSE)</f>
        <v>#N/A</v>
      </c>
      <c r="N458" s="39" t="e">
        <f>VLOOKUP(Table215[[#This Row],[ROUTE]],DEMAND!A:F,6,FALSE)</f>
        <v>#N/A</v>
      </c>
      <c r="O458" s="39" t="e">
        <f>ROUNDDOWN(Table215[[#This Row],[R-DEMAND]]/1320,0)</f>
        <v>#N/A</v>
      </c>
      <c r="P458" s="41" t="e">
        <f>Table215[[#This Row],[ADD ACC]]*Table215[[#This Row],[RT TIME (744)]]</f>
        <v>#N/A</v>
      </c>
    </row>
    <row r="459" spans="1:16" ht="15" customHeight="1" x14ac:dyDescent="0.25">
      <c r="A459" s="38" t="s">
        <v>13989</v>
      </c>
      <c r="B459" s="39" t="s">
        <v>5499</v>
      </c>
      <c r="C459" s="39"/>
      <c r="D459" s="39">
        <v>4</v>
      </c>
      <c r="E459" s="143" t="s">
        <v>647</v>
      </c>
      <c r="F459" s="38" t="e">
        <f>VLOOKUP(E:E,Table10[[COUNTRY NAME]:[CONTINENT CODE]],3,FALSE)</f>
        <v>#N/A</v>
      </c>
      <c r="G459" s="155" t="s">
        <v>13322</v>
      </c>
      <c r="H459" s="40">
        <v>8149</v>
      </c>
      <c r="I459" s="41">
        <v>20.25</v>
      </c>
      <c r="J459" s="157"/>
      <c r="K459" s="42">
        <f>IFERROR(Table215[[#This Row],[ROUTE $]]/Table215[[#This Row],[E - DEMAND]],0)</f>
        <v>0</v>
      </c>
      <c r="L459" s="43"/>
      <c r="M459" s="39" t="e">
        <f>VLOOKUP(Table215[[#This Row],[ROUTE]],DEMAND!A:F,5,FALSE)</f>
        <v>#N/A</v>
      </c>
      <c r="N459" s="39" t="e">
        <f>VLOOKUP(Table215[[#This Row],[ROUTE]],DEMAND!A:F,6,FALSE)</f>
        <v>#N/A</v>
      </c>
      <c r="O459" s="39" t="e">
        <f>ROUNDDOWN(Table215[[#This Row],[R-DEMAND]]/1320,0)</f>
        <v>#N/A</v>
      </c>
      <c r="P459" s="41" t="e">
        <f>Table215[[#This Row],[ADD ACC]]*Table215[[#This Row],[RT TIME (744)]]</f>
        <v>#N/A</v>
      </c>
    </row>
    <row r="460" spans="1:16" ht="15" customHeight="1" x14ac:dyDescent="0.25">
      <c r="A460" s="38" t="s">
        <v>13987</v>
      </c>
      <c r="B460" s="39" t="s">
        <v>3223</v>
      </c>
      <c r="C460" s="39"/>
      <c r="D460" s="39">
        <v>2</v>
      </c>
      <c r="E460" s="143" t="s">
        <v>647</v>
      </c>
      <c r="F460" s="38" t="e">
        <f>VLOOKUP(E:E,Table10[[COUNTRY NAME]:[CONTINENT CODE]],3,FALSE)</f>
        <v>#N/A</v>
      </c>
      <c r="G460" s="155" t="s">
        <v>13320</v>
      </c>
      <c r="H460" s="40">
        <v>8190</v>
      </c>
      <c r="I460" s="41">
        <v>20.25</v>
      </c>
      <c r="J460" s="157"/>
      <c r="K460" s="42">
        <f>IFERROR(Table215[[#This Row],[ROUTE $]]/Table215[[#This Row],[E - DEMAND]],0)</f>
        <v>0</v>
      </c>
      <c r="L460" s="43"/>
      <c r="M460" s="39" t="e">
        <f>VLOOKUP(Table215[[#This Row],[ROUTE]],DEMAND!A:F,5,FALSE)</f>
        <v>#N/A</v>
      </c>
      <c r="N460" s="39" t="e">
        <f>VLOOKUP(Table215[[#This Row],[ROUTE]],DEMAND!A:F,6,FALSE)</f>
        <v>#N/A</v>
      </c>
      <c r="O460" s="39" t="e">
        <f>ROUNDDOWN(Table215[[#This Row],[R-DEMAND]]/1320,0)</f>
        <v>#N/A</v>
      </c>
      <c r="P460" s="41" t="e">
        <f>Table215[[#This Row],[ADD ACC]]*Table215[[#This Row],[RT TIME (744)]]</f>
        <v>#N/A</v>
      </c>
    </row>
    <row r="461" spans="1:16" ht="15" customHeight="1" x14ac:dyDescent="0.25">
      <c r="A461" s="38" t="s">
        <v>13390</v>
      </c>
      <c r="B461" s="39" t="s">
        <v>1553</v>
      </c>
      <c r="C461" s="39"/>
      <c r="D461" s="39">
        <v>1</v>
      </c>
      <c r="E461" s="1" t="s">
        <v>493</v>
      </c>
      <c r="F461" s="1" t="str">
        <f>VLOOKUP(E:E,Table10[[COUNTRY NAME]:[CONTINENT CODE]],3,FALSE)</f>
        <v>AF</v>
      </c>
      <c r="G461" s="156" t="s">
        <v>11726</v>
      </c>
      <c r="H461" s="8">
        <v>8265</v>
      </c>
      <c r="I461" s="41">
        <v>20.5</v>
      </c>
      <c r="J461" s="157"/>
      <c r="K461" s="6">
        <f>IFERROR(Table215[[#This Row],[ROUTE $]]/Table215[[#This Row],[E - DEMAND]],0)</f>
        <v>0</v>
      </c>
      <c r="L461" s="4"/>
      <c r="M461" s="39" t="e">
        <f>VLOOKUP(Table215[[#This Row],[ROUTE]],DEMAND!A:F,5,FALSE)</f>
        <v>#N/A</v>
      </c>
      <c r="N461" s="39" t="e">
        <f>VLOOKUP(Table215[[#This Row],[ROUTE]],DEMAND!A:F,6,FALSE)</f>
        <v>#N/A</v>
      </c>
      <c r="O461" s="39" t="e">
        <f>ROUNDDOWN(Table215[[#This Row],[R-DEMAND]]/1320,0)</f>
        <v>#N/A</v>
      </c>
      <c r="P461" s="41" t="e">
        <f>Table215[[#This Row],[ADD ACC]]*Table215[[#This Row],[RT TIME (744)]]</f>
        <v>#N/A</v>
      </c>
    </row>
    <row r="462" spans="1:16" ht="15" customHeight="1" x14ac:dyDescent="0.25">
      <c r="A462" s="38" t="s">
        <v>13391</v>
      </c>
      <c r="B462" s="39" t="s">
        <v>527</v>
      </c>
      <c r="C462" s="39"/>
      <c r="D462" s="39">
        <v>1</v>
      </c>
      <c r="E462" s="1" t="s">
        <v>493</v>
      </c>
      <c r="F462" s="1" t="str">
        <f>VLOOKUP(E:E,Table10[[COUNTRY NAME]:[CONTINENT CODE]],3,FALSE)</f>
        <v>AF</v>
      </c>
      <c r="G462" s="156" t="s">
        <v>11710</v>
      </c>
      <c r="H462" s="8">
        <v>8258</v>
      </c>
      <c r="I462" s="41">
        <v>20.5</v>
      </c>
      <c r="J462" s="157"/>
      <c r="K462" s="6">
        <f>IFERROR(Table215[[#This Row],[ROUTE $]]/Table215[[#This Row],[E - DEMAND]],0)</f>
        <v>0</v>
      </c>
      <c r="L462" s="4"/>
      <c r="M462" s="39" t="e">
        <f>VLOOKUP(Table215[[#This Row],[ROUTE]],DEMAND!A:F,5,FALSE)</f>
        <v>#N/A</v>
      </c>
      <c r="N462" s="39" t="e">
        <f>VLOOKUP(Table215[[#This Row],[ROUTE]],DEMAND!A:F,6,FALSE)</f>
        <v>#N/A</v>
      </c>
      <c r="O462" s="39" t="e">
        <f>ROUNDDOWN(Table215[[#This Row],[R-DEMAND]]/1320,0)</f>
        <v>#N/A</v>
      </c>
      <c r="P462" s="41" t="e">
        <f>Table215[[#This Row],[ADD ACC]]*Table215[[#This Row],[RT TIME (744)]]</f>
        <v>#N/A</v>
      </c>
    </row>
    <row r="463" spans="1:16" ht="15" customHeight="1" x14ac:dyDescent="0.25">
      <c r="A463" s="38" t="s">
        <v>13481</v>
      </c>
      <c r="B463" s="39" t="s">
        <v>2651</v>
      </c>
      <c r="C463" s="39"/>
      <c r="D463" s="39">
        <v>2</v>
      </c>
      <c r="E463" s="1" t="s">
        <v>514</v>
      </c>
      <c r="F463" s="1" t="str">
        <f>VLOOKUP(E:E,Table10[[COUNTRY NAME]:[CONTINENT CODE]],3,FALSE)</f>
        <v>NA</v>
      </c>
      <c r="G463" s="159" t="s">
        <v>13169</v>
      </c>
      <c r="H463" s="8">
        <v>8348</v>
      </c>
      <c r="I463" s="41">
        <v>20.5</v>
      </c>
      <c r="J463" s="157"/>
      <c r="K463" s="6">
        <f>IFERROR(Table215[[#This Row],[ROUTE $]]/Table215[[#This Row],[E - DEMAND]],0)</f>
        <v>0</v>
      </c>
      <c r="L463" s="4"/>
      <c r="M463" s="39" t="e">
        <f>VLOOKUP(Table215[[#This Row],[ROUTE]],DEMAND!A:F,5,FALSE)</f>
        <v>#N/A</v>
      </c>
      <c r="N463" s="39" t="e">
        <f>VLOOKUP(Table215[[#This Row],[ROUTE]],DEMAND!A:F,6,FALSE)</f>
        <v>#N/A</v>
      </c>
      <c r="O463" s="39" t="e">
        <f>ROUNDDOWN(Table215[[#This Row],[R-DEMAND]]/1320,0)</f>
        <v>#N/A</v>
      </c>
      <c r="P463" s="41" t="e">
        <f>Table215[[#This Row],[ADD ACC]]*Table215[[#This Row],[RT TIME (744)]]</f>
        <v>#N/A</v>
      </c>
    </row>
    <row r="464" spans="1:16" ht="15" customHeight="1" x14ac:dyDescent="0.25">
      <c r="A464" s="38" t="s">
        <v>13826</v>
      </c>
      <c r="B464" s="39" t="s">
        <v>4955</v>
      </c>
      <c r="C464" s="39"/>
      <c r="D464" s="39">
        <v>3</v>
      </c>
      <c r="E464" s="38" t="s">
        <v>119</v>
      </c>
      <c r="F464" s="38" t="str">
        <f>VLOOKUP(E:E,Table10[[COUNTRY NAME]:[CONTINENT CODE]],3,FALSE)</f>
        <v>EU</v>
      </c>
      <c r="G464" s="155" t="s">
        <v>11680</v>
      </c>
      <c r="H464" s="40">
        <v>8343</v>
      </c>
      <c r="I464" s="41">
        <v>20.5</v>
      </c>
      <c r="J464" s="157"/>
      <c r="K464" s="42">
        <f>IFERROR(Table215[[#This Row],[ROUTE $]]/Table215[[#This Row],[E - DEMAND]],0)</f>
        <v>0</v>
      </c>
      <c r="L464" s="43"/>
      <c r="M464" s="39" t="e">
        <f>VLOOKUP(Table215[[#This Row],[ROUTE]],DEMAND!A:F,5,FALSE)</f>
        <v>#N/A</v>
      </c>
      <c r="N464" s="39" t="e">
        <f>VLOOKUP(Table215[[#This Row],[ROUTE]],DEMAND!A:F,6,FALSE)</f>
        <v>#N/A</v>
      </c>
      <c r="O464" s="39" t="e">
        <f>ROUNDDOWN(Table215[[#This Row],[R-DEMAND]]/1320,0)</f>
        <v>#N/A</v>
      </c>
      <c r="P464" s="41" t="e">
        <f>Table215[[#This Row],[ADD ACC]]*Table215[[#This Row],[RT TIME (744)]]</f>
        <v>#N/A</v>
      </c>
    </row>
    <row r="465" spans="1:16" ht="15" customHeight="1" x14ac:dyDescent="0.25">
      <c r="A465" s="38" t="s">
        <v>13982</v>
      </c>
      <c r="B465" s="39" t="s">
        <v>4183</v>
      </c>
      <c r="C465" s="39"/>
      <c r="D465" s="39">
        <v>2</v>
      </c>
      <c r="E465" s="143" t="s">
        <v>647</v>
      </c>
      <c r="F465" s="38" t="e">
        <f>VLOOKUP(E:E,Table10[[COUNTRY NAME]:[CONTINENT CODE]],3,FALSE)</f>
        <v>#N/A</v>
      </c>
      <c r="G465" s="155" t="s">
        <v>13315</v>
      </c>
      <c r="H465" s="40">
        <v>8272</v>
      </c>
      <c r="I465" s="41">
        <v>20.5</v>
      </c>
      <c r="J465" s="157"/>
      <c r="K465" s="42">
        <f>IFERROR(Table215[[#This Row],[ROUTE $]]/Table215[[#This Row],[E - DEMAND]],0)</f>
        <v>0</v>
      </c>
      <c r="L465" s="43"/>
      <c r="M465" s="39" t="e">
        <f>VLOOKUP(Table215[[#This Row],[ROUTE]],DEMAND!A:F,5,FALSE)</f>
        <v>#N/A</v>
      </c>
      <c r="N465" s="39" t="e">
        <f>VLOOKUP(Table215[[#This Row],[ROUTE]],DEMAND!A:F,6,FALSE)</f>
        <v>#N/A</v>
      </c>
      <c r="O465" s="39" t="e">
        <f>ROUNDDOWN(Table215[[#This Row],[R-DEMAND]]/1320,0)</f>
        <v>#N/A</v>
      </c>
      <c r="P465" s="41" t="e">
        <f>Table215[[#This Row],[ADD ACC]]*Table215[[#This Row],[RT TIME (744)]]</f>
        <v>#N/A</v>
      </c>
    </row>
    <row r="466" spans="1:16" ht="15" customHeight="1" x14ac:dyDescent="0.25">
      <c r="A466" s="38" t="s">
        <v>13981</v>
      </c>
      <c r="B466" s="39" t="s">
        <v>5606</v>
      </c>
      <c r="C466" s="39"/>
      <c r="D466" s="39">
        <v>4</v>
      </c>
      <c r="E466" s="143" t="s">
        <v>647</v>
      </c>
      <c r="F466" s="38" t="e">
        <f>VLOOKUP(E:E,Table10[[COUNTRY NAME]:[CONTINENT CODE]],3,FALSE)</f>
        <v>#N/A</v>
      </c>
      <c r="G466" s="155" t="s">
        <v>13314</v>
      </c>
      <c r="H466" s="40">
        <v>8289</v>
      </c>
      <c r="I466" s="41">
        <v>20.5</v>
      </c>
      <c r="J466" s="157"/>
      <c r="K466" s="42">
        <f>IFERROR(Table215[[#This Row],[ROUTE $]]/Table215[[#This Row],[E - DEMAND]],0)</f>
        <v>0</v>
      </c>
      <c r="L466" s="43"/>
      <c r="M466" s="39" t="e">
        <f>VLOOKUP(Table215[[#This Row],[ROUTE]],DEMAND!A:F,5,FALSE)</f>
        <v>#N/A</v>
      </c>
      <c r="N466" s="39" t="e">
        <f>VLOOKUP(Table215[[#This Row],[ROUTE]],DEMAND!A:F,6,FALSE)</f>
        <v>#N/A</v>
      </c>
      <c r="O466" s="39" t="e">
        <f>ROUNDDOWN(Table215[[#This Row],[R-DEMAND]]/1320,0)</f>
        <v>#N/A</v>
      </c>
      <c r="P466" s="41" t="e">
        <f>Table215[[#This Row],[ADD ACC]]*Table215[[#This Row],[RT TIME (744)]]</f>
        <v>#N/A</v>
      </c>
    </row>
    <row r="467" spans="1:16" ht="15" customHeight="1" x14ac:dyDescent="0.25">
      <c r="A467" s="38" t="s">
        <v>13984</v>
      </c>
      <c r="B467" s="39" t="s">
        <v>2207</v>
      </c>
      <c r="C467" s="39"/>
      <c r="D467" s="39">
        <v>1</v>
      </c>
      <c r="E467" s="143" t="s">
        <v>647</v>
      </c>
      <c r="F467" s="38" t="e">
        <f>VLOOKUP(E:E,Table10[[COUNTRY NAME]:[CONTINENT CODE]],3,FALSE)</f>
        <v>#N/A</v>
      </c>
      <c r="G467" s="155" t="s">
        <v>13317</v>
      </c>
      <c r="H467" s="40">
        <v>8242</v>
      </c>
      <c r="I467" s="41">
        <v>20.5</v>
      </c>
      <c r="J467" s="157"/>
      <c r="K467" s="42">
        <f>IFERROR(Table215[[#This Row],[ROUTE $]]/Table215[[#This Row],[E - DEMAND]],0)</f>
        <v>0</v>
      </c>
      <c r="L467" s="43"/>
      <c r="M467" s="39" t="e">
        <f>VLOOKUP(Table215[[#This Row],[ROUTE]],DEMAND!A:F,5,FALSE)</f>
        <v>#N/A</v>
      </c>
      <c r="N467" s="39" t="e">
        <f>VLOOKUP(Table215[[#This Row],[ROUTE]],DEMAND!A:F,6,FALSE)</f>
        <v>#N/A</v>
      </c>
      <c r="O467" s="39" t="e">
        <f>ROUNDDOWN(Table215[[#This Row],[R-DEMAND]]/1320,0)</f>
        <v>#N/A</v>
      </c>
      <c r="P467" s="41" t="e">
        <f>Table215[[#This Row],[ADD ACC]]*Table215[[#This Row],[RT TIME (744)]]</f>
        <v>#N/A</v>
      </c>
    </row>
    <row r="468" spans="1:16" ht="15" customHeight="1" x14ac:dyDescent="0.25">
      <c r="A468" s="38" t="s">
        <v>13387</v>
      </c>
      <c r="B468" s="39" t="s">
        <v>820</v>
      </c>
      <c r="C468" s="39"/>
      <c r="D468" s="39">
        <v>1</v>
      </c>
      <c r="E468" s="1" t="s">
        <v>493</v>
      </c>
      <c r="F468" s="1" t="str">
        <f>VLOOKUP(E:E,Table10[[COUNTRY NAME]:[CONTINENT CODE]],3,FALSE)</f>
        <v>AF</v>
      </c>
      <c r="G468" s="156" t="s">
        <v>11730</v>
      </c>
      <c r="H468" s="8">
        <v>8396</v>
      </c>
      <c r="I468" s="41">
        <v>20.75</v>
      </c>
      <c r="J468" s="157"/>
      <c r="K468" s="6">
        <f>IFERROR(Table215[[#This Row],[ROUTE $]]/Table215[[#This Row],[E - DEMAND]],0)</f>
        <v>0</v>
      </c>
      <c r="L468" s="5"/>
      <c r="M468" s="39" t="e">
        <f>VLOOKUP(Table215[[#This Row],[ROUTE]],DEMAND!A:F,5,FALSE)</f>
        <v>#N/A</v>
      </c>
      <c r="N468" s="39" t="e">
        <f>VLOOKUP(Table215[[#This Row],[ROUTE]],DEMAND!A:F,6,FALSE)</f>
        <v>#N/A</v>
      </c>
      <c r="O468" s="39" t="e">
        <f>ROUNDDOWN(Table215[[#This Row],[R-DEMAND]]/1320,0)</f>
        <v>#N/A</v>
      </c>
      <c r="P468" s="41" t="e">
        <f>Table215[[#This Row],[ADD ACC]]*Table215[[#This Row],[RT TIME (744)]]</f>
        <v>#N/A</v>
      </c>
    </row>
    <row r="469" spans="1:16" ht="15" customHeight="1" x14ac:dyDescent="0.25">
      <c r="A469" s="38" t="s">
        <v>13480</v>
      </c>
      <c r="B469" s="39" t="s">
        <v>2321</v>
      </c>
      <c r="C469" s="39"/>
      <c r="D469" s="39">
        <v>1</v>
      </c>
      <c r="E469" s="1" t="s">
        <v>514</v>
      </c>
      <c r="F469" s="1" t="str">
        <f>VLOOKUP(E:E,Table10[[COUNTRY NAME]:[CONTINENT CODE]],3,FALSE)</f>
        <v>NA</v>
      </c>
      <c r="G469" s="156" t="s">
        <v>13168</v>
      </c>
      <c r="H469" s="8">
        <v>8443</v>
      </c>
      <c r="I469" s="41">
        <v>20.75</v>
      </c>
      <c r="J469" s="157"/>
      <c r="K469" s="6">
        <f>IFERROR(Table215[[#This Row],[ROUTE $]]/Table215[[#This Row],[E - DEMAND]],0)</f>
        <v>0</v>
      </c>
      <c r="L469" s="4"/>
      <c r="M469" s="39" t="e">
        <f>VLOOKUP(Table215[[#This Row],[ROUTE]],DEMAND!A:F,5,FALSE)</f>
        <v>#N/A</v>
      </c>
      <c r="N469" s="39" t="e">
        <f>VLOOKUP(Table215[[#This Row],[ROUTE]],DEMAND!A:F,6,FALSE)</f>
        <v>#N/A</v>
      </c>
      <c r="O469" s="39" t="e">
        <f>ROUNDDOWN(Table215[[#This Row],[R-DEMAND]]/1320,0)</f>
        <v>#N/A</v>
      </c>
      <c r="P469" s="41" t="e">
        <f>Table215[[#This Row],[ADD ACC]]*Table215[[#This Row],[RT TIME (744)]]</f>
        <v>#N/A</v>
      </c>
    </row>
    <row r="470" spans="1:16" ht="15" customHeight="1" x14ac:dyDescent="0.25">
      <c r="A470" s="38" t="s">
        <v>13823</v>
      </c>
      <c r="B470" s="39" t="s">
        <v>4030</v>
      </c>
      <c r="C470" s="39"/>
      <c r="D470" s="39">
        <v>2</v>
      </c>
      <c r="E470" s="38" t="s">
        <v>119</v>
      </c>
      <c r="F470" s="38" t="str">
        <f>VLOOKUP(E:E,Table10[[COUNTRY NAME]:[CONTINENT CODE]],3,FALSE)</f>
        <v>EU</v>
      </c>
      <c r="G470" s="155" t="s">
        <v>11690</v>
      </c>
      <c r="H470" s="40">
        <v>8416</v>
      </c>
      <c r="I470" s="41">
        <v>20.75</v>
      </c>
      <c r="J470" s="157"/>
      <c r="K470" s="42">
        <f>IFERROR(Table215[[#This Row],[ROUTE $]]/Table215[[#This Row],[E - DEMAND]],0)</f>
        <v>0</v>
      </c>
      <c r="L470" s="43"/>
      <c r="M470" s="39" t="e">
        <f>VLOOKUP(Table215[[#This Row],[ROUTE]],DEMAND!A:F,5,FALSE)</f>
        <v>#N/A</v>
      </c>
      <c r="N470" s="39" t="e">
        <f>VLOOKUP(Table215[[#This Row],[ROUTE]],DEMAND!A:F,6,FALSE)</f>
        <v>#N/A</v>
      </c>
      <c r="O470" s="39" t="e">
        <f>ROUNDDOWN(Table215[[#This Row],[R-DEMAND]]/1320,0)</f>
        <v>#N/A</v>
      </c>
      <c r="P470" s="41" t="e">
        <f>Table215[[#This Row],[ADD ACC]]*Table215[[#This Row],[RT TIME (744)]]</f>
        <v>#N/A</v>
      </c>
    </row>
    <row r="471" spans="1:16" ht="15" customHeight="1" x14ac:dyDescent="0.25">
      <c r="A471" s="38" t="s">
        <v>13665</v>
      </c>
      <c r="B471" s="39" t="s">
        <v>3295</v>
      </c>
      <c r="C471" s="39"/>
      <c r="D471" s="39">
        <v>2</v>
      </c>
      <c r="E471" s="38" t="s">
        <v>3293</v>
      </c>
      <c r="F471" s="38" t="str">
        <f>VLOOKUP(E:E,Table10[[COUNTRY NAME]:[CONTINENT CODE]],3,FALSE)</f>
        <v>AF</v>
      </c>
      <c r="G471" s="155" t="s">
        <v>11917</v>
      </c>
      <c r="H471" s="40">
        <v>8428</v>
      </c>
      <c r="I471" s="41">
        <v>20.75</v>
      </c>
      <c r="J471" s="157"/>
      <c r="K471" s="42">
        <f>IFERROR(Table215[[#This Row],[ROUTE $]]/Table215[[#This Row],[E - DEMAND]],0)</f>
        <v>0</v>
      </c>
      <c r="L471" s="43"/>
      <c r="M471" s="39" t="e">
        <f>VLOOKUP(Table215[[#This Row],[ROUTE]],DEMAND!A:F,5,FALSE)</f>
        <v>#N/A</v>
      </c>
      <c r="N471" s="39" t="e">
        <f>VLOOKUP(Table215[[#This Row],[ROUTE]],DEMAND!A:F,6,FALSE)</f>
        <v>#N/A</v>
      </c>
      <c r="O471" s="39" t="e">
        <f>ROUNDDOWN(Table215[[#This Row],[R-DEMAND]]/1320,0)</f>
        <v>#N/A</v>
      </c>
      <c r="P471" s="41" t="e">
        <f>Table215[[#This Row],[ADD ACC]]*Table215[[#This Row],[RT TIME (744)]]</f>
        <v>#N/A</v>
      </c>
    </row>
    <row r="472" spans="1:16" ht="15" customHeight="1" x14ac:dyDescent="0.25">
      <c r="A472" s="38" t="s">
        <v>13979</v>
      </c>
      <c r="B472" s="39" t="s">
        <v>4036</v>
      </c>
      <c r="C472" s="39"/>
      <c r="D472" s="39">
        <v>2</v>
      </c>
      <c r="E472" s="143" t="s">
        <v>647</v>
      </c>
      <c r="F472" s="38" t="e">
        <f>VLOOKUP(E:E,Table10[[COUNTRY NAME]:[CONTINENT CODE]],3,FALSE)</f>
        <v>#N/A</v>
      </c>
      <c r="G472" s="155" t="s">
        <v>13312</v>
      </c>
      <c r="H472" s="40">
        <v>8413</v>
      </c>
      <c r="I472" s="41">
        <v>20.75</v>
      </c>
      <c r="J472" s="157"/>
      <c r="K472" s="42">
        <f>IFERROR(Table215[[#This Row],[ROUTE $]]/Table215[[#This Row],[E - DEMAND]],0)</f>
        <v>0</v>
      </c>
      <c r="L472" s="43"/>
      <c r="M472" s="39" t="e">
        <f>VLOOKUP(Table215[[#This Row],[ROUTE]],DEMAND!A:F,5,FALSE)</f>
        <v>#N/A</v>
      </c>
      <c r="N472" s="39" t="e">
        <f>VLOOKUP(Table215[[#This Row],[ROUTE]],DEMAND!A:F,6,FALSE)</f>
        <v>#N/A</v>
      </c>
      <c r="O472" s="39" t="e">
        <f>ROUNDDOWN(Table215[[#This Row],[R-DEMAND]]/1320,0)</f>
        <v>#N/A</v>
      </c>
      <c r="P472" s="41" t="e">
        <f>Table215[[#This Row],[ADD ACC]]*Table215[[#This Row],[RT TIME (744)]]</f>
        <v>#N/A</v>
      </c>
    </row>
    <row r="473" spans="1:16" ht="15" customHeight="1" x14ac:dyDescent="0.25">
      <c r="A473" s="38" t="s">
        <v>13980</v>
      </c>
      <c r="B473" s="39" t="s">
        <v>4917</v>
      </c>
      <c r="C473" s="39"/>
      <c r="D473" s="39">
        <v>3</v>
      </c>
      <c r="E473" s="143" t="s">
        <v>647</v>
      </c>
      <c r="F473" s="38" t="e">
        <f>VLOOKUP(E:E,Table10[[COUNTRY NAME]:[CONTINENT CODE]],3,FALSE)</f>
        <v>#N/A</v>
      </c>
      <c r="G473" s="155" t="s">
        <v>13313</v>
      </c>
      <c r="H473" s="40">
        <v>8390</v>
      </c>
      <c r="I473" s="41">
        <v>20.75</v>
      </c>
      <c r="J473" s="157"/>
      <c r="K473" s="42">
        <f>IFERROR(Table215[[#This Row],[ROUTE $]]/Table215[[#This Row],[E - DEMAND]],0)</f>
        <v>0</v>
      </c>
      <c r="L473" s="43"/>
      <c r="M473" s="39" t="e">
        <f>VLOOKUP(Table215[[#This Row],[ROUTE]],DEMAND!A:F,5,FALSE)</f>
        <v>#N/A</v>
      </c>
      <c r="N473" s="39" t="e">
        <f>VLOOKUP(Table215[[#This Row],[ROUTE]],DEMAND!A:F,6,FALSE)</f>
        <v>#N/A</v>
      </c>
      <c r="O473" s="39" t="e">
        <f>ROUNDDOWN(Table215[[#This Row],[R-DEMAND]]/1320,0)</f>
        <v>#N/A</v>
      </c>
      <c r="P473" s="41" t="e">
        <f>Table215[[#This Row],[ADD ACC]]*Table215[[#This Row],[RT TIME (744)]]</f>
        <v>#N/A</v>
      </c>
    </row>
    <row r="474" spans="1:16" ht="15" customHeight="1" x14ac:dyDescent="0.25">
      <c r="A474" s="38" t="s">
        <v>13978</v>
      </c>
      <c r="B474" s="39" t="s">
        <v>5139</v>
      </c>
      <c r="C474" s="39"/>
      <c r="D474" s="39">
        <v>3</v>
      </c>
      <c r="E474" s="143" t="s">
        <v>647</v>
      </c>
      <c r="F474" s="38" t="e">
        <f>VLOOKUP(E:E,Table10[[COUNTRY NAME]:[CONTINENT CODE]],3,FALSE)</f>
        <v>#N/A</v>
      </c>
      <c r="G474" s="155" t="s">
        <v>13311</v>
      </c>
      <c r="H474" s="40">
        <v>8421</v>
      </c>
      <c r="I474" s="41">
        <v>20.75</v>
      </c>
      <c r="J474" s="157"/>
      <c r="K474" s="42">
        <f>IFERROR(Table215[[#This Row],[ROUTE $]]/Table215[[#This Row],[E - DEMAND]],0)</f>
        <v>0</v>
      </c>
      <c r="L474" s="43"/>
      <c r="M474" s="39" t="e">
        <f>VLOOKUP(Table215[[#This Row],[ROUTE]],DEMAND!A:F,5,FALSE)</f>
        <v>#N/A</v>
      </c>
      <c r="N474" s="39" t="e">
        <f>VLOOKUP(Table215[[#This Row],[ROUTE]],DEMAND!A:F,6,FALSE)</f>
        <v>#N/A</v>
      </c>
      <c r="O474" s="39" t="e">
        <f>ROUNDDOWN(Table215[[#This Row],[R-DEMAND]]/1320,0)</f>
        <v>#N/A</v>
      </c>
      <c r="P474" s="41" t="e">
        <f>Table215[[#This Row],[ADD ACC]]*Table215[[#This Row],[RT TIME (744)]]</f>
        <v>#N/A</v>
      </c>
    </row>
    <row r="475" spans="1:16" ht="15" customHeight="1" x14ac:dyDescent="0.25">
      <c r="A475" s="38" t="s">
        <v>13977</v>
      </c>
      <c r="B475" s="39" t="s">
        <v>2635</v>
      </c>
      <c r="C475" s="39"/>
      <c r="D475" s="39">
        <v>2</v>
      </c>
      <c r="E475" s="143" t="s">
        <v>647</v>
      </c>
      <c r="F475" s="38" t="e">
        <f>VLOOKUP(E:E,Table10[[COUNTRY NAME]:[CONTINENT CODE]],3,FALSE)</f>
        <v>#N/A</v>
      </c>
      <c r="G475" s="155" t="s">
        <v>13310</v>
      </c>
      <c r="H475" s="40">
        <v>8427</v>
      </c>
      <c r="I475" s="41">
        <v>20.75</v>
      </c>
      <c r="J475" s="157"/>
      <c r="K475" s="42">
        <f>IFERROR(Table215[[#This Row],[ROUTE $]]/Table215[[#This Row],[E - DEMAND]],0)</f>
        <v>0</v>
      </c>
      <c r="L475" s="43"/>
      <c r="M475" s="39" t="e">
        <f>VLOOKUP(Table215[[#This Row],[ROUTE]],DEMAND!A:F,5,FALSE)</f>
        <v>#N/A</v>
      </c>
      <c r="N475" s="39" t="e">
        <f>VLOOKUP(Table215[[#This Row],[ROUTE]],DEMAND!A:F,6,FALSE)</f>
        <v>#N/A</v>
      </c>
      <c r="O475" s="39" t="e">
        <f>ROUNDDOWN(Table215[[#This Row],[R-DEMAND]]/1320,0)</f>
        <v>#N/A</v>
      </c>
      <c r="P475" s="41" t="e">
        <f>Table215[[#This Row],[ADD ACC]]*Table215[[#This Row],[RT TIME (744)]]</f>
        <v>#N/A</v>
      </c>
    </row>
    <row r="476" spans="1:16" ht="15" customHeight="1" x14ac:dyDescent="0.25">
      <c r="A476" s="38" t="s">
        <v>13384</v>
      </c>
      <c r="B476" s="39" t="s">
        <v>1695</v>
      </c>
      <c r="C476" s="39"/>
      <c r="D476" s="39">
        <v>1</v>
      </c>
      <c r="E476" s="1" t="s">
        <v>493</v>
      </c>
      <c r="F476" s="1" t="str">
        <f>VLOOKUP(E:E,Table10[[COUNTRY NAME]:[CONTINENT CODE]],3,FALSE)</f>
        <v>AF</v>
      </c>
      <c r="G476" s="160" t="s">
        <v>11728</v>
      </c>
      <c r="H476" s="40">
        <v>8499</v>
      </c>
      <c r="I476" s="41">
        <v>21</v>
      </c>
      <c r="J476" s="157"/>
      <c r="K476" s="42">
        <f>IFERROR(Table215[[#This Row],[ROUTE $]]/Table215[[#This Row],[E - DEMAND]],0)</f>
        <v>0</v>
      </c>
      <c r="L476" s="43"/>
      <c r="M476" s="39" t="e">
        <f>VLOOKUP(Table215[[#This Row],[ROUTE]],DEMAND!A:F,5,FALSE)</f>
        <v>#N/A</v>
      </c>
      <c r="N476" s="39" t="e">
        <f>VLOOKUP(Table215[[#This Row],[ROUTE]],DEMAND!A:F,6,FALSE)</f>
        <v>#N/A</v>
      </c>
      <c r="O476" s="39" t="e">
        <f>ROUNDDOWN(Table215[[#This Row],[R-DEMAND]]/1320,0)</f>
        <v>#N/A</v>
      </c>
      <c r="P476" s="41" t="e">
        <f>Table215[[#This Row],[ADD ACC]]*Table215[[#This Row],[RT TIME (744)]]</f>
        <v>#N/A</v>
      </c>
    </row>
    <row r="477" spans="1:16" ht="15" customHeight="1" x14ac:dyDescent="0.25">
      <c r="A477" s="38" t="s">
        <v>13385</v>
      </c>
      <c r="B477" s="39" t="s">
        <v>1163</v>
      </c>
      <c r="C477" s="39"/>
      <c r="D477" s="39">
        <v>1</v>
      </c>
      <c r="E477" s="1" t="s">
        <v>493</v>
      </c>
      <c r="F477" s="1" t="str">
        <f>VLOOKUP(E:E,Table10[[COUNTRY NAME]:[CONTINENT CODE]],3,FALSE)</f>
        <v>AF</v>
      </c>
      <c r="G477" s="156" t="s">
        <v>11739</v>
      </c>
      <c r="H477" s="8">
        <v>8477</v>
      </c>
      <c r="I477" s="41">
        <v>21</v>
      </c>
      <c r="J477" s="157"/>
      <c r="K477" s="6">
        <f>IFERROR(Table215[[#This Row],[ROUTE $]]/Table215[[#This Row],[E - DEMAND]],0)</f>
        <v>0</v>
      </c>
      <c r="L477" s="4"/>
      <c r="M477" s="39" t="e">
        <f>VLOOKUP(Table215[[#This Row],[ROUTE]],DEMAND!A:F,5,FALSE)</f>
        <v>#N/A</v>
      </c>
      <c r="N477" s="39" t="e">
        <f>VLOOKUP(Table215[[#This Row],[ROUTE]],DEMAND!A:F,6,FALSE)</f>
        <v>#N/A</v>
      </c>
      <c r="O477" s="39" t="e">
        <f>ROUNDDOWN(Table215[[#This Row],[R-DEMAND]]/1320,0)</f>
        <v>#N/A</v>
      </c>
      <c r="P477" s="41" t="e">
        <f>Table215[[#This Row],[ADD ACC]]*Table215[[#This Row],[RT TIME (744)]]</f>
        <v>#N/A</v>
      </c>
    </row>
    <row r="478" spans="1:16" ht="15" customHeight="1" x14ac:dyDescent="0.25">
      <c r="A478" s="38" t="s">
        <v>13479</v>
      </c>
      <c r="B478" s="39" t="s">
        <v>2974</v>
      </c>
      <c r="C478" s="39"/>
      <c r="D478" s="39">
        <v>2</v>
      </c>
      <c r="E478" s="1" t="s">
        <v>514</v>
      </c>
      <c r="F478" s="1" t="str">
        <f>VLOOKUP(E:E,Table10[[COUNTRY NAME]:[CONTINENT CODE]],3,FALSE)</f>
        <v>NA</v>
      </c>
      <c r="G478" s="156" t="s">
        <v>13167</v>
      </c>
      <c r="H478" s="8">
        <v>8543</v>
      </c>
      <c r="I478" s="41">
        <v>21</v>
      </c>
      <c r="J478" s="157"/>
      <c r="K478" s="6">
        <f>IFERROR(Table215[[#This Row],[ROUTE $]]/Table215[[#This Row],[E - DEMAND]],0)</f>
        <v>0</v>
      </c>
      <c r="L478" s="4"/>
      <c r="M478" s="39" t="e">
        <f>VLOOKUP(Table215[[#This Row],[ROUTE]],DEMAND!A:F,5,FALSE)</f>
        <v>#N/A</v>
      </c>
      <c r="N478" s="39" t="e">
        <f>VLOOKUP(Table215[[#This Row],[ROUTE]],DEMAND!A:F,6,FALSE)</f>
        <v>#N/A</v>
      </c>
      <c r="O478" s="39" t="e">
        <f>ROUNDDOWN(Table215[[#This Row],[R-DEMAND]]/1320,0)</f>
        <v>#N/A</v>
      </c>
      <c r="P478" s="41" t="e">
        <f>Table215[[#This Row],[ADD ACC]]*Table215[[#This Row],[RT TIME (744)]]</f>
        <v>#N/A</v>
      </c>
    </row>
    <row r="479" spans="1:16" ht="15" customHeight="1" x14ac:dyDescent="0.25">
      <c r="A479" s="38" t="s">
        <v>13821</v>
      </c>
      <c r="B479" s="39" t="s">
        <v>5333</v>
      </c>
      <c r="C479" s="39"/>
      <c r="D479" s="39">
        <v>3</v>
      </c>
      <c r="E479" s="38" t="s">
        <v>119</v>
      </c>
      <c r="F479" s="38" t="str">
        <f>VLOOKUP(E:E,Table10[[COUNTRY NAME]:[CONTINENT CODE]],3,FALSE)</f>
        <v>EU</v>
      </c>
      <c r="G479" s="155" t="s">
        <v>9386</v>
      </c>
      <c r="H479" s="40">
        <v>8531</v>
      </c>
      <c r="I479" s="41">
        <v>21</v>
      </c>
      <c r="J479" s="157"/>
      <c r="K479" s="42">
        <f>IFERROR(Table215[[#This Row],[ROUTE $]]/Table215[[#This Row],[E - DEMAND]],0)</f>
        <v>0</v>
      </c>
      <c r="L479" s="43"/>
      <c r="M479" s="39" t="e">
        <f>VLOOKUP(Table215[[#This Row],[ROUTE]],DEMAND!A:F,5,FALSE)</f>
        <v>#N/A</v>
      </c>
      <c r="N479" s="39" t="e">
        <f>VLOOKUP(Table215[[#This Row],[ROUTE]],DEMAND!A:F,6,FALSE)</f>
        <v>#N/A</v>
      </c>
      <c r="O479" s="39" t="e">
        <f>ROUNDDOWN(Table215[[#This Row],[R-DEMAND]]/1320,0)</f>
        <v>#N/A</v>
      </c>
      <c r="P479" s="41" t="e">
        <f>Table215[[#This Row],[ADD ACC]]*Table215[[#This Row],[RT TIME (744)]]</f>
        <v>#N/A</v>
      </c>
    </row>
    <row r="480" spans="1:16" ht="15" customHeight="1" x14ac:dyDescent="0.25">
      <c r="A480" s="38" t="s">
        <v>13822</v>
      </c>
      <c r="B480" s="39" t="s">
        <v>5416</v>
      </c>
      <c r="C480" s="39"/>
      <c r="D480" s="39">
        <v>3</v>
      </c>
      <c r="E480" s="38" t="s">
        <v>119</v>
      </c>
      <c r="F480" s="38" t="str">
        <f>VLOOKUP(E:E,Table10[[COUNTRY NAME]:[CONTINENT CODE]],3,FALSE)</f>
        <v>EU</v>
      </c>
      <c r="G480" s="155" t="s">
        <v>11705</v>
      </c>
      <c r="H480" s="40">
        <v>8472</v>
      </c>
      <c r="I480" s="41">
        <v>21</v>
      </c>
      <c r="J480" s="157"/>
      <c r="K480" s="42">
        <f>IFERROR(Table215[[#This Row],[ROUTE $]]/Table215[[#This Row],[E - DEMAND]],0)</f>
        <v>0</v>
      </c>
      <c r="L480" s="43"/>
      <c r="M480" s="39" t="e">
        <f>VLOOKUP(Table215[[#This Row],[ROUTE]],DEMAND!A:F,5,FALSE)</f>
        <v>#N/A</v>
      </c>
      <c r="N480" s="39" t="e">
        <f>VLOOKUP(Table215[[#This Row],[ROUTE]],DEMAND!A:F,6,FALSE)</f>
        <v>#N/A</v>
      </c>
      <c r="O480" s="39" t="e">
        <f>ROUNDDOWN(Table215[[#This Row],[R-DEMAND]]/1320,0)</f>
        <v>#N/A</v>
      </c>
      <c r="P480" s="41" t="e">
        <f>Table215[[#This Row],[ADD ACC]]*Table215[[#This Row],[RT TIME (744)]]</f>
        <v>#N/A</v>
      </c>
    </row>
    <row r="481" spans="1:16" ht="15" customHeight="1" x14ac:dyDescent="0.25">
      <c r="A481" s="38" t="s">
        <v>13771</v>
      </c>
      <c r="B481" s="39" t="s">
        <v>2962</v>
      </c>
      <c r="C481" s="39"/>
      <c r="D481" s="39">
        <v>2</v>
      </c>
      <c r="E481" s="38" t="s">
        <v>1352</v>
      </c>
      <c r="F481" s="38" t="str">
        <f>VLOOKUP(E:E,Table10[[COUNTRY NAME]:[CONTINENT CODE]],3,FALSE)</f>
        <v>AF</v>
      </c>
      <c r="G481" s="155" t="s">
        <v>11897</v>
      </c>
      <c r="H481" s="40">
        <v>8556</v>
      </c>
      <c r="I481" s="41">
        <v>21</v>
      </c>
      <c r="J481" s="157"/>
      <c r="K481" s="42">
        <f>IFERROR(Table215[[#This Row],[ROUTE $]]/Table215[[#This Row],[E - DEMAND]],0)</f>
        <v>0</v>
      </c>
      <c r="L481" s="43"/>
      <c r="M481" s="39" t="e">
        <f>VLOOKUP(Table215[[#This Row],[ROUTE]],DEMAND!A:F,5,FALSE)</f>
        <v>#N/A</v>
      </c>
      <c r="N481" s="39" t="e">
        <f>VLOOKUP(Table215[[#This Row],[ROUTE]],DEMAND!A:F,6,FALSE)</f>
        <v>#N/A</v>
      </c>
      <c r="O481" s="39" t="e">
        <f>ROUNDDOWN(Table215[[#This Row],[R-DEMAND]]/1320,0)</f>
        <v>#N/A</v>
      </c>
      <c r="P481" s="41" t="e">
        <f>Table215[[#This Row],[ADD ACC]]*Table215[[#This Row],[RT TIME (744)]]</f>
        <v>#N/A</v>
      </c>
    </row>
    <row r="482" spans="1:16" ht="15" customHeight="1" x14ac:dyDescent="0.25">
      <c r="A482" s="38" t="s">
        <v>13971</v>
      </c>
      <c r="B482" s="39" t="s">
        <v>4473</v>
      </c>
      <c r="C482" s="39"/>
      <c r="D482" s="39">
        <v>2</v>
      </c>
      <c r="E482" s="143" t="s">
        <v>647</v>
      </c>
      <c r="F482" s="38" t="e">
        <f>VLOOKUP(E:E,Table10[[COUNTRY NAME]:[CONTINENT CODE]],3,FALSE)</f>
        <v>#N/A</v>
      </c>
      <c r="G482" s="155" t="s">
        <v>13304</v>
      </c>
      <c r="H482" s="40">
        <v>8544</v>
      </c>
      <c r="I482" s="41">
        <v>21</v>
      </c>
      <c r="J482" s="157"/>
      <c r="K482" s="42">
        <f>IFERROR(Table215[[#This Row],[ROUTE $]]/Table215[[#This Row],[E - DEMAND]],0)</f>
        <v>0</v>
      </c>
      <c r="L482" s="43"/>
      <c r="M482" s="39" t="e">
        <f>VLOOKUP(Table215[[#This Row],[ROUTE]],DEMAND!A:F,5,FALSE)</f>
        <v>#N/A</v>
      </c>
      <c r="N482" s="39" t="e">
        <f>VLOOKUP(Table215[[#This Row],[ROUTE]],DEMAND!A:F,6,FALSE)</f>
        <v>#N/A</v>
      </c>
      <c r="O482" s="39" t="e">
        <f>ROUNDDOWN(Table215[[#This Row],[R-DEMAND]]/1320,0)</f>
        <v>#N/A</v>
      </c>
      <c r="P482" s="41" t="e">
        <f>Table215[[#This Row],[ADD ACC]]*Table215[[#This Row],[RT TIME (744)]]</f>
        <v>#N/A</v>
      </c>
    </row>
    <row r="483" spans="1:16" ht="15" customHeight="1" x14ac:dyDescent="0.25">
      <c r="A483" s="38" t="s">
        <v>13972</v>
      </c>
      <c r="B483" s="39" t="s">
        <v>4518</v>
      </c>
      <c r="C483" s="39"/>
      <c r="D483" s="39">
        <v>2</v>
      </c>
      <c r="E483" s="143" t="s">
        <v>647</v>
      </c>
      <c r="F483" s="38" t="e">
        <f>VLOOKUP(E:E,Table10[[COUNTRY NAME]:[CONTINENT CODE]],3,FALSE)</f>
        <v>#N/A</v>
      </c>
      <c r="G483" s="155" t="s">
        <v>13305</v>
      </c>
      <c r="H483" s="40">
        <v>8523</v>
      </c>
      <c r="I483" s="41">
        <v>21</v>
      </c>
      <c r="J483" s="157"/>
      <c r="K483" s="42">
        <f>IFERROR(Table215[[#This Row],[ROUTE $]]/Table215[[#This Row],[E - DEMAND]],0)</f>
        <v>0</v>
      </c>
      <c r="L483" s="43"/>
      <c r="M483" s="39" t="e">
        <f>VLOOKUP(Table215[[#This Row],[ROUTE]],DEMAND!A:F,5,FALSE)</f>
        <v>#N/A</v>
      </c>
      <c r="N483" s="39" t="e">
        <f>VLOOKUP(Table215[[#This Row],[ROUTE]],DEMAND!A:F,6,FALSE)</f>
        <v>#N/A</v>
      </c>
      <c r="O483" s="39" t="e">
        <f>ROUNDDOWN(Table215[[#This Row],[R-DEMAND]]/1320,0)</f>
        <v>#N/A</v>
      </c>
      <c r="P483" s="41" t="e">
        <f>Table215[[#This Row],[ADD ACC]]*Table215[[#This Row],[RT TIME (744)]]</f>
        <v>#N/A</v>
      </c>
    </row>
    <row r="484" spans="1:16" ht="15" customHeight="1" x14ac:dyDescent="0.25">
      <c r="A484" s="38" t="s">
        <v>13973</v>
      </c>
      <c r="B484" s="39" t="s">
        <v>5505</v>
      </c>
      <c r="C484" s="39"/>
      <c r="D484" s="39">
        <v>4</v>
      </c>
      <c r="E484" s="143" t="s">
        <v>647</v>
      </c>
      <c r="F484" s="38" t="e">
        <f>VLOOKUP(E:E,Table10[[COUNTRY NAME]:[CONTINENT CODE]],3,FALSE)</f>
        <v>#N/A</v>
      </c>
      <c r="G484" s="155" t="s">
        <v>13306</v>
      </c>
      <c r="H484" s="40">
        <v>8514</v>
      </c>
      <c r="I484" s="41">
        <v>21</v>
      </c>
      <c r="J484" s="157"/>
      <c r="K484" s="42">
        <f>IFERROR(Table215[[#This Row],[ROUTE $]]/Table215[[#This Row],[E - DEMAND]],0)</f>
        <v>0</v>
      </c>
      <c r="L484" s="43"/>
      <c r="M484" s="39" t="e">
        <f>VLOOKUP(Table215[[#This Row],[ROUTE]],DEMAND!A:F,5,FALSE)</f>
        <v>#N/A</v>
      </c>
      <c r="N484" s="39" t="e">
        <f>VLOOKUP(Table215[[#This Row],[ROUTE]],DEMAND!A:F,6,FALSE)</f>
        <v>#N/A</v>
      </c>
      <c r="O484" s="39" t="e">
        <f>ROUNDDOWN(Table215[[#This Row],[R-DEMAND]]/1320,0)</f>
        <v>#N/A</v>
      </c>
      <c r="P484" s="41" t="e">
        <f>Table215[[#This Row],[ADD ACC]]*Table215[[#This Row],[RT TIME (744)]]</f>
        <v>#N/A</v>
      </c>
    </row>
    <row r="485" spans="1:16" ht="15" customHeight="1" x14ac:dyDescent="0.25">
      <c r="A485" s="38" t="s">
        <v>13975</v>
      </c>
      <c r="B485" s="39" t="s">
        <v>5217</v>
      </c>
      <c r="C485" s="39"/>
      <c r="D485" s="39">
        <v>3</v>
      </c>
      <c r="E485" s="143" t="s">
        <v>647</v>
      </c>
      <c r="F485" s="38" t="e">
        <f>VLOOKUP(E:E,Table10[[COUNTRY NAME]:[CONTINENT CODE]],3,FALSE)</f>
        <v>#N/A</v>
      </c>
      <c r="G485" s="155" t="s">
        <v>13308</v>
      </c>
      <c r="H485" s="40">
        <v>8472</v>
      </c>
      <c r="I485" s="41">
        <v>21</v>
      </c>
      <c r="J485" s="157"/>
      <c r="K485" s="42">
        <f>IFERROR(Table215[[#This Row],[ROUTE $]]/Table215[[#This Row],[E - DEMAND]],0)</f>
        <v>0</v>
      </c>
      <c r="L485" s="43"/>
      <c r="M485" s="39" t="e">
        <f>VLOOKUP(Table215[[#This Row],[ROUTE]],DEMAND!A:F,5,FALSE)</f>
        <v>#N/A</v>
      </c>
      <c r="N485" s="39" t="e">
        <f>VLOOKUP(Table215[[#This Row],[ROUTE]],DEMAND!A:F,6,FALSE)</f>
        <v>#N/A</v>
      </c>
      <c r="O485" s="39" t="e">
        <f>ROUNDDOWN(Table215[[#This Row],[R-DEMAND]]/1320,0)</f>
        <v>#N/A</v>
      </c>
      <c r="P485" s="41" t="e">
        <f>Table215[[#This Row],[ADD ACC]]*Table215[[#This Row],[RT TIME (744)]]</f>
        <v>#N/A</v>
      </c>
    </row>
    <row r="486" spans="1:16" ht="15" customHeight="1" x14ac:dyDescent="0.25">
      <c r="A486" s="38" t="s">
        <v>13974</v>
      </c>
      <c r="B486" s="39" t="s">
        <v>3284</v>
      </c>
      <c r="C486" s="39"/>
      <c r="D486" s="39">
        <v>2</v>
      </c>
      <c r="E486" s="143" t="s">
        <v>647</v>
      </c>
      <c r="F486" s="38" t="e">
        <f>VLOOKUP(E:E,Table10[[COUNTRY NAME]:[CONTINENT CODE]],3,FALSE)</f>
        <v>#N/A</v>
      </c>
      <c r="G486" s="155" t="s">
        <v>13307</v>
      </c>
      <c r="H486" s="40">
        <v>8511</v>
      </c>
      <c r="I486" s="41">
        <v>21</v>
      </c>
      <c r="J486" s="157"/>
      <c r="K486" s="42">
        <f>IFERROR(Table215[[#This Row],[ROUTE $]]/Table215[[#This Row],[E - DEMAND]],0)</f>
        <v>0</v>
      </c>
      <c r="L486" s="43"/>
      <c r="M486" s="39" t="e">
        <f>VLOOKUP(Table215[[#This Row],[ROUTE]],DEMAND!A:F,5,FALSE)</f>
        <v>#N/A</v>
      </c>
      <c r="N486" s="39" t="e">
        <f>VLOOKUP(Table215[[#This Row],[ROUTE]],DEMAND!A:F,6,FALSE)</f>
        <v>#N/A</v>
      </c>
      <c r="O486" s="39" t="e">
        <f>ROUNDDOWN(Table215[[#This Row],[R-DEMAND]]/1320,0)</f>
        <v>#N/A</v>
      </c>
      <c r="P486" s="41" t="e">
        <f>Table215[[#This Row],[ADD ACC]]*Table215[[#This Row],[RT TIME (744)]]</f>
        <v>#N/A</v>
      </c>
    </row>
    <row r="487" spans="1:16" ht="15" customHeight="1" x14ac:dyDescent="0.25">
      <c r="A487" s="38" t="s">
        <v>13478</v>
      </c>
      <c r="B487" s="39" t="s">
        <v>3398</v>
      </c>
      <c r="C487" s="39"/>
      <c r="D487" s="39">
        <v>2</v>
      </c>
      <c r="E487" s="1" t="s">
        <v>514</v>
      </c>
      <c r="F487" s="1" t="str">
        <f>VLOOKUP(E:E,Table10[[COUNTRY NAME]:[CONTINENT CODE]],3,FALSE)</f>
        <v>NA</v>
      </c>
      <c r="G487" s="156" t="s">
        <v>5935</v>
      </c>
      <c r="H487" s="8">
        <v>8642</v>
      </c>
      <c r="I487" s="41">
        <v>21.25</v>
      </c>
      <c r="J487" s="157"/>
      <c r="K487" s="6">
        <f>IFERROR(Table215[[#This Row],[ROUTE $]]/Table215[[#This Row],[E - DEMAND]],0)</f>
        <v>0</v>
      </c>
      <c r="L487" s="5"/>
      <c r="M487" s="39" t="e">
        <f>VLOOKUP(Table215[[#This Row],[ROUTE]],DEMAND!A:F,5,FALSE)</f>
        <v>#N/A</v>
      </c>
      <c r="N487" s="39" t="e">
        <f>VLOOKUP(Table215[[#This Row],[ROUTE]],DEMAND!A:F,6,FALSE)</f>
        <v>#N/A</v>
      </c>
      <c r="O487" s="39" t="e">
        <f>ROUNDDOWN(Table215[[#This Row],[R-DEMAND]]/1320,0)</f>
        <v>#N/A</v>
      </c>
      <c r="P487" s="41" t="e">
        <f>Table215[[#This Row],[ADD ACC]]*Table215[[#This Row],[RT TIME (744)]]</f>
        <v>#N/A</v>
      </c>
    </row>
    <row r="488" spans="1:16" ht="15" customHeight="1" x14ac:dyDescent="0.25">
      <c r="A488" s="38" t="s">
        <v>13820</v>
      </c>
      <c r="B488" s="39" t="s">
        <v>4194</v>
      </c>
      <c r="C488" s="39"/>
      <c r="D488" s="39">
        <v>2</v>
      </c>
      <c r="E488" s="38" t="s">
        <v>119</v>
      </c>
      <c r="F488" s="38" t="str">
        <f>VLOOKUP(E:E,Table10[[COUNTRY NAME]:[CONTINENT CODE]],3,FALSE)</f>
        <v>EU</v>
      </c>
      <c r="G488" s="155" t="s">
        <v>11703</v>
      </c>
      <c r="H488" s="40">
        <v>8618</v>
      </c>
      <c r="I488" s="41">
        <v>21.25</v>
      </c>
      <c r="J488" s="157"/>
      <c r="K488" s="42">
        <f>IFERROR(Table215[[#This Row],[ROUTE $]]/Table215[[#This Row],[E - DEMAND]],0)</f>
        <v>0</v>
      </c>
      <c r="L488" s="43"/>
      <c r="M488" s="39" t="e">
        <f>VLOOKUP(Table215[[#This Row],[ROUTE]],DEMAND!A:F,5,FALSE)</f>
        <v>#N/A</v>
      </c>
      <c r="N488" s="39" t="e">
        <f>VLOOKUP(Table215[[#This Row],[ROUTE]],DEMAND!A:F,6,FALSE)</f>
        <v>#N/A</v>
      </c>
      <c r="O488" s="39" t="e">
        <f>ROUNDDOWN(Table215[[#This Row],[R-DEMAND]]/1320,0)</f>
        <v>#N/A</v>
      </c>
      <c r="P488" s="41" t="e">
        <f>Table215[[#This Row],[ADD ACC]]*Table215[[#This Row],[RT TIME (744)]]</f>
        <v>#N/A</v>
      </c>
    </row>
    <row r="489" spans="1:16" ht="15" customHeight="1" x14ac:dyDescent="0.25">
      <c r="A489" s="38" t="s">
        <v>13970</v>
      </c>
      <c r="B489" s="39" t="s">
        <v>5574</v>
      </c>
      <c r="C489" s="39"/>
      <c r="D489" s="39">
        <v>4</v>
      </c>
      <c r="E489" s="143" t="s">
        <v>647</v>
      </c>
      <c r="F489" s="38" t="e">
        <f>VLOOKUP(E:E,Table10[[COUNTRY NAME]:[CONTINENT CODE]],3,FALSE)</f>
        <v>#N/A</v>
      </c>
      <c r="G489" s="155" t="s">
        <v>13303</v>
      </c>
      <c r="H489" s="40">
        <v>8590</v>
      </c>
      <c r="I489" s="41">
        <v>21.25</v>
      </c>
      <c r="J489" s="157"/>
      <c r="K489" s="42">
        <f>IFERROR(Table215[[#This Row],[ROUTE $]]/Table215[[#This Row],[E - DEMAND]],0)</f>
        <v>0</v>
      </c>
      <c r="L489" s="43"/>
      <c r="M489" s="39" t="e">
        <f>VLOOKUP(Table215[[#This Row],[ROUTE]],DEMAND!A:F,5,FALSE)</f>
        <v>#N/A</v>
      </c>
      <c r="N489" s="39" t="e">
        <f>VLOOKUP(Table215[[#This Row],[ROUTE]],DEMAND!A:F,6,FALSE)</f>
        <v>#N/A</v>
      </c>
      <c r="O489" s="39" t="e">
        <f>ROUNDDOWN(Table215[[#This Row],[R-DEMAND]]/1320,0)</f>
        <v>#N/A</v>
      </c>
      <c r="P489" s="41" t="e">
        <f>Table215[[#This Row],[ADD ACC]]*Table215[[#This Row],[RT TIME (744)]]</f>
        <v>#N/A</v>
      </c>
    </row>
    <row r="490" spans="1:16" ht="15" customHeight="1" x14ac:dyDescent="0.25">
      <c r="A490" s="38" t="s">
        <v>13819</v>
      </c>
      <c r="B490" s="39" t="s">
        <v>2409</v>
      </c>
      <c r="C490" s="39"/>
      <c r="D490" s="39">
        <v>1</v>
      </c>
      <c r="E490" s="38" t="s">
        <v>119</v>
      </c>
      <c r="F490" s="38" t="str">
        <f>VLOOKUP(E:E,Table10[[COUNTRY NAME]:[CONTINENT CODE]],3,FALSE)</f>
        <v>EU</v>
      </c>
      <c r="G490" s="155" t="s">
        <v>11699</v>
      </c>
      <c r="H490" s="40">
        <v>8628</v>
      </c>
      <c r="I490" s="41">
        <v>21.25</v>
      </c>
      <c r="J490" s="157"/>
      <c r="K490" s="42">
        <f>IFERROR(Table215[[#This Row],[ROUTE $]]/Table215[[#This Row],[E - DEMAND]],0)</f>
        <v>0</v>
      </c>
      <c r="L490" s="43"/>
      <c r="M490" s="39" t="e">
        <f>VLOOKUP(Table215[[#This Row],[ROUTE]],DEMAND!A:F,5,FALSE)</f>
        <v>#N/A</v>
      </c>
      <c r="N490" s="39" t="e">
        <f>VLOOKUP(Table215[[#This Row],[ROUTE]],DEMAND!A:F,6,FALSE)</f>
        <v>#N/A</v>
      </c>
      <c r="O490" s="39" t="e">
        <f>ROUNDDOWN(Table215[[#This Row],[R-DEMAND]]/1320,0)</f>
        <v>#N/A</v>
      </c>
      <c r="P490" s="41" t="e">
        <f>Table215[[#This Row],[ADD ACC]]*Table215[[#This Row],[RT TIME (744)]]</f>
        <v>#N/A</v>
      </c>
    </row>
    <row r="491" spans="1:16" ht="15" customHeight="1" x14ac:dyDescent="0.25">
      <c r="A491" s="38" t="s">
        <v>13969</v>
      </c>
      <c r="B491" s="39" t="s">
        <v>4798</v>
      </c>
      <c r="C491" s="39"/>
      <c r="D491" s="39">
        <v>3</v>
      </c>
      <c r="E491" s="143" t="s">
        <v>647</v>
      </c>
      <c r="F491" s="38" t="e">
        <f>VLOOKUP(E:E,Table10[[COUNTRY NAME]:[CONTINENT CODE]],3,FALSE)</f>
        <v>#N/A</v>
      </c>
      <c r="G491" s="155" t="s">
        <v>13302</v>
      </c>
      <c r="H491" s="40">
        <v>8632</v>
      </c>
      <c r="I491" s="41">
        <v>21.25</v>
      </c>
      <c r="J491" s="157"/>
      <c r="K491" s="42">
        <f>IFERROR(Table215[[#This Row],[ROUTE $]]/Table215[[#This Row],[E - DEMAND]],0)</f>
        <v>0</v>
      </c>
      <c r="L491" s="43"/>
      <c r="M491" s="39" t="e">
        <f>VLOOKUP(Table215[[#This Row],[ROUTE]],DEMAND!A:F,5,FALSE)</f>
        <v>#N/A</v>
      </c>
      <c r="N491" s="39" t="e">
        <f>VLOOKUP(Table215[[#This Row],[ROUTE]],DEMAND!A:F,6,FALSE)</f>
        <v>#N/A</v>
      </c>
      <c r="O491" s="39" t="e">
        <f>ROUNDDOWN(Table215[[#This Row],[R-DEMAND]]/1320,0)</f>
        <v>#N/A</v>
      </c>
      <c r="P491" s="41" t="e">
        <f>Table215[[#This Row],[ADD ACC]]*Table215[[#This Row],[RT TIME (744)]]</f>
        <v>#N/A</v>
      </c>
    </row>
    <row r="492" spans="1:16" ht="15" customHeight="1" x14ac:dyDescent="0.25">
      <c r="A492" s="38" t="s">
        <v>13864</v>
      </c>
      <c r="B492" s="39" t="s">
        <v>2665</v>
      </c>
      <c r="C492" s="39"/>
      <c r="D492" s="39">
        <v>2</v>
      </c>
      <c r="E492" s="38" t="s">
        <v>971</v>
      </c>
      <c r="F492" s="38" t="str">
        <f>VLOOKUP(E:E,Table10[[COUNTRY NAME]:[CONTINENT CODE]],3,FALSE)</f>
        <v>AF</v>
      </c>
      <c r="G492" s="155" t="s">
        <v>11748</v>
      </c>
      <c r="H492" s="40">
        <v>8602</v>
      </c>
      <c r="I492" s="41">
        <v>21.25</v>
      </c>
      <c r="J492" s="157"/>
      <c r="K492" s="42">
        <f>IFERROR(Table215[[#This Row],[ROUTE $]]/Table215[[#This Row],[E - DEMAND]],0)</f>
        <v>0</v>
      </c>
      <c r="L492" s="43"/>
      <c r="M492" s="39" t="e">
        <f>VLOOKUP(Table215[[#This Row],[ROUTE]],DEMAND!A:F,5,FALSE)</f>
        <v>#N/A</v>
      </c>
      <c r="N492" s="39" t="e">
        <f>VLOOKUP(Table215[[#This Row],[ROUTE]],DEMAND!A:F,6,FALSE)</f>
        <v>#N/A</v>
      </c>
      <c r="O492" s="39" t="e">
        <f>ROUNDDOWN(Table215[[#This Row],[R-DEMAND]]/1320,0)</f>
        <v>#N/A</v>
      </c>
      <c r="P492" s="41" t="e">
        <f>Table215[[#This Row],[ADD ACC]]*Table215[[#This Row],[RT TIME (744)]]</f>
        <v>#N/A</v>
      </c>
    </row>
    <row r="493" spans="1:16" ht="15" customHeight="1" x14ac:dyDescent="0.25">
      <c r="A493" s="38" t="s">
        <v>13863</v>
      </c>
      <c r="B493" s="39" t="s">
        <v>973</v>
      </c>
      <c r="C493" s="39"/>
      <c r="D493" s="39">
        <v>1</v>
      </c>
      <c r="E493" s="38" t="s">
        <v>971</v>
      </c>
      <c r="F493" s="38" t="str">
        <f>VLOOKUP(E:E,Table10[[COUNTRY NAME]:[CONTINENT CODE]],3,FALSE)</f>
        <v>AF</v>
      </c>
      <c r="G493" s="155" t="s">
        <v>11755</v>
      </c>
      <c r="H493" s="40">
        <v>8686</v>
      </c>
      <c r="I493" s="41">
        <v>21.25</v>
      </c>
      <c r="J493" s="157"/>
      <c r="K493" s="42">
        <f>IFERROR(Table215[[#This Row],[ROUTE $]]/Table215[[#This Row],[E - DEMAND]],0)</f>
        <v>0</v>
      </c>
      <c r="L493" s="43"/>
      <c r="M493" s="39" t="e">
        <f>VLOOKUP(Table215[[#This Row],[ROUTE]],DEMAND!A:F,5,FALSE)</f>
        <v>#N/A</v>
      </c>
      <c r="N493" s="39" t="e">
        <f>VLOOKUP(Table215[[#This Row],[ROUTE]],DEMAND!A:F,6,FALSE)</f>
        <v>#N/A</v>
      </c>
      <c r="O493" s="39" t="e">
        <f>ROUNDDOWN(Table215[[#This Row],[R-DEMAND]]/1320,0)</f>
        <v>#N/A</v>
      </c>
      <c r="P493" s="41" t="e">
        <f>Table215[[#This Row],[ADD ACC]]*Table215[[#This Row],[RT TIME (744)]]</f>
        <v>#N/A</v>
      </c>
    </row>
    <row r="494" spans="1:16" ht="15" customHeight="1" x14ac:dyDescent="0.25">
      <c r="A494" s="38" t="s">
        <v>13968</v>
      </c>
      <c r="B494" s="39" t="s">
        <v>4613</v>
      </c>
      <c r="C494" s="39"/>
      <c r="D494" s="39">
        <v>2</v>
      </c>
      <c r="E494" s="143" t="s">
        <v>647</v>
      </c>
      <c r="F494" s="38" t="e">
        <f>VLOOKUP(E:E,Table10[[COUNTRY NAME]:[CONTINENT CODE]],3,FALSE)</f>
        <v>#N/A</v>
      </c>
      <c r="G494" s="155" t="s">
        <v>13301</v>
      </c>
      <c r="H494" s="40">
        <v>8638</v>
      </c>
      <c r="I494" s="41">
        <v>21.25</v>
      </c>
      <c r="J494" s="157"/>
      <c r="K494" s="42">
        <f>IFERROR(Table215[[#This Row],[ROUTE $]]/Table215[[#This Row],[E - DEMAND]],0)</f>
        <v>0</v>
      </c>
      <c r="L494" s="43"/>
      <c r="M494" s="39" t="e">
        <f>VLOOKUP(Table215[[#This Row],[ROUTE]],DEMAND!A:F,5,FALSE)</f>
        <v>#N/A</v>
      </c>
      <c r="N494" s="39" t="e">
        <f>VLOOKUP(Table215[[#This Row],[ROUTE]],DEMAND!A:F,6,FALSE)</f>
        <v>#N/A</v>
      </c>
      <c r="O494" s="39" t="e">
        <f>ROUNDDOWN(Table215[[#This Row],[R-DEMAND]]/1320,0)</f>
        <v>#N/A</v>
      </c>
      <c r="P494" s="41" t="e">
        <f>Table215[[#This Row],[ADD ACC]]*Table215[[#This Row],[RT TIME (744)]]</f>
        <v>#N/A</v>
      </c>
    </row>
    <row r="495" spans="1:16" ht="15" customHeight="1" x14ac:dyDescent="0.25">
      <c r="A495" s="38" t="s">
        <v>13380</v>
      </c>
      <c r="B495" s="39" t="s">
        <v>4054</v>
      </c>
      <c r="C495" s="39"/>
      <c r="D495" s="39">
        <v>2</v>
      </c>
      <c r="E495" s="1" t="s">
        <v>493</v>
      </c>
      <c r="F495" s="1" t="str">
        <f>VLOOKUP(E:E,Table10[[COUNTRY NAME]:[CONTINENT CODE]],3,FALSE)</f>
        <v>AF</v>
      </c>
      <c r="G495" s="156" t="s">
        <v>11743</v>
      </c>
      <c r="H495" s="8">
        <v>8788</v>
      </c>
      <c r="I495" s="41">
        <v>21.5</v>
      </c>
      <c r="J495" s="157"/>
      <c r="K495" s="6">
        <f>IFERROR(Table215[[#This Row],[ROUTE $]]/Table215[[#This Row],[E - DEMAND]],0)</f>
        <v>0</v>
      </c>
      <c r="L495" s="4"/>
      <c r="M495" s="39" t="e">
        <f>VLOOKUP(Table215[[#This Row],[ROUTE]],DEMAND!A:F,5,FALSE)</f>
        <v>#N/A</v>
      </c>
      <c r="N495" s="39" t="e">
        <f>VLOOKUP(Table215[[#This Row],[ROUTE]],DEMAND!A:F,6,FALSE)</f>
        <v>#N/A</v>
      </c>
      <c r="O495" s="39" t="e">
        <f>ROUNDDOWN(Table215[[#This Row],[R-DEMAND]]/1320,0)</f>
        <v>#N/A</v>
      </c>
      <c r="P495" s="41" t="e">
        <f>Table215[[#This Row],[ADD ACC]]*Table215[[#This Row],[RT TIME (744)]]</f>
        <v>#N/A</v>
      </c>
    </row>
    <row r="496" spans="1:16" ht="15" customHeight="1" x14ac:dyDescent="0.25">
      <c r="A496" s="38" t="s">
        <v>13569</v>
      </c>
      <c r="B496" s="39" t="s">
        <v>3990</v>
      </c>
      <c r="C496" s="39"/>
      <c r="D496" s="39">
        <v>2</v>
      </c>
      <c r="E496" s="1" t="s">
        <v>560</v>
      </c>
      <c r="F496" s="1" t="str">
        <f>VLOOKUP(E:E,Table10[[COUNTRY NAME]:[CONTINENT CODE]],3,FALSE)</f>
        <v>EU</v>
      </c>
      <c r="G496" s="156" t="s">
        <v>11709</v>
      </c>
      <c r="H496" s="8">
        <v>8800</v>
      </c>
      <c r="I496" s="41">
        <v>21.5</v>
      </c>
      <c r="J496" s="157"/>
      <c r="K496" s="6">
        <f>IFERROR(Table215[[#This Row],[ROUTE $]]/Table215[[#This Row],[E - DEMAND]],0)</f>
        <v>0</v>
      </c>
      <c r="L496" s="5"/>
      <c r="M496" s="39" t="e">
        <f>VLOOKUP(Table215[[#This Row],[ROUTE]],DEMAND!A:F,5,FALSE)</f>
        <v>#N/A</v>
      </c>
      <c r="N496" s="39" t="e">
        <f>VLOOKUP(Table215[[#This Row],[ROUTE]],DEMAND!A:F,6,FALSE)</f>
        <v>#N/A</v>
      </c>
      <c r="O496" s="39" t="e">
        <f>ROUNDDOWN(Table215[[#This Row],[R-DEMAND]]/1320,0)</f>
        <v>#N/A</v>
      </c>
      <c r="P496" s="41" t="e">
        <f>Table215[[#This Row],[ADD ACC]]*Table215[[#This Row],[RT TIME (744)]]</f>
        <v>#N/A</v>
      </c>
    </row>
    <row r="497" spans="1:16" ht="15" customHeight="1" x14ac:dyDescent="0.25">
      <c r="A497" s="38" t="s">
        <v>13967</v>
      </c>
      <c r="B497" s="39" t="s">
        <v>4416</v>
      </c>
      <c r="C497" s="39"/>
      <c r="D497" s="39">
        <v>2</v>
      </c>
      <c r="E497" s="143" t="s">
        <v>647</v>
      </c>
      <c r="F497" s="38" t="e">
        <f>VLOOKUP(E:E,Table10[[COUNTRY NAME]:[CONTINENT CODE]],3,FALSE)</f>
        <v>#N/A</v>
      </c>
      <c r="G497" s="155" t="s">
        <v>13300</v>
      </c>
      <c r="H497" s="40">
        <v>8740</v>
      </c>
      <c r="I497" s="41">
        <v>21.5</v>
      </c>
      <c r="J497" s="157"/>
      <c r="K497" s="42">
        <f>IFERROR(Table215[[#This Row],[ROUTE $]]/Table215[[#This Row],[E - DEMAND]],0)</f>
        <v>0</v>
      </c>
      <c r="L497" s="43"/>
      <c r="M497" s="39" t="e">
        <f>VLOOKUP(Table215[[#This Row],[ROUTE]],DEMAND!A:F,5,FALSE)</f>
        <v>#N/A</v>
      </c>
      <c r="N497" s="39" t="e">
        <f>VLOOKUP(Table215[[#This Row],[ROUTE]],DEMAND!A:F,6,FALSE)</f>
        <v>#N/A</v>
      </c>
      <c r="O497" s="39" t="e">
        <f>ROUNDDOWN(Table215[[#This Row],[R-DEMAND]]/1320,0)</f>
        <v>#N/A</v>
      </c>
      <c r="P497" s="41" t="e">
        <f>Table215[[#This Row],[ADD ACC]]*Table215[[#This Row],[RT TIME (744)]]</f>
        <v>#N/A</v>
      </c>
    </row>
    <row r="498" spans="1:16" ht="15" customHeight="1" x14ac:dyDescent="0.25">
      <c r="A498" s="38" t="s">
        <v>13966</v>
      </c>
      <c r="B498" s="39" t="s">
        <v>2790</v>
      </c>
      <c r="C498" s="39"/>
      <c r="D498" s="39">
        <v>2</v>
      </c>
      <c r="E498" s="143" t="s">
        <v>647</v>
      </c>
      <c r="F498" s="38" t="e">
        <f>VLOOKUP(E:E,Table10[[COUNTRY NAME]:[CONTINENT CODE]],3,FALSE)</f>
        <v>#N/A</v>
      </c>
      <c r="G498" s="155" t="s">
        <v>13299</v>
      </c>
      <c r="H498" s="40">
        <v>8787</v>
      </c>
      <c r="I498" s="41">
        <v>21.5</v>
      </c>
      <c r="J498" s="157"/>
      <c r="K498" s="42">
        <f>IFERROR(Table215[[#This Row],[ROUTE $]]/Table215[[#This Row],[E - DEMAND]],0)</f>
        <v>0</v>
      </c>
      <c r="L498" s="43"/>
      <c r="M498" s="39" t="e">
        <f>VLOOKUP(Table215[[#This Row],[ROUTE]],DEMAND!A:F,5,FALSE)</f>
        <v>#N/A</v>
      </c>
      <c r="N498" s="39" t="e">
        <f>VLOOKUP(Table215[[#This Row],[ROUTE]],DEMAND!A:F,6,FALSE)</f>
        <v>#N/A</v>
      </c>
      <c r="O498" s="39" t="e">
        <f>ROUNDDOWN(Table215[[#This Row],[R-DEMAND]]/1320,0)</f>
        <v>#N/A</v>
      </c>
      <c r="P498" s="41" t="e">
        <f>Table215[[#This Row],[ADD ACC]]*Table215[[#This Row],[RT TIME (744)]]</f>
        <v>#N/A</v>
      </c>
    </row>
    <row r="499" spans="1:16" ht="15" customHeight="1" x14ac:dyDescent="0.25">
      <c r="A499" s="38" t="s">
        <v>13568</v>
      </c>
      <c r="B499" s="39" t="s">
        <v>5281</v>
      </c>
      <c r="C499" s="39"/>
      <c r="D499" s="39">
        <v>3</v>
      </c>
      <c r="E499" s="1" t="s">
        <v>560</v>
      </c>
      <c r="F499" s="1" t="str">
        <f>VLOOKUP(E:E,Table10[[COUNTRY NAME]:[CONTINENT CODE]],3,FALSE)</f>
        <v>EU</v>
      </c>
      <c r="G499" s="160" t="s">
        <v>11708</v>
      </c>
      <c r="H499" s="40">
        <v>8897</v>
      </c>
      <c r="I499" s="41">
        <v>21.75</v>
      </c>
      <c r="J499" s="157"/>
      <c r="K499" s="42">
        <f>IFERROR(Table215[[#This Row],[ROUTE $]]/Table215[[#This Row],[E - DEMAND]],0)</f>
        <v>0</v>
      </c>
      <c r="L499" s="43"/>
      <c r="M499" s="39" t="e">
        <f>VLOOKUP(Table215[[#This Row],[ROUTE]],DEMAND!A:F,5,FALSE)</f>
        <v>#N/A</v>
      </c>
      <c r="N499" s="39" t="e">
        <f>VLOOKUP(Table215[[#This Row],[ROUTE]],DEMAND!A:F,6,FALSE)</f>
        <v>#N/A</v>
      </c>
      <c r="O499" s="39" t="e">
        <f>ROUNDDOWN(Table215[[#This Row],[R-DEMAND]]/1320,0)</f>
        <v>#N/A</v>
      </c>
      <c r="P499" s="41" t="e">
        <f>Table215[[#This Row],[ADD ACC]]*Table215[[#This Row],[RT TIME (744)]]</f>
        <v>#N/A</v>
      </c>
    </row>
    <row r="500" spans="1:16" ht="15" customHeight="1" x14ac:dyDescent="0.25">
      <c r="A500" s="38" t="s">
        <v>13961</v>
      </c>
      <c r="B500" s="39" t="s">
        <v>5157</v>
      </c>
      <c r="C500" s="39"/>
      <c r="D500" s="39">
        <v>3</v>
      </c>
      <c r="E500" s="143" t="s">
        <v>647</v>
      </c>
      <c r="F500" s="38" t="e">
        <f>VLOOKUP(E:E,Table10[[COUNTRY NAME]:[CONTINENT CODE]],3,FALSE)</f>
        <v>#N/A</v>
      </c>
      <c r="G500" s="155" t="s">
        <v>13295</v>
      </c>
      <c r="H500" s="40">
        <v>8848</v>
      </c>
      <c r="I500" s="41">
        <v>21.75</v>
      </c>
      <c r="J500" s="157"/>
      <c r="K500" s="42">
        <f>IFERROR(Table215[[#This Row],[ROUTE $]]/Table215[[#This Row],[E - DEMAND]],0)</f>
        <v>0</v>
      </c>
      <c r="L500" s="43"/>
      <c r="M500" s="39" t="e">
        <f>VLOOKUP(Table215[[#This Row],[ROUTE]],DEMAND!A:F,5,FALSE)</f>
        <v>#N/A</v>
      </c>
      <c r="N500" s="39" t="e">
        <f>VLOOKUP(Table215[[#This Row],[ROUTE]],DEMAND!A:F,6,FALSE)</f>
        <v>#N/A</v>
      </c>
      <c r="O500" s="39" t="e">
        <f>ROUNDDOWN(Table215[[#This Row],[R-DEMAND]]/1320,0)</f>
        <v>#N/A</v>
      </c>
      <c r="P500" s="41" t="e">
        <f>Table215[[#This Row],[ADD ACC]]*Table215[[#This Row],[RT TIME (744)]]</f>
        <v>#N/A</v>
      </c>
    </row>
    <row r="501" spans="1:16" ht="15" customHeight="1" x14ac:dyDescent="0.25">
      <c r="A501" s="38" t="s">
        <v>13964</v>
      </c>
      <c r="B501" s="39" t="s">
        <v>5293</v>
      </c>
      <c r="C501" s="39"/>
      <c r="D501" s="39">
        <v>3</v>
      </c>
      <c r="E501" s="143" t="s">
        <v>647</v>
      </c>
      <c r="F501" s="38" t="e">
        <f>VLOOKUP(E:E,Table10[[COUNTRY NAME]:[CONTINENT CODE]],3,FALSE)</f>
        <v>#N/A</v>
      </c>
      <c r="G501" s="155" t="s">
        <v>13297</v>
      </c>
      <c r="H501" s="40">
        <v>8819</v>
      </c>
      <c r="I501" s="41">
        <v>21.75</v>
      </c>
      <c r="J501" s="157"/>
      <c r="K501" s="42">
        <f>IFERROR(Table215[[#This Row],[ROUTE $]]/Table215[[#This Row],[E - DEMAND]],0)</f>
        <v>0</v>
      </c>
      <c r="L501" s="43"/>
      <c r="M501" s="39" t="e">
        <f>VLOOKUP(Table215[[#This Row],[ROUTE]],DEMAND!A:F,5,FALSE)</f>
        <v>#N/A</v>
      </c>
      <c r="N501" s="39" t="e">
        <f>VLOOKUP(Table215[[#This Row],[ROUTE]],DEMAND!A:F,6,FALSE)</f>
        <v>#N/A</v>
      </c>
      <c r="O501" s="39" t="e">
        <f>ROUNDDOWN(Table215[[#This Row],[R-DEMAND]]/1320,0)</f>
        <v>#N/A</v>
      </c>
      <c r="P501" s="41" t="e">
        <f>Table215[[#This Row],[ADD ACC]]*Table215[[#This Row],[RT TIME (744)]]</f>
        <v>#N/A</v>
      </c>
    </row>
    <row r="502" spans="1:16" ht="15" customHeight="1" x14ac:dyDescent="0.25">
      <c r="A502" s="38" t="s">
        <v>13858</v>
      </c>
      <c r="B502" s="39" t="s">
        <v>3381</v>
      </c>
      <c r="C502" s="39"/>
      <c r="D502" s="39">
        <v>2</v>
      </c>
      <c r="E502" s="38" t="s">
        <v>971</v>
      </c>
      <c r="F502" s="38" t="str">
        <f>VLOOKUP(E:E,Table10[[COUNTRY NAME]:[CONTINENT CODE]],3,FALSE)</f>
        <v>AF</v>
      </c>
      <c r="G502" s="155" t="s">
        <v>11770</v>
      </c>
      <c r="H502" s="40">
        <v>8916</v>
      </c>
      <c r="I502" s="41">
        <v>21.75</v>
      </c>
      <c r="J502" s="157"/>
      <c r="K502" s="42">
        <f>IFERROR(Table215[[#This Row],[ROUTE $]]/Table215[[#This Row],[E - DEMAND]],0)</f>
        <v>0</v>
      </c>
      <c r="L502" s="43"/>
      <c r="M502" s="39" t="e">
        <f>VLOOKUP(Table215[[#This Row],[ROUTE]],DEMAND!A:F,5,FALSE)</f>
        <v>#N/A</v>
      </c>
      <c r="N502" s="39" t="e">
        <f>VLOOKUP(Table215[[#This Row],[ROUTE]],DEMAND!A:F,6,FALSE)</f>
        <v>#N/A</v>
      </c>
      <c r="O502" s="39" t="e">
        <f>ROUNDDOWN(Table215[[#This Row],[R-DEMAND]]/1320,0)</f>
        <v>#N/A</v>
      </c>
      <c r="P502" s="41" t="e">
        <f>Table215[[#This Row],[ADD ACC]]*Table215[[#This Row],[RT TIME (744)]]</f>
        <v>#N/A</v>
      </c>
    </row>
    <row r="503" spans="1:16" ht="15" customHeight="1" x14ac:dyDescent="0.25">
      <c r="A503" s="38" t="s">
        <v>13861</v>
      </c>
      <c r="B503" s="39" t="s">
        <v>2476</v>
      </c>
      <c r="C503" s="39"/>
      <c r="D503" s="39">
        <v>1</v>
      </c>
      <c r="E503" s="38" t="s">
        <v>971</v>
      </c>
      <c r="F503" s="38" t="str">
        <f>VLOOKUP(E:E,Table10[[COUNTRY NAME]:[CONTINENT CODE]],3,FALSE)</f>
        <v>AF</v>
      </c>
      <c r="G503" s="155" t="s">
        <v>11774</v>
      </c>
      <c r="H503" s="40">
        <v>8840</v>
      </c>
      <c r="I503" s="41">
        <v>21.75</v>
      </c>
      <c r="J503" s="157"/>
      <c r="K503" s="42">
        <f>IFERROR(Table215[[#This Row],[ROUTE $]]/Table215[[#This Row],[E - DEMAND]],0)</f>
        <v>0</v>
      </c>
      <c r="L503" s="43"/>
      <c r="M503" s="39" t="e">
        <f>VLOOKUP(Table215[[#This Row],[ROUTE]],DEMAND!A:F,5,FALSE)</f>
        <v>#N/A</v>
      </c>
      <c r="N503" s="39" t="e">
        <f>VLOOKUP(Table215[[#This Row],[ROUTE]],DEMAND!A:F,6,FALSE)</f>
        <v>#N/A</v>
      </c>
      <c r="O503" s="39" t="e">
        <f>ROUNDDOWN(Table215[[#This Row],[R-DEMAND]]/1320,0)</f>
        <v>#N/A</v>
      </c>
      <c r="P503" s="41" t="e">
        <f>Table215[[#This Row],[ADD ACC]]*Table215[[#This Row],[RT TIME (744)]]</f>
        <v>#N/A</v>
      </c>
    </row>
    <row r="504" spans="1:16" ht="15" customHeight="1" x14ac:dyDescent="0.25">
      <c r="A504" s="38" t="s">
        <v>13860</v>
      </c>
      <c r="B504" s="39" t="s">
        <v>2434</v>
      </c>
      <c r="C504" s="39"/>
      <c r="D504" s="39">
        <v>1</v>
      </c>
      <c r="E504" s="38" t="s">
        <v>971</v>
      </c>
      <c r="F504" s="38" t="str">
        <f>VLOOKUP(E:E,Table10[[COUNTRY NAME]:[CONTINENT CODE]],3,FALSE)</f>
        <v>AF</v>
      </c>
      <c r="G504" s="155" t="s">
        <v>11757</v>
      </c>
      <c r="H504" s="40">
        <v>8872</v>
      </c>
      <c r="I504" s="41">
        <v>21.75</v>
      </c>
      <c r="J504" s="157"/>
      <c r="K504" s="42">
        <f>IFERROR(Table215[[#This Row],[ROUTE $]]/Table215[[#This Row],[E - DEMAND]],0)</f>
        <v>0</v>
      </c>
      <c r="L504" s="43"/>
      <c r="M504" s="39" t="e">
        <f>VLOOKUP(Table215[[#This Row],[ROUTE]],DEMAND!A:F,5,FALSE)</f>
        <v>#N/A</v>
      </c>
      <c r="N504" s="39" t="e">
        <f>VLOOKUP(Table215[[#This Row],[ROUTE]],DEMAND!A:F,6,FALSE)</f>
        <v>#N/A</v>
      </c>
      <c r="O504" s="39" t="e">
        <f>ROUNDDOWN(Table215[[#This Row],[R-DEMAND]]/1320,0)</f>
        <v>#N/A</v>
      </c>
      <c r="P504" s="41" t="e">
        <f>Table215[[#This Row],[ADD ACC]]*Table215[[#This Row],[RT TIME (744)]]</f>
        <v>#N/A</v>
      </c>
    </row>
    <row r="505" spans="1:16" ht="15" customHeight="1" x14ac:dyDescent="0.25">
      <c r="A505" s="38" t="s">
        <v>13893</v>
      </c>
      <c r="B505" s="39" t="s">
        <v>4562</v>
      </c>
      <c r="C505" s="39"/>
      <c r="D505" s="39">
        <v>2</v>
      </c>
      <c r="E505" s="38" t="s">
        <v>637</v>
      </c>
      <c r="F505" s="38" t="str">
        <f>VLOOKUP(E:E,Table10[[COUNTRY NAME]:[CONTINENT CODE]],3,FALSE)</f>
        <v>AF</v>
      </c>
      <c r="G505" s="155" t="s">
        <v>11908</v>
      </c>
      <c r="H505" s="40">
        <v>8881</v>
      </c>
      <c r="I505" s="41">
        <v>21.75</v>
      </c>
      <c r="J505" s="157"/>
      <c r="K505" s="42">
        <f>IFERROR(Table215[[#This Row],[ROUTE $]]/Table215[[#This Row],[E - DEMAND]],0)</f>
        <v>0</v>
      </c>
      <c r="L505" s="43"/>
      <c r="M505" s="39" t="e">
        <f>VLOOKUP(Table215[[#This Row],[ROUTE]],DEMAND!A:F,5,FALSE)</f>
        <v>#N/A</v>
      </c>
      <c r="N505" s="39" t="e">
        <f>VLOOKUP(Table215[[#This Row],[ROUTE]],DEMAND!A:F,6,FALSE)</f>
        <v>#N/A</v>
      </c>
      <c r="O505" s="39" t="e">
        <f>ROUNDDOWN(Table215[[#This Row],[R-DEMAND]]/1320,0)</f>
        <v>#N/A</v>
      </c>
      <c r="P505" s="41" t="e">
        <f>Table215[[#This Row],[ADD ACC]]*Table215[[#This Row],[RT TIME (744)]]</f>
        <v>#N/A</v>
      </c>
    </row>
    <row r="506" spans="1:16" ht="15" customHeight="1" x14ac:dyDescent="0.25">
      <c r="A506" s="38" t="s">
        <v>13963</v>
      </c>
      <c r="B506" s="39" t="s">
        <v>3630</v>
      </c>
      <c r="C506" s="39"/>
      <c r="D506" s="39">
        <v>2</v>
      </c>
      <c r="E506" s="143" t="s">
        <v>647</v>
      </c>
      <c r="F506" s="38" t="e">
        <f>VLOOKUP(E:E,Table10[[COUNTRY NAME]:[CONTINENT CODE]],3,FALSE)</f>
        <v>#N/A</v>
      </c>
      <c r="G506" s="155" t="s">
        <v>8820</v>
      </c>
      <c r="H506" s="40">
        <v>8835</v>
      </c>
      <c r="I506" s="41">
        <v>21.75</v>
      </c>
      <c r="J506" s="157"/>
      <c r="K506" s="42">
        <f>IFERROR(Table215[[#This Row],[ROUTE $]]/Table215[[#This Row],[E - DEMAND]],0)</f>
        <v>0</v>
      </c>
      <c r="L506" s="43"/>
      <c r="M506" s="39" t="e">
        <f>VLOOKUP(Table215[[#This Row],[ROUTE]],DEMAND!A:F,5,FALSE)</f>
        <v>#N/A</v>
      </c>
      <c r="N506" s="39" t="e">
        <f>VLOOKUP(Table215[[#This Row],[ROUTE]],DEMAND!A:F,6,FALSE)</f>
        <v>#N/A</v>
      </c>
      <c r="O506" s="39" t="e">
        <f>ROUNDDOWN(Table215[[#This Row],[R-DEMAND]]/1320,0)</f>
        <v>#N/A</v>
      </c>
      <c r="P506" s="41" t="e">
        <f>Table215[[#This Row],[ADD ACC]]*Table215[[#This Row],[RT TIME (744)]]</f>
        <v>#N/A</v>
      </c>
    </row>
    <row r="507" spans="1:16" ht="15" customHeight="1" x14ac:dyDescent="0.25">
      <c r="A507" s="38" t="s">
        <v>13965</v>
      </c>
      <c r="B507" s="39" t="s">
        <v>2494</v>
      </c>
      <c r="C507" s="39"/>
      <c r="D507" s="39">
        <v>2</v>
      </c>
      <c r="E507" s="143" t="s">
        <v>647</v>
      </c>
      <c r="F507" s="38" t="e">
        <f>VLOOKUP(E:E,Table10[[COUNTRY NAME]:[CONTINENT CODE]],3,FALSE)</f>
        <v>#N/A</v>
      </c>
      <c r="G507" s="155" t="s">
        <v>13298</v>
      </c>
      <c r="H507" s="40">
        <v>8809</v>
      </c>
      <c r="I507" s="41">
        <v>21.75</v>
      </c>
      <c r="J507" s="157"/>
      <c r="K507" s="42">
        <f>IFERROR(Table215[[#This Row],[ROUTE $]]/Table215[[#This Row],[E - DEMAND]],0)</f>
        <v>0</v>
      </c>
      <c r="L507" s="43"/>
      <c r="M507" s="39" t="e">
        <f>VLOOKUP(Table215[[#This Row],[ROUTE]],DEMAND!A:F,5,FALSE)</f>
        <v>#N/A</v>
      </c>
      <c r="N507" s="39" t="e">
        <f>VLOOKUP(Table215[[#This Row],[ROUTE]],DEMAND!A:F,6,FALSE)</f>
        <v>#N/A</v>
      </c>
      <c r="O507" s="39" t="e">
        <f>ROUNDDOWN(Table215[[#This Row],[R-DEMAND]]/1320,0)</f>
        <v>#N/A</v>
      </c>
      <c r="P507" s="41" t="e">
        <f>Table215[[#This Row],[ADD ACC]]*Table215[[#This Row],[RT TIME (744)]]</f>
        <v>#N/A</v>
      </c>
    </row>
    <row r="508" spans="1:16" ht="15" customHeight="1" x14ac:dyDescent="0.25">
      <c r="A508" s="38" t="s">
        <v>13962</v>
      </c>
      <c r="B508" s="39" t="s">
        <v>3559</v>
      </c>
      <c r="C508" s="39"/>
      <c r="D508" s="39">
        <v>2</v>
      </c>
      <c r="E508" s="143" t="s">
        <v>647</v>
      </c>
      <c r="F508" s="38" t="e">
        <f>VLOOKUP(E:E,Table10[[COUNTRY NAME]:[CONTINENT CODE]],3,FALSE)</f>
        <v>#N/A</v>
      </c>
      <c r="G508" s="155" t="s">
        <v>13296</v>
      </c>
      <c r="H508" s="40">
        <v>8836</v>
      </c>
      <c r="I508" s="41">
        <v>21.75</v>
      </c>
      <c r="J508" s="157"/>
      <c r="K508" s="42">
        <f>IFERROR(Table215[[#This Row],[ROUTE $]]/Table215[[#This Row],[E - DEMAND]],0)</f>
        <v>0</v>
      </c>
      <c r="L508" s="43"/>
      <c r="M508" s="39" t="e">
        <f>VLOOKUP(Table215[[#This Row],[ROUTE]],DEMAND!A:F,5,FALSE)</f>
        <v>#N/A</v>
      </c>
      <c r="N508" s="39" t="e">
        <f>VLOOKUP(Table215[[#This Row],[ROUTE]],DEMAND!A:F,6,FALSE)</f>
        <v>#N/A</v>
      </c>
      <c r="O508" s="39" t="e">
        <f>ROUNDDOWN(Table215[[#This Row],[R-DEMAND]]/1320,0)</f>
        <v>#N/A</v>
      </c>
      <c r="P508" s="41" t="e">
        <f>Table215[[#This Row],[ADD ACC]]*Table215[[#This Row],[RT TIME (744)]]</f>
        <v>#N/A</v>
      </c>
    </row>
    <row r="509" spans="1:16" ht="15" customHeight="1" x14ac:dyDescent="0.25">
      <c r="A509" s="38" t="s">
        <v>13566</v>
      </c>
      <c r="B509" s="39" t="s">
        <v>4553</v>
      </c>
      <c r="C509" s="39"/>
      <c r="D509" s="39">
        <v>2</v>
      </c>
      <c r="E509" s="1" t="s">
        <v>560</v>
      </c>
      <c r="F509" s="1" t="str">
        <f>VLOOKUP(E:E,Table10[[COUNTRY NAME]:[CONTINENT CODE]],3,FALSE)</f>
        <v>EU</v>
      </c>
      <c r="G509" s="156" t="s">
        <v>11698</v>
      </c>
      <c r="H509" s="8">
        <v>9022</v>
      </c>
      <c r="I509" s="41">
        <v>22</v>
      </c>
      <c r="J509" s="157"/>
      <c r="K509" s="6">
        <f>IFERROR(Table215[[#This Row],[ROUTE $]]/Table215[[#This Row],[E - DEMAND]],0)</f>
        <v>0</v>
      </c>
      <c r="L509" s="4"/>
      <c r="M509" s="39" t="e">
        <f>VLOOKUP(Table215[[#This Row],[ROUTE]],DEMAND!A:F,5,FALSE)</f>
        <v>#N/A</v>
      </c>
      <c r="N509" s="39" t="e">
        <f>VLOOKUP(Table215[[#This Row],[ROUTE]],DEMAND!A:F,6,FALSE)</f>
        <v>#N/A</v>
      </c>
      <c r="O509" s="39" t="e">
        <f>ROUNDDOWN(Table215[[#This Row],[R-DEMAND]]/1320,0)</f>
        <v>#N/A</v>
      </c>
      <c r="P509" s="41" t="e">
        <f>Table215[[#This Row],[ADD ACC]]*Table215[[#This Row],[RT TIME (744)]]</f>
        <v>#N/A</v>
      </c>
    </row>
    <row r="510" spans="1:16" ht="15" customHeight="1" x14ac:dyDescent="0.25">
      <c r="A510" s="38" t="s">
        <v>13892</v>
      </c>
      <c r="B510" s="39" t="s">
        <v>651</v>
      </c>
      <c r="C510" s="39"/>
      <c r="D510" s="39">
        <v>1</v>
      </c>
      <c r="E510" s="38" t="s">
        <v>637</v>
      </c>
      <c r="F510" s="38" t="str">
        <f>VLOOKUP(E:E,Table10[[COUNTRY NAME]:[CONTINENT CODE]],3,FALSE)</f>
        <v>AF</v>
      </c>
      <c r="G510" s="155" t="s">
        <v>6840</v>
      </c>
      <c r="H510" s="40">
        <v>8989</v>
      </c>
      <c r="I510" s="41">
        <v>22</v>
      </c>
      <c r="J510" s="157"/>
      <c r="K510" s="42">
        <f>IFERROR(Table215[[#This Row],[ROUTE $]]/Table215[[#This Row],[E - DEMAND]],0)</f>
        <v>0</v>
      </c>
      <c r="L510" s="43"/>
      <c r="M510" s="39" t="e">
        <f>VLOOKUP(Table215[[#This Row],[ROUTE]],DEMAND!A:F,5,FALSE)</f>
        <v>#N/A</v>
      </c>
      <c r="N510" s="39" t="e">
        <f>VLOOKUP(Table215[[#This Row],[ROUTE]],DEMAND!A:F,6,FALSE)</f>
        <v>#N/A</v>
      </c>
      <c r="O510" s="39" t="e">
        <f>ROUNDDOWN(Table215[[#This Row],[R-DEMAND]]/1320,0)</f>
        <v>#N/A</v>
      </c>
      <c r="P510" s="41" t="e">
        <f>Table215[[#This Row],[ADD ACC]]*Table215[[#This Row],[RT TIME (744)]]</f>
        <v>#N/A</v>
      </c>
    </row>
    <row r="511" spans="1:16" ht="15" customHeight="1" x14ac:dyDescent="0.25">
      <c r="A511" s="38" t="s">
        <v>13565</v>
      </c>
      <c r="B511" s="39" t="s">
        <v>5202</v>
      </c>
      <c r="C511" s="39"/>
      <c r="D511" s="39">
        <v>3</v>
      </c>
      <c r="E511" s="1" t="s">
        <v>560</v>
      </c>
      <c r="F511" s="1" t="str">
        <f>VLOOKUP(E:E,Table10[[COUNTRY NAME]:[CONTINENT CODE]],3,FALSE)</f>
        <v>EU</v>
      </c>
      <c r="G511" s="156" t="s">
        <v>11707</v>
      </c>
      <c r="H511" s="8">
        <v>9046</v>
      </c>
      <c r="I511" s="41">
        <v>22.25</v>
      </c>
      <c r="J511" s="157"/>
      <c r="K511" s="6">
        <f>IFERROR(Table215[[#This Row],[ROUTE $]]/Table215[[#This Row],[E - DEMAND]],0)</f>
        <v>0</v>
      </c>
      <c r="L511" s="4"/>
      <c r="M511" s="39" t="e">
        <f>VLOOKUP(Table215[[#This Row],[ROUTE]],DEMAND!A:F,5,FALSE)</f>
        <v>#N/A</v>
      </c>
      <c r="N511" s="39" t="e">
        <f>VLOOKUP(Table215[[#This Row],[ROUTE]],DEMAND!A:F,6,FALSE)</f>
        <v>#N/A</v>
      </c>
      <c r="O511" s="39" t="e">
        <f>ROUNDDOWN(Table215[[#This Row],[R-DEMAND]]/1320,0)</f>
        <v>#N/A</v>
      </c>
      <c r="P511" s="41" t="e">
        <f>Table215[[#This Row],[ADD ACC]]*Table215[[#This Row],[RT TIME (744)]]</f>
        <v>#N/A</v>
      </c>
    </row>
    <row r="512" spans="1:16" ht="15" customHeight="1" x14ac:dyDescent="0.25">
      <c r="A512" s="38" t="s">
        <v>13644</v>
      </c>
      <c r="B512" s="39" t="s">
        <v>5231</v>
      </c>
      <c r="C512" s="39"/>
      <c r="D512" s="39">
        <v>3</v>
      </c>
      <c r="E512" s="38" t="s">
        <v>308</v>
      </c>
      <c r="F512" s="38" t="str">
        <f>VLOOKUP(E:E,Table10[[COUNTRY NAME]:[CONTINENT CODE]],3,FALSE)</f>
        <v>EU</v>
      </c>
      <c r="G512" s="155" t="s">
        <v>11760</v>
      </c>
      <c r="H512" s="40">
        <v>9046</v>
      </c>
      <c r="I512" s="41">
        <v>22.25</v>
      </c>
      <c r="J512" s="157"/>
      <c r="K512" s="42">
        <f>IFERROR(Table215[[#This Row],[ROUTE $]]/Table215[[#This Row],[E - DEMAND]],0)</f>
        <v>0</v>
      </c>
      <c r="L512" s="43"/>
      <c r="M512" s="39" t="e">
        <f>VLOOKUP(Table215[[#This Row],[ROUTE]],DEMAND!A:F,5,FALSE)</f>
        <v>#N/A</v>
      </c>
      <c r="N512" s="39" t="e">
        <f>VLOOKUP(Table215[[#This Row],[ROUTE]],DEMAND!A:F,6,FALSE)</f>
        <v>#N/A</v>
      </c>
      <c r="O512" s="39" t="e">
        <f>ROUNDDOWN(Table215[[#This Row],[R-DEMAND]]/1320,0)</f>
        <v>#N/A</v>
      </c>
      <c r="P512" s="41" t="e">
        <f>Table215[[#This Row],[ADD ACC]]*Table215[[#This Row],[RT TIME (744)]]</f>
        <v>#N/A</v>
      </c>
    </row>
    <row r="513" spans="1:16" ht="15" customHeight="1" x14ac:dyDescent="0.25">
      <c r="A513" s="38" t="s">
        <v>13959</v>
      </c>
      <c r="B513" s="39" t="s">
        <v>3545</v>
      </c>
      <c r="C513" s="39"/>
      <c r="D513" s="39">
        <v>2</v>
      </c>
      <c r="E513" s="143" t="s">
        <v>647</v>
      </c>
      <c r="F513" s="38" t="e">
        <f>VLOOKUP(E:E,Table10[[COUNTRY NAME]:[CONTINENT CODE]],3,FALSE)</f>
        <v>#N/A</v>
      </c>
      <c r="G513" s="155" t="s">
        <v>13293</v>
      </c>
      <c r="H513" s="40">
        <v>9063</v>
      </c>
      <c r="I513" s="41">
        <v>22.25</v>
      </c>
      <c r="J513" s="157"/>
      <c r="K513" s="42">
        <f>IFERROR(Table215[[#This Row],[ROUTE $]]/Table215[[#This Row],[E - DEMAND]],0)</f>
        <v>0</v>
      </c>
      <c r="L513" s="43"/>
      <c r="M513" s="39" t="e">
        <f>VLOOKUP(Table215[[#This Row],[ROUTE]],DEMAND!A:F,5,FALSE)</f>
        <v>#N/A</v>
      </c>
      <c r="N513" s="39" t="e">
        <f>VLOOKUP(Table215[[#This Row],[ROUTE]],DEMAND!A:F,6,FALSE)</f>
        <v>#N/A</v>
      </c>
      <c r="O513" s="39" t="e">
        <f>ROUNDDOWN(Table215[[#This Row],[R-DEMAND]]/1320,0)</f>
        <v>#N/A</v>
      </c>
      <c r="P513" s="41" t="e">
        <f>Table215[[#This Row],[ADD ACC]]*Table215[[#This Row],[RT TIME (744)]]</f>
        <v>#N/A</v>
      </c>
    </row>
    <row r="514" spans="1:16" ht="15" customHeight="1" x14ac:dyDescent="0.25">
      <c r="A514" s="38" t="s">
        <v>13562</v>
      </c>
      <c r="B514" s="39" t="s">
        <v>584</v>
      </c>
      <c r="C514" s="39"/>
      <c r="D514" s="39">
        <v>1</v>
      </c>
      <c r="E514" s="1" t="s">
        <v>560</v>
      </c>
      <c r="F514" s="1" t="str">
        <f>VLOOKUP(E:E,Table10[[COUNTRY NAME]:[CONTINENT CODE]],3,FALSE)</f>
        <v>EU</v>
      </c>
      <c r="G514" s="156" t="s">
        <v>11718</v>
      </c>
      <c r="H514" s="8">
        <v>9191</v>
      </c>
      <c r="I514" s="41">
        <v>22.5</v>
      </c>
      <c r="J514" s="157"/>
      <c r="K514" s="6">
        <f>IFERROR(Table215[[#This Row],[ROUTE $]]/Table215[[#This Row],[E - DEMAND]],0)</f>
        <v>0</v>
      </c>
      <c r="L514" s="5"/>
      <c r="M514" s="39" t="e">
        <f>VLOOKUP(Table215[[#This Row],[ROUTE]],DEMAND!A:F,5,FALSE)</f>
        <v>#N/A</v>
      </c>
      <c r="N514" s="39" t="e">
        <f>VLOOKUP(Table215[[#This Row],[ROUTE]],DEMAND!A:F,6,FALSE)</f>
        <v>#N/A</v>
      </c>
      <c r="O514" s="39" t="e">
        <f>ROUNDDOWN(Table215[[#This Row],[R-DEMAND]]/1320,0)</f>
        <v>#N/A</v>
      </c>
      <c r="P514" s="41" t="e">
        <f>Table215[[#This Row],[ADD ACC]]*Table215[[#This Row],[RT TIME (744)]]</f>
        <v>#N/A</v>
      </c>
    </row>
    <row r="515" spans="1:16" ht="15" customHeight="1" x14ac:dyDescent="0.25">
      <c r="A515" s="38" t="s">
        <v>13563</v>
      </c>
      <c r="B515" s="39" t="s">
        <v>3885</v>
      </c>
      <c r="C515" s="39"/>
      <c r="D515" s="39">
        <v>2</v>
      </c>
      <c r="E515" s="1" t="s">
        <v>560</v>
      </c>
      <c r="F515" s="1" t="str">
        <f>VLOOKUP(E:E,Table10[[COUNTRY NAME]:[CONTINENT CODE]],3,FALSE)</f>
        <v>EU</v>
      </c>
      <c r="G515" s="160" t="s">
        <v>11722</v>
      </c>
      <c r="H515" s="40">
        <v>9183</v>
      </c>
      <c r="I515" s="41">
        <v>22.5</v>
      </c>
      <c r="J515" s="157"/>
      <c r="K515" s="42">
        <f>IFERROR(Table215[[#This Row],[ROUTE $]]/Table215[[#This Row],[E - DEMAND]],0)</f>
        <v>0</v>
      </c>
      <c r="L515" s="43"/>
      <c r="M515" s="39" t="e">
        <f>VLOOKUP(Table215[[#This Row],[ROUTE]],DEMAND!A:F,5,FALSE)</f>
        <v>#N/A</v>
      </c>
      <c r="N515" s="39" t="e">
        <f>VLOOKUP(Table215[[#This Row],[ROUTE]],DEMAND!A:F,6,FALSE)</f>
        <v>#N/A</v>
      </c>
      <c r="O515" s="39" t="e">
        <f>ROUNDDOWN(Table215[[#This Row],[R-DEMAND]]/1320,0)</f>
        <v>#N/A</v>
      </c>
      <c r="P515" s="41" t="e">
        <f>Table215[[#This Row],[ADD ACC]]*Table215[[#This Row],[RT TIME (744)]]</f>
        <v>#N/A</v>
      </c>
    </row>
    <row r="516" spans="1:16" ht="15" customHeight="1" x14ac:dyDescent="0.25">
      <c r="A516" s="38" t="s">
        <v>13625</v>
      </c>
      <c r="B516" s="39" t="s">
        <v>87</v>
      </c>
      <c r="C516" s="39"/>
      <c r="D516" s="39">
        <v>3</v>
      </c>
      <c r="E516" s="38" t="s">
        <v>1858</v>
      </c>
      <c r="F516" s="38" t="str">
        <f>VLOOKUP(E:E,Table10[[COUNTRY NAME]:[CONTINENT CODE]],3,FALSE)</f>
        <v>EU</v>
      </c>
      <c r="G516" s="155" t="s">
        <v>11689</v>
      </c>
      <c r="H516" s="40">
        <v>9214</v>
      </c>
      <c r="I516" s="41">
        <v>22.5</v>
      </c>
      <c r="J516" s="157"/>
      <c r="K516" s="42">
        <f>IFERROR(Table215[[#This Row],[ROUTE $]]/Table215[[#This Row],[E - DEMAND]],0)</f>
        <v>0</v>
      </c>
      <c r="L516" s="43"/>
      <c r="M516" s="39" t="e">
        <f>VLOOKUP(Table215[[#This Row],[ROUTE]],DEMAND!A:F,5,FALSE)</f>
        <v>#N/A</v>
      </c>
      <c r="N516" s="39" t="e">
        <f>VLOOKUP(Table215[[#This Row],[ROUTE]],DEMAND!A:F,6,FALSE)</f>
        <v>#N/A</v>
      </c>
      <c r="O516" s="39" t="e">
        <f>ROUNDDOWN(Table215[[#This Row],[R-DEMAND]]/1320,0)</f>
        <v>#N/A</v>
      </c>
      <c r="P516" s="41" t="e">
        <f>Table215[[#This Row],[ADD ACC]]*Table215[[#This Row],[RT TIME (744)]]</f>
        <v>#N/A</v>
      </c>
    </row>
    <row r="517" spans="1:16" ht="15" customHeight="1" x14ac:dyDescent="0.25">
      <c r="A517" s="38" t="s">
        <v>13642</v>
      </c>
      <c r="B517" s="39" t="s">
        <v>5311</v>
      </c>
      <c r="C517" s="39"/>
      <c r="D517" s="39">
        <v>3</v>
      </c>
      <c r="E517" s="38" t="s">
        <v>308</v>
      </c>
      <c r="F517" s="38" t="str">
        <f>VLOOKUP(E:E,Table10[[COUNTRY NAME]:[CONTINENT CODE]],3,FALSE)</f>
        <v>EU</v>
      </c>
      <c r="G517" s="155" t="s">
        <v>11790</v>
      </c>
      <c r="H517" s="40">
        <v>9246</v>
      </c>
      <c r="I517" s="41">
        <v>22.5</v>
      </c>
      <c r="J517" s="157"/>
      <c r="K517" s="42">
        <f>IFERROR(Table215[[#This Row],[ROUTE $]]/Table215[[#This Row],[E - DEMAND]],0)</f>
        <v>0</v>
      </c>
      <c r="L517" s="43"/>
      <c r="M517" s="39" t="e">
        <f>VLOOKUP(Table215[[#This Row],[ROUTE]],DEMAND!A:F,5,FALSE)</f>
        <v>#N/A</v>
      </c>
      <c r="N517" s="39" t="e">
        <f>VLOOKUP(Table215[[#This Row],[ROUTE]],DEMAND!A:F,6,FALSE)</f>
        <v>#N/A</v>
      </c>
      <c r="O517" s="39" t="e">
        <f>ROUNDDOWN(Table215[[#This Row],[R-DEMAND]]/1320,0)</f>
        <v>#N/A</v>
      </c>
      <c r="P517" s="41" t="e">
        <f>Table215[[#This Row],[ADD ACC]]*Table215[[#This Row],[RT TIME (744)]]</f>
        <v>#N/A</v>
      </c>
    </row>
    <row r="518" spans="1:16" ht="15" customHeight="1" x14ac:dyDescent="0.25">
      <c r="A518" s="38" t="s">
        <v>13666</v>
      </c>
      <c r="B518" s="39" t="s">
        <v>5185</v>
      </c>
      <c r="C518" s="39"/>
      <c r="D518" s="39">
        <v>3</v>
      </c>
      <c r="E518" s="38" t="s">
        <v>5183</v>
      </c>
      <c r="F518" s="38" t="str">
        <f>VLOOKUP(E:E,Table10[[COUNTRY NAME]:[CONTINENT CODE]],3,FALSE)</f>
        <v>EU</v>
      </c>
      <c r="G518" s="155" t="s">
        <v>11797</v>
      </c>
      <c r="H518" s="40">
        <v>9190</v>
      </c>
      <c r="I518" s="41">
        <v>22.5</v>
      </c>
      <c r="J518" s="157"/>
      <c r="K518" s="42">
        <f>IFERROR(Table215[[#This Row],[ROUTE $]]/Table215[[#This Row],[E - DEMAND]],0)</f>
        <v>0</v>
      </c>
      <c r="L518" s="43"/>
      <c r="M518" s="39" t="e">
        <f>VLOOKUP(Table215[[#This Row],[ROUTE]],DEMAND!A:F,5,FALSE)</f>
        <v>#N/A</v>
      </c>
      <c r="N518" s="39" t="e">
        <f>VLOOKUP(Table215[[#This Row],[ROUTE]],DEMAND!A:F,6,FALSE)</f>
        <v>#N/A</v>
      </c>
      <c r="O518" s="39" t="e">
        <f>ROUNDDOWN(Table215[[#This Row],[R-DEMAND]]/1320,0)</f>
        <v>#N/A</v>
      </c>
      <c r="P518" s="41" t="e">
        <f>Table215[[#This Row],[ADD ACC]]*Table215[[#This Row],[RT TIME (744)]]</f>
        <v>#N/A</v>
      </c>
    </row>
    <row r="519" spans="1:16" ht="15" customHeight="1" x14ac:dyDescent="0.25">
      <c r="A519" s="38" t="s">
        <v>13956</v>
      </c>
      <c r="B519" s="39" t="s">
        <v>4947</v>
      </c>
      <c r="C519" s="39"/>
      <c r="D519" s="39">
        <v>3</v>
      </c>
      <c r="E519" s="143" t="s">
        <v>647</v>
      </c>
      <c r="F519" s="38" t="e">
        <f>VLOOKUP(E:E,Table10[[COUNTRY NAME]:[CONTINENT CODE]],3,FALSE)</f>
        <v>#N/A</v>
      </c>
      <c r="G519" s="155" t="s">
        <v>13290</v>
      </c>
      <c r="H519" s="40">
        <v>9197</v>
      </c>
      <c r="I519" s="41">
        <v>22.5</v>
      </c>
      <c r="J519" s="157"/>
      <c r="K519" s="42">
        <f>IFERROR(Table215[[#This Row],[ROUTE $]]/Table215[[#This Row],[E - DEMAND]],0)</f>
        <v>0</v>
      </c>
      <c r="L519" s="43"/>
      <c r="M519" s="39" t="e">
        <f>VLOOKUP(Table215[[#This Row],[ROUTE]],DEMAND!A:F,5,FALSE)</f>
        <v>#N/A</v>
      </c>
      <c r="N519" s="39" t="e">
        <f>VLOOKUP(Table215[[#This Row],[ROUTE]],DEMAND!A:F,6,FALSE)</f>
        <v>#N/A</v>
      </c>
      <c r="O519" s="39" t="e">
        <f>ROUNDDOWN(Table215[[#This Row],[R-DEMAND]]/1320,0)</f>
        <v>#N/A</v>
      </c>
      <c r="P519" s="41" t="e">
        <f>Table215[[#This Row],[ADD ACC]]*Table215[[#This Row],[RT TIME (744)]]</f>
        <v>#N/A</v>
      </c>
    </row>
    <row r="520" spans="1:16" ht="15" customHeight="1" x14ac:dyDescent="0.25">
      <c r="A520" s="38" t="s">
        <v>13955</v>
      </c>
      <c r="B520" s="39" t="s">
        <v>5244</v>
      </c>
      <c r="C520" s="39"/>
      <c r="D520" s="39">
        <v>3</v>
      </c>
      <c r="E520" s="143" t="s">
        <v>647</v>
      </c>
      <c r="F520" s="38" t="e">
        <f>VLOOKUP(E:E,Table10[[COUNTRY NAME]:[CONTINENT CODE]],3,FALSE)</f>
        <v>#N/A</v>
      </c>
      <c r="G520" s="155" t="s">
        <v>13289</v>
      </c>
      <c r="H520" s="40">
        <v>9221</v>
      </c>
      <c r="I520" s="41">
        <v>22.5</v>
      </c>
      <c r="J520" s="157"/>
      <c r="K520" s="42">
        <f>IFERROR(Table215[[#This Row],[ROUTE $]]/Table215[[#This Row],[E - DEMAND]],0)</f>
        <v>0</v>
      </c>
      <c r="L520" s="43"/>
      <c r="M520" s="39" t="e">
        <f>VLOOKUP(Table215[[#This Row],[ROUTE]],DEMAND!A:F,5,FALSE)</f>
        <v>#N/A</v>
      </c>
      <c r="N520" s="39" t="e">
        <f>VLOOKUP(Table215[[#This Row],[ROUTE]],DEMAND!A:F,6,FALSE)</f>
        <v>#N/A</v>
      </c>
      <c r="O520" s="39" t="e">
        <f>ROUNDDOWN(Table215[[#This Row],[R-DEMAND]]/1320,0)</f>
        <v>#N/A</v>
      </c>
      <c r="P520" s="41" t="e">
        <f>Table215[[#This Row],[ADD ACC]]*Table215[[#This Row],[RT TIME (744)]]</f>
        <v>#N/A</v>
      </c>
    </row>
    <row r="521" spans="1:16" ht="15" customHeight="1" x14ac:dyDescent="0.25">
      <c r="A521" s="38" t="s">
        <v>13957</v>
      </c>
      <c r="B521" s="39" t="s">
        <v>900</v>
      </c>
      <c r="C521" s="39"/>
      <c r="D521" s="39">
        <v>1</v>
      </c>
      <c r="E521" s="143" t="s">
        <v>647</v>
      </c>
      <c r="F521" s="38" t="e">
        <f>VLOOKUP(E:E,Table10[[COUNTRY NAME]:[CONTINENT CODE]],3,FALSE)</f>
        <v>#N/A</v>
      </c>
      <c r="G521" s="155" t="s">
        <v>13291</v>
      </c>
      <c r="H521" s="40">
        <v>9148</v>
      </c>
      <c r="I521" s="41">
        <v>22.5</v>
      </c>
      <c r="J521" s="157"/>
      <c r="K521" s="42">
        <f>IFERROR(Table215[[#This Row],[ROUTE $]]/Table215[[#This Row],[E - DEMAND]],0)</f>
        <v>0</v>
      </c>
      <c r="L521" s="43"/>
      <c r="M521" s="39" t="e">
        <f>VLOOKUP(Table215[[#This Row],[ROUTE]],DEMAND!A:F,5,FALSE)</f>
        <v>#N/A</v>
      </c>
      <c r="N521" s="39" t="e">
        <f>VLOOKUP(Table215[[#This Row],[ROUTE]],DEMAND!A:F,6,FALSE)</f>
        <v>#N/A</v>
      </c>
      <c r="O521" s="39" t="e">
        <f>ROUNDDOWN(Table215[[#This Row],[R-DEMAND]]/1320,0)</f>
        <v>#N/A</v>
      </c>
      <c r="P521" s="41" t="e">
        <f>Table215[[#This Row],[ADD ACC]]*Table215[[#This Row],[RT TIME (744)]]</f>
        <v>#N/A</v>
      </c>
    </row>
    <row r="522" spans="1:16" ht="15" customHeight="1" x14ac:dyDescent="0.25">
      <c r="A522" s="38" t="s">
        <v>13560</v>
      </c>
      <c r="B522" s="39" t="s">
        <v>3774</v>
      </c>
      <c r="C522" s="39"/>
      <c r="D522" s="39">
        <v>2</v>
      </c>
      <c r="E522" s="1" t="s">
        <v>560</v>
      </c>
      <c r="F522" s="1" t="str">
        <f>VLOOKUP(E:E,Table10[[COUNTRY NAME]:[CONTINENT CODE]],3,FALSE)</f>
        <v>EU</v>
      </c>
      <c r="G522" s="156" t="s">
        <v>11729</v>
      </c>
      <c r="H522" s="8">
        <v>9271</v>
      </c>
      <c r="I522" s="41">
        <v>22.75</v>
      </c>
      <c r="J522" s="157"/>
      <c r="K522" s="6">
        <f>IFERROR(Table215[[#This Row],[ROUTE $]]/Table215[[#This Row],[E - DEMAND]],0)</f>
        <v>0</v>
      </c>
      <c r="L522" s="5"/>
      <c r="M522" s="39" t="e">
        <f>VLOOKUP(Table215[[#This Row],[ROUTE]],DEMAND!A:F,5,FALSE)</f>
        <v>#N/A</v>
      </c>
      <c r="N522" s="39" t="e">
        <f>VLOOKUP(Table215[[#This Row],[ROUTE]],DEMAND!A:F,6,FALSE)</f>
        <v>#N/A</v>
      </c>
      <c r="O522" s="39" t="e">
        <f>ROUNDDOWN(Table215[[#This Row],[R-DEMAND]]/1320,0)</f>
        <v>#N/A</v>
      </c>
      <c r="P522" s="41" t="e">
        <f>Table215[[#This Row],[ADD ACC]]*Table215[[#This Row],[RT TIME (744)]]</f>
        <v>#N/A</v>
      </c>
    </row>
    <row r="523" spans="1:16" ht="15" customHeight="1" x14ac:dyDescent="0.25">
      <c r="A523" s="38" t="s">
        <v>13951</v>
      </c>
      <c r="B523" s="39" t="s">
        <v>4178</v>
      </c>
      <c r="C523" s="39"/>
      <c r="D523" s="39">
        <v>2</v>
      </c>
      <c r="E523" s="143" t="s">
        <v>647</v>
      </c>
      <c r="F523" s="38" t="e">
        <f>VLOOKUP(E:E,Table10[[COUNTRY NAME]:[CONTINENT CODE]],3,FALSE)</f>
        <v>#N/A</v>
      </c>
      <c r="G523" s="155" t="s">
        <v>13285</v>
      </c>
      <c r="H523" s="40">
        <v>9350</v>
      </c>
      <c r="I523" s="41">
        <v>22.75</v>
      </c>
      <c r="J523" s="157"/>
      <c r="K523" s="42">
        <f>IFERROR(Table215[[#This Row],[ROUTE $]]/Table215[[#This Row],[E - DEMAND]],0)</f>
        <v>0</v>
      </c>
      <c r="L523" s="43"/>
      <c r="M523" s="39" t="e">
        <f>VLOOKUP(Table215[[#This Row],[ROUTE]],DEMAND!A:F,5,FALSE)</f>
        <v>#N/A</v>
      </c>
      <c r="N523" s="39" t="e">
        <f>VLOOKUP(Table215[[#This Row],[ROUTE]],DEMAND!A:F,6,FALSE)</f>
        <v>#N/A</v>
      </c>
      <c r="O523" s="39" t="e">
        <f>ROUNDDOWN(Table215[[#This Row],[R-DEMAND]]/1320,0)</f>
        <v>#N/A</v>
      </c>
      <c r="P523" s="41" t="e">
        <f>Table215[[#This Row],[ADD ACC]]*Table215[[#This Row],[RT TIME (744)]]</f>
        <v>#N/A</v>
      </c>
    </row>
    <row r="524" spans="1:16" ht="15" customHeight="1" x14ac:dyDescent="0.25">
      <c r="A524" s="38" t="s">
        <v>13953</v>
      </c>
      <c r="B524" s="39" t="s">
        <v>3672</v>
      </c>
      <c r="C524" s="39"/>
      <c r="D524" s="39">
        <v>2</v>
      </c>
      <c r="E524" s="143" t="s">
        <v>647</v>
      </c>
      <c r="F524" s="38" t="e">
        <f>VLOOKUP(E:E,Table10[[COUNTRY NAME]:[CONTINENT CODE]],3,FALSE)</f>
        <v>#N/A</v>
      </c>
      <c r="G524" s="155" t="s">
        <v>13287</v>
      </c>
      <c r="H524" s="40">
        <v>9300</v>
      </c>
      <c r="I524" s="41">
        <v>22.75</v>
      </c>
      <c r="J524" s="157"/>
      <c r="K524" s="42">
        <f>IFERROR(Table215[[#This Row],[ROUTE $]]/Table215[[#This Row],[E - DEMAND]],0)</f>
        <v>0</v>
      </c>
      <c r="L524" s="43"/>
      <c r="M524" s="39" t="e">
        <f>VLOOKUP(Table215[[#This Row],[ROUTE]],DEMAND!A:F,5,FALSE)</f>
        <v>#N/A</v>
      </c>
      <c r="N524" s="39" t="e">
        <f>VLOOKUP(Table215[[#This Row],[ROUTE]],DEMAND!A:F,6,FALSE)</f>
        <v>#N/A</v>
      </c>
      <c r="O524" s="39" t="e">
        <f>ROUNDDOWN(Table215[[#This Row],[R-DEMAND]]/1320,0)</f>
        <v>#N/A</v>
      </c>
      <c r="P524" s="41" t="e">
        <f>Table215[[#This Row],[ADD ACC]]*Table215[[#This Row],[RT TIME (744)]]</f>
        <v>#N/A</v>
      </c>
    </row>
    <row r="525" spans="1:16" ht="15" customHeight="1" x14ac:dyDescent="0.25">
      <c r="A525" s="38" t="s">
        <v>13952</v>
      </c>
      <c r="B525" s="39" t="s">
        <v>2599</v>
      </c>
      <c r="C525" s="39"/>
      <c r="D525" s="39">
        <v>2</v>
      </c>
      <c r="E525" s="143" t="s">
        <v>647</v>
      </c>
      <c r="F525" s="38" t="e">
        <f>VLOOKUP(E:E,Table10[[COUNTRY NAME]:[CONTINENT CODE]],3,FALSE)</f>
        <v>#N/A</v>
      </c>
      <c r="G525" s="155" t="s">
        <v>13286</v>
      </c>
      <c r="H525" s="40">
        <v>9333</v>
      </c>
      <c r="I525" s="41">
        <v>22.75</v>
      </c>
      <c r="J525" s="157"/>
      <c r="K525" s="42">
        <f>IFERROR(Table215[[#This Row],[ROUTE $]]/Table215[[#This Row],[E - DEMAND]],0)</f>
        <v>0</v>
      </c>
      <c r="L525" s="43"/>
      <c r="M525" s="39" t="e">
        <f>VLOOKUP(Table215[[#This Row],[ROUTE]],DEMAND!A:F,5,FALSE)</f>
        <v>#N/A</v>
      </c>
      <c r="N525" s="39" t="e">
        <f>VLOOKUP(Table215[[#This Row],[ROUTE]],DEMAND!A:F,6,FALSE)</f>
        <v>#N/A</v>
      </c>
      <c r="O525" s="39" t="e">
        <f>ROUNDDOWN(Table215[[#This Row],[R-DEMAND]]/1320,0)</f>
        <v>#N/A</v>
      </c>
      <c r="P525" s="41" t="e">
        <f>Table215[[#This Row],[ADD ACC]]*Table215[[#This Row],[RT TIME (744)]]</f>
        <v>#N/A</v>
      </c>
    </row>
    <row r="526" spans="1:16" ht="15" customHeight="1" x14ac:dyDescent="0.25">
      <c r="A526" s="38" t="s">
        <v>13950</v>
      </c>
      <c r="B526" s="39" t="s">
        <v>1505</v>
      </c>
      <c r="C526" s="39"/>
      <c r="D526" s="39">
        <v>1</v>
      </c>
      <c r="E526" s="143" t="s">
        <v>647</v>
      </c>
      <c r="F526" s="38" t="e">
        <f>VLOOKUP(E:E,Table10[[COUNTRY NAME]:[CONTINENT CODE]],3,FALSE)</f>
        <v>#N/A</v>
      </c>
      <c r="G526" s="155" t="s">
        <v>13284</v>
      </c>
      <c r="H526" s="40">
        <v>9365</v>
      </c>
      <c r="I526" s="41">
        <v>22.75</v>
      </c>
      <c r="J526" s="157"/>
      <c r="K526" s="42">
        <f>IFERROR(Table215[[#This Row],[ROUTE $]]/Table215[[#This Row],[E - DEMAND]],0)</f>
        <v>0</v>
      </c>
      <c r="L526" s="43"/>
      <c r="M526" s="39" t="e">
        <f>VLOOKUP(Table215[[#This Row],[ROUTE]],DEMAND!A:F,5,FALSE)</f>
        <v>#N/A</v>
      </c>
      <c r="N526" s="39" t="e">
        <f>VLOOKUP(Table215[[#This Row],[ROUTE]],DEMAND!A:F,6,FALSE)</f>
        <v>#N/A</v>
      </c>
      <c r="O526" s="39" t="e">
        <f>ROUNDDOWN(Table215[[#This Row],[R-DEMAND]]/1320,0)</f>
        <v>#N/A</v>
      </c>
      <c r="P526" s="41" t="e">
        <f>Table215[[#This Row],[ADD ACC]]*Table215[[#This Row],[RT TIME (744)]]</f>
        <v>#N/A</v>
      </c>
    </row>
    <row r="527" spans="1:16" ht="15" customHeight="1" x14ac:dyDescent="0.25">
      <c r="A527" s="38" t="s">
        <v>13499</v>
      </c>
      <c r="B527" s="39" t="s">
        <v>293</v>
      </c>
      <c r="C527" s="39"/>
      <c r="D527" s="39">
        <v>2</v>
      </c>
      <c r="E527" s="1" t="s">
        <v>1135</v>
      </c>
      <c r="F527" s="1" t="str">
        <f>VLOOKUP(E:E,Table10[[COUNTRY NAME]:[CONTINENT CODE]],3,FALSE)</f>
        <v>AF</v>
      </c>
      <c r="G527" s="156" t="s">
        <v>11960</v>
      </c>
      <c r="H527" s="8">
        <v>9476</v>
      </c>
      <c r="I527" s="41">
        <v>23</v>
      </c>
      <c r="J527" s="157"/>
      <c r="K527" s="6">
        <f>IFERROR(Table215[[#This Row],[ROUTE $]]/Table215[[#This Row],[E - DEMAND]],0)</f>
        <v>0</v>
      </c>
      <c r="L527" s="5"/>
      <c r="M527" s="39" t="e">
        <f>VLOOKUP(Table215[[#This Row],[ROUTE]],DEMAND!A:F,5,FALSE)</f>
        <v>#N/A</v>
      </c>
      <c r="N527" s="39" t="e">
        <f>VLOOKUP(Table215[[#This Row],[ROUTE]],DEMAND!A:F,6,FALSE)</f>
        <v>#N/A</v>
      </c>
      <c r="O527" s="39" t="e">
        <f>ROUNDDOWN(Table215[[#This Row],[R-DEMAND]]/1320,0)</f>
        <v>#N/A</v>
      </c>
      <c r="P527" s="41" t="e">
        <f>Table215[[#This Row],[ADD ACC]]*Table215[[#This Row],[RT TIME (744)]]</f>
        <v>#N/A</v>
      </c>
    </row>
    <row r="528" spans="1:16" ht="15" customHeight="1" x14ac:dyDescent="0.25">
      <c r="A528" s="38" t="s">
        <v>13556</v>
      </c>
      <c r="B528" s="39" t="s">
        <v>2154</v>
      </c>
      <c r="C528" s="39"/>
      <c r="D528" s="39">
        <v>1</v>
      </c>
      <c r="E528" s="1" t="s">
        <v>560</v>
      </c>
      <c r="F528" s="1" t="str">
        <f>VLOOKUP(E:E,Table10[[COUNTRY NAME]:[CONTINENT CODE]],3,FALSE)</f>
        <v>EU</v>
      </c>
      <c r="G528" s="159" t="s">
        <v>11725</v>
      </c>
      <c r="H528" s="8">
        <v>9473</v>
      </c>
      <c r="I528" s="41">
        <v>23</v>
      </c>
      <c r="J528" s="157"/>
      <c r="K528" s="6">
        <f>IFERROR(Table215[[#This Row],[ROUTE $]]/Table215[[#This Row],[E - DEMAND]],0)</f>
        <v>0</v>
      </c>
      <c r="L528" s="4"/>
      <c r="M528" s="39" t="e">
        <f>VLOOKUP(Table215[[#This Row],[ROUTE]],DEMAND!A:F,5,FALSE)</f>
        <v>#N/A</v>
      </c>
      <c r="N528" s="39" t="e">
        <f>VLOOKUP(Table215[[#This Row],[ROUTE]],DEMAND!A:F,6,FALSE)</f>
        <v>#N/A</v>
      </c>
      <c r="O528" s="39" t="e">
        <f>ROUNDDOWN(Table215[[#This Row],[R-DEMAND]]/1320,0)</f>
        <v>#N/A</v>
      </c>
      <c r="P528" s="41" t="e">
        <f>Table215[[#This Row],[ADD ACC]]*Table215[[#This Row],[RT TIME (744)]]</f>
        <v>#N/A</v>
      </c>
    </row>
    <row r="529" spans="1:16" ht="15" customHeight="1" x14ac:dyDescent="0.25">
      <c r="A529" s="38" t="s">
        <v>13640</v>
      </c>
      <c r="B529" s="39" t="s">
        <v>299</v>
      </c>
      <c r="C529" s="39"/>
      <c r="D529" s="39">
        <v>3</v>
      </c>
      <c r="E529" s="38" t="s">
        <v>308</v>
      </c>
      <c r="F529" s="38" t="str">
        <f>VLOOKUP(E:E,Table10[[COUNTRY NAME]:[CONTINENT CODE]],3,FALSE)</f>
        <v>EU</v>
      </c>
      <c r="G529" s="155" t="s">
        <v>11758</v>
      </c>
      <c r="H529" s="40">
        <v>9405</v>
      </c>
      <c r="I529" s="41">
        <v>23</v>
      </c>
      <c r="J529" s="157"/>
      <c r="K529" s="42">
        <f>IFERROR(Table215[[#This Row],[ROUTE $]]/Table215[[#This Row],[E - DEMAND]],0)</f>
        <v>0</v>
      </c>
      <c r="L529" s="43"/>
      <c r="M529" s="39" t="e">
        <f>VLOOKUP(Table215[[#This Row],[ROUTE]],DEMAND!A:F,5,FALSE)</f>
        <v>#N/A</v>
      </c>
      <c r="N529" s="39" t="e">
        <f>VLOOKUP(Table215[[#This Row],[ROUTE]],DEMAND!A:F,6,FALSE)</f>
        <v>#N/A</v>
      </c>
      <c r="O529" s="39" t="e">
        <f>ROUNDDOWN(Table215[[#This Row],[R-DEMAND]]/1320,0)</f>
        <v>#N/A</v>
      </c>
      <c r="P529" s="41" t="e">
        <f>Table215[[#This Row],[ADD ACC]]*Table215[[#This Row],[RT TIME (744)]]</f>
        <v>#N/A</v>
      </c>
    </row>
    <row r="530" spans="1:16" ht="15" customHeight="1" x14ac:dyDescent="0.25">
      <c r="A530" s="38" t="s">
        <v>13641</v>
      </c>
      <c r="B530" s="39" t="s">
        <v>5236</v>
      </c>
      <c r="C530" s="39"/>
      <c r="D530" s="39">
        <v>3</v>
      </c>
      <c r="E530" s="38" t="s">
        <v>308</v>
      </c>
      <c r="F530" s="38" t="str">
        <f>VLOOKUP(E:E,Table10[[COUNTRY NAME]:[CONTINENT CODE]],3,FALSE)</f>
        <v>EU</v>
      </c>
      <c r="G530" s="155" t="s">
        <v>11744</v>
      </c>
      <c r="H530" s="40">
        <v>9392</v>
      </c>
      <c r="I530" s="41">
        <v>23</v>
      </c>
      <c r="J530" s="157"/>
      <c r="K530" s="42">
        <f>IFERROR(Table215[[#This Row],[ROUTE $]]/Table215[[#This Row],[E - DEMAND]],0)</f>
        <v>0</v>
      </c>
      <c r="L530" s="43"/>
      <c r="M530" s="39" t="e">
        <f>VLOOKUP(Table215[[#This Row],[ROUTE]],DEMAND!A:F,5,FALSE)</f>
        <v>#N/A</v>
      </c>
      <c r="N530" s="39" t="e">
        <f>VLOOKUP(Table215[[#This Row],[ROUTE]],DEMAND!A:F,6,FALSE)</f>
        <v>#N/A</v>
      </c>
      <c r="O530" s="39" t="e">
        <f>ROUNDDOWN(Table215[[#This Row],[R-DEMAND]]/1320,0)</f>
        <v>#N/A</v>
      </c>
      <c r="P530" s="41" t="e">
        <f>Table215[[#This Row],[ADD ACC]]*Table215[[#This Row],[RT TIME (744)]]</f>
        <v>#N/A</v>
      </c>
    </row>
    <row r="531" spans="1:16" ht="15" customHeight="1" x14ac:dyDescent="0.25">
      <c r="A531" s="38" t="s">
        <v>13948</v>
      </c>
      <c r="B531" s="39" t="s">
        <v>3217</v>
      </c>
      <c r="C531" s="39"/>
      <c r="D531" s="39">
        <v>2</v>
      </c>
      <c r="E531" s="143" t="s">
        <v>647</v>
      </c>
      <c r="F531" s="38" t="e">
        <f>VLOOKUP(E:E,Table10[[COUNTRY NAME]:[CONTINENT CODE]],3,FALSE)</f>
        <v>#N/A</v>
      </c>
      <c r="G531" s="155" t="s">
        <v>13282</v>
      </c>
      <c r="H531" s="40">
        <v>9399</v>
      </c>
      <c r="I531" s="41">
        <v>23</v>
      </c>
      <c r="J531" s="157"/>
      <c r="K531" s="42">
        <f>IFERROR(Table215[[#This Row],[ROUTE $]]/Table215[[#This Row],[E - DEMAND]],0)</f>
        <v>0</v>
      </c>
      <c r="L531" s="43"/>
      <c r="M531" s="39" t="e">
        <f>VLOOKUP(Table215[[#This Row],[ROUTE]],DEMAND!A:F,5,FALSE)</f>
        <v>#N/A</v>
      </c>
      <c r="N531" s="39" t="e">
        <f>VLOOKUP(Table215[[#This Row],[ROUTE]],DEMAND!A:F,6,FALSE)</f>
        <v>#N/A</v>
      </c>
      <c r="O531" s="39" t="e">
        <f>ROUNDDOWN(Table215[[#This Row],[R-DEMAND]]/1320,0)</f>
        <v>#N/A</v>
      </c>
      <c r="P531" s="41" t="e">
        <f>Table215[[#This Row],[ADD ACC]]*Table215[[#This Row],[RT TIME (744)]]</f>
        <v>#N/A</v>
      </c>
    </row>
    <row r="532" spans="1:16" ht="15" customHeight="1" x14ac:dyDescent="0.25">
      <c r="A532" s="38" t="s">
        <v>13664</v>
      </c>
      <c r="B532" s="39" t="s">
        <v>4211</v>
      </c>
      <c r="C532" s="39"/>
      <c r="D532" s="39">
        <v>2</v>
      </c>
      <c r="E532" s="38" t="s">
        <v>938</v>
      </c>
      <c r="F532" s="38" t="str">
        <f>VLOOKUP(E:E,Table10[[COUNTRY NAME]:[CONTINENT CODE]],3,FALSE)</f>
        <v>AF</v>
      </c>
      <c r="G532" s="155" t="s">
        <v>11975</v>
      </c>
      <c r="H532" s="40">
        <v>9574</v>
      </c>
      <c r="I532" s="41">
        <v>23.25</v>
      </c>
      <c r="J532" s="157"/>
      <c r="K532" s="42">
        <f>IFERROR(Table215[[#This Row],[ROUTE $]]/Table215[[#This Row],[E - DEMAND]],0)</f>
        <v>0</v>
      </c>
      <c r="L532" s="43"/>
      <c r="M532" s="39" t="e">
        <f>VLOOKUP(Table215[[#This Row],[ROUTE]],DEMAND!A:F,5,FALSE)</f>
        <v>#N/A</v>
      </c>
      <c r="N532" s="39" t="e">
        <f>VLOOKUP(Table215[[#This Row],[ROUTE]],DEMAND!A:F,6,FALSE)</f>
        <v>#N/A</v>
      </c>
      <c r="O532" s="39" t="e">
        <f>ROUNDDOWN(Table215[[#This Row],[R-DEMAND]]/1320,0)</f>
        <v>#N/A</v>
      </c>
      <c r="P532" s="41" t="e">
        <f>Table215[[#This Row],[ADD ACC]]*Table215[[#This Row],[RT TIME (744)]]</f>
        <v>#N/A</v>
      </c>
    </row>
    <row r="533" spans="1:16" ht="15" customHeight="1" x14ac:dyDescent="0.25">
      <c r="A533" s="38" t="s">
        <v>13555</v>
      </c>
      <c r="B533" s="39" t="s">
        <v>4671</v>
      </c>
      <c r="C533" s="39"/>
      <c r="D533" s="39">
        <v>2</v>
      </c>
      <c r="E533" s="1" t="s">
        <v>560</v>
      </c>
      <c r="F533" s="1" t="str">
        <f>VLOOKUP(E:E,Table10[[COUNTRY NAME]:[CONTINENT CODE]],3,FALSE)</f>
        <v>EU</v>
      </c>
      <c r="G533" s="160" t="s">
        <v>11724</v>
      </c>
      <c r="H533" s="40">
        <v>9557</v>
      </c>
      <c r="I533" s="41">
        <v>23.25</v>
      </c>
      <c r="J533" s="157"/>
      <c r="K533" s="42">
        <f>IFERROR(Table215[[#This Row],[ROUTE $]]/Table215[[#This Row],[E - DEMAND]],0)</f>
        <v>0</v>
      </c>
      <c r="L533" s="43"/>
      <c r="M533" s="39" t="e">
        <f>VLOOKUP(Table215[[#This Row],[ROUTE]],DEMAND!A:F,5,FALSE)</f>
        <v>#N/A</v>
      </c>
      <c r="N533" s="39" t="e">
        <f>VLOOKUP(Table215[[#This Row],[ROUTE]],DEMAND!A:F,6,FALSE)</f>
        <v>#N/A</v>
      </c>
      <c r="O533" s="39" t="e">
        <f>ROUNDDOWN(Table215[[#This Row],[R-DEMAND]]/1320,0)</f>
        <v>#N/A</v>
      </c>
      <c r="P533" s="41" t="e">
        <f>Table215[[#This Row],[ADD ACC]]*Table215[[#This Row],[RT TIME (744)]]</f>
        <v>#N/A</v>
      </c>
    </row>
    <row r="534" spans="1:16" ht="15" customHeight="1" x14ac:dyDescent="0.25">
      <c r="A534" s="38" t="s">
        <v>13477</v>
      </c>
      <c r="B534" s="39" t="s">
        <v>5240</v>
      </c>
      <c r="C534" s="39"/>
      <c r="D534" s="39">
        <v>3</v>
      </c>
      <c r="E534" s="1" t="s">
        <v>514</v>
      </c>
      <c r="F534" s="1" t="str">
        <f>VLOOKUP(E:E,Table10[[COUNTRY NAME]:[CONTINENT CODE]],3,FALSE)</f>
        <v>NA</v>
      </c>
      <c r="G534" s="156" t="s">
        <v>13166</v>
      </c>
      <c r="H534" s="8">
        <v>9567</v>
      </c>
      <c r="I534" s="41">
        <v>23.25</v>
      </c>
      <c r="J534" s="157"/>
      <c r="K534" s="6">
        <f>IFERROR(Table215[[#This Row],[ROUTE $]]/Table215[[#This Row],[E - DEMAND]],0)</f>
        <v>0</v>
      </c>
      <c r="L534" s="4"/>
      <c r="M534" s="39" t="e">
        <f>VLOOKUP(Table215[[#This Row],[ROUTE]],DEMAND!A:F,5,FALSE)</f>
        <v>#N/A</v>
      </c>
      <c r="N534" s="39" t="e">
        <f>VLOOKUP(Table215[[#This Row],[ROUTE]],DEMAND!A:F,6,FALSE)</f>
        <v>#N/A</v>
      </c>
      <c r="O534" s="39" t="e">
        <f>ROUNDDOWN(Table215[[#This Row],[R-DEMAND]]/1320,0)</f>
        <v>#N/A</v>
      </c>
      <c r="P534" s="41" t="e">
        <f>Table215[[#This Row],[ADD ACC]]*Table215[[#This Row],[RT TIME (744)]]</f>
        <v>#N/A</v>
      </c>
    </row>
    <row r="535" spans="1:16" ht="15" customHeight="1" x14ac:dyDescent="0.25">
      <c r="A535" s="38" t="s">
        <v>13634</v>
      </c>
      <c r="B535" s="39" t="s">
        <v>3127</v>
      </c>
      <c r="C535" s="39"/>
      <c r="D535" s="39">
        <v>2</v>
      </c>
      <c r="E535" s="38" t="s">
        <v>308</v>
      </c>
      <c r="F535" s="38" t="str">
        <f>VLOOKUP(E:E,Table10[[COUNTRY NAME]:[CONTINENT CODE]],3,FALSE)</f>
        <v>EU</v>
      </c>
      <c r="G535" s="155" t="s">
        <v>11768</v>
      </c>
      <c r="H535" s="40">
        <v>9568</v>
      </c>
      <c r="I535" s="41">
        <v>23.25</v>
      </c>
      <c r="J535" s="157"/>
      <c r="K535" s="42">
        <f>IFERROR(Table215[[#This Row],[ROUTE $]]/Table215[[#This Row],[E - DEMAND]],0)</f>
        <v>0</v>
      </c>
      <c r="L535" s="43"/>
      <c r="M535" s="39" t="e">
        <f>VLOOKUP(Table215[[#This Row],[ROUTE]],DEMAND!A:F,5,FALSE)</f>
        <v>#N/A</v>
      </c>
      <c r="N535" s="39" t="e">
        <f>VLOOKUP(Table215[[#This Row],[ROUTE]],DEMAND!A:F,6,FALSE)</f>
        <v>#N/A</v>
      </c>
      <c r="O535" s="39" t="e">
        <f>ROUNDDOWN(Table215[[#This Row],[R-DEMAND]]/1320,0)</f>
        <v>#N/A</v>
      </c>
      <c r="P535" s="41" t="e">
        <f>Table215[[#This Row],[ADD ACC]]*Table215[[#This Row],[RT TIME (744)]]</f>
        <v>#N/A</v>
      </c>
    </row>
    <row r="536" spans="1:16" ht="15" customHeight="1" x14ac:dyDescent="0.25">
      <c r="A536" s="38" t="s">
        <v>13554</v>
      </c>
      <c r="B536" s="39" t="s">
        <v>5350</v>
      </c>
      <c r="C536" s="39"/>
      <c r="D536" s="39">
        <v>3</v>
      </c>
      <c r="E536" s="1" t="s">
        <v>560</v>
      </c>
      <c r="F536" s="1" t="str">
        <f>VLOOKUP(E:E,Table10[[COUNTRY NAME]:[CONTINENT CODE]],3,FALSE)</f>
        <v>EU</v>
      </c>
      <c r="G536" s="159" t="s">
        <v>11747</v>
      </c>
      <c r="H536" s="8">
        <v>9563</v>
      </c>
      <c r="I536" s="41">
        <v>23.25</v>
      </c>
      <c r="J536" s="157"/>
      <c r="K536" s="6">
        <f>IFERROR(Table215[[#This Row],[ROUTE $]]/Table215[[#This Row],[E - DEMAND]],0)</f>
        <v>0</v>
      </c>
      <c r="L536" s="4"/>
      <c r="M536" s="39" t="e">
        <f>VLOOKUP(Table215[[#This Row],[ROUTE]],DEMAND!A:F,5,FALSE)</f>
        <v>#N/A</v>
      </c>
      <c r="N536" s="39" t="e">
        <f>VLOOKUP(Table215[[#This Row],[ROUTE]],DEMAND!A:F,6,FALSE)</f>
        <v>#N/A</v>
      </c>
      <c r="O536" s="39" t="e">
        <f>ROUNDDOWN(Table215[[#This Row],[R-DEMAND]]/1320,0)</f>
        <v>#N/A</v>
      </c>
      <c r="P536" s="41" t="e">
        <f>Table215[[#This Row],[ADD ACC]]*Table215[[#This Row],[RT TIME (744)]]</f>
        <v>#N/A</v>
      </c>
    </row>
    <row r="537" spans="1:16" ht="15" customHeight="1" x14ac:dyDescent="0.25">
      <c r="A537" s="38" t="s">
        <v>13846</v>
      </c>
      <c r="B537" s="39" t="s">
        <v>397</v>
      </c>
      <c r="C537" s="39"/>
      <c r="D537" s="39">
        <v>3</v>
      </c>
      <c r="E537" s="38" t="s">
        <v>1674</v>
      </c>
      <c r="F537" s="38" t="str">
        <f>VLOOKUP(E:E,Table10[[COUNTRY NAME]:[CONTINENT CODE]],3,FALSE)</f>
        <v>EU</v>
      </c>
      <c r="G537" s="155" t="s">
        <v>11746</v>
      </c>
      <c r="H537" s="40">
        <v>9563</v>
      </c>
      <c r="I537" s="41">
        <v>23.25</v>
      </c>
      <c r="J537" s="157"/>
      <c r="K537" s="42">
        <f>IFERROR(Table215[[#This Row],[ROUTE $]]/Table215[[#This Row],[E - DEMAND]],0)</f>
        <v>0</v>
      </c>
      <c r="L537" s="43"/>
      <c r="M537" s="39" t="e">
        <f>VLOOKUP(Table215[[#This Row],[ROUTE]],DEMAND!A:F,5,FALSE)</f>
        <v>#N/A</v>
      </c>
      <c r="N537" s="39" t="e">
        <f>VLOOKUP(Table215[[#This Row],[ROUTE]],DEMAND!A:F,6,FALSE)</f>
        <v>#N/A</v>
      </c>
      <c r="O537" s="39" t="e">
        <f>ROUNDDOWN(Table215[[#This Row],[R-DEMAND]]/1320,0)</f>
        <v>#N/A</v>
      </c>
      <c r="P537" s="41" t="e">
        <f>Table215[[#This Row],[ADD ACC]]*Table215[[#This Row],[RT TIME (744)]]</f>
        <v>#N/A</v>
      </c>
    </row>
    <row r="538" spans="1:16" ht="15" customHeight="1" x14ac:dyDescent="0.25">
      <c r="A538" s="38" t="s">
        <v>13907</v>
      </c>
      <c r="B538" s="39" t="s">
        <v>847</v>
      </c>
      <c r="C538" s="39"/>
      <c r="D538" s="39">
        <v>1</v>
      </c>
      <c r="E538" s="38" t="s">
        <v>83</v>
      </c>
      <c r="F538" s="38" t="str">
        <f>VLOOKUP(E:E,Table10[[COUNTRY NAME]:[CONTINENT CODE]],3,FALSE)</f>
        <v>EU</v>
      </c>
      <c r="G538" s="155" t="s">
        <v>10413</v>
      </c>
      <c r="H538" s="40">
        <v>9585</v>
      </c>
      <c r="I538" s="41">
        <v>23.25</v>
      </c>
      <c r="J538" s="157"/>
      <c r="K538" s="42">
        <f>IFERROR(Table215[[#This Row],[ROUTE $]]/Table215[[#This Row],[E - DEMAND]],0)</f>
        <v>0</v>
      </c>
      <c r="L538" s="43"/>
      <c r="M538" s="39" t="e">
        <f>VLOOKUP(Table215[[#This Row],[ROUTE]],DEMAND!A:F,5,FALSE)</f>
        <v>#N/A</v>
      </c>
      <c r="N538" s="39" t="e">
        <f>VLOOKUP(Table215[[#This Row],[ROUTE]],DEMAND!A:F,6,FALSE)</f>
        <v>#N/A</v>
      </c>
      <c r="O538" s="39" t="e">
        <f>ROUNDDOWN(Table215[[#This Row],[R-DEMAND]]/1320,0)</f>
        <v>#N/A</v>
      </c>
      <c r="P538" s="41" t="e">
        <f>Table215[[#This Row],[ADD ACC]]*Table215[[#This Row],[RT TIME (744)]]</f>
        <v>#N/A</v>
      </c>
    </row>
    <row r="539" spans="1:16" ht="15" customHeight="1" x14ac:dyDescent="0.25">
      <c r="A539" s="38" t="s">
        <v>13910</v>
      </c>
      <c r="B539" s="39" t="s">
        <v>1199</v>
      </c>
      <c r="C539" s="39"/>
      <c r="D539" s="39">
        <v>1</v>
      </c>
      <c r="E539" s="38" t="s">
        <v>83</v>
      </c>
      <c r="F539" s="38" t="str">
        <f>VLOOKUP(E:E,Table10[[COUNTRY NAME]:[CONTINENT CODE]],3,FALSE)</f>
        <v>EU</v>
      </c>
      <c r="G539" s="155" t="s">
        <v>11720</v>
      </c>
      <c r="H539" s="40">
        <v>9535</v>
      </c>
      <c r="I539" s="41">
        <v>23.25</v>
      </c>
      <c r="J539" s="157"/>
      <c r="K539" s="42">
        <f>IFERROR(Table215[[#This Row],[ROUTE $]]/Table215[[#This Row],[E - DEMAND]],0)</f>
        <v>0</v>
      </c>
      <c r="L539" s="43"/>
      <c r="M539" s="39" t="e">
        <f>VLOOKUP(Table215[[#This Row],[ROUTE]],DEMAND!A:F,5,FALSE)</f>
        <v>#N/A</v>
      </c>
      <c r="N539" s="39" t="e">
        <f>VLOOKUP(Table215[[#This Row],[ROUTE]],DEMAND!A:F,6,FALSE)</f>
        <v>#N/A</v>
      </c>
      <c r="O539" s="39" t="e">
        <f>ROUNDDOWN(Table215[[#This Row],[R-DEMAND]]/1320,0)</f>
        <v>#N/A</v>
      </c>
      <c r="P539" s="41" t="e">
        <f>Table215[[#This Row],[ADD ACC]]*Table215[[#This Row],[RT TIME (744)]]</f>
        <v>#N/A</v>
      </c>
    </row>
    <row r="540" spans="1:16" ht="15" customHeight="1" x14ac:dyDescent="0.25">
      <c r="A540" s="38" t="s">
        <v>13944</v>
      </c>
      <c r="B540" s="39" t="s">
        <v>3035</v>
      </c>
      <c r="C540" s="39"/>
      <c r="D540" s="39">
        <v>2</v>
      </c>
      <c r="E540" s="143" t="s">
        <v>647</v>
      </c>
      <c r="F540" s="38" t="e">
        <f>VLOOKUP(E:E,Table10[[COUNTRY NAME]:[CONTINENT CODE]],3,FALSE)</f>
        <v>#N/A</v>
      </c>
      <c r="G540" s="155" t="s">
        <v>13278</v>
      </c>
      <c r="H540" s="40">
        <v>9593</v>
      </c>
      <c r="I540" s="41">
        <v>23.25</v>
      </c>
      <c r="J540" s="157"/>
      <c r="K540" s="42">
        <f>IFERROR(Table215[[#This Row],[ROUTE $]]/Table215[[#This Row],[E - DEMAND]],0)</f>
        <v>0</v>
      </c>
      <c r="L540" s="43"/>
      <c r="M540" s="39" t="e">
        <f>VLOOKUP(Table215[[#This Row],[ROUTE]],DEMAND!A:F,5,FALSE)</f>
        <v>#N/A</v>
      </c>
      <c r="N540" s="39" t="e">
        <f>VLOOKUP(Table215[[#This Row],[ROUTE]],DEMAND!A:F,6,FALSE)</f>
        <v>#N/A</v>
      </c>
      <c r="O540" s="39" t="e">
        <f>ROUNDDOWN(Table215[[#This Row],[R-DEMAND]]/1320,0)</f>
        <v>#N/A</v>
      </c>
      <c r="P540" s="41" t="e">
        <f>Table215[[#This Row],[ADD ACC]]*Table215[[#This Row],[RT TIME (744)]]</f>
        <v>#N/A</v>
      </c>
    </row>
    <row r="541" spans="1:16" ht="15" customHeight="1" x14ac:dyDescent="0.25">
      <c r="A541" s="38" t="s">
        <v>13946</v>
      </c>
      <c r="B541" s="39" t="s">
        <v>4005</v>
      </c>
      <c r="C541" s="39"/>
      <c r="D541" s="39">
        <v>2</v>
      </c>
      <c r="E541" s="143" t="s">
        <v>647</v>
      </c>
      <c r="F541" s="38" t="e">
        <f>VLOOKUP(E:E,Table10[[COUNTRY NAME]:[CONTINENT CODE]],3,FALSE)</f>
        <v>#N/A</v>
      </c>
      <c r="G541" s="155" t="s">
        <v>13280</v>
      </c>
      <c r="H541" s="40">
        <v>9483</v>
      </c>
      <c r="I541" s="41">
        <v>23.25</v>
      </c>
      <c r="J541" s="157"/>
      <c r="K541" s="42">
        <f>IFERROR(Table215[[#This Row],[ROUTE $]]/Table215[[#This Row],[E - DEMAND]],0)</f>
        <v>0</v>
      </c>
      <c r="L541" s="43"/>
      <c r="M541" s="39" t="e">
        <f>VLOOKUP(Table215[[#This Row],[ROUTE]],DEMAND!A:F,5,FALSE)</f>
        <v>#N/A</v>
      </c>
      <c r="N541" s="39" t="e">
        <f>VLOOKUP(Table215[[#This Row],[ROUTE]],DEMAND!A:F,6,FALSE)</f>
        <v>#N/A</v>
      </c>
      <c r="O541" s="39" t="e">
        <f>ROUNDDOWN(Table215[[#This Row],[R-DEMAND]]/1320,0)</f>
        <v>#N/A</v>
      </c>
      <c r="P541" s="41" t="e">
        <f>Table215[[#This Row],[ADD ACC]]*Table215[[#This Row],[RT TIME (744)]]</f>
        <v>#N/A</v>
      </c>
    </row>
    <row r="542" spans="1:16" ht="15" customHeight="1" x14ac:dyDescent="0.25">
      <c r="A542" s="38" t="s">
        <v>13947</v>
      </c>
      <c r="B542" s="39" t="s">
        <v>3532</v>
      </c>
      <c r="C542" s="39"/>
      <c r="D542" s="39">
        <v>2</v>
      </c>
      <c r="E542" s="143" t="s">
        <v>647</v>
      </c>
      <c r="F542" s="38" t="e">
        <f>VLOOKUP(E:E,Table10[[COUNTRY NAME]:[CONTINENT CODE]],3,FALSE)</f>
        <v>#N/A</v>
      </c>
      <c r="G542" s="155" t="s">
        <v>13281</v>
      </c>
      <c r="H542" s="40">
        <v>9482</v>
      </c>
      <c r="I542" s="41">
        <v>23.25</v>
      </c>
      <c r="J542" s="157"/>
      <c r="K542" s="42">
        <f>IFERROR(Table215[[#This Row],[ROUTE $]]/Table215[[#This Row],[E - DEMAND]],0)</f>
        <v>0</v>
      </c>
      <c r="L542" s="43"/>
      <c r="M542" s="39" t="e">
        <f>VLOOKUP(Table215[[#This Row],[ROUTE]],DEMAND!A:F,5,FALSE)</f>
        <v>#N/A</v>
      </c>
      <c r="N542" s="39" t="e">
        <f>VLOOKUP(Table215[[#This Row],[ROUTE]],DEMAND!A:F,6,FALSE)</f>
        <v>#N/A</v>
      </c>
      <c r="O542" s="39" t="e">
        <f>ROUNDDOWN(Table215[[#This Row],[R-DEMAND]]/1320,0)</f>
        <v>#N/A</v>
      </c>
      <c r="P542" s="41" t="e">
        <f>Table215[[#This Row],[ADD ACC]]*Table215[[#This Row],[RT TIME (744)]]</f>
        <v>#N/A</v>
      </c>
    </row>
    <row r="543" spans="1:16" ht="15" customHeight="1" x14ac:dyDescent="0.25">
      <c r="A543" s="38" t="s">
        <v>13945</v>
      </c>
      <c r="B543" s="39" t="s">
        <v>3091</v>
      </c>
      <c r="C543" s="39"/>
      <c r="D543" s="39">
        <v>2</v>
      </c>
      <c r="E543" s="143" t="s">
        <v>647</v>
      </c>
      <c r="F543" s="38" t="e">
        <f>VLOOKUP(E:E,Table10[[COUNTRY NAME]:[CONTINENT CODE]],3,FALSE)</f>
        <v>#N/A</v>
      </c>
      <c r="G543" s="155" t="s">
        <v>13279</v>
      </c>
      <c r="H543" s="40">
        <v>9544</v>
      </c>
      <c r="I543" s="41">
        <v>23.25</v>
      </c>
      <c r="J543" s="157"/>
      <c r="K543" s="42">
        <f>IFERROR(Table215[[#This Row],[ROUTE $]]/Table215[[#This Row],[E - DEMAND]],0)</f>
        <v>0</v>
      </c>
      <c r="L543" s="43"/>
      <c r="M543" s="39" t="e">
        <f>VLOOKUP(Table215[[#This Row],[ROUTE]],DEMAND!A:F,5,FALSE)</f>
        <v>#N/A</v>
      </c>
      <c r="N543" s="39" t="e">
        <f>VLOOKUP(Table215[[#This Row],[ROUTE]],DEMAND!A:F,6,FALSE)</f>
        <v>#N/A</v>
      </c>
      <c r="O543" s="39" t="e">
        <f>ROUNDDOWN(Table215[[#This Row],[R-DEMAND]]/1320,0)</f>
        <v>#N/A</v>
      </c>
      <c r="P543" s="41" t="e">
        <f>Table215[[#This Row],[ADD ACC]]*Table215[[#This Row],[RT TIME (744)]]</f>
        <v>#N/A</v>
      </c>
    </row>
    <row r="544" spans="1:16" ht="15" customHeight="1" x14ac:dyDescent="0.25">
      <c r="A544" s="38" t="s">
        <v>13442</v>
      </c>
      <c r="B544" s="39" t="s">
        <v>3929</v>
      </c>
      <c r="C544" s="39"/>
      <c r="D544" s="39">
        <v>2</v>
      </c>
      <c r="E544" s="1" t="s">
        <v>3180</v>
      </c>
      <c r="F544" s="1" t="str">
        <f>VLOOKUP(E:E,Table10[[COUNTRY NAME]:[CONTINENT CODE]],3,FALSE)</f>
        <v>EU</v>
      </c>
      <c r="G544" s="156" t="s">
        <v>11735</v>
      </c>
      <c r="H544" s="8">
        <v>9681</v>
      </c>
      <c r="I544" s="41">
        <v>23.5</v>
      </c>
      <c r="J544" s="157"/>
      <c r="K544" s="6">
        <f>IFERROR(Table215[[#This Row],[ROUTE $]]/Table215[[#This Row],[E - DEMAND]],0)</f>
        <v>0</v>
      </c>
      <c r="L544" s="4"/>
      <c r="M544" s="39" t="e">
        <f>VLOOKUP(Table215[[#This Row],[ROUTE]],DEMAND!A:F,5,FALSE)</f>
        <v>#N/A</v>
      </c>
      <c r="N544" s="39" t="e">
        <f>VLOOKUP(Table215[[#This Row],[ROUTE]],DEMAND!A:F,6,FALSE)</f>
        <v>#N/A</v>
      </c>
      <c r="O544" s="39" t="e">
        <f>ROUNDDOWN(Table215[[#This Row],[R-DEMAND]]/1320,0)</f>
        <v>#N/A</v>
      </c>
      <c r="P544" s="41" t="e">
        <f>Table215[[#This Row],[ADD ACC]]*Table215[[#This Row],[RT TIME (744)]]</f>
        <v>#N/A</v>
      </c>
    </row>
    <row r="545" spans="1:16" ht="15" customHeight="1" x14ac:dyDescent="0.25">
      <c r="A545" s="38" t="s">
        <v>13444</v>
      </c>
      <c r="B545" s="39" t="s">
        <v>3311</v>
      </c>
      <c r="C545" s="39"/>
      <c r="D545" s="39">
        <v>2</v>
      </c>
      <c r="E545" s="1" t="s">
        <v>3180</v>
      </c>
      <c r="F545" s="1" t="str">
        <f>VLOOKUP(E:E,Table10[[COUNTRY NAME]:[CONTINENT CODE]],3,FALSE)</f>
        <v>EU</v>
      </c>
      <c r="G545" s="156" t="s">
        <v>11723</v>
      </c>
      <c r="H545" s="8">
        <v>9597</v>
      </c>
      <c r="I545" s="41">
        <v>23.5</v>
      </c>
      <c r="J545" s="157"/>
      <c r="K545" s="6">
        <f>IFERROR(Table215[[#This Row],[ROUTE $]]/Table215[[#This Row],[E - DEMAND]],0)</f>
        <v>0</v>
      </c>
      <c r="L545" s="5"/>
      <c r="M545" s="39" t="e">
        <f>VLOOKUP(Table215[[#This Row],[ROUTE]],DEMAND!A:F,5,FALSE)</f>
        <v>#N/A</v>
      </c>
      <c r="N545" s="39" t="e">
        <f>VLOOKUP(Table215[[#This Row],[ROUTE]],DEMAND!A:F,6,FALSE)</f>
        <v>#N/A</v>
      </c>
      <c r="O545" s="39" t="e">
        <f>ROUNDDOWN(Table215[[#This Row],[R-DEMAND]]/1320,0)</f>
        <v>#N/A</v>
      </c>
      <c r="P545" s="41" t="e">
        <f>Table215[[#This Row],[ADD ACC]]*Table215[[#This Row],[RT TIME (744)]]</f>
        <v>#N/A</v>
      </c>
    </row>
    <row r="546" spans="1:16" ht="15" customHeight="1" x14ac:dyDescent="0.25">
      <c r="A546" s="38" t="s">
        <v>13553</v>
      </c>
      <c r="B546" s="39" t="s">
        <v>3607</v>
      </c>
      <c r="C546" s="39"/>
      <c r="D546" s="39">
        <v>2</v>
      </c>
      <c r="E546" s="1" t="s">
        <v>560</v>
      </c>
      <c r="F546" s="1" t="str">
        <f>VLOOKUP(E:E,Table10[[COUNTRY NAME]:[CONTINENT CODE]],3,FALSE)</f>
        <v>EU</v>
      </c>
      <c r="G546" s="156" t="s">
        <v>11740</v>
      </c>
      <c r="H546" s="8">
        <v>9597</v>
      </c>
      <c r="I546" s="41">
        <v>23.5</v>
      </c>
      <c r="J546" s="157"/>
      <c r="K546" s="6">
        <f>IFERROR(Table215[[#This Row],[ROUTE $]]/Table215[[#This Row],[E - DEMAND]],0)</f>
        <v>0</v>
      </c>
      <c r="L546" s="4"/>
      <c r="M546" s="39" t="e">
        <f>VLOOKUP(Table215[[#This Row],[ROUTE]],DEMAND!A:F,5,FALSE)</f>
        <v>#N/A</v>
      </c>
      <c r="N546" s="39" t="e">
        <f>VLOOKUP(Table215[[#This Row],[ROUTE]],DEMAND!A:F,6,FALSE)</f>
        <v>#N/A</v>
      </c>
      <c r="O546" s="39" t="e">
        <f>ROUNDDOWN(Table215[[#This Row],[R-DEMAND]]/1320,0)</f>
        <v>#N/A</v>
      </c>
      <c r="P546" s="41" t="e">
        <f>Table215[[#This Row],[ADD ACC]]*Table215[[#This Row],[RT TIME (744)]]</f>
        <v>#N/A</v>
      </c>
    </row>
    <row r="547" spans="1:16" ht="15" customHeight="1" x14ac:dyDescent="0.25">
      <c r="A547" s="38" t="s">
        <v>13588</v>
      </c>
      <c r="B547" s="39" t="s">
        <v>4661</v>
      </c>
      <c r="C547" s="39"/>
      <c r="D547" s="39">
        <v>2</v>
      </c>
      <c r="E547" s="1" t="s">
        <v>1427</v>
      </c>
      <c r="F547" s="1" t="str">
        <f>VLOOKUP(E:E,Table10[[COUNTRY NAME]:[CONTINENT CODE]],3,FALSE)</f>
        <v>EU</v>
      </c>
      <c r="G547" s="156" t="s">
        <v>11752</v>
      </c>
      <c r="H547" s="8">
        <v>9681</v>
      </c>
      <c r="I547" s="41">
        <v>23.5</v>
      </c>
      <c r="J547" s="157"/>
      <c r="K547" s="6">
        <f>IFERROR(Table215[[#This Row],[ROUTE $]]/Table215[[#This Row],[E - DEMAND]],0)</f>
        <v>0</v>
      </c>
      <c r="L547" s="4"/>
      <c r="M547" s="39" t="e">
        <f>VLOOKUP(Table215[[#This Row],[ROUTE]],DEMAND!A:F,5,FALSE)</f>
        <v>#N/A</v>
      </c>
      <c r="N547" s="39" t="e">
        <f>VLOOKUP(Table215[[#This Row],[ROUTE]],DEMAND!A:F,6,FALSE)</f>
        <v>#N/A</v>
      </c>
      <c r="O547" s="39" t="e">
        <f>ROUNDDOWN(Table215[[#This Row],[R-DEMAND]]/1320,0)</f>
        <v>#N/A</v>
      </c>
      <c r="P547" s="41" t="e">
        <f>Table215[[#This Row],[ADD ACC]]*Table215[[#This Row],[RT TIME (744)]]</f>
        <v>#N/A</v>
      </c>
    </row>
    <row r="548" spans="1:16" ht="15" customHeight="1" x14ac:dyDescent="0.25">
      <c r="A548" s="38" t="s">
        <v>13589</v>
      </c>
      <c r="B548" s="39" t="s">
        <v>3638</v>
      </c>
      <c r="C548" s="39"/>
      <c r="D548" s="39">
        <v>2</v>
      </c>
      <c r="E548" s="1" t="s">
        <v>1427</v>
      </c>
      <c r="F548" s="1" t="str">
        <f>VLOOKUP(E:E,Table10[[COUNTRY NAME]:[CONTINENT CODE]],3,FALSE)</f>
        <v>EU</v>
      </c>
      <c r="G548" s="156" t="s">
        <v>11745</v>
      </c>
      <c r="H548" s="8">
        <v>9676</v>
      </c>
      <c r="I548" s="41">
        <v>23.5</v>
      </c>
      <c r="J548" s="157"/>
      <c r="K548" s="6">
        <f>IFERROR(Table215[[#This Row],[ROUTE $]]/Table215[[#This Row],[E - DEMAND]],0)</f>
        <v>0</v>
      </c>
      <c r="L548" s="4"/>
      <c r="M548" s="39" t="e">
        <f>VLOOKUP(Table215[[#This Row],[ROUTE]],DEMAND!A:F,5,FALSE)</f>
        <v>#N/A</v>
      </c>
      <c r="N548" s="39" t="e">
        <f>VLOOKUP(Table215[[#This Row],[ROUTE]],DEMAND!A:F,6,FALSE)</f>
        <v>#N/A</v>
      </c>
      <c r="O548" s="39" t="e">
        <f>ROUNDDOWN(Table215[[#This Row],[R-DEMAND]]/1320,0)</f>
        <v>#N/A</v>
      </c>
      <c r="P548" s="41" t="e">
        <f>Table215[[#This Row],[ADD ACC]]*Table215[[#This Row],[RT TIME (744)]]</f>
        <v>#N/A</v>
      </c>
    </row>
    <row r="549" spans="1:16" ht="15" customHeight="1" x14ac:dyDescent="0.25">
      <c r="A549" s="38" t="s">
        <v>13633</v>
      </c>
      <c r="B549" s="39" t="s">
        <v>5167</v>
      </c>
      <c r="C549" s="39"/>
      <c r="D549" s="39">
        <v>3</v>
      </c>
      <c r="E549" s="38" t="s">
        <v>308</v>
      </c>
      <c r="F549" s="38" t="str">
        <f>VLOOKUP(E:E,Table10[[COUNTRY NAME]:[CONTINENT CODE]],3,FALSE)</f>
        <v>EU</v>
      </c>
      <c r="G549" s="155" t="s">
        <v>11773</v>
      </c>
      <c r="H549" s="40">
        <v>9599</v>
      </c>
      <c r="I549" s="41">
        <v>23.5</v>
      </c>
      <c r="J549" s="157"/>
      <c r="K549" s="42">
        <f>IFERROR(Table215[[#This Row],[ROUTE $]]/Table215[[#This Row],[E - DEMAND]],0)</f>
        <v>0</v>
      </c>
      <c r="L549" s="43"/>
      <c r="M549" s="39" t="e">
        <f>VLOOKUP(Table215[[#This Row],[ROUTE]],DEMAND!A:F,5,FALSE)</f>
        <v>#N/A</v>
      </c>
      <c r="N549" s="39" t="e">
        <f>VLOOKUP(Table215[[#This Row],[ROUTE]],DEMAND!A:F,6,FALSE)</f>
        <v>#N/A</v>
      </c>
      <c r="O549" s="39" t="e">
        <f>ROUNDDOWN(Table215[[#This Row],[R-DEMAND]]/1320,0)</f>
        <v>#N/A</v>
      </c>
      <c r="P549" s="41" t="e">
        <f>Table215[[#This Row],[ADD ACC]]*Table215[[#This Row],[RT TIME (744)]]</f>
        <v>#N/A</v>
      </c>
    </row>
    <row r="550" spans="1:16" ht="15" customHeight="1" x14ac:dyDescent="0.25">
      <c r="A550" s="38" t="s">
        <v>13905</v>
      </c>
      <c r="B550" s="39" t="s">
        <v>5057</v>
      </c>
      <c r="C550" s="39"/>
      <c r="D550" s="39">
        <v>3</v>
      </c>
      <c r="E550" s="38" t="s">
        <v>83</v>
      </c>
      <c r="F550" s="38" t="str">
        <f>VLOOKUP(E:E,Table10[[COUNTRY NAME]:[CONTINENT CODE]],3,FALSE)</f>
        <v>EU</v>
      </c>
      <c r="G550" s="155" t="s">
        <v>11706</v>
      </c>
      <c r="H550" s="40">
        <v>9633</v>
      </c>
      <c r="I550" s="41">
        <v>23.5</v>
      </c>
      <c r="J550" s="157"/>
      <c r="K550" s="42">
        <f>IFERROR(Table215[[#This Row],[ROUTE $]]/Table215[[#This Row],[E - DEMAND]],0)</f>
        <v>0</v>
      </c>
      <c r="L550" s="43"/>
      <c r="M550" s="39" t="e">
        <f>VLOOKUP(Table215[[#This Row],[ROUTE]],DEMAND!A:F,5,FALSE)</f>
        <v>#N/A</v>
      </c>
      <c r="N550" s="39" t="e">
        <f>VLOOKUP(Table215[[#This Row],[ROUTE]],DEMAND!A:F,6,FALSE)</f>
        <v>#N/A</v>
      </c>
      <c r="O550" s="39" t="e">
        <f>ROUNDDOWN(Table215[[#This Row],[R-DEMAND]]/1320,0)</f>
        <v>#N/A</v>
      </c>
      <c r="P550" s="41" t="e">
        <f>Table215[[#This Row],[ADD ACC]]*Table215[[#This Row],[RT TIME (744)]]</f>
        <v>#N/A</v>
      </c>
    </row>
    <row r="551" spans="1:16" ht="15" customHeight="1" x14ac:dyDescent="0.25">
      <c r="A551" s="38" t="s">
        <v>13631</v>
      </c>
      <c r="B551" s="39" t="s">
        <v>4092</v>
      </c>
      <c r="C551" s="39"/>
      <c r="D551" s="39">
        <v>2</v>
      </c>
      <c r="E551" s="38" t="s">
        <v>308</v>
      </c>
      <c r="F551" s="38" t="str">
        <f>VLOOKUP(E:E,Table10[[COUNTRY NAME]:[CONTINENT CODE]],3,FALSE)</f>
        <v>EU</v>
      </c>
      <c r="G551" s="155" t="s">
        <v>11789</v>
      </c>
      <c r="H551" s="40">
        <v>9630</v>
      </c>
      <c r="I551" s="41">
        <v>23.5</v>
      </c>
      <c r="J551" s="157"/>
      <c r="K551" s="42">
        <f>IFERROR(Table215[[#This Row],[ROUTE $]]/Table215[[#This Row],[E - DEMAND]],0)</f>
        <v>0</v>
      </c>
      <c r="L551" s="43"/>
      <c r="M551" s="39" t="e">
        <f>VLOOKUP(Table215[[#This Row],[ROUTE]],DEMAND!A:F,5,FALSE)</f>
        <v>#N/A</v>
      </c>
      <c r="N551" s="39" t="e">
        <f>VLOOKUP(Table215[[#This Row],[ROUTE]],DEMAND!A:F,6,FALSE)</f>
        <v>#N/A</v>
      </c>
      <c r="O551" s="39" t="e">
        <f>ROUNDDOWN(Table215[[#This Row],[R-DEMAND]]/1320,0)</f>
        <v>#N/A</v>
      </c>
      <c r="P551" s="41" t="e">
        <f>Table215[[#This Row],[ADD ACC]]*Table215[[#This Row],[RT TIME (744)]]</f>
        <v>#N/A</v>
      </c>
    </row>
    <row r="552" spans="1:16" ht="15" customHeight="1" x14ac:dyDescent="0.25">
      <c r="A552" s="38" t="s">
        <v>13632</v>
      </c>
      <c r="B552" s="39" t="s">
        <v>4144</v>
      </c>
      <c r="C552" s="39"/>
      <c r="D552" s="39">
        <v>2</v>
      </c>
      <c r="E552" s="38" t="s">
        <v>308</v>
      </c>
      <c r="F552" s="38" t="str">
        <f>VLOOKUP(E:E,Table10[[COUNTRY NAME]:[CONTINENT CODE]],3,FALSE)</f>
        <v>EU</v>
      </c>
      <c r="G552" s="155" t="s">
        <v>11785</v>
      </c>
      <c r="H552" s="40">
        <v>9610</v>
      </c>
      <c r="I552" s="41">
        <v>23.5</v>
      </c>
      <c r="J552" s="157"/>
      <c r="K552" s="42">
        <f>IFERROR(Table215[[#This Row],[ROUTE $]]/Table215[[#This Row],[E - DEMAND]],0)</f>
        <v>0</v>
      </c>
      <c r="L552" s="43"/>
      <c r="M552" s="39" t="e">
        <f>VLOOKUP(Table215[[#This Row],[ROUTE]],DEMAND!A:F,5,FALSE)</f>
        <v>#N/A</v>
      </c>
      <c r="N552" s="39" t="e">
        <f>VLOOKUP(Table215[[#This Row],[ROUTE]],DEMAND!A:F,6,FALSE)</f>
        <v>#N/A</v>
      </c>
      <c r="O552" s="39" t="e">
        <f>ROUNDDOWN(Table215[[#This Row],[R-DEMAND]]/1320,0)</f>
        <v>#N/A</v>
      </c>
      <c r="P552" s="41" t="e">
        <f>Table215[[#This Row],[ADD ACC]]*Table215[[#This Row],[RT TIME (744)]]</f>
        <v>#N/A</v>
      </c>
    </row>
    <row r="553" spans="1:16" ht="15" customHeight="1" x14ac:dyDescent="0.25">
      <c r="A553" s="38" t="s">
        <v>13906</v>
      </c>
      <c r="B553" s="39" t="s">
        <v>4533</v>
      </c>
      <c r="C553" s="39"/>
      <c r="D553" s="39">
        <v>2</v>
      </c>
      <c r="E553" s="38" t="s">
        <v>83</v>
      </c>
      <c r="F553" s="38" t="str">
        <f>VLOOKUP(E:E,Table10[[COUNTRY NAME]:[CONTINENT CODE]],3,FALSE)</f>
        <v>EU</v>
      </c>
      <c r="G553" s="155" t="s">
        <v>11714</v>
      </c>
      <c r="H553" s="40">
        <v>9605</v>
      </c>
      <c r="I553" s="41">
        <v>23.5</v>
      </c>
      <c r="J553" s="157"/>
      <c r="K553" s="42">
        <f>IFERROR(Table215[[#This Row],[ROUTE $]]/Table215[[#This Row],[E - DEMAND]],0)</f>
        <v>0</v>
      </c>
      <c r="L553" s="43"/>
      <c r="M553" s="39" t="e">
        <f>VLOOKUP(Table215[[#This Row],[ROUTE]],DEMAND!A:F,5,FALSE)</f>
        <v>#N/A</v>
      </c>
      <c r="N553" s="39" t="e">
        <f>VLOOKUP(Table215[[#This Row],[ROUTE]],DEMAND!A:F,6,FALSE)</f>
        <v>#N/A</v>
      </c>
      <c r="O553" s="39" t="e">
        <f>ROUNDDOWN(Table215[[#This Row],[R-DEMAND]]/1320,0)</f>
        <v>#N/A</v>
      </c>
      <c r="P553" s="41" t="e">
        <f>Table215[[#This Row],[ADD ACC]]*Table215[[#This Row],[RT TIME (744)]]</f>
        <v>#N/A</v>
      </c>
    </row>
    <row r="554" spans="1:16" ht="15" customHeight="1" x14ac:dyDescent="0.25">
      <c r="A554" s="38" t="s">
        <v>13943</v>
      </c>
      <c r="B554" s="39" t="s">
        <v>1898</v>
      </c>
      <c r="C554" s="39"/>
      <c r="D554" s="39">
        <v>1</v>
      </c>
      <c r="E554" s="143" t="s">
        <v>647</v>
      </c>
      <c r="F554" s="38" t="e">
        <f>VLOOKUP(E:E,Table10[[COUNTRY NAME]:[CONTINENT CODE]],3,FALSE)</f>
        <v>#N/A</v>
      </c>
      <c r="G554" s="155" t="s">
        <v>13277</v>
      </c>
      <c r="H554" s="40">
        <v>9680</v>
      </c>
      <c r="I554" s="41">
        <v>23.5</v>
      </c>
      <c r="J554" s="157"/>
      <c r="K554" s="42">
        <f>IFERROR(Table215[[#This Row],[ROUTE $]]/Table215[[#This Row],[E - DEMAND]],0)</f>
        <v>0</v>
      </c>
      <c r="L554" s="43"/>
      <c r="M554" s="39" t="e">
        <f>VLOOKUP(Table215[[#This Row],[ROUTE]],DEMAND!A:F,5,FALSE)</f>
        <v>#N/A</v>
      </c>
      <c r="N554" s="39" t="e">
        <f>VLOOKUP(Table215[[#This Row],[ROUTE]],DEMAND!A:F,6,FALSE)</f>
        <v>#N/A</v>
      </c>
      <c r="O554" s="39" t="e">
        <f>ROUNDDOWN(Table215[[#This Row],[R-DEMAND]]/1320,0)</f>
        <v>#N/A</v>
      </c>
      <c r="P554" s="41" t="e">
        <f>Table215[[#This Row],[ADD ACC]]*Table215[[#This Row],[RT TIME (744)]]</f>
        <v>#N/A</v>
      </c>
    </row>
    <row r="555" spans="1:16" ht="15" customHeight="1" x14ac:dyDescent="0.25">
      <c r="A555" s="38" t="s">
        <v>13504</v>
      </c>
      <c r="B555" s="39" t="s">
        <v>3741</v>
      </c>
      <c r="C555" s="39"/>
      <c r="D555" s="39">
        <v>2</v>
      </c>
      <c r="E555" s="1" t="s">
        <v>1117</v>
      </c>
      <c r="F555" s="1" t="str">
        <f>VLOOKUP(E:E,Table10[[COUNTRY NAME]:[CONTINENT CODE]],3,FALSE)</f>
        <v>EU</v>
      </c>
      <c r="G555" s="156" t="s">
        <v>7722</v>
      </c>
      <c r="H555" s="8">
        <v>9752</v>
      </c>
      <c r="I555" s="41">
        <v>23.75</v>
      </c>
      <c r="J555" s="157"/>
      <c r="K555" s="6">
        <f>IFERROR(Table215[[#This Row],[ROUTE $]]/Table215[[#This Row],[E - DEMAND]],0)</f>
        <v>0</v>
      </c>
      <c r="L555" s="5"/>
      <c r="M555" s="39" t="e">
        <f>VLOOKUP(Table215[[#This Row],[ROUTE]],DEMAND!A:F,5,FALSE)</f>
        <v>#N/A</v>
      </c>
      <c r="N555" s="39" t="e">
        <f>VLOOKUP(Table215[[#This Row],[ROUTE]],DEMAND!A:F,6,FALSE)</f>
        <v>#N/A</v>
      </c>
      <c r="O555" s="39" t="e">
        <f>ROUNDDOWN(Table215[[#This Row],[R-DEMAND]]/1320,0)</f>
        <v>#N/A</v>
      </c>
      <c r="P555" s="41" t="e">
        <f>Table215[[#This Row],[ADD ACC]]*Table215[[#This Row],[RT TIME (744)]]</f>
        <v>#N/A</v>
      </c>
    </row>
    <row r="556" spans="1:16" ht="15" customHeight="1" x14ac:dyDescent="0.25">
      <c r="A556" s="38" t="s">
        <v>13941</v>
      </c>
      <c r="B556" s="39" t="s">
        <v>4802</v>
      </c>
      <c r="C556" s="39"/>
      <c r="D556" s="39">
        <v>3</v>
      </c>
      <c r="E556" s="143" t="s">
        <v>647</v>
      </c>
      <c r="F556" s="38" t="e">
        <f>VLOOKUP(E:E,Table10[[COUNTRY NAME]:[CONTINENT CODE]],3,FALSE)</f>
        <v>#N/A</v>
      </c>
      <c r="G556" s="155" t="s">
        <v>13275</v>
      </c>
      <c r="H556" s="40">
        <v>9763</v>
      </c>
      <c r="I556" s="41">
        <v>23.75</v>
      </c>
      <c r="J556" s="157"/>
      <c r="K556" s="42">
        <f>IFERROR(Table215[[#This Row],[ROUTE $]]/Table215[[#This Row],[E - DEMAND]],0)</f>
        <v>0</v>
      </c>
      <c r="L556" s="43"/>
      <c r="M556" s="39" t="e">
        <f>VLOOKUP(Table215[[#This Row],[ROUTE]],DEMAND!A:F,5,FALSE)</f>
        <v>#N/A</v>
      </c>
      <c r="N556" s="39" t="e">
        <f>VLOOKUP(Table215[[#This Row],[ROUTE]],DEMAND!A:F,6,FALSE)</f>
        <v>#N/A</v>
      </c>
      <c r="O556" s="39" t="e">
        <f>ROUNDDOWN(Table215[[#This Row],[R-DEMAND]]/1320,0)</f>
        <v>#N/A</v>
      </c>
      <c r="P556" s="41" t="e">
        <f>Table215[[#This Row],[ADD ACC]]*Table215[[#This Row],[RT TIME (744)]]</f>
        <v>#N/A</v>
      </c>
    </row>
    <row r="557" spans="1:16" ht="15" customHeight="1" x14ac:dyDescent="0.25">
      <c r="A557" s="38" t="s">
        <v>13586</v>
      </c>
      <c r="B557" s="39" t="s">
        <v>4003</v>
      </c>
      <c r="C557" s="39"/>
      <c r="D557" s="39">
        <v>2</v>
      </c>
      <c r="E557" s="1" t="s">
        <v>1427</v>
      </c>
      <c r="F557" s="1" t="str">
        <f>VLOOKUP(E:E,Table10[[COUNTRY NAME]:[CONTINENT CODE]],3,FALSE)</f>
        <v>EU</v>
      </c>
      <c r="G557" s="156" t="s">
        <v>11766</v>
      </c>
      <c r="H557" s="8">
        <v>9744</v>
      </c>
      <c r="I557" s="41">
        <v>23.75</v>
      </c>
      <c r="J557" s="157"/>
      <c r="K557" s="6">
        <f>IFERROR(Table215[[#This Row],[ROUTE $]]/Table215[[#This Row],[E - DEMAND]],0)</f>
        <v>0</v>
      </c>
      <c r="L557" s="4"/>
      <c r="M557" s="39" t="e">
        <f>VLOOKUP(Table215[[#This Row],[ROUTE]],DEMAND!A:F,5,FALSE)</f>
        <v>#N/A</v>
      </c>
      <c r="N557" s="39" t="e">
        <f>VLOOKUP(Table215[[#This Row],[ROUTE]],DEMAND!A:F,6,FALSE)</f>
        <v>#N/A</v>
      </c>
      <c r="O557" s="39" t="e">
        <f>ROUNDDOWN(Table215[[#This Row],[R-DEMAND]]/1320,0)</f>
        <v>#N/A</v>
      </c>
      <c r="P557" s="41" t="e">
        <f>Table215[[#This Row],[ADD ACC]]*Table215[[#This Row],[RT TIME (744)]]</f>
        <v>#N/A</v>
      </c>
    </row>
    <row r="558" spans="1:16" ht="15" customHeight="1" x14ac:dyDescent="0.25">
      <c r="A558" s="38" t="s">
        <v>13702</v>
      </c>
      <c r="B558" s="39" t="s">
        <v>4898</v>
      </c>
      <c r="C558" s="39"/>
      <c r="D558" s="39">
        <v>3</v>
      </c>
      <c r="E558" s="38" t="s">
        <v>3204</v>
      </c>
      <c r="F558" s="38" t="str">
        <f>VLOOKUP(E:E,Table10[[COUNTRY NAME]:[CONTINENT CODE]],3,FALSE)</f>
        <v>EU</v>
      </c>
      <c r="G558" s="155" t="s">
        <v>11736</v>
      </c>
      <c r="H558" s="40">
        <v>9741</v>
      </c>
      <c r="I558" s="41">
        <v>23.75</v>
      </c>
      <c r="J558" s="157"/>
      <c r="K558" s="42">
        <f>IFERROR(Table215[[#This Row],[ROUTE $]]/Table215[[#This Row],[E - DEMAND]],0)</f>
        <v>0</v>
      </c>
      <c r="L558" s="43"/>
      <c r="M558" s="39" t="e">
        <f>VLOOKUP(Table215[[#This Row],[ROUTE]],DEMAND!A:F,5,FALSE)</f>
        <v>#N/A</v>
      </c>
      <c r="N558" s="39" t="e">
        <f>VLOOKUP(Table215[[#This Row],[ROUTE]],DEMAND!A:F,6,FALSE)</f>
        <v>#N/A</v>
      </c>
      <c r="O558" s="39" t="e">
        <f>ROUNDDOWN(Table215[[#This Row],[R-DEMAND]]/1320,0)</f>
        <v>#N/A</v>
      </c>
      <c r="P558" s="41" t="e">
        <f>Table215[[#This Row],[ADD ACC]]*Table215[[#This Row],[RT TIME (744)]]</f>
        <v>#N/A</v>
      </c>
    </row>
    <row r="559" spans="1:16" ht="15" customHeight="1" x14ac:dyDescent="0.25">
      <c r="A559" s="38" t="s">
        <v>13629</v>
      </c>
      <c r="B559" s="39" t="s">
        <v>4355</v>
      </c>
      <c r="C559" s="39"/>
      <c r="D559" s="39">
        <v>2</v>
      </c>
      <c r="E559" s="38" t="s">
        <v>308</v>
      </c>
      <c r="F559" s="38" t="str">
        <f>VLOOKUP(E:E,Table10[[COUNTRY NAME]:[CONTINENT CODE]],3,FALSE)</f>
        <v>EU</v>
      </c>
      <c r="G559" s="155" t="s">
        <v>11788</v>
      </c>
      <c r="H559" s="40">
        <v>9785</v>
      </c>
      <c r="I559" s="41">
        <v>23.75</v>
      </c>
      <c r="J559" s="157"/>
      <c r="K559" s="42">
        <f>IFERROR(Table215[[#This Row],[ROUTE $]]/Table215[[#This Row],[E - DEMAND]],0)</f>
        <v>0</v>
      </c>
      <c r="L559" s="43"/>
      <c r="M559" s="39" t="e">
        <f>VLOOKUP(Table215[[#This Row],[ROUTE]],DEMAND!A:F,5,FALSE)</f>
        <v>#N/A</v>
      </c>
      <c r="N559" s="39" t="e">
        <f>VLOOKUP(Table215[[#This Row],[ROUTE]],DEMAND!A:F,6,FALSE)</f>
        <v>#N/A</v>
      </c>
      <c r="O559" s="39" t="e">
        <f>ROUNDDOWN(Table215[[#This Row],[R-DEMAND]]/1320,0)</f>
        <v>#N/A</v>
      </c>
      <c r="P559" s="41" t="e">
        <f>Table215[[#This Row],[ADD ACC]]*Table215[[#This Row],[RT TIME (744)]]</f>
        <v>#N/A</v>
      </c>
    </row>
    <row r="560" spans="1:16" ht="15" customHeight="1" x14ac:dyDescent="0.25">
      <c r="A560" s="38" t="s">
        <v>13503</v>
      </c>
      <c r="B560" s="39" t="s">
        <v>4651</v>
      </c>
      <c r="C560" s="39"/>
      <c r="D560" s="39">
        <v>0</v>
      </c>
      <c r="E560" s="1" t="s">
        <v>1117</v>
      </c>
      <c r="F560" s="1" t="str">
        <f>VLOOKUP(E:E,Table10[[COUNTRY NAME]:[CONTINENT CODE]],3,FALSE)</f>
        <v>EU</v>
      </c>
      <c r="G560" s="160" t="s">
        <v>10122</v>
      </c>
      <c r="H560" s="40">
        <v>9886</v>
      </c>
      <c r="I560" s="41">
        <v>24</v>
      </c>
      <c r="J560" s="157"/>
      <c r="K560" s="42">
        <f>IFERROR(Table215[[#This Row],[ROUTE $]]/Table215[[#This Row],[E - DEMAND]],0)</f>
        <v>0</v>
      </c>
      <c r="L560" s="43"/>
      <c r="M560" s="39" t="e">
        <f>VLOOKUP(Table215[[#This Row],[ROUTE]],DEMAND!A:F,5,FALSE)</f>
        <v>#N/A</v>
      </c>
      <c r="N560" s="39" t="e">
        <f>VLOOKUP(Table215[[#This Row],[ROUTE]],DEMAND!A:F,6,FALSE)</f>
        <v>#N/A</v>
      </c>
      <c r="O560" s="39" t="e">
        <f>ROUNDDOWN(Table215[[#This Row],[R-DEMAND]]/1320,0)</f>
        <v>#N/A</v>
      </c>
      <c r="P560" s="41" t="e">
        <f>Table215[[#This Row],[ADD ACC]]*Table215[[#This Row],[RT TIME (744)]]</f>
        <v>#N/A</v>
      </c>
    </row>
    <row r="561" spans="1:16" ht="15" customHeight="1" x14ac:dyDescent="0.25">
      <c r="A561" s="38" t="s">
        <v>13543</v>
      </c>
      <c r="B561" s="39" t="s">
        <v>4229</v>
      </c>
      <c r="C561" s="39"/>
      <c r="D561" s="39">
        <v>2</v>
      </c>
      <c r="E561" s="1" t="s">
        <v>1124</v>
      </c>
      <c r="F561" s="1" t="str">
        <f>VLOOKUP(E:E,Table10[[COUNTRY NAME]:[CONTINENT CODE]],3,FALSE)</f>
        <v>AF</v>
      </c>
      <c r="G561" s="159" t="s">
        <v>11001</v>
      </c>
      <c r="H561" s="8">
        <v>9857</v>
      </c>
      <c r="I561" s="41">
        <v>24</v>
      </c>
      <c r="J561" s="157"/>
      <c r="K561" s="6">
        <f>IFERROR(Table215[[#This Row],[ROUTE $]]/Table215[[#This Row],[E - DEMAND]],0)</f>
        <v>0</v>
      </c>
      <c r="L561" s="4"/>
      <c r="M561" s="39" t="e">
        <f>VLOOKUP(Table215[[#This Row],[ROUTE]],DEMAND!A:F,5,FALSE)</f>
        <v>#N/A</v>
      </c>
      <c r="N561" s="39" t="e">
        <f>VLOOKUP(Table215[[#This Row],[ROUTE]],DEMAND!A:F,6,FALSE)</f>
        <v>#N/A</v>
      </c>
      <c r="O561" s="39" t="e">
        <f>ROUNDDOWN(Table215[[#This Row],[R-DEMAND]]/1320,0)</f>
        <v>#N/A</v>
      </c>
      <c r="P561" s="41" t="e">
        <f>Table215[[#This Row],[ADD ACC]]*Table215[[#This Row],[RT TIME (744)]]</f>
        <v>#N/A</v>
      </c>
    </row>
    <row r="562" spans="1:16" ht="15" customHeight="1" x14ac:dyDescent="0.25">
      <c r="A562" s="38" t="s">
        <v>13598</v>
      </c>
      <c r="B562" s="39" t="s">
        <v>2571</v>
      </c>
      <c r="C562" s="39"/>
      <c r="D562" s="39">
        <v>2</v>
      </c>
      <c r="E562" s="1" t="s">
        <v>597</v>
      </c>
      <c r="F562" s="1" t="str">
        <f>VLOOKUP(E:E,Table10[[COUNTRY NAME]:[CONTINENT CODE]],3,FALSE)</f>
        <v>EU</v>
      </c>
      <c r="G562" s="156" t="s">
        <v>11827</v>
      </c>
      <c r="H562" s="8">
        <v>9845</v>
      </c>
      <c r="I562" s="41">
        <v>24</v>
      </c>
      <c r="J562" s="157"/>
      <c r="K562" s="6">
        <f>IFERROR(Table215[[#This Row],[ROUTE $]]/Table215[[#This Row],[E - DEMAND]],0)</f>
        <v>0</v>
      </c>
      <c r="L562" s="4"/>
      <c r="M562" s="39" t="e">
        <f>VLOOKUP(Table215[[#This Row],[ROUTE]],DEMAND!A:F,5,FALSE)</f>
        <v>#N/A</v>
      </c>
      <c r="N562" s="39" t="e">
        <f>VLOOKUP(Table215[[#This Row],[ROUTE]],DEMAND!A:F,6,FALSE)</f>
        <v>#N/A</v>
      </c>
      <c r="O562" s="39" t="e">
        <f>ROUNDDOWN(Table215[[#This Row],[R-DEMAND]]/1320,0)</f>
        <v>#N/A</v>
      </c>
      <c r="P562" s="41" t="e">
        <f>Table215[[#This Row],[ADD ACC]]*Table215[[#This Row],[RT TIME (744)]]</f>
        <v>#N/A</v>
      </c>
    </row>
    <row r="563" spans="1:16" ht="15" customHeight="1" x14ac:dyDescent="0.25">
      <c r="A563" s="38" t="s">
        <v>13600</v>
      </c>
      <c r="B563" s="39" t="s">
        <v>2808</v>
      </c>
      <c r="C563" s="39"/>
      <c r="D563" s="39">
        <v>2</v>
      </c>
      <c r="E563" s="1" t="s">
        <v>597</v>
      </c>
      <c r="F563" s="1" t="str">
        <f>VLOOKUP(E:E,Table10[[COUNTRY NAME]:[CONTINENT CODE]],3,FALSE)</f>
        <v>EU</v>
      </c>
      <c r="G563" s="160" t="s">
        <v>11828</v>
      </c>
      <c r="H563" s="40">
        <v>9827</v>
      </c>
      <c r="I563" s="41">
        <v>24</v>
      </c>
      <c r="J563" s="157"/>
      <c r="K563" s="42">
        <f>IFERROR(Table215[[#This Row],[ROUTE $]]/Table215[[#This Row],[E - DEMAND]],0)</f>
        <v>0</v>
      </c>
      <c r="L563" s="43"/>
      <c r="M563" s="39" t="e">
        <f>VLOOKUP(Table215[[#This Row],[ROUTE]],DEMAND!A:F,5,FALSE)</f>
        <v>#N/A</v>
      </c>
      <c r="N563" s="39" t="e">
        <f>VLOOKUP(Table215[[#This Row],[ROUTE]],DEMAND!A:F,6,FALSE)</f>
        <v>#N/A</v>
      </c>
      <c r="O563" s="39" t="e">
        <f>ROUNDDOWN(Table215[[#This Row],[R-DEMAND]]/1320,0)</f>
        <v>#N/A</v>
      </c>
      <c r="P563" s="41" t="e">
        <f>Table215[[#This Row],[ADD ACC]]*Table215[[#This Row],[RT TIME (744)]]</f>
        <v>#N/A</v>
      </c>
    </row>
    <row r="564" spans="1:16" ht="15" customHeight="1" x14ac:dyDescent="0.25">
      <c r="A564" s="38" t="s">
        <v>13599</v>
      </c>
      <c r="B564" s="39" t="s">
        <v>3543</v>
      </c>
      <c r="C564" s="39"/>
      <c r="D564" s="39">
        <v>2</v>
      </c>
      <c r="E564" s="1" t="s">
        <v>597</v>
      </c>
      <c r="F564" s="1" t="str">
        <f>VLOOKUP(E:E,Table10[[COUNTRY NAME]:[CONTINENT CODE]],3,FALSE)</f>
        <v>EU</v>
      </c>
      <c r="G564" s="156" t="s">
        <v>11825</v>
      </c>
      <c r="H564" s="8">
        <v>9842</v>
      </c>
      <c r="I564" s="41">
        <v>24</v>
      </c>
      <c r="J564" s="157"/>
      <c r="K564" s="6">
        <f>IFERROR(Table215[[#This Row],[ROUTE $]]/Table215[[#This Row],[E - DEMAND]],0)</f>
        <v>0</v>
      </c>
      <c r="L564" s="4"/>
      <c r="M564" s="39" t="e">
        <f>VLOOKUP(Table215[[#This Row],[ROUTE]],DEMAND!A:F,5,FALSE)</f>
        <v>#N/A</v>
      </c>
      <c r="N564" s="39" t="e">
        <f>VLOOKUP(Table215[[#This Row],[ROUTE]],DEMAND!A:F,6,FALSE)</f>
        <v>#N/A</v>
      </c>
      <c r="O564" s="39" t="e">
        <f>ROUNDDOWN(Table215[[#This Row],[R-DEMAND]]/1320,0)</f>
        <v>#N/A</v>
      </c>
      <c r="P564" s="41" t="e">
        <f>Table215[[#This Row],[ADD ACC]]*Table215[[#This Row],[RT TIME (744)]]</f>
        <v>#N/A</v>
      </c>
    </row>
    <row r="565" spans="1:16" ht="15" customHeight="1" x14ac:dyDescent="0.25">
      <c r="A565" s="38" t="s">
        <v>13937</v>
      </c>
      <c r="B565" s="39" t="s">
        <v>5135</v>
      </c>
      <c r="C565" s="39"/>
      <c r="D565" s="39">
        <v>3</v>
      </c>
      <c r="E565" s="143" t="s">
        <v>647</v>
      </c>
      <c r="F565" s="38" t="e">
        <f>VLOOKUP(E:E,Table10[[COUNTRY NAME]:[CONTINENT CODE]],3,FALSE)</f>
        <v>#N/A</v>
      </c>
      <c r="G565" s="155" t="s">
        <v>13271</v>
      </c>
      <c r="H565" s="40">
        <v>9894</v>
      </c>
      <c r="I565" s="41">
        <v>24</v>
      </c>
      <c r="J565" s="157"/>
      <c r="K565" s="42">
        <f>IFERROR(Table215[[#This Row],[ROUTE $]]/Table215[[#This Row],[E - DEMAND]],0)</f>
        <v>0</v>
      </c>
      <c r="L565" s="43"/>
      <c r="M565" s="39" t="e">
        <f>VLOOKUP(Table215[[#This Row],[ROUTE]],DEMAND!A:F,5,FALSE)</f>
        <v>#N/A</v>
      </c>
      <c r="N565" s="39" t="e">
        <f>VLOOKUP(Table215[[#This Row],[ROUTE]],DEMAND!A:F,6,FALSE)</f>
        <v>#N/A</v>
      </c>
      <c r="O565" s="39" t="e">
        <f>ROUNDDOWN(Table215[[#This Row],[R-DEMAND]]/1320,0)</f>
        <v>#N/A</v>
      </c>
      <c r="P565" s="41" t="e">
        <f>Table215[[#This Row],[ADD ACC]]*Table215[[#This Row],[RT TIME (744)]]</f>
        <v>#N/A</v>
      </c>
    </row>
    <row r="566" spans="1:16" ht="15" customHeight="1" x14ac:dyDescent="0.25">
      <c r="A566" s="38" t="s">
        <v>13938</v>
      </c>
      <c r="B566" s="39" t="s">
        <v>5341</v>
      </c>
      <c r="C566" s="39"/>
      <c r="D566" s="39">
        <v>3</v>
      </c>
      <c r="E566" s="143" t="s">
        <v>647</v>
      </c>
      <c r="F566" s="38" t="e">
        <f>VLOOKUP(E:E,Table10[[COUNTRY NAME]:[CONTINENT CODE]],3,FALSE)</f>
        <v>#N/A</v>
      </c>
      <c r="G566" s="155" t="s">
        <v>13272</v>
      </c>
      <c r="H566" s="40">
        <v>9863</v>
      </c>
      <c r="I566" s="41">
        <v>24</v>
      </c>
      <c r="J566" s="157"/>
      <c r="K566" s="42">
        <f>IFERROR(Table215[[#This Row],[ROUTE $]]/Table215[[#This Row],[E - DEMAND]],0)</f>
        <v>0</v>
      </c>
      <c r="L566" s="43"/>
      <c r="M566" s="39" t="e">
        <f>VLOOKUP(Table215[[#This Row],[ROUTE]],DEMAND!A:F,5,FALSE)</f>
        <v>#N/A</v>
      </c>
      <c r="N566" s="39" t="e">
        <f>VLOOKUP(Table215[[#This Row],[ROUTE]],DEMAND!A:F,6,FALSE)</f>
        <v>#N/A</v>
      </c>
      <c r="O566" s="39" t="e">
        <f>ROUNDDOWN(Table215[[#This Row],[R-DEMAND]]/1320,0)</f>
        <v>#N/A</v>
      </c>
      <c r="P566" s="41" t="e">
        <f>Table215[[#This Row],[ADD ACC]]*Table215[[#This Row],[RT TIME (744)]]</f>
        <v>#N/A</v>
      </c>
    </row>
    <row r="567" spans="1:16" ht="15" customHeight="1" x14ac:dyDescent="0.25">
      <c r="A567" s="38" t="s">
        <v>13806</v>
      </c>
      <c r="B567" s="39" t="s">
        <v>4822</v>
      </c>
      <c r="C567" s="39"/>
      <c r="D567" s="39">
        <v>3</v>
      </c>
      <c r="E567" s="38" t="s">
        <v>992</v>
      </c>
      <c r="F567" s="38" t="str">
        <f>VLOOKUP(E:E,Table10[[COUNTRY NAME]:[CONTINENT CODE]],3,FALSE)</f>
        <v>EU</v>
      </c>
      <c r="G567" s="155" t="s">
        <v>11794</v>
      </c>
      <c r="H567" s="40">
        <v>9874</v>
      </c>
      <c r="I567" s="41">
        <v>24</v>
      </c>
      <c r="J567" s="157"/>
      <c r="K567" s="42">
        <f>IFERROR(Table215[[#This Row],[ROUTE $]]/Table215[[#This Row],[E - DEMAND]],0)</f>
        <v>0</v>
      </c>
      <c r="L567" s="43"/>
      <c r="M567" s="39" t="e">
        <f>VLOOKUP(Table215[[#This Row],[ROUTE]],DEMAND!A:F,5,FALSE)</f>
        <v>#N/A</v>
      </c>
      <c r="N567" s="39" t="e">
        <f>VLOOKUP(Table215[[#This Row],[ROUTE]],DEMAND!A:F,6,FALSE)</f>
        <v>#N/A</v>
      </c>
      <c r="O567" s="39" t="e">
        <f>ROUNDDOWN(Table215[[#This Row],[R-DEMAND]]/1320,0)</f>
        <v>#N/A</v>
      </c>
      <c r="P567" s="41" t="e">
        <f>Table215[[#This Row],[ADD ACC]]*Table215[[#This Row],[RT TIME (744)]]</f>
        <v>#N/A</v>
      </c>
    </row>
    <row r="568" spans="1:16" ht="15" customHeight="1" x14ac:dyDescent="0.25">
      <c r="A568" s="38" t="s">
        <v>13936</v>
      </c>
      <c r="B568" s="39" t="s">
        <v>4424</v>
      </c>
      <c r="C568" s="39"/>
      <c r="D568" s="39">
        <v>2</v>
      </c>
      <c r="E568" s="143" t="s">
        <v>647</v>
      </c>
      <c r="F568" s="38" t="e">
        <f>VLOOKUP(E:E,Table10[[COUNTRY NAME]:[CONTINENT CODE]],3,FALSE)</f>
        <v>#N/A</v>
      </c>
      <c r="G568" s="155" t="s">
        <v>13270</v>
      </c>
      <c r="H568" s="40">
        <v>9918</v>
      </c>
      <c r="I568" s="41">
        <v>24</v>
      </c>
      <c r="J568" s="157"/>
      <c r="K568" s="42">
        <f>IFERROR(Table215[[#This Row],[ROUTE $]]/Table215[[#This Row],[E - DEMAND]],0)</f>
        <v>0</v>
      </c>
      <c r="L568" s="43"/>
      <c r="M568" s="39" t="e">
        <f>VLOOKUP(Table215[[#This Row],[ROUTE]],DEMAND!A:F,5,FALSE)</f>
        <v>#N/A</v>
      </c>
      <c r="N568" s="39" t="e">
        <f>VLOOKUP(Table215[[#This Row],[ROUTE]],DEMAND!A:F,6,FALSE)</f>
        <v>#N/A</v>
      </c>
      <c r="O568" s="39" t="e">
        <f>ROUNDDOWN(Table215[[#This Row],[R-DEMAND]]/1320,0)</f>
        <v>#N/A</v>
      </c>
      <c r="P568" s="41" t="e">
        <f>Table215[[#This Row],[ADD ACC]]*Table215[[#This Row],[RT TIME (744)]]</f>
        <v>#N/A</v>
      </c>
    </row>
    <row r="569" spans="1:16" ht="15" customHeight="1" x14ac:dyDescent="0.25">
      <c r="A569" s="38" t="s">
        <v>13436</v>
      </c>
      <c r="B569" s="39" t="s">
        <v>4568</v>
      </c>
      <c r="C569" s="39"/>
      <c r="D569" s="39">
        <v>2</v>
      </c>
      <c r="E569" s="1" t="s">
        <v>3915</v>
      </c>
      <c r="F569" s="1" t="str">
        <f>VLOOKUP(E:E,Table10[[COUNTRY NAME]:[CONTINENT CODE]],3,FALSE)</f>
        <v>EU</v>
      </c>
      <c r="G569" s="156" t="s">
        <v>11798</v>
      </c>
      <c r="H569" s="8">
        <v>9985</v>
      </c>
      <c r="I569" s="41">
        <v>24.25</v>
      </c>
      <c r="J569" s="157"/>
      <c r="K569" s="6">
        <f>IFERROR(Table215[[#This Row],[ROUTE $]]/Table215[[#This Row],[E - DEMAND]],0)</f>
        <v>0</v>
      </c>
      <c r="L569" s="4"/>
      <c r="M569" s="39" t="e">
        <f>VLOOKUP(Table215[[#This Row],[ROUTE]],DEMAND!A:F,5,FALSE)</f>
        <v>#N/A</v>
      </c>
      <c r="N569" s="39" t="e">
        <f>VLOOKUP(Table215[[#This Row],[ROUTE]],DEMAND!A:F,6,FALSE)</f>
        <v>#N/A</v>
      </c>
      <c r="O569" s="39" t="e">
        <f>ROUNDDOWN(Table215[[#This Row],[R-DEMAND]]/1320,0)</f>
        <v>#N/A</v>
      </c>
      <c r="P569" s="41" t="e">
        <f>Table215[[#This Row],[ADD ACC]]*Table215[[#This Row],[RT TIME (744)]]</f>
        <v>#N/A</v>
      </c>
    </row>
    <row r="570" spans="1:16" ht="15" customHeight="1" x14ac:dyDescent="0.25">
      <c r="A570" s="38" t="s">
        <v>13435</v>
      </c>
      <c r="B570" s="39" t="s">
        <v>4402</v>
      </c>
      <c r="C570" s="39"/>
      <c r="D570" s="39">
        <v>2</v>
      </c>
      <c r="E570" s="1" t="s">
        <v>3915</v>
      </c>
      <c r="F570" s="1" t="str">
        <f>VLOOKUP(E:E,Table10[[COUNTRY NAME]:[CONTINENT CODE]],3,FALSE)</f>
        <v>EU</v>
      </c>
      <c r="G570" s="156" t="s">
        <v>11793</v>
      </c>
      <c r="H570" s="8">
        <v>9991</v>
      </c>
      <c r="I570" s="41">
        <v>24.25</v>
      </c>
      <c r="J570" s="157"/>
      <c r="K570" s="6">
        <f>IFERROR(Table215[[#This Row],[ROUTE $]]/Table215[[#This Row],[E - DEMAND]],0)</f>
        <v>0</v>
      </c>
      <c r="L570" s="5"/>
      <c r="M570" s="39" t="e">
        <f>VLOOKUP(Table215[[#This Row],[ROUTE]],DEMAND!A:F,5,FALSE)</f>
        <v>#N/A</v>
      </c>
      <c r="N570" s="39" t="e">
        <f>VLOOKUP(Table215[[#This Row],[ROUTE]],DEMAND!A:F,6,FALSE)</f>
        <v>#N/A</v>
      </c>
      <c r="O570" s="39" t="e">
        <f>ROUNDDOWN(Table215[[#This Row],[R-DEMAND]]/1320,0)</f>
        <v>#N/A</v>
      </c>
      <c r="P570" s="41" t="e">
        <f>Table215[[#This Row],[ADD ACC]]*Table215[[#This Row],[RT TIME (744)]]</f>
        <v>#N/A</v>
      </c>
    </row>
    <row r="571" spans="1:16" ht="15" customHeight="1" x14ac:dyDescent="0.25">
      <c r="A571" s="38" t="s">
        <v>13542</v>
      </c>
      <c r="B571" s="39" t="s">
        <v>3751</v>
      </c>
      <c r="C571" s="39"/>
      <c r="D571" s="39">
        <v>2</v>
      </c>
      <c r="E571" s="1" t="s">
        <v>1124</v>
      </c>
      <c r="F571" s="1" t="str">
        <f>VLOOKUP(E:E,Table10[[COUNTRY NAME]:[CONTINENT CODE]],3,FALSE)</f>
        <v>AF</v>
      </c>
      <c r="G571" s="156" t="s">
        <v>11864</v>
      </c>
      <c r="H571" s="8">
        <v>10033</v>
      </c>
      <c r="I571" s="41">
        <v>24.25</v>
      </c>
      <c r="J571" s="157"/>
      <c r="K571" s="6">
        <f>IFERROR(Table215[[#This Row],[ROUTE $]]/Table215[[#This Row],[E - DEMAND]],0)</f>
        <v>0</v>
      </c>
      <c r="L571" s="4"/>
      <c r="M571" s="39" t="e">
        <f>VLOOKUP(Table215[[#This Row],[ROUTE]],DEMAND!A:F,5,FALSE)</f>
        <v>#N/A</v>
      </c>
      <c r="N571" s="39" t="e">
        <f>VLOOKUP(Table215[[#This Row],[ROUTE]],DEMAND!A:F,6,FALSE)</f>
        <v>#N/A</v>
      </c>
      <c r="O571" s="39" t="e">
        <f>ROUNDDOWN(Table215[[#This Row],[R-DEMAND]]/1320,0)</f>
        <v>#N/A</v>
      </c>
      <c r="P571" s="41" t="e">
        <f>Table215[[#This Row],[ADD ACC]]*Table215[[#This Row],[RT TIME (744)]]</f>
        <v>#N/A</v>
      </c>
    </row>
    <row r="572" spans="1:16" ht="15" customHeight="1" x14ac:dyDescent="0.25">
      <c r="A572" s="38" t="s">
        <v>13596</v>
      </c>
      <c r="B572" s="39" t="s">
        <v>1057</v>
      </c>
      <c r="C572" s="39"/>
      <c r="D572" s="39">
        <v>1</v>
      </c>
      <c r="E572" s="1" t="s">
        <v>597</v>
      </c>
      <c r="F572" s="1" t="str">
        <f>VLOOKUP(E:E,Table10[[COUNTRY NAME]:[CONTINENT CODE]],3,FALSE)</f>
        <v>EU</v>
      </c>
      <c r="G572" s="156" t="s">
        <v>11830</v>
      </c>
      <c r="H572" s="8">
        <v>10008</v>
      </c>
      <c r="I572" s="41">
        <v>24.25</v>
      </c>
      <c r="J572" s="157"/>
      <c r="K572" s="6">
        <f>IFERROR(Table215[[#This Row],[ROUTE $]]/Table215[[#This Row],[E - DEMAND]],0)</f>
        <v>0</v>
      </c>
      <c r="L572" s="4"/>
      <c r="M572" s="39" t="e">
        <f>VLOOKUP(Table215[[#This Row],[ROUTE]],DEMAND!A:F,5,FALSE)</f>
        <v>#N/A</v>
      </c>
      <c r="N572" s="39" t="e">
        <f>VLOOKUP(Table215[[#This Row],[ROUTE]],DEMAND!A:F,6,FALSE)</f>
        <v>#N/A</v>
      </c>
      <c r="O572" s="39" t="e">
        <f>ROUNDDOWN(Table215[[#This Row],[R-DEMAND]]/1320,0)</f>
        <v>#N/A</v>
      </c>
      <c r="P572" s="41" t="e">
        <f>Table215[[#This Row],[ADD ACC]]*Table215[[#This Row],[RT TIME (744)]]</f>
        <v>#N/A</v>
      </c>
    </row>
    <row r="573" spans="1:16" ht="15" customHeight="1" x14ac:dyDescent="0.25">
      <c r="A573" s="38" t="s">
        <v>13581</v>
      </c>
      <c r="B573" s="39" t="s">
        <v>5343</v>
      </c>
      <c r="C573" s="39"/>
      <c r="D573" s="39">
        <v>3</v>
      </c>
      <c r="E573" s="1" t="s">
        <v>1427</v>
      </c>
      <c r="F573" s="1" t="str">
        <f>VLOOKUP(E:E,Table10[[COUNTRY NAME]:[CONTINENT CODE]],3,FALSE)</f>
        <v>EU</v>
      </c>
      <c r="G573" s="156" t="s">
        <v>11762</v>
      </c>
      <c r="H573" s="8">
        <v>10035</v>
      </c>
      <c r="I573" s="41">
        <v>24.25</v>
      </c>
      <c r="J573" s="157"/>
      <c r="K573" s="6">
        <f>IFERROR(Table215[[#This Row],[ROUTE $]]/Table215[[#This Row],[E - DEMAND]],0)</f>
        <v>0</v>
      </c>
      <c r="L573" s="4"/>
      <c r="M573" s="39" t="e">
        <f>VLOOKUP(Table215[[#This Row],[ROUTE]],DEMAND!A:F,5,FALSE)</f>
        <v>#N/A</v>
      </c>
      <c r="N573" s="39" t="e">
        <f>VLOOKUP(Table215[[#This Row],[ROUTE]],DEMAND!A:F,6,FALSE)</f>
        <v>#N/A</v>
      </c>
      <c r="O573" s="39" t="e">
        <f>ROUNDDOWN(Table215[[#This Row],[R-DEMAND]]/1320,0)</f>
        <v>#N/A</v>
      </c>
      <c r="P573" s="41" t="e">
        <f>Table215[[#This Row],[ADD ACC]]*Table215[[#This Row],[RT TIME (744)]]</f>
        <v>#N/A</v>
      </c>
    </row>
    <row r="574" spans="1:16" ht="15" customHeight="1" x14ac:dyDescent="0.25">
      <c r="A574" s="38" t="s">
        <v>13934</v>
      </c>
      <c r="B574" s="39" t="s">
        <v>1971</v>
      </c>
      <c r="C574" s="39"/>
      <c r="D574" s="39">
        <v>1</v>
      </c>
      <c r="E574" s="143" t="s">
        <v>647</v>
      </c>
      <c r="F574" s="38" t="e">
        <f>VLOOKUP(E:E,Table10[[COUNTRY NAME]:[CONTINENT CODE]],3,FALSE)</f>
        <v>#N/A</v>
      </c>
      <c r="G574" s="155" t="s">
        <v>13268</v>
      </c>
      <c r="H574" s="40">
        <v>10002</v>
      </c>
      <c r="I574" s="41">
        <v>24.25</v>
      </c>
      <c r="J574" s="157"/>
      <c r="K574" s="42">
        <f>IFERROR(Table215[[#This Row],[ROUTE $]]/Table215[[#This Row],[E - DEMAND]],0)</f>
        <v>0</v>
      </c>
      <c r="L574" s="43"/>
      <c r="M574" s="39" t="e">
        <f>VLOOKUP(Table215[[#This Row],[ROUTE]],DEMAND!A:F,5,FALSE)</f>
        <v>#N/A</v>
      </c>
      <c r="N574" s="39" t="e">
        <f>VLOOKUP(Table215[[#This Row],[ROUTE]],DEMAND!A:F,6,FALSE)</f>
        <v>#N/A</v>
      </c>
      <c r="O574" s="39" t="e">
        <f>ROUNDDOWN(Table215[[#This Row],[R-DEMAND]]/1320,0)</f>
        <v>#N/A</v>
      </c>
      <c r="P574" s="41" t="e">
        <f>Table215[[#This Row],[ADD ACC]]*Table215[[#This Row],[RT TIME (744)]]</f>
        <v>#N/A</v>
      </c>
    </row>
    <row r="575" spans="1:16" ht="15" customHeight="1" x14ac:dyDescent="0.25">
      <c r="A575" s="38" t="s">
        <v>13541</v>
      </c>
      <c r="B575" s="39" t="s">
        <v>4640</v>
      </c>
      <c r="C575" s="39"/>
      <c r="D575" s="39">
        <v>2</v>
      </c>
      <c r="E575" s="1" t="s">
        <v>1124</v>
      </c>
      <c r="F575" s="1" t="str">
        <f>VLOOKUP(E:E,Table10[[COUNTRY NAME]:[CONTINENT CODE]],3,FALSE)</f>
        <v>AF</v>
      </c>
      <c r="G575" s="156" t="s">
        <v>11878</v>
      </c>
      <c r="H575" s="8">
        <v>10046</v>
      </c>
      <c r="I575" s="41">
        <v>24.5</v>
      </c>
      <c r="J575" s="157"/>
      <c r="K575" s="6">
        <f>IFERROR(Table215[[#This Row],[ROUTE $]]/Table215[[#This Row],[E - DEMAND]],0)</f>
        <v>0</v>
      </c>
      <c r="L575" s="4"/>
      <c r="M575" s="39" t="e">
        <f>VLOOKUP(Table215[[#This Row],[ROUTE]],DEMAND!A:F,5,FALSE)</f>
        <v>#N/A</v>
      </c>
      <c r="N575" s="39" t="e">
        <f>VLOOKUP(Table215[[#This Row],[ROUTE]],DEMAND!A:F,6,FALSE)</f>
        <v>#N/A</v>
      </c>
      <c r="O575" s="39" t="e">
        <f>ROUNDDOWN(Table215[[#This Row],[R-DEMAND]]/1320,0)</f>
        <v>#N/A</v>
      </c>
      <c r="P575" s="41" t="e">
        <f>Table215[[#This Row],[ADD ACC]]*Table215[[#This Row],[RT TIME (744)]]</f>
        <v>#N/A</v>
      </c>
    </row>
    <row r="576" spans="1:16" ht="15" customHeight="1" x14ac:dyDescent="0.25">
      <c r="A576" s="38" t="s">
        <v>13540</v>
      </c>
      <c r="B576" s="39" t="s">
        <v>3463</v>
      </c>
      <c r="C576" s="39"/>
      <c r="D576" s="39">
        <v>2</v>
      </c>
      <c r="E576" s="1" t="s">
        <v>1124</v>
      </c>
      <c r="F576" s="1" t="str">
        <f>VLOOKUP(E:E,Table10[[COUNTRY NAME]:[CONTINENT CODE]],3,FALSE)</f>
        <v>AF</v>
      </c>
      <c r="G576" s="160" t="s">
        <v>11857</v>
      </c>
      <c r="H576" s="40">
        <v>10112</v>
      </c>
      <c r="I576" s="41">
        <v>24.5</v>
      </c>
      <c r="J576" s="157"/>
      <c r="K576" s="42">
        <f>IFERROR(Table215[[#This Row],[ROUTE $]]/Table215[[#This Row],[E - DEMAND]],0)</f>
        <v>0</v>
      </c>
      <c r="L576" s="43"/>
      <c r="M576" s="39" t="e">
        <f>VLOOKUP(Table215[[#This Row],[ROUTE]],DEMAND!A:F,5,FALSE)</f>
        <v>#N/A</v>
      </c>
      <c r="N576" s="39" t="e">
        <f>VLOOKUP(Table215[[#This Row],[ROUTE]],DEMAND!A:F,6,FALSE)</f>
        <v>#N/A</v>
      </c>
      <c r="O576" s="39" t="e">
        <f>ROUNDDOWN(Table215[[#This Row],[R-DEMAND]]/1320,0)</f>
        <v>#N/A</v>
      </c>
      <c r="P576" s="41" t="e">
        <f>Table215[[#This Row],[ADD ACC]]*Table215[[#This Row],[RT TIME (744)]]</f>
        <v>#N/A</v>
      </c>
    </row>
    <row r="577" spans="1:16" ht="15" customHeight="1" x14ac:dyDescent="0.25">
      <c r="A577" s="38" t="s">
        <v>13594</v>
      </c>
      <c r="B577" s="39" t="s">
        <v>930</v>
      </c>
      <c r="C577" s="39"/>
      <c r="D577" s="39">
        <v>1</v>
      </c>
      <c r="E577" s="1" t="s">
        <v>597</v>
      </c>
      <c r="F577" s="1" t="str">
        <f>VLOOKUP(E:E,Table10[[COUNTRY NAME]:[CONTINENT CODE]],3,FALSE)</f>
        <v>EU</v>
      </c>
      <c r="G577" s="160" t="s">
        <v>11835</v>
      </c>
      <c r="H577" s="40">
        <v>10120</v>
      </c>
      <c r="I577" s="41">
        <v>24.5</v>
      </c>
      <c r="J577" s="157"/>
      <c r="K577" s="42">
        <f>IFERROR(Table215[[#This Row],[ROUTE $]]/Table215[[#This Row],[E - DEMAND]],0)</f>
        <v>0</v>
      </c>
      <c r="L577" s="43"/>
      <c r="M577" s="39" t="e">
        <f>VLOOKUP(Table215[[#This Row],[ROUTE]],DEMAND!A:F,5,FALSE)</f>
        <v>#N/A</v>
      </c>
      <c r="N577" s="39" t="e">
        <f>VLOOKUP(Table215[[#This Row],[ROUTE]],DEMAND!A:F,6,FALSE)</f>
        <v>#N/A</v>
      </c>
      <c r="O577" s="39" t="e">
        <f>ROUNDDOWN(Table215[[#This Row],[R-DEMAND]]/1320,0)</f>
        <v>#N/A</v>
      </c>
      <c r="P577" s="41" t="e">
        <f>Table215[[#This Row],[ADD ACC]]*Table215[[#This Row],[RT TIME (744)]]</f>
        <v>#N/A</v>
      </c>
    </row>
    <row r="578" spans="1:16" ht="15" customHeight="1" x14ac:dyDescent="0.25">
      <c r="A578" s="38" t="s">
        <v>13476</v>
      </c>
      <c r="B578" s="39" t="s">
        <v>2759</v>
      </c>
      <c r="C578" s="39"/>
      <c r="D578" s="39">
        <v>2</v>
      </c>
      <c r="E578" s="1" t="s">
        <v>514</v>
      </c>
      <c r="F578" s="1" t="str">
        <f>VLOOKUP(E:E,Table10[[COUNTRY NAME]:[CONTINENT CODE]],3,FALSE)</f>
        <v>NA</v>
      </c>
      <c r="G578" s="159" t="s">
        <v>13165</v>
      </c>
      <c r="H578" s="8">
        <v>10130</v>
      </c>
      <c r="I578" s="41">
        <v>24.5</v>
      </c>
      <c r="J578" s="157"/>
      <c r="K578" s="6">
        <f>IFERROR(Table215[[#This Row],[ROUTE $]]/Table215[[#This Row],[E - DEMAND]],0)</f>
        <v>0</v>
      </c>
      <c r="L578" s="5"/>
      <c r="M578" s="39" t="e">
        <f>VLOOKUP(Table215[[#This Row],[ROUTE]],DEMAND!A:F,5,FALSE)</f>
        <v>#N/A</v>
      </c>
      <c r="N578" s="39" t="e">
        <f>VLOOKUP(Table215[[#This Row],[ROUTE]],DEMAND!A:F,6,FALSE)</f>
        <v>#N/A</v>
      </c>
      <c r="O578" s="39" t="e">
        <f>ROUNDDOWN(Table215[[#This Row],[R-DEMAND]]/1320,0)</f>
        <v>#N/A</v>
      </c>
      <c r="P578" s="41" t="e">
        <f>Table215[[#This Row],[ADD ACC]]*Table215[[#This Row],[RT TIME (744)]]</f>
        <v>#N/A</v>
      </c>
    </row>
    <row r="579" spans="1:16" ht="15" customHeight="1" x14ac:dyDescent="0.25">
      <c r="A579" s="38" t="s">
        <v>13580</v>
      </c>
      <c r="B579" s="39" t="s">
        <v>5051</v>
      </c>
      <c r="C579" s="39"/>
      <c r="D579" s="39">
        <v>3</v>
      </c>
      <c r="E579" s="1" t="s">
        <v>1427</v>
      </c>
      <c r="F579" s="1" t="str">
        <f>VLOOKUP(E:E,Table10[[COUNTRY NAME]:[CONTINENT CODE]],3,FALSE)</f>
        <v>EU</v>
      </c>
      <c r="G579" s="156" t="s">
        <v>11780</v>
      </c>
      <c r="H579" s="8">
        <v>10096</v>
      </c>
      <c r="I579" s="41">
        <v>24.5</v>
      </c>
      <c r="J579" s="157"/>
      <c r="K579" s="6">
        <f>IFERROR(Table215[[#This Row],[ROUTE $]]/Table215[[#This Row],[E - DEMAND]],0)</f>
        <v>0</v>
      </c>
      <c r="L579" s="5"/>
      <c r="M579" s="39" t="e">
        <f>VLOOKUP(Table215[[#This Row],[ROUTE]],DEMAND!A:F,5,FALSE)</f>
        <v>#N/A</v>
      </c>
      <c r="N579" s="39" t="e">
        <f>VLOOKUP(Table215[[#This Row],[ROUTE]],DEMAND!A:F,6,FALSE)</f>
        <v>#N/A</v>
      </c>
      <c r="O579" s="39" t="e">
        <f>ROUNDDOWN(Table215[[#This Row],[R-DEMAND]]/1320,0)</f>
        <v>#N/A</v>
      </c>
      <c r="P579" s="41" t="e">
        <f>Table215[[#This Row],[ADD ACC]]*Table215[[#This Row],[RT TIME (744)]]</f>
        <v>#N/A</v>
      </c>
    </row>
    <row r="580" spans="1:16" ht="15" customHeight="1" x14ac:dyDescent="0.25">
      <c r="A580" s="38" t="s">
        <v>13933</v>
      </c>
      <c r="B580" s="39" t="s">
        <v>3337</v>
      </c>
      <c r="C580" s="39"/>
      <c r="D580" s="39">
        <v>2</v>
      </c>
      <c r="E580" s="143" t="s">
        <v>647</v>
      </c>
      <c r="F580" s="38" t="e">
        <f>VLOOKUP(E:E,Table10[[COUNTRY NAME]:[CONTINENT CODE]],3,FALSE)</f>
        <v>#N/A</v>
      </c>
      <c r="G580" s="155" t="s">
        <v>13267</v>
      </c>
      <c r="H580" s="40">
        <v>10054</v>
      </c>
      <c r="I580" s="41">
        <v>24.5</v>
      </c>
      <c r="J580" s="157"/>
      <c r="K580" s="42">
        <f>IFERROR(Table215[[#This Row],[ROUTE $]]/Table215[[#This Row],[E - DEMAND]],0)</f>
        <v>0</v>
      </c>
      <c r="L580" s="43"/>
      <c r="M580" s="39" t="e">
        <f>VLOOKUP(Table215[[#This Row],[ROUTE]],DEMAND!A:F,5,FALSE)</f>
        <v>#N/A</v>
      </c>
      <c r="N580" s="39" t="e">
        <f>VLOOKUP(Table215[[#This Row],[ROUTE]],DEMAND!A:F,6,FALSE)</f>
        <v>#N/A</v>
      </c>
      <c r="O580" s="39" t="e">
        <f>ROUNDDOWN(Table215[[#This Row],[R-DEMAND]]/1320,0)</f>
        <v>#N/A</v>
      </c>
      <c r="P580" s="41" t="e">
        <f>Table215[[#This Row],[ADD ACC]]*Table215[[#This Row],[RT TIME (744)]]</f>
        <v>#N/A</v>
      </c>
    </row>
    <row r="581" spans="1:16" ht="15" customHeight="1" x14ac:dyDescent="0.25">
      <c r="A581" s="38" t="s">
        <v>13932</v>
      </c>
      <c r="B581" s="39" t="s">
        <v>4665</v>
      </c>
      <c r="C581" s="39"/>
      <c r="D581" s="39">
        <v>3</v>
      </c>
      <c r="E581" s="143" t="s">
        <v>647</v>
      </c>
      <c r="F581" s="38" t="e">
        <f>VLOOKUP(E:E,Table10[[COUNTRY NAME]:[CONTINENT CODE]],3,FALSE)</f>
        <v>#N/A</v>
      </c>
      <c r="G581" s="155" t="s">
        <v>13266</v>
      </c>
      <c r="H581" s="40">
        <v>10178</v>
      </c>
      <c r="I581" s="41">
        <v>24.75</v>
      </c>
      <c r="J581" s="157"/>
      <c r="K581" s="42">
        <f>IFERROR(Table215[[#This Row],[ROUTE $]]/Table215[[#This Row],[E - DEMAND]],0)</f>
        <v>0</v>
      </c>
      <c r="L581" s="43"/>
      <c r="M581" s="39" t="e">
        <f>VLOOKUP(Table215[[#This Row],[ROUTE]],DEMAND!A:F,5,FALSE)</f>
        <v>#N/A</v>
      </c>
      <c r="N581" s="39" t="e">
        <f>VLOOKUP(Table215[[#This Row],[ROUTE]],DEMAND!A:F,6,FALSE)</f>
        <v>#N/A</v>
      </c>
      <c r="O581" s="39" t="e">
        <f>ROUNDDOWN(Table215[[#This Row],[R-DEMAND]]/1320,0)</f>
        <v>#N/A</v>
      </c>
      <c r="P581" s="41" t="e">
        <f>Table215[[#This Row],[ADD ACC]]*Table215[[#This Row],[RT TIME (744)]]</f>
        <v>#N/A</v>
      </c>
    </row>
    <row r="582" spans="1:16" ht="15" customHeight="1" x14ac:dyDescent="0.25">
      <c r="A582" s="38" t="s">
        <v>13593</v>
      </c>
      <c r="B582" s="39" t="s">
        <v>2922</v>
      </c>
      <c r="C582" s="39"/>
      <c r="D582" s="39">
        <v>2</v>
      </c>
      <c r="E582" s="1" t="s">
        <v>597</v>
      </c>
      <c r="F582" s="1" t="str">
        <f>VLOOKUP(E:E,Table10[[COUNTRY NAME]:[CONTINENT CODE]],3,FALSE)</f>
        <v>EU</v>
      </c>
      <c r="G582" s="156" t="s">
        <v>11840</v>
      </c>
      <c r="H582" s="8">
        <v>10228</v>
      </c>
      <c r="I582" s="41">
        <v>24.75</v>
      </c>
      <c r="J582" s="157"/>
      <c r="K582" s="6">
        <f>IFERROR(Table215[[#This Row],[ROUTE $]]/Table215[[#This Row],[E - DEMAND]],0)</f>
        <v>0</v>
      </c>
      <c r="L582" s="4"/>
      <c r="M582" s="39" t="e">
        <f>VLOOKUP(Table215[[#This Row],[ROUTE]],DEMAND!A:F,5,FALSE)</f>
        <v>#N/A</v>
      </c>
      <c r="N582" s="39" t="e">
        <f>VLOOKUP(Table215[[#This Row],[ROUTE]],DEMAND!A:F,6,FALSE)</f>
        <v>#N/A</v>
      </c>
      <c r="O582" s="39" t="e">
        <f>ROUNDDOWN(Table215[[#This Row],[R-DEMAND]]/1320,0)</f>
        <v>#N/A</v>
      </c>
      <c r="P582" s="41" t="e">
        <f>Table215[[#This Row],[ADD ACC]]*Table215[[#This Row],[RT TIME (744)]]</f>
        <v>#N/A</v>
      </c>
    </row>
    <row r="583" spans="1:16" ht="15" customHeight="1" x14ac:dyDescent="0.25">
      <c r="A583" s="38" t="s">
        <v>13931</v>
      </c>
      <c r="B583" s="39" t="s">
        <v>3666</v>
      </c>
      <c r="C583" s="39"/>
      <c r="D583" s="39">
        <v>2</v>
      </c>
      <c r="E583" s="143" t="s">
        <v>647</v>
      </c>
      <c r="F583" s="38" t="e">
        <f>VLOOKUP(E:E,Table10[[COUNTRY NAME]:[CONTINENT CODE]],3,FALSE)</f>
        <v>#N/A</v>
      </c>
      <c r="G583" s="155" t="s">
        <v>13265</v>
      </c>
      <c r="H583" s="40">
        <v>10202</v>
      </c>
      <c r="I583" s="41">
        <v>24.75</v>
      </c>
      <c r="J583" s="157"/>
      <c r="K583" s="42">
        <f>IFERROR(Table215[[#This Row],[ROUTE $]]/Table215[[#This Row],[E - DEMAND]],0)</f>
        <v>0</v>
      </c>
      <c r="L583" s="43"/>
      <c r="M583" s="39" t="e">
        <f>VLOOKUP(Table215[[#This Row],[ROUTE]],DEMAND!A:F,5,FALSE)</f>
        <v>#N/A</v>
      </c>
      <c r="N583" s="39" t="e">
        <f>VLOOKUP(Table215[[#This Row],[ROUTE]],DEMAND!A:F,6,FALSE)</f>
        <v>#N/A</v>
      </c>
      <c r="O583" s="39" t="e">
        <f>ROUNDDOWN(Table215[[#This Row],[R-DEMAND]]/1320,0)</f>
        <v>#N/A</v>
      </c>
      <c r="P583" s="41" t="e">
        <f>Table215[[#This Row],[ADD ACC]]*Table215[[#This Row],[RT TIME (744)]]</f>
        <v>#N/A</v>
      </c>
    </row>
    <row r="584" spans="1:16" ht="15" customHeight="1" x14ac:dyDescent="0.25">
      <c r="A584" s="38" t="s">
        <v>13522</v>
      </c>
      <c r="B584" s="39" t="s">
        <v>5091</v>
      </c>
      <c r="C584" s="39"/>
      <c r="D584" s="39">
        <v>3</v>
      </c>
      <c r="E584" s="1" t="s">
        <v>876</v>
      </c>
      <c r="F584" s="1" t="str">
        <f>VLOOKUP(E:E,Table10[[COUNTRY NAME]:[CONTINENT CODE]],3,FALSE)</f>
        <v>EU</v>
      </c>
      <c r="G584" s="160" t="s">
        <v>10595</v>
      </c>
      <c r="H584" s="40">
        <v>10246</v>
      </c>
      <c r="I584" s="41">
        <v>24.75</v>
      </c>
      <c r="J584" s="157"/>
      <c r="K584" s="42">
        <f>IFERROR(Table215[[#This Row],[ROUTE $]]/Table215[[#This Row],[E - DEMAND]],0)</f>
        <v>0</v>
      </c>
      <c r="L584" s="43"/>
      <c r="M584" s="39" t="e">
        <f>VLOOKUP(Table215[[#This Row],[ROUTE]],DEMAND!A:F,5,FALSE)</f>
        <v>#N/A</v>
      </c>
      <c r="N584" s="39" t="e">
        <f>VLOOKUP(Table215[[#This Row],[ROUTE]],DEMAND!A:F,6,FALSE)</f>
        <v>#N/A</v>
      </c>
      <c r="O584" s="39" t="e">
        <f>ROUNDDOWN(Table215[[#This Row],[R-DEMAND]]/1320,0)</f>
        <v>#N/A</v>
      </c>
      <c r="P584" s="41" t="e">
        <f>Table215[[#This Row],[ADD ACC]]*Table215[[#This Row],[RT TIME (744)]]</f>
        <v>#N/A</v>
      </c>
    </row>
    <row r="585" spans="1:16" ht="15" customHeight="1" x14ac:dyDescent="0.25">
      <c r="A585" s="38" t="s">
        <v>13578</v>
      </c>
      <c r="B585" s="39" t="s">
        <v>4937</v>
      </c>
      <c r="C585" s="39"/>
      <c r="D585" s="39">
        <v>3</v>
      </c>
      <c r="E585" s="1" t="s">
        <v>1427</v>
      </c>
      <c r="F585" s="1" t="str">
        <f>VLOOKUP(E:E,Table10[[COUNTRY NAME]:[CONTINENT CODE]],3,FALSE)</f>
        <v>EU</v>
      </c>
      <c r="G585" s="156" t="s">
        <v>11791</v>
      </c>
      <c r="H585" s="8">
        <v>10161</v>
      </c>
      <c r="I585" s="41">
        <v>24.75</v>
      </c>
      <c r="J585" s="157"/>
      <c r="K585" s="6">
        <f>IFERROR(Table215[[#This Row],[ROUTE $]]/Table215[[#This Row],[E - DEMAND]],0)</f>
        <v>0</v>
      </c>
      <c r="L585" s="4"/>
      <c r="M585" s="39" t="e">
        <f>VLOOKUP(Table215[[#This Row],[ROUTE]],DEMAND!A:F,5,FALSE)</f>
        <v>#N/A</v>
      </c>
      <c r="N585" s="39" t="e">
        <f>VLOOKUP(Table215[[#This Row],[ROUTE]],DEMAND!A:F,6,FALSE)</f>
        <v>#N/A</v>
      </c>
      <c r="O585" s="39" t="e">
        <f>ROUNDDOWN(Table215[[#This Row],[R-DEMAND]]/1320,0)</f>
        <v>#N/A</v>
      </c>
      <c r="P585" s="41" t="e">
        <f>Table215[[#This Row],[ADD ACC]]*Table215[[#This Row],[RT TIME (744)]]</f>
        <v>#N/A</v>
      </c>
    </row>
    <row r="586" spans="1:16" ht="15" customHeight="1" x14ac:dyDescent="0.25">
      <c r="A586" s="38" t="s">
        <v>13805</v>
      </c>
      <c r="B586" s="39" t="s">
        <v>5031</v>
      </c>
      <c r="C586" s="39"/>
      <c r="D586" s="39">
        <v>3</v>
      </c>
      <c r="E586" s="38" t="s">
        <v>659</v>
      </c>
      <c r="F586" s="38" t="str">
        <f>VLOOKUP(E:E,Table10[[COUNTRY NAME]:[CONTINENT CODE]],3,FALSE)</f>
        <v>EU</v>
      </c>
      <c r="G586" s="155" t="s">
        <v>11804</v>
      </c>
      <c r="H586" s="40">
        <v>10169</v>
      </c>
      <c r="I586" s="41">
        <v>24.75</v>
      </c>
      <c r="J586" s="157"/>
      <c r="K586" s="42">
        <f>IFERROR(Table215[[#This Row],[ROUTE $]]/Table215[[#This Row],[E - DEMAND]],0)</f>
        <v>0</v>
      </c>
      <c r="L586" s="43"/>
      <c r="M586" s="39" t="e">
        <f>VLOOKUP(Table215[[#This Row],[ROUTE]],DEMAND!A:F,5,FALSE)</f>
        <v>#N/A</v>
      </c>
      <c r="N586" s="39" t="e">
        <f>VLOOKUP(Table215[[#This Row],[ROUTE]],DEMAND!A:F,6,FALSE)</f>
        <v>#N/A</v>
      </c>
      <c r="O586" s="39" t="e">
        <f>ROUNDDOWN(Table215[[#This Row],[R-DEMAND]]/1320,0)</f>
        <v>#N/A</v>
      </c>
      <c r="P586" s="41" t="e">
        <f>Table215[[#This Row],[ADD ACC]]*Table215[[#This Row],[RT TIME (744)]]</f>
        <v>#N/A</v>
      </c>
    </row>
    <row r="587" spans="1:16" ht="15" customHeight="1" x14ac:dyDescent="0.25">
      <c r="A587" s="38" t="s">
        <v>13576</v>
      </c>
      <c r="B587" s="39" t="s">
        <v>4279</v>
      </c>
      <c r="C587" s="39"/>
      <c r="D587" s="39">
        <v>2</v>
      </c>
      <c r="E587" s="1" t="s">
        <v>1427</v>
      </c>
      <c r="F587" s="1" t="str">
        <f>VLOOKUP(E:E,Table10[[COUNTRY NAME]:[CONTINENT CODE]],3,FALSE)</f>
        <v>EU</v>
      </c>
      <c r="G587" s="156" t="s">
        <v>11787</v>
      </c>
      <c r="H587" s="8">
        <v>10232</v>
      </c>
      <c r="I587" s="41">
        <v>24.75</v>
      </c>
      <c r="J587" s="157"/>
      <c r="K587" s="6">
        <f>IFERROR(Table215[[#This Row],[ROUTE $]]/Table215[[#This Row],[E - DEMAND]],0)</f>
        <v>0</v>
      </c>
      <c r="L587" s="5"/>
      <c r="M587" s="39" t="e">
        <f>VLOOKUP(Table215[[#This Row],[ROUTE]],DEMAND!A:F,5,FALSE)</f>
        <v>#N/A</v>
      </c>
      <c r="N587" s="39" t="e">
        <f>VLOOKUP(Table215[[#This Row],[ROUTE]],DEMAND!A:F,6,FALSE)</f>
        <v>#N/A</v>
      </c>
      <c r="O587" s="39" t="e">
        <f>ROUNDDOWN(Table215[[#This Row],[R-DEMAND]]/1320,0)</f>
        <v>#N/A</v>
      </c>
      <c r="P587" s="41" t="e">
        <f>Table215[[#This Row],[ADD ACC]]*Table215[[#This Row],[RT TIME (744)]]</f>
        <v>#N/A</v>
      </c>
    </row>
    <row r="588" spans="1:16" ht="15" customHeight="1" x14ac:dyDescent="0.25">
      <c r="A588" s="38" t="s">
        <v>13514</v>
      </c>
      <c r="B588" s="39" t="s">
        <v>3576</v>
      </c>
      <c r="C588" s="39"/>
      <c r="D588" s="39">
        <v>2</v>
      </c>
      <c r="E588" s="143" t="s">
        <v>2441</v>
      </c>
      <c r="F588" s="1" t="e">
        <f>VLOOKUP(E:E,Table10[[COUNTRY NAME]:[CONTINENT CODE]],3,FALSE)</f>
        <v>#N/A</v>
      </c>
      <c r="G588" s="156" t="s">
        <v>11806</v>
      </c>
      <c r="H588" s="8">
        <v>10319</v>
      </c>
      <c r="I588" s="41">
        <v>25</v>
      </c>
      <c r="J588" s="157"/>
      <c r="K588" s="6">
        <f>IFERROR(Table215[[#This Row],[ROUTE $]]/Table215[[#This Row],[E - DEMAND]],0)</f>
        <v>0</v>
      </c>
      <c r="L588" s="4"/>
      <c r="M588" s="39" t="e">
        <f>VLOOKUP(Table215[[#This Row],[ROUTE]],DEMAND!A:F,5,FALSE)</f>
        <v>#N/A</v>
      </c>
      <c r="N588" s="39" t="e">
        <f>VLOOKUP(Table215[[#This Row],[ROUTE]],DEMAND!A:F,6,FALSE)</f>
        <v>#N/A</v>
      </c>
      <c r="O588" s="39" t="e">
        <f>ROUNDDOWN(Table215[[#This Row],[R-DEMAND]]/1320,0)</f>
        <v>#N/A</v>
      </c>
      <c r="P588" s="41" t="e">
        <f>Table215[[#This Row],[ADD ACC]]*Table215[[#This Row],[RT TIME (744)]]</f>
        <v>#N/A</v>
      </c>
    </row>
    <row r="589" spans="1:16" ht="15" customHeight="1" x14ac:dyDescent="0.25">
      <c r="A589" s="38" t="s">
        <v>13930</v>
      </c>
      <c r="B589" s="39" t="s">
        <v>5132</v>
      </c>
      <c r="C589" s="39"/>
      <c r="D589" s="39">
        <v>3</v>
      </c>
      <c r="E589" s="143" t="s">
        <v>647</v>
      </c>
      <c r="F589" s="38" t="e">
        <f>VLOOKUP(E:E,Table10[[COUNTRY NAME]:[CONTINENT CODE]],3,FALSE)</f>
        <v>#N/A</v>
      </c>
      <c r="G589" s="155" t="s">
        <v>13264</v>
      </c>
      <c r="H589" s="40">
        <v>10291</v>
      </c>
      <c r="I589" s="41">
        <v>25</v>
      </c>
      <c r="J589" s="157"/>
      <c r="K589" s="42">
        <f>IFERROR(Table215[[#This Row],[ROUTE $]]/Table215[[#This Row],[E - DEMAND]],0)</f>
        <v>0</v>
      </c>
      <c r="L589" s="43"/>
      <c r="M589" s="39" t="e">
        <f>VLOOKUP(Table215[[#This Row],[ROUTE]],DEMAND!A:F,5,FALSE)</f>
        <v>#N/A</v>
      </c>
      <c r="N589" s="39" t="e">
        <f>VLOOKUP(Table215[[#This Row],[ROUTE]],DEMAND!A:F,6,FALSE)</f>
        <v>#N/A</v>
      </c>
      <c r="O589" s="39" t="e">
        <f>ROUNDDOWN(Table215[[#This Row],[R-DEMAND]]/1320,0)</f>
        <v>#N/A</v>
      </c>
      <c r="P589" s="41" t="e">
        <f>Table215[[#This Row],[ADD ACC]]*Table215[[#This Row],[RT TIME (744)]]</f>
        <v>#N/A</v>
      </c>
    </row>
    <row r="590" spans="1:16" ht="15" customHeight="1" x14ac:dyDescent="0.25">
      <c r="A590" s="38" t="s">
        <v>13537</v>
      </c>
      <c r="B590" s="39" t="s">
        <v>4445</v>
      </c>
      <c r="C590" s="39"/>
      <c r="D590" s="39">
        <v>2</v>
      </c>
      <c r="E590" s="1" t="s">
        <v>1124</v>
      </c>
      <c r="F590" s="1" t="str">
        <f>VLOOKUP(E:E,Table10[[COUNTRY NAME]:[CONTINENT CODE]],3,FALSE)</f>
        <v>AF</v>
      </c>
      <c r="G590" s="160" t="s">
        <v>11894</v>
      </c>
      <c r="H590" s="40">
        <v>10282</v>
      </c>
      <c r="I590" s="41">
        <v>25</v>
      </c>
      <c r="J590" s="157"/>
      <c r="K590" s="42">
        <f>IFERROR(Table215[[#This Row],[ROUTE $]]/Table215[[#This Row],[E - DEMAND]],0)</f>
        <v>0</v>
      </c>
      <c r="L590" s="43"/>
      <c r="M590" s="39" t="e">
        <f>VLOOKUP(Table215[[#This Row],[ROUTE]],DEMAND!A:F,5,FALSE)</f>
        <v>#N/A</v>
      </c>
      <c r="N590" s="39" t="e">
        <f>VLOOKUP(Table215[[#This Row],[ROUTE]],DEMAND!A:F,6,FALSE)</f>
        <v>#N/A</v>
      </c>
      <c r="O590" s="39" t="e">
        <f>ROUNDDOWN(Table215[[#This Row],[R-DEMAND]]/1320,0)</f>
        <v>#N/A</v>
      </c>
      <c r="P590" s="41" t="e">
        <f>Table215[[#This Row],[ADD ACC]]*Table215[[#This Row],[RT TIME (744)]]</f>
        <v>#N/A</v>
      </c>
    </row>
    <row r="591" spans="1:16" ht="15" customHeight="1" x14ac:dyDescent="0.25">
      <c r="A591" s="38" t="s">
        <v>13929</v>
      </c>
      <c r="B591" s="39" t="s">
        <v>5247</v>
      </c>
      <c r="C591" s="39"/>
      <c r="D591" s="39">
        <v>3</v>
      </c>
      <c r="E591" s="143" t="s">
        <v>647</v>
      </c>
      <c r="F591" s="38" t="e">
        <f>VLOOKUP(E:E,Table10[[COUNTRY NAME]:[CONTINENT CODE]],3,FALSE)</f>
        <v>#N/A</v>
      </c>
      <c r="G591" s="155" t="s">
        <v>13263</v>
      </c>
      <c r="H591" s="40">
        <v>10326</v>
      </c>
      <c r="I591" s="41">
        <v>25</v>
      </c>
      <c r="J591" s="157"/>
      <c r="K591" s="42">
        <f>IFERROR(Table215[[#This Row],[ROUTE $]]/Table215[[#This Row],[E - DEMAND]],0)</f>
        <v>0</v>
      </c>
      <c r="L591" s="43"/>
      <c r="M591" s="39" t="e">
        <f>VLOOKUP(Table215[[#This Row],[ROUTE]],DEMAND!A:F,5,FALSE)</f>
        <v>#N/A</v>
      </c>
      <c r="N591" s="39" t="e">
        <f>VLOOKUP(Table215[[#This Row],[ROUTE]],DEMAND!A:F,6,FALSE)</f>
        <v>#N/A</v>
      </c>
      <c r="O591" s="39" t="e">
        <f>ROUNDDOWN(Table215[[#This Row],[R-DEMAND]]/1320,0)</f>
        <v>#N/A</v>
      </c>
      <c r="P591" s="41" t="e">
        <f>Table215[[#This Row],[ADD ACC]]*Table215[[#This Row],[RT TIME (744)]]</f>
        <v>#N/A</v>
      </c>
    </row>
    <row r="592" spans="1:16" ht="15" customHeight="1" x14ac:dyDescent="0.25">
      <c r="A592" s="38" t="s">
        <v>13754</v>
      </c>
      <c r="B592" s="39" t="s">
        <v>4535</v>
      </c>
      <c r="C592" s="39"/>
      <c r="D592" s="39">
        <v>2</v>
      </c>
      <c r="E592" s="38" t="s">
        <v>1420</v>
      </c>
      <c r="F592" s="38" t="str">
        <f>VLOOKUP(E:E,Table10[[COUNTRY NAME]:[CONTINENT CODE]],3,FALSE)</f>
        <v>EU</v>
      </c>
      <c r="G592" s="155" t="s">
        <v>11820</v>
      </c>
      <c r="H592" s="40">
        <v>10287</v>
      </c>
      <c r="I592" s="41">
        <v>25</v>
      </c>
      <c r="J592" s="157"/>
      <c r="K592" s="42">
        <f>IFERROR(Table215[[#This Row],[ROUTE $]]/Table215[[#This Row],[E - DEMAND]],0)</f>
        <v>0</v>
      </c>
      <c r="L592" s="43"/>
      <c r="M592" s="39" t="e">
        <f>VLOOKUP(Table215[[#This Row],[ROUTE]],DEMAND!A:F,5,FALSE)</f>
        <v>#N/A</v>
      </c>
      <c r="N592" s="39" t="e">
        <f>VLOOKUP(Table215[[#This Row],[ROUTE]],DEMAND!A:F,6,FALSE)</f>
        <v>#N/A</v>
      </c>
      <c r="O592" s="39" t="e">
        <f>ROUNDDOWN(Table215[[#This Row],[R-DEMAND]]/1320,0)</f>
        <v>#N/A</v>
      </c>
      <c r="P592" s="41" t="e">
        <f>Table215[[#This Row],[ADD ACC]]*Table215[[#This Row],[RT TIME (744)]]</f>
        <v>#N/A</v>
      </c>
    </row>
    <row r="593" spans="1:16" ht="15" customHeight="1" x14ac:dyDescent="0.25">
      <c r="A593" s="38" t="s">
        <v>13928</v>
      </c>
      <c r="B593" s="39" t="s">
        <v>4158</v>
      </c>
      <c r="C593" s="39"/>
      <c r="D593" s="39">
        <v>2</v>
      </c>
      <c r="E593" s="143" t="s">
        <v>647</v>
      </c>
      <c r="F593" s="38" t="e">
        <f>VLOOKUP(E:E,Table10[[COUNTRY NAME]:[CONTINENT CODE]],3,FALSE)</f>
        <v>#N/A</v>
      </c>
      <c r="G593" s="155" t="s">
        <v>13262</v>
      </c>
      <c r="H593" s="40">
        <v>10341</v>
      </c>
      <c r="I593" s="41">
        <v>25</v>
      </c>
      <c r="J593" s="157"/>
      <c r="K593" s="42">
        <f>IFERROR(Table215[[#This Row],[ROUTE $]]/Table215[[#This Row],[E - DEMAND]],0)</f>
        <v>0</v>
      </c>
      <c r="L593" s="43"/>
      <c r="M593" s="39" t="e">
        <f>VLOOKUP(Table215[[#This Row],[ROUTE]],DEMAND!A:F,5,FALSE)</f>
        <v>#N/A</v>
      </c>
      <c r="N593" s="39" t="e">
        <f>VLOOKUP(Table215[[#This Row],[ROUTE]],DEMAND!A:F,6,FALSE)</f>
        <v>#N/A</v>
      </c>
      <c r="O593" s="39" t="e">
        <f>ROUNDDOWN(Table215[[#This Row],[R-DEMAND]]/1320,0)</f>
        <v>#N/A</v>
      </c>
      <c r="P593" s="41" t="e">
        <f>Table215[[#This Row],[ADD ACC]]*Table215[[#This Row],[RT TIME (744)]]</f>
        <v>#N/A</v>
      </c>
    </row>
    <row r="594" spans="1:16" ht="15" customHeight="1" x14ac:dyDescent="0.25">
      <c r="A594" s="38" t="s">
        <v>13520</v>
      </c>
      <c r="B594" s="39" t="s">
        <v>4164</v>
      </c>
      <c r="C594" s="39"/>
      <c r="D594" s="39">
        <v>2</v>
      </c>
      <c r="E594" s="1" t="s">
        <v>876</v>
      </c>
      <c r="F594" s="1" t="str">
        <f>VLOOKUP(E:E,Table10[[COUNTRY NAME]:[CONTINENT CODE]],3,FALSE)</f>
        <v>EU</v>
      </c>
      <c r="G594" s="160" t="s">
        <v>11772</v>
      </c>
      <c r="H594" s="40">
        <v>10355</v>
      </c>
      <c r="I594" s="41">
        <v>25</v>
      </c>
      <c r="J594" s="157"/>
      <c r="K594" s="42">
        <f>IFERROR(Table215[[#This Row],[ROUTE $]]/Table215[[#This Row],[E - DEMAND]],0)</f>
        <v>0</v>
      </c>
      <c r="L594" s="43"/>
      <c r="M594" s="39" t="e">
        <f>VLOOKUP(Table215[[#This Row],[ROUTE]],DEMAND!A:F,5,FALSE)</f>
        <v>#N/A</v>
      </c>
      <c r="N594" s="39" t="e">
        <f>VLOOKUP(Table215[[#This Row],[ROUTE]],DEMAND!A:F,6,FALSE)</f>
        <v>#N/A</v>
      </c>
      <c r="O594" s="39" t="e">
        <f>ROUNDDOWN(Table215[[#This Row],[R-DEMAND]]/1320,0)</f>
        <v>#N/A</v>
      </c>
      <c r="P594" s="41" t="e">
        <f>Table215[[#This Row],[ADD ACC]]*Table215[[#This Row],[RT TIME (744)]]</f>
        <v>#N/A</v>
      </c>
    </row>
    <row r="595" spans="1:16" ht="15" customHeight="1" x14ac:dyDescent="0.25">
      <c r="A595" s="38" t="s">
        <v>13521</v>
      </c>
      <c r="B595" s="39" t="s">
        <v>3664</v>
      </c>
      <c r="C595" s="39"/>
      <c r="D595" s="39">
        <v>2</v>
      </c>
      <c r="E595" s="1" t="s">
        <v>876</v>
      </c>
      <c r="F595" s="1" t="str">
        <f>VLOOKUP(E:E,Table10[[COUNTRY NAME]:[CONTINENT CODE]],3,FALSE)</f>
        <v>EU</v>
      </c>
      <c r="G595" s="156" t="s">
        <v>11761</v>
      </c>
      <c r="H595" s="8">
        <v>10285</v>
      </c>
      <c r="I595" s="41">
        <v>25</v>
      </c>
      <c r="J595" s="157"/>
      <c r="K595" s="6">
        <f>IFERROR(Table215[[#This Row],[ROUTE $]]/Table215[[#This Row],[E - DEMAND]],0)</f>
        <v>0</v>
      </c>
      <c r="L595" s="4"/>
      <c r="M595" s="39" t="e">
        <f>VLOOKUP(Table215[[#This Row],[ROUTE]],DEMAND!A:F,5,FALSE)</f>
        <v>#N/A</v>
      </c>
      <c r="N595" s="39" t="e">
        <f>VLOOKUP(Table215[[#This Row],[ROUTE]],DEMAND!A:F,6,FALSE)</f>
        <v>#N/A</v>
      </c>
      <c r="O595" s="39" t="e">
        <f>ROUNDDOWN(Table215[[#This Row],[R-DEMAND]]/1320,0)</f>
        <v>#N/A</v>
      </c>
      <c r="P595" s="41" t="e">
        <f>Table215[[#This Row],[ADD ACC]]*Table215[[#This Row],[RT TIME (744)]]</f>
        <v>#N/A</v>
      </c>
    </row>
    <row r="596" spans="1:16" ht="15" customHeight="1" x14ac:dyDescent="0.25">
      <c r="A596" s="38" t="s">
        <v>13927</v>
      </c>
      <c r="B596" s="39" t="s">
        <v>2247</v>
      </c>
      <c r="C596" s="39"/>
      <c r="D596" s="39">
        <v>1</v>
      </c>
      <c r="E596" s="143" t="s">
        <v>647</v>
      </c>
      <c r="F596" s="38" t="e">
        <f>VLOOKUP(E:E,Table10[[COUNTRY NAME]:[CONTINENT CODE]],3,FALSE)</f>
        <v>#N/A</v>
      </c>
      <c r="G596" s="155" t="s">
        <v>13261</v>
      </c>
      <c r="H596" s="40">
        <v>10355</v>
      </c>
      <c r="I596" s="41">
        <v>25</v>
      </c>
      <c r="J596" s="157"/>
      <c r="K596" s="42">
        <f>IFERROR(Table215[[#This Row],[ROUTE $]]/Table215[[#This Row],[E - DEMAND]],0)</f>
        <v>0</v>
      </c>
      <c r="L596" s="43"/>
      <c r="M596" s="39" t="e">
        <f>VLOOKUP(Table215[[#This Row],[ROUTE]],DEMAND!A:F,5,FALSE)</f>
        <v>#N/A</v>
      </c>
      <c r="N596" s="39" t="e">
        <f>VLOOKUP(Table215[[#This Row],[ROUTE]],DEMAND!A:F,6,FALSE)</f>
        <v>#N/A</v>
      </c>
      <c r="O596" s="39" t="e">
        <f>ROUNDDOWN(Table215[[#This Row],[R-DEMAND]]/1320,0)</f>
        <v>#N/A</v>
      </c>
      <c r="P596" s="41" t="e">
        <f>Table215[[#This Row],[ADD ACC]]*Table215[[#This Row],[RT TIME (744)]]</f>
        <v>#N/A</v>
      </c>
    </row>
    <row r="597" spans="1:16" ht="15" customHeight="1" x14ac:dyDescent="0.25">
      <c r="A597" s="38" t="s">
        <v>13533</v>
      </c>
      <c r="B597" s="39" t="s">
        <v>3373</v>
      </c>
      <c r="C597" s="39"/>
      <c r="D597" s="39">
        <v>2</v>
      </c>
      <c r="E597" s="1" t="s">
        <v>1124</v>
      </c>
      <c r="F597" s="1" t="str">
        <f>VLOOKUP(E:E,Table10[[COUNTRY NAME]:[CONTINENT CODE]],3,FALSE)</f>
        <v>AF</v>
      </c>
      <c r="G597" s="156" t="s">
        <v>11882</v>
      </c>
      <c r="H597" s="8">
        <v>10487</v>
      </c>
      <c r="I597" s="41">
        <v>25.25</v>
      </c>
      <c r="J597" s="157"/>
      <c r="K597" s="6">
        <f>IFERROR(Table215[[#This Row],[ROUTE $]]/Table215[[#This Row],[E - DEMAND]],0)</f>
        <v>0</v>
      </c>
      <c r="L597" s="5"/>
      <c r="M597" s="39" t="e">
        <f>VLOOKUP(Table215[[#This Row],[ROUTE]],DEMAND!A:F,5,FALSE)</f>
        <v>#N/A</v>
      </c>
      <c r="N597" s="39" t="e">
        <f>VLOOKUP(Table215[[#This Row],[ROUTE]],DEMAND!A:F,6,FALSE)</f>
        <v>#N/A</v>
      </c>
      <c r="O597" s="39" t="e">
        <f>ROUNDDOWN(Table215[[#This Row],[R-DEMAND]]/1320,0)</f>
        <v>#N/A</v>
      </c>
      <c r="P597" s="41" t="e">
        <f>Table215[[#This Row],[ADD ACC]]*Table215[[#This Row],[RT TIME (744)]]</f>
        <v>#N/A</v>
      </c>
    </row>
    <row r="598" spans="1:16" ht="15" customHeight="1" x14ac:dyDescent="0.25">
      <c r="A598" s="38" t="s">
        <v>13534</v>
      </c>
      <c r="B598" s="39" t="s">
        <v>1126</v>
      </c>
      <c r="C598" s="39"/>
      <c r="D598" s="39">
        <v>1</v>
      </c>
      <c r="E598" s="1" t="s">
        <v>1124</v>
      </c>
      <c r="F598" s="1" t="str">
        <f>VLOOKUP(E:E,Table10[[COUNTRY NAME]:[CONTINENT CODE]],3,FALSE)</f>
        <v>AF</v>
      </c>
      <c r="G598" s="156" t="s">
        <v>11871</v>
      </c>
      <c r="H598" s="8">
        <v>10474</v>
      </c>
      <c r="I598" s="41">
        <v>25.25</v>
      </c>
      <c r="J598" s="157"/>
      <c r="K598" s="6">
        <f>IFERROR(Table215[[#This Row],[ROUTE $]]/Table215[[#This Row],[E - DEMAND]],0)</f>
        <v>0</v>
      </c>
      <c r="L598" s="4"/>
      <c r="M598" s="39" t="e">
        <f>VLOOKUP(Table215[[#This Row],[ROUTE]],DEMAND!A:F,5,FALSE)</f>
        <v>#N/A</v>
      </c>
      <c r="N598" s="39" t="e">
        <f>VLOOKUP(Table215[[#This Row],[ROUTE]],DEMAND!A:F,6,FALSE)</f>
        <v>#N/A</v>
      </c>
      <c r="O598" s="39" t="e">
        <f>ROUNDDOWN(Table215[[#This Row],[R-DEMAND]]/1320,0)</f>
        <v>#N/A</v>
      </c>
      <c r="P598" s="41" t="e">
        <f>Table215[[#This Row],[ADD ACC]]*Table215[[#This Row],[RT TIME (744)]]</f>
        <v>#N/A</v>
      </c>
    </row>
    <row r="599" spans="1:16" ht="15" customHeight="1" x14ac:dyDescent="0.25">
      <c r="A599" s="38" t="s">
        <v>13753</v>
      </c>
      <c r="B599" s="39" t="s">
        <v>105</v>
      </c>
      <c r="C599" s="39"/>
      <c r="D599" s="39">
        <v>2</v>
      </c>
      <c r="E599" s="38" t="s">
        <v>1420</v>
      </c>
      <c r="F599" s="38" t="str">
        <f>VLOOKUP(E:E,Table10[[COUNTRY NAME]:[CONTINENT CODE]],3,FALSE)</f>
        <v>EU</v>
      </c>
      <c r="G599" s="155" t="s">
        <v>11829</v>
      </c>
      <c r="H599" s="40">
        <v>10469</v>
      </c>
      <c r="I599" s="41">
        <v>25.25</v>
      </c>
      <c r="J599" s="157"/>
      <c r="K599" s="42">
        <f>IFERROR(Table215[[#This Row],[ROUTE $]]/Table215[[#This Row],[E - DEMAND]],0)</f>
        <v>0</v>
      </c>
      <c r="L599" s="43"/>
      <c r="M599" s="39" t="e">
        <f>VLOOKUP(Table215[[#This Row],[ROUTE]],DEMAND!A:F,5,FALSE)</f>
        <v>#N/A</v>
      </c>
      <c r="N599" s="39" t="e">
        <f>VLOOKUP(Table215[[#This Row],[ROUTE]],DEMAND!A:F,6,FALSE)</f>
        <v>#N/A</v>
      </c>
      <c r="O599" s="39" t="e">
        <f>ROUNDDOWN(Table215[[#This Row],[R-DEMAND]]/1320,0)</f>
        <v>#N/A</v>
      </c>
      <c r="P599" s="41" t="e">
        <f>Table215[[#This Row],[ADD ACC]]*Table215[[#This Row],[RT TIME (744)]]</f>
        <v>#N/A</v>
      </c>
    </row>
    <row r="600" spans="1:16" ht="15" customHeight="1" x14ac:dyDescent="0.25">
      <c r="A600" s="38" t="s">
        <v>13799</v>
      </c>
      <c r="B600" s="39" t="s">
        <v>1939</v>
      </c>
      <c r="C600" s="39"/>
      <c r="D600" s="39">
        <v>1</v>
      </c>
      <c r="E600" s="38" t="s">
        <v>172</v>
      </c>
      <c r="F600" s="38" t="str">
        <f>VLOOKUP(E:E,Table10[[COUNTRY NAME]:[CONTINENT CODE]],3,FALSE)</f>
        <v>AS</v>
      </c>
      <c r="G600" s="155" t="s">
        <v>9941</v>
      </c>
      <c r="H600" s="40">
        <v>10484</v>
      </c>
      <c r="I600" s="41">
        <v>25.25</v>
      </c>
      <c r="J600" s="157"/>
      <c r="K600" s="42">
        <f>IFERROR(Table215[[#This Row],[ROUTE $]]/Table215[[#This Row],[E - DEMAND]],0)</f>
        <v>0</v>
      </c>
      <c r="L600" s="43"/>
      <c r="M600" s="39" t="e">
        <f>VLOOKUP(Table215[[#This Row],[ROUTE]],DEMAND!A:F,5,FALSE)</f>
        <v>#N/A</v>
      </c>
      <c r="N600" s="39" t="e">
        <f>VLOOKUP(Table215[[#This Row],[ROUTE]],DEMAND!A:F,6,FALSE)</f>
        <v>#N/A</v>
      </c>
      <c r="O600" s="39" t="e">
        <f>ROUNDDOWN(Table215[[#This Row],[R-DEMAND]]/1320,0)</f>
        <v>#N/A</v>
      </c>
      <c r="P600" s="41" t="e">
        <f>Table215[[#This Row],[ADD ACC]]*Table215[[#This Row],[RT TIME (744)]]</f>
        <v>#N/A</v>
      </c>
    </row>
    <row r="601" spans="1:16" ht="15" customHeight="1" x14ac:dyDescent="0.25">
      <c r="A601" s="38" t="s">
        <v>13887</v>
      </c>
      <c r="B601" s="39" t="s">
        <v>3046</v>
      </c>
      <c r="C601" s="39"/>
      <c r="D601" s="39">
        <v>2</v>
      </c>
      <c r="E601" s="38" t="s">
        <v>700</v>
      </c>
      <c r="F601" s="38" t="str">
        <f>VLOOKUP(E:E,Table10[[COUNTRY NAME]:[CONTINENT CODE]],3,FALSE)</f>
        <v>AS</v>
      </c>
      <c r="G601" s="155" t="s">
        <v>11853</v>
      </c>
      <c r="H601" s="40">
        <v>10458</v>
      </c>
      <c r="I601" s="41">
        <v>25.25</v>
      </c>
      <c r="J601" s="157"/>
      <c r="K601" s="42">
        <f>IFERROR(Table215[[#This Row],[ROUTE $]]/Table215[[#This Row],[E - DEMAND]],0)</f>
        <v>0</v>
      </c>
      <c r="L601" s="43"/>
      <c r="M601" s="39" t="e">
        <f>VLOOKUP(Table215[[#This Row],[ROUTE]],DEMAND!A:F,5,FALSE)</f>
        <v>#N/A</v>
      </c>
      <c r="N601" s="39" t="e">
        <f>VLOOKUP(Table215[[#This Row],[ROUTE]],DEMAND!A:F,6,FALSE)</f>
        <v>#N/A</v>
      </c>
      <c r="O601" s="39" t="e">
        <f>ROUNDDOWN(Table215[[#This Row],[R-DEMAND]]/1320,0)</f>
        <v>#N/A</v>
      </c>
      <c r="P601" s="41" t="e">
        <f>Table215[[#This Row],[ADD ACC]]*Table215[[#This Row],[RT TIME (744)]]</f>
        <v>#N/A</v>
      </c>
    </row>
    <row r="602" spans="1:16" ht="15" customHeight="1" x14ac:dyDescent="0.25">
      <c r="A602" s="38" t="s">
        <v>13886</v>
      </c>
      <c r="B602" s="39" t="s">
        <v>1935</v>
      </c>
      <c r="C602" s="39"/>
      <c r="D602" s="39">
        <v>1</v>
      </c>
      <c r="E602" s="38" t="s">
        <v>700</v>
      </c>
      <c r="F602" s="38" t="str">
        <f>VLOOKUP(E:E,Table10[[COUNTRY NAME]:[CONTINENT CODE]],3,FALSE)</f>
        <v>AS</v>
      </c>
      <c r="G602" s="155" t="s">
        <v>11846</v>
      </c>
      <c r="H602" s="40">
        <v>10492</v>
      </c>
      <c r="I602" s="41">
        <v>25.25</v>
      </c>
      <c r="J602" s="157"/>
      <c r="K602" s="42">
        <f>IFERROR(Table215[[#This Row],[ROUTE $]]/Table215[[#This Row],[E - DEMAND]],0)</f>
        <v>0</v>
      </c>
      <c r="L602" s="43"/>
      <c r="M602" s="39" t="e">
        <f>VLOOKUP(Table215[[#This Row],[ROUTE]],DEMAND!A:F,5,FALSE)</f>
        <v>#N/A</v>
      </c>
      <c r="N602" s="39" t="e">
        <f>VLOOKUP(Table215[[#This Row],[ROUTE]],DEMAND!A:F,6,FALSE)</f>
        <v>#N/A</v>
      </c>
      <c r="O602" s="39" t="e">
        <f>ROUNDDOWN(Table215[[#This Row],[R-DEMAND]]/1320,0)</f>
        <v>#N/A</v>
      </c>
      <c r="P602" s="41" t="e">
        <f>Table215[[#This Row],[ADD ACC]]*Table215[[#This Row],[RT TIME (744)]]</f>
        <v>#N/A</v>
      </c>
    </row>
    <row r="603" spans="1:16" ht="15" customHeight="1" x14ac:dyDescent="0.25">
      <c r="A603" s="38" t="s">
        <v>13804</v>
      </c>
      <c r="B603" s="39" t="s">
        <v>4187</v>
      </c>
      <c r="C603" s="39"/>
      <c r="D603" s="39">
        <v>2</v>
      </c>
      <c r="E603" s="38" t="s">
        <v>659</v>
      </c>
      <c r="F603" s="38" t="str">
        <f>VLOOKUP(E:E,Table10[[COUNTRY NAME]:[CONTINENT CODE]],3,FALSE)</f>
        <v>EU</v>
      </c>
      <c r="G603" s="155" t="s">
        <v>11814</v>
      </c>
      <c r="H603" s="40">
        <v>10448</v>
      </c>
      <c r="I603" s="41">
        <v>25.25</v>
      </c>
      <c r="J603" s="157"/>
      <c r="K603" s="42">
        <f>IFERROR(Table215[[#This Row],[ROUTE $]]/Table215[[#This Row],[E - DEMAND]],0)</f>
        <v>0</v>
      </c>
      <c r="L603" s="43"/>
      <c r="M603" s="39" t="e">
        <f>VLOOKUP(Table215[[#This Row],[ROUTE]],DEMAND!A:F,5,FALSE)</f>
        <v>#N/A</v>
      </c>
      <c r="N603" s="39" t="e">
        <f>VLOOKUP(Table215[[#This Row],[ROUTE]],DEMAND!A:F,6,FALSE)</f>
        <v>#N/A</v>
      </c>
      <c r="O603" s="39" t="e">
        <f>ROUNDDOWN(Table215[[#This Row],[R-DEMAND]]/1320,0)</f>
        <v>#N/A</v>
      </c>
      <c r="P603" s="41" t="e">
        <f>Table215[[#This Row],[ADD ACC]]*Table215[[#This Row],[RT TIME (744)]]</f>
        <v>#N/A</v>
      </c>
    </row>
    <row r="604" spans="1:16" ht="15" customHeight="1" x14ac:dyDescent="0.25">
      <c r="A604" s="38" t="s">
        <v>13628</v>
      </c>
      <c r="B604" s="39" t="s">
        <v>2555</v>
      </c>
      <c r="C604" s="39"/>
      <c r="D604" s="39">
        <v>2</v>
      </c>
      <c r="E604" s="38" t="s">
        <v>1216</v>
      </c>
      <c r="F604" s="38" t="str">
        <f>VLOOKUP(E:E,Table10[[COUNTRY NAME]:[CONTINENT CODE]],3,FALSE)</f>
        <v>AS</v>
      </c>
      <c r="G604" s="155" t="s">
        <v>11883</v>
      </c>
      <c r="H604" s="40">
        <v>10518</v>
      </c>
      <c r="I604" s="41">
        <v>25.5</v>
      </c>
      <c r="J604" s="157"/>
      <c r="K604" s="42">
        <f>IFERROR(Table215[[#This Row],[ROUTE $]]/Table215[[#This Row],[E - DEMAND]],0)</f>
        <v>0</v>
      </c>
      <c r="L604" s="43"/>
      <c r="M604" s="39" t="e">
        <f>VLOOKUP(Table215[[#This Row],[ROUTE]],DEMAND!A:F,5,FALSE)</f>
        <v>#N/A</v>
      </c>
      <c r="N604" s="39" t="e">
        <f>VLOOKUP(Table215[[#This Row],[ROUTE]],DEMAND!A:F,6,FALSE)</f>
        <v>#N/A</v>
      </c>
      <c r="O604" s="39" t="e">
        <f>ROUNDDOWN(Table215[[#This Row],[R-DEMAND]]/1320,0)</f>
        <v>#N/A</v>
      </c>
      <c r="P604" s="41" t="e">
        <f>Table215[[#This Row],[ADD ACC]]*Table215[[#This Row],[RT TIME (744)]]</f>
        <v>#N/A</v>
      </c>
    </row>
    <row r="605" spans="1:16" ht="15" customHeight="1" x14ac:dyDescent="0.25">
      <c r="A605" s="38" t="s">
        <v>13627</v>
      </c>
      <c r="B605" s="39" t="s">
        <v>3363</v>
      </c>
      <c r="C605" s="39"/>
      <c r="D605" s="39">
        <v>0</v>
      </c>
      <c r="E605" s="38" t="s">
        <v>1216</v>
      </c>
      <c r="F605" s="38" t="str">
        <f>VLOOKUP(E:E,Table10[[COUNTRY NAME]:[CONTINENT CODE]],3,FALSE)</f>
        <v>AS</v>
      </c>
      <c r="G605" s="155" t="s">
        <v>11876</v>
      </c>
      <c r="H605" s="40">
        <v>10608</v>
      </c>
      <c r="I605" s="41">
        <v>25.5</v>
      </c>
      <c r="J605" s="157"/>
      <c r="K605" s="42">
        <f>IFERROR(Table215[[#This Row],[ROUTE $]]/Table215[[#This Row],[E - DEMAND]],0)</f>
        <v>0</v>
      </c>
      <c r="L605" s="43"/>
      <c r="M605" s="39" t="e">
        <f>VLOOKUP(Table215[[#This Row],[ROUTE]],DEMAND!A:F,5,FALSE)</f>
        <v>#N/A</v>
      </c>
      <c r="N605" s="39" t="e">
        <f>VLOOKUP(Table215[[#This Row],[ROUTE]],DEMAND!A:F,6,FALSE)</f>
        <v>#N/A</v>
      </c>
      <c r="O605" s="39" t="e">
        <f>ROUNDDOWN(Table215[[#This Row],[R-DEMAND]]/1320,0)</f>
        <v>#N/A</v>
      </c>
      <c r="P605" s="41" t="e">
        <f>Table215[[#This Row],[ADD ACC]]*Table215[[#This Row],[RT TIME (744)]]</f>
        <v>#N/A</v>
      </c>
    </row>
    <row r="606" spans="1:16" ht="15" customHeight="1" x14ac:dyDescent="0.25">
      <c r="A606" s="38" t="s">
        <v>13648</v>
      </c>
      <c r="B606" s="39" t="s">
        <v>2713</v>
      </c>
      <c r="C606" s="39"/>
      <c r="D606" s="39">
        <v>2</v>
      </c>
      <c r="E606" s="38" t="s">
        <v>2711</v>
      </c>
      <c r="F606" s="38" t="str">
        <f>VLOOKUP(E:E,Table10[[COUNTRY NAME]:[CONTINENT CODE]],3,FALSE)</f>
        <v>AS</v>
      </c>
      <c r="G606" s="155" t="s">
        <v>11887</v>
      </c>
      <c r="H606" s="40">
        <v>10510</v>
      </c>
      <c r="I606" s="41">
        <v>25.5</v>
      </c>
      <c r="J606" s="157"/>
      <c r="K606" s="42">
        <f>IFERROR(Table215[[#This Row],[ROUTE $]]/Table215[[#This Row],[E - DEMAND]],0)</f>
        <v>0</v>
      </c>
      <c r="L606" s="43"/>
      <c r="M606" s="39" t="e">
        <f>VLOOKUP(Table215[[#This Row],[ROUTE]],DEMAND!A:F,5,FALSE)</f>
        <v>#N/A</v>
      </c>
      <c r="N606" s="39" t="e">
        <f>VLOOKUP(Table215[[#This Row],[ROUTE]],DEMAND!A:F,6,FALSE)</f>
        <v>#N/A</v>
      </c>
      <c r="O606" s="39" t="e">
        <f>ROUNDDOWN(Table215[[#This Row],[R-DEMAND]]/1320,0)</f>
        <v>#N/A</v>
      </c>
      <c r="P606" s="41" t="e">
        <f>Table215[[#This Row],[ADD ACC]]*Table215[[#This Row],[RT TIME (744)]]</f>
        <v>#N/A</v>
      </c>
    </row>
    <row r="607" spans="1:16" ht="15" customHeight="1" x14ac:dyDescent="0.25">
      <c r="A607" s="38" t="s">
        <v>13739</v>
      </c>
      <c r="B607" s="39" t="s">
        <v>3597</v>
      </c>
      <c r="C607" s="39"/>
      <c r="D607" s="39">
        <v>2</v>
      </c>
      <c r="E607" s="38" t="s">
        <v>758</v>
      </c>
      <c r="F607" s="38" t="str">
        <f>VLOOKUP(E:E,Table10[[COUNTRY NAME]:[CONTINENT CODE]],3,FALSE)</f>
        <v>EU</v>
      </c>
      <c r="G607" s="155" t="s">
        <v>11817</v>
      </c>
      <c r="H607" s="40">
        <v>10580</v>
      </c>
      <c r="I607" s="41">
        <v>25.5</v>
      </c>
      <c r="J607" s="157"/>
      <c r="K607" s="42">
        <f>IFERROR(Table215[[#This Row],[ROUTE $]]/Table215[[#This Row],[E - DEMAND]],0)</f>
        <v>0</v>
      </c>
      <c r="L607" s="43"/>
      <c r="M607" s="39" t="e">
        <f>VLOOKUP(Table215[[#This Row],[ROUTE]],DEMAND!A:F,5,FALSE)</f>
        <v>#N/A</v>
      </c>
      <c r="N607" s="39" t="e">
        <f>VLOOKUP(Table215[[#This Row],[ROUTE]],DEMAND!A:F,6,FALSE)</f>
        <v>#N/A</v>
      </c>
      <c r="O607" s="39" t="e">
        <f>ROUNDDOWN(Table215[[#This Row],[R-DEMAND]]/1320,0)</f>
        <v>#N/A</v>
      </c>
      <c r="P607" s="41" t="e">
        <f>Table215[[#This Row],[ADD ACC]]*Table215[[#This Row],[RT TIME (744)]]</f>
        <v>#N/A</v>
      </c>
    </row>
    <row r="608" spans="1:16" ht="15" customHeight="1" x14ac:dyDescent="0.25">
      <c r="A608" s="38" t="s">
        <v>13796</v>
      </c>
      <c r="B608" s="39" t="s">
        <v>4245</v>
      </c>
      <c r="C608" s="39"/>
      <c r="D608" s="39">
        <v>2</v>
      </c>
      <c r="E608" s="38" t="s">
        <v>172</v>
      </c>
      <c r="F608" s="38" t="str">
        <f>VLOOKUP(E:E,Table10[[COUNTRY NAME]:[CONTINENT CODE]],3,FALSE)</f>
        <v>AS</v>
      </c>
      <c r="G608" s="155" t="s">
        <v>6951</v>
      </c>
      <c r="H608" s="40">
        <v>10595</v>
      </c>
      <c r="I608" s="41">
        <v>25.5</v>
      </c>
      <c r="J608" s="157"/>
      <c r="K608" s="42">
        <f>IFERROR(Table215[[#This Row],[ROUTE $]]/Table215[[#This Row],[E - DEMAND]],0)</f>
        <v>0</v>
      </c>
      <c r="L608" s="43"/>
      <c r="M608" s="39" t="e">
        <f>VLOOKUP(Table215[[#This Row],[ROUTE]],DEMAND!A:F,5,FALSE)</f>
        <v>#N/A</v>
      </c>
      <c r="N608" s="39" t="e">
        <f>VLOOKUP(Table215[[#This Row],[ROUTE]],DEMAND!A:F,6,FALSE)</f>
        <v>#N/A</v>
      </c>
      <c r="O608" s="39" t="e">
        <f>ROUNDDOWN(Table215[[#This Row],[R-DEMAND]]/1320,0)</f>
        <v>#N/A</v>
      </c>
      <c r="P608" s="41" t="e">
        <f>Table215[[#This Row],[ADD ACC]]*Table215[[#This Row],[RT TIME (744)]]</f>
        <v>#N/A</v>
      </c>
    </row>
    <row r="609" spans="1:16" ht="15" customHeight="1" x14ac:dyDescent="0.25">
      <c r="A609" s="38" t="s">
        <v>13797</v>
      </c>
      <c r="B609" s="39" t="s">
        <v>3219</v>
      </c>
      <c r="C609" s="39"/>
      <c r="D609" s="39">
        <v>2</v>
      </c>
      <c r="E609" s="38" t="s">
        <v>172</v>
      </c>
      <c r="F609" s="38" t="str">
        <f>VLOOKUP(E:E,Table10[[COUNTRY NAME]:[CONTINENT CODE]],3,FALSE)</f>
        <v>AS</v>
      </c>
      <c r="G609" s="155" t="s">
        <v>11913</v>
      </c>
      <c r="H609" s="40">
        <v>10538</v>
      </c>
      <c r="I609" s="41">
        <v>25.5</v>
      </c>
      <c r="J609" s="157"/>
      <c r="K609" s="42">
        <f>IFERROR(Table215[[#This Row],[ROUTE $]]/Table215[[#This Row],[E - DEMAND]],0)</f>
        <v>0</v>
      </c>
      <c r="L609" s="43"/>
      <c r="M609" s="39" t="e">
        <f>VLOOKUP(Table215[[#This Row],[ROUTE]],DEMAND!A:F,5,FALSE)</f>
        <v>#N/A</v>
      </c>
      <c r="N609" s="39" t="e">
        <f>VLOOKUP(Table215[[#This Row],[ROUTE]],DEMAND!A:F,6,FALSE)</f>
        <v>#N/A</v>
      </c>
      <c r="O609" s="39" t="e">
        <f>ROUNDDOWN(Table215[[#This Row],[R-DEMAND]]/1320,0)</f>
        <v>#N/A</v>
      </c>
      <c r="P609" s="41" t="e">
        <f>Table215[[#This Row],[ADD ACC]]*Table215[[#This Row],[RT TIME (744)]]</f>
        <v>#N/A</v>
      </c>
    </row>
    <row r="610" spans="1:16" ht="15" customHeight="1" x14ac:dyDescent="0.25">
      <c r="A610" s="38" t="s">
        <v>13884</v>
      </c>
      <c r="B610" s="39" t="s">
        <v>1211</v>
      </c>
      <c r="C610" s="39"/>
      <c r="D610" s="39">
        <v>1</v>
      </c>
      <c r="E610" s="38" t="s">
        <v>700</v>
      </c>
      <c r="F610" s="38" t="str">
        <f>VLOOKUP(E:E,Table10[[COUNTRY NAME]:[CONTINENT CODE]],3,FALSE)</f>
        <v>AS</v>
      </c>
      <c r="G610" s="155" t="s">
        <v>11854</v>
      </c>
      <c r="H610" s="40">
        <v>10514</v>
      </c>
      <c r="I610" s="41">
        <v>25.5</v>
      </c>
      <c r="J610" s="157"/>
      <c r="K610" s="42">
        <f>IFERROR(Table215[[#This Row],[ROUTE $]]/Table215[[#This Row],[E - DEMAND]],0)</f>
        <v>0</v>
      </c>
      <c r="L610" s="43"/>
      <c r="M610" s="39" t="e">
        <f>VLOOKUP(Table215[[#This Row],[ROUTE]],DEMAND!A:F,5,FALSE)</f>
        <v>#N/A</v>
      </c>
      <c r="N610" s="39" t="e">
        <f>VLOOKUP(Table215[[#This Row],[ROUTE]],DEMAND!A:F,6,FALSE)</f>
        <v>#N/A</v>
      </c>
      <c r="O610" s="39" t="e">
        <f>ROUNDDOWN(Table215[[#This Row],[R-DEMAND]]/1320,0)</f>
        <v>#N/A</v>
      </c>
      <c r="P610" s="41" t="e">
        <f>Table215[[#This Row],[ADD ACC]]*Table215[[#This Row],[RT TIME (744)]]</f>
        <v>#N/A</v>
      </c>
    </row>
    <row r="611" spans="1:16" ht="15" customHeight="1" x14ac:dyDescent="0.25">
      <c r="A611" s="38" t="s">
        <v>13882</v>
      </c>
      <c r="B611" s="39" t="s">
        <v>2466</v>
      </c>
      <c r="C611" s="39"/>
      <c r="D611" s="39">
        <v>1</v>
      </c>
      <c r="E611" s="38" t="s">
        <v>700</v>
      </c>
      <c r="F611" s="38" t="str">
        <f>VLOOKUP(E:E,Table10[[COUNTRY NAME]:[CONTINENT CODE]],3,FALSE)</f>
        <v>AS</v>
      </c>
      <c r="G611" s="155" t="s">
        <v>11852</v>
      </c>
      <c r="H611" s="40">
        <v>10571</v>
      </c>
      <c r="I611" s="41">
        <v>25.5</v>
      </c>
      <c r="J611" s="157"/>
      <c r="K611" s="42">
        <f>IFERROR(Table215[[#This Row],[ROUTE $]]/Table215[[#This Row],[E - DEMAND]],0)</f>
        <v>0</v>
      </c>
      <c r="L611" s="43"/>
      <c r="M611" s="39" t="e">
        <f>VLOOKUP(Table215[[#This Row],[ROUTE]],DEMAND!A:F,5,FALSE)</f>
        <v>#N/A</v>
      </c>
      <c r="N611" s="39" t="e">
        <f>VLOOKUP(Table215[[#This Row],[ROUTE]],DEMAND!A:F,6,FALSE)</f>
        <v>#N/A</v>
      </c>
      <c r="O611" s="39" t="e">
        <f>ROUNDDOWN(Table215[[#This Row],[R-DEMAND]]/1320,0)</f>
        <v>#N/A</v>
      </c>
      <c r="P611" s="41" t="e">
        <f>Table215[[#This Row],[ADD ACC]]*Table215[[#This Row],[RT TIME (744)]]</f>
        <v>#N/A</v>
      </c>
    </row>
    <row r="612" spans="1:16" ht="15" customHeight="1" x14ac:dyDescent="0.25">
      <c r="A612" s="38" t="s">
        <v>13843</v>
      </c>
      <c r="B612" s="39" t="s">
        <v>5285</v>
      </c>
      <c r="C612" s="39"/>
      <c r="D612" s="39">
        <v>3</v>
      </c>
      <c r="E612" s="38" t="s">
        <v>585</v>
      </c>
      <c r="F612" s="38" t="str">
        <f>VLOOKUP(E:E,Table10[[COUNTRY NAME]:[CONTINENT CODE]],3,FALSE)</f>
        <v>EU</v>
      </c>
      <c r="G612" s="155" t="s">
        <v>11781</v>
      </c>
      <c r="H612" s="40">
        <v>10529</v>
      </c>
      <c r="I612" s="41">
        <v>25.5</v>
      </c>
      <c r="J612" s="157"/>
      <c r="K612" s="42">
        <f>IFERROR(Table215[[#This Row],[ROUTE $]]/Table215[[#This Row],[E - DEMAND]],0)</f>
        <v>0</v>
      </c>
      <c r="L612" s="43"/>
      <c r="M612" s="39" t="e">
        <f>VLOOKUP(Table215[[#This Row],[ROUTE]],DEMAND!A:F,5,FALSE)</f>
        <v>#N/A</v>
      </c>
      <c r="N612" s="39" t="e">
        <f>VLOOKUP(Table215[[#This Row],[ROUTE]],DEMAND!A:F,6,FALSE)</f>
        <v>#N/A</v>
      </c>
      <c r="O612" s="39" t="e">
        <f>ROUNDDOWN(Table215[[#This Row],[R-DEMAND]]/1320,0)</f>
        <v>#N/A</v>
      </c>
      <c r="P612" s="41" t="e">
        <f>Table215[[#This Row],[ADD ACC]]*Table215[[#This Row],[RT TIME (744)]]</f>
        <v>#N/A</v>
      </c>
    </row>
    <row r="613" spans="1:16" ht="15" customHeight="1" x14ac:dyDescent="0.25">
      <c r="A613" s="38" t="s">
        <v>13923</v>
      </c>
      <c r="B613" s="39" t="s">
        <v>1924</v>
      </c>
      <c r="C613" s="39"/>
      <c r="D613" s="39">
        <v>1</v>
      </c>
      <c r="E613" s="143" t="s">
        <v>647</v>
      </c>
      <c r="F613" s="38" t="e">
        <f>VLOOKUP(E:E,Table10[[COUNTRY NAME]:[CONTINENT CODE]],3,FALSE)</f>
        <v>#N/A</v>
      </c>
      <c r="G613" s="155" t="s">
        <v>8825</v>
      </c>
      <c r="H613" s="40">
        <v>10609</v>
      </c>
      <c r="I613" s="41">
        <v>25.5</v>
      </c>
      <c r="J613" s="157"/>
      <c r="K613" s="42">
        <f>IFERROR(Table215[[#This Row],[ROUTE $]]/Table215[[#This Row],[E - DEMAND]],0)</f>
        <v>0</v>
      </c>
      <c r="L613" s="43"/>
      <c r="M613" s="39" t="e">
        <f>VLOOKUP(Table215[[#This Row],[ROUTE]],DEMAND!A:F,5,FALSE)</f>
        <v>#N/A</v>
      </c>
      <c r="N613" s="39" t="e">
        <f>VLOOKUP(Table215[[#This Row],[ROUTE]],DEMAND!A:F,6,FALSE)</f>
        <v>#N/A</v>
      </c>
      <c r="O613" s="39" t="e">
        <f>ROUNDDOWN(Table215[[#This Row],[R-DEMAND]]/1320,0)</f>
        <v>#N/A</v>
      </c>
      <c r="P613" s="41" t="e">
        <f>Table215[[#This Row],[ADD ACC]]*Table215[[#This Row],[RT TIME (744)]]</f>
        <v>#N/A</v>
      </c>
    </row>
    <row r="614" spans="1:16" ht="15" customHeight="1" x14ac:dyDescent="0.25">
      <c r="A614" s="38" t="s">
        <v>14054</v>
      </c>
      <c r="B614" s="39" t="s">
        <v>1475</v>
      </c>
      <c r="C614" s="39"/>
      <c r="D614" s="39">
        <v>1</v>
      </c>
      <c r="E614" s="38" t="s">
        <v>1289</v>
      </c>
      <c r="F614" s="38" t="str">
        <f>VLOOKUP(E:E,Table10[[COUNTRY NAME]:[CONTINENT CODE]],3,FALSE)</f>
        <v>AS</v>
      </c>
      <c r="G614" s="155" t="s">
        <v>11942</v>
      </c>
      <c r="H614" s="40">
        <v>10601</v>
      </c>
      <c r="I614" s="41">
        <v>25.5</v>
      </c>
      <c r="J614" s="157"/>
      <c r="K614" s="42">
        <f>IFERROR(Table215[[#This Row],[ROUTE $]]/Table215[[#This Row],[E - DEMAND]],0)</f>
        <v>0</v>
      </c>
      <c r="L614" s="43"/>
      <c r="M614" s="39" t="e">
        <f>VLOOKUP(Table215[[#This Row],[ROUTE]],DEMAND!A:F,5,FALSE)</f>
        <v>#N/A</v>
      </c>
      <c r="N614" s="39" t="e">
        <f>VLOOKUP(Table215[[#This Row],[ROUTE]],DEMAND!A:F,6,FALSE)</f>
        <v>#N/A</v>
      </c>
      <c r="O614" s="39" t="e">
        <f>ROUNDDOWN(Table215[[#This Row],[R-DEMAND]]/1320,0)</f>
        <v>#N/A</v>
      </c>
      <c r="P614" s="41" t="e">
        <f>Table215[[#This Row],[ADD ACC]]*Table215[[#This Row],[RT TIME (744)]]</f>
        <v>#N/A</v>
      </c>
    </row>
    <row r="615" spans="1:16" ht="15" customHeight="1" x14ac:dyDescent="0.25">
      <c r="A615" s="38" t="s">
        <v>13793</v>
      </c>
      <c r="B615" s="39" t="s">
        <v>3497</v>
      </c>
      <c r="C615" s="39"/>
      <c r="D615" s="39">
        <v>2</v>
      </c>
      <c r="E615" s="38" t="s">
        <v>172</v>
      </c>
      <c r="F615" s="38" t="str">
        <f>VLOOKUP(E:E,Table10[[COUNTRY NAME]:[CONTINENT CODE]],3,FALSE)</f>
        <v>AS</v>
      </c>
      <c r="G615" s="155" t="s">
        <v>11931</v>
      </c>
      <c r="H615" s="40">
        <v>10708</v>
      </c>
      <c r="I615" s="41">
        <v>25.75</v>
      </c>
      <c r="J615" s="157"/>
      <c r="K615" s="42">
        <f>IFERROR(Table215[[#This Row],[ROUTE $]]/Table215[[#This Row],[E - DEMAND]],0)</f>
        <v>0</v>
      </c>
      <c r="L615" s="43"/>
      <c r="M615" s="39" t="e">
        <f>VLOOKUP(Table215[[#This Row],[ROUTE]],DEMAND!A:F,5,FALSE)</f>
        <v>#N/A</v>
      </c>
      <c r="N615" s="39" t="e">
        <f>VLOOKUP(Table215[[#This Row],[ROUTE]],DEMAND!A:F,6,FALSE)</f>
        <v>#N/A</v>
      </c>
      <c r="O615" s="39" t="e">
        <f>ROUNDDOWN(Table215[[#This Row],[R-DEMAND]]/1320,0)</f>
        <v>#N/A</v>
      </c>
      <c r="P615" s="41" t="e">
        <f>Table215[[#This Row],[ADD ACC]]*Table215[[#This Row],[RT TIME (744)]]</f>
        <v>#N/A</v>
      </c>
    </row>
    <row r="616" spans="1:16" ht="15" customHeight="1" x14ac:dyDescent="0.25">
      <c r="A616" s="38" t="s">
        <v>13794</v>
      </c>
      <c r="B616" s="39" t="s">
        <v>4414</v>
      </c>
      <c r="C616" s="39"/>
      <c r="D616" s="39">
        <v>2</v>
      </c>
      <c r="E616" s="38" t="s">
        <v>172</v>
      </c>
      <c r="F616" s="38" t="str">
        <f>VLOOKUP(E:E,Table10[[COUNTRY NAME]:[CONTINENT CODE]],3,FALSE)</f>
        <v>AS</v>
      </c>
      <c r="G616" s="155" t="s">
        <v>9697</v>
      </c>
      <c r="H616" s="40">
        <v>10655</v>
      </c>
      <c r="I616" s="41">
        <v>25.75</v>
      </c>
      <c r="J616" s="157"/>
      <c r="K616" s="42">
        <f>IFERROR(Table215[[#This Row],[ROUTE $]]/Table215[[#This Row],[E - DEMAND]],0)</f>
        <v>0</v>
      </c>
      <c r="L616" s="43"/>
      <c r="M616" s="39" t="e">
        <f>VLOOKUP(Table215[[#This Row],[ROUTE]],DEMAND!A:F,5,FALSE)</f>
        <v>#N/A</v>
      </c>
      <c r="N616" s="39" t="e">
        <f>VLOOKUP(Table215[[#This Row],[ROUTE]],DEMAND!A:F,6,FALSE)</f>
        <v>#N/A</v>
      </c>
      <c r="O616" s="39" t="e">
        <f>ROUNDDOWN(Table215[[#This Row],[R-DEMAND]]/1320,0)</f>
        <v>#N/A</v>
      </c>
      <c r="P616" s="41" t="e">
        <f>Table215[[#This Row],[ADD ACC]]*Table215[[#This Row],[RT TIME (744)]]</f>
        <v>#N/A</v>
      </c>
    </row>
    <row r="617" spans="1:16" ht="15" customHeight="1" x14ac:dyDescent="0.25">
      <c r="A617" s="38" t="s">
        <v>13795</v>
      </c>
      <c r="B617" s="39" t="s">
        <v>3931</v>
      </c>
      <c r="C617" s="39"/>
      <c r="D617" s="39">
        <v>2</v>
      </c>
      <c r="E617" s="38" t="s">
        <v>172</v>
      </c>
      <c r="F617" s="38" t="str">
        <f>VLOOKUP(E:E,Table10[[COUNTRY NAME]:[CONTINENT CODE]],3,FALSE)</f>
        <v>AS</v>
      </c>
      <c r="G617" s="155" t="s">
        <v>7147</v>
      </c>
      <c r="H617" s="40">
        <v>10655</v>
      </c>
      <c r="I617" s="41">
        <v>25.75</v>
      </c>
      <c r="J617" s="157"/>
      <c r="K617" s="42">
        <f>IFERROR(Table215[[#This Row],[ROUTE $]]/Table215[[#This Row],[E - DEMAND]],0)</f>
        <v>0</v>
      </c>
      <c r="L617" s="43"/>
      <c r="M617" s="39" t="e">
        <f>VLOOKUP(Table215[[#This Row],[ROUTE]],DEMAND!A:F,5,FALSE)</f>
        <v>#N/A</v>
      </c>
      <c r="N617" s="39" t="e">
        <f>VLOOKUP(Table215[[#This Row],[ROUTE]],DEMAND!A:F,6,FALSE)</f>
        <v>#N/A</v>
      </c>
      <c r="O617" s="39" t="e">
        <f>ROUNDDOWN(Table215[[#This Row],[R-DEMAND]]/1320,0)</f>
        <v>#N/A</v>
      </c>
      <c r="P617" s="41" t="e">
        <f>Table215[[#This Row],[ADD ACC]]*Table215[[#This Row],[RT TIME (744)]]</f>
        <v>#N/A</v>
      </c>
    </row>
    <row r="618" spans="1:16" ht="15" customHeight="1" x14ac:dyDescent="0.25">
      <c r="A618" s="38" t="s">
        <v>13880</v>
      </c>
      <c r="B618" s="39" t="s">
        <v>3699</v>
      </c>
      <c r="C618" s="39"/>
      <c r="D618" s="39">
        <v>2</v>
      </c>
      <c r="E618" s="38" t="s">
        <v>700</v>
      </c>
      <c r="F618" s="38" t="str">
        <f>VLOOKUP(E:E,Table10[[COUNTRY NAME]:[CONTINENT CODE]],3,FALSE)</f>
        <v>AS</v>
      </c>
      <c r="G618" s="155" t="s">
        <v>8961</v>
      </c>
      <c r="H618" s="40">
        <v>10693</v>
      </c>
      <c r="I618" s="41">
        <v>25.75</v>
      </c>
      <c r="J618" s="157"/>
      <c r="K618" s="42">
        <f>IFERROR(Table215[[#This Row],[ROUTE $]]/Table215[[#This Row],[E - DEMAND]],0)</f>
        <v>0</v>
      </c>
      <c r="L618" s="43"/>
      <c r="M618" s="39" t="e">
        <f>VLOOKUP(Table215[[#This Row],[ROUTE]],DEMAND!A:F,5,FALSE)</f>
        <v>#N/A</v>
      </c>
      <c r="N618" s="39" t="e">
        <f>VLOOKUP(Table215[[#This Row],[ROUTE]],DEMAND!A:F,6,FALSE)</f>
        <v>#N/A</v>
      </c>
      <c r="O618" s="39" t="e">
        <f>ROUNDDOWN(Table215[[#This Row],[R-DEMAND]]/1320,0)</f>
        <v>#N/A</v>
      </c>
      <c r="P618" s="41" t="e">
        <f>Table215[[#This Row],[ADD ACC]]*Table215[[#This Row],[RT TIME (744)]]</f>
        <v>#N/A</v>
      </c>
    </row>
    <row r="619" spans="1:16" ht="15" customHeight="1" x14ac:dyDescent="0.25">
      <c r="A619" s="38" t="s">
        <v>13513</v>
      </c>
      <c r="B619" s="39" t="s">
        <v>5365</v>
      </c>
      <c r="C619" s="39"/>
      <c r="D619" s="39">
        <v>3</v>
      </c>
      <c r="E619" s="1" t="s">
        <v>4909</v>
      </c>
      <c r="F619" s="1" t="str">
        <f>VLOOKUP(E:E,Table10[[COUNTRY NAME]:[CONTINENT CODE]],3,FALSE)</f>
        <v>EU</v>
      </c>
      <c r="G619" s="156" t="s">
        <v>8912</v>
      </c>
      <c r="H619" s="8">
        <v>10634</v>
      </c>
      <c r="I619" s="41">
        <v>25.75</v>
      </c>
      <c r="J619" s="157"/>
      <c r="K619" s="6">
        <f>IFERROR(Table215[[#This Row],[ROUTE $]]/Table215[[#This Row],[E - DEMAND]],0)</f>
        <v>0</v>
      </c>
      <c r="L619" s="4"/>
      <c r="M619" s="39" t="e">
        <f>VLOOKUP(Table215[[#This Row],[ROUTE]],DEMAND!A:F,5,FALSE)</f>
        <v>#N/A</v>
      </c>
      <c r="N619" s="39" t="e">
        <f>VLOOKUP(Table215[[#This Row],[ROUTE]],DEMAND!A:F,6,FALSE)</f>
        <v>#N/A</v>
      </c>
      <c r="O619" s="39" t="e">
        <f>ROUNDDOWN(Table215[[#This Row],[R-DEMAND]]/1320,0)</f>
        <v>#N/A</v>
      </c>
      <c r="P619" s="41" t="e">
        <f>Table215[[#This Row],[ADD ACC]]*Table215[[#This Row],[RT TIME (744)]]</f>
        <v>#N/A</v>
      </c>
    </row>
    <row r="620" spans="1:16" ht="15" customHeight="1" x14ac:dyDescent="0.25">
      <c r="A620" s="38" t="s">
        <v>14053</v>
      </c>
      <c r="B620" s="39" t="s">
        <v>1989</v>
      </c>
      <c r="C620" s="39"/>
      <c r="D620" s="39">
        <v>1</v>
      </c>
      <c r="E620" s="38" t="s">
        <v>1289</v>
      </c>
      <c r="F620" s="38" t="str">
        <f>VLOOKUP(E:E,Table10[[COUNTRY NAME]:[CONTINENT CODE]],3,FALSE)</f>
        <v>AS</v>
      </c>
      <c r="G620" s="155" t="s">
        <v>11946</v>
      </c>
      <c r="H620" s="40">
        <v>10671</v>
      </c>
      <c r="I620" s="41">
        <v>25.75</v>
      </c>
      <c r="J620" s="157"/>
      <c r="K620" s="42">
        <f>IFERROR(Table215[[#This Row],[ROUTE $]]/Table215[[#This Row],[E - DEMAND]],0)</f>
        <v>0</v>
      </c>
      <c r="L620" s="43"/>
      <c r="M620" s="39" t="e">
        <f>VLOOKUP(Table215[[#This Row],[ROUTE]],DEMAND!A:F,5,FALSE)</f>
        <v>#N/A</v>
      </c>
      <c r="N620" s="39" t="e">
        <f>VLOOKUP(Table215[[#This Row],[ROUTE]],DEMAND!A:F,6,FALSE)</f>
        <v>#N/A</v>
      </c>
      <c r="O620" s="39" t="e">
        <f>ROUNDDOWN(Table215[[#This Row],[R-DEMAND]]/1320,0)</f>
        <v>#N/A</v>
      </c>
      <c r="P620" s="41" t="e">
        <f>Table215[[#This Row],[ADD ACC]]*Table215[[#This Row],[RT TIME (744)]]</f>
        <v>#N/A</v>
      </c>
    </row>
    <row r="621" spans="1:16" ht="15" customHeight="1" x14ac:dyDescent="0.25">
      <c r="A621" s="38" t="s">
        <v>13789</v>
      </c>
      <c r="B621" s="39" t="s">
        <v>3469</v>
      </c>
      <c r="C621" s="39"/>
      <c r="D621" s="39">
        <v>2</v>
      </c>
      <c r="E621" s="38" t="s">
        <v>172</v>
      </c>
      <c r="F621" s="38" t="str">
        <f>VLOOKUP(E:E,Table10[[COUNTRY NAME]:[CONTINENT CODE]],3,FALSE)</f>
        <v>AS</v>
      </c>
      <c r="G621" s="155" t="s">
        <v>10659</v>
      </c>
      <c r="H621" s="40">
        <v>10790</v>
      </c>
      <c r="I621" s="41">
        <v>26</v>
      </c>
      <c r="J621" s="157"/>
      <c r="K621" s="42">
        <f>IFERROR(Table215[[#This Row],[ROUTE $]]/Table215[[#This Row],[E - DEMAND]],0)</f>
        <v>0</v>
      </c>
      <c r="L621" s="43"/>
      <c r="M621" s="39" t="e">
        <f>VLOOKUP(Table215[[#This Row],[ROUTE]],DEMAND!A:F,5,FALSE)</f>
        <v>#N/A</v>
      </c>
      <c r="N621" s="39" t="e">
        <f>VLOOKUP(Table215[[#This Row],[ROUTE]],DEMAND!A:F,6,FALSE)</f>
        <v>#N/A</v>
      </c>
      <c r="O621" s="39" t="e">
        <f>ROUNDDOWN(Table215[[#This Row],[R-DEMAND]]/1320,0)</f>
        <v>#N/A</v>
      </c>
      <c r="P621" s="41" t="e">
        <f>Table215[[#This Row],[ADD ACC]]*Table215[[#This Row],[RT TIME (744)]]</f>
        <v>#N/A</v>
      </c>
    </row>
    <row r="622" spans="1:16" ht="15" customHeight="1" x14ac:dyDescent="0.25">
      <c r="A622" s="38" t="s">
        <v>13790</v>
      </c>
      <c r="B622" s="39" t="s">
        <v>3048</v>
      </c>
      <c r="C622" s="39"/>
      <c r="D622" s="39">
        <v>2</v>
      </c>
      <c r="E622" s="38" t="s">
        <v>172</v>
      </c>
      <c r="F622" s="38" t="str">
        <f>VLOOKUP(E:E,Table10[[COUNTRY NAME]:[CONTINENT CODE]],3,FALSE)</f>
        <v>AS</v>
      </c>
      <c r="G622" s="155" t="s">
        <v>6814</v>
      </c>
      <c r="H622" s="40">
        <v>10789</v>
      </c>
      <c r="I622" s="41">
        <v>26</v>
      </c>
      <c r="J622" s="157"/>
      <c r="K622" s="42">
        <f>IFERROR(Table215[[#This Row],[ROUTE $]]/Table215[[#This Row],[E - DEMAND]],0)</f>
        <v>0</v>
      </c>
      <c r="L622" s="43"/>
      <c r="M622" s="39" t="e">
        <f>VLOOKUP(Table215[[#This Row],[ROUTE]],DEMAND!A:F,5,FALSE)</f>
        <v>#N/A</v>
      </c>
      <c r="N622" s="39" t="e">
        <f>VLOOKUP(Table215[[#This Row],[ROUTE]],DEMAND!A:F,6,FALSE)</f>
        <v>#N/A</v>
      </c>
      <c r="O622" s="39" t="e">
        <f>ROUNDDOWN(Table215[[#This Row],[R-DEMAND]]/1320,0)</f>
        <v>#N/A</v>
      </c>
      <c r="P622" s="41" t="e">
        <f>Table215[[#This Row],[ADD ACC]]*Table215[[#This Row],[RT TIME (744)]]</f>
        <v>#N/A</v>
      </c>
    </row>
    <row r="623" spans="1:16" ht="15" customHeight="1" x14ac:dyDescent="0.25">
      <c r="A623" s="38" t="s">
        <v>13687</v>
      </c>
      <c r="B623" s="39" t="s">
        <v>4436</v>
      </c>
      <c r="C623" s="39"/>
      <c r="D623" s="39">
        <v>2</v>
      </c>
      <c r="E623" s="38" t="s">
        <v>4434</v>
      </c>
      <c r="F623" s="38" t="str">
        <f>VLOOKUP(E:E,Table10[[COUNTRY NAME]:[CONTINENT CODE]],3,FALSE)</f>
        <v>EU</v>
      </c>
      <c r="G623" s="155" t="s">
        <v>11843</v>
      </c>
      <c r="H623" s="40">
        <v>10857</v>
      </c>
      <c r="I623" s="41">
        <v>26.25</v>
      </c>
      <c r="J623" s="157"/>
      <c r="K623" s="42">
        <f>IFERROR(Table215[[#This Row],[ROUTE $]]/Table215[[#This Row],[E - DEMAND]],0)</f>
        <v>0</v>
      </c>
      <c r="L623" s="43"/>
      <c r="M623" s="39" t="e">
        <f>VLOOKUP(Table215[[#This Row],[ROUTE]],DEMAND!A:F,5,FALSE)</f>
        <v>#N/A</v>
      </c>
      <c r="N623" s="39" t="e">
        <f>VLOOKUP(Table215[[#This Row],[ROUTE]],DEMAND!A:F,6,FALSE)</f>
        <v>#N/A</v>
      </c>
      <c r="O623" s="39" t="e">
        <f>ROUNDDOWN(Table215[[#This Row],[R-DEMAND]]/1320,0)</f>
        <v>#N/A</v>
      </c>
      <c r="P623" s="41" t="e">
        <f>Table215[[#This Row],[ADD ACC]]*Table215[[#This Row],[RT TIME (744)]]</f>
        <v>#N/A</v>
      </c>
    </row>
    <row r="624" spans="1:16" ht="15" customHeight="1" x14ac:dyDescent="0.25">
      <c r="A624" s="38" t="s">
        <v>13788</v>
      </c>
      <c r="B624" s="39" t="s">
        <v>3939</v>
      </c>
      <c r="C624" s="39"/>
      <c r="D624" s="39">
        <v>2</v>
      </c>
      <c r="E624" s="38" t="s">
        <v>172</v>
      </c>
      <c r="F624" s="38" t="str">
        <f>VLOOKUP(E:E,Table10[[COUNTRY NAME]:[CONTINENT CODE]],3,FALSE)</f>
        <v>AS</v>
      </c>
      <c r="G624" s="155" t="s">
        <v>9989</v>
      </c>
      <c r="H624" s="40">
        <v>10865</v>
      </c>
      <c r="I624" s="41">
        <v>26.25</v>
      </c>
      <c r="J624" s="157"/>
      <c r="K624" s="42">
        <f>IFERROR(Table215[[#This Row],[ROUTE $]]/Table215[[#This Row],[E - DEMAND]],0)</f>
        <v>0</v>
      </c>
      <c r="L624" s="43"/>
      <c r="M624" s="39" t="e">
        <f>VLOOKUP(Table215[[#This Row],[ROUTE]],DEMAND!A:F,5,FALSE)</f>
        <v>#N/A</v>
      </c>
      <c r="N624" s="39" t="e">
        <f>VLOOKUP(Table215[[#This Row],[ROUTE]],DEMAND!A:F,6,FALSE)</f>
        <v>#N/A</v>
      </c>
      <c r="O624" s="39" t="e">
        <f>ROUNDDOWN(Table215[[#This Row],[R-DEMAND]]/1320,0)</f>
        <v>#N/A</v>
      </c>
      <c r="P624" s="41" t="e">
        <f>Table215[[#This Row],[ADD ACC]]*Table215[[#This Row],[RT TIME (744)]]</f>
        <v>#N/A</v>
      </c>
    </row>
    <row r="625" spans="1:16" ht="15" customHeight="1" x14ac:dyDescent="0.25">
      <c r="A625" s="38" t="s">
        <v>13787</v>
      </c>
      <c r="B625" s="39" t="s">
        <v>1820</v>
      </c>
      <c r="C625" s="39"/>
      <c r="D625" s="39">
        <v>1</v>
      </c>
      <c r="E625" s="38" t="s">
        <v>172</v>
      </c>
      <c r="F625" s="38" t="str">
        <f>VLOOKUP(E:E,Table10[[COUNTRY NAME]:[CONTINENT CODE]],3,FALSE)</f>
        <v>AS</v>
      </c>
      <c r="G625" s="155" t="s">
        <v>6966</v>
      </c>
      <c r="H625" s="40">
        <v>10928</v>
      </c>
      <c r="I625" s="41">
        <v>26.25</v>
      </c>
      <c r="J625" s="157"/>
      <c r="K625" s="42">
        <f>IFERROR(Table215[[#This Row],[ROUTE $]]/Table215[[#This Row],[E - DEMAND]],0)</f>
        <v>0</v>
      </c>
      <c r="L625" s="43"/>
      <c r="M625" s="39" t="e">
        <f>VLOOKUP(Table215[[#This Row],[ROUTE]],DEMAND!A:F,5,FALSE)</f>
        <v>#N/A</v>
      </c>
      <c r="N625" s="39" t="e">
        <f>VLOOKUP(Table215[[#This Row],[ROUTE]],DEMAND!A:F,6,FALSE)</f>
        <v>#N/A</v>
      </c>
      <c r="O625" s="39" t="e">
        <f>ROUNDDOWN(Table215[[#This Row],[R-DEMAND]]/1320,0)</f>
        <v>#N/A</v>
      </c>
      <c r="P625" s="41" t="e">
        <f>Table215[[#This Row],[ADD ACC]]*Table215[[#This Row],[RT TIME (744)]]</f>
        <v>#N/A</v>
      </c>
    </row>
    <row r="626" spans="1:16" ht="15" customHeight="1" x14ac:dyDescent="0.25">
      <c r="A626" s="38" t="s">
        <v>13851</v>
      </c>
      <c r="B626" s="39" t="s">
        <v>2972</v>
      </c>
      <c r="C626" s="39"/>
      <c r="D626" s="39">
        <v>2</v>
      </c>
      <c r="E626" s="38" t="s">
        <v>1654</v>
      </c>
      <c r="F626" s="38" t="str">
        <f>VLOOKUP(E:E,Table10[[COUNTRY NAME]:[CONTINENT CODE]],3,FALSE)</f>
        <v>AS</v>
      </c>
      <c r="G626" s="155" t="s">
        <v>11875</v>
      </c>
      <c r="H626" s="40">
        <v>10851</v>
      </c>
      <c r="I626" s="41">
        <v>26.25</v>
      </c>
      <c r="J626" s="157"/>
      <c r="K626" s="42">
        <f>IFERROR(Table215[[#This Row],[ROUTE $]]/Table215[[#This Row],[E - DEMAND]],0)</f>
        <v>0</v>
      </c>
      <c r="L626" s="43"/>
      <c r="M626" s="39" t="e">
        <f>VLOOKUP(Table215[[#This Row],[ROUTE]],DEMAND!A:F,5,FALSE)</f>
        <v>#N/A</v>
      </c>
      <c r="N626" s="39" t="e">
        <f>VLOOKUP(Table215[[#This Row],[ROUTE]],DEMAND!A:F,6,FALSE)</f>
        <v>#N/A</v>
      </c>
      <c r="O626" s="39" t="e">
        <f>ROUNDDOWN(Table215[[#This Row],[R-DEMAND]]/1320,0)</f>
        <v>#N/A</v>
      </c>
      <c r="P626" s="41" t="e">
        <f>Table215[[#This Row],[ADD ACC]]*Table215[[#This Row],[RT TIME (744)]]</f>
        <v>#N/A</v>
      </c>
    </row>
    <row r="627" spans="1:16" ht="15" customHeight="1" x14ac:dyDescent="0.25">
      <c r="A627" s="38" t="s">
        <v>13877</v>
      </c>
      <c r="B627" s="39" t="s">
        <v>3753</v>
      </c>
      <c r="C627" s="39"/>
      <c r="D627" s="39">
        <v>2</v>
      </c>
      <c r="E627" s="38" t="s">
        <v>700</v>
      </c>
      <c r="F627" s="38" t="str">
        <f>VLOOKUP(E:E,Table10[[COUNTRY NAME]:[CONTINENT CODE]],3,FALSE)</f>
        <v>AS</v>
      </c>
      <c r="G627" s="155" t="s">
        <v>11874</v>
      </c>
      <c r="H627" s="40">
        <v>10921</v>
      </c>
      <c r="I627" s="41">
        <v>26.25</v>
      </c>
      <c r="J627" s="157"/>
      <c r="K627" s="42">
        <f>IFERROR(Table215[[#This Row],[ROUTE $]]/Table215[[#This Row],[E - DEMAND]],0)</f>
        <v>0</v>
      </c>
      <c r="L627" s="43"/>
      <c r="M627" s="39" t="e">
        <f>VLOOKUP(Table215[[#This Row],[ROUTE]],DEMAND!A:F,5,FALSE)</f>
        <v>#N/A</v>
      </c>
      <c r="N627" s="39" t="e">
        <f>VLOOKUP(Table215[[#This Row],[ROUTE]],DEMAND!A:F,6,FALSE)</f>
        <v>#N/A</v>
      </c>
      <c r="O627" s="39" t="e">
        <f>ROUNDDOWN(Table215[[#This Row],[R-DEMAND]]/1320,0)</f>
        <v>#N/A</v>
      </c>
      <c r="P627" s="41" t="e">
        <f>Table215[[#This Row],[ADD ACC]]*Table215[[#This Row],[RT TIME (744)]]</f>
        <v>#N/A</v>
      </c>
    </row>
    <row r="628" spans="1:16" ht="15" customHeight="1" x14ac:dyDescent="0.25">
      <c r="A628" s="38" t="s">
        <v>13878</v>
      </c>
      <c r="B628" s="39" t="s">
        <v>2890</v>
      </c>
      <c r="C628" s="39"/>
      <c r="D628" s="39">
        <v>2</v>
      </c>
      <c r="E628" s="38" t="s">
        <v>700</v>
      </c>
      <c r="F628" s="38" t="str">
        <f>VLOOKUP(E:E,Table10[[COUNTRY NAME]:[CONTINENT CODE]],3,FALSE)</f>
        <v>AS</v>
      </c>
      <c r="G628" s="155" t="s">
        <v>11863</v>
      </c>
      <c r="H628" s="40">
        <v>10886</v>
      </c>
      <c r="I628" s="41">
        <v>26.25</v>
      </c>
      <c r="J628" s="157"/>
      <c r="K628" s="42">
        <f>IFERROR(Table215[[#This Row],[ROUTE $]]/Table215[[#This Row],[E - DEMAND]],0)</f>
        <v>0</v>
      </c>
      <c r="L628" s="43"/>
      <c r="M628" s="39" t="e">
        <f>VLOOKUP(Table215[[#This Row],[ROUTE]],DEMAND!A:F,5,FALSE)</f>
        <v>#N/A</v>
      </c>
      <c r="N628" s="39" t="e">
        <f>VLOOKUP(Table215[[#This Row],[ROUTE]],DEMAND!A:F,6,FALSE)</f>
        <v>#N/A</v>
      </c>
      <c r="O628" s="39" t="e">
        <f>ROUNDDOWN(Table215[[#This Row],[R-DEMAND]]/1320,0)</f>
        <v>#N/A</v>
      </c>
      <c r="P628" s="41" t="e">
        <f>Table215[[#This Row],[ADD ACC]]*Table215[[#This Row],[RT TIME (744)]]</f>
        <v>#N/A</v>
      </c>
    </row>
    <row r="629" spans="1:16" ht="15" customHeight="1" x14ac:dyDescent="0.25">
      <c r="A629" s="38" t="s">
        <v>13920</v>
      </c>
      <c r="B629" s="39" t="s">
        <v>2451</v>
      </c>
      <c r="C629" s="39"/>
      <c r="D629" s="39">
        <v>1</v>
      </c>
      <c r="E629" s="143" t="s">
        <v>647</v>
      </c>
      <c r="F629" s="38" t="e">
        <f>VLOOKUP(E:E,Table10[[COUNTRY NAME]:[CONTINENT CODE]],3,FALSE)</f>
        <v>#N/A</v>
      </c>
      <c r="G629" s="155" t="s">
        <v>13255</v>
      </c>
      <c r="H629" s="40">
        <v>10916</v>
      </c>
      <c r="I629" s="41">
        <v>26.25</v>
      </c>
      <c r="J629" s="157"/>
      <c r="K629" s="42">
        <f>IFERROR(Table215[[#This Row],[ROUTE $]]/Table215[[#This Row],[E - DEMAND]],0)</f>
        <v>0</v>
      </c>
      <c r="L629" s="43"/>
      <c r="M629" s="39" t="e">
        <f>VLOOKUP(Table215[[#This Row],[ROUTE]],DEMAND!A:F,5,FALSE)</f>
        <v>#N/A</v>
      </c>
      <c r="N629" s="39" t="e">
        <f>VLOOKUP(Table215[[#This Row],[ROUTE]],DEMAND!A:F,6,FALSE)</f>
        <v>#N/A</v>
      </c>
      <c r="O629" s="39" t="e">
        <f>ROUNDDOWN(Table215[[#This Row],[R-DEMAND]]/1320,0)</f>
        <v>#N/A</v>
      </c>
      <c r="P629" s="41" t="e">
        <f>Table215[[#This Row],[ADD ACC]]*Table215[[#This Row],[RT TIME (744)]]</f>
        <v>#N/A</v>
      </c>
    </row>
    <row r="630" spans="1:16" ht="15" customHeight="1" x14ac:dyDescent="0.25">
      <c r="A630" s="38" t="s">
        <v>13661</v>
      </c>
      <c r="B630" s="39" t="s">
        <v>510</v>
      </c>
      <c r="C630" s="39"/>
      <c r="D630" s="39">
        <v>1</v>
      </c>
      <c r="E630" s="38" t="s">
        <v>508</v>
      </c>
      <c r="F630" s="38" t="str">
        <f>VLOOKUP(E:E,Table10[[COUNTRY NAME]:[CONTINENT CODE]],3,FALSE)</f>
        <v>EU</v>
      </c>
      <c r="G630" s="155" t="s">
        <v>11816</v>
      </c>
      <c r="H630" s="40">
        <v>10983</v>
      </c>
      <c r="I630" s="41">
        <v>26.5</v>
      </c>
      <c r="J630" s="157"/>
      <c r="K630" s="42">
        <f>IFERROR(Table215[[#This Row],[ROUTE $]]/Table215[[#This Row],[E - DEMAND]],0)</f>
        <v>0</v>
      </c>
      <c r="L630" s="43"/>
      <c r="M630" s="39" t="e">
        <f>VLOOKUP(Table215[[#This Row],[ROUTE]],DEMAND!A:F,5,FALSE)</f>
        <v>#N/A</v>
      </c>
      <c r="N630" s="39" t="e">
        <f>VLOOKUP(Table215[[#This Row],[ROUTE]],DEMAND!A:F,6,FALSE)</f>
        <v>#N/A</v>
      </c>
      <c r="O630" s="39" t="e">
        <f>ROUNDDOWN(Table215[[#This Row],[R-DEMAND]]/1320,0)</f>
        <v>#N/A</v>
      </c>
      <c r="P630" s="41" t="e">
        <f>Table215[[#This Row],[ADD ACC]]*Table215[[#This Row],[RT TIME (744)]]</f>
        <v>#N/A</v>
      </c>
    </row>
    <row r="631" spans="1:16" ht="15" customHeight="1" x14ac:dyDescent="0.25">
      <c r="A631" s="38" t="s">
        <v>13662</v>
      </c>
      <c r="B631" s="39" t="s">
        <v>3999</v>
      </c>
      <c r="C631" s="39"/>
      <c r="D631" s="39">
        <v>0</v>
      </c>
      <c r="E631" s="38" t="s">
        <v>508</v>
      </c>
      <c r="F631" s="38" t="str">
        <f>VLOOKUP(E:E,Table10[[COUNTRY NAME]:[CONTINENT CODE]],3,FALSE)</f>
        <v>EU</v>
      </c>
      <c r="G631" s="155" t="s">
        <v>11822</v>
      </c>
      <c r="H631" s="40">
        <v>10971</v>
      </c>
      <c r="I631" s="41">
        <v>26.5</v>
      </c>
      <c r="J631" s="157"/>
      <c r="K631" s="42">
        <f>IFERROR(Table215[[#This Row],[ROUTE $]]/Table215[[#This Row],[E - DEMAND]],0)</f>
        <v>0</v>
      </c>
      <c r="L631" s="43"/>
      <c r="M631" s="39" t="e">
        <f>VLOOKUP(Table215[[#This Row],[ROUTE]],DEMAND!A:F,5,FALSE)</f>
        <v>#N/A</v>
      </c>
      <c r="N631" s="39" t="e">
        <f>VLOOKUP(Table215[[#This Row],[ROUTE]],DEMAND!A:F,6,FALSE)</f>
        <v>#N/A</v>
      </c>
      <c r="O631" s="39" t="e">
        <f>ROUNDDOWN(Table215[[#This Row],[R-DEMAND]]/1320,0)</f>
        <v>#N/A</v>
      </c>
      <c r="P631" s="41" t="e">
        <f>Table215[[#This Row],[ADD ACC]]*Table215[[#This Row],[RT TIME (744)]]</f>
        <v>#N/A</v>
      </c>
    </row>
    <row r="632" spans="1:16" ht="15" customHeight="1" x14ac:dyDescent="0.25">
      <c r="A632" s="38" t="s">
        <v>13786</v>
      </c>
      <c r="B632" s="39" t="s">
        <v>4494</v>
      </c>
      <c r="C632" s="39"/>
      <c r="D632" s="39">
        <v>2</v>
      </c>
      <c r="E632" s="38" t="s">
        <v>172</v>
      </c>
      <c r="F632" s="38" t="str">
        <f>VLOOKUP(E:E,Table10[[COUNTRY NAME]:[CONTINENT CODE]],3,FALSE)</f>
        <v>AS</v>
      </c>
      <c r="G632" s="155" t="s">
        <v>10925</v>
      </c>
      <c r="H632" s="40">
        <v>10968</v>
      </c>
      <c r="I632" s="41">
        <v>26.5</v>
      </c>
      <c r="J632" s="157"/>
      <c r="K632" s="42">
        <f>IFERROR(Table215[[#This Row],[ROUTE $]]/Table215[[#This Row],[E - DEMAND]],0)</f>
        <v>0</v>
      </c>
      <c r="L632" s="43"/>
      <c r="M632" s="39" t="e">
        <f>VLOOKUP(Table215[[#This Row],[ROUTE]],DEMAND!A:F,5,FALSE)</f>
        <v>#N/A</v>
      </c>
      <c r="N632" s="39" t="e">
        <f>VLOOKUP(Table215[[#This Row],[ROUTE]],DEMAND!A:F,6,FALSE)</f>
        <v>#N/A</v>
      </c>
      <c r="O632" s="39" t="e">
        <f>ROUNDDOWN(Table215[[#This Row],[R-DEMAND]]/1320,0)</f>
        <v>#N/A</v>
      </c>
      <c r="P632" s="41" t="e">
        <f>Table215[[#This Row],[ADD ACC]]*Table215[[#This Row],[RT TIME (744)]]</f>
        <v>#N/A</v>
      </c>
    </row>
    <row r="633" spans="1:16" ht="15" customHeight="1" x14ac:dyDescent="0.25">
      <c r="A633" s="38" t="s">
        <v>13785</v>
      </c>
      <c r="B633" s="39" t="s">
        <v>3906</v>
      </c>
      <c r="C633" s="39"/>
      <c r="D633" s="39">
        <v>2</v>
      </c>
      <c r="E633" s="38" t="s">
        <v>172</v>
      </c>
      <c r="F633" s="38" t="str">
        <f>VLOOKUP(E:E,Table10[[COUNTRY NAME]:[CONTINENT CODE]],3,FALSE)</f>
        <v>AS</v>
      </c>
      <c r="G633" s="155" t="s">
        <v>9572</v>
      </c>
      <c r="H633" s="40">
        <v>11014</v>
      </c>
      <c r="I633" s="41">
        <v>26.5</v>
      </c>
      <c r="J633" s="157"/>
      <c r="K633" s="42">
        <f>IFERROR(Table215[[#This Row],[ROUTE $]]/Table215[[#This Row],[E - DEMAND]],0)</f>
        <v>0</v>
      </c>
      <c r="L633" s="43"/>
      <c r="M633" s="39" t="e">
        <f>VLOOKUP(Table215[[#This Row],[ROUTE]],DEMAND!A:F,5,FALSE)</f>
        <v>#N/A</v>
      </c>
      <c r="N633" s="39" t="e">
        <f>VLOOKUP(Table215[[#This Row],[ROUTE]],DEMAND!A:F,6,FALSE)</f>
        <v>#N/A</v>
      </c>
      <c r="O633" s="39" t="e">
        <f>ROUNDDOWN(Table215[[#This Row],[R-DEMAND]]/1320,0)</f>
        <v>#N/A</v>
      </c>
      <c r="P633" s="41" t="e">
        <f>Table215[[#This Row],[ADD ACC]]*Table215[[#This Row],[RT TIME (744)]]</f>
        <v>#N/A</v>
      </c>
    </row>
    <row r="634" spans="1:16" ht="15" customHeight="1" x14ac:dyDescent="0.25">
      <c r="A634" s="38" t="s">
        <v>13784</v>
      </c>
      <c r="B634" s="39" t="s">
        <v>2653</v>
      </c>
      <c r="C634" s="39"/>
      <c r="D634" s="39">
        <v>2</v>
      </c>
      <c r="E634" s="38" t="s">
        <v>172</v>
      </c>
      <c r="F634" s="38" t="str">
        <f>VLOOKUP(E:E,Table10[[COUNTRY NAME]:[CONTINENT CODE]],3,FALSE)</f>
        <v>AS</v>
      </c>
      <c r="G634" s="155" t="s">
        <v>11943</v>
      </c>
      <c r="H634" s="40">
        <v>11061</v>
      </c>
      <c r="I634" s="41">
        <v>26.5</v>
      </c>
      <c r="J634" s="157"/>
      <c r="K634" s="42">
        <f>IFERROR(Table215[[#This Row],[ROUTE $]]/Table215[[#This Row],[E - DEMAND]],0)</f>
        <v>0</v>
      </c>
      <c r="L634" s="43"/>
      <c r="M634" s="39" t="e">
        <f>VLOOKUP(Table215[[#This Row],[ROUTE]],DEMAND!A:F,5,FALSE)</f>
        <v>#N/A</v>
      </c>
      <c r="N634" s="39" t="e">
        <f>VLOOKUP(Table215[[#This Row],[ROUTE]],DEMAND!A:F,6,FALSE)</f>
        <v>#N/A</v>
      </c>
      <c r="O634" s="39" t="e">
        <f>ROUNDDOWN(Table215[[#This Row],[R-DEMAND]]/1320,0)</f>
        <v>#N/A</v>
      </c>
      <c r="P634" s="41" t="e">
        <f>Table215[[#This Row],[ADD ACC]]*Table215[[#This Row],[RT TIME (744)]]</f>
        <v>#N/A</v>
      </c>
    </row>
    <row r="635" spans="1:16" ht="15" customHeight="1" x14ac:dyDescent="0.25">
      <c r="A635" s="38" t="s">
        <v>13874</v>
      </c>
      <c r="B635" s="39" t="s">
        <v>1916</v>
      </c>
      <c r="C635" s="39"/>
      <c r="D635" s="39">
        <v>1</v>
      </c>
      <c r="E635" s="38" t="s">
        <v>700</v>
      </c>
      <c r="F635" s="38" t="str">
        <f>VLOOKUP(E:E,Table10[[COUNTRY NAME]:[CONTINENT CODE]],3,FALSE)</f>
        <v>AS</v>
      </c>
      <c r="G635" s="155" t="s">
        <v>11865</v>
      </c>
      <c r="H635" s="40">
        <v>11055</v>
      </c>
      <c r="I635" s="41">
        <v>26.5</v>
      </c>
      <c r="J635" s="157"/>
      <c r="K635" s="42">
        <f>IFERROR(Table215[[#This Row],[ROUTE $]]/Table215[[#This Row],[E - DEMAND]],0)</f>
        <v>0</v>
      </c>
      <c r="L635" s="43"/>
      <c r="M635" s="39" t="e">
        <f>VLOOKUP(Table215[[#This Row],[ROUTE]],DEMAND!A:F,5,FALSE)</f>
        <v>#N/A</v>
      </c>
      <c r="N635" s="39" t="e">
        <f>VLOOKUP(Table215[[#This Row],[ROUTE]],DEMAND!A:F,6,FALSE)</f>
        <v>#N/A</v>
      </c>
      <c r="O635" s="39" t="e">
        <f>ROUNDDOWN(Table215[[#This Row],[R-DEMAND]]/1320,0)</f>
        <v>#N/A</v>
      </c>
      <c r="P635" s="41" t="e">
        <f>Table215[[#This Row],[ADD ACC]]*Table215[[#This Row],[RT TIME (744)]]</f>
        <v>#N/A</v>
      </c>
    </row>
    <row r="636" spans="1:16" ht="15" customHeight="1" x14ac:dyDescent="0.25">
      <c r="A636" s="38" t="s">
        <v>13473</v>
      </c>
      <c r="B636" s="39" t="s">
        <v>4062</v>
      </c>
      <c r="C636" s="39"/>
      <c r="D636" s="39">
        <v>2</v>
      </c>
      <c r="E636" s="1" t="s">
        <v>514</v>
      </c>
      <c r="F636" s="1" t="str">
        <f>VLOOKUP(E:E,Table10[[COUNTRY NAME]:[CONTINENT CODE]],3,FALSE)</f>
        <v>NA</v>
      </c>
      <c r="G636" s="156" t="s">
        <v>11667</v>
      </c>
      <c r="H636" s="8">
        <v>10993</v>
      </c>
      <c r="I636" s="41">
        <v>26.5</v>
      </c>
      <c r="J636" s="157"/>
      <c r="K636" s="6">
        <f>IFERROR(Table215[[#This Row],[ROUTE $]]/Table215[[#This Row],[E - DEMAND]],0)</f>
        <v>0</v>
      </c>
      <c r="L636" s="4"/>
      <c r="M636" s="39" t="e">
        <f>VLOOKUP(Table215[[#This Row],[ROUTE]],DEMAND!A:F,5,FALSE)</f>
        <v>#N/A</v>
      </c>
      <c r="N636" s="39" t="e">
        <f>VLOOKUP(Table215[[#This Row],[ROUTE]],DEMAND!A:F,6,FALSE)</f>
        <v>#N/A</v>
      </c>
      <c r="O636" s="39" t="e">
        <f>ROUNDDOWN(Table215[[#This Row],[R-DEMAND]]/1320,0)</f>
        <v>#N/A</v>
      </c>
      <c r="P636" s="41" t="e">
        <f>Table215[[#This Row],[ADD ACC]]*Table215[[#This Row],[RT TIME (744)]]</f>
        <v>#N/A</v>
      </c>
    </row>
    <row r="637" spans="1:16" ht="15" customHeight="1" x14ac:dyDescent="0.25">
      <c r="A637" s="38" t="s">
        <v>13441</v>
      </c>
      <c r="B637" s="39" t="s">
        <v>4572</v>
      </c>
      <c r="C637" s="39"/>
      <c r="D637" s="39">
        <v>2</v>
      </c>
      <c r="E637" s="1" t="s">
        <v>1959</v>
      </c>
      <c r="F637" s="1" t="str">
        <f>VLOOKUP(E:E,Table10[[COUNTRY NAME]:[CONTINENT CODE]],3,FALSE)</f>
        <v>EU</v>
      </c>
      <c r="G637" s="160" t="s">
        <v>11833</v>
      </c>
      <c r="H637" s="40">
        <v>11142</v>
      </c>
      <c r="I637" s="41">
        <v>26.75</v>
      </c>
      <c r="J637" s="157"/>
      <c r="K637" s="42">
        <f>IFERROR(Table215[[#This Row],[ROUTE $]]/Table215[[#This Row],[E - DEMAND]],0)</f>
        <v>0</v>
      </c>
      <c r="L637" s="43"/>
      <c r="M637" s="39" t="e">
        <f>VLOOKUP(Table215[[#This Row],[ROUTE]],DEMAND!A:F,5,FALSE)</f>
        <v>#N/A</v>
      </c>
      <c r="N637" s="39" t="e">
        <f>VLOOKUP(Table215[[#This Row],[ROUTE]],DEMAND!A:F,6,FALSE)</f>
        <v>#N/A</v>
      </c>
      <c r="O637" s="39" t="e">
        <f>ROUNDDOWN(Table215[[#This Row],[R-DEMAND]]/1320,0)</f>
        <v>#N/A</v>
      </c>
      <c r="P637" s="41" t="e">
        <f>Table215[[#This Row],[ADD ACC]]*Table215[[#This Row],[RT TIME (744)]]</f>
        <v>#N/A</v>
      </c>
    </row>
    <row r="638" spans="1:16" ht="15" customHeight="1" x14ac:dyDescent="0.25">
      <c r="A638" s="38" t="s">
        <v>13780</v>
      </c>
      <c r="B638" s="39" t="s">
        <v>3883</v>
      </c>
      <c r="C638" s="39"/>
      <c r="D638" s="39">
        <v>2</v>
      </c>
      <c r="E638" s="38" t="s">
        <v>172</v>
      </c>
      <c r="F638" s="38" t="str">
        <f>VLOOKUP(E:E,Table10[[COUNTRY NAME]:[CONTINENT CODE]],3,FALSE)</f>
        <v>AS</v>
      </c>
      <c r="G638" s="155" t="s">
        <v>9929</v>
      </c>
      <c r="H638" s="40">
        <v>11161</v>
      </c>
      <c r="I638" s="41">
        <v>26.75</v>
      </c>
      <c r="J638" s="157"/>
      <c r="K638" s="42">
        <f>IFERROR(Table215[[#This Row],[ROUTE $]]/Table215[[#This Row],[E - DEMAND]],0)</f>
        <v>0</v>
      </c>
      <c r="L638" s="43"/>
      <c r="M638" s="39" t="e">
        <f>VLOOKUP(Table215[[#This Row],[ROUTE]],DEMAND!A:F,5,FALSE)</f>
        <v>#N/A</v>
      </c>
      <c r="N638" s="39" t="e">
        <f>VLOOKUP(Table215[[#This Row],[ROUTE]],DEMAND!A:F,6,FALSE)</f>
        <v>#N/A</v>
      </c>
      <c r="O638" s="39" t="e">
        <f>ROUNDDOWN(Table215[[#This Row],[R-DEMAND]]/1320,0)</f>
        <v>#N/A</v>
      </c>
      <c r="P638" s="41" t="e">
        <f>Table215[[#This Row],[ADD ACC]]*Table215[[#This Row],[RT TIME (744)]]</f>
        <v>#N/A</v>
      </c>
    </row>
    <row r="639" spans="1:16" ht="15" customHeight="1" x14ac:dyDescent="0.25">
      <c r="A639" s="38" t="s">
        <v>13783</v>
      </c>
      <c r="B639" s="39" t="s">
        <v>3074</v>
      </c>
      <c r="C639" s="39"/>
      <c r="D639" s="39">
        <v>2</v>
      </c>
      <c r="E639" s="38" t="s">
        <v>172</v>
      </c>
      <c r="F639" s="38" t="str">
        <f>VLOOKUP(E:E,Table10[[COUNTRY NAME]:[CONTINENT CODE]],3,FALSE)</f>
        <v>AS</v>
      </c>
      <c r="G639" s="155" t="s">
        <v>7651</v>
      </c>
      <c r="H639" s="40">
        <v>11107</v>
      </c>
      <c r="I639" s="41">
        <v>26.75</v>
      </c>
      <c r="J639" s="157"/>
      <c r="K639" s="42">
        <f>IFERROR(Table215[[#This Row],[ROUTE $]]/Table215[[#This Row],[E - DEMAND]],0)</f>
        <v>0</v>
      </c>
      <c r="L639" s="43"/>
      <c r="M639" s="39" t="e">
        <f>VLOOKUP(Table215[[#This Row],[ROUTE]],DEMAND!A:F,5,FALSE)</f>
        <v>#N/A</v>
      </c>
      <c r="N639" s="39" t="e">
        <f>VLOOKUP(Table215[[#This Row],[ROUTE]],DEMAND!A:F,6,FALSE)</f>
        <v>#N/A</v>
      </c>
      <c r="O639" s="39" t="e">
        <f>ROUNDDOWN(Table215[[#This Row],[R-DEMAND]]/1320,0)</f>
        <v>#N/A</v>
      </c>
      <c r="P639" s="41" t="e">
        <f>Table215[[#This Row],[ADD ACC]]*Table215[[#This Row],[RT TIME (744)]]</f>
        <v>#N/A</v>
      </c>
    </row>
    <row r="640" spans="1:16" ht="15" customHeight="1" x14ac:dyDescent="0.25">
      <c r="A640" s="38" t="s">
        <v>13781</v>
      </c>
      <c r="B640" s="39" t="s">
        <v>2557</v>
      </c>
      <c r="C640" s="39"/>
      <c r="D640" s="39">
        <v>2</v>
      </c>
      <c r="E640" s="38" t="s">
        <v>172</v>
      </c>
      <c r="F640" s="38" t="str">
        <f>VLOOKUP(E:E,Table10[[COUNTRY NAME]:[CONTINENT CODE]],3,FALSE)</f>
        <v>AS</v>
      </c>
      <c r="G640" s="155" t="s">
        <v>11955</v>
      </c>
      <c r="H640" s="40">
        <v>11125</v>
      </c>
      <c r="I640" s="41">
        <v>26.75</v>
      </c>
      <c r="J640" s="157"/>
      <c r="K640" s="42">
        <f>IFERROR(Table215[[#This Row],[ROUTE $]]/Table215[[#This Row],[E - DEMAND]],0)</f>
        <v>0</v>
      </c>
      <c r="L640" s="43"/>
      <c r="M640" s="39" t="e">
        <f>VLOOKUP(Table215[[#This Row],[ROUTE]],DEMAND!A:F,5,FALSE)</f>
        <v>#N/A</v>
      </c>
      <c r="N640" s="39" t="e">
        <f>VLOOKUP(Table215[[#This Row],[ROUTE]],DEMAND!A:F,6,FALSE)</f>
        <v>#N/A</v>
      </c>
      <c r="O640" s="39" t="e">
        <f>ROUNDDOWN(Table215[[#This Row],[R-DEMAND]]/1320,0)</f>
        <v>#N/A</v>
      </c>
      <c r="P640" s="41" t="e">
        <f>Table215[[#This Row],[ADD ACC]]*Table215[[#This Row],[RT TIME (744)]]</f>
        <v>#N/A</v>
      </c>
    </row>
    <row r="641" spans="1:16" ht="15" customHeight="1" x14ac:dyDescent="0.25">
      <c r="A641" s="38" t="s">
        <v>13782</v>
      </c>
      <c r="B641" s="39" t="s">
        <v>1269</v>
      </c>
      <c r="C641" s="39"/>
      <c r="D641" s="39">
        <v>1</v>
      </c>
      <c r="E641" s="38" t="s">
        <v>172</v>
      </c>
      <c r="F641" s="38" t="str">
        <f>VLOOKUP(E:E,Table10[[COUNTRY NAME]:[CONTINENT CODE]],3,FALSE)</f>
        <v>AS</v>
      </c>
      <c r="G641" s="155" t="s">
        <v>11934</v>
      </c>
      <c r="H641" s="40">
        <v>11119</v>
      </c>
      <c r="I641" s="41">
        <v>26.75</v>
      </c>
      <c r="J641" s="157"/>
      <c r="K641" s="42">
        <f>IFERROR(Table215[[#This Row],[ROUTE $]]/Table215[[#This Row],[E - DEMAND]],0)</f>
        <v>0</v>
      </c>
      <c r="L641" s="43"/>
      <c r="M641" s="39" t="e">
        <f>VLOOKUP(Table215[[#This Row],[ROUTE]],DEMAND!A:F,5,FALSE)</f>
        <v>#N/A</v>
      </c>
      <c r="N641" s="39" t="e">
        <f>VLOOKUP(Table215[[#This Row],[ROUTE]],DEMAND!A:F,6,FALSE)</f>
        <v>#N/A</v>
      </c>
      <c r="O641" s="39" t="e">
        <f>ROUNDDOWN(Table215[[#This Row],[R-DEMAND]]/1320,0)</f>
        <v>#N/A</v>
      </c>
      <c r="P641" s="41" t="e">
        <f>Table215[[#This Row],[ADD ACC]]*Table215[[#This Row],[RT TIME (744)]]</f>
        <v>#N/A</v>
      </c>
    </row>
    <row r="642" spans="1:16" ht="15" customHeight="1" x14ac:dyDescent="0.25">
      <c r="A642" s="38" t="s">
        <v>13873</v>
      </c>
      <c r="B642" s="39" t="s">
        <v>2903</v>
      </c>
      <c r="C642" s="39"/>
      <c r="D642" s="39">
        <v>2</v>
      </c>
      <c r="E642" s="38" t="s">
        <v>700</v>
      </c>
      <c r="F642" s="38" t="str">
        <f>VLOOKUP(E:E,Table10[[COUNTRY NAME]:[CONTINENT CODE]],3,FALSE)</f>
        <v>AS</v>
      </c>
      <c r="G642" s="155" t="s">
        <v>6768</v>
      </c>
      <c r="H642" s="40">
        <v>11119</v>
      </c>
      <c r="I642" s="41">
        <v>26.75</v>
      </c>
      <c r="J642" s="157"/>
      <c r="K642" s="42">
        <f>IFERROR(Table215[[#This Row],[ROUTE $]]/Table215[[#This Row],[E - DEMAND]],0)</f>
        <v>0</v>
      </c>
      <c r="L642" s="43"/>
      <c r="M642" s="39" t="e">
        <f>VLOOKUP(Table215[[#This Row],[ROUTE]],DEMAND!A:F,5,FALSE)</f>
        <v>#N/A</v>
      </c>
      <c r="N642" s="39" t="e">
        <f>VLOOKUP(Table215[[#This Row],[ROUTE]],DEMAND!A:F,6,FALSE)</f>
        <v>#N/A</v>
      </c>
      <c r="O642" s="39" t="e">
        <f>ROUNDDOWN(Table215[[#This Row],[R-DEMAND]]/1320,0)</f>
        <v>#N/A</v>
      </c>
      <c r="P642" s="41" t="e">
        <f>Table215[[#This Row],[ADD ACC]]*Table215[[#This Row],[RT TIME (744)]]</f>
        <v>#N/A</v>
      </c>
    </row>
    <row r="643" spans="1:16" ht="15" customHeight="1" x14ac:dyDescent="0.25">
      <c r="A643" s="38" t="s">
        <v>13896</v>
      </c>
      <c r="B643" s="39" t="s">
        <v>4477</v>
      </c>
      <c r="C643" s="39"/>
      <c r="D643" s="39">
        <v>2</v>
      </c>
      <c r="E643" s="38" t="s">
        <v>722</v>
      </c>
      <c r="F643" s="38" t="str">
        <f>VLOOKUP(E:E,Table10[[COUNTRY NAME]:[CONTINENT CODE]],3,FALSE)</f>
        <v>EU</v>
      </c>
      <c r="G643" s="155" t="s">
        <v>11856</v>
      </c>
      <c r="H643" s="40">
        <v>11123</v>
      </c>
      <c r="I643" s="41">
        <v>26.75</v>
      </c>
      <c r="J643" s="157"/>
      <c r="K643" s="42">
        <f>IFERROR(Table215[[#This Row],[ROUTE $]]/Table215[[#This Row],[E - DEMAND]],0)</f>
        <v>0</v>
      </c>
      <c r="L643" s="43"/>
      <c r="M643" s="39" t="e">
        <f>VLOOKUP(Table215[[#This Row],[ROUTE]],DEMAND!A:F,5,FALSE)</f>
        <v>#N/A</v>
      </c>
      <c r="N643" s="39" t="e">
        <f>VLOOKUP(Table215[[#This Row],[ROUTE]],DEMAND!A:F,6,FALSE)</f>
        <v>#N/A</v>
      </c>
      <c r="O643" s="39" t="e">
        <f>ROUNDDOWN(Table215[[#This Row],[R-DEMAND]]/1320,0)</f>
        <v>#N/A</v>
      </c>
      <c r="P643" s="41" t="e">
        <f>Table215[[#This Row],[ADD ACC]]*Table215[[#This Row],[RT TIME (744)]]</f>
        <v>#N/A</v>
      </c>
    </row>
    <row r="644" spans="1:16" ht="15" customHeight="1" x14ac:dyDescent="0.25">
      <c r="A644" s="38" t="s">
        <v>13779</v>
      </c>
      <c r="B644" s="39" t="s">
        <v>1844</v>
      </c>
      <c r="C644" s="39"/>
      <c r="D644" s="39">
        <v>1</v>
      </c>
      <c r="E644" s="38" t="s">
        <v>172</v>
      </c>
      <c r="F644" s="38" t="str">
        <f>VLOOKUP(E:E,Table10[[COUNTRY NAME]:[CONTINENT CODE]],3,FALSE)</f>
        <v>AS</v>
      </c>
      <c r="G644" s="155" t="s">
        <v>7650</v>
      </c>
      <c r="H644" s="40">
        <v>11267</v>
      </c>
      <c r="I644" s="41">
        <v>27</v>
      </c>
      <c r="J644" s="157"/>
      <c r="K644" s="42">
        <f>IFERROR(Table215[[#This Row],[ROUTE $]]/Table215[[#This Row],[E - DEMAND]],0)</f>
        <v>0</v>
      </c>
      <c r="L644" s="43"/>
      <c r="M644" s="39" t="e">
        <f>VLOOKUP(Table215[[#This Row],[ROUTE]],DEMAND!A:F,5,FALSE)</f>
        <v>#N/A</v>
      </c>
      <c r="N644" s="39" t="e">
        <f>VLOOKUP(Table215[[#This Row],[ROUTE]],DEMAND!A:F,6,FALSE)</f>
        <v>#N/A</v>
      </c>
      <c r="O644" s="39" t="e">
        <f>ROUNDDOWN(Table215[[#This Row],[R-DEMAND]]/1320,0)</f>
        <v>#N/A</v>
      </c>
      <c r="P644" s="41" t="e">
        <f>Table215[[#This Row],[ADD ACC]]*Table215[[#This Row],[RT TIME (744)]]</f>
        <v>#N/A</v>
      </c>
    </row>
    <row r="645" spans="1:16" ht="15" customHeight="1" x14ac:dyDescent="0.25">
      <c r="A645" s="38" t="s">
        <v>13849</v>
      </c>
      <c r="B645" s="39" t="s">
        <v>2067</v>
      </c>
      <c r="C645" s="39"/>
      <c r="D645" s="39">
        <v>1</v>
      </c>
      <c r="E645" s="38" t="s">
        <v>1654</v>
      </c>
      <c r="F645" s="38" t="str">
        <f>VLOOKUP(E:E,Table10[[COUNTRY NAME]:[CONTINENT CODE]],3,FALSE)</f>
        <v>AS</v>
      </c>
      <c r="G645" s="155" t="s">
        <v>11900</v>
      </c>
      <c r="H645" s="40">
        <v>11201</v>
      </c>
      <c r="I645" s="41">
        <v>27</v>
      </c>
      <c r="J645" s="157"/>
      <c r="K645" s="42">
        <f>IFERROR(Table215[[#This Row],[ROUTE $]]/Table215[[#This Row],[E - DEMAND]],0)</f>
        <v>0</v>
      </c>
      <c r="L645" s="43"/>
      <c r="M645" s="39" t="e">
        <f>VLOOKUP(Table215[[#This Row],[ROUTE]],DEMAND!A:F,5,FALSE)</f>
        <v>#N/A</v>
      </c>
      <c r="N645" s="39" t="e">
        <f>VLOOKUP(Table215[[#This Row],[ROUTE]],DEMAND!A:F,6,FALSE)</f>
        <v>#N/A</v>
      </c>
      <c r="O645" s="39" t="e">
        <f>ROUNDDOWN(Table215[[#This Row],[R-DEMAND]]/1320,0)</f>
        <v>#N/A</v>
      </c>
      <c r="P645" s="41" t="e">
        <f>Table215[[#This Row],[ADD ACC]]*Table215[[#This Row],[RT TIME (744)]]</f>
        <v>#N/A</v>
      </c>
    </row>
    <row r="646" spans="1:16" ht="15" customHeight="1" x14ac:dyDescent="0.25">
      <c r="A646" s="38" t="s">
        <v>13471</v>
      </c>
      <c r="B646" s="39" t="s">
        <v>3507</v>
      </c>
      <c r="C646" s="39"/>
      <c r="D646" s="39">
        <v>2</v>
      </c>
      <c r="E646" s="1" t="s">
        <v>514</v>
      </c>
      <c r="F646" s="1" t="str">
        <f>VLOOKUP(E:E,Table10[[COUNTRY NAME]:[CONTINENT CODE]],3,FALSE)</f>
        <v>NA</v>
      </c>
      <c r="G646" s="156" t="s">
        <v>6041</v>
      </c>
      <c r="H646" s="8">
        <v>11191</v>
      </c>
      <c r="I646" s="41">
        <v>27</v>
      </c>
      <c r="J646" s="157"/>
      <c r="K646" s="6">
        <f>IFERROR(Table215[[#This Row],[ROUTE $]]/Table215[[#This Row],[E - DEMAND]],0)</f>
        <v>0</v>
      </c>
      <c r="L646" s="5"/>
      <c r="M646" s="39" t="e">
        <f>VLOOKUP(Table215[[#This Row],[ROUTE]],DEMAND!A:F,5,FALSE)</f>
        <v>#N/A</v>
      </c>
      <c r="N646" s="39" t="e">
        <f>VLOOKUP(Table215[[#This Row],[ROUTE]],DEMAND!A:F,6,FALSE)</f>
        <v>#N/A</v>
      </c>
      <c r="O646" s="39" t="e">
        <f>ROUNDDOWN(Table215[[#This Row],[R-DEMAND]]/1320,0)</f>
        <v>#N/A</v>
      </c>
      <c r="P646" s="41" t="e">
        <f>Table215[[#This Row],[ADD ACC]]*Table215[[#This Row],[RT TIME (744)]]</f>
        <v>#N/A</v>
      </c>
    </row>
    <row r="647" spans="1:16" ht="15" customHeight="1" x14ac:dyDescent="0.25">
      <c r="A647" s="38" t="s">
        <v>13470</v>
      </c>
      <c r="B647" s="39" t="s">
        <v>3904</v>
      </c>
      <c r="C647" s="39"/>
      <c r="D647" s="39">
        <v>2</v>
      </c>
      <c r="E647" s="1" t="s">
        <v>514</v>
      </c>
      <c r="F647" s="1" t="str">
        <f>VLOOKUP(E:E,Table10[[COUNTRY NAME]:[CONTINENT CODE]],3,FALSE)</f>
        <v>NA</v>
      </c>
      <c r="G647" s="156" t="s">
        <v>11671</v>
      </c>
      <c r="H647" s="8">
        <v>11243</v>
      </c>
      <c r="I647" s="41">
        <v>27</v>
      </c>
      <c r="J647" s="157"/>
      <c r="K647" s="6">
        <f>IFERROR(Table215[[#This Row],[ROUTE $]]/Table215[[#This Row],[E - DEMAND]],0)</f>
        <v>0</v>
      </c>
      <c r="L647" s="4"/>
      <c r="M647" s="39" t="e">
        <f>VLOOKUP(Table215[[#This Row],[ROUTE]],DEMAND!A:F,5,FALSE)</f>
        <v>#N/A</v>
      </c>
      <c r="N647" s="39" t="e">
        <f>VLOOKUP(Table215[[#This Row],[ROUTE]],DEMAND!A:F,6,FALSE)</f>
        <v>#N/A</v>
      </c>
      <c r="O647" s="39" t="e">
        <f>ROUNDDOWN(Table215[[#This Row],[R-DEMAND]]/1320,0)</f>
        <v>#N/A</v>
      </c>
      <c r="P647" s="41" t="e">
        <f>Table215[[#This Row],[ADD ACC]]*Table215[[#This Row],[RT TIME (744)]]</f>
        <v>#N/A</v>
      </c>
    </row>
    <row r="648" spans="1:16" ht="15" customHeight="1" x14ac:dyDescent="0.25">
      <c r="A648" s="38" t="s">
        <v>13777</v>
      </c>
      <c r="B648" s="39" t="s">
        <v>902</v>
      </c>
      <c r="C648" s="39"/>
      <c r="D648" s="39">
        <v>1</v>
      </c>
      <c r="E648" s="38" t="s">
        <v>172</v>
      </c>
      <c r="F648" s="38" t="str">
        <f>VLOOKUP(E:E,Table10[[COUNTRY NAME]:[CONTINENT CODE]],3,FALSE)</f>
        <v>AS</v>
      </c>
      <c r="G648" s="155" t="s">
        <v>11935</v>
      </c>
      <c r="H648" s="40">
        <v>11386</v>
      </c>
      <c r="I648" s="41">
        <v>27.25</v>
      </c>
      <c r="J648" s="157"/>
      <c r="K648" s="42">
        <f>IFERROR(Table215[[#This Row],[ROUTE $]]/Table215[[#This Row],[E - DEMAND]],0)</f>
        <v>0</v>
      </c>
      <c r="L648" s="43"/>
      <c r="M648" s="39" t="e">
        <f>VLOOKUP(Table215[[#This Row],[ROUTE]],DEMAND!A:F,5,FALSE)</f>
        <v>#N/A</v>
      </c>
      <c r="N648" s="39" t="e">
        <f>VLOOKUP(Table215[[#This Row],[ROUTE]],DEMAND!A:F,6,FALSE)</f>
        <v>#N/A</v>
      </c>
      <c r="O648" s="39" t="e">
        <f>ROUNDDOWN(Table215[[#This Row],[R-DEMAND]]/1320,0)</f>
        <v>#N/A</v>
      </c>
      <c r="P648" s="41" t="e">
        <f>Table215[[#This Row],[ADD ACC]]*Table215[[#This Row],[RT TIME (744)]]</f>
        <v>#N/A</v>
      </c>
    </row>
    <row r="649" spans="1:16" ht="15" customHeight="1" x14ac:dyDescent="0.25">
      <c r="A649" s="38" t="s">
        <v>13848</v>
      </c>
      <c r="B649" s="39" t="s">
        <v>1656</v>
      </c>
      <c r="C649" s="39"/>
      <c r="D649" s="39">
        <v>1</v>
      </c>
      <c r="E649" s="38" t="s">
        <v>1654</v>
      </c>
      <c r="F649" s="38" t="str">
        <f>VLOOKUP(E:E,Table10[[COUNTRY NAME]:[CONTINENT CODE]],3,FALSE)</f>
        <v>AS</v>
      </c>
      <c r="G649" s="155" t="s">
        <v>11901</v>
      </c>
      <c r="H649" s="40">
        <v>11355</v>
      </c>
      <c r="I649" s="41">
        <v>27.25</v>
      </c>
      <c r="J649" s="157"/>
      <c r="K649" s="42">
        <f>IFERROR(Table215[[#This Row],[ROUTE $]]/Table215[[#This Row],[E - DEMAND]],0)</f>
        <v>0</v>
      </c>
      <c r="L649" s="43"/>
      <c r="M649" s="39" t="e">
        <f>VLOOKUP(Table215[[#This Row],[ROUTE]],DEMAND!A:F,5,FALSE)</f>
        <v>#N/A</v>
      </c>
      <c r="N649" s="39" t="e">
        <f>VLOOKUP(Table215[[#This Row],[ROUTE]],DEMAND!A:F,6,FALSE)</f>
        <v>#N/A</v>
      </c>
      <c r="O649" s="39" t="e">
        <f>ROUNDDOWN(Table215[[#This Row],[R-DEMAND]]/1320,0)</f>
        <v>#N/A</v>
      </c>
      <c r="P649" s="41" t="e">
        <f>Table215[[#This Row],[ADD ACC]]*Table215[[#This Row],[RT TIME (744)]]</f>
        <v>#N/A</v>
      </c>
    </row>
    <row r="650" spans="1:16" ht="15" customHeight="1" x14ac:dyDescent="0.25">
      <c r="A650" s="38" t="s">
        <v>13869</v>
      </c>
      <c r="B650" s="39" t="s">
        <v>2914</v>
      </c>
      <c r="C650" s="39"/>
      <c r="D650" s="39">
        <v>2</v>
      </c>
      <c r="E650" s="38" t="s">
        <v>700</v>
      </c>
      <c r="F650" s="38" t="str">
        <f>VLOOKUP(E:E,Table10[[COUNTRY NAME]:[CONTINENT CODE]],3,FALSE)</f>
        <v>AS</v>
      </c>
      <c r="G650" s="155" t="s">
        <v>9893</v>
      </c>
      <c r="H650" s="40">
        <v>11324</v>
      </c>
      <c r="I650" s="41">
        <v>27.25</v>
      </c>
      <c r="J650" s="157"/>
      <c r="K650" s="42">
        <f>IFERROR(Table215[[#This Row],[ROUTE $]]/Table215[[#This Row],[E - DEMAND]],0)</f>
        <v>0</v>
      </c>
      <c r="L650" s="43"/>
      <c r="M650" s="39" t="e">
        <f>VLOOKUP(Table215[[#This Row],[ROUTE]],DEMAND!A:F,5,FALSE)</f>
        <v>#N/A</v>
      </c>
      <c r="N650" s="39" t="e">
        <f>VLOOKUP(Table215[[#This Row],[ROUTE]],DEMAND!A:F,6,FALSE)</f>
        <v>#N/A</v>
      </c>
      <c r="O650" s="39" t="e">
        <f>ROUNDDOWN(Table215[[#This Row],[R-DEMAND]]/1320,0)</f>
        <v>#N/A</v>
      </c>
      <c r="P650" s="41" t="e">
        <f>Table215[[#This Row],[ADD ACC]]*Table215[[#This Row],[RT TIME (744)]]</f>
        <v>#N/A</v>
      </c>
    </row>
    <row r="651" spans="1:16" ht="15" customHeight="1" x14ac:dyDescent="0.25">
      <c r="A651" s="38" t="s">
        <v>13612</v>
      </c>
      <c r="B651" s="39" t="s">
        <v>422</v>
      </c>
      <c r="C651" s="39"/>
      <c r="D651" s="39">
        <v>2</v>
      </c>
      <c r="E651" s="38" t="s">
        <v>421</v>
      </c>
      <c r="F651" s="38" t="str">
        <f>VLOOKUP(E:E,Table10[[COUNTRY NAME]:[CONTINENT CODE]],3,FALSE)</f>
        <v>AS</v>
      </c>
      <c r="G651" s="155" t="s">
        <v>11923</v>
      </c>
      <c r="H651" s="40">
        <v>11472</v>
      </c>
      <c r="I651" s="41">
        <v>27.5</v>
      </c>
      <c r="J651" s="157"/>
      <c r="K651" s="42">
        <f>IFERROR(Table215[[#This Row],[ROUTE $]]/Table215[[#This Row],[E - DEMAND]],0)</f>
        <v>0</v>
      </c>
      <c r="L651" s="43"/>
      <c r="M651" s="39" t="e">
        <f>VLOOKUP(Table215[[#This Row],[ROUTE]],DEMAND!A:F,5,FALSE)</f>
        <v>#N/A</v>
      </c>
      <c r="N651" s="39" t="e">
        <f>VLOOKUP(Table215[[#This Row],[ROUTE]],DEMAND!A:F,6,FALSE)</f>
        <v>#N/A</v>
      </c>
      <c r="O651" s="39" t="e">
        <f>ROUNDDOWN(Table215[[#This Row],[R-DEMAND]]/1320,0)</f>
        <v>#N/A</v>
      </c>
      <c r="P651" s="41" t="e">
        <f>Table215[[#This Row],[ADD ACC]]*Table215[[#This Row],[RT TIME (744)]]</f>
        <v>#N/A</v>
      </c>
    </row>
    <row r="652" spans="1:16" ht="15" customHeight="1" x14ac:dyDescent="0.25">
      <c r="A652" s="38" t="s">
        <v>13776</v>
      </c>
      <c r="B652" s="39" t="s">
        <v>4543</v>
      </c>
      <c r="C652" s="39"/>
      <c r="D652" s="39">
        <v>2</v>
      </c>
      <c r="E652" s="38" t="s">
        <v>172</v>
      </c>
      <c r="F652" s="38" t="str">
        <f>VLOOKUP(E:E,Table10[[COUNTRY NAME]:[CONTINENT CODE]],3,FALSE)</f>
        <v>AS</v>
      </c>
      <c r="G652" s="155" t="s">
        <v>11936</v>
      </c>
      <c r="H652" s="40">
        <v>11458</v>
      </c>
      <c r="I652" s="41">
        <v>27.5</v>
      </c>
      <c r="J652" s="157"/>
      <c r="K652" s="42">
        <f>IFERROR(Table215[[#This Row],[ROUTE $]]/Table215[[#This Row],[E - DEMAND]],0)</f>
        <v>0</v>
      </c>
      <c r="L652" s="43"/>
      <c r="M652" s="39" t="e">
        <f>VLOOKUP(Table215[[#This Row],[ROUTE]],DEMAND!A:F,5,FALSE)</f>
        <v>#N/A</v>
      </c>
      <c r="N652" s="39" t="e">
        <f>VLOOKUP(Table215[[#This Row],[ROUTE]],DEMAND!A:F,6,FALSE)</f>
        <v>#N/A</v>
      </c>
      <c r="O652" s="39" t="e">
        <f>ROUNDDOWN(Table215[[#This Row],[R-DEMAND]]/1320,0)</f>
        <v>#N/A</v>
      </c>
      <c r="P652" s="41" t="e">
        <f>Table215[[#This Row],[ADD ACC]]*Table215[[#This Row],[RT TIME (744)]]</f>
        <v>#N/A</v>
      </c>
    </row>
    <row r="653" spans="1:16" ht="15" customHeight="1" x14ac:dyDescent="0.25">
      <c r="A653" s="38" t="s">
        <v>13867</v>
      </c>
      <c r="B653" s="39" t="s">
        <v>2846</v>
      </c>
      <c r="C653" s="39"/>
      <c r="D653" s="39">
        <v>2</v>
      </c>
      <c r="E653" s="38" t="s">
        <v>700</v>
      </c>
      <c r="F653" s="38" t="str">
        <f>VLOOKUP(E:E,Table10[[COUNTRY NAME]:[CONTINENT CODE]],3,FALSE)</f>
        <v>AS</v>
      </c>
      <c r="G653" s="155" t="s">
        <v>8406</v>
      </c>
      <c r="H653" s="40">
        <v>11459</v>
      </c>
      <c r="I653" s="41">
        <v>27.5</v>
      </c>
      <c r="J653" s="157"/>
      <c r="K653" s="42">
        <f>IFERROR(Table215[[#This Row],[ROUTE $]]/Table215[[#This Row],[E - DEMAND]],0)</f>
        <v>0</v>
      </c>
      <c r="L653" s="43"/>
      <c r="M653" s="39" t="e">
        <f>VLOOKUP(Table215[[#This Row],[ROUTE]],DEMAND!A:F,5,FALSE)</f>
        <v>#N/A</v>
      </c>
      <c r="N653" s="39" t="e">
        <f>VLOOKUP(Table215[[#This Row],[ROUTE]],DEMAND!A:F,6,FALSE)</f>
        <v>#N/A</v>
      </c>
      <c r="O653" s="39" t="e">
        <f>ROUNDDOWN(Table215[[#This Row],[R-DEMAND]]/1320,0)</f>
        <v>#N/A</v>
      </c>
      <c r="P653" s="41" t="e">
        <f>Table215[[#This Row],[ADD ACC]]*Table215[[#This Row],[RT TIME (744)]]</f>
        <v>#N/A</v>
      </c>
    </row>
    <row r="654" spans="1:16" ht="15" customHeight="1" x14ac:dyDescent="0.25">
      <c r="A654" s="38" t="s">
        <v>13840</v>
      </c>
      <c r="B654" s="39" t="s">
        <v>4545</v>
      </c>
      <c r="C654" s="39"/>
      <c r="D654" s="39">
        <v>2</v>
      </c>
      <c r="E654" s="38" t="s">
        <v>585</v>
      </c>
      <c r="F654" s="38" t="str">
        <f>VLOOKUP(E:E,Table10[[COUNTRY NAME]:[CONTINENT CODE]],3,FALSE)</f>
        <v>EU</v>
      </c>
      <c r="G654" s="155" t="s">
        <v>11807</v>
      </c>
      <c r="H654" s="40">
        <v>11445</v>
      </c>
      <c r="I654" s="41">
        <v>27.5</v>
      </c>
      <c r="J654" s="157"/>
      <c r="K654" s="42">
        <f>IFERROR(Table215[[#This Row],[ROUTE $]]/Table215[[#This Row],[E - DEMAND]],0)</f>
        <v>0</v>
      </c>
      <c r="L654" s="43"/>
      <c r="M654" s="39" t="e">
        <f>VLOOKUP(Table215[[#This Row],[ROUTE]],DEMAND!A:F,5,FALSE)</f>
        <v>#N/A</v>
      </c>
      <c r="N654" s="39" t="e">
        <f>VLOOKUP(Table215[[#This Row],[ROUTE]],DEMAND!A:F,6,FALSE)</f>
        <v>#N/A</v>
      </c>
      <c r="O654" s="39" t="e">
        <f>ROUNDDOWN(Table215[[#This Row],[R-DEMAND]]/1320,0)</f>
        <v>#N/A</v>
      </c>
      <c r="P654" s="41" t="e">
        <f>Table215[[#This Row],[ADD ACC]]*Table215[[#This Row],[RT TIME (744)]]</f>
        <v>#N/A</v>
      </c>
    </row>
    <row r="655" spans="1:16" ht="15" customHeight="1" x14ac:dyDescent="0.25">
      <c r="A655" s="38" t="s">
        <v>13551</v>
      </c>
      <c r="B655" s="39" t="s">
        <v>3551</v>
      </c>
      <c r="C655" s="39"/>
      <c r="D655" s="39">
        <v>2</v>
      </c>
      <c r="E655" s="1" t="s">
        <v>807</v>
      </c>
      <c r="F655" s="1" t="str">
        <f>VLOOKUP(E:E,Table10[[COUNTRY NAME]:[CONTINENT CODE]],3,FALSE)</f>
        <v>EU</v>
      </c>
      <c r="G655" s="156" t="s">
        <v>9001</v>
      </c>
      <c r="H655" s="8">
        <v>11563</v>
      </c>
      <c r="I655" s="41">
        <v>27.75</v>
      </c>
      <c r="J655" s="157"/>
      <c r="K655" s="6">
        <f>IFERROR(Table215[[#This Row],[ROUTE $]]/Table215[[#This Row],[E - DEMAND]],0)</f>
        <v>0</v>
      </c>
      <c r="L655" s="4"/>
      <c r="M655" s="39" t="e">
        <f>VLOOKUP(Table215[[#This Row],[ROUTE]],DEMAND!A:F,5,FALSE)</f>
        <v>#N/A</v>
      </c>
      <c r="N655" s="39" t="e">
        <f>VLOOKUP(Table215[[#This Row],[ROUTE]],DEMAND!A:F,6,FALSE)</f>
        <v>#N/A</v>
      </c>
      <c r="O655" s="39" t="e">
        <f>ROUNDDOWN(Table215[[#This Row],[R-DEMAND]]/1320,0)</f>
        <v>#N/A</v>
      </c>
      <c r="P655" s="41" t="e">
        <f>Table215[[#This Row],[ADD ACC]]*Table215[[#This Row],[RT TIME (744)]]</f>
        <v>#N/A</v>
      </c>
    </row>
    <row r="656" spans="1:16" ht="15" customHeight="1" x14ac:dyDescent="0.25">
      <c r="A656" s="38" t="s">
        <v>13550</v>
      </c>
      <c r="B656" s="39" t="s">
        <v>3723</v>
      </c>
      <c r="C656" s="39"/>
      <c r="D656" s="39">
        <v>2</v>
      </c>
      <c r="E656" s="1" t="s">
        <v>807</v>
      </c>
      <c r="F656" s="1" t="str">
        <f>VLOOKUP(E:E,Table10[[COUNTRY NAME]:[CONTINENT CODE]],3,FALSE)</f>
        <v>EU</v>
      </c>
      <c r="G656" s="156" t="s">
        <v>7487</v>
      </c>
      <c r="H656" s="8">
        <v>11646</v>
      </c>
      <c r="I656" s="41">
        <v>28</v>
      </c>
      <c r="J656" s="157"/>
      <c r="K656" s="6">
        <f>IFERROR(Table215[[#This Row],[ROUTE $]]/Table215[[#This Row],[E - DEMAND]],0)</f>
        <v>0</v>
      </c>
      <c r="L656" s="4"/>
      <c r="M656" s="39" t="e">
        <f>VLOOKUP(Table215[[#This Row],[ROUTE]],DEMAND!A:F,5,FALSE)</f>
        <v>#N/A</v>
      </c>
      <c r="N656" s="39" t="e">
        <f>VLOOKUP(Table215[[#This Row],[ROUTE]],DEMAND!A:F,6,FALSE)</f>
        <v>#N/A</v>
      </c>
      <c r="O656" s="39" t="e">
        <f>ROUNDDOWN(Table215[[#This Row],[R-DEMAND]]/1320,0)</f>
        <v>#N/A</v>
      </c>
      <c r="P656" s="41" t="e">
        <f>Table215[[#This Row],[ADD ACC]]*Table215[[#This Row],[RT TIME (744)]]</f>
        <v>#N/A</v>
      </c>
    </row>
    <row r="657" spans="1:16" ht="15" customHeight="1" x14ac:dyDescent="0.25">
      <c r="A657" s="38" t="s">
        <v>13611</v>
      </c>
      <c r="B657" s="39" t="s">
        <v>3165</v>
      </c>
      <c r="C657" s="39"/>
      <c r="D657" s="39">
        <v>2</v>
      </c>
      <c r="E657" s="38" t="s">
        <v>421</v>
      </c>
      <c r="F657" s="38" t="str">
        <f>VLOOKUP(E:E,Table10[[COUNTRY NAME]:[CONTINENT CODE]],3,FALSE)</f>
        <v>AS</v>
      </c>
      <c r="G657" s="155" t="s">
        <v>11937</v>
      </c>
      <c r="H657" s="40">
        <v>11679</v>
      </c>
      <c r="I657" s="41">
        <v>28</v>
      </c>
      <c r="J657" s="157"/>
      <c r="K657" s="42">
        <f>IFERROR(Table215[[#This Row],[ROUTE $]]/Table215[[#This Row],[E - DEMAND]],0)</f>
        <v>0</v>
      </c>
      <c r="L657" s="43"/>
      <c r="M657" s="39" t="e">
        <f>VLOOKUP(Table215[[#This Row],[ROUTE]],DEMAND!A:F,5,FALSE)</f>
        <v>#N/A</v>
      </c>
      <c r="N657" s="39" t="e">
        <f>VLOOKUP(Table215[[#This Row],[ROUTE]],DEMAND!A:F,6,FALSE)</f>
        <v>#N/A</v>
      </c>
      <c r="O657" s="39" t="e">
        <f>ROUNDDOWN(Table215[[#This Row],[R-DEMAND]]/1320,0)</f>
        <v>#N/A</v>
      </c>
      <c r="P657" s="41" t="e">
        <f>Table215[[#This Row],[ADD ACC]]*Table215[[#This Row],[RT TIME (744)]]</f>
        <v>#N/A</v>
      </c>
    </row>
    <row r="658" spans="1:16" ht="15" customHeight="1" x14ac:dyDescent="0.25">
      <c r="A658" s="38" t="s">
        <v>13775</v>
      </c>
      <c r="B658" s="39" t="s">
        <v>1703</v>
      </c>
      <c r="C658" s="39"/>
      <c r="D658" s="39">
        <v>1</v>
      </c>
      <c r="E658" s="38" t="s">
        <v>172</v>
      </c>
      <c r="F658" s="38" t="str">
        <f>VLOOKUP(E:E,Table10[[COUNTRY NAME]:[CONTINENT CODE]],3,FALSE)</f>
        <v>AS</v>
      </c>
      <c r="G658" s="155" t="s">
        <v>11952</v>
      </c>
      <c r="H658" s="40">
        <v>11659</v>
      </c>
      <c r="I658" s="41">
        <v>28</v>
      </c>
      <c r="J658" s="157"/>
      <c r="K658" s="42">
        <f>IFERROR(Table215[[#This Row],[ROUTE $]]/Table215[[#This Row],[E - DEMAND]],0)</f>
        <v>0</v>
      </c>
      <c r="L658" s="43"/>
      <c r="M658" s="39" t="e">
        <f>VLOOKUP(Table215[[#This Row],[ROUTE]],DEMAND!A:F,5,FALSE)</f>
        <v>#N/A</v>
      </c>
      <c r="N658" s="39" t="e">
        <f>VLOOKUP(Table215[[#This Row],[ROUTE]],DEMAND!A:F,6,FALSE)</f>
        <v>#N/A</v>
      </c>
      <c r="O658" s="39" t="e">
        <f>ROUNDDOWN(Table215[[#This Row],[R-DEMAND]]/1320,0)</f>
        <v>#N/A</v>
      </c>
      <c r="P658" s="41" t="e">
        <f>Table215[[#This Row],[ADD ACC]]*Table215[[#This Row],[RT TIME (744)]]</f>
        <v>#N/A</v>
      </c>
    </row>
    <row r="659" spans="1:16" ht="15" customHeight="1" x14ac:dyDescent="0.25">
      <c r="A659" s="38" t="s">
        <v>13438</v>
      </c>
      <c r="B659" s="39" t="s">
        <v>1379</v>
      </c>
      <c r="C659" s="39"/>
      <c r="D659" s="39">
        <v>1</v>
      </c>
      <c r="E659" s="1" t="s">
        <v>1377</v>
      </c>
      <c r="F659" s="1" t="str">
        <f>VLOOKUP(E:E,Table10[[COUNTRY NAME]:[CONTINENT CODE]],3,FALSE)</f>
        <v>EU</v>
      </c>
      <c r="G659" s="156" t="s">
        <v>11915</v>
      </c>
      <c r="H659" s="8">
        <v>11786</v>
      </c>
      <c r="I659" s="41">
        <v>28.25</v>
      </c>
      <c r="J659" s="157"/>
      <c r="K659" s="6">
        <f>IFERROR(Table215[[#This Row],[ROUTE $]]/Table215[[#This Row],[E - DEMAND]],0)</f>
        <v>0</v>
      </c>
      <c r="L659" s="4"/>
      <c r="M659" s="39" t="e">
        <f>VLOOKUP(Table215[[#This Row],[ROUTE]],DEMAND!A:F,5,FALSE)</f>
        <v>#N/A</v>
      </c>
      <c r="N659" s="39" t="e">
        <f>VLOOKUP(Table215[[#This Row],[ROUTE]],DEMAND!A:F,6,FALSE)</f>
        <v>#N/A</v>
      </c>
      <c r="O659" s="39" t="e">
        <f>ROUNDDOWN(Table215[[#This Row],[R-DEMAND]]/1320,0)</f>
        <v>#N/A</v>
      </c>
      <c r="P659" s="41" t="e">
        <f>Table215[[#This Row],[ADD ACC]]*Table215[[#This Row],[RT TIME (744)]]</f>
        <v>#N/A</v>
      </c>
    </row>
    <row r="660" spans="1:16" ht="15" customHeight="1" x14ac:dyDescent="0.25">
      <c r="A660" s="38" t="s">
        <v>13575</v>
      </c>
      <c r="B660" s="39" t="s">
        <v>4223</v>
      </c>
      <c r="C660" s="39"/>
      <c r="D660" s="39">
        <v>2</v>
      </c>
      <c r="E660" s="1" t="s">
        <v>1578</v>
      </c>
      <c r="F660" s="1" t="str">
        <f>VLOOKUP(E:E,Table10[[COUNTRY NAME]:[CONTINENT CODE]],3,FALSE)</f>
        <v>EU</v>
      </c>
      <c r="G660" s="159" t="s">
        <v>11910</v>
      </c>
      <c r="H660" s="8">
        <v>11827</v>
      </c>
      <c r="I660" s="41">
        <v>28.25</v>
      </c>
      <c r="J660" s="157"/>
      <c r="K660" s="6">
        <f>IFERROR(Table215[[#This Row],[ROUTE $]]/Table215[[#This Row],[E - DEMAND]],0)</f>
        <v>0</v>
      </c>
      <c r="L660" s="4"/>
      <c r="M660" s="39" t="e">
        <f>VLOOKUP(Table215[[#This Row],[ROUTE]],DEMAND!A:F,5,FALSE)</f>
        <v>#N/A</v>
      </c>
      <c r="N660" s="39" t="e">
        <f>VLOOKUP(Table215[[#This Row],[ROUTE]],DEMAND!A:F,6,FALSE)</f>
        <v>#N/A</v>
      </c>
      <c r="O660" s="39" t="e">
        <f>ROUNDDOWN(Table215[[#This Row],[R-DEMAND]]/1320,0)</f>
        <v>#N/A</v>
      </c>
      <c r="P660" s="41" t="e">
        <f>Table215[[#This Row],[ADD ACC]]*Table215[[#This Row],[RT TIME (744)]]</f>
        <v>#N/A</v>
      </c>
    </row>
    <row r="661" spans="1:16" ht="15" customHeight="1" x14ac:dyDescent="0.25">
      <c r="A661" s="38" t="s">
        <v>13624</v>
      </c>
      <c r="B661" s="39" t="s">
        <v>4160</v>
      </c>
      <c r="C661" s="39"/>
      <c r="D661" s="39">
        <v>2</v>
      </c>
      <c r="E661" s="38" t="s">
        <v>502</v>
      </c>
      <c r="F661" s="38" t="str">
        <f>VLOOKUP(E:E,Table10[[COUNTRY NAME]:[CONTINENT CODE]],3,FALSE)</f>
        <v>AS</v>
      </c>
      <c r="G661" s="155" t="s">
        <v>11930</v>
      </c>
      <c r="H661" s="40">
        <v>11767</v>
      </c>
      <c r="I661" s="41">
        <v>28.25</v>
      </c>
      <c r="J661" s="157"/>
      <c r="K661" s="42">
        <f>IFERROR(Table215[[#This Row],[ROUTE $]]/Table215[[#This Row],[E - DEMAND]],0)</f>
        <v>0</v>
      </c>
      <c r="L661" s="43"/>
      <c r="M661" s="39" t="e">
        <f>VLOOKUP(Table215[[#This Row],[ROUTE]],DEMAND!A:F,5,FALSE)</f>
        <v>#N/A</v>
      </c>
      <c r="N661" s="39" t="e">
        <f>VLOOKUP(Table215[[#This Row],[ROUTE]],DEMAND!A:F,6,FALSE)</f>
        <v>#N/A</v>
      </c>
      <c r="O661" s="39" t="e">
        <f>ROUNDDOWN(Table215[[#This Row],[R-DEMAND]]/1320,0)</f>
        <v>#N/A</v>
      </c>
      <c r="P661" s="41" t="e">
        <f>Table215[[#This Row],[ADD ACC]]*Table215[[#This Row],[RT TIME (744)]]</f>
        <v>#N/A</v>
      </c>
    </row>
    <row r="662" spans="1:16" ht="15" customHeight="1" x14ac:dyDescent="0.25">
      <c r="A662" s="38" t="s">
        <v>13622</v>
      </c>
      <c r="B662" s="39" t="s">
        <v>4611</v>
      </c>
      <c r="C662" s="39"/>
      <c r="D662" s="39">
        <v>2</v>
      </c>
      <c r="E662" s="38" t="s">
        <v>502</v>
      </c>
      <c r="F662" s="38" t="str">
        <f>VLOOKUP(E:E,Table10[[COUNTRY NAME]:[CONTINENT CODE]],3,FALSE)</f>
        <v>AS</v>
      </c>
      <c r="G662" s="155" t="s">
        <v>11921</v>
      </c>
      <c r="H662" s="40">
        <v>11815</v>
      </c>
      <c r="I662" s="41">
        <v>28.25</v>
      </c>
      <c r="J662" s="157"/>
      <c r="K662" s="42">
        <f>IFERROR(Table215[[#This Row],[ROUTE $]]/Table215[[#This Row],[E - DEMAND]],0)</f>
        <v>0</v>
      </c>
      <c r="L662" s="43"/>
      <c r="M662" s="39" t="e">
        <f>VLOOKUP(Table215[[#This Row],[ROUTE]],DEMAND!A:F,5,FALSE)</f>
        <v>#N/A</v>
      </c>
      <c r="N662" s="39" t="e">
        <f>VLOOKUP(Table215[[#This Row],[ROUTE]],DEMAND!A:F,6,FALSE)</f>
        <v>#N/A</v>
      </c>
      <c r="O662" s="39" t="e">
        <f>ROUNDDOWN(Table215[[#This Row],[R-DEMAND]]/1320,0)</f>
        <v>#N/A</v>
      </c>
      <c r="P662" s="41" t="e">
        <f>Table215[[#This Row],[ADD ACC]]*Table215[[#This Row],[RT TIME (744)]]</f>
        <v>#N/A</v>
      </c>
    </row>
    <row r="663" spans="1:16" ht="15" customHeight="1" x14ac:dyDescent="0.25">
      <c r="A663" s="38" t="s">
        <v>13766</v>
      </c>
      <c r="B663" s="39" t="s">
        <v>4080</v>
      </c>
      <c r="C663" s="39"/>
      <c r="D663" s="39">
        <v>2</v>
      </c>
      <c r="E663" s="38" t="s">
        <v>78</v>
      </c>
      <c r="F663" s="38" t="str">
        <f>VLOOKUP(E:E,Table10[[COUNTRY NAME]:[CONTINENT CODE]],3,FALSE)</f>
        <v>EU</v>
      </c>
      <c r="G663" s="155" t="s">
        <v>8419</v>
      </c>
      <c r="H663" s="40">
        <v>11766</v>
      </c>
      <c r="I663" s="41">
        <v>28.25</v>
      </c>
      <c r="J663" s="157"/>
      <c r="K663" s="42">
        <f>IFERROR(Table215[[#This Row],[ROUTE $]]/Table215[[#This Row],[E - DEMAND]],0)</f>
        <v>0</v>
      </c>
      <c r="L663" s="43"/>
      <c r="M663" s="39" t="e">
        <f>VLOOKUP(Table215[[#This Row],[ROUTE]],DEMAND!A:F,5,FALSE)</f>
        <v>#N/A</v>
      </c>
      <c r="N663" s="39" t="e">
        <f>VLOOKUP(Table215[[#This Row],[ROUTE]],DEMAND!A:F,6,FALSE)</f>
        <v>#N/A</v>
      </c>
      <c r="O663" s="39" t="e">
        <f>ROUNDDOWN(Table215[[#This Row],[R-DEMAND]]/1320,0)</f>
        <v>#N/A</v>
      </c>
      <c r="P663" s="41" t="e">
        <f>Table215[[#This Row],[ADD ACC]]*Table215[[#This Row],[RT TIME (744)]]</f>
        <v>#N/A</v>
      </c>
    </row>
    <row r="664" spans="1:16" ht="15" customHeight="1" x14ac:dyDescent="0.25">
      <c r="A664" s="38" t="s">
        <v>13763</v>
      </c>
      <c r="B664" s="39" t="s">
        <v>3271</v>
      </c>
      <c r="C664" s="39"/>
      <c r="D664" s="39">
        <v>2</v>
      </c>
      <c r="E664" s="38" t="s">
        <v>78</v>
      </c>
      <c r="F664" s="38" t="str">
        <f>VLOOKUP(E:E,Table10[[COUNTRY NAME]:[CONTINENT CODE]],3,FALSE)</f>
        <v>EU</v>
      </c>
      <c r="G664" s="155" t="s">
        <v>11903</v>
      </c>
      <c r="H664" s="40">
        <v>11850</v>
      </c>
      <c r="I664" s="41">
        <v>28.25</v>
      </c>
      <c r="J664" s="157"/>
      <c r="K664" s="42">
        <f>IFERROR(Table215[[#This Row],[ROUTE $]]/Table215[[#This Row],[E - DEMAND]],0)</f>
        <v>0</v>
      </c>
      <c r="L664" s="43"/>
      <c r="M664" s="39" t="e">
        <f>VLOOKUP(Table215[[#This Row],[ROUTE]],DEMAND!A:F,5,FALSE)</f>
        <v>#N/A</v>
      </c>
      <c r="N664" s="39" t="e">
        <f>VLOOKUP(Table215[[#This Row],[ROUTE]],DEMAND!A:F,6,FALSE)</f>
        <v>#N/A</v>
      </c>
      <c r="O664" s="39" t="e">
        <f>ROUNDDOWN(Table215[[#This Row],[R-DEMAND]]/1320,0)</f>
        <v>#N/A</v>
      </c>
      <c r="P664" s="41" t="e">
        <f>Table215[[#This Row],[ADD ACC]]*Table215[[#This Row],[RT TIME (744)]]</f>
        <v>#N/A</v>
      </c>
    </row>
    <row r="665" spans="1:16" ht="15" customHeight="1" x14ac:dyDescent="0.25">
      <c r="A665" s="38" t="s">
        <v>13762</v>
      </c>
      <c r="B665" s="39" t="s">
        <v>3615</v>
      </c>
      <c r="C665" s="39"/>
      <c r="D665" s="39">
        <v>2</v>
      </c>
      <c r="E665" s="38" t="s">
        <v>78</v>
      </c>
      <c r="F665" s="38" t="str">
        <f>VLOOKUP(E:E,Table10[[COUNTRY NAME]:[CONTINENT CODE]],3,FALSE)</f>
        <v>EU</v>
      </c>
      <c r="G665" s="155" t="s">
        <v>11861</v>
      </c>
      <c r="H665" s="40">
        <v>12172</v>
      </c>
      <c r="I665" s="41">
        <v>29</v>
      </c>
      <c r="J665" s="157"/>
      <c r="K665" s="42">
        <f>IFERROR(Table215[[#This Row],[ROUTE $]]/Table215[[#This Row],[E - DEMAND]],0)</f>
        <v>0</v>
      </c>
      <c r="L665" s="43"/>
      <c r="M665" s="39" t="e">
        <f>VLOOKUP(Table215[[#This Row],[ROUTE]],DEMAND!A:F,5,FALSE)</f>
        <v>#N/A</v>
      </c>
      <c r="N665" s="39" t="e">
        <f>VLOOKUP(Table215[[#This Row],[ROUTE]],DEMAND!A:F,6,FALSE)</f>
        <v>#N/A</v>
      </c>
      <c r="O665" s="39" t="e">
        <f>ROUNDDOWN(Table215[[#This Row],[R-DEMAND]]/1320,0)</f>
        <v>#N/A</v>
      </c>
      <c r="P665" s="41" t="e">
        <f>Table215[[#This Row],[ADD ACC]]*Table215[[#This Row],[RT TIME (744)]]</f>
        <v>#N/A</v>
      </c>
    </row>
    <row r="666" spans="1:16" ht="15" customHeight="1" x14ac:dyDescent="0.25">
      <c r="A666" s="38" t="s">
        <v>13902</v>
      </c>
      <c r="B666" s="39" t="s">
        <v>2872</v>
      </c>
      <c r="C666" s="39"/>
      <c r="D666" s="39">
        <v>2</v>
      </c>
      <c r="E666" s="38" t="s">
        <v>1847</v>
      </c>
      <c r="F666" s="38" t="str">
        <f>VLOOKUP(E:E,Table10[[COUNTRY NAME]:[CONTINENT CODE]],3,FALSE)</f>
        <v>AS</v>
      </c>
      <c r="G666" s="155" t="s">
        <v>11982</v>
      </c>
      <c r="H666" s="40">
        <v>12210</v>
      </c>
      <c r="I666" s="41">
        <v>29.25</v>
      </c>
      <c r="J666" s="157"/>
      <c r="K666" s="42">
        <f>IFERROR(Table215[[#This Row],[ROUTE $]]/Table215[[#This Row],[E - DEMAND]],0)</f>
        <v>0</v>
      </c>
      <c r="L666" s="43"/>
      <c r="M666" s="39" t="e">
        <f>VLOOKUP(Table215[[#This Row],[ROUTE]],DEMAND!A:F,5,FALSE)</f>
        <v>#N/A</v>
      </c>
      <c r="N666" s="39" t="e">
        <f>VLOOKUP(Table215[[#This Row],[ROUTE]],DEMAND!A:F,6,FALSE)</f>
        <v>#N/A</v>
      </c>
      <c r="O666" s="39" t="e">
        <f>ROUNDDOWN(Table215[[#This Row],[R-DEMAND]]/1320,0)</f>
        <v>#N/A</v>
      </c>
      <c r="P666" s="41" t="e">
        <f>Table215[[#This Row],[ADD ACC]]*Table215[[#This Row],[RT TIME (744)]]</f>
        <v>#N/A</v>
      </c>
    </row>
    <row r="667" spans="1:16" ht="15" customHeight="1" x14ac:dyDescent="0.25">
      <c r="A667" s="38" t="s">
        <v>13469</v>
      </c>
      <c r="B667" s="39" t="s">
        <v>3269</v>
      </c>
      <c r="C667" s="39"/>
      <c r="D667" s="39">
        <v>2</v>
      </c>
      <c r="E667" s="1" t="s">
        <v>514</v>
      </c>
      <c r="F667" s="1" t="str">
        <f>VLOOKUP(E:E,Table10[[COUNTRY NAME]:[CONTINENT CODE]],3,FALSE)</f>
        <v>NA</v>
      </c>
      <c r="G667" s="160" t="s">
        <v>11695</v>
      </c>
      <c r="H667" s="40">
        <v>12193</v>
      </c>
      <c r="I667" s="41">
        <v>29.25</v>
      </c>
      <c r="J667" s="157"/>
      <c r="K667" s="42">
        <f>IFERROR(Table215[[#This Row],[ROUTE $]]/Table215[[#This Row],[E - DEMAND]],0)</f>
        <v>0</v>
      </c>
      <c r="L667" s="43"/>
      <c r="M667" s="39" t="e">
        <f>VLOOKUP(Table215[[#This Row],[ROUTE]],DEMAND!A:F,5,FALSE)</f>
        <v>#N/A</v>
      </c>
      <c r="N667" s="39" t="e">
        <f>VLOOKUP(Table215[[#This Row],[ROUTE]],DEMAND!A:F,6,FALSE)</f>
        <v>#N/A</v>
      </c>
      <c r="O667" s="39" t="e">
        <f>ROUNDDOWN(Table215[[#This Row],[R-DEMAND]]/1320,0)</f>
        <v>#N/A</v>
      </c>
      <c r="P667" s="41" t="e">
        <f>Table215[[#This Row],[ADD ACC]]*Table215[[#This Row],[RT TIME (744)]]</f>
        <v>#N/A</v>
      </c>
    </row>
    <row r="668" spans="1:16" ht="15" customHeight="1" x14ac:dyDescent="0.25">
      <c r="A668" s="38" t="s">
        <v>13617</v>
      </c>
      <c r="B668" s="39" t="s">
        <v>3790</v>
      </c>
      <c r="C668" s="39"/>
      <c r="D668" s="39">
        <v>2</v>
      </c>
      <c r="E668" s="38" t="s">
        <v>502</v>
      </c>
      <c r="F668" s="38" t="str">
        <f>VLOOKUP(E:E,Table10[[COUNTRY NAME]:[CONTINENT CODE]],3,FALSE)</f>
        <v>AS</v>
      </c>
      <c r="G668" s="155" t="s">
        <v>11961</v>
      </c>
      <c r="H668" s="40">
        <v>12325</v>
      </c>
      <c r="I668" s="41">
        <v>29.5</v>
      </c>
      <c r="J668" s="157"/>
      <c r="K668" s="42">
        <f>IFERROR(Table215[[#This Row],[ROUTE $]]/Table215[[#This Row],[E - DEMAND]],0)</f>
        <v>0</v>
      </c>
      <c r="L668" s="43"/>
      <c r="M668" s="39" t="e">
        <f>VLOOKUP(Table215[[#This Row],[ROUTE]],DEMAND!A:F,5,FALSE)</f>
        <v>#N/A</v>
      </c>
      <c r="N668" s="39" t="e">
        <f>VLOOKUP(Table215[[#This Row],[ROUTE]],DEMAND!A:F,6,FALSE)</f>
        <v>#N/A</v>
      </c>
      <c r="O668" s="39" t="e">
        <f>ROUNDDOWN(Table215[[#This Row],[R-DEMAND]]/1320,0)</f>
        <v>#N/A</v>
      </c>
      <c r="P668" s="41" t="e">
        <f>Table215[[#This Row],[ADD ACC]]*Table215[[#This Row],[RT TIME (744)]]</f>
        <v>#N/A</v>
      </c>
    </row>
    <row r="669" spans="1:16" ht="15" customHeight="1" x14ac:dyDescent="0.25">
      <c r="A669" s="38" t="s">
        <v>13616</v>
      </c>
      <c r="B669" s="39" t="s">
        <v>4410</v>
      </c>
      <c r="C669" s="39"/>
      <c r="D669" s="39">
        <v>2</v>
      </c>
      <c r="E669" s="38" t="s">
        <v>502</v>
      </c>
      <c r="F669" s="38" t="str">
        <f>VLOOKUP(E:E,Table10[[COUNTRY NAME]:[CONTINENT CODE]],3,FALSE)</f>
        <v>AS</v>
      </c>
      <c r="G669" s="155" t="s">
        <v>11974</v>
      </c>
      <c r="H669" s="40">
        <v>12379</v>
      </c>
      <c r="I669" s="41">
        <v>29.5</v>
      </c>
      <c r="J669" s="157"/>
      <c r="K669" s="42">
        <f>IFERROR(Table215[[#This Row],[ROUTE $]]/Table215[[#This Row],[E - DEMAND]],0)</f>
        <v>0</v>
      </c>
      <c r="L669" s="43"/>
      <c r="M669" s="39" t="e">
        <f>VLOOKUP(Table215[[#This Row],[ROUTE]],DEMAND!A:F,5,FALSE)</f>
        <v>#N/A</v>
      </c>
      <c r="N669" s="39" t="e">
        <f>VLOOKUP(Table215[[#This Row],[ROUTE]],DEMAND!A:F,6,FALSE)</f>
        <v>#N/A</v>
      </c>
      <c r="O669" s="39" t="e">
        <f>ROUNDDOWN(Table215[[#This Row],[R-DEMAND]]/1320,0)</f>
        <v>#N/A</v>
      </c>
      <c r="P669" s="41" t="e">
        <f>Table215[[#This Row],[ADD ACC]]*Table215[[#This Row],[RT TIME (744)]]</f>
        <v>#N/A</v>
      </c>
    </row>
    <row r="670" spans="1:16" ht="15" customHeight="1" x14ac:dyDescent="0.25">
      <c r="A670" s="38" t="s">
        <v>13898</v>
      </c>
      <c r="B670" s="39" t="s">
        <v>1849</v>
      </c>
      <c r="C670" s="39"/>
      <c r="D670" s="39">
        <v>1</v>
      </c>
      <c r="E670" s="38" t="s">
        <v>1847</v>
      </c>
      <c r="F670" s="38" t="str">
        <f>VLOOKUP(E:E,Table10[[COUNTRY NAME]:[CONTINENT CODE]],3,FALSE)</f>
        <v>AS</v>
      </c>
      <c r="G670" s="155" t="s">
        <v>11983</v>
      </c>
      <c r="H670" s="40">
        <v>12307</v>
      </c>
      <c r="I670" s="41">
        <v>29.5</v>
      </c>
      <c r="J670" s="157"/>
      <c r="K670" s="42">
        <f>IFERROR(Table215[[#This Row],[ROUTE $]]/Table215[[#This Row],[E - DEMAND]],0)</f>
        <v>0</v>
      </c>
      <c r="L670" s="43"/>
      <c r="M670" s="39" t="e">
        <f>VLOOKUP(Table215[[#This Row],[ROUTE]],DEMAND!A:F,5,FALSE)</f>
        <v>#N/A</v>
      </c>
      <c r="N670" s="39" t="e">
        <f>VLOOKUP(Table215[[#This Row],[ROUTE]],DEMAND!A:F,6,FALSE)</f>
        <v>#N/A</v>
      </c>
      <c r="O670" s="39" t="e">
        <f>ROUNDDOWN(Table215[[#This Row],[R-DEMAND]]/1320,0)</f>
        <v>#N/A</v>
      </c>
      <c r="P670" s="41" t="e">
        <f>Table215[[#This Row],[ADD ACC]]*Table215[[#This Row],[RT TIME (744)]]</f>
        <v>#N/A</v>
      </c>
    </row>
    <row r="671" spans="1:16" ht="15" customHeight="1" x14ac:dyDescent="0.25">
      <c r="A671" s="38" t="s">
        <v>13615</v>
      </c>
      <c r="B671" s="39" t="s">
        <v>4256</v>
      </c>
      <c r="C671" s="39"/>
      <c r="D671" s="39">
        <v>2</v>
      </c>
      <c r="E671" s="38" t="s">
        <v>502</v>
      </c>
      <c r="F671" s="38" t="str">
        <f>VLOOKUP(E:E,Table10[[COUNTRY NAME]:[CONTINENT CODE]],3,FALSE)</f>
        <v>AS</v>
      </c>
      <c r="G671" s="155" t="s">
        <v>11971</v>
      </c>
      <c r="H671" s="40">
        <v>12524</v>
      </c>
      <c r="I671" s="41">
        <v>29.75</v>
      </c>
      <c r="J671" s="157"/>
      <c r="K671" s="42">
        <f>IFERROR(Table215[[#This Row],[ROUTE $]]/Table215[[#This Row],[E - DEMAND]],0)</f>
        <v>0</v>
      </c>
      <c r="L671" s="43"/>
      <c r="M671" s="39" t="e">
        <f>VLOOKUP(Table215[[#This Row],[ROUTE]],DEMAND!A:F,5,FALSE)</f>
        <v>#N/A</v>
      </c>
      <c r="N671" s="39" t="e">
        <f>VLOOKUP(Table215[[#This Row],[ROUTE]],DEMAND!A:F,6,FALSE)</f>
        <v>#N/A</v>
      </c>
      <c r="O671" s="39" t="e">
        <f>ROUNDDOWN(Table215[[#This Row],[R-DEMAND]]/1320,0)</f>
        <v>#N/A</v>
      </c>
      <c r="P671" s="41" t="e">
        <f>Table215[[#This Row],[ADD ACC]]*Table215[[#This Row],[RT TIME (744)]]</f>
        <v>#N/A</v>
      </c>
    </row>
    <row r="672" spans="1:16" ht="15" customHeight="1" x14ac:dyDescent="0.25">
      <c r="A672" s="38" t="s">
        <v>13650</v>
      </c>
      <c r="B672" s="39" t="s">
        <v>590</v>
      </c>
      <c r="C672" s="39"/>
      <c r="D672" s="39">
        <v>1</v>
      </c>
      <c r="E672" s="38" t="s">
        <v>588</v>
      </c>
      <c r="F672" s="38" t="str">
        <f>VLOOKUP(E:E,Table10[[COUNTRY NAME]:[CONTINENT CODE]],3,FALSE)</f>
        <v>EU</v>
      </c>
      <c r="G672" s="155" t="s">
        <v>9615</v>
      </c>
      <c r="H672" s="40">
        <v>12503</v>
      </c>
      <c r="I672" s="41">
        <v>29.75</v>
      </c>
      <c r="J672" s="157"/>
      <c r="K672" s="42">
        <f>IFERROR(Table215[[#This Row],[ROUTE $]]/Table215[[#This Row],[E - DEMAND]],0)</f>
        <v>0</v>
      </c>
      <c r="L672" s="43"/>
      <c r="M672" s="39" t="e">
        <f>VLOOKUP(Table215[[#This Row],[ROUTE]],DEMAND!A:F,5,FALSE)</f>
        <v>#N/A</v>
      </c>
      <c r="N672" s="39" t="e">
        <f>VLOOKUP(Table215[[#This Row],[ROUTE]],DEMAND!A:F,6,FALSE)</f>
        <v>#N/A</v>
      </c>
      <c r="O672" s="39" t="e">
        <f>ROUNDDOWN(Table215[[#This Row],[R-DEMAND]]/1320,0)</f>
        <v>#N/A</v>
      </c>
      <c r="P672" s="41" t="e">
        <f>Table215[[#This Row],[ADD ACC]]*Table215[[#This Row],[RT TIME (744)]]</f>
        <v>#N/A</v>
      </c>
    </row>
    <row r="673" spans="1:16" ht="15" customHeight="1" x14ac:dyDescent="0.25">
      <c r="A673" s="38" t="s">
        <v>13759</v>
      </c>
      <c r="B673" s="39" t="s">
        <v>4703</v>
      </c>
      <c r="C673" s="39"/>
      <c r="D673" s="39">
        <v>2</v>
      </c>
      <c r="E673" s="38" t="s">
        <v>78</v>
      </c>
      <c r="F673" s="38" t="str">
        <f>VLOOKUP(E:E,Table10[[COUNTRY NAME]:[CONTINENT CODE]],3,FALSE)</f>
        <v>EU</v>
      </c>
      <c r="G673" s="155" t="s">
        <v>11898</v>
      </c>
      <c r="H673" s="40">
        <v>12512</v>
      </c>
      <c r="I673" s="41">
        <v>29.75</v>
      </c>
      <c r="J673" s="157"/>
      <c r="K673" s="42">
        <f>IFERROR(Table215[[#This Row],[ROUTE $]]/Table215[[#This Row],[E - DEMAND]],0)</f>
        <v>0</v>
      </c>
      <c r="L673" s="43"/>
      <c r="M673" s="39" t="e">
        <f>VLOOKUP(Table215[[#This Row],[ROUTE]],DEMAND!A:F,5,FALSE)</f>
        <v>#N/A</v>
      </c>
      <c r="N673" s="39" t="e">
        <f>VLOOKUP(Table215[[#This Row],[ROUTE]],DEMAND!A:F,6,FALSE)</f>
        <v>#N/A</v>
      </c>
      <c r="O673" s="39" t="e">
        <f>ROUNDDOWN(Table215[[#This Row],[R-DEMAND]]/1320,0)</f>
        <v>#N/A</v>
      </c>
      <c r="P673" s="41" t="e">
        <f>Table215[[#This Row],[ADD ACC]]*Table215[[#This Row],[RT TIME (744)]]</f>
        <v>#N/A</v>
      </c>
    </row>
    <row r="674" spans="1:16" ht="15" customHeight="1" x14ac:dyDescent="0.25">
      <c r="A674" s="38" t="s">
        <v>13760</v>
      </c>
      <c r="B674" s="39" t="s">
        <v>4705</v>
      </c>
      <c r="C674" s="39"/>
      <c r="D674" s="39">
        <v>2</v>
      </c>
      <c r="E674" s="38" t="s">
        <v>78</v>
      </c>
      <c r="F674" s="38" t="str">
        <f>VLOOKUP(E:E,Table10[[COUNTRY NAME]:[CONTINENT CODE]],3,FALSE)</f>
        <v>EU</v>
      </c>
      <c r="G674" s="155" t="s">
        <v>11880</v>
      </c>
      <c r="H674" s="40">
        <v>12494</v>
      </c>
      <c r="I674" s="41">
        <v>29.75</v>
      </c>
      <c r="J674" s="157"/>
      <c r="K674" s="42">
        <f>IFERROR(Table215[[#This Row],[ROUTE $]]/Table215[[#This Row],[E - DEMAND]],0)</f>
        <v>0</v>
      </c>
      <c r="L674" s="43"/>
      <c r="M674" s="39" t="e">
        <f>VLOOKUP(Table215[[#This Row],[ROUTE]],DEMAND!A:F,5,FALSE)</f>
        <v>#N/A</v>
      </c>
      <c r="N674" s="39" t="e">
        <f>VLOOKUP(Table215[[#This Row],[ROUTE]],DEMAND!A:F,6,FALSE)</f>
        <v>#N/A</v>
      </c>
      <c r="O674" s="39" t="e">
        <f>ROUNDDOWN(Table215[[#This Row],[R-DEMAND]]/1320,0)</f>
        <v>#N/A</v>
      </c>
      <c r="P674" s="41" t="e">
        <f>Table215[[#This Row],[ADD ACC]]*Table215[[#This Row],[RT TIME (744)]]</f>
        <v>#N/A</v>
      </c>
    </row>
    <row r="675" spans="1:16" ht="15" customHeight="1" x14ac:dyDescent="0.25">
      <c r="A675" s="38" t="s">
        <v>13761</v>
      </c>
      <c r="B675" s="39" t="s">
        <v>2737</v>
      </c>
      <c r="C675" s="39"/>
      <c r="D675" s="39">
        <v>2</v>
      </c>
      <c r="E675" s="38" t="s">
        <v>78</v>
      </c>
      <c r="F675" s="38" t="str">
        <f>VLOOKUP(E:E,Table10[[COUNTRY NAME]:[CONTINENT CODE]],3,FALSE)</f>
        <v>EU</v>
      </c>
      <c r="G675" s="155" t="s">
        <v>11888</v>
      </c>
      <c r="H675" s="40">
        <v>12442</v>
      </c>
      <c r="I675" s="41">
        <v>29.75</v>
      </c>
      <c r="J675" s="157"/>
      <c r="K675" s="42">
        <f>IFERROR(Table215[[#This Row],[ROUTE $]]/Table215[[#This Row],[E - DEMAND]],0)</f>
        <v>0</v>
      </c>
      <c r="L675" s="43"/>
      <c r="M675" s="39" t="e">
        <f>VLOOKUP(Table215[[#This Row],[ROUTE]],DEMAND!A:F,5,FALSE)</f>
        <v>#N/A</v>
      </c>
      <c r="N675" s="39" t="e">
        <f>VLOOKUP(Table215[[#This Row],[ROUTE]],DEMAND!A:F,6,FALSE)</f>
        <v>#N/A</v>
      </c>
      <c r="O675" s="39" t="e">
        <f>ROUNDDOWN(Table215[[#This Row],[R-DEMAND]]/1320,0)</f>
        <v>#N/A</v>
      </c>
      <c r="P675" s="41" t="e">
        <f>Table215[[#This Row],[ADD ACC]]*Table215[[#This Row],[RT TIME (744)]]</f>
        <v>#N/A</v>
      </c>
    </row>
    <row r="676" spans="1:16" ht="15" customHeight="1" x14ac:dyDescent="0.25">
      <c r="A676" s="38" t="s">
        <v>13919</v>
      </c>
      <c r="B676" s="39" t="s">
        <v>4744</v>
      </c>
      <c r="C676" s="39"/>
      <c r="D676" s="39">
        <v>3</v>
      </c>
      <c r="E676" s="143" t="s">
        <v>647</v>
      </c>
      <c r="F676" s="38" t="e">
        <f>VLOOKUP(E:E,Table10[[COUNTRY NAME]:[CONTINENT CODE]],3,FALSE)</f>
        <v>#N/A</v>
      </c>
      <c r="G676" s="155" t="s">
        <v>11759</v>
      </c>
      <c r="H676" s="40">
        <v>12698</v>
      </c>
      <c r="I676" s="41">
        <v>30.25</v>
      </c>
      <c r="J676" s="157"/>
      <c r="K676" s="42">
        <f>IFERROR(Table215[[#This Row],[ROUTE $]]/Table215[[#This Row],[E - DEMAND]],0)</f>
        <v>0</v>
      </c>
      <c r="L676" s="43"/>
      <c r="M676" s="39" t="e">
        <f>VLOOKUP(Table215[[#This Row],[ROUTE]],DEMAND!A:F,5,FALSE)</f>
        <v>#N/A</v>
      </c>
      <c r="N676" s="39" t="e">
        <f>VLOOKUP(Table215[[#This Row],[ROUTE]],DEMAND!A:F,6,FALSE)</f>
        <v>#N/A</v>
      </c>
      <c r="O676" s="39" t="e">
        <f>ROUNDDOWN(Table215[[#This Row],[R-DEMAND]]/1320,0)</f>
        <v>#N/A</v>
      </c>
      <c r="P676" s="41" t="e">
        <f>Table215[[#This Row],[ADD ACC]]*Table215[[#This Row],[RT TIME (744)]]</f>
        <v>#N/A</v>
      </c>
    </row>
    <row r="677" spans="1:16" ht="15" customHeight="1" x14ac:dyDescent="0.25">
      <c r="A677" s="38" t="s">
        <v>13891</v>
      </c>
      <c r="B677" s="39" t="s">
        <v>4499</v>
      </c>
      <c r="C677" s="39"/>
      <c r="D677" s="39">
        <v>2</v>
      </c>
      <c r="E677" s="38" t="s">
        <v>4497</v>
      </c>
      <c r="F677" s="38" t="str">
        <f>VLOOKUP(E:E,Table10[[COUNTRY NAME]:[CONTINENT CODE]],3,FALSE)</f>
        <v>AS</v>
      </c>
      <c r="G677" s="155" t="s">
        <v>11958</v>
      </c>
      <c r="H677" s="40">
        <v>12841</v>
      </c>
      <c r="I677" s="41">
        <v>30.5</v>
      </c>
      <c r="J677" s="157"/>
      <c r="K677" s="42">
        <f>IFERROR(Table215[[#This Row],[ROUTE $]]/Table215[[#This Row],[E - DEMAND]],0)</f>
        <v>0</v>
      </c>
      <c r="L677" s="43"/>
      <c r="M677" s="39" t="e">
        <f>VLOOKUP(Table215[[#This Row],[ROUTE]],DEMAND!A:F,5,FALSE)</f>
        <v>#N/A</v>
      </c>
      <c r="N677" s="39" t="e">
        <f>VLOOKUP(Table215[[#This Row],[ROUTE]],DEMAND!A:F,6,FALSE)</f>
        <v>#N/A</v>
      </c>
      <c r="O677" s="39" t="e">
        <f>ROUNDDOWN(Table215[[#This Row],[R-DEMAND]]/1320,0)</f>
        <v>#N/A</v>
      </c>
      <c r="P677" s="41" t="e">
        <f>Table215[[#This Row],[ADD ACC]]*Table215[[#This Row],[RT TIME (744)]]</f>
        <v>#N/A</v>
      </c>
    </row>
    <row r="678" spans="1:16" ht="15" customHeight="1" x14ac:dyDescent="0.25">
      <c r="A678" s="38" t="s">
        <v>13613</v>
      </c>
      <c r="B678" s="39" t="s">
        <v>504</v>
      </c>
      <c r="C678" s="39"/>
      <c r="D678" s="39">
        <v>1</v>
      </c>
      <c r="E678" s="38" t="s">
        <v>502</v>
      </c>
      <c r="F678" s="38" t="str">
        <f>VLOOKUP(E:E,Table10[[COUNTRY NAME]:[CONTINENT CODE]],3,FALSE)</f>
        <v>AS</v>
      </c>
      <c r="G678" s="155" t="s">
        <v>11986</v>
      </c>
      <c r="H678" s="40">
        <v>12972</v>
      </c>
      <c r="I678" s="41">
        <v>30.75</v>
      </c>
      <c r="J678" s="157"/>
      <c r="K678" s="42">
        <f>IFERROR(Table215[[#This Row],[ROUTE $]]/Table215[[#This Row],[E - DEMAND]],0)</f>
        <v>0</v>
      </c>
      <c r="L678" s="43"/>
      <c r="M678" s="39" t="e">
        <f>VLOOKUP(Table215[[#This Row],[ROUTE]],DEMAND!A:F,5,FALSE)</f>
        <v>#N/A</v>
      </c>
      <c r="N678" s="39" t="e">
        <f>VLOOKUP(Table215[[#This Row],[ROUTE]],DEMAND!A:F,6,FALSE)</f>
        <v>#N/A</v>
      </c>
      <c r="O678" s="39" t="e">
        <f>ROUNDDOWN(Table215[[#This Row],[R-DEMAND]]/1320,0)</f>
        <v>#N/A</v>
      </c>
      <c r="P678" s="41" t="e">
        <f>Table215[[#This Row],[ADD ACC]]*Table215[[#This Row],[RT TIME (744)]]</f>
        <v>#N/A</v>
      </c>
    </row>
    <row r="679" spans="1:16" ht="15" customHeight="1" x14ac:dyDescent="0.25">
      <c r="A679" s="38" t="s">
        <v>13758</v>
      </c>
      <c r="B679" s="39" t="s">
        <v>4685</v>
      </c>
      <c r="C679" s="39"/>
      <c r="D679" s="39">
        <v>2</v>
      </c>
      <c r="E679" s="38" t="s">
        <v>78</v>
      </c>
      <c r="F679" s="38" t="str">
        <f>VLOOKUP(E:E,Table10[[COUNTRY NAME]:[CONTINENT CODE]],3,FALSE)</f>
        <v>EU</v>
      </c>
      <c r="G679" s="155" t="s">
        <v>6880</v>
      </c>
      <c r="H679" s="40">
        <v>12897</v>
      </c>
      <c r="I679" s="41">
        <v>30.75</v>
      </c>
      <c r="J679" s="157"/>
      <c r="K679" s="42">
        <f>IFERROR(Table215[[#This Row],[ROUTE $]]/Table215[[#This Row],[E - DEMAND]],0)</f>
        <v>0</v>
      </c>
      <c r="L679" s="43"/>
      <c r="M679" s="39" t="e">
        <f>VLOOKUP(Table215[[#This Row],[ROUTE]],DEMAND!A:F,5,FALSE)</f>
        <v>#N/A</v>
      </c>
      <c r="N679" s="39" t="e">
        <f>VLOOKUP(Table215[[#This Row],[ROUTE]],DEMAND!A:F,6,FALSE)</f>
        <v>#N/A</v>
      </c>
      <c r="O679" s="39" t="e">
        <f>ROUNDDOWN(Table215[[#This Row],[R-DEMAND]]/1320,0)</f>
        <v>#N/A</v>
      </c>
      <c r="P679" s="41" t="e">
        <f>Table215[[#This Row],[ADD ACC]]*Table215[[#This Row],[RT TIME (744)]]</f>
        <v>#N/A</v>
      </c>
    </row>
    <row r="680" spans="1:16" ht="15" customHeight="1" x14ac:dyDescent="0.25">
      <c r="A680" s="38" t="s">
        <v>13917</v>
      </c>
      <c r="B680" s="39" t="s">
        <v>4475</v>
      </c>
      <c r="C680" s="39"/>
      <c r="D680" s="39">
        <v>2</v>
      </c>
      <c r="E680" s="143" t="s">
        <v>647</v>
      </c>
      <c r="F680" s="38" t="e">
        <f>VLOOKUP(E:E,Table10[[COUNTRY NAME]:[CONTINENT CODE]],3,FALSE)</f>
        <v>#N/A</v>
      </c>
      <c r="G680" s="155" t="s">
        <v>11733</v>
      </c>
      <c r="H680" s="40">
        <v>12892</v>
      </c>
      <c r="I680" s="41">
        <v>30.75</v>
      </c>
      <c r="J680" s="157"/>
      <c r="K680" s="42">
        <f>IFERROR(Table215[[#This Row],[ROUTE $]]/Table215[[#This Row],[E - DEMAND]],0)</f>
        <v>0</v>
      </c>
      <c r="L680" s="43"/>
      <c r="M680" s="39" t="e">
        <f>VLOOKUP(Table215[[#This Row],[ROUTE]],DEMAND!A:F,5,FALSE)</f>
        <v>#N/A</v>
      </c>
      <c r="N680" s="39" t="e">
        <f>VLOOKUP(Table215[[#This Row],[ROUTE]],DEMAND!A:F,6,FALSE)</f>
        <v>#N/A</v>
      </c>
      <c r="O680" s="39" t="e">
        <f>ROUNDDOWN(Table215[[#This Row],[R-DEMAND]]/1320,0)</f>
        <v>#N/A</v>
      </c>
      <c r="P680" s="41" t="e">
        <f>Table215[[#This Row],[ADD ACC]]*Table215[[#This Row],[RT TIME (744)]]</f>
        <v>#N/A</v>
      </c>
    </row>
    <row r="681" spans="1:16" ht="15" customHeight="1" x14ac:dyDescent="0.25">
      <c r="A681" s="38" t="s">
        <v>13916</v>
      </c>
      <c r="B681" s="39" t="s">
        <v>5327</v>
      </c>
      <c r="C681" s="39"/>
      <c r="D681" s="39">
        <v>3</v>
      </c>
      <c r="E681" s="143" t="s">
        <v>647</v>
      </c>
      <c r="F681" s="38" t="e">
        <f>VLOOKUP(E:E,Table10[[COUNTRY NAME]:[CONTINENT CODE]],3,FALSE)</f>
        <v>#N/A</v>
      </c>
      <c r="G681" s="155" t="s">
        <v>11737</v>
      </c>
      <c r="H681" s="40">
        <v>12998</v>
      </c>
      <c r="I681" s="41">
        <v>31</v>
      </c>
      <c r="J681" s="157"/>
      <c r="K681" s="42">
        <f>IFERROR(Table215[[#This Row],[ROUTE $]]/Table215[[#This Row],[E - DEMAND]],0)</f>
        <v>0</v>
      </c>
      <c r="L681" s="43"/>
      <c r="M681" s="39" t="e">
        <f>VLOOKUP(Table215[[#This Row],[ROUTE]],DEMAND!A:F,5,FALSE)</f>
        <v>#N/A</v>
      </c>
      <c r="N681" s="39" t="e">
        <f>VLOOKUP(Table215[[#This Row],[ROUTE]],DEMAND!A:F,6,FALSE)</f>
        <v>#N/A</v>
      </c>
      <c r="O681" s="39" t="e">
        <f>ROUNDDOWN(Table215[[#This Row],[R-DEMAND]]/1320,0)</f>
        <v>#N/A</v>
      </c>
      <c r="P681" s="41" t="e">
        <f>Table215[[#This Row],[ADD ACC]]*Table215[[#This Row],[RT TIME (744)]]</f>
        <v>#N/A</v>
      </c>
    </row>
    <row r="683" spans="1:16" ht="15" customHeight="1" x14ac:dyDescent="0.25">
      <c r="B683" s="140"/>
    </row>
    <row r="684" spans="1:16" ht="15" customHeight="1" x14ac:dyDescent="0.25">
      <c r="B684" s="140"/>
    </row>
    <row r="685" spans="1:16" ht="15" customHeight="1" x14ac:dyDescent="0.25">
      <c r="B685" s="140"/>
    </row>
    <row r="686" spans="1:16" ht="15" customHeight="1" x14ac:dyDescent="0.25">
      <c r="B686" s="140"/>
    </row>
    <row r="687" spans="1:16" ht="15" customHeight="1" x14ac:dyDescent="0.25">
      <c r="B687" s="140"/>
    </row>
    <row r="688" spans="1:16" ht="15" customHeight="1" x14ac:dyDescent="0.25">
      <c r="B688" s="140"/>
    </row>
    <row r="689" spans="2:2" ht="15" customHeight="1" x14ac:dyDescent="0.25">
      <c r="B689" s="140"/>
    </row>
    <row r="690" spans="2:2" ht="15" customHeight="1" x14ac:dyDescent="0.25">
      <c r="B690" s="140"/>
    </row>
    <row r="691" spans="2:2" ht="15" customHeight="1" x14ac:dyDescent="0.25">
      <c r="B691" s="140"/>
    </row>
    <row r="692" spans="2:2" ht="15" customHeight="1" x14ac:dyDescent="0.25">
      <c r="B692" s="140"/>
    </row>
    <row r="693" spans="2:2" ht="15" customHeight="1" x14ac:dyDescent="0.25">
      <c r="B693" s="140"/>
    </row>
    <row r="694" spans="2:2" ht="15" customHeight="1" x14ac:dyDescent="0.25">
      <c r="B694" s="140"/>
    </row>
    <row r="695" spans="2:2" ht="15" customHeight="1" x14ac:dyDescent="0.25">
      <c r="B695" s="53"/>
    </row>
    <row r="696" spans="2:2" ht="15" customHeight="1" x14ac:dyDescent="0.25">
      <c r="B696" s="53"/>
    </row>
    <row r="697" spans="2:2" ht="15" customHeight="1" x14ac:dyDescent="0.25">
      <c r="B697" s="53"/>
    </row>
    <row r="698" spans="2:2" ht="15" customHeight="1" x14ac:dyDescent="0.25">
      <c r="B698" s="53"/>
    </row>
    <row r="699" spans="2:2" ht="15" customHeight="1" x14ac:dyDescent="0.25">
      <c r="B699" s="53"/>
    </row>
    <row r="700" spans="2:2" ht="15" customHeight="1" x14ac:dyDescent="0.25">
      <c r="B700" s="53"/>
    </row>
    <row r="701" spans="2:2" ht="15" customHeight="1" x14ac:dyDescent="0.25">
      <c r="B701" s="53"/>
    </row>
    <row r="702" spans="2:2" ht="15" customHeight="1" x14ac:dyDescent="0.25">
      <c r="B702" s="53"/>
    </row>
    <row r="703" spans="2:2" ht="15" customHeight="1" x14ac:dyDescent="0.25">
      <c r="B703" s="53"/>
    </row>
    <row r="704" spans="2:2" ht="15" customHeight="1" x14ac:dyDescent="0.25">
      <c r="B704" s="53"/>
    </row>
    <row r="705" spans="2:2" ht="15" customHeight="1" x14ac:dyDescent="0.25">
      <c r="B705" s="53"/>
    </row>
    <row r="706" spans="2:2" ht="15" customHeight="1" x14ac:dyDescent="0.25">
      <c r="B706" s="53"/>
    </row>
    <row r="707" spans="2:2" ht="15" customHeight="1" x14ac:dyDescent="0.25">
      <c r="B707" s="53"/>
    </row>
    <row r="708" spans="2:2" ht="15" customHeight="1" x14ac:dyDescent="0.25">
      <c r="B708" s="53"/>
    </row>
    <row r="709" spans="2:2" ht="15" customHeight="1" x14ac:dyDescent="0.25">
      <c r="B709" s="53"/>
    </row>
    <row r="710" spans="2:2" ht="15" customHeight="1" x14ac:dyDescent="0.25">
      <c r="B710" s="53"/>
    </row>
    <row r="711" spans="2:2" ht="15" customHeight="1" x14ac:dyDescent="0.25">
      <c r="B711" s="53"/>
    </row>
    <row r="712" spans="2:2" ht="15" customHeight="1" x14ac:dyDescent="0.25">
      <c r="B712" s="53"/>
    </row>
    <row r="713" spans="2:2" ht="15" customHeight="1" x14ac:dyDescent="0.25">
      <c r="B713" s="53"/>
    </row>
    <row r="714" spans="2:2" ht="15" customHeight="1" x14ac:dyDescent="0.25">
      <c r="B714" s="53"/>
    </row>
    <row r="715" spans="2:2" ht="15" customHeight="1" x14ac:dyDescent="0.25">
      <c r="B715" s="53"/>
    </row>
    <row r="716" spans="2:2" ht="15" customHeight="1" x14ac:dyDescent="0.25">
      <c r="B716" s="53"/>
    </row>
    <row r="717" spans="2:2" ht="15" customHeight="1" x14ac:dyDescent="0.25">
      <c r="B717" s="53"/>
    </row>
    <row r="718" spans="2:2" ht="15" customHeight="1" x14ac:dyDescent="0.25">
      <c r="B718" s="53"/>
    </row>
    <row r="719" spans="2:2" ht="15" customHeight="1" x14ac:dyDescent="0.25">
      <c r="B719" s="53"/>
    </row>
    <row r="720" spans="2:2" ht="15" customHeight="1" x14ac:dyDescent="0.25">
      <c r="B720" s="53"/>
    </row>
    <row r="721" spans="2:2" ht="15" customHeight="1" x14ac:dyDescent="0.25">
      <c r="B721" s="53"/>
    </row>
    <row r="722" spans="2:2" ht="15" customHeight="1" x14ac:dyDescent="0.25">
      <c r="B722" s="53"/>
    </row>
    <row r="723" spans="2:2" ht="15" customHeight="1" x14ac:dyDescent="0.25">
      <c r="B723" s="53"/>
    </row>
    <row r="724" spans="2:2" ht="15" customHeight="1" x14ac:dyDescent="0.25">
      <c r="B724" s="53"/>
    </row>
    <row r="725" spans="2:2" ht="15" customHeight="1" x14ac:dyDescent="0.25">
      <c r="B725" s="53"/>
    </row>
    <row r="726" spans="2:2" ht="15" customHeight="1" x14ac:dyDescent="0.25">
      <c r="B726" s="53"/>
    </row>
    <row r="727" spans="2:2" ht="15" customHeight="1" x14ac:dyDescent="0.25">
      <c r="B727" s="53"/>
    </row>
    <row r="728" spans="2:2" ht="15" customHeight="1" x14ac:dyDescent="0.25">
      <c r="B728" s="53"/>
    </row>
    <row r="729" spans="2:2" ht="15" customHeight="1" x14ac:dyDescent="0.25">
      <c r="B729" s="53"/>
    </row>
    <row r="730" spans="2:2" ht="15" customHeight="1" x14ac:dyDescent="0.25">
      <c r="B730" s="53"/>
    </row>
    <row r="731" spans="2:2" ht="15" customHeight="1" x14ac:dyDescent="0.25">
      <c r="B731" s="53"/>
    </row>
    <row r="732" spans="2:2" ht="15" customHeight="1" x14ac:dyDescent="0.25">
      <c r="B732" s="53"/>
    </row>
    <row r="733" spans="2:2" ht="15" customHeight="1" x14ac:dyDescent="0.25">
      <c r="B733" s="53"/>
    </row>
    <row r="734" spans="2:2" ht="15" customHeight="1" x14ac:dyDescent="0.25">
      <c r="B734" s="53"/>
    </row>
    <row r="735" spans="2:2" ht="15" customHeight="1" x14ac:dyDescent="0.25">
      <c r="B735" s="53"/>
    </row>
    <row r="736" spans="2:2" ht="15" customHeight="1" x14ac:dyDescent="0.25">
      <c r="B736" s="53"/>
    </row>
    <row r="737" spans="2:2" ht="15" customHeight="1" x14ac:dyDescent="0.25">
      <c r="B737" s="53"/>
    </row>
    <row r="738" spans="2:2" ht="15" customHeight="1" x14ac:dyDescent="0.25">
      <c r="B738" s="53"/>
    </row>
    <row r="739" spans="2:2" ht="15" customHeight="1" x14ac:dyDescent="0.25">
      <c r="B739" s="53"/>
    </row>
    <row r="740" spans="2:2" ht="15" customHeight="1" x14ac:dyDescent="0.25">
      <c r="B740" s="53"/>
    </row>
    <row r="741" spans="2:2" ht="15" customHeight="1" x14ac:dyDescent="0.25">
      <c r="B741" s="53"/>
    </row>
    <row r="742" spans="2:2" ht="15" customHeight="1" x14ac:dyDescent="0.25">
      <c r="B742" s="53"/>
    </row>
    <row r="743" spans="2:2" ht="15" customHeight="1" x14ac:dyDescent="0.25">
      <c r="B743" s="53"/>
    </row>
    <row r="744" spans="2:2" ht="15" customHeight="1" x14ac:dyDescent="0.25">
      <c r="B744" s="53"/>
    </row>
    <row r="745" spans="2:2" ht="15" customHeight="1" x14ac:dyDescent="0.25">
      <c r="B745" s="53"/>
    </row>
    <row r="746" spans="2:2" ht="15" customHeight="1" x14ac:dyDescent="0.25">
      <c r="B746" s="53"/>
    </row>
    <row r="747" spans="2:2" ht="15" customHeight="1" x14ac:dyDescent="0.25">
      <c r="B747" s="53"/>
    </row>
    <row r="748" spans="2:2" ht="15" customHeight="1" x14ac:dyDescent="0.25">
      <c r="B748" s="53"/>
    </row>
    <row r="749" spans="2:2" ht="15" customHeight="1" x14ac:dyDescent="0.25">
      <c r="B749" s="53"/>
    </row>
    <row r="750" spans="2:2" ht="15" customHeight="1" x14ac:dyDescent="0.25">
      <c r="B750" s="53"/>
    </row>
    <row r="751" spans="2:2" ht="15" customHeight="1" x14ac:dyDescent="0.25">
      <c r="B751" s="53"/>
    </row>
    <row r="752" spans="2:2" ht="15" customHeight="1" x14ac:dyDescent="0.25">
      <c r="B752" s="53"/>
    </row>
    <row r="753" spans="2:2" ht="15" customHeight="1" x14ac:dyDescent="0.25">
      <c r="B753" s="53"/>
    </row>
    <row r="754" spans="2:2" ht="15" customHeight="1" x14ac:dyDescent="0.25">
      <c r="B754" s="53"/>
    </row>
    <row r="755" spans="2:2" ht="15" customHeight="1" x14ac:dyDescent="0.25">
      <c r="B755" s="53"/>
    </row>
    <row r="756" spans="2:2" ht="15" customHeight="1" x14ac:dyDescent="0.25">
      <c r="B756" s="53"/>
    </row>
    <row r="757" spans="2:2" ht="15" customHeight="1" x14ac:dyDescent="0.25">
      <c r="B757" s="53"/>
    </row>
    <row r="758" spans="2:2" ht="15" customHeight="1" x14ac:dyDescent="0.25">
      <c r="B758" s="53"/>
    </row>
    <row r="759" spans="2:2" ht="15" customHeight="1" x14ac:dyDescent="0.25">
      <c r="B759" s="53"/>
    </row>
    <row r="760" spans="2:2" ht="15" customHeight="1" x14ac:dyDescent="0.25">
      <c r="B760" s="53"/>
    </row>
    <row r="761" spans="2:2" ht="15" customHeight="1" x14ac:dyDescent="0.25">
      <c r="B761" s="53"/>
    </row>
    <row r="762" spans="2:2" ht="15" customHeight="1" x14ac:dyDescent="0.25">
      <c r="B762" s="53"/>
    </row>
    <row r="763" spans="2:2" ht="15" customHeight="1" x14ac:dyDescent="0.25">
      <c r="B763" s="53"/>
    </row>
    <row r="764" spans="2:2" ht="15" customHeight="1" x14ac:dyDescent="0.25">
      <c r="B764" s="53"/>
    </row>
    <row r="765" spans="2:2" ht="15" customHeight="1" x14ac:dyDescent="0.25">
      <c r="B765" s="53"/>
    </row>
    <row r="766" spans="2:2" ht="15" customHeight="1" x14ac:dyDescent="0.25">
      <c r="B766" s="53"/>
    </row>
    <row r="767" spans="2:2" ht="15" customHeight="1" x14ac:dyDescent="0.25">
      <c r="B767" s="53"/>
    </row>
    <row r="768" spans="2:2" ht="15" customHeight="1" x14ac:dyDescent="0.25">
      <c r="B768" s="53"/>
    </row>
    <row r="769" spans="2:2" ht="15" customHeight="1" x14ac:dyDescent="0.25">
      <c r="B769" s="53"/>
    </row>
    <row r="770" spans="2:2" ht="15" customHeight="1" x14ac:dyDescent="0.25">
      <c r="B770" s="53"/>
    </row>
  </sheetData>
  <conditionalFormatting sqref="L3:L681">
    <cfRule type="cellIs" dxfId="55" priority="12" operator="between">
      <formula>2641</formula>
      <formula>3300</formula>
    </cfRule>
    <cfRule type="cellIs" dxfId="54" priority="13" operator="between">
      <formula>1981</formula>
      <formula>2640</formula>
    </cfRule>
    <cfRule type="cellIs" dxfId="53" priority="14" operator="between">
      <formula>1321</formula>
      <formula>1980</formula>
    </cfRule>
    <cfRule type="cellIs" dxfId="52" priority="15" operator="lessThan">
      <formula>1320</formula>
    </cfRule>
    <cfRule type="cellIs" dxfId="51" priority="16" operator="between">
      <formula>3961</formula>
      <formula>4620</formula>
    </cfRule>
  </conditionalFormatting>
  <conditionalFormatting sqref="L89:L152 L2:L78">
    <cfRule type="cellIs" dxfId="50" priority="17" operator="between">
      <formula>3301</formula>
      <formula>3960</formula>
    </cfRule>
  </conditionalFormatting>
  <conditionalFormatting sqref="G191:G192">
    <cfRule type="duplicateValues" dxfId="49" priority="18"/>
  </conditionalFormatting>
  <conditionalFormatting sqref="B1:B1048576">
    <cfRule type="duplicateValues" dxfId="48" priority="9"/>
  </conditionalFormatting>
  <conditionalFormatting sqref="B681:B1048576 G193:G680">
    <cfRule type="duplicateValues" dxfId="47" priority="281"/>
  </conditionalFormatting>
  <conditionalFormatting sqref="B681:B1048576 G3:G681 B2">
    <cfRule type="duplicateValues" dxfId="46" priority="286"/>
  </conditionalFormatting>
  <conditionalFormatting sqref="O684:O717 A97:A643">
    <cfRule type="duplicateValues" dxfId="45" priority="6"/>
  </conditionalFormatting>
  <conditionalFormatting sqref="A1:A1048576">
    <cfRule type="duplicateValues" dxfId="44" priority="287"/>
  </conditionalFormatting>
  <conditionalFormatting sqref="N105">
    <cfRule type="duplicateValues" dxfId="43" priority="4"/>
  </conditionalFormatting>
  <conditionalFormatting sqref="N105">
    <cfRule type="duplicateValues" dxfId="42" priority="3"/>
  </conditionalFormatting>
  <conditionalFormatting sqref="N107:N108">
    <cfRule type="duplicateValues" dxfId="41" priority="2"/>
  </conditionalFormatting>
  <conditionalFormatting sqref="N107:N108">
    <cfRule type="duplicateValues" dxfId="40" priority="1"/>
  </conditionalFormatting>
  <pageMargins left="0.7" right="0.7" top="0.75" bottom="0.75" header="0" footer="0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A0F5-6BE0-4B85-AD4D-9D596E63E6A6}">
  <sheetPr>
    <tabColor theme="5" tint="0.59999389629810485"/>
  </sheetPr>
  <dimension ref="A1:DD157"/>
  <sheetViews>
    <sheetView showGridLines="0" topLeftCell="P1" zoomScale="70" zoomScaleNormal="70" workbookViewId="0">
      <selection activeCell="BB4" sqref="BB4"/>
    </sheetView>
  </sheetViews>
  <sheetFormatPr defaultColWidth="9.140625" defaultRowHeight="15" x14ac:dyDescent="0.25"/>
  <cols>
    <col min="1" max="2" width="10.5703125" style="136" bestFit="1" customWidth="1"/>
    <col min="3" max="3" width="13.28515625" style="136" bestFit="1" customWidth="1"/>
    <col min="4" max="4" width="14.7109375" style="136" bestFit="1" customWidth="1"/>
    <col min="5" max="5" width="9.42578125" style="136" bestFit="1" customWidth="1"/>
    <col min="6" max="6" width="9.140625" style="136"/>
    <col min="7" max="7" width="22.140625" style="531" customWidth="1"/>
    <col min="8" max="8" width="6.85546875" style="469" customWidth="1"/>
    <col min="9" max="9" width="24.42578125" style="136" customWidth="1"/>
    <col min="10" max="10" width="9" style="521" customWidth="1"/>
    <col min="11" max="13" width="9.85546875" style="136" customWidth="1"/>
    <col min="14" max="42" width="9.7109375" style="136" customWidth="1"/>
    <col min="43" max="52" width="9.7109375" style="470" customWidth="1"/>
    <col min="53" max="78" width="9.140625" style="470"/>
    <col min="79" max="79" width="9.140625" style="529"/>
    <col min="80" max="89" width="9.140625" style="470"/>
    <col min="90" max="96" width="9.140625" style="136"/>
    <col min="97" max="100" width="9.140625" style="470"/>
    <col min="101" max="108" width="9.140625" style="518"/>
    <col min="109" max="16384" width="9.140625" style="519"/>
  </cols>
  <sheetData>
    <row r="1" spans="1:108" x14ac:dyDescent="0.25">
      <c r="A1" s="136" t="s">
        <v>474</v>
      </c>
      <c r="B1" s="136" t="s">
        <v>475</v>
      </c>
      <c r="C1" s="136" t="s">
        <v>19814</v>
      </c>
      <c r="D1" s="136" t="s">
        <v>19832</v>
      </c>
      <c r="E1" s="136" t="s">
        <v>19833</v>
      </c>
      <c r="Q1" s="680" t="s">
        <v>19834</v>
      </c>
      <c r="R1" s="680"/>
      <c r="S1" s="680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80"/>
      <c r="AL1" s="680"/>
      <c r="AM1" s="680"/>
      <c r="AN1" s="680"/>
      <c r="AO1" s="680"/>
      <c r="AP1" s="680"/>
      <c r="AQ1" s="680"/>
      <c r="AR1" s="680"/>
      <c r="AS1" s="680"/>
      <c r="AT1" s="680"/>
      <c r="AU1" s="680"/>
      <c r="AV1" s="680"/>
      <c r="AW1" s="680"/>
      <c r="AX1" s="680"/>
      <c r="AY1" s="680"/>
      <c r="AZ1" s="680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S1" s="136"/>
      <c r="CT1" s="136"/>
      <c r="CU1" s="136"/>
      <c r="CV1" s="136"/>
    </row>
    <row r="2" spans="1:108" ht="15.75" thickBot="1" x14ac:dyDescent="0.3">
      <c r="A2" s="470"/>
      <c r="B2" s="135"/>
      <c r="C2" s="388"/>
      <c r="D2" s="470"/>
      <c r="E2" s="470"/>
      <c r="Q2" s="676"/>
      <c r="R2" s="676"/>
      <c r="S2" s="676"/>
      <c r="T2" s="676"/>
      <c r="U2" s="676"/>
      <c r="V2" s="676"/>
      <c r="W2" s="676"/>
      <c r="X2" s="676"/>
      <c r="Y2" s="676"/>
      <c r="Z2" s="676"/>
      <c r="AA2" s="676"/>
      <c r="AB2" s="676"/>
      <c r="AC2" s="676"/>
      <c r="AD2" s="676"/>
      <c r="AE2" s="676"/>
      <c r="AF2" s="676"/>
      <c r="AG2" s="676"/>
      <c r="AH2" s="676"/>
      <c r="AI2" s="676"/>
      <c r="AJ2" s="676"/>
      <c r="AK2" s="676"/>
      <c r="AL2" s="676"/>
      <c r="AM2" s="676"/>
      <c r="AN2" s="676"/>
      <c r="AO2" s="676"/>
      <c r="AP2" s="676"/>
      <c r="AQ2" s="676"/>
      <c r="AR2" s="676"/>
      <c r="AS2" s="676"/>
      <c r="AT2" s="676"/>
      <c r="AU2" s="676"/>
      <c r="AV2" s="676"/>
      <c r="AW2" s="676"/>
      <c r="AX2" s="676"/>
      <c r="AY2" s="676"/>
      <c r="AZ2" s="676"/>
      <c r="BA2" s="136"/>
      <c r="BB2" s="136"/>
      <c r="BC2" s="136"/>
      <c r="BD2" s="136"/>
      <c r="BE2" s="136"/>
      <c r="BF2" s="136"/>
      <c r="BG2" s="136"/>
      <c r="BH2" s="136"/>
      <c r="BI2" s="136"/>
      <c r="BJ2" s="136"/>
      <c r="BK2" s="136"/>
      <c r="BL2" s="136"/>
      <c r="BM2" s="136"/>
      <c r="BN2" s="136"/>
      <c r="BO2" s="136"/>
      <c r="BP2" s="136"/>
      <c r="BQ2" s="136"/>
      <c r="BR2" s="136"/>
      <c r="BS2" s="136"/>
      <c r="BT2" s="136"/>
      <c r="BU2" s="136"/>
      <c r="BV2" s="136"/>
      <c r="BW2" s="136"/>
      <c r="BX2" s="136"/>
      <c r="BY2" s="136"/>
      <c r="BZ2" s="136"/>
      <c r="CA2" s="136"/>
      <c r="CB2" s="136"/>
      <c r="CC2" s="136"/>
      <c r="CD2" s="136"/>
      <c r="CE2" s="136"/>
      <c r="CF2" s="136"/>
      <c r="CG2" s="136"/>
      <c r="CH2" s="136"/>
      <c r="CI2" s="136"/>
      <c r="CJ2" s="136"/>
      <c r="CK2" s="136"/>
      <c r="CS2" s="136"/>
      <c r="CT2" s="136"/>
      <c r="CU2" s="136"/>
      <c r="CV2" s="136"/>
    </row>
    <row r="3" spans="1:108" x14ac:dyDescent="0.25">
      <c r="A3" s="470"/>
      <c r="B3" s="135"/>
      <c r="C3" s="532"/>
      <c r="D3" s="470"/>
      <c r="E3" s="470">
        <f>Table819[[#This Row],[Column4]]*Table819[[#This Row],[Column2]]</f>
        <v>0</v>
      </c>
      <c r="Q3" s="124" t="s">
        <v>4987</v>
      </c>
      <c r="R3" s="125">
        <v>27.25</v>
      </c>
      <c r="S3" s="596" t="s">
        <v>12664</v>
      </c>
      <c r="T3" s="124" t="s">
        <v>4529</v>
      </c>
      <c r="U3" s="125">
        <v>14.5</v>
      </c>
      <c r="V3" s="596" t="s">
        <v>12664</v>
      </c>
      <c r="W3" s="124" t="s">
        <v>4941</v>
      </c>
      <c r="X3" s="125">
        <v>8.25</v>
      </c>
      <c r="Y3" s="596" t="s">
        <v>12664</v>
      </c>
      <c r="Z3" s="124" t="s">
        <v>4924</v>
      </c>
      <c r="AA3" s="125">
        <v>24</v>
      </c>
      <c r="AB3" s="596" t="s">
        <v>12664</v>
      </c>
      <c r="AC3" s="124" t="s">
        <v>5567</v>
      </c>
      <c r="AD3" s="125">
        <v>25.75</v>
      </c>
      <c r="AE3" s="596" t="s">
        <v>12664</v>
      </c>
      <c r="AF3" s="124" t="s">
        <v>5200</v>
      </c>
      <c r="AG3" s="125">
        <v>31.5</v>
      </c>
      <c r="AH3" s="596" t="s">
        <v>12664</v>
      </c>
      <c r="AI3" s="124" t="s">
        <v>5734</v>
      </c>
      <c r="AJ3" s="125">
        <v>23</v>
      </c>
      <c r="AK3" s="600" t="s">
        <v>12664</v>
      </c>
      <c r="AL3" s="471" t="s">
        <v>2258</v>
      </c>
      <c r="AM3" s="500">
        <v>25</v>
      </c>
      <c r="AN3" s="596" t="s">
        <v>12664</v>
      </c>
      <c r="AO3" s="124" t="s">
        <v>4935</v>
      </c>
      <c r="AP3" s="125">
        <v>29</v>
      </c>
      <c r="AQ3" s="596" t="s">
        <v>12664</v>
      </c>
      <c r="AR3" s="471" t="s">
        <v>90</v>
      </c>
      <c r="AS3" s="500">
        <v>28.25</v>
      </c>
      <c r="AT3" s="596" t="s">
        <v>12664</v>
      </c>
      <c r="AU3" s="124" t="s">
        <v>3772</v>
      </c>
      <c r="AV3" s="125">
        <v>26.5</v>
      </c>
      <c r="AW3" s="596" t="s">
        <v>12664</v>
      </c>
      <c r="AX3" s="471" t="s">
        <v>227</v>
      </c>
      <c r="AY3" s="125">
        <v>24.25</v>
      </c>
      <c r="AZ3" s="596" t="s">
        <v>12664</v>
      </c>
      <c r="BA3" s="518"/>
      <c r="BB3" s="518"/>
      <c r="BC3" s="518"/>
      <c r="BD3" s="518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  <c r="BZ3" s="519"/>
      <c r="CA3" s="519"/>
      <c r="CB3" s="519"/>
      <c r="CC3" s="519"/>
      <c r="CD3" s="519"/>
      <c r="CE3" s="519"/>
      <c r="CF3" s="519"/>
      <c r="CG3" s="519"/>
      <c r="CH3" s="519"/>
      <c r="CI3" s="519"/>
      <c r="CJ3" s="519"/>
      <c r="CK3" s="519"/>
      <c r="CL3" s="519"/>
      <c r="CM3" s="519"/>
      <c r="CN3" s="519"/>
      <c r="CO3" s="519"/>
      <c r="CP3" s="519"/>
      <c r="CQ3" s="519"/>
      <c r="CR3" s="519"/>
      <c r="CS3" s="519"/>
      <c r="CT3" s="519"/>
      <c r="CU3" s="519"/>
      <c r="CV3" s="519"/>
      <c r="CW3" s="519"/>
      <c r="CX3" s="519"/>
      <c r="CY3" s="519"/>
      <c r="CZ3" s="519"/>
      <c r="DA3" s="519"/>
      <c r="DB3" s="519"/>
      <c r="DC3" s="519"/>
      <c r="DD3" s="519"/>
    </row>
    <row r="4" spans="1:108" x14ac:dyDescent="0.25">
      <c r="Q4" s="123" t="s">
        <v>5317</v>
      </c>
      <c r="R4" s="120">
        <v>25.75</v>
      </c>
      <c r="S4" s="597"/>
      <c r="T4" s="478" t="s">
        <v>408</v>
      </c>
      <c r="U4" s="501">
        <v>11.75</v>
      </c>
      <c r="V4" s="597"/>
      <c r="W4" s="123" t="s">
        <v>2614</v>
      </c>
      <c r="X4" s="120">
        <v>20.75</v>
      </c>
      <c r="Y4" s="597"/>
      <c r="Z4" s="478" t="s">
        <v>3941</v>
      </c>
      <c r="AA4" s="120">
        <v>23.75</v>
      </c>
      <c r="AB4" s="597"/>
      <c r="AC4" s="123" t="s">
        <v>5567</v>
      </c>
      <c r="AD4" s="120">
        <v>25.75</v>
      </c>
      <c r="AE4" s="597"/>
      <c r="AF4" s="123" t="s">
        <v>5200</v>
      </c>
      <c r="AG4" s="120">
        <v>31.5</v>
      </c>
      <c r="AH4" s="597"/>
      <c r="AI4" s="123" t="s">
        <v>4716</v>
      </c>
      <c r="AJ4" s="120">
        <v>22.75</v>
      </c>
      <c r="AK4" s="598"/>
      <c r="AL4" s="123" t="s">
        <v>2258</v>
      </c>
      <c r="AM4" s="120">
        <v>25</v>
      </c>
      <c r="AN4" s="597"/>
      <c r="AO4" s="478" t="s">
        <v>5283</v>
      </c>
      <c r="AP4" s="501">
        <v>29</v>
      </c>
      <c r="AQ4" s="597"/>
      <c r="AR4" s="123" t="s">
        <v>90</v>
      </c>
      <c r="AS4" s="120">
        <v>28.25</v>
      </c>
      <c r="AT4" s="597"/>
      <c r="AU4" s="478" t="s">
        <v>483</v>
      </c>
      <c r="AV4" s="501">
        <v>26.5</v>
      </c>
      <c r="AW4" s="597"/>
      <c r="AX4" s="478" t="s">
        <v>5754</v>
      </c>
      <c r="AY4" s="120">
        <v>24</v>
      </c>
      <c r="AZ4" s="597"/>
      <c r="BA4" s="518"/>
      <c r="BB4" s="518"/>
      <c r="BC4" s="518"/>
      <c r="BD4" s="518"/>
      <c r="BE4" s="519"/>
      <c r="BF4" s="519"/>
      <c r="BG4" s="519"/>
      <c r="BH4" s="519"/>
      <c r="BI4" s="519"/>
      <c r="BJ4" s="519"/>
      <c r="BK4" s="519"/>
      <c r="BL4" s="519"/>
      <c r="BM4" s="519"/>
      <c r="BN4" s="519"/>
      <c r="BO4" s="519"/>
      <c r="BP4" s="519"/>
      <c r="BQ4" s="519"/>
      <c r="BR4" s="519"/>
      <c r="BS4" s="519"/>
      <c r="BT4" s="519"/>
      <c r="BU4" s="519"/>
      <c r="BV4" s="519"/>
      <c r="BW4" s="519"/>
      <c r="BX4" s="519"/>
      <c r="BY4" s="519"/>
      <c r="BZ4" s="519"/>
      <c r="CA4" s="519"/>
      <c r="CB4" s="519"/>
      <c r="CC4" s="519"/>
      <c r="CD4" s="519"/>
      <c r="CE4" s="519"/>
      <c r="CF4" s="519"/>
      <c r="CG4" s="519"/>
      <c r="CH4" s="519"/>
      <c r="CI4" s="519"/>
      <c r="CJ4" s="519"/>
      <c r="CK4" s="519"/>
      <c r="CL4" s="519"/>
      <c r="CM4" s="519"/>
      <c r="CN4" s="519"/>
      <c r="CO4" s="519"/>
      <c r="CP4" s="519"/>
      <c r="CQ4" s="519"/>
      <c r="CR4" s="519"/>
      <c r="CS4" s="519"/>
      <c r="CT4" s="519"/>
      <c r="CU4" s="519"/>
      <c r="CV4" s="519"/>
      <c r="CW4" s="519"/>
      <c r="CX4" s="519"/>
      <c r="CY4" s="519"/>
      <c r="CZ4" s="519"/>
      <c r="DA4" s="519"/>
      <c r="DB4" s="519"/>
      <c r="DC4" s="519"/>
      <c r="DD4" s="519"/>
    </row>
    <row r="5" spans="1:108" x14ac:dyDescent="0.25">
      <c r="G5" s="531" t="s">
        <v>470</v>
      </c>
      <c r="H5" s="469">
        <v>168</v>
      </c>
      <c r="Q5" s="123" t="s">
        <v>4960</v>
      </c>
      <c r="R5" s="120">
        <v>12.75</v>
      </c>
      <c r="S5" s="597"/>
      <c r="T5" s="123" t="s">
        <v>5021</v>
      </c>
      <c r="U5" s="120">
        <v>12</v>
      </c>
      <c r="V5" s="597"/>
      <c r="W5" s="123" t="s">
        <v>359</v>
      </c>
      <c r="X5" s="120">
        <v>18.75</v>
      </c>
      <c r="Y5" s="597"/>
      <c r="Z5" s="123" t="s">
        <v>402</v>
      </c>
      <c r="AA5" s="120">
        <v>23.5</v>
      </c>
      <c r="AB5" s="597"/>
      <c r="AC5" s="478" t="s">
        <v>5663</v>
      </c>
      <c r="AD5" s="120">
        <v>25.5</v>
      </c>
      <c r="AE5" s="597"/>
      <c r="AF5" s="123" t="s">
        <v>5104</v>
      </c>
      <c r="AG5" s="120">
        <v>31.5</v>
      </c>
      <c r="AH5" s="597"/>
      <c r="AI5" s="478" t="s">
        <v>3668</v>
      </c>
      <c r="AJ5" s="501">
        <v>22.5</v>
      </c>
      <c r="AK5" s="598"/>
      <c r="AL5" s="123" t="s">
        <v>2258</v>
      </c>
      <c r="AM5" s="120">
        <v>25</v>
      </c>
      <c r="AN5" s="597"/>
      <c r="AO5" s="123" t="s">
        <v>5283</v>
      </c>
      <c r="AP5" s="120">
        <v>29</v>
      </c>
      <c r="AQ5" s="597"/>
      <c r="AR5" s="478" t="s">
        <v>79</v>
      </c>
      <c r="AS5" s="501">
        <v>28.25</v>
      </c>
      <c r="AT5" s="597"/>
      <c r="AU5" s="123" t="s">
        <v>483</v>
      </c>
      <c r="AV5" s="120">
        <v>26.5</v>
      </c>
      <c r="AW5" s="597"/>
      <c r="AX5" s="123" t="s">
        <v>5754</v>
      </c>
      <c r="AY5" s="120">
        <v>24</v>
      </c>
      <c r="AZ5" s="597"/>
      <c r="BA5" s="518"/>
      <c r="BB5" s="518"/>
      <c r="BC5" s="518"/>
      <c r="BD5" s="518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519"/>
      <c r="CB5" s="519"/>
      <c r="CC5" s="519"/>
      <c r="CD5" s="519"/>
      <c r="CE5" s="519"/>
      <c r="CF5" s="519"/>
      <c r="CG5" s="519"/>
      <c r="CH5" s="519"/>
      <c r="CI5" s="519"/>
      <c r="CJ5" s="519"/>
      <c r="CK5" s="519"/>
      <c r="CL5" s="519"/>
      <c r="CM5" s="519"/>
      <c r="CN5" s="519"/>
      <c r="CO5" s="519"/>
      <c r="CP5" s="519"/>
      <c r="CQ5" s="519"/>
      <c r="CR5" s="519"/>
      <c r="CS5" s="519"/>
      <c r="CT5" s="519"/>
      <c r="CU5" s="519"/>
      <c r="CV5" s="519"/>
      <c r="CW5" s="519"/>
      <c r="CX5" s="519"/>
      <c r="CY5" s="519"/>
      <c r="CZ5" s="519"/>
      <c r="DA5" s="519"/>
      <c r="DB5" s="519"/>
      <c r="DC5" s="519"/>
      <c r="DD5" s="519"/>
    </row>
    <row r="6" spans="1:108" x14ac:dyDescent="0.25">
      <c r="G6" s="531" t="s">
        <v>12659</v>
      </c>
      <c r="H6" s="501">
        <f>SUM(Table819[Column2])</f>
        <v>0</v>
      </c>
      <c r="K6" s="522"/>
      <c r="L6" s="522"/>
      <c r="N6" s="522"/>
      <c r="O6" s="522"/>
      <c r="P6" s="522"/>
      <c r="Q6" s="123" t="s">
        <v>3964</v>
      </c>
      <c r="R6" s="120">
        <v>7.5</v>
      </c>
      <c r="S6" s="597"/>
      <c r="T6" s="123" t="s">
        <v>4621</v>
      </c>
      <c r="U6" s="120">
        <v>12.5</v>
      </c>
      <c r="V6" s="597"/>
      <c r="W6" s="123" t="s">
        <v>3693</v>
      </c>
      <c r="X6" s="120">
        <v>21.25</v>
      </c>
      <c r="Y6" s="597"/>
      <c r="Z6" s="123" t="s">
        <v>3650</v>
      </c>
      <c r="AA6" s="120">
        <v>23.5</v>
      </c>
      <c r="AB6" s="597"/>
      <c r="AC6" s="123" t="s">
        <v>5663</v>
      </c>
      <c r="AD6" s="120">
        <v>25.5</v>
      </c>
      <c r="AE6" s="597"/>
      <c r="AF6" s="123" t="s">
        <v>5104</v>
      </c>
      <c r="AG6" s="120">
        <v>31.5</v>
      </c>
      <c r="AH6" s="597"/>
      <c r="AI6" s="478" t="s">
        <v>5591</v>
      </c>
      <c r="AJ6" s="501">
        <v>22.5</v>
      </c>
      <c r="AK6" s="598"/>
      <c r="AL6" s="123" t="s">
        <v>457</v>
      </c>
      <c r="AM6" s="120">
        <v>24</v>
      </c>
      <c r="AN6" s="597"/>
      <c r="AO6" s="478" t="s">
        <v>5035</v>
      </c>
      <c r="AP6" s="501">
        <v>29</v>
      </c>
      <c r="AQ6" s="597"/>
      <c r="AR6" s="123" t="s">
        <v>79</v>
      </c>
      <c r="AS6" s="120">
        <v>28.25</v>
      </c>
      <c r="AT6" s="597"/>
      <c r="AU6" s="478" t="s">
        <v>5620</v>
      </c>
      <c r="AV6" s="501">
        <v>26.25</v>
      </c>
      <c r="AW6" s="597"/>
      <c r="AX6" s="478" t="s">
        <v>157</v>
      </c>
      <c r="AY6" s="120">
        <v>24</v>
      </c>
      <c r="AZ6" s="597"/>
      <c r="BA6" s="518"/>
      <c r="BB6" s="518"/>
      <c r="BC6" s="518"/>
      <c r="BD6" s="518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519"/>
      <c r="CB6" s="519"/>
      <c r="CC6" s="519"/>
      <c r="CD6" s="519"/>
      <c r="CE6" s="519"/>
      <c r="CF6" s="519"/>
      <c r="CG6" s="519"/>
      <c r="CH6" s="519"/>
      <c r="CI6" s="519"/>
      <c r="CJ6" s="519"/>
      <c r="CK6" s="519"/>
      <c r="CL6" s="519"/>
      <c r="CM6" s="519"/>
      <c r="CN6" s="519"/>
      <c r="CO6" s="519"/>
      <c r="CP6" s="519"/>
      <c r="CQ6" s="519"/>
      <c r="CR6" s="519"/>
      <c r="CS6" s="519"/>
      <c r="CT6" s="519"/>
      <c r="CU6" s="519"/>
      <c r="CV6" s="519"/>
      <c r="CW6" s="519"/>
      <c r="CX6" s="519"/>
      <c r="CY6" s="519"/>
      <c r="CZ6" s="519"/>
      <c r="DA6" s="519"/>
      <c r="DB6" s="519"/>
      <c r="DC6" s="519"/>
      <c r="DD6" s="519"/>
    </row>
    <row r="7" spans="1:108" x14ac:dyDescent="0.25">
      <c r="G7" s="531" t="s">
        <v>469</v>
      </c>
      <c r="H7" s="523">
        <f>H5-H6</f>
        <v>168</v>
      </c>
      <c r="Q7" s="123" t="s">
        <v>5419</v>
      </c>
      <c r="R7" s="120">
        <v>26.75</v>
      </c>
      <c r="S7" s="597"/>
      <c r="T7" s="478" t="s">
        <v>5163</v>
      </c>
      <c r="U7" s="120">
        <v>14</v>
      </c>
      <c r="V7" s="597"/>
      <c r="W7" s="123" t="s">
        <v>3008</v>
      </c>
      <c r="X7" s="120">
        <v>20.5</v>
      </c>
      <c r="Y7" s="597"/>
      <c r="Z7" s="123" t="s">
        <v>4891</v>
      </c>
      <c r="AA7" s="120">
        <v>23.5</v>
      </c>
      <c r="AB7" s="597"/>
      <c r="AC7" s="123" t="s">
        <v>5663</v>
      </c>
      <c r="AD7" s="120">
        <v>25.5</v>
      </c>
      <c r="AE7" s="597"/>
      <c r="AF7" s="123" t="s">
        <v>3708</v>
      </c>
      <c r="AG7" s="120">
        <v>30.5</v>
      </c>
      <c r="AH7" s="597"/>
      <c r="AI7" s="478" t="s">
        <v>5495</v>
      </c>
      <c r="AJ7" s="501">
        <v>22.25</v>
      </c>
      <c r="AK7" s="598"/>
      <c r="AL7" s="123" t="s">
        <v>457</v>
      </c>
      <c r="AM7" s="120">
        <v>24</v>
      </c>
      <c r="AN7" s="597"/>
      <c r="AO7" s="123" t="s">
        <v>5035</v>
      </c>
      <c r="AP7" s="120">
        <v>29</v>
      </c>
      <c r="AQ7" s="597"/>
      <c r="AR7" s="123" t="s">
        <v>5260</v>
      </c>
      <c r="AS7" s="120">
        <v>28</v>
      </c>
      <c r="AT7" s="597"/>
      <c r="AU7" s="478" t="s">
        <v>5717</v>
      </c>
      <c r="AV7" s="501">
        <v>26.25</v>
      </c>
      <c r="AW7" s="597"/>
      <c r="AX7" s="123" t="s">
        <v>157</v>
      </c>
      <c r="AY7" s="120">
        <v>24</v>
      </c>
      <c r="AZ7" s="597"/>
      <c r="BA7" s="518"/>
      <c r="BB7" s="518"/>
      <c r="BC7" s="518"/>
      <c r="BD7" s="518"/>
      <c r="BE7" s="519"/>
      <c r="BF7" s="519"/>
      <c r="BG7" s="519"/>
      <c r="BH7" s="519"/>
      <c r="BI7" s="519"/>
      <c r="BJ7" s="519"/>
      <c r="BK7" s="519"/>
      <c r="BL7" s="519"/>
      <c r="BM7" s="519"/>
      <c r="BN7" s="519"/>
      <c r="BO7" s="519"/>
      <c r="BP7" s="519"/>
      <c r="BQ7" s="519"/>
      <c r="BR7" s="519"/>
      <c r="BS7" s="519"/>
      <c r="BT7" s="519"/>
      <c r="BU7" s="519"/>
      <c r="BV7" s="519"/>
      <c r="BW7" s="519"/>
      <c r="BX7" s="519"/>
      <c r="BY7" s="519"/>
      <c r="BZ7" s="519"/>
      <c r="CA7" s="519"/>
      <c r="CB7" s="519"/>
      <c r="CC7" s="519"/>
      <c r="CD7" s="519"/>
      <c r="CE7" s="519"/>
      <c r="CF7" s="519"/>
      <c r="CG7" s="519"/>
      <c r="CH7" s="519"/>
      <c r="CI7" s="519"/>
      <c r="CJ7" s="519"/>
      <c r="CK7" s="519"/>
      <c r="CL7" s="519"/>
      <c r="CM7" s="519"/>
      <c r="CN7" s="519"/>
      <c r="CO7" s="519"/>
      <c r="CP7" s="519"/>
      <c r="CQ7" s="519"/>
      <c r="CR7" s="519"/>
      <c r="CS7" s="519"/>
      <c r="CT7" s="519"/>
      <c r="CU7" s="519"/>
      <c r="CV7" s="519"/>
      <c r="CW7" s="519"/>
      <c r="CX7" s="519"/>
      <c r="CY7" s="519"/>
      <c r="CZ7" s="519"/>
      <c r="DA7" s="519"/>
      <c r="DB7" s="519"/>
      <c r="DC7" s="519"/>
      <c r="DD7" s="519"/>
    </row>
    <row r="8" spans="1:108" ht="15.75" thickBot="1" x14ac:dyDescent="0.3">
      <c r="G8" s="531" t="s">
        <v>468</v>
      </c>
      <c r="H8" s="469">
        <f>SUM(Table819[Column5])</f>
        <v>0</v>
      </c>
      <c r="Q8" s="123" t="s">
        <v>4985</v>
      </c>
      <c r="R8" s="120">
        <v>26.5</v>
      </c>
      <c r="S8" s="597"/>
      <c r="T8" s="123" t="s">
        <v>312</v>
      </c>
      <c r="U8" s="120">
        <v>6</v>
      </c>
      <c r="V8" s="597"/>
      <c r="W8" s="123" t="s">
        <v>193</v>
      </c>
      <c r="X8" s="120">
        <v>19.75</v>
      </c>
      <c r="Y8" s="597"/>
      <c r="Z8" s="123" t="s">
        <v>424</v>
      </c>
      <c r="AA8" s="120">
        <v>23.25</v>
      </c>
      <c r="AB8" s="597"/>
      <c r="AC8" s="123" t="s">
        <v>5526</v>
      </c>
      <c r="AD8" s="120">
        <v>25.5</v>
      </c>
      <c r="AE8" s="597"/>
      <c r="AF8" s="164" t="s">
        <v>4973</v>
      </c>
      <c r="AG8" s="524">
        <v>11.5</v>
      </c>
      <c r="AH8" s="601"/>
      <c r="AI8" s="478" t="s">
        <v>5719</v>
      </c>
      <c r="AJ8" s="501">
        <v>22</v>
      </c>
      <c r="AK8" s="598"/>
      <c r="AL8" s="478" t="s">
        <v>446</v>
      </c>
      <c r="AM8" s="501">
        <v>23.75</v>
      </c>
      <c r="AN8" s="597"/>
      <c r="AO8" s="486" t="s">
        <v>5706</v>
      </c>
      <c r="AP8" s="503">
        <v>23</v>
      </c>
      <c r="AQ8" s="601"/>
      <c r="AR8" s="486" t="s">
        <v>3078</v>
      </c>
      <c r="AS8" s="503">
        <v>27</v>
      </c>
      <c r="AT8" s="601"/>
      <c r="AU8" s="478" t="s">
        <v>160</v>
      </c>
      <c r="AV8" s="501">
        <v>25.25</v>
      </c>
      <c r="AW8" s="597"/>
      <c r="AX8" s="478" t="s">
        <v>5676</v>
      </c>
      <c r="AY8" s="120">
        <v>24</v>
      </c>
      <c r="AZ8" s="597"/>
      <c r="BA8" s="518"/>
      <c r="BB8" s="518"/>
      <c r="BC8" s="518"/>
      <c r="BD8" s="518"/>
      <c r="BE8" s="519"/>
      <c r="BF8" s="519"/>
      <c r="BG8" s="519"/>
      <c r="BH8" s="519"/>
      <c r="BI8" s="519"/>
      <c r="BJ8" s="519"/>
      <c r="BK8" s="519"/>
      <c r="BL8" s="519"/>
      <c r="BM8" s="519"/>
      <c r="BN8" s="519"/>
      <c r="BO8" s="519"/>
      <c r="BP8" s="519"/>
      <c r="BQ8" s="519"/>
      <c r="BR8" s="519"/>
      <c r="BS8" s="519"/>
      <c r="BT8" s="519"/>
      <c r="BU8" s="519"/>
      <c r="BV8" s="519"/>
      <c r="BW8" s="519"/>
      <c r="BX8" s="519"/>
      <c r="BY8" s="519"/>
      <c r="BZ8" s="519"/>
      <c r="CA8" s="519"/>
      <c r="CB8" s="519"/>
      <c r="CC8" s="519"/>
      <c r="CD8" s="519"/>
      <c r="CE8" s="519"/>
      <c r="CF8" s="519"/>
      <c r="CG8" s="519"/>
      <c r="CH8" s="519"/>
      <c r="CI8" s="519"/>
      <c r="CJ8" s="519"/>
      <c r="CK8" s="519"/>
      <c r="CL8" s="519"/>
      <c r="CM8" s="519"/>
      <c r="CN8" s="519"/>
      <c r="CO8" s="519"/>
      <c r="CP8" s="519"/>
      <c r="CQ8" s="519"/>
      <c r="CR8" s="519"/>
      <c r="CS8" s="519"/>
      <c r="CT8" s="519"/>
      <c r="CU8" s="519"/>
      <c r="CV8" s="519"/>
      <c r="CW8" s="519"/>
      <c r="CX8" s="519"/>
      <c r="CY8" s="519"/>
      <c r="CZ8" s="519"/>
      <c r="DA8" s="519"/>
      <c r="DB8" s="519"/>
      <c r="DC8" s="519"/>
      <c r="DD8" s="519"/>
    </row>
    <row r="9" spans="1:108" ht="15.75" thickBot="1" x14ac:dyDescent="0.3">
      <c r="Q9" s="123" t="s">
        <v>5298</v>
      </c>
      <c r="R9" s="52">
        <v>14.5</v>
      </c>
      <c r="S9" s="597"/>
      <c r="T9" s="123" t="s">
        <v>484</v>
      </c>
      <c r="U9" s="120">
        <v>16.25</v>
      </c>
      <c r="V9" s="597"/>
      <c r="W9" s="123" t="s">
        <v>2106</v>
      </c>
      <c r="X9" s="120">
        <v>18.25</v>
      </c>
      <c r="Y9" s="597"/>
      <c r="Z9" s="123" t="s">
        <v>5392</v>
      </c>
      <c r="AA9" s="120">
        <v>23.25</v>
      </c>
      <c r="AB9" s="597"/>
      <c r="AC9" s="164" t="s">
        <v>4529</v>
      </c>
      <c r="AD9" s="524">
        <v>14.5</v>
      </c>
      <c r="AE9" s="601"/>
      <c r="AF9" s="124" t="s">
        <v>3708</v>
      </c>
      <c r="AG9" s="125">
        <v>30.5</v>
      </c>
      <c r="AH9" s="596" t="s">
        <v>12664</v>
      </c>
      <c r="AI9" s="478" t="s">
        <v>4629</v>
      </c>
      <c r="AJ9" s="501">
        <v>16.75</v>
      </c>
      <c r="AK9" s="598"/>
      <c r="AL9" s="164" t="s">
        <v>120</v>
      </c>
      <c r="AM9" s="524">
        <v>21.25</v>
      </c>
      <c r="AN9" s="601"/>
      <c r="AO9" s="124" t="s">
        <v>319</v>
      </c>
      <c r="AP9" s="125">
        <v>29.25</v>
      </c>
      <c r="AQ9" s="596" t="s">
        <v>12664</v>
      </c>
      <c r="AR9" s="124" t="s">
        <v>79</v>
      </c>
      <c r="AS9" s="125">
        <v>28.25</v>
      </c>
      <c r="AT9" s="596" t="s">
        <v>12664</v>
      </c>
      <c r="AU9" s="164" t="s">
        <v>3442</v>
      </c>
      <c r="AV9" s="524">
        <v>10.75</v>
      </c>
      <c r="AW9" s="601"/>
      <c r="AX9" s="486" t="s">
        <v>446</v>
      </c>
      <c r="AY9" s="524">
        <v>23.75</v>
      </c>
      <c r="AZ9" s="601"/>
      <c r="BA9" s="518"/>
      <c r="BB9" s="518"/>
      <c r="BC9" s="518"/>
      <c r="BD9" s="518"/>
      <c r="BE9" s="519"/>
      <c r="BF9" s="519"/>
      <c r="BG9" s="519"/>
      <c r="BH9" s="519"/>
      <c r="BI9" s="519"/>
      <c r="BJ9" s="519"/>
      <c r="BK9" s="519"/>
      <c r="BL9" s="519"/>
      <c r="BM9" s="519"/>
      <c r="BN9" s="519"/>
      <c r="BO9" s="519"/>
      <c r="BP9" s="519"/>
      <c r="BQ9" s="519"/>
      <c r="BR9" s="519"/>
      <c r="BS9" s="519"/>
      <c r="BT9" s="519"/>
      <c r="BU9" s="519"/>
      <c r="BV9" s="519"/>
      <c r="BW9" s="519"/>
      <c r="BX9" s="519"/>
      <c r="BY9" s="519"/>
      <c r="BZ9" s="519"/>
      <c r="CA9" s="519"/>
      <c r="CB9" s="519"/>
      <c r="CC9" s="519"/>
      <c r="CD9" s="519"/>
      <c r="CE9" s="519"/>
      <c r="CF9" s="519"/>
      <c r="CG9" s="519"/>
      <c r="CH9" s="519"/>
      <c r="CI9" s="519"/>
      <c r="CJ9" s="519"/>
      <c r="CK9" s="519"/>
      <c r="CL9" s="519"/>
      <c r="CM9" s="519"/>
      <c r="CN9" s="519"/>
      <c r="CO9" s="519"/>
      <c r="CP9" s="519"/>
      <c r="CQ9" s="519"/>
      <c r="CR9" s="519"/>
      <c r="CS9" s="519"/>
      <c r="CT9" s="519"/>
      <c r="CU9" s="519"/>
      <c r="CV9" s="519"/>
      <c r="CW9" s="519"/>
      <c r="CX9" s="519"/>
      <c r="CY9" s="519"/>
      <c r="CZ9" s="519"/>
      <c r="DA9" s="519"/>
      <c r="DB9" s="519"/>
      <c r="DC9" s="519"/>
      <c r="DD9" s="519"/>
    </row>
    <row r="10" spans="1:108" ht="15.75" thickBot="1" x14ac:dyDescent="0.3">
      <c r="G10" s="605" t="s">
        <v>14077</v>
      </c>
      <c r="H10" s="533">
        <f>ROUNDDOWN(H6/168,0)</f>
        <v>0</v>
      </c>
      <c r="I10" s="607">
        <f>H11*'AC $744'!$F$5</f>
        <v>0</v>
      </c>
      <c r="Q10" s="123" t="s">
        <v>4930</v>
      </c>
      <c r="R10" s="497">
        <v>27</v>
      </c>
      <c r="S10" s="601"/>
      <c r="T10" s="123" t="s">
        <v>5130</v>
      </c>
      <c r="U10" s="120">
        <v>12.5</v>
      </c>
      <c r="V10" s="597"/>
      <c r="W10" s="123" t="s">
        <v>5321</v>
      </c>
      <c r="X10" s="120">
        <v>20.25</v>
      </c>
      <c r="Y10" s="597"/>
      <c r="Z10" s="164" t="s">
        <v>5485</v>
      </c>
      <c r="AA10" s="524">
        <v>3.25</v>
      </c>
      <c r="AB10" s="601"/>
      <c r="AC10" s="124" t="s">
        <v>5526</v>
      </c>
      <c r="AD10" s="125">
        <v>25.5</v>
      </c>
      <c r="AE10" s="596" t="s">
        <v>12664</v>
      </c>
      <c r="AF10" s="123" t="s">
        <v>5095</v>
      </c>
      <c r="AG10" s="120">
        <v>30.5</v>
      </c>
      <c r="AH10" s="597"/>
      <c r="AI10" s="486" t="s">
        <v>2531</v>
      </c>
      <c r="AJ10" s="503">
        <v>16.25</v>
      </c>
      <c r="AK10" s="601"/>
      <c r="AL10" s="471" t="s">
        <v>5587</v>
      </c>
      <c r="AM10" s="500">
        <v>23.75</v>
      </c>
      <c r="AN10" s="596" t="s">
        <v>12664</v>
      </c>
      <c r="AO10" s="123" t="s">
        <v>319</v>
      </c>
      <c r="AP10" s="120">
        <v>29.25</v>
      </c>
      <c r="AQ10" s="597"/>
      <c r="AR10" s="478" t="s">
        <v>5511</v>
      </c>
      <c r="AS10" s="501">
        <v>28.25</v>
      </c>
      <c r="AT10" s="597"/>
      <c r="AU10" s="471" t="s">
        <v>5395</v>
      </c>
      <c r="AV10" s="500">
        <v>26</v>
      </c>
      <c r="AW10" s="596" t="s">
        <v>12664</v>
      </c>
      <c r="AX10" s="471" t="s">
        <v>5739</v>
      </c>
      <c r="AY10" s="125">
        <v>23.75</v>
      </c>
      <c r="AZ10" s="596" t="s">
        <v>12664</v>
      </c>
      <c r="BA10" s="518"/>
      <c r="BB10" s="518"/>
      <c r="BC10" s="518"/>
      <c r="BD10" s="518"/>
      <c r="BE10" s="519"/>
      <c r="BF10" s="519"/>
      <c r="BG10" s="519"/>
      <c r="BH10" s="519"/>
      <c r="BI10" s="519"/>
      <c r="BJ10" s="519"/>
      <c r="BK10" s="519"/>
      <c r="BL10" s="519"/>
      <c r="BM10" s="519"/>
      <c r="BN10" s="519"/>
      <c r="BO10" s="519"/>
      <c r="BP10" s="519"/>
      <c r="BQ10" s="519"/>
      <c r="BR10" s="519"/>
      <c r="BS10" s="519"/>
      <c r="BT10" s="519"/>
      <c r="BU10" s="519"/>
      <c r="BV10" s="519"/>
      <c r="BW10" s="519"/>
      <c r="BX10" s="519"/>
      <c r="BY10" s="519"/>
      <c r="BZ10" s="519"/>
      <c r="CA10" s="519"/>
      <c r="CB10" s="519"/>
      <c r="CC10" s="519"/>
      <c r="CD10" s="519"/>
      <c r="CE10" s="519"/>
      <c r="CF10" s="519"/>
      <c r="CG10" s="519"/>
      <c r="CH10" s="519"/>
      <c r="CI10" s="519"/>
      <c r="CJ10" s="519"/>
      <c r="CK10" s="519"/>
      <c r="CL10" s="519"/>
      <c r="CM10" s="519"/>
      <c r="CN10" s="519"/>
      <c r="CO10" s="519"/>
      <c r="CP10" s="519"/>
      <c r="CQ10" s="519"/>
      <c r="CR10" s="519"/>
      <c r="CS10" s="519"/>
      <c r="CT10" s="519"/>
      <c r="CU10" s="519"/>
      <c r="CV10" s="519"/>
      <c r="CW10" s="519"/>
      <c r="CX10" s="519"/>
      <c r="CY10" s="519"/>
      <c r="CZ10" s="519"/>
      <c r="DA10" s="519"/>
      <c r="DB10" s="519"/>
      <c r="DC10" s="519"/>
      <c r="DD10" s="519"/>
    </row>
    <row r="11" spans="1:108" ht="15.75" thickBot="1" x14ac:dyDescent="0.3">
      <c r="G11" s="606"/>
      <c r="H11" s="534">
        <f>H10*7</f>
        <v>0</v>
      </c>
      <c r="I11" s="608"/>
      <c r="Q11" s="124" t="s">
        <v>4987</v>
      </c>
      <c r="R11" s="125">
        <v>27.25</v>
      </c>
      <c r="S11" s="596" t="s">
        <v>12664</v>
      </c>
      <c r="T11" s="123" t="s">
        <v>5089</v>
      </c>
      <c r="U11" s="120">
        <v>14.75</v>
      </c>
      <c r="V11" s="597"/>
      <c r="W11" s="164" t="s">
        <v>4636</v>
      </c>
      <c r="X11" s="524">
        <v>20.25</v>
      </c>
      <c r="Y11" s="601"/>
      <c r="Z11" s="124" t="s">
        <v>3941</v>
      </c>
      <c r="AA11" s="125">
        <v>23.75</v>
      </c>
      <c r="AB11" s="596" t="s">
        <v>12664</v>
      </c>
      <c r="AC11" s="123" t="s">
        <v>5358</v>
      </c>
      <c r="AD11" s="120">
        <v>25.5</v>
      </c>
      <c r="AE11" s="597"/>
      <c r="AF11" s="123" t="s">
        <v>4962</v>
      </c>
      <c r="AG11" s="120">
        <v>29.25</v>
      </c>
      <c r="AH11" s="597"/>
      <c r="AI11" s="124" t="s">
        <v>4716</v>
      </c>
      <c r="AJ11" s="125">
        <v>22.75</v>
      </c>
      <c r="AK11" s="596" t="s">
        <v>12664</v>
      </c>
      <c r="AL11" s="478" t="s">
        <v>324</v>
      </c>
      <c r="AM11" s="501">
        <v>23.75</v>
      </c>
      <c r="AN11" s="597"/>
      <c r="AO11" s="478" t="s">
        <v>3141</v>
      </c>
      <c r="AP11" s="501">
        <v>29.25</v>
      </c>
      <c r="AQ11" s="597"/>
      <c r="AR11" s="123" t="s">
        <v>5511</v>
      </c>
      <c r="AS11" s="120">
        <v>28.25</v>
      </c>
      <c r="AT11" s="597"/>
      <c r="AU11" s="123" t="s">
        <v>5395</v>
      </c>
      <c r="AV11" s="120">
        <v>26</v>
      </c>
      <c r="AW11" s="597"/>
      <c r="AX11" s="123" t="s">
        <v>5585</v>
      </c>
      <c r="AY11" s="120">
        <v>23.75</v>
      </c>
      <c r="AZ11" s="597"/>
      <c r="BA11" s="519"/>
      <c r="BB11" s="519"/>
      <c r="BC11" s="519"/>
      <c r="BD11" s="519"/>
      <c r="BE11" s="519"/>
      <c r="BF11" s="519"/>
      <c r="BG11" s="519"/>
      <c r="BH11" s="519"/>
      <c r="BI11" s="519"/>
      <c r="BJ11" s="519"/>
      <c r="BK11" s="519"/>
      <c r="BL11" s="519"/>
      <c r="BM11" s="519"/>
      <c r="BN11" s="519"/>
      <c r="BO11" s="519"/>
      <c r="BP11" s="519"/>
      <c r="BQ11" s="519"/>
      <c r="BR11" s="519"/>
      <c r="BS11" s="519"/>
      <c r="BT11" s="519"/>
      <c r="BU11" s="519"/>
      <c r="BV11" s="519"/>
      <c r="BW11" s="519"/>
      <c r="BX11" s="519"/>
      <c r="BY11" s="519"/>
      <c r="BZ11" s="519"/>
      <c r="CA11" s="519"/>
      <c r="CB11" s="519"/>
      <c r="CC11" s="519"/>
      <c r="CD11" s="519"/>
      <c r="CE11" s="519"/>
      <c r="CF11" s="519"/>
      <c r="CG11" s="519"/>
      <c r="CH11" s="519"/>
      <c r="CI11" s="519"/>
      <c r="CJ11" s="519"/>
      <c r="CK11" s="519"/>
      <c r="CL11" s="519"/>
      <c r="CM11" s="519"/>
      <c r="CN11" s="519"/>
      <c r="CO11" s="519"/>
      <c r="CP11" s="519"/>
      <c r="CQ11" s="519"/>
      <c r="CR11" s="519"/>
      <c r="CS11" s="519"/>
      <c r="CT11" s="519"/>
      <c r="CU11" s="519"/>
      <c r="CV11" s="519"/>
      <c r="CW11" s="519"/>
      <c r="CX11" s="519"/>
      <c r="CY11" s="519"/>
      <c r="CZ11" s="519"/>
      <c r="DA11" s="519"/>
      <c r="DB11" s="519"/>
      <c r="DC11" s="519"/>
      <c r="DD11" s="519"/>
    </row>
    <row r="12" spans="1:108" x14ac:dyDescent="0.25">
      <c r="G12" s="609" t="s">
        <v>14075</v>
      </c>
      <c r="H12" s="170">
        <f>SUM(N2:DJ2)</f>
        <v>0</v>
      </c>
      <c r="I12" s="607">
        <f>H13*'AC $744'!$F$5</f>
        <v>0</v>
      </c>
      <c r="Q12" s="123" t="s">
        <v>5317</v>
      </c>
      <c r="R12" s="120">
        <v>25.75</v>
      </c>
      <c r="S12" s="597"/>
      <c r="T12" s="123" t="s">
        <v>4675</v>
      </c>
      <c r="U12" s="120">
        <v>14.25</v>
      </c>
      <c r="V12" s="597"/>
      <c r="W12" s="124" t="s">
        <v>5267</v>
      </c>
      <c r="X12" s="125">
        <v>17.25</v>
      </c>
      <c r="Y12" s="596" t="s">
        <v>12664</v>
      </c>
      <c r="Z12" s="123" t="s">
        <v>402</v>
      </c>
      <c r="AA12" s="120">
        <v>23.5</v>
      </c>
      <c r="AB12" s="597"/>
      <c r="AC12" s="123" t="s">
        <v>5358</v>
      </c>
      <c r="AD12" s="120">
        <v>25.5</v>
      </c>
      <c r="AE12" s="597"/>
      <c r="AF12" s="123" t="s">
        <v>4962</v>
      </c>
      <c r="AG12" s="120">
        <v>29.25</v>
      </c>
      <c r="AH12" s="597"/>
      <c r="AI12" s="478" t="s">
        <v>5295</v>
      </c>
      <c r="AJ12" s="501">
        <v>22</v>
      </c>
      <c r="AK12" s="597"/>
      <c r="AL12" s="478" t="s">
        <v>306</v>
      </c>
      <c r="AM12" s="501">
        <v>23.75</v>
      </c>
      <c r="AN12" s="597"/>
      <c r="AO12" s="478" t="s">
        <v>5369</v>
      </c>
      <c r="AP12" s="501">
        <v>29.25</v>
      </c>
      <c r="AQ12" s="597"/>
      <c r="AR12" s="478" t="s">
        <v>4779</v>
      </c>
      <c r="AS12" s="501">
        <v>28</v>
      </c>
      <c r="AT12" s="597"/>
      <c r="AU12" s="478" t="s">
        <v>5196</v>
      </c>
      <c r="AV12" s="501">
        <v>26</v>
      </c>
      <c r="AW12" s="597"/>
      <c r="AX12" s="123" t="s">
        <v>5765</v>
      </c>
      <c r="AY12" s="120">
        <v>22.75</v>
      </c>
      <c r="AZ12" s="597"/>
      <c r="BA12" s="519"/>
      <c r="BB12" s="519"/>
      <c r="BC12" s="519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519"/>
      <c r="BV12" s="519"/>
      <c r="BW12" s="519"/>
      <c r="BX12" s="519"/>
      <c r="BY12" s="519"/>
      <c r="BZ12" s="519"/>
      <c r="CA12" s="519"/>
      <c r="CB12" s="519"/>
      <c r="CC12" s="519"/>
      <c r="CD12" s="519"/>
      <c r="CE12" s="519"/>
      <c r="CF12" s="519"/>
      <c r="CG12" s="519"/>
      <c r="CH12" s="519"/>
      <c r="CI12" s="519"/>
      <c r="CJ12" s="519"/>
      <c r="CK12" s="519"/>
      <c r="CL12" s="519"/>
      <c r="CM12" s="519"/>
      <c r="CN12" s="519"/>
      <c r="CO12" s="519"/>
      <c r="CP12" s="519"/>
      <c r="CQ12" s="519"/>
      <c r="CR12" s="519"/>
      <c r="CS12" s="519"/>
      <c r="CT12" s="519"/>
      <c r="CU12" s="519"/>
      <c r="CV12" s="519"/>
      <c r="CW12" s="519"/>
      <c r="CX12" s="519"/>
      <c r="CY12" s="519"/>
      <c r="CZ12" s="519"/>
      <c r="DA12" s="519"/>
      <c r="DB12" s="519"/>
      <c r="DC12" s="519"/>
      <c r="DD12" s="519"/>
    </row>
    <row r="13" spans="1:108" x14ac:dyDescent="0.25">
      <c r="G13" s="610"/>
      <c r="H13" s="534">
        <f>H12*7</f>
        <v>0</v>
      </c>
      <c r="I13" s="608"/>
      <c r="Q13" s="123" t="s">
        <v>4960</v>
      </c>
      <c r="R13" s="120">
        <v>12.75</v>
      </c>
      <c r="S13" s="597"/>
      <c r="T13" s="123" t="s">
        <v>4977</v>
      </c>
      <c r="U13" s="120">
        <v>13.75</v>
      </c>
      <c r="V13" s="597"/>
      <c r="W13" s="123" t="s">
        <v>2614</v>
      </c>
      <c r="X13" s="120">
        <v>20.75</v>
      </c>
      <c r="Y13" s="597"/>
      <c r="Z13" s="123" t="s">
        <v>3650</v>
      </c>
      <c r="AA13" s="120">
        <v>23.5</v>
      </c>
      <c r="AB13" s="597"/>
      <c r="AC13" s="123" t="s">
        <v>4835</v>
      </c>
      <c r="AD13" s="120">
        <v>25.5</v>
      </c>
      <c r="AE13" s="597"/>
      <c r="AF13" s="123" t="s">
        <v>3640</v>
      </c>
      <c r="AG13" s="120">
        <v>28</v>
      </c>
      <c r="AH13" s="597"/>
      <c r="AI13" s="478" t="s">
        <v>5304</v>
      </c>
      <c r="AJ13" s="501">
        <v>21.75</v>
      </c>
      <c r="AK13" s="597"/>
      <c r="AL13" s="478" t="s">
        <v>5739</v>
      </c>
      <c r="AM13" s="501">
        <v>23.75</v>
      </c>
      <c r="AN13" s="597"/>
      <c r="AO13" s="123" t="s">
        <v>5369</v>
      </c>
      <c r="AP13" s="120">
        <v>29.25</v>
      </c>
      <c r="AQ13" s="597"/>
      <c r="AR13" s="123" t="s">
        <v>4779</v>
      </c>
      <c r="AS13" s="120">
        <v>28</v>
      </c>
      <c r="AT13" s="597"/>
      <c r="AU13" s="123" t="s">
        <v>5196</v>
      </c>
      <c r="AV13" s="120">
        <v>26</v>
      </c>
      <c r="AW13" s="597"/>
      <c r="AX13" s="123" t="s">
        <v>430</v>
      </c>
      <c r="AY13" s="120">
        <v>21.5</v>
      </c>
      <c r="AZ13" s="597"/>
      <c r="BA13" s="519"/>
      <c r="BB13" s="519"/>
      <c r="BC13" s="519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519"/>
      <c r="BO13" s="519"/>
      <c r="BP13" s="519"/>
      <c r="BQ13" s="519"/>
      <c r="BR13" s="519"/>
      <c r="BS13" s="519"/>
      <c r="BT13" s="519"/>
      <c r="BU13" s="519"/>
      <c r="BV13" s="519"/>
      <c r="BW13" s="519"/>
      <c r="BX13" s="519"/>
      <c r="BY13" s="519"/>
      <c r="BZ13" s="519"/>
      <c r="CA13" s="519"/>
      <c r="CB13" s="519"/>
      <c r="CC13" s="519"/>
      <c r="CD13" s="519"/>
      <c r="CE13" s="519"/>
      <c r="CF13" s="519"/>
      <c r="CG13" s="519"/>
      <c r="CH13" s="519"/>
      <c r="CI13" s="519"/>
      <c r="CJ13" s="519"/>
      <c r="CK13" s="519"/>
      <c r="CL13" s="519"/>
      <c r="CM13" s="519"/>
      <c r="CN13" s="519"/>
      <c r="CO13" s="519"/>
      <c r="CP13" s="519"/>
      <c r="CQ13" s="519"/>
      <c r="CR13" s="519"/>
      <c r="CS13" s="519"/>
      <c r="CT13" s="519"/>
      <c r="CU13" s="519"/>
      <c r="CV13" s="519"/>
      <c r="CW13" s="519"/>
      <c r="CX13" s="519"/>
      <c r="CY13" s="519"/>
      <c r="CZ13" s="519"/>
      <c r="DA13" s="519"/>
      <c r="DB13" s="519"/>
      <c r="DC13" s="519"/>
      <c r="DD13" s="519"/>
    </row>
    <row r="14" spans="1:108" ht="15.75" thickBot="1" x14ac:dyDescent="0.3">
      <c r="G14" s="613" t="s">
        <v>14076</v>
      </c>
      <c r="H14" s="170">
        <f>SUM(N1:DJ1)</f>
        <v>0</v>
      </c>
      <c r="I14" s="607">
        <f>H15*'AC $744'!$F$5</f>
        <v>0</v>
      </c>
      <c r="Q14" s="123" t="s">
        <v>5419</v>
      </c>
      <c r="R14" s="120">
        <v>26.75</v>
      </c>
      <c r="S14" s="597"/>
      <c r="T14" s="123" t="s">
        <v>5147</v>
      </c>
      <c r="U14" s="120">
        <v>13.75</v>
      </c>
      <c r="V14" s="597"/>
      <c r="W14" s="123" t="s">
        <v>359</v>
      </c>
      <c r="X14" s="120">
        <v>18.75</v>
      </c>
      <c r="Y14" s="597"/>
      <c r="Z14" s="123" t="s">
        <v>424</v>
      </c>
      <c r="AA14" s="120">
        <v>23.25</v>
      </c>
      <c r="AB14" s="597"/>
      <c r="AC14" s="123" t="s">
        <v>4835</v>
      </c>
      <c r="AD14" s="120">
        <v>25.5</v>
      </c>
      <c r="AE14" s="597"/>
      <c r="AF14" s="164" t="s">
        <v>3984</v>
      </c>
      <c r="AG14" s="524">
        <v>20.5</v>
      </c>
      <c r="AH14" s="601"/>
      <c r="AI14" s="478" t="s">
        <v>430</v>
      </c>
      <c r="AJ14" s="501">
        <v>21.5</v>
      </c>
      <c r="AK14" s="597"/>
      <c r="AL14" s="478" t="s">
        <v>5651</v>
      </c>
      <c r="AM14" s="501">
        <v>23.75</v>
      </c>
      <c r="AN14" s="597"/>
      <c r="AO14" s="486" t="s">
        <v>5475</v>
      </c>
      <c r="AP14" s="503">
        <v>21.75</v>
      </c>
      <c r="AQ14" s="601"/>
      <c r="AR14" s="478" t="s">
        <v>4429</v>
      </c>
      <c r="AS14" s="501">
        <v>16.5</v>
      </c>
      <c r="AT14" s="597"/>
      <c r="AU14" s="123" t="s">
        <v>5196</v>
      </c>
      <c r="AV14" s="120">
        <v>26</v>
      </c>
      <c r="AW14" s="597"/>
      <c r="AX14" s="478" t="s">
        <v>9</v>
      </c>
      <c r="AY14" s="120">
        <v>20.25</v>
      </c>
      <c r="AZ14" s="597"/>
      <c r="BA14" s="519"/>
      <c r="BB14" s="519"/>
      <c r="BC14" s="519"/>
      <c r="BD14" s="519"/>
      <c r="BE14" s="519"/>
      <c r="BF14" s="519"/>
      <c r="BG14" s="519"/>
      <c r="BH14" s="519"/>
      <c r="BI14" s="519"/>
      <c r="BJ14" s="519"/>
      <c r="BK14" s="519"/>
      <c r="BL14" s="519"/>
      <c r="BM14" s="519"/>
      <c r="BN14" s="519"/>
      <c r="BO14" s="519"/>
      <c r="BP14" s="519"/>
      <c r="BQ14" s="519"/>
      <c r="BR14" s="519"/>
      <c r="BS14" s="519"/>
      <c r="BT14" s="519"/>
      <c r="BU14" s="519"/>
      <c r="BV14" s="519"/>
      <c r="BW14" s="519"/>
      <c r="BX14" s="519"/>
      <c r="BY14" s="519"/>
      <c r="BZ14" s="519"/>
      <c r="CA14" s="519"/>
      <c r="CB14" s="519"/>
      <c r="CC14" s="519"/>
      <c r="CD14" s="519"/>
      <c r="CE14" s="519"/>
      <c r="CF14" s="519"/>
      <c r="CG14" s="519"/>
      <c r="CH14" s="519"/>
      <c r="CI14" s="519"/>
      <c r="CJ14" s="519"/>
      <c r="CK14" s="519"/>
      <c r="CL14" s="519"/>
      <c r="CM14" s="519"/>
      <c r="CN14" s="519"/>
      <c r="CO14" s="519"/>
      <c r="CP14" s="519"/>
      <c r="CQ14" s="519"/>
      <c r="CR14" s="519"/>
      <c r="CS14" s="519"/>
      <c r="CT14" s="519"/>
      <c r="CU14" s="519"/>
      <c r="CV14" s="519"/>
      <c r="CW14" s="519"/>
      <c r="CX14" s="519"/>
      <c r="CY14" s="519"/>
      <c r="CZ14" s="519"/>
      <c r="DA14" s="519"/>
      <c r="DB14" s="519"/>
      <c r="DC14" s="519"/>
      <c r="DD14" s="519"/>
    </row>
    <row r="15" spans="1:108" ht="15.75" thickBot="1" x14ac:dyDescent="0.3">
      <c r="G15" s="614"/>
      <c r="H15" s="534">
        <f>H14*7</f>
        <v>0</v>
      </c>
      <c r="I15" s="608"/>
      <c r="Q15" s="123" t="s">
        <v>4456</v>
      </c>
      <c r="R15" s="120">
        <v>7.5</v>
      </c>
      <c r="S15" s="597"/>
      <c r="T15" s="164" t="s">
        <v>4058</v>
      </c>
      <c r="U15" s="524">
        <v>12</v>
      </c>
      <c r="V15" s="601"/>
      <c r="W15" s="123" t="s">
        <v>3868</v>
      </c>
      <c r="X15" s="120">
        <v>18.25</v>
      </c>
      <c r="Y15" s="597"/>
      <c r="Z15" s="123" t="s">
        <v>5392</v>
      </c>
      <c r="AA15" s="120">
        <v>23.25</v>
      </c>
      <c r="AB15" s="597"/>
      <c r="AC15" s="123" t="s">
        <v>5602</v>
      </c>
      <c r="AD15" s="120">
        <v>24.5</v>
      </c>
      <c r="AE15" s="597"/>
      <c r="AF15" s="124" t="s">
        <v>3640</v>
      </c>
      <c r="AG15" s="125">
        <v>28</v>
      </c>
      <c r="AH15" s="596" t="s">
        <v>12664</v>
      </c>
      <c r="AI15" s="478" t="s">
        <v>5068</v>
      </c>
      <c r="AJ15" s="501">
        <v>21.5</v>
      </c>
      <c r="AK15" s="597"/>
      <c r="AL15" s="478" t="s">
        <v>5585</v>
      </c>
      <c r="AM15" s="501">
        <v>23.75</v>
      </c>
      <c r="AN15" s="597"/>
      <c r="AO15" s="471" t="s">
        <v>435</v>
      </c>
      <c r="AP15" s="500">
        <v>29</v>
      </c>
      <c r="AQ15" s="596" t="s">
        <v>12664</v>
      </c>
      <c r="AR15" s="486" t="s">
        <v>3442</v>
      </c>
      <c r="AS15" s="503">
        <v>10.75</v>
      </c>
      <c r="AT15" s="601"/>
      <c r="AU15" s="478" t="s">
        <v>4756</v>
      </c>
      <c r="AV15" s="501">
        <v>26</v>
      </c>
      <c r="AW15" s="597"/>
      <c r="AX15" s="478" t="s">
        <v>5768</v>
      </c>
      <c r="AY15" s="120">
        <v>18.75</v>
      </c>
      <c r="AZ15" s="597"/>
      <c r="BA15" s="519"/>
      <c r="BB15" s="519"/>
      <c r="BC15" s="519"/>
      <c r="BD15" s="519"/>
      <c r="BE15" s="519"/>
      <c r="BF15" s="519"/>
      <c r="BG15" s="519"/>
      <c r="BH15" s="519"/>
      <c r="BI15" s="519"/>
      <c r="BJ15" s="519"/>
      <c r="BK15" s="519"/>
      <c r="BL15" s="519"/>
      <c r="BM15" s="519"/>
      <c r="BN15" s="519"/>
      <c r="BO15" s="519"/>
      <c r="BP15" s="519"/>
      <c r="BQ15" s="519"/>
      <c r="BR15" s="519"/>
      <c r="BS15" s="519"/>
      <c r="BT15" s="519"/>
      <c r="BU15" s="519"/>
      <c r="BV15" s="519"/>
      <c r="BW15" s="519"/>
      <c r="BX15" s="519"/>
      <c r="BY15" s="519"/>
      <c r="BZ15" s="519"/>
      <c r="CA15" s="519"/>
      <c r="CB15" s="519"/>
      <c r="CC15" s="519"/>
      <c r="CD15" s="519"/>
      <c r="CE15" s="519"/>
      <c r="CF15" s="519"/>
      <c r="CG15" s="519"/>
      <c r="CH15" s="519"/>
      <c r="CI15" s="519"/>
      <c r="CJ15" s="519"/>
      <c r="CK15" s="519"/>
      <c r="CL15" s="519"/>
      <c r="CM15" s="519"/>
      <c r="CN15" s="519"/>
      <c r="CO15" s="519"/>
      <c r="CP15" s="519"/>
      <c r="CQ15" s="519"/>
      <c r="CR15" s="519"/>
      <c r="CS15" s="519"/>
      <c r="CT15" s="519"/>
      <c r="CU15" s="519"/>
      <c r="CV15" s="519"/>
      <c r="CW15" s="519"/>
      <c r="CX15" s="519"/>
      <c r="CY15" s="519"/>
      <c r="CZ15" s="519"/>
      <c r="DA15" s="519"/>
      <c r="DB15" s="519"/>
      <c r="DC15" s="519"/>
      <c r="DD15" s="519"/>
    </row>
    <row r="16" spans="1:108" ht="15.75" thickBot="1" x14ac:dyDescent="0.3">
      <c r="G16" s="611" t="s">
        <v>14074</v>
      </c>
      <c r="H16" s="533">
        <v>0</v>
      </c>
      <c r="I16" s="607">
        <f>H16*'AC $744'!$F$5</f>
        <v>0</v>
      </c>
      <c r="Q16" s="123" t="s">
        <v>4985</v>
      </c>
      <c r="R16" s="120">
        <v>26.5</v>
      </c>
      <c r="S16" s="597"/>
      <c r="T16" s="124" t="s">
        <v>4945</v>
      </c>
      <c r="U16" s="125">
        <v>10.25</v>
      </c>
      <c r="V16" s="596" t="s">
        <v>12664</v>
      </c>
      <c r="W16" s="123" t="s">
        <v>1769</v>
      </c>
      <c r="X16" s="120">
        <v>18.75</v>
      </c>
      <c r="Y16" s="597"/>
      <c r="Z16" s="123" t="s">
        <v>5401</v>
      </c>
      <c r="AA16" s="120">
        <v>23.25</v>
      </c>
      <c r="AB16" s="597"/>
      <c r="AC16" s="164" t="s">
        <v>3515</v>
      </c>
      <c r="AD16" s="524">
        <v>16</v>
      </c>
      <c r="AE16" s="601"/>
      <c r="AF16" s="123" t="s">
        <v>5483</v>
      </c>
      <c r="AG16" s="120">
        <v>28</v>
      </c>
      <c r="AH16" s="597"/>
      <c r="AI16" s="478" t="s">
        <v>120</v>
      </c>
      <c r="AJ16" s="501">
        <v>21.25</v>
      </c>
      <c r="AK16" s="597"/>
      <c r="AL16" s="123" t="s">
        <v>4548</v>
      </c>
      <c r="AM16" s="120">
        <v>17.5</v>
      </c>
      <c r="AN16" s="597"/>
      <c r="AO16" s="123" t="s">
        <v>435</v>
      </c>
      <c r="AP16" s="120">
        <v>29</v>
      </c>
      <c r="AQ16" s="597"/>
      <c r="AR16" s="471" t="s">
        <v>1272</v>
      </c>
      <c r="AS16" s="500">
        <v>28</v>
      </c>
      <c r="AT16" s="596" t="s">
        <v>12664</v>
      </c>
      <c r="AU16" s="164" t="s">
        <v>3595</v>
      </c>
      <c r="AV16" s="524">
        <v>12</v>
      </c>
      <c r="AW16" s="601"/>
      <c r="AX16" s="478" t="s">
        <v>5732</v>
      </c>
      <c r="AY16" s="120">
        <v>18.75</v>
      </c>
      <c r="AZ16" s="597"/>
      <c r="BA16" s="519"/>
      <c r="BB16" s="519"/>
      <c r="BC16" s="519"/>
      <c r="BD16" s="519"/>
      <c r="BE16" s="519"/>
      <c r="BF16" s="519"/>
      <c r="BG16" s="519"/>
      <c r="BH16" s="519"/>
      <c r="BI16" s="519"/>
      <c r="BJ16" s="519"/>
      <c r="BK16" s="519"/>
      <c r="BL16" s="519"/>
      <c r="BM16" s="519"/>
      <c r="BN16" s="519"/>
      <c r="BO16" s="519"/>
      <c r="BP16" s="519"/>
      <c r="BQ16" s="519"/>
      <c r="BR16" s="519"/>
      <c r="BS16" s="519"/>
      <c r="BT16" s="519"/>
      <c r="BU16" s="519"/>
      <c r="BV16" s="519"/>
      <c r="BW16" s="519"/>
      <c r="BX16" s="519"/>
      <c r="BY16" s="519"/>
      <c r="BZ16" s="519"/>
      <c r="CA16" s="519"/>
      <c r="CB16" s="519"/>
      <c r="CC16" s="519"/>
      <c r="CD16" s="519"/>
      <c r="CE16" s="519"/>
      <c r="CF16" s="519"/>
      <c r="CG16" s="519"/>
      <c r="CH16" s="519"/>
      <c r="CI16" s="519"/>
      <c r="CJ16" s="519"/>
      <c r="CK16" s="519"/>
      <c r="CL16" s="519"/>
      <c r="CM16" s="519"/>
      <c r="CN16" s="519"/>
      <c r="CO16" s="519"/>
      <c r="CP16" s="519"/>
      <c r="CQ16" s="519"/>
      <c r="CR16" s="519"/>
      <c r="CS16" s="519"/>
      <c r="CT16" s="519"/>
      <c r="CU16" s="519"/>
      <c r="CV16" s="519"/>
      <c r="CW16" s="519"/>
      <c r="CX16" s="519"/>
      <c r="CY16" s="519"/>
      <c r="CZ16" s="519"/>
      <c r="DA16" s="519"/>
      <c r="DB16" s="519"/>
      <c r="DC16" s="519"/>
      <c r="DD16" s="519"/>
    </row>
    <row r="17" spans="7:108" ht="15.75" thickBot="1" x14ac:dyDescent="0.3">
      <c r="G17" s="615"/>
      <c r="H17" s="136">
        <f>H16/7</f>
        <v>0</v>
      </c>
      <c r="I17" s="616"/>
      <c r="Q17" s="123" t="s">
        <v>5298</v>
      </c>
      <c r="R17" s="52">
        <v>14.5</v>
      </c>
      <c r="S17" s="597"/>
      <c r="T17" s="123" t="s">
        <v>408</v>
      </c>
      <c r="U17" s="120">
        <v>11.75</v>
      </c>
      <c r="V17" s="597"/>
      <c r="W17" s="478" t="s">
        <v>5452</v>
      </c>
      <c r="X17" s="120">
        <v>18</v>
      </c>
      <c r="Y17" s="597"/>
      <c r="Z17" s="123" t="s">
        <v>5411</v>
      </c>
      <c r="AA17" s="120">
        <v>22.25</v>
      </c>
      <c r="AB17" s="597"/>
      <c r="AC17" s="124" t="s">
        <v>5457</v>
      </c>
      <c r="AD17" s="125">
        <v>25.5</v>
      </c>
      <c r="AE17" s="596" t="s">
        <v>12664</v>
      </c>
      <c r="AF17" s="123" t="s">
        <v>5483</v>
      </c>
      <c r="AG17" s="120">
        <v>28</v>
      </c>
      <c r="AH17" s="597"/>
      <c r="AI17" s="478" t="s">
        <v>5570</v>
      </c>
      <c r="AJ17" s="501">
        <v>20.75</v>
      </c>
      <c r="AK17" s="597"/>
      <c r="AL17" s="164" t="s">
        <v>103</v>
      </c>
      <c r="AM17" s="524">
        <v>8</v>
      </c>
      <c r="AN17" s="601"/>
      <c r="AO17" s="478" t="s">
        <v>320</v>
      </c>
      <c r="AP17" s="501">
        <v>29</v>
      </c>
      <c r="AQ17" s="597"/>
      <c r="AR17" s="123" t="s">
        <v>1272</v>
      </c>
      <c r="AS17" s="120">
        <v>28</v>
      </c>
      <c r="AT17" s="597"/>
      <c r="AU17" s="124" t="s">
        <v>4756</v>
      </c>
      <c r="AV17" s="125">
        <v>26</v>
      </c>
      <c r="AW17" s="596" t="s">
        <v>12664</v>
      </c>
      <c r="AX17" s="486" t="s">
        <v>5703</v>
      </c>
      <c r="AY17" s="524">
        <v>18.5</v>
      </c>
      <c r="AZ17" s="601"/>
      <c r="BA17" s="519"/>
      <c r="BB17" s="519"/>
      <c r="BC17" s="519"/>
      <c r="BD17" s="519"/>
      <c r="BE17" s="519"/>
      <c r="BF17" s="519"/>
      <c r="BG17" s="519"/>
      <c r="BH17" s="519"/>
      <c r="BI17" s="519"/>
      <c r="BJ17" s="519"/>
      <c r="BK17" s="519"/>
      <c r="BL17" s="519"/>
      <c r="BM17" s="519"/>
      <c r="BN17" s="519"/>
      <c r="BO17" s="519"/>
      <c r="BP17" s="519"/>
      <c r="BQ17" s="519"/>
      <c r="BR17" s="519"/>
      <c r="BS17" s="519"/>
      <c r="BT17" s="519"/>
      <c r="BU17" s="519"/>
      <c r="BV17" s="519"/>
      <c r="BW17" s="519"/>
      <c r="BX17" s="519"/>
      <c r="BY17" s="519"/>
      <c r="BZ17" s="519"/>
      <c r="CA17" s="519"/>
      <c r="CB17" s="519"/>
      <c r="CC17" s="519"/>
      <c r="CD17" s="519"/>
      <c r="CE17" s="519"/>
      <c r="CF17" s="519"/>
      <c r="CG17" s="519"/>
      <c r="CH17" s="519"/>
      <c r="CI17" s="519"/>
      <c r="CJ17" s="519"/>
      <c r="CK17" s="519"/>
      <c r="CL17" s="519"/>
      <c r="CM17" s="519"/>
      <c r="CN17" s="519"/>
      <c r="CO17" s="519"/>
      <c r="CP17" s="519"/>
      <c r="CQ17" s="519"/>
      <c r="CR17" s="519"/>
      <c r="CS17" s="519"/>
      <c r="CT17" s="519"/>
      <c r="CU17" s="519"/>
      <c r="CV17" s="519"/>
      <c r="CW17" s="519"/>
      <c r="CX17" s="519"/>
      <c r="CY17" s="519"/>
      <c r="CZ17" s="519"/>
      <c r="DA17" s="519"/>
      <c r="DB17" s="519"/>
      <c r="DC17" s="519"/>
      <c r="DD17" s="519"/>
    </row>
    <row r="18" spans="7:108" ht="15.75" thickBot="1" x14ac:dyDescent="0.3">
      <c r="G18" s="611" t="s">
        <v>12668</v>
      </c>
      <c r="H18" s="533">
        <f>H15-H16+H21</f>
        <v>0</v>
      </c>
      <c r="I18" s="607">
        <f>H18*'AC $744'!$F$5</f>
        <v>0</v>
      </c>
      <c r="Q18" s="164" t="s">
        <v>4930</v>
      </c>
      <c r="R18" s="497">
        <v>27</v>
      </c>
      <c r="S18" s="601"/>
      <c r="T18" s="478" t="s">
        <v>381</v>
      </c>
      <c r="U18" s="120">
        <v>11.75</v>
      </c>
      <c r="V18" s="597"/>
      <c r="W18" s="123" t="s">
        <v>193</v>
      </c>
      <c r="X18" s="120">
        <v>19.75</v>
      </c>
      <c r="Y18" s="597"/>
      <c r="Z18" s="164" t="s">
        <v>5509</v>
      </c>
      <c r="AA18" s="524">
        <v>5.25</v>
      </c>
      <c r="AB18" s="601"/>
      <c r="AC18" s="123" t="s">
        <v>5457</v>
      </c>
      <c r="AD18" s="120">
        <v>25.5</v>
      </c>
      <c r="AE18" s="597"/>
      <c r="AF18" s="123" t="s">
        <v>4198</v>
      </c>
      <c r="AG18" s="120">
        <v>27.5</v>
      </c>
      <c r="AH18" s="597"/>
      <c r="AI18" s="164" t="s">
        <v>209</v>
      </c>
      <c r="AJ18" s="524">
        <v>16.5</v>
      </c>
      <c r="AK18" s="601"/>
      <c r="AL18" s="124" t="s">
        <v>5587</v>
      </c>
      <c r="AM18" s="125">
        <v>23.75</v>
      </c>
      <c r="AN18" s="596" t="s">
        <v>12664</v>
      </c>
      <c r="AO18" s="123" t="s">
        <v>320</v>
      </c>
      <c r="AP18" s="120">
        <v>29</v>
      </c>
      <c r="AQ18" s="597"/>
      <c r="AR18" s="478" t="s">
        <v>364</v>
      </c>
      <c r="AS18" s="501">
        <v>27.75</v>
      </c>
      <c r="AT18" s="597"/>
      <c r="AU18" s="123" t="s">
        <v>4756</v>
      </c>
      <c r="AV18" s="120">
        <v>26</v>
      </c>
      <c r="AW18" s="597"/>
      <c r="AX18" s="123" t="s">
        <v>388</v>
      </c>
      <c r="AY18" s="120">
        <v>24.75</v>
      </c>
      <c r="AZ18" s="596" t="s">
        <v>12664</v>
      </c>
      <c r="BA18" s="519"/>
      <c r="BB18" s="519"/>
      <c r="BC18" s="519"/>
      <c r="BD18" s="519"/>
      <c r="BE18" s="519"/>
      <c r="BF18" s="519"/>
      <c r="BG18" s="519"/>
      <c r="BH18" s="519"/>
      <c r="BI18" s="519"/>
      <c r="BJ18" s="519"/>
      <c r="BK18" s="519"/>
      <c r="BL18" s="519"/>
      <c r="BM18" s="519"/>
      <c r="BN18" s="519"/>
      <c r="BO18" s="519"/>
      <c r="BP18" s="519"/>
      <c r="BQ18" s="519"/>
      <c r="BR18" s="519"/>
      <c r="BS18" s="519"/>
      <c r="BT18" s="519"/>
      <c r="BU18" s="519"/>
      <c r="BV18" s="519"/>
      <c r="BW18" s="519"/>
      <c r="BX18" s="519"/>
      <c r="BY18" s="519"/>
      <c r="BZ18" s="519"/>
      <c r="CA18" s="519"/>
      <c r="CB18" s="519"/>
      <c r="CC18" s="519"/>
      <c r="CD18" s="519"/>
      <c r="CE18" s="519"/>
      <c r="CF18" s="519"/>
      <c r="CG18" s="519"/>
      <c r="CH18" s="519"/>
      <c r="CI18" s="519"/>
      <c r="CJ18" s="519"/>
      <c r="CK18" s="519"/>
      <c r="CL18" s="519"/>
      <c r="CM18" s="519"/>
      <c r="CN18" s="519"/>
      <c r="CO18" s="519"/>
      <c r="CP18" s="519"/>
      <c r="CQ18" s="519"/>
      <c r="CR18" s="519"/>
      <c r="CS18" s="519"/>
      <c r="CT18" s="519"/>
      <c r="CU18" s="519"/>
      <c r="CV18" s="519"/>
      <c r="CW18" s="519"/>
      <c r="CX18" s="519"/>
      <c r="CY18" s="519"/>
      <c r="CZ18" s="519"/>
      <c r="DA18" s="519"/>
      <c r="DB18" s="519"/>
      <c r="DC18" s="519"/>
      <c r="DD18" s="519"/>
    </row>
    <row r="19" spans="7:108" x14ac:dyDescent="0.25">
      <c r="G19" s="612"/>
      <c r="H19" s="534">
        <f>H18/7</f>
        <v>0</v>
      </c>
      <c r="I19" s="608"/>
      <c r="Q19" s="471" t="s">
        <v>2692</v>
      </c>
      <c r="R19" s="516">
        <v>31</v>
      </c>
      <c r="S19" s="602" t="s">
        <v>12664</v>
      </c>
      <c r="T19" s="123" t="s">
        <v>399</v>
      </c>
      <c r="U19" s="120">
        <v>4</v>
      </c>
      <c r="V19" s="597"/>
      <c r="W19" s="123" t="s">
        <v>5321</v>
      </c>
      <c r="X19" s="120">
        <v>20.25</v>
      </c>
      <c r="Y19" s="597"/>
      <c r="Z19" s="124" t="s">
        <v>3941</v>
      </c>
      <c r="AA19" s="125">
        <v>23.75</v>
      </c>
      <c r="AB19" s="596" t="s">
        <v>12664</v>
      </c>
      <c r="AC19" s="123" t="s">
        <v>5457</v>
      </c>
      <c r="AD19" s="120">
        <v>25.5</v>
      </c>
      <c r="AE19" s="597"/>
      <c r="AF19" s="123" t="s">
        <v>4198</v>
      </c>
      <c r="AG19" s="120">
        <v>27.5</v>
      </c>
      <c r="AH19" s="597"/>
      <c r="AI19" s="124" t="s">
        <v>5295</v>
      </c>
      <c r="AJ19" s="125">
        <v>22</v>
      </c>
      <c r="AK19" s="596" t="s">
        <v>12664</v>
      </c>
      <c r="AL19" s="123" t="s">
        <v>324</v>
      </c>
      <c r="AM19" s="120">
        <v>23.75</v>
      </c>
      <c r="AN19" s="597"/>
      <c r="AO19" s="478" t="s">
        <v>4935</v>
      </c>
      <c r="AP19" s="501">
        <v>29</v>
      </c>
      <c r="AQ19" s="597"/>
      <c r="AR19" s="123" t="s">
        <v>364</v>
      </c>
      <c r="AS19" s="120">
        <v>27.75</v>
      </c>
      <c r="AT19" s="597"/>
      <c r="AU19" s="478" t="s">
        <v>3950</v>
      </c>
      <c r="AV19" s="501">
        <v>25.75</v>
      </c>
      <c r="AW19" s="597"/>
      <c r="AX19" s="478" t="s">
        <v>5019</v>
      </c>
      <c r="AY19" s="120">
        <v>24.5</v>
      </c>
      <c r="AZ19" s="597"/>
      <c r="BA19" s="519"/>
      <c r="BB19" s="519"/>
      <c r="BC19" s="519"/>
      <c r="BD19" s="519"/>
      <c r="BE19" s="519"/>
      <c r="BF19" s="519"/>
      <c r="BG19" s="519"/>
      <c r="BH19" s="519"/>
      <c r="BI19" s="519"/>
      <c r="BJ19" s="519"/>
      <c r="BK19" s="519"/>
      <c r="BL19" s="519"/>
      <c r="BM19" s="519"/>
      <c r="BN19" s="519"/>
      <c r="BO19" s="519"/>
      <c r="BP19" s="519"/>
      <c r="BQ19" s="519"/>
      <c r="BR19" s="519"/>
      <c r="BS19" s="519"/>
      <c r="BT19" s="519"/>
      <c r="BU19" s="519"/>
      <c r="BV19" s="519"/>
      <c r="BW19" s="519"/>
      <c r="BX19" s="519"/>
      <c r="BY19" s="519"/>
      <c r="BZ19" s="519"/>
      <c r="CA19" s="519"/>
      <c r="CB19" s="519"/>
      <c r="CC19" s="519"/>
      <c r="CD19" s="519"/>
      <c r="CE19" s="519"/>
      <c r="CF19" s="519"/>
      <c r="CG19" s="519"/>
      <c r="CH19" s="519"/>
      <c r="CI19" s="519"/>
      <c r="CJ19" s="519"/>
      <c r="CK19" s="519"/>
      <c r="CL19" s="519"/>
      <c r="CM19" s="519"/>
      <c r="CN19" s="519"/>
      <c r="CO19" s="519"/>
      <c r="CP19" s="519"/>
      <c r="CQ19" s="519"/>
      <c r="CR19" s="519"/>
      <c r="CS19" s="519"/>
      <c r="CT19" s="519"/>
      <c r="CU19" s="519"/>
      <c r="CV19" s="519"/>
      <c r="CW19" s="519"/>
      <c r="CX19" s="519"/>
      <c r="CY19" s="519"/>
      <c r="CZ19" s="519"/>
      <c r="DA19" s="519"/>
      <c r="DB19" s="519"/>
      <c r="DC19" s="519"/>
      <c r="DD19" s="519"/>
    </row>
    <row r="20" spans="7:108" ht="15.75" thickBot="1" x14ac:dyDescent="0.3">
      <c r="K20" s="469"/>
      <c r="L20" s="501"/>
      <c r="Q20" s="123" t="s">
        <v>5110</v>
      </c>
      <c r="R20" s="176">
        <v>24.75</v>
      </c>
      <c r="S20" s="603"/>
      <c r="T20" s="123" t="s">
        <v>4945</v>
      </c>
      <c r="U20" s="120">
        <v>10.25</v>
      </c>
      <c r="V20" s="597"/>
      <c r="W20" s="164" t="s">
        <v>4729</v>
      </c>
      <c r="X20" s="524">
        <v>16.25</v>
      </c>
      <c r="Y20" s="601"/>
      <c r="Z20" s="123" t="s">
        <v>5401</v>
      </c>
      <c r="AA20" s="120">
        <v>23.25</v>
      </c>
      <c r="AB20" s="597"/>
      <c r="AC20" s="123" t="s">
        <v>4847</v>
      </c>
      <c r="AD20" s="120">
        <v>25.5</v>
      </c>
      <c r="AE20" s="597"/>
      <c r="AF20" s="123" t="s">
        <v>4391</v>
      </c>
      <c r="AG20" s="120">
        <v>15.25</v>
      </c>
      <c r="AH20" s="597"/>
      <c r="AI20" s="123" t="s">
        <v>5304</v>
      </c>
      <c r="AJ20" s="120">
        <v>21.75</v>
      </c>
      <c r="AK20" s="597"/>
      <c r="AL20" s="123" t="s">
        <v>306</v>
      </c>
      <c r="AM20" s="120">
        <v>23.75</v>
      </c>
      <c r="AN20" s="597"/>
      <c r="AO20" s="164" t="s">
        <v>200</v>
      </c>
      <c r="AP20" s="524">
        <v>23</v>
      </c>
      <c r="AQ20" s="601"/>
      <c r="AR20" s="478" t="s">
        <v>204</v>
      </c>
      <c r="AS20" s="501">
        <v>27.75</v>
      </c>
      <c r="AT20" s="597"/>
      <c r="AU20" s="123" t="s">
        <v>3950</v>
      </c>
      <c r="AV20" s="120">
        <v>25.75</v>
      </c>
      <c r="AW20" s="597"/>
      <c r="AX20" s="123" t="s">
        <v>5019</v>
      </c>
      <c r="AY20" s="120">
        <v>24.5</v>
      </c>
      <c r="AZ20" s="597"/>
      <c r="BA20" s="519"/>
      <c r="BB20" s="519"/>
      <c r="BC20" s="519"/>
      <c r="BD20" s="519"/>
      <c r="BE20" s="519"/>
      <c r="BF20" s="519"/>
      <c r="BG20" s="519"/>
      <c r="BH20" s="519"/>
      <c r="BI20" s="519"/>
      <c r="BJ20" s="519"/>
      <c r="BK20" s="519"/>
      <c r="BL20" s="519"/>
      <c r="BM20" s="519"/>
      <c r="BN20" s="519"/>
      <c r="BO20" s="519"/>
      <c r="BP20" s="519"/>
      <c r="BQ20" s="519"/>
      <c r="BR20" s="519"/>
      <c r="BS20" s="519"/>
      <c r="BT20" s="519"/>
      <c r="BU20" s="519"/>
      <c r="BV20" s="519"/>
      <c r="BW20" s="519"/>
      <c r="BX20" s="519"/>
      <c r="BY20" s="519"/>
      <c r="BZ20" s="519"/>
      <c r="CA20" s="519"/>
      <c r="CB20" s="519"/>
      <c r="CC20" s="519"/>
      <c r="CD20" s="519"/>
      <c r="CE20" s="519"/>
      <c r="CF20" s="519"/>
      <c r="CG20" s="519"/>
      <c r="CH20" s="519"/>
      <c r="CI20" s="519"/>
      <c r="CJ20" s="519"/>
      <c r="CK20" s="519"/>
      <c r="CL20" s="519"/>
      <c r="CM20" s="519"/>
      <c r="CN20" s="519"/>
      <c r="CO20" s="519"/>
      <c r="CP20" s="519"/>
      <c r="CQ20" s="519"/>
      <c r="CR20" s="519"/>
      <c r="CS20" s="519"/>
      <c r="CT20" s="519"/>
      <c r="CU20" s="519"/>
      <c r="CV20" s="519"/>
      <c r="CW20" s="519"/>
      <c r="CX20" s="519"/>
      <c r="CY20" s="519"/>
      <c r="CZ20" s="519"/>
      <c r="DA20" s="519"/>
      <c r="DB20" s="519"/>
      <c r="DC20" s="519"/>
      <c r="DD20" s="519"/>
    </row>
    <row r="21" spans="7:108" ht="15.75" thickBot="1" x14ac:dyDescent="0.3">
      <c r="G21" s="521"/>
      <c r="H21" s="136"/>
      <c r="I21" s="520"/>
      <c r="L21" s="120"/>
      <c r="Q21" s="123" t="s">
        <v>5110</v>
      </c>
      <c r="R21" s="176">
        <v>24.75</v>
      </c>
      <c r="S21" s="603"/>
      <c r="T21" s="123" t="s">
        <v>408</v>
      </c>
      <c r="U21" s="120">
        <v>11.75</v>
      </c>
      <c r="V21" s="597"/>
      <c r="W21" s="124" t="s">
        <v>2531</v>
      </c>
      <c r="X21" s="125">
        <v>16.25</v>
      </c>
      <c r="Y21" s="596" t="s">
        <v>12664</v>
      </c>
      <c r="Z21" s="123" t="s">
        <v>4551</v>
      </c>
      <c r="AA21" s="120">
        <v>23</v>
      </c>
      <c r="AB21" s="597"/>
      <c r="AC21" s="123" t="s">
        <v>4847</v>
      </c>
      <c r="AD21" s="120">
        <v>25.5</v>
      </c>
      <c r="AE21" s="597"/>
      <c r="AF21" s="164" t="s">
        <v>3889</v>
      </c>
      <c r="AG21" s="524">
        <v>13.75</v>
      </c>
      <c r="AH21" s="601"/>
      <c r="AI21" s="123" t="s">
        <v>5068</v>
      </c>
      <c r="AJ21" s="120">
        <v>21.5</v>
      </c>
      <c r="AK21" s="597"/>
      <c r="AL21" s="478" t="s">
        <v>5269</v>
      </c>
      <c r="AM21" s="501">
        <v>23.75</v>
      </c>
      <c r="AN21" s="597"/>
      <c r="AO21" s="471" t="s">
        <v>3539</v>
      </c>
      <c r="AP21" s="500">
        <v>31.75</v>
      </c>
      <c r="AQ21" s="596" t="s">
        <v>12664</v>
      </c>
      <c r="AR21" s="478" t="s">
        <v>5536</v>
      </c>
      <c r="AS21" s="501">
        <v>16.75</v>
      </c>
      <c r="AT21" s="597"/>
      <c r="AU21" s="123" t="s">
        <v>3950</v>
      </c>
      <c r="AV21" s="120">
        <v>25.75</v>
      </c>
      <c r="AW21" s="597"/>
      <c r="AX21" s="478" t="s">
        <v>2958</v>
      </c>
      <c r="AY21" s="120">
        <v>24.5</v>
      </c>
      <c r="AZ21" s="597"/>
      <c r="BA21" s="519"/>
      <c r="BB21" s="519"/>
      <c r="BC21" s="519"/>
      <c r="BD21" s="519"/>
      <c r="BE21" s="519"/>
      <c r="BF21" s="519"/>
      <c r="BG21" s="519"/>
      <c r="BH21" s="519"/>
      <c r="BI21" s="519"/>
      <c r="BJ21" s="519"/>
      <c r="BK21" s="519"/>
      <c r="BL21" s="519"/>
      <c r="BM21" s="519"/>
      <c r="BN21" s="519"/>
      <c r="BO21" s="519"/>
      <c r="BP21" s="519"/>
      <c r="BQ21" s="519"/>
      <c r="BR21" s="519"/>
      <c r="BS21" s="519"/>
      <c r="BT21" s="519"/>
      <c r="BU21" s="519"/>
      <c r="BV21" s="519"/>
      <c r="BW21" s="519"/>
      <c r="BX21" s="519"/>
      <c r="BY21" s="519"/>
      <c r="BZ21" s="519"/>
      <c r="CA21" s="519"/>
      <c r="CB21" s="519"/>
      <c r="CC21" s="519"/>
      <c r="CD21" s="519"/>
      <c r="CE21" s="519"/>
      <c r="CF21" s="519"/>
      <c r="CG21" s="519"/>
      <c r="CH21" s="519"/>
      <c r="CI21" s="519"/>
      <c r="CJ21" s="519"/>
      <c r="CK21" s="519"/>
      <c r="CL21" s="519"/>
      <c r="CM21" s="519"/>
      <c r="CN21" s="519"/>
      <c r="CO21" s="519"/>
      <c r="CP21" s="519"/>
      <c r="CQ21" s="519"/>
      <c r="CR21" s="519"/>
      <c r="CS21" s="519"/>
      <c r="CT21" s="519"/>
      <c r="CU21" s="519"/>
      <c r="CV21" s="519"/>
      <c r="CW21" s="519"/>
      <c r="CX21" s="519"/>
      <c r="CY21" s="519"/>
      <c r="CZ21" s="519"/>
      <c r="DA21" s="519"/>
      <c r="DB21" s="519"/>
      <c r="DC21" s="519"/>
      <c r="DD21" s="519"/>
    </row>
    <row r="22" spans="7:108" ht="15.75" thickBot="1" x14ac:dyDescent="0.3">
      <c r="L22" s="120"/>
      <c r="Q22" s="123" t="s">
        <v>1598</v>
      </c>
      <c r="R22" s="176">
        <v>18.25</v>
      </c>
      <c r="S22" s="603"/>
      <c r="T22" s="123" t="s">
        <v>381</v>
      </c>
      <c r="U22" s="120">
        <v>11.75</v>
      </c>
      <c r="V22" s="597"/>
      <c r="W22" s="478" t="s">
        <v>4324</v>
      </c>
      <c r="X22" s="120">
        <v>17.25</v>
      </c>
      <c r="Y22" s="597"/>
      <c r="Z22" s="123" t="s">
        <v>295</v>
      </c>
      <c r="AA22" s="120">
        <v>23</v>
      </c>
      <c r="AB22" s="597"/>
      <c r="AC22" s="123" t="s">
        <v>5602</v>
      </c>
      <c r="AD22" s="120">
        <v>24.5</v>
      </c>
      <c r="AE22" s="597"/>
      <c r="AF22" s="124" t="s">
        <v>3129</v>
      </c>
      <c r="AG22" s="125">
        <v>27.25</v>
      </c>
      <c r="AH22" s="596" t="s">
        <v>12664</v>
      </c>
      <c r="AI22" s="123" t="s">
        <v>5114</v>
      </c>
      <c r="AJ22" s="120">
        <v>21</v>
      </c>
      <c r="AK22" s="597"/>
      <c r="AL22" s="478" t="s">
        <v>5473</v>
      </c>
      <c r="AM22" s="501">
        <v>23.5</v>
      </c>
      <c r="AN22" s="597"/>
      <c r="AO22" s="123" t="s">
        <v>3539</v>
      </c>
      <c r="AP22" s="120">
        <v>31.75</v>
      </c>
      <c r="AQ22" s="597"/>
      <c r="AR22" s="486" t="s">
        <v>3595</v>
      </c>
      <c r="AS22" s="503">
        <v>12</v>
      </c>
      <c r="AT22" s="601"/>
      <c r="AU22" s="123" t="s">
        <v>3668</v>
      </c>
      <c r="AV22" s="120">
        <v>22.5</v>
      </c>
      <c r="AW22" s="597"/>
      <c r="AX22" s="478" t="s">
        <v>27</v>
      </c>
      <c r="AY22" s="120">
        <v>24.5</v>
      </c>
      <c r="AZ22" s="597"/>
      <c r="BA22" s="519"/>
      <c r="BB22" s="519"/>
      <c r="BC22" s="519"/>
      <c r="BD22" s="519"/>
      <c r="BE22" s="519"/>
      <c r="BF22" s="519"/>
      <c r="BG22" s="519"/>
      <c r="BH22" s="519"/>
      <c r="BI22" s="519"/>
      <c r="BJ22" s="519"/>
      <c r="BK22" s="519"/>
      <c r="BL22" s="519"/>
      <c r="BM22" s="519"/>
      <c r="BN22" s="519"/>
      <c r="BO22" s="519"/>
      <c r="BP22" s="519"/>
      <c r="BQ22" s="519"/>
      <c r="BR22" s="519"/>
      <c r="BS22" s="519"/>
      <c r="BT22" s="519"/>
      <c r="BU22" s="519"/>
      <c r="BV22" s="519"/>
      <c r="BW22" s="519"/>
      <c r="BX22" s="519"/>
      <c r="BY22" s="519"/>
      <c r="BZ22" s="519"/>
      <c r="CA22" s="519"/>
      <c r="CB22" s="519"/>
      <c r="CC22" s="519"/>
      <c r="CD22" s="519"/>
      <c r="CE22" s="519"/>
      <c r="CF22" s="519"/>
      <c r="CG22" s="519"/>
      <c r="CH22" s="519"/>
      <c r="CI22" s="519"/>
      <c r="CJ22" s="519"/>
      <c r="CK22" s="519"/>
      <c r="CL22" s="519"/>
      <c r="CM22" s="519"/>
      <c r="CN22" s="519"/>
      <c r="CO22" s="519"/>
      <c r="CP22" s="519"/>
      <c r="CQ22" s="519"/>
      <c r="CR22" s="519"/>
      <c r="CS22" s="519"/>
      <c r="CT22" s="519"/>
      <c r="CU22" s="519"/>
      <c r="CV22" s="519"/>
      <c r="CW22" s="519"/>
      <c r="CX22" s="519"/>
      <c r="CY22" s="519"/>
      <c r="CZ22" s="519"/>
      <c r="DA22" s="519"/>
      <c r="DB22" s="519"/>
      <c r="DC22" s="519"/>
      <c r="DD22" s="519"/>
    </row>
    <row r="23" spans="7:108" ht="15.75" thickBot="1" x14ac:dyDescent="0.3">
      <c r="L23" s="120"/>
      <c r="Q23" s="123" t="s">
        <v>4975</v>
      </c>
      <c r="R23" s="482">
        <v>25.5</v>
      </c>
      <c r="S23" s="603"/>
      <c r="T23" s="123" t="s">
        <v>426</v>
      </c>
      <c r="U23" s="120">
        <v>7.5</v>
      </c>
      <c r="V23" s="597"/>
      <c r="W23" s="123" t="s">
        <v>5064</v>
      </c>
      <c r="X23" s="120">
        <v>17.5</v>
      </c>
      <c r="Y23" s="597"/>
      <c r="Z23" s="123" t="s">
        <v>4644</v>
      </c>
      <c r="AA23" s="120">
        <v>23</v>
      </c>
      <c r="AB23" s="597"/>
      <c r="AC23" s="164" t="s">
        <v>3515</v>
      </c>
      <c r="AD23" s="524">
        <v>16</v>
      </c>
      <c r="AE23" s="601"/>
      <c r="AF23" s="123" t="s">
        <v>3129</v>
      </c>
      <c r="AG23" s="120">
        <v>27.25</v>
      </c>
      <c r="AH23" s="597"/>
      <c r="AI23" s="478" t="s">
        <v>185</v>
      </c>
      <c r="AJ23" s="501">
        <v>20.75</v>
      </c>
      <c r="AK23" s="597"/>
      <c r="AL23" s="123" t="s">
        <v>6</v>
      </c>
      <c r="AM23" s="120">
        <v>23.5</v>
      </c>
      <c r="AN23" s="597"/>
      <c r="AO23" s="478" t="s">
        <v>3674</v>
      </c>
      <c r="AP23" s="501">
        <v>31.75</v>
      </c>
      <c r="AQ23" s="597"/>
      <c r="AR23" s="124" t="s">
        <v>204</v>
      </c>
      <c r="AS23" s="125">
        <v>27.75</v>
      </c>
      <c r="AT23" s="596" t="s">
        <v>12664</v>
      </c>
      <c r="AU23" s="164" t="s">
        <v>353</v>
      </c>
      <c r="AV23" s="524">
        <v>16.25</v>
      </c>
      <c r="AW23" s="601"/>
      <c r="AX23" s="123" t="s">
        <v>27</v>
      </c>
      <c r="AY23" s="120">
        <v>24.5</v>
      </c>
      <c r="AZ23" s="597"/>
      <c r="BA23" s="519"/>
      <c r="BB23" s="519"/>
      <c r="BC23" s="519"/>
      <c r="BD23" s="519"/>
      <c r="BE23" s="519"/>
      <c r="BF23" s="519"/>
      <c r="BG23" s="519"/>
      <c r="BH23" s="519"/>
      <c r="BI23" s="519"/>
      <c r="BJ23" s="519"/>
      <c r="BK23" s="519"/>
      <c r="BL23" s="519"/>
      <c r="BM23" s="519"/>
      <c r="BN23" s="519"/>
      <c r="BO23" s="519"/>
      <c r="BP23" s="519"/>
      <c r="BQ23" s="519"/>
      <c r="BR23" s="519"/>
      <c r="BS23" s="519"/>
      <c r="BT23" s="519"/>
      <c r="BU23" s="519"/>
      <c r="BV23" s="519"/>
      <c r="BW23" s="519"/>
      <c r="BX23" s="519"/>
      <c r="BY23" s="519"/>
      <c r="BZ23" s="519"/>
      <c r="CA23" s="519"/>
      <c r="CB23" s="519"/>
      <c r="CC23" s="519"/>
      <c r="CD23" s="519"/>
      <c r="CE23" s="519"/>
      <c r="CF23" s="519"/>
      <c r="CG23" s="519"/>
      <c r="CH23" s="519"/>
      <c r="CI23" s="519"/>
      <c r="CJ23" s="519"/>
      <c r="CK23" s="519"/>
      <c r="CL23" s="519"/>
      <c r="CM23" s="519"/>
      <c r="CN23" s="519"/>
      <c r="CO23" s="519"/>
      <c r="CP23" s="519"/>
      <c r="CQ23" s="519"/>
      <c r="CR23" s="519"/>
      <c r="CS23" s="519"/>
      <c r="CT23" s="519"/>
      <c r="CU23" s="519"/>
      <c r="CV23" s="519"/>
      <c r="CW23" s="519"/>
      <c r="CX23" s="519"/>
      <c r="CY23" s="519"/>
      <c r="CZ23" s="519"/>
      <c r="DA23" s="519"/>
      <c r="DB23" s="519"/>
      <c r="DC23" s="519"/>
      <c r="DD23" s="519"/>
    </row>
    <row r="24" spans="7:108" ht="15.75" thickBot="1" x14ac:dyDescent="0.3">
      <c r="L24" s="501"/>
      <c r="Q24" s="123" t="s">
        <v>4975</v>
      </c>
      <c r="R24" s="482">
        <v>25.5</v>
      </c>
      <c r="S24" s="603"/>
      <c r="T24" s="123" t="s">
        <v>5021</v>
      </c>
      <c r="U24" s="120">
        <v>12</v>
      </c>
      <c r="V24" s="597"/>
      <c r="W24" s="123" t="s">
        <v>3868</v>
      </c>
      <c r="X24" s="120">
        <v>18.25</v>
      </c>
      <c r="Y24" s="597"/>
      <c r="Z24" s="123" t="s">
        <v>5279</v>
      </c>
      <c r="AA24" s="120">
        <v>23</v>
      </c>
      <c r="AB24" s="597"/>
      <c r="AC24" s="124" t="s">
        <v>5356</v>
      </c>
      <c r="AD24" s="125">
        <v>25.25</v>
      </c>
      <c r="AE24" s="596" t="s">
        <v>12664</v>
      </c>
      <c r="AF24" s="123" t="s">
        <v>4609</v>
      </c>
      <c r="AG24" s="120">
        <v>27.25</v>
      </c>
      <c r="AH24" s="597"/>
      <c r="AI24" s="478" t="s">
        <v>5758</v>
      </c>
      <c r="AJ24" s="501">
        <v>20.5</v>
      </c>
      <c r="AK24" s="597"/>
      <c r="AL24" s="478" t="s">
        <v>4816</v>
      </c>
      <c r="AM24" s="501">
        <v>18</v>
      </c>
      <c r="AN24" s="597"/>
      <c r="AO24" s="123" t="s">
        <v>3674</v>
      </c>
      <c r="AP24" s="120">
        <v>31.75</v>
      </c>
      <c r="AQ24" s="597"/>
      <c r="AR24" s="478" t="s">
        <v>1291</v>
      </c>
      <c r="AS24" s="501">
        <v>27.75</v>
      </c>
      <c r="AT24" s="597"/>
      <c r="AU24" s="471" t="s">
        <v>454</v>
      </c>
      <c r="AV24" s="500">
        <v>25.75</v>
      </c>
      <c r="AW24" s="596" t="s">
        <v>12664</v>
      </c>
      <c r="AX24" s="123" t="s">
        <v>5762</v>
      </c>
      <c r="AY24" s="120">
        <v>20.75</v>
      </c>
      <c r="AZ24" s="597"/>
      <c r="BA24" s="519"/>
      <c r="BB24" s="519"/>
      <c r="BC24" s="519"/>
      <c r="BD24" s="519"/>
      <c r="BE24" s="519"/>
      <c r="BF24" s="519"/>
      <c r="BG24" s="519"/>
      <c r="BH24" s="519"/>
      <c r="BI24" s="519"/>
      <c r="BJ24" s="519"/>
      <c r="BK24" s="519"/>
      <c r="BL24" s="519"/>
      <c r="BM24" s="519"/>
      <c r="BN24" s="519"/>
      <c r="BO24" s="519"/>
      <c r="BP24" s="519"/>
      <c r="BQ24" s="519"/>
      <c r="BR24" s="519"/>
      <c r="BS24" s="519"/>
      <c r="BT24" s="519"/>
      <c r="BU24" s="519"/>
      <c r="BV24" s="519"/>
      <c r="BW24" s="519"/>
      <c r="BX24" s="519"/>
      <c r="BY24" s="519"/>
      <c r="BZ24" s="519"/>
      <c r="CA24" s="519"/>
      <c r="CB24" s="519"/>
      <c r="CC24" s="519"/>
      <c r="CD24" s="519"/>
      <c r="CE24" s="519"/>
      <c r="CF24" s="519"/>
      <c r="CG24" s="519"/>
      <c r="CH24" s="519"/>
      <c r="CI24" s="519"/>
      <c r="CJ24" s="519"/>
      <c r="CK24" s="519"/>
      <c r="CL24" s="519"/>
      <c r="CM24" s="519"/>
      <c r="CN24" s="519"/>
      <c r="CO24" s="519"/>
      <c r="CP24" s="519"/>
      <c r="CQ24" s="519"/>
      <c r="CR24" s="519"/>
      <c r="CS24" s="519"/>
      <c r="CT24" s="519"/>
      <c r="CU24" s="519"/>
      <c r="CV24" s="519"/>
      <c r="CW24" s="519"/>
      <c r="CX24" s="519"/>
      <c r="CY24" s="519"/>
      <c r="CZ24" s="519"/>
      <c r="DA24" s="519"/>
      <c r="DB24" s="519"/>
      <c r="DC24" s="519"/>
      <c r="DD24" s="519"/>
    </row>
    <row r="25" spans="7:108" ht="15.75" thickBot="1" x14ac:dyDescent="0.3">
      <c r="Q25" s="486" t="s">
        <v>1598</v>
      </c>
      <c r="R25" s="487">
        <v>18.25</v>
      </c>
      <c r="S25" s="604"/>
      <c r="T25" s="123" t="s">
        <v>5089</v>
      </c>
      <c r="U25" s="120">
        <v>14.75</v>
      </c>
      <c r="V25" s="597"/>
      <c r="W25" s="123" t="s">
        <v>1769</v>
      </c>
      <c r="X25" s="120">
        <v>18.75</v>
      </c>
      <c r="Y25" s="597"/>
      <c r="Z25" s="123" t="s">
        <v>4776</v>
      </c>
      <c r="AA25" s="120">
        <v>22.25</v>
      </c>
      <c r="AB25" s="597"/>
      <c r="AC25" s="123" t="s">
        <v>5356</v>
      </c>
      <c r="AD25" s="120">
        <v>25.25</v>
      </c>
      <c r="AE25" s="597"/>
      <c r="AF25" s="123" t="s">
        <v>4609</v>
      </c>
      <c r="AG25" s="120">
        <v>27.25</v>
      </c>
      <c r="AH25" s="597"/>
      <c r="AI25" s="478" t="s">
        <v>5715</v>
      </c>
      <c r="AJ25" s="501">
        <v>20.25</v>
      </c>
      <c r="AK25" s="597"/>
      <c r="AL25" s="486" t="s">
        <v>103</v>
      </c>
      <c r="AM25" s="503">
        <v>8</v>
      </c>
      <c r="AN25" s="601"/>
      <c r="AO25" s="478" t="s">
        <v>5438</v>
      </c>
      <c r="AP25" s="501">
        <v>31.5</v>
      </c>
      <c r="AQ25" s="597"/>
      <c r="AR25" s="123" t="s">
        <v>1291</v>
      </c>
      <c r="AS25" s="120">
        <v>27.75</v>
      </c>
      <c r="AT25" s="597"/>
      <c r="AU25" s="123" t="s">
        <v>454</v>
      </c>
      <c r="AV25" s="120">
        <v>25.75</v>
      </c>
      <c r="AW25" s="598"/>
      <c r="AX25" s="124" t="s">
        <v>5513</v>
      </c>
      <c r="AY25" s="175">
        <v>25</v>
      </c>
      <c r="AZ25" s="602" t="s">
        <v>12664</v>
      </c>
      <c r="BA25" s="519"/>
      <c r="BB25" s="519"/>
      <c r="BC25" s="519"/>
      <c r="BD25" s="519"/>
      <c r="BE25" s="519"/>
      <c r="BF25" s="519"/>
      <c r="BG25" s="519"/>
      <c r="BH25" s="519"/>
      <c r="BI25" s="519"/>
      <c r="BJ25" s="519"/>
      <c r="BK25" s="519"/>
      <c r="BL25" s="519"/>
      <c r="BM25" s="519"/>
      <c r="BN25" s="519"/>
      <c r="BO25" s="519"/>
      <c r="BP25" s="519"/>
      <c r="BQ25" s="519"/>
      <c r="BR25" s="519"/>
      <c r="BS25" s="519"/>
      <c r="BT25" s="519"/>
      <c r="BU25" s="519"/>
      <c r="BV25" s="519"/>
      <c r="BW25" s="519"/>
      <c r="BX25" s="519"/>
      <c r="BY25" s="519"/>
      <c r="BZ25" s="519"/>
      <c r="CA25" s="519"/>
      <c r="CB25" s="519"/>
      <c r="CC25" s="519"/>
      <c r="CD25" s="519"/>
      <c r="CE25" s="519"/>
      <c r="CF25" s="519"/>
      <c r="CG25" s="519"/>
      <c r="CH25" s="519"/>
      <c r="CI25" s="519"/>
      <c r="CJ25" s="519"/>
      <c r="CK25" s="519"/>
      <c r="CL25" s="519"/>
      <c r="CM25" s="519"/>
      <c r="CN25" s="519"/>
      <c r="CO25" s="519"/>
      <c r="CP25" s="519"/>
      <c r="CQ25" s="519"/>
      <c r="CR25" s="519"/>
      <c r="CS25" s="519"/>
      <c r="CT25" s="519"/>
      <c r="CU25" s="519"/>
      <c r="CV25" s="519"/>
      <c r="CW25" s="519"/>
      <c r="CX25" s="519"/>
      <c r="CY25" s="519"/>
      <c r="CZ25" s="519"/>
      <c r="DA25" s="519"/>
      <c r="DB25" s="519"/>
      <c r="DC25" s="519"/>
      <c r="DD25" s="519"/>
    </row>
    <row r="26" spans="7:108" ht="15.75" thickBot="1" x14ac:dyDescent="0.3">
      <c r="Q26" s="123" t="s">
        <v>4865</v>
      </c>
      <c r="R26" s="120">
        <v>27</v>
      </c>
      <c r="S26" s="596" t="s">
        <v>12664</v>
      </c>
      <c r="T26" s="123" t="s">
        <v>4977</v>
      </c>
      <c r="U26" s="120">
        <v>13.75</v>
      </c>
      <c r="V26" s="597"/>
      <c r="W26" s="123" t="s">
        <v>5465</v>
      </c>
      <c r="X26" s="120">
        <v>16.5</v>
      </c>
      <c r="Y26" s="597"/>
      <c r="Z26" s="164" t="s">
        <v>5425</v>
      </c>
      <c r="AA26" s="524">
        <v>6.75</v>
      </c>
      <c r="AB26" s="601"/>
      <c r="AC26" s="123" t="s">
        <v>5658</v>
      </c>
      <c r="AD26" s="120">
        <v>25.25</v>
      </c>
      <c r="AE26" s="597"/>
      <c r="AF26" s="123" t="s">
        <v>282</v>
      </c>
      <c r="AG26" s="120">
        <v>27.25</v>
      </c>
      <c r="AH26" s="597"/>
      <c r="AI26" s="486" t="s">
        <v>5721</v>
      </c>
      <c r="AJ26" s="503">
        <v>20.25</v>
      </c>
      <c r="AK26" s="601"/>
      <c r="AL26" s="124" t="s">
        <v>5269</v>
      </c>
      <c r="AM26" s="125">
        <v>23.75</v>
      </c>
      <c r="AN26" s="596" t="s">
        <v>12664</v>
      </c>
      <c r="AO26" s="486" t="s">
        <v>917</v>
      </c>
      <c r="AP26" s="503">
        <v>9.5</v>
      </c>
      <c r="AQ26" s="601"/>
      <c r="AR26" s="478" t="s">
        <v>4828</v>
      </c>
      <c r="AS26" s="501">
        <v>27.5</v>
      </c>
      <c r="AT26" s="597"/>
      <c r="AU26" s="478" t="s">
        <v>2007</v>
      </c>
      <c r="AV26" s="501">
        <v>25.75</v>
      </c>
      <c r="AW26" s="598"/>
      <c r="AX26" s="123" t="s">
        <v>5513</v>
      </c>
      <c r="AY26" s="176">
        <v>25</v>
      </c>
      <c r="AZ26" s="603"/>
      <c r="BA26" s="519"/>
      <c r="BB26" s="519"/>
      <c r="BC26" s="519"/>
      <c r="BD26" s="519"/>
      <c r="BE26" s="519"/>
      <c r="BF26" s="519"/>
      <c r="BG26" s="519"/>
      <c r="BH26" s="519"/>
      <c r="BI26" s="519"/>
      <c r="BJ26" s="519"/>
      <c r="BK26" s="519"/>
      <c r="BL26" s="519"/>
      <c r="BM26" s="519"/>
      <c r="BN26" s="519"/>
      <c r="BO26" s="519"/>
      <c r="BP26" s="519"/>
      <c r="BQ26" s="519"/>
      <c r="BR26" s="519"/>
      <c r="BS26" s="519"/>
      <c r="BT26" s="519"/>
      <c r="BU26" s="519"/>
      <c r="BV26" s="519"/>
      <c r="BW26" s="519"/>
      <c r="BX26" s="519"/>
      <c r="BY26" s="519"/>
      <c r="BZ26" s="519"/>
      <c r="CA26" s="519"/>
      <c r="CB26" s="519"/>
      <c r="CC26" s="519"/>
      <c r="CD26" s="519"/>
      <c r="CE26" s="519"/>
      <c r="CF26" s="519"/>
      <c r="CG26" s="519"/>
      <c r="CH26" s="519"/>
      <c r="CI26" s="519"/>
      <c r="CJ26" s="519"/>
      <c r="CK26" s="519"/>
      <c r="CL26" s="519"/>
      <c r="CM26" s="519"/>
      <c r="CN26" s="519"/>
      <c r="CO26" s="519"/>
      <c r="CP26" s="519"/>
      <c r="CQ26" s="519"/>
      <c r="CR26" s="519"/>
      <c r="CS26" s="519"/>
      <c r="CT26" s="519"/>
      <c r="CU26" s="519"/>
      <c r="CV26" s="519"/>
      <c r="CW26" s="519"/>
      <c r="CX26" s="519"/>
      <c r="CY26" s="519"/>
      <c r="CZ26" s="519"/>
      <c r="DA26" s="519"/>
      <c r="DB26" s="519"/>
      <c r="DC26" s="519"/>
      <c r="DD26" s="519"/>
    </row>
    <row r="27" spans="7:108" x14ac:dyDescent="0.25">
      <c r="Q27" s="123" t="s">
        <v>4865</v>
      </c>
      <c r="R27" s="120">
        <v>27</v>
      </c>
      <c r="S27" s="597"/>
      <c r="T27" s="123" t="s">
        <v>5425</v>
      </c>
      <c r="U27" s="120">
        <v>6.75</v>
      </c>
      <c r="V27" s="597"/>
      <c r="W27" s="123" t="s">
        <v>5452</v>
      </c>
      <c r="X27" s="120">
        <v>18</v>
      </c>
      <c r="Y27" s="597"/>
      <c r="Z27" s="124" t="s">
        <v>4551</v>
      </c>
      <c r="AA27" s="125">
        <v>23</v>
      </c>
      <c r="AB27" s="596" t="s">
        <v>12664</v>
      </c>
      <c r="AC27" s="123" t="s">
        <v>5658</v>
      </c>
      <c r="AD27" s="120">
        <v>25.25</v>
      </c>
      <c r="AE27" s="597"/>
      <c r="AF27" s="123" t="s">
        <v>3371</v>
      </c>
      <c r="AG27" s="120">
        <v>16.5</v>
      </c>
      <c r="AH27" s="597"/>
      <c r="AI27" s="124" t="s">
        <v>185</v>
      </c>
      <c r="AJ27" s="125">
        <v>20.75</v>
      </c>
      <c r="AK27" s="596" t="s">
        <v>12664</v>
      </c>
      <c r="AL27" s="478" t="s">
        <v>5507</v>
      </c>
      <c r="AM27" s="501">
        <v>23.25</v>
      </c>
      <c r="AN27" s="597"/>
      <c r="AO27" s="471" t="s">
        <v>224</v>
      </c>
      <c r="AP27" s="500">
        <v>31.75</v>
      </c>
      <c r="AQ27" s="596" t="s">
        <v>12664</v>
      </c>
      <c r="AR27" s="123" t="s">
        <v>4828</v>
      </c>
      <c r="AS27" s="120">
        <v>27.5</v>
      </c>
      <c r="AT27" s="597"/>
      <c r="AU27" s="123" t="s">
        <v>2007</v>
      </c>
      <c r="AV27" s="120">
        <v>25.75</v>
      </c>
      <c r="AW27" s="598"/>
      <c r="AX27" s="478" t="s">
        <v>388</v>
      </c>
      <c r="AY27" s="176">
        <v>24.75</v>
      </c>
      <c r="AZ27" s="603"/>
      <c r="BA27" s="519"/>
      <c r="BB27" s="519"/>
      <c r="BC27" s="519"/>
      <c r="BD27" s="519"/>
      <c r="BE27" s="519"/>
      <c r="BF27" s="519"/>
      <c r="BG27" s="519"/>
      <c r="BH27" s="519"/>
      <c r="BI27" s="519"/>
      <c r="BJ27" s="519"/>
      <c r="BK27" s="519"/>
      <c r="BL27" s="519"/>
      <c r="BM27" s="519"/>
      <c r="BN27" s="519"/>
      <c r="BO27" s="519"/>
      <c r="BP27" s="519"/>
      <c r="BQ27" s="519"/>
      <c r="BR27" s="519"/>
      <c r="BS27" s="519"/>
      <c r="BT27" s="519"/>
      <c r="BU27" s="519"/>
      <c r="BV27" s="519"/>
      <c r="BW27" s="519"/>
      <c r="BX27" s="519"/>
      <c r="BY27" s="519"/>
      <c r="BZ27" s="519"/>
      <c r="CA27" s="519"/>
      <c r="CB27" s="519"/>
      <c r="CC27" s="519"/>
      <c r="CD27" s="519"/>
      <c r="CE27" s="519"/>
      <c r="CF27" s="519"/>
      <c r="CG27" s="519"/>
      <c r="CH27" s="519"/>
      <c r="CI27" s="519"/>
      <c r="CJ27" s="519"/>
      <c r="CK27" s="519"/>
      <c r="CL27" s="519"/>
      <c r="CM27" s="519"/>
      <c r="CN27" s="519"/>
      <c r="CO27" s="519"/>
      <c r="CP27" s="519"/>
      <c r="CQ27" s="519"/>
      <c r="CR27" s="519"/>
      <c r="CS27" s="519"/>
      <c r="CT27" s="519"/>
      <c r="CU27" s="519"/>
      <c r="CV27" s="519"/>
      <c r="CW27" s="519"/>
      <c r="CX27" s="519"/>
      <c r="CY27" s="519"/>
      <c r="CZ27" s="519"/>
      <c r="DA27" s="519"/>
      <c r="DB27" s="519"/>
      <c r="DC27" s="519"/>
      <c r="DD27" s="519"/>
    </row>
    <row r="28" spans="7:108" ht="15.75" thickBot="1" x14ac:dyDescent="0.3">
      <c r="Q28" s="123" t="s">
        <v>4752</v>
      </c>
      <c r="R28" s="120">
        <v>5.5</v>
      </c>
      <c r="S28" s="597"/>
      <c r="T28" s="123" t="s">
        <v>5147</v>
      </c>
      <c r="U28" s="120">
        <v>13.75</v>
      </c>
      <c r="V28" s="597"/>
      <c r="W28" s="123" t="s">
        <v>4735</v>
      </c>
      <c r="X28" s="120">
        <v>17.25</v>
      </c>
      <c r="Y28" s="597"/>
      <c r="Z28" s="123" t="s">
        <v>295</v>
      </c>
      <c r="AA28" s="120">
        <v>23</v>
      </c>
      <c r="AB28" s="597"/>
      <c r="AC28" s="478" t="s">
        <v>3215</v>
      </c>
      <c r="AD28" s="120">
        <v>25.25</v>
      </c>
      <c r="AE28" s="597"/>
      <c r="AF28" s="164" t="s">
        <v>4391</v>
      </c>
      <c r="AG28" s="524">
        <v>15.25</v>
      </c>
      <c r="AH28" s="601"/>
      <c r="AI28" s="123" t="s">
        <v>5758</v>
      </c>
      <c r="AJ28" s="120">
        <v>20.5</v>
      </c>
      <c r="AK28" s="597"/>
      <c r="AL28" s="478" t="s">
        <v>182</v>
      </c>
      <c r="AM28" s="501">
        <v>23.25</v>
      </c>
      <c r="AN28" s="597"/>
      <c r="AO28" s="123" t="s">
        <v>224</v>
      </c>
      <c r="AP28" s="120">
        <v>31.75</v>
      </c>
      <c r="AQ28" s="597"/>
      <c r="AR28" s="123" t="s">
        <v>353</v>
      </c>
      <c r="AS28" s="120">
        <v>16.25</v>
      </c>
      <c r="AT28" s="597"/>
      <c r="AU28" s="123" t="s">
        <v>2007</v>
      </c>
      <c r="AV28" s="120">
        <v>25.75</v>
      </c>
      <c r="AW28" s="598"/>
      <c r="AX28" s="123" t="s">
        <v>388</v>
      </c>
      <c r="AY28" s="176">
        <v>24.75</v>
      </c>
      <c r="AZ28" s="603"/>
      <c r="BA28" s="519"/>
      <c r="BB28" s="519"/>
      <c r="BC28" s="519"/>
      <c r="BD28" s="519"/>
      <c r="BE28" s="519"/>
      <c r="BF28" s="519"/>
      <c r="BG28" s="519"/>
      <c r="BH28" s="519"/>
      <c r="BI28" s="519"/>
      <c r="BJ28" s="519"/>
      <c r="BK28" s="519"/>
      <c r="BL28" s="519"/>
      <c r="BM28" s="519"/>
      <c r="BN28" s="519"/>
      <c r="BO28" s="519"/>
      <c r="BP28" s="519"/>
      <c r="BQ28" s="519"/>
      <c r="BR28" s="519"/>
      <c r="BS28" s="519"/>
      <c r="BT28" s="519"/>
      <c r="BU28" s="519"/>
      <c r="BV28" s="519"/>
      <c r="BW28" s="519"/>
      <c r="BX28" s="519"/>
      <c r="BY28" s="519"/>
      <c r="BZ28" s="519"/>
      <c r="CA28" s="519"/>
      <c r="CB28" s="519"/>
      <c r="CC28" s="519"/>
      <c r="CD28" s="519"/>
      <c r="CE28" s="519"/>
      <c r="CF28" s="519"/>
      <c r="CG28" s="519"/>
      <c r="CH28" s="519"/>
      <c r="CI28" s="519"/>
      <c r="CJ28" s="519"/>
      <c r="CK28" s="519"/>
      <c r="CL28" s="519"/>
      <c r="CM28" s="519"/>
      <c r="CN28" s="519"/>
      <c r="CO28" s="519"/>
      <c r="CP28" s="519"/>
      <c r="CQ28" s="519"/>
      <c r="CR28" s="519"/>
      <c r="CS28" s="519"/>
      <c r="CT28" s="519"/>
      <c r="CU28" s="519"/>
      <c r="CV28" s="519"/>
      <c r="CW28" s="519"/>
      <c r="CX28" s="519"/>
      <c r="CY28" s="519"/>
      <c r="CZ28" s="519"/>
      <c r="DA28" s="519"/>
      <c r="DB28" s="519"/>
      <c r="DC28" s="519"/>
      <c r="DD28" s="519"/>
    </row>
    <row r="29" spans="7:108" ht="15.75" thickBot="1" x14ac:dyDescent="0.3">
      <c r="Q29" s="123" t="s">
        <v>5255</v>
      </c>
      <c r="R29" s="120">
        <v>26.75</v>
      </c>
      <c r="S29" s="597"/>
      <c r="T29" s="123" t="s">
        <v>5509</v>
      </c>
      <c r="U29" s="120">
        <v>5.25</v>
      </c>
      <c r="V29" s="597"/>
      <c r="W29" s="123" t="s">
        <v>3361</v>
      </c>
      <c r="X29" s="120">
        <v>17.5</v>
      </c>
      <c r="Y29" s="597"/>
      <c r="Z29" s="123" t="s">
        <v>4644</v>
      </c>
      <c r="AA29" s="120">
        <v>23</v>
      </c>
      <c r="AB29" s="597"/>
      <c r="AC29" s="123" t="s">
        <v>3215</v>
      </c>
      <c r="AD29" s="120">
        <v>25.25</v>
      </c>
      <c r="AE29" s="597"/>
      <c r="AF29" s="124" t="s">
        <v>282</v>
      </c>
      <c r="AG29" s="125">
        <v>27.25</v>
      </c>
      <c r="AH29" s="596" t="s">
        <v>12664</v>
      </c>
      <c r="AI29" s="478" t="s">
        <v>5210</v>
      </c>
      <c r="AJ29" s="501">
        <v>20</v>
      </c>
      <c r="AK29" s="597"/>
      <c r="AL29" s="478" t="s">
        <v>5672</v>
      </c>
      <c r="AM29" s="501">
        <v>23.25</v>
      </c>
      <c r="AN29" s="597"/>
      <c r="AO29" s="123" t="s">
        <v>224</v>
      </c>
      <c r="AP29" s="120">
        <v>31.75</v>
      </c>
      <c r="AQ29" s="597"/>
      <c r="AR29" s="486" t="s">
        <v>5532</v>
      </c>
      <c r="AS29" s="503">
        <v>13.5</v>
      </c>
      <c r="AT29" s="601"/>
      <c r="AU29" s="123" t="s">
        <v>376</v>
      </c>
      <c r="AV29" s="120">
        <v>23</v>
      </c>
      <c r="AW29" s="598"/>
      <c r="AX29" s="478" t="s">
        <v>5631</v>
      </c>
      <c r="AY29" s="176">
        <v>24.75</v>
      </c>
      <c r="AZ29" s="603"/>
      <c r="BA29" s="519"/>
      <c r="BB29" s="519"/>
      <c r="BC29" s="519"/>
      <c r="BD29" s="519"/>
      <c r="BE29" s="519"/>
      <c r="BF29" s="519"/>
      <c r="BG29" s="519"/>
      <c r="BH29" s="519"/>
      <c r="BI29" s="519"/>
      <c r="BJ29" s="519"/>
      <c r="BK29" s="519"/>
      <c r="BL29" s="519"/>
      <c r="BM29" s="519"/>
      <c r="BN29" s="519"/>
      <c r="BO29" s="519"/>
      <c r="BP29" s="519"/>
      <c r="BQ29" s="519"/>
      <c r="BR29" s="519"/>
      <c r="BS29" s="519"/>
      <c r="BT29" s="519"/>
      <c r="BU29" s="519"/>
      <c r="BV29" s="519"/>
      <c r="BW29" s="519"/>
      <c r="BX29" s="519"/>
      <c r="BY29" s="519"/>
      <c r="BZ29" s="519"/>
      <c r="CA29" s="519"/>
      <c r="CB29" s="519"/>
      <c r="CC29" s="519"/>
      <c r="CD29" s="519"/>
      <c r="CE29" s="519"/>
      <c r="CF29" s="519"/>
      <c r="CG29" s="519"/>
      <c r="CH29" s="519"/>
      <c r="CI29" s="519"/>
      <c r="CJ29" s="519"/>
      <c r="CK29" s="519"/>
      <c r="CL29" s="519"/>
      <c r="CM29" s="519"/>
      <c r="CN29" s="519"/>
      <c r="CO29" s="519"/>
      <c r="CP29" s="519"/>
      <c r="CQ29" s="519"/>
      <c r="CR29" s="519"/>
      <c r="CS29" s="519"/>
      <c r="CT29" s="519"/>
      <c r="CU29" s="519"/>
      <c r="CV29" s="519"/>
      <c r="CW29" s="519"/>
      <c r="CX29" s="519"/>
      <c r="CY29" s="519"/>
      <c r="CZ29" s="519"/>
      <c r="DA29" s="519"/>
      <c r="DB29" s="519"/>
      <c r="DC29" s="519"/>
      <c r="DD29" s="519"/>
    </row>
    <row r="30" spans="7:108" ht="15.75" thickBot="1" x14ac:dyDescent="0.3">
      <c r="Q30" s="123" t="s">
        <v>5255</v>
      </c>
      <c r="R30" s="120">
        <v>26.75</v>
      </c>
      <c r="S30" s="597"/>
      <c r="T30" s="123" t="s">
        <v>4078</v>
      </c>
      <c r="U30" s="120">
        <v>10.75</v>
      </c>
      <c r="V30" s="597"/>
      <c r="W30" s="164" t="s">
        <v>3761</v>
      </c>
      <c r="X30" s="524">
        <v>10.75</v>
      </c>
      <c r="Y30" s="601"/>
      <c r="Z30" s="123" t="s">
        <v>883</v>
      </c>
      <c r="AA30" s="120">
        <v>22.75</v>
      </c>
      <c r="AB30" s="597"/>
      <c r="AC30" s="164" t="s">
        <v>5465</v>
      </c>
      <c r="AD30" s="524">
        <v>16.5</v>
      </c>
      <c r="AE30" s="601"/>
      <c r="AF30" s="123" t="s">
        <v>4013</v>
      </c>
      <c r="AG30" s="120">
        <v>26.75</v>
      </c>
      <c r="AH30" s="597"/>
      <c r="AI30" s="478" t="s">
        <v>5741</v>
      </c>
      <c r="AJ30" s="501">
        <v>19.75</v>
      </c>
      <c r="AK30" s="597"/>
      <c r="AL30" s="478" t="s">
        <v>84</v>
      </c>
      <c r="AM30" s="501">
        <v>23.25</v>
      </c>
      <c r="AN30" s="597"/>
      <c r="AO30" s="478" t="s">
        <v>4804</v>
      </c>
      <c r="AP30" s="501">
        <v>31.75</v>
      </c>
      <c r="AQ30" s="597"/>
      <c r="AR30" s="471" t="s">
        <v>4860</v>
      </c>
      <c r="AS30" s="500">
        <v>27.5</v>
      </c>
      <c r="AT30" s="596" t="s">
        <v>12664</v>
      </c>
      <c r="AU30" s="486" t="s">
        <v>353</v>
      </c>
      <c r="AV30" s="503">
        <v>16.25</v>
      </c>
      <c r="AW30" s="599"/>
      <c r="AX30" s="123" t="s">
        <v>5631</v>
      </c>
      <c r="AY30" s="176">
        <v>24.75</v>
      </c>
      <c r="AZ30" s="603"/>
      <c r="BA30" s="519"/>
      <c r="BB30" s="519"/>
      <c r="BC30" s="519"/>
      <c r="BD30" s="519"/>
      <c r="BE30" s="519"/>
      <c r="BF30" s="519"/>
      <c r="BG30" s="519"/>
      <c r="BH30" s="519"/>
      <c r="BI30" s="519"/>
      <c r="BJ30" s="519"/>
      <c r="BK30" s="519"/>
      <c r="BL30" s="519"/>
      <c r="BM30" s="519"/>
      <c r="BN30" s="519"/>
      <c r="BO30" s="519"/>
      <c r="BP30" s="519"/>
      <c r="BQ30" s="519"/>
      <c r="BR30" s="519"/>
      <c r="BS30" s="519"/>
      <c r="BT30" s="519"/>
      <c r="BU30" s="519"/>
      <c r="BV30" s="519"/>
      <c r="BW30" s="519"/>
      <c r="BX30" s="519"/>
      <c r="BY30" s="519"/>
      <c r="BZ30" s="519"/>
      <c r="CA30" s="519"/>
      <c r="CB30" s="519"/>
      <c r="CC30" s="519"/>
      <c r="CD30" s="519"/>
      <c r="CE30" s="519"/>
      <c r="CF30" s="519"/>
      <c r="CG30" s="519"/>
      <c r="CH30" s="519"/>
      <c r="CI30" s="519"/>
      <c r="CJ30" s="519"/>
      <c r="CK30" s="519"/>
      <c r="CL30" s="519"/>
      <c r="CM30" s="519"/>
      <c r="CN30" s="519"/>
      <c r="CO30" s="519"/>
      <c r="CP30" s="519"/>
      <c r="CQ30" s="519"/>
      <c r="CR30" s="519"/>
      <c r="CS30" s="519"/>
      <c r="CT30" s="519"/>
      <c r="CU30" s="519"/>
      <c r="CV30" s="519"/>
      <c r="CW30" s="519"/>
      <c r="CX30" s="519"/>
      <c r="CY30" s="519"/>
      <c r="CZ30" s="519"/>
      <c r="DA30" s="519"/>
      <c r="DB30" s="519"/>
      <c r="DC30" s="519"/>
      <c r="DD30" s="519"/>
    </row>
    <row r="31" spans="7:108" ht="15.75" thickBot="1" x14ac:dyDescent="0.3">
      <c r="Q31" s="123" t="s">
        <v>4752</v>
      </c>
      <c r="R31" s="120">
        <v>5.5</v>
      </c>
      <c r="S31" s="597"/>
      <c r="T31" s="164" t="s">
        <v>4058</v>
      </c>
      <c r="U31" s="524">
        <v>12</v>
      </c>
      <c r="V31" s="601"/>
      <c r="W31" s="124" t="s">
        <v>399</v>
      </c>
      <c r="X31" s="125">
        <v>4</v>
      </c>
      <c r="Y31" s="596" t="s">
        <v>12664</v>
      </c>
      <c r="Z31" s="123" t="s">
        <v>152</v>
      </c>
      <c r="AA31" s="120">
        <v>22.75</v>
      </c>
      <c r="AB31" s="597"/>
      <c r="AC31" s="124" t="s">
        <v>3215</v>
      </c>
      <c r="AD31" s="125">
        <v>25.25</v>
      </c>
      <c r="AE31" s="596" t="s">
        <v>12664</v>
      </c>
      <c r="AF31" s="123" t="s">
        <v>4013</v>
      </c>
      <c r="AG31" s="120">
        <v>26.75</v>
      </c>
      <c r="AH31" s="597"/>
      <c r="AI31" s="478" t="s">
        <v>5463</v>
      </c>
      <c r="AJ31" s="501">
        <v>19.75</v>
      </c>
      <c r="AK31" s="597"/>
      <c r="AL31" s="478" t="s">
        <v>376</v>
      </c>
      <c r="AM31" s="501">
        <v>23</v>
      </c>
      <c r="AN31" s="597"/>
      <c r="AO31" s="123" t="s">
        <v>5438</v>
      </c>
      <c r="AP31" s="120">
        <v>31.5</v>
      </c>
      <c r="AQ31" s="597"/>
      <c r="AR31" s="123" t="s">
        <v>4860</v>
      </c>
      <c r="AS31" s="120">
        <v>27.5</v>
      </c>
      <c r="AT31" s="597"/>
      <c r="AU31" s="471" t="s">
        <v>173</v>
      </c>
      <c r="AV31" s="500">
        <v>25.75</v>
      </c>
      <c r="AW31" s="600" t="s">
        <v>12664</v>
      </c>
      <c r="AX31" s="486" t="s">
        <v>124</v>
      </c>
      <c r="AY31" s="190">
        <v>19</v>
      </c>
      <c r="AZ31" s="604"/>
      <c r="BA31" s="519"/>
      <c r="BB31" s="519"/>
      <c r="BC31" s="519"/>
      <c r="BD31" s="519"/>
      <c r="BE31" s="519"/>
      <c r="BF31" s="519"/>
      <c r="BG31" s="519"/>
      <c r="BH31" s="519"/>
      <c r="BI31" s="519"/>
      <c r="BJ31" s="519"/>
      <c r="BK31" s="519"/>
      <c r="BL31" s="519"/>
      <c r="BM31" s="519"/>
      <c r="BN31" s="519"/>
      <c r="BO31" s="519"/>
      <c r="BP31" s="519"/>
      <c r="BQ31" s="519"/>
      <c r="BR31" s="519"/>
      <c r="BS31" s="519"/>
      <c r="BT31" s="519"/>
      <c r="BU31" s="519"/>
      <c r="BV31" s="519"/>
      <c r="BW31" s="519"/>
      <c r="BX31" s="519"/>
      <c r="BY31" s="519"/>
      <c r="BZ31" s="519"/>
      <c r="CA31" s="519"/>
      <c r="CB31" s="519"/>
      <c r="CC31" s="519"/>
      <c r="CD31" s="519"/>
      <c r="CE31" s="519"/>
      <c r="CF31" s="519"/>
      <c r="CG31" s="519"/>
      <c r="CH31" s="519"/>
      <c r="CI31" s="519"/>
      <c r="CJ31" s="519"/>
      <c r="CK31" s="519"/>
      <c r="CL31" s="519"/>
      <c r="CM31" s="519"/>
      <c r="CN31" s="519"/>
      <c r="CO31" s="519"/>
      <c r="CP31" s="519"/>
      <c r="CQ31" s="519"/>
      <c r="CR31" s="519"/>
      <c r="CS31" s="519"/>
      <c r="CT31" s="519"/>
      <c r="CU31" s="519"/>
      <c r="CV31" s="519"/>
      <c r="CW31" s="519"/>
      <c r="CX31" s="519"/>
      <c r="CY31" s="519"/>
      <c r="CZ31" s="519"/>
      <c r="DA31" s="519"/>
      <c r="DB31" s="519"/>
      <c r="DC31" s="519"/>
      <c r="DD31" s="519"/>
    </row>
    <row r="32" spans="7:108" ht="15.75" thickBot="1" x14ac:dyDescent="0.3">
      <c r="Q32" s="123" t="s">
        <v>5190</v>
      </c>
      <c r="R32" s="52">
        <v>24.75</v>
      </c>
      <c r="S32" s="597"/>
      <c r="T32" s="471" t="s">
        <v>3941</v>
      </c>
      <c r="U32" s="500">
        <v>23.75</v>
      </c>
      <c r="V32" s="596" t="s">
        <v>12664</v>
      </c>
      <c r="W32" s="123" t="s">
        <v>4324</v>
      </c>
      <c r="X32" s="120">
        <v>17.25</v>
      </c>
      <c r="Y32" s="597"/>
      <c r="Z32" s="123" t="s">
        <v>1600</v>
      </c>
      <c r="AA32" s="120">
        <v>22.5</v>
      </c>
      <c r="AB32" s="597"/>
      <c r="AC32" s="123" t="s">
        <v>5061</v>
      </c>
      <c r="AD32" s="120">
        <v>25.25</v>
      </c>
      <c r="AE32" s="597"/>
      <c r="AF32" s="123" t="s">
        <v>4488</v>
      </c>
      <c r="AG32" s="120">
        <v>26.75</v>
      </c>
      <c r="AH32" s="597"/>
      <c r="AI32" s="478" t="s">
        <v>3313</v>
      </c>
      <c r="AJ32" s="501">
        <v>19.5</v>
      </c>
      <c r="AK32" s="597"/>
      <c r="AL32" s="123" t="s">
        <v>5463</v>
      </c>
      <c r="AM32" s="120">
        <v>19.75</v>
      </c>
      <c r="AN32" s="597"/>
      <c r="AO32" s="164" t="s">
        <v>917</v>
      </c>
      <c r="AP32" s="524">
        <v>9.5</v>
      </c>
      <c r="AQ32" s="601"/>
      <c r="AR32" s="478" t="s">
        <v>110</v>
      </c>
      <c r="AS32" s="501">
        <v>27.25</v>
      </c>
      <c r="AT32" s="597"/>
      <c r="AU32" s="123" t="s">
        <v>173</v>
      </c>
      <c r="AV32" s="120">
        <v>25.75</v>
      </c>
      <c r="AW32" s="597"/>
      <c r="AX32" s="471" t="s">
        <v>5471</v>
      </c>
      <c r="AY32" s="125">
        <v>25</v>
      </c>
      <c r="AZ32" s="596" t="s">
        <v>12664</v>
      </c>
      <c r="BA32" s="519"/>
      <c r="BB32" s="519"/>
      <c r="BC32" s="519"/>
      <c r="BD32" s="519"/>
      <c r="BE32" s="519"/>
      <c r="BF32" s="519"/>
      <c r="BG32" s="519"/>
      <c r="BH32" s="519"/>
      <c r="BI32" s="519"/>
      <c r="BJ32" s="519"/>
      <c r="BK32" s="519"/>
      <c r="BL32" s="519"/>
      <c r="BM32" s="519"/>
      <c r="BN32" s="519"/>
      <c r="BO32" s="519"/>
      <c r="BP32" s="519"/>
      <c r="BQ32" s="519"/>
      <c r="BR32" s="519"/>
      <c r="BS32" s="519"/>
      <c r="BT32" s="519"/>
      <c r="BU32" s="519"/>
      <c r="BV32" s="519"/>
      <c r="BW32" s="519"/>
      <c r="BX32" s="519"/>
      <c r="BY32" s="519"/>
      <c r="BZ32" s="519"/>
      <c r="CA32" s="519"/>
      <c r="CB32" s="519"/>
      <c r="CC32" s="519"/>
      <c r="CD32" s="519"/>
      <c r="CE32" s="519"/>
      <c r="CF32" s="519"/>
      <c r="CG32" s="519"/>
      <c r="CH32" s="519"/>
      <c r="CI32" s="519"/>
      <c r="CJ32" s="519"/>
      <c r="CK32" s="519"/>
      <c r="CL32" s="519"/>
      <c r="CM32" s="519"/>
      <c r="CN32" s="519"/>
      <c r="CO32" s="519"/>
      <c r="CP32" s="519"/>
      <c r="CQ32" s="519"/>
      <c r="CR32" s="519"/>
      <c r="CS32" s="519"/>
      <c r="CT32" s="519"/>
      <c r="CU32" s="519"/>
      <c r="CV32" s="519"/>
      <c r="CW32" s="519"/>
      <c r="CX32" s="519"/>
      <c r="CY32" s="519"/>
      <c r="CZ32" s="519"/>
      <c r="DA32" s="519"/>
      <c r="DB32" s="519"/>
      <c r="DC32" s="519"/>
      <c r="DD32" s="519"/>
    </row>
    <row r="33" spans="7:108" ht="15.75" thickBot="1" x14ac:dyDescent="0.3">
      <c r="Q33" s="164" t="s">
        <v>5190</v>
      </c>
      <c r="R33" s="497">
        <v>24.75</v>
      </c>
      <c r="S33" s="601"/>
      <c r="T33" s="478" t="s">
        <v>424</v>
      </c>
      <c r="U33" s="501">
        <v>23.25</v>
      </c>
      <c r="V33" s="597"/>
      <c r="W33" s="123" t="s">
        <v>5163</v>
      </c>
      <c r="X33" s="120">
        <v>14</v>
      </c>
      <c r="Y33" s="597"/>
      <c r="Z33" s="123" t="s">
        <v>2512</v>
      </c>
      <c r="AA33" s="120">
        <v>21.25</v>
      </c>
      <c r="AB33" s="597"/>
      <c r="AC33" s="123" t="s">
        <v>5061</v>
      </c>
      <c r="AD33" s="120">
        <v>25.25</v>
      </c>
      <c r="AE33" s="597"/>
      <c r="AF33" s="123" t="s">
        <v>4488</v>
      </c>
      <c r="AG33" s="120">
        <v>26.75</v>
      </c>
      <c r="AH33" s="597"/>
      <c r="AI33" s="123" t="s">
        <v>3313</v>
      </c>
      <c r="AJ33" s="120">
        <v>19.5</v>
      </c>
      <c r="AK33" s="597"/>
      <c r="AL33" s="164" t="s">
        <v>4738</v>
      </c>
      <c r="AM33" s="524">
        <v>8.5</v>
      </c>
      <c r="AN33" s="601"/>
      <c r="AO33" s="124" t="s">
        <v>4804</v>
      </c>
      <c r="AP33" s="125">
        <v>31.75</v>
      </c>
      <c r="AQ33" s="596" t="s">
        <v>12664</v>
      </c>
      <c r="AR33" s="123" t="s">
        <v>110</v>
      </c>
      <c r="AS33" s="120">
        <v>27.25</v>
      </c>
      <c r="AT33" s="597"/>
      <c r="AU33" s="478" t="s">
        <v>5454</v>
      </c>
      <c r="AV33" s="501">
        <v>25.75</v>
      </c>
      <c r="AW33" s="597"/>
      <c r="AX33" s="123" t="s">
        <v>5471</v>
      </c>
      <c r="AY33" s="120">
        <v>25</v>
      </c>
      <c r="AZ33" s="597"/>
      <c r="BA33" s="519"/>
      <c r="BB33" s="519"/>
      <c r="BC33" s="519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519"/>
      <c r="BV33" s="519"/>
      <c r="BW33" s="519"/>
      <c r="BX33" s="519"/>
      <c r="BY33" s="519"/>
      <c r="BZ33" s="519"/>
      <c r="CA33" s="519"/>
      <c r="CB33" s="519"/>
      <c r="CC33" s="519"/>
      <c r="CD33" s="519"/>
      <c r="CE33" s="519"/>
      <c r="CF33" s="519"/>
      <c r="CG33" s="519"/>
      <c r="CH33" s="519"/>
      <c r="CI33" s="519"/>
      <c r="CJ33" s="519"/>
      <c r="CK33" s="519"/>
      <c r="CL33" s="519"/>
      <c r="CM33" s="519"/>
      <c r="CN33" s="519"/>
      <c r="CO33" s="519"/>
      <c r="CP33" s="519"/>
      <c r="CQ33" s="519"/>
      <c r="CR33" s="519"/>
      <c r="CS33" s="519"/>
      <c r="CT33" s="519"/>
      <c r="CU33" s="519"/>
      <c r="CV33" s="519"/>
      <c r="CW33" s="519"/>
      <c r="CX33" s="519"/>
      <c r="CY33" s="519"/>
      <c r="CZ33" s="519"/>
      <c r="DA33" s="519"/>
      <c r="DB33" s="519"/>
      <c r="DC33" s="519"/>
      <c r="DD33" s="519"/>
    </row>
    <row r="34" spans="7:108" ht="15.75" thickBot="1" x14ac:dyDescent="0.3">
      <c r="T34" s="478" t="s">
        <v>5392</v>
      </c>
      <c r="U34" s="501">
        <v>23.25</v>
      </c>
      <c r="V34" s="597"/>
      <c r="W34" s="123" t="s">
        <v>5064</v>
      </c>
      <c r="X34" s="120">
        <v>17.5</v>
      </c>
      <c r="Y34" s="597"/>
      <c r="Z34" s="164" t="s">
        <v>3481</v>
      </c>
      <c r="AA34" s="524">
        <v>9.75</v>
      </c>
      <c r="AB34" s="601"/>
      <c r="AC34" s="123" t="s">
        <v>4851</v>
      </c>
      <c r="AD34" s="120">
        <v>25.25</v>
      </c>
      <c r="AE34" s="597"/>
      <c r="AF34" s="123" t="s">
        <v>5653</v>
      </c>
      <c r="AG34" s="120">
        <v>26.25</v>
      </c>
      <c r="AH34" s="597"/>
      <c r="AI34" s="123" t="s">
        <v>234</v>
      </c>
      <c r="AJ34" s="120">
        <v>18.5</v>
      </c>
      <c r="AK34" s="597"/>
      <c r="AL34" s="124" t="s">
        <v>182</v>
      </c>
      <c r="AM34" s="125">
        <v>23.25</v>
      </c>
      <c r="AN34" s="596" t="s">
        <v>12664</v>
      </c>
      <c r="AO34" s="478" t="s">
        <v>71</v>
      </c>
      <c r="AP34" s="501">
        <v>31.75</v>
      </c>
      <c r="AQ34" s="597"/>
      <c r="AR34" s="123" t="s">
        <v>110</v>
      </c>
      <c r="AS34" s="120">
        <v>27.25</v>
      </c>
      <c r="AT34" s="597"/>
      <c r="AU34" s="478" t="s">
        <v>433</v>
      </c>
      <c r="AV34" s="501">
        <v>25.5</v>
      </c>
      <c r="AW34" s="597"/>
      <c r="AX34" s="123" t="s">
        <v>5471</v>
      </c>
      <c r="AY34" s="120">
        <v>25</v>
      </c>
      <c r="AZ34" s="597"/>
      <c r="BA34" s="519"/>
      <c r="BB34" s="519"/>
      <c r="BC34" s="519"/>
      <c r="BD34" s="519"/>
      <c r="BE34" s="519"/>
      <c r="BF34" s="519"/>
      <c r="BG34" s="519"/>
      <c r="BH34" s="519"/>
      <c r="BI34" s="519"/>
      <c r="BJ34" s="519"/>
      <c r="BK34" s="519"/>
      <c r="BL34" s="519"/>
      <c r="BM34" s="519"/>
      <c r="BN34" s="519"/>
      <c r="BO34" s="519"/>
      <c r="BP34" s="519"/>
      <c r="BQ34" s="519"/>
      <c r="BR34" s="519"/>
      <c r="BS34" s="519"/>
      <c r="BT34" s="519"/>
      <c r="BU34" s="519"/>
      <c r="BV34" s="519"/>
      <c r="BW34" s="519"/>
      <c r="BX34" s="519"/>
      <c r="BY34" s="519"/>
      <c r="BZ34" s="519"/>
      <c r="CA34" s="519"/>
      <c r="CB34" s="519"/>
      <c r="CC34" s="519"/>
      <c r="CD34" s="519"/>
      <c r="CE34" s="519"/>
      <c r="CF34" s="519"/>
      <c r="CG34" s="519"/>
      <c r="CH34" s="519"/>
      <c r="CI34" s="519"/>
      <c r="CJ34" s="519"/>
      <c r="CK34" s="519"/>
      <c r="CL34" s="519"/>
      <c r="CM34" s="519"/>
      <c r="CN34" s="519"/>
      <c r="CO34" s="519"/>
      <c r="CP34" s="519"/>
      <c r="CQ34" s="519"/>
      <c r="CR34" s="519"/>
      <c r="CS34" s="519"/>
      <c r="CT34" s="519"/>
      <c r="CU34" s="519"/>
      <c r="CV34" s="519"/>
      <c r="CW34" s="519"/>
      <c r="CX34" s="519"/>
      <c r="CY34" s="519"/>
      <c r="CZ34" s="519"/>
      <c r="DA34" s="519"/>
      <c r="DB34" s="519"/>
      <c r="DC34" s="519"/>
      <c r="DD34" s="519"/>
    </row>
    <row r="35" spans="7:108" ht="15.75" thickBot="1" x14ac:dyDescent="0.3">
      <c r="T35" s="123" t="s">
        <v>402</v>
      </c>
      <c r="U35" s="120">
        <v>23.5</v>
      </c>
      <c r="V35" s="597"/>
      <c r="W35" s="123" t="s">
        <v>5452</v>
      </c>
      <c r="X35" s="120">
        <v>18</v>
      </c>
      <c r="Y35" s="597"/>
      <c r="Z35" s="124" t="s">
        <v>4644</v>
      </c>
      <c r="AA35" s="125">
        <v>23</v>
      </c>
      <c r="AB35" s="596" t="s">
        <v>12664</v>
      </c>
      <c r="AC35" s="123" t="s">
        <v>4851</v>
      </c>
      <c r="AD35" s="120">
        <v>25.25</v>
      </c>
      <c r="AE35" s="597"/>
      <c r="AF35" s="164" t="s">
        <v>426</v>
      </c>
      <c r="AG35" s="524">
        <v>7.5</v>
      </c>
      <c r="AH35" s="601"/>
      <c r="AI35" s="164" t="s">
        <v>5549</v>
      </c>
      <c r="AJ35" s="524">
        <v>9.75</v>
      </c>
      <c r="AK35" s="601"/>
      <c r="AL35" s="123" t="s">
        <v>5672</v>
      </c>
      <c r="AM35" s="120">
        <v>23.25</v>
      </c>
      <c r="AN35" s="597"/>
      <c r="AO35" s="123" t="s">
        <v>71</v>
      </c>
      <c r="AP35" s="120">
        <v>31.75</v>
      </c>
      <c r="AQ35" s="597"/>
      <c r="AR35" s="123" t="s">
        <v>1965</v>
      </c>
      <c r="AS35" s="120">
        <v>17</v>
      </c>
      <c r="AT35" s="597"/>
      <c r="AU35" s="123" t="s">
        <v>433</v>
      </c>
      <c r="AV35" s="120">
        <v>25.5</v>
      </c>
      <c r="AW35" s="597"/>
      <c r="AX35" s="478" t="s">
        <v>5534</v>
      </c>
      <c r="AY35" s="120">
        <v>25</v>
      </c>
      <c r="AZ35" s="597"/>
      <c r="BA35" s="519"/>
      <c r="BB35" s="519"/>
      <c r="BC35" s="519"/>
      <c r="BD35" s="519"/>
      <c r="BE35" s="519"/>
      <c r="BF35" s="519"/>
      <c r="BG35" s="519"/>
      <c r="BH35" s="519"/>
      <c r="BI35" s="519"/>
      <c r="BJ35" s="519"/>
      <c r="BK35" s="519"/>
      <c r="BL35" s="519"/>
      <c r="BM35" s="519"/>
      <c r="BN35" s="519"/>
      <c r="BO35" s="519"/>
      <c r="BP35" s="519"/>
      <c r="BQ35" s="519"/>
      <c r="BR35" s="519"/>
      <c r="BS35" s="519"/>
      <c r="BT35" s="519"/>
      <c r="BU35" s="519"/>
      <c r="BV35" s="519"/>
      <c r="BW35" s="519"/>
      <c r="BX35" s="519"/>
      <c r="BY35" s="519"/>
      <c r="BZ35" s="519"/>
      <c r="CA35" s="519"/>
      <c r="CB35" s="519"/>
      <c r="CC35" s="519"/>
      <c r="CD35" s="519"/>
      <c r="CE35" s="519"/>
      <c r="CF35" s="519"/>
      <c r="CG35" s="519"/>
      <c r="CH35" s="519"/>
      <c r="CI35" s="519"/>
      <c r="CJ35" s="519"/>
      <c r="CK35" s="519"/>
      <c r="CL35" s="519"/>
      <c r="CM35" s="519"/>
      <c r="CN35" s="519"/>
      <c r="CO35" s="519"/>
      <c r="CP35" s="519"/>
      <c r="CQ35" s="519"/>
      <c r="CR35" s="519"/>
      <c r="CS35" s="519"/>
      <c r="CT35" s="519"/>
      <c r="CU35" s="519"/>
      <c r="CV35" s="519"/>
      <c r="CW35" s="519"/>
      <c r="CX35" s="519"/>
      <c r="CY35" s="519"/>
      <c r="CZ35" s="519"/>
      <c r="DA35" s="519"/>
      <c r="DB35" s="519"/>
      <c r="DC35" s="519"/>
      <c r="DD35" s="519"/>
    </row>
    <row r="36" spans="7:108" ht="15.75" thickBot="1" x14ac:dyDescent="0.3">
      <c r="G36" s="535"/>
      <c r="H36" s="470"/>
      <c r="I36" s="470"/>
      <c r="T36" s="478" t="s">
        <v>4924</v>
      </c>
      <c r="U36" s="501">
        <v>24</v>
      </c>
      <c r="V36" s="597"/>
      <c r="W36" s="478" t="s">
        <v>484</v>
      </c>
      <c r="X36" s="120">
        <v>16.25</v>
      </c>
      <c r="Y36" s="597"/>
      <c r="Z36" s="123" t="s">
        <v>883</v>
      </c>
      <c r="AA36" s="120">
        <v>22.75</v>
      </c>
      <c r="AB36" s="597"/>
      <c r="AC36" s="478" t="s">
        <v>5443</v>
      </c>
      <c r="AD36" s="120">
        <v>25</v>
      </c>
      <c r="AE36" s="597"/>
      <c r="AF36" s="124" t="s">
        <v>4404</v>
      </c>
      <c r="AG36" s="125">
        <v>26.5</v>
      </c>
      <c r="AH36" s="596" t="s">
        <v>12664</v>
      </c>
      <c r="AI36" s="124" t="s">
        <v>234</v>
      </c>
      <c r="AJ36" s="125">
        <v>18.5</v>
      </c>
      <c r="AK36" s="600" t="s">
        <v>12664</v>
      </c>
      <c r="AL36" s="123" t="s">
        <v>84</v>
      </c>
      <c r="AM36" s="120">
        <v>23.25</v>
      </c>
      <c r="AN36" s="597"/>
      <c r="AO36" s="478" t="s">
        <v>5047</v>
      </c>
      <c r="AP36" s="501">
        <v>31.5</v>
      </c>
      <c r="AQ36" s="597"/>
      <c r="AR36" s="486" t="s">
        <v>137</v>
      </c>
      <c r="AS36" s="503">
        <v>14.25</v>
      </c>
      <c r="AT36" s="601"/>
      <c r="AU36" s="478" t="s">
        <v>6</v>
      </c>
      <c r="AV36" s="501">
        <v>23.5</v>
      </c>
      <c r="AW36" s="597"/>
      <c r="AX36" s="478" t="s">
        <v>5513</v>
      </c>
      <c r="AY36" s="120">
        <v>25</v>
      </c>
      <c r="AZ36" s="597"/>
      <c r="BA36" s="519"/>
      <c r="BB36" s="519"/>
      <c r="BC36" s="519"/>
      <c r="BD36" s="519"/>
      <c r="BE36" s="519"/>
      <c r="BF36" s="519"/>
      <c r="BG36" s="519"/>
      <c r="BH36" s="519"/>
      <c r="BI36" s="519"/>
      <c r="BJ36" s="519"/>
      <c r="BK36" s="519"/>
      <c r="BL36" s="519"/>
      <c r="BM36" s="519"/>
      <c r="BN36" s="519"/>
      <c r="BO36" s="519"/>
      <c r="BP36" s="519"/>
      <c r="BQ36" s="519"/>
      <c r="BR36" s="519"/>
      <c r="BS36" s="519"/>
      <c r="BT36" s="519"/>
      <c r="BU36" s="519"/>
      <c r="BV36" s="519"/>
      <c r="BW36" s="519"/>
      <c r="BX36" s="519"/>
      <c r="BY36" s="519"/>
      <c r="BZ36" s="519"/>
      <c r="CA36" s="519"/>
      <c r="CB36" s="519"/>
      <c r="CC36" s="519"/>
      <c r="CD36" s="519"/>
      <c r="CE36" s="519"/>
      <c r="CF36" s="519"/>
      <c r="CG36" s="519"/>
      <c r="CH36" s="519"/>
      <c r="CI36" s="519"/>
      <c r="CJ36" s="519"/>
      <c r="CK36" s="519"/>
      <c r="CL36" s="519"/>
      <c r="CM36" s="519"/>
      <c r="CN36" s="519"/>
      <c r="CO36" s="519"/>
      <c r="CP36" s="519"/>
      <c r="CQ36" s="519"/>
      <c r="CR36" s="519"/>
      <c r="CS36" s="519"/>
      <c r="CT36" s="519"/>
      <c r="CU36" s="519"/>
      <c r="CV36" s="519"/>
      <c r="CW36" s="519"/>
      <c r="CX36" s="519"/>
      <c r="CY36" s="519"/>
      <c r="CZ36" s="519"/>
      <c r="DA36" s="519"/>
      <c r="DB36" s="519"/>
      <c r="DC36" s="519"/>
      <c r="DD36" s="519"/>
    </row>
    <row r="37" spans="7:108" ht="15.75" thickBot="1" x14ac:dyDescent="0.3">
      <c r="T37" s="478" t="s">
        <v>5485</v>
      </c>
      <c r="U37" s="501">
        <v>3.25</v>
      </c>
      <c r="V37" s="597"/>
      <c r="W37" s="123" t="s">
        <v>4735</v>
      </c>
      <c r="X37" s="120">
        <v>17.25</v>
      </c>
      <c r="Y37" s="597"/>
      <c r="Z37" s="123" t="s">
        <v>152</v>
      </c>
      <c r="AA37" s="120">
        <v>22.75</v>
      </c>
      <c r="AB37" s="597"/>
      <c r="AC37" s="164" t="s">
        <v>5616</v>
      </c>
      <c r="AD37" s="524">
        <v>16.75</v>
      </c>
      <c r="AE37" s="601"/>
      <c r="AF37" s="123" t="s">
        <v>4404</v>
      </c>
      <c r="AG37" s="120">
        <v>26.5</v>
      </c>
      <c r="AH37" s="597"/>
      <c r="AI37" s="478" t="s">
        <v>5155</v>
      </c>
      <c r="AJ37" s="501">
        <v>18.5</v>
      </c>
      <c r="AK37" s="598"/>
      <c r="AL37" s="478" t="s">
        <v>309</v>
      </c>
      <c r="AM37" s="501">
        <v>23</v>
      </c>
      <c r="AN37" s="597"/>
      <c r="AO37" s="123" t="s">
        <v>5047</v>
      </c>
      <c r="AP37" s="120">
        <v>31.5</v>
      </c>
      <c r="AQ37" s="597"/>
      <c r="AR37" s="124" t="s">
        <v>5430</v>
      </c>
      <c r="AS37" s="125">
        <v>28.25</v>
      </c>
      <c r="AT37" s="596" t="s">
        <v>12664</v>
      </c>
      <c r="AU37" s="164" t="s">
        <v>2531</v>
      </c>
      <c r="AV37" s="524">
        <v>16.25</v>
      </c>
      <c r="AW37" s="601"/>
      <c r="AX37" s="123" t="s">
        <v>288</v>
      </c>
      <c r="AY37" s="120">
        <v>24.5</v>
      </c>
      <c r="AZ37" s="597"/>
      <c r="BA37" s="519"/>
      <c r="BB37" s="519"/>
      <c r="BC37" s="519"/>
      <c r="BD37" s="519"/>
      <c r="BE37" s="519"/>
      <c r="BF37" s="519"/>
      <c r="BG37" s="519"/>
      <c r="BH37" s="519"/>
      <c r="BI37" s="519"/>
      <c r="BJ37" s="519"/>
      <c r="BK37" s="519"/>
      <c r="BL37" s="519"/>
      <c r="BM37" s="519"/>
      <c r="BN37" s="519"/>
      <c r="BO37" s="519"/>
      <c r="BP37" s="519"/>
      <c r="BQ37" s="519"/>
      <c r="BR37" s="519"/>
      <c r="BS37" s="519"/>
      <c r="BT37" s="519"/>
      <c r="BU37" s="519"/>
      <c r="BV37" s="519"/>
      <c r="BW37" s="519"/>
      <c r="BX37" s="519"/>
      <c r="BY37" s="519"/>
      <c r="BZ37" s="519"/>
      <c r="CA37" s="519"/>
      <c r="CB37" s="519"/>
      <c r="CC37" s="519"/>
      <c r="CD37" s="519"/>
      <c r="CE37" s="519"/>
      <c r="CF37" s="519"/>
      <c r="CG37" s="519"/>
      <c r="CH37" s="519"/>
      <c r="CI37" s="519"/>
      <c r="CJ37" s="519"/>
      <c r="CK37" s="519"/>
      <c r="CL37" s="519"/>
      <c r="CM37" s="519"/>
      <c r="CN37" s="519"/>
      <c r="CO37" s="519"/>
      <c r="CP37" s="519"/>
      <c r="CQ37" s="519"/>
      <c r="CR37" s="519"/>
      <c r="CS37" s="519"/>
      <c r="CT37" s="519"/>
      <c r="CU37" s="519"/>
      <c r="CV37" s="519"/>
      <c r="CW37" s="519"/>
      <c r="CX37" s="519"/>
      <c r="CY37" s="519"/>
      <c r="CZ37" s="519"/>
      <c r="DA37" s="519"/>
      <c r="DB37" s="519"/>
      <c r="DC37" s="519"/>
      <c r="DD37" s="519"/>
    </row>
    <row r="38" spans="7:108" ht="15.75" thickBot="1" x14ac:dyDescent="0.3">
      <c r="T38" s="478" t="s">
        <v>3650</v>
      </c>
      <c r="U38" s="501">
        <v>23.5</v>
      </c>
      <c r="V38" s="597"/>
      <c r="W38" s="123" t="s">
        <v>3361</v>
      </c>
      <c r="X38" s="120">
        <v>17.5</v>
      </c>
      <c r="Y38" s="597"/>
      <c r="Z38" s="123" t="s">
        <v>1600</v>
      </c>
      <c r="AA38" s="120">
        <v>22.5</v>
      </c>
      <c r="AB38" s="597"/>
      <c r="AC38" s="124" t="s">
        <v>5443</v>
      </c>
      <c r="AD38" s="125">
        <v>25</v>
      </c>
      <c r="AE38" s="596" t="s">
        <v>12664</v>
      </c>
      <c r="AF38" s="123" t="s">
        <v>4447</v>
      </c>
      <c r="AG38" s="120">
        <v>26.5</v>
      </c>
      <c r="AH38" s="597"/>
      <c r="AI38" s="478" t="s">
        <v>2106</v>
      </c>
      <c r="AJ38" s="501">
        <v>18.25</v>
      </c>
      <c r="AK38" s="598"/>
      <c r="AL38" s="478" t="s">
        <v>200</v>
      </c>
      <c r="AM38" s="501">
        <v>23</v>
      </c>
      <c r="AN38" s="597"/>
      <c r="AO38" s="486" t="s">
        <v>5549</v>
      </c>
      <c r="AP38" s="503">
        <v>9.75</v>
      </c>
      <c r="AQ38" s="601"/>
      <c r="AR38" s="478" t="s">
        <v>335</v>
      </c>
      <c r="AS38" s="501">
        <v>28.25</v>
      </c>
      <c r="AT38" s="597"/>
      <c r="AU38" s="124" t="s">
        <v>433</v>
      </c>
      <c r="AV38" s="125">
        <v>25.5</v>
      </c>
      <c r="AW38" s="596" t="s">
        <v>12664</v>
      </c>
      <c r="AX38" s="164" t="s">
        <v>5703</v>
      </c>
      <c r="AY38" s="524">
        <v>18.5</v>
      </c>
      <c r="AZ38" s="601"/>
      <c r="BA38" s="519"/>
      <c r="BB38" s="519"/>
      <c r="BC38" s="519"/>
      <c r="BD38" s="519"/>
      <c r="BE38" s="519"/>
      <c r="BF38" s="519"/>
      <c r="BG38" s="519"/>
      <c r="BH38" s="519"/>
      <c r="BI38" s="519"/>
      <c r="BJ38" s="519"/>
      <c r="BK38" s="519"/>
      <c r="BL38" s="519"/>
      <c r="BM38" s="519"/>
      <c r="BN38" s="519"/>
      <c r="BO38" s="519"/>
      <c r="BP38" s="519"/>
      <c r="BQ38" s="519"/>
      <c r="BR38" s="519"/>
      <c r="BS38" s="519"/>
      <c r="BT38" s="519"/>
      <c r="BU38" s="519"/>
      <c r="BV38" s="519"/>
      <c r="BW38" s="519"/>
      <c r="BX38" s="519"/>
      <c r="BY38" s="519"/>
      <c r="BZ38" s="519"/>
      <c r="CA38" s="519"/>
      <c r="CB38" s="519"/>
      <c r="CC38" s="519"/>
      <c r="CD38" s="519"/>
      <c r="CE38" s="519"/>
      <c r="CF38" s="519"/>
      <c r="CG38" s="519"/>
      <c r="CH38" s="519"/>
      <c r="CI38" s="519"/>
      <c r="CJ38" s="519"/>
      <c r="CK38" s="519"/>
      <c r="CL38" s="519"/>
      <c r="CM38" s="519"/>
      <c r="CN38" s="519"/>
      <c r="CO38" s="519"/>
      <c r="CP38" s="519"/>
      <c r="CQ38" s="519"/>
      <c r="CR38" s="519"/>
      <c r="CS38" s="519"/>
      <c r="CT38" s="519"/>
      <c r="CU38" s="519"/>
      <c r="CV38" s="519"/>
      <c r="CW38" s="519"/>
      <c r="CX38" s="519"/>
      <c r="CY38" s="519"/>
      <c r="CZ38" s="519"/>
      <c r="DA38" s="519"/>
      <c r="DB38" s="519"/>
      <c r="DC38" s="519"/>
      <c r="DD38" s="519"/>
    </row>
    <row r="39" spans="7:108" ht="15.75" thickBot="1" x14ac:dyDescent="0.3">
      <c r="T39" s="486" t="s">
        <v>4891</v>
      </c>
      <c r="U39" s="503">
        <v>23.5</v>
      </c>
      <c r="V39" s="601"/>
      <c r="W39" s="123" t="s">
        <v>3292</v>
      </c>
      <c r="X39" s="120">
        <v>16.25</v>
      </c>
      <c r="Y39" s="597"/>
      <c r="Z39" s="123" t="s">
        <v>2394</v>
      </c>
      <c r="AA39" s="120">
        <v>21.75</v>
      </c>
      <c r="AB39" s="597"/>
      <c r="AC39" s="123" t="s">
        <v>5443</v>
      </c>
      <c r="AD39" s="120">
        <v>25</v>
      </c>
      <c r="AE39" s="597"/>
      <c r="AF39" s="123" t="s">
        <v>4447</v>
      </c>
      <c r="AG39" s="120">
        <v>26.5</v>
      </c>
      <c r="AH39" s="597"/>
      <c r="AI39" s="478" t="s">
        <v>4548</v>
      </c>
      <c r="AJ39" s="501">
        <v>17.5</v>
      </c>
      <c r="AK39" s="598"/>
      <c r="AL39" s="478" t="s">
        <v>195</v>
      </c>
      <c r="AM39" s="501">
        <v>23</v>
      </c>
      <c r="AN39" s="597"/>
      <c r="AO39" s="471" t="s">
        <v>170</v>
      </c>
      <c r="AP39" s="500">
        <v>31.25</v>
      </c>
      <c r="AQ39" s="596" t="s">
        <v>12664</v>
      </c>
      <c r="AR39" s="123" t="s">
        <v>335</v>
      </c>
      <c r="AS39" s="120">
        <v>28.25</v>
      </c>
      <c r="AT39" s="597"/>
      <c r="AU39" s="478" t="s">
        <v>252</v>
      </c>
      <c r="AV39" s="501">
        <v>25.5</v>
      </c>
      <c r="AW39" s="597"/>
      <c r="AX39" s="471" t="s">
        <v>5613</v>
      </c>
      <c r="AY39" s="125">
        <v>25.5</v>
      </c>
      <c r="AZ39" s="596" t="s">
        <v>12664</v>
      </c>
      <c r="BA39" s="519"/>
      <c r="BB39" s="519"/>
      <c r="BC39" s="519"/>
      <c r="BD39" s="519"/>
      <c r="BE39" s="519"/>
      <c r="BF39" s="519"/>
      <c r="BG39" s="519"/>
      <c r="BH39" s="519"/>
      <c r="BI39" s="519"/>
      <c r="BJ39" s="519"/>
      <c r="BK39" s="519"/>
      <c r="BL39" s="519"/>
      <c r="BM39" s="519"/>
      <c r="BN39" s="519"/>
      <c r="BO39" s="519"/>
      <c r="BP39" s="519"/>
      <c r="BQ39" s="519"/>
      <c r="BR39" s="519"/>
      <c r="BS39" s="519"/>
      <c r="BT39" s="519"/>
      <c r="BU39" s="519"/>
      <c r="BV39" s="519"/>
      <c r="BW39" s="519"/>
      <c r="BX39" s="519"/>
      <c r="BY39" s="519"/>
      <c r="BZ39" s="519"/>
      <c r="CA39" s="519"/>
      <c r="CB39" s="519"/>
      <c r="CC39" s="519"/>
      <c r="CD39" s="519"/>
      <c r="CE39" s="519"/>
      <c r="CF39" s="519"/>
      <c r="CG39" s="519"/>
      <c r="CH39" s="519"/>
      <c r="CI39" s="519"/>
      <c r="CJ39" s="519"/>
      <c r="CK39" s="519"/>
      <c r="CL39" s="519"/>
      <c r="CM39" s="519"/>
      <c r="CN39" s="519"/>
      <c r="CO39" s="519"/>
      <c r="CP39" s="519"/>
      <c r="CQ39" s="519"/>
      <c r="CR39" s="519"/>
      <c r="CS39" s="519"/>
      <c r="CT39" s="519"/>
      <c r="CU39" s="519"/>
      <c r="CV39" s="519"/>
      <c r="CW39" s="519"/>
      <c r="CX39" s="519"/>
      <c r="CY39" s="519"/>
      <c r="CZ39" s="519"/>
      <c r="DA39" s="519"/>
      <c r="DB39" s="519"/>
      <c r="DC39" s="519"/>
      <c r="DD39" s="519"/>
    </row>
    <row r="40" spans="7:108" x14ac:dyDescent="0.25">
      <c r="T40" s="124" t="s">
        <v>4551</v>
      </c>
      <c r="U40" s="175">
        <v>23</v>
      </c>
      <c r="V40" s="596" t="s">
        <v>12664</v>
      </c>
      <c r="W40" s="123" t="s">
        <v>4570</v>
      </c>
      <c r="X40" s="120">
        <v>13.5</v>
      </c>
      <c r="Y40" s="597"/>
      <c r="Z40" s="123" t="s">
        <v>3329</v>
      </c>
      <c r="AA40" s="120">
        <v>21.75</v>
      </c>
      <c r="AB40" s="597"/>
      <c r="AC40" s="123" t="s">
        <v>5221</v>
      </c>
      <c r="AD40" s="120">
        <v>25</v>
      </c>
      <c r="AE40" s="597"/>
      <c r="AF40" s="123" t="s">
        <v>5653</v>
      </c>
      <c r="AG40" s="120">
        <v>26.25</v>
      </c>
      <c r="AH40" s="597"/>
      <c r="AI40" s="123" t="s">
        <v>5267</v>
      </c>
      <c r="AJ40" s="120">
        <v>17.25</v>
      </c>
      <c r="AK40" s="598"/>
      <c r="AL40" s="478" t="s">
        <v>5762</v>
      </c>
      <c r="AM40" s="501">
        <v>20.75</v>
      </c>
      <c r="AN40" s="597"/>
      <c r="AO40" s="123" t="s">
        <v>170</v>
      </c>
      <c r="AP40" s="120">
        <v>31.25</v>
      </c>
      <c r="AQ40" s="597"/>
      <c r="AR40" s="123" t="s">
        <v>335</v>
      </c>
      <c r="AS40" s="120">
        <v>28.25</v>
      </c>
      <c r="AT40" s="597"/>
      <c r="AU40" s="478" t="s">
        <v>55</v>
      </c>
      <c r="AV40" s="501">
        <v>25.5</v>
      </c>
      <c r="AW40" s="597"/>
      <c r="AX40" s="123" t="s">
        <v>5613</v>
      </c>
      <c r="AY40" s="120">
        <v>25.5</v>
      </c>
      <c r="AZ40" s="597"/>
      <c r="BA40" s="519"/>
      <c r="BB40" s="519"/>
      <c r="BC40" s="519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519"/>
      <c r="BV40" s="519"/>
      <c r="BW40" s="519"/>
      <c r="BX40" s="519"/>
      <c r="BY40" s="519"/>
      <c r="BZ40" s="519"/>
      <c r="CA40" s="519"/>
      <c r="CB40" s="519"/>
      <c r="CC40" s="519"/>
      <c r="CD40" s="519"/>
      <c r="CE40" s="519"/>
      <c r="CF40" s="519"/>
      <c r="CG40" s="519"/>
      <c r="CH40" s="519"/>
      <c r="CI40" s="519"/>
      <c r="CJ40" s="519"/>
      <c r="CK40" s="519"/>
      <c r="CL40" s="519"/>
      <c r="CM40" s="519"/>
      <c r="CN40" s="519"/>
      <c r="CO40" s="519"/>
      <c r="CP40" s="519"/>
      <c r="CQ40" s="519"/>
      <c r="CR40" s="519"/>
      <c r="CS40" s="519"/>
      <c r="CT40" s="519"/>
      <c r="CU40" s="519"/>
      <c r="CV40" s="519"/>
      <c r="CW40" s="519"/>
      <c r="CX40" s="519"/>
      <c r="CY40" s="519"/>
      <c r="CZ40" s="519"/>
      <c r="DA40" s="519"/>
      <c r="DB40" s="519"/>
      <c r="DC40" s="519"/>
      <c r="DD40" s="519"/>
    </row>
    <row r="41" spans="7:108" ht="15.75" thickBot="1" x14ac:dyDescent="0.3">
      <c r="T41" s="478" t="s">
        <v>2512</v>
      </c>
      <c r="U41" s="510">
        <v>21.25</v>
      </c>
      <c r="V41" s="597"/>
      <c r="W41" s="164" t="s">
        <v>3371</v>
      </c>
      <c r="X41" s="524">
        <v>16.5</v>
      </c>
      <c r="Y41" s="601"/>
      <c r="Z41" s="123" t="s">
        <v>5171</v>
      </c>
      <c r="AA41" s="120">
        <v>21.75</v>
      </c>
      <c r="AB41" s="597"/>
      <c r="AC41" s="123" t="s">
        <v>5221</v>
      </c>
      <c r="AD41" s="120">
        <v>25</v>
      </c>
      <c r="AE41" s="597"/>
      <c r="AF41" s="478" t="s">
        <v>316</v>
      </c>
      <c r="AG41" s="120">
        <v>26</v>
      </c>
      <c r="AH41" s="597"/>
      <c r="AI41" s="478" t="s">
        <v>5727</v>
      </c>
      <c r="AJ41" s="501">
        <v>17.25</v>
      </c>
      <c r="AK41" s="598"/>
      <c r="AL41" s="486" t="s">
        <v>4738</v>
      </c>
      <c r="AM41" s="503">
        <v>8.5</v>
      </c>
      <c r="AN41" s="601"/>
      <c r="AO41" s="478" t="s">
        <v>485</v>
      </c>
      <c r="AP41" s="501">
        <v>31</v>
      </c>
      <c r="AQ41" s="597"/>
      <c r="AR41" s="478" t="s">
        <v>5260</v>
      </c>
      <c r="AS41" s="501">
        <v>28</v>
      </c>
      <c r="AT41" s="597"/>
      <c r="AU41" s="123" t="s">
        <v>55</v>
      </c>
      <c r="AV41" s="120">
        <v>25.5</v>
      </c>
      <c r="AW41" s="597"/>
      <c r="AX41" s="478" t="s">
        <v>5563</v>
      </c>
      <c r="AY41" s="120">
        <v>25.25</v>
      </c>
      <c r="AZ41" s="597"/>
      <c r="BA41" s="519"/>
      <c r="BB41" s="519"/>
      <c r="BC41" s="519"/>
      <c r="BD41" s="519"/>
      <c r="BE41" s="519"/>
      <c r="BF41" s="519"/>
      <c r="BG41" s="519"/>
      <c r="BH41" s="519"/>
      <c r="BI41" s="519"/>
      <c r="BJ41" s="519"/>
      <c r="BK41" s="519"/>
      <c r="BL41" s="519"/>
      <c r="BM41" s="519"/>
      <c r="BN41" s="519"/>
      <c r="BO41" s="519"/>
      <c r="BP41" s="519"/>
      <c r="BQ41" s="519"/>
      <c r="BR41" s="519"/>
      <c r="BS41" s="519"/>
      <c r="BT41" s="519"/>
      <c r="BU41" s="519"/>
      <c r="BV41" s="519"/>
      <c r="BW41" s="519"/>
      <c r="BX41" s="519"/>
      <c r="BY41" s="519"/>
      <c r="BZ41" s="519"/>
      <c r="CA41" s="519"/>
      <c r="CB41" s="519"/>
      <c r="CC41" s="519"/>
      <c r="CD41" s="519"/>
      <c r="CE41" s="519"/>
      <c r="CF41" s="519"/>
      <c r="CG41" s="519"/>
      <c r="CH41" s="519"/>
      <c r="CI41" s="519"/>
      <c r="CJ41" s="519"/>
      <c r="CK41" s="519"/>
      <c r="CL41" s="519"/>
      <c r="CM41" s="519"/>
      <c r="CN41" s="519"/>
      <c r="CO41" s="519"/>
      <c r="CP41" s="519"/>
      <c r="CQ41" s="519"/>
      <c r="CR41" s="519"/>
      <c r="CS41" s="519"/>
      <c r="CT41" s="519"/>
      <c r="CU41" s="519"/>
      <c r="CV41" s="519"/>
      <c r="CW41" s="519"/>
      <c r="CX41" s="519"/>
      <c r="CY41" s="519"/>
      <c r="CZ41" s="519"/>
      <c r="DA41" s="519"/>
      <c r="DB41" s="519"/>
      <c r="DC41" s="519"/>
      <c r="DD41" s="519"/>
    </row>
    <row r="42" spans="7:108" ht="15.75" thickBot="1" x14ac:dyDescent="0.3">
      <c r="T42" s="478" t="s">
        <v>883</v>
      </c>
      <c r="U42" s="510">
        <v>22.75</v>
      </c>
      <c r="V42" s="597"/>
      <c r="W42" s="471" t="s">
        <v>4529</v>
      </c>
      <c r="X42" s="125">
        <v>14.5</v>
      </c>
      <c r="Y42" s="596" t="s">
        <v>12664</v>
      </c>
      <c r="Z42" s="164" t="s">
        <v>381</v>
      </c>
      <c r="AA42" s="524">
        <v>11.75</v>
      </c>
      <c r="AB42" s="601"/>
      <c r="AC42" s="123" t="s">
        <v>5128</v>
      </c>
      <c r="AD42" s="120">
        <v>24.75</v>
      </c>
      <c r="AE42" s="597"/>
      <c r="AF42" s="164" t="s">
        <v>3481</v>
      </c>
      <c r="AG42" s="524">
        <v>9.75</v>
      </c>
      <c r="AH42" s="601"/>
      <c r="AI42" s="478" t="s">
        <v>5616</v>
      </c>
      <c r="AJ42" s="501">
        <v>16.75</v>
      </c>
      <c r="AK42" s="598"/>
      <c r="AL42" s="124" t="s">
        <v>309</v>
      </c>
      <c r="AM42" s="125">
        <v>23</v>
      </c>
      <c r="AN42" s="596" t="s">
        <v>12664</v>
      </c>
      <c r="AO42" s="123" t="s">
        <v>485</v>
      </c>
      <c r="AP42" s="120">
        <v>31</v>
      </c>
      <c r="AQ42" s="597"/>
      <c r="AR42" s="164" t="s">
        <v>3078</v>
      </c>
      <c r="AS42" s="524">
        <v>27</v>
      </c>
      <c r="AT42" s="601"/>
      <c r="AU42" s="123" t="s">
        <v>160</v>
      </c>
      <c r="AV42" s="120">
        <v>25.25</v>
      </c>
      <c r="AW42" s="597"/>
      <c r="AX42" s="478" t="s">
        <v>5737</v>
      </c>
      <c r="AY42" s="120">
        <v>25.25</v>
      </c>
      <c r="AZ42" s="597"/>
      <c r="BA42" s="519"/>
      <c r="BB42" s="519"/>
      <c r="BC42" s="519"/>
      <c r="BD42" s="519"/>
      <c r="BE42" s="519"/>
      <c r="BF42" s="519"/>
      <c r="BG42" s="519"/>
      <c r="BH42" s="519"/>
      <c r="BI42" s="519"/>
      <c r="BJ42" s="519"/>
      <c r="BK42" s="519"/>
      <c r="BL42" s="519"/>
      <c r="BM42" s="519"/>
      <c r="BN42" s="519"/>
      <c r="BO42" s="519"/>
      <c r="BP42" s="519"/>
      <c r="BQ42" s="519"/>
      <c r="BR42" s="519"/>
      <c r="BS42" s="519"/>
      <c r="BT42" s="519"/>
      <c r="BU42" s="519"/>
      <c r="BV42" s="519"/>
      <c r="BW42" s="519"/>
      <c r="BX42" s="519"/>
      <c r="BY42" s="519"/>
      <c r="BZ42" s="519"/>
      <c r="CA42" s="519"/>
      <c r="CB42" s="519"/>
      <c r="CC42" s="519"/>
      <c r="CD42" s="519"/>
      <c r="CE42" s="519"/>
      <c r="CF42" s="519"/>
      <c r="CG42" s="519"/>
      <c r="CH42" s="519"/>
      <c r="CI42" s="519"/>
      <c r="CJ42" s="519"/>
      <c r="CK42" s="519"/>
      <c r="CL42" s="519"/>
      <c r="CM42" s="519"/>
      <c r="CN42" s="519"/>
      <c r="CO42" s="519"/>
      <c r="CP42" s="519"/>
      <c r="CQ42" s="519"/>
      <c r="CR42" s="519"/>
      <c r="CS42" s="519"/>
      <c r="CT42" s="519"/>
      <c r="CU42" s="519"/>
      <c r="CV42" s="519"/>
      <c r="CW42" s="519"/>
      <c r="CX42" s="519"/>
      <c r="CY42" s="519"/>
      <c r="CZ42" s="519"/>
      <c r="DA42" s="519"/>
      <c r="DB42" s="519"/>
      <c r="DC42" s="519"/>
      <c r="DD42" s="519"/>
    </row>
    <row r="43" spans="7:108" x14ac:dyDescent="0.25">
      <c r="T43" s="478" t="s">
        <v>1600</v>
      </c>
      <c r="U43" s="510">
        <v>22.5</v>
      </c>
      <c r="V43" s="597"/>
      <c r="W43" s="123" t="s">
        <v>2793</v>
      </c>
      <c r="X43" s="120">
        <v>14</v>
      </c>
      <c r="Y43" s="597"/>
      <c r="Z43" s="124" t="s">
        <v>152</v>
      </c>
      <c r="AA43" s="125">
        <v>22.75</v>
      </c>
      <c r="AB43" s="596" t="s">
        <v>12664</v>
      </c>
      <c r="AC43" s="123" t="s">
        <v>440</v>
      </c>
      <c r="AD43" s="120">
        <v>24.25</v>
      </c>
      <c r="AE43" s="597"/>
      <c r="AF43" s="124" t="s">
        <v>5234</v>
      </c>
      <c r="AG43" s="125">
        <v>26.25</v>
      </c>
      <c r="AH43" s="596" t="s">
        <v>12664</v>
      </c>
      <c r="AI43" s="123" t="s">
        <v>4629</v>
      </c>
      <c r="AJ43" s="120">
        <v>16.75</v>
      </c>
      <c r="AK43" s="597"/>
      <c r="AL43" s="123" t="s">
        <v>195</v>
      </c>
      <c r="AM43" s="120">
        <v>23</v>
      </c>
      <c r="AN43" s="597"/>
      <c r="AO43" s="478" t="s">
        <v>319</v>
      </c>
      <c r="AP43" s="501">
        <v>29.25</v>
      </c>
      <c r="AQ43" s="597"/>
      <c r="AR43" s="471" t="s">
        <v>5636</v>
      </c>
      <c r="AS43" s="500">
        <v>28.5</v>
      </c>
      <c r="AT43" s="596" t="s">
        <v>12664</v>
      </c>
      <c r="AU43" s="478" t="s">
        <v>457</v>
      </c>
      <c r="AV43" s="501">
        <v>24</v>
      </c>
      <c r="AW43" s="597"/>
      <c r="AX43" s="123" t="s">
        <v>5737</v>
      </c>
      <c r="AY43" s="120">
        <v>25.25</v>
      </c>
      <c r="AZ43" s="597"/>
      <c r="BA43" s="519"/>
      <c r="BB43" s="519"/>
      <c r="BC43" s="519"/>
      <c r="BD43" s="519"/>
      <c r="BE43" s="519"/>
      <c r="BF43" s="519"/>
      <c r="BG43" s="519"/>
      <c r="BH43" s="519"/>
      <c r="BI43" s="519"/>
      <c r="BJ43" s="519"/>
      <c r="BK43" s="519"/>
      <c r="BL43" s="519"/>
      <c r="BM43" s="519"/>
      <c r="BN43" s="519"/>
      <c r="BO43" s="519"/>
      <c r="BP43" s="519"/>
      <c r="BQ43" s="519"/>
      <c r="BR43" s="519"/>
      <c r="BS43" s="519"/>
      <c r="BT43" s="519"/>
      <c r="BU43" s="519"/>
      <c r="BV43" s="519"/>
      <c r="BW43" s="519"/>
      <c r="BX43" s="519"/>
      <c r="BY43" s="519"/>
      <c r="BZ43" s="519"/>
      <c r="CA43" s="519"/>
      <c r="CB43" s="519"/>
      <c r="CC43" s="519"/>
      <c r="CD43" s="519"/>
      <c r="CE43" s="519"/>
      <c r="CF43" s="519"/>
      <c r="CG43" s="519"/>
      <c r="CH43" s="519"/>
      <c r="CI43" s="519"/>
      <c r="CJ43" s="519"/>
      <c r="CK43" s="519"/>
      <c r="CL43" s="519"/>
      <c r="CM43" s="519"/>
      <c r="CN43" s="519"/>
      <c r="CO43" s="519"/>
      <c r="CP43" s="519"/>
      <c r="CQ43" s="519"/>
      <c r="CR43" s="519"/>
      <c r="CS43" s="519"/>
      <c r="CT43" s="519"/>
      <c r="CU43" s="519"/>
      <c r="CV43" s="519"/>
      <c r="CW43" s="519"/>
      <c r="CX43" s="519"/>
      <c r="CY43" s="519"/>
      <c r="CZ43" s="519"/>
      <c r="DA43" s="519"/>
      <c r="DB43" s="519"/>
      <c r="DC43" s="519"/>
      <c r="DD43" s="519"/>
    </row>
    <row r="44" spans="7:108" ht="15.75" thickBot="1" x14ac:dyDescent="0.3">
      <c r="G44" s="535"/>
      <c r="H44" s="470"/>
      <c r="I44" s="470"/>
      <c r="T44" s="123" t="s">
        <v>295</v>
      </c>
      <c r="U44" s="176">
        <v>23</v>
      </c>
      <c r="V44" s="597"/>
      <c r="W44" s="123" t="s">
        <v>4324</v>
      </c>
      <c r="X44" s="120">
        <v>17.25</v>
      </c>
      <c r="Y44" s="597"/>
      <c r="Z44" s="123" t="s">
        <v>2394</v>
      </c>
      <c r="AA44" s="120">
        <v>21.75</v>
      </c>
      <c r="AB44" s="597"/>
      <c r="AC44" s="164" t="s">
        <v>326</v>
      </c>
      <c r="AD44" s="524">
        <v>19</v>
      </c>
      <c r="AE44" s="601"/>
      <c r="AF44" s="123" t="s">
        <v>5234</v>
      </c>
      <c r="AG44" s="120">
        <v>26.25</v>
      </c>
      <c r="AH44" s="597"/>
      <c r="AI44" s="478" t="s">
        <v>209</v>
      </c>
      <c r="AJ44" s="501">
        <v>16.5</v>
      </c>
      <c r="AK44" s="598"/>
      <c r="AL44" s="478" t="s">
        <v>5734</v>
      </c>
      <c r="AM44" s="501">
        <v>23</v>
      </c>
      <c r="AN44" s="597"/>
      <c r="AO44" s="164" t="s">
        <v>137</v>
      </c>
      <c r="AP44" s="524">
        <v>14.25</v>
      </c>
      <c r="AQ44" s="601"/>
      <c r="AR44" s="123" t="s">
        <v>5636</v>
      </c>
      <c r="AS44" s="120">
        <v>28.5</v>
      </c>
      <c r="AT44" s="597"/>
      <c r="AU44" s="164" t="s">
        <v>4629</v>
      </c>
      <c r="AV44" s="524">
        <v>16.75</v>
      </c>
      <c r="AW44" s="601"/>
      <c r="AX44" s="478" t="s">
        <v>288</v>
      </c>
      <c r="AY44" s="120">
        <v>24.5</v>
      </c>
      <c r="AZ44" s="597"/>
      <c r="BA44" s="519"/>
      <c r="BB44" s="519"/>
      <c r="BC44" s="519"/>
      <c r="BD44" s="519"/>
      <c r="BE44" s="519"/>
      <c r="BF44" s="519"/>
      <c r="BG44" s="519"/>
      <c r="BH44" s="519"/>
      <c r="BI44" s="519"/>
      <c r="BJ44" s="519"/>
      <c r="BK44" s="519"/>
      <c r="BL44" s="519"/>
      <c r="BM44" s="519"/>
      <c r="BN44" s="519"/>
      <c r="BO44" s="519"/>
      <c r="BP44" s="519"/>
      <c r="BQ44" s="519"/>
      <c r="BR44" s="519"/>
      <c r="BS44" s="519"/>
      <c r="BT44" s="519"/>
      <c r="BU44" s="519"/>
      <c r="BV44" s="519"/>
      <c r="BW44" s="519"/>
      <c r="BX44" s="519"/>
      <c r="BY44" s="519"/>
      <c r="BZ44" s="519"/>
      <c r="CA44" s="519"/>
      <c r="CB44" s="519"/>
      <c r="CC44" s="519"/>
      <c r="CD44" s="519"/>
      <c r="CE44" s="519"/>
      <c r="CF44" s="519"/>
      <c r="CG44" s="519"/>
      <c r="CH44" s="519"/>
      <c r="CI44" s="519"/>
      <c r="CJ44" s="519"/>
      <c r="CK44" s="519"/>
      <c r="CL44" s="519"/>
      <c r="CM44" s="519"/>
      <c r="CN44" s="519"/>
      <c r="CO44" s="519"/>
      <c r="CP44" s="519"/>
      <c r="CQ44" s="519"/>
      <c r="CR44" s="519"/>
      <c r="CS44" s="519"/>
      <c r="CT44" s="519"/>
      <c r="CU44" s="519"/>
      <c r="CV44" s="519"/>
      <c r="CW44" s="519"/>
      <c r="CX44" s="519"/>
      <c r="CY44" s="519"/>
      <c r="CZ44" s="519"/>
      <c r="DA44" s="519"/>
      <c r="DB44" s="519"/>
      <c r="DC44" s="519"/>
      <c r="DD44" s="519"/>
    </row>
    <row r="45" spans="7:108" ht="15.75" thickBot="1" x14ac:dyDescent="0.3">
      <c r="T45" s="123" t="s">
        <v>4644</v>
      </c>
      <c r="U45" s="176">
        <v>23</v>
      </c>
      <c r="V45" s="597"/>
      <c r="W45" s="123" t="s">
        <v>5163</v>
      </c>
      <c r="X45" s="120">
        <v>14</v>
      </c>
      <c r="Y45" s="597"/>
      <c r="Z45" s="123" t="s">
        <v>3329</v>
      </c>
      <c r="AA45" s="120">
        <v>21.75</v>
      </c>
      <c r="AB45" s="597"/>
      <c r="AC45" s="124" t="s">
        <v>5128</v>
      </c>
      <c r="AD45" s="125">
        <v>24.75</v>
      </c>
      <c r="AE45" s="596" t="s">
        <v>12664</v>
      </c>
      <c r="AF45" s="123" t="s">
        <v>316</v>
      </c>
      <c r="AG45" s="120">
        <v>26</v>
      </c>
      <c r="AH45" s="597"/>
      <c r="AI45" s="486" t="s">
        <v>3761</v>
      </c>
      <c r="AJ45" s="503">
        <v>10.75</v>
      </c>
      <c r="AK45" s="599"/>
      <c r="AL45" s="478" t="s">
        <v>4716</v>
      </c>
      <c r="AM45" s="501">
        <v>22.75</v>
      </c>
      <c r="AN45" s="597"/>
      <c r="AO45" s="471" t="s">
        <v>3365</v>
      </c>
      <c r="AP45" s="500">
        <v>30.75</v>
      </c>
      <c r="AQ45" s="596" t="s">
        <v>12664</v>
      </c>
      <c r="AR45" s="478" t="s">
        <v>4964</v>
      </c>
      <c r="AS45" s="501">
        <v>28.25</v>
      </c>
      <c r="AT45" s="597"/>
      <c r="AU45" s="471" t="s">
        <v>1755</v>
      </c>
      <c r="AV45" s="500">
        <v>27</v>
      </c>
      <c r="AW45" s="596" t="s">
        <v>12664</v>
      </c>
      <c r="AX45" s="486" t="s">
        <v>5583</v>
      </c>
      <c r="AY45" s="524">
        <v>16.75</v>
      </c>
      <c r="AZ45" s="601"/>
      <c r="BA45" s="519"/>
      <c r="BB45" s="519"/>
      <c r="BC45" s="519"/>
      <c r="BD45" s="519"/>
      <c r="BE45" s="519"/>
      <c r="BF45" s="519"/>
      <c r="BG45" s="519"/>
      <c r="BH45" s="519"/>
      <c r="BI45" s="519"/>
      <c r="BJ45" s="519"/>
      <c r="BK45" s="519"/>
      <c r="BL45" s="519"/>
      <c r="BM45" s="519"/>
      <c r="BN45" s="519"/>
      <c r="BO45" s="519"/>
      <c r="BP45" s="519"/>
      <c r="BQ45" s="519"/>
      <c r="BR45" s="519"/>
      <c r="BS45" s="519"/>
      <c r="BT45" s="519"/>
      <c r="BU45" s="519"/>
      <c r="BV45" s="519"/>
      <c r="BW45" s="519"/>
      <c r="BX45" s="519"/>
      <c r="BY45" s="519"/>
      <c r="BZ45" s="519"/>
      <c r="CA45" s="519"/>
      <c r="CB45" s="519"/>
      <c r="CC45" s="519"/>
      <c r="CD45" s="519"/>
      <c r="CE45" s="519"/>
      <c r="CF45" s="519"/>
      <c r="CG45" s="519"/>
      <c r="CH45" s="519"/>
      <c r="CI45" s="519"/>
      <c r="CJ45" s="519"/>
      <c r="CK45" s="519"/>
      <c r="CL45" s="519"/>
      <c r="CM45" s="519"/>
      <c r="CN45" s="519"/>
      <c r="CO45" s="519"/>
      <c r="CP45" s="519"/>
      <c r="CQ45" s="519"/>
      <c r="CR45" s="519"/>
      <c r="CS45" s="519"/>
      <c r="CT45" s="519"/>
      <c r="CU45" s="519"/>
      <c r="CV45" s="519"/>
      <c r="CW45" s="519"/>
      <c r="CX45" s="519"/>
      <c r="CY45" s="519"/>
      <c r="CZ45" s="519"/>
      <c r="DA45" s="519"/>
      <c r="DB45" s="519"/>
      <c r="DC45" s="519"/>
      <c r="DD45" s="519"/>
    </row>
    <row r="46" spans="7:108" x14ac:dyDescent="0.25">
      <c r="T46" s="478" t="s">
        <v>152</v>
      </c>
      <c r="U46" s="510">
        <v>22.75</v>
      </c>
      <c r="V46" s="597"/>
      <c r="W46" s="123" t="s">
        <v>312</v>
      </c>
      <c r="X46" s="120">
        <v>6</v>
      </c>
      <c r="Y46" s="597"/>
      <c r="Z46" s="123" t="s">
        <v>5171</v>
      </c>
      <c r="AA46" s="120">
        <v>21.75</v>
      </c>
      <c r="AB46" s="597"/>
      <c r="AC46" s="123" t="s">
        <v>393</v>
      </c>
      <c r="AD46" s="120">
        <v>24.75</v>
      </c>
      <c r="AE46" s="597"/>
      <c r="AF46" s="123" t="s">
        <v>316</v>
      </c>
      <c r="AG46" s="120">
        <v>26</v>
      </c>
      <c r="AH46" s="597"/>
      <c r="AI46" s="124" t="s">
        <v>5480</v>
      </c>
      <c r="AJ46" s="125">
        <v>19.5</v>
      </c>
      <c r="AK46" s="596" t="s">
        <v>12664</v>
      </c>
      <c r="AL46" s="478" t="s">
        <v>5765</v>
      </c>
      <c r="AM46" s="501">
        <v>22.75</v>
      </c>
      <c r="AN46" s="597"/>
      <c r="AO46" s="123" t="s">
        <v>3365</v>
      </c>
      <c r="AP46" s="120">
        <v>30.75</v>
      </c>
      <c r="AQ46" s="597"/>
      <c r="AR46" s="123" t="s">
        <v>4964</v>
      </c>
      <c r="AS46" s="120">
        <v>28.25</v>
      </c>
      <c r="AT46" s="597"/>
      <c r="AU46" s="123" t="s">
        <v>1755</v>
      </c>
      <c r="AV46" s="120">
        <v>27</v>
      </c>
      <c r="AW46" s="597"/>
      <c r="AX46" s="124" t="s">
        <v>173</v>
      </c>
      <c r="AY46" s="125">
        <v>25.75</v>
      </c>
      <c r="AZ46" s="596" t="s">
        <v>12664</v>
      </c>
      <c r="BA46" s="519"/>
      <c r="BB46" s="519"/>
      <c r="BC46" s="519"/>
      <c r="BD46" s="519"/>
      <c r="BE46" s="519"/>
      <c r="BF46" s="519"/>
      <c r="BG46" s="519"/>
      <c r="BH46" s="519"/>
      <c r="BI46" s="519"/>
      <c r="BJ46" s="519"/>
      <c r="BK46" s="519"/>
      <c r="BL46" s="519"/>
      <c r="BM46" s="519"/>
      <c r="BN46" s="519"/>
      <c r="BO46" s="519"/>
      <c r="BP46" s="519"/>
      <c r="BQ46" s="519"/>
      <c r="BR46" s="519"/>
      <c r="BS46" s="519"/>
      <c r="BT46" s="519"/>
      <c r="BU46" s="519"/>
      <c r="BV46" s="519"/>
      <c r="BW46" s="519"/>
      <c r="BX46" s="519"/>
      <c r="BY46" s="519"/>
      <c r="BZ46" s="519"/>
      <c r="CA46" s="519"/>
      <c r="CB46" s="519"/>
      <c r="CC46" s="519"/>
      <c r="CD46" s="519"/>
      <c r="CE46" s="519"/>
      <c r="CF46" s="519"/>
      <c r="CG46" s="519"/>
      <c r="CH46" s="519"/>
      <c r="CI46" s="519"/>
      <c r="CJ46" s="519"/>
      <c r="CK46" s="519"/>
      <c r="CL46" s="519"/>
      <c r="CM46" s="519"/>
      <c r="CN46" s="519"/>
      <c r="CO46" s="519"/>
      <c r="CP46" s="519"/>
      <c r="CQ46" s="519"/>
      <c r="CR46" s="519"/>
      <c r="CS46" s="519"/>
      <c r="CT46" s="519"/>
      <c r="CU46" s="519"/>
      <c r="CV46" s="519"/>
      <c r="CW46" s="519"/>
      <c r="CX46" s="519"/>
      <c r="CY46" s="519"/>
      <c r="CZ46" s="519"/>
      <c r="DA46" s="519"/>
      <c r="DB46" s="519"/>
      <c r="DC46" s="519"/>
      <c r="DD46" s="519"/>
    </row>
    <row r="47" spans="7:108" ht="15.75" thickBot="1" x14ac:dyDescent="0.3">
      <c r="T47" s="486" t="s">
        <v>3481</v>
      </c>
      <c r="U47" s="487">
        <v>9.75</v>
      </c>
      <c r="V47" s="601"/>
      <c r="W47" s="123" t="s">
        <v>484</v>
      </c>
      <c r="X47" s="120">
        <v>16.25</v>
      </c>
      <c r="Y47" s="597"/>
      <c r="Z47" s="123" t="s">
        <v>2579</v>
      </c>
      <c r="AA47" s="120">
        <v>21.5</v>
      </c>
      <c r="AB47" s="597"/>
      <c r="AC47" s="123" t="s">
        <v>393</v>
      </c>
      <c r="AD47" s="120">
        <v>24.75</v>
      </c>
      <c r="AE47" s="597"/>
      <c r="AF47" s="123" t="s">
        <v>5084</v>
      </c>
      <c r="AG47" s="120">
        <v>26</v>
      </c>
      <c r="AH47" s="597"/>
      <c r="AI47" s="478" t="s">
        <v>326</v>
      </c>
      <c r="AJ47" s="501">
        <v>19</v>
      </c>
      <c r="AK47" s="597"/>
      <c r="AL47" s="478" t="s">
        <v>5543</v>
      </c>
      <c r="AM47" s="501">
        <v>22.75</v>
      </c>
      <c r="AN47" s="597"/>
      <c r="AO47" s="478" t="s">
        <v>4824</v>
      </c>
      <c r="AP47" s="501">
        <v>30.75</v>
      </c>
      <c r="AQ47" s="597"/>
      <c r="AR47" s="478" t="s">
        <v>5430</v>
      </c>
      <c r="AS47" s="501">
        <v>28.25</v>
      </c>
      <c r="AT47" s="597"/>
      <c r="AU47" s="478" t="s">
        <v>4814</v>
      </c>
      <c r="AV47" s="501">
        <v>26.5</v>
      </c>
      <c r="AW47" s="597"/>
      <c r="AX47" s="478" t="s">
        <v>5454</v>
      </c>
      <c r="AY47" s="120">
        <v>25.75</v>
      </c>
      <c r="AZ47" s="597"/>
      <c r="BA47" s="519"/>
      <c r="BB47" s="519"/>
      <c r="BC47" s="519"/>
      <c r="BD47" s="519"/>
      <c r="BE47" s="519"/>
      <c r="BF47" s="519"/>
      <c r="BG47" s="519"/>
      <c r="BH47" s="519"/>
      <c r="BI47" s="519"/>
      <c r="BJ47" s="519"/>
      <c r="BK47" s="519"/>
      <c r="BL47" s="519"/>
      <c r="BM47" s="519"/>
      <c r="BN47" s="519"/>
      <c r="BO47" s="519"/>
      <c r="BP47" s="519"/>
      <c r="BQ47" s="519"/>
      <c r="BR47" s="519"/>
      <c r="BS47" s="519"/>
      <c r="BT47" s="519"/>
      <c r="BU47" s="519"/>
      <c r="BV47" s="519"/>
      <c r="BW47" s="519"/>
      <c r="BX47" s="519"/>
      <c r="BY47" s="519"/>
      <c r="BZ47" s="519"/>
      <c r="CA47" s="519"/>
      <c r="CB47" s="519"/>
      <c r="CC47" s="519"/>
      <c r="CD47" s="519"/>
      <c r="CE47" s="519"/>
      <c r="CF47" s="519"/>
      <c r="CG47" s="519"/>
      <c r="CH47" s="519"/>
      <c r="CI47" s="519"/>
      <c r="CJ47" s="519"/>
      <c r="CK47" s="519"/>
      <c r="CL47" s="519"/>
      <c r="CM47" s="519"/>
      <c r="CN47" s="519"/>
      <c r="CO47" s="519"/>
      <c r="CP47" s="519"/>
      <c r="CQ47" s="519"/>
      <c r="CR47" s="519"/>
      <c r="CS47" s="519"/>
      <c r="CT47" s="519"/>
      <c r="CU47" s="519"/>
      <c r="CV47" s="519"/>
      <c r="CW47" s="519"/>
      <c r="CX47" s="519"/>
      <c r="CY47" s="519"/>
      <c r="CZ47" s="519"/>
      <c r="DA47" s="519"/>
      <c r="DB47" s="519"/>
      <c r="DC47" s="519"/>
      <c r="DD47" s="519"/>
    </row>
    <row r="48" spans="7:108" ht="15.75" thickBot="1" x14ac:dyDescent="0.3">
      <c r="T48" s="124" t="s">
        <v>3941</v>
      </c>
      <c r="U48" s="175">
        <v>23.75</v>
      </c>
      <c r="V48" s="596" t="s">
        <v>12664</v>
      </c>
      <c r="W48" s="123" t="s">
        <v>3889</v>
      </c>
      <c r="X48" s="120">
        <v>13.75</v>
      </c>
      <c r="Y48" s="597"/>
      <c r="Z48" s="123" t="s">
        <v>2490</v>
      </c>
      <c r="AA48" s="120">
        <v>21.5</v>
      </c>
      <c r="AB48" s="597"/>
      <c r="AC48" s="123" t="s">
        <v>3763</v>
      </c>
      <c r="AD48" s="120">
        <v>24.75</v>
      </c>
      <c r="AE48" s="597"/>
      <c r="AF48" s="123" t="s">
        <v>5084</v>
      </c>
      <c r="AG48" s="120">
        <v>26</v>
      </c>
      <c r="AH48" s="597"/>
      <c r="AI48" s="478" t="s">
        <v>261</v>
      </c>
      <c r="AJ48" s="501">
        <v>19</v>
      </c>
      <c r="AK48" s="597"/>
      <c r="AL48" s="478" t="s">
        <v>5114</v>
      </c>
      <c r="AM48" s="501">
        <v>21</v>
      </c>
      <c r="AN48" s="597"/>
      <c r="AO48" s="123" t="s">
        <v>4824</v>
      </c>
      <c r="AP48" s="120">
        <v>30.75</v>
      </c>
      <c r="AQ48" s="597"/>
      <c r="AR48" s="164" t="s">
        <v>5717</v>
      </c>
      <c r="AS48" s="524">
        <v>26.25</v>
      </c>
      <c r="AT48" s="601"/>
      <c r="AU48" s="123" t="s">
        <v>4814</v>
      </c>
      <c r="AV48" s="120">
        <v>26.5</v>
      </c>
      <c r="AW48" s="597"/>
      <c r="AX48" s="123" t="s">
        <v>252</v>
      </c>
      <c r="AY48" s="120">
        <v>25.5</v>
      </c>
      <c r="AZ48" s="597"/>
      <c r="BA48" s="519"/>
      <c r="BB48" s="519"/>
      <c r="BC48" s="519"/>
      <c r="BD48" s="519"/>
      <c r="BE48" s="519"/>
      <c r="BF48" s="519"/>
      <c r="BG48" s="519"/>
      <c r="BH48" s="519"/>
      <c r="BI48" s="519"/>
      <c r="BJ48" s="519"/>
      <c r="BK48" s="519"/>
      <c r="BL48" s="519"/>
      <c r="BM48" s="519"/>
      <c r="BN48" s="519"/>
      <c r="BO48" s="519"/>
      <c r="BP48" s="519"/>
      <c r="BQ48" s="519"/>
      <c r="BR48" s="519"/>
      <c r="BS48" s="519"/>
      <c r="BT48" s="519"/>
      <c r="BU48" s="519"/>
      <c r="BV48" s="519"/>
      <c r="BW48" s="519"/>
      <c r="BX48" s="519"/>
      <c r="BY48" s="519"/>
      <c r="BZ48" s="519"/>
      <c r="CA48" s="519"/>
      <c r="CB48" s="519"/>
      <c r="CC48" s="519"/>
      <c r="CD48" s="519"/>
      <c r="CE48" s="519"/>
      <c r="CF48" s="519"/>
      <c r="CG48" s="519"/>
      <c r="CH48" s="519"/>
      <c r="CI48" s="519"/>
      <c r="CJ48" s="519"/>
      <c r="CK48" s="519"/>
      <c r="CL48" s="519"/>
      <c r="CM48" s="519"/>
      <c r="CN48" s="519"/>
      <c r="CO48" s="519"/>
      <c r="CP48" s="519"/>
      <c r="CQ48" s="519"/>
      <c r="CR48" s="519"/>
      <c r="CS48" s="519"/>
      <c r="CT48" s="519"/>
      <c r="CU48" s="519"/>
      <c r="CV48" s="519"/>
      <c r="CW48" s="519"/>
      <c r="CX48" s="519"/>
      <c r="CY48" s="519"/>
      <c r="CZ48" s="519"/>
      <c r="DA48" s="519"/>
      <c r="DB48" s="519"/>
      <c r="DC48" s="519"/>
      <c r="DD48" s="519"/>
    </row>
    <row r="49" spans="7:108" ht="15.75" thickBot="1" x14ac:dyDescent="0.3">
      <c r="T49" s="478" t="s">
        <v>5411</v>
      </c>
      <c r="U49" s="510">
        <v>22.25</v>
      </c>
      <c r="V49" s="597"/>
      <c r="W49" s="123" t="s">
        <v>5089</v>
      </c>
      <c r="X49" s="120">
        <v>14.75</v>
      </c>
      <c r="Y49" s="597"/>
      <c r="Z49" s="123" t="s">
        <v>450</v>
      </c>
      <c r="AA49" s="120">
        <v>21</v>
      </c>
      <c r="AB49" s="597"/>
      <c r="AC49" s="123" t="s">
        <v>5219</v>
      </c>
      <c r="AD49" s="120">
        <v>24.75</v>
      </c>
      <c r="AE49" s="597"/>
      <c r="AF49" s="164" t="s">
        <v>4973</v>
      </c>
      <c r="AG49" s="524">
        <v>11.5</v>
      </c>
      <c r="AH49" s="601"/>
      <c r="AI49" s="478" t="s">
        <v>238</v>
      </c>
      <c r="AJ49" s="501">
        <v>19</v>
      </c>
      <c r="AK49" s="597"/>
      <c r="AL49" s="164" t="s">
        <v>5549</v>
      </c>
      <c r="AM49" s="524">
        <v>9.75</v>
      </c>
      <c r="AN49" s="601"/>
      <c r="AO49" s="478" t="s">
        <v>4308</v>
      </c>
      <c r="AP49" s="501">
        <v>30.75</v>
      </c>
      <c r="AQ49" s="597"/>
      <c r="AR49" s="471" t="s">
        <v>58</v>
      </c>
      <c r="AS49" s="500">
        <v>29</v>
      </c>
      <c r="AT49" s="596" t="s">
        <v>12664</v>
      </c>
      <c r="AU49" s="478" t="s">
        <v>3772</v>
      </c>
      <c r="AV49" s="501">
        <v>26.5</v>
      </c>
      <c r="AW49" s="597"/>
      <c r="AX49" s="478" t="s">
        <v>5639</v>
      </c>
      <c r="AY49" s="120">
        <v>25.5</v>
      </c>
      <c r="AZ49" s="597"/>
      <c r="BA49" s="519"/>
      <c r="BB49" s="519"/>
      <c r="BC49" s="519"/>
      <c r="BD49" s="519"/>
      <c r="BE49" s="519"/>
      <c r="BF49" s="519"/>
      <c r="BG49" s="519"/>
      <c r="BH49" s="519"/>
      <c r="BI49" s="519"/>
      <c r="BJ49" s="519"/>
      <c r="BK49" s="519"/>
      <c r="BL49" s="519"/>
      <c r="BM49" s="519"/>
      <c r="BN49" s="519"/>
      <c r="BO49" s="519"/>
      <c r="BP49" s="519"/>
      <c r="BQ49" s="519"/>
      <c r="BR49" s="519"/>
      <c r="BS49" s="519"/>
      <c r="BT49" s="519"/>
      <c r="BU49" s="519"/>
      <c r="BV49" s="519"/>
      <c r="BW49" s="519"/>
      <c r="BX49" s="519"/>
      <c r="BY49" s="519"/>
      <c r="BZ49" s="519"/>
      <c r="CA49" s="519"/>
      <c r="CB49" s="519"/>
      <c r="CC49" s="519"/>
      <c r="CD49" s="519"/>
      <c r="CE49" s="519"/>
      <c r="CF49" s="519"/>
      <c r="CG49" s="519"/>
      <c r="CH49" s="519"/>
      <c r="CI49" s="519"/>
      <c r="CJ49" s="519"/>
      <c r="CK49" s="519"/>
      <c r="CL49" s="519"/>
      <c r="CM49" s="519"/>
      <c r="CN49" s="519"/>
      <c r="CO49" s="519"/>
      <c r="CP49" s="519"/>
      <c r="CQ49" s="519"/>
      <c r="CR49" s="519"/>
      <c r="CS49" s="519"/>
      <c r="CT49" s="519"/>
      <c r="CU49" s="519"/>
      <c r="CV49" s="519"/>
      <c r="CW49" s="519"/>
      <c r="CX49" s="519"/>
      <c r="CY49" s="519"/>
      <c r="CZ49" s="519"/>
      <c r="DA49" s="519"/>
      <c r="DB49" s="519"/>
      <c r="DC49" s="519"/>
      <c r="DD49" s="519"/>
    </row>
    <row r="50" spans="7:108" ht="15.75" thickBot="1" x14ac:dyDescent="0.3">
      <c r="T50" s="123" t="s">
        <v>424</v>
      </c>
      <c r="U50" s="176">
        <v>23.25</v>
      </c>
      <c r="V50" s="597"/>
      <c r="W50" s="123" t="s">
        <v>4675</v>
      </c>
      <c r="X50" s="120">
        <v>14.25</v>
      </c>
      <c r="Y50" s="597"/>
      <c r="Z50" s="164" t="s">
        <v>3515</v>
      </c>
      <c r="AA50" s="524">
        <v>16</v>
      </c>
      <c r="AB50" s="601"/>
      <c r="AC50" s="123" t="s">
        <v>457</v>
      </c>
      <c r="AD50" s="120">
        <v>24</v>
      </c>
      <c r="AE50" s="597"/>
      <c r="AF50" s="124" t="s">
        <v>4408</v>
      </c>
      <c r="AG50" s="125">
        <v>25.75</v>
      </c>
      <c r="AH50" s="596" t="s">
        <v>12664</v>
      </c>
      <c r="AI50" s="469" t="s">
        <v>359</v>
      </c>
      <c r="AJ50" s="501">
        <v>18.75</v>
      </c>
      <c r="AK50" s="597"/>
      <c r="AL50" s="124" t="s">
        <v>5210</v>
      </c>
      <c r="AM50" s="125">
        <v>20</v>
      </c>
      <c r="AN50" s="596" t="s">
        <v>12664</v>
      </c>
      <c r="AO50" s="164" t="s">
        <v>137</v>
      </c>
      <c r="AP50" s="524">
        <v>14.25</v>
      </c>
      <c r="AQ50" s="601"/>
      <c r="AR50" s="123" t="s">
        <v>58</v>
      </c>
      <c r="AS50" s="120">
        <v>29</v>
      </c>
      <c r="AT50" s="597"/>
      <c r="AU50" s="123" t="s">
        <v>5155</v>
      </c>
      <c r="AV50" s="120">
        <v>18.5</v>
      </c>
      <c r="AW50" s="597"/>
      <c r="AX50" s="123" t="s">
        <v>5639</v>
      </c>
      <c r="AY50" s="120">
        <v>25.5</v>
      </c>
      <c r="AZ50" s="597"/>
      <c r="BA50" s="519"/>
      <c r="BB50" s="519"/>
      <c r="BC50" s="519"/>
      <c r="BD50" s="519"/>
      <c r="BE50" s="519"/>
      <c r="BF50" s="519"/>
      <c r="BG50" s="519"/>
      <c r="BH50" s="519"/>
      <c r="BI50" s="519"/>
      <c r="BJ50" s="519"/>
      <c r="BK50" s="519"/>
      <c r="BL50" s="519"/>
      <c r="BM50" s="519"/>
      <c r="BN50" s="519"/>
      <c r="BO50" s="519"/>
      <c r="BP50" s="519"/>
      <c r="BQ50" s="519"/>
      <c r="BR50" s="519"/>
      <c r="BS50" s="519"/>
      <c r="BT50" s="519"/>
      <c r="BU50" s="519"/>
      <c r="BV50" s="519"/>
      <c r="BW50" s="519"/>
      <c r="BX50" s="519"/>
      <c r="BY50" s="519"/>
      <c r="BZ50" s="519"/>
      <c r="CA50" s="519"/>
      <c r="CB50" s="519"/>
      <c r="CC50" s="519"/>
      <c r="CD50" s="519"/>
      <c r="CE50" s="519"/>
      <c r="CF50" s="519"/>
      <c r="CG50" s="519"/>
      <c r="CH50" s="519"/>
      <c r="CI50" s="519"/>
      <c r="CJ50" s="519"/>
      <c r="CK50" s="519"/>
      <c r="CL50" s="519"/>
      <c r="CM50" s="519"/>
      <c r="CN50" s="519"/>
      <c r="CO50" s="519"/>
      <c r="CP50" s="519"/>
      <c r="CQ50" s="519"/>
      <c r="CR50" s="519"/>
      <c r="CS50" s="519"/>
      <c r="CT50" s="519"/>
      <c r="CU50" s="519"/>
      <c r="CV50" s="519"/>
      <c r="CW50" s="519"/>
      <c r="CX50" s="519"/>
      <c r="CY50" s="519"/>
      <c r="CZ50" s="519"/>
      <c r="DA50" s="519"/>
      <c r="DB50" s="519"/>
      <c r="DC50" s="519"/>
      <c r="DD50" s="519"/>
    </row>
    <row r="51" spans="7:108" ht="15.75" thickBot="1" x14ac:dyDescent="0.3">
      <c r="T51" s="123" t="s">
        <v>5392</v>
      </c>
      <c r="U51" s="176">
        <v>23.25</v>
      </c>
      <c r="V51" s="597"/>
      <c r="W51" s="123" t="s">
        <v>3292</v>
      </c>
      <c r="X51" s="120">
        <v>16.25</v>
      </c>
      <c r="Y51" s="597"/>
      <c r="Z51" s="124" t="s">
        <v>4941</v>
      </c>
      <c r="AA51" s="125">
        <v>8.25</v>
      </c>
      <c r="AB51" s="596" t="s">
        <v>12664</v>
      </c>
      <c r="AC51" s="526" t="s">
        <v>4636</v>
      </c>
      <c r="AD51" s="524">
        <v>20.25</v>
      </c>
      <c r="AE51" s="601"/>
      <c r="AF51" s="123" t="s">
        <v>4408</v>
      </c>
      <c r="AG51" s="120">
        <v>25.75</v>
      </c>
      <c r="AH51" s="597"/>
      <c r="AI51" s="469" t="s">
        <v>5070</v>
      </c>
      <c r="AJ51" s="501">
        <v>18.75</v>
      </c>
      <c r="AK51" s="597"/>
      <c r="AL51" s="123" t="s">
        <v>3313</v>
      </c>
      <c r="AM51" s="120">
        <v>19.5</v>
      </c>
      <c r="AN51" s="597"/>
      <c r="AO51" s="124" t="s">
        <v>4308</v>
      </c>
      <c r="AP51" s="125">
        <v>30.75</v>
      </c>
      <c r="AQ51" s="596" t="s">
        <v>12664</v>
      </c>
      <c r="AR51" s="123" t="s">
        <v>58</v>
      </c>
      <c r="AS51" s="120">
        <v>29</v>
      </c>
      <c r="AT51" s="597"/>
      <c r="AU51" s="486" t="s">
        <v>256</v>
      </c>
      <c r="AV51" s="503">
        <v>16</v>
      </c>
      <c r="AW51" s="601"/>
      <c r="AX51" s="478" t="s">
        <v>5721</v>
      </c>
      <c r="AY51" s="120">
        <v>20.25</v>
      </c>
      <c r="AZ51" s="597"/>
      <c r="BA51" s="519"/>
      <c r="BB51" s="519"/>
      <c r="BC51" s="519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519"/>
      <c r="BV51" s="519"/>
      <c r="BW51" s="519"/>
      <c r="BX51" s="519"/>
      <c r="BY51" s="519"/>
      <c r="BZ51" s="519"/>
      <c r="CA51" s="519"/>
      <c r="CB51" s="519"/>
      <c r="CC51" s="519"/>
      <c r="CD51" s="519"/>
      <c r="CE51" s="519"/>
      <c r="CF51" s="519"/>
      <c r="CG51" s="519"/>
      <c r="CH51" s="519"/>
      <c r="CI51" s="519"/>
      <c r="CJ51" s="519"/>
      <c r="CK51" s="519"/>
      <c r="CL51" s="519"/>
      <c r="CM51" s="519"/>
      <c r="CN51" s="519"/>
      <c r="CO51" s="519"/>
      <c r="CP51" s="519"/>
      <c r="CQ51" s="519"/>
      <c r="CR51" s="519"/>
      <c r="CS51" s="519"/>
      <c r="CT51" s="519"/>
      <c r="CU51" s="519"/>
      <c r="CV51" s="519"/>
      <c r="CW51" s="519"/>
      <c r="CX51" s="519"/>
      <c r="CY51" s="519"/>
      <c r="CZ51" s="519"/>
      <c r="DA51" s="519"/>
      <c r="DB51" s="519"/>
      <c r="DC51" s="519"/>
      <c r="DD51" s="519"/>
    </row>
    <row r="52" spans="7:108" ht="15.75" thickBot="1" x14ac:dyDescent="0.3">
      <c r="G52" s="535"/>
      <c r="H52" s="470"/>
      <c r="I52" s="470"/>
      <c r="T52" s="478" t="s">
        <v>402</v>
      </c>
      <c r="U52" s="510">
        <v>23.5</v>
      </c>
      <c r="V52" s="597"/>
      <c r="W52" s="123" t="s">
        <v>4078</v>
      </c>
      <c r="X52" s="120">
        <v>10.75</v>
      </c>
      <c r="Y52" s="597"/>
      <c r="Z52" s="478" t="s">
        <v>2614</v>
      </c>
      <c r="AA52" s="120">
        <v>20.75</v>
      </c>
      <c r="AB52" s="597"/>
      <c r="AC52" s="536" t="s">
        <v>5219</v>
      </c>
      <c r="AD52" s="125">
        <v>24.75</v>
      </c>
      <c r="AE52" s="596" t="s">
        <v>12664</v>
      </c>
      <c r="AF52" s="87" t="s">
        <v>4900</v>
      </c>
      <c r="AG52" s="120">
        <v>25.75</v>
      </c>
      <c r="AH52" s="597"/>
      <c r="AI52" s="87" t="s">
        <v>5070</v>
      </c>
      <c r="AJ52" s="120">
        <v>18.75</v>
      </c>
      <c r="AK52" s="597"/>
      <c r="AL52" s="478" t="s">
        <v>5480</v>
      </c>
      <c r="AM52" s="501">
        <v>19.5</v>
      </c>
      <c r="AN52" s="597"/>
      <c r="AO52" s="478" t="s">
        <v>2625</v>
      </c>
      <c r="AP52" s="501">
        <v>30.25</v>
      </c>
      <c r="AQ52" s="597"/>
      <c r="AR52" s="478" t="s">
        <v>452</v>
      </c>
      <c r="AS52" s="501">
        <v>28.75</v>
      </c>
      <c r="AT52" s="597"/>
      <c r="AW52" s="469"/>
      <c r="AX52" s="486" t="s">
        <v>5619</v>
      </c>
      <c r="AY52" s="524">
        <v>19.75</v>
      </c>
      <c r="AZ52" s="601"/>
      <c r="BA52" s="519"/>
      <c r="BB52" s="519"/>
      <c r="BC52" s="519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19"/>
      <c r="BO52" s="519"/>
      <c r="BP52" s="519"/>
      <c r="BQ52" s="519"/>
      <c r="BR52" s="519"/>
      <c r="BS52" s="519"/>
      <c r="BT52" s="519"/>
      <c r="BU52" s="519"/>
      <c r="BV52" s="519"/>
      <c r="BW52" s="519"/>
      <c r="BX52" s="519"/>
      <c r="BY52" s="519"/>
      <c r="BZ52" s="519"/>
      <c r="CA52" s="519"/>
      <c r="CB52" s="519"/>
      <c r="CC52" s="519"/>
      <c r="CD52" s="519"/>
      <c r="CE52" s="519"/>
      <c r="CF52" s="519"/>
      <c r="CG52" s="519"/>
      <c r="CH52" s="519"/>
      <c r="CI52" s="519"/>
      <c r="CJ52" s="519"/>
      <c r="CK52" s="519"/>
      <c r="CL52" s="519"/>
      <c r="CM52" s="519"/>
      <c r="CN52" s="519"/>
      <c r="CO52" s="519"/>
      <c r="CP52" s="519"/>
      <c r="CQ52" s="519"/>
      <c r="CR52" s="519"/>
      <c r="CS52" s="519"/>
      <c r="CT52" s="519"/>
      <c r="CU52" s="519"/>
      <c r="CV52" s="519"/>
      <c r="CW52" s="519"/>
      <c r="CX52" s="519"/>
      <c r="CY52" s="519"/>
      <c r="CZ52" s="519"/>
      <c r="DA52" s="519"/>
      <c r="DB52" s="519"/>
      <c r="DC52" s="519"/>
      <c r="DD52" s="519"/>
    </row>
    <row r="53" spans="7:108" ht="15.75" thickBot="1" x14ac:dyDescent="0.3">
      <c r="T53" s="478" t="s">
        <v>5401</v>
      </c>
      <c r="U53" s="510">
        <v>23.25</v>
      </c>
      <c r="V53" s="597"/>
      <c r="W53" s="164" t="s">
        <v>4729</v>
      </c>
      <c r="X53" s="524">
        <v>16.25</v>
      </c>
      <c r="Y53" s="601"/>
      <c r="Z53" s="123" t="s">
        <v>2512</v>
      </c>
      <c r="AA53" s="120">
        <v>21.25</v>
      </c>
      <c r="AB53" s="597"/>
      <c r="AC53" s="87" t="s">
        <v>4979</v>
      </c>
      <c r="AD53" s="120">
        <v>24.75</v>
      </c>
      <c r="AE53" s="597"/>
      <c r="AF53" s="87" t="s">
        <v>4900</v>
      </c>
      <c r="AG53" s="120">
        <v>25.75</v>
      </c>
      <c r="AH53" s="597"/>
      <c r="AI53" s="469" t="s">
        <v>234</v>
      </c>
      <c r="AJ53" s="501">
        <v>18.5</v>
      </c>
      <c r="AK53" s="597"/>
      <c r="AL53" s="478" t="s">
        <v>404</v>
      </c>
      <c r="AM53" s="501">
        <v>19.25</v>
      </c>
      <c r="AN53" s="597"/>
      <c r="AO53" s="123" t="s">
        <v>2625</v>
      </c>
      <c r="AP53" s="120">
        <v>30.25</v>
      </c>
      <c r="AQ53" s="597"/>
      <c r="AR53" s="123" t="s">
        <v>452</v>
      </c>
      <c r="AS53" s="120">
        <v>28.75</v>
      </c>
      <c r="AT53" s="597"/>
      <c r="AW53" s="469"/>
      <c r="AX53" s="518"/>
      <c r="AY53" s="518"/>
      <c r="AZ53" s="518"/>
      <c r="BA53" s="519"/>
      <c r="BB53" s="519"/>
      <c r="BC53" s="519"/>
      <c r="BD53" s="519"/>
      <c r="BE53" s="519"/>
      <c r="BF53" s="519"/>
      <c r="BG53" s="519"/>
      <c r="BH53" s="519"/>
      <c r="BI53" s="519"/>
      <c r="BJ53" s="519"/>
      <c r="BK53" s="519"/>
      <c r="BL53" s="519"/>
      <c r="BM53" s="519"/>
      <c r="BN53" s="519"/>
      <c r="BO53" s="519"/>
      <c r="BP53" s="519"/>
      <c r="BQ53" s="519"/>
      <c r="BR53" s="519"/>
      <c r="BS53" s="519"/>
      <c r="BT53" s="519"/>
      <c r="BU53" s="519"/>
      <c r="BV53" s="519"/>
      <c r="BW53" s="519"/>
      <c r="BX53" s="519"/>
      <c r="BY53" s="519"/>
      <c r="BZ53" s="519"/>
      <c r="CA53" s="519"/>
      <c r="CB53" s="519"/>
      <c r="CC53" s="519"/>
      <c r="CD53" s="519"/>
      <c r="CE53" s="519"/>
      <c r="CF53" s="519"/>
      <c r="CG53" s="519"/>
      <c r="CH53" s="519"/>
      <c r="CI53" s="519"/>
      <c r="CJ53" s="519"/>
      <c r="CK53" s="519"/>
      <c r="CL53" s="519"/>
      <c r="CM53" s="519"/>
      <c r="CN53" s="519"/>
      <c r="CO53" s="519"/>
      <c r="CP53" s="519"/>
      <c r="CQ53" s="519"/>
      <c r="CR53" s="519"/>
      <c r="CS53" s="519"/>
      <c r="CT53" s="519"/>
      <c r="CU53" s="519"/>
      <c r="CV53" s="519"/>
      <c r="CW53" s="519"/>
      <c r="CX53" s="519"/>
      <c r="CY53" s="519"/>
      <c r="CZ53" s="519"/>
      <c r="DA53" s="519"/>
      <c r="DB53" s="519"/>
      <c r="DC53" s="519"/>
      <c r="DD53" s="519"/>
    </row>
    <row r="54" spans="7:108" ht="15.75" thickBot="1" x14ac:dyDescent="0.3">
      <c r="T54" s="123" t="s">
        <v>3650</v>
      </c>
      <c r="U54" s="176">
        <v>23.5</v>
      </c>
      <c r="V54" s="597"/>
      <c r="W54" s="124" t="s">
        <v>3941</v>
      </c>
      <c r="X54" s="175">
        <v>23.75</v>
      </c>
      <c r="Y54" s="596" t="s">
        <v>12664</v>
      </c>
      <c r="Z54" s="123" t="s">
        <v>3693</v>
      </c>
      <c r="AA54" s="120">
        <v>21.25</v>
      </c>
      <c r="AB54" s="597"/>
      <c r="AC54" s="87" t="s">
        <v>4979</v>
      </c>
      <c r="AD54" s="120">
        <v>24.75</v>
      </c>
      <c r="AE54" s="597"/>
      <c r="AF54" s="87" t="s">
        <v>140</v>
      </c>
      <c r="AG54" s="120">
        <v>25.75</v>
      </c>
      <c r="AH54" s="597"/>
      <c r="AI54" s="525" t="s">
        <v>168</v>
      </c>
      <c r="AJ54" s="503">
        <v>16.75</v>
      </c>
      <c r="AK54" s="601"/>
      <c r="AL54" s="478" t="s">
        <v>314</v>
      </c>
      <c r="AM54" s="501">
        <v>19.25</v>
      </c>
      <c r="AN54" s="597"/>
      <c r="AO54" s="478" t="s">
        <v>180</v>
      </c>
      <c r="AP54" s="501">
        <v>29.75</v>
      </c>
      <c r="AQ54" s="597"/>
      <c r="AR54" s="486" t="s">
        <v>1333</v>
      </c>
      <c r="AS54" s="503">
        <v>23.5</v>
      </c>
      <c r="AT54" s="601"/>
      <c r="AW54" s="87"/>
      <c r="AX54" s="518"/>
      <c r="AY54" s="518"/>
      <c r="AZ54" s="518"/>
      <c r="BA54" s="519"/>
      <c r="BB54" s="519"/>
      <c r="BC54" s="519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9"/>
      <c r="BO54" s="519"/>
      <c r="BP54" s="519"/>
      <c r="BQ54" s="519"/>
      <c r="BR54" s="519"/>
      <c r="BS54" s="519"/>
      <c r="BT54" s="519"/>
      <c r="BU54" s="519"/>
      <c r="BV54" s="519"/>
      <c r="BW54" s="519"/>
      <c r="BX54" s="519"/>
      <c r="BY54" s="519"/>
      <c r="BZ54" s="519"/>
      <c r="CA54" s="519"/>
      <c r="CB54" s="519"/>
      <c r="CC54" s="519"/>
      <c r="CD54" s="519"/>
      <c r="CE54" s="519"/>
      <c r="CF54" s="519"/>
      <c r="CG54" s="519"/>
      <c r="CH54" s="519"/>
      <c r="CI54" s="519"/>
      <c r="CJ54" s="519"/>
      <c r="CK54" s="519"/>
      <c r="CL54" s="519"/>
      <c r="CM54" s="519"/>
      <c r="CN54" s="519"/>
      <c r="CO54" s="519"/>
      <c r="CP54" s="519"/>
      <c r="CQ54" s="519"/>
      <c r="CR54" s="519"/>
      <c r="CS54" s="519"/>
      <c r="CT54" s="519"/>
      <c r="CU54" s="519"/>
      <c r="CV54" s="519"/>
      <c r="CW54" s="519"/>
      <c r="CX54" s="519"/>
      <c r="CY54" s="519"/>
      <c r="CZ54" s="519"/>
      <c r="DA54" s="519"/>
      <c r="DB54" s="519"/>
      <c r="DC54" s="519"/>
      <c r="DD54" s="519"/>
    </row>
    <row r="55" spans="7:108" ht="15.75" thickBot="1" x14ac:dyDescent="0.3">
      <c r="T55" s="486" t="s">
        <v>5509</v>
      </c>
      <c r="U55" s="487">
        <v>5.25</v>
      </c>
      <c r="V55" s="601"/>
      <c r="W55" s="478" t="s">
        <v>4776</v>
      </c>
      <c r="X55" s="510">
        <v>22.25</v>
      </c>
      <c r="Y55" s="597"/>
      <c r="Z55" s="123" t="s">
        <v>3984</v>
      </c>
      <c r="AA55" s="120">
        <v>20.5</v>
      </c>
      <c r="AB55" s="597"/>
      <c r="AC55" s="87" t="s">
        <v>440</v>
      </c>
      <c r="AD55" s="120">
        <v>24.25</v>
      </c>
      <c r="AE55" s="597"/>
      <c r="AF55" s="87" t="s">
        <v>140</v>
      </c>
      <c r="AG55" s="120">
        <v>25.75</v>
      </c>
      <c r="AH55" s="597"/>
      <c r="AL55" s="478" t="s">
        <v>5682</v>
      </c>
      <c r="AM55" s="501">
        <v>19</v>
      </c>
      <c r="AN55" s="597"/>
      <c r="AO55" s="123" t="s">
        <v>180</v>
      </c>
      <c r="AP55" s="120">
        <v>29.75</v>
      </c>
      <c r="AQ55" s="597"/>
      <c r="AW55" s="87"/>
      <c r="AX55" s="518"/>
      <c r="AY55" s="518"/>
      <c r="AZ55" s="518"/>
      <c r="BA55" s="519"/>
      <c r="BB55" s="519"/>
      <c r="BC55" s="519"/>
      <c r="BD55" s="519"/>
      <c r="BE55" s="519"/>
      <c r="BF55" s="519"/>
      <c r="BG55" s="519"/>
      <c r="BH55" s="519"/>
      <c r="BI55" s="519"/>
      <c r="BJ55" s="519"/>
      <c r="BK55" s="519"/>
      <c r="BL55" s="519"/>
      <c r="BM55" s="519"/>
      <c r="BN55" s="519"/>
      <c r="BO55" s="519"/>
      <c r="BP55" s="519"/>
      <c r="BQ55" s="519"/>
      <c r="BR55" s="519"/>
      <c r="BS55" s="519"/>
      <c r="BT55" s="519"/>
      <c r="BU55" s="519"/>
      <c r="BV55" s="519"/>
      <c r="BW55" s="519"/>
      <c r="BX55" s="519"/>
      <c r="BY55" s="519"/>
      <c r="BZ55" s="519"/>
      <c r="CA55" s="519"/>
      <c r="CB55" s="519"/>
      <c r="CC55" s="519"/>
      <c r="CD55" s="519"/>
      <c r="CE55" s="519"/>
      <c r="CF55" s="519"/>
      <c r="CG55" s="519"/>
      <c r="CH55" s="519"/>
      <c r="CI55" s="519"/>
      <c r="CJ55" s="519"/>
      <c r="CK55" s="519"/>
      <c r="CL55" s="519"/>
      <c r="CM55" s="519"/>
      <c r="CN55" s="519"/>
      <c r="CO55" s="519"/>
      <c r="CP55" s="519"/>
      <c r="CQ55" s="519"/>
      <c r="CR55" s="519"/>
      <c r="CS55" s="519"/>
      <c r="CT55" s="519"/>
      <c r="CU55" s="519"/>
      <c r="CV55" s="519"/>
      <c r="CW55" s="519"/>
      <c r="CX55" s="519"/>
      <c r="CY55" s="519"/>
      <c r="CZ55" s="519"/>
      <c r="DA55" s="519"/>
      <c r="DB55" s="519"/>
      <c r="DC55" s="519"/>
      <c r="DD55" s="519"/>
    </row>
    <row r="56" spans="7:108" ht="15.75" thickBot="1" x14ac:dyDescent="0.3">
      <c r="W56" s="478" t="s">
        <v>4551</v>
      </c>
      <c r="X56" s="510">
        <v>23</v>
      </c>
      <c r="Y56" s="597"/>
      <c r="Z56" s="123" t="s">
        <v>3008</v>
      </c>
      <c r="AA56" s="120">
        <v>20.5</v>
      </c>
      <c r="AB56" s="597"/>
      <c r="AC56" s="87" t="s">
        <v>5025</v>
      </c>
      <c r="AD56" s="120">
        <v>24.25</v>
      </c>
      <c r="AE56" s="597"/>
      <c r="AF56" s="526" t="s">
        <v>4570</v>
      </c>
      <c r="AG56" s="524">
        <v>13.5</v>
      </c>
      <c r="AH56" s="601"/>
      <c r="AL56" s="123" t="s">
        <v>4816</v>
      </c>
      <c r="AM56" s="120">
        <v>18</v>
      </c>
      <c r="AN56" s="597"/>
      <c r="AO56" s="486" t="s">
        <v>5267</v>
      </c>
      <c r="AP56" s="503">
        <v>17.25</v>
      </c>
      <c r="AQ56" s="601"/>
      <c r="AW56" s="87"/>
      <c r="AX56" s="518"/>
      <c r="AY56" s="518"/>
      <c r="AZ56" s="518"/>
      <c r="BA56" s="519"/>
      <c r="BB56" s="519"/>
      <c r="BC56" s="519"/>
      <c r="BD56" s="519"/>
      <c r="BE56" s="519"/>
      <c r="BF56" s="519"/>
      <c r="BG56" s="519"/>
      <c r="BH56" s="519"/>
      <c r="BI56" s="519"/>
      <c r="BJ56" s="519"/>
      <c r="BK56" s="519"/>
      <c r="BL56" s="519"/>
      <c r="BM56" s="519"/>
      <c r="BN56" s="519"/>
      <c r="BO56" s="519"/>
      <c r="BP56" s="519"/>
      <c r="BQ56" s="519"/>
      <c r="BR56" s="519"/>
      <c r="BS56" s="519"/>
      <c r="BT56" s="519"/>
      <c r="BU56" s="519"/>
      <c r="BV56" s="519"/>
      <c r="BW56" s="519"/>
      <c r="BX56" s="519"/>
      <c r="BY56" s="519"/>
      <c r="BZ56" s="519"/>
      <c r="CA56" s="519"/>
      <c r="CB56" s="519"/>
      <c r="CC56" s="519"/>
      <c r="CD56" s="519"/>
      <c r="CE56" s="519"/>
      <c r="CF56" s="519"/>
      <c r="CG56" s="519"/>
      <c r="CH56" s="519"/>
      <c r="CI56" s="519"/>
      <c r="CJ56" s="519"/>
      <c r="CK56" s="519"/>
      <c r="CL56" s="519"/>
      <c r="CM56" s="519"/>
      <c r="CN56" s="519"/>
      <c r="CO56" s="519"/>
      <c r="CP56" s="519"/>
      <c r="CQ56" s="519"/>
      <c r="CR56" s="519"/>
      <c r="CS56" s="519"/>
      <c r="CT56" s="519"/>
      <c r="CU56" s="519"/>
      <c r="CV56" s="519"/>
      <c r="CW56" s="519"/>
      <c r="CX56" s="519"/>
      <c r="CY56" s="519"/>
      <c r="CZ56" s="519"/>
      <c r="DA56" s="519"/>
      <c r="DB56" s="519"/>
      <c r="DC56" s="519"/>
      <c r="DD56" s="519"/>
    </row>
    <row r="57" spans="7:108" x14ac:dyDescent="0.25">
      <c r="W57" s="123" t="s">
        <v>5401</v>
      </c>
      <c r="X57" s="176">
        <v>23.25</v>
      </c>
      <c r="Y57" s="597"/>
      <c r="Z57" s="123" t="s">
        <v>5130</v>
      </c>
      <c r="AA57" s="120">
        <v>12.5</v>
      </c>
      <c r="AB57" s="597"/>
      <c r="AC57" s="87" t="s">
        <v>5025</v>
      </c>
      <c r="AD57" s="120">
        <v>24.25</v>
      </c>
      <c r="AE57" s="597"/>
      <c r="AL57" s="478" t="s">
        <v>1965</v>
      </c>
      <c r="AM57" s="501">
        <v>17</v>
      </c>
      <c r="AN57" s="597"/>
      <c r="AW57" s="87"/>
      <c r="AX57" s="518"/>
      <c r="AY57" s="518"/>
      <c r="AZ57" s="518"/>
      <c r="BA57" s="519"/>
      <c r="BB57" s="519"/>
      <c r="BC57" s="519"/>
      <c r="BD57" s="519"/>
      <c r="BE57" s="519"/>
      <c r="BF57" s="519"/>
      <c r="BG57" s="519"/>
      <c r="BH57" s="519"/>
      <c r="BI57" s="519"/>
      <c r="BJ57" s="519"/>
      <c r="BK57" s="519"/>
      <c r="BL57" s="519"/>
      <c r="BM57" s="519"/>
      <c r="BN57" s="519"/>
      <c r="BO57" s="519"/>
      <c r="BP57" s="519"/>
      <c r="BQ57" s="519"/>
      <c r="BR57" s="519"/>
      <c r="BS57" s="519"/>
      <c r="BT57" s="519"/>
      <c r="BU57" s="519"/>
      <c r="BV57" s="519"/>
      <c r="BW57" s="519"/>
      <c r="BX57" s="519"/>
      <c r="BY57" s="519"/>
      <c r="BZ57" s="519"/>
      <c r="CA57" s="519"/>
      <c r="CB57" s="519"/>
      <c r="CC57" s="519"/>
      <c r="CD57" s="519"/>
      <c r="CE57" s="519"/>
      <c r="CF57" s="519"/>
      <c r="CG57" s="519"/>
      <c r="CH57" s="519"/>
      <c r="CI57" s="519"/>
      <c r="CJ57" s="519"/>
      <c r="CK57" s="519"/>
      <c r="CL57" s="519"/>
      <c r="CM57" s="519"/>
      <c r="CN57" s="519"/>
      <c r="CO57" s="519"/>
      <c r="CP57" s="519"/>
      <c r="CQ57" s="519"/>
      <c r="CR57" s="519"/>
      <c r="CS57" s="519"/>
      <c r="CT57" s="519"/>
      <c r="CU57" s="519"/>
      <c r="CV57" s="519"/>
      <c r="CW57" s="519"/>
      <c r="CX57" s="519"/>
      <c r="CY57" s="519"/>
      <c r="CZ57" s="519"/>
      <c r="DA57" s="519"/>
      <c r="DB57" s="519"/>
      <c r="DC57" s="519"/>
      <c r="DD57" s="519"/>
    </row>
    <row r="58" spans="7:108" ht="15.75" thickBot="1" x14ac:dyDescent="0.3">
      <c r="W58" s="478" t="s">
        <v>295</v>
      </c>
      <c r="X58" s="510">
        <v>23</v>
      </c>
      <c r="Y58" s="597"/>
      <c r="Z58" s="123" t="s">
        <v>2579</v>
      </c>
      <c r="AA58" s="120">
        <v>21.5</v>
      </c>
      <c r="AB58" s="597"/>
      <c r="AC58" s="526" t="s">
        <v>450</v>
      </c>
      <c r="AD58" s="524">
        <v>21</v>
      </c>
      <c r="AE58" s="601"/>
      <c r="AL58" s="164" t="s">
        <v>209</v>
      </c>
      <c r="AM58" s="524">
        <v>16.5</v>
      </c>
      <c r="AN58" s="601"/>
      <c r="AW58" s="87"/>
      <c r="AX58" s="518"/>
      <c r="AY58" s="518"/>
      <c r="AZ58" s="518"/>
      <c r="BA58" s="519"/>
      <c r="BB58" s="519"/>
      <c r="BC58" s="519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519"/>
      <c r="BV58" s="519"/>
      <c r="BW58" s="519"/>
      <c r="BX58" s="519"/>
      <c r="BY58" s="519"/>
      <c r="BZ58" s="519"/>
      <c r="CA58" s="519"/>
      <c r="CB58" s="519"/>
      <c r="CC58" s="519"/>
      <c r="CD58" s="519"/>
      <c r="CE58" s="519"/>
      <c r="CF58" s="519"/>
      <c r="CG58" s="519"/>
      <c r="CH58" s="519"/>
      <c r="CI58" s="519"/>
      <c r="CJ58" s="519"/>
      <c r="CK58" s="519"/>
      <c r="CL58" s="519"/>
      <c r="CM58" s="519"/>
      <c r="CN58" s="519"/>
      <c r="CO58" s="519"/>
      <c r="CP58" s="519"/>
      <c r="CQ58" s="519"/>
      <c r="CR58" s="519"/>
      <c r="CS58" s="519"/>
      <c r="CT58" s="519"/>
      <c r="CU58" s="519"/>
      <c r="CV58" s="519"/>
      <c r="CW58" s="519"/>
      <c r="CX58" s="519"/>
      <c r="CY58" s="519"/>
      <c r="CZ58" s="519"/>
      <c r="DA58" s="519"/>
      <c r="DB58" s="519"/>
      <c r="DC58" s="519"/>
      <c r="DD58" s="519"/>
    </row>
    <row r="59" spans="7:108" ht="15.75" thickBot="1" x14ac:dyDescent="0.3">
      <c r="W59" s="478" t="s">
        <v>4644</v>
      </c>
      <c r="X59" s="510">
        <v>23</v>
      </c>
      <c r="Y59" s="597"/>
      <c r="Z59" s="164" t="s">
        <v>2490</v>
      </c>
      <c r="AA59" s="524">
        <v>21.5</v>
      </c>
      <c r="AB59" s="601"/>
      <c r="AW59" s="87"/>
      <c r="AX59" s="518"/>
      <c r="AY59" s="518"/>
      <c r="AZ59" s="518"/>
      <c r="BA59" s="519"/>
      <c r="BB59" s="519"/>
      <c r="BC59" s="519"/>
      <c r="BD59" s="519"/>
      <c r="BE59" s="519"/>
      <c r="BF59" s="519"/>
      <c r="BG59" s="519"/>
      <c r="BH59" s="519"/>
      <c r="BI59" s="519"/>
      <c r="BJ59" s="519"/>
      <c r="BK59" s="519"/>
      <c r="BL59" s="519"/>
      <c r="BM59" s="519"/>
      <c r="BN59" s="519"/>
      <c r="BO59" s="519"/>
      <c r="BP59" s="519"/>
      <c r="BQ59" s="519"/>
      <c r="BR59" s="519"/>
      <c r="BS59" s="519"/>
      <c r="BT59" s="519"/>
      <c r="BU59" s="519"/>
      <c r="BV59" s="519"/>
      <c r="BW59" s="519"/>
      <c r="BX59" s="519"/>
      <c r="BY59" s="519"/>
      <c r="BZ59" s="519"/>
      <c r="CA59" s="519"/>
      <c r="CB59" s="519"/>
      <c r="CC59" s="519"/>
      <c r="CD59" s="519"/>
      <c r="CE59" s="519"/>
      <c r="CF59" s="519"/>
      <c r="CG59" s="519"/>
      <c r="CH59" s="519"/>
      <c r="CI59" s="519"/>
      <c r="CJ59" s="519"/>
      <c r="CK59" s="519"/>
      <c r="CL59" s="519"/>
      <c r="CM59" s="519"/>
      <c r="CN59" s="519"/>
      <c r="CO59" s="519"/>
      <c r="CP59" s="519"/>
      <c r="CQ59" s="519"/>
      <c r="CR59" s="519"/>
      <c r="CS59" s="519"/>
      <c r="CT59" s="519"/>
      <c r="CU59" s="519"/>
      <c r="CV59" s="519"/>
      <c r="CW59" s="519"/>
      <c r="CX59" s="519"/>
      <c r="CY59" s="519"/>
      <c r="CZ59" s="519"/>
      <c r="DA59" s="519"/>
      <c r="DB59" s="519"/>
      <c r="DC59" s="519"/>
      <c r="DD59" s="519"/>
    </row>
    <row r="60" spans="7:108" x14ac:dyDescent="0.25">
      <c r="G60" s="535"/>
      <c r="H60" s="470"/>
      <c r="I60" s="470"/>
      <c r="W60" s="478" t="s">
        <v>5279</v>
      </c>
      <c r="X60" s="510">
        <v>23</v>
      </c>
      <c r="Y60" s="597"/>
      <c r="AW60" s="87"/>
      <c r="AX60" s="518"/>
      <c r="AY60" s="518"/>
      <c r="AZ60" s="518"/>
      <c r="BA60" s="519"/>
      <c r="BB60" s="519"/>
      <c r="BC60" s="519"/>
      <c r="BD60" s="519"/>
      <c r="BE60" s="519"/>
      <c r="BF60" s="519"/>
      <c r="BG60" s="519"/>
      <c r="BH60" s="519"/>
      <c r="BI60" s="519"/>
      <c r="BJ60" s="519"/>
      <c r="BK60" s="519"/>
      <c r="BL60" s="519"/>
      <c r="BM60" s="519"/>
      <c r="BN60" s="519"/>
      <c r="BO60" s="519"/>
      <c r="BP60" s="519"/>
      <c r="BQ60" s="519"/>
      <c r="BR60" s="519"/>
      <c r="BS60" s="519"/>
      <c r="BT60" s="519"/>
      <c r="BU60" s="519"/>
      <c r="BV60" s="519"/>
      <c r="BW60" s="519"/>
      <c r="BX60" s="519"/>
      <c r="BY60" s="519"/>
      <c r="BZ60" s="519"/>
      <c r="CA60" s="519"/>
      <c r="CB60" s="519"/>
      <c r="CC60" s="519"/>
      <c r="CD60" s="519"/>
      <c r="CE60" s="519"/>
      <c r="CF60" s="519"/>
      <c r="CG60" s="519"/>
      <c r="CH60" s="519"/>
      <c r="CI60" s="519"/>
      <c r="CJ60" s="519"/>
      <c r="CK60" s="519"/>
      <c r="CL60" s="519"/>
      <c r="CM60" s="519"/>
      <c r="CN60" s="519"/>
      <c r="CO60" s="519"/>
      <c r="CP60" s="519"/>
      <c r="CQ60" s="519"/>
      <c r="CR60" s="519"/>
      <c r="CS60" s="519"/>
      <c r="CT60" s="519"/>
      <c r="CU60" s="519"/>
      <c r="CV60" s="519"/>
      <c r="CW60" s="519"/>
      <c r="CX60" s="519"/>
      <c r="CY60" s="519"/>
      <c r="CZ60" s="519"/>
      <c r="DA60" s="519"/>
      <c r="DB60" s="519"/>
      <c r="DC60" s="519"/>
      <c r="DD60" s="519"/>
    </row>
    <row r="61" spans="7:108" ht="15.75" thickBot="1" x14ac:dyDescent="0.3">
      <c r="W61" s="537" t="s">
        <v>5425</v>
      </c>
      <c r="X61" s="538">
        <v>6.75</v>
      </c>
      <c r="Y61" s="601"/>
      <c r="AW61" s="469"/>
      <c r="AX61" s="518"/>
      <c r="AY61" s="518"/>
      <c r="AZ61" s="518"/>
      <c r="BA61" s="519"/>
      <c r="BB61" s="519"/>
      <c r="BC61" s="519"/>
      <c r="BD61" s="519"/>
      <c r="BE61" s="519"/>
      <c r="BF61" s="519"/>
      <c r="BG61" s="519"/>
      <c r="BH61" s="519"/>
      <c r="BI61" s="519"/>
      <c r="BJ61" s="519"/>
      <c r="BK61" s="519"/>
      <c r="BL61" s="519"/>
      <c r="BM61" s="519"/>
      <c r="BN61" s="519"/>
      <c r="BO61" s="519"/>
      <c r="BP61" s="519"/>
      <c r="BQ61" s="519"/>
      <c r="BR61" s="519"/>
      <c r="BS61" s="519"/>
      <c r="BT61" s="519"/>
      <c r="BU61" s="519"/>
      <c r="BV61" s="519"/>
      <c r="BW61" s="519"/>
      <c r="BX61" s="519"/>
      <c r="BY61" s="519"/>
      <c r="BZ61" s="519"/>
      <c r="CA61" s="519"/>
      <c r="CB61" s="519"/>
      <c r="CC61" s="519"/>
      <c r="CD61" s="519"/>
      <c r="CE61" s="519"/>
      <c r="CF61" s="519"/>
      <c r="CG61" s="519"/>
      <c r="CH61" s="519"/>
      <c r="CI61" s="519"/>
      <c r="CJ61" s="519"/>
      <c r="CK61" s="519"/>
      <c r="CL61" s="519"/>
      <c r="CM61" s="519"/>
      <c r="CN61" s="519"/>
      <c r="CO61" s="519"/>
      <c r="CP61" s="519"/>
      <c r="CQ61" s="519"/>
      <c r="CR61" s="519"/>
      <c r="CS61" s="519"/>
      <c r="CT61" s="519"/>
      <c r="CU61" s="519"/>
      <c r="CV61" s="519"/>
      <c r="CW61" s="519"/>
      <c r="CX61" s="519"/>
      <c r="CY61" s="519"/>
      <c r="CZ61" s="519"/>
      <c r="DA61" s="519"/>
      <c r="DB61" s="519"/>
      <c r="DC61" s="519"/>
      <c r="DD61" s="519"/>
    </row>
    <row r="62" spans="7:108" x14ac:dyDescent="0.25">
      <c r="AW62" s="87"/>
      <c r="AX62" s="518"/>
      <c r="AY62" s="518"/>
      <c r="AZ62" s="518"/>
      <c r="BA62" s="519"/>
      <c r="BB62" s="519"/>
      <c r="BC62" s="519"/>
      <c r="BD62" s="519"/>
      <c r="BE62" s="519"/>
      <c r="BF62" s="519"/>
      <c r="BG62" s="519"/>
      <c r="BH62" s="519"/>
      <c r="BI62" s="519"/>
      <c r="BJ62" s="519"/>
      <c r="BK62" s="519"/>
      <c r="BL62" s="519"/>
      <c r="BM62" s="519"/>
      <c r="BN62" s="519"/>
      <c r="BO62" s="519"/>
      <c r="BP62" s="519"/>
      <c r="BQ62" s="519"/>
      <c r="BR62" s="519"/>
      <c r="BS62" s="519"/>
      <c r="BT62" s="519"/>
      <c r="BU62" s="519"/>
      <c r="BV62" s="519"/>
      <c r="BW62" s="519"/>
      <c r="BX62" s="519"/>
      <c r="BY62" s="519"/>
      <c r="BZ62" s="519"/>
      <c r="CA62" s="519"/>
      <c r="CB62" s="519"/>
      <c r="CC62" s="519"/>
      <c r="CD62" s="519"/>
      <c r="CE62" s="519"/>
      <c r="CF62" s="519"/>
      <c r="CG62" s="519"/>
      <c r="CH62" s="519"/>
      <c r="CI62" s="519"/>
      <c r="CJ62" s="519"/>
      <c r="CK62" s="519"/>
      <c r="CL62" s="519"/>
      <c r="CM62" s="519"/>
      <c r="CN62" s="519"/>
      <c r="CO62" s="519"/>
      <c r="CP62" s="519"/>
      <c r="CQ62" s="519"/>
      <c r="CR62" s="519"/>
      <c r="CS62" s="519"/>
      <c r="CT62" s="519"/>
      <c r="CU62" s="519"/>
      <c r="CV62" s="519"/>
      <c r="CW62" s="519"/>
      <c r="CX62" s="519"/>
      <c r="CY62" s="519"/>
      <c r="CZ62" s="519"/>
      <c r="DA62" s="519"/>
      <c r="DB62" s="519"/>
      <c r="DC62" s="519"/>
      <c r="DD62" s="519"/>
    </row>
    <row r="63" spans="7:108" x14ac:dyDescent="0.25">
      <c r="AW63" s="469"/>
      <c r="AX63" s="518"/>
      <c r="AY63" s="518"/>
      <c r="AZ63" s="518"/>
      <c r="BA63" s="519"/>
      <c r="BB63" s="519"/>
      <c r="BC63" s="519"/>
      <c r="BD63" s="519"/>
      <c r="BE63" s="519"/>
      <c r="BF63" s="519"/>
      <c r="BG63" s="519"/>
      <c r="BH63" s="519"/>
      <c r="BI63" s="519"/>
      <c r="BJ63" s="519"/>
      <c r="BK63" s="519"/>
      <c r="BL63" s="519"/>
      <c r="BM63" s="519"/>
      <c r="BN63" s="519"/>
      <c r="BO63" s="519"/>
      <c r="BP63" s="519"/>
      <c r="BQ63" s="519"/>
      <c r="BR63" s="519"/>
      <c r="BS63" s="519"/>
      <c r="BT63" s="519"/>
      <c r="BU63" s="519"/>
      <c r="BV63" s="519"/>
      <c r="BW63" s="519"/>
      <c r="BX63" s="519"/>
      <c r="BY63" s="519"/>
      <c r="BZ63" s="519"/>
      <c r="CA63" s="519"/>
      <c r="CB63" s="519"/>
      <c r="CC63" s="519"/>
      <c r="CD63" s="519"/>
      <c r="CE63" s="519"/>
      <c r="CF63" s="519"/>
      <c r="CG63" s="519"/>
      <c r="CH63" s="519"/>
      <c r="CI63" s="519"/>
      <c r="CJ63" s="519"/>
      <c r="CK63" s="519"/>
      <c r="CL63" s="519"/>
      <c r="CM63" s="519"/>
      <c r="CN63" s="519"/>
      <c r="CO63" s="519"/>
      <c r="CP63" s="519"/>
      <c r="CQ63" s="519"/>
      <c r="CR63" s="519"/>
      <c r="CS63" s="519"/>
      <c r="CT63" s="519"/>
      <c r="CU63" s="519"/>
      <c r="CV63" s="519"/>
      <c r="CW63" s="519"/>
      <c r="CX63" s="519"/>
      <c r="CY63" s="519"/>
      <c r="CZ63" s="519"/>
      <c r="DA63" s="519"/>
      <c r="DB63" s="519"/>
      <c r="DC63" s="519"/>
      <c r="DD63" s="519"/>
    </row>
    <row r="64" spans="7:108" x14ac:dyDescent="0.25">
      <c r="AW64" s="469"/>
      <c r="AX64" s="518"/>
      <c r="AY64" s="518"/>
      <c r="AZ64" s="518"/>
      <c r="BA64" s="519"/>
      <c r="BB64" s="519"/>
      <c r="BC64" s="519"/>
      <c r="BD64" s="519"/>
      <c r="BE64" s="519"/>
      <c r="BF64" s="519"/>
      <c r="BG64" s="519"/>
      <c r="BH64" s="519"/>
      <c r="BI64" s="519"/>
      <c r="BJ64" s="519"/>
      <c r="BK64" s="519"/>
      <c r="BL64" s="519"/>
      <c r="BM64" s="519"/>
      <c r="BN64" s="519"/>
      <c r="BO64" s="519"/>
      <c r="BP64" s="519"/>
      <c r="BQ64" s="519"/>
      <c r="BR64" s="519"/>
      <c r="BS64" s="519"/>
      <c r="BT64" s="519"/>
      <c r="BU64" s="519"/>
      <c r="BV64" s="519"/>
      <c r="BW64" s="519"/>
      <c r="BX64" s="519"/>
      <c r="BY64" s="519"/>
      <c r="BZ64" s="519"/>
      <c r="CA64" s="519"/>
      <c r="CB64" s="519"/>
      <c r="CC64" s="519"/>
      <c r="CD64" s="519"/>
      <c r="CE64" s="519"/>
      <c r="CF64" s="519"/>
      <c r="CG64" s="519"/>
      <c r="CH64" s="519"/>
      <c r="CI64" s="519"/>
      <c r="CJ64" s="519"/>
      <c r="CK64" s="519"/>
      <c r="CL64" s="519"/>
      <c r="CM64" s="519"/>
      <c r="CN64" s="519"/>
      <c r="CO64" s="519"/>
      <c r="CP64" s="519"/>
      <c r="CQ64" s="519"/>
      <c r="CR64" s="519"/>
      <c r="CS64" s="519"/>
      <c r="CT64" s="519"/>
      <c r="CU64" s="519"/>
      <c r="CV64" s="519"/>
      <c r="CW64" s="519"/>
      <c r="CX64" s="519"/>
      <c r="CY64" s="519"/>
      <c r="CZ64" s="519"/>
      <c r="DA64" s="519"/>
      <c r="DB64" s="519"/>
      <c r="DC64" s="519"/>
      <c r="DD64" s="519"/>
    </row>
    <row r="65" spans="49:108" x14ac:dyDescent="0.25">
      <c r="AW65" s="469"/>
      <c r="AX65" s="518"/>
      <c r="AY65" s="518"/>
      <c r="AZ65" s="518"/>
      <c r="BA65" s="519"/>
      <c r="BB65" s="519"/>
      <c r="BC65" s="519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519"/>
      <c r="BV65" s="519"/>
      <c r="BW65" s="519"/>
      <c r="BX65" s="519"/>
      <c r="BY65" s="519"/>
      <c r="BZ65" s="519"/>
      <c r="CA65" s="519"/>
      <c r="CB65" s="519"/>
      <c r="CC65" s="519"/>
      <c r="CD65" s="519"/>
      <c r="CE65" s="519"/>
      <c r="CF65" s="519"/>
      <c r="CG65" s="519"/>
      <c r="CH65" s="519"/>
      <c r="CI65" s="519"/>
      <c r="CJ65" s="519"/>
      <c r="CK65" s="519"/>
      <c r="CL65" s="519"/>
      <c r="CM65" s="519"/>
      <c r="CN65" s="519"/>
      <c r="CO65" s="519"/>
      <c r="CP65" s="519"/>
      <c r="CQ65" s="519"/>
      <c r="CR65" s="519"/>
      <c r="CS65" s="519"/>
      <c r="CT65" s="519"/>
      <c r="CU65" s="519"/>
      <c r="CV65" s="519"/>
      <c r="CW65" s="519"/>
      <c r="CX65" s="519"/>
      <c r="CY65" s="519"/>
      <c r="CZ65" s="519"/>
      <c r="DA65" s="519"/>
      <c r="DB65" s="519"/>
      <c r="DC65" s="519"/>
      <c r="DD65" s="519"/>
    </row>
    <row r="66" spans="49:108" x14ac:dyDescent="0.25">
      <c r="AW66" s="469"/>
      <c r="AX66" s="518"/>
      <c r="AY66" s="518"/>
      <c r="AZ66" s="518"/>
      <c r="BA66" s="519"/>
      <c r="BB66" s="519"/>
      <c r="BC66" s="519"/>
      <c r="BD66" s="519"/>
      <c r="BE66" s="519"/>
      <c r="BF66" s="519"/>
      <c r="BG66" s="519"/>
      <c r="BH66" s="519"/>
      <c r="BI66" s="519"/>
      <c r="BJ66" s="519"/>
      <c r="BK66" s="519"/>
      <c r="BL66" s="519"/>
      <c r="BM66" s="519"/>
      <c r="BN66" s="519"/>
      <c r="BO66" s="519"/>
      <c r="BP66" s="519"/>
      <c r="BQ66" s="519"/>
      <c r="BR66" s="519"/>
      <c r="BS66" s="519"/>
      <c r="BT66" s="519"/>
      <c r="BU66" s="519"/>
      <c r="BV66" s="519"/>
      <c r="BW66" s="519"/>
      <c r="BX66" s="519"/>
      <c r="BY66" s="519"/>
      <c r="BZ66" s="519"/>
      <c r="CA66" s="519"/>
      <c r="CB66" s="519"/>
      <c r="CC66" s="519"/>
      <c r="CD66" s="519"/>
      <c r="CE66" s="519"/>
      <c r="CF66" s="519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19"/>
      <c r="CU66" s="519"/>
      <c r="CV66" s="519"/>
      <c r="CW66" s="519"/>
      <c r="CX66" s="519"/>
      <c r="CY66" s="519"/>
      <c r="CZ66" s="519"/>
      <c r="DA66" s="519"/>
      <c r="DB66" s="519"/>
      <c r="DC66" s="519"/>
      <c r="DD66" s="519"/>
    </row>
    <row r="67" spans="49:108" x14ac:dyDescent="0.25">
      <c r="AW67" s="469"/>
      <c r="AX67" s="518"/>
      <c r="AY67" s="518"/>
      <c r="AZ67" s="518"/>
      <c r="BA67" s="519"/>
      <c r="BB67" s="519"/>
      <c r="BC67" s="519"/>
      <c r="BD67" s="519"/>
      <c r="BE67" s="519"/>
      <c r="BF67" s="519"/>
      <c r="BG67" s="519"/>
      <c r="BH67" s="519"/>
      <c r="BI67" s="519"/>
      <c r="BJ67" s="519"/>
      <c r="BK67" s="519"/>
      <c r="BL67" s="519"/>
      <c r="BM67" s="519"/>
      <c r="BN67" s="519"/>
      <c r="BO67" s="519"/>
      <c r="BP67" s="519"/>
      <c r="BQ67" s="519"/>
      <c r="BR67" s="519"/>
      <c r="BS67" s="519"/>
      <c r="BT67" s="519"/>
      <c r="BU67" s="519"/>
      <c r="BV67" s="519"/>
      <c r="BW67" s="519"/>
      <c r="BX67" s="519"/>
      <c r="BY67" s="519"/>
      <c r="BZ67" s="519"/>
      <c r="CA67" s="519"/>
      <c r="CB67" s="519"/>
      <c r="CC67" s="519"/>
      <c r="CD67" s="519"/>
      <c r="CE67" s="519"/>
      <c r="CF67" s="519"/>
      <c r="CG67" s="519"/>
      <c r="CH67" s="519"/>
      <c r="CI67" s="519"/>
      <c r="CJ67" s="519"/>
      <c r="CK67" s="519"/>
      <c r="CL67" s="519"/>
      <c r="CM67" s="519"/>
      <c r="CN67" s="519"/>
      <c r="CO67" s="519"/>
      <c r="CP67" s="519"/>
      <c r="CQ67" s="519"/>
      <c r="CR67" s="519"/>
      <c r="CS67" s="519"/>
      <c r="CT67" s="519"/>
      <c r="CU67" s="519"/>
      <c r="CV67" s="519"/>
      <c r="CW67" s="519"/>
      <c r="CX67" s="519"/>
      <c r="CY67" s="519"/>
      <c r="CZ67" s="519"/>
      <c r="DA67" s="519"/>
      <c r="DB67" s="519"/>
      <c r="DC67" s="519"/>
      <c r="DD67" s="519"/>
    </row>
    <row r="68" spans="49:108" x14ac:dyDescent="0.25">
      <c r="AW68" s="469"/>
      <c r="AX68" s="518"/>
      <c r="AY68" s="518"/>
      <c r="AZ68" s="518"/>
      <c r="BA68" s="519"/>
      <c r="BB68" s="519"/>
      <c r="BC68" s="519"/>
      <c r="BD68" s="519"/>
      <c r="BE68" s="519"/>
      <c r="BF68" s="519"/>
      <c r="BG68" s="519"/>
      <c r="BH68" s="519"/>
      <c r="BI68" s="519"/>
      <c r="BJ68" s="519"/>
      <c r="BK68" s="519"/>
      <c r="BL68" s="519"/>
      <c r="BM68" s="519"/>
      <c r="BN68" s="519"/>
      <c r="BO68" s="519"/>
      <c r="BP68" s="519"/>
      <c r="BQ68" s="519"/>
      <c r="BR68" s="519"/>
      <c r="BS68" s="519"/>
      <c r="BT68" s="519"/>
      <c r="BU68" s="519"/>
      <c r="BV68" s="519"/>
      <c r="BW68" s="519"/>
      <c r="BX68" s="519"/>
      <c r="BY68" s="519"/>
      <c r="BZ68" s="519"/>
      <c r="CA68" s="519"/>
      <c r="CB68" s="519"/>
      <c r="CC68" s="519"/>
      <c r="CD68" s="519"/>
      <c r="CE68" s="519"/>
      <c r="CF68" s="519"/>
      <c r="CG68" s="519"/>
      <c r="CH68" s="519"/>
      <c r="CI68" s="519"/>
      <c r="CJ68" s="519"/>
      <c r="CK68" s="519"/>
      <c r="CL68" s="519"/>
      <c r="CM68" s="519"/>
      <c r="CN68" s="519"/>
      <c r="CO68" s="519"/>
      <c r="CP68" s="519"/>
      <c r="CQ68" s="519"/>
      <c r="CR68" s="519"/>
      <c r="CS68" s="519"/>
      <c r="CT68" s="519"/>
      <c r="CU68" s="519"/>
      <c r="CV68" s="519"/>
      <c r="CW68" s="519"/>
      <c r="CX68" s="519"/>
      <c r="CY68" s="519"/>
      <c r="CZ68" s="519"/>
      <c r="DA68" s="519"/>
      <c r="DB68" s="519"/>
      <c r="DC68" s="519"/>
      <c r="DD68" s="519"/>
    </row>
    <row r="69" spans="49:108" x14ac:dyDescent="0.25">
      <c r="AW69" s="87"/>
      <c r="AX69" s="518"/>
      <c r="AY69" s="518"/>
      <c r="AZ69" s="518"/>
      <c r="BA69" s="519"/>
      <c r="BB69" s="519"/>
      <c r="BC69" s="519"/>
      <c r="BD69" s="519"/>
      <c r="BE69" s="519"/>
      <c r="BF69" s="519"/>
      <c r="BG69" s="519"/>
      <c r="BH69" s="519"/>
      <c r="BI69" s="519"/>
      <c r="BJ69" s="519"/>
      <c r="BK69" s="519"/>
      <c r="BL69" s="519"/>
      <c r="BM69" s="519"/>
      <c r="BN69" s="519"/>
      <c r="BO69" s="519"/>
      <c r="BP69" s="519"/>
      <c r="BQ69" s="519"/>
      <c r="BR69" s="519"/>
      <c r="BS69" s="519"/>
      <c r="BT69" s="519"/>
      <c r="BU69" s="519"/>
      <c r="BV69" s="519"/>
      <c r="BW69" s="519"/>
      <c r="BX69" s="519"/>
      <c r="BY69" s="519"/>
      <c r="BZ69" s="519"/>
      <c r="CA69" s="519"/>
      <c r="CB69" s="519"/>
      <c r="CC69" s="519"/>
      <c r="CD69" s="519"/>
      <c r="CE69" s="519"/>
      <c r="CF69" s="519"/>
      <c r="CG69" s="519"/>
      <c r="CH69" s="519"/>
      <c r="CI69" s="519"/>
      <c r="CJ69" s="519"/>
      <c r="CK69" s="519"/>
      <c r="CL69" s="519"/>
      <c r="CM69" s="519"/>
      <c r="CN69" s="519"/>
      <c r="CO69" s="519"/>
      <c r="CP69" s="519"/>
      <c r="CQ69" s="519"/>
      <c r="CR69" s="519"/>
      <c r="CS69" s="519"/>
      <c r="CT69" s="519"/>
      <c r="CU69" s="519"/>
      <c r="CV69" s="519"/>
      <c r="CW69" s="519"/>
      <c r="CX69" s="519"/>
      <c r="CY69" s="519"/>
      <c r="CZ69" s="519"/>
      <c r="DA69" s="519"/>
      <c r="DB69" s="519"/>
      <c r="DC69" s="519"/>
      <c r="DD69" s="519"/>
    </row>
    <row r="70" spans="49:108" x14ac:dyDescent="0.25">
      <c r="AW70" s="469"/>
      <c r="AX70" s="518"/>
      <c r="AY70" s="518"/>
      <c r="AZ70" s="518"/>
      <c r="BA70" s="519"/>
      <c r="BB70" s="519"/>
      <c r="BC70" s="519"/>
      <c r="BD70" s="519"/>
      <c r="BE70" s="519"/>
      <c r="BF70" s="519"/>
      <c r="BG70" s="519"/>
      <c r="BH70" s="519"/>
      <c r="BI70" s="519"/>
      <c r="BJ70" s="519"/>
      <c r="BK70" s="519"/>
      <c r="BL70" s="519"/>
      <c r="BM70" s="519"/>
      <c r="BN70" s="519"/>
      <c r="BO70" s="519"/>
      <c r="BP70" s="519"/>
      <c r="BQ70" s="519"/>
      <c r="BR70" s="519"/>
      <c r="BS70" s="519"/>
      <c r="BT70" s="519"/>
      <c r="BU70" s="519"/>
      <c r="BV70" s="519"/>
      <c r="BW70" s="519"/>
      <c r="BX70" s="519"/>
      <c r="BY70" s="519"/>
      <c r="BZ70" s="519"/>
      <c r="CA70" s="519"/>
      <c r="CB70" s="519"/>
      <c r="CC70" s="519"/>
      <c r="CD70" s="519"/>
      <c r="CE70" s="519"/>
      <c r="CF70" s="519"/>
      <c r="CG70" s="519"/>
      <c r="CH70" s="519"/>
      <c r="CI70" s="519"/>
      <c r="CJ70" s="519"/>
      <c r="CK70" s="519"/>
      <c r="CL70" s="519"/>
      <c r="CM70" s="519"/>
      <c r="CN70" s="519"/>
      <c r="CO70" s="519"/>
      <c r="CP70" s="519"/>
      <c r="CQ70" s="519"/>
      <c r="CR70" s="519"/>
      <c r="CS70" s="519"/>
      <c r="CT70" s="519"/>
      <c r="CU70" s="519"/>
      <c r="CV70" s="519"/>
      <c r="CW70" s="519"/>
      <c r="CX70" s="519"/>
      <c r="CY70" s="519"/>
      <c r="CZ70" s="519"/>
      <c r="DA70" s="519"/>
      <c r="DB70" s="519"/>
      <c r="DC70" s="519"/>
      <c r="DD70" s="519"/>
    </row>
    <row r="71" spans="49:108" x14ac:dyDescent="0.25">
      <c r="AW71" s="87"/>
      <c r="AX71" s="518"/>
      <c r="AY71" s="518"/>
      <c r="AZ71" s="518"/>
      <c r="BA71" s="519"/>
      <c r="BB71" s="519"/>
      <c r="BC71" s="519"/>
      <c r="BD71" s="519"/>
      <c r="BE71" s="519"/>
      <c r="BF71" s="519"/>
      <c r="BG71" s="519"/>
      <c r="BH71" s="519"/>
      <c r="BI71" s="519"/>
      <c r="BJ71" s="519"/>
      <c r="BK71" s="519"/>
      <c r="BL71" s="519"/>
      <c r="BM71" s="519"/>
      <c r="BN71" s="519"/>
      <c r="BO71" s="519"/>
      <c r="BP71" s="519"/>
      <c r="BQ71" s="519"/>
      <c r="BR71" s="519"/>
      <c r="BS71" s="519"/>
      <c r="BT71" s="519"/>
      <c r="BU71" s="519"/>
      <c r="BV71" s="519"/>
      <c r="BW71" s="519"/>
      <c r="BX71" s="519"/>
      <c r="BY71" s="519"/>
      <c r="BZ71" s="519"/>
      <c r="CA71" s="519"/>
      <c r="CB71" s="519"/>
      <c r="CC71" s="519"/>
      <c r="CD71" s="519"/>
      <c r="CE71" s="519"/>
      <c r="CF71" s="519"/>
      <c r="CG71" s="519"/>
      <c r="CH71" s="519"/>
      <c r="CI71" s="519"/>
      <c r="CJ71" s="519"/>
      <c r="CK71" s="519"/>
      <c r="CL71" s="519"/>
      <c r="CM71" s="519"/>
      <c r="CN71" s="519"/>
      <c r="CO71" s="519"/>
      <c r="CP71" s="519"/>
      <c r="CQ71" s="519"/>
      <c r="CR71" s="519"/>
      <c r="CS71" s="519"/>
      <c r="CT71" s="519"/>
      <c r="CU71" s="519"/>
      <c r="CV71" s="519"/>
      <c r="CW71" s="519"/>
      <c r="CX71" s="519"/>
      <c r="CY71" s="519"/>
      <c r="CZ71" s="519"/>
      <c r="DA71" s="519"/>
      <c r="DB71" s="519"/>
      <c r="DC71" s="519"/>
      <c r="DD71" s="519"/>
    </row>
    <row r="72" spans="49:108" x14ac:dyDescent="0.25">
      <c r="AW72" s="87"/>
      <c r="BP72" s="136"/>
      <c r="BQ72" s="136"/>
      <c r="BR72" s="136"/>
      <c r="BS72" s="136"/>
      <c r="BT72" s="528"/>
      <c r="BU72" s="528"/>
      <c r="BV72" s="528"/>
      <c r="BW72" s="528"/>
      <c r="BX72" s="528"/>
      <c r="BZ72" s="528"/>
      <c r="CA72" s="530"/>
      <c r="CB72" s="136"/>
      <c r="CC72" s="136"/>
      <c r="CD72" s="136"/>
      <c r="CE72" s="136"/>
      <c r="CF72" s="136"/>
      <c r="CG72" s="136"/>
      <c r="CH72" s="136"/>
      <c r="CI72" s="136"/>
      <c r="CJ72" s="136"/>
      <c r="CK72" s="136"/>
      <c r="CQ72" s="470"/>
      <c r="CR72" s="470"/>
      <c r="DA72" s="519"/>
      <c r="DB72" s="519"/>
      <c r="DC72" s="519"/>
      <c r="DD72" s="519"/>
    </row>
    <row r="73" spans="49:108" x14ac:dyDescent="0.25">
      <c r="AW73" s="469"/>
      <c r="BP73" s="136"/>
      <c r="BQ73" s="136"/>
      <c r="BR73" s="136"/>
      <c r="BS73" s="136"/>
      <c r="BT73" s="528"/>
      <c r="BU73" s="528"/>
      <c r="BV73" s="528"/>
      <c r="BW73" s="528"/>
      <c r="BX73" s="528"/>
      <c r="BZ73" s="528"/>
      <c r="CA73" s="530"/>
      <c r="CB73" s="136"/>
      <c r="CC73" s="136"/>
      <c r="CD73" s="136"/>
      <c r="CE73" s="136"/>
      <c r="CF73" s="136"/>
      <c r="CG73" s="136"/>
      <c r="CH73" s="136"/>
      <c r="CI73" s="136"/>
      <c r="CJ73" s="136"/>
      <c r="CK73" s="136"/>
      <c r="CQ73" s="470"/>
      <c r="CR73" s="470"/>
      <c r="DA73" s="519"/>
      <c r="DB73" s="519"/>
      <c r="DC73" s="519"/>
      <c r="DD73" s="519"/>
    </row>
    <row r="74" spans="49:108" x14ac:dyDescent="0.25">
      <c r="AW74" s="469"/>
      <c r="BP74" s="136"/>
      <c r="BQ74" s="136"/>
      <c r="BR74" s="136"/>
      <c r="BS74" s="136"/>
      <c r="BT74" s="528"/>
      <c r="BU74" s="528"/>
      <c r="BV74" s="528"/>
      <c r="BW74" s="528"/>
      <c r="BX74" s="528"/>
      <c r="BZ74" s="528"/>
      <c r="CA74" s="530"/>
      <c r="CB74" s="136"/>
      <c r="CC74" s="136"/>
      <c r="CD74" s="136"/>
      <c r="CE74" s="136"/>
      <c r="CF74" s="136"/>
      <c r="CG74" s="136"/>
      <c r="CH74" s="136"/>
      <c r="CI74" s="136"/>
      <c r="CJ74" s="136"/>
      <c r="CK74" s="136"/>
      <c r="CQ74" s="470"/>
      <c r="CR74" s="470"/>
      <c r="DA74" s="519"/>
      <c r="DB74" s="519"/>
      <c r="DC74" s="519"/>
      <c r="DD74" s="519"/>
    </row>
    <row r="75" spans="49:108" x14ac:dyDescent="0.25">
      <c r="AW75" s="469"/>
      <c r="BP75" s="136"/>
      <c r="BQ75" s="136"/>
      <c r="BR75" s="136"/>
      <c r="BS75" s="136"/>
      <c r="BT75" s="528"/>
      <c r="BU75" s="528"/>
      <c r="BV75" s="528"/>
      <c r="BW75" s="528"/>
      <c r="BX75" s="528"/>
      <c r="BZ75" s="528"/>
      <c r="CA75" s="530"/>
      <c r="CB75" s="136"/>
      <c r="CC75" s="136"/>
      <c r="CD75" s="136"/>
      <c r="CE75" s="136"/>
      <c r="CF75" s="136"/>
      <c r="CG75" s="136"/>
      <c r="CH75" s="136"/>
      <c r="CI75" s="136"/>
      <c r="CJ75" s="136"/>
      <c r="CK75" s="136"/>
      <c r="CQ75" s="470"/>
      <c r="CR75" s="470"/>
      <c r="DA75" s="519"/>
      <c r="DB75" s="519"/>
      <c r="DC75" s="519"/>
      <c r="DD75" s="519"/>
    </row>
    <row r="76" spans="49:108" x14ac:dyDescent="0.25">
      <c r="AW76" s="469"/>
      <c r="BQ76" s="136"/>
      <c r="BR76" s="136"/>
      <c r="BS76" s="136"/>
      <c r="BT76" s="528"/>
      <c r="BU76" s="528"/>
      <c r="BV76" s="528"/>
      <c r="BW76" s="528"/>
      <c r="BX76" s="528"/>
      <c r="BZ76" s="528"/>
      <c r="CA76" s="530"/>
      <c r="CB76" s="136"/>
      <c r="CC76" s="136"/>
      <c r="CD76" s="136"/>
      <c r="CE76" s="136"/>
      <c r="CF76" s="136"/>
      <c r="CG76" s="136"/>
      <c r="CH76" s="136"/>
      <c r="CI76" s="136"/>
      <c r="CJ76" s="136"/>
      <c r="CK76" s="136"/>
      <c r="CQ76" s="470"/>
      <c r="CR76" s="470"/>
      <c r="DA76" s="519"/>
      <c r="DB76" s="519"/>
      <c r="DC76" s="519"/>
      <c r="DD76" s="519"/>
    </row>
    <row r="77" spans="49:108" x14ac:dyDescent="0.25">
      <c r="AW77" s="469"/>
      <c r="BQ77" s="136"/>
      <c r="BR77" s="136"/>
      <c r="BS77" s="136"/>
      <c r="BT77" s="528"/>
      <c r="BU77" s="528"/>
      <c r="BV77" s="528"/>
      <c r="BW77" s="528"/>
      <c r="BX77" s="528"/>
      <c r="BZ77" s="528"/>
      <c r="CA77" s="530"/>
      <c r="CB77" s="136"/>
      <c r="CC77" s="136"/>
      <c r="CD77" s="136"/>
      <c r="CE77" s="136"/>
      <c r="CF77" s="136"/>
      <c r="CG77" s="136"/>
      <c r="CH77" s="136"/>
      <c r="CI77" s="136"/>
      <c r="CJ77" s="136"/>
      <c r="CK77" s="136"/>
      <c r="CQ77" s="470"/>
      <c r="CR77" s="470"/>
      <c r="DA77" s="519"/>
      <c r="DB77" s="519"/>
      <c r="DC77" s="519"/>
      <c r="DD77" s="519"/>
    </row>
    <row r="78" spans="49:108" x14ac:dyDescent="0.25">
      <c r="BQ78" s="136"/>
      <c r="BR78" s="136"/>
      <c r="BS78" s="136"/>
      <c r="BT78" s="528"/>
      <c r="BU78" s="528"/>
      <c r="BV78" s="528"/>
      <c r="BW78" s="528"/>
      <c r="BX78" s="528"/>
      <c r="BZ78" s="528"/>
      <c r="CA78" s="530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O78" s="470"/>
      <c r="CP78" s="470"/>
      <c r="CQ78" s="470"/>
      <c r="CR78" s="470"/>
      <c r="DA78" s="519"/>
      <c r="DB78" s="519"/>
      <c r="DC78" s="519"/>
      <c r="DD78" s="519"/>
    </row>
    <row r="79" spans="49:108" x14ac:dyDescent="0.25">
      <c r="BQ79" s="136"/>
      <c r="BR79" s="136"/>
      <c r="BS79" s="136"/>
      <c r="BT79" s="528"/>
      <c r="BU79" s="528"/>
      <c r="BV79" s="528"/>
      <c r="BW79" s="528"/>
      <c r="BX79" s="528"/>
      <c r="BZ79" s="528"/>
      <c r="CA79" s="530"/>
      <c r="CB79" s="136"/>
      <c r="CC79" s="136"/>
      <c r="CD79" s="136"/>
      <c r="CE79" s="136"/>
      <c r="CF79" s="136"/>
      <c r="CG79" s="136"/>
      <c r="CH79" s="136"/>
      <c r="CI79" s="136"/>
      <c r="CJ79" s="136"/>
      <c r="CK79" s="136"/>
      <c r="CO79" s="470"/>
      <c r="CP79" s="470"/>
      <c r="CQ79" s="470"/>
      <c r="CR79" s="470"/>
      <c r="DA79" s="519"/>
      <c r="DB79" s="519"/>
      <c r="DC79" s="519"/>
      <c r="DD79" s="519"/>
    </row>
    <row r="80" spans="49:108" x14ac:dyDescent="0.25">
      <c r="BQ80" s="136"/>
      <c r="BR80" s="136"/>
      <c r="BS80" s="136"/>
      <c r="BT80" s="528"/>
      <c r="BU80" s="528"/>
      <c r="BV80" s="528"/>
      <c r="BW80" s="528"/>
      <c r="BX80" s="528"/>
      <c r="BZ80" s="528"/>
      <c r="CA80" s="530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O80" s="470"/>
      <c r="CP80" s="470"/>
      <c r="CQ80" s="470"/>
      <c r="CR80" s="470"/>
      <c r="DA80" s="519"/>
      <c r="DB80" s="519"/>
      <c r="DC80" s="519"/>
      <c r="DD80" s="519"/>
    </row>
    <row r="81" spans="69:108" x14ac:dyDescent="0.25">
      <c r="BQ81" s="136"/>
      <c r="BR81" s="136"/>
      <c r="BS81" s="136"/>
      <c r="BT81" s="528"/>
      <c r="BU81" s="528"/>
      <c r="BV81" s="528"/>
      <c r="BW81" s="528"/>
      <c r="BX81" s="528"/>
      <c r="BZ81" s="528"/>
      <c r="CA81" s="530"/>
      <c r="CB81" s="136"/>
      <c r="CC81" s="136"/>
      <c r="CD81" s="136"/>
      <c r="CE81" s="136"/>
      <c r="CF81" s="136"/>
      <c r="CG81" s="136"/>
      <c r="CH81" s="136"/>
      <c r="CI81" s="136"/>
      <c r="CJ81" s="136"/>
      <c r="CK81" s="136"/>
      <c r="CO81" s="470"/>
      <c r="CP81" s="470"/>
      <c r="CQ81" s="470"/>
      <c r="CR81" s="470"/>
      <c r="DA81" s="519"/>
      <c r="DB81" s="519"/>
      <c r="DC81" s="519"/>
      <c r="DD81" s="519"/>
    </row>
    <row r="82" spans="69:108" x14ac:dyDescent="0.25">
      <c r="BQ82" s="136"/>
      <c r="BR82" s="136"/>
      <c r="BS82" s="136"/>
      <c r="BT82" s="528"/>
      <c r="BU82" s="528"/>
      <c r="BV82" s="528"/>
      <c r="BW82" s="528"/>
      <c r="BX82" s="528"/>
      <c r="BZ82" s="528"/>
      <c r="CA82" s="530"/>
      <c r="CB82" s="136"/>
      <c r="CC82" s="136"/>
      <c r="CD82" s="136"/>
      <c r="CE82" s="136"/>
      <c r="CF82" s="136"/>
      <c r="CG82" s="136"/>
      <c r="CH82" s="136"/>
      <c r="CI82" s="136"/>
      <c r="CJ82" s="136"/>
      <c r="CK82" s="136"/>
      <c r="CO82" s="470"/>
      <c r="CP82" s="470"/>
      <c r="CQ82" s="470"/>
      <c r="CR82" s="470"/>
      <c r="DA82" s="519"/>
      <c r="DB82" s="519"/>
      <c r="DC82" s="519"/>
      <c r="DD82" s="519"/>
    </row>
    <row r="83" spans="69:108" x14ac:dyDescent="0.25">
      <c r="BQ83" s="136"/>
      <c r="BR83" s="136"/>
      <c r="BS83" s="136"/>
      <c r="BT83" s="528"/>
      <c r="BU83" s="528"/>
      <c r="BV83" s="528"/>
      <c r="BW83" s="528"/>
      <c r="BX83" s="528"/>
      <c r="BZ83" s="528"/>
      <c r="CA83" s="530"/>
      <c r="CB83" s="136"/>
      <c r="CC83" s="136"/>
      <c r="CD83" s="136"/>
      <c r="CE83" s="136"/>
      <c r="CF83" s="136"/>
      <c r="CG83" s="136"/>
      <c r="CH83" s="136"/>
      <c r="CI83" s="136"/>
      <c r="CJ83" s="136"/>
      <c r="CK83" s="136"/>
      <c r="CO83" s="470"/>
      <c r="CP83" s="470"/>
      <c r="CQ83" s="470"/>
      <c r="CR83" s="470"/>
      <c r="DA83" s="519"/>
      <c r="DB83" s="519"/>
      <c r="DC83" s="519"/>
      <c r="DD83" s="519"/>
    </row>
    <row r="84" spans="69:108" x14ac:dyDescent="0.25">
      <c r="BQ84" s="136"/>
      <c r="BR84" s="136"/>
      <c r="BS84" s="136"/>
      <c r="BT84" s="528"/>
      <c r="BU84" s="528"/>
      <c r="BV84" s="528"/>
      <c r="BW84" s="528"/>
      <c r="BX84" s="528"/>
      <c r="BZ84" s="528"/>
      <c r="CA84" s="530"/>
      <c r="CB84" s="136"/>
      <c r="CC84" s="136"/>
      <c r="CD84" s="136"/>
      <c r="CE84" s="136"/>
      <c r="CF84" s="136"/>
      <c r="CG84" s="136"/>
      <c r="CH84" s="136"/>
      <c r="CI84" s="136"/>
      <c r="CJ84" s="136"/>
      <c r="CK84" s="136"/>
      <c r="CO84" s="470"/>
      <c r="CP84" s="470"/>
      <c r="CQ84" s="470"/>
      <c r="CR84" s="470"/>
      <c r="DA84" s="519"/>
      <c r="DB84" s="519"/>
      <c r="DC84" s="519"/>
      <c r="DD84" s="519"/>
    </row>
    <row r="85" spans="69:108" x14ac:dyDescent="0.25">
      <c r="BQ85" s="136"/>
      <c r="BR85" s="136"/>
      <c r="BS85" s="136"/>
      <c r="BT85" s="528"/>
      <c r="BU85" s="528"/>
      <c r="BV85" s="528"/>
      <c r="BW85" s="528"/>
      <c r="BX85" s="528"/>
      <c r="BZ85" s="528"/>
      <c r="CA85" s="530"/>
      <c r="CB85" s="136"/>
      <c r="CC85" s="136"/>
      <c r="CD85" s="136"/>
      <c r="CE85" s="136"/>
      <c r="CF85" s="136"/>
      <c r="CG85" s="136"/>
      <c r="CH85" s="136"/>
      <c r="CI85" s="136"/>
      <c r="CJ85" s="136"/>
      <c r="CK85" s="136"/>
      <c r="CO85" s="470"/>
      <c r="CP85" s="470"/>
      <c r="CQ85" s="470"/>
      <c r="CR85" s="470"/>
      <c r="DA85" s="519"/>
      <c r="DB85" s="519"/>
      <c r="DC85" s="519"/>
      <c r="DD85" s="519"/>
    </row>
    <row r="86" spans="69:108" x14ac:dyDescent="0.25">
      <c r="BQ86" s="136"/>
      <c r="BR86" s="136"/>
      <c r="BS86" s="136"/>
      <c r="BT86" s="528"/>
      <c r="BU86" s="528"/>
      <c r="BV86" s="528"/>
      <c r="BW86" s="528"/>
      <c r="BX86" s="528"/>
      <c r="BZ86" s="528"/>
      <c r="CA86" s="530"/>
      <c r="CB86" s="136"/>
      <c r="CC86" s="136"/>
      <c r="CD86" s="136"/>
      <c r="CE86" s="136"/>
      <c r="CF86" s="136"/>
      <c r="CG86" s="136"/>
      <c r="CH86" s="136"/>
      <c r="CI86" s="136"/>
      <c r="CJ86" s="136"/>
      <c r="CK86" s="136"/>
      <c r="CO86" s="470"/>
      <c r="CP86" s="470"/>
      <c r="CQ86" s="470"/>
      <c r="CR86" s="470"/>
      <c r="DA86" s="519"/>
      <c r="DB86" s="519"/>
      <c r="DC86" s="519"/>
      <c r="DD86" s="519"/>
    </row>
    <row r="87" spans="69:108" x14ac:dyDescent="0.25">
      <c r="BQ87" s="136"/>
      <c r="BR87" s="136"/>
      <c r="BS87" s="136"/>
      <c r="BT87" s="528"/>
      <c r="BU87" s="528"/>
      <c r="BV87" s="528"/>
      <c r="BW87" s="528"/>
      <c r="BX87" s="528"/>
      <c r="BZ87" s="528"/>
      <c r="CA87" s="530"/>
      <c r="CB87" s="136"/>
      <c r="CC87" s="136"/>
      <c r="CD87" s="136"/>
      <c r="CE87" s="136"/>
      <c r="CF87" s="136"/>
      <c r="CG87" s="136"/>
      <c r="CH87" s="136"/>
      <c r="CI87" s="136"/>
      <c r="CJ87" s="136"/>
      <c r="CK87" s="136"/>
      <c r="CO87" s="470"/>
      <c r="CP87" s="470"/>
      <c r="CQ87" s="470"/>
      <c r="CR87" s="470"/>
      <c r="DA87" s="519"/>
      <c r="DB87" s="519"/>
      <c r="DC87" s="519"/>
      <c r="DD87" s="519"/>
    </row>
    <row r="88" spans="69:108" x14ac:dyDescent="0.25">
      <c r="BQ88" s="136"/>
      <c r="BR88" s="136"/>
      <c r="BS88" s="136"/>
      <c r="BT88" s="528"/>
      <c r="BU88" s="528"/>
      <c r="BV88" s="528"/>
      <c r="BW88" s="528"/>
      <c r="BX88" s="528"/>
      <c r="BZ88" s="528"/>
      <c r="CA88" s="530"/>
      <c r="CB88" s="136"/>
      <c r="CC88" s="136"/>
      <c r="CD88" s="136"/>
      <c r="CE88" s="136"/>
      <c r="CF88" s="136"/>
      <c r="CG88" s="136"/>
      <c r="CH88" s="136"/>
      <c r="CI88" s="136"/>
      <c r="CJ88" s="136"/>
      <c r="CK88" s="136"/>
      <c r="CO88" s="470"/>
      <c r="CP88" s="470"/>
      <c r="CQ88" s="470"/>
      <c r="CR88" s="470"/>
      <c r="DA88" s="519"/>
      <c r="DB88" s="519"/>
      <c r="DC88" s="519"/>
      <c r="DD88" s="519"/>
    </row>
    <row r="89" spans="69:108" x14ac:dyDescent="0.25">
      <c r="BQ89" s="136"/>
      <c r="BR89" s="136"/>
      <c r="BS89" s="136"/>
      <c r="BT89" s="528"/>
      <c r="BU89" s="528"/>
      <c r="BV89" s="528"/>
      <c r="BW89" s="528"/>
      <c r="BX89" s="528"/>
      <c r="BZ89" s="528"/>
      <c r="CA89" s="530"/>
      <c r="CB89" s="136"/>
      <c r="CC89" s="136"/>
      <c r="CD89" s="136"/>
      <c r="CE89" s="136"/>
      <c r="CF89" s="136"/>
      <c r="CG89" s="136"/>
      <c r="CH89" s="136"/>
      <c r="CI89" s="136"/>
      <c r="CJ89" s="136"/>
      <c r="CK89" s="136"/>
      <c r="CO89" s="470"/>
      <c r="CP89" s="470"/>
      <c r="CQ89" s="470"/>
      <c r="CR89" s="470"/>
      <c r="DA89" s="519"/>
      <c r="DB89" s="519"/>
      <c r="DC89" s="519"/>
      <c r="DD89" s="519"/>
    </row>
    <row r="90" spans="69:108" x14ac:dyDescent="0.25">
      <c r="BQ90" s="136"/>
      <c r="BR90" s="136"/>
      <c r="BS90" s="136"/>
      <c r="BT90" s="528"/>
      <c r="BU90" s="528"/>
      <c r="BV90" s="528"/>
      <c r="BW90" s="528"/>
      <c r="BX90" s="528"/>
      <c r="BZ90" s="528"/>
      <c r="CA90" s="530"/>
      <c r="CB90" s="136"/>
      <c r="CC90" s="136"/>
      <c r="CD90" s="136"/>
      <c r="CE90" s="136"/>
      <c r="CF90" s="136"/>
      <c r="CG90" s="136"/>
      <c r="CH90" s="136"/>
      <c r="CI90" s="136"/>
      <c r="CJ90" s="136"/>
      <c r="CK90" s="136"/>
      <c r="CO90" s="470"/>
      <c r="CP90" s="470"/>
      <c r="CQ90" s="470"/>
      <c r="CR90" s="470"/>
      <c r="DA90" s="519"/>
      <c r="DB90" s="519"/>
      <c r="DC90" s="519"/>
      <c r="DD90" s="519"/>
    </row>
    <row r="91" spans="69:108" x14ac:dyDescent="0.25">
      <c r="BQ91" s="136"/>
      <c r="BR91" s="136"/>
      <c r="BS91" s="136"/>
      <c r="BT91" s="528"/>
      <c r="BU91" s="528"/>
      <c r="BV91" s="528"/>
      <c r="BW91" s="528"/>
      <c r="BX91" s="528"/>
      <c r="BZ91" s="528"/>
      <c r="CA91" s="530"/>
      <c r="CB91" s="136"/>
      <c r="CC91" s="136"/>
      <c r="CD91" s="136"/>
      <c r="CE91" s="136"/>
      <c r="CF91" s="136"/>
      <c r="CG91" s="136"/>
      <c r="CH91" s="136"/>
      <c r="CI91" s="136"/>
      <c r="CJ91" s="136"/>
      <c r="CK91" s="136"/>
      <c r="CO91" s="470"/>
      <c r="CP91" s="470"/>
      <c r="CQ91" s="470"/>
      <c r="CR91" s="470"/>
      <c r="DA91" s="519"/>
      <c r="DB91" s="519"/>
      <c r="DC91" s="519"/>
      <c r="DD91" s="519"/>
    </row>
    <row r="92" spans="69:108" x14ac:dyDescent="0.25">
      <c r="BQ92" s="136"/>
      <c r="BR92" s="136"/>
      <c r="BS92" s="136"/>
      <c r="BT92" s="528"/>
      <c r="BU92" s="528"/>
      <c r="BV92" s="528"/>
      <c r="BW92" s="528"/>
      <c r="BX92" s="528"/>
      <c r="BZ92" s="528"/>
      <c r="CA92" s="530"/>
      <c r="CB92" s="136"/>
      <c r="CC92" s="136"/>
      <c r="CD92" s="136"/>
      <c r="CE92" s="136"/>
      <c r="CF92" s="136"/>
      <c r="CG92" s="136"/>
      <c r="CH92" s="136"/>
      <c r="CI92" s="136"/>
      <c r="CJ92" s="136"/>
      <c r="CK92" s="136"/>
      <c r="CO92" s="470"/>
      <c r="CP92" s="470"/>
      <c r="CQ92" s="470"/>
      <c r="CR92" s="470"/>
      <c r="DA92" s="519"/>
      <c r="DB92" s="519"/>
      <c r="DC92" s="519"/>
      <c r="DD92" s="519"/>
    </row>
    <row r="93" spans="69:108" x14ac:dyDescent="0.25">
      <c r="BQ93" s="136"/>
      <c r="BR93" s="136"/>
      <c r="BS93" s="136"/>
      <c r="BT93" s="528"/>
      <c r="BU93" s="528"/>
      <c r="BV93" s="528"/>
      <c r="BW93" s="528"/>
      <c r="BX93" s="528"/>
      <c r="BZ93" s="528"/>
      <c r="CA93" s="530"/>
      <c r="CB93" s="136"/>
      <c r="CC93" s="136"/>
      <c r="CD93" s="136"/>
      <c r="CE93" s="136"/>
      <c r="CF93" s="136"/>
      <c r="CG93" s="136"/>
      <c r="CH93" s="136"/>
      <c r="CI93" s="136"/>
      <c r="CJ93" s="136"/>
      <c r="CK93" s="136"/>
      <c r="CO93" s="470"/>
      <c r="CP93" s="470"/>
      <c r="CQ93" s="470"/>
      <c r="CR93" s="470"/>
      <c r="DA93" s="519"/>
      <c r="DB93" s="519"/>
      <c r="DC93" s="519"/>
      <c r="DD93" s="519"/>
    </row>
    <row r="94" spans="69:108" x14ac:dyDescent="0.25">
      <c r="BQ94" s="136"/>
      <c r="BR94" s="136"/>
      <c r="BS94" s="136"/>
      <c r="BT94" s="528"/>
      <c r="BU94" s="528"/>
      <c r="BV94" s="528"/>
      <c r="BW94" s="528"/>
      <c r="BX94" s="528"/>
      <c r="BZ94" s="528"/>
      <c r="CA94" s="530"/>
      <c r="CB94" s="136"/>
      <c r="CC94" s="136"/>
      <c r="CD94" s="136"/>
      <c r="CE94" s="136"/>
      <c r="CF94" s="136"/>
      <c r="CG94" s="136"/>
      <c r="CH94" s="136"/>
      <c r="CI94" s="136"/>
      <c r="CJ94" s="136"/>
      <c r="CK94" s="136"/>
      <c r="CO94" s="470"/>
      <c r="CP94" s="470"/>
      <c r="CQ94" s="470"/>
      <c r="CR94" s="470"/>
      <c r="DA94" s="519"/>
      <c r="DB94" s="519"/>
      <c r="DC94" s="519"/>
      <c r="DD94" s="519"/>
    </row>
    <row r="95" spans="69:108" x14ac:dyDescent="0.25">
      <c r="BQ95" s="136"/>
      <c r="BR95" s="136"/>
      <c r="BS95" s="136"/>
      <c r="BT95" s="528"/>
      <c r="BU95" s="528"/>
      <c r="BV95" s="528"/>
      <c r="BW95" s="528"/>
      <c r="BX95" s="528"/>
      <c r="BZ95" s="528"/>
      <c r="CA95" s="530"/>
      <c r="CB95" s="136"/>
      <c r="CC95" s="136"/>
      <c r="CD95" s="136"/>
      <c r="CE95" s="136"/>
      <c r="CF95" s="136"/>
      <c r="CG95" s="136"/>
      <c r="CH95" s="136"/>
      <c r="CI95" s="136"/>
      <c r="CJ95" s="136"/>
      <c r="CK95" s="136"/>
      <c r="CO95" s="470"/>
      <c r="CP95" s="470"/>
      <c r="CQ95" s="470"/>
      <c r="CR95" s="470"/>
      <c r="DA95" s="519"/>
      <c r="DB95" s="519"/>
      <c r="DC95" s="519"/>
      <c r="DD95" s="519"/>
    </row>
    <row r="96" spans="69:108" x14ac:dyDescent="0.25">
      <c r="BQ96" s="136"/>
      <c r="BR96" s="136"/>
      <c r="BS96" s="136"/>
      <c r="BT96" s="528"/>
      <c r="BU96" s="528"/>
      <c r="BV96" s="528"/>
      <c r="BW96" s="528"/>
      <c r="BX96" s="528"/>
      <c r="BZ96" s="528"/>
      <c r="CA96" s="530"/>
      <c r="CB96" s="136"/>
      <c r="CC96" s="136"/>
      <c r="CD96" s="136"/>
      <c r="CE96" s="136"/>
      <c r="CF96" s="136"/>
      <c r="CG96" s="136"/>
      <c r="CH96" s="136"/>
      <c r="CI96" s="136"/>
      <c r="CJ96" s="136"/>
      <c r="CK96" s="136"/>
      <c r="CO96" s="470"/>
      <c r="CP96" s="470"/>
      <c r="CQ96" s="470"/>
      <c r="CR96" s="470"/>
      <c r="DA96" s="519"/>
      <c r="DB96" s="519"/>
      <c r="DC96" s="519"/>
      <c r="DD96" s="519"/>
    </row>
    <row r="97" spans="43:108" x14ac:dyDescent="0.25">
      <c r="BQ97" s="136"/>
      <c r="BR97" s="136"/>
      <c r="BS97" s="136"/>
      <c r="BT97" s="528"/>
      <c r="BU97" s="528"/>
      <c r="BV97" s="528"/>
      <c r="BW97" s="528"/>
      <c r="BX97" s="528"/>
      <c r="BZ97" s="528"/>
      <c r="CA97" s="530"/>
      <c r="CB97" s="136"/>
      <c r="CC97" s="136"/>
      <c r="CD97" s="136"/>
      <c r="CE97" s="136"/>
      <c r="CF97" s="136"/>
      <c r="CG97" s="136"/>
      <c r="CH97" s="136"/>
      <c r="CI97" s="136"/>
      <c r="CJ97" s="136"/>
      <c r="CK97" s="136"/>
      <c r="CO97" s="470"/>
      <c r="CP97" s="470"/>
      <c r="CQ97" s="470"/>
      <c r="CR97" s="470"/>
      <c r="DA97" s="519"/>
      <c r="DB97" s="519"/>
      <c r="DC97" s="519"/>
      <c r="DD97" s="519"/>
    </row>
    <row r="98" spans="43:108" x14ac:dyDescent="0.25">
      <c r="BQ98" s="136"/>
      <c r="BR98" s="136"/>
      <c r="BS98" s="136"/>
      <c r="BT98" s="528"/>
      <c r="BU98" s="528"/>
      <c r="BV98" s="528"/>
      <c r="BW98" s="528"/>
      <c r="BX98" s="528"/>
      <c r="BZ98" s="528"/>
      <c r="CA98" s="530"/>
      <c r="CB98" s="136"/>
      <c r="CC98" s="136"/>
      <c r="CD98" s="136"/>
      <c r="CE98" s="136"/>
      <c r="CF98" s="136"/>
      <c r="CG98" s="136"/>
      <c r="CH98" s="136"/>
      <c r="CI98" s="136"/>
      <c r="CJ98" s="136"/>
      <c r="CK98" s="136"/>
      <c r="CO98" s="470"/>
      <c r="CP98" s="470"/>
      <c r="CQ98" s="470"/>
      <c r="CR98" s="470"/>
      <c r="DA98" s="519"/>
      <c r="DB98" s="519"/>
      <c r="DC98" s="519"/>
      <c r="DD98" s="519"/>
    </row>
    <row r="99" spans="43:108" x14ac:dyDescent="0.25">
      <c r="BQ99" s="136"/>
      <c r="BR99" s="136"/>
      <c r="BS99" s="136"/>
      <c r="BT99" s="528"/>
      <c r="BU99" s="528"/>
      <c r="BV99" s="528"/>
      <c r="BW99" s="528"/>
      <c r="BX99" s="528"/>
      <c r="BZ99" s="528"/>
      <c r="CA99" s="530"/>
      <c r="CB99" s="136"/>
      <c r="CC99" s="136"/>
      <c r="CD99" s="136"/>
      <c r="CE99" s="136"/>
      <c r="CF99" s="136"/>
      <c r="CG99" s="136"/>
      <c r="CH99" s="136"/>
      <c r="CI99" s="136"/>
      <c r="CJ99" s="136"/>
      <c r="CK99" s="136"/>
      <c r="CO99" s="470"/>
      <c r="CP99" s="470"/>
      <c r="CQ99" s="470"/>
      <c r="CR99" s="470"/>
      <c r="DA99" s="519"/>
      <c r="DB99" s="519"/>
      <c r="DC99" s="519"/>
      <c r="DD99" s="519"/>
    </row>
    <row r="100" spans="43:108" x14ac:dyDescent="0.25">
      <c r="BQ100" s="136"/>
      <c r="BR100" s="136"/>
      <c r="BS100" s="136"/>
      <c r="BT100" s="528"/>
      <c r="BU100" s="528"/>
      <c r="BV100" s="528"/>
      <c r="BW100" s="528"/>
      <c r="BX100" s="528"/>
      <c r="BZ100" s="528"/>
      <c r="CA100" s="530"/>
      <c r="CB100" s="136"/>
      <c r="CC100" s="136"/>
      <c r="CD100" s="136"/>
      <c r="CE100" s="136"/>
      <c r="CF100" s="136"/>
      <c r="CG100" s="136"/>
      <c r="CH100" s="136"/>
      <c r="CI100" s="136"/>
      <c r="CJ100" s="136"/>
      <c r="CK100" s="136"/>
      <c r="CO100" s="470"/>
      <c r="CP100" s="470"/>
      <c r="CQ100" s="470"/>
      <c r="CR100" s="470"/>
      <c r="DA100" s="519"/>
      <c r="DB100" s="519"/>
      <c r="DC100" s="519"/>
      <c r="DD100" s="519"/>
    </row>
    <row r="101" spans="43:108" x14ac:dyDescent="0.25">
      <c r="BQ101" s="136"/>
      <c r="BR101" s="136"/>
      <c r="BS101" s="136"/>
      <c r="BT101" s="528"/>
      <c r="BU101" s="528"/>
      <c r="BV101" s="528"/>
      <c r="BW101" s="528"/>
      <c r="BX101" s="528"/>
      <c r="BZ101" s="528"/>
      <c r="CA101" s="530"/>
      <c r="CB101" s="136"/>
      <c r="CC101" s="136"/>
      <c r="CD101" s="136"/>
      <c r="CE101" s="136"/>
      <c r="CF101" s="136"/>
      <c r="CG101" s="136"/>
      <c r="CH101" s="136"/>
      <c r="CI101" s="136"/>
      <c r="CJ101" s="136"/>
      <c r="CK101" s="136"/>
      <c r="CO101" s="470"/>
      <c r="CP101" s="470"/>
      <c r="CQ101" s="470"/>
      <c r="CR101" s="470"/>
      <c r="DA101" s="519"/>
      <c r="DB101" s="519"/>
      <c r="DC101" s="519"/>
      <c r="DD101" s="519"/>
    </row>
    <row r="102" spans="43:108" x14ac:dyDescent="0.25">
      <c r="BQ102" s="136"/>
      <c r="BR102" s="136"/>
      <c r="BS102" s="136"/>
      <c r="BT102" s="528"/>
      <c r="BU102" s="528"/>
      <c r="BV102" s="528"/>
      <c r="BW102" s="528"/>
      <c r="BX102" s="528"/>
      <c r="BZ102" s="528"/>
      <c r="CA102" s="530"/>
      <c r="CB102" s="136"/>
      <c r="CC102" s="136"/>
      <c r="CD102" s="136"/>
      <c r="CE102" s="136"/>
      <c r="CF102" s="136"/>
      <c r="CG102" s="136"/>
      <c r="CH102" s="136"/>
      <c r="CI102" s="136"/>
      <c r="CJ102" s="136"/>
      <c r="CK102" s="136"/>
      <c r="CO102" s="470"/>
      <c r="CP102" s="470"/>
      <c r="CQ102" s="470"/>
      <c r="CR102" s="470"/>
      <c r="DA102" s="519"/>
      <c r="DB102" s="519"/>
      <c r="DC102" s="519"/>
      <c r="DD102" s="519"/>
    </row>
    <row r="103" spans="43:108" x14ac:dyDescent="0.25">
      <c r="BQ103" s="136"/>
      <c r="BR103" s="136"/>
      <c r="BS103" s="136"/>
      <c r="BT103" s="528"/>
      <c r="BU103" s="528"/>
      <c r="BV103" s="528"/>
      <c r="BW103" s="528"/>
      <c r="BX103" s="528"/>
      <c r="BZ103" s="528"/>
      <c r="CA103" s="530"/>
      <c r="CB103" s="136"/>
      <c r="CC103" s="136"/>
      <c r="CD103" s="136"/>
      <c r="CE103" s="136"/>
      <c r="CF103" s="136"/>
      <c r="CG103" s="136"/>
      <c r="CH103" s="136"/>
      <c r="CI103" s="136"/>
      <c r="CJ103" s="136"/>
      <c r="CK103" s="136"/>
      <c r="CO103" s="470"/>
      <c r="CP103" s="470"/>
      <c r="CQ103" s="470"/>
      <c r="CR103" s="470"/>
      <c r="DA103" s="519"/>
      <c r="DB103" s="519"/>
      <c r="DC103" s="519"/>
      <c r="DD103" s="519"/>
    </row>
    <row r="104" spans="43:108" x14ac:dyDescent="0.25">
      <c r="BQ104" s="136"/>
      <c r="BR104" s="136"/>
      <c r="BS104" s="136"/>
      <c r="BT104" s="528"/>
      <c r="BU104" s="528"/>
      <c r="BV104" s="528"/>
      <c r="BW104" s="528"/>
      <c r="BX104" s="528"/>
      <c r="BZ104" s="528"/>
      <c r="CA104" s="530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O104" s="470"/>
      <c r="CP104" s="470"/>
      <c r="CQ104" s="470"/>
      <c r="CR104" s="470"/>
      <c r="DA104" s="519"/>
      <c r="DB104" s="519"/>
      <c r="DC104" s="519"/>
      <c r="DD104" s="519"/>
    </row>
    <row r="105" spans="43:108" x14ac:dyDescent="0.25">
      <c r="BQ105" s="136"/>
      <c r="BR105" s="136"/>
      <c r="BS105" s="136"/>
      <c r="BT105" s="528"/>
      <c r="BU105" s="528"/>
      <c r="BV105" s="528"/>
      <c r="BW105" s="528"/>
      <c r="BX105" s="528"/>
      <c r="BZ105" s="528"/>
      <c r="CA105" s="530"/>
      <c r="CB105" s="136"/>
      <c r="CC105" s="136"/>
      <c r="CD105" s="136"/>
      <c r="CE105" s="136"/>
      <c r="CF105" s="136"/>
      <c r="CG105" s="136"/>
      <c r="CH105" s="136"/>
      <c r="CI105" s="136"/>
      <c r="CJ105" s="136"/>
      <c r="CK105" s="136"/>
      <c r="CO105" s="470"/>
      <c r="CP105" s="470"/>
      <c r="CQ105" s="470"/>
      <c r="CR105" s="470"/>
      <c r="DA105" s="519"/>
      <c r="DB105" s="519"/>
      <c r="DC105" s="519"/>
      <c r="DD105" s="519"/>
    </row>
    <row r="106" spans="43:108" x14ac:dyDescent="0.25">
      <c r="BQ106" s="136"/>
      <c r="BR106" s="136"/>
      <c r="BS106" s="136"/>
      <c r="BT106" s="528"/>
      <c r="BU106" s="528"/>
      <c r="BV106" s="528"/>
      <c r="BW106" s="528"/>
      <c r="BX106" s="528"/>
      <c r="BZ106" s="528"/>
      <c r="CA106" s="530"/>
      <c r="CB106" s="136"/>
      <c r="CC106" s="136"/>
      <c r="CD106" s="136"/>
      <c r="CE106" s="136"/>
      <c r="CF106" s="136"/>
      <c r="CG106" s="136"/>
      <c r="CH106" s="136"/>
      <c r="CI106" s="136"/>
      <c r="CJ106" s="136"/>
      <c r="CK106" s="136"/>
      <c r="CO106" s="470"/>
      <c r="CP106" s="470"/>
      <c r="CQ106" s="470"/>
      <c r="CR106" s="470"/>
      <c r="DA106" s="519"/>
      <c r="DB106" s="519"/>
      <c r="DC106" s="519"/>
      <c r="DD106" s="519"/>
    </row>
    <row r="107" spans="43:108" x14ac:dyDescent="0.25">
      <c r="AQ107" s="136"/>
      <c r="AR107" s="136"/>
      <c r="AS107" s="136"/>
      <c r="AT107" s="136"/>
      <c r="AU107" s="136"/>
      <c r="AV107" s="136"/>
      <c r="AW107" s="136"/>
      <c r="BQ107" s="136"/>
      <c r="BR107" s="136"/>
      <c r="BS107" s="136"/>
      <c r="BT107" s="528"/>
      <c r="BU107" s="528"/>
      <c r="BV107" s="528"/>
      <c r="BW107" s="528"/>
      <c r="BX107" s="528"/>
      <c r="BZ107" s="528"/>
      <c r="CA107" s="530"/>
      <c r="CB107" s="136"/>
      <c r="CC107" s="136"/>
      <c r="CD107" s="136"/>
      <c r="CE107" s="136"/>
      <c r="CF107" s="136"/>
      <c r="CG107" s="136"/>
      <c r="CH107" s="136"/>
      <c r="CI107" s="136"/>
      <c r="CJ107" s="136"/>
      <c r="CK107" s="136"/>
      <c r="CO107" s="470"/>
      <c r="CP107" s="470"/>
      <c r="CQ107" s="470"/>
      <c r="CR107" s="470"/>
      <c r="DA107" s="519"/>
      <c r="DB107" s="519"/>
      <c r="DC107" s="519"/>
      <c r="DD107" s="519"/>
    </row>
    <row r="108" spans="43:108" x14ac:dyDescent="0.25">
      <c r="AQ108" s="136"/>
      <c r="AR108" s="136"/>
      <c r="AS108" s="136"/>
      <c r="AT108" s="136"/>
      <c r="AU108" s="136"/>
      <c r="AV108" s="136"/>
      <c r="AW108" s="136"/>
      <c r="BQ108" s="136"/>
      <c r="BR108" s="136"/>
      <c r="BS108" s="136"/>
      <c r="BT108" s="528"/>
      <c r="BU108" s="528"/>
      <c r="BV108" s="528"/>
      <c r="BW108" s="528"/>
      <c r="BX108" s="528"/>
      <c r="BZ108" s="528"/>
      <c r="CA108" s="530"/>
      <c r="CB108" s="136"/>
      <c r="CC108" s="136"/>
      <c r="CD108" s="136"/>
      <c r="CE108" s="136"/>
      <c r="CF108" s="136"/>
      <c r="CG108" s="136"/>
      <c r="CH108" s="136"/>
      <c r="CI108" s="136"/>
      <c r="CJ108" s="136"/>
      <c r="CK108" s="136"/>
      <c r="CO108" s="470"/>
      <c r="CP108" s="470"/>
      <c r="CQ108" s="470"/>
      <c r="CR108" s="470"/>
      <c r="DA108" s="519"/>
      <c r="DB108" s="519"/>
      <c r="DC108" s="519"/>
      <c r="DD108" s="519"/>
    </row>
    <row r="109" spans="43:108" x14ac:dyDescent="0.25">
      <c r="BQ109" s="136"/>
      <c r="BR109" s="136"/>
      <c r="BS109" s="136"/>
      <c r="BT109" s="528"/>
      <c r="BU109" s="528"/>
      <c r="BV109" s="528"/>
      <c r="BW109" s="528"/>
      <c r="BX109" s="528"/>
      <c r="BZ109" s="528"/>
      <c r="CA109" s="530"/>
      <c r="CB109" s="136"/>
      <c r="CC109" s="136"/>
      <c r="CD109" s="136"/>
      <c r="CE109" s="136"/>
      <c r="CF109" s="136"/>
      <c r="CG109" s="136"/>
      <c r="CH109" s="136"/>
      <c r="CI109" s="136"/>
      <c r="CJ109" s="136"/>
      <c r="CK109" s="136"/>
      <c r="CO109" s="470"/>
      <c r="CP109" s="470"/>
      <c r="CQ109" s="470"/>
      <c r="CR109" s="470"/>
      <c r="DA109" s="519"/>
      <c r="DB109" s="519"/>
      <c r="DC109" s="519"/>
      <c r="DD109" s="519"/>
    </row>
    <row r="110" spans="43:108" x14ac:dyDescent="0.25">
      <c r="BQ110" s="136"/>
      <c r="BR110" s="136"/>
      <c r="BS110" s="136"/>
      <c r="BT110" s="528"/>
      <c r="BU110" s="528"/>
      <c r="BV110" s="528"/>
      <c r="BW110" s="528"/>
      <c r="BX110" s="528"/>
      <c r="BZ110" s="528"/>
      <c r="CA110" s="530"/>
      <c r="CB110" s="136"/>
      <c r="CC110" s="136"/>
      <c r="CD110" s="136"/>
      <c r="CE110" s="136"/>
      <c r="CF110" s="136"/>
      <c r="CG110" s="136"/>
      <c r="CH110" s="136"/>
      <c r="CI110" s="136"/>
      <c r="CJ110" s="136"/>
      <c r="CK110" s="136"/>
      <c r="CO110" s="470"/>
      <c r="CP110" s="470"/>
      <c r="CQ110" s="470"/>
      <c r="CR110" s="470"/>
      <c r="DA110" s="519"/>
      <c r="DB110" s="519"/>
      <c r="DC110" s="519"/>
      <c r="DD110" s="519"/>
    </row>
    <row r="111" spans="43:108" x14ac:dyDescent="0.25">
      <c r="BQ111" s="136"/>
      <c r="BR111" s="136"/>
      <c r="BS111" s="136"/>
      <c r="BT111" s="528"/>
      <c r="BU111" s="528"/>
      <c r="BV111" s="528"/>
      <c r="BW111" s="528"/>
      <c r="BX111" s="528"/>
      <c r="BZ111" s="528"/>
      <c r="CA111" s="530"/>
      <c r="CB111" s="136"/>
      <c r="CC111" s="136"/>
      <c r="CD111" s="136"/>
      <c r="CE111" s="136"/>
      <c r="CF111" s="136"/>
      <c r="CG111" s="136"/>
      <c r="CH111" s="136"/>
      <c r="CI111" s="136"/>
      <c r="CJ111" s="136"/>
      <c r="CK111" s="136"/>
      <c r="CO111" s="470"/>
      <c r="CP111" s="470"/>
      <c r="CQ111" s="470"/>
      <c r="CR111" s="470"/>
      <c r="DA111" s="519"/>
      <c r="DB111" s="519"/>
      <c r="DC111" s="519"/>
      <c r="DD111" s="519"/>
    </row>
    <row r="112" spans="43:108" x14ac:dyDescent="0.25">
      <c r="BQ112" s="136"/>
      <c r="BR112" s="136"/>
      <c r="BS112" s="136"/>
      <c r="BT112" s="528"/>
      <c r="BU112" s="528"/>
      <c r="BV112" s="528"/>
      <c r="BW112" s="528"/>
      <c r="BX112" s="528"/>
      <c r="BZ112" s="528"/>
      <c r="CA112" s="530"/>
      <c r="CB112" s="136"/>
      <c r="CC112" s="136"/>
      <c r="CD112" s="136"/>
      <c r="CE112" s="136"/>
      <c r="CF112" s="136"/>
      <c r="CG112" s="136"/>
      <c r="CH112" s="136"/>
      <c r="CI112" s="136"/>
      <c r="CJ112" s="136"/>
      <c r="CK112" s="136"/>
      <c r="CO112" s="470"/>
      <c r="CP112" s="470"/>
      <c r="CQ112" s="470"/>
      <c r="CR112" s="470"/>
      <c r="DA112" s="519"/>
      <c r="DB112" s="519"/>
      <c r="DC112" s="519"/>
      <c r="DD112" s="519"/>
    </row>
    <row r="113" spans="69:108" x14ac:dyDescent="0.25">
      <c r="BQ113" s="136"/>
      <c r="BR113" s="136"/>
      <c r="BS113" s="136"/>
      <c r="BT113" s="528"/>
      <c r="BU113" s="528"/>
      <c r="BV113" s="528"/>
      <c r="BW113" s="528"/>
      <c r="BX113" s="528"/>
      <c r="BZ113" s="528"/>
      <c r="CA113" s="530"/>
      <c r="CB113" s="136"/>
      <c r="CC113" s="136"/>
      <c r="CD113" s="136"/>
      <c r="CE113" s="136"/>
      <c r="CF113" s="136"/>
      <c r="CG113" s="136"/>
      <c r="CH113" s="136"/>
      <c r="CI113" s="136"/>
      <c r="CJ113" s="136"/>
      <c r="CK113" s="136"/>
      <c r="CO113" s="470"/>
      <c r="CP113" s="470"/>
      <c r="CQ113" s="470"/>
      <c r="CR113" s="470"/>
      <c r="DA113" s="519"/>
      <c r="DB113" s="519"/>
      <c r="DC113" s="519"/>
      <c r="DD113" s="519"/>
    </row>
    <row r="114" spans="69:108" x14ac:dyDescent="0.25">
      <c r="BQ114" s="136"/>
      <c r="BR114" s="136"/>
      <c r="BS114" s="136"/>
      <c r="BT114" s="528"/>
      <c r="BU114" s="528"/>
      <c r="BV114" s="528"/>
      <c r="BW114" s="528"/>
      <c r="BX114" s="528"/>
      <c r="BZ114" s="528"/>
      <c r="CA114" s="530"/>
      <c r="CB114" s="136"/>
      <c r="CC114" s="136"/>
      <c r="CD114" s="136"/>
      <c r="CE114" s="136"/>
      <c r="CF114" s="136"/>
      <c r="CG114" s="136"/>
      <c r="CH114" s="136"/>
      <c r="CI114" s="136"/>
      <c r="CJ114" s="136"/>
      <c r="CK114" s="136"/>
      <c r="CO114" s="470"/>
      <c r="CP114" s="470"/>
      <c r="CQ114" s="470"/>
      <c r="CR114" s="470"/>
      <c r="DA114" s="519"/>
      <c r="DB114" s="519"/>
      <c r="DC114" s="519"/>
      <c r="DD114" s="519"/>
    </row>
    <row r="115" spans="69:108" x14ac:dyDescent="0.25">
      <c r="BQ115" s="136"/>
      <c r="BR115" s="136"/>
      <c r="BS115" s="136"/>
      <c r="BT115" s="528"/>
      <c r="BU115" s="528"/>
      <c r="BV115" s="528"/>
      <c r="BW115" s="528"/>
      <c r="BX115" s="528"/>
      <c r="BZ115" s="528"/>
      <c r="CA115" s="530"/>
      <c r="CB115" s="136"/>
      <c r="CC115" s="136"/>
      <c r="CD115" s="136"/>
      <c r="CE115" s="136"/>
      <c r="CF115" s="136"/>
      <c r="CG115" s="136"/>
      <c r="CH115" s="136"/>
      <c r="CI115" s="136"/>
      <c r="CJ115" s="136"/>
      <c r="CK115" s="136"/>
      <c r="CO115" s="470"/>
      <c r="CP115" s="470"/>
      <c r="CQ115" s="470"/>
      <c r="CR115" s="470"/>
      <c r="DA115" s="519"/>
      <c r="DB115" s="519"/>
      <c r="DC115" s="519"/>
      <c r="DD115" s="519"/>
    </row>
    <row r="116" spans="69:108" x14ac:dyDescent="0.25">
      <c r="BQ116" s="136"/>
      <c r="BR116" s="136"/>
      <c r="BS116" s="136"/>
      <c r="BT116" s="528"/>
      <c r="BU116" s="528"/>
      <c r="BV116" s="528"/>
      <c r="BW116" s="528"/>
      <c r="BX116" s="528"/>
      <c r="BZ116" s="528"/>
      <c r="CA116" s="530"/>
      <c r="CB116" s="136"/>
      <c r="CC116" s="136"/>
      <c r="CD116" s="136"/>
      <c r="CE116" s="136"/>
      <c r="CF116" s="136"/>
      <c r="CG116" s="136"/>
      <c r="CH116" s="136"/>
      <c r="CI116" s="136"/>
      <c r="CJ116" s="136"/>
      <c r="CK116" s="136"/>
      <c r="CO116" s="470"/>
      <c r="CP116" s="470"/>
      <c r="CQ116" s="470"/>
      <c r="CR116" s="470"/>
      <c r="DA116" s="519"/>
      <c r="DB116" s="519"/>
      <c r="DC116" s="519"/>
      <c r="DD116" s="519"/>
    </row>
    <row r="117" spans="69:108" x14ac:dyDescent="0.25">
      <c r="BQ117" s="136"/>
      <c r="BR117" s="136"/>
      <c r="BS117" s="136"/>
      <c r="BT117" s="528"/>
      <c r="BU117" s="528"/>
      <c r="BV117" s="528"/>
      <c r="BW117" s="528"/>
      <c r="BX117" s="528"/>
      <c r="BZ117" s="528"/>
      <c r="CA117" s="530"/>
      <c r="CB117" s="136"/>
      <c r="CC117" s="136"/>
      <c r="CD117" s="136"/>
      <c r="CE117" s="136"/>
      <c r="CF117" s="136"/>
      <c r="CG117" s="136"/>
      <c r="CH117" s="136"/>
      <c r="CI117" s="136"/>
      <c r="CJ117" s="136"/>
      <c r="CK117" s="136"/>
      <c r="CO117" s="470"/>
      <c r="CP117" s="470"/>
      <c r="CQ117" s="470"/>
      <c r="CR117" s="470"/>
      <c r="DA117" s="519"/>
      <c r="DB117" s="519"/>
      <c r="DC117" s="519"/>
      <c r="DD117" s="519"/>
    </row>
    <row r="118" spans="69:108" x14ac:dyDescent="0.25">
      <c r="BQ118" s="136"/>
      <c r="BR118" s="136"/>
      <c r="BS118" s="136"/>
      <c r="BT118" s="528"/>
      <c r="BU118" s="528"/>
      <c r="BV118" s="528"/>
      <c r="BW118" s="528"/>
      <c r="BX118" s="528"/>
      <c r="BZ118" s="528"/>
      <c r="CA118" s="530"/>
      <c r="CB118" s="136"/>
      <c r="CC118" s="136"/>
      <c r="CD118" s="136"/>
      <c r="CE118" s="136"/>
      <c r="CF118" s="136"/>
      <c r="CG118" s="136"/>
      <c r="CH118" s="136"/>
      <c r="CI118" s="136"/>
      <c r="CJ118" s="136"/>
      <c r="CK118" s="136"/>
      <c r="CO118" s="470"/>
      <c r="CP118" s="470"/>
      <c r="CQ118" s="470"/>
      <c r="CR118" s="470"/>
      <c r="DA118" s="519"/>
      <c r="DB118" s="519"/>
      <c r="DC118" s="519"/>
      <c r="DD118" s="519"/>
    </row>
    <row r="119" spans="69:108" x14ac:dyDescent="0.25">
      <c r="BQ119" s="136"/>
      <c r="BR119" s="136"/>
      <c r="BS119" s="136"/>
      <c r="BT119" s="528"/>
      <c r="BU119" s="528"/>
      <c r="BV119" s="528"/>
      <c r="BW119" s="528"/>
      <c r="BX119" s="528"/>
      <c r="BZ119" s="528"/>
      <c r="CA119" s="530"/>
      <c r="CB119" s="136"/>
      <c r="CC119" s="136"/>
      <c r="CD119" s="136"/>
      <c r="CE119" s="136"/>
      <c r="CF119" s="136"/>
      <c r="CG119" s="136"/>
      <c r="CH119" s="136"/>
      <c r="CI119" s="136"/>
      <c r="CJ119" s="136"/>
      <c r="CK119" s="136"/>
      <c r="CO119" s="470"/>
      <c r="CP119" s="470"/>
      <c r="CQ119" s="470"/>
      <c r="CR119" s="470"/>
      <c r="DA119" s="519"/>
      <c r="DB119" s="519"/>
      <c r="DC119" s="519"/>
      <c r="DD119" s="519"/>
    </row>
    <row r="120" spans="69:108" x14ac:dyDescent="0.25">
      <c r="BQ120" s="136"/>
      <c r="BR120" s="136"/>
      <c r="BS120" s="136"/>
      <c r="BT120" s="528"/>
      <c r="BU120" s="528"/>
      <c r="BV120" s="528"/>
      <c r="BW120" s="528"/>
      <c r="BX120" s="528"/>
      <c r="BZ120" s="528"/>
      <c r="CA120" s="530"/>
      <c r="CB120" s="136"/>
      <c r="CC120" s="136"/>
      <c r="CD120" s="136"/>
      <c r="CE120" s="136"/>
      <c r="CF120" s="136"/>
      <c r="CG120" s="136"/>
      <c r="CH120" s="136"/>
      <c r="CI120" s="136"/>
      <c r="CJ120" s="136"/>
      <c r="CK120" s="136"/>
      <c r="CO120" s="470"/>
      <c r="CP120" s="470"/>
      <c r="CQ120" s="470"/>
      <c r="CR120" s="470"/>
      <c r="DA120" s="519"/>
      <c r="DB120" s="519"/>
      <c r="DC120" s="519"/>
      <c r="DD120" s="519"/>
    </row>
    <row r="121" spans="69:108" x14ac:dyDescent="0.25">
      <c r="BQ121" s="136"/>
      <c r="BR121" s="136"/>
      <c r="BS121" s="136"/>
      <c r="BT121" s="528"/>
      <c r="BU121" s="528"/>
      <c r="BV121" s="528"/>
      <c r="BW121" s="528"/>
      <c r="BX121" s="528"/>
      <c r="BZ121" s="528"/>
      <c r="CA121" s="530"/>
      <c r="CB121" s="136"/>
      <c r="CC121" s="136"/>
      <c r="CD121" s="136"/>
      <c r="CE121" s="136"/>
      <c r="CF121" s="136"/>
      <c r="CG121" s="136"/>
      <c r="CH121" s="136"/>
      <c r="CI121" s="136"/>
      <c r="CJ121" s="136"/>
      <c r="CK121" s="136"/>
      <c r="CO121" s="470"/>
      <c r="CP121" s="470"/>
      <c r="CQ121" s="470"/>
      <c r="CR121" s="470"/>
      <c r="DA121" s="519"/>
      <c r="DB121" s="519"/>
      <c r="DC121" s="519"/>
      <c r="DD121" s="519"/>
    </row>
    <row r="122" spans="69:108" x14ac:dyDescent="0.25">
      <c r="BQ122" s="136"/>
      <c r="BR122" s="136"/>
      <c r="BS122" s="136"/>
      <c r="BT122" s="528"/>
      <c r="BU122" s="528"/>
      <c r="BV122" s="528"/>
      <c r="BW122" s="528"/>
      <c r="BX122" s="528"/>
      <c r="BZ122" s="528"/>
      <c r="CA122" s="530"/>
      <c r="CB122" s="136"/>
      <c r="CC122" s="136"/>
      <c r="CD122" s="136"/>
      <c r="CE122" s="136"/>
      <c r="CF122" s="136"/>
      <c r="CG122" s="136"/>
      <c r="CH122" s="136"/>
      <c r="CI122" s="136"/>
      <c r="CJ122" s="136"/>
      <c r="CK122" s="136"/>
      <c r="CO122" s="470"/>
      <c r="CP122" s="470"/>
      <c r="CQ122" s="470"/>
      <c r="CR122" s="470"/>
      <c r="DA122" s="519"/>
      <c r="DB122" s="519"/>
      <c r="DC122" s="519"/>
      <c r="DD122" s="519"/>
    </row>
    <row r="123" spans="69:108" x14ac:dyDescent="0.25">
      <c r="BQ123" s="136"/>
      <c r="BR123" s="136"/>
      <c r="BS123" s="136"/>
      <c r="BT123" s="528"/>
      <c r="BU123" s="528"/>
      <c r="BV123" s="528"/>
      <c r="BW123" s="528"/>
      <c r="BX123" s="528"/>
      <c r="BZ123" s="528"/>
      <c r="CA123" s="530"/>
      <c r="CB123" s="136"/>
      <c r="CC123" s="136"/>
      <c r="CD123" s="136"/>
      <c r="CE123" s="136"/>
      <c r="CF123" s="136"/>
      <c r="CG123" s="136"/>
      <c r="CH123" s="136"/>
      <c r="CI123" s="136"/>
      <c r="CJ123" s="136"/>
      <c r="CK123" s="136"/>
      <c r="CO123" s="470"/>
      <c r="CP123" s="470"/>
      <c r="CQ123" s="470"/>
      <c r="CR123" s="470"/>
      <c r="DA123" s="519"/>
      <c r="DB123" s="519"/>
      <c r="DC123" s="519"/>
      <c r="DD123" s="519"/>
    </row>
    <row r="124" spans="69:108" x14ac:dyDescent="0.25">
      <c r="BQ124" s="136"/>
      <c r="BR124" s="136"/>
      <c r="BS124" s="136"/>
      <c r="BT124" s="528"/>
      <c r="BU124" s="528"/>
      <c r="BV124" s="528"/>
      <c r="BW124" s="528"/>
      <c r="BX124" s="528"/>
      <c r="BZ124" s="528"/>
      <c r="CA124" s="530"/>
      <c r="CB124" s="136"/>
      <c r="CC124" s="136"/>
      <c r="CD124" s="136"/>
      <c r="CE124" s="136"/>
      <c r="CF124" s="136"/>
      <c r="CG124" s="136"/>
      <c r="CH124" s="136"/>
      <c r="CI124" s="136"/>
      <c r="CJ124" s="136"/>
      <c r="CK124" s="136"/>
      <c r="CO124" s="470"/>
      <c r="CP124" s="470"/>
      <c r="CQ124" s="470"/>
      <c r="CR124" s="470"/>
      <c r="DA124" s="519"/>
      <c r="DB124" s="519"/>
      <c r="DC124" s="519"/>
      <c r="DD124" s="519"/>
    </row>
    <row r="125" spans="69:108" x14ac:dyDescent="0.25">
      <c r="BQ125" s="136"/>
      <c r="BR125" s="136"/>
      <c r="BS125" s="136"/>
      <c r="BT125" s="528"/>
      <c r="BU125" s="528"/>
      <c r="BV125" s="528"/>
      <c r="BW125" s="528"/>
      <c r="BX125" s="528"/>
      <c r="BZ125" s="528"/>
      <c r="CA125" s="530"/>
      <c r="CB125" s="136"/>
      <c r="CC125" s="136"/>
      <c r="CD125" s="136"/>
      <c r="CE125" s="136"/>
      <c r="CF125" s="136"/>
      <c r="CG125" s="136"/>
      <c r="CH125" s="136"/>
      <c r="CI125" s="136"/>
      <c r="CJ125" s="136"/>
      <c r="CK125" s="136"/>
      <c r="CO125" s="470"/>
      <c r="CP125" s="470"/>
      <c r="CQ125" s="470"/>
      <c r="CR125" s="470"/>
      <c r="DA125" s="519"/>
      <c r="DB125" s="519"/>
      <c r="DC125" s="519"/>
      <c r="DD125" s="519"/>
    </row>
    <row r="126" spans="69:108" x14ac:dyDescent="0.25">
      <c r="BQ126" s="136"/>
      <c r="BR126" s="136"/>
      <c r="BS126" s="136"/>
      <c r="BT126" s="528"/>
      <c r="BU126" s="528"/>
      <c r="BV126" s="528"/>
      <c r="BW126" s="528"/>
      <c r="BX126" s="528"/>
      <c r="BZ126" s="528"/>
      <c r="CA126" s="530"/>
      <c r="CB126" s="136"/>
      <c r="CC126" s="136"/>
      <c r="CD126" s="136"/>
      <c r="CE126" s="136"/>
      <c r="CF126" s="136"/>
      <c r="CG126" s="136"/>
      <c r="CH126" s="136"/>
      <c r="CI126" s="136"/>
      <c r="CJ126" s="136"/>
      <c r="CK126" s="136"/>
      <c r="CO126" s="470"/>
      <c r="CP126" s="470"/>
      <c r="CQ126" s="470"/>
      <c r="CR126" s="470"/>
      <c r="DA126" s="519"/>
      <c r="DB126" s="519"/>
      <c r="DC126" s="519"/>
      <c r="DD126" s="519"/>
    </row>
    <row r="127" spans="69:108" x14ac:dyDescent="0.25">
      <c r="BQ127" s="136"/>
      <c r="BR127" s="136"/>
      <c r="BS127" s="136"/>
      <c r="BT127" s="528"/>
      <c r="BU127" s="528"/>
      <c r="BV127" s="528"/>
      <c r="BW127" s="528"/>
      <c r="BX127" s="528"/>
      <c r="BZ127" s="528"/>
      <c r="CA127" s="530"/>
      <c r="CB127" s="136"/>
      <c r="CC127" s="136"/>
      <c r="CD127" s="136"/>
      <c r="CE127" s="136"/>
      <c r="CF127" s="136"/>
      <c r="CG127" s="136"/>
      <c r="CH127" s="136"/>
      <c r="CI127" s="136"/>
      <c r="CJ127" s="136"/>
      <c r="CK127" s="136"/>
      <c r="CO127" s="470"/>
      <c r="CP127" s="470"/>
      <c r="CQ127" s="470"/>
      <c r="CR127" s="470"/>
      <c r="DA127" s="519"/>
      <c r="DB127" s="519"/>
      <c r="DC127" s="519"/>
      <c r="DD127" s="519"/>
    </row>
    <row r="128" spans="69:108" x14ac:dyDescent="0.25">
      <c r="BQ128" s="136"/>
      <c r="BR128" s="136"/>
      <c r="BS128" s="136"/>
      <c r="BT128" s="528"/>
      <c r="BU128" s="528"/>
      <c r="BV128" s="528"/>
      <c r="BW128" s="528"/>
      <c r="BX128" s="528"/>
      <c r="BZ128" s="528"/>
      <c r="CA128" s="530"/>
      <c r="CB128" s="136"/>
      <c r="CC128" s="136"/>
      <c r="CD128" s="136"/>
      <c r="CE128" s="136"/>
      <c r="CF128" s="136"/>
      <c r="CG128" s="136"/>
      <c r="CH128" s="136"/>
      <c r="CI128" s="136"/>
      <c r="CJ128" s="136"/>
      <c r="CK128" s="136"/>
      <c r="CO128" s="470"/>
      <c r="CP128" s="470"/>
      <c r="CQ128" s="470"/>
      <c r="CR128" s="470"/>
      <c r="DA128" s="519"/>
      <c r="DB128" s="519"/>
      <c r="DC128" s="519"/>
      <c r="DD128" s="519"/>
    </row>
    <row r="129" spans="69:108" x14ac:dyDescent="0.25">
      <c r="BQ129" s="136"/>
      <c r="BR129" s="136"/>
      <c r="BS129" s="136"/>
      <c r="BT129" s="528"/>
      <c r="BU129" s="528"/>
      <c r="BV129" s="528"/>
      <c r="BW129" s="528"/>
      <c r="BX129" s="528"/>
      <c r="BZ129" s="528"/>
      <c r="CA129" s="530"/>
      <c r="CB129" s="136"/>
      <c r="CC129" s="136"/>
      <c r="CD129" s="136"/>
      <c r="CE129" s="136"/>
      <c r="CF129" s="136"/>
      <c r="CG129" s="136"/>
      <c r="CH129" s="136"/>
      <c r="CI129" s="136"/>
      <c r="CJ129" s="136"/>
      <c r="CK129" s="136"/>
      <c r="CO129" s="470"/>
      <c r="CP129" s="470"/>
      <c r="CQ129" s="470"/>
      <c r="CR129" s="470"/>
      <c r="DA129" s="519"/>
      <c r="DB129" s="519"/>
      <c r="DC129" s="519"/>
      <c r="DD129" s="519"/>
    </row>
    <row r="130" spans="69:108" x14ac:dyDescent="0.25">
      <c r="BQ130" s="136"/>
      <c r="BR130" s="136"/>
      <c r="BS130" s="136"/>
      <c r="BT130" s="528"/>
      <c r="BU130" s="528"/>
      <c r="BV130" s="528"/>
      <c r="BW130" s="528"/>
      <c r="BX130" s="528"/>
      <c r="BZ130" s="528"/>
      <c r="CA130" s="530"/>
      <c r="CB130" s="136"/>
      <c r="CC130" s="136"/>
      <c r="CD130" s="136"/>
      <c r="CE130" s="136"/>
      <c r="CF130" s="136"/>
      <c r="CG130" s="136"/>
      <c r="CH130" s="136"/>
      <c r="CI130" s="136"/>
      <c r="CJ130" s="136"/>
      <c r="CK130" s="136"/>
      <c r="CO130" s="470"/>
      <c r="CP130" s="470"/>
      <c r="CQ130" s="470"/>
      <c r="CR130" s="470"/>
      <c r="DA130" s="519"/>
      <c r="DB130" s="519"/>
      <c r="DC130" s="519"/>
      <c r="DD130" s="519"/>
    </row>
    <row r="131" spans="69:108" x14ac:dyDescent="0.25">
      <c r="BQ131" s="136"/>
      <c r="BR131" s="136"/>
      <c r="BS131" s="136"/>
      <c r="BT131" s="528"/>
      <c r="BU131" s="528"/>
      <c r="BV131" s="528"/>
      <c r="BW131" s="528"/>
      <c r="BX131" s="528"/>
      <c r="BZ131" s="528"/>
      <c r="CA131" s="530"/>
      <c r="CB131" s="136"/>
      <c r="CC131" s="136"/>
      <c r="CD131" s="136"/>
      <c r="CE131" s="136"/>
      <c r="CF131" s="136"/>
      <c r="CG131" s="136"/>
      <c r="CH131" s="136"/>
      <c r="CI131" s="136"/>
      <c r="CJ131" s="136"/>
      <c r="CK131" s="136"/>
      <c r="CO131" s="470"/>
      <c r="CP131" s="470"/>
      <c r="CQ131" s="470"/>
      <c r="CR131" s="470"/>
      <c r="DA131" s="519"/>
      <c r="DB131" s="519"/>
      <c r="DC131" s="519"/>
      <c r="DD131" s="519"/>
    </row>
    <row r="132" spans="69:108" x14ac:dyDescent="0.25">
      <c r="BQ132" s="136"/>
      <c r="BR132" s="136"/>
      <c r="BS132" s="136"/>
      <c r="BT132" s="528"/>
      <c r="BU132" s="528"/>
      <c r="BV132" s="528"/>
      <c r="BW132" s="528"/>
      <c r="BX132" s="528"/>
      <c r="BZ132" s="528"/>
      <c r="CA132" s="530"/>
      <c r="CB132" s="136"/>
      <c r="CC132" s="136"/>
      <c r="CD132" s="136"/>
      <c r="CE132" s="136"/>
      <c r="CF132" s="136"/>
      <c r="CG132" s="136"/>
      <c r="CH132" s="136"/>
      <c r="CI132" s="136"/>
      <c r="CJ132" s="136"/>
      <c r="CK132" s="136"/>
      <c r="CO132" s="470"/>
      <c r="CP132" s="470"/>
      <c r="CQ132" s="470"/>
      <c r="CR132" s="470"/>
      <c r="DA132" s="519"/>
      <c r="DB132" s="519"/>
      <c r="DC132" s="519"/>
      <c r="DD132" s="519"/>
    </row>
    <row r="133" spans="69:108" x14ac:dyDescent="0.25">
      <c r="BQ133" s="136"/>
      <c r="BR133" s="136"/>
      <c r="BS133" s="136"/>
      <c r="BT133" s="528"/>
      <c r="BU133" s="528"/>
      <c r="BV133" s="528"/>
      <c r="BW133" s="528"/>
      <c r="BX133" s="528"/>
      <c r="BZ133" s="528"/>
      <c r="CA133" s="530"/>
      <c r="CB133" s="136"/>
      <c r="CC133" s="136"/>
      <c r="CD133" s="136"/>
      <c r="CE133" s="136"/>
      <c r="CF133" s="136"/>
      <c r="CG133" s="136"/>
      <c r="CH133" s="136"/>
      <c r="CI133" s="136"/>
      <c r="CJ133" s="136"/>
      <c r="CK133" s="136"/>
      <c r="CO133" s="470"/>
      <c r="CP133" s="470"/>
      <c r="CQ133" s="470"/>
      <c r="CR133" s="470"/>
      <c r="DA133" s="519"/>
      <c r="DB133" s="519"/>
      <c r="DC133" s="519"/>
      <c r="DD133" s="519"/>
    </row>
    <row r="134" spans="69:108" x14ac:dyDescent="0.25">
      <c r="BQ134" s="136"/>
      <c r="BR134" s="136"/>
      <c r="BS134" s="136"/>
      <c r="BT134" s="528"/>
      <c r="BU134" s="528"/>
      <c r="BV134" s="528"/>
      <c r="BW134" s="528"/>
      <c r="BX134" s="528"/>
      <c r="BZ134" s="528"/>
      <c r="CA134" s="530"/>
      <c r="CB134" s="136"/>
      <c r="CC134" s="136"/>
      <c r="CD134" s="136"/>
      <c r="CE134" s="136"/>
      <c r="CF134" s="136"/>
      <c r="CG134" s="136"/>
      <c r="CH134" s="136"/>
      <c r="CI134" s="136"/>
      <c r="CJ134" s="136"/>
      <c r="CK134" s="136"/>
      <c r="CO134" s="470"/>
      <c r="CP134" s="470"/>
      <c r="CQ134" s="470"/>
      <c r="CR134" s="470"/>
      <c r="DA134" s="519"/>
      <c r="DB134" s="519"/>
      <c r="DC134" s="519"/>
      <c r="DD134" s="519"/>
    </row>
    <row r="135" spans="69:108" x14ac:dyDescent="0.25">
      <c r="BQ135" s="136"/>
      <c r="BR135" s="136"/>
      <c r="BS135" s="136"/>
      <c r="BT135" s="528"/>
      <c r="BU135" s="528"/>
      <c r="BV135" s="528"/>
      <c r="BW135" s="528"/>
      <c r="BX135" s="528"/>
      <c r="BZ135" s="528"/>
      <c r="CA135" s="530"/>
      <c r="CB135" s="136"/>
      <c r="CC135" s="136"/>
      <c r="CD135" s="136"/>
      <c r="CE135" s="136"/>
      <c r="CF135" s="136"/>
      <c r="CG135" s="136"/>
      <c r="CH135" s="136"/>
      <c r="CI135" s="136"/>
      <c r="CJ135" s="136"/>
      <c r="CK135" s="136"/>
      <c r="CO135" s="470"/>
      <c r="CP135" s="470"/>
      <c r="CQ135" s="470"/>
      <c r="CR135" s="470"/>
      <c r="DA135" s="519"/>
      <c r="DB135" s="519"/>
      <c r="DC135" s="519"/>
      <c r="DD135" s="519"/>
    </row>
    <row r="136" spans="69:108" x14ac:dyDescent="0.25">
      <c r="BQ136" s="136"/>
      <c r="BR136" s="136"/>
      <c r="BS136" s="136"/>
      <c r="BT136" s="528"/>
      <c r="BU136" s="528"/>
      <c r="BV136" s="528"/>
      <c r="BW136" s="528"/>
      <c r="BX136" s="528"/>
      <c r="BZ136" s="528"/>
      <c r="CA136" s="530"/>
      <c r="CB136" s="136"/>
      <c r="CC136" s="136"/>
      <c r="CD136" s="136"/>
      <c r="CE136" s="136"/>
      <c r="CF136" s="136"/>
      <c r="CG136" s="136"/>
      <c r="CH136" s="136"/>
      <c r="CI136" s="136"/>
      <c r="CJ136" s="136"/>
      <c r="CK136" s="136"/>
      <c r="CO136" s="470"/>
      <c r="CP136" s="470"/>
      <c r="CQ136" s="470"/>
      <c r="CR136" s="470"/>
      <c r="DA136" s="519"/>
      <c r="DB136" s="519"/>
      <c r="DC136" s="519"/>
      <c r="DD136" s="519"/>
    </row>
    <row r="137" spans="69:108" x14ac:dyDescent="0.25">
      <c r="BQ137" s="136"/>
      <c r="BR137" s="136"/>
      <c r="BS137" s="136"/>
      <c r="BT137" s="528"/>
      <c r="BU137" s="528"/>
      <c r="BV137" s="528"/>
      <c r="BW137" s="528"/>
      <c r="BX137" s="528"/>
      <c r="BZ137" s="528"/>
      <c r="CA137" s="530"/>
      <c r="CB137" s="136"/>
      <c r="CC137" s="136"/>
      <c r="CD137" s="136"/>
      <c r="CE137" s="136"/>
      <c r="CF137" s="136"/>
      <c r="CG137" s="136"/>
      <c r="CH137" s="136"/>
      <c r="CI137" s="136"/>
      <c r="CJ137" s="136"/>
      <c r="CK137" s="136"/>
      <c r="CO137" s="470"/>
      <c r="CP137" s="470"/>
      <c r="CQ137" s="470"/>
      <c r="CR137" s="470"/>
      <c r="DA137" s="519"/>
      <c r="DB137" s="519"/>
      <c r="DC137" s="519"/>
      <c r="DD137" s="519"/>
    </row>
    <row r="138" spans="69:108" x14ac:dyDescent="0.25">
      <c r="BQ138" s="136"/>
      <c r="BR138" s="136"/>
      <c r="BS138" s="136"/>
      <c r="BT138" s="528"/>
      <c r="BU138" s="528"/>
      <c r="BV138" s="528"/>
      <c r="BW138" s="528"/>
      <c r="BX138" s="528"/>
      <c r="BZ138" s="528"/>
      <c r="CA138" s="530"/>
      <c r="CB138" s="136"/>
      <c r="CC138" s="136"/>
      <c r="CD138" s="136"/>
      <c r="CE138" s="136"/>
      <c r="CF138" s="136"/>
      <c r="CG138" s="136"/>
      <c r="CH138" s="136"/>
      <c r="CI138" s="136"/>
      <c r="CJ138" s="136"/>
      <c r="CK138" s="136"/>
      <c r="CO138" s="470"/>
      <c r="CP138" s="470"/>
      <c r="CQ138" s="470"/>
      <c r="CR138" s="470"/>
      <c r="DA138" s="519"/>
      <c r="DB138" s="519"/>
      <c r="DC138" s="519"/>
      <c r="DD138" s="519"/>
    </row>
    <row r="139" spans="69:108" x14ac:dyDescent="0.25">
      <c r="BQ139" s="136"/>
      <c r="BR139" s="136"/>
      <c r="BS139" s="136"/>
      <c r="BT139" s="528"/>
      <c r="BU139" s="528"/>
      <c r="BV139" s="528"/>
      <c r="BW139" s="528"/>
      <c r="BX139" s="528"/>
      <c r="BZ139" s="528"/>
      <c r="CA139" s="530"/>
      <c r="CB139" s="136"/>
      <c r="CC139" s="136"/>
      <c r="CD139" s="136"/>
      <c r="CE139" s="136"/>
      <c r="CF139" s="136"/>
      <c r="CG139" s="136"/>
      <c r="CH139" s="136"/>
      <c r="CI139" s="136"/>
      <c r="CJ139" s="136"/>
      <c r="CK139" s="136"/>
      <c r="CO139" s="470"/>
      <c r="CP139" s="470"/>
      <c r="CQ139" s="470"/>
      <c r="CR139" s="470"/>
      <c r="DA139" s="519"/>
      <c r="DB139" s="519"/>
      <c r="DC139" s="519"/>
      <c r="DD139" s="519"/>
    </row>
    <row r="140" spans="69:108" x14ac:dyDescent="0.25">
      <c r="BQ140" s="136"/>
      <c r="BR140" s="136"/>
      <c r="BS140" s="136"/>
      <c r="BT140" s="528"/>
      <c r="BU140" s="528"/>
      <c r="BV140" s="528"/>
      <c r="BW140" s="528"/>
      <c r="BX140" s="528"/>
      <c r="BZ140" s="528"/>
      <c r="CA140" s="530"/>
      <c r="CB140" s="136"/>
      <c r="CC140" s="136"/>
      <c r="CD140" s="136"/>
      <c r="CE140" s="136"/>
      <c r="CF140" s="136"/>
      <c r="CG140" s="136"/>
      <c r="CH140" s="136"/>
      <c r="CI140" s="136"/>
      <c r="CJ140" s="136"/>
      <c r="CK140" s="136"/>
      <c r="CO140" s="470"/>
      <c r="CP140" s="470"/>
      <c r="CQ140" s="470"/>
      <c r="CR140" s="470"/>
      <c r="DA140" s="519"/>
      <c r="DB140" s="519"/>
      <c r="DC140" s="519"/>
      <c r="DD140" s="519"/>
    </row>
    <row r="141" spans="69:108" x14ac:dyDescent="0.25">
      <c r="BQ141" s="136"/>
      <c r="BR141" s="136"/>
      <c r="BS141" s="136"/>
      <c r="BT141" s="528"/>
      <c r="BU141" s="528"/>
      <c r="BV141" s="528"/>
      <c r="BW141" s="528"/>
      <c r="BX141" s="528"/>
      <c r="BZ141" s="528"/>
      <c r="CA141" s="530"/>
      <c r="CB141" s="136"/>
      <c r="CC141" s="136"/>
      <c r="CD141" s="136"/>
      <c r="CE141" s="136"/>
      <c r="CF141" s="136"/>
      <c r="CG141" s="136"/>
      <c r="CH141" s="136"/>
      <c r="CI141" s="136"/>
      <c r="CJ141" s="136"/>
      <c r="CK141" s="136"/>
      <c r="CO141" s="470"/>
      <c r="CP141" s="470"/>
      <c r="CQ141" s="470"/>
      <c r="CR141" s="470"/>
      <c r="DA141" s="519"/>
      <c r="DB141" s="519"/>
      <c r="DC141" s="519"/>
      <c r="DD141" s="519"/>
    </row>
    <row r="142" spans="69:108" x14ac:dyDescent="0.25">
      <c r="BQ142" s="136"/>
      <c r="BR142" s="136"/>
      <c r="BS142" s="136"/>
      <c r="BT142" s="528"/>
      <c r="BU142" s="528"/>
      <c r="BV142" s="528"/>
      <c r="BW142" s="528"/>
      <c r="BX142" s="528"/>
      <c r="BZ142" s="528"/>
      <c r="CA142" s="530"/>
      <c r="CB142" s="136"/>
      <c r="CC142" s="136"/>
      <c r="CD142" s="136"/>
      <c r="CE142" s="136"/>
      <c r="CF142" s="136"/>
      <c r="CG142" s="136"/>
      <c r="CH142" s="136"/>
      <c r="CI142" s="136"/>
      <c r="CJ142" s="136"/>
      <c r="CK142" s="136"/>
      <c r="CO142" s="470"/>
      <c r="CP142" s="470"/>
      <c r="CQ142" s="470"/>
      <c r="CR142" s="470"/>
      <c r="DA142" s="519"/>
      <c r="DB142" s="519"/>
      <c r="DC142" s="519"/>
      <c r="DD142" s="519"/>
    </row>
    <row r="143" spans="69:108" x14ac:dyDescent="0.25">
      <c r="BQ143" s="136"/>
      <c r="BR143" s="136"/>
      <c r="BS143" s="136"/>
      <c r="BT143" s="528"/>
      <c r="BU143" s="528"/>
      <c r="BV143" s="528"/>
      <c r="BW143" s="528"/>
      <c r="BX143" s="528"/>
      <c r="BZ143" s="528"/>
      <c r="CA143" s="530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O143" s="470"/>
      <c r="CP143" s="470"/>
      <c r="CQ143" s="470"/>
      <c r="CR143" s="470"/>
      <c r="DA143" s="519"/>
      <c r="DB143" s="519"/>
      <c r="DC143" s="519"/>
      <c r="DD143" s="519"/>
    </row>
    <row r="144" spans="69:108" x14ac:dyDescent="0.25">
      <c r="BQ144" s="136"/>
      <c r="BR144" s="136"/>
      <c r="BS144" s="136"/>
      <c r="BT144" s="528"/>
      <c r="BU144" s="528"/>
      <c r="BV144" s="528"/>
      <c r="BW144" s="528"/>
      <c r="BX144" s="528"/>
      <c r="BZ144" s="528"/>
      <c r="CA144" s="530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O144" s="470"/>
      <c r="CP144" s="470"/>
      <c r="CQ144" s="470"/>
      <c r="CR144" s="470"/>
      <c r="DA144" s="519"/>
      <c r="DB144" s="519"/>
      <c r="DC144" s="519"/>
      <c r="DD144" s="519"/>
    </row>
    <row r="145" spans="50:108" x14ac:dyDescent="0.25">
      <c r="BQ145" s="136"/>
      <c r="BR145" s="136"/>
      <c r="BS145" s="136"/>
      <c r="BT145" s="528"/>
      <c r="BU145" s="528"/>
      <c r="BV145" s="528"/>
      <c r="BW145" s="528"/>
      <c r="BX145" s="528"/>
      <c r="BZ145" s="528"/>
      <c r="CA145" s="530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O145" s="470"/>
      <c r="CP145" s="470"/>
      <c r="CQ145" s="470"/>
      <c r="CR145" s="470"/>
      <c r="DA145" s="519"/>
      <c r="DB145" s="519"/>
      <c r="DC145" s="519"/>
      <c r="DD145" s="519"/>
    </row>
    <row r="146" spans="50:108" x14ac:dyDescent="0.25">
      <c r="BQ146" s="136"/>
      <c r="BR146" s="136"/>
      <c r="BS146" s="136"/>
      <c r="BT146" s="528"/>
      <c r="BU146" s="528"/>
      <c r="BV146" s="528"/>
      <c r="BW146" s="528"/>
      <c r="BX146" s="528"/>
      <c r="BZ146" s="528"/>
      <c r="CA146" s="530"/>
      <c r="CB146" s="136"/>
      <c r="CC146" s="136"/>
      <c r="CD146" s="136"/>
      <c r="CE146" s="136"/>
      <c r="CF146" s="136"/>
      <c r="CG146" s="136"/>
      <c r="CH146" s="136"/>
      <c r="CI146" s="136"/>
      <c r="CJ146" s="136"/>
      <c r="CK146" s="136"/>
      <c r="CO146" s="470"/>
      <c r="CP146" s="470"/>
      <c r="CQ146" s="470"/>
      <c r="CR146" s="470"/>
      <c r="DA146" s="519"/>
      <c r="DB146" s="519"/>
      <c r="DC146" s="519"/>
      <c r="DD146" s="519"/>
    </row>
    <row r="147" spans="50:108" x14ac:dyDescent="0.25">
      <c r="BQ147" s="136"/>
      <c r="BR147" s="136"/>
      <c r="BS147" s="136"/>
      <c r="BT147" s="528"/>
      <c r="BU147" s="528"/>
      <c r="BV147" s="528"/>
      <c r="BW147" s="528"/>
      <c r="BX147" s="528"/>
      <c r="BZ147" s="528"/>
      <c r="CA147" s="530"/>
      <c r="CB147" s="136"/>
      <c r="CC147" s="136"/>
      <c r="CD147" s="136"/>
      <c r="CE147" s="136"/>
      <c r="CF147" s="136"/>
      <c r="CG147" s="136"/>
      <c r="CH147" s="136"/>
      <c r="CI147" s="136"/>
      <c r="CJ147" s="136"/>
      <c r="CK147" s="136"/>
      <c r="CO147" s="470"/>
      <c r="CP147" s="470"/>
      <c r="CQ147" s="470"/>
      <c r="CR147" s="470"/>
      <c r="DA147" s="519"/>
      <c r="DB147" s="519"/>
      <c r="DC147" s="519"/>
      <c r="DD147" s="519"/>
    </row>
    <row r="148" spans="50:108" x14ac:dyDescent="0.25">
      <c r="BQ148" s="136"/>
      <c r="BR148" s="136"/>
      <c r="BS148" s="136"/>
      <c r="BT148" s="528"/>
      <c r="BU148" s="528"/>
      <c r="BV148" s="528"/>
      <c r="BW148" s="528"/>
      <c r="BX148" s="528"/>
      <c r="BZ148" s="528"/>
      <c r="CA148" s="530"/>
      <c r="CB148" s="136"/>
      <c r="CC148" s="136"/>
      <c r="CD148" s="136"/>
      <c r="CE148" s="136"/>
      <c r="CF148" s="136"/>
      <c r="CG148" s="136"/>
      <c r="CH148" s="136"/>
      <c r="CI148" s="136"/>
      <c r="CJ148" s="136"/>
      <c r="CK148" s="136"/>
      <c r="CO148" s="470"/>
      <c r="CP148" s="470"/>
      <c r="CQ148" s="470"/>
      <c r="CR148" s="470"/>
      <c r="DA148" s="519"/>
      <c r="DB148" s="519"/>
      <c r="DC148" s="519"/>
      <c r="DD148" s="519"/>
    </row>
    <row r="149" spans="50:108" x14ac:dyDescent="0.25">
      <c r="BQ149" s="136"/>
      <c r="BR149" s="136"/>
      <c r="BS149" s="136"/>
      <c r="BT149" s="528"/>
      <c r="BU149" s="528"/>
      <c r="BV149" s="528"/>
      <c r="BW149" s="528"/>
      <c r="BX149" s="528"/>
      <c r="BZ149" s="528"/>
      <c r="CA149" s="530"/>
      <c r="CB149" s="136"/>
      <c r="CC149" s="136"/>
      <c r="CD149" s="136"/>
      <c r="CE149" s="136"/>
      <c r="CF149" s="136"/>
      <c r="CG149" s="136"/>
      <c r="CH149" s="136"/>
      <c r="CI149" s="136"/>
      <c r="CJ149" s="136"/>
      <c r="CK149" s="136"/>
      <c r="CO149" s="470"/>
      <c r="CP149" s="470"/>
      <c r="CQ149" s="470"/>
      <c r="CR149" s="470"/>
      <c r="DA149" s="519"/>
      <c r="DB149" s="519"/>
      <c r="DC149" s="519"/>
      <c r="DD149" s="519"/>
    </row>
    <row r="150" spans="50:108" x14ac:dyDescent="0.25">
      <c r="BQ150" s="136"/>
      <c r="BR150" s="136"/>
      <c r="BS150" s="136"/>
      <c r="BT150" s="528"/>
      <c r="BU150" s="528"/>
      <c r="BV150" s="528"/>
      <c r="BW150" s="528"/>
      <c r="BX150" s="528"/>
      <c r="BZ150" s="528"/>
      <c r="CA150" s="530"/>
      <c r="CB150" s="136"/>
      <c r="CC150" s="136"/>
      <c r="CD150" s="136"/>
      <c r="CE150" s="136"/>
      <c r="CF150" s="136"/>
      <c r="CG150" s="136"/>
      <c r="CH150" s="136"/>
      <c r="CI150" s="136"/>
      <c r="CJ150" s="136"/>
      <c r="CK150" s="136"/>
      <c r="CO150" s="470"/>
      <c r="CP150" s="470"/>
      <c r="CQ150" s="470"/>
      <c r="CR150" s="470"/>
      <c r="DA150" s="519"/>
      <c r="DB150" s="519"/>
      <c r="DC150" s="519"/>
      <c r="DD150" s="519"/>
    </row>
    <row r="151" spans="50:108" x14ac:dyDescent="0.25">
      <c r="BQ151" s="136"/>
      <c r="BR151" s="136"/>
      <c r="BS151" s="136"/>
      <c r="BT151" s="528"/>
      <c r="BU151" s="528"/>
      <c r="BV151" s="528"/>
      <c r="BW151" s="528"/>
      <c r="BX151" s="528"/>
      <c r="BZ151" s="528"/>
      <c r="CA151" s="530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O151" s="470"/>
      <c r="CP151" s="470"/>
      <c r="CQ151" s="470"/>
      <c r="CR151" s="470"/>
      <c r="DA151" s="519"/>
      <c r="DB151" s="519"/>
      <c r="DC151" s="519"/>
      <c r="DD151" s="519"/>
    </row>
    <row r="152" spans="50:108" x14ac:dyDescent="0.25">
      <c r="BQ152" s="136"/>
      <c r="BR152" s="136"/>
      <c r="BS152" s="136"/>
      <c r="BT152" s="528"/>
      <c r="BU152" s="528"/>
      <c r="BV152" s="528"/>
      <c r="BW152" s="528"/>
      <c r="BX152" s="528"/>
      <c r="BZ152" s="528"/>
      <c r="CA152" s="530"/>
      <c r="CB152" s="136"/>
      <c r="CC152" s="136"/>
      <c r="CD152" s="136"/>
      <c r="CE152" s="136"/>
      <c r="CF152" s="136"/>
      <c r="CG152" s="136"/>
      <c r="CH152" s="136"/>
      <c r="CI152" s="136"/>
      <c r="CJ152" s="136"/>
      <c r="CK152" s="136"/>
      <c r="CO152" s="470"/>
      <c r="CP152" s="470"/>
      <c r="CQ152" s="470"/>
      <c r="CR152" s="470"/>
      <c r="DA152" s="519"/>
      <c r="DB152" s="519"/>
      <c r="DC152" s="519"/>
      <c r="DD152" s="519"/>
    </row>
    <row r="153" spans="50:108" x14ac:dyDescent="0.25"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  <c r="BI153" s="136"/>
      <c r="BJ153" s="136"/>
      <c r="BL153" s="136"/>
      <c r="BM153" s="136"/>
      <c r="BN153" s="136"/>
      <c r="BO153" s="136"/>
      <c r="BP153" s="136"/>
      <c r="BQ153" s="136"/>
      <c r="BR153" s="136"/>
      <c r="BS153" s="136"/>
      <c r="BT153" s="528"/>
      <c r="BU153" s="528"/>
      <c r="BV153" s="528"/>
      <c r="BW153" s="528"/>
      <c r="BX153" s="528"/>
      <c r="BZ153" s="528"/>
      <c r="CA153" s="530"/>
      <c r="CB153" s="136"/>
      <c r="CC153" s="136"/>
      <c r="CD153" s="136"/>
      <c r="CE153" s="136"/>
      <c r="CF153" s="136"/>
      <c r="CG153" s="136"/>
      <c r="CH153" s="136"/>
      <c r="CI153" s="136"/>
      <c r="CJ153" s="136"/>
      <c r="CK153" s="136"/>
      <c r="CO153" s="470"/>
      <c r="CP153" s="470"/>
      <c r="CQ153" s="470"/>
      <c r="CR153" s="470"/>
      <c r="DA153" s="519"/>
      <c r="DB153" s="519"/>
      <c r="DC153" s="519"/>
      <c r="DD153" s="519"/>
    </row>
    <row r="154" spans="50:108" x14ac:dyDescent="0.25"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  <c r="BI154" s="136"/>
      <c r="BJ154" s="136"/>
      <c r="BL154" s="136"/>
      <c r="BM154" s="136"/>
      <c r="BN154" s="136"/>
      <c r="BO154" s="136"/>
      <c r="BP154" s="136"/>
      <c r="BQ154" s="136"/>
      <c r="BR154" s="136"/>
      <c r="BS154" s="136"/>
      <c r="BT154" s="528"/>
      <c r="BU154" s="528"/>
      <c r="BV154" s="528"/>
      <c r="BW154" s="528"/>
      <c r="BX154" s="528"/>
      <c r="BZ154" s="528"/>
      <c r="CA154" s="530"/>
      <c r="CB154" s="136"/>
      <c r="CC154" s="136"/>
      <c r="CD154" s="136"/>
      <c r="CE154" s="136"/>
      <c r="CF154" s="136"/>
      <c r="CG154" s="136"/>
      <c r="CH154" s="136"/>
      <c r="CI154" s="136"/>
      <c r="CJ154" s="136"/>
      <c r="CK154" s="136"/>
      <c r="CO154" s="470"/>
      <c r="CP154" s="470"/>
      <c r="CQ154" s="470"/>
      <c r="CR154" s="470"/>
      <c r="DA154" s="519"/>
      <c r="DB154" s="519"/>
      <c r="DC154" s="519"/>
      <c r="DD154" s="519"/>
    </row>
    <row r="155" spans="50:108" x14ac:dyDescent="0.25">
      <c r="BI155" s="136"/>
      <c r="BJ155" s="136"/>
      <c r="BL155" s="136"/>
      <c r="BM155" s="136"/>
      <c r="BN155" s="136"/>
      <c r="BO155" s="136"/>
      <c r="BP155" s="136"/>
      <c r="BQ155" s="136"/>
      <c r="BR155" s="136"/>
      <c r="BS155" s="136"/>
      <c r="BT155" s="528"/>
      <c r="BU155" s="528"/>
      <c r="BV155" s="528"/>
      <c r="BW155" s="528"/>
      <c r="BX155" s="528"/>
      <c r="BZ155" s="528"/>
      <c r="CA155" s="530"/>
      <c r="CB155" s="136"/>
      <c r="CC155" s="136"/>
      <c r="CD155" s="136"/>
      <c r="CE155" s="136"/>
      <c r="CF155" s="136"/>
      <c r="CG155" s="136"/>
      <c r="CH155" s="136"/>
      <c r="CI155" s="136"/>
      <c r="CJ155" s="136"/>
      <c r="CK155" s="136"/>
      <c r="DA155" s="519"/>
      <c r="DB155" s="519"/>
      <c r="DC155" s="519"/>
      <c r="DD155" s="519"/>
    </row>
    <row r="156" spans="50:108" x14ac:dyDescent="0.25">
      <c r="BP156" s="136"/>
      <c r="BQ156" s="136"/>
      <c r="BR156" s="136"/>
      <c r="BS156" s="136"/>
      <c r="BT156" s="528"/>
      <c r="BU156" s="528"/>
      <c r="BV156" s="528"/>
      <c r="BW156" s="528"/>
      <c r="BX156" s="528"/>
      <c r="BZ156" s="528"/>
      <c r="CA156" s="530"/>
      <c r="CB156" s="136"/>
      <c r="CC156" s="136"/>
      <c r="CD156" s="136"/>
      <c r="CE156" s="136"/>
      <c r="CF156" s="136"/>
      <c r="CG156" s="136"/>
      <c r="CH156" s="136"/>
      <c r="CI156" s="136"/>
      <c r="CJ156" s="136"/>
      <c r="CK156" s="136"/>
      <c r="DA156" s="519"/>
      <c r="DB156" s="519"/>
      <c r="DC156" s="519"/>
      <c r="DD156" s="519"/>
    </row>
    <row r="157" spans="50:108" x14ac:dyDescent="0.25">
      <c r="BP157" s="136"/>
      <c r="BQ157" s="136"/>
      <c r="BR157" s="136"/>
      <c r="BS157" s="136"/>
      <c r="BT157" s="528"/>
      <c r="BU157" s="528"/>
      <c r="BV157" s="528"/>
      <c r="BW157" s="528"/>
      <c r="BX157" s="528"/>
      <c r="BZ157" s="528"/>
      <c r="CA157" s="530"/>
      <c r="CB157" s="136"/>
      <c r="CC157" s="136"/>
      <c r="CD157" s="136"/>
      <c r="CE157" s="136"/>
      <c r="CF157" s="136"/>
      <c r="CG157" s="136"/>
      <c r="CH157" s="136"/>
      <c r="CI157" s="136"/>
      <c r="CJ157" s="136"/>
      <c r="CK157" s="136"/>
      <c r="DA157" s="519"/>
      <c r="DB157" s="519"/>
      <c r="DC157" s="519"/>
      <c r="DD157" s="519"/>
    </row>
  </sheetData>
  <sortState xmlns:xlrd2="http://schemas.microsoft.com/office/spreadsheetml/2017/richdata2" ref="Q27:R33">
    <sortCondition ref="Q26"/>
  </sortState>
  <mergeCells count="93">
    <mergeCell ref="Q1:AZ2"/>
    <mergeCell ref="AZ3:AZ9"/>
    <mergeCell ref="AZ46:AZ52"/>
    <mergeCell ref="AZ39:AZ45"/>
    <mergeCell ref="AZ32:AZ38"/>
    <mergeCell ref="AZ10:AZ17"/>
    <mergeCell ref="AZ25:AZ31"/>
    <mergeCell ref="AZ18:AZ24"/>
    <mergeCell ref="AW3:AW9"/>
    <mergeCell ref="AW10:AW16"/>
    <mergeCell ref="AW17:AW23"/>
    <mergeCell ref="AW24:AW30"/>
    <mergeCell ref="AW31:AW37"/>
    <mergeCell ref="AW38:AW44"/>
    <mergeCell ref="AW45:AW51"/>
    <mergeCell ref="AT30:AT36"/>
    <mergeCell ref="AT23:AT29"/>
    <mergeCell ref="AT16:AT22"/>
    <mergeCell ref="AT49:AT54"/>
    <mergeCell ref="AT43:AT48"/>
    <mergeCell ref="AT37:AT42"/>
    <mergeCell ref="AT3:AT8"/>
    <mergeCell ref="AQ9:AQ14"/>
    <mergeCell ref="AQ21:AQ26"/>
    <mergeCell ref="AQ15:AQ20"/>
    <mergeCell ref="AQ27:AQ32"/>
    <mergeCell ref="AT9:AT15"/>
    <mergeCell ref="AQ3:AQ8"/>
    <mergeCell ref="AQ51:AQ56"/>
    <mergeCell ref="AQ45:AQ50"/>
    <mergeCell ref="AQ39:AQ44"/>
    <mergeCell ref="AN34:AN41"/>
    <mergeCell ref="AQ33:AQ38"/>
    <mergeCell ref="AK46:AK54"/>
    <mergeCell ref="AK36:AK45"/>
    <mergeCell ref="AN42:AN49"/>
    <mergeCell ref="AK3:AK10"/>
    <mergeCell ref="AK11:AK18"/>
    <mergeCell ref="AK19:AK26"/>
    <mergeCell ref="AN50:AN58"/>
    <mergeCell ref="AK27:AK35"/>
    <mergeCell ref="AN3:AN9"/>
    <mergeCell ref="AN10:AN17"/>
    <mergeCell ref="AN18:AN25"/>
    <mergeCell ref="AN26:AN33"/>
    <mergeCell ref="AH3:AH8"/>
    <mergeCell ref="AH9:AH14"/>
    <mergeCell ref="AH15:AH21"/>
    <mergeCell ref="AH22:AH28"/>
    <mergeCell ref="AH29:AH35"/>
    <mergeCell ref="AH36:AH42"/>
    <mergeCell ref="AH43:AH49"/>
    <mergeCell ref="AH50:AH56"/>
    <mergeCell ref="AE52:AE58"/>
    <mergeCell ref="AE45:AE51"/>
    <mergeCell ref="AE38:AE44"/>
    <mergeCell ref="AE31:AE37"/>
    <mergeCell ref="AE24:AE30"/>
    <mergeCell ref="AE17:AE23"/>
    <mergeCell ref="AE10:AE16"/>
    <mergeCell ref="AE3:AE9"/>
    <mergeCell ref="AB3:AB10"/>
    <mergeCell ref="AB11:AB18"/>
    <mergeCell ref="AB19:AB26"/>
    <mergeCell ref="AB27:AB34"/>
    <mergeCell ref="Y3:Y11"/>
    <mergeCell ref="Y12:Y20"/>
    <mergeCell ref="Y21:Y30"/>
    <mergeCell ref="Y31:Y41"/>
    <mergeCell ref="Y42:Y53"/>
    <mergeCell ref="V48:V55"/>
    <mergeCell ref="Y54:Y61"/>
    <mergeCell ref="V40:V47"/>
    <mergeCell ref="AB35:AB42"/>
    <mergeCell ref="AB43:AB50"/>
    <mergeCell ref="AB51:AB59"/>
    <mergeCell ref="V32:V39"/>
    <mergeCell ref="S26:S33"/>
    <mergeCell ref="V16:V31"/>
    <mergeCell ref="V3:V15"/>
    <mergeCell ref="G12:G13"/>
    <mergeCell ref="G14:G15"/>
    <mergeCell ref="I12:I13"/>
    <mergeCell ref="I14:I15"/>
    <mergeCell ref="G16:G17"/>
    <mergeCell ref="I16:I17"/>
    <mergeCell ref="G10:G11"/>
    <mergeCell ref="I10:I11"/>
    <mergeCell ref="G18:G19"/>
    <mergeCell ref="I18:I19"/>
    <mergeCell ref="S3:S10"/>
    <mergeCell ref="S11:S18"/>
    <mergeCell ref="S19:S25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E4345-B7C6-4D0E-9B34-DC4460D03DFF}">
  <sheetPr>
    <tabColor theme="5" tint="0.59999389629810485"/>
  </sheetPr>
  <dimension ref="A1:M99"/>
  <sheetViews>
    <sheetView topLeftCell="C1" workbookViewId="0">
      <selection activeCell="I13" sqref="I13:I14"/>
    </sheetView>
  </sheetViews>
  <sheetFormatPr defaultRowHeight="15" x14ac:dyDescent="0.25"/>
  <cols>
    <col min="1" max="1" width="20" bestFit="1" customWidth="1"/>
    <col min="2" max="2" width="17.85546875" bestFit="1" customWidth="1"/>
    <col min="3" max="3" width="23.28515625" bestFit="1" customWidth="1"/>
    <col min="4" max="4" width="18.7109375" bestFit="1" customWidth="1"/>
    <col min="5" max="5" width="20" bestFit="1" customWidth="1"/>
    <col min="6" max="6" width="18.5703125" bestFit="1" customWidth="1"/>
    <col min="7" max="7" width="23.140625" bestFit="1" customWidth="1"/>
    <col min="11" max="11" width="16" bestFit="1" customWidth="1"/>
    <col min="12" max="12" width="18.7109375" bestFit="1" customWidth="1"/>
  </cols>
  <sheetData>
    <row r="1" spans="1:13" x14ac:dyDescent="0.25">
      <c r="A1" s="152" t="s">
        <v>14057</v>
      </c>
      <c r="B1" t="s">
        <v>14064</v>
      </c>
    </row>
    <row r="2" spans="1:13" x14ac:dyDescent="0.25">
      <c r="A2" s="152" t="s">
        <v>465</v>
      </c>
      <c r="B2" t="s">
        <v>14063</v>
      </c>
    </row>
    <row r="3" spans="1:13" x14ac:dyDescent="0.25">
      <c r="A3" s="152" t="s">
        <v>13114</v>
      </c>
      <c r="B3" t="s">
        <v>14064</v>
      </c>
    </row>
    <row r="5" spans="1:13" x14ac:dyDescent="0.25">
      <c r="A5" s="152" t="s">
        <v>14058</v>
      </c>
      <c r="B5" t="s">
        <v>14060</v>
      </c>
      <c r="C5" t="s">
        <v>14061</v>
      </c>
      <c r="D5" t="s">
        <v>14065</v>
      </c>
      <c r="E5" t="s">
        <v>14067</v>
      </c>
      <c r="F5" t="s">
        <v>14066</v>
      </c>
      <c r="G5" t="s">
        <v>14068</v>
      </c>
      <c r="I5" s="152" t="s">
        <v>14058</v>
      </c>
      <c r="J5" t="s">
        <v>14060</v>
      </c>
      <c r="K5" t="s">
        <v>14069</v>
      </c>
      <c r="L5" t="s">
        <v>14070</v>
      </c>
      <c r="M5" t="s">
        <v>14066</v>
      </c>
    </row>
    <row r="6" spans="1:13" x14ac:dyDescent="0.25">
      <c r="A6" s="17" t="s">
        <v>647</v>
      </c>
      <c r="B6" s="153">
        <v>29</v>
      </c>
      <c r="C6" s="163">
        <v>22.146551724137932</v>
      </c>
      <c r="D6" s="103">
        <v>258648146.89655173</v>
      </c>
      <c r="E6" s="103">
        <v>99907.035865545375</v>
      </c>
      <c r="F6" s="153">
        <v>75183</v>
      </c>
      <c r="G6" s="163">
        <v>2592.5172413793102</v>
      </c>
      <c r="I6" s="17" t="s">
        <v>2</v>
      </c>
      <c r="J6" s="153">
        <v>279</v>
      </c>
      <c r="K6" s="165">
        <v>2518250</v>
      </c>
      <c r="L6" s="103">
        <v>60526011562</v>
      </c>
      <c r="M6" s="165">
        <v>818045</v>
      </c>
    </row>
    <row r="7" spans="1:13" x14ac:dyDescent="0.25">
      <c r="A7" s="17" t="s">
        <v>700</v>
      </c>
      <c r="B7" s="153">
        <v>15</v>
      </c>
      <c r="C7" s="163">
        <v>26.25</v>
      </c>
      <c r="D7" s="103">
        <v>246265399.53333333</v>
      </c>
      <c r="E7" s="103">
        <v>70615.076004283648</v>
      </c>
      <c r="F7" s="153">
        <v>52806</v>
      </c>
      <c r="G7" s="163">
        <v>3520.4</v>
      </c>
      <c r="I7" s="17" t="s">
        <v>67</v>
      </c>
      <c r="J7" s="153">
        <v>4</v>
      </c>
      <c r="K7" s="165">
        <v>25271</v>
      </c>
      <c r="L7" s="103">
        <v>762355477</v>
      </c>
      <c r="M7" s="165">
        <v>9775</v>
      </c>
    </row>
    <row r="8" spans="1:13" x14ac:dyDescent="0.25">
      <c r="A8" s="17" t="s">
        <v>78</v>
      </c>
      <c r="B8" s="153">
        <v>9</v>
      </c>
      <c r="C8" s="163">
        <v>29.027777777777779</v>
      </c>
      <c r="D8" s="103">
        <v>265655684</v>
      </c>
      <c r="E8" s="103">
        <v>65088.3364521525</v>
      </c>
      <c r="F8" s="153">
        <v>29184</v>
      </c>
      <c r="G8" s="163">
        <v>3648</v>
      </c>
      <c r="I8" s="17" t="s">
        <v>14078</v>
      </c>
      <c r="J8" s="153">
        <v>398</v>
      </c>
      <c r="K8" s="165">
        <v>3375098</v>
      </c>
      <c r="L8" s="103"/>
      <c r="M8" s="165"/>
    </row>
    <row r="9" spans="1:13" x14ac:dyDescent="0.25">
      <c r="A9" s="17" t="s">
        <v>1749</v>
      </c>
      <c r="B9" s="153">
        <v>9</v>
      </c>
      <c r="C9" s="163">
        <v>19.472222222222221</v>
      </c>
      <c r="D9" s="103">
        <v>222872167.22222221</v>
      </c>
      <c r="E9" s="103">
        <v>76440.879958024918</v>
      </c>
      <c r="F9" s="153">
        <v>26335</v>
      </c>
      <c r="G9" s="163">
        <v>2926.1111111111113</v>
      </c>
      <c r="I9" s="17" t="s">
        <v>14059</v>
      </c>
      <c r="J9" s="153">
        <v>681</v>
      </c>
      <c r="K9" s="165">
        <v>5918619</v>
      </c>
      <c r="L9" s="103">
        <v>61288367039</v>
      </c>
      <c r="M9" s="165">
        <v>827820</v>
      </c>
    </row>
    <row r="10" spans="1:13" x14ac:dyDescent="0.25">
      <c r="A10" s="17" t="s">
        <v>119</v>
      </c>
      <c r="B10" s="153">
        <v>7</v>
      </c>
      <c r="C10" s="163">
        <v>19.642857142857142</v>
      </c>
      <c r="D10" s="103">
        <v>241790218.14285713</v>
      </c>
      <c r="E10" s="103">
        <v>88728.194685171955</v>
      </c>
      <c r="F10" s="153">
        <v>19117</v>
      </c>
      <c r="G10" s="163">
        <v>2731</v>
      </c>
    </row>
    <row r="11" spans="1:13" x14ac:dyDescent="0.25">
      <c r="A11" s="17" t="s">
        <v>1427</v>
      </c>
      <c r="B11" s="153">
        <v>7</v>
      </c>
      <c r="C11" s="163">
        <v>24.035714285714285</v>
      </c>
      <c r="D11" s="103">
        <v>260119298.57142857</v>
      </c>
      <c r="E11" s="103">
        <v>87460.293619534685</v>
      </c>
      <c r="F11" s="153">
        <v>20865</v>
      </c>
      <c r="G11" s="163">
        <v>2980.7142857142858</v>
      </c>
    </row>
    <row r="12" spans="1:13" x14ac:dyDescent="0.25">
      <c r="A12" s="17" t="s">
        <v>493</v>
      </c>
      <c r="B12" s="153">
        <v>7</v>
      </c>
      <c r="C12" s="163">
        <v>20.892857142857142</v>
      </c>
      <c r="D12" s="103">
        <v>209811816.85714287</v>
      </c>
      <c r="E12" s="103">
        <v>72923.645167853989</v>
      </c>
      <c r="F12" s="153">
        <v>20284</v>
      </c>
      <c r="G12" s="163">
        <v>2897.7142857142858</v>
      </c>
    </row>
    <row r="13" spans="1:13" x14ac:dyDescent="0.25">
      <c r="A13" s="17" t="s">
        <v>714</v>
      </c>
      <c r="B13" s="153">
        <v>7</v>
      </c>
      <c r="C13" s="163">
        <v>9.5357142857142865</v>
      </c>
      <c r="D13" s="103">
        <v>163227355.33333334</v>
      </c>
      <c r="E13" s="103">
        <v>20946.457282844476</v>
      </c>
      <c r="F13" s="153">
        <v>10055</v>
      </c>
      <c r="G13" s="163">
        <v>3351.6666666666665</v>
      </c>
    </row>
    <row r="14" spans="1:13" x14ac:dyDescent="0.25">
      <c r="A14" s="17" t="s">
        <v>308</v>
      </c>
      <c r="B14" s="153">
        <v>7</v>
      </c>
      <c r="C14" s="163">
        <v>23.071428571428573</v>
      </c>
      <c r="D14" s="103">
        <v>245152053</v>
      </c>
      <c r="E14" s="103">
        <v>93998.691449952443</v>
      </c>
      <c r="F14" s="153">
        <v>18353</v>
      </c>
      <c r="G14" s="163">
        <v>2621.8571428571427</v>
      </c>
    </row>
    <row r="15" spans="1:13" x14ac:dyDescent="0.25">
      <c r="A15" s="17" t="s">
        <v>560</v>
      </c>
      <c r="B15" s="153">
        <v>6</v>
      </c>
      <c r="C15" s="163">
        <v>22.541666666666668</v>
      </c>
      <c r="D15" s="103">
        <v>251251412.16666666</v>
      </c>
      <c r="E15" s="103">
        <v>103998.67874260734</v>
      </c>
      <c r="F15" s="153">
        <v>14520</v>
      </c>
      <c r="G15" s="163">
        <v>2420</v>
      </c>
    </row>
    <row r="16" spans="1:13" x14ac:dyDescent="0.25">
      <c r="A16" s="17" t="s">
        <v>517</v>
      </c>
      <c r="B16" s="153">
        <v>6</v>
      </c>
      <c r="C16" s="163">
        <v>4.916666666666667</v>
      </c>
      <c r="D16" s="103">
        <v>161409723.5</v>
      </c>
      <c r="E16" s="103">
        <v>56329.758876113629</v>
      </c>
      <c r="F16" s="153">
        <v>17473</v>
      </c>
      <c r="G16" s="163">
        <v>2912.1666666666665</v>
      </c>
    </row>
    <row r="17" spans="1:7" x14ac:dyDescent="0.25">
      <c r="A17" s="17" t="s">
        <v>644</v>
      </c>
      <c r="B17" s="153">
        <v>6</v>
      </c>
      <c r="C17" s="163">
        <v>16.791666666666668</v>
      </c>
      <c r="D17" s="103">
        <v>188135348.19999999</v>
      </c>
      <c r="E17" s="103">
        <v>46556.893445528265</v>
      </c>
      <c r="F17" s="153">
        <v>16911</v>
      </c>
      <c r="G17" s="163">
        <v>3382.2</v>
      </c>
    </row>
    <row r="18" spans="1:7" x14ac:dyDescent="0.25">
      <c r="A18" s="17" t="s">
        <v>83</v>
      </c>
      <c r="B18" s="153">
        <v>6</v>
      </c>
      <c r="C18" s="163">
        <v>23.166666666666668</v>
      </c>
      <c r="D18" s="103">
        <v>256356374.66666666</v>
      </c>
      <c r="E18" s="103">
        <v>88393.447016066217</v>
      </c>
      <c r="F18" s="153">
        <v>17483</v>
      </c>
      <c r="G18" s="163">
        <v>2913.8333333333335</v>
      </c>
    </row>
    <row r="19" spans="1:7" x14ac:dyDescent="0.25">
      <c r="A19" s="17" t="s">
        <v>502</v>
      </c>
      <c r="B19" s="153">
        <v>6</v>
      </c>
      <c r="C19" s="163">
        <v>29.166666666666668</v>
      </c>
      <c r="D19" s="103">
        <v>261146936.33333334</v>
      </c>
      <c r="E19" s="103">
        <v>70512.98912934195</v>
      </c>
      <c r="F19" s="153">
        <v>22274</v>
      </c>
      <c r="G19" s="163">
        <v>3712.3333333333335</v>
      </c>
    </row>
    <row r="20" spans="1:7" x14ac:dyDescent="0.25">
      <c r="A20" s="17" t="s">
        <v>2791</v>
      </c>
      <c r="B20" s="153">
        <v>5</v>
      </c>
      <c r="C20" s="163">
        <v>13.9</v>
      </c>
      <c r="D20" s="103">
        <v>181661965.80000001</v>
      </c>
      <c r="E20" s="103">
        <v>64913.391778497862</v>
      </c>
      <c r="F20" s="153">
        <v>14034</v>
      </c>
      <c r="G20" s="163">
        <v>2806.8</v>
      </c>
    </row>
    <row r="21" spans="1:7" x14ac:dyDescent="0.25">
      <c r="A21" s="17" t="s">
        <v>172</v>
      </c>
      <c r="B21" s="153">
        <v>5</v>
      </c>
      <c r="C21" s="163">
        <v>26.45</v>
      </c>
      <c r="D21" s="103">
        <v>266945625</v>
      </c>
      <c r="E21" s="103">
        <v>70357.016607696103</v>
      </c>
      <c r="F21" s="153">
        <v>19038</v>
      </c>
      <c r="G21" s="163">
        <v>3807.6</v>
      </c>
    </row>
    <row r="22" spans="1:7" x14ac:dyDescent="0.25">
      <c r="A22" s="17" t="s">
        <v>1847</v>
      </c>
      <c r="B22" s="153">
        <v>5</v>
      </c>
      <c r="C22" s="163">
        <v>29.15</v>
      </c>
      <c r="D22" s="103">
        <v>266239233.19999999</v>
      </c>
      <c r="E22" s="103">
        <v>86810.440338073589</v>
      </c>
      <c r="F22" s="153">
        <v>15598</v>
      </c>
      <c r="G22" s="163">
        <v>3119.6</v>
      </c>
    </row>
    <row r="23" spans="1:7" x14ac:dyDescent="0.25">
      <c r="A23" s="17" t="s">
        <v>514</v>
      </c>
      <c r="B23" s="153">
        <v>5</v>
      </c>
      <c r="C23" s="163">
        <v>23.65</v>
      </c>
      <c r="D23" s="103">
        <v>255489733</v>
      </c>
      <c r="E23" s="103">
        <v>90410.168709789083</v>
      </c>
      <c r="F23" s="153">
        <v>14150</v>
      </c>
      <c r="G23" s="163">
        <v>2830</v>
      </c>
    </row>
    <row r="24" spans="1:7" x14ac:dyDescent="0.25">
      <c r="A24" s="17" t="s">
        <v>1289</v>
      </c>
      <c r="B24" s="153">
        <v>5</v>
      </c>
      <c r="C24" s="163">
        <v>26.7</v>
      </c>
      <c r="D24" s="103">
        <v>231422751.80000001</v>
      </c>
      <c r="E24" s="103">
        <v>62629.997530922075</v>
      </c>
      <c r="F24" s="153">
        <v>18577</v>
      </c>
      <c r="G24" s="163">
        <v>3715.4</v>
      </c>
    </row>
    <row r="25" spans="1:7" x14ac:dyDescent="0.25">
      <c r="A25" s="17" t="s">
        <v>1124</v>
      </c>
      <c r="B25" s="153">
        <v>4</v>
      </c>
      <c r="C25" s="163">
        <v>24.8125</v>
      </c>
      <c r="D25" s="103">
        <v>249714427.25</v>
      </c>
      <c r="E25" s="103">
        <v>60136.676568891955</v>
      </c>
      <c r="F25" s="153">
        <v>16645</v>
      </c>
      <c r="G25" s="163">
        <v>4161.25</v>
      </c>
    </row>
    <row r="26" spans="1:7" x14ac:dyDescent="0.25">
      <c r="A26" s="17" t="s">
        <v>881</v>
      </c>
      <c r="B26" s="153">
        <v>4</v>
      </c>
      <c r="C26" s="163">
        <v>22.375</v>
      </c>
      <c r="D26" s="103">
        <v>207752437.5</v>
      </c>
      <c r="E26" s="103">
        <v>61240.327886054176</v>
      </c>
      <c r="F26" s="153">
        <v>13584</v>
      </c>
      <c r="G26" s="163">
        <v>3396</v>
      </c>
    </row>
    <row r="27" spans="1:7" x14ac:dyDescent="0.25">
      <c r="A27" s="17" t="s">
        <v>4045</v>
      </c>
      <c r="B27" s="153">
        <v>4</v>
      </c>
      <c r="C27" s="163">
        <v>11.9375</v>
      </c>
      <c r="D27" s="103">
        <v>182318615.25</v>
      </c>
      <c r="E27" s="103">
        <v>55918.796808578147</v>
      </c>
      <c r="F27" s="153">
        <v>13160</v>
      </c>
      <c r="G27" s="163">
        <v>3290</v>
      </c>
    </row>
    <row r="28" spans="1:7" x14ac:dyDescent="0.25">
      <c r="A28" s="17" t="s">
        <v>597</v>
      </c>
      <c r="B28" s="153">
        <v>4</v>
      </c>
      <c r="C28" s="163">
        <v>24.4375</v>
      </c>
      <c r="D28" s="103">
        <v>240482454</v>
      </c>
      <c r="E28" s="103">
        <v>94705.482363531875</v>
      </c>
      <c r="F28" s="153">
        <v>10233</v>
      </c>
      <c r="G28" s="163">
        <v>2558.25</v>
      </c>
    </row>
    <row r="29" spans="1:7" x14ac:dyDescent="0.25">
      <c r="A29" s="17" t="s">
        <v>774</v>
      </c>
      <c r="B29" s="153">
        <v>4</v>
      </c>
      <c r="C29" s="163">
        <v>31.375</v>
      </c>
      <c r="D29" s="103">
        <v>281483420</v>
      </c>
      <c r="E29" s="103">
        <v>99282.173732335403</v>
      </c>
      <c r="F29" s="153">
        <v>11657</v>
      </c>
      <c r="G29" s="163">
        <v>2914.25</v>
      </c>
    </row>
    <row r="30" spans="1:7" x14ac:dyDescent="0.25">
      <c r="A30" s="17" t="s">
        <v>2059</v>
      </c>
      <c r="B30" s="153">
        <v>4</v>
      </c>
      <c r="C30" s="163">
        <v>17.0625</v>
      </c>
      <c r="D30" s="103">
        <v>214527841.66666666</v>
      </c>
      <c r="E30" s="103">
        <v>36851.796098925275</v>
      </c>
      <c r="F30" s="153">
        <v>13101</v>
      </c>
      <c r="G30" s="163">
        <v>4367</v>
      </c>
    </row>
    <row r="31" spans="1:7" x14ac:dyDescent="0.25">
      <c r="A31" s="17" t="s">
        <v>971</v>
      </c>
      <c r="B31" s="153">
        <v>3</v>
      </c>
      <c r="C31" s="163">
        <v>21.75</v>
      </c>
      <c r="D31" s="103">
        <v>228962313.66666666</v>
      </c>
      <c r="E31" s="103">
        <v>70269.018539927012</v>
      </c>
      <c r="F31" s="153">
        <v>9777</v>
      </c>
      <c r="G31" s="163">
        <v>3259</v>
      </c>
    </row>
    <row r="32" spans="1:7" x14ac:dyDescent="0.25">
      <c r="A32" s="17" t="s">
        <v>1420</v>
      </c>
      <c r="B32" s="153">
        <v>3</v>
      </c>
      <c r="C32" s="163">
        <v>25.583333333333332</v>
      </c>
      <c r="D32" s="103">
        <v>246042329</v>
      </c>
      <c r="E32" s="103">
        <v>72444.666671703686</v>
      </c>
      <c r="F32" s="153">
        <v>10245</v>
      </c>
      <c r="G32" s="163">
        <v>3415</v>
      </c>
    </row>
    <row r="33" spans="1:7" x14ac:dyDescent="0.25">
      <c r="A33" s="17" t="s">
        <v>758</v>
      </c>
      <c r="B33" s="153">
        <v>3</v>
      </c>
      <c r="C33" s="163">
        <v>25.583333333333332</v>
      </c>
      <c r="D33" s="103">
        <v>246141446</v>
      </c>
      <c r="E33" s="103">
        <v>78773.600822532157</v>
      </c>
      <c r="F33" s="153">
        <v>9403</v>
      </c>
      <c r="G33" s="163">
        <v>3134.3333333333335</v>
      </c>
    </row>
    <row r="34" spans="1:7" x14ac:dyDescent="0.25">
      <c r="A34" s="17" t="s">
        <v>1513</v>
      </c>
      <c r="B34" s="153">
        <v>3</v>
      </c>
      <c r="C34" s="163">
        <v>25.416666666666668</v>
      </c>
      <c r="D34" s="103">
        <v>224666454.33333334</v>
      </c>
      <c r="E34" s="103">
        <v>49226.684240255832</v>
      </c>
      <c r="F34" s="153">
        <v>13693</v>
      </c>
      <c r="G34" s="163">
        <v>4564.333333333333</v>
      </c>
    </row>
    <row r="35" spans="1:7" x14ac:dyDescent="0.25">
      <c r="A35" s="17" t="s">
        <v>608</v>
      </c>
      <c r="B35" s="153">
        <v>3</v>
      </c>
      <c r="C35" s="163">
        <v>18.416666666666668</v>
      </c>
      <c r="D35" s="103">
        <v>212947641.33333334</v>
      </c>
      <c r="E35" s="103">
        <v>59185.147966719087</v>
      </c>
      <c r="F35" s="153">
        <v>10803</v>
      </c>
      <c r="G35" s="163">
        <v>3601</v>
      </c>
    </row>
    <row r="36" spans="1:7" x14ac:dyDescent="0.25">
      <c r="A36" s="17" t="s">
        <v>926</v>
      </c>
      <c r="B36" s="153">
        <v>3</v>
      </c>
      <c r="C36" s="163">
        <v>17.916666666666668</v>
      </c>
      <c r="D36" s="103">
        <v>222769385</v>
      </c>
      <c r="E36" s="103">
        <v>57230.175630708865</v>
      </c>
      <c r="F36" s="153">
        <v>11688</v>
      </c>
      <c r="G36" s="163">
        <v>3896</v>
      </c>
    </row>
    <row r="37" spans="1:7" x14ac:dyDescent="0.25">
      <c r="A37" s="17" t="s">
        <v>683</v>
      </c>
      <c r="B37" s="153">
        <v>3</v>
      </c>
      <c r="C37" s="163">
        <v>16</v>
      </c>
      <c r="D37" s="103">
        <v>197311228.33333334</v>
      </c>
      <c r="E37" s="103">
        <v>71802.16472989395</v>
      </c>
      <c r="F37" s="153">
        <v>8269</v>
      </c>
      <c r="G37" s="163">
        <v>2756.3333333333335</v>
      </c>
    </row>
    <row r="38" spans="1:7" x14ac:dyDescent="0.25">
      <c r="A38" s="17" t="s">
        <v>511</v>
      </c>
      <c r="B38" s="153">
        <v>3</v>
      </c>
      <c r="C38" s="163">
        <v>17.833333333333332</v>
      </c>
      <c r="D38" s="103">
        <v>191921412.33333334</v>
      </c>
      <c r="E38" s="103">
        <v>55365.532784153627</v>
      </c>
      <c r="F38" s="153">
        <v>10428</v>
      </c>
      <c r="G38" s="163">
        <v>3476</v>
      </c>
    </row>
    <row r="39" spans="1:7" x14ac:dyDescent="0.25">
      <c r="A39" s="17" t="s">
        <v>733</v>
      </c>
      <c r="B39" s="153">
        <v>3</v>
      </c>
      <c r="C39" s="163">
        <v>19.166666666666668</v>
      </c>
      <c r="D39" s="103">
        <v>222501416.66666666</v>
      </c>
      <c r="E39" s="103">
        <v>79721.035902073127</v>
      </c>
      <c r="F39" s="153">
        <v>8396</v>
      </c>
      <c r="G39" s="163">
        <v>2798.6666666666665</v>
      </c>
    </row>
    <row r="40" spans="1:7" x14ac:dyDescent="0.25">
      <c r="A40" s="17" t="s">
        <v>605</v>
      </c>
      <c r="B40" s="153">
        <v>3</v>
      </c>
      <c r="C40" s="163">
        <v>25.75</v>
      </c>
      <c r="D40" s="103">
        <v>255922069.66666666</v>
      </c>
      <c r="E40" s="103">
        <v>80483.171826907797</v>
      </c>
      <c r="F40" s="153">
        <v>9572</v>
      </c>
      <c r="G40" s="163">
        <v>3190.6666666666665</v>
      </c>
    </row>
    <row r="41" spans="1:7" x14ac:dyDescent="0.25">
      <c r="A41" s="17" t="s">
        <v>530</v>
      </c>
      <c r="B41" s="153">
        <v>3</v>
      </c>
      <c r="C41" s="163">
        <v>11.583333333333334</v>
      </c>
      <c r="D41" s="103"/>
      <c r="E41" s="103">
        <v>0</v>
      </c>
      <c r="F41" s="153"/>
      <c r="G41" s="163"/>
    </row>
    <row r="42" spans="1:7" x14ac:dyDescent="0.25">
      <c r="A42" s="17" t="s">
        <v>585</v>
      </c>
      <c r="B42" s="153">
        <v>3</v>
      </c>
      <c r="C42" s="163">
        <v>25.833333333333332</v>
      </c>
      <c r="D42" s="103">
        <v>251174159.33333334</v>
      </c>
      <c r="E42" s="103">
        <v>88627.328150866277</v>
      </c>
      <c r="F42" s="153">
        <v>8560</v>
      </c>
      <c r="G42" s="163">
        <v>2853.3333333333335</v>
      </c>
    </row>
    <row r="43" spans="1:7" x14ac:dyDescent="0.25">
      <c r="A43" s="17" t="s">
        <v>1516</v>
      </c>
      <c r="B43" s="153">
        <v>3</v>
      </c>
      <c r="C43" s="163">
        <v>22.333333333333332</v>
      </c>
      <c r="D43" s="103">
        <v>216543550.33333334</v>
      </c>
      <c r="E43" s="103">
        <v>58200.549144155055</v>
      </c>
      <c r="F43" s="153">
        <v>11173</v>
      </c>
      <c r="G43" s="163">
        <v>3724.3333333333335</v>
      </c>
    </row>
    <row r="44" spans="1:7" x14ac:dyDescent="0.25">
      <c r="A44" s="17" t="s">
        <v>1189</v>
      </c>
      <c r="B44" s="153">
        <v>3</v>
      </c>
      <c r="C44" s="163">
        <v>22.75</v>
      </c>
      <c r="D44" s="103">
        <v>223218039.33333334</v>
      </c>
      <c r="E44" s="103">
        <v>58394.102705711361</v>
      </c>
      <c r="F44" s="153">
        <v>11569</v>
      </c>
      <c r="G44" s="163">
        <v>3856.3333333333335</v>
      </c>
    </row>
    <row r="45" spans="1:7" x14ac:dyDescent="0.25">
      <c r="A45" s="17" t="s">
        <v>2527</v>
      </c>
      <c r="B45" s="153">
        <v>2</v>
      </c>
      <c r="C45" s="163">
        <v>23.875</v>
      </c>
      <c r="D45" s="103">
        <v>237383351</v>
      </c>
      <c r="E45" s="103">
        <v>51925.071593321751</v>
      </c>
      <c r="F45" s="153">
        <v>9189</v>
      </c>
      <c r="G45" s="163">
        <v>4594.5</v>
      </c>
    </row>
    <row r="46" spans="1:7" x14ac:dyDescent="0.25">
      <c r="A46" s="17" t="s">
        <v>1270</v>
      </c>
      <c r="B46" s="153">
        <v>2</v>
      </c>
      <c r="C46" s="163">
        <v>28</v>
      </c>
      <c r="D46" s="103">
        <v>238596204.5</v>
      </c>
      <c r="E46" s="103">
        <v>81112.73648607092</v>
      </c>
      <c r="F46" s="153">
        <v>5950</v>
      </c>
      <c r="G46" s="163">
        <v>2975</v>
      </c>
    </row>
    <row r="47" spans="1:7" x14ac:dyDescent="0.25">
      <c r="A47" s="17" t="s">
        <v>1654</v>
      </c>
      <c r="B47" s="153">
        <v>2</v>
      </c>
      <c r="C47" s="163">
        <v>26.25</v>
      </c>
      <c r="D47" s="103">
        <v>246220180.5</v>
      </c>
      <c r="E47" s="103">
        <v>64793.960037484117</v>
      </c>
      <c r="F47" s="153">
        <v>7607</v>
      </c>
      <c r="G47" s="163">
        <v>3803.5</v>
      </c>
    </row>
    <row r="48" spans="1:7" x14ac:dyDescent="0.25">
      <c r="A48" s="17" t="s">
        <v>4549</v>
      </c>
      <c r="B48" s="153">
        <v>2</v>
      </c>
      <c r="C48" s="163">
        <v>22.375</v>
      </c>
      <c r="D48" s="103">
        <v>225380397.5</v>
      </c>
      <c r="E48" s="103">
        <v>79792.345323901711</v>
      </c>
      <c r="F48" s="153">
        <v>5661</v>
      </c>
      <c r="G48" s="163">
        <v>2830.5</v>
      </c>
    </row>
    <row r="49" spans="1:7" x14ac:dyDescent="0.25">
      <c r="A49" s="17" t="s">
        <v>505</v>
      </c>
      <c r="B49" s="153">
        <v>2</v>
      </c>
      <c r="C49" s="163">
        <v>8.375</v>
      </c>
      <c r="D49" s="103">
        <v>165077090</v>
      </c>
      <c r="E49" s="103">
        <v>57503.999966745236</v>
      </c>
      <c r="F49" s="153">
        <v>5775</v>
      </c>
      <c r="G49" s="163">
        <v>2887.5</v>
      </c>
    </row>
    <row r="50" spans="1:7" x14ac:dyDescent="0.25">
      <c r="A50" s="17" t="s">
        <v>2324</v>
      </c>
      <c r="B50" s="153">
        <v>2</v>
      </c>
      <c r="C50" s="163">
        <v>12.375</v>
      </c>
      <c r="D50" s="103">
        <v>173763702</v>
      </c>
      <c r="E50" s="103">
        <v>76670.780199891393</v>
      </c>
      <c r="F50" s="153">
        <v>4534</v>
      </c>
      <c r="G50" s="163">
        <v>2267</v>
      </c>
    </row>
    <row r="51" spans="1:7" x14ac:dyDescent="0.25">
      <c r="A51" s="17" t="s">
        <v>1674</v>
      </c>
      <c r="B51" s="153">
        <v>2</v>
      </c>
      <c r="C51" s="163">
        <v>23.25</v>
      </c>
      <c r="D51" s="103">
        <v>254751425</v>
      </c>
      <c r="E51" s="103">
        <v>96936.18651109084</v>
      </c>
      <c r="F51" s="153">
        <v>5258</v>
      </c>
      <c r="G51" s="163">
        <v>2629</v>
      </c>
    </row>
    <row r="52" spans="1:7" x14ac:dyDescent="0.25">
      <c r="A52" s="17" t="s">
        <v>730</v>
      </c>
      <c r="B52" s="153">
        <v>2</v>
      </c>
      <c r="C52" s="163">
        <v>28.25</v>
      </c>
      <c r="D52" s="103">
        <v>269904463.5</v>
      </c>
      <c r="E52" s="103">
        <v>78209.899508408445</v>
      </c>
      <c r="F52" s="153">
        <v>6911</v>
      </c>
      <c r="G52" s="163">
        <v>3455.5</v>
      </c>
    </row>
    <row r="53" spans="1:7" x14ac:dyDescent="0.25">
      <c r="A53" s="17" t="s">
        <v>662</v>
      </c>
      <c r="B53" s="153">
        <v>2</v>
      </c>
      <c r="C53" s="163">
        <v>24.5</v>
      </c>
      <c r="D53" s="103">
        <v>237775002</v>
      </c>
      <c r="E53" s="103">
        <v>41994.878488166723</v>
      </c>
      <c r="F53" s="153">
        <v>2831</v>
      </c>
      <c r="G53" s="163">
        <v>2831</v>
      </c>
    </row>
    <row r="54" spans="1:7" x14ac:dyDescent="0.25">
      <c r="A54" s="17" t="s">
        <v>860</v>
      </c>
      <c r="B54" s="153">
        <v>2</v>
      </c>
      <c r="C54" s="163">
        <v>11.875</v>
      </c>
      <c r="D54" s="103">
        <v>192086677.5</v>
      </c>
      <c r="E54" s="103">
        <v>54756.592853407754</v>
      </c>
      <c r="F54" s="153">
        <v>7049</v>
      </c>
      <c r="G54" s="163">
        <v>3524.5</v>
      </c>
    </row>
    <row r="55" spans="1:7" x14ac:dyDescent="0.25">
      <c r="A55" s="17" t="s">
        <v>1456</v>
      </c>
      <c r="B55" s="153">
        <v>2</v>
      </c>
      <c r="C55" s="163">
        <v>29</v>
      </c>
      <c r="D55" s="103">
        <v>253840277</v>
      </c>
      <c r="E55" s="103">
        <v>82181.196355202992</v>
      </c>
      <c r="F55" s="153">
        <v>6209</v>
      </c>
      <c r="G55" s="163">
        <v>3104.5</v>
      </c>
    </row>
    <row r="56" spans="1:7" x14ac:dyDescent="0.25">
      <c r="A56" s="17" t="s">
        <v>3213</v>
      </c>
      <c r="B56" s="153">
        <v>1</v>
      </c>
      <c r="C56" s="163">
        <v>25.25</v>
      </c>
      <c r="D56" s="103">
        <v>225937105</v>
      </c>
      <c r="E56" s="103">
        <v>57126.954487989889</v>
      </c>
      <c r="F56" s="153">
        <v>3955</v>
      </c>
      <c r="G56" s="163">
        <v>3955</v>
      </c>
    </row>
    <row r="57" spans="1:7" x14ac:dyDescent="0.25">
      <c r="A57" s="17" t="s">
        <v>2356</v>
      </c>
      <c r="B57" s="153">
        <v>1</v>
      </c>
      <c r="C57" s="163">
        <v>31.75</v>
      </c>
      <c r="D57" s="103">
        <v>266286640</v>
      </c>
      <c r="E57" s="103">
        <v>77589.347319347318</v>
      </c>
      <c r="F57" s="153">
        <v>3432</v>
      </c>
      <c r="G57" s="163">
        <v>3432</v>
      </c>
    </row>
    <row r="58" spans="1:7" x14ac:dyDescent="0.25">
      <c r="A58" s="17" t="s">
        <v>611</v>
      </c>
      <c r="B58" s="153">
        <v>1</v>
      </c>
      <c r="C58" s="163">
        <v>14</v>
      </c>
      <c r="D58" s="103">
        <v>192601517</v>
      </c>
      <c r="E58" s="103">
        <v>45543.040198628514</v>
      </c>
      <c r="F58" s="153">
        <v>4229</v>
      </c>
      <c r="G58" s="163">
        <v>4229</v>
      </c>
    </row>
    <row r="59" spans="1:7" x14ac:dyDescent="0.25">
      <c r="A59" s="17" t="s">
        <v>886</v>
      </c>
      <c r="B59" s="153">
        <v>1</v>
      </c>
      <c r="C59" s="163">
        <v>13.5</v>
      </c>
      <c r="D59" s="103">
        <v>182152024</v>
      </c>
      <c r="E59" s="103">
        <v>56498.766749379654</v>
      </c>
      <c r="F59" s="153">
        <v>3224</v>
      </c>
      <c r="G59" s="163">
        <v>3224</v>
      </c>
    </row>
    <row r="60" spans="1:7" x14ac:dyDescent="0.25">
      <c r="A60" s="17" t="s">
        <v>4889</v>
      </c>
      <c r="B60" s="153">
        <v>1</v>
      </c>
      <c r="C60" s="163">
        <v>23.5</v>
      </c>
      <c r="D60" s="103">
        <v>230952777</v>
      </c>
      <c r="E60" s="103">
        <v>102418.08292682927</v>
      </c>
      <c r="F60" s="153">
        <v>2255</v>
      </c>
      <c r="G60" s="163">
        <v>2255</v>
      </c>
    </row>
    <row r="61" spans="1:7" x14ac:dyDescent="0.25">
      <c r="A61" s="17" t="s">
        <v>3915</v>
      </c>
      <c r="B61" s="153">
        <v>1</v>
      </c>
      <c r="C61" s="163">
        <v>24.5</v>
      </c>
      <c r="D61" s="103">
        <v>263708787</v>
      </c>
      <c r="E61" s="103">
        <v>80154.646504559278</v>
      </c>
      <c r="F61" s="153">
        <v>3290</v>
      </c>
      <c r="G61" s="163">
        <v>3290</v>
      </c>
    </row>
    <row r="62" spans="1:7" x14ac:dyDescent="0.25">
      <c r="A62" s="17" t="s">
        <v>3706</v>
      </c>
      <c r="B62" s="153">
        <v>1</v>
      </c>
      <c r="C62" s="163">
        <v>30.5</v>
      </c>
      <c r="D62" s="103">
        <v>249551015</v>
      </c>
      <c r="E62" s="103">
        <v>81873.692585301833</v>
      </c>
      <c r="F62" s="153">
        <v>3048</v>
      </c>
      <c r="G62" s="163">
        <v>3048</v>
      </c>
    </row>
    <row r="63" spans="1:7" x14ac:dyDescent="0.25">
      <c r="A63" s="17" t="s">
        <v>3204</v>
      </c>
      <c r="B63" s="153">
        <v>1</v>
      </c>
      <c r="C63" s="163">
        <v>23.75</v>
      </c>
      <c r="D63" s="103">
        <v>274521919</v>
      </c>
      <c r="E63" s="103">
        <v>85467.596201743465</v>
      </c>
      <c r="F63" s="153">
        <v>3212</v>
      </c>
      <c r="G63" s="163">
        <v>3212</v>
      </c>
    </row>
    <row r="64" spans="1:7" x14ac:dyDescent="0.25">
      <c r="A64" s="17" t="s">
        <v>3180</v>
      </c>
      <c r="B64" s="153">
        <v>1</v>
      </c>
      <c r="C64" s="163">
        <v>23.5</v>
      </c>
      <c r="D64" s="103">
        <v>258026155</v>
      </c>
      <c r="E64" s="103">
        <v>89810.704838148275</v>
      </c>
      <c r="F64" s="153">
        <v>2873</v>
      </c>
      <c r="G64" s="163">
        <v>2873</v>
      </c>
    </row>
    <row r="65" spans="1:7" x14ac:dyDescent="0.25">
      <c r="A65" s="17" t="s">
        <v>499</v>
      </c>
      <c r="B65" s="153">
        <v>1</v>
      </c>
      <c r="C65" s="163">
        <v>14.5</v>
      </c>
      <c r="D65" s="103">
        <v>187340959</v>
      </c>
      <c r="E65" s="103">
        <v>47913.288746803068</v>
      </c>
      <c r="F65" s="153">
        <v>3910</v>
      </c>
      <c r="G65" s="163">
        <v>3910</v>
      </c>
    </row>
    <row r="66" spans="1:7" x14ac:dyDescent="0.25">
      <c r="A66" s="17" t="s">
        <v>4427</v>
      </c>
      <c r="B66" s="153">
        <v>1</v>
      </c>
      <c r="C66" s="163">
        <v>16.5</v>
      </c>
      <c r="D66" s="103"/>
      <c r="E66" s="103">
        <v>0</v>
      </c>
      <c r="F66" s="153"/>
      <c r="G66" s="163"/>
    </row>
    <row r="67" spans="1:7" x14ac:dyDescent="0.25">
      <c r="A67" s="17" t="s">
        <v>588</v>
      </c>
      <c r="B67" s="153">
        <v>1</v>
      </c>
      <c r="C67" s="163">
        <v>30.75</v>
      </c>
      <c r="D67" s="103"/>
      <c r="E67" s="103">
        <v>0</v>
      </c>
      <c r="F67" s="153"/>
      <c r="G67" s="163"/>
    </row>
    <row r="68" spans="1:7" x14ac:dyDescent="0.25">
      <c r="A68" s="17" t="s">
        <v>5096</v>
      </c>
      <c r="B68" s="153">
        <v>1</v>
      </c>
      <c r="C68" s="163">
        <v>25.25</v>
      </c>
      <c r="D68" s="103">
        <v>241602783</v>
      </c>
      <c r="E68" s="103">
        <v>73502.5199269851</v>
      </c>
      <c r="F68" s="153">
        <v>3287</v>
      </c>
      <c r="G68" s="163">
        <v>3287</v>
      </c>
    </row>
    <row r="69" spans="1:7" x14ac:dyDescent="0.25">
      <c r="A69" s="17" t="s">
        <v>2441</v>
      </c>
      <c r="B69" s="153">
        <v>1</v>
      </c>
      <c r="C69" s="163">
        <v>24.5</v>
      </c>
      <c r="D69" s="103">
        <v>255323927</v>
      </c>
      <c r="E69" s="103">
        <v>73899.834153400865</v>
      </c>
      <c r="F69" s="153">
        <v>3455</v>
      </c>
      <c r="G69" s="163">
        <v>3455</v>
      </c>
    </row>
    <row r="70" spans="1:7" x14ac:dyDescent="0.25">
      <c r="A70" s="17" t="s">
        <v>5428</v>
      </c>
      <c r="B70" s="153">
        <v>1</v>
      </c>
      <c r="C70" s="163">
        <v>28.25</v>
      </c>
      <c r="D70" s="103">
        <v>264431112</v>
      </c>
      <c r="E70" s="103">
        <v>83285.389606299213</v>
      </c>
      <c r="F70" s="153">
        <v>3175</v>
      </c>
      <c r="G70" s="163">
        <v>3175</v>
      </c>
    </row>
    <row r="71" spans="1:7" x14ac:dyDescent="0.25">
      <c r="A71" s="17" t="s">
        <v>4546</v>
      </c>
      <c r="B71" s="153">
        <v>1</v>
      </c>
      <c r="C71" s="163">
        <v>17.5</v>
      </c>
      <c r="D71" s="103"/>
      <c r="E71" s="103">
        <v>0</v>
      </c>
      <c r="F71" s="153"/>
      <c r="G71" s="163"/>
    </row>
    <row r="72" spans="1:7" x14ac:dyDescent="0.25">
      <c r="A72" s="17" t="s">
        <v>2293</v>
      </c>
      <c r="B72" s="153">
        <v>1</v>
      </c>
      <c r="C72" s="163">
        <v>12</v>
      </c>
      <c r="D72" s="103"/>
      <c r="E72" s="103">
        <v>0</v>
      </c>
      <c r="F72" s="153"/>
      <c r="G72" s="163"/>
    </row>
    <row r="73" spans="1:7" x14ac:dyDescent="0.25">
      <c r="A73" s="17" t="s">
        <v>1625</v>
      </c>
      <c r="B73" s="153">
        <v>1</v>
      </c>
      <c r="C73" s="163">
        <v>18.25</v>
      </c>
      <c r="D73" s="103">
        <v>196327593</v>
      </c>
      <c r="E73" s="103">
        <v>66282.104321404462</v>
      </c>
      <c r="F73" s="153">
        <v>2962</v>
      </c>
      <c r="G73" s="163">
        <v>2962</v>
      </c>
    </row>
    <row r="74" spans="1:7" x14ac:dyDescent="0.25">
      <c r="A74" s="17" t="s">
        <v>2851</v>
      </c>
      <c r="B74" s="153">
        <v>1</v>
      </c>
      <c r="C74" s="163">
        <v>26.5</v>
      </c>
      <c r="D74" s="103"/>
      <c r="E74" s="103">
        <v>0</v>
      </c>
      <c r="F74" s="153"/>
      <c r="G74" s="163"/>
    </row>
    <row r="75" spans="1:7" x14ac:dyDescent="0.25">
      <c r="A75" s="17" t="s">
        <v>725</v>
      </c>
      <c r="B75" s="153">
        <v>1</v>
      </c>
      <c r="C75" s="163">
        <v>19.5</v>
      </c>
      <c r="D75" s="103"/>
      <c r="E75" s="103">
        <v>0</v>
      </c>
      <c r="F75" s="153"/>
      <c r="G75" s="163"/>
    </row>
    <row r="76" spans="1:7" x14ac:dyDescent="0.25">
      <c r="A76" s="17" t="s">
        <v>567</v>
      </c>
      <c r="B76" s="153">
        <v>1</v>
      </c>
      <c r="C76" s="163">
        <v>31.75</v>
      </c>
      <c r="D76" s="103"/>
      <c r="E76" s="103">
        <v>0</v>
      </c>
      <c r="F76" s="153"/>
      <c r="G76" s="163"/>
    </row>
    <row r="77" spans="1:7" x14ac:dyDescent="0.25">
      <c r="A77" s="17" t="s">
        <v>5476</v>
      </c>
      <c r="B77" s="153">
        <v>1</v>
      </c>
      <c r="C77" s="163">
        <v>14.25</v>
      </c>
      <c r="D77" s="103"/>
      <c r="E77" s="103">
        <v>0</v>
      </c>
      <c r="F77" s="153"/>
      <c r="G77" s="163"/>
    </row>
    <row r="78" spans="1:7" x14ac:dyDescent="0.25">
      <c r="A78" s="17" t="s">
        <v>807</v>
      </c>
      <c r="B78" s="153">
        <v>1</v>
      </c>
      <c r="C78" s="163">
        <v>27.25</v>
      </c>
      <c r="D78" s="103">
        <v>269179415</v>
      </c>
      <c r="E78" s="103">
        <v>86164.985595390521</v>
      </c>
      <c r="F78" s="153">
        <v>3124</v>
      </c>
      <c r="G78" s="163">
        <v>3124</v>
      </c>
    </row>
    <row r="79" spans="1:7" x14ac:dyDescent="0.25">
      <c r="A79" s="17" t="s">
        <v>2729</v>
      </c>
      <c r="B79" s="153">
        <v>1</v>
      </c>
      <c r="C79" s="163">
        <v>24.75</v>
      </c>
      <c r="D79" s="103">
        <v>252472471</v>
      </c>
      <c r="E79" s="103">
        <v>73757.660239555946</v>
      </c>
      <c r="F79" s="153">
        <v>3423</v>
      </c>
      <c r="G79" s="163">
        <v>3423</v>
      </c>
    </row>
    <row r="80" spans="1:7" x14ac:dyDescent="0.25">
      <c r="A80" s="17" t="s">
        <v>2612</v>
      </c>
      <c r="B80" s="153">
        <v>1</v>
      </c>
      <c r="C80" s="163">
        <v>20.75</v>
      </c>
      <c r="D80" s="103">
        <v>203664834</v>
      </c>
      <c r="E80" s="103">
        <v>52261.953810623556</v>
      </c>
      <c r="F80" s="153">
        <v>3897</v>
      </c>
      <c r="G80" s="163">
        <v>3897</v>
      </c>
    </row>
    <row r="81" spans="1:7" x14ac:dyDescent="0.25">
      <c r="A81" s="17" t="s">
        <v>2623</v>
      </c>
      <c r="B81" s="153">
        <v>1</v>
      </c>
      <c r="C81" s="163">
        <v>30.25</v>
      </c>
      <c r="D81" s="103"/>
      <c r="E81" s="103">
        <v>0</v>
      </c>
      <c r="F81" s="153"/>
      <c r="G81" s="163"/>
    </row>
    <row r="82" spans="1:7" x14ac:dyDescent="0.25">
      <c r="A82" s="17" t="s">
        <v>2547</v>
      </c>
      <c r="B82" s="153">
        <v>1</v>
      </c>
      <c r="C82" s="163">
        <v>14.75</v>
      </c>
      <c r="D82" s="103">
        <v>195632901</v>
      </c>
      <c r="E82" s="103">
        <v>47692.077279375917</v>
      </c>
      <c r="F82" s="153">
        <v>4102</v>
      </c>
      <c r="G82" s="163">
        <v>4102</v>
      </c>
    </row>
    <row r="83" spans="1:7" x14ac:dyDescent="0.25">
      <c r="A83" s="17" t="s">
        <v>1216</v>
      </c>
      <c r="B83" s="153">
        <v>1</v>
      </c>
      <c r="C83" s="163">
        <v>25.5</v>
      </c>
      <c r="D83" s="103">
        <v>259955164</v>
      </c>
      <c r="E83" s="103">
        <v>79278.793534614219</v>
      </c>
      <c r="F83" s="153">
        <v>3279</v>
      </c>
      <c r="G83" s="163">
        <v>3279</v>
      </c>
    </row>
    <row r="84" spans="1:7" x14ac:dyDescent="0.25">
      <c r="A84" s="17" t="s">
        <v>5634</v>
      </c>
      <c r="B84" s="153">
        <v>1</v>
      </c>
      <c r="C84" s="163">
        <v>28.5</v>
      </c>
      <c r="D84" s="103">
        <v>277068800</v>
      </c>
      <c r="E84" s="103">
        <v>79823.912417170839</v>
      </c>
      <c r="F84" s="153">
        <v>3471</v>
      </c>
      <c r="G84" s="163">
        <v>3471</v>
      </c>
    </row>
    <row r="85" spans="1:7" x14ac:dyDescent="0.25">
      <c r="A85" s="17" t="s">
        <v>600</v>
      </c>
      <c r="B85" s="153">
        <v>1</v>
      </c>
      <c r="C85" s="163">
        <v>24.5</v>
      </c>
      <c r="D85" s="103">
        <v>218749342</v>
      </c>
      <c r="E85" s="103">
        <v>93964.493986254296</v>
      </c>
      <c r="F85" s="153">
        <v>2328</v>
      </c>
      <c r="G85" s="163">
        <v>2328</v>
      </c>
    </row>
    <row r="86" spans="1:7" x14ac:dyDescent="0.25">
      <c r="A86" s="17" t="s">
        <v>197</v>
      </c>
      <c r="B86" s="153">
        <v>1</v>
      </c>
      <c r="C86" s="163">
        <v>31.75</v>
      </c>
      <c r="D86" s="103">
        <v>279751923</v>
      </c>
      <c r="E86" s="103">
        <v>59031.847014138002</v>
      </c>
      <c r="F86" s="153">
        <v>4739</v>
      </c>
      <c r="G86" s="163">
        <v>4739</v>
      </c>
    </row>
    <row r="87" spans="1:7" x14ac:dyDescent="0.25">
      <c r="A87" s="17" t="s">
        <v>2764</v>
      </c>
      <c r="B87" s="153">
        <v>1</v>
      </c>
      <c r="C87" s="163">
        <v>31.75</v>
      </c>
      <c r="D87" s="103"/>
      <c r="E87" s="103">
        <v>0</v>
      </c>
      <c r="F87" s="153"/>
      <c r="G87" s="163"/>
    </row>
    <row r="88" spans="1:7" x14ac:dyDescent="0.25">
      <c r="A88" s="17" t="s">
        <v>1117</v>
      </c>
      <c r="B88" s="153">
        <v>1</v>
      </c>
      <c r="C88" s="163">
        <v>24.25</v>
      </c>
      <c r="D88" s="103">
        <v>234955007</v>
      </c>
      <c r="E88" s="103">
        <v>83554.41216216216</v>
      </c>
      <c r="F88" s="153">
        <v>2812</v>
      </c>
      <c r="G88" s="163">
        <v>2812</v>
      </c>
    </row>
    <row r="89" spans="1:7" x14ac:dyDescent="0.25">
      <c r="A89" s="17" t="s">
        <v>630</v>
      </c>
      <c r="B89" s="153">
        <v>1</v>
      </c>
      <c r="C89" s="163">
        <v>24.25</v>
      </c>
      <c r="D89" s="103">
        <v>235739165</v>
      </c>
      <c r="E89" s="103">
        <v>93251.251977848107</v>
      </c>
      <c r="F89" s="153">
        <v>2528</v>
      </c>
      <c r="G89" s="163">
        <v>2528</v>
      </c>
    </row>
    <row r="90" spans="1:7" x14ac:dyDescent="0.25">
      <c r="A90" s="17" t="s">
        <v>1377</v>
      </c>
      <c r="B90" s="153">
        <v>1</v>
      </c>
      <c r="C90" s="163">
        <v>29.25</v>
      </c>
      <c r="D90" s="103">
        <v>256726353</v>
      </c>
      <c r="E90" s="103">
        <v>74760.149388468257</v>
      </c>
      <c r="F90" s="153">
        <v>3434</v>
      </c>
      <c r="G90" s="163">
        <v>3434</v>
      </c>
    </row>
    <row r="91" spans="1:7" x14ac:dyDescent="0.25">
      <c r="A91" s="17" t="s">
        <v>761</v>
      </c>
      <c r="B91" s="153">
        <v>1</v>
      </c>
      <c r="C91" s="163">
        <v>16</v>
      </c>
      <c r="D91" s="103">
        <v>186975869</v>
      </c>
      <c r="E91" s="103">
        <v>47832.148631363518</v>
      </c>
      <c r="F91" s="153">
        <v>3909</v>
      </c>
      <c r="G91" s="163">
        <v>3909</v>
      </c>
    </row>
    <row r="92" spans="1:7" x14ac:dyDescent="0.25">
      <c r="A92" s="17" t="s">
        <v>876</v>
      </c>
      <c r="B92" s="153">
        <v>1</v>
      </c>
      <c r="C92" s="163">
        <v>25.25</v>
      </c>
      <c r="D92" s="103">
        <v>264473719</v>
      </c>
      <c r="E92" s="103">
        <v>84496.395846645362</v>
      </c>
      <c r="F92" s="153">
        <v>3130</v>
      </c>
      <c r="G92" s="163">
        <v>3130</v>
      </c>
    </row>
    <row r="93" spans="1:7" x14ac:dyDescent="0.25">
      <c r="A93" s="17" t="s">
        <v>1946</v>
      </c>
      <c r="B93" s="153">
        <v>1</v>
      </c>
      <c r="C93" s="163">
        <v>13.5</v>
      </c>
      <c r="D93" s="103">
        <v>201434351</v>
      </c>
      <c r="E93" s="103">
        <v>79902.558905196347</v>
      </c>
      <c r="F93" s="153">
        <v>2521</v>
      </c>
      <c r="G93" s="163">
        <v>2521</v>
      </c>
    </row>
    <row r="94" spans="1:7" x14ac:dyDescent="0.25">
      <c r="A94" s="17" t="s">
        <v>12976</v>
      </c>
      <c r="B94" s="153">
        <v>1</v>
      </c>
      <c r="C94" s="163">
        <v>24.75</v>
      </c>
      <c r="D94" s="103">
        <v>237126231</v>
      </c>
      <c r="E94" s="103">
        <v>83436.393736805068</v>
      </c>
      <c r="F94" s="153">
        <v>2842</v>
      </c>
      <c r="G94" s="163">
        <v>2842</v>
      </c>
    </row>
    <row r="95" spans="1:7" x14ac:dyDescent="0.25">
      <c r="A95" s="17" t="s">
        <v>5481</v>
      </c>
      <c r="B95" s="153">
        <v>1</v>
      </c>
      <c r="C95" s="163">
        <v>28</v>
      </c>
      <c r="D95" s="103">
        <v>266544250</v>
      </c>
      <c r="E95" s="103">
        <v>72195.083965330443</v>
      </c>
      <c r="F95" s="153">
        <v>3692</v>
      </c>
      <c r="G95" s="163">
        <v>3692</v>
      </c>
    </row>
    <row r="96" spans="1:7" x14ac:dyDescent="0.25">
      <c r="A96" s="17" t="s">
        <v>14072</v>
      </c>
      <c r="B96" s="153">
        <v>1</v>
      </c>
      <c r="C96" s="163">
        <v>31.5</v>
      </c>
      <c r="D96" s="103"/>
      <c r="E96" s="103">
        <v>0</v>
      </c>
      <c r="F96" s="153">
        <v>3521</v>
      </c>
      <c r="G96" s="163">
        <v>3521</v>
      </c>
    </row>
    <row r="97" spans="1:7" x14ac:dyDescent="0.25">
      <c r="A97" s="17" t="s">
        <v>5393</v>
      </c>
      <c r="B97" s="153">
        <v>1</v>
      </c>
      <c r="C97" s="163">
        <v>26</v>
      </c>
      <c r="D97" s="103">
        <v>252289148</v>
      </c>
      <c r="E97" s="103">
        <v>70255.958785853523</v>
      </c>
      <c r="F97" s="153">
        <v>3591</v>
      </c>
      <c r="G97" s="163">
        <v>3591</v>
      </c>
    </row>
    <row r="98" spans="1:7" x14ac:dyDescent="0.25">
      <c r="A98" s="17" t="s">
        <v>2104</v>
      </c>
      <c r="B98" s="153">
        <v>1</v>
      </c>
      <c r="C98" s="163">
        <v>18.25</v>
      </c>
      <c r="D98" s="103"/>
      <c r="E98" s="103">
        <v>0</v>
      </c>
      <c r="F98" s="153"/>
      <c r="G98" s="163"/>
    </row>
    <row r="99" spans="1:7" x14ac:dyDescent="0.25">
      <c r="A99" s="17" t="s">
        <v>14059</v>
      </c>
      <c r="B99" s="153">
        <v>283</v>
      </c>
      <c r="C99" s="163">
        <v>22.028268551236749</v>
      </c>
      <c r="D99" s="103">
        <v>235724488.61153847</v>
      </c>
      <c r="E99" s="103">
        <v>70443.610152113499</v>
      </c>
      <c r="F99" s="153">
        <v>827820</v>
      </c>
      <c r="G99" s="163">
        <v>3171.7241379310344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BFC64-F42E-47B7-84A4-5A5E8594DEA4}">
  <sheetPr>
    <tabColor theme="9" tint="-0.249977111117893"/>
  </sheetPr>
  <dimension ref="A1:P855"/>
  <sheetViews>
    <sheetView zoomScale="85" zoomScaleNormal="85" workbookViewId="0">
      <selection activeCell="M3" sqref="M3"/>
    </sheetView>
  </sheetViews>
  <sheetFormatPr defaultColWidth="9.28515625" defaultRowHeight="15" x14ac:dyDescent="0.25"/>
  <cols>
    <col min="1" max="2" width="9.28515625" style="54"/>
    <col min="3" max="3" width="12.85546875" style="54" bestFit="1" customWidth="1"/>
    <col min="4" max="4" width="9.28515625" style="54"/>
    <col min="5" max="5" width="31.5703125" style="54" bestFit="1" customWidth="1"/>
    <col min="6" max="6" width="9" style="249" customWidth="1"/>
    <col min="7" max="7" width="39.85546875" style="54" bestFit="1" customWidth="1"/>
    <col min="8" max="9" width="9.28515625" style="54"/>
    <col min="10" max="10" width="17.7109375" style="111" bestFit="1" customWidth="1"/>
    <col min="11" max="11" width="15.7109375" style="111" bestFit="1" customWidth="1"/>
    <col min="12" max="12" width="17.140625" style="54" bestFit="1" customWidth="1"/>
    <col min="13" max="16384" width="9.28515625" style="54"/>
  </cols>
  <sheetData>
    <row r="1" spans="1:16" s="249" customFormat="1" x14ac:dyDescent="0.25">
      <c r="A1" s="257"/>
      <c r="B1" s="257"/>
      <c r="C1" s="257"/>
      <c r="D1" s="257"/>
      <c r="E1" s="257"/>
      <c r="G1" s="258"/>
      <c r="H1" s="257"/>
      <c r="I1" s="259"/>
      <c r="J1" s="260"/>
      <c r="K1" s="261"/>
      <c r="L1" s="262"/>
    </row>
    <row r="2" spans="1:16" x14ac:dyDescent="0.25">
      <c r="A2" s="54" t="s">
        <v>467</v>
      </c>
      <c r="B2" s="54" t="s">
        <v>488</v>
      </c>
      <c r="C2" s="54" t="s">
        <v>465</v>
      </c>
      <c r="D2" s="107" t="s">
        <v>11661</v>
      </c>
      <c r="E2" s="107" t="s">
        <v>11659</v>
      </c>
      <c r="F2" s="257" t="s">
        <v>13114</v>
      </c>
      <c r="G2" s="107" t="s">
        <v>11660</v>
      </c>
      <c r="H2" s="107" t="s">
        <v>11663</v>
      </c>
      <c r="I2" s="107" t="s">
        <v>11662</v>
      </c>
      <c r="J2" s="112" t="s">
        <v>11120</v>
      </c>
      <c r="K2" s="113" t="s">
        <v>459</v>
      </c>
      <c r="L2" s="108" t="s">
        <v>458</v>
      </c>
      <c r="M2" s="139" t="s">
        <v>16795</v>
      </c>
      <c r="N2" s="139" t="s">
        <v>16796</v>
      </c>
      <c r="O2" s="139" t="s">
        <v>16797</v>
      </c>
      <c r="P2" s="139" t="s">
        <v>16798</v>
      </c>
    </row>
    <row r="3" spans="1:16" x14ac:dyDescent="0.25">
      <c r="A3" s="54" t="s">
        <v>12354</v>
      </c>
      <c r="B3" s="34" t="s">
        <v>3365</v>
      </c>
      <c r="C3" s="34" t="s">
        <v>11122</v>
      </c>
      <c r="D3" s="34">
        <v>2</v>
      </c>
      <c r="E3" s="34" t="s">
        <v>588</v>
      </c>
      <c r="F3" s="34"/>
      <c r="G3" s="34" t="s">
        <v>11924</v>
      </c>
      <c r="H3" s="110">
        <v>7858</v>
      </c>
      <c r="I3" s="122">
        <v>19.5</v>
      </c>
      <c r="J3" s="111">
        <v>207678653</v>
      </c>
      <c r="K3" s="111">
        <f>IFERROR(Table16[[#This Row],[ROUTE COST]]/Table16[[#This Row],[E - DEMAND]],0)</f>
        <v>0</v>
      </c>
      <c r="L3" s="34"/>
      <c r="M3" s="138" t="e">
        <f>VLOOKUP(Table16[[#This Row],[ROUTE]],DEMAND!A:F,5,FALSE)</f>
        <v>#N/A</v>
      </c>
      <c r="N3" s="138" t="e">
        <f>VLOOKUP(Table16[[#This Row],[ROUTE]],DEMAND!A:F,6,FALSE)</f>
        <v>#N/A</v>
      </c>
      <c r="O3" s="138" t="e">
        <f>ROUNDDOWN(Table16[[#This Row],[R-DEMAND]]/1320,0)</f>
        <v>#N/A</v>
      </c>
      <c r="P3" s="138" t="e">
        <f>Table16[[#This Row],[ADD ACC]]*Table16[[#This Row],[Duration]]</f>
        <v>#N/A</v>
      </c>
    </row>
    <row r="4" spans="1:16" x14ac:dyDescent="0.25">
      <c r="A4" s="54" t="s">
        <v>12542</v>
      </c>
      <c r="B4" s="34" t="s">
        <v>5253</v>
      </c>
      <c r="C4" s="34" t="s">
        <v>11122</v>
      </c>
      <c r="D4" s="34">
        <v>3</v>
      </c>
      <c r="E4" s="34" t="s">
        <v>588</v>
      </c>
      <c r="F4" s="34"/>
      <c r="G4" s="34" t="s">
        <v>11991</v>
      </c>
      <c r="H4" s="110">
        <v>6258</v>
      </c>
      <c r="I4" s="122">
        <v>16</v>
      </c>
      <c r="J4" s="111">
        <v>213937576</v>
      </c>
      <c r="K4" s="111">
        <f>IFERROR(Table16[[#This Row],[ROUTE COST]]/Table16[[#This Row],[E - DEMAND]],0)</f>
        <v>0</v>
      </c>
      <c r="L4" s="34"/>
      <c r="M4" s="34" t="e">
        <f>VLOOKUP(Table16[[#This Row],[ROUTE]],DEMAND!A:F,5,FALSE)</f>
        <v>#N/A</v>
      </c>
      <c r="N4" s="34" t="e">
        <f>VLOOKUP(Table16[[#This Row],[ROUTE]],DEMAND!A:F,6,FALSE)</f>
        <v>#N/A</v>
      </c>
      <c r="O4" s="34" t="e">
        <f>ROUNDDOWN(Table16[[#This Row],[R-DEMAND]]/1320,0)</f>
        <v>#N/A</v>
      </c>
      <c r="P4" s="34" t="e">
        <f>Table16[[#This Row],[ADD ACC]]*Table16[[#This Row],[Duration]]</f>
        <v>#N/A</v>
      </c>
    </row>
    <row r="5" spans="1:16" x14ac:dyDescent="0.25">
      <c r="A5" s="54" t="s">
        <v>12590</v>
      </c>
      <c r="B5" s="34" t="s">
        <v>395</v>
      </c>
      <c r="C5" s="34" t="s">
        <v>11122</v>
      </c>
      <c r="D5" s="34">
        <v>3</v>
      </c>
      <c r="E5" s="34" t="s">
        <v>1261</v>
      </c>
      <c r="F5" s="34"/>
      <c r="G5" s="34" t="s">
        <v>12116</v>
      </c>
      <c r="H5" s="34">
        <v>853</v>
      </c>
      <c r="I5" s="122">
        <v>4</v>
      </c>
      <c r="J5" s="111">
        <v>157990350</v>
      </c>
      <c r="K5" s="111">
        <f>IFERROR(Table16[[#This Row],[ROUTE COST]]/Table16[[#This Row],[E - DEMAND]],0)</f>
        <v>0</v>
      </c>
      <c r="L5" s="34"/>
      <c r="M5" s="34" t="e">
        <f>VLOOKUP(Table16[[#This Row],[ROUTE]],DEMAND!A:F,5,FALSE)</f>
        <v>#N/A</v>
      </c>
      <c r="N5" s="34" t="e">
        <f>VLOOKUP(Table16[[#This Row],[ROUTE]],DEMAND!A:F,6,FALSE)</f>
        <v>#N/A</v>
      </c>
      <c r="O5" s="34" t="e">
        <f>ROUNDDOWN(Table16[[#This Row],[R-DEMAND]]/1320,0)</f>
        <v>#N/A</v>
      </c>
      <c r="P5" s="34" t="e">
        <f>Table16[[#This Row],[ADD ACC]]*Table16[[#This Row],[Duration]]</f>
        <v>#N/A</v>
      </c>
    </row>
    <row r="6" spans="1:16" x14ac:dyDescent="0.25">
      <c r="A6" s="54" t="s">
        <v>12640</v>
      </c>
      <c r="B6" s="34" t="s">
        <v>5608</v>
      </c>
      <c r="C6" s="34" t="s">
        <v>11122</v>
      </c>
      <c r="D6" s="34">
        <v>4</v>
      </c>
      <c r="E6" s="34" t="s">
        <v>258</v>
      </c>
      <c r="F6" s="34"/>
      <c r="G6" s="34" t="s">
        <v>11097</v>
      </c>
      <c r="H6" s="110">
        <v>4879</v>
      </c>
      <c r="I6" s="122">
        <v>13</v>
      </c>
      <c r="J6" s="111">
        <v>213190226</v>
      </c>
      <c r="K6" s="111">
        <f>IFERROR(Table16[[#This Row],[ROUTE COST]]/Table16[[#This Row],[E - DEMAND]],0)</f>
        <v>0</v>
      </c>
      <c r="L6" s="34"/>
      <c r="M6" s="34" t="e">
        <f>VLOOKUP(Table16[[#This Row],[ROUTE]],DEMAND!A:F,5,FALSE)</f>
        <v>#N/A</v>
      </c>
      <c r="N6" s="34" t="e">
        <f>VLOOKUP(Table16[[#This Row],[ROUTE]],DEMAND!A:F,6,FALSE)</f>
        <v>#N/A</v>
      </c>
      <c r="O6" s="34" t="e">
        <f>ROUNDDOWN(Table16[[#This Row],[R-DEMAND]]/1320,0)</f>
        <v>#N/A</v>
      </c>
      <c r="P6" s="34" t="e">
        <f>Table16[[#This Row],[ADD ACC]]*Table16[[#This Row],[Duration]]</f>
        <v>#N/A</v>
      </c>
    </row>
    <row r="7" spans="1:16" x14ac:dyDescent="0.25">
      <c r="A7" s="54" t="s">
        <v>12583</v>
      </c>
      <c r="B7" s="34" t="s">
        <v>341</v>
      </c>
      <c r="C7" s="34" t="s">
        <v>11122</v>
      </c>
      <c r="D7" s="34">
        <v>3</v>
      </c>
      <c r="E7" s="34" t="s">
        <v>1314</v>
      </c>
      <c r="F7" s="34"/>
      <c r="G7" s="34" t="s">
        <v>12096</v>
      </c>
      <c r="H7" s="110">
        <v>2471</v>
      </c>
      <c r="I7" s="122">
        <v>7.5</v>
      </c>
      <c r="J7" s="111">
        <v>166000981</v>
      </c>
      <c r="K7" s="111">
        <f>IFERROR(Table16[[#This Row],[ROUTE COST]]/Table16[[#This Row],[E - DEMAND]],0)</f>
        <v>0</v>
      </c>
      <c r="L7" s="34"/>
      <c r="M7" s="34" t="e">
        <f>VLOOKUP(Table16[[#This Row],[ROUTE]],DEMAND!A:F,5,FALSE)</f>
        <v>#N/A</v>
      </c>
      <c r="N7" s="34" t="e">
        <f>VLOOKUP(Table16[[#This Row],[ROUTE]],DEMAND!A:F,6,FALSE)</f>
        <v>#N/A</v>
      </c>
      <c r="O7" s="34" t="e">
        <f>ROUNDDOWN(Table16[[#This Row],[R-DEMAND]]/1320,0)</f>
        <v>#N/A</v>
      </c>
      <c r="P7" s="34" t="e">
        <f>Table16[[#This Row],[ADD ACC]]*Table16[[#This Row],[Duration]]</f>
        <v>#N/A</v>
      </c>
    </row>
    <row r="8" spans="1:16" x14ac:dyDescent="0.25">
      <c r="A8" s="54" t="s">
        <v>12647</v>
      </c>
      <c r="B8" s="34" t="s">
        <v>328</v>
      </c>
      <c r="C8" s="34" t="s">
        <v>11122</v>
      </c>
      <c r="D8" s="34">
        <v>4</v>
      </c>
      <c r="E8" s="34" t="s">
        <v>1261</v>
      </c>
      <c r="F8" s="34"/>
      <c r="G8" s="34" t="s">
        <v>11089</v>
      </c>
      <c r="H8" s="34">
        <v>982</v>
      </c>
      <c r="I8" s="122">
        <v>4.25</v>
      </c>
      <c r="J8" s="111">
        <v>166201014</v>
      </c>
      <c r="K8" s="111">
        <f>IFERROR(Table16[[#This Row],[ROUTE COST]]/Table16[[#This Row],[E - DEMAND]],0)</f>
        <v>0</v>
      </c>
      <c r="L8" s="34"/>
      <c r="M8" s="34" t="e">
        <f>VLOOKUP(Table16[[#This Row],[ROUTE]],DEMAND!A:F,5,FALSE)</f>
        <v>#N/A</v>
      </c>
      <c r="N8" s="34" t="e">
        <f>VLOOKUP(Table16[[#This Row],[ROUTE]],DEMAND!A:F,6,FALSE)</f>
        <v>#N/A</v>
      </c>
      <c r="O8" s="34" t="e">
        <f>ROUNDDOWN(Table16[[#This Row],[R-DEMAND]]/1320,0)</f>
        <v>#N/A</v>
      </c>
      <c r="P8" s="34" t="e">
        <f>Table16[[#This Row],[ADD ACC]]*Table16[[#This Row],[Duration]]</f>
        <v>#N/A</v>
      </c>
    </row>
    <row r="9" spans="1:16" x14ac:dyDescent="0.25">
      <c r="A9" s="54" t="s">
        <v>12657</v>
      </c>
      <c r="B9" s="34" t="s">
        <v>320</v>
      </c>
      <c r="C9" s="34" t="s">
        <v>11122</v>
      </c>
      <c r="D9" s="34"/>
      <c r="E9" s="34" t="s">
        <v>1847</v>
      </c>
      <c r="F9" s="34"/>
      <c r="G9" s="34" t="s">
        <v>11976</v>
      </c>
      <c r="H9" s="110">
        <v>6550</v>
      </c>
      <c r="I9" s="122">
        <v>16.75</v>
      </c>
      <c r="J9" s="111">
        <v>203487126</v>
      </c>
      <c r="K9" s="111">
        <f>IFERROR(Table16[[#This Row],[ROUTE COST]]/Table16[[#This Row],[E - DEMAND]],0)</f>
        <v>0</v>
      </c>
      <c r="L9" s="34"/>
      <c r="M9" s="34" t="e">
        <f>VLOOKUP(Table16[[#This Row],[ROUTE]],DEMAND!A:F,5,FALSE)</f>
        <v>#N/A</v>
      </c>
      <c r="N9" s="34" t="e">
        <f>VLOOKUP(Table16[[#This Row],[ROUTE]],DEMAND!A:F,6,FALSE)</f>
        <v>#N/A</v>
      </c>
      <c r="O9" s="34" t="e">
        <f>ROUNDDOWN(Table16[[#This Row],[R-DEMAND]]/1320,0)</f>
        <v>#N/A</v>
      </c>
      <c r="P9" s="34" t="e">
        <f>Table16[[#This Row],[ADD ACC]]*Table16[[#This Row],[Duration]]</f>
        <v>#N/A</v>
      </c>
    </row>
    <row r="10" spans="1:16" x14ac:dyDescent="0.25">
      <c r="A10" s="54" t="s">
        <v>12241</v>
      </c>
      <c r="B10" s="34" t="s">
        <v>4475</v>
      </c>
      <c r="C10" s="34" t="s">
        <v>11122</v>
      </c>
      <c r="D10" s="34">
        <v>2</v>
      </c>
      <c r="E10" s="34" t="s">
        <v>11732</v>
      </c>
      <c r="F10" s="34"/>
      <c r="G10" s="34" t="s">
        <v>11733</v>
      </c>
      <c r="H10" s="110">
        <v>11355</v>
      </c>
      <c r="I10" s="122">
        <v>27.25</v>
      </c>
      <c r="J10" s="111">
        <v>252894672</v>
      </c>
      <c r="K10" s="111">
        <f>IFERROR(Table16[[#This Row],[ROUTE COST]]/Table16[[#This Row],[E - DEMAND]],0)</f>
        <v>121118.13793103448</v>
      </c>
      <c r="L10" s="34">
        <v>2088</v>
      </c>
      <c r="M10" s="34" t="e">
        <f>VLOOKUP(Table16[[#This Row],[ROUTE]],DEMAND!A:F,5,FALSE)</f>
        <v>#N/A</v>
      </c>
      <c r="N10" s="34" t="e">
        <f>VLOOKUP(Table16[[#This Row],[ROUTE]],DEMAND!A:F,6,FALSE)</f>
        <v>#N/A</v>
      </c>
      <c r="O10" s="34" t="e">
        <f>ROUNDDOWN(Table16[[#This Row],[R-DEMAND]]/1320,0)</f>
        <v>#N/A</v>
      </c>
      <c r="P10" s="34" t="e">
        <f>Table16[[#This Row],[ADD ACC]]*Table16[[#This Row],[Duration]]</f>
        <v>#N/A</v>
      </c>
    </row>
    <row r="11" spans="1:16" x14ac:dyDescent="0.25">
      <c r="A11" s="54" t="s">
        <v>12639</v>
      </c>
      <c r="B11" s="34" t="s">
        <v>5661</v>
      </c>
      <c r="C11" s="34" t="s">
        <v>11122</v>
      </c>
      <c r="D11" s="34">
        <v>4</v>
      </c>
      <c r="E11" s="34" t="s">
        <v>142</v>
      </c>
      <c r="F11" s="34"/>
      <c r="G11" s="34" t="s">
        <v>9777</v>
      </c>
      <c r="H11" s="110">
        <v>5079</v>
      </c>
      <c r="I11" s="122">
        <v>13.25</v>
      </c>
      <c r="J11" s="111">
        <v>220975917</v>
      </c>
      <c r="K11" s="111">
        <f>IFERROR(Table16[[#This Row],[ROUTE COST]]/Table16[[#This Row],[E - DEMAND]],0)</f>
        <v>0</v>
      </c>
      <c r="L11" s="34"/>
      <c r="M11" s="34" t="e">
        <f>VLOOKUP(Table16[[#This Row],[ROUTE]],DEMAND!A:F,5,FALSE)</f>
        <v>#N/A</v>
      </c>
      <c r="N11" s="34" t="e">
        <f>VLOOKUP(Table16[[#This Row],[ROUTE]],DEMAND!A:F,6,FALSE)</f>
        <v>#N/A</v>
      </c>
      <c r="O11" s="34" t="e">
        <f>ROUNDDOWN(Table16[[#This Row],[R-DEMAND]]/1320,0)</f>
        <v>#N/A</v>
      </c>
      <c r="P11" s="34" t="e">
        <f>Table16[[#This Row],[ADD ACC]]*Table16[[#This Row],[Duration]]</f>
        <v>#N/A</v>
      </c>
    </row>
    <row r="12" spans="1:16" x14ac:dyDescent="0.25">
      <c r="A12" s="54" t="s">
        <v>12637</v>
      </c>
      <c r="B12" s="34" t="s">
        <v>5625</v>
      </c>
      <c r="C12" s="34" t="s">
        <v>11122</v>
      </c>
      <c r="D12" s="34">
        <v>4</v>
      </c>
      <c r="E12" s="34" t="s">
        <v>258</v>
      </c>
      <c r="F12" s="34"/>
      <c r="G12" s="34" t="s">
        <v>11085</v>
      </c>
      <c r="H12" s="110">
        <v>5288</v>
      </c>
      <c r="I12" s="122">
        <v>13.75</v>
      </c>
      <c r="J12" s="111">
        <v>219094592</v>
      </c>
      <c r="K12" s="111">
        <f>IFERROR(Table16[[#This Row],[ROUTE COST]]/Table16[[#This Row],[E - DEMAND]],0)</f>
        <v>0</v>
      </c>
      <c r="L12" s="34"/>
      <c r="M12" s="34" t="e">
        <f>VLOOKUP(Table16[[#This Row],[ROUTE]],DEMAND!A:F,5,FALSE)</f>
        <v>#N/A</v>
      </c>
      <c r="N12" s="34" t="e">
        <f>VLOOKUP(Table16[[#This Row],[ROUTE]],DEMAND!A:F,6,FALSE)</f>
        <v>#N/A</v>
      </c>
      <c r="O12" s="34" t="e">
        <f>ROUNDDOWN(Table16[[#This Row],[R-DEMAND]]/1320,0)</f>
        <v>#N/A</v>
      </c>
      <c r="P12" s="34" t="e">
        <f>Table16[[#This Row],[ADD ACC]]*Table16[[#This Row],[Duration]]</f>
        <v>#N/A</v>
      </c>
    </row>
    <row r="13" spans="1:16" x14ac:dyDescent="0.25">
      <c r="A13" s="54" t="s">
        <v>12285</v>
      </c>
      <c r="B13" s="34" t="s">
        <v>2571</v>
      </c>
      <c r="C13" s="34" t="s">
        <v>11122</v>
      </c>
      <c r="D13" s="34">
        <v>2</v>
      </c>
      <c r="E13" s="34" t="s">
        <v>597</v>
      </c>
      <c r="F13" s="34"/>
      <c r="G13" s="34" t="s">
        <v>11827</v>
      </c>
      <c r="H13" s="110">
        <v>10016</v>
      </c>
      <c r="I13" s="122">
        <v>24.25</v>
      </c>
      <c r="J13" s="111">
        <v>225487802</v>
      </c>
      <c r="K13" s="111">
        <f>IFERROR(Table16[[#This Row],[ROUTE COST]]/Table16[[#This Row],[E - DEMAND]],0)</f>
        <v>93447.079154579362</v>
      </c>
      <c r="L13" s="34">
        <v>2413</v>
      </c>
      <c r="M13" s="34" t="e">
        <f>VLOOKUP(Table16[[#This Row],[ROUTE]],DEMAND!A:F,5,FALSE)</f>
        <v>#N/A</v>
      </c>
      <c r="N13" s="34" t="e">
        <f>VLOOKUP(Table16[[#This Row],[ROUTE]],DEMAND!A:F,6,FALSE)</f>
        <v>#N/A</v>
      </c>
      <c r="O13" s="34" t="e">
        <f>ROUNDDOWN(Table16[[#This Row],[R-DEMAND]]/1320,0)</f>
        <v>#N/A</v>
      </c>
      <c r="P13" s="34" t="e">
        <f>Table16[[#This Row],[ADD ACC]]*Table16[[#This Row],[Duration]]</f>
        <v>#N/A</v>
      </c>
    </row>
    <row r="14" spans="1:16" x14ac:dyDescent="0.25">
      <c r="A14" s="54" t="s">
        <v>12176</v>
      </c>
      <c r="B14" s="34" t="s">
        <v>590</v>
      </c>
      <c r="C14" s="34" t="s">
        <v>11122</v>
      </c>
      <c r="D14" s="34">
        <v>1</v>
      </c>
      <c r="E14" s="34" t="s">
        <v>588</v>
      </c>
      <c r="F14" s="34"/>
      <c r="G14" s="34" t="s">
        <v>9615</v>
      </c>
      <c r="H14" s="110">
        <v>7991</v>
      </c>
      <c r="I14" s="122">
        <v>19.75</v>
      </c>
      <c r="J14" s="111">
        <v>195182243</v>
      </c>
      <c r="K14" s="111">
        <f>IFERROR(Table16[[#This Row],[ROUTE COST]]/Table16[[#This Row],[E - DEMAND]],0)</f>
        <v>0</v>
      </c>
      <c r="L14" s="34"/>
      <c r="M14" s="34" t="e">
        <f>VLOOKUP(Table16[[#This Row],[ROUTE]],DEMAND!A:F,5,FALSE)</f>
        <v>#N/A</v>
      </c>
      <c r="N14" s="34" t="e">
        <f>VLOOKUP(Table16[[#This Row],[ROUTE]],DEMAND!A:F,6,FALSE)</f>
        <v>#N/A</v>
      </c>
      <c r="O14" s="34" t="e">
        <f>ROUNDDOWN(Table16[[#This Row],[R-DEMAND]]/1320,0)</f>
        <v>#N/A</v>
      </c>
      <c r="P14" s="34" t="e">
        <f>Table16[[#This Row],[ADD ACC]]*Table16[[#This Row],[Duration]]</f>
        <v>#N/A</v>
      </c>
    </row>
    <row r="15" spans="1:16" x14ac:dyDescent="0.25">
      <c r="A15" s="54" t="s">
        <v>12635</v>
      </c>
      <c r="B15" s="34" t="s">
        <v>249</v>
      </c>
      <c r="C15" s="34" t="s">
        <v>11122</v>
      </c>
      <c r="D15" s="34">
        <v>4</v>
      </c>
      <c r="E15" s="34" t="s">
        <v>142</v>
      </c>
      <c r="F15" s="34"/>
      <c r="G15" s="34" t="s">
        <v>11076</v>
      </c>
      <c r="H15" s="110">
        <v>5460</v>
      </c>
      <c r="I15" s="122">
        <v>14.25</v>
      </c>
      <c r="J15" s="111">
        <v>225403451</v>
      </c>
      <c r="K15" s="111">
        <f>IFERROR(Table16[[#This Row],[ROUTE COST]]/Table16[[#This Row],[E - DEMAND]],0)</f>
        <v>0</v>
      </c>
      <c r="L15" s="34"/>
      <c r="M15" s="34" t="e">
        <f>VLOOKUP(Table16[[#This Row],[ROUTE]],DEMAND!A:F,5,FALSE)</f>
        <v>#N/A</v>
      </c>
      <c r="N15" s="34" t="e">
        <f>VLOOKUP(Table16[[#This Row],[ROUTE]],DEMAND!A:F,6,FALSE)</f>
        <v>#N/A</v>
      </c>
      <c r="O15" s="34" t="e">
        <f>ROUNDDOWN(Table16[[#This Row],[R-DEMAND]]/1320,0)</f>
        <v>#N/A</v>
      </c>
      <c r="P15" s="34" t="e">
        <f>Table16[[#This Row],[ADD ACC]]*Table16[[#This Row],[Duration]]</f>
        <v>#N/A</v>
      </c>
    </row>
    <row r="16" spans="1:16" x14ac:dyDescent="0.25">
      <c r="A16" s="54" t="s">
        <v>12467</v>
      </c>
      <c r="B16" s="34" t="s">
        <v>4744</v>
      </c>
      <c r="C16" s="34" t="s">
        <v>11122</v>
      </c>
      <c r="D16" s="34">
        <v>3</v>
      </c>
      <c r="E16" s="34" t="s">
        <v>11732</v>
      </c>
      <c r="F16" s="34"/>
      <c r="G16" s="34" t="s">
        <v>11759</v>
      </c>
      <c r="H16" s="110">
        <v>11105</v>
      </c>
      <c r="I16" s="122">
        <v>26.75</v>
      </c>
      <c r="J16" s="111">
        <v>253594857</v>
      </c>
      <c r="K16" s="111">
        <f>IFERROR(Table16[[#This Row],[ROUTE COST]]/Table16[[#This Row],[E - DEMAND]],0)</f>
        <v>118668.62751520824</v>
      </c>
      <c r="L16" s="34">
        <v>2137</v>
      </c>
      <c r="M16" s="34" t="e">
        <f>VLOOKUP(Table16[[#This Row],[ROUTE]],DEMAND!A:F,5,FALSE)</f>
        <v>#N/A</v>
      </c>
      <c r="N16" s="34" t="e">
        <f>VLOOKUP(Table16[[#This Row],[ROUTE]],DEMAND!A:F,6,FALSE)</f>
        <v>#N/A</v>
      </c>
      <c r="O16" s="34" t="e">
        <f>ROUNDDOWN(Table16[[#This Row],[R-DEMAND]]/1320,0)</f>
        <v>#N/A</v>
      </c>
      <c r="P16" s="34" t="e">
        <f>Table16[[#This Row],[ADD ACC]]*Table16[[#This Row],[Duration]]</f>
        <v>#N/A</v>
      </c>
    </row>
    <row r="17" spans="1:16" x14ac:dyDescent="0.25">
      <c r="A17" s="54" t="s">
        <v>12546</v>
      </c>
      <c r="B17" s="34" t="s">
        <v>232</v>
      </c>
      <c r="C17" s="34" t="s">
        <v>11122</v>
      </c>
      <c r="D17" s="34">
        <v>3</v>
      </c>
      <c r="E17" s="34" t="s">
        <v>567</v>
      </c>
      <c r="F17" s="34"/>
      <c r="G17" s="34" t="s">
        <v>12000</v>
      </c>
      <c r="H17" s="110">
        <v>5992</v>
      </c>
      <c r="I17" s="122">
        <v>15.5</v>
      </c>
      <c r="J17" s="111">
        <v>205133618</v>
      </c>
      <c r="K17" s="111">
        <f>IFERROR(Table16[[#This Row],[ROUTE COST]]/Table16[[#This Row],[E - DEMAND]],0)</f>
        <v>0</v>
      </c>
      <c r="L17" s="34"/>
      <c r="M17" s="34" t="e">
        <f>VLOOKUP(Table16[[#This Row],[ROUTE]],DEMAND!A:F,5,FALSE)</f>
        <v>#N/A</v>
      </c>
      <c r="N17" s="34" t="e">
        <f>VLOOKUP(Table16[[#This Row],[ROUTE]],DEMAND!A:F,6,FALSE)</f>
        <v>#N/A</v>
      </c>
      <c r="O17" s="34" t="e">
        <f>ROUNDDOWN(Table16[[#This Row],[R-DEMAND]]/1320,0)</f>
        <v>#N/A</v>
      </c>
      <c r="P17" s="34" t="e">
        <f>Table16[[#This Row],[ADD ACC]]*Table16[[#This Row],[Duration]]</f>
        <v>#N/A</v>
      </c>
    </row>
    <row r="18" spans="1:16" x14ac:dyDescent="0.25">
      <c r="A18" s="54" t="s">
        <v>12400</v>
      </c>
      <c r="B18" s="34" t="s">
        <v>3674</v>
      </c>
      <c r="C18" s="34" t="s">
        <v>11122</v>
      </c>
      <c r="D18" s="34">
        <v>2</v>
      </c>
      <c r="E18" s="34" t="s">
        <v>567</v>
      </c>
      <c r="F18" s="34"/>
      <c r="G18" s="34" t="s">
        <v>11998</v>
      </c>
      <c r="H18" s="110">
        <v>6020</v>
      </c>
      <c r="I18" s="122">
        <v>15.5</v>
      </c>
      <c r="J18" s="111">
        <v>191506707</v>
      </c>
      <c r="K18" s="111">
        <f>IFERROR(Table16[[#This Row],[ROUTE COST]]/Table16[[#This Row],[E - DEMAND]],0)</f>
        <v>0</v>
      </c>
      <c r="L18" s="34"/>
      <c r="M18" s="34" t="e">
        <f>VLOOKUP(Table16[[#This Row],[ROUTE]],DEMAND!A:F,5,FALSE)</f>
        <v>#N/A</v>
      </c>
      <c r="N18" s="34" t="e">
        <f>VLOOKUP(Table16[[#This Row],[ROUTE]],DEMAND!A:F,6,FALSE)</f>
        <v>#N/A</v>
      </c>
      <c r="O18" s="34" t="e">
        <f>ROUNDDOWN(Table16[[#This Row],[R-DEMAND]]/1320,0)</f>
        <v>#N/A</v>
      </c>
      <c r="P18" s="34" t="e">
        <f>Table16[[#This Row],[ADD ACC]]*Table16[[#This Row],[Duration]]</f>
        <v>#N/A</v>
      </c>
    </row>
    <row r="19" spans="1:16" x14ac:dyDescent="0.25">
      <c r="A19" s="54" t="s">
        <v>12636</v>
      </c>
      <c r="B19" s="34" t="s">
        <v>219</v>
      </c>
      <c r="C19" s="34" t="s">
        <v>11122</v>
      </c>
      <c r="D19" s="34">
        <v>4</v>
      </c>
      <c r="E19" s="34" t="s">
        <v>142</v>
      </c>
      <c r="F19" s="34"/>
      <c r="G19" s="34" t="s">
        <v>11072</v>
      </c>
      <c r="H19" s="110">
        <v>5418</v>
      </c>
      <c r="I19" s="122">
        <v>14</v>
      </c>
      <c r="J19" s="111">
        <v>223640480</v>
      </c>
      <c r="K19" s="111">
        <f>IFERROR(Table16[[#This Row],[ROUTE COST]]/Table16[[#This Row],[E - DEMAND]],0)</f>
        <v>0</v>
      </c>
      <c r="L19" s="34"/>
      <c r="M19" s="34" t="e">
        <f>VLOOKUP(Table16[[#This Row],[ROUTE]],DEMAND!A:F,5,FALSE)</f>
        <v>#N/A</v>
      </c>
      <c r="N19" s="34" t="e">
        <f>VLOOKUP(Table16[[#This Row],[ROUTE]],DEMAND!A:F,6,FALSE)</f>
        <v>#N/A</v>
      </c>
      <c r="O19" s="34" t="e">
        <f>ROUNDDOWN(Table16[[#This Row],[R-DEMAND]]/1320,0)</f>
        <v>#N/A</v>
      </c>
      <c r="P19" s="34" t="e">
        <f>Table16[[#This Row],[ADD ACC]]*Table16[[#This Row],[Duration]]</f>
        <v>#N/A</v>
      </c>
    </row>
    <row r="20" spans="1:16" x14ac:dyDescent="0.25">
      <c r="A20" s="54" t="s">
        <v>12646</v>
      </c>
      <c r="B20" s="34" t="s">
        <v>215</v>
      </c>
      <c r="C20" s="34" t="s">
        <v>11122</v>
      </c>
      <c r="D20" s="34">
        <v>4</v>
      </c>
      <c r="E20" s="34" t="s">
        <v>1261</v>
      </c>
      <c r="F20" s="34"/>
      <c r="G20" s="34" t="s">
        <v>11070</v>
      </c>
      <c r="H20" s="110">
        <v>1387</v>
      </c>
      <c r="I20" s="122">
        <v>5.25</v>
      </c>
      <c r="J20" s="111">
        <v>178062724</v>
      </c>
      <c r="K20" s="111">
        <f>IFERROR(Table16[[#This Row],[ROUTE COST]]/Table16[[#This Row],[E - DEMAND]],0)</f>
        <v>0</v>
      </c>
      <c r="L20" s="34"/>
      <c r="M20" s="34" t="e">
        <f>VLOOKUP(Table16[[#This Row],[ROUTE]],DEMAND!A:F,5,FALSE)</f>
        <v>#N/A</v>
      </c>
      <c r="N20" s="34" t="e">
        <f>VLOOKUP(Table16[[#This Row],[ROUTE]],DEMAND!A:F,6,FALSE)</f>
        <v>#N/A</v>
      </c>
      <c r="O20" s="34" t="e">
        <f>ROUNDDOWN(Table16[[#This Row],[R-DEMAND]]/1320,0)</f>
        <v>#N/A</v>
      </c>
      <c r="P20" s="34" t="e">
        <f>Table16[[#This Row],[ADD ACC]]*Table16[[#This Row],[Duration]]</f>
        <v>#N/A</v>
      </c>
    </row>
    <row r="21" spans="1:16" x14ac:dyDescent="0.25">
      <c r="A21" s="54" t="s">
        <v>12471</v>
      </c>
      <c r="B21" s="34" t="s">
        <v>5095</v>
      </c>
      <c r="C21" s="34" t="s">
        <v>11122</v>
      </c>
      <c r="D21" s="34">
        <v>3</v>
      </c>
      <c r="E21" s="34" t="s">
        <v>11732</v>
      </c>
      <c r="F21" s="34"/>
      <c r="G21" s="34" t="s">
        <v>11765</v>
      </c>
      <c r="H21" s="110">
        <v>11001</v>
      </c>
      <c r="I21" s="122">
        <v>26.5</v>
      </c>
      <c r="J21" s="111">
        <v>258326639</v>
      </c>
      <c r="K21" s="111">
        <f>IFERROR(Table16[[#This Row],[ROUTE COST]]/Table16[[#This Row],[E - DEMAND]],0)</f>
        <v>115997.59272563987</v>
      </c>
      <c r="L21" s="34">
        <v>2227</v>
      </c>
      <c r="M21" s="34" t="e">
        <f>VLOOKUP(Table16[[#This Row],[ROUTE]],DEMAND!A:F,5,FALSE)</f>
        <v>#N/A</v>
      </c>
      <c r="N21" s="34" t="e">
        <f>VLOOKUP(Table16[[#This Row],[ROUTE]],DEMAND!A:F,6,FALSE)</f>
        <v>#N/A</v>
      </c>
      <c r="O21" s="34" t="e">
        <f>ROUNDDOWN(Table16[[#This Row],[R-DEMAND]]/1320,0)</f>
        <v>#N/A</v>
      </c>
      <c r="P21" s="34" t="e">
        <f>Table16[[#This Row],[ADD ACC]]*Table16[[#This Row],[Duration]]</f>
        <v>#N/A</v>
      </c>
    </row>
    <row r="22" spans="1:16" x14ac:dyDescent="0.25">
      <c r="A22" s="54" t="s">
        <v>12231</v>
      </c>
      <c r="B22" s="34" t="s">
        <v>3990</v>
      </c>
      <c r="C22" s="34" t="s">
        <v>11122</v>
      </c>
      <c r="D22" s="34">
        <v>2</v>
      </c>
      <c r="E22" s="34" t="s">
        <v>560</v>
      </c>
      <c r="F22" s="34"/>
      <c r="G22" s="34" t="s">
        <v>11709</v>
      </c>
      <c r="H22" s="110">
        <v>11824</v>
      </c>
      <c r="I22" s="122">
        <v>28.25</v>
      </c>
      <c r="J22" s="111">
        <v>253391140</v>
      </c>
      <c r="K22" s="111">
        <f>IFERROR(Table16[[#This Row],[ROUTE COST]]/Table16[[#This Row],[E - DEMAND]],0)</f>
        <v>96603.560808234848</v>
      </c>
      <c r="L22" s="34">
        <v>2623</v>
      </c>
      <c r="M22" s="34" t="e">
        <f>VLOOKUP(Table16[[#This Row],[ROUTE]],DEMAND!A:F,5,FALSE)</f>
        <v>#N/A</v>
      </c>
      <c r="N22" s="34" t="e">
        <f>VLOOKUP(Table16[[#This Row],[ROUTE]],DEMAND!A:F,6,FALSE)</f>
        <v>#N/A</v>
      </c>
      <c r="O22" s="34" t="e">
        <f>ROUNDDOWN(Table16[[#This Row],[R-DEMAND]]/1320,0)</f>
        <v>#N/A</v>
      </c>
      <c r="P22" s="34" t="e">
        <f>Table16[[#This Row],[ADD ACC]]*Table16[[#This Row],[Duration]]</f>
        <v>#N/A</v>
      </c>
    </row>
    <row r="23" spans="1:16" x14ac:dyDescent="0.25">
      <c r="A23" s="54" t="s">
        <v>12548</v>
      </c>
      <c r="B23" s="34" t="s">
        <v>160</v>
      </c>
      <c r="C23" s="34" t="s">
        <v>11122</v>
      </c>
      <c r="D23" s="34">
        <v>3</v>
      </c>
      <c r="E23" s="34" t="s">
        <v>5096</v>
      </c>
      <c r="F23" s="34"/>
      <c r="G23" s="34" t="s">
        <v>12011</v>
      </c>
      <c r="H23" s="110">
        <v>5510</v>
      </c>
      <c r="I23" s="122">
        <v>14.25</v>
      </c>
      <c r="J23" s="111">
        <v>201334719</v>
      </c>
      <c r="K23" s="111">
        <f>IFERROR(Table16[[#This Row],[ROUTE COST]]/Table16[[#This Row],[E - DEMAND]],0)</f>
        <v>0</v>
      </c>
      <c r="L23" s="34"/>
      <c r="M23" s="34" t="e">
        <f>VLOOKUP(Table16[[#This Row],[ROUTE]],DEMAND!A:F,5,FALSE)</f>
        <v>#N/A</v>
      </c>
      <c r="N23" s="34" t="e">
        <f>VLOOKUP(Table16[[#This Row],[ROUTE]],DEMAND!A:F,6,FALSE)</f>
        <v>#N/A</v>
      </c>
      <c r="O23" s="34" t="e">
        <f>ROUNDDOWN(Table16[[#This Row],[R-DEMAND]]/1320,0)</f>
        <v>#N/A</v>
      </c>
      <c r="P23" s="34" t="e">
        <f>Table16[[#This Row],[ADD ACC]]*Table16[[#This Row],[Duration]]</f>
        <v>#N/A</v>
      </c>
    </row>
    <row r="24" spans="1:16" x14ac:dyDescent="0.25">
      <c r="A24" s="54" t="s">
        <v>12634</v>
      </c>
      <c r="B24" s="34" t="s">
        <v>149</v>
      </c>
      <c r="C24" s="34" t="s">
        <v>11122</v>
      </c>
      <c r="D24" s="34">
        <v>4</v>
      </c>
      <c r="E24" s="34" t="s">
        <v>142</v>
      </c>
      <c r="F24" s="34"/>
      <c r="G24" s="34" t="s">
        <v>11054</v>
      </c>
      <c r="H24" s="110">
        <v>5546</v>
      </c>
      <c r="I24" s="122">
        <v>14.5</v>
      </c>
      <c r="J24" s="111">
        <v>220409351</v>
      </c>
      <c r="K24" s="111">
        <f>IFERROR(Table16[[#This Row],[ROUTE COST]]/Table16[[#This Row],[E - DEMAND]],0)</f>
        <v>0</v>
      </c>
      <c r="L24" s="34"/>
      <c r="M24" s="34" t="e">
        <f>VLOOKUP(Table16[[#This Row],[ROUTE]],DEMAND!A:F,5,FALSE)</f>
        <v>#N/A</v>
      </c>
      <c r="N24" s="34" t="e">
        <f>VLOOKUP(Table16[[#This Row],[ROUTE]],DEMAND!A:F,6,FALSE)</f>
        <v>#N/A</v>
      </c>
      <c r="O24" s="34" t="e">
        <f>ROUNDDOWN(Table16[[#This Row],[R-DEMAND]]/1320,0)</f>
        <v>#N/A</v>
      </c>
      <c r="P24" s="34" t="e">
        <f>Table16[[#This Row],[ADD ACC]]*Table16[[#This Row],[Duration]]</f>
        <v>#N/A</v>
      </c>
    </row>
    <row r="25" spans="1:16" x14ac:dyDescent="0.25">
      <c r="A25" s="54" t="s">
        <v>12643</v>
      </c>
      <c r="B25" s="34" t="s">
        <v>143</v>
      </c>
      <c r="C25" s="34" t="s">
        <v>11122</v>
      </c>
      <c r="D25" s="34">
        <v>4</v>
      </c>
      <c r="E25" s="34" t="s">
        <v>142</v>
      </c>
      <c r="F25" s="34"/>
      <c r="G25" s="34" t="s">
        <v>11053</v>
      </c>
      <c r="H25" s="110">
        <v>4248</v>
      </c>
      <c r="I25" s="122">
        <v>11.5</v>
      </c>
      <c r="J25" s="111">
        <v>209416596</v>
      </c>
      <c r="K25" s="111">
        <f>IFERROR(Table16[[#This Row],[ROUTE COST]]/Table16[[#This Row],[E - DEMAND]],0)</f>
        <v>0</v>
      </c>
      <c r="L25" s="34"/>
      <c r="M25" s="34" t="e">
        <f>VLOOKUP(Table16[[#This Row],[ROUTE]],DEMAND!A:F,5,FALSE)</f>
        <v>#N/A</v>
      </c>
      <c r="N25" s="34" t="e">
        <f>VLOOKUP(Table16[[#This Row],[ROUTE]],DEMAND!A:F,6,FALSE)</f>
        <v>#N/A</v>
      </c>
      <c r="O25" s="34" t="e">
        <f>ROUNDDOWN(Table16[[#This Row],[R-DEMAND]]/1320,0)</f>
        <v>#N/A</v>
      </c>
      <c r="P25" s="34" t="e">
        <f>Table16[[#This Row],[ADD ACC]]*Table16[[#This Row],[Duration]]</f>
        <v>#N/A</v>
      </c>
    </row>
    <row r="26" spans="1:16" x14ac:dyDescent="0.25">
      <c r="A26" s="54" t="s">
        <v>12638</v>
      </c>
      <c r="B26" s="34" t="s">
        <v>5497</v>
      </c>
      <c r="C26" s="34" t="s">
        <v>11122</v>
      </c>
      <c r="D26" s="34">
        <v>4</v>
      </c>
      <c r="E26" s="34" t="s">
        <v>258</v>
      </c>
      <c r="F26" s="34"/>
      <c r="G26" s="34" t="s">
        <v>11047</v>
      </c>
      <c r="H26" s="110">
        <v>5152</v>
      </c>
      <c r="I26" s="122">
        <v>13.5</v>
      </c>
      <c r="J26" s="111">
        <v>209593360</v>
      </c>
      <c r="K26" s="111">
        <f>IFERROR(Table16[[#This Row],[ROUTE COST]]/Table16[[#This Row],[E - DEMAND]],0)</f>
        <v>0</v>
      </c>
      <c r="L26" s="34"/>
      <c r="M26" s="34" t="e">
        <f>VLOOKUP(Table16[[#This Row],[ROUTE]],DEMAND!A:F,5,FALSE)</f>
        <v>#N/A</v>
      </c>
      <c r="N26" s="34" t="e">
        <f>VLOOKUP(Table16[[#This Row],[ROUTE]],DEMAND!A:F,6,FALSE)</f>
        <v>#N/A</v>
      </c>
      <c r="O26" s="34" t="e">
        <f>ROUNDDOWN(Table16[[#This Row],[R-DEMAND]]/1320,0)</f>
        <v>#N/A</v>
      </c>
      <c r="P26" s="34" t="e">
        <f>Table16[[#This Row],[ADD ACC]]*Table16[[#This Row],[Duration]]</f>
        <v>#N/A</v>
      </c>
    </row>
    <row r="27" spans="1:16" x14ac:dyDescent="0.25">
      <c r="A27" s="54" t="s">
        <v>12648</v>
      </c>
      <c r="B27" s="34" t="s">
        <v>81</v>
      </c>
      <c r="C27" s="34" t="s">
        <v>11122</v>
      </c>
      <c r="D27" s="34">
        <v>4</v>
      </c>
      <c r="E27" s="34" t="s">
        <v>1261</v>
      </c>
      <c r="F27" s="34"/>
      <c r="G27" s="34" t="s">
        <v>11040</v>
      </c>
      <c r="H27" s="34">
        <v>691</v>
      </c>
      <c r="I27" s="122">
        <v>3.75</v>
      </c>
      <c r="J27" s="111">
        <v>168496632</v>
      </c>
      <c r="K27" s="111">
        <f>IFERROR(Table16[[#This Row],[ROUTE COST]]/Table16[[#This Row],[E - DEMAND]],0)</f>
        <v>0</v>
      </c>
      <c r="L27" s="34"/>
      <c r="M27" s="34" t="e">
        <f>VLOOKUP(Table16[[#This Row],[ROUTE]],DEMAND!A:F,5,FALSE)</f>
        <v>#N/A</v>
      </c>
      <c r="N27" s="34" t="e">
        <f>VLOOKUP(Table16[[#This Row],[ROUTE]],DEMAND!A:F,6,FALSE)</f>
        <v>#N/A</v>
      </c>
      <c r="O27" s="34" t="e">
        <f>ROUNDDOWN(Table16[[#This Row],[R-DEMAND]]/1320,0)</f>
        <v>#N/A</v>
      </c>
      <c r="P27" s="34" t="e">
        <f>Table16[[#This Row],[ADD ACC]]*Table16[[#This Row],[Duration]]</f>
        <v>#N/A</v>
      </c>
    </row>
    <row r="28" spans="1:16" x14ac:dyDescent="0.25">
      <c r="A28" s="54" t="s">
        <v>12371</v>
      </c>
      <c r="B28" s="34" t="s">
        <v>4677</v>
      </c>
      <c r="C28" s="34" t="s">
        <v>11122</v>
      </c>
      <c r="D28" s="34">
        <v>2</v>
      </c>
      <c r="E28" s="34" t="s">
        <v>588</v>
      </c>
      <c r="F28" s="34"/>
      <c r="G28" s="34" t="s">
        <v>11948</v>
      </c>
      <c r="H28" s="110">
        <v>7190</v>
      </c>
      <c r="I28" s="122">
        <v>18</v>
      </c>
      <c r="J28" s="111">
        <v>211976220</v>
      </c>
      <c r="K28" s="111">
        <f>IFERROR(Table16[[#This Row],[ROUTE COST]]/Table16[[#This Row],[E - DEMAND]],0)</f>
        <v>0</v>
      </c>
      <c r="L28" s="34"/>
      <c r="M28" s="34" t="e">
        <f>VLOOKUP(Table16[[#This Row],[ROUTE]],DEMAND!A:F,5,FALSE)</f>
        <v>#N/A</v>
      </c>
      <c r="N28" s="34" t="e">
        <f>VLOOKUP(Table16[[#This Row],[ROUTE]],DEMAND!A:F,6,FALSE)</f>
        <v>#N/A</v>
      </c>
      <c r="O28" s="34" t="e">
        <f>ROUNDDOWN(Table16[[#This Row],[R-DEMAND]]/1320,0)</f>
        <v>#N/A</v>
      </c>
      <c r="P28" s="34" t="e">
        <f>Table16[[#This Row],[ADD ACC]]*Table16[[#This Row],[Duration]]</f>
        <v>#N/A</v>
      </c>
    </row>
    <row r="29" spans="1:16" x14ac:dyDescent="0.25">
      <c r="A29" s="54" t="s">
        <v>12403</v>
      </c>
      <c r="B29" s="34" t="s">
        <v>3628</v>
      </c>
      <c r="C29" s="34" t="s">
        <v>11122</v>
      </c>
      <c r="D29" s="34">
        <v>2</v>
      </c>
      <c r="E29" s="34" t="s">
        <v>197</v>
      </c>
      <c r="F29" s="34"/>
      <c r="G29" s="34" t="s">
        <v>12003</v>
      </c>
      <c r="H29" s="110">
        <v>5854</v>
      </c>
      <c r="I29" s="122">
        <v>15</v>
      </c>
      <c r="J29" s="111">
        <v>190409749</v>
      </c>
      <c r="K29" s="111">
        <f>IFERROR(Table16[[#This Row],[ROUTE COST]]/Table16[[#This Row],[E - DEMAND]],0)</f>
        <v>0</v>
      </c>
      <c r="L29" s="34"/>
      <c r="M29" s="34" t="e">
        <f>VLOOKUP(Table16[[#This Row],[ROUTE]],DEMAND!A:F,5,FALSE)</f>
        <v>#N/A</v>
      </c>
      <c r="N29" s="34" t="e">
        <f>VLOOKUP(Table16[[#This Row],[ROUTE]],DEMAND!A:F,6,FALSE)</f>
        <v>#N/A</v>
      </c>
      <c r="O29" s="34" t="e">
        <f>ROUNDDOWN(Table16[[#This Row],[R-DEMAND]]/1320,0)</f>
        <v>#N/A</v>
      </c>
      <c r="P29" s="34" t="e">
        <f>Table16[[#This Row],[ADD ACC]]*Table16[[#This Row],[Duration]]</f>
        <v>#N/A</v>
      </c>
    </row>
    <row r="30" spans="1:16" x14ac:dyDescent="0.25">
      <c r="A30" s="54" t="s">
        <v>12588</v>
      </c>
      <c r="B30" s="34" t="s">
        <v>37</v>
      </c>
      <c r="C30" s="34" t="s">
        <v>11122</v>
      </c>
      <c r="D30" s="34">
        <v>3</v>
      </c>
      <c r="E30" s="34" t="s">
        <v>1261</v>
      </c>
      <c r="F30" s="34"/>
      <c r="G30" s="34" t="s">
        <v>12110</v>
      </c>
      <c r="H30" s="110">
        <v>1432</v>
      </c>
      <c r="I30" s="122">
        <v>5.25</v>
      </c>
      <c r="J30" s="111">
        <v>164580128</v>
      </c>
      <c r="K30" s="111">
        <f>IFERROR(Table16[[#This Row],[ROUTE COST]]/Table16[[#This Row],[E - DEMAND]],0)</f>
        <v>0</v>
      </c>
      <c r="L30" s="34"/>
      <c r="M30" s="34" t="e">
        <f>VLOOKUP(Table16[[#This Row],[ROUTE]],DEMAND!A:F,5,FALSE)</f>
        <v>#N/A</v>
      </c>
      <c r="N30" s="34" t="e">
        <f>VLOOKUP(Table16[[#This Row],[ROUTE]],DEMAND!A:F,6,FALSE)</f>
        <v>#N/A</v>
      </c>
      <c r="O30" s="34" t="e">
        <f>ROUNDDOWN(Table16[[#This Row],[R-DEMAND]]/1320,0)</f>
        <v>#N/A</v>
      </c>
      <c r="P30" s="34" t="e">
        <f>Table16[[#This Row],[ADD ACC]]*Table16[[#This Row],[Duration]]</f>
        <v>#N/A</v>
      </c>
    </row>
    <row r="31" spans="1:16" x14ac:dyDescent="0.25">
      <c r="A31" s="54" t="s">
        <v>12165</v>
      </c>
      <c r="B31" s="34" t="s">
        <v>1126</v>
      </c>
      <c r="C31" s="34"/>
      <c r="D31" s="34">
        <v>1</v>
      </c>
      <c r="E31" s="34" t="s">
        <v>1124</v>
      </c>
      <c r="F31" s="34"/>
      <c r="G31" s="34" t="s">
        <v>11871</v>
      </c>
      <c r="H31" s="110">
        <v>8750</v>
      </c>
      <c r="I31" s="122">
        <v>21.5</v>
      </c>
      <c r="K31" s="111">
        <f>IFERROR(Table16[[#This Row],[ROUTE COST]]/Table16[[#This Row],[E - DEMAND]],0)</f>
        <v>0</v>
      </c>
      <c r="L31" s="34"/>
      <c r="M31" s="34" t="e">
        <f>VLOOKUP(Table16[[#This Row],[ROUTE]],DEMAND!A:F,5,FALSE)</f>
        <v>#N/A</v>
      </c>
      <c r="N31" s="34" t="e">
        <f>VLOOKUP(Table16[[#This Row],[ROUTE]],DEMAND!A:F,6,FALSE)</f>
        <v>#N/A</v>
      </c>
      <c r="O31" s="34" t="e">
        <f>ROUNDDOWN(Table16[[#This Row],[R-DEMAND]]/1320,0)</f>
        <v>#N/A</v>
      </c>
      <c r="P31" s="34" t="e">
        <f>Table16[[#This Row],[ADD ACC]]*Table16[[#This Row],[Duration]]</f>
        <v>#N/A</v>
      </c>
    </row>
    <row r="32" spans="1:16" x14ac:dyDescent="0.25">
      <c r="A32" s="54" t="s">
        <v>12186</v>
      </c>
      <c r="B32" s="34" t="s">
        <v>2268</v>
      </c>
      <c r="C32" s="34"/>
      <c r="D32" s="34">
        <v>1</v>
      </c>
      <c r="E32" s="34" t="s">
        <v>78</v>
      </c>
      <c r="F32" s="34"/>
      <c r="G32" s="34" t="s">
        <v>11013</v>
      </c>
      <c r="H32" s="110">
        <v>6810</v>
      </c>
      <c r="I32" s="122">
        <v>17.25</v>
      </c>
      <c r="K32" s="111">
        <f>IFERROR(Table16[[#This Row],[ROUTE COST]]/Table16[[#This Row],[E - DEMAND]],0)</f>
        <v>0</v>
      </c>
      <c r="L32" s="34"/>
      <c r="M32" s="34" t="e">
        <f>VLOOKUP(Table16[[#This Row],[ROUTE]],DEMAND!A:F,5,FALSE)</f>
        <v>#N/A</v>
      </c>
      <c r="N32" s="34" t="e">
        <f>VLOOKUP(Table16[[#This Row],[ROUTE]],DEMAND!A:F,6,FALSE)</f>
        <v>#N/A</v>
      </c>
      <c r="O32" s="34" t="e">
        <f>ROUNDDOWN(Table16[[#This Row],[R-DEMAND]]/1320,0)</f>
        <v>#N/A</v>
      </c>
      <c r="P32" s="34" t="e">
        <f>Table16[[#This Row],[ADD ACC]]*Table16[[#This Row],[Duration]]</f>
        <v>#N/A</v>
      </c>
    </row>
    <row r="33" spans="1:16" x14ac:dyDescent="0.25">
      <c r="A33" s="54" t="s">
        <v>12190</v>
      </c>
      <c r="B33" s="34" t="s">
        <v>504</v>
      </c>
      <c r="C33" s="34"/>
      <c r="D33" s="34">
        <v>1</v>
      </c>
      <c r="E33" s="34" t="s">
        <v>502</v>
      </c>
      <c r="F33" s="34"/>
      <c r="G33" s="34" t="s">
        <v>11986</v>
      </c>
      <c r="H33" s="110">
        <v>6331</v>
      </c>
      <c r="I33" s="122">
        <v>16.25</v>
      </c>
      <c r="K33" s="111">
        <f>IFERROR(Table16[[#This Row],[ROUTE COST]]/Table16[[#This Row],[E - DEMAND]],0)</f>
        <v>0</v>
      </c>
      <c r="L33" s="34"/>
      <c r="M33" s="34" t="e">
        <f>VLOOKUP(Table16[[#This Row],[ROUTE]],DEMAND!A:F,5,FALSE)</f>
        <v>#N/A</v>
      </c>
      <c r="N33" s="34" t="e">
        <f>VLOOKUP(Table16[[#This Row],[ROUTE]],DEMAND!A:F,6,FALSE)</f>
        <v>#N/A</v>
      </c>
      <c r="O33" s="34" t="e">
        <f>ROUNDDOWN(Table16[[#This Row],[R-DEMAND]]/1320,0)</f>
        <v>#N/A</v>
      </c>
      <c r="P33" s="34" t="e">
        <f>Table16[[#This Row],[ADD ACC]]*Table16[[#This Row],[Duration]]</f>
        <v>#N/A</v>
      </c>
    </row>
    <row r="34" spans="1:16" x14ac:dyDescent="0.25">
      <c r="A34" s="54" t="s">
        <v>12200</v>
      </c>
      <c r="B34" s="34" t="s">
        <v>2496</v>
      </c>
      <c r="C34" s="34"/>
      <c r="D34" s="34">
        <v>1</v>
      </c>
      <c r="E34" s="34" t="s">
        <v>14</v>
      </c>
      <c r="F34" s="34"/>
      <c r="G34" s="34" t="s">
        <v>12057</v>
      </c>
      <c r="H34" s="110">
        <v>4204</v>
      </c>
      <c r="I34" s="122">
        <v>11.5</v>
      </c>
      <c r="K34" s="111">
        <f>IFERROR(Table16[[#This Row],[ROUTE COST]]/Table16[[#This Row],[E - DEMAND]],0)</f>
        <v>0</v>
      </c>
      <c r="L34" s="34"/>
      <c r="M34" s="34" t="e">
        <f>VLOOKUP(Table16[[#This Row],[ROUTE]],DEMAND!A:F,5,FALSE)</f>
        <v>#N/A</v>
      </c>
      <c r="N34" s="34" t="e">
        <f>VLOOKUP(Table16[[#This Row],[ROUTE]],DEMAND!A:F,6,FALSE)</f>
        <v>#N/A</v>
      </c>
      <c r="O34" s="34" t="e">
        <f>ROUNDDOWN(Table16[[#This Row],[R-DEMAND]]/1320,0)</f>
        <v>#N/A</v>
      </c>
      <c r="P34" s="34" t="e">
        <f>Table16[[#This Row],[ADD ACC]]*Table16[[#This Row],[Duration]]</f>
        <v>#N/A</v>
      </c>
    </row>
    <row r="35" spans="1:16" x14ac:dyDescent="0.25">
      <c r="A35" s="54" t="s">
        <v>12193</v>
      </c>
      <c r="B35" s="34" t="s">
        <v>390</v>
      </c>
      <c r="C35" s="34"/>
      <c r="D35" s="34">
        <v>1</v>
      </c>
      <c r="E35" s="34" t="s">
        <v>533</v>
      </c>
      <c r="F35" s="34"/>
      <c r="G35" s="34" t="s">
        <v>12004</v>
      </c>
      <c r="H35" s="110">
        <v>5845</v>
      </c>
      <c r="I35" s="122">
        <v>15</v>
      </c>
      <c r="K35" s="111">
        <f>IFERROR(Table16[[#This Row],[ROUTE COST]]/Table16[[#This Row],[E - DEMAND]],0)</f>
        <v>0</v>
      </c>
      <c r="L35" s="34"/>
      <c r="M35" s="34" t="e">
        <f>VLOOKUP(Table16[[#This Row],[ROUTE]],DEMAND!A:F,5,FALSE)</f>
        <v>#N/A</v>
      </c>
      <c r="N35" s="34" t="e">
        <f>VLOOKUP(Table16[[#This Row],[ROUTE]],DEMAND!A:F,6,FALSE)</f>
        <v>#N/A</v>
      </c>
      <c r="O35" s="34" t="e">
        <f>ROUNDDOWN(Table16[[#This Row],[R-DEMAND]]/1320,0)</f>
        <v>#N/A</v>
      </c>
      <c r="P35" s="34" t="e">
        <f>Table16[[#This Row],[ADD ACC]]*Table16[[#This Row],[Duration]]</f>
        <v>#N/A</v>
      </c>
    </row>
    <row r="36" spans="1:16" x14ac:dyDescent="0.25">
      <c r="A36" s="54" t="s">
        <v>12126</v>
      </c>
      <c r="B36" s="34" t="s">
        <v>847</v>
      </c>
      <c r="C36" s="34"/>
      <c r="D36" s="34">
        <v>1</v>
      </c>
      <c r="E36" s="34" t="s">
        <v>83</v>
      </c>
      <c r="F36" s="34"/>
      <c r="G36" s="34" t="s">
        <v>10413</v>
      </c>
      <c r="H36" s="110">
        <v>11967</v>
      </c>
      <c r="I36" s="122">
        <v>28.75</v>
      </c>
      <c r="K36" s="111">
        <f>IFERROR(Table16[[#This Row],[ROUTE COST]]/Table16[[#This Row],[E - DEMAND]],0)</f>
        <v>0</v>
      </c>
      <c r="L36" s="34"/>
      <c r="M36" s="34" t="e">
        <f>VLOOKUP(Table16[[#This Row],[ROUTE]],DEMAND!A:F,5,FALSE)</f>
        <v>#N/A</v>
      </c>
      <c r="N36" s="34" t="e">
        <f>VLOOKUP(Table16[[#This Row],[ROUTE]],DEMAND!A:F,6,FALSE)</f>
        <v>#N/A</v>
      </c>
      <c r="O36" s="34" t="e">
        <f>ROUNDDOWN(Table16[[#This Row],[R-DEMAND]]/1320,0)</f>
        <v>#N/A</v>
      </c>
      <c r="P36" s="34" t="e">
        <f>Table16[[#This Row],[ADD ACC]]*Table16[[#This Row],[Duration]]</f>
        <v>#N/A</v>
      </c>
    </row>
    <row r="37" spans="1:16" x14ac:dyDescent="0.25">
      <c r="A37" s="54" t="s">
        <v>12132</v>
      </c>
      <c r="B37" s="34" t="s">
        <v>584</v>
      </c>
      <c r="C37" s="34"/>
      <c r="D37" s="34">
        <v>1</v>
      </c>
      <c r="E37" s="34" t="s">
        <v>560</v>
      </c>
      <c r="F37" s="34"/>
      <c r="G37" s="34" t="s">
        <v>11718</v>
      </c>
      <c r="H37" s="110">
        <v>11640</v>
      </c>
      <c r="I37" s="122">
        <v>28</v>
      </c>
      <c r="K37" s="111">
        <f>IFERROR(Table16[[#This Row],[ROUTE COST]]/Table16[[#This Row],[E - DEMAND]],0)</f>
        <v>0</v>
      </c>
      <c r="L37" s="34"/>
      <c r="M37" s="34" t="e">
        <f>VLOOKUP(Table16[[#This Row],[ROUTE]],DEMAND!A:F,5,FALSE)</f>
        <v>#N/A</v>
      </c>
      <c r="N37" s="34" t="e">
        <f>VLOOKUP(Table16[[#This Row],[ROUTE]],DEMAND!A:F,6,FALSE)</f>
        <v>#N/A</v>
      </c>
      <c r="O37" s="34" t="e">
        <f>ROUNDDOWN(Table16[[#This Row],[R-DEMAND]]/1320,0)</f>
        <v>#N/A</v>
      </c>
      <c r="P37" s="34" t="e">
        <f>Table16[[#This Row],[ADD ACC]]*Table16[[#This Row],[Duration]]</f>
        <v>#N/A</v>
      </c>
    </row>
    <row r="38" spans="1:16" x14ac:dyDescent="0.25">
      <c r="A38" s="54" t="s">
        <v>12171</v>
      </c>
      <c r="B38" s="34" t="s">
        <v>2067</v>
      </c>
      <c r="C38" s="34"/>
      <c r="D38" s="34">
        <v>1</v>
      </c>
      <c r="E38" s="34" t="s">
        <v>1654</v>
      </c>
      <c r="F38" s="34"/>
      <c r="G38" s="34" t="s">
        <v>11900</v>
      </c>
      <c r="H38" s="110">
        <v>8319</v>
      </c>
      <c r="I38" s="122">
        <v>20.5</v>
      </c>
      <c r="K38" s="111">
        <f>IFERROR(Table16[[#This Row],[ROUTE COST]]/Table16[[#This Row],[E - DEMAND]],0)</f>
        <v>0</v>
      </c>
      <c r="L38" s="34"/>
      <c r="M38" s="34" t="e">
        <f>VLOOKUP(Table16[[#This Row],[ROUTE]],DEMAND!A:F,5,FALSE)</f>
        <v>#N/A</v>
      </c>
      <c r="N38" s="34" t="e">
        <f>VLOOKUP(Table16[[#This Row],[ROUTE]],DEMAND!A:F,6,FALSE)</f>
        <v>#N/A</v>
      </c>
      <c r="O38" s="34" t="e">
        <f>ROUNDDOWN(Table16[[#This Row],[R-DEMAND]]/1320,0)</f>
        <v>#N/A</v>
      </c>
      <c r="P38" s="34" t="e">
        <f>Table16[[#This Row],[ADD ACC]]*Table16[[#This Row],[Duration]]</f>
        <v>#N/A</v>
      </c>
    </row>
    <row r="39" spans="1:16" x14ac:dyDescent="0.25">
      <c r="A39" s="54" t="s">
        <v>12179</v>
      </c>
      <c r="B39" s="34" t="s">
        <v>1269</v>
      </c>
      <c r="C39" s="34"/>
      <c r="D39" s="34">
        <v>1</v>
      </c>
      <c r="E39" s="34" t="s">
        <v>172</v>
      </c>
      <c r="F39" s="34"/>
      <c r="G39" s="34" t="s">
        <v>11934</v>
      </c>
      <c r="H39" s="110">
        <v>7572</v>
      </c>
      <c r="I39" s="122">
        <v>19</v>
      </c>
      <c r="K39" s="111">
        <f>IFERROR(Table16[[#This Row],[ROUTE COST]]/Table16[[#This Row],[E - DEMAND]],0)</f>
        <v>0</v>
      </c>
      <c r="L39" s="34"/>
      <c r="M39" s="34" t="e">
        <f>VLOOKUP(Table16[[#This Row],[ROUTE]],DEMAND!A:F,5,FALSE)</f>
        <v>#N/A</v>
      </c>
      <c r="N39" s="34" t="e">
        <f>VLOOKUP(Table16[[#This Row],[ROUTE]],DEMAND!A:F,6,FALSE)</f>
        <v>#N/A</v>
      </c>
      <c r="O39" s="34" t="e">
        <f>ROUNDDOWN(Table16[[#This Row],[R-DEMAND]]/1320,0)</f>
        <v>#N/A</v>
      </c>
      <c r="P39" s="34" t="e">
        <f>Table16[[#This Row],[ADD ACC]]*Table16[[#This Row],[Duration]]</f>
        <v>#N/A</v>
      </c>
    </row>
    <row r="40" spans="1:16" x14ac:dyDescent="0.25">
      <c r="A40" s="54" t="s">
        <v>12166</v>
      </c>
      <c r="B40" s="34" t="s">
        <v>883</v>
      </c>
      <c r="C40" s="34"/>
      <c r="D40" s="34">
        <v>1</v>
      </c>
      <c r="E40" s="34" t="s">
        <v>881</v>
      </c>
      <c r="F40" s="34"/>
      <c r="G40" s="34" t="s">
        <v>9981</v>
      </c>
      <c r="H40" s="110">
        <v>8707</v>
      </c>
      <c r="I40" s="122">
        <v>21.5</v>
      </c>
      <c r="K40" s="111">
        <f>IFERROR(Table16[[#This Row],[ROUTE COST]]/Table16[[#This Row],[E - DEMAND]],0)</f>
        <v>0</v>
      </c>
      <c r="L40" s="34"/>
      <c r="M40" s="34" t="e">
        <f>VLOOKUP(Table16[[#This Row],[ROUTE]],DEMAND!A:F,5,FALSE)</f>
        <v>#N/A</v>
      </c>
      <c r="N40" s="34" t="e">
        <f>VLOOKUP(Table16[[#This Row],[ROUTE]],DEMAND!A:F,6,FALSE)</f>
        <v>#N/A</v>
      </c>
      <c r="O40" s="34" t="e">
        <f>ROUNDDOWN(Table16[[#This Row],[R-DEMAND]]/1320,0)</f>
        <v>#N/A</v>
      </c>
      <c r="P40" s="34" t="e">
        <f>Table16[[#This Row],[ADD ACC]]*Table16[[#This Row],[Duration]]</f>
        <v>#N/A</v>
      </c>
    </row>
    <row r="41" spans="1:16" x14ac:dyDescent="0.25">
      <c r="A41" s="54" t="s">
        <v>12177</v>
      </c>
      <c r="B41" s="34" t="s">
        <v>1600</v>
      </c>
      <c r="C41" s="34"/>
      <c r="D41" s="34">
        <v>1</v>
      </c>
      <c r="E41" s="34" t="s">
        <v>1189</v>
      </c>
      <c r="F41" s="34"/>
      <c r="G41" s="34" t="s">
        <v>11920</v>
      </c>
      <c r="H41" s="110">
        <v>7960</v>
      </c>
      <c r="I41" s="122">
        <v>19.75</v>
      </c>
      <c r="K41" s="111">
        <f>IFERROR(Table16[[#This Row],[ROUTE COST]]/Table16[[#This Row],[E - DEMAND]],0)</f>
        <v>0</v>
      </c>
      <c r="L41" s="34"/>
      <c r="M41" s="34" t="e">
        <f>VLOOKUP(Table16[[#This Row],[ROUTE]],DEMAND!A:F,5,FALSE)</f>
        <v>#N/A</v>
      </c>
      <c r="N41" s="34" t="e">
        <f>VLOOKUP(Table16[[#This Row],[ROUTE]],DEMAND!A:F,6,FALSE)</f>
        <v>#N/A</v>
      </c>
      <c r="O41" s="34" t="e">
        <f>ROUNDDOWN(Table16[[#This Row],[R-DEMAND]]/1320,0)</f>
        <v>#N/A</v>
      </c>
      <c r="P41" s="34" t="e">
        <f>Table16[[#This Row],[ADD ACC]]*Table16[[#This Row],[Duration]]</f>
        <v>#N/A</v>
      </c>
    </row>
    <row r="42" spans="1:16" x14ac:dyDescent="0.25">
      <c r="A42" s="54" t="s">
        <v>12168</v>
      </c>
      <c r="B42" s="34" t="s">
        <v>1939</v>
      </c>
      <c r="C42" s="34"/>
      <c r="D42" s="34">
        <v>1</v>
      </c>
      <c r="E42" s="34" t="s">
        <v>172</v>
      </c>
      <c r="F42" s="34"/>
      <c r="G42" s="34" t="s">
        <v>9941</v>
      </c>
      <c r="H42" s="110">
        <v>8364</v>
      </c>
      <c r="I42" s="122">
        <v>20.75</v>
      </c>
      <c r="K42" s="111">
        <f>IFERROR(Table16[[#This Row],[ROUTE COST]]/Table16[[#This Row],[E - DEMAND]],0)</f>
        <v>0</v>
      </c>
      <c r="L42" s="34"/>
      <c r="M42" s="34" t="e">
        <f>VLOOKUP(Table16[[#This Row],[ROUTE]],DEMAND!A:F,5,FALSE)</f>
        <v>#N/A</v>
      </c>
      <c r="N42" s="34" t="e">
        <f>VLOOKUP(Table16[[#This Row],[ROUTE]],DEMAND!A:F,6,FALSE)</f>
        <v>#N/A</v>
      </c>
      <c r="O42" s="34" t="e">
        <f>ROUNDDOWN(Table16[[#This Row],[R-DEMAND]]/1320,0)</f>
        <v>#N/A</v>
      </c>
      <c r="P42" s="34" t="e">
        <f>Table16[[#This Row],[ADD ACC]]*Table16[[#This Row],[Duration]]</f>
        <v>#N/A</v>
      </c>
    </row>
    <row r="43" spans="1:16" x14ac:dyDescent="0.25">
      <c r="A43" s="54" t="s">
        <v>12159</v>
      </c>
      <c r="B43" s="34" t="s">
        <v>2394</v>
      </c>
      <c r="C43" s="34"/>
      <c r="D43" s="34">
        <v>1</v>
      </c>
      <c r="E43" s="34" t="s">
        <v>881</v>
      </c>
      <c r="F43" s="34"/>
      <c r="G43" s="34" t="s">
        <v>9934</v>
      </c>
      <c r="H43" s="110">
        <v>9240</v>
      </c>
      <c r="I43" s="122">
        <v>22.5</v>
      </c>
      <c r="K43" s="111">
        <f>IFERROR(Table16[[#This Row],[ROUTE COST]]/Table16[[#This Row],[E - DEMAND]],0)</f>
        <v>0</v>
      </c>
      <c r="L43" s="34"/>
      <c r="M43" s="34" t="e">
        <f>VLOOKUP(Table16[[#This Row],[ROUTE]],DEMAND!A:F,5,FALSE)</f>
        <v>#N/A</v>
      </c>
      <c r="N43" s="34" t="e">
        <f>VLOOKUP(Table16[[#This Row],[ROUTE]],DEMAND!A:F,6,FALSE)</f>
        <v>#N/A</v>
      </c>
      <c r="O43" s="34" t="e">
        <f>ROUNDDOWN(Table16[[#This Row],[R-DEMAND]]/1320,0)</f>
        <v>#N/A</v>
      </c>
      <c r="P43" s="34" t="e">
        <f>Table16[[#This Row],[ADD ACC]]*Table16[[#This Row],[Duration]]</f>
        <v>#N/A</v>
      </c>
    </row>
    <row r="44" spans="1:16" x14ac:dyDescent="0.25">
      <c r="A44" s="54" t="s">
        <v>12189</v>
      </c>
      <c r="B44" s="34" t="s">
        <v>1849</v>
      </c>
      <c r="C44" s="34"/>
      <c r="D44" s="34">
        <v>1</v>
      </c>
      <c r="E44" s="34" t="s">
        <v>1847</v>
      </c>
      <c r="F44" s="34"/>
      <c r="G44" s="34" t="s">
        <v>11983</v>
      </c>
      <c r="H44" s="110">
        <v>6454</v>
      </c>
      <c r="I44" s="122">
        <v>16.5</v>
      </c>
      <c r="K44" s="111">
        <f>IFERROR(Table16[[#This Row],[ROUTE COST]]/Table16[[#This Row],[E - DEMAND]],0)</f>
        <v>0</v>
      </c>
      <c r="L44" s="34"/>
      <c r="M44" s="34" t="e">
        <f>VLOOKUP(Table16[[#This Row],[ROUTE]],DEMAND!A:F,5,FALSE)</f>
        <v>#N/A</v>
      </c>
      <c r="N44" s="34" t="e">
        <f>VLOOKUP(Table16[[#This Row],[ROUTE]],DEMAND!A:F,6,FALSE)</f>
        <v>#N/A</v>
      </c>
      <c r="O44" s="34" t="e">
        <f>ROUNDDOWN(Table16[[#This Row],[R-DEMAND]]/1320,0)</f>
        <v>#N/A</v>
      </c>
      <c r="P44" s="34" t="e">
        <f>Table16[[#This Row],[ADD ACC]]*Table16[[#This Row],[Duration]]</f>
        <v>#N/A</v>
      </c>
    </row>
    <row r="45" spans="1:16" x14ac:dyDescent="0.25">
      <c r="A45" s="54" t="s">
        <v>12141</v>
      </c>
      <c r="B45" s="34" t="s">
        <v>973</v>
      </c>
      <c r="C45" s="34"/>
      <c r="D45" s="34">
        <v>1</v>
      </c>
      <c r="E45" s="34" t="s">
        <v>971</v>
      </c>
      <c r="F45" s="34"/>
      <c r="G45" s="34" t="s">
        <v>11755</v>
      </c>
      <c r="H45" s="110">
        <v>11113</v>
      </c>
      <c r="I45" s="122">
        <v>26.75</v>
      </c>
      <c r="K45" s="111">
        <f>IFERROR(Table16[[#This Row],[ROUTE COST]]/Table16[[#This Row],[E - DEMAND]],0)</f>
        <v>0</v>
      </c>
      <c r="L45" s="34"/>
      <c r="M45" s="34" t="e">
        <f>VLOOKUP(Table16[[#This Row],[ROUTE]],DEMAND!A:F,5,FALSE)</f>
        <v>#N/A</v>
      </c>
      <c r="N45" s="34" t="e">
        <f>VLOOKUP(Table16[[#This Row],[ROUTE]],DEMAND!A:F,6,FALSE)</f>
        <v>#N/A</v>
      </c>
      <c r="O45" s="34" t="e">
        <f>ROUNDDOWN(Table16[[#This Row],[R-DEMAND]]/1320,0)</f>
        <v>#N/A</v>
      </c>
      <c r="P45" s="34" t="e">
        <f>Table16[[#This Row],[ADD ACC]]*Table16[[#This Row],[Duration]]</f>
        <v>#N/A</v>
      </c>
    </row>
    <row r="46" spans="1:16" x14ac:dyDescent="0.25">
      <c r="A46" s="54" t="s">
        <v>12173</v>
      </c>
      <c r="B46" s="34" t="s">
        <v>2401</v>
      </c>
      <c r="C46" s="34"/>
      <c r="D46" s="34">
        <v>1</v>
      </c>
      <c r="E46" s="34" t="s">
        <v>78</v>
      </c>
      <c r="F46" s="34"/>
      <c r="G46" s="34" t="s">
        <v>11902</v>
      </c>
      <c r="H46" s="110">
        <v>8295</v>
      </c>
      <c r="I46" s="122">
        <v>20.5</v>
      </c>
      <c r="K46" s="111">
        <f>IFERROR(Table16[[#This Row],[ROUTE COST]]/Table16[[#This Row],[E - DEMAND]],0)</f>
        <v>0</v>
      </c>
      <c r="L46" s="34"/>
      <c r="M46" s="34" t="e">
        <f>VLOOKUP(Table16[[#This Row],[ROUTE]],DEMAND!A:F,5,FALSE)</f>
        <v>#N/A</v>
      </c>
      <c r="N46" s="34" t="e">
        <f>VLOOKUP(Table16[[#This Row],[ROUTE]],DEMAND!A:F,6,FALSE)</f>
        <v>#N/A</v>
      </c>
      <c r="O46" s="34" t="e">
        <f>ROUNDDOWN(Table16[[#This Row],[R-DEMAND]]/1320,0)</f>
        <v>#N/A</v>
      </c>
      <c r="P46" s="34" t="e">
        <f>Table16[[#This Row],[ADD ACC]]*Table16[[#This Row],[Duration]]</f>
        <v>#N/A</v>
      </c>
    </row>
    <row r="47" spans="1:16" x14ac:dyDescent="0.25">
      <c r="A47" s="54" t="s">
        <v>12188</v>
      </c>
      <c r="B47" s="34" t="s">
        <v>2007</v>
      </c>
      <c r="C47" s="34"/>
      <c r="D47" s="34">
        <v>1</v>
      </c>
      <c r="E47" s="34" t="s">
        <v>1513</v>
      </c>
      <c r="F47" s="34"/>
      <c r="G47" s="34" t="s">
        <v>11967</v>
      </c>
      <c r="H47" s="110">
        <v>6725</v>
      </c>
      <c r="I47" s="122">
        <v>17</v>
      </c>
      <c r="K47" s="111">
        <f>IFERROR(Table16[[#This Row],[ROUTE COST]]/Table16[[#This Row],[E - DEMAND]],0)</f>
        <v>0</v>
      </c>
      <c r="L47" s="34"/>
      <c r="M47" s="34" t="e">
        <f>VLOOKUP(Table16[[#This Row],[ROUTE]],DEMAND!A:F,5,FALSE)</f>
        <v>#N/A</v>
      </c>
      <c r="N47" s="34" t="e">
        <f>VLOOKUP(Table16[[#This Row],[ROUTE]],DEMAND!A:F,6,FALSE)</f>
        <v>#N/A</v>
      </c>
      <c r="O47" s="34" t="e">
        <f>ROUNDDOWN(Table16[[#This Row],[R-DEMAND]]/1320,0)</f>
        <v>#N/A</v>
      </c>
      <c r="P47" s="34" t="e">
        <f>Table16[[#This Row],[ADD ACC]]*Table16[[#This Row],[Duration]]</f>
        <v>#N/A</v>
      </c>
    </row>
    <row r="48" spans="1:16" x14ac:dyDescent="0.25">
      <c r="A48" s="54" t="s">
        <v>12196</v>
      </c>
      <c r="B48" s="34" t="s">
        <v>1882</v>
      </c>
      <c r="C48" s="34"/>
      <c r="D48" s="34">
        <v>1</v>
      </c>
      <c r="E48" s="34" t="s">
        <v>14</v>
      </c>
      <c r="F48" s="34"/>
      <c r="G48" s="34" t="s">
        <v>9663</v>
      </c>
      <c r="H48" s="110">
        <v>4889</v>
      </c>
      <c r="I48" s="122">
        <v>13</v>
      </c>
      <c r="K48" s="111">
        <f>IFERROR(Table16[[#This Row],[ROUTE COST]]/Table16[[#This Row],[E - DEMAND]],0)</f>
        <v>0</v>
      </c>
      <c r="L48" s="34"/>
      <c r="M48" s="34" t="e">
        <f>VLOOKUP(Table16[[#This Row],[ROUTE]],DEMAND!A:F,5,FALSE)</f>
        <v>#N/A</v>
      </c>
      <c r="N48" s="34" t="e">
        <f>VLOOKUP(Table16[[#This Row],[ROUTE]],DEMAND!A:F,6,FALSE)</f>
        <v>#N/A</v>
      </c>
      <c r="O48" s="34" t="e">
        <f>ROUNDDOWN(Table16[[#This Row],[R-DEMAND]]/1320,0)</f>
        <v>#N/A</v>
      </c>
      <c r="P48" s="34" t="e">
        <f>Table16[[#This Row],[ADD ACC]]*Table16[[#This Row],[Duration]]</f>
        <v>#N/A</v>
      </c>
    </row>
    <row r="49" spans="1:16" x14ac:dyDescent="0.25">
      <c r="A49" s="54" t="s">
        <v>12147</v>
      </c>
      <c r="B49" s="34" t="s">
        <v>1769</v>
      </c>
      <c r="C49" s="34"/>
      <c r="D49" s="34">
        <v>1</v>
      </c>
      <c r="E49" s="34" t="s">
        <v>11782</v>
      </c>
      <c r="F49" s="34"/>
      <c r="G49" s="34" t="s">
        <v>11803</v>
      </c>
      <c r="H49" s="110">
        <v>10479</v>
      </c>
      <c r="I49" s="122">
        <v>25.25</v>
      </c>
      <c r="K49" s="111">
        <f>IFERROR(Table16[[#This Row],[ROUTE COST]]/Table16[[#This Row],[E - DEMAND]],0)</f>
        <v>0</v>
      </c>
      <c r="L49" s="34"/>
      <c r="M49" s="34" t="e">
        <f>VLOOKUP(Table16[[#This Row],[ROUTE]],DEMAND!A:F,5,FALSE)</f>
        <v>#N/A</v>
      </c>
      <c r="N49" s="34" t="e">
        <f>VLOOKUP(Table16[[#This Row],[ROUTE]],DEMAND!A:F,6,FALSE)</f>
        <v>#N/A</v>
      </c>
      <c r="O49" s="34" t="e">
        <f>ROUNDDOWN(Table16[[#This Row],[R-DEMAND]]/1320,0)</f>
        <v>#N/A</v>
      </c>
      <c r="P49" s="34" t="e">
        <f>Table16[[#This Row],[ADD ACC]]*Table16[[#This Row],[Duration]]</f>
        <v>#N/A</v>
      </c>
    </row>
    <row r="50" spans="1:16" x14ac:dyDescent="0.25">
      <c r="A50" s="54" t="s">
        <v>12185</v>
      </c>
      <c r="B50" s="34" t="s">
        <v>1755</v>
      </c>
      <c r="C50" s="34"/>
      <c r="D50" s="34">
        <v>1</v>
      </c>
      <c r="E50" s="34" t="s">
        <v>1289</v>
      </c>
      <c r="F50" s="34"/>
      <c r="G50" s="34" t="s">
        <v>11964</v>
      </c>
      <c r="H50" s="110">
        <v>6826</v>
      </c>
      <c r="I50" s="122">
        <v>17.25</v>
      </c>
      <c r="K50" s="111">
        <f>IFERROR(Table16[[#This Row],[ROUTE COST]]/Table16[[#This Row],[E - DEMAND]],0)</f>
        <v>0</v>
      </c>
      <c r="L50" s="34"/>
      <c r="M50" s="34" t="e">
        <f>VLOOKUP(Table16[[#This Row],[ROUTE]],DEMAND!A:F,5,FALSE)</f>
        <v>#N/A</v>
      </c>
      <c r="N50" s="34" t="e">
        <f>VLOOKUP(Table16[[#This Row],[ROUTE]],DEMAND!A:F,6,FALSE)</f>
        <v>#N/A</v>
      </c>
      <c r="O50" s="34" t="e">
        <f>ROUNDDOWN(Table16[[#This Row],[R-DEMAND]]/1320,0)</f>
        <v>#N/A</v>
      </c>
      <c r="P50" s="34" t="e">
        <f>Table16[[#This Row],[ADD ACC]]*Table16[[#This Row],[Duration]]</f>
        <v>#N/A</v>
      </c>
    </row>
    <row r="51" spans="1:16" x14ac:dyDescent="0.25">
      <c r="A51" s="54" t="s">
        <v>12180</v>
      </c>
      <c r="B51" s="34" t="s">
        <v>902</v>
      </c>
      <c r="C51" s="34"/>
      <c r="D51" s="34">
        <v>1</v>
      </c>
      <c r="E51" s="34" t="s">
        <v>172</v>
      </c>
      <c r="F51" s="34"/>
      <c r="G51" s="34" t="s">
        <v>11935</v>
      </c>
      <c r="H51" s="110">
        <v>7565</v>
      </c>
      <c r="I51" s="122">
        <v>19</v>
      </c>
      <c r="K51" s="111">
        <f>IFERROR(Table16[[#This Row],[ROUTE COST]]/Table16[[#This Row],[E - DEMAND]],0)</f>
        <v>0</v>
      </c>
      <c r="L51" s="34"/>
      <c r="M51" s="34" t="e">
        <f>VLOOKUP(Table16[[#This Row],[ROUTE]],DEMAND!A:F,5,FALSE)</f>
        <v>#N/A</v>
      </c>
      <c r="N51" s="34" t="e">
        <f>VLOOKUP(Table16[[#This Row],[ROUTE]],DEMAND!A:F,6,FALSE)</f>
        <v>#N/A</v>
      </c>
      <c r="O51" s="34" t="e">
        <f>ROUNDDOWN(Table16[[#This Row],[R-DEMAND]]/1320,0)</f>
        <v>#N/A</v>
      </c>
      <c r="P51" s="34" t="e">
        <f>Table16[[#This Row],[ADD ACC]]*Table16[[#This Row],[Duration]]</f>
        <v>#N/A</v>
      </c>
    </row>
    <row r="52" spans="1:16" x14ac:dyDescent="0.25">
      <c r="A52" s="54" t="s">
        <v>12181</v>
      </c>
      <c r="B52" s="34" t="s">
        <v>1475</v>
      </c>
      <c r="C52" s="34"/>
      <c r="D52" s="34">
        <v>1</v>
      </c>
      <c r="E52" s="34" t="s">
        <v>1289</v>
      </c>
      <c r="F52" s="34"/>
      <c r="G52" s="34" t="s">
        <v>11942</v>
      </c>
      <c r="H52" s="110">
        <v>7393</v>
      </c>
      <c r="I52" s="122">
        <v>18.5</v>
      </c>
      <c r="K52" s="111">
        <f>IFERROR(Table16[[#This Row],[ROUTE COST]]/Table16[[#This Row],[E - DEMAND]],0)</f>
        <v>0</v>
      </c>
      <c r="L52" s="34"/>
      <c r="M52" s="34" t="e">
        <f>VLOOKUP(Table16[[#This Row],[ROUTE]],DEMAND!A:F,5,FALSE)</f>
        <v>#N/A</v>
      </c>
      <c r="N52" s="34" t="e">
        <f>VLOOKUP(Table16[[#This Row],[ROUTE]],DEMAND!A:F,6,FALSE)</f>
        <v>#N/A</v>
      </c>
      <c r="O52" s="34" t="e">
        <f>ROUNDDOWN(Table16[[#This Row],[R-DEMAND]]/1320,0)</f>
        <v>#N/A</v>
      </c>
      <c r="P52" s="34" t="e">
        <f>Table16[[#This Row],[ADD ACC]]*Table16[[#This Row],[Duration]]</f>
        <v>#N/A</v>
      </c>
    </row>
    <row r="53" spans="1:16" x14ac:dyDescent="0.25">
      <c r="A53" s="54" t="s">
        <v>12183</v>
      </c>
      <c r="B53" s="34" t="s">
        <v>1703</v>
      </c>
      <c r="C53" s="34"/>
      <c r="D53" s="34">
        <v>1</v>
      </c>
      <c r="E53" s="34" t="s">
        <v>172</v>
      </c>
      <c r="F53" s="34"/>
      <c r="G53" s="34" t="s">
        <v>11952</v>
      </c>
      <c r="H53" s="110">
        <v>7094</v>
      </c>
      <c r="I53" s="122">
        <v>17.75</v>
      </c>
      <c r="K53" s="111">
        <f>IFERROR(Table16[[#This Row],[ROUTE COST]]/Table16[[#This Row],[E - DEMAND]],0)</f>
        <v>0</v>
      </c>
      <c r="L53" s="34"/>
      <c r="M53" s="34" t="e">
        <f>VLOOKUP(Table16[[#This Row],[ROUTE]],DEMAND!A:F,5,FALSE)</f>
        <v>#N/A</v>
      </c>
      <c r="N53" s="34" t="e">
        <f>VLOOKUP(Table16[[#This Row],[ROUTE]],DEMAND!A:F,6,FALSE)</f>
        <v>#N/A</v>
      </c>
      <c r="O53" s="34" t="e">
        <f>ROUNDDOWN(Table16[[#This Row],[R-DEMAND]]/1320,0)</f>
        <v>#N/A</v>
      </c>
      <c r="P53" s="34" t="e">
        <f>Table16[[#This Row],[ADD ACC]]*Table16[[#This Row],[Duration]]</f>
        <v>#N/A</v>
      </c>
    </row>
    <row r="54" spans="1:16" x14ac:dyDescent="0.25">
      <c r="A54" s="54" t="s">
        <v>12191</v>
      </c>
      <c r="B54" s="34" t="s">
        <v>1267</v>
      </c>
      <c r="C54" s="34"/>
      <c r="D54" s="34">
        <v>1</v>
      </c>
      <c r="E54" s="34" t="s">
        <v>533</v>
      </c>
      <c r="F54" s="34"/>
      <c r="G54" s="34" t="s">
        <v>11993</v>
      </c>
      <c r="H54" s="110">
        <v>6193</v>
      </c>
      <c r="I54" s="122">
        <v>15.75</v>
      </c>
      <c r="K54" s="111">
        <f>IFERROR(Table16[[#This Row],[ROUTE COST]]/Table16[[#This Row],[E - DEMAND]],0)</f>
        <v>0</v>
      </c>
      <c r="L54" s="34"/>
      <c r="M54" s="34" t="e">
        <f>VLOOKUP(Table16[[#This Row],[ROUTE]],DEMAND!A:F,5,FALSE)</f>
        <v>#N/A</v>
      </c>
      <c r="N54" s="34" t="e">
        <f>VLOOKUP(Table16[[#This Row],[ROUTE]],DEMAND!A:F,6,FALSE)</f>
        <v>#N/A</v>
      </c>
      <c r="O54" s="34" t="e">
        <f>ROUNDDOWN(Table16[[#This Row],[R-DEMAND]]/1320,0)</f>
        <v>#N/A</v>
      </c>
      <c r="P54" s="34" t="e">
        <f>Table16[[#This Row],[ADD ACC]]*Table16[[#This Row],[Duration]]</f>
        <v>#N/A</v>
      </c>
    </row>
    <row r="55" spans="1:16" x14ac:dyDescent="0.25">
      <c r="A55" s="54" t="s">
        <v>12164</v>
      </c>
      <c r="B55" s="34" t="s">
        <v>1467</v>
      </c>
      <c r="C55" s="34"/>
      <c r="D55" s="34">
        <v>1</v>
      </c>
      <c r="E55" s="34" t="s">
        <v>78</v>
      </c>
      <c r="F55" s="34"/>
      <c r="G55" s="34" t="s">
        <v>9359</v>
      </c>
      <c r="H55" s="110">
        <v>8807</v>
      </c>
      <c r="I55" s="122">
        <v>21.75</v>
      </c>
      <c r="K55" s="111">
        <f>IFERROR(Table16[[#This Row],[ROUTE COST]]/Table16[[#This Row],[E - DEMAND]],0)</f>
        <v>0</v>
      </c>
      <c r="L55" s="34"/>
      <c r="M55" s="34" t="e">
        <f>VLOOKUP(Table16[[#This Row],[ROUTE]],DEMAND!A:F,5,FALSE)</f>
        <v>#N/A</v>
      </c>
      <c r="N55" s="34" t="e">
        <f>VLOOKUP(Table16[[#This Row],[ROUTE]],DEMAND!A:F,6,FALSE)</f>
        <v>#N/A</v>
      </c>
      <c r="O55" s="34" t="e">
        <f>ROUNDDOWN(Table16[[#This Row],[R-DEMAND]]/1320,0)</f>
        <v>#N/A</v>
      </c>
      <c r="P55" s="34" t="e">
        <f>Table16[[#This Row],[ADD ACC]]*Table16[[#This Row],[Duration]]</f>
        <v>#N/A</v>
      </c>
    </row>
    <row r="56" spans="1:16" x14ac:dyDescent="0.25">
      <c r="A56" s="54" t="s">
        <v>12160</v>
      </c>
      <c r="B56" s="34" t="s">
        <v>1211</v>
      </c>
      <c r="C56" s="34"/>
      <c r="D56" s="34">
        <v>1</v>
      </c>
      <c r="E56" s="34" t="s">
        <v>700</v>
      </c>
      <c r="F56" s="34"/>
      <c r="G56" s="34" t="s">
        <v>11854</v>
      </c>
      <c r="H56" s="110">
        <v>9239</v>
      </c>
      <c r="I56" s="122">
        <v>22.5</v>
      </c>
      <c r="K56" s="111">
        <f>IFERROR(Table16[[#This Row],[ROUTE COST]]/Table16[[#This Row],[E - DEMAND]],0)</f>
        <v>0</v>
      </c>
      <c r="L56" s="34"/>
      <c r="M56" s="34" t="e">
        <f>VLOOKUP(Table16[[#This Row],[ROUTE]],DEMAND!A:F,5,FALSE)</f>
        <v>#N/A</v>
      </c>
      <c r="N56" s="34" t="e">
        <f>VLOOKUP(Table16[[#This Row],[ROUTE]],DEMAND!A:F,6,FALSE)</f>
        <v>#N/A</v>
      </c>
      <c r="O56" s="34" t="e">
        <f>ROUNDDOWN(Table16[[#This Row],[R-DEMAND]]/1320,0)</f>
        <v>#N/A</v>
      </c>
      <c r="P56" s="34" t="e">
        <f>Table16[[#This Row],[ADD ACC]]*Table16[[#This Row],[Duration]]</f>
        <v>#N/A</v>
      </c>
    </row>
    <row r="57" spans="1:16" x14ac:dyDescent="0.25">
      <c r="A57" s="54" t="s">
        <v>12201</v>
      </c>
      <c r="B57" s="34" t="s">
        <v>2313</v>
      </c>
      <c r="C57" s="34"/>
      <c r="D57" s="34">
        <v>1</v>
      </c>
      <c r="E57" s="34" t="s">
        <v>14</v>
      </c>
      <c r="F57" s="34"/>
      <c r="G57" s="34" t="s">
        <v>12060</v>
      </c>
      <c r="H57" s="110">
        <v>4078</v>
      </c>
      <c r="I57" s="122">
        <v>11.25</v>
      </c>
      <c r="K57" s="111">
        <f>IFERROR(Table16[[#This Row],[ROUTE COST]]/Table16[[#This Row],[E - DEMAND]],0)</f>
        <v>0</v>
      </c>
      <c r="L57" s="34"/>
      <c r="M57" s="34" t="e">
        <f>VLOOKUP(Table16[[#This Row],[ROUTE]],DEMAND!A:F,5,FALSE)</f>
        <v>#N/A</v>
      </c>
      <c r="N57" s="34" t="e">
        <f>VLOOKUP(Table16[[#This Row],[ROUTE]],DEMAND!A:F,6,FALSE)</f>
        <v>#N/A</v>
      </c>
      <c r="O57" s="34" t="e">
        <f>ROUNDDOWN(Table16[[#This Row],[R-DEMAND]]/1320,0)</f>
        <v>#N/A</v>
      </c>
      <c r="P57" s="34" t="e">
        <f>Table16[[#This Row],[ADD ACC]]*Table16[[#This Row],[Duration]]</f>
        <v>#N/A</v>
      </c>
    </row>
    <row r="58" spans="1:16" x14ac:dyDescent="0.25">
      <c r="A58" s="54" t="s">
        <v>12172</v>
      </c>
      <c r="B58" s="34" t="s">
        <v>1656</v>
      </c>
      <c r="C58" s="34"/>
      <c r="D58" s="34">
        <v>1</v>
      </c>
      <c r="E58" s="34" t="s">
        <v>1654</v>
      </c>
      <c r="F58" s="34"/>
      <c r="G58" s="34" t="s">
        <v>11901</v>
      </c>
      <c r="H58" s="110">
        <v>8298</v>
      </c>
      <c r="I58" s="122">
        <v>20.5</v>
      </c>
      <c r="K58" s="111">
        <f>IFERROR(Table16[[#This Row],[ROUTE COST]]/Table16[[#This Row],[E - DEMAND]],0)</f>
        <v>0</v>
      </c>
      <c r="L58" s="34"/>
      <c r="M58" s="34" t="e">
        <f>VLOOKUP(Table16[[#This Row],[ROUTE]],DEMAND!A:F,5,FALSE)</f>
        <v>#N/A</v>
      </c>
      <c r="N58" s="34" t="e">
        <f>VLOOKUP(Table16[[#This Row],[ROUTE]],DEMAND!A:F,6,FALSE)</f>
        <v>#N/A</v>
      </c>
      <c r="O58" s="34" t="e">
        <f>ROUNDDOWN(Table16[[#This Row],[R-DEMAND]]/1320,0)</f>
        <v>#N/A</v>
      </c>
      <c r="P58" s="34" t="e">
        <f>Table16[[#This Row],[ADD ACC]]*Table16[[#This Row],[Duration]]</f>
        <v>#N/A</v>
      </c>
    </row>
    <row r="59" spans="1:16" x14ac:dyDescent="0.25">
      <c r="A59" s="54" t="s">
        <v>12163</v>
      </c>
      <c r="B59" s="34" t="s">
        <v>2374</v>
      </c>
      <c r="C59" s="34"/>
      <c r="D59" s="34">
        <v>1</v>
      </c>
      <c r="E59" s="34" t="s">
        <v>926</v>
      </c>
      <c r="F59" s="34"/>
      <c r="G59" s="34" t="s">
        <v>11866</v>
      </c>
      <c r="H59" s="110">
        <v>8893</v>
      </c>
      <c r="I59" s="122">
        <v>21.75</v>
      </c>
      <c r="K59" s="111">
        <f>IFERROR(Table16[[#This Row],[ROUTE COST]]/Table16[[#This Row],[E - DEMAND]],0)</f>
        <v>0</v>
      </c>
      <c r="L59" s="34"/>
      <c r="M59" s="34" t="e">
        <f>VLOOKUP(Table16[[#This Row],[ROUTE]],DEMAND!A:F,5,FALSE)</f>
        <v>#N/A</v>
      </c>
      <c r="N59" s="34" t="e">
        <f>VLOOKUP(Table16[[#This Row],[ROUTE]],DEMAND!A:F,6,FALSE)</f>
        <v>#N/A</v>
      </c>
      <c r="O59" s="34" t="e">
        <f>ROUNDDOWN(Table16[[#This Row],[R-DEMAND]]/1320,0)</f>
        <v>#N/A</v>
      </c>
      <c r="P59" s="34" t="e">
        <f>Table16[[#This Row],[ADD ACC]]*Table16[[#This Row],[Duration]]</f>
        <v>#N/A</v>
      </c>
    </row>
    <row r="60" spans="1:16" x14ac:dyDescent="0.25">
      <c r="A60" s="54" t="s">
        <v>12184</v>
      </c>
      <c r="B60" s="34" t="s">
        <v>2258</v>
      </c>
      <c r="C60" s="34"/>
      <c r="D60" s="34">
        <v>1</v>
      </c>
      <c r="E60" s="34" t="s">
        <v>1513</v>
      </c>
      <c r="F60" s="34"/>
      <c r="G60" s="34" t="s">
        <v>11963</v>
      </c>
      <c r="H60" s="110">
        <v>6873</v>
      </c>
      <c r="I60" s="122">
        <v>17.25</v>
      </c>
      <c r="K60" s="111">
        <f>IFERROR(Table16[[#This Row],[ROUTE COST]]/Table16[[#This Row],[E - DEMAND]],0)</f>
        <v>0</v>
      </c>
      <c r="L60" s="34"/>
      <c r="M60" s="34" t="e">
        <f>VLOOKUP(Table16[[#This Row],[ROUTE]],DEMAND!A:F,5,FALSE)</f>
        <v>#N/A</v>
      </c>
      <c r="N60" s="34" t="e">
        <f>VLOOKUP(Table16[[#This Row],[ROUTE]],DEMAND!A:F,6,FALSE)</f>
        <v>#N/A</v>
      </c>
      <c r="O60" s="34" t="e">
        <f>ROUNDDOWN(Table16[[#This Row],[R-DEMAND]]/1320,0)</f>
        <v>#N/A</v>
      </c>
      <c r="P60" s="34" t="e">
        <f>Table16[[#This Row],[ADD ACC]]*Table16[[#This Row],[Duration]]</f>
        <v>#N/A</v>
      </c>
    </row>
    <row r="61" spans="1:16" x14ac:dyDescent="0.25">
      <c r="A61" s="54" t="s">
        <v>12134</v>
      </c>
      <c r="B61" s="34" t="s">
        <v>1199</v>
      </c>
      <c r="C61" s="34"/>
      <c r="D61" s="34">
        <v>1</v>
      </c>
      <c r="E61" s="34" t="s">
        <v>83</v>
      </c>
      <c r="F61" s="34"/>
      <c r="G61" s="34" t="s">
        <v>11720</v>
      </c>
      <c r="H61" s="110">
        <v>11603</v>
      </c>
      <c r="I61" s="122">
        <v>27.75</v>
      </c>
      <c r="K61" s="111">
        <f>IFERROR(Table16[[#This Row],[ROUTE COST]]/Table16[[#This Row],[E - DEMAND]],0)</f>
        <v>0</v>
      </c>
      <c r="L61" s="34"/>
      <c r="M61" s="34" t="e">
        <f>VLOOKUP(Table16[[#This Row],[ROUTE]],DEMAND!A:F,5,FALSE)</f>
        <v>#N/A</v>
      </c>
      <c r="N61" s="34" t="e">
        <f>VLOOKUP(Table16[[#This Row],[ROUTE]],DEMAND!A:F,6,FALSE)</f>
        <v>#N/A</v>
      </c>
      <c r="O61" s="34" t="e">
        <f>ROUNDDOWN(Table16[[#This Row],[R-DEMAND]]/1320,0)</f>
        <v>#N/A</v>
      </c>
      <c r="P61" s="34" t="e">
        <f>Table16[[#This Row],[ADD ACC]]*Table16[[#This Row],[Duration]]</f>
        <v>#N/A</v>
      </c>
    </row>
    <row r="62" spans="1:16" x14ac:dyDescent="0.25">
      <c r="A62" s="54" t="s">
        <v>12167</v>
      </c>
      <c r="B62" s="34" t="s">
        <v>2106</v>
      </c>
      <c r="C62" s="34"/>
      <c r="D62" s="34">
        <v>1</v>
      </c>
      <c r="E62" s="34" t="s">
        <v>2104</v>
      </c>
      <c r="F62" s="34"/>
      <c r="G62" s="34" t="s">
        <v>11881</v>
      </c>
      <c r="H62" s="110">
        <v>8622</v>
      </c>
      <c r="I62" s="122">
        <v>21.25</v>
      </c>
      <c r="K62" s="111">
        <f>IFERROR(Table16[[#This Row],[ROUTE COST]]/Table16[[#This Row],[E - DEMAND]],0)</f>
        <v>0</v>
      </c>
      <c r="L62" s="34"/>
      <c r="M62" s="34" t="e">
        <f>VLOOKUP(Table16[[#This Row],[ROUTE]],DEMAND!A:F,5,FALSE)</f>
        <v>#N/A</v>
      </c>
      <c r="N62" s="34" t="e">
        <f>VLOOKUP(Table16[[#This Row],[ROUTE]],DEMAND!A:F,6,FALSE)</f>
        <v>#N/A</v>
      </c>
      <c r="O62" s="34" t="e">
        <f>ROUNDDOWN(Table16[[#This Row],[R-DEMAND]]/1320,0)</f>
        <v>#N/A</v>
      </c>
      <c r="P62" s="34" t="e">
        <f>Table16[[#This Row],[ADD ACC]]*Table16[[#This Row],[Duration]]</f>
        <v>#N/A</v>
      </c>
    </row>
    <row r="63" spans="1:16" x14ac:dyDescent="0.25">
      <c r="A63" s="54" t="s">
        <v>12195</v>
      </c>
      <c r="B63" s="34" t="s">
        <v>2253</v>
      </c>
      <c r="C63" s="34"/>
      <c r="D63" s="34">
        <v>1</v>
      </c>
      <c r="E63" s="34" t="s">
        <v>258</v>
      </c>
      <c r="F63" s="34"/>
      <c r="G63" s="34" t="s">
        <v>12025</v>
      </c>
      <c r="H63" s="110">
        <v>5019</v>
      </c>
      <c r="I63" s="122">
        <v>13.25</v>
      </c>
      <c r="K63" s="111">
        <f>IFERROR(Table16[[#This Row],[ROUTE COST]]/Table16[[#This Row],[E - DEMAND]],0)</f>
        <v>0</v>
      </c>
      <c r="L63" s="34"/>
      <c r="M63" s="34" t="e">
        <f>VLOOKUP(Table16[[#This Row],[ROUTE]],DEMAND!A:F,5,FALSE)</f>
        <v>#N/A</v>
      </c>
      <c r="N63" s="34" t="e">
        <f>VLOOKUP(Table16[[#This Row],[ROUTE]],DEMAND!A:F,6,FALSE)</f>
        <v>#N/A</v>
      </c>
      <c r="O63" s="34" t="e">
        <f>ROUNDDOWN(Table16[[#This Row],[R-DEMAND]]/1320,0)</f>
        <v>#N/A</v>
      </c>
      <c r="P63" s="34" t="e">
        <f>Table16[[#This Row],[ADD ACC]]*Table16[[#This Row],[Duration]]</f>
        <v>#N/A</v>
      </c>
    </row>
    <row r="64" spans="1:16" x14ac:dyDescent="0.25">
      <c r="A64" s="54" t="s">
        <v>12162</v>
      </c>
      <c r="B64" s="34" t="s">
        <v>1916</v>
      </c>
      <c r="C64" s="34"/>
      <c r="D64" s="34">
        <v>1</v>
      </c>
      <c r="E64" s="34" t="s">
        <v>700</v>
      </c>
      <c r="F64" s="34"/>
      <c r="G64" s="34" t="s">
        <v>11865</v>
      </c>
      <c r="H64" s="110">
        <v>8899</v>
      </c>
      <c r="I64" s="122">
        <v>21.75</v>
      </c>
      <c r="K64" s="111">
        <f>IFERROR(Table16[[#This Row],[ROUTE COST]]/Table16[[#This Row],[E - DEMAND]],0)</f>
        <v>0</v>
      </c>
      <c r="L64" s="34"/>
      <c r="M64" s="34" t="e">
        <f>VLOOKUP(Table16[[#This Row],[ROUTE]],DEMAND!A:F,5,FALSE)</f>
        <v>#N/A</v>
      </c>
      <c r="N64" s="34" t="e">
        <f>VLOOKUP(Table16[[#This Row],[ROUTE]],DEMAND!A:F,6,FALSE)</f>
        <v>#N/A</v>
      </c>
      <c r="O64" s="34" t="e">
        <f>ROUNDDOWN(Table16[[#This Row],[R-DEMAND]]/1320,0)</f>
        <v>#N/A</v>
      </c>
      <c r="P64" s="34" t="e">
        <f>Table16[[#This Row],[ADD ACC]]*Table16[[#This Row],[Duration]]</f>
        <v>#N/A</v>
      </c>
    </row>
    <row r="65" spans="1:16" x14ac:dyDescent="0.25">
      <c r="A65" s="54" t="s">
        <v>12151</v>
      </c>
      <c r="B65" s="34" t="s">
        <v>1465</v>
      </c>
      <c r="C65" s="34"/>
      <c r="D65" s="34">
        <v>1</v>
      </c>
      <c r="E65" s="34" t="s">
        <v>580</v>
      </c>
      <c r="F65" s="34"/>
      <c r="G65" s="34" t="s">
        <v>8079</v>
      </c>
      <c r="H65" s="110">
        <v>9875</v>
      </c>
      <c r="I65" s="122">
        <v>24</v>
      </c>
      <c r="K65" s="111">
        <f>IFERROR(Table16[[#This Row],[ROUTE COST]]/Table16[[#This Row],[E - DEMAND]],0)</f>
        <v>0</v>
      </c>
      <c r="L65" s="34"/>
      <c r="M65" s="34" t="e">
        <f>VLOOKUP(Table16[[#This Row],[ROUTE]],DEMAND!A:F,5,FALSE)</f>
        <v>#N/A</v>
      </c>
      <c r="N65" s="34" t="e">
        <f>VLOOKUP(Table16[[#This Row],[ROUTE]],DEMAND!A:F,6,FALSE)</f>
        <v>#N/A</v>
      </c>
      <c r="O65" s="34" t="e">
        <f>ROUNDDOWN(Table16[[#This Row],[R-DEMAND]]/1320,0)</f>
        <v>#N/A</v>
      </c>
      <c r="P65" s="34" t="e">
        <f>Table16[[#This Row],[ADD ACC]]*Table16[[#This Row],[Duration]]</f>
        <v>#N/A</v>
      </c>
    </row>
    <row r="66" spans="1:16" x14ac:dyDescent="0.25">
      <c r="A66" s="54" t="s">
        <v>12187</v>
      </c>
      <c r="B66" s="34" t="s">
        <v>1335</v>
      </c>
      <c r="C66" s="34"/>
      <c r="D66" s="34">
        <v>1</v>
      </c>
      <c r="E66" s="34" t="s">
        <v>588</v>
      </c>
      <c r="F66" s="34"/>
      <c r="G66" s="34" t="s">
        <v>11966</v>
      </c>
      <c r="H66" s="110">
        <v>6776</v>
      </c>
      <c r="I66" s="122">
        <v>17.25</v>
      </c>
      <c r="K66" s="111">
        <f>IFERROR(Table16[[#This Row],[ROUTE COST]]/Table16[[#This Row],[E - DEMAND]],0)</f>
        <v>0</v>
      </c>
      <c r="L66" s="34"/>
      <c r="M66" s="34" t="e">
        <f>VLOOKUP(Table16[[#This Row],[ROUTE]],DEMAND!A:F,5,FALSE)</f>
        <v>#N/A</v>
      </c>
      <c r="N66" s="34" t="e">
        <f>VLOOKUP(Table16[[#This Row],[ROUTE]],DEMAND!A:F,6,FALSE)</f>
        <v>#N/A</v>
      </c>
      <c r="O66" s="34" t="e">
        <f>ROUNDDOWN(Table16[[#This Row],[R-DEMAND]]/1320,0)</f>
        <v>#N/A</v>
      </c>
      <c r="P66" s="34" t="e">
        <f>Table16[[#This Row],[ADD ACC]]*Table16[[#This Row],[Duration]]</f>
        <v>#N/A</v>
      </c>
    </row>
    <row r="67" spans="1:16" x14ac:dyDescent="0.25">
      <c r="A67" s="54" t="s">
        <v>12178</v>
      </c>
      <c r="B67" s="34" t="s">
        <v>1844</v>
      </c>
      <c r="C67" s="34"/>
      <c r="D67" s="34">
        <v>1</v>
      </c>
      <c r="E67" s="34" t="s">
        <v>172</v>
      </c>
      <c r="F67" s="34"/>
      <c r="G67" s="34" t="s">
        <v>7650</v>
      </c>
      <c r="H67" s="110">
        <v>7817</v>
      </c>
      <c r="I67" s="122">
        <v>19.5</v>
      </c>
      <c r="K67" s="111">
        <f>IFERROR(Table16[[#This Row],[ROUTE COST]]/Table16[[#This Row],[E - DEMAND]],0)</f>
        <v>0</v>
      </c>
      <c r="L67" s="34"/>
      <c r="M67" s="34" t="e">
        <f>VLOOKUP(Table16[[#This Row],[ROUTE]],DEMAND!A:F,5,FALSE)</f>
        <v>#N/A</v>
      </c>
      <c r="N67" s="34" t="e">
        <f>VLOOKUP(Table16[[#This Row],[ROUTE]],DEMAND!A:F,6,FALSE)</f>
        <v>#N/A</v>
      </c>
      <c r="O67" s="34" t="e">
        <f>ROUNDDOWN(Table16[[#This Row],[R-DEMAND]]/1320,0)</f>
        <v>#N/A</v>
      </c>
      <c r="P67" s="34" t="e">
        <f>Table16[[#This Row],[ADD ACC]]*Table16[[#This Row],[Duration]]</f>
        <v>#N/A</v>
      </c>
    </row>
    <row r="68" spans="1:16" x14ac:dyDescent="0.25">
      <c r="A68" s="54" t="s">
        <v>12194</v>
      </c>
      <c r="B68" s="34" t="s">
        <v>1904</v>
      </c>
      <c r="C68" s="34"/>
      <c r="D68" s="34">
        <v>1</v>
      </c>
      <c r="E68" s="34" t="s">
        <v>197</v>
      </c>
      <c r="F68" s="34"/>
      <c r="G68" s="34" t="s">
        <v>12014</v>
      </c>
      <c r="H68" s="110">
        <v>5471</v>
      </c>
      <c r="I68" s="122">
        <v>14.25</v>
      </c>
      <c r="K68" s="111">
        <f>IFERROR(Table16[[#This Row],[ROUTE COST]]/Table16[[#This Row],[E - DEMAND]],0)</f>
        <v>0</v>
      </c>
      <c r="L68" s="34"/>
      <c r="M68" s="34" t="e">
        <f>VLOOKUP(Table16[[#This Row],[ROUTE]],DEMAND!A:F,5,FALSE)</f>
        <v>#N/A</v>
      </c>
      <c r="N68" s="34" t="e">
        <f>VLOOKUP(Table16[[#This Row],[ROUTE]],DEMAND!A:F,6,FALSE)</f>
        <v>#N/A</v>
      </c>
      <c r="O68" s="34" t="e">
        <f>ROUNDDOWN(Table16[[#This Row],[R-DEMAND]]/1320,0)</f>
        <v>#N/A</v>
      </c>
      <c r="P68" s="34" t="e">
        <f>Table16[[#This Row],[ADD ACC]]*Table16[[#This Row],[Duration]]</f>
        <v>#N/A</v>
      </c>
    </row>
    <row r="69" spans="1:16" x14ac:dyDescent="0.25">
      <c r="A69" s="54" t="s">
        <v>12192</v>
      </c>
      <c r="B69" s="34" t="s">
        <v>1291</v>
      </c>
      <c r="C69" s="34"/>
      <c r="D69" s="34">
        <v>1</v>
      </c>
      <c r="E69" s="34" t="s">
        <v>1289</v>
      </c>
      <c r="F69" s="34"/>
      <c r="G69" s="34" t="s">
        <v>11994</v>
      </c>
      <c r="H69" s="110">
        <v>6192</v>
      </c>
      <c r="I69" s="122">
        <v>15.75</v>
      </c>
      <c r="K69" s="111">
        <f>IFERROR(Table16[[#This Row],[ROUTE COST]]/Table16[[#This Row],[E - DEMAND]],0)</f>
        <v>0</v>
      </c>
      <c r="L69" s="34"/>
      <c r="M69" s="34" t="e">
        <f>VLOOKUP(Table16[[#This Row],[ROUTE]],DEMAND!A:F,5,FALSE)</f>
        <v>#N/A</v>
      </c>
      <c r="N69" s="34" t="e">
        <f>VLOOKUP(Table16[[#This Row],[ROUTE]],DEMAND!A:F,6,FALSE)</f>
        <v>#N/A</v>
      </c>
      <c r="O69" s="34" t="e">
        <f>ROUNDDOWN(Table16[[#This Row],[R-DEMAND]]/1320,0)</f>
        <v>#N/A</v>
      </c>
      <c r="P69" s="34" t="e">
        <f>Table16[[#This Row],[ADD ACC]]*Table16[[#This Row],[Duration]]</f>
        <v>#N/A</v>
      </c>
    </row>
    <row r="70" spans="1:16" x14ac:dyDescent="0.25">
      <c r="A70" s="54" t="s">
        <v>12145</v>
      </c>
      <c r="B70" s="34" t="s">
        <v>2476</v>
      </c>
      <c r="C70" s="34"/>
      <c r="D70" s="34">
        <v>1</v>
      </c>
      <c r="E70" s="34" t="s">
        <v>971</v>
      </c>
      <c r="F70" s="34"/>
      <c r="G70" s="34" t="s">
        <v>11774</v>
      </c>
      <c r="H70" s="110">
        <v>10942</v>
      </c>
      <c r="I70" s="122">
        <v>26.25</v>
      </c>
      <c r="K70" s="111">
        <f>IFERROR(Table16[[#This Row],[ROUTE COST]]/Table16[[#This Row],[E - DEMAND]],0)</f>
        <v>0</v>
      </c>
      <c r="L70" s="34"/>
      <c r="M70" s="34" t="e">
        <f>VLOOKUP(Table16[[#This Row],[ROUTE]],DEMAND!A:F,5,FALSE)</f>
        <v>#N/A</v>
      </c>
      <c r="N70" s="34" t="e">
        <f>VLOOKUP(Table16[[#This Row],[ROUTE]],DEMAND!A:F,6,FALSE)</f>
        <v>#N/A</v>
      </c>
      <c r="O70" s="34" t="e">
        <f>ROUNDDOWN(Table16[[#This Row],[R-DEMAND]]/1320,0)</f>
        <v>#N/A</v>
      </c>
      <c r="P70" s="34" t="e">
        <f>Table16[[#This Row],[ADD ACC]]*Table16[[#This Row],[Duration]]</f>
        <v>#N/A</v>
      </c>
    </row>
    <row r="71" spans="1:16" x14ac:dyDescent="0.25">
      <c r="A71" s="54" t="s">
        <v>12152</v>
      </c>
      <c r="B71" s="34" t="s">
        <v>930</v>
      </c>
      <c r="C71" s="34"/>
      <c r="D71" s="34">
        <v>1</v>
      </c>
      <c r="E71" s="34" t="s">
        <v>597</v>
      </c>
      <c r="F71" s="34"/>
      <c r="G71" s="34" t="s">
        <v>11835</v>
      </c>
      <c r="H71" s="110">
        <v>9766</v>
      </c>
      <c r="I71" s="122">
        <v>23.75</v>
      </c>
      <c r="K71" s="111">
        <f>IFERROR(Table16[[#This Row],[ROUTE COST]]/Table16[[#This Row],[E - DEMAND]],0)</f>
        <v>0</v>
      </c>
      <c r="L71" s="34"/>
      <c r="M71" s="34" t="e">
        <f>VLOOKUP(Table16[[#This Row],[ROUTE]],DEMAND!A:F,5,FALSE)</f>
        <v>#N/A</v>
      </c>
      <c r="N71" s="34" t="e">
        <f>VLOOKUP(Table16[[#This Row],[ROUTE]],DEMAND!A:F,6,FALSE)</f>
        <v>#N/A</v>
      </c>
      <c r="O71" s="34" t="e">
        <f>ROUNDDOWN(Table16[[#This Row],[R-DEMAND]]/1320,0)</f>
        <v>#N/A</v>
      </c>
      <c r="P71" s="34" t="e">
        <f>Table16[[#This Row],[ADD ACC]]*Table16[[#This Row],[Duration]]</f>
        <v>#N/A</v>
      </c>
    </row>
    <row r="72" spans="1:16" x14ac:dyDescent="0.25">
      <c r="A72" s="54" t="s">
        <v>12149</v>
      </c>
      <c r="B72" s="34" t="s">
        <v>510</v>
      </c>
      <c r="C72" s="34"/>
      <c r="D72" s="34">
        <v>1</v>
      </c>
      <c r="E72" s="34" t="s">
        <v>508</v>
      </c>
      <c r="F72" s="34"/>
      <c r="G72" s="34" t="s">
        <v>11816</v>
      </c>
      <c r="H72" s="110">
        <v>10156</v>
      </c>
      <c r="I72" s="122">
        <v>24.5</v>
      </c>
      <c r="K72" s="111">
        <f>IFERROR(Table16[[#This Row],[ROUTE COST]]/Table16[[#This Row],[E - DEMAND]],0)</f>
        <v>0</v>
      </c>
      <c r="L72" s="34"/>
      <c r="M72" s="34" t="e">
        <f>VLOOKUP(Table16[[#This Row],[ROUTE]],DEMAND!A:F,5,FALSE)</f>
        <v>#N/A</v>
      </c>
      <c r="N72" s="34" t="e">
        <f>VLOOKUP(Table16[[#This Row],[ROUTE]],DEMAND!A:F,6,FALSE)</f>
        <v>#N/A</v>
      </c>
      <c r="O72" s="34" t="e">
        <f>ROUNDDOWN(Table16[[#This Row],[R-DEMAND]]/1320,0)</f>
        <v>#N/A</v>
      </c>
      <c r="P72" s="34" t="e">
        <f>Table16[[#This Row],[ADD ACC]]*Table16[[#This Row],[Duration]]</f>
        <v>#N/A</v>
      </c>
    </row>
    <row r="73" spans="1:16" x14ac:dyDescent="0.25">
      <c r="A73" s="54" t="s">
        <v>12182</v>
      </c>
      <c r="B73" s="34" t="s">
        <v>1989</v>
      </c>
      <c r="C73" s="34"/>
      <c r="D73" s="34">
        <v>1</v>
      </c>
      <c r="E73" s="34" t="s">
        <v>1289</v>
      </c>
      <c r="F73" s="34"/>
      <c r="G73" s="34" t="s">
        <v>11946</v>
      </c>
      <c r="H73" s="110">
        <v>7244</v>
      </c>
      <c r="I73" s="122">
        <v>18.25</v>
      </c>
      <c r="K73" s="111">
        <f>IFERROR(Table16[[#This Row],[ROUTE COST]]/Table16[[#This Row],[E - DEMAND]],0)</f>
        <v>0</v>
      </c>
      <c r="L73" s="34"/>
      <c r="M73" s="34" t="e">
        <f>VLOOKUP(Table16[[#This Row],[ROUTE]],DEMAND!A:F,5,FALSE)</f>
        <v>#N/A</v>
      </c>
      <c r="N73" s="34" t="e">
        <f>VLOOKUP(Table16[[#This Row],[ROUTE]],DEMAND!A:F,6,FALSE)</f>
        <v>#N/A</v>
      </c>
      <c r="O73" s="34" t="e">
        <f>ROUNDDOWN(Table16[[#This Row],[R-DEMAND]]/1320,0)</f>
        <v>#N/A</v>
      </c>
      <c r="P73" s="34" t="e">
        <f>Table16[[#This Row],[ADD ACC]]*Table16[[#This Row],[Duration]]</f>
        <v>#N/A</v>
      </c>
    </row>
    <row r="74" spans="1:16" x14ac:dyDescent="0.25">
      <c r="A74" s="54" t="s">
        <v>12143</v>
      </c>
      <c r="B74" s="34" t="s">
        <v>2434</v>
      </c>
      <c r="C74" s="34"/>
      <c r="D74" s="34">
        <v>1</v>
      </c>
      <c r="E74" s="34" t="s">
        <v>971</v>
      </c>
      <c r="F74" s="34"/>
      <c r="G74" s="34" t="s">
        <v>11757</v>
      </c>
      <c r="H74" s="110">
        <v>11109</v>
      </c>
      <c r="I74" s="122">
        <v>26.75</v>
      </c>
      <c r="K74" s="111">
        <f>IFERROR(Table16[[#This Row],[ROUTE COST]]/Table16[[#This Row],[E - DEMAND]],0)</f>
        <v>0</v>
      </c>
      <c r="L74" s="34"/>
      <c r="M74" s="34" t="e">
        <f>VLOOKUP(Table16[[#This Row],[ROUTE]],DEMAND!A:F,5,FALSE)</f>
        <v>#N/A</v>
      </c>
      <c r="N74" s="34" t="e">
        <f>VLOOKUP(Table16[[#This Row],[ROUTE]],DEMAND!A:F,6,FALSE)</f>
        <v>#N/A</v>
      </c>
      <c r="O74" s="34" t="e">
        <f>ROUNDDOWN(Table16[[#This Row],[R-DEMAND]]/1320,0)</f>
        <v>#N/A</v>
      </c>
      <c r="P74" s="34" t="e">
        <f>Table16[[#This Row],[ADD ACC]]*Table16[[#This Row],[Duration]]</f>
        <v>#N/A</v>
      </c>
    </row>
    <row r="75" spans="1:16" x14ac:dyDescent="0.25">
      <c r="A75" s="54" t="s">
        <v>12155</v>
      </c>
      <c r="B75" s="34" t="s">
        <v>1935</v>
      </c>
      <c r="C75" s="34"/>
      <c r="D75" s="34">
        <v>1</v>
      </c>
      <c r="E75" s="34" t="s">
        <v>700</v>
      </c>
      <c r="F75" s="34"/>
      <c r="G75" s="34" t="s">
        <v>11846</v>
      </c>
      <c r="H75" s="110">
        <v>9525</v>
      </c>
      <c r="I75" s="122">
        <v>23.25</v>
      </c>
      <c r="K75" s="111">
        <f>IFERROR(Table16[[#This Row],[ROUTE COST]]/Table16[[#This Row],[E - DEMAND]],0)</f>
        <v>0</v>
      </c>
      <c r="L75" s="34"/>
      <c r="M75" s="34" t="e">
        <f>VLOOKUP(Table16[[#This Row],[ROUTE]],DEMAND!A:F,5,FALSE)</f>
        <v>#N/A</v>
      </c>
      <c r="N75" s="34" t="e">
        <f>VLOOKUP(Table16[[#This Row],[ROUTE]],DEMAND!A:F,6,FALSE)</f>
        <v>#N/A</v>
      </c>
      <c r="O75" s="34" t="e">
        <f>ROUNDDOWN(Table16[[#This Row],[R-DEMAND]]/1320,0)</f>
        <v>#N/A</v>
      </c>
      <c r="P75" s="34" t="e">
        <f>Table16[[#This Row],[ADD ACC]]*Table16[[#This Row],[Duration]]</f>
        <v>#N/A</v>
      </c>
    </row>
    <row r="76" spans="1:16" x14ac:dyDescent="0.25">
      <c r="A76" s="54" t="s">
        <v>12198</v>
      </c>
      <c r="B76" s="34" t="s">
        <v>1463</v>
      </c>
      <c r="C76" s="34"/>
      <c r="D76" s="34">
        <v>1</v>
      </c>
      <c r="E76" s="34" t="s">
        <v>14</v>
      </c>
      <c r="F76" s="34"/>
      <c r="G76" s="34" t="s">
        <v>12043</v>
      </c>
      <c r="H76" s="110">
        <v>4525</v>
      </c>
      <c r="I76" s="122">
        <v>12.25</v>
      </c>
      <c r="K76" s="111">
        <f>IFERROR(Table16[[#This Row],[ROUTE COST]]/Table16[[#This Row],[E - DEMAND]],0)</f>
        <v>0</v>
      </c>
      <c r="L76" s="34"/>
      <c r="M76" s="34" t="e">
        <f>VLOOKUP(Table16[[#This Row],[ROUTE]],DEMAND!A:F,5,FALSE)</f>
        <v>#N/A</v>
      </c>
      <c r="N76" s="34" t="e">
        <f>VLOOKUP(Table16[[#This Row],[ROUTE]],DEMAND!A:F,6,FALSE)</f>
        <v>#N/A</v>
      </c>
      <c r="O76" s="34" t="e">
        <f>ROUNDDOWN(Table16[[#This Row],[R-DEMAND]]/1320,0)</f>
        <v>#N/A</v>
      </c>
      <c r="P76" s="34" t="e">
        <f>Table16[[#This Row],[ADD ACC]]*Table16[[#This Row],[Duration]]</f>
        <v>#N/A</v>
      </c>
    </row>
    <row r="77" spans="1:16" x14ac:dyDescent="0.25">
      <c r="A77" s="54" t="s">
        <v>12169</v>
      </c>
      <c r="B77" s="34" t="s">
        <v>1820</v>
      </c>
      <c r="C77" s="34"/>
      <c r="D77" s="34">
        <v>1</v>
      </c>
      <c r="E77" s="34" t="s">
        <v>172</v>
      </c>
      <c r="F77" s="34"/>
      <c r="G77" s="34" t="s">
        <v>6966</v>
      </c>
      <c r="H77" s="110">
        <v>8321</v>
      </c>
      <c r="I77" s="122">
        <v>20.5</v>
      </c>
      <c r="K77" s="111">
        <f>IFERROR(Table16[[#This Row],[ROUTE COST]]/Table16[[#This Row],[E - DEMAND]],0)</f>
        <v>0</v>
      </c>
      <c r="L77" s="34"/>
      <c r="M77" s="34" t="e">
        <f>VLOOKUP(Table16[[#This Row],[ROUTE]],DEMAND!A:F,5,FALSE)</f>
        <v>#N/A</v>
      </c>
      <c r="N77" s="34" t="e">
        <f>VLOOKUP(Table16[[#This Row],[ROUTE]],DEMAND!A:F,6,FALSE)</f>
        <v>#N/A</v>
      </c>
      <c r="O77" s="34" t="e">
        <f>ROUNDDOWN(Table16[[#This Row],[R-DEMAND]]/1320,0)</f>
        <v>#N/A</v>
      </c>
      <c r="P77" s="34" t="e">
        <f>Table16[[#This Row],[ADD ACC]]*Table16[[#This Row],[Duration]]</f>
        <v>#N/A</v>
      </c>
    </row>
    <row r="78" spans="1:16" x14ac:dyDescent="0.25">
      <c r="A78" s="54" t="s">
        <v>12170</v>
      </c>
      <c r="B78" s="34" t="s">
        <v>651</v>
      </c>
      <c r="C78" s="34"/>
      <c r="D78" s="34">
        <v>1</v>
      </c>
      <c r="E78" s="34" t="s">
        <v>637</v>
      </c>
      <c r="F78" s="34"/>
      <c r="G78" s="34" t="s">
        <v>6840</v>
      </c>
      <c r="H78" s="110">
        <v>8320</v>
      </c>
      <c r="I78" s="122">
        <v>20.5</v>
      </c>
      <c r="K78" s="111">
        <f>IFERROR(Table16[[#This Row],[ROUTE COST]]/Table16[[#This Row],[E - DEMAND]],0)</f>
        <v>0</v>
      </c>
      <c r="L78" s="34"/>
      <c r="M78" s="34" t="e">
        <f>VLOOKUP(Table16[[#This Row],[ROUTE]],DEMAND!A:F,5,FALSE)</f>
        <v>#N/A</v>
      </c>
      <c r="N78" s="34" t="e">
        <f>VLOOKUP(Table16[[#This Row],[ROUTE]],DEMAND!A:F,6,FALSE)</f>
        <v>#N/A</v>
      </c>
      <c r="O78" s="34" t="e">
        <f>ROUNDDOWN(Table16[[#This Row],[R-DEMAND]]/1320,0)</f>
        <v>#N/A</v>
      </c>
      <c r="P78" s="34" t="e">
        <f>Table16[[#This Row],[ADD ACC]]*Table16[[#This Row],[Duration]]</f>
        <v>#N/A</v>
      </c>
    </row>
    <row r="79" spans="1:16" x14ac:dyDescent="0.25">
      <c r="A79" s="54" t="s">
        <v>12161</v>
      </c>
      <c r="B79" s="34" t="s">
        <v>1851</v>
      </c>
      <c r="C79" s="34"/>
      <c r="D79" s="34">
        <v>1</v>
      </c>
      <c r="E79" s="34" t="s">
        <v>926</v>
      </c>
      <c r="F79" s="34"/>
      <c r="G79" s="34" t="s">
        <v>6801</v>
      </c>
      <c r="H79" s="110">
        <v>9237</v>
      </c>
      <c r="I79" s="122">
        <v>22.5</v>
      </c>
      <c r="K79" s="111">
        <f>IFERROR(Table16[[#This Row],[ROUTE COST]]/Table16[[#This Row],[E - DEMAND]],0)</f>
        <v>0</v>
      </c>
      <c r="L79" s="34"/>
      <c r="M79" s="34" t="e">
        <f>VLOOKUP(Table16[[#This Row],[ROUTE]],DEMAND!A:F,5,FALSE)</f>
        <v>#N/A</v>
      </c>
      <c r="N79" s="34" t="e">
        <f>VLOOKUP(Table16[[#This Row],[ROUTE]],DEMAND!A:F,6,FALSE)</f>
        <v>#N/A</v>
      </c>
      <c r="O79" s="34" t="e">
        <f>ROUNDDOWN(Table16[[#This Row],[R-DEMAND]]/1320,0)</f>
        <v>#N/A</v>
      </c>
      <c r="P79" s="34" t="e">
        <f>Table16[[#This Row],[ADD ACC]]*Table16[[#This Row],[Duration]]</f>
        <v>#N/A</v>
      </c>
    </row>
    <row r="80" spans="1:16" x14ac:dyDescent="0.25">
      <c r="A80" s="54" t="s">
        <v>12203</v>
      </c>
      <c r="B80" s="34" t="s">
        <v>30</v>
      </c>
      <c r="C80" s="34"/>
      <c r="D80" s="34">
        <v>1</v>
      </c>
      <c r="E80" s="34" t="s">
        <v>332</v>
      </c>
      <c r="F80" s="34"/>
      <c r="G80" s="34" t="s">
        <v>12100</v>
      </c>
      <c r="H80" s="110">
        <v>2182</v>
      </c>
      <c r="I80" s="122">
        <v>7</v>
      </c>
      <c r="K80" s="111">
        <f>IFERROR(Table16[[#This Row],[ROUTE COST]]/Table16[[#This Row],[E - DEMAND]],0)</f>
        <v>0</v>
      </c>
      <c r="L80" s="34"/>
      <c r="M80" s="34" t="e">
        <f>VLOOKUP(Table16[[#This Row],[ROUTE]],DEMAND!A:F,5,FALSE)</f>
        <v>#N/A</v>
      </c>
      <c r="N80" s="34" t="e">
        <f>VLOOKUP(Table16[[#This Row],[ROUTE]],DEMAND!A:F,6,FALSE)</f>
        <v>#N/A</v>
      </c>
      <c r="O80" s="34" t="e">
        <f>ROUNDDOWN(Table16[[#This Row],[R-DEMAND]]/1320,0)</f>
        <v>#N/A</v>
      </c>
      <c r="P80" s="34" t="e">
        <f>Table16[[#This Row],[ADD ACC]]*Table16[[#This Row],[Duration]]</f>
        <v>#N/A</v>
      </c>
    </row>
    <row r="81" spans="1:16" x14ac:dyDescent="0.25">
      <c r="A81" s="54" t="s">
        <v>12158</v>
      </c>
      <c r="B81" s="34" t="s">
        <v>2490</v>
      </c>
      <c r="C81" s="34"/>
      <c r="D81" s="34">
        <v>1</v>
      </c>
      <c r="E81" s="34" t="s">
        <v>881</v>
      </c>
      <c r="F81" s="34"/>
      <c r="G81" s="34" t="s">
        <v>6783</v>
      </c>
      <c r="H81" s="110">
        <v>9256</v>
      </c>
      <c r="I81" s="122">
        <v>22.75</v>
      </c>
      <c r="K81" s="111">
        <f>IFERROR(Table16[[#This Row],[ROUTE COST]]/Table16[[#This Row],[E - DEMAND]],0)</f>
        <v>0</v>
      </c>
      <c r="L81" s="34"/>
      <c r="M81" s="34" t="e">
        <f>VLOOKUP(Table16[[#This Row],[ROUTE]],DEMAND!A:F,5,FALSE)</f>
        <v>#N/A</v>
      </c>
      <c r="N81" s="34" t="e">
        <f>VLOOKUP(Table16[[#This Row],[ROUTE]],DEMAND!A:F,6,FALSE)</f>
        <v>#N/A</v>
      </c>
      <c r="O81" s="34" t="e">
        <f>ROUNDDOWN(Table16[[#This Row],[R-DEMAND]]/1320,0)</f>
        <v>#N/A</v>
      </c>
      <c r="P81" s="34" t="e">
        <f>Table16[[#This Row],[ADD ACC]]*Table16[[#This Row],[Duration]]</f>
        <v>#N/A</v>
      </c>
    </row>
    <row r="82" spans="1:16" x14ac:dyDescent="0.25">
      <c r="A82" s="54" t="s">
        <v>12124</v>
      </c>
      <c r="B82" s="34" t="s">
        <v>2409</v>
      </c>
      <c r="C82" s="34"/>
      <c r="D82" s="34">
        <v>1</v>
      </c>
      <c r="E82" s="34" t="s">
        <v>119</v>
      </c>
      <c r="F82" s="34"/>
      <c r="G82" s="34" t="s">
        <v>11699</v>
      </c>
      <c r="H82" s="110">
        <v>12048</v>
      </c>
      <c r="I82" s="122">
        <v>28.75</v>
      </c>
      <c r="K82" s="111">
        <f>IFERROR(Table16[[#This Row],[ROUTE COST]]/Table16[[#This Row],[E - DEMAND]],0)</f>
        <v>0</v>
      </c>
      <c r="L82" s="34"/>
      <c r="M82" s="34" t="e">
        <f>VLOOKUP(Table16[[#This Row],[ROUTE]],DEMAND!A:F,5,FALSE)</f>
        <v>#N/A</v>
      </c>
      <c r="N82" s="34" t="e">
        <f>VLOOKUP(Table16[[#This Row],[ROUTE]],DEMAND!A:F,6,FALSE)</f>
        <v>#N/A</v>
      </c>
      <c r="O82" s="34" t="e">
        <f>ROUNDDOWN(Table16[[#This Row],[R-DEMAND]]/1320,0)</f>
        <v>#N/A</v>
      </c>
      <c r="P82" s="34" t="e">
        <f>Table16[[#This Row],[ADD ACC]]*Table16[[#This Row],[Duration]]</f>
        <v>#N/A</v>
      </c>
    </row>
    <row r="83" spans="1:16" x14ac:dyDescent="0.25">
      <c r="A83" s="54" t="s">
        <v>12150</v>
      </c>
      <c r="B83" s="34" t="s">
        <v>1057</v>
      </c>
      <c r="C83" s="34"/>
      <c r="D83" s="34">
        <v>1</v>
      </c>
      <c r="E83" s="34" t="s">
        <v>597</v>
      </c>
      <c r="F83" s="34"/>
      <c r="G83" s="34" t="s">
        <v>11830</v>
      </c>
      <c r="H83" s="110">
        <v>9915</v>
      </c>
      <c r="I83" s="122">
        <v>24</v>
      </c>
      <c r="K83" s="111">
        <f>IFERROR(Table16[[#This Row],[ROUTE COST]]/Table16[[#This Row],[E - DEMAND]],0)</f>
        <v>0</v>
      </c>
      <c r="L83" s="34"/>
      <c r="M83" s="34" t="e">
        <f>VLOOKUP(Table16[[#This Row],[ROUTE]],DEMAND!A:F,5,FALSE)</f>
        <v>#N/A</v>
      </c>
      <c r="N83" s="34" t="e">
        <f>VLOOKUP(Table16[[#This Row],[ROUTE]],DEMAND!A:F,6,FALSE)</f>
        <v>#N/A</v>
      </c>
      <c r="O83" s="34" t="e">
        <f>ROUNDDOWN(Table16[[#This Row],[R-DEMAND]]/1320,0)</f>
        <v>#N/A</v>
      </c>
      <c r="P83" s="34" t="e">
        <f>Table16[[#This Row],[ADD ACC]]*Table16[[#This Row],[Duration]]</f>
        <v>#N/A</v>
      </c>
    </row>
    <row r="84" spans="1:16" x14ac:dyDescent="0.25">
      <c r="A84" s="54" t="s">
        <v>12136</v>
      </c>
      <c r="B84" s="34" t="s">
        <v>2154</v>
      </c>
      <c r="C84" s="34"/>
      <c r="D84" s="34">
        <v>1</v>
      </c>
      <c r="E84" s="34" t="s">
        <v>560</v>
      </c>
      <c r="F84" s="34"/>
      <c r="G84" s="34" t="s">
        <v>11725</v>
      </c>
      <c r="H84" s="110">
        <v>11433</v>
      </c>
      <c r="I84" s="122">
        <v>27.5</v>
      </c>
      <c r="K84" s="111">
        <f>IFERROR(Table16[[#This Row],[ROUTE COST]]/Table16[[#This Row],[E - DEMAND]],0)</f>
        <v>0</v>
      </c>
      <c r="L84" s="34"/>
      <c r="M84" s="34" t="e">
        <f>VLOOKUP(Table16[[#This Row],[ROUTE]],DEMAND!A:F,5,FALSE)</f>
        <v>#N/A</v>
      </c>
      <c r="N84" s="34" t="e">
        <f>VLOOKUP(Table16[[#This Row],[ROUTE]],DEMAND!A:F,6,FALSE)</f>
        <v>#N/A</v>
      </c>
      <c r="O84" s="34" t="e">
        <f>ROUNDDOWN(Table16[[#This Row],[R-DEMAND]]/1320,0)</f>
        <v>#N/A</v>
      </c>
      <c r="P84" s="34" t="e">
        <f>Table16[[#This Row],[ADD ACC]]*Table16[[#This Row],[Duration]]</f>
        <v>#N/A</v>
      </c>
    </row>
    <row r="85" spans="1:16" x14ac:dyDescent="0.25">
      <c r="A85" s="54" t="s">
        <v>12157</v>
      </c>
      <c r="B85" s="34" t="s">
        <v>2466</v>
      </c>
      <c r="C85" s="34"/>
      <c r="D85" s="34">
        <v>1</v>
      </c>
      <c r="E85" s="34" t="s">
        <v>700</v>
      </c>
      <c r="F85" s="34"/>
      <c r="G85" s="34" t="s">
        <v>11852</v>
      </c>
      <c r="H85" s="110">
        <v>9368</v>
      </c>
      <c r="I85" s="122">
        <v>22.75</v>
      </c>
      <c r="K85" s="111">
        <f>IFERROR(Table16[[#This Row],[ROUTE COST]]/Table16[[#This Row],[E - DEMAND]],0)</f>
        <v>0</v>
      </c>
      <c r="L85" s="34"/>
      <c r="M85" s="34" t="e">
        <f>VLOOKUP(Table16[[#This Row],[ROUTE]],DEMAND!A:F,5,FALSE)</f>
        <v>#N/A</v>
      </c>
      <c r="N85" s="34" t="e">
        <f>VLOOKUP(Table16[[#This Row],[ROUTE]],DEMAND!A:F,6,FALSE)</f>
        <v>#N/A</v>
      </c>
      <c r="O85" s="34" t="e">
        <f>ROUNDDOWN(Table16[[#This Row],[R-DEMAND]]/1320,0)</f>
        <v>#N/A</v>
      </c>
      <c r="P85" s="34" t="e">
        <f>Table16[[#This Row],[ADD ACC]]*Table16[[#This Row],[Duration]]</f>
        <v>#N/A</v>
      </c>
    </row>
    <row r="86" spans="1:16" x14ac:dyDescent="0.25">
      <c r="A86" s="54" t="s">
        <v>12197</v>
      </c>
      <c r="B86" s="34" t="s">
        <v>1963</v>
      </c>
      <c r="C86" s="34"/>
      <c r="D86" s="34">
        <v>1</v>
      </c>
      <c r="E86" s="34" t="s">
        <v>14</v>
      </c>
      <c r="F86" s="34"/>
      <c r="G86" s="34" t="s">
        <v>12034</v>
      </c>
      <c r="H86" s="110">
        <v>4862</v>
      </c>
      <c r="I86" s="122">
        <v>13</v>
      </c>
      <c r="K86" s="111">
        <f>IFERROR(Table16[[#This Row],[ROUTE COST]]/Table16[[#This Row],[E - DEMAND]],0)</f>
        <v>0</v>
      </c>
      <c r="L86" s="34"/>
      <c r="M86" s="34" t="e">
        <f>VLOOKUP(Table16[[#This Row],[ROUTE]],DEMAND!A:F,5,FALSE)</f>
        <v>#N/A</v>
      </c>
      <c r="N86" s="34" t="e">
        <f>VLOOKUP(Table16[[#This Row],[ROUTE]],DEMAND!A:F,6,FALSE)</f>
        <v>#N/A</v>
      </c>
      <c r="O86" s="34" t="e">
        <f>ROUNDDOWN(Table16[[#This Row],[R-DEMAND]]/1320,0)</f>
        <v>#N/A</v>
      </c>
      <c r="P86" s="34" t="e">
        <f>Table16[[#This Row],[ADD ACC]]*Table16[[#This Row],[Duration]]</f>
        <v>#N/A</v>
      </c>
    </row>
    <row r="87" spans="1:16" x14ac:dyDescent="0.25">
      <c r="A87" s="54" t="s">
        <v>12393</v>
      </c>
      <c r="B87" s="34" t="s">
        <v>2872</v>
      </c>
      <c r="C87" s="34"/>
      <c r="D87" s="34">
        <v>2</v>
      </c>
      <c r="E87" s="34" t="s">
        <v>1847</v>
      </c>
      <c r="F87" s="34"/>
      <c r="G87" s="34" t="s">
        <v>11982</v>
      </c>
      <c r="H87" s="110">
        <v>6480</v>
      </c>
      <c r="I87" s="122">
        <v>16.5</v>
      </c>
      <c r="K87" s="111">
        <f>IFERROR(Table16[[#This Row],[ROUTE COST]]/Table16[[#This Row],[E - DEMAND]],0)</f>
        <v>0</v>
      </c>
      <c r="L87" s="34"/>
      <c r="M87" s="34" t="e">
        <f>VLOOKUP(Table16[[#This Row],[ROUTE]],DEMAND!A:F,5,FALSE)</f>
        <v>#N/A</v>
      </c>
      <c r="N87" s="34" t="e">
        <f>VLOOKUP(Table16[[#This Row],[ROUTE]],DEMAND!A:F,6,FALSE)</f>
        <v>#N/A</v>
      </c>
      <c r="O87" s="34" t="e">
        <f>ROUNDDOWN(Table16[[#This Row],[R-DEMAND]]/1320,0)</f>
        <v>#N/A</v>
      </c>
      <c r="P87" s="34" t="e">
        <f>Table16[[#This Row],[ADD ACC]]*Table16[[#This Row],[Duration]]</f>
        <v>#N/A</v>
      </c>
    </row>
    <row r="88" spans="1:16" x14ac:dyDescent="0.25">
      <c r="A88" s="54" t="s">
        <v>12309</v>
      </c>
      <c r="B88" s="34" t="s">
        <v>4229</v>
      </c>
      <c r="C88" s="34"/>
      <c r="D88" s="34">
        <v>2</v>
      </c>
      <c r="E88" s="34" t="s">
        <v>1124</v>
      </c>
      <c r="F88" s="34"/>
      <c r="G88" s="34" t="s">
        <v>11001</v>
      </c>
      <c r="H88" s="110">
        <v>8748</v>
      </c>
      <c r="I88" s="122">
        <v>21.5</v>
      </c>
      <c r="K88" s="111">
        <f>IFERROR(Table16[[#This Row],[ROUTE COST]]/Table16[[#This Row],[E - DEMAND]],0)</f>
        <v>0</v>
      </c>
      <c r="L88" s="34"/>
      <c r="M88" s="34" t="e">
        <f>VLOOKUP(Table16[[#This Row],[ROUTE]],DEMAND!A:F,5,FALSE)</f>
        <v>#N/A</v>
      </c>
      <c r="N88" s="34" t="e">
        <f>VLOOKUP(Table16[[#This Row],[ROUTE]],DEMAND!A:F,6,FALSE)</f>
        <v>#N/A</v>
      </c>
      <c r="O88" s="34" t="e">
        <f>ROUNDDOWN(Table16[[#This Row],[R-DEMAND]]/1320,0)</f>
        <v>#N/A</v>
      </c>
      <c r="P88" s="34" t="e">
        <f>Table16[[#This Row],[ADD ACC]]*Table16[[#This Row],[Duration]]</f>
        <v>#N/A</v>
      </c>
    </row>
    <row r="89" spans="1:16" x14ac:dyDescent="0.25">
      <c r="A89" s="54" t="s">
        <v>12360</v>
      </c>
      <c r="B89" s="34" t="s">
        <v>3497</v>
      </c>
      <c r="C89" s="34"/>
      <c r="D89" s="34">
        <v>2</v>
      </c>
      <c r="E89" s="34" t="s">
        <v>172</v>
      </c>
      <c r="F89" s="34"/>
      <c r="G89" s="34" t="s">
        <v>11931</v>
      </c>
      <c r="H89" s="110">
        <v>7685</v>
      </c>
      <c r="I89" s="122">
        <v>19.25</v>
      </c>
      <c r="K89" s="111">
        <f>IFERROR(Table16[[#This Row],[ROUTE COST]]/Table16[[#This Row],[E - DEMAND]],0)</f>
        <v>0</v>
      </c>
      <c r="L89" s="34"/>
      <c r="M89" s="34" t="e">
        <f>VLOOKUP(Table16[[#This Row],[ROUTE]],DEMAND!A:F,5,FALSE)</f>
        <v>#N/A</v>
      </c>
      <c r="N89" s="34" t="e">
        <f>VLOOKUP(Table16[[#This Row],[ROUTE]],DEMAND!A:F,6,FALSE)</f>
        <v>#N/A</v>
      </c>
      <c r="O89" s="34" t="e">
        <f>ROUNDDOWN(Table16[[#This Row],[R-DEMAND]]/1320,0)</f>
        <v>#N/A</v>
      </c>
      <c r="P89" s="34" t="e">
        <f>Table16[[#This Row],[ADD ACC]]*Table16[[#This Row],[Duration]]</f>
        <v>#N/A</v>
      </c>
    </row>
    <row r="90" spans="1:16" x14ac:dyDescent="0.25">
      <c r="A90" s="54" t="s">
        <v>12346</v>
      </c>
      <c r="B90" s="34" t="s">
        <v>4494</v>
      </c>
      <c r="C90" s="34"/>
      <c r="D90" s="34">
        <v>2</v>
      </c>
      <c r="E90" s="34" t="s">
        <v>172</v>
      </c>
      <c r="F90" s="34"/>
      <c r="G90" s="34" t="s">
        <v>10925</v>
      </c>
      <c r="H90" s="110">
        <v>8133</v>
      </c>
      <c r="I90" s="122">
        <v>20.25</v>
      </c>
      <c r="K90" s="111">
        <f>IFERROR(Table16[[#This Row],[ROUTE COST]]/Table16[[#This Row],[E - DEMAND]],0)</f>
        <v>0</v>
      </c>
      <c r="L90" s="34"/>
      <c r="M90" s="34" t="e">
        <f>VLOOKUP(Table16[[#This Row],[ROUTE]],DEMAND!A:F,5,FALSE)</f>
        <v>#N/A</v>
      </c>
      <c r="N90" s="34" t="e">
        <f>VLOOKUP(Table16[[#This Row],[ROUTE]],DEMAND!A:F,6,FALSE)</f>
        <v>#N/A</v>
      </c>
      <c r="O90" s="34" t="e">
        <f>ROUNDDOWN(Table16[[#This Row],[R-DEMAND]]/1320,0)</f>
        <v>#N/A</v>
      </c>
      <c r="P90" s="34" t="e">
        <f>Table16[[#This Row],[ADD ACC]]*Table16[[#This Row],[Duration]]</f>
        <v>#N/A</v>
      </c>
    </row>
    <row r="91" spans="1:16" x14ac:dyDescent="0.25">
      <c r="A91" s="54" t="s">
        <v>12364</v>
      </c>
      <c r="B91" s="34" t="s">
        <v>4543</v>
      </c>
      <c r="C91" s="34"/>
      <c r="D91" s="34">
        <v>2</v>
      </c>
      <c r="E91" s="34" t="s">
        <v>172</v>
      </c>
      <c r="F91" s="34"/>
      <c r="G91" s="34" t="s">
        <v>11936</v>
      </c>
      <c r="H91" s="110">
        <v>7527</v>
      </c>
      <c r="I91" s="122">
        <v>18.75</v>
      </c>
      <c r="K91" s="111">
        <f>IFERROR(Table16[[#This Row],[ROUTE COST]]/Table16[[#This Row],[E - DEMAND]],0)</f>
        <v>0</v>
      </c>
      <c r="L91" s="34"/>
      <c r="M91" s="34" t="e">
        <f>VLOOKUP(Table16[[#This Row],[ROUTE]],DEMAND!A:F,5,FALSE)</f>
        <v>#N/A</v>
      </c>
      <c r="N91" s="34" t="e">
        <f>VLOOKUP(Table16[[#This Row],[ROUTE]],DEMAND!A:F,6,FALSE)</f>
        <v>#N/A</v>
      </c>
      <c r="O91" s="34" t="e">
        <f>ROUNDDOWN(Table16[[#This Row],[R-DEMAND]]/1320,0)</f>
        <v>#N/A</v>
      </c>
      <c r="P91" s="34" t="e">
        <f>Table16[[#This Row],[ADD ACC]]*Table16[[#This Row],[Duration]]</f>
        <v>#N/A</v>
      </c>
    </row>
    <row r="92" spans="1:16" x14ac:dyDescent="0.25">
      <c r="A92" s="54" t="s">
        <v>12319</v>
      </c>
      <c r="B92" s="34" t="s">
        <v>2713</v>
      </c>
      <c r="C92" s="34"/>
      <c r="D92" s="34">
        <v>2</v>
      </c>
      <c r="E92" s="34" t="s">
        <v>2711</v>
      </c>
      <c r="F92" s="34"/>
      <c r="G92" s="34" t="s">
        <v>11887</v>
      </c>
      <c r="H92" s="110">
        <v>8599</v>
      </c>
      <c r="I92" s="122">
        <v>21.25</v>
      </c>
      <c r="K92" s="111">
        <f>IFERROR(Table16[[#This Row],[ROUTE COST]]/Table16[[#This Row],[E - DEMAND]],0)</f>
        <v>0</v>
      </c>
      <c r="L92" s="34"/>
      <c r="M92" s="34" t="e">
        <f>VLOOKUP(Table16[[#This Row],[ROUTE]],DEMAND!A:F,5,FALSE)</f>
        <v>#N/A</v>
      </c>
      <c r="N92" s="34" t="e">
        <f>VLOOKUP(Table16[[#This Row],[ROUTE]],DEMAND!A:F,6,FALSE)</f>
        <v>#N/A</v>
      </c>
      <c r="O92" s="34" t="e">
        <f>ROUNDDOWN(Table16[[#This Row],[R-DEMAND]]/1320,0)</f>
        <v>#N/A</v>
      </c>
      <c r="P92" s="34" t="e">
        <f>Table16[[#This Row],[ADD ACC]]*Table16[[#This Row],[Duration]]</f>
        <v>#N/A</v>
      </c>
    </row>
    <row r="93" spans="1:16" x14ac:dyDescent="0.25">
      <c r="A93" s="54" t="s">
        <v>12377</v>
      </c>
      <c r="B93" s="34" t="s">
        <v>4499</v>
      </c>
      <c r="C93" s="34"/>
      <c r="D93" s="34">
        <v>2</v>
      </c>
      <c r="E93" s="34" t="s">
        <v>4497</v>
      </c>
      <c r="F93" s="34"/>
      <c r="G93" s="34" t="s">
        <v>11958</v>
      </c>
      <c r="H93" s="110">
        <v>6995</v>
      </c>
      <c r="I93" s="122">
        <v>17.5</v>
      </c>
      <c r="K93" s="111">
        <f>IFERROR(Table16[[#This Row],[ROUTE COST]]/Table16[[#This Row],[E - DEMAND]],0)</f>
        <v>0</v>
      </c>
      <c r="L93" s="34"/>
      <c r="M93" s="34" t="e">
        <f>VLOOKUP(Table16[[#This Row],[ROUTE]],DEMAND!A:F,5,FALSE)</f>
        <v>#N/A</v>
      </c>
      <c r="N93" s="34" t="e">
        <f>VLOOKUP(Table16[[#This Row],[ROUTE]],DEMAND!A:F,6,FALSE)</f>
        <v>#N/A</v>
      </c>
      <c r="O93" s="34" t="e">
        <f>ROUNDDOWN(Table16[[#This Row],[R-DEMAND]]/1320,0)</f>
        <v>#N/A</v>
      </c>
      <c r="P93" s="34" t="e">
        <f>Table16[[#This Row],[ADD ACC]]*Table16[[#This Row],[Duration]]</f>
        <v>#N/A</v>
      </c>
    </row>
    <row r="94" spans="1:16" x14ac:dyDescent="0.25">
      <c r="A94" s="54" t="s">
        <v>12313</v>
      </c>
      <c r="B94" s="34" t="s">
        <v>4640</v>
      </c>
      <c r="C94" s="34"/>
      <c r="D94" s="34">
        <v>2</v>
      </c>
      <c r="E94" s="34" t="s">
        <v>1124</v>
      </c>
      <c r="F94" s="34"/>
      <c r="G94" s="34" t="s">
        <v>11878</v>
      </c>
      <c r="H94" s="110">
        <v>8664</v>
      </c>
      <c r="I94" s="122">
        <v>21.25</v>
      </c>
      <c r="K94" s="111">
        <f>IFERROR(Table16[[#This Row],[ROUTE COST]]/Table16[[#This Row],[E - DEMAND]],0)</f>
        <v>0</v>
      </c>
      <c r="L94" s="34"/>
      <c r="M94" s="34" t="e">
        <f>VLOOKUP(Table16[[#This Row],[ROUTE]],DEMAND!A:F,5,FALSE)</f>
        <v>#N/A</v>
      </c>
      <c r="N94" s="34" t="e">
        <f>VLOOKUP(Table16[[#This Row],[ROUTE]],DEMAND!A:F,6,FALSE)</f>
        <v>#N/A</v>
      </c>
      <c r="O94" s="34" t="e">
        <f>ROUNDDOWN(Table16[[#This Row],[R-DEMAND]]/1320,0)</f>
        <v>#N/A</v>
      </c>
      <c r="P94" s="34" t="e">
        <f>Table16[[#This Row],[ADD ACC]]*Table16[[#This Row],[Duration]]</f>
        <v>#N/A</v>
      </c>
    </row>
    <row r="95" spans="1:16" x14ac:dyDescent="0.25">
      <c r="A95" s="54" t="s">
        <v>12304</v>
      </c>
      <c r="B95" s="34" t="s">
        <v>3751</v>
      </c>
      <c r="C95" s="34"/>
      <c r="D95" s="34">
        <v>2</v>
      </c>
      <c r="E95" s="34" t="s">
        <v>1124</v>
      </c>
      <c r="F95" s="34"/>
      <c r="G95" s="34" t="s">
        <v>11864</v>
      </c>
      <c r="H95" s="110">
        <v>8914</v>
      </c>
      <c r="I95" s="122">
        <v>21.75</v>
      </c>
      <c r="K95" s="111">
        <f>IFERROR(Table16[[#This Row],[ROUTE COST]]/Table16[[#This Row],[E - DEMAND]],0)</f>
        <v>0</v>
      </c>
      <c r="L95" s="34"/>
      <c r="M95" s="34" t="e">
        <f>VLOOKUP(Table16[[#This Row],[ROUTE]],DEMAND!A:F,5,FALSE)</f>
        <v>#N/A</v>
      </c>
      <c r="N95" s="34" t="e">
        <f>VLOOKUP(Table16[[#This Row],[ROUTE]],DEMAND!A:F,6,FALSE)</f>
        <v>#N/A</v>
      </c>
      <c r="O95" s="34" t="e">
        <f>ROUNDDOWN(Table16[[#This Row],[R-DEMAND]]/1320,0)</f>
        <v>#N/A</v>
      </c>
      <c r="P95" s="34" t="e">
        <f>Table16[[#This Row],[ADD ACC]]*Table16[[#This Row],[Duration]]</f>
        <v>#N/A</v>
      </c>
    </row>
    <row r="96" spans="1:16" x14ac:dyDescent="0.25">
      <c r="A96" s="54" t="s">
        <v>12358</v>
      </c>
      <c r="B96" s="34" t="s">
        <v>3941</v>
      </c>
      <c r="C96" s="34"/>
      <c r="D96" s="34">
        <v>2</v>
      </c>
      <c r="E96" s="34" t="s">
        <v>2527</v>
      </c>
      <c r="F96" s="34"/>
      <c r="G96" s="34" t="s">
        <v>11929</v>
      </c>
      <c r="H96" s="110">
        <v>7705</v>
      </c>
      <c r="I96" s="122">
        <v>19.25</v>
      </c>
      <c r="K96" s="111">
        <f>IFERROR(Table16[[#This Row],[ROUTE COST]]/Table16[[#This Row],[E - DEMAND]],0)</f>
        <v>0</v>
      </c>
      <c r="L96" s="34"/>
      <c r="M96" s="34" t="e">
        <f>VLOOKUP(Table16[[#This Row],[ROUTE]],DEMAND!A:F,5,FALSE)</f>
        <v>#N/A</v>
      </c>
      <c r="N96" s="34" t="e">
        <f>VLOOKUP(Table16[[#This Row],[ROUTE]],DEMAND!A:F,6,FALSE)</f>
        <v>#N/A</v>
      </c>
      <c r="O96" s="34" t="e">
        <f>ROUNDDOWN(Table16[[#This Row],[R-DEMAND]]/1320,0)</f>
        <v>#N/A</v>
      </c>
      <c r="P96" s="34" t="e">
        <f>Table16[[#This Row],[ADD ACC]]*Table16[[#This Row],[Duration]]</f>
        <v>#N/A</v>
      </c>
    </row>
    <row r="97" spans="1:16" x14ac:dyDescent="0.25">
      <c r="A97" s="54" t="s">
        <v>12379</v>
      </c>
      <c r="B97" s="34" t="s">
        <v>3790</v>
      </c>
      <c r="C97" s="34"/>
      <c r="D97" s="34">
        <v>2</v>
      </c>
      <c r="E97" s="34" t="s">
        <v>502</v>
      </c>
      <c r="F97" s="34"/>
      <c r="G97" s="34" t="s">
        <v>11961</v>
      </c>
      <c r="H97" s="110">
        <v>6972</v>
      </c>
      <c r="I97" s="122">
        <v>17.5</v>
      </c>
      <c r="K97" s="111">
        <f>IFERROR(Table16[[#This Row],[ROUTE COST]]/Table16[[#This Row],[E - DEMAND]],0)</f>
        <v>0</v>
      </c>
      <c r="L97" s="34"/>
      <c r="M97" s="34" t="e">
        <f>VLOOKUP(Table16[[#This Row],[ROUTE]],DEMAND!A:F,5,FALSE)</f>
        <v>#N/A</v>
      </c>
      <c r="N97" s="34" t="e">
        <f>VLOOKUP(Table16[[#This Row],[ROUTE]],DEMAND!A:F,6,FALSE)</f>
        <v>#N/A</v>
      </c>
      <c r="O97" s="34" t="e">
        <f>ROUNDDOWN(Table16[[#This Row],[R-DEMAND]]/1320,0)</f>
        <v>#N/A</v>
      </c>
      <c r="P97" s="34" t="e">
        <f>Table16[[#This Row],[ADD ACC]]*Table16[[#This Row],[Duration]]</f>
        <v>#N/A</v>
      </c>
    </row>
    <row r="98" spans="1:16" x14ac:dyDescent="0.25">
      <c r="A98" s="54" t="s">
        <v>12335</v>
      </c>
      <c r="B98" s="34" t="s">
        <v>3129</v>
      </c>
      <c r="C98" s="34"/>
      <c r="D98" s="34">
        <v>2</v>
      </c>
      <c r="E98" s="34" t="s">
        <v>700</v>
      </c>
      <c r="F98" s="34"/>
      <c r="G98" s="34" t="s">
        <v>10746</v>
      </c>
      <c r="H98" s="110">
        <v>8339</v>
      </c>
      <c r="I98" s="122">
        <v>20.5</v>
      </c>
      <c r="K98" s="111">
        <f>IFERROR(Table16[[#This Row],[ROUTE COST]]/Table16[[#This Row],[E - DEMAND]],0)</f>
        <v>0</v>
      </c>
      <c r="L98" s="34"/>
      <c r="M98" s="34" t="e">
        <f>VLOOKUP(Table16[[#This Row],[ROUTE]],DEMAND!A:F,5,FALSE)</f>
        <v>#N/A</v>
      </c>
      <c r="N98" s="34" t="e">
        <f>VLOOKUP(Table16[[#This Row],[ROUTE]],DEMAND!A:F,6,FALSE)</f>
        <v>#N/A</v>
      </c>
      <c r="O98" s="34" t="e">
        <f>ROUNDDOWN(Table16[[#This Row],[R-DEMAND]]/1320,0)</f>
        <v>#N/A</v>
      </c>
      <c r="P98" s="34" t="e">
        <f>Table16[[#This Row],[ADD ACC]]*Table16[[#This Row],[Duration]]</f>
        <v>#N/A</v>
      </c>
    </row>
    <row r="99" spans="1:16" x14ac:dyDescent="0.25">
      <c r="A99" s="54" t="s">
        <v>12374</v>
      </c>
      <c r="B99" s="34" t="s">
        <v>433</v>
      </c>
      <c r="C99" s="34"/>
      <c r="D99" s="34">
        <v>2</v>
      </c>
      <c r="E99" s="34" t="s">
        <v>1513</v>
      </c>
      <c r="F99" s="34"/>
      <c r="G99" s="34" t="s">
        <v>10731</v>
      </c>
      <c r="H99" s="110">
        <v>7077</v>
      </c>
      <c r="I99" s="122">
        <v>17.75</v>
      </c>
      <c r="K99" s="111">
        <f>IFERROR(Table16[[#This Row],[ROUTE COST]]/Table16[[#This Row],[E - DEMAND]],0)</f>
        <v>0</v>
      </c>
      <c r="L99" s="34"/>
      <c r="M99" s="34" t="e">
        <f>VLOOKUP(Table16[[#This Row],[ROUTE]],DEMAND!A:F,5,FALSE)</f>
        <v>#N/A</v>
      </c>
      <c r="N99" s="34" t="e">
        <f>VLOOKUP(Table16[[#This Row],[ROUTE]],DEMAND!A:F,6,FALSE)</f>
        <v>#N/A</v>
      </c>
      <c r="O99" s="34" t="e">
        <f>ROUNDDOWN(Table16[[#This Row],[R-DEMAND]]/1320,0)</f>
        <v>#N/A</v>
      </c>
      <c r="P99" s="34" t="e">
        <f>Table16[[#This Row],[ADD ACC]]*Table16[[#This Row],[Duration]]</f>
        <v>#N/A</v>
      </c>
    </row>
    <row r="100" spans="1:16" x14ac:dyDescent="0.25">
      <c r="A100" s="54" t="s">
        <v>12363</v>
      </c>
      <c r="B100" s="34" t="s">
        <v>3469</v>
      </c>
      <c r="C100" s="34"/>
      <c r="D100" s="34">
        <v>2</v>
      </c>
      <c r="E100" s="34" t="s">
        <v>172</v>
      </c>
      <c r="F100" s="34"/>
      <c r="G100" s="34" t="s">
        <v>10659</v>
      </c>
      <c r="H100" s="110">
        <v>7576</v>
      </c>
      <c r="I100" s="122">
        <v>19</v>
      </c>
      <c r="K100" s="111">
        <f>IFERROR(Table16[[#This Row],[ROUTE COST]]/Table16[[#This Row],[E - DEMAND]],0)</f>
        <v>0</v>
      </c>
      <c r="L100" s="34"/>
      <c r="M100" s="34" t="e">
        <f>VLOOKUP(Table16[[#This Row],[ROUTE]],DEMAND!A:F,5,FALSE)</f>
        <v>#N/A</v>
      </c>
      <c r="N100" s="34" t="e">
        <f>VLOOKUP(Table16[[#This Row],[ROUTE]],DEMAND!A:F,6,FALSE)</f>
        <v>#N/A</v>
      </c>
      <c r="O100" s="34" t="e">
        <f>ROUNDDOWN(Table16[[#This Row],[R-DEMAND]]/1320,0)</f>
        <v>#N/A</v>
      </c>
      <c r="P100" s="34" t="e">
        <f>Table16[[#This Row],[ADD ACC]]*Table16[[#This Row],[Duration]]</f>
        <v>#N/A</v>
      </c>
    </row>
    <row r="101" spans="1:16" x14ac:dyDescent="0.25">
      <c r="A101" s="54" t="s">
        <v>12426</v>
      </c>
      <c r="B101" s="34" t="s">
        <v>4064</v>
      </c>
      <c r="C101" s="34"/>
      <c r="D101" s="34">
        <v>2</v>
      </c>
      <c r="E101" s="34" t="s">
        <v>14</v>
      </c>
      <c r="F101" s="34"/>
      <c r="G101" s="34" t="s">
        <v>12082</v>
      </c>
      <c r="H101" s="110">
        <v>3090</v>
      </c>
      <c r="I101" s="122">
        <v>9</v>
      </c>
      <c r="K101" s="111">
        <f>IFERROR(Table16[[#This Row],[ROUTE COST]]/Table16[[#This Row],[E - DEMAND]],0)</f>
        <v>0</v>
      </c>
      <c r="L101" s="34"/>
      <c r="M101" s="34" t="e">
        <f>VLOOKUP(Table16[[#This Row],[ROUTE]],DEMAND!A:F,5,FALSE)</f>
        <v>#N/A</v>
      </c>
      <c r="N101" s="34" t="e">
        <f>VLOOKUP(Table16[[#This Row],[ROUTE]],DEMAND!A:F,6,FALSE)</f>
        <v>#N/A</v>
      </c>
      <c r="O101" s="34" t="e">
        <f>ROUNDDOWN(Table16[[#This Row],[R-DEMAND]]/1320,0)</f>
        <v>#N/A</v>
      </c>
      <c r="P101" s="34" t="e">
        <f>Table16[[#This Row],[ADD ACC]]*Table16[[#This Row],[Duration]]</f>
        <v>#N/A</v>
      </c>
    </row>
    <row r="102" spans="1:16" x14ac:dyDescent="0.25">
      <c r="A102" s="54" t="s">
        <v>12322</v>
      </c>
      <c r="B102" s="34" t="s">
        <v>2614</v>
      </c>
      <c r="C102" s="34"/>
      <c r="D102" s="34">
        <v>2</v>
      </c>
      <c r="E102" s="34" t="s">
        <v>2612</v>
      </c>
      <c r="F102" s="34"/>
      <c r="G102" s="34" t="s">
        <v>11891</v>
      </c>
      <c r="H102" s="110">
        <v>8572</v>
      </c>
      <c r="I102" s="122">
        <v>21</v>
      </c>
      <c r="K102" s="111">
        <f>IFERROR(Table16[[#This Row],[ROUTE COST]]/Table16[[#This Row],[E - DEMAND]],0)</f>
        <v>0</v>
      </c>
      <c r="L102" s="34"/>
      <c r="M102" s="34" t="e">
        <f>VLOOKUP(Table16[[#This Row],[ROUTE]],DEMAND!A:F,5,FALSE)</f>
        <v>#N/A</v>
      </c>
      <c r="N102" s="34" t="e">
        <f>VLOOKUP(Table16[[#This Row],[ROUTE]],DEMAND!A:F,6,FALSE)</f>
        <v>#N/A</v>
      </c>
      <c r="O102" s="34" t="e">
        <f>ROUNDDOWN(Table16[[#This Row],[R-DEMAND]]/1320,0)</f>
        <v>#N/A</v>
      </c>
      <c r="P102" s="34" t="e">
        <f>Table16[[#This Row],[ADD ACC]]*Table16[[#This Row],[Duration]]</f>
        <v>#N/A</v>
      </c>
    </row>
    <row r="103" spans="1:16" x14ac:dyDescent="0.25">
      <c r="A103" s="54" t="s">
        <v>12432</v>
      </c>
      <c r="B103" s="34" t="s">
        <v>412</v>
      </c>
      <c r="C103" s="34"/>
      <c r="D103" s="34">
        <v>2</v>
      </c>
      <c r="E103" s="34" t="s">
        <v>1314</v>
      </c>
      <c r="F103" s="34"/>
      <c r="G103" s="34" t="s">
        <v>12101</v>
      </c>
      <c r="H103" s="110">
        <v>2096</v>
      </c>
      <c r="I103" s="122">
        <v>6.75</v>
      </c>
      <c r="K103" s="111">
        <f>IFERROR(Table16[[#This Row],[ROUTE COST]]/Table16[[#This Row],[E - DEMAND]],0)</f>
        <v>0</v>
      </c>
      <c r="L103" s="34"/>
      <c r="M103" s="34" t="e">
        <f>VLOOKUP(Table16[[#This Row],[ROUTE]],DEMAND!A:F,5,FALSE)</f>
        <v>#N/A</v>
      </c>
      <c r="N103" s="34" t="e">
        <f>VLOOKUP(Table16[[#This Row],[ROUTE]],DEMAND!A:F,6,FALSE)</f>
        <v>#N/A</v>
      </c>
      <c r="O103" s="34" t="e">
        <f>ROUNDDOWN(Table16[[#This Row],[R-DEMAND]]/1320,0)</f>
        <v>#N/A</v>
      </c>
      <c r="P103" s="34" t="e">
        <f>Table16[[#This Row],[ADD ACC]]*Table16[[#This Row],[Duration]]</f>
        <v>#N/A</v>
      </c>
    </row>
    <row r="104" spans="1:16" x14ac:dyDescent="0.25">
      <c r="A104" s="54" t="s">
        <v>12387</v>
      </c>
      <c r="B104" s="34" t="s">
        <v>4410</v>
      </c>
      <c r="C104" s="34"/>
      <c r="D104" s="34">
        <v>2</v>
      </c>
      <c r="E104" s="34" t="s">
        <v>502</v>
      </c>
      <c r="F104" s="34"/>
      <c r="G104" s="34" t="s">
        <v>11974</v>
      </c>
      <c r="H104" s="110">
        <v>6553</v>
      </c>
      <c r="I104" s="122">
        <v>16.75</v>
      </c>
      <c r="K104" s="111">
        <f>IFERROR(Table16[[#This Row],[ROUTE COST]]/Table16[[#This Row],[E - DEMAND]],0)</f>
        <v>0</v>
      </c>
      <c r="L104" s="34"/>
      <c r="M104" s="34" t="e">
        <f>VLOOKUP(Table16[[#This Row],[ROUTE]],DEMAND!A:F,5,FALSE)</f>
        <v>#N/A</v>
      </c>
      <c r="N104" s="34" t="e">
        <f>VLOOKUP(Table16[[#This Row],[ROUTE]],DEMAND!A:F,6,FALSE)</f>
        <v>#N/A</v>
      </c>
      <c r="O104" s="34" t="e">
        <f>ROUNDDOWN(Table16[[#This Row],[R-DEMAND]]/1320,0)</f>
        <v>#N/A</v>
      </c>
      <c r="P104" s="34" t="e">
        <f>Table16[[#This Row],[ADD ACC]]*Table16[[#This Row],[Duration]]</f>
        <v>#N/A</v>
      </c>
    </row>
    <row r="105" spans="1:16" x14ac:dyDescent="0.25">
      <c r="A105" s="54" t="s">
        <v>12386</v>
      </c>
      <c r="B105" s="34" t="s">
        <v>2870</v>
      </c>
      <c r="C105" s="34"/>
      <c r="D105" s="34">
        <v>2</v>
      </c>
      <c r="E105" s="34" t="s">
        <v>78</v>
      </c>
      <c r="F105" s="34"/>
      <c r="G105" s="34" t="s">
        <v>11973</v>
      </c>
      <c r="H105" s="110">
        <v>6599</v>
      </c>
      <c r="I105" s="122">
        <v>16.75</v>
      </c>
      <c r="K105" s="111">
        <f>IFERROR(Table16[[#This Row],[ROUTE COST]]/Table16[[#This Row],[E - DEMAND]],0)</f>
        <v>0</v>
      </c>
      <c r="L105" s="34"/>
      <c r="M105" s="34" t="e">
        <f>VLOOKUP(Table16[[#This Row],[ROUTE]],DEMAND!A:F,5,FALSE)</f>
        <v>#N/A</v>
      </c>
      <c r="N105" s="34" t="e">
        <f>VLOOKUP(Table16[[#This Row],[ROUTE]],DEMAND!A:F,6,FALSE)</f>
        <v>#N/A</v>
      </c>
      <c r="O105" s="34" t="e">
        <f>ROUNDDOWN(Table16[[#This Row],[R-DEMAND]]/1320,0)</f>
        <v>#N/A</v>
      </c>
      <c r="P105" s="34" t="e">
        <f>Table16[[#This Row],[ADD ACC]]*Table16[[#This Row],[Duration]]</f>
        <v>#N/A</v>
      </c>
    </row>
    <row r="106" spans="1:16" x14ac:dyDescent="0.25">
      <c r="A106" s="54" t="s">
        <v>12366</v>
      </c>
      <c r="B106" s="34" t="s">
        <v>3165</v>
      </c>
      <c r="C106" s="34"/>
      <c r="D106" s="34">
        <v>2</v>
      </c>
      <c r="E106" s="34" t="s">
        <v>11922</v>
      </c>
      <c r="F106" s="34"/>
      <c r="G106" s="34" t="s">
        <v>11937</v>
      </c>
      <c r="H106" s="110">
        <v>7478</v>
      </c>
      <c r="I106" s="122">
        <v>18.75</v>
      </c>
      <c r="K106" s="111">
        <f>IFERROR(Table16[[#This Row],[ROUTE COST]]/Table16[[#This Row],[E - DEMAND]],0)</f>
        <v>0</v>
      </c>
      <c r="L106" s="34"/>
      <c r="M106" s="34" t="e">
        <f>VLOOKUP(Table16[[#This Row],[ROUTE]],DEMAND!A:F,5,FALSE)</f>
        <v>#N/A</v>
      </c>
      <c r="N106" s="34" t="e">
        <f>VLOOKUP(Table16[[#This Row],[ROUTE]],DEMAND!A:F,6,FALSE)</f>
        <v>#N/A</v>
      </c>
      <c r="O106" s="34" t="e">
        <f>ROUNDDOWN(Table16[[#This Row],[R-DEMAND]]/1320,0)</f>
        <v>#N/A</v>
      </c>
      <c r="P106" s="34" t="e">
        <f>Table16[[#This Row],[ADD ACC]]*Table16[[#This Row],[Duration]]</f>
        <v>#N/A</v>
      </c>
    </row>
    <row r="107" spans="1:16" x14ac:dyDescent="0.25">
      <c r="A107" s="54" t="s">
        <v>12427</v>
      </c>
      <c r="B107" s="34" t="s">
        <v>371</v>
      </c>
      <c r="C107" s="34"/>
      <c r="D107" s="34">
        <v>2</v>
      </c>
      <c r="E107" s="34" t="s">
        <v>332</v>
      </c>
      <c r="F107" s="34"/>
      <c r="G107" s="34" t="s">
        <v>12084</v>
      </c>
      <c r="H107" s="110">
        <v>2993</v>
      </c>
      <c r="I107" s="122">
        <v>8.75</v>
      </c>
      <c r="K107" s="111">
        <f>IFERROR(Table16[[#This Row],[ROUTE COST]]/Table16[[#This Row],[E - DEMAND]],0)</f>
        <v>0</v>
      </c>
      <c r="L107" s="34"/>
      <c r="M107" s="34" t="e">
        <f>VLOOKUP(Table16[[#This Row],[ROUTE]],DEMAND!A:F,5,FALSE)</f>
        <v>#N/A</v>
      </c>
      <c r="N107" s="34" t="e">
        <f>VLOOKUP(Table16[[#This Row],[ROUTE]],DEMAND!A:F,6,FALSE)</f>
        <v>#N/A</v>
      </c>
      <c r="O107" s="34" t="e">
        <f>ROUNDDOWN(Table16[[#This Row],[R-DEMAND]]/1320,0)</f>
        <v>#N/A</v>
      </c>
      <c r="P107" s="34" t="e">
        <f>Table16[[#This Row],[ADD ACC]]*Table16[[#This Row],[Duration]]</f>
        <v>#N/A</v>
      </c>
    </row>
    <row r="108" spans="1:16" x14ac:dyDescent="0.25">
      <c r="A108" s="54" t="s">
        <v>12235</v>
      </c>
      <c r="B108" s="34" t="s">
        <v>3885</v>
      </c>
      <c r="C108" s="34"/>
      <c r="D108" s="34">
        <v>2</v>
      </c>
      <c r="E108" s="34" t="s">
        <v>560</v>
      </c>
      <c r="F108" s="34"/>
      <c r="G108" s="34" t="s">
        <v>11722</v>
      </c>
      <c r="H108" s="110">
        <v>11543</v>
      </c>
      <c r="I108" s="122">
        <v>27.75</v>
      </c>
      <c r="J108" s="111">
        <v>249822325</v>
      </c>
      <c r="K108" s="111">
        <f>IFERROR(Table16[[#This Row],[ROUTE COST]]/Table16[[#This Row],[E - DEMAND]],0)</f>
        <v>0</v>
      </c>
      <c r="L108" s="34"/>
      <c r="M108" s="34" t="e">
        <f>VLOOKUP(Table16[[#This Row],[ROUTE]],DEMAND!A:F,5,FALSE)</f>
        <v>#N/A</v>
      </c>
      <c r="N108" s="34" t="e">
        <f>VLOOKUP(Table16[[#This Row],[ROUTE]],DEMAND!A:F,6,FALSE)</f>
        <v>#N/A</v>
      </c>
      <c r="O108" s="34" t="e">
        <f>ROUNDDOWN(Table16[[#This Row],[R-DEMAND]]/1320,0)</f>
        <v>#N/A</v>
      </c>
      <c r="P108" s="34" t="e">
        <f>Table16[[#This Row],[ADD ACC]]*Table16[[#This Row],[Duration]]</f>
        <v>#N/A</v>
      </c>
    </row>
    <row r="109" spans="1:16" x14ac:dyDescent="0.25">
      <c r="A109" s="54" t="s">
        <v>12294</v>
      </c>
      <c r="B109" s="34" t="s">
        <v>4408</v>
      </c>
      <c r="C109" s="34"/>
      <c r="D109" s="34">
        <v>2</v>
      </c>
      <c r="E109" s="34" t="s">
        <v>1420</v>
      </c>
      <c r="F109" s="34"/>
      <c r="G109" s="34" t="s">
        <v>11844</v>
      </c>
      <c r="H109" s="110">
        <v>9556</v>
      </c>
      <c r="I109" s="122">
        <v>23.25</v>
      </c>
      <c r="K109" s="111">
        <f>IFERROR(Table16[[#This Row],[ROUTE COST]]/Table16[[#This Row],[E - DEMAND]],0)</f>
        <v>0</v>
      </c>
      <c r="L109" s="34"/>
      <c r="M109" s="34" t="e">
        <f>VLOOKUP(Table16[[#This Row],[ROUTE]],DEMAND!A:F,5,FALSE)</f>
        <v>#N/A</v>
      </c>
      <c r="N109" s="34" t="e">
        <f>VLOOKUP(Table16[[#This Row],[ROUTE]],DEMAND!A:F,6,FALSE)</f>
        <v>#N/A</v>
      </c>
      <c r="O109" s="34" t="e">
        <f>ROUNDDOWN(Table16[[#This Row],[R-DEMAND]]/1320,0)</f>
        <v>#N/A</v>
      </c>
      <c r="P109" s="34" t="e">
        <f>Table16[[#This Row],[ADD ACC]]*Table16[[#This Row],[Duration]]</f>
        <v>#N/A</v>
      </c>
    </row>
    <row r="110" spans="1:16" x14ac:dyDescent="0.25">
      <c r="A110" s="54" t="s">
        <v>12428</v>
      </c>
      <c r="B110" s="34" t="s">
        <v>351</v>
      </c>
      <c r="C110" s="34"/>
      <c r="D110" s="34">
        <v>2</v>
      </c>
      <c r="E110" s="34" t="s">
        <v>717</v>
      </c>
      <c r="F110" s="34"/>
      <c r="G110" s="34" t="s">
        <v>12087</v>
      </c>
      <c r="H110" s="110">
        <v>2822</v>
      </c>
      <c r="I110" s="122">
        <v>8.5</v>
      </c>
      <c r="K110" s="111">
        <f>IFERROR(Table16[[#This Row],[ROUTE COST]]/Table16[[#This Row],[E - DEMAND]],0)</f>
        <v>0</v>
      </c>
      <c r="L110" s="34"/>
      <c r="M110" s="34" t="e">
        <f>VLOOKUP(Table16[[#This Row],[ROUTE]],DEMAND!A:F,5,FALSE)</f>
        <v>#N/A</v>
      </c>
      <c r="N110" s="34" t="e">
        <f>VLOOKUP(Table16[[#This Row],[ROUTE]],DEMAND!A:F,6,FALSE)</f>
        <v>#N/A</v>
      </c>
      <c r="O110" s="34" t="e">
        <f>ROUNDDOWN(Table16[[#This Row],[R-DEMAND]]/1320,0)</f>
        <v>#N/A</v>
      </c>
      <c r="P110" s="34" t="e">
        <f>Table16[[#This Row],[ADD ACC]]*Table16[[#This Row],[Duration]]</f>
        <v>#N/A</v>
      </c>
    </row>
    <row r="111" spans="1:16" x14ac:dyDescent="0.25">
      <c r="A111" s="54" t="s">
        <v>12416</v>
      </c>
      <c r="B111" s="34" t="s">
        <v>4118</v>
      </c>
      <c r="C111" s="34"/>
      <c r="D111" s="34">
        <v>2</v>
      </c>
      <c r="E111" s="34" t="s">
        <v>14</v>
      </c>
      <c r="F111" s="34"/>
      <c r="G111" s="34" t="s">
        <v>12044</v>
      </c>
      <c r="H111" s="110">
        <v>4454</v>
      </c>
      <c r="I111" s="122">
        <v>12</v>
      </c>
      <c r="K111" s="111">
        <f>IFERROR(Table16[[#This Row],[ROUTE COST]]/Table16[[#This Row],[E - DEMAND]],0)</f>
        <v>0</v>
      </c>
      <c r="L111" s="34"/>
      <c r="M111" s="34" t="e">
        <f>VLOOKUP(Table16[[#This Row],[ROUTE]],DEMAND!A:F,5,FALSE)</f>
        <v>#N/A</v>
      </c>
      <c r="N111" s="34" t="e">
        <f>VLOOKUP(Table16[[#This Row],[ROUTE]],DEMAND!A:F,6,FALSE)</f>
        <v>#N/A</v>
      </c>
      <c r="O111" s="34" t="e">
        <f>ROUNDDOWN(Table16[[#This Row],[R-DEMAND]]/1320,0)</f>
        <v>#N/A</v>
      </c>
      <c r="P111" s="34" t="e">
        <f>Table16[[#This Row],[ADD ACC]]*Table16[[#This Row],[Duration]]</f>
        <v>#N/A</v>
      </c>
    </row>
    <row r="112" spans="1:16" x14ac:dyDescent="0.25">
      <c r="A112" s="54" t="s">
        <v>12421</v>
      </c>
      <c r="B112" s="34" t="s">
        <v>3435</v>
      </c>
      <c r="C112" s="34"/>
      <c r="D112" s="34">
        <v>2</v>
      </c>
      <c r="E112" s="34" t="s">
        <v>14</v>
      </c>
      <c r="F112" s="34"/>
      <c r="G112" s="34" t="s">
        <v>12065</v>
      </c>
      <c r="H112" s="110">
        <v>3846</v>
      </c>
      <c r="I112" s="122">
        <v>10.75</v>
      </c>
      <c r="K112" s="111">
        <f>IFERROR(Table16[[#This Row],[ROUTE COST]]/Table16[[#This Row],[E - DEMAND]],0)</f>
        <v>0</v>
      </c>
      <c r="L112" s="34"/>
      <c r="M112" s="34" t="e">
        <f>VLOOKUP(Table16[[#This Row],[ROUTE]],DEMAND!A:F,5,FALSE)</f>
        <v>#N/A</v>
      </c>
      <c r="N112" s="34" t="e">
        <f>VLOOKUP(Table16[[#This Row],[ROUTE]],DEMAND!A:F,6,FALSE)</f>
        <v>#N/A</v>
      </c>
      <c r="O112" s="34" t="e">
        <f>ROUNDDOWN(Table16[[#This Row],[R-DEMAND]]/1320,0)</f>
        <v>#N/A</v>
      </c>
      <c r="P112" s="34" t="e">
        <f>Table16[[#This Row],[ADD ACC]]*Table16[[#This Row],[Duration]]</f>
        <v>#N/A</v>
      </c>
    </row>
    <row r="113" spans="1:16" x14ac:dyDescent="0.25">
      <c r="A113" s="54" t="s">
        <v>12409</v>
      </c>
      <c r="B113" s="34" t="s">
        <v>3070</v>
      </c>
      <c r="C113" s="34"/>
      <c r="D113" s="34">
        <v>2</v>
      </c>
      <c r="E113" s="34" t="s">
        <v>14</v>
      </c>
      <c r="F113" s="34"/>
      <c r="G113" s="34" t="s">
        <v>10058</v>
      </c>
      <c r="H113" s="110">
        <v>5289</v>
      </c>
      <c r="I113" s="122">
        <v>13.75</v>
      </c>
      <c r="K113" s="111">
        <f>IFERROR(Table16[[#This Row],[ROUTE COST]]/Table16[[#This Row],[E - DEMAND]],0)</f>
        <v>0</v>
      </c>
      <c r="L113" s="34"/>
      <c r="M113" s="34" t="e">
        <f>VLOOKUP(Table16[[#This Row],[ROUTE]],DEMAND!A:F,5,FALSE)</f>
        <v>#N/A</v>
      </c>
      <c r="N113" s="34" t="e">
        <f>VLOOKUP(Table16[[#This Row],[ROUTE]],DEMAND!A:F,6,FALSE)</f>
        <v>#N/A</v>
      </c>
      <c r="O113" s="34" t="e">
        <f>ROUNDDOWN(Table16[[#This Row],[R-DEMAND]]/1320,0)</f>
        <v>#N/A</v>
      </c>
      <c r="P113" s="34" t="e">
        <f>Table16[[#This Row],[ADD ACC]]*Table16[[#This Row],[Duration]]</f>
        <v>#N/A</v>
      </c>
    </row>
    <row r="114" spans="1:16" x14ac:dyDescent="0.25">
      <c r="A114" s="54" t="s">
        <v>12397</v>
      </c>
      <c r="B114" s="34" t="s">
        <v>4454</v>
      </c>
      <c r="C114" s="34"/>
      <c r="D114" s="34">
        <v>2</v>
      </c>
      <c r="E114" s="34" t="s">
        <v>4452</v>
      </c>
      <c r="F114" s="34"/>
      <c r="G114" s="34" t="s">
        <v>11988</v>
      </c>
      <c r="H114" s="110">
        <v>6316</v>
      </c>
      <c r="I114" s="122">
        <v>16</v>
      </c>
      <c r="K114" s="111">
        <f>IFERROR(Table16[[#This Row],[ROUTE COST]]/Table16[[#This Row],[E - DEMAND]],0)</f>
        <v>0</v>
      </c>
      <c r="L114" s="34"/>
      <c r="M114" s="34" t="e">
        <f>VLOOKUP(Table16[[#This Row],[ROUTE]],DEMAND!A:F,5,FALSE)</f>
        <v>#N/A</v>
      </c>
      <c r="N114" s="34" t="e">
        <f>VLOOKUP(Table16[[#This Row],[ROUTE]],DEMAND!A:F,6,FALSE)</f>
        <v>#N/A</v>
      </c>
      <c r="O114" s="34" t="e">
        <f>ROUNDDOWN(Table16[[#This Row],[R-DEMAND]]/1320,0)</f>
        <v>#N/A</v>
      </c>
      <c r="P114" s="34" t="e">
        <f>Table16[[#This Row],[ADD ACC]]*Table16[[#This Row],[Duration]]</f>
        <v>#N/A</v>
      </c>
    </row>
    <row r="115" spans="1:16" x14ac:dyDescent="0.25">
      <c r="A115" s="54" t="s">
        <v>12369</v>
      </c>
      <c r="B115" s="34" t="s">
        <v>3939</v>
      </c>
      <c r="C115" s="34"/>
      <c r="D115" s="34">
        <v>2</v>
      </c>
      <c r="E115" s="34" t="s">
        <v>172</v>
      </c>
      <c r="F115" s="34"/>
      <c r="G115" s="34" t="s">
        <v>9989</v>
      </c>
      <c r="H115" s="110">
        <v>7323</v>
      </c>
      <c r="I115" s="122">
        <v>18.25</v>
      </c>
      <c r="K115" s="111">
        <f>IFERROR(Table16[[#This Row],[ROUTE COST]]/Table16[[#This Row],[E - DEMAND]],0)</f>
        <v>0</v>
      </c>
      <c r="L115" s="34"/>
      <c r="M115" s="34" t="e">
        <f>VLOOKUP(Table16[[#This Row],[ROUTE]],DEMAND!A:F,5,FALSE)</f>
        <v>#N/A</v>
      </c>
      <c r="N115" s="34" t="e">
        <f>VLOOKUP(Table16[[#This Row],[ROUTE]],DEMAND!A:F,6,FALSE)</f>
        <v>#N/A</v>
      </c>
      <c r="O115" s="34" t="e">
        <f>ROUNDDOWN(Table16[[#This Row],[R-DEMAND]]/1320,0)</f>
        <v>#N/A</v>
      </c>
      <c r="P115" s="34" t="e">
        <f>Table16[[#This Row],[ADD ACC]]*Table16[[#This Row],[Duration]]</f>
        <v>#N/A</v>
      </c>
    </row>
    <row r="116" spans="1:16" x14ac:dyDescent="0.25">
      <c r="A116" s="54" t="s">
        <v>12340</v>
      </c>
      <c r="B116" s="34" t="s">
        <v>4562</v>
      </c>
      <c r="C116" s="34"/>
      <c r="D116" s="34">
        <v>2</v>
      </c>
      <c r="E116" s="34" t="s">
        <v>637</v>
      </c>
      <c r="F116" s="34"/>
      <c r="G116" s="34" t="s">
        <v>11908</v>
      </c>
      <c r="H116" s="110">
        <v>8265</v>
      </c>
      <c r="I116" s="122">
        <v>20.5</v>
      </c>
      <c r="K116" s="111">
        <f>IFERROR(Table16[[#This Row],[ROUTE COST]]/Table16[[#This Row],[E - DEMAND]],0)</f>
        <v>0</v>
      </c>
      <c r="L116" s="34"/>
      <c r="M116" s="34" t="e">
        <f>VLOOKUP(Table16[[#This Row],[ROUTE]],DEMAND!A:F,5,FALSE)</f>
        <v>#N/A</v>
      </c>
      <c r="N116" s="34" t="e">
        <f>VLOOKUP(Table16[[#This Row],[ROUTE]],DEMAND!A:F,6,FALSE)</f>
        <v>#N/A</v>
      </c>
      <c r="O116" s="34" t="e">
        <f>ROUNDDOWN(Table16[[#This Row],[R-DEMAND]]/1320,0)</f>
        <v>#N/A</v>
      </c>
      <c r="P116" s="34" t="e">
        <f>Table16[[#This Row],[ADD ACC]]*Table16[[#This Row],[Duration]]</f>
        <v>#N/A</v>
      </c>
    </row>
    <row r="117" spans="1:16" x14ac:dyDescent="0.25">
      <c r="A117" s="54" t="s">
        <v>12361</v>
      </c>
      <c r="B117" s="34" t="s">
        <v>3883</v>
      </c>
      <c r="C117" s="34"/>
      <c r="D117" s="34">
        <v>2</v>
      </c>
      <c r="E117" s="34" t="s">
        <v>172</v>
      </c>
      <c r="F117" s="34"/>
      <c r="G117" s="34" t="s">
        <v>9929</v>
      </c>
      <c r="H117" s="110">
        <v>7670</v>
      </c>
      <c r="I117" s="122">
        <v>19</v>
      </c>
      <c r="K117" s="111">
        <f>IFERROR(Table16[[#This Row],[ROUTE COST]]/Table16[[#This Row],[E - DEMAND]],0)</f>
        <v>0</v>
      </c>
      <c r="L117" s="34"/>
      <c r="M117" s="34" t="e">
        <f>VLOOKUP(Table16[[#This Row],[ROUTE]],DEMAND!A:F,5,FALSE)</f>
        <v>#N/A</v>
      </c>
      <c r="N117" s="34" t="e">
        <f>VLOOKUP(Table16[[#This Row],[ROUTE]],DEMAND!A:F,6,FALSE)</f>
        <v>#N/A</v>
      </c>
      <c r="O117" s="34" t="e">
        <f>ROUNDDOWN(Table16[[#This Row],[R-DEMAND]]/1320,0)</f>
        <v>#N/A</v>
      </c>
      <c r="P117" s="34" t="e">
        <f>Table16[[#This Row],[ADD ACC]]*Table16[[#This Row],[Duration]]</f>
        <v>#N/A</v>
      </c>
    </row>
    <row r="118" spans="1:16" x14ac:dyDescent="0.25">
      <c r="A118" s="54" t="s">
        <v>12412</v>
      </c>
      <c r="B118" s="34" t="s">
        <v>2618</v>
      </c>
      <c r="C118" s="34"/>
      <c r="D118" s="34">
        <v>2</v>
      </c>
      <c r="E118" s="34" t="s">
        <v>14</v>
      </c>
      <c r="F118" s="34"/>
      <c r="G118" s="34" t="s">
        <v>12036</v>
      </c>
      <c r="H118" s="110">
        <v>4765</v>
      </c>
      <c r="I118" s="122">
        <v>12.75</v>
      </c>
      <c r="K118" s="111">
        <f>IFERROR(Table16[[#This Row],[ROUTE COST]]/Table16[[#This Row],[E - DEMAND]],0)</f>
        <v>0</v>
      </c>
      <c r="L118" s="34"/>
      <c r="M118" s="34" t="e">
        <f>VLOOKUP(Table16[[#This Row],[ROUTE]],DEMAND!A:F,5,FALSE)</f>
        <v>#N/A</v>
      </c>
      <c r="N118" s="34" t="e">
        <f>VLOOKUP(Table16[[#This Row],[ROUTE]],DEMAND!A:F,6,FALSE)</f>
        <v>#N/A</v>
      </c>
      <c r="O118" s="34" t="e">
        <f>ROUNDDOWN(Table16[[#This Row],[R-DEMAND]]/1320,0)</f>
        <v>#N/A</v>
      </c>
      <c r="P118" s="34" t="e">
        <f>Table16[[#This Row],[ADD ACC]]*Table16[[#This Row],[Duration]]</f>
        <v>#N/A</v>
      </c>
    </row>
    <row r="119" spans="1:16" x14ac:dyDescent="0.25">
      <c r="A119" s="54" t="s">
        <v>12323</v>
      </c>
      <c r="B119" s="34" t="s">
        <v>2914</v>
      </c>
      <c r="C119" s="34"/>
      <c r="D119" s="34">
        <v>2</v>
      </c>
      <c r="E119" s="34" t="s">
        <v>700</v>
      </c>
      <c r="F119" s="34"/>
      <c r="G119" s="34" t="s">
        <v>9893</v>
      </c>
      <c r="H119" s="110">
        <v>8537</v>
      </c>
      <c r="I119" s="122">
        <v>21</v>
      </c>
      <c r="K119" s="111">
        <f>IFERROR(Table16[[#This Row],[ROUTE COST]]/Table16[[#This Row],[E - DEMAND]],0)</f>
        <v>0</v>
      </c>
      <c r="L119" s="34"/>
      <c r="M119" s="34" t="e">
        <f>VLOOKUP(Table16[[#This Row],[ROUTE]],DEMAND!A:F,5,FALSE)</f>
        <v>#N/A</v>
      </c>
      <c r="N119" s="34" t="e">
        <f>VLOOKUP(Table16[[#This Row],[ROUTE]],DEMAND!A:F,6,FALSE)</f>
        <v>#N/A</v>
      </c>
      <c r="O119" s="34" t="e">
        <f>ROUNDDOWN(Table16[[#This Row],[R-DEMAND]]/1320,0)</f>
        <v>#N/A</v>
      </c>
      <c r="P119" s="34" t="e">
        <f>Table16[[#This Row],[ADD ACC]]*Table16[[#This Row],[Duration]]</f>
        <v>#N/A</v>
      </c>
    </row>
    <row r="120" spans="1:16" x14ac:dyDescent="0.25">
      <c r="A120" s="54" t="s">
        <v>12332</v>
      </c>
      <c r="B120" s="34" t="s">
        <v>4198</v>
      </c>
      <c r="C120" s="34"/>
      <c r="D120" s="34">
        <v>2</v>
      </c>
      <c r="E120" s="34" t="s">
        <v>700</v>
      </c>
      <c r="F120" s="34"/>
      <c r="G120" s="34" t="s">
        <v>9890</v>
      </c>
      <c r="H120" s="110">
        <v>8415</v>
      </c>
      <c r="I120" s="122">
        <v>20.75</v>
      </c>
      <c r="K120" s="111">
        <f>IFERROR(Table16[[#This Row],[ROUTE COST]]/Table16[[#This Row],[E - DEMAND]],0)</f>
        <v>0</v>
      </c>
      <c r="L120" s="34"/>
      <c r="M120" s="34" t="e">
        <f>VLOOKUP(Table16[[#This Row],[ROUTE]],DEMAND!A:F,5,FALSE)</f>
        <v>#N/A</v>
      </c>
      <c r="N120" s="34" t="e">
        <f>VLOOKUP(Table16[[#This Row],[ROUTE]],DEMAND!A:F,6,FALSE)</f>
        <v>#N/A</v>
      </c>
      <c r="O120" s="34" t="e">
        <f>ROUNDDOWN(Table16[[#This Row],[R-DEMAND]]/1320,0)</f>
        <v>#N/A</v>
      </c>
      <c r="P120" s="34" t="e">
        <f>Table16[[#This Row],[ADD ACC]]*Table16[[#This Row],[Duration]]</f>
        <v>#N/A</v>
      </c>
    </row>
    <row r="121" spans="1:16" x14ac:dyDescent="0.25">
      <c r="A121" s="54" t="s">
        <v>12245</v>
      </c>
      <c r="B121" s="34" t="s">
        <v>3607</v>
      </c>
      <c r="C121" s="34"/>
      <c r="D121" s="34">
        <v>2</v>
      </c>
      <c r="E121" s="34" t="s">
        <v>560</v>
      </c>
      <c r="F121" s="34"/>
      <c r="G121" s="34" t="s">
        <v>11740</v>
      </c>
      <c r="H121" s="110">
        <v>11283</v>
      </c>
      <c r="I121" s="122">
        <v>27</v>
      </c>
      <c r="J121" s="111">
        <v>245175994</v>
      </c>
      <c r="K121" s="111">
        <f>IFERROR(Table16[[#This Row],[ROUTE COST]]/Table16[[#This Row],[E - DEMAND]],0)</f>
        <v>0</v>
      </c>
      <c r="L121" s="34"/>
      <c r="M121" s="34" t="e">
        <f>VLOOKUP(Table16[[#This Row],[ROUTE]],DEMAND!A:F,5,FALSE)</f>
        <v>#N/A</v>
      </c>
      <c r="N121" s="34" t="e">
        <f>VLOOKUP(Table16[[#This Row],[ROUTE]],DEMAND!A:F,6,FALSE)</f>
        <v>#N/A</v>
      </c>
      <c r="O121" s="34" t="e">
        <f>ROUNDDOWN(Table16[[#This Row],[R-DEMAND]]/1320,0)</f>
        <v>#N/A</v>
      </c>
      <c r="P121" s="34" t="e">
        <f>Table16[[#This Row],[ADD ACC]]*Table16[[#This Row],[Duration]]</f>
        <v>#N/A</v>
      </c>
    </row>
    <row r="122" spans="1:16" x14ac:dyDescent="0.25">
      <c r="A122" s="54" t="s">
        <v>12251</v>
      </c>
      <c r="B122" s="34" t="s">
        <v>4661</v>
      </c>
      <c r="C122" s="34"/>
      <c r="D122" s="34">
        <v>2</v>
      </c>
      <c r="E122" s="34" t="s">
        <v>1427</v>
      </c>
      <c r="F122" s="34"/>
      <c r="G122" s="34" t="s">
        <v>11752</v>
      </c>
      <c r="H122" s="110">
        <v>11150</v>
      </c>
      <c r="I122" s="122">
        <v>26.75</v>
      </c>
      <c r="K122" s="111">
        <f>IFERROR(Table16[[#This Row],[ROUTE COST]]/Table16[[#This Row],[E - DEMAND]],0)</f>
        <v>0</v>
      </c>
      <c r="L122" s="34"/>
      <c r="M122" s="34" t="e">
        <f>VLOOKUP(Table16[[#This Row],[ROUTE]],DEMAND!A:F,5,FALSE)</f>
        <v>#N/A</v>
      </c>
      <c r="N122" s="34" t="e">
        <f>VLOOKUP(Table16[[#This Row],[ROUTE]],DEMAND!A:F,6,FALSE)</f>
        <v>#N/A</v>
      </c>
      <c r="O122" s="34" t="e">
        <f>ROUNDDOWN(Table16[[#This Row],[R-DEMAND]]/1320,0)</f>
        <v>#N/A</v>
      </c>
      <c r="P122" s="34" t="e">
        <f>Table16[[#This Row],[ADD ACC]]*Table16[[#This Row],[Duration]]</f>
        <v>#N/A</v>
      </c>
    </row>
    <row r="123" spans="1:16" x14ac:dyDescent="0.25">
      <c r="A123" s="54" t="s">
        <v>12408</v>
      </c>
      <c r="B123" s="34" t="s">
        <v>2893</v>
      </c>
      <c r="C123" s="34"/>
      <c r="D123" s="34">
        <v>2</v>
      </c>
      <c r="E123" s="34" t="s">
        <v>2891</v>
      </c>
      <c r="F123" s="34"/>
      <c r="G123" s="34" t="s">
        <v>12016</v>
      </c>
      <c r="H123" s="110">
        <v>5410</v>
      </c>
      <c r="I123" s="122">
        <v>14</v>
      </c>
      <c r="K123" s="111">
        <f>IFERROR(Table16[[#This Row],[ROUTE COST]]/Table16[[#This Row],[E - DEMAND]],0)</f>
        <v>0</v>
      </c>
      <c r="L123" s="34"/>
      <c r="M123" s="34" t="e">
        <f>VLOOKUP(Table16[[#This Row],[ROUTE]],DEMAND!A:F,5,FALSE)</f>
        <v>#N/A</v>
      </c>
      <c r="N123" s="34" t="e">
        <f>VLOOKUP(Table16[[#This Row],[ROUTE]],DEMAND!A:F,6,FALSE)</f>
        <v>#N/A</v>
      </c>
      <c r="O123" s="34" t="e">
        <f>ROUNDDOWN(Table16[[#This Row],[R-DEMAND]]/1320,0)</f>
        <v>#N/A</v>
      </c>
      <c r="P123" s="34" t="e">
        <f>Table16[[#This Row],[ADD ACC]]*Table16[[#This Row],[Duration]]</f>
        <v>#N/A</v>
      </c>
    </row>
    <row r="124" spans="1:16" x14ac:dyDescent="0.25">
      <c r="A124" s="54" t="s">
        <v>12395</v>
      </c>
      <c r="B124" s="34" t="s">
        <v>4239</v>
      </c>
      <c r="C124" s="34"/>
      <c r="D124" s="34">
        <v>2</v>
      </c>
      <c r="E124" s="34" t="s">
        <v>3265</v>
      </c>
      <c r="F124" s="34"/>
      <c r="G124" s="34" t="s">
        <v>11985</v>
      </c>
      <c r="H124" s="110">
        <v>6359</v>
      </c>
      <c r="I124" s="122">
        <v>16.25</v>
      </c>
      <c r="K124" s="111">
        <f>IFERROR(Table16[[#This Row],[ROUTE COST]]/Table16[[#This Row],[E - DEMAND]],0)</f>
        <v>0</v>
      </c>
      <c r="L124" s="34"/>
      <c r="M124" s="34" t="e">
        <f>VLOOKUP(Table16[[#This Row],[ROUTE]],DEMAND!A:F,5,FALSE)</f>
        <v>#N/A</v>
      </c>
      <c r="N124" s="34" t="e">
        <f>VLOOKUP(Table16[[#This Row],[ROUTE]],DEMAND!A:F,6,FALSE)</f>
        <v>#N/A</v>
      </c>
      <c r="O124" s="34" t="e">
        <f>ROUNDDOWN(Table16[[#This Row],[R-DEMAND]]/1320,0)</f>
        <v>#N/A</v>
      </c>
      <c r="P124" s="34" t="e">
        <f>Table16[[#This Row],[ADD ACC]]*Table16[[#This Row],[Duration]]</f>
        <v>#N/A</v>
      </c>
    </row>
    <row r="125" spans="1:16" x14ac:dyDescent="0.25">
      <c r="A125" s="54" t="s">
        <v>12307</v>
      </c>
      <c r="B125" s="34" t="s">
        <v>3868</v>
      </c>
      <c r="C125" s="34"/>
      <c r="D125" s="34">
        <v>2</v>
      </c>
      <c r="E125" s="34" t="s">
        <v>1625</v>
      </c>
      <c r="F125" s="34"/>
      <c r="G125" s="34" t="s">
        <v>11869</v>
      </c>
      <c r="H125" s="110">
        <v>8792</v>
      </c>
      <c r="I125" s="122">
        <v>21.5</v>
      </c>
      <c r="K125" s="111">
        <f>IFERROR(Table16[[#This Row],[ROUTE COST]]/Table16[[#This Row],[E - DEMAND]],0)</f>
        <v>0</v>
      </c>
      <c r="L125" s="34"/>
      <c r="M125" s="34" t="e">
        <f>VLOOKUP(Table16[[#This Row],[ROUTE]],DEMAND!A:F,5,FALSE)</f>
        <v>#N/A</v>
      </c>
      <c r="N125" s="34" t="e">
        <f>VLOOKUP(Table16[[#This Row],[ROUTE]],DEMAND!A:F,6,FALSE)</f>
        <v>#N/A</v>
      </c>
      <c r="O125" s="34" t="e">
        <f>ROUNDDOWN(Table16[[#This Row],[R-DEMAND]]/1320,0)</f>
        <v>#N/A</v>
      </c>
      <c r="P125" s="34" t="e">
        <f>Table16[[#This Row],[ADD ACC]]*Table16[[#This Row],[Duration]]</f>
        <v>#N/A</v>
      </c>
    </row>
    <row r="126" spans="1:16" x14ac:dyDescent="0.25">
      <c r="A126" s="54" t="s">
        <v>12431</v>
      </c>
      <c r="B126" s="34" t="s">
        <v>302</v>
      </c>
      <c r="C126" s="34"/>
      <c r="D126" s="34">
        <v>2</v>
      </c>
      <c r="E126" s="34" t="s">
        <v>717</v>
      </c>
      <c r="F126" s="34"/>
      <c r="G126" s="34" t="s">
        <v>12097</v>
      </c>
      <c r="H126" s="110">
        <v>2455</v>
      </c>
      <c r="I126" s="122">
        <v>7.5</v>
      </c>
      <c r="K126" s="111">
        <f>IFERROR(Table16[[#This Row],[ROUTE COST]]/Table16[[#This Row],[E - DEMAND]],0)</f>
        <v>0</v>
      </c>
      <c r="L126" s="34"/>
      <c r="M126" s="34" t="e">
        <f>VLOOKUP(Table16[[#This Row],[ROUTE]],DEMAND!A:F,5,FALSE)</f>
        <v>#N/A</v>
      </c>
      <c r="N126" s="34" t="e">
        <f>VLOOKUP(Table16[[#This Row],[ROUTE]],DEMAND!A:F,6,FALSE)</f>
        <v>#N/A</v>
      </c>
      <c r="O126" s="34" t="e">
        <f>ROUNDDOWN(Table16[[#This Row],[R-DEMAND]]/1320,0)</f>
        <v>#N/A</v>
      </c>
      <c r="P126" s="34" t="e">
        <f>Table16[[#This Row],[ADD ACC]]*Table16[[#This Row],[Duration]]</f>
        <v>#N/A</v>
      </c>
    </row>
    <row r="127" spans="1:16" x14ac:dyDescent="0.25">
      <c r="A127" s="54" t="s">
        <v>12365</v>
      </c>
      <c r="B127" s="34" t="s">
        <v>4414</v>
      </c>
      <c r="C127" s="34"/>
      <c r="D127" s="34">
        <v>2</v>
      </c>
      <c r="E127" s="34" t="s">
        <v>172</v>
      </c>
      <c r="F127" s="34"/>
      <c r="G127" s="34" t="s">
        <v>9697</v>
      </c>
      <c r="H127" s="110">
        <v>7491</v>
      </c>
      <c r="I127" s="122">
        <v>18.75</v>
      </c>
      <c r="K127" s="111">
        <f>IFERROR(Table16[[#This Row],[ROUTE COST]]/Table16[[#This Row],[E - DEMAND]],0)</f>
        <v>0</v>
      </c>
      <c r="L127" s="34"/>
      <c r="M127" s="34" t="e">
        <f>VLOOKUP(Table16[[#This Row],[ROUTE]],DEMAND!A:F,5,FALSE)</f>
        <v>#N/A</v>
      </c>
      <c r="N127" s="34" t="e">
        <f>VLOOKUP(Table16[[#This Row],[ROUTE]],DEMAND!A:F,6,FALSE)</f>
        <v>#N/A</v>
      </c>
      <c r="O127" s="34" t="e">
        <f>ROUNDDOWN(Table16[[#This Row],[R-DEMAND]]/1320,0)</f>
        <v>#N/A</v>
      </c>
      <c r="P127" s="34" t="e">
        <f>Table16[[#This Row],[ADD ACC]]*Table16[[#This Row],[Duration]]</f>
        <v>#N/A</v>
      </c>
    </row>
    <row r="128" spans="1:16" x14ac:dyDescent="0.25">
      <c r="A128" s="54" t="s">
        <v>12239</v>
      </c>
      <c r="B128" s="34" t="s">
        <v>3774</v>
      </c>
      <c r="C128" s="34"/>
      <c r="D128" s="34">
        <v>2</v>
      </c>
      <c r="E128" s="34" t="s">
        <v>560</v>
      </c>
      <c r="F128" s="34"/>
      <c r="G128" s="34" t="s">
        <v>11729</v>
      </c>
      <c r="H128" s="110">
        <v>11379</v>
      </c>
      <c r="I128" s="122">
        <v>27.25</v>
      </c>
      <c r="J128" s="111">
        <v>247188554</v>
      </c>
      <c r="K128" s="111">
        <f>IFERROR(Table16[[#This Row],[ROUTE COST]]/Table16[[#This Row],[E - DEMAND]],0)</f>
        <v>0</v>
      </c>
      <c r="L128" s="34"/>
      <c r="M128" s="34" t="e">
        <f>VLOOKUP(Table16[[#This Row],[ROUTE]],DEMAND!A:F,5,FALSE)</f>
        <v>#N/A</v>
      </c>
      <c r="N128" s="34" t="e">
        <f>VLOOKUP(Table16[[#This Row],[ROUTE]],DEMAND!A:F,6,FALSE)</f>
        <v>#N/A</v>
      </c>
      <c r="O128" s="34" t="e">
        <f>ROUNDDOWN(Table16[[#This Row],[R-DEMAND]]/1320,0)</f>
        <v>#N/A</v>
      </c>
      <c r="P128" s="34" t="e">
        <f>Table16[[#This Row],[ADD ACC]]*Table16[[#This Row],[Duration]]</f>
        <v>#N/A</v>
      </c>
    </row>
    <row r="129" spans="1:16" x14ac:dyDescent="0.25">
      <c r="A129" s="54" t="s">
        <v>12301</v>
      </c>
      <c r="B129" s="34" t="s">
        <v>3615</v>
      </c>
      <c r="C129" s="34"/>
      <c r="D129" s="34">
        <v>2</v>
      </c>
      <c r="E129" s="34" t="s">
        <v>78</v>
      </c>
      <c r="F129" s="34"/>
      <c r="G129" s="34" t="s">
        <v>11861</v>
      </c>
      <c r="H129" s="110">
        <v>8964</v>
      </c>
      <c r="I129" s="122">
        <v>22</v>
      </c>
      <c r="K129" s="111">
        <f>IFERROR(Table16[[#This Row],[ROUTE COST]]/Table16[[#This Row],[E - DEMAND]],0)</f>
        <v>0</v>
      </c>
      <c r="L129" s="34"/>
      <c r="M129" s="34" t="e">
        <f>VLOOKUP(Table16[[#This Row],[ROUTE]],DEMAND!A:F,5,FALSE)</f>
        <v>#N/A</v>
      </c>
      <c r="N129" s="34" t="e">
        <f>VLOOKUP(Table16[[#This Row],[ROUTE]],DEMAND!A:F,6,FALSE)</f>
        <v>#N/A</v>
      </c>
      <c r="O129" s="34" t="e">
        <f>ROUNDDOWN(Table16[[#This Row],[R-DEMAND]]/1320,0)</f>
        <v>#N/A</v>
      </c>
      <c r="P129" s="34" t="e">
        <f>Table16[[#This Row],[ADD ACC]]*Table16[[#This Row],[Duration]]</f>
        <v>#N/A</v>
      </c>
    </row>
    <row r="130" spans="1:16" x14ac:dyDescent="0.25">
      <c r="A130" s="54" t="s">
        <v>12353</v>
      </c>
      <c r="B130" s="34" t="s">
        <v>3906</v>
      </c>
      <c r="C130" s="34"/>
      <c r="D130" s="34">
        <v>2</v>
      </c>
      <c r="E130" s="34" t="s">
        <v>172</v>
      </c>
      <c r="F130" s="34"/>
      <c r="G130" s="34" t="s">
        <v>9572</v>
      </c>
      <c r="H130" s="110">
        <v>7906</v>
      </c>
      <c r="I130" s="122">
        <v>19.75</v>
      </c>
      <c r="K130" s="111">
        <f>IFERROR(Table16[[#This Row],[ROUTE COST]]/Table16[[#This Row],[E - DEMAND]],0)</f>
        <v>0</v>
      </c>
      <c r="L130" s="34"/>
      <c r="M130" s="34" t="e">
        <f>VLOOKUP(Table16[[#This Row],[ROUTE]],DEMAND!A:F,5,FALSE)</f>
        <v>#N/A</v>
      </c>
      <c r="N130" s="34" t="e">
        <f>VLOOKUP(Table16[[#This Row],[ROUTE]],DEMAND!A:F,6,FALSE)</f>
        <v>#N/A</v>
      </c>
      <c r="O130" s="34" t="e">
        <f>ROUNDDOWN(Table16[[#This Row],[R-DEMAND]]/1320,0)</f>
        <v>#N/A</v>
      </c>
      <c r="P130" s="34" t="e">
        <f>Table16[[#This Row],[ADD ACC]]*Table16[[#This Row],[Duration]]</f>
        <v>#N/A</v>
      </c>
    </row>
    <row r="131" spans="1:16" x14ac:dyDescent="0.25">
      <c r="A131" s="54" t="s">
        <v>12297</v>
      </c>
      <c r="B131" s="34" t="s">
        <v>3463</v>
      </c>
      <c r="C131" s="34"/>
      <c r="D131" s="34">
        <v>2</v>
      </c>
      <c r="E131" s="34" t="s">
        <v>1124</v>
      </c>
      <c r="F131" s="34"/>
      <c r="G131" s="34" t="s">
        <v>11857</v>
      </c>
      <c r="H131" s="110">
        <v>9130</v>
      </c>
      <c r="I131" s="122">
        <v>22.25</v>
      </c>
      <c r="K131" s="111">
        <f>IFERROR(Table16[[#This Row],[ROUTE COST]]/Table16[[#This Row],[E - DEMAND]],0)</f>
        <v>0</v>
      </c>
      <c r="L131" s="34"/>
      <c r="M131" s="34" t="e">
        <f>VLOOKUP(Table16[[#This Row],[ROUTE]],DEMAND!A:F,5,FALSE)</f>
        <v>#N/A</v>
      </c>
      <c r="N131" s="34" t="e">
        <f>VLOOKUP(Table16[[#This Row],[ROUTE]],DEMAND!A:F,6,FALSE)</f>
        <v>#N/A</v>
      </c>
      <c r="O131" s="34" t="e">
        <f>ROUNDDOWN(Table16[[#This Row],[R-DEMAND]]/1320,0)</f>
        <v>#N/A</v>
      </c>
      <c r="P131" s="34" t="e">
        <f>Table16[[#This Row],[ADD ACC]]*Table16[[#This Row],[Duration]]</f>
        <v>#N/A</v>
      </c>
    </row>
    <row r="132" spans="1:16" x14ac:dyDescent="0.25">
      <c r="A132" s="54" t="s">
        <v>12321</v>
      </c>
      <c r="B132" s="34" t="s">
        <v>273</v>
      </c>
      <c r="C132" s="34"/>
      <c r="D132" s="34">
        <v>2</v>
      </c>
      <c r="E132" s="34" t="s">
        <v>926</v>
      </c>
      <c r="F132" s="34"/>
      <c r="G132" s="34" t="s">
        <v>11889</v>
      </c>
      <c r="H132" s="110">
        <v>8587</v>
      </c>
      <c r="I132" s="122">
        <v>21.25</v>
      </c>
      <c r="K132" s="111">
        <f>IFERROR(Table16[[#This Row],[ROUTE COST]]/Table16[[#This Row],[E - DEMAND]],0)</f>
        <v>0</v>
      </c>
      <c r="L132" s="34"/>
      <c r="M132" s="34" t="e">
        <f>VLOOKUP(Table16[[#This Row],[ROUTE]],DEMAND!A:F,5,FALSE)</f>
        <v>#N/A</v>
      </c>
      <c r="N132" s="34" t="e">
        <f>VLOOKUP(Table16[[#This Row],[ROUTE]],DEMAND!A:F,6,FALSE)</f>
        <v>#N/A</v>
      </c>
      <c r="O132" s="34" t="e">
        <f>ROUNDDOWN(Table16[[#This Row],[R-DEMAND]]/1320,0)</f>
        <v>#N/A</v>
      </c>
      <c r="P132" s="34" t="e">
        <f>Table16[[#This Row],[ADD ACC]]*Table16[[#This Row],[Duration]]</f>
        <v>#N/A</v>
      </c>
    </row>
    <row r="133" spans="1:16" x14ac:dyDescent="0.25">
      <c r="A133" s="54" t="s">
        <v>12440</v>
      </c>
      <c r="B133" s="34" t="s">
        <v>272</v>
      </c>
      <c r="C133" s="34"/>
      <c r="D133" s="34">
        <v>2</v>
      </c>
      <c r="E133" s="34" t="s">
        <v>1261</v>
      </c>
      <c r="F133" s="34"/>
      <c r="G133" s="34" t="s">
        <v>12117</v>
      </c>
      <c r="H133" s="34">
        <v>30</v>
      </c>
      <c r="I133" s="122">
        <v>2.25</v>
      </c>
      <c r="K133" s="111">
        <f>IFERROR(Table16[[#This Row],[ROUTE COST]]/Table16[[#This Row],[E - DEMAND]],0)</f>
        <v>0</v>
      </c>
      <c r="L133" s="34"/>
      <c r="M133" s="34" t="e">
        <f>VLOOKUP(Table16[[#This Row],[ROUTE]],DEMAND!A:F,5,FALSE)</f>
        <v>#N/A</v>
      </c>
      <c r="N133" s="34" t="e">
        <f>VLOOKUP(Table16[[#This Row],[ROUTE]],DEMAND!A:F,6,FALSE)</f>
        <v>#N/A</v>
      </c>
      <c r="O133" s="34" t="e">
        <f>ROUNDDOWN(Table16[[#This Row],[R-DEMAND]]/1320,0)</f>
        <v>#N/A</v>
      </c>
      <c r="P133" s="34" t="e">
        <f>Table16[[#This Row],[ADD ACC]]*Table16[[#This Row],[Duration]]</f>
        <v>#N/A</v>
      </c>
    </row>
    <row r="134" spans="1:16" x14ac:dyDescent="0.25">
      <c r="A134" s="54" t="s">
        <v>12391</v>
      </c>
      <c r="B134" s="34" t="s">
        <v>2986</v>
      </c>
      <c r="C134" s="34"/>
      <c r="D134" s="34">
        <v>2</v>
      </c>
      <c r="E134" s="34" t="s">
        <v>78</v>
      </c>
      <c r="F134" s="34"/>
      <c r="G134" s="34" t="s">
        <v>11980</v>
      </c>
      <c r="H134" s="110">
        <v>6498</v>
      </c>
      <c r="I134" s="122">
        <v>16.5</v>
      </c>
      <c r="K134" s="111">
        <f>IFERROR(Table16[[#This Row],[ROUTE COST]]/Table16[[#This Row],[E - DEMAND]],0)</f>
        <v>0</v>
      </c>
      <c r="L134" s="34"/>
      <c r="M134" s="34" t="e">
        <f>VLOOKUP(Table16[[#This Row],[ROUTE]],DEMAND!A:F,5,FALSE)</f>
        <v>#N/A</v>
      </c>
      <c r="N134" s="34" t="e">
        <f>VLOOKUP(Table16[[#This Row],[ROUTE]],DEMAND!A:F,6,FALSE)</f>
        <v>#N/A</v>
      </c>
      <c r="O134" s="34" t="e">
        <f>ROUNDDOWN(Table16[[#This Row],[R-DEMAND]]/1320,0)</f>
        <v>#N/A</v>
      </c>
      <c r="P134" s="34" t="e">
        <f>Table16[[#This Row],[ADD ACC]]*Table16[[#This Row],[Duration]]</f>
        <v>#N/A</v>
      </c>
    </row>
    <row r="135" spans="1:16" x14ac:dyDescent="0.25">
      <c r="A135" s="54" t="s">
        <v>12406</v>
      </c>
      <c r="B135" s="34" t="s">
        <v>3235</v>
      </c>
      <c r="C135" s="34"/>
      <c r="D135" s="34">
        <v>2</v>
      </c>
      <c r="E135" s="34" t="s">
        <v>14</v>
      </c>
      <c r="F135" s="34"/>
      <c r="G135" s="34" t="s">
        <v>9438</v>
      </c>
      <c r="H135" s="110">
        <v>5549</v>
      </c>
      <c r="I135" s="122">
        <v>14.5</v>
      </c>
      <c r="K135" s="111">
        <f>IFERROR(Table16[[#This Row],[ROUTE COST]]/Table16[[#This Row],[E - DEMAND]],0)</f>
        <v>0</v>
      </c>
      <c r="L135" s="34"/>
      <c r="M135" s="34" t="e">
        <f>VLOOKUP(Table16[[#This Row],[ROUTE]],DEMAND!A:F,5,FALSE)</f>
        <v>#N/A</v>
      </c>
      <c r="N135" s="34" t="e">
        <f>VLOOKUP(Table16[[#This Row],[ROUTE]],DEMAND!A:F,6,FALSE)</f>
        <v>#N/A</v>
      </c>
      <c r="O135" s="34" t="e">
        <f>ROUNDDOWN(Table16[[#This Row],[R-DEMAND]]/1320,0)</f>
        <v>#N/A</v>
      </c>
      <c r="P135" s="34" t="e">
        <f>Table16[[#This Row],[ADD ACC]]*Table16[[#This Row],[Duration]]</f>
        <v>#N/A</v>
      </c>
    </row>
    <row r="136" spans="1:16" x14ac:dyDescent="0.25">
      <c r="A136" s="54" t="s">
        <v>12311</v>
      </c>
      <c r="B136" s="34" t="s">
        <v>3753</v>
      </c>
      <c r="C136" s="34"/>
      <c r="D136" s="34">
        <v>2</v>
      </c>
      <c r="E136" s="34" t="s">
        <v>700</v>
      </c>
      <c r="F136" s="34"/>
      <c r="G136" s="34" t="s">
        <v>11874</v>
      </c>
      <c r="H136" s="110">
        <v>8689</v>
      </c>
      <c r="I136" s="122">
        <v>21.25</v>
      </c>
      <c r="K136" s="111">
        <f>IFERROR(Table16[[#This Row],[ROUTE COST]]/Table16[[#This Row],[E - DEMAND]],0)</f>
        <v>0</v>
      </c>
      <c r="L136" s="34"/>
      <c r="M136" s="34" t="e">
        <f>VLOOKUP(Table16[[#This Row],[ROUTE]],DEMAND!A:F,5,FALSE)</f>
        <v>#N/A</v>
      </c>
      <c r="N136" s="34" t="e">
        <f>VLOOKUP(Table16[[#This Row],[ROUTE]],DEMAND!A:F,6,FALSE)</f>
        <v>#N/A</v>
      </c>
      <c r="O136" s="34" t="e">
        <f>ROUNDDOWN(Table16[[#This Row],[R-DEMAND]]/1320,0)</f>
        <v>#N/A</v>
      </c>
      <c r="P136" s="34" t="e">
        <f>Table16[[#This Row],[ADD ACC]]*Table16[[#This Row],[Duration]]</f>
        <v>#N/A</v>
      </c>
    </row>
    <row r="137" spans="1:16" x14ac:dyDescent="0.25">
      <c r="A137" s="54" t="s">
        <v>12392</v>
      </c>
      <c r="B137" s="34" t="s">
        <v>4582</v>
      </c>
      <c r="C137" s="34"/>
      <c r="D137" s="34">
        <v>2</v>
      </c>
      <c r="E137" s="34" t="s">
        <v>78</v>
      </c>
      <c r="F137" s="34"/>
      <c r="G137" s="34" t="s">
        <v>9358</v>
      </c>
      <c r="H137" s="110">
        <v>6498</v>
      </c>
      <c r="I137" s="122">
        <v>16.5</v>
      </c>
      <c r="K137" s="111">
        <f>IFERROR(Table16[[#This Row],[ROUTE COST]]/Table16[[#This Row],[E - DEMAND]],0)</f>
        <v>0</v>
      </c>
      <c r="L137" s="34"/>
      <c r="M137" s="34" t="e">
        <f>VLOOKUP(Table16[[#This Row],[ROUTE]],DEMAND!A:F,5,FALSE)</f>
        <v>#N/A</v>
      </c>
      <c r="N137" s="34" t="e">
        <f>VLOOKUP(Table16[[#This Row],[ROUTE]],DEMAND!A:F,6,FALSE)</f>
        <v>#N/A</v>
      </c>
      <c r="O137" s="34" t="e">
        <f>ROUNDDOWN(Table16[[#This Row],[R-DEMAND]]/1320,0)</f>
        <v>#N/A</v>
      </c>
      <c r="P137" s="34" t="e">
        <f>Table16[[#This Row],[ADD ACC]]*Table16[[#This Row],[Duration]]</f>
        <v>#N/A</v>
      </c>
    </row>
    <row r="138" spans="1:16" x14ac:dyDescent="0.25">
      <c r="A138" s="54" t="s">
        <v>12418</v>
      </c>
      <c r="B138" s="34" t="s">
        <v>248</v>
      </c>
      <c r="C138" s="34"/>
      <c r="D138" s="34">
        <v>2</v>
      </c>
      <c r="E138" s="34" t="s">
        <v>1070</v>
      </c>
      <c r="F138" s="34"/>
      <c r="G138" s="34" t="s">
        <v>9270</v>
      </c>
      <c r="H138" s="110">
        <v>4149</v>
      </c>
      <c r="I138" s="122">
        <v>11.25</v>
      </c>
      <c r="K138" s="111">
        <f>IFERROR(Table16[[#This Row],[ROUTE COST]]/Table16[[#This Row],[E - DEMAND]],0)</f>
        <v>0</v>
      </c>
      <c r="L138" s="34"/>
      <c r="M138" s="34" t="e">
        <f>VLOOKUP(Table16[[#This Row],[ROUTE]],DEMAND!A:F,5,FALSE)</f>
        <v>#N/A</v>
      </c>
      <c r="N138" s="34" t="e">
        <f>VLOOKUP(Table16[[#This Row],[ROUTE]],DEMAND!A:F,6,FALSE)</f>
        <v>#N/A</v>
      </c>
      <c r="O138" s="34" t="e">
        <f>ROUNDDOWN(Table16[[#This Row],[R-DEMAND]]/1320,0)</f>
        <v>#N/A</v>
      </c>
      <c r="P138" s="34" t="e">
        <f>Table16[[#This Row],[ADD ACC]]*Table16[[#This Row],[Duration]]</f>
        <v>#N/A</v>
      </c>
    </row>
    <row r="139" spans="1:16" x14ac:dyDescent="0.25">
      <c r="A139" s="54" t="s">
        <v>12430</v>
      </c>
      <c r="B139" s="34" t="s">
        <v>242</v>
      </c>
      <c r="C139" s="34"/>
      <c r="D139" s="34">
        <v>2</v>
      </c>
      <c r="E139" s="34" t="s">
        <v>1070</v>
      </c>
      <c r="F139" s="34"/>
      <c r="G139" s="34" t="s">
        <v>12095</v>
      </c>
      <c r="H139" s="110">
        <v>2505</v>
      </c>
      <c r="I139" s="122">
        <v>7.75</v>
      </c>
      <c r="K139" s="111">
        <f>IFERROR(Table16[[#This Row],[ROUTE COST]]/Table16[[#This Row],[E - DEMAND]],0)</f>
        <v>0</v>
      </c>
      <c r="L139" s="34"/>
      <c r="M139" s="34" t="e">
        <f>VLOOKUP(Table16[[#This Row],[ROUTE]],DEMAND!A:F,5,FALSE)</f>
        <v>#N/A</v>
      </c>
      <c r="N139" s="34" t="e">
        <f>VLOOKUP(Table16[[#This Row],[ROUTE]],DEMAND!A:F,6,FALSE)</f>
        <v>#N/A</v>
      </c>
      <c r="O139" s="34" t="e">
        <f>ROUNDDOWN(Table16[[#This Row],[R-DEMAND]]/1320,0)</f>
        <v>#N/A</v>
      </c>
      <c r="P139" s="34" t="e">
        <f>Table16[[#This Row],[ADD ACC]]*Table16[[#This Row],[Duration]]</f>
        <v>#N/A</v>
      </c>
    </row>
    <row r="140" spans="1:16" x14ac:dyDescent="0.25">
      <c r="A140" s="54" t="s">
        <v>12370</v>
      </c>
      <c r="B140" s="34" t="s">
        <v>3215</v>
      </c>
      <c r="C140" s="34"/>
      <c r="D140" s="34">
        <v>2</v>
      </c>
      <c r="E140" s="34" t="s">
        <v>3213</v>
      </c>
      <c r="F140" s="34"/>
      <c r="G140" s="34" t="s">
        <v>11944</v>
      </c>
      <c r="H140" s="110">
        <v>7294</v>
      </c>
      <c r="I140" s="122">
        <v>18.25</v>
      </c>
      <c r="K140" s="111">
        <f>IFERROR(Table16[[#This Row],[ROUTE COST]]/Table16[[#This Row],[E - DEMAND]],0)</f>
        <v>0</v>
      </c>
      <c r="L140" s="34"/>
      <c r="M140" s="34" t="e">
        <f>VLOOKUP(Table16[[#This Row],[ROUTE]],DEMAND!A:F,5,FALSE)</f>
        <v>#N/A</v>
      </c>
      <c r="N140" s="34" t="e">
        <f>VLOOKUP(Table16[[#This Row],[ROUTE]],DEMAND!A:F,6,FALSE)</f>
        <v>#N/A</v>
      </c>
      <c r="O140" s="34" t="e">
        <f>ROUNDDOWN(Table16[[#This Row],[R-DEMAND]]/1320,0)</f>
        <v>#N/A</v>
      </c>
      <c r="P140" s="34" t="e">
        <f>Table16[[#This Row],[ADD ACC]]*Table16[[#This Row],[Duration]]</f>
        <v>#N/A</v>
      </c>
    </row>
    <row r="141" spans="1:16" x14ac:dyDescent="0.25">
      <c r="A141" s="54" t="s">
        <v>12413</v>
      </c>
      <c r="B141" s="34" t="s">
        <v>2868</v>
      </c>
      <c r="C141" s="34"/>
      <c r="D141" s="34">
        <v>2</v>
      </c>
      <c r="E141" s="34" t="s">
        <v>14</v>
      </c>
      <c r="F141" s="34"/>
      <c r="G141" s="34" t="s">
        <v>12039</v>
      </c>
      <c r="H141" s="110">
        <v>4717</v>
      </c>
      <c r="I141" s="122">
        <v>12.5</v>
      </c>
      <c r="K141" s="111">
        <f>IFERROR(Table16[[#This Row],[ROUTE COST]]/Table16[[#This Row],[E - DEMAND]],0)</f>
        <v>0</v>
      </c>
      <c r="L141" s="34"/>
      <c r="M141" s="34" t="e">
        <f>VLOOKUP(Table16[[#This Row],[ROUTE]],DEMAND!A:F,5,FALSE)</f>
        <v>#N/A</v>
      </c>
      <c r="N141" s="34" t="e">
        <f>VLOOKUP(Table16[[#This Row],[ROUTE]],DEMAND!A:F,6,FALSE)</f>
        <v>#N/A</v>
      </c>
      <c r="O141" s="34" t="e">
        <f>ROUNDDOWN(Table16[[#This Row],[R-DEMAND]]/1320,0)</f>
        <v>#N/A</v>
      </c>
      <c r="P141" s="34" t="e">
        <f>Table16[[#This Row],[ADD ACC]]*Table16[[#This Row],[Duration]]</f>
        <v>#N/A</v>
      </c>
    </row>
    <row r="142" spans="1:16" x14ac:dyDescent="0.25">
      <c r="A142" s="54" t="s">
        <v>12357</v>
      </c>
      <c r="B142" s="34" t="s">
        <v>3668</v>
      </c>
      <c r="C142" s="34"/>
      <c r="D142" s="34">
        <v>2</v>
      </c>
      <c r="E142" s="34" t="s">
        <v>1516</v>
      </c>
      <c r="F142" s="34"/>
      <c r="G142" s="34" t="s">
        <v>11928</v>
      </c>
      <c r="H142" s="110">
        <v>7713</v>
      </c>
      <c r="I142" s="122">
        <v>19.25</v>
      </c>
      <c r="K142" s="111">
        <f>IFERROR(Table16[[#This Row],[ROUTE COST]]/Table16[[#This Row],[E - DEMAND]],0)</f>
        <v>0</v>
      </c>
      <c r="L142" s="34"/>
      <c r="M142" s="34" t="e">
        <f>VLOOKUP(Table16[[#This Row],[ROUTE]],DEMAND!A:F,5,FALSE)</f>
        <v>#N/A</v>
      </c>
      <c r="N142" s="34" t="e">
        <f>VLOOKUP(Table16[[#This Row],[ROUTE]],DEMAND!A:F,6,FALSE)</f>
        <v>#N/A</v>
      </c>
      <c r="O142" s="34" t="e">
        <f>ROUNDDOWN(Table16[[#This Row],[R-DEMAND]]/1320,0)</f>
        <v>#N/A</v>
      </c>
      <c r="P142" s="34" t="e">
        <f>Table16[[#This Row],[ADD ACC]]*Table16[[#This Row],[Duration]]</f>
        <v>#N/A</v>
      </c>
    </row>
    <row r="143" spans="1:16" x14ac:dyDescent="0.25">
      <c r="A143" s="54" t="s">
        <v>12434</v>
      </c>
      <c r="B143" s="34" t="s">
        <v>229</v>
      </c>
      <c r="C143" s="34"/>
      <c r="D143" s="34">
        <v>2</v>
      </c>
      <c r="E143" s="34" t="s">
        <v>332</v>
      </c>
      <c r="F143" s="34"/>
      <c r="G143" s="34" t="s">
        <v>9107</v>
      </c>
      <c r="H143" s="110">
        <v>1796</v>
      </c>
      <c r="I143" s="122">
        <v>6</v>
      </c>
      <c r="K143" s="111">
        <f>IFERROR(Table16[[#This Row],[ROUTE COST]]/Table16[[#This Row],[E - DEMAND]],0)</f>
        <v>0</v>
      </c>
      <c r="L143" s="34"/>
      <c r="M143" s="34" t="e">
        <f>VLOOKUP(Table16[[#This Row],[ROUTE]],DEMAND!A:F,5,FALSE)</f>
        <v>#N/A</v>
      </c>
      <c r="N143" s="34" t="e">
        <f>VLOOKUP(Table16[[#This Row],[ROUTE]],DEMAND!A:F,6,FALSE)</f>
        <v>#N/A</v>
      </c>
      <c r="O143" s="34" t="e">
        <f>ROUNDDOWN(Table16[[#This Row],[R-DEMAND]]/1320,0)</f>
        <v>#N/A</v>
      </c>
      <c r="P143" s="34" t="e">
        <f>Table16[[#This Row],[ADD ACC]]*Table16[[#This Row],[Duration]]</f>
        <v>#N/A</v>
      </c>
    </row>
    <row r="144" spans="1:16" x14ac:dyDescent="0.25">
      <c r="A144" s="54" t="s">
        <v>12373</v>
      </c>
      <c r="B144" s="34" t="s">
        <v>3588</v>
      </c>
      <c r="C144" s="34"/>
      <c r="D144" s="34">
        <v>2</v>
      </c>
      <c r="E144" s="34" t="s">
        <v>78</v>
      </c>
      <c r="F144" s="34"/>
      <c r="G144" s="34" t="s">
        <v>11953</v>
      </c>
      <c r="H144" s="110">
        <v>7087</v>
      </c>
      <c r="I144" s="122">
        <v>17.75</v>
      </c>
      <c r="K144" s="111">
        <f>IFERROR(Table16[[#This Row],[ROUTE COST]]/Table16[[#This Row],[E - DEMAND]],0)</f>
        <v>0</v>
      </c>
      <c r="L144" s="34"/>
      <c r="M144" s="34" t="e">
        <f>VLOOKUP(Table16[[#This Row],[ROUTE]],DEMAND!A:F,5,FALSE)</f>
        <v>#N/A</v>
      </c>
      <c r="N144" s="34" t="e">
        <f>VLOOKUP(Table16[[#This Row],[ROUTE]],DEMAND!A:F,6,FALSE)</f>
        <v>#N/A</v>
      </c>
      <c r="O144" s="34" t="e">
        <f>ROUNDDOWN(Table16[[#This Row],[R-DEMAND]]/1320,0)</f>
        <v>#N/A</v>
      </c>
      <c r="P144" s="34" t="e">
        <f>Table16[[#This Row],[ADD ACC]]*Table16[[#This Row],[Duration]]</f>
        <v>#N/A</v>
      </c>
    </row>
    <row r="145" spans="1:16" x14ac:dyDescent="0.25">
      <c r="A145" s="54" t="s">
        <v>12384</v>
      </c>
      <c r="B145" s="34" t="s">
        <v>4256</v>
      </c>
      <c r="C145" s="34"/>
      <c r="D145" s="34">
        <v>2</v>
      </c>
      <c r="E145" s="34" t="s">
        <v>502</v>
      </c>
      <c r="F145" s="34"/>
      <c r="G145" s="34" t="s">
        <v>11971</v>
      </c>
      <c r="H145" s="110">
        <v>6662</v>
      </c>
      <c r="I145" s="122">
        <v>17</v>
      </c>
      <c r="K145" s="111">
        <f>IFERROR(Table16[[#This Row],[ROUTE COST]]/Table16[[#This Row],[E - DEMAND]],0)</f>
        <v>0</v>
      </c>
      <c r="L145" s="34"/>
      <c r="M145" s="34" t="e">
        <f>VLOOKUP(Table16[[#This Row],[ROUTE]],DEMAND!A:F,5,FALSE)</f>
        <v>#N/A</v>
      </c>
      <c r="N145" s="34" t="e">
        <f>VLOOKUP(Table16[[#This Row],[ROUTE]],DEMAND!A:F,6,FALSE)</f>
        <v>#N/A</v>
      </c>
      <c r="O145" s="34" t="e">
        <f>ROUNDDOWN(Table16[[#This Row],[R-DEMAND]]/1320,0)</f>
        <v>#N/A</v>
      </c>
      <c r="P145" s="34" t="e">
        <f>Table16[[#This Row],[ADD ACC]]*Table16[[#This Row],[Duration]]</f>
        <v>#N/A</v>
      </c>
    </row>
    <row r="146" spans="1:16" x14ac:dyDescent="0.25">
      <c r="A146" s="54" t="s">
        <v>12378</v>
      </c>
      <c r="B146" s="34" t="s">
        <v>2601</v>
      </c>
      <c r="C146" s="34"/>
      <c r="D146" s="34">
        <v>2</v>
      </c>
      <c r="E146" s="34" t="s">
        <v>588</v>
      </c>
      <c r="F146" s="34"/>
      <c r="G146" s="34" t="s">
        <v>11959</v>
      </c>
      <c r="H146" s="110">
        <v>6990</v>
      </c>
      <c r="I146" s="122">
        <v>17.5</v>
      </c>
      <c r="K146" s="111">
        <f>IFERROR(Table16[[#This Row],[ROUTE COST]]/Table16[[#This Row],[E - DEMAND]],0)</f>
        <v>0</v>
      </c>
      <c r="L146" s="34"/>
      <c r="M146" s="34" t="e">
        <f>VLOOKUP(Table16[[#This Row],[ROUTE]],DEMAND!A:F,5,FALSE)</f>
        <v>#N/A</v>
      </c>
      <c r="N146" s="34" t="e">
        <f>VLOOKUP(Table16[[#This Row],[ROUTE]],DEMAND!A:F,6,FALSE)</f>
        <v>#N/A</v>
      </c>
      <c r="O146" s="34" t="e">
        <f>ROUNDDOWN(Table16[[#This Row],[R-DEMAND]]/1320,0)</f>
        <v>#N/A</v>
      </c>
      <c r="P146" s="34" t="e">
        <f>Table16[[#This Row],[ADD ACC]]*Table16[[#This Row],[Duration]]</f>
        <v>#N/A</v>
      </c>
    </row>
    <row r="147" spans="1:16" x14ac:dyDescent="0.25">
      <c r="A147" s="54" t="s">
        <v>12327</v>
      </c>
      <c r="B147" s="34" t="s">
        <v>2962</v>
      </c>
      <c r="C147" s="34"/>
      <c r="D147" s="34">
        <v>2</v>
      </c>
      <c r="E147" s="34" t="s">
        <v>1352</v>
      </c>
      <c r="F147" s="34"/>
      <c r="G147" s="34" t="s">
        <v>11897</v>
      </c>
      <c r="H147" s="110">
        <v>8496</v>
      </c>
      <c r="I147" s="122">
        <v>21</v>
      </c>
      <c r="K147" s="111">
        <f>IFERROR(Table16[[#This Row],[ROUTE COST]]/Table16[[#This Row],[E - DEMAND]],0)</f>
        <v>0</v>
      </c>
      <c r="L147" s="34"/>
      <c r="M147" s="34" t="e">
        <f>VLOOKUP(Table16[[#This Row],[ROUTE]],DEMAND!A:F,5,FALSE)</f>
        <v>#N/A</v>
      </c>
      <c r="N147" s="34" t="e">
        <f>VLOOKUP(Table16[[#This Row],[ROUTE]],DEMAND!A:F,6,FALSE)</f>
        <v>#N/A</v>
      </c>
      <c r="O147" s="34" t="e">
        <f>ROUNDDOWN(Table16[[#This Row],[R-DEMAND]]/1320,0)</f>
        <v>#N/A</v>
      </c>
      <c r="P147" s="34" t="e">
        <f>Table16[[#This Row],[ADD ACC]]*Table16[[#This Row],[Duration]]</f>
        <v>#N/A</v>
      </c>
    </row>
    <row r="148" spans="1:16" x14ac:dyDescent="0.25">
      <c r="A148" s="54" t="s">
        <v>12402</v>
      </c>
      <c r="B148" s="34" t="s">
        <v>4172</v>
      </c>
      <c r="C148" s="34"/>
      <c r="D148" s="34">
        <v>2</v>
      </c>
      <c r="E148" s="34" t="s">
        <v>14</v>
      </c>
      <c r="F148" s="34"/>
      <c r="G148" s="34" t="s">
        <v>12001</v>
      </c>
      <c r="H148" s="110">
        <v>5974</v>
      </c>
      <c r="I148" s="122">
        <v>15.25</v>
      </c>
      <c r="K148" s="111">
        <f>IFERROR(Table16[[#This Row],[ROUTE COST]]/Table16[[#This Row],[E - DEMAND]],0)</f>
        <v>0</v>
      </c>
      <c r="L148" s="34"/>
      <c r="M148" s="34" t="e">
        <f>VLOOKUP(Table16[[#This Row],[ROUTE]],DEMAND!A:F,5,FALSE)</f>
        <v>#N/A</v>
      </c>
      <c r="N148" s="34" t="e">
        <f>VLOOKUP(Table16[[#This Row],[ROUTE]],DEMAND!A:F,6,FALSE)</f>
        <v>#N/A</v>
      </c>
      <c r="O148" s="34" t="e">
        <f>ROUNDDOWN(Table16[[#This Row],[R-DEMAND]]/1320,0)</f>
        <v>#N/A</v>
      </c>
      <c r="P148" s="34" t="e">
        <f>Table16[[#This Row],[ADD ACC]]*Table16[[#This Row],[Duration]]</f>
        <v>#N/A</v>
      </c>
    </row>
    <row r="149" spans="1:16" x14ac:dyDescent="0.25">
      <c r="A149" s="54" t="s">
        <v>12293</v>
      </c>
      <c r="B149" s="34" t="s">
        <v>4436</v>
      </c>
      <c r="C149" s="34"/>
      <c r="D149" s="34">
        <v>2</v>
      </c>
      <c r="E149" s="34" t="s">
        <v>4434</v>
      </c>
      <c r="F149" s="34"/>
      <c r="G149" s="34" t="s">
        <v>11843</v>
      </c>
      <c r="H149" s="110">
        <v>9586</v>
      </c>
      <c r="I149" s="122">
        <v>23.25</v>
      </c>
      <c r="K149" s="111">
        <f>IFERROR(Table16[[#This Row],[ROUTE COST]]/Table16[[#This Row],[E - DEMAND]],0)</f>
        <v>0</v>
      </c>
      <c r="L149" s="34"/>
      <c r="M149" s="34" t="e">
        <f>VLOOKUP(Table16[[#This Row],[ROUTE]],DEMAND!A:F,5,FALSE)</f>
        <v>#N/A</v>
      </c>
      <c r="N149" s="34" t="e">
        <f>VLOOKUP(Table16[[#This Row],[ROUTE]],DEMAND!A:F,6,FALSE)</f>
        <v>#N/A</v>
      </c>
      <c r="O149" s="34" t="e">
        <f>ROUNDDOWN(Table16[[#This Row],[R-DEMAND]]/1320,0)</f>
        <v>#N/A</v>
      </c>
      <c r="P149" s="34" t="e">
        <f>Table16[[#This Row],[ADD ACC]]*Table16[[#This Row],[Duration]]</f>
        <v>#N/A</v>
      </c>
    </row>
    <row r="150" spans="1:16" x14ac:dyDescent="0.25">
      <c r="A150" s="54" t="s">
        <v>12375</v>
      </c>
      <c r="B150" s="34" t="s">
        <v>4663</v>
      </c>
      <c r="C150" s="34"/>
      <c r="D150" s="34">
        <v>2</v>
      </c>
      <c r="E150" s="34" t="s">
        <v>78</v>
      </c>
      <c r="F150" s="34"/>
      <c r="G150" s="34" t="s">
        <v>11954</v>
      </c>
      <c r="H150" s="110">
        <v>7049</v>
      </c>
      <c r="I150" s="122">
        <v>17.75</v>
      </c>
      <c r="K150" s="111">
        <f>IFERROR(Table16[[#This Row],[ROUTE COST]]/Table16[[#This Row],[E - DEMAND]],0)</f>
        <v>0</v>
      </c>
      <c r="L150" s="34"/>
      <c r="M150" s="34" t="e">
        <f>VLOOKUP(Table16[[#This Row],[ROUTE]],DEMAND!A:F,5,FALSE)</f>
        <v>#N/A</v>
      </c>
      <c r="N150" s="34" t="e">
        <f>VLOOKUP(Table16[[#This Row],[ROUTE]],DEMAND!A:F,6,FALSE)</f>
        <v>#N/A</v>
      </c>
      <c r="O150" s="34" t="e">
        <f>ROUNDDOWN(Table16[[#This Row],[R-DEMAND]]/1320,0)</f>
        <v>#N/A</v>
      </c>
      <c r="P150" s="34" t="e">
        <f>Table16[[#This Row],[ADD ACC]]*Table16[[#This Row],[Duration]]</f>
        <v>#N/A</v>
      </c>
    </row>
    <row r="151" spans="1:16" x14ac:dyDescent="0.25">
      <c r="A151" s="54" t="s">
        <v>12286</v>
      </c>
      <c r="B151" s="34" t="s">
        <v>2808</v>
      </c>
      <c r="C151" s="34"/>
      <c r="D151" s="34">
        <v>2</v>
      </c>
      <c r="E151" s="34" t="s">
        <v>597</v>
      </c>
      <c r="F151" s="34"/>
      <c r="G151" s="34" t="s">
        <v>11828</v>
      </c>
      <c r="H151" s="110">
        <v>9947</v>
      </c>
      <c r="I151" s="122">
        <v>24.25</v>
      </c>
      <c r="K151" s="111">
        <f>IFERROR(Table16[[#This Row],[ROUTE COST]]/Table16[[#This Row],[E - DEMAND]],0)</f>
        <v>0</v>
      </c>
      <c r="L151" s="34"/>
      <c r="M151" s="34" t="e">
        <f>VLOOKUP(Table16[[#This Row],[ROUTE]],DEMAND!A:F,5,FALSE)</f>
        <v>#N/A</v>
      </c>
      <c r="N151" s="34" t="e">
        <f>VLOOKUP(Table16[[#This Row],[ROUTE]],DEMAND!A:F,6,FALSE)</f>
        <v>#N/A</v>
      </c>
      <c r="O151" s="34" t="e">
        <f>ROUNDDOWN(Table16[[#This Row],[R-DEMAND]]/1320,0)</f>
        <v>#N/A</v>
      </c>
      <c r="P151" s="34" t="e">
        <f>Table16[[#This Row],[ADD ACC]]*Table16[[#This Row],[Duration]]</f>
        <v>#N/A</v>
      </c>
    </row>
    <row r="152" spans="1:16" x14ac:dyDescent="0.25">
      <c r="A152" s="54" t="s">
        <v>12404</v>
      </c>
      <c r="B152" s="34" t="s">
        <v>3586</v>
      </c>
      <c r="C152" s="34"/>
      <c r="D152" s="34">
        <v>2</v>
      </c>
      <c r="E152" s="34" t="s">
        <v>14</v>
      </c>
      <c r="F152" s="34"/>
      <c r="G152" s="34" t="s">
        <v>12006</v>
      </c>
      <c r="H152" s="110">
        <v>5713</v>
      </c>
      <c r="I152" s="122">
        <v>14.75</v>
      </c>
      <c r="K152" s="111">
        <f>IFERROR(Table16[[#This Row],[ROUTE COST]]/Table16[[#This Row],[E - DEMAND]],0)</f>
        <v>0</v>
      </c>
      <c r="L152" s="34"/>
      <c r="M152" s="34" t="e">
        <f>VLOOKUP(Table16[[#This Row],[ROUTE]],DEMAND!A:F,5,FALSE)</f>
        <v>#N/A</v>
      </c>
      <c r="N152" s="34" t="e">
        <f>VLOOKUP(Table16[[#This Row],[ROUTE]],DEMAND!A:F,6,FALSE)</f>
        <v>#N/A</v>
      </c>
      <c r="O152" s="34" t="e">
        <f>ROUNDDOWN(Table16[[#This Row],[R-DEMAND]]/1320,0)</f>
        <v>#N/A</v>
      </c>
      <c r="P152" s="34" t="e">
        <f>Table16[[#This Row],[ADD ACC]]*Table16[[#This Row],[Duration]]</f>
        <v>#N/A</v>
      </c>
    </row>
    <row r="153" spans="1:16" x14ac:dyDescent="0.25">
      <c r="A153" s="54" t="s">
        <v>12326</v>
      </c>
      <c r="B153" s="34" t="s">
        <v>3650</v>
      </c>
      <c r="C153" s="34"/>
      <c r="D153" s="34">
        <v>2</v>
      </c>
      <c r="E153" s="34" t="s">
        <v>881</v>
      </c>
      <c r="F153" s="34"/>
      <c r="G153" s="34" t="s">
        <v>11896</v>
      </c>
      <c r="H153" s="110">
        <v>8507</v>
      </c>
      <c r="I153" s="122">
        <v>21</v>
      </c>
      <c r="K153" s="111">
        <f>IFERROR(Table16[[#This Row],[ROUTE COST]]/Table16[[#This Row],[E - DEMAND]],0)</f>
        <v>0</v>
      </c>
      <c r="L153" s="34"/>
      <c r="M153" s="34" t="e">
        <f>VLOOKUP(Table16[[#This Row],[ROUTE]],DEMAND!A:F,5,FALSE)</f>
        <v>#N/A</v>
      </c>
      <c r="N153" s="34" t="e">
        <f>VLOOKUP(Table16[[#This Row],[ROUTE]],DEMAND!A:F,6,FALSE)</f>
        <v>#N/A</v>
      </c>
      <c r="O153" s="34" t="e">
        <f>ROUNDDOWN(Table16[[#This Row],[R-DEMAND]]/1320,0)</f>
        <v>#N/A</v>
      </c>
      <c r="P153" s="34" t="e">
        <f>Table16[[#This Row],[ADD ACC]]*Table16[[#This Row],[Duration]]</f>
        <v>#N/A</v>
      </c>
    </row>
    <row r="154" spans="1:16" x14ac:dyDescent="0.25">
      <c r="A154" s="54" t="s">
        <v>12276</v>
      </c>
      <c r="B154" s="34" t="s">
        <v>4187</v>
      </c>
      <c r="C154" s="34"/>
      <c r="D154" s="34">
        <v>2</v>
      </c>
      <c r="E154" s="34" t="s">
        <v>659</v>
      </c>
      <c r="F154" s="34"/>
      <c r="G154" s="34" t="s">
        <v>11814</v>
      </c>
      <c r="H154" s="110">
        <v>10186</v>
      </c>
      <c r="I154" s="122">
        <v>24.75</v>
      </c>
      <c r="K154" s="111">
        <f>IFERROR(Table16[[#This Row],[ROUTE COST]]/Table16[[#This Row],[E - DEMAND]],0)</f>
        <v>0</v>
      </c>
      <c r="L154" s="34"/>
      <c r="M154" s="34" t="e">
        <f>VLOOKUP(Table16[[#This Row],[ROUTE]],DEMAND!A:F,5,FALSE)</f>
        <v>#N/A</v>
      </c>
      <c r="N154" s="34" t="e">
        <f>VLOOKUP(Table16[[#This Row],[ROUTE]],DEMAND!A:F,6,FALSE)</f>
        <v>#N/A</v>
      </c>
      <c r="O154" s="34" t="e">
        <f>ROUNDDOWN(Table16[[#This Row],[R-DEMAND]]/1320,0)</f>
        <v>#N/A</v>
      </c>
      <c r="P154" s="34" t="e">
        <f>Table16[[#This Row],[ADD ACC]]*Table16[[#This Row],[Duration]]</f>
        <v>#N/A</v>
      </c>
    </row>
    <row r="155" spans="1:16" x14ac:dyDescent="0.25">
      <c r="A155" s="54" t="s">
        <v>12359</v>
      </c>
      <c r="B155" s="34" t="s">
        <v>4160</v>
      </c>
      <c r="C155" s="34"/>
      <c r="D155" s="34">
        <v>2</v>
      </c>
      <c r="E155" s="34" t="s">
        <v>502</v>
      </c>
      <c r="F155" s="34"/>
      <c r="G155" s="34" t="s">
        <v>11930</v>
      </c>
      <c r="H155" s="110">
        <v>7687</v>
      </c>
      <c r="I155" s="122">
        <v>19.25</v>
      </c>
      <c r="K155" s="111">
        <f>IFERROR(Table16[[#This Row],[ROUTE COST]]/Table16[[#This Row],[E - DEMAND]],0)</f>
        <v>0</v>
      </c>
      <c r="L155" s="34"/>
      <c r="M155" s="34" t="e">
        <f>VLOOKUP(Table16[[#This Row],[ROUTE]],DEMAND!A:F,5,FALSE)</f>
        <v>#N/A</v>
      </c>
      <c r="N155" s="34" t="e">
        <f>VLOOKUP(Table16[[#This Row],[ROUTE]],DEMAND!A:F,6,FALSE)</f>
        <v>#N/A</v>
      </c>
      <c r="O155" s="34" t="e">
        <f>ROUNDDOWN(Table16[[#This Row],[R-DEMAND]]/1320,0)</f>
        <v>#N/A</v>
      </c>
      <c r="P155" s="34" t="e">
        <f>Table16[[#This Row],[ADD ACC]]*Table16[[#This Row],[Duration]]</f>
        <v>#N/A</v>
      </c>
    </row>
    <row r="156" spans="1:16" x14ac:dyDescent="0.25">
      <c r="A156" s="54" t="s">
        <v>12338</v>
      </c>
      <c r="B156" s="34" t="s">
        <v>3640</v>
      </c>
      <c r="C156" s="34"/>
      <c r="D156" s="34">
        <v>2</v>
      </c>
      <c r="E156" s="34" t="s">
        <v>700</v>
      </c>
      <c r="F156" s="34"/>
      <c r="G156" s="34" t="s">
        <v>11904</v>
      </c>
      <c r="H156" s="110">
        <v>8286</v>
      </c>
      <c r="I156" s="122">
        <v>20.5</v>
      </c>
      <c r="K156" s="111">
        <f>IFERROR(Table16[[#This Row],[ROUTE COST]]/Table16[[#This Row],[E - DEMAND]],0)</f>
        <v>0</v>
      </c>
      <c r="L156" s="34"/>
      <c r="M156" s="34" t="e">
        <f>VLOOKUP(Table16[[#This Row],[ROUTE]],DEMAND!A:F,5,FALSE)</f>
        <v>#N/A</v>
      </c>
      <c r="N156" s="34" t="e">
        <f>VLOOKUP(Table16[[#This Row],[ROUTE]],DEMAND!A:F,6,FALSE)</f>
        <v>#N/A</v>
      </c>
      <c r="O156" s="34" t="e">
        <f>ROUNDDOWN(Table16[[#This Row],[R-DEMAND]]/1320,0)</f>
        <v>#N/A</v>
      </c>
      <c r="P156" s="34" t="e">
        <f>Table16[[#This Row],[ADD ACC]]*Table16[[#This Row],[Duration]]</f>
        <v>#N/A</v>
      </c>
    </row>
    <row r="157" spans="1:16" x14ac:dyDescent="0.25">
      <c r="A157" s="54" t="s">
        <v>12438</v>
      </c>
      <c r="B157" s="34" t="s">
        <v>213</v>
      </c>
      <c r="C157" s="34"/>
      <c r="D157" s="34">
        <v>2</v>
      </c>
      <c r="E157" s="34" t="s">
        <v>709</v>
      </c>
      <c r="F157" s="34"/>
      <c r="G157" s="34" t="s">
        <v>12113</v>
      </c>
      <c r="H157" s="110">
        <v>1165</v>
      </c>
      <c r="I157" s="122">
        <v>4.75</v>
      </c>
      <c r="K157" s="111">
        <f>IFERROR(Table16[[#This Row],[ROUTE COST]]/Table16[[#This Row],[E - DEMAND]],0)</f>
        <v>0</v>
      </c>
      <c r="L157" s="34"/>
      <c r="M157" s="34" t="e">
        <f>VLOOKUP(Table16[[#This Row],[ROUTE]],DEMAND!A:F,5,FALSE)</f>
        <v>#N/A</v>
      </c>
      <c r="N157" s="34" t="e">
        <f>VLOOKUP(Table16[[#This Row],[ROUTE]],DEMAND!A:F,6,FALSE)</f>
        <v>#N/A</v>
      </c>
      <c r="O157" s="34" t="e">
        <f>ROUNDDOWN(Table16[[#This Row],[R-DEMAND]]/1320,0)</f>
        <v>#N/A</v>
      </c>
      <c r="P157" s="34" t="e">
        <f>Table16[[#This Row],[ADD ACC]]*Table16[[#This Row],[Duration]]</f>
        <v>#N/A</v>
      </c>
    </row>
    <row r="158" spans="1:16" x14ac:dyDescent="0.25">
      <c r="A158" s="54" t="s">
        <v>12328</v>
      </c>
      <c r="B158" s="34" t="s">
        <v>4703</v>
      </c>
      <c r="C158" s="34"/>
      <c r="D158" s="34">
        <v>2</v>
      </c>
      <c r="E158" s="34" t="s">
        <v>78</v>
      </c>
      <c r="F158" s="34"/>
      <c r="G158" s="34" t="s">
        <v>11898</v>
      </c>
      <c r="H158" s="110">
        <v>8461</v>
      </c>
      <c r="I158" s="122">
        <v>20.75</v>
      </c>
      <c r="K158" s="111">
        <f>IFERROR(Table16[[#This Row],[ROUTE COST]]/Table16[[#This Row],[E - DEMAND]],0)</f>
        <v>0</v>
      </c>
      <c r="L158" s="34"/>
      <c r="M158" s="34" t="e">
        <f>VLOOKUP(Table16[[#This Row],[ROUTE]],DEMAND!A:F,5,FALSE)</f>
        <v>#N/A</v>
      </c>
      <c r="N158" s="34" t="e">
        <f>VLOOKUP(Table16[[#This Row],[ROUTE]],DEMAND!A:F,6,FALSE)</f>
        <v>#N/A</v>
      </c>
      <c r="O158" s="34" t="e">
        <f>ROUNDDOWN(Table16[[#This Row],[R-DEMAND]]/1320,0)</f>
        <v>#N/A</v>
      </c>
      <c r="P158" s="34" t="e">
        <f>Table16[[#This Row],[ADD ACC]]*Table16[[#This Row],[Duration]]</f>
        <v>#N/A</v>
      </c>
    </row>
    <row r="159" spans="1:16" x14ac:dyDescent="0.25">
      <c r="A159" s="54" t="s">
        <v>12290</v>
      </c>
      <c r="B159" s="34" t="s">
        <v>3763</v>
      </c>
      <c r="C159" s="34"/>
      <c r="D159" s="34">
        <v>2</v>
      </c>
      <c r="E159" s="34" t="s">
        <v>597</v>
      </c>
      <c r="F159" s="34"/>
      <c r="G159" s="34" t="s">
        <v>11834</v>
      </c>
      <c r="H159" s="110">
        <v>9792</v>
      </c>
      <c r="I159" s="122">
        <v>23.75</v>
      </c>
      <c r="K159" s="111">
        <f>IFERROR(Table16[[#This Row],[ROUTE COST]]/Table16[[#This Row],[E - DEMAND]],0)</f>
        <v>0</v>
      </c>
      <c r="L159" s="34"/>
      <c r="M159" s="34" t="e">
        <f>VLOOKUP(Table16[[#This Row],[ROUTE]],DEMAND!A:F,5,FALSE)</f>
        <v>#N/A</v>
      </c>
      <c r="N159" s="34" t="e">
        <f>VLOOKUP(Table16[[#This Row],[ROUTE]],DEMAND!A:F,6,FALSE)</f>
        <v>#N/A</v>
      </c>
      <c r="O159" s="34" t="e">
        <f>ROUNDDOWN(Table16[[#This Row],[R-DEMAND]]/1320,0)</f>
        <v>#N/A</v>
      </c>
      <c r="P159" s="34" t="e">
        <f>Table16[[#This Row],[ADD ACC]]*Table16[[#This Row],[Duration]]</f>
        <v>#N/A</v>
      </c>
    </row>
    <row r="160" spans="1:16" x14ac:dyDescent="0.25">
      <c r="A160" s="54" t="s">
        <v>12314</v>
      </c>
      <c r="B160" s="34" t="s">
        <v>4705</v>
      </c>
      <c r="C160" s="34"/>
      <c r="D160" s="34">
        <v>2</v>
      </c>
      <c r="E160" s="34" t="s">
        <v>78</v>
      </c>
      <c r="F160" s="34"/>
      <c r="G160" s="34" t="s">
        <v>11880</v>
      </c>
      <c r="H160" s="110">
        <v>8631</v>
      </c>
      <c r="I160" s="122">
        <v>21.25</v>
      </c>
      <c r="K160" s="111">
        <f>IFERROR(Table16[[#This Row],[ROUTE COST]]/Table16[[#This Row],[E - DEMAND]],0)</f>
        <v>0</v>
      </c>
      <c r="L160" s="34"/>
      <c r="M160" s="34" t="e">
        <f>VLOOKUP(Table16[[#This Row],[ROUTE]],DEMAND!A:F,5,FALSE)</f>
        <v>#N/A</v>
      </c>
      <c r="N160" s="34" t="e">
        <f>VLOOKUP(Table16[[#This Row],[ROUTE]],DEMAND!A:F,6,FALSE)</f>
        <v>#N/A</v>
      </c>
      <c r="O160" s="34" t="e">
        <f>ROUNDDOWN(Table16[[#This Row],[R-DEMAND]]/1320,0)</f>
        <v>#N/A</v>
      </c>
      <c r="P160" s="34" t="e">
        <f>Table16[[#This Row],[ADD ACC]]*Table16[[#This Row],[Duration]]</f>
        <v>#N/A</v>
      </c>
    </row>
    <row r="161" spans="1:16" x14ac:dyDescent="0.25">
      <c r="A161" s="54" t="s">
        <v>12425</v>
      </c>
      <c r="B161" s="34" t="s">
        <v>206</v>
      </c>
      <c r="C161" s="34"/>
      <c r="D161" s="34">
        <v>2</v>
      </c>
      <c r="E161" s="34" t="s">
        <v>717</v>
      </c>
      <c r="F161" s="34"/>
      <c r="G161" s="34" t="s">
        <v>12081</v>
      </c>
      <c r="H161" s="110">
        <v>3102</v>
      </c>
      <c r="I161" s="122">
        <v>9</v>
      </c>
      <c r="K161" s="111">
        <f>IFERROR(Table16[[#This Row],[ROUTE COST]]/Table16[[#This Row],[E - DEMAND]],0)</f>
        <v>0</v>
      </c>
      <c r="L161" s="34"/>
      <c r="M161" s="34" t="e">
        <f>VLOOKUP(Table16[[#This Row],[ROUTE]],DEMAND!A:F,5,FALSE)</f>
        <v>#N/A</v>
      </c>
      <c r="N161" s="34" t="e">
        <f>VLOOKUP(Table16[[#This Row],[ROUTE]],DEMAND!A:F,6,FALSE)</f>
        <v>#N/A</v>
      </c>
      <c r="O161" s="34" t="e">
        <f>ROUNDDOWN(Table16[[#This Row],[R-DEMAND]]/1320,0)</f>
        <v>#N/A</v>
      </c>
      <c r="P161" s="34" t="e">
        <f>Table16[[#This Row],[ADD ACC]]*Table16[[#This Row],[Duration]]</f>
        <v>#N/A</v>
      </c>
    </row>
    <row r="162" spans="1:16" x14ac:dyDescent="0.25">
      <c r="A162" s="54" t="s">
        <v>12435</v>
      </c>
      <c r="B162" s="34" t="s">
        <v>202</v>
      </c>
      <c r="C162" s="34"/>
      <c r="D162" s="34">
        <v>2</v>
      </c>
      <c r="E162" s="34" t="s">
        <v>709</v>
      </c>
      <c r="F162" s="34"/>
      <c r="G162" s="34" t="s">
        <v>12107</v>
      </c>
      <c r="H162" s="110">
        <v>1584</v>
      </c>
      <c r="I162" s="122">
        <v>5.75</v>
      </c>
      <c r="K162" s="111">
        <f>IFERROR(Table16[[#This Row],[ROUTE COST]]/Table16[[#This Row],[E - DEMAND]],0)</f>
        <v>0</v>
      </c>
      <c r="L162" s="34"/>
      <c r="M162" s="34" t="e">
        <f>VLOOKUP(Table16[[#This Row],[ROUTE]],DEMAND!A:F,5,FALSE)</f>
        <v>#N/A</v>
      </c>
      <c r="N162" s="34" t="e">
        <f>VLOOKUP(Table16[[#This Row],[ROUTE]],DEMAND!A:F,6,FALSE)</f>
        <v>#N/A</v>
      </c>
      <c r="O162" s="34" t="e">
        <f>ROUNDDOWN(Table16[[#This Row],[R-DEMAND]]/1320,0)</f>
        <v>#N/A</v>
      </c>
      <c r="P162" s="34" t="e">
        <f>Table16[[#This Row],[ADD ACC]]*Table16[[#This Row],[Duration]]</f>
        <v>#N/A</v>
      </c>
    </row>
    <row r="163" spans="1:16" x14ac:dyDescent="0.25">
      <c r="A163" s="54" t="s">
        <v>12349</v>
      </c>
      <c r="B163" s="34" t="s">
        <v>3295</v>
      </c>
      <c r="C163" s="34"/>
      <c r="D163" s="34">
        <v>2</v>
      </c>
      <c r="E163" s="34" t="s">
        <v>3293</v>
      </c>
      <c r="F163" s="34"/>
      <c r="G163" s="34" t="s">
        <v>11917</v>
      </c>
      <c r="H163" s="110">
        <v>8003</v>
      </c>
      <c r="I163" s="122">
        <v>19.75</v>
      </c>
      <c r="K163" s="111">
        <f>IFERROR(Table16[[#This Row],[ROUTE COST]]/Table16[[#This Row],[E - DEMAND]],0)</f>
        <v>0</v>
      </c>
      <c r="L163" s="34"/>
      <c r="M163" s="34" t="e">
        <f>VLOOKUP(Table16[[#This Row],[ROUTE]],DEMAND!A:F,5,FALSE)</f>
        <v>#N/A</v>
      </c>
      <c r="N163" s="34" t="e">
        <f>VLOOKUP(Table16[[#This Row],[ROUTE]],DEMAND!A:F,6,FALSE)</f>
        <v>#N/A</v>
      </c>
      <c r="O163" s="34" t="e">
        <f>ROUNDDOWN(Table16[[#This Row],[R-DEMAND]]/1320,0)</f>
        <v>#N/A</v>
      </c>
      <c r="P163" s="34" t="e">
        <f>Table16[[#This Row],[ADD ACC]]*Table16[[#This Row],[Duration]]</f>
        <v>#N/A</v>
      </c>
    </row>
    <row r="164" spans="1:16" x14ac:dyDescent="0.25">
      <c r="A164" s="54" t="s">
        <v>12312</v>
      </c>
      <c r="B164" s="34" t="s">
        <v>2972</v>
      </c>
      <c r="C164" s="34"/>
      <c r="D164" s="34">
        <v>2</v>
      </c>
      <c r="E164" s="34" t="s">
        <v>1654</v>
      </c>
      <c r="F164" s="34"/>
      <c r="G164" s="34" t="s">
        <v>11875</v>
      </c>
      <c r="H164" s="110">
        <v>8688</v>
      </c>
      <c r="I164" s="122">
        <v>21.25</v>
      </c>
      <c r="K164" s="111">
        <f>IFERROR(Table16[[#This Row],[ROUTE COST]]/Table16[[#This Row],[E - DEMAND]],0)</f>
        <v>0</v>
      </c>
      <c r="L164" s="34"/>
      <c r="M164" s="34" t="e">
        <f>VLOOKUP(Table16[[#This Row],[ROUTE]],DEMAND!A:F,5,FALSE)</f>
        <v>#N/A</v>
      </c>
      <c r="N164" s="34" t="e">
        <f>VLOOKUP(Table16[[#This Row],[ROUTE]],DEMAND!A:F,6,FALSE)</f>
        <v>#N/A</v>
      </c>
      <c r="O164" s="34" t="e">
        <f>ROUNDDOWN(Table16[[#This Row],[R-DEMAND]]/1320,0)</f>
        <v>#N/A</v>
      </c>
      <c r="P164" s="34" t="e">
        <f>Table16[[#This Row],[ADD ACC]]*Table16[[#This Row],[Duration]]</f>
        <v>#N/A</v>
      </c>
    </row>
    <row r="165" spans="1:16" x14ac:dyDescent="0.25">
      <c r="A165" s="54" t="s">
        <v>12291</v>
      </c>
      <c r="B165" s="34" t="s">
        <v>2922</v>
      </c>
      <c r="C165" s="34"/>
      <c r="D165" s="34">
        <v>2</v>
      </c>
      <c r="E165" s="34" t="s">
        <v>597</v>
      </c>
      <c r="F165" s="34"/>
      <c r="G165" s="34" t="s">
        <v>11840</v>
      </c>
      <c r="H165" s="110">
        <v>9721</v>
      </c>
      <c r="I165" s="122">
        <v>23.75</v>
      </c>
      <c r="K165" s="111">
        <f>IFERROR(Table16[[#This Row],[ROUTE COST]]/Table16[[#This Row],[E - DEMAND]],0)</f>
        <v>0</v>
      </c>
      <c r="L165" s="34"/>
      <c r="M165" s="34" t="e">
        <f>VLOOKUP(Table16[[#This Row],[ROUTE]],DEMAND!A:F,5,FALSE)</f>
        <v>#N/A</v>
      </c>
      <c r="N165" s="34" t="e">
        <f>VLOOKUP(Table16[[#This Row],[ROUTE]],DEMAND!A:F,6,FALSE)</f>
        <v>#N/A</v>
      </c>
      <c r="O165" s="34" t="e">
        <f>ROUNDDOWN(Table16[[#This Row],[R-DEMAND]]/1320,0)</f>
        <v>#N/A</v>
      </c>
      <c r="P165" s="34" t="e">
        <f>Table16[[#This Row],[ADD ACC]]*Table16[[#This Row],[Duration]]</f>
        <v>#N/A</v>
      </c>
    </row>
    <row r="166" spans="1:16" x14ac:dyDescent="0.25">
      <c r="A166" s="54" t="s">
        <v>12407</v>
      </c>
      <c r="B166" s="34" t="s">
        <v>3243</v>
      </c>
      <c r="C166" s="34"/>
      <c r="D166" s="34">
        <v>2</v>
      </c>
      <c r="E166" s="34" t="s">
        <v>197</v>
      </c>
      <c r="F166" s="34"/>
      <c r="G166" s="34" t="s">
        <v>12013</v>
      </c>
      <c r="H166" s="110">
        <v>5491</v>
      </c>
      <c r="I166" s="122">
        <v>14.25</v>
      </c>
      <c r="K166" s="111">
        <f>IFERROR(Table16[[#This Row],[ROUTE COST]]/Table16[[#This Row],[E - DEMAND]],0)</f>
        <v>0</v>
      </c>
      <c r="L166" s="34"/>
      <c r="M166" s="34" t="e">
        <f>VLOOKUP(Table16[[#This Row],[ROUTE]],DEMAND!A:F,5,FALSE)</f>
        <v>#N/A</v>
      </c>
      <c r="N166" s="34" t="e">
        <f>VLOOKUP(Table16[[#This Row],[ROUTE]],DEMAND!A:F,6,FALSE)</f>
        <v>#N/A</v>
      </c>
      <c r="O166" s="34" t="e">
        <f>ROUNDDOWN(Table16[[#This Row],[R-DEMAND]]/1320,0)</f>
        <v>#N/A</v>
      </c>
      <c r="P166" s="34" t="e">
        <f>Table16[[#This Row],[ADD ACC]]*Table16[[#This Row],[Duration]]</f>
        <v>#N/A</v>
      </c>
    </row>
    <row r="167" spans="1:16" x14ac:dyDescent="0.25">
      <c r="A167" s="54" t="s">
        <v>12417</v>
      </c>
      <c r="B167" s="34" t="s">
        <v>2884</v>
      </c>
      <c r="C167" s="34"/>
      <c r="D167" s="34">
        <v>2</v>
      </c>
      <c r="E167" s="34" t="s">
        <v>14</v>
      </c>
      <c r="F167" s="34"/>
      <c r="G167" s="34" t="s">
        <v>12058</v>
      </c>
      <c r="H167" s="110">
        <v>4155</v>
      </c>
      <c r="I167" s="122">
        <v>11.25</v>
      </c>
      <c r="K167" s="111">
        <f>IFERROR(Table16[[#This Row],[ROUTE COST]]/Table16[[#This Row],[E - DEMAND]],0)</f>
        <v>0</v>
      </c>
      <c r="L167" s="34"/>
      <c r="M167" s="34" t="e">
        <f>VLOOKUP(Table16[[#This Row],[ROUTE]],DEMAND!A:F,5,FALSE)</f>
        <v>#N/A</v>
      </c>
      <c r="N167" s="34" t="e">
        <f>VLOOKUP(Table16[[#This Row],[ROUTE]],DEMAND!A:F,6,FALSE)</f>
        <v>#N/A</v>
      </c>
      <c r="O167" s="34" t="e">
        <f>ROUNDDOWN(Table16[[#This Row],[R-DEMAND]]/1320,0)</f>
        <v>#N/A</v>
      </c>
      <c r="P167" s="34" t="e">
        <f>Table16[[#This Row],[ADD ACC]]*Table16[[#This Row],[Duration]]</f>
        <v>#N/A</v>
      </c>
    </row>
    <row r="168" spans="1:16" x14ac:dyDescent="0.25">
      <c r="A168" s="54" t="s">
        <v>12367</v>
      </c>
      <c r="B168" s="34" t="s">
        <v>4644</v>
      </c>
      <c r="C168" s="34"/>
      <c r="D168" s="34">
        <v>2</v>
      </c>
      <c r="E168" s="34" t="s">
        <v>1189</v>
      </c>
      <c r="F168" s="34"/>
      <c r="G168" s="34" t="s">
        <v>11940</v>
      </c>
      <c r="H168" s="110">
        <v>7429</v>
      </c>
      <c r="I168" s="122">
        <v>18.5</v>
      </c>
      <c r="K168" s="111">
        <f>IFERROR(Table16[[#This Row],[ROUTE COST]]/Table16[[#This Row],[E - DEMAND]],0)</f>
        <v>0</v>
      </c>
      <c r="L168" s="34"/>
      <c r="M168" s="34" t="e">
        <f>VLOOKUP(Table16[[#This Row],[ROUTE]],DEMAND!A:F,5,FALSE)</f>
        <v>#N/A</v>
      </c>
      <c r="N168" s="34" t="e">
        <f>VLOOKUP(Table16[[#This Row],[ROUTE]],DEMAND!A:F,6,FALSE)</f>
        <v>#N/A</v>
      </c>
      <c r="O168" s="34" t="e">
        <f>ROUNDDOWN(Table16[[#This Row],[R-DEMAND]]/1320,0)</f>
        <v>#N/A</v>
      </c>
      <c r="P168" s="34" t="e">
        <f>Table16[[#This Row],[ADD ACC]]*Table16[[#This Row],[Duration]]</f>
        <v>#N/A</v>
      </c>
    </row>
    <row r="169" spans="1:16" x14ac:dyDescent="0.25">
      <c r="A169" s="54" t="s">
        <v>12362</v>
      </c>
      <c r="B169" s="34" t="s">
        <v>3626</v>
      </c>
      <c r="C169" s="34"/>
      <c r="D169" s="34">
        <v>2</v>
      </c>
      <c r="E169" s="34" t="s">
        <v>78</v>
      </c>
      <c r="F169" s="34"/>
      <c r="G169" s="34" t="s">
        <v>11932</v>
      </c>
      <c r="H169" s="110">
        <v>7662</v>
      </c>
      <c r="I169" s="122">
        <v>19</v>
      </c>
      <c r="K169" s="111">
        <f>IFERROR(Table16[[#This Row],[ROUTE COST]]/Table16[[#This Row],[E - DEMAND]],0)</f>
        <v>0</v>
      </c>
      <c r="L169" s="34"/>
      <c r="M169" s="34" t="e">
        <f>VLOOKUP(Table16[[#This Row],[ROUTE]],DEMAND!A:F,5,FALSE)</f>
        <v>#N/A</v>
      </c>
      <c r="N169" s="34" t="e">
        <f>VLOOKUP(Table16[[#This Row],[ROUTE]],DEMAND!A:F,6,FALSE)</f>
        <v>#N/A</v>
      </c>
      <c r="O169" s="34" t="e">
        <f>ROUNDDOWN(Table16[[#This Row],[R-DEMAND]]/1320,0)</f>
        <v>#N/A</v>
      </c>
      <c r="P169" s="34" t="e">
        <f>Table16[[#This Row],[ADD ACC]]*Table16[[#This Row],[Duration]]</f>
        <v>#N/A</v>
      </c>
    </row>
    <row r="170" spans="1:16" x14ac:dyDescent="0.25">
      <c r="A170" s="54" t="s">
        <v>12318</v>
      </c>
      <c r="B170" s="34" t="s">
        <v>4013</v>
      </c>
      <c r="C170" s="34"/>
      <c r="D170" s="34">
        <v>2</v>
      </c>
      <c r="E170" s="34" t="s">
        <v>700</v>
      </c>
      <c r="F170" s="34"/>
      <c r="G170" s="34" t="s">
        <v>11885</v>
      </c>
      <c r="H170" s="110">
        <v>8607</v>
      </c>
      <c r="I170" s="122">
        <v>21.25</v>
      </c>
      <c r="K170" s="111">
        <f>IFERROR(Table16[[#This Row],[ROUTE COST]]/Table16[[#This Row],[E - DEMAND]],0)</f>
        <v>0</v>
      </c>
      <c r="L170" s="34"/>
      <c r="M170" s="34" t="e">
        <f>VLOOKUP(Table16[[#This Row],[ROUTE]],DEMAND!A:F,5,FALSE)</f>
        <v>#N/A</v>
      </c>
      <c r="N170" s="34" t="e">
        <f>VLOOKUP(Table16[[#This Row],[ROUTE]],DEMAND!A:F,6,FALSE)</f>
        <v>#N/A</v>
      </c>
      <c r="O170" s="34" t="e">
        <f>ROUNDDOWN(Table16[[#This Row],[R-DEMAND]]/1320,0)</f>
        <v>#N/A</v>
      </c>
      <c r="P170" s="34" t="e">
        <f>Table16[[#This Row],[ADD ACC]]*Table16[[#This Row],[Duration]]</f>
        <v>#N/A</v>
      </c>
    </row>
    <row r="171" spans="1:16" x14ac:dyDescent="0.25">
      <c r="A171" s="54" t="s">
        <v>12339</v>
      </c>
      <c r="B171" s="34" t="s">
        <v>163</v>
      </c>
      <c r="C171" s="34"/>
      <c r="D171" s="34">
        <v>2</v>
      </c>
      <c r="E171" s="34" t="s">
        <v>926</v>
      </c>
      <c r="F171" s="34"/>
      <c r="G171" s="34" t="s">
        <v>11907</v>
      </c>
      <c r="H171" s="110">
        <v>8268</v>
      </c>
      <c r="I171" s="122">
        <v>20.5</v>
      </c>
      <c r="K171" s="111">
        <f>IFERROR(Table16[[#This Row],[ROUTE COST]]/Table16[[#This Row],[E - DEMAND]],0)</f>
        <v>0</v>
      </c>
      <c r="L171" s="34"/>
      <c r="M171" s="34" t="e">
        <f>VLOOKUP(Table16[[#This Row],[ROUTE]],DEMAND!A:F,5,FALSE)</f>
        <v>#N/A</v>
      </c>
      <c r="N171" s="34" t="e">
        <f>VLOOKUP(Table16[[#This Row],[ROUTE]],DEMAND!A:F,6,FALSE)</f>
        <v>#N/A</v>
      </c>
      <c r="O171" s="34" t="e">
        <f>ROUNDDOWN(Table16[[#This Row],[R-DEMAND]]/1320,0)</f>
        <v>#N/A</v>
      </c>
      <c r="P171" s="34" t="e">
        <f>Table16[[#This Row],[ADD ACC]]*Table16[[#This Row],[Duration]]</f>
        <v>#N/A</v>
      </c>
    </row>
    <row r="172" spans="1:16" x14ac:dyDescent="0.25">
      <c r="A172" s="54" t="s">
        <v>12329</v>
      </c>
      <c r="B172" s="34" t="s">
        <v>4080</v>
      </c>
      <c r="C172" s="34"/>
      <c r="D172" s="34">
        <v>2</v>
      </c>
      <c r="E172" s="34" t="s">
        <v>78</v>
      </c>
      <c r="F172" s="34"/>
      <c r="G172" s="34" t="s">
        <v>8419</v>
      </c>
      <c r="H172" s="110">
        <v>8448</v>
      </c>
      <c r="I172" s="122">
        <v>20.75</v>
      </c>
      <c r="K172" s="111">
        <f>IFERROR(Table16[[#This Row],[ROUTE COST]]/Table16[[#This Row],[E - DEMAND]],0)</f>
        <v>0</v>
      </c>
      <c r="L172" s="34"/>
      <c r="M172" s="34" t="e">
        <f>VLOOKUP(Table16[[#This Row],[ROUTE]],DEMAND!A:F,5,FALSE)</f>
        <v>#N/A</v>
      </c>
      <c r="N172" s="34" t="e">
        <f>VLOOKUP(Table16[[#This Row],[ROUTE]],DEMAND!A:F,6,FALSE)</f>
        <v>#N/A</v>
      </c>
      <c r="O172" s="34" t="e">
        <f>ROUNDDOWN(Table16[[#This Row],[R-DEMAND]]/1320,0)</f>
        <v>#N/A</v>
      </c>
      <c r="P172" s="34" t="e">
        <f>Table16[[#This Row],[ADD ACC]]*Table16[[#This Row],[Duration]]</f>
        <v>#N/A</v>
      </c>
    </row>
    <row r="173" spans="1:16" x14ac:dyDescent="0.25">
      <c r="A173" s="54" t="s">
        <v>12336</v>
      </c>
      <c r="B173" s="34" t="s">
        <v>2846</v>
      </c>
      <c r="C173" s="34"/>
      <c r="D173" s="34">
        <v>2</v>
      </c>
      <c r="E173" s="34" t="s">
        <v>700</v>
      </c>
      <c r="F173" s="34"/>
      <c r="G173" s="34" t="s">
        <v>8406</v>
      </c>
      <c r="H173" s="110">
        <v>8327</v>
      </c>
      <c r="I173" s="122">
        <v>20.5</v>
      </c>
      <c r="K173" s="111">
        <f>IFERROR(Table16[[#This Row],[ROUTE COST]]/Table16[[#This Row],[E - DEMAND]],0)</f>
        <v>0</v>
      </c>
      <c r="L173" s="34"/>
      <c r="M173" s="34" t="e">
        <f>VLOOKUP(Table16[[#This Row],[ROUTE]],DEMAND!A:F,5,FALSE)</f>
        <v>#N/A</v>
      </c>
      <c r="N173" s="34" t="e">
        <f>VLOOKUP(Table16[[#This Row],[ROUTE]],DEMAND!A:F,6,FALSE)</f>
        <v>#N/A</v>
      </c>
      <c r="O173" s="34" t="e">
        <f>ROUNDDOWN(Table16[[#This Row],[R-DEMAND]]/1320,0)</f>
        <v>#N/A</v>
      </c>
      <c r="P173" s="34" t="e">
        <f>Table16[[#This Row],[ADD ACC]]*Table16[[#This Row],[Duration]]</f>
        <v>#N/A</v>
      </c>
    </row>
    <row r="174" spans="1:16" x14ac:dyDescent="0.25">
      <c r="A174" s="54" t="s">
        <v>12343</v>
      </c>
      <c r="B174" s="34" t="s">
        <v>3329</v>
      </c>
      <c r="C174" s="34"/>
      <c r="D174" s="34">
        <v>2</v>
      </c>
      <c r="E174" s="34" t="s">
        <v>1516</v>
      </c>
      <c r="F174" s="34"/>
      <c r="G174" s="34" t="s">
        <v>8355</v>
      </c>
      <c r="H174" s="110">
        <v>8182</v>
      </c>
      <c r="I174" s="122">
        <v>20.25</v>
      </c>
      <c r="K174" s="111">
        <f>IFERROR(Table16[[#This Row],[ROUTE COST]]/Table16[[#This Row],[E - DEMAND]],0)</f>
        <v>0</v>
      </c>
      <c r="L174" s="34"/>
      <c r="M174" s="34" t="e">
        <f>VLOOKUP(Table16[[#This Row],[ROUTE]],DEMAND!A:F,5,FALSE)</f>
        <v>#N/A</v>
      </c>
      <c r="N174" s="34" t="e">
        <f>VLOOKUP(Table16[[#This Row],[ROUTE]],DEMAND!A:F,6,FALSE)</f>
        <v>#N/A</v>
      </c>
      <c r="O174" s="34" t="e">
        <f>ROUNDDOWN(Table16[[#This Row],[R-DEMAND]]/1320,0)</f>
        <v>#N/A</v>
      </c>
      <c r="P174" s="34" t="e">
        <f>Table16[[#This Row],[ADD ACC]]*Table16[[#This Row],[Duration]]</f>
        <v>#N/A</v>
      </c>
    </row>
    <row r="175" spans="1:16" x14ac:dyDescent="0.25">
      <c r="A175" s="54" t="s">
        <v>12398</v>
      </c>
      <c r="B175" s="34" t="s">
        <v>3072</v>
      </c>
      <c r="C175" s="34"/>
      <c r="D175" s="34">
        <v>2</v>
      </c>
      <c r="E175" s="34" t="s">
        <v>567</v>
      </c>
      <c r="F175" s="34"/>
      <c r="G175" s="34" t="s">
        <v>11989</v>
      </c>
      <c r="H175" s="110">
        <v>6285</v>
      </c>
      <c r="I175" s="122">
        <v>16</v>
      </c>
      <c r="K175" s="111">
        <f>IFERROR(Table16[[#This Row],[ROUTE COST]]/Table16[[#This Row],[E - DEMAND]],0)</f>
        <v>0</v>
      </c>
      <c r="L175" s="34"/>
      <c r="M175" s="34" t="e">
        <f>VLOOKUP(Table16[[#This Row],[ROUTE]],DEMAND!A:F,5,FALSE)</f>
        <v>#N/A</v>
      </c>
      <c r="N175" s="34" t="e">
        <f>VLOOKUP(Table16[[#This Row],[ROUTE]],DEMAND!A:F,6,FALSE)</f>
        <v>#N/A</v>
      </c>
      <c r="O175" s="34" t="e">
        <f>ROUNDDOWN(Table16[[#This Row],[R-DEMAND]]/1320,0)</f>
        <v>#N/A</v>
      </c>
      <c r="P175" s="34" t="e">
        <f>Table16[[#This Row],[ADD ACC]]*Table16[[#This Row],[Duration]]</f>
        <v>#N/A</v>
      </c>
    </row>
    <row r="176" spans="1:16" x14ac:dyDescent="0.25">
      <c r="A176" s="54" t="s">
        <v>12273</v>
      </c>
      <c r="B176" s="34" t="s">
        <v>3274</v>
      </c>
      <c r="C176" s="34"/>
      <c r="D176" s="34">
        <v>2</v>
      </c>
      <c r="E176" s="34" t="s">
        <v>3272</v>
      </c>
      <c r="F176" s="34"/>
      <c r="G176" s="34" t="s">
        <v>11810</v>
      </c>
      <c r="H176" s="110">
        <v>10328</v>
      </c>
      <c r="I176" s="122">
        <v>25</v>
      </c>
      <c r="K176" s="111">
        <f>IFERROR(Table16[[#This Row],[ROUTE COST]]/Table16[[#This Row],[E - DEMAND]],0)</f>
        <v>0</v>
      </c>
      <c r="L176" s="34"/>
      <c r="M176" s="34" t="e">
        <f>VLOOKUP(Table16[[#This Row],[ROUTE]],DEMAND!A:F,5,FALSE)</f>
        <v>#N/A</v>
      </c>
      <c r="N176" s="34" t="e">
        <f>VLOOKUP(Table16[[#This Row],[ROUTE]],DEMAND!A:F,6,FALSE)</f>
        <v>#N/A</v>
      </c>
      <c r="O176" s="34" t="e">
        <f>ROUNDDOWN(Table16[[#This Row],[R-DEMAND]]/1320,0)</f>
        <v>#N/A</v>
      </c>
      <c r="P176" s="34" t="e">
        <f>Table16[[#This Row],[ADD ACC]]*Table16[[#This Row],[Duration]]</f>
        <v>#N/A</v>
      </c>
    </row>
    <row r="177" spans="1:16" x14ac:dyDescent="0.25">
      <c r="A177" s="54" t="s">
        <v>12352</v>
      </c>
      <c r="B177" s="34" t="s">
        <v>3755</v>
      </c>
      <c r="C177" s="34"/>
      <c r="D177" s="34">
        <v>2</v>
      </c>
      <c r="E177" s="34" t="s">
        <v>78</v>
      </c>
      <c r="F177" s="34"/>
      <c r="G177" s="34" t="s">
        <v>8243</v>
      </c>
      <c r="H177" s="110">
        <v>7906</v>
      </c>
      <c r="I177" s="122">
        <v>19.75</v>
      </c>
      <c r="K177" s="111">
        <f>IFERROR(Table16[[#This Row],[ROUTE COST]]/Table16[[#This Row],[E - DEMAND]],0)</f>
        <v>0</v>
      </c>
      <c r="L177" s="34"/>
      <c r="M177" s="34" t="e">
        <f>VLOOKUP(Table16[[#This Row],[ROUTE]],DEMAND!A:F,5,FALSE)</f>
        <v>#N/A</v>
      </c>
      <c r="N177" s="34" t="e">
        <f>VLOOKUP(Table16[[#This Row],[ROUTE]],DEMAND!A:F,6,FALSE)</f>
        <v>#N/A</v>
      </c>
      <c r="O177" s="34" t="e">
        <f>ROUNDDOWN(Table16[[#This Row],[R-DEMAND]]/1320,0)</f>
        <v>#N/A</v>
      </c>
      <c r="P177" s="34" t="e">
        <f>Table16[[#This Row],[ADD ACC]]*Table16[[#This Row],[Duration]]</f>
        <v>#N/A</v>
      </c>
    </row>
    <row r="178" spans="1:16" x14ac:dyDescent="0.25">
      <c r="A178" s="54" t="s">
        <v>12269</v>
      </c>
      <c r="B178" s="34" t="s">
        <v>3361</v>
      </c>
      <c r="C178" s="34"/>
      <c r="D178" s="34">
        <v>2</v>
      </c>
      <c r="E178" s="34" t="s">
        <v>11782</v>
      </c>
      <c r="F178" s="34"/>
      <c r="G178" s="34" t="s">
        <v>11796</v>
      </c>
      <c r="H178" s="110">
        <v>10617</v>
      </c>
      <c r="I178" s="122">
        <v>25.75</v>
      </c>
      <c r="K178" s="111">
        <f>IFERROR(Table16[[#This Row],[ROUTE COST]]/Table16[[#This Row],[E - DEMAND]],0)</f>
        <v>0</v>
      </c>
      <c r="L178" s="34"/>
      <c r="M178" s="34" t="e">
        <f>VLOOKUP(Table16[[#This Row],[ROUTE]],DEMAND!A:F,5,FALSE)</f>
        <v>#N/A</v>
      </c>
      <c r="N178" s="34" t="e">
        <f>VLOOKUP(Table16[[#This Row],[ROUTE]],DEMAND!A:F,6,FALSE)</f>
        <v>#N/A</v>
      </c>
      <c r="O178" s="34" t="e">
        <f>ROUNDDOWN(Table16[[#This Row],[R-DEMAND]]/1320,0)</f>
        <v>#N/A</v>
      </c>
      <c r="P178" s="34" t="e">
        <f>Table16[[#This Row],[ADD ACC]]*Table16[[#This Row],[Duration]]</f>
        <v>#N/A</v>
      </c>
    </row>
    <row r="179" spans="1:16" x14ac:dyDescent="0.25">
      <c r="A179" s="54" t="s">
        <v>12325</v>
      </c>
      <c r="B179" s="34" t="s">
        <v>3876</v>
      </c>
      <c r="C179" s="34"/>
      <c r="D179" s="34">
        <v>2</v>
      </c>
      <c r="E179" s="34" t="s">
        <v>78</v>
      </c>
      <c r="F179" s="34"/>
      <c r="G179" s="34" t="s">
        <v>11895</v>
      </c>
      <c r="H179" s="110">
        <v>8520</v>
      </c>
      <c r="I179" s="122">
        <v>21</v>
      </c>
      <c r="K179" s="111">
        <f>IFERROR(Table16[[#This Row],[ROUTE COST]]/Table16[[#This Row],[E - DEMAND]],0)</f>
        <v>0</v>
      </c>
      <c r="L179" s="34"/>
      <c r="M179" s="34" t="e">
        <f>VLOOKUP(Table16[[#This Row],[ROUTE]],DEMAND!A:F,5,FALSE)</f>
        <v>#N/A</v>
      </c>
      <c r="N179" s="34" t="e">
        <f>VLOOKUP(Table16[[#This Row],[ROUTE]],DEMAND!A:F,6,FALSE)</f>
        <v>#N/A</v>
      </c>
      <c r="O179" s="34" t="e">
        <f>ROUNDDOWN(Table16[[#This Row],[R-DEMAND]]/1320,0)</f>
        <v>#N/A</v>
      </c>
      <c r="P179" s="34" t="e">
        <f>Table16[[#This Row],[ADD ACC]]*Table16[[#This Row],[Duration]]</f>
        <v>#N/A</v>
      </c>
    </row>
    <row r="180" spans="1:16" x14ac:dyDescent="0.25">
      <c r="A180" s="54" t="s">
        <v>12399</v>
      </c>
      <c r="B180" s="34" t="s">
        <v>3025</v>
      </c>
      <c r="C180" s="34"/>
      <c r="D180" s="34">
        <v>2</v>
      </c>
      <c r="E180" s="34" t="s">
        <v>14</v>
      </c>
      <c r="F180" s="34"/>
      <c r="G180" s="34" t="s">
        <v>11990</v>
      </c>
      <c r="H180" s="110">
        <v>6280</v>
      </c>
      <c r="I180" s="122">
        <v>16</v>
      </c>
      <c r="K180" s="111">
        <f>IFERROR(Table16[[#This Row],[ROUTE COST]]/Table16[[#This Row],[E - DEMAND]],0)</f>
        <v>0</v>
      </c>
      <c r="L180" s="34"/>
      <c r="M180" s="34" t="e">
        <f>VLOOKUP(Table16[[#This Row],[ROUTE]],DEMAND!A:F,5,FALSE)</f>
        <v>#N/A</v>
      </c>
      <c r="N180" s="34" t="e">
        <f>VLOOKUP(Table16[[#This Row],[ROUTE]],DEMAND!A:F,6,FALSE)</f>
        <v>#N/A</v>
      </c>
      <c r="O180" s="34" t="e">
        <f>ROUNDDOWN(Table16[[#This Row],[R-DEMAND]]/1320,0)</f>
        <v>#N/A</v>
      </c>
      <c r="P180" s="34" t="e">
        <f>Table16[[#This Row],[ADD ACC]]*Table16[[#This Row],[Duration]]</f>
        <v>#N/A</v>
      </c>
    </row>
    <row r="181" spans="1:16" x14ac:dyDescent="0.25">
      <c r="A181" s="54" t="s">
        <v>12337</v>
      </c>
      <c r="B181" s="34" t="s">
        <v>3271</v>
      </c>
      <c r="C181" s="34"/>
      <c r="D181" s="34">
        <v>2</v>
      </c>
      <c r="E181" s="34" t="s">
        <v>78</v>
      </c>
      <c r="F181" s="34"/>
      <c r="G181" s="34" t="s">
        <v>11903</v>
      </c>
      <c r="H181" s="110">
        <v>8290</v>
      </c>
      <c r="I181" s="122">
        <v>20.5</v>
      </c>
      <c r="K181" s="111">
        <f>IFERROR(Table16[[#This Row],[ROUTE COST]]/Table16[[#This Row],[E - DEMAND]],0)</f>
        <v>0</v>
      </c>
      <c r="L181" s="34"/>
      <c r="M181" s="34" t="e">
        <f>VLOOKUP(Table16[[#This Row],[ROUTE]],DEMAND!A:F,5,FALSE)</f>
        <v>#N/A</v>
      </c>
      <c r="N181" s="34" t="e">
        <f>VLOOKUP(Table16[[#This Row],[ROUTE]],DEMAND!A:F,6,FALSE)</f>
        <v>#N/A</v>
      </c>
      <c r="O181" s="34" t="e">
        <f>ROUNDDOWN(Table16[[#This Row],[R-DEMAND]]/1320,0)</f>
        <v>#N/A</v>
      </c>
      <c r="P181" s="34" t="e">
        <f>Table16[[#This Row],[ADD ACC]]*Table16[[#This Row],[Duration]]</f>
        <v>#N/A</v>
      </c>
    </row>
    <row r="182" spans="1:16" x14ac:dyDescent="0.25">
      <c r="A182" s="54" t="s">
        <v>12331</v>
      </c>
      <c r="B182" s="34" t="s">
        <v>4308</v>
      </c>
      <c r="C182" s="34"/>
      <c r="D182" s="34">
        <v>2</v>
      </c>
      <c r="E182" s="34" t="s">
        <v>78</v>
      </c>
      <c r="F182" s="34"/>
      <c r="G182" s="34" t="s">
        <v>11899</v>
      </c>
      <c r="H182" s="110">
        <v>8435</v>
      </c>
      <c r="I182" s="122">
        <v>20.75</v>
      </c>
      <c r="K182" s="111">
        <f>IFERROR(Table16[[#This Row],[ROUTE COST]]/Table16[[#This Row],[E - DEMAND]],0)</f>
        <v>0</v>
      </c>
      <c r="L182" s="34"/>
      <c r="M182" s="34" t="e">
        <f>VLOOKUP(Table16[[#This Row],[ROUTE]],DEMAND!A:F,5,FALSE)</f>
        <v>#N/A</v>
      </c>
      <c r="N182" s="34" t="e">
        <f>VLOOKUP(Table16[[#This Row],[ROUTE]],DEMAND!A:F,6,FALSE)</f>
        <v>#N/A</v>
      </c>
      <c r="O182" s="34" t="e">
        <f>ROUNDDOWN(Table16[[#This Row],[R-DEMAND]]/1320,0)</f>
        <v>#N/A</v>
      </c>
      <c r="P182" s="34" t="e">
        <f>Table16[[#This Row],[ADD ACC]]*Table16[[#This Row],[Duration]]</f>
        <v>#N/A</v>
      </c>
    </row>
    <row r="183" spans="1:16" x14ac:dyDescent="0.25">
      <c r="A183" s="54" t="s">
        <v>12344</v>
      </c>
      <c r="B183" s="34" t="s">
        <v>2984</v>
      </c>
      <c r="C183" s="34"/>
      <c r="D183" s="34">
        <v>2</v>
      </c>
      <c r="E183" s="34" t="s">
        <v>78</v>
      </c>
      <c r="F183" s="34"/>
      <c r="G183" s="34" t="s">
        <v>11911</v>
      </c>
      <c r="H183" s="110">
        <v>8180</v>
      </c>
      <c r="I183" s="122">
        <v>20.25</v>
      </c>
      <c r="K183" s="111">
        <f>IFERROR(Table16[[#This Row],[ROUTE COST]]/Table16[[#This Row],[E - DEMAND]],0)</f>
        <v>0</v>
      </c>
      <c r="L183" s="34"/>
      <c r="M183" s="34" t="e">
        <f>VLOOKUP(Table16[[#This Row],[ROUTE]],DEMAND!A:F,5,FALSE)</f>
        <v>#N/A</v>
      </c>
      <c r="N183" s="34" t="e">
        <f>VLOOKUP(Table16[[#This Row],[ROUTE]],DEMAND!A:F,6,FALSE)</f>
        <v>#N/A</v>
      </c>
      <c r="O183" s="34" t="e">
        <f>ROUNDDOWN(Table16[[#This Row],[R-DEMAND]]/1320,0)</f>
        <v>#N/A</v>
      </c>
      <c r="P183" s="34" t="e">
        <f>Table16[[#This Row],[ADD ACC]]*Table16[[#This Row],[Duration]]</f>
        <v>#N/A</v>
      </c>
    </row>
    <row r="184" spans="1:16" x14ac:dyDescent="0.25">
      <c r="A184" s="54" t="s">
        <v>12424</v>
      </c>
      <c r="B184" s="34" t="s">
        <v>3189</v>
      </c>
      <c r="C184" s="34"/>
      <c r="D184" s="34">
        <v>2</v>
      </c>
      <c r="E184" s="34" t="s">
        <v>14</v>
      </c>
      <c r="F184" s="34"/>
      <c r="G184" s="34" t="s">
        <v>12073</v>
      </c>
      <c r="H184" s="110">
        <v>3670</v>
      </c>
      <c r="I184" s="122">
        <v>10.25</v>
      </c>
      <c r="K184" s="111">
        <f>IFERROR(Table16[[#This Row],[ROUTE COST]]/Table16[[#This Row],[E - DEMAND]],0)</f>
        <v>0</v>
      </c>
      <c r="L184" s="34"/>
      <c r="M184" s="34" t="e">
        <f>VLOOKUP(Table16[[#This Row],[ROUTE]],DEMAND!A:F,5,FALSE)</f>
        <v>#N/A</v>
      </c>
      <c r="N184" s="34" t="e">
        <f>VLOOKUP(Table16[[#This Row],[ROUTE]],DEMAND!A:F,6,FALSE)</f>
        <v>#N/A</v>
      </c>
      <c r="O184" s="34" t="e">
        <f>ROUNDDOWN(Table16[[#This Row],[R-DEMAND]]/1320,0)</f>
        <v>#N/A</v>
      </c>
      <c r="P184" s="34" t="e">
        <f>Table16[[#This Row],[ADD ACC]]*Table16[[#This Row],[Duration]]</f>
        <v>#N/A</v>
      </c>
    </row>
    <row r="185" spans="1:16" x14ac:dyDescent="0.25">
      <c r="A185" s="54" t="s">
        <v>12347</v>
      </c>
      <c r="B185" s="34" t="s">
        <v>3074</v>
      </c>
      <c r="C185" s="34"/>
      <c r="D185" s="34">
        <v>2</v>
      </c>
      <c r="E185" s="34" t="s">
        <v>172</v>
      </c>
      <c r="F185" s="34"/>
      <c r="G185" s="34" t="s">
        <v>7651</v>
      </c>
      <c r="H185" s="110">
        <v>8077</v>
      </c>
      <c r="I185" s="122">
        <v>20</v>
      </c>
      <c r="K185" s="111">
        <f>IFERROR(Table16[[#This Row],[ROUTE COST]]/Table16[[#This Row],[E - DEMAND]],0)</f>
        <v>0</v>
      </c>
      <c r="L185" s="34"/>
      <c r="M185" s="34" t="e">
        <f>VLOOKUP(Table16[[#This Row],[ROUTE]],DEMAND!A:F,5,FALSE)</f>
        <v>#N/A</v>
      </c>
      <c r="N185" s="34" t="e">
        <f>VLOOKUP(Table16[[#This Row],[ROUTE]],DEMAND!A:F,6,FALSE)</f>
        <v>#N/A</v>
      </c>
      <c r="O185" s="34" t="e">
        <f>ROUNDDOWN(Table16[[#This Row],[R-DEMAND]]/1320,0)</f>
        <v>#N/A</v>
      </c>
      <c r="P185" s="34" t="e">
        <f>Table16[[#This Row],[ADD ACC]]*Table16[[#This Row],[Duration]]</f>
        <v>#N/A</v>
      </c>
    </row>
    <row r="186" spans="1:16" x14ac:dyDescent="0.25">
      <c r="A186" s="54" t="s">
        <v>12390</v>
      </c>
      <c r="B186" s="34" t="s">
        <v>3141</v>
      </c>
      <c r="C186" s="34"/>
      <c r="D186" s="34">
        <v>2</v>
      </c>
      <c r="E186" s="34" t="s">
        <v>1847</v>
      </c>
      <c r="F186" s="34"/>
      <c r="G186" s="34" t="s">
        <v>11979</v>
      </c>
      <c r="H186" s="110">
        <v>6513</v>
      </c>
      <c r="I186" s="122">
        <v>16.5</v>
      </c>
      <c r="K186" s="111">
        <f>IFERROR(Table16[[#This Row],[ROUTE COST]]/Table16[[#This Row],[E - DEMAND]],0)</f>
        <v>0</v>
      </c>
      <c r="L186" s="34"/>
      <c r="M186" s="34" t="e">
        <f>VLOOKUP(Table16[[#This Row],[ROUTE]],DEMAND!A:F,5,FALSE)</f>
        <v>#N/A</v>
      </c>
      <c r="N186" s="34" t="e">
        <f>VLOOKUP(Table16[[#This Row],[ROUTE]],DEMAND!A:F,6,FALSE)</f>
        <v>#N/A</v>
      </c>
      <c r="O186" s="34" t="e">
        <f>ROUNDDOWN(Table16[[#This Row],[R-DEMAND]]/1320,0)</f>
        <v>#N/A</v>
      </c>
      <c r="P186" s="34" t="e">
        <f>Table16[[#This Row],[ADD ACC]]*Table16[[#This Row],[Duration]]</f>
        <v>#N/A</v>
      </c>
    </row>
    <row r="187" spans="1:16" x14ac:dyDescent="0.25">
      <c r="A187" s="54" t="s">
        <v>12324</v>
      </c>
      <c r="B187" s="34" t="s">
        <v>4445</v>
      </c>
      <c r="C187" s="34"/>
      <c r="D187" s="34">
        <v>2</v>
      </c>
      <c r="E187" s="34" t="s">
        <v>1124</v>
      </c>
      <c r="F187" s="34"/>
      <c r="G187" s="34" t="s">
        <v>11894</v>
      </c>
      <c r="H187" s="110">
        <v>8530</v>
      </c>
      <c r="I187" s="122">
        <v>21</v>
      </c>
      <c r="K187" s="111">
        <f>IFERROR(Table16[[#This Row],[ROUTE COST]]/Table16[[#This Row],[E - DEMAND]],0)</f>
        <v>0</v>
      </c>
      <c r="L187" s="34"/>
      <c r="M187" s="34" t="e">
        <f>VLOOKUP(Table16[[#This Row],[ROUTE]],DEMAND!A:F,5,FALSE)</f>
        <v>#N/A</v>
      </c>
      <c r="N187" s="34" t="e">
        <f>VLOOKUP(Table16[[#This Row],[ROUTE]],DEMAND!A:F,6,FALSE)</f>
        <v>#N/A</v>
      </c>
      <c r="O187" s="34" t="e">
        <f>ROUNDDOWN(Table16[[#This Row],[R-DEMAND]]/1320,0)</f>
        <v>#N/A</v>
      </c>
      <c r="P187" s="34" t="e">
        <f>Table16[[#This Row],[ADD ACC]]*Table16[[#This Row],[Duration]]</f>
        <v>#N/A</v>
      </c>
    </row>
    <row r="188" spans="1:16" x14ac:dyDescent="0.25">
      <c r="A188" s="54" t="s">
        <v>12439</v>
      </c>
      <c r="B188" s="34" t="s">
        <v>107</v>
      </c>
      <c r="C188" s="34"/>
      <c r="D188" s="34">
        <v>2</v>
      </c>
      <c r="E188" s="34" t="s">
        <v>709</v>
      </c>
      <c r="F188" s="34"/>
      <c r="G188" s="34" t="s">
        <v>12114</v>
      </c>
      <c r="H188" s="110">
        <v>1104</v>
      </c>
      <c r="I188" s="122">
        <v>4.5</v>
      </c>
      <c r="K188" s="111">
        <f>IFERROR(Table16[[#This Row],[ROUTE COST]]/Table16[[#This Row],[E - DEMAND]],0)</f>
        <v>0</v>
      </c>
      <c r="L188" s="34"/>
      <c r="M188" s="34" t="e">
        <f>VLOOKUP(Table16[[#This Row],[ROUTE]],DEMAND!A:F,5,FALSE)</f>
        <v>#N/A</v>
      </c>
      <c r="N188" s="34" t="e">
        <f>VLOOKUP(Table16[[#This Row],[ROUTE]],DEMAND!A:F,6,FALSE)</f>
        <v>#N/A</v>
      </c>
      <c r="O188" s="34" t="e">
        <f>ROUNDDOWN(Table16[[#This Row],[R-DEMAND]]/1320,0)</f>
        <v>#N/A</v>
      </c>
      <c r="P188" s="34" t="e">
        <f>Table16[[#This Row],[ADD ACC]]*Table16[[#This Row],[Duration]]</f>
        <v>#N/A</v>
      </c>
    </row>
    <row r="189" spans="1:16" x14ac:dyDescent="0.25">
      <c r="A189" s="54" t="s">
        <v>12287</v>
      </c>
      <c r="B189" s="34" t="s">
        <v>105</v>
      </c>
      <c r="C189" s="34"/>
      <c r="D189" s="34">
        <v>2</v>
      </c>
      <c r="E189" s="34" t="s">
        <v>1420</v>
      </c>
      <c r="F189" s="34"/>
      <c r="G189" s="34" t="s">
        <v>11829</v>
      </c>
      <c r="H189" s="110">
        <v>9925</v>
      </c>
      <c r="I189" s="122">
        <v>24</v>
      </c>
      <c r="K189" s="111">
        <f>IFERROR(Table16[[#This Row],[ROUTE COST]]/Table16[[#This Row],[E - DEMAND]],0)</f>
        <v>0</v>
      </c>
      <c r="L189" s="34"/>
      <c r="M189" s="34" t="e">
        <f>VLOOKUP(Table16[[#This Row],[ROUTE]],DEMAND!A:F,5,FALSE)</f>
        <v>#N/A</v>
      </c>
      <c r="N189" s="34" t="e">
        <f>VLOOKUP(Table16[[#This Row],[ROUTE]],DEMAND!A:F,6,FALSE)</f>
        <v>#N/A</v>
      </c>
      <c r="O189" s="34" t="e">
        <f>ROUNDDOWN(Table16[[#This Row],[R-DEMAND]]/1320,0)</f>
        <v>#N/A</v>
      </c>
      <c r="P189" s="34" t="e">
        <f>Table16[[#This Row],[ADD ACC]]*Table16[[#This Row],[Duration]]</f>
        <v>#N/A</v>
      </c>
    </row>
    <row r="190" spans="1:16" x14ac:dyDescent="0.25">
      <c r="A190" s="54" t="s">
        <v>12405</v>
      </c>
      <c r="B190" s="34" t="s">
        <v>3772</v>
      </c>
      <c r="C190" s="34"/>
      <c r="D190" s="34">
        <v>2</v>
      </c>
      <c r="E190" s="34" t="s">
        <v>2851</v>
      </c>
      <c r="F190" s="34"/>
      <c r="G190" s="34" t="s">
        <v>12007</v>
      </c>
      <c r="H190" s="110">
        <v>5662</v>
      </c>
      <c r="I190" s="122">
        <v>14.75</v>
      </c>
      <c r="K190" s="111">
        <f>IFERROR(Table16[[#This Row],[ROUTE COST]]/Table16[[#This Row],[E - DEMAND]],0)</f>
        <v>0</v>
      </c>
      <c r="L190" s="34"/>
      <c r="M190" s="34" t="e">
        <f>VLOOKUP(Table16[[#This Row],[ROUTE]],DEMAND!A:F,5,FALSE)</f>
        <v>#N/A</v>
      </c>
      <c r="N190" s="34" t="e">
        <f>VLOOKUP(Table16[[#This Row],[ROUTE]],DEMAND!A:F,6,FALSE)</f>
        <v>#N/A</v>
      </c>
      <c r="O190" s="34" t="e">
        <f>ROUNDDOWN(Table16[[#This Row],[R-DEMAND]]/1320,0)</f>
        <v>#N/A</v>
      </c>
      <c r="P190" s="34" t="e">
        <f>Table16[[#This Row],[ADD ACC]]*Table16[[#This Row],[Duration]]</f>
        <v>#N/A</v>
      </c>
    </row>
    <row r="191" spans="1:16" x14ac:dyDescent="0.25">
      <c r="A191" s="54" t="s">
        <v>12348</v>
      </c>
      <c r="B191" s="34" t="s">
        <v>4580</v>
      </c>
      <c r="C191" s="34"/>
      <c r="D191" s="34">
        <v>2</v>
      </c>
      <c r="E191" s="34" t="s">
        <v>78</v>
      </c>
      <c r="F191" s="34"/>
      <c r="G191" s="34" t="s">
        <v>11916</v>
      </c>
      <c r="H191" s="110">
        <v>8034</v>
      </c>
      <c r="I191" s="122">
        <v>20</v>
      </c>
      <c r="K191" s="111">
        <f>IFERROR(Table16[[#This Row],[ROUTE COST]]/Table16[[#This Row],[E - DEMAND]],0)</f>
        <v>0</v>
      </c>
      <c r="L191" s="34"/>
      <c r="M191" s="34" t="e">
        <f>VLOOKUP(Table16[[#This Row],[ROUTE]],DEMAND!A:F,5,FALSE)</f>
        <v>#N/A</v>
      </c>
      <c r="N191" s="34" t="e">
        <f>VLOOKUP(Table16[[#This Row],[ROUTE]],DEMAND!A:F,6,FALSE)</f>
        <v>#N/A</v>
      </c>
      <c r="O191" s="34" t="e">
        <f>ROUNDDOWN(Table16[[#This Row],[R-DEMAND]]/1320,0)</f>
        <v>#N/A</v>
      </c>
      <c r="P191" s="34" t="e">
        <f>Table16[[#This Row],[ADD ACC]]*Table16[[#This Row],[Duration]]</f>
        <v>#N/A</v>
      </c>
    </row>
    <row r="192" spans="1:16" x14ac:dyDescent="0.25">
      <c r="A192" s="54" t="s">
        <v>12376</v>
      </c>
      <c r="B192" s="34" t="s">
        <v>2557</v>
      </c>
      <c r="C192" s="34"/>
      <c r="D192" s="34">
        <v>2</v>
      </c>
      <c r="E192" s="34" t="s">
        <v>172</v>
      </c>
      <c r="F192" s="34"/>
      <c r="G192" s="34" t="s">
        <v>11955</v>
      </c>
      <c r="H192" s="110">
        <v>7043</v>
      </c>
      <c r="I192" s="122">
        <v>17.75</v>
      </c>
      <c r="K192" s="111">
        <f>IFERROR(Table16[[#This Row],[ROUTE COST]]/Table16[[#This Row],[E - DEMAND]],0)</f>
        <v>0</v>
      </c>
      <c r="L192" s="34"/>
      <c r="M192" s="34" t="e">
        <f>VLOOKUP(Table16[[#This Row],[ROUTE]],DEMAND!A:F,5,FALSE)</f>
        <v>#N/A</v>
      </c>
      <c r="N192" s="34" t="e">
        <f>VLOOKUP(Table16[[#This Row],[ROUTE]],DEMAND!A:F,6,FALSE)</f>
        <v>#N/A</v>
      </c>
      <c r="O192" s="34" t="e">
        <f>ROUNDDOWN(Table16[[#This Row],[R-DEMAND]]/1320,0)</f>
        <v>#N/A</v>
      </c>
      <c r="P192" s="34" t="e">
        <f>Table16[[#This Row],[ADD ACC]]*Table16[[#This Row],[Duration]]</f>
        <v>#N/A</v>
      </c>
    </row>
    <row r="193" spans="1:16" x14ac:dyDescent="0.25">
      <c r="A193" s="54" t="s">
        <v>12296</v>
      </c>
      <c r="B193" s="34" t="s">
        <v>4477</v>
      </c>
      <c r="C193" s="34"/>
      <c r="D193" s="34">
        <v>2</v>
      </c>
      <c r="E193" s="34" t="s">
        <v>722</v>
      </c>
      <c r="F193" s="34"/>
      <c r="G193" s="34" t="s">
        <v>11856</v>
      </c>
      <c r="H193" s="110">
        <v>9156</v>
      </c>
      <c r="I193" s="122">
        <v>22.5</v>
      </c>
      <c r="K193" s="111">
        <f>IFERROR(Table16[[#This Row],[ROUTE COST]]/Table16[[#This Row],[E - DEMAND]],0)</f>
        <v>0</v>
      </c>
      <c r="L193" s="34"/>
      <c r="M193" s="34" t="e">
        <f>VLOOKUP(Table16[[#This Row],[ROUTE]],DEMAND!A:F,5,FALSE)</f>
        <v>#N/A</v>
      </c>
      <c r="N193" s="34" t="e">
        <f>VLOOKUP(Table16[[#This Row],[ROUTE]],DEMAND!A:F,6,FALSE)</f>
        <v>#N/A</v>
      </c>
      <c r="O193" s="34" t="e">
        <f>ROUNDDOWN(Table16[[#This Row],[R-DEMAND]]/1320,0)</f>
        <v>#N/A</v>
      </c>
      <c r="P193" s="34" t="e">
        <f>Table16[[#This Row],[ADD ACC]]*Table16[[#This Row],[Duration]]</f>
        <v>#N/A</v>
      </c>
    </row>
    <row r="194" spans="1:16" x14ac:dyDescent="0.25">
      <c r="A194" s="54" t="s">
        <v>12389</v>
      </c>
      <c r="B194" s="34" t="s">
        <v>2766</v>
      </c>
      <c r="C194" s="34"/>
      <c r="D194" s="34">
        <v>2</v>
      </c>
      <c r="E194" s="34" t="s">
        <v>2764</v>
      </c>
      <c r="F194" s="34"/>
      <c r="G194" s="34" t="s">
        <v>11978</v>
      </c>
      <c r="H194" s="110">
        <v>6520</v>
      </c>
      <c r="I194" s="122">
        <v>16.5</v>
      </c>
      <c r="K194" s="111">
        <f>IFERROR(Table16[[#This Row],[ROUTE COST]]/Table16[[#This Row],[E - DEMAND]],0)</f>
        <v>0</v>
      </c>
      <c r="L194" s="34"/>
      <c r="M194" s="34" t="e">
        <f>VLOOKUP(Table16[[#This Row],[ROUTE]],DEMAND!A:F,5,FALSE)</f>
        <v>#N/A</v>
      </c>
      <c r="N194" s="34" t="e">
        <f>VLOOKUP(Table16[[#This Row],[ROUTE]],DEMAND!A:F,6,FALSE)</f>
        <v>#N/A</v>
      </c>
      <c r="O194" s="34" t="e">
        <f>ROUNDDOWN(Table16[[#This Row],[R-DEMAND]]/1320,0)</f>
        <v>#N/A</v>
      </c>
      <c r="P194" s="34" t="e">
        <f>Table16[[#This Row],[ADD ACC]]*Table16[[#This Row],[Duration]]</f>
        <v>#N/A</v>
      </c>
    </row>
    <row r="195" spans="1:16" x14ac:dyDescent="0.25">
      <c r="A195" s="54" t="s">
        <v>12259</v>
      </c>
      <c r="B195" s="34" t="s">
        <v>3618</v>
      </c>
      <c r="C195" s="34"/>
      <c r="D195" s="34">
        <v>2</v>
      </c>
      <c r="E195" s="34" t="s">
        <v>3616</v>
      </c>
      <c r="F195" s="34"/>
      <c r="G195" s="34" t="s">
        <v>11776</v>
      </c>
      <c r="H195" s="110">
        <v>10932</v>
      </c>
      <c r="I195" s="122">
        <v>26.25</v>
      </c>
      <c r="K195" s="111">
        <f>IFERROR(Table16[[#This Row],[ROUTE COST]]/Table16[[#This Row],[E - DEMAND]],0)</f>
        <v>0</v>
      </c>
      <c r="L195" s="34"/>
      <c r="M195" s="34" t="e">
        <f>VLOOKUP(Table16[[#This Row],[ROUTE]],DEMAND!A:F,5,FALSE)</f>
        <v>#N/A</v>
      </c>
      <c r="N195" s="34" t="e">
        <f>VLOOKUP(Table16[[#This Row],[ROUTE]],DEMAND!A:F,6,FALSE)</f>
        <v>#N/A</v>
      </c>
      <c r="O195" s="34" t="e">
        <f>ROUNDDOWN(Table16[[#This Row],[R-DEMAND]]/1320,0)</f>
        <v>#N/A</v>
      </c>
      <c r="P195" s="34" t="e">
        <f>Table16[[#This Row],[ADD ACC]]*Table16[[#This Row],[Duration]]</f>
        <v>#N/A</v>
      </c>
    </row>
    <row r="196" spans="1:16" x14ac:dyDescent="0.25">
      <c r="A196" s="54" t="s">
        <v>12437</v>
      </c>
      <c r="B196" s="34" t="s">
        <v>4439</v>
      </c>
      <c r="C196" s="34"/>
      <c r="D196" s="34">
        <v>2</v>
      </c>
      <c r="E196" s="34" t="s">
        <v>709</v>
      </c>
      <c r="F196" s="34"/>
      <c r="G196" s="34" t="s">
        <v>12112</v>
      </c>
      <c r="H196" s="110">
        <v>1175</v>
      </c>
      <c r="I196" s="122">
        <v>4.75</v>
      </c>
      <c r="K196" s="111">
        <f>IFERROR(Table16[[#This Row],[ROUTE COST]]/Table16[[#This Row],[E - DEMAND]],0)</f>
        <v>0</v>
      </c>
      <c r="L196" s="34"/>
      <c r="M196" s="34" t="e">
        <f>VLOOKUP(Table16[[#This Row],[ROUTE]],DEMAND!A:F,5,FALSE)</f>
        <v>#N/A</v>
      </c>
      <c r="N196" s="34" t="e">
        <f>VLOOKUP(Table16[[#This Row],[ROUTE]],DEMAND!A:F,6,FALSE)</f>
        <v>#N/A</v>
      </c>
      <c r="O196" s="34" t="e">
        <f>ROUNDDOWN(Table16[[#This Row],[R-DEMAND]]/1320,0)</f>
        <v>#N/A</v>
      </c>
      <c r="P196" s="34" t="e">
        <f>Table16[[#This Row],[ADD ACC]]*Table16[[#This Row],[Duration]]</f>
        <v>#N/A</v>
      </c>
    </row>
    <row r="197" spans="1:16" x14ac:dyDescent="0.25">
      <c r="A197" s="54" t="s">
        <v>12410</v>
      </c>
      <c r="B197" s="34" t="s">
        <v>4683</v>
      </c>
      <c r="C197" s="34"/>
      <c r="D197" s="34">
        <v>2</v>
      </c>
      <c r="E197" s="34" t="s">
        <v>258</v>
      </c>
      <c r="F197" s="34"/>
      <c r="G197" s="34" t="s">
        <v>12021</v>
      </c>
      <c r="H197" s="110">
        <v>5208</v>
      </c>
      <c r="I197" s="122">
        <v>13.75</v>
      </c>
      <c r="K197" s="111">
        <f>IFERROR(Table16[[#This Row],[ROUTE COST]]/Table16[[#This Row],[E - DEMAND]],0)</f>
        <v>0</v>
      </c>
      <c r="L197" s="34"/>
      <c r="M197" s="34" t="e">
        <f>VLOOKUP(Table16[[#This Row],[ROUTE]],DEMAND!A:F,5,FALSE)</f>
        <v>#N/A</v>
      </c>
      <c r="N197" s="34" t="e">
        <f>VLOOKUP(Table16[[#This Row],[ROUTE]],DEMAND!A:F,6,FALSE)</f>
        <v>#N/A</v>
      </c>
      <c r="O197" s="34" t="e">
        <f>ROUNDDOWN(Table16[[#This Row],[R-DEMAND]]/1320,0)</f>
        <v>#N/A</v>
      </c>
      <c r="P197" s="34" t="e">
        <f>Table16[[#This Row],[ADD ACC]]*Table16[[#This Row],[Duration]]</f>
        <v>#N/A</v>
      </c>
    </row>
    <row r="198" spans="1:16" x14ac:dyDescent="0.25">
      <c r="A198" s="54" t="s">
        <v>12351</v>
      </c>
      <c r="B198" s="34" t="s">
        <v>4611</v>
      </c>
      <c r="C198" s="34"/>
      <c r="D198" s="34">
        <v>2</v>
      </c>
      <c r="E198" s="34" t="s">
        <v>502</v>
      </c>
      <c r="F198" s="34"/>
      <c r="G198" s="34" t="s">
        <v>11921</v>
      </c>
      <c r="H198" s="110">
        <v>7933</v>
      </c>
      <c r="I198" s="122">
        <v>19.75</v>
      </c>
      <c r="K198" s="111">
        <f>IFERROR(Table16[[#This Row],[ROUTE COST]]/Table16[[#This Row],[E - DEMAND]],0)</f>
        <v>0</v>
      </c>
      <c r="L198" s="34"/>
      <c r="M198" s="34" t="e">
        <f>VLOOKUP(Table16[[#This Row],[ROUTE]],DEMAND!A:F,5,FALSE)</f>
        <v>#N/A</v>
      </c>
      <c r="N198" s="34" t="e">
        <f>VLOOKUP(Table16[[#This Row],[ROUTE]],DEMAND!A:F,6,FALSE)</f>
        <v>#N/A</v>
      </c>
      <c r="O198" s="34" t="e">
        <f>ROUNDDOWN(Table16[[#This Row],[R-DEMAND]]/1320,0)</f>
        <v>#N/A</v>
      </c>
      <c r="P198" s="34" t="e">
        <f>Table16[[#This Row],[ADD ACC]]*Table16[[#This Row],[Duration]]</f>
        <v>#N/A</v>
      </c>
    </row>
    <row r="199" spans="1:16" x14ac:dyDescent="0.25">
      <c r="A199" s="54" t="s">
        <v>12315</v>
      </c>
      <c r="B199" s="34" t="s">
        <v>3373</v>
      </c>
      <c r="C199" s="34"/>
      <c r="D199" s="34">
        <v>2</v>
      </c>
      <c r="E199" s="34" t="s">
        <v>1124</v>
      </c>
      <c r="F199" s="34"/>
      <c r="G199" s="34" t="s">
        <v>11882</v>
      </c>
      <c r="H199" s="110">
        <v>8621</v>
      </c>
      <c r="I199" s="122">
        <v>21.25</v>
      </c>
      <c r="K199" s="111">
        <f>IFERROR(Table16[[#This Row],[ROUTE COST]]/Table16[[#This Row],[E - DEMAND]],0)</f>
        <v>0</v>
      </c>
      <c r="L199" s="34"/>
      <c r="M199" s="34" t="e">
        <f>VLOOKUP(Table16[[#This Row],[ROUTE]],DEMAND!A:F,5,FALSE)</f>
        <v>#N/A</v>
      </c>
      <c r="N199" s="34" t="e">
        <f>VLOOKUP(Table16[[#This Row],[ROUTE]],DEMAND!A:F,6,FALSE)</f>
        <v>#N/A</v>
      </c>
      <c r="O199" s="34" t="e">
        <f>ROUNDDOWN(Table16[[#This Row],[R-DEMAND]]/1320,0)</f>
        <v>#N/A</v>
      </c>
      <c r="P199" s="34" t="e">
        <f>Table16[[#This Row],[ADD ACC]]*Table16[[#This Row],[Duration]]</f>
        <v>#N/A</v>
      </c>
    </row>
    <row r="200" spans="1:16" x14ac:dyDescent="0.25">
      <c r="A200" s="54" t="s">
        <v>12436</v>
      </c>
      <c r="B200" s="34" t="s">
        <v>61</v>
      </c>
      <c r="C200" s="34"/>
      <c r="D200" s="34">
        <v>2</v>
      </c>
      <c r="E200" s="34" t="s">
        <v>709</v>
      </c>
      <c r="F200" s="34"/>
      <c r="G200" s="34" t="s">
        <v>12111</v>
      </c>
      <c r="H200" s="110">
        <v>1339</v>
      </c>
      <c r="I200" s="122">
        <v>5</v>
      </c>
      <c r="K200" s="111">
        <f>IFERROR(Table16[[#This Row],[ROUTE COST]]/Table16[[#This Row],[E - DEMAND]],0)</f>
        <v>0</v>
      </c>
      <c r="L200" s="34"/>
      <c r="M200" s="34" t="e">
        <f>VLOOKUP(Table16[[#This Row],[ROUTE]],DEMAND!A:F,5,FALSE)</f>
        <v>#N/A</v>
      </c>
      <c r="N200" s="34" t="e">
        <f>VLOOKUP(Table16[[#This Row],[ROUTE]],DEMAND!A:F,6,FALSE)</f>
        <v>#N/A</v>
      </c>
      <c r="O200" s="34" t="e">
        <f>ROUNDDOWN(Table16[[#This Row],[R-DEMAND]]/1320,0)</f>
        <v>#N/A</v>
      </c>
      <c r="P200" s="34" t="e">
        <f>Table16[[#This Row],[ADD ACC]]*Table16[[#This Row],[Duration]]</f>
        <v>#N/A</v>
      </c>
    </row>
    <row r="201" spans="1:16" x14ac:dyDescent="0.25">
      <c r="A201" s="54" t="s">
        <v>12356</v>
      </c>
      <c r="B201" s="34" t="s">
        <v>3931</v>
      </c>
      <c r="C201" s="34"/>
      <c r="D201" s="34">
        <v>2</v>
      </c>
      <c r="E201" s="34" t="s">
        <v>172</v>
      </c>
      <c r="F201" s="34"/>
      <c r="G201" s="34" t="s">
        <v>7147</v>
      </c>
      <c r="H201" s="110">
        <v>7829</v>
      </c>
      <c r="I201" s="122">
        <v>19.5</v>
      </c>
      <c r="K201" s="111">
        <f>IFERROR(Table16[[#This Row],[ROUTE COST]]/Table16[[#This Row],[E - DEMAND]],0)</f>
        <v>0</v>
      </c>
      <c r="L201" s="34"/>
      <c r="M201" s="34" t="e">
        <f>VLOOKUP(Table16[[#This Row],[ROUTE]],DEMAND!A:F,5,FALSE)</f>
        <v>#N/A</v>
      </c>
      <c r="N201" s="34" t="e">
        <f>VLOOKUP(Table16[[#This Row],[ROUTE]],DEMAND!A:F,6,FALSE)</f>
        <v>#N/A</v>
      </c>
      <c r="O201" s="34" t="e">
        <f>ROUNDDOWN(Table16[[#This Row],[R-DEMAND]]/1320,0)</f>
        <v>#N/A</v>
      </c>
      <c r="P201" s="34" t="e">
        <f>Table16[[#This Row],[ADD ACC]]*Table16[[#This Row],[Duration]]</f>
        <v>#N/A</v>
      </c>
    </row>
    <row r="202" spans="1:16" x14ac:dyDescent="0.25">
      <c r="A202" s="54" t="s">
        <v>12350</v>
      </c>
      <c r="B202" s="34" t="s">
        <v>4510</v>
      </c>
      <c r="C202" s="34"/>
      <c r="D202" s="34">
        <v>2</v>
      </c>
      <c r="E202" s="34" t="s">
        <v>78</v>
      </c>
      <c r="F202" s="34"/>
      <c r="G202" s="34" t="s">
        <v>11919</v>
      </c>
      <c r="H202" s="110">
        <v>7967</v>
      </c>
      <c r="I202" s="122">
        <v>19.75</v>
      </c>
      <c r="K202" s="111">
        <f>IFERROR(Table16[[#This Row],[ROUTE COST]]/Table16[[#This Row],[E - DEMAND]],0)</f>
        <v>0</v>
      </c>
      <c r="L202" s="34"/>
      <c r="M202" s="34" t="e">
        <f>VLOOKUP(Table16[[#This Row],[ROUTE]],DEMAND!A:F,5,FALSE)</f>
        <v>#N/A</v>
      </c>
      <c r="N202" s="34" t="e">
        <f>VLOOKUP(Table16[[#This Row],[ROUTE]],DEMAND!A:F,6,FALSE)</f>
        <v>#N/A</v>
      </c>
      <c r="O202" s="34" t="e">
        <f>ROUNDDOWN(Table16[[#This Row],[R-DEMAND]]/1320,0)</f>
        <v>#N/A</v>
      </c>
      <c r="P202" s="34" t="e">
        <f>Table16[[#This Row],[ADD ACC]]*Table16[[#This Row],[Duration]]</f>
        <v>#N/A</v>
      </c>
    </row>
    <row r="203" spans="1:16" x14ac:dyDescent="0.25">
      <c r="A203" s="54" t="s">
        <v>12388</v>
      </c>
      <c r="B203" s="34" t="s">
        <v>4211</v>
      </c>
      <c r="C203" s="34"/>
      <c r="D203" s="34">
        <v>2</v>
      </c>
      <c r="E203" s="34" t="s">
        <v>938</v>
      </c>
      <c r="F203" s="34"/>
      <c r="G203" s="34" t="s">
        <v>11975</v>
      </c>
      <c r="H203" s="110">
        <v>6550</v>
      </c>
      <c r="I203" s="122">
        <v>16.75</v>
      </c>
      <c r="K203" s="111">
        <f>IFERROR(Table16[[#This Row],[ROUTE COST]]/Table16[[#This Row],[E - DEMAND]],0)</f>
        <v>0</v>
      </c>
      <c r="L203" s="34"/>
      <c r="M203" s="34" t="e">
        <f>VLOOKUP(Table16[[#This Row],[ROUTE]],DEMAND!A:F,5,FALSE)</f>
        <v>#N/A</v>
      </c>
      <c r="N203" s="34" t="e">
        <f>VLOOKUP(Table16[[#This Row],[ROUTE]],DEMAND!A:F,6,FALSE)</f>
        <v>#N/A</v>
      </c>
      <c r="O203" s="34" t="e">
        <f>ROUNDDOWN(Table16[[#This Row],[R-DEMAND]]/1320,0)</f>
        <v>#N/A</v>
      </c>
      <c r="P203" s="34" t="e">
        <f>Table16[[#This Row],[ADD ACC]]*Table16[[#This Row],[Duration]]</f>
        <v>#N/A</v>
      </c>
    </row>
    <row r="204" spans="1:16" x14ac:dyDescent="0.25">
      <c r="A204" s="54" t="s">
        <v>12279</v>
      </c>
      <c r="B204" s="34" t="s">
        <v>4535</v>
      </c>
      <c r="C204" s="34"/>
      <c r="D204" s="34">
        <v>2</v>
      </c>
      <c r="E204" s="34" t="s">
        <v>1420</v>
      </c>
      <c r="F204" s="34"/>
      <c r="G204" s="34" t="s">
        <v>11820</v>
      </c>
      <c r="H204" s="110">
        <v>10137</v>
      </c>
      <c r="I204" s="122">
        <v>24.5</v>
      </c>
      <c r="K204" s="111">
        <f>IFERROR(Table16[[#This Row],[ROUTE COST]]/Table16[[#This Row],[E - DEMAND]],0)</f>
        <v>0</v>
      </c>
      <c r="L204" s="34"/>
      <c r="M204" s="34" t="e">
        <f>VLOOKUP(Table16[[#This Row],[ROUTE]],DEMAND!A:F,5,FALSE)</f>
        <v>#N/A</v>
      </c>
      <c r="N204" s="34" t="e">
        <f>VLOOKUP(Table16[[#This Row],[ROUTE]],DEMAND!A:F,6,FALSE)</f>
        <v>#N/A</v>
      </c>
      <c r="O204" s="34" t="e">
        <f>ROUNDDOWN(Table16[[#This Row],[R-DEMAND]]/1320,0)</f>
        <v>#N/A</v>
      </c>
      <c r="P204" s="34" t="e">
        <f>Table16[[#This Row],[ADD ACC]]*Table16[[#This Row],[Duration]]</f>
        <v>#N/A</v>
      </c>
    </row>
    <row r="205" spans="1:16" x14ac:dyDescent="0.25">
      <c r="A205" s="54" t="s">
        <v>12333</v>
      </c>
      <c r="B205" s="34" t="s">
        <v>4245</v>
      </c>
      <c r="C205" s="34"/>
      <c r="D205" s="34">
        <v>2</v>
      </c>
      <c r="E205" s="34" t="s">
        <v>172</v>
      </c>
      <c r="F205" s="34"/>
      <c r="G205" s="34" t="s">
        <v>6951</v>
      </c>
      <c r="H205" s="110">
        <v>8413</v>
      </c>
      <c r="I205" s="122">
        <v>20.75</v>
      </c>
      <c r="K205" s="111">
        <f>IFERROR(Table16[[#This Row],[ROUTE COST]]/Table16[[#This Row],[E - DEMAND]],0)</f>
        <v>0</v>
      </c>
      <c r="L205" s="34"/>
      <c r="M205" s="34" t="e">
        <f>VLOOKUP(Table16[[#This Row],[ROUTE]],DEMAND!A:F,5,FALSE)</f>
        <v>#N/A</v>
      </c>
      <c r="N205" s="34" t="e">
        <f>VLOOKUP(Table16[[#This Row],[ROUTE]],DEMAND!A:F,6,FALSE)</f>
        <v>#N/A</v>
      </c>
      <c r="O205" s="34" t="e">
        <f>ROUNDDOWN(Table16[[#This Row],[R-DEMAND]]/1320,0)</f>
        <v>#N/A</v>
      </c>
      <c r="P205" s="34" t="e">
        <f>Table16[[#This Row],[ADD ACC]]*Table16[[#This Row],[Duration]]</f>
        <v>#N/A</v>
      </c>
    </row>
    <row r="206" spans="1:16" x14ac:dyDescent="0.25">
      <c r="A206" s="54" t="s">
        <v>12341</v>
      </c>
      <c r="B206" s="34" t="s">
        <v>4685</v>
      </c>
      <c r="C206" s="34"/>
      <c r="D206" s="34">
        <v>2</v>
      </c>
      <c r="E206" s="34" t="s">
        <v>78</v>
      </c>
      <c r="F206" s="34"/>
      <c r="G206" s="34" t="s">
        <v>6880</v>
      </c>
      <c r="H206" s="110">
        <v>8217</v>
      </c>
      <c r="I206" s="122">
        <v>20.25</v>
      </c>
      <c r="K206" s="111">
        <f>IFERROR(Table16[[#This Row],[ROUTE COST]]/Table16[[#This Row],[E - DEMAND]],0)</f>
        <v>0</v>
      </c>
      <c r="L206" s="34"/>
      <c r="M206" s="34" t="e">
        <f>VLOOKUP(Table16[[#This Row],[ROUTE]],DEMAND!A:F,5,FALSE)</f>
        <v>#N/A</v>
      </c>
      <c r="N206" s="34" t="e">
        <f>VLOOKUP(Table16[[#This Row],[ROUTE]],DEMAND!A:F,6,FALSE)</f>
        <v>#N/A</v>
      </c>
      <c r="O206" s="34" t="e">
        <f>ROUNDDOWN(Table16[[#This Row],[R-DEMAND]]/1320,0)</f>
        <v>#N/A</v>
      </c>
      <c r="P206" s="34" t="e">
        <f>Table16[[#This Row],[ADD ACC]]*Table16[[#This Row],[Duration]]</f>
        <v>#N/A</v>
      </c>
    </row>
    <row r="207" spans="1:16" x14ac:dyDescent="0.25">
      <c r="A207" s="54" t="s">
        <v>12401</v>
      </c>
      <c r="B207" s="34" t="s">
        <v>40</v>
      </c>
      <c r="C207" s="34"/>
      <c r="D207" s="34">
        <v>2</v>
      </c>
      <c r="E207" s="34" t="s">
        <v>533</v>
      </c>
      <c r="F207" s="34"/>
      <c r="G207" s="34" t="s">
        <v>11999</v>
      </c>
      <c r="H207" s="110">
        <v>6002</v>
      </c>
      <c r="I207" s="122">
        <v>15.5</v>
      </c>
      <c r="K207" s="111">
        <f>IFERROR(Table16[[#This Row],[ROUTE COST]]/Table16[[#This Row],[E - DEMAND]],0)</f>
        <v>0</v>
      </c>
      <c r="L207" s="34"/>
      <c r="M207" s="34" t="e">
        <f>VLOOKUP(Table16[[#This Row],[ROUTE]],DEMAND!A:F,5,FALSE)</f>
        <v>#N/A</v>
      </c>
      <c r="N207" s="34" t="e">
        <f>VLOOKUP(Table16[[#This Row],[ROUTE]],DEMAND!A:F,6,FALSE)</f>
        <v>#N/A</v>
      </c>
      <c r="O207" s="34" t="e">
        <f>ROUNDDOWN(Table16[[#This Row],[R-DEMAND]]/1320,0)</f>
        <v>#N/A</v>
      </c>
      <c r="P207" s="34" t="e">
        <f>Table16[[#This Row],[ADD ACC]]*Table16[[#This Row],[Duration]]</f>
        <v>#N/A</v>
      </c>
    </row>
    <row r="208" spans="1:16" x14ac:dyDescent="0.25">
      <c r="A208" s="54" t="s">
        <v>12320</v>
      </c>
      <c r="B208" s="34" t="s">
        <v>2737</v>
      </c>
      <c r="C208" s="34"/>
      <c r="D208" s="34">
        <v>2</v>
      </c>
      <c r="E208" s="34" t="s">
        <v>78</v>
      </c>
      <c r="F208" s="34"/>
      <c r="G208" s="34" t="s">
        <v>11888</v>
      </c>
      <c r="H208" s="110">
        <v>8588</v>
      </c>
      <c r="I208" s="122">
        <v>21.25</v>
      </c>
      <c r="K208" s="111">
        <f>IFERROR(Table16[[#This Row],[ROUTE COST]]/Table16[[#This Row],[E - DEMAND]],0)</f>
        <v>0</v>
      </c>
      <c r="L208" s="34"/>
      <c r="M208" s="34" t="e">
        <f>VLOOKUP(Table16[[#This Row],[ROUTE]],DEMAND!A:F,5,FALSE)</f>
        <v>#N/A</v>
      </c>
      <c r="N208" s="34" t="e">
        <f>VLOOKUP(Table16[[#This Row],[ROUTE]],DEMAND!A:F,6,FALSE)</f>
        <v>#N/A</v>
      </c>
      <c r="O208" s="34" t="e">
        <f>ROUNDDOWN(Table16[[#This Row],[R-DEMAND]]/1320,0)</f>
        <v>#N/A</v>
      </c>
      <c r="P208" s="34" t="e">
        <f>Table16[[#This Row],[ADD ACC]]*Table16[[#This Row],[Duration]]</f>
        <v>#N/A</v>
      </c>
    </row>
    <row r="209" spans="1:16" x14ac:dyDescent="0.25">
      <c r="A209" s="54" t="s">
        <v>12433</v>
      </c>
      <c r="B209" s="34" t="s">
        <v>32</v>
      </c>
      <c r="C209" s="34"/>
      <c r="D209" s="34">
        <v>2</v>
      </c>
      <c r="E209" s="34" t="s">
        <v>332</v>
      </c>
      <c r="F209" s="34"/>
      <c r="G209" s="34" t="s">
        <v>6817</v>
      </c>
      <c r="H209" s="110">
        <v>1890</v>
      </c>
      <c r="I209" s="122">
        <v>6.25</v>
      </c>
      <c r="K209" s="111">
        <f>IFERROR(Table16[[#This Row],[ROUTE COST]]/Table16[[#This Row],[E - DEMAND]],0)</f>
        <v>0</v>
      </c>
      <c r="L209" s="34"/>
      <c r="M209" s="34" t="e">
        <f>VLOOKUP(Table16[[#This Row],[ROUTE]],DEMAND!A:F,5,FALSE)</f>
        <v>#N/A</v>
      </c>
      <c r="N209" s="34" t="e">
        <f>VLOOKUP(Table16[[#This Row],[ROUTE]],DEMAND!A:F,6,FALSE)</f>
        <v>#N/A</v>
      </c>
      <c r="O209" s="34" t="e">
        <f>ROUNDDOWN(Table16[[#This Row],[R-DEMAND]]/1320,0)</f>
        <v>#N/A</v>
      </c>
      <c r="P209" s="34" t="e">
        <f>Table16[[#This Row],[ADD ACC]]*Table16[[#This Row],[Duration]]</f>
        <v>#N/A</v>
      </c>
    </row>
    <row r="210" spans="1:16" x14ac:dyDescent="0.25">
      <c r="A210" s="54" t="s">
        <v>12330</v>
      </c>
      <c r="B210" s="34" t="s">
        <v>3048</v>
      </c>
      <c r="C210" s="34"/>
      <c r="D210" s="34">
        <v>2</v>
      </c>
      <c r="E210" s="34" t="s">
        <v>172</v>
      </c>
      <c r="F210" s="34"/>
      <c r="G210" s="34" t="s">
        <v>6814</v>
      </c>
      <c r="H210" s="110">
        <v>8444</v>
      </c>
      <c r="I210" s="122">
        <v>20.75</v>
      </c>
      <c r="K210" s="111">
        <f>IFERROR(Table16[[#This Row],[ROUTE COST]]/Table16[[#This Row],[E - DEMAND]],0)</f>
        <v>0</v>
      </c>
      <c r="L210" s="34"/>
      <c r="M210" s="34" t="e">
        <f>VLOOKUP(Table16[[#This Row],[ROUTE]],DEMAND!A:F,5,FALSE)</f>
        <v>#N/A</v>
      </c>
      <c r="N210" s="34" t="e">
        <f>VLOOKUP(Table16[[#This Row],[ROUTE]],DEMAND!A:F,6,FALSE)</f>
        <v>#N/A</v>
      </c>
      <c r="O210" s="34" t="e">
        <f>ROUNDDOWN(Table16[[#This Row],[R-DEMAND]]/1320,0)</f>
        <v>#N/A</v>
      </c>
      <c r="P210" s="34" t="e">
        <f>Table16[[#This Row],[ADD ACC]]*Table16[[#This Row],[Duration]]</f>
        <v>#N/A</v>
      </c>
    </row>
    <row r="211" spans="1:16" x14ac:dyDescent="0.25">
      <c r="A211" s="54" t="s">
        <v>12394</v>
      </c>
      <c r="B211" s="34" t="s">
        <v>3044</v>
      </c>
      <c r="C211" s="34"/>
      <c r="D211" s="34">
        <v>2</v>
      </c>
      <c r="E211" s="34" t="s">
        <v>78</v>
      </c>
      <c r="F211" s="34"/>
      <c r="G211" s="34" t="s">
        <v>11984</v>
      </c>
      <c r="H211" s="110">
        <v>6444</v>
      </c>
      <c r="I211" s="122">
        <v>16.5</v>
      </c>
      <c r="K211" s="111">
        <f>IFERROR(Table16[[#This Row],[ROUTE COST]]/Table16[[#This Row],[E - DEMAND]],0)</f>
        <v>0</v>
      </c>
      <c r="L211" s="34"/>
      <c r="M211" s="34" t="e">
        <f>VLOOKUP(Table16[[#This Row],[ROUTE]],DEMAND!A:F,5,FALSE)</f>
        <v>#N/A</v>
      </c>
      <c r="N211" s="34" t="e">
        <f>VLOOKUP(Table16[[#This Row],[ROUTE]],DEMAND!A:F,6,FALSE)</f>
        <v>#N/A</v>
      </c>
      <c r="O211" s="34" t="e">
        <f>ROUNDDOWN(Table16[[#This Row],[R-DEMAND]]/1320,0)</f>
        <v>#N/A</v>
      </c>
      <c r="P211" s="34" t="e">
        <f>Table16[[#This Row],[ADD ACC]]*Table16[[#This Row],[Duration]]</f>
        <v>#N/A</v>
      </c>
    </row>
    <row r="212" spans="1:16" x14ac:dyDescent="0.25">
      <c r="A212" s="54" t="s">
        <v>12380</v>
      </c>
      <c r="B212" s="34" t="s">
        <v>4181</v>
      </c>
      <c r="C212" s="34"/>
      <c r="D212" s="34">
        <v>2</v>
      </c>
      <c r="E212" s="34" t="s">
        <v>78</v>
      </c>
      <c r="F212" s="34"/>
      <c r="G212" s="34" t="s">
        <v>11962</v>
      </c>
      <c r="H212" s="110">
        <v>6882</v>
      </c>
      <c r="I212" s="122">
        <v>17.25</v>
      </c>
      <c r="K212" s="111">
        <f>IFERROR(Table16[[#This Row],[ROUTE COST]]/Table16[[#This Row],[E - DEMAND]],0)</f>
        <v>0</v>
      </c>
      <c r="L212" s="34"/>
      <c r="M212" s="34" t="e">
        <f>VLOOKUP(Table16[[#This Row],[ROUTE]],DEMAND!A:F,5,FALSE)</f>
        <v>#N/A</v>
      </c>
      <c r="N212" s="34" t="e">
        <f>VLOOKUP(Table16[[#This Row],[ROUTE]],DEMAND!A:F,6,FALSE)</f>
        <v>#N/A</v>
      </c>
      <c r="O212" s="34" t="e">
        <f>ROUNDDOWN(Table16[[#This Row],[R-DEMAND]]/1320,0)</f>
        <v>#N/A</v>
      </c>
      <c r="P212" s="34" t="e">
        <f>Table16[[#This Row],[ADD ACC]]*Table16[[#This Row],[Duration]]</f>
        <v>#N/A</v>
      </c>
    </row>
    <row r="213" spans="1:16" x14ac:dyDescent="0.25">
      <c r="A213" s="54" t="s">
        <v>12316</v>
      </c>
      <c r="B213" s="34" t="s">
        <v>2555</v>
      </c>
      <c r="C213" s="34"/>
      <c r="D213" s="34">
        <v>2</v>
      </c>
      <c r="E213" s="34" t="s">
        <v>1216</v>
      </c>
      <c r="F213" s="34"/>
      <c r="G213" s="34" t="s">
        <v>11883</v>
      </c>
      <c r="H213" s="110">
        <v>8616</v>
      </c>
      <c r="I213" s="122">
        <v>21.25</v>
      </c>
      <c r="K213" s="111">
        <f>IFERROR(Table16[[#This Row],[ROUTE COST]]/Table16[[#This Row],[E - DEMAND]],0)</f>
        <v>0</v>
      </c>
      <c r="L213" s="34"/>
      <c r="M213" s="34" t="e">
        <f>VLOOKUP(Table16[[#This Row],[ROUTE]],DEMAND!A:F,5,FALSE)</f>
        <v>#N/A</v>
      </c>
      <c r="N213" s="34" t="e">
        <f>VLOOKUP(Table16[[#This Row],[ROUTE]],DEMAND!A:F,6,FALSE)</f>
        <v>#N/A</v>
      </c>
      <c r="O213" s="34" t="e">
        <f>ROUNDDOWN(Table16[[#This Row],[R-DEMAND]]/1320,0)</f>
        <v>#N/A</v>
      </c>
      <c r="P213" s="34" t="e">
        <f>Table16[[#This Row],[ADD ACC]]*Table16[[#This Row],[Duration]]</f>
        <v>#N/A</v>
      </c>
    </row>
    <row r="214" spans="1:16" x14ac:dyDescent="0.25">
      <c r="A214" s="54" t="s">
        <v>12429</v>
      </c>
      <c r="B214" s="34" t="s">
        <v>3996</v>
      </c>
      <c r="C214" s="34"/>
      <c r="D214" s="34">
        <v>2</v>
      </c>
      <c r="E214" s="34" t="s">
        <v>974</v>
      </c>
      <c r="F214" s="34"/>
      <c r="G214" s="34" t="s">
        <v>12092</v>
      </c>
      <c r="H214" s="110">
        <v>2719</v>
      </c>
      <c r="I214" s="122">
        <v>8.25</v>
      </c>
      <c r="K214" s="111">
        <f>IFERROR(Table16[[#This Row],[ROUTE COST]]/Table16[[#This Row],[E - DEMAND]],0)</f>
        <v>0</v>
      </c>
      <c r="L214" s="34"/>
      <c r="M214" s="34" t="e">
        <f>VLOOKUP(Table16[[#This Row],[ROUTE]],DEMAND!A:F,5,FALSE)</f>
        <v>#N/A</v>
      </c>
      <c r="N214" s="34" t="e">
        <f>VLOOKUP(Table16[[#This Row],[ROUTE]],DEMAND!A:F,6,FALSE)</f>
        <v>#N/A</v>
      </c>
      <c r="O214" s="34" t="e">
        <f>ROUNDDOWN(Table16[[#This Row],[R-DEMAND]]/1320,0)</f>
        <v>#N/A</v>
      </c>
      <c r="P214" s="34" t="e">
        <f>Table16[[#This Row],[ADD ACC]]*Table16[[#This Row],[Duration]]</f>
        <v>#N/A</v>
      </c>
    </row>
    <row r="215" spans="1:16" x14ac:dyDescent="0.25">
      <c r="A215" s="54" t="s">
        <v>12368</v>
      </c>
      <c r="B215" s="34" t="s">
        <v>2653</v>
      </c>
      <c r="C215" s="34"/>
      <c r="D215" s="34">
        <v>2</v>
      </c>
      <c r="E215" s="34" t="s">
        <v>172</v>
      </c>
      <c r="F215" s="34"/>
      <c r="G215" s="34" t="s">
        <v>11943</v>
      </c>
      <c r="H215" s="110">
        <v>7334</v>
      </c>
      <c r="I215" s="122">
        <v>18.25</v>
      </c>
      <c r="K215" s="111">
        <f>IFERROR(Table16[[#This Row],[ROUTE COST]]/Table16[[#This Row],[E - DEMAND]],0)</f>
        <v>0</v>
      </c>
      <c r="L215" s="34"/>
      <c r="M215" s="34" t="e">
        <f>VLOOKUP(Table16[[#This Row],[ROUTE]],DEMAND!A:F,5,FALSE)</f>
        <v>#N/A</v>
      </c>
      <c r="N215" s="34" t="e">
        <f>VLOOKUP(Table16[[#This Row],[ROUTE]],DEMAND!A:F,6,FALSE)</f>
        <v>#N/A</v>
      </c>
      <c r="O215" s="34" t="e">
        <f>ROUNDDOWN(Table16[[#This Row],[R-DEMAND]]/1320,0)</f>
        <v>#N/A</v>
      </c>
      <c r="P215" s="34" t="e">
        <f>Table16[[#This Row],[ADD ACC]]*Table16[[#This Row],[Duration]]</f>
        <v>#N/A</v>
      </c>
    </row>
    <row r="216" spans="1:16" x14ac:dyDescent="0.25">
      <c r="A216" s="54" t="s">
        <v>12292</v>
      </c>
      <c r="B216" s="34" t="s">
        <v>4327</v>
      </c>
      <c r="C216" s="34"/>
      <c r="D216" s="34">
        <v>2</v>
      </c>
      <c r="E216" s="34" t="s">
        <v>580</v>
      </c>
      <c r="F216" s="34"/>
      <c r="G216" s="34" t="s">
        <v>11841</v>
      </c>
      <c r="H216" s="110">
        <v>9667</v>
      </c>
      <c r="I216" s="122">
        <v>23.5</v>
      </c>
      <c r="K216" s="111">
        <f>IFERROR(Table16[[#This Row],[ROUTE COST]]/Table16[[#This Row],[E - DEMAND]],0)</f>
        <v>0</v>
      </c>
      <c r="L216" s="34"/>
      <c r="M216" s="34" t="e">
        <f>VLOOKUP(Table16[[#This Row],[ROUTE]],DEMAND!A:F,5,FALSE)</f>
        <v>#N/A</v>
      </c>
      <c r="N216" s="34" t="e">
        <f>VLOOKUP(Table16[[#This Row],[ROUTE]],DEMAND!A:F,6,FALSE)</f>
        <v>#N/A</v>
      </c>
      <c r="O216" s="34" t="e">
        <f>ROUNDDOWN(Table16[[#This Row],[R-DEMAND]]/1320,0)</f>
        <v>#N/A</v>
      </c>
      <c r="P216" s="34" t="e">
        <f>Table16[[#This Row],[ADD ACC]]*Table16[[#This Row],[Duration]]</f>
        <v>#N/A</v>
      </c>
    </row>
    <row r="217" spans="1:16" x14ac:dyDescent="0.25">
      <c r="A217" s="54" t="s">
        <v>12419</v>
      </c>
      <c r="B217" s="34" t="s">
        <v>3358</v>
      </c>
      <c r="C217" s="34"/>
      <c r="D217" s="34">
        <v>2</v>
      </c>
      <c r="E217" s="34" t="s">
        <v>14</v>
      </c>
      <c r="F217" s="34"/>
      <c r="G217" s="34" t="s">
        <v>12059</v>
      </c>
      <c r="H217" s="110">
        <v>4111</v>
      </c>
      <c r="I217" s="122">
        <v>11.25</v>
      </c>
      <c r="K217" s="111">
        <f>IFERROR(Table16[[#This Row],[ROUTE COST]]/Table16[[#This Row],[E - DEMAND]],0)</f>
        <v>0</v>
      </c>
      <c r="L217" s="34"/>
      <c r="M217" s="34" t="e">
        <f>VLOOKUP(Table16[[#This Row],[ROUTE]],DEMAND!A:F,5,FALSE)</f>
        <v>#N/A</v>
      </c>
      <c r="N217" s="34" t="e">
        <f>VLOOKUP(Table16[[#This Row],[ROUTE]],DEMAND!A:F,6,FALSE)</f>
        <v>#N/A</v>
      </c>
      <c r="O217" s="34" t="e">
        <f>ROUNDDOWN(Table16[[#This Row],[R-DEMAND]]/1320,0)</f>
        <v>#N/A</v>
      </c>
      <c r="P217" s="34" t="e">
        <f>Table16[[#This Row],[ADD ACC]]*Table16[[#This Row],[Duration]]</f>
        <v>#N/A</v>
      </c>
    </row>
    <row r="218" spans="1:16" x14ac:dyDescent="0.25">
      <c r="A218" s="54" t="s">
        <v>12422</v>
      </c>
      <c r="B218" s="34" t="s">
        <v>3842</v>
      </c>
      <c r="C218" s="34"/>
      <c r="D218" s="34">
        <v>2</v>
      </c>
      <c r="E218" s="34" t="s">
        <v>14</v>
      </c>
      <c r="F218" s="34"/>
      <c r="G218" s="34" t="s">
        <v>12067</v>
      </c>
      <c r="H218" s="110">
        <v>3824</v>
      </c>
      <c r="I218" s="122">
        <v>10.5</v>
      </c>
      <c r="K218" s="111">
        <f>IFERROR(Table16[[#This Row],[ROUTE COST]]/Table16[[#This Row],[E - DEMAND]],0)</f>
        <v>0</v>
      </c>
      <c r="L218" s="34"/>
      <c r="M218" s="34" t="e">
        <f>VLOOKUP(Table16[[#This Row],[ROUTE]],DEMAND!A:F,5,FALSE)</f>
        <v>#N/A</v>
      </c>
      <c r="N218" s="34" t="e">
        <f>VLOOKUP(Table16[[#This Row],[ROUTE]],DEMAND!A:F,6,FALSE)</f>
        <v>#N/A</v>
      </c>
      <c r="O218" s="34" t="e">
        <f>ROUNDDOWN(Table16[[#This Row],[R-DEMAND]]/1320,0)</f>
        <v>#N/A</v>
      </c>
      <c r="P218" s="34" t="e">
        <f>Table16[[#This Row],[ADD ACC]]*Table16[[#This Row],[Duration]]</f>
        <v>#N/A</v>
      </c>
    </row>
    <row r="219" spans="1:16" x14ac:dyDescent="0.25">
      <c r="A219" s="54" t="s">
        <v>12414</v>
      </c>
      <c r="B219" s="34" t="s">
        <v>4072</v>
      </c>
      <c r="C219" s="34"/>
      <c r="D219" s="34">
        <v>2</v>
      </c>
      <c r="E219" s="34" t="s">
        <v>14</v>
      </c>
      <c r="F219" s="34"/>
      <c r="G219" s="34" t="s">
        <v>12041</v>
      </c>
      <c r="H219" s="110">
        <v>4613</v>
      </c>
      <c r="I219" s="122">
        <v>12.25</v>
      </c>
      <c r="K219" s="111">
        <f>IFERROR(Table16[[#This Row],[ROUTE COST]]/Table16[[#This Row],[E - DEMAND]],0)</f>
        <v>0</v>
      </c>
      <c r="L219" s="34"/>
      <c r="M219" s="34" t="e">
        <f>VLOOKUP(Table16[[#This Row],[ROUTE]],DEMAND!A:F,5,FALSE)</f>
        <v>#N/A</v>
      </c>
      <c r="N219" s="34" t="e">
        <f>VLOOKUP(Table16[[#This Row],[ROUTE]],DEMAND!A:F,6,FALSE)</f>
        <v>#N/A</v>
      </c>
      <c r="O219" s="34" t="e">
        <f>ROUNDDOWN(Table16[[#This Row],[R-DEMAND]]/1320,0)</f>
        <v>#N/A</v>
      </c>
      <c r="P219" s="34" t="e">
        <f>Table16[[#This Row],[ADD ACC]]*Table16[[#This Row],[Duration]]</f>
        <v>#N/A</v>
      </c>
    </row>
    <row r="220" spans="1:16" x14ac:dyDescent="0.25">
      <c r="A220" s="54" t="s">
        <v>12415</v>
      </c>
      <c r="B220" s="34" t="s">
        <v>4070</v>
      </c>
      <c r="C220" s="34"/>
      <c r="D220" s="34">
        <v>2</v>
      </c>
      <c r="E220" s="34" t="s">
        <v>14</v>
      </c>
      <c r="F220" s="34"/>
      <c r="G220" s="34" t="s">
        <v>12042</v>
      </c>
      <c r="H220" s="110">
        <v>4610</v>
      </c>
      <c r="I220" s="122">
        <v>12.25</v>
      </c>
      <c r="K220" s="111">
        <f>IFERROR(Table16[[#This Row],[ROUTE COST]]/Table16[[#This Row],[E - DEMAND]],0)</f>
        <v>0</v>
      </c>
      <c r="L220" s="34"/>
      <c r="M220" s="34" t="e">
        <f>VLOOKUP(Table16[[#This Row],[ROUTE]],DEMAND!A:F,5,FALSE)</f>
        <v>#N/A</v>
      </c>
      <c r="N220" s="34" t="e">
        <f>VLOOKUP(Table16[[#This Row],[ROUTE]],DEMAND!A:F,6,FALSE)</f>
        <v>#N/A</v>
      </c>
      <c r="O220" s="34" t="e">
        <f>ROUNDDOWN(Table16[[#This Row],[R-DEMAND]]/1320,0)</f>
        <v>#N/A</v>
      </c>
      <c r="P220" s="34" t="e">
        <f>Table16[[#This Row],[ADD ACC]]*Table16[[#This Row],[Duration]]</f>
        <v>#N/A</v>
      </c>
    </row>
    <row r="221" spans="1:16" x14ac:dyDescent="0.25">
      <c r="A221" s="54" t="s">
        <v>12345</v>
      </c>
      <c r="B221" s="34" t="s">
        <v>3219</v>
      </c>
      <c r="C221" s="34"/>
      <c r="D221" s="34">
        <v>2</v>
      </c>
      <c r="E221" s="34" t="s">
        <v>172</v>
      </c>
      <c r="F221" s="34"/>
      <c r="G221" s="34" t="s">
        <v>11913</v>
      </c>
      <c r="H221" s="110">
        <v>8151</v>
      </c>
      <c r="I221" s="122">
        <v>20.25</v>
      </c>
      <c r="K221" s="111">
        <f>IFERROR(Table16[[#This Row],[ROUTE COST]]/Table16[[#This Row],[E - DEMAND]],0)</f>
        <v>0</v>
      </c>
      <c r="L221" s="34"/>
      <c r="M221" s="34" t="e">
        <f>VLOOKUP(Table16[[#This Row],[ROUTE]],DEMAND!A:F,5,FALSE)</f>
        <v>#N/A</v>
      </c>
      <c r="N221" s="34" t="e">
        <f>VLOOKUP(Table16[[#This Row],[ROUTE]],DEMAND!A:F,6,FALSE)</f>
        <v>#N/A</v>
      </c>
      <c r="O221" s="34" t="e">
        <f>ROUNDDOWN(Table16[[#This Row],[R-DEMAND]]/1320,0)</f>
        <v>#N/A</v>
      </c>
      <c r="P221" s="34" t="e">
        <f>Table16[[#This Row],[ADD ACC]]*Table16[[#This Row],[Duration]]</f>
        <v>#N/A</v>
      </c>
    </row>
    <row r="222" spans="1:16" x14ac:dyDescent="0.25">
      <c r="A222" s="54" t="s">
        <v>12470</v>
      </c>
      <c r="B222" s="34" t="s">
        <v>5343</v>
      </c>
      <c r="C222" s="34" t="s">
        <v>67</v>
      </c>
      <c r="D222" s="34">
        <v>3</v>
      </c>
      <c r="E222" s="34" t="s">
        <v>1427</v>
      </c>
      <c r="F222" s="34"/>
      <c r="G222" s="34" t="s">
        <v>11762</v>
      </c>
      <c r="H222" s="110">
        <v>11021</v>
      </c>
      <c r="I222" s="122">
        <v>26.5</v>
      </c>
      <c r="J222" s="111">
        <v>264161366</v>
      </c>
      <c r="K222" s="111">
        <f>IFERROR(Table16[[#This Row],[ROUTE COST]]/Table16[[#This Row],[E - DEMAND]],0)</f>
        <v>77104.893753648576</v>
      </c>
      <c r="L222" s="34">
        <v>3426</v>
      </c>
      <c r="M222" s="34" t="e">
        <f>VLOOKUP(Table16[[#This Row],[ROUTE]],DEMAND!A:F,5,FALSE)</f>
        <v>#N/A</v>
      </c>
      <c r="N222" s="34" t="e">
        <f>VLOOKUP(Table16[[#This Row],[ROUTE]],DEMAND!A:F,6,FALSE)</f>
        <v>#N/A</v>
      </c>
      <c r="O222" s="34" t="e">
        <f>ROUNDDOWN(Table16[[#This Row],[R-DEMAND]]/1320,0)</f>
        <v>#N/A</v>
      </c>
      <c r="P222" s="34" t="e">
        <f>Table16[[#This Row],[ADD ACC]]*Table16[[#This Row],[Duration]]</f>
        <v>#N/A</v>
      </c>
    </row>
    <row r="223" spans="1:16" x14ac:dyDescent="0.25">
      <c r="A223" s="54" t="s">
        <v>12656</v>
      </c>
      <c r="B223" s="34" t="s">
        <v>266</v>
      </c>
      <c r="C223" s="34" t="s">
        <v>67</v>
      </c>
      <c r="D223" s="34"/>
      <c r="E223" s="34" t="s">
        <v>542</v>
      </c>
      <c r="F223" s="34"/>
      <c r="G223" s="34" t="s">
        <v>11906</v>
      </c>
      <c r="H223" s="110">
        <v>8276</v>
      </c>
      <c r="I223" s="122">
        <v>20.5</v>
      </c>
      <c r="J223" s="111">
        <v>219770213</v>
      </c>
      <c r="K223" s="111">
        <f>IFERROR(Table16[[#This Row],[ROUTE COST]]/Table16[[#This Row],[E - DEMAND]],0)</f>
        <v>0</v>
      </c>
      <c r="L223" s="34"/>
      <c r="M223" s="34" t="e">
        <f>VLOOKUP(Table16[[#This Row],[ROUTE]],DEMAND!A:F,5,FALSE)</f>
        <v>#N/A</v>
      </c>
      <c r="N223" s="34" t="e">
        <f>VLOOKUP(Table16[[#This Row],[ROUTE]],DEMAND!A:F,6,FALSE)</f>
        <v>#N/A</v>
      </c>
      <c r="O223" s="34" t="e">
        <f>ROUNDDOWN(Table16[[#This Row],[R-DEMAND]]/1320,0)</f>
        <v>#N/A</v>
      </c>
      <c r="P223" s="34" t="e">
        <f>Table16[[#This Row],[ADD ACC]]*Table16[[#This Row],[Duration]]</f>
        <v>#N/A</v>
      </c>
    </row>
    <row r="224" spans="1:16" x14ac:dyDescent="0.25">
      <c r="A224" s="54" t="s">
        <v>12625</v>
      </c>
      <c r="B224" s="34" t="s">
        <v>5599</v>
      </c>
      <c r="C224" s="34" t="s">
        <v>2</v>
      </c>
      <c r="D224" s="34">
        <v>4</v>
      </c>
      <c r="E224" s="34" t="s">
        <v>1531</v>
      </c>
      <c r="F224" s="34"/>
      <c r="G224" s="34" t="s">
        <v>11059</v>
      </c>
      <c r="H224" s="110">
        <v>8122</v>
      </c>
      <c r="I224" s="122">
        <v>20</v>
      </c>
      <c r="J224" s="141">
        <v>216000000</v>
      </c>
      <c r="K224" s="111">
        <f>IFERROR(Table16[[#This Row],[ROUTE COST]]/Table16[[#This Row],[E - DEMAND]],0)</f>
        <v>0</v>
      </c>
      <c r="L224" s="34"/>
      <c r="M224" s="34" t="e">
        <f>VLOOKUP(Table16[[#This Row],[ROUTE]],DEMAND!A:F,5,FALSE)</f>
        <v>#N/A</v>
      </c>
      <c r="N224" s="34" t="e">
        <f>VLOOKUP(Table16[[#This Row],[ROUTE]],DEMAND!A:F,6,FALSE)</f>
        <v>#N/A</v>
      </c>
      <c r="O224" s="34" t="e">
        <f>ROUNDDOWN(Table16[[#This Row],[R-DEMAND]]/1320,0)</f>
        <v>#N/A</v>
      </c>
      <c r="P224" s="34" t="e">
        <f>Table16[[#This Row],[ADD ACC]]*Table16[[#This Row],[Duration]]</f>
        <v>#N/A</v>
      </c>
    </row>
    <row r="225" spans="1:16" x14ac:dyDescent="0.25">
      <c r="A225" s="54" t="s">
        <v>12516</v>
      </c>
      <c r="B225" s="34" t="s">
        <v>4814</v>
      </c>
      <c r="C225" s="34"/>
      <c r="D225" s="34">
        <v>3</v>
      </c>
      <c r="E225" s="34" t="s">
        <v>1654</v>
      </c>
      <c r="F225" s="34"/>
      <c r="G225" s="34" t="s">
        <v>11886</v>
      </c>
      <c r="H225" s="110">
        <v>8603</v>
      </c>
      <c r="I225" s="122">
        <v>21.25</v>
      </c>
      <c r="K225" s="111">
        <f>IFERROR(Table16[[#This Row],[ROUTE COST]]/Table16[[#This Row],[E - DEMAND]],0)</f>
        <v>0</v>
      </c>
      <c r="L225" s="34"/>
      <c r="M225" s="34" t="e">
        <f>VLOOKUP(Table16[[#This Row],[ROUTE]],DEMAND!A:F,5,FALSE)</f>
        <v>#N/A</v>
      </c>
      <c r="N225" s="34" t="e">
        <f>VLOOKUP(Table16[[#This Row],[ROUTE]],DEMAND!A:F,6,FALSE)</f>
        <v>#N/A</v>
      </c>
      <c r="O225" s="34" t="e">
        <f>ROUNDDOWN(Table16[[#This Row],[R-DEMAND]]/1320,0)</f>
        <v>#N/A</v>
      </c>
      <c r="P225" s="34" t="e">
        <f>Table16[[#This Row],[ADD ACC]]*Table16[[#This Row],[Duration]]</f>
        <v>#N/A</v>
      </c>
    </row>
    <row r="226" spans="1:16" x14ac:dyDescent="0.25">
      <c r="A226" s="54" t="s">
        <v>12518</v>
      </c>
      <c r="B226" s="34" t="s">
        <v>5317</v>
      </c>
      <c r="C226" s="34"/>
      <c r="D226" s="34">
        <v>3</v>
      </c>
      <c r="E226" s="34" t="s">
        <v>2711</v>
      </c>
      <c r="F226" s="34"/>
      <c r="G226" s="34" t="s">
        <v>11892</v>
      </c>
      <c r="H226" s="110">
        <v>8570</v>
      </c>
      <c r="I226" s="122">
        <v>21</v>
      </c>
      <c r="K226" s="111">
        <f>IFERROR(Table16[[#This Row],[ROUTE COST]]/Table16[[#This Row],[E - DEMAND]],0)</f>
        <v>0</v>
      </c>
      <c r="L226" s="34"/>
      <c r="M226" s="34" t="e">
        <f>VLOOKUP(Table16[[#This Row],[ROUTE]],DEMAND!A:F,5,FALSE)</f>
        <v>#N/A</v>
      </c>
      <c r="N226" s="34" t="e">
        <f>VLOOKUP(Table16[[#This Row],[ROUTE]],DEMAND!A:F,6,FALSE)</f>
        <v>#N/A</v>
      </c>
      <c r="O226" s="34" t="e">
        <f>ROUNDDOWN(Table16[[#This Row],[R-DEMAND]]/1320,0)</f>
        <v>#N/A</v>
      </c>
      <c r="P226" s="34" t="e">
        <f>Table16[[#This Row],[ADD ACC]]*Table16[[#This Row],[Duration]]</f>
        <v>#N/A</v>
      </c>
    </row>
    <row r="227" spans="1:16" x14ac:dyDescent="0.25">
      <c r="A227" s="54" t="s">
        <v>12541</v>
      </c>
      <c r="B227" s="34" t="s">
        <v>4725</v>
      </c>
      <c r="C227" s="34"/>
      <c r="D227" s="34">
        <v>3</v>
      </c>
      <c r="E227" s="34" t="s">
        <v>142</v>
      </c>
      <c r="F227" s="34"/>
      <c r="G227" s="34" t="s">
        <v>10855</v>
      </c>
      <c r="H227" s="110">
        <v>6263</v>
      </c>
      <c r="I227" s="122">
        <v>16</v>
      </c>
      <c r="K227" s="111">
        <f>IFERROR(Table16[[#This Row],[ROUTE COST]]/Table16[[#This Row],[E - DEMAND]],0)</f>
        <v>0</v>
      </c>
      <c r="L227" s="34"/>
      <c r="M227" s="34" t="e">
        <f>VLOOKUP(Table16[[#This Row],[ROUTE]],DEMAND!A:F,5,FALSE)</f>
        <v>#N/A</v>
      </c>
      <c r="N227" s="34" t="e">
        <f>VLOOKUP(Table16[[#This Row],[ROUTE]],DEMAND!A:F,6,FALSE)</f>
        <v>#N/A</v>
      </c>
      <c r="O227" s="34" t="e">
        <f>ROUNDDOWN(Table16[[#This Row],[R-DEMAND]]/1320,0)</f>
        <v>#N/A</v>
      </c>
      <c r="P227" s="34" t="e">
        <f>Table16[[#This Row],[ADD ACC]]*Table16[[#This Row],[Duration]]</f>
        <v>#N/A</v>
      </c>
    </row>
    <row r="228" spans="1:16" x14ac:dyDescent="0.25">
      <c r="A228" s="54" t="s">
        <v>12528</v>
      </c>
      <c r="B228" s="34" t="s">
        <v>4964</v>
      </c>
      <c r="C228" s="34"/>
      <c r="D228" s="34">
        <v>3</v>
      </c>
      <c r="E228" s="34" t="s">
        <v>502</v>
      </c>
      <c r="F228" s="34"/>
      <c r="G228" s="34" t="s">
        <v>10765</v>
      </c>
      <c r="H228" s="110">
        <v>7416</v>
      </c>
      <c r="I228" s="122">
        <v>18.5</v>
      </c>
      <c r="K228" s="111">
        <f>IFERROR(Table16[[#This Row],[ROUTE COST]]/Table16[[#This Row],[E - DEMAND]],0)</f>
        <v>0</v>
      </c>
      <c r="L228" s="34"/>
      <c r="M228" s="34" t="e">
        <f>VLOOKUP(Table16[[#This Row],[ROUTE]],DEMAND!A:F,5,FALSE)</f>
        <v>#N/A</v>
      </c>
      <c r="N228" s="34" t="e">
        <f>VLOOKUP(Table16[[#This Row],[ROUTE]],DEMAND!A:F,6,FALSE)</f>
        <v>#N/A</v>
      </c>
      <c r="O228" s="34" t="e">
        <f>ROUNDDOWN(Table16[[#This Row],[R-DEMAND]]/1320,0)</f>
        <v>#N/A</v>
      </c>
      <c r="P228" s="34" t="e">
        <f>Table16[[#This Row],[ADD ACC]]*Table16[[#This Row],[Duration]]</f>
        <v>#N/A</v>
      </c>
    </row>
    <row r="229" spans="1:16" x14ac:dyDescent="0.25">
      <c r="A229" s="54" t="s">
        <v>12536</v>
      </c>
      <c r="B229" s="34" t="s">
        <v>5002</v>
      </c>
      <c r="C229" s="34"/>
      <c r="D229" s="34">
        <v>3</v>
      </c>
      <c r="E229" s="34" t="s">
        <v>78</v>
      </c>
      <c r="F229" s="34"/>
      <c r="G229" s="34" t="s">
        <v>10740</v>
      </c>
      <c r="H229" s="110">
        <v>6963</v>
      </c>
      <c r="I229" s="122">
        <v>17.5</v>
      </c>
      <c r="K229" s="111">
        <f>IFERROR(Table16[[#This Row],[ROUTE COST]]/Table16[[#This Row],[E - DEMAND]],0)</f>
        <v>0</v>
      </c>
      <c r="L229" s="34"/>
      <c r="M229" s="34" t="e">
        <f>VLOOKUP(Table16[[#This Row],[ROUTE]],DEMAND!A:F,5,FALSE)</f>
        <v>#N/A</v>
      </c>
      <c r="N229" s="34" t="e">
        <f>VLOOKUP(Table16[[#This Row],[ROUTE]],DEMAND!A:F,6,FALSE)</f>
        <v>#N/A</v>
      </c>
      <c r="O229" s="34" t="e">
        <f>ROUNDDOWN(Table16[[#This Row],[R-DEMAND]]/1320,0)</f>
        <v>#N/A</v>
      </c>
      <c r="P229" s="34" t="e">
        <f>Table16[[#This Row],[ADD ACC]]*Table16[[#This Row],[Duration]]</f>
        <v>#N/A</v>
      </c>
    </row>
    <row r="230" spans="1:16" x14ac:dyDescent="0.25">
      <c r="A230" s="54" t="s">
        <v>12496</v>
      </c>
      <c r="B230" s="34" t="s">
        <v>5110</v>
      </c>
      <c r="C230" s="34"/>
      <c r="D230" s="34">
        <v>3</v>
      </c>
      <c r="E230" s="34" t="s">
        <v>1683</v>
      </c>
      <c r="F230" s="34"/>
      <c r="G230" s="34" t="s">
        <v>11813</v>
      </c>
      <c r="H230" s="110">
        <v>10203</v>
      </c>
      <c r="I230" s="122">
        <v>24.75</v>
      </c>
      <c r="K230" s="111">
        <f>IFERROR(Table16[[#This Row],[ROUTE COST]]/Table16[[#This Row],[E - DEMAND]],0)</f>
        <v>0</v>
      </c>
      <c r="L230" s="34"/>
      <c r="M230" s="34" t="e">
        <f>VLOOKUP(Table16[[#This Row],[ROUTE]],DEMAND!A:F,5,FALSE)</f>
        <v>#N/A</v>
      </c>
      <c r="N230" s="34" t="e">
        <f>VLOOKUP(Table16[[#This Row],[ROUTE]],DEMAND!A:F,6,FALSE)</f>
        <v>#N/A</v>
      </c>
      <c r="O230" s="34" t="e">
        <f>ROUNDDOWN(Table16[[#This Row],[R-DEMAND]]/1320,0)</f>
        <v>#N/A</v>
      </c>
      <c r="P230" s="34" t="e">
        <f>Table16[[#This Row],[ADD ACC]]*Table16[[#This Row],[Duration]]</f>
        <v>#N/A</v>
      </c>
    </row>
    <row r="231" spans="1:16" x14ac:dyDescent="0.25">
      <c r="A231" s="54" t="s">
        <v>12514</v>
      </c>
      <c r="B231" s="34" t="s">
        <v>5395</v>
      </c>
      <c r="C231" s="34"/>
      <c r="D231" s="34">
        <v>3</v>
      </c>
      <c r="E231" s="34" t="s">
        <v>5393</v>
      </c>
      <c r="F231" s="34"/>
      <c r="G231" s="34" t="s">
        <v>11877</v>
      </c>
      <c r="H231" s="110">
        <v>8679</v>
      </c>
      <c r="I231" s="122">
        <v>21.25</v>
      </c>
      <c r="K231" s="111">
        <f>IFERROR(Table16[[#This Row],[ROUTE COST]]/Table16[[#This Row],[E - DEMAND]],0)</f>
        <v>0</v>
      </c>
      <c r="L231" s="34"/>
      <c r="M231" s="34" t="e">
        <f>VLOOKUP(Table16[[#This Row],[ROUTE]],DEMAND!A:F,5,FALSE)</f>
        <v>#N/A</v>
      </c>
      <c r="N231" s="34" t="e">
        <f>VLOOKUP(Table16[[#This Row],[ROUTE]],DEMAND!A:F,6,FALSE)</f>
        <v>#N/A</v>
      </c>
      <c r="O231" s="34" t="e">
        <f>ROUNDDOWN(Table16[[#This Row],[R-DEMAND]]/1320,0)</f>
        <v>#N/A</v>
      </c>
      <c r="P231" s="34" t="e">
        <f>Table16[[#This Row],[ADD ACC]]*Table16[[#This Row],[Duration]]</f>
        <v>#N/A</v>
      </c>
    </row>
    <row r="232" spans="1:16" x14ac:dyDescent="0.25">
      <c r="A232" s="54" t="s">
        <v>12584</v>
      </c>
      <c r="B232" s="34" t="s">
        <v>417</v>
      </c>
      <c r="C232" s="34"/>
      <c r="D232" s="34">
        <v>3</v>
      </c>
      <c r="E232" s="34" t="s">
        <v>709</v>
      </c>
      <c r="F232" s="34"/>
      <c r="G232" s="34" t="s">
        <v>12105</v>
      </c>
      <c r="H232" s="110">
        <v>1699</v>
      </c>
      <c r="I232" s="122">
        <v>6</v>
      </c>
      <c r="K232" s="111">
        <f>IFERROR(Table16[[#This Row],[ROUTE COST]]/Table16[[#This Row],[E - DEMAND]],0)</f>
        <v>0</v>
      </c>
      <c r="L232" s="34"/>
      <c r="M232" s="34" t="e">
        <f>VLOOKUP(Table16[[#This Row],[ROUTE]],DEMAND!A:F,5,FALSE)</f>
        <v>#N/A</v>
      </c>
      <c r="N232" s="34" t="e">
        <f>VLOOKUP(Table16[[#This Row],[ROUTE]],DEMAND!A:F,6,FALSE)</f>
        <v>#N/A</v>
      </c>
      <c r="O232" s="34" t="e">
        <f>ROUNDDOWN(Table16[[#This Row],[R-DEMAND]]/1320,0)</f>
        <v>#N/A</v>
      </c>
      <c r="P232" s="34" t="e">
        <f>Table16[[#This Row],[ADD ACC]]*Table16[[#This Row],[Duration]]</f>
        <v>#N/A</v>
      </c>
    </row>
    <row r="233" spans="1:16" x14ac:dyDescent="0.25">
      <c r="A233" s="54" t="s">
        <v>12502</v>
      </c>
      <c r="B233" s="34" t="s">
        <v>4975</v>
      </c>
      <c r="C233" s="34"/>
      <c r="D233" s="34">
        <v>3</v>
      </c>
      <c r="E233" s="34" t="s">
        <v>1459</v>
      </c>
      <c r="F233" s="34"/>
      <c r="G233" s="34" t="s">
        <v>11842</v>
      </c>
      <c r="H233" s="110">
        <v>9590</v>
      </c>
      <c r="I233" s="122">
        <v>23.25</v>
      </c>
      <c r="K233" s="111">
        <f>IFERROR(Table16[[#This Row],[ROUTE COST]]/Table16[[#This Row],[E - DEMAND]],0)</f>
        <v>0</v>
      </c>
      <c r="L233" s="34"/>
      <c r="M233" s="34" t="e">
        <f>VLOOKUP(Table16[[#This Row],[ROUTE]],DEMAND!A:F,5,FALSE)</f>
        <v>#N/A</v>
      </c>
      <c r="N233" s="34" t="e">
        <f>VLOOKUP(Table16[[#This Row],[ROUTE]],DEMAND!A:F,6,FALSE)</f>
        <v>#N/A</v>
      </c>
      <c r="O233" s="34" t="e">
        <f>ROUNDDOWN(Table16[[#This Row],[R-DEMAND]]/1320,0)</f>
        <v>#N/A</v>
      </c>
      <c r="P233" s="34" t="e">
        <f>Table16[[#This Row],[ADD ACC]]*Table16[[#This Row],[Duration]]</f>
        <v>#N/A</v>
      </c>
    </row>
    <row r="234" spans="1:16" x14ac:dyDescent="0.25">
      <c r="A234" s="54" t="s">
        <v>12493</v>
      </c>
      <c r="B234" s="34" t="s">
        <v>5031</v>
      </c>
      <c r="C234" s="34"/>
      <c r="D234" s="34">
        <v>3</v>
      </c>
      <c r="E234" s="34" t="s">
        <v>659</v>
      </c>
      <c r="F234" s="34"/>
      <c r="G234" s="34" t="s">
        <v>11804</v>
      </c>
      <c r="H234" s="110">
        <v>10476</v>
      </c>
      <c r="I234" s="122">
        <v>25.25</v>
      </c>
      <c r="K234" s="111">
        <f>IFERROR(Table16[[#This Row],[ROUTE COST]]/Table16[[#This Row],[E - DEMAND]],0)</f>
        <v>0</v>
      </c>
      <c r="L234" s="34"/>
      <c r="M234" s="34" t="e">
        <f>VLOOKUP(Table16[[#This Row],[ROUTE]],DEMAND!A:F,5,FALSE)</f>
        <v>#N/A</v>
      </c>
      <c r="N234" s="34" t="e">
        <f>VLOOKUP(Table16[[#This Row],[ROUTE]],DEMAND!A:F,6,FALSE)</f>
        <v>#N/A</v>
      </c>
      <c r="O234" s="34" t="e">
        <f>ROUNDDOWN(Table16[[#This Row],[R-DEMAND]]/1320,0)</f>
        <v>#N/A</v>
      </c>
      <c r="P234" s="34" t="e">
        <f>Table16[[#This Row],[ADD ACC]]*Table16[[#This Row],[Duration]]</f>
        <v>#N/A</v>
      </c>
    </row>
    <row r="235" spans="1:16" x14ac:dyDescent="0.25">
      <c r="A235" s="54" t="s">
        <v>12586</v>
      </c>
      <c r="B235" s="34" t="s">
        <v>4831</v>
      </c>
      <c r="C235" s="34"/>
      <c r="D235" s="34">
        <v>3</v>
      </c>
      <c r="E235" s="34" t="s">
        <v>4829</v>
      </c>
      <c r="F235" s="34"/>
      <c r="G235" s="34" t="s">
        <v>12108</v>
      </c>
      <c r="H235" s="110">
        <v>1536</v>
      </c>
      <c r="I235" s="122">
        <v>5.5</v>
      </c>
      <c r="K235" s="111">
        <f>IFERROR(Table16[[#This Row],[ROUTE COST]]/Table16[[#This Row],[E - DEMAND]],0)</f>
        <v>0</v>
      </c>
      <c r="L235" s="34"/>
      <c r="M235" s="34" t="e">
        <f>VLOOKUP(Table16[[#This Row],[ROUTE]],DEMAND!A:F,5,FALSE)</f>
        <v>#N/A</v>
      </c>
      <c r="N235" s="34" t="e">
        <f>VLOOKUP(Table16[[#This Row],[ROUTE]],DEMAND!A:F,6,FALSE)</f>
        <v>#N/A</v>
      </c>
      <c r="O235" s="34" t="e">
        <f>ROUNDDOWN(Table16[[#This Row],[R-DEMAND]]/1320,0)</f>
        <v>#N/A</v>
      </c>
      <c r="P235" s="34" t="e">
        <f>Table16[[#This Row],[ADD ACC]]*Table16[[#This Row],[Duration]]</f>
        <v>#N/A</v>
      </c>
    </row>
    <row r="236" spans="1:16" x14ac:dyDescent="0.25">
      <c r="A236" s="54" t="s">
        <v>12581</v>
      </c>
      <c r="B236" s="34" t="s">
        <v>373</v>
      </c>
      <c r="C236" s="34"/>
      <c r="D236" s="34">
        <v>3</v>
      </c>
      <c r="E236" s="34" t="s">
        <v>717</v>
      </c>
      <c r="F236" s="34"/>
      <c r="G236" s="34" t="s">
        <v>12093</v>
      </c>
      <c r="H236" s="110">
        <v>2650</v>
      </c>
      <c r="I236" s="122">
        <v>8</v>
      </c>
      <c r="J236" s="111">
        <v>0</v>
      </c>
      <c r="K236" s="111">
        <f>IFERROR(Table16[[#This Row],[ROUTE COST]]/Table16[[#This Row],[E - DEMAND]],0)</f>
        <v>0</v>
      </c>
      <c r="L236" s="34"/>
      <c r="M236" s="34" t="e">
        <f>VLOOKUP(Table16[[#This Row],[ROUTE]],DEMAND!A:F,5,FALSE)</f>
        <v>#N/A</v>
      </c>
      <c r="N236" s="34" t="e">
        <f>VLOOKUP(Table16[[#This Row],[ROUTE]],DEMAND!A:F,6,FALSE)</f>
        <v>#N/A</v>
      </c>
      <c r="O236" s="34" t="e">
        <f>ROUNDDOWN(Table16[[#This Row],[R-DEMAND]]/1320,0)</f>
        <v>#N/A</v>
      </c>
      <c r="P236" s="34" t="e">
        <f>Table16[[#This Row],[ADD ACC]]*Table16[[#This Row],[Duration]]</f>
        <v>#N/A</v>
      </c>
    </row>
    <row r="237" spans="1:16" x14ac:dyDescent="0.25">
      <c r="A237" s="54" t="s">
        <v>12576</v>
      </c>
      <c r="B237" s="34" t="s">
        <v>5126</v>
      </c>
      <c r="C237" s="34"/>
      <c r="D237" s="34">
        <v>3</v>
      </c>
      <c r="E237" s="34" t="s">
        <v>5124</v>
      </c>
      <c r="F237" s="34"/>
      <c r="G237" s="34" t="s">
        <v>12078</v>
      </c>
      <c r="H237" s="110">
        <v>3319</v>
      </c>
      <c r="I237" s="122">
        <v>9.5</v>
      </c>
      <c r="K237" s="111">
        <f>IFERROR(Table16[[#This Row],[ROUTE COST]]/Table16[[#This Row],[E - DEMAND]],0)</f>
        <v>0</v>
      </c>
      <c r="L237" s="34"/>
      <c r="M237" s="34" t="e">
        <f>VLOOKUP(Table16[[#This Row],[ROUTE]],DEMAND!A:F,5,FALSE)</f>
        <v>#N/A</v>
      </c>
      <c r="N237" s="34" t="e">
        <f>VLOOKUP(Table16[[#This Row],[ROUTE]],DEMAND!A:F,6,FALSE)</f>
        <v>#N/A</v>
      </c>
      <c r="O237" s="34" t="e">
        <f>ROUNDDOWN(Table16[[#This Row],[R-DEMAND]]/1320,0)</f>
        <v>#N/A</v>
      </c>
      <c r="P237" s="34" t="e">
        <f>Table16[[#This Row],[ADD ACC]]*Table16[[#This Row],[Duration]]</f>
        <v>#N/A</v>
      </c>
    </row>
    <row r="238" spans="1:16" x14ac:dyDescent="0.25">
      <c r="A238" s="54" t="s">
        <v>12579</v>
      </c>
      <c r="B238" s="34" t="s">
        <v>357</v>
      </c>
      <c r="C238" s="34"/>
      <c r="D238" s="34">
        <v>3</v>
      </c>
      <c r="E238" s="34" t="s">
        <v>332</v>
      </c>
      <c r="F238" s="34"/>
      <c r="G238" s="34" t="s">
        <v>12086</v>
      </c>
      <c r="H238" s="110">
        <v>2894</v>
      </c>
      <c r="I238" s="122">
        <v>8.5</v>
      </c>
      <c r="J238" s="111">
        <v>0</v>
      </c>
      <c r="K238" s="111">
        <f>IFERROR(Table16[[#This Row],[ROUTE COST]]/Table16[[#This Row],[E - DEMAND]],0)</f>
        <v>0</v>
      </c>
      <c r="L238" s="34"/>
      <c r="M238" s="34" t="e">
        <f>VLOOKUP(Table16[[#This Row],[ROUTE]],DEMAND!A:F,5,FALSE)</f>
        <v>#N/A</v>
      </c>
      <c r="N238" s="34" t="e">
        <f>VLOOKUP(Table16[[#This Row],[ROUTE]],DEMAND!A:F,6,FALSE)</f>
        <v>#N/A</v>
      </c>
      <c r="O238" s="34" t="e">
        <f>ROUNDDOWN(Table16[[#This Row],[R-DEMAND]]/1320,0)</f>
        <v>#N/A</v>
      </c>
      <c r="P238" s="34" t="e">
        <f>Table16[[#This Row],[ADD ACC]]*Table16[[#This Row],[Duration]]</f>
        <v>#N/A</v>
      </c>
    </row>
    <row r="239" spans="1:16" x14ac:dyDescent="0.25">
      <c r="A239" s="54" t="s">
        <v>12517</v>
      </c>
      <c r="B239" s="34" t="s">
        <v>5196</v>
      </c>
      <c r="C239" s="34"/>
      <c r="D239" s="34">
        <v>3</v>
      </c>
      <c r="E239" s="34" t="s">
        <v>1654</v>
      </c>
      <c r="F239" s="34"/>
      <c r="G239" s="34" t="s">
        <v>11890</v>
      </c>
      <c r="H239" s="110">
        <v>8575</v>
      </c>
      <c r="I239" s="122">
        <v>21</v>
      </c>
      <c r="K239" s="111">
        <f>IFERROR(Table16[[#This Row],[ROUTE COST]]/Table16[[#This Row],[E - DEMAND]],0)</f>
        <v>0</v>
      </c>
      <c r="L239" s="34"/>
      <c r="M239" s="34" t="e">
        <f>VLOOKUP(Table16[[#This Row],[ROUTE]],DEMAND!A:F,5,FALSE)</f>
        <v>#N/A</v>
      </c>
      <c r="N239" s="34" t="e">
        <f>VLOOKUP(Table16[[#This Row],[ROUTE]],DEMAND!A:F,6,FALSE)</f>
        <v>#N/A</v>
      </c>
      <c r="O239" s="34" t="e">
        <f>ROUNDDOWN(Table16[[#This Row],[R-DEMAND]]/1320,0)</f>
        <v>#N/A</v>
      </c>
      <c r="P239" s="34" t="e">
        <f>Table16[[#This Row],[ADD ACC]]*Table16[[#This Row],[Duration]]</f>
        <v>#N/A</v>
      </c>
    </row>
    <row r="240" spans="1:16" x14ac:dyDescent="0.25">
      <c r="A240" s="54" t="s">
        <v>12527</v>
      </c>
      <c r="B240" s="34" t="s">
        <v>4716</v>
      </c>
      <c r="C240" s="34"/>
      <c r="D240" s="34">
        <v>3</v>
      </c>
      <c r="E240" s="34" t="s">
        <v>1516</v>
      </c>
      <c r="F240" s="34"/>
      <c r="G240" s="34" t="s">
        <v>11939</v>
      </c>
      <c r="H240" s="110">
        <v>7448</v>
      </c>
      <c r="I240" s="122">
        <v>18.5</v>
      </c>
      <c r="K240" s="111">
        <f>IFERROR(Table16[[#This Row],[ROUTE COST]]/Table16[[#This Row],[E - DEMAND]],0)</f>
        <v>0</v>
      </c>
      <c r="L240" s="34"/>
      <c r="M240" s="34" t="e">
        <f>VLOOKUP(Table16[[#This Row],[ROUTE]],DEMAND!A:F,5,FALSE)</f>
        <v>#N/A</v>
      </c>
      <c r="N240" s="34" t="e">
        <f>VLOOKUP(Table16[[#This Row],[ROUTE]],DEMAND!A:F,6,FALSE)</f>
        <v>#N/A</v>
      </c>
      <c r="O240" s="34" t="e">
        <f>ROUNDDOWN(Table16[[#This Row],[R-DEMAND]]/1320,0)</f>
        <v>#N/A</v>
      </c>
      <c r="P240" s="34" t="e">
        <f>Table16[[#This Row],[ADD ACC]]*Table16[[#This Row],[Duration]]</f>
        <v>#N/A</v>
      </c>
    </row>
    <row r="241" spans="1:16" x14ac:dyDescent="0.25">
      <c r="A241" s="54" t="s">
        <v>12533</v>
      </c>
      <c r="B241" s="34" t="s">
        <v>5260</v>
      </c>
      <c r="C241" s="34"/>
      <c r="D241" s="34">
        <v>3</v>
      </c>
      <c r="E241" s="34" t="s">
        <v>172</v>
      </c>
      <c r="F241" s="34"/>
      <c r="G241" s="34" t="s">
        <v>11951</v>
      </c>
      <c r="H241" s="110">
        <v>7113</v>
      </c>
      <c r="I241" s="122">
        <v>18</v>
      </c>
      <c r="K241" s="111">
        <f>IFERROR(Table16[[#This Row],[ROUTE COST]]/Table16[[#This Row],[E - DEMAND]],0)</f>
        <v>0</v>
      </c>
      <c r="L241" s="34"/>
      <c r="M241" s="34" t="e">
        <f>VLOOKUP(Table16[[#This Row],[ROUTE]],DEMAND!A:F,5,FALSE)</f>
        <v>#N/A</v>
      </c>
      <c r="N241" s="34" t="e">
        <f>VLOOKUP(Table16[[#This Row],[ROUTE]],DEMAND!A:F,6,FALSE)</f>
        <v>#N/A</v>
      </c>
      <c r="O241" s="34" t="e">
        <f>ROUNDDOWN(Table16[[#This Row],[R-DEMAND]]/1320,0)</f>
        <v>#N/A</v>
      </c>
      <c r="P241" s="34" t="e">
        <f>Table16[[#This Row],[ADD ACC]]*Table16[[#This Row],[Duration]]</f>
        <v>#N/A</v>
      </c>
    </row>
    <row r="242" spans="1:16" x14ac:dyDescent="0.25">
      <c r="A242" s="54" t="s">
        <v>12509</v>
      </c>
      <c r="B242" s="34" t="s">
        <v>4987</v>
      </c>
      <c r="C242" s="34"/>
      <c r="D242" s="34">
        <v>3</v>
      </c>
      <c r="E242" s="34" t="s">
        <v>722</v>
      </c>
      <c r="F242" s="34"/>
      <c r="G242" s="34" t="s">
        <v>11855</v>
      </c>
      <c r="H242" s="110">
        <v>9184</v>
      </c>
      <c r="I242" s="122">
        <v>22.5</v>
      </c>
      <c r="K242" s="111">
        <f>IFERROR(Table16[[#This Row],[ROUTE COST]]/Table16[[#This Row],[E - DEMAND]],0)</f>
        <v>0</v>
      </c>
      <c r="L242" s="34"/>
      <c r="M242" s="34" t="e">
        <f>VLOOKUP(Table16[[#This Row],[ROUTE]],DEMAND!A:F,5,FALSE)</f>
        <v>#N/A</v>
      </c>
      <c r="N242" s="34" t="e">
        <f>VLOOKUP(Table16[[#This Row],[ROUTE]],DEMAND!A:F,6,FALSE)</f>
        <v>#N/A</v>
      </c>
      <c r="O242" s="34" t="e">
        <f>ROUNDDOWN(Table16[[#This Row],[R-DEMAND]]/1320,0)</f>
        <v>#N/A</v>
      </c>
      <c r="P242" s="34" t="e">
        <f>Table16[[#This Row],[ADD ACC]]*Table16[[#This Row],[Duration]]</f>
        <v>#N/A</v>
      </c>
    </row>
    <row r="243" spans="1:16" x14ac:dyDescent="0.25">
      <c r="A243" s="54" t="s">
        <v>12519</v>
      </c>
      <c r="B243" s="34" t="s">
        <v>326</v>
      </c>
      <c r="C243" s="34"/>
      <c r="D243" s="34">
        <v>3</v>
      </c>
      <c r="E243" s="34" t="s">
        <v>926</v>
      </c>
      <c r="F243" s="34"/>
      <c r="G243" s="34" t="s">
        <v>11905</v>
      </c>
      <c r="H243" s="110">
        <v>8277</v>
      </c>
      <c r="I243" s="122">
        <v>20.5</v>
      </c>
      <c r="K243" s="111">
        <f>IFERROR(Table16[[#This Row],[ROUTE COST]]/Table16[[#This Row],[E - DEMAND]],0)</f>
        <v>0</v>
      </c>
      <c r="L243" s="34"/>
      <c r="M243" s="34" t="e">
        <f>VLOOKUP(Table16[[#This Row],[ROUTE]],DEMAND!A:F,5,FALSE)</f>
        <v>#N/A</v>
      </c>
      <c r="N243" s="34" t="e">
        <f>VLOOKUP(Table16[[#This Row],[ROUTE]],DEMAND!A:F,6,FALSE)</f>
        <v>#N/A</v>
      </c>
      <c r="O243" s="34" t="e">
        <f>ROUNDDOWN(Table16[[#This Row],[R-DEMAND]]/1320,0)</f>
        <v>#N/A</v>
      </c>
      <c r="P243" s="34" t="e">
        <f>Table16[[#This Row],[ADD ACC]]*Table16[[#This Row],[Duration]]</f>
        <v>#N/A</v>
      </c>
    </row>
    <row r="244" spans="1:16" x14ac:dyDescent="0.25">
      <c r="A244" s="54" t="s">
        <v>12582</v>
      </c>
      <c r="B244" s="34" t="s">
        <v>322</v>
      </c>
      <c r="C244" s="34"/>
      <c r="D244" s="34">
        <v>3</v>
      </c>
      <c r="E244" s="34" t="s">
        <v>717</v>
      </c>
      <c r="F244" s="34"/>
      <c r="G244" s="34" t="s">
        <v>12094</v>
      </c>
      <c r="H244" s="110">
        <v>2571</v>
      </c>
      <c r="I244" s="122">
        <v>7.75</v>
      </c>
      <c r="J244" s="111">
        <v>0</v>
      </c>
      <c r="K244" s="111">
        <f>IFERROR(Table16[[#This Row],[ROUTE COST]]/Table16[[#This Row],[E - DEMAND]],0)</f>
        <v>0</v>
      </c>
      <c r="L244" s="34"/>
      <c r="M244" s="34" t="e">
        <f>VLOOKUP(Table16[[#This Row],[ROUTE]],DEMAND!A:F,5,FALSE)</f>
        <v>#N/A</v>
      </c>
      <c r="N244" s="34" t="e">
        <f>VLOOKUP(Table16[[#This Row],[ROUTE]],DEMAND!A:F,6,FALSE)</f>
        <v>#N/A</v>
      </c>
      <c r="O244" s="34" t="e">
        <f>ROUNDDOWN(Table16[[#This Row],[R-DEMAND]]/1320,0)</f>
        <v>#N/A</v>
      </c>
      <c r="P244" s="34" t="e">
        <f>Table16[[#This Row],[ADD ACC]]*Table16[[#This Row],[Duration]]</f>
        <v>#N/A</v>
      </c>
    </row>
    <row r="245" spans="1:16" x14ac:dyDescent="0.25">
      <c r="A245" s="54" t="s">
        <v>12561</v>
      </c>
      <c r="B245" s="34" t="s">
        <v>5082</v>
      </c>
      <c r="C245" s="34"/>
      <c r="D245" s="34">
        <v>3</v>
      </c>
      <c r="E245" s="34" t="s">
        <v>5080</v>
      </c>
      <c r="F245" s="34"/>
      <c r="G245" s="34" t="s">
        <v>12038</v>
      </c>
      <c r="H245" s="110">
        <v>4743</v>
      </c>
      <c r="I245" s="122">
        <v>12.75</v>
      </c>
      <c r="K245" s="111">
        <f>IFERROR(Table16[[#This Row],[ROUTE COST]]/Table16[[#This Row],[E - DEMAND]],0)</f>
        <v>0</v>
      </c>
      <c r="L245" s="34"/>
      <c r="M245" s="34" t="e">
        <f>VLOOKUP(Table16[[#This Row],[ROUTE]],DEMAND!A:F,5,FALSE)</f>
        <v>#N/A</v>
      </c>
      <c r="N245" s="34" t="e">
        <f>VLOOKUP(Table16[[#This Row],[ROUTE]],DEMAND!A:F,6,FALSE)</f>
        <v>#N/A</v>
      </c>
      <c r="O245" s="34" t="e">
        <f>ROUNDDOWN(Table16[[#This Row],[R-DEMAND]]/1320,0)</f>
        <v>#N/A</v>
      </c>
      <c r="P245" s="34" t="e">
        <f>Table16[[#This Row],[ADD ACC]]*Table16[[#This Row],[Duration]]</f>
        <v>#N/A</v>
      </c>
    </row>
    <row r="246" spans="1:16" x14ac:dyDescent="0.25">
      <c r="A246" s="54" t="s">
        <v>12585</v>
      </c>
      <c r="B246" s="34" t="s">
        <v>284</v>
      </c>
      <c r="C246" s="34"/>
      <c r="D246" s="34">
        <v>3</v>
      </c>
      <c r="E246" s="34" t="s">
        <v>332</v>
      </c>
      <c r="F246" s="34"/>
      <c r="G246" s="34" t="s">
        <v>12106</v>
      </c>
      <c r="H246" s="110">
        <v>1610</v>
      </c>
      <c r="I246" s="122">
        <v>5.75</v>
      </c>
      <c r="K246" s="111">
        <f>IFERROR(Table16[[#This Row],[ROUTE COST]]/Table16[[#This Row],[E - DEMAND]],0)</f>
        <v>0</v>
      </c>
      <c r="L246" s="34"/>
      <c r="M246" s="34" t="e">
        <f>VLOOKUP(Table16[[#This Row],[ROUTE]],DEMAND!A:F,5,FALSE)</f>
        <v>#N/A</v>
      </c>
      <c r="N246" s="34" t="e">
        <f>VLOOKUP(Table16[[#This Row],[ROUTE]],DEMAND!A:F,6,FALSE)</f>
        <v>#N/A</v>
      </c>
      <c r="O246" s="34" t="e">
        <f>ROUNDDOWN(Table16[[#This Row],[R-DEMAND]]/1320,0)</f>
        <v>#N/A</v>
      </c>
      <c r="P246" s="34" t="e">
        <f>Table16[[#This Row],[ADD ACC]]*Table16[[#This Row],[Duration]]</f>
        <v>#N/A</v>
      </c>
    </row>
    <row r="247" spans="1:16" x14ac:dyDescent="0.25">
      <c r="A247" s="54" t="s">
        <v>12540</v>
      </c>
      <c r="B247" s="34" t="s">
        <v>5008</v>
      </c>
      <c r="C247" s="34"/>
      <c r="D247" s="34">
        <v>3</v>
      </c>
      <c r="E247" s="34" t="s">
        <v>142</v>
      </c>
      <c r="F247" s="34"/>
      <c r="G247" s="34" t="s">
        <v>9502</v>
      </c>
      <c r="H247" s="110">
        <v>6356</v>
      </c>
      <c r="I247" s="122">
        <v>16.25</v>
      </c>
      <c r="K247" s="111">
        <f>IFERROR(Table16[[#This Row],[ROUTE COST]]/Table16[[#This Row],[E - DEMAND]],0)</f>
        <v>0</v>
      </c>
      <c r="L247" s="34"/>
      <c r="M247" s="34" t="e">
        <f>VLOOKUP(Table16[[#This Row],[ROUTE]],DEMAND!A:F,5,FALSE)</f>
        <v>#N/A</v>
      </c>
      <c r="N247" s="34" t="e">
        <f>VLOOKUP(Table16[[#This Row],[ROUTE]],DEMAND!A:F,6,FALSE)</f>
        <v>#N/A</v>
      </c>
      <c r="O247" s="34" t="e">
        <f>ROUNDDOWN(Table16[[#This Row],[R-DEMAND]]/1320,0)</f>
        <v>#N/A</v>
      </c>
      <c r="P247" s="34" t="e">
        <f>Table16[[#This Row],[ADD ACC]]*Table16[[#This Row],[Duration]]</f>
        <v>#N/A</v>
      </c>
    </row>
    <row r="248" spans="1:16" x14ac:dyDescent="0.25">
      <c r="A248" s="54" t="s">
        <v>12531</v>
      </c>
      <c r="B248" s="34" t="s">
        <v>4935</v>
      </c>
      <c r="C248" s="34"/>
      <c r="D248" s="34">
        <v>3</v>
      </c>
      <c r="E248" s="34" t="s">
        <v>502</v>
      </c>
      <c r="F248" s="34"/>
      <c r="G248" s="34" t="s">
        <v>11947</v>
      </c>
      <c r="H248" s="110">
        <v>7217</v>
      </c>
      <c r="I248" s="122">
        <v>18</v>
      </c>
      <c r="K248" s="111">
        <f>IFERROR(Table16[[#This Row],[ROUTE COST]]/Table16[[#This Row],[E - DEMAND]],0)</f>
        <v>0</v>
      </c>
      <c r="L248" s="34"/>
      <c r="M248" s="34" t="e">
        <f>VLOOKUP(Table16[[#This Row],[ROUTE]],DEMAND!A:F,5,FALSE)</f>
        <v>#N/A</v>
      </c>
      <c r="N248" s="34" t="e">
        <f>VLOOKUP(Table16[[#This Row],[ROUTE]],DEMAND!A:F,6,FALSE)</f>
        <v>#N/A</v>
      </c>
      <c r="O248" s="34" t="e">
        <f>ROUNDDOWN(Table16[[#This Row],[R-DEMAND]]/1320,0)</f>
        <v>#N/A</v>
      </c>
      <c r="P248" s="34" t="e">
        <f>Table16[[#This Row],[ADD ACC]]*Table16[[#This Row],[Duration]]</f>
        <v>#N/A</v>
      </c>
    </row>
    <row r="249" spans="1:16" x14ac:dyDescent="0.25">
      <c r="A249" s="54" t="s">
        <v>12529</v>
      </c>
      <c r="B249" s="34" t="s">
        <v>5283</v>
      </c>
      <c r="C249" s="34"/>
      <c r="D249" s="34">
        <v>3</v>
      </c>
      <c r="E249" s="34" t="s">
        <v>502</v>
      </c>
      <c r="F249" s="34"/>
      <c r="G249" s="34" t="s">
        <v>11941</v>
      </c>
      <c r="H249" s="110">
        <v>7408</v>
      </c>
      <c r="I249" s="122">
        <v>18.5</v>
      </c>
      <c r="K249" s="111">
        <f>IFERROR(Table16[[#This Row],[ROUTE COST]]/Table16[[#This Row],[E - DEMAND]],0)</f>
        <v>0</v>
      </c>
      <c r="L249" s="34"/>
      <c r="M249" s="34" t="e">
        <f>VLOOKUP(Table16[[#This Row],[ROUTE]],DEMAND!A:F,5,FALSE)</f>
        <v>#N/A</v>
      </c>
      <c r="N249" s="34" t="e">
        <f>VLOOKUP(Table16[[#This Row],[ROUTE]],DEMAND!A:F,6,FALSE)</f>
        <v>#N/A</v>
      </c>
      <c r="O249" s="34" t="e">
        <f>ROUNDDOWN(Table16[[#This Row],[R-DEMAND]]/1320,0)</f>
        <v>#N/A</v>
      </c>
      <c r="P249" s="34" t="e">
        <f>Table16[[#This Row],[ADD ACC]]*Table16[[#This Row],[Duration]]</f>
        <v>#N/A</v>
      </c>
    </row>
    <row r="250" spans="1:16" x14ac:dyDescent="0.25">
      <c r="A250" s="54" t="s">
        <v>12589</v>
      </c>
      <c r="B250" s="34" t="s">
        <v>236</v>
      </c>
      <c r="C250" s="34"/>
      <c r="D250" s="34">
        <v>3</v>
      </c>
      <c r="E250" s="34" t="s">
        <v>709</v>
      </c>
      <c r="F250" s="34"/>
      <c r="G250" s="34" t="s">
        <v>12115</v>
      </c>
      <c r="H250" s="34">
        <v>925</v>
      </c>
      <c r="I250" s="122">
        <v>4.25</v>
      </c>
      <c r="K250" s="111">
        <f>IFERROR(Table16[[#This Row],[ROUTE COST]]/Table16[[#This Row],[E - DEMAND]],0)</f>
        <v>0</v>
      </c>
      <c r="L250" s="34"/>
      <c r="M250" s="34" t="e">
        <f>VLOOKUP(Table16[[#This Row],[ROUTE]],DEMAND!A:F,5,FALSE)</f>
        <v>#N/A</v>
      </c>
      <c r="N250" s="34" t="e">
        <f>VLOOKUP(Table16[[#This Row],[ROUTE]],DEMAND!A:F,6,FALSE)</f>
        <v>#N/A</v>
      </c>
      <c r="O250" s="34" t="e">
        <f>ROUNDDOWN(Table16[[#This Row],[R-DEMAND]]/1320,0)</f>
        <v>#N/A</v>
      </c>
      <c r="P250" s="34" t="e">
        <f>Table16[[#This Row],[ADD ACC]]*Table16[[#This Row],[Duration]]</f>
        <v>#N/A</v>
      </c>
    </row>
    <row r="251" spans="1:16" x14ac:dyDescent="0.25">
      <c r="A251" s="54" t="s">
        <v>12574</v>
      </c>
      <c r="B251" s="34" t="s">
        <v>5275</v>
      </c>
      <c r="C251" s="34"/>
      <c r="D251" s="34">
        <v>3</v>
      </c>
      <c r="E251" s="34" t="s">
        <v>46</v>
      </c>
      <c r="F251" s="34"/>
      <c r="G251" s="34" t="s">
        <v>12076</v>
      </c>
      <c r="H251" s="110">
        <v>3523</v>
      </c>
      <c r="I251" s="122">
        <v>10</v>
      </c>
      <c r="K251" s="111">
        <f>IFERROR(Table16[[#This Row],[ROUTE COST]]/Table16[[#This Row],[E - DEMAND]],0)</f>
        <v>0</v>
      </c>
      <c r="L251" s="34"/>
      <c r="M251" s="34" t="e">
        <f>VLOOKUP(Table16[[#This Row],[ROUTE]],DEMAND!A:F,5,FALSE)</f>
        <v>#N/A</v>
      </c>
      <c r="N251" s="34" t="e">
        <f>VLOOKUP(Table16[[#This Row],[ROUTE]],DEMAND!A:F,6,FALSE)</f>
        <v>#N/A</v>
      </c>
      <c r="O251" s="34" t="e">
        <f>ROUNDDOWN(Table16[[#This Row],[R-DEMAND]]/1320,0)</f>
        <v>#N/A</v>
      </c>
      <c r="P251" s="34" t="e">
        <f>Table16[[#This Row],[ADD ACC]]*Table16[[#This Row],[Duration]]</f>
        <v>#N/A</v>
      </c>
    </row>
    <row r="252" spans="1:16" x14ac:dyDescent="0.25">
      <c r="A252" s="54" t="s">
        <v>12553</v>
      </c>
      <c r="B252" s="34" t="s">
        <v>5187</v>
      </c>
      <c r="C252" s="34"/>
      <c r="D252" s="34">
        <v>3</v>
      </c>
      <c r="E252" s="34" t="s">
        <v>142</v>
      </c>
      <c r="F252" s="34"/>
      <c r="G252" s="34" t="s">
        <v>12024</v>
      </c>
      <c r="H252" s="110">
        <v>5031</v>
      </c>
      <c r="I252" s="122">
        <v>13.25</v>
      </c>
      <c r="K252" s="111">
        <f>IFERROR(Table16[[#This Row],[ROUTE COST]]/Table16[[#This Row],[E - DEMAND]],0)</f>
        <v>0</v>
      </c>
      <c r="L252" s="34"/>
      <c r="M252" s="34" t="e">
        <f>VLOOKUP(Table16[[#This Row],[ROUTE]],DEMAND!A:F,5,FALSE)</f>
        <v>#N/A</v>
      </c>
      <c r="N252" s="34" t="e">
        <f>VLOOKUP(Table16[[#This Row],[ROUTE]],DEMAND!A:F,6,FALSE)</f>
        <v>#N/A</v>
      </c>
      <c r="O252" s="34" t="e">
        <f>ROUNDDOWN(Table16[[#This Row],[R-DEMAND]]/1320,0)</f>
        <v>#N/A</v>
      </c>
      <c r="P252" s="34" t="e">
        <f>Table16[[#This Row],[ADD ACC]]*Table16[[#This Row],[Duration]]</f>
        <v>#N/A</v>
      </c>
    </row>
    <row r="253" spans="1:16" x14ac:dyDescent="0.25">
      <c r="A253" s="54" t="s">
        <v>12557</v>
      </c>
      <c r="B253" s="34" t="s">
        <v>5408</v>
      </c>
      <c r="C253" s="34"/>
      <c r="D253" s="34">
        <v>3</v>
      </c>
      <c r="E253" s="34" t="s">
        <v>142</v>
      </c>
      <c r="F253" s="34"/>
      <c r="G253" s="34" t="s">
        <v>12030</v>
      </c>
      <c r="H253" s="110">
        <v>4930</v>
      </c>
      <c r="I253" s="122">
        <v>13</v>
      </c>
      <c r="K253" s="111">
        <f>IFERROR(Table16[[#This Row],[ROUTE COST]]/Table16[[#This Row],[E - DEMAND]],0)</f>
        <v>0</v>
      </c>
      <c r="L253" s="34"/>
      <c r="M253" s="34" t="e">
        <f>VLOOKUP(Table16[[#This Row],[ROUTE]],DEMAND!A:F,5,FALSE)</f>
        <v>#N/A</v>
      </c>
      <c r="N253" s="34" t="e">
        <f>VLOOKUP(Table16[[#This Row],[ROUTE]],DEMAND!A:F,6,FALSE)</f>
        <v>#N/A</v>
      </c>
      <c r="O253" s="34" t="e">
        <f>ROUNDDOWN(Table16[[#This Row],[R-DEMAND]]/1320,0)</f>
        <v>#N/A</v>
      </c>
      <c r="P253" s="34" t="e">
        <f>Table16[[#This Row],[ADD ACC]]*Table16[[#This Row],[Duration]]</f>
        <v>#N/A</v>
      </c>
    </row>
    <row r="254" spans="1:16" x14ac:dyDescent="0.25">
      <c r="A254" s="54" t="s">
        <v>12564</v>
      </c>
      <c r="B254" s="34" t="s">
        <v>5037</v>
      </c>
      <c r="C254" s="34"/>
      <c r="D254" s="34">
        <v>3</v>
      </c>
      <c r="E254" s="34" t="s">
        <v>867</v>
      </c>
      <c r="F254" s="34"/>
      <c r="G254" s="34" t="s">
        <v>12049</v>
      </c>
      <c r="H254" s="110">
        <v>4403</v>
      </c>
      <c r="I254" s="122">
        <v>12</v>
      </c>
      <c r="K254" s="111">
        <f>IFERROR(Table16[[#This Row],[ROUTE COST]]/Table16[[#This Row],[E - DEMAND]],0)</f>
        <v>0</v>
      </c>
      <c r="L254" s="34"/>
      <c r="M254" s="34" t="e">
        <f>VLOOKUP(Table16[[#This Row],[ROUTE]],DEMAND!A:F,5,FALSE)</f>
        <v>#N/A</v>
      </c>
      <c r="N254" s="34" t="e">
        <f>VLOOKUP(Table16[[#This Row],[ROUTE]],DEMAND!A:F,6,FALSE)</f>
        <v>#N/A</v>
      </c>
      <c r="O254" s="34" t="e">
        <f>ROUNDDOWN(Table16[[#This Row],[R-DEMAND]]/1320,0)</f>
        <v>#N/A</v>
      </c>
      <c r="P254" s="34" t="e">
        <f>Table16[[#This Row],[ADD ACC]]*Table16[[#This Row],[Duration]]</f>
        <v>#N/A</v>
      </c>
    </row>
    <row r="255" spans="1:16" x14ac:dyDescent="0.25">
      <c r="A255" s="54" t="s">
        <v>12552</v>
      </c>
      <c r="B255" s="34" t="s">
        <v>4764</v>
      </c>
      <c r="C255" s="34"/>
      <c r="D255" s="34">
        <v>3</v>
      </c>
      <c r="E255" s="34" t="s">
        <v>258</v>
      </c>
      <c r="F255" s="34"/>
      <c r="G255" s="34" t="s">
        <v>8977</v>
      </c>
      <c r="H255" s="110">
        <v>5050</v>
      </c>
      <c r="I255" s="122">
        <v>13.25</v>
      </c>
      <c r="K255" s="111">
        <f>IFERROR(Table16[[#This Row],[ROUTE COST]]/Table16[[#This Row],[E - DEMAND]],0)</f>
        <v>0</v>
      </c>
      <c r="L255" s="34"/>
      <c r="M255" s="34" t="e">
        <f>VLOOKUP(Table16[[#This Row],[ROUTE]],DEMAND!A:F,5,FALSE)</f>
        <v>#N/A</v>
      </c>
      <c r="N255" s="34" t="e">
        <f>VLOOKUP(Table16[[#This Row],[ROUTE]],DEMAND!A:F,6,FALSE)</f>
        <v>#N/A</v>
      </c>
      <c r="O255" s="34" t="e">
        <f>ROUNDDOWN(Table16[[#This Row],[R-DEMAND]]/1320,0)</f>
        <v>#N/A</v>
      </c>
      <c r="P255" s="34" t="e">
        <f>Table16[[#This Row],[ADD ACC]]*Table16[[#This Row],[Duration]]</f>
        <v>#N/A</v>
      </c>
    </row>
    <row r="256" spans="1:16" x14ac:dyDescent="0.25">
      <c r="A256" s="54" t="s">
        <v>12480</v>
      </c>
      <c r="B256" s="34" t="s">
        <v>5051</v>
      </c>
      <c r="C256" s="34"/>
      <c r="D256" s="34">
        <v>3</v>
      </c>
      <c r="E256" s="34" t="s">
        <v>1427</v>
      </c>
      <c r="F256" s="34"/>
      <c r="G256" s="34" t="s">
        <v>11780</v>
      </c>
      <c r="H256" s="110">
        <v>10849</v>
      </c>
      <c r="I256" s="122">
        <v>26.25</v>
      </c>
      <c r="K256" s="111">
        <f>IFERROR(Table16[[#This Row],[ROUTE COST]]/Table16[[#This Row],[E - DEMAND]],0)</f>
        <v>0</v>
      </c>
      <c r="L256" s="34"/>
      <c r="M256" s="34" t="e">
        <f>VLOOKUP(Table16[[#This Row],[ROUTE]],DEMAND!A:F,5,FALSE)</f>
        <v>#N/A</v>
      </c>
      <c r="N256" s="34" t="e">
        <f>VLOOKUP(Table16[[#This Row],[ROUTE]],DEMAND!A:F,6,FALSE)</f>
        <v>#N/A</v>
      </c>
      <c r="O256" s="34" t="e">
        <f>ROUNDDOWN(Table16[[#This Row],[R-DEMAND]]/1320,0)</f>
        <v>#N/A</v>
      </c>
      <c r="P256" s="34" t="e">
        <f>Table16[[#This Row],[ADD ACC]]*Table16[[#This Row],[Duration]]</f>
        <v>#N/A</v>
      </c>
    </row>
    <row r="257" spans="1:16" x14ac:dyDescent="0.25">
      <c r="A257" s="54" t="s">
        <v>12487</v>
      </c>
      <c r="B257" s="34" t="s">
        <v>4822</v>
      </c>
      <c r="C257" s="34"/>
      <c r="D257" s="34">
        <v>3</v>
      </c>
      <c r="E257" s="34" t="s">
        <v>992</v>
      </c>
      <c r="F257" s="34"/>
      <c r="G257" s="34" t="s">
        <v>11794</v>
      </c>
      <c r="H257" s="110">
        <v>10670</v>
      </c>
      <c r="I257" s="122">
        <v>25.75</v>
      </c>
      <c r="K257" s="111">
        <f>IFERROR(Table16[[#This Row],[ROUTE COST]]/Table16[[#This Row],[E - DEMAND]],0)</f>
        <v>0</v>
      </c>
      <c r="L257" s="34"/>
      <c r="M257" s="34" t="e">
        <f>VLOOKUP(Table16[[#This Row],[ROUTE]],DEMAND!A:F,5,FALSE)</f>
        <v>#N/A</v>
      </c>
      <c r="N257" s="34" t="e">
        <f>VLOOKUP(Table16[[#This Row],[ROUTE]],DEMAND!A:F,6,FALSE)</f>
        <v>#N/A</v>
      </c>
      <c r="O257" s="34" t="e">
        <f>ROUNDDOWN(Table16[[#This Row],[R-DEMAND]]/1320,0)</f>
        <v>#N/A</v>
      </c>
      <c r="P257" s="34" t="e">
        <f>Table16[[#This Row],[ADD ACC]]*Table16[[#This Row],[Duration]]</f>
        <v>#N/A</v>
      </c>
    </row>
    <row r="258" spans="1:16" x14ac:dyDescent="0.25">
      <c r="A258" s="54" t="s">
        <v>12513</v>
      </c>
      <c r="B258" s="34" t="s">
        <v>5019</v>
      </c>
      <c r="C258" s="34"/>
      <c r="D258" s="34">
        <v>3</v>
      </c>
      <c r="E258" s="34" t="s">
        <v>1124</v>
      </c>
      <c r="F258" s="34"/>
      <c r="G258" s="34" t="s">
        <v>11872</v>
      </c>
      <c r="H258" s="110">
        <v>8717</v>
      </c>
      <c r="I258" s="122">
        <v>21.5</v>
      </c>
      <c r="K258" s="111">
        <f>IFERROR(Table16[[#This Row],[ROUTE COST]]/Table16[[#This Row],[E - DEMAND]],0)</f>
        <v>0</v>
      </c>
      <c r="L258" s="34"/>
      <c r="M258" s="34" t="e">
        <f>VLOOKUP(Table16[[#This Row],[ROUTE]],DEMAND!A:F,5,FALSE)</f>
        <v>#N/A</v>
      </c>
      <c r="N258" s="34" t="e">
        <f>VLOOKUP(Table16[[#This Row],[ROUTE]],DEMAND!A:F,6,FALSE)</f>
        <v>#N/A</v>
      </c>
      <c r="O258" s="34" t="e">
        <f>ROUNDDOWN(Table16[[#This Row],[R-DEMAND]]/1320,0)</f>
        <v>#N/A</v>
      </c>
      <c r="P258" s="34" t="e">
        <f>Table16[[#This Row],[ADD ACC]]*Table16[[#This Row],[Duration]]</f>
        <v>#N/A</v>
      </c>
    </row>
    <row r="259" spans="1:16" x14ac:dyDescent="0.25">
      <c r="A259" s="54" t="s">
        <v>12543</v>
      </c>
      <c r="B259" s="34" t="s">
        <v>180</v>
      </c>
      <c r="C259" s="34"/>
      <c r="D259" s="34">
        <v>3</v>
      </c>
      <c r="E259" s="34" t="s">
        <v>1456</v>
      </c>
      <c r="F259" s="34"/>
      <c r="G259" s="34" t="s">
        <v>11992</v>
      </c>
      <c r="H259" s="110">
        <v>6202</v>
      </c>
      <c r="I259" s="122">
        <v>15.75</v>
      </c>
      <c r="K259" s="111">
        <f>IFERROR(Table16[[#This Row],[ROUTE COST]]/Table16[[#This Row],[E - DEMAND]],0)</f>
        <v>0</v>
      </c>
      <c r="L259" s="34"/>
      <c r="M259" s="34" t="e">
        <f>VLOOKUP(Table16[[#This Row],[ROUTE]],DEMAND!A:F,5,FALSE)</f>
        <v>#N/A</v>
      </c>
      <c r="N259" s="34" t="e">
        <f>VLOOKUP(Table16[[#This Row],[ROUTE]],DEMAND!A:F,6,FALSE)</f>
        <v>#N/A</v>
      </c>
      <c r="O259" s="34" t="e">
        <f>ROUNDDOWN(Table16[[#This Row],[R-DEMAND]]/1320,0)</f>
        <v>#N/A</v>
      </c>
      <c r="P259" s="34" t="e">
        <f>Table16[[#This Row],[ADD ACC]]*Table16[[#This Row],[Duration]]</f>
        <v>#N/A</v>
      </c>
    </row>
    <row r="260" spans="1:16" x14ac:dyDescent="0.25">
      <c r="A260" s="54" t="s">
        <v>12537</v>
      </c>
      <c r="B260" s="34" t="s">
        <v>4824</v>
      </c>
      <c r="C260" s="34"/>
      <c r="D260" s="34">
        <v>3</v>
      </c>
      <c r="E260" s="34" t="s">
        <v>502</v>
      </c>
      <c r="F260" s="34"/>
      <c r="G260" s="34" t="s">
        <v>11965</v>
      </c>
      <c r="H260" s="110">
        <v>6792</v>
      </c>
      <c r="I260" s="122">
        <v>17.25</v>
      </c>
      <c r="K260" s="111">
        <f>IFERROR(Table16[[#This Row],[ROUTE COST]]/Table16[[#This Row],[E - DEMAND]],0)</f>
        <v>0</v>
      </c>
      <c r="L260" s="34"/>
      <c r="M260" s="34" t="e">
        <f>VLOOKUP(Table16[[#This Row],[ROUTE]],DEMAND!A:F,5,FALSE)</f>
        <v>#N/A</v>
      </c>
      <c r="N260" s="34" t="e">
        <f>VLOOKUP(Table16[[#This Row],[ROUTE]],DEMAND!A:F,6,FALSE)</f>
        <v>#N/A</v>
      </c>
      <c r="O260" s="34" t="e">
        <f>ROUNDDOWN(Table16[[#This Row],[R-DEMAND]]/1320,0)</f>
        <v>#N/A</v>
      </c>
      <c r="P260" s="34" t="e">
        <f>Table16[[#This Row],[ADD ACC]]*Table16[[#This Row],[Duration]]</f>
        <v>#N/A</v>
      </c>
    </row>
    <row r="261" spans="1:16" x14ac:dyDescent="0.25">
      <c r="A261" s="54" t="s">
        <v>12489</v>
      </c>
      <c r="B261" s="34" t="s">
        <v>5185</v>
      </c>
      <c r="C261" s="34"/>
      <c r="D261" s="34">
        <v>3</v>
      </c>
      <c r="E261" s="34" t="s">
        <v>5183</v>
      </c>
      <c r="F261" s="34"/>
      <c r="G261" s="34" t="s">
        <v>11797</v>
      </c>
      <c r="H261" s="110">
        <v>10604</v>
      </c>
      <c r="I261" s="122">
        <v>25.5</v>
      </c>
      <c r="K261" s="111">
        <f>IFERROR(Table16[[#This Row],[ROUTE COST]]/Table16[[#This Row],[E - DEMAND]],0)</f>
        <v>0</v>
      </c>
      <c r="L261" s="34"/>
      <c r="M261" s="34" t="e">
        <f>VLOOKUP(Table16[[#This Row],[ROUTE]],DEMAND!A:F,5,FALSE)</f>
        <v>#N/A</v>
      </c>
      <c r="N261" s="34" t="e">
        <f>VLOOKUP(Table16[[#This Row],[ROUTE]],DEMAND!A:F,6,FALSE)</f>
        <v>#N/A</v>
      </c>
      <c r="O261" s="34" t="e">
        <f>ROUNDDOWN(Table16[[#This Row],[R-DEMAND]]/1320,0)</f>
        <v>#N/A</v>
      </c>
      <c r="P261" s="34" t="e">
        <f>Table16[[#This Row],[ADD ACC]]*Table16[[#This Row],[Duration]]</f>
        <v>#N/A</v>
      </c>
    </row>
    <row r="262" spans="1:16" x14ac:dyDescent="0.25">
      <c r="A262" s="54" t="s">
        <v>12569</v>
      </c>
      <c r="B262" s="34" t="s">
        <v>154</v>
      </c>
      <c r="C262" s="34"/>
      <c r="D262" s="34">
        <v>3</v>
      </c>
      <c r="E262" s="34" t="s">
        <v>1070</v>
      </c>
      <c r="F262" s="34"/>
      <c r="G262" s="34" t="s">
        <v>12055</v>
      </c>
      <c r="H262" s="110">
        <v>4271</v>
      </c>
      <c r="I262" s="122">
        <v>11.5</v>
      </c>
      <c r="K262" s="111">
        <f>IFERROR(Table16[[#This Row],[ROUTE COST]]/Table16[[#This Row],[E - DEMAND]],0)</f>
        <v>0</v>
      </c>
      <c r="L262" s="34"/>
      <c r="M262" s="34" t="e">
        <f>VLOOKUP(Table16[[#This Row],[ROUTE]],DEMAND!A:F,5,FALSE)</f>
        <v>#N/A</v>
      </c>
      <c r="N262" s="34" t="e">
        <f>VLOOKUP(Table16[[#This Row],[ROUTE]],DEMAND!A:F,6,FALSE)</f>
        <v>#N/A</v>
      </c>
      <c r="O262" s="34" t="e">
        <f>ROUNDDOWN(Table16[[#This Row],[R-DEMAND]]/1320,0)</f>
        <v>#N/A</v>
      </c>
      <c r="P262" s="34" t="e">
        <f>Table16[[#This Row],[ADD ACC]]*Table16[[#This Row],[Duration]]</f>
        <v>#N/A</v>
      </c>
    </row>
    <row r="263" spans="1:16" x14ac:dyDescent="0.25">
      <c r="A263" s="54" t="s">
        <v>12555</v>
      </c>
      <c r="B263" s="34" t="s">
        <v>5108</v>
      </c>
      <c r="C263" s="34"/>
      <c r="D263" s="34">
        <v>3</v>
      </c>
      <c r="E263" s="34" t="s">
        <v>142</v>
      </c>
      <c r="F263" s="34"/>
      <c r="G263" s="34" t="s">
        <v>5107</v>
      </c>
      <c r="H263" s="110">
        <v>4989</v>
      </c>
      <c r="I263" s="122">
        <v>13.25</v>
      </c>
      <c r="K263" s="111">
        <f>IFERROR(Table16[[#This Row],[ROUTE COST]]/Table16[[#This Row],[E - DEMAND]],0)</f>
        <v>0</v>
      </c>
      <c r="L263" s="34"/>
      <c r="M263" s="34" t="e">
        <f>VLOOKUP(Table16[[#This Row],[ROUTE]],DEMAND!A:F,5,FALSE)</f>
        <v>#N/A</v>
      </c>
      <c r="N263" s="34" t="e">
        <f>VLOOKUP(Table16[[#This Row],[ROUTE]],DEMAND!A:F,6,FALSE)</f>
        <v>#N/A</v>
      </c>
      <c r="O263" s="34" t="e">
        <f>ROUNDDOWN(Table16[[#This Row],[R-DEMAND]]/1320,0)</f>
        <v>#N/A</v>
      </c>
      <c r="P263" s="34" t="e">
        <f>Table16[[#This Row],[ADD ACC]]*Table16[[#This Row],[Duration]]</f>
        <v>#N/A</v>
      </c>
    </row>
    <row r="264" spans="1:16" x14ac:dyDescent="0.25">
      <c r="A264" s="54" t="s">
        <v>12551</v>
      </c>
      <c r="B264" s="34" t="s">
        <v>4943</v>
      </c>
      <c r="C264" s="34"/>
      <c r="D264" s="34">
        <v>3</v>
      </c>
      <c r="E264" s="34" t="s">
        <v>142</v>
      </c>
      <c r="F264" s="34"/>
      <c r="G264" s="34" t="s">
        <v>8110</v>
      </c>
      <c r="H264" s="110">
        <v>5137</v>
      </c>
      <c r="I264" s="122">
        <v>13.5</v>
      </c>
      <c r="K264" s="111">
        <f>IFERROR(Table16[[#This Row],[ROUTE COST]]/Table16[[#This Row],[E - DEMAND]],0)</f>
        <v>0</v>
      </c>
      <c r="L264" s="34"/>
      <c r="M264" s="34" t="e">
        <f>VLOOKUP(Table16[[#This Row],[ROUTE]],DEMAND!A:F,5,FALSE)</f>
        <v>#N/A</v>
      </c>
      <c r="N264" s="34" t="e">
        <f>VLOOKUP(Table16[[#This Row],[ROUTE]],DEMAND!A:F,6,FALSE)</f>
        <v>#N/A</v>
      </c>
      <c r="O264" s="34" t="e">
        <f>ROUNDDOWN(Table16[[#This Row],[R-DEMAND]]/1320,0)</f>
        <v>#N/A</v>
      </c>
      <c r="P264" s="34" t="e">
        <f>Table16[[#This Row],[ADD ACC]]*Table16[[#This Row],[Duration]]</f>
        <v>#N/A</v>
      </c>
    </row>
    <row r="265" spans="1:16" x14ac:dyDescent="0.25">
      <c r="A265" s="54" t="s">
        <v>12500</v>
      </c>
      <c r="B265" s="34" t="s">
        <v>5358</v>
      </c>
      <c r="C265" s="34"/>
      <c r="D265" s="34">
        <v>3</v>
      </c>
      <c r="E265" s="34" t="s">
        <v>1420</v>
      </c>
      <c r="F265" s="34"/>
      <c r="G265" s="34" t="s">
        <v>11837</v>
      </c>
      <c r="H265" s="110">
        <v>9746</v>
      </c>
      <c r="I265" s="122">
        <v>23.75</v>
      </c>
      <c r="K265" s="111">
        <f>IFERROR(Table16[[#This Row],[ROUTE COST]]/Table16[[#This Row],[E - DEMAND]],0)</f>
        <v>0</v>
      </c>
      <c r="L265" s="34"/>
      <c r="M265" s="34" t="e">
        <f>VLOOKUP(Table16[[#This Row],[ROUTE]],DEMAND!A:F,5,FALSE)</f>
        <v>#N/A</v>
      </c>
      <c r="N265" s="34" t="e">
        <f>VLOOKUP(Table16[[#This Row],[ROUTE]],DEMAND!A:F,6,FALSE)</f>
        <v>#N/A</v>
      </c>
      <c r="O265" s="34" t="e">
        <f>ROUNDDOWN(Table16[[#This Row],[R-DEMAND]]/1320,0)</f>
        <v>#N/A</v>
      </c>
      <c r="P265" s="34" t="e">
        <f>Table16[[#This Row],[ADD ACC]]*Table16[[#This Row],[Duration]]</f>
        <v>#N/A</v>
      </c>
    </row>
    <row r="266" spans="1:16" x14ac:dyDescent="0.25">
      <c r="A266" s="54" t="s">
        <v>12532</v>
      </c>
      <c r="B266" s="34" t="s">
        <v>4928</v>
      </c>
      <c r="C266" s="34"/>
      <c r="D266" s="34">
        <v>3</v>
      </c>
      <c r="E266" s="34" t="s">
        <v>78</v>
      </c>
      <c r="F266" s="34"/>
      <c r="G266" s="34" t="s">
        <v>11949</v>
      </c>
      <c r="H266" s="110">
        <v>7153</v>
      </c>
      <c r="I266" s="122">
        <v>18</v>
      </c>
      <c r="K266" s="111">
        <f>IFERROR(Table16[[#This Row],[ROUTE COST]]/Table16[[#This Row],[E - DEMAND]],0)</f>
        <v>0</v>
      </c>
      <c r="L266" s="34"/>
      <c r="M266" s="34" t="e">
        <f>VLOOKUP(Table16[[#This Row],[ROUTE]],DEMAND!A:F,5,FALSE)</f>
        <v>#N/A</v>
      </c>
      <c r="N266" s="34" t="e">
        <f>VLOOKUP(Table16[[#This Row],[ROUTE]],DEMAND!A:F,6,FALSE)</f>
        <v>#N/A</v>
      </c>
      <c r="O266" s="34" t="e">
        <f>ROUNDDOWN(Table16[[#This Row],[R-DEMAND]]/1320,0)</f>
        <v>#N/A</v>
      </c>
      <c r="P266" s="34" t="e">
        <f>Table16[[#This Row],[ADD ACC]]*Table16[[#This Row],[Duration]]</f>
        <v>#N/A</v>
      </c>
    </row>
    <row r="267" spans="1:16" x14ac:dyDescent="0.25">
      <c r="A267" s="54" t="s">
        <v>12587</v>
      </c>
      <c r="B267" s="34" t="s">
        <v>128</v>
      </c>
      <c r="C267" s="34"/>
      <c r="D267" s="34">
        <v>3</v>
      </c>
      <c r="E267" s="34" t="s">
        <v>709</v>
      </c>
      <c r="F267" s="34"/>
      <c r="G267" s="34" t="s">
        <v>12109</v>
      </c>
      <c r="H267" s="110">
        <v>1454</v>
      </c>
      <c r="I267" s="122">
        <v>5.25</v>
      </c>
      <c r="K267" s="111">
        <f>IFERROR(Table16[[#This Row],[ROUTE COST]]/Table16[[#This Row],[E - DEMAND]],0)</f>
        <v>0</v>
      </c>
      <c r="L267" s="34"/>
      <c r="M267" s="34" t="e">
        <f>VLOOKUP(Table16[[#This Row],[ROUTE]],DEMAND!A:F,5,FALSE)</f>
        <v>#N/A</v>
      </c>
      <c r="N267" s="34" t="e">
        <f>VLOOKUP(Table16[[#This Row],[ROUTE]],DEMAND!A:F,6,FALSE)</f>
        <v>#N/A</v>
      </c>
      <c r="O267" s="34" t="e">
        <f>ROUNDDOWN(Table16[[#This Row],[R-DEMAND]]/1320,0)</f>
        <v>#N/A</v>
      </c>
      <c r="P267" s="34" t="e">
        <f>Table16[[#This Row],[ADD ACC]]*Table16[[#This Row],[Duration]]</f>
        <v>#N/A</v>
      </c>
    </row>
    <row r="268" spans="1:16" x14ac:dyDescent="0.25">
      <c r="A268" s="54" t="s">
        <v>12547</v>
      </c>
      <c r="B268" s="34" t="s">
        <v>4979</v>
      </c>
      <c r="C268" s="34"/>
      <c r="D268" s="34">
        <v>3</v>
      </c>
      <c r="E268" s="34" t="s">
        <v>2860</v>
      </c>
      <c r="F268" s="34"/>
      <c r="G268" s="34" t="s">
        <v>12005</v>
      </c>
      <c r="H268" s="110">
        <v>5741</v>
      </c>
      <c r="I268" s="122">
        <v>14.75</v>
      </c>
      <c r="K268" s="111">
        <f>IFERROR(Table16[[#This Row],[ROUTE COST]]/Table16[[#This Row],[E - DEMAND]],0)</f>
        <v>0</v>
      </c>
      <c r="L268" s="34"/>
      <c r="M268" s="34" t="e">
        <f>VLOOKUP(Table16[[#This Row],[ROUTE]],DEMAND!A:F,5,FALSE)</f>
        <v>#N/A</v>
      </c>
      <c r="N268" s="34" t="e">
        <f>VLOOKUP(Table16[[#This Row],[ROUTE]],DEMAND!A:F,6,FALSE)</f>
        <v>#N/A</v>
      </c>
      <c r="O268" s="34" t="e">
        <f>ROUNDDOWN(Table16[[#This Row],[R-DEMAND]]/1320,0)</f>
        <v>#N/A</v>
      </c>
      <c r="P268" s="34" t="e">
        <f>Table16[[#This Row],[ADD ACC]]*Table16[[#This Row],[Duration]]</f>
        <v>#N/A</v>
      </c>
    </row>
    <row r="269" spans="1:16" x14ac:dyDescent="0.25">
      <c r="A269" s="54" t="s">
        <v>12538</v>
      </c>
      <c r="B269" s="34" t="s">
        <v>5369</v>
      </c>
      <c r="C269" s="34"/>
      <c r="D269" s="34">
        <v>3</v>
      </c>
      <c r="E269" s="34" t="s">
        <v>1847</v>
      </c>
      <c r="F269" s="34"/>
      <c r="G269" s="34" t="s">
        <v>11977</v>
      </c>
      <c r="H269" s="110">
        <v>6538</v>
      </c>
      <c r="I269" s="122">
        <v>16.5</v>
      </c>
      <c r="K269" s="111">
        <f>IFERROR(Table16[[#This Row],[ROUTE COST]]/Table16[[#This Row],[E - DEMAND]],0)</f>
        <v>0</v>
      </c>
      <c r="L269" s="34"/>
      <c r="M269" s="34" t="e">
        <f>VLOOKUP(Table16[[#This Row],[ROUTE]],DEMAND!A:F,5,FALSE)</f>
        <v>#N/A</v>
      </c>
      <c r="N269" s="34" t="e">
        <f>VLOOKUP(Table16[[#This Row],[ROUTE]],DEMAND!A:F,6,FALSE)</f>
        <v>#N/A</v>
      </c>
      <c r="O269" s="34" t="e">
        <f>ROUNDDOWN(Table16[[#This Row],[R-DEMAND]]/1320,0)</f>
        <v>#N/A</v>
      </c>
      <c r="P269" s="34" t="e">
        <f>Table16[[#This Row],[ADD ACC]]*Table16[[#This Row],[Duration]]</f>
        <v>#N/A</v>
      </c>
    </row>
    <row r="270" spans="1:16" x14ac:dyDescent="0.25">
      <c r="A270" s="54" t="s">
        <v>12499</v>
      </c>
      <c r="B270" s="34" t="s">
        <v>5190</v>
      </c>
      <c r="C270" s="34"/>
      <c r="D270" s="34">
        <v>3</v>
      </c>
      <c r="E270" s="34" t="s">
        <v>1459</v>
      </c>
      <c r="F270" s="34"/>
      <c r="G270" s="34" t="s">
        <v>7386</v>
      </c>
      <c r="H270" s="110">
        <v>9923</v>
      </c>
      <c r="I270" s="122">
        <v>24</v>
      </c>
      <c r="K270" s="111">
        <f>IFERROR(Table16[[#This Row],[ROUTE COST]]/Table16[[#This Row],[E - DEMAND]],0)</f>
        <v>0</v>
      </c>
      <c r="L270" s="34"/>
      <c r="M270" s="34" t="e">
        <f>VLOOKUP(Table16[[#This Row],[ROUTE]],DEMAND!A:F,5,FALSE)</f>
        <v>#N/A</v>
      </c>
      <c r="N270" s="34" t="e">
        <f>VLOOKUP(Table16[[#This Row],[ROUTE]],DEMAND!A:F,6,FALSE)</f>
        <v>#N/A</v>
      </c>
      <c r="O270" s="34" t="e">
        <f>ROUNDDOWN(Table16[[#This Row],[R-DEMAND]]/1320,0)</f>
        <v>#N/A</v>
      </c>
      <c r="P270" s="34" t="e">
        <f>Table16[[#This Row],[ADD ACC]]*Table16[[#This Row],[Duration]]</f>
        <v>#N/A</v>
      </c>
    </row>
    <row r="271" spans="1:16" x14ac:dyDescent="0.25">
      <c r="A271" s="54" t="s">
        <v>12535</v>
      </c>
      <c r="B271" s="34" t="s">
        <v>5035</v>
      </c>
      <c r="C271" s="34"/>
      <c r="D271" s="34">
        <v>3</v>
      </c>
      <c r="E271" s="34" t="s">
        <v>502</v>
      </c>
      <c r="F271" s="34"/>
      <c r="G271" s="34" t="s">
        <v>11957</v>
      </c>
      <c r="H271" s="110">
        <v>6999</v>
      </c>
      <c r="I271" s="122">
        <v>17.75</v>
      </c>
      <c r="K271" s="111">
        <f>IFERROR(Table16[[#This Row],[ROUTE COST]]/Table16[[#This Row],[E - DEMAND]],0)</f>
        <v>0</v>
      </c>
      <c r="L271" s="34"/>
      <c r="M271" s="34" t="e">
        <f>VLOOKUP(Table16[[#This Row],[ROUTE]],DEMAND!A:F,5,FALSE)</f>
        <v>#N/A</v>
      </c>
      <c r="N271" s="34" t="e">
        <f>VLOOKUP(Table16[[#This Row],[ROUTE]],DEMAND!A:F,6,FALSE)</f>
        <v>#N/A</v>
      </c>
      <c r="O271" s="34" t="e">
        <f>ROUNDDOWN(Table16[[#This Row],[R-DEMAND]]/1320,0)</f>
        <v>#N/A</v>
      </c>
      <c r="P271" s="34" t="e">
        <f>Table16[[#This Row],[ADD ACC]]*Table16[[#This Row],[Duration]]</f>
        <v>#N/A</v>
      </c>
    </row>
    <row r="272" spans="1:16" x14ac:dyDescent="0.25">
      <c r="A272" s="54" t="s">
        <v>12539</v>
      </c>
      <c r="B272" s="34" t="s">
        <v>4969</v>
      </c>
      <c r="C272" s="34"/>
      <c r="D272" s="34">
        <v>3</v>
      </c>
      <c r="E272" s="34" t="s">
        <v>2764</v>
      </c>
      <c r="F272" s="34"/>
      <c r="G272" s="34" t="s">
        <v>11981</v>
      </c>
      <c r="H272" s="110">
        <v>6498</v>
      </c>
      <c r="I272" s="122">
        <v>16.5</v>
      </c>
      <c r="K272" s="111">
        <f>IFERROR(Table16[[#This Row],[ROUTE COST]]/Table16[[#This Row],[E - DEMAND]],0)</f>
        <v>0</v>
      </c>
      <c r="L272" s="34"/>
      <c r="M272" s="34" t="e">
        <f>VLOOKUP(Table16[[#This Row],[ROUTE]],DEMAND!A:F,5,FALSE)</f>
        <v>#N/A</v>
      </c>
      <c r="N272" s="34" t="e">
        <f>VLOOKUP(Table16[[#This Row],[ROUTE]],DEMAND!A:F,6,FALSE)</f>
        <v>#N/A</v>
      </c>
      <c r="O272" s="34" t="e">
        <f>ROUNDDOWN(Table16[[#This Row],[R-DEMAND]]/1320,0)</f>
        <v>#N/A</v>
      </c>
      <c r="P272" s="34" t="e">
        <f>Table16[[#This Row],[ADD ACC]]*Table16[[#This Row],[Duration]]</f>
        <v>#N/A</v>
      </c>
    </row>
    <row r="273" spans="1:16" x14ac:dyDescent="0.25">
      <c r="A273" s="54" t="s">
        <v>12544</v>
      </c>
      <c r="B273" s="34" t="s">
        <v>21</v>
      </c>
      <c r="C273" s="34"/>
      <c r="D273" s="34">
        <v>3</v>
      </c>
      <c r="E273" s="34" t="s">
        <v>78</v>
      </c>
      <c r="F273" s="34"/>
      <c r="G273" s="34" t="s">
        <v>11996</v>
      </c>
      <c r="H273" s="110">
        <v>6076</v>
      </c>
      <c r="I273" s="122">
        <v>15.5</v>
      </c>
      <c r="K273" s="111">
        <f>IFERROR(Table16[[#This Row],[ROUTE COST]]/Table16[[#This Row],[E - DEMAND]],0)</f>
        <v>0</v>
      </c>
      <c r="L273" s="34"/>
      <c r="M273" s="34" t="e">
        <f>VLOOKUP(Table16[[#This Row],[ROUTE]],DEMAND!A:F,5,FALSE)</f>
        <v>#N/A</v>
      </c>
      <c r="N273" s="34" t="e">
        <f>VLOOKUP(Table16[[#This Row],[ROUTE]],DEMAND!A:F,6,FALSE)</f>
        <v>#N/A</v>
      </c>
      <c r="O273" s="34" t="e">
        <f>ROUNDDOWN(Table16[[#This Row],[R-DEMAND]]/1320,0)</f>
        <v>#N/A</v>
      </c>
      <c r="P273" s="34" t="e">
        <f>Table16[[#This Row],[ADD ACC]]*Table16[[#This Row],[Duration]]</f>
        <v>#N/A</v>
      </c>
    </row>
    <row r="274" spans="1:16" x14ac:dyDescent="0.25">
      <c r="A274" s="54" t="s">
        <v>12627</v>
      </c>
      <c r="B274" s="34" t="s">
        <v>457</v>
      </c>
      <c r="C274" s="34"/>
      <c r="D274" s="34">
        <v>4</v>
      </c>
      <c r="E274" s="34" t="s">
        <v>2527</v>
      </c>
      <c r="F274" s="34"/>
      <c r="G274" s="34" t="s">
        <v>11119</v>
      </c>
      <c r="H274" s="110">
        <v>7707</v>
      </c>
      <c r="I274" s="122">
        <v>19.25</v>
      </c>
      <c r="K274" s="111">
        <f>IFERROR(Table16[[#This Row],[ROUTE COST]]/Table16[[#This Row],[E - DEMAND]],0)</f>
        <v>0</v>
      </c>
      <c r="L274" s="34"/>
      <c r="M274" s="34" t="e">
        <f>VLOOKUP(Table16[[#This Row],[ROUTE]],DEMAND!A:F,5,FALSE)</f>
        <v>#N/A</v>
      </c>
      <c r="N274" s="34" t="e">
        <f>VLOOKUP(Table16[[#This Row],[ROUTE]],DEMAND!A:F,6,FALSE)</f>
        <v>#N/A</v>
      </c>
      <c r="O274" s="34" t="e">
        <f>ROUNDDOWN(Table16[[#This Row],[R-DEMAND]]/1320,0)</f>
        <v>#N/A</v>
      </c>
      <c r="P274" s="34" t="e">
        <f>Table16[[#This Row],[ADD ACC]]*Table16[[#This Row],[Duration]]</f>
        <v>#N/A</v>
      </c>
    </row>
    <row r="275" spans="1:16" x14ac:dyDescent="0.25">
      <c r="A275" s="54" t="s">
        <v>12628</v>
      </c>
      <c r="B275" s="34" t="s">
        <v>454</v>
      </c>
      <c r="C275" s="34"/>
      <c r="D275" s="34">
        <v>4</v>
      </c>
      <c r="E275" s="34" t="s">
        <v>172</v>
      </c>
      <c r="F275" s="34"/>
      <c r="G275" s="34" t="s">
        <v>10941</v>
      </c>
      <c r="H275" s="110">
        <v>7522</v>
      </c>
      <c r="I275" s="122">
        <v>18.75</v>
      </c>
      <c r="K275" s="111">
        <f>IFERROR(Table16[[#This Row],[ROUTE COST]]/Table16[[#This Row],[E - DEMAND]],0)</f>
        <v>0</v>
      </c>
      <c r="L275" s="34"/>
      <c r="M275" s="34" t="e">
        <f>VLOOKUP(Table16[[#This Row],[ROUTE]],DEMAND!A:F,5,FALSE)</f>
        <v>#N/A</v>
      </c>
      <c r="N275" s="34" t="e">
        <f>VLOOKUP(Table16[[#This Row],[ROUTE]],DEMAND!A:F,6,FALSE)</f>
        <v>#N/A</v>
      </c>
      <c r="O275" s="34" t="e">
        <f>ROUNDDOWN(Table16[[#This Row],[R-DEMAND]]/1320,0)</f>
        <v>#N/A</v>
      </c>
      <c r="P275" s="34" t="e">
        <f>Table16[[#This Row],[ADD ACC]]*Table16[[#This Row],[Duration]]</f>
        <v>#N/A</v>
      </c>
    </row>
    <row r="276" spans="1:16" x14ac:dyDescent="0.25">
      <c r="A276" s="54" t="s">
        <v>12626</v>
      </c>
      <c r="B276" s="34" t="s">
        <v>5639</v>
      </c>
      <c r="C276" s="34"/>
      <c r="D276" s="34">
        <v>4</v>
      </c>
      <c r="E276" s="34" t="s">
        <v>172</v>
      </c>
      <c r="F276" s="34"/>
      <c r="G276" s="34" t="s">
        <v>11075</v>
      </c>
      <c r="H276" s="110">
        <v>7973</v>
      </c>
      <c r="I276" s="122">
        <v>19.75</v>
      </c>
      <c r="J276" s="111">
        <v>0</v>
      </c>
      <c r="K276" s="111">
        <f>IFERROR(Table16[[#This Row],[ROUTE COST]]/Table16[[#This Row],[E - DEMAND]],0)</f>
        <v>0</v>
      </c>
      <c r="L276" s="34"/>
      <c r="M276" s="34" t="e">
        <f>VLOOKUP(Table16[[#This Row],[ROUTE]],DEMAND!A:F,5,FALSE)</f>
        <v>#N/A</v>
      </c>
      <c r="N276" s="34" t="e">
        <f>VLOOKUP(Table16[[#This Row],[ROUTE]],DEMAND!A:F,6,FALSE)</f>
        <v>#N/A</v>
      </c>
      <c r="O276" s="34" t="e">
        <f>ROUNDDOWN(Table16[[#This Row],[R-DEMAND]]/1320,0)</f>
        <v>#N/A</v>
      </c>
      <c r="P276" s="34" t="e">
        <f>Table16[[#This Row],[ADD ACC]]*Table16[[#This Row],[Duration]]</f>
        <v>#N/A</v>
      </c>
    </row>
    <row r="277" spans="1:16" x14ac:dyDescent="0.25">
      <c r="A277" s="54" t="s">
        <v>11171</v>
      </c>
      <c r="B277" s="34" t="s">
        <v>113</v>
      </c>
      <c r="C277" s="34" t="s">
        <v>2</v>
      </c>
      <c r="D277" s="34">
        <v>3</v>
      </c>
      <c r="E277" s="34" t="s">
        <v>11046</v>
      </c>
      <c r="F277" s="34"/>
      <c r="G277" s="34" t="s">
        <v>12088</v>
      </c>
      <c r="H277" s="110">
        <v>2811</v>
      </c>
      <c r="I277" s="122">
        <v>8.25</v>
      </c>
      <c r="J277" s="111">
        <v>182007963</v>
      </c>
      <c r="K277" s="111">
        <f>IFERROR(Table16[[#This Row],[ROUTE COST]]/Table16[[#This Row],[E - DEMAND]],0)</f>
        <v>26516.311625874125</v>
      </c>
      <c r="L277" s="34">
        <v>6864</v>
      </c>
      <c r="M277" s="34">
        <f>VLOOKUP(Table16[[#This Row],[ROUTE]],DEMAND!A:F,5,FALSE)</f>
        <v>6941</v>
      </c>
      <c r="N277" s="34">
        <f>VLOOKUP(Table16[[#This Row],[ROUTE]],DEMAND!A:F,6,FALSE)</f>
        <v>341</v>
      </c>
      <c r="O277" s="34">
        <f>ROUNDDOWN(Table16[[#This Row],[R-DEMAND]]/1320,0)</f>
        <v>0</v>
      </c>
      <c r="P277" s="34">
        <f>Table16[[#This Row],[ADD ACC]]*Table16[[#This Row],[Duration]]</f>
        <v>0</v>
      </c>
    </row>
    <row r="278" spans="1:16" x14ac:dyDescent="0.25">
      <c r="A278" s="54" t="s">
        <v>11190</v>
      </c>
      <c r="B278" s="34" t="s">
        <v>187</v>
      </c>
      <c r="C278" s="34" t="s">
        <v>2</v>
      </c>
      <c r="D278" s="34">
        <v>4</v>
      </c>
      <c r="E278" s="34" t="s">
        <v>1070</v>
      </c>
      <c r="F278" s="34"/>
      <c r="G278" s="34" t="s">
        <v>11062</v>
      </c>
      <c r="H278" s="110">
        <v>3616</v>
      </c>
      <c r="I278" s="122">
        <v>10.25</v>
      </c>
      <c r="J278" s="111">
        <v>200640313</v>
      </c>
      <c r="K278" s="111">
        <f>IFERROR(Table16[[#This Row],[ROUTE COST]]/Table16[[#This Row],[E - DEMAND]],0)</f>
        <v>31034.851198762568</v>
      </c>
      <c r="L278" s="34">
        <v>6465</v>
      </c>
      <c r="M278" s="34">
        <f>VLOOKUP(Table16[[#This Row],[ROUTE]],DEMAND!A:F,5,FALSE)</f>
        <v>6351</v>
      </c>
      <c r="N278" s="34">
        <f>VLOOKUP(Table16[[#This Row],[ROUTE]],DEMAND!A:F,6,FALSE)</f>
        <v>1071</v>
      </c>
      <c r="O278" s="34">
        <f>ROUNDDOWN(Table16[[#This Row],[R-DEMAND]]/1320,0)</f>
        <v>0</v>
      </c>
      <c r="P278" s="34">
        <f>Table16[[#This Row],[ADD ACC]]*Table16[[#This Row],[Duration]]</f>
        <v>0</v>
      </c>
    </row>
    <row r="279" spans="1:16" x14ac:dyDescent="0.25">
      <c r="A279" s="54" t="s">
        <v>12604</v>
      </c>
      <c r="B279" s="34" t="s">
        <v>5452</v>
      </c>
      <c r="C279" s="34" t="s">
        <v>2</v>
      </c>
      <c r="D279" s="34">
        <v>4</v>
      </c>
      <c r="E279" s="34" t="s">
        <v>2059</v>
      </c>
      <c r="F279" s="34"/>
      <c r="G279" s="34" t="s">
        <v>11073</v>
      </c>
      <c r="H279" s="110">
        <v>11033</v>
      </c>
      <c r="I279" s="122">
        <v>26.5</v>
      </c>
      <c r="J279" s="141">
        <v>216000000</v>
      </c>
      <c r="K279" s="111">
        <f>IFERROR(Table16[[#This Row],[ROUTE COST]]/Table16[[#This Row],[E - DEMAND]],0)</f>
        <v>0</v>
      </c>
      <c r="L279" s="34"/>
      <c r="M279" s="34">
        <f>VLOOKUP(Table16[[#This Row],[ROUTE]],DEMAND!A:F,5,FALSE)</f>
        <v>6265</v>
      </c>
      <c r="N279" s="34">
        <f>VLOOKUP(Table16[[#This Row],[ROUTE]],DEMAND!A:F,6,FALSE)</f>
        <v>985</v>
      </c>
      <c r="O279" s="34">
        <f>ROUNDDOWN(Table16[[#This Row],[R-DEMAND]]/1320,0)</f>
        <v>0</v>
      </c>
      <c r="P279" s="34">
        <f>Table16[[#This Row],[ADD ACC]]*Table16[[#This Row],[Duration]]</f>
        <v>0</v>
      </c>
    </row>
    <row r="280" spans="1:16" x14ac:dyDescent="0.25">
      <c r="A280" s="54" t="s">
        <v>11319</v>
      </c>
      <c r="B280" s="34" t="s">
        <v>484</v>
      </c>
      <c r="C280" s="34" t="s">
        <v>2</v>
      </c>
      <c r="D280" s="34">
        <v>4</v>
      </c>
      <c r="E280" s="34" t="s">
        <v>2059</v>
      </c>
      <c r="F280" s="34"/>
      <c r="G280" s="34" t="s">
        <v>11064</v>
      </c>
      <c r="H280" s="110">
        <v>11555</v>
      </c>
      <c r="I280" s="122">
        <v>27.75</v>
      </c>
      <c r="J280" s="111">
        <v>250000000</v>
      </c>
      <c r="K280" s="111">
        <f>IFERROR(Table16[[#This Row],[ROUTE COST]]/Table16[[#This Row],[E - DEMAND]],0)</f>
        <v>38777.726074143015</v>
      </c>
      <c r="L280" s="34">
        <v>6447</v>
      </c>
      <c r="M280" s="34">
        <f>VLOOKUP(Table16[[#This Row],[ROUTE]],DEMAND!A:F,5,FALSE)</f>
        <v>6253</v>
      </c>
      <c r="N280" s="34">
        <f>VLOOKUP(Table16[[#This Row],[ROUTE]],DEMAND!A:F,6,FALSE)</f>
        <v>973</v>
      </c>
      <c r="O280" s="34">
        <f>ROUNDDOWN(Table16[[#This Row],[R-DEMAND]]/1320,0)</f>
        <v>0</v>
      </c>
      <c r="P280" s="34">
        <f>Table16[[#This Row],[ADD ACC]]*Table16[[#This Row],[Duration]]</f>
        <v>0</v>
      </c>
    </row>
    <row r="281" spans="1:16" x14ac:dyDescent="0.25">
      <c r="A281" s="54" t="s">
        <v>11296</v>
      </c>
      <c r="B281" s="34" t="s">
        <v>343</v>
      </c>
      <c r="C281" s="34" t="s">
        <v>2</v>
      </c>
      <c r="D281" s="34">
        <v>3</v>
      </c>
      <c r="E281" s="34" t="s">
        <v>1710</v>
      </c>
      <c r="F281" s="34"/>
      <c r="G281" s="34" t="s">
        <v>12070</v>
      </c>
      <c r="H281" s="110">
        <v>3771</v>
      </c>
      <c r="I281" s="122">
        <v>10.5</v>
      </c>
      <c r="J281" s="141">
        <v>216000000</v>
      </c>
      <c r="K281" s="111">
        <f>IFERROR(Table16[[#This Row],[ROUTE COST]]/Table16[[#This Row],[E - DEMAND]],0)</f>
        <v>35844.673083305679</v>
      </c>
      <c r="L281" s="34">
        <v>6026</v>
      </c>
      <c r="M281" s="34">
        <f>VLOOKUP(Table16[[#This Row],[ROUTE]],DEMAND!A:F,5,FALSE)</f>
        <v>6106</v>
      </c>
      <c r="N281" s="34">
        <f>VLOOKUP(Table16[[#This Row],[ROUTE]],DEMAND!A:F,6,FALSE)</f>
        <v>826</v>
      </c>
      <c r="O281" s="34">
        <f>ROUNDDOWN(Table16[[#This Row],[R-DEMAND]]/1320,0)</f>
        <v>0</v>
      </c>
      <c r="P281" s="34">
        <f>Table16[[#This Row],[ADD ACC]]*Table16[[#This Row],[Duration]]</f>
        <v>0</v>
      </c>
    </row>
    <row r="282" spans="1:16" x14ac:dyDescent="0.25">
      <c r="A282" s="54" t="s">
        <v>11360</v>
      </c>
      <c r="B282" s="34" t="s">
        <v>339</v>
      </c>
      <c r="C282" s="34" t="s">
        <v>2</v>
      </c>
      <c r="D282" s="34">
        <v>5</v>
      </c>
      <c r="E282" s="34" t="s">
        <v>1070</v>
      </c>
      <c r="F282" s="34"/>
      <c r="G282" s="34" t="s">
        <v>12027</v>
      </c>
      <c r="H282" s="110">
        <v>4991</v>
      </c>
      <c r="I282" s="122">
        <v>13.25</v>
      </c>
      <c r="J282" s="141">
        <v>216000000</v>
      </c>
      <c r="K282" s="111">
        <f>IFERROR(Table16[[#This Row],[ROUTE COST]]/Table16[[#This Row],[E - DEMAND]],0)</f>
        <v>36345.280161534582</v>
      </c>
      <c r="L282" s="34">
        <v>5943</v>
      </c>
      <c r="M282" s="34">
        <f>VLOOKUP(Table16[[#This Row],[ROUTE]],DEMAND!A:F,5,FALSE)</f>
        <v>6025</v>
      </c>
      <c r="N282" s="34">
        <f>VLOOKUP(Table16[[#This Row],[ROUTE]],DEMAND!A:F,6,FALSE)</f>
        <v>-575</v>
      </c>
      <c r="O282" s="34">
        <f>ROUNDDOWN(Table16[[#This Row],[R-DEMAND]]/1320,0)</f>
        <v>0</v>
      </c>
      <c r="P282" s="34">
        <f>Table16[[#This Row],[ADD ACC]]*Table16[[#This Row],[Duration]]</f>
        <v>0</v>
      </c>
    </row>
    <row r="283" spans="1:16" x14ac:dyDescent="0.25">
      <c r="A283" s="54" t="s">
        <v>12465</v>
      </c>
      <c r="B283" s="34" t="s">
        <v>5267</v>
      </c>
      <c r="C283" s="34" t="s">
        <v>2</v>
      </c>
      <c r="D283" s="34">
        <v>3</v>
      </c>
      <c r="E283" s="34" t="s">
        <v>2059</v>
      </c>
      <c r="F283" s="34"/>
      <c r="G283" s="34" t="s">
        <v>11753</v>
      </c>
      <c r="H283" s="110">
        <v>11144</v>
      </c>
      <c r="I283" s="122">
        <v>26.75</v>
      </c>
      <c r="J283" s="111">
        <v>263940626</v>
      </c>
      <c r="K283" s="111">
        <f>IFERROR(Table16[[#This Row],[ROUTE COST]]/Table16[[#This Row],[E - DEMAND]],0)</f>
        <v>43865.817849426625</v>
      </c>
      <c r="L283" s="34">
        <v>6017</v>
      </c>
      <c r="M283" s="34">
        <f>VLOOKUP(Table16[[#This Row],[ROUTE]],DEMAND!A:F,5,FALSE)</f>
        <v>6019</v>
      </c>
      <c r="N283" s="34">
        <f>VLOOKUP(Table16[[#This Row],[ROUTE]],DEMAND!A:F,6,FALSE)</f>
        <v>739</v>
      </c>
      <c r="O283" s="34">
        <f>ROUNDDOWN(Table16[[#This Row],[R-DEMAND]]/1320,0)</f>
        <v>0</v>
      </c>
      <c r="P283" s="34">
        <f>Table16[[#This Row],[ADD ACC]]*Table16[[#This Row],[Duration]]</f>
        <v>0</v>
      </c>
    </row>
    <row r="284" spans="1:16" x14ac:dyDescent="0.25">
      <c r="A284" s="54" t="s">
        <v>11175</v>
      </c>
      <c r="B284" s="34" t="s">
        <v>414</v>
      </c>
      <c r="C284" s="34" t="s">
        <v>2</v>
      </c>
      <c r="D284" s="34">
        <v>4</v>
      </c>
      <c r="E284" s="34" t="s">
        <v>1070</v>
      </c>
      <c r="F284" s="34"/>
      <c r="G284" s="34" t="s">
        <v>12064</v>
      </c>
      <c r="H284" s="110">
        <v>3853</v>
      </c>
      <c r="I284" s="122">
        <v>10.75</v>
      </c>
      <c r="J284" s="141">
        <v>216000000</v>
      </c>
      <c r="K284" s="111">
        <f>IFERROR(Table16[[#This Row],[ROUTE COST]]/Table16[[#This Row],[E - DEMAND]],0)</f>
        <v>36418.816388467378</v>
      </c>
      <c r="L284" s="34">
        <v>5931</v>
      </c>
      <c r="M284" s="34">
        <f>VLOOKUP(Table16[[#This Row],[ROUTE]],DEMAND!A:F,5,FALSE)</f>
        <v>6010</v>
      </c>
      <c r="N284" s="34">
        <f>VLOOKUP(Table16[[#This Row],[ROUTE]],DEMAND!A:F,6,FALSE)</f>
        <v>730</v>
      </c>
      <c r="O284" s="34">
        <f>ROUNDDOWN(Table16[[#This Row],[R-DEMAND]]/1320,0)</f>
        <v>0</v>
      </c>
      <c r="P284" s="34">
        <f>Table16[[#This Row],[ADD ACC]]*Table16[[#This Row],[Duration]]</f>
        <v>0</v>
      </c>
    </row>
    <row r="285" spans="1:16" x14ac:dyDescent="0.25">
      <c r="A285" s="54" t="s">
        <v>12573</v>
      </c>
      <c r="B285" s="34" t="s">
        <v>368</v>
      </c>
      <c r="C285" s="34" t="s">
        <v>2</v>
      </c>
      <c r="D285" s="34">
        <v>3</v>
      </c>
      <c r="E285" s="34" t="s">
        <v>1710</v>
      </c>
      <c r="F285" s="34"/>
      <c r="G285" s="34" t="s">
        <v>12075</v>
      </c>
      <c r="H285" s="110">
        <v>3545</v>
      </c>
      <c r="I285" s="122">
        <v>10</v>
      </c>
      <c r="J285" s="111">
        <v>186949959</v>
      </c>
      <c r="K285" s="111">
        <f>IFERROR(Table16[[#This Row],[ROUTE COST]]/Table16[[#This Row],[E - DEMAND]],0)</f>
        <v>31241.637533422461</v>
      </c>
      <c r="L285" s="34">
        <v>5984</v>
      </c>
      <c r="M285" s="34">
        <f>VLOOKUP(Table16[[#This Row],[ROUTE]],DEMAND!A:F,5,FALSE)</f>
        <v>5986</v>
      </c>
      <c r="N285" s="34">
        <f>VLOOKUP(Table16[[#This Row],[ROUTE]],DEMAND!A:F,6,FALSE)</f>
        <v>706</v>
      </c>
      <c r="O285" s="34">
        <f>ROUNDDOWN(Table16[[#This Row],[R-DEMAND]]/1320,0)</f>
        <v>0</v>
      </c>
      <c r="P285" s="34">
        <f>Table16[[#This Row],[ADD ACC]]*Table16[[#This Row],[Duration]]</f>
        <v>0</v>
      </c>
    </row>
    <row r="286" spans="1:16" x14ac:dyDescent="0.25">
      <c r="A286" s="54" t="s">
        <v>11234</v>
      </c>
      <c r="B286" s="34" t="s">
        <v>277</v>
      </c>
      <c r="C286" s="34" t="s">
        <v>2</v>
      </c>
      <c r="D286" s="34">
        <v>5</v>
      </c>
      <c r="E286" s="34" t="s">
        <v>14</v>
      </c>
      <c r="F286" s="34"/>
      <c r="G286" s="34" t="s">
        <v>11081</v>
      </c>
      <c r="H286" s="110">
        <v>3259</v>
      </c>
      <c r="I286" s="122">
        <v>9.25</v>
      </c>
      <c r="J286" s="111">
        <v>218711930</v>
      </c>
      <c r="K286" s="111">
        <f>IFERROR(Table16[[#This Row],[ROUTE COST]]/Table16[[#This Row],[E - DEMAND]],0)</f>
        <v>37038.430143945807</v>
      </c>
      <c r="L286" s="34">
        <v>5905</v>
      </c>
      <c r="M286" s="34">
        <f>VLOOKUP(Table16[[#This Row],[ROUTE]],DEMAND!A:F,5,FALSE)</f>
        <v>5977</v>
      </c>
      <c r="N286" s="34">
        <f>VLOOKUP(Table16[[#This Row],[ROUTE]],DEMAND!A:F,6,FALSE)</f>
        <v>697</v>
      </c>
      <c r="O286" s="34">
        <f>ROUNDDOWN(Table16[[#This Row],[R-DEMAND]]/1320,0)</f>
        <v>0</v>
      </c>
      <c r="P286" s="34">
        <f>Table16[[#This Row],[ADD ACC]]*Table16[[#This Row],[Duration]]</f>
        <v>0</v>
      </c>
    </row>
    <row r="287" spans="1:16" x14ac:dyDescent="0.25">
      <c r="A287" s="54" t="s">
        <v>11198</v>
      </c>
      <c r="B287" s="34" t="s">
        <v>263</v>
      </c>
      <c r="C287" s="34" t="s">
        <v>2</v>
      </c>
      <c r="D287" s="34">
        <v>4</v>
      </c>
      <c r="E287" s="34" t="s">
        <v>1070</v>
      </c>
      <c r="F287" s="34"/>
      <c r="G287" s="34" t="s">
        <v>11078</v>
      </c>
      <c r="H287" s="110">
        <v>4046</v>
      </c>
      <c r="I287" s="122">
        <v>11</v>
      </c>
      <c r="J287" s="111">
        <v>198909651</v>
      </c>
      <c r="K287" s="111">
        <f>IFERROR(Table16[[#This Row],[ROUTE COST]]/Table16[[#This Row],[E - DEMAND]],0)</f>
        <v>33845.44002041858</v>
      </c>
      <c r="L287" s="34">
        <v>5877</v>
      </c>
      <c r="M287" s="34">
        <f>VLOOKUP(Table16[[#This Row],[ROUTE]],DEMAND!A:F,5,FALSE)</f>
        <v>5931</v>
      </c>
      <c r="N287" s="34">
        <f>VLOOKUP(Table16[[#This Row],[ROUTE]],DEMAND!A:F,6,FALSE)</f>
        <v>651</v>
      </c>
      <c r="O287" s="34">
        <f>ROUNDDOWN(Table16[[#This Row],[R-DEMAND]]/1320,0)</f>
        <v>0</v>
      </c>
      <c r="P287" s="34">
        <f>Table16[[#This Row],[ADD ACC]]*Table16[[#This Row],[Duration]]</f>
        <v>0</v>
      </c>
    </row>
    <row r="288" spans="1:16" x14ac:dyDescent="0.25">
      <c r="A288" s="54" t="s">
        <v>11173</v>
      </c>
      <c r="B288" s="34" t="s">
        <v>378</v>
      </c>
      <c r="C288" s="34" t="s">
        <v>2</v>
      </c>
      <c r="D288" s="34">
        <v>4</v>
      </c>
      <c r="E288" s="34" t="s">
        <v>1070</v>
      </c>
      <c r="F288" s="34"/>
      <c r="G288" s="34" t="s">
        <v>12071</v>
      </c>
      <c r="H288" s="110">
        <v>3764</v>
      </c>
      <c r="I288" s="122">
        <v>10.5</v>
      </c>
      <c r="J288" s="141">
        <v>216000000</v>
      </c>
      <c r="K288" s="111">
        <f>IFERROR(Table16[[#This Row],[ROUTE COST]]/Table16[[#This Row],[E - DEMAND]],0)</f>
        <v>37049.742710120066</v>
      </c>
      <c r="L288" s="34">
        <v>5830</v>
      </c>
      <c r="M288" s="34">
        <f>VLOOKUP(Table16[[#This Row],[ROUTE]],DEMAND!A:F,5,FALSE)</f>
        <v>5907</v>
      </c>
      <c r="N288" s="34">
        <f>VLOOKUP(Table16[[#This Row],[ROUTE]],DEMAND!A:F,6,FALSE)</f>
        <v>627</v>
      </c>
      <c r="O288" s="34">
        <f>ROUNDDOWN(Table16[[#This Row],[R-DEMAND]]/1320,0)</f>
        <v>0</v>
      </c>
      <c r="P288" s="34">
        <f>Table16[[#This Row],[ADD ACC]]*Table16[[#This Row],[Duration]]</f>
        <v>0</v>
      </c>
    </row>
    <row r="289" spans="1:16" x14ac:dyDescent="0.25">
      <c r="A289" s="54" t="s">
        <v>12281</v>
      </c>
      <c r="B289" s="34" t="s">
        <v>4088</v>
      </c>
      <c r="C289" s="34" t="s">
        <v>2</v>
      </c>
      <c r="D289" s="34">
        <v>2</v>
      </c>
      <c r="E289" s="34" t="s">
        <v>11823</v>
      </c>
      <c r="F289" s="34"/>
      <c r="G289" s="34" t="s">
        <v>11824</v>
      </c>
      <c r="H289" s="110">
        <v>10091</v>
      </c>
      <c r="I289" s="122">
        <v>24.5</v>
      </c>
      <c r="J289" s="111">
        <v>239104654</v>
      </c>
      <c r="K289" s="111">
        <f>IFERROR(Table16[[#This Row],[ROUTE COST]]/Table16[[#This Row],[E - DEMAND]],0)</f>
        <v>40546.829574359843</v>
      </c>
      <c r="L289" s="34">
        <v>5897</v>
      </c>
      <c r="M289" s="34">
        <f>VLOOKUP(Table16[[#This Row],[ROUTE]],DEMAND!A:F,5,FALSE)</f>
        <v>5902</v>
      </c>
      <c r="N289" s="34">
        <f>VLOOKUP(Table16[[#This Row],[ROUTE]],DEMAND!A:F,6,FALSE)</f>
        <v>622</v>
      </c>
      <c r="O289" s="34">
        <f>ROUNDDOWN(Table16[[#This Row],[R-DEMAND]]/1320,0)</f>
        <v>0</v>
      </c>
      <c r="P289" s="34">
        <f>Table16[[#This Row],[ADD ACC]]*Table16[[#This Row],[Duration]]</f>
        <v>0</v>
      </c>
    </row>
    <row r="290" spans="1:16" x14ac:dyDescent="0.25">
      <c r="A290" s="54" t="s">
        <v>11233</v>
      </c>
      <c r="B290" s="34" t="s">
        <v>385</v>
      </c>
      <c r="C290" s="34" t="s">
        <v>2</v>
      </c>
      <c r="D290" s="34">
        <v>5</v>
      </c>
      <c r="E290" s="34" t="s">
        <v>14</v>
      </c>
      <c r="F290" s="34"/>
      <c r="G290" s="34" t="s">
        <v>384</v>
      </c>
      <c r="H290" s="110">
        <v>3361</v>
      </c>
      <c r="I290" s="122">
        <v>9.5</v>
      </c>
      <c r="J290" s="111">
        <v>216749110</v>
      </c>
      <c r="K290" s="111">
        <f>IFERROR(Table16[[#This Row],[ROUTE COST]]/Table16[[#This Row],[E - DEMAND]],0)</f>
        <v>37364.094121703158</v>
      </c>
      <c r="L290" s="34">
        <v>5801</v>
      </c>
      <c r="M290" s="34">
        <f>VLOOKUP(Table16[[#This Row],[ROUTE]],DEMAND!A:F,5,FALSE)</f>
        <v>5870</v>
      </c>
      <c r="N290" s="34">
        <f>VLOOKUP(Table16[[#This Row],[ROUTE]],DEMAND!A:F,6,FALSE)</f>
        <v>-730</v>
      </c>
      <c r="O290" s="34">
        <f>ROUNDDOWN(Table16[[#This Row],[R-DEMAND]]/1320,0)</f>
        <v>0</v>
      </c>
      <c r="P290" s="34">
        <f>Table16[[#This Row],[ADD ACC]]*Table16[[#This Row],[Duration]]</f>
        <v>0</v>
      </c>
    </row>
    <row r="291" spans="1:16" x14ac:dyDescent="0.25">
      <c r="A291" s="54" t="s">
        <v>12233</v>
      </c>
      <c r="B291" s="34" t="s">
        <v>3081</v>
      </c>
      <c r="C291" s="34" t="s">
        <v>2</v>
      </c>
      <c r="D291" s="34">
        <v>2</v>
      </c>
      <c r="E291" s="34" t="s">
        <v>3079</v>
      </c>
      <c r="F291" s="34"/>
      <c r="G291" s="34" t="s">
        <v>11713</v>
      </c>
      <c r="H291" s="110">
        <v>11731</v>
      </c>
      <c r="I291" s="122">
        <v>28</v>
      </c>
      <c r="K291" s="111">
        <f>IFERROR(Table16[[#This Row],[ROUTE COST]]/Table16[[#This Row],[E - DEMAND]],0)</f>
        <v>0</v>
      </c>
      <c r="L291" s="34"/>
      <c r="M291" s="34">
        <f>VLOOKUP(Table16[[#This Row],[ROUTE]],DEMAND!A:F,5,FALSE)</f>
        <v>5804</v>
      </c>
      <c r="N291" s="34">
        <f>VLOOKUP(Table16[[#This Row],[ROUTE]],DEMAND!A:F,6,FALSE)</f>
        <v>524</v>
      </c>
      <c r="O291" s="34">
        <f>ROUNDDOWN(Table16[[#This Row],[R-DEMAND]]/1320,0)</f>
        <v>0</v>
      </c>
      <c r="P291" s="34">
        <f>Table16[[#This Row],[ADD ACC]]*Table16[[#This Row],[Duration]]</f>
        <v>0</v>
      </c>
    </row>
    <row r="292" spans="1:16" x14ac:dyDescent="0.25">
      <c r="A292" s="54" t="s">
        <v>11333</v>
      </c>
      <c r="B292" s="34" t="s">
        <v>406</v>
      </c>
      <c r="C292" s="34" t="s">
        <v>2</v>
      </c>
      <c r="D292" s="34">
        <v>5</v>
      </c>
      <c r="E292" s="34" t="s">
        <v>1070</v>
      </c>
      <c r="F292" s="34"/>
      <c r="G292" s="34" t="s">
        <v>12040</v>
      </c>
      <c r="H292" s="110">
        <v>4644</v>
      </c>
      <c r="I292" s="122">
        <v>12.5</v>
      </c>
      <c r="J292" s="141">
        <v>216000000</v>
      </c>
      <c r="K292" s="111">
        <f>IFERROR(Table16[[#This Row],[ROUTE COST]]/Table16[[#This Row],[E - DEMAND]],0)</f>
        <v>36468.00607800101</v>
      </c>
      <c r="L292" s="34">
        <v>5923</v>
      </c>
      <c r="M292" s="34">
        <f>VLOOKUP(Table16[[#This Row],[ROUTE]],DEMAND!A:F,5,FALSE)</f>
        <v>5732</v>
      </c>
      <c r="N292" s="34">
        <f>VLOOKUP(Table16[[#This Row],[ROUTE]],DEMAND!A:F,6,FALSE)</f>
        <v>452</v>
      </c>
      <c r="O292" s="34">
        <f>ROUNDDOWN(Table16[[#This Row],[R-DEMAND]]/1320,0)</f>
        <v>0</v>
      </c>
      <c r="P292" s="34">
        <f>Table16[[#This Row],[ADD ACC]]*Table16[[#This Row],[Duration]]</f>
        <v>0</v>
      </c>
    </row>
    <row r="293" spans="1:16" x14ac:dyDescent="0.25">
      <c r="A293" s="54" t="s">
        <v>12209</v>
      </c>
      <c r="B293" s="34" t="s">
        <v>3148</v>
      </c>
      <c r="C293" s="34" t="s">
        <v>2</v>
      </c>
      <c r="D293" s="34">
        <v>2</v>
      </c>
      <c r="E293" s="34" t="s">
        <v>3146</v>
      </c>
      <c r="F293" s="34"/>
      <c r="G293" s="34" t="s">
        <v>11668</v>
      </c>
      <c r="H293" s="110">
        <v>13386</v>
      </c>
      <c r="I293" s="122">
        <v>31.75</v>
      </c>
      <c r="K293" s="111">
        <f>IFERROR(Table16[[#This Row],[ROUTE COST]]/Table16[[#This Row],[E - DEMAND]],0)</f>
        <v>0</v>
      </c>
      <c r="L293" s="34"/>
      <c r="M293" s="34">
        <f>VLOOKUP(Table16[[#This Row],[ROUTE]],DEMAND!A:F,5,FALSE)</f>
        <v>5721</v>
      </c>
      <c r="N293" s="34">
        <f>VLOOKUP(Table16[[#This Row],[ROUTE]],DEMAND!A:F,6,FALSE)</f>
        <v>441</v>
      </c>
      <c r="O293" s="34">
        <f>ROUNDDOWN(Table16[[#This Row],[R-DEMAND]]/1320,0)</f>
        <v>0</v>
      </c>
      <c r="P293" s="34">
        <f>Table16[[#This Row],[ADD ACC]]*Table16[[#This Row],[Duration]]</f>
        <v>0</v>
      </c>
    </row>
    <row r="294" spans="1:16" x14ac:dyDescent="0.25">
      <c r="A294" s="54" t="s">
        <v>12223</v>
      </c>
      <c r="B294" s="34" t="s">
        <v>3515</v>
      </c>
      <c r="C294" s="34" t="s">
        <v>2</v>
      </c>
      <c r="D294" s="34">
        <v>2</v>
      </c>
      <c r="E294" s="34" t="s">
        <v>761</v>
      </c>
      <c r="F294" s="34"/>
      <c r="G294" s="34" t="s">
        <v>8016</v>
      </c>
      <c r="H294" s="110">
        <v>12124</v>
      </c>
      <c r="I294" s="122">
        <v>29</v>
      </c>
      <c r="K294" s="111">
        <f>IFERROR(Table16[[#This Row],[ROUTE COST]]/Table16[[#This Row],[E - DEMAND]],0)</f>
        <v>0</v>
      </c>
      <c r="L294" s="34"/>
      <c r="M294" s="34">
        <f>VLOOKUP(Table16[[#This Row],[ROUTE]],DEMAND!A:F,5,FALSE)</f>
        <v>5677</v>
      </c>
      <c r="N294" s="34">
        <f>VLOOKUP(Table16[[#This Row],[ROUTE]],DEMAND!A:F,6,FALSE)</f>
        <v>397</v>
      </c>
      <c r="O294" s="34">
        <f>ROUNDDOWN(Table16[[#This Row],[R-DEMAND]]/1320,0)</f>
        <v>0</v>
      </c>
      <c r="P294" s="34">
        <f>Table16[[#This Row],[ADD ACC]]*Table16[[#This Row],[Duration]]</f>
        <v>0</v>
      </c>
    </row>
    <row r="295" spans="1:16" x14ac:dyDescent="0.25">
      <c r="A295" s="54" t="s">
        <v>11365</v>
      </c>
      <c r="B295" s="34" t="s">
        <v>419</v>
      </c>
      <c r="C295" s="34" t="s">
        <v>2</v>
      </c>
      <c r="D295" s="34">
        <v>4</v>
      </c>
      <c r="E295" s="34" t="s">
        <v>197</v>
      </c>
      <c r="F295" s="34"/>
      <c r="G295" s="34" t="s">
        <v>418</v>
      </c>
      <c r="H295" s="110">
        <v>5432</v>
      </c>
      <c r="I295" s="122">
        <v>14.25</v>
      </c>
      <c r="J295" s="111">
        <v>216623647</v>
      </c>
      <c r="K295" s="111">
        <f>IFERROR(Table16[[#This Row],[ROUTE COST]]/Table16[[#This Row],[E - DEMAND]],0)</f>
        <v>38710.44442458899</v>
      </c>
      <c r="L295" s="34">
        <v>5596</v>
      </c>
      <c r="M295" s="34">
        <f>VLOOKUP(Table16[[#This Row],[ROUTE]],DEMAND!A:F,5,FALSE)</f>
        <v>5674</v>
      </c>
      <c r="N295" s="34">
        <f>VLOOKUP(Table16[[#This Row],[ROUTE]],DEMAND!A:F,6,FALSE)</f>
        <v>394</v>
      </c>
      <c r="O295" s="34">
        <f>ROUNDDOWN(Table16[[#This Row],[R-DEMAND]]/1320,0)</f>
        <v>0</v>
      </c>
      <c r="P295" s="34">
        <f>Table16[[#This Row],[ADD ACC]]*Table16[[#This Row],[Duration]]</f>
        <v>0</v>
      </c>
    </row>
    <row r="296" spans="1:16" x14ac:dyDescent="0.25">
      <c r="A296" s="54" t="s">
        <v>11188</v>
      </c>
      <c r="B296" s="34" t="s">
        <v>300</v>
      </c>
      <c r="C296" s="34" t="s">
        <v>2</v>
      </c>
      <c r="D296" s="34">
        <v>3</v>
      </c>
      <c r="E296" s="34" t="s">
        <v>1070</v>
      </c>
      <c r="F296" s="34"/>
      <c r="G296" s="34" t="s">
        <v>12052</v>
      </c>
      <c r="H296" s="110">
        <v>4336</v>
      </c>
      <c r="I296" s="122">
        <v>11.75</v>
      </c>
      <c r="J296" s="111">
        <v>191428566</v>
      </c>
      <c r="K296" s="111">
        <f>IFERROR(Table16[[#This Row],[ROUTE COST]]/Table16[[#This Row],[E - DEMAND]],0)</f>
        <v>34031.74506666667</v>
      </c>
      <c r="L296" s="34">
        <v>5625</v>
      </c>
      <c r="M296" s="34">
        <f>VLOOKUP(Table16[[#This Row],[ROUTE]],DEMAND!A:F,5,FALSE)</f>
        <v>5653</v>
      </c>
      <c r="N296" s="34">
        <f>VLOOKUP(Table16[[#This Row],[ROUTE]],DEMAND!A:F,6,FALSE)</f>
        <v>373</v>
      </c>
      <c r="O296" s="34">
        <f>ROUNDDOWN(Table16[[#This Row],[R-DEMAND]]/1320,0)</f>
        <v>0</v>
      </c>
      <c r="P296" s="34">
        <f>Table16[[#This Row],[ADD ACC]]*Table16[[#This Row],[Duration]]</f>
        <v>0</v>
      </c>
    </row>
    <row r="297" spans="1:16" x14ac:dyDescent="0.25">
      <c r="A297" s="54" t="s">
        <v>11372</v>
      </c>
      <c r="B297" s="34" t="s">
        <v>166</v>
      </c>
      <c r="C297" s="34" t="s">
        <v>2</v>
      </c>
      <c r="D297" s="34">
        <v>5</v>
      </c>
      <c r="E297" s="34" t="s">
        <v>717</v>
      </c>
      <c r="F297" s="34"/>
      <c r="G297" s="34" t="s">
        <v>12089</v>
      </c>
      <c r="H297" s="110">
        <v>2788</v>
      </c>
      <c r="I297" s="122">
        <v>8.25</v>
      </c>
      <c r="J297" s="141">
        <v>216000000</v>
      </c>
      <c r="K297" s="111">
        <f>IFERROR(Table16[[#This Row],[ROUTE COST]]/Table16[[#This Row],[E - DEMAND]],0)</f>
        <v>38702.741444185631</v>
      </c>
      <c r="L297" s="34">
        <v>5581</v>
      </c>
      <c r="M297" s="34">
        <f>VLOOKUP(Table16[[#This Row],[ROUTE]],DEMAND!A:F,5,FALSE)</f>
        <v>5646</v>
      </c>
      <c r="N297" s="34">
        <f>VLOOKUP(Table16[[#This Row],[ROUTE]],DEMAND!A:F,6,FALSE)</f>
        <v>366</v>
      </c>
      <c r="O297" s="34">
        <f>ROUNDDOWN(Table16[[#This Row],[R-DEMAND]]/1320,0)</f>
        <v>0</v>
      </c>
      <c r="P297" s="34">
        <f>Table16[[#This Row],[ADD ACC]]*Table16[[#This Row],[Duration]]</f>
        <v>0</v>
      </c>
    </row>
    <row r="298" spans="1:16" x14ac:dyDescent="0.25">
      <c r="A298" s="54" t="s">
        <v>11399</v>
      </c>
      <c r="B298" s="34" t="s">
        <v>209</v>
      </c>
      <c r="C298" s="34" t="s">
        <v>2</v>
      </c>
      <c r="D298" s="34">
        <v>3</v>
      </c>
      <c r="E298" s="34" t="s">
        <v>644</v>
      </c>
      <c r="F298" s="34"/>
      <c r="G298" s="34" t="s">
        <v>11811</v>
      </c>
      <c r="H298" s="110">
        <v>10279</v>
      </c>
      <c r="I298" s="122">
        <v>25</v>
      </c>
      <c r="J298" s="111">
        <v>250644688</v>
      </c>
      <c r="K298" s="111">
        <f>IFERROR(Table16[[#This Row],[ROUTE COST]]/Table16[[#This Row],[E - DEMAND]],0)</f>
        <v>43155.077134986226</v>
      </c>
      <c r="L298" s="34">
        <v>5808</v>
      </c>
      <c r="M298" s="34">
        <f>VLOOKUP(Table16[[#This Row],[ROUTE]],DEMAND!A:F,5,FALSE)</f>
        <v>5634</v>
      </c>
      <c r="N298" s="34">
        <f>VLOOKUP(Table16[[#This Row],[ROUTE]],DEMAND!A:F,6,FALSE)</f>
        <v>354</v>
      </c>
      <c r="O298" s="34">
        <f>ROUNDDOWN(Table16[[#This Row],[R-DEMAND]]/1320,0)</f>
        <v>0</v>
      </c>
      <c r="P298" s="34">
        <f>Table16[[#This Row],[ADD ACC]]*Table16[[#This Row],[Duration]]</f>
        <v>0</v>
      </c>
    </row>
    <row r="299" spans="1:16" x14ac:dyDescent="0.25">
      <c r="A299" s="54" t="s">
        <v>12220</v>
      </c>
      <c r="B299" s="34" t="s">
        <v>4529</v>
      </c>
      <c r="C299" s="34" t="s">
        <v>2</v>
      </c>
      <c r="D299" s="34">
        <v>2</v>
      </c>
      <c r="E299" s="34" t="s">
        <v>499</v>
      </c>
      <c r="F299" s="34"/>
      <c r="G299" s="34" t="s">
        <v>11688</v>
      </c>
      <c r="H299" s="110">
        <v>12342</v>
      </c>
      <c r="I299" s="122">
        <v>29.5</v>
      </c>
      <c r="J299" s="111">
        <v>263932895</v>
      </c>
      <c r="K299" s="111">
        <f>IFERROR(Table16[[#This Row],[ROUTE COST]]/Table16[[#This Row],[E - DEMAND]],0)</f>
        <v>47046.861853832444</v>
      </c>
      <c r="L299" s="34">
        <v>5610</v>
      </c>
      <c r="M299" s="34">
        <f>VLOOKUP(Table16[[#This Row],[ROUTE]],DEMAND!A:F,5,FALSE)</f>
        <v>5613</v>
      </c>
      <c r="N299" s="34">
        <f>VLOOKUP(Table16[[#This Row],[ROUTE]],DEMAND!A:F,6,FALSE)</f>
        <v>333</v>
      </c>
      <c r="O299" s="34">
        <f>ROUNDDOWN(Table16[[#This Row],[R-DEMAND]]/1320,0)</f>
        <v>0</v>
      </c>
      <c r="P299" s="34">
        <f>Table16[[#This Row],[ADD ACC]]*Table16[[#This Row],[Duration]]</f>
        <v>0</v>
      </c>
    </row>
    <row r="300" spans="1:16" x14ac:dyDescent="0.25">
      <c r="A300" s="54" t="s">
        <v>11209</v>
      </c>
      <c r="B300" s="34" t="s">
        <v>44</v>
      </c>
      <c r="C300" s="34" t="s">
        <v>2</v>
      </c>
      <c r="D300" s="34">
        <v>3</v>
      </c>
      <c r="E300" s="34" t="s">
        <v>1070</v>
      </c>
      <c r="F300" s="34"/>
      <c r="G300" s="34" t="s">
        <v>12072</v>
      </c>
      <c r="H300" s="110">
        <v>3676</v>
      </c>
      <c r="I300" s="122">
        <v>10.25</v>
      </c>
      <c r="J300" s="111">
        <v>183629954</v>
      </c>
      <c r="K300" s="111">
        <f>IFERROR(Table16[[#This Row],[ROUTE COST]]/Table16[[#This Row],[E - DEMAND]],0)</f>
        <v>31924.539986091793</v>
      </c>
      <c r="L300" s="34">
        <v>5752</v>
      </c>
      <c r="M300" s="34">
        <f>VLOOKUP(Table16[[#This Row],[ROUTE]],DEMAND!A:F,5,FALSE)</f>
        <v>5565</v>
      </c>
      <c r="N300" s="34">
        <f>VLOOKUP(Table16[[#This Row],[ROUTE]],DEMAND!A:F,6,FALSE)</f>
        <v>285</v>
      </c>
      <c r="O300" s="34">
        <f>ROUNDDOWN(Table16[[#This Row],[R-DEMAND]]/1320,0)</f>
        <v>0</v>
      </c>
      <c r="P300" s="34">
        <f>Table16[[#This Row],[ADD ACC]]*Table16[[#This Row],[Duration]]</f>
        <v>0</v>
      </c>
    </row>
    <row r="301" spans="1:16" x14ac:dyDescent="0.25">
      <c r="A301" s="54" t="s">
        <v>11232</v>
      </c>
      <c r="B301" s="34" t="s">
        <v>65</v>
      </c>
      <c r="C301" s="34" t="s">
        <v>2</v>
      </c>
      <c r="D301" s="34">
        <v>5</v>
      </c>
      <c r="E301" s="34" t="s">
        <v>14</v>
      </c>
      <c r="F301" s="34"/>
      <c r="G301" s="34" t="s">
        <v>11039</v>
      </c>
      <c r="H301" s="110">
        <v>3292</v>
      </c>
      <c r="I301" s="122">
        <v>9.5</v>
      </c>
      <c r="J301" s="111">
        <v>206850293</v>
      </c>
      <c r="K301" s="111">
        <f>IFERROR(Table16[[#This Row],[ROUTE COST]]/Table16[[#This Row],[E - DEMAND]],0)</f>
        <v>37718.871808898613</v>
      </c>
      <c r="L301" s="34">
        <v>5484</v>
      </c>
      <c r="M301" s="34">
        <f>VLOOKUP(Table16[[#This Row],[ROUTE]],DEMAND!A:F,5,FALSE)</f>
        <v>5550</v>
      </c>
      <c r="N301" s="34">
        <f>VLOOKUP(Table16[[#This Row],[ROUTE]],DEMAND!A:F,6,FALSE)</f>
        <v>270</v>
      </c>
      <c r="O301" s="34">
        <f>ROUNDDOWN(Table16[[#This Row],[R-DEMAND]]/1320,0)</f>
        <v>0</v>
      </c>
      <c r="P301" s="34">
        <f>Table16[[#This Row],[ADD ACC]]*Table16[[#This Row],[Duration]]</f>
        <v>0</v>
      </c>
    </row>
    <row r="302" spans="1:16" x14ac:dyDescent="0.25">
      <c r="A302" s="54" t="s">
        <v>11180</v>
      </c>
      <c r="B302" s="34" t="s">
        <v>152</v>
      </c>
      <c r="C302" s="34" t="s">
        <v>2</v>
      </c>
      <c r="D302" s="34">
        <v>3</v>
      </c>
      <c r="E302" s="34" t="s">
        <v>1189</v>
      </c>
      <c r="F302" s="34"/>
      <c r="G302" s="34" t="s">
        <v>11926</v>
      </c>
      <c r="H302" s="110">
        <v>7752</v>
      </c>
      <c r="I302" s="122">
        <v>19.25</v>
      </c>
      <c r="J302" s="111">
        <v>232759756</v>
      </c>
      <c r="K302" s="111">
        <f>IFERROR(Table16[[#This Row],[ROUTE COST]]/Table16[[#This Row],[E - DEMAND]],0)</f>
        <v>42653.427890782485</v>
      </c>
      <c r="L302" s="34">
        <v>5457</v>
      </c>
      <c r="M302" s="34">
        <f>VLOOKUP(Table16[[#This Row],[ROUTE]],DEMAND!A:F,5,FALSE)</f>
        <v>5541</v>
      </c>
      <c r="N302" s="34">
        <f>VLOOKUP(Table16[[#This Row],[ROUTE]],DEMAND!A:F,6,FALSE)</f>
        <v>261</v>
      </c>
      <c r="O302" s="34">
        <f>ROUNDDOWN(Table16[[#This Row],[R-DEMAND]]/1320,0)</f>
        <v>0</v>
      </c>
      <c r="P302" s="34">
        <f>Table16[[#This Row],[ADD ACC]]*Table16[[#This Row],[Duration]]</f>
        <v>0</v>
      </c>
    </row>
    <row r="303" spans="1:16" x14ac:dyDescent="0.25">
      <c r="A303" s="54" t="s">
        <v>11282</v>
      </c>
      <c r="B303" s="34" t="s">
        <v>415</v>
      </c>
      <c r="C303" s="34" t="s">
        <v>2</v>
      </c>
      <c r="D303" s="34">
        <v>5</v>
      </c>
      <c r="E303" s="34" t="s">
        <v>332</v>
      </c>
      <c r="F303" s="34"/>
      <c r="G303" s="34" t="s">
        <v>11105</v>
      </c>
      <c r="H303" s="110">
        <v>2297</v>
      </c>
      <c r="I303" s="122">
        <v>7.25</v>
      </c>
      <c r="J303" s="141">
        <v>216000000</v>
      </c>
      <c r="K303" s="111">
        <f>IFERROR(Table16[[#This Row],[ROUTE COST]]/Table16[[#This Row],[E - DEMAND]],0)</f>
        <v>39430.449069003284</v>
      </c>
      <c r="L303" s="34">
        <v>5478</v>
      </c>
      <c r="M303" s="34">
        <f>VLOOKUP(Table16[[#This Row],[ROUTE]],DEMAND!A:F,5,FALSE)</f>
        <v>5540</v>
      </c>
      <c r="N303" s="34">
        <f>VLOOKUP(Table16[[#This Row],[ROUTE]],DEMAND!A:F,6,FALSE)</f>
        <v>260</v>
      </c>
      <c r="O303" s="34">
        <f>ROUNDDOWN(Table16[[#This Row],[R-DEMAND]]/1320,0)</f>
        <v>0</v>
      </c>
      <c r="P303" s="34">
        <f>Table16[[#This Row],[ADD ACC]]*Table16[[#This Row],[Duration]]</f>
        <v>0</v>
      </c>
    </row>
    <row r="304" spans="1:16" x14ac:dyDescent="0.25">
      <c r="A304" s="54" t="s">
        <v>12230</v>
      </c>
      <c r="B304" s="34" t="s">
        <v>4631</v>
      </c>
      <c r="C304" s="34" t="s">
        <v>2</v>
      </c>
      <c r="D304" s="34">
        <v>2</v>
      </c>
      <c r="E304" s="34" t="s">
        <v>1441</v>
      </c>
      <c r="F304" s="34"/>
      <c r="G304" s="34" t="s">
        <v>11704</v>
      </c>
      <c r="H304" s="110">
        <v>11930</v>
      </c>
      <c r="I304" s="122">
        <v>28.5</v>
      </c>
      <c r="K304" s="111">
        <f>IFERROR(Table16[[#This Row],[ROUTE COST]]/Table16[[#This Row],[E - DEMAND]],0)</f>
        <v>0</v>
      </c>
      <c r="L304" s="34"/>
      <c r="M304" s="34">
        <f>VLOOKUP(Table16[[#This Row],[ROUTE]],DEMAND!A:F,5,FALSE)</f>
        <v>5518</v>
      </c>
      <c r="N304" s="34">
        <f>VLOOKUP(Table16[[#This Row],[ROUTE]],DEMAND!A:F,6,FALSE)</f>
        <v>238</v>
      </c>
      <c r="O304" s="34">
        <f>ROUNDDOWN(Table16[[#This Row],[R-DEMAND]]/1320,0)</f>
        <v>0</v>
      </c>
      <c r="P304" s="34">
        <f>Table16[[#This Row],[ADD ACC]]*Table16[[#This Row],[Duration]]</f>
        <v>0</v>
      </c>
    </row>
    <row r="305" spans="1:16" x14ac:dyDescent="0.25">
      <c r="A305" s="54" t="s">
        <v>11189</v>
      </c>
      <c r="B305" s="34" t="s">
        <v>355</v>
      </c>
      <c r="C305" s="34" t="s">
        <v>2</v>
      </c>
      <c r="D305" s="34">
        <v>3</v>
      </c>
      <c r="E305" s="34" t="s">
        <v>1070</v>
      </c>
      <c r="F305" s="34"/>
      <c r="G305" s="34" t="s">
        <v>12069</v>
      </c>
      <c r="H305" s="110">
        <v>3809</v>
      </c>
      <c r="I305" s="122">
        <v>10.5</v>
      </c>
      <c r="J305" s="111">
        <v>190496485</v>
      </c>
      <c r="K305" s="111">
        <f>IFERROR(Table16[[#This Row],[ROUTE COST]]/Table16[[#This Row],[E - DEMAND]],0)</f>
        <v>32963.572417373245</v>
      </c>
      <c r="L305" s="34">
        <v>5779</v>
      </c>
      <c r="M305" s="34">
        <f>VLOOKUP(Table16[[#This Row],[ROUTE]],DEMAND!A:F,5,FALSE)</f>
        <v>5511</v>
      </c>
      <c r="N305" s="34">
        <f>VLOOKUP(Table16[[#This Row],[ROUTE]],DEMAND!A:F,6,FALSE)</f>
        <v>231</v>
      </c>
      <c r="O305" s="34">
        <f>ROUNDDOWN(Table16[[#This Row],[R-DEMAND]]/1320,0)</f>
        <v>0</v>
      </c>
      <c r="P305" s="34">
        <f>Table16[[#This Row],[ADD ACC]]*Table16[[#This Row],[Duration]]</f>
        <v>0</v>
      </c>
    </row>
    <row r="306" spans="1:16" x14ac:dyDescent="0.25">
      <c r="A306" s="54" t="s">
        <v>12207</v>
      </c>
      <c r="B306" s="34" t="s">
        <v>3537</v>
      </c>
      <c r="C306" s="34" t="s">
        <v>2</v>
      </c>
      <c r="D306" s="34">
        <v>2</v>
      </c>
      <c r="E306" s="34" t="s">
        <v>3535</v>
      </c>
      <c r="F306" s="34"/>
      <c r="G306" s="34" t="s">
        <v>11666</v>
      </c>
      <c r="H306" s="110">
        <v>13435</v>
      </c>
      <c r="I306" s="122">
        <v>32</v>
      </c>
      <c r="K306" s="111">
        <f>IFERROR(Table16[[#This Row],[ROUTE COST]]/Table16[[#This Row],[E - DEMAND]],0)</f>
        <v>0</v>
      </c>
      <c r="L306" s="34"/>
      <c r="M306" s="34">
        <f>VLOOKUP(Table16[[#This Row],[ROUTE]],DEMAND!A:F,5,FALSE)</f>
        <v>5504</v>
      </c>
      <c r="N306" s="34">
        <f>VLOOKUP(Table16[[#This Row],[ROUTE]],DEMAND!A:F,6,FALSE)</f>
        <v>224</v>
      </c>
      <c r="O306" s="34">
        <f>ROUNDDOWN(Table16[[#This Row],[R-DEMAND]]/1320,0)</f>
        <v>0</v>
      </c>
      <c r="P306" s="34">
        <f>Table16[[#This Row],[ADD ACC]]*Table16[[#This Row],[Duration]]</f>
        <v>0</v>
      </c>
    </row>
    <row r="307" spans="1:16" x14ac:dyDescent="0.25">
      <c r="A307" s="54" t="s">
        <v>12252</v>
      </c>
      <c r="B307" s="34" t="s">
        <v>4629</v>
      </c>
      <c r="C307" s="34" t="s">
        <v>2</v>
      </c>
      <c r="D307" s="34">
        <v>2</v>
      </c>
      <c r="E307" s="34" t="s">
        <v>2059</v>
      </c>
      <c r="F307" s="34"/>
      <c r="G307" s="34" t="s">
        <v>11754</v>
      </c>
      <c r="H307" s="110">
        <v>11139</v>
      </c>
      <c r="I307" s="122">
        <v>26.75</v>
      </c>
      <c r="K307" s="111">
        <f>IFERROR(Table16[[#This Row],[ROUTE COST]]/Table16[[#This Row],[E - DEMAND]],0)</f>
        <v>0</v>
      </c>
      <c r="L307" s="34"/>
      <c r="M307" s="34">
        <f>VLOOKUP(Table16[[#This Row],[ROUTE]],DEMAND!A:F,5,FALSE)</f>
        <v>5495</v>
      </c>
      <c r="N307" s="34">
        <f>VLOOKUP(Table16[[#This Row],[ROUTE]],DEMAND!A:F,6,FALSE)</f>
        <v>215</v>
      </c>
      <c r="O307" s="34">
        <f>ROUNDDOWN(Table16[[#This Row],[R-DEMAND]]/1320,0)</f>
        <v>0</v>
      </c>
      <c r="P307" s="34">
        <f>Table16[[#This Row],[ADD ACC]]*Table16[[#This Row],[Duration]]</f>
        <v>0</v>
      </c>
    </row>
    <row r="308" spans="1:16" x14ac:dyDescent="0.25">
      <c r="A308" s="54" t="s">
        <v>11225</v>
      </c>
      <c r="B308" s="34" t="s">
        <v>217</v>
      </c>
      <c r="C308" s="34" t="s">
        <v>2</v>
      </c>
      <c r="D308" s="34">
        <v>4</v>
      </c>
      <c r="E308" s="34" t="s">
        <v>14</v>
      </c>
      <c r="F308" s="34"/>
      <c r="G308" s="34" t="s">
        <v>11071</v>
      </c>
      <c r="H308" s="110">
        <v>3487</v>
      </c>
      <c r="I308" s="122">
        <v>9.75</v>
      </c>
      <c r="J308" s="111">
        <v>205048014</v>
      </c>
      <c r="K308" s="111">
        <f>IFERROR(Table16[[#This Row],[ROUTE COST]]/Table16[[#This Row],[E - DEMAND]],0)</f>
        <v>38384.128416323474</v>
      </c>
      <c r="L308" s="34">
        <v>5342</v>
      </c>
      <c r="M308" s="34">
        <f>VLOOKUP(Table16[[#This Row],[ROUTE]],DEMAND!A:F,5,FALSE)</f>
        <v>5406</v>
      </c>
      <c r="N308" s="34">
        <f>VLOOKUP(Table16[[#This Row],[ROUTE]],DEMAND!A:F,6,FALSE)</f>
        <v>126</v>
      </c>
      <c r="O308" s="34">
        <f>ROUNDDOWN(Table16[[#This Row],[R-DEMAND]]/1320,0)</f>
        <v>0</v>
      </c>
      <c r="P308" s="34">
        <f>Table16[[#This Row],[ADD ACC]]*Table16[[#This Row],[Duration]]</f>
        <v>0</v>
      </c>
    </row>
    <row r="309" spans="1:16" x14ac:dyDescent="0.25">
      <c r="A309" s="54" t="s">
        <v>11178</v>
      </c>
      <c r="B309" s="34" t="s">
        <v>359</v>
      </c>
      <c r="C309" s="34" t="s">
        <v>2</v>
      </c>
      <c r="D309" s="34">
        <v>3</v>
      </c>
      <c r="E309" s="34" t="s">
        <v>608</v>
      </c>
      <c r="F309" s="34"/>
      <c r="G309" s="34" t="s">
        <v>11676</v>
      </c>
      <c r="H309" s="110">
        <v>12630</v>
      </c>
      <c r="I309" s="122">
        <v>30</v>
      </c>
      <c r="J309" s="111">
        <v>282196257</v>
      </c>
      <c r="K309" s="111">
        <f>IFERROR(Table16[[#This Row],[ROUTE COST]]/Table16[[#This Row],[E - DEMAND]],0)</f>
        <v>50645.415829145728</v>
      </c>
      <c r="L309" s="34">
        <v>5572</v>
      </c>
      <c r="M309" s="34">
        <f>VLOOKUP(Table16[[#This Row],[ROUTE]],DEMAND!A:F,5,FALSE)</f>
        <v>5405</v>
      </c>
      <c r="N309" s="34">
        <f>VLOOKUP(Table16[[#This Row],[ROUTE]],DEMAND!A:F,6,FALSE)</f>
        <v>125</v>
      </c>
      <c r="O309" s="34">
        <f>ROUNDDOWN(Table16[[#This Row],[R-DEMAND]]/1320,0)</f>
        <v>0</v>
      </c>
      <c r="P309" s="34">
        <f>Table16[[#This Row],[ADD ACC]]*Table16[[#This Row],[Duration]]</f>
        <v>0</v>
      </c>
    </row>
    <row r="310" spans="1:16" x14ac:dyDescent="0.25">
      <c r="A310" s="54" t="s">
        <v>11370</v>
      </c>
      <c r="B310" s="34" t="s">
        <v>224</v>
      </c>
      <c r="C310" s="34" t="s">
        <v>2</v>
      </c>
      <c r="D310" s="34">
        <v>3</v>
      </c>
      <c r="E310" s="34" t="s">
        <v>197</v>
      </c>
      <c r="F310" s="34"/>
      <c r="G310" s="34" t="s">
        <v>12012</v>
      </c>
      <c r="H310" s="110">
        <v>5493</v>
      </c>
      <c r="I310" s="122">
        <v>14.25</v>
      </c>
      <c r="J310" s="111">
        <v>210433859</v>
      </c>
      <c r="K310" s="111">
        <f>IFERROR(Table16[[#This Row],[ROUTE COST]]/Table16[[#This Row],[E - DEMAND]],0)</f>
        <v>39495.844406906908</v>
      </c>
      <c r="L310" s="34">
        <v>5328</v>
      </c>
      <c r="M310" s="34">
        <f>VLOOKUP(Table16[[#This Row],[ROUTE]],DEMAND!A:F,5,FALSE)</f>
        <v>5402</v>
      </c>
      <c r="N310" s="34">
        <f>VLOOKUP(Table16[[#This Row],[ROUTE]],DEMAND!A:F,6,FALSE)</f>
        <v>122</v>
      </c>
      <c r="O310" s="34">
        <f>ROUNDDOWN(Table16[[#This Row],[R-DEMAND]]/1320,0)</f>
        <v>0</v>
      </c>
      <c r="P310" s="34">
        <f>Table16[[#This Row],[ADD ACC]]*Table16[[#This Row],[Duration]]</f>
        <v>0</v>
      </c>
    </row>
    <row r="311" spans="1:16" x14ac:dyDescent="0.25">
      <c r="A311" s="54" t="s">
        <v>12260</v>
      </c>
      <c r="B311" s="34" t="s">
        <v>4324</v>
      </c>
      <c r="C311" s="34" t="s">
        <v>2</v>
      </c>
      <c r="D311" s="34">
        <v>2</v>
      </c>
      <c r="E311" s="34" t="s">
        <v>11782</v>
      </c>
      <c r="F311" s="34"/>
      <c r="G311" s="34" t="s">
        <v>11783</v>
      </c>
      <c r="H311" s="110">
        <v>10823</v>
      </c>
      <c r="I311" s="122">
        <v>26</v>
      </c>
      <c r="K311" s="111">
        <f>IFERROR(Table16[[#This Row],[ROUTE COST]]/Table16[[#This Row],[E - DEMAND]],0)</f>
        <v>0</v>
      </c>
      <c r="L311" s="34"/>
      <c r="M311" s="34">
        <f>VLOOKUP(Table16[[#This Row],[ROUTE]],DEMAND!A:F,5,FALSE)</f>
        <v>5382</v>
      </c>
      <c r="N311" s="34">
        <f>VLOOKUP(Table16[[#This Row],[ROUTE]],DEMAND!A:F,6,FALSE)</f>
        <v>102</v>
      </c>
      <c r="O311" s="34">
        <f>ROUNDDOWN(Table16[[#This Row],[R-DEMAND]]/1320,0)</f>
        <v>0</v>
      </c>
      <c r="P311" s="34">
        <f>Table16[[#This Row],[ADD ACC]]*Table16[[#This Row],[Duration]]</f>
        <v>0</v>
      </c>
    </row>
    <row r="312" spans="1:16" x14ac:dyDescent="0.25">
      <c r="A312" s="54" t="s">
        <v>11187</v>
      </c>
      <c r="B312" s="34" t="s">
        <v>254</v>
      </c>
      <c r="C312" s="34" t="s">
        <v>2</v>
      </c>
      <c r="D312" s="34">
        <v>3</v>
      </c>
      <c r="E312" s="34" t="s">
        <v>197</v>
      </c>
      <c r="F312" s="34"/>
      <c r="G312" s="34" t="s">
        <v>12008</v>
      </c>
      <c r="H312" s="110">
        <v>5659</v>
      </c>
      <c r="I312" s="122">
        <v>14.75</v>
      </c>
      <c r="J312" s="111">
        <v>210557155</v>
      </c>
      <c r="K312" s="111">
        <f>IFERROR(Table16[[#This Row],[ROUTE COST]]/Table16[[#This Row],[E - DEMAND]],0)</f>
        <v>40113.765479138885</v>
      </c>
      <c r="L312" s="34">
        <v>5249</v>
      </c>
      <c r="M312" s="34">
        <f>VLOOKUP(Table16[[#This Row],[ROUTE]],DEMAND!A:F,5,FALSE)</f>
        <v>5323</v>
      </c>
      <c r="N312" s="34">
        <f>VLOOKUP(Table16[[#This Row],[ROUTE]],DEMAND!A:F,6,FALSE)</f>
        <v>43</v>
      </c>
      <c r="O312" s="34">
        <f>ROUNDDOWN(Table16[[#This Row],[R-DEMAND]]/1320,0)</f>
        <v>0</v>
      </c>
      <c r="P312" s="34">
        <f>Table16[[#This Row],[ADD ACC]]*Table16[[#This Row],[Duration]]</f>
        <v>0</v>
      </c>
    </row>
    <row r="313" spans="1:16" x14ac:dyDescent="0.25">
      <c r="A313" s="54" t="s">
        <v>11294</v>
      </c>
      <c r="B313" s="34" t="s">
        <v>114</v>
      </c>
      <c r="C313" s="34" t="s">
        <v>2</v>
      </c>
      <c r="D313" s="34">
        <v>5</v>
      </c>
      <c r="E313" s="34" t="s">
        <v>14</v>
      </c>
      <c r="F313" s="34"/>
      <c r="G313" s="34" t="s">
        <v>12045</v>
      </c>
      <c r="H313" s="110">
        <v>4447</v>
      </c>
      <c r="I313" s="122">
        <v>12</v>
      </c>
      <c r="J313" s="141">
        <v>216000000</v>
      </c>
      <c r="K313" s="111">
        <f>IFERROR(Table16[[#This Row],[ROUTE COST]]/Table16[[#This Row],[E - DEMAND]],0)</f>
        <v>39287.013459439797</v>
      </c>
      <c r="L313" s="34">
        <v>5498</v>
      </c>
      <c r="M313" s="34">
        <f>VLOOKUP(Table16[[#This Row],[ROUTE]],DEMAND!A:F,5,FALSE)</f>
        <v>5321</v>
      </c>
      <c r="N313" s="34">
        <f>VLOOKUP(Table16[[#This Row],[ROUTE]],DEMAND!A:F,6,FALSE)</f>
        <v>41</v>
      </c>
      <c r="O313" s="34">
        <f>ROUNDDOWN(Table16[[#This Row],[R-DEMAND]]/1320,0)</f>
        <v>0</v>
      </c>
      <c r="P313" s="34">
        <f>Table16[[#This Row],[ADD ACC]]*Table16[[#This Row],[Duration]]</f>
        <v>0</v>
      </c>
    </row>
    <row r="314" spans="1:16" x14ac:dyDescent="0.25">
      <c r="A314" s="54" t="s">
        <v>12624</v>
      </c>
      <c r="B314" s="34" t="s">
        <v>234</v>
      </c>
      <c r="C314" s="34" t="s">
        <v>2</v>
      </c>
      <c r="D314" s="34">
        <v>4</v>
      </c>
      <c r="E314" s="34" t="s">
        <v>926</v>
      </c>
      <c r="F314" s="34"/>
      <c r="G314" s="34" t="s">
        <v>11074</v>
      </c>
      <c r="H314" s="110">
        <v>8555</v>
      </c>
      <c r="I314" s="122">
        <v>21</v>
      </c>
      <c r="J314" s="141">
        <v>216000000</v>
      </c>
      <c r="K314" s="111">
        <f>IFERROR(Table16[[#This Row],[ROUTE COST]]/Table16[[#This Row],[E - DEMAND]],0)</f>
        <v>0</v>
      </c>
      <c r="L314" s="34"/>
      <c r="M314" s="34">
        <f>VLOOKUP(Table16[[#This Row],[ROUTE]],DEMAND!A:F,5,FALSE)</f>
        <v>5307</v>
      </c>
      <c r="N314" s="34">
        <f>VLOOKUP(Table16[[#This Row],[ROUTE]],DEMAND!A:F,6,FALSE)</f>
        <v>27</v>
      </c>
      <c r="O314" s="34">
        <f>ROUNDDOWN(Table16[[#This Row],[R-DEMAND]]/1320,0)</f>
        <v>0</v>
      </c>
      <c r="P314" s="34">
        <f>Table16[[#This Row],[ADD ACC]]*Table16[[#This Row],[Duration]]</f>
        <v>0</v>
      </c>
    </row>
    <row r="315" spans="1:16" x14ac:dyDescent="0.25">
      <c r="A315" s="54" t="s">
        <v>12213</v>
      </c>
      <c r="B315" s="34" t="s">
        <v>3152</v>
      </c>
      <c r="C315" s="34" t="s">
        <v>2</v>
      </c>
      <c r="D315" s="34">
        <v>2</v>
      </c>
      <c r="E315" s="34" t="s">
        <v>2454</v>
      </c>
      <c r="F315" s="34"/>
      <c r="G315" s="34" t="s">
        <v>11672</v>
      </c>
      <c r="H315" s="110">
        <v>13060</v>
      </c>
      <c r="I315" s="122">
        <v>31</v>
      </c>
      <c r="K315" s="111">
        <f>IFERROR(Table16[[#This Row],[ROUTE COST]]/Table16[[#This Row],[E - DEMAND]],0)</f>
        <v>0</v>
      </c>
      <c r="L315" s="34"/>
      <c r="M315" s="34">
        <f>VLOOKUP(Table16[[#This Row],[ROUTE]],DEMAND!A:F,5,FALSE)</f>
        <v>5300</v>
      </c>
      <c r="N315" s="34">
        <f>VLOOKUP(Table16[[#This Row],[ROUTE]],DEMAND!A:F,6,FALSE)</f>
        <v>20</v>
      </c>
      <c r="O315" s="34">
        <f>ROUNDDOWN(Table16[[#This Row],[R-DEMAND]]/1320,0)</f>
        <v>0</v>
      </c>
      <c r="P315" s="34">
        <f>Table16[[#This Row],[ADD ACC]]*Table16[[#This Row],[Duration]]</f>
        <v>0</v>
      </c>
    </row>
    <row r="316" spans="1:16" x14ac:dyDescent="0.25">
      <c r="A316" s="54" t="s">
        <v>12232</v>
      </c>
      <c r="B316" s="34" t="s">
        <v>3678</v>
      </c>
      <c r="C316" s="34" t="s">
        <v>2</v>
      </c>
      <c r="D316" s="34">
        <v>2</v>
      </c>
      <c r="E316" s="34" t="s">
        <v>490</v>
      </c>
      <c r="F316" s="34"/>
      <c r="G316" s="34" t="s">
        <v>11711</v>
      </c>
      <c r="H316" s="110">
        <v>11779</v>
      </c>
      <c r="I316" s="122">
        <v>28.25</v>
      </c>
      <c r="K316" s="111">
        <f>IFERROR(Table16[[#This Row],[ROUTE COST]]/Table16[[#This Row],[E - DEMAND]],0)</f>
        <v>0</v>
      </c>
      <c r="L316" s="34"/>
      <c r="M316" s="34">
        <f>VLOOKUP(Table16[[#This Row],[ROUTE]],DEMAND!A:F,5,FALSE)</f>
        <v>5281</v>
      </c>
      <c r="N316" s="34">
        <f>VLOOKUP(Table16[[#This Row],[ROUTE]],DEMAND!A:F,6,FALSE)</f>
        <v>1</v>
      </c>
      <c r="O316" s="34">
        <f>ROUNDDOWN(Table16[[#This Row],[R-DEMAND]]/1320,0)</f>
        <v>0</v>
      </c>
      <c r="P316" s="34">
        <f>Table16[[#This Row],[ADD ACC]]*Table16[[#This Row],[Duration]]</f>
        <v>0</v>
      </c>
    </row>
    <row r="317" spans="1:16" x14ac:dyDescent="0.25">
      <c r="A317" s="54" t="s">
        <v>11299</v>
      </c>
      <c r="B317" s="34" t="s">
        <v>333</v>
      </c>
      <c r="C317" s="34" t="s">
        <v>2</v>
      </c>
      <c r="D317" s="34">
        <v>5</v>
      </c>
      <c r="E317" s="34" t="s">
        <v>332</v>
      </c>
      <c r="F317" s="34"/>
      <c r="G317" s="34" t="s">
        <v>12098</v>
      </c>
      <c r="H317" s="110">
        <v>2326</v>
      </c>
      <c r="I317" s="122">
        <v>7.25</v>
      </c>
      <c r="K317" s="111">
        <f>IFERROR(Table16[[#This Row],[ROUTE COST]]/Table16[[#This Row],[E - DEMAND]],0)</f>
        <v>0</v>
      </c>
      <c r="L317" s="34"/>
      <c r="M317" s="34">
        <f>VLOOKUP(Table16[[#This Row],[ROUTE]],DEMAND!A:F,5,FALSE)</f>
        <v>5246</v>
      </c>
      <c r="N317" s="34">
        <f>VLOOKUP(Table16[[#This Row],[ROUTE]],DEMAND!A:F,6,FALSE)</f>
        <v>1286</v>
      </c>
      <c r="O317" s="34">
        <f>ROUNDDOWN(Table16[[#This Row],[R-DEMAND]]/1320,0)</f>
        <v>0</v>
      </c>
      <c r="P317" s="34">
        <f>Table16[[#This Row],[ADD ACC]]*Table16[[#This Row],[Duration]]</f>
        <v>0</v>
      </c>
    </row>
    <row r="318" spans="1:16" x14ac:dyDescent="0.25">
      <c r="A318" s="54" t="s">
        <v>11299</v>
      </c>
      <c r="B318" s="114" t="s">
        <v>330</v>
      </c>
      <c r="C318" s="34" t="s">
        <v>2</v>
      </c>
      <c r="D318" s="34">
        <v>3</v>
      </c>
      <c r="E318" s="34" t="s">
        <v>332</v>
      </c>
      <c r="F318" s="34"/>
      <c r="G318" s="34" t="s">
        <v>329</v>
      </c>
      <c r="H318" s="32">
        <v>2326</v>
      </c>
      <c r="I318" s="33">
        <v>7.25</v>
      </c>
      <c r="K318" s="111">
        <f>IFERROR(Table16[[#This Row],[ROUTE COST]]/Table16[[#This Row],[E - DEMAND]],0)</f>
        <v>0</v>
      </c>
      <c r="L318" s="88"/>
      <c r="M318" s="34">
        <f>VLOOKUP(Table16[[#This Row],[ROUTE]],DEMAND!A:F,5,FALSE)</f>
        <v>5246</v>
      </c>
      <c r="N318" s="34">
        <f>VLOOKUP(Table16[[#This Row],[ROUTE]],DEMAND!A:F,6,FALSE)</f>
        <v>1286</v>
      </c>
      <c r="O318" s="34">
        <f>ROUNDDOWN(Table16[[#This Row],[R-DEMAND]]/1320,0)</f>
        <v>0</v>
      </c>
      <c r="P318" s="34">
        <f>Table16[[#This Row],[ADD ACC]]*Table16[[#This Row],[Duration]]</f>
        <v>0</v>
      </c>
    </row>
    <row r="319" spans="1:16" x14ac:dyDescent="0.25">
      <c r="A319" s="54" t="s">
        <v>11231</v>
      </c>
      <c r="B319" s="34" t="s">
        <v>347</v>
      </c>
      <c r="C319" s="34" t="s">
        <v>2</v>
      </c>
      <c r="D319" s="34">
        <v>5</v>
      </c>
      <c r="E319" s="34" t="s">
        <v>14</v>
      </c>
      <c r="F319" s="34"/>
      <c r="G319" s="34" t="s">
        <v>11092</v>
      </c>
      <c r="H319" s="110">
        <v>4106</v>
      </c>
      <c r="I319" s="122">
        <v>11.25</v>
      </c>
      <c r="J319" s="111">
        <v>213860923</v>
      </c>
      <c r="K319" s="111">
        <f>IFERROR(Table16[[#This Row],[ROUTE COST]]/Table16[[#This Row],[E - DEMAND]],0)</f>
        <v>41429.857225881438</v>
      </c>
      <c r="L319" s="34">
        <v>5162</v>
      </c>
      <c r="M319" s="34">
        <f>VLOOKUP(Table16[[#This Row],[ROUTE]],DEMAND!A:F,5,FALSE)</f>
        <v>5231</v>
      </c>
      <c r="N319" s="34">
        <f>VLOOKUP(Table16[[#This Row],[ROUTE]],DEMAND!A:F,6,FALSE)</f>
        <v>1271</v>
      </c>
      <c r="O319" s="34">
        <f>ROUNDDOWN(Table16[[#This Row],[R-DEMAND]]/1320,0)</f>
        <v>0</v>
      </c>
      <c r="P319" s="34">
        <f>Table16[[#This Row],[ADD ACC]]*Table16[[#This Row],[Duration]]</f>
        <v>0</v>
      </c>
    </row>
    <row r="320" spans="1:16" x14ac:dyDescent="0.25">
      <c r="A320" s="54" t="s">
        <v>11191</v>
      </c>
      <c r="B320" s="34" t="s">
        <v>383</v>
      </c>
      <c r="C320" s="34" t="s">
        <v>2</v>
      </c>
      <c r="D320" s="34">
        <v>3</v>
      </c>
      <c r="E320" s="34" t="s">
        <v>1070</v>
      </c>
      <c r="F320" s="34"/>
      <c r="G320" s="34" t="s">
        <v>12063</v>
      </c>
      <c r="H320" s="110">
        <v>3903</v>
      </c>
      <c r="I320" s="122">
        <v>10.75</v>
      </c>
      <c r="J320" s="111">
        <v>184250423</v>
      </c>
      <c r="K320" s="111">
        <f>IFERROR(Table16[[#This Row],[ROUTE COST]]/Table16[[#This Row],[E - DEMAND]],0)</f>
        <v>35860.339237057218</v>
      </c>
      <c r="L320" s="34">
        <v>5138</v>
      </c>
      <c r="M320" s="34">
        <f>VLOOKUP(Table16[[#This Row],[ROUTE]],DEMAND!A:F,5,FALSE)</f>
        <v>5205</v>
      </c>
      <c r="N320" s="34">
        <f>VLOOKUP(Table16[[#This Row],[ROUTE]],DEMAND!A:F,6,FALSE)</f>
        <v>1245</v>
      </c>
      <c r="O320" s="34">
        <f>ROUNDDOWN(Table16[[#This Row],[R-DEMAND]]/1320,0)</f>
        <v>0</v>
      </c>
      <c r="P320" s="34">
        <f>Table16[[#This Row],[ADD ACC]]*Table16[[#This Row],[Duration]]</f>
        <v>0</v>
      </c>
    </row>
    <row r="321" spans="1:16" x14ac:dyDescent="0.25">
      <c r="A321" s="54" t="s">
        <v>11346</v>
      </c>
      <c r="B321" s="34" t="s">
        <v>304</v>
      </c>
      <c r="C321" s="34" t="s">
        <v>2</v>
      </c>
      <c r="D321" s="34">
        <v>3</v>
      </c>
      <c r="E321" s="34" t="s">
        <v>1070</v>
      </c>
      <c r="F321" s="34"/>
      <c r="G321" s="34" t="s">
        <v>12062</v>
      </c>
      <c r="H321" s="110">
        <v>3936</v>
      </c>
      <c r="I321" s="122">
        <v>10.75</v>
      </c>
      <c r="J321" s="111">
        <v>184048981</v>
      </c>
      <c r="K321" s="111">
        <f>IFERROR(Table16[[#This Row],[ROUTE COST]]/Table16[[#This Row],[E - DEMAND]],0)</f>
        <v>35982.205474095797</v>
      </c>
      <c r="L321" s="34">
        <v>5115</v>
      </c>
      <c r="M321" s="34">
        <f>VLOOKUP(Table16[[#This Row],[ROUTE]],DEMAND!A:F,5,FALSE)</f>
        <v>5183</v>
      </c>
      <c r="N321" s="34">
        <f>VLOOKUP(Table16[[#This Row],[ROUTE]],DEMAND!A:F,6,FALSE)</f>
        <v>1223</v>
      </c>
      <c r="O321" s="34">
        <f>ROUNDDOWN(Table16[[#This Row],[R-DEMAND]]/1320,0)</f>
        <v>0</v>
      </c>
      <c r="P321" s="34">
        <f>Table16[[#This Row],[ADD ACC]]*Table16[[#This Row],[Duration]]</f>
        <v>0</v>
      </c>
    </row>
    <row r="322" spans="1:16" x14ac:dyDescent="0.25">
      <c r="A322" s="54" t="s">
        <v>12298</v>
      </c>
      <c r="B322" s="34" t="s">
        <v>3339</v>
      </c>
      <c r="C322" s="34" t="s">
        <v>2</v>
      </c>
      <c r="D322" s="34">
        <v>2</v>
      </c>
      <c r="E322" s="34" t="s">
        <v>11823</v>
      </c>
      <c r="F322" s="34"/>
      <c r="G322" s="34" t="s">
        <v>11859</v>
      </c>
      <c r="H322" s="110">
        <v>9056</v>
      </c>
      <c r="I322" s="122">
        <v>22.25</v>
      </c>
      <c r="J322" s="111">
        <v>223058921</v>
      </c>
      <c r="K322" s="111">
        <f>IFERROR(Table16[[#This Row],[ROUTE COST]]/Table16[[#This Row],[E - DEMAND]],0)</f>
        <v>43320.823655078653</v>
      </c>
      <c r="L322" s="34">
        <v>5149</v>
      </c>
      <c r="M322" s="34">
        <f>VLOOKUP(Table16[[#This Row],[ROUTE]],DEMAND!A:F,5,FALSE)</f>
        <v>5154</v>
      </c>
      <c r="N322" s="34">
        <f>VLOOKUP(Table16[[#This Row],[ROUTE]],DEMAND!A:F,6,FALSE)</f>
        <v>1194</v>
      </c>
      <c r="O322" s="34">
        <f>ROUNDDOWN(Table16[[#This Row],[R-DEMAND]]/1320,0)</f>
        <v>0</v>
      </c>
      <c r="P322" s="34">
        <f>Table16[[#This Row],[ADD ACC]]*Table16[[#This Row],[Duration]]</f>
        <v>0</v>
      </c>
    </row>
    <row r="323" spans="1:16" x14ac:dyDescent="0.25">
      <c r="A323" s="54" t="s">
        <v>12310</v>
      </c>
      <c r="B323" s="34" t="s">
        <v>3313</v>
      </c>
      <c r="C323" s="34" t="s">
        <v>2</v>
      </c>
      <c r="D323" s="34">
        <v>2</v>
      </c>
      <c r="E323" s="34" t="s">
        <v>11823</v>
      </c>
      <c r="F323" s="34"/>
      <c r="G323" s="34" t="s">
        <v>11873</v>
      </c>
      <c r="H323" s="110">
        <v>8693</v>
      </c>
      <c r="I323" s="122">
        <v>21.5</v>
      </c>
      <c r="J323" s="111">
        <v>219307381</v>
      </c>
      <c r="K323" s="111">
        <f>IFERROR(Table16[[#This Row],[ROUTE COST]]/Table16[[#This Row],[E - DEMAND]],0)</f>
        <v>42633.62772161742</v>
      </c>
      <c r="L323" s="34">
        <v>5144</v>
      </c>
      <c r="M323" s="34">
        <f>VLOOKUP(Table16[[#This Row],[ROUTE]],DEMAND!A:F,5,FALSE)</f>
        <v>5148</v>
      </c>
      <c r="N323" s="34">
        <f>VLOOKUP(Table16[[#This Row],[ROUTE]],DEMAND!A:F,6,FALSE)</f>
        <v>1188</v>
      </c>
      <c r="O323" s="34">
        <f>ROUNDDOWN(Table16[[#This Row],[R-DEMAND]]/1320,0)</f>
        <v>0</v>
      </c>
      <c r="P323" s="34">
        <f>Table16[[#This Row],[ADD ACC]]*Table16[[#This Row],[Duration]]</f>
        <v>0</v>
      </c>
    </row>
    <row r="324" spans="1:16" x14ac:dyDescent="0.25">
      <c r="A324" s="54" t="s">
        <v>11183</v>
      </c>
      <c r="B324" s="34" t="s">
        <v>24</v>
      </c>
      <c r="C324" s="34" t="s">
        <v>2</v>
      </c>
      <c r="D324" s="34">
        <v>2</v>
      </c>
      <c r="E324" s="34" t="s">
        <v>1070</v>
      </c>
      <c r="F324" s="34"/>
      <c r="G324" s="34" t="s">
        <v>6654</v>
      </c>
      <c r="H324" s="110">
        <v>3695</v>
      </c>
      <c r="I324" s="122">
        <v>10.25</v>
      </c>
      <c r="J324" s="111">
        <v>173737809</v>
      </c>
      <c r="K324" s="111">
        <f>IFERROR(Table16[[#This Row],[ROUTE COST]]/Table16[[#This Row],[E - DEMAND]],0)</f>
        <v>34492.318642048842</v>
      </c>
      <c r="L324" s="34">
        <v>5037</v>
      </c>
      <c r="M324" s="34">
        <f>VLOOKUP(Table16[[#This Row],[ROUTE]],DEMAND!A:F,5,FALSE)</f>
        <v>5102</v>
      </c>
      <c r="N324" s="34">
        <f>VLOOKUP(Table16[[#This Row],[ROUTE]],DEMAND!A:F,6,FALSE)</f>
        <v>1142</v>
      </c>
      <c r="O324" s="34">
        <f>ROUNDDOWN(Table16[[#This Row],[R-DEMAND]]/1320,0)</f>
        <v>0</v>
      </c>
      <c r="P324" s="34">
        <f>Table16[[#This Row],[ADD ACC]]*Table16[[#This Row],[Duration]]</f>
        <v>0</v>
      </c>
    </row>
    <row r="325" spans="1:16" x14ac:dyDescent="0.25">
      <c r="A325" s="54" t="s">
        <v>12442</v>
      </c>
      <c r="B325" s="34" t="s">
        <v>5155</v>
      </c>
      <c r="C325" s="34" t="s">
        <v>2</v>
      </c>
      <c r="D325" s="34">
        <v>3</v>
      </c>
      <c r="E325" s="34" t="s">
        <v>608</v>
      </c>
      <c r="F325" s="34"/>
      <c r="G325" s="34" t="s">
        <v>11675</v>
      </c>
      <c r="H325" s="110">
        <v>12700</v>
      </c>
      <c r="I325" s="122">
        <v>30.25</v>
      </c>
      <c r="J325" s="111">
        <v>275078128</v>
      </c>
      <c r="K325" s="111">
        <f>IFERROR(Table16[[#This Row],[ROUTE COST]]/Table16[[#This Row],[E - DEMAND]],0)</f>
        <v>54085.357451828546</v>
      </c>
      <c r="L325" s="34">
        <v>5086</v>
      </c>
      <c r="M325" s="34">
        <f>VLOOKUP(Table16[[#This Row],[ROUTE]],DEMAND!A:F,5,FALSE)</f>
        <v>5088</v>
      </c>
      <c r="N325" s="34">
        <f>VLOOKUP(Table16[[#This Row],[ROUTE]],DEMAND!A:F,6,FALSE)</f>
        <v>-192</v>
      </c>
      <c r="O325" s="34">
        <f>ROUNDDOWN(Table16[[#This Row],[R-DEMAND]]/1320,0)</f>
        <v>0</v>
      </c>
      <c r="P325" s="34">
        <f>Table16[[#This Row],[ADD ACC]]*Table16[[#This Row],[Duration]]</f>
        <v>0</v>
      </c>
    </row>
    <row r="326" spans="1:16" x14ac:dyDescent="0.25">
      <c r="A326" s="54" t="s">
        <v>12120</v>
      </c>
      <c r="B326" s="34" t="s">
        <v>763</v>
      </c>
      <c r="C326" s="34" t="s">
        <v>2</v>
      </c>
      <c r="D326" s="34">
        <v>1</v>
      </c>
      <c r="E326" s="34" t="s">
        <v>761</v>
      </c>
      <c r="F326" s="34"/>
      <c r="G326" s="34" t="s">
        <v>11684</v>
      </c>
      <c r="H326" s="110">
        <v>12425</v>
      </c>
      <c r="I326" s="122">
        <v>29.75</v>
      </c>
      <c r="K326" s="111">
        <f>IFERROR(Table16[[#This Row],[ROUTE COST]]/Table16[[#This Row],[E - DEMAND]],0)</f>
        <v>0</v>
      </c>
      <c r="L326" s="34"/>
      <c r="M326" s="34">
        <f>VLOOKUP(Table16[[#This Row],[ROUTE]],DEMAND!A:F,5,FALSE)</f>
        <v>5078</v>
      </c>
      <c r="N326" s="34">
        <f>VLOOKUP(Table16[[#This Row],[ROUTE]],DEMAND!A:F,6,FALSE)</f>
        <v>-2842</v>
      </c>
      <c r="O326" s="34">
        <f>ROUNDDOWN(Table16[[#This Row],[R-DEMAND]]/1320,0)</f>
        <v>-2</v>
      </c>
      <c r="P326" s="34">
        <f>Table16[[#This Row],[ADD ACC]]*Table16[[#This Row],[Duration]]</f>
        <v>-59.5</v>
      </c>
    </row>
    <row r="327" spans="1:16" x14ac:dyDescent="0.25">
      <c r="A327" s="54" t="s">
        <v>12423</v>
      </c>
      <c r="B327" s="34" t="s">
        <v>3</v>
      </c>
      <c r="C327" s="34" t="s">
        <v>2</v>
      </c>
      <c r="D327" s="34">
        <v>2</v>
      </c>
      <c r="E327" s="34" t="s">
        <v>1710</v>
      </c>
      <c r="F327" s="34"/>
      <c r="G327" s="34" t="s">
        <v>12068</v>
      </c>
      <c r="H327" s="110">
        <v>3810</v>
      </c>
      <c r="I327" s="122">
        <v>10.5</v>
      </c>
      <c r="J327" s="111">
        <v>168846735</v>
      </c>
      <c r="K327" s="111">
        <f>IFERROR(Table16[[#This Row],[ROUTE COST]]/Table16[[#This Row],[E - DEMAND]],0)</f>
        <v>35524.244687565748</v>
      </c>
      <c r="L327" s="34">
        <v>4753</v>
      </c>
      <c r="M327" s="34">
        <f>VLOOKUP(Table16[[#This Row],[ROUTE]],DEMAND!A:F,5,FALSE)</f>
        <v>5058</v>
      </c>
      <c r="N327" s="34">
        <f>VLOOKUP(Table16[[#This Row],[ROUTE]],DEMAND!A:F,6,FALSE)</f>
        <v>1098</v>
      </c>
      <c r="O327" s="34">
        <f>ROUNDDOWN(Table16[[#This Row],[R-DEMAND]]/1320,0)</f>
        <v>0</v>
      </c>
      <c r="P327" s="34">
        <f>Table16[[#This Row],[ADD ACC]]*Table16[[#This Row],[Duration]]</f>
        <v>0</v>
      </c>
    </row>
    <row r="328" spans="1:16" x14ac:dyDescent="0.25">
      <c r="A328" s="54" t="s">
        <v>11238</v>
      </c>
      <c r="B328" s="34" t="s">
        <v>97</v>
      </c>
      <c r="C328" s="34" t="s">
        <v>2</v>
      </c>
      <c r="D328" s="34">
        <v>5</v>
      </c>
      <c r="E328" s="34" t="s">
        <v>14</v>
      </c>
      <c r="F328" s="34"/>
      <c r="G328" s="34" t="s">
        <v>12046</v>
      </c>
      <c r="H328" s="110">
        <v>4434</v>
      </c>
      <c r="I328" s="122">
        <v>12</v>
      </c>
      <c r="J328" s="141">
        <v>216000000</v>
      </c>
      <c r="K328" s="111">
        <f>IFERROR(Table16[[#This Row],[ROUTE COST]]/Table16[[#This Row],[E - DEMAND]],0)</f>
        <v>41395.170563434265</v>
      </c>
      <c r="L328" s="34">
        <v>5218</v>
      </c>
      <c r="M328" s="34">
        <f>VLOOKUP(Table16[[#This Row],[ROUTE]],DEMAND!A:F,5,FALSE)</f>
        <v>5050</v>
      </c>
      <c r="N328" s="34">
        <f>VLOOKUP(Table16[[#This Row],[ROUTE]],DEMAND!A:F,6,FALSE)</f>
        <v>-230</v>
      </c>
      <c r="O328" s="34">
        <f>ROUNDDOWN(Table16[[#This Row],[R-DEMAND]]/1320,0)</f>
        <v>0</v>
      </c>
      <c r="P328" s="34">
        <f>Table16[[#This Row],[ADD ACC]]*Table16[[#This Row],[Duration]]</f>
        <v>0</v>
      </c>
    </row>
    <row r="329" spans="1:16" x14ac:dyDescent="0.25">
      <c r="A329" s="54" t="s">
        <v>12620</v>
      </c>
      <c r="B329" s="34" t="s">
        <v>388</v>
      </c>
      <c r="C329" s="34" t="s">
        <v>2</v>
      </c>
      <c r="D329" s="34">
        <v>4</v>
      </c>
      <c r="E329" s="34" t="s">
        <v>1124</v>
      </c>
      <c r="F329" s="34"/>
      <c r="G329" s="34" t="s">
        <v>11101</v>
      </c>
      <c r="H329" s="110">
        <v>8951</v>
      </c>
      <c r="I329" s="122">
        <v>22</v>
      </c>
      <c r="J329" s="141">
        <v>216000000</v>
      </c>
      <c r="K329" s="111">
        <f>IFERROR(Table16[[#This Row],[ROUTE COST]]/Table16[[#This Row],[E - DEMAND]],0)</f>
        <v>0</v>
      </c>
      <c r="L329" s="34"/>
      <c r="M329" s="34">
        <f>VLOOKUP(Table16[[#This Row],[ROUTE]],DEMAND!A:F,5,FALSE)</f>
        <v>5046</v>
      </c>
      <c r="N329" s="34">
        <f>VLOOKUP(Table16[[#This Row],[ROUTE]],DEMAND!A:F,6,FALSE)</f>
        <v>1086</v>
      </c>
      <c r="O329" s="34">
        <f>ROUNDDOWN(Table16[[#This Row],[R-DEMAND]]/1320,0)</f>
        <v>0</v>
      </c>
      <c r="P329" s="34">
        <f>Table16[[#This Row],[ADD ACC]]*Table16[[#This Row],[Duration]]</f>
        <v>0</v>
      </c>
    </row>
    <row r="330" spans="1:16" x14ac:dyDescent="0.25">
      <c r="A330" s="54" t="s">
        <v>11373</v>
      </c>
      <c r="B330" s="34" t="s">
        <v>100</v>
      </c>
      <c r="C330" s="34" t="s">
        <v>2</v>
      </c>
      <c r="D330" s="34">
        <v>4</v>
      </c>
      <c r="E330" s="34" t="s">
        <v>1314</v>
      </c>
      <c r="F330" s="34"/>
      <c r="G330" s="34" t="s">
        <v>11043</v>
      </c>
      <c r="H330" s="110">
        <v>1884</v>
      </c>
      <c r="I330" s="122">
        <v>6.25</v>
      </c>
      <c r="J330" s="111">
        <v>187288505</v>
      </c>
      <c r="K330" s="111">
        <f>IFERROR(Table16[[#This Row],[ROUTE COST]]/Table16[[#This Row],[E - DEMAND]],0)</f>
        <v>37525.24644359848</v>
      </c>
      <c r="L330" s="34">
        <v>4991</v>
      </c>
      <c r="M330" s="34">
        <f>VLOOKUP(Table16[[#This Row],[ROUTE]],DEMAND!A:F,5,FALSE)</f>
        <v>5044</v>
      </c>
      <c r="N330" s="34">
        <f>VLOOKUP(Table16[[#This Row],[ROUTE]],DEMAND!A:F,6,FALSE)</f>
        <v>1084</v>
      </c>
      <c r="O330" s="34">
        <f>ROUNDDOWN(Table16[[#This Row],[R-DEMAND]]/1320,0)</f>
        <v>0</v>
      </c>
      <c r="P330" s="34">
        <f>Table16[[#This Row],[ADD ACC]]*Table16[[#This Row],[Duration]]</f>
        <v>0</v>
      </c>
    </row>
    <row r="331" spans="1:16" x14ac:dyDescent="0.25">
      <c r="A331" s="54" t="s">
        <v>11262</v>
      </c>
      <c r="B331" s="34" t="s">
        <v>279</v>
      </c>
      <c r="C331" s="34" t="s">
        <v>2</v>
      </c>
      <c r="D331" s="34">
        <v>4</v>
      </c>
      <c r="E331" s="34" t="s">
        <v>14</v>
      </c>
      <c r="F331" s="34"/>
      <c r="G331" s="34" t="s">
        <v>278</v>
      </c>
      <c r="H331" s="110">
        <v>4302</v>
      </c>
      <c r="I331" s="122">
        <v>11.75</v>
      </c>
      <c r="J331" s="111">
        <v>209593025</v>
      </c>
      <c r="K331" s="111">
        <f>IFERROR(Table16[[#This Row],[ROUTE COST]]/Table16[[#This Row],[E - DEMAND]],0)</f>
        <v>42350.580925439484</v>
      </c>
      <c r="L331" s="34">
        <v>4949</v>
      </c>
      <c r="M331" s="34">
        <f>VLOOKUP(Table16[[#This Row],[ROUTE]],DEMAND!A:F,5,FALSE)</f>
        <v>5016</v>
      </c>
      <c r="N331" s="34">
        <f>VLOOKUP(Table16[[#This Row],[ROUTE]],DEMAND!A:F,6,FALSE)</f>
        <v>1056</v>
      </c>
      <c r="O331" s="34">
        <f>ROUNDDOWN(Table16[[#This Row],[R-DEMAND]]/1320,0)</f>
        <v>0</v>
      </c>
      <c r="P331" s="34">
        <f>Table16[[#This Row],[ADD ACC]]*Table16[[#This Row],[Duration]]</f>
        <v>0</v>
      </c>
    </row>
    <row r="332" spans="1:16" x14ac:dyDescent="0.25">
      <c r="A332" s="54" t="s">
        <v>11184</v>
      </c>
      <c r="B332" s="34" t="s">
        <v>286</v>
      </c>
      <c r="C332" s="34" t="s">
        <v>2</v>
      </c>
      <c r="D332" s="34">
        <v>3</v>
      </c>
      <c r="E332" s="34" t="s">
        <v>1314</v>
      </c>
      <c r="F332" s="34"/>
      <c r="G332" s="34" t="s">
        <v>12083</v>
      </c>
      <c r="H332" s="110">
        <v>3043</v>
      </c>
      <c r="I332" s="122">
        <v>8.75</v>
      </c>
      <c r="J332" s="111">
        <v>179781018</v>
      </c>
      <c r="K332" s="111">
        <f>IFERROR(Table16[[#This Row],[ROUTE COST]]/Table16[[#This Row],[E - DEMAND]],0)</f>
        <v>36363.47451456311</v>
      </c>
      <c r="L332" s="34">
        <v>4944</v>
      </c>
      <c r="M332" s="34">
        <f>VLOOKUP(Table16[[#This Row],[ROUTE]],DEMAND!A:F,5,FALSE)</f>
        <v>5004</v>
      </c>
      <c r="N332" s="34">
        <f>VLOOKUP(Table16[[#This Row],[ROUTE]],DEMAND!A:F,6,FALSE)</f>
        <v>1044</v>
      </c>
      <c r="O332" s="34">
        <f>ROUNDDOWN(Table16[[#This Row],[R-DEMAND]]/1320,0)</f>
        <v>0</v>
      </c>
      <c r="P332" s="34">
        <f>Table16[[#This Row],[ADD ACC]]*Table16[[#This Row],[Duration]]</f>
        <v>0</v>
      </c>
    </row>
    <row r="333" spans="1:16" x14ac:dyDescent="0.25">
      <c r="A333" s="54" t="s">
        <v>11275</v>
      </c>
      <c r="B333" s="34" t="s">
        <v>290</v>
      </c>
      <c r="C333" s="34" t="s">
        <v>2</v>
      </c>
      <c r="D333" s="34">
        <v>4</v>
      </c>
      <c r="E333" s="34" t="s">
        <v>14</v>
      </c>
      <c r="F333" s="34"/>
      <c r="G333" s="34" t="s">
        <v>12085</v>
      </c>
      <c r="H333" s="110">
        <v>2928</v>
      </c>
      <c r="I333" s="122">
        <v>8.5</v>
      </c>
      <c r="J333" s="111">
        <v>188251699</v>
      </c>
      <c r="K333" s="111">
        <f>IFERROR(Table16[[#This Row],[ROUTE COST]]/Table16[[#This Row],[E - DEMAND]],0)</f>
        <v>36454.628001549187</v>
      </c>
      <c r="L333" s="34">
        <v>5164</v>
      </c>
      <c r="M333" s="34">
        <f>VLOOKUP(Table16[[#This Row],[ROUTE]],DEMAND!A:F,5,FALSE)</f>
        <v>4998</v>
      </c>
      <c r="N333" s="34">
        <f>VLOOKUP(Table16[[#This Row],[ROUTE]],DEMAND!A:F,6,FALSE)</f>
        <v>1038</v>
      </c>
      <c r="O333" s="34">
        <f>ROUNDDOWN(Table16[[#This Row],[R-DEMAND]]/1320,0)</f>
        <v>0</v>
      </c>
      <c r="P333" s="34">
        <f>Table16[[#This Row],[ADD ACC]]*Table16[[#This Row],[Duration]]</f>
        <v>0</v>
      </c>
    </row>
    <row r="334" spans="1:16" x14ac:dyDescent="0.25">
      <c r="A334" s="54" t="s">
        <v>11176</v>
      </c>
      <c r="B334" s="34" t="s">
        <v>190</v>
      </c>
      <c r="C334" s="34" t="s">
        <v>2</v>
      </c>
      <c r="D334" s="34">
        <v>2</v>
      </c>
      <c r="E334" s="34" t="s">
        <v>1323</v>
      </c>
      <c r="F334" s="34"/>
      <c r="G334" s="34" t="s">
        <v>11893</v>
      </c>
      <c r="H334" s="110">
        <v>8569</v>
      </c>
      <c r="I334" s="122">
        <v>21</v>
      </c>
      <c r="J334" s="111">
        <v>223215779</v>
      </c>
      <c r="K334" s="111">
        <f>IFERROR(Table16[[#This Row],[ROUTE COST]]/Table16[[#This Row],[E - DEMAND]],0)</f>
        <v>43334.455251407497</v>
      </c>
      <c r="L334" s="34">
        <v>5151</v>
      </c>
      <c r="M334" s="34">
        <f>VLOOKUP(Table16[[#This Row],[ROUTE]],DEMAND!A:F,5,FALSE)</f>
        <v>4995</v>
      </c>
      <c r="N334" s="34">
        <f>VLOOKUP(Table16[[#This Row],[ROUTE]],DEMAND!A:F,6,FALSE)</f>
        <v>1035</v>
      </c>
      <c r="O334" s="34">
        <f>ROUNDDOWN(Table16[[#This Row],[R-DEMAND]]/1320,0)</f>
        <v>0</v>
      </c>
      <c r="P334" s="34">
        <f>Table16[[#This Row],[ADD ACC]]*Table16[[#This Row],[Duration]]</f>
        <v>0</v>
      </c>
    </row>
    <row r="335" spans="1:16" x14ac:dyDescent="0.25">
      <c r="A335" s="54" t="s">
        <v>11257</v>
      </c>
      <c r="B335" s="34" t="s">
        <v>361</v>
      </c>
      <c r="C335" s="34" t="s">
        <v>2</v>
      </c>
      <c r="D335" s="34">
        <v>4</v>
      </c>
      <c r="E335" s="34" t="s">
        <v>14</v>
      </c>
      <c r="F335" s="34"/>
      <c r="G335" s="34" t="s">
        <v>11096</v>
      </c>
      <c r="H335" s="110">
        <v>3986</v>
      </c>
      <c r="I335" s="122">
        <v>11</v>
      </c>
      <c r="J335" s="111">
        <v>205366756</v>
      </c>
      <c r="K335" s="111">
        <f>IFERROR(Table16[[#This Row],[ROUTE COST]]/Table16[[#This Row],[E - DEMAND]],0)</f>
        <v>41758.185441236274</v>
      </c>
      <c r="L335" s="34">
        <v>4918</v>
      </c>
      <c r="M335" s="34">
        <f>VLOOKUP(Table16[[#This Row],[ROUTE]],DEMAND!A:F,5,FALSE)</f>
        <v>4984</v>
      </c>
      <c r="N335" s="34">
        <f>VLOOKUP(Table16[[#This Row],[ROUTE]],DEMAND!A:F,6,FALSE)</f>
        <v>1024</v>
      </c>
      <c r="O335" s="34">
        <f>ROUNDDOWN(Table16[[#This Row],[R-DEMAND]]/1320,0)</f>
        <v>0</v>
      </c>
      <c r="P335" s="34">
        <f>Table16[[#This Row],[ADD ACC]]*Table16[[#This Row],[Duration]]</f>
        <v>0</v>
      </c>
    </row>
    <row r="336" spans="1:16" x14ac:dyDescent="0.25">
      <c r="A336" s="54" t="s">
        <v>12619</v>
      </c>
      <c r="B336" s="34" t="s">
        <v>5663</v>
      </c>
      <c r="C336" s="34" t="s">
        <v>2</v>
      </c>
      <c r="D336" s="34">
        <v>4</v>
      </c>
      <c r="E336" s="34" t="s">
        <v>700</v>
      </c>
      <c r="F336" s="34"/>
      <c r="G336" s="34" t="s">
        <v>10756</v>
      </c>
      <c r="H336" s="110">
        <v>9178</v>
      </c>
      <c r="I336" s="122">
        <v>22.5</v>
      </c>
      <c r="J336" s="111">
        <v>261537907</v>
      </c>
      <c r="K336" s="111">
        <f>IFERROR(Table16[[#This Row],[ROUTE COST]]/Table16[[#This Row],[E - DEMAND]],0)</f>
        <v>52570.433567839194</v>
      </c>
      <c r="L336" s="34">
        <v>4975</v>
      </c>
      <c r="M336" s="34">
        <f>VLOOKUP(Table16[[#This Row],[ROUTE]],DEMAND!A:F,5,FALSE)</f>
        <v>4977</v>
      </c>
      <c r="N336" s="34">
        <f>VLOOKUP(Table16[[#This Row],[ROUTE]],DEMAND!A:F,6,FALSE)</f>
        <v>1017</v>
      </c>
      <c r="O336" s="34">
        <f>ROUNDDOWN(Table16[[#This Row],[R-DEMAND]]/1320,0)</f>
        <v>0</v>
      </c>
      <c r="P336" s="34">
        <f>Table16[[#This Row],[ADD ACC]]*Table16[[#This Row],[Duration]]</f>
        <v>0</v>
      </c>
    </row>
    <row r="337" spans="1:16" x14ac:dyDescent="0.25">
      <c r="A337" s="54" t="s">
        <v>11276</v>
      </c>
      <c r="B337" s="34" t="s">
        <v>68</v>
      </c>
      <c r="C337" s="34" t="s">
        <v>2</v>
      </c>
      <c r="D337" s="34">
        <v>4</v>
      </c>
      <c r="E337" s="34" t="s">
        <v>14</v>
      </c>
      <c r="F337" s="34"/>
      <c r="G337" s="34" t="s">
        <v>12091</v>
      </c>
      <c r="H337" s="110">
        <v>2733</v>
      </c>
      <c r="I337" s="122">
        <v>8.25</v>
      </c>
      <c r="J337" s="111">
        <v>185542474</v>
      </c>
      <c r="K337" s="111">
        <f>IFERROR(Table16[[#This Row],[ROUTE COST]]/Table16[[#This Row],[E - DEMAND]],0)</f>
        <v>37750.249033570704</v>
      </c>
      <c r="L337" s="34">
        <v>4915</v>
      </c>
      <c r="M337" s="34">
        <f>VLOOKUP(Table16[[#This Row],[ROUTE]],DEMAND!A:F,5,FALSE)</f>
        <v>4971</v>
      </c>
      <c r="N337" s="34">
        <f>VLOOKUP(Table16[[#This Row],[ROUTE]],DEMAND!A:F,6,FALSE)</f>
        <v>1011</v>
      </c>
      <c r="O337" s="34">
        <f>ROUNDDOWN(Table16[[#This Row],[R-DEMAND]]/1320,0)</f>
        <v>0</v>
      </c>
      <c r="P337" s="34">
        <f>Table16[[#This Row],[ADD ACC]]*Table16[[#This Row],[Duration]]</f>
        <v>0</v>
      </c>
    </row>
    <row r="338" spans="1:16" x14ac:dyDescent="0.25">
      <c r="A338" s="54" t="s">
        <v>11236</v>
      </c>
      <c r="B338" s="34" t="s">
        <v>117</v>
      </c>
      <c r="C338" s="34" t="s">
        <v>2</v>
      </c>
      <c r="D338" s="34">
        <v>3</v>
      </c>
      <c r="E338" s="34" t="s">
        <v>4853</v>
      </c>
      <c r="F338" s="34"/>
      <c r="G338" s="34" t="s">
        <v>12103</v>
      </c>
      <c r="H338" s="110">
        <v>1975</v>
      </c>
      <c r="I338" s="122">
        <v>6.5</v>
      </c>
      <c r="J338" s="141">
        <v>216000000</v>
      </c>
      <c r="K338" s="111">
        <f>IFERROR(Table16[[#This Row],[ROUTE COST]]/Table16[[#This Row],[E - DEMAND]],0)</f>
        <v>43947.100712105799</v>
      </c>
      <c r="L338" s="34">
        <v>4915</v>
      </c>
      <c r="M338" s="34">
        <f>VLOOKUP(Table16[[#This Row],[ROUTE]],DEMAND!A:F,5,FALSE)</f>
        <v>4966</v>
      </c>
      <c r="N338" s="34">
        <f>VLOOKUP(Table16[[#This Row],[ROUTE]],DEMAND!A:F,6,FALSE)</f>
        <v>1006</v>
      </c>
      <c r="O338" s="34">
        <f>ROUNDDOWN(Table16[[#This Row],[R-DEMAND]]/1320,0)</f>
        <v>0</v>
      </c>
      <c r="P338" s="34">
        <f>Table16[[#This Row],[ADD ACC]]*Table16[[#This Row],[Duration]]</f>
        <v>0</v>
      </c>
    </row>
    <row r="339" spans="1:16" x14ac:dyDescent="0.25">
      <c r="A339" s="54" t="s">
        <v>12280</v>
      </c>
      <c r="B339" s="34" t="s">
        <v>4548</v>
      </c>
      <c r="C339" s="34" t="s">
        <v>2</v>
      </c>
      <c r="D339" s="34">
        <v>2</v>
      </c>
      <c r="E339" s="34" t="s">
        <v>4546</v>
      </c>
      <c r="F339" s="34"/>
      <c r="G339" s="34" t="s">
        <v>11821</v>
      </c>
      <c r="H339" s="110">
        <v>10114</v>
      </c>
      <c r="I339" s="122">
        <v>24.5</v>
      </c>
      <c r="J339" s="111">
        <v>240197787</v>
      </c>
      <c r="K339" s="111">
        <f>IFERROR(Table16[[#This Row],[ROUTE COST]]/Table16[[#This Row],[E - DEMAND]],0)</f>
        <v>48485.625151392815</v>
      </c>
      <c r="L339" s="34">
        <v>4954</v>
      </c>
      <c r="M339" s="34">
        <f>VLOOKUP(Table16[[#This Row],[ROUTE]],DEMAND!A:F,5,FALSE)</f>
        <v>4959</v>
      </c>
      <c r="N339" s="34">
        <f>VLOOKUP(Table16[[#This Row],[ROUTE]],DEMAND!A:F,6,FALSE)</f>
        <v>999</v>
      </c>
      <c r="O339" s="34">
        <f>ROUNDDOWN(Table16[[#This Row],[R-DEMAND]]/1320,0)</f>
        <v>0</v>
      </c>
      <c r="P339" s="34">
        <f>Table16[[#This Row],[ADD ACC]]*Table16[[#This Row],[Duration]]</f>
        <v>0</v>
      </c>
    </row>
    <row r="340" spans="1:16" x14ac:dyDescent="0.25">
      <c r="A340" s="54" t="s">
        <v>11367</v>
      </c>
      <c r="B340" s="34" t="s">
        <v>450</v>
      </c>
      <c r="C340" s="34" t="s">
        <v>2</v>
      </c>
      <c r="D340" s="34">
        <v>4</v>
      </c>
      <c r="E340" s="34" t="s">
        <v>493</v>
      </c>
      <c r="F340" s="34"/>
      <c r="G340" s="34" t="s">
        <v>11112</v>
      </c>
      <c r="H340" s="110">
        <v>11614</v>
      </c>
      <c r="I340" s="122">
        <v>27.75</v>
      </c>
      <c r="J340" s="111">
        <v>273293576</v>
      </c>
      <c r="K340" s="111">
        <f>IFERROR(Table16[[#This Row],[ROUTE COST]]/Table16[[#This Row],[E - DEMAND]],0)</f>
        <v>53429.829130009777</v>
      </c>
      <c r="L340" s="34">
        <v>5115</v>
      </c>
      <c r="M340" s="34">
        <f>VLOOKUP(Table16[[#This Row],[ROUTE]],DEMAND!A:F,5,FALSE)</f>
        <v>4950</v>
      </c>
      <c r="N340" s="34">
        <f>VLOOKUP(Table16[[#This Row],[ROUTE]],DEMAND!A:F,6,FALSE)</f>
        <v>990</v>
      </c>
      <c r="O340" s="34">
        <f>ROUNDDOWN(Table16[[#This Row],[R-DEMAND]]/1320,0)</f>
        <v>0</v>
      </c>
      <c r="P340" s="34">
        <f>Table16[[#This Row],[ADD ACC]]*Table16[[#This Row],[Duration]]</f>
        <v>0</v>
      </c>
    </row>
    <row r="341" spans="1:16" x14ac:dyDescent="0.25">
      <c r="A341" s="54" t="s">
        <v>11347</v>
      </c>
      <c r="B341" s="34" t="s">
        <v>130</v>
      </c>
      <c r="C341" s="34" t="s">
        <v>2</v>
      </c>
      <c r="D341" s="34">
        <v>5</v>
      </c>
      <c r="E341" s="34" t="s">
        <v>14</v>
      </c>
      <c r="F341" s="34"/>
      <c r="G341" s="34" t="s">
        <v>12020</v>
      </c>
      <c r="H341" s="110">
        <v>5239</v>
      </c>
      <c r="I341" s="122">
        <v>13.75</v>
      </c>
      <c r="J341" s="141">
        <v>216000000</v>
      </c>
      <c r="K341" s="111">
        <f>IFERROR(Table16[[#This Row],[ROUTE COST]]/Table16[[#This Row],[E - DEMAND]],0)</f>
        <v>42369.55668889761</v>
      </c>
      <c r="L341" s="34">
        <v>5098</v>
      </c>
      <c r="M341" s="34">
        <f>VLOOKUP(Table16[[#This Row],[ROUTE]],DEMAND!A:F,5,FALSE)</f>
        <v>4933</v>
      </c>
      <c r="N341" s="34">
        <f>VLOOKUP(Table16[[#This Row],[ROUTE]],DEMAND!A:F,6,FALSE)</f>
        <v>973</v>
      </c>
      <c r="O341" s="34">
        <f>ROUNDDOWN(Table16[[#This Row],[R-DEMAND]]/1320,0)</f>
        <v>0</v>
      </c>
      <c r="P341" s="34">
        <f>Table16[[#This Row],[ADD ACC]]*Table16[[#This Row],[Duration]]</f>
        <v>0</v>
      </c>
    </row>
    <row r="342" spans="1:16" x14ac:dyDescent="0.25">
      <c r="A342" s="54" t="s">
        <v>12616</v>
      </c>
      <c r="B342" s="34" t="s">
        <v>353</v>
      </c>
      <c r="C342" s="34" t="s">
        <v>2</v>
      </c>
      <c r="D342" s="34">
        <v>4</v>
      </c>
      <c r="E342" s="34" t="s">
        <v>926</v>
      </c>
      <c r="F342" s="34"/>
      <c r="G342" s="34" t="s">
        <v>11094</v>
      </c>
      <c r="H342" s="110">
        <v>9451</v>
      </c>
      <c r="I342" s="122">
        <v>23</v>
      </c>
      <c r="J342" s="141">
        <v>216000000</v>
      </c>
      <c r="K342" s="111">
        <f>IFERROR(Table16[[#This Row],[ROUTE COST]]/Table16[[#This Row],[E - DEMAND]],0)</f>
        <v>0</v>
      </c>
      <c r="L342" s="34"/>
      <c r="M342" s="34">
        <f>VLOOKUP(Table16[[#This Row],[ROUTE]],DEMAND!A:F,5,FALSE)</f>
        <v>4927</v>
      </c>
      <c r="N342" s="34">
        <f>VLOOKUP(Table16[[#This Row],[ROUTE]],DEMAND!A:F,6,FALSE)</f>
        <v>-1673</v>
      </c>
      <c r="O342" s="34">
        <f>ROUNDDOWN(Table16[[#This Row],[R-DEMAND]]/1320,0)</f>
        <v>-1</v>
      </c>
      <c r="P342" s="34">
        <f>Table16[[#This Row],[ADD ACC]]*Table16[[#This Row],[Duration]]</f>
        <v>-23</v>
      </c>
    </row>
    <row r="343" spans="1:16" x14ac:dyDescent="0.25">
      <c r="A343" s="54" t="s">
        <v>12250</v>
      </c>
      <c r="B343" s="34" t="s">
        <v>2907</v>
      </c>
      <c r="C343" s="34" t="s">
        <v>2</v>
      </c>
      <c r="D343" s="34">
        <v>2</v>
      </c>
      <c r="E343" s="34" t="s">
        <v>2059</v>
      </c>
      <c r="F343" s="34"/>
      <c r="G343" s="34" t="s">
        <v>11751</v>
      </c>
      <c r="H343" s="110">
        <v>11152</v>
      </c>
      <c r="I343" s="122">
        <v>26.75</v>
      </c>
      <c r="K343" s="111">
        <f>IFERROR(Table16[[#This Row],[ROUTE COST]]/Table16[[#This Row],[E - DEMAND]],0)</f>
        <v>0</v>
      </c>
      <c r="L343" s="34"/>
      <c r="M343" s="34">
        <f>VLOOKUP(Table16[[#This Row],[ROUTE]],DEMAND!A:F,5,FALSE)</f>
        <v>4916</v>
      </c>
      <c r="N343" s="34">
        <f>VLOOKUP(Table16[[#This Row],[ROUTE]],DEMAND!A:F,6,FALSE)</f>
        <v>956</v>
      </c>
      <c r="O343" s="34">
        <f>ROUNDDOWN(Table16[[#This Row],[R-DEMAND]]/1320,0)</f>
        <v>0</v>
      </c>
      <c r="P343" s="34">
        <f>Table16[[#This Row],[ADD ACC]]*Table16[[#This Row],[Duration]]</f>
        <v>0</v>
      </c>
    </row>
    <row r="344" spans="1:16" x14ac:dyDescent="0.25">
      <c r="A344" s="54" t="s">
        <v>12644</v>
      </c>
      <c r="B344" s="34" t="s">
        <v>5597</v>
      </c>
      <c r="C344" s="34" t="s">
        <v>2</v>
      </c>
      <c r="D344" s="34">
        <v>4</v>
      </c>
      <c r="E344" s="34" t="s">
        <v>14</v>
      </c>
      <c r="F344" s="34"/>
      <c r="G344" s="34" t="s">
        <v>11027</v>
      </c>
      <c r="H344" s="110">
        <v>3630</v>
      </c>
      <c r="I344" s="122">
        <v>10.25</v>
      </c>
      <c r="J344" s="111">
        <v>198989136</v>
      </c>
      <c r="K344" s="111">
        <f>IFERROR(Table16[[#This Row],[ROUTE COST]]/Table16[[#This Row],[E - DEMAND]],0)</f>
        <v>40502.571951964179</v>
      </c>
      <c r="L344" s="34">
        <v>4913</v>
      </c>
      <c r="M344" s="34">
        <f>VLOOKUP(Table16[[#This Row],[ROUTE]],DEMAND!A:F,5,FALSE)</f>
        <v>4914</v>
      </c>
      <c r="N344" s="34">
        <f>VLOOKUP(Table16[[#This Row],[ROUTE]],DEMAND!A:F,6,FALSE)</f>
        <v>954</v>
      </c>
      <c r="O344" s="34">
        <f>ROUNDDOWN(Table16[[#This Row],[R-DEMAND]]/1320,0)</f>
        <v>0</v>
      </c>
      <c r="P344" s="34">
        <f>Table16[[#This Row],[ADD ACC]]*Table16[[#This Row],[Duration]]</f>
        <v>0</v>
      </c>
    </row>
    <row r="345" spans="1:16" x14ac:dyDescent="0.25">
      <c r="A345" s="54" t="s">
        <v>11217</v>
      </c>
      <c r="B345" s="34" t="s">
        <v>122</v>
      </c>
      <c r="C345" s="34" t="s">
        <v>2</v>
      </c>
      <c r="D345" s="34">
        <v>5</v>
      </c>
      <c r="E345" s="34" t="s">
        <v>14</v>
      </c>
      <c r="F345" s="34"/>
      <c r="G345" s="34" t="s">
        <v>121</v>
      </c>
      <c r="H345" s="110">
        <v>5173</v>
      </c>
      <c r="I345" s="122">
        <v>13.5</v>
      </c>
      <c r="J345" s="111">
        <v>237668524</v>
      </c>
      <c r="K345" s="111">
        <f>IFERROR(Table16[[#This Row],[ROUTE COST]]/Table16[[#This Row],[E - DEMAND]],0)</f>
        <v>49105.066942148762</v>
      </c>
      <c r="L345" s="34">
        <v>4840</v>
      </c>
      <c r="M345" s="34">
        <f>VLOOKUP(Table16[[#This Row],[ROUTE]],DEMAND!A:F,5,FALSE)</f>
        <v>4907</v>
      </c>
      <c r="N345" s="34">
        <f>VLOOKUP(Table16[[#This Row],[ROUTE]],DEMAND!A:F,6,FALSE)</f>
        <v>947</v>
      </c>
      <c r="O345" s="34">
        <f>ROUNDDOWN(Table16[[#This Row],[R-DEMAND]]/1320,0)</f>
        <v>0</v>
      </c>
      <c r="P345" s="34">
        <f>Table16[[#This Row],[ADD ACC]]*Table16[[#This Row],[Duration]]</f>
        <v>0</v>
      </c>
    </row>
    <row r="346" spans="1:16" x14ac:dyDescent="0.25">
      <c r="A346" s="54" t="s">
        <v>11366</v>
      </c>
      <c r="B346" s="34" t="s">
        <v>198</v>
      </c>
      <c r="C346" s="34" t="s">
        <v>2</v>
      </c>
      <c r="D346" s="34">
        <v>3</v>
      </c>
      <c r="E346" s="34" t="s">
        <v>197</v>
      </c>
      <c r="F346" s="34"/>
      <c r="G346" s="34" t="s">
        <v>12017</v>
      </c>
      <c r="H346" s="110">
        <v>5408</v>
      </c>
      <c r="I346" s="122">
        <v>14</v>
      </c>
      <c r="J346" s="111">
        <v>203573359</v>
      </c>
      <c r="K346" s="111">
        <f>IFERROR(Table16[[#This Row],[ROUTE COST]]/Table16[[#This Row],[E - DEMAND]],0)</f>
        <v>40192.173543928926</v>
      </c>
      <c r="L346" s="34">
        <v>5065</v>
      </c>
      <c r="M346" s="34">
        <f>VLOOKUP(Table16[[#This Row],[ROUTE]],DEMAND!A:F,5,FALSE)</f>
        <v>4901</v>
      </c>
      <c r="N346" s="34">
        <f>VLOOKUP(Table16[[#This Row],[ROUTE]],DEMAND!A:F,6,FALSE)</f>
        <v>941</v>
      </c>
      <c r="O346" s="34">
        <f>ROUNDDOWN(Table16[[#This Row],[R-DEMAND]]/1320,0)</f>
        <v>0</v>
      </c>
      <c r="P346" s="34">
        <f>Table16[[#This Row],[ADD ACC]]*Table16[[#This Row],[Duration]]</f>
        <v>0</v>
      </c>
    </row>
    <row r="347" spans="1:16" x14ac:dyDescent="0.25">
      <c r="A347" s="54" t="s">
        <v>11226</v>
      </c>
      <c r="B347" s="34" t="s">
        <v>18</v>
      </c>
      <c r="C347" s="34" t="s">
        <v>2</v>
      </c>
      <c r="D347" s="34">
        <v>4</v>
      </c>
      <c r="E347" s="34" t="s">
        <v>14</v>
      </c>
      <c r="F347" s="34"/>
      <c r="G347" s="34" t="s">
        <v>11028</v>
      </c>
      <c r="H347" s="110">
        <v>4182</v>
      </c>
      <c r="I347" s="122">
        <v>11.5</v>
      </c>
      <c r="J347" s="111">
        <v>204494930</v>
      </c>
      <c r="K347" s="111">
        <f>IFERROR(Table16[[#This Row],[ROUTE COST]]/Table16[[#This Row],[E - DEMAND]],0)</f>
        <v>42435.137995434736</v>
      </c>
      <c r="L347" s="34">
        <v>4819</v>
      </c>
      <c r="M347" s="34">
        <f>VLOOKUP(Table16[[#This Row],[ROUTE]],DEMAND!A:F,5,FALSE)</f>
        <v>4884</v>
      </c>
      <c r="N347" s="34">
        <f>VLOOKUP(Table16[[#This Row],[ROUTE]],DEMAND!A:F,6,FALSE)</f>
        <v>924</v>
      </c>
      <c r="O347" s="34">
        <f>ROUNDDOWN(Table16[[#This Row],[R-DEMAND]]/1320,0)</f>
        <v>0</v>
      </c>
      <c r="P347" s="34">
        <f>Table16[[#This Row],[ADD ACC]]*Table16[[#This Row],[Duration]]</f>
        <v>0</v>
      </c>
    </row>
    <row r="348" spans="1:16" x14ac:dyDescent="0.25">
      <c r="A348" s="54" t="s">
        <v>12277</v>
      </c>
      <c r="B348" s="34" t="s">
        <v>3292</v>
      </c>
      <c r="C348" s="34" t="s">
        <v>2</v>
      </c>
      <c r="D348" s="34">
        <v>2</v>
      </c>
      <c r="E348" s="34" t="s">
        <v>644</v>
      </c>
      <c r="F348" s="34"/>
      <c r="G348" s="34" t="s">
        <v>11815</v>
      </c>
      <c r="H348" s="110">
        <v>10164</v>
      </c>
      <c r="I348" s="122">
        <v>24.75</v>
      </c>
      <c r="J348" s="111">
        <v>231838654</v>
      </c>
      <c r="K348" s="111">
        <f>IFERROR(Table16[[#This Row],[ROUTE COST]]/Table16[[#This Row],[E - DEMAND]],0)</f>
        <v>47930.257184205089</v>
      </c>
      <c r="L348" s="34">
        <v>4837</v>
      </c>
      <c r="M348" s="34">
        <f>VLOOKUP(Table16[[#This Row],[ROUTE]],DEMAND!A:F,5,FALSE)</f>
        <v>4842</v>
      </c>
      <c r="N348" s="34">
        <f>VLOOKUP(Table16[[#This Row],[ROUTE]],DEMAND!A:F,6,FALSE)</f>
        <v>882</v>
      </c>
      <c r="O348" s="34">
        <f>ROUNDDOWN(Table16[[#This Row],[R-DEMAND]]/1320,0)</f>
        <v>0</v>
      </c>
      <c r="P348" s="34">
        <f>Table16[[#This Row],[ADD ACC]]*Table16[[#This Row],[Duration]]</f>
        <v>0</v>
      </c>
    </row>
    <row r="349" spans="1:16" x14ac:dyDescent="0.25">
      <c r="A349" s="54" t="s">
        <v>12441</v>
      </c>
      <c r="B349" s="34" t="s">
        <v>4816</v>
      </c>
      <c r="C349" s="34" t="s">
        <v>2</v>
      </c>
      <c r="D349" s="34">
        <v>3</v>
      </c>
      <c r="E349" s="34" t="s">
        <v>608</v>
      </c>
      <c r="F349" s="34"/>
      <c r="G349" s="34" t="s">
        <v>11674</v>
      </c>
      <c r="H349" s="110">
        <v>12850</v>
      </c>
      <c r="I349" s="122">
        <v>30.5</v>
      </c>
      <c r="K349" s="111">
        <f>IFERROR(Table16[[#This Row],[ROUTE COST]]/Table16[[#This Row],[E - DEMAND]],0)</f>
        <v>0</v>
      </c>
      <c r="L349" s="34"/>
      <c r="M349" s="34">
        <f>VLOOKUP(Table16[[#This Row],[ROUTE]],DEMAND!A:F,5,FALSE)</f>
        <v>4838</v>
      </c>
      <c r="N349" s="34">
        <f>VLOOKUP(Table16[[#This Row],[ROUTE]],DEMAND!A:F,6,FALSE)</f>
        <v>878</v>
      </c>
      <c r="O349" s="34">
        <f>ROUNDDOWN(Table16[[#This Row],[R-DEMAND]]/1320,0)</f>
        <v>0</v>
      </c>
      <c r="P349" s="34">
        <f>Table16[[#This Row],[ADD ACC]]*Table16[[#This Row],[Duration]]</f>
        <v>0</v>
      </c>
    </row>
    <row r="350" spans="1:16" x14ac:dyDescent="0.25">
      <c r="A350" s="54" t="s">
        <v>11179</v>
      </c>
      <c r="B350" s="34" t="s">
        <v>422</v>
      </c>
      <c r="C350" s="34" t="s">
        <v>2</v>
      </c>
      <c r="D350" s="34">
        <v>2</v>
      </c>
      <c r="E350" s="34" t="s">
        <v>11922</v>
      </c>
      <c r="F350" s="34"/>
      <c r="G350" s="34" t="s">
        <v>11923</v>
      </c>
      <c r="H350" s="110">
        <v>7891</v>
      </c>
      <c r="I350" s="122">
        <v>19.5</v>
      </c>
      <c r="J350" s="111">
        <v>218478639</v>
      </c>
      <c r="K350" s="111">
        <f>IFERROR(Table16[[#This Row],[ROUTE COST]]/Table16[[#This Row],[E - DEMAND]],0)</f>
        <v>46435.4174282678</v>
      </c>
      <c r="L350" s="34">
        <v>4705</v>
      </c>
      <c r="M350" s="34">
        <f>VLOOKUP(Table16[[#This Row],[ROUTE]],DEMAND!A:F,5,FALSE)</f>
        <v>4776</v>
      </c>
      <c r="N350" s="34">
        <f>VLOOKUP(Table16[[#This Row],[ROUTE]],DEMAND!A:F,6,FALSE)</f>
        <v>816</v>
      </c>
      <c r="O350" s="34">
        <f>ROUNDDOWN(Table16[[#This Row],[R-DEMAND]]/1320,0)</f>
        <v>0</v>
      </c>
      <c r="P350" s="34">
        <f>Table16[[#This Row],[ADD ACC]]*Table16[[#This Row],[Duration]]</f>
        <v>0</v>
      </c>
    </row>
    <row r="351" spans="1:16" x14ac:dyDescent="0.25">
      <c r="A351" s="54" t="s">
        <v>11174</v>
      </c>
      <c r="B351" s="34" t="s">
        <v>448</v>
      </c>
      <c r="C351" s="34" t="s">
        <v>2</v>
      </c>
      <c r="D351" s="34">
        <v>3</v>
      </c>
      <c r="E351" s="34" t="s">
        <v>1070</v>
      </c>
      <c r="F351" s="34"/>
      <c r="G351" s="34" t="s">
        <v>12031</v>
      </c>
      <c r="H351" s="110">
        <v>4921</v>
      </c>
      <c r="I351" s="122">
        <v>13</v>
      </c>
      <c r="J351" s="141">
        <v>216000000</v>
      </c>
      <c r="K351" s="111">
        <f>IFERROR(Table16[[#This Row],[ROUTE COST]]/Table16[[#This Row],[E - DEMAND]],0)</f>
        <v>43884.599756196665</v>
      </c>
      <c r="L351" s="34">
        <v>4922</v>
      </c>
      <c r="M351" s="34">
        <f>VLOOKUP(Table16[[#This Row],[ROUTE]],DEMAND!A:F,5,FALSE)</f>
        <v>4762</v>
      </c>
      <c r="N351" s="34">
        <f>VLOOKUP(Table16[[#This Row],[ROUTE]],DEMAND!A:F,6,FALSE)</f>
        <v>802</v>
      </c>
      <c r="O351" s="34">
        <f>ROUNDDOWN(Table16[[#This Row],[R-DEMAND]]/1320,0)</f>
        <v>0</v>
      </c>
      <c r="P351" s="34">
        <f>Table16[[#This Row],[ADD ACC]]*Table16[[#This Row],[Duration]]</f>
        <v>0</v>
      </c>
    </row>
    <row r="352" spans="1:16" x14ac:dyDescent="0.25">
      <c r="A352" s="54" t="s">
        <v>12623</v>
      </c>
      <c r="B352" s="34" t="s">
        <v>5513</v>
      </c>
      <c r="C352" s="34" t="s">
        <v>2</v>
      </c>
      <c r="D352" s="34">
        <v>4</v>
      </c>
      <c r="E352" s="34" t="s">
        <v>1124</v>
      </c>
      <c r="F352" s="34"/>
      <c r="G352" s="34" t="s">
        <v>11042</v>
      </c>
      <c r="H352" s="110">
        <v>8613</v>
      </c>
      <c r="I352" s="122">
        <v>21.25</v>
      </c>
      <c r="J352" s="111">
        <v>244135473</v>
      </c>
      <c r="K352" s="111">
        <f>IFERROR(Table16[[#This Row],[ROUTE COST]]/Table16[[#This Row],[E - DEMAND]],0)</f>
        <v>51245.901133501262</v>
      </c>
      <c r="L352" s="34">
        <v>4764</v>
      </c>
      <c r="M352" s="34">
        <f>VLOOKUP(Table16[[#This Row],[ROUTE]],DEMAND!A:F,5,FALSE)</f>
        <v>4755</v>
      </c>
      <c r="N352" s="34">
        <f>VLOOKUP(Table16[[#This Row],[ROUTE]],DEMAND!A:F,6,FALSE)</f>
        <v>795</v>
      </c>
      <c r="O352" s="34">
        <f>ROUNDDOWN(Table16[[#This Row],[R-DEMAND]]/1320,0)</f>
        <v>0</v>
      </c>
      <c r="P352" s="34">
        <f>Table16[[#This Row],[ADD ACC]]*Table16[[#This Row],[Duration]]</f>
        <v>0</v>
      </c>
    </row>
    <row r="353" spans="1:16" x14ac:dyDescent="0.25">
      <c r="A353" s="54" t="s">
        <v>12146</v>
      </c>
      <c r="B353" s="34" t="s">
        <v>2061</v>
      </c>
      <c r="C353" s="34" t="s">
        <v>2</v>
      </c>
      <c r="D353" s="34">
        <v>1</v>
      </c>
      <c r="E353" s="34" t="s">
        <v>2059</v>
      </c>
      <c r="F353" s="34"/>
      <c r="G353" s="34" t="s">
        <v>11799</v>
      </c>
      <c r="H353" s="110">
        <v>10581</v>
      </c>
      <c r="I353" s="122">
        <v>25.5</v>
      </c>
      <c r="J353" s="111">
        <v>229938707</v>
      </c>
      <c r="K353" s="111">
        <f>IFERROR(Table16[[#This Row],[ROUTE COST]]/Table16[[#This Row],[E - DEMAND]],0)</f>
        <v>48551.247255067567</v>
      </c>
      <c r="L353" s="34">
        <v>4736</v>
      </c>
      <c r="M353" s="34">
        <f>VLOOKUP(Table16[[#This Row],[ROUTE]],DEMAND!A:F,5,FALSE)</f>
        <v>4738</v>
      </c>
      <c r="N353" s="34">
        <f>VLOOKUP(Table16[[#This Row],[ROUTE]],DEMAND!A:F,6,FALSE)</f>
        <v>778</v>
      </c>
      <c r="O353" s="34">
        <f>ROUNDDOWN(Table16[[#This Row],[R-DEMAND]]/1320,0)</f>
        <v>0</v>
      </c>
      <c r="P353" s="34">
        <f>Table16[[#This Row],[ADD ACC]]*Table16[[#This Row],[Duration]]</f>
        <v>0</v>
      </c>
    </row>
    <row r="354" spans="1:16" x14ac:dyDescent="0.25">
      <c r="A354" s="54" t="s">
        <v>12622</v>
      </c>
      <c r="B354" s="34" t="s">
        <v>5471</v>
      </c>
      <c r="C354" s="34" t="s">
        <v>2</v>
      </c>
      <c r="D354" s="34">
        <v>4</v>
      </c>
      <c r="E354" s="34" t="s">
        <v>1124</v>
      </c>
      <c r="F354" s="34"/>
      <c r="G354" s="34" t="s">
        <v>11079</v>
      </c>
      <c r="H354" s="110">
        <v>8649</v>
      </c>
      <c r="I354" s="122">
        <v>21.25</v>
      </c>
      <c r="J354" s="111">
        <v>243176304</v>
      </c>
      <c r="K354" s="111">
        <f>IFERROR(Table16[[#This Row],[ROUTE COST]]/Table16[[#This Row],[E - DEMAND]],0)</f>
        <v>51805.774179804008</v>
      </c>
      <c r="L354" s="34">
        <v>4694</v>
      </c>
      <c r="M354" s="34">
        <f>VLOOKUP(Table16[[#This Row],[ROUTE]],DEMAND!A:F,5,FALSE)</f>
        <v>4695</v>
      </c>
      <c r="N354" s="34">
        <f>VLOOKUP(Table16[[#This Row],[ROUTE]],DEMAND!A:F,6,FALSE)</f>
        <v>735</v>
      </c>
      <c r="O354" s="34">
        <f>ROUNDDOWN(Table16[[#This Row],[R-DEMAND]]/1320,0)</f>
        <v>0</v>
      </c>
      <c r="P354" s="34">
        <f>Table16[[#This Row],[ADD ACC]]*Table16[[#This Row],[Duration]]</f>
        <v>0</v>
      </c>
    </row>
    <row r="355" spans="1:16" x14ac:dyDescent="0.25">
      <c r="A355" s="54" t="s">
        <v>12617</v>
      </c>
      <c r="B355" s="34" t="s">
        <v>5457</v>
      </c>
      <c r="C355" s="34" t="s">
        <v>2</v>
      </c>
      <c r="D355" s="34">
        <v>4</v>
      </c>
      <c r="E355" s="34" t="s">
        <v>700</v>
      </c>
      <c r="F355" s="34"/>
      <c r="G355" s="34" t="s">
        <v>11044</v>
      </c>
      <c r="H355" s="110">
        <v>9405</v>
      </c>
      <c r="I355" s="122">
        <v>23</v>
      </c>
      <c r="J355" s="141">
        <v>216000000</v>
      </c>
      <c r="K355" s="111">
        <f>IFERROR(Table16[[#This Row],[ROUTE COST]]/Table16[[#This Row],[E - DEMAND]],0)</f>
        <v>0</v>
      </c>
      <c r="L355" s="34"/>
      <c r="M355" s="34">
        <f>VLOOKUP(Table16[[#This Row],[ROUTE]],DEMAND!A:F,5,FALSE)</f>
        <v>4694</v>
      </c>
      <c r="N355" s="34">
        <f>VLOOKUP(Table16[[#This Row],[ROUTE]],DEMAND!A:F,6,FALSE)</f>
        <v>-1906</v>
      </c>
      <c r="O355" s="34">
        <f>ROUNDDOWN(Table16[[#This Row],[R-DEMAND]]/1320,0)</f>
        <v>-1</v>
      </c>
      <c r="P355" s="34">
        <f>Table16[[#This Row],[ADD ACC]]*Table16[[#This Row],[Duration]]</f>
        <v>-23</v>
      </c>
    </row>
    <row r="356" spans="1:16" x14ac:dyDescent="0.25">
      <c r="A356" s="54" t="s">
        <v>12420</v>
      </c>
      <c r="B356" s="34" t="s">
        <v>246</v>
      </c>
      <c r="C356" s="34" t="s">
        <v>2</v>
      </c>
      <c r="D356" s="34">
        <v>2</v>
      </c>
      <c r="E356" s="34" t="s">
        <v>1070</v>
      </c>
      <c r="F356" s="34"/>
      <c r="G356" s="34" t="s">
        <v>9268</v>
      </c>
      <c r="H356" s="110">
        <v>4102</v>
      </c>
      <c r="I356" s="122">
        <v>11.25</v>
      </c>
      <c r="K356" s="111">
        <f>IFERROR(Table16[[#This Row],[ROUTE COST]]/Table16[[#This Row],[E - DEMAND]],0)</f>
        <v>0</v>
      </c>
      <c r="L356" s="34"/>
      <c r="M356" s="34">
        <f>VLOOKUP(Table16[[#This Row],[ROUTE]],DEMAND!A:F,5,FALSE)</f>
        <v>4687</v>
      </c>
      <c r="N356" s="34">
        <f>VLOOKUP(Table16[[#This Row],[ROUTE]],DEMAND!A:F,6,FALSE)</f>
        <v>727</v>
      </c>
      <c r="O356" s="34">
        <f>ROUNDDOWN(Table16[[#This Row],[R-DEMAND]]/1320,0)</f>
        <v>0</v>
      </c>
      <c r="P356" s="34">
        <f>Table16[[#This Row],[ADD ACC]]*Table16[[#This Row],[Duration]]</f>
        <v>0</v>
      </c>
    </row>
    <row r="357" spans="1:16" x14ac:dyDescent="0.25">
      <c r="A357" s="54" t="s">
        <v>11242</v>
      </c>
      <c r="B357" s="34" t="s">
        <v>335</v>
      </c>
      <c r="C357" s="34" t="s">
        <v>2</v>
      </c>
      <c r="D357" s="34">
        <v>5</v>
      </c>
      <c r="E357" s="34" t="s">
        <v>78</v>
      </c>
      <c r="F357" s="34"/>
      <c r="G357" s="34" t="s">
        <v>11091</v>
      </c>
      <c r="H357" s="110">
        <v>9264</v>
      </c>
      <c r="I357" s="122">
        <v>22.75</v>
      </c>
      <c r="J357" s="111">
        <v>263963091</v>
      </c>
      <c r="K357" s="111">
        <f>IFERROR(Table16[[#This Row],[ROUTE COST]]/Table16[[#This Row],[E - DEMAND]],0)</f>
        <v>54560.374328234808</v>
      </c>
      <c r="L357" s="34">
        <v>4838</v>
      </c>
      <c r="M357" s="34">
        <f>VLOOKUP(Table16[[#This Row],[ROUTE]],DEMAND!A:F,5,FALSE)</f>
        <v>4680</v>
      </c>
      <c r="N357" s="34">
        <f>VLOOKUP(Table16[[#This Row],[ROUTE]],DEMAND!A:F,6,FALSE)</f>
        <v>720</v>
      </c>
      <c r="O357" s="34">
        <f>ROUNDDOWN(Table16[[#This Row],[R-DEMAND]]/1320,0)</f>
        <v>0</v>
      </c>
      <c r="P357" s="34">
        <f>Table16[[#This Row],[ADD ACC]]*Table16[[#This Row],[Duration]]</f>
        <v>0</v>
      </c>
    </row>
    <row r="358" spans="1:16" x14ac:dyDescent="0.25">
      <c r="A358" s="54" t="s">
        <v>12275</v>
      </c>
      <c r="B358" s="34" t="s">
        <v>2531</v>
      </c>
      <c r="C358" s="34" t="s">
        <v>2</v>
      </c>
      <c r="D358" s="34">
        <v>2</v>
      </c>
      <c r="E358" s="34" t="s">
        <v>644</v>
      </c>
      <c r="F358" s="34"/>
      <c r="G358" s="34" t="s">
        <v>11812</v>
      </c>
      <c r="H358" s="110">
        <v>10205</v>
      </c>
      <c r="I358" s="122">
        <v>24.75</v>
      </c>
      <c r="J358" s="111">
        <v>228213749</v>
      </c>
      <c r="K358" s="111">
        <f>IFERROR(Table16[[#This Row],[ROUTE COST]]/Table16[[#This Row],[E - DEMAND]],0)</f>
        <v>49025.509989258862</v>
      </c>
      <c r="L358" s="34">
        <v>4655</v>
      </c>
      <c r="M358" s="34">
        <f>VLOOKUP(Table16[[#This Row],[ROUTE]],DEMAND!A:F,5,FALSE)</f>
        <v>4659</v>
      </c>
      <c r="N358" s="34">
        <f>VLOOKUP(Table16[[#This Row],[ROUTE]],DEMAND!A:F,6,FALSE)</f>
        <v>699</v>
      </c>
      <c r="O358" s="34">
        <f>ROUNDDOWN(Table16[[#This Row],[R-DEMAND]]/1320,0)</f>
        <v>0</v>
      </c>
      <c r="P358" s="34">
        <f>Table16[[#This Row],[ADD ACC]]*Table16[[#This Row],[Duration]]</f>
        <v>0</v>
      </c>
    </row>
    <row r="359" spans="1:16" x14ac:dyDescent="0.25">
      <c r="A359" s="54" t="s">
        <v>11260</v>
      </c>
      <c r="B359" s="34" t="s">
        <v>147</v>
      </c>
      <c r="C359" s="34" t="s">
        <v>2</v>
      </c>
      <c r="D359" s="34">
        <v>4</v>
      </c>
      <c r="E359" s="34" t="s">
        <v>14</v>
      </c>
      <c r="F359" s="34"/>
      <c r="G359" s="34" t="s">
        <v>146</v>
      </c>
      <c r="H359" s="110">
        <v>4431</v>
      </c>
      <c r="I359" s="122">
        <v>12</v>
      </c>
      <c r="J359" s="111">
        <v>206512980</v>
      </c>
      <c r="K359" s="111">
        <f>IFERROR(Table16[[#This Row],[ROUTE COST]]/Table16[[#This Row],[E - DEMAND]],0)</f>
        <v>43032.502604709312</v>
      </c>
      <c r="L359" s="34">
        <v>4799</v>
      </c>
      <c r="M359" s="34">
        <f>VLOOKUP(Table16[[#This Row],[ROUTE]],DEMAND!A:F,5,FALSE)</f>
        <v>4646</v>
      </c>
      <c r="N359" s="34">
        <f>VLOOKUP(Table16[[#This Row],[ROUTE]],DEMAND!A:F,6,FALSE)</f>
        <v>686</v>
      </c>
      <c r="O359" s="34">
        <f>ROUNDDOWN(Table16[[#This Row],[R-DEMAND]]/1320,0)</f>
        <v>0</v>
      </c>
      <c r="P359" s="34">
        <f>Table16[[#This Row],[ADD ACC]]*Table16[[#This Row],[Duration]]</f>
        <v>0</v>
      </c>
    </row>
    <row r="360" spans="1:16" x14ac:dyDescent="0.25">
      <c r="A360" s="54" t="s">
        <v>12530</v>
      </c>
      <c r="B360" s="34" t="s">
        <v>4756</v>
      </c>
      <c r="C360" s="34" t="s">
        <v>2</v>
      </c>
      <c r="D360" s="34">
        <v>3</v>
      </c>
      <c r="E360" s="34" t="s">
        <v>1289</v>
      </c>
      <c r="F360" s="34"/>
      <c r="G360" s="34" t="s">
        <v>11945</v>
      </c>
      <c r="H360" s="110">
        <v>7283</v>
      </c>
      <c r="I360" s="122">
        <v>18.25</v>
      </c>
      <c r="J360" s="111">
        <v>214365171</v>
      </c>
      <c r="K360" s="111">
        <f>IFERROR(Table16[[#This Row],[ROUTE COST]]/Table16[[#This Row],[E - DEMAND]],0)</f>
        <v>46179.485351141746</v>
      </c>
      <c r="L360" s="34">
        <v>4642</v>
      </c>
      <c r="M360" s="34">
        <f>VLOOKUP(Table16[[#This Row],[ROUTE]],DEMAND!A:F,5,FALSE)</f>
        <v>4644</v>
      </c>
      <c r="N360" s="34">
        <f>VLOOKUP(Table16[[#This Row],[ROUTE]],DEMAND!A:F,6,FALSE)</f>
        <v>684</v>
      </c>
      <c r="O360" s="34">
        <f>ROUNDDOWN(Table16[[#This Row],[R-DEMAND]]/1320,0)</f>
        <v>0</v>
      </c>
      <c r="P360" s="34">
        <f>Table16[[#This Row],[ADD ACC]]*Table16[[#This Row],[Duration]]</f>
        <v>0</v>
      </c>
    </row>
    <row r="361" spans="1:16" x14ac:dyDescent="0.25">
      <c r="A361" s="54" t="s">
        <v>12504</v>
      </c>
      <c r="B361" s="34" t="s">
        <v>5443</v>
      </c>
      <c r="C361" s="34" t="s">
        <v>2</v>
      </c>
      <c r="D361" s="34">
        <v>3</v>
      </c>
      <c r="E361" s="34" t="s">
        <v>700</v>
      </c>
      <c r="F361" s="34"/>
      <c r="G361" s="34" t="s">
        <v>11847</v>
      </c>
      <c r="H361" s="110">
        <v>9524</v>
      </c>
      <c r="I361" s="122">
        <v>23.25</v>
      </c>
      <c r="K361" s="111">
        <f>IFERROR(Table16[[#This Row],[ROUTE COST]]/Table16[[#This Row],[E - DEMAND]],0)</f>
        <v>0</v>
      </c>
      <c r="L361" s="34"/>
      <c r="M361" s="34">
        <f>VLOOKUP(Table16[[#This Row],[ROUTE]],DEMAND!A:F,5,FALSE)</f>
        <v>4641</v>
      </c>
      <c r="N361" s="34">
        <f>VLOOKUP(Table16[[#This Row],[ROUTE]],DEMAND!A:F,6,FALSE)</f>
        <v>681</v>
      </c>
      <c r="O361" s="34">
        <f>ROUNDDOWN(Table16[[#This Row],[R-DEMAND]]/1320,0)</f>
        <v>0</v>
      </c>
      <c r="P361" s="34">
        <f>Table16[[#This Row],[ADD ACC]]*Table16[[#This Row],[Duration]]</f>
        <v>0</v>
      </c>
    </row>
    <row r="362" spans="1:16" x14ac:dyDescent="0.25">
      <c r="A362" s="54" t="s">
        <v>12572</v>
      </c>
      <c r="B362" s="34" t="s">
        <v>5406</v>
      </c>
      <c r="C362" s="34" t="s">
        <v>2</v>
      </c>
      <c r="D362" s="34">
        <v>3</v>
      </c>
      <c r="E362" s="34" t="s">
        <v>14</v>
      </c>
      <c r="F362" s="34"/>
      <c r="G362" s="34" t="s">
        <v>12074</v>
      </c>
      <c r="H362" s="110">
        <v>3618</v>
      </c>
      <c r="I362" s="122">
        <v>10.25</v>
      </c>
      <c r="J362" s="111">
        <v>190479782</v>
      </c>
      <c r="K362" s="111">
        <f>IFERROR(Table16[[#This Row],[ROUTE COST]]/Table16[[#This Row],[E - DEMAND]],0)</f>
        <v>41238.31608573284</v>
      </c>
      <c r="L362" s="34">
        <v>4619</v>
      </c>
      <c r="M362" s="34">
        <f>VLOOKUP(Table16[[#This Row],[ROUTE]],DEMAND!A:F,5,FALSE)</f>
        <v>4621</v>
      </c>
      <c r="N362" s="34">
        <f>VLOOKUP(Table16[[#This Row],[ROUTE]],DEMAND!A:F,6,FALSE)</f>
        <v>1981</v>
      </c>
      <c r="O362" s="34">
        <f>ROUNDDOWN(Table16[[#This Row],[R-DEMAND]]/1320,0)</f>
        <v>1</v>
      </c>
      <c r="P362" s="34">
        <f>Table16[[#This Row],[ADD ACC]]*Table16[[#This Row],[Duration]]</f>
        <v>10.25</v>
      </c>
    </row>
    <row r="363" spans="1:16" x14ac:dyDescent="0.25">
      <c r="A363" s="54" t="s">
        <v>12568</v>
      </c>
      <c r="B363" s="34" t="s">
        <v>8728</v>
      </c>
      <c r="C363" s="34" t="s">
        <v>2</v>
      </c>
      <c r="D363" s="34">
        <v>3</v>
      </c>
      <c r="E363" s="34" t="s">
        <v>14</v>
      </c>
      <c r="F363" s="34"/>
      <c r="G363" s="34" t="s">
        <v>12054</v>
      </c>
      <c r="H363" s="110">
        <v>4284</v>
      </c>
      <c r="I363" s="122">
        <v>11.5</v>
      </c>
      <c r="J363" s="111">
        <v>194517950</v>
      </c>
      <c r="K363" s="111">
        <f>IFERROR(Table16[[#This Row],[ROUTE COST]]/Table16[[#This Row],[E - DEMAND]],0)</f>
        <v>44038.476341408197</v>
      </c>
      <c r="L363" s="34">
        <v>4417</v>
      </c>
      <c r="M363" s="34">
        <f>VLOOKUP(Table16[[#This Row],[ROUTE]],DEMAND!A:F,5,FALSE)</f>
        <v>4613</v>
      </c>
      <c r="N363" s="34">
        <f>VLOOKUP(Table16[[#This Row],[ROUTE]],DEMAND!A:F,6,FALSE)</f>
        <v>653</v>
      </c>
      <c r="O363" s="34">
        <f>ROUNDDOWN(Table16[[#This Row],[R-DEMAND]]/1320,0)</f>
        <v>0</v>
      </c>
      <c r="P363" s="34">
        <f>Table16[[#This Row],[ADD ACC]]*Table16[[#This Row],[Duration]]</f>
        <v>0</v>
      </c>
    </row>
    <row r="364" spans="1:16" x14ac:dyDescent="0.25">
      <c r="A364" s="54" t="s">
        <v>12575</v>
      </c>
      <c r="B364" s="34" t="s">
        <v>5373</v>
      </c>
      <c r="C364" s="34" t="s">
        <v>2</v>
      </c>
      <c r="D364" s="34">
        <v>3</v>
      </c>
      <c r="E364" s="34" t="s">
        <v>14</v>
      </c>
      <c r="F364" s="34"/>
      <c r="G364" s="34" t="s">
        <v>12077</v>
      </c>
      <c r="H364" s="110">
        <v>3505</v>
      </c>
      <c r="I364" s="122">
        <v>10</v>
      </c>
      <c r="J364" s="111">
        <v>188586386</v>
      </c>
      <c r="K364" s="111">
        <f>IFERROR(Table16[[#This Row],[ROUTE COST]]/Table16[[#This Row],[E - DEMAND]],0)</f>
        <v>41068.463850174216</v>
      </c>
      <c r="L364" s="34">
        <v>4592</v>
      </c>
      <c r="M364" s="34">
        <f>VLOOKUP(Table16[[#This Row],[ROUTE]],DEMAND!A:F,5,FALSE)</f>
        <v>4594</v>
      </c>
      <c r="N364" s="34">
        <f>VLOOKUP(Table16[[#This Row],[ROUTE]],DEMAND!A:F,6,FALSE)</f>
        <v>1954</v>
      </c>
      <c r="O364" s="34">
        <f>ROUNDDOWN(Table16[[#This Row],[R-DEMAND]]/1320,0)</f>
        <v>1</v>
      </c>
      <c r="P364" s="34">
        <f>Table16[[#This Row],[ADD ACC]]*Table16[[#This Row],[Duration]]</f>
        <v>10</v>
      </c>
    </row>
    <row r="365" spans="1:16" x14ac:dyDescent="0.25">
      <c r="A365" s="54" t="s">
        <v>11177</v>
      </c>
      <c r="B365" s="34" t="s">
        <v>293</v>
      </c>
      <c r="C365" s="34" t="s">
        <v>2</v>
      </c>
      <c r="D365" s="34">
        <v>2</v>
      </c>
      <c r="E365" s="34" t="s">
        <v>1135</v>
      </c>
      <c r="F365" s="34"/>
      <c r="G365" s="34" t="s">
        <v>11960</v>
      </c>
      <c r="H365" s="110">
        <v>6980</v>
      </c>
      <c r="I365" s="122">
        <v>17.5</v>
      </c>
      <c r="J365" s="111">
        <v>205421813</v>
      </c>
      <c r="K365" s="111">
        <f>IFERROR(Table16[[#This Row],[ROUTE COST]]/Table16[[#This Row],[E - DEMAND]],0)</f>
        <v>45457.360699269753</v>
      </c>
      <c r="L365" s="34">
        <v>4519</v>
      </c>
      <c r="M365" s="34">
        <f>VLOOKUP(Table16[[#This Row],[ROUTE]],DEMAND!A:F,5,FALSE)</f>
        <v>4587</v>
      </c>
      <c r="N365" s="34">
        <f>VLOOKUP(Table16[[#This Row],[ROUTE]],DEMAND!A:F,6,FALSE)</f>
        <v>627</v>
      </c>
      <c r="O365" s="34">
        <f>ROUNDDOWN(Table16[[#This Row],[R-DEMAND]]/1320,0)</f>
        <v>0</v>
      </c>
      <c r="P365" s="34">
        <f>Table16[[#This Row],[ADD ACC]]*Table16[[#This Row],[Duration]]</f>
        <v>0</v>
      </c>
    </row>
    <row r="366" spans="1:16" x14ac:dyDescent="0.25">
      <c r="A366" s="54" t="s">
        <v>12571</v>
      </c>
      <c r="B366" s="34" t="s">
        <v>5386</v>
      </c>
      <c r="C366" s="34" t="s">
        <v>2</v>
      </c>
      <c r="D366" s="34">
        <v>3</v>
      </c>
      <c r="E366" s="34" t="s">
        <v>14</v>
      </c>
      <c r="F366" s="34"/>
      <c r="G366" s="34" t="s">
        <v>12066</v>
      </c>
      <c r="H366" s="110">
        <v>3832</v>
      </c>
      <c r="I366" s="122">
        <v>10.5</v>
      </c>
      <c r="J366" s="111">
        <v>192260006</v>
      </c>
      <c r="K366" s="111">
        <f>IFERROR(Table16[[#This Row],[ROUTE COST]]/Table16[[#This Row],[E - DEMAND]],0)</f>
        <v>44025.648271124344</v>
      </c>
      <c r="L366" s="34">
        <v>4367</v>
      </c>
      <c r="M366" s="34">
        <f>VLOOKUP(Table16[[#This Row],[ROUTE]],DEMAND!A:F,5,FALSE)</f>
        <v>4574</v>
      </c>
      <c r="N366" s="34">
        <f>VLOOKUP(Table16[[#This Row],[ROUTE]],DEMAND!A:F,6,FALSE)</f>
        <v>614</v>
      </c>
      <c r="O366" s="34">
        <f>ROUNDDOWN(Table16[[#This Row],[R-DEMAND]]/1320,0)</f>
        <v>0</v>
      </c>
      <c r="P366" s="34">
        <f>Table16[[#This Row],[ADD ACC]]*Table16[[#This Row],[Duration]]</f>
        <v>0</v>
      </c>
    </row>
    <row r="367" spans="1:16" x14ac:dyDescent="0.25">
      <c r="A367" s="54" t="s">
        <v>11186</v>
      </c>
      <c r="B367" s="34" t="s">
        <v>79</v>
      </c>
      <c r="C367" s="34" t="s">
        <v>2</v>
      </c>
      <c r="D367" s="34">
        <v>4</v>
      </c>
      <c r="E367" s="34" t="s">
        <v>78</v>
      </c>
      <c r="F367" s="34"/>
      <c r="G367" s="34" t="s">
        <v>77</v>
      </c>
      <c r="H367" s="110">
        <v>9315</v>
      </c>
      <c r="I367" s="122">
        <v>22.75</v>
      </c>
      <c r="J367" s="111">
        <v>260036826</v>
      </c>
      <c r="K367" s="111">
        <f>IFERROR(Table16[[#This Row],[ROUTE COST]]/Table16[[#This Row],[E - DEMAND]],0)</f>
        <v>55527.829596412557</v>
      </c>
      <c r="L367" s="34">
        <v>4683</v>
      </c>
      <c r="M367" s="34">
        <f>VLOOKUP(Table16[[#This Row],[ROUTE]],DEMAND!A:F,5,FALSE)</f>
        <v>4530</v>
      </c>
      <c r="N367" s="34">
        <f>VLOOKUP(Table16[[#This Row],[ROUTE]],DEMAND!A:F,6,FALSE)</f>
        <v>570</v>
      </c>
      <c r="O367" s="34">
        <f>ROUNDDOWN(Table16[[#This Row],[R-DEMAND]]/1320,0)</f>
        <v>0</v>
      </c>
      <c r="P367" s="34">
        <f>Table16[[#This Row],[ADD ACC]]*Table16[[#This Row],[Duration]]</f>
        <v>0</v>
      </c>
    </row>
    <row r="368" spans="1:16" x14ac:dyDescent="0.25">
      <c r="A368" s="54" t="s">
        <v>11400</v>
      </c>
      <c r="B368" s="34" t="s">
        <v>74</v>
      </c>
      <c r="C368" s="34" t="s">
        <v>2</v>
      </c>
      <c r="D368" s="34">
        <v>2</v>
      </c>
      <c r="E368" s="34" t="s">
        <v>1070</v>
      </c>
      <c r="F368" s="34"/>
      <c r="G368" s="34" t="s">
        <v>12009</v>
      </c>
      <c r="H368" s="110">
        <v>5581</v>
      </c>
      <c r="I368" s="122">
        <v>14.5</v>
      </c>
      <c r="J368" s="111">
        <v>195352691</v>
      </c>
      <c r="K368" s="111">
        <f>IFERROR(Table16[[#This Row],[ROUTE COST]]/Table16[[#This Row],[E - DEMAND]],0)</f>
        <v>43771.60900739413</v>
      </c>
      <c r="L368" s="34">
        <v>4463</v>
      </c>
      <c r="M368" s="34">
        <f>VLOOKUP(Table16[[#This Row],[ROUTE]],DEMAND!A:F,5,FALSE)</f>
        <v>4526</v>
      </c>
      <c r="N368" s="34">
        <f>VLOOKUP(Table16[[#This Row],[ROUTE]],DEMAND!A:F,6,FALSE)</f>
        <v>566</v>
      </c>
      <c r="O368" s="34">
        <f>ROUNDDOWN(Table16[[#This Row],[R-DEMAND]]/1320,0)</f>
        <v>0</v>
      </c>
      <c r="P368" s="34">
        <f>Table16[[#This Row],[ADD ACC]]*Table16[[#This Row],[Duration]]</f>
        <v>0</v>
      </c>
    </row>
    <row r="369" spans="1:16" x14ac:dyDescent="0.25">
      <c r="A369" s="54" t="s">
        <v>12577</v>
      </c>
      <c r="B369" s="34" t="s">
        <v>5300</v>
      </c>
      <c r="C369" s="34" t="s">
        <v>2</v>
      </c>
      <c r="D369" s="34">
        <v>3</v>
      </c>
      <c r="E369" s="34" t="s">
        <v>14</v>
      </c>
      <c r="F369" s="34"/>
      <c r="G369" s="34" t="s">
        <v>12079</v>
      </c>
      <c r="H369" s="110">
        <v>3234</v>
      </c>
      <c r="I369" s="122">
        <v>9.25</v>
      </c>
      <c r="J369" s="111">
        <v>183453887</v>
      </c>
      <c r="K369" s="111">
        <f>IFERROR(Table16[[#This Row],[ROUTE COST]]/Table16[[#This Row],[E - DEMAND]],0)</f>
        <v>40686.158128188072</v>
      </c>
      <c r="L369" s="34">
        <v>4509</v>
      </c>
      <c r="M369" s="34">
        <f>VLOOKUP(Table16[[#This Row],[ROUTE]],DEMAND!A:F,5,FALSE)</f>
        <v>4510</v>
      </c>
      <c r="N369" s="34">
        <f>VLOOKUP(Table16[[#This Row],[ROUTE]],DEMAND!A:F,6,FALSE)</f>
        <v>550</v>
      </c>
      <c r="O369" s="34">
        <f>ROUNDDOWN(Table16[[#This Row],[R-DEMAND]]/1320,0)</f>
        <v>0</v>
      </c>
      <c r="P369" s="34">
        <f>Table16[[#This Row],[ADD ACC]]*Table16[[#This Row],[Duration]]</f>
        <v>0</v>
      </c>
    </row>
    <row r="370" spans="1:16" x14ac:dyDescent="0.25">
      <c r="A370" s="54" t="s">
        <v>12629</v>
      </c>
      <c r="B370" s="34" t="s">
        <v>58</v>
      </c>
      <c r="C370" s="34" t="s">
        <v>2</v>
      </c>
      <c r="D370" s="34">
        <v>4</v>
      </c>
      <c r="E370" s="34" t="s">
        <v>502</v>
      </c>
      <c r="F370" s="34"/>
      <c r="G370" s="34" t="s">
        <v>11038</v>
      </c>
      <c r="H370" s="110">
        <v>7408</v>
      </c>
      <c r="I370" s="122">
        <v>18.5</v>
      </c>
      <c r="J370" s="141">
        <v>216000000</v>
      </c>
      <c r="K370" s="111">
        <f>IFERROR(Table16[[#This Row],[ROUTE COST]]/Table16[[#This Row],[E - DEMAND]],0)</f>
        <v>0</v>
      </c>
      <c r="L370" s="34"/>
      <c r="M370" s="34">
        <f>VLOOKUP(Table16[[#This Row],[ROUTE]],DEMAND!A:F,5,FALSE)</f>
        <v>4508</v>
      </c>
      <c r="N370" s="34">
        <f>VLOOKUP(Table16[[#This Row],[ROUTE]],DEMAND!A:F,6,FALSE)</f>
        <v>548</v>
      </c>
      <c r="O370" s="34">
        <f>ROUNDDOWN(Table16[[#This Row],[R-DEMAND]]/1320,0)</f>
        <v>0</v>
      </c>
      <c r="P370" s="34">
        <f>Table16[[#This Row],[ADD ACC]]*Table16[[#This Row],[Duration]]</f>
        <v>0</v>
      </c>
    </row>
    <row r="371" spans="1:16" x14ac:dyDescent="0.25">
      <c r="A371" s="54" t="s">
        <v>12476</v>
      </c>
      <c r="B371" s="34" t="s">
        <v>5304</v>
      </c>
      <c r="C371" s="34" t="s">
        <v>2</v>
      </c>
      <c r="D371" s="34">
        <v>3</v>
      </c>
      <c r="E371" s="34" t="s">
        <v>971</v>
      </c>
      <c r="F371" s="34"/>
      <c r="G371" s="34" t="s">
        <v>11775</v>
      </c>
      <c r="H371" s="110">
        <v>10939</v>
      </c>
      <c r="I371" s="122">
        <v>26.25</v>
      </c>
      <c r="J371" s="111">
        <v>260624449</v>
      </c>
      <c r="K371" s="111">
        <f>IFERROR(Table16[[#This Row],[ROUTE COST]]/Table16[[#This Row],[E - DEMAND]],0)</f>
        <v>57839.424988903687</v>
      </c>
      <c r="L371" s="34">
        <v>4506</v>
      </c>
      <c r="M371" s="34">
        <f>VLOOKUP(Table16[[#This Row],[ROUTE]],DEMAND!A:F,5,FALSE)</f>
        <v>4507</v>
      </c>
      <c r="N371" s="34">
        <f>VLOOKUP(Table16[[#This Row],[ROUTE]],DEMAND!A:F,6,FALSE)</f>
        <v>547</v>
      </c>
      <c r="O371" s="34">
        <f>ROUNDDOWN(Table16[[#This Row],[R-DEMAND]]/1320,0)</f>
        <v>0</v>
      </c>
      <c r="P371" s="34">
        <f>Table16[[#This Row],[ADD ACC]]*Table16[[#This Row],[Duration]]</f>
        <v>0</v>
      </c>
    </row>
    <row r="372" spans="1:16" x14ac:dyDescent="0.25">
      <c r="A372" s="54" t="s">
        <v>11256</v>
      </c>
      <c r="B372" s="34" t="s">
        <v>110</v>
      </c>
      <c r="C372" s="34" t="s">
        <v>2</v>
      </c>
      <c r="D372" s="34">
        <v>5</v>
      </c>
      <c r="E372" s="34" t="s">
        <v>172</v>
      </c>
      <c r="F372" s="34"/>
      <c r="G372" s="34" t="s">
        <v>11045</v>
      </c>
      <c r="H372" s="110">
        <v>7344</v>
      </c>
      <c r="I372" s="122">
        <v>18.5</v>
      </c>
      <c r="J372" s="111">
        <v>246297659</v>
      </c>
      <c r="K372" s="111">
        <f>IFERROR(Table16[[#This Row],[ROUTE COST]]/Table16[[#This Row],[E - DEMAND]],0)</f>
        <v>55459.954739923443</v>
      </c>
      <c r="L372" s="34">
        <v>4441</v>
      </c>
      <c r="M372" s="34">
        <f>VLOOKUP(Table16[[#This Row],[ROUTE]],DEMAND!A:F,5,FALSE)</f>
        <v>4507</v>
      </c>
      <c r="N372" s="34">
        <f>VLOOKUP(Table16[[#This Row],[ROUTE]],DEMAND!A:F,6,FALSE)</f>
        <v>547</v>
      </c>
      <c r="O372" s="34">
        <f>ROUNDDOWN(Table16[[#This Row],[R-DEMAND]]/1320,0)</f>
        <v>0</v>
      </c>
      <c r="P372" s="34">
        <f>Table16[[#This Row],[ADD ACC]]*Table16[[#This Row],[Duration]]</f>
        <v>0</v>
      </c>
    </row>
    <row r="373" spans="1:16" x14ac:dyDescent="0.25">
      <c r="A373" s="54" t="s">
        <v>12218</v>
      </c>
      <c r="B373" s="34" t="s">
        <v>50</v>
      </c>
      <c r="C373" s="34" t="s">
        <v>2</v>
      </c>
      <c r="D373" s="34">
        <v>2</v>
      </c>
      <c r="E373" s="34" t="s">
        <v>608</v>
      </c>
      <c r="F373" s="34"/>
      <c r="G373" s="34" t="s">
        <v>11682</v>
      </c>
      <c r="H373" s="110">
        <v>12440</v>
      </c>
      <c r="I373" s="122">
        <v>29.75</v>
      </c>
      <c r="K373" s="111">
        <f>IFERROR(Table16[[#This Row],[ROUTE COST]]/Table16[[#This Row],[E - DEMAND]],0)</f>
        <v>0</v>
      </c>
      <c r="L373" s="34"/>
      <c r="M373" s="34">
        <f>VLOOKUP(Table16[[#This Row],[ROUTE]],DEMAND!A:F,5,FALSE)</f>
        <v>4505</v>
      </c>
      <c r="N373" s="34">
        <f>VLOOKUP(Table16[[#This Row],[ROUTE]],DEMAND!A:F,6,FALSE)</f>
        <v>-2095</v>
      </c>
      <c r="O373" s="34">
        <f>ROUNDDOWN(Table16[[#This Row],[R-DEMAND]]/1320,0)</f>
        <v>-1</v>
      </c>
      <c r="P373" s="34">
        <f>Table16[[#This Row],[ADD ACC]]*Table16[[#This Row],[Duration]]</f>
        <v>-29.75</v>
      </c>
    </row>
    <row r="374" spans="1:16" x14ac:dyDescent="0.25">
      <c r="A374" s="54" t="s">
        <v>12472</v>
      </c>
      <c r="B374" s="34" t="s">
        <v>5295</v>
      </c>
      <c r="C374" s="34" t="s">
        <v>2</v>
      </c>
      <c r="D374" s="34">
        <v>3</v>
      </c>
      <c r="E374" s="34" t="s">
        <v>971</v>
      </c>
      <c r="F374" s="34"/>
      <c r="G374" s="34" t="s">
        <v>11767</v>
      </c>
      <c r="H374" s="110">
        <v>10989</v>
      </c>
      <c r="I374" s="122">
        <v>26.5</v>
      </c>
      <c r="J374" s="111">
        <v>260909916</v>
      </c>
      <c r="K374" s="111">
        <f>IFERROR(Table16[[#This Row],[ROUTE COST]]/Table16[[#This Row],[E - DEMAND]],0)</f>
        <v>58018.660440293526</v>
      </c>
      <c r="L374" s="34">
        <v>4497</v>
      </c>
      <c r="M374" s="34">
        <f>VLOOKUP(Table16[[#This Row],[ROUTE]],DEMAND!A:F,5,FALSE)</f>
        <v>4498</v>
      </c>
      <c r="N374" s="34">
        <f>VLOOKUP(Table16[[#This Row],[ROUTE]],DEMAND!A:F,6,FALSE)</f>
        <v>538</v>
      </c>
      <c r="O374" s="34">
        <f>ROUNDDOWN(Table16[[#This Row],[R-DEMAND]]/1320,0)</f>
        <v>0</v>
      </c>
      <c r="P374" s="34">
        <f>Table16[[#This Row],[ADD ACC]]*Table16[[#This Row],[Duration]]</f>
        <v>0</v>
      </c>
    </row>
    <row r="375" spans="1:16" x14ac:dyDescent="0.25">
      <c r="A375" s="54" t="s">
        <v>12119</v>
      </c>
      <c r="B375" s="34" t="s">
        <v>501</v>
      </c>
      <c r="C375" s="34" t="s">
        <v>2</v>
      </c>
      <c r="D375" s="34">
        <v>1</v>
      </c>
      <c r="E375" s="34" t="s">
        <v>499</v>
      </c>
      <c r="F375" s="34"/>
      <c r="G375" s="34" t="s">
        <v>11679</v>
      </c>
      <c r="H375" s="110">
        <v>12514</v>
      </c>
      <c r="I375" s="122">
        <v>29.75</v>
      </c>
      <c r="J375" s="111">
        <v>239564701</v>
      </c>
      <c r="K375" s="111">
        <f>IFERROR(Table16[[#This Row],[ROUTE COST]]/Table16[[#This Row],[E - DEMAND]],0)</f>
        <v>53653.908398656218</v>
      </c>
      <c r="L375" s="34">
        <v>4465</v>
      </c>
      <c r="M375" s="34">
        <f>VLOOKUP(Table16[[#This Row],[ROUTE]],DEMAND!A:F,5,FALSE)</f>
        <v>4467</v>
      </c>
      <c r="N375" s="34">
        <f>VLOOKUP(Table16[[#This Row],[ROUTE]],DEMAND!A:F,6,FALSE)</f>
        <v>507</v>
      </c>
      <c r="O375" s="34">
        <f>ROUNDDOWN(Table16[[#This Row],[R-DEMAND]]/1320,0)</f>
        <v>0</v>
      </c>
      <c r="P375" s="34">
        <f>Table16[[#This Row],[ADD ACC]]*Table16[[#This Row],[Duration]]</f>
        <v>0</v>
      </c>
    </row>
    <row r="376" spans="1:16" x14ac:dyDescent="0.25">
      <c r="A376" s="54" t="s">
        <v>12219</v>
      </c>
      <c r="B376" s="34" t="s">
        <v>4104</v>
      </c>
      <c r="C376" s="34" t="s">
        <v>2</v>
      </c>
      <c r="D376" s="34">
        <v>2</v>
      </c>
      <c r="E376" s="34" t="s">
        <v>608</v>
      </c>
      <c r="F376" s="34"/>
      <c r="G376" s="34" t="s">
        <v>11686</v>
      </c>
      <c r="H376" s="110">
        <v>12382</v>
      </c>
      <c r="I376" s="122">
        <v>29.5</v>
      </c>
      <c r="J376" s="111">
        <v>257828407</v>
      </c>
      <c r="K376" s="111">
        <f>IFERROR(Table16[[#This Row],[ROUTE COST]]/Table16[[#This Row],[E - DEMAND]],0)</f>
        <v>57834.994840735759</v>
      </c>
      <c r="L376" s="34">
        <v>4458</v>
      </c>
      <c r="M376" s="34">
        <f>VLOOKUP(Table16[[#This Row],[ROUTE]],DEMAND!A:F,5,FALSE)</f>
        <v>4460</v>
      </c>
      <c r="N376" s="34">
        <f>VLOOKUP(Table16[[#This Row],[ROUTE]],DEMAND!A:F,6,FALSE)</f>
        <v>500</v>
      </c>
      <c r="O376" s="34">
        <f>ROUNDDOWN(Table16[[#This Row],[R-DEMAND]]/1320,0)</f>
        <v>0</v>
      </c>
      <c r="P376" s="34">
        <f>Table16[[#This Row],[ADD ACC]]*Table16[[#This Row],[Duration]]</f>
        <v>0</v>
      </c>
    </row>
    <row r="377" spans="1:16" x14ac:dyDescent="0.25">
      <c r="A377" s="54" t="s">
        <v>11305</v>
      </c>
      <c r="B377" s="34" t="s">
        <v>319</v>
      </c>
      <c r="C377" s="34" t="s">
        <v>2</v>
      </c>
      <c r="D377" s="34">
        <v>5</v>
      </c>
      <c r="E377" s="34" t="s">
        <v>1847</v>
      </c>
      <c r="F377" s="34"/>
      <c r="G377" s="34" t="s">
        <v>11087</v>
      </c>
      <c r="H377" s="110">
        <v>6548</v>
      </c>
      <c r="I377" s="122">
        <v>16.75</v>
      </c>
      <c r="J377" s="111">
        <v>252117679</v>
      </c>
      <c r="K377" s="111">
        <f>IFERROR(Table16[[#This Row],[ROUTE COST]]/Table16[[#This Row],[E - DEMAND]],0)</f>
        <v>57351.610327570517</v>
      </c>
      <c r="L377" s="34">
        <v>4396</v>
      </c>
      <c r="M377" s="34">
        <f>VLOOKUP(Table16[[#This Row],[ROUTE]],DEMAND!A:F,5,FALSE)</f>
        <v>4458</v>
      </c>
      <c r="N377" s="34">
        <f>VLOOKUP(Table16[[#This Row],[ROUTE]],DEMAND!A:F,6,FALSE)</f>
        <v>498</v>
      </c>
      <c r="O377" s="34">
        <f>ROUNDDOWN(Table16[[#This Row],[R-DEMAND]]/1320,0)</f>
        <v>0</v>
      </c>
      <c r="P377" s="34">
        <f>Table16[[#This Row],[ADD ACC]]*Table16[[#This Row],[Duration]]</f>
        <v>0</v>
      </c>
    </row>
    <row r="378" spans="1:16" x14ac:dyDescent="0.25">
      <c r="A378" s="54" t="s">
        <v>12606</v>
      </c>
      <c r="B378" s="34" t="s">
        <v>140</v>
      </c>
      <c r="C378" s="34" t="s">
        <v>2</v>
      </c>
      <c r="D378" s="34">
        <v>4</v>
      </c>
      <c r="E378" s="34" t="s">
        <v>605</v>
      </c>
      <c r="F378" s="34"/>
      <c r="G378" s="34" t="s">
        <v>11051</v>
      </c>
      <c r="H378" s="110">
        <v>10908</v>
      </c>
      <c r="I378" s="122">
        <v>26.25</v>
      </c>
      <c r="J378" s="111">
        <v>280442456</v>
      </c>
      <c r="K378" s="111">
        <f>IFERROR(Table16[[#This Row],[ROUTE COST]]/Table16[[#This Row],[E - DEMAND]],0)</f>
        <v>65462.758169934641</v>
      </c>
      <c r="L378" s="34">
        <v>4284</v>
      </c>
      <c r="M378" s="34">
        <f>VLOOKUP(Table16[[#This Row],[ROUTE]],DEMAND!A:F,5,FALSE)</f>
        <v>4457</v>
      </c>
      <c r="N378" s="34">
        <f>VLOOKUP(Table16[[#This Row],[ROUTE]],DEMAND!A:F,6,FALSE)</f>
        <v>497</v>
      </c>
      <c r="O378" s="34">
        <f>ROUNDDOWN(Table16[[#This Row],[R-DEMAND]]/1320,0)</f>
        <v>0</v>
      </c>
      <c r="P378" s="34">
        <f>Table16[[#This Row],[ADD ACC]]*Table16[[#This Row],[Duration]]</f>
        <v>0</v>
      </c>
    </row>
    <row r="379" spans="1:16" x14ac:dyDescent="0.25">
      <c r="A379" s="54" t="s">
        <v>11332</v>
      </c>
      <c r="B379" s="34" t="s">
        <v>240</v>
      </c>
      <c r="C379" s="34" t="s">
        <v>2</v>
      </c>
      <c r="D379" s="34">
        <v>3</v>
      </c>
      <c r="E379" s="34" t="s">
        <v>1070</v>
      </c>
      <c r="F379" s="34"/>
      <c r="G379" s="34" t="s">
        <v>12028</v>
      </c>
      <c r="H379" s="110">
        <v>4945</v>
      </c>
      <c r="I379" s="122">
        <v>13</v>
      </c>
      <c r="J379" s="111">
        <v>192797161</v>
      </c>
      <c r="K379" s="111">
        <f>IFERROR(Table16[[#This Row],[ROUTE COST]]/Table16[[#This Row],[E - DEMAND]],0)</f>
        <v>41894.211429813127</v>
      </c>
      <c r="L379" s="34">
        <v>4602</v>
      </c>
      <c r="M379" s="34">
        <f>VLOOKUP(Table16[[#This Row],[ROUTE]],DEMAND!A:F,5,FALSE)</f>
        <v>4454</v>
      </c>
      <c r="N379" s="34">
        <f>VLOOKUP(Table16[[#This Row],[ROUTE]],DEMAND!A:F,6,FALSE)</f>
        <v>494</v>
      </c>
      <c r="O379" s="34">
        <f>ROUNDDOWN(Table16[[#This Row],[R-DEMAND]]/1320,0)</f>
        <v>0</v>
      </c>
      <c r="P379" s="34">
        <f>Table16[[#This Row],[ADD ACC]]*Table16[[#This Row],[Duration]]</f>
        <v>0</v>
      </c>
    </row>
    <row r="380" spans="1:16" x14ac:dyDescent="0.25">
      <c r="A380" s="54" t="s">
        <v>12510</v>
      </c>
      <c r="B380" s="34" t="s">
        <v>316</v>
      </c>
      <c r="C380" s="34" t="s">
        <v>2</v>
      </c>
      <c r="D380" s="34">
        <v>3</v>
      </c>
      <c r="E380" s="34" t="s">
        <v>700</v>
      </c>
      <c r="F380" s="34"/>
      <c r="G380" s="34" t="s">
        <v>11858</v>
      </c>
      <c r="H380" s="110">
        <v>9082</v>
      </c>
      <c r="I380" s="122">
        <v>22.25</v>
      </c>
      <c r="J380" s="111">
        <v>246349685</v>
      </c>
      <c r="K380" s="111">
        <f>IFERROR(Table16[[#This Row],[ROUTE COST]]/Table16[[#This Row],[E - DEMAND]],0)</f>
        <v>55496.662536607342</v>
      </c>
      <c r="L380" s="34">
        <v>4439</v>
      </c>
      <c r="M380" s="34">
        <f>VLOOKUP(Table16[[#This Row],[ROUTE]],DEMAND!A:F,5,FALSE)</f>
        <v>4440</v>
      </c>
      <c r="N380" s="34">
        <f>VLOOKUP(Table16[[#This Row],[ROUTE]],DEMAND!A:F,6,FALSE)</f>
        <v>480</v>
      </c>
      <c r="O380" s="34">
        <f>ROUNDDOWN(Table16[[#This Row],[R-DEMAND]]/1320,0)</f>
        <v>0</v>
      </c>
      <c r="P380" s="34">
        <f>Table16[[#This Row],[ADD ACC]]*Table16[[#This Row],[Duration]]</f>
        <v>0</v>
      </c>
    </row>
    <row r="381" spans="1:16" x14ac:dyDescent="0.25">
      <c r="A381" s="54" t="s">
        <v>11230</v>
      </c>
      <c r="B381" s="34" t="s">
        <v>211</v>
      </c>
      <c r="C381" s="34" t="s">
        <v>2</v>
      </c>
      <c r="D381" s="34">
        <v>5</v>
      </c>
      <c r="E381" s="34" t="s">
        <v>709</v>
      </c>
      <c r="F381" s="34"/>
      <c r="G381" s="34" t="s">
        <v>11069</v>
      </c>
      <c r="H381" s="110">
        <v>1129</v>
      </c>
      <c r="I381" s="122">
        <v>4.75</v>
      </c>
      <c r="J381" s="111">
        <v>187644125</v>
      </c>
      <c r="K381" s="111">
        <f>IFERROR(Table16[[#This Row],[ROUTE COST]]/Table16[[#This Row],[E - DEMAND]],0)</f>
        <v>42549.688208616783</v>
      </c>
      <c r="L381" s="34">
        <v>4410</v>
      </c>
      <c r="M381" s="34">
        <f>VLOOKUP(Table16[[#This Row],[ROUTE]],DEMAND!A:F,5,FALSE)</f>
        <v>4438</v>
      </c>
      <c r="N381" s="34">
        <f>VLOOKUP(Table16[[#This Row],[ROUTE]],DEMAND!A:F,6,FALSE)</f>
        <v>-842</v>
      </c>
      <c r="O381" s="34">
        <f>ROUNDDOWN(Table16[[#This Row],[R-DEMAND]]/1320,0)</f>
        <v>0</v>
      </c>
      <c r="P381" s="34">
        <f>Table16[[#This Row],[ADD ACC]]*Table16[[#This Row],[Duration]]</f>
        <v>0</v>
      </c>
    </row>
    <row r="382" spans="1:16" x14ac:dyDescent="0.25">
      <c r="A382" s="54" t="s">
        <v>12288</v>
      </c>
      <c r="B382" s="34" t="s">
        <v>3371</v>
      </c>
      <c r="C382" s="34" t="s">
        <v>2</v>
      </c>
      <c r="D382" s="34">
        <v>2</v>
      </c>
      <c r="E382" s="34" t="s">
        <v>644</v>
      </c>
      <c r="F382" s="34"/>
      <c r="G382" s="34" t="s">
        <v>11831</v>
      </c>
      <c r="H382" s="110">
        <v>9913</v>
      </c>
      <c r="I382" s="122">
        <v>24</v>
      </c>
      <c r="J382" s="111">
        <v>229645213</v>
      </c>
      <c r="K382" s="111">
        <f>IFERROR(Table16[[#This Row],[ROUTE COST]]/Table16[[#This Row],[E - DEMAND]],0)</f>
        <v>51838.648532731379</v>
      </c>
      <c r="L382" s="34">
        <v>4430</v>
      </c>
      <c r="M382" s="34">
        <f>VLOOKUP(Table16[[#This Row],[ROUTE]],DEMAND!A:F,5,FALSE)</f>
        <v>4433</v>
      </c>
      <c r="N382" s="34">
        <f>VLOOKUP(Table16[[#This Row],[ROUTE]],DEMAND!A:F,6,FALSE)</f>
        <v>473</v>
      </c>
      <c r="O382" s="34">
        <f>ROUNDDOWN(Table16[[#This Row],[R-DEMAND]]/1320,0)</f>
        <v>0</v>
      </c>
      <c r="P382" s="34">
        <f>Table16[[#This Row],[ADD ACC]]*Table16[[#This Row],[Duration]]</f>
        <v>0</v>
      </c>
    </row>
    <row r="383" spans="1:16" x14ac:dyDescent="0.25">
      <c r="A383" s="54" t="s">
        <v>12618</v>
      </c>
      <c r="B383" s="34" t="s">
        <v>5511</v>
      </c>
      <c r="C383" s="34" t="s">
        <v>2</v>
      </c>
      <c r="D383" s="34">
        <v>4</v>
      </c>
      <c r="E383" s="34" t="s">
        <v>78</v>
      </c>
      <c r="F383" s="34"/>
      <c r="G383" s="34" t="s">
        <v>11030</v>
      </c>
      <c r="H383" s="110">
        <v>9309</v>
      </c>
      <c r="I383" s="122">
        <v>22.75</v>
      </c>
      <c r="J383" s="111">
        <v>251017605</v>
      </c>
      <c r="K383" s="111">
        <f>IFERROR(Table16[[#This Row],[ROUTE COST]]/Table16[[#This Row],[E - DEMAND]],0)</f>
        <v>0</v>
      </c>
      <c r="L383" s="34"/>
      <c r="M383" s="34">
        <f>VLOOKUP(Table16[[#This Row],[ROUTE]],DEMAND!A:F,5,FALSE)</f>
        <v>4429</v>
      </c>
      <c r="N383" s="34">
        <f>VLOOKUP(Table16[[#This Row],[ROUTE]],DEMAND!A:F,6,FALSE)</f>
        <v>469</v>
      </c>
      <c r="O383" s="34">
        <f>ROUNDDOWN(Table16[[#This Row],[R-DEMAND]]/1320,0)</f>
        <v>0</v>
      </c>
      <c r="P383" s="34">
        <f>Table16[[#This Row],[ADD ACC]]*Table16[[#This Row],[Duration]]</f>
        <v>0</v>
      </c>
    </row>
    <row r="384" spans="1:16" x14ac:dyDescent="0.25">
      <c r="A384" s="54" t="s">
        <v>12216</v>
      </c>
      <c r="B384" s="34" t="s">
        <v>3799</v>
      </c>
      <c r="C384" s="34" t="s">
        <v>2</v>
      </c>
      <c r="D384" s="34">
        <v>2</v>
      </c>
      <c r="E384" s="34" t="s">
        <v>608</v>
      </c>
      <c r="F384" s="34"/>
      <c r="G384" s="34" t="s">
        <v>11678</v>
      </c>
      <c r="H384" s="110">
        <v>12542</v>
      </c>
      <c r="I384" s="122">
        <v>30</v>
      </c>
      <c r="J384" s="111">
        <v>257423130</v>
      </c>
      <c r="K384" s="111">
        <f>IFERROR(Table16[[#This Row],[ROUTE COST]]/Table16[[#This Row],[E - DEMAND]],0)</f>
        <v>58174.718644067798</v>
      </c>
      <c r="L384" s="34">
        <v>4425</v>
      </c>
      <c r="M384" s="34">
        <f>VLOOKUP(Table16[[#This Row],[ROUTE]],DEMAND!A:F,5,FALSE)</f>
        <v>4427</v>
      </c>
      <c r="N384" s="34">
        <f>VLOOKUP(Table16[[#This Row],[ROUTE]],DEMAND!A:F,6,FALSE)</f>
        <v>467</v>
      </c>
      <c r="O384" s="34">
        <f>ROUNDDOWN(Table16[[#This Row],[R-DEMAND]]/1320,0)</f>
        <v>0</v>
      </c>
      <c r="P384" s="34">
        <f>Table16[[#This Row],[ADD ACC]]*Table16[[#This Row],[Duration]]</f>
        <v>0</v>
      </c>
    </row>
    <row r="385" spans="1:16" x14ac:dyDescent="0.25">
      <c r="A385" s="54" t="s">
        <v>12567</v>
      </c>
      <c r="B385" s="34" t="s">
        <v>5272</v>
      </c>
      <c r="C385" s="34" t="s">
        <v>2</v>
      </c>
      <c r="D385" s="34">
        <v>3</v>
      </c>
      <c r="E385" s="34" t="s">
        <v>14</v>
      </c>
      <c r="F385" s="34"/>
      <c r="G385" s="34" t="s">
        <v>12053</v>
      </c>
      <c r="H385" s="110">
        <v>4300</v>
      </c>
      <c r="I385" s="122">
        <v>11.75</v>
      </c>
      <c r="J385" s="111">
        <v>193623848</v>
      </c>
      <c r="K385" s="111">
        <f>IFERROR(Table16[[#This Row],[ROUTE COST]]/Table16[[#This Row],[E - DEMAND]],0)</f>
        <v>45451.607511737086</v>
      </c>
      <c r="L385" s="34">
        <v>4260</v>
      </c>
      <c r="M385" s="34">
        <f>VLOOKUP(Table16[[#This Row],[ROUTE]],DEMAND!A:F,5,FALSE)</f>
        <v>4406</v>
      </c>
      <c r="N385" s="34">
        <f>VLOOKUP(Table16[[#This Row],[ROUTE]],DEMAND!A:F,6,FALSE)</f>
        <v>446</v>
      </c>
      <c r="O385" s="34">
        <f>ROUNDDOWN(Table16[[#This Row],[R-DEMAND]]/1320,0)</f>
        <v>0</v>
      </c>
      <c r="P385" s="34">
        <f>Table16[[#This Row],[ADD ACC]]*Table16[[#This Row],[Duration]]</f>
        <v>0</v>
      </c>
    </row>
    <row r="386" spans="1:16" x14ac:dyDescent="0.25">
      <c r="A386" s="54" t="s">
        <v>12226</v>
      </c>
      <c r="B386" s="34" t="s">
        <v>3743</v>
      </c>
      <c r="C386" s="34" t="s">
        <v>2</v>
      </c>
      <c r="D386" s="34">
        <v>2</v>
      </c>
      <c r="E386" s="34" t="s">
        <v>608</v>
      </c>
      <c r="F386" s="34"/>
      <c r="G386" s="34" t="s">
        <v>11697</v>
      </c>
      <c r="H386" s="110">
        <v>12093</v>
      </c>
      <c r="I386" s="122">
        <v>29</v>
      </c>
      <c r="J386" s="111">
        <v>252310590</v>
      </c>
      <c r="K386" s="111">
        <f>IFERROR(Table16[[#This Row],[ROUTE COST]]/Table16[[#This Row],[E - DEMAND]],0)</f>
        <v>57356.351443509891</v>
      </c>
      <c r="L386" s="34">
        <v>4399</v>
      </c>
      <c r="M386" s="34">
        <f>VLOOKUP(Table16[[#This Row],[ROUTE]],DEMAND!A:F,5,FALSE)</f>
        <v>4401</v>
      </c>
      <c r="N386" s="34">
        <f>VLOOKUP(Table16[[#This Row],[ROUTE]],DEMAND!A:F,6,FALSE)</f>
        <v>441</v>
      </c>
      <c r="O386" s="34">
        <f>ROUNDDOWN(Table16[[#This Row],[R-DEMAND]]/1320,0)</f>
        <v>0</v>
      </c>
      <c r="P386" s="34">
        <f>Table16[[#This Row],[ADD ACC]]*Table16[[#This Row],[Duration]]</f>
        <v>0</v>
      </c>
    </row>
    <row r="387" spans="1:16" x14ac:dyDescent="0.25">
      <c r="A387" s="54" t="s">
        <v>12570</v>
      </c>
      <c r="B387" s="34" t="s">
        <v>5265</v>
      </c>
      <c r="C387" s="34" t="s">
        <v>2</v>
      </c>
      <c r="D387" s="34">
        <v>3</v>
      </c>
      <c r="E387" s="34" t="s">
        <v>14</v>
      </c>
      <c r="F387" s="34"/>
      <c r="G387" s="34" t="s">
        <v>12061</v>
      </c>
      <c r="H387" s="110">
        <v>4015</v>
      </c>
      <c r="I387" s="122">
        <v>11</v>
      </c>
      <c r="J387" s="111">
        <v>190532547</v>
      </c>
      <c r="K387" s="111">
        <f>IFERROR(Table16[[#This Row],[ROUTE COST]]/Table16[[#This Row],[E - DEMAND]],0)</f>
        <v>44810.100423330201</v>
      </c>
      <c r="L387" s="34">
        <v>4252</v>
      </c>
      <c r="M387" s="34">
        <f>VLOOKUP(Table16[[#This Row],[ROUTE]],DEMAND!A:F,5,FALSE)</f>
        <v>4398</v>
      </c>
      <c r="N387" s="34">
        <f>VLOOKUP(Table16[[#This Row],[ROUTE]],DEMAND!A:F,6,FALSE)</f>
        <v>438</v>
      </c>
      <c r="O387" s="34">
        <f>ROUNDDOWN(Table16[[#This Row],[R-DEMAND]]/1320,0)</f>
        <v>0</v>
      </c>
      <c r="P387" s="34">
        <f>Table16[[#This Row],[ADD ACC]]*Table16[[#This Row],[Duration]]</f>
        <v>0</v>
      </c>
    </row>
    <row r="388" spans="1:16" x14ac:dyDescent="0.25">
      <c r="A388" s="54" t="s">
        <v>12222</v>
      </c>
      <c r="B388" s="34" t="s">
        <v>3705</v>
      </c>
      <c r="C388" s="34" t="s">
        <v>2</v>
      </c>
      <c r="D388" s="34">
        <v>2</v>
      </c>
      <c r="E388" s="34" t="s">
        <v>608</v>
      </c>
      <c r="F388" s="34"/>
      <c r="G388" s="34" t="s">
        <v>11692</v>
      </c>
      <c r="H388" s="110">
        <v>12191</v>
      </c>
      <c r="I388" s="122">
        <v>29.25</v>
      </c>
      <c r="J388" s="111">
        <v>253166765</v>
      </c>
      <c r="K388" s="111">
        <f>IFERROR(Table16[[#This Row],[ROUTE COST]]/Table16[[#This Row],[E - DEMAND]],0)</f>
        <v>57616.469048702776</v>
      </c>
      <c r="L388" s="34">
        <v>4394</v>
      </c>
      <c r="M388" s="34">
        <f>VLOOKUP(Table16[[#This Row],[ROUTE]],DEMAND!A:F,5,FALSE)</f>
        <v>4395</v>
      </c>
      <c r="N388" s="34">
        <f>VLOOKUP(Table16[[#This Row],[ROUTE]],DEMAND!A:F,6,FALSE)</f>
        <v>435</v>
      </c>
      <c r="O388" s="34">
        <f>ROUNDDOWN(Table16[[#This Row],[R-DEMAND]]/1320,0)</f>
        <v>0</v>
      </c>
      <c r="P388" s="34">
        <f>Table16[[#This Row],[ADD ACC]]*Table16[[#This Row],[Duration]]</f>
        <v>0</v>
      </c>
    </row>
    <row r="389" spans="1:16" x14ac:dyDescent="0.25">
      <c r="A389" s="54" t="s">
        <v>12611</v>
      </c>
      <c r="B389" s="34" t="s">
        <v>393</v>
      </c>
      <c r="C389" s="34" t="s">
        <v>2</v>
      </c>
      <c r="D389" s="34">
        <v>4</v>
      </c>
      <c r="E389" s="34" t="s">
        <v>2729</v>
      </c>
      <c r="F389" s="34"/>
      <c r="G389" s="34" t="s">
        <v>11102</v>
      </c>
      <c r="H389" s="110">
        <v>10316</v>
      </c>
      <c r="I389" s="122">
        <v>25</v>
      </c>
      <c r="J389" s="141">
        <v>216000000</v>
      </c>
      <c r="K389" s="111">
        <f>IFERROR(Table16[[#This Row],[ROUTE COST]]/Table16[[#This Row],[E - DEMAND]],0)</f>
        <v>0</v>
      </c>
      <c r="L389" s="34"/>
      <c r="M389" s="34">
        <f>VLOOKUP(Table16[[#This Row],[ROUTE]],DEMAND!A:F,5,FALSE)</f>
        <v>4382</v>
      </c>
      <c r="N389" s="34">
        <f>VLOOKUP(Table16[[#This Row],[ROUTE]],DEMAND!A:F,6,FALSE)</f>
        <v>422</v>
      </c>
      <c r="O389" s="34">
        <f>ROUNDDOWN(Table16[[#This Row],[R-DEMAND]]/1320,0)</f>
        <v>0</v>
      </c>
      <c r="P389" s="34">
        <f>Table16[[#This Row],[ADD ACC]]*Table16[[#This Row],[Duration]]</f>
        <v>0</v>
      </c>
    </row>
    <row r="390" spans="1:16" x14ac:dyDescent="0.25">
      <c r="A390" s="54" t="s">
        <v>11194</v>
      </c>
      <c r="B390" s="34" t="s">
        <v>15</v>
      </c>
      <c r="C390" s="34" t="s">
        <v>2</v>
      </c>
      <c r="D390" s="34">
        <v>4</v>
      </c>
      <c r="E390" s="34" t="s">
        <v>14</v>
      </c>
      <c r="F390" s="34"/>
      <c r="G390" s="34" t="s">
        <v>13</v>
      </c>
      <c r="H390" s="110">
        <v>4518</v>
      </c>
      <c r="I390" s="122">
        <v>12.25</v>
      </c>
      <c r="J390" s="111">
        <v>211817915</v>
      </c>
      <c r="K390" s="111">
        <f>IFERROR(Table16[[#This Row],[ROUTE COST]]/Table16[[#This Row],[E - DEMAND]],0)</f>
        <v>46945.45988475177</v>
      </c>
      <c r="L390" s="34">
        <v>4512</v>
      </c>
      <c r="M390" s="34">
        <f>VLOOKUP(Table16[[#This Row],[ROUTE]],DEMAND!A:F,5,FALSE)</f>
        <v>4368</v>
      </c>
      <c r="N390" s="34">
        <f>VLOOKUP(Table16[[#This Row],[ROUTE]],DEMAND!A:F,6,FALSE)</f>
        <v>408</v>
      </c>
      <c r="O390" s="34">
        <f>ROUNDDOWN(Table16[[#This Row],[R-DEMAND]]/1320,0)</f>
        <v>0</v>
      </c>
      <c r="P390" s="34">
        <f>Table16[[#This Row],[ADD ACC]]*Table16[[#This Row],[Duration]]</f>
        <v>0</v>
      </c>
    </row>
    <row r="391" spans="1:16" x14ac:dyDescent="0.25">
      <c r="A391" s="54" t="s">
        <v>12565</v>
      </c>
      <c r="B391" s="34" t="s">
        <v>5194</v>
      </c>
      <c r="C391" s="34" t="s">
        <v>2</v>
      </c>
      <c r="D391" s="34">
        <v>3</v>
      </c>
      <c r="E391" s="34" t="s">
        <v>14</v>
      </c>
      <c r="F391" s="34"/>
      <c r="G391" s="34" t="s">
        <v>12050</v>
      </c>
      <c r="H391" s="110">
        <v>4364</v>
      </c>
      <c r="I391" s="122">
        <v>11.75</v>
      </c>
      <c r="J391" s="111">
        <v>191968197</v>
      </c>
      <c r="K391" s="111">
        <f>IFERROR(Table16[[#This Row],[ROUTE COST]]/Table16[[#This Row],[E - DEMAND]],0)</f>
        <v>45892.468802295007</v>
      </c>
      <c r="L391" s="34">
        <v>4183</v>
      </c>
      <c r="M391" s="34">
        <f>VLOOKUP(Table16[[#This Row],[ROUTE]],DEMAND!A:F,5,FALSE)</f>
        <v>4354</v>
      </c>
      <c r="N391" s="34">
        <f>VLOOKUP(Table16[[#This Row],[ROUTE]],DEMAND!A:F,6,FALSE)</f>
        <v>394</v>
      </c>
      <c r="O391" s="34">
        <f>ROUNDDOWN(Table16[[#This Row],[R-DEMAND]]/1320,0)</f>
        <v>0</v>
      </c>
      <c r="P391" s="34">
        <f>Table16[[#This Row],[ADD ACC]]*Table16[[#This Row],[Duration]]</f>
        <v>0</v>
      </c>
    </row>
    <row r="392" spans="1:16" x14ac:dyDescent="0.25">
      <c r="A392" s="54" t="s">
        <v>11229</v>
      </c>
      <c r="B392" s="34" t="s">
        <v>47</v>
      </c>
      <c r="C392" s="34" t="s">
        <v>2</v>
      </c>
      <c r="D392" s="34">
        <v>5</v>
      </c>
      <c r="E392" s="34" t="s">
        <v>46</v>
      </c>
      <c r="F392" s="34"/>
      <c r="G392" s="34" t="s">
        <v>45</v>
      </c>
      <c r="H392" s="110">
        <v>3812</v>
      </c>
      <c r="I392" s="122">
        <v>10.5</v>
      </c>
      <c r="J392" s="111">
        <v>213626256</v>
      </c>
      <c r="K392" s="111">
        <f>IFERROR(Table16[[#This Row],[ROUTE COST]]/Table16[[#This Row],[E - DEMAND]],0)</f>
        <v>49749.943176525383</v>
      </c>
      <c r="L392" s="34">
        <v>4294</v>
      </c>
      <c r="M392" s="34">
        <f>VLOOKUP(Table16[[#This Row],[ROUTE]],DEMAND!A:F,5,FALSE)</f>
        <v>4351</v>
      </c>
      <c r="N392" s="34">
        <f>VLOOKUP(Table16[[#This Row],[ROUTE]],DEMAND!A:F,6,FALSE)</f>
        <v>391</v>
      </c>
      <c r="O392" s="34">
        <f>ROUNDDOWN(Table16[[#This Row],[R-DEMAND]]/1320,0)</f>
        <v>0</v>
      </c>
      <c r="P392" s="34">
        <f>Table16[[#This Row],[ADD ACC]]*Table16[[#This Row],[Duration]]</f>
        <v>0</v>
      </c>
    </row>
    <row r="393" spans="1:16" x14ac:dyDescent="0.25">
      <c r="A393" s="54" t="s">
        <v>12652</v>
      </c>
      <c r="B393" s="34" t="s">
        <v>306</v>
      </c>
      <c r="C393" s="34" t="s">
        <v>2</v>
      </c>
      <c r="D393" s="34">
        <v>5</v>
      </c>
      <c r="E393" s="34" t="s">
        <v>1427</v>
      </c>
      <c r="F393" s="34"/>
      <c r="G393" s="34" t="s">
        <v>11086</v>
      </c>
      <c r="H393" s="110">
        <v>11110</v>
      </c>
      <c r="I393" s="122">
        <v>26.75</v>
      </c>
      <c r="J393" s="111">
        <v>257442798</v>
      </c>
      <c r="K393" s="111">
        <f>IFERROR(Table16[[#This Row],[ROUTE COST]]/Table16[[#This Row],[E - DEMAND]],0)</f>
        <v>59263.995856353591</v>
      </c>
      <c r="L393" s="34">
        <v>4344</v>
      </c>
      <c r="M393" s="34">
        <f>VLOOKUP(Table16[[#This Row],[ROUTE]],DEMAND!A:F,5,FALSE)</f>
        <v>4346</v>
      </c>
      <c r="N393" s="34">
        <f>VLOOKUP(Table16[[#This Row],[ROUTE]],DEMAND!A:F,6,FALSE)</f>
        <v>386</v>
      </c>
      <c r="O393" s="34">
        <f>ROUNDDOWN(Table16[[#This Row],[R-DEMAND]]/1320,0)</f>
        <v>0</v>
      </c>
      <c r="P393" s="34">
        <f>Table16[[#This Row],[ADD ACC]]*Table16[[#This Row],[Duration]]</f>
        <v>0</v>
      </c>
    </row>
    <row r="394" spans="1:16" x14ac:dyDescent="0.25">
      <c r="A394" s="54" t="s">
        <v>11301</v>
      </c>
      <c r="B394" s="34" t="s">
        <v>195</v>
      </c>
      <c r="C394" s="34" t="s">
        <v>2</v>
      </c>
      <c r="D394" s="34">
        <v>5</v>
      </c>
      <c r="E394" s="34" t="s">
        <v>83</v>
      </c>
      <c r="F394" s="34"/>
      <c r="G394" s="34" t="s">
        <v>11066</v>
      </c>
      <c r="H394" s="110">
        <v>11724</v>
      </c>
      <c r="I394" s="122">
        <v>28</v>
      </c>
      <c r="J394" s="111">
        <v>304206504</v>
      </c>
      <c r="K394" s="111">
        <f>IFERROR(Table16[[#This Row],[ROUTE COST]]/Table16[[#This Row],[E - DEMAND]],0)</f>
        <v>67736.91917167668</v>
      </c>
      <c r="L394" s="34">
        <v>4491</v>
      </c>
      <c r="M394" s="34">
        <f>VLOOKUP(Table16[[#This Row],[ROUTE]],DEMAND!A:F,5,FALSE)</f>
        <v>4346</v>
      </c>
      <c r="N394" s="34">
        <f>VLOOKUP(Table16[[#This Row],[ROUTE]],DEMAND!A:F,6,FALSE)</f>
        <v>386</v>
      </c>
      <c r="O394" s="34">
        <f>ROUNDDOWN(Table16[[#This Row],[R-DEMAND]]/1320,0)</f>
        <v>0</v>
      </c>
      <c r="P394" s="34">
        <f>Table16[[#This Row],[ADD ACC]]*Table16[[#This Row],[Duration]]</f>
        <v>0</v>
      </c>
    </row>
    <row r="395" spans="1:16" x14ac:dyDescent="0.25">
      <c r="A395" s="54" t="s">
        <v>12372</v>
      </c>
      <c r="B395" s="34" t="s">
        <v>3950</v>
      </c>
      <c r="C395" s="34" t="s">
        <v>2</v>
      </c>
      <c r="D395" s="34">
        <v>2</v>
      </c>
      <c r="E395" s="34" t="s">
        <v>1289</v>
      </c>
      <c r="F395" s="34"/>
      <c r="G395" s="34" t="s">
        <v>11950</v>
      </c>
      <c r="H395" s="110">
        <v>7128</v>
      </c>
      <c r="I395" s="122">
        <v>18</v>
      </c>
      <c r="J395" s="111">
        <v>204541707</v>
      </c>
      <c r="K395" s="111">
        <f>IFERROR(Table16[[#This Row],[ROUTE COST]]/Table16[[#This Row],[E - DEMAND]],0)</f>
        <v>47292.880231213872</v>
      </c>
      <c r="L395" s="34">
        <v>4325</v>
      </c>
      <c r="M395" s="34">
        <f>VLOOKUP(Table16[[#This Row],[ROUTE]],DEMAND!A:F,5,FALSE)</f>
        <v>4326</v>
      </c>
      <c r="N395" s="34">
        <f>VLOOKUP(Table16[[#This Row],[ROUTE]],DEMAND!A:F,6,FALSE)</f>
        <v>366</v>
      </c>
      <c r="O395" s="34">
        <f>ROUNDDOWN(Table16[[#This Row],[R-DEMAND]]/1320,0)</f>
        <v>0</v>
      </c>
      <c r="P395" s="34">
        <f>Table16[[#This Row],[ADD ACC]]*Table16[[#This Row],[Duration]]</f>
        <v>0</v>
      </c>
    </row>
    <row r="396" spans="1:16" x14ac:dyDescent="0.25">
      <c r="A396" s="249" t="s">
        <v>12477</v>
      </c>
      <c r="B396" s="34" t="s">
        <v>5068</v>
      </c>
      <c r="C396" s="34" t="s">
        <v>2</v>
      </c>
      <c r="D396" s="34">
        <v>3</v>
      </c>
      <c r="E396" s="34" t="s">
        <v>971</v>
      </c>
      <c r="F396" s="34"/>
      <c r="G396" s="34" t="s">
        <v>11777</v>
      </c>
      <c r="H396" s="110">
        <v>10931</v>
      </c>
      <c r="I396" s="122">
        <v>26.25</v>
      </c>
      <c r="J396" s="111">
        <v>255188385</v>
      </c>
      <c r="K396" s="111">
        <f>IFERROR(Table16[[#This Row],[ROUTE COST]]/Table16[[#This Row],[E - DEMAND]],0)</f>
        <v>59194.707724425891</v>
      </c>
      <c r="L396" s="34">
        <v>4311</v>
      </c>
      <c r="M396" s="34">
        <f>VLOOKUP(Table16[[#This Row],[ROUTE]],DEMAND!A:F,5,FALSE)</f>
        <v>4313</v>
      </c>
      <c r="N396" s="34">
        <f>VLOOKUP(Table16[[#This Row],[ROUTE]],DEMAND!A:F,6,FALSE)</f>
        <v>353</v>
      </c>
      <c r="O396" s="34">
        <f>ROUNDDOWN(Table16[[#This Row],[R-DEMAND]]/1320,0)</f>
        <v>0</v>
      </c>
      <c r="P396" s="34">
        <f>Table16[[#This Row],[ADD ACC]]*Table16[[#This Row],[Duration]]</f>
        <v>0</v>
      </c>
    </row>
    <row r="397" spans="1:16" x14ac:dyDescent="0.25">
      <c r="A397" s="54" t="s">
        <v>11272</v>
      </c>
      <c r="B397" s="34" t="s">
        <v>173</v>
      </c>
      <c r="C397" s="34" t="s">
        <v>2</v>
      </c>
      <c r="D397" s="34">
        <v>5</v>
      </c>
      <c r="E397" s="34" t="s">
        <v>172</v>
      </c>
      <c r="F397" s="34"/>
      <c r="G397" s="34" t="s">
        <v>171</v>
      </c>
      <c r="H397" s="110">
        <v>8003</v>
      </c>
      <c r="I397" s="122">
        <v>19.75</v>
      </c>
      <c r="J397" s="111">
        <v>254467821</v>
      </c>
      <c r="K397" s="111">
        <f>IFERROR(Table16[[#This Row],[ROUTE COST]]/Table16[[#This Row],[E - DEMAND]],0)</f>
        <v>57106.782091561938</v>
      </c>
      <c r="L397" s="34">
        <v>4456</v>
      </c>
      <c r="M397" s="34">
        <f>VLOOKUP(Table16[[#This Row],[ROUTE]],DEMAND!A:F,5,FALSE)</f>
        <v>4310</v>
      </c>
      <c r="N397" s="34">
        <f>VLOOKUP(Table16[[#This Row],[ROUTE]],DEMAND!A:F,6,FALSE)</f>
        <v>350</v>
      </c>
      <c r="O397" s="34">
        <f>ROUNDDOWN(Table16[[#This Row],[R-DEMAND]]/1320,0)</f>
        <v>0</v>
      </c>
      <c r="P397" s="34">
        <f>Table16[[#This Row],[ADD ACC]]*Table16[[#This Row],[Duration]]</f>
        <v>0</v>
      </c>
    </row>
    <row r="398" spans="1:16" x14ac:dyDescent="0.25">
      <c r="A398" s="54" t="s">
        <v>11371</v>
      </c>
      <c r="B398" s="34" t="s">
        <v>275</v>
      </c>
      <c r="C398" s="34" t="s">
        <v>2</v>
      </c>
      <c r="D398" s="34">
        <v>3</v>
      </c>
      <c r="E398" s="34" t="s">
        <v>332</v>
      </c>
      <c r="F398" s="34"/>
      <c r="G398" s="34" t="s">
        <v>12104</v>
      </c>
      <c r="H398" s="110">
        <v>1834</v>
      </c>
      <c r="I398" s="122">
        <v>6.25</v>
      </c>
      <c r="J398" s="111">
        <v>173462433</v>
      </c>
      <c r="K398" s="111">
        <f>IFERROR(Table16[[#This Row],[ROUTE COST]]/Table16[[#This Row],[E - DEMAND]],0)</f>
        <v>40718.880985915494</v>
      </c>
      <c r="L398" s="34">
        <v>4260</v>
      </c>
      <c r="M398" s="34">
        <f>VLOOKUP(Table16[[#This Row],[ROUTE]],DEMAND!A:F,5,FALSE)</f>
        <v>4302</v>
      </c>
      <c r="N398" s="34">
        <f>VLOOKUP(Table16[[#This Row],[ROUTE]],DEMAND!A:F,6,FALSE)</f>
        <v>342</v>
      </c>
      <c r="O398" s="34">
        <f>ROUNDDOWN(Table16[[#This Row],[R-DEMAND]]/1320,0)</f>
        <v>0</v>
      </c>
      <c r="P398" s="34">
        <f>Table16[[#This Row],[ADD ACC]]*Table16[[#This Row],[Duration]]</f>
        <v>0</v>
      </c>
    </row>
    <row r="399" spans="1:16" x14ac:dyDescent="0.25">
      <c r="A399" s="54" t="s">
        <v>12261</v>
      </c>
      <c r="B399" s="34" t="s">
        <v>4349</v>
      </c>
      <c r="C399" s="34" t="s">
        <v>2</v>
      </c>
      <c r="D399" s="34">
        <v>2</v>
      </c>
      <c r="E399" s="34" t="s">
        <v>4347</v>
      </c>
      <c r="F399" s="34"/>
      <c r="G399" s="34" t="s">
        <v>11784</v>
      </c>
      <c r="H399" s="110">
        <v>10816</v>
      </c>
      <c r="I399" s="122">
        <v>26</v>
      </c>
      <c r="K399" s="111">
        <f>IFERROR(Table16[[#This Row],[ROUTE COST]]/Table16[[#This Row],[E - DEMAND]],0)</f>
        <v>0</v>
      </c>
      <c r="L399" s="34"/>
      <c r="M399" s="34">
        <f>VLOOKUP(Table16[[#This Row],[ROUTE]],DEMAND!A:F,5,FALSE)</f>
        <v>4292</v>
      </c>
      <c r="N399" s="34">
        <f>VLOOKUP(Table16[[#This Row],[ROUTE]],DEMAND!A:F,6,FALSE)</f>
        <v>332</v>
      </c>
      <c r="O399" s="34">
        <f>ROUNDDOWN(Table16[[#This Row],[R-DEMAND]]/1320,0)</f>
        <v>0</v>
      </c>
      <c r="P399" s="34">
        <f>Table16[[#This Row],[ADD ACC]]*Table16[[#This Row],[Duration]]</f>
        <v>0</v>
      </c>
    </row>
    <row r="400" spans="1:16" x14ac:dyDescent="0.25">
      <c r="A400" s="54" t="s">
        <v>12641</v>
      </c>
      <c r="B400" s="34" t="s">
        <v>5489</v>
      </c>
      <c r="C400" s="34" t="s">
        <v>2</v>
      </c>
      <c r="D400" s="34">
        <v>4</v>
      </c>
      <c r="E400" s="34" t="s">
        <v>14</v>
      </c>
      <c r="F400" s="34"/>
      <c r="G400" s="34" t="s">
        <v>11098</v>
      </c>
      <c r="H400" s="110">
        <v>4583</v>
      </c>
      <c r="I400" s="122">
        <v>12.25</v>
      </c>
      <c r="J400" s="111">
        <v>203103466</v>
      </c>
      <c r="K400" s="111">
        <f>IFERROR(Table16[[#This Row],[ROUTE COST]]/Table16[[#This Row],[E - DEMAND]],0)</f>
        <v>64009.91679798298</v>
      </c>
      <c r="L400" s="34">
        <v>3173</v>
      </c>
      <c r="M400" s="34">
        <f>VLOOKUP(Table16[[#This Row],[ROUTE]],DEMAND!A:F,5,FALSE)</f>
        <v>4271</v>
      </c>
      <c r="N400" s="34">
        <f>VLOOKUP(Table16[[#This Row],[ROUTE]],DEMAND!A:F,6,FALSE)</f>
        <v>311</v>
      </c>
      <c r="O400" s="34">
        <f>ROUNDDOWN(Table16[[#This Row],[R-DEMAND]]/1320,0)</f>
        <v>0</v>
      </c>
      <c r="P400" s="34">
        <f>Table16[[#This Row],[ADD ACC]]*Table16[[#This Row],[Duration]]</f>
        <v>0</v>
      </c>
    </row>
    <row r="401" spans="1:16" x14ac:dyDescent="0.25">
      <c r="A401" s="54" t="s">
        <v>11382</v>
      </c>
      <c r="B401" s="34" t="s">
        <v>446</v>
      </c>
      <c r="C401" s="34" t="s">
        <v>2</v>
      </c>
      <c r="D401" s="34">
        <v>5</v>
      </c>
      <c r="E401" s="34" t="s">
        <v>3204</v>
      </c>
      <c r="F401" s="34"/>
      <c r="G401" s="34" t="s">
        <v>11111</v>
      </c>
      <c r="H401" s="110">
        <v>11356</v>
      </c>
      <c r="I401" s="122">
        <v>27.25</v>
      </c>
      <c r="J401" s="111">
        <v>299593855</v>
      </c>
      <c r="K401" s="111">
        <f>IFERROR(Table16[[#This Row],[ROUTE COST]]/Table16[[#This Row],[E - DEMAND]],0)</f>
        <v>68074.041127016593</v>
      </c>
      <c r="L401" s="34">
        <v>4401</v>
      </c>
      <c r="M401" s="34">
        <f>VLOOKUP(Table16[[#This Row],[ROUTE]],DEMAND!A:F,5,FALSE)</f>
        <v>4258</v>
      </c>
      <c r="N401" s="34">
        <f>VLOOKUP(Table16[[#This Row],[ROUTE]],DEMAND!A:F,6,FALSE)</f>
        <v>298</v>
      </c>
      <c r="O401" s="34">
        <f>ROUNDDOWN(Table16[[#This Row],[R-DEMAND]]/1320,0)</f>
        <v>0</v>
      </c>
      <c r="P401" s="34">
        <f>Table16[[#This Row],[ADD ACC]]*Table16[[#This Row],[Duration]]</f>
        <v>0</v>
      </c>
    </row>
    <row r="402" spans="1:16" x14ac:dyDescent="0.25">
      <c r="A402" s="54" t="s">
        <v>12612</v>
      </c>
      <c r="B402" s="34" t="s">
        <v>5567</v>
      </c>
      <c r="C402" s="34" t="s">
        <v>2</v>
      </c>
      <c r="D402" s="34">
        <v>4</v>
      </c>
      <c r="E402" s="34" t="s">
        <v>758</v>
      </c>
      <c r="F402" s="34"/>
      <c r="G402" s="34" t="s">
        <v>11029</v>
      </c>
      <c r="H402" s="110">
        <v>10255</v>
      </c>
      <c r="I402" s="122">
        <v>24.75</v>
      </c>
      <c r="J402" s="141">
        <v>216000000</v>
      </c>
      <c r="K402" s="111">
        <f>IFERROR(Table16[[#This Row],[ROUTE COST]]/Table16[[#This Row],[E - DEMAND]],0)</f>
        <v>0</v>
      </c>
      <c r="L402" s="34"/>
      <c r="M402" s="34">
        <f>VLOOKUP(Table16[[#This Row],[ROUTE]],DEMAND!A:F,5,FALSE)</f>
        <v>4247</v>
      </c>
      <c r="N402" s="34">
        <f>VLOOKUP(Table16[[#This Row],[ROUTE]],DEMAND!A:F,6,FALSE)</f>
        <v>287</v>
      </c>
      <c r="O402" s="34">
        <f>ROUNDDOWN(Table16[[#This Row],[R-DEMAND]]/1320,0)</f>
        <v>0</v>
      </c>
      <c r="P402" s="34">
        <f>Table16[[#This Row],[ADD ACC]]*Table16[[#This Row],[Duration]]</f>
        <v>0</v>
      </c>
    </row>
    <row r="403" spans="1:16" x14ac:dyDescent="0.25">
      <c r="A403" s="54" t="s">
        <v>11284</v>
      </c>
      <c r="B403" s="34" t="s">
        <v>270</v>
      </c>
      <c r="C403" s="34" t="s">
        <v>2</v>
      </c>
      <c r="D403" s="34">
        <v>5</v>
      </c>
      <c r="E403" s="34" t="s">
        <v>142</v>
      </c>
      <c r="F403" s="34"/>
      <c r="G403" s="34" t="s">
        <v>269</v>
      </c>
      <c r="H403" s="110">
        <v>5785</v>
      </c>
      <c r="I403" s="122">
        <v>15</v>
      </c>
      <c r="J403" s="111">
        <v>244262379</v>
      </c>
      <c r="K403" s="111">
        <f>IFERROR(Table16[[#This Row],[ROUTE COST]]/Table16[[#This Row],[E - DEMAND]],0)</f>
        <v>58352.216674629715</v>
      </c>
      <c r="L403" s="34">
        <v>4186</v>
      </c>
      <c r="M403" s="34">
        <f>VLOOKUP(Table16[[#This Row],[ROUTE]],DEMAND!A:F,5,FALSE)</f>
        <v>4246</v>
      </c>
      <c r="N403" s="34">
        <f>VLOOKUP(Table16[[#This Row],[ROUTE]],DEMAND!A:F,6,FALSE)</f>
        <v>286</v>
      </c>
      <c r="O403" s="34">
        <f>ROUNDDOWN(Table16[[#This Row],[R-DEMAND]]/1320,0)</f>
        <v>0</v>
      </c>
      <c r="P403" s="34">
        <f>Table16[[#This Row],[ADD ACC]]*Table16[[#This Row],[Duration]]</f>
        <v>0</v>
      </c>
    </row>
    <row r="404" spans="1:16" x14ac:dyDescent="0.25">
      <c r="A404" s="54" t="s">
        <v>12228</v>
      </c>
      <c r="B404" s="34" t="s">
        <v>4636</v>
      </c>
      <c r="C404" s="34" t="s">
        <v>2</v>
      </c>
      <c r="D404" s="34">
        <v>2</v>
      </c>
      <c r="E404" s="34" t="s">
        <v>493</v>
      </c>
      <c r="F404" s="34"/>
      <c r="G404" s="34" t="s">
        <v>11702</v>
      </c>
      <c r="H404" s="110">
        <v>11965</v>
      </c>
      <c r="I404" s="122">
        <v>28.75</v>
      </c>
      <c r="J404" s="111">
        <v>259362243</v>
      </c>
      <c r="K404" s="111">
        <f>IFERROR(Table16[[#This Row],[ROUTE COST]]/Table16[[#This Row],[E - DEMAND]],0)</f>
        <v>79315.670642201832</v>
      </c>
      <c r="L404" s="34">
        <v>3270</v>
      </c>
      <c r="M404" s="34">
        <f>VLOOKUP(Table16[[#This Row],[ROUTE]],DEMAND!A:F,5,FALSE)</f>
        <v>4240</v>
      </c>
      <c r="N404" s="34">
        <f>VLOOKUP(Table16[[#This Row],[ROUTE]],DEMAND!A:F,6,FALSE)</f>
        <v>280</v>
      </c>
      <c r="O404" s="34">
        <f>ROUNDDOWN(Table16[[#This Row],[R-DEMAND]]/1320,0)</f>
        <v>0</v>
      </c>
      <c r="P404" s="34">
        <f>Table16[[#This Row],[ADD ACC]]*Table16[[#This Row],[Duration]]</f>
        <v>0</v>
      </c>
    </row>
    <row r="405" spans="1:16" x14ac:dyDescent="0.25">
      <c r="A405" s="54" t="s">
        <v>11181</v>
      </c>
      <c r="B405" s="34" t="s">
        <v>437</v>
      </c>
      <c r="C405" s="34" t="s">
        <v>2</v>
      </c>
      <c r="D405" s="34">
        <v>2</v>
      </c>
      <c r="E405" s="34" t="s">
        <v>1070</v>
      </c>
      <c r="F405" s="34"/>
      <c r="G405" s="34" t="s">
        <v>12018</v>
      </c>
      <c r="H405" s="110">
        <v>5396</v>
      </c>
      <c r="I405" s="122">
        <v>14</v>
      </c>
      <c r="J405" s="111">
        <v>190438743</v>
      </c>
      <c r="K405" s="111">
        <f>IFERROR(Table16[[#This Row],[ROUTE COST]]/Table16[[#This Row],[E - DEMAND]],0)</f>
        <v>43508.965729952019</v>
      </c>
      <c r="L405" s="34">
        <v>4377</v>
      </c>
      <c r="M405" s="34">
        <f>VLOOKUP(Table16[[#This Row],[ROUTE]],DEMAND!A:F,5,FALSE)</f>
        <v>4236</v>
      </c>
      <c r="N405" s="34">
        <f>VLOOKUP(Table16[[#This Row],[ROUTE]],DEMAND!A:F,6,FALSE)</f>
        <v>276</v>
      </c>
      <c r="O405" s="34">
        <f>ROUNDDOWN(Table16[[#This Row],[R-DEMAND]]/1320,0)</f>
        <v>0</v>
      </c>
      <c r="P405" s="34">
        <f>Table16[[#This Row],[ADD ACC]]*Table16[[#This Row],[Duration]]</f>
        <v>0</v>
      </c>
    </row>
    <row r="406" spans="1:16" x14ac:dyDescent="0.25">
      <c r="A406" s="54" t="s">
        <v>11267</v>
      </c>
      <c r="B406" s="34" t="s">
        <v>193</v>
      </c>
      <c r="C406" s="34" t="s">
        <v>2</v>
      </c>
      <c r="D406" s="34">
        <v>4</v>
      </c>
      <c r="E406" s="34" t="s">
        <v>733</v>
      </c>
      <c r="F406" s="34"/>
      <c r="G406" s="34" t="s">
        <v>11065</v>
      </c>
      <c r="H406" s="110">
        <v>12661</v>
      </c>
      <c r="I406" s="122">
        <v>30.25</v>
      </c>
      <c r="J406" s="111">
        <v>292210201</v>
      </c>
      <c r="K406" s="111">
        <f>IFERROR(Table16[[#This Row],[ROUTE COST]]/Table16[[#This Row],[E - DEMAND]],0)</f>
        <v>66775.640082266909</v>
      </c>
      <c r="L406" s="34">
        <v>4376</v>
      </c>
      <c r="M406" s="34">
        <f>VLOOKUP(Table16[[#This Row],[ROUTE]],DEMAND!A:F,5,FALSE)</f>
        <v>4234</v>
      </c>
      <c r="N406" s="34">
        <f>VLOOKUP(Table16[[#This Row],[ROUTE]],DEMAND!A:F,6,FALSE)</f>
        <v>274</v>
      </c>
      <c r="O406" s="34">
        <f>ROUNDDOWN(Table16[[#This Row],[R-DEMAND]]/1320,0)</f>
        <v>0</v>
      </c>
      <c r="P406" s="34">
        <f>Table16[[#This Row],[ADD ACC]]*Table16[[#This Row],[Duration]]</f>
        <v>0</v>
      </c>
    </row>
    <row r="407" spans="1:16" x14ac:dyDescent="0.25">
      <c r="A407" s="54" t="s">
        <v>11292</v>
      </c>
      <c r="B407" s="34" t="s">
        <v>268</v>
      </c>
      <c r="C407" s="34" t="s">
        <v>2</v>
      </c>
      <c r="D407" s="34">
        <v>4</v>
      </c>
      <c r="E407" s="34" t="s">
        <v>14</v>
      </c>
      <c r="F407" s="34"/>
      <c r="G407" s="34" t="s">
        <v>11995</v>
      </c>
      <c r="H407" s="110">
        <v>6076</v>
      </c>
      <c r="I407" s="122">
        <v>15.5</v>
      </c>
      <c r="J407" s="141">
        <v>216000000</v>
      </c>
      <c r="K407" s="111">
        <f>IFERROR(Table16[[#This Row],[ROUTE COST]]/Table16[[#This Row],[E - DEMAND]],0)</f>
        <v>51761.322789360172</v>
      </c>
      <c r="L407" s="34">
        <v>4173</v>
      </c>
      <c r="M407" s="34">
        <f>VLOOKUP(Table16[[#This Row],[ROUTE]],DEMAND!A:F,5,FALSE)</f>
        <v>4233</v>
      </c>
      <c r="N407" s="34">
        <f>VLOOKUP(Table16[[#This Row],[ROUTE]],DEMAND!A:F,6,FALSE)</f>
        <v>273</v>
      </c>
      <c r="O407" s="34">
        <f>ROUNDDOWN(Table16[[#This Row],[R-DEMAND]]/1320,0)</f>
        <v>0</v>
      </c>
      <c r="P407" s="34">
        <f>Table16[[#This Row],[ADD ACC]]*Table16[[#This Row],[Duration]]</f>
        <v>0</v>
      </c>
    </row>
    <row r="408" spans="1:16" x14ac:dyDescent="0.25">
      <c r="A408" s="54" t="s">
        <v>12610</v>
      </c>
      <c r="B408" s="34" t="s">
        <v>5602</v>
      </c>
      <c r="C408" s="34" t="s">
        <v>2</v>
      </c>
      <c r="D408" s="34">
        <v>4</v>
      </c>
      <c r="E408" s="34" t="s">
        <v>11049</v>
      </c>
      <c r="F408" s="34"/>
      <c r="G408" s="34" t="s">
        <v>11048</v>
      </c>
      <c r="H408" s="110">
        <v>10703</v>
      </c>
      <c r="I408" s="122">
        <v>25.75</v>
      </c>
      <c r="J408" s="111">
        <v>270435864</v>
      </c>
      <c r="K408" s="111">
        <f>IFERROR(Table16[[#This Row],[ROUTE COST]]/Table16[[#This Row],[E - DEMAND]],0)</f>
        <v>64038.80274686242</v>
      </c>
      <c r="L408" s="34">
        <v>4223</v>
      </c>
      <c r="M408" s="34">
        <f>VLOOKUP(Table16[[#This Row],[ROUTE]],DEMAND!A:F,5,FALSE)</f>
        <v>4227</v>
      </c>
      <c r="N408" s="34">
        <f>VLOOKUP(Table16[[#This Row],[ROUTE]],DEMAND!A:F,6,FALSE)</f>
        <v>267</v>
      </c>
      <c r="O408" s="34">
        <f>ROUNDDOWN(Table16[[#This Row],[R-DEMAND]]/1320,0)</f>
        <v>0</v>
      </c>
      <c r="P408" s="34">
        <f>Table16[[#This Row],[ADD ACC]]*Table16[[#This Row],[Duration]]</f>
        <v>0</v>
      </c>
    </row>
    <row r="409" spans="1:16" x14ac:dyDescent="0.25">
      <c r="A409" s="54" t="s">
        <v>12566</v>
      </c>
      <c r="B409" s="34" t="s">
        <v>4915</v>
      </c>
      <c r="C409" s="34" t="s">
        <v>2</v>
      </c>
      <c r="D409" s="34">
        <v>3</v>
      </c>
      <c r="E409" s="34" t="s">
        <v>14</v>
      </c>
      <c r="F409" s="34"/>
      <c r="G409" s="34" t="s">
        <v>12051</v>
      </c>
      <c r="H409" s="110">
        <v>4347</v>
      </c>
      <c r="I409" s="122">
        <v>11.75</v>
      </c>
      <c r="J409" s="111">
        <v>186306587</v>
      </c>
      <c r="K409" s="111">
        <f>IFERROR(Table16[[#This Row],[ROUTE COST]]/Table16[[#This Row],[E - DEMAND]],0)</f>
        <v>46553.370064967516</v>
      </c>
      <c r="L409" s="34">
        <v>4002</v>
      </c>
      <c r="M409" s="34">
        <f>VLOOKUP(Table16[[#This Row],[ROUTE]],DEMAND!A:F,5,FALSE)</f>
        <v>4206</v>
      </c>
      <c r="N409" s="34">
        <f>VLOOKUP(Table16[[#This Row],[ROUTE]],DEMAND!A:F,6,FALSE)</f>
        <v>246</v>
      </c>
      <c r="O409" s="34">
        <f>ROUNDDOWN(Table16[[#This Row],[R-DEMAND]]/1320,0)</f>
        <v>0</v>
      </c>
      <c r="P409" s="34">
        <f>Table16[[#This Row],[ADD ACC]]*Table16[[#This Row],[Duration]]</f>
        <v>0</v>
      </c>
    </row>
    <row r="410" spans="1:16" x14ac:dyDescent="0.25">
      <c r="A410" s="54" t="s">
        <v>12508</v>
      </c>
      <c r="B410" s="34" t="s">
        <v>5221</v>
      </c>
      <c r="C410" s="34" t="s">
        <v>2</v>
      </c>
      <c r="D410" s="34">
        <v>3</v>
      </c>
      <c r="E410" s="34" t="s">
        <v>700</v>
      </c>
      <c r="F410" s="34"/>
      <c r="G410" s="34" t="s">
        <v>10068</v>
      </c>
      <c r="H410" s="110">
        <v>9347</v>
      </c>
      <c r="I410" s="122">
        <v>22.75</v>
      </c>
      <c r="J410" s="111">
        <v>242525201</v>
      </c>
      <c r="K410" s="111">
        <f>IFERROR(Table16[[#This Row],[ROUTE COST]]/Table16[[#This Row],[E - DEMAND]],0)</f>
        <v>57716.61137553546</v>
      </c>
      <c r="L410" s="34">
        <v>4202</v>
      </c>
      <c r="M410" s="34">
        <f>VLOOKUP(Table16[[#This Row],[ROUTE]],DEMAND!A:F,5,FALSE)</f>
        <v>4204</v>
      </c>
      <c r="N410" s="34">
        <f>VLOOKUP(Table16[[#This Row],[ROUTE]],DEMAND!A:F,6,FALSE)</f>
        <v>244</v>
      </c>
      <c r="O410" s="34">
        <f>ROUNDDOWN(Table16[[#This Row],[R-DEMAND]]/1320,0)</f>
        <v>0</v>
      </c>
      <c r="P410" s="34">
        <f>Table16[[#This Row],[ADD ACC]]*Table16[[#This Row],[Duration]]</f>
        <v>0</v>
      </c>
    </row>
    <row r="411" spans="1:16" x14ac:dyDescent="0.25">
      <c r="A411" s="54" t="s">
        <v>11255</v>
      </c>
      <c r="B411" s="34" t="s">
        <v>259</v>
      </c>
      <c r="C411" s="34" t="s">
        <v>2</v>
      </c>
      <c r="D411" s="34">
        <v>5</v>
      </c>
      <c r="E411" s="34" t="s">
        <v>258</v>
      </c>
      <c r="F411" s="34"/>
      <c r="G411" s="34" t="s">
        <v>257</v>
      </c>
      <c r="H411" s="110">
        <v>5264</v>
      </c>
      <c r="I411" s="122">
        <v>13.75</v>
      </c>
      <c r="J411" s="111">
        <v>231193230</v>
      </c>
      <c r="K411" s="111">
        <f>IFERROR(Table16[[#This Row],[ROUTE COST]]/Table16[[#This Row],[E - DEMAND]],0)</f>
        <v>53233.532120653923</v>
      </c>
      <c r="L411" s="34">
        <v>4343</v>
      </c>
      <c r="M411" s="34">
        <f>VLOOKUP(Table16[[#This Row],[ROUTE]],DEMAND!A:F,5,FALSE)</f>
        <v>4202</v>
      </c>
      <c r="N411" s="34">
        <f>VLOOKUP(Table16[[#This Row],[ROUTE]],DEMAND!A:F,6,FALSE)</f>
        <v>242</v>
      </c>
      <c r="O411" s="34">
        <f>ROUNDDOWN(Table16[[#This Row],[R-DEMAND]]/1320,0)</f>
        <v>0</v>
      </c>
      <c r="P411" s="34">
        <f>Table16[[#This Row],[ADD ACC]]*Table16[[#This Row],[Duration]]</f>
        <v>0</v>
      </c>
    </row>
    <row r="412" spans="1:16" x14ac:dyDescent="0.25">
      <c r="A412" s="54" t="s">
        <v>11385</v>
      </c>
      <c r="B412" s="34" t="s">
        <v>157</v>
      </c>
      <c r="C412" s="34" t="s">
        <v>2</v>
      </c>
      <c r="D412" s="34">
        <v>5</v>
      </c>
      <c r="E412" s="34" t="s">
        <v>1427</v>
      </c>
      <c r="F412" s="34"/>
      <c r="G412" s="34" t="s">
        <v>11057</v>
      </c>
      <c r="H412" s="110">
        <v>10878</v>
      </c>
      <c r="I412" s="122">
        <v>26.25</v>
      </c>
      <c r="J412" s="111">
        <v>289954463</v>
      </c>
      <c r="K412" s="111">
        <f>IFERROR(Table16[[#This Row],[ROUTE COST]]/Table16[[#This Row],[E - DEMAND]],0)</f>
        <v>67072.510525098318</v>
      </c>
      <c r="L412" s="34">
        <v>4323</v>
      </c>
      <c r="M412" s="34">
        <f>VLOOKUP(Table16[[#This Row],[ROUTE]],DEMAND!A:F,5,FALSE)</f>
        <v>4183</v>
      </c>
      <c r="N412" s="34">
        <f>VLOOKUP(Table16[[#This Row],[ROUTE]],DEMAND!A:F,6,FALSE)</f>
        <v>223</v>
      </c>
      <c r="O412" s="34">
        <f>ROUNDDOWN(Table16[[#This Row],[R-DEMAND]]/1320,0)</f>
        <v>0</v>
      </c>
      <c r="P412" s="34">
        <f>Table16[[#This Row],[ADD ACC]]*Table16[[#This Row],[Duration]]</f>
        <v>0</v>
      </c>
    </row>
    <row r="413" spans="1:16" x14ac:dyDescent="0.25">
      <c r="A413" s="54" t="s">
        <v>11263</v>
      </c>
      <c r="B413" s="34" t="s">
        <v>63</v>
      </c>
      <c r="C413" s="34" t="s">
        <v>2</v>
      </c>
      <c r="D413" s="34">
        <v>4</v>
      </c>
      <c r="E413" s="34" t="s">
        <v>14</v>
      </c>
      <c r="F413" s="34"/>
      <c r="G413" s="34" t="s">
        <v>62</v>
      </c>
      <c r="H413" s="110">
        <v>4927</v>
      </c>
      <c r="I413" s="122">
        <v>13</v>
      </c>
      <c r="J413" s="111">
        <v>209902839</v>
      </c>
      <c r="K413" s="111">
        <f>IFERROR(Table16[[#This Row],[ROUTE COST]]/Table16[[#This Row],[E - DEMAND]],0)</f>
        <v>48599.870108821488</v>
      </c>
      <c r="L413" s="34">
        <v>4319</v>
      </c>
      <c r="M413" s="34">
        <f>VLOOKUP(Table16[[#This Row],[ROUTE]],DEMAND!A:F,5,FALSE)</f>
        <v>4180</v>
      </c>
      <c r="N413" s="34">
        <f>VLOOKUP(Table16[[#This Row],[ROUTE]],DEMAND!A:F,6,FALSE)</f>
        <v>220</v>
      </c>
      <c r="O413" s="34">
        <f>ROUNDDOWN(Table16[[#This Row],[R-DEMAND]]/1320,0)</f>
        <v>0</v>
      </c>
      <c r="P413" s="34">
        <f>Table16[[#This Row],[ADD ACC]]*Table16[[#This Row],[Duration]]</f>
        <v>0</v>
      </c>
    </row>
    <row r="414" spans="1:16" x14ac:dyDescent="0.25">
      <c r="A414" s="54" t="s">
        <v>11264</v>
      </c>
      <c r="B414" s="34" t="s">
        <v>337</v>
      </c>
      <c r="C414" s="34" t="s">
        <v>2</v>
      </c>
      <c r="D414" s="34">
        <v>4</v>
      </c>
      <c r="E414" s="34" t="s">
        <v>14</v>
      </c>
      <c r="F414" s="34"/>
      <c r="G414" s="34" t="s">
        <v>336</v>
      </c>
      <c r="H414" s="110">
        <v>5244</v>
      </c>
      <c r="I414" s="122">
        <v>13.75</v>
      </c>
      <c r="J414" s="111">
        <v>212901363</v>
      </c>
      <c r="K414" s="111">
        <f>IFERROR(Table16[[#This Row],[ROUTE COST]]/Table16[[#This Row],[E - DEMAND]],0)</f>
        <v>49339.8292004635</v>
      </c>
      <c r="L414" s="34">
        <v>4315</v>
      </c>
      <c r="M414" s="34">
        <f>VLOOKUP(Table16[[#This Row],[ROUTE]],DEMAND!A:F,5,FALSE)</f>
        <v>4176</v>
      </c>
      <c r="N414" s="34">
        <f>VLOOKUP(Table16[[#This Row],[ROUTE]],DEMAND!A:F,6,FALSE)</f>
        <v>216</v>
      </c>
      <c r="O414" s="34">
        <f>ROUNDDOWN(Table16[[#This Row],[R-DEMAND]]/1320,0)</f>
        <v>0</v>
      </c>
      <c r="P414" s="34">
        <f>Table16[[#This Row],[ADD ACC]]*Table16[[#This Row],[Duration]]</f>
        <v>0</v>
      </c>
    </row>
    <row r="415" spans="1:16" x14ac:dyDescent="0.25">
      <c r="A415" s="54" t="s">
        <v>11379</v>
      </c>
      <c r="B415" s="34" t="s">
        <v>200</v>
      </c>
      <c r="C415" s="34" t="s">
        <v>2</v>
      </c>
      <c r="D415" s="34">
        <v>5</v>
      </c>
      <c r="E415" s="34" t="s">
        <v>83</v>
      </c>
      <c r="F415" s="34"/>
      <c r="G415" s="34" t="s">
        <v>11067</v>
      </c>
      <c r="H415" s="110">
        <v>11712</v>
      </c>
      <c r="I415" s="122">
        <v>28</v>
      </c>
      <c r="J415" s="111">
        <v>297543146</v>
      </c>
      <c r="K415" s="111">
        <f>IFERROR(Table16[[#This Row],[ROUTE COST]]/Table16[[#This Row],[E - DEMAND]],0)</f>
        <v>68955.537891077634</v>
      </c>
      <c r="L415" s="34">
        <v>4315</v>
      </c>
      <c r="M415" s="34">
        <f>VLOOKUP(Table16[[#This Row],[ROUTE]],DEMAND!A:F,5,FALSE)</f>
        <v>4175</v>
      </c>
      <c r="N415" s="34">
        <f>VLOOKUP(Table16[[#This Row],[ROUTE]],DEMAND!A:F,6,FALSE)</f>
        <v>215</v>
      </c>
      <c r="O415" s="34">
        <f>ROUNDDOWN(Table16[[#This Row],[R-DEMAND]]/1320,0)</f>
        <v>0</v>
      </c>
      <c r="P415" s="34">
        <f>Table16[[#This Row],[ADD ACC]]*Table16[[#This Row],[Duration]]</f>
        <v>0</v>
      </c>
    </row>
    <row r="416" spans="1:16" x14ac:dyDescent="0.25">
      <c r="A416" s="54" t="s">
        <v>12615</v>
      </c>
      <c r="B416" s="34" t="s">
        <v>5526</v>
      </c>
      <c r="C416" s="34" t="s">
        <v>2</v>
      </c>
      <c r="D416" s="34">
        <v>4</v>
      </c>
      <c r="E416" s="34" t="s">
        <v>1420</v>
      </c>
      <c r="F416" s="34"/>
      <c r="G416" s="34" t="s">
        <v>11108</v>
      </c>
      <c r="H416" s="110">
        <v>9745</v>
      </c>
      <c r="I416" s="122">
        <v>23.75</v>
      </c>
      <c r="K416" s="111">
        <f>IFERROR(Table16[[#This Row],[ROUTE COST]]/Table16[[#This Row],[E - DEMAND]],0)</f>
        <v>0</v>
      </c>
      <c r="L416" s="34"/>
      <c r="M416" s="34">
        <f>VLOOKUP(Table16[[#This Row],[ROUTE]],DEMAND!A:F,5,FALSE)</f>
        <v>4169</v>
      </c>
      <c r="N416" s="34">
        <f>VLOOKUP(Table16[[#This Row],[ROUTE]],DEMAND!A:F,6,FALSE)</f>
        <v>209</v>
      </c>
      <c r="O416" s="34">
        <f>ROUNDDOWN(Table16[[#This Row],[R-DEMAND]]/1320,0)</f>
        <v>0</v>
      </c>
      <c r="P416" s="34">
        <f>Table16[[#This Row],[ADD ACC]]*Table16[[#This Row],[Duration]]</f>
        <v>0</v>
      </c>
    </row>
    <row r="417" spans="1:16" x14ac:dyDescent="0.25">
      <c r="A417" s="54" t="s">
        <v>11258</v>
      </c>
      <c r="B417" s="34" t="s">
        <v>185</v>
      </c>
      <c r="C417" s="34" t="s">
        <v>2</v>
      </c>
      <c r="D417" s="34">
        <v>5</v>
      </c>
      <c r="E417" s="34" t="s">
        <v>119</v>
      </c>
      <c r="F417" s="34"/>
      <c r="G417" s="34" t="s">
        <v>11061</v>
      </c>
      <c r="H417" s="110">
        <v>12158</v>
      </c>
      <c r="I417" s="122">
        <v>29</v>
      </c>
      <c r="J417" s="111">
        <v>309210472</v>
      </c>
      <c r="K417" s="111">
        <f>IFERROR(Table16[[#This Row],[ROUTE COST]]/Table16[[#This Row],[E - DEMAND]],0)</f>
        <v>71775.875580315696</v>
      </c>
      <c r="L417" s="34">
        <v>4308</v>
      </c>
      <c r="M417" s="34">
        <f>VLOOKUP(Table16[[#This Row],[ROUTE]],DEMAND!A:F,5,FALSE)</f>
        <v>4168</v>
      </c>
      <c r="N417" s="34">
        <f>VLOOKUP(Table16[[#This Row],[ROUTE]],DEMAND!A:F,6,FALSE)</f>
        <v>208</v>
      </c>
      <c r="O417" s="34">
        <f>ROUNDDOWN(Table16[[#This Row],[R-DEMAND]]/1320,0)</f>
        <v>0</v>
      </c>
      <c r="P417" s="34">
        <f>Table16[[#This Row],[ADD ACC]]*Table16[[#This Row],[Duration]]</f>
        <v>0</v>
      </c>
    </row>
    <row r="418" spans="1:16" x14ac:dyDescent="0.25">
      <c r="A418" s="54" t="s">
        <v>12522</v>
      </c>
      <c r="B418" s="34" t="s">
        <v>5438</v>
      </c>
      <c r="C418" s="34" t="s">
        <v>2</v>
      </c>
      <c r="D418" s="34">
        <v>3</v>
      </c>
      <c r="E418" s="34" t="s">
        <v>78</v>
      </c>
      <c r="F418" s="34"/>
      <c r="G418" s="34" t="s">
        <v>11918</v>
      </c>
      <c r="H418" s="110">
        <v>7992</v>
      </c>
      <c r="I418" s="122">
        <v>19.75</v>
      </c>
      <c r="J418" s="111">
        <v>235083081</v>
      </c>
      <c r="K418" s="111">
        <f>IFERROR(Table16[[#This Row],[ROUTE COST]]/Table16[[#This Row],[E - DEMAND]],0)</f>
        <v>76127.940738341975</v>
      </c>
      <c r="L418" s="34">
        <v>3088</v>
      </c>
      <c r="M418" s="34">
        <f>VLOOKUP(Table16[[#This Row],[ROUTE]],DEMAND!A:F,5,FALSE)</f>
        <v>4163</v>
      </c>
      <c r="N418" s="34">
        <f>VLOOKUP(Table16[[#This Row],[ROUTE]],DEMAND!A:F,6,FALSE)</f>
        <v>203</v>
      </c>
      <c r="O418" s="34">
        <f>ROUNDDOWN(Table16[[#This Row],[R-DEMAND]]/1320,0)</f>
        <v>0</v>
      </c>
      <c r="P418" s="34">
        <f>Table16[[#This Row],[ADD ACC]]*Table16[[#This Row],[Duration]]</f>
        <v>0</v>
      </c>
    </row>
    <row r="419" spans="1:16" x14ac:dyDescent="0.25">
      <c r="A419" s="54" t="s">
        <v>12503</v>
      </c>
      <c r="B419" s="34" t="s">
        <v>5419</v>
      </c>
      <c r="C419" s="34" t="s">
        <v>2</v>
      </c>
      <c r="D419" s="34">
        <v>3</v>
      </c>
      <c r="E419" s="34" t="s">
        <v>722</v>
      </c>
      <c r="F419" s="34"/>
      <c r="G419" s="34" t="s">
        <v>11845</v>
      </c>
      <c r="H419" s="110">
        <v>9538</v>
      </c>
      <c r="I419" s="122">
        <v>23.25</v>
      </c>
      <c r="K419" s="111">
        <f>IFERROR(Table16[[#This Row],[ROUTE COST]]/Table16[[#This Row],[E - DEMAND]],0)</f>
        <v>0</v>
      </c>
      <c r="L419" s="34"/>
      <c r="M419" s="34">
        <f>VLOOKUP(Table16[[#This Row],[ROUTE]],DEMAND!A:F,5,FALSE)</f>
        <v>4162</v>
      </c>
      <c r="N419" s="34">
        <f>VLOOKUP(Table16[[#This Row],[ROUTE]],DEMAND!A:F,6,FALSE)</f>
        <v>202</v>
      </c>
      <c r="O419" s="34">
        <f>ROUNDDOWN(Table16[[#This Row],[R-DEMAND]]/1320,0)</f>
        <v>0</v>
      </c>
      <c r="P419" s="34">
        <f>Table16[[#This Row],[ADD ACC]]*Table16[[#This Row],[Duration]]</f>
        <v>0</v>
      </c>
    </row>
    <row r="420" spans="1:16" x14ac:dyDescent="0.25">
      <c r="A420" s="54" t="s">
        <v>12154</v>
      </c>
      <c r="B420" s="34" t="s">
        <v>1965</v>
      </c>
      <c r="C420" s="34" t="s">
        <v>2</v>
      </c>
      <c r="D420" s="34">
        <v>1</v>
      </c>
      <c r="E420" s="34" t="s">
        <v>644</v>
      </c>
      <c r="F420" s="34"/>
      <c r="G420" s="34" t="s">
        <v>11839</v>
      </c>
      <c r="H420" s="110">
        <v>9724</v>
      </c>
      <c r="I420" s="122">
        <v>23.75</v>
      </c>
      <c r="J420" s="111">
        <v>220947266</v>
      </c>
      <c r="K420" s="111">
        <f>IFERROR(Table16[[#This Row],[ROUTE COST]]/Table16[[#This Row],[E - DEMAND]],0)</f>
        <v>53240.305060240964</v>
      </c>
      <c r="L420" s="34">
        <v>4150</v>
      </c>
      <c r="M420" s="34">
        <f>VLOOKUP(Table16[[#This Row],[ROUTE]],DEMAND!A:F,5,FALSE)</f>
        <v>4154</v>
      </c>
      <c r="N420" s="34">
        <f>VLOOKUP(Table16[[#This Row],[ROUTE]],DEMAND!A:F,6,FALSE)</f>
        <v>194</v>
      </c>
      <c r="O420" s="34">
        <f>ROUNDDOWN(Table16[[#This Row],[R-DEMAND]]/1320,0)</f>
        <v>0</v>
      </c>
      <c r="P420" s="34">
        <f>Table16[[#This Row],[ADD ACC]]*Table16[[#This Row],[Duration]]</f>
        <v>0</v>
      </c>
    </row>
    <row r="421" spans="1:16" x14ac:dyDescent="0.25">
      <c r="A421" s="54" t="s">
        <v>12578</v>
      </c>
      <c r="B421" s="34" t="s">
        <v>4781</v>
      </c>
      <c r="C421" s="34" t="s">
        <v>2</v>
      </c>
      <c r="D421" s="34">
        <v>3</v>
      </c>
      <c r="E421" s="34" t="s">
        <v>14</v>
      </c>
      <c r="F421" s="34"/>
      <c r="G421" s="34" t="s">
        <v>12080</v>
      </c>
      <c r="H421" s="110">
        <v>3213</v>
      </c>
      <c r="I421" s="122">
        <v>9.25</v>
      </c>
      <c r="J421" s="111">
        <v>173264729</v>
      </c>
      <c r="K421" s="111">
        <f>IFERROR(Table16[[#This Row],[ROUTE COST]]/Table16[[#This Row],[E - DEMAND]],0)</f>
        <v>41750.537108433738</v>
      </c>
      <c r="L421" s="34">
        <v>4150</v>
      </c>
      <c r="M421" s="34">
        <f>VLOOKUP(Table16[[#This Row],[ROUTE]],DEMAND!A:F,5,FALSE)</f>
        <v>4152</v>
      </c>
      <c r="N421" s="34">
        <f>VLOOKUP(Table16[[#This Row],[ROUTE]],DEMAND!A:F,6,FALSE)</f>
        <v>192</v>
      </c>
      <c r="O421" s="34">
        <f>ROUNDDOWN(Table16[[#This Row],[R-DEMAND]]/1320,0)</f>
        <v>0</v>
      </c>
      <c r="P421" s="34">
        <f>Table16[[#This Row],[ADD ACC]]*Table16[[#This Row],[Duration]]</f>
        <v>0</v>
      </c>
    </row>
    <row r="422" spans="1:16" x14ac:dyDescent="0.25">
      <c r="A422" s="54" t="s">
        <v>11293</v>
      </c>
      <c r="B422" s="34" t="s">
        <v>309</v>
      </c>
      <c r="C422" s="34" t="s">
        <v>2</v>
      </c>
      <c r="D422" s="34">
        <v>5</v>
      </c>
      <c r="E422" s="34" t="s">
        <v>308</v>
      </c>
      <c r="F422" s="34"/>
      <c r="G422" s="34" t="s">
        <v>307</v>
      </c>
      <c r="H422" s="110">
        <v>10829</v>
      </c>
      <c r="I422" s="122">
        <v>26</v>
      </c>
      <c r="J422" s="111">
        <v>290302680</v>
      </c>
      <c r="K422" s="111">
        <f>IFERROR(Table16[[#This Row],[ROUTE COST]]/Table16[[#This Row],[E - DEMAND]],0)</f>
        <v>67732.776481567897</v>
      </c>
      <c r="L422" s="34">
        <v>4286</v>
      </c>
      <c r="M422" s="34">
        <f>VLOOKUP(Table16[[#This Row],[ROUTE]],DEMAND!A:F,5,FALSE)</f>
        <v>4147</v>
      </c>
      <c r="N422" s="34">
        <f>VLOOKUP(Table16[[#This Row],[ROUTE]],DEMAND!A:F,6,FALSE)</f>
        <v>187</v>
      </c>
      <c r="O422" s="34">
        <f>ROUNDDOWN(Table16[[#This Row],[R-DEMAND]]/1320,0)</f>
        <v>0</v>
      </c>
      <c r="P422" s="34">
        <f>Table16[[#This Row],[ADD ACC]]*Table16[[#This Row],[Duration]]</f>
        <v>0</v>
      </c>
    </row>
    <row r="423" spans="1:16" x14ac:dyDescent="0.25">
      <c r="A423" s="54" t="s">
        <v>12505</v>
      </c>
      <c r="B423" s="34" t="s">
        <v>5128</v>
      </c>
      <c r="C423" s="34" t="s">
        <v>2</v>
      </c>
      <c r="D423" s="34">
        <v>3</v>
      </c>
      <c r="E423" s="34" t="s">
        <v>700</v>
      </c>
      <c r="F423" s="34"/>
      <c r="G423" s="34" t="s">
        <v>11849</v>
      </c>
      <c r="H423" s="110">
        <v>9458</v>
      </c>
      <c r="I423" s="122">
        <v>23</v>
      </c>
      <c r="K423" s="111">
        <f>IFERROR(Table16[[#This Row],[ROUTE COST]]/Table16[[#This Row],[E - DEMAND]],0)</f>
        <v>0</v>
      </c>
      <c r="L423" s="34"/>
      <c r="M423" s="34">
        <f>VLOOKUP(Table16[[#This Row],[ROUTE]],DEMAND!A:F,5,FALSE)</f>
        <v>4139</v>
      </c>
      <c r="N423" s="34">
        <f>VLOOKUP(Table16[[#This Row],[ROUTE]],DEMAND!A:F,6,FALSE)</f>
        <v>-2461</v>
      </c>
      <c r="O423" s="34">
        <f>ROUNDDOWN(Table16[[#This Row],[R-DEMAND]]/1320,0)</f>
        <v>-1</v>
      </c>
      <c r="P423" s="34">
        <f>Table16[[#This Row],[ADD ACC]]*Table16[[#This Row],[Duration]]</f>
        <v>-23</v>
      </c>
    </row>
    <row r="424" spans="1:16" x14ac:dyDescent="0.25">
      <c r="A424" s="54" t="s">
        <v>11237</v>
      </c>
      <c r="B424" s="34" t="s">
        <v>204</v>
      </c>
      <c r="C424" s="34" t="s">
        <v>2</v>
      </c>
      <c r="D424" s="34">
        <v>3</v>
      </c>
      <c r="E424" s="34" t="s">
        <v>78</v>
      </c>
      <c r="F424" s="34"/>
      <c r="G424" s="34" t="s">
        <v>11832</v>
      </c>
      <c r="H424" s="110">
        <v>9848</v>
      </c>
      <c r="I424" s="122">
        <v>24</v>
      </c>
      <c r="J424" s="141">
        <v>216000000</v>
      </c>
      <c r="K424" s="111">
        <f>IFERROR(Table16[[#This Row],[ROUTE COST]]/Table16[[#This Row],[E - DEMAND]],0)</f>
        <v>50644.783118405627</v>
      </c>
      <c r="L424" s="34">
        <v>4265</v>
      </c>
      <c r="M424" s="34">
        <f>VLOOKUP(Table16[[#This Row],[ROUTE]],DEMAND!A:F,5,FALSE)</f>
        <v>4127</v>
      </c>
      <c r="N424" s="34">
        <f>VLOOKUP(Table16[[#This Row],[ROUTE]],DEMAND!A:F,6,FALSE)</f>
        <v>167</v>
      </c>
      <c r="O424" s="34">
        <f>ROUNDDOWN(Table16[[#This Row],[R-DEMAND]]/1320,0)</f>
        <v>0</v>
      </c>
      <c r="P424" s="34">
        <f>Table16[[#This Row],[ADD ACC]]*Table16[[#This Row],[Duration]]</f>
        <v>0</v>
      </c>
    </row>
    <row r="425" spans="1:16" x14ac:dyDescent="0.25">
      <c r="A425" s="54" t="s">
        <v>12381</v>
      </c>
      <c r="B425" s="34" t="s">
        <v>3078</v>
      </c>
      <c r="C425" s="34" t="s">
        <v>2</v>
      </c>
      <c r="D425" s="34">
        <v>2</v>
      </c>
      <c r="E425" s="34" t="s">
        <v>1289</v>
      </c>
      <c r="F425" s="34"/>
      <c r="G425" s="34" t="s">
        <v>11968</v>
      </c>
      <c r="H425" s="110">
        <v>6725</v>
      </c>
      <c r="I425" s="122">
        <v>17</v>
      </c>
      <c r="J425" s="111">
        <v>196300537</v>
      </c>
      <c r="K425" s="111">
        <f>IFERROR(Table16[[#This Row],[ROUTE COST]]/Table16[[#This Row],[E - DEMAND]],0)</f>
        <v>47819.862850182704</v>
      </c>
      <c r="L425" s="34">
        <v>4105</v>
      </c>
      <c r="M425" s="34">
        <f>VLOOKUP(Table16[[#This Row],[ROUTE]],DEMAND!A:F,5,FALSE)</f>
        <v>4106</v>
      </c>
      <c r="N425" s="34">
        <f>VLOOKUP(Table16[[#This Row],[ROUTE]],DEMAND!A:F,6,FALSE)</f>
        <v>146</v>
      </c>
      <c r="O425" s="34">
        <f>ROUNDDOWN(Table16[[#This Row],[R-DEMAND]]/1320,0)</f>
        <v>0</v>
      </c>
      <c r="P425" s="34">
        <f>Table16[[#This Row],[ADD ACC]]*Table16[[#This Row],[Duration]]</f>
        <v>0</v>
      </c>
    </row>
    <row r="426" spans="1:16" x14ac:dyDescent="0.25">
      <c r="A426" s="54" t="s">
        <v>12156</v>
      </c>
      <c r="B426" s="34" t="s">
        <v>1598</v>
      </c>
      <c r="C426" s="34" t="s">
        <v>2</v>
      </c>
      <c r="D426" s="34">
        <v>1</v>
      </c>
      <c r="E426" s="34" t="s">
        <v>644</v>
      </c>
      <c r="F426" s="34"/>
      <c r="G426" s="34" t="s">
        <v>11848</v>
      </c>
      <c r="H426" s="110">
        <v>9483</v>
      </c>
      <c r="I426" s="122">
        <v>23.25</v>
      </c>
      <c r="J426" s="111">
        <v>217204120</v>
      </c>
      <c r="K426" s="111">
        <f>IFERROR(Table16[[#This Row],[ROUTE COST]]/Table16[[#This Row],[E - DEMAND]],0)</f>
        <v>53041.299145299148</v>
      </c>
      <c r="L426" s="34">
        <v>4095</v>
      </c>
      <c r="M426" s="34">
        <f>VLOOKUP(Table16[[#This Row],[ROUTE]],DEMAND!A:F,5,FALSE)</f>
        <v>4098</v>
      </c>
      <c r="N426" s="34">
        <f>VLOOKUP(Table16[[#This Row],[ROUTE]],DEMAND!A:F,6,FALSE)</f>
        <v>-1182</v>
      </c>
      <c r="O426" s="34">
        <f>ROUNDDOWN(Table16[[#This Row],[R-DEMAND]]/1320,0)</f>
        <v>0</v>
      </c>
      <c r="P426" s="34">
        <f>Table16[[#This Row],[ADD ACC]]*Table16[[#This Row],[Duration]]</f>
        <v>0</v>
      </c>
    </row>
    <row r="427" spans="1:16" x14ac:dyDescent="0.25">
      <c r="A427" s="54" t="s">
        <v>12215</v>
      </c>
      <c r="B427" s="34" t="s">
        <v>2569</v>
      </c>
      <c r="C427" s="34" t="s">
        <v>2</v>
      </c>
      <c r="D427" s="34">
        <v>2</v>
      </c>
      <c r="E427" s="34" t="s">
        <v>608</v>
      </c>
      <c r="F427" s="34"/>
      <c r="G427" s="34" t="s">
        <v>7996</v>
      </c>
      <c r="H427" s="110">
        <v>12603</v>
      </c>
      <c r="I427" s="122">
        <v>30</v>
      </c>
      <c r="J427" s="111">
        <v>250471960</v>
      </c>
      <c r="K427" s="111">
        <f>IFERROR(Table16[[#This Row],[ROUTE COST]]/Table16[[#This Row],[E - DEMAND]],0)</f>
        <v>61165.3137973138</v>
      </c>
      <c r="L427" s="34">
        <v>4095</v>
      </c>
      <c r="M427" s="34">
        <f>VLOOKUP(Table16[[#This Row],[ROUTE]],DEMAND!A:F,5,FALSE)</f>
        <v>4097</v>
      </c>
      <c r="N427" s="34">
        <f>VLOOKUP(Table16[[#This Row],[ROUTE]],DEMAND!A:F,6,FALSE)</f>
        <v>137</v>
      </c>
      <c r="O427" s="34">
        <f>ROUNDDOWN(Table16[[#This Row],[R-DEMAND]]/1320,0)</f>
        <v>0</v>
      </c>
      <c r="P427" s="34">
        <f>Table16[[#This Row],[ADD ACC]]*Table16[[#This Row],[Duration]]</f>
        <v>0</v>
      </c>
    </row>
    <row r="428" spans="1:16" x14ac:dyDescent="0.25">
      <c r="A428" s="54" t="s">
        <v>11193</v>
      </c>
      <c r="B428" s="34" t="s">
        <v>95</v>
      </c>
      <c r="C428" s="34" t="s">
        <v>2</v>
      </c>
      <c r="D428" s="34">
        <v>4</v>
      </c>
      <c r="E428" s="34" t="s">
        <v>14</v>
      </c>
      <c r="F428" s="34"/>
      <c r="G428" s="34" t="s">
        <v>94</v>
      </c>
      <c r="H428" s="110">
        <v>5581</v>
      </c>
      <c r="I428" s="122">
        <v>14.5</v>
      </c>
      <c r="J428" s="111">
        <v>213299690</v>
      </c>
      <c r="K428" s="111">
        <f>IFERROR(Table16[[#This Row],[ROUTE COST]]/Table16[[#This Row],[E - DEMAND]],0)</f>
        <v>50497.085700757576</v>
      </c>
      <c r="L428" s="34">
        <v>4224</v>
      </c>
      <c r="M428" s="34">
        <f>VLOOKUP(Table16[[#This Row],[ROUTE]],DEMAND!A:F,5,FALSE)</f>
        <v>4087</v>
      </c>
      <c r="N428" s="34">
        <f>VLOOKUP(Table16[[#This Row],[ROUTE]],DEMAND!A:F,6,FALSE)</f>
        <v>127</v>
      </c>
      <c r="O428" s="34">
        <f>ROUNDDOWN(Table16[[#This Row],[R-DEMAND]]/1320,0)</f>
        <v>0</v>
      </c>
      <c r="P428" s="34">
        <f>Table16[[#This Row],[ADD ACC]]*Table16[[#This Row],[Duration]]</f>
        <v>0</v>
      </c>
    </row>
    <row r="429" spans="1:16" x14ac:dyDescent="0.25">
      <c r="A429" s="54" t="s">
        <v>12596</v>
      </c>
      <c r="B429" s="34" t="s">
        <v>402</v>
      </c>
      <c r="C429" s="34" t="s">
        <v>2</v>
      </c>
      <c r="D429" s="34">
        <v>4</v>
      </c>
      <c r="E429" s="34" t="s">
        <v>3180</v>
      </c>
      <c r="F429" s="34"/>
      <c r="G429" s="34" t="s">
        <v>11103</v>
      </c>
      <c r="H429" s="110">
        <v>11390</v>
      </c>
      <c r="I429" s="122">
        <v>27.25</v>
      </c>
      <c r="J429" s="111">
        <v>284678091</v>
      </c>
      <c r="K429" s="111">
        <f>IFERROR(Table16[[#This Row],[ROUTE COST]]/Table16[[#This Row],[E - DEMAND]],0)</f>
        <v>74115.618588909143</v>
      </c>
      <c r="L429" s="34">
        <v>3841</v>
      </c>
      <c r="M429" s="34">
        <f>VLOOKUP(Table16[[#This Row],[ROUTE]],DEMAND!A:F,5,FALSE)</f>
        <v>4085</v>
      </c>
      <c r="N429" s="34">
        <f>VLOOKUP(Table16[[#This Row],[ROUTE]],DEMAND!A:F,6,FALSE)</f>
        <v>125</v>
      </c>
      <c r="O429" s="34">
        <f>ROUNDDOWN(Table16[[#This Row],[R-DEMAND]]/1320,0)</f>
        <v>0</v>
      </c>
      <c r="P429" s="34">
        <f>Table16[[#This Row],[ADD ACC]]*Table16[[#This Row],[Duration]]</f>
        <v>0</v>
      </c>
    </row>
    <row r="430" spans="1:16" x14ac:dyDescent="0.25">
      <c r="A430" s="54" t="s">
        <v>12562</v>
      </c>
      <c r="B430" s="34" t="s">
        <v>5029</v>
      </c>
      <c r="C430" s="34" t="s">
        <v>2</v>
      </c>
      <c r="D430" s="34">
        <v>3</v>
      </c>
      <c r="E430" s="34" t="s">
        <v>14</v>
      </c>
      <c r="F430" s="34"/>
      <c r="G430" s="34" t="s">
        <v>12047</v>
      </c>
      <c r="H430" s="110">
        <v>4432</v>
      </c>
      <c r="I430" s="122">
        <v>12</v>
      </c>
      <c r="J430" s="111">
        <v>189228233</v>
      </c>
      <c r="K430" s="111">
        <f>IFERROR(Table16[[#This Row],[ROUTE COST]]/Table16[[#This Row],[E - DEMAND]],0)</f>
        <v>46493.423341523339</v>
      </c>
      <c r="L430" s="34">
        <v>4070</v>
      </c>
      <c r="M430" s="34">
        <f>VLOOKUP(Table16[[#This Row],[ROUTE]],DEMAND!A:F,5,FALSE)</f>
        <v>4072</v>
      </c>
      <c r="N430" s="34">
        <f>VLOOKUP(Table16[[#This Row],[ROUTE]],DEMAND!A:F,6,FALSE)</f>
        <v>112</v>
      </c>
      <c r="O430" s="34">
        <f>ROUNDDOWN(Table16[[#This Row],[R-DEMAND]]/1320,0)</f>
        <v>0</v>
      </c>
      <c r="P430" s="34">
        <f>Table16[[#This Row],[ADD ACC]]*Table16[[#This Row],[Duration]]</f>
        <v>0</v>
      </c>
    </row>
    <row r="431" spans="1:16" x14ac:dyDescent="0.25">
      <c r="A431" s="54" t="s">
        <v>11283</v>
      </c>
      <c r="B431" s="34" t="s">
        <v>145</v>
      </c>
      <c r="C431" s="34" t="s">
        <v>2</v>
      </c>
      <c r="D431" s="34">
        <v>5</v>
      </c>
      <c r="E431" s="34" t="s">
        <v>142</v>
      </c>
      <c r="F431" s="34"/>
      <c r="G431" s="34" t="s">
        <v>144</v>
      </c>
      <c r="H431" s="110">
        <v>5840</v>
      </c>
      <c r="I431" s="122">
        <v>15</v>
      </c>
      <c r="J431" s="111">
        <v>239059367</v>
      </c>
      <c r="K431" s="111">
        <f>IFERROR(Table16[[#This Row],[ROUTE COST]]/Table16[[#This Row],[E - DEMAND]],0)</f>
        <v>59824.666416416418</v>
      </c>
      <c r="L431" s="34">
        <v>3996</v>
      </c>
      <c r="M431" s="34">
        <f>VLOOKUP(Table16[[#This Row],[ROUTE]],DEMAND!A:F,5,FALSE)</f>
        <v>4052</v>
      </c>
      <c r="N431" s="34">
        <f>VLOOKUP(Table16[[#This Row],[ROUTE]],DEMAND!A:F,6,FALSE)</f>
        <v>92</v>
      </c>
      <c r="O431" s="34">
        <f>ROUNDDOWN(Table16[[#This Row],[R-DEMAND]]/1320,0)</f>
        <v>0</v>
      </c>
      <c r="P431" s="34">
        <f>Table16[[#This Row],[ADD ACC]]*Table16[[#This Row],[Duration]]</f>
        <v>0</v>
      </c>
    </row>
    <row r="432" spans="1:16" x14ac:dyDescent="0.25">
      <c r="A432" s="54" t="s">
        <v>11261</v>
      </c>
      <c r="B432" s="34" t="s">
        <v>366</v>
      </c>
      <c r="C432" s="34" t="s">
        <v>2</v>
      </c>
      <c r="D432" s="34">
        <v>3</v>
      </c>
      <c r="E432" s="34" t="s">
        <v>14</v>
      </c>
      <c r="F432" s="34"/>
      <c r="G432" s="34" t="s">
        <v>12002</v>
      </c>
      <c r="H432" s="110">
        <v>5892</v>
      </c>
      <c r="I432" s="122">
        <v>15.25</v>
      </c>
      <c r="J432" s="111">
        <v>209148067</v>
      </c>
      <c r="K432" s="111">
        <f>IFERROR(Table16[[#This Row],[ROUTE COST]]/Table16[[#This Row],[E - DEMAND]],0)</f>
        <v>52365.565097646468</v>
      </c>
      <c r="L432" s="34">
        <v>3994</v>
      </c>
      <c r="M432" s="34">
        <f>VLOOKUP(Table16[[#This Row],[ROUTE]],DEMAND!A:F,5,FALSE)</f>
        <v>4051</v>
      </c>
      <c r="N432" s="34">
        <f>VLOOKUP(Table16[[#This Row],[ROUTE]],DEMAND!A:F,6,FALSE)</f>
        <v>91</v>
      </c>
      <c r="O432" s="34">
        <f>ROUNDDOWN(Table16[[#This Row],[R-DEMAND]]/1320,0)</f>
        <v>0</v>
      </c>
      <c r="P432" s="34">
        <f>Table16[[#This Row],[ADD ACC]]*Table16[[#This Row],[Duration]]</f>
        <v>0</v>
      </c>
    </row>
    <row r="433" spans="1:16" x14ac:dyDescent="0.25">
      <c r="A433" s="54" t="s">
        <v>12498</v>
      </c>
      <c r="B433" s="34" t="s">
        <v>5255</v>
      </c>
      <c r="C433" s="34" t="s">
        <v>2</v>
      </c>
      <c r="D433" s="34">
        <v>3</v>
      </c>
      <c r="E433" s="34" t="s">
        <v>496</v>
      </c>
      <c r="F433" s="34"/>
      <c r="G433" s="34" t="s">
        <v>11819</v>
      </c>
      <c r="H433" s="110">
        <v>10139</v>
      </c>
      <c r="I433" s="122">
        <v>24.5</v>
      </c>
      <c r="J433" s="111">
        <v>251114273</v>
      </c>
      <c r="K433" s="111">
        <f>IFERROR(Table16[[#This Row],[ROUTE COST]]/Table16[[#This Row],[E - DEMAND]],0)</f>
        <v>65616.481055657176</v>
      </c>
      <c r="L433" s="34">
        <v>3827</v>
      </c>
      <c r="M433" s="34">
        <f>VLOOKUP(Table16[[#This Row],[ROUTE]],DEMAND!A:F,5,FALSE)</f>
        <v>4045</v>
      </c>
      <c r="N433" s="34">
        <f>VLOOKUP(Table16[[#This Row],[ROUTE]],DEMAND!A:F,6,FALSE)</f>
        <v>85</v>
      </c>
      <c r="O433" s="34">
        <f>ROUNDDOWN(Table16[[#This Row],[R-DEMAND]]/1320,0)</f>
        <v>0</v>
      </c>
      <c r="P433" s="34">
        <f>Table16[[#This Row],[ADD ACC]]*Table16[[#This Row],[Duration]]</f>
        <v>0</v>
      </c>
    </row>
    <row r="434" spans="1:16" x14ac:dyDescent="0.25">
      <c r="A434" s="54" t="s">
        <v>11326</v>
      </c>
      <c r="B434" s="34" t="s">
        <v>452</v>
      </c>
      <c r="C434" s="34" t="s">
        <v>2</v>
      </c>
      <c r="D434" s="34">
        <v>4</v>
      </c>
      <c r="E434" s="34" t="s">
        <v>730</v>
      </c>
      <c r="F434" s="34"/>
      <c r="G434" s="34" t="s">
        <v>11116</v>
      </c>
      <c r="H434" s="110">
        <v>7664</v>
      </c>
      <c r="I434" s="122">
        <v>19</v>
      </c>
      <c r="J434" s="141">
        <v>216000000</v>
      </c>
      <c r="K434" s="111">
        <f>IFERROR(Table16[[#This Row],[ROUTE COST]]/Table16[[#This Row],[E - DEMAND]],0)</f>
        <v>54271.356783919597</v>
      </c>
      <c r="L434" s="34">
        <v>3980</v>
      </c>
      <c r="M434" s="34">
        <f>VLOOKUP(Table16[[#This Row],[ROUTE]],DEMAND!A:F,5,FALSE)</f>
        <v>4039</v>
      </c>
      <c r="N434" s="34">
        <f>VLOOKUP(Table16[[#This Row],[ROUTE]],DEMAND!A:F,6,FALSE)</f>
        <v>79</v>
      </c>
      <c r="O434" s="34">
        <f>ROUNDDOWN(Table16[[#This Row],[R-DEMAND]]/1320,0)</f>
        <v>0</v>
      </c>
      <c r="P434" s="34">
        <f>Table16[[#This Row],[ADD ACC]]*Table16[[#This Row],[Duration]]</f>
        <v>0</v>
      </c>
    </row>
    <row r="435" spans="1:16" x14ac:dyDescent="0.25">
      <c r="A435" s="54" t="s">
        <v>11265</v>
      </c>
      <c r="B435" s="34" t="s">
        <v>34</v>
      </c>
      <c r="C435" s="34" t="s">
        <v>2</v>
      </c>
      <c r="D435" s="34">
        <v>4</v>
      </c>
      <c r="E435" s="34" t="s">
        <v>14</v>
      </c>
      <c r="F435" s="34"/>
      <c r="G435" s="34" t="s">
        <v>33</v>
      </c>
      <c r="H435" s="110">
        <v>5888</v>
      </c>
      <c r="I435" s="122">
        <v>15.25</v>
      </c>
      <c r="J435" s="111">
        <v>214933623</v>
      </c>
      <c r="K435" s="111">
        <f>IFERROR(Table16[[#This Row],[ROUTE COST]]/Table16[[#This Row],[E - DEMAND]],0)</f>
        <v>51493.441063727842</v>
      </c>
      <c r="L435" s="34">
        <v>4174</v>
      </c>
      <c r="M435" s="34">
        <f>VLOOKUP(Table16[[#This Row],[ROUTE]],DEMAND!A:F,5,FALSE)</f>
        <v>4039</v>
      </c>
      <c r="N435" s="34">
        <f>VLOOKUP(Table16[[#This Row],[ROUTE]],DEMAND!A:F,6,FALSE)</f>
        <v>79</v>
      </c>
      <c r="O435" s="34">
        <f>ROUNDDOWN(Table16[[#This Row],[R-DEMAND]]/1320,0)</f>
        <v>0</v>
      </c>
      <c r="P435" s="34">
        <f>Table16[[#This Row],[ADD ACC]]*Table16[[#This Row],[Duration]]</f>
        <v>0</v>
      </c>
    </row>
    <row r="436" spans="1:16" x14ac:dyDescent="0.25">
      <c r="A436" s="54" t="s">
        <v>12486</v>
      </c>
      <c r="B436" s="34" t="s">
        <v>5171</v>
      </c>
      <c r="C436" s="34" t="s">
        <v>2</v>
      </c>
      <c r="D436" s="34">
        <v>3</v>
      </c>
      <c r="E436" s="34" t="s">
        <v>4549</v>
      </c>
      <c r="F436" s="34"/>
      <c r="G436" s="34" t="s">
        <v>11792</v>
      </c>
      <c r="H436" s="110">
        <v>10704</v>
      </c>
      <c r="I436" s="122">
        <v>25.75</v>
      </c>
      <c r="K436" s="111">
        <f>IFERROR(Table16[[#This Row],[ROUTE COST]]/Table16[[#This Row],[E - DEMAND]],0)</f>
        <v>0</v>
      </c>
      <c r="L436" s="34"/>
      <c r="M436" s="34">
        <f>VLOOKUP(Table16[[#This Row],[ROUTE]],DEMAND!A:F,5,FALSE)</f>
        <v>4034</v>
      </c>
      <c r="N436" s="34">
        <f>VLOOKUP(Table16[[#This Row],[ROUTE]],DEMAND!A:F,6,FALSE)</f>
        <v>74</v>
      </c>
      <c r="O436" s="34">
        <f>ROUNDDOWN(Table16[[#This Row],[R-DEMAND]]/1320,0)</f>
        <v>0</v>
      </c>
      <c r="P436" s="34">
        <f>Table16[[#This Row],[ADD ACC]]*Table16[[#This Row],[Duration]]</f>
        <v>0</v>
      </c>
    </row>
    <row r="437" spans="1:16" x14ac:dyDescent="0.25">
      <c r="A437" s="54" t="s">
        <v>12492</v>
      </c>
      <c r="B437" s="34" t="s">
        <v>5653</v>
      </c>
      <c r="C437" s="34" t="s">
        <v>2</v>
      </c>
      <c r="D437" s="34">
        <v>3</v>
      </c>
      <c r="E437" s="34" t="s">
        <v>585</v>
      </c>
      <c r="F437" s="34"/>
      <c r="G437" s="34" t="s">
        <v>11802</v>
      </c>
      <c r="H437" s="110">
        <v>10527</v>
      </c>
      <c r="I437" s="122">
        <v>25.5</v>
      </c>
      <c r="K437" s="111">
        <f>IFERROR(Table16[[#This Row],[ROUTE COST]]/Table16[[#This Row],[E - DEMAND]],0)</f>
        <v>0</v>
      </c>
      <c r="L437" s="34"/>
      <c r="M437" s="34">
        <f>VLOOKUP(Table16[[#This Row],[ROUTE]],DEMAND!A:F,5,FALSE)</f>
        <v>4027</v>
      </c>
      <c r="N437" s="34">
        <f>VLOOKUP(Table16[[#This Row],[ROUTE]],DEMAND!A:F,6,FALSE)</f>
        <v>67</v>
      </c>
      <c r="O437" s="34">
        <f>ROUNDDOWN(Table16[[#This Row],[R-DEMAND]]/1320,0)</f>
        <v>0</v>
      </c>
      <c r="P437" s="34">
        <f>Table16[[#This Row],[ADD ACC]]*Table16[[#This Row],[Duration]]</f>
        <v>0</v>
      </c>
    </row>
    <row r="438" spans="1:16" x14ac:dyDescent="0.25">
      <c r="A438" s="54" t="s">
        <v>12246</v>
      </c>
      <c r="B438" s="34" t="s">
        <v>4054</v>
      </c>
      <c r="C438" s="34" t="s">
        <v>2</v>
      </c>
      <c r="D438" s="34">
        <v>2</v>
      </c>
      <c r="E438" s="34" t="s">
        <v>493</v>
      </c>
      <c r="F438" s="34"/>
      <c r="G438" s="34" t="s">
        <v>11743</v>
      </c>
      <c r="H438" s="110">
        <v>11204</v>
      </c>
      <c r="I438" s="122">
        <v>27</v>
      </c>
      <c r="J438" s="111">
        <v>246230148</v>
      </c>
      <c r="K438" s="111">
        <f>IFERROR(Table16[[#This Row],[ROUTE COST]]/Table16[[#This Row],[E - DEMAND]],0)</f>
        <v>61205.604772557796</v>
      </c>
      <c r="L438" s="34">
        <v>4023</v>
      </c>
      <c r="M438" s="34">
        <f>VLOOKUP(Table16[[#This Row],[ROUTE]],DEMAND!A:F,5,FALSE)</f>
        <v>4024</v>
      </c>
      <c r="N438" s="34">
        <f>VLOOKUP(Table16[[#This Row],[ROUTE]],DEMAND!A:F,6,FALSE)</f>
        <v>64</v>
      </c>
      <c r="O438" s="34">
        <f>ROUNDDOWN(Table16[[#This Row],[R-DEMAND]]/1320,0)</f>
        <v>0</v>
      </c>
      <c r="P438" s="34">
        <f>Table16[[#This Row],[ADD ACC]]*Table16[[#This Row],[Duration]]</f>
        <v>0</v>
      </c>
    </row>
    <row r="439" spans="1:16" x14ac:dyDescent="0.25">
      <c r="A439" s="54" t="s">
        <v>11277</v>
      </c>
      <c r="B439" s="34" t="s">
        <v>27</v>
      </c>
      <c r="C439" s="34" t="s">
        <v>2</v>
      </c>
      <c r="D439" s="34">
        <v>5</v>
      </c>
      <c r="E439" s="34" t="s">
        <v>3915</v>
      </c>
      <c r="F439" s="34"/>
      <c r="G439" s="34" t="s">
        <v>11031</v>
      </c>
      <c r="H439" s="110">
        <v>10523</v>
      </c>
      <c r="I439" s="122">
        <v>25.5</v>
      </c>
      <c r="J439" s="111">
        <v>276960723</v>
      </c>
      <c r="K439" s="111">
        <f>IFERROR(Table16[[#This Row],[ROUTE COST]]/Table16[[#This Row],[E - DEMAND]],0)</f>
        <v>66995.820754716988</v>
      </c>
      <c r="L439" s="34">
        <v>4134</v>
      </c>
      <c r="M439" s="34">
        <f>VLOOKUP(Table16[[#This Row],[ROUTE]],DEMAND!A:F,5,FALSE)</f>
        <v>4000</v>
      </c>
      <c r="N439" s="34">
        <f>VLOOKUP(Table16[[#This Row],[ROUTE]],DEMAND!A:F,6,FALSE)</f>
        <v>40</v>
      </c>
      <c r="O439" s="34">
        <f>ROUNDDOWN(Table16[[#This Row],[R-DEMAND]]/1320,0)</f>
        <v>0</v>
      </c>
      <c r="P439" s="34">
        <f>Table16[[#This Row],[ADD ACC]]*Table16[[#This Row],[Duration]]</f>
        <v>0</v>
      </c>
    </row>
    <row r="440" spans="1:16" x14ac:dyDescent="0.25">
      <c r="A440" s="54" t="s">
        <v>11197</v>
      </c>
      <c r="B440" s="34" t="s">
        <v>52</v>
      </c>
      <c r="C440" s="34" t="s">
        <v>2</v>
      </c>
      <c r="D440" s="34">
        <v>3</v>
      </c>
      <c r="E440" s="34" t="s">
        <v>14</v>
      </c>
      <c r="F440" s="34"/>
      <c r="G440" s="34" t="s">
        <v>12033</v>
      </c>
      <c r="H440" s="110">
        <v>4905</v>
      </c>
      <c r="I440" s="122">
        <v>13</v>
      </c>
      <c r="J440" s="111">
        <v>203779689</v>
      </c>
      <c r="K440" s="111">
        <f>IFERROR(Table16[[#This Row],[ROUTE COST]]/Table16[[#This Row],[E - DEMAND]],0)</f>
        <v>49317.446515004842</v>
      </c>
      <c r="L440" s="34">
        <v>4132</v>
      </c>
      <c r="M440" s="34">
        <f>VLOOKUP(Table16[[#This Row],[ROUTE]],DEMAND!A:F,5,FALSE)</f>
        <v>3999</v>
      </c>
      <c r="N440" s="34">
        <f>VLOOKUP(Table16[[#This Row],[ROUTE]],DEMAND!A:F,6,FALSE)</f>
        <v>-1281</v>
      </c>
      <c r="O440" s="34">
        <f>ROUNDDOWN(Table16[[#This Row],[R-DEMAND]]/1320,0)</f>
        <v>0</v>
      </c>
      <c r="P440" s="34">
        <f>Table16[[#This Row],[ADD ACC]]*Table16[[#This Row],[Duration]]</f>
        <v>0</v>
      </c>
    </row>
    <row r="441" spans="1:16" x14ac:dyDescent="0.25">
      <c r="A441" s="54" t="s">
        <v>12240</v>
      </c>
      <c r="B441" s="34" t="s">
        <v>3984</v>
      </c>
      <c r="C441" s="34" t="s">
        <v>2</v>
      </c>
      <c r="D441" s="34">
        <v>2</v>
      </c>
      <c r="E441" s="34" t="s">
        <v>493</v>
      </c>
      <c r="F441" s="34"/>
      <c r="G441" s="34" t="s">
        <v>11731</v>
      </c>
      <c r="H441" s="110">
        <v>11361</v>
      </c>
      <c r="I441" s="122">
        <v>27.25</v>
      </c>
      <c r="J441" s="111">
        <v>247128148</v>
      </c>
      <c r="K441" s="111">
        <f>IFERROR(Table16[[#This Row],[ROUTE COST]]/Table16[[#This Row],[E - DEMAND]],0)</f>
        <v>61828.40830622967</v>
      </c>
      <c r="L441" s="34">
        <v>3997</v>
      </c>
      <c r="M441" s="34">
        <f>VLOOKUP(Table16[[#This Row],[ROUTE]],DEMAND!A:F,5,FALSE)</f>
        <v>3998</v>
      </c>
      <c r="N441" s="34">
        <f>VLOOKUP(Table16[[#This Row],[ROUTE]],DEMAND!A:F,6,FALSE)</f>
        <v>-1282</v>
      </c>
      <c r="O441" s="34">
        <f>ROUNDDOWN(Table16[[#This Row],[R-DEMAND]]/1320,0)</f>
        <v>0</v>
      </c>
      <c r="P441" s="34">
        <f>Table16[[#This Row],[ADD ACC]]*Table16[[#This Row],[Duration]]</f>
        <v>0</v>
      </c>
    </row>
    <row r="442" spans="1:16" x14ac:dyDescent="0.25">
      <c r="A442" s="54" t="s">
        <v>11169</v>
      </c>
      <c r="B442" s="34" t="s">
        <v>244</v>
      </c>
      <c r="C442" s="34" t="s">
        <v>2</v>
      </c>
      <c r="D442" s="34">
        <v>2</v>
      </c>
      <c r="E442" s="34" t="s">
        <v>1070</v>
      </c>
      <c r="F442" s="34"/>
      <c r="G442" s="34" t="s">
        <v>12015</v>
      </c>
      <c r="H442" s="110">
        <v>5423</v>
      </c>
      <c r="I442" s="122">
        <v>14.25</v>
      </c>
      <c r="J442" s="111">
        <v>184976566</v>
      </c>
      <c r="K442" s="111">
        <f>IFERROR(Table16[[#This Row],[ROUTE COST]]/Table16[[#This Row],[E - DEMAND]],0)</f>
        <v>44821.072449721345</v>
      </c>
      <c r="L442" s="34">
        <v>4127</v>
      </c>
      <c r="M442" s="34">
        <f>VLOOKUP(Table16[[#This Row],[ROUTE]],DEMAND!A:F,5,FALSE)</f>
        <v>3994</v>
      </c>
      <c r="N442" s="34">
        <f>VLOOKUP(Table16[[#This Row],[ROUTE]],DEMAND!A:F,6,FALSE)</f>
        <v>34</v>
      </c>
      <c r="O442" s="34">
        <f>ROUNDDOWN(Table16[[#This Row],[R-DEMAND]]/1320,0)</f>
        <v>0</v>
      </c>
      <c r="P442" s="34">
        <f>Table16[[#This Row],[ADD ACC]]*Table16[[#This Row],[Duration]]</f>
        <v>0</v>
      </c>
    </row>
    <row r="443" spans="1:16" x14ac:dyDescent="0.25">
      <c r="A443" s="54" t="s">
        <v>12601</v>
      </c>
      <c r="B443" s="34" t="s">
        <v>5672</v>
      </c>
      <c r="C443" s="34" t="s">
        <v>2</v>
      </c>
      <c r="D443" s="34">
        <v>4</v>
      </c>
      <c r="E443" s="34" t="s">
        <v>308</v>
      </c>
      <c r="F443" s="34"/>
      <c r="G443" s="34" t="s">
        <v>11056</v>
      </c>
      <c r="H443" s="110">
        <v>11113</v>
      </c>
      <c r="I443" s="122">
        <v>26.75</v>
      </c>
      <c r="J443" s="111">
        <v>282434715</v>
      </c>
      <c r="K443" s="111">
        <f>IFERROR(Table16[[#This Row],[ROUTE COST]]/Table16[[#This Row],[E - DEMAND]],0)</f>
        <v>73359.666233766227</v>
      </c>
      <c r="L443" s="34">
        <v>3850</v>
      </c>
      <c r="M443" s="34">
        <f>VLOOKUP(Table16[[#This Row],[ROUTE]],DEMAND!A:F,5,FALSE)</f>
        <v>3994</v>
      </c>
      <c r="N443" s="34">
        <f>VLOOKUP(Table16[[#This Row],[ROUTE]],DEMAND!A:F,6,FALSE)</f>
        <v>34</v>
      </c>
      <c r="O443" s="34">
        <f>ROUNDDOWN(Table16[[#This Row],[R-DEMAND]]/1320,0)</f>
        <v>0</v>
      </c>
      <c r="P443" s="34">
        <f>Table16[[#This Row],[ADD ACC]]*Table16[[#This Row],[Duration]]</f>
        <v>0</v>
      </c>
    </row>
    <row r="444" spans="1:16" x14ac:dyDescent="0.25">
      <c r="A444" s="54" t="s">
        <v>11259</v>
      </c>
      <c r="B444" s="34" t="s">
        <v>42</v>
      </c>
      <c r="C444" s="34" t="s">
        <v>2</v>
      </c>
      <c r="D444" s="34">
        <v>3</v>
      </c>
      <c r="E444" s="34" t="s">
        <v>14</v>
      </c>
      <c r="F444" s="34"/>
      <c r="G444" s="34" t="s">
        <v>12023</v>
      </c>
      <c r="H444" s="110">
        <v>5152</v>
      </c>
      <c r="I444" s="122">
        <v>13.5</v>
      </c>
      <c r="J444" s="111">
        <v>206112444</v>
      </c>
      <c r="K444" s="111">
        <f>IFERROR(Table16[[#This Row],[ROUTE COST]]/Table16[[#This Row],[E - DEMAND]],0)</f>
        <v>49930.340116279069</v>
      </c>
      <c r="L444" s="34">
        <v>4128</v>
      </c>
      <c r="M444" s="34">
        <f>VLOOKUP(Table16[[#This Row],[ROUTE]],DEMAND!A:F,5,FALSE)</f>
        <v>3994</v>
      </c>
      <c r="N444" s="34">
        <f>VLOOKUP(Table16[[#This Row],[ROUTE]],DEMAND!A:F,6,FALSE)</f>
        <v>34</v>
      </c>
      <c r="O444" s="34">
        <f>ROUNDDOWN(Table16[[#This Row],[R-DEMAND]]/1320,0)</f>
        <v>0</v>
      </c>
      <c r="P444" s="34">
        <f>Table16[[#This Row],[ADD ACC]]*Table16[[#This Row],[Duration]]</f>
        <v>0</v>
      </c>
    </row>
    <row r="445" spans="1:16" x14ac:dyDescent="0.25">
      <c r="A445" s="54" t="s">
        <v>11287</v>
      </c>
      <c r="B445" s="34" t="s">
        <v>182</v>
      </c>
      <c r="C445" s="34" t="s">
        <v>2</v>
      </c>
      <c r="D445" s="34">
        <v>5</v>
      </c>
      <c r="E445" s="34" t="s">
        <v>83</v>
      </c>
      <c r="F445" s="34"/>
      <c r="G445" s="34" t="s">
        <v>181</v>
      </c>
      <c r="H445" s="110">
        <v>11806</v>
      </c>
      <c r="I445" s="122">
        <v>28.25</v>
      </c>
      <c r="J445" s="111">
        <v>291772700</v>
      </c>
      <c r="K445" s="111">
        <f>IFERROR(Table16[[#This Row],[ROUTE COST]]/Table16[[#This Row],[E - DEMAND]],0)</f>
        <v>70732.775757575757</v>
      </c>
      <c r="L445" s="34">
        <v>4125</v>
      </c>
      <c r="M445" s="34">
        <f>VLOOKUP(Table16[[#This Row],[ROUTE]],DEMAND!A:F,5,FALSE)</f>
        <v>3991</v>
      </c>
      <c r="N445" s="34">
        <f>VLOOKUP(Table16[[#This Row],[ROUTE]],DEMAND!A:F,6,FALSE)</f>
        <v>31</v>
      </c>
      <c r="O445" s="34">
        <f>ROUNDDOWN(Table16[[#This Row],[R-DEMAND]]/1320,0)</f>
        <v>0</v>
      </c>
      <c r="P445" s="34">
        <f>Table16[[#This Row],[ADD ACC]]*Table16[[#This Row],[Duration]]</f>
        <v>0</v>
      </c>
    </row>
    <row r="446" spans="1:16" x14ac:dyDescent="0.25">
      <c r="A446" s="54" t="s">
        <v>12609</v>
      </c>
      <c r="B446" s="34" t="s">
        <v>5631</v>
      </c>
      <c r="C446" s="34" t="s">
        <v>2</v>
      </c>
      <c r="D446" s="34">
        <v>4</v>
      </c>
      <c r="E446" s="34" t="s">
        <v>1427</v>
      </c>
      <c r="F446" s="34"/>
      <c r="G446" s="34" t="s">
        <v>11034</v>
      </c>
      <c r="H446" s="110">
        <v>10778</v>
      </c>
      <c r="I446" s="122">
        <v>26</v>
      </c>
      <c r="J446" s="111">
        <v>274558705</v>
      </c>
      <c r="K446" s="111">
        <f>IFERROR(Table16[[#This Row],[ROUTE COST]]/Table16[[#This Row],[E - DEMAND]],0)</f>
        <v>103411.94161958569</v>
      </c>
      <c r="L446" s="34">
        <v>2655</v>
      </c>
      <c r="M446" s="34">
        <f>VLOOKUP(Table16[[#This Row],[ROUTE]],DEMAND!A:F,5,FALSE)</f>
        <v>3987</v>
      </c>
      <c r="N446" s="34">
        <f>VLOOKUP(Table16[[#This Row],[ROUTE]],DEMAND!A:F,6,FALSE)</f>
        <v>27</v>
      </c>
      <c r="O446" s="34">
        <f>ROUNDDOWN(Table16[[#This Row],[R-DEMAND]]/1320,0)</f>
        <v>0</v>
      </c>
      <c r="P446" s="34">
        <f>Table16[[#This Row],[ADD ACC]]*Table16[[#This Row],[Duration]]</f>
        <v>0</v>
      </c>
    </row>
    <row r="447" spans="1:16" x14ac:dyDescent="0.25">
      <c r="A447" s="54" t="s">
        <v>12613</v>
      </c>
      <c r="B447" s="34" t="s">
        <v>282</v>
      </c>
      <c r="C447" s="34" t="s">
        <v>2</v>
      </c>
      <c r="D447" s="34">
        <v>4</v>
      </c>
      <c r="E447" s="34" t="s">
        <v>807</v>
      </c>
      <c r="F447" s="34"/>
      <c r="G447" s="34" t="s">
        <v>11082</v>
      </c>
      <c r="H447" s="110">
        <v>10147</v>
      </c>
      <c r="I447" s="122">
        <v>24.5</v>
      </c>
      <c r="J447" s="111">
        <v>266951351</v>
      </c>
      <c r="K447" s="111">
        <f>IFERROR(Table16[[#This Row],[ROUTE COST]]/Table16[[#This Row],[E - DEMAND]],0)</f>
        <v>70010.844741673223</v>
      </c>
      <c r="L447" s="34">
        <v>3813</v>
      </c>
      <c r="M447" s="34">
        <f>VLOOKUP(Table16[[#This Row],[ROUTE]],DEMAND!A:F,5,FALSE)</f>
        <v>3980</v>
      </c>
      <c r="N447" s="34">
        <f>VLOOKUP(Table16[[#This Row],[ROUTE]],DEMAND!A:F,6,FALSE)</f>
        <v>20</v>
      </c>
      <c r="O447" s="34">
        <f>ROUNDDOWN(Table16[[#This Row],[R-DEMAND]]/1320,0)</f>
        <v>0</v>
      </c>
      <c r="P447" s="34">
        <f>Table16[[#This Row],[ADD ACC]]*Table16[[#This Row],[Duration]]</f>
        <v>0</v>
      </c>
    </row>
    <row r="448" spans="1:16" x14ac:dyDescent="0.25">
      <c r="A448" s="54" t="s">
        <v>11380</v>
      </c>
      <c r="B448" s="34" t="s">
        <v>84</v>
      </c>
      <c r="C448" s="34" t="s">
        <v>2</v>
      </c>
      <c r="D448" s="34">
        <v>5</v>
      </c>
      <c r="E448" s="34" t="s">
        <v>83</v>
      </c>
      <c r="F448" s="34"/>
      <c r="G448" s="34" t="s">
        <v>82</v>
      </c>
      <c r="H448" s="110">
        <v>11669</v>
      </c>
      <c r="I448" s="122">
        <v>28</v>
      </c>
      <c r="J448" s="111">
        <v>289962677</v>
      </c>
      <c r="K448" s="111">
        <f>IFERROR(Table16[[#This Row],[ROUTE COST]]/Table16[[#This Row],[E - DEMAND]],0)</f>
        <v>70499.070508144912</v>
      </c>
      <c r="L448" s="34">
        <v>4113</v>
      </c>
      <c r="M448" s="34">
        <f>VLOOKUP(Table16[[#This Row],[ROUTE]],DEMAND!A:F,5,FALSE)</f>
        <v>3979</v>
      </c>
      <c r="N448" s="34">
        <f>VLOOKUP(Table16[[#This Row],[ROUTE]],DEMAND!A:F,6,FALSE)</f>
        <v>19</v>
      </c>
      <c r="O448" s="34">
        <f>ROUNDDOWN(Table16[[#This Row],[R-DEMAND]]/1320,0)</f>
        <v>0</v>
      </c>
      <c r="P448" s="34">
        <f>Table16[[#This Row],[ADD ACC]]*Table16[[#This Row],[Duration]]</f>
        <v>0</v>
      </c>
    </row>
    <row r="449" spans="1:16" x14ac:dyDescent="0.25">
      <c r="A449" s="54" t="s">
        <v>12526</v>
      </c>
      <c r="B449" s="34" t="s">
        <v>5436</v>
      </c>
      <c r="C449" s="34" t="s">
        <v>2</v>
      </c>
      <c r="D449" s="34">
        <v>3</v>
      </c>
      <c r="E449" s="34" t="s">
        <v>78</v>
      </c>
      <c r="F449" s="34"/>
      <c r="G449" s="34" t="s">
        <v>11938</v>
      </c>
      <c r="H449" s="110">
        <v>7461</v>
      </c>
      <c r="I449" s="122">
        <v>18.75</v>
      </c>
      <c r="J449" s="111">
        <v>229737534</v>
      </c>
      <c r="K449" s="111">
        <f>IFERROR(Table16[[#This Row],[ROUTE COST]]/Table16[[#This Row],[E - DEMAND]],0)</f>
        <v>57897.564012096773</v>
      </c>
      <c r="L449" s="34">
        <v>3968</v>
      </c>
      <c r="M449" s="34">
        <f>VLOOKUP(Table16[[#This Row],[ROUTE]],DEMAND!A:F,5,FALSE)</f>
        <v>3969</v>
      </c>
      <c r="N449" s="34">
        <f>VLOOKUP(Table16[[#This Row],[ROUTE]],DEMAND!A:F,6,FALSE)</f>
        <v>9</v>
      </c>
      <c r="O449" s="34">
        <f>ROUNDDOWN(Table16[[#This Row],[R-DEMAND]]/1320,0)</f>
        <v>0</v>
      </c>
      <c r="P449" s="34">
        <f>Table16[[#This Row],[ADD ACC]]*Table16[[#This Row],[Duration]]</f>
        <v>0</v>
      </c>
    </row>
    <row r="450" spans="1:16" x14ac:dyDescent="0.25">
      <c r="A450" s="54" t="s">
        <v>11270</v>
      </c>
      <c r="B450" s="34" t="s">
        <v>430</v>
      </c>
      <c r="C450" s="34" t="s">
        <v>2</v>
      </c>
      <c r="D450" s="34">
        <v>5</v>
      </c>
      <c r="E450" s="34" t="s">
        <v>119</v>
      </c>
      <c r="F450" s="34"/>
      <c r="G450" s="34" t="s">
        <v>11107</v>
      </c>
      <c r="H450" s="110">
        <v>11676</v>
      </c>
      <c r="I450" s="122">
        <v>28</v>
      </c>
      <c r="J450" s="111">
        <v>295310132</v>
      </c>
      <c r="K450" s="111">
        <f>IFERROR(Table16[[#This Row],[ROUTE COST]]/Table16[[#This Row],[E - DEMAND]],0)</f>
        <v>72326.752877785941</v>
      </c>
      <c r="L450" s="34">
        <v>4083</v>
      </c>
      <c r="M450" s="34">
        <f>VLOOKUP(Table16[[#This Row],[ROUTE]],DEMAND!A:F,5,FALSE)</f>
        <v>3950</v>
      </c>
      <c r="N450" s="34">
        <f>VLOOKUP(Table16[[#This Row],[ROUTE]],DEMAND!A:F,6,FALSE)</f>
        <v>-10</v>
      </c>
      <c r="O450" s="34">
        <f>ROUNDDOWN(Table16[[#This Row],[R-DEMAND]]/1320,0)</f>
        <v>0</v>
      </c>
      <c r="P450" s="34">
        <f>Table16[[#This Row],[ADD ACC]]*Table16[[#This Row],[Duration]]</f>
        <v>0</v>
      </c>
    </row>
    <row r="451" spans="1:16" x14ac:dyDescent="0.25">
      <c r="A451" s="54" t="s">
        <v>12631</v>
      </c>
      <c r="B451" s="34" t="s">
        <v>5636</v>
      </c>
      <c r="C451" s="34"/>
      <c r="D451" s="34">
        <v>4</v>
      </c>
      <c r="E451" s="34" t="s">
        <v>5634</v>
      </c>
      <c r="F451" s="34"/>
      <c r="G451" s="34" t="s">
        <v>11090</v>
      </c>
      <c r="H451" s="110">
        <v>6899</v>
      </c>
      <c r="I451" s="122">
        <v>17.5</v>
      </c>
      <c r="J451" s="111">
        <v>0</v>
      </c>
      <c r="K451" s="111">
        <f>IFERROR(Table16[[#This Row],[ROUTE COST]]/Table16[[#This Row],[E - DEMAND]],0)</f>
        <v>0</v>
      </c>
      <c r="L451" s="34"/>
      <c r="M451" s="34">
        <f>VLOOKUP(Table16[[#This Row],[ROUTE]],DEMAND!A:F,5,FALSE)</f>
        <v>3934</v>
      </c>
      <c r="N451" s="34">
        <f>VLOOKUP(Table16[[#This Row],[ROUTE]],DEMAND!A:F,6,FALSE)</f>
        <v>3934</v>
      </c>
      <c r="O451" s="34">
        <f>ROUNDDOWN(Table16[[#This Row],[R-DEMAND]]/1320,0)</f>
        <v>2</v>
      </c>
      <c r="P451" s="34">
        <f>Table16[[#This Row],[ADD ACC]]*Table16[[#This Row],[Duration]]</f>
        <v>35</v>
      </c>
    </row>
    <row r="452" spans="1:16" x14ac:dyDescent="0.25">
      <c r="A452" s="54" t="s">
        <v>12645</v>
      </c>
      <c r="B452" s="34" t="s">
        <v>126</v>
      </c>
      <c r="C452" s="34" t="s">
        <v>2</v>
      </c>
      <c r="D452" s="34">
        <v>4</v>
      </c>
      <c r="E452" s="34" t="s">
        <v>774</v>
      </c>
      <c r="F452" s="34"/>
      <c r="G452" s="34" t="s">
        <v>11050</v>
      </c>
      <c r="H452" s="110">
        <v>3029</v>
      </c>
      <c r="I452" s="122">
        <v>8.75</v>
      </c>
      <c r="J452" s="111">
        <v>193644818</v>
      </c>
      <c r="K452" s="111">
        <f>IFERROR(Table16[[#This Row],[ROUTE COST]]/Table16[[#This Row],[E - DEMAND]],0)</f>
        <v>51242.34400635089</v>
      </c>
      <c r="L452" s="34">
        <v>3779</v>
      </c>
      <c r="M452" s="34">
        <f>VLOOKUP(Table16[[#This Row],[ROUTE]],DEMAND!A:F,5,FALSE)</f>
        <v>3931</v>
      </c>
      <c r="N452" s="34">
        <f>VLOOKUP(Table16[[#This Row],[ROUTE]],DEMAND!A:F,6,FALSE)</f>
        <v>1291</v>
      </c>
      <c r="O452" s="34">
        <f>ROUNDDOWN(Table16[[#This Row],[R-DEMAND]]/1320,0)</f>
        <v>0</v>
      </c>
      <c r="P452" s="34">
        <f>Table16[[#This Row],[ADD ACC]]*Table16[[#This Row],[Duration]]</f>
        <v>0</v>
      </c>
    </row>
    <row r="453" spans="1:16" x14ac:dyDescent="0.25">
      <c r="A453" s="54" t="s">
        <v>12630</v>
      </c>
      <c r="B453" s="34" t="s">
        <v>5483</v>
      </c>
      <c r="C453" s="34" t="s">
        <v>2</v>
      </c>
      <c r="D453" s="34">
        <v>4</v>
      </c>
      <c r="E453" s="34" t="s">
        <v>5481</v>
      </c>
      <c r="F453" s="34"/>
      <c r="G453" s="34" t="s">
        <v>11068</v>
      </c>
      <c r="H453" s="110">
        <v>7395</v>
      </c>
      <c r="I453" s="122">
        <v>18.5</v>
      </c>
      <c r="J453" s="111">
        <v>0</v>
      </c>
      <c r="K453" s="111">
        <f>IFERROR(Table16[[#This Row],[ROUTE COST]]/Table16[[#This Row],[E - DEMAND]],0)</f>
        <v>0</v>
      </c>
      <c r="L453" s="34"/>
      <c r="M453" s="34">
        <f>VLOOKUP(Table16[[#This Row],[ROUTE]],DEMAND!A:F,5,FALSE)</f>
        <v>3928</v>
      </c>
      <c r="N453" s="34">
        <f>VLOOKUP(Table16[[#This Row],[ROUTE]],DEMAND!A:F,6,FALSE)</f>
        <v>1288</v>
      </c>
      <c r="O453" s="34">
        <f>ROUNDDOWN(Table16[[#This Row],[R-DEMAND]]/1320,0)</f>
        <v>0</v>
      </c>
      <c r="P453" s="34">
        <f>Table16[[#This Row],[ADD ACC]]*Table16[[#This Row],[Duration]]</f>
        <v>0</v>
      </c>
    </row>
    <row r="454" spans="1:16" x14ac:dyDescent="0.25">
      <c r="A454" s="54" t="s">
        <v>12558</v>
      </c>
      <c r="B454" s="34" t="s">
        <v>5331</v>
      </c>
      <c r="C454" s="34" t="s">
        <v>2</v>
      </c>
      <c r="D454" s="34">
        <v>3</v>
      </c>
      <c r="E454" s="34" t="s">
        <v>14</v>
      </c>
      <c r="F454" s="34"/>
      <c r="G454" s="34" t="s">
        <v>12032</v>
      </c>
      <c r="H454" s="110">
        <v>4918</v>
      </c>
      <c r="I454" s="122">
        <v>13</v>
      </c>
      <c r="J454" s="111">
        <v>201249854</v>
      </c>
      <c r="K454" s="111">
        <f>IFERROR(Table16[[#This Row],[ROUTE COST]]/Table16[[#This Row],[E - DEMAND]],0)</f>
        <v>51365.455334354265</v>
      </c>
      <c r="L454" s="34">
        <v>3918</v>
      </c>
      <c r="M454" s="34">
        <f>VLOOKUP(Table16[[#This Row],[ROUTE]],DEMAND!A:F,5,FALSE)</f>
        <v>3921</v>
      </c>
      <c r="N454" s="34">
        <f>VLOOKUP(Table16[[#This Row],[ROUTE]],DEMAND!A:F,6,FALSE)</f>
        <v>1281</v>
      </c>
      <c r="O454" s="34">
        <f>ROUNDDOWN(Table16[[#This Row],[R-DEMAND]]/1320,0)</f>
        <v>0</v>
      </c>
      <c r="P454" s="34">
        <f>Table16[[#This Row],[ADD ACC]]*Table16[[#This Row],[Duration]]</f>
        <v>0</v>
      </c>
    </row>
    <row r="455" spans="1:16" x14ac:dyDescent="0.25">
      <c r="A455" s="54" t="s">
        <v>11280</v>
      </c>
      <c r="B455" s="34" t="s">
        <v>71</v>
      </c>
      <c r="C455" s="34" t="s">
        <v>2</v>
      </c>
      <c r="D455" s="34">
        <v>5</v>
      </c>
      <c r="E455" s="34" t="s">
        <v>774</v>
      </c>
      <c r="F455" s="34"/>
      <c r="G455" s="34" t="s">
        <v>12010</v>
      </c>
      <c r="H455" s="110">
        <v>5520</v>
      </c>
      <c r="I455" s="122">
        <v>14.25</v>
      </c>
      <c r="J455" s="141">
        <v>216000000</v>
      </c>
      <c r="K455" s="111">
        <f>IFERROR(Table16[[#This Row],[ROUTE COST]]/Table16[[#This Row],[E - DEMAND]],0)</f>
        <v>55944.055944055945</v>
      </c>
      <c r="L455" s="34">
        <v>3861</v>
      </c>
      <c r="M455" s="34">
        <f>VLOOKUP(Table16[[#This Row],[ROUTE]],DEMAND!A:F,5,FALSE)</f>
        <v>3915</v>
      </c>
      <c r="N455" s="34">
        <f>VLOOKUP(Table16[[#This Row],[ROUTE]],DEMAND!A:F,6,FALSE)</f>
        <v>1275</v>
      </c>
      <c r="O455" s="34">
        <f>ROUNDDOWN(Table16[[#This Row],[R-DEMAND]]/1320,0)</f>
        <v>0</v>
      </c>
      <c r="P455" s="34">
        <f>Table16[[#This Row],[ADD ACC]]*Table16[[#This Row],[Duration]]</f>
        <v>0</v>
      </c>
    </row>
    <row r="456" spans="1:16" x14ac:dyDescent="0.25">
      <c r="A456" s="54" t="s">
        <v>12244</v>
      </c>
      <c r="B456" s="34" t="s">
        <v>3693</v>
      </c>
      <c r="C456" s="34" t="s">
        <v>2</v>
      </c>
      <c r="D456" s="34">
        <v>2</v>
      </c>
      <c r="E456" s="34" t="s">
        <v>493</v>
      </c>
      <c r="F456" s="34"/>
      <c r="G456" s="34" t="s">
        <v>11738</v>
      </c>
      <c r="H456" s="110">
        <v>11311</v>
      </c>
      <c r="I456" s="122">
        <v>27.25</v>
      </c>
      <c r="J456" s="111">
        <v>244731576</v>
      </c>
      <c r="K456" s="111">
        <f>IFERROR(Table16[[#This Row],[ROUTE COST]]/Table16[[#This Row],[E - DEMAND]],0)</f>
        <v>62655.293394777269</v>
      </c>
      <c r="L456" s="34">
        <v>3906</v>
      </c>
      <c r="M456" s="34">
        <f>VLOOKUP(Table16[[#This Row],[ROUTE]],DEMAND!A:F,5,FALSE)</f>
        <v>3906</v>
      </c>
      <c r="N456" s="34">
        <f>VLOOKUP(Table16[[#This Row],[ROUTE]],DEMAND!A:F,6,FALSE)</f>
        <v>1266</v>
      </c>
      <c r="O456" s="34">
        <f>ROUNDDOWN(Table16[[#This Row],[R-DEMAND]]/1320,0)</f>
        <v>0</v>
      </c>
      <c r="P456" s="34">
        <f>Table16[[#This Row],[ADD ACC]]*Table16[[#This Row],[Duration]]</f>
        <v>0</v>
      </c>
    </row>
    <row r="457" spans="1:16" x14ac:dyDescent="0.25">
      <c r="A457" s="54" t="s">
        <v>12599</v>
      </c>
      <c r="B457" s="34" t="s">
        <v>324</v>
      </c>
      <c r="C457" s="34" t="s">
        <v>2</v>
      </c>
      <c r="D457" s="34">
        <v>4</v>
      </c>
      <c r="E457" s="34" t="s">
        <v>1427</v>
      </c>
      <c r="F457" s="34"/>
      <c r="G457" s="34" t="s">
        <v>11088</v>
      </c>
      <c r="H457" s="110">
        <v>11228</v>
      </c>
      <c r="I457" s="122">
        <v>27</v>
      </c>
      <c r="J457" s="111">
        <v>282571895</v>
      </c>
      <c r="K457" s="111">
        <f>IFERROR(Table16[[#This Row],[ROUTE COST]]/Table16[[#This Row],[E - DEMAND]],0)</f>
        <v>72528.720482546196</v>
      </c>
      <c r="L457" s="34">
        <v>3896</v>
      </c>
      <c r="M457" s="34">
        <f>VLOOKUP(Table16[[#This Row],[ROUTE]],DEMAND!A:F,5,FALSE)</f>
        <v>3898</v>
      </c>
      <c r="N457" s="34">
        <f>VLOOKUP(Table16[[#This Row],[ROUTE]],DEMAND!A:F,6,FALSE)</f>
        <v>-62</v>
      </c>
      <c r="O457" s="34">
        <f>ROUNDDOWN(Table16[[#This Row],[R-DEMAND]]/1320,0)</f>
        <v>0</v>
      </c>
      <c r="P457" s="34">
        <f>Table16[[#This Row],[ADD ACC]]*Table16[[#This Row],[Duration]]</f>
        <v>0</v>
      </c>
    </row>
    <row r="458" spans="1:16" x14ac:dyDescent="0.25">
      <c r="A458" s="54" t="s">
        <v>12495</v>
      </c>
      <c r="B458" s="34" t="s">
        <v>5061</v>
      </c>
      <c r="C458" s="34" t="s">
        <v>2</v>
      </c>
      <c r="D458" s="34">
        <v>3</v>
      </c>
      <c r="E458" s="34" t="s">
        <v>758</v>
      </c>
      <c r="F458" s="34"/>
      <c r="G458" s="34" t="s">
        <v>11808</v>
      </c>
      <c r="H458" s="110">
        <v>10364</v>
      </c>
      <c r="I458" s="122">
        <v>25</v>
      </c>
      <c r="J458" s="111">
        <v>249530873</v>
      </c>
      <c r="K458" s="111">
        <f>IFERROR(Table16[[#This Row],[ROUTE COST]]/Table16[[#This Row],[E - DEMAND]],0)</f>
        <v>66719.484759358282</v>
      </c>
      <c r="L458" s="34">
        <v>3740</v>
      </c>
      <c r="M458" s="34">
        <f>VLOOKUP(Table16[[#This Row],[ROUTE]],DEMAND!A:F,5,FALSE)</f>
        <v>3867</v>
      </c>
      <c r="N458" s="34">
        <f>VLOOKUP(Table16[[#This Row],[ROUTE]],DEMAND!A:F,6,FALSE)</f>
        <v>1227</v>
      </c>
      <c r="O458" s="34">
        <f>ROUNDDOWN(Table16[[#This Row],[R-DEMAND]]/1320,0)</f>
        <v>0</v>
      </c>
      <c r="P458" s="34">
        <f>Table16[[#This Row],[ADD ACC]]*Table16[[#This Row],[Duration]]</f>
        <v>0</v>
      </c>
    </row>
    <row r="459" spans="1:16" x14ac:dyDescent="0.25">
      <c r="A459" s="54" t="s">
        <v>12121</v>
      </c>
      <c r="B459" s="34" t="s">
        <v>853</v>
      </c>
      <c r="C459" s="34" t="s">
        <v>2</v>
      </c>
      <c r="D459" s="34">
        <v>1</v>
      </c>
      <c r="E459" s="34" t="s">
        <v>608</v>
      </c>
      <c r="F459" s="34"/>
      <c r="G459" s="34" t="s">
        <v>11687</v>
      </c>
      <c r="H459" s="110">
        <v>12354</v>
      </c>
      <c r="I459" s="122">
        <v>29.5</v>
      </c>
      <c r="J459" s="111">
        <v>241640929</v>
      </c>
      <c r="K459" s="111">
        <f>IFERROR(Table16[[#This Row],[ROUTE COST]]/Table16[[#This Row],[E - DEMAND]],0)</f>
        <v>62520.292108667527</v>
      </c>
      <c r="L459" s="34">
        <v>3865</v>
      </c>
      <c r="M459" s="34">
        <f>VLOOKUP(Table16[[#This Row],[ROUTE]],DEMAND!A:F,5,FALSE)</f>
        <v>3866</v>
      </c>
      <c r="N459" s="34">
        <f>VLOOKUP(Table16[[#This Row],[ROUTE]],DEMAND!A:F,6,FALSE)</f>
        <v>-94</v>
      </c>
      <c r="O459" s="34">
        <f>ROUNDDOWN(Table16[[#This Row],[R-DEMAND]]/1320,0)</f>
        <v>0</v>
      </c>
      <c r="P459" s="34">
        <f>Table16[[#This Row],[ADD ACC]]*Table16[[#This Row],[Duration]]</f>
        <v>0</v>
      </c>
    </row>
    <row r="460" spans="1:16" x14ac:dyDescent="0.25">
      <c r="A460" s="54" t="s">
        <v>12650</v>
      </c>
      <c r="B460" s="34" t="s">
        <v>376</v>
      </c>
      <c r="C460" s="34" t="s">
        <v>2</v>
      </c>
      <c r="D460" s="34">
        <v>5</v>
      </c>
      <c r="E460" s="34" t="s">
        <v>560</v>
      </c>
      <c r="F460" s="34"/>
      <c r="G460" s="34" t="s">
        <v>11100</v>
      </c>
      <c r="H460" s="110">
        <v>11550</v>
      </c>
      <c r="I460" s="122">
        <v>27.75</v>
      </c>
      <c r="J460" s="111">
        <v>303991307</v>
      </c>
      <c r="K460" s="111">
        <f>IFERROR(Table16[[#This Row],[ROUTE COST]]/Table16[[#This Row],[E - DEMAND]],0)</f>
        <v>118192.57659409021</v>
      </c>
      <c r="L460" s="34">
        <v>2572</v>
      </c>
      <c r="M460" s="34">
        <f>VLOOKUP(Table16[[#This Row],[ROUTE]],DEMAND!A:F,5,FALSE)</f>
        <v>3864</v>
      </c>
      <c r="N460" s="34">
        <f>VLOOKUP(Table16[[#This Row],[ROUTE]],DEMAND!A:F,6,FALSE)</f>
        <v>1224</v>
      </c>
      <c r="O460" s="34">
        <f>ROUNDDOWN(Table16[[#This Row],[R-DEMAND]]/1320,0)</f>
        <v>0</v>
      </c>
      <c r="P460" s="34">
        <f>Table16[[#This Row],[ADD ACC]]*Table16[[#This Row],[Duration]]</f>
        <v>0</v>
      </c>
    </row>
    <row r="461" spans="1:16" x14ac:dyDescent="0.25">
      <c r="A461" s="54" t="s">
        <v>11185</v>
      </c>
      <c r="B461" s="34" t="s">
        <v>345</v>
      </c>
      <c r="C461" s="34" t="s">
        <v>2</v>
      </c>
      <c r="D461" s="34">
        <v>2</v>
      </c>
      <c r="E461" s="34" t="s">
        <v>1314</v>
      </c>
      <c r="F461" s="34"/>
      <c r="G461" s="34" t="s">
        <v>12102</v>
      </c>
      <c r="H461" s="110">
        <v>2035</v>
      </c>
      <c r="I461" s="122">
        <v>6.75</v>
      </c>
      <c r="J461" s="141">
        <v>216000000</v>
      </c>
      <c r="K461" s="111">
        <f>IFERROR(Table16[[#This Row],[ROUTE COST]]/Table16[[#This Row],[E - DEMAND]],0)</f>
        <v>56514.913657770798</v>
      </c>
      <c r="L461" s="34">
        <v>3822</v>
      </c>
      <c r="M461" s="34">
        <f>VLOOKUP(Table16[[#This Row],[ROUTE]],DEMAND!A:F,5,FALSE)</f>
        <v>3864</v>
      </c>
      <c r="N461" s="34">
        <f>VLOOKUP(Table16[[#This Row],[ROUTE]],DEMAND!A:F,6,FALSE)</f>
        <v>-1416</v>
      </c>
      <c r="O461" s="34">
        <f>ROUNDDOWN(Table16[[#This Row],[R-DEMAND]]/1320,0)</f>
        <v>-1</v>
      </c>
      <c r="P461" s="34">
        <f>Table16[[#This Row],[ADD ACC]]*Table16[[#This Row],[Duration]]</f>
        <v>-6.75</v>
      </c>
    </row>
    <row r="462" spans="1:16" x14ac:dyDescent="0.25">
      <c r="A462" s="54" t="s">
        <v>12512</v>
      </c>
      <c r="B462" s="34" t="s">
        <v>4860</v>
      </c>
      <c r="C462" s="34" t="s">
        <v>2</v>
      </c>
      <c r="D462" s="34">
        <v>3</v>
      </c>
      <c r="E462" s="34" t="s">
        <v>78</v>
      </c>
      <c r="F462" s="34"/>
      <c r="G462" s="34" t="s">
        <v>11870</v>
      </c>
      <c r="H462" s="110">
        <v>8769</v>
      </c>
      <c r="I462" s="122">
        <v>21.5</v>
      </c>
      <c r="J462" s="111">
        <v>229839611</v>
      </c>
      <c r="K462" s="111">
        <f>IFERROR(Table16[[#This Row],[ROUTE COST]]/Table16[[#This Row],[E - DEMAND]],0)</f>
        <v>80645.477543859655</v>
      </c>
      <c r="L462" s="34">
        <v>2850</v>
      </c>
      <c r="M462" s="34">
        <f>VLOOKUP(Table16[[#This Row],[ROUTE]],DEMAND!A:F,5,FALSE)</f>
        <v>3853</v>
      </c>
      <c r="N462" s="34">
        <f>VLOOKUP(Table16[[#This Row],[ROUTE]],DEMAND!A:F,6,FALSE)</f>
        <v>1213</v>
      </c>
      <c r="O462" s="34">
        <f>ROUNDDOWN(Table16[[#This Row],[R-DEMAND]]/1320,0)</f>
        <v>0</v>
      </c>
      <c r="P462" s="34">
        <f>Table16[[#This Row],[ADD ACC]]*Table16[[#This Row],[Duration]]</f>
        <v>0</v>
      </c>
    </row>
    <row r="463" spans="1:16" x14ac:dyDescent="0.25">
      <c r="A463" s="54" t="s">
        <v>12479</v>
      </c>
      <c r="B463" s="34" t="s">
        <v>5234</v>
      </c>
      <c r="C463" s="34" t="s">
        <v>2</v>
      </c>
      <c r="D463" s="34">
        <v>3</v>
      </c>
      <c r="E463" s="34" t="s">
        <v>605</v>
      </c>
      <c r="F463" s="34"/>
      <c r="G463" s="34" t="s">
        <v>11779</v>
      </c>
      <c r="H463" s="110">
        <v>10903</v>
      </c>
      <c r="I463" s="122">
        <v>26.25</v>
      </c>
      <c r="J463" s="111">
        <v>259664920</v>
      </c>
      <c r="K463" s="111">
        <f>IFERROR(Table16[[#This Row],[ROUTE COST]]/Table16[[#This Row],[E - DEMAND]],0)</f>
        <v>70503.643768666851</v>
      </c>
      <c r="L463" s="34">
        <v>3683</v>
      </c>
      <c r="M463" s="34">
        <f>VLOOKUP(Table16[[#This Row],[ROUTE]],DEMAND!A:F,5,FALSE)</f>
        <v>3845</v>
      </c>
      <c r="N463" s="34">
        <f>VLOOKUP(Table16[[#This Row],[ROUTE]],DEMAND!A:F,6,FALSE)</f>
        <v>1205</v>
      </c>
      <c r="O463" s="34">
        <f>ROUNDDOWN(Table16[[#This Row],[R-DEMAND]]/1320,0)</f>
        <v>0</v>
      </c>
      <c r="P463" s="34">
        <f>Table16[[#This Row],[ADD ACC]]*Table16[[#This Row],[Duration]]</f>
        <v>0</v>
      </c>
    </row>
    <row r="464" spans="1:16" x14ac:dyDescent="0.25">
      <c r="A464" s="54" t="s">
        <v>12334</v>
      </c>
      <c r="B464" s="34" t="s">
        <v>4609</v>
      </c>
      <c r="C464" s="34" t="s">
        <v>2</v>
      </c>
      <c r="D464" s="34">
        <v>2</v>
      </c>
      <c r="E464" s="34" t="s">
        <v>700</v>
      </c>
      <c r="F464" s="34"/>
      <c r="G464" s="34" t="s">
        <v>10085</v>
      </c>
      <c r="H464" s="110">
        <v>8413</v>
      </c>
      <c r="I464" s="122">
        <v>20.75</v>
      </c>
      <c r="J464" s="111">
        <v>223297665</v>
      </c>
      <c r="K464" s="111">
        <f>IFERROR(Table16[[#This Row],[ROUTE COST]]/Table16[[#This Row],[E - DEMAND]],0)</f>
        <v>58226.249022164273</v>
      </c>
      <c r="L464" s="34">
        <v>3835</v>
      </c>
      <c r="M464" s="34">
        <f>VLOOKUP(Table16[[#This Row],[ROUTE]],DEMAND!A:F,5,FALSE)</f>
        <v>3837</v>
      </c>
      <c r="N464" s="34">
        <f>VLOOKUP(Table16[[#This Row],[ROUTE]],DEMAND!A:F,6,FALSE)</f>
        <v>-123</v>
      </c>
      <c r="O464" s="34">
        <f>ROUNDDOWN(Table16[[#This Row],[R-DEMAND]]/1320,0)</f>
        <v>0</v>
      </c>
      <c r="P464" s="34">
        <f>Table16[[#This Row],[ADD ACC]]*Table16[[#This Row],[Duration]]</f>
        <v>0</v>
      </c>
    </row>
    <row r="465" spans="1:16" x14ac:dyDescent="0.25">
      <c r="A465" s="54" t="s">
        <v>12494</v>
      </c>
      <c r="B465" s="34" t="s">
        <v>4900</v>
      </c>
      <c r="C465" s="34" t="s">
        <v>2</v>
      </c>
      <c r="D465" s="34">
        <v>3</v>
      </c>
      <c r="E465" s="34" t="s">
        <v>758</v>
      </c>
      <c r="F465" s="34"/>
      <c r="G465" s="34" t="s">
        <v>11805</v>
      </c>
      <c r="H465" s="110">
        <v>10446</v>
      </c>
      <c r="I465" s="122">
        <v>25.25</v>
      </c>
      <c r="J465" s="111">
        <v>247340143</v>
      </c>
      <c r="K465" s="111">
        <f>IFERROR(Table16[[#This Row],[ROUTE COST]]/Table16[[#This Row],[E - DEMAND]],0)</f>
        <v>68006.638163321419</v>
      </c>
      <c r="L465" s="34">
        <v>3637</v>
      </c>
      <c r="M465" s="34">
        <f>VLOOKUP(Table16[[#This Row],[ROUTE]],DEMAND!A:F,5,FALSE)</f>
        <v>3833</v>
      </c>
      <c r="N465" s="34">
        <f>VLOOKUP(Table16[[#This Row],[ROUTE]],DEMAND!A:F,6,FALSE)</f>
        <v>1193</v>
      </c>
      <c r="O465" s="34">
        <f>ROUNDDOWN(Table16[[#This Row],[R-DEMAND]]/1320,0)</f>
        <v>0</v>
      </c>
      <c r="P465" s="34">
        <f>Table16[[#This Row],[ADD ACC]]*Table16[[#This Row],[Duration]]</f>
        <v>0</v>
      </c>
    </row>
    <row r="466" spans="1:16" x14ac:dyDescent="0.25">
      <c r="A466" s="54" t="s">
        <v>11172</v>
      </c>
      <c r="B466" s="34" t="s">
        <v>120</v>
      </c>
      <c r="C466" s="34" t="s">
        <v>2</v>
      </c>
      <c r="D466" s="34">
        <v>5</v>
      </c>
      <c r="E466" s="34" t="s">
        <v>119</v>
      </c>
      <c r="F466" s="34"/>
      <c r="G466" s="34" t="s">
        <v>118</v>
      </c>
      <c r="H466" s="110">
        <v>11636</v>
      </c>
      <c r="I466" s="122">
        <v>28</v>
      </c>
      <c r="J466" s="111">
        <v>290170986</v>
      </c>
      <c r="K466" s="111">
        <f>IFERROR(Table16[[#This Row],[ROUTE COST]]/Table16[[#This Row],[E - DEMAND]],0)</f>
        <v>73275.501515151511</v>
      </c>
      <c r="L466" s="34">
        <v>3960</v>
      </c>
      <c r="M466" s="34">
        <f>VLOOKUP(Table16[[#This Row],[ROUTE]],DEMAND!A:F,5,FALSE)</f>
        <v>3831</v>
      </c>
      <c r="N466" s="34">
        <f>VLOOKUP(Table16[[#This Row],[ROUTE]],DEMAND!A:F,6,FALSE)</f>
        <v>-129</v>
      </c>
      <c r="O466" s="34">
        <f>ROUNDDOWN(Table16[[#This Row],[R-DEMAND]]/1320,0)</f>
        <v>0</v>
      </c>
      <c r="P466" s="34">
        <f>Table16[[#This Row],[ADD ACC]]*Table16[[#This Row],[Duration]]</f>
        <v>0</v>
      </c>
    </row>
    <row r="467" spans="1:16" x14ac:dyDescent="0.25">
      <c r="A467" s="54" t="s">
        <v>12491</v>
      </c>
      <c r="B467" s="34" t="s">
        <v>5025</v>
      </c>
      <c r="C467" s="34" t="s">
        <v>2</v>
      </c>
      <c r="D467" s="34">
        <v>3</v>
      </c>
      <c r="E467" s="34" t="s">
        <v>1117</v>
      </c>
      <c r="F467" s="34"/>
      <c r="G467" s="34" t="s">
        <v>11801</v>
      </c>
      <c r="H467" s="110">
        <v>10543</v>
      </c>
      <c r="I467" s="122">
        <v>25.5</v>
      </c>
      <c r="J467" s="111">
        <v>250236943</v>
      </c>
      <c r="K467" s="111">
        <f>IFERROR(Table16[[#This Row],[ROUTE COST]]/Table16[[#This Row],[E - DEMAND]],0)</f>
        <v>65489.90918607694</v>
      </c>
      <c r="L467" s="34">
        <v>3821</v>
      </c>
      <c r="M467" s="34">
        <f>VLOOKUP(Table16[[#This Row],[ROUTE]],DEMAND!A:F,5,FALSE)</f>
        <v>3824</v>
      </c>
      <c r="N467" s="34">
        <f>VLOOKUP(Table16[[#This Row],[ROUTE]],DEMAND!A:F,6,FALSE)</f>
        <v>-136</v>
      </c>
      <c r="O467" s="34">
        <f>ROUNDDOWN(Table16[[#This Row],[R-DEMAND]]/1320,0)</f>
        <v>0</v>
      </c>
      <c r="P467" s="34">
        <f>Table16[[#This Row],[ADD ACC]]*Table16[[#This Row],[Duration]]</f>
        <v>0</v>
      </c>
    </row>
    <row r="468" spans="1:16" x14ac:dyDescent="0.25">
      <c r="A468" s="54" t="s">
        <v>12382</v>
      </c>
      <c r="B468" s="34" t="s">
        <v>3539</v>
      </c>
      <c r="C468" s="34" t="s">
        <v>2</v>
      </c>
      <c r="D468" s="34">
        <v>2</v>
      </c>
      <c r="E468" s="34" t="s">
        <v>2764</v>
      </c>
      <c r="F468" s="34"/>
      <c r="G468" s="34" t="s">
        <v>11969</v>
      </c>
      <c r="H468" s="110">
        <v>6687</v>
      </c>
      <c r="I468" s="122">
        <v>17</v>
      </c>
      <c r="K468" s="111">
        <f>IFERROR(Table16[[#This Row],[ROUTE COST]]/Table16[[#This Row],[E - DEMAND]],0)</f>
        <v>0</v>
      </c>
      <c r="L468" s="34"/>
      <c r="M468" s="34">
        <f>VLOOKUP(Table16[[#This Row],[ROUTE]],DEMAND!A:F,5,FALSE)</f>
        <v>3823</v>
      </c>
      <c r="N468" s="34">
        <f>VLOOKUP(Table16[[#This Row],[ROUTE]],DEMAND!A:F,6,FALSE)</f>
        <v>-137</v>
      </c>
      <c r="O468" s="34">
        <f>ROUNDDOWN(Table16[[#This Row],[R-DEMAND]]/1320,0)</f>
        <v>0</v>
      </c>
      <c r="P468" s="34">
        <f>Table16[[#This Row],[ADD ACC]]*Table16[[#This Row],[Duration]]</f>
        <v>0</v>
      </c>
    </row>
    <row r="469" spans="1:16" x14ac:dyDescent="0.25">
      <c r="A469" s="54" t="s">
        <v>12608</v>
      </c>
      <c r="B469" s="34" t="s">
        <v>5658</v>
      </c>
      <c r="C469" s="34" t="s">
        <v>2</v>
      </c>
      <c r="D469" s="34">
        <v>4</v>
      </c>
      <c r="E469" s="34" t="s">
        <v>876</v>
      </c>
      <c r="F469" s="34"/>
      <c r="G469" s="34" t="s">
        <v>11095</v>
      </c>
      <c r="H469" s="110">
        <v>10823</v>
      </c>
      <c r="I469" s="122">
        <v>26</v>
      </c>
      <c r="J469" s="111">
        <v>277915655</v>
      </c>
      <c r="K469" s="111">
        <v>3818</v>
      </c>
      <c r="L469" s="34"/>
      <c r="M469" s="34">
        <f>VLOOKUP(Table16[[#This Row],[ROUTE]],DEMAND!A:F,5,FALSE)</f>
        <v>3821</v>
      </c>
      <c r="N469" s="34">
        <f>VLOOKUP(Table16[[#This Row],[ROUTE]],DEMAND!A:F,6,FALSE)</f>
        <v>-139</v>
      </c>
      <c r="O469" s="34">
        <f>ROUNDDOWN(Table16[[#This Row],[R-DEMAND]]/1320,0)</f>
        <v>0</v>
      </c>
      <c r="P469" s="34">
        <f>Table16[[#This Row],[ADD ACC]]*Table16[[#This Row],[Duration]]</f>
        <v>0</v>
      </c>
    </row>
    <row r="470" spans="1:16" x14ac:dyDescent="0.25">
      <c r="A470" s="54" t="s">
        <v>12460</v>
      </c>
      <c r="B470" s="34" t="s">
        <v>5356</v>
      </c>
      <c r="C470" s="34" t="s">
        <v>2</v>
      </c>
      <c r="D470" s="34">
        <v>3</v>
      </c>
      <c r="E470" s="34" t="s">
        <v>605</v>
      </c>
      <c r="F470" s="34"/>
      <c r="G470" s="34" t="s">
        <v>11742</v>
      </c>
      <c r="H470" s="110">
        <v>11231</v>
      </c>
      <c r="I470" s="122">
        <v>27</v>
      </c>
      <c r="J470" s="111">
        <v>266544643</v>
      </c>
      <c r="K470" s="111">
        <f>IFERROR(Table16[[#This Row],[ROUTE COST]]/Table16[[#This Row],[E - DEMAND]],0)</f>
        <v>72608.183873603921</v>
      </c>
      <c r="L470" s="34">
        <v>3671</v>
      </c>
      <c r="M470" s="34">
        <f>VLOOKUP(Table16[[#This Row],[ROUTE]],DEMAND!A:F,5,FALSE)</f>
        <v>3820</v>
      </c>
      <c r="N470" s="34">
        <f>VLOOKUP(Table16[[#This Row],[ROUTE]],DEMAND!A:F,6,FALSE)</f>
        <v>1180</v>
      </c>
      <c r="O470" s="34">
        <f>ROUNDDOWN(Table16[[#This Row],[R-DEMAND]]/1320,0)</f>
        <v>0</v>
      </c>
      <c r="P470" s="34">
        <f>Table16[[#This Row],[ADD ACC]]*Table16[[#This Row],[Duration]]</f>
        <v>0</v>
      </c>
    </row>
    <row r="471" spans="1:16" x14ac:dyDescent="0.25">
      <c r="A471" s="54" t="s">
        <v>12605</v>
      </c>
      <c r="B471" s="34" t="s">
        <v>288</v>
      </c>
      <c r="C471" s="34" t="s">
        <v>2</v>
      </c>
      <c r="D471" s="34">
        <v>4</v>
      </c>
      <c r="E471" s="34" t="s">
        <v>1427</v>
      </c>
      <c r="F471" s="34"/>
      <c r="G471" s="34" t="s">
        <v>11083</v>
      </c>
      <c r="H471" s="110">
        <v>10998</v>
      </c>
      <c r="I471" s="122">
        <v>26.5</v>
      </c>
      <c r="J471" s="141">
        <v>216000000</v>
      </c>
      <c r="K471" s="111">
        <f>IFERROR(Table16[[#This Row],[ROUTE COST]]/Table16[[#This Row],[E - DEMAND]],0)</f>
        <v>0</v>
      </c>
      <c r="L471" s="34"/>
      <c r="M471" s="34">
        <f>VLOOKUP(Table16[[#This Row],[ROUTE]],DEMAND!A:F,5,FALSE)</f>
        <v>3814</v>
      </c>
      <c r="N471" s="34">
        <f>VLOOKUP(Table16[[#This Row],[ROUTE]],DEMAND!A:F,6,FALSE)</f>
        <v>1174</v>
      </c>
      <c r="O471" s="34">
        <f>ROUNDDOWN(Table16[[#This Row],[R-DEMAND]]/1320,0)</f>
        <v>0</v>
      </c>
      <c r="P471" s="34">
        <f>Table16[[#This Row],[ADD ACC]]*Table16[[#This Row],[Duration]]</f>
        <v>0</v>
      </c>
    </row>
    <row r="472" spans="1:16" x14ac:dyDescent="0.25">
      <c r="A472" s="54" t="s">
        <v>12506</v>
      </c>
      <c r="B472" s="34" t="s">
        <v>4985</v>
      </c>
      <c r="C472" s="34" t="s">
        <v>2</v>
      </c>
      <c r="D472" s="34">
        <v>3</v>
      </c>
      <c r="E472" s="34" t="s">
        <v>722</v>
      </c>
      <c r="F472" s="34"/>
      <c r="G472" s="34" t="s">
        <v>11850</v>
      </c>
      <c r="H472" s="110">
        <v>9444</v>
      </c>
      <c r="I472" s="122">
        <v>23</v>
      </c>
      <c r="K472" s="111">
        <f>IFERROR(Table16[[#This Row],[ROUTE COST]]/Table16[[#This Row],[E - DEMAND]],0)</f>
        <v>0</v>
      </c>
      <c r="L472" s="34"/>
      <c r="M472" s="34">
        <f>VLOOKUP(Table16[[#This Row],[ROUTE]],DEMAND!A:F,5,FALSE)</f>
        <v>3805</v>
      </c>
      <c r="N472" s="34">
        <f>VLOOKUP(Table16[[#This Row],[ROUTE]],DEMAND!A:F,6,FALSE)</f>
        <v>1165</v>
      </c>
      <c r="O472" s="34">
        <f>ROUNDDOWN(Table16[[#This Row],[R-DEMAND]]/1320,0)</f>
        <v>0</v>
      </c>
      <c r="P472" s="34">
        <f>Table16[[#This Row],[ADD ACC]]*Table16[[#This Row],[Duration]]</f>
        <v>0</v>
      </c>
    </row>
    <row r="473" spans="1:16" x14ac:dyDescent="0.25">
      <c r="A473" s="54" t="s">
        <v>11321</v>
      </c>
      <c r="B473" s="34" t="s">
        <v>252</v>
      </c>
      <c r="C473" s="34" t="s">
        <v>2</v>
      </c>
      <c r="D473" s="34">
        <v>5</v>
      </c>
      <c r="E473" s="34" t="s">
        <v>700</v>
      </c>
      <c r="F473" s="34"/>
      <c r="G473" s="34" t="s">
        <v>11077</v>
      </c>
      <c r="H473" s="110">
        <v>9460</v>
      </c>
      <c r="I473" s="122">
        <v>23</v>
      </c>
      <c r="J473" s="111">
        <v>281355765</v>
      </c>
      <c r="K473" s="111">
        <f>IFERROR(Table16[[#This Row],[ROUTE COST]]/Table16[[#This Row],[E - DEMAND]],0)</f>
        <v>71555.382756866733</v>
      </c>
      <c r="L473" s="34">
        <v>3932</v>
      </c>
      <c r="M473" s="34">
        <f>VLOOKUP(Table16[[#This Row],[ROUTE]],DEMAND!A:F,5,FALSE)</f>
        <v>3804</v>
      </c>
      <c r="N473" s="34">
        <f>VLOOKUP(Table16[[#This Row],[ROUTE]],DEMAND!A:F,6,FALSE)</f>
        <v>-156</v>
      </c>
      <c r="O473" s="34">
        <f>ROUNDDOWN(Table16[[#This Row],[R-DEMAND]]/1320,0)</f>
        <v>0</v>
      </c>
      <c r="P473" s="34">
        <f>Table16[[#This Row],[ADD ACC]]*Table16[[#This Row],[Duration]]</f>
        <v>0</v>
      </c>
    </row>
    <row r="474" spans="1:16" x14ac:dyDescent="0.25">
      <c r="A474" s="54" t="s">
        <v>11279</v>
      </c>
      <c r="B474" s="34" t="s">
        <v>170</v>
      </c>
      <c r="C474" s="34" t="s">
        <v>2</v>
      </c>
      <c r="D474" s="34">
        <v>5</v>
      </c>
      <c r="E474" s="34" t="s">
        <v>774</v>
      </c>
      <c r="F474" s="34"/>
      <c r="G474" s="34" t="s">
        <v>11060</v>
      </c>
      <c r="H474" s="110">
        <v>5212</v>
      </c>
      <c r="I474" s="122">
        <v>13.75</v>
      </c>
      <c r="J474" s="111">
        <v>229536913</v>
      </c>
      <c r="K474" s="111">
        <f>IFERROR(Table16[[#This Row],[ROUTE COST]]/Table16[[#This Row],[E - DEMAND]],0)</f>
        <v>61275.203683929525</v>
      </c>
      <c r="L474" s="34">
        <v>3746</v>
      </c>
      <c r="M474" s="34">
        <f>VLOOKUP(Table16[[#This Row],[ROUTE]],DEMAND!A:F,5,FALSE)</f>
        <v>3799</v>
      </c>
      <c r="N474" s="34">
        <f>VLOOKUP(Table16[[#This Row],[ROUTE]],DEMAND!A:F,6,FALSE)</f>
        <v>1159</v>
      </c>
      <c r="O474" s="34">
        <f>ROUNDDOWN(Table16[[#This Row],[R-DEMAND]]/1320,0)</f>
        <v>0</v>
      </c>
      <c r="P474" s="34">
        <f>Table16[[#This Row],[ADD ACC]]*Table16[[#This Row],[Duration]]</f>
        <v>0</v>
      </c>
    </row>
    <row r="475" spans="1:16" x14ac:dyDescent="0.25">
      <c r="A475" s="54" t="s">
        <v>12443</v>
      </c>
      <c r="B475" s="34" t="s">
        <v>5321</v>
      </c>
      <c r="C475" s="34" t="s">
        <v>2</v>
      </c>
      <c r="D475" s="34">
        <v>3</v>
      </c>
      <c r="E475" s="34" t="s">
        <v>733</v>
      </c>
      <c r="F475" s="34"/>
      <c r="G475" s="34" t="s">
        <v>11677</v>
      </c>
      <c r="H475" s="110">
        <v>12565</v>
      </c>
      <c r="I475" s="122">
        <v>30</v>
      </c>
      <c r="J475" s="111">
        <v>278016249</v>
      </c>
      <c r="K475" s="111">
        <f>IFERROR(Table16[[#This Row],[ROUTE COST]]/Table16[[#This Row],[E - DEMAND]],0)</f>
        <v>73277.872693726938</v>
      </c>
      <c r="L475" s="34">
        <v>3794</v>
      </c>
      <c r="M475" s="34">
        <f>VLOOKUP(Table16[[#This Row],[ROUTE]],DEMAND!A:F,5,FALSE)</f>
        <v>3796</v>
      </c>
      <c r="N475" s="34">
        <f>VLOOKUP(Table16[[#This Row],[ROUTE]],DEMAND!A:F,6,FALSE)</f>
        <v>-164</v>
      </c>
      <c r="O475" s="34">
        <f>ROUNDDOWN(Table16[[#This Row],[R-DEMAND]]/1320,0)</f>
        <v>0</v>
      </c>
      <c r="P475" s="34">
        <f>Table16[[#This Row],[ADD ACC]]*Table16[[#This Row],[Duration]]</f>
        <v>0</v>
      </c>
    </row>
    <row r="476" spans="1:16" x14ac:dyDescent="0.25">
      <c r="A476" s="54" t="s">
        <v>12651</v>
      </c>
      <c r="B476" s="34" t="s">
        <v>6</v>
      </c>
      <c r="C476" s="34" t="s">
        <v>2</v>
      </c>
      <c r="D476" s="34">
        <v>5</v>
      </c>
      <c r="E476" s="34" t="s">
        <v>1674</v>
      </c>
      <c r="F476" s="34"/>
      <c r="G476" s="34" t="s">
        <v>11025</v>
      </c>
      <c r="H476" s="110">
        <v>11121</v>
      </c>
      <c r="I476" s="122">
        <v>26.75</v>
      </c>
      <c r="J476" s="111">
        <v>284742042</v>
      </c>
      <c r="K476" s="111">
        <f>IFERROR(Table16[[#This Row],[ROUTE COST]]/Table16[[#This Row],[E - DEMAND]],0)</f>
        <v>78075.69015629284</v>
      </c>
      <c r="L476" s="34">
        <v>3647</v>
      </c>
      <c r="M476" s="34">
        <f>VLOOKUP(Table16[[#This Row],[ROUTE]],DEMAND!A:F,5,FALSE)</f>
        <v>3795</v>
      </c>
      <c r="N476" s="34">
        <f>VLOOKUP(Table16[[#This Row],[ROUTE]],DEMAND!A:F,6,FALSE)</f>
        <v>-165</v>
      </c>
      <c r="O476" s="34">
        <f>ROUNDDOWN(Table16[[#This Row],[R-DEMAND]]/1320,0)</f>
        <v>0</v>
      </c>
      <c r="P476" s="34">
        <f>Table16[[#This Row],[ADD ACC]]*Table16[[#This Row],[Duration]]</f>
        <v>0</v>
      </c>
    </row>
    <row r="477" spans="1:16" x14ac:dyDescent="0.25">
      <c r="A477" s="54" t="s">
        <v>12306</v>
      </c>
      <c r="B477" s="34" t="s">
        <v>4488</v>
      </c>
      <c r="C477" s="34" t="s">
        <v>2</v>
      </c>
      <c r="D477" s="34">
        <v>2</v>
      </c>
      <c r="E477" s="34" t="s">
        <v>700</v>
      </c>
      <c r="F477" s="34"/>
      <c r="G477" s="34" t="s">
        <v>11868</v>
      </c>
      <c r="H477" s="110">
        <v>8831</v>
      </c>
      <c r="I477" s="122">
        <v>21.75</v>
      </c>
      <c r="J477" s="111">
        <v>225980304</v>
      </c>
      <c r="K477" s="111">
        <f>IFERROR(Table16[[#This Row],[ROUTE COST]]/Table16[[#This Row],[E - DEMAND]],0)</f>
        <v>59783.149206349204</v>
      </c>
      <c r="L477" s="34">
        <v>3780</v>
      </c>
      <c r="M477" s="34">
        <f>VLOOKUP(Table16[[#This Row],[ROUTE]],DEMAND!A:F,5,FALSE)</f>
        <v>3782</v>
      </c>
      <c r="N477" s="34">
        <f>VLOOKUP(Table16[[#This Row],[ROUTE]],DEMAND!A:F,6,FALSE)</f>
        <v>-178</v>
      </c>
      <c r="O477" s="34">
        <f>ROUNDDOWN(Table16[[#This Row],[R-DEMAND]]/1320,0)</f>
        <v>0</v>
      </c>
      <c r="P477" s="34">
        <f>Table16[[#This Row],[ADD ACC]]*Table16[[#This Row],[Duration]]</f>
        <v>0</v>
      </c>
    </row>
    <row r="478" spans="1:16" x14ac:dyDescent="0.25">
      <c r="A478" s="54" t="s">
        <v>12550</v>
      </c>
      <c r="B478" s="34" t="s">
        <v>5149</v>
      </c>
      <c r="C478" s="34" t="s">
        <v>2</v>
      </c>
      <c r="D478" s="34">
        <v>3</v>
      </c>
      <c r="E478" s="34" t="s">
        <v>14</v>
      </c>
      <c r="F478" s="34"/>
      <c r="G478" s="34" t="s">
        <v>12019</v>
      </c>
      <c r="H478" s="110">
        <v>5251</v>
      </c>
      <c r="I478" s="122">
        <v>13.75</v>
      </c>
      <c r="J478" s="111">
        <v>199949155</v>
      </c>
      <c r="K478" s="111">
        <f>IFERROR(Table16[[#This Row],[ROUTE COST]]/Table16[[#This Row],[E - DEMAND]],0)</f>
        <v>52952.636387711864</v>
      </c>
      <c r="L478" s="34">
        <v>3776</v>
      </c>
      <c r="M478" s="34">
        <f>VLOOKUP(Table16[[#This Row],[ROUTE]],DEMAND!A:F,5,FALSE)</f>
        <v>3779</v>
      </c>
      <c r="N478" s="34">
        <f>VLOOKUP(Table16[[#This Row],[ROUTE]],DEMAND!A:F,6,FALSE)</f>
        <v>1139</v>
      </c>
      <c r="O478" s="34">
        <f>ROUNDDOWN(Table16[[#This Row],[R-DEMAND]]/1320,0)</f>
        <v>0</v>
      </c>
      <c r="P478" s="34">
        <f>Table16[[#This Row],[ADD ACC]]*Table16[[#This Row],[Duration]]</f>
        <v>0</v>
      </c>
    </row>
    <row r="479" spans="1:16" x14ac:dyDescent="0.25">
      <c r="A479" s="54" t="s">
        <v>12560</v>
      </c>
      <c r="B479" s="34" t="s">
        <v>5141</v>
      </c>
      <c r="C479" s="34" t="s">
        <v>2</v>
      </c>
      <c r="D479" s="34">
        <v>3</v>
      </c>
      <c r="E479" s="34" t="s">
        <v>14</v>
      </c>
      <c r="F479" s="34"/>
      <c r="G479" s="34" t="s">
        <v>12037</v>
      </c>
      <c r="H479" s="110">
        <v>4752</v>
      </c>
      <c r="I479" s="122">
        <v>12.75</v>
      </c>
      <c r="J479" s="111">
        <v>194839875</v>
      </c>
      <c r="K479" s="111">
        <f>IFERROR(Table16[[#This Row],[ROUTE COST]]/Table16[[#This Row],[E - DEMAND]],0)</f>
        <v>51654.261664899255</v>
      </c>
      <c r="L479" s="34">
        <v>3772</v>
      </c>
      <c r="M479" s="34">
        <f>VLOOKUP(Table16[[#This Row],[ROUTE]],DEMAND!A:F,5,FALSE)</f>
        <v>3775</v>
      </c>
      <c r="N479" s="34">
        <f>VLOOKUP(Table16[[#This Row],[ROUTE]],DEMAND!A:F,6,FALSE)</f>
        <v>1135</v>
      </c>
      <c r="O479" s="34">
        <f>ROUNDDOWN(Table16[[#This Row],[R-DEMAND]]/1320,0)</f>
        <v>0</v>
      </c>
      <c r="P479" s="34">
        <f>Table16[[#This Row],[ADD ACC]]*Table16[[#This Row],[Duration]]</f>
        <v>0</v>
      </c>
    </row>
    <row r="480" spans="1:16" x14ac:dyDescent="0.25">
      <c r="A480" s="54" t="s">
        <v>12523</v>
      </c>
      <c r="B480" s="34" t="s">
        <v>4804</v>
      </c>
      <c r="C480" s="34" t="s">
        <v>2</v>
      </c>
      <c r="D480" s="34">
        <v>3</v>
      </c>
      <c r="E480" s="34" t="s">
        <v>2356</v>
      </c>
      <c r="F480" s="34"/>
      <c r="G480" s="34" t="s">
        <v>11925</v>
      </c>
      <c r="H480" s="110">
        <v>7771</v>
      </c>
      <c r="I480" s="122">
        <v>19.25</v>
      </c>
      <c r="K480" s="111">
        <f>IFERROR(Table16[[#This Row],[ROUTE COST]]/Table16[[#This Row],[E - DEMAND]],0)</f>
        <v>0</v>
      </c>
      <c r="L480" s="34"/>
      <c r="M480" s="34">
        <f>VLOOKUP(Table16[[#This Row],[ROUTE]],DEMAND!A:F,5,FALSE)</f>
        <v>3775</v>
      </c>
      <c r="N480" s="34">
        <f>VLOOKUP(Table16[[#This Row],[ROUTE]],DEMAND!A:F,6,FALSE)</f>
        <v>-185</v>
      </c>
      <c r="O480" s="34">
        <f>ROUNDDOWN(Table16[[#This Row],[R-DEMAND]]/1320,0)</f>
        <v>0</v>
      </c>
      <c r="P480" s="34">
        <f>Table16[[#This Row],[ADD ACC]]*Table16[[#This Row],[Duration]]</f>
        <v>0</v>
      </c>
    </row>
    <row r="481" spans="1:16" x14ac:dyDescent="0.25">
      <c r="A481" s="54" t="s">
        <v>12317</v>
      </c>
      <c r="B481" s="34" t="s">
        <v>4447</v>
      </c>
      <c r="C481" s="34" t="s">
        <v>2</v>
      </c>
      <c r="D481" s="34">
        <v>2</v>
      </c>
      <c r="E481" s="34" t="s">
        <v>700</v>
      </c>
      <c r="F481" s="34"/>
      <c r="G481" s="34" t="s">
        <v>11884</v>
      </c>
      <c r="H481" s="110">
        <v>8607</v>
      </c>
      <c r="I481" s="122">
        <v>21.25</v>
      </c>
      <c r="J481" s="111">
        <v>223457877</v>
      </c>
      <c r="K481" s="111">
        <f>IFERROR(Table16[[#This Row],[ROUTE COST]]/Table16[[#This Row],[E - DEMAND]],0)</f>
        <v>59288.372777925179</v>
      </c>
      <c r="L481" s="34">
        <v>3769</v>
      </c>
      <c r="M481" s="34">
        <f>VLOOKUP(Table16[[#This Row],[ROUTE]],DEMAND!A:F,5,FALSE)</f>
        <v>3771</v>
      </c>
      <c r="N481" s="34">
        <f>VLOOKUP(Table16[[#This Row],[ROUTE]],DEMAND!A:F,6,FALSE)</f>
        <v>-189</v>
      </c>
      <c r="O481" s="34">
        <f>ROUNDDOWN(Table16[[#This Row],[R-DEMAND]]/1320,0)</f>
        <v>0</v>
      </c>
      <c r="P481" s="34">
        <f>Table16[[#This Row],[ADD ACC]]*Table16[[#This Row],[Duration]]</f>
        <v>0</v>
      </c>
    </row>
    <row r="482" spans="1:16" x14ac:dyDescent="0.25">
      <c r="A482" s="54" t="s">
        <v>12254</v>
      </c>
      <c r="B482" s="34" t="s">
        <v>3008</v>
      </c>
      <c r="C482" s="34" t="s">
        <v>2</v>
      </c>
      <c r="D482" s="34">
        <v>2</v>
      </c>
      <c r="E482" s="34" t="s">
        <v>493</v>
      </c>
      <c r="F482" s="34"/>
      <c r="G482" s="34" t="s">
        <v>11764</v>
      </c>
      <c r="H482" s="110">
        <v>11017</v>
      </c>
      <c r="I482" s="122">
        <v>26.5</v>
      </c>
      <c r="J482" s="111">
        <v>237967576</v>
      </c>
      <c r="K482" s="111">
        <f>IFERROR(Table16[[#This Row],[ROUTE COST]]/Table16[[#This Row],[E - DEMAND]],0)</f>
        <v>63339.785999467662</v>
      </c>
      <c r="L482" s="34">
        <v>3757</v>
      </c>
      <c r="M482" s="34">
        <f>VLOOKUP(Table16[[#This Row],[ROUTE]],DEMAND!A:F,5,FALSE)</f>
        <v>3758</v>
      </c>
      <c r="N482" s="34">
        <f>VLOOKUP(Table16[[#This Row],[ROUTE]],DEMAND!A:F,6,FALSE)</f>
        <v>1118</v>
      </c>
      <c r="O482" s="34">
        <f>ROUNDDOWN(Table16[[#This Row],[R-DEMAND]]/1320,0)</f>
        <v>0</v>
      </c>
      <c r="P482" s="34">
        <f>Table16[[#This Row],[ADD ACC]]*Table16[[#This Row],[Duration]]</f>
        <v>0</v>
      </c>
    </row>
    <row r="483" spans="1:16" x14ac:dyDescent="0.25">
      <c r="A483" s="54" t="s">
        <v>12305</v>
      </c>
      <c r="B483" s="34" t="s">
        <v>4404</v>
      </c>
      <c r="C483" s="34" t="s">
        <v>2</v>
      </c>
      <c r="D483" s="34">
        <v>2</v>
      </c>
      <c r="E483" s="34" t="s">
        <v>700</v>
      </c>
      <c r="F483" s="34"/>
      <c r="G483" s="34" t="s">
        <v>11867</v>
      </c>
      <c r="H483" s="110">
        <v>8834</v>
      </c>
      <c r="I483" s="122">
        <v>21.75</v>
      </c>
      <c r="J483" s="111">
        <v>225257953</v>
      </c>
      <c r="K483" s="111">
        <f>IFERROR(Table16[[#This Row],[ROUTE COST]]/Table16[[#This Row],[E - DEMAND]],0)</f>
        <v>60036.767857142855</v>
      </c>
      <c r="L483" s="34">
        <v>3752</v>
      </c>
      <c r="M483" s="34">
        <f>VLOOKUP(Table16[[#This Row],[ROUTE]],DEMAND!A:F,5,FALSE)</f>
        <v>3754</v>
      </c>
      <c r="N483" s="34">
        <f>VLOOKUP(Table16[[#This Row],[ROUTE]],DEMAND!A:F,6,FALSE)</f>
        <v>1114</v>
      </c>
      <c r="O483" s="34">
        <f>ROUNDDOWN(Table16[[#This Row],[R-DEMAND]]/1320,0)</f>
        <v>0</v>
      </c>
      <c r="P483" s="34">
        <f>Table16[[#This Row],[ADD ACC]]*Table16[[#This Row],[Duration]]</f>
        <v>0</v>
      </c>
    </row>
    <row r="484" spans="1:16" x14ac:dyDescent="0.25">
      <c r="A484" s="54" t="s">
        <v>12524</v>
      </c>
      <c r="B484" s="34" t="s">
        <v>4962</v>
      </c>
      <c r="C484" s="34" t="s">
        <v>2</v>
      </c>
      <c r="D484" s="34">
        <v>3</v>
      </c>
      <c r="E484" s="34" t="s">
        <v>1377</v>
      </c>
      <c r="F484" s="34"/>
      <c r="G484" s="34" t="s">
        <v>11927</v>
      </c>
      <c r="H484" s="110">
        <v>7751</v>
      </c>
      <c r="I484" s="122">
        <v>19.25</v>
      </c>
      <c r="J484" s="111">
        <v>221598290</v>
      </c>
      <c r="K484" s="111">
        <f>IFERROR(Table16[[#This Row],[ROUTE COST]]/Table16[[#This Row],[E - DEMAND]],0)</f>
        <v>60479.882641921395</v>
      </c>
      <c r="L484" s="34">
        <v>3664</v>
      </c>
      <c r="M484" s="34">
        <f>VLOOKUP(Table16[[#This Row],[ROUTE]],DEMAND!A:F,5,FALSE)</f>
        <v>3747</v>
      </c>
      <c r="N484" s="34">
        <f>VLOOKUP(Table16[[#This Row],[ROUTE]],DEMAND!A:F,6,FALSE)</f>
        <v>1107</v>
      </c>
      <c r="O484" s="34">
        <f>ROUNDDOWN(Table16[[#This Row],[R-DEMAND]]/1320,0)</f>
        <v>0</v>
      </c>
      <c r="P484" s="34">
        <f>Table16[[#This Row],[ADD ACC]]*Table16[[#This Row],[Duration]]</f>
        <v>0</v>
      </c>
    </row>
    <row r="485" spans="1:16" x14ac:dyDescent="0.25">
      <c r="A485" s="54" t="s">
        <v>12238</v>
      </c>
      <c r="B485" s="34" t="s">
        <v>2946</v>
      </c>
      <c r="C485" s="34" t="s">
        <v>2</v>
      </c>
      <c r="D485" s="34">
        <v>2</v>
      </c>
      <c r="E485" s="34" t="s">
        <v>493</v>
      </c>
      <c r="F485" s="34"/>
      <c r="G485" s="34" t="s">
        <v>11727</v>
      </c>
      <c r="H485" s="110">
        <v>11421</v>
      </c>
      <c r="I485" s="122">
        <v>27.5</v>
      </c>
      <c r="K485" s="111">
        <f>IFERROR(Table16[[#This Row],[ROUTE COST]]/Table16[[#This Row],[E - DEMAND]],0)</f>
        <v>0</v>
      </c>
      <c r="L485" s="34"/>
      <c r="M485" s="34">
        <f>VLOOKUP(Table16[[#This Row],[ROUTE]],DEMAND!A:F,5,FALSE)</f>
        <v>3744</v>
      </c>
      <c r="N485" s="34">
        <f>VLOOKUP(Table16[[#This Row],[ROUTE]],DEMAND!A:F,6,FALSE)</f>
        <v>-216</v>
      </c>
      <c r="O485" s="34">
        <f>ROUNDDOWN(Table16[[#This Row],[R-DEMAND]]/1320,0)</f>
        <v>0</v>
      </c>
      <c r="P485" s="34">
        <f>Table16[[#This Row],[ADD ACC]]*Table16[[#This Row],[Duration]]</f>
        <v>0</v>
      </c>
    </row>
    <row r="486" spans="1:16" x14ac:dyDescent="0.25">
      <c r="A486" s="54" t="s">
        <v>11281</v>
      </c>
      <c r="B486" s="34" t="s">
        <v>93</v>
      </c>
      <c r="C486" s="34" t="s">
        <v>2</v>
      </c>
      <c r="D486" s="34">
        <v>5</v>
      </c>
      <c r="E486" s="34" t="s">
        <v>92</v>
      </c>
      <c r="F486" s="34"/>
      <c r="G486" s="34" t="s">
        <v>91</v>
      </c>
      <c r="H486" s="34">
        <v>883</v>
      </c>
      <c r="I486" s="122">
        <v>4</v>
      </c>
      <c r="J486" s="111">
        <v>193490040</v>
      </c>
      <c r="K486" s="111">
        <f>IFERROR(Table16[[#This Row],[ROUTE COST]]/Table16[[#This Row],[E - DEMAND]],0)</f>
        <v>51985.502418054806</v>
      </c>
      <c r="L486" s="34">
        <v>3722</v>
      </c>
      <c r="M486" s="34">
        <f>VLOOKUP(Table16[[#This Row],[ROUTE]],DEMAND!A:F,5,FALSE)</f>
        <v>3740</v>
      </c>
      <c r="N486" s="34">
        <f>VLOOKUP(Table16[[#This Row],[ROUTE]],DEMAND!A:F,6,FALSE)</f>
        <v>1100</v>
      </c>
      <c r="O486" s="34">
        <f>ROUNDDOWN(Table16[[#This Row],[R-DEMAND]]/1320,0)</f>
        <v>0</v>
      </c>
      <c r="P486" s="34">
        <f>Table16[[#This Row],[ADD ACC]]*Table16[[#This Row],[Duration]]</f>
        <v>0</v>
      </c>
    </row>
    <row r="487" spans="1:16" x14ac:dyDescent="0.25">
      <c r="A487" s="54" t="s">
        <v>12633</v>
      </c>
      <c r="B487" s="34" t="s">
        <v>349</v>
      </c>
      <c r="C487" s="34" t="s">
        <v>2</v>
      </c>
      <c r="D487" s="34">
        <v>4</v>
      </c>
      <c r="E487" s="34" t="s">
        <v>142</v>
      </c>
      <c r="F487" s="34"/>
      <c r="G487" s="34" t="s">
        <v>11093</v>
      </c>
      <c r="H487" s="110">
        <v>6487</v>
      </c>
      <c r="I487" s="122">
        <v>16.5</v>
      </c>
      <c r="J487" s="111">
        <v>235341706</v>
      </c>
      <c r="K487" s="111">
        <f>IFERROR(Table16[[#This Row],[ROUTE COST]]/Table16[[#This Row],[E - DEMAND]],0)</f>
        <v>0</v>
      </c>
      <c r="L487" s="34"/>
      <c r="M487" s="34">
        <f>VLOOKUP(Table16[[#This Row],[ROUTE]],DEMAND!A:F,5,FALSE)</f>
        <v>3739</v>
      </c>
      <c r="N487" s="34">
        <f>VLOOKUP(Table16[[#This Row],[ROUTE]],DEMAND!A:F,6,FALSE)</f>
        <v>1099</v>
      </c>
      <c r="O487" s="34">
        <f>ROUNDDOWN(Table16[[#This Row],[R-DEMAND]]/1320,0)</f>
        <v>0</v>
      </c>
      <c r="P487" s="34">
        <f>Table16[[#This Row],[ADD ACC]]*Table16[[#This Row],[Duration]]</f>
        <v>0</v>
      </c>
    </row>
    <row r="488" spans="1:16" x14ac:dyDescent="0.25">
      <c r="A488" s="54" t="s">
        <v>12556</v>
      </c>
      <c r="B488" s="34" t="s">
        <v>5043</v>
      </c>
      <c r="C488" s="34" t="s">
        <v>2</v>
      </c>
      <c r="D488" s="34">
        <v>3</v>
      </c>
      <c r="E488" s="34" t="s">
        <v>14</v>
      </c>
      <c r="F488" s="34"/>
      <c r="G488" s="34" t="s">
        <v>12029</v>
      </c>
      <c r="H488" s="110">
        <v>4943</v>
      </c>
      <c r="I488" s="122">
        <v>13</v>
      </c>
      <c r="J488" s="111">
        <v>194676668</v>
      </c>
      <c r="K488" s="111">
        <f>IFERROR(Table16[[#This Row],[ROUTE COST]]/Table16[[#This Row],[E - DEMAND]],0)</f>
        <v>52445.223060344826</v>
      </c>
      <c r="L488" s="34">
        <v>3712</v>
      </c>
      <c r="M488" s="34">
        <f>VLOOKUP(Table16[[#This Row],[ROUTE]],DEMAND!A:F,5,FALSE)</f>
        <v>3715</v>
      </c>
      <c r="N488" s="34">
        <f>VLOOKUP(Table16[[#This Row],[ROUTE]],DEMAND!A:F,6,FALSE)</f>
        <v>1075</v>
      </c>
      <c r="O488" s="34">
        <f>ROUNDDOWN(Table16[[#This Row],[R-DEMAND]]/1320,0)</f>
        <v>0</v>
      </c>
      <c r="P488" s="34">
        <f>Table16[[#This Row],[ADD ACC]]*Table16[[#This Row],[Duration]]</f>
        <v>0</v>
      </c>
    </row>
    <row r="489" spans="1:16" x14ac:dyDescent="0.25">
      <c r="A489" s="54" t="s">
        <v>12632</v>
      </c>
      <c r="B489" s="34" t="s">
        <v>435</v>
      </c>
      <c r="C489" s="34" t="s">
        <v>2</v>
      </c>
      <c r="D489" s="34">
        <v>4</v>
      </c>
      <c r="E489" s="34" t="s">
        <v>1847</v>
      </c>
      <c r="F489" s="34"/>
      <c r="G489" s="34" t="s">
        <v>11109</v>
      </c>
      <c r="H489" s="110">
        <v>6576</v>
      </c>
      <c r="I489" s="122">
        <v>16.75</v>
      </c>
      <c r="J489" s="111">
        <v>226220500</v>
      </c>
      <c r="K489" s="111">
        <f>IFERROR(Table16[[#This Row],[ROUTE COST]]/Table16[[#This Row],[E - DEMAND]],0)</f>
        <v>0</v>
      </c>
      <c r="L489" s="34"/>
      <c r="M489" s="34">
        <f>VLOOKUP(Table16[[#This Row],[ROUTE]],DEMAND!A:F,5,FALSE)</f>
        <v>3714</v>
      </c>
      <c r="N489" s="34">
        <f>VLOOKUP(Table16[[#This Row],[ROUTE]],DEMAND!A:F,6,FALSE)</f>
        <v>1074</v>
      </c>
      <c r="O489" s="34">
        <f>ROUNDDOWN(Table16[[#This Row],[R-DEMAND]]/1320,0)</f>
        <v>0</v>
      </c>
      <c r="P489" s="34">
        <f>Table16[[#This Row],[ADD ACC]]*Table16[[#This Row],[Duration]]</f>
        <v>0</v>
      </c>
    </row>
    <row r="490" spans="1:16" x14ac:dyDescent="0.25">
      <c r="A490" s="54" t="s">
        <v>12447</v>
      </c>
      <c r="B490" s="34" t="s">
        <v>87</v>
      </c>
      <c r="C490" s="34" t="s">
        <v>2</v>
      </c>
      <c r="D490" s="34">
        <v>3</v>
      </c>
      <c r="E490" s="34" t="s">
        <v>1858</v>
      </c>
      <c r="F490" s="34"/>
      <c r="G490" s="34" t="s">
        <v>11689</v>
      </c>
      <c r="H490" s="110">
        <v>12255</v>
      </c>
      <c r="I490" s="122">
        <v>29.25</v>
      </c>
      <c r="J490" s="111">
        <v>270517179</v>
      </c>
      <c r="K490" s="111">
        <f>IFERROR(Table16[[#This Row],[ROUTE COST]]/Table16[[#This Row],[E - DEMAND]],0)</f>
        <v>77092.385009974358</v>
      </c>
      <c r="L490" s="34">
        <v>3509</v>
      </c>
      <c r="M490" s="34">
        <f>VLOOKUP(Table16[[#This Row],[ROUTE]],DEMAND!A:F,5,FALSE)</f>
        <v>3709</v>
      </c>
      <c r="N490" s="34">
        <f>VLOOKUP(Table16[[#This Row],[ROUTE]],DEMAND!A:F,6,FALSE)</f>
        <v>-251</v>
      </c>
      <c r="O490" s="34">
        <f>ROUNDDOWN(Table16[[#This Row],[R-DEMAND]]/1320,0)</f>
        <v>0</v>
      </c>
      <c r="P490" s="34">
        <f>Table16[[#This Row],[ADD ACC]]*Table16[[#This Row],[Duration]]</f>
        <v>0</v>
      </c>
    </row>
    <row r="491" spans="1:16" x14ac:dyDescent="0.25">
      <c r="A491" s="54" t="s">
        <v>12525</v>
      </c>
      <c r="B491" s="34" t="s">
        <v>364</v>
      </c>
      <c r="C491" s="34" t="s">
        <v>2</v>
      </c>
      <c r="D491" s="34">
        <v>3</v>
      </c>
      <c r="E491" s="34" t="s">
        <v>730</v>
      </c>
      <c r="F491" s="34"/>
      <c r="G491" s="34" t="s">
        <v>11933</v>
      </c>
      <c r="H491" s="110">
        <v>7606</v>
      </c>
      <c r="I491" s="122">
        <v>19</v>
      </c>
      <c r="J491" s="111">
        <v>232152468</v>
      </c>
      <c r="K491" s="111">
        <f>IFERROR(Table16[[#This Row],[ROUTE COST]]/Table16[[#This Row],[E - DEMAND]],0)</f>
        <v>0</v>
      </c>
      <c r="L491" s="34"/>
      <c r="M491" s="34">
        <f>VLOOKUP(Table16[[#This Row],[ROUTE]],DEMAND!A:F,5,FALSE)</f>
        <v>3707</v>
      </c>
      <c r="N491" s="34">
        <f>VLOOKUP(Table16[[#This Row],[ROUTE]],DEMAND!A:F,6,FALSE)</f>
        <v>1067</v>
      </c>
      <c r="O491" s="34">
        <f>ROUNDDOWN(Table16[[#This Row],[R-DEMAND]]/1320,0)</f>
        <v>0</v>
      </c>
      <c r="P491" s="34">
        <f>Table16[[#This Row],[ADD ACC]]*Table16[[#This Row],[Duration]]</f>
        <v>0</v>
      </c>
    </row>
    <row r="492" spans="1:16" x14ac:dyDescent="0.25">
      <c r="A492" s="54" t="s">
        <v>12497</v>
      </c>
      <c r="B492" s="34" t="s">
        <v>4930</v>
      </c>
      <c r="C492" s="34" t="s">
        <v>2</v>
      </c>
      <c r="D492" s="34">
        <v>3</v>
      </c>
      <c r="E492" s="34" t="s">
        <v>520</v>
      </c>
      <c r="F492" s="34"/>
      <c r="G492" s="34" t="s">
        <v>11818</v>
      </c>
      <c r="H492" s="110">
        <v>10139</v>
      </c>
      <c r="I492" s="122">
        <v>24.5</v>
      </c>
      <c r="J492" s="111">
        <v>244670802</v>
      </c>
      <c r="K492" s="111">
        <f>IFERROR(Table16[[#This Row],[ROUTE COST]]/Table16[[#This Row],[E - DEMAND]],0)</f>
        <v>68689.163952835486</v>
      </c>
      <c r="L492" s="34">
        <v>3562</v>
      </c>
      <c r="M492" s="34">
        <f>VLOOKUP(Table16[[#This Row],[ROUTE]],DEMAND!A:F,5,FALSE)</f>
        <v>3706</v>
      </c>
      <c r="N492" s="34">
        <f>VLOOKUP(Table16[[#This Row],[ROUTE]],DEMAND!A:F,6,FALSE)</f>
        <v>1066</v>
      </c>
      <c r="O492" s="34">
        <f>ROUNDDOWN(Table16[[#This Row],[R-DEMAND]]/1320,0)</f>
        <v>0</v>
      </c>
      <c r="P492" s="34">
        <f>Table16[[#This Row],[ADD ACC]]*Table16[[#This Row],[Duration]]</f>
        <v>0</v>
      </c>
    </row>
    <row r="493" spans="1:16" x14ac:dyDescent="0.25">
      <c r="A493" s="54" t="s">
        <v>12257</v>
      </c>
      <c r="B493" s="34" t="s">
        <v>3381</v>
      </c>
      <c r="C493" s="34" t="s">
        <v>2</v>
      </c>
      <c r="D493" s="34">
        <v>2</v>
      </c>
      <c r="E493" s="34" t="s">
        <v>971</v>
      </c>
      <c r="F493" s="34"/>
      <c r="G493" s="34" t="s">
        <v>11770</v>
      </c>
      <c r="H493" s="110">
        <v>10969</v>
      </c>
      <c r="I493" s="122">
        <v>26.5</v>
      </c>
      <c r="J493" s="111">
        <v>238435976</v>
      </c>
      <c r="K493" s="111">
        <f>IFERROR(Table16[[#This Row],[ROUTE COST]]/Table16[[#This Row],[E - DEMAND]],0)</f>
        <v>64424.743582815456</v>
      </c>
      <c r="L493" s="34">
        <v>3701</v>
      </c>
      <c r="M493" s="34">
        <f>VLOOKUP(Table16[[#This Row],[ROUTE]],DEMAND!A:F,5,FALSE)</f>
        <v>3702</v>
      </c>
      <c r="N493" s="34">
        <f>VLOOKUP(Table16[[#This Row],[ROUTE]],DEMAND!A:F,6,FALSE)</f>
        <v>1062</v>
      </c>
      <c r="O493" s="34">
        <f>ROUNDDOWN(Table16[[#This Row],[R-DEMAND]]/1320,0)</f>
        <v>0</v>
      </c>
      <c r="P493" s="34">
        <f>Table16[[#This Row],[ADD ACC]]*Table16[[#This Row],[Duration]]</f>
        <v>0</v>
      </c>
    </row>
    <row r="494" spans="1:16" x14ac:dyDescent="0.25">
      <c r="A494" s="54" t="s">
        <v>11266</v>
      </c>
      <c r="B494" s="34" t="s">
        <v>483</v>
      </c>
      <c r="C494" s="34" t="s">
        <v>2</v>
      </c>
      <c r="D494" s="34">
        <v>4</v>
      </c>
      <c r="E494" s="34" t="s">
        <v>514</v>
      </c>
      <c r="F494" s="34"/>
      <c r="G494" s="34" t="s">
        <v>11026</v>
      </c>
      <c r="H494" s="110">
        <v>13345</v>
      </c>
      <c r="I494" s="122">
        <v>31.75</v>
      </c>
      <c r="J494" s="111">
        <v>303604282</v>
      </c>
      <c r="K494" s="111">
        <f>IFERROR(Table16[[#This Row],[ROUTE COST]]/Table16[[#This Row],[E - DEMAND]],0)</f>
        <v>79394.425209205016</v>
      </c>
      <c r="L494" s="34">
        <v>3824</v>
      </c>
      <c r="M494" s="34">
        <f>VLOOKUP(Table16[[#This Row],[ROUTE]],DEMAND!A:F,5,FALSE)</f>
        <v>3699</v>
      </c>
      <c r="N494" s="34">
        <f>VLOOKUP(Table16[[#This Row],[ROUTE]],DEMAND!A:F,6,FALSE)</f>
        <v>1059</v>
      </c>
      <c r="O494" s="34">
        <f>ROUNDDOWN(Table16[[#This Row],[R-DEMAND]]/1320,0)</f>
        <v>0</v>
      </c>
      <c r="P494" s="34">
        <f>Table16[[#This Row],[ADD ACC]]*Table16[[#This Row],[Duration]]</f>
        <v>0</v>
      </c>
    </row>
    <row r="495" spans="1:16" x14ac:dyDescent="0.25">
      <c r="A495" s="54" t="s">
        <v>12342</v>
      </c>
      <c r="B495" s="34" t="s">
        <v>4223</v>
      </c>
      <c r="C495" s="34" t="s">
        <v>2</v>
      </c>
      <c r="D495" s="34">
        <v>2</v>
      </c>
      <c r="E495" s="34" t="s">
        <v>1578</v>
      </c>
      <c r="F495" s="34"/>
      <c r="G495" s="34" t="s">
        <v>11910</v>
      </c>
      <c r="H495" s="110">
        <v>8194</v>
      </c>
      <c r="I495" s="122">
        <v>20.25</v>
      </c>
      <c r="K495" s="111">
        <f>IFERROR(Table16[[#This Row],[ROUTE COST]]/Table16[[#This Row],[E - DEMAND]],0)</f>
        <v>0</v>
      </c>
      <c r="L495" s="34"/>
      <c r="M495" s="34">
        <f>VLOOKUP(Table16[[#This Row],[ROUTE]],DEMAND!A:F,5,FALSE)</f>
        <v>3694</v>
      </c>
      <c r="N495" s="34">
        <f>VLOOKUP(Table16[[#This Row],[ROUTE]],DEMAND!A:F,6,FALSE)</f>
        <v>1054</v>
      </c>
      <c r="O495" s="34">
        <f>ROUNDDOWN(Table16[[#This Row],[R-DEMAND]]/1320,0)</f>
        <v>0</v>
      </c>
      <c r="P495" s="34">
        <f>Table16[[#This Row],[ADD ACC]]*Table16[[#This Row],[Duration]]</f>
        <v>0</v>
      </c>
    </row>
    <row r="496" spans="1:16" x14ac:dyDescent="0.25">
      <c r="A496" s="54" t="s">
        <v>12554</v>
      </c>
      <c r="B496" s="34" t="s">
        <v>4750</v>
      </c>
      <c r="C496" s="34" t="s">
        <v>2</v>
      </c>
      <c r="D496" s="34">
        <v>3</v>
      </c>
      <c r="E496" s="34" t="s">
        <v>14</v>
      </c>
      <c r="F496" s="34"/>
      <c r="G496" s="34" t="s">
        <v>12026</v>
      </c>
      <c r="H496" s="110">
        <v>5008</v>
      </c>
      <c r="I496" s="122">
        <v>13.25</v>
      </c>
      <c r="J496" s="111">
        <v>190630101</v>
      </c>
      <c r="K496" s="111">
        <f>IFERROR(Table16[[#This Row],[ROUTE COST]]/Table16[[#This Row],[E - DEMAND]],0)</f>
        <v>53382.834220106415</v>
      </c>
      <c r="L496" s="34">
        <v>3571</v>
      </c>
      <c r="M496" s="34">
        <f>VLOOKUP(Table16[[#This Row],[ROUTE]],DEMAND!A:F,5,FALSE)</f>
        <v>3693</v>
      </c>
      <c r="N496" s="34">
        <f>VLOOKUP(Table16[[#This Row],[ROUTE]],DEMAND!A:F,6,FALSE)</f>
        <v>1053</v>
      </c>
      <c r="O496" s="34">
        <f>ROUNDDOWN(Table16[[#This Row],[R-DEMAND]]/1320,0)</f>
        <v>0</v>
      </c>
      <c r="P496" s="34">
        <f>Table16[[#This Row],[ADD ACC]]*Table16[[#This Row],[Duration]]</f>
        <v>0</v>
      </c>
    </row>
    <row r="497" spans="1:16" x14ac:dyDescent="0.25">
      <c r="A497" s="54" t="s">
        <v>12607</v>
      </c>
      <c r="B497" s="34" t="s">
        <v>5473</v>
      </c>
      <c r="C497" s="34" t="s">
        <v>2</v>
      </c>
      <c r="D497" s="34">
        <v>4</v>
      </c>
      <c r="E497" s="34" t="s">
        <v>308</v>
      </c>
      <c r="F497" s="34"/>
      <c r="G497" s="34" t="s">
        <v>11032</v>
      </c>
      <c r="H497" s="110">
        <v>10830</v>
      </c>
      <c r="I497" s="122">
        <v>26</v>
      </c>
      <c r="J497" s="111">
        <v>265822386</v>
      </c>
      <c r="K497" s="111">
        <f>IFERROR(Table16[[#This Row],[ROUTE COST]]/Table16[[#This Row],[E - DEMAND]],0)</f>
        <v>76561.747119815671</v>
      </c>
      <c r="L497" s="34">
        <v>3472</v>
      </c>
      <c r="M497" s="34">
        <f>VLOOKUP(Table16[[#This Row],[ROUTE]],DEMAND!A:F,5,FALSE)</f>
        <v>3682</v>
      </c>
      <c r="N497" s="34">
        <f>VLOOKUP(Table16[[#This Row],[ROUTE]],DEMAND!A:F,6,FALSE)</f>
        <v>1042</v>
      </c>
      <c r="O497" s="34">
        <f>ROUNDDOWN(Table16[[#This Row],[R-DEMAND]]/1320,0)</f>
        <v>0</v>
      </c>
      <c r="P497" s="34">
        <f>Table16[[#This Row],[ADD ACC]]*Table16[[#This Row],[Duration]]</f>
        <v>0</v>
      </c>
    </row>
    <row r="498" spans="1:16" x14ac:dyDescent="0.25">
      <c r="A498" s="54" t="s">
        <v>12520</v>
      </c>
      <c r="B498" s="34" t="s">
        <v>4779</v>
      </c>
      <c r="C498" s="34" t="s">
        <v>2</v>
      </c>
      <c r="D498" s="34">
        <v>3</v>
      </c>
      <c r="E498" s="34" t="s">
        <v>1270</v>
      </c>
      <c r="F498" s="34"/>
      <c r="G498" s="34" t="s">
        <v>11912</v>
      </c>
      <c r="H498" s="110">
        <v>8168</v>
      </c>
      <c r="I498" s="122">
        <v>20.25</v>
      </c>
      <c r="J498" s="111">
        <v>223167736</v>
      </c>
      <c r="K498" s="111">
        <f>IFERROR(Table16[[#This Row],[ROUTE COST]]/Table16[[#This Row],[E - DEMAND]],0)</f>
        <v>60692.884416644003</v>
      </c>
      <c r="L498" s="34">
        <v>3677</v>
      </c>
      <c r="M498" s="34">
        <f>VLOOKUP(Table16[[#This Row],[ROUTE]],DEMAND!A:F,5,FALSE)</f>
        <v>3680</v>
      </c>
      <c r="N498" s="34">
        <f>VLOOKUP(Table16[[#This Row],[ROUTE]],DEMAND!A:F,6,FALSE)</f>
        <v>1040</v>
      </c>
      <c r="O498" s="34">
        <f>ROUNDDOWN(Table16[[#This Row],[R-DEMAND]]/1320,0)</f>
        <v>0</v>
      </c>
      <c r="P498" s="34">
        <f>Table16[[#This Row],[ADD ACC]]*Table16[[#This Row],[Duration]]</f>
        <v>0</v>
      </c>
    </row>
    <row r="499" spans="1:16" x14ac:dyDescent="0.25">
      <c r="A499" s="54" t="s">
        <v>12600</v>
      </c>
      <c r="B499" s="34" t="s">
        <v>5587</v>
      </c>
      <c r="C499" s="34" t="s">
        <v>2</v>
      </c>
      <c r="D499" s="34">
        <v>4</v>
      </c>
      <c r="E499" s="34" t="s">
        <v>1427</v>
      </c>
      <c r="F499" s="34"/>
      <c r="G499" s="34" t="s">
        <v>11099</v>
      </c>
      <c r="H499" s="110">
        <v>11205</v>
      </c>
      <c r="I499" s="122">
        <v>27</v>
      </c>
      <c r="J499" s="111">
        <v>274667164</v>
      </c>
      <c r="K499" s="111">
        <f>IFERROR(Table16[[#This Row],[ROUTE COST]]/Table16[[#This Row],[E - DEMAND]],0)</f>
        <v>74820.801961318444</v>
      </c>
      <c r="L499" s="34">
        <v>3671</v>
      </c>
      <c r="M499" s="34">
        <f>VLOOKUP(Table16[[#This Row],[ROUTE]],DEMAND!A:F,5,FALSE)</f>
        <v>3672</v>
      </c>
      <c r="N499" s="34">
        <f>VLOOKUP(Table16[[#This Row],[ROUTE]],DEMAND!A:F,6,FALSE)</f>
        <v>1032</v>
      </c>
      <c r="O499" s="34">
        <f>ROUNDDOWN(Table16[[#This Row],[R-DEMAND]]/1320,0)</f>
        <v>0</v>
      </c>
      <c r="P499" s="34">
        <f>Table16[[#This Row],[ADD ACC]]*Table16[[#This Row],[Duration]]</f>
        <v>0</v>
      </c>
    </row>
    <row r="500" spans="1:16" x14ac:dyDescent="0.25">
      <c r="A500" s="54" t="s">
        <v>12602</v>
      </c>
      <c r="B500" s="34" t="s">
        <v>5585</v>
      </c>
      <c r="C500" s="34" t="s">
        <v>2</v>
      </c>
      <c r="D500" s="34">
        <v>4</v>
      </c>
      <c r="E500" s="34" t="s">
        <v>1427</v>
      </c>
      <c r="F500" s="34"/>
      <c r="G500" s="34" t="s">
        <v>11041</v>
      </c>
      <c r="H500" s="110">
        <v>11067</v>
      </c>
      <c r="I500" s="122">
        <v>26.75</v>
      </c>
      <c r="J500" s="111">
        <v>273044242</v>
      </c>
      <c r="K500" s="111">
        <f>IFERROR(Table16[[#This Row],[ROUTE COST]]/Table16[[#This Row],[E - DEMAND]],0)</f>
        <v>74419.253747615148</v>
      </c>
      <c r="L500" s="34">
        <v>3669</v>
      </c>
      <c r="M500" s="34">
        <f>VLOOKUP(Table16[[#This Row],[ROUTE]],DEMAND!A:F,5,FALSE)</f>
        <v>3671</v>
      </c>
      <c r="N500" s="34">
        <f>VLOOKUP(Table16[[#This Row],[ROUTE]],DEMAND!A:F,6,FALSE)</f>
        <v>1031</v>
      </c>
      <c r="O500" s="34">
        <f>ROUNDDOWN(Table16[[#This Row],[R-DEMAND]]/1320,0)</f>
        <v>0</v>
      </c>
      <c r="P500" s="34">
        <f>Table16[[#This Row],[ADD ACC]]*Table16[[#This Row],[Duration]]</f>
        <v>0</v>
      </c>
    </row>
    <row r="501" spans="1:16" x14ac:dyDescent="0.25">
      <c r="A501" s="54" t="s">
        <v>12249</v>
      </c>
      <c r="B501" s="34" t="s">
        <v>2579</v>
      </c>
      <c r="C501" s="34" t="s">
        <v>2</v>
      </c>
      <c r="D501" s="34">
        <v>2</v>
      </c>
      <c r="E501" s="34" t="s">
        <v>493</v>
      </c>
      <c r="F501" s="34"/>
      <c r="G501" s="34" t="s">
        <v>11749</v>
      </c>
      <c r="H501" s="110">
        <v>11176</v>
      </c>
      <c r="I501" s="122">
        <v>27</v>
      </c>
      <c r="J501" s="111">
        <v>237173576</v>
      </c>
      <c r="K501" s="111">
        <f>IFERROR(Table16[[#This Row],[ROUTE COST]]/Table16[[#This Row],[E - DEMAND]],0)</f>
        <v>64748.450996451</v>
      </c>
      <c r="L501" s="34">
        <v>3663</v>
      </c>
      <c r="M501" s="34">
        <f>VLOOKUP(Table16[[#This Row],[ROUTE]],DEMAND!A:F,5,FALSE)</f>
        <v>3666</v>
      </c>
      <c r="N501" s="34">
        <f>VLOOKUP(Table16[[#This Row],[ROUTE]],DEMAND!A:F,6,FALSE)</f>
        <v>1026</v>
      </c>
      <c r="O501" s="34">
        <f>ROUNDDOWN(Table16[[#This Row],[R-DEMAND]]/1320,0)</f>
        <v>0</v>
      </c>
      <c r="P501" s="34">
        <f>Table16[[#This Row],[ADD ACC]]*Table16[[#This Row],[Duration]]</f>
        <v>0</v>
      </c>
    </row>
    <row r="502" spans="1:16" x14ac:dyDescent="0.25">
      <c r="A502" s="54" t="s">
        <v>12534</v>
      </c>
      <c r="B502" s="34" t="s">
        <v>5430</v>
      </c>
      <c r="C502" s="34" t="s">
        <v>2</v>
      </c>
      <c r="D502" s="34">
        <v>3</v>
      </c>
      <c r="E502" s="34" t="s">
        <v>5428</v>
      </c>
      <c r="F502" s="34"/>
      <c r="G502" s="34" t="s">
        <v>11956</v>
      </c>
      <c r="H502" s="110">
        <v>7028</v>
      </c>
      <c r="I502" s="122">
        <v>17.75</v>
      </c>
      <c r="J502" s="111">
        <v>225963048</v>
      </c>
      <c r="K502" s="111">
        <f>IFERROR(Table16[[#This Row],[ROUTE COST]]/Table16[[#This Row],[E - DEMAND]],0)</f>
        <v>65840.048951048957</v>
      </c>
      <c r="L502" s="34">
        <v>3432</v>
      </c>
      <c r="M502" s="34">
        <f>VLOOKUP(Table16[[#This Row],[ROUTE]],DEMAND!A:F,5,FALSE)</f>
        <v>3664</v>
      </c>
      <c r="N502" s="34">
        <f>VLOOKUP(Table16[[#This Row],[ROUTE]],DEMAND!A:F,6,FALSE)</f>
        <v>1024</v>
      </c>
      <c r="O502" s="34">
        <f>ROUNDDOWN(Table16[[#This Row],[R-DEMAND]]/1320,0)</f>
        <v>0</v>
      </c>
      <c r="P502" s="34">
        <f>Table16[[#This Row],[ADD ACC]]*Table16[[#This Row],[Duration]]</f>
        <v>0</v>
      </c>
    </row>
    <row r="503" spans="1:16" x14ac:dyDescent="0.25">
      <c r="A503" s="54" t="s">
        <v>12515</v>
      </c>
      <c r="B503" s="34" t="s">
        <v>4828</v>
      </c>
      <c r="C503" s="34" t="s">
        <v>2</v>
      </c>
      <c r="D503" s="34">
        <v>3</v>
      </c>
      <c r="E503" s="34" t="s">
        <v>78</v>
      </c>
      <c r="F503" s="34"/>
      <c r="G503" s="34" t="s">
        <v>11879</v>
      </c>
      <c r="H503" s="110">
        <v>8648</v>
      </c>
      <c r="I503" s="122">
        <v>21.25</v>
      </c>
      <c r="J503" s="111">
        <v>228229229</v>
      </c>
      <c r="K503" s="111">
        <f>IFERROR(Table16[[#This Row],[ROUTE COST]]/Table16[[#This Row],[E - DEMAND]],0)</f>
        <v>62408.867651080123</v>
      </c>
      <c r="L503" s="34">
        <v>3657</v>
      </c>
      <c r="M503" s="34">
        <f>VLOOKUP(Table16[[#This Row],[ROUTE]],DEMAND!A:F,5,FALSE)</f>
        <v>3658</v>
      </c>
      <c r="N503" s="34">
        <f>VLOOKUP(Table16[[#This Row],[ROUTE]],DEMAND!A:F,6,FALSE)</f>
        <v>1018</v>
      </c>
      <c r="O503" s="34">
        <f>ROUNDDOWN(Table16[[#This Row],[R-DEMAND]]/1320,0)</f>
        <v>0</v>
      </c>
      <c r="P503" s="34">
        <f>Table16[[#This Row],[ADD ACC]]*Table16[[#This Row],[Duration]]</f>
        <v>0</v>
      </c>
    </row>
    <row r="504" spans="1:16" x14ac:dyDescent="0.25">
      <c r="A504" s="54" t="s">
        <v>12242</v>
      </c>
      <c r="B504" s="34" t="s">
        <v>2512</v>
      </c>
      <c r="C504" s="34" t="s">
        <v>2</v>
      </c>
      <c r="D504" s="34">
        <v>2</v>
      </c>
      <c r="E504" s="34" t="s">
        <v>493</v>
      </c>
      <c r="F504" s="34"/>
      <c r="G504" s="34" t="s">
        <v>11734</v>
      </c>
      <c r="H504" s="110">
        <v>11339</v>
      </c>
      <c r="I504" s="122">
        <v>27.25</v>
      </c>
      <c r="J504" s="111">
        <v>239679576</v>
      </c>
      <c r="K504" s="111">
        <f>IFERROR(Table16[[#This Row],[ROUTE COST]]/Table16[[#This Row],[E - DEMAND]],0)</f>
        <v>65539.944216570962</v>
      </c>
      <c r="L504" s="34">
        <v>3657</v>
      </c>
      <c r="M504" s="34">
        <f>VLOOKUP(Table16[[#This Row],[ROUTE]],DEMAND!A:F,5,FALSE)</f>
        <v>3657</v>
      </c>
      <c r="N504" s="34">
        <f>VLOOKUP(Table16[[#This Row],[ROUTE]],DEMAND!A:F,6,FALSE)</f>
        <v>1017</v>
      </c>
      <c r="O504" s="34">
        <f>ROUNDDOWN(Table16[[#This Row],[R-DEMAND]]/1320,0)</f>
        <v>0</v>
      </c>
      <c r="P504" s="34">
        <f>Table16[[#This Row],[ADD ACC]]*Table16[[#This Row],[Duration]]</f>
        <v>0</v>
      </c>
    </row>
    <row r="505" spans="1:16" x14ac:dyDescent="0.25">
      <c r="A505" s="54" t="s">
        <v>11278</v>
      </c>
      <c r="B505" s="34" t="s">
        <v>410</v>
      </c>
      <c r="C505" s="34" t="s">
        <v>2</v>
      </c>
      <c r="D505" s="34">
        <v>5</v>
      </c>
      <c r="E505" s="34" t="s">
        <v>774</v>
      </c>
      <c r="F505" s="34"/>
      <c r="G505" s="34" t="s">
        <v>11104</v>
      </c>
      <c r="H505" s="110">
        <v>5440</v>
      </c>
      <c r="I505" s="122">
        <v>14.25</v>
      </c>
      <c r="J505" s="111">
        <v>226324102</v>
      </c>
      <c r="K505" s="111">
        <f>IFERROR(Table16[[#This Row],[ROUTE COST]]/Table16[[#This Row],[E - DEMAND]],0)</f>
        <v>62832.898945030538</v>
      </c>
      <c r="L505" s="34">
        <v>3602</v>
      </c>
      <c r="M505" s="34">
        <f>VLOOKUP(Table16[[#This Row],[ROUTE]],DEMAND!A:F,5,FALSE)</f>
        <v>3654</v>
      </c>
      <c r="N505" s="34">
        <f>VLOOKUP(Table16[[#This Row],[ROUTE]],DEMAND!A:F,6,FALSE)</f>
        <v>1014</v>
      </c>
      <c r="O505" s="34">
        <f>ROUNDDOWN(Table16[[#This Row],[R-DEMAND]]/1320,0)</f>
        <v>0</v>
      </c>
      <c r="P505" s="34">
        <f>Table16[[#This Row],[ADD ACC]]*Table16[[#This Row],[Duration]]</f>
        <v>0</v>
      </c>
    </row>
    <row r="506" spans="1:16" x14ac:dyDescent="0.25">
      <c r="A506" s="54" t="s">
        <v>12621</v>
      </c>
      <c r="B506" s="34" t="s">
        <v>55</v>
      </c>
      <c r="C506" s="34" t="s">
        <v>2</v>
      </c>
      <c r="D506" s="34">
        <v>4</v>
      </c>
      <c r="E506" s="34" t="s">
        <v>1216</v>
      </c>
      <c r="F506" s="34"/>
      <c r="G506" s="34" t="s">
        <v>11036</v>
      </c>
      <c r="H506" s="110">
        <v>8680</v>
      </c>
      <c r="I506" s="122">
        <v>21.25</v>
      </c>
      <c r="J506" s="141">
        <v>216000000</v>
      </c>
      <c r="K506" s="111">
        <f>IFERROR(Table16[[#This Row],[ROUTE COST]]/Table16[[#This Row],[E - DEMAND]],0)</f>
        <v>0</v>
      </c>
      <c r="L506" s="34"/>
      <c r="M506" s="34">
        <f>VLOOKUP(Table16[[#This Row],[ROUTE]],DEMAND!A:F,5,FALSE)</f>
        <v>3654</v>
      </c>
      <c r="N506" s="34">
        <f>VLOOKUP(Table16[[#This Row],[ROUTE]],DEMAND!A:F,6,FALSE)</f>
        <v>1014</v>
      </c>
      <c r="O506" s="34">
        <f>ROUNDDOWN(Table16[[#This Row],[R-DEMAND]]/1320,0)</f>
        <v>0</v>
      </c>
      <c r="P506" s="34">
        <f>Table16[[#This Row],[ADD ACC]]*Table16[[#This Row],[Duration]]</f>
        <v>0</v>
      </c>
    </row>
    <row r="507" spans="1:16" x14ac:dyDescent="0.25">
      <c r="A507" s="54" t="s">
        <v>12603</v>
      </c>
      <c r="B507" s="34" t="s">
        <v>5507</v>
      </c>
      <c r="C507" s="34" t="s">
        <v>2</v>
      </c>
      <c r="D507" s="34">
        <v>4</v>
      </c>
      <c r="E507" s="34" t="s">
        <v>308</v>
      </c>
      <c r="F507" s="34"/>
      <c r="G507" s="34" t="s">
        <v>11106</v>
      </c>
      <c r="H507" s="110">
        <v>11037</v>
      </c>
      <c r="I507" s="122">
        <v>26.5</v>
      </c>
      <c r="J507" s="111">
        <v>269117875</v>
      </c>
      <c r="K507" s="111">
        <f>IFERROR(Table16[[#This Row],[ROUTE COST]]/Table16[[#This Row],[E - DEMAND]],0)</f>
        <v>76693.609290396125</v>
      </c>
      <c r="L507" s="34">
        <v>3509</v>
      </c>
      <c r="M507" s="34">
        <f>VLOOKUP(Table16[[#This Row],[ROUTE]],DEMAND!A:F,5,FALSE)</f>
        <v>3651</v>
      </c>
      <c r="N507" s="34">
        <f>VLOOKUP(Table16[[#This Row],[ROUTE]],DEMAND!A:F,6,FALSE)</f>
        <v>1011</v>
      </c>
      <c r="O507" s="34">
        <f>ROUNDDOWN(Table16[[#This Row],[R-DEMAND]]/1320,0)</f>
        <v>0</v>
      </c>
      <c r="P507" s="34">
        <f>Table16[[#This Row],[ADD ACC]]*Table16[[#This Row],[Duration]]</f>
        <v>0</v>
      </c>
    </row>
    <row r="508" spans="1:16" x14ac:dyDescent="0.25">
      <c r="A508" s="54" t="s">
        <v>12649</v>
      </c>
      <c r="B508" s="34" t="s">
        <v>5706</v>
      </c>
      <c r="C508" s="34" t="s">
        <v>2</v>
      </c>
      <c r="D508" s="34">
        <v>5</v>
      </c>
      <c r="E508" s="34" t="s">
        <v>560</v>
      </c>
      <c r="F508" s="34"/>
      <c r="G508" s="34" t="s">
        <v>11052</v>
      </c>
      <c r="H508" s="110">
        <v>11568</v>
      </c>
      <c r="I508" s="122">
        <v>27.75</v>
      </c>
      <c r="J508" s="111">
        <v>293605141</v>
      </c>
      <c r="K508" s="111">
        <f>IFERROR(Table16[[#This Row],[ROUTE COST]]/Table16[[#This Row],[E - DEMAND]],0)</f>
        <v>120725.79810855263</v>
      </c>
      <c r="L508" s="34">
        <v>2432</v>
      </c>
      <c r="M508" s="34">
        <f>VLOOKUP(Table16[[#This Row],[ROUTE]],DEMAND!A:F,5,FALSE)</f>
        <v>3642</v>
      </c>
      <c r="N508" s="34">
        <f>VLOOKUP(Table16[[#This Row],[ROUTE]],DEMAND!A:F,6,FALSE)</f>
        <v>1002</v>
      </c>
      <c r="O508" s="34">
        <f>ROUNDDOWN(Table16[[#This Row],[R-DEMAND]]/1320,0)</f>
        <v>0</v>
      </c>
      <c r="P508" s="34">
        <f>Table16[[#This Row],[ADD ACC]]*Table16[[#This Row],[Duration]]</f>
        <v>0</v>
      </c>
    </row>
    <row r="509" spans="1:16" x14ac:dyDescent="0.25">
      <c r="A509" s="54" t="s">
        <v>12521</v>
      </c>
      <c r="B509" s="34" t="s">
        <v>5047</v>
      </c>
      <c r="C509" s="34" t="s">
        <v>2</v>
      </c>
      <c r="D509" s="34">
        <v>3</v>
      </c>
      <c r="E509" s="34" t="s">
        <v>78</v>
      </c>
      <c r="F509" s="34"/>
      <c r="G509" s="34" t="s">
        <v>11914</v>
      </c>
      <c r="H509" s="110">
        <v>8131</v>
      </c>
      <c r="I509" s="122">
        <v>20.25</v>
      </c>
      <c r="J509" s="111">
        <v>226711891</v>
      </c>
      <c r="K509" s="111">
        <f>IFERROR(Table16[[#This Row],[ROUTE COST]]/Table16[[#This Row],[E - DEMAND]],0)</f>
        <v>62300.602088485844</v>
      </c>
      <c r="L509" s="34">
        <v>3639</v>
      </c>
      <c r="M509" s="34">
        <f>VLOOKUP(Table16[[#This Row],[ROUTE]],DEMAND!A:F,5,FALSE)</f>
        <v>3641</v>
      </c>
      <c r="N509" s="34">
        <f>VLOOKUP(Table16[[#This Row],[ROUTE]],DEMAND!A:F,6,FALSE)</f>
        <v>1001</v>
      </c>
      <c r="O509" s="34">
        <f>ROUNDDOWN(Table16[[#This Row],[R-DEMAND]]/1320,0)</f>
        <v>0</v>
      </c>
      <c r="P509" s="34">
        <f>Table16[[#This Row],[ADD ACC]]*Table16[[#This Row],[Duration]]</f>
        <v>0</v>
      </c>
    </row>
    <row r="510" spans="1:16" x14ac:dyDescent="0.25">
      <c r="A510" s="54" t="s">
        <v>12653</v>
      </c>
      <c r="B510" s="34" t="s">
        <v>4651</v>
      </c>
      <c r="C510" s="34" t="s">
        <v>2</v>
      </c>
      <c r="D510" s="34"/>
      <c r="E510" s="34" t="s">
        <v>1117</v>
      </c>
      <c r="F510" s="34"/>
      <c r="G510" s="34" t="s">
        <v>10122</v>
      </c>
      <c r="H510" s="110">
        <v>10339</v>
      </c>
      <c r="I510" s="122">
        <v>25</v>
      </c>
      <c r="J510" s="111">
        <v>242807479</v>
      </c>
      <c r="K510" s="111">
        <f>IFERROR(Table16[[#This Row],[ROUTE COST]]/Table16[[#This Row],[E - DEMAND]],0)</f>
        <v>66925.986493936056</v>
      </c>
      <c r="L510" s="34">
        <v>3628</v>
      </c>
      <c r="M510" s="34">
        <f>VLOOKUP(Table16[[#This Row],[ROUTE]],DEMAND!A:F,5,FALSE)</f>
        <v>3631</v>
      </c>
      <c r="N510" s="34">
        <f>VLOOKUP(Table16[[#This Row],[ROUTE]],DEMAND!A:F,6,FALSE)</f>
        <v>991</v>
      </c>
      <c r="O510" s="34">
        <f>ROUNDDOWN(Table16[[#This Row],[R-DEMAND]]/1320,0)</f>
        <v>0</v>
      </c>
      <c r="P510" s="34">
        <f>Table16[[#This Row],[ADD ACC]]*Table16[[#This Row],[Duration]]</f>
        <v>0</v>
      </c>
    </row>
    <row r="511" spans="1:16" x14ac:dyDescent="0.25">
      <c r="A511" s="54" t="s">
        <v>12485</v>
      </c>
      <c r="B511" s="34" t="s">
        <v>4865</v>
      </c>
      <c r="C511" s="34" t="s">
        <v>2</v>
      </c>
      <c r="D511" s="34">
        <v>3</v>
      </c>
      <c r="E511" s="34" t="s">
        <v>605</v>
      </c>
      <c r="F511" s="34"/>
      <c r="G511" s="34" t="s">
        <v>10545</v>
      </c>
      <c r="H511" s="110">
        <v>10737</v>
      </c>
      <c r="I511" s="122">
        <v>26</v>
      </c>
      <c r="J511" s="111">
        <v>250888157</v>
      </c>
      <c r="K511" s="111">
        <f>IFERROR(Table16[[#This Row],[ROUTE COST]]/Table16[[#This Row],[E - DEMAND]],0)</f>
        <v>73747.253674309235</v>
      </c>
      <c r="L511" s="34">
        <v>3402</v>
      </c>
      <c r="M511" s="34">
        <f>VLOOKUP(Table16[[#This Row],[ROUTE]],DEMAND!A:F,5,FALSE)</f>
        <v>3630</v>
      </c>
      <c r="N511" s="34">
        <f>VLOOKUP(Table16[[#This Row],[ROUTE]],DEMAND!A:F,6,FALSE)</f>
        <v>990</v>
      </c>
      <c r="O511" s="34">
        <f>ROUNDDOWN(Table16[[#This Row],[R-DEMAND]]/1320,0)</f>
        <v>0</v>
      </c>
      <c r="P511" s="34">
        <f>Table16[[#This Row],[ADD ACC]]*Table16[[#This Row],[Duration]]</f>
        <v>0</v>
      </c>
    </row>
    <row r="512" spans="1:16" x14ac:dyDescent="0.25">
      <c r="A512" s="54" t="s">
        <v>12481</v>
      </c>
      <c r="B512" s="34" t="s">
        <v>5285</v>
      </c>
      <c r="C512" s="34" t="s">
        <v>2</v>
      </c>
      <c r="D512" s="34">
        <v>3</v>
      </c>
      <c r="E512" s="34" t="s">
        <v>585</v>
      </c>
      <c r="F512" s="34"/>
      <c r="G512" s="34" t="s">
        <v>11781</v>
      </c>
      <c r="H512" s="110">
        <v>10845</v>
      </c>
      <c r="I512" s="122">
        <v>26.25</v>
      </c>
      <c r="J512" s="111">
        <v>260382939</v>
      </c>
      <c r="K512" s="111">
        <f>IFERROR(Table16[[#This Row],[ROUTE COST]]/Table16[[#This Row],[E - DEMAND]],0)</f>
        <v>75038.310951008651</v>
      </c>
      <c r="L512" s="34">
        <v>3470</v>
      </c>
      <c r="M512" s="34">
        <f>VLOOKUP(Table16[[#This Row],[ROUTE]],DEMAND!A:F,5,FALSE)</f>
        <v>3611</v>
      </c>
      <c r="N512" s="34">
        <f>VLOOKUP(Table16[[#This Row],[ROUTE]],DEMAND!A:F,6,FALSE)</f>
        <v>971</v>
      </c>
      <c r="O512" s="34">
        <f>ROUNDDOWN(Table16[[#This Row],[R-DEMAND]]/1320,0)</f>
        <v>0</v>
      </c>
      <c r="P512" s="34">
        <f>Table16[[#This Row],[ADD ACC]]*Table16[[#This Row],[Duration]]</f>
        <v>0</v>
      </c>
    </row>
    <row r="513" spans="1:16" x14ac:dyDescent="0.25">
      <c r="A513" s="54" t="s">
        <v>12591</v>
      </c>
      <c r="B513" s="34" t="s">
        <v>5619</v>
      </c>
      <c r="C513" s="34" t="s">
        <v>2</v>
      </c>
      <c r="D513" s="34">
        <v>4</v>
      </c>
      <c r="E513" s="34" t="s">
        <v>119</v>
      </c>
      <c r="F513" s="34"/>
      <c r="G513" s="34" t="s">
        <v>11117</v>
      </c>
      <c r="H513" s="110">
        <v>12299</v>
      </c>
      <c r="I513" s="122">
        <v>29.25</v>
      </c>
      <c r="J513" s="111">
        <v>288311608</v>
      </c>
      <c r="K513" s="111">
        <f>IFERROR(Table16[[#This Row],[ROUTE COST]]/Table16[[#This Row],[E - DEMAND]],0)</f>
        <v>79975.480721220534</v>
      </c>
      <c r="L513" s="34">
        <v>3605</v>
      </c>
      <c r="M513" s="34">
        <f>VLOOKUP(Table16[[#This Row],[ROUTE]],DEMAND!A:F,5,FALSE)</f>
        <v>3607</v>
      </c>
      <c r="N513" s="34">
        <f>VLOOKUP(Table16[[#This Row],[ROUTE]],DEMAND!A:F,6,FALSE)</f>
        <v>-353</v>
      </c>
      <c r="O513" s="34">
        <f>ROUNDDOWN(Table16[[#This Row],[R-DEMAND]]/1320,0)</f>
        <v>0</v>
      </c>
      <c r="P513" s="34">
        <f>Table16[[#This Row],[ADD ACC]]*Table16[[#This Row],[Duration]]</f>
        <v>0</v>
      </c>
    </row>
    <row r="514" spans="1:16" x14ac:dyDescent="0.25">
      <c r="A514" s="54" t="s">
        <v>12118</v>
      </c>
      <c r="B514" s="34" t="s">
        <v>2103</v>
      </c>
      <c r="C514" s="34" t="s">
        <v>2</v>
      </c>
      <c r="D514" s="34">
        <v>1</v>
      </c>
      <c r="E514" s="34" t="s">
        <v>493</v>
      </c>
      <c r="F514" s="34"/>
      <c r="G514" s="34" t="s">
        <v>7142</v>
      </c>
      <c r="H514" s="110">
        <v>12766</v>
      </c>
      <c r="I514" s="122">
        <v>30.5</v>
      </c>
      <c r="K514" s="111">
        <f>IFERROR(Table16[[#This Row],[ROUTE COST]]/Table16[[#This Row],[E - DEMAND]],0)</f>
        <v>0</v>
      </c>
      <c r="L514" s="34"/>
      <c r="M514" s="34">
        <f>VLOOKUP(Table16[[#This Row],[ROUTE]],DEMAND!A:F,5,FALSE)</f>
        <v>3589</v>
      </c>
      <c r="N514" s="34">
        <f>VLOOKUP(Table16[[#This Row],[ROUTE]],DEMAND!A:F,6,FALSE)</f>
        <v>949</v>
      </c>
      <c r="O514" s="34">
        <f>ROUNDDOWN(Table16[[#This Row],[R-DEMAND]]/1320,0)</f>
        <v>0</v>
      </c>
      <c r="P514" s="34">
        <f>Table16[[#This Row],[ADD ACC]]*Table16[[#This Row],[Duration]]</f>
        <v>0</v>
      </c>
    </row>
    <row r="515" spans="1:16" x14ac:dyDescent="0.25">
      <c r="A515" s="54" t="s">
        <v>12135</v>
      </c>
      <c r="B515" s="34" t="s">
        <v>2079</v>
      </c>
      <c r="C515" s="34" t="s">
        <v>2</v>
      </c>
      <c r="D515" s="34">
        <v>1</v>
      </c>
      <c r="E515" s="34" t="s">
        <v>493</v>
      </c>
      <c r="F515" s="34"/>
      <c r="G515" s="34" t="s">
        <v>11721</v>
      </c>
      <c r="H515" s="110">
        <v>11581</v>
      </c>
      <c r="I515" s="122">
        <v>27.75</v>
      </c>
      <c r="J515" s="111">
        <v>240411576</v>
      </c>
      <c r="K515" s="111">
        <f>IFERROR(Table16[[#This Row],[ROUTE COST]]/Table16[[#This Row],[E - DEMAND]],0)</f>
        <v>67097.844264582745</v>
      </c>
      <c r="L515" s="34">
        <v>3583</v>
      </c>
      <c r="M515" s="34">
        <f>VLOOKUP(Table16[[#This Row],[ROUTE]],DEMAND!A:F,5,FALSE)</f>
        <v>3585</v>
      </c>
      <c r="N515" s="34">
        <f>VLOOKUP(Table16[[#This Row],[ROUTE]],DEMAND!A:F,6,FALSE)</f>
        <v>945</v>
      </c>
      <c r="O515" s="34">
        <f>ROUNDDOWN(Table16[[#This Row],[R-DEMAND]]/1320,0)</f>
        <v>0</v>
      </c>
      <c r="P515" s="34">
        <f>Table16[[#This Row],[ADD ACC]]*Table16[[#This Row],[Duration]]</f>
        <v>0</v>
      </c>
    </row>
    <row r="516" spans="1:16" x14ac:dyDescent="0.25">
      <c r="A516" s="54" t="s">
        <v>12474</v>
      </c>
      <c r="B516" s="34" t="s">
        <v>4847</v>
      </c>
      <c r="C516" s="34" t="s">
        <v>2</v>
      </c>
      <c r="D516" s="34">
        <v>3</v>
      </c>
      <c r="E516" s="34" t="s">
        <v>605</v>
      </c>
      <c r="F516" s="34"/>
      <c r="G516" s="34" t="s">
        <v>11771</v>
      </c>
      <c r="H516" s="110">
        <v>10959</v>
      </c>
      <c r="I516" s="122">
        <v>26.5</v>
      </c>
      <c r="J516" s="111">
        <v>252988435</v>
      </c>
      <c r="K516" s="111">
        <f>IFERROR(Table16[[#This Row],[ROUTE COST]]/Table16[[#This Row],[E - DEMAND]],0)</f>
        <v>74452.158622719246</v>
      </c>
      <c r="L516" s="34">
        <v>3398</v>
      </c>
      <c r="M516" s="34">
        <f>VLOOKUP(Table16[[#This Row],[ROUTE]],DEMAND!A:F,5,FALSE)</f>
        <v>3580</v>
      </c>
      <c r="N516" s="34">
        <f>VLOOKUP(Table16[[#This Row],[ROUTE]],DEMAND!A:F,6,FALSE)</f>
        <v>940</v>
      </c>
      <c r="O516" s="34">
        <f>ROUNDDOWN(Table16[[#This Row],[R-DEMAND]]/1320,0)</f>
        <v>0</v>
      </c>
      <c r="P516" s="34">
        <f>Table16[[#This Row],[ADD ACC]]*Table16[[#This Row],[Duration]]</f>
        <v>0</v>
      </c>
    </row>
    <row r="517" spans="1:16" x14ac:dyDescent="0.25">
      <c r="A517" s="54" t="s">
        <v>12559</v>
      </c>
      <c r="B517" s="34" t="s">
        <v>4760</v>
      </c>
      <c r="C517" s="34" t="s">
        <v>2</v>
      </c>
      <c r="D517" s="34">
        <v>3</v>
      </c>
      <c r="E517" s="34" t="s">
        <v>14</v>
      </c>
      <c r="F517" s="34"/>
      <c r="G517" s="34" t="s">
        <v>12035</v>
      </c>
      <c r="H517" s="110">
        <v>4768</v>
      </c>
      <c r="I517" s="122">
        <v>12.75</v>
      </c>
      <c r="J517" s="111">
        <v>188418429</v>
      </c>
      <c r="K517" s="111">
        <f>IFERROR(Table16[[#This Row],[ROUTE COST]]/Table16[[#This Row],[E - DEMAND]],0)</f>
        <v>52689.717281879195</v>
      </c>
      <c r="L517" s="34">
        <v>3576</v>
      </c>
      <c r="M517" s="34">
        <f>VLOOKUP(Table16[[#This Row],[ROUTE]],DEMAND!A:F,5,FALSE)</f>
        <v>3579</v>
      </c>
      <c r="N517" s="34">
        <f>VLOOKUP(Table16[[#This Row],[ROUTE]],DEMAND!A:F,6,FALSE)</f>
        <v>939</v>
      </c>
      <c r="O517" s="34">
        <f>ROUNDDOWN(Table16[[#This Row],[R-DEMAND]]/1320,0)</f>
        <v>0</v>
      </c>
      <c r="P517" s="34">
        <f>Table16[[#This Row],[ADD ACC]]*Table16[[#This Row],[Duration]]</f>
        <v>0</v>
      </c>
    </row>
    <row r="518" spans="1:16" x14ac:dyDescent="0.25">
      <c r="A518" s="54" t="s">
        <v>12478</v>
      </c>
      <c r="B518" s="34" t="s">
        <v>5392</v>
      </c>
      <c r="C518" s="34" t="s">
        <v>2</v>
      </c>
      <c r="D518" s="34">
        <v>3</v>
      </c>
      <c r="E518" s="34" t="s">
        <v>308</v>
      </c>
      <c r="F518" s="34"/>
      <c r="G518" s="34" t="s">
        <v>11778</v>
      </c>
      <c r="H518" s="110">
        <v>10911</v>
      </c>
      <c r="I518" s="122">
        <v>26.25</v>
      </c>
      <c r="J518" s="111">
        <v>264087506</v>
      </c>
      <c r="K518" s="111">
        <f>IFERROR(Table16[[#This Row],[ROUTE COST]]/Table16[[#This Row],[E - DEMAND]],0)</f>
        <v>77627.132863021747</v>
      </c>
      <c r="L518" s="34">
        <v>3402</v>
      </c>
      <c r="M518" s="34">
        <f>VLOOKUP(Table16[[#This Row],[ROUTE]],DEMAND!A:F,5,FALSE)</f>
        <v>3573</v>
      </c>
      <c r="N518" s="34">
        <f>VLOOKUP(Table16[[#This Row],[ROUTE]],DEMAND!A:F,6,FALSE)</f>
        <v>933</v>
      </c>
      <c r="O518" s="34">
        <f>ROUNDDOWN(Table16[[#This Row],[R-DEMAND]]/1320,0)</f>
        <v>0</v>
      </c>
      <c r="P518" s="34">
        <f>Table16[[#This Row],[ADD ACC]]*Table16[[#This Row],[Duration]]</f>
        <v>0</v>
      </c>
    </row>
    <row r="519" spans="1:16" x14ac:dyDescent="0.25">
      <c r="A519" s="54" t="s">
        <v>12248</v>
      </c>
      <c r="B519" s="34" t="s">
        <v>2665</v>
      </c>
      <c r="C519" s="34" t="s">
        <v>2</v>
      </c>
      <c r="D519" s="34">
        <v>2</v>
      </c>
      <c r="E519" s="34" t="s">
        <v>971</v>
      </c>
      <c r="F519" s="34"/>
      <c r="G519" s="34" t="s">
        <v>11748</v>
      </c>
      <c r="H519" s="110">
        <v>11177</v>
      </c>
      <c r="I519" s="122">
        <v>27</v>
      </c>
      <c r="J519" s="111">
        <v>236652590</v>
      </c>
      <c r="K519" s="111">
        <f>IFERROR(Table16[[#This Row],[ROUTE COST]]/Table16[[#This Row],[E - DEMAND]],0)</f>
        <v>66400.838945005613</v>
      </c>
      <c r="L519" s="34">
        <v>3564</v>
      </c>
      <c r="M519" s="34">
        <f>VLOOKUP(Table16[[#This Row],[ROUTE]],DEMAND!A:F,5,FALSE)</f>
        <v>3565</v>
      </c>
      <c r="N519" s="34">
        <f>VLOOKUP(Table16[[#This Row],[ROUTE]],DEMAND!A:F,6,FALSE)</f>
        <v>925</v>
      </c>
      <c r="O519" s="34">
        <f>ROUNDDOWN(Table16[[#This Row],[R-DEMAND]]/1320,0)</f>
        <v>0</v>
      </c>
      <c r="P519" s="34">
        <f>Table16[[#This Row],[ADD ACC]]*Table16[[#This Row],[Duration]]</f>
        <v>0</v>
      </c>
    </row>
    <row r="520" spans="1:16" x14ac:dyDescent="0.25">
      <c r="A520" s="54" t="s">
        <v>12125</v>
      </c>
      <c r="B520" s="34" t="s">
        <v>1920</v>
      </c>
      <c r="C520" s="34" t="s">
        <v>2</v>
      </c>
      <c r="D520" s="34">
        <v>1</v>
      </c>
      <c r="E520" s="34" t="s">
        <v>493</v>
      </c>
      <c r="F520" s="34"/>
      <c r="G520" s="34" t="s">
        <v>11701</v>
      </c>
      <c r="H520" s="110">
        <v>11982</v>
      </c>
      <c r="I520" s="122">
        <v>28.75</v>
      </c>
      <c r="J520" s="111">
        <v>243645576</v>
      </c>
      <c r="K520" s="111">
        <f>IFERROR(Table16[[#This Row],[ROUTE COST]]/Table16[[#This Row],[E - DEMAND]],0)</f>
        <v>68420.549283909015</v>
      </c>
      <c r="L520" s="34">
        <v>3561</v>
      </c>
      <c r="M520" s="34">
        <f>VLOOKUP(Table16[[#This Row],[ROUTE]],DEMAND!A:F,5,FALSE)</f>
        <v>3562</v>
      </c>
      <c r="N520" s="34">
        <f>VLOOKUP(Table16[[#This Row],[ROUTE]],DEMAND!A:F,6,FALSE)</f>
        <v>922</v>
      </c>
      <c r="O520" s="34">
        <f>ROUNDDOWN(Table16[[#This Row],[R-DEMAND]]/1320,0)</f>
        <v>0</v>
      </c>
      <c r="P520" s="34">
        <f>Table16[[#This Row],[ADD ACC]]*Table16[[#This Row],[Duration]]</f>
        <v>0</v>
      </c>
    </row>
    <row r="521" spans="1:16" x14ac:dyDescent="0.25">
      <c r="A521" s="54" t="s">
        <v>12144</v>
      </c>
      <c r="B521" s="34" t="s">
        <v>1838</v>
      </c>
      <c r="C521" s="34" t="s">
        <v>2</v>
      </c>
      <c r="D521" s="34">
        <v>1</v>
      </c>
      <c r="E521" s="34" t="s">
        <v>493</v>
      </c>
      <c r="F521" s="34"/>
      <c r="G521" s="34" t="s">
        <v>11763</v>
      </c>
      <c r="H521" s="110">
        <v>11018</v>
      </c>
      <c r="I521" s="122">
        <v>26.5</v>
      </c>
      <c r="J521" s="111">
        <v>233733576</v>
      </c>
      <c r="K521" s="111">
        <f>IFERROR(Table16[[#This Row],[ROUTE COST]]/Table16[[#This Row],[E - DEMAND]],0)</f>
        <v>65840.443943661972</v>
      </c>
      <c r="L521" s="34">
        <v>3550</v>
      </c>
      <c r="M521" s="34">
        <f>VLOOKUP(Table16[[#This Row],[ROUTE]],DEMAND!A:F,5,FALSE)</f>
        <v>3552</v>
      </c>
      <c r="N521" s="34">
        <f>VLOOKUP(Table16[[#This Row],[ROUTE]],DEMAND!A:F,6,FALSE)</f>
        <v>912</v>
      </c>
      <c r="O521" s="34">
        <f>ROUNDDOWN(Table16[[#This Row],[R-DEMAND]]/1320,0)</f>
        <v>0</v>
      </c>
      <c r="P521" s="34">
        <f>Table16[[#This Row],[ADD ACC]]*Table16[[#This Row],[Duration]]</f>
        <v>0</v>
      </c>
    </row>
    <row r="522" spans="1:16" x14ac:dyDescent="0.25">
      <c r="A522" s="54" t="s">
        <v>12614</v>
      </c>
      <c r="B522" s="34" t="s">
        <v>440</v>
      </c>
      <c r="C522" s="34" t="s">
        <v>2</v>
      </c>
      <c r="D522" s="34">
        <v>4</v>
      </c>
      <c r="E522" s="34" t="s">
        <v>597</v>
      </c>
      <c r="F522" s="34"/>
      <c r="G522" s="34" t="s">
        <v>11110</v>
      </c>
      <c r="H522" s="110">
        <v>9794</v>
      </c>
      <c r="I522" s="122">
        <v>23.75</v>
      </c>
      <c r="J522" s="111">
        <v>267051795</v>
      </c>
      <c r="K522" s="111">
        <f>IFERROR(Table16[[#This Row],[ROUTE COST]]/Table16[[#This Row],[E - DEMAND]],0)</f>
        <v>75417.0559164078</v>
      </c>
      <c r="L522" s="34">
        <v>3541</v>
      </c>
      <c r="M522" s="34">
        <f>VLOOKUP(Table16[[#This Row],[ROUTE]],DEMAND!A:F,5,FALSE)</f>
        <v>3542</v>
      </c>
      <c r="N522" s="34">
        <f>VLOOKUP(Table16[[#This Row],[ROUTE]],DEMAND!A:F,6,FALSE)</f>
        <v>902</v>
      </c>
      <c r="O522" s="34">
        <f>ROUNDDOWN(Table16[[#This Row],[R-DEMAND]]/1320,0)</f>
        <v>0</v>
      </c>
      <c r="P522" s="34">
        <f>Table16[[#This Row],[ADD ACC]]*Table16[[#This Row],[Duration]]</f>
        <v>0</v>
      </c>
    </row>
    <row r="523" spans="1:16" x14ac:dyDescent="0.25">
      <c r="A523" s="54" t="s">
        <v>12289</v>
      </c>
      <c r="B523" s="34" t="s">
        <v>4572</v>
      </c>
      <c r="C523" s="34" t="s">
        <v>2</v>
      </c>
      <c r="D523" s="34">
        <v>2</v>
      </c>
      <c r="E523" s="34" t="s">
        <v>1959</v>
      </c>
      <c r="F523" s="34"/>
      <c r="G523" s="34" t="s">
        <v>11833</v>
      </c>
      <c r="H523" s="110">
        <v>9822</v>
      </c>
      <c r="I523" s="122">
        <v>24</v>
      </c>
      <c r="J523" s="111">
        <v>236895435</v>
      </c>
      <c r="K523" s="111">
        <f>IFERROR(Table16[[#This Row],[ROUTE COST]]/Table16[[#This Row],[E - DEMAND]],0)</f>
        <v>67014.267326732675</v>
      </c>
      <c r="L523" s="34">
        <v>3535</v>
      </c>
      <c r="M523" s="34">
        <f>VLOOKUP(Table16[[#This Row],[ROUTE]],DEMAND!A:F,5,FALSE)</f>
        <v>3538</v>
      </c>
      <c r="N523" s="34">
        <f>VLOOKUP(Table16[[#This Row],[ROUTE]],DEMAND!A:F,6,FALSE)</f>
        <v>898</v>
      </c>
      <c r="O523" s="34">
        <f>ROUNDDOWN(Table16[[#This Row],[R-DEMAND]]/1320,0)</f>
        <v>0</v>
      </c>
      <c r="P523" s="34">
        <f>Table16[[#This Row],[ADD ACC]]*Table16[[#This Row],[Duration]]</f>
        <v>0</v>
      </c>
    </row>
    <row r="524" spans="1:16" x14ac:dyDescent="0.25">
      <c r="A524" s="54" t="s">
        <v>12490</v>
      </c>
      <c r="B524" s="34" t="s">
        <v>5084</v>
      </c>
      <c r="C524" s="34" t="s">
        <v>2</v>
      </c>
      <c r="D524" s="34">
        <v>3</v>
      </c>
      <c r="E524" s="34" t="s">
        <v>585</v>
      </c>
      <c r="F524" s="34"/>
      <c r="G524" s="34" t="s">
        <v>11800</v>
      </c>
      <c r="H524" s="110">
        <v>10578</v>
      </c>
      <c r="I524" s="122">
        <v>25.5</v>
      </c>
      <c r="J524" s="111">
        <v>252858874</v>
      </c>
      <c r="K524" s="111">
        <f>IFERROR(Table16[[#This Row],[ROUTE COST]]/Table16[[#This Row],[E - DEMAND]],0)</f>
        <v>76254.183956574183</v>
      </c>
      <c r="L524" s="34">
        <v>3316</v>
      </c>
      <c r="M524" s="34">
        <f>VLOOKUP(Table16[[#This Row],[ROUTE]],DEMAND!A:F,5,FALSE)</f>
        <v>3538</v>
      </c>
      <c r="N524" s="34">
        <f>VLOOKUP(Table16[[#This Row],[ROUTE]],DEMAND!A:F,6,FALSE)</f>
        <v>898</v>
      </c>
      <c r="O524" s="34">
        <f>ROUNDDOWN(Table16[[#This Row],[R-DEMAND]]/1320,0)</f>
        <v>0</v>
      </c>
      <c r="P524" s="34">
        <f>Table16[[#This Row],[ADD ACC]]*Table16[[#This Row],[Duration]]</f>
        <v>0</v>
      </c>
    </row>
    <row r="525" spans="1:16" x14ac:dyDescent="0.25">
      <c r="A525" s="54" t="s">
        <v>12459</v>
      </c>
      <c r="B525" s="34" t="s">
        <v>4835</v>
      </c>
      <c r="C525" s="34" t="s">
        <v>2</v>
      </c>
      <c r="D525" s="34">
        <v>3</v>
      </c>
      <c r="E525" s="34" t="s">
        <v>662</v>
      </c>
      <c r="F525" s="34"/>
      <c r="G525" s="34" t="s">
        <v>11741</v>
      </c>
      <c r="H525" s="110">
        <v>11247</v>
      </c>
      <c r="I525" s="122">
        <v>27</v>
      </c>
      <c r="J525" s="111">
        <v>254386938</v>
      </c>
      <c r="K525" s="111">
        <f>IFERROR(Table16[[#This Row],[ROUTE COST]]/Table16[[#This Row],[E - DEMAND]],0)</f>
        <v>71962.35869872701</v>
      </c>
      <c r="L525" s="34">
        <v>3535</v>
      </c>
      <c r="M525" s="34">
        <f>VLOOKUP(Table16[[#This Row],[ROUTE]],DEMAND!A:F,5,FALSE)</f>
        <v>3537</v>
      </c>
      <c r="N525" s="34">
        <f>VLOOKUP(Table16[[#This Row],[ROUTE]],DEMAND!A:F,6,FALSE)</f>
        <v>897</v>
      </c>
      <c r="O525" s="34">
        <f>ROUNDDOWN(Table16[[#This Row],[R-DEMAND]]/1320,0)</f>
        <v>0</v>
      </c>
      <c r="P525" s="34">
        <f>Table16[[#This Row],[ADD ACC]]*Table16[[#This Row],[Duration]]</f>
        <v>0</v>
      </c>
    </row>
    <row r="526" spans="1:16" x14ac:dyDescent="0.25">
      <c r="A526" s="54" t="s">
        <v>12299</v>
      </c>
      <c r="B526" s="34" t="s">
        <v>3699</v>
      </c>
      <c r="C526" s="34" t="s">
        <v>2</v>
      </c>
      <c r="D526" s="34">
        <v>2</v>
      </c>
      <c r="E526" s="34" t="s">
        <v>700</v>
      </c>
      <c r="F526" s="34"/>
      <c r="G526" s="34" t="s">
        <v>8961</v>
      </c>
      <c r="H526" s="110">
        <v>9056</v>
      </c>
      <c r="I526" s="122">
        <v>22.25</v>
      </c>
      <c r="J526" s="111">
        <v>221511171</v>
      </c>
      <c r="K526" s="111">
        <f>IFERROR(Table16[[#This Row],[ROUTE COST]]/Table16[[#This Row],[E - DEMAND]],0)</f>
        <v>62680.01443123939</v>
      </c>
      <c r="L526" s="34">
        <v>3534</v>
      </c>
      <c r="M526" s="34">
        <f>VLOOKUP(Table16[[#This Row],[ROUTE]],DEMAND!A:F,5,FALSE)</f>
        <v>3535</v>
      </c>
      <c r="N526" s="34">
        <f>VLOOKUP(Table16[[#This Row],[ROUTE]],DEMAND!A:F,6,FALSE)</f>
        <v>895</v>
      </c>
      <c r="O526" s="34">
        <f>ROUNDDOWN(Table16[[#This Row],[R-DEMAND]]/1320,0)</f>
        <v>0</v>
      </c>
      <c r="P526" s="34">
        <f>Table16[[#This Row],[ADD ACC]]*Table16[[#This Row],[Duration]]</f>
        <v>0</v>
      </c>
    </row>
    <row r="527" spans="1:16" x14ac:dyDescent="0.25">
      <c r="A527" s="54" t="s">
        <v>12138</v>
      </c>
      <c r="B527" s="34" t="s">
        <v>1695</v>
      </c>
      <c r="C527" s="34" t="s">
        <v>2</v>
      </c>
      <c r="D527" s="34">
        <v>1</v>
      </c>
      <c r="E527" s="34" t="s">
        <v>493</v>
      </c>
      <c r="F527" s="34"/>
      <c r="G527" s="34" t="s">
        <v>11728</v>
      </c>
      <c r="H527" s="110">
        <v>11394</v>
      </c>
      <c r="I527" s="122">
        <v>27.25</v>
      </c>
      <c r="J527" s="111">
        <v>236769576</v>
      </c>
      <c r="K527" s="111">
        <f>IFERROR(Table16[[#This Row],[ROUTE COST]]/Table16[[#This Row],[E - DEMAND]],0)</f>
        <v>67130.585766940741</v>
      </c>
      <c r="L527" s="34">
        <v>3527</v>
      </c>
      <c r="M527" s="34">
        <f>VLOOKUP(Table16[[#This Row],[ROUTE]],DEMAND!A:F,5,FALSE)</f>
        <v>3528</v>
      </c>
      <c r="N527" s="34">
        <f>VLOOKUP(Table16[[#This Row],[ROUTE]],DEMAND!A:F,6,FALSE)</f>
        <v>888</v>
      </c>
      <c r="O527" s="34">
        <f>ROUNDDOWN(Table16[[#This Row],[R-DEMAND]]/1320,0)</f>
        <v>0</v>
      </c>
      <c r="P527" s="34">
        <f>Table16[[#This Row],[ADD ACC]]*Table16[[#This Row],[Duration]]</f>
        <v>0</v>
      </c>
    </row>
    <row r="528" spans="1:16" x14ac:dyDescent="0.25">
      <c r="A528" s="54" t="s">
        <v>12133</v>
      </c>
      <c r="B528" s="34" t="s">
        <v>1643</v>
      </c>
      <c r="C528" s="34" t="s">
        <v>2</v>
      </c>
      <c r="D528" s="34">
        <v>1</v>
      </c>
      <c r="E528" s="34" t="s">
        <v>493</v>
      </c>
      <c r="F528" s="34"/>
      <c r="G528" s="34" t="s">
        <v>11719</v>
      </c>
      <c r="H528" s="110">
        <v>11624</v>
      </c>
      <c r="I528" s="122">
        <v>27.75</v>
      </c>
      <c r="J528" s="111">
        <v>238959576</v>
      </c>
      <c r="K528" s="111">
        <f>IFERROR(Table16[[#This Row],[ROUTE COST]]/Table16[[#This Row],[E - DEMAND]],0)</f>
        <v>67905.534526854215</v>
      </c>
      <c r="L528" s="34">
        <v>3519</v>
      </c>
      <c r="M528" s="34">
        <f>VLOOKUP(Table16[[#This Row],[ROUTE]],DEMAND!A:F,5,FALSE)</f>
        <v>3520</v>
      </c>
      <c r="N528" s="34">
        <f>VLOOKUP(Table16[[#This Row],[ROUTE]],DEMAND!A:F,6,FALSE)</f>
        <v>880</v>
      </c>
      <c r="O528" s="34">
        <f>ROUNDDOWN(Table16[[#This Row],[R-DEMAND]]/1320,0)</f>
        <v>0</v>
      </c>
      <c r="P528" s="34">
        <f>Table16[[#This Row],[ADD ACC]]*Table16[[#This Row],[Duration]]</f>
        <v>0</v>
      </c>
    </row>
    <row r="529" spans="1:16" x14ac:dyDescent="0.25">
      <c r="A529" s="54" t="s">
        <v>12302</v>
      </c>
      <c r="B529" s="34" t="s">
        <v>3708</v>
      </c>
      <c r="C529" s="34" t="s">
        <v>2</v>
      </c>
      <c r="D529" s="34">
        <v>2</v>
      </c>
      <c r="E529" s="34" t="s">
        <v>3706</v>
      </c>
      <c r="F529" s="34"/>
      <c r="G529" s="34" t="s">
        <v>11862</v>
      </c>
      <c r="H529" s="110">
        <v>8916</v>
      </c>
      <c r="I529" s="122">
        <v>21.75</v>
      </c>
      <c r="K529" s="111">
        <f>IFERROR(Table16[[#This Row],[ROUTE COST]]/Table16[[#This Row],[E - DEMAND]],0)</f>
        <v>0</v>
      </c>
      <c r="L529" s="34"/>
      <c r="M529" s="34">
        <f>VLOOKUP(Table16[[#This Row],[ROUTE]],DEMAND!A:F,5,FALSE)</f>
        <v>3516</v>
      </c>
      <c r="N529" s="34">
        <f>VLOOKUP(Table16[[#This Row],[ROUTE]],DEMAND!A:F,6,FALSE)</f>
        <v>876</v>
      </c>
      <c r="O529" s="34">
        <f>ROUNDDOWN(Table16[[#This Row],[R-DEMAND]]/1320,0)</f>
        <v>0</v>
      </c>
      <c r="P529" s="34">
        <f>Table16[[#This Row],[ADD ACC]]*Table16[[#This Row],[Duration]]</f>
        <v>0</v>
      </c>
    </row>
    <row r="530" spans="1:16" x14ac:dyDescent="0.25">
      <c r="A530" s="54" t="s">
        <v>12137</v>
      </c>
      <c r="B530" s="34" t="s">
        <v>1553</v>
      </c>
      <c r="C530" s="34" t="s">
        <v>2</v>
      </c>
      <c r="D530" s="34">
        <v>1</v>
      </c>
      <c r="E530" s="34" t="s">
        <v>493</v>
      </c>
      <c r="F530" s="34"/>
      <c r="G530" s="34" t="s">
        <v>11726</v>
      </c>
      <c r="H530" s="110">
        <v>11430</v>
      </c>
      <c r="I530" s="122">
        <v>27.5</v>
      </c>
      <c r="J530" s="111">
        <v>236781576</v>
      </c>
      <c r="K530" s="111">
        <f>IFERROR(Table16[[#This Row],[ROUTE COST]]/Table16[[#This Row],[E - DEMAND]],0)</f>
        <v>67478.363066400678</v>
      </c>
      <c r="L530" s="34">
        <v>3509</v>
      </c>
      <c r="M530" s="34">
        <f>VLOOKUP(Table16[[#This Row],[ROUTE]],DEMAND!A:F,5,FALSE)</f>
        <v>3511</v>
      </c>
      <c r="N530" s="34">
        <f>VLOOKUP(Table16[[#This Row],[ROUTE]],DEMAND!A:F,6,FALSE)</f>
        <v>871</v>
      </c>
      <c r="O530" s="34">
        <f>ROUNDDOWN(Table16[[#This Row],[R-DEMAND]]/1320,0)</f>
        <v>0</v>
      </c>
      <c r="P530" s="34">
        <f>Table16[[#This Row],[ADD ACC]]*Table16[[#This Row],[Duration]]</f>
        <v>0</v>
      </c>
    </row>
    <row r="531" spans="1:16" x14ac:dyDescent="0.25">
      <c r="A531" s="54" t="s">
        <v>12483</v>
      </c>
      <c r="B531" s="34" t="s">
        <v>5311</v>
      </c>
      <c r="C531" s="34" t="s">
        <v>2</v>
      </c>
      <c r="D531" s="34">
        <v>3</v>
      </c>
      <c r="E531" s="34" t="s">
        <v>308</v>
      </c>
      <c r="F531" s="34"/>
      <c r="G531" s="34" t="s">
        <v>11790</v>
      </c>
      <c r="H531" s="110">
        <v>10741</v>
      </c>
      <c r="I531" s="122">
        <v>26</v>
      </c>
      <c r="J531" s="111">
        <v>259943081</v>
      </c>
      <c r="K531" s="111">
        <f>IFERROR(Table16[[#This Row],[ROUTE COST]]/Table16[[#This Row],[E - DEMAND]],0)</f>
        <v>78037.550585409786</v>
      </c>
      <c r="L531" s="34">
        <v>3331</v>
      </c>
      <c r="M531" s="34">
        <f>VLOOKUP(Table16[[#This Row],[ROUTE]],DEMAND!A:F,5,FALSE)</f>
        <v>3510</v>
      </c>
      <c r="N531" s="34">
        <f>VLOOKUP(Table16[[#This Row],[ROUTE]],DEMAND!A:F,6,FALSE)</f>
        <v>870</v>
      </c>
      <c r="O531" s="34">
        <f>ROUNDDOWN(Table16[[#This Row],[R-DEMAND]]/1320,0)</f>
        <v>0</v>
      </c>
      <c r="P531" s="34">
        <f>Table16[[#This Row],[ADD ACC]]*Table16[[#This Row],[Duration]]</f>
        <v>0</v>
      </c>
    </row>
    <row r="532" spans="1:16" x14ac:dyDescent="0.25">
      <c r="A532" s="54" t="s">
        <v>12122</v>
      </c>
      <c r="B532" s="34" t="s">
        <v>1522</v>
      </c>
      <c r="C532" s="34" t="s">
        <v>2</v>
      </c>
      <c r="D532" s="34">
        <v>1</v>
      </c>
      <c r="E532" s="34" t="s">
        <v>493</v>
      </c>
      <c r="F532" s="34"/>
      <c r="G532" s="34" t="s">
        <v>11693</v>
      </c>
      <c r="H532" s="110">
        <v>12157</v>
      </c>
      <c r="I532" s="122">
        <v>29</v>
      </c>
      <c r="K532" s="111">
        <f>IFERROR(Table16[[#This Row],[ROUTE COST]]/Table16[[#This Row],[E - DEMAND]],0)</f>
        <v>0</v>
      </c>
      <c r="L532" s="34"/>
      <c r="M532" s="34">
        <f>VLOOKUP(Table16[[#This Row],[ROUTE]],DEMAND!A:F,5,FALSE)</f>
        <v>3509</v>
      </c>
      <c r="N532" s="34">
        <f>VLOOKUP(Table16[[#This Row],[ROUTE]],DEMAND!A:F,6,FALSE)</f>
        <v>869</v>
      </c>
      <c r="O532" s="34">
        <f>ROUNDDOWN(Table16[[#This Row],[R-DEMAND]]/1320,0)</f>
        <v>0</v>
      </c>
      <c r="P532" s="34">
        <f>Table16[[#This Row],[ADD ACC]]*Table16[[#This Row],[Duration]]</f>
        <v>0</v>
      </c>
    </row>
    <row r="533" spans="1:16" x14ac:dyDescent="0.25">
      <c r="A533" s="54" t="s">
        <v>12592</v>
      </c>
      <c r="B533" s="34" t="s">
        <v>5570</v>
      </c>
      <c r="C533" s="34" t="s">
        <v>2</v>
      </c>
      <c r="D533" s="34">
        <v>4</v>
      </c>
      <c r="E533" s="34" t="s">
        <v>119</v>
      </c>
      <c r="F533" s="34"/>
      <c r="G533" s="34" t="s">
        <v>11113</v>
      </c>
      <c r="H533" s="110">
        <v>11932</v>
      </c>
      <c r="I533" s="122">
        <v>28.5</v>
      </c>
      <c r="J533" s="111">
        <v>280778962</v>
      </c>
      <c r="K533" s="111">
        <f>IFERROR(Table16[[#This Row],[ROUTE COST]]/Table16[[#This Row],[E - DEMAND]],0)</f>
        <v>80130.982305936079</v>
      </c>
      <c r="L533" s="34">
        <v>3504</v>
      </c>
      <c r="M533" s="34">
        <f>VLOOKUP(Table16[[#This Row],[ROUTE]],DEMAND!A:F,5,FALSE)</f>
        <v>3505</v>
      </c>
      <c r="N533" s="34">
        <f>VLOOKUP(Table16[[#This Row],[ROUTE]],DEMAND!A:F,6,FALSE)</f>
        <v>865</v>
      </c>
      <c r="O533" s="34">
        <f>ROUNDDOWN(Table16[[#This Row],[R-DEMAND]]/1320,0)</f>
        <v>0</v>
      </c>
      <c r="P533" s="34">
        <f>Table16[[#This Row],[ADD ACC]]*Table16[[#This Row],[Duration]]</f>
        <v>0</v>
      </c>
    </row>
    <row r="534" spans="1:16" x14ac:dyDescent="0.25">
      <c r="A534" s="54" t="s">
        <v>12199</v>
      </c>
      <c r="B534" s="34" t="s">
        <v>1678</v>
      </c>
      <c r="C534" s="34" t="s">
        <v>2</v>
      </c>
      <c r="D534" s="34">
        <v>1</v>
      </c>
      <c r="E534" s="34" t="s">
        <v>14</v>
      </c>
      <c r="F534" s="34"/>
      <c r="G534" s="34" t="s">
        <v>12056</v>
      </c>
      <c r="H534" s="110">
        <v>4230</v>
      </c>
      <c r="I534" s="122">
        <v>11.5</v>
      </c>
      <c r="J534" s="111">
        <v>163237145</v>
      </c>
      <c r="K534" s="111">
        <f>IFERROR(Table16[[#This Row],[ROUTE COST]]/Table16[[#This Row],[E - DEMAND]],0)</f>
        <v>49721.944867499238</v>
      </c>
      <c r="L534" s="34">
        <v>3283</v>
      </c>
      <c r="M534" s="34">
        <f>VLOOKUP(Table16[[#This Row],[ROUTE]],DEMAND!A:F,5,FALSE)</f>
        <v>3493</v>
      </c>
      <c r="N534" s="34">
        <f>VLOOKUP(Table16[[#This Row],[ROUTE]],DEMAND!A:F,6,FALSE)</f>
        <v>853</v>
      </c>
      <c r="O534" s="34">
        <f>ROUNDDOWN(Table16[[#This Row],[R-DEMAND]]/1320,0)</f>
        <v>0</v>
      </c>
      <c r="P534" s="34">
        <f>Table16[[#This Row],[ADD ACC]]*Table16[[#This Row],[Duration]]</f>
        <v>0</v>
      </c>
    </row>
    <row r="535" spans="1:16" x14ac:dyDescent="0.25">
      <c r="A535" s="54" t="s">
        <v>12142</v>
      </c>
      <c r="B535" s="34" t="s">
        <v>1433</v>
      </c>
      <c r="C535" s="34" t="s">
        <v>2</v>
      </c>
      <c r="D535" s="34">
        <v>1</v>
      </c>
      <c r="E535" s="34" t="s">
        <v>493</v>
      </c>
      <c r="F535" s="34"/>
      <c r="G535" s="34" t="s">
        <v>11756</v>
      </c>
      <c r="H535" s="110">
        <v>11112</v>
      </c>
      <c r="I535" s="122">
        <v>26.75</v>
      </c>
      <c r="J535" s="111">
        <v>233121576</v>
      </c>
      <c r="K535" s="111">
        <f>IFERROR(Table16[[#This Row],[ROUTE COST]]/Table16[[#This Row],[E - DEMAND]],0)</f>
        <v>66797.013180515758</v>
      </c>
      <c r="L535" s="34">
        <v>3490</v>
      </c>
      <c r="M535" s="34">
        <f>VLOOKUP(Table16[[#This Row],[ROUTE]],DEMAND!A:F,5,FALSE)</f>
        <v>3492</v>
      </c>
      <c r="N535" s="34">
        <f>VLOOKUP(Table16[[#This Row],[ROUTE]],DEMAND!A:F,6,FALSE)</f>
        <v>852</v>
      </c>
      <c r="O535" s="34">
        <f>ROUNDDOWN(Table16[[#This Row],[R-DEMAND]]/1320,0)</f>
        <v>0</v>
      </c>
      <c r="P535" s="34">
        <f>Table16[[#This Row],[ADD ACC]]*Table16[[#This Row],[Duration]]</f>
        <v>0</v>
      </c>
    </row>
    <row r="536" spans="1:16" x14ac:dyDescent="0.25">
      <c r="A536" s="54" t="s">
        <v>12473</v>
      </c>
      <c r="B536" s="34" t="s">
        <v>5279</v>
      </c>
      <c r="C536" s="34" t="s">
        <v>2</v>
      </c>
      <c r="D536" s="34">
        <v>3</v>
      </c>
      <c r="E536" s="34" t="s">
        <v>308</v>
      </c>
      <c r="F536" s="34"/>
      <c r="G536" s="34" t="s">
        <v>11769</v>
      </c>
      <c r="H536" s="110">
        <v>10983</v>
      </c>
      <c r="I536" s="122">
        <v>26.5</v>
      </c>
      <c r="J536" s="111">
        <v>261582668</v>
      </c>
      <c r="K536" s="111">
        <f>IFERROR(Table16[[#This Row],[ROUTE COST]]/Table16[[#This Row],[E - DEMAND]],0)</f>
        <v>79027.996374622351</v>
      </c>
      <c r="L536" s="34">
        <v>3310</v>
      </c>
      <c r="M536" s="34">
        <f>VLOOKUP(Table16[[#This Row],[ROUTE]],DEMAND!A:F,5,FALSE)</f>
        <v>3477</v>
      </c>
      <c r="N536" s="34">
        <f>VLOOKUP(Table16[[#This Row],[ROUTE]],DEMAND!A:F,6,FALSE)</f>
        <v>837</v>
      </c>
      <c r="O536" s="34">
        <f>ROUNDDOWN(Table16[[#This Row],[R-DEMAND]]/1320,0)</f>
        <v>0</v>
      </c>
      <c r="P536" s="34">
        <f>Table16[[#This Row],[ADD ACC]]*Table16[[#This Row],[Duration]]</f>
        <v>0</v>
      </c>
    </row>
    <row r="537" spans="1:16" x14ac:dyDescent="0.25">
      <c r="A537" s="54" t="s">
        <v>12455</v>
      </c>
      <c r="B537" s="34" t="s">
        <v>5401</v>
      </c>
      <c r="C537" s="34" t="s">
        <v>2</v>
      </c>
      <c r="D537" s="34">
        <v>3</v>
      </c>
      <c r="E537" s="34" t="s">
        <v>83</v>
      </c>
      <c r="F537" s="34"/>
      <c r="G537" s="34" t="s">
        <v>11712</v>
      </c>
      <c r="H537" s="110">
        <v>11755</v>
      </c>
      <c r="I537" s="122">
        <v>28.25</v>
      </c>
      <c r="J537" s="111">
        <v>272583750</v>
      </c>
      <c r="K537" s="111">
        <f>IFERROR(Table16[[#This Row],[ROUTE COST]]/Table16[[#This Row],[E - DEMAND]],0)</f>
        <v>78690.459006928402</v>
      </c>
      <c r="L537" s="34">
        <v>3464</v>
      </c>
      <c r="M537" s="34">
        <f>VLOOKUP(Table16[[#This Row],[ROUTE]],DEMAND!A:F,5,FALSE)</f>
        <v>3465</v>
      </c>
      <c r="N537" s="34">
        <f>VLOOKUP(Table16[[#This Row],[ROUTE]],DEMAND!A:F,6,FALSE)</f>
        <v>825</v>
      </c>
      <c r="O537" s="34">
        <f>ROUNDDOWN(Table16[[#This Row],[R-DEMAND]]/1320,0)</f>
        <v>0</v>
      </c>
      <c r="P537" s="34">
        <f>Table16[[#This Row],[ADD ACC]]*Table16[[#This Row],[Duration]]</f>
        <v>0</v>
      </c>
    </row>
    <row r="538" spans="1:16" x14ac:dyDescent="0.25">
      <c r="A538" s="54" t="s">
        <v>12563</v>
      </c>
      <c r="B538" s="34" t="s">
        <v>5262</v>
      </c>
      <c r="C538" s="34" t="s">
        <v>2</v>
      </c>
      <c r="D538" s="34">
        <v>3</v>
      </c>
      <c r="E538" s="34" t="s">
        <v>774</v>
      </c>
      <c r="F538" s="34"/>
      <c r="G538" s="34" t="s">
        <v>12048</v>
      </c>
      <c r="H538" s="110">
        <v>4415</v>
      </c>
      <c r="I538" s="122">
        <v>12</v>
      </c>
      <c r="J538" s="111">
        <v>195408691</v>
      </c>
      <c r="K538" s="111">
        <f>IFERROR(Table16[[#This Row],[ROUTE COST]]/Table16[[#This Row],[E - DEMAND]],0)</f>
        <v>60274.1181369525</v>
      </c>
      <c r="L538" s="34">
        <v>3242</v>
      </c>
      <c r="M538" s="34">
        <f>VLOOKUP(Table16[[#This Row],[ROUTE]],DEMAND!A:F,5,FALSE)</f>
        <v>3461</v>
      </c>
      <c r="N538" s="34">
        <f>VLOOKUP(Table16[[#This Row],[ROUTE]],DEMAND!A:F,6,FALSE)</f>
        <v>821</v>
      </c>
      <c r="O538" s="34">
        <f>ROUNDDOWN(Table16[[#This Row],[R-DEMAND]]/1320,0)</f>
        <v>0</v>
      </c>
      <c r="P538" s="34">
        <f>Table16[[#This Row],[ADD ACC]]*Table16[[#This Row],[Duration]]</f>
        <v>0</v>
      </c>
    </row>
    <row r="539" spans="1:16" x14ac:dyDescent="0.25">
      <c r="A539" s="54" t="s">
        <v>12210</v>
      </c>
      <c r="B539" s="34" t="s">
        <v>4078</v>
      </c>
      <c r="C539" s="34" t="s">
        <v>2</v>
      </c>
      <c r="D539" s="34">
        <v>2</v>
      </c>
      <c r="E539" s="34" t="s">
        <v>11669</v>
      </c>
      <c r="F539" s="34"/>
      <c r="G539" s="34" t="s">
        <v>11670</v>
      </c>
      <c r="H539" s="110">
        <v>13223</v>
      </c>
      <c r="I539" s="122">
        <v>31.5</v>
      </c>
      <c r="J539" s="111">
        <v>266101913</v>
      </c>
      <c r="K539" s="111">
        <f>IFERROR(Table16[[#This Row],[ROUTE COST]]/Table16[[#This Row],[E - DEMAND]],0)</f>
        <v>77019.367004341533</v>
      </c>
      <c r="L539" s="34">
        <v>3455</v>
      </c>
      <c r="M539" s="34">
        <f>VLOOKUP(Table16[[#This Row],[ROUTE]],DEMAND!A:F,5,FALSE)</f>
        <v>3458</v>
      </c>
      <c r="N539" s="34">
        <f>VLOOKUP(Table16[[#This Row],[ROUTE]],DEMAND!A:F,6,FALSE)</f>
        <v>818</v>
      </c>
      <c r="O539" s="34">
        <f>ROUNDDOWN(Table16[[#This Row],[R-DEMAND]]/1320,0)</f>
        <v>0</v>
      </c>
      <c r="P539" s="34">
        <f>Table16[[#This Row],[ADD ACC]]*Table16[[#This Row],[Duration]]</f>
        <v>0</v>
      </c>
    </row>
    <row r="540" spans="1:16" x14ac:dyDescent="0.25">
      <c r="A540" s="54" t="s">
        <v>12205</v>
      </c>
      <c r="B540" s="34" t="s">
        <v>3761</v>
      </c>
      <c r="C540" s="34" t="s">
        <v>2</v>
      </c>
      <c r="D540" s="34">
        <v>2</v>
      </c>
      <c r="E540" s="34" t="s">
        <v>530</v>
      </c>
      <c r="F540" s="34"/>
      <c r="G540" s="34" t="s">
        <v>11664</v>
      </c>
      <c r="H540" s="110">
        <v>13439</v>
      </c>
      <c r="I540" s="122">
        <v>32</v>
      </c>
      <c r="J540" s="111">
        <v>265567872</v>
      </c>
      <c r="K540" s="111">
        <f>IFERROR(Table16[[#This Row],[ROUTE COST]]/Table16[[#This Row],[E - DEMAND]],0)</f>
        <v>0</v>
      </c>
      <c r="L540" s="34"/>
      <c r="M540" s="34">
        <f>VLOOKUP(Table16[[#This Row],[ROUTE]],DEMAND!A:F,5,FALSE)</f>
        <v>3453</v>
      </c>
      <c r="N540" s="34">
        <f>VLOOKUP(Table16[[#This Row],[ROUTE]],DEMAND!A:F,6,FALSE)</f>
        <v>-507</v>
      </c>
      <c r="O540" s="34">
        <f>ROUNDDOWN(Table16[[#This Row],[R-DEMAND]]/1320,0)</f>
        <v>0</v>
      </c>
      <c r="P540" s="34">
        <f>Table16[[#This Row],[ADD ACC]]*Table16[[#This Row],[Duration]]</f>
        <v>0</v>
      </c>
    </row>
    <row r="541" spans="1:16" x14ac:dyDescent="0.25">
      <c r="A541" s="54" t="s">
        <v>12129</v>
      </c>
      <c r="B541" s="34" t="s">
        <v>1169</v>
      </c>
      <c r="C541" s="34" t="s">
        <v>2</v>
      </c>
      <c r="D541" s="34">
        <v>1</v>
      </c>
      <c r="E541" s="34" t="s">
        <v>493</v>
      </c>
      <c r="F541" s="34"/>
      <c r="G541" s="34" t="s">
        <v>11715</v>
      </c>
      <c r="H541" s="110">
        <v>11718</v>
      </c>
      <c r="I541" s="122">
        <v>28</v>
      </c>
      <c r="J541" s="111">
        <v>238157576</v>
      </c>
      <c r="K541" s="111">
        <f>IFERROR(Table16[[#This Row],[ROUTE COST]]/Table16[[#This Row],[E - DEMAND]],0)</f>
        <v>69031.181449275362</v>
      </c>
      <c r="L541" s="34">
        <v>3450</v>
      </c>
      <c r="M541" s="34">
        <f>VLOOKUP(Table16[[#This Row],[ROUTE]],DEMAND!A:F,5,FALSE)</f>
        <v>3452</v>
      </c>
      <c r="N541" s="34">
        <f>VLOOKUP(Table16[[#This Row],[ROUTE]],DEMAND!A:F,6,FALSE)</f>
        <v>-508</v>
      </c>
      <c r="O541" s="34">
        <f>ROUNDDOWN(Table16[[#This Row],[R-DEMAND]]/1320,0)</f>
        <v>0</v>
      </c>
      <c r="P541" s="34">
        <f>Table16[[#This Row],[ADD ACC]]*Table16[[#This Row],[Duration]]</f>
        <v>0</v>
      </c>
    </row>
    <row r="542" spans="1:16" x14ac:dyDescent="0.25">
      <c r="A542" s="54" t="s">
        <v>12140</v>
      </c>
      <c r="B542" s="34" t="s">
        <v>1163</v>
      </c>
      <c r="C542" s="34" t="s">
        <v>2</v>
      </c>
      <c r="D542" s="34">
        <v>1</v>
      </c>
      <c r="E542" s="34" t="s">
        <v>493</v>
      </c>
      <c r="F542" s="34"/>
      <c r="G542" s="34" t="s">
        <v>11739</v>
      </c>
      <c r="H542" s="110">
        <v>11300</v>
      </c>
      <c r="I542" s="122">
        <v>27.25</v>
      </c>
      <c r="J542" s="111">
        <v>233945576</v>
      </c>
      <c r="K542" s="111">
        <f>IFERROR(Table16[[#This Row],[ROUTE COST]]/Table16[[#This Row],[E - DEMAND]],0)</f>
        <v>67810.31188405797</v>
      </c>
      <c r="L542" s="34">
        <v>3450</v>
      </c>
      <c r="M542" s="34">
        <f>VLOOKUP(Table16[[#This Row],[ROUTE]],DEMAND!A:F,5,FALSE)</f>
        <v>3451</v>
      </c>
      <c r="N542" s="34">
        <f>VLOOKUP(Table16[[#This Row],[ROUTE]],DEMAND!A:F,6,FALSE)</f>
        <v>811</v>
      </c>
      <c r="O542" s="34">
        <f>ROUNDDOWN(Table16[[#This Row],[R-DEMAND]]/1320,0)</f>
        <v>0</v>
      </c>
      <c r="P542" s="34">
        <f>Table16[[#This Row],[ADD ACC]]*Table16[[#This Row],[Duration]]</f>
        <v>0</v>
      </c>
    </row>
    <row r="543" spans="1:16" x14ac:dyDescent="0.25">
      <c r="A543" s="54" t="s">
        <v>12449</v>
      </c>
      <c r="B543" s="34" t="s">
        <v>424</v>
      </c>
      <c r="C543" s="34" t="s">
        <v>2</v>
      </c>
      <c r="D543" s="34">
        <v>3</v>
      </c>
      <c r="E543" s="34" t="s">
        <v>83</v>
      </c>
      <c r="F543" s="34"/>
      <c r="G543" s="34" t="s">
        <v>11700</v>
      </c>
      <c r="H543" s="110">
        <v>12022</v>
      </c>
      <c r="I543" s="122">
        <v>28.75</v>
      </c>
      <c r="J543" s="111">
        <v>274551090</v>
      </c>
      <c r="K543" s="111">
        <f>IFERROR(Table16[[#This Row],[ROUTE COST]]/Table16[[#This Row],[E - DEMAND]],0)</f>
        <v>79718.667247386766</v>
      </c>
      <c r="L543" s="34">
        <v>3444</v>
      </c>
      <c r="M543" s="34">
        <f>VLOOKUP(Table16[[#This Row],[ROUTE]],DEMAND!A:F,5,FALSE)</f>
        <v>3445</v>
      </c>
      <c r="N543" s="34">
        <f>VLOOKUP(Table16[[#This Row],[ROUTE]],DEMAND!A:F,6,FALSE)</f>
        <v>805</v>
      </c>
      <c r="O543" s="34">
        <f>ROUNDDOWN(Table16[[#This Row],[R-DEMAND]]/1320,0)</f>
        <v>0</v>
      </c>
      <c r="P543" s="34">
        <f>Table16[[#This Row],[ADD ACC]]*Table16[[#This Row],[Duration]]</f>
        <v>0</v>
      </c>
    </row>
    <row r="544" spans="1:16" x14ac:dyDescent="0.25">
      <c r="A544" s="54" t="s">
        <v>12597</v>
      </c>
      <c r="B544" s="34" t="s">
        <v>295</v>
      </c>
      <c r="C544" s="34" t="s">
        <v>2</v>
      </c>
      <c r="D544" s="34">
        <v>4</v>
      </c>
      <c r="E544" s="34" t="s">
        <v>1674</v>
      </c>
      <c r="F544" s="34"/>
      <c r="G544" s="34" t="s">
        <v>11084</v>
      </c>
      <c r="H544" s="110">
        <v>11312</v>
      </c>
      <c r="I544" s="122">
        <v>27.25</v>
      </c>
      <c r="J544" s="141">
        <v>216000000</v>
      </c>
      <c r="K544" s="111">
        <f>IFERROR(Table16[[#This Row],[ROUTE COST]]/Table16[[#This Row],[E - DEMAND]],0)</f>
        <v>0</v>
      </c>
      <c r="L544" s="34"/>
      <c r="M544" s="34">
        <f>VLOOKUP(Table16[[#This Row],[ROUTE]],DEMAND!A:F,5,FALSE)</f>
        <v>3435</v>
      </c>
      <c r="N544" s="34">
        <f>VLOOKUP(Table16[[#This Row],[ROUTE]],DEMAND!A:F,6,FALSE)</f>
        <v>-525</v>
      </c>
      <c r="O544" s="34">
        <f>ROUNDDOWN(Table16[[#This Row],[R-DEMAND]]/1320,0)</f>
        <v>0</v>
      </c>
      <c r="P544" s="34">
        <f>Table16[[#This Row],[ADD ACC]]*Table16[[#This Row],[Duration]]</f>
        <v>0</v>
      </c>
    </row>
    <row r="545" spans="1:16" x14ac:dyDescent="0.25">
      <c r="A545" s="54" t="s">
        <v>12383</v>
      </c>
      <c r="B545" s="34" t="s">
        <v>221</v>
      </c>
      <c r="C545" s="34" t="s">
        <v>2</v>
      </c>
      <c r="D545" s="34">
        <v>2</v>
      </c>
      <c r="E545" s="34" t="s">
        <v>78</v>
      </c>
      <c r="F545" s="34"/>
      <c r="G545" s="34" t="s">
        <v>11970</v>
      </c>
      <c r="H545" s="110">
        <v>6684</v>
      </c>
      <c r="I545" s="122">
        <v>17</v>
      </c>
      <c r="K545" s="111">
        <f>IFERROR(Table16[[#This Row],[ROUTE COST]]/Table16[[#This Row],[E - DEMAND]],0)</f>
        <v>0</v>
      </c>
      <c r="L545" s="34"/>
      <c r="M545" s="34">
        <f>VLOOKUP(Table16[[#This Row],[ROUTE]],DEMAND!A:F,5,FALSE)</f>
        <v>3431</v>
      </c>
      <c r="N545" s="34">
        <f>VLOOKUP(Table16[[#This Row],[ROUTE]],DEMAND!A:F,6,FALSE)</f>
        <v>791</v>
      </c>
      <c r="O545" s="34">
        <f>ROUNDDOWN(Table16[[#This Row],[R-DEMAND]]/1320,0)</f>
        <v>0</v>
      </c>
      <c r="P545" s="34">
        <f>Table16[[#This Row],[ADD ACC]]*Table16[[#This Row],[Duration]]</f>
        <v>0</v>
      </c>
    </row>
    <row r="546" spans="1:16" x14ac:dyDescent="0.25">
      <c r="A546" s="54" t="s">
        <v>12278</v>
      </c>
      <c r="B546" s="34" t="s">
        <v>3597</v>
      </c>
      <c r="C546" s="34" t="s">
        <v>2</v>
      </c>
      <c r="D546" s="34">
        <v>2</v>
      </c>
      <c r="E546" s="34" t="s">
        <v>758</v>
      </c>
      <c r="F546" s="34"/>
      <c r="G546" s="34" t="s">
        <v>11817</v>
      </c>
      <c r="H546" s="110">
        <v>10152</v>
      </c>
      <c r="I546" s="122">
        <v>24.5</v>
      </c>
      <c r="J546" s="111">
        <v>231799233</v>
      </c>
      <c r="K546" s="111">
        <f>IFERROR(Table16[[#This Row],[ROUTE COST]]/Table16[[#This Row],[E - DEMAND]],0)</f>
        <v>72234.101900903712</v>
      </c>
      <c r="L546" s="34">
        <v>3209</v>
      </c>
      <c r="M546" s="34">
        <f>VLOOKUP(Table16[[#This Row],[ROUTE]],DEMAND!A:F,5,FALSE)</f>
        <v>3424</v>
      </c>
      <c r="N546" s="34">
        <f>VLOOKUP(Table16[[#This Row],[ROUTE]],DEMAND!A:F,6,FALSE)</f>
        <v>784</v>
      </c>
      <c r="O546" s="34">
        <f>ROUNDDOWN(Table16[[#This Row],[R-DEMAND]]/1320,0)</f>
        <v>0</v>
      </c>
      <c r="P546" s="34">
        <f>Table16[[#This Row],[ADD ACC]]*Table16[[#This Row],[Duration]]</f>
        <v>0</v>
      </c>
    </row>
    <row r="547" spans="1:16" x14ac:dyDescent="0.25">
      <c r="A547" s="54" t="s">
        <v>12445</v>
      </c>
      <c r="B547" s="34" t="s">
        <v>227</v>
      </c>
      <c r="C547" s="34" t="s">
        <v>2</v>
      </c>
      <c r="D547" s="34">
        <v>3</v>
      </c>
      <c r="E547" s="34" t="s">
        <v>630</v>
      </c>
      <c r="F547" s="34"/>
      <c r="G547" s="34" t="s">
        <v>11683</v>
      </c>
      <c r="H547" s="110">
        <v>12438</v>
      </c>
      <c r="I547" s="122">
        <v>29.75</v>
      </c>
      <c r="K547" s="111">
        <f>IFERROR(Table16[[#This Row],[ROUTE COST]]/Table16[[#This Row],[E - DEMAND]],0)</f>
        <v>0</v>
      </c>
      <c r="L547" s="34"/>
      <c r="M547" s="34">
        <f>VLOOKUP(Table16[[#This Row],[ROUTE]],DEMAND!A:F,5,FALSE)</f>
        <v>3419</v>
      </c>
      <c r="N547" s="34">
        <f>VLOOKUP(Table16[[#This Row],[ROUTE]],DEMAND!A:F,6,FALSE)</f>
        <v>779</v>
      </c>
      <c r="O547" s="34">
        <f>ROUNDDOWN(Table16[[#This Row],[R-DEMAND]]/1320,0)</f>
        <v>0</v>
      </c>
      <c r="P547" s="34">
        <f>Table16[[#This Row],[ADD ACC]]*Table16[[#This Row],[Duration]]</f>
        <v>0</v>
      </c>
    </row>
    <row r="548" spans="1:16" x14ac:dyDescent="0.25">
      <c r="A548" s="54" t="s">
        <v>12295</v>
      </c>
      <c r="B548" s="34" t="s">
        <v>3046</v>
      </c>
      <c r="C548" s="34" t="s">
        <v>2</v>
      </c>
      <c r="D548" s="34">
        <v>2</v>
      </c>
      <c r="E548" s="34" t="s">
        <v>700</v>
      </c>
      <c r="F548" s="34"/>
      <c r="G548" s="34" t="s">
        <v>11853</v>
      </c>
      <c r="H548" s="110">
        <v>9295</v>
      </c>
      <c r="I548" s="122">
        <v>22.75</v>
      </c>
      <c r="J548" s="111">
        <v>220373940</v>
      </c>
      <c r="K548" s="111">
        <f>IFERROR(Table16[[#This Row],[ROUTE COST]]/Table16[[#This Row],[E - DEMAND]],0)</f>
        <v>64739.700352526437</v>
      </c>
      <c r="L548" s="34">
        <v>3404</v>
      </c>
      <c r="M548" s="34">
        <f>VLOOKUP(Table16[[#This Row],[ROUTE]],DEMAND!A:F,5,FALSE)</f>
        <v>3405</v>
      </c>
      <c r="N548" s="34">
        <f>VLOOKUP(Table16[[#This Row],[ROUTE]],DEMAND!A:F,6,FALSE)</f>
        <v>765</v>
      </c>
      <c r="O548" s="34">
        <f>ROUNDDOWN(Table16[[#This Row],[R-DEMAND]]/1320,0)</f>
        <v>0</v>
      </c>
      <c r="P548" s="34">
        <f>Table16[[#This Row],[ADD ACC]]*Table16[[#This Row],[Duration]]</f>
        <v>0</v>
      </c>
    </row>
    <row r="549" spans="1:16" x14ac:dyDescent="0.25">
      <c r="A549" s="54" t="s">
        <v>12462</v>
      </c>
      <c r="B549" s="34" t="s">
        <v>397</v>
      </c>
      <c r="C549" s="34" t="s">
        <v>2</v>
      </c>
      <c r="D549" s="34">
        <v>3</v>
      </c>
      <c r="E549" s="34" t="s">
        <v>1674</v>
      </c>
      <c r="F549" s="34"/>
      <c r="G549" s="34" t="s">
        <v>11746</v>
      </c>
      <c r="H549" s="110">
        <v>11196</v>
      </c>
      <c r="I549" s="122">
        <v>27</v>
      </c>
      <c r="J549" s="111">
        <v>266302787</v>
      </c>
      <c r="K549" s="111">
        <f>IFERROR(Table16[[#This Row],[ROUTE COST]]/Table16[[#This Row],[E - DEMAND]],0)</f>
        <v>83559.079698776273</v>
      </c>
      <c r="L549" s="34">
        <v>3187</v>
      </c>
      <c r="M549" s="34">
        <f>VLOOKUP(Table16[[#This Row],[ROUTE]],DEMAND!A:F,5,FALSE)</f>
        <v>3402</v>
      </c>
      <c r="N549" s="34">
        <f>VLOOKUP(Table16[[#This Row],[ROUTE]],DEMAND!A:F,6,FALSE)</f>
        <v>762</v>
      </c>
      <c r="O549" s="34">
        <f>ROUNDDOWN(Table16[[#This Row],[R-DEMAND]]/1320,0)</f>
        <v>0</v>
      </c>
      <c r="P549" s="34">
        <f>Table16[[#This Row],[ADD ACC]]*Table16[[#This Row],[Duration]]</f>
        <v>0</v>
      </c>
    </row>
    <row r="550" spans="1:16" x14ac:dyDescent="0.25">
      <c r="A550" s="54" t="s">
        <v>12598</v>
      </c>
      <c r="B550" s="34" t="s">
        <v>5591</v>
      </c>
      <c r="C550" s="34" t="s">
        <v>2</v>
      </c>
      <c r="D550" s="34">
        <v>4</v>
      </c>
      <c r="E550" s="34" t="s">
        <v>560</v>
      </c>
      <c r="F550" s="34"/>
      <c r="G550" s="34" t="s">
        <v>11055</v>
      </c>
      <c r="H550" s="110">
        <v>11239</v>
      </c>
      <c r="I550" s="122">
        <v>27</v>
      </c>
      <c r="J550" s="111">
        <v>276041351</v>
      </c>
      <c r="K550" s="111">
        <f>IFERROR(Table16[[#This Row],[ROUTE COST]]/Table16[[#This Row],[E - DEMAND]],0)</f>
        <v>86316.870231394627</v>
      </c>
      <c r="L550" s="34">
        <v>3198</v>
      </c>
      <c r="M550" s="34">
        <f>VLOOKUP(Table16[[#This Row],[ROUTE]],DEMAND!A:F,5,FALSE)</f>
        <v>3401</v>
      </c>
      <c r="N550" s="34">
        <f>VLOOKUP(Table16[[#This Row],[ROUTE]],DEMAND!A:F,6,FALSE)</f>
        <v>761</v>
      </c>
      <c r="O550" s="34">
        <f>ROUNDDOWN(Table16[[#This Row],[R-DEMAND]]/1320,0)</f>
        <v>0</v>
      </c>
      <c r="P550" s="34">
        <f>Table16[[#This Row],[ADD ACC]]*Table16[[#This Row],[Duration]]</f>
        <v>0</v>
      </c>
    </row>
    <row r="551" spans="1:16" x14ac:dyDescent="0.25">
      <c r="A551" s="54" t="s">
        <v>12385</v>
      </c>
      <c r="B551" s="34" t="s">
        <v>4032</v>
      </c>
      <c r="C551" s="34" t="s">
        <v>2</v>
      </c>
      <c r="D551" s="34">
        <v>2</v>
      </c>
      <c r="E551" s="34" t="s">
        <v>523</v>
      </c>
      <c r="F551" s="34"/>
      <c r="G551" s="34" t="s">
        <v>11972</v>
      </c>
      <c r="H551" s="110">
        <v>6621</v>
      </c>
      <c r="I551" s="122">
        <v>16.75</v>
      </c>
      <c r="J551" s="111">
        <v>199595950</v>
      </c>
      <c r="K551" s="111">
        <f>IFERROR(Table16[[#This Row],[ROUTE COST]]/Table16[[#This Row],[E - DEMAND]],0)</f>
        <v>0</v>
      </c>
      <c r="L551" s="34"/>
      <c r="M551" s="34">
        <f>VLOOKUP(Table16[[#This Row],[ROUTE]],DEMAND!A:F,5,FALSE)</f>
        <v>3396</v>
      </c>
      <c r="N551" s="34">
        <f>VLOOKUP(Table16[[#This Row],[ROUTE]],DEMAND!A:F,6,FALSE)</f>
        <v>756</v>
      </c>
      <c r="O551" s="34">
        <f>ROUNDDOWN(Table16[[#This Row],[R-DEMAND]]/1320,0)</f>
        <v>0</v>
      </c>
      <c r="P551" s="34">
        <f>Table16[[#This Row],[ADD ACC]]*Table16[[#This Row],[Duration]]</f>
        <v>0</v>
      </c>
    </row>
    <row r="552" spans="1:16" x14ac:dyDescent="0.25">
      <c r="A552" s="54" t="s">
        <v>12468</v>
      </c>
      <c r="B552" s="34" t="s">
        <v>5231</v>
      </c>
      <c r="C552" s="34" t="s">
        <v>2</v>
      </c>
      <c r="D552" s="34">
        <v>3</v>
      </c>
      <c r="E552" s="34" t="s">
        <v>308</v>
      </c>
      <c r="F552" s="34"/>
      <c r="G552" s="34" t="s">
        <v>11760</v>
      </c>
      <c r="H552" s="110">
        <v>11094</v>
      </c>
      <c r="I552" s="122">
        <v>26.75</v>
      </c>
      <c r="J552" s="111">
        <v>261038019</v>
      </c>
      <c r="K552" s="111">
        <f>IFERROR(Table16[[#This Row],[ROUTE COST]]/Table16[[#This Row],[E - DEMAND]],0)</f>
        <v>79999.392889978553</v>
      </c>
      <c r="L552" s="34">
        <v>3263</v>
      </c>
      <c r="M552" s="34">
        <f>VLOOKUP(Table16[[#This Row],[ROUTE]],DEMAND!A:F,5,FALSE)</f>
        <v>3395</v>
      </c>
      <c r="N552" s="34">
        <f>VLOOKUP(Table16[[#This Row],[ROUTE]],DEMAND!A:F,6,FALSE)</f>
        <v>755</v>
      </c>
      <c r="O552" s="34">
        <f>ROUNDDOWN(Table16[[#This Row],[R-DEMAND]]/1320,0)</f>
        <v>0</v>
      </c>
      <c r="P552" s="34">
        <f>Table16[[#This Row],[ADD ACC]]*Table16[[#This Row],[Duration]]</f>
        <v>0</v>
      </c>
    </row>
    <row r="553" spans="1:16" x14ac:dyDescent="0.25">
      <c r="A553" s="54" t="s">
        <v>12139</v>
      </c>
      <c r="B553" s="34" t="s">
        <v>820</v>
      </c>
      <c r="C553" s="34" t="s">
        <v>2</v>
      </c>
      <c r="D553" s="34">
        <v>1</v>
      </c>
      <c r="E553" s="34" t="s">
        <v>493</v>
      </c>
      <c r="F553" s="34"/>
      <c r="G553" s="34" t="s">
        <v>11730</v>
      </c>
      <c r="H553" s="110">
        <v>11365</v>
      </c>
      <c r="I553" s="122">
        <v>27.25</v>
      </c>
      <c r="J553" s="111">
        <v>234844910</v>
      </c>
      <c r="K553" s="111">
        <f>IFERROR(Table16[[#This Row],[ROUTE COST]]/Table16[[#This Row],[E - DEMAND]],0)</f>
        <v>69296.226025376222</v>
      </c>
      <c r="L553" s="34">
        <v>3389</v>
      </c>
      <c r="M553" s="34">
        <f>VLOOKUP(Table16[[#This Row],[ROUTE]],DEMAND!A:F,5,FALSE)</f>
        <v>3390</v>
      </c>
      <c r="N553" s="34">
        <f>VLOOKUP(Table16[[#This Row],[ROUTE]],DEMAND!A:F,6,FALSE)</f>
        <v>750</v>
      </c>
      <c r="O553" s="34">
        <f>ROUNDDOWN(Table16[[#This Row],[R-DEMAND]]/1320,0)</f>
        <v>0</v>
      </c>
      <c r="P553" s="34">
        <f>Table16[[#This Row],[ADD ACC]]*Table16[[#This Row],[Duration]]</f>
        <v>0</v>
      </c>
    </row>
    <row r="554" spans="1:16" x14ac:dyDescent="0.25">
      <c r="A554" s="54" t="s">
        <v>12461</v>
      </c>
      <c r="B554" s="34" t="s">
        <v>5236</v>
      </c>
      <c r="C554" s="34" t="s">
        <v>2</v>
      </c>
      <c r="D554" s="34">
        <v>3</v>
      </c>
      <c r="E554" s="34" t="s">
        <v>308</v>
      </c>
      <c r="F554" s="34"/>
      <c r="G554" s="34" t="s">
        <v>11744</v>
      </c>
      <c r="H554" s="110">
        <v>11198</v>
      </c>
      <c r="I554" s="122">
        <v>27</v>
      </c>
      <c r="J554" s="111">
        <v>262416273</v>
      </c>
      <c r="K554" s="111">
        <f>IFERROR(Table16[[#This Row],[ROUTE COST]]/Table16[[#This Row],[E - DEMAND]],0)</f>
        <v>80200.572432762841</v>
      </c>
      <c r="L554" s="34">
        <v>3272</v>
      </c>
      <c r="M554" s="34">
        <f>VLOOKUP(Table16[[#This Row],[ROUTE]],DEMAND!A:F,5,FALSE)</f>
        <v>3383</v>
      </c>
      <c r="N554" s="34">
        <f>VLOOKUP(Table16[[#This Row],[ROUTE]],DEMAND!A:F,6,FALSE)</f>
        <v>743</v>
      </c>
      <c r="O554" s="34">
        <f>ROUNDDOWN(Table16[[#This Row],[R-DEMAND]]/1320,0)</f>
        <v>0</v>
      </c>
      <c r="P554" s="34">
        <f>Table16[[#This Row],[ADD ACC]]*Table16[[#This Row],[Duration]]</f>
        <v>0</v>
      </c>
    </row>
    <row r="555" spans="1:16" x14ac:dyDescent="0.25">
      <c r="A555" s="54" t="s">
        <v>12482</v>
      </c>
      <c r="B555" s="34" t="s">
        <v>4851</v>
      </c>
      <c r="C555" s="34" t="s">
        <v>2</v>
      </c>
      <c r="D555" s="34">
        <v>3</v>
      </c>
      <c r="E555" s="34" t="s">
        <v>585</v>
      </c>
      <c r="F555" s="34"/>
      <c r="G555" s="34" t="s">
        <v>11786</v>
      </c>
      <c r="H555" s="110">
        <v>10778</v>
      </c>
      <c r="I555" s="122">
        <v>26</v>
      </c>
      <c r="J555" s="111">
        <v>250958500</v>
      </c>
      <c r="K555" s="111">
        <f>IFERROR(Table16[[#This Row],[ROUTE COST]]/Table16[[#This Row],[E - DEMAND]],0)</f>
        <v>78645.722344092763</v>
      </c>
      <c r="L555" s="34">
        <v>3191</v>
      </c>
      <c r="M555" s="34">
        <f>VLOOKUP(Table16[[#This Row],[ROUTE]],DEMAND!A:F,5,FALSE)</f>
        <v>3373</v>
      </c>
      <c r="N555" s="34">
        <f>VLOOKUP(Table16[[#This Row],[ROUTE]],DEMAND!A:F,6,FALSE)</f>
        <v>733</v>
      </c>
      <c r="O555" s="34">
        <f>ROUNDDOWN(Table16[[#This Row],[R-DEMAND]]/1320,0)</f>
        <v>0</v>
      </c>
      <c r="P555" s="34">
        <f>Table16[[#This Row],[ADD ACC]]*Table16[[#This Row],[Duration]]</f>
        <v>0</v>
      </c>
    </row>
    <row r="556" spans="1:16" x14ac:dyDescent="0.25">
      <c r="A556" s="54" t="s">
        <v>12308</v>
      </c>
      <c r="B556" s="34" t="s">
        <v>2903</v>
      </c>
      <c r="C556" s="34" t="s">
        <v>2</v>
      </c>
      <c r="D556" s="34">
        <v>2</v>
      </c>
      <c r="E556" s="34" t="s">
        <v>700</v>
      </c>
      <c r="F556" s="34"/>
      <c r="G556" s="34" t="s">
        <v>6768</v>
      </c>
      <c r="H556" s="110">
        <v>8753</v>
      </c>
      <c r="I556" s="122">
        <v>21.5</v>
      </c>
      <c r="J556" s="111">
        <v>214099399</v>
      </c>
      <c r="K556" s="111">
        <f>IFERROR(Table16[[#This Row],[ROUTE COST]]/Table16[[#This Row],[E - DEMAND]],0)</f>
        <v>63493.297449584818</v>
      </c>
      <c r="L556" s="34">
        <v>3372</v>
      </c>
      <c r="M556" s="34">
        <f>VLOOKUP(Table16[[#This Row],[ROUTE]],DEMAND!A:F,5,FALSE)</f>
        <v>3373</v>
      </c>
      <c r="N556" s="34">
        <f>VLOOKUP(Table16[[#This Row],[ROUTE]],DEMAND!A:F,6,FALSE)</f>
        <v>733</v>
      </c>
      <c r="O556" s="34">
        <f>ROUNDDOWN(Table16[[#This Row],[R-DEMAND]]/1320,0)</f>
        <v>0</v>
      </c>
      <c r="P556" s="34">
        <f>Table16[[#This Row],[ADD ACC]]*Table16[[#This Row],[Duration]]</f>
        <v>0</v>
      </c>
    </row>
    <row r="557" spans="1:16" x14ac:dyDescent="0.25">
      <c r="A557" s="54" t="s">
        <v>12303</v>
      </c>
      <c r="B557" s="34" t="s">
        <v>2890</v>
      </c>
      <c r="C557" s="34" t="s">
        <v>2</v>
      </c>
      <c r="D557" s="34">
        <v>2</v>
      </c>
      <c r="E557" s="34" t="s">
        <v>700</v>
      </c>
      <c r="F557" s="34"/>
      <c r="G557" s="34" t="s">
        <v>11863</v>
      </c>
      <c r="H557" s="110">
        <v>8914</v>
      </c>
      <c r="I557" s="122">
        <v>21.75</v>
      </c>
      <c r="J557" s="111">
        <v>215625960</v>
      </c>
      <c r="K557" s="111">
        <f>IFERROR(Table16[[#This Row],[ROUTE COST]]/Table16[[#This Row],[E - DEMAND]],0)</f>
        <v>64002.956366874445</v>
      </c>
      <c r="L557" s="34">
        <v>3369</v>
      </c>
      <c r="M557" s="34">
        <f>VLOOKUP(Table16[[#This Row],[ROUTE]],DEMAND!A:F,5,FALSE)</f>
        <v>3371</v>
      </c>
      <c r="N557" s="34">
        <f>VLOOKUP(Table16[[#This Row],[ROUTE]],DEMAND!A:F,6,FALSE)</f>
        <v>731</v>
      </c>
      <c r="O557" s="34">
        <f>ROUNDDOWN(Table16[[#This Row],[R-DEMAND]]/1320,0)</f>
        <v>0</v>
      </c>
      <c r="P557" s="34">
        <f>Table16[[#This Row],[ADD ACC]]*Table16[[#This Row],[Duration]]</f>
        <v>0</v>
      </c>
    </row>
    <row r="558" spans="1:16" x14ac:dyDescent="0.25">
      <c r="A558" s="54" t="s">
        <v>12475</v>
      </c>
      <c r="B558" s="34" t="s">
        <v>5167</v>
      </c>
      <c r="C558" s="34" t="s">
        <v>2</v>
      </c>
      <c r="D558" s="34">
        <v>3</v>
      </c>
      <c r="E558" s="34" t="s">
        <v>308</v>
      </c>
      <c r="F558" s="34"/>
      <c r="G558" s="34" t="s">
        <v>11773</v>
      </c>
      <c r="H558" s="110">
        <v>10945</v>
      </c>
      <c r="I558" s="122">
        <v>26.25</v>
      </c>
      <c r="J558" s="111">
        <v>258261629</v>
      </c>
      <c r="K558" s="111">
        <f>IFERROR(Table16[[#This Row],[ROUTE COST]]/Table16[[#This Row],[E - DEMAND]],0)</f>
        <v>80031.493337465145</v>
      </c>
      <c r="L558" s="34">
        <v>3227</v>
      </c>
      <c r="M558" s="34">
        <f>VLOOKUP(Table16[[#This Row],[ROUTE]],DEMAND!A:F,5,FALSE)</f>
        <v>3368</v>
      </c>
      <c r="N558" s="34">
        <f>VLOOKUP(Table16[[#This Row],[ROUTE]],DEMAND!A:F,6,FALSE)</f>
        <v>728</v>
      </c>
      <c r="O558" s="34">
        <f>ROUNDDOWN(Table16[[#This Row],[R-DEMAND]]/1320,0)</f>
        <v>0</v>
      </c>
      <c r="P558" s="34">
        <f>Table16[[#This Row],[ADD ACC]]*Table16[[#This Row],[Duration]]</f>
        <v>0</v>
      </c>
    </row>
    <row r="559" spans="1:16" x14ac:dyDescent="0.25">
      <c r="A559" s="54" t="s">
        <v>12284</v>
      </c>
      <c r="B559" s="34" t="s">
        <v>4551</v>
      </c>
      <c r="C559" s="34" t="s">
        <v>2</v>
      </c>
      <c r="D559" s="34">
        <v>2</v>
      </c>
      <c r="E559" s="34" t="s">
        <v>4549</v>
      </c>
      <c r="F559" s="34"/>
      <c r="G559" s="34" t="s">
        <v>11826</v>
      </c>
      <c r="H559" s="110">
        <v>10033</v>
      </c>
      <c r="I559" s="122">
        <v>24.25</v>
      </c>
      <c r="K559" s="111">
        <f>IFERROR(Table16[[#This Row],[ROUTE COST]]/Table16[[#This Row],[E - DEMAND]],0)</f>
        <v>0</v>
      </c>
      <c r="L559" s="34"/>
      <c r="M559" s="34">
        <f>VLOOKUP(Table16[[#This Row],[ROUTE]],DEMAND!A:F,5,FALSE)</f>
        <v>3357</v>
      </c>
      <c r="N559" s="34">
        <f>VLOOKUP(Table16[[#This Row],[ROUTE]],DEMAND!A:F,6,FALSE)</f>
        <v>717</v>
      </c>
      <c r="O559" s="34">
        <f>ROUNDDOWN(Table16[[#This Row],[R-DEMAND]]/1320,0)</f>
        <v>0</v>
      </c>
      <c r="P559" s="34">
        <f>Table16[[#This Row],[ADD ACC]]*Table16[[#This Row],[Duration]]</f>
        <v>0</v>
      </c>
    </row>
    <row r="560" spans="1:16" x14ac:dyDescent="0.25">
      <c r="A560" s="54" t="s">
        <v>12450</v>
      </c>
      <c r="B560" s="34" t="s">
        <v>5416</v>
      </c>
      <c r="C560" s="34" t="s">
        <v>2</v>
      </c>
      <c r="D560" s="34">
        <v>3</v>
      </c>
      <c r="E560" s="34" t="s">
        <v>119</v>
      </c>
      <c r="F560" s="34"/>
      <c r="G560" s="34" t="s">
        <v>11705</v>
      </c>
      <c r="H560" s="110">
        <v>11911</v>
      </c>
      <c r="I560" s="122">
        <v>28.5</v>
      </c>
      <c r="J560" s="111">
        <v>274641895</v>
      </c>
      <c r="K560" s="111">
        <f>IFERROR(Table16[[#This Row],[ROUTE COST]]/Table16[[#This Row],[E - DEMAND]],0)</f>
        <v>82129.75328947368</v>
      </c>
      <c r="L560" s="34">
        <v>3344</v>
      </c>
      <c r="M560" s="34">
        <f>VLOOKUP(Table16[[#This Row],[ROUTE]],DEMAND!A:F,5,FALSE)</f>
        <v>3346</v>
      </c>
      <c r="N560" s="34">
        <f>VLOOKUP(Table16[[#This Row],[ROUTE]],DEMAND!A:F,6,FALSE)</f>
        <v>706</v>
      </c>
      <c r="O560" s="34">
        <f>ROUNDDOWN(Table16[[#This Row],[R-DEMAND]]/1320,0)</f>
        <v>0</v>
      </c>
      <c r="P560" s="34">
        <f>Table16[[#This Row],[ADD ACC]]*Table16[[#This Row],[Duration]]</f>
        <v>0</v>
      </c>
    </row>
    <row r="561" spans="1:16" x14ac:dyDescent="0.25">
      <c r="A561" s="54" t="s">
        <v>11269</v>
      </c>
      <c r="B561" s="34" t="s">
        <v>485</v>
      </c>
      <c r="C561" s="34" t="s">
        <v>2</v>
      </c>
      <c r="D561" s="34">
        <v>4</v>
      </c>
      <c r="E561" s="34" t="s">
        <v>11732</v>
      </c>
      <c r="F561" s="34"/>
      <c r="G561" s="34" t="s">
        <v>11080</v>
      </c>
      <c r="H561" s="110">
        <v>10816</v>
      </c>
      <c r="I561" s="122">
        <v>26</v>
      </c>
      <c r="J561" s="141">
        <v>216000000</v>
      </c>
      <c r="K561" s="111">
        <f>IFERROR(Table16[[#This Row],[ROUTE COST]]/Table16[[#This Row],[E - DEMAND]],0)</f>
        <v>62518.089725036181</v>
      </c>
      <c r="L561" s="34">
        <v>3455</v>
      </c>
      <c r="M561" s="34">
        <f>VLOOKUP(Table16[[#This Row],[ROUTE]],DEMAND!A:F,5,FALSE)</f>
        <v>3342</v>
      </c>
      <c r="N561" s="34">
        <f>VLOOKUP(Table16[[#This Row],[ROUTE]],DEMAND!A:F,6,FALSE)</f>
        <v>702</v>
      </c>
      <c r="O561" s="34">
        <f>ROUNDDOWN(Table16[[#This Row],[R-DEMAND]]/1320,0)</f>
        <v>0</v>
      </c>
      <c r="P561" s="34">
        <f>Table16[[#This Row],[ADD ACC]]*Table16[[#This Row],[Duration]]</f>
        <v>0</v>
      </c>
    </row>
    <row r="562" spans="1:16" x14ac:dyDescent="0.25">
      <c r="A562" s="54" t="s">
        <v>12127</v>
      </c>
      <c r="B562" s="34" t="s">
        <v>673</v>
      </c>
      <c r="C562" s="34" t="s">
        <v>2</v>
      </c>
      <c r="D562" s="34">
        <v>1</v>
      </c>
      <c r="E562" s="34" t="s">
        <v>493</v>
      </c>
      <c r="F562" s="34"/>
      <c r="G562" s="34" t="s">
        <v>7071</v>
      </c>
      <c r="H562" s="110">
        <v>11930</v>
      </c>
      <c r="I562" s="122">
        <v>28.5</v>
      </c>
      <c r="J562" s="111">
        <v>239214910</v>
      </c>
      <c r="K562" s="111">
        <f>IFERROR(Table16[[#This Row],[ROUTE COST]]/Table16[[#This Row],[E - DEMAND]],0)</f>
        <v>71642.680443246485</v>
      </c>
      <c r="L562" s="34">
        <v>3339</v>
      </c>
      <c r="M562" s="34">
        <f>VLOOKUP(Table16[[#This Row],[ROUTE]],DEMAND!A:F,5,FALSE)</f>
        <v>3340</v>
      </c>
      <c r="N562" s="34">
        <f>VLOOKUP(Table16[[#This Row],[ROUTE]],DEMAND!A:F,6,FALSE)</f>
        <v>700</v>
      </c>
      <c r="O562" s="34">
        <f>ROUNDDOWN(Table16[[#This Row],[R-DEMAND]]/1320,0)</f>
        <v>0</v>
      </c>
      <c r="P562" s="34">
        <f>Table16[[#This Row],[ADD ACC]]*Table16[[#This Row],[Duration]]</f>
        <v>0</v>
      </c>
    </row>
    <row r="563" spans="1:16" x14ac:dyDescent="0.25">
      <c r="A563" s="54" t="s">
        <v>12266</v>
      </c>
      <c r="B563" s="34" t="s">
        <v>3741</v>
      </c>
      <c r="C563" s="34" t="s">
        <v>2</v>
      </c>
      <c r="D563" s="34">
        <v>2</v>
      </c>
      <c r="E563" s="34" t="s">
        <v>1117</v>
      </c>
      <c r="F563" s="34"/>
      <c r="G563" s="34" t="s">
        <v>7722</v>
      </c>
      <c r="H563" s="110">
        <v>10705</v>
      </c>
      <c r="I563" s="122">
        <v>25.75</v>
      </c>
      <c r="J563" s="111">
        <v>237978423</v>
      </c>
      <c r="K563" s="111">
        <f>IFERROR(Table16[[#This Row],[ROUTE COST]]/Table16[[#This Row],[E - DEMAND]],0)</f>
        <v>71572.458045112784</v>
      </c>
      <c r="L563" s="34">
        <v>3325</v>
      </c>
      <c r="M563" s="34">
        <f>VLOOKUP(Table16[[#This Row],[ROUTE]],DEMAND!A:F,5,FALSE)</f>
        <v>3327</v>
      </c>
      <c r="N563" s="34">
        <f>VLOOKUP(Table16[[#This Row],[ROUTE]],DEMAND!A:F,6,FALSE)</f>
        <v>-633</v>
      </c>
      <c r="O563" s="34">
        <f>ROUNDDOWN(Table16[[#This Row],[R-DEMAND]]/1320,0)</f>
        <v>0</v>
      </c>
      <c r="P563" s="34">
        <f>Table16[[#This Row],[ADD ACC]]*Table16[[#This Row],[Duration]]</f>
        <v>0</v>
      </c>
    </row>
    <row r="564" spans="1:16" x14ac:dyDescent="0.25">
      <c r="A564" s="54" t="s">
        <v>12130</v>
      </c>
      <c r="B564" s="34" t="s">
        <v>615</v>
      </c>
      <c r="C564" s="34" t="s">
        <v>2</v>
      </c>
      <c r="D564" s="34">
        <v>1</v>
      </c>
      <c r="E564" s="34" t="s">
        <v>493</v>
      </c>
      <c r="F564" s="34"/>
      <c r="G564" s="34" t="s">
        <v>11716</v>
      </c>
      <c r="H564" s="110">
        <v>11675</v>
      </c>
      <c r="I564" s="122">
        <v>28</v>
      </c>
      <c r="J564" s="111">
        <v>236056910</v>
      </c>
      <c r="K564" s="111">
        <f>IFERROR(Table16[[#This Row],[ROUTE COST]]/Table16[[#This Row],[E - DEMAND]],0)</f>
        <v>71187.246682750309</v>
      </c>
      <c r="L564" s="34">
        <v>3316</v>
      </c>
      <c r="M564" s="34">
        <f>VLOOKUP(Table16[[#This Row],[ROUTE]],DEMAND!A:F,5,FALSE)</f>
        <v>3316</v>
      </c>
      <c r="N564" s="34">
        <f>VLOOKUP(Table16[[#This Row],[ROUTE]],DEMAND!A:F,6,FALSE)</f>
        <v>676</v>
      </c>
      <c r="O564" s="34">
        <f>ROUNDDOWN(Table16[[#This Row],[R-DEMAND]]/1320,0)</f>
        <v>0</v>
      </c>
      <c r="P564" s="34">
        <f>Table16[[#This Row],[ADD ACC]]*Table16[[#This Row],[Duration]]</f>
        <v>0</v>
      </c>
    </row>
    <row r="565" spans="1:16" x14ac:dyDescent="0.25">
      <c r="A565" s="54" t="s">
        <v>12654</v>
      </c>
      <c r="B565" s="34" t="s">
        <v>3999</v>
      </c>
      <c r="C565" s="34" t="s">
        <v>2</v>
      </c>
      <c r="D565" s="34"/>
      <c r="E565" s="34" t="s">
        <v>508</v>
      </c>
      <c r="F565" s="34"/>
      <c r="G565" s="34" t="s">
        <v>11822</v>
      </c>
      <c r="H565" s="110">
        <v>10096</v>
      </c>
      <c r="I565" s="122">
        <v>24.5</v>
      </c>
      <c r="J565" s="111">
        <v>234054836</v>
      </c>
      <c r="K565" s="111">
        <f>IFERROR(Table16[[#This Row],[ROUTE COST]]/Table16[[#This Row],[E - DEMAND]],0)</f>
        <v>70626.082076041042</v>
      </c>
      <c r="L565" s="34">
        <v>3314</v>
      </c>
      <c r="M565" s="34">
        <f>VLOOKUP(Table16[[#This Row],[ROUTE]],DEMAND!A:F,5,FALSE)</f>
        <v>3316</v>
      </c>
      <c r="N565" s="34">
        <f>VLOOKUP(Table16[[#This Row],[ROUTE]],DEMAND!A:F,6,FALSE)</f>
        <v>676</v>
      </c>
      <c r="O565" s="34">
        <f>ROUNDDOWN(Table16[[#This Row],[R-DEMAND]]/1320,0)</f>
        <v>0</v>
      </c>
      <c r="P565" s="34">
        <f>Table16[[#This Row],[ADD ACC]]*Table16[[#This Row],[Duration]]</f>
        <v>0</v>
      </c>
    </row>
    <row r="566" spans="1:16" x14ac:dyDescent="0.25">
      <c r="A566" s="54" t="s">
        <v>12511</v>
      </c>
      <c r="B566" s="34" t="s">
        <v>5365</v>
      </c>
      <c r="C566" s="34" t="s">
        <v>2</v>
      </c>
      <c r="D566" s="34">
        <v>3</v>
      </c>
      <c r="E566" s="34" t="s">
        <v>4909</v>
      </c>
      <c r="F566" s="34"/>
      <c r="G566" s="34" t="s">
        <v>8912</v>
      </c>
      <c r="H566" s="110">
        <v>8876</v>
      </c>
      <c r="I566" s="122">
        <v>21.75</v>
      </c>
      <c r="J566" s="111">
        <v>242696435</v>
      </c>
      <c r="K566" s="111">
        <f>IFERROR(Table16[[#This Row],[ROUTE COST]]/Table16[[#This Row],[E - DEMAND]],0)</f>
        <v>73410.899879007862</v>
      </c>
      <c r="L566" s="34">
        <v>3306</v>
      </c>
      <c r="M566" s="34">
        <f>VLOOKUP(Table16[[#This Row],[ROUTE]],DEMAND!A:F,5,FALSE)</f>
        <v>3309</v>
      </c>
      <c r="N566" s="34">
        <f>VLOOKUP(Table16[[#This Row],[ROUTE]],DEMAND!A:F,6,FALSE)</f>
        <v>669</v>
      </c>
      <c r="O566" s="34">
        <f>ROUNDDOWN(Table16[[#This Row],[R-DEMAND]]/1320,0)</f>
        <v>0</v>
      </c>
      <c r="P566" s="34">
        <f>Table16[[#This Row],[ADD ACC]]*Table16[[#This Row],[Duration]]</f>
        <v>0</v>
      </c>
    </row>
    <row r="567" spans="1:16" x14ac:dyDescent="0.25">
      <c r="A567" s="54" t="s">
        <v>12595</v>
      </c>
      <c r="B567" s="34" t="s">
        <v>5543</v>
      </c>
      <c r="C567" s="34" t="s">
        <v>2</v>
      </c>
      <c r="D567" s="34">
        <v>4</v>
      </c>
      <c r="E567" s="34" t="s">
        <v>560</v>
      </c>
      <c r="F567" s="34"/>
      <c r="G567" s="34" t="s">
        <v>11063</v>
      </c>
      <c r="H567" s="110">
        <v>11396</v>
      </c>
      <c r="I567" s="122">
        <v>27.25</v>
      </c>
      <c r="J567" s="111">
        <v>275316998</v>
      </c>
      <c r="K567" s="111">
        <f>IFERROR(Table16[[#This Row],[ROUTE COST]]/Table16[[#This Row],[E - DEMAND]],0)</f>
        <v>87569.019720101787</v>
      </c>
      <c r="L567" s="34">
        <v>3144</v>
      </c>
      <c r="M567" s="34">
        <f>VLOOKUP(Table16[[#This Row],[ROUTE]],DEMAND!A:F,5,FALSE)</f>
        <v>3302</v>
      </c>
      <c r="N567" s="34">
        <f>VLOOKUP(Table16[[#This Row],[ROUTE]],DEMAND!A:F,6,FALSE)</f>
        <v>662</v>
      </c>
      <c r="O567" s="34">
        <f>ROUNDDOWN(Table16[[#This Row],[R-DEMAND]]/1320,0)</f>
        <v>0</v>
      </c>
      <c r="P567" s="34">
        <f>Table16[[#This Row],[ADD ACC]]*Table16[[#This Row],[Duration]]</f>
        <v>0</v>
      </c>
    </row>
    <row r="568" spans="1:16" x14ac:dyDescent="0.25">
      <c r="A568" s="54" t="s">
        <v>12131</v>
      </c>
      <c r="B568" s="34" t="s">
        <v>575</v>
      </c>
      <c r="C568" s="34" t="s">
        <v>2</v>
      </c>
      <c r="D568" s="34">
        <v>1</v>
      </c>
      <c r="E568" s="34" t="s">
        <v>493</v>
      </c>
      <c r="F568" s="34"/>
      <c r="G568" s="34" t="s">
        <v>11717</v>
      </c>
      <c r="H568" s="110">
        <v>11656</v>
      </c>
      <c r="I568" s="122">
        <v>28</v>
      </c>
      <c r="J568" s="111">
        <v>236253910</v>
      </c>
      <c r="K568" s="111">
        <f>IFERROR(Table16[[#This Row],[ROUTE COST]]/Table16[[#This Row],[E - DEMAND]],0)</f>
        <v>71613.795089421037</v>
      </c>
      <c r="L568" s="34">
        <v>3299</v>
      </c>
      <c r="M568" s="34">
        <f>VLOOKUP(Table16[[#This Row],[ROUTE]],DEMAND!A:F,5,FALSE)</f>
        <v>3300</v>
      </c>
      <c r="N568" s="34">
        <f>VLOOKUP(Table16[[#This Row],[ROUTE]],DEMAND!A:F,6,FALSE)</f>
        <v>660</v>
      </c>
      <c r="O568" s="34">
        <f>ROUNDDOWN(Table16[[#This Row],[R-DEMAND]]/1320,0)</f>
        <v>0</v>
      </c>
      <c r="P568" s="34">
        <f>Table16[[#This Row],[ADD ACC]]*Table16[[#This Row],[Duration]]</f>
        <v>0</v>
      </c>
    </row>
    <row r="569" spans="1:16" x14ac:dyDescent="0.25">
      <c r="A569" s="54" t="s">
        <v>12268</v>
      </c>
      <c r="B569" s="34" t="s">
        <v>4142</v>
      </c>
      <c r="C569" s="34" t="s">
        <v>2</v>
      </c>
      <c r="D569" s="34">
        <v>2</v>
      </c>
      <c r="E569" s="34" t="s">
        <v>605</v>
      </c>
      <c r="F569" s="34"/>
      <c r="G569" s="34" t="s">
        <v>11795</v>
      </c>
      <c r="H569" s="110">
        <v>10643</v>
      </c>
      <c r="I569" s="122">
        <v>25.75</v>
      </c>
      <c r="J569" s="111">
        <v>242138372</v>
      </c>
      <c r="K569" s="111">
        <f>IFERROR(Table16[[#This Row],[ROUTE COST]]/Table16[[#This Row],[E - DEMAND]],0)</f>
        <v>78311.245795601557</v>
      </c>
      <c r="L569" s="34">
        <v>3092</v>
      </c>
      <c r="M569" s="34">
        <f>VLOOKUP(Table16[[#This Row],[ROUTE]],DEMAND!A:F,5,FALSE)</f>
        <v>3299</v>
      </c>
      <c r="N569" s="34">
        <f>VLOOKUP(Table16[[#This Row],[ROUTE]],DEMAND!A:F,6,FALSE)</f>
        <v>659</v>
      </c>
      <c r="O569" s="34">
        <f>ROUNDDOWN(Table16[[#This Row],[R-DEMAND]]/1320,0)</f>
        <v>0</v>
      </c>
      <c r="P569" s="34">
        <f>Table16[[#This Row],[ADD ACC]]*Table16[[#This Row],[Duration]]</f>
        <v>0</v>
      </c>
    </row>
    <row r="570" spans="1:16" x14ac:dyDescent="0.25">
      <c r="A570" s="54" t="s">
        <v>12580</v>
      </c>
      <c r="B570" s="34" t="s">
        <v>4884</v>
      </c>
      <c r="C570" s="34" t="s">
        <v>2</v>
      </c>
      <c r="D570" s="34">
        <v>3</v>
      </c>
      <c r="E570" s="34" t="s">
        <v>774</v>
      </c>
      <c r="F570" s="34"/>
      <c r="G570" s="34" t="s">
        <v>12090</v>
      </c>
      <c r="H570" s="110">
        <v>2747</v>
      </c>
      <c r="I570" s="122">
        <v>8.25</v>
      </c>
      <c r="J570" s="111">
        <v>171046724</v>
      </c>
      <c r="K570" s="111">
        <f>IFERROR(Table16[[#This Row],[ROUTE COST]]/Table16[[#This Row],[E - DEMAND]],0)</f>
        <v>53703.837990580847</v>
      </c>
      <c r="L570" s="34">
        <v>3185</v>
      </c>
      <c r="M570" s="34">
        <f>VLOOKUP(Table16[[#This Row],[ROUTE]],DEMAND!A:F,5,FALSE)</f>
        <v>3293</v>
      </c>
      <c r="N570" s="34">
        <f>VLOOKUP(Table16[[#This Row],[ROUTE]],DEMAND!A:F,6,FALSE)</f>
        <v>653</v>
      </c>
      <c r="O570" s="34">
        <f>ROUNDDOWN(Table16[[#This Row],[R-DEMAND]]/1320,0)</f>
        <v>0</v>
      </c>
      <c r="P570" s="34">
        <f>Table16[[#This Row],[ADD ACC]]*Table16[[#This Row],[Duration]]</f>
        <v>0</v>
      </c>
    </row>
    <row r="571" spans="1:16" x14ac:dyDescent="0.25">
      <c r="A571" s="54" t="s">
        <v>12456</v>
      </c>
      <c r="B571" s="34" t="s">
        <v>4898</v>
      </c>
      <c r="C571" s="34" t="s">
        <v>2</v>
      </c>
      <c r="D571" s="34">
        <v>3</v>
      </c>
      <c r="E571" s="34" t="s">
        <v>3204</v>
      </c>
      <c r="F571" s="34"/>
      <c r="G571" s="34" t="s">
        <v>11736</v>
      </c>
      <c r="H571" s="110">
        <v>11322</v>
      </c>
      <c r="I571" s="122">
        <v>27.25</v>
      </c>
      <c r="J571" s="111">
        <v>256948580</v>
      </c>
      <c r="K571" s="111">
        <f>IFERROR(Table16[[#This Row],[ROUTE COST]]/Table16[[#This Row],[E - DEMAND]],0)</f>
        <v>83316.660181582367</v>
      </c>
      <c r="L571" s="34">
        <v>3084</v>
      </c>
      <c r="M571" s="34">
        <f>VLOOKUP(Table16[[#This Row],[ROUTE]],DEMAND!A:F,5,FALSE)</f>
        <v>3291</v>
      </c>
      <c r="N571" s="34">
        <f>VLOOKUP(Table16[[#This Row],[ROUTE]],DEMAND!A:F,6,FALSE)</f>
        <v>651</v>
      </c>
      <c r="O571" s="34">
        <f>ROUNDDOWN(Table16[[#This Row],[R-DEMAND]]/1320,0)</f>
        <v>0</v>
      </c>
      <c r="P571" s="34">
        <f>Table16[[#This Row],[ADD ACC]]*Table16[[#This Row],[Duration]]</f>
        <v>0</v>
      </c>
    </row>
    <row r="572" spans="1:16" x14ac:dyDescent="0.25">
      <c r="A572" s="54" t="s">
        <v>12454</v>
      </c>
      <c r="B572" s="34" t="s">
        <v>5333</v>
      </c>
      <c r="C572" s="34" t="s">
        <v>2</v>
      </c>
      <c r="D572" s="34">
        <v>3</v>
      </c>
      <c r="E572" s="34" t="s">
        <v>119</v>
      </c>
      <c r="F572" s="34"/>
      <c r="G572" s="34" t="s">
        <v>9386</v>
      </c>
      <c r="H572" s="110">
        <v>11759</v>
      </c>
      <c r="I572" s="122">
        <v>28.25</v>
      </c>
      <c r="J572" s="111">
        <v>270745915</v>
      </c>
      <c r="K572" s="111">
        <f>IFERROR(Table16[[#This Row],[ROUTE COST]]/Table16[[#This Row],[E - DEMAND]],0)</f>
        <v>82544.486280487807</v>
      </c>
      <c r="L572" s="34">
        <v>3280</v>
      </c>
      <c r="M572" s="34">
        <f>VLOOKUP(Table16[[#This Row],[ROUTE]],DEMAND!A:F,5,FALSE)</f>
        <v>3282</v>
      </c>
      <c r="N572" s="34">
        <f>VLOOKUP(Table16[[#This Row],[ROUTE]],DEMAND!A:F,6,FALSE)</f>
        <v>642</v>
      </c>
      <c r="O572" s="34">
        <f>ROUNDDOWN(Table16[[#This Row],[R-DEMAND]]/1320,0)</f>
        <v>0</v>
      </c>
      <c r="P572" s="34">
        <f>Table16[[#This Row],[ADD ACC]]*Table16[[#This Row],[Duration]]</f>
        <v>0</v>
      </c>
    </row>
    <row r="573" spans="1:16" x14ac:dyDescent="0.25">
      <c r="A573" s="54" t="s">
        <v>12594</v>
      </c>
      <c r="B573" s="34" t="s">
        <v>5495</v>
      </c>
      <c r="C573" s="34" t="s">
        <v>2</v>
      </c>
      <c r="D573" s="34">
        <v>4</v>
      </c>
      <c r="E573" s="34" t="s">
        <v>560</v>
      </c>
      <c r="F573" s="34"/>
      <c r="G573" s="34" t="s">
        <v>11058</v>
      </c>
      <c r="H573" s="110">
        <v>11401</v>
      </c>
      <c r="I573" s="122">
        <v>27.5</v>
      </c>
      <c r="J573" s="111">
        <v>273449978</v>
      </c>
      <c r="K573" s="111">
        <f>IFERROR(Table16[[#This Row],[ROUTE COST]]/Table16[[#This Row],[E - DEMAND]],0)</f>
        <v>87926.037942122188</v>
      </c>
      <c r="L573" s="34">
        <v>3110</v>
      </c>
      <c r="M573" s="34">
        <f>VLOOKUP(Table16[[#This Row],[ROUTE]],DEMAND!A:F,5,FALSE)</f>
        <v>3278</v>
      </c>
      <c r="N573" s="34">
        <f>VLOOKUP(Table16[[#This Row],[ROUTE]],DEMAND!A:F,6,FALSE)</f>
        <v>638</v>
      </c>
      <c r="O573" s="34">
        <f>ROUNDDOWN(Table16[[#This Row],[R-DEMAND]]/1320,0)</f>
        <v>0</v>
      </c>
      <c r="P573" s="34">
        <f>Table16[[#This Row],[ADD ACC]]*Table16[[#This Row],[Duration]]</f>
        <v>0</v>
      </c>
    </row>
    <row r="574" spans="1:16" x14ac:dyDescent="0.25">
      <c r="A574" s="54" t="s">
        <v>12272</v>
      </c>
      <c r="B574" s="34" t="s">
        <v>4545</v>
      </c>
      <c r="C574" s="34" t="s">
        <v>2</v>
      </c>
      <c r="D574" s="34">
        <v>2</v>
      </c>
      <c r="E574" s="34" t="s">
        <v>585</v>
      </c>
      <c r="F574" s="34"/>
      <c r="G574" s="34" t="s">
        <v>11807</v>
      </c>
      <c r="H574" s="110">
        <v>10379</v>
      </c>
      <c r="I574" s="122">
        <v>25</v>
      </c>
      <c r="J574" s="111">
        <v>243087959</v>
      </c>
      <c r="K574" s="111">
        <f>IFERROR(Table16[[#This Row],[ROUTE COST]]/Table16[[#This Row],[E - DEMAND]],0)</f>
        <v>79181.745602605864</v>
      </c>
      <c r="L574" s="34">
        <v>3070</v>
      </c>
      <c r="M574" s="34">
        <f>VLOOKUP(Table16[[#This Row],[ROUTE]],DEMAND!A:F,5,FALSE)</f>
        <v>3276</v>
      </c>
      <c r="N574" s="34">
        <f>VLOOKUP(Table16[[#This Row],[ROUTE]],DEMAND!A:F,6,FALSE)</f>
        <v>636</v>
      </c>
      <c r="O574" s="34">
        <f>ROUNDDOWN(Table16[[#This Row],[R-DEMAND]]/1320,0)</f>
        <v>0</v>
      </c>
      <c r="P574" s="34">
        <f>Table16[[#This Row],[ADD ACC]]*Table16[[#This Row],[Duration]]</f>
        <v>0</v>
      </c>
    </row>
    <row r="575" spans="1:16" x14ac:dyDescent="0.25">
      <c r="A575" s="54" t="s">
        <v>12593</v>
      </c>
      <c r="B575" s="34" t="s">
        <v>5475</v>
      </c>
      <c r="C575" s="34" t="s">
        <v>2</v>
      </c>
      <c r="D575" s="34">
        <v>4</v>
      </c>
      <c r="E575" s="34" t="s">
        <v>560</v>
      </c>
      <c r="F575" s="34"/>
      <c r="G575" s="34" t="s">
        <v>11037</v>
      </c>
      <c r="H575" s="110">
        <v>11708</v>
      </c>
      <c r="I575" s="122">
        <v>28</v>
      </c>
      <c r="J575" s="111">
        <v>275965318</v>
      </c>
      <c r="K575" s="111">
        <f>IFERROR(Table16[[#This Row],[ROUTE COST]]/Table16[[#This Row],[E - DEMAND]],0)</f>
        <v>89078.540348612005</v>
      </c>
      <c r="L575" s="34">
        <v>3098</v>
      </c>
      <c r="M575" s="34">
        <f>VLOOKUP(Table16[[#This Row],[ROUTE]],DEMAND!A:F,5,FALSE)</f>
        <v>3275</v>
      </c>
      <c r="N575" s="34">
        <f>VLOOKUP(Table16[[#This Row],[ROUTE]],DEMAND!A:F,6,FALSE)</f>
        <v>635</v>
      </c>
      <c r="O575" s="34">
        <f>ROUNDDOWN(Table16[[#This Row],[R-DEMAND]]/1320,0)</f>
        <v>0</v>
      </c>
      <c r="P575" s="34">
        <f>Table16[[#This Row],[ADD ACC]]*Table16[[#This Row],[Duration]]</f>
        <v>0</v>
      </c>
    </row>
    <row r="576" spans="1:16" x14ac:dyDescent="0.25">
      <c r="A576" s="54" t="s">
        <v>12300</v>
      </c>
      <c r="B576" s="34" t="s">
        <v>2625</v>
      </c>
      <c r="C576" s="34" t="s">
        <v>2</v>
      </c>
      <c r="D576" s="34">
        <v>2</v>
      </c>
      <c r="E576" s="34" t="s">
        <v>2623</v>
      </c>
      <c r="F576" s="34"/>
      <c r="G576" s="34" t="s">
        <v>11860</v>
      </c>
      <c r="H576" s="110">
        <v>9051</v>
      </c>
      <c r="I576" s="122">
        <v>22.25</v>
      </c>
      <c r="J576" s="111">
        <v>215204827</v>
      </c>
      <c r="K576" s="111">
        <f>IFERROR(Table16[[#This Row],[ROUTE COST]]/Table16[[#This Row],[E - DEMAND]],0)</f>
        <v>65852.150244798046</v>
      </c>
      <c r="L576" s="34">
        <v>3268</v>
      </c>
      <c r="M576" s="34">
        <f>VLOOKUP(Table16[[#This Row],[ROUTE]],DEMAND!A:F,5,FALSE)</f>
        <v>3271</v>
      </c>
      <c r="N576" s="34">
        <f>VLOOKUP(Table16[[#This Row],[ROUTE]],DEMAND!A:F,6,FALSE)</f>
        <v>631</v>
      </c>
      <c r="O576" s="34">
        <f>ROUNDDOWN(Table16[[#This Row],[R-DEMAND]]/1320,0)</f>
        <v>0</v>
      </c>
      <c r="P576" s="34">
        <f>Table16[[#This Row],[ADD ACC]]*Table16[[#This Row],[Duration]]</f>
        <v>0</v>
      </c>
    </row>
    <row r="577" spans="1:16" x14ac:dyDescent="0.25">
      <c r="A577" s="54" t="s">
        <v>12446</v>
      </c>
      <c r="B577" s="34" t="s">
        <v>5313</v>
      </c>
      <c r="C577" s="34" t="s">
        <v>2</v>
      </c>
      <c r="D577" s="34">
        <v>3</v>
      </c>
      <c r="E577" s="34" t="s">
        <v>119</v>
      </c>
      <c r="F577" s="34"/>
      <c r="G577" s="34" t="s">
        <v>11685</v>
      </c>
      <c r="H577" s="110">
        <v>12409</v>
      </c>
      <c r="I577" s="122">
        <v>29.5</v>
      </c>
      <c r="J577" s="111">
        <v>276675155</v>
      </c>
      <c r="K577" s="111">
        <f>IFERROR(Table16[[#This Row],[ROUTE COST]]/Table16[[#This Row],[E - DEMAND]],0)</f>
        <v>84765.672487745105</v>
      </c>
      <c r="L577" s="34">
        <v>3264</v>
      </c>
      <c r="M577" s="34">
        <f>VLOOKUP(Table16[[#This Row],[ROUTE]],DEMAND!A:F,5,FALSE)</f>
        <v>3266</v>
      </c>
      <c r="N577" s="34">
        <f>VLOOKUP(Table16[[#This Row],[ROUTE]],DEMAND!A:F,6,FALSE)</f>
        <v>626</v>
      </c>
      <c r="O577" s="34">
        <f>ROUNDDOWN(Table16[[#This Row],[R-DEMAND]]/1320,0)</f>
        <v>0</v>
      </c>
      <c r="P577" s="34">
        <f>Table16[[#This Row],[ADD ACC]]*Table16[[#This Row],[Duration]]</f>
        <v>0</v>
      </c>
    </row>
    <row r="578" spans="1:16" x14ac:dyDescent="0.25">
      <c r="A578" s="54" t="s">
        <v>12355</v>
      </c>
      <c r="B578" s="34" t="s">
        <v>4106</v>
      </c>
      <c r="C578" s="34" t="s">
        <v>2</v>
      </c>
      <c r="D578" s="34">
        <v>2</v>
      </c>
      <c r="E578" s="34" t="s">
        <v>78</v>
      </c>
      <c r="F578" s="34"/>
      <c r="G578" s="34" t="s">
        <v>6123</v>
      </c>
      <c r="H578" s="110">
        <v>7842</v>
      </c>
      <c r="I578" s="122">
        <v>19.5</v>
      </c>
      <c r="K578" s="111">
        <f>IFERROR(Table16[[#This Row],[ROUTE COST]]/Table16[[#This Row],[E - DEMAND]],0)</f>
        <v>0</v>
      </c>
      <c r="L578" s="34"/>
      <c r="M578" s="34">
        <f>VLOOKUP(Table16[[#This Row],[ROUTE]],DEMAND!A:F,5,FALSE)</f>
        <v>3261</v>
      </c>
      <c r="N578" s="34">
        <f>VLOOKUP(Table16[[#This Row],[ROUTE]],DEMAND!A:F,6,FALSE)</f>
        <v>621</v>
      </c>
      <c r="O578" s="34">
        <f>ROUNDDOWN(Table16[[#This Row],[R-DEMAND]]/1320,0)</f>
        <v>0</v>
      </c>
      <c r="P578" s="34">
        <f>Table16[[#This Row],[ADD ACC]]*Table16[[#This Row],[Duration]]</f>
        <v>0</v>
      </c>
    </row>
    <row r="579" spans="1:16" x14ac:dyDescent="0.25">
      <c r="A579" s="54" t="s">
        <v>12128</v>
      </c>
      <c r="B579" s="34" t="s">
        <v>527</v>
      </c>
      <c r="C579" s="34" t="s">
        <v>2</v>
      </c>
      <c r="D579" s="34">
        <v>1</v>
      </c>
      <c r="E579" s="34" t="s">
        <v>493</v>
      </c>
      <c r="F579" s="34"/>
      <c r="G579" s="34" t="s">
        <v>11710</v>
      </c>
      <c r="H579" s="110">
        <v>11780</v>
      </c>
      <c r="I579" s="122">
        <v>28.25</v>
      </c>
      <c r="J579" s="111">
        <v>235602910</v>
      </c>
      <c r="K579" s="111">
        <f>IFERROR(Table16[[#This Row],[ROUTE COST]]/Table16[[#This Row],[E - DEMAND]],0)</f>
        <v>72337.399447344185</v>
      </c>
      <c r="L579" s="34">
        <v>3257</v>
      </c>
      <c r="M579" s="34">
        <f>VLOOKUP(Table16[[#This Row],[ROUTE]],DEMAND!A:F,5,FALSE)</f>
        <v>3258</v>
      </c>
      <c r="N579" s="34">
        <f>VLOOKUP(Table16[[#This Row],[ROUTE]],DEMAND!A:F,6,FALSE)</f>
        <v>618</v>
      </c>
      <c r="O579" s="34">
        <f>ROUNDDOWN(Table16[[#This Row],[R-DEMAND]]/1320,0)</f>
        <v>0</v>
      </c>
      <c r="P579" s="34">
        <f>Table16[[#This Row],[ADD ACC]]*Table16[[#This Row],[Duration]]</f>
        <v>0</v>
      </c>
    </row>
    <row r="580" spans="1:16" x14ac:dyDescent="0.25">
      <c r="A580" s="54" t="s">
        <v>12451</v>
      </c>
      <c r="B580" s="34" t="s">
        <v>5057</v>
      </c>
      <c r="C580" s="34" t="s">
        <v>2</v>
      </c>
      <c r="D580" s="34">
        <v>3</v>
      </c>
      <c r="E580" s="34" t="s">
        <v>83</v>
      </c>
      <c r="F580" s="34"/>
      <c r="G580" s="34" t="s">
        <v>11706</v>
      </c>
      <c r="H580" s="110">
        <v>11898</v>
      </c>
      <c r="I580" s="122">
        <v>28.5</v>
      </c>
      <c r="J580" s="111">
        <v>265561330</v>
      </c>
      <c r="K580" s="111">
        <f>IFERROR(Table16[[#This Row],[ROUTE COST]]/Table16[[#This Row],[E - DEMAND]],0)</f>
        <v>82370.139578163769</v>
      </c>
      <c r="L580" s="34">
        <v>3224</v>
      </c>
      <c r="M580" s="34">
        <f>VLOOKUP(Table16[[#This Row],[ROUTE]],DEMAND!A:F,5,FALSE)</f>
        <v>3226</v>
      </c>
      <c r="N580" s="34">
        <f>VLOOKUP(Table16[[#This Row],[ROUTE]],DEMAND!A:F,6,FALSE)</f>
        <v>-734</v>
      </c>
      <c r="O580" s="34">
        <f>ROUNDDOWN(Table16[[#This Row],[R-DEMAND]]/1320,0)</f>
        <v>0</v>
      </c>
      <c r="P580" s="34">
        <f>Table16[[#This Row],[ADD ACC]]*Table16[[#This Row],[Duration]]</f>
        <v>0</v>
      </c>
    </row>
    <row r="581" spans="1:16" x14ac:dyDescent="0.25">
      <c r="A581" s="54" t="s">
        <v>12469</v>
      </c>
      <c r="B581" s="34" t="s">
        <v>5091</v>
      </c>
      <c r="C581" s="34" t="s">
        <v>2</v>
      </c>
      <c r="D581" s="34">
        <v>3</v>
      </c>
      <c r="E581" s="34" t="s">
        <v>876</v>
      </c>
      <c r="F581" s="34"/>
      <c r="G581" s="34" t="s">
        <v>10595</v>
      </c>
      <c r="H581" s="110">
        <v>11042</v>
      </c>
      <c r="I581" s="122">
        <v>26.5</v>
      </c>
      <c r="J581" s="111">
        <v>257624800</v>
      </c>
      <c r="K581" s="111">
        <v>3180</v>
      </c>
      <c r="L581" s="34"/>
      <c r="M581" s="34">
        <f>VLOOKUP(Table16[[#This Row],[ROUTE]],DEMAND!A:F,5,FALSE)</f>
        <v>3183</v>
      </c>
      <c r="N581" s="34">
        <f>VLOOKUP(Table16[[#This Row],[ROUTE]],DEMAND!A:F,6,FALSE)</f>
        <v>543</v>
      </c>
      <c r="O581" s="34">
        <f>ROUNDDOWN(Table16[[#This Row],[R-DEMAND]]/1320,0)</f>
        <v>0</v>
      </c>
      <c r="P581" s="34">
        <f>Table16[[#This Row],[ADD ACC]]*Table16[[#This Row],[Duration]]</f>
        <v>0</v>
      </c>
    </row>
    <row r="582" spans="1:16" x14ac:dyDescent="0.25">
      <c r="A582" s="54" t="s">
        <v>12484</v>
      </c>
      <c r="B582" s="34" t="s">
        <v>4937</v>
      </c>
      <c r="C582" s="34" t="s">
        <v>2</v>
      </c>
      <c r="D582" s="34">
        <v>3</v>
      </c>
      <c r="E582" s="34" t="s">
        <v>1427</v>
      </c>
      <c r="F582" s="34"/>
      <c r="G582" s="34" t="s">
        <v>11791</v>
      </c>
      <c r="H582" s="110">
        <v>10741</v>
      </c>
      <c r="I582" s="122">
        <v>26</v>
      </c>
      <c r="J582" s="111">
        <v>251674304</v>
      </c>
      <c r="K582" s="111">
        <f>IFERROR(Table16[[#This Row],[ROUTE COST]]/Table16[[#This Row],[E - DEMAND]],0)</f>
        <v>79668.978790756562</v>
      </c>
      <c r="L582" s="34">
        <v>3159</v>
      </c>
      <c r="M582" s="34">
        <f>VLOOKUP(Table16[[#This Row],[ROUTE]],DEMAND!A:F,5,FALSE)</f>
        <v>3161</v>
      </c>
      <c r="N582" s="34">
        <f>VLOOKUP(Table16[[#This Row],[ROUTE]],DEMAND!A:F,6,FALSE)</f>
        <v>521</v>
      </c>
      <c r="O582" s="34">
        <f>ROUNDDOWN(Table16[[#This Row],[R-DEMAND]]/1320,0)</f>
        <v>0</v>
      </c>
      <c r="P582" s="34">
        <f>Table16[[#This Row],[ADD ACC]]*Table16[[#This Row],[Duration]]</f>
        <v>0</v>
      </c>
    </row>
    <row r="583" spans="1:16" x14ac:dyDescent="0.25">
      <c r="A583" s="54" t="s">
        <v>12206</v>
      </c>
      <c r="B583" s="34" t="s">
        <v>2886</v>
      </c>
      <c r="C583" s="34" t="s">
        <v>2</v>
      </c>
      <c r="D583" s="34">
        <v>2</v>
      </c>
      <c r="E583" s="34" t="s">
        <v>733</v>
      </c>
      <c r="F583" s="34"/>
      <c r="G583" s="34" t="s">
        <v>11665</v>
      </c>
      <c r="H583" s="110">
        <v>13436</v>
      </c>
      <c r="I583" s="122">
        <v>32</v>
      </c>
      <c r="K583" s="111">
        <f>IFERROR(Table16[[#This Row],[ROUTE COST]]/Table16[[#This Row],[E - DEMAND]],0)</f>
        <v>0</v>
      </c>
      <c r="L583" s="34"/>
      <c r="M583" s="34">
        <f>VLOOKUP(Table16[[#This Row],[ROUTE]],DEMAND!A:F,5,FALSE)</f>
        <v>3138</v>
      </c>
      <c r="N583" s="34">
        <f>VLOOKUP(Table16[[#This Row],[ROUTE]],DEMAND!A:F,6,FALSE)</f>
        <v>-822</v>
      </c>
      <c r="O583" s="34">
        <f>ROUNDDOWN(Table16[[#This Row],[R-DEMAND]]/1320,0)</f>
        <v>0</v>
      </c>
      <c r="P583" s="34">
        <f>Table16[[#This Row],[ADD ACC]]*Table16[[#This Row],[Duration]]</f>
        <v>0</v>
      </c>
    </row>
    <row r="584" spans="1:16" x14ac:dyDescent="0.25">
      <c r="A584" s="54" t="s">
        <v>12642</v>
      </c>
      <c r="B584" s="34" t="s">
        <v>5487</v>
      </c>
      <c r="C584" s="34" t="s">
        <v>2</v>
      </c>
      <c r="D584" s="34">
        <v>4</v>
      </c>
      <c r="E584" s="34" t="s">
        <v>774</v>
      </c>
      <c r="F584" s="34"/>
      <c r="G584" s="34" t="s">
        <v>11118</v>
      </c>
      <c r="H584" s="110">
        <v>4574</v>
      </c>
      <c r="I584" s="122">
        <v>12.25</v>
      </c>
      <c r="J584" s="111">
        <v>203907062</v>
      </c>
      <c r="K584" s="111">
        <f>IFERROR(Table16[[#This Row],[ROUTE COST]]/Table16[[#This Row],[E - DEMAND]],0)</f>
        <v>65125.219418716064</v>
      </c>
      <c r="L584" s="34">
        <v>3131</v>
      </c>
      <c r="M584" s="34">
        <f>VLOOKUP(Table16[[#This Row],[ROUTE]],DEMAND!A:F,5,FALSE)</f>
        <v>3133</v>
      </c>
      <c r="N584" s="34">
        <f>VLOOKUP(Table16[[#This Row],[ROUTE]],DEMAND!A:F,6,FALSE)</f>
        <v>493</v>
      </c>
      <c r="O584" s="34">
        <f>ROUNDDOWN(Table16[[#This Row],[R-DEMAND]]/1320,0)</f>
        <v>0</v>
      </c>
      <c r="P584" s="34">
        <f>Table16[[#This Row],[ADD ACC]]*Table16[[#This Row],[Duration]]</f>
        <v>0</v>
      </c>
    </row>
    <row r="585" spans="1:16" x14ac:dyDescent="0.25">
      <c r="A585" s="54" t="s">
        <v>12271</v>
      </c>
      <c r="B585" s="34" t="s">
        <v>3576</v>
      </c>
      <c r="C585" s="34" t="s">
        <v>2</v>
      </c>
      <c r="D585" s="34">
        <v>2</v>
      </c>
      <c r="E585" s="34" t="s">
        <v>11049</v>
      </c>
      <c r="F585" s="34"/>
      <c r="G585" s="34" t="s">
        <v>11806</v>
      </c>
      <c r="H585" s="110">
        <v>10425</v>
      </c>
      <c r="I585" s="122">
        <v>25.25</v>
      </c>
      <c r="J585" s="111">
        <v>234530423</v>
      </c>
      <c r="K585" s="111">
        <f>IFERROR(Table16[[#This Row],[ROUTE COST]]/Table16[[#This Row],[E - DEMAND]],0)</f>
        <v>75073.758962868116</v>
      </c>
      <c r="L585" s="34">
        <v>3124</v>
      </c>
      <c r="M585" s="34">
        <f>VLOOKUP(Table16[[#This Row],[ROUTE]],DEMAND!A:F,5,FALSE)</f>
        <v>3126</v>
      </c>
      <c r="N585" s="34">
        <f>VLOOKUP(Table16[[#This Row],[ROUTE]],DEMAND!A:F,6,FALSE)</f>
        <v>486</v>
      </c>
      <c r="O585" s="34">
        <f>ROUNDDOWN(Table16[[#This Row],[R-DEMAND]]/1320,0)</f>
        <v>0</v>
      </c>
      <c r="P585" s="34">
        <f>Table16[[#This Row],[ADD ACC]]*Table16[[#This Row],[Duration]]</f>
        <v>0</v>
      </c>
    </row>
    <row r="586" spans="1:16" x14ac:dyDescent="0.25">
      <c r="A586" s="54" t="s">
        <v>12549</v>
      </c>
      <c r="B586" s="34" t="s">
        <v>5200</v>
      </c>
      <c r="C586" s="34" t="s">
        <v>2</v>
      </c>
      <c r="D586" s="34">
        <v>3</v>
      </c>
      <c r="E586" s="34" t="s">
        <v>774</v>
      </c>
      <c r="F586" s="34"/>
      <c r="G586" s="34" t="s">
        <v>10392</v>
      </c>
      <c r="H586" s="110">
        <v>5420</v>
      </c>
      <c r="I586" s="122">
        <v>14.25</v>
      </c>
      <c r="J586" s="111">
        <v>203458592</v>
      </c>
      <c r="K586" s="111">
        <f>IFERROR(Table16[[#This Row],[ROUTE COST]]/Table16[[#This Row],[E - DEMAND]],0)</f>
        <v>70085.632793661731</v>
      </c>
      <c r="L586" s="34">
        <v>2903</v>
      </c>
      <c r="M586" s="34">
        <f>VLOOKUP(Table16[[#This Row],[ROUTE]],DEMAND!A:F,5,FALSE)</f>
        <v>3089</v>
      </c>
      <c r="N586" s="34">
        <f>VLOOKUP(Table16[[#This Row],[ROUTE]],DEMAND!A:F,6,FALSE)</f>
        <v>449</v>
      </c>
      <c r="O586" s="34">
        <f>ROUNDDOWN(Table16[[#This Row],[R-DEMAND]]/1320,0)</f>
        <v>0</v>
      </c>
      <c r="P586" s="34">
        <f>Table16[[#This Row],[ADD ACC]]*Table16[[#This Row],[Duration]]</f>
        <v>0</v>
      </c>
    </row>
    <row r="587" spans="1:16" x14ac:dyDescent="0.25">
      <c r="A587" s="54" t="s">
        <v>12396</v>
      </c>
      <c r="B587" s="34" t="s">
        <v>90</v>
      </c>
      <c r="C587" s="34" t="s">
        <v>2</v>
      </c>
      <c r="D587" s="34">
        <v>2</v>
      </c>
      <c r="E587" s="34" t="s">
        <v>1456</v>
      </c>
      <c r="F587" s="34"/>
      <c r="G587" s="34" t="s">
        <v>11987</v>
      </c>
      <c r="H587" s="110">
        <v>6324</v>
      </c>
      <c r="I587" s="122">
        <v>16.25</v>
      </c>
      <c r="K587" s="111">
        <f>IFERROR(Table16[[#This Row],[ROUTE COST]]/Table16[[#This Row],[E - DEMAND]],0)</f>
        <v>0</v>
      </c>
      <c r="L587" s="34"/>
      <c r="M587" s="34">
        <f>VLOOKUP(Table16[[#This Row],[ROUTE]],DEMAND!A:F,5,FALSE)</f>
        <v>3088</v>
      </c>
      <c r="N587" s="34">
        <f>VLOOKUP(Table16[[#This Row],[ROUTE]],DEMAND!A:F,6,FALSE)</f>
        <v>448</v>
      </c>
      <c r="O587" s="34">
        <f>ROUNDDOWN(Table16[[#This Row],[R-DEMAND]]/1320,0)</f>
        <v>0</v>
      </c>
      <c r="P587" s="34">
        <f>Table16[[#This Row],[ADD ACC]]*Table16[[#This Row],[Duration]]</f>
        <v>0</v>
      </c>
    </row>
    <row r="588" spans="1:16" x14ac:dyDescent="0.25">
      <c r="A588" s="54" t="s">
        <v>12458</v>
      </c>
      <c r="B588" s="34" t="s">
        <v>4891</v>
      </c>
      <c r="C588" s="34" t="s">
        <v>2</v>
      </c>
      <c r="D588" s="34">
        <v>3</v>
      </c>
      <c r="E588" s="34" t="s">
        <v>4889</v>
      </c>
      <c r="F588" s="34"/>
      <c r="G588" s="34" t="s">
        <v>4889</v>
      </c>
      <c r="H588" s="110">
        <v>11280</v>
      </c>
      <c r="I588" s="122">
        <v>27</v>
      </c>
      <c r="K588" s="111">
        <f>IFERROR(Table16[[#This Row],[ROUTE COST]]/Table16[[#This Row],[E - DEMAND]],0)</f>
        <v>0</v>
      </c>
      <c r="L588" s="34"/>
      <c r="M588" s="34">
        <f>VLOOKUP(Table16[[#This Row],[ROUTE]],DEMAND!A:F,5,FALSE)</f>
        <v>3083</v>
      </c>
      <c r="N588" s="34">
        <f>VLOOKUP(Table16[[#This Row],[ROUTE]],DEMAND!A:F,6,FALSE)</f>
        <v>443</v>
      </c>
      <c r="O588" s="34">
        <f>ROUNDDOWN(Table16[[#This Row],[R-DEMAND]]/1320,0)</f>
        <v>0</v>
      </c>
      <c r="P588" s="34">
        <f>Table16[[#This Row],[ADD ACC]]*Table16[[#This Row],[Duration]]</f>
        <v>0</v>
      </c>
    </row>
    <row r="589" spans="1:16" x14ac:dyDescent="0.25">
      <c r="A589" s="54" t="s">
        <v>12153</v>
      </c>
      <c r="B589" s="34" t="s">
        <v>1653</v>
      </c>
      <c r="C589" s="34" t="s">
        <v>2</v>
      </c>
      <c r="D589" s="34">
        <v>1</v>
      </c>
      <c r="E589" s="34" t="s">
        <v>78</v>
      </c>
      <c r="F589" s="34"/>
      <c r="G589" s="34" t="s">
        <v>11836</v>
      </c>
      <c r="H589" s="110">
        <v>9748</v>
      </c>
      <c r="I589" s="122">
        <v>23.75</v>
      </c>
      <c r="K589" s="111">
        <f>IFERROR(Table16[[#This Row],[ROUTE COST]]/Table16[[#This Row],[E - DEMAND]],0)</f>
        <v>0</v>
      </c>
      <c r="L589" s="34"/>
      <c r="M589" s="34">
        <f>VLOOKUP(Table16[[#This Row],[ROUTE]],DEMAND!A:F,5,FALSE)</f>
        <v>3067</v>
      </c>
      <c r="N589" s="34">
        <f>VLOOKUP(Table16[[#This Row],[ROUTE]],DEMAND!A:F,6,FALSE)</f>
        <v>427</v>
      </c>
      <c r="O589" s="34">
        <f>ROUNDDOWN(Table16[[#This Row],[R-DEMAND]]/1320,0)</f>
        <v>0</v>
      </c>
      <c r="P589" s="34">
        <f>Table16[[#This Row],[ADD ACC]]*Table16[[#This Row],[Duration]]</f>
        <v>0</v>
      </c>
    </row>
    <row r="590" spans="1:16" x14ac:dyDescent="0.25">
      <c r="A590" s="54" t="s">
        <v>12444</v>
      </c>
      <c r="B590" s="34" t="s">
        <v>4955</v>
      </c>
      <c r="C590" s="34" t="s">
        <v>2</v>
      </c>
      <c r="D590" s="34">
        <v>3</v>
      </c>
      <c r="E590" s="34" t="s">
        <v>119</v>
      </c>
      <c r="F590" s="34"/>
      <c r="G590" s="34" t="s">
        <v>11680</v>
      </c>
      <c r="H590" s="110">
        <v>12503</v>
      </c>
      <c r="I590" s="122">
        <v>29.75</v>
      </c>
      <c r="J590" s="111">
        <v>269706043</v>
      </c>
      <c r="K590" s="111">
        <f>IFERROR(Table16[[#This Row],[ROUTE COST]]/Table16[[#This Row],[E - DEMAND]],0)</f>
        <v>88254.59522251309</v>
      </c>
      <c r="L590" s="34">
        <v>3056</v>
      </c>
      <c r="M590" s="34">
        <f>VLOOKUP(Table16[[#This Row],[ROUTE]],DEMAND!A:F,5,FALSE)</f>
        <v>3057</v>
      </c>
      <c r="N590" s="34">
        <f>VLOOKUP(Table16[[#This Row],[ROUTE]],DEMAND!A:F,6,FALSE)</f>
        <v>417</v>
      </c>
      <c r="O590" s="34">
        <f>ROUNDDOWN(Table16[[#This Row],[R-DEMAND]]/1320,0)</f>
        <v>0</v>
      </c>
      <c r="P590" s="34">
        <f>Table16[[#This Row],[ADD ACC]]*Table16[[#This Row],[Duration]]</f>
        <v>0</v>
      </c>
    </row>
    <row r="591" spans="1:16" x14ac:dyDescent="0.25">
      <c r="A591" s="54" t="s">
        <v>12214</v>
      </c>
      <c r="B591" s="34" t="s">
        <v>2958</v>
      </c>
      <c r="C591" s="34" t="s">
        <v>2</v>
      </c>
      <c r="D591" s="34">
        <v>2</v>
      </c>
      <c r="E591" s="34" t="s">
        <v>600</v>
      </c>
      <c r="F591" s="34"/>
      <c r="G591" s="34" t="s">
        <v>11673</v>
      </c>
      <c r="H591" s="110">
        <v>13031</v>
      </c>
      <c r="I591" s="122">
        <v>31</v>
      </c>
      <c r="K591" s="111">
        <f>IFERROR(Table16[[#This Row],[ROUTE COST]]/Table16[[#This Row],[E - DEMAND]],0)</f>
        <v>0</v>
      </c>
      <c r="L591" s="34"/>
      <c r="M591" s="34">
        <f>VLOOKUP(Table16[[#This Row],[ROUTE]],DEMAND!A:F,5,FALSE)</f>
        <v>3057</v>
      </c>
      <c r="N591" s="34">
        <f>VLOOKUP(Table16[[#This Row],[ROUTE]],DEMAND!A:F,6,FALSE)</f>
        <v>-903</v>
      </c>
      <c r="O591" s="34">
        <f>ROUNDDOWN(Table16[[#This Row],[R-DEMAND]]/1320,0)</f>
        <v>0</v>
      </c>
      <c r="P591" s="34">
        <f>Table16[[#This Row],[ADD ACC]]*Table16[[#This Row],[Duration]]</f>
        <v>0</v>
      </c>
    </row>
    <row r="592" spans="1:16" x14ac:dyDescent="0.25">
      <c r="A592" s="4" t="str">
        <f>CONCATENATE("CGK/",B592)</f>
        <v>CGK/KJT</v>
      </c>
      <c r="B592" s="39" t="s">
        <v>11164</v>
      </c>
      <c r="C592" s="34" t="s">
        <v>2</v>
      </c>
      <c r="D592" s="34">
        <v>3</v>
      </c>
      <c r="E592" s="115" t="s">
        <v>1261</v>
      </c>
      <c r="F592" s="115"/>
      <c r="G592" s="116" t="s">
        <v>11165</v>
      </c>
      <c r="H592" s="117">
        <v>176</v>
      </c>
      <c r="I592" s="118">
        <v>2.5</v>
      </c>
      <c r="J592" s="119">
        <v>163324719</v>
      </c>
      <c r="K592" s="111">
        <f>IFERROR(Table16[[#This Row],[ROUTE COST]]/Table16[[#This Row],[E - DEMAND]],0)</f>
        <v>0</v>
      </c>
      <c r="L592" s="88"/>
      <c r="M592" s="34">
        <f>VLOOKUP(Table16[[#This Row],[ROUTE]],DEMAND!A:F,5,FALSE)</f>
        <v>3046</v>
      </c>
      <c r="N592" s="34">
        <f>VLOOKUP(Table16[[#This Row],[ROUTE]],DEMAND!A:F,6,FALSE)</f>
        <v>406</v>
      </c>
      <c r="O592" s="34">
        <f>ROUNDDOWN(Table16[[#This Row],[R-DEMAND]]/1320,0)</f>
        <v>0</v>
      </c>
      <c r="P592" s="34">
        <f>Table16[[#This Row],[ADD ACC]]*Table16[[#This Row],[Duration]]</f>
        <v>0</v>
      </c>
    </row>
    <row r="593" spans="1:16" x14ac:dyDescent="0.25">
      <c r="A593" s="54" t="s">
        <v>12507</v>
      </c>
      <c r="B593" s="34" t="s">
        <v>5219</v>
      </c>
      <c r="C593" s="34" t="s">
        <v>2</v>
      </c>
      <c r="D593" s="34">
        <v>3</v>
      </c>
      <c r="E593" s="34" t="s">
        <v>597</v>
      </c>
      <c r="F593" s="34"/>
      <c r="G593" s="34" t="s">
        <v>11851</v>
      </c>
      <c r="H593" s="110">
        <v>9402</v>
      </c>
      <c r="I593" s="122">
        <v>23</v>
      </c>
      <c r="J593" s="111">
        <v>243649131</v>
      </c>
      <c r="K593" s="111">
        <f>IFERROR(Table16[[#This Row],[ROUTE COST]]/Table16[[#This Row],[E - DEMAND]],0)</f>
        <v>80147.740460526315</v>
      </c>
      <c r="L593" s="34">
        <v>3040</v>
      </c>
      <c r="M593" s="34">
        <f>VLOOKUP(Table16[[#This Row],[ROUTE]],DEMAND!A:F,5,FALSE)</f>
        <v>3041</v>
      </c>
      <c r="N593" s="34">
        <f>VLOOKUP(Table16[[#This Row],[ROUTE]],DEMAND!A:F,6,FALSE)</f>
        <v>401</v>
      </c>
      <c r="O593" s="34">
        <f>ROUNDDOWN(Table16[[#This Row],[R-DEMAND]]/1320,0)</f>
        <v>0</v>
      </c>
      <c r="P593" s="34">
        <f>Table16[[#This Row],[ADD ACC]]*Table16[[#This Row],[Duration]]</f>
        <v>0</v>
      </c>
    </row>
    <row r="594" spans="1:16" x14ac:dyDescent="0.25">
      <c r="A594" s="54" t="s">
        <v>12488</v>
      </c>
      <c r="B594" s="34" t="s">
        <v>5377</v>
      </c>
      <c r="C594" s="34" t="s">
        <v>2</v>
      </c>
      <c r="D594" s="34">
        <v>3</v>
      </c>
      <c r="E594" s="34" t="s">
        <v>11732</v>
      </c>
      <c r="F594" s="34"/>
      <c r="G594" s="34" t="s">
        <v>10380</v>
      </c>
      <c r="H594" s="110">
        <v>10608</v>
      </c>
      <c r="I594" s="122">
        <v>25.5</v>
      </c>
      <c r="J594" s="111">
        <v>261919807</v>
      </c>
      <c r="K594" s="111">
        <f>IFERROR(Table16[[#This Row],[ROUTE COST]]/Table16[[#This Row],[E - DEMAND]],0)</f>
        <v>86214.551349572081</v>
      </c>
      <c r="L594" s="34">
        <v>3038</v>
      </c>
      <c r="M594" s="34">
        <f>VLOOKUP(Table16[[#This Row],[ROUTE]],DEMAND!A:F,5,FALSE)</f>
        <v>3040</v>
      </c>
      <c r="N594" s="34">
        <f>VLOOKUP(Table16[[#This Row],[ROUTE]],DEMAND!A:F,6,FALSE)</f>
        <v>400</v>
      </c>
      <c r="O594" s="34">
        <f>ROUNDDOWN(Table16[[#This Row],[R-DEMAND]]/1320,0)</f>
        <v>0</v>
      </c>
      <c r="P594" s="34">
        <f>Table16[[#This Row],[ADD ACC]]*Table16[[#This Row],[Duration]]</f>
        <v>0</v>
      </c>
    </row>
    <row r="595" spans="1:16" x14ac:dyDescent="0.25">
      <c r="A595" s="54" t="s">
        <v>12464</v>
      </c>
      <c r="B595" s="34" t="s">
        <v>4776</v>
      </c>
      <c r="C595" s="34" t="s">
        <v>2</v>
      </c>
      <c r="D595" s="34">
        <v>3</v>
      </c>
      <c r="E595" s="34" t="s">
        <v>308</v>
      </c>
      <c r="F595" s="34"/>
      <c r="G595" s="34" t="s">
        <v>11750</v>
      </c>
      <c r="H595" s="110">
        <v>11159</v>
      </c>
      <c r="I595" s="122">
        <v>26.75</v>
      </c>
      <c r="J595" s="111">
        <v>253580095</v>
      </c>
      <c r="K595" s="111">
        <f>IFERROR(Table16[[#This Row],[ROUTE COST]]/Table16[[#This Row],[E - DEMAND]],0)</f>
        <v>83551.925864909397</v>
      </c>
      <c r="L595" s="34">
        <v>3035</v>
      </c>
      <c r="M595" s="34">
        <f>VLOOKUP(Table16[[#This Row],[ROUTE]],DEMAND!A:F,5,FALSE)</f>
        <v>3037</v>
      </c>
      <c r="N595" s="34">
        <f>VLOOKUP(Table16[[#This Row],[ROUTE]],DEMAND!A:F,6,FALSE)</f>
        <v>397</v>
      </c>
      <c r="O595" s="34">
        <f>ROUNDDOWN(Table16[[#This Row],[R-DEMAND]]/1320,0)</f>
        <v>0</v>
      </c>
      <c r="P595" s="34">
        <f>Table16[[#This Row],[ADD ACC]]*Table16[[#This Row],[Duration]]</f>
        <v>0</v>
      </c>
    </row>
    <row r="596" spans="1:16" x14ac:dyDescent="0.25">
      <c r="A596" s="54" t="s">
        <v>12270</v>
      </c>
      <c r="B596" s="34" t="s">
        <v>4568</v>
      </c>
      <c r="C596" s="34" t="s">
        <v>2</v>
      </c>
      <c r="D596" s="34">
        <v>2</v>
      </c>
      <c r="E596" s="34" t="s">
        <v>3915</v>
      </c>
      <c r="F596" s="34"/>
      <c r="G596" s="34" t="s">
        <v>11798</v>
      </c>
      <c r="H596" s="110">
        <v>10600</v>
      </c>
      <c r="I596" s="122">
        <v>25.5</v>
      </c>
      <c r="J596" s="111">
        <v>245529799</v>
      </c>
      <c r="K596" s="111">
        <f>IFERROR(Table16[[#This Row],[ROUTE COST]]/Table16[[#This Row],[E - DEMAND]],0)</f>
        <v>81086.459379128137</v>
      </c>
      <c r="L596" s="34">
        <v>3028</v>
      </c>
      <c r="M596" s="34">
        <f>VLOOKUP(Table16[[#This Row],[ROUTE]],DEMAND!A:F,5,FALSE)</f>
        <v>3031</v>
      </c>
      <c r="N596" s="34">
        <f>VLOOKUP(Table16[[#This Row],[ROUTE]],DEMAND!A:F,6,FALSE)</f>
        <v>391</v>
      </c>
      <c r="O596" s="34">
        <f>ROUNDDOWN(Table16[[#This Row],[R-DEMAND]]/1320,0)</f>
        <v>0</v>
      </c>
      <c r="P596" s="34">
        <f>Table16[[#This Row],[ADD ACC]]*Table16[[#This Row],[Duration]]</f>
        <v>0</v>
      </c>
    </row>
    <row r="597" spans="1:16" x14ac:dyDescent="0.25">
      <c r="A597" s="54" t="s">
        <v>12175</v>
      </c>
      <c r="B597" s="34" t="s">
        <v>1379</v>
      </c>
      <c r="C597" s="34" t="s">
        <v>2</v>
      </c>
      <c r="D597" s="34">
        <v>1</v>
      </c>
      <c r="E597" s="34" t="s">
        <v>1377</v>
      </c>
      <c r="F597" s="34"/>
      <c r="G597" s="34" t="s">
        <v>11915</v>
      </c>
      <c r="H597" s="110">
        <v>8042</v>
      </c>
      <c r="I597" s="122">
        <v>20</v>
      </c>
      <c r="J597" s="111">
        <v>200444874</v>
      </c>
      <c r="K597" s="111">
        <f>IFERROR(Table16[[#This Row],[ROUTE COST]]/Table16[[#This Row],[E - DEMAND]],0)</f>
        <v>70356.221130221136</v>
      </c>
      <c r="L597" s="34">
        <v>2849</v>
      </c>
      <c r="M597" s="34">
        <f>VLOOKUP(Table16[[#This Row],[ROUTE]],DEMAND!A:F,5,FALSE)</f>
        <v>3029</v>
      </c>
      <c r="N597" s="34">
        <f>VLOOKUP(Table16[[#This Row],[ROUTE]],DEMAND!A:F,6,FALSE)</f>
        <v>389</v>
      </c>
      <c r="O597" s="34">
        <f>ROUNDDOWN(Table16[[#This Row],[R-DEMAND]]/1320,0)</f>
        <v>0</v>
      </c>
      <c r="P597" s="34">
        <f>Table16[[#This Row],[ADD ACC]]*Table16[[#This Row],[Duration]]</f>
        <v>0</v>
      </c>
    </row>
    <row r="598" spans="1:16" x14ac:dyDescent="0.25">
      <c r="A598" s="54" t="s">
        <v>12174</v>
      </c>
      <c r="B598" s="34" t="s">
        <v>1272</v>
      </c>
      <c r="C598" s="34" t="s">
        <v>2</v>
      </c>
      <c r="D598" s="34">
        <v>1</v>
      </c>
      <c r="E598" s="34" t="s">
        <v>1270</v>
      </c>
      <c r="F598" s="34"/>
      <c r="G598" s="34" t="s">
        <v>11909</v>
      </c>
      <c r="H598" s="110">
        <v>8237</v>
      </c>
      <c r="I598" s="122">
        <v>20.25</v>
      </c>
      <c r="J598" s="111">
        <v>202228546</v>
      </c>
      <c r="K598" s="111">
        <f>IFERROR(Table16[[#This Row],[ROUTE COST]]/Table16[[#This Row],[E - DEMAND]],0)</f>
        <v>66830.319233311297</v>
      </c>
      <c r="L598" s="34">
        <v>3026</v>
      </c>
      <c r="M598" s="34">
        <f>VLOOKUP(Table16[[#This Row],[ROUTE]],DEMAND!A:F,5,FALSE)</f>
        <v>3028</v>
      </c>
      <c r="N598" s="34">
        <f>VLOOKUP(Table16[[#This Row],[ROUTE]],DEMAND!A:F,6,FALSE)</f>
        <v>388</v>
      </c>
      <c r="O598" s="34">
        <f>ROUNDDOWN(Table16[[#This Row],[R-DEMAND]]/1320,0)</f>
        <v>0</v>
      </c>
      <c r="P598" s="34">
        <f>Table16[[#This Row],[ADD ACC]]*Table16[[#This Row],[Duration]]</f>
        <v>0</v>
      </c>
    </row>
    <row r="599" spans="1:16" x14ac:dyDescent="0.25">
      <c r="A599" s="54" t="s">
        <v>12463</v>
      </c>
      <c r="B599" s="34" t="s">
        <v>5350</v>
      </c>
      <c r="C599" s="34" t="s">
        <v>2</v>
      </c>
      <c r="D599" s="34">
        <v>3</v>
      </c>
      <c r="E599" s="34" t="s">
        <v>560</v>
      </c>
      <c r="F599" s="34"/>
      <c r="G599" s="34" t="s">
        <v>11747</v>
      </c>
      <c r="H599" s="110">
        <v>11196</v>
      </c>
      <c r="I599" s="122">
        <v>27</v>
      </c>
      <c r="J599" s="111">
        <v>267366111</v>
      </c>
      <c r="K599" s="111">
        <f>IFERROR(Table16[[#This Row],[ROUTE COST]]/Table16[[#This Row],[E - DEMAND]],0)</f>
        <v>88414.719246031746</v>
      </c>
      <c r="L599" s="34">
        <v>3024</v>
      </c>
      <c r="M599" s="34">
        <f>VLOOKUP(Table16[[#This Row],[ROUTE]],DEMAND!A:F,5,FALSE)</f>
        <v>3025</v>
      </c>
      <c r="N599" s="34">
        <f>VLOOKUP(Table16[[#This Row],[ROUTE]],DEMAND!A:F,6,FALSE)</f>
        <v>385</v>
      </c>
      <c r="O599" s="34">
        <f>ROUNDDOWN(Table16[[#This Row],[R-DEMAND]]/1320,0)</f>
        <v>0</v>
      </c>
      <c r="P599" s="34">
        <f>Table16[[#This Row],[ADD ACC]]*Table16[[#This Row],[Duration]]</f>
        <v>0</v>
      </c>
    </row>
    <row r="600" spans="1:16" x14ac:dyDescent="0.25">
      <c r="A600" s="54" t="s">
        <v>12466</v>
      </c>
      <c r="B600" s="34" t="s">
        <v>299</v>
      </c>
      <c r="C600" s="34" t="s">
        <v>2</v>
      </c>
      <c r="D600" s="34">
        <v>3</v>
      </c>
      <c r="E600" s="34" t="s">
        <v>308</v>
      </c>
      <c r="F600" s="34"/>
      <c r="G600" s="34" t="s">
        <v>11758</v>
      </c>
      <c r="H600" s="110">
        <v>11107</v>
      </c>
      <c r="I600" s="122">
        <v>26.75</v>
      </c>
      <c r="J600" s="111">
        <v>252459423</v>
      </c>
      <c r="K600" s="111">
        <f>IFERROR(Table16[[#This Row],[ROUTE COST]]/Table16[[#This Row],[E - DEMAND]],0)</f>
        <v>83595.835430463572</v>
      </c>
      <c r="L600" s="34">
        <v>3020</v>
      </c>
      <c r="M600" s="34">
        <f>VLOOKUP(Table16[[#This Row],[ROUTE]],DEMAND!A:F,5,FALSE)</f>
        <v>3020</v>
      </c>
      <c r="N600" s="34">
        <f>VLOOKUP(Table16[[#This Row],[ROUTE]],DEMAND!A:F,6,FALSE)</f>
        <v>380</v>
      </c>
      <c r="O600" s="34">
        <f>ROUNDDOWN(Table16[[#This Row],[R-DEMAND]]/1320,0)</f>
        <v>0</v>
      </c>
      <c r="P600" s="34">
        <f>Table16[[#This Row],[ADD ACC]]*Table16[[#This Row],[Duration]]</f>
        <v>0</v>
      </c>
    </row>
    <row r="601" spans="1:16" x14ac:dyDescent="0.25">
      <c r="A601" s="54" t="s">
        <v>12234</v>
      </c>
      <c r="B601" s="34" t="s">
        <v>4533</v>
      </c>
      <c r="C601" s="34" t="s">
        <v>2</v>
      </c>
      <c r="D601" s="34">
        <v>2</v>
      </c>
      <c r="E601" s="34" t="s">
        <v>83</v>
      </c>
      <c r="F601" s="34"/>
      <c r="G601" s="34" t="s">
        <v>11714</v>
      </c>
      <c r="H601" s="110">
        <v>11721</v>
      </c>
      <c r="I601" s="122">
        <v>28</v>
      </c>
      <c r="J601" s="111">
        <v>256313053</v>
      </c>
      <c r="K601" s="111">
        <f>IFERROR(Table16[[#This Row],[ROUTE COST]]/Table16[[#This Row],[E - DEMAND]],0)</f>
        <v>85012.621227197349</v>
      </c>
      <c r="L601" s="34">
        <v>3015</v>
      </c>
      <c r="M601" s="34">
        <f>VLOOKUP(Table16[[#This Row],[ROUTE]],DEMAND!A:F,5,FALSE)</f>
        <v>3016</v>
      </c>
      <c r="N601" s="34">
        <f>VLOOKUP(Table16[[#This Row],[ROUTE]],DEMAND!A:F,6,FALSE)</f>
        <v>376</v>
      </c>
      <c r="O601" s="34">
        <f>ROUNDDOWN(Table16[[#This Row],[R-DEMAND]]/1320,0)</f>
        <v>0</v>
      </c>
      <c r="P601" s="34">
        <f>Table16[[#This Row],[ADD ACC]]*Table16[[#This Row],[Duration]]</f>
        <v>0</v>
      </c>
    </row>
    <row r="602" spans="1:16" x14ac:dyDescent="0.25">
      <c r="A602" s="54" t="s">
        <v>12457</v>
      </c>
      <c r="B602" s="34" t="s">
        <v>5327</v>
      </c>
      <c r="C602" s="34" t="s">
        <v>2</v>
      </c>
      <c r="D602" s="34">
        <v>3</v>
      </c>
      <c r="E602" s="34" t="s">
        <v>11732</v>
      </c>
      <c r="F602" s="34"/>
      <c r="G602" s="34" t="s">
        <v>11737</v>
      </c>
      <c r="H602" s="110">
        <v>11320</v>
      </c>
      <c r="I602" s="122">
        <v>27.25</v>
      </c>
      <c r="J602" s="111">
        <v>267291329</v>
      </c>
      <c r="K602" s="111">
        <f>IFERROR(Table16[[#This Row],[ROUTE COST]]/Table16[[#This Row],[E - DEMAND]],0)</f>
        <v>89067.420526491172</v>
      </c>
      <c r="L602" s="34">
        <v>3001</v>
      </c>
      <c r="M602" s="34">
        <f>VLOOKUP(Table16[[#This Row],[ROUTE]],DEMAND!A:F,5,FALSE)</f>
        <v>3003</v>
      </c>
      <c r="N602" s="34">
        <f>VLOOKUP(Table16[[#This Row],[ROUTE]],DEMAND!A:F,6,FALSE)</f>
        <v>363</v>
      </c>
      <c r="O602" s="34">
        <f>ROUNDDOWN(Table16[[#This Row],[R-DEMAND]]/1320,0)</f>
        <v>0</v>
      </c>
      <c r="P602" s="34">
        <f>Table16[[#This Row],[ADD ACC]]*Table16[[#This Row],[Duration]]</f>
        <v>0</v>
      </c>
    </row>
    <row r="603" spans="1:16" x14ac:dyDescent="0.25">
      <c r="A603" s="54" t="s">
        <v>12545</v>
      </c>
      <c r="B603" s="34" t="s">
        <v>5204</v>
      </c>
      <c r="C603" s="34" t="s">
        <v>2</v>
      </c>
      <c r="D603" s="34">
        <v>3</v>
      </c>
      <c r="E603" s="34" t="s">
        <v>142</v>
      </c>
      <c r="F603" s="34"/>
      <c r="G603" s="34" t="s">
        <v>11997</v>
      </c>
      <c r="H603" s="110">
        <v>6064</v>
      </c>
      <c r="I603" s="122">
        <v>15.5</v>
      </c>
      <c r="K603" s="111">
        <f>IFERROR(Table16[[#This Row],[ROUTE COST]]/Table16[[#This Row],[E - DEMAND]],0)</f>
        <v>0</v>
      </c>
      <c r="L603" s="34"/>
      <c r="M603" s="34">
        <f>VLOOKUP(Table16[[#This Row],[ROUTE]],DEMAND!A:F,5,FALSE)</f>
        <v>2998</v>
      </c>
      <c r="N603" s="34">
        <f>VLOOKUP(Table16[[#This Row],[ROUTE]],DEMAND!A:F,6,FALSE)</f>
        <v>358</v>
      </c>
      <c r="O603" s="34">
        <f>ROUNDDOWN(Table16[[#This Row],[R-DEMAND]]/1320,0)</f>
        <v>0</v>
      </c>
      <c r="P603" s="34">
        <f>Table16[[#This Row],[ADD ACC]]*Table16[[#This Row],[Duration]]</f>
        <v>0</v>
      </c>
    </row>
    <row r="604" spans="1:16" x14ac:dyDescent="0.25">
      <c r="A604" s="54" t="s">
        <v>12448</v>
      </c>
      <c r="B604" s="34" t="s">
        <v>4789</v>
      </c>
      <c r="C604" s="34" t="s">
        <v>2</v>
      </c>
      <c r="D604" s="34">
        <v>3</v>
      </c>
      <c r="E604" s="34" t="s">
        <v>119</v>
      </c>
      <c r="F604" s="34"/>
      <c r="G604" s="34" t="s">
        <v>11691</v>
      </c>
      <c r="H604" s="110">
        <v>12228</v>
      </c>
      <c r="I604" s="122">
        <v>29.25</v>
      </c>
      <c r="J604" s="111">
        <v>264489076</v>
      </c>
      <c r="K604" s="111">
        <f>IFERROR(Table16[[#This Row],[ROUTE COST]]/Table16[[#This Row],[E - DEMAND]],0)</f>
        <v>88457.884949832776</v>
      </c>
      <c r="L604" s="34">
        <v>2990</v>
      </c>
      <c r="M604" s="34">
        <f>VLOOKUP(Table16[[#This Row],[ROUTE]],DEMAND!A:F,5,FALSE)</f>
        <v>2991</v>
      </c>
      <c r="N604" s="34">
        <f>VLOOKUP(Table16[[#This Row],[ROUTE]],DEMAND!A:F,6,FALSE)</f>
        <v>351</v>
      </c>
      <c r="O604" s="34">
        <f>ROUNDDOWN(Table16[[#This Row],[R-DEMAND]]/1320,0)</f>
        <v>0</v>
      </c>
      <c r="P604" s="34">
        <f>Table16[[#This Row],[ADD ACC]]*Table16[[#This Row],[Duration]]</f>
        <v>0</v>
      </c>
    </row>
    <row r="605" spans="1:16" x14ac:dyDescent="0.25">
      <c r="A605" s="54" t="s">
        <v>12274</v>
      </c>
      <c r="B605" s="34" t="s">
        <v>3723</v>
      </c>
      <c r="C605" s="34" t="s">
        <v>2</v>
      </c>
      <c r="D605" s="34">
        <v>2</v>
      </c>
      <c r="E605" s="34" t="s">
        <v>807</v>
      </c>
      <c r="F605" s="34"/>
      <c r="G605" s="34" t="s">
        <v>7487</v>
      </c>
      <c r="H605" s="110">
        <v>10232</v>
      </c>
      <c r="I605" s="122">
        <v>24.75</v>
      </c>
      <c r="J605" s="111">
        <v>234205410</v>
      </c>
      <c r="K605" s="111">
        <f>IFERROR(Table16[[#This Row],[ROUTE COST]]/Table16[[#This Row],[E - DEMAND]],0)</f>
        <v>83614.926811852914</v>
      </c>
      <c r="L605" s="34">
        <v>2801</v>
      </c>
      <c r="M605" s="34">
        <f>VLOOKUP(Table16[[#This Row],[ROUTE]],DEMAND!A:F,5,FALSE)</f>
        <v>2989</v>
      </c>
      <c r="N605" s="34">
        <f>VLOOKUP(Table16[[#This Row],[ROUTE]],DEMAND!A:F,6,FALSE)</f>
        <v>349</v>
      </c>
      <c r="O605" s="34">
        <f>ROUNDDOWN(Table16[[#This Row],[R-DEMAND]]/1320,0)</f>
        <v>0</v>
      </c>
      <c r="P605" s="34">
        <f>Table16[[#This Row],[ADD ACC]]*Table16[[#This Row],[Duration]]</f>
        <v>0</v>
      </c>
    </row>
    <row r="606" spans="1:16" x14ac:dyDescent="0.25">
      <c r="A606" s="54" t="s">
        <v>12453</v>
      </c>
      <c r="B606" s="34" t="s">
        <v>5281</v>
      </c>
      <c r="C606" s="34" t="s">
        <v>2</v>
      </c>
      <c r="D606" s="34">
        <v>3</v>
      </c>
      <c r="E606" s="34" t="s">
        <v>560</v>
      </c>
      <c r="F606" s="34"/>
      <c r="G606" s="34" t="s">
        <v>11708</v>
      </c>
      <c r="H606" s="110">
        <v>11857</v>
      </c>
      <c r="I606" s="122">
        <v>28.5</v>
      </c>
      <c r="J606" s="111">
        <v>271558638</v>
      </c>
      <c r="K606" s="111">
        <f>IFERROR(Table16[[#This Row],[ROUTE COST]]/Table16[[#This Row],[E - DEMAND]],0)</f>
        <v>91127.059731543617</v>
      </c>
      <c r="L606" s="34">
        <v>2980</v>
      </c>
      <c r="M606" s="34">
        <f>VLOOKUP(Table16[[#This Row],[ROUTE]],DEMAND!A:F,5,FALSE)</f>
        <v>2981</v>
      </c>
      <c r="N606" s="34">
        <f>VLOOKUP(Table16[[#This Row],[ROUTE]],DEMAND!A:F,6,FALSE)</f>
        <v>341</v>
      </c>
      <c r="O606" s="34">
        <f>ROUNDDOWN(Table16[[#This Row],[R-DEMAND]]/1320,0)</f>
        <v>0</v>
      </c>
      <c r="P606" s="34">
        <f>Table16[[#This Row],[ADD ACC]]*Table16[[#This Row],[Duration]]</f>
        <v>0</v>
      </c>
    </row>
    <row r="607" spans="1:16" x14ac:dyDescent="0.25">
      <c r="A607" s="54" t="s">
        <v>12267</v>
      </c>
      <c r="B607" s="34" t="s">
        <v>4402</v>
      </c>
      <c r="C607" s="34" t="s">
        <v>2</v>
      </c>
      <c r="D607" s="34">
        <v>2</v>
      </c>
      <c r="E607" s="34" t="s">
        <v>3915</v>
      </c>
      <c r="F607" s="34"/>
      <c r="G607" s="34" t="s">
        <v>11793</v>
      </c>
      <c r="H607" s="110">
        <v>10700</v>
      </c>
      <c r="I607" s="122">
        <v>25.75</v>
      </c>
      <c r="J607" s="111">
        <v>244621076</v>
      </c>
      <c r="K607" s="111">
        <f>IFERROR(Table16[[#This Row],[ROUTE COST]]/Table16[[#This Row],[E - DEMAND]],0)</f>
        <v>82336.276001346341</v>
      </c>
      <c r="L607" s="34">
        <v>2971</v>
      </c>
      <c r="M607" s="34">
        <f>VLOOKUP(Table16[[#This Row],[ROUTE]],DEMAND!A:F,5,FALSE)</f>
        <v>2974</v>
      </c>
      <c r="N607" s="34">
        <f>VLOOKUP(Table16[[#This Row],[ROUTE]],DEMAND!A:F,6,FALSE)</f>
        <v>-2306</v>
      </c>
      <c r="O607" s="34">
        <f>ROUNDDOWN(Table16[[#This Row],[R-DEMAND]]/1320,0)</f>
        <v>-1</v>
      </c>
      <c r="P607" s="34">
        <f>Table16[[#This Row],[ADD ACC]]*Table16[[#This Row],[Duration]]</f>
        <v>-25.75</v>
      </c>
    </row>
    <row r="608" spans="1:16" x14ac:dyDescent="0.25">
      <c r="A608" s="54" t="s">
        <v>12263</v>
      </c>
      <c r="B608" s="34" t="s">
        <v>4279</v>
      </c>
      <c r="C608" s="34" t="s">
        <v>2</v>
      </c>
      <c r="D608" s="34">
        <v>2</v>
      </c>
      <c r="E608" s="34" t="s">
        <v>1427</v>
      </c>
      <c r="F608" s="34"/>
      <c r="G608" s="34" t="s">
        <v>11787</v>
      </c>
      <c r="H608" s="110">
        <v>10762</v>
      </c>
      <c r="I608" s="122">
        <v>26</v>
      </c>
      <c r="J608" s="111">
        <v>244039417</v>
      </c>
      <c r="K608" s="111">
        <f>IFERROR(Table16[[#This Row],[ROUTE COST]]/Table16[[#This Row],[E - DEMAND]],0)</f>
        <v>82978.380482828972</v>
      </c>
      <c r="L608" s="34">
        <v>2941</v>
      </c>
      <c r="M608" s="34">
        <f>VLOOKUP(Table16[[#This Row],[ROUTE]],DEMAND!A:F,5,FALSE)</f>
        <v>2942</v>
      </c>
      <c r="N608" s="34">
        <f>VLOOKUP(Table16[[#This Row],[ROUTE]],DEMAND!A:F,6,FALSE)</f>
        <v>302</v>
      </c>
      <c r="O608" s="34">
        <f>ROUNDDOWN(Table16[[#This Row],[R-DEMAND]]/1320,0)</f>
        <v>0</v>
      </c>
      <c r="P608" s="34">
        <f>Table16[[#This Row],[ADD ACC]]*Table16[[#This Row],[Duration]]</f>
        <v>0</v>
      </c>
    </row>
    <row r="609" spans="1:16" x14ac:dyDescent="0.25">
      <c r="A609" s="54" t="s">
        <v>12452</v>
      </c>
      <c r="B609" s="34" t="s">
        <v>5202</v>
      </c>
      <c r="C609" s="34" t="s">
        <v>2</v>
      </c>
      <c r="D609" s="34">
        <v>3</v>
      </c>
      <c r="E609" s="34" t="s">
        <v>560</v>
      </c>
      <c r="F609" s="34"/>
      <c r="G609" s="34" t="s">
        <v>11707</v>
      </c>
      <c r="H609" s="110">
        <v>11885</v>
      </c>
      <c r="I609" s="122">
        <v>28.5</v>
      </c>
      <c r="J609" s="111">
        <v>269440330</v>
      </c>
      <c r="K609" s="111">
        <f>IFERROR(Table16[[#This Row],[ROUTE COST]]/Table16[[#This Row],[E - DEMAND]],0)</f>
        <v>91896.429058663023</v>
      </c>
      <c r="L609" s="34">
        <v>2932</v>
      </c>
      <c r="M609" s="34">
        <f>VLOOKUP(Table16[[#This Row],[ROUTE]],DEMAND!A:F,5,FALSE)</f>
        <v>2933</v>
      </c>
      <c r="N609" s="34">
        <f>VLOOKUP(Table16[[#This Row],[ROUTE]],DEMAND!A:F,6,FALSE)</f>
        <v>293</v>
      </c>
      <c r="O609" s="34">
        <f>ROUNDDOWN(Table16[[#This Row],[R-DEMAND]]/1320,0)</f>
        <v>0</v>
      </c>
      <c r="P609" s="34">
        <f>Table16[[#This Row],[ADD ACC]]*Table16[[#This Row],[Duration]]</f>
        <v>0</v>
      </c>
    </row>
    <row r="610" spans="1:16" x14ac:dyDescent="0.25">
      <c r="A610" s="54" t="s">
        <v>12283</v>
      </c>
      <c r="B610" s="34" t="s">
        <v>3551</v>
      </c>
      <c r="C610" s="34" t="s">
        <v>2</v>
      </c>
      <c r="D610" s="34">
        <v>2</v>
      </c>
      <c r="E610" s="34" t="s">
        <v>807</v>
      </c>
      <c r="F610" s="34"/>
      <c r="G610" s="34" t="s">
        <v>9001</v>
      </c>
      <c r="H610" s="110">
        <v>10060</v>
      </c>
      <c r="I610" s="122">
        <v>24.5</v>
      </c>
      <c r="J610" s="111">
        <v>231452180</v>
      </c>
      <c r="K610" s="111">
        <f>IFERROR(Table16[[#This Row],[ROUTE COST]]/Table16[[#This Row],[E - DEMAND]],0)</f>
        <v>83617.117052023124</v>
      </c>
      <c r="L610" s="34">
        <v>2768</v>
      </c>
      <c r="M610" s="34">
        <f>VLOOKUP(Table16[[#This Row],[ROUTE]],DEMAND!A:F,5,FALSE)</f>
        <v>2927</v>
      </c>
      <c r="N610" s="34">
        <f>VLOOKUP(Table16[[#This Row],[ROUTE]],DEMAND!A:F,6,FALSE)</f>
        <v>287</v>
      </c>
      <c r="O610" s="34">
        <f>ROUNDDOWN(Table16[[#This Row],[R-DEMAND]]/1320,0)</f>
        <v>0</v>
      </c>
      <c r="P610" s="34">
        <f>Table16[[#This Row],[ADD ACC]]*Table16[[#This Row],[Duration]]</f>
        <v>0</v>
      </c>
    </row>
    <row r="611" spans="1:16" x14ac:dyDescent="0.25">
      <c r="A611" s="54" t="s">
        <v>12225</v>
      </c>
      <c r="B611" s="34" t="s">
        <v>4590</v>
      </c>
      <c r="C611" s="34" t="s">
        <v>2</v>
      </c>
      <c r="D611" s="34">
        <v>2</v>
      </c>
      <c r="E611" s="34" t="s">
        <v>119</v>
      </c>
      <c r="F611" s="34"/>
      <c r="G611" s="34" t="s">
        <v>11696</v>
      </c>
      <c r="H611" s="110">
        <v>12108</v>
      </c>
      <c r="I611" s="122">
        <v>29</v>
      </c>
      <c r="J611" s="111">
        <v>260718090</v>
      </c>
      <c r="K611" s="111">
        <f>IFERROR(Table16[[#This Row],[ROUTE COST]]/Table16[[#This Row],[E - DEMAND]],0)</f>
        <v>89195.378036264112</v>
      </c>
      <c r="L611" s="34">
        <v>2923</v>
      </c>
      <c r="M611" s="34">
        <f>VLOOKUP(Table16[[#This Row],[ROUTE]],DEMAND!A:F,5,FALSE)</f>
        <v>2924</v>
      </c>
      <c r="N611" s="34">
        <f>VLOOKUP(Table16[[#This Row],[ROUTE]],DEMAND!A:F,6,FALSE)</f>
        <v>284</v>
      </c>
      <c r="O611" s="34">
        <f>ROUNDDOWN(Table16[[#This Row],[R-DEMAND]]/1320,0)</f>
        <v>0</v>
      </c>
      <c r="P611" s="34">
        <f>Table16[[#This Row],[ADD ACC]]*Table16[[#This Row],[Duration]]</f>
        <v>0</v>
      </c>
    </row>
    <row r="612" spans="1:16" x14ac:dyDescent="0.25">
      <c r="A612" s="54" t="s">
        <v>12243</v>
      </c>
      <c r="B612" s="34" t="s">
        <v>3929</v>
      </c>
      <c r="C612" s="34" t="s">
        <v>2</v>
      </c>
      <c r="D612" s="34">
        <v>2</v>
      </c>
      <c r="E612" s="34" t="s">
        <v>3180</v>
      </c>
      <c r="F612" s="34"/>
      <c r="G612" s="34" t="s">
        <v>11735</v>
      </c>
      <c r="H612" s="110">
        <v>11326</v>
      </c>
      <c r="I612" s="122">
        <v>27.25</v>
      </c>
      <c r="J612" s="111">
        <v>247015941</v>
      </c>
      <c r="K612" s="111">
        <f>IFERROR(Table16[[#This Row],[ROUTE COST]]/Table16[[#This Row],[E - DEMAND]],0)</f>
        <v>88062.724064171125</v>
      </c>
      <c r="L612" s="34">
        <v>2805</v>
      </c>
      <c r="M612" s="34">
        <f>VLOOKUP(Table16[[#This Row],[ROUTE]],DEMAND!A:F,5,FALSE)</f>
        <v>2919</v>
      </c>
      <c r="N612" s="34">
        <f>VLOOKUP(Table16[[#This Row],[ROUTE]],DEMAND!A:F,6,FALSE)</f>
        <v>279</v>
      </c>
      <c r="O612" s="34">
        <f>ROUNDDOWN(Table16[[#This Row],[R-DEMAND]]/1320,0)</f>
        <v>0</v>
      </c>
      <c r="P612" s="34">
        <f>Table16[[#This Row],[ADD ACC]]*Table16[[#This Row],[Duration]]</f>
        <v>0</v>
      </c>
    </row>
    <row r="613" spans="1:16" x14ac:dyDescent="0.25">
      <c r="A613" s="54" t="s">
        <v>12264</v>
      </c>
      <c r="B613" s="34" t="s">
        <v>4355</v>
      </c>
      <c r="C613" s="34" t="s">
        <v>2</v>
      </c>
      <c r="D613" s="34">
        <v>2</v>
      </c>
      <c r="E613" s="34" t="s">
        <v>308</v>
      </c>
      <c r="F613" s="34"/>
      <c r="G613" s="34" t="s">
        <v>11788</v>
      </c>
      <c r="H613" s="110">
        <v>10745</v>
      </c>
      <c r="I613" s="122">
        <v>26</v>
      </c>
      <c r="J613" s="111">
        <v>244648088</v>
      </c>
      <c r="K613" s="111">
        <f>IFERROR(Table16[[#This Row],[ROUTE COST]]/Table16[[#This Row],[E - DEMAND]],0)</f>
        <v>84332.329541537401</v>
      </c>
      <c r="L613" s="34">
        <v>2901</v>
      </c>
      <c r="M613" s="34">
        <f>VLOOKUP(Table16[[#This Row],[ROUTE]],DEMAND!A:F,5,FALSE)</f>
        <v>2903</v>
      </c>
      <c r="N613" s="34">
        <f>VLOOKUP(Table16[[#This Row],[ROUTE]],DEMAND!A:F,6,FALSE)</f>
        <v>1583</v>
      </c>
      <c r="O613" s="34">
        <f>ROUNDDOWN(Table16[[#This Row],[R-DEMAND]]/1320,0)</f>
        <v>1</v>
      </c>
      <c r="P613" s="34">
        <f>Table16[[#This Row],[ADD ACC]]*Table16[[#This Row],[Duration]]</f>
        <v>26</v>
      </c>
    </row>
    <row r="614" spans="1:16" x14ac:dyDescent="0.25">
      <c r="A614" s="54" t="s">
        <v>12501</v>
      </c>
      <c r="B614" s="34" t="s">
        <v>4924</v>
      </c>
      <c r="C614" s="34" t="s">
        <v>2</v>
      </c>
      <c r="D614" s="34">
        <v>3</v>
      </c>
      <c r="E614" s="34" t="s">
        <v>597</v>
      </c>
      <c r="F614" s="34"/>
      <c r="G614" s="34" t="s">
        <v>11838</v>
      </c>
      <c r="H614" s="110">
        <v>9732</v>
      </c>
      <c r="I614" s="122">
        <v>23.75</v>
      </c>
      <c r="J614" s="111">
        <v>241353090</v>
      </c>
      <c r="K614" s="111">
        <f>IFERROR(Table16[[#This Row],[ROUTE COST]]/Table16[[#This Row],[E - DEMAND]],0)</f>
        <v>83426.577946768055</v>
      </c>
      <c r="L614" s="34">
        <v>2893</v>
      </c>
      <c r="M614" s="34">
        <f>VLOOKUP(Table16[[#This Row],[ROUTE]],DEMAND!A:F,5,FALSE)</f>
        <v>2894</v>
      </c>
      <c r="N614" s="34">
        <f>VLOOKUP(Table16[[#This Row],[ROUTE]],DEMAND!A:F,6,FALSE)</f>
        <v>254</v>
      </c>
      <c r="O614" s="34">
        <f>ROUNDDOWN(Table16[[#This Row],[R-DEMAND]]/1320,0)</f>
        <v>0</v>
      </c>
      <c r="P614" s="34">
        <f>Table16[[#This Row],[ADD ACC]]*Table16[[#This Row],[Duration]]</f>
        <v>0</v>
      </c>
    </row>
    <row r="615" spans="1:16" x14ac:dyDescent="0.25">
      <c r="A615" s="54" t="s">
        <v>12255</v>
      </c>
      <c r="B615" s="34" t="s">
        <v>4003</v>
      </c>
      <c r="C615" s="34" t="s">
        <v>2</v>
      </c>
      <c r="D615" s="34">
        <v>2</v>
      </c>
      <c r="E615" s="34" t="s">
        <v>1427</v>
      </c>
      <c r="F615" s="34"/>
      <c r="G615" s="34" t="s">
        <v>11766</v>
      </c>
      <c r="H615" s="110">
        <v>10993</v>
      </c>
      <c r="I615" s="122">
        <v>26.5</v>
      </c>
      <c r="J615" s="111">
        <v>243992875</v>
      </c>
      <c r="K615" s="111">
        <f>IFERROR(Table16[[#This Row],[ROUTE COST]]/Table16[[#This Row],[E - DEMAND]],0)</f>
        <v>84867.086956521744</v>
      </c>
      <c r="L615" s="34">
        <v>2875</v>
      </c>
      <c r="M615" s="34">
        <f>VLOOKUP(Table16[[#This Row],[ROUTE]],DEMAND!A:F,5,FALSE)</f>
        <v>2876</v>
      </c>
      <c r="N615" s="34">
        <f>VLOOKUP(Table16[[#This Row],[ROUTE]],DEMAND!A:F,6,FALSE)</f>
        <v>236</v>
      </c>
      <c r="O615" s="34">
        <f>ROUNDDOWN(Table16[[#This Row],[R-DEMAND]]/1320,0)</f>
        <v>0</v>
      </c>
      <c r="P615" s="34">
        <f>Table16[[#This Row],[ADD ACC]]*Table16[[#This Row],[Duration]]</f>
        <v>0</v>
      </c>
    </row>
    <row r="616" spans="1:16" x14ac:dyDescent="0.25">
      <c r="A616" s="54" t="s">
        <v>12258</v>
      </c>
      <c r="B616" s="34" t="s">
        <v>4164</v>
      </c>
      <c r="C616" s="34" t="s">
        <v>2</v>
      </c>
      <c r="D616" s="34">
        <v>2</v>
      </c>
      <c r="E616" s="34" t="s">
        <v>876</v>
      </c>
      <c r="F616" s="34"/>
      <c r="G616" s="34" t="s">
        <v>11772</v>
      </c>
      <c r="H616" s="110">
        <v>10949</v>
      </c>
      <c r="I616" s="122">
        <v>26.5</v>
      </c>
      <c r="J616" s="111">
        <v>245123122</v>
      </c>
      <c r="K616" s="111">
        <v>2856</v>
      </c>
      <c r="L616" s="34"/>
      <c r="M616" s="34">
        <f>VLOOKUP(Table16[[#This Row],[ROUTE]],DEMAND!A:F,5,FALSE)</f>
        <v>2858</v>
      </c>
      <c r="N616" s="34">
        <f>VLOOKUP(Table16[[#This Row],[ROUTE]],DEMAND!A:F,6,FALSE)</f>
        <v>-1102</v>
      </c>
      <c r="O616" s="34">
        <f>ROUNDDOWN(Table16[[#This Row],[R-DEMAND]]/1320,0)</f>
        <v>0</v>
      </c>
      <c r="P616" s="34">
        <f>Table16[[#This Row],[ADD ACC]]*Table16[[#This Row],[Duration]]</f>
        <v>0</v>
      </c>
    </row>
    <row r="617" spans="1:16" x14ac:dyDescent="0.25">
      <c r="A617" s="54" t="s">
        <v>12262</v>
      </c>
      <c r="B617" s="34" t="s">
        <v>4144</v>
      </c>
      <c r="C617" s="34" t="s">
        <v>2</v>
      </c>
      <c r="D617" s="34">
        <v>2</v>
      </c>
      <c r="E617" s="34" t="s">
        <v>308</v>
      </c>
      <c r="F617" s="34"/>
      <c r="G617" s="34" t="s">
        <v>11785</v>
      </c>
      <c r="H617" s="110">
        <v>10806</v>
      </c>
      <c r="I617" s="122">
        <v>26</v>
      </c>
      <c r="J617" s="111">
        <v>243435752</v>
      </c>
      <c r="K617" s="111">
        <f>IFERROR(Table16[[#This Row],[ROUTE COST]]/Table16[[#This Row],[E - DEMAND]],0)</f>
        <v>85386.093300596287</v>
      </c>
      <c r="L617" s="34">
        <v>2851</v>
      </c>
      <c r="M617" s="34">
        <f>VLOOKUP(Table16[[#This Row],[ROUTE]],DEMAND!A:F,5,FALSE)</f>
        <v>2852</v>
      </c>
      <c r="N617" s="34">
        <f>VLOOKUP(Table16[[#This Row],[ROUTE]],DEMAND!A:F,6,FALSE)</f>
        <v>212</v>
      </c>
      <c r="O617" s="34">
        <f>ROUNDDOWN(Table16[[#This Row],[R-DEMAND]]/1320,0)</f>
        <v>0</v>
      </c>
      <c r="P617" s="34">
        <f>Table16[[#This Row],[ADD ACC]]*Table16[[#This Row],[Duration]]</f>
        <v>0</v>
      </c>
    </row>
    <row r="618" spans="1:16" x14ac:dyDescent="0.25">
      <c r="A618" s="54" t="s">
        <v>12265</v>
      </c>
      <c r="B618" s="34" t="s">
        <v>4092</v>
      </c>
      <c r="C618" s="34" t="s">
        <v>2</v>
      </c>
      <c r="D618" s="34">
        <v>2</v>
      </c>
      <c r="E618" s="34" t="s">
        <v>308</v>
      </c>
      <c r="F618" s="34"/>
      <c r="G618" s="34" t="s">
        <v>11789</v>
      </c>
      <c r="H618" s="110">
        <v>10744</v>
      </c>
      <c r="I618" s="122">
        <v>26</v>
      </c>
      <c r="J618" s="111">
        <v>242428500</v>
      </c>
      <c r="K618" s="111">
        <f>IFERROR(Table16[[#This Row],[ROUTE COST]]/Table16[[#This Row],[E - DEMAND]],0)</f>
        <v>85362.147887323939</v>
      </c>
      <c r="L618" s="34">
        <v>2840</v>
      </c>
      <c r="M618" s="34">
        <f>VLOOKUP(Table16[[#This Row],[ROUTE]],DEMAND!A:F,5,FALSE)</f>
        <v>2841</v>
      </c>
      <c r="N618" s="34">
        <f>VLOOKUP(Table16[[#This Row],[ROUTE]],DEMAND!A:F,6,FALSE)</f>
        <v>201</v>
      </c>
      <c r="O618" s="34">
        <f>ROUNDDOWN(Table16[[#This Row],[R-DEMAND]]/1320,0)</f>
        <v>0</v>
      </c>
      <c r="P618" s="34">
        <f>Table16[[#This Row],[ADD ACC]]*Table16[[#This Row],[Duration]]</f>
        <v>0</v>
      </c>
    </row>
    <row r="619" spans="1:16" x14ac:dyDescent="0.25">
      <c r="A619" s="54" t="s">
        <v>12123</v>
      </c>
      <c r="B619" s="34" t="s">
        <v>1333</v>
      </c>
      <c r="C619" s="34" t="s">
        <v>2</v>
      </c>
      <c r="D619" s="34">
        <v>1</v>
      </c>
      <c r="E619" s="34" t="s">
        <v>662</v>
      </c>
      <c r="F619" s="34"/>
      <c r="G619" s="34" t="s">
        <v>11694</v>
      </c>
      <c r="H619" s="110">
        <v>12133</v>
      </c>
      <c r="I619" s="122">
        <v>29</v>
      </c>
      <c r="K619" s="111">
        <f>IFERROR(Table16[[#This Row],[ROUTE COST]]/Table16[[#This Row],[E - DEMAND]],0)</f>
        <v>0</v>
      </c>
      <c r="L619" s="34"/>
      <c r="M619" s="34">
        <f>VLOOKUP(Table16[[#This Row],[ROUTE]],DEMAND!A:F,5,FALSE)</f>
        <v>2833</v>
      </c>
      <c r="N619" s="34">
        <f>VLOOKUP(Table16[[#This Row],[ROUTE]],DEMAND!A:F,6,FALSE)</f>
        <v>193</v>
      </c>
      <c r="O619" s="34">
        <f>ROUNDDOWN(Table16[[#This Row],[R-DEMAND]]/1320,0)</f>
        <v>0</v>
      </c>
      <c r="P619" s="34">
        <f>Table16[[#This Row],[ADD ACC]]*Table16[[#This Row],[Duration]]</f>
        <v>0</v>
      </c>
    </row>
    <row r="620" spans="1:16" x14ac:dyDescent="0.25">
      <c r="A620" s="54" t="s">
        <v>12236</v>
      </c>
      <c r="B620" s="34" t="s">
        <v>3311</v>
      </c>
      <c r="C620" s="34" t="s">
        <v>2</v>
      </c>
      <c r="D620" s="34">
        <v>2</v>
      </c>
      <c r="E620" s="34" t="s">
        <v>3180</v>
      </c>
      <c r="F620" s="34"/>
      <c r="G620" s="34" t="s">
        <v>11723</v>
      </c>
      <c r="H620" s="110">
        <v>11499</v>
      </c>
      <c r="I620" s="122">
        <v>27.5</v>
      </c>
      <c r="J620" s="111">
        <v>244518835</v>
      </c>
      <c r="K620" s="111">
        <f>IFERROR(Table16[[#This Row],[ROUTE COST]]/Table16[[#This Row],[E - DEMAND]],0)</f>
        <v>90899.195167286249</v>
      </c>
      <c r="L620" s="34">
        <v>2690</v>
      </c>
      <c r="M620" s="34">
        <f>VLOOKUP(Table16[[#This Row],[ROUTE]],DEMAND!A:F,5,FALSE)</f>
        <v>2826</v>
      </c>
      <c r="N620" s="34">
        <f>VLOOKUP(Table16[[#This Row],[ROUTE]],DEMAND!A:F,6,FALSE)</f>
        <v>186</v>
      </c>
      <c r="O620" s="34">
        <f>ROUNDDOWN(Table16[[#This Row],[R-DEMAND]]/1320,0)</f>
        <v>0</v>
      </c>
      <c r="P620" s="34">
        <f>Table16[[#This Row],[ADD ACC]]*Table16[[#This Row],[Duration]]</f>
        <v>0</v>
      </c>
    </row>
    <row r="621" spans="1:16" x14ac:dyDescent="0.25">
      <c r="A621" s="54" t="s">
        <v>12229</v>
      </c>
      <c r="B621" s="34" t="s">
        <v>4194</v>
      </c>
      <c r="C621" s="34" t="s">
        <v>2</v>
      </c>
      <c r="D621" s="34">
        <v>2</v>
      </c>
      <c r="E621" s="34" t="s">
        <v>119</v>
      </c>
      <c r="F621" s="34"/>
      <c r="G621" s="34" t="s">
        <v>11703</v>
      </c>
      <c r="H621" s="110">
        <v>11930</v>
      </c>
      <c r="I621" s="122">
        <v>28.5</v>
      </c>
      <c r="J621" s="111">
        <v>255179414</v>
      </c>
      <c r="K621" s="111">
        <f>IFERROR(Table16[[#This Row],[ROUTE COST]]/Table16[[#This Row],[E - DEMAND]],0)</f>
        <v>90392.991144172862</v>
      </c>
      <c r="L621" s="34">
        <v>2823</v>
      </c>
      <c r="M621" s="34">
        <f>VLOOKUP(Table16[[#This Row],[ROUTE]],DEMAND!A:F,5,FALSE)</f>
        <v>2823</v>
      </c>
      <c r="N621" s="34">
        <f>VLOOKUP(Table16[[#This Row],[ROUTE]],DEMAND!A:F,6,FALSE)</f>
        <v>183</v>
      </c>
      <c r="O621" s="34">
        <f>ROUNDDOWN(Table16[[#This Row],[R-DEMAND]]/1320,0)</f>
        <v>0</v>
      </c>
      <c r="P621" s="34">
        <f>Table16[[#This Row],[ADD ACC]]*Table16[[#This Row],[Duration]]</f>
        <v>0</v>
      </c>
    </row>
    <row r="622" spans="1:16" x14ac:dyDescent="0.25">
      <c r="A622" s="54" t="s">
        <v>12247</v>
      </c>
      <c r="B622" s="34" t="s">
        <v>3638</v>
      </c>
      <c r="C622" s="34" t="s">
        <v>2</v>
      </c>
      <c r="D622" s="34">
        <v>2</v>
      </c>
      <c r="E622" s="34" t="s">
        <v>1427</v>
      </c>
      <c r="F622" s="34"/>
      <c r="G622" s="34" t="s">
        <v>11745</v>
      </c>
      <c r="H622" s="110">
        <v>11197</v>
      </c>
      <c r="I622" s="122">
        <v>27</v>
      </c>
      <c r="J622" s="111">
        <v>243289913</v>
      </c>
      <c r="K622" s="111">
        <f>IFERROR(Table16[[#This Row],[ROUTE COST]]/Table16[[#This Row],[E - DEMAND]],0)</f>
        <v>86920.297606287961</v>
      </c>
      <c r="L622" s="34">
        <v>2799</v>
      </c>
      <c r="M622" s="34">
        <f>VLOOKUP(Table16[[#This Row],[ROUTE]],DEMAND!A:F,5,FALSE)</f>
        <v>2800</v>
      </c>
      <c r="N622" s="34">
        <f>VLOOKUP(Table16[[#This Row],[ROUTE]],DEMAND!A:F,6,FALSE)</f>
        <v>160</v>
      </c>
      <c r="O622" s="34">
        <f>ROUNDDOWN(Table16[[#This Row],[R-DEMAND]]/1320,0)</f>
        <v>0</v>
      </c>
      <c r="P622" s="34">
        <f>Table16[[#This Row],[ADD ACC]]*Table16[[#This Row],[Duration]]</f>
        <v>0</v>
      </c>
    </row>
    <row r="623" spans="1:16" x14ac:dyDescent="0.25">
      <c r="A623" s="54" t="s">
        <v>12282</v>
      </c>
      <c r="B623" s="34" t="s">
        <v>3543</v>
      </c>
      <c r="C623" s="34" t="s">
        <v>2</v>
      </c>
      <c r="D623" s="34">
        <v>2</v>
      </c>
      <c r="E623" s="34" t="s">
        <v>597</v>
      </c>
      <c r="F623" s="34"/>
      <c r="G623" s="34" t="s">
        <v>11825</v>
      </c>
      <c r="H623" s="110">
        <v>10083</v>
      </c>
      <c r="I623" s="122">
        <v>24.5</v>
      </c>
      <c r="J623" s="111">
        <v>231427346</v>
      </c>
      <c r="K623" s="111">
        <f>IFERROR(Table16[[#This Row],[ROUTE COST]]/Table16[[#This Row],[E - DEMAND]],0)</f>
        <v>82948.869534050173</v>
      </c>
      <c r="L623" s="34">
        <v>2790</v>
      </c>
      <c r="M623" s="34">
        <f>VLOOKUP(Table16[[#This Row],[ROUTE]],DEMAND!A:F,5,FALSE)</f>
        <v>2790</v>
      </c>
      <c r="N623" s="34">
        <f>VLOOKUP(Table16[[#This Row],[ROUTE]],DEMAND!A:F,6,FALSE)</f>
        <v>150</v>
      </c>
      <c r="O623" s="34">
        <f>ROUNDDOWN(Table16[[#This Row],[R-DEMAND]]/1320,0)</f>
        <v>0</v>
      </c>
      <c r="P623" s="34">
        <f>Table16[[#This Row],[ADD ACC]]*Table16[[#This Row],[Duration]]</f>
        <v>0</v>
      </c>
    </row>
    <row r="624" spans="1:16" x14ac:dyDescent="0.25">
      <c r="A624" s="54" t="s">
        <v>12148</v>
      </c>
      <c r="B624" s="34" t="s">
        <v>2266</v>
      </c>
      <c r="C624" s="34" t="s">
        <v>2</v>
      </c>
      <c r="D624" s="34">
        <v>1</v>
      </c>
      <c r="E624" s="34" t="s">
        <v>605</v>
      </c>
      <c r="F624" s="34"/>
      <c r="G624" s="34" t="s">
        <v>11809</v>
      </c>
      <c r="H624" s="110">
        <v>10337</v>
      </c>
      <c r="I624" s="122">
        <v>25</v>
      </c>
      <c r="J624" s="111">
        <v>227923561</v>
      </c>
      <c r="K624" s="111">
        <f>IFERROR(Table16[[#This Row],[ROUTE COST]]/Table16[[#This Row],[E - DEMAND]],0)</f>
        <v>85814.59375</v>
      </c>
      <c r="L624" s="34">
        <v>2656</v>
      </c>
      <c r="M624" s="34">
        <f>VLOOKUP(Table16[[#This Row],[ROUTE]],DEMAND!A:F,5,FALSE)</f>
        <v>2789</v>
      </c>
      <c r="N624" s="34">
        <f>VLOOKUP(Table16[[#This Row],[ROUTE]],DEMAND!A:F,6,FALSE)</f>
        <v>149</v>
      </c>
      <c r="O624" s="34">
        <f>ROUNDDOWN(Table16[[#This Row],[R-DEMAND]]/1320,0)</f>
        <v>0</v>
      </c>
      <c r="P624" s="34">
        <f>Table16[[#This Row],[ADD ACC]]*Table16[[#This Row],[Duration]]</f>
        <v>0</v>
      </c>
    </row>
    <row r="625" spans="1:16" x14ac:dyDescent="0.25">
      <c r="A625" s="54" t="s">
        <v>12221</v>
      </c>
      <c r="B625" s="34" t="s">
        <v>4030</v>
      </c>
      <c r="C625" s="34" t="s">
        <v>2</v>
      </c>
      <c r="D625" s="34">
        <v>2</v>
      </c>
      <c r="E625" s="34" t="s">
        <v>119</v>
      </c>
      <c r="F625" s="34"/>
      <c r="G625" s="34" t="s">
        <v>11690</v>
      </c>
      <c r="H625" s="110">
        <v>12242</v>
      </c>
      <c r="I625" s="122">
        <v>29.25</v>
      </c>
      <c r="J625" s="111">
        <v>256881005</v>
      </c>
      <c r="K625" s="111">
        <f>IFERROR(Table16[[#This Row],[ROUTE COST]]/Table16[[#This Row],[E - DEMAND]],0)</f>
        <v>92204.237257717163</v>
      </c>
      <c r="L625" s="34">
        <v>2786</v>
      </c>
      <c r="M625" s="34">
        <f>VLOOKUP(Table16[[#This Row],[ROUTE]],DEMAND!A:F,5,FALSE)</f>
        <v>2788</v>
      </c>
      <c r="N625" s="34">
        <f>VLOOKUP(Table16[[#This Row],[ROUTE]],DEMAND!A:F,6,FALSE)</f>
        <v>148</v>
      </c>
      <c r="O625" s="34">
        <f>ROUNDDOWN(Table16[[#This Row],[R-DEMAND]]/1320,0)</f>
        <v>0</v>
      </c>
      <c r="P625" s="34">
        <f>Table16[[#This Row],[ADD ACC]]*Table16[[#This Row],[Duration]]</f>
        <v>0</v>
      </c>
    </row>
    <row r="626" spans="1:16" x14ac:dyDescent="0.25">
      <c r="A626" s="54" t="s">
        <v>12208</v>
      </c>
      <c r="B626" s="34" t="s">
        <v>4062</v>
      </c>
      <c r="C626" s="34" t="s">
        <v>2</v>
      </c>
      <c r="D626" s="34">
        <v>2</v>
      </c>
      <c r="E626" s="34" t="s">
        <v>514</v>
      </c>
      <c r="F626" s="34"/>
      <c r="G626" s="34" t="s">
        <v>11667</v>
      </c>
      <c r="H626" s="110">
        <v>13407</v>
      </c>
      <c r="I626" s="122">
        <v>31.75</v>
      </c>
      <c r="J626" s="111">
        <v>268862707</v>
      </c>
      <c r="K626" s="111">
        <f>IFERROR(Table16[[#This Row],[ROUTE COST]]/Table16[[#This Row],[E - DEMAND]],0)</f>
        <v>96643.676132278939</v>
      </c>
      <c r="L626" s="34">
        <v>2782</v>
      </c>
      <c r="M626" s="34">
        <f>VLOOKUP(Table16[[#This Row],[ROUTE]],DEMAND!A:F,5,FALSE)</f>
        <v>2783</v>
      </c>
      <c r="N626" s="34">
        <f>VLOOKUP(Table16[[#This Row],[ROUTE]],DEMAND!A:F,6,FALSE)</f>
        <v>143</v>
      </c>
      <c r="O626" s="34">
        <f>ROUNDDOWN(Table16[[#This Row],[R-DEMAND]]/1320,0)</f>
        <v>0</v>
      </c>
      <c r="P626" s="34">
        <f>Table16[[#This Row],[ADD ACC]]*Table16[[#This Row],[Duration]]</f>
        <v>0</v>
      </c>
    </row>
    <row r="627" spans="1:16" x14ac:dyDescent="0.25">
      <c r="A627" s="54" t="s">
        <v>12237</v>
      </c>
      <c r="B627" s="34" t="s">
        <v>4671</v>
      </c>
      <c r="C627" s="34" t="s">
        <v>2</v>
      </c>
      <c r="D627" s="34">
        <v>2</v>
      </c>
      <c r="E627" s="34" t="s">
        <v>560</v>
      </c>
      <c r="F627" s="34"/>
      <c r="G627" s="34" t="s">
        <v>11724</v>
      </c>
      <c r="H627" s="110">
        <v>11493</v>
      </c>
      <c r="I627" s="122">
        <v>27.5</v>
      </c>
      <c r="J627" s="111">
        <v>256631959</v>
      </c>
      <c r="K627" s="111">
        <f>IFERROR(Table16[[#This Row],[ROUTE COST]]/Table16[[#This Row],[E - DEMAND]],0)</f>
        <v>93219.018888485283</v>
      </c>
      <c r="L627" s="34">
        <v>2753</v>
      </c>
      <c r="M627" s="34">
        <f>VLOOKUP(Table16[[#This Row],[ROUTE]],DEMAND!A:F,5,FALSE)</f>
        <v>2754</v>
      </c>
      <c r="N627" s="34">
        <f>VLOOKUP(Table16[[#This Row],[ROUTE]],DEMAND!A:F,6,FALSE)</f>
        <v>114</v>
      </c>
      <c r="O627" s="34">
        <f>ROUNDDOWN(Table16[[#This Row],[R-DEMAND]]/1320,0)</f>
        <v>0</v>
      </c>
      <c r="P627" s="34">
        <f>Table16[[#This Row],[ADD ACC]]*Table16[[#This Row],[Duration]]</f>
        <v>0</v>
      </c>
    </row>
    <row r="628" spans="1:16" x14ac:dyDescent="0.25">
      <c r="A628" s="54" t="s">
        <v>12212</v>
      </c>
      <c r="B628" s="34" t="s">
        <v>3904</v>
      </c>
      <c r="C628" s="34" t="s">
        <v>2</v>
      </c>
      <c r="D628" s="34">
        <v>2</v>
      </c>
      <c r="E628" s="34" t="s">
        <v>514</v>
      </c>
      <c r="F628" s="34"/>
      <c r="G628" s="34" t="s">
        <v>11671</v>
      </c>
      <c r="H628" s="110">
        <v>13114</v>
      </c>
      <c r="I628" s="122">
        <v>31.25</v>
      </c>
      <c r="J628" s="111">
        <v>264593672</v>
      </c>
      <c r="K628" s="111">
        <f>IFERROR(Table16[[#This Row],[ROUTE COST]]/Table16[[#This Row],[E - DEMAND]],0)</f>
        <v>96250.881047653689</v>
      </c>
      <c r="L628" s="34">
        <v>2749</v>
      </c>
      <c r="M628" s="34">
        <f>VLOOKUP(Table16[[#This Row],[ROUTE]],DEMAND!A:F,5,FALSE)</f>
        <v>2749</v>
      </c>
      <c r="N628" s="34">
        <f>VLOOKUP(Table16[[#This Row],[ROUTE]],DEMAND!A:F,6,FALSE)</f>
        <v>109</v>
      </c>
      <c r="O628" s="34">
        <f>ROUNDDOWN(Table16[[#This Row],[R-DEMAND]]/1320,0)</f>
        <v>0</v>
      </c>
      <c r="P628" s="34">
        <f>Table16[[#This Row],[ADD ACC]]*Table16[[#This Row],[Duration]]</f>
        <v>0</v>
      </c>
    </row>
    <row r="629" spans="1:16" x14ac:dyDescent="0.25">
      <c r="A629" s="54" t="s">
        <v>12655</v>
      </c>
      <c r="B629" s="34" t="s">
        <v>3363</v>
      </c>
      <c r="C629" s="34" t="s">
        <v>2</v>
      </c>
      <c r="D629" s="34">
        <v>3</v>
      </c>
      <c r="E629" s="34" t="s">
        <v>1216</v>
      </c>
      <c r="F629" s="34"/>
      <c r="G629" s="34" t="s">
        <v>11876</v>
      </c>
      <c r="H629" s="110">
        <v>8680</v>
      </c>
      <c r="I629" s="122">
        <v>21.25</v>
      </c>
      <c r="J629" s="111">
        <v>215053895</v>
      </c>
      <c r="K629" s="111">
        <f>IFERROR(Table16[[#This Row],[ROUTE COST]]/Table16[[#This Row],[E - DEMAND]],0)</f>
        <v>78315.329570284055</v>
      </c>
      <c r="L629" s="34">
        <v>2746</v>
      </c>
      <c r="M629" s="34">
        <f>VLOOKUP(Table16[[#This Row],[ROUTE]],DEMAND!A:F,5,FALSE)</f>
        <v>2747</v>
      </c>
      <c r="N629" s="34">
        <f>VLOOKUP(Table16[[#This Row],[ROUTE]],DEMAND!A:F,6,FALSE)</f>
        <v>107</v>
      </c>
      <c r="O629" s="34">
        <f>ROUNDDOWN(Table16[[#This Row],[R-DEMAND]]/1320,0)</f>
        <v>0</v>
      </c>
      <c r="P629" s="34">
        <f>Table16[[#This Row],[ADD ACC]]*Table16[[#This Row],[Duration]]</f>
        <v>0</v>
      </c>
    </row>
    <row r="630" spans="1:16" x14ac:dyDescent="0.25">
      <c r="A630" s="54" t="s">
        <v>12253</v>
      </c>
      <c r="B630" s="34" t="s">
        <v>3664</v>
      </c>
      <c r="C630" s="34" t="s">
        <v>2</v>
      </c>
      <c r="D630" s="34">
        <v>2</v>
      </c>
      <c r="E630" s="34" t="s">
        <v>876</v>
      </c>
      <c r="F630" s="34"/>
      <c r="G630" s="34" t="s">
        <v>11761</v>
      </c>
      <c r="H630" s="110">
        <v>11041</v>
      </c>
      <c r="I630" s="122">
        <v>26.5</v>
      </c>
      <c r="J630" s="111">
        <v>241999940</v>
      </c>
      <c r="K630" s="111">
        <v>2745</v>
      </c>
      <c r="L630" s="34"/>
      <c r="M630" s="34">
        <f>VLOOKUP(Table16[[#This Row],[ROUTE]],DEMAND!A:F,5,FALSE)</f>
        <v>2747</v>
      </c>
      <c r="N630" s="34">
        <f>VLOOKUP(Table16[[#This Row],[ROUTE]],DEMAND!A:F,6,FALSE)</f>
        <v>107</v>
      </c>
      <c r="O630" s="34">
        <f>ROUNDDOWN(Table16[[#This Row],[R-DEMAND]]/1320,0)</f>
        <v>0</v>
      </c>
      <c r="P630" s="34">
        <f>Table16[[#This Row],[ADD ACC]]*Table16[[#This Row],[Duration]]</f>
        <v>0</v>
      </c>
    </row>
    <row r="631" spans="1:16" x14ac:dyDescent="0.25">
      <c r="A631" s="54" t="s">
        <v>12227</v>
      </c>
      <c r="B631" s="34" t="s">
        <v>4553</v>
      </c>
      <c r="C631" s="34" t="s">
        <v>2</v>
      </c>
      <c r="D631" s="34">
        <v>2</v>
      </c>
      <c r="E631" s="34" t="s">
        <v>560</v>
      </c>
      <c r="F631" s="34"/>
      <c r="G631" s="34" t="s">
        <v>11698</v>
      </c>
      <c r="H631" s="110">
        <v>12066</v>
      </c>
      <c r="I631" s="122">
        <v>28.75</v>
      </c>
      <c r="J631" s="111">
        <v>261116917</v>
      </c>
      <c r="K631" s="111">
        <f>IFERROR(Table16[[#This Row],[ROUTE COST]]/Table16[[#This Row],[E - DEMAND]],0)</f>
        <v>95682.270795163058</v>
      </c>
      <c r="L631" s="34">
        <v>2729</v>
      </c>
      <c r="M631" s="34">
        <f>VLOOKUP(Table16[[#This Row],[ROUTE]],DEMAND!A:F,5,FALSE)</f>
        <v>2730</v>
      </c>
      <c r="N631" s="34">
        <f>VLOOKUP(Table16[[#This Row],[ROUTE]],DEMAND!A:F,6,FALSE)</f>
        <v>90</v>
      </c>
      <c r="O631" s="34">
        <f>ROUNDDOWN(Table16[[#This Row],[R-DEMAND]]/1320,0)</f>
        <v>0</v>
      </c>
      <c r="P631" s="34">
        <f>Table16[[#This Row],[ADD ACC]]*Table16[[#This Row],[Duration]]</f>
        <v>0</v>
      </c>
    </row>
    <row r="632" spans="1:16" x14ac:dyDescent="0.25">
      <c r="A632" s="54" t="s">
        <v>12211</v>
      </c>
      <c r="B632" s="34" t="s">
        <v>3507</v>
      </c>
      <c r="C632" s="34" t="s">
        <v>2</v>
      </c>
      <c r="D632" s="34">
        <v>2</v>
      </c>
      <c r="E632" s="34" t="s">
        <v>514</v>
      </c>
      <c r="F632" s="34"/>
      <c r="G632" s="34" t="s">
        <v>6041</v>
      </c>
      <c r="H632" s="110">
        <v>13210</v>
      </c>
      <c r="I632" s="122">
        <v>31.5</v>
      </c>
      <c r="J632" s="111">
        <v>262551752</v>
      </c>
      <c r="K632" s="111">
        <f>IFERROR(Table16[[#This Row],[ROUTE COST]]/Table16[[#This Row],[E - DEMAND]],0)</f>
        <v>98297.174092100337</v>
      </c>
      <c r="L632" s="34">
        <v>2671</v>
      </c>
      <c r="M632" s="34">
        <f>VLOOKUP(Table16[[#This Row],[ROUTE]],DEMAND!A:F,5,FALSE)</f>
        <v>2672</v>
      </c>
      <c r="N632" s="34">
        <f>VLOOKUP(Table16[[#This Row],[ROUTE]],DEMAND!A:F,6,FALSE)</f>
        <v>32</v>
      </c>
      <c r="O632" s="34">
        <f>ROUNDDOWN(Table16[[#This Row],[R-DEMAND]]/1320,0)</f>
        <v>0</v>
      </c>
      <c r="P632" s="34">
        <f>Table16[[#This Row],[ADD ACC]]*Table16[[#This Row],[Duration]]</f>
        <v>0</v>
      </c>
    </row>
    <row r="633" spans="1:16" x14ac:dyDescent="0.25">
      <c r="A633" s="54" t="s">
        <v>12256</v>
      </c>
      <c r="B633" s="34" t="s">
        <v>3127</v>
      </c>
      <c r="C633" s="34" t="s">
        <v>2</v>
      </c>
      <c r="D633" s="34">
        <v>2</v>
      </c>
      <c r="E633" s="34" t="s">
        <v>308</v>
      </c>
      <c r="F633" s="34"/>
      <c r="G633" s="34" t="s">
        <v>11768</v>
      </c>
      <c r="H633" s="110">
        <v>10988</v>
      </c>
      <c r="I633" s="122">
        <v>26.5</v>
      </c>
      <c r="J633" s="111">
        <v>238485582</v>
      </c>
      <c r="K633" s="111">
        <f>IFERROR(Table16[[#This Row],[ROUTE COST]]/Table16[[#This Row],[E - DEMAND]],0)</f>
        <v>89521.614864864867</v>
      </c>
      <c r="L633" s="34">
        <v>2664</v>
      </c>
      <c r="M633" s="34">
        <f>VLOOKUP(Table16[[#This Row],[ROUTE]],DEMAND!A:F,5,FALSE)</f>
        <v>2665</v>
      </c>
      <c r="N633" s="34">
        <f>VLOOKUP(Table16[[#This Row],[ROUTE]],DEMAND!A:F,6,FALSE)</f>
        <v>25</v>
      </c>
      <c r="O633" s="34">
        <f>ROUNDDOWN(Table16[[#This Row],[R-DEMAND]]/1320,0)</f>
        <v>0</v>
      </c>
      <c r="P633" s="34">
        <f>Table16[[#This Row],[ADD ACC]]*Table16[[#This Row],[Duration]]</f>
        <v>0</v>
      </c>
    </row>
    <row r="634" spans="1:16" x14ac:dyDescent="0.25">
      <c r="A634" s="54" t="s">
        <v>12224</v>
      </c>
      <c r="B634" s="34" t="s">
        <v>3269</v>
      </c>
      <c r="C634" s="34" t="s">
        <v>2</v>
      </c>
      <c r="D634" s="34">
        <v>2</v>
      </c>
      <c r="E634" s="34" t="s">
        <v>514</v>
      </c>
      <c r="F634" s="34"/>
      <c r="G634" s="34" t="s">
        <v>11695</v>
      </c>
      <c r="H634" s="110">
        <v>12109</v>
      </c>
      <c r="I634" s="122">
        <v>29</v>
      </c>
      <c r="J634" s="111">
        <v>250464562</v>
      </c>
      <c r="K634" s="111">
        <f>IFERROR(Table16[[#This Row],[ROUTE COST]]/Table16[[#This Row],[E - DEMAND]],0)</f>
        <v>94765.25236473704</v>
      </c>
      <c r="L634" s="34">
        <v>2643</v>
      </c>
      <c r="M634" s="34">
        <f>VLOOKUP(Table16[[#This Row],[ROUTE]],DEMAND!A:F,5,FALSE)</f>
        <v>2645</v>
      </c>
      <c r="N634" s="34">
        <f>VLOOKUP(Table16[[#This Row],[ROUTE]],DEMAND!A:F,6,FALSE)</f>
        <v>5</v>
      </c>
      <c r="O634" s="34">
        <f>ROUNDDOWN(Table16[[#This Row],[R-DEMAND]]/1320,0)</f>
        <v>0</v>
      </c>
      <c r="P634" s="34">
        <f>Table16[[#This Row],[ADD ACC]]*Table16[[#This Row],[Duration]]</f>
        <v>0</v>
      </c>
    </row>
    <row r="635" spans="1:16" x14ac:dyDescent="0.25">
      <c r="A635" s="54" t="s">
        <v>12217</v>
      </c>
      <c r="B635" s="34" t="s">
        <v>2553</v>
      </c>
      <c r="C635" s="34" t="s">
        <v>2</v>
      </c>
      <c r="D635" s="34">
        <v>2</v>
      </c>
      <c r="E635" s="34" t="s">
        <v>119</v>
      </c>
      <c r="F635" s="34"/>
      <c r="G635" s="34" t="s">
        <v>11681</v>
      </c>
      <c r="H635" s="110">
        <v>12462</v>
      </c>
      <c r="I635" s="122">
        <v>29.75</v>
      </c>
      <c r="J635" s="111">
        <v>250129700</v>
      </c>
      <c r="K635" s="111">
        <f>IFERROR(Table16[[#This Row],[ROUTE COST]]/Table16[[#This Row],[E - DEMAND]],0)</f>
        <v>97974.813944379159</v>
      </c>
      <c r="L635" s="34">
        <v>2553</v>
      </c>
      <c r="M635" s="34">
        <f>VLOOKUP(Table16[[#This Row],[ROUTE]],DEMAND!A:F,5,FALSE)</f>
        <v>2553</v>
      </c>
      <c r="N635" s="34">
        <f>VLOOKUP(Table16[[#This Row],[ROUTE]],DEMAND!A:F,6,FALSE)</f>
        <v>-87</v>
      </c>
      <c r="O635" s="34">
        <f>ROUNDDOWN(Table16[[#This Row],[R-DEMAND]]/1320,0)</f>
        <v>0</v>
      </c>
      <c r="P635" s="34">
        <f>Table16[[#This Row],[ADD ACC]]*Table16[[#This Row],[Duration]]</f>
        <v>0</v>
      </c>
    </row>
    <row r="636" spans="1:16" x14ac:dyDescent="0.25">
      <c r="A636" s="54" t="s">
        <v>12204</v>
      </c>
      <c r="B636" s="34" t="s">
        <v>2231</v>
      </c>
      <c r="C636" s="34" t="s">
        <v>2</v>
      </c>
      <c r="D636" s="34">
        <v>1</v>
      </c>
      <c r="E636" s="34" t="s">
        <v>774</v>
      </c>
      <c r="F636" s="34"/>
      <c r="G636" s="34" t="s">
        <v>8897</v>
      </c>
      <c r="H636" s="110">
        <v>1961</v>
      </c>
      <c r="I636" s="122">
        <v>6.5</v>
      </c>
      <c r="J636" s="111">
        <v>143636410</v>
      </c>
      <c r="K636" s="111">
        <f>IFERROR(Table16[[#This Row],[ROUTE COST]]/Table16[[#This Row],[E - DEMAND]],0)</f>
        <v>63053.735733099209</v>
      </c>
      <c r="L636" s="34">
        <v>2278</v>
      </c>
      <c r="M636" s="34">
        <f>VLOOKUP(Table16[[#This Row],[ROUTE]],DEMAND!A:F,5,FALSE)</f>
        <v>2432</v>
      </c>
      <c r="N636" s="34">
        <f>VLOOKUP(Table16[[#This Row],[ROUTE]],DEMAND!A:F,6,FALSE)</f>
        <v>1112</v>
      </c>
      <c r="O636" s="34">
        <f>ROUNDDOWN(Table16[[#This Row],[R-DEMAND]]/1320,0)</f>
        <v>0</v>
      </c>
      <c r="P636" s="34">
        <f>Table16[[#This Row],[ADD ACC]]*Table16[[#This Row],[Duration]]</f>
        <v>0</v>
      </c>
    </row>
    <row r="637" spans="1:16" x14ac:dyDescent="0.25">
      <c r="A637" s="54" t="s">
        <v>12411</v>
      </c>
      <c r="B637" s="34" t="s">
        <v>2692</v>
      </c>
      <c r="C637" s="34" t="s">
        <v>2</v>
      </c>
      <c r="D637" s="34">
        <v>2</v>
      </c>
      <c r="E637" s="34" t="s">
        <v>774</v>
      </c>
      <c r="F637" s="34"/>
      <c r="G637" s="34" t="s">
        <v>12022</v>
      </c>
      <c r="H637" s="110">
        <v>5206</v>
      </c>
      <c r="I637" s="122">
        <v>13.75</v>
      </c>
      <c r="J637" s="111">
        <v>177898130</v>
      </c>
      <c r="K637" s="111">
        <f>IFERROR(Table16[[#This Row],[ROUTE COST]]/Table16[[#This Row],[E - DEMAND]],0)</f>
        <v>77347.013043478262</v>
      </c>
      <c r="L637" s="34">
        <v>2300</v>
      </c>
      <c r="M637" s="34">
        <f>VLOOKUP(Table16[[#This Row],[ROUTE]],DEMAND!A:F,5,FALSE)</f>
        <v>2301</v>
      </c>
      <c r="N637" s="34">
        <f>VLOOKUP(Table16[[#This Row],[ROUTE]],DEMAND!A:F,6,FALSE)</f>
        <v>981</v>
      </c>
      <c r="O637" s="34">
        <f>ROUNDDOWN(Table16[[#This Row],[R-DEMAND]]/1320,0)</f>
        <v>0</v>
      </c>
      <c r="P637" s="34">
        <f>Table16[[#This Row],[ADD ACC]]*Table16[[#This Row],[Duration]]</f>
        <v>0</v>
      </c>
    </row>
    <row r="638" spans="1:16" x14ac:dyDescent="0.25">
      <c r="A638" s="54" t="s">
        <v>12202</v>
      </c>
      <c r="B638" s="34" t="s">
        <v>1937</v>
      </c>
      <c r="C638" s="34" t="s">
        <v>2</v>
      </c>
      <c r="D638" s="34">
        <v>1</v>
      </c>
      <c r="E638" s="34" t="s">
        <v>774</v>
      </c>
      <c r="F638" s="34"/>
      <c r="G638" s="34" t="s">
        <v>12099</v>
      </c>
      <c r="H638" s="110">
        <v>2259</v>
      </c>
      <c r="I638" s="122">
        <v>7.25</v>
      </c>
      <c r="J638" s="111">
        <v>145499590</v>
      </c>
      <c r="K638" s="111">
        <f>IFERROR(Table16[[#This Row],[ROUTE COST]]/Table16[[#This Row],[E - DEMAND]],0)</f>
        <v>64695.237883503782</v>
      </c>
      <c r="L638" s="34">
        <v>2249</v>
      </c>
      <c r="M638" s="34">
        <f>VLOOKUP(Table16[[#This Row],[ROUTE]],DEMAND!A:F,5,FALSE)</f>
        <v>2250</v>
      </c>
      <c r="N638" s="34">
        <f>VLOOKUP(Table16[[#This Row],[ROUTE]],DEMAND!A:F,6,FALSE)</f>
        <v>930</v>
      </c>
      <c r="O638" s="34">
        <f>ROUNDDOWN(Table16[[#This Row],[R-DEMAND]]/1320,0)</f>
        <v>0</v>
      </c>
      <c r="P638" s="34">
        <f>Table16[[#This Row],[ADD ACC]]*Table16[[#This Row],[Duration]]</f>
        <v>0</v>
      </c>
    </row>
    <row r="644" spans="9:11" x14ac:dyDescent="0.25">
      <c r="I644" s="111"/>
      <c r="K644" s="54"/>
    </row>
    <row r="645" spans="9:11" x14ac:dyDescent="0.25">
      <c r="I645" s="111"/>
      <c r="K645" s="54"/>
    </row>
    <row r="646" spans="9:11" x14ac:dyDescent="0.25">
      <c r="I646" s="111"/>
      <c r="K646" s="54"/>
    </row>
    <row r="647" spans="9:11" x14ac:dyDescent="0.25">
      <c r="I647" s="111"/>
      <c r="K647" s="54"/>
    </row>
    <row r="648" spans="9:11" x14ac:dyDescent="0.25">
      <c r="I648" s="111"/>
      <c r="K648" s="54"/>
    </row>
    <row r="649" spans="9:11" x14ac:dyDescent="0.25">
      <c r="I649" s="111"/>
      <c r="K649" s="54"/>
    </row>
    <row r="650" spans="9:11" x14ac:dyDescent="0.25">
      <c r="I650" s="111"/>
      <c r="K650" s="54"/>
    </row>
    <row r="651" spans="9:11" x14ac:dyDescent="0.25">
      <c r="I651" s="111"/>
      <c r="K651" s="54"/>
    </row>
    <row r="652" spans="9:11" x14ac:dyDescent="0.25">
      <c r="I652" s="111"/>
      <c r="K652" s="54"/>
    </row>
    <row r="653" spans="9:11" x14ac:dyDescent="0.25">
      <c r="I653" s="111"/>
      <c r="K653" s="54"/>
    </row>
    <row r="654" spans="9:11" x14ac:dyDescent="0.25">
      <c r="I654" s="111"/>
      <c r="K654" s="54"/>
    </row>
    <row r="655" spans="9:11" x14ac:dyDescent="0.25">
      <c r="I655" s="111"/>
      <c r="K655" s="54"/>
    </row>
    <row r="656" spans="9:11" x14ac:dyDescent="0.25">
      <c r="I656" s="111"/>
      <c r="K656" s="54"/>
    </row>
    <row r="657" spans="9:11" x14ac:dyDescent="0.25">
      <c r="I657" s="111"/>
      <c r="K657" s="54"/>
    </row>
    <row r="658" spans="9:11" x14ac:dyDescent="0.25">
      <c r="I658" s="111"/>
      <c r="K658" s="54"/>
    </row>
    <row r="659" spans="9:11" x14ac:dyDescent="0.25">
      <c r="I659" s="111"/>
      <c r="K659" s="54"/>
    </row>
    <row r="660" spans="9:11" x14ac:dyDescent="0.25">
      <c r="I660" s="111"/>
      <c r="K660" s="54"/>
    </row>
    <row r="661" spans="9:11" x14ac:dyDescent="0.25">
      <c r="I661" s="111"/>
      <c r="K661" s="54"/>
    </row>
    <row r="662" spans="9:11" x14ac:dyDescent="0.25">
      <c r="I662" s="111"/>
      <c r="K662" s="54"/>
    </row>
    <row r="663" spans="9:11" x14ac:dyDescent="0.25">
      <c r="I663" s="111"/>
      <c r="K663" s="54"/>
    </row>
    <row r="664" spans="9:11" x14ac:dyDescent="0.25">
      <c r="I664" s="111"/>
      <c r="K664" s="54"/>
    </row>
    <row r="665" spans="9:11" x14ac:dyDescent="0.25">
      <c r="I665" s="111"/>
      <c r="K665" s="54"/>
    </row>
    <row r="666" spans="9:11" x14ac:dyDescent="0.25">
      <c r="I666" s="111"/>
      <c r="K666" s="54"/>
    </row>
    <row r="667" spans="9:11" x14ac:dyDescent="0.25">
      <c r="I667" s="111"/>
      <c r="K667" s="54"/>
    </row>
    <row r="668" spans="9:11" x14ac:dyDescent="0.25">
      <c r="I668" s="111"/>
      <c r="K668" s="54"/>
    </row>
    <row r="669" spans="9:11" x14ac:dyDescent="0.25">
      <c r="I669" s="111"/>
      <c r="K669" s="54"/>
    </row>
    <row r="670" spans="9:11" x14ac:dyDescent="0.25">
      <c r="I670" s="111"/>
      <c r="K670" s="54"/>
    </row>
    <row r="671" spans="9:11" x14ac:dyDescent="0.25">
      <c r="I671" s="111"/>
      <c r="K671" s="54"/>
    </row>
    <row r="672" spans="9:11" x14ac:dyDescent="0.25">
      <c r="I672" s="111"/>
      <c r="K672" s="54"/>
    </row>
    <row r="673" spans="9:11" x14ac:dyDescent="0.25">
      <c r="I673" s="111"/>
      <c r="K673" s="54"/>
    </row>
    <row r="674" spans="9:11" x14ac:dyDescent="0.25">
      <c r="I674" s="111"/>
      <c r="K674" s="54"/>
    </row>
    <row r="675" spans="9:11" x14ac:dyDescent="0.25">
      <c r="I675" s="111"/>
      <c r="K675" s="54"/>
    </row>
    <row r="676" spans="9:11" x14ac:dyDescent="0.25">
      <c r="I676" s="111"/>
      <c r="K676" s="54"/>
    </row>
    <row r="677" spans="9:11" x14ac:dyDescent="0.25">
      <c r="I677" s="111"/>
      <c r="K677" s="54"/>
    </row>
    <row r="678" spans="9:11" x14ac:dyDescent="0.25">
      <c r="I678" s="111"/>
      <c r="K678" s="54"/>
    </row>
    <row r="679" spans="9:11" x14ac:dyDescent="0.25">
      <c r="I679" s="111"/>
      <c r="K679" s="54"/>
    </row>
    <row r="680" spans="9:11" x14ac:dyDescent="0.25">
      <c r="I680" s="111"/>
      <c r="K680" s="54"/>
    </row>
    <row r="681" spans="9:11" x14ac:dyDescent="0.25">
      <c r="I681" s="111"/>
      <c r="K681" s="54"/>
    </row>
    <row r="682" spans="9:11" x14ac:dyDescent="0.25">
      <c r="I682" s="111"/>
      <c r="K682" s="54"/>
    </row>
    <row r="683" spans="9:11" x14ac:dyDescent="0.25">
      <c r="I683" s="111"/>
      <c r="K683" s="54"/>
    </row>
    <row r="684" spans="9:11" x14ac:dyDescent="0.25">
      <c r="I684" s="111"/>
      <c r="K684" s="54"/>
    </row>
    <row r="685" spans="9:11" x14ac:dyDescent="0.25">
      <c r="I685" s="111"/>
      <c r="K685" s="54"/>
    </row>
    <row r="686" spans="9:11" x14ac:dyDescent="0.25">
      <c r="I686" s="111"/>
      <c r="K686" s="54"/>
    </row>
    <row r="687" spans="9:11" x14ac:dyDescent="0.25">
      <c r="I687" s="111"/>
      <c r="K687" s="54"/>
    </row>
    <row r="688" spans="9:11" x14ac:dyDescent="0.25">
      <c r="I688" s="111"/>
      <c r="K688" s="54"/>
    </row>
    <row r="689" spans="9:11" x14ac:dyDescent="0.25">
      <c r="I689" s="111"/>
      <c r="K689" s="54"/>
    </row>
    <row r="690" spans="9:11" x14ac:dyDescent="0.25">
      <c r="I690" s="111"/>
      <c r="K690" s="54"/>
    </row>
    <row r="691" spans="9:11" x14ac:dyDescent="0.25">
      <c r="I691" s="111"/>
      <c r="K691" s="54"/>
    </row>
    <row r="692" spans="9:11" x14ac:dyDescent="0.25">
      <c r="I692" s="111"/>
      <c r="K692" s="54"/>
    </row>
    <row r="693" spans="9:11" x14ac:dyDescent="0.25">
      <c r="I693" s="111"/>
      <c r="K693" s="54"/>
    </row>
    <row r="694" spans="9:11" x14ac:dyDescent="0.25">
      <c r="I694" s="111"/>
      <c r="K694" s="54"/>
    </row>
    <row r="695" spans="9:11" x14ac:dyDescent="0.25">
      <c r="I695" s="111"/>
      <c r="K695" s="54"/>
    </row>
    <row r="696" spans="9:11" x14ac:dyDescent="0.25">
      <c r="I696" s="111"/>
      <c r="K696" s="54"/>
    </row>
    <row r="697" spans="9:11" x14ac:dyDescent="0.25">
      <c r="I697" s="111"/>
      <c r="K697" s="54"/>
    </row>
    <row r="698" spans="9:11" x14ac:dyDescent="0.25">
      <c r="I698" s="111"/>
      <c r="K698" s="54"/>
    </row>
    <row r="699" spans="9:11" x14ac:dyDescent="0.25">
      <c r="I699" s="111"/>
      <c r="K699" s="54"/>
    </row>
    <row r="700" spans="9:11" x14ac:dyDescent="0.25">
      <c r="I700" s="111"/>
      <c r="K700" s="54"/>
    </row>
    <row r="701" spans="9:11" x14ac:dyDescent="0.25">
      <c r="I701" s="111"/>
      <c r="K701" s="54"/>
    </row>
    <row r="702" spans="9:11" x14ac:dyDescent="0.25">
      <c r="I702" s="111"/>
      <c r="K702" s="54"/>
    </row>
    <row r="703" spans="9:11" x14ac:dyDescent="0.25">
      <c r="I703" s="111"/>
      <c r="K703" s="54"/>
    </row>
    <row r="704" spans="9:11" x14ac:dyDescent="0.25">
      <c r="I704" s="111"/>
      <c r="K704" s="54"/>
    </row>
    <row r="705" spans="9:11" x14ac:dyDescent="0.25">
      <c r="I705" s="111"/>
      <c r="K705" s="54"/>
    </row>
    <row r="706" spans="9:11" x14ac:dyDescent="0.25">
      <c r="I706" s="111"/>
      <c r="K706" s="54"/>
    </row>
    <row r="707" spans="9:11" x14ac:dyDescent="0.25">
      <c r="I707" s="111"/>
      <c r="K707" s="54"/>
    </row>
    <row r="708" spans="9:11" x14ac:dyDescent="0.25">
      <c r="I708" s="111"/>
      <c r="K708" s="54"/>
    </row>
    <row r="709" spans="9:11" x14ac:dyDescent="0.25">
      <c r="I709" s="111"/>
      <c r="K709" s="54"/>
    </row>
    <row r="710" spans="9:11" x14ac:dyDescent="0.25">
      <c r="I710" s="111"/>
      <c r="K710" s="54"/>
    </row>
    <row r="711" spans="9:11" x14ac:dyDescent="0.25">
      <c r="I711" s="111"/>
      <c r="K711" s="54"/>
    </row>
    <row r="712" spans="9:11" x14ac:dyDescent="0.25">
      <c r="I712" s="111"/>
      <c r="K712" s="54"/>
    </row>
    <row r="713" spans="9:11" x14ac:dyDescent="0.25">
      <c r="I713" s="111"/>
      <c r="K713" s="54"/>
    </row>
    <row r="714" spans="9:11" x14ac:dyDescent="0.25">
      <c r="I714" s="111"/>
      <c r="K714" s="54"/>
    </row>
    <row r="715" spans="9:11" x14ac:dyDescent="0.25">
      <c r="I715" s="111"/>
      <c r="K715" s="54"/>
    </row>
    <row r="716" spans="9:11" x14ac:dyDescent="0.25">
      <c r="I716" s="111"/>
      <c r="K716" s="54"/>
    </row>
    <row r="717" spans="9:11" x14ac:dyDescent="0.25">
      <c r="I717" s="111"/>
      <c r="K717" s="54"/>
    </row>
    <row r="718" spans="9:11" x14ac:dyDescent="0.25">
      <c r="I718" s="111"/>
      <c r="K718" s="54"/>
    </row>
    <row r="719" spans="9:11" x14ac:dyDescent="0.25">
      <c r="I719" s="111"/>
      <c r="K719" s="54"/>
    </row>
    <row r="720" spans="9:11" x14ac:dyDescent="0.25">
      <c r="I720" s="111"/>
      <c r="K720" s="54"/>
    </row>
    <row r="721" spans="9:11" x14ac:dyDescent="0.25">
      <c r="I721" s="111"/>
      <c r="K721" s="54"/>
    </row>
    <row r="722" spans="9:11" x14ac:dyDescent="0.25">
      <c r="I722" s="111"/>
      <c r="K722" s="54"/>
    </row>
    <row r="723" spans="9:11" x14ac:dyDescent="0.25">
      <c r="I723" s="111"/>
      <c r="K723" s="54"/>
    </row>
    <row r="724" spans="9:11" x14ac:dyDescent="0.25">
      <c r="I724" s="111"/>
      <c r="K724" s="54"/>
    </row>
    <row r="725" spans="9:11" x14ac:dyDescent="0.25">
      <c r="I725" s="111"/>
      <c r="K725" s="54"/>
    </row>
    <row r="726" spans="9:11" x14ac:dyDescent="0.25">
      <c r="I726" s="111"/>
      <c r="K726" s="54"/>
    </row>
    <row r="727" spans="9:11" x14ac:dyDescent="0.25">
      <c r="I727" s="111"/>
      <c r="K727" s="54"/>
    </row>
    <row r="728" spans="9:11" x14ac:dyDescent="0.25">
      <c r="I728" s="111"/>
      <c r="K728" s="54"/>
    </row>
    <row r="729" spans="9:11" x14ac:dyDescent="0.25">
      <c r="I729" s="111"/>
      <c r="K729" s="54"/>
    </row>
    <row r="730" spans="9:11" x14ac:dyDescent="0.25">
      <c r="I730" s="111"/>
      <c r="K730" s="54"/>
    </row>
    <row r="731" spans="9:11" x14ac:dyDescent="0.25">
      <c r="I731" s="111"/>
      <c r="K731" s="54"/>
    </row>
    <row r="732" spans="9:11" x14ac:dyDescent="0.25">
      <c r="I732" s="111"/>
      <c r="K732" s="54"/>
    </row>
    <row r="733" spans="9:11" x14ac:dyDescent="0.25">
      <c r="I733" s="111"/>
      <c r="K733" s="54"/>
    </row>
    <row r="734" spans="9:11" x14ac:dyDescent="0.25">
      <c r="I734" s="111"/>
      <c r="K734" s="54"/>
    </row>
    <row r="735" spans="9:11" x14ac:dyDescent="0.25">
      <c r="I735" s="111"/>
      <c r="K735" s="54"/>
    </row>
    <row r="736" spans="9:11" x14ac:dyDescent="0.25">
      <c r="I736" s="111"/>
      <c r="K736" s="54"/>
    </row>
    <row r="737" spans="9:11" x14ac:dyDescent="0.25">
      <c r="I737" s="111"/>
      <c r="K737" s="54"/>
    </row>
    <row r="738" spans="9:11" x14ac:dyDescent="0.25">
      <c r="I738" s="111"/>
      <c r="K738" s="54"/>
    </row>
    <row r="739" spans="9:11" x14ac:dyDescent="0.25">
      <c r="I739" s="111"/>
      <c r="K739" s="54"/>
    </row>
    <row r="740" spans="9:11" x14ac:dyDescent="0.25">
      <c r="I740" s="111"/>
      <c r="K740" s="54"/>
    </row>
    <row r="741" spans="9:11" x14ac:dyDescent="0.25">
      <c r="I741" s="111"/>
      <c r="K741" s="54"/>
    </row>
    <row r="742" spans="9:11" x14ac:dyDescent="0.25">
      <c r="I742" s="111"/>
      <c r="K742" s="54"/>
    </row>
    <row r="743" spans="9:11" x14ac:dyDescent="0.25">
      <c r="I743" s="111"/>
      <c r="K743" s="54"/>
    </row>
    <row r="744" spans="9:11" x14ac:dyDescent="0.25">
      <c r="I744" s="111"/>
      <c r="K744" s="54"/>
    </row>
    <row r="745" spans="9:11" x14ac:dyDescent="0.25">
      <c r="I745" s="111"/>
      <c r="K745" s="54"/>
    </row>
    <row r="746" spans="9:11" x14ac:dyDescent="0.25">
      <c r="I746" s="111"/>
      <c r="K746" s="54"/>
    </row>
    <row r="747" spans="9:11" x14ac:dyDescent="0.25">
      <c r="I747" s="111"/>
      <c r="K747" s="54"/>
    </row>
    <row r="748" spans="9:11" x14ac:dyDescent="0.25">
      <c r="I748" s="111"/>
      <c r="K748" s="54"/>
    </row>
    <row r="749" spans="9:11" x14ac:dyDescent="0.25">
      <c r="I749" s="111"/>
      <c r="K749" s="54"/>
    </row>
    <row r="750" spans="9:11" x14ac:dyDescent="0.25">
      <c r="I750" s="111"/>
      <c r="K750" s="54"/>
    </row>
    <row r="751" spans="9:11" x14ac:dyDescent="0.25">
      <c r="I751" s="111"/>
      <c r="K751" s="54"/>
    </row>
    <row r="752" spans="9:11" x14ac:dyDescent="0.25">
      <c r="I752" s="111"/>
      <c r="K752" s="54"/>
    </row>
    <row r="753" spans="9:11" x14ac:dyDescent="0.25">
      <c r="I753" s="111"/>
      <c r="K753" s="54"/>
    </row>
    <row r="754" spans="9:11" x14ac:dyDescent="0.25">
      <c r="I754" s="111"/>
      <c r="K754" s="54"/>
    </row>
    <row r="755" spans="9:11" x14ac:dyDescent="0.25">
      <c r="I755" s="111"/>
      <c r="K755" s="54"/>
    </row>
    <row r="756" spans="9:11" x14ac:dyDescent="0.25">
      <c r="I756" s="111"/>
      <c r="K756" s="54"/>
    </row>
    <row r="757" spans="9:11" x14ac:dyDescent="0.25">
      <c r="I757" s="111"/>
      <c r="K757" s="54"/>
    </row>
    <row r="758" spans="9:11" x14ac:dyDescent="0.25">
      <c r="I758" s="111"/>
      <c r="K758" s="54"/>
    </row>
    <row r="759" spans="9:11" x14ac:dyDescent="0.25">
      <c r="I759" s="111"/>
      <c r="K759" s="54"/>
    </row>
    <row r="760" spans="9:11" x14ac:dyDescent="0.25">
      <c r="I760" s="111"/>
      <c r="K760" s="54"/>
    </row>
    <row r="761" spans="9:11" x14ac:dyDescent="0.25">
      <c r="I761" s="111"/>
      <c r="K761" s="54"/>
    </row>
    <row r="762" spans="9:11" x14ac:dyDescent="0.25">
      <c r="I762" s="111"/>
      <c r="K762" s="54"/>
    </row>
    <row r="763" spans="9:11" x14ac:dyDescent="0.25">
      <c r="I763" s="111"/>
      <c r="K763" s="54"/>
    </row>
    <row r="764" spans="9:11" x14ac:dyDescent="0.25">
      <c r="I764" s="111"/>
      <c r="K764" s="54"/>
    </row>
    <row r="765" spans="9:11" x14ac:dyDescent="0.25">
      <c r="I765" s="111"/>
      <c r="K765" s="54"/>
    </row>
    <row r="766" spans="9:11" x14ac:dyDescent="0.25">
      <c r="I766" s="111"/>
      <c r="K766" s="54"/>
    </row>
    <row r="767" spans="9:11" x14ac:dyDescent="0.25">
      <c r="I767" s="111"/>
      <c r="K767" s="54"/>
    </row>
    <row r="768" spans="9:11" x14ac:dyDescent="0.25">
      <c r="I768" s="111"/>
      <c r="K768" s="54"/>
    </row>
    <row r="769" spans="9:11" x14ac:dyDescent="0.25">
      <c r="I769" s="111"/>
      <c r="K769" s="54"/>
    </row>
    <row r="770" spans="9:11" x14ac:dyDescent="0.25">
      <c r="I770" s="111"/>
      <c r="K770" s="54"/>
    </row>
    <row r="771" spans="9:11" x14ac:dyDescent="0.25">
      <c r="I771" s="111"/>
      <c r="K771" s="54"/>
    </row>
    <row r="772" spans="9:11" x14ac:dyDescent="0.25">
      <c r="I772" s="111"/>
      <c r="K772" s="54"/>
    </row>
    <row r="773" spans="9:11" x14ac:dyDescent="0.25">
      <c r="I773" s="111"/>
      <c r="K773" s="54"/>
    </row>
    <row r="774" spans="9:11" x14ac:dyDescent="0.25">
      <c r="I774" s="111"/>
      <c r="K774" s="54"/>
    </row>
    <row r="775" spans="9:11" x14ac:dyDescent="0.25">
      <c r="I775" s="111"/>
      <c r="K775" s="54"/>
    </row>
    <row r="776" spans="9:11" x14ac:dyDescent="0.25">
      <c r="I776" s="111"/>
      <c r="K776" s="54"/>
    </row>
    <row r="777" spans="9:11" x14ac:dyDescent="0.25">
      <c r="I777" s="111"/>
      <c r="K777" s="54"/>
    </row>
    <row r="778" spans="9:11" x14ac:dyDescent="0.25">
      <c r="I778" s="111"/>
      <c r="K778" s="54"/>
    </row>
    <row r="779" spans="9:11" x14ac:dyDescent="0.25">
      <c r="I779" s="111"/>
      <c r="K779" s="54"/>
    </row>
    <row r="780" spans="9:11" x14ac:dyDescent="0.25">
      <c r="I780" s="111"/>
      <c r="K780" s="54"/>
    </row>
    <row r="781" spans="9:11" x14ac:dyDescent="0.25">
      <c r="I781" s="111"/>
      <c r="K781" s="54"/>
    </row>
    <row r="782" spans="9:11" x14ac:dyDescent="0.25">
      <c r="I782" s="111"/>
      <c r="K782" s="54"/>
    </row>
    <row r="783" spans="9:11" x14ac:dyDescent="0.25">
      <c r="I783" s="111"/>
      <c r="K783" s="54"/>
    </row>
    <row r="784" spans="9:11" x14ac:dyDescent="0.25">
      <c r="I784" s="111"/>
      <c r="K784" s="54"/>
    </row>
    <row r="785" spans="9:11" x14ac:dyDescent="0.25">
      <c r="I785" s="111"/>
      <c r="K785" s="54"/>
    </row>
    <row r="786" spans="9:11" x14ac:dyDescent="0.25">
      <c r="I786" s="111"/>
      <c r="K786" s="54"/>
    </row>
    <row r="787" spans="9:11" x14ac:dyDescent="0.25">
      <c r="I787" s="111"/>
      <c r="K787" s="54"/>
    </row>
    <row r="788" spans="9:11" x14ac:dyDescent="0.25">
      <c r="I788" s="111"/>
      <c r="K788" s="54"/>
    </row>
    <row r="789" spans="9:11" x14ac:dyDescent="0.25">
      <c r="I789" s="111"/>
      <c r="K789" s="54"/>
    </row>
    <row r="790" spans="9:11" x14ac:dyDescent="0.25">
      <c r="I790" s="111"/>
      <c r="K790" s="54"/>
    </row>
    <row r="791" spans="9:11" x14ac:dyDescent="0.25">
      <c r="I791" s="111"/>
      <c r="K791" s="54"/>
    </row>
    <row r="792" spans="9:11" x14ac:dyDescent="0.25">
      <c r="I792" s="111"/>
      <c r="K792" s="54"/>
    </row>
    <row r="793" spans="9:11" x14ac:dyDescent="0.25">
      <c r="I793" s="111"/>
      <c r="K793" s="54"/>
    </row>
    <row r="794" spans="9:11" x14ac:dyDescent="0.25">
      <c r="I794" s="111"/>
      <c r="K794" s="54"/>
    </row>
    <row r="795" spans="9:11" x14ac:dyDescent="0.25">
      <c r="I795" s="111"/>
      <c r="K795" s="54"/>
    </row>
    <row r="796" spans="9:11" x14ac:dyDescent="0.25">
      <c r="I796" s="111"/>
      <c r="K796" s="54"/>
    </row>
    <row r="797" spans="9:11" x14ac:dyDescent="0.25">
      <c r="I797" s="111"/>
      <c r="K797" s="54"/>
    </row>
    <row r="798" spans="9:11" x14ac:dyDescent="0.25">
      <c r="I798" s="111"/>
      <c r="K798" s="54"/>
    </row>
    <row r="799" spans="9:11" x14ac:dyDescent="0.25">
      <c r="I799" s="111"/>
      <c r="K799" s="54"/>
    </row>
    <row r="800" spans="9:11" x14ac:dyDescent="0.25">
      <c r="I800" s="111"/>
      <c r="K800" s="54"/>
    </row>
    <row r="801" spans="9:11" x14ac:dyDescent="0.25">
      <c r="I801" s="111"/>
      <c r="K801" s="54"/>
    </row>
    <row r="802" spans="9:11" x14ac:dyDescent="0.25">
      <c r="I802" s="111"/>
      <c r="K802" s="54"/>
    </row>
    <row r="803" spans="9:11" x14ac:dyDescent="0.25">
      <c r="I803" s="111"/>
      <c r="K803" s="54"/>
    </row>
    <row r="804" spans="9:11" x14ac:dyDescent="0.25">
      <c r="I804" s="111"/>
      <c r="K804" s="54"/>
    </row>
    <row r="805" spans="9:11" x14ac:dyDescent="0.25">
      <c r="I805" s="111"/>
      <c r="K805" s="54"/>
    </row>
    <row r="806" spans="9:11" x14ac:dyDescent="0.25">
      <c r="I806" s="111"/>
      <c r="K806" s="54"/>
    </row>
    <row r="807" spans="9:11" x14ac:dyDescent="0.25">
      <c r="I807" s="111"/>
      <c r="K807" s="54"/>
    </row>
    <row r="808" spans="9:11" x14ac:dyDescent="0.25">
      <c r="I808" s="111"/>
      <c r="K808" s="54"/>
    </row>
    <row r="809" spans="9:11" x14ac:dyDescent="0.25">
      <c r="I809" s="111"/>
      <c r="K809" s="54"/>
    </row>
    <row r="810" spans="9:11" x14ac:dyDescent="0.25">
      <c r="I810" s="111"/>
      <c r="K810" s="54"/>
    </row>
    <row r="811" spans="9:11" x14ac:dyDescent="0.25">
      <c r="I811" s="111"/>
      <c r="K811" s="54"/>
    </row>
    <row r="812" spans="9:11" x14ac:dyDescent="0.25">
      <c r="I812" s="111"/>
      <c r="K812" s="54"/>
    </row>
    <row r="813" spans="9:11" x14ac:dyDescent="0.25">
      <c r="I813" s="111"/>
      <c r="K813" s="54"/>
    </row>
    <row r="814" spans="9:11" x14ac:dyDescent="0.25">
      <c r="I814" s="111"/>
      <c r="K814" s="54"/>
    </row>
    <row r="815" spans="9:11" x14ac:dyDescent="0.25">
      <c r="I815" s="111"/>
      <c r="K815" s="54"/>
    </row>
    <row r="816" spans="9:11" x14ac:dyDescent="0.25">
      <c r="I816" s="111"/>
      <c r="K816" s="54"/>
    </row>
    <row r="817" spans="9:11" x14ac:dyDescent="0.25">
      <c r="I817" s="111"/>
      <c r="K817" s="54"/>
    </row>
    <row r="818" spans="9:11" x14ac:dyDescent="0.25">
      <c r="I818" s="111"/>
      <c r="K818" s="54"/>
    </row>
    <row r="819" spans="9:11" x14ac:dyDescent="0.25">
      <c r="I819" s="111"/>
      <c r="K819" s="54"/>
    </row>
    <row r="820" spans="9:11" x14ac:dyDescent="0.25">
      <c r="I820" s="111"/>
      <c r="K820" s="54"/>
    </row>
    <row r="821" spans="9:11" x14ac:dyDescent="0.25">
      <c r="I821" s="111"/>
      <c r="K821" s="54"/>
    </row>
    <row r="822" spans="9:11" x14ac:dyDescent="0.25">
      <c r="I822" s="111"/>
      <c r="K822" s="54"/>
    </row>
    <row r="823" spans="9:11" x14ac:dyDescent="0.25">
      <c r="I823" s="111"/>
      <c r="K823" s="54"/>
    </row>
    <row r="824" spans="9:11" x14ac:dyDescent="0.25">
      <c r="I824" s="111"/>
      <c r="K824" s="54"/>
    </row>
    <row r="825" spans="9:11" x14ac:dyDescent="0.25">
      <c r="I825" s="111"/>
      <c r="K825" s="54"/>
    </row>
    <row r="826" spans="9:11" x14ac:dyDescent="0.25">
      <c r="I826" s="111"/>
      <c r="K826" s="54"/>
    </row>
    <row r="827" spans="9:11" x14ac:dyDescent="0.25">
      <c r="I827" s="111"/>
      <c r="K827" s="54"/>
    </row>
    <row r="828" spans="9:11" x14ac:dyDescent="0.25">
      <c r="I828" s="111"/>
      <c r="K828" s="54"/>
    </row>
    <row r="829" spans="9:11" x14ac:dyDescent="0.25">
      <c r="I829" s="111"/>
      <c r="K829" s="54"/>
    </row>
    <row r="830" spans="9:11" x14ac:dyDescent="0.25">
      <c r="I830" s="111"/>
      <c r="K830" s="54"/>
    </row>
    <row r="831" spans="9:11" x14ac:dyDescent="0.25">
      <c r="I831" s="111"/>
      <c r="K831" s="54"/>
    </row>
    <row r="832" spans="9:11" x14ac:dyDescent="0.25">
      <c r="I832" s="111"/>
      <c r="K832" s="54"/>
    </row>
    <row r="833" spans="9:11" x14ac:dyDescent="0.25">
      <c r="I833" s="111"/>
      <c r="K833" s="54"/>
    </row>
    <row r="834" spans="9:11" x14ac:dyDescent="0.25">
      <c r="I834" s="111"/>
      <c r="K834" s="54"/>
    </row>
    <row r="835" spans="9:11" x14ac:dyDescent="0.25">
      <c r="I835" s="111"/>
      <c r="K835" s="54"/>
    </row>
    <row r="836" spans="9:11" x14ac:dyDescent="0.25">
      <c r="I836" s="111"/>
      <c r="K836" s="54"/>
    </row>
    <row r="837" spans="9:11" x14ac:dyDescent="0.25">
      <c r="I837" s="111"/>
      <c r="K837" s="54"/>
    </row>
    <row r="838" spans="9:11" x14ac:dyDescent="0.25">
      <c r="I838" s="111"/>
      <c r="K838" s="54"/>
    </row>
    <row r="839" spans="9:11" x14ac:dyDescent="0.25">
      <c r="I839" s="111"/>
      <c r="K839" s="54"/>
    </row>
    <row r="840" spans="9:11" x14ac:dyDescent="0.25">
      <c r="I840" s="111"/>
      <c r="K840" s="54"/>
    </row>
    <row r="841" spans="9:11" x14ac:dyDescent="0.25">
      <c r="I841" s="111"/>
      <c r="K841" s="54"/>
    </row>
    <row r="842" spans="9:11" x14ac:dyDescent="0.25">
      <c r="I842" s="111"/>
      <c r="K842" s="54"/>
    </row>
    <row r="843" spans="9:11" x14ac:dyDescent="0.25">
      <c r="I843" s="111"/>
      <c r="K843" s="54"/>
    </row>
    <row r="844" spans="9:11" x14ac:dyDescent="0.25">
      <c r="I844" s="111"/>
      <c r="K844" s="54"/>
    </row>
    <row r="845" spans="9:11" x14ac:dyDescent="0.25">
      <c r="I845" s="111"/>
      <c r="K845" s="54"/>
    </row>
    <row r="846" spans="9:11" x14ac:dyDescent="0.25">
      <c r="I846" s="111"/>
      <c r="K846" s="54"/>
    </row>
    <row r="847" spans="9:11" x14ac:dyDescent="0.25">
      <c r="I847" s="111"/>
      <c r="K847" s="54"/>
    </row>
    <row r="848" spans="9:11" x14ac:dyDescent="0.25">
      <c r="I848" s="111"/>
      <c r="K848" s="54"/>
    </row>
    <row r="849" spans="9:11" x14ac:dyDescent="0.25">
      <c r="I849" s="111"/>
      <c r="K849" s="54"/>
    </row>
    <row r="850" spans="9:11" x14ac:dyDescent="0.25">
      <c r="I850" s="111"/>
      <c r="K850" s="54"/>
    </row>
    <row r="851" spans="9:11" x14ac:dyDescent="0.25">
      <c r="I851" s="111"/>
      <c r="K851" s="54"/>
    </row>
    <row r="852" spans="9:11" x14ac:dyDescent="0.25">
      <c r="I852" s="111"/>
      <c r="K852" s="54"/>
    </row>
    <row r="853" spans="9:11" x14ac:dyDescent="0.25">
      <c r="I853" s="111"/>
      <c r="K853" s="54"/>
    </row>
    <row r="854" spans="9:11" x14ac:dyDescent="0.25">
      <c r="I854" s="111"/>
      <c r="K854" s="54"/>
    </row>
    <row r="855" spans="9:11" x14ac:dyDescent="0.25">
      <c r="I855" s="111"/>
      <c r="K855" s="54"/>
    </row>
  </sheetData>
  <phoneticPr fontId="13" type="noConversion"/>
  <conditionalFormatting sqref="L2">
    <cfRule type="cellIs" dxfId="39" priority="37" operator="between">
      <formula>3301</formula>
      <formula>3960</formula>
    </cfRule>
  </conditionalFormatting>
  <conditionalFormatting sqref="B638">
    <cfRule type="duplicateValues" dxfId="38" priority="11"/>
  </conditionalFormatting>
  <conditionalFormatting sqref="B638">
    <cfRule type="duplicateValues" dxfId="37" priority="12"/>
  </conditionalFormatting>
  <conditionalFormatting sqref="B638">
    <cfRule type="duplicateValues" dxfId="36" priority="13"/>
  </conditionalFormatting>
  <conditionalFormatting sqref="C637">
    <cfRule type="containsText" dxfId="35" priority="9" operator="containsText" text="NEXT">
      <formula>NOT(ISERROR(SEARCH(("NEXT"),(#REF!))))</formula>
    </cfRule>
  </conditionalFormatting>
  <conditionalFormatting sqref="C637">
    <cfRule type="containsText" dxfId="34" priority="10" operator="containsText" text="PURCH">
      <formula>NOT(ISERROR(SEARCH(("PURCH"),(#REF!))))</formula>
    </cfRule>
  </conditionalFormatting>
  <conditionalFormatting sqref="B637">
    <cfRule type="duplicateValues" dxfId="33" priority="6"/>
  </conditionalFormatting>
  <conditionalFormatting sqref="B637">
    <cfRule type="duplicateValues" dxfId="32" priority="7"/>
  </conditionalFormatting>
  <conditionalFormatting sqref="B637">
    <cfRule type="duplicateValues" dxfId="31" priority="8"/>
  </conditionalFormatting>
  <conditionalFormatting sqref="B856:B1048576 B2:B741">
    <cfRule type="duplicateValues" dxfId="30" priority="5"/>
  </conditionalFormatting>
  <conditionalFormatting sqref="B856:B1048576 B2:B636 B638:B741">
    <cfRule type="duplicateValues" dxfId="29" priority="268"/>
  </conditionalFormatting>
  <conditionalFormatting sqref="B2:B1048576">
    <cfRule type="duplicateValues" dxfId="28" priority="3"/>
    <cfRule type="duplicateValues" dxfId="27" priority="4"/>
  </conditionalFormatting>
  <conditionalFormatting sqref="B1">
    <cfRule type="duplicateValues" dxfId="26" priority="1"/>
    <cfRule type="duplicateValues" dxfId="25" priority="2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F6BCA-E98D-4BC3-9AF5-1C5C5CD1DF04}">
  <sheetPr>
    <tabColor theme="9" tint="-0.249977111117893"/>
  </sheetPr>
  <dimension ref="A1:BJ156"/>
  <sheetViews>
    <sheetView zoomScale="60" zoomScaleNormal="60" workbookViewId="0">
      <pane ySplit="1" topLeftCell="A2" activePane="bottomLeft" state="frozen"/>
      <selection activeCell="M1" sqref="A1:M1"/>
      <selection pane="bottomLeft" activeCell="AX1" sqref="AX1"/>
    </sheetView>
  </sheetViews>
  <sheetFormatPr defaultColWidth="9.140625" defaultRowHeight="15" x14ac:dyDescent="0.25"/>
  <cols>
    <col min="1" max="32" width="9.140625" style="470"/>
    <col min="33" max="33" width="9.140625" style="529"/>
    <col min="34" max="43" width="9.140625" style="470"/>
    <col min="44" max="50" width="9.140625" style="136"/>
    <col min="51" max="54" width="9.140625" style="470"/>
    <col min="55" max="62" width="9.140625" style="518"/>
    <col min="63" max="16384" width="9.140625" style="519"/>
  </cols>
  <sheetData>
    <row r="1" spans="1:62" ht="31.5" customHeight="1" thickBot="1" x14ac:dyDescent="0.3">
      <c r="A1" s="678" t="s">
        <v>19831</v>
      </c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678"/>
      <c r="Y1" s="678"/>
      <c r="Z1" s="678"/>
      <c r="AA1" s="678"/>
      <c r="AB1" s="678"/>
      <c r="AC1" s="678"/>
      <c r="AD1" s="678"/>
      <c r="AE1" s="678"/>
      <c r="AF1" s="678"/>
      <c r="AG1" s="678"/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8"/>
      <c r="AY1" s="136"/>
      <c r="AZ1" s="136"/>
      <c r="BA1" s="136"/>
      <c r="BB1" s="136"/>
    </row>
    <row r="2" spans="1:62" x14ac:dyDescent="0.25">
      <c r="A2" s="471" t="s">
        <v>5619</v>
      </c>
      <c r="B2" s="516">
        <v>29.25</v>
      </c>
      <c r="C2" s="596" t="s">
        <v>12664</v>
      </c>
      <c r="D2" s="124" t="s">
        <v>378</v>
      </c>
      <c r="E2" s="125">
        <v>10.5</v>
      </c>
      <c r="F2" s="596" t="s">
        <v>12663</v>
      </c>
      <c r="G2" s="471" t="s">
        <v>1678</v>
      </c>
      <c r="H2" s="125">
        <v>11.5</v>
      </c>
      <c r="I2" s="596" t="s">
        <v>12663</v>
      </c>
      <c r="J2" s="124" t="s">
        <v>5221</v>
      </c>
      <c r="K2" s="125">
        <v>22.75</v>
      </c>
      <c r="L2" s="596" t="s">
        <v>12663</v>
      </c>
      <c r="M2" s="471" t="s">
        <v>3381</v>
      </c>
      <c r="N2" s="125">
        <v>26.5</v>
      </c>
      <c r="O2" s="600" t="s">
        <v>12664</v>
      </c>
      <c r="P2" s="471" t="s">
        <v>4194</v>
      </c>
      <c r="Q2" s="175">
        <v>28.5</v>
      </c>
      <c r="R2" s="600" t="s">
        <v>12664</v>
      </c>
      <c r="S2" s="471" t="s">
        <v>4062</v>
      </c>
      <c r="T2" s="125">
        <v>31.75</v>
      </c>
      <c r="U2" s="600" t="s">
        <v>12664</v>
      </c>
      <c r="V2" s="124" t="s">
        <v>3515</v>
      </c>
      <c r="W2" s="125">
        <v>29</v>
      </c>
      <c r="X2" s="596" t="s">
        <v>12663</v>
      </c>
      <c r="Y2" s="471" t="s">
        <v>3537</v>
      </c>
      <c r="Z2" s="500">
        <v>32</v>
      </c>
      <c r="AA2" s="596" t="s">
        <v>12663</v>
      </c>
      <c r="AB2" s="124" t="s">
        <v>5167</v>
      </c>
      <c r="AC2" s="125">
        <v>26.25</v>
      </c>
      <c r="AD2" s="617" t="s">
        <v>12663</v>
      </c>
      <c r="AE2" s="471" t="s">
        <v>87</v>
      </c>
      <c r="AF2" s="500">
        <v>29.25</v>
      </c>
      <c r="AG2" s="596" t="s">
        <v>12663</v>
      </c>
      <c r="AH2" s="471" t="s">
        <v>3761</v>
      </c>
      <c r="AI2" s="500">
        <v>32</v>
      </c>
      <c r="AJ2" s="596" t="s">
        <v>12663</v>
      </c>
      <c r="AK2" s="517" t="s">
        <v>5653</v>
      </c>
      <c r="AL2" s="500">
        <v>25.5</v>
      </c>
      <c r="AM2" s="620" t="s">
        <v>12663</v>
      </c>
      <c r="AN2" s="124" t="s">
        <v>483</v>
      </c>
      <c r="AO2" s="175">
        <v>31.75</v>
      </c>
      <c r="AP2" s="596" t="s">
        <v>12663</v>
      </c>
      <c r="AQ2" s="471" t="s">
        <v>359</v>
      </c>
      <c r="AR2" s="516">
        <v>30</v>
      </c>
      <c r="AS2" s="596" t="s">
        <v>12663</v>
      </c>
      <c r="AT2" s="124" t="s">
        <v>185</v>
      </c>
      <c r="AU2" s="125">
        <v>29</v>
      </c>
      <c r="AV2" s="596" t="s">
        <v>12663</v>
      </c>
    </row>
    <row r="3" spans="1:62" x14ac:dyDescent="0.25">
      <c r="A3" s="478" t="s">
        <v>1169</v>
      </c>
      <c r="B3" s="481">
        <v>28</v>
      </c>
      <c r="C3" s="597"/>
      <c r="D3" s="123" t="s">
        <v>368</v>
      </c>
      <c r="E3" s="120">
        <v>10</v>
      </c>
      <c r="F3" s="597"/>
      <c r="G3" s="123" t="s">
        <v>415</v>
      </c>
      <c r="H3" s="120">
        <v>7.25</v>
      </c>
      <c r="I3" s="597"/>
      <c r="J3" s="123" t="s">
        <v>3046</v>
      </c>
      <c r="K3" s="120">
        <v>22.75</v>
      </c>
      <c r="L3" s="597"/>
      <c r="M3" s="478" t="s">
        <v>3127</v>
      </c>
      <c r="N3" s="120">
        <v>26.5</v>
      </c>
      <c r="O3" s="598"/>
      <c r="P3" s="123" t="s">
        <v>5281</v>
      </c>
      <c r="Q3" s="176">
        <v>28.5</v>
      </c>
      <c r="R3" s="598"/>
      <c r="S3" s="123" t="s">
        <v>4062</v>
      </c>
      <c r="T3" s="120">
        <v>31.75</v>
      </c>
      <c r="U3" s="598"/>
      <c r="V3" s="123" t="s">
        <v>3515</v>
      </c>
      <c r="W3" s="120">
        <v>29</v>
      </c>
      <c r="X3" s="597"/>
      <c r="Y3" s="123" t="s">
        <v>3537</v>
      </c>
      <c r="Z3" s="120">
        <v>32</v>
      </c>
      <c r="AA3" s="597"/>
      <c r="AB3" s="123" t="s">
        <v>5392</v>
      </c>
      <c r="AC3" s="120">
        <v>26.25</v>
      </c>
      <c r="AD3" s="618"/>
      <c r="AE3" s="123" t="s">
        <v>5475</v>
      </c>
      <c r="AF3" s="120">
        <v>28</v>
      </c>
      <c r="AG3" s="597"/>
      <c r="AH3" s="478" t="s">
        <v>2886</v>
      </c>
      <c r="AI3" s="501">
        <v>32</v>
      </c>
      <c r="AJ3" s="597"/>
      <c r="AK3" s="469" t="s">
        <v>5567</v>
      </c>
      <c r="AL3" s="501">
        <v>24.75</v>
      </c>
      <c r="AM3" s="621"/>
      <c r="AN3" s="123" t="s">
        <v>170</v>
      </c>
      <c r="AO3" s="176">
        <v>13.75</v>
      </c>
      <c r="AP3" s="597"/>
      <c r="AQ3" s="478" t="s">
        <v>484</v>
      </c>
      <c r="AR3" s="510">
        <v>27.75</v>
      </c>
      <c r="AS3" s="597"/>
      <c r="AT3" s="123" t="s">
        <v>182</v>
      </c>
      <c r="AU3" s="120">
        <v>28.25</v>
      </c>
      <c r="AV3" s="597"/>
    </row>
    <row r="4" spans="1:62" x14ac:dyDescent="0.25">
      <c r="A4" s="478" t="s">
        <v>234</v>
      </c>
      <c r="B4" s="510">
        <v>21</v>
      </c>
      <c r="C4" s="597"/>
      <c r="D4" s="123" t="s">
        <v>355</v>
      </c>
      <c r="E4" s="120">
        <v>10.5</v>
      </c>
      <c r="F4" s="597"/>
      <c r="G4" s="478" t="s">
        <v>414</v>
      </c>
      <c r="H4" s="120">
        <v>10.75</v>
      </c>
      <c r="I4" s="597"/>
      <c r="J4" s="123" t="s">
        <v>316</v>
      </c>
      <c r="K4" s="120">
        <v>22.25</v>
      </c>
      <c r="L4" s="597"/>
      <c r="M4" s="478" t="s">
        <v>5295</v>
      </c>
      <c r="N4" s="120">
        <v>26.5</v>
      </c>
      <c r="O4" s="598"/>
      <c r="P4" s="123" t="s">
        <v>5202</v>
      </c>
      <c r="Q4" s="176">
        <v>28.5</v>
      </c>
      <c r="R4" s="598"/>
      <c r="S4" s="478" t="s">
        <v>3507</v>
      </c>
      <c r="T4" s="120">
        <v>31.5</v>
      </c>
      <c r="U4" s="598"/>
      <c r="V4" s="478" t="s">
        <v>4631</v>
      </c>
      <c r="W4" s="501">
        <v>28.5</v>
      </c>
      <c r="X4" s="597"/>
      <c r="Y4" s="123" t="s">
        <v>3537</v>
      </c>
      <c r="Z4" s="120">
        <v>32</v>
      </c>
      <c r="AA4" s="597"/>
      <c r="AB4" s="123" t="s">
        <v>5285</v>
      </c>
      <c r="AC4" s="120">
        <v>26.25</v>
      </c>
      <c r="AD4" s="618"/>
      <c r="AE4" s="478" t="s">
        <v>5706</v>
      </c>
      <c r="AF4" s="501">
        <v>27.75</v>
      </c>
      <c r="AG4" s="597"/>
      <c r="AH4" s="478" t="s">
        <v>2958</v>
      </c>
      <c r="AI4" s="501">
        <v>31</v>
      </c>
      <c r="AJ4" s="597"/>
      <c r="AK4" s="469" t="s">
        <v>4548</v>
      </c>
      <c r="AL4" s="501">
        <v>24.5</v>
      </c>
      <c r="AM4" s="621"/>
      <c r="AN4" s="123" t="s">
        <v>71</v>
      </c>
      <c r="AO4" s="176">
        <v>14.25</v>
      </c>
      <c r="AP4" s="597"/>
      <c r="AQ4" s="478" t="s">
        <v>209</v>
      </c>
      <c r="AR4" s="510">
        <v>25</v>
      </c>
      <c r="AS4" s="597"/>
      <c r="AT4" s="478" t="s">
        <v>430</v>
      </c>
      <c r="AU4" s="501">
        <v>28</v>
      </c>
      <c r="AV4" s="597"/>
    </row>
    <row r="5" spans="1:62" x14ac:dyDescent="0.25">
      <c r="A5" s="478" t="s">
        <v>11164</v>
      </c>
      <c r="B5" s="510">
        <v>2.5</v>
      </c>
      <c r="C5" s="597"/>
      <c r="D5" s="478" t="s">
        <v>345</v>
      </c>
      <c r="E5" s="120">
        <v>6.75</v>
      </c>
      <c r="F5" s="597"/>
      <c r="G5" s="478" t="s">
        <v>383</v>
      </c>
      <c r="H5" s="120">
        <v>10.75</v>
      </c>
      <c r="I5" s="597"/>
      <c r="J5" s="478" t="s">
        <v>4404</v>
      </c>
      <c r="K5" s="120">
        <v>21.75</v>
      </c>
      <c r="L5" s="597"/>
      <c r="M5" s="123" t="s">
        <v>1838</v>
      </c>
      <c r="N5" s="120">
        <v>26.5</v>
      </c>
      <c r="O5" s="598"/>
      <c r="P5" s="123" t="s">
        <v>673</v>
      </c>
      <c r="Q5" s="176">
        <v>28.5</v>
      </c>
      <c r="R5" s="598"/>
      <c r="S5" s="123" t="s">
        <v>3507</v>
      </c>
      <c r="T5" s="120">
        <v>31.5</v>
      </c>
      <c r="U5" s="598"/>
      <c r="V5" s="123" t="s">
        <v>4631</v>
      </c>
      <c r="W5" s="120">
        <v>28.5</v>
      </c>
      <c r="X5" s="597"/>
      <c r="Y5" s="123" t="s">
        <v>3537</v>
      </c>
      <c r="Z5" s="120">
        <v>32</v>
      </c>
      <c r="AA5" s="597"/>
      <c r="AB5" s="123" t="s">
        <v>5234</v>
      </c>
      <c r="AC5" s="120">
        <v>26.25</v>
      </c>
      <c r="AD5" s="618"/>
      <c r="AE5" s="123" t="s">
        <v>376</v>
      </c>
      <c r="AF5" s="120">
        <v>27.75</v>
      </c>
      <c r="AG5" s="597"/>
      <c r="AH5" s="478" t="s">
        <v>87</v>
      </c>
      <c r="AI5" s="501">
        <v>29.25</v>
      </c>
      <c r="AJ5" s="597"/>
      <c r="AK5" s="469" t="s">
        <v>3371</v>
      </c>
      <c r="AL5" s="501">
        <v>24</v>
      </c>
      <c r="AM5" s="621"/>
      <c r="AN5" s="123" t="s">
        <v>485</v>
      </c>
      <c r="AO5" s="176">
        <v>26</v>
      </c>
      <c r="AP5" s="597"/>
      <c r="AQ5" s="123" t="s">
        <v>152</v>
      </c>
      <c r="AR5" s="176">
        <v>19.25</v>
      </c>
      <c r="AS5" s="597"/>
      <c r="AT5" s="123" t="s">
        <v>200</v>
      </c>
      <c r="AU5" s="120">
        <v>28</v>
      </c>
      <c r="AV5" s="597"/>
    </row>
    <row r="6" spans="1:62" x14ac:dyDescent="0.25">
      <c r="A6" s="478" t="s">
        <v>4402</v>
      </c>
      <c r="B6" s="510">
        <v>25.75</v>
      </c>
      <c r="C6" s="597"/>
      <c r="D6" s="123" t="s">
        <v>343</v>
      </c>
      <c r="E6" s="120">
        <v>10.5</v>
      </c>
      <c r="F6" s="597"/>
      <c r="G6" s="478" t="s">
        <v>300</v>
      </c>
      <c r="H6" s="120">
        <v>11.75</v>
      </c>
      <c r="I6" s="597"/>
      <c r="J6" s="478" t="s">
        <v>2890</v>
      </c>
      <c r="K6" s="120">
        <v>21.75</v>
      </c>
      <c r="L6" s="597"/>
      <c r="M6" s="123" t="s">
        <v>4003</v>
      </c>
      <c r="N6" s="120">
        <v>26.5</v>
      </c>
      <c r="O6" s="598"/>
      <c r="P6" s="123" t="s">
        <v>4194</v>
      </c>
      <c r="Q6" s="176">
        <v>28.5</v>
      </c>
      <c r="R6" s="598"/>
      <c r="S6" s="478" t="s">
        <v>3904</v>
      </c>
      <c r="T6" s="120">
        <v>31.25</v>
      </c>
      <c r="U6" s="598"/>
      <c r="V6" s="123" t="s">
        <v>4631</v>
      </c>
      <c r="W6" s="120">
        <v>28.5</v>
      </c>
      <c r="X6" s="597"/>
      <c r="Y6" s="478" t="s">
        <v>1522</v>
      </c>
      <c r="Z6" s="501">
        <v>29</v>
      </c>
      <c r="AA6" s="597"/>
      <c r="AB6" s="123" t="s">
        <v>5167</v>
      </c>
      <c r="AC6" s="120">
        <v>26.25</v>
      </c>
      <c r="AD6" s="618"/>
      <c r="AE6" s="123" t="s">
        <v>5706</v>
      </c>
      <c r="AF6" s="120">
        <v>27.75</v>
      </c>
      <c r="AG6" s="597"/>
      <c r="AH6" s="478" t="s">
        <v>1678</v>
      </c>
      <c r="AI6" s="501">
        <v>11.5</v>
      </c>
      <c r="AJ6" s="597"/>
      <c r="AK6" s="469" t="s">
        <v>1965</v>
      </c>
      <c r="AL6" s="501">
        <v>23.75</v>
      </c>
      <c r="AM6" s="621"/>
      <c r="AN6" s="123" t="s">
        <v>410</v>
      </c>
      <c r="AO6" s="176">
        <v>14.25</v>
      </c>
      <c r="AP6" s="597"/>
      <c r="AQ6" s="478" t="s">
        <v>254</v>
      </c>
      <c r="AR6" s="510">
        <v>14.75</v>
      </c>
      <c r="AS6" s="597"/>
      <c r="AT6" s="123" t="s">
        <v>27</v>
      </c>
      <c r="AU6" s="120">
        <v>25.5</v>
      </c>
      <c r="AV6" s="597"/>
    </row>
    <row r="7" spans="1:62" ht="15.75" thickBot="1" x14ac:dyDescent="0.3">
      <c r="A7" s="478" t="s">
        <v>5057</v>
      </c>
      <c r="B7" s="510">
        <v>28.5</v>
      </c>
      <c r="C7" s="597"/>
      <c r="D7" s="123" t="s">
        <v>333</v>
      </c>
      <c r="E7" s="120">
        <v>7.25</v>
      </c>
      <c r="F7" s="597"/>
      <c r="G7" s="478" t="s">
        <v>279</v>
      </c>
      <c r="H7" s="469">
        <v>11.75</v>
      </c>
      <c r="I7" s="597"/>
      <c r="J7" s="478" t="s">
        <v>4488</v>
      </c>
      <c r="K7" s="120">
        <v>21.75</v>
      </c>
      <c r="L7" s="597"/>
      <c r="M7" s="478" t="s">
        <v>5068</v>
      </c>
      <c r="N7" s="501">
        <v>26.25</v>
      </c>
      <c r="O7" s="598"/>
      <c r="P7" s="486" t="s">
        <v>2061</v>
      </c>
      <c r="Q7" s="487">
        <v>25.5</v>
      </c>
      <c r="R7" s="599"/>
      <c r="S7" s="164" t="s">
        <v>44</v>
      </c>
      <c r="T7" s="524">
        <v>10.25</v>
      </c>
      <c r="U7" s="599"/>
      <c r="V7" s="164" t="s">
        <v>3999</v>
      </c>
      <c r="W7" s="524">
        <v>24.5</v>
      </c>
      <c r="X7" s="601"/>
      <c r="Y7" s="164" t="s">
        <v>263</v>
      </c>
      <c r="Z7" s="524">
        <v>11</v>
      </c>
      <c r="AA7" s="601"/>
      <c r="AB7" s="123" t="s">
        <v>4851</v>
      </c>
      <c r="AC7" s="120">
        <v>26</v>
      </c>
      <c r="AD7" s="618"/>
      <c r="AE7" s="164" t="s">
        <v>3311</v>
      </c>
      <c r="AF7" s="524">
        <v>27.5</v>
      </c>
      <c r="AG7" s="601"/>
      <c r="AH7" s="478" t="s">
        <v>126</v>
      </c>
      <c r="AI7" s="501">
        <v>8.75</v>
      </c>
      <c r="AJ7" s="597"/>
      <c r="AK7" s="469" t="s">
        <v>1598</v>
      </c>
      <c r="AL7" s="501">
        <v>23.25</v>
      </c>
      <c r="AM7" s="621"/>
      <c r="AN7" s="123" t="s">
        <v>71</v>
      </c>
      <c r="AO7" s="176">
        <v>14.25</v>
      </c>
      <c r="AP7" s="597"/>
      <c r="AQ7" s="478" t="s">
        <v>419</v>
      </c>
      <c r="AR7" s="510">
        <v>14.25</v>
      </c>
      <c r="AS7" s="597"/>
      <c r="AT7" s="478" t="s">
        <v>452</v>
      </c>
      <c r="AU7" s="501">
        <v>19</v>
      </c>
      <c r="AV7" s="597"/>
    </row>
    <row r="8" spans="1:62" ht="15.75" thickBot="1" x14ac:dyDescent="0.3">
      <c r="A8" s="478" t="s">
        <v>97</v>
      </c>
      <c r="B8" s="510">
        <v>12</v>
      </c>
      <c r="C8" s="597"/>
      <c r="D8" s="123" t="s">
        <v>5386</v>
      </c>
      <c r="E8" s="120">
        <v>10.5</v>
      </c>
      <c r="F8" s="597"/>
      <c r="G8" s="478" t="s">
        <v>263</v>
      </c>
      <c r="H8" s="120">
        <v>11</v>
      </c>
      <c r="I8" s="597"/>
      <c r="J8" s="478" t="s">
        <v>4860</v>
      </c>
      <c r="K8" s="120">
        <v>21.5</v>
      </c>
      <c r="L8" s="597"/>
      <c r="M8" s="164" t="s">
        <v>4781</v>
      </c>
      <c r="N8" s="524">
        <v>9.25</v>
      </c>
      <c r="O8" s="599"/>
      <c r="P8" s="471" t="s">
        <v>5333</v>
      </c>
      <c r="Q8" s="175">
        <v>28.25</v>
      </c>
      <c r="R8" s="600" t="s">
        <v>12664</v>
      </c>
      <c r="S8" s="124" t="s">
        <v>853</v>
      </c>
      <c r="T8" s="125">
        <v>29.5</v>
      </c>
      <c r="U8" s="600" t="s">
        <v>12664</v>
      </c>
      <c r="V8" s="124" t="s">
        <v>4631</v>
      </c>
      <c r="W8" s="125">
        <v>28.5</v>
      </c>
      <c r="X8" s="596" t="s">
        <v>12663</v>
      </c>
      <c r="Y8" s="471" t="s">
        <v>3148</v>
      </c>
      <c r="Z8" s="500">
        <v>31.75</v>
      </c>
      <c r="AA8" s="596" t="s">
        <v>12663</v>
      </c>
      <c r="AB8" s="164" t="s">
        <v>414</v>
      </c>
      <c r="AC8" s="524">
        <v>10.75</v>
      </c>
      <c r="AD8" s="619"/>
      <c r="AE8" s="471" t="s">
        <v>2958</v>
      </c>
      <c r="AF8" s="500">
        <v>31</v>
      </c>
      <c r="AG8" s="596" t="s">
        <v>12663</v>
      </c>
      <c r="AH8" s="478" t="s">
        <v>4884</v>
      </c>
      <c r="AI8" s="501">
        <v>8.25</v>
      </c>
      <c r="AJ8" s="597"/>
      <c r="AK8" s="469" t="s">
        <v>5272</v>
      </c>
      <c r="AL8" s="501">
        <v>11.75</v>
      </c>
      <c r="AM8" s="621"/>
      <c r="AN8" s="123" t="s">
        <v>483</v>
      </c>
      <c r="AO8" s="176">
        <v>31.75</v>
      </c>
      <c r="AP8" s="597"/>
      <c r="AQ8" s="478" t="s">
        <v>224</v>
      </c>
      <c r="AR8" s="510">
        <v>14.25</v>
      </c>
      <c r="AS8" s="597"/>
      <c r="AT8" s="164" t="s">
        <v>24</v>
      </c>
      <c r="AU8" s="524">
        <v>10.25</v>
      </c>
      <c r="AV8" s="601"/>
    </row>
    <row r="9" spans="1:62" ht="15.75" thickBot="1" x14ac:dyDescent="0.3">
      <c r="A9" s="486" t="s">
        <v>4106</v>
      </c>
      <c r="B9" s="487">
        <v>19.5</v>
      </c>
      <c r="C9" s="601"/>
      <c r="D9" s="123" t="s">
        <v>279</v>
      </c>
      <c r="E9" s="120">
        <v>11.75</v>
      </c>
      <c r="F9" s="597"/>
      <c r="G9" s="123" t="s">
        <v>4915</v>
      </c>
      <c r="H9" s="120">
        <v>11.75</v>
      </c>
      <c r="I9" s="597"/>
      <c r="J9" s="486" t="s">
        <v>42</v>
      </c>
      <c r="K9" s="524">
        <v>13.5</v>
      </c>
      <c r="L9" s="601"/>
      <c r="M9" s="124" t="s">
        <v>3008</v>
      </c>
      <c r="N9" s="125">
        <v>26.5</v>
      </c>
      <c r="O9" s="596" t="s">
        <v>12663</v>
      </c>
      <c r="P9" s="478" t="s">
        <v>527</v>
      </c>
      <c r="Q9" s="176">
        <v>28.25</v>
      </c>
      <c r="R9" s="598"/>
      <c r="S9" s="123" t="s">
        <v>4104</v>
      </c>
      <c r="T9" s="120">
        <v>29.5</v>
      </c>
      <c r="U9" s="598"/>
      <c r="V9" s="478" t="s">
        <v>3678</v>
      </c>
      <c r="W9" s="501">
        <v>28.25</v>
      </c>
      <c r="X9" s="597"/>
      <c r="Y9" s="123" t="s">
        <v>3148</v>
      </c>
      <c r="Z9" s="120">
        <v>31.75</v>
      </c>
      <c r="AA9" s="597"/>
      <c r="AB9" s="124" t="s">
        <v>5311</v>
      </c>
      <c r="AC9" s="175">
        <v>26</v>
      </c>
      <c r="AD9" s="617" t="s">
        <v>12663</v>
      </c>
      <c r="AE9" s="478" t="s">
        <v>5495</v>
      </c>
      <c r="AF9" s="501">
        <v>27.5</v>
      </c>
      <c r="AG9" s="597"/>
      <c r="AH9" s="478" t="s">
        <v>2231</v>
      </c>
      <c r="AI9" s="501">
        <v>6.5</v>
      </c>
      <c r="AJ9" s="597"/>
      <c r="AK9" s="525" t="s">
        <v>3</v>
      </c>
      <c r="AL9" s="503">
        <v>10.5</v>
      </c>
      <c r="AM9" s="622"/>
      <c r="AN9" s="123" t="s">
        <v>170</v>
      </c>
      <c r="AO9" s="176">
        <v>13.75</v>
      </c>
      <c r="AP9" s="597"/>
      <c r="AQ9" s="478" t="s">
        <v>339</v>
      </c>
      <c r="AR9" s="510">
        <v>13.25</v>
      </c>
      <c r="AS9" s="597"/>
      <c r="AT9" s="471" t="s">
        <v>4533</v>
      </c>
      <c r="AU9" s="500">
        <v>28</v>
      </c>
      <c r="AV9" s="617" t="s">
        <v>12663</v>
      </c>
    </row>
    <row r="10" spans="1:62" ht="15.75" thickBot="1" x14ac:dyDescent="0.3">
      <c r="A10" s="124" t="s">
        <v>5597</v>
      </c>
      <c r="B10" s="125">
        <v>7.25</v>
      </c>
      <c r="C10" s="596" t="s">
        <v>12663</v>
      </c>
      <c r="D10" s="478" t="s">
        <v>217</v>
      </c>
      <c r="E10" s="469">
        <v>9.75</v>
      </c>
      <c r="F10" s="597"/>
      <c r="G10" s="478" t="s">
        <v>8728</v>
      </c>
      <c r="H10" s="120">
        <v>11.5</v>
      </c>
      <c r="I10" s="597"/>
      <c r="J10" s="124" t="s">
        <v>4404</v>
      </c>
      <c r="K10" s="125">
        <v>21.75</v>
      </c>
      <c r="L10" s="596" t="s">
        <v>12663</v>
      </c>
      <c r="M10" s="123" t="s">
        <v>3381</v>
      </c>
      <c r="N10" s="120">
        <v>26.5</v>
      </c>
      <c r="O10" s="597"/>
      <c r="P10" s="123" t="s">
        <v>527</v>
      </c>
      <c r="Q10" s="176">
        <v>28.25</v>
      </c>
      <c r="R10" s="598"/>
      <c r="S10" s="123" t="s">
        <v>4529</v>
      </c>
      <c r="T10" s="120">
        <v>29.5</v>
      </c>
      <c r="U10" s="598"/>
      <c r="V10" s="123" t="s">
        <v>3678</v>
      </c>
      <c r="W10" s="120">
        <v>28.25</v>
      </c>
      <c r="X10" s="597"/>
      <c r="Y10" s="123" t="s">
        <v>3148</v>
      </c>
      <c r="Z10" s="120">
        <v>31.75</v>
      </c>
      <c r="AA10" s="597"/>
      <c r="AB10" s="123" t="s">
        <v>5473</v>
      </c>
      <c r="AC10" s="176">
        <v>26</v>
      </c>
      <c r="AD10" s="618"/>
      <c r="AE10" s="478" t="s">
        <v>3311</v>
      </c>
      <c r="AF10" s="501">
        <v>27.5</v>
      </c>
      <c r="AG10" s="597"/>
      <c r="AH10" s="478" t="s">
        <v>211</v>
      </c>
      <c r="AI10" s="501">
        <v>4.75</v>
      </c>
      <c r="AJ10" s="597"/>
      <c r="AK10" s="517" t="s">
        <v>5653</v>
      </c>
      <c r="AL10" s="500">
        <v>25.5</v>
      </c>
      <c r="AM10" s="596" t="s">
        <v>12663</v>
      </c>
      <c r="AN10" s="486" t="s">
        <v>113</v>
      </c>
      <c r="AO10" s="487">
        <v>8.25</v>
      </c>
      <c r="AP10" s="601"/>
      <c r="AQ10" s="486" t="s">
        <v>385</v>
      </c>
      <c r="AR10" s="487">
        <v>9.5</v>
      </c>
      <c r="AS10" s="601"/>
      <c r="AT10" s="478" t="s">
        <v>4533</v>
      </c>
      <c r="AU10" s="501">
        <v>28</v>
      </c>
      <c r="AV10" s="618"/>
      <c r="BG10" s="519"/>
      <c r="BH10" s="519"/>
      <c r="BI10" s="519"/>
      <c r="BJ10" s="519"/>
    </row>
    <row r="11" spans="1:62" ht="15.75" thickBot="1" x14ac:dyDescent="0.3">
      <c r="A11" s="123" t="s">
        <v>368</v>
      </c>
      <c r="B11" s="120">
        <v>10</v>
      </c>
      <c r="C11" s="597"/>
      <c r="D11" s="478" t="s">
        <v>5406</v>
      </c>
      <c r="E11" s="469">
        <v>10.25</v>
      </c>
      <c r="F11" s="597"/>
      <c r="G11" s="123" t="s">
        <v>113</v>
      </c>
      <c r="H11" s="120">
        <v>8.25</v>
      </c>
      <c r="I11" s="597"/>
      <c r="J11" s="123" t="s">
        <v>2890</v>
      </c>
      <c r="K11" s="120">
        <v>21.75</v>
      </c>
      <c r="L11" s="597"/>
      <c r="M11" s="123" t="s">
        <v>3127</v>
      </c>
      <c r="N11" s="120">
        <v>26.5</v>
      </c>
      <c r="O11" s="597"/>
      <c r="P11" s="478" t="s">
        <v>615</v>
      </c>
      <c r="Q11" s="176">
        <v>28</v>
      </c>
      <c r="R11" s="598"/>
      <c r="S11" s="123" t="s">
        <v>853</v>
      </c>
      <c r="T11" s="120">
        <v>29.5</v>
      </c>
      <c r="U11" s="598"/>
      <c r="V11" s="123" t="s">
        <v>3678</v>
      </c>
      <c r="W11" s="120">
        <v>28.25</v>
      </c>
      <c r="X11" s="597"/>
      <c r="Y11" s="123" t="s">
        <v>3148</v>
      </c>
      <c r="Z11" s="120">
        <v>31.75</v>
      </c>
      <c r="AA11" s="597"/>
      <c r="AB11" s="123" t="s">
        <v>4865</v>
      </c>
      <c r="AC11" s="176">
        <v>26</v>
      </c>
      <c r="AD11" s="618"/>
      <c r="AE11" s="123" t="s">
        <v>5495</v>
      </c>
      <c r="AF11" s="120">
        <v>27.5</v>
      </c>
      <c r="AG11" s="597"/>
      <c r="AH11" s="486" t="s">
        <v>93</v>
      </c>
      <c r="AI11" s="503">
        <v>4</v>
      </c>
      <c r="AJ11" s="601"/>
      <c r="AK11" s="469" t="s">
        <v>5567</v>
      </c>
      <c r="AL11" s="501">
        <v>24.75</v>
      </c>
      <c r="AM11" s="597"/>
      <c r="AN11" s="124" t="s">
        <v>450</v>
      </c>
      <c r="AO11" s="175">
        <v>27.75</v>
      </c>
      <c r="AP11" s="596" t="s">
        <v>12663</v>
      </c>
      <c r="AQ11" s="471" t="s">
        <v>359</v>
      </c>
      <c r="AR11" s="516">
        <v>30</v>
      </c>
      <c r="AS11" s="596" t="s">
        <v>12663</v>
      </c>
      <c r="AT11" s="478" t="s">
        <v>5327</v>
      </c>
      <c r="AU11" s="501">
        <v>27.25</v>
      </c>
      <c r="AV11" s="618"/>
      <c r="BG11" s="519"/>
      <c r="BH11" s="519"/>
      <c r="BI11" s="519"/>
      <c r="BJ11" s="519"/>
    </row>
    <row r="12" spans="1:62" x14ac:dyDescent="0.25">
      <c r="A12" s="123" t="s">
        <v>355</v>
      </c>
      <c r="B12" s="120">
        <v>10.5</v>
      </c>
      <c r="C12" s="597"/>
      <c r="D12" s="478" t="s">
        <v>5373</v>
      </c>
      <c r="E12" s="469">
        <v>10</v>
      </c>
      <c r="F12" s="597"/>
      <c r="G12" s="123" t="s">
        <v>63</v>
      </c>
      <c r="H12" s="120">
        <v>13</v>
      </c>
      <c r="I12" s="597"/>
      <c r="J12" s="123" t="s">
        <v>4488</v>
      </c>
      <c r="K12" s="120">
        <v>21.75</v>
      </c>
      <c r="L12" s="597"/>
      <c r="M12" s="123" t="s">
        <v>5295</v>
      </c>
      <c r="N12" s="120">
        <v>26.5</v>
      </c>
      <c r="O12" s="597"/>
      <c r="P12" s="478" t="s">
        <v>1169</v>
      </c>
      <c r="Q12" s="176">
        <v>28</v>
      </c>
      <c r="R12" s="598"/>
      <c r="S12" s="123" t="s">
        <v>4104</v>
      </c>
      <c r="T12" s="120">
        <v>29.5</v>
      </c>
      <c r="U12" s="598"/>
      <c r="V12" s="123" t="s">
        <v>3678</v>
      </c>
      <c r="W12" s="120">
        <v>28.25</v>
      </c>
      <c r="X12" s="597"/>
      <c r="Y12" s="478" t="s">
        <v>50</v>
      </c>
      <c r="Z12" s="501">
        <v>29.75</v>
      </c>
      <c r="AA12" s="597"/>
      <c r="AB12" s="123" t="s">
        <v>4851</v>
      </c>
      <c r="AC12" s="176">
        <v>26</v>
      </c>
      <c r="AD12" s="618"/>
      <c r="AE12" s="123" t="s">
        <v>402</v>
      </c>
      <c r="AF12" s="120">
        <v>27.25</v>
      </c>
      <c r="AG12" s="597"/>
      <c r="AH12" s="471" t="s">
        <v>376</v>
      </c>
      <c r="AI12" s="500">
        <v>27.75</v>
      </c>
      <c r="AJ12" s="596" t="s">
        <v>12663</v>
      </c>
      <c r="AK12" s="478" t="s">
        <v>4548</v>
      </c>
      <c r="AL12" s="501">
        <v>24.5</v>
      </c>
      <c r="AM12" s="597"/>
      <c r="AN12" s="123" t="s">
        <v>190</v>
      </c>
      <c r="AO12" s="176">
        <v>21</v>
      </c>
      <c r="AP12" s="597"/>
      <c r="AQ12" s="478" t="s">
        <v>484</v>
      </c>
      <c r="AR12" s="510">
        <v>27.75</v>
      </c>
      <c r="AS12" s="597"/>
      <c r="AT12" s="478" t="s">
        <v>5327</v>
      </c>
      <c r="AU12" s="501">
        <v>27.25</v>
      </c>
      <c r="AV12" s="618"/>
      <c r="BG12" s="519"/>
      <c r="BH12" s="519"/>
      <c r="BI12" s="519"/>
      <c r="BJ12" s="519"/>
    </row>
    <row r="13" spans="1:62" ht="15.75" thickBot="1" x14ac:dyDescent="0.3">
      <c r="A13" s="478" t="s">
        <v>1937</v>
      </c>
      <c r="B13" s="120">
        <v>7.25</v>
      </c>
      <c r="C13" s="597"/>
      <c r="D13" s="478" t="s">
        <v>187</v>
      </c>
      <c r="E13" s="469">
        <v>10.25</v>
      </c>
      <c r="F13" s="597"/>
      <c r="G13" s="123" t="s">
        <v>52</v>
      </c>
      <c r="H13" s="120">
        <v>13</v>
      </c>
      <c r="I13" s="597"/>
      <c r="J13" s="123" t="s">
        <v>4860</v>
      </c>
      <c r="K13" s="120">
        <v>21.5</v>
      </c>
      <c r="L13" s="597"/>
      <c r="M13" s="123" t="s">
        <v>5295</v>
      </c>
      <c r="N13" s="120">
        <v>26.5</v>
      </c>
      <c r="O13" s="597"/>
      <c r="P13" s="486" t="s">
        <v>2512</v>
      </c>
      <c r="Q13" s="190">
        <v>27.25</v>
      </c>
      <c r="R13" s="599"/>
      <c r="S13" s="123" t="s">
        <v>339</v>
      </c>
      <c r="T13" s="120">
        <v>13.25</v>
      </c>
      <c r="U13" s="598"/>
      <c r="V13" s="486" t="s">
        <v>5452</v>
      </c>
      <c r="W13" s="503">
        <v>26.5</v>
      </c>
      <c r="X13" s="601"/>
      <c r="Y13" s="164" t="s">
        <v>246</v>
      </c>
      <c r="Z13" s="524">
        <v>11.25</v>
      </c>
      <c r="AA13" s="601"/>
      <c r="AB13" s="123" t="s">
        <v>5311</v>
      </c>
      <c r="AC13" s="176">
        <v>26</v>
      </c>
      <c r="AD13" s="618"/>
      <c r="AE13" s="164" t="s">
        <v>402</v>
      </c>
      <c r="AF13" s="524">
        <v>27.25</v>
      </c>
      <c r="AG13" s="601"/>
      <c r="AH13" s="123" t="s">
        <v>4898</v>
      </c>
      <c r="AI13" s="120">
        <v>27.25</v>
      </c>
      <c r="AJ13" s="597"/>
      <c r="AK13" s="478" t="s">
        <v>3371</v>
      </c>
      <c r="AL13" s="501">
        <v>24</v>
      </c>
      <c r="AM13" s="597"/>
      <c r="AN13" s="123" t="s">
        <v>485</v>
      </c>
      <c r="AO13" s="176">
        <v>26</v>
      </c>
      <c r="AP13" s="597"/>
      <c r="AQ13" s="478" t="s">
        <v>209</v>
      </c>
      <c r="AR13" s="510">
        <v>25</v>
      </c>
      <c r="AS13" s="597"/>
      <c r="AT13" s="478" t="s">
        <v>2579</v>
      </c>
      <c r="AU13" s="501">
        <v>27</v>
      </c>
      <c r="AV13" s="618"/>
      <c r="BG13" s="519"/>
      <c r="BH13" s="519"/>
      <c r="BI13" s="519"/>
      <c r="BJ13" s="519"/>
    </row>
    <row r="14" spans="1:62" ht="15.75" thickBot="1" x14ac:dyDescent="0.3">
      <c r="A14" s="123" t="s">
        <v>5386</v>
      </c>
      <c r="B14" s="120">
        <v>10.5</v>
      </c>
      <c r="C14" s="597"/>
      <c r="D14" s="478" t="s">
        <v>175</v>
      </c>
      <c r="E14" s="469">
        <v>9.5</v>
      </c>
      <c r="F14" s="597"/>
      <c r="G14" s="478" t="s">
        <v>18</v>
      </c>
      <c r="H14" s="120">
        <v>11.5</v>
      </c>
      <c r="I14" s="597"/>
      <c r="J14" s="478" t="s">
        <v>2903</v>
      </c>
      <c r="K14" s="120">
        <v>21.5</v>
      </c>
      <c r="L14" s="597"/>
      <c r="M14" s="478" t="s">
        <v>5304</v>
      </c>
      <c r="N14" s="501">
        <v>26.25</v>
      </c>
      <c r="O14" s="597"/>
      <c r="P14" s="471" t="s">
        <v>2079</v>
      </c>
      <c r="Q14" s="175">
        <v>27.75</v>
      </c>
      <c r="R14" s="596" t="s">
        <v>12664</v>
      </c>
      <c r="S14" s="486" t="s">
        <v>415</v>
      </c>
      <c r="T14" s="525">
        <v>7.25</v>
      </c>
      <c r="U14" s="599"/>
      <c r="V14" s="124" t="s">
        <v>50</v>
      </c>
      <c r="W14" s="125">
        <v>29.75</v>
      </c>
      <c r="X14" s="596" t="s">
        <v>12664</v>
      </c>
      <c r="Y14" s="471" t="s">
        <v>3152</v>
      </c>
      <c r="Z14" s="500">
        <v>31</v>
      </c>
      <c r="AA14" s="596" t="s">
        <v>12663</v>
      </c>
      <c r="AB14" s="123" t="s">
        <v>5473</v>
      </c>
      <c r="AC14" s="176">
        <v>26</v>
      </c>
      <c r="AD14" s="618"/>
      <c r="AE14" s="124" t="s">
        <v>288</v>
      </c>
      <c r="AF14" s="125">
        <v>26.5</v>
      </c>
      <c r="AG14" s="596" t="s">
        <v>12663</v>
      </c>
      <c r="AH14" s="478" t="s">
        <v>5236</v>
      </c>
      <c r="AI14" s="501">
        <v>27</v>
      </c>
      <c r="AJ14" s="597"/>
      <c r="AK14" s="478" t="s">
        <v>1965</v>
      </c>
      <c r="AL14" s="501">
        <v>23.75</v>
      </c>
      <c r="AM14" s="597"/>
      <c r="AN14" s="123" t="s">
        <v>450</v>
      </c>
      <c r="AO14" s="176">
        <v>27.75</v>
      </c>
      <c r="AP14" s="597"/>
      <c r="AQ14" s="123" t="s">
        <v>152</v>
      </c>
      <c r="AR14" s="176">
        <v>19.25</v>
      </c>
      <c r="AS14" s="597"/>
      <c r="AT14" s="478" t="s">
        <v>366</v>
      </c>
      <c r="AU14" s="501">
        <v>15.25</v>
      </c>
      <c r="AV14" s="618"/>
      <c r="BG14" s="519"/>
      <c r="BH14" s="519"/>
      <c r="BI14" s="519"/>
      <c r="BJ14" s="519"/>
    </row>
    <row r="15" spans="1:62" ht="15.75" thickBot="1" x14ac:dyDescent="0.3">
      <c r="A15" s="478" t="s">
        <v>286</v>
      </c>
      <c r="B15" s="501">
        <v>8.75</v>
      </c>
      <c r="C15" s="597"/>
      <c r="D15" s="478" t="s">
        <v>65</v>
      </c>
      <c r="E15" s="469">
        <v>9.5</v>
      </c>
      <c r="F15" s="597"/>
      <c r="G15" s="478" t="s">
        <v>5029</v>
      </c>
      <c r="H15" s="120">
        <v>12</v>
      </c>
      <c r="I15" s="597"/>
      <c r="J15" s="478" t="s">
        <v>4828</v>
      </c>
      <c r="K15" s="120">
        <v>21.25</v>
      </c>
      <c r="L15" s="597"/>
      <c r="M15" s="164" t="s">
        <v>4781</v>
      </c>
      <c r="N15" s="524">
        <v>9.25</v>
      </c>
      <c r="O15" s="601"/>
      <c r="P15" s="478" t="s">
        <v>1643</v>
      </c>
      <c r="Q15" s="176">
        <v>27.75</v>
      </c>
      <c r="R15" s="597"/>
      <c r="S15" s="124" t="s">
        <v>763</v>
      </c>
      <c r="T15" s="125">
        <v>29.75</v>
      </c>
      <c r="U15" s="600" t="s">
        <v>12664</v>
      </c>
      <c r="V15" s="123" t="s">
        <v>763</v>
      </c>
      <c r="W15" s="120">
        <v>29.75</v>
      </c>
      <c r="X15" s="597"/>
      <c r="Y15" s="123" t="s">
        <v>3152</v>
      </c>
      <c r="Z15" s="120">
        <v>31</v>
      </c>
      <c r="AA15" s="597"/>
      <c r="AB15" s="164" t="s">
        <v>5029</v>
      </c>
      <c r="AC15" s="487">
        <v>12</v>
      </c>
      <c r="AD15" s="619"/>
      <c r="AE15" s="123" t="s">
        <v>5279</v>
      </c>
      <c r="AF15" s="120">
        <v>26.5</v>
      </c>
      <c r="AG15" s="597"/>
      <c r="AH15" s="123" t="s">
        <v>5356</v>
      </c>
      <c r="AI15" s="120">
        <v>27</v>
      </c>
      <c r="AJ15" s="597"/>
      <c r="AK15" s="478" t="s">
        <v>1598</v>
      </c>
      <c r="AL15" s="501">
        <v>23.25</v>
      </c>
      <c r="AM15" s="597"/>
      <c r="AN15" s="123" t="s">
        <v>190</v>
      </c>
      <c r="AO15" s="176">
        <v>21</v>
      </c>
      <c r="AP15" s="597"/>
      <c r="AQ15" s="478" t="s">
        <v>254</v>
      </c>
      <c r="AR15" s="510">
        <v>14.75</v>
      </c>
      <c r="AS15" s="597"/>
      <c r="AT15" s="486" t="s">
        <v>366</v>
      </c>
      <c r="AU15" s="503">
        <v>15.25</v>
      </c>
      <c r="AV15" s="619"/>
      <c r="BG15" s="519"/>
      <c r="BH15" s="519"/>
      <c r="BI15" s="519"/>
      <c r="BJ15" s="519"/>
    </row>
    <row r="16" spans="1:62" ht="15.75" thickBot="1" x14ac:dyDescent="0.3">
      <c r="A16" s="478" t="s">
        <v>277</v>
      </c>
      <c r="B16" s="469">
        <v>9.25</v>
      </c>
      <c r="C16" s="597"/>
      <c r="D16" s="478" t="s">
        <v>47</v>
      </c>
      <c r="E16" s="469">
        <v>10.5</v>
      </c>
      <c r="F16" s="597"/>
      <c r="G16" s="486" t="s">
        <v>15</v>
      </c>
      <c r="H16" s="524">
        <v>12.25</v>
      </c>
      <c r="I16" s="601"/>
      <c r="J16" s="123" t="s">
        <v>5438</v>
      </c>
      <c r="K16" s="120">
        <v>19.75</v>
      </c>
      <c r="L16" s="597"/>
      <c r="M16" s="124" t="s">
        <v>5068</v>
      </c>
      <c r="N16" s="125">
        <v>26.25</v>
      </c>
      <c r="O16" s="596" t="s">
        <v>12663</v>
      </c>
      <c r="P16" s="123" t="s">
        <v>2079</v>
      </c>
      <c r="Q16" s="176">
        <v>27.75</v>
      </c>
      <c r="R16" s="597"/>
      <c r="S16" s="123" t="s">
        <v>501</v>
      </c>
      <c r="T16" s="120">
        <v>29.75</v>
      </c>
      <c r="U16" s="598"/>
      <c r="V16" s="123" t="s">
        <v>50</v>
      </c>
      <c r="W16" s="120">
        <v>29.75</v>
      </c>
      <c r="X16" s="597"/>
      <c r="Y16" s="123" t="s">
        <v>3152</v>
      </c>
      <c r="Z16" s="120">
        <v>31</v>
      </c>
      <c r="AA16" s="597"/>
      <c r="AB16" s="124" t="s">
        <v>4930</v>
      </c>
      <c r="AC16" s="125">
        <v>24.5</v>
      </c>
      <c r="AD16" s="596" t="s">
        <v>12663</v>
      </c>
      <c r="AE16" s="123" t="s">
        <v>4847</v>
      </c>
      <c r="AF16" s="120">
        <v>26.5</v>
      </c>
      <c r="AG16" s="597"/>
      <c r="AH16" s="123" t="s">
        <v>397</v>
      </c>
      <c r="AI16" s="120">
        <v>27</v>
      </c>
      <c r="AJ16" s="597"/>
      <c r="AK16" s="478" t="s">
        <v>5272</v>
      </c>
      <c r="AL16" s="501">
        <v>11.75</v>
      </c>
      <c r="AM16" s="597"/>
      <c r="AN16" s="123" t="s">
        <v>93</v>
      </c>
      <c r="AO16" s="176">
        <v>4</v>
      </c>
      <c r="AP16" s="597"/>
      <c r="AQ16" s="478" t="s">
        <v>419</v>
      </c>
      <c r="AR16" s="510">
        <v>14.25</v>
      </c>
      <c r="AS16" s="597"/>
      <c r="AT16" s="124" t="s">
        <v>195</v>
      </c>
      <c r="AU16" s="125">
        <v>28</v>
      </c>
      <c r="AV16" s="596" t="s">
        <v>12663</v>
      </c>
      <c r="BG16" s="519"/>
      <c r="BH16" s="519"/>
      <c r="BI16" s="519"/>
      <c r="BJ16" s="519"/>
    </row>
    <row r="17" spans="1:62" ht="15.75" thickBot="1" x14ac:dyDescent="0.3">
      <c r="A17" s="478" t="s">
        <v>275</v>
      </c>
      <c r="B17" s="501">
        <v>6.25</v>
      </c>
      <c r="C17" s="597"/>
      <c r="D17" s="478" t="s">
        <v>44</v>
      </c>
      <c r="E17" s="469">
        <v>10.25</v>
      </c>
      <c r="F17" s="597"/>
      <c r="G17" s="471" t="s">
        <v>5457</v>
      </c>
      <c r="H17" s="175">
        <v>23</v>
      </c>
      <c r="I17" s="596" t="s">
        <v>12663</v>
      </c>
      <c r="J17" s="486" t="s">
        <v>5436</v>
      </c>
      <c r="K17" s="503">
        <v>18.75</v>
      </c>
      <c r="L17" s="601"/>
      <c r="M17" s="123" t="s">
        <v>5304</v>
      </c>
      <c r="N17" s="120">
        <v>26.25</v>
      </c>
      <c r="O17" s="597"/>
      <c r="P17" s="123" t="s">
        <v>1643</v>
      </c>
      <c r="Q17" s="176">
        <v>27.75</v>
      </c>
      <c r="R17" s="597"/>
      <c r="S17" s="478" t="s">
        <v>4104</v>
      </c>
      <c r="T17" s="501">
        <v>29.5</v>
      </c>
      <c r="U17" s="598"/>
      <c r="V17" s="123" t="s">
        <v>763</v>
      </c>
      <c r="W17" s="120">
        <v>29.75</v>
      </c>
      <c r="X17" s="597"/>
      <c r="Y17" s="123" t="s">
        <v>3152</v>
      </c>
      <c r="Z17" s="120">
        <v>31</v>
      </c>
      <c r="AA17" s="597"/>
      <c r="AB17" s="123" t="s">
        <v>364</v>
      </c>
      <c r="AC17" s="120">
        <v>19</v>
      </c>
      <c r="AD17" s="597"/>
      <c r="AE17" s="123" t="s">
        <v>5392</v>
      </c>
      <c r="AF17" s="120">
        <v>26.25</v>
      </c>
      <c r="AG17" s="597"/>
      <c r="AH17" s="123" t="s">
        <v>383</v>
      </c>
      <c r="AI17" s="120">
        <v>10.75</v>
      </c>
      <c r="AJ17" s="597"/>
      <c r="AK17" s="486" t="s">
        <v>3</v>
      </c>
      <c r="AL17" s="503">
        <v>10.5</v>
      </c>
      <c r="AM17" s="601"/>
      <c r="AN17" s="123" t="s">
        <v>422</v>
      </c>
      <c r="AO17" s="176">
        <v>19.5</v>
      </c>
      <c r="AP17" s="597"/>
      <c r="AQ17" s="478" t="s">
        <v>224</v>
      </c>
      <c r="AR17" s="510">
        <v>14.25</v>
      </c>
      <c r="AS17" s="597"/>
      <c r="AT17" s="478" t="s">
        <v>446</v>
      </c>
      <c r="AU17" s="501">
        <v>27.25</v>
      </c>
      <c r="AV17" s="597"/>
      <c r="BG17" s="519"/>
      <c r="BH17" s="519"/>
      <c r="BI17" s="519"/>
      <c r="BJ17" s="519"/>
    </row>
    <row r="18" spans="1:62" ht="15.75" thickBot="1" x14ac:dyDescent="0.3">
      <c r="A18" s="123" t="s">
        <v>217</v>
      </c>
      <c r="B18" s="120">
        <v>9.75</v>
      </c>
      <c r="C18" s="597"/>
      <c r="D18" s="486" t="s">
        <v>5597</v>
      </c>
      <c r="E18" s="525">
        <v>10.25</v>
      </c>
      <c r="F18" s="601"/>
      <c r="G18" s="478" t="s">
        <v>5221</v>
      </c>
      <c r="H18" s="510">
        <v>22.75</v>
      </c>
      <c r="I18" s="597"/>
      <c r="J18" s="124" t="s">
        <v>4488</v>
      </c>
      <c r="K18" s="125">
        <v>21.75</v>
      </c>
      <c r="L18" s="596" t="s">
        <v>12663</v>
      </c>
      <c r="M18" s="123" t="s">
        <v>5068</v>
      </c>
      <c r="N18" s="120">
        <v>26.25</v>
      </c>
      <c r="O18" s="597"/>
      <c r="P18" s="478" t="s">
        <v>4671</v>
      </c>
      <c r="Q18" s="176">
        <v>27.5</v>
      </c>
      <c r="R18" s="597"/>
      <c r="S18" s="478" t="s">
        <v>4529</v>
      </c>
      <c r="T18" s="469">
        <v>29.5</v>
      </c>
      <c r="U18" s="598"/>
      <c r="V18" s="123" t="s">
        <v>763</v>
      </c>
      <c r="W18" s="120">
        <v>29.75</v>
      </c>
      <c r="X18" s="597"/>
      <c r="Y18" s="478" t="s">
        <v>2103</v>
      </c>
      <c r="Z18" s="501">
        <v>30.5</v>
      </c>
      <c r="AA18" s="597"/>
      <c r="AB18" s="123" t="s">
        <v>259</v>
      </c>
      <c r="AC18" s="501">
        <v>13.75</v>
      </c>
      <c r="AD18" s="597"/>
      <c r="AE18" s="123" t="s">
        <v>5234</v>
      </c>
      <c r="AF18" s="120">
        <v>26.25</v>
      </c>
      <c r="AG18" s="597"/>
      <c r="AH18" s="123" t="s">
        <v>304</v>
      </c>
      <c r="AI18" s="120">
        <v>10.75</v>
      </c>
      <c r="AJ18" s="597"/>
      <c r="AK18" s="471" t="s">
        <v>5653</v>
      </c>
      <c r="AL18" s="500">
        <v>25.5</v>
      </c>
      <c r="AM18" s="596" t="s">
        <v>12663</v>
      </c>
      <c r="AN18" s="164" t="s">
        <v>190</v>
      </c>
      <c r="AO18" s="190">
        <v>21</v>
      </c>
      <c r="AP18" s="601"/>
      <c r="AQ18" s="478" t="s">
        <v>339</v>
      </c>
      <c r="AR18" s="510">
        <v>13.25</v>
      </c>
      <c r="AS18" s="597"/>
      <c r="AT18" s="478" t="s">
        <v>309</v>
      </c>
      <c r="AU18" s="501">
        <v>26</v>
      </c>
      <c r="AV18" s="597"/>
      <c r="BG18" s="519"/>
      <c r="BH18" s="519"/>
      <c r="BI18" s="519"/>
      <c r="BJ18" s="519"/>
    </row>
    <row r="19" spans="1:62" ht="15.75" thickBot="1" x14ac:dyDescent="0.3">
      <c r="A19" s="123" t="s">
        <v>5406</v>
      </c>
      <c r="B19" s="120">
        <v>10.25</v>
      </c>
      <c r="C19" s="597"/>
      <c r="D19" s="124" t="s">
        <v>415</v>
      </c>
      <c r="E19" s="125">
        <v>7.25</v>
      </c>
      <c r="F19" s="596" t="s">
        <v>12663</v>
      </c>
      <c r="G19" s="123" t="s">
        <v>5219</v>
      </c>
      <c r="H19" s="176">
        <v>23</v>
      </c>
      <c r="I19" s="597"/>
      <c r="J19" s="123" t="s">
        <v>2903</v>
      </c>
      <c r="K19" s="120">
        <v>21.5</v>
      </c>
      <c r="L19" s="597"/>
      <c r="M19" s="123" t="s">
        <v>5304</v>
      </c>
      <c r="N19" s="120">
        <v>26.25</v>
      </c>
      <c r="O19" s="597"/>
      <c r="P19" s="478" t="s">
        <v>221</v>
      </c>
      <c r="Q19" s="176">
        <v>17</v>
      </c>
      <c r="R19" s="597"/>
      <c r="S19" s="123" t="s">
        <v>5313</v>
      </c>
      <c r="T19" s="120">
        <v>29.5</v>
      </c>
      <c r="U19" s="598"/>
      <c r="V19" s="164" t="s">
        <v>4804</v>
      </c>
      <c r="W19" s="524">
        <v>19.25</v>
      </c>
      <c r="X19" s="601"/>
      <c r="Y19" s="164" t="s">
        <v>42</v>
      </c>
      <c r="Z19" s="524">
        <v>13.5</v>
      </c>
      <c r="AA19" s="601"/>
      <c r="AB19" s="123" t="s">
        <v>2692</v>
      </c>
      <c r="AC19" s="120">
        <v>13.75</v>
      </c>
      <c r="AD19" s="597"/>
      <c r="AE19" s="123" t="s">
        <v>2266</v>
      </c>
      <c r="AF19" s="120">
        <v>25</v>
      </c>
      <c r="AG19" s="597"/>
      <c r="AH19" s="164" t="s">
        <v>378</v>
      </c>
      <c r="AI19" s="503">
        <v>10.5</v>
      </c>
      <c r="AJ19" s="601"/>
      <c r="AK19" s="478" t="s">
        <v>5567</v>
      </c>
      <c r="AL19" s="501">
        <v>24.75</v>
      </c>
      <c r="AM19" s="597"/>
      <c r="AN19" s="124" t="s">
        <v>319</v>
      </c>
      <c r="AO19" s="175">
        <v>16.75</v>
      </c>
      <c r="AP19" s="596" t="s">
        <v>12663</v>
      </c>
      <c r="AQ19" s="486" t="s">
        <v>385</v>
      </c>
      <c r="AR19" s="487">
        <v>9.5</v>
      </c>
      <c r="AS19" s="601"/>
      <c r="AT19" s="123" t="s">
        <v>79</v>
      </c>
      <c r="AU19" s="120">
        <v>22.75</v>
      </c>
      <c r="AV19" s="597"/>
      <c r="BG19" s="519"/>
      <c r="BH19" s="519"/>
      <c r="BI19" s="519"/>
      <c r="BJ19" s="519"/>
    </row>
    <row r="20" spans="1:62" ht="15.75" thickBot="1" x14ac:dyDescent="0.3">
      <c r="A20" s="123" t="s">
        <v>5373</v>
      </c>
      <c r="B20" s="120">
        <v>10</v>
      </c>
      <c r="C20" s="597"/>
      <c r="D20" s="123" t="s">
        <v>368</v>
      </c>
      <c r="E20" s="120">
        <v>10</v>
      </c>
      <c r="F20" s="597"/>
      <c r="G20" s="123" t="s">
        <v>3046</v>
      </c>
      <c r="H20" s="176">
        <v>22.75</v>
      </c>
      <c r="I20" s="597"/>
      <c r="J20" s="123" t="s">
        <v>4828</v>
      </c>
      <c r="K20" s="120">
        <v>21.25</v>
      </c>
      <c r="L20" s="597"/>
      <c r="M20" s="478" t="s">
        <v>4092</v>
      </c>
      <c r="N20" s="120">
        <v>26</v>
      </c>
      <c r="O20" s="597"/>
      <c r="P20" s="164" t="s">
        <v>406</v>
      </c>
      <c r="Q20" s="190">
        <v>12.5</v>
      </c>
      <c r="R20" s="601"/>
      <c r="S20" s="123" t="s">
        <v>187</v>
      </c>
      <c r="T20" s="120">
        <v>10.25</v>
      </c>
      <c r="U20" s="598"/>
      <c r="V20" s="124" t="s">
        <v>501</v>
      </c>
      <c r="W20" s="175">
        <v>29.75</v>
      </c>
      <c r="X20" s="596" t="s">
        <v>12664</v>
      </c>
      <c r="Y20" s="471" t="s">
        <v>1333</v>
      </c>
      <c r="Z20" s="500">
        <v>29</v>
      </c>
      <c r="AA20" s="596" t="s">
        <v>12663</v>
      </c>
      <c r="AB20" s="123" t="s">
        <v>5149</v>
      </c>
      <c r="AC20" s="120">
        <v>13.75</v>
      </c>
      <c r="AD20" s="597"/>
      <c r="AE20" s="164" t="s">
        <v>5265</v>
      </c>
      <c r="AF20" s="524">
        <v>11</v>
      </c>
      <c r="AG20" s="601"/>
      <c r="AH20" s="471" t="s">
        <v>5672</v>
      </c>
      <c r="AI20" s="500">
        <v>26.75</v>
      </c>
      <c r="AJ20" s="596" t="s">
        <v>12663</v>
      </c>
      <c r="AK20" s="478" t="s">
        <v>4548</v>
      </c>
      <c r="AL20" s="501">
        <v>24.5</v>
      </c>
      <c r="AM20" s="597"/>
      <c r="AN20" s="123" t="s">
        <v>293</v>
      </c>
      <c r="AO20" s="176">
        <v>17.5</v>
      </c>
      <c r="AP20" s="597"/>
      <c r="AQ20" s="471" t="s">
        <v>359</v>
      </c>
      <c r="AR20" s="516">
        <v>30</v>
      </c>
      <c r="AS20" s="596" t="s">
        <v>12663</v>
      </c>
      <c r="AT20" s="123" t="s">
        <v>145</v>
      </c>
      <c r="AU20" s="120">
        <v>15</v>
      </c>
      <c r="AV20" s="597"/>
      <c r="BG20" s="519"/>
      <c r="BH20" s="519"/>
      <c r="BI20" s="519"/>
      <c r="BJ20" s="519"/>
    </row>
    <row r="21" spans="1:62" ht="15.75" thickBot="1" x14ac:dyDescent="0.3">
      <c r="A21" s="123" t="s">
        <v>187</v>
      </c>
      <c r="B21" s="120">
        <v>10.25</v>
      </c>
      <c r="C21" s="597"/>
      <c r="D21" s="123" t="s">
        <v>355</v>
      </c>
      <c r="E21" s="120">
        <v>10.5</v>
      </c>
      <c r="F21" s="597"/>
      <c r="G21" s="123" t="s">
        <v>5221</v>
      </c>
      <c r="H21" s="176">
        <v>22.75</v>
      </c>
      <c r="I21" s="597"/>
      <c r="J21" s="478" t="s">
        <v>3363</v>
      </c>
      <c r="K21" s="501">
        <v>21.25</v>
      </c>
      <c r="L21" s="597"/>
      <c r="M21" s="478" t="s">
        <v>4937</v>
      </c>
      <c r="N21" s="120">
        <v>26</v>
      </c>
      <c r="O21" s="597"/>
      <c r="P21" s="124" t="s">
        <v>1163</v>
      </c>
      <c r="Q21" s="175">
        <v>27.25</v>
      </c>
      <c r="R21" s="596" t="s">
        <v>12664</v>
      </c>
      <c r="S21" s="164" t="s">
        <v>217</v>
      </c>
      <c r="T21" s="524">
        <v>9.75</v>
      </c>
      <c r="U21" s="599"/>
      <c r="V21" s="123" t="s">
        <v>50</v>
      </c>
      <c r="W21" s="176">
        <v>29.75</v>
      </c>
      <c r="X21" s="597"/>
      <c r="Y21" s="478" t="s">
        <v>3515</v>
      </c>
      <c r="Z21" s="501">
        <v>29</v>
      </c>
      <c r="AA21" s="597"/>
      <c r="AB21" s="123" t="s">
        <v>364</v>
      </c>
      <c r="AC21" s="120">
        <v>19</v>
      </c>
      <c r="AD21" s="597"/>
      <c r="AE21" s="124" t="s">
        <v>5507</v>
      </c>
      <c r="AF21" s="125">
        <v>26.5</v>
      </c>
      <c r="AG21" s="596" t="s">
        <v>12663</v>
      </c>
      <c r="AH21" s="123" t="s">
        <v>5672</v>
      </c>
      <c r="AI21" s="120">
        <v>26.75</v>
      </c>
      <c r="AJ21" s="597"/>
      <c r="AK21" s="478" t="s">
        <v>3371</v>
      </c>
      <c r="AL21" s="501">
        <v>24</v>
      </c>
      <c r="AM21" s="597"/>
      <c r="AN21" s="123" t="s">
        <v>366</v>
      </c>
      <c r="AO21" s="176">
        <v>15.25</v>
      </c>
      <c r="AP21" s="597"/>
      <c r="AQ21" s="478" t="s">
        <v>484</v>
      </c>
      <c r="AR21" s="510">
        <v>27.75</v>
      </c>
      <c r="AS21" s="597"/>
      <c r="AT21" s="123" t="s">
        <v>95</v>
      </c>
      <c r="AU21" s="120">
        <v>14.5</v>
      </c>
      <c r="AV21" s="597"/>
      <c r="BG21" s="519"/>
      <c r="BH21" s="519"/>
      <c r="BI21" s="519"/>
      <c r="BJ21" s="519"/>
    </row>
    <row r="22" spans="1:62" ht="15.75" thickBot="1" x14ac:dyDescent="0.3">
      <c r="A22" s="123" t="s">
        <v>175</v>
      </c>
      <c r="B22" s="120">
        <v>9.5</v>
      </c>
      <c r="C22" s="597"/>
      <c r="D22" s="123" t="s">
        <v>345</v>
      </c>
      <c r="E22" s="120">
        <v>6.75</v>
      </c>
      <c r="F22" s="597"/>
      <c r="G22" s="123" t="s">
        <v>5457</v>
      </c>
      <c r="H22" s="176">
        <v>23</v>
      </c>
      <c r="I22" s="597"/>
      <c r="J22" s="478" t="s">
        <v>4447</v>
      </c>
      <c r="K22" s="501">
        <v>21.25</v>
      </c>
      <c r="L22" s="597"/>
      <c r="M22" s="164" t="s">
        <v>263</v>
      </c>
      <c r="N22" s="524">
        <v>11</v>
      </c>
      <c r="O22" s="601"/>
      <c r="P22" s="123" t="s">
        <v>820</v>
      </c>
      <c r="Q22" s="176">
        <v>27.25</v>
      </c>
      <c r="R22" s="597"/>
      <c r="S22" s="124" t="s">
        <v>4529</v>
      </c>
      <c r="T22" s="125">
        <v>29.5</v>
      </c>
      <c r="U22" s="600" t="s">
        <v>12664</v>
      </c>
      <c r="V22" s="123" t="s">
        <v>2553</v>
      </c>
      <c r="W22" s="176">
        <v>29.75</v>
      </c>
      <c r="X22" s="597"/>
      <c r="Y22" s="123" t="s">
        <v>1522</v>
      </c>
      <c r="Z22" s="120">
        <v>29</v>
      </c>
      <c r="AA22" s="597"/>
      <c r="AB22" s="123" t="s">
        <v>437</v>
      </c>
      <c r="AC22" s="120">
        <v>14</v>
      </c>
      <c r="AD22" s="597"/>
      <c r="AE22" s="123" t="s">
        <v>288</v>
      </c>
      <c r="AF22" s="120">
        <v>26.5</v>
      </c>
      <c r="AG22" s="597"/>
      <c r="AH22" s="123" t="s">
        <v>393</v>
      </c>
      <c r="AI22" s="120">
        <v>25</v>
      </c>
      <c r="AJ22" s="597"/>
      <c r="AK22" s="478" t="s">
        <v>1965</v>
      </c>
      <c r="AL22" s="501">
        <v>23.75</v>
      </c>
      <c r="AM22" s="597"/>
      <c r="AN22" s="123" t="s">
        <v>319</v>
      </c>
      <c r="AO22" s="176">
        <v>16.75</v>
      </c>
      <c r="AP22" s="597"/>
      <c r="AQ22" s="478" t="s">
        <v>209</v>
      </c>
      <c r="AR22" s="510">
        <v>25</v>
      </c>
      <c r="AS22" s="597"/>
      <c r="AT22" s="123" t="s">
        <v>74</v>
      </c>
      <c r="AU22" s="120">
        <v>14.5</v>
      </c>
      <c r="AV22" s="597"/>
      <c r="BG22" s="519"/>
      <c r="BH22" s="519"/>
      <c r="BI22" s="519"/>
      <c r="BJ22" s="519"/>
    </row>
    <row r="23" spans="1:62" x14ac:dyDescent="0.25">
      <c r="A23" s="123" t="s">
        <v>5300</v>
      </c>
      <c r="B23" s="120">
        <v>9.25</v>
      </c>
      <c r="C23" s="597"/>
      <c r="D23" s="123" t="s">
        <v>343</v>
      </c>
      <c r="E23" s="120">
        <v>10.5</v>
      </c>
      <c r="F23" s="597"/>
      <c r="G23" s="123" t="s">
        <v>5513</v>
      </c>
      <c r="H23" s="176">
        <v>21.25</v>
      </c>
      <c r="I23" s="597"/>
      <c r="J23" s="123" t="s">
        <v>5471</v>
      </c>
      <c r="K23" s="120">
        <v>21.25</v>
      </c>
      <c r="L23" s="597"/>
      <c r="M23" s="471" t="s">
        <v>4144</v>
      </c>
      <c r="N23" s="125">
        <v>26</v>
      </c>
      <c r="O23" s="596" t="s">
        <v>12663</v>
      </c>
      <c r="P23" s="123" t="s">
        <v>3693</v>
      </c>
      <c r="Q23" s="176">
        <v>27.25</v>
      </c>
      <c r="R23" s="597"/>
      <c r="S23" s="123" t="s">
        <v>4529</v>
      </c>
      <c r="T23" s="120">
        <v>29.5</v>
      </c>
      <c r="U23" s="598"/>
      <c r="V23" s="123" t="s">
        <v>763</v>
      </c>
      <c r="W23" s="176">
        <v>29.75</v>
      </c>
      <c r="X23" s="597"/>
      <c r="Y23" s="123" t="s">
        <v>1333</v>
      </c>
      <c r="Z23" s="120">
        <v>29</v>
      </c>
      <c r="AA23" s="597"/>
      <c r="AB23" s="87" t="s">
        <v>259</v>
      </c>
      <c r="AC23" s="120">
        <v>13.75</v>
      </c>
      <c r="AD23" s="597"/>
      <c r="AE23" s="123" t="s">
        <v>5279</v>
      </c>
      <c r="AF23" s="120">
        <v>26.5</v>
      </c>
      <c r="AG23" s="597"/>
      <c r="AH23" s="123" t="s">
        <v>393</v>
      </c>
      <c r="AI23" s="120">
        <v>25</v>
      </c>
      <c r="AJ23" s="597"/>
      <c r="AK23" s="478" t="s">
        <v>1598</v>
      </c>
      <c r="AL23" s="501">
        <v>23.25</v>
      </c>
      <c r="AM23" s="597"/>
      <c r="AN23" s="123" t="s">
        <v>450</v>
      </c>
      <c r="AO23" s="176">
        <v>27.75</v>
      </c>
      <c r="AP23" s="597"/>
      <c r="AQ23" s="123" t="s">
        <v>152</v>
      </c>
      <c r="AR23" s="176">
        <v>19.25</v>
      </c>
      <c r="AS23" s="597"/>
      <c r="AT23" s="123" t="s">
        <v>130</v>
      </c>
      <c r="AU23" s="120">
        <v>13.75</v>
      </c>
      <c r="AV23" s="597"/>
      <c r="BG23" s="519"/>
      <c r="BH23" s="519"/>
      <c r="BI23" s="519"/>
      <c r="BJ23" s="519"/>
    </row>
    <row r="24" spans="1:62" ht="15.75" thickBot="1" x14ac:dyDescent="0.3">
      <c r="A24" s="123" t="s">
        <v>166</v>
      </c>
      <c r="B24" s="120">
        <v>8.25</v>
      </c>
      <c r="C24" s="597"/>
      <c r="D24" s="478" t="s">
        <v>333</v>
      </c>
      <c r="E24" s="501">
        <v>7.25</v>
      </c>
      <c r="F24" s="597"/>
      <c r="G24" s="164" t="s">
        <v>65</v>
      </c>
      <c r="H24" s="190">
        <v>9.5</v>
      </c>
      <c r="I24" s="601"/>
      <c r="J24" s="478" t="s">
        <v>5513</v>
      </c>
      <c r="K24" s="120">
        <v>21.25</v>
      </c>
      <c r="L24" s="597"/>
      <c r="M24" s="478" t="s">
        <v>4279</v>
      </c>
      <c r="N24" s="120">
        <v>26</v>
      </c>
      <c r="O24" s="597"/>
      <c r="P24" s="123" t="s">
        <v>3984</v>
      </c>
      <c r="Q24" s="176">
        <v>27.25</v>
      </c>
      <c r="R24" s="597"/>
      <c r="S24" s="478" t="s">
        <v>4030</v>
      </c>
      <c r="T24" s="120">
        <v>29.25</v>
      </c>
      <c r="U24" s="598"/>
      <c r="V24" s="123" t="s">
        <v>501</v>
      </c>
      <c r="W24" s="176">
        <v>29.75</v>
      </c>
      <c r="X24" s="597"/>
      <c r="Y24" s="123" t="s">
        <v>3515</v>
      </c>
      <c r="Z24" s="120">
        <v>29</v>
      </c>
      <c r="AA24" s="597"/>
      <c r="AB24" s="87" t="s">
        <v>406</v>
      </c>
      <c r="AC24" s="120">
        <v>12.5</v>
      </c>
      <c r="AD24" s="597"/>
      <c r="AE24" s="123" t="s">
        <v>4847</v>
      </c>
      <c r="AF24" s="120">
        <v>26.5</v>
      </c>
      <c r="AG24" s="597"/>
      <c r="AH24" s="123" t="s">
        <v>5443</v>
      </c>
      <c r="AI24" s="120">
        <v>23.25</v>
      </c>
      <c r="AJ24" s="597"/>
      <c r="AK24" s="478" t="s">
        <v>5272</v>
      </c>
      <c r="AL24" s="501">
        <v>11.75</v>
      </c>
      <c r="AM24" s="597"/>
      <c r="AN24" s="123" t="s">
        <v>293</v>
      </c>
      <c r="AO24" s="176">
        <v>17.5</v>
      </c>
      <c r="AP24" s="597"/>
      <c r="AQ24" s="478" t="s">
        <v>254</v>
      </c>
      <c r="AR24" s="510">
        <v>14.75</v>
      </c>
      <c r="AS24" s="597"/>
      <c r="AT24" s="164" t="s">
        <v>100</v>
      </c>
      <c r="AU24" s="524">
        <v>6.25</v>
      </c>
      <c r="AV24" s="601"/>
      <c r="BG24" s="519"/>
      <c r="BH24" s="519"/>
      <c r="BI24" s="519"/>
      <c r="BJ24" s="519"/>
    </row>
    <row r="25" spans="1:62" ht="15.75" thickBot="1" x14ac:dyDescent="0.3">
      <c r="A25" s="123" t="s">
        <v>47</v>
      </c>
      <c r="B25" s="120">
        <v>10.5</v>
      </c>
      <c r="C25" s="597"/>
      <c r="D25" s="123" t="s">
        <v>290</v>
      </c>
      <c r="E25" s="120">
        <v>8.5</v>
      </c>
      <c r="F25" s="597"/>
      <c r="G25" s="471" t="s">
        <v>316</v>
      </c>
      <c r="H25" s="516">
        <v>22.25</v>
      </c>
      <c r="I25" s="596" t="s">
        <v>12663</v>
      </c>
      <c r="J25" s="486" t="s">
        <v>5483</v>
      </c>
      <c r="K25" s="524">
        <v>18.5</v>
      </c>
      <c r="L25" s="601"/>
      <c r="M25" s="478" t="s">
        <v>4355</v>
      </c>
      <c r="N25" s="120">
        <v>26</v>
      </c>
      <c r="O25" s="597"/>
      <c r="P25" s="123" t="s">
        <v>3693</v>
      </c>
      <c r="Q25" s="176">
        <v>27.25</v>
      </c>
      <c r="R25" s="597"/>
      <c r="S25" s="478" t="s">
        <v>3705</v>
      </c>
      <c r="T25" s="501">
        <v>29.25</v>
      </c>
      <c r="U25" s="598"/>
      <c r="V25" s="123" t="s">
        <v>343</v>
      </c>
      <c r="W25" s="176">
        <v>10.5</v>
      </c>
      <c r="X25" s="597"/>
      <c r="Y25" s="486" t="s">
        <v>5128</v>
      </c>
      <c r="Z25" s="503">
        <v>23</v>
      </c>
      <c r="AA25" s="601"/>
      <c r="AB25" s="87" t="s">
        <v>5489</v>
      </c>
      <c r="AC25" s="120">
        <v>12.25</v>
      </c>
      <c r="AD25" s="597"/>
      <c r="AE25" s="123" t="s">
        <v>5507</v>
      </c>
      <c r="AF25" s="120">
        <v>26.5</v>
      </c>
      <c r="AG25" s="597"/>
      <c r="AH25" s="123" t="s">
        <v>5443</v>
      </c>
      <c r="AI25" s="120">
        <v>23.25</v>
      </c>
      <c r="AJ25" s="597"/>
      <c r="AK25" s="486" t="s">
        <v>3</v>
      </c>
      <c r="AL25" s="503">
        <v>10.5</v>
      </c>
      <c r="AM25" s="601"/>
      <c r="AN25" s="123" t="s">
        <v>319</v>
      </c>
      <c r="AO25" s="176">
        <v>16.75</v>
      </c>
      <c r="AP25" s="597"/>
      <c r="AQ25" s="478" t="s">
        <v>419</v>
      </c>
      <c r="AR25" s="510">
        <v>14.25</v>
      </c>
      <c r="AS25" s="597"/>
      <c r="AT25" s="124" t="s">
        <v>157</v>
      </c>
      <c r="AU25" s="125">
        <v>26.25</v>
      </c>
      <c r="AV25" s="596" t="s">
        <v>12663</v>
      </c>
      <c r="BG25" s="519"/>
      <c r="BH25" s="519"/>
      <c r="BI25" s="519"/>
      <c r="BJ25" s="519"/>
    </row>
    <row r="26" spans="1:62" ht="15.75" thickBot="1" x14ac:dyDescent="0.3">
      <c r="A26" s="123" t="s">
        <v>44</v>
      </c>
      <c r="B26" s="120">
        <v>10.25</v>
      </c>
      <c r="C26" s="597"/>
      <c r="D26" s="123" t="s">
        <v>286</v>
      </c>
      <c r="E26" s="120">
        <v>8.75</v>
      </c>
      <c r="F26" s="597"/>
      <c r="G26" s="123" t="s">
        <v>3699</v>
      </c>
      <c r="H26" s="176">
        <v>22.25</v>
      </c>
      <c r="I26" s="597"/>
      <c r="J26" s="124" t="s">
        <v>3363</v>
      </c>
      <c r="K26" s="175">
        <v>21.25</v>
      </c>
      <c r="L26" s="596" t="s">
        <v>12663</v>
      </c>
      <c r="M26" s="123" t="s">
        <v>4092</v>
      </c>
      <c r="N26" s="120">
        <v>26</v>
      </c>
      <c r="O26" s="597"/>
      <c r="P26" s="123" t="s">
        <v>4447</v>
      </c>
      <c r="Q26" s="176">
        <v>21.25</v>
      </c>
      <c r="R26" s="597"/>
      <c r="S26" s="123" t="s">
        <v>4030</v>
      </c>
      <c r="T26" s="120">
        <v>29.25</v>
      </c>
      <c r="U26" s="598"/>
      <c r="V26" s="164" t="s">
        <v>286</v>
      </c>
      <c r="W26" s="190">
        <v>8.75</v>
      </c>
      <c r="X26" s="601"/>
      <c r="Y26" s="471" t="s">
        <v>5171</v>
      </c>
      <c r="Z26" s="500">
        <v>25.75</v>
      </c>
      <c r="AA26" s="596" t="s">
        <v>12663</v>
      </c>
      <c r="AB26" s="526" t="s">
        <v>5194</v>
      </c>
      <c r="AC26" s="503">
        <v>11.75</v>
      </c>
      <c r="AD26" s="601"/>
      <c r="AE26" s="123" t="s">
        <v>4930</v>
      </c>
      <c r="AF26" s="120">
        <v>24.5</v>
      </c>
      <c r="AG26" s="597"/>
      <c r="AH26" s="164" t="s">
        <v>3950</v>
      </c>
      <c r="AI26" s="524">
        <v>18</v>
      </c>
      <c r="AJ26" s="601"/>
      <c r="AK26" s="471" t="s">
        <v>5419</v>
      </c>
      <c r="AL26" s="516">
        <v>23.25</v>
      </c>
      <c r="AM26" s="620" t="s">
        <v>12663</v>
      </c>
      <c r="AN26" s="123" t="s">
        <v>422</v>
      </c>
      <c r="AO26" s="176">
        <v>19.5</v>
      </c>
      <c r="AP26" s="597"/>
      <c r="AQ26" s="478" t="s">
        <v>224</v>
      </c>
      <c r="AR26" s="510">
        <v>14.25</v>
      </c>
      <c r="AS26" s="597"/>
      <c r="AT26" s="123" t="s">
        <v>204</v>
      </c>
      <c r="AU26" s="120">
        <v>24</v>
      </c>
      <c r="AV26" s="597"/>
      <c r="BG26" s="519"/>
      <c r="BH26" s="519"/>
      <c r="BI26" s="519"/>
      <c r="BJ26" s="519"/>
    </row>
    <row r="27" spans="1:62" ht="15.75" thickBot="1" x14ac:dyDescent="0.3">
      <c r="A27" s="164" t="s">
        <v>5597</v>
      </c>
      <c r="B27" s="524">
        <v>10.25</v>
      </c>
      <c r="C27" s="601"/>
      <c r="D27" s="123" t="s">
        <v>275</v>
      </c>
      <c r="E27" s="120">
        <v>6.25</v>
      </c>
      <c r="F27" s="597"/>
      <c r="G27" s="123" t="s">
        <v>5300</v>
      </c>
      <c r="H27" s="176">
        <v>9.25</v>
      </c>
      <c r="I27" s="597"/>
      <c r="J27" s="123" t="s">
        <v>4447</v>
      </c>
      <c r="K27" s="176">
        <v>21.25</v>
      </c>
      <c r="L27" s="597"/>
      <c r="M27" s="123" t="s">
        <v>4937</v>
      </c>
      <c r="N27" s="120">
        <v>26</v>
      </c>
      <c r="O27" s="597"/>
      <c r="P27" s="164" t="s">
        <v>47</v>
      </c>
      <c r="Q27" s="190">
        <v>10.5</v>
      </c>
      <c r="R27" s="601"/>
      <c r="S27" s="486" t="s">
        <v>5471</v>
      </c>
      <c r="T27" s="503">
        <v>21.25</v>
      </c>
      <c r="U27" s="599"/>
      <c r="V27" s="124" t="s">
        <v>2569</v>
      </c>
      <c r="W27" s="125">
        <v>30</v>
      </c>
      <c r="X27" s="596" t="s">
        <v>12664</v>
      </c>
      <c r="Y27" s="123" t="s">
        <v>5171</v>
      </c>
      <c r="Z27" s="120">
        <v>25.75</v>
      </c>
      <c r="AA27" s="597"/>
      <c r="AB27" s="517" t="s">
        <v>3081</v>
      </c>
      <c r="AC27" s="500">
        <v>28</v>
      </c>
      <c r="AD27" s="596" t="s">
        <v>12663</v>
      </c>
      <c r="AE27" s="164" t="s">
        <v>5265</v>
      </c>
      <c r="AF27" s="503">
        <v>11</v>
      </c>
      <c r="AG27" s="601"/>
      <c r="AH27" s="124" t="s">
        <v>5672</v>
      </c>
      <c r="AI27" s="125">
        <v>26.75</v>
      </c>
      <c r="AJ27" s="596" t="s">
        <v>12663</v>
      </c>
      <c r="AK27" s="478" t="s">
        <v>3339</v>
      </c>
      <c r="AL27" s="510">
        <v>22.25</v>
      </c>
      <c r="AM27" s="621"/>
      <c r="AN27" s="123" t="s">
        <v>268</v>
      </c>
      <c r="AO27" s="176">
        <v>15.5</v>
      </c>
      <c r="AP27" s="597"/>
      <c r="AQ27" s="478" t="s">
        <v>339</v>
      </c>
      <c r="AR27" s="510">
        <v>13.25</v>
      </c>
      <c r="AS27" s="597"/>
      <c r="AT27" s="123" t="s">
        <v>252</v>
      </c>
      <c r="AU27" s="120">
        <v>23</v>
      </c>
      <c r="AV27" s="597"/>
      <c r="BG27" s="519"/>
      <c r="BH27" s="519"/>
      <c r="BI27" s="519"/>
      <c r="BJ27" s="519"/>
    </row>
    <row r="28" spans="1:62" ht="15.75" thickBot="1" x14ac:dyDescent="0.3">
      <c r="A28" s="124" t="s">
        <v>185</v>
      </c>
      <c r="B28" s="125">
        <v>29</v>
      </c>
      <c r="C28" s="596" t="s">
        <v>12663</v>
      </c>
      <c r="D28" s="123" t="s">
        <v>217</v>
      </c>
      <c r="E28" s="120">
        <v>9.75</v>
      </c>
      <c r="F28" s="597"/>
      <c r="G28" s="123" t="s">
        <v>166</v>
      </c>
      <c r="H28" s="176">
        <v>8.25</v>
      </c>
      <c r="I28" s="597"/>
      <c r="J28" s="123" t="s">
        <v>5471</v>
      </c>
      <c r="K28" s="176">
        <v>21.25</v>
      </c>
      <c r="L28" s="597"/>
      <c r="M28" s="123" t="s">
        <v>4144</v>
      </c>
      <c r="N28" s="120">
        <v>26</v>
      </c>
      <c r="O28" s="597"/>
      <c r="P28" s="124" t="s">
        <v>3984</v>
      </c>
      <c r="Q28" s="175">
        <v>27.25</v>
      </c>
      <c r="R28" s="596" t="s">
        <v>12664</v>
      </c>
      <c r="S28" s="124" t="s">
        <v>3705</v>
      </c>
      <c r="T28" s="125">
        <v>29.25</v>
      </c>
      <c r="U28" s="600" t="s">
        <v>12664</v>
      </c>
      <c r="V28" s="123" t="s">
        <v>3799</v>
      </c>
      <c r="W28" s="120">
        <v>30</v>
      </c>
      <c r="X28" s="597"/>
      <c r="Y28" s="123" t="s">
        <v>5171</v>
      </c>
      <c r="Z28" s="120">
        <v>25.75</v>
      </c>
      <c r="AA28" s="597"/>
      <c r="AB28" s="87" t="s">
        <v>3081</v>
      </c>
      <c r="AC28" s="120">
        <v>28</v>
      </c>
      <c r="AD28" s="597"/>
      <c r="AE28" s="124" t="s">
        <v>5231</v>
      </c>
      <c r="AF28" s="125">
        <v>26.75</v>
      </c>
      <c r="AG28" s="596" t="s">
        <v>12663</v>
      </c>
      <c r="AH28" s="478" t="s">
        <v>140</v>
      </c>
      <c r="AI28" s="501">
        <v>26.25</v>
      </c>
      <c r="AJ28" s="597"/>
      <c r="AK28" s="478" t="s">
        <v>3313</v>
      </c>
      <c r="AL28" s="510">
        <v>21.5</v>
      </c>
      <c r="AM28" s="621"/>
      <c r="AN28" s="123" t="s">
        <v>211</v>
      </c>
      <c r="AO28" s="176">
        <v>4.75</v>
      </c>
      <c r="AP28" s="601"/>
      <c r="AQ28" s="486" t="s">
        <v>385</v>
      </c>
      <c r="AR28" s="487">
        <v>9.5</v>
      </c>
      <c r="AS28" s="601"/>
      <c r="AT28" s="478" t="s">
        <v>335</v>
      </c>
      <c r="AU28" s="501">
        <v>22.75</v>
      </c>
      <c r="AV28" s="597"/>
      <c r="BG28" s="519"/>
      <c r="BH28" s="519"/>
      <c r="BI28" s="519"/>
      <c r="BJ28" s="519"/>
    </row>
    <row r="29" spans="1:62" ht="15.75" thickBot="1" x14ac:dyDescent="0.3">
      <c r="A29" s="123" t="s">
        <v>182</v>
      </c>
      <c r="B29" s="120">
        <v>28.25</v>
      </c>
      <c r="C29" s="597"/>
      <c r="D29" s="123" t="s">
        <v>5406</v>
      </c>
      <c r="E29" s="120">
        <v>10.25</v>
      </c>
      <c r="F29" s="597"/>
      <c r="G29" s="478" t="s">
        <v>4223</v>
      </c>
      <c r="H29" s="176">
        <v>20.25</v>
      </c>
      <c r="I29" s="597"/>
      <c r="J29" s="123" t="s">
        <v>277</v>
      </c>
      <c r="K29" s="176">
        <v>9.25</v>
      </c>
      <c r="L29" s="597"/>
      <c r="M29" s="164" t="s">
        <v>97</v>
      </c>
      <c r="N29" s="524">
        <v>12</v>
      </c>
      <c r="O29" s="601"/>
      <c r="P29" s="478" t="s">
        <v>5350</v>
      </c>
      <c r="Q29" s="176">
        <v>27</v>
      </c>
      <c r="R29" s="597"/>
      <c r="S29" s="123" t="s">
        <v>3705</v>
      </c>
      <c r="T29" s="120">
        <v>29.25</v>
      </c>
      <c r="U29" s="598"/>
      <c r="V29" s="478" t="s">
        <v>50</v>
      </c>
      <c r="W29" s="501">
        <v>29.75</v>
      </c>
      <c r="X29" s="597"/>
      <c r="Y29" s="478" t="s">
        <v>3999</v>
      </c>
      <c r="Z29" s="501">
        <v>24.5</v>
      </c>
      <c r="AA29" s="597"/>
      <c r="AB29" s="87" t="s">
        <v>3081</v>
      </c>
      <c r="AC29" s="120">
        <v>28</v>
      </c>
      <c r="AD29" s="597"/>
      <c r="AE29" s="123" t="s">
        <v>6</v>
      </c>
      <c r="AF29" s="120">
        <v>26.75</v>
      </c>
      <c r="AG29" s="597"/>
      <c r="AH29" s="123" t="s">
        <v>140</v>
      </c>
      <c r="AI29" s="120">
        <v>26.25</v>
      </c>
      <c r="AJ29" s="597"/>
      <c r="AK29" s="478" t="s">
        <v>4756</v>
      </c>
      <c r="AL29" s="510">
        <v>18.25</v>
      </c>
      <c r="AM29" s="621"/>
      <c r="AN29" s="124" t="s">
        <v>193</v>
      </c>
      <c r="AO29" s="175">
        <v>30.25</v>
      </c>
      <c r="AP29" s="596" t="s">
        <v>12663</v>
      </c>
      <c r="AQ29" s="471" t="s">
        <v>359</v>
      </c>
      <c r="AR29" s="516">
        <v>30</v>
      </c>
      <c r="AS29" s="596" t="s">
        <v>12663</v>
      </c>
      <c r="AT29" s="123" t="s">
        <v>173</v>
      </c>
      <c r="AU29" s="120">
        <v>19.75</v>
      </c>
      <c r="AV29" s="597"/>
      <c r="BG29" s="519"/>
      <c r="BH29" s="519"/>
      <c r="BI29" s="519"/>
      <c r="BJ29" s="519"/>
    </row>
    <row r="30" spans="1:62" x14ac:dyDescent="0.25">
      <c r="A30" s="478" t="s">
        <v>430</v>
      </c>
      <c r="B30" s="501">
        <v>28</v>
      </c>
      <c r="C30" s="597"/>
      <c r="D30" s="123" t="s">
        <v>5373</v>
      </c>
      <c r="E30" s="120">
        <v>10</v>
      </c>
      <c r="F30" s="597"/>
      <c r="G30" s="123" t="s">
        <v>316</v>
      </c>
      <c r="H30" s="176">
        <v>22.25</v>
      </c>
      <c r="I30" s="597"/>
      <c r="J30" s="123" t="s">
        <v>55</v>
      </c>
      <c r="K30" s="176">
        <v>21.25</v>
      </c>
      <c r="L30" s="597"/>
      <c r="M30" s="527" t="s">
        <v>4816</v>
      </c>
      <c r="N30" s="516">
        <v>30.5</v>
      </c>
      <c r="O30" s="596" t="s">
        <v>12664</v>
      </c>
      <c r="P30" s="478" t="s">
        <v>4835</v>
      </c>
      <c r="Q30" s="176">
        <v>27</v>
      </c>
      <c r="R30" s="597"/>
      <c r="S30" s="478" t="s">
        <v>3269</v>
      </c>
      <c r="T30" s="120">
        <v>29</v>
      </c>
      <c r="U30" s="598"/>
      <c r="V30" s="478" t="s">
        <v>2553</v>
      </c>
      <c r="W30" s="120">
        <v>29.75</v>
      </c>
      <c r="X30" s="597"/>
      <c r="Y30" s="478" t="s">
        <v>4551</v>
      </c>
      <c r="Z30" s="501">
        <v>24.25</v>
      </c>
      <c r="AA30" s="597"/>
      <c r="AB30" s="87" t="s">
        <v>3081</v>
      </c>
      <c r="AC30" s="120">
        <v>28</v>
      </c>
      <c r="AD30" s="597"/>
      <c r="AE30" s="123" t="s">
        <v>5231</v>
      </c>
      <c r="AF30" s="120">
        <v>26.75</v>
      </c>
      <c r="AG30" s="597"/>
      <c r="AH30" s="123" t="s">
        <v>140</v>
      </c>
      <c r="AI30" s="120">
        <v>26.25</v>
      </c>
      <c r="AJ30" s="597"/>
      <c r="AK30" s="478" t="s">
        <v>3078</v>
      </c>
      <c r="AL30" s="510">
        <v>17</v>
      </c>
      <c r="AM30" s="621"/>
      <c r="AN30" s="123" t="s">
        <v>293</v>
      </c>
      <c r="AO30" s="176">
        <v>17.5</v>
      </c>
      <c r="AP30" s="597"/>
      <c r="AQ30" s="478" t="s">
        <v>484</v>
      </c>
      <c r="AR30" s="510">
        <v>27.75</v>
      </c>
      <c r="AS30" s="597"/>
      <c r="AT30" s="123" t="s">
        <v>110</v>
      </c>
      <c r="AU30" s="120">
        <v>18.5</v>
      </c>
      <c r="AV30" s="597"/>
      <c r="BG30" s="519"/>
      <c r="BH30" s="519"/>
      <c r="BI30" s="519"/>
      <c r="BJ30" s="519"/>
    </row>
    <row r="31" spans="1:62" x14ac:dyDescent="0.25">
      <c r="A31" s="123" t="s">
        <v>200</v>
      </c>
      <c r="B31" s="120">
        <v>28</v>
      </c>
      <c r="C31" s="597"/>
      <c r="D31" s="123" t="s">
        <v>175</v>
      </c>
      <c r="E31" s="120">
        <v>9.5</v>
      </c>
      <c r="F31" s="597"/>
      <c r="G31" s="123" t="s">
        <v>5300</v>
      </c>
      <c r="H31" s="176">
        <v>9.25</v>
      </c>
      <c r="I31" s="597"/>
      <c r="J31" s="123" t="s">
        <v>234</v>
      </c>
      <c r="K31" s="176">
        <v>21</v>
      </c>
      <c r="L31" s="597"/>
      <c r="M31" s="478" t="s">
        <v>4816</v>
      </c>
      <c r="N31" s="510">
        <v>30.5</v>
      </c>
      <c r="O31" s="597"/>
      <c r="P31" s="478" t="s">
        <v>2665</v>
      </c>
      <c r="Q31" s="176">
        <v>27</v>
      </c>
      <c r="R31" s="597"/>
      <c r="S31" s="478" t="s">
        <v>3743</v>
      </c>
      <c r="T31" s="501">
        <v>29</v>
      </c>
      <c r="U31" s="598"/>
      <c r="V31" s="478" t="s">
        <v>763</v>
      </c>
      <c r="W31" s="469">
        <v>29.75</v>
      </c>
      <c r="X31" s="597"/>
      <c r="Y31" s="478" t="s">
        <v>5511</v>
      </c>
      <c r="Z31" s="501">
        <v>22.75</v>
      </c>
      <c r="AA31" s="597"/>
      <c r="AB31" s="469" t="s">
        <v>2946</v>
      </c>
      <c r="AC31" s="501">
        <v>27.5</v>
      </c>
      <c r="AD31" s="597"/>
      <c r="AE31" s="123" t="s">
        <v>6</v>
      </c>
      <c r="AF31" s="120">
        <v>26.75</v>
      </c>
      <c r="AG31" s="597"/>
      <c r="AH31" s="478" t="s">
        <v>393</v>
      </c>
      <c r="AI31" s="501">
        <v>25</v>
      </c>
      <c r="AJ31" s="597"/>
      <c r="AK31" s="478" t="s">
        <v>34</v>
      </c>
      <c r="AL31" s="510">
        <v>15.25</v>
      </c>
      <c r="AM31" s="621"/>
      <c r="AN31" s="123" t="s">
        <v>422</v>
      </c>
      <c r="AO31" s="176">
        <v>19.5</v>
      </c>
      <c r="AP31" s="597"/>
      <c r="AQ31" s="478" t="s">
        <v>209</v>
      </c>
      <c r="AR31" s="510">
        <v>25</v>
      </c>
      <c r="AS31" s="597"/>
      <c r="AT31" s="123" t="s">
        <v>122</v>
      </c>
      <c r="AU31" s="120">
        <v>13.5</v>
      </c>
      <c r="AV31" s="597"/>
      <c r="BG31" s="519"/>
      <c r="BH31" s="519"/>
      <c r="BI31" s="519"/>
      <c r="BJ31" s="519"/>
    </row>
    <row r="32" spans="1:62" ht="15.75" thickBot="1" x14ac:dyDescent="0.3">
      <c r="A32" s="123" t="s">
        <v>27</v>
      </c>
      <c r="B32" s="120">
        <v>25.5</v>
      </c>
      <c r="C32" s="597"/>
      <c r="D32" s="123" t="s">
        <v>166</v>
      </c>
      <c r="E32" s="120">
        <v>8.25</v>
      </c>
      <c r="F32" s="597"/>
      <c r="G32" s="123" t="s">
        <v>166</v>
      </c>
      <c r="H32" s="176">
        <v>8.25</v>
      </c>
      <c r="I32" s="597"/>
      <c r="J32" s="123" t="s">
        <v>5438</v>
      </c>
      <c r="K32" s="176">
        <v>19.75</v>
      </c>
      <c r="L32" s="597"/>
      <c r="M32" s="478" t="s">
        <v>4816</v>
      </c>
      <c r="N32" s="510">
        <v>30.5</v>
      </c>
      <c r="O32" s="597"/>
      <c r="P32" s="478" t="s">
        <v>3638</v>
      </c>
      <c r="Q32" s="176">
        <v>27</v>
      </c>
      <c r="R32" s="597"/>
      <c r="S32" s="123" t="s">
        <v>4590</v>
      </c>
      <c r="T32" s="120">
        <v>29</v>
      </c>
      <c r="U32" s="598"/>
      <c r="V32" s="164" t="s">
        <v>5436</v>
      </c>
      <c r="W32" s="524">
        <v>18.75</v>
      </c>
      <c r="X32" s="601"/>
      <c r="Y32" s="486" t="s">
        <v>4804</v>
      </c>
      <c r="Z32" s="503">
        <v>19.25</v>
      </c>
      <c r="AA32" s="601"/>
      <c r="AB32" s="469" t="s">
        <v>3539</v>
      </c>
      <c r="AC32" s="501">
        <v>17</v>
      </c>
      <c r="AD32" s="597"/>
      <c r="AE32" s="123" t="s">
        <v>5285</v>
      </c>
      <c r="AF32" s="120">
        <v>26.25</v>
      </c>
      <c r="AG32" s="597"/>
      <c r="AH32" s="478" t="s">
        <v>282</v>
      </c>
      <c r="AI32" s="501">
        <v>24.5</v>
      </c>
      <c r="AJ32" s="597"/>
      <c r="AK32" s="478" t="s">
        <v>244</v>
      </c>
      <c r="AL32" s="510">
        <v>14.25</v>
      </c>
      <c r="AM32" s="621"/>
      <c r="AN32" s="123" t="s">
        <v>193</v>
      </c>
      <c r="AO32" s="176">
        <v>30.25</v>
      </c>
      <c r="AP32" s="597"/>
      <c r="AQ32" s="123" t="s">
        <v>152</v>
      </c>
      <c r="AR32" s="176">
        <v>19.25</v>
      </c>
      <c r="AS32" s="597"/>
      <c r="AT32" s="123" t="s">
        <v>147</v>
      </c>
      <c r="AU32" s="120">
        <v>12</v>
      </c>
      <c r="AV32" s="597"/>
      <c r="BG32" s="519"/>
      <c r="BH32" s="519"/>
      <c r="BI32" s="519"/>
      <c r="BJ32" s="519"/>
    </row>
    <row r="33" spans="1:62" ht="15.75" thickBot="1" x14ac:dyDescent="0.3">
      <c r="A33" s="478" t="s">
        <v>452</v>
      </c>
      <c r="B33" s="501">
        <v>19</v>
      </c>
      <c r="C33" s="597"/>
      <c r="D33" s="123" t="s">
        <v>117</v>
      </c>
      <c r="E33" s="120">
        <v>6.5</v>
      </c>
      <c r="F33" s="597"/>
      <c r="G33" s="478" t="s">
        <v>5047</v>
      </c>
      <c r="H33" s="176">
        <v>20.25</v>
      </c>
      <c r="I33" s="597"/>
      <c r="J33" s="123" t="s">
        <v>5513</v>
      </c>
      <c r="K33" s="176">
        <v>21.25</v>
      </c>
      <c r="L33" s="597"/>
      <c r="M33" s="478" t="s">
        <v>2103</v>
      </c>
      <c r="N33" s="481">
        <v>30.5</v>
      </c>
      <c r="O33" s="597"/>
      <c r="P33" s="123" t="s">
        <v>5438</v>
      </c>
      <c r="Q33" s="176">
        <v>19.75</v>
      </c>
      <c r="R33" s="597"/>
      <c r="S33" s="164" t="s">
        <v>5663</v>
      </c>
      <c r="T33" s="524">
        <v>22.5</v>
      </c>
      <c r="U33" s="599"/>
      <c r="V33" s="124" t="s">
        <v>5321</v>
      </c>
      <c r="W33" s="125">
        <v>30</v>
      </c>
      <c r="X33" s="596" t="s">
        <v>12664</v>
      </c>
      <c r="Y33" s="124" t="s">
        <v>5631</v>
      </c>
      <c r="Z33" s="125">
        <v>26</v>
      </c>
      <c r="AA33" s="596" t="s">
        <v>12663</v>
      </c>
      <c r="AB33" s="164" t="s">
        <v>8728</v>
      </c>
      <c r="AC33" s="524">
        <v>11.5</v>
      </c>
      <c r="AD33" s="601"/>
      <c r="AE33" s="478" t="s">
        <v>5443</v>
      </c>
      <c r="AF33" s="501">
        <v>23.25</v>
      </c>
      <c r="AG33" s="597"/>
      <c r="AH33" s="164" t="s">
        <v>240</v>
      </c>
      <c r="AI33" s="503">
        <v>13</v>
      </c>
      <c r="AJ33" s="601"/>
      <c r="AK33" s="478" t="s">
        <v>198</v>
      </c>
      <c r="AL33" s="510">
        <v>14</v>
      </c>
      <c r="AM33" s="621"/>
      <c r="AN33" s="123" t="s">
        <v>268</v>
      </c>
      <c r="AO33" s="176">
        <v>15.5</v>
      </c>
      <c r="AP33" s="597"/>
      <c r="AQ33" s="478" t="s">
        <v>254</v>
      </c>
      <c r="AR33" s="510">
        <v>14.75</v>
      </c>
      <c r="AS33" s="597"/>
      <c r="AT33" s="164" t="s">
        <v>68</v>
      </c>
      <c r="AU33" s="524">
        <v>8.25</v>
      </c>
      <c r="AV33" s="601"/>
      <c r="BG33" s="519"/>
      <c r="BH33" s="519"/>
      <c r="BI33" s="519"/>
      <c r="BJ33" s="519"/>
    </row>
    <row r="34" spans="1:62" ht="15.75" thickBot="1" x14ac:dyDescent="0.3">
      <c r="A34" s="164" t="s">
        <v>24</v>
      </c>
      <c r="B34" s="524">
        <v>10.25</v>
      </c>
      <c r="C34" s="601"/>
      <c r="D34" s="123" t="s">
        <v>113</v>
      </c>
      <c r="E34" s="120">
        <v>8.25</v>
      </c>
      <c r="F34" s="597"/>
      <c r="G34" s="478" t="s">
        <v>385</v>
      </c>
      <c r="H34" s="176">
        <v>9.5</v>
      </c>
      <c r="I34" s="597"/>
      <c r="J34" s="123" t="s">
        <v>277</v>
      </c>
      <c r="K34" s="176">
        <v>9.25</v>
      </c>
      <c r="L34" s="597"/>
      <c r="M34" s="478" t="s">
        <v>90</v>
      </c>
      <c r="N34" s="481">
        <v>16.25</v>
      </c>
      <c r="O34" s="597"/>
      <c r="P34" s="486" t="s">
        <v>240</v>
      </c>
      <c r="Q34" s="190">
        <v>13</v>
      </c>
      <c r="R34" s="601"/>
      <c r="S34" s="124" t="s">
        <v>3269</v>
      </c>
      <c r="T34" s="125">
        <v>29</v>
      </c>
      <c r="U34" s="600" t="s">
        <v>12664</v>
      </c>
      <c r="V34" s="123" t="s">
        <v>2569</v>
      </c>
      <c r="W34" s="120">
        <v>30</v>
      </c>
      <c r="X34" s="597"/>
      <c r="Y34" s="123" t="s">
        <v>4324</v>
      </c>
      <c r="Z34" s="120">
        <v>26</v>
      </c>
      <c r="AA34" s="597"/>
      <c r="AB34" s="124" t="s">
        <v>2946</v>
      </c>
      <c r="AC34" s="125">
        <v>27.5</v>
      </c>
      <c r="AD34" s="596" t="s">
        <v>12663</v>
      </c>
      <c r="AE34" s="164" t="s">
        <v>18</v>
      </c>
      <c r="AF34" s="524">
        <v>11.5</v>
      </c>
      <c r="AG34" s="601"/>
      <c r="AH34" s="471" t="s">
        <v>5255</v>
      </c>
      <c r="AI34" s="500">
        <v>24.5</v>
      </c>
      <c r="AJ34" s="596" t="s">
        <v>12663</v>
      </c>
      <c r="AK34" s="478" t="s">
        <v>347</v>
      </c>
      <c r="AL34" s="510">
        <v>11.25</v>
      </c>
      <c r="AM34" s="621"/>
      <c r="AN34" s="478" t="s">
        <v>277</v>
      </c>
      <c r="AO34" s="510">
        <v>9.25</v>
      </c>
      <c r="AP34" s="597"/>
      <c r="AQ34" s="478" t="s">
        <v>419</v>
      </c>
      <c r="AR34" s="510">
        <v>14.25</v>
      </c>
      <c r="AS34" s="597"/>
      <c r="AT34" s="471" t="s">
        <v>5091</v>
      </c>
      <c r="AU34" s="500">
        <v>26.5</v>
      </c>
      <c r="AV34" s="596" t="s">
        <v>12663</v>
      </c>
      <c r="BG34" s="519"/>
      <c r="BH34" s="519"/>
      <c r="BI34" s="519"/>
      <c r="BJ34" s="519"/>
    </row>
    <row r="35" spans="1:62" ht="15.75" thickBot="1" x14ac:dyDescent="0.3">
      <c r="A35" s="471" t="s">
        <v>4651</v>
      </c>
      <c r="B35" s="500">
        <v>25</v>
      </c>
      <c r="C35" s="596" t="s">
        <v>12663</v>
      </c>
      <c r="D35" s="123" t="s">
        <v>44</v>
      </c>
      <c r="E35" s="120">
        <v>10.25</v>
      </c>
      <c r="F35" s="597"/>
      <c r="G35" s="123" t="s">
        <v>175</v>
      </c>
      <c r="H35" s="176">
        <v>9.5</v>
      </c>
      <c r="I35" s="597"/>
      <c r="J35" s="486" t="s">
        <v>11164</v>
      </c>
      <c r="K35" s="190">
        <v>2.5</v>
      </c>
      <c r="L35" s="601"/>
      <c r="M35" s="123" t="s">
        <v>187</v>
      </c>
      <c r="N35" s="176">
        <v>10.25</v>
      </c>
      <c r="O35" s="597"/>
      <c r="P35" s="471" t="s">
        <v>4054</v>
      </c>
      <c r="Q35" s="516">
        <v>27</v>
      </c>
      <c r="R35" s="596" t="s">
        <v>12664</v>
      </c>
      <c r="S35" s="123" t="s">
        <v>3743</v>
      </c>
      <c r="T35" s="120">
        <v>29</v>
      </c>
      <c r="U35" s="598"/>
      <c r="V35" s="123" t="s">
        <v>3799</v>
      </c>
      <c r="W35" s="120">
        <v>30</v>
      </c>
      <c r="X35" s="597"/>
      <c r="Y35" s="123" t="s">
        <v>4349</v>
      </c>
      <c r="Z35" s="120">
        <v>26</v>
      </c>
      <c r="AA35" s="597"/>
      <c r="AB35" s="123" t="s">
        <v>2946</v>
      </c>
      <c r="AC35" s="120">
        <v>27.5</v>
      </c>
      <c r="AD35" s="597"/>
      <c r="AE35" s="124" t="s">
        <v>5591</v>
      </c>
      <c r="AF35" s="125">
        <v>27</v>
      </c>
      <c r="AG35" s="596" t="s">
        <v>12663</v>
      </c>
      <c r="AH35" s="123" t="s">
        <v>282</v>
      </c>
      <c r="AI35" s="120">
        <v>24.5</v>
      </c>
      <c r="AJ35" s="597"/>
      <c r="AK35" s="486" t="s">
        <v>361</v>
      </c>
      <c r="AL35" s="487">
        <v>11</v>
      </c>
      <c r="AM35" s="622"/>
      <c r="AN35" s="123" t="s">
        <v>193</v>
      </c>
      <c r="AO35" s="176">
        <v>30.25</v>
      </c>
      <c r="AP35" s="597"/>
      <c r="AQ35" s="478" t="s">
        <v>224</v>
      </c>
      <c r="AR35" s="510">
        <v>14.25</v>
      </c>
      <c r="AS35" s="597"/>
      <c r="AT35" s="478" t="s">
        <v>3664</v>
      </c>
      <c r="AU35" s="501">
        <v>26.5</v>
      </c>
      <c r="AV35" s="597"/>
      <c r="BG35" s="519"/>
      <c r="BH35" s="519"/>
      <c r="BI35" s="519"/>
      <c r="BJ35" s="519"/>
    </row>
    <row r="36" spans="1:62" ht="15.75" thickBot="1" x14ac:dyDescent="0.3">
      <c r="A36" s="478" t="s">
        <v>4651</v>
      </c>
      <c r="B36" s="501">
        <v>25</v>
      </c>
      <c r="C36" s="597"/>
      <c r="D36" s="123" t="s">
        <v>5597</v>
      </c>
      <c r="E36" s="120">
        <v>10.25</v>
      </c>
      <c r="F36" s="597"/>
      <c r="G36" s="164" t="s">
        <v>345</v>
      </c>
      <c r="H36" s="190">
        <v>6.75</v>
      </c>
      <c r="I36" s="601"/>
      <c r="J36" s="471" t="s">
        <v>295</v>
      </c>
      <c r="K36" s="175">
        <v>27.25</v>
      </c>
      <c r="L36" s="596" t="s">
        <v>12663</v>
      </c>
      <c r="M36" s="478" t="s">
        <v>113</v>
      </c>
      <c r="N36" s="481">
        <v>8.25</v>
      </c>
      <c r="O36" s="597"/>
      <c r="P36" s="123" t="s">
        <v>5350</v>
      </c>
      <c r="Q36" s="176">
        <v>27</v>
      </c>
      <c r="R36" s="597"/>
      <c r="S36" s="123" t="s">
        <v>3743</v>
      </c>
      <c r="T36" s="120">
        <v>29</v>
      </c>
      <c r="U36" s="598"/>
      <c r="V36" s="123" t="s">
        <v>5321</v>
      </c>
      <c r="W36" s="120">
        <v>30</v>
      </c>
      <c r="X36" s="597"/>
      <c r="Y36" s="123" t="s">
        <v>5631</v>
      </c>
      <c r="Z36" s="120">
        <v>26</v>
      </c>
      <c r="AA36" s="597"/>
      <c r="AB36" s="478" t="s">
        <v>5587</v>
      </c>
      <c r="AC36" s="501">
        <v>27</v>
      </c>
      <c r="AD36" s="597"/>
      <c r="AE36" s="123" t="s">
        <v>5591</v>
      </c>
      <c r="AF36" s="120">
        <v>27</v>
      </c>
      <c r="AG36" s="597"/>
      <c r="AH36" s="123" t="s">
        <v>5255</v>
      </c>
      <c r="AI36" s="120">
        <v>24.5</v>
      </c>
      <c r="AJ36" s="597"/>
      <c r="AK36" s="471" t="s">
        <v>5419</v>
      </c>
      <c r="AL36" s="516">
        <v>23.25</v>
      </c>
      <c r="AM36" s="596" t="s">
        <v>12663</v>
      </c>
      <c r="AN36" s="164" t="s">
        <v>268</v>
      </c>
      <c r="AO36" s="190">
        <v>15.5</v>
      </c>
      <c r="AP36" s="601"/>
      <c r="AQ36" s="478" t="s">
        <v>339</v>
      </c>
      <c r="AR36" s="510">
        <v>13.25</v>
      </c>
      <c r="AS36" s="597"/>
      <c r="AT36" s="478" t="s">
        <v>4164</v>
      </c>
      <c r="AU36" s="501">
        <v>26.5</v>
      </c>
      <c r="AV36" s="597"/>
      <c r="BG36" s="519"/>
      <c r="BH36" s="519"/>
      <c r="BI36" s="519"/>
      <c r="BJ36" s="519"/>
    </row>
    <row r="37" spans="1:62" ht="15.75" thickBot="1" x14ac:dyDescent="0.3">
      <c r="A37" s="478" t="s">
        <v>2531</v>
      </c>
      <c r="B37" s="501">
        <v>24.75</v>
      </c>
      <c r="C37" s="597"/>
      <c r="D37" s="486" t="s">
        <v>4781</v>
      </c>
      <c r="E37" s="503">
        <v>9.25</v>
      </c>
      <c r="F37" s="601"/>
      <c r="G37" s="124" t="s">
        <v>383</v>
      </c>
      <c r="H37" s="125">
        <v>10.75</v>
      </c>
      <c r="I37" s="596" t="s">
        <v>12663</v>
      </c>
      <c r="J37" s="123" t="s">
        <v>6</v>
      </c>
      <c r="K37" s="176">
        <v>26.75</v>
      </c>
      <c r="L37" s="597"/>
      <c r="M37" s="123" t="s">
        <v>117</v>
      </c>
      <c r="N37" s="176">
        <v>6.5</v>
      </c>
      <c r="O37" s="597"/>
      <c r="P37" s="123" t="s">
        <v>4835</v>
      </c>
      <c r="Q37" s="176">
        <v>27</v>
      </c>
      <c r="R37" s="597"/>
      <c r="S37" s="478" t="s">
        <v>1920</v>
      </c>
      <c r="T37" s="120">
        <v>28.75</v>
      </c>
      <c r="U37" s="598"/>
      <c r="V37" s="478" t="s">
        <v>853</v>
      </c>
      <c r="W37" s="501">
        <v>29.5</v>
      </c>
      <c r="X37" s="597"/>
      <c r="Y37" s="123" t="s">
        <v>4324</v>
      </c>
      <c r="Z37" s="120">
        <v>26</v>
      </c>
      <c r="AA37" s="597"/>
      <c r="AB37" s="478" t="s">
        <v>324</v>
      </c>
      <c r="AC37" s="501">
        <v>27</v>
      </c>
      <c r="AD37" s="597"/>
      <c r="AE37" s="123" t="s">
        <v>5236</v>
      </c>
      <c r="AF37" s="120">
        <v>27</v>
      </c>
      <c r="AG37" s="597"/>
      <c r="AH37" s="123" t="s">
        <v>282</v>
      </c>
      <c r="AI37" s="120">
        <v>24.5</v>
      </c>
      <c r="AJ37" s="597"/>
      <c r="AK37" s="478" t="s">
        <v>3339</v>
      </c>
      <c r="AL37" s="510">
        <v>22.25</v>
      </c>
      <c r="AM37" s="597"/>
      <c r="AN37" s="471" t="s">
        <v>5419</v>
      </c>
      <c r="AO37" s="500">
        <v>23.25</v>
      </c>
      <c r="AP37" s="596" t="s">
        <v>12663</v>
      </c>
      <c r="AQ37" s="486" t="s">
        <v>385</v>
      </c>
      <c r="AR37" s="487">
        <v>9.5</v>
      </c>
      <c r="AS37" s="601"/>
      <c r="AT37" s="478" t="s">
        <v>5430</v>
      </c>
      <c r="AU37" s="501">
        <v>17.75</v>
      </c>
      <c r="AV37" s="597"/>
      <c r="BG37" s="519"/>
      <c r="BH37" s="519"/>
      <c r="BI37" s="519"/>
      <c r="BJ37" s="519"/>
    </row>
    <row r="38" spans="1:62" ht="15.75" thickBot="1" x14ac:dyDescent="0.3">
      <c r="A38" s="478" t="s">
        <v>4779</v>
      </c>
      <c r="B38" s="501">
        <v>20.25</v>
      </c>
      <c r="C38" s="597"/>
      <c r="D38" s="471" t="s">
        <v>3292</v>
      </c>
      <c r="E38" s="500">
        <v>24.75</v>
      </c>
      <c r="F38" s="617" t="s">
        <v>12663</v>
      </c>
      <c r="G38" s="478" t="s">
        <v>378</v>
      </c>
      <c r="H38" s="120">
        <v>10.5</v>
      </c>
      <c r="I38" s="597"/>
      <c r="J38" s="123" t="s">
        <v>5128</v>
      </c>
      <c r="K38" s="176">
        <v>23</v>
      </c>
      <c r="L38" s="597"/>
      <c r="M38" s="486" t="s">
        <v>211</v>
      </c>
      <c r="N38" s="190">
        <v>4.75</v>
      </c>
      <c r="O38" s="601"/>
      <c r="P38" s="123" t="s">
        <v>2665</v>
      </c>
      <c r="Q38" s="176">
        <v>27</v>
      </c>
      <c r="R38" s="597"/>
      <c r="S38" s="478" t="s">
        <v>5281</v>
      </c>
      <c r="T38" s="120">
        <v>28.5</v>
      </c>
      <c r="U38" s="598"/>
      <c r="V38" s="164" t="s">
        <v>58</v>
      </c>
      <c r="W38" s="524">
        <v>18.5</v>
      </c>
      <c r="X38" s="601"/>
      <c r="Y38" s="123" t="s">
        <v>4324</v>
      </c>
      <c r="Z38" s="120">
        <v>26</v>
      </c>
      <c r="AA38" s="597"/>
      <c r="AB38" s="123" t="s">
        <v>5587</v>
      </c>
      <c r="AC38" s="120">
        <v>27</v>
      </c>
      <c r="AD38" s="597"/>
      <c r="AE38" s="123" t="s">
        <v>4142</v>
      </c>
      <c r="AF38" s="120">
        <v>25.75</v>
      </c>
      <c r="AG38" s="597"/>
      <c r="AH38" s="123" t="s">
        <v>5255</v>
      </c>
      <c r="AI38" s="120">
        <v>24.5</v>
      </c>
      <c r="AJ38" s="597"/>
      <c r="AK38" s="478" t="s">
        <v>3313</v>
      </c>
      <c r="AL38" s="510">
        <v>21.5</v>
      </c>
      <c r="AM38" s="597"/>
      <c r="AN38" s="478" t="s">
        <v>3339</v>
      </c>
      <c r="AO38" s="501">
        <v>22.25</v>
      </c>
      <c r="AP38" s="597"/>
      <c r="AQ38" s="471" t="s">
        <v>3339</v>
      </c>
      <c r="AR38" s="500">
        <v>22.25</v>
      </c>
      <c r="AS38" s="596" t="s">
        <v>12663</v>
      </c>
      <c r="AT38" s="478" t="s">
        <v>3664</v>
      </c>
      <c r="AU38" s="501">
        <v>26.5</v>
      </c>
      <c r="AV38" s="597"/>
      <c r="BG38" s="519"/>
      <c r="BH38" s="519"/>
      <c r="BI38" s="519"/>
      <c r="BJ38" s="519"/>
    </row>
    <row r="39" spans="1:62" ht="15.75" thickBot="1" x14ac:dyDescent="0.3">
      <c r="A39" s="478" t="s">
        <v>1272</v>
      </c>
      <c r="B39" s="501">
        <v>20.25</v>
      </c>
      <c r="C39" s="597"/>
      <c r="D39" s="478" t="s">
        <v>2531</v>
      </c>
      <c r="E39" s="501">
        <v>24.75</v>
      </c>
      <c r="F39" s="618"/>
      <c r="G39" s="478" t="s">
        <v>355</v>
      </c>
      <c r="H39" s="469">
        <v>10.5</v>
      </c>
      <c r="I39" s="597"/>
      <c r="J39" s="123" t="s">
        <v>353</v>
      </c>
      <c r="K39" s="176">
        <v>23</v>
      </c>
      <c r="L39" s="597"/>
      <c r="M39" s="124" t="s">
        <v>4279</v>
      </c>
      <c r="N39" s="125">
        <v>26</v>
      </c>
      <c r="O39" s="596" t="s">
        <v>12663</v>
      </c>
      <c r="P39" s="123" t="s">
        <v>3638</v>
      </c>
      <c r="Q39" s="176">
        <v>27</v>
      </c>
      <c r="R39" s="597"/>
      <c r="S39" s="164" t="s">
        <v>4924</v>
      </c>
      <c r="T39" s="524">
        <v>23.75</v>
      </c>
      <c r="U39" s="599"/>
      <c r="V39" s="124" t="s">
        <v>5155</v>
      </c>
      <c r="W39" s="125">
        <v>30.25</v>
      </c>
      <c r="X39" s="596" t="s">
        <v>12664</v>
      </c>
      <c r="Y39" s="164" t="s">
        <v>97</v>
      </c>
      <c r="Z39" s="503">
        <v>12</v>
      </c>
      <c r="AA39" s="599"/>
      <c r="AB39" s="478" t="s">
        <v>349</v>
      </c>
      <c r="AC39" s="501">
        <v>16.5</v>
      </c>
      <c r="AD39" s="597"/>
      <c r="AE39" s="123" t="s">
        <v>5084</v>
      </c>
      <c r="AF39" s="120">
        <v>25.5</v>
      </c>
      <c r="AG39" s="597"/>
      <c r="AH39" s="478" t="s">
        <v>3950</v>
      </c>
      <c r="AI39" s="501">
        <v>18</v>
      </c>
      <c r="AJ39" s="597"/>
      <c r="AK39" s="478" t="s">
        <v>4756</v>
      </c>
      <c r="AL39" s="510">
        <v>18.25</v>
      </c>
      <c r="AM39" s="597"/>
      <c r="AN39" s="478" t="s">
        <v>3313</v>
      </c>
      <c r="AO39" s="501">
        <v>21.5</v>
      </c>
      <c r="AP39" s="597"/>
      <c r="AQ39" s="478" t="s">
        <v>5365</v>
      </c>
      <c r="AR39" s="501">
        <v>21.75</v>
      </c>
      <c r="AS39" s="597"/>
      <c r="AT39" s="478" t="s">
        <v>5091</v>
      </c>
      <c r="AU39" s="501">
        <v>26.5</v>
      </c>
      <c r="AV39" s="597"/>
      <c r="BG39" s="519"/>
      <c r="BH39" s="519"/>
      <c r="BI39" s="519"/>
      <c r="BJ39" s="519"/>
    </row>
    <row r="40" spans="1:62" ht="15.75" thickBot="1" x14ac:dyDescent="0.3">
      <c r="A40" s="478" t="s">
        <v>1379</v>
      </c>
      <c r="B40" s="501">
        <v>20</v>
      </c>
      <c r="C40" s="597"/>
      <c r="D40" s="478" t="s">
        <v>3292</v>
      </c>
      <c r="E40" s="501">
        <v>24.75</v>
      </c>
      <c r="F40" s="618"/>
      <c r="G40" s="478" t="s">
        <v>343</v>
      </c>
      <c r="H40" s="469">
        <v>10.5</v>
      </c>
      <c r="I40" s="597"/>
      <c r="J40" s="478" t="s">
        <v>5219</v>
      </c>
      <c r="K40" s="176">
        <v>23</v>
      </c>
      <c r="L40" s="597"/>
      <c r="M40" s="123" t="s">
        <v>4355</v>
      </c>
      <c r="N40" s="120">
        <v>26</v>
      </c>
      <c r="O40" s="597"/>
      <c r="P40" s="123" t="s">
        <v>234</v>
      </c>
      <c r="Q40" s="176">
        <v>21</v>
      </c>
      <c r="R40" s="597"/>
      <c r="S40" s="471" t="s">
        <v>1553</v>
      </c>
      <c r="T40" s="125">
        <v>27.5</v>
      </c>
      <c r="U40" s="596" t="s">
        <v>12664</v>
      </c>
      <c r="V40" s="478" t="s">
        <v>5321</v>
      </c>
      <c r="W40" s="501">
        <v>30</v>
      </c>
      <c r="X40" s="597"/>
      <c r="Y40" s="124" t="s">
        <v>5511</v>
      </c>
      <c r="Z40" s="175">
        <v>22.75</v>
      </c>
      <c r="AA40" s="600" t="s">
        <v>12663</v>
      </c>
      <c r="AB40" s="486" t="s">
        <v>5204</v>
      </c>
      <c r="AC40" s="503">
        <v>15.5</v>
      </c>
      <c r="AD40" s="601"/>
      <c r="AE40" s="123" t="s">
        <v>4900</v>
      </c>
      <c r="AF40" s="120">
        <v>25.25</v>
      </c>
      <c r="AG40" s="597"/>
      <c r="AH40" s="123" t="s">
        <v>337</v>
      </c>
      <c r="AI40" s="120">
        <v>13.75</v>
      </c>
      <c r="AJ40" s="597"/>
      <c r="AK40" s="478" t="s">
        <v>3078</v>
      </c>
      <c r="AL40" s="510">
        <v>17</v>
      </c>
      <c r="AM40" s="597"/>
      <c r="AN40" s="478" t="s">
        <v>4756</v>
      </c>
      <c r="AO40" s="501">
        <v>18.25</v>
      </c>
      <c r="AP40" s="597"/>
      <c r="AQ40" s="478" t="s">
        <v>3313</v>
      </c>
      <c r="AR40" s="501">
        <v>21.5</v>
      </c>
      <c r="AS40" s="597"/>
      <c r="AT40" s="486" t="s">
        <v>5430</v>
      </c>
      <c r="AU40" s="503">
        <v>17.75</v>
      </c>
      <c r="AV40" s="601"/>
      <c r="BG40" s="519"/>
      <c r="BH40" s="519"/>
      <c r="BI40" s="519"/>
      <c r="BJ40" s="519"/>
    </row>
    <row r="41" spans="1:62" ht="15.75" thickBot="1" x14ac:dyDescent="0.3">
      <c r="A41" s="478" t="s">
        <v>1379</v>
      </c>
      <c r="B41" s="501">
        <v>20</v>
      </c>
      <c r="C41" s="597"/>
      <c r="D41" s="478" t="s">
        <v>4088</v>
      </c>
      <c r="E41" s="501">
        <v>24.5</v>
      </c>
      <c r="F41" s="618"/>
      <c r="G41" s="123" t="s">
        <v>333</v>
      </c>
      <c r="H41" s="120">
        <v>7.25</v>
      </c>
      <c r="I41" s="597"/>
      <c r="J41" s="478" t="s">
        <v>4609</v>
      </c>
      <c r="K41" s="510">
        <v>20.75</v>
      </c>
      <c r="L41" s="597"/>
      <c r="M41" s="478" t="s">
        <v>5602</v>
      </c>
      <c r="N41" s="120">
        <v>25.75</v>
      </c>
      <c r="O41" s="597"/>
      <c r="P41" s="486" t="s">
        <v>97</v>
      </c>
      <c r="Q41" s="190">
        <v>12</v>
      </c>
      <c r="R41" s="601"/>
      <c r="S41" s="123" t="s">
        <v>4671</v>
      </c>
      <c r="T41" s="120">
        <v>27.5</v>
      </c>
      <c r="U41" s="597"/>
      <c r="V41" s="478" t="s">
        <v>2569</v>
      </c>
      <c r="W41" s="501">
        <v>30</v>
      </c>
      <c r="X41" s="597"/>
      <c r="Y41" s="478" t="s">
        <v>388</v>
      </c>
      <c r="Z41" s="510">
        <v>22</v>
      </c>
      <c r="AA41" s="598"/>
      <c r="AB41" s="124" t="s">
        <v>324</v>
      </c>
      <c r="AC41" s="125">
        <v>27</v>
      </c>
      <c r="AD41" s="596" t="s">
        <v>12663</v>
      </c>
      <c r="AE41" s="164" t="s">
        <v>378</v>
      </c>
      <c r="AF41" s="524">
        <v>10.5</v>
      </c>
      <c r="AG41" s="601"/>
      <c r="AH41" s="164" t="s">
        <v>259</v>
      </c>
      <c r="AI41" s="524">
        <v>13.75</v>
      </c>
      <c r="AJ41" s="601"/>
      <c r="AK41" s="478" t="s">
        <v>34</v>
      </c>
      <c r="AL41" s="510">
        <v>15.25</v>
      </c>
      <c r="AM41" s="597"/>
      <c r="AN41" s="478" t="s">
        <v>3078</v>
      </c>
      <c r="AO41" s="501">
        <v>17</v>
      </c>
      <c r="AP41" s="597"/>
      <c r="AQ41" s="478" t="s">
        <v>240</v>
      </c>
      <c r="AR41" s="501">
        <v>13</v>
      </c>
      <c r="AS41" s="597"/>
      <c r="AT41" s="124" t="s">
        <v>4088</v>
      </c>
      <c r="AU41" s="125">
        <v>24.5</v>
      </c>
      <c r="AV41" s="623" t="s">
        <v>12663</v>
      </c>
      <c r="BG41" s="519"/>
      <c r="BH41" s="519"/>
      <c r="BI41" s="519"/>
      <c r="BJ41" s="519"/>
    </row>
    <row r="42" spans="1:62" ht="15.75" thickBot="1" x14ac:dyDescent="0.3">
      <c r="A42" s="486" t="s">
        <v>4760</v>
      </c>
      <c r="B42" s="503">
        <v>12.75</v>
      </c>
      <c r="C42" s="601"/>
      <c r="D42" s="478" t="s">
        <v>4088</v>
      </c>
      <c r="E42" s="501">
        <v>24.5</v>
      </c>
      <c r="F42" s="618"/>
      <c r="G42" s="478" t="s">
        <v>5386</v>
      </c>
      <c r="H42" s="469">
        <v>10.5</v>
      </c>
      <c r="I42" s="597"/>
      <c r="J42" s="123" t="s">
        <v>63</v>
      </c>
      <c r="K42" s="176">
        <v>13</v>
      </c>
      <c r="L42" s="597"/>
      <c r="M42" s="123" t="s">
        <v>2061</v>
      </c>
      <c r="N42" s="120">
        <v>25.5</v>
      </c>
      <c r="O42" s="597"/>
      <c r="P42" s="124" t="s">
        <v>4054</v>
      </c>
      <c r="Q42" s="175">
        <v>27</v>
      </c>
      <c r="R42" s="596" t="s">
        <v>12664</v>
      </c>
      <c r="S42" s="123" t="s">
        <v>1553</v>
      </c>
      <c r="T42" s="120">
        <v>27.5</v>
      </c>
      <c r="U42" s="597"/>
      <c r="V42" s="478" t="s">
        <v>3799</v>
      </c>
      <c r="W42" s="501">
        <v>30</v>
      </c>
      <c r="X42" s="597"/>
      <c r="Y42" s="123" t="s">
        <v>5457</v>
      </c>
      <c r="Z42" s="176">
        <v>23</v>
      </c>
      <c r="AA42" s="598"/>
      <c r="AB42" s="123" t="s">
        <v>324</v>
      </c>
      <c r="AC42" s="120">
        <v>27</v>
      </c>
      <c r="AD42" s="597"/>
      <c r="AE42" s="124" t="s">
        <v>3723</v>
      </c>
      <c r="AF42" s="125">
        <v>24.75</v>
      </c>
      <c r="AG42" s="596" t="s">
        <v>12663</v>
      </c>
      <c r="AH42" s="124" t="s">
        <v>3929</v>
      </c>
      <c r="AI42" s="125">
        <v>27.25</v>
      </c>
      <c r="AJ42" s="555" t="s">
        <v>12663</v>
      </c>
      <c r="AK42" s="478" t="s">
        <v>244</v>
      </c>
      <c r="AL42" s="510">
        <v>14.25</v>
      </c>
      <c r="AM42" s="597"/>
      <c r="AN42" s="478" t="s">
        <v>34</v>
      </c>
      <c r="AO42" s="501">
        <v>15.25</v>
      </c>
      <c r="AP42" s="597"/>
      <c r="AQ42" s="478" t="s">
        <v>63</v>
      </c>
      <c r="AR42" s="501">
        <v>13</v>
      </c>
      <c r="AS42" s="597"/>
      <c r="AT42" s="478" t="s">
        <v>3371</v>
      </c>
      <c r="AU42" s="501">
        <v>24</v>
      </c>
      <c r="AV42" s="624"/>
      <c r="BG42" s="519"/>
      <c r="BH42" s="519"/>
      <c r="BI42" s="519"/>
      <c r="BJ42" s="519"/>
    </row>
    <row r="43" spans="1:62" ht="15.75" thickBot="1" x14ac:dyDescent="0.3">
      <c r="A43" s="124" t="s">
        <v>195</v>
      </c>
      <c r="B43" s="125">
        <v>28</v>
      </c>
      <c r="C43" s="596" t="s">
        <v>12663</v>
      </c>
      <c r="D43" s="478" t="s">
        <v>4088</v>
      </c>
      <c r="E43" s="501">
        <v>24.5</v>
      </c>
      <c r="F43" s="618"/>
      <c r="G43" s="478" t="s">
        <v>304</v>
      </c>
      <c r="H43" s="120">
        <v>10.75</v>
      </c>
      <c r="I43" s="597"/>
      <c r="J43" s="164" t="s">
        <v>246</v>
      </c>
      <c r="K43" s="190">
        <v>11.25</v>
      </c>
      <c r="L43" s="601"/>
      <c r="M43" s="123" t="s">
        <v>2061</v>
      </c>
      <c r="N43" s="120">
        <v>25.5</v>
      </c>
      <c r="O43" s="597"/>
      <c r="P43" s="123" t="s">
        <v>4054</v>
      </c>
      <c r="Q43" s="176">
        <v>27</v>
      </c>
      <c r="R43" s="597"/>
      <c r="S43" s="478" t="s">
        <v>1695</v>
      </c>
      <c r="T43" s="120">
        <v>27.25</v>
      </c>
      <c r="U43" s="597"/>
      <c r="V43" s="478" t="s">
        <v>4590</v>
      </c>
      <c r="W43" s="120">
        <v>29</v>
      </c>
      <c r="X43" s="597"/>
      <c r="Y43" s="123" t="s">
        <v>5511</v>
      </c>
      <c r="Z43" s="176">
        <v>22.75</v>
      </c>
      <c r="AA43" s="598"/>
      <c r="AB43" s="478" t="s">
        <v>5585</v>
      </c>
      <c r="AC43" s="501">
        <v>26.75</v>
      </c>
      <c r="AD43" s="597"/>
      <c r="AE43" s="123" t="s">
        <v>3551</v>
      </c>
      <c r="AF43" s="120">
        <v>24.5</v>
      </c>
      <c r="AG43" s="597"/>
      <c r="AH43" s="123" t="s">
        <v>114</v>
      </c>
      <c r="AI43" s="120">
        <v>12</v>
      </c>
      <c r="AJ43" s="556"/>
      <c r="AK43" s="478" t="s">
        <v>198</v>
      </c>
      <c r="AL43" s="510">
        <v>14</v>
      </c>
      <c r="AM43" s="597"/>
      <c r="AN43" s="478" t="s">
        <v>244</v>
      </c>
      <c r="AO43" s="501">
        <v>14.25</v>
      </c>
      <c r="AP43" s="597"/>
      <c r="AQ43" s="478" t="s">
        <v>52</v>
      </c>
      <c r="AR43" s="501">
        <v>13</v>
      </c>
      <c r="AS43" s="597"/>
      <c r="AT43" s="478" t="s">
        <v>4572</v>
      </c>
      <c r="AU43" s="501">
        <v>24</v>
      </c>
      <c r="AV43" s="624"/>
      <c r="BG43" s="519"/>
      <c r="BH43" s="519"/>
      <c r="BI43" s="519"/>
      <c r="BJ43" s="519"/>
    </row>
    <row r="44" spans="1:62" ht="15.75" thickBot="1" x14ac:dyDescent="0.3">
      <c r="A44" s="478" t="s">
        <v>446</v>
      </c>
      <c r="B44" s="501">
        <v>27.25</v>
      </c>
      <c r="C44" s="597"/>
      <c r="D44" s="486" t="s">
        <v>1272</v>
      </c>
      <c r="E44" s="503">
        <v>20.25</v>
      </c>
      <c r="F44" s="619"/>
      <c r="G44" s="123" t="s">
        <v>300</v>
      </c>
      <c r="H44" s="120">
        <v>11.75</v>
      </c>
      <c r="I44" s="597"/>
      <c r="J44" s="124" t="s">
        <v>234</v>
      </c>
      <c r="K44" s="125">
        <v>21</v>
      </c>
      <c r="L44" s="596" t="s">
        <v>12663</v>
      </c>
      <c r="M44" s="478" t="s">
        <v>5663</v>
      </c>
      <c r="N44" s="501">
        <v>22.5</v>
      </c>
      <c r="O44" s="597"/>
      <c r="P44" s="478" t="s">
        <v>4776</v>
      </c>
      <c r="Q44" s="176">
        <v>26.75</v>
      </c>
      <c r="R44" s="597"/>
      <c r="S44" s="478" t="s">
        <v>1163</v>
      </c>
      <c r="T44" s="120">
        <v>27.25</v>
      </c>
      <c r="U44" s="597"/>
      <c r="V44" s="164" t="s">
        <v>5436</v>
      </c>
      <c r="W44" s="524">
        <v>18.75</v>
      </c>
      <c r="X44" s="601"/>
      <c r="Y44" s="123" t="s">
        <v>388</v>
      </c>
      <c r="Z44" s="176">
        <v>22</v>
      </c>
      <c r="AA44" s="598"/>
      <c r="AB44" s="478" t="s">
        <v>306</v>
      </c>
      <c r="AC44" s="501">
        <v>26.75</v>
      </c>
      <c r="AD44" s="597"/>
      <c r="AE44" s="123" t="s">
        <v>3597</v>
      </c>
      <c r="AF44" s="120">
        <v>24.5</v>
      </c>
      <c r="AG44" s="597"/>
      <c r="AH44" s="478" t="s">
        <v>402</v>
      </c>
      <c r="AI44" s="501">
        <v>27.25</v>
      </c>
      <c r="AJ44" s="556"/>
      <c r="AK44" s="478" t="s">
        <v>347</v>
      </c>
      <c r="AL44" s="510">
        <v>11.25</v>
      </c>
      <c r="AM44" s="597"/>
      <c r="AN44" s="478" t="s">
        <v>198</v>
      </c>
      <c r="AO44" s="501">
        <v>14</v>
      </c>
      <c r="AP44" s="597"/>
      <c r="AQ44" s="478" t="s">
        <v>5043</v>
      </c>
      <c r="AR44" s="501">
        <v>13</v>
      </c>
      <c r="AS44" s="597"/>
      <c r="AT44" s="478" t="s">
        <v>4572</v>
      </c>
      <c r="AU44" s="501">
        <v>24</v>
      </c>
      <c r="AV44" s="624"/>
      <c r="BG44" s="519"/>
      <c r="BH44" s="519"/>
      <c r="BI44" s="519"/>
      <c r="BJ44" s="519"/>
    </row>
    <row r="45" spans="1:62" ht="15.75" thickBot="1" x14ac:dyDescent="0.3">
      <c r="A45" s="478" t="s">
        <v>309</v>
      </c>
      <c r="B45" s="501">
        <v>26</v>
      </c>
      <c r="C45" s="597"/>
      <c r="D45" s="471" t="s">
        <v>5619</v>
      </c>
      <c r="E45" s="500">
        <v>29.25</v>
      </c>
      <c r="F45" s="617" t="s">
        <v>12663</v>
      </c>
      <c r="G45" s="478" t="s">
        <v>5194</v>
      </c>
      <c r="H45" s="120">
        <v>11.75</v>
      </c>
      <c r="I45" s="597"/>
      <c r="J45" s="123" t="s">
        <v>4609</v>
      </c>
      <c r="K45" s="120">
        <v>20.75</v>
      </c>
      <c r="L45" s="597"/>
      <c r="M45" s="164" t="s">
        <v>435</v>
      </c>
      <c r="N45" s="524">
        <v>16.75</v>
      </c>
      <c r="O45" s="601"/>
      <c r="P45" s="478" t="s">
        <v>299</v>
      </c>
      <c r="Q45" s="176">
        <v>26.75</v>
      </c>
      <c r="R45" s="597"/>
      <c r="S45" s="123" t="s">
        <v>58</v>
      </c>
      <c r="T45" s="120">
        <v>18.5</v>
      </c>
      <c r="U45" s="597"/>
      <c r="V45" s="124" t="s">
        <v>3904</v>
      </c>
      <c r="W45" s="125">
        <v>31.25</v>
      </c>
      <c r="X45" s="596" t="s">
        <v>12664</v>
      </c>
      <c r="Y45" s="123" t="s">
        <v>353</v>
      </c>
      <c r="Z45" s="176">
        <v>23</v>
      </c>
      <c r="AA45" s="598"/>
      <c r="AB45" s="478" t="s">
        <v>2907</v>
      </c>
      <c r="AC45" s="501">
        <v>26.75</v>
      </c>
      <c r="AD45" s="597"/>
      <c r="AE45" s="123" t="s">
        <v>3551</v>
      </c>
      <c r="AF45" s="120">
        <v>24.5</v>
      </c>
      <c r="AG45" s="597"/>
      <c r="AH45" s="123" t="s">
        <v>114</v>
      </c>
      <c r="AI45" s="120">
        <v>12</v>
      </c>
      <c r="AJ45" s="556"/>
      <c r="AK45" s="486" t="s">
        <v>361</v>
      </c>
      <c r="AL45" s="487">
        <v>11</v>
      </c>
      <c r="AM45" s="601"/>
      <c r="AN45" s="478" t="s">
        <v>347</v>
      </c>
      <c r="AO45" s="501">
        <v>11.25</v>
      </c>
      <c r="AP45" s="597"/>
      <c r="AQ45" s="478" t="s">
        <v>5331</v>
      </c>
      <c r="AR45" s="501">
        <v>13</v>
      </c>
      <c r="AS45" s="597"/>
      <c r="AT45" s="478" t="s">
        <v>1965</v>
      </c>
      <c r="AU45" s="501">
        <v>23.75</v>
      </c>
      <c r="AV45" s="624"/>
      <c r="BG45" s="519"/>
      <c r="BH45" s="519"/>
      <c r="BI45" s="519"/>
      <c r="BJ45" s="519"/>
    </row>
    <row r="46" spans="1:62" ht="15.75" thickBot="1" x14ac:dyDescent="0.3">
      <c r="A46" s="123" t="s">
        <v>79</v>
      </c>
      <c r="B46" s="120">
        <v>22.75</v>
      </c>
      <c r="C46" s="597"/>
      <c r="D46" s="478" t="s">
        <v>4789</v>
      </c>
      <c r="E46" s="501">
        <v>29.25</v>
      </c>
      <c r="F46" s="618"/>
      <c r="G46" s="123" t="s">
        <v>279</v>
      </c>
      <c r="H46" s="120">
        <v>11.75</v>
      </c>
      <c r="I46" s="597"/>
      <c r="J46" s="123" t="s">
        <v>5047</v>
      </c>
      <c r="K46" s="120">
        <v>20.25</v>
      </c>
      <c r="L46" s="597"/>
      <c r="M46" s="471" t="s">
        <v>3543</v>
      </c>
      <c r="N46" s="125">
        <v>24.5</v>
      </c>
      <c r="O46" s="596" t="s">
        <v>12663</v>
      </c>
      <c r="P46" s="478" t="s">
        <v>1433</v>
      </c>
      <c r="Q46" s="176">
        <v>26.75</v>
      </c>
      <c r="R46" s="597"/>
      <c r="S46" s="164" t="s">
        <v>406</v>
      </c>
      <c r="T46" s="524">
        <v>12.5</v>
      </c>
      <c r="U46" s="601"/>
      <c r="V46" s="478" t="s">
        <v>5155</v>
      </c>
      <c r="W46" s="469">
        <v>30.25</v>
      </c>
      <c r="X46" s="597"/>
      <c r="Y46" s="478" t="s">
        <v>3708</v>
      </c>
      <c r="Z46" s="510">
        <v>21.75</v>
      </c>
      <c r="AA46" s="597"/>
      <c r="AB46" s="123" t="s">
        <v>221</v>
      </c>
      <c r="AC46" s="120">
        <v>17</v>
      </c>
      <c r="AD46" s="598"/>
      <c r="AE46" s="123" t="s">
        <v>3597</v>
      </c>
      <c r="AF46" s="120">
        <v>24.5</v>
      </c>
      <c r="AG46" s="597"/>
      <c r="AH46" s="478" t="s">
        <v>5356</v>
      </c>
      <c r="AI46" s="501">
        <v>27</v>
      </c>
      <c r="AJ46" s="556"/>
      <c r="AK46" s="124" t="s">
        <v>5416</v>
      </c>
      <c r="AL46" s="516">
        <v>28.5</v>
      </c>
      <c r="AM46" s="596" t="s">
        <v>12663</v>
      </c>
      <c r="AN46" s="486" t="s">
        <v>361</v>
      </c>
      <c r="AO46" s="503">
        <v>11</v>
      </c>
      <c r="AP46" s="601"/>
      <c r="AQ46" s="478" t="s">
        <v>5141</v>
      </c>
      <c r="AR46" s="501">
        <v>12.75</v>
      </c>
      <c r="AS46" s="597"/>
      <c r="AT46" s="478" t="s">
        <v>1965</v>
      </c>
      <c r="AU46" s="501">
        <v>23.75</v>
      </c>
      <c r="AV46" s="624"/>
      <c r="BG46" s="519"/>
      <c r="BH46" s="519"/>
      <c r="BI46" s="519"/>
      <c r="BJ46" s="519"/>
    </row>
    <row r="47" spans="1:62" ht="15.75" thickBot="1" x14ac:dyDescent="0.3">
      <c r="A47" s="123" t="s">
        <v>145</v>
      </c>
      <c r="B47" s="120">
        <v>15</v>
      </c>
      <c r="C47" s="597"/>
      <c r="D47" s="478" t="s">
        <v>4636</v>
      </c>
      <c r="E47" s="501">
        <v>28.75</v>
      </c>
      <c r="F47" s="618"/>
      <c r="G47" s="123" t="s">
        <v>8728</v>
      </c>
      <c r="H47" s="120">
        <v>11.5</v>
      </c>
      <c r="I47" s="597"/>
      <c r="J47" s="123" t="s">
        <v>4223</v>
      </c>
      <c r="K47" s="120">
        <v>20.25</v>
      </c>
      <c r="L47" s="597"/>
      <c r="M47" s="123" t="s">
        <v>3543</v>
      </c>
      <c r="N47" s="120">
        <v>24.5</v>
      </c>
      <c r="O47" s="597"/>
      <c r="P47" s="478" t="s">
        <v>388</v>
      </c>
      <c r="Q47" s="176">
        <v>22</v>
      </c>
      <c r="R47" s="597"/>
      <c r="S47" s="471" t="s">
        <v>820</v>
      </c>
      <c r="T47" s="125">
        <v>27.25</v>
      </c>
      <c r="U47" s="596" t="s">
        <v>12664</v>
      </c>
      <c r="V47" s="123" t="s">
        <v>5155</v>
      </c>
      <c r="W47" s="120">
        <v>30.25</v>
      </c>
      <c r="X47" s="597"/>
      <c r="Y47" s="164" t="s">
        <v>304</v>
      </c>
      <c r="Z47" s="190">
        <v>10.75</v>
      </c>
      <c r="AA47" s="599"/>
      <c r="AB47" s="164" t="s">
        <v>4032</v>
      </c>
      <c r="AC47" s="524">
        <v>16.75</v>
      </c>
      <c r="AD47" s="599"/>
      <c r="AE47" s="123" t="s">
        <v>3950</v>
      </c>
      <c r="AF47" s="120">
        <v>18</v>
      </c>
      <c r="AG47" s="597"/>
      <c r="AH47" s="123" t="s">
        <v>114</v>
      </c>
      <c r="AI47" s="120">
        <v>12</v>
      </c>
      <c r="AJ47" s="556"/>
      <c r="AK47" s="123" t="s">
        <v>5416</v>
      </c>
      <c r="AL47" s="176">
        <v>28.5</v>
      </c>
      <c r="AM47" s="597"/>
      <c r="AN47" s="124" t="s">
        <v>4078</v>
      </c>
      <c r="AO47" s="516">
        <v>31.5</v>
      </c>
      <c r="AP47" s="620" t="s">
        <v>12663</v>
      </c>
      <c r="AQ47" s="478" t="s">
        <v>5141</v>
      </c>
      <c r="AR47" s="501">
        <v>12.75</v>
      </c>
      <c r="AS47" s="597"/>
      <c r="AT47" s="478" t="s">
        <v>5029</v>
      </c>
      <c r="AU47" s="501">
        <v>12</v>
      </c>
      <c r="AV47" s="624"/>
      <c r="BG47" s="519"/>
      <c r="BH47" s="519"/>
      <c r="BI47" s="519"/>
      <c r="BJ47" s="519"/>
    </row>
    <row r="48" spans="1:62" ht="15.75" thickBot="1" x14ac:dyDescent="0.3">
      <c r="A48" s="123" t="s">
        <v>95</v>
      </c>
      <c r="B48" s="120">
        <v>14.5</v>
      </c>
      <c r="C48" s="597"/>
      <c r="D48" s="478" t="s">
        <v>4636</v>
      </c>
      <c r="E48" s="501">
        <v>28.75</v>
      </c>
      <c r="F48" s="618"/>
      <c r="G48" s="478" t="s">
        <v>117</v>
      </c>
      <c r="H48" s="501">
        <v>6.5</v>
      </c>
      <c r="I48" s="597"/>
      <c r="J48" s="123" t="s">
        <v>4106</v>
      </c>
      <c r="K48" s="120">
        <v>19.5</v>
      </c>
      <c r="L48" s="597"/>
      <c r="M48" s="478" t="s">
        <v>440</v>
      </c>
      <c r="N48" s="120">
        <v>23.75</v>
      </c>
      <c r="O48" s="597"/>
      <c r="P48" s="164" t="s">
        <v>4915</v>
      </c>
      <c r="Q48" s="190">
        <v>11.75</v>
      </c>
      <c r="R48" s="601"/>
      <c r="S48" s="478" t="s">
        <v>3693</v>
      </c>
      <c r="T48" s="501">
        <v>27.25</v>
      </c>
      <c r="U48" s="597"/>
      <c r="V48" s="123" t="s">
        <v>5155</v>
      </c>
      <c r="W48" s="120">
        <v>30.25</v>
      </c>
      <c r="X48" s="597"/>
      <c r="Y48" s="124" t="s">
        <v>306</v>
      </c>
      <c r="Z48" s="125">
        <v>26.75</v>
      </c>
      <c r="AA48" s="596" t="s">
        <v>12663</v>
      </c>
      <c r="AB48" s="471" t="s">
        <v>4629</v>
      </c>
      <c r="AC48" s="500">
        <v>26.75</v>
      </c>
      <c r="AD48" s="600" t="s">
        <v>12663</v>
      </c>
      <c r="AE48" s="123" t="s">
        <v>270</v>
      </c>
      <c r="AF48" s="120">
        <v>15</v>
      </c>
      <c r="AG48" s="597"/>
      <c r="AH48" s="123" t="s">
        <v>300</v>
      </c>
      <c r="AI48" s="120">
        <v>11.75</v>
      </c>
      <c r="AJ48" s="556"/>
      <c r="AK48" s="123" t="s">
        <v>295</v>
      </c>
      <c r="AL48" s="176">
        <v>27.25</v>
      </c>
      <c r="AM48" s="597"/>
      <c r="AN48" s="123" t="s">
        <v>4078</v>
      </c>
      <c r="AO48" s="176">
        <v>31.5</v>
      </c>
      <c r="AP48" s="621"/>
      <c r="AQ48" s="486" t="s">
        <v>5029</v>
      </c>
      <c r="AR48" s="503">
        <v>12</v>
      </c>
      <c r="AS48" s="601"/>
      <c r="AT48" s="486" t="s">
        <v>5029</v>
      </c>
      <c r="AU48" s="503">
        <v>12</v>
      </c>
      <c r="AV48" s="625"/>
      <c r="BG48" s="519"/>
      <c r="BH48" s="519"/>
      <c r="BI48" s="519"/>
      <c r="BJ48" s="519"/>
    </row>
    <row r="49" spans="1:62" ht="15.75" thickBot="1" x14ac:dyDescent="0.3">
      <c r="A49" s="123" t="s">
        <v>74</v>
      </c>
      <c r="B49" s="120">
        <v>14.5</v>
      </c>
      <c r="C49" s="597"/>
      <c r="D49" s="478" t="s">
        <v>4636</v>
      </c>
      <c r="E49" s="501">
        <v>28.75</v>
      </c>
      <c r="F49" s="618"/>
      <c r="G49" s="123" t="s">
        <v>113</v>
      </c>
      <c r="H49" s="120">
        <v>8.25</v>
      </c>
      <c r="I49" s="597"/>
      <c r="J49" s="478" t="s">
        <v>4804</v>
      </c>
      <c r="K49" s="120">
        <v>19.25</v>
      </c>
      <c r="L49" s="597"/>
      <c r="M49" s="478" t="s">
        <v>4924</v>
      </c>
      <c r="N49" s="120">
        <v>23.75</v>
      </c>
      <c r="O49" s="597"/>
      <c r="P49" s="471" t="s">
        <v>5267</v>
      </c>
      <c r="Q49" s="477">
        <v>26.75</v>
      </c>
      <c r="R49" s="596" t="s">
        <v>12664</v>
      </c>
      <c r="S49" s="478" t="s">
        <v>3984</v>
      </c>
      <c r="T49" s="501">
        <v>27.25</v>
      </c>
      <c r="U49" s="597"/>
      <c r="V49" s="478" t="s">
        <v>5313</v>
      </c>
      <c r="W49" s="120">
        <v>29.5</v>
      </c>
      <c r="X49" s="597"/>
      <c r="Y49" s="123" t="s">
        <v>2907</v>
      </c>
      <c r="Z49" s="120">
        <v>26.75</v>
      </c>
      <c r="AA49" s="597"/>
      <c r="AB49" s="123" t="s">
        <v>5585</v>
      </c>
      <c r="AC49" s="120">
        <v>26.75</v>
      </c>
      <c r="AD49" s="598"/>
      <c r="AE49" s="164" t="s">
        <v>5489</v>
      </c>
      <c r="AF49" s="503">
        <v>12.25</v>
      </c>
      <c r="AG49" s="601"/>
      <c r="AH49" s="478" t="s">
        <v>397</v>
      </c>
      <c r="AI49" s="501">
        <v>27</v>
      </c>
      <c r="AJ49" s="556"/>
      <c r="AK49" s="123" t="s">
        <v>4891</v>
      </c>
      <c r="AL49" s="510">
        <v>27</v>
      </c>
      <c r="AM49" s="597"/>
      <c r="AN49" s="123" t="s">
        <v>227</v>
      </c>
      <c r="AO49" s="510">
        <v>29.75</v>
      </c>
      <c r="AP49" s="621"/>
      <c r="AQ49" s="471" t="s">
        <v>4568</v>
      </c>
      <c r="AR49" s="500">
        <v>25.5</v>
      </c>
      <c r="AS49" s="596" t="s">
        <v>12663</v>
      </c>
      <c r="AT49" s="471" t="s">
        <v>1965</v>
      </c>
      <c r="AU49" s="500">
        <v>23.75</v>
      </c>
      <c r="AV49" s="596" t="s">
        <v>12663</v>
      </c>
      <c r="BG49" s="519"/>
      <c r="BH49" s="519"/>
      <c r="BI49" s="519"/>
      <c r="BJ49" s="519"/>
    </row>
    <row r="50" spans="1:62" ht="15.75" thickBot="1" x14ac:dyDescent="0.3">
      <c r="A50" s="123" t="s">
        <v>130</v>
      </c>
      <c r="B50" s="120">
        <v>13.75</v>
      </c>
      <c r="C50" s="597"/>
      <c r="D50" s="486" t="s">
        <v>1598</v>
      </c>
      <c r="E50" s="503">
        <v>23.25</v>
      </c>
      <c r="F50" s="619"/>
      <c r="G50" s="123" t="s">
        <v>18</v>
      </c>
      <c r="H50" s="120">
        <v>11.5</v>
      </c>
      <c r="I50" s="597"/>
      <c r="J50" s="123" t="s">
        <v>5483</v>
      </c>
      <c r="K50" s="120">
        <v>18.5</v>
      </c>
      <c r="L50" s="597"/>
      <c r="M50" s="478" t="s">
        <v>5128</v>
      </c>
      <c r="N50" s="501">
        <v>23</v>
      </c>
      <c r="O50" s="597"/>
      <c r="P50" s="123" t="s">
        <v>4776</v>
      </c>
      <c r="Q50" s="176">
        <v>26.75</v>
      </c>
      <c r="R50" s="597"/>
      <c r="S50" s="123" t="s">
        <v>2512</v>
      </c>
      <c r="T50" s="120">
        <v>27.25</v>
      </c>
      <c r="U50" s="597"/>
      <c r="V50" s="486" t="s">
        <v>349</v>
      </c>
      <c r="W50" s="524">
        <v>16.5</v>
      </c>
      <c r="X50" s="601"/>
      <c r="Y50" s="123" t="s">
        <v>4629</v>
      </c>
      <c r="Z50" s="120">
        <v>26.75</v>
      </c>
      <c r="AA50" s="597"/>
      <c r="AB50" s="123" t="s">
        <v>306</v>
      </c>
      <c r="AC50" s="120">
        <v>26.75</v>
      </c>
      <c r="AD50" s="598"/>
      <c r="AE50" s="124" t="s">
        <v>2266</v>
      </c>
      <c r="AF50" s="125">
        <v>25</v>
      </c>
      <c r="AG50" s="596" t="s">
        <v>12663</v>
      </c>
      <c r="AH50" s="164" t="s">
        <v>300</v>
      </c>
      <c r="AI50" s="524">
        <v>11.75</v>
      </c>
      <c r="AJ50" s="557"/>
      <c r="AK50" s="123" t="s">
        <v>4891</v>
      </c>
      <c r="AL50" s="176">
        <v>27</v>
      </c>
      <c r="AM50" s="597"/>
      <c r="AN50" s="123" t="s">
        <v>4955</v>
      </c>
      <c r="AO50" s="510">
        <v>29.75</v>
      </c>
      <c r="AP50" s="621"/>
      <c r="AQ50" s="478" t="s">
        <v>3576</v>
      </c>
      <c r="AR50" s="501">
        <v>25.25</v>
      </c>
      <c r="AS50" s="597"/>
      <c r="AT50" s="478" t="s">
        <v>1598</v>
      </c>
      <c r="AU50" s="501">
        <v>23.25</v>
      </c>
      <c r="AV50" s="597"/>
      <c r="BG50" s="519"/>
      <c r="BH50" s="519"/>
      <c r="BI50" s="519"/>
      <c r="BJ50" s="519"/>
    </row>
    <row r="51" spans="1:62" ht="15.75" thickBot="1" x14ac:dyDescent="0.3">
      <c r="A51" s="164" t="s">
        <v>100</v>
      </c>
      <c r="B51" s="524">
        <v>6.25</v>
      </c>
      <c r="C51" s="601"/>
      <c r="D51" s="471" t="s">
        <v>5658</v>
      </c>
      <c r="E51" s="500">
        <v>26</v>
      </c>
      <c r="F51" s="596" t="s">
        <v>12663</v>
      </c>
      <c r="G51" s="123" t="s">
        <v>5029</v>
      </c>
      <c r="H51" s="120">
        <v>12</v>
      </c>
      <c r="I51" s="597"/>
      <c r="J51" s="478" t="s">
        <v>58</v>
      </c>
      <c r="K51" s="469">
        <v>18.5</v>
      </c>
      <c r="L51" s="597"/>
      <c r="M51" s="478" t="s">
        <v>353</v>
      </c>
      <c r="N51" s="120">
        <v>23</v>
      </c>
      <c r="O51" s="597"/>
      <c r="P51" s="123" t="s">
        <v>299</v>
      </c>
      <c r="Q51" s="176">
        <v>26.75</v>
      </c>
      <c r="R51" s="597"/>
      <c r="S51" s="123" t="s">
        <v>1695</v>
      </c>
      <c r="T51" s="120">
        <v>27.25</v>
      </c>
      <c r="U51" s="597"/>
      <c r="V51" s="471" t="s">
        <v>353</v>
      </c>
      <c r="W51" s="500">
        <v>23</v>
      </c>
      <c r="X51" s="596" t="s">
        <v>12664</v>
      </c>
      <c r="Y51" s="123" t="s">
        <v>4629</v>
      </c>
      <c r="Z51" s="120">
        <v>26.75</v>
      </c>
      <c r="AA51" s="597"/>
      <c r="AB51" s="123" t="s">
        <v>2907</v>
      </c>
      <c r="AC51" s="120">
        <v>26.75</v>
      </c>
      <c r="AD51" s="597"/>
      <c r="AE51" s="123" t="s">
        <v>4545</v>
      </c>
      <c r="AF51" s="120">
        <v>25</v>
      </c>
      <c r="AG51" s="597"/>
      <c r="AH51" s="471" t="s">
        <v>3761</v>
      </c>
      <c r="AI51" s="500">
        <v>32</v>
      </c>
      <c r="AJ51" s="596" t="s">
        <v>12663</v>
      </c>
      <c r="AK51" s="123" t="s">
        <v>5141</v>
      </c>
      <c r="AL51" s="176">
        <v>12.75</v>
      </c>
      <c r="AM51" s="597"/>
      <c r="AN51" s="123" t="s">
        <v>227</v>
      </c>
      <c r="AO51" s="176">
        <v>29.75</v>
      </c>
      <c r="AP51" s="621"/>
      <c r="AQ51" s="478" t="s">
        <v>3576</v>
      </c>
      <c r="AR51" s="501">
        <v>25.25</v>
      </c>
      <c r="AS51" s="597"/>
      <c r="AT51" s="478" t="s">
        <v>1598</v>
      </c>
      <c r="AU51" s="501">
        <v>23.25</v>
      </c>
      <c r="AV51" s="597"/>
      <c r="BG51" s="519"/>
      <c r="BH51" s="519"/>
      <c r="BI51" s="519"/>
      <c r="BJ51" s="519"/>
    </row>
    <row r="52" spans="1:62" ht="15.75" thickBot="1" x14ac:dyDescent="0.3">
      <c r="A52" s="124" t="s">
        <v>157</v>
      </c>
      <c r="B52" s="125">
        <v>26.25</v>
      </c>
      <c r="C52" s="596" t="s">
        <v>12663</v>
      </c>
      <c r="D52" s="478" t="s">
        <v>5658</v>
      </c>
      <c r="E52" s="501">
        <v>26</v>
      </c>
      <c r="F52" s="597"/>
      <c r="G52" s="164" t="s">
        <v>15</v>
      </c>
      <c r="H52" s="524">
        <v>12.25</v>
      </c>
      <c r="I52" s="601"/>
      <c r="J52" s="486" t="s">
        <v>368</v>
      </c>
      <c r="K52" s="525">
        <v>10</v>
      </c>
      <c r="L52" s="601"/>
      <c r="M52" s="123" t="s">
        <v>337</v>
      </c>
      <c r="N52" s="120">
        <v>13.75</v>
      </c>
      <c r="O52" s="597"/>
      <c r="P52" s="123" t="s">
        <v>1433</v>
      </c>
      <c r="Q52" s="176">
        <v>26.75</v>
      </c>
      <c r="R52" s="597"/>
      <c r="S52" s="478" t="s">
        <v>90</v>
      </c>
      <c r="T52" s="120">
        <v>16.25</v>
      </c>
      <c r="U52" s="597"/>
      <c r="V52" s="478" t="s">
        <v>5457</v>
      </c>
      <c r="W52" s="501">
        <v>23</v>
      </c>
      <c r="X52" s="597"/>
      <c r="Y52" s="123" t="s">
        <v>5452</v>
      </c>
      <c r="Z52" s="120">
        <v>26.5</v>
      </c>
      <c r="AA52" s="597"/>
      <c r="AB52" s="123" t="s">
        <v>4629</v>
      </c>
      <c r="AC52" s="120">
        <v>26.75</v>
      </c>
      <c r="AD52" s="597"/>
      <c r="AE52" s="123" t="s">
        <v>5061</v>
      </c>
      <c r="AF52" s="120">
        <v>25</v>
      </c>
      <c r="AG52" s="597"/>
      <c r="AH52" s="478" t="s">
        <v>2886</v>
      </c>
      <c r="AI52" s="501">
        <v>32</v>
      </c>
      <c r="AJ52" s="597"/>
      <c r="AK52" s="123" t="s">
        <v>126</v>
      </c>
      <c r="AL52" s="176">
        <v>8.75</v>
      </c>
      <c r="AM52" s="597"/>
      <c r="AN52" s="123" t="s">
        <v>263</v>
      </c>
      <c r="AO52" s="510">
        <v>11</v>
      </c>
      <c r="AP52" s="621"/>
      <c r="AQ52" s="478" t="s">
        <v>2531</v>
      </c>
      <c r="AR52" s="501">
        <v>24.75</v>
      </c>
      <c r="AS52" s="597"/>
      <c r="AT52" s="123" t="s">
        <v>3339</v>
      </c>
      <c r="AU52" s="120">
        <v>22.25</v>
      </c>
      <c r="AV52" s="597"/>
      <c r="BG52" s="519"/>
      <c r="BH52" s="519"/>
      <c r="BI52" s="519"/>
      <c r="BJ52" s="519"/>
    </row>
    <row r="53" spans="1:62" ht="15.75" thickBot="1" x14ac:dyDescent="0.3">
      <c r="A53" s="123" t="s">
        <v>204</v>
      </c>
      <c r="B53" s="120">
        <v>24</v>
      </c>
      <c r="C53" s="597"/>
      <c r="D53" s="478" t="s">
        <v>5658</v>
      </c>
      <c r="E53" s="501">
        <v>26</v>
      </c>
      <c r="F53" s="597"/>
      <c r="G53" s="124" t="s">
        <v>185</v>
      </c>
      <c r="H53" s="125">
        <v>29</v>
      </c>
      <c r="I53" s="596" t="s">
        <v>12663</v>
      </c>
      <c r="J53" s="471" t="s">
        <v>5487</v>
      </c>
      <c r="K53" s="125">
        <v>12.25</v>
      </c>
      <c r="L53" s="596" t="s">
        <v>12663</v>
      </c>
      <c r="M53" s="486" t="s">
        <v>4915</v>
      </c>
      <c r="N53" s="525">
        <v>11.75</v>
      </c>
      <c r="O53" s="601"/>
      <c r="P53" s="123" t="s">
        <v>5267</v>
      </c>
      <c r="Q53" s="176">
        <v>26.75</v>
      </c>
      <c r="R53" s="597"/>
      <c r="S53" s="486" t="s">
        <v>5204</v>
      </c>
      <c r="T53" s="524">
        <v>15.5</v>
      </c>
      <c r="U53" s="601"/>
      <c r="V53" s="123" t="s">
        <v>5128</v>
      </c>
      <c r="W53" s="120">
        <v>23</v>
      </c>
      <c r="X53" s="597"/>
      <c r="Y53" s="123" t="s">
        <v>3708</v>
      </c>
      <c r="Z53" s="120">
        <v>21.75</v>
      </c>
      <c r="AA53" s="597"/>
      <c r="AB53" s="478" t="s">
        <v>55</v>
      </c>
      <c r="AC53" s="501">
        <v>21.25</v>
      </c>
      <c r="AD53" s="597"/>
      <c r="AE53" s="123" t="s">
        <v>4545</v>
      </c>
      <c r="AF53" s="120">
        <v>25</v>
      </c>
      <c r="AG53" s="597"/>
      <c r="AH53" s="123" t="s">
        <v>3761</v>
      </c>
      <c r="AI53" s="120">
        <v>32</v>
      </c>
      <c r="AJ53" s="597"/>
      <c r="AK53" s="164" t="s">
        <v>4884</v>
      </c>
      <c r="AL53" s="190">
        <v>8.25</v>
      </c>
      <c r="AM53" s="601"/>
      <c r="AN53" s="164" t="s">
        <v>211</v>
      </c>
      <c r="AO53" s="190">
        <v>4.75</v>
      </c>
      <c r="AP53" s="622"/>
      <c r="AQ53" s="478" t="s">
        <v>3292</v>
      </c>
      <c r="AR53" s="501">
        <v>24.75</v>
      </c>
      <c r="AS53" s="597"/>
      <c r="AT53" s="478" t="s">
        <v>2692</v>
      </c>
      <c r="AU53" s="501">
        <v>13.75</v>
      </c>
      <c r="AV53" s="597"/>
      <c r="BG53" s="519"/>
      <c r="BH53" s="519"/>
      <c r="BI53" s="519"/>
      <c r="BJ53" s="519"/>
    </row>
    <row r="54" spans="1:62" ht="15.75" thickBot="1" x14ac:dyDescent="0.3">
      <c r="A54" s="123" t="s">
        <v>252</v>
      </c>
      <c r="B54" s="120">
        <v>23</v>
      </c>
      <c r="C54" s="597"/>
      <c r="D54" s="478" t="s">
        <v>5602</v>
      </c>
      <c r="E54" s="501">
        <v>25.75</v>
      </c>
      <c r="F54" s="597"/>
      <c r="G54" s="123" t="s">
        <v>182</v>
      </c>
      <c r="H54" s="120">
        <v>28.25</v>
      </c>
      <c r="I54" s="597"/>
      <c r="J54" s="478" t="s">
        <v>448</v>
      </c>
      <c r="K54" s="120">
        <v>13</v>
      </c>
      <c r="L54" s="597"/>
      <c r="M54" s="471" t="s">
        <v>4553</v>
      </c>
      <c r="N54" s="125">
        <v>28.75</v>
      </c>
      <c r="O54" s="596" t="s">
        <v>12663</v>
      </c>
      <c r="P54" s="123" t="s">
        <v>5663</v>
      </c>
      <c r="Q54" s="176">
        <v>22.5</v>
      </c>
      <c r="R54" s="597"/>
      <c r="S54" s="471" t="s">
        <v>575</v>
      </c>
      <c r="T54" s="125">
        <v>28</v>
      </c>
      <c r="U54" s="596" t="s">
        <v>12664</v>
      </c>
      <c r="V54" s="123" t="s">
        <v>353</v>
      </c>
      <c r="W54" s="120">
        <v>23</v>
      </c>
      <c r="X54" s="597"/>
      <c r="Y54" s="486" t="s">
        <v>5141</v>
      </c>
      <c r="Z54" s="503">
        <v>12.75</v>
      </c>
      <c r="AA54" s="601"/>
      <c r="AB54" s="164" t="s">
        <v>240</v>
      </c>
      <c r="AC54" s="524">
        <v>13</v>
      </c>
      <c r="AD54" s="601"/>
      <c r="AE54" s="123" t="s">
        <v>3723</v>
      </c>
      <c r="AF54" s="120">
        <v>24.75</v>
      </c>
      <c r="AG54" s="597"/>
      <c r="AH54" s="123" t="s">
        <v>2886</v>
      </c>
      <c r="AI54" s="120">
        <v>32</v>
      </c>
      <c r="AJ54" s="597"/>
      <c r="AK54" s="124" t="s">
        <v>3741</v>
      </c>
      <c r="AL54" s="516">
        <v>25.75</v>
      </c>
      <c r="AM54" s="596" t="s">
        <v>12663</v>
      </c>
      <c r="AN54" s="124" t="s">
        <v>295</v>
      </c>
      <c r="AO54" s="516">
        <v>27.25</v>
      </c>
      <c r="AP54" s="596" t="s">
        <v>12663</v>
      </c>
      <c r="AQ54" s="478" t="s">
        <v>2625</v>
      </c>
      <c r="AR54" s="501">
        <v>22.25</v>
      </c>
      <c r="AS54" s="597"/>
      <c r="AT54" s="478" t="s">
        <v>5141</v>
      </c>
      <c r="AU54" s="501">
        <v>12.75</v>
      </c>
      <c r="AV54" s="597"/>
      <c r="BG54" s="519"/>
      <c r="BH54" s="519"/>
      <c r="BI54" s="519"/>
      <c r="BJ54" s="519"/>
    </row>
    <row r="55" spans="1:62" ht="15.75" thickBot="1" x14ac:dyDescent="0.3">
      <c r="A55" s="478" t="s">
        <v>335</v>
      </c>
      <c r="B55" s="501">
        <v>22.75</v>
      </c>
      <c r="C55" s="597"/>
      <c r="D55" s="478" t="s">
        <v>5602</v>
      </c>
      <c r="E55" s="501">
        <v>25.75</v>
      </c>
      <c r="F55" s="597"/>
      <c r="G55" s="478" t="s">
        <v>430</v>
      </c>
      <c r="H55" s="501">
        <v>28</v>
      </c>
      <c r="I55" s="597"/>
      <c r="J55" s="478" t="s">
        <v>406</v>
      </c>
      <c r="K55" s="469">
        <v>12.5</v>
      </c>
      <c r="L55" s="597"/>
      <c r="M55" s="123" t="s">
        <v>1920</v>
      </c>
      <c r="N55" s="120">
        <v>28.75</v>
      </c>
      <c r="O55" s="597"/>
      <c r="P55" s="164" t="s">
        <v>5194</v>
      </c>
      <c r="Q55" s="190">
        <v>11.75</v>
      </c>
      <c r="R55" s="601"/>
      <c r="S55" s="123" t="s">
        <v>615</v>
      </c>
      <c r="T55" s="120">
        <v>28</v>
      </c>
      <c r="U55" s="597"/>
      <c r="V55" s="123" t="s">
        <v>5457</v>
      </c>
      <c r="W55" s="120">
        <v>23</v>
      </c>
      <c r="X55" s="597"/>
      <c r="Y55" s="124" t="s">
        <v>5452</v>
      </c>
      <c r="Z55" s="125">
        <v>26.5</v>
      </c>
      <c r="AA55" s="600" t="s">
        <v>12663</v>
      </c>
      <c r="AB55" s="471" t="s">
        <v>5526</v>
      </c>
      <c r="AC55" s="516">
        <v>23.75</v>
      </c>
      <c r="AD55" s="600" t="s">
        <v>12663</v>
      </c>
      <c r="AE55" s="123" t="s">
        <v>270</v>
      </c>
      <c r="AF55" s="120">
        <v>15</v>
      </c>
      <c r="AG55" s="597"/>
      <c r="AH55" s="123" t="s">
        <v>87</v>
      </c>
      <c r="AI55" s="120">
        <v>29.25</v>
      </c>
      <c r="AJ55" s="597"/>
      <c r="AK55" s="123" t="s">
        <v>3292</v>
      </c>
      <c r="AL55" s="510">
        <v>24.75</v>
      </c>
      <c r="AM55" s="597"/>
      <c r="AN55" s="123" t="s">
        <v>4164</v>
      </c>
      <c r="AO55" s="510">
        <v>26.5</v>
      </c>
      <c r="AP55" s="597"/>
      <c r="AQ55" s="486" t="s">
        <v>4779</v>
      </c>
      <c r="AR55" s="503">
        <v>20.25</v>
      </c>
      <c r="AS55" s="601"/>
      <c r="AT55" s="478" t="s">
        <v>5489</v>
      </c>
      <c r="AU55" s="501">
        <v>12.25</v>
      </c>
      <c r="AV55" s="597"/>
      <c r="BG55" s="519"/>
      <c r="BH55" s="519"/>
      <c r="BI55" s="519"/>
      <c r="BJ55" s="519"/>
    </row>
    <row r="56" spans="1:62" ht="15.75" thickBot="1" x14ac:dyDescent="0.3">
      <c r="A56" s="123" t="s">
        <v>173</v>
      </c>
      <c r="B56" s="120">
        <v>19.75</v>
      </c>
      <c r="C56" s="597"/>
      <c r="D56" s="478" t="s">
        <v>4962</v>
      </c>
      <c r="E56" s="501">
        <v>19.25</v>
      </c>
      <c r="F56" s="597"/>
      <c r="G56" s="123" t="s">
        <v>200</v>
      </c>
      <c r="H56" s="120">
        <v>28</v>
      </c>
      <c r="I56" s="597"/>
      <c r="J56" s="478" t="s">
        <v>5489</v>
      </c>
      <c r="K56" s="120">
        <v>12.25</v>
      </c>
      <c r="L56" s="597"/>
      <c r="M56" s="123" t="s">
        <v>4553</v>
      </c>
      <c r="N56" s="120">
        <v>28.75</v>
      </c>
      <c r="O56" s="597"/>
      <c r="P56" s="124" t="s">
        <v>5267</v>
      </c>
      <c r="Q56" s="175">
        <v>26.75</v>
      </c>
      <c r="R56" s="596" t="s">
        <v>12664</v>
      </c>
      <c r="S56" s="123" t="s">
        <v>1169</v>
      </c>
      <c r="T56" s="120">
        <v>28</v>
      </c>
      <c r="U56" s="597"/>
      <c r="V56" s="123" t="s">
        <v>5128</v>
      </c>
      <c r="W56" s="120">
        <v>23</v>
      </c>
      <c r="X56" s="597"/>
      <c r="Y56" s="123" t="s">
        <v>5452</v>
      </c>
      <c r="Z56" s="120">
        <v>26.5</v>
      </c>
      <c r="AA56" s="598"/>
      <c r="AB56" s="123" t="s">
        <v>4551</v>
      </c>
      <c r="AC56" s="176">
        <v>24.25</v>
      </c>
      <c r="AD56" s="598"/>
      <c r="AE56" s="123" t="s">
        <v>410</v>
      </c>
      <c r="AF56" s="120">
        <v>14.25</v>
      </c>
      <c r="AG56" s="597"/>
      <c r="AH56" s="164" t="s">
        <v>414</v>
      </c>
      <c r="AI56" s="503">
        <v>10.75</v>
      </c>
      <c r="AJ56" s="601"/>
      <c r="AK56" s="123" t="s">
        <v>2531</v>
      </c>
      <c r="AL56" s="510">
        <v>24.75</v>
      </c>
      <c r="AM56" s="597"/>
      <c r="AN56" s="123" t="s">
        <v>4568</v>
      </c>
      <c r="AO56" s="510">
        <v>25.5</v>
      </c>
      <c r="AP56" s="597"/>
      <c r="AQ56" s="124" t="s">
        <v>4985</v>
      </c>
      <c r="AR56" s="516">
        <v>23</v>
      </c>
      <c r="AS56" s="596" t="s">
        <v>12663</v>
      </c>
      <c r="AT56" s="478" t="s">
        <v>15</v>
      </c>
      <c r="AU56" s="501">
        <v>12.25</v>
      </c>
      <c r="AV56" s="597"/>
      <c r="BG56" s="519"/>
      <c r="BH56" s="519"/>
      <c r="BI56" s="519"/>
      <c r="BJ56" s="519"/>
    </row>
    <row r="57" spans="1:62" ht="15.75" thickBot="1" x14ac:dyDescent="0.3">
      <c r="A57" s="123" t="s">
        <v>110</v>
      </c>
      <c r="B57" s="120">
        <v>18.5</v>
      </c>
      <c r="C57" s="597"/>
      <c r="D57" s="486" t="s">
        <v>4962</v>
      </c>
      <c r="E57" s="503">
        <v>19.25</v>
      </c>
      <c r="F57" s="601"/>
      <c r="G57" s="123" t="s">
        <v>27</v>
      </c>
      <c r="H57" s="120">
        <v>25.5</v>
      </c>
      <c r="I57" s="597"/>
      <c r="J57" s="123" t="s">
        <v>4609</v>
      </c>
      <c r="K57" s="120">
        <v>20.75</v>
      </c>
      <c r="L57" s="597"/>
      <c r="M57" s="478" t="s">
        <v>5202</v>
      </c>
      <c r="N57" s="120">
        <v>28.5</v>
      </c>
      <c r="O57" s="597"/>
      <c r="P57" s="123" t="s">
        <v>5267</v>
      </c>
      <c r="Q57" s="176">
        <v>26.75</v>
      </c>
      <c r="R57" s="597"/>
      <c r="S57" s="123" t="s">
        <v>575</v>
      </c>
      <c r="T57" s="120">
        <v>28</v>
      </c>
      <c r="U57" s="597"/>
      <c r="V57" s="123" t="s">
        <v>3539</v>
      </c>
      <c r="W57" s="120">
        <v>17</v>
      </c>
      <c r="X57" s="597"/>
      <c r="Y57" s="478" t="s">
        <v>4349</v>
      </c>
      <c r="Z57" s="501">
        <v>26</v>
      </c>
      <c r="AA57" s="598"/>
      <c r="AB57" s="123" t="s">
        <v>5526</v>
      </c>
      <c r="AC57" s="176">
        <v>23.75</v>
      </c>
      <c r="AD57" s="598"/>
      <c r="AE57" s="164" t="s">
        <v>437</v>
      </c>
      <c r="AF57" s="503">
        <v>14</v>
      </c>
      <c r="AG57" s="601"/>
      <c r="AH57" s="124" t="s">
        <v>2958</v>
      </c>
      <c r="AI57" s="125">
        <v>31</v>
      </c>
      <c r="AJ57" s="596" t="s">
        <v>12663</v>
      </c>
      <c r="AK57" s="123" t="s">
        <v>4088</v>
      </c>
      <c r="AL57" s="510">
        <v>24.5</v>
      </c>
      <c r="AM57" s="597"/>
      <c r="AN57" s="123" t="s">
        <v>3576</v>
      </c>
      <c r="AO57" s="510">
        <v>25.25</v>
      </c>
      <c r="AP57" s="597"/>
      <c r="AQ57" s="123" t="s">
        <v>2625</v>
      </c>
      <c r="AR57" s="510">
        <v>22.25</v>
      </c>
      <c r="AS57" s="597"/>
      <c r="AT57" s="478" t="s">
        <v>5489</v>
      </c>
      <c r="AU57" s="501">
        <v>12.25</v>
      </c>
      <c r="AV57" s="597"/>
      <c r="BG57" s="519"/>
      <c r="BH57" s="519"/>
      <c r="BI57" s="519"/>
      <c r="BJ57" s="519"/>
    </row>
    <row r="58" spans="1:62" ht="15.75" thickBot="1" x14ac:dyDescent="0.3">
      <c r="A58" s="123" t="s">
        <v>122</v>
      </c>
      <c r="B58" s="120">
        <v>13.5</v>
      </c>
      <c r="C58" s="597"/>
      <c r="D58" s="124" t="s">
        <v>157</v>
      </c>
      <c r="E58" s="125">
        <v>26.25</v>
      </c>
      <c r="F58" s="596" t="s">
        <v>12663</v>
      </c>
      <c r="G58" s="478" t="s">
        <v>452</v>
      </c>
      <c r="H58" s="501">
        <v>19</v>
      </c>
      <c r="I58" s="597"/>
      <c r="J58" s="478" t="s">
        <v>337</v>
      </c>
      <c r="K58" s="501">
        <v>13.75</v>
      </c>
      <c r="L58" s="597"/>
      <c r="M58" s="478" t="s">
        <v>673</v>
      </c>
      <c r="N58" s="120">
        <v>28.5</v>
      </c>
      <c r="O58" s="597"/>
      <c r="P58" s="478" t="s">
        <v>1838</v>
      </c>
      <c r="Q58" s="176">
        <v>26.5</v>
      </c>
      <c r="R58" s="597"/>
      <c r="S58" s="478" t="s">
        <v>3699</v>
      </c>
      <c r="T58" s="120">
        <v>22.25</v>
      </c>
      <c r="U58" s="597"/>
      <c r="V58" s="164" t="s">
        <v>52</v>
      </c>
      <c r="W58" s="524">
        <v>13</v>
      </c>
      <c r="X58" s="601"/>
      <c r="Y58" s="478" t="s">
        <v>5631</v>
      </c>
      <c r="Z58" s="501">
        <v>26</v>
      </c>
      <c r="AA58" s="598"/>
      <c r="AB58" s="478" t="s">
        <v>1653</v>
      </c>
      <c r="AC58" s="510">
        <v>23.75</v>
      </c>
      <c r="AD58" s="598"/>
      <c r="AE58" s="124" t="s">
        <v>4865</v>
      </c>
      <c r="AF58" s="125">
        <v>26</v>
      </c>
      <c r="AG58" s="596" t="s">
        <v>12663</v>
      </c>
      <c r="AH58" s="478" t="s">
        <v>5475</v>
      </c>
      <c r="AI58" s="501">
        <v>28</v>
      </c>
      <c r="AJ58" s="597"/>
      <c r="AK58" s="123" t="s">
        <v>4572</v>
      </c>
      <c r="AL58" s="510">
        <v>24</v>
      </c>
      <c r="AM58" s="597"/>
      <c r="AN58" s="123" t="s">
        <v>3576</v>
      </c>
      <c r="AO58" s="176">
        <v>25.25</v>
      </c>
      <c r="AP58" s="597"/>
      <c r="AQ58" s="123" t="s">
        <v>5365</v>
      </c>
      <c r="AR58" s="510">
        <v>21.75</v>
      </c>
      <c r="AS58" s="597"/>
      <c r="AT58" s="486" t="s">
        <v>15</v>
      </c>
      <c r="AU58" s="503">
        <v>12.25</v>
      </c>
      <c r="AV58" s="601"/>
      <c r="BG58" s="519"/>
      <c r="BH58" s="519"/>
      <c r="BI58" s="519"/>
      <c r="BJ58" s="519"/>
    </row>
    <row r="59" spans="1:62" ht="15.75" thickBot="1" x14ac:dyDescent="0.3">
      <c r="A59" s="123" t="s">
        <v>147</v>
      </c>
      <c r="B59" s="120">
        <v>12</v>
      </c>
      <c r="C59" s="597"/>
      <c r="D59" s="123" t="s">
        <v>204</v>
      </c>
      <c r="E59" s="120">
        <v>24</v>
      </c>
      <c r="F59" s="597"/>
      <c r="G59" s="164" t="s">
        <v>24</v>
      </c>
      <c r="H59" s="524">
        <v>10.25</v>
      </c>
      <c r="I59" s="601"/>
      <c r="J59" s="123" t="s">
        <v>290</v>
      </c>
      <c r="K59" s="120">
        <v>8.5</v>
      </c>
      <c r="L59" s="597"/>
      <c r="M59" s="123" t="s">
        <v>65</v>
      </c>
      <c r="N59" s="120">
        <v>9.5</v>
      </c>
      <c r="O59" s="597"/>
      <c r="P59" s="478" t="s">
        <v>4003</v>
      </c>
      <c r="Q59" s="176">
        <v>26.5</v>
      </c>
      <c r="R59" s="597"/>
      <c r="S59" s="478" t="s">
        <v>3539</v>
      </c>
      <c r="T59" s="120">
        <v>17</v>
      </c>
      <c r="U59" s="597"/>
      <c r="V59" s="124" t="s">
        <v>195</v>
      </c>
      <c r="W59" s="125">
        <v>28</v>
      </c>
      <c r="X59" s="596" t="s">
        <v>12663</v>
      </c>
      <c r="Y59" s="478" t="s">
        <v>4324</v>
      </c>
      <c r="Z59" s="501">
        <v>26</v>
      </c>
      <c r="AA59" s="598"/>
      <c r="AB59" s="478" t="s">
        <v>5331</v>
      </c>
      <c r="AC59" s="510">
        <v>13</v>
      </c>
      <c r="AD59" s="598"/>
      <c r="AE59" s="123" t="s">
        <v>4142</v>
      </c>
      <c r="AF59" s="120">
        <v>25.75</v>
      </c>
      <c r="AG59" s="597"/>
      <c r="AH59" s="123" t="s">
        <v>5543</v>
      </c>
      <c r="AI59" s="120">
        <v>27.25</v>
      </c>
      <c r="AJ59" s="597"/>
      <c r="AK59" s="123" t="s">
        <v>4572</v>
      </c>
      <c r="AL59" s="176">
        <v>24</v>
      </c>
      <c r="AM59" s="597"/>
      <c r="AN59" s="123" t="s">
        <v>5043</v>
      </c>
      <c r="AO59" s="176">
        <v>13</v>
      </c>
      <c r="AP59" s="597"/>
      <c r="AQ59" s="123" t="s">
        <v>4985</v>
      </c>
      <c r="AR59" s="176">
        <v>23</v>
      </c>
      <c r="AS59" s="597"/>
      <c r="AT59" s="471" t="s">
        <v>5025</v>
      </c>
      <c r="AU59" s="500">
        <v>25.5</v>
      </c>
      <c r="AV59" s="623" t="s">
        <v>12663</v>
      </c>
      <c r="BG59" s="519"/>
      <c r="BH59" s="519"/>
      <c r="BI59" s="519"/>
      <c r="BJ59" s="519"/>
    </row>
    <row r="60" spans="1:62" ht="15.75" thickBot="1" x14ac:dyDescent="0.3">
      <c r="A60" s="164" t="s">
        <v>68</v>
      </c>
      <c r="B60" s="524">
        <v>8.25</v>
      </c>
      <c r="C60" s="601"/>
      <c r="D60" s="123" t="s">
        <v>252</v>
      </c>
      <c r="E60" s="120">
        <v>23</v>
      </c>
      <c r="F60" s="597"/>
      <c r="G60" s="471" t="s">
        <v>4955</v>
      </c>
      <c r="H60" s="500">
        <v>29.75</v>
      </c>
      <c r="I60" s="596" t="s">
        <v>12663</v>
      </c>
      <c r="J60" s="123" t="s">
        <v>275</v>
      </c>
      <c r="K60" s="120">
        <v>6.25</v>
      </c>
      <c r="L60" s="597"/>
      <c r="M60" s="478" t="s">
        <v>290</v>
      </c>
      <c r="N60" s="501">
        <v>8.5</v>
      </c>
      <c r="O60" s="597"/>
      <c r="P60" s="478" t="s">
        <v>3008</v>
      </c>
      <c r="Q60" s="176">
        <v>26.5</v>
      </c>
      <c r="R60" s="597"/>
      <c r="S60" s="486" t="s">
        <v>435</v>
      </c>
      <c r="T60" s="503">
        <v>16.75</v>
      </c>
      <c r="U60" s="601"/>
      <c r="V60" s="478" t="s">
        <v>446</v>
      </c>
      <c r="W60" s="501">
        <v>27.25</v>
      </c>
      <c r="X60" s="597"/>
      <c r="Y60" s="123" t="s">
        <v>4349</v>
      </c>
      <c r="Z60" s="120">
        <v>26</v>
      </c>
      <c r="AA60" s="597"/>
      <c r="AB60" s="123" t="s">
        <v>5526</v>
      </c>
      <c r="AC60" s="176">
        <v>23.75</v>
      </c>
      <c r="AD60" s="597"/>
      <c r="AE60" s="123" t="s">
        <v>5084</v>
      </c>
      <c r="AF60" s="120">
        <v>25.5</v>
      </c>
      <c r="AG60" s="597"/>
      <c r="AH60" s="478" t="s">
        <v>4898</v>
      </c>
      <c r="AI60" s="501">
        <v>27.25</v>
      </c>
      <c r="AJ60" s="597"/>
      <c r="AK60" s="123" t="s">
        <v>414</v>
      </c>
      <c r="AL60" s="510">
        <v>10.75</v>
      </c>
      <c r="AM60" s="597"/>
      <c r="AN60" s="123" t="s">
        <v>448</v>
      </c>
      <c r="AO60" s="176">
        <v>13</v>
      </c>
      <c r="AP60" s="597"/>
      <c r="AQ60" s="123" t="s">
        <v>2625</v>
      </c>
      <c r="AR60" s="176">
        <v>22.25</v>
      </c>
      <c r="AS60" s="597"/>
      <c r="AT60" s="478" t="s">
        <v>5025</v>
      </c>
      <c r="AU60" s="501">
        <v>25.5</v>
      </c>
      <c r="AV60" s="624"/>
      <c r="BG60" s="519"/>
      <c r="BH60" s="519"/>
      <c r="BI60" s="519"/>
      <c r="BJ60" s="519"/>
    </row>
    <row r="61" spans="1:62" ht="15.75" thickBot="1" x14ac:dyDescent="0.3">
      <c r="A61" s="471" t="s">
        <v>424</v>
      </c>
      <c r="B61" s="500">
        <v>28.75</v>
      </c>
      <c r="C61" s="617" t="s">
        <v>12663</v>
      </c>
      <c r="D61" s="478" t="s">
        <v>335</v>
      </c>
      <c r="E61" s="501">
        <v>22.75</v>
      </c>
      <c r="F61" s="597"/>
      <c r="G61" s="478" t="s">
        <v>4750</v>
      </c>
      <c r="H61" s="501">
        <v>13.25</v>
      </c>
      <c r="I61" s="597"/>
      <c r="J61" s="478" t="s">
        <v>5043</v>
      </c>
      <c r="K61" s="120">
        <v>13</v>
      </c>
      <c r="L61" s="597"/>
      <c r="M61" s="486" t="s">
        <v>345</v>
      </c>
      <c r="N61" s="524">
        <v>6.75</v>
      </c>
      <c r="O61" s="601"/>
      <c r="P61" s="123" t="s">
        <v>440</v>
      </c>
      <c r="Q61" s="176">
        <v>23.75</v>
      </c>
      <c r="R61" s="597"/>
      <c r="S61" s="471" t="s">
        <v>2579</v>
      </c>
      <c r="T61" s="500">
        <v>27</v>
      </c>
      <c r="U61" s="596" t="s">
        <v>12663</v>
      </c>
      <c r="V61" s="478" t="s">
        <v>309</v>
      </c>
      <c r="W61" s="501">
        <v>26</v>
      </c>
      <c r="X61" s="597"/>
      <c r="Y61" s="164" t="s">
        <v>5265</v>
      </c>
      <c r="Z61" s="503">
        <v>11</v>
      </c>
      <c r="AA61" s="599"/>
      <c r="AB61" s="123" t="s">
        <v>1653</v>
      </c>
      <c r="AC61" s="176">
        <v>23.75</v>
      </c>
      <c r="AD61" s="598"/>
      <c r="AE61" s="123" t="s">
        <v>4900</v>
      </c>
      <c r="AF61" s="120">
        <v>25.25</v>
      </c>
      <c r="AG61" s="597"/>
      <c r="AH61" s="478" t="s">
        <v>3929</v>
      </c>
      <c r="AI61" s="501">
        <v>27.25</v>
      </c>
      <c r="AJ61" s="597"/>
      <c r="AK61" s="164" t="s">
        <v>65</v>
      </c>
      <c r="AL61" s="487">
        <v>9.5</v>
      </c>
      <c r="AM61" s="601"/>
      <c r="AN61" s="164" t="s">
        <v>5487</v>
      </c>
      <c r="AO61" s="190">
        <v>12.25</v>
      </c>
      <c r="AP61" s="601"/>
      <c r="AQ61" s="123" t="s">
        <v>5365</v>
      </c>
      <c r="AR61" s="176">
        <v>21.75</v>
      </c>
      <c r="AS61" s="597"/>
      <c r="AT61" s="478" t="s">
        <v>5025</v>
      </c>
      <c r="AU61" s="501">
        <v>25.5</v>
      </c>
      <c r="AV61" s="624"/>
      <c r="BG61" s="519"/>
      <c r="BH61" s="519"/>
      <c r="BI61" s="519"/>
      <c r="BJ61" s="519"/>
    </row>
    <row r="62" spans="1:62" ht="15.75" thickBot="1" x14ac:dyDescent="0.3">
      <c r="A62" s="478" t="s">
        <v>424</v>
      </c>
      <c r="B62" s="501">
        <v>28.75</v>
      </c>
      <c r="C62" s="618"/>
      <c r="D62" s="123" t="s">
        <v>173</v>
      </c>
      <c r="E62" s="120">
        <v>19.75</v>
      </c>
      <c r="F62" s="597"/>
      <c r="G62" s="478" t="s">
        <v>5200</v>
      </c>
      <c r="H62" s="501">
        <v>14.25</v>
      </c>
      <c r="I62" s="597"/>
      <c r="J62" s="478" t="s">
        <v>4032</v>
      </c>
      <c r="K62" s="120">
        <v>16.75</v>
      </c>
      <c r="L62" s="597"/>
      <c r="M62" s="471" t="s">
        <v>120</v>
      </c>
      <c r="N62" s="500">
        <v>28</v>
      </c>
      <c r="O62" s="623" t="s">
        <v>12663</v>
      </c>
      <c r="P62" s="486" t="s">
        <v>246</v>
      </c>
      <c r="Q62" s="190">
        <v>11.25</v>
      </c>
      <c r="R62" s="601"/>
      <c r="S62" s="478" t="s">
        <v>5602</v>
      </c>
      <c r="T62" s="501">
        <v>25.75</v>
      </c>
      <c r="U62" s="597"/>
      <c r="V62" s="123" t="s">
        <v>79</v>
      </c>
      <c r="W62" s="120">
        <v>22.75</v>
      </c>
      <c r="X62" s="597"/>
      <c r="Y62" s="471" t="s">
        <v>5057</v>
      </c>
      <c r="Z62" s="500">
        <v>28.5</v>
      </c>
      <c r="AA62" s="617" t="s">
        <v>12664</v>
      </c>
      <c r="AB62" s="164" t="s">
        <v>114</v>
      </c>
      <c r="AC62" s="487">
        <v>12</v>
      </c>
      <c r="AD62" s="599"/>
      <c r="AE62" s="123" t="s">
        <v>5061</v>
      </c>
      <c r="AF62" s="120">
        <v>25</v>
      </c>
      <c r="AG62" s="597"/>
      <c r="AH62" s="486" t="s">
        <v>5543</v>
      </c>
      <c r="AI62" s="503">
        <v>27.25</v>
      </c>
      <c r="AJ62" s="601"/>
      <c r="AK62" s="136"/>
      <c r="AL62" s="136"/>
      <c r="AM62" s="136"/>
      <c r="AN62" s="136"/>
      <c r="AO62" s="136"/>
      <c r="AP62" s="136"/>
      <c r="AQ62" s="123" t="s">
        <v>4779</v>
      </c>
      <c r="AR62" s="510">
        <v>20.25</v>
      </c>
      <c r="AS62" s="597"/>
      <c r="AT62" s="478" t="s">
        <v>5377</v>
      </c>
      <c r="AU62" s="501">
        <v>25.5</v>
      </c>
      <c r="AV62" s="624"/>
      <c r="AW62" s="470"/>
      <c r="AX62" s="470"/>
      <c r="BG62" s="519"/>
      <c r="BH62" s="519"/>
      <c r="BI62" s="519"/>
      <c r="BJ62" s="519"/>
    </row>
    <row r="63" spans="1:62" ht="15.75" thickBot="1" x14ac:dyDescent="0.3">
      <c r="A63" s="478" t="s">
        <v>5570</v>
      </c>
      <c r="B63" s="501">
        <v>28.5</v>
      </c>
      <c r="C63" s="618"/>
      <c r="D63" s="123" t="s">
        <v>110</v>
      </c>
      <c r="E63" s="120">
        <v>18.5</v>
      </c>
      <c r="F63" s="597"/>
      <c r="G63" s="478" t="s">
        <v>4789</v>
      </c>
      <c r="H63" s="501">
        <v>29.25</v>
      </c>
      <c r="I63" s="597"/>
      <c r="J63" s="478" t="s">
        <v>63</v>
      </c>
      <c r="K63" s="469">
        <v>13</v>
      </c>
      <c r="L63" s="597"/>
      <c r="M63" s="478" t="s">
        <v>84</v>
      </c>
      <c r="N63" s="501">
        <v>28</v>
      </c>
      <c r="O63" s="624"/>
      <c r="S63" s="478" t="s">
        <v>4402</v>
      </c>
      <c r="T63" s="501">
        <v>25.75</v>
      </c>
      <c r="U63" s="597"/>
      <c r="V63" s="123" t="s">
        <v>145</v>
      </c>
      <c r="W63" s="120">
        <v>15</v>
      </c>
      <c r="X63" s="597"/>
      <c r="Y63" s="478" t="s">
        <v>5401</v>
      </c>
      <c r="Z63" s="501">
        <v>28.25</v>
      </c>
      <c r="AA63" s="618"/>
      <c r="AC63" s="528"/>
      <c r="AD63" s="528"/>
      <c r="AE63" s="123" t="s">
        <v>437</v>
      </c>
      <c r="AF63" s="120">
        <v>14</v>
      </c>
      <c r="AG63" s="597"/>
      <c r="AH63" s="136"/>
      <c r="AI63" s="136"/>
      <c r="AJ63" s="136"/>
      <c r="AK63" s="136"/>
      <c r="AL63" s="136"/>
      <c r="AM63" s="136"/>
      <c r="AN63" s="136"/>
      <c r="AO63" s="136"/>
      <c r="AP63" s="136"/>
      <c r="AQ63" s="164" t="s">
        <v>5149</v>
      </c>
      <c r="AR63" s="487">
        <v>13.75</v>
      </c>
      <c r="AS63" s="601"/>
      <c r="AT63" s="478" t="s">
        <v>4568</v>
      </c>
      <c r="AU63" s="501">
        <v>25.5</v>
      </c>
      <c r="AV63" s="624"/>
      <c r="AW63" s="470"/>
      <c r="AX63" s="470"/>
      <c r="BG63" s="519"/>
      <c r="BH63" s="519"/>
      <c r="BI63" s="519"/>
      <c r="BJ63" s="519"/>
    </row>
    <row r="64" spans="1:62" x14ac:dyDescent="0.25">
      <c r="A64" s="478" t="s">
        <v>5057</v>
      </c>
      <c r="B64" s="501">
        <v>28.5</v>
      </c>
      <c r="C64" s="618"/>
      <c r="D64" s="123" t="s">
        <v>122</v>
      </c>
      <c r="E64" s="120">
        <v>13.5</v>
      </c>
      <c r="F64" s="597"/>
      <c r="G64" s="478" t="s">
        <v>4750</v>
      </c>
      <c r="H64" s="501">
        <v>13.25</v>
      </c>
      <c r="I64" s="597"/>
      <c r="J64" s="478" t="s">
        <v>52</v>
      </c>
      <c r="K64" s="501">
        <v>13</v>
      </c>
      <c r="L64" s="597"/>
      <c r="M64" s="478" t="s">
        <v>120</v>
      </c>
      <c r="N64" s="501">
        <v>28</v>
      </c>
      <c r="O64" s="624"/>
      <c r="S64" s="478" t="s">
        <v>3741</v>
      </c>
      <c r="T64" s="501">
        <v>25.75</v>
      </c>
      <c r="U64" s="597"/>
      <c r="V64" s="123" t="s">
        <v>95</v>
      </c>
      <c r="W64" s="120">
        <v>14.5</v>
      </c>
      <c r="X64" s="597"/>
      <c r="Y64" s="478" t="s">
        <v>5333</v>
      </c>
      <c r="Z64" s="501">
        <v>28.25</v>
      </c>
      <c r="AA64" s="618"/>
      <c r="AC64" s="528"/>
      <c r="AD64" s="528"/>
      <c r="AE64" s="123" t="s">
        <v>42</v>
      </c>
      <c r="AF64" s="120">
        <v>13.5</v>
      </c>
      <c r="AG64" s="597"/>
      <c r="AH64" s="136"/>
      <c r="AI64" s="136"/>
      <c r="AJ64" s="136"/>
      <c r="AK64" s="136"/>
      <c r="AL64" s="136"/>
      <c r="AM64" s="136"/>
      <c r="AN64" s="136"/>
      <c r="AO64" s="136"/>
      <c r="AP64" s="136"/>
      <c r="AQ64" s="136"/>
      <c r="AT64" s="478" t="s">
        <v>5377</v>
      </c>
      <c r="AU64" s="501">
        <v>25.5</v>
      </c>
      <c r="AV64" s="624"/>
      <c r="AW64" s="470"/>
      <c r="AX64" s="470"/>
      <c r="BG64" s="519"/>
      <c r="BH64" s="519"/>
      <c r="BI64" s="519"/>
      <c r="BJ64" s="519"/>
    </row>
    <row r="65" spans="1:62" ht="15.75" thickBot="1" x14ac:dyDescent="0.3">
      <c r="A65" s="478" t="s">
        <v>5570</v>
      </c>
      <c r="B65" s="501">
        <v>28.5</v>
      </c>
      <c r="C65" s="618"/>
      <c r="D65" s="123" t="s">
        <v>147</v>
      </c>
      <c r="E65" s="120">
        <v>12</v>
      </c>
      <c r="F65" s="597"/>
      <c r="G65" s="478" t="s">
        <v>5200</v>
      </c>
      <c r="H65" s="501">
        <v>14.25</v>
      </c>
      <c r="I65" s="597"/>
      <c r="J65" s="486" t="s">
        <v>5331</v>
      </c>
      <c r="K65" s="524">
        <v>13</v>
      </c>
      <c r="L65" s="601"/>
      <c r="M65" s="478" t="s">
        <v>84</v>
      </c>
      <c r="N65" s="501">
        <v>28</v>
      </c>
      <c r="O65" s="624"/>
      <c r="S65" s="478" t="s">
        <v>4402</v>
      </c>
      <c r="T65" s="501">
        <v>25.75</v>
      </c>
      <c r="U65" s="597"/>
      <c r="V65" s="123" t="s">
        <v>74</v>
      </c>
      <c r="W65" s="120">
        <v>14.5</v>
      </c>
      <c r="X65" s="597"/>
      <c r="Y65" s="478" t="s">
        <v>5401</v>
      </c>
      <c r="Z65" s="501">
        <v>28.25</v>
      </c>
      <c r="AA65" s="618"/>
      <c r="AC65" s="528"/>
      <c r="AD65" s="528"/>
      <c r="AE65" s="164" t="s">
        <v>52</v>
      </c>
      <c r="AF65" s="524">
        <v>13</v>
      </c>
      <c r="AG65" s="601"/>
      <c r="AH65" s="136"/>
      <c r="AI65" s="136"/>
      <c r="AJ65" s="136"/>
      <c r="AK65" s="136"/>
      <c r="AL65" s="136"/>
      <c r="AM65" s="136"/>
      <c r="AN65" s="136"/>
      <c r="AO65" s="136"/>
      <c r="AP65" s="136"/>
      <c r="AQ65" s="136"/>
      <c r="AT65" s="486" t="s">
        <v>270</v>
      </c>
      <c r="AU65" s="503">
        <v>15</v>
      </c>
      <c r="AV65" s="625"/>
      <c r="AW65" s="470"/>
      <c r="AX65" s="470"/>
      <c r="BG65" s="519"/>
      <c r="BH65" s="519"/>
      <c r="BI65" s="519"/>
      <c r="BJ65" s="519"/>
    </row>
    <row r="66" spans="1:62" ht="15.75" thickBot="1" x14ac:dyDescent="0.3">
      <c r="A66" s="478" t="s">
        <v>448</v>
      </c>
      <c r="B66" s="501">
        <v>13</v>
      </c>
      <c r="C66" s="618"/>
      <c r="D66" s="164" t="s">
        <v>68</v>
      </c>
      <c r="E66" s="524">
        <v>8.25</v>
      </c>
      <c r="F66" s="601"/>
      <c r="G66" s="478" t="s">
        <v>5619</v>
      </c>
      <c r="H66" s="501">
        <v>29.25</v>
      </c>
      <c r="I66" s="597"/>
      <c r="M66" s="478" t="s">
        <v>120</v>
      </c>
      <c r="N66" s="501">
        <v>28</v>
      </c>
      <c r="O66" s="624"/>
      <c r="S66" s="478" t="s">
        <v>3741</v>
      </c>
      <c r="T66" s="501">
        <v>25.75</v>
      </c>
      <c r="U66" s="597"/>
      <c r="V66" s="123" t="s">
        <v>130</v>
      </c>
      <c r="W66" s="120">
        <v>13.75</v>
      </c>
      <c r="X66" s="597"/>
      <c r="Y66" s="478" t="s">
        <v>5333</v>
      </c>
      <c r="Z66" s="501">
        <v>28.25</v>
      </c>
      <c r="AA66" s="618"/>
      <c r="AB66" s="528"/>
      <c r="AC66" s="528"/>
      <c r="AD66" s="528"/>
      <c r="AH66" s="136"/>
      <c r="AI66" s="136"/>
      <c r="AJ66" s="136"/>
      <c r="AK66" s="136"/>
      <c r="AL66" s="136"/>
      <c r="AM66" s="136"/>
      <c r="AN66" s="136"/>
      <c r="AO66" s="136"/>
      <c r="AP66" s="136"/>
      <c r="AQ66" s="136"/>
      <c r="AW66" s="470"/>
      <c r="AX66" s="470"/>
      <c r="BG66" s="519"/>
      <c r="BH66" s="519"/>
      <c r="BI66" s="519"/>
      <c r="BJ66" s="519"/>
    </row>
    <row r="67" spans="1:62" ht="15.75" thickBot="1" x14ac:dyDescent="0.3">
      <c r="A67" s="486" t="s">
        <v>5262</v>
      </c>
      <c r="B67" s="503">
        <v>12</v>
      </c>
      <c r="C67" s="619"/>
      <c r="G67" s="478" t="s">
        <v>4760</v>
      </c>
      <c r="H67" s="501">
        <v>12.75</v>
      </c>
      <c r="I67" s="597"/>
      <c r="M67" s="486" t="s">
        <v>84</v>
      </c>
      <c r="N67" s="503">
        <v>28</v>
      </c>
      <c r="O67" s="625"/>
      <c r="S67" s="486" t="s">
        <v>15</v>
      </c>
      <c r="T67" s="503">
        <v>12.25</v>
      </c>
      <c r="U67" s="601"/>
      <c r="V67" s="164" t="s">
        <v>100</v>
      </c>
      <c r="W67" s="524">
        <v>6.25</v>
      </c>
      <c r="X67" s="601"/>
      <c r="Y67" s="486" t="s">
        <v>4164</v>
      </c>
      <c r="Z67" s="503">
        <v>26.5</v>
      </c>
      <c r="AA67" s="619"/>
      <c r="AB67" s="528"/>
      <c r="AC67" s="528"/>
      <c r="AD67" s="528"/>
      <c r="AF67" s="528"/>
      <c r="AG67" s="530"/>
      <c r="AH67" s="136"/>
      <c r="AI67" s="136"/>
      <c r="AJ67" s="136"/>
      <c r="AK67" s="136"/>
      <c r="AL67" s="136"/>
      <c r="AM67" s="136"/>
      <c r="AN67" s="136"/>
      <c r="AO67" s="136"/>
      <c r="AP67" s="136"/>
      <c r="AQ67" s="136"/>
      <c r="AW67" s="470"/>
      <c r="AX67" s="470"/>
      <c r="BG67" s="519"/>
      <c r="BH67" s="519"/>
      <c r="BI67" s="519"/>
      <c r="BJ67" s="519"/>
    </row>
    <row r="68" spans="1:62" ht="15.75" thickBot="1" x14ac:dyDescent="0.3">
      <c r="C68" s="87"/>
      <c r="G68" s="486" t="s">
        <v>5262</v>
      </c>
      <c r="H68" s="503">
        <v>12</v>
      </c>
      <c r="I68" s="601"/>
      <c r="V68" s="136"/>
      <c r="W68" s="136"/>
      <c r="X68" s="136"/>
      <c r="Y68" s="136"/>
      <c r="Z68" s="528"/>
      <c r="AA68" s="528"/>
      <c r="AB68" s="528"/>
      <c r="AC68" s="528"/>
      <c r="AD68" s="528"/>
      <c r="AF68" s="528"/>
      <c r="AG68" s="530"/>
      <c r="AH68" s="136"/>
      <c r="AI68" s="136"/>
      <c r="AJ68" s="136"/>
      <c r="AK68" s="136"/>
      <c r="AL68" s="136"/>
      <c r="AM68" s="136"/>
      <c r="AN68" s="136"/>
      <c r="AO68" s="136"/>
      <c r="AP68" s="136"/>
      <c r="AQ68" s="136"/>
      <c r="AW68" s="470"/>
      <c r="AX68" s="470"/>
      <c r="BG68" s="519"/>
      <c r="BH68" s="519"/>
      <c r="BI68" s="519"/>
      <c r="BJ68" s="519"/>
    </row>
    <row r="69" spans="1:62" x14ac:dyDescent="0.25">
      <c r="C69" s="87"/>
      <c r="V69" s="136"/>
      <c r="W69" s="136"/>
      <c r="X69" s="136"/>
      <c r="Y69" s="136"/>
      <c r="Z69" s="528"/>
      <c r="AA69" s="528"/>
      <c r="AB69" s="528"/>
      <c r="AC69" s="528"/>
      <c r="AD69" s="528"/>
      <c r="AF69" s="528"/>
      <c r="AG69" s="530"/>
      <c r="AH69" s="136"/>
      <c r="AI69" s="136"/>
      <c r="AJ69" s="136"/>
      <c r="AK69" s="136"/>
      <c r="AL69" s="136"/>
      <c r="AM69" s="136"/>
      <c r="AN69" s="136"/>
      <c r="AO69" s="136"/>
      <c r="AP69" s="136"/>
      <c r="AQ69" s="136"/>
      <c r="AW69" s="470"/>
      <c r="AX69" s="470"/>
      <c r="BG69" s="519"/>
      <c r="BH69" s="519"/>
      <c r="BI69" s="519"/>
      <c r="BJ69" s="519"/>
    </row>
    <row r="70" spans="1:62" x14ac:dyDescent="0.25">
      <c r="C70" s="87"/>
      <c r="V70" s="136"/>
      <c r="W70" s="136"/>
      <c r="X70" s="136"/>
      <c r="Y70" s="136"/>
      <c r="Z70" s="528"/>
      <c r="AA70" s="528"/>
      <c r="AB70" s="528"/>
      <c r="AC70" s="528"/>
      <c r="AD70" s="528"/>
      <c r="AF70" s="528"/>
      <c r="AG70" s="530"/>
      <c r="AH70" s="136"/>
      <c r="AI70" s="136"/>
      <c r="AJ70" s="136"/>
      <c r="AK70" s="136"/>
      <c r="AL70" s="136"/>
      <c r="AM70" s="136"/>
      <c r="AN70" s="136"/>
      <c r="AO70" s="136"/>
      <c r="AP70" s="136"/>
      <c r="AQ70" s="136"/>
      <c r="AW70" s="470"/>
      <c r="AX70" s="470"/>
      <c r="BG70" s="519"/>
      <c r="BH70" s="519"/>
      <c r="BI70" s="519"/>
      <c r="BJ70" s="519"/>
    </row>
    <row r="71" spans="1:62" x14ac:dyDescent="0.25">
      <c r="C71" s="469"/>
      <c r="V71" s="136"/>
      <c r="W71" s="136"/>
      <c r="X71" s="136"/>
      <c r="Y71" s="136"/>
      <c r="Z71" s="528"/>
      <c r="AA71" s="528"/>
      <c r="AB71" s="528"/>
      <c r="AC71" s="528"/>
      <c r="AD71" s="528"/>
      <c r="AF71" s="528"/>
      <c r="AG71" s="530"/>
      <c r="AH71" s="136"/>
      <c r="AI71" s="136"/>
      <c r="AJ71" s="136"/>
      <c r="AK71" s="136"/>
      <c r="AL71" s="136"/>
      <c r="AM71" s="136"/>
      <c r="AN71" s="136"/>
      <c r="AO71" s="136"/>
      <c r="AP71" s="136"/>
      <c r="AQ71" s="136"/>
      <c r="AW71" s="470"/>
      <c r="AX71" s="470"/>
      <c r="BG71" s="519"/>
      <c r="BH71" s="519"/>
      <c r="BI71" s="519"/>
      <c r="BJ71" s="519"/>
    </row>
    <row r="72" spans="1:62" x14ac:dyDescent="0.25">
      <c r="C72" s="469"/>
      <c r="V72" s="136"/>
      <c r="W72" s="136"/>
      <c r="X72" s="136"/>
      <c r="Y72" s="136"/>
      <c r="Z72" s="528"/>
      <c r="AA72" s="528"/>
      <c r="AB72" s="528"/>
      <c r="AC72" s="528"/>
      <c r="AD72" s="528"/>
      <c r="AF72" s="528"/>
      <c r="AG72" s="530"/>
      <c r="AH72" s="136"/>
      <c r="AI72" s="136"/>
      <c r="AJ72" s="136"/>
      <c r="AK72" s="136"/>
      <c r="AL72" s="136"/>
      <c r="AM72" s="136"/>
      <c r="AN72" s="136"/>
      <c r="AO72" s="136"/>
      <c r="AP72" s="136"/>
      <c r="AQ72" s="136"/>
      <c r="AW72" s="470"/>
      <c r="AX72" s="470"/>
      <c r="BG72" s="519"/>
      <c r="BH72" s="519"/>
      <c r="BI72" s="519"/>
      <c r="BJ72" s="519"/>
    </row>
    <row r="73" spans="1:62" x14ac:dyDescent="0.25">
      <c r="C73" s="87"/>
      <c r="V73" s="136"/>
      <c r="W73" s="136"/>
      <c r="X73" s="136"/>
      <c r="Y73" s="136"/>
      <c r="Z73" s="528"/>
      <c r="AA73" s="528"/>
      <c r="AB73" s="528"/>
      <c r="AC73" s="528"/>
      <c r="AD73" s="528"/>
      <c r="AF73" s="528"/>
      <c r="AG73" s="530"/>
      <c r="AH73" s="136"/>
      <c r="AI73" s="136"/>
      <c r="AJ73" s="136"/>
      <c r="AK73" s="136"/>
      <c r="AL73" s="136"/>
      <c r="AM73" s="136"/>
      <c r="AN73" s="136"/>
      <c r="AO73" s="136"/>
      <c r="AP73" s="136"/>
      <c r="AQ73" s="136"/>
      <c r="AW73" s="470"/>
      <c r="AX73" s="470"/>
      <c r="BG73" s="519"/>
      <c r="BH73" s="519"/>
      <c r="BI73" s="519"/>
      <c r="BJ73" s="519"/>
    </row>
    <row r="74" spans="1:62" x14ac:dyDescent="0.25">
      <c r="C74" s="469"/>
      <c r="V74" s="136"/>
      <c r="W74" s="136"/>
      <c r="X74" s="136"/>
      <c r="Y74" s="136"/>
      <c r="Z74" s="528"/>
      <c r="AA74" s="528"/>
      <c r="AB74" s="528"/>
      <c r="AC74" s="528"/>
      <c r="AD74" s="528"/>
      <c r="AF74" s="528"/>
      <c r="AG74" s="530"/>
      <c r="AH74" s="136"/>
      <c r="AI74" s="136"/>
      <c r="AJ74" s="136"/>
      <c r="AK74" s="136"/>
      <c r="AL74" s="136"/>
      <c r="AM74" s="136"/>
      <c r="AN74" s="136"/>
      <c r="AO74" s="136"/>
      <c r="AP74" s="136"/>
      <c r="AQ74" s="136"/>
      <c r="AW74" s="470"/>
      <c r="AX74" s="470"/>
      <c r="BG74" s="519"/>
      <c r="BH74" s="519"/>
      <c r="BI74" s="519"/>
      <c r="BJ74" s="519"/>
    </row>
    <row r="75" spans="1:62" x14ac:dyDescent="0.25">
      <c r="C75" s="87"/>
      <c r="W75" s="136"/>
      <c r="X75" s="136"/>
      <c r="Y75" s="136"/>
      <c r="Z75" s="528"/>
      <c r="AA75" s="528"/>
      <c r="AB75" s="528"/>
      <c r="AC75" s="528"/>
      <c r="AD75" s="528"/>
      <c r="AF75" s="528"/>
      <c r="AG75" s="530"/>
      <c r="AH75" s="136"/>
      <c r="AI75" s="136"/>
      <c r="AJ75" s="136"/>
      <c r="AK75" s="136"/>
      <c r="AL75" s="136"/>
      <c r="AM75" s="136"/>
      <c r="AN75" s="136"/>
      <c r="AO75" s="136"/>
      <c r="AP75" s="136"/>
      <c r="AQ75" s="136"/>
      <c r="AW75" s="470"/>
      <c r="AX75" s="470"/>
      <c r="BG75" s="519"/>
      <c r="BH75" s="519"/>
      <c r="BI75" s="519"/>
      <c r="BJ75" s="519"/>
    </row>
    <row r="76" spans="1:62" x14ac:dyDescent="0.25">
      <c r="C76" s="87"/>
      <c r="W76" s="136"/>
      <c r="X76" s="136"/>
      <c r="Y76" s="136"/>
      <c r="Z76" s="528"/>
      <c r="AA76" s="528"/>
      <c r="AB76" s="528"/>
      <c r="AC76" s="528"/>
      <c r="AD76" s="528"/>
      <c r="AF76" s="528"/>
      <c r="AG76" s="530"/>
      <c r="AH76" s="136"/>
      <c r="AI76" s="136"/>
      <c r="AJ76" s="136"/>
      <c r="AK76" s="136"/>
      <c r="AL76" s="136"/>
      <c r="AM76" s="136"/>
      <c r="AN76" s="136"/>
      <c r="AO76" s="136"/>
      <c r="AP76" s="136"/>
      <c r="AQ76" s="136"/>
      <c r="AW76" s="470"/>
      <c r="AX76" s="470"/>
      <c r="BG76" s="519"/>
      <c r="BH76" s="519"/>
      <c r="BI76" s="519"/>
      <c r="BJ76" s="519"/>
    </row>
    <row r="77" spans="1:62" x14ac:dyDescent="0.25">
      <c r="C77" s="87"/>
      <c r="W77" s="136"/>
      <c r="X77" s="136"/>
      <c r="Y77" s="136"/>
      <c r="Z77" s="528"/>
      <c r="AA77" s="528"/>
      <c r="AB77" s="528"/>
      <c r="AC77" s="528"/>
      <c r="AD77" s="528"/>
      <c r="AF77" s="528"/>
      <c r="AG77" s="530"/>
      <c r="AH77" s="136"/>
      <c r="AI77" s="136"/>
      <c r="AJ77" s="136"/>
      <c r="AK77" s="136"/>
      <c r="AL77" s="136"/>
      <c r="AM77" s="136"/>
      <c r="AN77" s="136"/>
      <c r="AO77" s="136"/>
      <c r="AP77" s="136"/>
      <c r="AQ77" s="136"/>
      <c r="AU77" s="470"/>
      <c r="AV77" s="470"/>
      <c r="AW77" s="470"/>
      <c r="AX77" s="470"/>
      <c r="BG77" s="519"/>
      <c r="BH77" s="519"/>
      <c r="BI77" s="519"/>
      <c r="BJ77" s="519"/>
    </row>
    <row r="78" spans="1:62" x14ac:dyDescent="0.25">
      <c r="C78" s="469"/>
      <c r="W78" s="136"/>
      <c r="X78" s="136"/>
      <c r="Y78" s="136"/>
      <c r="Z78" s="528"/>
      <c r="AA78" s="528"/>
      <c r="AB78" s="528"/>
      <c r="AC78" s="528"/>
      <c r="AD78" s="528"/>
      <c r="AF78" s="528"/>
      <c r="AG78" s="530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U78" s="470"/>
      <c r="AV78" s="470"/>
      <c r="AW78" s="470"/>
      <c r="AX78" s="470"/>
      <c r="BG78" s="519"/>
      <c r="BH78" s="519"/>
      <c r="BI78" s="519"/>
      <c r="BJ78" s="519"/>
    </row>
    <row r="79" spans="1:62" x14ac:dyDescent="0.25">
      <c r="C79" s="469"/>
      <c r="W79" s="136"/>
      <c r="X79" s="136"/>
      <c r="Y79" s="136"/>
      <c r="Z79" s="528"/>
      <c r="AA79" s="528"/>
      <c r="AB79" s="528"/>
      <c r="AC79" s="528"/>
      <c r="AD79" s="528"/>
      <c r="AF79" s="528"/>
      <c r="AG79" s="530"/>
      <c r="AH79" s="136"/>
      <c r="AI79" s="136"/>
      <c r="AJ79" s="136"/>
      <c r="AK79" s="136"/>
      <c r="AL79" s="136"/>
      <c r="AM79" s="136"/>
      <c r="AN79" s="136"/>
      <c r="AO79" s="136"/>
      <c r="AP79" s="136"/>
      <c r="AQ79" s="136"/>
      <c r="AU79" s="470"/>
      <c r="AV79" s="470"/>
      <c r="AW79" s="470"/>
      <c r="AX79" s="470"/>
      <c r="BG79" s="519"/>
      <c r="BH79" s="519"/>
      <c r="BI79" s="519"/>
      <c r="BJ79" s="519"/>
    </row>
    <row r="80" spans="1:62" x14ac:dyDescent="0.25">
      <c r="C80" s="87"/>
      <c r="W80" s="136"/>
      <c r="X80" s="136"/>
      <c r="Y80" s="136"/>
      <c r="Z80" s="528"/>
      <c r="AA80" s="528"/>
      <c r="AB80" s="528"/>
      <c r="AC80" s="528"/>
      <c r="AD80" s="528"/>
      <c r="AF80" s="528"/>
      <c r="AG80" s="530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U80" s="470"/>
      <c r="AV80" s="470"/>
      <c r="AW80" s="470"/>
      <c r="AX80" s="470"/>
      <c r="BG80" s="519"/>
      <c r="BH80" s="519"/>
      <c r="BI80" s="519"/>
      <c r="BJ80" s="519"/>
    </row>
    <row r="81" spans="3:62" x14ac:dyDescent="0.25">
      <c r="C81" s="469"/>
      <c r="W81" s="136"/>
      <c r="X81" s="136"/>
      <c r="Y81" s="136"/>
      <c r="Z81" s="528"/>
      <c r="AA81" s="528"/>
      <c r="AB81" s="528"/>
      <c r="AC81" s="528"/>
      <c r="AD81" s="528"/>
      <c r="AF81" s="528"/>
      <c r="AG81" s="530"/>
      <c r="AH81" s="136"/>
      <c r="AI81" s="136"/>
      <c r="AJ81" s="136"/>
      <c r="AK81" s="136"/>
      <c r="AL81" s="136"/>
      <c r="AM81" s="136"/>
      <c r="AN81" s="136"/>
      <c r="AO81" s="136"/>
      <c r="AP81" s="136"/>
      <c r="AQ81" s="136"/>
      <c r="AU81" s="470"/>
      <c r="AV81" s="470"/>
      <c r="AW81" s="470"/>
      <c r="AX81" s="470"/>
      <c r="BG81" s="519"/>
      <c r="BH81" s="519"/>
      <c r="BI81" s="519"/>
      <c r="BJ81" s="519"/>
    </row>
    <row r="82" spans="3:62" x14ac:dyDescent="0.25">
      <c r="C82" s="469"/>
      <c r="W82" s="136"/>
      <c r="X82" s="136"/>
      <c r="Y82" s="136"/>
      <c r="Z82" s="528"/>
      <c r="AA82" s="528"/>
      <c r="AB82" s="528"/>
      <c r="AC82" s="528"/>
      <c r="AD82" s="528"/>
      <c r="AF82" s="528"/>
      <c r="AG82" s="530"/>
      <c r="AH82" s="136"/>
      <c r="AI82" s="136"/>
      <c r="AJ82" s="136"/>
      <c r="AK82" s="136"/>
      <c r="AL82" s="136"/>
      <c r="AM82" s="136"/>
      <c r="AN82" s="136"/>
      <c r="AO82" s="136"/>
      <c r="AP82" s="136"/>
      <c r="AQ82" s="136"/>
      <c r="AU82" s="470"/>
      <c r="AV82" s="470"/>
      <c r="AW82" s="470"/>
      <c r="AX82" s="470"/>
      <c r="BG82" s="519"/>
      <c r="BH82" s="519"/>
      <c r="BI82" s="519"/>
      <c r="BJ82" s="519"/>
    </row>
    <row r="83" spans="3:62" x14ac:dyDescent="0.25">
      <c r="C83" s="87"/>
      <c r="W83" s="136"/>
      <c r="X83" s="136"/>
      <c r="Y83" s="136"/>
      <c r="Z83" s="528"/>
      <c r="AA83" s="528"/>
      <c r="AB83" s="528"/>
      <c r="AC83" s="528"/>
      <c r="AD83" s="528"/>
      <c r="AF83" s="528"/>
      <c r="AG83" s="530"/>
      <c r="AH83" s="136"/>
      <c r="AI83" s="136"/>
      <c r="AJ83" s="136"/>
      <c r="AK83" s="136"/>
      <c r="AL83" s="136"/>
      <c r="AM83" s="136"/>
      <c r="AN83" s="136"/>
      <c r="AO83" s="136"/>
      <c r="AP83" s="136"/>
      <c r="AQ83" s="136"/>
      <c r="AU83" s="470"/>
      <c r="AV83" s="470"/>
      <c r="AW83" s="470"/>
      <c r="AX83" s="470"/>
      <c r="BG83" s="519"/>
      <c r="BH83" s="519"/>
      <c r="BI83" s="519"/>
      <c r="BJ83" s="519"/>
    </row>
    <row r="84" spans="3:62" x14ac:dyDescent="0.25">
      <c r="C84" s="87"/>
      <c r="W84" s="136"/>
      <c r="X84" s="136"/>
      <c r="Y84" s="136"/>
      <c r="Z84" s="528"/>
      <c r="AA84" s="528"/>
      <c r="AB84" s="528"/>
      <c r="AC84" s="528"/>
      <c r="AD84" s="528"/>
      <c r="AF84" s="528"/>
      <c r="AG84" s="530"/>
      <c r="AH84" s="136"/>
      <c r="AI84" s="136"/>
      <c r="AJ84" s="136"/>
      <c r="AK84" s="136"/>
      <c r="AL84" s="136"/>
      <c r="AM84" s="136"/>
      <c r="AN84" s="136"/>
      <c r="AO84" s="136"/>
      <c r="AP84" s="136"/>
      <c r="AQ84" s="136"/>
      <c r="AU84" s="470"/>
      <c r="AV84" s="470"/>
      <c r="AW84" s="470"/>
      <c r="AX84" s="470"/>
      <c r="BG84" s="519"/>
      <c r="BH84" s="519"/>
      <c r="BI84" s="519"/>
      <c r="BJ84" s="519"/>
    </row>
    <row r="85" spans="3:62" x14ac:dyDescent="0.25">
      <c r="C85" s="87"/>
      <c r="W85" s="136"/>
      <c r="X85" s="136"/>
      <c r="Y85" s="136"/>
      <c r="Z85" s="528"/>
      <c r="AA85" s="528"/>
      <c r="AB85" s="528"/>
      <c r="AC85" s="528"/>
      <c r="AD85" s="528"/>
      <c r="AF85" s="528"/>
      <c r="AG85" s="530"/>
      <c r="AH85" s="136"/>
      <c r="AI85" s="136"/>
      <c r="AJ85" s="136"/>
      <c r="AK85" s="136"/>
      <c r="AL85" s="136"/>
      <c r="AM85" s="136"/>
      <c r="AN85" s="136"/>
      <c r="AO85" s="136"/>
      <c r="AP85" s="136"/>
      <c r="AQ85" s="136"/>
      <c r="AU85" s="470"/>
      <c r="AV85" s="470"/>
      <c r="AW85" s="470"/>
      <c r="AX85" s="470"/>
      <c r="BG85" s="519"/>
      <c r="BH85" s="519"/>
      <c r="BI85" s="519"/>
      <c r="BJ85" s="519"/>
    </row>
    <row r="86" spans="3:62" x14ac:dyDescent="0.25">
      <c r="C86" s="87"/>
      <c r="W86" s="136"/>
      <c r="X86" s="136"/>
      <c r="Y86" s="136"/>
      <c r="Z86" s="528"/>
      <c r="AA86" s="528"/>
      <c r="AB86" s="528"/>
      <c r="AC86" s="528"/>
      <c r="AD86" s="528"/>
      <c r="AF86" s="528"/>
      <c r="AG86" s="530"/>
      <c r="AH86" s="136"/>
      <c r="AI86" s="136"/>
      <c r="AJ86" s="136"/>
      <c r="AK86" s="136"/>
      <c r="AL86" s="136"/>
      <c r="AM86" s="136"/>
      <c r="AN86" s="136"/>
      <c r="AO86" s="136"/>
      <c r="AP86" s="136"/>
      <c r="AQ86" s="136"/>
      <c r="AU86" s="470"/>
      <c r="AV86" s="470"/>
      <c r="AW86" s="470"/>
      <c r="AX86" s="470"/>
      <c r="BG86" s="519"/>
      <c r="BH86" s="519"/>
      <c r="BI86" s="519"/>
      <c r="BJ86" s="519"/>
    </row>
    <row r="87" spans="3:62" x14ac:dyDescent="0.25">
      <c r="C87" s="87"/>
      <c r="W87" s="136"/>
      <c r="X87" s="136"/>
      <c r="Y87" s="136"/>
      <c r="Z87" s="528"/>
      <c r="AA87" s="528"/>
      <c r="AB87" s="528"/>
      <c r="AC87" s="528"/>
      <c r="AD87" s="528"/>
      <c r="AF87" s="528"/>
      <c r="AG87" s="530"/>
      <c r="AH87" s="136"/>
      <c r="AI87" s="136"/>
      <c r="AJ87" s="136"/>
      <c r="AK87" s="136"/>
      <c r="AL87" s="136"/>
      <c r="AM87" s="136"/>
      <c r="AN87" s="136"/>
      <c r="AO87" s="136"/>
      <c r="AP87" s="136"/>
      <c r="AQ87" s="136"/>
      <c r="AU87" s="470"/>
      <c r="AV87" s="470"/>
      <c r="AW87" s="470"/>
      <c r="AX87" s="470"/>
      <c r="BG87" s="519"/>
      <c r="BH87" s="519"/>
      <c r="BI87" s="519"/>
      <c r="BJ87" s="519"/>
    </row>
    <row r="88" spans="3:62" x14ac:dyDescent="0.25">
      <c r="C88" s="87"/>
      <c r="W88" s="136"/>
      <c r="X88" s="136"/>
      <c r="Y88" s="136"/>
      <c r="Z88" s="528"/>
      <c r="AA88" s="528"/>
      <c r="AB88" s="528"/>
      <c r="AC88" s="528"/>
      <c r="AD88" s="528"/>
      <c r="AF88" s="528"/>
      <c r="AG88" s="530"/>
      <c r="AH88" s="136"/>
      <c r="AI88" s="136"/>
      <c r="AJ88" s="136"/>
      <c r="AK88" s="136"/>
      <c r="AL88" s="136"/>
      <c r="AM88" s="136"/>
      <c r="AN88" s="136"/>
      <c r="AO88" s="136"/>
      <c r="AP88" s="136"/>
      <c r="AQ88" s="136"/>
      <c r="AU88" s="470"/>
      <c r="AV88" s="470"/>
      <c r="AW88" s="470"/>
      <c r="AX88" s="470"/>
      <c r="BG88" s="519"/>
      <c r="BH88" s="519"/>
      <c r="BI88" s="519"/>
      <c r="BJ88" s="519"/>
    </row>
    <row r="89" spans="3:62" x14ac:dyDescent="0.25">
      <c r="C89" s="87"/>
      <c r="W89" s="136"/>
      <c r="X89" s="136"/>
      <c r="Y89" s="136"/>
      <c r="Z89" s="528"/>
      <c r="AA89" s="528"/>
      <c r="AB89" s="528"/>
      <c r="AC89" s="528"/>
      <c r="AD89" s="528"/>
      <c r="AF89" s="528"/>
      <c r="AG89" s="530"/>
      <c r="AH89" s="136"/>
      <c r="AI89" s="136"/>
      <c r="AJ89" s="136"/>
      <c r="AK89" s="136"/>
      <c r="AL89" s="136"/>
      <c r="AM89" s="136"/>
      <c r="AN89" s="136"/>
      <c r="AO89" s="136"/>
      <c r="AP89" s="136"/>
      <c r="AQ89" s="136"/>
      <c r="AU89" s="470"/>
      <c r="AV89" s="470"/>
      <c r="AW89" s="470"/>
      <c r="AX89" s="470"/>
      <c r="BG89" s="519"/>
      <c r="BH89" s="519"/>
      <c r="BI89" s="519"/>
      <c r="BJ89" s="519"/>
    </row>
    <row r="90" spans="3:62" x14ac:dyDescent="0.25">
      <c r="C90" s="87"/>
      <c r="W90" s="136"/>
      <c r="X90" s="136"/>
      <c r="Y90" s="136"/>
      <c r="Z90" s="528"/>
      <c r="AA90" s="528"/>
      <c r="AB90" s="528"/>
      <c r="AC90" s="528"/>
      <c r="AD90" s="528"/>
      <c r="AF90" s="528"/>
      <c r="AG90" s="530"/>
      <c r="AH90" s="136"/>
      <c r="AI90" s="136"/>
      <c r="AJ90" s="136"/>
      <c r="AK90" s="136"/>
      <c r="AL90" s="136"/>
      <c r="AM90" s="136"/>
      <c r="AN90" s="136"/>
      <c r="AO90" s="136"/>
      <c r="AP90" s="136"/>
      <c r="AQ90" s="136"/>
      <c r="AU90" s="470"/>
      <c r="AV90" s="470"/>
      <c r="AW90" s="470"/>
      <c r="AX90" s="470"/>
      <c r="BG90" s="519"/>
      <c r="BH90" s="519"/>
      <c r="BI90" s="519"/>
      <c r="BJ90" s="519"/>
    </row>
    <row r="91" spans="3:62" x14ac:dyDescent="0.25">
      <c r="C91" s="87"/>
      <c r="W91" s="136"/>
      <c r="X91" s="136"/>
      <c r="Y91" s="136"/>
      <c r="Z91" s="528"/>
      <c r="AA91" s="528"/>
      <c r="AB91" s="528"/>
      <c r="AC91" s="528"/>
      <c r="AD91" s="528"/>
      <c r="AF91" s="528"/>
      <c r="AG91" s="530"/>
      <c r="AH91" s="136"/>
      <c r="AI91" s="136"/>
      <c r="AJ91" s="136"/>
      <c r="AK91" s="136"/>
      <c r="AL91" s="136"/>
      <c r="AM91" s="136"/>
      <c r="AN91" s="136"/>
      <c r="AO91" s="136"/>
      <c r="AP91" s="136"/>
      <c r="AQ91" s="136"/>
      <c r="AU91" s="470"/>
      <c r="AV91" s="470"/>
      <c r="AW91" s="470"/>
      <c r="AX91" s="470"/>
      <c r="BG91" s="519"/>
      <c r="BH91" s="519"/>
      <c r="BI91" s="519"/>
      <c r="BJ91" s="519"/>
    </row>
    <row r="92" spans="3:62" x14ac:dyDescent="0.25">
      <c r="C92" s="469"/>
      <c r="W92" s="136"/>
      <c r="X92" s="136"/>
      <c r="Y92" s="136"/>
      <c r="Z92" s="528"/>
      <c r="AA92" s="528"/>
      <c r="AB92" s="528"/>
      <c r="AC92" s="528"/>
      <c r="AD92" s="528"/>
      <c r="AF92" s="528"/>
      <c r="AG92" s="530"/>
      <c r="AH92" s="136"/>
      <c r="AI92" s="136"/>
      <c r="AJ92" s="136"/>
      <c r="AK92" s="136"/>
      <c r="AL92" s="136"/>
      <c r="AM92" s="136"/>
      <c r="AN92" s="136"/>
      <c r="AO92" s="136"/>
      <c r="AP92" s="136"/>
      <c r="AQ92" s="136"/>
      <c r="AU92" s="470"/>
      <c r="AV92" s="470"/>
      <c r="AW92" s="470"/>
      <c r="AX92" s="470"/>
      <c r="BG92" s="519"/>
      <c r="BH92" s="519"/>
      <c r="BI92" s="519"/>
      <c r="BJ92" s="519"/>
    </row>
    <row r="93" spans="3:62" x14ac:dyDescent="0.25">
      <c r="C93" s="469"/>
      <c r="W93" s="136"/>
      <c r="X93" s="136"/>
      <c r="Y93" s="136"/>
      <c r="Z93" s="528"/>
      <c r="AA93" s="528"/>
      <c r="AB93" s="528"/>
      <c r="AC93" s="528"/>
      <c r="AD93" s="528"/>
      <c r="AF93" s="528"/>
      <c r="AG93" s="530"/>
      <c r="AH93" s="136"/>
      <c r="AI93" s="136"/>
      <c r="AJ93" s="136"/>
      <c r="AK93" s="136"/>
      <c r="AL93" s="136"/>
      <c r="AM93" s="136"/>
      <c r="AN93" s="136"/>
      <c r="AO93" s="136"/>
      <c r="AP93" s="136"/>
      <c r="AQ93" s="136"/>
      <c r="AU93" s="470"/>
      <c r="AV93" s="470"/>
      <c r="AW93" s="470"/>
      <c r="AX93" s="470"/>
      <c r="BG93" s="519"/>
      <c r="BH93" s="519"/>
      <c r="BI93" s="519"/>
      <c r="BJ93" s="519"/>
    </row>
    <row r="94" spans="3:62" x14ac:dyDescent="0.25">
      <c r="C94" s="87"/>
      <c r="W94" s="136"/>
      <c r="X94" s="136"/>
      <c r="Y94" s="136"/>
      <c r="Z94" s="528"/>
      <c r="AA94" s="528"/>
      <c r="AB94" s="528"/>
      <c r="AC94" s="528"/>
      <c r="AD94" s="528"/>
      <c r="AF94" s="528"/>
      <c r="AG94" s="530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U94" s="470"/>
      <c r="AV94" s="470"/>
      <c r="AW94" s="470"/>
      <c r="AX94" s="470"/>
      <c r="BG94" s="519"/>
      <c r="BH94" s="519"/>
      <c r="BI94" s="519"/>
      <c r="BJ94" s="519"/>
    </row>
    <row r="95" spans="3:62" x14ac:dyDescent="0.25">
      <c r="C95" s="87"/>
      <c r="W95" s="136"/>
      <c r="X95" s="136"/>
      <c r="Y95" s="136"/>
      <c r="Z95" s="528"/>
      <c r="AA95" s="528"/>
      <c r="AB95" s="528"/>
      <c r="AC95" s="528"/>
      <c r="AD95" s="528"/>
      <c r="AF95" s="528"/>
      <c r="AG95" s="530"/>
      <c r="AH95" s="136"/>
      <c r="AI95" s="136"/>
      <c r="AJ95" s="136"/>
      <c r="AK95" s="136"/>
      <c r="AL95" s="136"/>
      <c r="AM95" s="136"/>
      <c r="AN95" s="136"/>
      <c r="AO95" s="136"/>
      <c r="AP95" s="136"/>
      <c r="AQ95" s="136"/>
      <c r="AU95" s="470"/>
      <c r="AV95" s="470"/>
      <c r="AW95" s="470"/>
      <c r="AX95" s="470"/>
      <c r="BG95" s="519"/>
      <c r="BH95" s="519"/>
      <c r="BI95" s="519"/>
      <c r="BJ95" s="519"/>
    </row>
    <row r="96" spans="3:62" x14ac:dyDescent="0.25">
      <c r="C96" s="87"/>
      <c r="W96" s="136"/>
      <c r="X96" s="136"/>
      <c r="Y96" s="136"/>
      <c r="Z96" s="528"/>
      <c r="AA96" s="528"/>
      <c r="AB96" s="528"/>
      <c r="AC96" s="528"/>
      <c r="AD96" s="528"/>
      <c r="AF96" s="528"/>
      <c r="AG96" s="530"/>
      <c r="AH96" s="136"/>
      <c r="AI96" s="136"/>
      <c r="AJ96" s="136"/>
      <c r="AK96" s="136"/>
      <c r="AL96" s="136"/>
      <c r="AM96" s="136"/>
      <c r="AN96" s="136"/>
      <c r="AO96" s="136"/>
      <c r="AP96" s="136"/>
      <c r="AQ96" s="136"/>
      <c r="AU96" s="470"/>
      <c r="AV96" s="470"/>
      <c r="AW96" s="470"/>
      <c r="AX96" s="470"/>
      <c r="BG96" s="519"/>
      <c r="BH96" s="519"/>
      <c r="BI96" s="519"/>
      <c r="BJ96" s="519"/>
    </row>
    <row r="97" spans="3:62" x14ac:dyDescent="0.25">
      <c r="C97" s="469"/>
      <c r="W97" s="136"/>
      <c r="X97" s="136"/>
      <c r="Y97" s="136"/>
      <c r="Z97" s="528"/>
      <c r="AA97" s="528"/>
      <c r="AB97" s="528"/>
      <c r="AC97" s="528"/>
      <c r="AD97" s="528"/>
      <c r="AF97" s="528"/>
      <c r="AG97" s="530"/>
      <c r="AH97" s="136"/>
      <c r="AI97" s="136"/>
      <c r="AJ97" s="136"/>
      <c r="AK97" s="136"/>
      <c r="AL97" s="136"/>
      <c r="AM97" s="136"/>
      <c r="AN97" s="136"/>
      <c r="AO97" s="136"/>
      <c r="AP97" s="136"/>
      <c r="AQ97" s="136"/>
      <c r="AU97" s="470"/>
      <c r="AV97" s="470"/>
      <c r="AW97" s="470"/>
      <c r="AX97" s="470"/>
      <c r="BG97" s="519"/>
      <c r="BH97" s="519"/>
      <c r="BI97" s="519"/>
      <c r="BJ97" s="519"/>
    </row>
    <row r="98" spans="3:62" x14ac:dyDescent="0.25">
      <c r="C98" s="469"/>
      <c r="W98" s="136"/>
      <c r="X98" s="136"/>
      <c r="Y98" s="136"/>
      <c r="Z98" s="528"/>
      <c r="AA98" s="528"/>
      <c r="AB98" s="528"/>
      <c r="AC98" s="528"/>
      <c r="AD98" s="528"/>
      <c r="AF98" s="528"/>
      <c r="AG98" s="530"/>
      <c r="AH98" s="136"/>
      <c r="AI98" s="136"/>
      <c r="AJ98" s="136"/>
      <c r="AK98" s="136"/>
      <c r="AL98" s="136"/>
      <c r="AM98" s="136"/>
      <c r="AN98" s="136"/>
      <c r="AO98" s="136"/>
      <c r="AP98" s="136"/>
      <c r="AQ98" s="136"/>
      <c r="AU98" s="470"/>
      <c r="AV98" s="470"/>
      <c r="AW98" s="470"/>
      <c r="AX98" s="470"/>
      <c r="BG98" s="519"/>
      <c r="BH98" s="519"/>
      <c r="BI98" s="519"/>
      <c r="BJ98" s="519"/>
    </row>
    <row r="99" spans="3:62" x14ac:dyDescent="0.25">
      <c r="C99" s="87"/>
      <c r="W99" s="136"/>
      <c r="X99" s="136"/>
      <c r="Y99" s="136"/>
      <c r="Z99" s="528"/>
      <c r="AA99" s="528"/>
      <c r="AB99" s="528"/>
      <c r="AC99" s="528"/>
      <c r="AD99" s="528"/>
      <c r="AF99" s="528"/>
      <c r="AG99" s="530"/>
      <c r="AH99" s="136"/>
      <c r="AI99" s="136"/>
      <c r="AJ99" s="136"/>
      <c r="AK99" s="136"/>
      <c r="AL99" s="136"/>
      <c r="AM99" s="136"/>
      <c r="AN99" s="136"/>
      <c r="AO99" s="136"/>
      <c r="AP99" s="136"/>
      <c r="AQ99" s="136"/>
      <c r="AU99" s="470"/>
      <c r="AV99" s="470"/>
      <c r="AW99" s="470"/>
      <c r="AX99" s="470"/>
      <c r="BG99" s="519"/>
      <c r="BH99" s="519"/>
      <c r="BI99" s="519"/>
      <c r="BJ99" s="519"/>
    </row>
    <row r="100" spans="3:62" x14ac:dyDescent="0.25">
      <c r="C100" s="87"/>
      <c r="W100" s="136"/>
      <c r="X100" s="136"/>
      <c r="Y100" s="136"/>
      <c r="Z100" s="528"/>
      <c r="AA100" s="528"/>
      <c r="AB100" s="528"/>
      <c r="AC100" s="528"/>
      <c r="AD100" s="528"/>
      <c r="AF100" s="528"/>
      <c r="AG100" s="530"/>
      <c r="AH100" s="136"/>
      <c r="AI100" s="136"/>
      <c r="AJ100" s="136"/>
      <c r="AK100" s="136"/>
      <c r="AL100" s="136"/>
      <c r="AM100" s="136"/>
      <c r="AN100" s="136"/>
      <c r="AO100" s="136"/>
      <c r="AP100" s="136"/>
      <c r="AQ100" s="136"/>
      <c r="AU100" s="470"/>
      <c r="AV100" s="470"/>
      <c r="AW100" s="470"/>
      <c r="AX100" s="470"/>
      <c r="BG100" s="519"/>
      <c r="BH100" s="519"/>
      <c r="BI100" s="519"/>
      <c r="BJ100" s="519"/>
    </row>
    <row r="101" spans="3:62" x14ac:dyDescent="0.25">
      <c r="C101" s="87"/>
      <c r="W101" s="136"/>
      <c r="X101" s="136"/>
      <c r="Y101" s="136"/>
      <c r="Z101" s="528"/>
      <c r="AA101" s="528"/>
      <c r="AB101" s="528"/>
      <c r="AC101" s="528"/>
      <c r="AD101" s="528"/>
      <c r="AF101" s="528"/>
      <c r="AG101" s="530"/>
      <c r="AH101" s="136"/>
      <c r="AI101" s="136"/>
      <c r="AJ101" s="136"/>
      <c r="AK101" s="136"/>
      <c r="AL101" s="136"/>
      <c r="AM101" s="136"/>
      <c r="AN101" s="136"/>
      <c r="AO101" s="136"/>
      <c r="AP101" s="136"/>
      <c r="AQ101" s="136"/>
      <c r="AU101" s="470"/>
      <c r="AV101" s="470"/>
      <c r="AW101" s="470"/>
      <c r="AX101" s="470"/>
      <c r="BG101" s="519"/>
      <c r="BH101" s="519"/>
      <c r="BI101" s="519"/>
      <c r="BJ101" s="519"/>
    </row>
    <row r="102" spans="3:62" x14ac:dyDescent="0.25">
      <c r="C102" s="87"/>
      <c r="W102" s="136"/>
      <c r="X102" s="136"/>
      <c r="Y102" s="136"/>
      <c r="Z102" s="528"/>
      <c r="AA102" s="528"/>
      <c r="AB102" s="528"/>
      <c r="AC102" s="528"/>
      <c r="AD102" s="528"/>
      <c r="AF102" s="528"/>
      <c r="AG102" s="530"/>
      <c r="AH102" s="136"/>
      <c r="AI102" s="136"/>
      <c r="AJ102" s="136"/>
      <c r="AK102" s="136"/>
      <c r="AL102" s="136"/>
      <c r="AM102" s="136"/>
      <c r="AN102" s="136"/>
      <c r="AO102" s="136"/>
      <c r="AP102" s="136"/>
      <c r="AQ102" s="136"/>
      <c r="AU102" s="470"/>
      <c r="AV102" s="470"/>
      <c r="AW102" s="470"/>
      <c r="AX102" s="470"/>
      <c r="BG102" s="519"/>
      <c r="BH102" s="519"/>
      <c r="BI102" s="519"/>
      <c r="BJ102" s="519"/>
    </row>
    <row r="103" spans="3:62" x14ac:dyDescent="0.25">
      <c r="C103" s="87"/>
      <c r="W103" s="136"/>
      <c r="X103" s="136"/>
      <c r="Y103" s="136"/>
      <c r="Z103" s="528"/>
      <c r="AA103" s="528"/>
      <c r="AB103" s="528"/>
      <c r="AC103" s="528"/>
      <c r="AD103" s="528"/>
      <c r="AF103" s="528"/>
      <c r="AG103" s="530"/>
      <c r="AH103" s="136"/>
      <c r="AI103" s="136"/>
      <c r="AJ103" s="136"/>
      <c r="AK103" s="136"/>
      <c r="AL103" s="136"/>
      <c r="AM103" s="136"/>
      <c r="AN103" s="136"/>
      <c r="AO103" s="136"/>
      <c r="AP103" s="136"/>
      <c r="AQ103" s="136"/>
      <c r="AU103" s="470"/>
      <c r="AV103" s="470"/>
      <c r="AW103" s="470"/>
      <c r="AX103" s="470"/>
      <c r="BG103" s="519"/>
      <c r="BH103" s="519"/>
      <c r="BI103" s="519"/>
      <c r="BJ103" s="519"/>
    </row>
    <row r="104" spans="3:62" x14ac:dyDescent="0.25">
      <c r="C104" s="87"/>
      <c r="W104" s="136"/>
      <c r="X104" s="136"/>
      <c r="Y104" s="136"/>
      <c r="Z104" s="528"/>
      <c r="AA104" s="528"/>
      <c r="AB104" s="528"/>
      <c r="AC104" s="528"/>
      <c r="AD104" s="528"/>
      <c r="AF104" s="528"/>
      <c r="AG104" s="530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U104" s="470"/>
      <c r="AV104" s="470"/>
      <c r="AW104" s="470"/>
      <c r="AX104" s="470"/>
      <c r="BG104" s="519"/>
      <c r="BH104" s="519"/>
      <c r="BI104" s="519"/>
      <c r="BJ104" s="519"/>
    </row>
    <row r="105" spans="3:62" x14ac:dyDescent="0.25">
      <c r="C105" s="87"/>
      <c r="W105" s="136"/>
      <c r="X105" s="136"/>
      <c r="Y105" s="136"/>
      <c r="Z105" s="528"/>
      <c r="AA105" s="528"/>
      <c r="AB105" s="528"/>
      <c r="AC105" s="528"/>
      <c r="AD105" s="528"/>
      <c r="AF105" s="528"/>
      <c r="AG105" s="530"/>
      <c r="AH105" s="136"/>
      <c r="AI105" s="136"/>
      <c r="AJ105" s="136"/>
      <c r="AK105" s="136"/>
      <c r="AL105" s="136"/>
      <c r="AM105" s="136"/>
      <c r="AN105" s="136"/>
      <c r="AO105" s="136"/>
      <c r="AP105" s="136"/>
      <c r="AQ105" s="136"/>
      <c r="AU105" s="470"/>
      <c r="AV105" s="470"/>
      <c r="AW105" s="470"/>
      <c r="AX105" s="470"/>
      <c r="BG105" s="519"/>
      <c r="BH105" s="519"/>
      <c r="BI105" s="519"/>
      <c r="BJ105" s="519"/>
    </row>
    <row r="106" spans="3:62" x14ac:dyDescent="0.25">
      <c r="C106" s="469"/>
      <c r="W106" s="136"/>
      <c r="X106" s="136"/>
      <c r="Y106" s="136"/>
      <c r="Z106" s="528"/>
      <c r="AA106" s="528"/>
      <c r="AB106" s="528"/>
      <c r="AC106" s="528"/>
      <c r="AD106" s="528"/>
      <c r="AF106" s="528"/>
      <c r="AG106" s="530"/>
      <c r="AH106" s="136"/>
      <c r="AI106" s="136"/>
      <c r="AJ106" s="136"/>
      <c r="AK106" s="136"/>
      <c r="AL106" s="136"/>
      <c r="AM106" s="136"/>
      <c r="AN106" s="136"/>
      <c r="AO106" s="136"/>
      <c r="AP106" s="136"/>
      <c r="AQ106" s="136"/>
      <c r="AU106" s="470"/>
      <c r="AV106" s="470"/>
      <c r="AW106" s="470"/>
      <c r="AX106" s="470"/>
      <c r="BG106" s="519"/>
      <c r="BH106" s="519"/>
      <c r="BI106" s="519"/>
      <c r="BJ106" s="519"/>
    </row>
    <row r="107" spans="3:62" x14ac:dyDescent="0.25">
      <c r="C107" s="87"/>
      <c r="W107" s="136"/>
      <c r="X107" s="136"/>
      <c r="Y107" s="136"/>
      <c r="Z107" s="528"/>
      <c r="AA107" s="528"/>
      <c r="AB107" s="528"/>
      <c r="AC107" s="528"/>
      <c r="AD107" s="528"/>
      <c r="AF107" s="528"/>
      <c r="AG107" s="530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36"/>
      <c r="AU107" s="470"/>
      <c r="AV107" s="470"/>
      <c r="AW107" s="470"/>
      <c r="AX107" s="470"/>
      <c r="BG107" s="519"/>
      <c r="BH107" s="519"/>
      <c r="BI107" s="519"/>
      <c r="BJ107" s="519"/>
    </row>
    <row r="108" spans="3:62" x14ac:dyDescent="0.25">
      <c r="C108" s="469"/>
      <c r="W108" s="136"/>
      <c r="X108" s="136"/>
      <c r="Y108" s="136"/>
      <c r="Z108" s="528"/>
      <c r="AA108" s="528"/>
      <c r="AB108" s="528"/>
      <c r="AC108" s="528"/>
      <c r="AD108" s="528"/>
      <c r="AF108" s="528"/>
      <c r="AG108" s="530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136"/>
      <c r="AU108" s="470"/>
      <c r="AV108" s="470"/>
      <c r="AW108" s="470"/>
      <c r="AX108" s="470"/>
      <c r="BG108" s="519"/>
      <c r="BH108" s="519"/>
      <c r="BI108" s="519"/>
      <c r="BJ108" s="519"/>
    </row>
    <row r="109" spans="3:62" x14ac:dyDescent="0.25">
      <c r="C109" s="469"/>
      <c r="W109" s="136"/>
      <c r="X109" s="136"/>
      <c r="Y109" s="136"/>
      <c r="Z109" s="528"/>
      <c r="AA109" s="528"/>
      <c r="AB109" s="528"/>
      <c r="AC109" s="528"/>
      <c r="AD109" s="528"/>
      <c r="AF109" s="528"/>
      <c r="AG109" s="530"/>
      <c r="AH109" s="136"/>
      <c r="AI109" s="136"/>
      <c r="AJ109" s="136"/>
      <c r="AK109" s="136"/>
      <c r="AL109" s="136"/>
      <c r="AM109" s="136"/>
      <c r="AN109" s="136"/>
      <c r="AO109" s="136"/>
      <c r="AP109" s="136"/>
      <c r="AQ109" s="136"/>
      <c r="AU109" s="470"/>
      <c r="AV109" s="470"/>
      <c r="AW109" s="470"/>
      <c r="AX109" s="470"/>
      <c r="BG109" s="519"/>
      <c r="BH109" s="519"/>
      <c r="BI109" s="519"/>
      <c r="BJ109" s="519"/>
    </row>
    <row r="110" spans="3:62" x14ac:dyDescent="0.25">
      <c r="C110" s="469"/>
      <c r="W110" s="136"/>
      <c r="X110" s="136"/>
      <c r="Y110" s="136"/>
      <c r="Z110" s="528"/>
      <c r="AA110" s="528"/>
      <c r="AB110" s="528"/>
      <c r="AC110" s="528"/>
      <c r="AD110" s="528"/>
      <c r="AF110" s="528"/>
      <c r="AG110" s="530"/>
      <c r="AH110" s="136"/>
      <c r="AI110" s="136"/>
      <c r="AJ110" s="136"/>
      <c r="AK110" s="136"/>
      <c r="AL110" s="136"/>
      <c r="AM110" s="136"/>
      <c r="AN110" s="136"/>
      <c r="AO110" s="136"/>
      <c r="AP110" s="136"/>
      <c r="AQ110" s="136"/>
      <c r="AU110" s="470"/>
      <c r="AV110" s="470"/>
      <c r="AW110" s="470"/>
      <c r="AX110" s="470"/>
      <c r="BG110" s="519"/>
      <c r="BH110" s="519"/>
      <c r="BI110" s="519"/>
      <c r="BJ110" s="519"/>
    </row>
    <row r="111" spans="3:62" x14ac:dyDescent="0.25">
      <c r="C111" s="469"/>
      <c r="W111" s="136"/>
      <c r="X111" s="136"/>
      <c r="Y111" s="136"/>
      <c r="Z111" s="528"/>
      <c r="AA111" s="528"/>
      <c r="AB111" s="528"/>
      <c r="AC111" s="528"/>
      <c r="AD111" s="528"/>
      <c r="AF111" s="528"/>
      <c r="AG111" s="530"/>
      <c r="AH111" s="136"/>
      <c r="AI111" s="136"/>
      <c r="AJ111" s="136"/>
      <c r="AK111" s="136"/>
      <c r="AL111" s="136"/>
      <c r="AM111" s="136"/>
      <c r="AN111" s="136"/>
      <c r="AO111" s="136"/>
      <c r="AP111" s="136"/>
      <c r="AQ111" s="136"/>
      <c r="AU111" s="470"/>
      <c r="AV111" s="470"/>
      <c r="AW111" s="470"/>
      <c r="AX111" s="470"/>
      <c r="BG111" s="519"/>
      <c r="BH111" s="519"/>
      <c r="BI111" s="519"/>
      <c r="BJ111" s="519"/>
    </row>
    <row r="112" spans="3:62" x14ac:dyDescent="0.25">
      <c r="C112" s="469"/>
      <c r="W112" s="136"/>
      <c r="X112" s="136"/>
      <c r="Y112" s="136"/>
      <c r="Z112" s="528"/>
      <c r="AA112" s="528"/>
      <c r="AB112" s="528"/>
      <c r="AC112" s="528"/>
      <c r="AD112" s="528"/>
      <c r="AF112" s="528"/>
      <c r="AG112" s="530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U112" s="470"/>
      <c r="AV112" s="470"/>
      <c r="AW112" s="470"/>
      <c r="AX112" s="470"/>
      <c r="BG112" s="519"/>
      <c r="BH112" s="519"/>
      <c r="BI112" s="519"/>
      <c r="BJ112" s="519"/>
    </row>
    <row r="113" spans="3:62" x14ac:dyDescent="0.25">
      <c r="C113" s="469"/>
      <c r="W113" s="136"/>
      <c r="X113" s="136"/>
      <c r="Y113" s="136"/>
      <c r="Z113" s="528"/>
      <c r="AA113" s="528"/>
      <c r="AB113" s="528"/>
      <c r="AC113" s="528"/>
      <c r="AD113" s="528"/>
      <c r="AF113" s="528"/>
      <c r="AG113" s="530"/>
      <c r="AH113" s="136"/>
      <c r="AI113" s="136"/>
      <c r="AJ113" s="136"/>
      <c r="AK113" s="136"/>
      <c r="AL113" s="136"/>
      <c r="AM113" s="136"/>
      <c r="AN113" s="136"/>
      <c r="AO113" s="136"/>
      <c r="AP113" s="136"/>
      <c r="AQ113" s="136"/>
      <c r="AU113" s="470"/>
      <c r="AV113" s="470"/>
      <c r="AW113" s="470"/>
      <c r="AX113" s="470"/>
      <c r="BG113" s="519"/>
      <c r="BH113" s="519"/>
      <c r="BI113" s="519"/>
      <c r="BJ113" s="519"/>
    </row>
    <row r="114" spans="3:62" x14ac:dyDescent="0.25">
      <c r="C114" s="87"/>
      <c r="W114" s="136"/>
      <c r="X114" s="136"/>
      <c r="Y114" s="136"/>
      <c r="Z114" s="528"/>
      <c r="AA114" s="528"/>
      <c r="AB114" s="528"/>
      <c r="AC114" s="528"/>
      <c r="AD114" s="528"/>
      <c r="AF114" s="528"/>
      <c r="AG114" s="530"/>
      <c r="AH114" s="136"/>
      <c r="AI114" s="136"/>
      <c r="AJ114" s="136"/>
      <c r="AK114" s="136"/>
      <c r="AL114" s="136"/>
      <c r="AM114" s="136"/>
      <c r="AN114" s="136"/>
      <c r="AO114" s="136"/>
      <c r="AP114" s="136"/>
      <c r="AQ114" s="136"/>
      <c r="AU114" s="470"/>
      <c r="AV114" s="470"/>
      <c r="AW114" s="470"/>
      <c r="AX114" s="470"/>
      <c r="BG114" s="519"/>
      <c r="BH114" s="519"/>
      <c r="BI114" s="519"/>
      <c r="BJ114" s="519"/>
    </row>
    <row r="115" spans="3:62" x14ac:dyDescent="0.25">
      <c r="C115" s="469"/>
      <c r="W115" s="136"/>
      <c r="X115" s="136"/>
      <c r="Y115" s="136"/>
      <c r="Z115" s="528"/>
      <c r="AA115" s="528"/>
      <c r="AB115" s="528"/>
      <c r="AC115" s="528"/>
      <c r="AD115" s="528"/>
      <c r="AF115" s="528"/>
      <c r="AG115" s="530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U115" s="470"/>
      <c r="AV115" s="470"/>
      <c r="AW115" s="470"/>
      <c r="AX115" s="470"/>
      <c r="BG115" s="519"/>
      <c r="BH115" s="519"/>
      <c r="BI115" s="519"/>
      <c r="BJ115" s="519"/>
    </row>
    <row r="116" spans="3:62" x14ac:dyDescent="0.25">
      <c r="C116" s="87"/>
      <c r="W116" s="136"/>
      <c r="X116" s="136"/>
      <c r="Y116" s="136"/>
      <c r="Z116" s="528"/>
      <c r="AA116" s="528"/>
      <c r="AB116" s="528"/>
      <c r="AC116" s="528"/>
      <c r="AD116" s="528"/>
      <c r="AF116" s="528"/>
      <c r="AG116" s="530"/>
      <c r="AH116" s="136"/>
      <c r="AI116" s="136"/>
      <c r="AJ116" s="136"/>
      <c r="AK116" s="136"/>
      <c r="AL116" s="136"/>
      <c r="AM116" s="136"/>
      <c r="AN116" s="136"/>
      <c r="AO116" s="136"/>
      <c r="AP116" s="136"/>
      <c r="AQ116" s="136"/>
      <c r="AU116" s="470"/>
      <c r="AV116" s="470"/>
      <c r="AW116" s="470"/>
      <c r="AX116" s="470"/>
      <c r="BG116" s="519"/>
      <c r="BH116" s="519"/>
      <c r="BI116" s="519"/>
      <c r="BJ116" s="519"/>
    </row>
    <row r="117" spans="3:62" x14ac:dyDescent="0.25">
      <c r="C117" s="87"/>
      <c r="W117" s="136"/>
      <c r="X117" s="136"/>
      <c r="Y117" s="136"/>
      <c r="Z117" s="528"/>
      <c r="AA117" s="528"/>
      <c r="AB117" s="528"/>
      <c r="AC117" s="528"/>
      <c r="AD117" s="528"/>
      <c r="AF117" s="528"/>
      <c r="AG117" s="530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U117" s="470"/>
      <c r="AV117" s="470"/>
      <c r="AW117" s="470"/>
      <c r="AX117" s="470"/>
      <c r="BG117" s="519"/>
      <c r="BH117" s="519"/>
      <c r="BI117" s="519"/>
      <c r="BJ117" s="519"/>
    </row>
    <row r="118" spans="3:62" x14ac:dyDescent="0.25">
      <c r="C118" s="469"/>
      <c r="W118" s="136"/>
      <c r="X118" s="136"/>
      <c r="Y118" s="136"/>
      <c r="Z118" s="528"/>
      <c r="AA118" s="528"/>
      <c r="AB118" s="528"/>
      <c r="AC118" s="528"/>
      <c r="AD118" s="528"/>
      <c r="AF118" s="528"/>
      <c r="AG118" s="530"/>
      <c r="AH118" s="136"/>
      <c r="AI118" s="136"/>
      <c r="AJ118" s="136"/>
      <c r="AK118" s="136"/>
      <c r="AL118" s="136"/>
      <c r="AM118" s="136"/>
      <c r="AN118" s="136"/>
      <c r="AO118" s="136"/>
      <c r="AP118" s="136"/>
      <c r="AQ118" s="136"/>
      <c r="AU118" s="470"/>
      <c r="AV118" s="470"/>
      <c r="AW118" s="470"/>
      <c r="AX118" s="470"/>
      <c r="BG118" s="519"/>
      <c r="BH118" s="519"/>
      <c r="BI118" s="519"/>
      <c r="BJ118" s="519"/>
    </row>
    <row r="119" spans="3:62" x14ac:dyDescent="0.25">
      <c r="C119" s="469"/>
      <c r="W119" s="136"/>
      <c r="X119" s="136"/>
      <c r="Y119" s="136"/>
      <c r="Z119" s="528"/>
      <c r="AA119" s="528"/>
      <c r="AB119" s="528"/>
      <c r="AC119" s="528"/>
      <c r="AD119" s="528"/>
      <c r="AF119" s="528"/>
      <c r="AG119" s="530"/>
      <c r="AH119" s="136"/>
      <c r="AI119" s="136"/>
      <c r="AJ119" s="136"/>
      <c r="AK119" s="136"/>
      <c r="AL119" s="136"/>
      <c r="AM119" s="136"/>
      <c r="AN119" s="136"/>
      <c r="AO119" s="136"/>
      <c r="AP119" s="136"/>
      <c r="AQ119" s="136"/>
      <c r="AU119" s="470"/>
      <c r="AV119" s="470"/>
      <c r="AW119" s="470"/>
      <c r="AX119" s="470"/>
      <c r="BG119" s="519"/>
      <c r="BH119" s="519"/>
      <c r="BI119" s="519"/>
      <c r="BJ119" s="519"/>
    </row>
    <row r="120" spans="3:62" x14ac:dyDescent="0.25">
      <c r="C120" s="469"/>
      <c r="W120" s="136"/>
      <c r="X120" s="136"/>
      <c r="Y120" s="136"/>
      <c r="Z120" s="528"/>
      <c r="AA120" s="528"/>
      <c r="AB120" s="528"/>
      <c r="AC120" s="528"/>
      <c r="AD120" s="528"/>
      <c r="AF120" s="528"/>
      <c r="AG120" s="530"/>
      <c r="AH120" s="136"/>
      <c r="AI120" s="136"/>
      <c r="AJ120" s="136"/>
      <c r="AK120" s="136"/>
      <c r="AL120" s="136"/>
      <c r="AM120" s="136"/>
      <c r="AN120" s="136"/>
      <c r="AO120" s="136"/>
      <c r="AP120" s="136"/>
      <c r="AQ120" s="136"/>
      <c r="AU120" s="470"/>
      <c r="AV120" s="470"/>
      <c r="AW120" s="470"/>
      <c r="AX120" s="470"/>
      <c r="BG120" s="519"/>
      <c r="BH120" s="519"/>
      <c r="BI120" s="519"/>
      <c r="BJ120" s="519"/>
    </row>
    <row r="121" spans="3:62" x14ac:dyDescent="0.25">
      <c r="C121" s="469"/>
      <c r="W121" s="136"/>
      <c r="X121" s="136"/>
      <c r="Y121" s="136"/>
      <c r="Z121" s="528"/>
      <c r="AA121" s="528"/>
      <c r="AB121" s="528"/>
      <c r="AC121" s="528"/>
      <c r="AD121" s="528"/>
      <c r="AF121" s="528"/>
      <c r="AG121" s="530"/>
      <c r="AH121" s="136"/>
      <c r="AI121" s="136"/>
      <c r="AJ121" s="136"/>
      <c r="AK121" s="136"/>
      <c r="AL121" s="136"/>
      <c r="AM121" s="136"/>
      <c r="AN121" s="136"/>
      <c r="AO121" s="136"/>
      <c r="AP121" s="136"/>
      <c r="AQ121" s="136"/>
      <c r="AU121" s="470"/>
      <c r="AV121" s="470"/>
      <c r="AW121" s="470"/>
      <c r="AX121" s="470"/>
      <c r="BG121" s="519"/>
      <c r="BH121" s="519"/>
      <c r="BI121" s="519"/>
      <c r="BJ121" s="519"/>
    </row>
    <row r="122" spans="3:62" x14ac:dyDescent="0.25">
      <c r="C122" s="469"/>
      <c r="W122" s="136"/>
      <c r="X122" s="136"/>
      <c r="Y122" s="136"/>
      <c r="Z122" s="528"/>
      <c r="AA122" s="528"/>
      <c r="AB122" s="528"/>
      <c r="AC122" s="528"/>
      <c r="AD122" s="528"/>
      <c r="AF122" s="528"/>
      <c r="AG122" s="530"/>
      <c r="AH122" s="136"/>
      <c r="AI122" s="136"/>
      <c r="AJ122" s="136"/>
      <c r="AK122" s="136"/>
      <c r="AL122" s="136"/>
      <c r="AM122" s="136"/>
      <c r="AN122" s="136"/>
      <c r="AO122" s="136"/>
      <c r="AP122" s="136"/>
      <c r="AQ122" s="136"/>
      <c r="AU122" s="470"/>
      <c r="AV122" s="470"/>
      <c r="AW122" s="470"/>
      <c r="AX122" s="470"/>
      <c r="BG122" s="519"/>
      <c r="BH122" s="519"/>
      <c r="BI122" s="519"/>
      <c r="BJ122" s="519"/>
    </row>
    <row r="123" spans="3:62" x14ac:dyDescent="0.25">
      <c r="W123" s="136"/>
      <c r="X123" s="136"/>
      <c r="Y123" s="136"/>
      <c r="Z123" s="528"/>
      <c r="AA123" s="528"/>
      <c r="AB123" s="528"/>
      <c r="AC123" s="528"/>
      <c r="AD123" s="528"/>
      <c r="AF123" s="528"/>
      <c r="AG123" s="530"/>
      <c r="AH123" s="136"/>
      <c r="AI123" s="136"/>
      <c r="AJ123" s="136"/>
      <c r="AK123" s="136"/>
      <c r="AL123" s="136"/>
      <c r="AM123" s="136"/>
      <c r="AN123" s="136"/>
      <c r="AO123" s="136"/>
      <c r="AP123" s="136"/>
      <c r="AQ123" s="136"/>
      <c r="AU123" s="470"/>
      <c r="AV123" s="470"/>
      <c r="AW123" s="470"/>
      <c r="AX123" s="470"/>
      <c r="BG123" s="519"/>
      <c r="BH123" s="519"/>
      <c r="BI123" s="519"/>
      <c r="BJ123" s="519"/>
    </row>
    <row r="124" spans="3:62" x14ac:dyDescent="0.25">
      <c r="W124" s="136"/>
      <c r="X124" s="136"/>
      <c r="Y124" s="136"/>
      <c r="Z124" s="528"/>
      <c r="AA124" s="528"/>
      <c r="AB124" s="528"/>
      <c r="AC124" s="528"/>
      <c r="AD124" s="528"/>
      <c r="AF124" s="528"/>
      <c r="AG124" s="530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U124" s="470"/>
      <c r="AV124" s="470"/>
      <c r="AW124" s="470"/>
      <c r="AX124" s="470"/>
      <c r="BG124" s="519"/>
      <c r="BH124" s="519"/>
      <c r="BI124" s="519"/>
      <c r="BJ124" s="519"/>
    </row>
    <row r="125" spans="3:62" x14ac:dyDescent="0.25">
      <c r="W125" s="136"/>
      <c r="X125" s="136"/>
      <c r="Y125" s="136"/>
      <c r="Z125" s="528"/>
      <c r="AA125" s="528"/>
      <c r="AB125" s="528"/>
      <c r="AC125" s="528"/>
      <c r="AD125" s="528"/>
      <c r="AF125" s="528"/>
      <c r="AG125" s="530"/>
      <c r="AH125" s="136"/>
      <c r="AI125" s="136"/>
      <c r="AJ125" s="136"/>
      <c r="AK125" s="136"/>
      <c r="AL125" s="136"/>
      <c r="AM125" s="136"/>
      <c r="AN125" s="136"/>
      <c r="AO125" s="136"/>
      <c r="AP125" s="136"/>
      <c r="AQ125" s="136"/>
      <c r="AU125" s="470"/>
      <c r="AV125" s="470"/>
      <c r="AW125" s="470"/>
      <c r="AX125" s="470"/>
      <c r="BG125" s="519"/>
      <c r="BH125" s="519"/>
      <c r="BI125" s="519"/>
      <c r="BJ125" s="519"/>
    </row>
    <row r="126" spans="3:62" x14ac:dyDescent="0.25">
      <c r="W126" s="136"/>
      <c r="X126" s="136"/>
      <c r="Y126" s="136"/>
      <c r="Z126" s="528"/>
      <c r="AA126" s="528"/>
      <c r="AB126" s="528"/>
      <c r="AC126" s="528"/>
      <c r="AD126" s="528"/>
      <c r="AF126" s="528"/>
      <c r="AG126" s="530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U126" s="470"/>
      <c r="AV126" s="470"/>
      <c r="AW126" s="470"/>
      <c r="AX126" s="470"/>
      <c r="BG126" s="519"/>
      <c r="BH126" s="519"/>
      <c r="BI126" s="519"/>
      <c r="BJ126" s="519"/>
    </row>
    <row r="127" spans="3:62" x14ac:dyDescent="0.25">
      <c r="W127" s="136"/>
      <c r="X127" s="136"/>
      <c r="Y127" s="136"/>
      <c r="Z127" s="528"/>
      <c r="AA127" s="528"/>
      <c r="AB127" s="528"/>
      <c r="AC127" s="528"/>
      <c r="AD127" s="528"/>
      <c r="AF127" s="528"/>
      <c r="AG127" s="530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136"/>
      <c r="AU127" s="470"/>
      <c r="AV127" s="470"/>
      <c r="AW127" s="470"/>
      <c r="AX127" s="470"/>
      <c r="BG127" s="519"/>
      <c r="BH127" s="519"/>
      <c r="BI127" s="519"/>
      <c r="BJ127" s="519"/>
    </row>
    <row r="128" spans="3:62" x14ac:dyDescent="0.25">
      <c r="W128" s="136"/>
      <c r="X128" s="136"/>
      <c r="Y128" s="136"/>
      <c r="Z128" s="528"/>
      <c r="AA128" s="528"/>
      <c r="AB128" s="528"/>
      <c r="AC128" s="528"/>
      <c r="AD128" s="528"/>
      <c r="AF128" s="528"/>
      <c r="AG128" s="530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136"/>
      <c r="AU128" s="470"/>
      <c r="AV128" s="470"/>
      <c r="AW128" s="470"/>
      <c r="AX128" s="470"/>
      <c r="BG128" s="519"/>
      <c r="BH128" s="519"/>
      <c r="BI128" s="519"/>
      <c r="BJ128" s="519"/>
    </row>
    <row r="129" spans="23:62" x14ac:dyDescent="0.25">
      <c r="W129" s="136"/>
      <c r="X129" s="136"/>
      <c r="Y129" s="136"/>
      <c r="Z129" s="528"/>
      <c r="AA129" s="528"/>
      <c r="AB129" s="528"/>
      <c r="AC129" s="528"/>
      <c r="AD129" s="528"/>
      <c r="AF129" s="528"/>
      <c r="AG129" s="530"/>
      <c r="AH129" s="136"/>
      <c r="AI129" s="136"/>
      <c r="AJ129" s="136"/>
      <c r="AK129" s="136"/>
      <c r="AL129" s="136"/>
      <c r="AM129" s="136"/>
      <c r="AN129" s="136"/>
      <c r="AO129" s="136"/>
      <c r="AP129" s="136"/>
      <c r="AQ129" s="136"/>
      <c r="AU129" s="470"/>
      <c r="AV129" s="470"/>
      <c r="AW129" s="470"/>
      <c r="AX129" s="470"/>
      <c r="BG129" s="519"/>
      <c r="BH129" s="519"/>
      <c r="BI129" s="519"/>
      <c r="BJ129" s="519"/>
    </row>
    <row r="130" spans="23:62" x14ac:dyDescent="0.25">
      <c r="W130" s="136"/>
      <c r="X130" s="136"/>
      <c r="Y130" s="136"/>
      <c r="Z130" s="528"/>
      <c r="AA130" s="528"/>
      <c r="AB130" s="528"/>
      <c r="AC130" s="528"/>
      <c r="AD130" s="528"/>
      <c r="AF130" s="528"/>
      <c r="AG130" s="530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U130" s="470"/>
      <c r="AV130" s="470"/>
      <c r="AW130" s="470"/>
      <c r="AX130" s="470"/>
      <c r="BG130" s="519"/>
      <c r="BH130" s="519"/>
      <c r="BI130" s="519"/>
      <c r="BJ130" s="519"/>
    </row>
    <row r="131" spans="23:62" x14ac:dyDescent="0.25">
      <c r="W131" s="136"/>
      <c r="X131" s="136"/>
      <c r="Y131" s="136"/>
      <c r="Z131" s="528"/>
      <c r="AA131" s="528"/>
      <c r="AB131" s="528"/>
      <c r="AC131" s="528"/>
      <c r="AD131" s="528"/>
      <c r="AF131" s="528"/>
      <c r="AG131" s="530"/>
      <c r="AH131" s="136"/>
      <c r="AI131" s="136"/>
      <c r="AJ131" s="136"/>
      <c r="AK131" s="136"/>
      <c r="AL131" s="136"/>
      <c r="AM131" s="136"/>
      <c r="AN131" s="136"/>
      <c r="AO131" s="136"/>
      <c r="AP131" s="136"/>
      <c r="AQ131" s="136"/>
      <c r="AU131" s="470"/>
      <c r="AV131" s="470"/>
      <c r="AW131" s="470"/>
      <c r="AX131" s="470"/>
      <c r="BG131" s="519"/>
      <c r="BH131" s="519"/>
      <c r="BI131" s="519"/>
      <c r="BJ131" s="519"/>
    </row>
    <row r="132" spans="23:62" x14ac:dyDescent="0.25">
      <c r="W132" s="136"/>
      <c r="X132" s="136"/>
      <c r="Y132" s="136"/>
      <c r="Z132" s="528"/>
      <c r="AA132" s="528"/>
      <c r="AB132" s="528"/>
      <c r="AC132" s="528"/>
      <c r="AD132" s="528"/>
      <c r="AF132" s="528"/>
      <c r="AG132" s="530"/>
      <c r="AH132" s="136"/>
      <c r="AI132" s="136"/>
      <c r="AJ132" s="136"/>
      <c r="AK132" s="136"/>
      <c r="AL132" s="136"/>
      <c r="AM132" s="136"/>
      <c r="AN132" s="136"/>
      <c r="AO132" s="136"/>
      <c r="AP132" s="136"/>
      <c r="AQ132" s="136"/>
      <c r="AU132" s="470"/>
      <c r="AV132" s="470"/>
      <c r="AW132" s="470"/>
      <c r="AX132" s="470"/>
      <c r="BG132" s="519"/>
      <c r="BH132" s="519"/>
      <c r="BI132" s="519"/>
      <c r="BJ132" s="519"/>
    </row>
    <row r="133" spans="23:62" x14ac:dyDescent="0.25">
      <c r="W133" s="136"/>
      <c r="X133" s="136"/>
      <c r="Y133" s="136"/>
      <c r="Z133" s="528"/>
      <c r="AA133" s="528"/>
      <c r="AB133" s="528"/>
      <c r="AC133" s="528"/>
      <c r="AD133" s="528"/>
      <c r="AF133" s="528"/>
      <c r="AG133" s="530"/>
      <c r="AH133" s="136"/>
      <c r="AI133" s="136"/>
      <c r="AJ133" s="136"/>
      <c r="AK133" s="136"/>
      <c r="AL133" s="136"/>
      <c r="AM133" s="136"/>
      <c r="AN133" s="136"/>
      <c r="AO133" s="136"/>
      <c r="AP133" s="136"/>
      <c r="AQ133" s="136"/>
      <c r="AU133" s="470"/>
      <c r="AV133" s="470"/>
      <c r="AW133" s="470"/>
      <c r="AX133" s="470"/>
      <c r="BG133" s="519"/>
      <c r="BH133" s="519"/>
      <c r="BI133" s="519"/>
      <c r="BJ133" s="519"/>
    </row>
    <row r="134" spans="23:62" x14ac:dyDescent="0.25">
      <c r="W134" s="136"/>
      <c r="X134" s="136"/>
      <c r="Y134" s="136"/>
      <c r="Z134" s="528"/>
      <c r="AA134" s="528"/>
      <c r="AB134" s="528"/>
      <c r="AC134" s="528"/>
      <c r="AD134" s="528"/>
      <c r="AF134" s="528"/>
      <c r="AG134" s="530"/>
      <c r="AH134" s="136"/>
      <c r="AI134" s="136"/>
      <c r="AJ134" s="136"/>
      <c r="AK134" s="136"/>
      <c r="AL134" s="136"/>
      <c r="AM134" s="136"/>
      <c r="AN134" s="136"/>
      <c r="AO134" s="136"/>
      <c r="AP134" s="136"/>
      <c r="AQ134" s="136"/>
      <c r="AU134" s="470"/>
      <c r="AV134" s="470"/>
      <c r="AW134" s="470"/>
      <c r="AX134" s="470"/>
      <c r="BG134" s="519"/>
      <c r="BH134" s="519"/>
      <c r="BI134" s="519"/>
      <c r="BJ134" s="519"/>
    </row>
    <row r="135" spans="23:62" x14ac:dyDescent="0.25">
      <c r="W135" s="136"/>
      <c r="X135" s="136"/>
      <c r="Y135" s="136"/>
      <c r="Z135" s="528"/>
      <c r="AA135" s="528"/>
      <c r="AB135" s="528"/>
      <c r="AC135" s="528"/>
      <c r="AD135" s="528"/>
      <c r="AF135" s="528"/>
      <c r="AG135" s="530"/>
      <c r="AH135" s="136"/>
      <c r="AI135" s="136"/>
      <c r="AJ135" s="136"/>
      <c r="AK135" s="136"/>
      <c r="AL135" s="136"/>
      <c r="AM135" s="136"/>
      <c r="AN135" s="136"/>
      <c r="AO135" s="136"/>
      <c r="AP135" s="136"/>
      <c r="AQ135" s="136"/>
      <c r="AU135" s="470"/>
      <c r="AV135" s="470"/>
      <c r="AW135" s="470"/>
      <c r="AX135" s="470"/>
      <c r="BG135" s="519"/>
      <c r="BH135" s="519"/>
      <c r="BI135" s="519"/>
      <c r="BJ135" s="519"/>
    </row>
    <row r="136" spans="23:62" x14ac:dyDescent="0.25">
      <c r="W136" s="136"/>
      <c r="X136" s="136"/>
      <c r="Y136" s="136"/>
      <c r="Z136" s="528"/>
      <c r="AA136" s="528"/>
      <c r="AB136" s="528"/>
      <c r="AC136" s="528"/>
      <c r="AD136" s="528"/>
      <c r="AF136" s="528"/>
      <c r="AG136" s="530"/>
      <c r="AH136" s="136"/>
      <c r="AI136" s="136"/>
      <c r="AJ136" s="136"/>
      <c r="AK136" s="136"/>
      <c r="AL136" s="136"/>
      <c r="AM136" s="136"/>
      <c r="AN136" s="136"/>
      <c r="AO136" s="136"/>
      <c r="AP136" s="136"/>
      <c r="AQ136" s="136"/>
      <c r="AU136" s="470"/>
      <c r="AV136" s="470"/>
      <c r="AW136" s="470"/>
      <c r="AX136" s="470"/>
      <c r="BG136" s="519"/>
      <c r="BH136" s="519"/>
      <c r="BI136" s="519"/>
      <c r="BJ136" s="519"/>
    </row>
    <row r="137" spans="23:62" x14ac:dyDescent="0.25">
      <c r="W137" s="136"/>
      <c r="X137" s="136"/>
      <c r="Y137" s="136"/>
      <c r="Z137" s="528"/>
      <c r="AA137" s="528"/>
      <c r="AB137" s="528"/>
      <c r="AC137" s="528"/>
      <c r="AD137" s="528"/>
      <c r="AF137" s="528"/>
      <c r="AG137" s="530"/>
      <c r="AH137" s="136"/>
      <c r="AI137" s="136"/>
      <c r="AJ137" s="136"/>
      <c r="AK137" s="136"/>
      <c r="AL137" s="136"/>
      <c r="AM137" s="136"/>
      <c r="AN137" s="136"/>
      <c r="AO137" s="136"/>
      <c r="AP137" s="136"/>
      <c r="AQ137" s="136"/>
      <c r="AU137" s="470"/>
      <c r="AV137" s="470"/>
      <c r="AW137" s="470"/>
      <c r="AX137" s="470"/>
      <c r="BG137" s="519"/>
      <c r="BH137" s="519"/>
      <c r="BI137" s="519"/>
      <c r="BJ137" s="519"/>
    </row>
    <row r="138" spans="23:62" x14ac:dyDescent="0.25">
      <c r="W138" s="136"/>
      <c r="X138" s="136"/>
      <c r="Y138" s="136"/>
      <c r="Z138" s="528"/>
      <c r="AA138" s="528"/>
      <c r="AB138" s="528"/>
      <c r="AC138" s="528"/>
      <c r="AD138" s="528"/>
      <c r="AF138" s="528"/>
      <c r="AG138" s="530"/>
      <c r="AH138" s="136"/>
      <c r="AI138" s="136"/>
      <c r="AJ138" s="136"/>
      <c r="AK138" s="136"/>
      <c r="AL138" s="136"/>
      <c r="AM138" s="136"/>
      <c r="AN138" s="136"/>
      <c r="AO138" s="136"/>
      <c r="AP138" s="136"/>
      <c r="AQ138" s="136"/>
      <c r="AU138" s="470"/>
      <c r="AV138" s="470"/>
      <c r="AW138" s="470"/>
      <c r="AX138" s="470"/>
      <c r="BG138" s="519"/>
      <c r="BH138" s="519"/>
      <c r="BI138" s="519"/>
      <c r="BJ138" s="519"/>
    </row>
    <row r="139" spans="23:62" x14ac:dyDescent="0.25">
      <c r="W139" s="136"/>
      <c r="X139" s="136"/>
      <c r="Y139" s="136"/>
      <c r="Z139" s="528"/>
      <c r="AA139" s="528"/>
      <c r="AB139" s="528"/>
      <c r="AC139" s="528"/>
      <c r="AD139" s="528"/>
      <c r="AF139" s="528"/>
      <c r="AG139" s="530"/>
      <c r="AH139" s="136"/>
      <c r="AI139" s="136"/>
      <c r="AJ139" s="136"/>
      <c r="AK139" s="136"/>
      <c r="AL139" s="136"/>
      <c r="AM139" s="136"/>
      <c r="AN139" s="136"/>
      <c r="AO139" s="136"/>
      <c r="AP139" s="136"/>
      <c r="AQ139" s="136"/>
      <c r="AU139" s="470"/>
      <c r="AV139" s="470"/>
      <c r="AW139" s="470"/>
      <c r="AX139" s="470"/>
      <c r="BG139" s="519"/>
      <c r="BH139" s="519"/>
      <c r="BI139" s="519"/>
      <c r="BJ139" s="519"/>
    </row>
    <row r="140" spans="23:62" x14ac:dyDescent="0.25">
      <c r="W140" s="136"/>
      <c r="X140" s="136"/>
      <c r="Y140" s="136"/>
      <c r="Z140" s="528"/>
      <c r="AA140" s="528"/>
      <c r="AB140" s="528"/>
      <c r="AC140" s="528"/>
      <c r="AD140" s="528"/>
      <c r="AF140" s="528"/>
      <c r="AG140" s="530"/>
      <c r="AH140" s="136"/>
      <c r="AI140" s="136"/>
      <c r="AJ140" s="136"/>
      <c r="AK140" s="136"/>
      <c r="AL140" s="136"/>
      <c r="AM140" s="136"/>
      <c r="AN140" s="136"/>
      <c r="AO140" s="136"/>
      <c r="AP140" s="136"/>
      <c r="AQ140" s="136"/>
      <c r="AU140" s="470"/>
      <c r="AV140" s="470"/>
      <c r="AW140" s="470"/>
      <c r="AX140" s="470"/>
      <c r="BG140" s="519"/>
      <c r="BH140" s="519"/>
      <c r="BI140" s="519"/>
      <c r="BJ140" s="519"/>
    </row>
    <row r="141" spans="23:62" x14ac:dyDescent="0.25">
      <c r="W141" s="136"/>
      <c r="X141" s="136"/>
      <c r="Y141" s="136"/>
      <c r="Z141" s="528"/>
      <c r="AA141" s="528"/>
      <c r="AB141" s="528"/>
      <c r="AC141" s="528"/>
      <c r="AD141" s="528"/>
      <c r="AF141" s="528"/>
      <c r="AG141" s="530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/>
      <c r="AU141" s="470"/>
      <c r="AV141" s="470"/>
      <c r="AW141" s="470"/>
      <c r="AX141" s="470"/>
      <c r="BG141" s="519"/>
      <c r="BH141" s="519"/>
      <c r="BI141" s="519"/>
      <c r="BJ141" s="519"/>
    </row>
    <row r="142" spans="23:62" x14ac:dyDescent="0.25">
      <c r="W142" s="136"/>
      <c r="X142" s="136"/>
      <c r="Y142" s="136"/>
      <c r="Z142" s="528"/>
      <c r="AA142" s="528"/>
      <c r="AB142" s="528"/>
      <c r="AC142" s="528"/>
      <c r="AD142" s="528"/>
      <c r="AF142" s="528"/>
      <c r="AG142" s="530"/>
      <c r="AH142" s="136"/>
      <c r="AI142" s="136"/>
      <c r="AJ142" s="136"/>
      <c r="AK142" s="136"/>
      <c r="AL142" s="136"/>
      <c r="AM142" s="136"/>
      <c r="AN142" s="136"/>
      <c r="AO142" s="136"/>
      <c r="AP142" s="136"/>
      <c r="AQ142" s="136"/>
      <c r="AU142" s="470"/>
      <c r="AV142" s="470"/>
      <c r="AW142" s="470"/>
      <c r="AX142" s="470"/>
      <c r="BG142" s="519"/>
      <c r="BH142" s="519"/>
      <c r="BI142" s="519"/>
      <c r="BJ142" s="519"/>
    </row>
    <row r="143" spans="23:62" x14ac:dyDescent="0.25">
      <c r="W143" s="136"/>
      <c r="X143" s="136"/>
      <c r="Y143" s="136"/>
      <c r="Z143" s="528"/>
      <c r="AA143" s="528"/>
      <c r="AB143" s="528"/>
      <c r="AC143" s="528"/>
      <c r="AD143" s="528"/>
      <c r="AF143" s="528"/>
      <c r="AG143" s="530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U143" s="470"/>
      <c r="AV143" s="470"/>
      <c r="AW143" s="470"/>
      <c r="AX143" s="470"/>
      <c r="BG143" s="519"/>
      <c r="BH143" s="519"/>
      <c r="BI143" s="519"/>
      <c r="BJ143" s="519"/>
    </row>
    <row r="144" spans="23:62" x14ac:dyDescent="0.25">
      <c r="W144" s="136"/>
      <c r="X144" s="136"/>
      <c r="Y144" s="136"/>
      <c r="Z144" s="528"/>
      <c r="AA144" s="528"/>
      <c r="AB144" s="528"/>
      <c r="AC144" s="528"/>
      <c r="AD144" s="528"/>
      <c r="AF144" s="528"/>
      <c r="AG144" s="530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U144" s="470"/>
      <c r="AV144" s="470"/>
      <c r="AW144" s="470"/>
      <c r="AX144" s="470"/>
      <c r="BG144" s="519"/>
      <c r="BH144" s="519"/>
      <c r="BI144" s="519"/>
      <c r="BJ144" s="519"/>
    </row>
    <row r="145" spans="1:62" x14ac:dyDescent="0.25">
      <c r="W145" s="136"/>
      <c r="X145" s="136"/>
      <c r="Y145" s="136"/>
      <c r="Z145" s="528"/>
      <c r="AA145" s="528"/>
      <c r="AB145" s="528"/>
      <c r="AC145" s="528"/>
      <c r="AD145" s="528"/>
      <c r="AF145" s="528"/>
      <c r="AG145" s="530"/>
      <c r="AH145" s="136"/>
      <c r="AI145" s="136"/>
      <c r="AJ145" s="136"/>
      <c r="AK145" s="136"/>
      <c r="AL145" s="136"/>
      <c r="AM145" s="136"/>
      <c r="AN145" s="136"/>
      <c r="AO145" s="136"/>
      <c r="AP145" s="136"/>
      <c r="AQ145" s="136"/>
      <c r="AU145" s="470"/>
      <c r="AV145" s="470"/>
      <c r="AW145" s="470"/>
      <c r="AX145" s="470"/>
      <c r="BG145" s="519"/>
      <c r="BH145" s="519"/>
      <c r="BI145" s="519"/>
      <c r="BJ145" s="519"/>
    </row>
    <row r="146" spans="1:62" x14ac:dyDescent="0.25">
      <c r="W146" s="136"/>
      <c r="X146" s="136"/>
      <c r="Y146" s="136"/>
      <c r="Z146" s="528"/>
      <c r="AA146" s="528"/>
      <c r="AB146" s="528"/>
      <c r="AC146" s="528"/>
      <c r="AD146" s="528"/>
      <c r="AF146" s="528"/>
      <c r="AG146" s="530"/>
      <c r="AH146" s="136"/>
      <c r="AI146" s="136"/>
      <c r="AJ146" s="136"/>
      <c r="AK146" s="136"/>
      <c r="AL146" s="136"/>
      <c r="AM146" s="136"/>
      <c r="AN146" s="136"/>
      <c r="AO146" s="136"/>
      <c r="AP146" s="136"/>
      <c r="AQ146" s="136"/>
      <c r="AU146" s="470"/>
      <c r="AV146" s="470"/>
      <c r="AW146" s="470"/>
      <c r="AX146" s="470"/>
      <c r="BG146" s="519"/>
      <c r="BH146" s="519"/>
      <c r="BI146" s="519"/>
      <c r="BJ146" s="519"/>
    </row>
    <row r="147" spans="1:62" x14ac:dyDescent="0.25">
      <c r="W147" s="136"/>
      <c r="X147" s="136"/>
      <c r="Y147" s="136"/>
      <c r="Z147" s="528"/>
      <c r="AA147" s="528"/>
      <c r="AB147" s="528"/>
      <c r="AC147" s="528"/>
      <c r="AD147" s="528"/>
      <c r="AF147" s="528"/>
      <c r="AG147" s="530"/>
      <c r="AH147" s="136"/>
      <c r="AI147" s="136"/>
      <c r="AJ147" s="136"/>
      <c r="AK147" s="136"/>
      <c r="AL147" s="136"/>
      <c r="AM147" s="136"/>
      <c r="AN147" s="136"/>
      <c r="AO147" s="136"/>
      <c r="AP147" s="136"/>
      <c r="AQ147" s="136"/>
      <c r="AU147" s="470"/>
      <c r="AV147" s="470"/>
      <c r="AW147" s="470"/>
      <c r="AX147" s="470"/>
      <c r="BG147" s="519"/>
      <c r="BH147" s="519"/>
      <c r="BI147" s="519"/>
      <c r="BJ147" s="519"/>
    </row>
    <row r="148" spans="1:62" x14ac:dyDescent="0.25">
      <c r="W148" s="136"/>
      <c r="X148" s="136"/>
      <c r="Y148" s="136"/>
      <c r="Z148" s="528"/>
      <c r="AA148" s="528"/>
      <c r="AB148" s="528"/>
      <c r="AC148" s="528"/>
      <c r="AD148" s="528"/>
      <c r="AF148" s="528"/>
      <c r="AG148" s="530"/>
      <c r="AH148" s="136"/>
      <c r="AI148" s="136"/>
      <c r="AJ148" s="136"/>
      <c r="AK148" s="136"/>
      <c r="AL148" s="136"/>
      <c r="AM148" s="136"/>
      <c r="AN148" s="136"/>
      <c r="AO148" s="136"/>
      <c r="AP148" s="136"/>
      <c r="AQ148" s="136"/>
      <c r="AU148" s="470"/>
      <c r="AV148" s="470"/>
      <c r="AW148" s="470"/>
      <c r="AX148" s="470"/>
      <c r="BG148" s="519"/>
      <c r="BH148" s="519"/>
      <c r="BI148" s="519"/>
      <c r="BJ148" s="519"/>
    </row>
    <row r="149" spans="1:62" x14ac:dyDescent="0.25">
      <c r="W149" s="136"/>
      <c r="X149" s="136"/>
      <c r="Y149" s="136"/>
      <c r="Z149" s="528"/>
      <c r="AA149" s="528"/>
      <c r="AB149" s="528"/>
      <c r="AC149" s="528"/>
      <c r="AD149" s="528"/>
      <c r="AF149" s="528"/>
      <c r="AG149" s="530"/>
      <c r="AH149" s="136"/>
      <c r="AI149" s="136"/>
      <c r="AJ149" s="136"/>
      <c r="AK149" s="136"/>
      <c r="AL149" s="136"/>
      <c r="AM149" s="136"/>
      <c r="AN149" s="136"/>
      <c r="AO149" s="136"/>
      <c r="AP149" s="136"/>
      <c r="AQ149" s="136"/>
      <c r="AU149" s="470"/>
      <c r="AV149" s="470"/>
      <c r="AW149" s="470"/>
      <c r="AX149" s="470"/>
      <c r="BG149" s="519"/>
      <c r="BH149" s="519"/>
      <c r="BI149" s="519"/>
      <c r="BJ149" s="519"/>
    </row>
    <row r="150" spans="1:62" x14ac:dyDescent="0.25">
      <c r="W150" s="136"/>
      <c r="X150" s="136"/>
      <c r="Y150" s="136"/>
      <c r="Z150" s="528"/>
      <c r="AA150" s="528"/>
      <c r="AB150" s="528"/>
      <c r="AC150" s="528"/>
      <c r="AD150" s="528"/>
      <c r="AF150" s="528"/>
      <c r="AG150" s="530"/>
      <c r="AH150" s="136"/>
      <c r="AI150" s="136"/>
      <c r="AJ150" s="136"/>
      <c r="AK150" s="136"/>
      <c r="AL150" s="136"/>
      <c r="AM150" s="136"/>
      <c r="AN150" s="136"/>
      <c r="AO150" s="136"/>
      <c r="AP150" s="136"/>
      <c r="AQ150" s="136"/>
      <c r="AU150" s="470"/>
      <c r="AV150" s="470"/>
      <c r="AW150" s="470"/>
      <c r="AX150" s="470"/>
      <c r="BG150" s="519"/>
      <c r="BH150" s="519"/>
      <c r="BI150" s="519"/>
      <c r="BJ150" s="519"/>
    </row>
    <row r="151" spans="1:62" x14ac:dyDescent="0.25">
      <c r="W151" s="136"/>
      <c r="X151" s="136"/>
      <c r="Y151" s="136"/>
      <c r="Z151" s="528"/>
      <c r="AA151" s="528"/>
      <c r="AB151" s="528"/>
      <c r="AC151" s="528"/>
      <c r="AD151" s="528"/>
      <c r="AF151" s="528"/>
      <c r="AG151" s="530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U151" s="470"/>
      <c r="AV151" s="470"/>
      <c r="AW151" s="470"/>
      <c r="AX151" s="470"/>
      <c r="BG151" s="519"/>
      <c r="BH151" s="519"/>
      <c r="BI151" s="519"/>
      <c r="BJ151" s="519"/>
    </row>
    <row r="152" spans="1:62" x14ac:dyDescent="0.25">
      <c r="A152" s="136"/>
      <c r="B152" s="136"/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R152" s="136"/>
      <c r="S152" s="136"/>
      <c r="T152" s="136"/>
      <c r="U152" s="136"/>
      <c r="V152" s="136"/>
      <c r="W152" s="136"/>
      <c r="X152" s="136"/>
      <c r="Y152" s="136"/>
      <c r="Z152" s="528"/>
      <c r="AA152" s="528"/>
      <c r="AB152" s="528"/>
      <c r="AC152" s="528"/>
      <c r="AD152" s="528"/>
      <c r="AF152" s="528"/>
      <c r="AG152" s="530"/>
      <c r="AH152" s="136"/>
      <c r="AI152" s="136"/>
      <c r="AJ152" s="136"/>
      <c r="AK152" s="136"/>
      <c r="AL152" s="136"/>
      <c r="AM152" s="136"/>
      <c r="AN152" s="136"/>
      <c r="AO152" s="136"/>
      <c r="AP152" s="136"/>
      <c r="AQ152" s="136"/>
      <c r="AU152" s="470"/>
      <c r="AV152" s="470"/>
      <c r="AW152" s="470"/>
      <c r="AX152" s="470"/>
      <c r="BG152" s="519"/>
      <c r="BH152" s="519"/>
      <c r="BI152" s="519"/>
      <c r="BJ152" s="519"/>
    </row>
    <row r="153" spans="1:62" x14ac:dyDescent="0.25">
      <c r="A153" s="136"/>
      <c r="B153" s="136"/>
      <c r="C153" s="136"/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R153" s="136"/>
      <c r="S153" s="136"/>
      <c r="T153" s="136"/>
      <c r="U153" s="136"/>
      <c r="V153" s="136"/>
      <c r="W153" s="136"/>
      <c r="X153" s="136"/>
      <c r="Y153" s="136"/>
      <c r="Z153" s="528"/>
      <c r="AA153" s="528"/>
      <c r="AB153" s="528"/>
      <c r="AC153" s="528"/>
      <c r="AD153" s="528"/>
      <c r="AF153" s="528"/>
      <c r="AG153" s="530"/>
      <c r="AH153" s="136"/>
      <c r="AI153" s="136"/>
      <c r="AJ153" s="136"/>
      <c r="AK153" s="136"/>
      <c r="AL153" s="136"/>
      <c r="AM153" s="136"/>
      <c r="AN153" s="136"/>
      <c r="AO153" s="136"/>
      <c r="AP153" s="136"/>
      <c r="AQ153" s="136"/>
      <c r="AU153" s="470"/>
      <c r="AV153" s="470"/>
      <c r="AW153" s="470"/>
      <c r="AX153" s="470"/>
      <c r="BG153" s="519"/>
      <c r="BH153" s="519"/>
      <c r="BI153" s="519"/>
      <c r="BJ153" s="519"/>
    </row>
    <row r="154" spans="1:62" x14ac:dyDescent="0.25">
      <c r="O154" s="136"/>
      <c r="P154" s="136"/>
      <c r="R154" s="136"/>
      <c r="S154" s="136"/>
      <c r="T154" s="136"/>
      <c r="U154" s="136"/>
      <c r="V154" s="136"/>
      <c r="W154" s="136"/>
      <c r="X154" s="136"/>
      <c r="Y154" s="136"/>
      <c r="Z154" s="528"/>
      <c r="AA154" s="528"/>
      <c r="AB154" s="528"/>
      <c r="AC154" s="528"/>
      <c r="AD154" s="528"/>
      <c r="AF154" s="528"/>
      <c r="AG154" s="530"/>
      <c r="AH154" s="136"/>
      <c r="AI154" s="136"/>
      <c r="AJ154" s="136"/>
      <c r="AK154" s="136"/>
      <c r="AL154" s="136"/>
      <c r="AM154" s="136"/>
      <c r="AN154" s="136"/>
      <c r="AO154" s="136"/>
      <c r="AP154" s="136"/>
      <c r="AQ154" s="136"/>
      <c r="BG154" s="519"/>
      <c r="BH154" s="519"/>
      <c r="BI154" s="519"/>
      <c r="BJ154" s="519"/>
    </row>
    <row r="155" spans="1:62" x14ac:dyDescent="0.25">
      <c r="V155" s="136"/>
      <c r="W155" s="136"/>
      <c r="X155" s="136"/>
      <c r="Y155" s="136"/>
      <c r="Z155" s="528"/>
      <c r="AA155" s="528"/>
      <c r="AB155" s="528"/>
      <c r="AC155" s="528"/>
      <c r="AD155" s="528"/>
      <c r="AF155" s="528"/>
      <c r="AG155" s="530"/>
      <c r="AH155" s="136"/>
      <c r="AI155" s="136"/>
      <c r="AJ155" s="136"/>
      <c r="AK155" s="136"/>
      <c r="AL155" s="136"/>
      <c r="AM155" s="136"/>
      <c r="AN155" s="136"/>
      <c r="AO155" s="136"/>
      <c r="AP155" s="136"/>
      <c r="AQ155" s="136"/>
      <c r="BG155" s="519"/>
      <c r="BH155" s="519"/>
      <c r="BI155" s="519"/>
      <c r="BJ155" s="519"/>
    </row>
    <row r="156" spans="1:62" x14ac:dyDescent="0.25">
      <c r="V156" s="136"/>
      <c r="W156" s="136"/>
      <c r="X156" s="136"/>
      <c r="Y156" s="136"/>
      <c r="Z156" s="528"/>
      <c r="AA156" s="528"/>
      <c r="AB156" s="528"/>
      <c r="AC156" s="528"/>
      <c r="AD156" s="528"/>
      <c r="AF156" s="528"/>
      <c r="AG156" s="530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136"/>
      <c r="BG156" s="519"/>
      <c r="BH156" s="519"/>
      <c r="BI156" s="519"/>
      <c r="BJ156" s="519"/>
    </row>
  </sheetData>
  <sortState xmlns:xlrd2="http://schemas.microsoft.com/office/spreadsheetml/2017/richdata2" ref="A2:B9">
    <sortCondition ref="A2"/>
  </sortState>
  <mergeCells count="129">
    <mergeCell ref="A1:AV1"/>
    <mergeCell ref="C28:C34"/>
    <mergeCell ref="I53:I59"/>
    <mergeCell ref="AS2:AS10"/>
    <mergeCell ref="AS11:AS19"/>
    <mergeCell ref="AV2:AV8"/>
    <mergeCell ref="AV16:AV24"/>
    <mergeCell ref="AS20:AS28"/>
    <mergeCell ref="AV25:AV33"/>
    <mergeCell ref="AS29:AS37"/>
    <mergeCell ref="AV9:AV15"/>
    <mergeCell ref="C35:C42"/>
    <mergeCell ref="U61:U67"/>
    <mergeCell ref="AV34:AV40"/>
    <mergeCell ref="I60:I68"/>
    <mergeCell ref="AS56:AS63"/>
    <mergeCell ref="AP37:AP46"/>
    <mergeCell ref="C61:C67"/>
    <mergeCell ref="AV41:AV48"/>
    <mergeCell ref="AV49:AV58"/>
    <mergeCell ref="AS38:AS48"/>
    <mergeCell ref="AS49:AS55"/>
    <mergeCell ref="F51:F57"/>
    <mergeCell ref="O62:O67"/>
    <mergeCell ref="F38:F44"/>
    <mergeCell ref="F45:F50"/>
    <mergeCell ref="F58:F66"/>
    <mergeCell ref="C52:C60"/>
    <mergeCell ref="X59:X67"/>
    <mergeCell ref="C43:C51"/>
    <mergeCell ref="AV59:AV65"/>
    <mergeCell ref="AA62:AA67"/>
    <mergeCell ref="AP29:AP36"/>
    <mergeCell ref="AP19:AP28"/>
    <mergeCell ref="AP11:AP18"/>
    <mergeCell ref="AP47:AP53"/>
    <mergeCell ref="AP2:AP10"/>
    <mergeCell ref="AM2:AM9"/>
    <mergeCell ref="AM10:AM17"/>
    <mergeCell ref="AM18:AM25"/>
    <mergeCell ref="AM26:AM35"/>
    <mergeCell ref="AM36:AM45"/>
    <mergeCell ref="AD34:AD40"/>
    <mergeCell ref="AD27:AD33"/>
    <mergeCell ref="AJ12:AJ19"/>
    <mergeCell ref="AJ20:AJ26"/>
    <mergeCell ref="AJ27:AJ33"/>
    <mergeCell ref="AJ34:AJ41"/>
    <mergeCell ref="AG2:AG7"/>
    <mergeCell ref="AG8:AG13"/>
    <mergeCell ref="AD16:AD26"/>
    <mergeCell ref="AG35:AG41"/>
    <mergeCell ref="AG28:AG34"/>
    <mergeCell ref="AG14:AG20"/>
    <mergeCell ref="AG21:AG27"/>
    <mergeCell ref="AD2:AD8"/>
    <mergeCell ref="AM46:AM53"/>
    <mergeCell ref="AP54:AP61"/>
    <mergeCell ref="AM54:AM61"/>
    <mergeCell ref="AG58:AG65"/>
    <mergeCell ref="AG50:AG57"/>
    <mergeCell ref="AG42:AG49"/>
    <mergeCell ref="AD48:AD54"/>
    <mergeCell ref="AD55:AD62"/>
    <mergeCell ref="AD41:AD47"/>
    <mergeCell ref="AA33:AA39"/>
    <mergeCell ref="U34:U39"/>
    <mergeCell ref="U2:U7"/>
    <mergeCell ref="O30:O38"/>
    <mergeCell ref="AJ57:AJ62"/>
    <mergeCell ref="AJ51:AJ56"/>
    <mergeCell ref="AJ42:AJ50"/>
    <mergeCell ref="AD9:AD15"/>
    <mergeCell ref="AJ2:AJ11"/>
    <mergeCell ref="AA55:AA61"/>
    <mergeCell ref="AA40:AA47"/>
    <mergeCell ref="X8:X13"/>
    <mergeCell ref="X2:X7"/>
    <mergeCell ref="AA48:AA54"/>
    <mergeCell ref="X51:X58"/>
    <mergeCell ref="AA20:AA25"/>
    <mergeCell ref="AA2:AA7"/>
    <mergeCell ref="AA8:AA13"/>
    <mergeCell ref="AA14:AA19"/>
    <mergeCell ref="X14:X19"/>
    <mergeCell ref="AA26:AA32"/>
    <mergeCell ref="X45:X50"/>
    <mergeCell ref="X39:X44"/>
    <mergeCell ref="X33:X38"/>
    <mergeCell ref="C10:C27"/>
    <mergeCell ref="X27:X32"/>
    <mergeCell ref="R56:R62"/>
    <mergeCell ref="R49:R55"/>
    <mergeCell ref="R42:R48"/>
    <mergeCell ref="R35:R41"/>
    <mergeCell ref="R2:R7"/>
    <mergeCell ref="R8:R13"/>
    <mergeCell ref="U54:U60"/>
    <mergeCell ref="R14:R20"/>
    <mergeCell ref="U40:U46"/>
    <mergeCell ref="U22:U27"/>
    <mergeCell ref="U28:U33"/>
    <mergeCell ref="X20:X26"/>
    <mergeCell ref="U15:U21"/>
    <mergeCell ref="U8:U14"/>
    <mergeCell ref="F19:F37"/>
    <mergeCell ref="L36:L43"/>
    <mergeCell ref="L44:L52"/>
    <mergeCell ref="R28:R34"/>
    <mergeCell ref="R21:R27"/>
    <mergeCell ref="O9:O15"/>
    <mergeCell ref="O16:O22"/>
    <mergeCell ref="U47:U53"/>
    <mergeCell ref="C2:C9"/>
    <mergeCell ref="L53:L65"/>
    <mergeCell ref="I2:I16"/>
    <mergeCell ref="O23:O29"/>
    <mergeCell ref="O39:O45"/>
    <mergeCell ref="O46:O53"/>
    <mergeCell ref="O54:O61"/>
    <mergeCell ref="L2:L9"/>
    <mergeCell ref="L10:L17"/>
    <mergeCell ref="L18:L25"/>
    <mergeCell ref="O2:O8"/>
    <mergeCell ref="I37:I52"/>
    <mergeCell ref="L26:L35"/>
    <mergeCell ref="I17:I24"/>
    <mergeCell ref="I25:I36"/>
    <mergeCell ref="F2:F18"/>
  </mergeCells>
  <phoneticPr fontId="13" type="noConversion"/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7162C-7C75-4679-A67A-EDA03799C60F}">
  <sheetPr>
    <tabColor rgb="FFFFC000"/>
  </sheetPr>
  <dimension ref="A1:P634"/>
  <sheetViews>
    <sheetView zoomScale="85" zoomScaleNormal="85" workbookViewId="0">
      <pane ySplit="2" topLeftCell="A3" activePane="bottomLeft" state="frozen"/>
      <selection activeCell="S47" sqref="S47"/>
      <selection pane="bottomLeft" activeCell="E18" sqref="E18"/>
    </sheetView>
  </sheetViews>
  <sheetFormatPr defaultColWidth="14.42578125" defaultRowHeight="15" customHeight="1" x14ac:dyDescent="0.25"/>
  <cols>
    <col min="1" max="1" width="10.7109375" style="1" bestFit="1" customWidth="1"/>
    <col min="2" max="2" width="9.7109375" style="1" bestFit="1" customWidth="1"/>
    <col min="3" max="3" width="12" style="44" bestFit="1" customWidth="1"/>
    <col min="4" max="4" width="12" style="44" customWidth="1"/>
    <col min="5" max="5" width="20" style="1" bestFit="1" customWidth="1"/>
    <col min="6" max="6" width="13.28515625" style="1" customWidth="1"/>
    <col min="7" max="7" width="31.140625" style="1" bestFit="1" customWidth="1"/>
    <col min="8" max="8" width="13.85546875" style="1" bestFit="1" customWidth="1"/>
    <col min="9" max="9" width="17.140625" style="1" bestFit="1" customWidth="1"/>
    <col min="10" max="10" width="16.28515625" style="1" bestFit="1" customWidth="1"/>
    <col min="11" max="11" width="14.42578125" style="1" bestFit="1" customWidth="1"/>
    <col min="12" max="12" width="15.7109375" style="2" bestFit="1" customWidth="1"/>
    <col min="13" max="16384" width="14.42578125" style="1"/>
  </cols>
  <sheetData>
    <row r="1" spans="1:16" ht="15" customHeight="1" x14ac:dyDescent="0.25">
      <c r="A1" s="257"/>
      <c r="B1" s="257"/>
      <c r="C1" s="257"/>
      <c r="D1" s="257"/>
      <c r="E1" s="257"/>
      <c r="F1" s="258"/>
      <c r="G1" s="257"/>
      <c r="H1" s="257"/>
      <c r="I1" s="259"/>
      <c r="J1" s="260"/>
      <c r="K1" s="261"/>
      <c r="L1" s="262"/>
    </row>
    <row r="2" spans="1:16" x14ac:dyDescent="0.25">
      <c r="A2" s="1" t="s">
        <v>467</v>
      </c>
      <c r="B2" s="15" t="s">
        <v>466</v>
      </c>
      <c r="C2" s="50" t="s">
        <v>465</v>
      </c>
      <c r="D2" s="50" t="s">
        <v>14057</v>
      </c>
      <c r="E2" s="15" t="s">
        <v>464</v>
      </c>
      <c r="F2" s="15" t="s">
        <v>13114</v>
      </c>
      <c r="G2" s="15" t="s">
        <v>463</v>
      </c>
      <c r="H2" s="14" t="s">
        <v>462</v>
      </c>
      <c r="I2" s="13" t="s">
        <v>461</v>
      </c>
      <c r="J2" s="12" t="s">
        <v>460</v>
      </c>
      <c r="K2" s="12" t="s">
        <v>459</v>
      </c>
      <c r="L2" s="11" t="s">
        <v>458</v>
      </c>
      <c r="M2" s="263" t="s">
        <v>16795</v>
      </c>
      <c r="N2" s="263" t="s">
        <v>16796</v>
      </c>
      <c r="O2" s="263" t="s">
        <v>16797</v>
      </c>
      <c r="P2" s="263" t="s">
        <v>16798</v>
      </c>
    </row>
    <row r="3" spans="1:16" x14ac:dyDescent="0.25">
      <c r="A3" s="38" t="str">
        <f t="shared" ref="A3:A37" si="0">CONCATENATE("MPM/",B3)</f>
        <v>MPM/ADB</v>
      </c>
      <c r="B3" s="39" t="s">
        <v>5443</v>
      </c>
      <c r="C3" s="39" t="s">
        <v>2</v>
      </c>
      <c r="D3" s="39"/>
      <c r="E3" s="4" t="s">
        <v>251</v>
      </c>
      <c r="F3" s="39"/>
      <c r="G3" s="39" t="s">
        <v>11424</v>
      </c>
      <c r="H3" s="40">
        <v>7164</v>
      </c>
      <c r="I3" s="41">
        <v>18</v>
      </c>
      <c r="J3" s="42">
        <v>208703197</v>
      </c>
      <c r="K3" s="42">
        <f t="shared" ref="K3:K66" si="1">J3/L3</f>
        <v>44123.297463002113</v>
      </c>
      <c r="L3" s="43">
        <v>4730</v>
      </c>
      <c r="M3" s="196">
        <f>VLOOKUP(Table2[[#This Row],[ROUTE]],DEMAND!A:F,5,FALSE)</f>
        <v>4790</v>
      </c>
      <c r="N3" s="196">
        <f>VLOOKUP(Table2[[#This Row],[ROUTE]],DEMAND!A:F,6,FALSE)</f>
        <v>830</v>
      </c>
      <c r="O3" s="196">
        <f>ROUNDDOWN(Table2[[#This Row],[R-DEMAND]]/1320,0)</f>
        <v>0</v>
      </c>
      <c r="P3" s="196">
        <f>Table2[[#This Row],[ADD ACC]]*Table2[[#This Row],[RT TIME (744)]]</f>
        <v>0</v>
      </c>
    </row>
    <row r="4" spans="1:16" x14ac:dyDescent="0.25">
      <c r="A4" s="1" t="str">
        <f t="shared" si="0"/>
        <v>MPM/ADD</v>
      </c>
      <c r="B4" s="4" t="s">
        <v>457</v>
      </c>
      <c r="C4" s="39" t="s">
        <v>2</v>
      </c>
      <c r="D4" s="39"/>
      <c r="E4" s="4" t="s">
        <v>456</v>
      </c>
      <c r="F4" s="4"/>
      <c r="G4" s="4" t="s">
        <v>455</v>
      </c>
      <c r="H4" s="8">
        <v>3939</v>
      </c>
      <c r="I4" s="7">
        <v>10.75</v>
      </c>
      <c r="J4" s="6"/>
      <c r="K4" s="6">
        <f t="shared" si="1"/>
        <v>0</v>
      </c>
      <c r="L4" s="4">
        <v>4338</v>
      </c>
      <c r="M4" s="39">
        <f>VLOOKUP(Table2[[#This Row],[ROUTE]],DEMAND!A:F,5,FALSE)</f>
        <v>7283</v>
      </c>
      <c r="N4" s="39">
        <f>VLOOKUP(Table2[[#This Row],[ROUTE]],DEMAND!A:F,6,FALSE)</f>
        <v>683</v>
      </c>
      <c r="O4" s="39">
        <f>ROUNDDOWN(Table2[[#This Row],[R-DEMAND]]/1320,0)</f>
        <v>0</v>
      </c>
      <c r="P4" s="39">
        <f>Table2[[#This Row],[ADD ACC]]*Table2[[#This Row],[RT TIME (744)]]</f>
        <v>0</v>
      </c>
    </row>
    <row r="5" spans="1:16" x14ac:dyDescent="0.25">
      <c r="A5" s="38" t="str">
        <f t="shared" si="0"/>
        <v>MPM/ADE</v>
      </c>
      <c r="B5" s="39" t="s">
        <v>3950</v>
      </c>
      <c r="C5" s="39" t="s">
        <v>2</v>
      </c>
      <c r="D5" s="39"/>
      <c r="E5" s="39" t="s">
        <v>11143</v>
      </c>
      <c r="F5" s="39"/>
      <c r="G5" s="39" t="s">
        <v>11145</v>
      </c>
      <c r="H5" s="40">
        <v>4516</v>
      </c>
      <c r="I5" s="41">
        <v>12.25</v>
      </c>
      <c r="J5" s="42">
        <v>159908076</v>
      </c>
      <c r="K5" s="42">
        <f t="shared" si="1"/>
        <v>38662.494197292071</v>
      </c>
      <c r="L5" s="43">
        <v>4136</v>
      </c>
      <c r="M5" s="39">
        <f>VLOOKUP(Table2[[#This Row],[ROUTE]],DEMAND!A:F,5,FALSE)</f>
        <v>4391</v>
      </c>
      <c r="N5" s="39">
        <f>VLOOKUP(Table2[[#This Row],[ROUTE]],DEMAND!A:F,6,FALSE)</f>
        <v>431</v>
      </c>
      <c r="O5" s="39">
        <f>ROUNDDOWN(Table2[[#This Row],[R-DEMAND]]/1320,0)</f>
        <v>0</v>
      </c>
      <c r="P5" s="39">
        <f>Table2[[#This Row],[ADD ACC]]*Table2[[#This Row],[RT TIME (744)]]</f>
        <v>0</v>
      </c>
    </row>
    <row r="6" spans="1:16" x14ac:dyDescent="0.25">
      <c r="A6" s="38" t="str">
        <f t="shared" si="0"/>
        <v>MPM/ADL</v>
      </c>
      <c r="B6" s="39" t="s">
        <v>5487</v>
      </c>
      <c r="C6" s="39" t="s">
        <v>2</v>
      </c>
      <c r="D6" s="39"/>
      <c r="E6" s="39" t="s">
        <v>70</v>
      </c>
      <c r="F6" s="39"/>
      <c r="G6" s="39" t="s">
        <v>11647</v>
      </c>
      <c r="H6" s="65">
        <v>9706</v>
      </c>
      <c r="I6" s="58">
        <v>23.5</v>
      </c>
      <c r="J6" s="42"/>
      <c r="K6" s="42">
        <f t="shared" si="1"/>
        <v>0</v>
      </c>
      <c r="L6" s="105">
        <v>3732</v>
      </c>
      <c r="M6" s="39">
        <f>VLOOKUP(Table2[[#This Row],[ROUTE]],DEMAND!A:F,5,FALSE)</f>
        <v>3546</v>
      </c>
      <c r="N6" s="39">
        <f>VLOOKUP(Table2[[#This Row],[ROUTE]],DEMAND!A:F,6,FALSE)</f>
        <v>906</v>
      </c>
      <c r="O6" s="39">
        <f>ROUNDDOWN(Table2[[#This Row],[R-DEMAND]]/1320,0)</f>
        <v>0</v>
      </c>
      <c r="P6" s="39">
        <f>Table2[[#This Row],[ADD ACC]]*Table2[[#This Row],[RT TIME (744)]]</f>
        <v>0</v>
      </c>
    </row>
    <row r="7" spans="1:16" x14ac:dyDescent="0.25">
      <c r="A7" s="38" t="str">
        <f t="shared" si="0"/>
        <v>MPM/AGP</v>
      </c>
      <c r="B7" s="39" t="s">
        <v>5619</v>
      </c>
      <c r="C7" s="39" t="s">
        <v>2</v>
      </c>
      <c r="D7" s="39"/>
      <c r="E7" s="39" t="s">
        <v>184</v>
      </c>
      <c r="F7" s="39"/>
      <c r="G7" s="39" t="s">
        <v>11539</v>
      </c>
      <c r="H7" s="40"/>
      <c r="I7" s="41">
        <v>19.75</v>
      </c>
      <c r="J7" s="42">
        <v>226527977</v>
      </c>
      <c r="K7" s="42">
        <f t="shared" si="1"/>
        <v>66606.285504263447</v>
      </c>
      <c r="L7" s="43">
        <v>3401</v>
      </c>
      <c r="M7" s="39">
        <f>VLOOKUP(Table2[[#This Row],[ROUTE]],DEMAND!A:F,5,FALSE)</f>
        <v>3568</v>
      </c>
      <c r="N7" s="39">
        <f>VLOOKUP(Table2[[#This Row],[ROUTE]],DEMAND!A:F,6,FALSE)</f>
        <v>928</v>
      </c>
      <c r="O7" s="39">
        <f>ROUNDDOWN(Table2[[#This Row],[R-DEMAND]]/1320,0)</f>
        <v>0</v>
      </c>
      <c r="P7" s="39">
        <f>Table2[[#This Row],[ADD ACC]]*Table2[[#This Row],[RT TIME (744)]]</f>
        <v>0</v>
      </c>
    </row>
    <row r="8" spans="1:16" x14ac:dyDescent="0.25">
      <c r="A8" s="38" t="str">
        <f t="shared" si="0"/>
        <v>MPM/AGT</v>
      </c>
      <c r="B8" s="39" t="s">
        <v>2397</v>
      </c>
      <c r="C8" s="39" t="s">
        <v>2</v>
      </c>
      <c r="D8" s="39"/>
      <c r="E8" s="39" t="s">
        <v>442</v>
      </c>
      <c r="F8" s="39"/>
      <c r="G8" s="39" t="s">
        <v>11529</v>
      </c>
      <c r="H8" s="40"/>
      <c r="I8" s="41">
        <v>21</v>
      </c>
      <c r="J8" s="42">
        <v>190762916</v>
      </c>
      <c r="K8" s="42">
        <f t="shared" si="1"/>
        <v>64951.622744296903</v>
      </c>
      <c r="L8" s="43">
        <v>2937</v>
      </c>
      <c r="M8" s="39">
        <f>VLOOKUP(Table2[[#This Row],[ROUTE]],DEMAND!A:F,5,FALSE)</f>
        <v>3082</v>
      </c>
      <c r="N8" s="39">
        <f>VLOOKUP(Table2[[#This Row],[ROUTE]],DEMAND!A:F,6,FALSE)</f>
        <v>442</v>
      </c>
      <c r="O8" s="39">
        <f>ROUNDDOWN(Table2[[#This Row],[R-DEMAND]]/1320,0)</f>
        <v>0</v>
      </c>
      <c r="P8" s="39">
        <f>Table2[[#This Row],[ADD ACC]]*Table2[[#This Row],[RT TIME (744)]]</f>
        <v>0</v>
      </c>
    </row>
    <row r="9" spans="1:16" x14ac:dyDescent="0.25">
      <c r="A9" s="1" t="str">
        <f t="shared" si="0"/>
        <v>MPM/AHB</v>
      </c>
      <c r="B9" s="4" t="s">
        <v>454</v>
      </c>
      <c r="C9" s="39" t="s">
        <v>2</v>
      </c>
      <c r="D9" s="39"/>
      <c r="E9" s="4" t="s">
        <v>109</v>
      </c>
      <c r="F9" s="4"/>
      <c r="G9" s="4" t="s">
        <v>453</v>
      </c>
      <c r="H9" s="8">
        <v>5031</v>
      </c>
      <c r="I9" s="7">
        <v>13.25</v>
      </c>
      <c r="J9" s="6">
        <v>197564195</v>
      </c>
      <c r="K9" s="6">
        <f t="shared" si="1"/>
        <v>63281.292440743113</v>
      </c>
      <c r="L9" s="4">
        <v>3122</v>
      </c>
      <c r="M9" s="39">
        <f>VLOOKUP(Table2[[#This Row],[ROUTE]],DEMAND!A:F,5,FALSE)</f>
        <v>4755</v>
      </c>
      <c r="N9" s="39">
        <f>VLOOKUP(Table2[[#This Row],[ROUTE]],DEMAND!A:F,6,FALSE)</f>
        <v>-525</v>
      </c>
      <c r="O9" s="39">
        <f>ROUNDDOWN(Table2[[#This Row],[R-DEMAND]]/1320,0)</f>
        <v>0</v>
      </c>
      <c r="P9" s="39">
        <f>Table2[[#This Row],[ADD ACC]]*Table2[[#This Row],[RT TIME (744)]]</f>
        <v>0</v>
      </c>
    </row>
    <row r="10" spans="1:16" x14ac:dyDescent="0.25">
      <c r="A10" s="1" t="str">
        <f t="shared" si="0"/>
        <v>MPM/AJF</v>
      </c>
      <c r="B10" s="39" t="s">
        <v>4494</v>
      </c>
      <c r="C10" s="39" t="s">
        <v>2</v>
      </c>
      <c r="D10" s="39"/>
      <c r="E10" s="39" t="s">
        <v>109</v>
      </c>
      <c r="F10" s="39"/>
      <c r="G10" s="39" t="s">
        <v>11134</v>
      </c>
      <c r="H10" s="40">
        <v>6247</v>
      </c>
      <c r="I10" s="41">
        <v>16</v>
      </c>
      <c r="J10" s="42">
        <v>181544037</v>
      </c>
      <c r="K10" s="42">
        <f t="shared" si="1"/>
        <v>57125.247640025176</v>
      </c>
      <c r="L10" s="43">
        <v>3178</v>
      </c>
      <c r="M10" s="39">
        <f>VLOOKUP(Table2[[#This Row],[ROUTE]],DEMAND!A:F,5,FALSE)</f>
        <v>3377</v>
      </c>
      <c r="N10" s="39">
        <f>VLOOKUP(Table2[[#This Row],[ROUTE]],DEMAND!A:F,6,FALSE)</f>
        <v>737</v>
      </c>
      <c r="O10" s="39">
        <f>ROUNDDOWN(Table2[[#This Row],[R-DEMAND]]/1320,0)</f>
        <v>0</v>
      </c>
      <c r="P10" s="39">
        <f>Table2[[#This Row],[ADD ACC]]*Table2[[#This Row],[RT TIME (744)]]</f>
        <v>0</v>
      </c>
    </row>
    <row r="11" spans="1:16" x14ac:dyDescent="0.25">
      <c r="A11" s="1" t="str">
        <f t="shared" si="0"/>
        <v>MPM/AKL</v>
      </c>
      <c r="B11" s="4" t="s">
        <v>452</v>
      </c>
      <c r="C11" s="39" t="s">
        <v>2</v>
      </c>
      <c r="D11" s="39"/>
      <c r="E11" s="4" t="s">
        <v>363</v>
      </c>
      <c r="F11" s="4"/>
      <c r="G11" s="4" t="s">
        <v>451</v>
      </c>
      <c r="H11" s="8">
        <v>11982</v>
      </c>
      <c r="I11" s="7">
        <v>28.75</v>
      </c>
      <c r="J11" s="6">
        <v>267516699</v>
      </c>
      <c r="K11" s="6">
        <f t="shared" si="1"/>
        <v>81659.554029304025</v>
      </c>
      <c r="L11" s="4">
        <v>3276</v>
      </c>
      <c r="M11" s="39">
        <f>VLOOKUP(Table2[[#This Row],[ROUTE]],DEMAND!A:F,5,FALSE)</f>
        <v>5337</v>
      </c>
      <c r="N11" s="39">
        <f>VLOOKUP(Table2[[#This Row],[ROUTE]],DEMAND!A:F,6,FALSE)</f>
        <v>57</v>
      </c>
      <c r="O11" s="39">
        <f>ROUNDDOWN(Table2[[#This Row],[R-DEMAND]]/1320,0)</f>
        <v>0</v>
      </c>
      <c r="P11" s="39">
        <f>Table2[[#This Row],[ADD ACC]]*Table2[[#This Row],[RT TIME (744)]]</f>
        <v>0</v>
      </c>
    </row>
    <row r="12" spans="1:16" ht="15.75" customHeight="1" x14ac:dyDescent="0.25">
      <c r="A12" s="38" t="str">
        <f t="shared" si="0"/>
        <v>MPM/AKX</v>
      </c>
      <c r="B12" s="39" t="s">
        <v>3365</v>
      </c>
      <c r="C12" s="39" t="s">
        <v>2</v>
      </c>
      <c r="D12" s="39"/>
      <c r="E12" s="39" t="s">
        <v>11035</v>
      </c>
      <c r="F12" s="39"/>
      <c r="G12" s="39" t="s">
        <v>11115</v>
      </c>
      <c r="H12" s="40">
        <v>8813</v>
      </c>
      <c r="I12" s="41">
        <v>21.75</v>
      </c>
      <c r="J12" s="42">
        <v>198715021</v>
      </c>
      <c r="K12" s="42">
        <f t="shared" si="1"/>
        <v>61464.590473244665</v>
      </c>
      <c r="L12" s="43">
        <v>3233</v>
      </c>
      <c r="M12" s="39">
        <f>VLOOKUP(Table2[[#This Row],[ROUTE]],DEMAND!A:F,5,FALSE)</f>
        <v>3437</v>
      </c>
      <c r="N12" s="39">
        <f>VLOOKUP(Table2[[#This Row],[ROUTE]],DEMAND!A:F,6,FALSE)</f>
        <v>797</v>
      </c>
      <c r="O12" s="39">
        <f>ROUNDDOWN(Table2[[#This Row],[R-DEMAND]]/1320,0)</f>
        <v>0</v>
      </c>
      <c r="P12" s="39">
        <f>Table2[[#This Row],[ADD ACC]]*Table2[[#This Row],[RT TIME (744)]]</f>
        <v>0</v>
      </c>
    </row>
    <row r="13" spans="1:16" ht="15.75" customHeight="1" x14ac:dyDescent="0.25">
      <c r="A13" s="38" t="str">
        <f t="shared" si="0"/>
        <v>MPM/ALA</v>
      </c>
      <c r="B13" s="39" t="s">
        <v>5253</v>
      </c>
      <c r="C13" s="39" t="s">
        <v>2</v>
      </c>
      <c r="D13" s="39"/>
      <c r="E13" s="39" t="s">
        <v>11035</v>
      </c>
      <c r="F13" s="39"/>
      <c r="G13" s="39" t="s">
        <v>11114</v>
      </c>
      <c r="H13" s="40">
        <v>8943</v>
      </c>
      <c r="I13" s="41">
        <v>22</v>
      </c>
      <c r="J13" s="42">
        <v>222273945</v>
      </c>
      <c r="K13" s="42">
        <f t="shared" si="1"/>
        <v>50345.174405436017</v>
      </c>
      <c r="L13" s="43">
        <v>4415</v>
      </c>
      <c r="M13" s="39">
        <f>VLOOKUP(Table2[[#This Row],[ROUTE]],DEMAND!A:F,5,FALSE)</f>
        <v>4695</v>
      </c>
      <c r="N13" s="39">
        <f>VLOOKUP(Table2[[#This Row],[ROUTE]],DEMAND!A:F,6,FALSE)</f>
        <v>735</v>
      </c>
      <c r="O13" s="39">
        <f>ROUNDDOWN(Table2[[#This Row],[R-DEMAND]]/1320,0)</f>
        <v>0</v>
      </c>
      <c r="P13" s="39">
        <f>Table2[[#This Row],[ADD ACC]]*Table2[[#This Row],[RT TIME (744)]]</f>
        <v>0</v>
      </c>
    </row>
    <row r="14" spans="1:16" ht="15.75" customHeight="1" x14ac:dyDescent="0.25">
      <c r="A14" s="1" t="str">
        <f t="shared" si="0"/>
        <v>MPM/ALG</v>
      </c>
      <c r="B14" s="4" t="s">
        <v>450</v>
      </c>
      <c r="C14" s="39" t="s">
        <v>2</v>
      </c>
      <c r="D14" s="39"/>
      <c r="E14" s="4" t="s">
        <v>449</v>
      </c>
      <c r="F14" s="4"/>
      <c r="G14" s="4" t="s">
        <v>449</v>
      </c>
      <c r="H14" s="8">
        <v>7613</v>
      </c>
      <c r="I14" s="7">
        <v>19</v>
      </c>
      <c r="J14" s="6">
        <v>214769945</v>
      </c>
      <c r="K14" s="6">
        <f t="shared" si="1"/>
        <v>67943.671306548567</v>
      </c>
      <c r="L14" s="4">
        <v>3161</v>
      </c>
      <c r="M14" s="39">
        <f>VLOOKUP(Table2[[#This Row],[ROUTE]],DEMAND!A:F,5,FALSE)</f>
        <v>4918</v>
      </c>
      <c r="N14" s="39">
        <f>VLOOKUP(Table2[[#This Row],[ROUTE]],DEMAND!A:F,6,FALSE)</f>
        <v>958</v>
      </c>
      <c r="O14" s="39">
        <f>ROUNDDOWN(Table2[[#This Row],[R-DEMAND]]/1320,0)</f>
        <v>0</v>
      </c>
      <c r="P14" s="39">
        <f>Table2[[#This Row],[ADD ACC]]*Table2[[#This Row],[RT TIME (744)]]</f>
        <v>0</v>
      </c>
    </row>
    <row r="15" spans="1:16" ht="15.75" customHeight="1" x14ac:dyDescent="0.25">
      <c r="A15" s="38" t="str">
        <f t="shared" si="0"/>
        <v>MPM/ALP</v>
      </c>
      <c r="B15" s="39" t="s">
        <v>4814</v>
      </c>
      <c r="C15" s="39" t="s">
        <v>2</v>
      </c>
      <c r="D15" s="39"/>
      <c r="E15" s="39" t="s">
        <v>11149</v>
      </c>
      <c r="F15" s="39"/>
      <c r="G15" s="39" t="s">
        <v>11151</v>
      </c>
      <c r="H15" s="40">
        <v>6924</v>
      </c>
      <c r="I15" s="41">
        <v>17.5</v>
      </c>
      <c r="J15" s="42">
        <v>193816686</v>
      </c>
      <c r="K15" s="42">
        <f t="shared" si="1"/>
        <v>47597.41797642436</v>
      </c>
      <c r="L15" s="105">
        <v>4072</v>
      </c>
      <c r="M15" s="39">
        <f>VLOOKUP(Table2[[#This Row],[ROUTE]],DEMAND!A:F,5,FALSE)</f>
        <v>4328</v>
      </c>
      <c r="N15" s="39">
        <f>VLOOKUP(Table2[[#This Row],[ROUTE]],DEMAND!A:F,6,FALSE)</f>
        <v>368</v>
      </c>
      <c r="O15" s="39">
        <f>ROUNDDOWN(Table2[[#This Row],[R-DEMAND]]/1320,0)</f>
        <v>0</v>
      </c>
      <c r="P15" s="39">
        <f>Table2[[#This Row],[ADD ACC]]*Table2[[#This Row],[RT TIME (744)]]</f>
        <v>0</v>
      </c>
    </row>
    <row r="16" spans="1:16" ht="15.75" customHeight="1" x14ac:dyDescent="0.25">
      <c r="A16" s="1" t="str">
        <f t="shared" si="0"/>
        <v>MPM/AMD</v>
      </c>
      <c r="B16" s="4" t="s">
        <v>448</v>
      </c>
      <c r="C16" s="39" t="s">
        <v>2</v>
      </c>
      <c r="D16" s="39"/>
      <c r="E16" s="4" t="s">
        <v>23</v>
      </c>
      <c r="F16" s="4"/>
      <c r="G16" s="4" t="s">
        <v>447</v>
      </c>
      <c r="H16" s="8"/>
      <c r="I16" s="7">
        <v>17.5</v>
      </c>
      <c r="J16" s="6">
        <v>201947932</v>
      </c>
      <c r="K16" s="6">
        <f t="shared" si="1"/>
        <v>60246.996420047733</v>
      </c>
      <c r="L16" s="5">
        <v>3352</v>
      </c>
      <c r="M16" s="39">
        <f>VLOOKUP(Table2[[#This Row],[ROUTE]],DEMAND!A:F,5,FALSE)</f>
        <v>5203</v>
      </c>
      <c r="N16" s="39">
        <f>VLOOKUP(Table2[[#This Row],[ROUTE]],DEMAND!A:F,6,FALSE)</f>
        <v>-77</v>
      </c>
      <c r="O16" s="39">
        <f>ROUNDDOWN(Table2[[#This Row],[R-DEMAND]]/1320,0)</f>
        <v>0</v>
      </c>
      <c r="P16" s="39">
        <f>Table2[[#This Row],[ADD ACC]]*Table2[[#This Row],[RT TIME (744)]]</f>
        <v>0</v>
      </c>
    </row>
    <row r="17" spans="1:16" ht="15.75" customHeight="1" x14ac:dyDescent="0.25">
      <c r="A17" s="1" t="str">
        <f t="shared" si="0"/>
        <v>MPM/AMS</v>
      </c>
      <c r="B17" s="4" t="s">
        <v>446</v>
      </c>
      <c r="C17" s="39" t="s">
        <v>2</v>
      </c>
      <c r="D17" s="39"/>
      <c r="E17" s="4" t="s">
        <v>445</v>
      </c>
      <c r="F17" s="4"/>
      <c r="G17" s="4" t="s">
        <v>444</v>
      </c>
      <c r="H17" s="8">
        <v>9112</v>
      </c>
      <c r="I17" s="7">
        <v>22.25</v>
      </c>
      <c r="J17" s="6">
        <v>258640223</v>
      </c>
      <c r="K17" s="6">
        <f t="shared" si="1"/>
        <v>87084.250168350161</v>
      </c>
      <c r="L17" s="4">
        <v>2970</v>
      </c>
      <c r="M17" s="39">
        <f>VLOOKUP(Table2[[#This Row],[ROUTE]],DEMAND!A:F,5,FALSE)</f>
        <v>4687</v>
      </c>
      <c r="N17" s="39">
        <f>VLOOKUP(Table2[[#This Row],[ROUTE]],DEMAND!A:F,6,FALSE)</f>
        <v>727</v>
      </c>
      <c r="O17" s="39">
        <f>ROUNDDOWN(Table2[[#This Row],[R-DEMAND]]/1320,0)</f>
        <v>0</v>
      </c>
      <c r="P17" s="39">
        <f>Table2[[#This Row],[ADD ACC]]*Table2[[#This Row],[RT TIME (744)]]</f>
        <v>0</v>
      </c>
    </row>
    <row r="18" spans="1:16" ht="15.75" customHeight="1" x14ac:dyDescent="0.25">
      <c r="A18" s="1" t="str">
        <f t="shared" si="0"/>
        <v>MPM/AQI</v>
      </c>
      <c r="B18" s="39" t="s">
        <v>4543</v>
      </c>
      <c r="C18" s="39" t="s">
        <v>2</v>
      </c>
      <c r="D18" s="39"/>
      <c r="E18" s="39" t="s">
        <v>109</v>
      </c>
      <c r="F18" s="39"/>
      <c r="G18" s="39" t="s">
        <v>11133</v>
      </c>
      <c r="H18" s="40">
        <v>6206</v>
      </c>
      <c r="I18" s="41">
        <v>15.75</v>
      </c>
      <c r="J18" s="42">
        <v>181791656</v>
      </c>
      <c r="K18" s="42">
        <f t="shared" si="1"/>
        <v>56650.562792147088</v>
      </c>
      <c r="L18" s="43">
        <v>3209</v>
      </c>
      <c r="M18" s="39">
        <f>VLOOKUP(Table2[[#This Row],[ROUTE]],DEMAND!A:F,5,FALSE)</f>
        <v>3409</v>
      </c>
      <c r="N18" s="39">
        <f>VLOOKUP(Table2[[#This Row],[ROUTE]],DEMAND!A:F,6,FALSE)</f>
        <v>769</v>
      </c>
      <c r="O18" s="39">
        <f>ROUNDDOWN(Table2[[#This Row],[R-DEMAND]]/1320,0)</f>
        <v>0</v>
      </c>
      <c r="P18" s="39">
        <f>Table2[[#This Row],[ADD ACC]]*Table2[[#This Row],[RT TIME (744)]]</f>
        <v>0</v>
      </c>
    </row>
    <row r="19" spans="1:16" ht="15.75" customHeight="1" x14ac:dyDescent="0.25">
      <c r="A19" s="38" t="str">
        <f t="shared" si="0"/>
        <v>MPM/AQP</v>
      </c>
      <c r="B19" s="39" t="s">
        <v>4941</v>
      </c>
      <c r="C19" s="39" t="s">
        <v>2</v>
      </c>
      <c r="D19" s="39"/>
      <c r="E19" s="39" t="s">
        <v>11511</v>
      </c>
      <c r="F19" s="39"/>
      <c r="G19" s="39" t="s">
        <v>11513</v>
      </c>
      <c r="H19" s="40"/>
      <c r="I19" s="41">
        <v>25.5</v>
      </c>
      <c r="J19" s="42">
        <v>231629443</v>
      </c>
      <c r="K19" s="42">
        <f t="shared" si="1"/>
        <v>51830.262474826581</v>
      </c>
      <c r="L19" s="43">
        <v>4469</v>
      </c>
      <c r="M19" s="39">
        <f>VLOOKUP(Table2[[#This Row],[ROUTE]],DEMAND!A:F,5,FALSE)</f>
        <v>4691</v>
      </c>
      <c r="N19" s="39">
        <f>VLOOKUP(Table2[[#This Row],[ROUTE]],DEMAND!A:F,6,FALSE)</f>
        <v>731</v>
      </c>
      <c r="O19" s="39">
        <f>ROUNDDOWN(Table2[[#This Row],[R-DEMAND]]/1320,0)</f>
        <v>0</v>
      </c>
      <c r="P19" s="39">
        <f>Table2[[#This Row],[ADD ACC]]*Table2[[#This Row],[RT TIME (744)]]</f>
        <v>0</v>
      </c>
    </row>
    <row r="20" spans="1:16" ht="15.75" customHeight="1" x14ac:dyDescent="0.25">
      <c r="A20" s="38" t="str">
        <f t="shared" si="0"/>
        <v>MPM/ASR</v>
      </c>
      <c r="B20" s="39" t="s">
        <v>4404</v>
      </c>
      <c r="C20" s="39" t="s">
        <v>2</v>
      </c>
      <c r="D20" s="39"/>
      <c r="E20" s="4" t="s">
        <v>251</v>
      </c>
      <c r="F20" s="39"/>
      <c r="G20" s="39" t="s">
        <v>11430</v>
      </c>
      <c r="H20" s="40">
        <v>7201</v>
      </c>
      <c r="I20" s="41">
        <v>18</v>
      </c>
      <c r="J20" s="42">
        <v>190414322</v>
      </c>
      <c r="K20" s="42">
        <f t="shared" si="1"/>
        <v>51063.105926521857</v>
      </c>
      <c r="L20" s="43">
        <v>3729</v>
      </c>
      <c r="M20" s="39">
        <f>VLOOKUP(Table2[[#This Row],[ROUTE]],DEMAND!A:F,5,FALSE)</f>
        <v>3775</v>
      </c>
      <c r="N20" s="39">
        <f>VLOOKUP(Table2[[#This Row],[ROUTE]],DEMAND!A:F,6,FALSE)</f>
        <v>1135</v>
      </c>
      <c r="O20" s="39">
        <f>ROUNDDOWN(Table2[[#This Row],[R-DEMAND]]/1320,0)</f>
        <v>0</v>
      </c>
      <c r="P20" s="39">
        <f>Table2[[#This Row],[ADD ACC]]*Table2[[#This Row],[RT TIME (744)]]</f>
        <v>0</v>
      </c>
    </row>
    <row r="21" spans="1:16" ht="15.75" customHeight="1" x14ac:dyDescent="0.25">
      <c r="A21" s="1" t="str">
        <f t="shared" si="0"/>
        <v>MPM/ASU</v>
      </c>
      <c r="B21" s="4" t="s">
        <v>443</v>
      </c>
      <c r="C21" s="39" t="s">
        <v>11122</v>
      </c>
      <c r="D21" s="39"/>
      <c r="E21" s="4" t="s">
        <v>442</v>
      </c>
      <c r="F21" s="4"/>
      <c r="G21" s="4" t="s">
        <v>441</v>
      </c>
      <c r="H21" s="8">
        <v>8823</v>
      </c>
      <c r="I21" s="7">
        <v>21.75</v>
      </c>
      <c r="J21" s="6">
        <v>205493119</v>
      </c>
      <c r="K21" s="6">
        <f t="shared" si="1"/>
        <v>86124.52598491199</v>
      </c>
      <c r="L21" s="4">
        <v>2386</v>
      </c>
      <c r="M21" s="39" t="e">
        <f>VLOOKUP(Table2[[#This Row],[ROUTE]],DEMAND!A:F,5,FALSE)</f>
        <v>#N/A</v>
      </c>
      <c r="N21" s="39" t="e">
        <f>VLOOKUP(Table2[[#This Row],[ROUTE]],DEMAND!A:F,6,FALSE)</f>
        <v>#N/A</v>
      </c>
      <c r="O21" s="39" t="e">
        <f>ROUNDDOWN(Table2[[#This Row],[R-DEMAND]]/1320,0)</f>
        <v>#N/A</v>
      </c>
      <c r="P21" s="39" t="e">
        <f>Table2[[#This Row],[ADD ACC]]*Table2[[#This Row],[RT TIME (744)]]</f>
        <v>#N/A</v>
      </c>
    </row>
    <row r="22" spans="1:16" ht="15.75" customHeight="1" x14ac:dyDescent="0.25">
      <c r="A22" s="38" t="str">
        <f t="shared" si="0"/>
        <v>MPM/ATA</v>
      </c>
      <c r="B22" s="39" t="s">
        <v>4945</v>
      </c>
      <c r="C22" s="39" t="s">
        <v>2</v>
      </c>
      <c r="D22" s="39"/>
      <c r="E22" s="39" t="s">
        <v>11511</v>
      </c>
      <c r="F22" s="39"/>
      <c r="G22" s="39" t="s">
        <v>11423</v>
      </c>
      <c r="H22" s="40"/>
      <c r="I22" s="41">
        <v>27.75</v>
      </c>
      <c r="J22" s="42">
        <v>241122890</v>
      </c>
      <c r="K22" s="42">
        <f t="shared" si="1"/>
        <v>53954.551353770417</v>
      </c>
      <c r="L22" s="43">
        <v>4469</v>
      </c>
      <c r="M22" s="39">
        <f>VLOOKUP(Table2[[#This Row],[ROUTE]],DEMAND!A:F,5,FALSE)</f>
        <v>4691</v>
      </c>
      <c r="N22" s="39">
        <f>VLOOKUP(Table2[[#This Row],[ROUTE]],DEMAND!A:F,6,FALSE)</f>
        <v>731</v>
      </c>
      <c r="O22" s="39">
        <f>ROUNDDOWN(Table2[[#This Row],[R-DEMAND]]/1320,0)</f>
        <v>0</v>
      </c>
      <c r="P22" s="39">
        <f>Table2[[#This Row],[ADD ACC]]*Table2[[#This Row],[RT TIME (744)]]</f>
        <v>0</v>
      </c>
    </row>
    <row r="23" spans="1:16" ht="15.75" customHeight="1" x14ac:dyDescent="0.25">
      <c r="A23" s="1" t="str">
        <f t="shared" si="0"/>
        <v>MPM/ATH</v>
      </c>
      <c r="B23" s="4" t="s">
        <v>440</v>
      </c>
      <c r="C23" s="39" t="s">
        <v>11122</v>
      </c>
      <c r="D23" s="39"/>
      <c r="E23" s="4" t="s">
        <v>439</v>
      </c>
      <c r="F23" s="4"/>
      <c r="G23" s="4" t="s">
        <v>438</v>
      </c>
      <c r="H23" s="8">
        <v>7159</v>
      </c>
      <c r="I23" s="7">
        <v>18</v>
      </c>
      <c r="J23" s="6">
        <v>222188163</v>
      </c>
      <c r="K23" s="6">
        <f t="shared" si="1"/>
        <v>87166.795998430753</v>
      </c>
      <c r="L23" s="4">
        <v>2549</v>
      </c>
      <c r="M23" s="39" t="e">
        <f>VLOOKUP(Table2[[#This Row],[ROUTE]],DEMAND!A:F,5,FALSE)</f>
        <v>#N/A</v>
      </c>
      <c r="N23" s="39" t="e">
        <f>VLOOKUP(Table2[[#This Row],[ROUTE]],DEMAND!A:F,6,FALSE)</f>
        <v>#N/A</v>
      </c>
      <c r="O23" s="39" t="e">
        <f>ROUNDDOWN(Table2[[#This Row],[R-DEMAND]]/1320,0)</f>
        <v>#N/A</v>
      </c>
      <c r="P23" s="39" t="e">
        <f>Table2[[#This Row],[ADD ACC]]*Table2[[#This Row],[RT TIME (744)]]</f>
        <v>#N/A</v>
      </c>
    </row>
    <row r="24" spans="1:16" ht="15.75" customHeight="1" x14ac:dyDescent="0.25">
      <c r="A24" s="1" t="str">
        <f t="shared" si="0"/>
        <v>MPM/ATQ</v>
      </c>
      <c r="B24" s="4" t="s">
        <v>437</v>
      </c>
      <c r="C24" s="39" t="s">
        <v>2</v>
      </c>
      <c r="D24" s="39"/>
      <c r="E24" s="4" t="s">
        <v>23</v>
      </c>
      <c r="F24" s="4"/>
      <c r="G24" s="4" t="s">
        <v>436</v>
      </c>
      <c r="H24" s="8">
        <v>7820</v>
      </c>
      <c r="I24" s="7">
        <v>19.5</v>
      </c>
      <c r="J24" s="6">
        <v>196165111</v>
      </c>
      <c r="K24" s="6">
        <f t="shared" si="1"/>
        <v>72519.449537892797</v>
      </c>
      <c r="L24" s="4">
        <v>2705</v>
      </c>
      <c r="M24" s="39">
        <f>VLOOKUP(Table2[[#This Row],[ROUTE]],DEMAND!A:F,5,FALSE)</f>
        <v>4397</v>
      </c>
      <c r="N24" s="39">
        <f>VLOOKUP(Table2[[#This Row],[ROUTE]],DEMAND!A:F,6,FALSE)</f>
        <v>437</v>
      </c>
      <c r="O24" s="39">
        <f>ROUNDDOWN(Table2[[#This Row],[R-DEMAND]]/1320,0)</f>
        <v>0</v>
      </c>
      <c r="P24" s="39">
        <f>Table2[[#This Row],[ADD ACC]]*Table2[[#This Row],[RT TIME (744)]]</f>
        <v>0</v>
      </c>
    </row>
    <row r="25" spans="1:16" ht="15.75" customHeight="1" x14ac:dyDescent="0.25">
      <c r="A25" s="1" t="str">
        <f t="shared" si="0"/>
        <v>MPM/AUH</v>
      </c>
      <c r="B25" s="4" t="s">
        <v>435</v>
      </c>
      <c r="C25" s="39" t="s">
        <v>2</v>
      </c>
      <c r="D25" s="39"/>
      <c r="E25" s="4" t="s">
        <v>318</v>
      </c>
      <c r="F25" s="4"/>
      <c r="G25" s="4" t="s">
        <v>434</v>
      </c>
      <c r="H25" s="8">
        <v>6082</v>
      </c>
      <c r="I25" s="7">
        <v>15.5</v>
      </c>
      <c r="J25" s="6">
        <v>202766868</v>
      </c>
      <c r="K25" s="6">
        <f t="shared" si="1"/>
        <v>52653.042846014025</v>
      </c>
      <c r="L25" s="4">
        <v>3851</v>
      </c>
      <c r="M25" s="39">
        <f>VLOOKUP(Table2[[#This Row],[ROUTE]],DEMAND!A:F,5,FALSE)</f>
        <v>3855</v>
      </c>
      <c r="N25" s="39">
        <f>VLOOKUP(Table2[[#This Row],[ROUTE]],DEMAND!A:F,6,FALSE)</f>
        <v>1215</v>
      </c>
      <c r="O25" s="39">
        <f>ROUNDDOWN(Table2[[#This Row],[R-DEMAND]]/1320,0)</f>
        <v>0</v>
      </c>
      <c r="P25" s="39">
        <f>Table2[[#This Row],[ADD ACC]]*Table2[[#This Row],[RT TIME (744)]]</f>
        <v>0</v>
      </c>
    </row>
    <row r="26" spans="1:16" ht="15.75" customHeight="1" x14ac:dyDescent="0.25">
      <c r="A26" s="38" t="str">
        <f t="shared" si="0"/>
        <v>MPM/AYP</v>
      </c>
      <c r="B26" s="39" t="s">
        <v>1842</v>
      </c>
      <c r="C26" s="39" t="s">
        <v>2</v>
      </c>
      <c r="D26" s="39"/>
      <c r="E26" s="39" t="s">
        <v>11511</v>
      </c>
      <c r="F26" s="39"/>
      <c r="G26" s="39" t="s">
        <v>11519</v>
      </c>
      <c r="H26" s="40"/>
      <c r="I26" s="41">
        <v>26.5</v>
      </c>
      <c r="J26" s="42">
        <v>214070116</v>
      </c>
      <c r="K26" s="42">
        <f t="shared" si="1"/>
        <v>68524.364916773367</v>
      </c>
      <c r="L26" s="43">
        <v>3124</v>
      </c>
      <c r="M26" s="39">
        <f>VLOOKUP(Table2[[#This Row],[ROUTE]],DEMAND!A:F,5,FALSE)</f>
        <v>3280</v>
      </c>
      <c r="N26" s="39">
        <f>VLOOKUP(Table2[[#This Row],[ROUTE]],DEMAND!A:F,6,FALSE)</f>
        <v>640</v>
      </c>
      <c r="O26" s="39">
        <f>ROUNDDOWN(Table2[[#This Row],[R-DEMAND]]/1320,0)</f>
        <v>0</v>
      </c>
      <c r="P26" s="39">
        <f>Table2[[#This Row],[ADD ACC]]*Table2[[#This Row],[RT TIME (744)]]</f>
        <v>0</v>
      </c>
    </row>
    <row r="27" spans="1:16" ht="15.75" customHeight="1" x14ac:dyDescent="0.25">
      <c r="A27" s="38" t="str">
        <f t="shared" si="0"/>
        <v>MPM/AYT</v>
      </c>
      <c r="B27" s="39" t="s">
        <v>5663</v>
      </c>
      <c r="C27" s="39" t="s">
        <v>2</v>
      </c>
      <c r="D27" s="39"/>
      <c r="E27" s="4" t="s">
        <v>251</v>
      </c>
      <c r="F27" s="39"/>
      <c r="G27" s="39" t="s">
        <v>11423</v>
      </c>
      <c r="H27" s="40">
        <v>6989</v>
      </c>
      <c r="I27" s="41">
        <v>17.5</v>
      </c>
      <c r="J27" s="42">
        <v>221134275</v>
      </c>
      <c r="K27" s="42">
        <f t="shared" si="1"/>
        <v>40272.131670005467</v>
      </c>
      <c r="L27" s="43">
        <v>5491</v>
      </c>
      <c r="M27" s="39">
        <f>VLOOKUP(Table2[[#This Row],[ROUTE]],DEMAND!A:F,5,FALSE)</f>
        <v>5560</v>
      </c>
      <c r="N27" s="39">
        <f>VLOOKUP(Table2[[#This Row],[ROUTE]],DEMAND!A:F,6,FALSE)</f>
        <v>280</v>
      </c>
      <c r="O27" s="39">
        <f>ROUNDDOWN(Table2[[#This Row],[R-DEMAND]]/1320,0)</f>
        <v>0</v>
      </c>
      <c r="P27" s="39">
        <f>Table2[[#This Row],[ADD ACC]]*Table2[[#This Row],[RT TIME (744)]]</f>
        <v>0</v>
      </c>
    </row>
    <row r="28" spans="1:16" ht="15.75" customHeight="1" x14ac:dyDescent="0.25">
      <c r="A28" s="38" t="str">
        <f t="shared" si="0"/>
        <v>MPM/AZS</v>
      </c>
      <c r="B28" s="39" t="s">
        <v>2793</v>
      </c>
      <c r="C28" s="39" t="s">
        <v>2</v>
      </c>
      <c r="D28" s="39"/>
      <c r="E28" s="39" t="s">
        <v>11478</v>
      </c>
      <c r="F28" s="39"/>
      <c r="G28" s="39" t="s">
        <v>11477</v>
      </c>
      <c r="H28" s="40"/>
      <c r="I28" s="41">
        <v>29</v>
      </c>
      <c r="J28" s="42">
        <v>228356743</v>
      </c>
      <c r="K28" s="42">
        <f t="shared" si="1"/>
        <v>68513.874287428742</v>
      </c>
      <c r="L28" s="43">
        <v>3333</v>
      </c>
      <c r="M28" s="39">
        <f>VLOOKUP(Table2[[#This Row],[ROUTE]],DEMAND!A:F,5,FALSE)</f>
        <v>3498</v>
      </c>
      <c r="N28" s="39">
        <f>VLOOKUP(Table2[[#This Row],[ROUTE]],DEMAND!A:F,6,FALSE)</f>
        <v>858</v>
      </c>
      <c r="O28" s="39">
        <f>ROUNDDOWN(Table2[[#This Row],[R-DEMAND]]/1320,0)</f>
        <v>0</v>
      </c>
      <c r="P28" s="39">
        <f>Table2[[#This Row],[ADD ACC]]*Table2[[#This Row],[RT TIME (744)]]</f>
        <v>0</v>
      </c>
    </row>
    <row r="29" spans="1:16" ht="15.75" customHeight="1" x14ac:dyDescent="0.25">
      <c r="A29" s="38" t="str">
        <f t="shared" si="0"/>
        <v>MPM/BAQ</v>
      </c>
      <c r="B29" s="39" t="s">
        <v>4649</v>
      </c>
      <c r="C29" s="39" t="s">
        <v>2</v>
      </c>
      <c r="D29" s="39"/>
      <c r="E29" s="39" t="s">
        <v>177</v>
      </c>
      <c r="F29" s="39"/>
      <c r="G29" s="39" t="s">
        <v>11497</v>
      </c>
      <c r="H29" s="40"/>
      <c r="I29" s="41">
        <v>29.25</v>
      </c>
      <c r="J29" s="42">
        <v>243496221</v>
      </c>
      <c r="K29" s="42">
        <f t="shared" si="1"/>
        <v>63229.34848091405</v>
      </c>
      <c r="L29" s="43">
        <v>3851</v>
      </c>
      <c r="M29" s="39">
        <f>VLOOKUP(Table2[[#This Row],[ROUTE]],DEMAND!A:F,5,FALSE)</f>
        <v>4042</v>
      </c>
      <c r="N29" s="39">
        <f>VLOOKUP(Table2[[#This Row],[ROUTE]],DEMAND!A:F,6,FALSE)</f>
        <v>82</v>
      </c>
      <c r="O29" s="39">
        <f>ROUNDDOWN(Table2[[#This Row],[R-DEMAND]]/1320,0)</f>
        <v>0</v>
      </c>
      <c r="P29" s="39">
        <f>Table2[[#This Row],[ADD ACC]]*Table2[[#This Row],[RT TIME (744)]]</f>
        <v>0</v>
      </c>
    </row>
    <row r="30" spans="1:16" ht="15.75" customHeight="1" x14ac:dyDescent="0.25">
      <c r="A30" s="1" t="str">
        <f t="shared" si="0"/>
        <v>MPM/BBO</v>
      </c>
      <c r="B30" s="4" t="s">
        <v>433</v>
      </c>
      <c r="C30" s="39" t="s">
        <v>2</v>
      </c>
      <c r="D30" s="39"/>
      <c r="E30" s="4" t="s">
        <v>432</v>
      </c>
      <c r="F30" s="4"/>
      <c r="G30" s="4" t="s">
        <v>431</v>
      </c>
      <c r="H30" s="8">
        <v>4254</v>
      </c>
      <c r="I30" s="7">
        <v>11.5</v>
      </c>
      <c r="J30" s="6"/>
      <c r="K30" s="6">
        <f t="shared" si="1"/>
        <v>0</v>
      </c>
      <c r="L30" s="5">
        <v>3310</v>
      </c>
      <c r="M30" s="39">
        <f>VLOOKUP(Table2[[#This Row],[ROUTE]],DEMAND!A:F,5,FALSE)</f>
        <v>5571</v>
      </c>
      <c r="N30" s="39">
        <f>VLOOKUP(Table2[[#This Row],[ROUTE]],DEMAND!A:F,6,FALSE)</f>
        <v>291</v>
      </c>
      <c r="O30" s="39">
        <f>ROUNDDOWN(Table2[[#This Row],[R-DEMAND]]/1320,0)</f>
        <v>0</v>
      </c>
      <c r="P30" s="39">
        <f>Table2[[#This Row],[ADD ACC]]*Table2[[#This Row],[RT TIME (744)]]</f>
        <v>0</v>
      </c>
    </row>
    <row r="31" spans="1:16" ht="15.75" customHeight="1" x14ac:dyDescent="0.25">
      <c r="A31" s="1" t="str">
        <f t="shared" si="0"/>
        <v>MPM/BCN</v>
      </c>
      <c r="B31" s="4" t="s">
        <v>430</v>
      </c>
      <c r="C31" s="39" t="s">
        <v>2</v>
      </c>
      <c r="D31" s="39"/>
      <c r="E31" s="4" t="s">
        <v>184</v>
      </c>
      <c r="F31" s="4"/>
      <c r="G31" s="4" t="s">
        <v>429</v>
      </c>
      <c r="H31" s="8">
        <v>2110</v>
      </c>
      <c r="I31" s="7">
        <v>20</v>
      </c>
      <c r="J31" s="6">
        <v>241136500</v>
      </c>
      <c r="K31" s="6">
        <f t="shared" si="1"/>
        <v>91721.757322175734</v>
      </c>
      <c r="L31" s="4">
        <v>2629</v>
      </c>
      <c r="M31" s="39">
        <f>VLOOKUP(Table2[[#This Row],[ROUTE]],DEMAND!A:F,5,FALSE)</f>
        <v>4092</v>
      </c>
      <c r="N31" s="39">
        <f>VLOOKUP(Table2[[#This Row],[ROUTE]],DEMAND!A:F,6,FALSE)</f>
        <v>132</v>
      </c>
      <c r="O31" s="39">
        <f>ROUNDDOWN(Table2[[#This Row],[R-DEMAND]]/1320,0)</f>
        <v>0</v>
      </c>
      <c r="P31" s="39">
        <f>Table2[[#This Row],[ADD ACC]]*Table2[[#This Row],[RT TIME (744)]]</f>
        <v>0</v>
      </c>
    </row>
    <row r="32" spans="1:16" ht="15.75" customHeight="1" x14ac:dyDescent="0.25">
      <c r="A32" s="38" t="str">
        <f t="shared" si="0"/>
        <v>MPM/BDA</v>
      </c>
      <c r="B32" s="39" t="s">
        <v>4429</v>
      </c>
      <c r="C32" s="39" t="s">
        <v>2</v>
      </c>
      <c r="D32" s="39"/>
      <c r="E32" s="39" t="s">
        <v>11471</v>
      </c>
      <c r="F32" s="39"/>
      <c r="G32" s="39" t="s">
        <v>11166</v>
      </c>
      <c r="H32" s="40"/>
      <c r="I32" s="41">
        <v>29</v>
      </c>
      <c r="J32" s="42">
        <v>240149060</v>
      </c>
      <c r="K32" s="42">
        <f t="shared" si="1"/>
        <v>70219.023391812865</v>
      </c>
      <c r="L32" s="43">
        <v>3420</v>
      </c>
      <c r="M32" s="39">
        <f>VLOOKUP(Table2[[#This Row],[ROUTE]],DEMAND!A:F,5,FALSE)</f>
        <v>3389</v>
      </c>
      <c r="N32" s="39">
        <f>VLOOKUP(Table2[[#This Row],[ROUTE]],DEMAND!A:F,6,FALSE)</f>
        <v>749</v>
      </c>
      <c r="O32" s="39">
        <f>ROUNDDOWN(Table2[[#This Row],[R-DEMAND]]/1320,0)</f>
        <v>0</v>
      </c>
      <c r="P32" s="39">
        <f>Table2[[#This Row],[ADD ACC]]*Table2[[#This Row],[RT TIME (744)]]</f>
        <v>0</v>
      </c>
    </row>
    <row r="33" spans="1:16" ht="15.75" customHeight="1" x14ac:dyDescent="0.25">
      <c r="A33" s="1" t="str">
        <f t="shared" si="0"/>
        <v>MPM/BDL</v>
      </c>
      <c r="B33" s="4" t="s">
        <v>428</v>
      </c>
      <c r="C33" s="39" t="s">
        <v>2</v>
      </c>
      <c r="D33" s="39"/>
      <c r="E33" s="39" t="s">
        <v>11471</v>
      </c>
      <c r="F33" s="4"/>
      <c r="G33" s="4" t="s">
        <v>427</v>
      </c>
      <c r="H33" s="8"/>
      <c r="I33" s="7">
        <v>31.25</v>
      </c>
      <c r="J33" s="6">
        <v>268132410</v>
      </c>
      <c r="K33" s="6">
        <f t="shared" si="1"/>
        <v>87941.0987208921</v>
      </c>
      <c r="L33" s="4">
        <v>3049</v>
      </c>
      <c r="M33" s="39">
        <f>VLOOKUP(Table2[[#This Row],[ROUTE]],DEMAND!A:F,5,FALSE)</f>
        <v>3201</v>
      </c>
      <c r="N33" s="39">
        <f>VLOOKUP(Table2[[#This Row],[ROUTE]],DEMAND!A:F,6,FALSE)</f>
        <v>561</v>
      </c>
      <c r="O33" s="39">
        <f>ROUNDDOWN(Table2[[#This Row],[R-DEMAND]]/1320,0)</f>
        <v>0</v>
      </c>
      <c r="P33" s="39">
        <f>Table2[[#This Row],[ADD ACC]]*Table2[[#This Row],[RT TIME (744)]]</f>
        <v>0</v>
      </c>
    </row>
    <row r="34" spans="1:16" ht="15.75" customHeight="1" x14ac:dyDescent="0.25">
      <c r="A34" s="1" t="str">
        <f t="shared" si="0"/>
        <v>MPM/BEL</v>
      </c>
      <c r="B34" s="4" t="s">
        <v>426</v>
      </c>
      <c r="C34" s="39" t="s">
        <v>2</v>
      </c>
      <c r="D34" s="39"/>
      <c r="E34" s="4" t="s">
        <v>297</v>
      </c>
      <c r="F34" s="4"/>
      <c r="G34" s="4" t="s">
        <v>425</v>
      </c>
      <c r="H34" s="8">
        <v>8048</v>
      </c>
      <c r="I34" s="7">
        <v>22.25</v>
      </c>
      <c r="J34" s="6">
        <v>218442956</v>
      </c>
      <c r="K34" s="6">
        <f t="shared" si="1"/>
        <v>83153.009516558814</v>
      </c>
      <c r="L34" s="4">
        <v>2627</v>
      </c>
      <c r="M34" s="39">
        <f>VLOOKUP(Table2[[#This Row],[ROUTE]],DEMAND!A:F,5,FALSE)</f>
        <v>4146</v>
      </c>
      <c r="N34" s="39">
        <f>VLOOKUP(Table2[[#This Row],[ROUTE]],DEMAND!A:F,6,FALSE)</f>
        <v>186</v>
      </c>
      <c r="O34" s="39">
        <f>ROUNDDOWN(Table2[[#This Row],[R-DEMAND]]/1320,0)</f>
        <v>0</v>
      </c>
      <c r="P34" s="39">
        <f>Table2[[#This Row],[ADD ACC]]*Table2[[#This Row],[RT TIME (744)]]</f>
        <v>0</v>
      </c>
    </row>
    <row r="35" spans="1:16" ht="15.75" customHeight="1" x14ac:dyDescent="0.25">
      <c r="A35" s="38" t="str">
        <f t="shared" si="0"/>
        <v>MPM/BEY</v>
      </c>
      <c r="B35" s="39" t="s">
        <v>5395</v>
      </c>
      <c r="C35" s="39" t="s">
        <v>2</v>
      </c>
      <c r="D35" s="39"/>
      <c r="E35" s="39" t="s">
        <v>11153</v>
      </c>
      <c r="F35" s="39"/>
      <c r="G35" s="39" t="s">
        <v>11154</v>
      </c>
      <c r="H35" s="40">
        <v>6652</v>
      </c>
      <c r="I35" s="41">
        <v>16.75</v>
      </c>
      <c r="J35" s="42">
        <v>202157453</v>
      </c>
      <c r="K35" s="42">
        <f t="shared" si="1"/>
        <v>47577.654271593317</v>
      </c>
      <c r="L35" s="43">
        <v>4249</v>
      </c>
      <c r="M35" s="39">
        <f>VLOOKUP(Table2[[#This Row],[ROUTE]],DEMAND!A:F,5,FALSE)</f>
        <v>4303</v>
      </c>
      <c r="N35" s="39">
        <f>VLOOKUP(Table2[[#This Row],[ROUTE]],DEMAND!A:F,6,FALSE)</f>
        <v>343</v>
      </c>
      <c r="O35" s="39">
        <f>ROUNDDOWN(Table2[[#This Row],[R-DEMAND]]/1320,0)</f>
        <v>0</v>
      </c>
      <c r="P35" s="39">
        <f>Table2[[#This Row],[ADD ACC]]*Table2[[#This Row],[RT TIME (744)]]</f>
        <v>0</v>
      </c>
    </row>
    <row r="36" spans="1:16" ht="15.75" customHeight="1" x14ac:dyDescent="0.25">
      <c r="A36" s="1" t="str">
        <f t="shared" si="0"/>
        <v>MPM/BFS</v>
      </c>
      <c r="B36" s="4" t="s">
        <v>424</v>
      </c>
      <c r="C36" s="39" t="s">
        <v>11122</v>
      </c>
      <c r="D36" s="39"/>
      <c r="E36" s="10" t="s">
        <v>83</v>
      </c>
      <c r="F36" s="4"/>
      <c r="G36" s="4" t="s">
        <v>423</v>
      </c>
      <c r="H36" s="8">
        <v>9698</v>
      </c>
      <c r="I36" s="7">
        <v>23.5</v>
      </c>
      <c r="J36" s="6">
        <v>232797458</v>
      </c>
      <c r="K36" s="6">
        <f t="shared" si="1"/>
        <v>104581.06828391734</v>
      </c>
      <c r="L36" s="48">
        <v>2226</v>
      </c>
      <c r="M36" s="39" t="e">
        <f>VLOOKUP(Table2[[#This Row],[ROUTE]],DEMAND!A:F,5,FALSE)</f>
        <v>#N/A</v>
      </c>
      <c r="N36" s="39" t="e">
        <f>VLOOKUP(Table2[[#This Row],[ROUTE]],DEMAND!A:F,6,FALSE)</f>
        <v>#N/A</v>
      </c>
      <c r="O36" s="39" t="e">
        <f>ROUNDDOWN(Table2[[#This Row],[R-DEMAND]]/1320,0)</f>
        <v>#N/A</v>
      </c>
      <c r="P36" s="39" t="e">
        <f>Table2[[#This Row],[ADD ACC]]*Table2[[#This Row],[RT TIME (744)]]</f>
        <v>#N/A</v>
      </c>
    </row>
    <row r="37" spans="1:16" ht="15.75" customHeight="1" x14ac:dyDescent="0.25">
      <c r="A37" s="38" t="str">
        <f t="shared" si="0"/>
        <v>MPM/BGI</v>
      </c>
      <c r="B37" s="39" t="s">
        <v>4993</v>
      </c>
      <c r="C37" s="39" t="s">
        <v>2</v>
      </c>
      <c r="D37" s="39"/>
      <c r="E37" s="39" t="s">
        <v>11655</v>
      </c>
      <c r="F37" s="39"/>
      <c r="G37" s="39" t="s">
        <v>11656</v>
      </c>
      <c r="H37" s="40">
        <v>10844</v>
      </c>
      <c r="I37" s="41">
        <v>26.15</v>
      </c>
      <c r="J37" s="42"/>
      <c r="K37" s="42">
        <f t="shared" si="1"/>
        <v>0</v>
      </c>
      <c r="L37" s="43">
        <v>3468</v>
      </c>
      <c r="M37" s="39">
        <f>VLOOKUP(Table2[[#This Row],[ROUTE]],DEMAND!A:F,5,FALSE)</f>
        <v>3471</v>
      </c>
      <c r="N37" s="39">
        <f>VLOOKUP(Table2[[#This Row],[ROUTE]],DEMAND!A:F,6,FALSE)</f>
        <v>831</v>
      </c>
      <c r="O37" s="39">
        <f>ROUNDDOWN(Table2[[#This Row],[R-DEMAND]]/1320,0)</f>
        <v>0</v>
      </c>
      <c r="P37" s="39">
        <f>Table2[[#This Row],[ADD ACC]]*Table2[[#This Row],[RT TIME (744)]]</f>
        <v>0</v>
      </c>
    </row>
    <row r="38" spans="1:16" ht="15.75" customHeight="1" x14ac:dyDescent="0.25">
      <c r="A38" s="38" t="s">
        <v>11574</v>
      </c>
      <c r="B38" s="61" t="s">
        <v>4406</v>
      </c>
      <c r="C38" s="39" t="s">
        <v>2</v>
      </c>
      <c r="D38" s="39"/>
      <c r="E38" s="39" t="s">
        <v>11471</v>
      </c>
      <c r="F38" s="39"/>
      <c r="G38" s="39" t="s">
        <v>11654</v>
      </c>
      <c r="H38" s="62">
        <v>12872</v>
      </c>
      <c r="I38" s="41">
        <v>30.75</v>
      </c>
      <c r="J38" s="42"/>
      <c r="K38" s="42">
        <f t="shared" si="1"/>
        <v>0</v>
      </c>
      <c r="L38" s="86">
        <v>2724</v>
      </c>
      <c r="M38" s="39">
        <f>VLOOKUP(Table2[[#This Row],[ROUTE]],DEMAND!A:F,5,FALSE)</f>
        <v>2605</v>
      </c>
      <c r="N38" s="39">
        <f>VLOOKUP(Table2[[#This Row],[ROUTE]],DEMAND!A:F,6,FALSE)</f>
        <v>1285</v>
      </c>
      <c r="O38" s="39">
        <f>ROUNDDOWN(Table2[[#This Row],[R-DEMAND]]/1320,0)</f>
        <v>0</v>
      </c>
      <c r="P38" s="39">
        <f>Table2[[#This Row],[ADD ACC]]*Table2[[#This Row],[RT TIME (744)]]</f>
        <v>0</v>
      </c>
    </row>
    <row r="39" spans="1:16" ht="15.75" customHeight="1" x14ac:dyDescent="0.25">
      <c r="A39" s="1" t="str">
        <f t="shared" ref="A39:A102" si="2">CONCATENATE("MPM/",B39)</f>
        <v>MPM/BGW</v>
      </c>
      <c r="B39" s="4" t="s">
        <v>422</v>
      </c>
      <c r="C39" s="39" t="s">
        <v>2</v>
      </c>
      <c r="D39" s="39"/>
      <c r="E39" s="4" t="s">
        <v>421</v>
      </c>
      <c r="F39" s="4"/>
      <c r="G39" s="4" t="s">
        <v>420</v>
      </c>
      <c r="H39" s="8">
        <v>6697</v>
      </c>
      <c r="I39" s="7">
        <v>17</v>
      </c>
      <c r="J39" s="6">
        <v>188025007</v>
      </c>
      <c r="K39" s="6">
        <f t="shared" si="1"/>
        <v>63372.095382541287</v>
      </c>
      <c r="L39" s="5">
        <v>2967</v>
      </c>
      <c r="M39" s="39" t="e">
        <f>VLOOKUP(Table2[[#This Row],[ROUTE]],DEMAND!A:F,5,FALSE)</f>
        <v>#N/A</v>
      </c>
      <c r="N39" s="39" t="e">
        <f>VLOOKUP(Table2[[#This Row],[ROUTE]],DEMAND!A:F,6,FALSE)</f>
        <v>#N/A</v>
      </c>
      <c r="O39" s="39" t="e">
        <f>ROUNDDOWN(Table2[[#This Row],[R-DEMAND]]/1320,0)</f>
        <v>#N/A</v>
      </c>
      <c r="P39" s="39" t="e">
        <f>Table2[[#This Row],[ADD ACC]]*Table2[[#This Row],[RT TIME (744)]]</f>
        <v>#N/A</v>
      </c>
    </row>
    <row r="40" spans="1:16" ht="15.75" customHeight="1" x14ac:dyDescent="0.25">
      <c r="A40" s="1" t="str">
        <f t="shared" si="2"/>
        <v>MPM/BGY</v>
      </c>
      <c r="B40" s="39" t="s">
        <v>5507</v>
      </c>
      <c r="C40" s="39" t="s">
        <v>2</v>
      </c>
      <c r="D40" s="39"/>
      <c r="E40" s="39" t="s">
        <v>308</v>
      </c>
      <c r="F40" s="39"/>
      <c r="G40" s="39" t="s">
        <v>11125</v>
      </c>
      <c r="H40" s="40">
        <v>8292</v>
      </c>
      <c r="I40" s="41">
        <v>20.5</v>
      </c>
      <c r="J40" s="42">
        <v>223154243</v>
      </c>
      <c r="K40" s="42">
        <f t="shared" si="1"/>
        <v>65807.797994691835</v>
      </c>
      <c r="L40" s="43">
        <v>3391</v>
      </c>
      <c r="M40" s="39">
        <f>VLOOKUP(Table2[[#This Row],[ROUTE]],DEMAND!A:F,5,FALSE)</f>
        <v>3605</v>
      </c>
      <c r="N40" s="39">
        <f>VLOOKUP(Table2[[#This Row],[ROUTE]],DEMAND!A:F,6,FALSE)</f>
        <v>965</v>
      </c>
      <c r="O40" s="39">
        <f>ROUNDDOWN(Table2[[#This Row],[R-DEMAND]]/1320,0)</f>
        <v>0</v>
      </c>
      <c r="P40" s="39">
        <f>Table2[[#This Row],[ADD ACC]]*Table2[[#This Row],[RT TIME (744)]]</f>
        <v>0</v>
      </c>
    </row>
    <row r="41" spans="1:16" ht="15.75" customHeight="1" x14ac:dyDescent="0.25">
      <c r="A41" s="1" t="str">
        <f t="shared" si="2"/>
        <v>MPM/BHV</v>
      </c>
      <c r="B41" s="10" t="s">
        <v>419</v>
      </c>
      <c r="C41" s="39" t="s">
        <v>2</v>
      </c>
      <c r="D41" s="39"/>
      <c r="E41" s="10" t="s">
        <v>197</v>
      </c>
      <c r="F41" s="10"/>
      <c r="G41" s="10" t="s">
        <v>418</v>
      </c>
      <c r="H41" s="8">
        <v>7431</v>
      </c>
      <c r="I41" s="7">
        <v>18.5</v>
      </c>
      <c r="J41" s="6">
        <v>218100015</v>
      </c>
      <c r="K41" s="6">
        <f t="shared" si="1"/>
        <v>38296.75417032485</v>
      </c>
      <c r="L41" s="4">
        <v>5695</v>
      </c>
      <c r="M41" s="39">
        <f>VLOOKUP(Table2[[#This Row],[ROUTE]],DEMAND!A:F,5,FALSE)</f>
        <v>6054</v>
      </c>
      <c r="N41" s="39">
        <f>VLOOKUP(Table2[[#This Row],[ROUTE]],DEMAND!A:F,6,FALSE)</f>
        <v>774</v>
      </c>
      <c r="O41" s="39">
        <f>ROUNDDOWN(Table2[[#This Row],[R-DEMAND]]/1320,0)</f>
        <v>0</v>
      </c>
      <c r="P41" s="39">
        <f>Table2[[#This Row],[ADD ACC]]*Table2[[#This Row],[RT TIME (744)]]</f>
        <v>0</v>
      </c>
    </row>
    <row r="42" spans="1:16" ht="15.75" customHeight="1" x14ac:dyDescent="0.25">
      <c r="A42" s="38" t="str">
        <f t="shared" si="2"/>
        <v>MPM/BJV</v>
      </c>
      <c r="B42" s="39" t="s">
        <v>5128</v>
      </c>
      <c r="C42" s="39" t="s">
        <v>2</v>
      </c>
      <c r="D42" s="39"/>
      <c r="E42" s="4" t="s">
        <v>251</v>
      </c>
      <c r="F42" s="39"/>
      <c r="G42" s="39" t="s">
        <v>11426</v>
      </c>
      <c r="H42" s="40">
        <v>7045</v>
      </c>
      <c r="I42" s="41">
        <v>17.75</v>
      </c>
      <c r="J42" s="42">
        <v>199220381</v>
      </c>
      <c r="K42" s="42">
        <f t="shared" si="1"/>
        <v>46514.214569227181</v>
      </c>
      <c r="L42" s="43">
        <v>4283</v>
      </c>
      <c r="M42" s="39">
        <f>VLOOKUP(Table2[[#This Row],[ROUTE]],DEMAND!A:F,5,FALSE)</f>
        <v>4337</v>
      </c>
      <c r="N42" s="39">
        <f>VLOOKUP(Table2[[#This Row],[ROUTE]],DEMAND!A:F,6,FALSE)</f>
        <v>377</v>
      </c>
      <c r="O42" s="39">
        <f>ROUNDDOWN(Table2[[#This Row],[R-DEMAND]]/1320,0)</f>
        <v>0</v>
      </c>
      <c r="P42" s="39">
        <f>Table2[[#This Row],[ADD ACC]]*Table2[[#This Row],[RT TIME (744)]]</f>
        <v>0</v>
      </c>
    </row>
    <row r="43" spans="1:16" ht="15.75" customHeight="1" x14ac:dyDescent="0.25">
      <c r="A43" s="1" t="str">
        <f t="shared" si="2"/>
        <v>MPM/BKI</v>
      </c>
      <c r="B43" s="4" t="s">
        <v>417</v>
      </c>
      <c r="C43" s="39" t="s">
        <v>2</v>
      </c>
      <c r="D43" s="39"/>
      <c r="E43" s="4" t="s">
        <v>60</v>
      </c>
      <c r="F43" s="4"/>
      <c r="G43" s="4" t="s">
        <v>416</v>
      </c>
      <c r="H43" s="8"/>
      <c r="I43" s="7">
        <v>23.5</v>
      </c>
      <c r="J43" s="6">
        <v>230389885</v>
      </c>
      <c r="K43" s="6">
        <f t="shared" si="1"/>
        <v>83263.420672208173</v>
      </c>
      <c r="L43" s="4">
        <v>2767</v>
      </c>
      <c r="M43" s="39">
        <f>VLOOKUP(Table2[[#This Row],[ROUTE]],DEMAND!A:F,5,FALSE)</f>
        <v>4579</v>
      </c>
      <c r="N43" s="39">
        <f>VLOOKUP(Table2[[#This Row],[ROUTE]],DEMAND!A:F,6,FALSE)</f>
        <v>619</v>
      </c>
      <c r="O43" s="39">
        <f>ROUNDDOWN(Table2[[#This Row],[R-DEMAND]]/1320,0)</f>
        <v>0</v>
      </c>
      <c r="P43" s="39">
        <f>Table2[[#This Row],[ADD ACC]]*Table2[[#This Row],[RT TIME (744)]]</f>
        <v>0</v>
      </c>
    </row>
    <row r="44" spans="1:16" ht="15.75" customHeight="1" x14ac:dyDescent="0.25">
      <c r="A44" s="1" t="str">
        <f t="shared" si="2"/>
        <v>MPM/BKK</v>
      </c>
      <c r="B44" s="4" t="s">
        <v>415</v>
      </c>
      <c r="C44" s="39" t="s">
        <v>2</v>
      </c>
      <c r="D44" s="39"/>
      <c r="E44" s="4" t="s">
        <v>29</v>
      </c>
      <c r="F44" s="4"/>
      <c r="G44" s="4" t="s">
        <v>329</v>
      </c>
      <c r="H44" s="8">
        <v>8586</v>
      </c>
      <c r="I44" s="7">
        <v>21.25</v>
      </c>
      <c r="J44" s="6"/>
      <c r="K44" s="6">
        <f t="shared" si="1"/>
        <v>0</v>
      </c>
      <c r="L44" s="48">
        <v>4001</v>
      </c>
      <c r="M44" s="39">
        <f>VLOOKUP(Table2[[#This Row],[ROUTE]],DEMAND!A:F,5,FALSE)</f>
        <v>6608</v>
      </c>
      <c r="N44" s="39">
        <f>VLOOKUP(Table2[[#This Row],[ROUTE]],DEMAND!A:F,6,FALSE)</f>
        <v>8</v>
      </c>
      <c r="O44" s="39">
        <f>ROUNDDOWN(Table2[[#This Row],[R-DEMAND]]/1320,0)</f>
        <v>0</v>
      </c>
      <c r="P44" s="39">
        <f>Table2[[#This Row],[ADD ACC]]*Table2[[#This Row],[RT TIME (744)]]</f>
        <v>0</v>
      </c>
    </row>
    <row r="45" spans="1:16" ht="15.75" customHeight="1" x14ac:dyDescent="0.25">
      <c r="A45" s="1" t="str">
        <f t="shared" si="2"/>
        <v>MPM/BLQ</v>
      </c>
      <c r="B45" s="39" t="s">
        <v>5392</v>
      </c>
      <c r="C45" s="39" t="s">
        <v>2</v>
      </c>
      <c r="D45" s="39"/>
      <c r="E45" s="39" t="s">
        <v>308</v>
      </c>
      <c r="F45" s="39"/>
      <c r="G45" s="39" t="s">
        <v>11127</v>
      </c>
      <c r="H45" s="40">
        <v>8129</v>
      </c>
      <c r="I45" s="41">
        <v>20.25</v>
      </c>
      <c r="J45" s="42">
        <v>217753875</v>
      </c>
      <c r="K45" s="42">
        <f t="shared" si="1"/>
        <v>69658.949136276395</v>
      </c>
      <c r="L45" s="43">
        <v>3126</v>
      </c>
      <c r="M45" s="39">
        <f>VLOOKUP(Table2[[#This Row],[ROUTE]],DEMAND!A:F,5,FALSE)</f>
        <v>3323</v>
      </c>
      <c r="N45" s="39">
        <f>VLOOKUP(Table2[[#This Row],[ROUTE]],DEMAND!A:F,6,FALSE)</f>
        <v>683</v>
      </c>
      <c r="O45" s="39">
        <f>ROUNDDOWN(Table2[[#This Row],[R-DEMAND]]/1320,0)</f>
        <v>0</v>
      </c>
      <c r="P45" s="39">
        <f>Table2[[#This Row],[ADD ACC]]*Table2[[#This Row],[RT TIME (744)]]</f>
        <v>0</v>
      </c>
    </row>
    <row r="46" spans="1:16" ht="15.75" customHeight="1" x14ac:dyDescent="0.25">
      <c r="A46" s="1" t="str">
        <f t="shared" si="2"/>
        <v>MPM/BLR</v>
      </c>
      <c r="B46" s="4" t="s">
        <v>414</v>
      </c>
      <c r="C46" s="39" t="s">
        <v>2</v>
      </c>
      <c r="D46" s="39"/>
      <c r="E46" s="4" t="s">
        <v>23</v>
      </c>
      <c r="F46" s="4"/>
      <c r="G46" s="4" t="s">
        <v>413</v>
      </c>
      <c r="H46" s="8"/>
      <c r="I46" s="7">
        <v>16.5</v>
      </c>
      <c r="J46" s="6">
        <v>210953797</v>
      </c>
      <c r="K46" s="6">
        <f t="shared" si="1"/>
        <v>57986.200384826829</v>
      </c>
      <c r="L46" s="5">
        <v>3638</v>
      </c>
      <c r="M46" s="39">
        <f>VLOOKUP(Table2[[#This Row],[ROUTE]],DEMAND!A:F,5,FALSE)</f>
        <v>5909</v>
      </c>
      <c r="N46" s="39">
        <f>VLOOKUP(Table2[[#This Row],[ROUTE]],DEMAND!A:F,6,FALSE)</f>
        <v>629</v>
      </c>
      <c r="O46" s="39">
        <f>ROUNDDOWN(Table2[[#This Row],[R-DEMAND]]/1320,0)</f>
        <v>0</v>
      </c>
      <c r="P46" s="39">
        <f>Table2[[#This Row],[ADD ACC]]*Table2[[#This Row],[RT TIME (744)]]</f>
        <v>0</v>
      </c>
    </row>
    <row r="47" spans="1:16" ht="15.75" customHeight="1" x14ac:dyDescent="0.25">
      <c r="A47" s="1" t="str">
        <f t="shared" si="2"/>
        <v>MPM/BMV</v>
      </c>
      <c r="B47" s="4" t="s">
        <v>412</v>
      </c>
      <c r="C47" s="39" t="s">
        <v>11122</v>
      </c>
      <c r="D47" s="39"/>
      <c r="E47" s="4" t="s">
        <v>99</v>
      </c>
      <c r="F47" s="4"/>
      <c r="G47" s="4" t="s">
        <v>411</v>
      </c>
      <c r="H47" s="8"/>
      <c r="I47" s="7">
        <v>22.5</v>
      </c>
      <c r="J47" s="6">
        <v>198915159</v>
      </c>
      <c r="K47" s="6">
        <f t="shared" si="1"/>
        <v>96233.748911465897</v>
      </c>
      <c r="L47" s="4">
        <v>2067</v>
      </c>
      <c r="M47" s="39" t="e">
        <f>VLOOKUP(Table2[[#This Row],[ROUTE]],DEMAND!A:F,5,FALSE)</f>
        <v>#N/A</v>
      </c>
      <c r="N47" s="39" t="e">
        <f>VLOOKUP(Table2[[#This Row],[ROUTE]],DEMAND!A:F,6,FALSE)</f>
        <v>#N/A</v>
      </c>
      <c r="O47" s="39" t="e">
        <f>ROUNDDOWN(Table2[[#This Row],[R-DEMAND]]/1320,0)</f>
        <v>#N/A</v>
      </c>
      <c r="P47" s="39" t="e">
        <f>Table2[[#This Row],[ADD ACC]]*Table2[[#This Row],[RT TIME (744)]]</f>
        <v>#N/A</v>
      </c>
    </row>
    <row r="48" spans="1:16" ht="15.75" customHeight="1" x14ac:dyDescent="0.25">
      <c r="A48" s="1" t="str">
        <f t="shared" si="2"/>
        <v>MPM/BNE</v>
      </c>
      <c r="B48" s="4" t="s">
        <v>410</v>
      </c>
      <c r="C48" s="39" t="s">
        <v>2</v>
      </c>
      <c r="D48" s="39"/>
      <c r="E48" s="4" t="s">
        <v>70</v>
      </c>
      <c r="F48" s="4"/>
      <c r="G48" s="4" t="s">
        <v>409</v>
      </c>
      <c r="H48" s="8">
        <v>11324</v>
      </c>
      <c r="I48" s="7">
        <v>27.25</v>
      </c>
      <c r="J48" s="6">
        <v>266650470</v>
      </c>
      <c r="K48" s="6">
        <f t="shared" si="1"/>
        <v>92426.506065857888</v>
      </c>
      <c r="L48" s="4">
        <v>2885</v>
      </c>
      <c r="M48" s="39">
        <f>VLOOKUP(Table2[[#This Row],[ROUTE]],DEMAND!A:F,5,FALSE)</f>
        <v>4698</v>
      </c>
      <c r="N48" s="39">
        <f>VLOOKUP(Table2[[#This Row],[ROUTE]],DEMAND!A:F,6,FALSE)</f>
        <v>738</v>
      </c>
      <c r="O48" s="39">
        <f>ROUNDDOWN(Table2[[#This Row],[R-DEMAND]]/1320,0)</f>
        <v>0</v>
      </c>
      <c r="P48" s="39">
        <f>Table2[[#This Row],[ADD ACC]]*Table2[[#This Row],[RT TIME (744)]]</f>
        <v>0</v>
      </c>
    </row>
    <row r="49" spans="1:16" ht="15.75" customHeight="1" x14ac:dyDescent="0.25">
      <c r="A49" s="1" t="str">
        <f t="shared" si="2"/>
        <v>MPM/BOG</v>
      </c>
      <c r="B49" s="4" t="s">
        <v>408</v>
      </c>
      <c r="C49" s="39" t="s">
        <v>2</v>
      </c>
      <c r="D49" s="39"/>
      <c r="E49" s="4" t="s">
        <v>177</v>
      </c>
      <c r="F49" s="4"/>
      <c r="G49" s="4" t="s">
        <v>407</v>
      </c>
      <c r="H49" s="8">
        <v>11910</v>
      </c>
      <c r="I49" s="7">
        <v>28.5</v>
      </c>
      <c r="J49" s="6">
        <v>271056158</v>
      </c>
      <c r="K49" s="6">
        <f t="shared" si="1"/>
        <v>76742.966591166478</v>
      </c>
      <c r="L49" s="5">
        <v>3532</v>
      </c>
      <c r="M49" s="39">
        <f>VLOOKUP(Table2[[#This Row],[ROUTE]],DEMAND!A:F,5,FALSE)</f>
        <v>5754</v>
      </c>
      <c r="N49" s="39">
        <f>VLOOKUP(Table2[[#This Row],[ROUTE]],DEMAND!A:F,6,FALSE)</f>
        <v>474</v>
      </c>
      <c r="O49" s="39">
        <f>ROUNDDOWN(Table2[[#This Row],[R-DEMAND]]/1320,0)</f>
        <v>0</v>
      </c>
      <c r="P49" s="39">
        <f>Table2[[#This Row],[ADD ACC]]*Table2[[#This Row],[RT TIME (744)]]</f>
        <v>0</v>
      </c>
    </row>
    <row r="50" spans="1:16" ht="15.75" customHeight="1" x14ac:dyDescent="0.25">
      <c r="A50" s="1" t="str">
        <f t="shared" si="2"/>
        <v>MPM/BOM</v>
      </c>
      <c r="B50" s="4" t="s">
        <v>406</v>
      </c>
      <c r="C50" s="39" t="s">
        <v>2</v>
      </c>
      <c r="D50" s="39"/>
      <c r="E50" s="4" t="s">
        <v>23</v>
      </c>
      <c r="F50" s="4"/>
      <c r="G50" s="4" t="s">
        <v>405</v>
      </c>
      <c r="H50" s="8">
        <v>6634</v>
      </c>
      <c r="I50" s="7">
        <v>16.75</v>
      </c>
      <c r="J50" s="6"/>
      <c r="K50" s="6">
        <f t="shared" si="1"/>
        <v>0</v>
      </c>
      <c r="L50" s="4">
        <v>4127</v>
      </c>
      <c r="M50" s="39">
        <f>VLOOKUP(Table2[[#This Row],[ROUTE]],DEMAND!A:F,5,FALSE)</f>
        <v>6691</v>
      </c>
      <c r="N50" s="39">
        <f>VLOOKUP(Table2[[#This Row],[ROUTE]],DEMAND!A:F,6,FALSE)</f>
        <v>91</v>
      </c>
      <c r="O50" s="39">
        <f>ROUNDDOWN(Table2[[#This Row],[R-DEMAND]]/1320,0)</f>
        <v>0</v>
      </c>
      <c r="P50" s="39">
        <f>Table2[[#This Row],[ADD ACC]]*Table2[[#This Row],[RT TIME (744)]]</f>
        <v>0</v>
      </c>
    </row>
    <row r="51" spans="1:16" ht="15.75" customHeight="1" x14ac:dyDescent="0.25">
      <c r="A51" s="38" t="str">
        <f t="shared" si="2"/>
        <v>MPM/BOS</v>
      </c>
      <c r="B51" s="39" t="s">
        <v>404</v>
      </c>
      <c r="C51" s="39" t="s">
        <v>2</v>
      </c>
      <c r="D51" s="39"/>
      <c r="E51" s="39" t="s">
        <v>11471</v>
      </c>
      <c r="F51" s="39"/>
      <c r="G51" s="39" t="s">
        <v>403</v>
      </c>
      <c r="H51" s="40"/>
      <c r="I51" s="7">
        <v>31</v>
      </c>
      <c r="J51" s="6">
        <v>274713602</v>
      </c>
      <c r="K51" s="42">
        <f t="shared" si="1"/>
        <v>70674.968356058656</v>
      </c>
      <c r="L51" s="43">
        <v>3887</v>
      </c>
      <c r="M51" s="39">
        <f>VLOOKUP(Table2[[#This Row],[ROUTE]],DEMAND!A:F,5,FALSE)</f>
        <v>3863</v>
      </c>
      <c r="N51" s="39">
        <f>VLOOKUP(Table2[[#This Row],[ROUTE]],DEMAND!A:F,6,FALSE)</f>
        <v>1223</v>
      </c>
      <c r="O51" s="39">
        <f>ROUNDDOWN(Table2[[#This Row],[R-DEMAND]]/1320,0)</f>
        <v>0</v>
      </c>
      <c r="P51" s="39">
        <f>Table2[[#This Row],[ADD ACC]]*Table2[[#This Row],[RT TIME (744)]]</f>
        <v>0</v>
      </c>
    </row>
    <row r="52" spans="1:16" ht="15.75" customHeight="1" x14ac:dyDescent="0.25">
      <c r="A52" s="38" t="str">
        <f t="shared" si="2"/>
        <v>MPM/BQN</v>
      </c>
      <c r="B52" s="39" t="s">
        <v>3992</v>
      </c>
      <c r="C52" s="39" t="s">
        <v>2</v>
      </c>
      <c r="D52" s="39"/>
      <c r="E52" s="39" t="s">
        <v>11487</v>
      </c>
      <c r="F52" s="39"/>
      <c r="G52" s="39" t="s">
        <v>11489</v>
      </c>
      <c r="H52" s="40"/>
      <c r="I52" s="41">
        <v>28.25</v>
      </c>
      <c r="J52" s="42">
        <v>233922875</v>
      </c>
      <c r="K52" s="42">
        <f t="shared" si="1"/>
        <v>85466.888929484834</v>
      </c>
      <c r="L52" s="43">
        <v>2737</v>
      </c>
      <c r="M52" s="39">
        <f>VLOOKUP(Table2[[#This Row],[ROUTE]],DEMAND!A:F,5,FALSE)</f>
        <v>2873</v>
      </c>
      <c r="N52" s="39">
        <f>VLOOKUP(Table2[[#This Row],[ROUTE]],DEMAND!A:F,6,FALSE)</f>
        <v>233</v>
      </c>
      <c r="O52" s="39">
        <f>ROUNDDOWN(Table2[[#This Row],[R-DEMAND]]/1320,0)</f>
        <v>0</v>
      </c>
      <c r="P52" s="39">
        <f>Table2[[#This Row],[ADD ACC]]*Table2[[#This Row],[RT TIME (744)]]</f>
        <v>0</v>
      </c>
    </row>
    <row r="53" spans="1:16" ht="15.75" customHeight="1" x14ac:dyDescent="0.25">
      <c r="A53" s="1" t="str">
        <f t="shared" si="2"/>
        <v>MPM/BRU</v>
      </c>
      <c r="B53" s="4" t="s">
        <v>402</v>
      </c>
      <c r="C53" s="39" t="s">
        <v>2</v>
      </c>
      <c r="D53" s="39"/>
      <c r="E53" s="4" t="s">
        <v>401</v>
      </c>
      <c r="F53" s="4"/>
      <c r="G53" s="4" t="s">
        <v>400</v>
      </c>
      <c r="H53" s="8">
        <v>8978</v>
      </c>
      <c r="I53" s="7">
        <v>22</v>
      </c>
      <c r="J53" s="6">
        <v>242044460</v>
      </c>
      <c r="K53" s="6">
        <f t="shared" si="1"/>
        <v>93094.023076923084</v>
      </c>
      <c r="L53" s="4">
        <v>2600</v>
      </c>
      <c r="M53" s="39">
        <f>VLOOKUP(Table2[[#This Row],[ROUTE]],DEMAND!A:F,5,FALSE)</f>
        <v>4104</v>
      </c>
      <c r="N53" s="39">
        <f>VLOOKUP(Table2[[#This Row],[ROUTE]],DEMAND!A:F,6,FALSE)</f>
        <v>144</v>
      </c>
      <c r="O53" s="39">
        <f>ROUNDDOWN(Table2[[#This Row],[R-DEMAND]]/1320,0)</f>
        <v>0</v>
      </c>
      <c r="P53" s="39">
        <f>Table2[[#This Row],[ADD ACC]]*Table2[[#This Row],[RT TIME (744)]]</f>
        <v>0</v>
      </c>
    </row>
    <row r="54" spans="1:16" ht="15.75" customHeight="1" x14ac:dyDescent="0.25">
      <c r="A54" s="1" t="str">
        <f t="shared" si="2"/>
        <v>MPM/BSB</v>
      </c>
      <c r="B54" s="4" t="s">
        <v>399</v>
      </c>
      <c r="C54" s="39" t="s">
        <v>2</v>
      </c>
      <c r="D54" s="39"/>
      <c r="E54" s="4" t="s">
        <v>297</v>
      </c>
      <c r="F54" s="4"/>
      <c r="G54" s="4" t="s">
        <v>398</v>
      </c>
      <c r="H54" s="8">
        <v>8317</v>
      </c>
      <c r="I54" s="7">
        <v>20.5</v>
      </c>
      <c r="J54" s="6">
        <v>230777245</v>
      </c>
      <c r="K54" s="6">
        <f t="shared" si="1"/>
        <v>70921.095574677325</v>
      </c>
      <c r="L54" s="4">
        <v>3254</v>
      </c>
      <c r="M54" s="39">
        <f>VLOOKUP(Table2[[#This Row],[ROUTE]],DEMAND!A:F,5,FALSE)</f>
        <v>5134</v>
      </c>
      <c r="N54" s="39">
        <f>VLOOKUP(Table2[[#This Row],[ROUTE]],DEMAND!A:F,6,FALSE)</f>
        <v>1174</v>
      </c>
      <c r="O54" s="39">
        <f>ROUNDDOWN(Table2[[#This Row],[R-DEMAND]]/1320,0)</f>
        <v>0</v>
      </c>
      <c r="P54" s="39">
        <f>Table2[[#This Row],[ADD ACC]]*Table2[[#This Row],[RT TIME (744)]]</f>
        <v>0</v>
      </c>
    </row>
    <row r="55" spans="1:16" ht="15.75" customHeight="1" x14ac:dyDescent="0.25">
      <c r="A55" s="1" t="str">
        <f t="shared" si="2"/>
        <v>MPM/BSL</v>
      </c>
      <c r="B55" s="4" t="s">
        <v>397</v>
      </c>
      <c r="C55" s="39" t="s">
        <v>11122</v>
      </c>
      <c r="D55" s="39"/>
      <c r="E55" s="4" t="s">
        <v>5</v>
      </c>
      <c r="F55" s="4"/>
      <c r="G55" s="4" t="s">
        <v>396</v>
      </c>
      <c r="H55" s="8">
        <v>8552</v>
      </c>
      <c r="I55" s="7">
        <v>21</v>
      </c>
      <c r="J55" s="6">
        <v>221349156</v>
      </c>
      <c r="K55" s="6">
        <f t="shared" si="1"/>
        <v>109633.06389301634</v>
      </c>
      <c r="L55" s="4">
        <v>2019</v>
      </c>
      <c r="M55" s="39" t="e">
        <f>VLOOKUP(Table2[[#This Row],[ROUTE]],DEMAND!A:F,5,FALSE)</f>
        <v>#N/A</v>
      </c>
      <c r="N55" s="39" t="e">
        <f>VLOOKUP(Table2[[#This Row],[ROUTE]],DEMAND!A:F,6,FALSE)</f>
        <v>#N/A</v>
      </c>
      <c r="O55" s="39" t="e">
        <f>ROUNDDOWN(Table2[[#This Row],[R-DEMAND]]/1320,0)</f>
        <v>#N/A</v>
      </c>
      <c r="P55" s="39" t="e">
        <f>Table2[[#This Row],[ADD ACC]]*Table2[[#This Row],[RT TIME (744)]]</f>
        <v>#N/A</v>
      </c>
    </row>
    <row r="56" spans="1:16" ht="15.75" customHeight="1" x14ac:dyDescent="0.25">
      <c r="A56" s="1" t="str">
        <f t="shared" si="2"/>
        <v>MPM/BTH</v>
      </c>
      <c r="B56" s="4" t="s">
        <v>395</v>
      </c>
      <c r="C56" s="39" t="s">
        <v>2</v>
      </c>
      <c r="D56" s="39"/>
      <c r="E56" s="4" t="s">
        <v>36</v>
      </c>
      <c r="F56" s="4"/>
      <c r="G56" s="4" t="s">
        <v>394</v>
      </c>
      <c r="H56" s="8">
        <v>8227</v>
      </c>
      <c r="I56" s="7">
        <v>20.25</v>
      </c>
      <c r="J56" s="6">
        <v>213216719</v>
      </c>
      <c r="K56" s="6">
        <f t="shared" si="1"/>
        <v>72646.241567291305</v>
      </c>
      <c r="L56" s="167">
        <v>2935</v>
      </c>
      <c r="M56" s="39">
        <f>VLOOKUP(Table2[[#This Row],[ROUTE]],DEMAND!A:F,5,FALSE)</f>
        <v>4856</v>
      </c>
      <c r="N56" s="39">
        <f>VLOOKUP(Table2[[#This Row],[ROUTE]],DEMAND!A:F,6,FALSE)</f>
        <v>896</v>
      </c>
      <c r="O56" s="39">
        <f>ROUNDDOWN(Table2[[#This Row],[R-DEMAND]]/1320,0)</f>
        <v>0</v>
      </c>
      <c r="P56" s="39">
        <f>Table2[[#This Row],[ADD ACC]]*Table2[[#This Row],[RT TIME (744)]]</f>
        <v>0</v>
      </c>
    </row>
    <row r="57" spans="1:16" ht="15.75" customHeight="1" x14ac:dyDescent="0.25">
      <c r="A57" s="1" t="str">
        <f t="shared" si="2"/>
        <v>MPM/BUD</v>
      </c>
      <c r="B57" s="4" t="s">
        <v>393</v>
      </c>
      <c r="C57" s="39" t="s">
        <v>2</v>
      </c>
      <c r="D57" s="39"/>
      <c r="E57" s="4" t="s">
        <v>392</v>
      </c>
      <c r="F57" s="4"/>
      <c r="G57" s="4" t="s">
        <v>391</v>
      </c>
      <c r="H57" s="8">
        <v>8268</v>
      </c>
      <c r="I57" s="7">
        <v>20.5</v>
      </c>
      <c r="J57" s="6">
        <v>223410776</v>
      </c>
      <c r="K57" s="6">
        <f t="shared" si="1"/>
        <v>80104.258157045537</v>
      </c>
      <c r="L57" s="48">
        <v>2789</v>
      </c>
      <c r="M57" s="39">
        <f>VLOOKUP(Table2[[#This Row],[ROUTE]],DEMAND!A:F,5,FALSE)</f>
        <v>4401</v>
      </c>
      <c r="N57" s="39">
        <f>VLOOKUP(Table2[[#This Row],[ROUTE]],DEMAND!A:F,6,FALSE)</f>
        <v>441</v>
      </c>
      <c r="O57" s="39">
        <f>ROUNDDOWN(Table2[[#This Row],[R-DEMAND]]/1320,0)</f>
        <v>0</v>
      </c>
      <c r="P57" s="39">
        <f>Table2[[#This Row],[ADD ACC]]*Table2[[#This Row],[RT TIME (744)]]</f>
        <v>0</v>
      </c>
    </row>
    <row r="58" spans="1:16" ht="15.75" customHeight="1" x14ac:dyDescent="0.25">
      <c r="A58" s="38" t="str">
        <f t="shared" si="2"/>
        <v>MPM/BWI</v>
      </c>
      <c r="B58" s="39" t="s">
        <v>5682</v>
      </c>
      <c r="C58" s="39" t="s">
        <v>2</v>
      </c>
      <c r="D58" s="39"/>
      <c r="E58" s="39" t="s">
        <v>11471</v>
      </c>
      <c r="F58" s="39"/>
      <c r="G58" s="39" t="s">
        <v>11499</v>
      </c>
      <c r="H58" s="40"/>
      <c r="I58" s="41">
        <v>31.75</v>
      </c>
      <c r="J58" s="42">
        <v>288646247</v>
      </c>
      <c r="K58" s="42">
        <f t="shared" si="1"/>
        <v>80921.291561536302</v>
      </c>
      <c r="L58" s="43">
        <v>3567</v>
      </c>
      <c r="M58" s="39">
        <f>VLOOKUP(Table2[[#This Row],[ROUTE]],DEMAND!A:F,5,FALSE)</f>
        <v>3744</v>
      </c>
      <c r="N58" s="39">
        <f>VLOOKUP(Table2[[#This Row],[ROUTE]],DEMAND!A:F,6,FALSE)</f>
        <v>1104</v>
      </c>
      <c r="O58" s="39">
        <f>ROUNDDOWN(Table2[[#This Row],[R-DEMAND]]/1320,0)</f>
        <v>0</v>
      </c>
      <c r="P58" s="39">
        <f>Table2[[#This Row],[ADD ACC]]*Table2[[#This Row],[RT TIME (744)]]</f>
        <v>0</v>
      </c>
    </row>
    <row r="59" spans="1:16" ht="15.75" customHeight="1" x14ac:dyDescent="0.25">
      <c r="A59" s="1" t="str">
        <f t="shared" si="2"/>
        <v>MPM/BYN</v>
      </c>
      <c r="B59" s="3" t="s">
        <v>390</v>
      </c>
      <c r="C59" s="39" t="s">
        <v>2</v>
      </c>
      <c r="D59" s="39"/>
      <c r="E59" s="4" t="s">
        <v>39</v>
      </c>
      <c r="F59" s="4"/>
      <c r="G59" s="4" t="s">
        <v>389</v>
      </c>
      <c r="H59" s="8">
        <v>10541</v>
      </c>
      <c r="I59" s="7">
        <v>25.5</v>
      </c>
      <c r="J59" s="6">
        <v>205277712</v>
      </c>
      <c r="K59" s="6">
        <f t="shared" si="1"/>
        <v>72510.671847403748</v>
      </c>
      <c r="L59" s="4">
        <v>2831</v>
      </c>
      <c r="M59" s="39">
        <f>VLOOKUP(Table2[[#This Row],[ROUTE]],DEMAND!A:F,5,FALSE)</f>
        <v>3302</v>
      </c>
      <c r="N59" s="39">
        <f>VLOOKUP(Table2[[#This Row],[ROUTE]],DEMAND!A:F,6,FALSE)</f>
        <v>662</v>
      </c>
      <c r="O59" s="39">
        <f>ROUNDDOWN(Table2[[#This Row],[R-DEMAND]]/1320,0)</f>
        <v>0</v>
      </c>
      <c r="P59" s="39">
        <f>Table2[[#This Row],[ADD ACC]]*Table2[[#This Row],[RT TIME (744)]]</f>
        <v>0</v>
      </c>
    </row>
    <row r="60" spans="1:16" ht="15.75" customHeight="1" x14ac:dyDescent="0.25">
      <c r="A60" s="1" t="str">
        <f t="shared" si="2"/>
        <v>MPM/CAI</v>
      </c>
      <c r="B60" s="4" t="s">
        <v>388</v>
      </c>
      <c r="C60" s="39" t="s">
        <v>2</v>
      </c>
      <c r="D60" s="39"/>
      <c r="E60" s="4" t="s">
        <v>387</v>
      </c>
      <c r="F60" s="4"/>
      <c r="G60" s="4" t="s">
        <v>386</v>
      </c>
      <c r="H60" s="8">
        <v>6234</v>
      </c>
      <c r="I60" s="7">
        <v>16</v>
      </c>
      <c r="J60" s="6">
        <v>210217635</v>
      </c>
      <c r="K60" s="6">
        <f t="shared" si="1"/>
        <v>58736.41659681475</v>
      </c>
      <c r="L60" s="5">
        <v>3579</v>
      </c>
      <c r="M60" s="39">
        <f>VLOOKUP(Table2[[#This Row],[ROUTE]],DEMAND!A:F,5,FALSE)</f>
        <v>5567</v>
      </c>
      <c r="N60" s="39">
        <f>VLOOKUP(Table2[[#This Row],[ROUTE]],DEMAND!A:F,6,FALSE)</f>
        <v>287</v>
      </c>
      <c r="O60" s="39">
        <f>ROUNDDOWN(Table2[[#This Row],[R-DEMAND]]/1320,0)</f>
        <v>0</v>
      </c>
      <c r="P60" s="39">
        <f>Table2[[#This Row],[ADD ACC]]*Table2[[#This Row],[RT TIME (744)]]</f>
        <v>0</v>
      </c>
    </row>
    <row r="61" spans="1:16" ht="15.75" customHeight="1" x14ac:dyDescent="0.25">
      <c r="A61" s="1" t="str">
        <f t="shared" si="2"/>
        <v>MPM/CAN</v>
      </c>
      <c r="B61" s="10" t="s">
        <v>385</v>
      </c>
      <c r="C61" s="39" t="s">
        <v>2</v>
      </c>
      <c r="D61" s="39"/>
      <c r="E61" s="10" t="s">
        <v>14</v>
      </c>
      <c r="F61" s="10"/>
      <c r="G61" s="10" t="s">
        <v>384</v>
      </c>
      <c r="H61" s="8">
        <v>10268</v>
      </c>
      <c r="I61" s="7">
        <v>24.75</v>
      </c>
      <c r="J61" s="6">
        <v>267305479</v>
      </c>
      <c r="K61" s="6">
        <f t="shared" si="1"/>
        <v>48974.986991572005</v>
      </c>
      <c r="L61" s="4">
        <v>5458</v>
      </c>
      <c r="M61" s="39">
        <f>VLOOKUP(Table2[[#This Row],[ROUTE]],DEMAND!A:F,5,FALSE)</f>
        <v>6479</v>
      </c>
      <c r="N61" s="39">
        <f>VLOOKUP(Table2[[#This Row],[ROUTE]],DEMAND!A:F,6,FALSE)</f>
        <v>2519</v>
      </c>
      <c r="O61" s="39">
        <f>ROUNDDOWN(Table2[[#This Row],[R-DEMAND]]/1320,0)</f>
        <v>1</v>
      </c>
      <c r="P61" s="39">
        <f>Table2[[#This Row],[ADD ACC]]*Table2[[#This Row],[RT TIME (744)]]</f>
        <v>24.75</v>
      </c>
    </row>
    <row r="62" spans="1:16" ht="15.75" customHeight="1" x14ac:dyDescent="0.25">
      <c r="A62" s="38" t="str">
        <f t="shared" si="2"/>
        <v>MPM/CAY</v>
      </c>
      <c r="B62" s="39" t="s">
        <v>4052</v>
      </c>
      <c r="C62" s="39" t="s">
        <v>2</v>
      </c>
      <c r="D62" s="39"/>
      <c r="E62" s="39" t="s">
        <v>11505</v>
      </c>
      <c r="F62" s="39"/>
      <c r="G62" s="39" t="s">
        <v>11504</v>
      </c>
      <c r="H62" s="40"/>
      <c r="I62" s="41">
        <v>23.75</v>
      </c>
      <c r="J62" s="42">
        <v>212494426</v>
      </c>
      <c r="K62" s="42">
        <f t="shared" si="1"/>
        <v>65403.024315173898</v>
      </c>
      <c r="L62" s="43">
        <v>3249</v>
      </c>
      <c r="M62" s="39">
        <f>VLOOKUP(Table2[[#This Row],[ROUTE]],DEMAND!A:F,5,FALSE)</f>
        <v>3409</v>
      </c>
      <c r="N62" s="39">
        <f>VLOOKUP(Table2[[#This Row],[ROUTE]],DEMAND!A:F,6,FALSE)</f>
        <v>769</v>
      </c>
      <c r="O62" s="39">
        <f>ROUNDDOWN(Table2[[#This Row],[R-DEMAND]]/1320,0)</f>
        <v>0</v>
      </c>
      <c r="P62" s="39">
        <f>Table2[[#This Row],[ADD ACC]]*Table2[[#This Row],[RT TIME (744)]]</f>
        <v>0</v>
      </c>
    </row>
    <row r="63" spans="1:16" ht="15.75" customHeight="1" x14ac:dyDescent="0.25">
      <c r="A63" s="38" t="str">
        <f t="shared" si="2"/>
        <v>MPM/CBB</v>
      </c>
      <c r="B63" s="39" t="s">
        <v>4291</v>
      </c>
      <c r="C63" s="39" t="s">
        <v>2</v>
      </c>
      <c r="D63" s="39"/>
      <c r="E63" s="39" t="s">
        <v>11530</v>
      </c>
      <c r="F63" s="39"/>
      <c r="G63" s="39" t="s">
        <v>11552</v>
      </c>
      <c r="H63" s="40">
        <v>10008</v>
      </c>
      <c r="I63" s="41">
        <v>24.25</v>
      </c>
      <c r="J63" s="42"/>
      <c r="K63" s="42">
        <f t="shared" si="1"/>
        <v>0</v>
      </c>
      <c r="L63" s="43">
        <v>4079</v>
      </c>
      <c r="M63" s="39">
        <f>VLOOKUP(Table2[[#This Row],[ROUTE]],DEMAND!A:F,5,FALSE)</f>
        <v>3908</v>
      </c>
      <c r="N63" s="39">
        <f>VLOOKUP(Table2[[#This Row],[ROUTE]],DEMAND!A:F,6,FALSE)</f>
        <v>-52</v>
      </c>
      <c r="O63" s="39">
        <f>ROUNDDOWN(Table2[[#This Row],[R-DEMAND]]/1320,0)</f>
        <v>0</v>
      </c>
      <c r="P63" s="39">
        <f>Table2[[#This Row],[ADD ACC]]*Table2[[#This Row],[RT TIME (744)]]</f>
        <v>0</v>
      </c>
    </row>
    <row r="64" spans="1:16" ht="15.75" customHeight="1" x14ac:dyDescent="0.25">
      <c r="A64" s="38" t="str">
        <f t="shared" si="2"/>
        <v>MPM/CCC</v>
      </c>
      <c r="B64" s="39" t="s">
        <v>2710</v>
      </c>
      <c r="C64" s="39" t="s">
        <v>2</v>
      </c>
      <c r="D64" s="39"/>
      <c r="E64" s="39" t="s">
        <v>11479</v>
      </c>
      <c r="F64" s="39"/>
      <c r="G64" s="39" t="s">
        <v>11484</v>
      </c>
      <c r="H64" s="40"/>
      <c r="I64" s="41">
        <v>31.25</v>
      </c>
      <c r="J64" s="42">
        <v>237679159</v>
      </c>
      <c r="K64" s="42">
        <f t="shared" si="1"/>
        <v>78989.418079096038</v>
      </c>
      <c r="L64" s="43">
        <v>3009</v>
      </c>
      <c r="M64" s="39">
        <f>VLOOKUP(Table2[[#This Row],[ROUTE]],DEMAND!A:F,5,FALSE)</f>
        <v>3160</v>
      </c>
      <c r="N64" s="39">
        <f>VLOOKUP(Table2[[#This Row],[ROUTE]],DEMAND!A:F,6,FALSE)</f>
        <v>520</v>
      </c>
      <c r="O64" s="39">
        <f>ROUNDDOWN(Table2[[#This Row],[R-DEMAND]]/1320,0)</f>
        <v>0</v>
      </c>
      <c r="P64" s="39">
        <f>Table2[[#This Row],[ADD ACC]]*Table2[[#This Row],[RT TIME (744)]]</f>
        <v>0</v>
      </c>
    </row>
    <row r="65" spans="1:16" ht="15.75" customHeight="1" x14ac:dyDescent="0.25">
      <c r="A65" s="1" t="str">
        <f t="shared" si="2"/>
        <v>MPM/CCJ</v>
      </c>
      <c r="B65" s="4" t="s">
        <v>383</v>
      </c>
      <c r="C65" s="39" t="s">
        <v>2</v>
      </c>
      <c r="D65" s="39"/>
      <c r="E65" s="4" t="s">
        <v>23</v>
      </c>
      <c r="F65" s="4"/>
      <c r="G65" s="4" t="s">
        <v>382</v>
      </c>
      <c r="H65" s="8"/>
      <c r="I65" s="7">
        <v>16</v>
      </c>
      <c r="J65" s="6">
        <v>189166731</v>
      </c>
      <c r="K65" s="6">
        <f t="shared" si="1"/>
        <v>63542.737991266375</v>
      </c>
      <c r="L65" s="5">
        <v>2977</v>
      </c>
      <c r="M65" s="39">
        <f>VLOOKUP(Table2[[#This Row],[ROUTE]],DEMAND!A:F,5,FALSE)</f>
        <v>4834</v>
      </c>
      <c r="N65" s="39">
        <f>VLOOKUP(Table2[[#This Row],[ROUTE]],DEMAND!A:F,6,FALSE)</f>
        <v>874</v>
      </c>
      <c r="O65" s="39">
        <f>ROUNDDOWN(Table2[[#This Row],[R-DEMAND]]/1320,0)</f>
        <v>0</v>
      </c>
      <c r="P65" s="39">
        <f>Table2[[#This Row],[ADD ACC]]*Table2[[#This Row],[RT TIME (744)]]</f>
        <v>0</v>
      </c>
    </row>
    <row r="66" spans="1:16" ht="15.75" customHeight="1" x14ac:dyDescent="0.25">
      <c r="A66" s="1" t="str">
        <f t="shared" si="2"/>
        <v>MPM/CCS</v>
      </c>
      <c r="B66" s="4" t="s">
        <v>381</v>
      </c>
      <c r="C66" s="39" t="s">
        <v>2</v>
      </c>
      <c r="D66" s="39"/>
      <c r="E66" s="4" t="s">
        <v>380</v>
      </c>
      <c r="F66" s="4"/>
      <c r="G66" s="4" t="s">
        <v>379</v>
      </c>
      <c r="H66" s="8">
        <v>11471</v>
      </c>
      <c r="I66" s="7">
        <v>27.5</v>
      </c>
      <c r="J66" s="6">
        <v>256866286</v>
      </c>
      <c r="K66" s="6">
        <f t="shared" si="1"/>
        <v>71371.571547652129</v>
      </c>
      <c r="L66" s="5">
        <v>3599</v>
      </c>
      <c r="M66" s="39">
        <f>VLOOKUP(Table2[[#This Row],[ROUTE]],DEMAND!A:F,5,FALSE)</f>
        <v>5861</v>
      </c>
      <c r="N66" s="39">
        <f>VLOOKUP(Table2[[#This Row],[ROUTE]],DEMAND!A:F,6,FALSE)</f>
        <v>581</v>
      </c>
      <c r="O66" s="39">
        <f>ROUNDDOWN(Table2[[#This Row],[R-DEMAND]]/1320,0)</f>
        <v>0</v>
      </c>
      <c r="P66" s="39">
        <f>Table2[[#This Row],[ADD ACC]]*Table2[[#This Row],[RT TIME (744)]]</f>
        <v>0</v>
      </c>
    </row>
    <row r="67" spans="1:16" ht="15.75" customHeight="1" x14ac:dyDescent="0.25">
      <c r="A67" s="1" t="str">
        <f t="shared" si="2"/>
        <v>MPM/CCU</v>
      </c>
      <c r="B67" s="4" t="s">
        <v>378</v>
      </c>
      <c r="C67" s="39" t="s">
        <v>2</v>
      </c>
      <c r="D67" s="39"/>
      <c r="E67" s="4" t="s">
        <v>23</v>
      </c>
      <c r="F67" s="4"/>
      <c r="G67" s="4" t="s">
        <v>377</v>
      </c>
      <c r="H67" s="8"/>
      <c r="I67" s="7">
        <v>20</v>
      </c>
      <c r="J67" s="6">
        <v>224439864</v>
      </c>
      <c r="K67" s="6">
        <f t="shared" ref="K67:K130" si="3">J67/L67</f>
        <v>63169.114551083592</v>
      </c>
      <c r="L67" s="5">
        <v>3553</v>
      </c>
      <c r="M67" s="39">
        <f>VLOOKUP(Table2[[#This Row],[ROUTE]],DEMAND!A:F,5,FALSE)</f>
        <v>5774</v>
      </c>
      <c r="N67" s="39">
        <f>VLOOKUP(Table2[[#This Row],[ROUTE]],DEMAND!A:F,6,FALSE)</f>
        <v>494</v>
      </c>
      <c r="O67" s="39">
        <f>ROUNDDOWN(Table2[[#This Row],[R-DEMAND]]/1320,0)</f>
        <v>0</v>
      </c>
      <c r="P67" s="39">
        <f>Table2[[#This Row],[ADD ACC]]*Table2[[#This Row],[RT TIME (744)]]</f>
        <v>0</v>
      </c>
    </row>
    <row r="68" spans="1:16" ht="15.75" customHeight="1" x14ac:dyDescent="0.25">
      <c r="A68" s="1" t="str">
        <f t="shared" si="2"/>
        <v>MPM/CDG</v>
      </c>
      <c r="B68" s="4" t="s">
        <v>376</v>
      </c>
      <c r="C68" s="39" t="s">
        <v>2</v>
      </c>
      <c r="D68" s="39"/>
      <c r="E68" s="4" t="s">
        <v>375</v>
      </c>
      <c r="F68" s="4"/>
      <c r="G68" s="4" t="s">
        <v>374</v>
      </c>
      <c r="H68" s="8">
        <v>8850</v>
      </c>
      <c r="I68" s="7">
        <v>21.75</v>
      </c>
      <c r="J68" s="6">
        <v>258477675</v>
      </c>
      <c r="K68" s="6">
        <f t="shared" si="3"/>
        <v>105200.51892551893</v>
      </c>
      <c r="L68" s="4">
        <v>2457</v>
      </c>
      <c r="M68" s="39">
        <f>VLOOKUP(Table2[[#This Row],[ROUTE]],DEMAND!A:F,5,FALSE)</f>
        <v>3876</v>
      </c>
      <c r="N68" s="39">
        <f>VLOOKUP(Table2[[#This Row],[ROUTE]],DEMAND!A:F,6,FALSE)</f>
        <v>1236</v>
      </c>
      <c r="O68" s="39">
        <f>ROUNDDOWN(Table2[[#This Row],[R-DEMAND]]/1320,0)</f>
        <v>0</v>
      </c>
      <c r="P68" s="39">
        <f>Table2[[#This Row],[ADD ACC]]*Table2[[#This Row],[RT TIME (744)]]</f>
        <v>0</v>
      </c>
    </row>
    <row r="69" spans="1:16" ht="15.75" customHeight="1" x14ac:dyDescent="0.25">
      <c r="A69" s="1" t="str">
        <f t="shared" si="2"/>
        <v>MPM/CEB</v>
      </c>
      <c r="B69" s="4" t="s">
        <v>373</v>
      </c>
      <c r="C69" s="39" t="s">
        <v>2</v>
      </c>
      <c r="D69" s="39"/>
      <c r="E69" s="4" t="s">
        <v>165</v>
      </c>
      <c r="F69" s="4"/>
      <c r="G69" s="4" t="s">
        <v>372</v>
      </c>
      <c r="H69" s="8"/>
      <c r="I69" s="7">
        <v>25.75</v>
      </c>
      <c r="J69" s="6">
        <v>243990852</v>
      </c>
      <c r="K69" s="6">
        <f t="shared" si="3"/>
        <v>69991.638554216872</v>
      </c>
      <c r="L69" s="5">
        <v>3486</v>
      </c>
      <c r="M69" s="39">
        <f>VLOOKUP(Table2[[#This Row],[ROUTE]],DEMAND!A:F,5,FALSE)</f>
        <v>6007</v>
      </c>
      <c r="N69" s="39">
        <f>VLOOKUP(Table2[[#This Row],[ROUTE]],DEMAND!A:F,6,FALSE)</f>
        <v>727</v>
      </c>
      <c r="O69" s="39">
        <f>ROUNDDOWN(Table2[[#This Row],[R-DEMAND]]/1320,0)</f>
        <v>0</v>
      </c>
      <c r="P69" s="39">
        <f>Table2[[#This Row],[ADD ACC]]*Table2[[#This Row],[RT TIME (744)]]</f>
        <v>0</v>
      </c>
    </row>
    <row r="70" spans="1:16" ht="15.75" customHeight="1" x14ac:dyDescent="0.25">
      <c r="A70" s="1" t="str">
        <f t="shared" si="2"/>
        <v>MPM/CEI</v>
      </c>
      <c r="B70" s="4" t="s">
        <v>371</v>
      </c>
      <c r="C70" s="39" t="s">
        <v>11122</v>
      </c>
      <c r="D70" s="39"/>
      <c r="E70" s="4" t="s">
        <v>29</v>
      </c>
      <c r="F70" s="4"/>
      <c r="G70" s="4" t="s">
        <v>370</v>
      </c>
      <c r="H70" s="8"/>
      <c r="I70" s="7">
        <v>21.75</v>
      </c>
      <c r="J70" s="6">
        <v>206641898</v>
      </c>
      <c r="K70" s="6">
        <f t="shared" si="3"/>
        <v>87708.78522920204</v>
      </c>
      <c r="L70" s="4">
        <v>2356</v>
      </c>
      <c r="M70" s="39" t="e">
        <f>VLOOKUP(Table2[[#This Row],[ROUTE]],DEMAND!A:F,5,FALSE)</f>
        <v>#N/A</v>
      </c>
      <c r="N70" s="39" t="e">
        <f>VLOOKUP(Table2[[#This Row],[ROUTE]],DEMAND!A:F,6,FALSE)</f>
        <v>#N/A</v>
      </c>
      <c r="O70" s="39" t="e">
        <f>ROUNDDOWN(Table2[[#This Row],[R-DEMAND]]/1320,0)</f>
        <v>#N/A</v>
      </c>
      <c r="P70" s="39" t="e">
        <f>Table2[[#This Row],[ADD ACC]]*Table2[[#This Row],[RT TIME (744)]]</f>
        <v>#N/A</v>
      </c>
    </row>
    <row r="71" spans="1:16" ht="15.75" customHeight="1" x14ac:dyDescent="0.25">
      <c r="A71" s="1" t="str">
        <f t="shared" si="2"/>
        <v>MPM/CGK</v>
      </c>
      <c r="B71" s="4" t="s">
        <v>369</v>
      </c>
      <c r="C71" s="39" t="s">
        <v>2</v>
      </c>
      <c r="D71" s="39"/>
      <c r="E71" s="4" t="s">
        <v>36</v>
      </c>
      <c r="F71" s="4"/>
      <c r="G71" s="4" t="s">
        <v>271</v>
      </c>
      <c r="H71" s="8">
        <v>8122</v>
      </c>
      <c r="I71" s="7">
        <v>20</v>
      </c>
      <c r="J71" s="6"/>
      <c r="K71" s="6">
        <f t="shared" si="3"/>
        <v>0</v>
      </c>
      <c r="L71" s="4">
        <v>4108</v>
      </c>
      <c r="M71" s="39">
        <f>VLOOKUP(Table2[[#This Row],[ROUTE]],DEMAND!A:F,5,FALSE)</f>
        <v>6671</v>
      </c>
      <c r="N71" s="39">
        <f>VLOOKUP(Table2[[#This Row],[ROUTE]],DEMAND!A:F,6,FALSE)</f>
        <v>71</v>
      </c>
      <c r="O71" s="39">
        <f>ROUNDDOWN(Table2[[#This Row],[R-DEMAND]]/1320,0)</f>
        <v>0</v>
      </c>
      <c r="P71" s="39">
        <f>Table2[[#This Row],[ADD ACC]]*Table2[[#This Row],[RT TIME (744)]]</f>
        <v>0</v>
      </c>
    </row>
    <row r="72" spans="1:16" ht="15.75" customHeight="1" x14ac:dyDescent="0.25">
      <c r="A72" s="1" t="str">
        <f t="shared" si="2"/>
        <v>MPM/CGP</v>
      </c>
      <c r="B72" s="9" t="s">
        <v>368</v>
      </c>
      <c r="C72" s="39" t="s">
        <v>2</v>
      </c>
      <c r="D72" s="39"/>
      <c r="E72" s="4" t="s">
        <v>1</v>
      </c>
      <c r="F72" s="4"/>
      <c r="G72" s="4" t="s">
        <v>367</v>
      </c>
      <c r="H72" s="8">
        <v>8332</v>
      </c>
      <c r="I72" s="7">
        <v>20.5</v>
      </c>
      <c r="J72" s="6">
        <v>216306327</v>
      </c>
      <c r="K72" s="6">
        <f t="shared" si="3"/>
        <v>41717.71012536162</v>
      </c>
      <c r="L72" s="5">
        <v>5185</v>
      </c>
      <c r="M72" s="39">
        <f>VLOOKUP(Table2[[#This Row],[ROUTE]],DEMAND!A:F,5,FALSE)</f>
        <v>5805</v>
      </c>
      <c r="N72" s="39">
        <f>VLOOKUP(Table2[[#This Row],[ROUTE]],DEMAND!A:F,6,FALSE)</f>
        <v>525</v>
      </c>
      <c r="O72" s="39">
        <f>ROUNDDOWN(Table2[[#This Row],[R-DEMAND]]/1320,0)</f>
        <v>0</v>
      </c>
      <c r="P72" s="39">
        <f>Table2[[#This Row],[ADD ACC]]*Table2[[#This Row],[RT TIME (744)]]</f>
        <v>0</v>
      </c>
    </row>
    <row r="73" spans="1:16" ht="15.75" customHeight="1" x14ac:dyDescent="0.25">
      <c r="A73" s="1" t="str">
        <f t="shared" si="2"/>
        <v>MPM/CGQ</v>
      </c>
      <c r="B73" s="4" t="s">
        <v>366</v>
      </c>
      <c r="C73" s="39" t="s">
        <v>2</v>
      </c>
      <c r="D73" s="39"/>
      <c r="E73" s="4" t="s">
        <v>17</v>
      </c>
      <c r="F73" s="4"/>
      <c r="G73" s="4" t="s">
        <v>365</v>
      </c>
      <c r="H73" s="8">
        <v>12212</v>
      </c>
      <c r="I73" s="7">
        <v>29.25</v>
      </c>
      <c r="J73" s="6">
        <v>253834435</v>
      </c>
      <c r="K73" s="6">
        <f t="shared" si="3"/>
        <v>63127.190997264363</v>
      </c>
      <c r="L73" s="4">
        <v>4021</v>
      </c>
      <c r="M73" s="39">
        <f>VLOOKUP(Table2[[#This Row],[ROUTE]],DEMAND!A:F,5,FALSE)</f>
        <v>4774</v>
      </c>
      <c r="N73" s="39">
        <f>VLOOKUP(Table2[[#This Row],[ROUTE]],DEMAND!A:F,6,FALSE)</f>
        <v>814</v>
      </c>
      <c r="O73" s="39">
        <f>ROUNDDOWN(Table2[[#This Row],[R-DEMAND]]/1320,0)</f>
        <v>0</v>
      </c>
      <c r="P73" s="39">
        <f>Table2[[#This Row],[ADD ACC]]*Table2[[#This Row],[RT TIME (744)]]</f>
        <v>0</v>
      </c>
    </row>
    <row r="74" spans="1:16" ht="15.75" customHeight="1" x14ac:dyDescent="0.25">
      <c r="A74" s="1" t="str">
        <f t="shared" si="2"/>
        <v>MPM/CHC</v>
      </c>
      <c r="B74" s="4" t="s">
        <v>364</v>
      </c>
      <c r="C74" s="39" t="s">
        <v>2</v>
      </c>
      <c r="D74" s="39"/>
      <c r="E74" s="4" t="s">
        <v>363</v>
      </c>
      <c r="F74" s="4"/>
      <c r="G74" s="4" t="s">
        <v>362</v>
      </c>
      <c r="H74" s="8">
        <v>11285</v>
      </c>
      <c r="I74" s="7">
        <v>27</v>
      </c>
      <c r="J74" s="6">
        <v>250428836</v>
      </c>
      <c r="K74" s="6">
        <f t="shared" si="3"/>
        <v>86474.045580110498</v>
      </c>
      <c r="L74" s="4">
        <v>2896</v>
      </c>
      <c r="M74" s="39">
        <f>VLOOKUP(Table2[[#This Row],[ROUTE]],DEMAND!A:F,5,FALSE)</f>
        <v>4717</v>
      </c>
      <c r="N74" s="39">
        <f>VLOOKUP(Table2[[#This Row],[ROUTE]],DEMAND!A:F,6,FALSE)</f>
        <v>757</v>
      </c>
      <c r="O74" s="39">
        <f>ROUNDDOWN(Table2[[#This Row],[R-DEMAND]]/1320,0)</f>
        <v>0</v>
      </c>
      <c r="P74" s="39">
        <f>Table2[[#This Row],[ADD ACC]]*Table2[[#This Row],[RT TIME (744)]]</f>
        <v>0</v>
      </c>
    </row>
    <row r="75" spans="1:16" ht="15.75" customHeight="1" x14ac:dyDescent="0.25">
      <c r="A75" s="38" t="str">
        <f t="shared" si="2"/>
        <v>MPM/CJC</v>
      </c>
      <c r="B75" s="39" t="s">
        <v>3739</v>
      </c>
      <c r="C75" s="39" t="s">
        <v>2</v>
      </c>
      <c r="D75" s="39"/>
      <c r="E75" s="39" t="s">
        <v>102</v>
      </c>
      <c r="F75" s="39"/>
      <c r="G75" s="39" t="s">
        <v>11522</v>
      </c>
      <c r="H75" s="40"/>
      <c r="I75" s="41">
        <v>24.25</v>
      </c>
      <c r="J75" s="42">
        <v>212411495</v>
      </c>
      <c r="K75" s="42">
        <f t="shared" si="3"/>
        <v>73194.863886974505</v>
      </c>
      <c r="L75" s="43">
        <v>2902</v>
      </c>
      <c r="M75" s="39">
        <f>VLOOKUP(Table2[[#This Row],[ROUTE]],DEMAND!A:F,5,FALSE)</f>
        <v>3045</v>
      </c>
      <c r="N75" s="39">
        <f>VLOOKUP(Table2[[#This Row],[ROUTE]],DEMAND!A:F,6,FALSE)</f>
        <v>405</v>
      </c>
      <c r="O75" s="39">
        <f>ROUNDDOWN(Table2[[#This Row],[R-DEMAND]]/1320,0)</f>
        <v>0</v>
      </c>
      <c r="P75" s="39">
        <f>Table2[[#This Row],[ADD ACC]]*Table2[[#This Row],[RT TIME (744)]]</f>
        <v>0</v>
      </c>
    </row>
    <row r="76" spans="1:16" ht="15.75" customHeight="1" x14ac:dyDescent="0.25">
      <c r="A76" s="1" t="str">
        <f t="shared" si="2"/>
        <v>MPM/CJU</v>
      </c>
      <c r="B76" s="39" t="s">
        <v>5608</v>
      </c>
      <c r="C76" s="39" t="s">
        <v>2</v>
      </c>
      <c r="D76" s="39"/>
      <c r="E76" s="10" t="s">
        <v>258</v>
      </c>
      <c r="F76" s="39"/>
      <c r="G76" s="39" t="s">
        <v>11136</v>
      </c>
      <c r="H76" s="40">
        <v>11902</v>
      </c>
      <c r="I76" s="41">
        <v>28.5</v>
      </c>
      <c r="J76" s="42">
        <v>264906594</v>
      </c>
      <c r="K76" s="42">
        <f t="shared" si="3"/>
        <v>55676.039092055486</v>
      </c>
      <c r="L76" s="43">
        <v>4758</v>
      </c>
      <c r="M76" s="39">
        <f>VLOOKUP(Table2[[#This Row],[ROUTE]],DEMAND!A:F,5,FALSE)</f>
        <v>5062</v>
      </c>
      <c r="N76" s="39">
        <f>VLOOKUP(Table2[[#This Row],[ROUTE]],DEMAND!A:F,6,FALSE)</f>
        <v>1102</v>
      </c>
      <c r="O76" s="39">
        <f>ROUNDDOWN(Table2[[#This Row],[R-DEMAND]]/1320,0)</f>
        <v>0</v>
      </c>
      <c r="P76" s="39">
        <f>Table2[[#This Row],[ADD ACC]]*Table2[[#This Row],[RT TIME (744)]]</f>
        <v>0</v>
      </c>
    </row>
    <row r="77" spans="1:16" ht="15.75" customHeight="1" x14ac:dyDescent="0.25">
      <c r="A77" s="1" t="str">
        <f t="shared" si="2"/>
        <v>MPM/CKG</v>
      </c>
      <c r="B77" s="4" t="s">
        <v>361</v>
      </c>
      <c r="C77" s="39" t="s">
        <v>2</v>
      </c>
      <c r="D77" s="39"/>
      <c r="E77" s="4" t="s">
        <v>17</v>
      </c>
      <c r="F77" s="4"/>
      <c r="G77" s="4" t="s">
        <v>360</v>
      </c>
      <c r="H77" s="8">
        <v>10025</v>
      </c>
      <c r="I77" s="7">
        <v>24.25</v>
      </c>
      <c r="J77" s="6"/>
      <c r="K77" s="6">
        <f t="shared" si="3"/>
        <v>0</v>
      </c>
      <c r="L77" s="5">
        <v>3101</v>
      </c>
      <c r="M77" s="39">
        <f>VLOOKUP(Table2[[#This Row],[ROUTE]],DEMAND!A:F,5,FALSE)</f>
        <v>5130</v>
      </c>
      <c r="N77" s="39">
        <f>VLOOKUP(Table2[[#This Row],[ROUTE]],DEMAND!A:F,6,FALSE)</f>
        <v>1170</v>
      </c>
      <c r="O77" s="39">
        <f>ROUNDDOWN(Table2[[#This Row],[R-DEMAND]]/1320,0)</f>
        <v>0</v>
      </c>
      <c r="P77" s="39">
        <f>Table2[[#This Row],[ADD ACC]]*Table2[[#This Row],[RT TIME (744)]]</f>
        <v>0</v>
      </c>
    </row>
    <row r="78" spans="1:16" ht="15.75" customHeight="1" x14ac:dyDescent="0.25">
      <c r="A78" s="38" t="str">
        <f t="shared" si="2"/>
        <v>MPM/CLO</v>
      </c>
      <c r="B78" s="39" t="s">
        <v>5021</v>
      </c>
      <c r="C78" s="39" t="s">
        <v>2</v>
      </c>
      <c r="D78" s="39"/>
      <c r="E78" s="39" t="s">
        <v>177</v>
      </c>
      <c r="F78" s="39"/>
      <c r="G78" s="39" t="s">
        <v>11498</v>
      </c>
      <c r="H78" s="40"/>
      <c r="I78" s="41">
        <v>28.75</v>
      </c>
      <c r="J78" s="42">
        <v>246973807</v>
      </c>
      <c r="K78" s="42">
        <f t="shared" si="3"/>
        <v>59988.779936847219</v>
      </c>
      <c r="L78" s="43">
        <v>4117</v>
      </c>
      <c r="M78" s="39">
        <f>VLOOKUP(Table2[[#This Row],[ROUTE]],DEMAND!A:F,5,FALSE)</f>
        <v>4322</v>
      </c>
      <c r="N78" s="39">
        <f>VLOOKUP(Table2[[#This Row],[ROUTE]],DEMAND!A:F,6,FALSE)</f>
        <v>362</v>
      </c>
      <c r="O78" s="39">
        <f>ROUNDDOWN(Table2[[#This Row],[R-DEMAND]]/1320,0)</f>
        <v>0</v>
      </c>
      <c r="P78" s="39">
        <f>Table2[[#This Row],[ADD ACC]]*Table2[[#This Row],[RT TIME (744)]]</f>
        <v>0</v>
      </c>
    </row>
    <row r="79" spans="1:16" ht="15.75" customHeight="1" x14ac:dyDescent="0.25">
      <c r="A79" s="1" t="str">
        <f t="shared" si="2"/>
        <v>MPM/CMN</v>
      </c>
      <c r="B79" s="4" t="s">
        <v>359</v>
      </c>
      <c r="C79" s="39" t="s">
        <v>2</v>
      </c>
      <c r="D79" s="39"/>
      <c r="E79" s="4" t="s">
        <v>49</v>
      </c>
      <c r="F79" s="4"/>
      <c r="G79" s="4" t="s">
        <v>358</v>
      </c>
      <c r="H79" s="8">
        <v>7842</v>
      </c>
      <c r="I79" s="7">
        <v>19.5</v>
      </c>
      <c r="J79" s="6">
        <v>215802625</v>
      </c>
      <c r="K79" s="6">
        <f t="shared" si="3"/>
        <v>63677.375331956326</v>
      </c>
      <c r="L79" s="5">
        <v>3389</v>
      </c>
      <c r="M79" s="39">
        <f>VLOOKUP(Table2[[#This Row],[ROUTE]],DEMAND!A:F,5,FALSE)</f>
        <v>5272</v>
      </c>
      <c r="N79" s="39">
        <f>VLOOKUP(Table2[[#This Row],[ROUTE]],DEMAND!A:F,6,FALSE)</f>
        <v>1312</v>
      </c>
      <c r="O79" s="39">
        <f>ROUNDDOWN(Table2[[#This Row],[R-DEMAND]]/1320,0)</f>
        <v>0</v>
      </c>
      <c r="P79" s="39">
        <f>Table2[[#This Row],[ADD ACC]]*Table2[[#This Row],[RT TIME (744)]]</f>
        <v>0</v>
      </c>
    </row>
    <row r="80" spans="1:16" ht="15.75" customHeight="1" x14ac:dyDescent="0.25">
      <c r="A80" s="38" t="str">
        <f t="shared" si="2"/>
        <v>MPM/CMW</v>
      </c>
      <c r="B80" s="39" t="s">
        <v>2520</v>
      </c>
      <c r="C80" s="39" t="s">
        <v>2</v>
      </c>
      <c r="D80" s="39"/>
      <c r="E80" s="39" t="s">
        <v>11479</v>
      </c>
      <c r="F80" s="39"/>
      <c r="G80" s="39" t="s">
        <v>11486</v>
      </c>
      <c r="H80" s="40"/>
      <c r="I80" s="41">
        <v>31</v>
      </c>
      <c r="J80" s="42">
        <v>235746791</v>
      </c>
      <c r="K80" s="42">
        <f t="shared" si="3"/>
        <v>79563.547418157279</v>
      </c>
      <c r="L80" s="43">
        <v>2963</v>
      </c>
      <c r="M80" s="39">
        <f>VLOOKUP(Table2[[#This Row],[ROUTE]],DEMAND!A:F,5,FALSE)</f>
        <v>3110</v>
      </c>
      <c r="N80" s="39">
        <f>VLOOKUP(Table2[[#This Row],[ROUTE]],DEMAND!A:F,6,FALSE)</f>
        <v>470</v>
      </c>
      <c r="O80" s="39">
        <f>ROUNDDOWN(Table2[[#This Row],[R-DEMAND]]/1320,0)</f>
        <v>0</v>
      </c>
      <c r="P80" s="39">
        <f>Table2[[#This Row],[ADD ACC]]*Table2[[#This Row],[RT TIME (744)]]</f>
        <v>0</v>
      </c>
    </row>
    <row r="81" spans="1:16" ht="15.75" customHeight="1" x14ac:dyDescent="0.25">
      <c r="A81" s="1" t="str">
        <f t="shared" si="2"/>
        <v>MPM/CNX</v>
      </c>
      <c r="B81" s="4" t="s">
        <v>357</v>
      </c>
      <c r="C81" s="39" t="s">
        <v>2</v>
      </c>
      <c r="D81" s="39"/>
      <c r="E81" s="4" t="s">
        <v>29</v>
      </c>
      <c r="F81" s="4"/>
      <c r="G81" s="4" t="s">
        <v>356</v>
      </c>
      <c r="H81" s="8"/>
      <c r="I81" s="7">
        <v>21.5</v>
      </c>
      <c r="J81" s="6">
        <v>217135308</v>
      </c>
      <c r="K81" s="6">
        <f t="shared" si="3"/>
        <v>78473.186844958444</v>
      </c>
      <c r="L81" s="4">
        <v>2767</v>
      </c>
      <c r="M81" s="39">
        <f>VLOOKUP(Table2[[#This Row],[ROUTE]],DEMAND!A:F,5,FALSE)</f>
        <v>4579</v>
      </c>
      <c r="N81" s="39">
        <f>VLOOKUP(Table2[[#This Row],[ROUTE]],DEMAND!A:F,6,FALSE)</f>
        <v>619</v>
      </c>
      <c r="O81" s="39">
        <f>ROUNDDOWN(Table2[[#This Row],[R-DEMAND]]/1320,0)</f>
        <v>0</v>
      </c>
      <c r="P81" s="39">
        <f>Table2[[#This Row],[ADD ACC]]*Table2[[#This Row],[RT TIME (744)]]</f>
        <v>0</v>
      </c>
    </row>
    <row r="82" spans="1:16" ht="15.75" customHeight="1" x14ac:dyDescent="0.25">
      <c r="A82" s="1" t="str">
        <f t="shared" si="2"/>
        <v>MPM/COK</v>
      </c>
      <c r="B82" s="4" t="s">
        <v>355</v>
      </c>
      <c r="C82" s="39" t="s">
        <v>2</v>
      </c>
      <c r="D82" s="39"/>
      <c r="E82" s="4" t="s">
        <v>23</v>
      </c>
      <c r="F82" s="4"/>
      <c r="G82" s="4" t="s">
        <v>354</v>
      </c>
      <c r="H82" s="8"/>
      <c r="I82" s="7">
        <v>16</v>
      </c>
      <c r="J82" s="6">
        <v>195985854</v>
      </c>
      <c r="K82" s="6">
        <f t="shared" si="3"/>
        <v>60695.526169092598</v>
      </c>
      <c r="L82" s="5">
        <v>3229</v>
      </c>
      <c r="M82" s="39">
        <f>VLOOKUP(Table2[[#This Row],[ROUTE]],DEMAND!A:F,5,FALSE)</f>
        <v>5242</v>
      </c>
      <c r="N82" s="39">
        <f>VLOOKUP(Table2[[#This Row],[ROUTE]],DEMAND!A:F,6,FALSE)</f>
        <v>-38</v>
      </c>
      <c r="O82" s="39">
        <f>ROUNDDOWN(Table2[[#This Row],[R-DEMAND]]/1320,0)</f>
        <v>0</v>
      </c>
      <c r="P82" s="39">
        <f>Table2[[#This Row],[ADD ACC]]*Table2[[#This Row],[RT TIME (744)]]</f>
        <v>0</v>
      </c>
    </row>
    <row r="83" spans="1:16" ht="15.75" customHeight="1" x14ac:dyDescent="0.25">
      <c r="A83" s="38" t="str">
        <f t="shared" si="2"/>
        <v>MPM/COR</v>
      </c>
      <c r="B83" s="39" t="s">
        <v>4642</v>
      </c>
      <c r="C83" s="39" t="s">
        <v>2</v>
      </c>
      <c r="D83" s="39"/>
      <c r="E83" s="39" t="s">
        <v>311</v>
      </c>
      <c r="F83" s="39"/>
      <c r="G83" s="39" t="s">
        <v>11525</v>
      </c>
      <c r="H83" s="40"/>
      <c r="I83" s="41">
        <v>22.25</v>
      </c>
      <c r="J83" s="42">
        <v>212069143</v>
      </c>
      <c r="K83" s="42">
        <f t="shared" si="3"/>
        <v>61576.406213704991</v>
      </c>
      <c r="L83" s="43">
        <v>3444</v>
      </c>
      <c r="M83" s="39">
        <f>VLOOKUP(Table2[[#This Row],[ROUTE]],DEMAND!A:F,5,FALSE)</f>
        <v>3613</v>
      </c>
      <c r="N83" s="39">
        <f>VLOOKUP(Table2[[#This Row],[ROUTE]],DEMAND!A:F,6,FALSE)</f>
        <v>973</v>
      </c>
      <c r="O83" s="39">
        <f>ROUNDDOWN(Table2[[#This Row],[R-DEMAND]]/1320,0)</f>
        <v>0</v>
      </c>
      <c r="P83" s="39">
        <f>Table2[[#This Row],[ADD ACC]]*Table2[[#This Row],[RT TIME (744)]]</f>
        <v>0</v>
      </c>
    </row>
    <row r="84" spans="1:16" ht="15.75" customHeight="1" x14ac:dyDescent="0.25">
      <c r="A84" s="1" t="str">
        <f t="shared" si="2"/>
        <v>MPM/CPT</v>
      </c>
      <c r="B84" s="4" t="s">
        <v>353</v>
      </c>
      <c r="C84" s="39" t="s">
        <v>2</v>
      </c>
      <c r="D84" s="39"/>
      <c r="E84" s="4" t="s">
        <v>162</v>
      </c>
      <c r="F84" s="4"/>
      <c r="G84" s="4" t="s">
        <v>352</v>
      </c>
      <c r="H84" s="8">
        <v>1614</v>
      </c>
      <c r="I84" s="7">
        <v>5.75</v>
      </c>
      <c r="J84" s="6">
        <v>157036870</v>
      </c>
      <c r="K84" s="6">
        <f t="shared" si="3"/>
        <v>50624.393939393936</v>
      </c>
      <c r="L84" s="4">
        <v>3102</v>
      </c>
      <c r="M84" s="39">
        <f>VLOOKUP(Table2[[#This Row],[ROUTE]],DEMAND!A:F,5,FALSE)</f>
        <v>5197</v>
      </c>
      <c r="N84" s="39">
        <f>VLOOKUP(Table2[[#This Row],[ROUTE]],DEMAND!A:F,6,FALSE)</f>
        <v>1237</v>
      </c>
      <c r="O84" s="39">
        <f>ROUNDDOWN(Table2[[#This Row],[R-DEMAND]]/1320,0)</f>
        <v>0</v>
      </c>
      <c r="P84" s="39">
        <f>Table2[[#This Row],[ADD ACC]]*Table2[[#This Row],[RT TIME (744)]]</f>
        <v>0</v>
      </c>
    </row>
    <row r="85" spans="1:16" ht="15.75" customHeight="1" x14ac:dyDescent="0.25">
      <c r="A85" s="1" t="str">
        <f t="shared" si="2"/>
        <v>MPM/CRK</v>
      </c>
      <c r="B85" s="4" t="s">
        <v>351</v>
      </c>
      <c r="C85" s="39" t="s">
        <v>2</v>
      </c>
      <c r="D85" s="39"/>
      <c r="E85" s="4" t="s">
        <v>165</v>
      </c>
      <c r="F85" s="4"/>
      <c r="G85" s="4" t="s">
        <v>350</v>
      </c>
      <c r="H85" s="8"/>
      <c r="I85" s="7">
        <v>25.5</v>
      </c>
      <c r="J85" s="6">
        <v>223262336</v>
      </c>
      <c r="K85" s="6">
        <f t="shared" si="3"/>
        <v>84249.93811320755</v>
      </c>
      <c r="L85" s="4">
        <v>2650</v>
      </c>
      <c r="M85" s="39">
        <f>VLOOKUP(Table2[[#This Row],[ROUTE]],DEMAND!A:F,5,FALSE)</f>
        <v>4569</v>
      </c>
      <c r="N85" s="39">
        <f>VLOOKUP(Table2[[#This Row],[ROUTE]],DEMAND!A:F,6,FALSE)</f>
        <v>609</v>
      </c>
      <c r="O85" s="39">
        <f>ROUNDDOWN(Table2[[#This Row],[R-DEMAND]]/1320,0)</f>
        <v>0</v>
      </c>
      <c r="P85" s="39">
        <f>Table2[[#This Row],[ADD ACC]]*Table2[[#This Row],[RT TIME (744)]]</f>
        <v>0</v>
      </c>
    </row>
    <row r="86" spans="1:16" ht="15.75" customHeight="1" x14ac:dyDescent="0.25">
      <c r="A86" s="1" t="str">
        <f t="shared" si="2"/>
        <v>MPM/CTS</v>
      </c>
      <c r="B86" s="4" t="s">
        <v>349</v>
      </c>
      <c r="C86" s="39" t="s">
        <v>2</v>
      </c>
      <c r="D86" s="39"/>
      <c r="E86" s="10" t="s">
        <v>142</v>
      </c>
      <c r="F86" s="4"/>
      <c r="G86" s="4" t="s">
        <v>348</v>
      </c>
      <c r="H86" s="8"/>
      <c r="I86" s="7">
        <v>32</v>
      </c>
      <c r="J86" s="6">
        <v>286398075</v>
      </c>
      <c r="K86" s="6">
        <f t="shared" si="3"/>
        <v>66142.742494226331</v>
      </c>
      <c r="L86" s="4">
        <v>4330</v>
      </c>
      <c r="M86" s="39">
        <f>VLOOKUP(Table2[[#This Row],[ROUTE]],DEMAND!A:F,5,FALSE)</f>
        <v>4852</v>
      </c>
      <c r="N86" s="39">
        <f>VLOOKUP(Table2[[#This Row],[ROUTE]],DEMAND!A:F,6,FALSE)</f>
        <v>-428</v>
      </c>
      <c r="O86" s="39">
        <f>ROUNDDOWN(Table2[[#This Row],[R-DEMAND]]/1320,0)</f>
        <v>0</v>
      </c>
      <c r="P86" s="39">
        <f>Table2[[#This Row],[ADD ACC]]*Table2[[#This Row],[RT TIME (744)]]</f>
        <v>0</v>
      </c>
    </row>
    <row r="87" spans="1:16" ht="15.75" customHeight="1" x14ac:dyDescent="0.25">
      <c r="A87" s="1" t="str">
        <f t="shared" si="2"/>
        <v>MPM/CTU</v>
      </c>
      <c r="B87" s="4" t="s">
        <v>347</v>
      </c>
      <c r="C87" s="39" t="s">
        <v>2</v>
      </c>
      <c r="D87" s="39"/>
      <c r="E87" s="4" t="s">
        <v>17</v>
      </c>
      <c r="F87" s="4"/>
      <c r="G87" s="4" t="s">
        <v>346</v>
      </c>
      <c r="H87" s="8">
        <v>9859</v>
      </c>
      <c r="I87" s="7">
        <v>24</v>
      </c>
      <c r="J87" s="6"/>
      <c r="K87" s="6">
        <f t="shared" si="3"/>
        <v>0</v>
      </c>
      <c r="L87" s="5">
        <v>3308</v>
      </c>
      <c r="M87" s="39">
        <f>VLOOKUP(Table2[[#This Row],[ROUTE]],DEMAND!A:F,5,FALSE)</f>
        <v>5471</v>
      </c>
      <c r="N87" s="39">
        <f>VLOOKUP(Table2[[#This Row],[ROUTE]],DEMAND!A:F,6,FALSE)</f>
        <v>191</v>
      </c>
      <c r="O87" s="39">
        <f>ROUNDDOWN(Table2[[#This Row],[R-DEMAND]]/1320,0)</f>
        <v>0</v>
      </c>
      <c r="P87" s="39">
        <f>Table2[[#This Row],[ADD ACC]]*Table2[[#This Row],[RT TIME (744)]]</f>
        <v>0</v>
      </c>
    </row>
    <row r="88" spans="1:16" ht="15.75" customHeight="1" x14ac:dyDescent="0.25">
      <c r="A88" s="38" t="str">
        <f t="shared" si="2"/>
        <v>MPM/CUZ</v>
      </c>
      <c r="B88" s="39" t="s">
        <v>4738</v>
      </c>
      <c r="C88" s="39" t="s">
        <v>2</v>
      </c>
      <c r="D88" s="39"/>
      <c r="E88" s="39" t="s">
        <v>11511</v>
      </c>
      <c r="F88" s="39"/>
      <c r="G88" s="39" t="s">
        <v>11514</v>
      </c>
      <c r="H88" s="40"/>
      <c r="I88" s="41">
        <v>26</v>
      </c>
      <c r="J88" s="42">
        <v>230442923</v>
      </c>
      <c r="K88" s="42">
        <f t="shared" si="3"/>
        <v>53804.09129115106</v>
      </c>
      <c r="L88" s="105">
        <v>4283</v>
      </c>
      <c r="M88" s="39">
        <f>VLOOKUP(Table2[[#This Row],[ROUTE]],DEMAND!A:F,5,FALSE)</f>
        <v>4494</v>
      </c>
      <c r="N88" s="39">
        <f>VLOOKUP(Table2[[#This Row],[ROUTE]],DEMAND!A:F,6,FALSE)</f>
        <v>534</v>
      </c>
      <c r="O88" s="39">
        <f>ROUNDDOWN(Table2[[#This Row],[R-DEMAND]]/1320,0)</f>
        <v>0</v>
      </c>
      <c r="P88" s="39">
        <f>Table2[[#This Row],[ADD ACC]]*Table2[[#This Row],[RT TIME (744)]]</f>
        <v>0</v>
      </c>
    </row>
    <row r="89" spans="1:16" ht="15.75" customHeight="1" x14ac:dyDescent="0.25">
      <c r="A89" s="1" t="str">
        <f t="shared" si="2"/>
        <v>MPM/CXR</v>
      </c>
      <c r="B89" s="4" t="s">
        <v>345</v>
      </c>
      <c r="C89" s="39" t="s">
        <v>11122</v>
      </c>
      <c r="D89" s="39"/>
      <c r="E89" s="4" t="s">
        <v>99</v>
      </c>
      <c r="F89" s="4"/>
      <c r="G89" s="4" t="s">
        <v>344</v>
      </c>
      <c r="H89" s="8"/>
      <c r="I89" s="7">
        <v>22.75</v>
      </c>
      <c r="J89" s="6">
        <v>209548198</v>
      </c>
      <c r="K89" s="6">
        <f t="shared" si="3"/>
        <v>87640.400669176073</v>
      </c>
      <c r="L89" s="4">
        <v>2391</v>
      </c>
      <c r="M89" s="39">
        <f>VLOOKUP(Table2[[#This Row],[ROUTE]],DEMAND!A:F,5,FALSE)</f>
        <v>4021</v>
      </c>
      <c r="N89" s="39">
        <f>VLOOKUP(Table2[[#This Row],[ROUTE]],DEMAND!A:F,6,FALSE)</f>
        <v>2701</v>
      </c>
      <c r="O89" s="39">
        <f>ROUNDDOWN(Table2[[#This Row],[R-DEMAND]]/1320,0)</f>
        <v>2</v>
      </c>
      <c r="P89" s="39">
        <f>Table2[[#This Row],[ADD ACC]]*Table2[[#This Row],[RT TIME (744)]]</f>
        <v>45.5</v>
      </c>
    </row>
    <row r="90" spans="1:16" ht="15.75" customHeight="1" x14ac:dyDescent="0.25">
      <c r="A90" s="38" t="str">
        <f t="shared" si="2"/>
        <v>MPM/CYO</v>
      </c>
      <c r="B90" s="39" t="s">
        <v>2844</v>
      </c>
      <c r="C90" s="39" t="s">
        <v>2</v>
      </c>
      <c r="D90" s="39"/>
      <c r="E90" s="39" t="s">
        <v>11479</v>
      </c>
      <c r="F90" s="39"/>
      <c r="G90" s="39" t="s">
        <v>11482</v>
      </c>
      <c r="H90" s="40"/>
      <c r="I90" s="41">
        <v>31.75</v>
      </c>
      <c r="J90" s="42">
        <v>241101906</v>
      </c>
      <c r="K90" s="42">
        <f t="shared" si="3"/>
        <v>79075.731715316491</v>
      </c>
      <c r="L90" s="43">
        <v>3049</v>
      </c>
      <c r="M90" s="39">
        <f>VLOOKUP(Table2[[#This Row],[ROUTE]],DEMAND!A:F,5,FALSE)</f>
        <v>3201</v>
      </c>
      <c r="N90" s="39">
        <f>VLOOKUP(Table2[[#This Row],[ROUTE]],DEMAND!A:F,6,FALSE)</f>
        <v>561</v>
      </c>
      <c r="O90" s="39">
        <f>ROUNDDOWN(Table2[[#This Row],[R-DEMAND]]/1320,0)</f>
        <v>0</v>
      </c>
      <c r="P90" s="39">
        <f>Table2[[#This Row],[ADD ACC]]*Table2[[#This Row],[RT TIME (744)]]</f>
        <v>0</v>
      </c>
    </row>
    <row r="91" spans="1:16" ht="15.75" customHeight="1" x14ac:dyDescent="0.25">
      <c r="A91" s="1" t="str">
        <f t="shared" si="2"/>
        <v>MPM/DAC</v>
      </c>
      <c r="B91" s="4" t="s">
        <v>343</v>
      </c>
      <c r="C91" s="39" t="s">
        <v>2</v>
      </c>
      <c r="D91" s="39"/>
      <c r="E91" s="4" t="s">
        <v>1</v>
      </c>
      <c r="F91" s="4"/>
      <c r="G91" s="4" t="s">
        <v>342</v>
      </c>
      <c r="H91" s="8"/>
      <c r="I91" s="7">
        <v>20.5</v>
      </c>
      <c r="J91" s="6">
        <v>219576089</v>
      </c>
      <c r="K91" s="6">
        <f t="shared" si="3"/>
        <v>38260.339606203168</v>
      </c>
      <c r="L91" s="4">
        <v>5739</v>
      </c>
      <c r="M91" s="39">
        <f>VLOOKUP(Table2[[#This Row],[ROUTE]],DEMAND!A:F,5,FALSE)</f>
        <v>6023</v>
      </c>
      <c r="N91" s="39">
        <f>VLOOKUP(Table2[[#This Row],[ROUTE]],DEMAND!A:F,6,FALSE)</f>
        <v>-577</v>
      </c>
      <c r="O91" s="39">
        <f>ROUNDDOWN(Table2[[#This Row],[R-DEMAND]]/1320,0)</f>
        <v>0</v>
      </c>
      <c r="P91" s="39">
        <f>Table2[[#This Row],[ADD ACC]]*Table2[[#This Row],[RT TIME (744)]]</f>
        <v>0</v>
      </c>
    </row>
    <row r="92" spans="1:16" ht="15.75" customHeight="1" x14ac:dyDescent="0.25">
      <c r="A92" s="1" t="str">
        <f t="shared" si="2"/>
        <v>MPM/DAD</v>
      </c>
      <c r="B92" s="4" t="s">
        <v>341</v>
      </c>
      <c r="C92" s="39" t="s">
        <v>11122</v>
      </c>
      <c r="D92" s="39"/>
      <c r="E92" s="4" t="s">
        <v>99</v>
      </c>
      <c r="F92" s="4"/>
      <c r="G92" s="4" t="s">
        <v>340</v>
      </c>
      <c r="H92" s="8"/>
      <c r="I92" s="7">
        <v>23</v>
      </c>
      <c r="J92" s="6">
        <v>216897350</v>
      </c>
      <c r="K92" s="6">
        <f t="shared" si="3"/>
        <v>83776.496716879104</v>
      </c>
      <c r="L92" s="4">
        <v>2589</v>
      </c>
      <c r="M92" s="39" t="e">
        <f>VLOOKUP(Table2[[#This Row],[ROUTE]],DEMAND!A:F,5,FALSE)</f>
        <v>#N/A</v>
      </c>
      <c r="N92" s="39" t="e">
        <f>VLOOKUP(Table2[[#This Row],[ROUTE]],DEMAND!A:F,6,FALSE)</f>
        <v>#N/A</v>
      </c>
      <c r="O92" s="39" t="e">
        <f>ROUNDDOWN(Table2[[#This Row],[R-DEMAND]]/1320,0)</f>
        <v>#N/A</v>
      </c>
      <c r="P92" s="39" t="e">
        <f>Table2[[#This Row],[ADD ACC]]*Table2[[#This Row],[RT TIME (744)]]</f>
        <v>#N/A</v>
      </c>
    </row>
    <row r="93" spans="1:16" ht="15.75" customHeight="1" x14ac:dyDescent="0.25">
      <c r="A93" s="38" t="str">
        <f t="shared" si="2"/>
        <v>MPM/DAM</v>
      </c>
      <c r="B93" s="39" t="s">
        <v>5196</v>
      </c>
      <c r="C93" s="39" t="s">
        <v>2</v>
      </c>
      <c r="D93" s="39"/>
      <c r="E93" s="39" t="s">
        <v>11149</v>
      </c>
      <c r="F93" s="39"/>
      <c r="G93" s="39" t="s">
        <v>11150</v>
      </c>
      <c r="H93" s="40">
        <v>6612</v>
      </c>
      <c r="I93" s="41">
        <v>16.75</v>
      </c>
      <c r="J93" s="42">
        <v>197500284</v>
      </c>
      <c r="K93" s="42">
        <f t="shared" si="3"/>
        <v>44352.185942061529</v>
      </c>
      <c r="L93" s="43">
        <v>4453</v>
      </c>
      <c r="M93" s="39">
        <f>VLOOKUP(Table2[[#This Row],[ROUTE]],DEMAND!A:F,5,FALSE)</f>
        <v>4731</v>
      </c>
      <c r="N93" s="39">
        <f>VLOOKUP(Table2[[#This Row],[ROUTE]],DEMAND!A:F,6,FALSE)</f>
        <v>771</v>
      </c>
      <c r="O93" s="39">
        <f>ROUNDDOWN(Table2[[#This Row],[R-DEMAND]]/1320,0)</f>
        <v>0</v>
      </c>
      <c r="P93" s="39">
        <f>Table2[[#This Row],[ADD ACC]]*Table2[[#This Row],[RT TIME (744)]]</f>
        <v>0</v>
      </c>
    </row>
    <row r="94" spans="1:16" ht="15.75" customHeight="1" x14ac:dyDescent="0.25">
      <c r="A94" s="1" t="str">
        <f t="shared" si="2"/>
        <v>MPM/DEL</v>
      </c>
      <c r="B94" s="4" t="s">
        <v>339</v>
      </c>
      <c r="C94" s="39" t="s">
        <v>2</v>
      </c>
      <c r="D94" s="39"/>
      <c r="E94" s="4" t="s">
        <v>23</v>
      </c>
      <c r="F94" s="4"/>
      <c r="G94" s="4" t="s">
        <v>338</v>
      </c>
      <c r="H94" s="8"/>
      <c r="I94" s="7">
        <v>19.25</v>
      </c>
      <c r="J94" s="6">
        <v>224274093</v>
      </c>
      <c r="K94" s="6">
        <f t="shared" si="3"/>
        <v>54211.77012327774</v>
      </c>
      <c r="L94" s="4">
        <v>4137</v>
      </c>
      <c r="M94" s="39">
        <f>VLOOKUP(Table2[[#This Row],[ROUTE]],DEMAND!A:F,5,FALSE)</f>
        <v>6721</v>
      </c>
      <c r="N94" s="39">
        <f>VLOOKUP(Table2[[#This Row],[ROUTE]],DEMAND!A:F,6,FALSE)</f>
        <v>1441</v>
      </c>
      <c r="O94" s="39">
        <f>ROUNDDOWN(Table2[[#This Row],[R-DEMAND]]/1320,0)</f>
        <v>1</v>
      </c>
      <c r="P94" s="39">
        <f>Table2[[#This Row],[ADD ACC]]*Table2[[#This Row],[RT TIME (744)]]</f>
        <v>19.25</v>
      </c>
    </row>
    <row r="95" spans="1:16" ht="15.75" customHeight="1" x14ac:dyDescent="0.25">
      <c r="A95" s="38" t="str">
        <f t="shared" si="2"/>
        <v>MPM/DEZ</v>
      </c>
      <c r="B95" s="39" t="s">
        <v>2067</v>
      </c>
      <c r="C95" s="39" t="s">
        <v>2</v>
      </c>
      <c r="D95" s="39"/>
      <c r="E95" s="39" t="s">
        <v>11149</v>
      </c>
      <c r="F95" s="39"/>
      <c r="G95" s="39" t="s">
        <v>11421</v>
      </c>
      <c r="H95" s="40">
        <v>6854</v>
      </c>
      <c r="I95" s="41">
        <v>17.25</v>
      </c>
      <c r="J95" s="42">
        <v>173870807</v>
      </c>
      <c r="K95" s="42">
        <f t="shared" si="3"/>
        <v>55390.508760751829</v>
      </c>
      <c r="L95" s="43">
        <v>3139</v>
      </c>
      <c r="M95" s="39">
        <f>VLOOKUP(Table2[[#This Row],[ROUTE]],DEMAND!A:F,5,FALSE)</f>
        <v>3179</v>
      </c>
      <c r="N95" s="39">
        <f>VLOOKUP(Table2[[#This Row],[ROUTE]],DEMAND!A:F,6,FALSE)</f>
        <v>539</v>
      </c>
      <c r="O95" s="39">
        <f>ROUNDDOWN(Table2[[#This Row],[R-DEMAND]]/1320,0)</f>
        <v>0</v>
      </c>
      <c r="P95" s="39">
        <f>Table2[[#This Row],[ADD ACC]]*Table2[[#This Row],[RT TIME (744)]]</f>
        <v>0</v>
      </c>
    </row>
    <row r="96" spans="1:16" ht="15.75" customHeight="1" x14ac:dyDescent="0.25">
      <c r="A96" s="38" t="str">
        <f t="shared" si="2"/>
        <v>MPM/DIY</v>
      </c>
      <c r="B96" s="39" t="s">
        <v>4609</v>
      </c>
      <c r="C96" s="39" t="s">
        <v>2</v>
      </c>
      <c r="D96" s="39"/>
      <c r="E96" s="4" t="s">
        <v>251</v>
      </c>
      <c r="F96" s="39"/>
      <c r="G96" s="39" t="s">
        <v>11428</v>
      </c>
      <c r="H96" s="40">
        <v>7142</v>
      </c>
      <c r="I96" s="41">
        <v>18</v>
      </c>
      <c r="J96" s="42">
        <v>192074034</v>
      </c>
      <c r="K96" s="42">
        <f t="shared" si="3"/>
        <v>49902.321122369445</v>
      </c>
      <c r="L96" s="43">
        <v>3849</v>
      </c>
      <c r="M96" s="39">
        <f>VLOOKUP(Table2[[#This Row],[ROUTE]],DEMAND!A:F,5,FALSE)</f>
        <v>3897</v>
      </c>
      <c r="N96" s="39">
        <f>VLOOKUP(Table2[[#This Row],[ROUTE]],DEMAND!A:F,6,FALSE)</f>
        <v>-63</v>
      </c>
      <c r="O96" s="39">
        <f>ROUNDDOWN(Table2[[#This Row],[R-DEMAND]]/1320,0)</f>
        <v>0</v>
      </c>
      <c r="P96" s="39">
        <f>Table2[[#This Row],[ADD ACC]]*Table2[[#This Row],[RT TIME (744)]]</f>
        <v>0</v>
      </c>
    </row>
    <row r="97" spans="1:16" ht="15.75" customHeight="1" x14ac:dyDescent="0.25">
      <c r="A97" s="1" t="str">
        <f t="shared" si="2"/>
        <v>MPM/DLC</v>
      </c>
      <c r="B97" s="10" t="s">
        <v>337</v>
      </c>
      <c r="C97" s="39" t="s">
        <v>2</v>
      </c>
      <c r="D97" s="39"/>
      <c r="E97" s="10" t="s">
        <v>14</v>
      </c>
      <c r="F97" s="10"/>
      <c r="G97" s="10" t="s">
        <v>336</v>
      </c>
      <c r="H97" s="8">
        <v>11701</v>
      </c>
      <c r="I97" s="7">
        <v>28</v>
      </c>
      <c r="J97" s="6">
        <v>258957731</v>
      </c>
      <c r="K97" s="6">
        <f t="shared" si="3"/>
        <v>57841.798302434669</v>
      </c>
      <c r="L97" s="4">
        <v>4477</v>
      </c>
      <c r="M97" s="39">
        <f>VLOOKUP(Table2[[#This Row],[ROUTE]],DEMAND!A:F,5,FALSE)</f>
        <v>5315</v>
      </c>
      <c r="N97" s="39">
        <f>VLOOKUP(Table2[[#This Row],[ROUTE]],DEMAND!A:F,6,FALSE)</f>
        <v>35</v>
      </c>
      <c r="O97" s="39">
        <f>ROUNDDOWN(Table2[[#This Row],[R-DEMAND]]/1320,0)</f>
        <v>0</v>
      </c>
      <c r="P97" s="39">
        <f>Table2[[#This Row],[ADD ACC]]*Table2[[#This Row],[RT TIME (744)]]</f>
        <v>0</v>
      </c>
    </row>
    <row r="98" spans="1:16" ht="15.75" customHeight="1" x14ac:dyDescent="0.25">
      <c r="A98" s="38" t="str">
        <f t="shared" si="2"/>
        <v>MPM/DLM</v>
      </c>
      <c r="B98" s="39" t="s">
        <v>5221</v>
      </c>
      <c r="C98" s="39" t="s">
        <v>2</v>
      </c>
      <c r="D98" s="39"/>
      <c r="E98" s="4" t="s">
        <v>251</v>
      </c>
      <c r="F98" s="39"/>
      <c r="G98" s="39" t="s">
        <v>11425</v>
      </c>
      <c r="H98" s="40">
        <v>6977</v>
      </c>
      <c r="I98" s="41">
        <v>17.5</v>
      </c>
      <c r="J98" s="42">
        <v>200311569</v>
      </c>
      <c r="K98" s="42">
        <f t="shared" si="3"/>
        <v>45754.127227044315</v>
      </c>
      <c r="L98" s="43">
        <v>4378</v>
      </c>
      <c r="M98" s="39">
        <f>VLOOKUP(Table2[[#This Row],[ROUTE]],DEMAND!A:F,5,FALSE)</f>
        <v>4433</v>
      </c>
      <c r="N98" s="39">
        <f>VLOOKUP(Table2[[#This Row],[ROUTE]],DEMAND!A:F,6,FALSE)</f>
        <v>473</v>
      </c>
      <c r="O98" s="39">
        <f>ROUNDDOWN(Table2[[#This Row],[R-DEMAND]]/1320,0)</f>
        <v>0</v>
      </c>
      <c r="P98" s="39">
        <f>Table2[[#This Row],[ADD ACC]]*Table2[[#This Row],[RT TIME (744)]]</f>
        <v>0</v>
      </c>
    </row>
    <row r="99" spans="1:16" ht="15.75" customHeight="1" x14ac:dyDescent="0.25">
      <c r="A99" s="1" t="str">
        <f t="shared" si="2"/>
        <v>MPM/DME</v>
      </c>
      <c r="B99" s="4" t="s">
        <v>335</v>
      </c>
      <c r="C99" s="39" t="s">
        <v>2</v>
      </c>
      <c r="D99" s="39"/>
      <c r="E99" s="4" t="s">
        <v>20</v>
      </c>
      <c r="F99" s="4"/>
      <c r="G99" s="4" t="s">
        <v>334</v>
      </c>
      <c r="H99" s="8">
        <v>9060</v>
      </c>
      <c r="I99" s="7">
        <v>22.25</v>
      </c>
      <c r="J99" s="6"/>
      <c r="K99" s="6">
        <f t="shared" si="3"/>
        <v>0</v>
      </c>
      <c r="L99" s="5">
        <v>3507</v>
      </c>
      <c r="M99" s="39">
        <f>VLOOKUP(Table2[[#This Row],[ROUTE]],DEMAND!A:F,5,FALSE)</f>
        <v>5536</v>
      </c>
      <c r="N99" s="39">
        <f>VLOOKUP(Table2[[#This Row],[ROUTE]],DEMAND!A:F,6,FALSE)</f>
        <v>256</v>
      </c>
      <c r="O99" s="39">
        <f>ROUNDDOWN(Table2[[#This Row],[R-DEMAND]]/1320,0)</f>
        <v>0</v>
      </c>
      <c r="P99" s="39">
        <f>Table2[[#This Row],[ADD ACC]]*Table2[[#This Row],[RT TIME (744)]]</f>
        <v>0</v>
      </c>
    </row>
    <row r="100" spans="1:16" ht="15.75" customHeight="1" x14ac:dyDescent="0.25">
      <c r="A100" s="1" t="str">
        <f t="shared" si="2"/>
        <v>MPM/DMK</v>
      </c>
      <c r="B100" s="10" t="s">
        <v>333</v>
      </c>
      <c r="C100" s="39" t="s">
        <v>2</v>
      </c>
      <c r="D100" s="39"/>
      <c r="E100" s="10" t="s">
        <v>332</v>
      </c>
      <c r="F100" s="10"/>
      <c r="G100" s="10" t="s">
        <v>331</v>
      </c>
      <c r="H100" s="8">
        <v>8587</v>
      </c>
      <c r="I100" s="41">
        <v>21.25</v>
      </c>
      <c r="J100" s="6"/>
      <c r="K100" s="6">
        <f t="shared" si="3"/>
        <v>0</v>
      </c>
      <c r="L100" s="4">
        <v>6135</v>
      </c>
      <c r="M100" s="39">
        <f>VLOOKUP(Table2[[#This Row],[ROUTE]],DEMAND!A:F,5,FALSE)</f>
        <v>6512</v>
      </c>
      <c r="N100" s="39">
        <f>VLOOKUP(Table2[[#This Row],[ROUTE]],DEMAND!A:F,6,FALSE)</f>
        <v>1232</v>
      </c>
      <c r="O100" s="39">
        <f>ROUNDDOWN(Table2[[#This Row],[R-DEMAND]]/1320,0)</f>
        <v>0</v>
      </c>
      <c r="P100" s="39">
        <f>Table2[[#This Row],[ADD ACC]]*Table2[[#This Row],[RT TIME (744)]]</f>
        <v>0</v>
      </c>
    </row>
    <row r="101" spans="1:16" ht="15.75" customHeight="1" x14ac:dyDescent="0.25">
      <c r="A101" s="1" t="str">
        <f t="shared" si="2"/>
        <v>MPM/DMK </v>
      </c>
      <c r="B101" s="4" t="s">
        <v>330</v>
      </c>
      <c r="C101" s="39" t="s">
        <v>2</v>
      </c>
      <c r="D101" s="39"/>
      <c r="E101" s="4" t="s">
        <v>29</v>
      </c>
      <c r="F101" s="4"/>
      <c r="G101" s="4" t="s">
        <v>329</v>
      </c>
      <c r="H101" s="8">
        <v>8587</v>
      </c>
      <c r="I101" s="7">
        <v>21.25</v>
      </c>
      <c r="J101" s="6"/>
      <c r="K101" s="6">
        <f t="shared" si="3"/>
        <v>0</v>
      </c>
      <c r="L101" s="5">
        <v>3939</v>
      </c>
      <c r="M101" s="39" t="e">
        <f>VLOOKUP(Table2[[#This Row],[ROUTE]],DEMAND!A:F,5,FALSE)</f>
        <v>#N/A</v>
      </c>
      <c r="N101" s="39" t="e">
        <f>VLOOKUP(Table2[[#This Row],[ROUTE]],DEMAND!A:F,6,FALSE)</f>
        <v>#N/A</v>
      </c>
      <c r="O101" s="39" t="e">
        <f>ROUNDDOWN(Table2[[#This Row],[R-DEMAND]]/1320,0)</f>
        <v>#N/A</v>
      </c>
      <c r="P101" s="39" t="e">
        <f>Table2[[#This Row],[ADD ACC]]*Table2[[#This Row],[RT TIME (744)]]</f>
        <v>#N/A</v>
      </c>
    </row>
    <row r="102" spans="1:16" ht="15.75" customHeight="1" x14ac:dyDescent="0.25">
      <c r="A102" s="1" t="str">
        <f t="shared" si="2"/>
        <v>MPM/DMM</v>
      </c>
      <c r="B102" s="39" t="s">
        <v>5260</v>
      </c>
      <c r="C102" s="39" t="s">
        <v>2</v>
      </c>
      <c r="D102" s="39"/>
      <c r="E102" s="39" t="s">
        <v>109</v>
      </c>
      <c r="F102" s="39"/>
      <c r="G102" s="39" t="s">
        <v>11132</v>
      </c>
      <c r="H102" s="40">
        <v>6113</v>
      </c>
      <c r="I102" s="41">
        <v>15.75</v>
      </c>
      <c r="J102" s="42">
        <v>192986117</v>
      </c>
      <c r="K102" s="42">
        <f t="shared" si="3"/>
        <v>51628.174692348846</v>
      </c>
      <c r="L102" s="43">
        <v>3738</v>
      </c>
      <c r="M102" s="39">
        <f>VLOOKUP(Table2[[#This Row],[ROUTE]],DEMAND!A:F,5,FALSE)</f>
        <v>3972</v>
      </c>
      <c r="N102" s="39">
        <f>VLOOKUP(Table2[[#This Row],[ROUTE]],DEMAND!A:F,6,FALSE)</f>
        <v>12</v>
      </c>
      <c r="O102" s="39">
        <f>ROUNDDOWN(Table2[[#This Row],[R-DEMAND]]/1320,0)</f>
        <v>0</v>
      </c>
      <c r="P102" s="39">
        <f>Table2[[#This Row],[ADD ACC]]*Table2[[#This Row],[RT TIME (744)]]</f>
        <v>0</v>
      </c>
    </row>
    <row r="103" spans="1:16" ht="15.75" customHeight="1" x14ac:dyDescent="0.25">
      <c r="A103" s="38" t="str">
        <f t="shared" ref="A103:A166" si="4">CONCATENATE("MPM/",B103)</f>
        <v>MPM/DOM</v>
      </c>
      <c r="B103" s="39" t="s">
        <v>3419</v>
      </c>
      <c r="C103" s="39" t="s">
        <v>2</v>
      </c>
      <c r="D103" s="39"/>
      <c r="E103" s="39" t="s">
        <v>11657</v>
      </c>
      <c r="F103" s="39"/>
      <c r="G103" s="39" t="s">
        <v>11658</v>
      </c>
      <c r="H103" s="40">
        <v>11135</v>
      </c>
      <c r="I103" s="41">
        <v>26.75</v>
      </c>
      <c r="J103" s="42"/>
      <c r="K103" s="42">
        <f t="shared" si="3"/>
        <v>0</v>
      </c>
      <c r="L103" s="43">
        <v>3525</v>
      </c>
      <c r="M103" s="39">
        <f>VLOOKUP(Table2[[#This Row],[ROUTE]],DEMAND!A:F,5,FALSE)</f>
        <v>3528</v>
      </c>
      <c r="N103" s="39">
        <f>VLOOKUP(Table2[[#This Row],[ROUTE]],DEMAND!A:F,6,FALSE)</f>
        <v>888</v>
      </c>
      <c r="O103" s="39">
        <f>ROUNDDOWN(Table2[[#This Row],[R-DEMAND]]/1320,0)</f>
        <v>0</v>
      </c>
      <c r="P103" s="39">
        <f>Table2[[#This Row],[ADD ACC]]*Table2[[#This Row],[RT TIME (744)]]</f>
        <v>0</v>
      </c>
    </row>
    <row r="104" spans="1:16" ht="15.75" customHeight="1" x14ac:dyDescent="0.25">
      <c r="A104" s="1" t="str">
        <f t="shared" si="4"/>
        <v>MPM/DPS</v>
      </c>
      <c r="B104" s="4" t="s">
        <v>328</v>
      </c>
      <c r="C104" s="39" t="s">
        <v>2</v>
      </c>
      <c r="D104" s="39"/>
      <c r="E104" s="4" t="s">
        <v>36</v>
      </c>
      <c r="F104" s="4"/>
      <c r="G104" s="4" t="s">
        <v>327</v>
      </c>
      <c r="H104" s="8">
        <v>8850</v>
      </c>
      <c r="I104" s="7">
        <v>21.75</v>
      </c>
      <c r="J104" s="6">
        <v>226367382</v>
      </c>
      <c r="K104" s="6">
        <f t="shared" si="3"/>
        <v>70917.099624060153</v>
      </c>
      <c r="L104" s="4">
        <v>3192</v>
      </c>
      <c r="M104" s="39">
        <f>VLOOKUP(Table2[[#This Row],[ROUTE]],DEMAND!A:F,5,FALSE)</f>
        <v>5281</v>
      </c>
      <c r="N104" s="39">
        <f>VLOOKUP(Table2[[#This Row],[ROUTE]],DEMAND!A:F,6,FALSE)</f>
        <v>1</v>
      </c>
      <c r="O104" s="39">
        <f>ROUNDDOWN(Table2[[#This Row],[R-DEMAND]]/1320,0)</f>
        <v>0</v>
      </c>
      <c r="P104" s="39">
        <f>Table2[[#This Row],[ADD ACC]]*Table2[[#This Row],[RT TIME (744)]]</f>
        <v>0</v>
      </c>
    </row>
    <row r="105" spans="1:16" ht="15.75" customHeight="1" x14ac:dyDescent="0.25">
      <c r="A105" s="1" t="str">
        <f t="shared" si="4"/>
        <v>MPM/DUR</v>
      </c>
      <c r="B105" s="4" t="s">
        <v>326</v>
      </c>
      <c r="C105" s="39" t="s">
        <v>2</v>
      </c>
      <c r="D105" s="39"/>
      <c r="E105" s="4" t="s">
        <v>162</v>
      </c>
      <c r="F105" s="4"/>
      <c r="G105" s="4" t="s">
        <v>325</v>
      </c>
      <c r="H105" s="8">
        <v>435</v>
      </c>
      <c r="I105" s="7">
        <v>3</v>
      </c>
      <c r="J105" s="6">
        <v>138177171</v>
      </c>
      <c r="K105" s="6">
        <f t="shared" si="3"/>
        <v>54272.258837391986</v>
      </c>
      <c r="L105" s="4">
        <v>2546</v>
      </c>
      <c r="M105" s="39">
        <f>VLOOKUP(Table2[[#This Row],[ROUTE]],DEMAND!A:F,5,FALSE)</f>
        <v>3524</v>
      </c>
      <c r="N105" s="39">
        <f>VLOOKUP(Table2[[#This Row],[ROUTE]],DEMAND!A:F,6,FALSE)</f>
        <v>884</v>
      </c>
      <c r="O105" s="39">
        <f>ROUNDDOWN(Table2[[#This Row],[R-DEMAND]]/1320,0)</f>
        <v>0</v>
      </c>
      <c r="P105" s="39">
        <f>Table2[[#This Row],[ADD ACC]]*Table2[[#This Row],[RT TIME (744)]]</f>
        <v>0</v>
      </c>
    </row>
    <row r="106" spans="1:16" ht="15.75" customHeight="1" x14ac:dyDescent="0.25">
      <c r="A106" s="1" t="str">
        <f t="shared" si="4"/>
        <v>MPM/DUS</v>
      </c>
      <c r="B106" s="4" t="s">
        <v>324</v>
      </c>
      <c r="C106" s="39" t="s">
        <v>2</v>
      </c>
      <c r="D106" s="39"/>
      <c r="E106" s="4" t="s">
        <v>156</v>
      </c>
      <c r="F106" s="4"/>
      <c r="G106" s="4" t="s">
        <v>323</v>
      </c>
      <c r="H106" s="8">
        <v>8952</v>
      </c>
      <c r="I106" s="7">
        <v>22</v>
      </c>
      <c r="J106" s="6">
        <v>241298263</v>
      </c>
      <c r="K106" s="6">
        <f t="shared" si="3"/>
        <v>61119.114235055727</v>
      </c>
      <c r="L106" s="4">
        <v>3948</v>
      </c>
      <c r="M106" s="39">
        <f>VLOOKUP(Table2[[#This Row],[ROUTE]],DEMAND!A:F,5,FALSE)</f>
        <v>3953</v>
      </c>
      <c r="N106" s="39">
        <f>VLOOKUP(Table2[[#This Row],[ROUTE]],DEMAND!A:F,6,FALSE)</f>
        <v>1313</v>
      </c>
      <c r="O106" s="39">
        <f>ROUNDDOWN(Table2[[#This Row],[R-DEMAND]]/1320,0)</f>
        <v>0</v>
      </c>
      <c r="P106" s="39">
        <f>Table2[[#This Row],[ADD ACC]]*Table2[[#This Row],[RT TIME (744)]]</f>
        <v>0</v>
      </c>
    </row>
    <row r="107" spans="1:16" ht="15.75" customHeight="1" x14ac:dyDescent="0.25">
      <c r="A107" s="38" t="str">
        <f t="shared" si="4"/>
        <v>MPM/DVO</v>
      </c>
      <c r="B107" s="39" t="s">
        <v>322</v>
      </c>
      <c r="C107" s="39" t="s">
        <v>2</v>
      </c>
      <c r="D107" s="39"/>
      <c r="E107" s="4" t="s">
        <v>165</v>
      </c>
      <c r="F107" s="4"/>
      <c r="G107" s="4" t="s">
        <v>321</v>
      </c>
      <c r="H107" s="8"/>
      <c r="I107" s="7">
        <v>25.75</v>
      </c>
      <c r="J107" s="6">
        <v>233023071</v>
      </c>
      <c r="K107" s="42">
        <f t="shared" si="3"/>
        <v>86272.888189559424</v>
      </c>
      <c r="L107" s="43">
        <v>2701</v>
      </c>
      <c r="M107" s="39">
        <f>VLOOKUP(Table2[[#This Row],[ROUTE]],DEMAND!A:F,5,FALSE)</f>
        <v>4654</v>
      </c>
      <c r="N107" s="39">
        <f>VLOOKUP(Table2[[#This Row],[ROUTE]],DEMAND!A:F,6,FALSE)</f>
        <v>694</v>
      </c>
      <c r="O107" s="39">
        <f>ROUNDDOWN(Table2[[#This Row],[R-DEMAND]]/1320,0)</f>
        <v>0</v>
      </c>
      <c r="P107" s="39">
        <f>Table2[[#This Row],[ADD ACC]]*Table2[[#This Row],[RT TIME (744)]]</f>
        <v>0</v>
      </c>
    </row>
    <row r="108" spans="1:16" ht="15.75" customHeight="1" x14ac:dyDescent="0.25">
      <c r="A108" s="1" t="str">
        <f t="shared" si="4"/>
        <v>MPM/DWC</v>
      </c>
      <c r="B108" s="4" t="s">
        <v>320</v>
      </c>
      <c r="C108" s="39" t="s">
        <v>11122</v>
      </c>
      <c r="D108" s="39"/>
      <c r="E108" s="4" t="s">
        <v>318</v>
      </c>
      <c r="F108" s="4"/>
      <c r="G108" s="4" t="s">
        <v>317</v>
      </c>
      <c r="H108" s="8">
        <v>6150</v>
      </c>
      <c r="I108" s="7">
        <v>15.75</v>
      </c>
      <c r="J108" s="6">
        <v>180973494</v>
      </c>
      <c r="K108" s="6">
        <f t="shared" si="3"/>
        <v>85647.654519640317</v>
      </c>
      <c r="L108" s="4">
        <v>2113</v>
      </c>
      <c r="M108" s="39" t="e">
        <f>VLOOKUP(Table2[[#This Row],[ROUTE]],DEMAND!A:F,5,FALSE)</f>
        <v>#N/A</v>
      </c>
      <c r="N108" s="39" t="e">
        <f>VLOOKUP(Table2[[#This Row],[ROUTE]],DEMAND!A:F,6,FALSE)</f>
        <v>#N/A</v>
      </c>
      <c r="O108" s="39" t="e">
        <f>ROUNDDOWN(Table2[[#This Row],[R-DEMAND]]/1320,0)</f>
        <v>#N/A</v>
      </c>
      <c r="P108" s="39" t="e">
        <f>Table2[[#This Row],[ADD ACC]]*Table2[[#This Row],[RT TIME (744)]]</f>
        <v>#N/A</v>
      </c>
    </row>
    <row r="109" spans="1:16" ht="15.75" customHeight="1" x14ac:dyDescent="0.25">
      <c r="A109" s="1" t="str">
        <f t="shared" si="4"/>
        <v>MPM/DXB</v>
      </c>
      <c r="B109" s="4" t="s">
        <v>319</v>
      </c>
      <c r="C109" s="39" t="s">
        <v>2</v>
      </c>
      <c r="D109" s="39"/>
      <c r="E109" s="4" t="s">
        <v>318</v>
      </c>
      <c r="F109" s="4"/>
      <c r="G109" s="4" t="s">
        <v>317</v>
      </c>
      <c r="H109" s="8">
        <v>6195</v>
      </c>
      <c r="I109" s="7">
        <v>15.75</v>
      </c>
      <c r="J109" s="6">
        <v>230074047</v>
      </c>
      <c r="K109" s="6">
        <f t="shared" si="3"/>
        <v>69719.408181818188</v>
      </c>
      <c r="L109" s="5">
        <v>3300</v>
      </c>
      <c r="M109" s="39">
        <f>VLOOKUP(Table2[[#This Row],[ROUTE]],DEMAND!A:F,5,FALSE)</f>
        <v>5131</v>
      </c>
      <c r="N109" s="39">
        <f>VLOOKUP(Table2[[#This Row],[ROUTE]],DEMAND!A:F,6,FALSE)</f>
        <v>-149</v>
      </c>
      <c r="O109" s="39">
        <f>ROUNDDOWN(Table2[[#This Row],[R-DEMAND]]/1320,0)</f>
        <v>0</v>
      </c>
      <c r="P109" s="39">
        <f>Table2[[#This Row],[ADD ACC]]*Table2[[#This Row],[RT TIME (744)]]</f>
        <v>0</v>
      </c>
    </row>
    <row r="110" spans="1:16" ht="15.75" customHeight="1" x14ac:dyDescent="0.25">
      <c r="A110" s="38" t="str">
        <f t="shared" si="4"/>
        <v>MPM/ERZ</v>
      </c>
      <c r="B110" s="39" t="s">
        <v>4198</v>
      </c>
      <c r="C110" s="39" t="s">
        <v>2</v>
      </c>
      <c r="D110" s="39"/>
      <c r="E110" s="4" t="s">
        <v>251</v>
      </c>
      <c r="F110" s="39"/>
      <c r="G110" s="39" t="s">
        <v>11429</v>
      </c>
      <c r="H110" s="40">
        <v>7381</v>
      </c>
      <c r="I110" s="41">
        <v>18.5</v>
      </c>
      <c r="J110" s="42">
        <v>190495950</v>
      </c>
      <c r="K110" s="42">
        <f t="shared" si="3"/>
        <v>52406.038514442916</v>
      </c>
      <c r="L110" s="43">
        <v>3635</v>
      </c>
      <c r="M110" s="39">
        <f>VLOOKUP(Table2[[#This Row],[ROUTE]],DEMAND!A:F,5,FALSE)</f>
        <v>3681</v>
      </c>
      <c r="N110" s="39">
        <f>VLOOKUP(Table2[[#This Row],[ROUTE]],DEMAND!A:F,6,FALSE)</f>
        <v>1041</v>
      </c>
      <c r="O110" s="39">
        <f>ROUNDDOWN(Table2[[#This Row],[R-DEMAND]]/1320,0)</f>
        <v>0</v>
      </c>
      <c r="P110" s="39">
        <f>Table2[[#This Row],[ADD ACC]]*Table2[[#This Row],[RT TIME (744)]]</f>
        <v>0</v>
      </c>
    </row>
    <row r="111" spans="1:16" ht="15.75" customHeight="1" x14ac:dyDescent="0.25">
      <c r="A111" s="1" t="str">
        <f t="shared" si="4"/>
        <v>MPM/ESB</v>
      </c>
      <c r="B111" s="4" t="s">
        <v>316</v>
      </c>
      <c r="C111" s="39" t="s">
        <v>2</v>
      </c>
      <c r="D111" s="39"/>
      <c r="E111" s="4" t="s">
        <v>251</v>
      </c>
      <c r="F111" s="4"/>
      <c r="G111" s="4" t="s">
        <v>315</v>
      </c>
      <c r="H111" s="8">
        <v>7346</v>
      </c>
      <c r="I111" s="7">
        <v>18.5</v>
      </c>
      <c r="J111" s="6">
        <v>210476053</v>
      </c>
      <c r="K111" s="6">
        <f t="shared" si="3"/>
        <v>67698.95561273722</v>
      </c>
      <c r="L111" s="4">
        <v>3109</v>
      </c>
      <c r="M111" s="39">
        <f>VLOOKUP(Table2[[#This Row],[ROUTE]],DEMAND!A:F,5,FALSE)</f>
        <v>4837</v>
      </c>
      <c r="N111" s="39">
        <f>VLOOKUP(Table2[[#This Row],[ROUTE]],DEMAND!A:F,6,FALSE)</f>
        <v>877</v>
      </c>
      <c r="O111" s="39">
        <f>ROUNDDOWN(Table2[[#This Row],[R-DEMAND]]/1320,0)</f>
        <v>0</v>
      </c>
      <c r="P111" s="39">
        <f>Table2[[#This Row],[ADD ACC]]*Table2[[#This Row],[RT TIME (744)]]</f>
        <v>0</v>
      </c>
    </row>
    <row r="112" spans="1:16" ht="15.75" customHeight="1" x14ac:dyDescent="0.25">
      <c r="A112" s="38" t="str">
        <f t="shared" si="4"/>
        <v>MPM/EVN</v>
      </c>
      <c r="B112" s="39" t="s">
        <v>4779</v>
      </c>
      <c r="C112" s="39" t="s">
        <v>2</v>
      </c>
      <c r="D112" s="39"/>
      <c r="E112" s="39" t="s">
        <v>11160</v>
      </c>
      <c r="F112" s="39"/>
      <c r="G112" s="39" t="s">
        <v>11161</v>
      </c>
      <c r="H112" s="40">
        <v>7449</v>
      </c>
      <c r="I112" s="41">
        <v>18.5</v>
      </c>
      <c r="J112" s="42">
        <v>197464104</v>
      </c>
      <c r="K112" s="42">
        <f t="shared" si="3"/>
        <v>53010.497718120809</v>
      </c>
      <c r="L112" s="43">
        <v>3725</v>
      </c>
      <c r="M112" s="39">
        <f>VLOOKUP(Table2[[#This Row],[ROUTE]],DEMAND!A:F,5,FALSE)</f>
        <v>3960</v>
      </c>
      <c r="N112" s="39">
        <f>VLOOKUP(Table2[[#This Row],[ROUTE]],DEMAND!A:F,6,FALSE)</f>
        <v>1320</v>
      </c>
      <c r="O112" s="39">
        <f>ROUNDDOWN(Table2[[#This Row],[R-DEMAND]]/1320,0)</f>
        <v>1</v>
      </c>
      <c r="P112" s="39">
        <f>Table2[[#This Row],[ADD ACC]]*Table2[[#This Row],[RT TIME (744)]]</f>
        <v>18.5</v>
      </c>
    </row>
    <row r="113" spans="1:16" ht="15.75" customHeight="1" x14ac:dyDescent="0.25">
      <c r="A113" s="38" t="str">
        <f t="shared" si="4"/>
        <v>MPM/EWR</v>
      </c>
      <c r="B113" s="39" t="s">
        <v>314</v>
      </c>
      <c r="C113" s="39" t="s">
        <v>2</v>
      </c>
      <c r="D113" s="39"/>
      <c r="E113" s="39" t="s">
        <v>11471</v>
      </c>
      <c r="F113" s="39"/>
      <c r="G113" s="39" t="s">
        <v>11167</v>
      </c>
      <c r="H113" s="40"/>
      <c r="I113" s="41">
        <v>31.5</v>
      </c>
      <c r="J113" s="6">
        <v>294767572</v>
      </c>
      <c r="K113" s="6">
        <f t="shared" si="3"/>
        <v>74323.6439737771</v>
      </c>
      <c r="L113" s="43">
        <v>3966</v>
      </c>
      <c r="M113" s="39">
        <f>VLOOKUP(Table2[[#This Row],[ROUTE]],DEMAND!A:F,5,FALSE)</f>
        <v>4006</v>
      </c>
      <c r="N113" s="39">
        <f>VLOOKUP(Table2[[#This Row],[ROUTE]],DEMAND!A:F,6,FALSE)</f>
        <v>46</v>
      </c>
      <c r="O113" s="39">
        <f>ROUNDDOWN(Table2[[#This Row],[R-DEMAND]]/1320,0)</f>
        <v>0</v>
      </c>
      <c r="P113" s="39">
        <f>Table2[[#This Row],[ADD ACC]]*Table2[[#This Row],[RT TIME (744)]]</f>
        <v>0</v>
      </c>
    </row>
    <row r="114" spans="1:16" ht="15.75" customHeight="1" x14ac:dyDescent="0.25">
      <c r="A114" s="1" t="str">
        <f t="shared" si="4"/>
        <v>MPM/EZE</v>
      </c>
      <c r="B114" s="4" t="s">
        <v>312</v>
      </c>
      <c r="C114" s="39" t="s">
        <v>2</v>
      </c>
      <c r="D114" s="39"/>
      <c r="E114" s="4" t="s">
        <v>311</v>
      </c>
      <c r="F114" s="4"/>
      <c r="G114" s="4" t="s">
        <v>310</v>
      </c>
      <c r="H114" s="8">
        <v>8496</v>
      </c>
      <c r="I114" s="7">
        <v>21</v>
      </c>
      <c r="J114" s="6">
        <v>224732508</v>
      </c>
      <c r="K114" s="6">
        <f t="shared" si="3"/>
        <v>75312.502680965146</v>
      </c>
      <c r="L114" s="4">
        <v>2984</v>
      </c>
      <c r="M114" s="39">
        <f>VLOOKUP(Table2[[#This Row],[ROUTE]],DEMAND!A:F,5,FALSE)</f>
        <v>4709</v>
      </c>
      <c r="N114" s="39">
        <f>VLOOKUP(Table2[[#This Row],[ROUTE]],DEMAND!A:F,6,FALSE)</f>
        <v>749</v>
      </c>
      <c r="O114" s="39">
        <f>ROUNDDOWN(Table2[[#This Row],[R-DEMAND]]/1320,0)</f>
        <v>0</v>
      </c>
      <c r="P114" s="39">
        <f>Table2[[#This Row],[ADD ACC]]*Table2[[#This Row],[RT TIME (744)]]</f>
        <v>0</v>
      </c>
    </row>
    <row r="115" spans="1:16" ht="15.75" customHeight="1" x14ac:dyDescent="0.25">
      <c r="A115" s="1" t="str">
        <f t="shared" si="4"/>
        <v>MPM/FCO</v>
      </c>
      <c r="B115" s="10" t="s">
        <v>309</v>
      </c>
      <c r="C115" s="39" t="s">
        <v>2</v>
      </c>
      <c r="D115" s="39"/>
      <c r="E115" s="10" t="s">
        <v>308</v>
      </c>
      <c r="F115" s="10"/>
      <c r="G115" s="10" t="s">
        <v>307</v>
      </c>
      <c r="H115" s="8">
        <v>7817</v>
      </c>
      <c r="I115" s="7">
        <v>19.5</v>
      </c>
      <c r="J115" s="6">
        <v>241669048</v>
      </c>
      <c r="K115" s="6">
        <f t="shared" si="3"/>
        <v>59495.088133924175</v>
      </c>
      <c r="L115" s="4">
        <v>4062</v>
      </c>
      <c r="M115" s="39">
        <f>VLOOKUP(Table2[[#This Row],[ROUTE]],DEMAND!A:F,5,FALSE)</f>
        <v>4317</v>
      </c>
      <c r="N115" s="39">
        <f>VLOOKUP(Table2[[#This Row],[ROUTE]],DEMAND!A:F,6,FALSE)</f>
        <v>357</v>
      </c>
      <c r="O115" s="39">
        <f>ROUNDDOWN(Table2[[#This Row],[R-DEMAND]]/1320,0)</f>
        <v>0</v>
      </c>
      <c r="P115" s="39">
        <f>Table2[[#This Row],[ADD ACC]]*Table2[[#This Row],[RT TIME (744)]]</f>
        <v>0</v>
      </c>
    </row>
    <row r="116" spans="1:16" ht="15.75" customHeight="1" x14ac:dyDescent="0.25">
      <c r="A116" s="38" t="str">
        <f t="shared" si="4"/>
        <v>MPM/FDF</v>
      </c>
      <c r="B116" s="39" t="s">
        <v>4863</v>
      </c>
      <c r="C116" s="39" t="s">
        <v>2</v>
      </c>
      <c r="D116" s="39"/>
      <c r="E116" s="39" t="s">
        <v>11493</v>
      </c>
      <c r="F116" s="39"/>
      <c r="G116" s="39" t="s">
        <v>11494</v>
      </c>
      <c r="H116" s="40"/>
      <c r="I116" s="41">
        <v>26.75</v>
      </c>
      <c r="J116" s="42">
        <v>234370248</v>
      </c>
      <c r="K116" s="42">
        <f t="shared" si="3"/>
        <v>65411.735417248114</v>
      </c>
      <c r="L116" s="43">
        <v>3583</v>
      </c>
      <c r="M116" s="39">
        <f>VLOOKUP(Table2[[#This Row],[ROUTE]],DEMAND!A:F,5,FALSE)</f>
        <v>3762</v>
      </c>
      <c r="N116" s="39">
        <f>VLOOKUP(Table2[[#This Row],[ROUTE]],DEMAND!A:F,6,FALSE)</f>
        <v>1122</v>
      </c>
      <c r="O116" s="39">
        <f>ROUNDDOWN(Table2[[#This Row],[R-DEMAND]]/1320,0)</f>
        <v>0</v>
      </c>
      <c r="P116" s="39">
        <f>Table2[[#This Row],[ADD ACC]]*Table2[[#This Row],[RT TIME (744)]]</f>
        <v>0</v>
      </c>
    </row>
    <row r="117" spans="1:16" ht="15.75" customHeight="1" x14ac:dyDescent="0.25">
      <c r="A117" s="38" t="str">
        <f t="shared" si="4"/>
        <v>MPM/FNC</v>
      </c>
      <c r="B117" s="39" t="s">
        <v>5064</v>
      </c>
      <c r="C117" s="39" t="s">
        <v>2</v>
      </c>
      <c r="D117" s="39"/>
      <c r="E117" s="39" t="s">
        <v>192</v>
      </c>
      <c r="F117" s="39"/>
      <c r="G117" s="39" t="s">
        <v>11535</v>
      </c>
      <c r="H117" s="40"/>
      <c r="I117" s="41">
        <v>20.75</v>
      </c>
      <c r="J117" s="42">
        <v>211309977</v>
      </c>
      <c r="K117" s="42">
        <f t="shared" si="3"/>
        <v>62296.57340801887</v>
      </c>
      <c r="L117" s="43">
        <v>3392</v>
      </c>
      <c r="M117" s="39">
        <f>VLOOKUP(Table2[[#This Row],[ROUTE]],DEMAND!A:F,5,FALSE)</f>
        <v>3559</v>
      </c>
      <c r="N117" s="39">
        <f>VLOOKUP(Table2[[#This Row],[ROUTE]],DEMAND!A:F,6,FALSE)</f>
        <v>919</v>
      </c>
      <c r="O117" s="39">
        <f>ROUNDDOWN(Table2[[#This Row],[R-DEMAND]]/1320,0)</f>
        <v>0</v>
      </c>
      <c r="P117" s="39">
        <f>Table2[[#This Row],[ADD ACC]]*Table2[[#This Row],[RT TIME (744)]]</f>
        <v>0</v>
      </c>
    </row>
    <row r="118" spans="1:16" ht="15.75" customHeight="1" x14ac:dyDescent="0.25">
      <c r="A118" s="38" t="str">
        <f t="shared" si="4"/>
        <v>MPM/FPO</v>
      </c>
      <c r="B118" s="39" t="s">
        <v>3891</v>
      </c>
      <c r="C118" s="39" t="s">
        <v>2</v>
      </c>
      <c r="D118" s="39"/>
      <c r="E118" s="39" t="s">
        <v>11490</v>
      </c>
      <c r="F118" s="39"/>
      <c r="G118" s="39" t="s">
        <v>11492</v>
      </c>
      <c r="H118" s="40"/>
      <c r="I118" s="41">
        <v>31.5</v>
      </c>
      <c r="J118" s="42">
        <v>246298206</v>
      </c>
      <c r="K118" s="42">
        <f t="shared" si="3"/>
        <v>80018.910331384017</v>
      </c>
      <c r="L118" s="43">
        <v>3078</v>
      </c>
      <c r="M118" s="39">
        <f>VLOOKUP(Table2[[#This Row],[ROUTE]],DEMAND!A:F,5,FALSE)</f>
        <v>3231</v>
      </c>
      <c r="N118" s="39">
        <f>VLOOKUP(Table2[[#This Row],[ROUTE]],DEMAND!A:F,6,FALSE)</f>
        <v>591</v>
      </c>
      <c r="O118" s="39">
        <f>ROUNDDOWN(Table2[[#This Row],[R-DEMAND]]/1320,0)</f>
        <v>0</v>
      </c>
      <c r="P118" s="39">
        <f>Table2[[#This Row],[ADD ACC]]*Table2[[#This Row],[RT TIME (744)]]</f>
        <v>0</v>
      </c>
    </row>
    <row r="119" spans="1:16" ht="15.75" customHeight="1" x14ac:dyDescent="0.25">
      <c r="A119" s="1" t="str">
        <f t="shared" si="4"/>
        <v>MPM/FRA</v>
      </c>
      <c r="B119" s="4" t="s">
        <v>306</v>
      </c>
      <c r="C119" s="39" t="s">
        <v>2</v>
      </c>
      <c r="D119" s="39"/>
      <c r="E119" s="4" t="s">
        <v>156</v>
      </c>
      <c r="F119" s="4"/>
      <c r="G119" s="4" t="s">
        <v>305</v>
      </c>
      <c r="H119" s="8">
        <v>8775</v>
      </c>
      <c r="I119" s="7">
        <v>21.5</v>
      </c>
      <c r="J119" s="6">
        <v>256393030</v>
      </c>
      <c r="K119" s="6">
        <f t="shared" si="3"/>
        <v>84702.025107367037</v>
      </c>
      <c r="L119" s="4">
        <v>3027</v>
      </c>
      <c r="M119" s="39">
        <f>VLOOKUP(Table2[[#This Row],[ROUTE]],DEMAND!A:F,5,FALSE)</f>
        <v>4776</v>
      </c>
      <c r="N119" s="39">
        <f>VLOOKUP(Table2[[#This Row],[ROUTE]],DEMAND!A:F,6,FALSE)</f>
        <v>816</v>
      </c>
      <c r="O119" s="39">
        <f>ROUNDDOWN(Table2[[#This Row],[R-DEMAND]]/1320,0)</f>
        <v>0</v>
      </c>
      <c r="P119" s="39">
        <f>Table2[[#This Row],[ADD ACC]]*Table2[[#This Row],[RT TIME (744)]]</f>
        <v>0</v>
      </c>
    </row>
    <row r="120" spans="1:16" ht="15.75" customHeight="1" x14ac:dyDescent="0.25">
      <c r="A120" s="1" t="str">
        <f t="shared" si="4"/>
        <v>MPM/GAU</v>
      </c>
      <c r="B120" s="4" t="s">
        <v>304</v>
      </c>
      <c r="C120" s="39" t="s">
        <v>2</v>
      </c>
      <c r="D120" s="39"/>
      <c r="E120" s="4" t="s">
        <v>23</v>
      </c>
      <c r="F120" s="4"/>
      <c r="G120" s="4" t="s">
        <v>303</v>
      </c>
      <c r="H120" s="8">
        <v>8574</v>
      </c>
      <c r="I120" s="7">
        <v>21</v>
      </c>
      <c r="J120" s="6">
        <v>211915350</v>
      </c>
      <c r="K120" s="6">
        <f t="shared" si="3"/>
        <v>70147.418073485605</v>
      </c>
      <c r="L120" s="4">
        <v>3021</v>
      </c>
      <c r="M120" s="39">
        <f>VLOOKUP(Table2[[#This Row],[ROUTE]],DEMAND!A:F,5,FALSE)</f>
        <v>4999</v>
      </c>
      <c r="N120" s="39">
        <f>VLOOKUP(Table2[[#This Row],[ROUTE]],DEMAND!A:F,6,FALSE)</f>
        <v>1039</v>
      </c>
      <c r="O120" s="39">
        <f>ROUNDDOWN(Table2[[#This Row],[R-DEMAND]]/1320,0)</f>
        <v>0</v>
      </c>
      <c r="P120" s="39">
        <f>Table2[[#This Row],[ADD ACC]]*Table2[[#This Row],[RT TIME (744)]]</f>
        <v>0</v>
      </c>
    </row>
    <row r="121" spans="1:16" ht="15.75" customHeight="1" x14ac:dyDescent="0.25">
      <c r="A121" s="1" t="str">
        <f t="shared" si="4"/>
        <v>MPM/GES</v>
      </c>
      <c r="B121" s="4" t="s">
        <v>302</v>
      </c>
      <c r="C121" s="39" t="s">
        <v>11122</v>
      </c>
      <c r="D121" s="39"/>
      <c r="E121" s="4" t="s">
        <v>165</v>
      </c>
      <c r="F121" s="4"/>
      <c r="G121" s="4" t="s">
        <v>301</v>
      </c>
      <c r="H121" s="8"/>
      <c r="I121" s="7">
        <v>25.5</v>
      </c>
      <c r="J121" s="6">
        <v>220123212</v>
      </c>
      <c r="K121" s="6">
        <f t="shared" si="3"/>
        <v>94311.573264781488</v>
      </c>
      <c r="L121" s="4">
        <v>2334</v>
      </c>
      <c r="M121" s="39" t="e">
        <f>VLOOKUP(Table2[[#This Row],[ROUTE]],DEMAND!A:F,5,FALSE)</f>
        <v>#N/A</v>
      </c>
      <c r="N121" s="39" t="e">
        <f>VLOOKUP(Table2[[#This Row],[ROUTE]],DEMAND!A:F,6,FALSE)</f>
        <v>#N/A</v>
      </c>
      <c r="O121" s="39" t="e">
        <f>ROUNDDOWN(Table2[[#This Row],[R-DEMAND]]/1320,0)</f>
        <v>#N/A</v>
      </c>
      <c r="P121" s="39" t="e">
        <f>Table2[[#This Row],[ADD ACC]]*Table2[[#This Row],[RT TIME (744)]]</f>
        <v>#N/A</v>
      </c>
    </row>
    <row r="122" spans="1:16" ht="15.75" customHeight="1" x14ac:dyDescent="0.25">
      <c r="A122" s="1" t="str">
        <f t="shared" si="4"/>
        <v>MPM/GIG</v>
      </c>
      <c r="B122" s="45" t="s">
        <v>5611</v>
      </c>
      <c r="C122" s="39" t="s">
        <v>2</v>
      </c>
      <c r="D122" s="39"/>
      <c r="E122" s="39" t="s">
        <v>297</v>
      </c>
      <c r="F122" s="39"/>
      <c r="G122" s="39" t="s">
        <v>11123</v>
      </c>
      <c r="H122" s="40">
        <v>7577</v>
      </c>
      <c r="I122" s="41">
        <v>19</v>
      </c>
      <c r="J122" s="42">
        <v>221642201</v>
      </c>
      <c r="K122" s="42">
        <f t="shared" si="3"/>
        <v>49155.511421601244</v>
      </c>
      <c r="L122" s="43">
        <v>4509</v>
      </c>
      <c r="M122" s="39">
        <f>VLOOKUP(Table2[[#This Row],[ROUTE]],DEMAND!A:F,5,FALSE)</f>
        <v>4793</v>
      </c>
      <c r="N122" s="39">
        <f>VLOOKUP(Table2[[#This Row],[ROUTE]],DEMAND!A:F,6,FALSE)</f>
        <v>833</v>
      </c>
      <c r="O122" s="39">
        <f>ROUNDDOWN(Table2[[#This Row],[R-DEMAND]]/1320,0)</f>
        <v>0</v>
      </c>
      <c r="P122" s="39">
        <f>Table2[[#This Row],[ADD ACC]]*Table2[[#This Row],[RT TIME (744)]]</f>
        <v>0</v>
      </c>
    </row>
    <row r="123" spans="1:16" ht="15.75" customHeight="1" x14ac:dyDescent="0.25">
      <c r="A123" s="1" t="str">
        <f t="shared" si="4"/>
        <v>MPM/GMP</v>
      </c>
      <c r="B123" s="39" t="s">
        <v>5625</v>
      </c>
      <c r="C123" s="39" t="s">
        <v>2</v>
      </c>
      <c r="D123" s="39"/>
      <c r="E123" s="10" t="s">
        <v>258</v>
      </c>
      <c r="F123" s="39"/>
      <c r="G123" s="39" t="s">
        <v>11135</v>
      </c>
      <c r="H123" s="40">
        <v>12078</v>
      </c>
      <c r="I123" s="41">
        <v>29</v>
      </c>
      <c r="J123" s="42">
        <v>268480961</v>
      </c>
      <c r="K123" s="42">
        <f t="shared" si="3"/>
        <v>55459.814294567237</v>
      </c>
      <c r="L123" s="43">
        <v>4841</v>
      </c>
      <c r="M123" s="39">
        <f>VLOOKUP(Table2[[#This Row],[ROUTE]],DEMAND!A:F,5,FALSE)</f>
        <v>5152</v>
      </c>
      <c r="N123" s="39">
        <f>VLOOKUP(Table2[[#This Row],[ROUTE]],DEMAND!A:F,6,FALSE)</f>
        <v>1192</v>
      </c>
      <c r="O123" s="39">
        <f>ROUNDDOWN(Table2[[#This Row],[R-DEMAND]]/1320,0)</f>
        <v>0</v>
      </c>
      <c r="P123" s="39">
        <f>Table2[[#This Row],[ADD ACC]]*Table2[[#This Row],[RT TIME (744)]]</f>
        <v>0</v>
      </c>
    </row>
    <row r="124" spans="1:16" ht="15.75" customHeight="1" x14ac:dyDescent="0.25">
      <c r="A124" s="1" t="str">
        <f t="shared" si="4"/>
        <v>MPM/GOI</v>
      </c>
      <c r="B124" s="4" t="s">
        <v>300</v>
      </c>
      <c r="C124" s="39" t="s">
        <v>2</v>
      </c>
      <c r="D124" s="39"/>
      <c r="E124" s="4" t="s">
        <v>23</v>
      </c>
      <c r="F124" s="4"/>
      <c r="G124" s="4" t="s">
        <v>299</v>
      </c>
      <c r="H124" s="8"/>
      <c r="I124" s="7">
        <v>16.25</v>
      </c>
      <c r="J124" s="6">
        <v>193604934</v>
      </c>
      <c r="K124" s="6">
        <f t="shared" si="3"/>
        <v>62292.449806949808</v>
      </c>
      <c r="L124" s="5">
        <v>3108</v>
      </c>
      <c r="M124" s="39">
        <f>VLOOKUP(Table2[[#This Row],[ROUTE]],DEMAND!A:F,5,FALSE)</f>
        <v>5046</v>
      </c>
      <c r="N124" s="39">
        <f>VLOOKUP(Table2[[#This Row],[ROUTE]],DEMAND!A:F,6,FALSE)</f>
        <v>-234</v>
      </c>
      <c r="O124" s="39">
        <f>ROUNDDOWN(Table2[[#This Row],[R-DEMAND]]/1320,0)</f>
        <v>0</v>
      </c>
      <c r="P124" s="39">
        <f>Table2[[#This Row],[ADD ACC]]*Table2[[#This Row],[RT TIME (744)]]</f>
        <v>0</v>
      </c>
    </row>
    <row r="125" spans="1:16" ht="15.75" customHeight="1" x14ac:dyDescent="0.25">
      <c r="A125" s="1" t="str">
        <f t="shared" si="4"/>
        <v>MPM/GRU</v>
      </c>
      <c r="B125" s="4" t="s">
        <v>298</v>
      </c>
      <c r="C125" s="39" t="s">
        <v>2</v>
      </c>
      <c r="D125" s="39"/>
      <c r="E125" s="4" t="s">
        <v>297</v>
      </c>
      <c r="F125" s="4"/>
      <c r="G125" s="4" t="s">
        <v>296</v>
      </c>
      <c r="H125" s="8">
        <v>7862</v>
      </c>
      <c r="I125" s="7">
        <v>19.5</v>
      </c>
      <c r="J125" s="6">
        <v>235943585</v>
      </c>
      <c r="K125" s="6">
        <f t="shared" si="3"/>
        <v>68014.870279619485</v>
      </c>
      <c r="L125" s="5">
        <v>3469</v>
      </c>
      <c r="M125" s="39">
        <f>VLOOKUP(Table2[[#This Row],[ROUTE]],DEMAND!A:F,5,FALSE)</f>
        <v>5398</v>
      </c>
      <c r="N125" s="39">
        <f>VLOOKUP(Table2[[#This Row],[ROUTE]],DEMAND!A:F,6,FALSE)</f>
        <v>-1202</v>
      </c>
      <c r="O125" s="39">
        <f>ROUNDDOWN(Table2[[#This Row],[R-DEMAND]]/1320,0)</f>
        <v>0</v>
      </c>
      <c r="P125" s="39">
        <f>Table2[[#This Row],[ADD ACC]]*Table2[[#This Row],[RT TIME (744)]]</f>
        <v>0</v>
      </c>
    </row>
    <row r="126" spans="1:16" ht="15.75" customHeight="1" x14ac:dyDescent="0.25">
      <c r="A126" s="38" t="str">
        <f t="shared" si="4"/>
        <v>MPM/GUM</v>
      </c>
      <c r="B126" s="39" t="s">
        <v>5082</v>
      </c>
      <c r="C126" s="39" t="s">
        <v>2</v>
      </c>
      <c r="D126" s="39"/>
      <c r="E126" s="39" t="s">
        <v>11648</v>
      </c>
      <c r="F126" s="39"/>
      <c r="G126" s="39" t="s">
        <v>11649</v>
      </c>
      <c r="H126" s="65">
        <v>12862</v>
      </c>
      <c r="I126" s="58">
        <v>30.5</v>
      </c>
      <c r="J126" s="42"/>
      <c r="K126" s="42">
        <f t="shared" si="3"/>
        <v>0</v>
      </c>
      <c r="L126" s="43">
        <v>3474</v>
      </c>
      <c r="M126" s="39">
        <f>VLOOKUP(Table2[[#This Row],[ROUTE]],DEMAND!A:F,5,FALSE)</f>
        <v>3261</v>
      </c>
      <c r="N126" s="39">
        <f>VLOOKUP(Table2[[#This Row],[ROUTE]],DEMAND!A:F,6,FALSE)</f>
        <v>621</v>
      </c>
      <c r="O126" s="39">
        <f>ROUNDDOWN(Table2[[#This Row],[R-DEMAND]]/1320,0)</f>
        <v>0</v>
      </c>
      <c r="P126" s="39">
        <f>Table2[[#This Row],[ADD ACC]]*Table2[[#This Row],[RT TIME (744)]]</f>
        <v>0</v>
      </c>
    </row>
    <row r="127" spans="1:16" ht="15.75" customHeight="1" x14ac:dyDescent="0.25">
      <c r="A127" s="38" t="str">
        <f t="shared" si="4"/>
        <v>MPM/GUW</v>
      </c>
      <c r="B127" s="39" t="s">
        <v>590</v>
      </c>
      <c r="C127" s="39" t="s">
        <v>2</v>
      </c>
      <c r="D127" s="39"/>
      <c r="E127" s="39" t="s">
        <v>11035</v>
      </c>
      <c r="F127" s="39"/>
      <c r="G127" s="39" t="s">
        <v>11420</v>
      </c>
      <c r="H127" s="40">
        <v>8351</v>
      </c>
      <c r="I127" s="41">
        <v>20.5</v>
      </c>
      <c r="J127" s="42">
        <v>180268611</v>
      </c>
      <c r="K127" s="42">
        <f t="shared" si="3"/>
        <v>73669.232120964443</v>
      </c>
      <c r="L127" s="43">
        <v>2447</v>
      </c>
      <c r="M127" s="39">
        <f>VLOOKUP(Table2[[#This Row],[ROUTE]],DEMAND!A:F,5,FALSE)</f>
        <v>2602</v>
      </c>
      <c r="N127" s="39">
        <f>VLOOKUP(Table2[[#This Row],[ROUTE]],DEMAND!A:F,6,FALSE)</f>
        <v>-38</v>
      </c>
      <c r="O127" s="39">
        <f>ROUNDDOWN(Table2[[#This Row],[R-DEMAND]]/1320,0)</f>
        <v>0</v>
      </c>
      <c r="P127" s="39">
        <f>Table2[[#This Row],[ADD ACC]]*Table2[[#This Row],[RT TIME (744)]]</f>
        <v>0</v>
      </c>
    </row>
    <row r="128" spans="1:16" ht="15.75" customHeight="1" x14ac:dyDescent="0.25">
      <c r="A128" s="1" t="str">
        <f t="shared" si="4"/>
        <v>MPM/GVA</v>
      </c>
      <c r="B128" s="4" t="s">
        <v>295</v>
      </c>
      <c r="C128" s="39" t="s">
        <v>2</v>
      </c>
      <c r="D128" s="39"/>
      <c r="E128" s="4" t="s">
        <v>5</v>
      </c>
      <c r="F128" s="4"/>
      <c r="G128" s="4" t="s">
        <v>294</v>
      </c>
      <c r="H128" s="8">
        <v>9457</v>
      </c>
      <c r="I128" s="7">
        <v>20.75</v>
      </c>
      <c r="J128" s="6">
        <v>230681049</v>
      </c>
      <c r="K128" s="6">
        <f t="shared" si="3"/>
        <v>103074.64209115281</v>
      </c>
      <c r="L128" s="4">
        <v>2238</v>
      </c>
      <c r="M128" s="39">
        <f>VLOOKUP(Table2[[#This Row],[ROUTE]],DEMAND!A:F,5,FALSE)</f>
        <v>3479</v>
      </c>
      <c r="N128" s="39">
        <f>VLOOKUP(Table2[[#This Row],[ROUTE]],DEMAND!A:F,6,FALSE)</f>
        <v>2159</v>
      </c>
      <c r="O128" s="39">
        <f>ROUNDDOWN(Table2[[#This Row],[R-DEMAND]]/1320,0)</f>
        <v>1</v>
      </c>
      <c r="P128" s="39">
        <f>Table2[[#This Row],[ADD ACC]]*Table2[[#This Row],[RT TIME (744)]]</f>
        <v>20.75</v>
      </c>
    </row>
    <row r="129" spans="1:16" ht="15.75" customHeight="1" x14ac:dyDescent="0.25">
      <c r="A129" s="38" t="str">
        <f t="shared" si="4"/>
        <v>MPM/GXF</v>
      </c>
      <c r="B129" s="39" t="s">
        <v>1755</v>
      </c>
      <c r="C129" s="39" t="s">
        <v>2</v>
      </c>
      <c r="D129" s="39"/>
      <c r="E129" s="39" t="s">
        <v>11143</v>
      </c>
      <c r="F129" s="39"/>
      <c r="G129" s="39" t="s">
        <v>11147</v>
      </c>
      <c r="H129" s="40">
        <v>4978</v>
      </c>
      <c r="I129" s="41">
        <v>13.25</v>
      </c>
      <c r="J129" s="42">
        <v>154182510</v>
      </c>
      <c r="K129" s="42">
        <f t="shared" si="3"/>
        <v>44394.618485459257</v>
      </c>
      <c r="L129" s="43">
        <v>3473</v>
      </c>
      <c r="M129" s="39">
        <f>VLOOKUP(Table2[[#This Row],[ROUTE]],DEMAND!A:F,5,FALSE)</f>
        <v>3688</v>
      </c>
      <c r="N129" s="39">
        <f>VLOOKUP(Table2[[#This Row],[ROUTE]],DEMAND!A:F,6,FALSE)</f>
        <v>1048</v>
      </c>
      <c r="O129" s="39">
        <f>ROUNDDOWN(Table2[[#This Row],[R-DEMAND]]/1320,0)</f>
        <v>0</v>
      </c>
      <c r="P129" s="39">
        <f>Table2[[#This Row],[ADD ACC]]*Table2[[#This Row],[RT TIME (744)]]</f>
        <v>0</v>
      </c>
    </row>
    <row r="130" spans="1:16" ht="15.75" customHeight="1" x14ac:dyDescent="0.25">
      <c r="A130" s="38" t="str">
        <f t="shared" si="4"/>
        <v>MPM/GYD</v>
      </c>
      <c r="B130" s="39" t="s">
        <v>4962</v>
      </c>
      <c r="C130" s="39" t="s">
        <v>2</v>
      </c>
      <c r="D130" s="39"/>
      <c r="E130" s="39" t="s">
        <v>11155</v>
      </c>
      <c r="F130" s="39"/>
      <c r="G130" s="39" t="s">
        <v>11156</v>
      </c>
      <c r="H130" s="40">
        <v>7602</v>
      </c>
      <c r="I130" s="41">
        <v>19</v>
      </c>
      <c r="J130" s="42">
        <v>201494658</v>
      </c>
      <c r="K130" s="42">
        <f t="shared" si="3"/>
        <v>52733.488092122483</v>
      </c>
      <c r="L130" s="43">
        <v>3821</v>
      </c>
      <c r="M130" s="39">
        <f>VLOOKUP(Table2[[#This Row],[ROUTE]],DEMAND!A:F,5,FALSE)</f>
        <v>4062</v>
      </c>
      <c r="N130" s="39">
        <f>VLOOKUP(Table2[[#This Row],[ROUTE]],DEMAND!A:F,6,FALSE)</f>
        <v>102</v>
      </c>
      <c r="O130" s="39">
        <f>ROUNDDOWN(Table2[[#This Row],[R-DEMAND]]/1320,0)</f>
        <v>0</v>
      </c>
      <c r="P130" s="39">
        <f>Table2[[#This Row],[ADD ACC]]*Table2[[#This Row],[RT TIME (744)]]</f>
        <v>0</v>
      </c>
    </row>
    <row r="131" spans="1:16" ht="15.75" customHeight="1" x14ac:dyDescent="0.25">
      <c r="A131" s="38" t="str">
        <f t="shared" si="4"/>
        <v>MPM/GYE</v>
      </c>
      <c r="B131" s="39" t="s">
        <v>5225</v>
      </c>
      <c r="C131" s="39" t="s">
        <v>2</v>
      </c>
      <c r="D131" s="39"/>
      <c r="E131" s="39" t="s">
        <v>11507</v>
      </c>
      <c r="F131" s="39"/>
      <c r="G131" s="39" t="s">
        <v>11509</v>
      </c>
      <c r="H131" s="40"/>
      <c r="I131" s="41">
        <v>29</v>
      </c>
      <c r="J131" s="42">
        <v>252506288</v>
      </c>
      <c r="K131" s="42">
        <f t="shared" ref="K131:K194" si="5">J131/L131</f>
        <v>52452.490236809303</v>
      </c>
      <c r="L131" s="43">
        <v>4814</v>
      </c>
      <c r="M131" s="39">
        <f>VLOOKUP(Table2[[#This Row],[ROUTE]],DEMAND!A:F,5,FALSE)</f>
        <v>5053</v>
      </c>
      <c r="N131" s="39">
        <f>VLOOKUP(Table2[[#This Row],[ROUTE]],DEMAND!A:F,6,FALSE)</f>
        <v>1093</v>
      </c>
      <c r="O131" s="39">
        <f>ROUNDDOWN(Table2[[#This Row],[R-DEMAND]]/1320,0)</f>
        <v>0</v>
      </c>
      <c r="P131" s="39">
        <f>Table2[[#This Row],[ADD ACC]]*Table2[[#This Row],[RT TIME (744)]]</f>
        <v>0</v>
      </c>
    </row>
    <row r="132" spans="1:16" ht="15.75" customHeight="1" x14ac:dyDescent="0.25">
      <c r="A132" s="38" t="str">
        <f t="shared" si="4"/>
        <v>MPM/GZT</v>
      </c>
      <c r="B132" s="39" t="s">
        <v>4447</v>
      </c>
      <c r="C132" s="39" t="s">
        <v>2</v>
      </c>
      <c r="D132" s="39"/>
      <c r="E132" s="4" t="s">
        <v>251</v>
      </c>
      <c r="F132" s="39"/>
      <c r="G132" s="39" t="s">
        <v>11431</v>
      </c>
      <c r="H132" s="40">
        <v>7011</v>
      </c>
      <c r="I132" s="41">
        <v>17.75</v>
      </c>
      <c r="J132" s="42">
        <v>188984245</v>
      </c>
      <c r="K132" s="42">
        <f t="shared" si="5"/>
        <v>50355.51425526246</v>
      </c>
      <c r="L132" s="105">
        <v>3753</v>
      </c>
      <c r="M132" s="39">
        <f>VLOOKUP(Table2[[#This Row],[ROUTE]],DEMAND!A:F,5,FALSE)</f>
        <v>3802</v>
      </c>
      <c r="N132" s="39">
        <f>VLOOKUP(Table2[[#This Row],[ROUTE]],DEMAND!A:F,6,FALSE)</f>
        <v>1162</v>
      </c>
      <c r="O132" s="39">
        <f>ROUNDDOWN(Table2[[#This Row],[R-DEMAND]]/1320,0)</f>
        <v>0</v>
      </c>
      <c r="P132" s="39">
        <f>Table2[[#This Row],[ADD ACC]]*Table2[[#This Row],[RT TIME (744)]]</f>
        <v>0</v>
      </c>
    </row>
    <row r="133" spans="1:16" ht="15.75" customHeight="1" x14ac:dyDescent="0.25">
      <c r="A133" s="1" t="str">
        <f t="shared" si="4"/>
        <v>MPM/HAH</v>
      </c>
      <c r="B133" s="4" t="s">
        <v>293</v>
      </c>
      <c r="C133" s="39" t="s">
        <v>2</v>
      </c>
      <c r="D133" s="39"/>
      <c r="E133" s="4" t="s">
        <v>292</v>
      </c>
      <c r="F133" s="4"/>
      <c r="G133" s="4" t="s">
        <v>291</v>
      </c>
      <c r="H133" s="8">
        <v>1954</v>
      </c>
      <c r="I133" s="7">
        <v>6.5</v>
      </c>
      <c r="J133" s="6"/>
      <c r="K133" s="6">
        <f t="shared" si="5"/>
        <v>0</v>
      </c>
      <c r="L133" s="4">
        <v>2609</v>
      </c>
      <c r="M133" s="39">
        <f>VLOOKUP(Table2[[#This Row],[ROUTE]],DEMAND!A:F,5,FALSE)</f>
        <v>4559</v>
      </c>
      <c r="N133" s="39">
        <f>VLOOKUP(Table2[[#This Row],[ROUTE]],DEMAND!A:F,6,FALSE)</f>
        <v>599</v>
      </c>
      <c r="O133" s="39">
        <f>ROUNDDOWN(Table2[[#This Row],[R-DEMAND]]/1320,0)</f>
        <v>0</v>
      </c>
      <c r="P133" s="39">
        <f>Table2[[#This Row],[ADD ACC]]*Table2[[#This Row],[RT TIME (744)]]</f>
        <v>0</v>
      </c>
    </row>
    <row r="134" spans="1:16" ht="15.75" customHeight="1" x14ac:dyDescent="0.25">
      <c r="A134" s="1" t="str">
        <f t="shared" si="4"/>
        <v>MPM/HAK</v>
      </c>
      <c r="B134" s="4" t="s">
        <v>290</v>
      </c>
      <c r="C134" s="39" t="s">
        <v>2</v>
      </c>
      <c r="D134" s="39"/>
      <c r="E134" s="4" t="s">
        <v>17</v>
      </c>
      <c r="F134" s="4"/>
      <c r="G134" s="4" t="s">
        <v>289</v>
      </c>
      <c r="H134" s="8">
        <v>9829</v>
      </c>
      <c r="I134" s="7">
        <v>24</v>
      </c>
      <c r="J134" s="6"/>
      <c r="K134" s="6">
        <f t="shared" si="5"/>
        <v>0</v>
      </c>
      <c r="L134" s="5">
        <v>3099</v>
      </c>
      <c r="M134" s="39">
        <f>VLOOKUP(Table2[[#This Row],[ROUTE]],DEMAND!A:F,5,FALSE)</f>
        <v>4807</v>
      </c>
      <c r="N134" s="39">
        <f>VLOOKUP(Table2[[#This Row],[ROUTE]],DEMAND!A:F,6,FALSE)</f>
        <v>847</v>
      </c>
      <c r="O134" s="39">
        <f>ROUNDDOWN(Table2[[#This Row],[R-DEMAND]]/1320,0)</f>
        <v>0</v>
      </c>
      <c r="P134" s="39">
        <f>Table2[[#This Row],[ADD ACC]]*Table2[[#This Row],[RT TIME (744)]]</f>
        <v>0</v>
      </c>
    </row>
    <row r="135" spans="1:16" ht="15.75" customHeight="1" x14ac:dyDescent="0.25">
      <c r="A135" s="1" t="str">
        <f t="shared" si="4"/>
        <v>MPM/HAM</v>
      </c>
      <c r="B135" s="4" t="s">
        <v>288</v>
      </c>
      <c r="C135" s="39" t="s">
        <v>11122</v>
      </c>
      <c r="D135" s="39"/>
      <c r="E135" s="4" t="s">
        <v>156</v>
      </c>
      <c r="F135" s="4"/>
      <c r="G135" s="4" t="s">
        <v>287</v>
      </c>
      <c r="H135" s="8">
        <v>9112</v>
      </c>
      <c r="I135" s="7">
        <v>22.25</v>
      </c>
      <c r="J135" s="6">
        <v>234571883</v>
      </c>
      <c r="K135" s="6">
        <f t="shared" si="5"/>
        <v>97211.721094073771</v>
      </c>
      <c r="L135" s="4">
        <v>2413</v>
      </c>
      <c r="M135" s="39" t="e">
        <f>VLOOKUP(Table2[[#This Row],[ROUTE]],DEMAND!A:F,5,FALSE)</f>
        <v>#N/A</v>
      </c>
      <c r="N135" s="39" t="e">
        <f>VLOOKUP(Table2[[#This Row],[ROUTE]],DEMAND!A:F,6,FALSE)</f>
        <v>#N/A</v>
      </c>
      <c r="O135" s="39" t="e">
        <f>ROUNDDOWN(Table2[[#This Row],[R-DEMAND]]/1320,0)</f>
        <v>#N/A</v>
      </c>
      <c r="P135" s="39" t="e">
        <f>Table2[[#This Row],[ADD ACC]]*Table2[[#This Row],[RT TIME (744)]]</f>
        <v>#N/A</v>
      </c>
    </row>
    <row r="136" spans="1:16" ht="15.75" customHeight="1" x14ac:dyDescent="0.25">
      <c r="A136" s="1" t="str">
        <f t="shared" si="4"/>
        <v>MPM/HAN</v>
      </c>
      <c r="B136" s="4" t="s">
        <v>286</v>
      </c>
      <c r="C136" s="39" t="s">
        <v>2</v>
      </c>
      <c r="D136" s="39"/>
      <c r="E136" s="4" t="s">
        <v>99</v>
      </c>
      <c r="F136" s="4"/>
      <c r="G136" s="4" t="s">
        <v>285</v>
      </c>
      <c r="H136" s="8"/>
      <c r="I136" s="7">
        <v>23</v>
      </c>
      <c r="J136" s="6">
        <v>225597386</v>
      </c>
      <c r="K136" s="6">
        <f t="shared" si="5"/>
        <v>79240.388479100802</v>
      </c>
      <c r="L136" s="4">
        <v>2847</v>
      </c>
      <c r="M136" s="39" t="e">
        <f>VLOOKUP(Table2[[#This Row],[ROUTE]],DEMAND!A:F,5,FALSE)</f>
        <v>#N/A</v>
      </c>
      <c r="N136" s="39" t="e">
        <f>VLOOKUP(Table2[[#This Row],[ROUTE]],DEMAND!A:F,6,FALSE)</f>
        <v>#N/A</v>
      </c>
      <c r="O136" s="39" t="e">
        <f>ROUNDDOWN(Table2[[#This Row],[R-DEMAND]]/1320,0)</f>
        <v>#N/A</v>
      </c>
      <c r="P136" s="39" t="e">
        <f>Table2[[#This Row],[ADD ACC]]*Table2[[#This Row],[RT TIME (744)]]</f>
        <v>#N/A</v>
      </c>
    </row>
    <row r="137" spans="1:16" ht="15.75" customHeight="1" x14ac:dyDescent="0.25">
      <c r="A137" s="1" t="str">
        <f t="shared" si="4"/>
        <v>MPM/HDY</v>
      </c>
      <c r="B137" s="4" t="s">
        <v>284</v>
      </c>
      <c r="C137" s="39" t="s">
        <v>11122</v>
      </c>
      <c r="D137" s="39"/>
      <c r="E137" s="4" t="s">
        <v>29</v>
      </c>
      <c r="F137" s="4"/>
      <c r="G137" s="4" t="s">
        <v>283</v>
      </c>
      <c r="H137" s="8"/>
      <c r="I137" s="7">
        <v>20.25</v>
      </c>
      <c r="J137" s="6">
        <v>204541754</v>
      </c>
      <c r="K137" s="6">
        <f t="shared" si="5"/>
        <v>80974.566112430723</v>
      </c>
      <c r="L137" s="4">
        <v>2526</v>
      </c>
      <c r="M137" s="39" t="e">
        <f>VLOOKUP(Table2[[#This Row],[ROUTE]],DEMAND!A:F,5,FALSE)</f>
        <v>#N/A</v>
      </c>
      <c r="N137" s="39" t="e">
        <f>VLOOKUP(Table2[[#This Row],[ROUTE]],DEMAND!A:F,6,FALSE)</f>
        <v>#N/A</v>
      </c>
      <c r="O137" s="39" t="e">
        <f>ROUNDDOWN(Table2[[#This Row],[R-DEMAND]]/1320,0)</f>
        <v>#N/A</v>
      </c>
      <c r="P137" s="39" t="e">
        <f>Table2[[#This Row],[ADD ACC]]*Table2[[#This Row],[RT TIME (744)]]</f>
        <v>#N/A</v>
      </c>
    </row>
    <row r="138" spans="1:16" ht="15.75" customHeight="1" x14ac:dyDescent="0.25">
      <c r="A138" s="1" t="str">
        <f t="shared" si="4"/>
        <v>MPM/HEL</v>
      </c>
      <c r="B138" s="4" t="s">
        <v>282</v>
      </c>
      <c r="C138" s="39" t="s">
        <v>11122</v>
      </c>
      <c r="D138" s="39"/>
      <c r="E138" s="4" t="s">
        <v>281</v>
      </c>
      <c r="F138" s="4"/>
      <c r="G138" s="4" t="s">
        <v>280</v>
      </c>
      <c r="H138" s="8">
        <v>9616</v>
      </c>
      <c r="I138" s="7">
        <v>23.5</v>
      </c>
      <c r="J138" s="6">
        <v>243127720</v>
      </c>
      <c r="K138" s="6">
        <f t="shared" si="5"/>
        <v>94418.53203883495</v>
      </c>
      <c r="L138" s="4">
        <v>2575</v>
      </c>
      <c r="M138" s="39" t="e">
        <f>VLOOKUP(Table2[[#This Row],[ROUTE]],DEMAND!A:F,5,FALSE)</f>
        <v>#N/A</v>
      </c>
      <c r="N138" s="39" t="e">
        <f>VLOOKUP(Table2[[#This Row],[ROUTE]],DEMAND!A:F,6,FALSE)</f>
        <v>#N/A</v>
      </c>
      <c r="O138" s="39" t="e">
        <f>ROUNDDOWN(Table2[[#This Row],[R-DEMAND]]/1320,0)</f>
        <v>#N/A</v>
      </c>
      <c r="P138" s="39" t="e">
        <f>Table2[[#This Row],[ADD ACC]]*Table2[[#This Row],[RT TIME (744)]]</f>
        <v>#N/A</v>
      </c>
    </row>
    <row r="139" spans="1:16" ht="15" customHeight="1" x14ac:dyDescent="0.25">
      <c r="A139" s="1" t="str">
        <f t="shared" si="4"/>
        <v>MPM/HGH</v>
      </c>
      <c r="B139" s="10" t="s">
        <v>279</v>
      </c>
      <c r="C139" s="39" t="s">
        <v>2</v>
      </c>
      <c r="D139" s="39"/>
      <c r="E139" s="10" t="s">
        <v>14</v>
      </c>
      <c r="F139" s="10"/>
      <c r="G139" s="10" t="s">
        <v>278</v>
      </c>
      <c r="H139" s="8">
        <v>11235</v>
      </c>
      <c r="I139" s="7">
        <v>27</v>
      </c>
      <c r="J139" s="6">
        <v>260409394</v>
      </c>
      <c r="K139" s="6">
        <f t="shared" si="5"/>
        <v>54915.519611978067</v>
      </c>
      <c r="L139" s="5">
        <v>4742</v>
      </c>
      <c r="M139" s="39">
        <f>VLOOKUP(Table2[[#This Row],[ROUTE]],DEMAND!A:F,5,FALSE)</f>
        <v>5629</v>
      </c>
      <c r="N139" s="39">
        <f>VLOOKUP(Table2[[#This Row],[ROUTE]],DEMAND!A:F,6,FALSE)</f>
        <v>349</v>
      </c>
      <c r="O139" s="39">
        <f>ROUNDDOWN(Table2[[#This Row],[R-DEMAND]]/1320,0)</f>
        <v>0</v>
      </c>
      <c r="P139" s="39">
        <f>Table2[[#This Row],[ADD ACC]]*Table2[[#This Row],[RT TIME (744)]]</f>
        <v>0</v>
      </c>
    </row>
    <row r="140" spans="1:16" ht="15" customHeight="1" x14ac:dyDescent="0.25">
      <c r="A140" s="1" t="str">
        <f t="shared" si="4"/>
        <v>MPM/HKG</v>
      </c>
      <c r="B140" s="4" t="s">
        <v>277</v>
      </c>
      <c r="C140" s="39" t="s">
        <v>2</v>
      </c>
      <c r="D140" s="39"/>
      <c r="E140" s="4" t="s">
        <v>17</v>
      </c>
      <c r="F140" s="4"/>
      <c r="G140" s="4" t="s">
        <v>276</v>
      </c>
      <c r="H140" s="8">
        <v>10269</v>
      </c>
      <c r="I140" s="7">
        <v>24.75</v>
      </c>
      <c r="J140" s="6"/>
      <c r="K140" s="6">
        <f t="shared" si="5"/>
        <v>0</v>
      </c>
      <c r="L140" s="4">
        <v>1748</v>
      </c>
      <c r="M140" s="39">
        <f>VLOOKUP(Table2[[#This Row],[ROUTE]],DEMAND!A:F,5,FALSE)</f>
        <v>6675</v>
      </c>
      <c r="N140" s="39">
        <f>VLOOKUP(Table2[[#This Row],[ROUTE]],DEMAND!A:F,6,FALSE)</f>
        <v>75</v>
      </c>
      <c r="O140" s="39">
        <f>ROUNDDOWN(Table2[[#This Row],[R-DEMAND]]/1320,0)</f>
        <v>0</v>
      </c>
      <c r="P140" s="39">
        <f>Table2[[#This Row],[ADD ACC]]*Table2[[#This Row],[RT TIME (744)]]</f>
        <v>0</v>
      </c>
    </row>
    <row r="141" spans="1:16" ht="15" customHeight="1" x14ac:dyDescent="0.25">
      <c r="A141" s="1" t="str">
        <f t="shared" si="4"/>
        <v>MPM/HKT</v>
      </c>
      <c r="B141" s="4" t="s">
        <v>275</v>
      </c>
      <c r="C141" s="39" t="s">
        <v>2</v>
      </c>
      <c r="D141" s="39"/>
      <c r="E141" s="4" t="s">
        <v>29</v>
      </c>
      <c r="F141" s="4"/>
      <c r="G141" s="4" t="s">
        <v>274</v>
      </c>
      <c r="H141" s="8"/>
      <c r="I141" s="7">
        <v>20</v>
      </c>
      <c r="J141" s="6">
        <v>217018802</v>
      </c>
      <c r="K141" s="6">
        <f t="shared" si="5"/>
        <v>74042.580006823613</v>
      </c>
      <c r="L141" s="5">
        <v>2931</v>
      </c>
      <c r="M141" s="39">
        <f>VLOOKUP(Table2[[#This Row],[ROUTE]],DEMAND!A:F,5,FALSE)</f>
        <v>4763</v>
      </c>
      <c r="N141" s="39">
        <f>VLOOKUP(Table2[[#This Row],[ROUTE]],DEMAND!A:F,6,FALSE)</f>
        <v>803</v>
      </c>
      <c r="O141" s="39">
        <f>ROUNDDOWN(Table2[[#This Row],[R-DEMAND]]/1320,0)</f>
        <v>0</v>
      </c>
      <c r="P141" s="39">
        <f>Table2[[#This Row],[ADD ACC]]*Table2[[#This Row],[RT TIME (744)]]</f>
        <v>0</v>
      </c>
    </row>
    <row r="142" spans="1:16" ht="15" customHeight="1" x14ac:dyDescent="0.25">
      <c r="A142" s="1" t="str">
        <f t="shared" si="4"/>
        <v>MPM/HLA</v>
      </c>
      <c r="B142" s="4" t="s">
        <v>273</v>
      </c>
      <c r="C142" s="39" t="s">
        <v>11122</v>
      </c>
      <c r="D142" s="39"/>
      <c r="E142" s="4" t="s">
        <v>162</v>
      </c>
      <c r="F142" s="4"/>
      <c r="G142" s="4" t="s">
        <v>233</v>
      </c>
      <c r="H142" s="8">
        <v>464</v>
      </c>
      <c r="I142" s="7">
        <v>3.25</v>
      </c>
      <c r="J142" s="6">
        <v>113856358</v>
      </c>
      <c r="K142" s="6">
        <f t="shared" si="5"/>
        <v>62592.830126443099</v>
      </c>
      <c r="L142" s="48">
        <v>1819</v>
      </c>
      <c r="M142" s="39" t="e">
        <f>VLOOKUP(Table2[[#This Row],[ROUTE]],DEMAND!A:F,5,FALSE)</f>
        <v>#N/A</v>
      </c>
      <c r="N142" s="39" t="e">
        <f>VLOOKUP(Table2[[#This Row],[ROUTE]],DEMAND!A:F,6,FALSE)</f>
        <v>#N/A</v>
      </c>
      <c r="O142" s="39" t="e">
        <f>ROUNDDOWN(Table2[[#This Row],[R-DEMAND]]/1320,0)</f>
        <v>#N/A</v>
      </c>
      <c r="P142" s="39" t="e">
        <f>Table2[[#This Row],[ADD ACC]]*Table2[[#This Row],[RT TIME (744)]]</f>
        <v>#N/A</v>
      </c>
    </row>
    <row r="143" spans="1:16" ht="15" customHeight="1" x14ac:dyDescent="0.25">
      <c r="A143" s="1" t="str">
        <f t="shared" si="4"/>
        <v>MPM/HLP</v>
      </c>
      <c r="B143" s="4" t="s">
        <v>272</v>
      </c>
      <c r="C143" s="39" t="s">
        <v>11122</v>
      </c>
      <c r="D143" s="39"/>
      <c r="E143" s="4" t="s">
        <v>36</v>
      </c>
      <c r="F143" s="4"/>
      <c r="G143" s="4" t="s">
        <v>271</v>
      </c>
      <c r="H143" s="8"/>
      <c r="I143" s="7">
        <v>20.25</v>
      </c>
      <c r="J143" s="6">
        <v>192664748</v>
      </c>
      <c r="K143" s="6">
        <f t="shared" si="5"/>
        <v>87455.62778029959</v>
      </c>
      <c r="L143" s="4">
        <v>2203</v>
      </c>
      <c r="M143" s="39" t="e">
        <f>VLOOKUP(Table2[[#This Row],[ROUTE]],DEMAND!A:F,5,FALSE)</f>
        <v>#N/A</v>
      </c>
      <c r="N143" s="39" t="e">
        <f>VLOOKUP(Table2[[#This Row],[ROUTE]],DEMAND!A:F,6,FALSE)</f>
        <v>#N/A</v>
      </c>
      <c r="O143" s="39" t="e">
        <f>ROUNDDOWN(Table2[[#This Row],[R-DEMAND]]/1320,0)</f>
        <v>#N/A</v>
      </c>
      <c r="P143" s="39" t="e">
        <f>Table2[[#This Row],[ADD ACC]]*Table2[[#This Row],[RT TIME (744)]]</f>
        <v>#N/A</v>
      </c>
    </row>
    <row r="144" spans="1:16" ht="15" customHeight="1" x14ac:dyDescent="0.25">
      <c r="A144" s="1" t="str">
        <f t="shared" si="4"/>
        <v>MPM/HND</v>
      </c>
      <c r="B144" s="10" t="s">
        <v>270</v>
      </c>
      <c r="C144" s="39" t="s">
        <v>2</v>
      </c>
      <c r="D144" s="39"/>
      <c r="E144" s="10" t="s">
        <v>142</v>
      </c>
      <c r="F144" s="10"/>
      <c r="G144" s="10" t="s">
        <v>269</v>
      </c>
      <c r="H144" s="8"/>
      <c r="I144" s="7">
        <v>31.25</v>
      </c>
      <c r="J144" s="6">
        <v>299228747</v>
      </c>
      <c r="K144" s="6">
        <f t="shared" si="5"/>
        <v>56298.91759172154</v>
      </c>
      <c r="L144" s="4">
        <v>5315</v>
      </c>
      <c r="M144" s="39">
        <f>VLOOKUP(Table2[[#This Row],[ROUTE]],DEMAND!A:F,5,FALSE)</f>
        <v>5636</v>
      </c>
      <c r="N144" s="39">
        <f>VLOOKUP(Table2[[#This Row],[ROUTE]],DEMAND!A:F,6,FALSE)</f>
        <v>356</v>
      </c>
      <c r="O144" s="39">
        <f>ROUNDDOWN(Table2[[#This Row],[R-DEMAND]]/1320,0)</f>
        <v>0</v>
      </c>
      <c r="P144" s="39">
        <f>Table2[[#This Row],[ADD ACC]]*Table2[[#This Row],[RT TIME (744)]]</f>
        <v>0</v>
      </c>
    </row>
    <row r="145" spans="1:16" ht="15" customHeight="1" x14ac:dyDescent="0.25">
      <c r="A145" s="38" t="str">
        <f t="shared" si="4"/>
        <v>MPM/HOG</v>
      </c>
      <c r="B145" s="39" t="s">
        <v>4391</v>
      </c>
      <c r="C145" s="39" t="s">
        <v>2</v>
      </c>
      <c r="D145" s="39"/>
      <c r="E145" s="39" t="s">
        <v>11479</v>
      </c>
      <c r="F145" s="39"/>
      <c r="G145" s="39" t="s">
        <v>11481</v>
      </c>
      <c r="H145" s="40"/>
      <c r="I145" s="41">
        <v>30.5</v>
      </c>
      <c r="J145" s="42">
        <v>246167204</v>
      </c>
      <c r="K145" s="42">
        <f t="shared" si="5"/>
        <v>68341.811215991111</v>
      </c>
      <c r="L145" s="43">
        <v>3602</v>
      </c>
      <c r="M145" s="39">
        <f>VLOOKUP(Table2[[#This Row],[ROUTE]],DEMAND!A:F,5,FALSE)</f>
        <v>3782</v>
      </c>
      <c r="N145" s="39">
        <f>VLOOKUP(Table2[[#This Row],[ROUTE]],DEMAND!A:F,6,FALSE)</f>
        <v>1142</v>
      </c>
      <c r="O145" s="39">
        <f>ROUNDDOWN(Table2[[#This Row],[R-DEMAND]]/1320,0)</f>
        <v>0</v>
      </c>
      <c r="P145" s="39">
        <f>Table2[[#This Row],[ADD ACC]]*Table2[[#This Row],[RT TIME (744)]]</f>
        <v>0</v>
      </c>
    </row>
    <row r="146" spans="1:16" ht="15" customHeight="1" x14ac:dyDescent="0.25">
      <c r="A146" s="1" t="str">
        <f t="shared" si="4"/>
        <v>MPM/HRB</v>
      </c>
      <c r="B146" s="4" t="s">
        <v>268</v>
      </c>
      <c r="C146" s="39" t="s">
        <v>2</v>
      </c>
      <c r="D146" s="39"/>
      <c r="E146" s="4" t="s">
        <v>17</v>
      </c>
      <c r="F146" s="4"/>
      <c r="G146" s="4" t="s">
        <v>267</v>
      </c>
      <c r="H146" s="8">
        <v>12308</v>
      </c>
      <c r="I146" s="7">
        <v>29.5</v>
      </c>
      <c r="J146" s="6">
        <v>260469413</v>
      </c>
      <c r="K146" s="6">
        <f t="shared" si="5"/>
        <v>60942.773280299487</v>
      </c>
      <c r="L146" s="4">
        <v>4274</v>
      </c>
      <c r="M146" s="39">
        <f>VLOOKUP(Table2[[#This Row],[ROUTE]],DEMAND!A:F,5,FALSE)</f>
        <v>5074</v>
      </c>
      <c r="N146" s="39">
        <f>VLOOKUP(Table2[[#This Row],[ROUTE]],DEMAND!A:F,6,FALSE)</f>
        <v>1114</v>
      </c>
      <c r="O146" s="39">
        <f>ROUNDDOWN(Table2[[#This Row],[R-DEMAND]]/1320,0)</f>
        <v>0</v>
      </c>
      <c r="P146" s="39">
        <f>Table2[[#This Row],[ADD ACC]]*Table2[[#This Row],[RT TIME (744)]]</f>
        <v>0</v>
      </c>
    </row>
    <row r="147" spans="1:16" ht="15" customHeight="1" x14ac:dyDescent="0.25">
      <c r="A147" s="1" t="str">
        <f t="shared" si="4"/>
        <v>MPM/HRE</v>
      </c>
      <c r="B147" s="4" t="s">
        <v>266</v>
      </c>
      <c r="C147" s="39" t="s">
        <v>2</v>
      </c>
      <c r="D147" s="39"/>
      <c r="E147" s="4" t="s">
        <v>265</v>
      </c>
      <c r="F147" s="4"/>
      <c r="G147" s="4" t="s">
        <v>264</v>
      </c>
      <c r="H147" s="8">
        <v>901</v>
      </c>
      <c r="I147" s="7">
        <v>4</v>
      </c>
      <c r="J147" s="6"/>
      <c r="K147" s="6">
        <f t="shared" si="5"/>
        <v>0</v>
      </c>
      <c r="L147" s="4">
        <v>2354</v>
      </c>
      <c r="M147" s="39">
        <f>VLOOKUP(Table2[[#This Row],[ROUTE]],DEMAND!A:F,5,FALSE)</f>
        <v>4495</v>
      </c>
      <c r="N147" s="39">
        <f>VLOOKUP(Table2[[#This Row],[ROUTE]],DEMAND!A:F,6,FALSE)</f>
        <v>535</v>
      </c>
      <c r="O147" s="39">
        <f>ROUNDDOWN(Table2[[#This Row],[R-DEMAND]]/1320,0)</f>
        <v>0</v>
      </c>
      <c r="P147" s="39">
        <f>Table2[[#This Row],[ADD ACC]]*Table2[[#This Row],[RT TIME (744)]]</f>
        <v>0</v>
      </c>
    </row>
    <row r="148" spans="1:16" ht="15" customHeight="1" x14ac:dyDescent="0.25">
      <c r="A148" s="1" t="str">
        <f t="shared" si="4"/>
        <v>MPM/HYD</v>
      </c>
      <c r="B148" s="4" t="s">
        <v>263</v>
      </c>
      <c r="C148" s="39" t="s">
        <v>2</v>
      </c>
      <c r="D148" s="39"/>
      <c r="E148" s="4" t="s">
        <v>23</v>
      </c>
      <c r="F148" s="4"/>
      <c r="G148" s="4" t="s">
        <v>262</v>
      </c>
      <c r="H148" s="8"/>
      <c r="I148" s="7">
        <v>17.5</v>
      </c>
      <c r="J148" s="6">
        <v>208946020</v>
      </c>
      <c r="K148" s="6">
        <f t="shared" si="5"/>
        <v>60546.514053897423</v>
      </c>
      <c r="L148" s="5">
        <v>3451</v>
      </c>
      <c r="M148" s="39">
        <f>VLOOKUP(Table2[[#This Row],[ROUTE]],DEMAND!A:F,5,FALSE)</f>
        <v>5605</v>
      </c>
      <c r="N148" s="39">
        <f>VLOOKUP(Table2[[#This Row],[ROUTE]],DEMAND!A:F,6,FALSE)</f>
        <v>325</v>
      </c>
      <c r="O148" s="39">
        <f>ROUNDDOWN(Table2[[#This Row],[R-DEMAND]]/1320,0)</f>
        <v>0</v>
      </c>
      <c r="P148" s="39">
        <f>Table2[[#This Row],[ADD ACC]]*Table2[[#This Row],[RT TIME (744)]]</f>
        <v>0</v>
      </c>
    </row>
    <row r="149" spans="1:16" ht="15" customHeight="1" x14ac:dyDescent="0.25">
      <c r="A149" s="38" t="str">
        <f t="shared" si="4"/>
        <v>MPM/IAD</v>
      </c>
      <c r="B149" s="39" t="s">
        <v>261</v>
      </c>
      <c r="C149" s="39" t="s">
        <v>2</v>
      </c>
      <c r="D149" s="39"/>
      <c r="E149" s="39" t="s">
        <v>11471</v>
      </c>
      <c r="F149" s="39"/>
      <c r="G149" s="39" t="s">
        <v>260</v>
      </c>
      <c r="H149" s="40"/>
      <c r="I149" s="7">
        <v>32</v>
      </c>
      <c r="J149" s="6">
        <v>290600469</v>
      </c>
      <c r="K149" s="42">
        <f t="shared" si="5"/>
        <v>74723.699922859349</v>
      </c>
      <c r="L149" s="43">
        <v>3889</v>
      </c>
      <c r="M149" s="39">
        <f>VLOOKUP(Table2[[#This Row],[ROUTE]],DEMAND!A:F,5,FALSE)</f>
        <v>3805</v>
      </c>
      <c r="N149" s="39">
        <f>VLOOKUP(Table2[[#This Row],[ROUTE]],DEMAND!A:F,6,FALSE)</f>
        <v>1165</v>
      </c>
      <c r="O149" s="39">
        <f>ROUNDDOWN(Table2[[#This Row],[R-DEMAND]]/1320,0)</f>
        <v>0</v>
      </c>
      <c r="P149" s="39">
        <f>Table2[[#This Row],[ADD ACC]]*Table2[[#This Row],[RT TIME (744)]]</f>
        <v>0</v>
      </c>
    </row>
    <row r="150" spans="1:16" ht="15" customHeight="1" x14ac:dyDescent="0.25">
      <c r="A150" s="1" t="str">
        <f t="shared" si="4"/>
        <v>MPM/ICN</v>
      </c>
      <c r="B150" s="10" t="s">
        <v>259</v>
      </c>
      <c r="C150" s="39" t="s">
        <v>2</v>
      </c>
      <c r="D150" s="39"/>
      <c r="E150" s="10" t="s">
        <v>258</v>
      </c>
      <c r="F150" s="10"/>
      <c r="G150" s="10" t="s">
        <v>257</v>
      </c>
      <c r="H150" s="8">
        <v>12046</v>
      </c>
      <c r="I150" s="7">
        <v>28.75</v>
      </c>
      <c r="J150" s="6">
        <v>280499598</v>
      </c>
      <c r="K150" s="6">
        <f t="shared" si="5"/>
        <v>51242.16258677384</v>
      </c>
      <c r="L150" s="4">
        <v>5474</v>
      </c>
      <c r="M150" s="39">
        <f>VLOOKUP(Table2[[#This Row],[ROUTE]],DEMAND!A:F,5,FALSE)</f>
        <v>5825</v>
      </c>
      <c r="N150" s="39">
        <f>VLOOKUP(Table2[[#This Row],[ROUTE]],DEMAND!A:F,6,FALSE)</f>
        <v>545</v>
      </c>
      <c r="O150" s="39">
        <f>ROUNDDOWN(Table2[[#This Row],[R-DEMAND]]/1320,0)</f>
        <v>0</v>
      </c>
      <c r="P150" s="39">
        <f>Table2[[#This Row],[ADD ACC]]*Table2[[#This Row],[RT TIME (744)]]</f>
        <v>0</v>
      </c>
    </row>
    <row r="151" spans="1:16" ht="15" customHeight="1" x14ac:dyDescent="0.25">
      <c r="A151" s="1" t="str">
        <f t="shared" si="4"/>
        <v>MPM/IPC</v>
      </c>
      <c r="B151" s="4" t="s">
        <v>256</v>
      </c>
      <c r="C151" s="39" t="s">
        <v>2</v>
      </c>
      <c r="D151" s="39"/>
      <c r="E151" s="4" t="s">
        <v>102</v>
      </c>
      <c r="F151" s="4"/>
      <c r="G151" s="4" t="s">
        <v>255</v>
      </c>
      <c r="H151" s="8">
        <v>12849</v>
      </c>
      <c r="I151" s="7">
        <v>30.5</v>
      </c>
      <c r="J151" s="6">
        <v>227895198</v>
      </c>
      <c r="K151" s="6">
        <f t="shared" si="5"/>
        <v>136382.52423698385</v>
      </c>
      <c r="L151" s="4">
        <v>1671</v>
      </c>
      <c r="M151" s="39">
        <f>VLOOKUP(Table2[[#This Row],[ROUTE]],DEMAND!A:F,5,FALSE)</f>
        <v>2723</v>
      </c>
      <c r="N151" s="39">
        <f>VLOOKUP(Table2[[#This Row],[ROUTE]],DEMAND!A:F,6,FALSE)</f>
        <v>83</v>
      </c>
      <c r="O151" s="39">
        <f>ROUNDDOWN(Table2[[#This Row],[R-DEMAND]]/1320,0)</f>
        <v>0</v>
      </c>
      <c r="P151" s="39">
        <f>Table2[[#This Row],[ADD ACC]]*Table2[[#This Row],[RT TIME (744)]]</f>
        <v>0</v>
      </c>
    </row>
    <row r="152" spans="1:16" ht="15" customHeight="1" x14ac:dyDescent="0.25">
      <c r="A152" s="38" t="str">
        <f t="shared" si="4"/>
        <v>MPM/IQQ</v>
      </c>
      <c r="B152" s="39" t="s">
        <v>3964</v>
      </c>
      <c r="C152" s="39" t="s">
        <v>2</v>
      </c>
      <c r="D152" s="39"/>
      <c r="E152" s="39" t="s">
        <v>102</v>
      </c>
      <c r="F152" s="39"/>
      <c r="G152" s="39" t="s">
        <v>11521</v>
      </c>
      <c r="H152" s="40"/>
      <c r="I152" s="41">
        <v>24.75</v>
      </c>
      <c r="J152" s="42">
        <v>216580139</v>
      </c>
      <c r="K152" s="42">
        <f t="shared" si="5"/>
        <v>66070.817266625992</v>
      </c>
      <c r="L152" s="43">
        <v>3278</v>
      </c>
      <c r="M152" s="39">
        <f>VLOOKUP(Table2[[#This Row],[ROUTE]],DEMAND!A:F,5,FALSE)</f>
        <v>3440</v>
      </c>
      <c r="N152" s="39">
        <f>VLOOKUP(Table2[[#This Row],[ROUTE]],DEMAND!A:F,6,FALSE)</f>
        <v>800</v>
      </c>
      <c r="O152" s="39">
        <f>ROUNDDOWN(Table2[[#This Row],[R-DEMAND]]/1320,0)</f>
        <v>0</v>
      </c>
      <c r="P152" s="39">
        <f>Table2[[#This Row],[ADD ACC]]*Table2[[#This Row],[RT TIME (744)]]</f>
        <v>0</v>
      </c>
    </row>
    <row r="153" spans="1:16" ht="15" customHeight="1" x14ac:dyDescent="0.25">
      <c r="A153" s="1" t="str">
        <f t="shared" si="4"/>
        <v>MPM/ISB</v>
      </c>
      <c r="B153" s="4" t="s">
        <v>254</v>
      </c>
      <c r="C153" s="39" t="s">
        <v>2</v>
      </c>
      <c r="D153" s="39"/>
      <c r="E153" s="4" t="s">
        <v>223</v>
      </c>
      <c r="F153" s="4"/>
      <c r="G153" s="4" t="s">
        <v>253</v>
      </c>
      <c r="H153" s="8">
        <v>7885</v>
      </c>
      <c r="I153" s="7">
        <v>19.5</v>
      </c>
      <c r="J153" s="6">
        <v>214303524</v>
      </c>
      <c r="K153" s="6">
        <f t="shared" si="5"/>
        <v>61973.257374204746</v>
      </c>
      <c r="L153" s="5">
        <v>3458</v>
      </c>
      <c r="M153" s="39">
        <f>VLOOKUP(Table2[[#This Row],[ROUTE]],DEMAND!A:F,5,FALSE)</f>
        <v>5593</v>
      </c>
      <c r="N153" s="39">
        <f>VLOOKUP(Table2[[#This Row],[ROUTE]],DEMAND!A:F,6,FALSE)</f>
        <v>313</v>
      </c>
      <c r="O153" s="39">
        <f>ROUNDDOWN(Table2[[#This Row],[R-DEMAND]]/1320,0)</f>
        <v>0</v>
      </c>
      <c r="P153" s="39">
        <f>Table2[[#This Row],[ADD ACC]]*Table2[[#This Row],[RT TIME (744)]]</f>
        <v>0</v>
      </c>
    </row>
    <row r="154" spans="1:16" ht="15" customHeight="1" x14ac:dyDescent="0.25">
      <c r="A154" s="1" t="str">
        <f t="shared" si="4"/>
        <v>MPM/IST</v>
      </c>
      <c r="B154" s="4" t="s">
        <v>252</v>
      </c>
      <c r="C154" s="39" t="s">
        <v>2</v>
      </c>
      <c r="D154" s="39"/>
      <c r="E154" s="4" t="s">
        <v>251</v>
      </c>
      <c r="F154" s="4"/>
      <c r="G154" s="4" t="s">
        <v>250</v>
      </c>
      <c r="H154" s="8">
        <v>7482</v>
      </c>
      <c r="I154" s="7">
        <v>18.75</v>
      </c>
      <c r="J154" s="6">
        <v>243062133</v>
      </c>
      <c r="K154" s="6">
        <f t="shared" si="5"/>
        <v>86253.418381831085</v>
      </c>
      <c r="L154" s="4">
        <v>2818</v>
      </c>
      <c r="M154" s="39">
        <f>VLOOKUP(Table2[[#This Row],[ROUTE]],DEMAND!A:F,5,FALSE)</f>
        <v>4384</v>
      </c>
      <c r="N154" s="39">
        <f>VLOOKUP(Table2[[#This Row],[ROUTE]],DEMAND!A:F,6,FALSE)</f>
        <v>424</v>
      </c>
      <c r="O154" s="39">
        <f>ROUNDDOWN(Table2[[#This Row],[R-DEMAND]]/1320,0)</f>
        <v>0</v>
      </c>
      <c r="P154" s="39">
        <f>Table2[[#This Row],[ADD ACC]]*Table2[[#This Row],[RT TIME (744)]]</f>
        <v>0</v>
      </c>
    </row>
    <row r="155" spans="1:16" ht="15" customHeight="1" x14ac:dyDescent="0.25">
      <c r="A155" s="1" t="str">
        <f t="shared" si="4"/>
        <v>MPM/ITM</v>
      </c>
      <c r="B155" s="4" t="s">
        <v>249</v>
      </c>
      <c r="C155" s="39" t="s">
        <v>2</v>
      </c>
      <c r="D155" s="39"/>
      <c r="E155" s="10" t="s">
        <v>142</v>
      </c>
      <c r="F155" s="4"/>
      <c r="G155" s="4" t="s">
        <v>218</v>
      </c>
      <c r="H155" s="8"/>
      <c r="I155" s="7">
        <v>30.25</v>
      </c>
      <c r="J155" s="6">
        <v>279579819</v>
      </c>
      <c r="K155" s="6">
        <f t="shared" si="5"/>
        <v>64345.182738780204</v>
      </c>
      <c r="L155" s="4">
        <v>4345</v>
      </c>
      <c r="M155" s="39">
        <f>VLOOKUP(Table2[[#This Row],[ROUTE]],DEMAND!A:F,5,FALSE)</f>
        <v>4868</v>
      </c>
      <c r="N155" s="39">
        <f>VLOOKUP(Table2[[#This Row],[ROUTE]],DEMAND!A:F,6,FALSE)</f>
        <v>908</v>
      </c>
      <c r="O155" s="39">
        <f>ROUNDDOWN(Table2[[#This Row],[R-DEMAND]]/1320,0)</f>
        <v>0</v>
      </c>
      <c r="P155" s="39">
        <f>Table2[[#This Row],[ADD ACC]]*Table2[[#This Row],[RT TIME (744)]]</f>
        <v>0</v>
      </c>
    </row>
    <row r="156" spans="1:16" ht="15" customHeight="1" x14ac:dyDescent="0.25">
      <c r="A156" s="1" t="str">
        <f t="shared" si="4"/>
        <v>MPM/IXB</v>
      </c>
      <c r="B156" s="4" t="s">
        <v>248</v>
      </c>
      <c r="C156" s="39" t="s">
        <v>2</v>
      </c>
      <c r="D156" s="39"/>
      <c r="E156" s="4" t="s">
        <v>23</v>
      </c>
      <c r="F156" s="4"/>
      <c r="G156" s="4" t="s">
        <v>247</v>
      </c>
      <c r="H156" s="8"/>
      <c r="I156" s="7">
        <v>20.75</v>
      </c>
      <c r="J156" s="6">
        <v>201590240</v>
      </c>
      <c r="K156" s="6">
        <f t="shared" si="5"/>
        <v>73788.521229868231</v>
      </c>
      <c r="L156" s="4">
        <v>2732</v>
      </c>
      <c r="M156" s="39">
        <f>VLOOKUP(Table2[[#This Row],[ROUTE]],DEMAND!A:F,5,FALSE)</f>
        <v>4521</v>
      </c>
      <c r="N156" s="39">
        <f>VLOOKUP(Table2[[#This Row],[ROUTE]],DEMAND!A:F,6,FALSE)</f>
        <v>561</v>
      </c>
      <c r="O156" s="39">
        <f>ROUNDDOWN(Table2[[#This Row],[R-DEMAND]]/1320,0)</f>
        <v>0</v>
      </c>
      <c r="P156" s="39">
        <f>Table2[[#This Row],[ADD ACC]]*Table2[[#This Row],[RT TIME (744)]]</f>
        <v>0</v>
      </c>
    </row>
    <row r="157" spans="1:16" ht="15" customHeight="1" x14ac:dyDescent="0.25">
      <c r="A157" s="1" t="str">
        <f t="shared" si="4"/>
        <v>MPM/IXE</v>
      </c>
      <c r="B157" s="4" t="s">
        <v>246</v>
      </c>
      <c r="C157" s="39" t="s">
        <v>2</v>
      </c>
      <c r="D157" s="39"/>
      <c r="E157" s="4" t="s">
        <v>23</v>
      </c>
      <c r="F157" s="4"/>
      <c r="G157" s="4" t="s">
        <v>245</v>
      </c>
      <c r="H157" s="8">
        <v>8574</v>
      </c>
      <c r="I157" s="7">
        <v>16</v>
      </c>
      <c r="J157" s="6">
        <v>182499507</v>
      </c>
      <c r="K157" s="6">
        <f t="shared" si="5"/>
        <v>66849.636263736262</v>
      </c>
      <c r="L157" s="4">
        <v>2730</v>
      </c>
      <c r="M157" s="39">
        <f>VLOOKUP(Table2[[#This Row],[ROUTE]],DEMAND!A:F,5,FALSE)</f>
        <v>4434</v>
      </c>
      <c r="N157" s="39">
        <f>VLOOKUP(Table2[[#This Row],[ROUTE]],DEMAND!A:F,6,FALSE)</f>
        <v>474</v>
      </c>
      <c r="O157" s="39">
        <f>ROUNDDOWN(Table2[[#This Row],[R-DEMAND]]/1320,0)</f>
        <v>0</v>
      </c>
      <c r="P157" s="39">
        <f>Table2[[#This Row],[ADD ACC]]*Table2[[#This Row],[RT TIME (744)]]</f>
        <v>0</v>
      </c>
    </row>
    <row r="158" spans="1:16" ht="15" customHeight="1" x14ac:dyDescent="0.25">
      <c r="A158" s="1" t="str">
        <f t="shared" si="4"/>
        <v>MPM/IXL</v>
      </c>
      <c r="B158" s="4" t="s">
        <v>244</v>
      </c>
      <c r="C158" s="39" t="s">
        <v>11122</v>
      </c>
      <c r="D158" s="39"/>
      <c r="E158" s="4" t="s">
        <v>23</v>
      </c>
      <c r="F158" s="4"/>
      <c r="G158" s="4" t="s">
        <v>243</v>
      </c>
      <c r="H158" s="8"/>
      <c r="I158" s="7">
        <v>20.25</v>
      </c>
      <c r="J158" s="6">
        <v>194152935</v>
      </c>
      <c r="K158" s="6">
        <f t="shared" si="5"/>
        <v>76770.63463819692</v>
      </c>
      <c r="L158" s="4">
        <v>2529</v>
      </c>
      <c r="M158" s="39" t="e">
        <f>VLOOKUP(Table2[[#This Row],[ROUTE]],DEMAND!A:F,5,FALSE)</f>
        <v>#N/A</v>
      </c>
      <c r="N158" s="39" t="e">
        <f>VLOOKUP(Table2[[#This Row],[ROUTE]],DEMAND!A:F,6,FALSE)</f>
        <v>#N/A</v>
      </c>
      <c r="O158" s="39" t="e">
        <f>ROUNDDOWN(Table2[[#This Row],[R-DEMAND]]/1320,0)</f>
        <v>#N/A</v>
      </c>
      <c r="P158" s="39" t="e">
        <f>Table2[[#This Row],[ADD ACC]]*Table2[[#This Row],[RT TIME (744)]]</f>
        <v>#N/A</v>
      </c>
    </row>
    <row r="159" spans="1:16" ht="15" customHeight="1" x14ac:dyDescent="0.25">
      <c r="A159" s="1" t="str">
        <f t="shared" si="4"/>
        <v>MPM/IXZ</v>
      </c>
      <c r="B159" s="4" t="s">
        <v>242</v>
      </c>
      <c r="C159" s="39" t="s">
        <v>2</v>
      </c>
      <c r="D159" s="39"/>
      <c r="E159" s="4" t="s">
        <v>23</v>
      </c>
      <c r="F159" s="4"/>
      <c r="G159" s="4" t="s">
        <v>241</v>
      </c>
      <c r="H159" s="8"/>
      <c r="I159" s="7">
        <v>19.25</v>
      </c>
      <c r="J159" s="6">
        <v>194127206</v>
      </c>
      <c r="K159" s="6">
        <f t="shared" si="5"/>
        <v>73505.189700870877</v>
      </c>
      <c r="L159" s="4">
        <v>2641</v>
      </c>
      <c r="M159" s="39">
        <f>VLOOKUP(Table2[[#This Row],[ROUTE]],DEMAND!A:F,5,FALSE)</f>
        <v>4291</v>
      </c>
      <c r="N159" s="39">
        <f>VLOOKUP(Table2[[#This Row],[ROUTE]],DEMAND!A:F,6,FALSE)</f>
        <v>331</v>
      </c>
      <c r="O159" s="39">
        <f>ROUNDDOWN(Table2[[#This Row],[R-DEMAND]]/1320,0)</f>
        <v>0</v>
      </c>
      <c r="P159" s="39">
        <f>Table2[[#This Row],[ADD ACC]]*Table2[[#This Row],[RT TIME (744)]]</f>
        <v>0</v>
      </c>
    </row>
    <row r="160" spans="1:16" ht="15" customHeight="1" x14ac:dyDescent="0.25">
      <c r="A160" s="1" t="str">
        <f t="shared" si="4"/>
        <v>MPM/JAI</v>
      </c>
      <c r="B160" s="4" t="s">
        <v>240</v>
      </c>
      <c r="C160" s="39" t="s">
        <v>2</v>
      </c>
      <c r="D160" s="39"/>
      <c r="E160" s="4" t="s">
        <v>23</v>
      </c>
      <c r="F160" s="4"/>
      <c r="G160" s="4" t="s">
        <v>239</v>
      </c>
      <c r="H160" s="8"/>
      <c r="I160" s="7">
        <v>18.75</v>
      </c>
      <c r="J160" s="6">
        <v>199573530</v>
      </c>
      <c r="K160" s="6">
        <f t="shared" si="5"/>
        <v>68558.409481277908</v>
      </c>
      <c r="L160" s="5">
        <v>2911</v>
      </c>
      <c r="M160" s="39">
        <f>VLOOKUP(Table2[[#This Row],[ROUTE]],DEMAND!A:F,5,FALSE)</f>
        <v>4730</v>
      </c>
      <c r="N160" s="39">
        <f>VLOOKUP(Table2[[#This Row],[ROUTE]],DEMAND!A:F,6,FALSE)</f>
        <v>770</v>
      </c>
      <c r="O160" s="39">
        <f>ROUNDDOWN(Table2[[#This Row],[R-DEMAND]]/1320,0)</f>
        <v>0</v>
      </c>
      <c r="P160" s="39">
        <f>Table2[[#This Row],[ADD ACC]]*Table2[[#This Row],[RT TIME (744)]]</f>
        <v>0</v>
      </c>
    </row>
    <row r="161" spans="1:16" ht="15" customHeight="1" x14ac:dyDescent="0.25">
      <c r="A161" s="38" t="str">
        <f t="shared" si="4"/>
        <v>MPM/JAU</v>
      </c>
      <c r="B161" s="39" t="s">
        <v>917</v>
      </c>
      <c r="C161" s="39" t="s">
        <v>2</v>
      </c>
      <c r="D161" s="39"/>
      <c r="E161" s="39" t="s">
        <v>11511</v>
      </c>
      <c r="F161" s="39"/>
      <c r="G161" s="39" t="s">
        <v>11520</v>
      </c>
      <c r="H161" s="40"/>
      <c r="I161" s="41">
        <v>27</v>
      </c>
      <c r="J161" s="42">
        <v>212469751</v>
      </c>
      <c r="K161" s="42">
        <f t="shared" si="5"/>
        <v>73038.759367480234</v>
      </c>
      <c r="L161" s="43">
        <v>2909</v>
      </c>
      <c r="M161" s="39">
        <f>VLOOKUP(Table2[[#This Row],[ROUTE]],DEMAND!A:F,5,FALSE)</f>
        <v>3053</v>
      </c>
      <c r="N161" s="39">
        <f>VLOOKUP(Table2[[#This Row],[ROUTE]],DEMAND!A:F,6,FALSE)</f>
        <v>413</v>
      </c>
      <c r="O161" s="39">
        <f>ROUNDDOWN(Table2[[#This Row],[R-DEMAND]]/1320,0)</f>
        <v>0</v>
      </c>
      <c r="P161" s="39">
        <f>Table2[[#This Row],[ADD ACC]]*Table2[[#This Row],[RT TIME (744)]]</f>
        <v>0</v>
      </c>
    </row>
    <row r="162" spans="1:16" ht="15" customHeight="1" x14ac:dyDescent="0.25">
      <c r="A162" s="1" t="str">
        <f t="shared" si="4"/>
        <v>MPM/JED</v>
      </c>
      <c r="B162" s="39" t="s">
        <v>5639</v>
      </c>
      <c r="C162" s="39" t="s">
        <v>2</v>
      </c>
      <c r="D162" s="39"/>
      <c r="E162" s="39" t="s">
        <v>109</v>
      </c>
      <c r="F162" s="39"/>
      <c r="G162" s="39" t="s">
        <v>11131</v>
      </c>
      <c r="H162" s="40">
        <v>5342</v>
      </c>
      <c r="I162" s="41">
        <v>14</v>
      </c>
      <c r="J162" s="42">
        <v>201881119</v>
      </c>
      <c r="K162" s="42">
        <f t="shared" si="5"/>
        <v>45042.641454707722</v>
      </c>
      <c r="L162" s="43">
        <v>4482</v>
      </c>
      <c r="M162" s="39">
        <f>VLOOKUP(Table2[[#This Row],[ROUTE]],DEMAND!A:F,5,FALSE)</f>
        <v>4761</v>
      </c>
      <c r="N162" s="39">
        <f>VLOOKUP(Table2[[#This Row],[ROUTE]],DEMAND!A:F,6,FALSE)</f>
        <v>801</v>
      </c>
      <c r="O162" s="39">
        <f>ROUNDDOWN(Table2[[#This Row],[R-DEMAND]]/1320,0)</f>
        <v>0</v>
      </c>
      <c r="P162" s="39">
        <f>Table2[[#This Row],[ADD ACC]]*Table2[[#This Row],[RT TIME (744)]]</f>
        <v>0</v>
      </c>
    </row>
    <row r="163" spans="1:16" ht="15" customHeight="1" x14ac:dyDescent="0.25">
      <c r="A163" s="38" t="str">
        <f t="shared" si="4"/>
        <v>MPM/JFK</v>
      </c>
      <c r="B163" s="39" t="s">
        <v>238</v>
      </c>
      <c r="C163" s="39" t="s">
        <v>2</v>
      </c>
      <c r="D163" s="39"/>
      <c r="E163" s="39" t="s">
        <v>11471</v>
      </c>
      <c r="F163" s="39"/>
      <c r="G163" s="39" t="s">
        <v>237</v>
      </c>
      <c r="H163" s="40"/>
      <c r="I163" s="7">
        <v>31.25</v>
      </c>
      <c r="J163" s="6">
        <v>301418856</v>
      </c>
      <c r="K163" s="42">
        <f t="shared" si="5"/>
        <v>72213.429803545761</v>
      </c>
      <c r="L163" s="43">
        <v>4174</v>
      </c>
      <c r="M163" s="39">
        <f>VLOOKUP(Table2[[#This Row],[ROUTE]],DEMAND!A:F,5,FALSE)</f>
        <v>4189</v>
      </c>
      <c r="N163" s="39">
        <f>VLOOKUP(Table2[[#This Row],[ROUTE]],DEMAND!A:F,6,FALSE)</f>
        <v>229</v>
      </c>
      <c r="O163" s="39">
        <f>ROUNDDOWN(Table2[[#This Row],[R-DEMAND]]/1320,0)</f>
        <v>0</v>
      </c>
      <c r="P163" s="39">
        <f>Table2[[#This Row],[ADD ACC]]*Table2[[#This Row],[RT TIME (744)]]</f>
        <v>0</v>
      </c>
    </row>
    <row r="164" spans="1:16" ht="15" customHeight="1" x14ac:dyDescent="0.25">
      <c r="A164" s="1" t="str">
        <f t="shared" si="4"/>
        <v>MPM/JHB</v>
      </c>
      <c r="B164" s="4" t="s">
        <v>236</v>
      </c>
      <c r="C164" s="39" t="s">
        <v>11122</v>
      </c>
      <c r="D164" s="39"/>
      <c r="E164" s="4" t="s">
        <v>60</v>
      </c>
      <c r="F164" s="4"/>
      <c r="G164" s="4" t="s">
        <v>235</v>
      </c>
      <c r="H164" s="8"/>
      <c r="I164" s="7">
        <v>20.25</v>
      </c>
      <c r="J164" s="6">
        <v>204101199</v>
      </c>
      <c r="K164" s="6">
        <f t="shared" si="5"/>
        <v>89754.265171503954</v>
      </c>
      <c r="L164" s="4">
        <v>2274</v>
      </c>
      <c r="M164" s="39" t="e">
        <f>VLOOKUP(Table2[[#This Row],[ROUTE]],DEMAND!A:F,5,FALSE)</f>
        <v>#N/A</v>
      </c>
      <c r="N164" s="39" t="e">
        <f>VLOOKUP(Table2[[#This Row],[ROUTE]],DEMAND!A:F,6,FALSE)</f>
        <v>#N/A</v>
      </c>
      <c r="O164" s="39" t="e">
        <f>ROUNDDOWN(Table2[[#This Row],[R-DEMAND]]/1320,0)</f>
        <v>#N/A</v>
      </c>
      <c r="P164" s="39" t="e">
        <f>Table2[[#This Row],[ADD ACC]]*Table2[[#This Row],[RT TIME (744)]]</f>
        <v>#N/A</v>
      </c>
    </row>
    <row r="165" spans="1:16" ht="15" customHeight="1" x14ac:dyDescent="0.25">
      <c r="A165" s="1" t="str">
        <f t="shared" si="4"/>
        <v>MPM/JNB</v>
      </c>
      <c r="B165" s="4" t="s">
        <v>234</v>
      </c>
      <c r="C165" s="39" t="s">
        <v>2</v>
      </c>
      <c r="D165" s="39"/>
      <c r="E165" s="4" t="s">
        <v>162</v>
      </c>
      <c r="F165" s="4"/>
      <c r="G165" s="4" t="s">
        <v>233</v>
      </c>
      <c r="H165" s="8">
        <v>433</v>
      </c>
      <c r="I165" s="7">
        <v>3</v>
      </c>
      <c r="J165" s="6"/>
      <c r="K165" s="6">
        <f t="shared" si="5"/>
        <v>0</v>
      </c>
      <c r="L165" s="5">
        <v>2908</v>
      </c>
      <c r="M165" s="39">
        <f>VLOOKUP(Table2[[#This Row],[ROUTE]],DEMAND!A:F,5,FALSE)</f>
        <v>4116</v>
      </c>
      <c r="N165" s="39">
        <f>VLOOKUP(Table2[[#This Row],[ROUTE]],DEMAND!A:F,6,FALSE)</f>
        <v>156</v>
      </c>
      <c r="O165" s="39">
        <f>ROUNDDOWN(Table2[[#This Row],[R-DEMAND]]/1320,0)</f>
        <v>0</v>
      </c>
      <c r="P165" s="39">
        <f>Table2[[#This Row],[ADD ACC]]*Table2[[#This Row],[RT TIME (744)]]</f>
        <v>0</v>
      </c>
    </row>
    <row r="166" spans="1:16" ht="15" customHeight="1" x14ac:dyDescent="0.25">
      <c r="A166" s="38" t="str">
        <f t="shared" si="4"/>
        <v>MPM/JUL</v>
      </c>
      <c r="B166" s="39" t="s">
        <v>3307</v>
      </c>
      <c r="C166" s="39" t="s">
        <v>2</v>
      </c>
      <c r="D166" s="39"/>
      <c r="E166" s="39" t="s">
        <v>11511</v>
      </c>
      <c r="F166" s="39"/>
      <c r="G166" s="39" t="s">
        <v>11518</v>
      </c>
      <c r="H166" s="40"/>
      <c r="I166" s="41">
        <v>25.25</v>
      </c>
      <c r="J166" s="42">
        <v>216040008</v>
      </c>
      <c r="K166" s="42">
        <f t="shared" si="5"/>
        <v>60890.64487034949</v>
      </c>
      <c r="L166" s="43">
        <v>3548</v>
      </c>
      <c r="M166" s="39">
        <f>VLOOKUP(Table2[[#This Row],[ROUTE]],DEMAND!A:F,5,FALSE)</f>
        <v>3724</v>
      </c>
      <c r="N166" s="39">
        <f>VLOOKUP(Table2[[#This Row],[ROUTE]],DEMAND!A:F,6,FALSE)</f>
        <v>1084</v>
      </c>
      <c r="O166" s="39">
        <f>ROUNDDOWN(Table2[[#This Row],[R-DEMAND]]/1320,0)</f>
        <v>0</v>
      </c>
      <c r="P166" s="39">
        <f>Table2[[#This Row],[ADD ACC]]*Table2[[#This Row],[RT TIME (744)]]</f>
        <v>0</v>
      </c>
    </row>
    <row r="167" spans="1:16" ht="15" customHeight="1" x14ac:dyDescent="0.25">
      <c r="A167" s="38" t="str">
        <f t="shared" ref="A167:A230" si="6">CONCATENATE("MPM/",B167)</f>
        <v>MPM/KAC</v>
      </c>
      <c r="B167" s="39" t="s">
        <v>1656</v>
      </c>
      <c r="C167" s="39" t="s">
        <v>2</v>
      </c>
      <c r="D167" s="39"/>
      <c r="E167" s="39" t="s">
        <v>11149</v>
      </c>
      <c r="F167" s="39"/>
      <c r="G167" s="39" t="s">
        <v>11422</v>
      </c>
      <c r="H167" s="40">
        <v>7058</v>
      </c>
      <c r="I167" s="41">
        <v>17.75</v>
      </c>
      <c r="J167" s="42">
        <v>174338779</v>
      </c>
      <c r="K167" s="42">
        <f t="shared" si="5"/>
        <v>57216.533967837218</v>
      </c>
      <c r="L167" s="105">
        <v>3047</v>
      </c>
      <c r="M167" s="39">
        <f>VLOOKUP(Table2[[#This Row],[ROUTE]],DEMAND!A:F,5,FALSE)</f>
        <v>3085</v>
      </c>
      <c r="N167" s="39">
        <f>VLOOKUP(Table2[[#This Row],[ROUTE]],DEMAND!A:F,6,FALSE)</f>
        <v>445</v>
      </c>
      <c r="O167" s="39">
        <f>ROUNDDOWN(Table2[[#This Row],[R-DEMAND]]/1320,0)</f>
        <v>0</v>
      </c>
      <c r="P167" s="39">
        <f>Table2[[#This Row],[ADD ACC]]*Table2[[#This Row],[RT TIME (744)]]</f>
        <v>0</v>
      </c>
    </row>
    <row r="168" spans="1:16" ht="15" customHeight="1" x14ac:dyDescent="0.25">
      <c r="A168" s="1" t="str">
        <f t="shared" si="6"/>
        <v>MPM/KBL</v>
      </c>
      <c r="B168" s="4" t="s">
        <v>232</v>
      </c>
      <c r="C168" s="39" t="s">
        <v>2</v>
      </c>
      <c r="D168" s="39"/>
      <c r="E168" s="4" t="s">
        <v>231</v>
      </c>
      <c r="F168" s="4"/>
      <c r="G168" s="4" t="s">
        <v>230</v>
      </c>
      <c r="H168" s="8">
        <v>7756</v>
      </c>
      <c r="I168" s="7">
        <v>19.25</v>
      </c>
      <c r="J168" s="6">
        <v>204259986</v>
      </c>
      <c r="K168" s="6">
        <f t="shared" si="5"/>
        <v>85321.631578947374</v>
      </c>
      <c r="L168" s="4">
        <v>2394</v>
      </c>
      <c r="M168" s="39">
        <f>VLOOKUP(Table2[[#This Row],[ROUTE]],DEMAND!A:F,5,FALSE)</f>
        <v>3874</v>
      </c>
      <c r="N168" s="39">
        <f>VLOOKUP(Table2[[#This Row],[ROUTE]],DEMAND!A:F,6,FALSE)</f>
        <v>1234</v>
      </c>
      <c r="O168" s="39">
        <f>ROUNDDOWN(Table2[[#This Row],[R-DEMAND]]/1320,0)</f>
        <v>0</v>
      </c>
      <c r="P168" s="39">
        <f>Table2[[#This Row],[ADD ACC]]*Table2[[#This Row],[RT TIME (744)]]</f>
        <v>0</v>
      </c>
    </row>
    <row r="169" spans="1:16" ht="15" customHeight="1" x14ac:dyDescent="0.25">
      <c r="A169" s="1" t="str">
        <f t="shared" si="6"/>
        <v>MPM/KBV</v>
      </c>
      <c r="B169" s="4" t="s">
        <v>229</v>
      </c>
      <c r="C169" s="39" t="s">
        <v>11122</v>
      </c>
      <c r="D169" s="39"/>
      <c r="E169" s="4" t="s">
        <v>29</v>
      </c>
      <c r="F169" s="4"/>
      <c r="G169" s="4" t="s">
        <v>228</v>
      </c>
      <c r="H169" s="8"/>
      <c r="I169" s="7">
        <v>20</v>
      </c>
      <c r="J169" s="6">
        <v>199356322</v>
      </c>
      <c r="K169" s="6">
        <f t="shared" si="5"/>
        <v>85781.549913941475</v>
      </c>
      <c r="L169" s="4">
        <v>2324</v>
      </c>
      <c r="M169" s="39" t="e">
        <f>VLOOKUP(Table2[[#This Row],[ROUTE]],DEMAND!A:F,5,FALSE)</f>
        <v>#N/A</v>
      </c>
      <c r="N169" s="39" t="e">
        <f>VLOOKUP(Table2[[#This Row],[ROUTE]],DEMAND!A:F,6,FALSE)</f>
        <v>#N/A</v>
      </c>
      <c r="O169" s="39" t="e">
        <f>ROUNDDOWN(Table2[[#This Row],[R-DEMAND]]/1320,0)</f>
        <v>#N/A</v>
      </c>
      <c r="P169" s="39" t="e">
        <f>Table2[[#This Row],[ADD ACC]]*Table2[[#This Row],[RT TIME (744)]]</f>
        <v>#N/A</v>
      </c>
    </row>
    <row r="170" spans="1:16" ht="15" customHeight="1" x14ac:dyDescent="0.25">
      <c r="A170" s="38" t="str">
        <f t="shared" si="6"/>
        <v>MPM/KEF</v>
      </c>
      <c r="B170" s="39" t="s">
        <v>227</v>
      </c>
      <c r="C170" s="39" t="s">
        <v>2</v>
      </c>
      <c r="D170" s="39"/>
      <c r="E170" s="39" t="s">
        <v>226</v>
      </c>
      <c r="F170" s="39"/>
      <c r="G170" s="39" t="s">
        <v>225</v>
      </c>
      <c r="H170" s="8">
        <v>11083</v>
      </c>
      <c r="I170" s="41">
        <v>26.75</v>
      </c>
      <c r="J170" s="42">
        <v>237917470</v>
      </c>
      <c r="K170" s="42">
        <f t="shared" si="5"/>
        <v>66014.836293007771</v>
      </c>
      <c r="L170" s="43">
        <v>3604</v>
      </c>
      <c r="M170" s="39">
        <f>VLOOKUP(Table2[[#This Row],[ROUTE]],DEMAND!A:F,5,FALSE)</f>
        <v>3783</v>
      </c>
      <c r="N170" s="39">
        <f>VLOOKUP(Table2[[#This Row],[ROUTE]],DEMAND!A:F,6,FALSE)</f>
        <v>1143</v>
      </c>
      <c r="O170" s="39">
        <f>ROUNDDOWN(Table2[[#This Row],[R-DEMAND]]/1320,0)</f>
        <v>0</v>
      </c>
      <c r="P170" s="39">
        <f>Table2[[#This Row],[ADD ACC]]*Table2[[#This Row],[RT TIME (744)]]</f>
        <v>0</v>
      </c>
    </row>
    <row r="171" spans="1:16" ht="15" customHeight="1" x14ac:dyDescent="0.25">
      <c r="A171" s="38" t="str">
        <f t="shared" si="6"/>
        <v>MPM/KGF</v>
      </c>
      <c r="B171" s="39" t="s">
        <v>2601</v>
      </c>
      <c r="C171" s="39" t="s">
        <v>2</v>
      </c>
      <c r="D171" s="39"/>
      <c r="E171" s="39" t="s">
        <v>11035</v>
      </c>
      <c r="F171" s="39"/>
      <c r="G171" s="39" t="s">
        <v>11419</v>
      </c>
      <c r="H171" s="40">
        <v>8323</v>
      </c>
      <c r="I171" s="41">
        <v>22.75</v>
      </c>
      <c r="J171" s="42">
        <v>199224652</v>
      </c>
      <c r="K171" s="42">
        <f t="shared" si="5"/>
        <v>63874.527733247836</v>
      </c>
      <c r="L171" s="43">
        <v>3119</v>
      </c>
      <c r="M171" s="39">
        <f>VLOOKUP(Table2[[#This Row],[ROUTE]],DEMAND!A:F,5,FALSE)</f>
        <v>3159</v>
      </c>
      <c r="N171" s="39">
        <f>VLOOKUP(Table2[[#This Row],[ROUTE]],DEMAND!A:F,6,FALSE)</f>
        <v>519</v>
      </c>
      <c r="O171" s="39">
        <f>ROUNDDOWN(Table2[[#This Row],[R-DEMAND]]/1320,0)</f>
        <v>0</v>
      </c>
      <c r="P171" s="39">
        <f>Table2[[#This Row],[ADD ACC]]*Table2[[#This Row],[RT TIME (744)]]</f>
        <v>0</v>
      </c>
    </row>
    <row r="172" spans="1:16" ht="15" customHeight="1" x14ac:dyDescent="0.25">
      <c r="A172" s="1" t="str">
        <f t="shared" si="6"/>
        <v>MPM/KHH</v>
      </c>
      <c r="B172" s="39" t="s">
        <v>5275</v>
      </c>
      <c r="C172" s="39" t="s">
        <v>2</v>
      </c>
      <c r="D172" s="39"/>
      <c r="E172" s="39" t="s">
        <v>11141</v>
      </c>
      <c r="F172" s="39"/>
      <c r="G172" s="39" t="s">
        <v>11142</v>
      </c>
      <c r="H172" s="40">
        <v>10877</v>
      </c>
      <c r="I172" s="41">
        <v>26.25</v>
      </c>
      <c r="J172" s="42">
        <v>241822458</v>
      </c>
      <c r="K172" s="42">
        <f t="shared" si="5"/>
        <v>64883.943654413735</v>
      </c>
      <c r="L172" s="43">
        <v>3727</v>
      </c>
      <c r="M172" s="39">
        <f>VLOOKUP(Table2[[#This Row],[ROUTE]],DEMAND!A:F,5,FALSE)</f>
        <v>3965</v>
      </c>
      <c r="N172" s="39">
        <f>VLOOKUP(Table2[[#This Row],[ROUTE]],DEMAND!A:F,6,FALSE)</f>
        <v>5</v>
      </c>
      <c r="O172" s="39">
        <f>ROUNDDOWN(Table2[[#This Row],[R-DEMAND]]/1320,0)</f>
        <v>0</v>
      </c>
      <c r="P172" s="39">
        <f>Table2[[#This Row],[ADD ACC]]*Table2[[#This Row],[RT TIME (744)]]</f>
        <v>0</v>
      </c>
    </row>
    <row r="173" spans="1:16" ht="15" customHeight="1" x14ac:dyDescent="0.25">
      <c r="A173" s="1" t="str">
        <f t="shared" si="6"/>
        <v>MPM/KHI</v>
      </c>
      <c r="B173" s="4" t="s">
        <v>224</v>
      </c>
      <c r="C173" s="39" t="s">
        <v>2</v>
      </c>
      <c r="D173" s="39"/>
      <c r="E173" s="4" t="s">
        <v>223</v>
      </c>
      <c r="F173" s="4"/>
      <c r="G173" s="4" t="s">
        <v>222</v>
      </c>
      <c r="H173" s="8">
        <v>6764</v>
      </c>
      <c r="I173" s="7">
        <v>17</v>
      </c>
      <c r="J173" s="6">
        <v>204630227</v>
      </c>
      <c r="K173" s="6">
        <f t="shared" si="5"/>
        <v>57968.902832861189</v>
      </c>
      <c r="L173" s="5">
        <v>3530</v>
      </c>
      <c r="M173" s="39">
        <f>VLOOKUP(Table2[[#This Row],[ROUTE]],DEMAND!A:F,5,FALSE)</f>
        <v>5707</v>
      </c>
      <c r="N173" s="39">
        <f>VLOOKUP(Table2[[#This Row],[ROUTE]],DEMAND!A:F,6,FALSE)</f>
        <v>427</v>
      </c>
      <c r="O173" s="39">
        <f>ROUNDDOWN(Table2[[#This Row],[R-DEMAND]]/1320,0)</f>
        <v>0</v>
      </c>
      <c r="P173" s="39">
        <f>Table2[[#This Row],[ADD ACC]]*Table2[[#This Row],[RT TIME (744)]]</f>
        <v>0</v>
      </c>
    </row>
    <row r="174" spans="1:16" ht="15" customHeight="1" x14ac:dyDescent="0.25">
      <c r="A174" s="1" t="str">
        <f t="shared" si="6"/>
        <v>MPM/KHV</v>
      </c>
      <c r="B174" s="4" t="s">
        <v>221</v>
      </c>
      <c r="C174" s="39" t="s">
        <v>2</v>
      </c>
      <c r="D174" s="39"/>
      <c r="E174" s="4" t="s">
        <v>20</v>
      </c>
      <c r="F174" s="4"/>
      <c r="G174" s="4" t="s">
        <v>220</v>
      </c>
      <c r="H174" s="8">
        <v>13039</v>
      </c>
      <c r="I174" s="7">
        <v>31</v>
      </c>
      <c r="J174" s="6">
        <v>251115839</v>
      </c>
      <c r="K174" s="6">
        <f t="shared" si="5"/>
        <v>62952.077964402102</v>
      </c>
      <c r="L174" s="4">
        <v>3989</v>
      </c>
      <c r="M174" s="39">
        <f>VLOOKUP(Table2[[#This Row],[ROUTE]],DEMAND!A:F,5,FALSE)</f>
        <v>3994</v>
      </c>
      <c r="N174" s="39">
        <f>VLOOKUP(Table2[[#This Row],[ROUTE]],DEMAND!A:F,6,FALSE)</f>
        <v>34</v>
      </c>
      <c r="O174" s="39">
        <f>ROUNDDOWN(Table2[[#This Row],[R-DEMAND]]/1320,0)</f>
        <v>0</v>
      </c>
      <c r="P174" s="39">
        <f>Table2[[#This Row],[ADD ACC]]*Table2[[#This Row],[RT TIME (744)]]</f>
        <v>0</v>
      </c>
    </row>
    <row r="175" spans="1:16" ht="15" customHeight="1" x14ac:dyDescent="0.25">
      <c r="A175" s="1" t="str">
        <f t="shared" si="6"/>
        <v>MPM/KIX</v>
      </c>
      <c r="B175" s="4" t="s">
        <v>219</v>
      </c>
      <c r="C175" s="39" t="s">
        <v>2</v>
      </c>
      <c r="D175" s="39"/>
      <c r="E175" s="10" t="s">
        <v>142</v>
      </c>
      <c r="F175" s="4"/>
      <c r="G175" s="4" t="s">
        <v>218</v>
      </c>
      <c r="H175" s="8"/>
      <c r="I175" s="7">
        <v>30.25</v>
      </c>
      <c r="J175" s="6">
        <v>277956848</v>
      </c>
      <c r="K175" s="6">
        <f t="shared" si="5"/>
        <v>65202.169364297442</v>
      </c>
      <c r="L175" s="4">
        <v>4263</v>
      </c>
      <c r="M175" s="39">
        <f>VLOOKUP(Table2[[#This Row],[ROUTE]],DEMAND!A:F,5,FALSE)</f>
        <v>4777</v>
      </c>
      <c r="N175" s="39">
        <f>VLOOKUP(Table2[[#This Row],[ROUTE]],DEMAND!A:F,6,FALSE)</f>
        <v>817</v>
      </c>
      <c r="O175" s="39">
        <f>ROUNDDOWN(Table2[[#This Row],[R-DEMAND]]/1320,0)</f>
        <v>0</v>
      </c>
      <c r="P175" s="39">
        <f>Table2[[#This Row],[ADD ACC]]*Table2[[#This Row],[RT TIME (744)]]</f>
        <v>0</v>
      </c>
    </row>
    <row r="176" spans="1:16" ht="15" customHeight="1" x14ac:dyDescent="0.25">
      <c r="A176" s="38" t="str">
        <f t="shared" si="6"/>
        <v>MPM/KJT</v>
      </c>
      <c r="B176" s="39" t="s">
        <v>11164</v>
      </c>
      <c r="C176" s="39" t="s">
        <v>2</v>
      </c>
      <c r="D176" s="39"/>
      <c r="E176" s="39" t="s">
        <v>36</v>
      </c>
      <c r="F176" s="39"/>
      <c r="G176" s="39" t="s">
        <v>11165</v>
      </c>
      <c r="H176" s="40">
        <v>8248</v>
      </c>
      <c r="I176" s="41">
        <v>20.5</v>
      </c>
      <c r="J176" s="42">
        <v>225531088</v>
      </c>
      <c r="K176" s="42">
        <f t="shared" si="5"/>
        <v>41374.259401944597</v>
      </c>
      <c r="L176" s="43">
        <v>5451</v>
      </c>
      <c r="M176" s="39">
        <f>VLOOKUP(Table2[[#This Row],[ROUTE]],DEMAND!A:F,5,FALSE)</f>
        <v>5541</v>
      </c>
      <c r="N176" s="39">
        <f>VLOOKUP(Table2[[#This Row],[ROUTE]],DEMAND!A:F,6,FALSE)</f>
        <v>1581</v>
      </c>
      <c r="O176" s="39">
        <f>ROUNDDOWN(Table2[[#This Row],[R-DEMAND]]/1320,0)</f>
        <v>1</v>
      </c>
      <c r="P176" s="39">
        <f>Table2[[#This Row],[ADD ACC]]*Table2[[#This Row],[RT TIME (744)]]</f>
        <v>20.5</v>
      </c>
    </row>
    <row r="177" spans="1:16" ht="15" customHeight="1" x14ac:dyDescent="0.25">
      <c r="A177" s="1" t="str">
        <f t="shared" si="6"/>
        <v>MPM/KMG</v>
      </c>
      <c r="B177" s="4" t="s">
        <v>217</v>
      </c>
      <c r="C177" s="39" t="s">
        <v>2</v>
      </c>
      <c r="D177" s="39"/>
      <c r="E177" s="4" t="s">
        <v>17</v>
      </c>
      <c r="F177" s="4"/>
      <c r="G177" s="4" t="s">
        <v>216</v>
      </c>
      <c r="H177" s="8">
        <v>9424</v>
      </c>
      <c r="I177" s="7">
        <v>23</v>
      </c>
      <c r="J177" s="6"/>
      <c r="K177" s="6">
        <f t="shared" si="5"/>
        <v>0</v>
      </c>
      <c r="L177" s="5">
        <v>3229</v>
      </c>
      <c r="M177" s="39">
        <f>VLOOKUP(Table2[[#This Row],[ROUTE]],DEMAND!A:F,5,FALSE)</f>
        <v>5339</v>
      </c>
      <c r="N177" s="39">
        <f>VLOOKUP(Table2[[#This Row],[ROUTE]],DEMAND!A:F,6,FALSE)</f>
        <v>59</v>
      </c>
      <c r="O177" s="39">
        <f>ROUNDDOWN(Table2[[#This Row],[R-DEMAND]]/1320,0)</f>
        <v>0</v>
      </c>
      <c r="P177" s="39">
        <f>Table2[[#This Row],[ADD ACC]]*Table2[[#This Row],[RT TIME (744)]]</f>
        <v>0</v>
      </c>
    </row>
    <row r="178" spans="1:16" ht="15" customHeight="1" x14ac:dyDescent="0.25">
      <c r="A178" s="1" t="str">
        <f t="shared" si="6"/>
        <v>MPM/KNO</v>
      </c>
      <c r="B178" s="4" t="s">
        <v>215</v>
      </c>
      <c r="C178" s="39" t="s">
        <v>2</v>
      </c>
      <c r="D178" s="39"/>
      <c r="E178" s="4" t="s">
        <v>36</v>
      </c>
      <c r="F178" s="4"/>
      <c r="G178" s="4" t="s">
        <v>214</v>
      </c>
      <c r="H178" s="8">
        <v>7846</v>
      </c>
      <c r="I178" s="7">
        <v>19.5</v>
      </c>
      <c r="J178" s="6">
        <v>224139092</v>
      </c>
      <c r="K178" s="6">
        <f t="shared" si="5"/>
        <v>68649.032771822356</v>
      </c>
      <c r="L178" s="4">
        <v>3265</v>
      </c>
      <c r="M178" s="39">
        <f>VLOOKUP(Table2[[#This Row],[ROUTE]],DEMAND!A:F,5,FALSE)</f>
        <v>5306</v>
      </c>
      <c r="N178" s="39">
        <f>VLOOKUP(Table2[[#This Row],[ROUTE]],DEMAND!A:F,6,FALSE)</f>
        <v>26</v>
      </c>
      <c r="O178" s="39">
        <f>ROUNDDOWN(Table2[[#This Row],[R-DEMAND]]/1320,0)</f>
        <v>0</v>
      </c>
      <c r="P178" s="39">
        <f>Table2[[#This Row],[ADD ACC]]*Table2[[#This Row],[RT TIME (744)]]</f>
        <v>0</v>
      </c>
    </row>
    <row r="179" spans="1:16" ht="15" customHeight="1" x14ac:dyDescent="0.25">
      <c r="A179" s="38" t="str">
        <f t="shared" si="6"/>
        <v>MPM/KSY</v>
      </c>
      <c r="B179" s="39" t="s">
        <v>3640</v>
      </c>
      <c r="C179" s="39" t="s">
        <v>2</v>
      </c>
      <c r="D179" s="39"/>
      <c r="E179" s="4" t="s">
        <v>251</v>
      </c>
      <c r="F179" s="39"/>
      <c r="G179" s="39" t="s">
        <v>11432</v>
      </c>
      <c r="H179" s="40">
        <v>7474</v>
      </c>
      <c r="I179" s="41">
        <v>18.75</v>
      </c>
      <c r="J179" s="42">
        <v>186935308</v>
      </c>
      <c r="K179" s="42">
        <f t="shared" si="5"/>
        <v>54964.806821523081</v>
      </c>
      <c r="L179" s="43">
        <v>3401</v>
      </c>
      <c r="M179" s="39">
        <f>VLOOKUP(Table2[[#This Row],[ROUTE]],DEMAND!A:F,5,FALSE)</f>
        <v>3443</v>
      </c>
      <c r="N179" s="39">
        <f>VLOOKUP(Table2[[#This Row],[ROUTE]],DEMAND!A:F,6,FALSE)</f>
        <v>803</v>
      </c>
      <c r="O179" s="39">
        <f>ROUNDDOWN(Table2[[#This Row],[R-DEMAND]]/1320,0)</f>
        <v>0</v>
      </c>
      <c r="P179" s="39">
        <f>Table2[[#This Row],[ADD ACC]]*Table2[[#This Row],[RT TIME (744)]]</f>
        <v>0</v>
      </c>
    </row>
    <row r="180" spans="1:16" ht="15" customHeight="1" x14ac:dyDescent="0.25">
      <c r="A180" s="1" t="str">
        <f t="shared" si="6"/>
        <v>MPM/KUA</v>
      </c>
      <c r="B180" s="4" t="s">
        <v>213</v>
      </c>
      <c r="C180" s="39" t="s">
        <v>11122</v>
      </c>
      <c r="D180" s="39"/>
      <c r="E180" s="4" t="s">
        <v>60</v>
      </c>
      <c r="F180" s="4"/>
      <c r="G180" s="4" t="s">
        <v>212</v>
      </c>
      <c r="H180" s="8"/>
      <c r="I180" s="7">
        <v>20.5</v>
      </c>
      <c r="J180" s="6">
        <v>194591661</v>
      </c>
      <c r="K180" s="6">
        <f t="shared" si="5"/>
        <v>95999.832757770098</v>
      </c>
      <c r="L180" s="4">
        <v>2027</v>
      </c>
      <c r="M180" s="39" t="e">
        <f>VLOOKUP(Table2[[#This Row],[ROUTE]],DEMAND!A:F,5,FALSE)</f>
        <v>#N/A</v>
      </c>
      <c r="N180" s="39" t="e">
        <f>VLOOKUP(Table2[[#This Row],[ROUTE]],DEMAND!A:F,6,FALSE)</f>
        <v>#N/A</v>
      </c>
      <c r="O180" s="39" t="e">
        <f>ROUNDDOWN(Table2[[#This Row],[R-DEMAND]]/1320,0)</f>
        <v>#N/A</v>
      </c>
      <c r="P180" s="39" t="e">
        <f>Table2[[#This Row],[ADD ACC]]*Table2[[#This Row],[RT TIME (744)]]</f>
        <v>#N/A</v>
      </c>
    </row>
    <row r="181" spans="1:16" ht="15" customHeight="1" x14ac:dyDescent="0.25">
      <c r="A181" s="1" t="str">
        <f t="shared" si="6"/>
        <v>MPM/KUL</v>
      </c>
      <c r="B181" s="4" t="s">
        <v>211</v>
      </c>
      <c r="C181" s="39" t="s">
        <v>2</v>
      </c>
      <c r="D181" s="39"/>
      <c r="E181" s="4" t="s">
        <v>60</v>
      </c>
      <c r="F181" s="4"/>
      <c r="G181" s="4" t="s">
        <v>210</v>
      </c>
      <c r="H181" s="8"/>
      <c r="I181" s="7">
        <v>20</v>
      </c>
      <c r="J181" s="6">
        <v>227710767</v>
      </c>
      <c r="K181" s="6">
        <f t="shared" si="5"/>
        <v>69381.708409506406</v>
      </c>
      <c r="L181" s="5">
        <v>3282</v>
      </c>
      <c r="M181" s="39">
        <f>VLOOKUP(Table2[[#This Row],[ROUTE]],DEMAND!A:F,5,FALSE)</f>
        <v>5332</v>
      </c>
      <c r="N181" s="39">
        <f>VLOOKUP(Table2[[#This Row],[ROUTE]],DEMAND!A:F,6,FALSE)</f>
        <v>1372</v>
      </c>
      <c r="O181" s="39">
        <f>ROUNDDOWN(Table2[[#This Row],[R-DEMAND]]/1320,0)</f>
        <v>1</v>
      </c>
      <c r="P181" s="39">
        <f>Table2[[#This Row],[ADD ACC]]*Table2[[#This Row],[RT TIME (744)]]</f>
        <v>20</v>
      </c>
    </row>
    <row r="182" spans="1:16" ht="15" customHeight="1" x14ac:dyDescent="0.25">
      <c r="A182" s="1" t="str">
        <f t="shared" si="6"/>
        <v>MPM/KWJ</v>
      </c>
      <c r="B182" s="39" t="s">
        <v>4764</v>
      </c>
      <c r="C182" s="39" t="s">
        <v>2</v>
      </c>
      <c r="D182" s="39"/>
      <c r="E182" s="10" t="s">
        <v>258</v>
      </c>
      <c r="F182" s="39"/>
      <c r="G182" s="39" t="s">
        <v>11139</v>
      </c>
      <c r="H182" s="40">
        <v>11991</v>
      </c>
      <c r="I182" s="41">
        <v>28.75</v>
      </c>
      <c r="J182" s="42">
        <v>242979502</v>
      </c>
      <c r="K182" s="42">
        <f t="shared" si="5"/>
        <v>68735.361244695901</v>
      </c>
      <c r="L182" s="43">
        <v>3535</v>
      </c>
      <c r="M182" s="39">
        <f>VLOOKUP(Table2[[#This Row],[ROUTE]],DEMAND!A:F,5,FALSE)</f>
        <v>3761</v>
      </c>
      <c r="N182" s="39">
        <f>VLOOKUP(Table2[[#This Row],[ROUTE]],DEMAND!A:F,6,FALSE)</f>
        <v>1121</v>
      </c>
      <c r="O182" s="39">
        <f>ROUNDDOWN(Table2[[#This Row],[R-DEMAND]]/1320,0)</f>
        <v>0</v>
      </c>
      <c r="P182" s="39">
        <f>Table2[[#This Row],[ADD ACC]]*Table2[[#This Row],[RT TIME (744)]]</f>
        <v>0</v>
      </c>
    </row>
    <row r="183" spans="1:16" ht="15" customHeight="1" x14ac:dyDescent="0.25">
      <c r="A183" s="1" t="str">
        <f t="shared" si="6"/>
        <v>MPM/LAD</v>
      </c>
      <c r="B183" s="4" t="s">
        <v>209</v>
      </c>
      <c r="C183" s="39" t="s">
        <v>2</v>
      </c>
      <c r="D183" s="39"/>
      <c r="E183" s="4" t="s">
        <v>208</v>
      </c>
      <c r="F183" s="4"/>
      <c r="G183" s="4" t="s">
        <v>207</v>
      </c>
      <c r="H183" s="8">
        <v>2787</v>
      </c>
      <c r="I183" s="7">
        <v>8.25</v>
      </c>
      <c r="J183" s="6"/>
      <c r="K183" s="6">
        <f t="shared" si="5"/>
        <v>0</v>
      </c>
      <c r="L183" s="5">
        <v>3472</v>
      </c>
      <c r="M183" s="39">
        <f>VLOOKUP(Table2[[#This Row],[ROUTE]],DEMAND!A:F,5,FALSE)</f>
        <v>6140</v>
      </c>
      <c r="N183" s="39">
        <f>VLOOKUP(Table2[[#This Row],[ROUTE]],DEMAND!A:F,6,FALSE)</f>
        <v>860</v>
      </c>
      <c r="O183" s="39">
        <f>ROUNDDOWN(Table2[[#This Row],[R-DEMAND]]/1320,0)</f>
        <v>0</v>
      </c>
      <c r="P183" s="39">
        <f>Table2[[#This Row],[ADD ACC]]*Table2[[#This Row],[RT TIME (744)]]</f>
        <v>0</v>
      </c>
    </row>
    <row r="184" spans="1:16" ht="15" customHeight="1" x14ac:dyDescent="0.25">
      <c r="A184" s="1" t="str">
        <f t="shared" si="6"/>
        <v>MPM/LAO</v>
      </c>
      <c r="B184" s="4" t="s">
        <v>206</v>
      </c>
      <c r="C184" s="39" t="s">
        <v>11122</v>
      </c>
      <c r="D184" s="39"/>
      <c r="E184" s="4" t="s">
        <v>165</v>
      </c>
      <c r="F184" s="4"/>
      <c r="G184" s="4" t="s">
        <v>205</v>
      </c>
      <c r="H184" s="8"/>
      <c r="I184" s="7">
        <v>25.75</v>
      </c>
      <c r="J184" s="6">
        <v>216316719</v>
      </c>
      <c r="K184" s="6">
        <f t="shared" si="5"/>
        <v>99501.710671573135</v>
      </c>
      <c r="L184" s="4">
        <v>2174</v>
      </c>
      <c r="M184" s="39" t="e">
        <f>VLOOKUP(Table2[[#This Row],[ROUTE]],DEMAND!A:F,5,FALSE)</f>
        <v>#N/A</v>
      </c>
      <c r="N184" s="39" t="e">
        <f>VLOOKUP(Table2[[#This Row],[ROUTE]],DEMAND!A:F,6,FALSE)</f>
        <v>#N/A</v>
      </c>
      <c r="O184" s="39" t="e">
        <f>ROUNDDOWN(Table2[[#This Row],[R-DEMAND]]/1320,0)</f>
        <v>#N/A</v>
      </c>
      <c r="P184" s="39" t="e">
        <f>Table2[[#This Row],[ADD ACC]]*Table2[[#This Row],[RT TIME (744)]]</f>
        <v>#N/A</v>
      </c>
    </row>
    <row r="185" spans="1:16" ht="15" customHeight="1" x14ac:dyDescent="0.25">
      <c r="A185" s="1" t="str">
        <f t="shared" si="6"/>
        <v>MPM/LED</v>
      </c>
      <c r="B185" s="4" t="s">
        <v>204</v>
      </c>
      <c r="C185" s="39" t="s">
        <v>2</v>
      </c>
      <c r="D185" s="39"/>
      <c r="E185" s="10" t="s">
        <v>78</v>
      </c>
      <c r="F185" s="4"/>
      <c r="G185" s="4" t="s">
        <v>203</v>
      </c>
      <c r="H185" s="8">
        <v>9536</v>
      </c>
      <c r="I185" s="7">
        <v>23.25</v>
      </c>
      <c r="J185" s="6">
        <v>232195998</v>
      </c>
      <c r="K185" s="6">
        <f t="shared" si="5"/>
        <v>53182.775538250113</v>
      </c>
      <c r="L185" s="4">
        <v>4366</v>
      </c>
      <c r="M185" s="39">
        <f>VLOOKUP(Table2[[#This Row],[ROUTE]],DEMAND!A:F,5,FALSE)</f>
        <v>4644</v>
      </c>
      <c r="N185" s="39">
        <f>VLOOKUP(Table2[[#This Row],[ROUTE]],DEMAND!A:F,6,FALSE)</f>
        <v>684</v>
      </c>
      <c r="O185" s="39">
        <f>ROUNDDOWN(Table2[[#This Row],[R-DEMAND]]/1320,0)</f>
        <v>0</v>
      </c>
      <c r="P185" s="39">
        <f>Table2[[#This Row],[ADD ACC]]*Table2[[#This Row],[RT TIME (744)]]</f>
        <v>0</v>
      </c>
    </row>
    <row r="186" spans="1:16" ht="15" customHeight="1" x14ac:dyDescent="0.25">
      <c r="A186" s="1" t="str">
        <f t="shared" si="6"/>
        <v>MPM/LGK</v>
      </c>
      <c r="B186" s="4" t="s">
        <v>202</v>
      </c>
      <c r="C186" s="39" t="s">
        <v>11122</v>
      </c>
      <c r="D186" s="39"/>
      <c r="E186" s="4" t="s">
        <v>60</v>
      </c>
      <c r="F186" s="4"/>
      <c r="G186" s="4" t="s">
        <v>201</v>
      </c>
      <c r="H186" s="8"/>
      <c r="I186" s="7">
        <v>20</v>
      </c>
      <c r="J186" s="6">
        <v>201613336</v>
      </c>
      <c r="K186" s="6">
        <f t="shared" si="5"/>
        <v>90409.567713004479</v>
      </c>
      <c r="L186" s="4">
        <v>2230</v>
      </c>
      <c r="M186" s="39" t="e">
        <f>VLOOKUP(Table2[[#This Row],[ROUTE]],DEMAND!A:F,5,FALSE)</f>
        <v>#N/A</v>
      </c>
      <c r="N186" s="39" t="e">
        <f>VLOOKUP(Table2[[#This Row],[ROUTE]],DEMAND!A:F,6,FALSE)</f>
        <v>#N/A</v>
      </c>
      <c r="O186" s="39" t="e">
        <f>ROUNDDOWN(Table2[[#This Row],[R-DEMAND]]/1320,0)</f>
        <v>#N/A</v>
      </c>
      <c r="P186" s="39" t="e">
        <f>Table2[[#This Row],[ADD ACC]]*Table2[[#This Row],[RT TIME (744)]]</f>
        <v>#N/A</v>
      </c>
    </row>
    <row r="187" spans="1:16" ht="15" customHeight="1" x14ac:dyDescent="0.25">
      <c r="A187" s="1" t="str">
        <f t="shared" si="6"/>
        <v>MPM/LGW</v>
      </c>
      <c r="B187" s="4" t="s">
        <v>200</v>
      </c>
      <c r="C187" s="39" t="s">
        <v>2</v>
      </c>
      <c r="D187" s="39"/>
      <c r="E187" s="10" t="s">
        <v>83</v>
      </c>
      <c r="F187" s="4"/>
      <c r="G187" s="4" t="s">
        <v>199</v>
      </c>
      <c r="H187" s="8">
        <v>9153</v>
      </c>
      <c r="I187" s="7">
        <v>22.5</v>
      </c>
      <c r="J187" s="6">
        <v>253439515</v>
      </c>
      <c r="K187" s="6">
        <f t="shared" si="5"/>
        <v>88183.547320807236</v>
      </c>
      <c r="L187" s="4">
        <v>2874</v>
      </c>
      <c r="M187" s="39">
        <f>VLOOKUP(Table2[[#This Row],[ROUTE]],DEMAND!A:F,5,FALSE)</f>
        <v>4537</v>
      </c>
      <c r="N187" s="39">
        <f>VLOOKUP(Table2[[#This Row],[ROUTE]],DEMAND!A:F,6,FALSE)</f>
        <v>577</v>
      </c>
      <c r="O187" s="39">
        <f>ROUNDDOWN(Table2[[#This Row],[R-DEMAND]]/1320,0)</f>
        <v>0</v>
      </c>
      <c r="P187" s="39">
        <f>Table2[[#This Row],[ADD ACC]]*Table2[[#This Row],[RT TIME (744)]]</f>
        <v>0</v>
      </c>
    </row>
    <row r="188" spans="1:16" ht="15" customHeight="1" x14ac:dyDescent="0.25">
      <c r="A188" s="1" t="str">
        <f t="shared" si="6"/>
        <v>MPM/LHE</v>
      </c>
      <c r="B188" s="4" t="s">
        <v>198</v>
      </c>
      <c r="C188" s="39" t="s">
        <v>2</v>
      </c>
      <c r="D188" s="39"/>
      <c r="E188" s="4" t="s">
        <v>197</v>
      </c>
      <c r="F188" s="4"/>
      <c r="G188" s="4" t="s">
        <v>196</v>
      </c>
      <c r="H188" s="8">
        <v>7780</v>
      </c>
      <c r="I188" s="7">
        <v>19.25</v>
      </c>
      <c r="J188" s="6">
        <v>208779727</v>
      </c>
      <c r="K188" s="6">
        <f t="shared" si="5"/>
        <v>42101.175035289372</v>
      </c>
      <c r="L188" s="43">
        <v>4959</v>
      </c>
      <c r="M188" s="39">
        <f>VLOOKUP(Table2[[#This Row],[ROUTE]],DEMAND!A:F,5,FALSE)</f>
        <v>5271</v>
      </c>
      <c r="N188" s="39">
        <f>VLOOKUP(Table2[[#This Row],[ROUTE]],DEMAND!A:F,6,FALSE)</f>
        <v>1311</v>
      </c>
      <c r="O188" s="39">
        <f>ROUNDDOWN(Table2[[#This Row],[R-DEMAND]]/1320,0)</f>
        <v>0</v>
      </c>
      <c r="P188" s="39">
        <f>Table2[[#This Row],[ADD ACC]]*Table2[[#This Row],[RT TIME (744)]]</f>
        <v>0</v>
      </c>
    </row>
    <row r="189" spans="1:16" ht="15" customHeight="1" x14ac:dyDescent="0.25">
      <c r="A189" s="1" t="str">
        <f t="shared" si="6"/>
        <v>MPM/LHR</v>
      </c>
      <c r="B189" s="4" t="s">
        <v>195</v>
      </c>
      <c r="C189" s="39" t="s">
        <v>2</v>
      </c>
      <c r="D189" s="39"/>
      <c r="E189" s="10" t="s">
        <v>83</v>
      </c>
      <c r="F189" s="4"/>
      <c r="G189" s="4" t="s">
        <v>194</v>
      </c>
      <c r="H189" s="8">
        <v>9194</v>
      </c>
      <c r="I189" s="7">
        <v>22.5</v>
      </c>
      <c r="J189" s="6">
        <v>260392872</v>
      </c>
      <c r="K189" s="6">
        <f t="shared" si="5"/>
        <v>90697.621734587257</v>
      </c>
      <c r="L189" s="4">
        <v>2871</v>
      </c>
      <c r="M189" s="39">
        <f>VLOOKUP(Table2[[#This Row],[ROUTE]],DEMAND!A:F,5,FALSE)</f>
        <v>4780</v>
      </c>
      <c r="N189" s="39">
        <f>VLOOKUP(Table2[[#This Row],[ROUTE]],DEMAND!A:F,6,FALSE)</f>
        <v>820</v>
      </c>
      <c r="O189" s="39">
        <f>ROUNDDOWN(Table2[[#This Row],[R-DEMAND]]/1320,0)</f>
        <v>0</v>
      </c>
      <c r="P189" s="39">
        <f>Table2[[#This Row],[ADD ACC]]*Table2[[#This Row],[RT TIME (744)]]</f>
        <v>0</v>
      </c>
    </row>
    <row r="190" spans="1:16" ht="15" customHeight="1" x14ac:dyDescent="0.25">
      <c r="A190" s="38" t="str">
        <f t="shared" si="6"/>
        <v>MPM/LIM</v>
      </c>
      <c r="B190" s="39" t="s">
        <v>5549</v>
      </c>
      <c r="C190" s="39" t="s">
        <v>2</v>
      </c>
      <c r="D190" s="39"/>
      <c r="E190" s="39" t="s">
        <v>11511</v>
      </c>
      <c r="F190" s="39"/>
      <c r="G190" s="39" t="s">
        <v>11512</v>
      </c>
      <c r="H190" s="40"/>
      <c r="I190" s="41">
        <v>27.25</v>
      </c>
      <c r="J190" s="42">
        <v>255219891</v>
      </c>
      <c r="K190" s="42">
        <f t="shared" si="5"/>
        <v>46641.061951754389</v>
      </c>
      <c r="L190" s="43">
        <v>5472</v>
      </c>
      <c r="M190" s="39">
        <f>VLOOKUP(Table2[[#This Row],[ROUTE]],DEMAND!A:F,5,FALSE)</f>
        <v>5744</v>
      </c>
      <c r="N190" s="39">
        <f>VLOOKUP(Table2[[#This Row],[ROUTE]],DEMAND!A:F,6,FALSE)</f>
        <v>464</v>
      </c>
      <c r="O190" s="39">
        <f>ROUNDDOWN(Table2[[#This Row],[R-DEMAND]]/1320,0)</f>
        <v>0</v>
      </c>
      <c r="P190" s="39">
        <f>Table2[[#This Row],[ADD ACC]]*Table2[[#This Row],[RT TIME (744)]]</f>
        <v>0</v>
      </c>
    </row>
    <row r="191" spans="1:16" ht="15" customHeight="1" x14ac:dyDescent="0.25">
      <c r="A191" s="1" t="str">
        <f t="shared" si="6"/>
        <v>MPM/LIS</v>
      </c>
      <c r="B191" s="4" t="s">
        <v>193</v>
      </c>
      <c r="C191" s="39" t="s">
        <v>2</v>
      </c>
      <c r="D191" s="39"/>
      <c r="E191" s="4" t="s">
        <v>192</v>
      </c>
      <c r="F191" s="4"/>
      <c r="G191" s="4" t="s">
        <v>191</v>
      </c>
      <c r="H191" s="8">
        <v>8402</v>
      </c>
      <c r="I191" s="7">
        <v>20.75</v>
      </c>
      <c r="J191" s="6">
        <v>231106570</v>
      </c>
      <c r="K191" s="6">
        <f t="shared" si="5"/>
        <v>80721.819769472582</v>
      </c>
      <c r="L191" s="4">
        <v>2863</v>
      </c>
      <c r="M191" s="39">
        <f>VLOOKUP(Table2[[#This Row],[ROUTE]],DEMAND!A:F,5,FALSE)</f>
        <v>4518</v>
      </c>
      <c r="N191" s="39">
        <f>VLOOKUP(Table2[[#This Row],[ROUTE]],DEMAND!A:F,6,FALSE)</f>
        <v>558</v>
      </c>
      <c r="O191" s="39">
        <f>ROUNDDOWN(Table2[[#This Row],[R-DEMAND]]/1320,0)</f>
        <v>0</v>
      </c>
      <c r="P191" s="39">
        <f>Table2[[#This Row],[ADD ACC]]*Table2[[#This Row],[RT TIME (744)]]</f>
        <v>0</v>
      </c>
    </row>
    <row r="192" spans="1:16" ht="15" customHeight="1" x14ac:dyDescent="0.25">
      <c r="A192" s="38" t="str">
        <f t="shared" si="6"/>
        <v>MPM/LPA</v>
      </c>
      <c r="B192" s="39" t="s">
        <v>5583</v>
      </c>
      <c r="C192" s="39" t="s">
        <v>2</v>
      </c>
      <c r="D192" s="39"/>
      <c r="E192" s="39" t="s">
        <v>184</v>
      </c>
      <c r="F192" s="39"/>
      <c r="G192" s="39" t="s">
        <v>11540</v>
      </c>
      <c r="H192" s="40"/>
      <c r="I192" s="41">
        <v>19.5</v>
      </c>
      <c r="J192" s="42">
        <v>222649364</v>
      </c>
      <c r="K192" s="42">
        <f t="shared" si="5"/>
        <v>67469.504242424242</v>
      </c>
      <c r="L192" s="43">
        <v>3300</v>
      </c>
      <c r="M192" s="39">
        <f>VLOOKUP(Table2[[#This Row],[ROUTE]],DEMAND!A:F,5,FALSE)</f>
        <v>3462</v>
      </c>
      <c r="N192" s="39">
        <f>VLOOKUP(Table2[[#This Row],[ROUTE]],DEMAND!A:F,6,FALSE)</f>
        <v>822</v>
      </c>
      <c r="O192" s="39">
        <f>ROUNDDOWN(Table2[[#This Row],[R-DEMAND]]/1320,0)</f>
        <v>0</v>
      </c>
      <c r="P192" s="39">
        <f>Table2[[#This Row],[ADD ACC]]*Table2[[#This Row],[RT TIME (744)]]</f>
        <v>0</v>
      </c>
    </row>
    <row r="193" spans="1:16" ht="15" customHeight="1" x14ac:dyDescent="0.25">
      <c r="A193" s="38" t="str">
        <f t="shared" si="6"/>
        <v>MPM/LPB</v>
      </c>
      <c r="B193" s="26" t="s">
        <v>4456</v>
      </c>
      <c r="C193" s="39" t="s">
        <v>2</v>
      </c>
      <c r="D193" s="39"/>
      <c r="E193" s="39" t="s">
        <v>11530</v>
      </c>
      <c r="F193" s="39"/>
      <c r="G193" s="39" t="s">
        <v>11554</v>
      </c>
      <c r="H193" s="40">
        <v>10244</v>
      </c>
      <c r="I193" s="41">
        <v>24.75</v>
      </c>
      <c r="J193" s="42"/>
      <c r="K193" s="42">
        <f t="shared" si="5"/>
        <v>0</v>
      </c>
      <c r="L193" s="43">
        <v>4495</v>
      </c>
      <c r="M193" s="39">
        <f>VLOOKUP(Table2[[#This Row],[ROUTE]],DEMAND!A:F,5,FALSE)</f>
        <v>4370</v>
      </c>
      <c r="N193" s="39">
        <f>VLOOKUP(Table2[[#This Row],[ROUTE]],DEMAND!A:F,6,FALSE)</f>
        <v>410</v>
      </c>
      <c r="O193" s="39">
        <f>ROUNDDOWN(Table2[[#This Row],[R-DEMAND]]/1320,0)</f>
        <v>0</v>
      </c>
      <c r="P193" s="39">
        <f>Table2[[#This Row],[ADD ACC]]*Table2[[#This Row],[RT TIME (744)]]</f>
        <v>0</v>
      </c>
    </row>
    <row r="194" spans="1:16" ht="15" customHeight="1" x14ac:dyDescent="0.25">
      <c r="A194" s="38" t="str">
        <f t="shared" si="6"/>
        <v>MPM/LRM</v>
      </c>
      <c r="B194" s="39" t="s">
        <v>3889</v>
      </c>
      <c r="C194" s="39" t="s">
        <v>2</v>
      </c>
      <c r="D194" s="39"/>
      <c r="E194" s="39" t="s">
        <v>11478</v>
      </c>
      <c r="F194" s="39"/>
      <c r="G194" s="39" t="s">
        <v>11474</v>
      </c>
      <c r="H194" s="40"/>
      <c r="I194" s="41">
        <v>28.75</v>
      </c>
      <c r="J194" s="42">
        <v>233889369</v>
      </c>
      <c r="K194" s="42">
        <f t="shared" si="5"/>
        <v>63695.361928104576</v>
      </c>
      <c r="L194" s="43">
        <v>3672</v>
      </c>
      <c r="M194" s="39">
        <f>VLOOKUP(Table2[[#This Row],[ROUTE]],DEMAND!A:F,5,FALSE)</f>
        <v>3855</v>
      </c>
      <c r="N194" s="39">
        <f>VLOOKUP(Table2[[#This Row],[ROUTE]],DEMAND!A:F,6,FALSE)</f>
        <v>1215</v>
      </c>
      <c r="O194" s="39">
        <f>ROUNDDOWN(Table2[[#This Row],[R-DEMAND]]/1320,0)</f>
        <v>0</v>
      </c>
      <c r="P194" s="39">
        <f>Table2[[#This Row],[ADD ACC]]*Table2[[#This Row],[RT TIME (744)]]</f>
        <v>0</v>
      </c>
    </row>
    <row r="195" spans="1:16" ht="15" customHeight="1" x14ac:dyDescent="0.25">
      <c r="A195" s="38" t="str">
        <f t="shared" si="6"/>
        <v>MPM/LTK</v>
      </c>
      <c r="B195" s="39" t="s">
        <v>2972</v>
      </c>
      <c r="C195" s="39" t="s">
        <v>2</v>
      </c>
      <c r="D195" s="39"/>
      <c r="E195" s="39" t="s">
        <v>11149</v>
      </c>
      <c r="F195" s="39"/>
      <c r="G195" s="39" t="s">
        <v>11152</v>
      </c>
      <c r="H195" s="40">
        <v>6829</v>
      </c>
      <c r="I195" s="41">
        <v>17.25</v>
      </c>
      <c r="J195" s="42">
        <v>178032422</v>
      </c>
      <c r="K195" s="42">
        <f t="shared" ref="K195:K258" si="7">J195/L195</f>
        <v>54965.24297622723</v>
      </c>
      <c r="L195" s="43">
        <v>3239</v>
      </c>
      <c r="M195" s="39">
        <f>VLOOKUP(Table2[[#This Row],[ROUTE]],DEMAND!A:F,5,FALSE)</f>
        <v>3442</v>
      </c>
      <c r="N195" s="39">
        <f>VLOOKUP(Table2[[#This Row],[ROUTE]],DEMAND!A:F,6,FALSE)</f>
        <v>802</v>
      </c>
      <c r="O195" s="39">
        <f>ROUNDDOWN(Table2[[#This Row],[R-DEMAND]]/1320,0)</f>
        <v>0</v>
      </c>
      <c r="P195" s="39">
        <f>Table2[[#This Row],[ADD ACC]]*Table2[[#This Row],[RT TIME (744)]]</f>
        <v>0</v>
      </c>
    </row>
    <row r="196" spans="1:16" ht="15" customHeight="1" x14ac:dyDescent="0.25">
      <c r="A196" s="1" t="str">
        <f t="shared" si="6"/>
        <v>MPM/LUN</v>
      </c>
      <c r="B196" s="4" t="s">
        <v>190</v>
      </c>
      <c r="C196" s="39" t="s">
        <v>2</v>
      </c>
      <c r="D196" s="39"/>
      <c r="E196" s="4" t="s">
        <v>189</v>
      </c>
      <c r="F196" s="4"/>
      <c r="G196" s="4" t="s">
        <v>188</v>
      </c>
      <c r="H196" s="8">
        <v>1253</v>
      </c>
      <c r="I196" s="7">
        <v>5</v>
      </c>
      <c r="J196" s="6"/>
      <c r="K196" s="6">
        <f t="shared" si="7"/>
        <v>0</v>
      </c>
      <c r="L196" s="4">
        <v>2493</v>
      </c>
      <c r="M196" s="39">
        <f>VLOOKUP(Table2[[#This Row],[ROUTE]],DEMAND!A:F,5,FALSE)</f>
        <v>4810</v>
      </c>
      <c r="N196" s="39">
        <f>VLOOKUP(Table2[[#This Row],[ROUTE]],DEMAND!A:F,6,FALSE)</f>
        <v>850</v>
      </c>
      <c r="O196" s="39">
        <f>ROUNDDOWN(Table2[[#This Row],[R-DEMAND]]/1320,0)</f>
        <v>0</v>
      </c>
      <c r="P196" s="39">
        <f>Table2[[#This Row],[ADD ACC]]*Table2[[#This Row],[RT TIME (744)]]</f>
        <v>0</v>
      </c>
    </row>
    <row r="197" spans="1:16" ht="15" customHeight="1" x14ac:dyDescent="0.25">
      <c r="A197" s="38" t="str">
        <f t="shared" si="6"/>
        <v>MPM/LWN</v>
      </c>
      <c r="B197" s="39" t="s">
        <v>1272</v>
      </c>
      <c r="C197" s="39" t="s">
        <v>2</v>
      </c>
      <c r="D197" s="39"/>
      <c r="E197" s="39" t="s">
        <v>11160</v>
      </c>
      <c r="F197" s="39"/>
      <c r="G197" s="39" t="s">
        <v>11162</v>
      </c>
      <c r="H197" s="40">
        <v>7506</v>
      </c>
      <c r="I197" s="41">
        <v>18.75</v>
      </c>
      <c r="J197" s="42">
        <v>176404914</v>
      </c>
      <c r="K197" s="42">
        <f t="shared" si="7"/>
        <v>67176.281035795881</v>
      </c>
      <c r="L197" s="43">
        <v>2626</v>
      </c>
      <c r="M197" s="39" t="e">
        <f>VLOOKUP(Table2[[#This Row],[ROUTE]],DEMAND!A:F,5,FALSE)</f>
        <v>#N/A</v>
      </c>
      <c r="N197" s="39" t="e">
        <f>VLOOKUP(Table2[[#This Row],[ROUTE]],DEMAND!A:F,6,FALSE)</f>
        <v>#N/A</v>
      </c>
      <c r="O197" s="39" t="e">
        <f>ROUNDDOWN(Table2[[#This Row],[R-DEMAND]]/1320,0)</f>
        <v>#N/A</v>
      </c>
      <c r="P197" s="39" t="e">
        <f>Table2[[#This Row],[ADD ACC]]*Table2[[#This Row],[RT TIME (744)]]</f>
        <v>#N/A</v>
      </c>
    </row>
    <row r="198" spans="1:16" ht="15" customHeight="1" x14ac:dyDescent="0.25">
      <c r="A198" s="1" t="str">
        <f t="shared" si="6"/>
        <v>MPM/LYP</v>
      </c>
      <c r="B198" s="39" t="s">
        <v>3243</v>
      </c>
      <c r="C198" s="39" t="s">
        <v>2</v>
      </c>
      <c r="D198" s="39"/>
      <c r="E198" s="4" t="s">
        <v>197</v>
      </c>
      <c r="F198" s="39"/>
      <c r="G198" s="39" t="s">
        <v>11128</v>
      </c>
      <c r="H198" s="40">
        <v>7683</v>
      </c>
      <c r="I198" s="41">
        <v>19.25</v>
      </c>
      <c r="J198" s="42">
        <v>188101485</v>
      </c>
      <c r="K198" s="42">
        <f t="shared" si="7"/>
        <v>48870.222135619639</v>
      </c>
      <c r="L198" s="43">
        <v>3849</v>
      </c>
      <c r="M198" s="39">
        <f>VLOOKUP(Table2[[#This Row],[ROUTE]],DEMAND!A:F,5,FALSE)</f>
        <v>4092</v>
      </c>
      <c r="N198" s="39">
        <f>VLOOKUP(Table2[[#This Row],[ROUTE]],DEMAND!A:F,6,FALSE)</f>
        <v>132</v>
      </c>
      <c r="O198" s="39">
        <f>ROUNDDOWN(Table2[[#This Row],[R-DEMAND]]/1320,0)</f>
        <v>0</v>
      </c>
      <c r="P198" s="39">
        <f>Table2[[#This Row],[ADD ACC]]*Table2[[#This Row],[RT TIME (744)]]</f>
        <v>0</v>
      </c>
    </row>
    <row r="199" spans="1:16" ht="15" customHeight="1" x14ac:dyDescent="0.25">
      <c r="A199" s="1" t="str">
        <f t="shared" si="6"/>
        <v>MPM/MAA</v>
      </c>
      <c r="B199" s="4" t="s">
        <v>187</v>
      </c>
      <c r="C199" s="39" t="s">
        <v>2</v>
      </c>
      <c r="D199" s="39"/>
      <c r="E199" s="4" t="s">
        <v>23</v>
      </c>
      <c r="F199" s="4"/>
      <c r="G199" s="4" t="s">
        <v>186</v>
      </c>
      <c r="H199" s="8"/>
      <c r="I199" s="7">
        <v>17</v>
      </c>
      <c r="J199" s="6">
        <v>213216681</v>
      </c>
      <c r="K199" s="6">
        <f t="shared" si="7"/>
        <v>58319.661105032821</v>
      </c>
      <c r="L199" s="5">
        <v>3656</v>
      </c>
      <c r="M199" s="39">
        <f>VLOOKUP(Table2[[#This Row],[ROUTE]],DEMAND!A:F,5,FALSE)</f>
        <v>5938</v>
      </c>
      <c r="N199" s="39">
        <f>VLOOKUP(Table2[[#This Row],[ROUTE]],DEMAND!A:F,6,FALSE)</f>
        <v>658</v>
      </c>
      <c r="O199" s="39">
        <f>ROUNDDOWN(Table2[[#This Row],[R-DEMAND]]/1320,0)</f>
        <v>0</v>
      </c>
      <c r="P199" s="39">
        <f>Table2[[#This Row],[ADD ACC]]*Table2[[#This Row],[RT TIME (744)]]</f>
        <v>0</v>
      </c>
    </row>
    <row r="200" spans="1:16" ht="15" customHeight="1" x14ac:dyDescent="0.25">
      <c r="A200" s="1" t="str">
        <f t="shared" si="6"/>
        <v>MPM/MAD</v>
      </c>
      <c r="B200" s="4" t="s">
        <v>185</v>
      </c>
      <c r="C200" s="39" t="s">
        <v>2</v>
      </c>
      <c r="D200" s="39"/>
      <c r="E200" s="4" t="s">
        <v>184</v>
      </c>
      <c r="F200" s="4"/>
      <c r="G200" s="4" t="s">
        <v>183</v>
      </c>
      <c r="H200" s="8">
        <v>8277</v>
      </c>
      <c r="I200" s="7">
        <v>20.5</v>
      </c>
      <c r="J200" s="6">
        <v>251886840</v>
      </c>
      <c r="K200" s="6">
        <f t="shared" si="7"/>
        <v>87158.07612456748</v>
      </c>
      <c r="L200" s="4">
        <v>2890</v>
      </c>
      <c r="M200" s="39">
        <f>VLOOKUP(Table2[[#This Row],[ROUTE]],DEMAND!A:F,5,FALSE)</f>
        <v>4560</v>
      </c>
      <c r="N200" s="39">
        <f>VLOOKUP(Table2[[#This Row],[ROUTE]],DEMAND!A:F,6,FALSE)</f>
        <v>600</v>
      </c>
      <c r="O200" s="39">
        <f>ROUNDDOWN(Table2[[#This Row],[R-DEMAND]]/1320,0)</f>
        <v>0</v>
      </c>
      <c r="P200" s="39">
        <f>Table2[[#This Row],[ADD ACC]]*Table2[[#This Row],[RT TIME (744)]]</f>
        <v>0</v>
      </c>
    </row>
    <row r="201" spans="1:16" ht="15" customHeight="1" x14ac:dyDescent="0.25">
      <c r="A201" s="1" t="str">
        <f t="shared" si="6"/>
        <v>MPM/MAN</v>
      </c>
      <c r="B201" s="10" t="s">
        <v>182</v>
      </c>
      <c r="C201" s="39" t="s">
        <v>2</v>
      </c>
      <c r="D201" s="39"/>
      <c r="E201" s="10" t="s">
        <v>83</v>
      </c>
      <c r="F201" s="10"/>
      <c r="G201" s="10" t="s">
        <v>181</v>
      </c>
      <c r="H201" s="8">
        <v>9437</v>
      </c>
      <c r="I201" s="7">
        <v>23</v>
      </c>
      <c r="J201" s="6">
        <v>249569068</v>
      </c>
      <c r="K201" s="6">
        <f t="shared" si="7"/>
        <v>68506.469393357125</v>
      </c>
      <c r="L201" s="4">
        <v>3643</v>
      </c>
      <c r="M201" s="39">
        <f>VLOOKUP(Table2[[#This Row],[ROUTE]],DEMAND!A:F,5,FALSE)</f>
        <v>4251</v>
      </c>
      <c r="N201" s="39">
        <f>VLOOKUP(Table2[[#This Row],[ROUTE]],DEMAND!A:F,6,FALSE)</f>
        <v>291</v>
      </c>
      <c r="O201" s="39">
        <f>ROUNDDOWN(Table2[[#This Row],[R-DEMAND]]/1320,0)</f>
        <v>0</v>
      </c>
      <c r="P201" s="39">
        <f>Table2[[#This Row],[ADD ACC]]*Table2[[#This Row],[RT TIME (744)]]</f>
        <v>0</v>
      </c>
    </row>
    <row r="202" spans="1:16" ht="15" customHeight="1" x14ac:dyDescent="0.25">
      <c r="A202" s="38" t="str">
        <f t="shared" si="6"/>
        <v>MPM/MAR</v>
      </c>
      <c r="B202" s="39" t="s">
        <v>5130</v>
      </c>
      <c r="C202" s="39" t="s">
        <v>2</v>
      </c>
      <c r="D202" s="39"/>
      <c r="E202" s="39" t="s">
        <v>380</v>
      </c>
      <c r="F202" s="39"/>
      <c r="G202" s="39" t="s">
        <v>11502</v>
      </c>
      <c r="H202" s="40"/>
      <c r="I202" s="41">
        <v>28.5</v>
      </c>
      <c r="J202" s="42">
        <v>248189464</v>
      </c>
      <c r="K202" s="42">
        <f t="shared" si="7"/>
        <v>56253.278331822301</v>
      </c>
      <c r="L202" s="43">
        <v>4412</v>
      </c>
      <c r="M202" s="39">
        <f>VLOOKUP(Table2[[#This Row],[ROUTE]],DEMAND!A:F,5,FALSE)</f>
        <v>4632</v>
      </c>
      <c r="N202" s="39">
        <f>VLOOKUP(Table2[[#This Row],[ROUTE]],DEMAND!A:F,6,FALSE)</f>
        <v>672</v>
      </c>
      <c r="O202" s="39">
        <f>ROUNDDOWN(Table2[[#This Row],[R-DEMAND]]/1320,0)</f>
        <v>0</v>
      </c>
      <c r="P202" s="39">
        <f>Table2[[#This Row],[ADD ACC]]*Table2[[#This Row],[RT TIME (744)]]</f>
        <v>0</v>
      </c>
    </row>
    <row r="203" spans="1:16" ht="15" customHeight="1" x14ac:dyDescent="0.25">
      <c r="A203" s="1" t="str">
        <f t="shared" si="6"/>
        <v>MPM/MCT</v>
      </c>
      <c r="B203" s="4" t="s">
        <v>180</v>
      </c>
      <c r="C203" s="39" t="s">
        <v>2</v>
      </c>
      <c r="D203" s="39"/>
      <c r="E203" s="4" t="s">
        <v>89</v>
      </c>
      <c r="F203" s="4"/>
      <c r="G203" s="4" t="s">
        <v>179</v>
      </c>
      <c r="H203" s="8">
        <v>6163</v>
      </c>
      <c r="I203" s="7">
        <v>15.75</v>
      </c>
      <c r="J203" s="6">
        <v>194499079</v>
      </c>
      <c r="K203" s="6">
        <f t="shared" si="7"/>
        <v>72791.571482035928</v>
      </c>
      <c r="L203" s="4">
        <v>2672</v>
      </c>
      <c r="M203" s="39">
        <f>VLOOKUP(Table2[[#This Row],[ROUTE]],DEMAND!A:F,5,FALSE)</f>
        <v>4155</v>
      </c>
      <c r="N203" s="39">
        <f>VLOOKUP(Table2[[#This Row],[ROUTE]],DEMAND!A:F,6,FALSE)</f>
        <v>195</v>
      </c>
      <c r="O203" s="39">
        <f>ROUNDDOWN(Table2[[#This Row],[R-DEMAND]]/1320,0)</f>
        <v>0</v>
      </c>
      <c r="P203" s="39">
        <f>Table2[[#This Row],[ADD ACC]]*Table2[[#This Row],[RT TIME (744)]]</f>
        <v>0</v>
      </c>
    </row>
    <row r="204" spans="1:16" ht="15" customHeight="1" x14ac:dyDescent="0.25">
      <c r="A204" s="1" t="str">
        <f t="shared" si="6"/>
        <v>MPM/MDE</v>
      </c>
      <c r="B204" s="4" t="s">
        <v>178</v>
      </c>
      <c r="C204" s="39" t="s">
        <v>2</v>
      </c>
      <c r="D204" s="39"/>
      <c r="E204" s="4" t="s">
        <v>177</v>
      </c>
      <c r="F204" s="4"/>
      <c r="G204" s="4" t="s">
        <v>176</v>
      </c>
      <c r="H204" s="8">
        <v>12108</v>
      </c>
      <c r="I204" s="7">
        <v>29</v>
      </c>
      <c r="J204" s="6">
        <v>238026400</v>
      </c>
      <c r="K204" s="6">
        <f t="shared" si="7"/>
        <v>99426.232247284875</v>
      </c>
      <c r="L204" s="4">
        <v>2394</v>
      </c>
      <c r="M204" s="39">
        <f>VLOOKUP(Table2[[#This Row],[ROUTE]],DEMAND!A:F,5,FALSE)</f>
        <v>3900</v>
      </c>
      <c r="N204" s="39">
        <f>VLOOKUP(Table2[[#This Row],[ROUTE]],DEMAND!A:F,6,FALSE)</f>
        <v>1260</v>
      </c>
      <c r="O204" s="39">
        <f>ROUNDDOWN(Table2[[#This Row],[R-DEMAND]]/1320,0)</f>
        <v>0</v>
      </c>
      <c r="P204" s="39">
        <f>Table2[[#This Row],[ADD ACC]]*Table2[[#This Row],[RT TIME (744)]]</f>
        <v>0</v>
      </c>
    </row>
    <row r="205" spans="1:16" ht="15" customHeight="1" x14ac:dyDescent="0.25">
      <c r="A205" s="1" t="str">
        <f t="shared" si="6"/>
        <v>MPM/MDL</v>
      </c>
      <c r="B205" s="4" t="s">
        <v>175</v>
      </c>
      <c r="C205" s="39" t="s">
        <v>2</v>
      </c>
      <c r="D205" s="39"/>
      <c r="E205" s="4" t="s">
        <v>112</v>
      </c>
      <c r="F205" s="4"/>
      <c r="G205" s="4" t="s">
        <v>174</v>
      </c>
      <c r="H205" s="8"/>
      <c r="I205" s="7">
        <v>21.25</v>
      </c>
      <c r="J205" s="6">
        <v>209041057</v>
      </c>
      <c r="K205" s="6">
        <f t="shared" si="7"/>
        <v>70957.588934147992</v>
      </c>
      <c r="L205" s="4">
        <v>2946</v>
      </c>
      <c r="M205" s="39">
        <f>VLOOKUP(Table2[[#This Row],[ROUTE]],DEMAND!A:F,5,FALSE)</f>
        <v>4875</v>
      </c>
      <c r="N205" s="39">
        <f>VLOOKUP(Table2[[#This Row],[ROUTE]],DEMAND!A:F,6,FALSE)</f>
        <v>915</v>
      </c>
      <c r="O205" s="39">
        <f>ROUNDDOWN(Table2[[#This Row],[R-DEMAND]]/1320,0)</f>
        <v>0</v>
      </c>
      <c r="P205" s="39">
        <f>Table2[[#This Row],[ADD ACC]]*Table2[[#This Row],[RT TIME (744)]]</f>
        <v>0</v>
      </c>
    </row>
    <row r="206" spans="1:16" ht="15" customHeight="1" x14ac:dyDescent="0.25">
      <c r="A206" s="38" t="str">
        <f t="shared" si="6"/>
        <v>MPM/MDZ</v>
      </c>
      <c r="B206" s="39" t="s">
        <v>4412</v>
      </c>
      <c r="C206" s="39" t="s">
        <v>2</v>
      </c>
      <c r="D206" s="39"/>
      <c r="E206" s="39" t="s">
        <v>311</v>
      </c>
      <c r="F206" s="39"/>
      <c r="G206" s="39" t="s">
        <v>11524</v>
      </c>
      <c r="H206" s="40"/>
      <c r="I206" s="41">
        <v>23</v>
      </c>
      <c r="J206" s="42">
        <v>212651778</v>
      </c>
      <c r="K206" s="42">
        <f t="shared" si="7"/>
        <v>64206.454710144928</v>
      </c>
      <c r="L206" s="43">
        <v>3312</v>
      </c>
      <c r="M206" s="39">
        <f>VLOOKUP(Table2[[#This Row],[ROUTE]],DEMAND!A:F,5,FALSE)</f>
        <v>3476</v>
      </c>
      <c r="N206" s="39">
        <f>VLOOKUP(Table2[[#This Row],[ROUTE]],DEMAND!A:F,6,FALSE)</f>
        <v>836</v>
      </c>
      <c r="O206" s="39">
        <f>ROUNDDOWN(Table2[[#This Row],[R-DEMAND]]/1320,0)</f>
        <v>0</v>
      </c>
      <c r="P206" s="39">
        <f>Table2[[#This Row],[ADD ACC]]*Table2[[#This Row],[RT TIME (744)]]</f>
        <v>0</v>
      </c>
    </row>
    <row r="207" spans="1:16" ht="15" customHeight="1" x14ac:dyDescent="0.25">
      <c r="A207" s="38" t="str">
        <f t="shared" si="6"/>
        <v>MPM/MEC</v>
      </c>
      <c r="B207" s="39" t="s">
        <v>3595</v>
      </c>
      <c r="C207" s="39" t="s">
        <v>2</v>
      </c>
      <c r="D207" s="39"/>
      <c r="E207" s="39" t="s">
        <v>11507</v>
      </c>
      <c r="F207" s="39"/>
      <c r="G207" s="39" t="s">
        <v>11510</v>
      </c>
      <c r="H207" s="40"/>
      <c r="I207" s="41">
        <v>29.25</v>
      </c>
      <c r="J207" s="42">
        <v>235453128</v>
      </c>
      <c r="K207" s="42">
        <f t="shared" si="7"/>
        <v>64525.384488901065</v>
      </c>
      <c r="L207" s="43">
        <v>3649</v>
      </c>
      <c r="M207" s="39">
        <f>VLOOKUP(Table2[[#This Row],[ROUTE]],DEMAND!A:F,5,FALSE)</f>
        <v>3831</v>
      </c>
      <c r="N207" s="39">
        <f>VLOOKUP(Table2[[#This Row],[ROUTE]],DEMAND!A:F,6,FALSE)</f>
        <v>1191</v>
      </c>
      <c r="O207" s="39">
        <f>ROUNDDOWN(Table2[[#This Row],[R-DEMAND]]/1320,0)</f>
        <v>0</v>
      </c>
      <c r="P207" s="39">
        <f>Table2[[#This Row],[ADD ACC]]*Table2[[#This Row],[RT TIME (744)]]</f>
        <v>0</v>
      </c>
    </row>
    <row r="208" spans="1:16" ht="15" customHeight="1" x14ac:dyDescent="0.25">
      <c r="A208" s="1" t="str">
        <f t="shared" si="6"/>
        <v>MPM/MED</v>
      </c>
      <c r="B208" s="10" t="s">
        <v>173</v>
      </c>
      <c r="C208" s="39" t="s">
        <v>2</v>
      </c>
      <c r="D208" s="39"/>
      <c r="E208" s="10" t="s">
        <v>172</v>
      </c>
      <c r="F208" s="10"/>
      <c r="G208" s="10" t="s">
        <v>171</v>
      </c>
      <c r="H208" s="8">
        <v>5666</v>
      </c>
      <c r="I208" s="7">
        <v>14.75</v>
      </c>
      <c r="J208" s="6">
        <v>212584189</v>
      </c>
      <c r="K208" s="6">
        <f t="shared" si="7"/>
        <v>44763.990103179618</v>
      </c>
      <c r="L208" s="4">
        <v>4749</v>
      </c>
      <c r="M208" s="39">
        <f>VLOOKUP(Table2[[#This Row],[ROUTE]],DEMAND!A:F,5,FALSE)</f>
        <v>5046</v>
      </c>
      <c r="N208" s="39">
        <f>VLOOKUP(Table2[[#This Row],[ROUTE]],DEMAND!A:F,6,FALSE)</f>
        <v>1086</v>
      </c>
      <c r="O208" s="39">
        <f>ROUNDDOWN(Table2[[#This Row],[R-DEMAND]]/1320,0)</f>
        <v>0</v>
      </c>
      <c r="P208" s="39">
        <f>Table2[[#This Row],[ADD ACC]]*Table2[[#This Row],[RT TIME (744)]]</f>
        <v>0</v>
      </c>
    </row>
    <row r="209" spans="1:16" ht="15" customHeight="1" x14ac:dyDescent="0.25">
      <c r="A209" s="1" t="str">
        <f t="shared" si="6"/>
        <v>MPM/MEL</v>
      </c>
      <c r="B209" s="4" t="s">
        <v>170</v>
      </c>
      <c r="C209" s="39" t="s">
        <v>2</v>
      </c>
      <c r="D209" s="39"/>
      <c r="E209" s="4" t="s">
        <v>70</v>
      </c>
      <c r="F209" s="4"/>
      <c r="G209" s="4" t="s">
        <v>169</v>
      </c>
      <c r="H209" s="8">
        <v>10027</v>
      </c>
      <c r="I209" s="7">
        <v>24.25</v>
      </c>
      <c r="J209" s="6">
        <v>259173281</v>
      </c>
      <c r="K209" s="6">
        <f t="shared" si="7"/>
        <v>94657.882030679335</v>
      </c>
      <c r="L209" s="4">
        <v>2738</v>
      </c>
      <c r="M209" s="39">
        <f>VLOOKUP(Table2[[#This Row],[ROUTE]],DEMAND!A:F,5,FALSE)</f>
        <v>4510</v>
      </c>
      <c r="N209" s="39">
        <f>VLOOKUP(Table2[[#This Row],[ROUTE]],DEMAND!A:F,6,FALSE)</f>
        <v>550</v>
      </c>
      <c r="O209" s="39">
        <f>ROUNDDOWN(Table2[[#This Row],[R-DEMAND]]/1320,0)</f>
        <v>0</v>
      </c>
      <c r="P209" s="39">
        <f>Table2[[#This Row],[ADD ACC]]*Table2[[#This Row],[RT TIME (744)]]</f>
        <v>0</v>
      </c>
    </row>
    <row r="210" spans="1:16" ht="15" customHeight="1" x14ac:dyDescent="0.25">
      <c r="A210" s="38" t="str">
        <f t="shared" si="6"/>
        <v>MPM/MHT</v>
      </c>
      <c r="B210" s="39" t="s">
        <v>5192</v>
      </c>
      <c r="C210" s="39" t="s">
        <v>2</v>
      </c>
      <c r="D210" s="39"/>
      <c r="E210" s="39" t="s">
        <v>11471</v>
      </c>
      <c r="F210" s="39"/>
      <c r="G210" s="39" t="s">
        <v>11472</v>
      </c>
      <c r="H210" s="40"/>
      <c r="I210" s="41">
        <v>31</v>
      </c>
      <c r="J210" s="42">
        <v>262157198</v>
      </c>
      <c r="K210" s="42">
        <f t="shared" si="7"/>
        <v>90492.646876078696</v>
      </c>
      <c r="L210" s="43">
        <v>2897</v>
      </c>
      <c r="M210" s="39">
        <f>VLOOKUP(Table2[[#This Row],[ROUTE]],DEMAND!A:F,5,FALSE)</f>
        <v>3041</v>
      </c>
      <c r="N210" s="39">
        <f>VLOOKUP(Table2[[#This Row],[ROUTE]],DEMAND!A:F,6,FALSE)</f>
        <v>401</v>
      </c>
      <c r="O210" s="39">
        <f>ROUNDDOWN(Table2[[#This Row],[R-DEMAND]]/1320,0)</f>
        <v>0</v>
      </c>
      <c r="P210" s="39">
        <f>Table2[[#This Row],[ADD ACC]]*Table2[[#This Row],[RT TIME (744)]]</f>
        <v>0</v>
      </c>
    </row>
    <row r="211" spans="1:16" ht="15" customHeight="1" x14ac:dyDescent="0.25">
      <c r="A211" s="38" t="str">
        <f t="shared" si="6"/>
        <v>MPM/MIA</v>
      </c>
      <c r="B211" s="39" t="s">
        <v>168</v>
      </c>
      <c r="C211" s="39" t="s">
        <v>2</v>
      </c>
      <c r="D211" s="39"/>
      <c r="E211" s="39" t="s">
        <v>11471</v>
      </c>
      <c r="F211" s="39"/>
      <c r="G211" s="39" t="s">
        <v>167</v>
      </c>
      <c r="H211" s="40"/>
      <c r="I211" s="41">
        <v>31.75</v>
      </c>
      <c r="J211" s="42">
        <v>298146571</v>
      </c>
      <c r="K211" s="42">
        <f t="shared" si="7"/>
        <v>73543.801430685737</v>
      </c>
      <c r="L211" s="43">
        <v>4054</v>
      </c>
      <c r="M211" s="39">
        <f>VLOOKUP(Table2[[#This Row],[ROUTE]],DEMAND!A:F,5,FALSE)</f>
        <v>4043</v>
      </c>
      <c r="N211" s="39">
        <f>VLOOKUP(Table2[[#This Row],[ROUTE]],DEMAND!A:F,6,FALSE)</f>
        <v>83</v>
      </c>
      <c r="O211" s="39">
        <f>ROUNDDOWN(Table2[[#This Row],[R-DEMAND]]/1320,0)</f>
        <v>0</v>
      </c>
      <c r="P211" s="39">
        <f>Table2[[#This Row],[ADD ACC]]*Table2[[#This Row],[RT TIME (744)]]</f>
        <v>0</v>
      </c>
    </row>
    <row r="212" spans="1:16" ht="15" customHeight="1" x14ac:dyDescent="0.25">
      <c r="A212" s="38" t="str">
        <f t="shared" si="6"/>
        <v>MPM/MLX</v>
      </c>
      <c r="B212" s="39" t="s">
        <v>4013</v>
      </c>
      <c r="C212" s="39" t="s">
        <v>2</v>
      </c>
      <c r="D212" s="39"/>
      <c r="E212" s="4" t="s">
        <v>251</v>
      </c>
      <c r="F212" s="39"/>
      <c r="G212" s="39" t="s">
        <v>11433</v>
      </c>
      <c r="H212" s="40">
        <v>7181</v>
      </c>
      <c r="I212" s="41">
        <v>18</v>
      </c>
      <c r="J212" s="42">
        <v>186763342</v>
      </c>
      <c r="K212" s="42">
        <f t="shared" si="7"/>
        <v>52653.888356357485</v>
      </c>
      <c r="L212" s="43">
        <v>3547</v>
      </c>
      <c r="M212" s="39">
        <f>VLOOKUP(Table2[[#This Row],[ROUTE]],DEMAND!A:F,5,FALSE)</f>
        <v>3592</v>
      </c>
      <c r="N212" s="39">
        <f>VLOOKUP(Table2[[#This Row],[ROUTE]],DEMAND!A:F,6,FALSE)</f>
        <v>952</v>
      </c>
      <c r="O212" s="39">
        <f>ROUNDDOWN(Table2[[#This Row],[R-DEMAND]]/1320,0)</f>
        <v>0</v>
      </c>
      <c r="P212" s="39">
        <f>Table2[[#This Row],[ADD ACC]]*Table2[[#This Row],[RT TIME (744)]]</f>
        <v>0</v>
      </c>
    </row>
    <row r="213" spans="1:16" ht="15" customHeight="1" x14ac:dyDescent="0.25">
      <c r="A213" s="1" t="str">
        <f t="shared" si="6"/>
        <v>MPM/MNL</v>
      </c>
      <c r="B213" s="4" t="s">
        <v>166</v>
      </c>
      <c r="C213" s="39" t="s">
        <v>2</v>
      </c>
      <c r="D213" s="39"/>
      <c r="E213" s="4" t="s">
        <v>165</v>
      </c>
      <c r="F213" s="4"/>
      <c r="G213" s="4" t="s">
        <v>164</v>
      </c>
      <c r="H213" s="8">
        <v>10558</v>
      </c>
      <c r="I213" s="7">
        <v>25.5</v>
      </c>
      <c r="J213" s="6">
        <v>251733022</v>
      </c>
      <c r="K213" s="6">
        <f t="shared" si="7"/>
        <v>70751.27093872962</v>
      </c>
      <c r="L213" s="5">
        <v>3558</v>
      </c>
      <c r="M213" s="39">
        <f>VLOOKUP(Table2[[#This Row],[ROUTE]],DEMAND!A:F,5,FALSE)</f>
        <v>6132</v>
      </c>
      <c r="N213" s="39">
        <f>VLOOKUP(Table2[[#This Row],[ROUTE]],DEMAND!A:F,6,FALSE)</f>
        <v>852</v>
      </c>
      <c r="O213" s="39">
        <f>ROUNDDOWN(Table2[[#This Row],[R-DEMAND]]/1320,0)</f>
        <v>0</v>
      </c>
      <c r="P213" s="39">
        <f>Table2[[#This Row],[ADD ACC]]*Table2[[#This Row],[RT TIME (744)]]</f>
        <v>0</v>
      </c>
    </row>
    <row r="214" spans="1:16" ht="15" customHeight="1" x14ac:dyDescent="0.25">
      <c r="A214" s="1" t="str">
        <f t="shared" si="6"/>
        <v>MPM/MQP</v>
      </c>
      <c r="B214" s="4" t="s">
        <v>163</v>
      </c>
      <c r="C214" s="39" t="s">
        <v>11122</v>
      </c>
      <c r="D214" s="39"/>
      <c r="E214" s="4" t="s">
        <v>162</v>
      </c>
      <c r="F214" s="4"/>
      <c r="G214" s="4" t="s">
        <v>161</v>
      </c>
      <c r="H214" s="8">
        <v>158</v>
      </c>
      <c r="I214" s="7">
        <v>2.5</v>
      </c>
      <c r="J214" s="6">
        <v>112081855</v>
      </c>
      <c r="K214" s="6">
        <f t="shared" si="7"/>
        <v>61414.715068493148</v>
      </c>
      <c r="L214" s="4">
        <v>1825</v>
      </c>
      <c r="M214" s="39" t="e">
        <f>VLOOKUP(Table2[[#This Row],[ROUTE]],DEMAND!A:F,5,FALSE)</f>
        <v>#N/A</v>
      </c>
      <c r="N214" s="39" t="e">
        <f>VLOOKUP(Table2[[#This Row],[ROUTE]],DEMAND!A:F,6,FALSE)</f>
        <v>#N/A</v>
      </c>
      <c r="O214" s="39" t="e">
        <f>ROUNDDOWN(Table2[[#This Row],[R-DEMAND]]/1320,0)</f>
        <v>#N/A</v>
      </c>
      <c r="P214" s="39" t="e">
        <f>Table2[[#This Row],[ADD ACC]]*Table2[[#This Row],[RT TIME (744)]]</f>
        <v>#N/A</v>
      </c>
    </row>
    <row r="215" spans="1:16" ht="15" customHeight="1" x14ac:dyDescent="0.25">
      <c r="A215" s="1" t="str">
        <f t="shared" si="6"/>
        <v>MPM/MRU</v>
      </c>
      <c r="B215" s="4" t="s">
        <v>160</v>
      </c>
      <c r="C215" s="39" t="s">
        <v>2</v>
      </c>
      <c r="D215" s="39"/>
      <c r="E215" s="4" t="s">
        <v>159</v>
      </c>
      <c r="F215" s="4"/>
      <c r="G215" s="4" t="s">
        <v>158</v>
      </c>
      <c r="H215" s="8">
        <v>2634</v>
      </c>
      <c r="I215" s="7">
        <v>8</v>
      </c>
      <c r="J215" s="6">
        <v>201334719</v>
      </c>
      <c r="K215" s="6">
        <f t="shared" si="7"/>
        <v>57246.152686949106</v>
      </c>
      <c r="L215" s="4">
        <v>3517</v>
      </c>
      <c r="M215" s="39">
        <f>VLOOKUP(Table2[[#This Row],[ROUTE]],DEMAND!A:F,5,FALSE)</f>
        <v>4499</v>
      </c>
      <c r="N215" s="39">
        <f>VLOOKUP(Table2[[#This Row],[ROUTE]],DEMAND!A:F,6,FALSE)</f>
        <v>539</v>
      </c>
      <c r="O215" s="39">
        <f>ROUNDDOWN(Table2[[#This Row],[R-DEMAND]]/1320,0)</f>
        <v>0</v>
      </c>
      <c r="P215" s="39">
        <f>Table2[[#This Row],[ADD ACC]]*Table2[[#This Row],[RT TIME (744)]]</f>
        <v>0</v>
      </c>
    </row>
    <row r="216" spans="1:16" ht="15" customHeight="1" x14ac:dyDescent="0.25">
      <c r="A216" s="1" t="str">
        <f t="shared" si="6"/>
        <v>MPM/MUC</v>
      </c>
      <c r="B216" s="4" t="s">
        <v>157</v>
      </c>
      <c r="C216" s="39" t="s">
        <v>2</v>
      </c>
      <c r="D216" s="39"/>
      <c r="E216" s="4" t="s">
        <v>156</v>
      </c>
      <c r="F216" s="4"/>
      <c r="G216" s="4" t="s">
        <v>155</v>
      </c>
      <c r="H216" s="8">
        <v>8517</v>
      </c>
      <c r="I216" s="7">
        <v>21</v>
      </c>
      <c r="J216" s="6">
        <v>247830832</v>
      </c>
      <c r="K216" s="6">
        <f t="shared" si="7"/>
        <v>86022.503297466159</v>
      </c>
      <c r="L216" s="4">
        <v>2881</v>
      </c>
      <c r="M216" s="39">
        <f>VLOOKUP(Table2[[#This Row],[ROUTE]],DEMAND!A:F,5,FALSE)</f>
        <v>4547</v>
      </c>
      <c r="N216" s="39">
        <f>VLOOKUP(Table2[[#This Row],[ROUTE]],DEMAND!A:F,6,FALSE)</f>
        <v>587</v>
      </c>
      <c r="O216" s="39">
        <f>ROUNDDOWN(Table2[[#This Row],[R-DEMAND]]/1320,0)</f>
        <v>0</v>
      </c>
      <c r="P216" s="39">
        <f>Table2[[#This Row],[ADD ACC]]*Table2[[#This Row],[RT TIME (744)]]</f>
        <v>0</v>
      </c>
    </row>
    <row r="217" spans="1:16" ht="15" customHeight="1" x14ac:dyDescent="0.25">
      <c r="A217" s="38" t="str">
        <f t="shared" si="6"/>
        <v>MPM/MVD</v>
      </c>
      <c r="B217" s="39" t="s">
        <v>4752</v>
      </c>
      <c r="C217" s="39" t="s">
        <v>2</v>
      </c>
      <c r="D217" s="39"/>
      <c r="E217" s="39" t="s">
        <v>11528</v>
      </c>
      <c r="F217" s="39"/>
      <c r="G217" s="39" t="s">
        <v>11527</v>
      </c>
      <c r="H217" s="40"/>
      <c r="I217" s="41">
        <v>20.5</v>
      </c>
      <c r="J217" s="42">
        <v>204706525</v>
      </c>
      <c r="K217" s="42">
        <f t="shared" si="7"/>
        <v>59386.865390194369</v>
      </c>
      <c r="L217" s="43">
        <v>3447</v>
      </c>
      <c r="M217" s="39">
        <f>VLOOKUP(Table2[[#This Row],[ROUTE]],DEMAND!A:F,5,FALSE)</f>
        <v>3617</v>
      </c>
      <c r="N217" s="39">
        <f>VLOOKUP(Table2[[#This Row],[ROUTE]],DEMAND!A:F,6,FALSE)</f>
        <v>977</v>
      </c>
      <c r="O217" s="39">
        <f>ROUNDDOWN(Table2[[#This Row],[R-DEMAND]]/1320,0)</f>
        <v>0</v>
      </c>
      <c r="P217" s="39">
        <f>Table2[[#This Row],[ADD ACC]]*Table2[[#This Row],[RT TIME (744)]]</f>
        <v>0</v>
      </c>
    </row>
    <row r="218" spans="1:16" ht="15" customHeight="1" x14ac:dyDescent="0.25">
      <c r="A218" s="1" t="str">
        <f t="shared" si="6"/>
        <v>MPM/MWX</v>
      </c>
      <c r="B218" s="39" t="s">
        <v>2253</v>
      </c>
      <c r="C218" s="39" t="s">
        <v>11122</v>
      </c>
      <c r="D218" s="39"/>
      <c r="E218" s="10" t="s">
        <v>258</v>
      </c>
      <c r="F218" s="39"/>
      <c r="G218" s="39" t="s">
        <v>11140</v>
      </c>
      <c r="H218" s="40">
        <v>11949</v>
      </c>
      <c r="I218" s="41">
        <v>28.5</v>
      </c>
      <c r="J218" s="42">
        <v>224897929</v>
      </c>
      <c r="K218" s="42">
        <f t="shared" si="7"/>
        <v>86200.816021464168</v>
      </c>
      <c r="L218" s="43">
        <v>2609</v>
      </c>
      <c r="M218" s="39" t="e">
        <f>VLOOKUP(Table2[[#This Row],[ROUTE]],DEMAND!A:F,5,FALSE)</f>
        <v>#N/A</v>
      </c>
      <c r="N218" s="39" t="e">
        <f>VLOOKUP(Table2[[#This Row],[ROUTE]],DEMAND!A:F,6,FALSE)</f>
        <v>#N/A</v>
      </c>
      <c r="O218" s="39" t="e">
        <f>ROUNDDOWN(Table2[[#This Row],[R-DEMAND]]/1320,0)</f>
        <v>#N/A</v>
      </c>
      <c r="P218" s="39" t="e">
        <f>Table2[[#This Row],[ADD ACC]]*Table2[[#This Row],[RT TIME (744)]]</f>
        <v>#N/A</v>
      </c>
    </row>
    <row r="219" spans="1:16" ht="15" customHeight="1" x14ac:dyDescent="0.25">
      <c r="A219" s="1" t="str">
        <f t="shared" si="6"/>
        <v>MPM/MXP</v>
      </c>
      <c r="B219" s="39" t="s">
        <v>5672</v>
      </c>
      <c r="C219" s="39" t="s">
        <v>2</v>
      </c>
      <c r="D219" s="39"/>
      <c r="E219" s="39" t="s">
        <v>308</v>
      </c>
      <c r="F219" s="39"/>
      <c r="G219" s="39" t="s">
        <v>11124</v>
      </c>
      <c r="H219" s="40">
        <v>8315</v>
      </c>
      <c r="I219" s="41">
        <v>20.5</v>
      </c>
      <c r="J219" s="42">
        <v>235941084</v>
      </c>
      <c r="K219" s="42">
        <f t="shared" si="7"/>
        <v>61491.030492572325</v>
      </c>
      <c r="L219" s="43">
        <v>3837</v>
      </c>
      <c r="M219" s="39">
        <f>VLOOKUP(Table2[[#This Row],[ROUTE]],DEMAND!A:F,5,FALSE)</f>
        <v>4079</v>
      </c>
      <c r="N219" s="39">
        <f>VLOOKUP(Table2[[#This Row],[ROUTE]],DEMAND!A:F,6,FALSE)</f>
        <v>119</v>
      </c>
      <c r="O219" s="39">
        <f>ROUNDDOWN(Table2[[#This Row],[R-DEMAND]]/1320,0)</f>
        <v>0</v>
      </c>
      <c r="P219" s="39">
        <f>Table2[[#This Row],[ADD ACC]]*Table2[[#This Row],[RT TIME (744)]]</f>
        <v>0</v>
      </c>
    </row>
    <row r="220" spans="1:16" ht="15" customHeight="1" x14ac:dyDescent="0.25">
      <c r="A220" s="1" t="str">
        <f t="shared" si="6"/>
        <v>MPM/NAG</v>
      </c>
      <c r="B220" s="4" t="s">
        <v>154</v>
      </c>
      <c r="C220" s="39" t="s">
        <v>2</v>
      </c>
      <c r="D220" s="39"/>
      <c r="E220" s="4" t="s">
        <v>23</v>
      </c>
      <c r="F220" s="4"/>
      <c r="G220" s="4" t="s">
        <v>153</v>
      </c>
      <c r="H220" s="8">
        <v>7243</v>
      </c>
      <c r="I220" s="7">
        <v>18.25</v>
      </c>
      <c r="J220" s="6">
        <v>194756547</v>
      </c>
      <c r="K220" s="6">
        <f t="shared" si="7"/>
        <v>68842.893955461288</v>
      </c>
      <c r="L220" s="4">
        <v>2829</v>
      </c>
      <c r="M220" s="39">
        <f>VLOOKUP(Table2[[#This Row],[ROUTE]],DEMAND!A:F,5,FALSE)</f>
        <v>4597</v>
      </c>
      <c r="N220" s="39">
        <f>VLOOKUP(Table2[[#This Row],[ROUTE]],DEMAND!A:F,6,FALSE)</f>
        <v>637</v>
      </c>
      <c r="O220" s="39">
        <f>ROUNDDOWN(Table2[[#This Row],[R-DEMAND]]/1320,0)</f>
        <v>0</v>
      </c>
      <c r="P220" s="39">
        <f>Table2[[#This Row],[ADD ACC]]*Table2[[#This Row],[RT TIME (744)]]</f>
        <v>0</v>
      </c>
    </row>
    <row r="221" spans="1:16" ht="15" customHeight="1" x14ac:dyDescent="0.25">
      <c r="A221" s="38" t="str">
        <f t="shared" si="6"/>
        <v>MPM/NAJ</v>
      </c>
      <c r="B221" s="39" t="s">
        <v>1379</v>
      </c>
      <c r="C221" s="39" t="s">
        <v>2</v>
      </c>
      <c r="D221" s="39"/>
      <c r="E221" s="39" t="s">
        <v>11155</v>
      </c>
      <c r="F221" s="39"/>
      <c r="G221" s="39" t="s">
        <v>11157</v>
      </c>
      <c r="H221" s="40">
        <v>7364</v>
      </c>
      <c r="I221" s="41">
        <v>18.5</v>
      </c>
      <c r="J221" s="42">
        <v>175151242</v>
      </c>
      <c r="K221" s="42">
        <f t="shared" si="7"/>
        <v>66673.483821850023</v>
      </c>
      <c r="L221" s="105">
        <v>2627</v>
      </c>
      <c r="M221" s="39">
        <f>VLOOKUP(Table2[[#This Row],[ROUTE]],DEMAND!A:F,5,FALSE)</f>
        <v>2792</v>
      </c>
      <c r="N221" s="39">
        <f>VLOOKUP(Table2[[#This Row],[ROUTE]],DEMAND!A:F,6,FALSE)</f>
        <v>152</v>
      </c>
      <c r="O221" s="39">
        <f>ROUNDDOWN(Table2[[#This Row],[R-DEMAND]]/1320,0)</f>
        <v>0</v>
      </c>
      <c r="P221" s="39">
        <f>Table2[[#This Row],[ADD ACC]]*Table2[[#This Row],[RT TIME (744)]]</f>
        <v>0</v>
      </c>
    </row>
    <row r="222" spans="1:16" ht="15" customHeight="1" x14ac:dyDescent="0.25">
      <c r="A222" s="38" t="str">
        <f t="shared" si="6"/>
        <v>MPM/NAS</v>
      </c>
      <c r="B222" s="39" t="s">
        <v>5179</v>
      </c>
      <c r="C222" s="39" t="s">
        <v>2</v>
      </c>
      <c r="D222" s="39"/>
      <c r="E222" s="39" t="s">
        <v>11490</v>
      </c>
      <c r="F222" s="39"/>
      <c r="G222" s="39" t="s">
        <v>11491</v>
      </c>
      <c r="H222" s="40"/>
      <c r="I222" s="41">
        <v>31</v>
      </c>
      <c r="J222" s="42">
        <v>260327500</v>
      </c>
      <c r="K222" s="42">
        <f t="shared" si="7"/>
        <v>70225.923927704338</v>
      </c>
      <c r="L222" s="43">
        <v>3707</v>
      </c>
      <c r="M222" s="39">
        <f>VLOOKUP(Table2[[#This Row],[ROUTE]],DEMAND!A:F,5,FALSE)</f>
        <v>3892</v>
      </c>
      <c r="N222" s="39">
        <f>VLOOKUP(Table2[[#This Row],[ROUTE]],DEMAND!A:F,6,FALSE)</f>
        <v>1252</v>
      </c>
      <c r="O222" s="39">
        <f>ROUNDDOWN(Table2[[#This Row],[R-DEMAND]]/1320,0)</f>
        <v>0</v>
      </c>
      <c r="P222" s="39">
        <f>Table2[[#This Row],[ADD ACC]]*Table2[[#This Row],[RT TIME (744)]]</f>
        <v>0</v>
      </c>
    </row>
    <row r="223" spans="1:16" ht="15" customHeight="1" x14ac:dyDescent="0.25">
      <c r="A223" s="1" t="str">
        <f t="shared" si="6"/>
        <v>MPM/NBO</v>
      </c>
      <c r="B223" s="4" t="s">
        <v>152</v>
      </c>
      <c r="C223" s="39" t="s">
        <v>2</v>
      </c>
      <c r="D223" s="39"/>
      <c r="E223" s="4" t="s">
        <v>151</v>
      </c>
      <c r="F223" s="4"/>
      <c r="G223" s="4" t="s">
        <v>150</v>
      </c>
      <c r="H223" s="8">
        <v>2775</v>
      </c>
      <c r="I223" s="7">
        <v>8.25</v>
      </c>
      <c r="J223" s="6">
        <v>164476124</v>
      </c>
      <c r="K223" s="6">
        <f t="shared" si="7"/>
        <v>38984.622896420951</v>
      </c>
      <c r="L223" s="48">
        <v>4219</v>
      </c>
      <c r="M223" s="39">
        <f>VLOOKUP(Table2[[#This Row],[ROUTE]],DEMAND!A:F,5,FALSE)</f>
        <v>6719</v>
      </c>
      <c r="N223" s="39">
        <f>VLOOKUP(Table2[[#This Row],[ROUTE]],DEMAND!A:F,6,FALSE)</f>
        <v>119</v>
      </c>
      <c r="O223" s="39">
        <f>ROUNDDOWN(Table2[[#This Row],[R-DEMAND]]/1320,0)</f>
        <v>0</v>
      </c>
      <c r="P223" s="39">
        <f>Table2[[#This Row],[ADD ACC]]*Table2[[#This Row],[RT TIME (744)]]</f>
        <v>0</v>
      </c>
    </row>
    <row r="224" spans="1:16" ht="15" customHeight="1" x14ac:dyDescent="0.25">
      <c r="A224" s="1" t="str">
        <f t="shared" si="6"/>
        <v>MPM/NGO</v>
      </c>
      <c r="B224" s="4" t="s">
        <v>149</v>
      </c>
      <c r="C224" s="39" t="s">
        <v>2</v>
      </c>
      <c r="D224" s="39"/>
      <c r="E224" s="10" t="s">
        <v>142</v>
      </c>
      <c r="F224" s="4"/>
      <c r="G224" s="4" t="s">
        <v>148</v>
      </c>
      <c r="H224" s="8"/>
      <c r="I224" s="7">
        <v>30.5</v>
      </c>
      <c r="J224" s="6">
        <v>274955720</v>
      </c>
      <c r="K224" s="6">
        <f t="shared" si="7"/>
        <v>67424.15890142227</v>
      </c>
      <c r="L224" s="4">
        <v>4078</v>
      </c>
      <c r="M224" s="39">
        <f>VLOOKUP(Table2[[#This Row],[ROUTE]],DEMAND!A:F,5,FALSE)</f>
        <v>4569</v>
      </c>
      <c r="N224" s="39">
        <f>VLOOKUP(Table2[[#This Row],[ROUTE]],DEMAND!A:F,6,FALSE)</f>
        <v>609</v>
      </c>
      <c r="O224" s="39">
        <f>ROUNDDOWN(Table2[[#This Row],[R-DEMAND]]/1320,0)</f>
        <v>0</v>
      </c>
      <c r="P224" s="39">
        <f>Table2[[#This Row],[ADD ACC]]*Table2[[#This Row],[RT TIME (744)]]</f>
        <v>0</v>
      </c>
    </row>
    <row r="225" spans="1:16" ht="15" customHeight="1" x14ac:dyDescent="0.25">
      <c r="A225" s="1" t="str">
        <f t="shared" si="6"/>
        <v>MPM/NKG</v>
      </c>
      <c r="B225" s="10" t="s">
        <v>147</v>
      </c>
      <c r="C225" s="39" t="s">
        <v>2</v>
      </c>
      <c r="D225" s="39"/>
      <c r="E225" s="10" t="s">
        <v>14</v>
      </c>
      <c r="F225" s="10"/>
      <c r="G225" s="10" t="s">
        <v>146</v>
      </c>
      <c r="H225" s="8">
        <v>11174</v>
      </c>
      <c r="I225" s="7">
        <v>26.75</v>
      </c>
      <c r="J225" s="6">
        <v>255429349</v>
      </c>
      <c r="K225" s="6">
        <f t="shared" si="7"/>
        <v>56150.659265772694</v>
      </c>
      <c r="L225" s="4">
        <v>4549</v>
      </c>
      <c r="M225" s="39">
        <f>VLOOKUP(Table2[[#This Row],[ROUTE]],DEMAND!A:F,5,FALSE)</f>
        <v>5400</v>
      </c>
      <c r="N225" s="39">
        <f>VLOOKUP(Table2[[#This Row],[ROUTE]],DEMAND!A:F,6,FALSE)</f>
        <v>120</v>
      </c>
      <c r="O225" s="39">
        <f>ROUNDDOWN(Table2[[#This Row],[R-DEMAND]]/1320,0)</f>
        <v>0</v>
      </c>
      <c r="P225" s="39">
        <f>Table2[[#This Row],[ADD ACC]]*Table2[[#This Row],[RT TIME (744)]]</f>
        <v>0</v>
      </c>
    </row>
    <row r="226" spans="1:16" ht="15" customHeight="1" x14ac:dyDescent="0.25">
      <c r="A226" s="1" t="str">
        <f t="shared" si="6"/>
        <v>MPM/NRT</v>
      </c>
      <c r="B226" s="10" t="s">
        <v>145</v>
      </c>
      <c r="C226" s="39" t="s">
        <v>2</v>
      </c>
      <c r="D226" s="39"/>
      <c r="E226" s="10" t="s">
        <v>142</v>
      </c>
      <c r="F226" s="10"/>
      <c r="G226" s="10" t="s">
        <v>144</v>
      </c>
      <c r="H226" s="8"/>
      <c r="I226" s="7">
        <v>31.25</v>
      </c>
      <c r="J226" s="6">
        <v>294055735</v>
      </c>
      <c r="K226" s="6">
        <f t="shared" si="7"/>
        <v>59393.200363562915</v>
      </c>
      <c r="L226" s="4">
        <v>4951</v>
      </c>
      <c r="M226" s="39">
        <f>VLOOKUP(Table2[[#This Row],[ROUTE]],DEMAND!A:F,5,FALSE)</f>
        <v>5317</v>
      </c>
      <c r="N226" s="39">
        <f>VLOOKUP(Table2[[#This Row],[ROUTE]],DEMAND!A:F,6,FALSE)</f>
        <v>37</v>
      </c>
      <c r="O226" s="39">
        <f>ROUNDDOWN(Table2[[#This Row],[R-DEMAND]]/1320,0)</f>
        <v>0</v>
      </c>
      <c r="P226" s="39">
        <f>Table2[[#This Row],[ADD ACC]]*Table2[[#This Row],[RT TIME (744)]]</f>
        <v>0</v>
      </c>
    </row>
    <row r="227" spans="1:16" ht="15" customHeight="1" x14ac:dyDescent="0.25">
      <c r="A227" s="1" t="str">
        <f t="shared" si="6"/>
        <v>MPM/OKA</v>
      </c>
      <c r="B227" s="4" t="s">
        <v>143</v>
      </c>
      <c r="C227" s="39" t="s">
        <v>2</v>
      </c>
      <c r="D227" s="39"/>
      <c r="E227" s="10" t="s">
        <v>142</v>
      </c>
      <c r="F227" s="4"/>
      <c r="G227" s="4" t="s">
        <v>141</v>
      </c>
      <c r="H227" s="8"/>
      <c r="I227" s="7">
        <v>28</v>
      </c>
      <c r="J227" s="6">
        <v>265572964</v>
      </c>
      <c r="K227" s="6">
        <f t="shared" si="7"/>
        <v>63625.530426449448</v>
      </c>
      <c r="L227" s="4">
        <v>4174</v>
      </c>
      <c r="M227" s="39">
        <f>VLOOKUP(Table2[[#This Row],[ROUTE]],DEMAND!A:F,5,FALSE)</f>
        <v>4677</v>
      </c>
      <c r="N227" s="39">
        <f>VLOOKUP(Table2[[#This Row],[ROUTE]],DEMAND!A:F,6,FALSE)</f>
        <v>717</v>
      </c>
      <c r="O227" s="39">
        <f>ROUNDDOWN(Table2[[#This Row],[R-DEMAND]]/1320,0)</f>
        <v>0</v>
      </c>
      <c r="P227" s="39">
        <f>Table2[[#This Row],[ADD ACC]]*Table2[[#This Row],[RT TIME (744)]]</f>
        <v>0</v>
      </c>
    </row>
    <row r="228" spans="1:16" ht="15" customHeight="1" x14ac:dyDescent="0.25">
      <c r="A228" s="38" t="str">
        <f t="shared" si="6"/>
        <v>MPM/OPO</v>
      </c>
      <c r="B228" s="39" t="s">
        <v>5321</v>
      </c>
      <c r="C228" s="39" t="s">
        <v>2</v>
      </c>
      <c r="D228" s="39"/>
      <c r="E228" s="39" t="s">
        <v>192</v>
      </c>
      <c r="F228" s="39"/>
      <c r="G228" s="39" t="s">
        <v>11538</v>
      </c>
      <c r="H228" s="40"/>
      <c r="I228" s="41">
        <v>21.25</v>
      </c>
      <c r="J228" s="42">
        <v>219802618</v>
      </c>
      <c r="K228" s="42">
        <f t="shared" si="7"/>
        <v>60071.773162066136</v>
      </c>
      <c r="L228" s="43">
        <v>3659</v>
      </c>
      <c r="M228" s="39">
        <f>VLOOKUP(Table2[[#This Row],[ROUTE]],DEMAND!A:F,5,FALSE)</f>
        <v>3838</v>
      </c>
      <c r="N228" s="39">
        <f>VLOOKUP(Table2[[#This Row],[ROUTE]],DEMAND!A:F,6,FALSE)</f>
        <v>1198</v>
      </c>
      <c r="O228" s="39">
        <f>ROUNDDOWN(Table2[[#This Row],[R-DEMAND]]/1320,0)</f>
        <v>0</v>
      </c>
      <c r="P228" s="39">
        <f>Table2[[#This Row],[ADD ACC]]*Table2[[#This Row],[RT TIME (744)]]</f>
        <v>0</v>
      </c>
    </row>
    <row r="229" spans="1:16" ht="15" customHeight="1" x14ac:dyDescent="0.25">
      <c r="A229" s="1" t="str">
        <f t="shared" si="6"/>
        <v>MPM/OSL</v>
      </c>
      <c r="B229" s="4" t="s">
        <v>140</v>
      </c>
      <c r="C229" s="39" t="s">
        <v>2</v>
      </c>
      <c r="D229" s="39"/>
      <c r="E229" s="4" t="s">
        <v>139</v>
      </c>
      <c r="F229" s="4"/>
      <c r="G229" s="4" t="s">
        <v>138</v>
      </c>
      <c r="H229" s="8">
        <v>9776</v>
      </c>
      <c r="I229" s="7">
        <v>23.75</v>
      </c>
      <c r="J229" s="6">
        <v>250608824</v>
      </c>
      <c r="K229" s="6">
        <f t="shared" si="7"/>
        <v>83093.111405835545</v>
      </c>
      <c r="L229" s="5">
        <v>3016</v>
      </c>
      <c r="M229" s="39">
        <f>VLOOKUP(Table2[[#This Row],[ROUTE]],DEMAND!A:F,5,FALSE)</f>
        <v>4760</v>
      </c>
      <c r="N229" s="39">
        <f>VLOOKUP(Table2[[#This Row],[ROUTE]],DEMAND!A:F,6,FALSE)</f>
        <v>800</v>
      </c>
      <c r="O229" s="39">
        <f>ROUNDDOWN(Table2[[#This Row],[R-DEMAND]]/1320,0)</f>
        <v>0</v>
      </c>
      <c r="P229" s="39">
        <f>Table2[[#This Row],[ADD ACC]]*Table2[[#This Row],[RT TIME (744)]]</f>
        <v>0</v>
      </c>
    </row>
    <row r="230" spans="1:16" ht="15" customHeight="1" x14ac:dyDescent="0.25">
      <c r="A230" s="1" t="str">
        <f t="shared" si="6"/>
        <v>MPM/PAP</v>
      </c>
      <c r="B230" s="3" t="s">
        <v>137</v>
      </c>
      <c r="C230" s="39" t="s">
        <v>2</v>
      </c>
      <c r="D230" s="39"/>
      <c r="E230" s="4" t="s">
        <v>136</v>
      </c>
      <c r="F230" s="4"/>
      <c r="G230" s="4" t="s">
        <v>135</v>
      </c>
      <c r="H230" s="8">
        <v>12343</v>
      </c>
      <c r="I230" s="7">
        <v>29.5</v>
      </c>
      <c r="J230" s="6">
        <v>262461509</v>
      </c>
      <c r="K230" s="6">
        <f t="shared" si="7"/>
        <v>44926.653372132831</v>
      </c>
      <c r="L230" s="4">
        <v>5842</v>
      </c>
      <c r="M230" s="39">
        <f>VLOOKUP(Table2[[#This Row],[ROUTE]],DEMAND!A:F,5,FALSE)</f>
        <v>6670</v>
      </c>
      <c r="N230" s="39">
        <f>VLOOKUP(Table2[[#This Row],[ROUTE]],DEMAND!A:F,6,FALSE)</f>
        <v>70</v>
      </c>
      <c r="O230" s="39">
        <f>ROUNDDOWN(Table2[[#This Row],[R-DEMAND]]/1320,0)</f>
        <v>0</v>
      </c>
      <c r="P230" s="39">
        <f>Table2[[#This Row],[ADD ACC]]*Table2[[#This Row],[RT TIME (744)]]</f>
        <v>0</v>
      </c>
    </row>
    <row r="231" spans="1:16" ht="15" customHeight="1" x14ac:dyDescent="0.25">
      <c r="A231" s="1" t="str">
        <f t="shared" ref="A231:A288" si="8">CONCATENATE("MPM/",B231)</f>
        <v>MPM/PBG</v>
      </c>
      <c r="B231" s="4" t="s">
        <v>134</v>
      </c>
      <c r="C231" s="39" t="s">
        <v>11122</v>
      </c>
      <c r="D231" s="39"/>
      <c r="E231" s="39" t="s">
        <v>11471</v>
      </c>
      <c r="F231" s="4"/>
      <c r="G231" s="4" t="s">
        <v>133</v>
      </c>
      <c r="H231" s="8"/>
      <c r="I231" s="7">
        <v>31.5</v>
      </c>
      <c r="J231" s="6">
        <v>242858506</v>
      </c>
      <c r="K231" s="6">
        <f t="shared" si="7"/>
        <v>106190.86401399213</v>
      </c>
      <c r="L231" s="4">
        <v>2287</v>
      </c>
      <c r="M231" s="39" t="e">
        <f>VLOOKUP(Table2[[#This Row],[ROUTE]],DEMAND!A:F,5,FALSE)</f>
        <v>#N/A</v>
      </c>
      <c r="N231" s="39" t="e">
        <f>VLOOKUP(Table2[[#This Row],[ROUTE]],DEMAND!A:F,6,FALSE)</f>
        <v>#N/A</v>
      </c>
      <c r="O231" s="39" t="e">
        <f>ROUNDDOWN(Table2[[#This Row],[R-DEMAND]]/1320,0)</f>
        <v>#N/A</v>
      </c>
      <c r="P231" s="39" t="e">
        <f>Table2[[#This Row],[ADD ACC]]*Table2[[#This Row],[RT TIME (744)]]</f>
        <v>#N/A</v>
      </c>
    </row>
    <row r="232" spans="1:16" ht="15" customHeight="1" x14ac:dyDescent="0.25">
      <c r="A232" s="1" t="str">
        <f t="shared" si="8"/>
        <v>MPM/PBI</v>
      </c>
      <c r="B232" s="4" t="s">
        <v>132</v>
      </c>
      <c r="C232" s="39" t="s">
        <v>2</v>
      </c>
      <c r="D232" s="39"/>
      <c r="E232" s="39" t="s">
        <v>11471</v>
      </c>
      <c r="F232" s="4"/>
      <c r="G232" s="4" t="s">
        <v>131</v>
      </c>
      <c r="H232" s="8"/>
      <c r="I232" s="7">
        <v>31.75</v>
      </c>
      <c r="J232" s="6">
        <v>272417264</v>
      </c>
      <c r="K232" s="6">
        <f t="shared" si="7"/>
        <v>88075.416747494339</v>
      </c>
      <c r="L232" s="4">
        <v>3093</v>
      </c>
      <c r="M232" s="39">
        <f>VLOOKUP(Table2[[#This Row],[ROUTE]],DEMAND!A:F,5,FALSE)</f>
        <v>3248</v>
      </c>
      <c r="N232" s="39">
        <f>VLOOKUP(Table2[[#This Row],[ROUTE]],DEMAND!A:F,6,FALSE)</f>
        <v>608</v>
      </c>
      <c r="O232" s="39">
        <f>ROUNDDOWN(Table2[[#This Row],[R-DEMAND]]/1320,0)</f>
        <v>0</v>
      </c>
      <c r="P232" s="39">
        <f>Table2[[#This Row],[ADD ACC]]*Table2[[#This Row],[RT TIME (744)]]</f>
        <v>0</v>
      </c>
    </row>
    <row r="233" spans="1:16" ht="15" customHeight="1" x14ac:dyDescent="0.25">
      <c r="A233" s="38" t="str">
        <f t="shared" si="8"/>
        <v>MPM/PBM</v>
      </c>
      <c r="B233" s="39" t="s">
        <v>3836</v>
      </c>
      <c r="C233" s="39" t="s">
        <v>2</v>
      </c>
      <c r="D233" s="39"/>
      <c r="E233" s="39" t="s">
        <v>11506</v>
      </c>
      <c r="F233" s="39"/>
      <c r="G233" s="39" t="s">
        <v>11503</v>
      </c>
      <c r="H233" s="40"/>
      <c r="I233" s="41">
        <v>24.5</v>
      </c>
      <c r="J233" s="42">
        <v>214619700</v>
      </c>
      <c r="K233" s="42">
        <f t="shared" si="7"/>
        <v>60902.298524404083</v>
      </c>
      <c r="L233" s="43">
        <v>3524</v>
      </c>
      <c r="M233" s="39">
        <f>VLOOKUP(Table2[[#This Row],[ROUTE]],DEMAND!A:F,5,FALSE)</f>
        <v>3695</v>
      </c>
      <c r="N233" s="39">
        <f>VLOOKUP(Table2[[#This Row],[ROUTE]],DEMAND!A:F,6,FALSE)</f>
        <v>1055</v>
      </c>
      <c r="O233" s="39">
        <f>ROUNDDOWN(Table2[[#This Row],[R-DEMAND]]/1320,0)</f>
        <v>0</v>
      </c>
      <c r="P233" s="39">
        <f>Table2[[#This Row],[ADD ACC]]*Table2[[#This Row],[RT TIME (744)]]</f>
        <v>0</v>
      </c>
    </row>
    <row r="234" spans="1:16" ht="15" customHeight="1" x14ac:dyDescent="0.25">
      <c r="A234" s="38" t="str">
        <f t="shared" si="8"/>
        <v>MPM/PCL</v>
      </c>
      <c r="B234" s="39" t="s">
        <v>3481</v>
      </c>
      <c r="C234" s="39" t="s">
        <v>2</v>
      </c>
      <c r="D234" s="39"/>
      <c r="E234" s="39" t="s">
        <v>11511</v>
      </c>
      <c r="F234" s="39"/>
      <c r="G234" s="39" t="s">
        <v>11516</v>
      </c>
      <c r="H234" s="40"/>
      <c r="I234" s="41">
        <v>27</v>
      </c>
      <c r="J234" s="42">
        <v>224734647</v>
      </c>
      <c r="K234" s="42">
        <f t="shared" si="7"/>
        <v>62460.991384102279</v>
      </c>
      <c r="L234" s="43">
        <v>3598</v>
      </c>
      <c r="M234" s="39">
        <f>VLOOKUP(Table2[[#This Row],[ROUTE]],DEMAND!A:F,5,FALSE)</f>
        <v>3776</v>
      </c>
      <c r="N234" s="39">
        <f>VLOOKUP(Table2[[#This Row],[ROUTE]],DEMAND!A:F,6,FALSE)</f>
        <v>1136</v>
      </c>
      <c r="O234" s="39">
        <f>ROUNDDOWN(Table2[[#This Row],[R-DEMAND]]/1320,0)</f>
        <v>0</v>
      </c>
      <c r="P234" s="39">
        <f>Table2[[#This Row],[ADD ACC]]*Table2[[#This Row],[RT TIME (744)]]</f>
        <v>0</v>
      </c>
    </row>
    <row r="235" spans="1:16" ht="15" customHeight="1" x14ac:dyDescent="0.25">
      <c r="A235" s="1" t="str">
        <f t="shared" si="8"/>
        <v>MPM/PEK</v>
      </c>
      <c r="B235" s="4" t="s">
        <v>130</v>
      </c>
      <c r="C235" s="39" t="s">
        <v>2</v>
      </c>
      <c r="D235" s="39"/>
      <c r="E235" s="4" t="s">
        <v>17</v>
      </c>
      <c r="F235" s="4"/>
      <c r="G235" s="4" t="s">
        <v>129</v>
      </c>
      <c r="H235" s="8">
        <v>11356</v>
      </c>
      <c r="I235" s="7">
        <v>27.25</v>
      </c>
      <c r="J235" s="6">
        <v>280972634</v>
      </c>
      <c r="K235" s="6">
        <f t="shared" si="7"/>
        <v>50299.433225921945</v>
      </c>
      <c r="L235" s="4">
        <v>5586</v>
      </c>
      <c r="M235" s="39">
        <f>VLOOKUP(Table2[[#This Row],[ROUTE]],DEMAND!A:F,5,FALSE)</f>
        <v>6632</v>
      </c>
      <c r="N235" s="39">
        <f>VLOOKUP(Table2[[#This Row],[ROUTE]],DEMAND!A:F,6,FALSE)</f>
        <v>32</v>
      </c>
      <c r="O235" s="39">
        <f>ROUNDDOWN(Table2[[#This Row],[R-DEMAND]]/1320,0)</f>
        <v>0</v>
      </c>
      <c r="P235" s="39">
        <f>Table2[[#This Row],[ADD ACC]]*Table2[[#This Row],[RT TIME (744)]]</f>
        <v>0</v>
      </c>
    </row>
    <row r="236" spans="1:16" ht="15" customHeight="1" x14ac:dyDescent="0.25">
      <c r="A236" s="38" t="str">
        <f t="shared" si="8"/>
        <v>MPM/PEM</v>
      </c>
      <c r="B236" s="39" t="s">
        <v>3225</v>
      </c>
      <c r="C236" s="39" t="s">
        <v>2</v>
      </c>
      <c r="D236" s="39"/>
      <c r="E236" s="39" t="s">
        <v>11511</v>
      </c>
      <c r="F236" s="39"/>
      <c r="G236" s="39" t="s">
        <v>11517</v>
      </c>
      <c r="H236" s="40"/>
      <c r="I236" s="41">
        <v>25.5</v>
      </c>
      <c r="J236" s="42">
        <v>216134804</v>
      </c>
      <c r="K236" s="42">
        <f t="shared" si="7"/>
        <v>61262.699546485259</v>
      </c>
      <c r="L236" s="43">
        <v>3528</v>
      </c>
      <c r="M236" s="39">
        <f>VLOOKUP(Table2[[#This Row],[ROUTE]],DEMAND!A:F,5,FALSE)</f>
        <v>3702</v>
      </c>
      <c r="N236" s="39">
        <f>VLOOKUP(Table2[[#This Row],[ROUTE]],DEMAND!A:F,6,FALSE)</f>
        <v>1062</v>
      </c>
      <c r="O236" s="39">
        <f>ROUNDDOWN(Table2[[#This Row],[R-DEMAND]]/1320,0)</f>
        <v>0</v>
      </c>
      <c r="P236" s="39">
        <f>Table2[[#This Row],[ADD ACC]]*Table2[[#This Row],[RT TIME (744)]]</f>
        <v>0</v>
      </c>
    </row>
    <row r="237" spans="1:16" ht="15" customHeight="1" x14ac:dyDescent="0.25">
      <c r="A237" s="1" t="str">
        <f t="shared" si="8"/>
        <v>MPM/PEN</v>
      </c>
      <c r="B237" s="4" t="s">
        <v>128</v>
      </c>
      <c r="C237" s="39" t="s">
        <v>11122</v>
      </c>
      <c r="D237" s="39"/>
      <c r="E237" s="4" t="s">
        <v>60</v>
      </c>
      <c r="F237" s="4"/>
      <c r="G237" s="4" t="s">
        <v>127</v>
      </c>
      <c r="H237" s="8"/>
      <c r="I237" s="7">
        <v>20</v>
      </c>
      <c r="J237" s="6">
        <v>210510532</v>
      </c>
      <c r="K237" s="6">
        <f t="shared" si="7"/>
        <v>81783.423465423461</v>
      </c>
      <c r="L237" s="4">
        <v>2574</v>
      </c>
      <c r="M237" s="39" t="e">
        <f>VLOOKUP(Table2[[#This Row],[ROUTE]],DEMAND!A:F,5,FALSE)</f>
        <v>#N/A</v>
      </c>
      <c r="N237" s="39" t="e">
        <f>VLOOKUP(Table2[[#This Row],[ROUTE]],DEMAND!A:F,6,FALSE)</f>
        <v>#N/A</v>
      </c>
      <c r="O237" s="39" t="e">
        <f>ROUNDDOWN(Table2[[#This Row],[R-DEMAND]]/1320,0)</f>
        <v>#N/A</v>
      </c>
      <c r="P237" s="39" t="e">
        <f>Table2[[#This Row],[ADD ACC]]*Table2[[#This Row],[RT TIME (744)]]</f>
        <v>#N/A</v>
      </c>
    </row>
    <row r="238" spans="1:16" ht="15" customHeight="1" x14ac:dyDescent="0.25">
      <c r="A238" s="1" t="str">
        <f t="shared" si="8"/>
        <v>MPM/PER</v>
      </c>
      <c r="B238" s="4" t="s">
        <v>126</v>
      </c>
      <c r="C238" s="39" t="s">
        <v>2</v>
      </c>
      <c r="D238" s="39"/>
      <c r="E238" s="4" t="s">
        <v>70</v>
      </c>
      <c r="F238" s="4"/>
      <c r="G238" s="4" t="s">
        <v>125</v>
      </c>
      <c r="H238" s="8">
        <v>7939</v>
      </c>
      <c r="I238" s="7">
        <v>19.75</v>
      </c>
      <c r="J238" s="6">
        <v>224231186</v>
      </c>
      <c r="K238" s="6">
        <f t="shared" si="7"/>
        <v>95948.303808301236</v>
      </c>
      <c r="L238" s="4">
        <v>2337</v>
      </c>
      <c r="M238" s="39">
        <f>VLOOKUP(Table2[[#This Row],[ROUTE]],DEMAND!A:F,5,FALSE)</f>
        <v>3780</v>
      </c>
      <c r="N238" s="39">
        <f>VLOOKUP(Table2[[#This Row],[ROUTE]],DEMAND!A:F,6,FALSE)</f>
        <v>1140</v>
      </c>
      <c r="O238" s="39">
        <f>ROUNDDOWN(Table2[[#This Row],[R-DEMAND]]/1320,0)</f>
        <v>0</v>
      </c>
      <c r="P238" s="39">
        <f>Table2[[#This Row],[ADD ACC]]*Table2[[#This Row],[RT TIME (744)]]</f>
        <v>0</v>
      </c>
    </row>
    <row r="239" spans="1:16" ht="15" customHeight="1" x14ac:dyDescent="0.25">
      <c r="A239" s="1" t="str">
        <f t="shared" si="8"/>
        <v>MPM/PHL</v>
      </c>
      <c r="B239" s="4" t="s">
        <v>124</v>
      </c>
      <c r="C239" s="39" t="s">
        <v>2</v>
      </c>
      <c r="D239" s="39"/>
      <c r="E239" s="39" t="s">
        <v>11471</v>
      </c>
      <c r="F239" s="4"/>
      <c r="G239" s="4" t="s">
        <v>123</v>
      </c>
      <c r="H239" s="8"/>
      <c r="I239" s="7">
        <v>31.5</v>
      </c>
      <c r="J239" s="6">
        <v>276948590</v>
      </c>
      <c r="K239" s="6">
        <f t="shared" si="7"/>
        <v>74070.230008023529</v>
      </c>
      <c r="L239" s="4">
        <v>3739</v>
      </c>
      <c r="M239" s="39">
        <f>VLOOKUP(Table2[[#This Row],[ROUTE]],DEMAND!A:F,5,FALSE)</f>
        <v>3925</v>
      </c>
      <c r="N239" s="39">
        <f>VLOOKUP(Table2[[#This Row],[ROUTE]],DEMAND!A:F,6,FALSE)</f>
        <v>1285</v>
      </c>
      <c r="O239" s="39">
        <f>ROUNDDOWN(Table2[[#This Row],[R-DEMAND]]/1320,0)</f>
        <v>0</v>
      </c>
      <c r="P239" s="39">
        <f>Table2[[#This Row],[ADD ACC]]*Table2[[#This Row],[RT TIME (744)]]</f>
        <v>0</v>
      </c>
    </row>
    <row r="240" spans="1:16" ht="15" customHeight="1" x14ac:dyDescent="0.25">
      <c r="A240" s="1" t="str">
        <f t="shared" si="8"/>
        <v>MPM/PKX</v>
      </c>
      <c r="B240" s="10" t="s">
        <v>122</v>
      </c>
      <c r="C240" s="39" t="s">
        <v>2</v>
      </c>
      <c r="D240" s="39"/>
      <c r="E240" s="10" t="s">
        <v>14</v>
      </c>
      <c r="F240" s="10"/>
      <c r="G240" s="10" t="s">
        <v>121</v>
      </c>
      <c r="H240" s="8">
        <v>11317</v>
      </c>
      <c r="I240" s="7">
        <v>27.25</v>
      </c>
      <c r="J240" s="6">
        <v>280594892</v>
      </c>
      <c r="K240" s="6">
        <f t="shared" si="7"/>
        <v>53753.81072796935</v>
      </c>
      <c r="L240" s="4">
        <v>5220</v>
      </c>
      <c r="M240" s="39">
        <f>VLOOKUP(Table2[[#This Row],[ROUTE]],DEMAND!A:F,5,FALSE)</f>
        <v>6197</v>
      </c>
      <c r="N240" s="39">
        <f>VLOOKUP(Table2[[#This Row],[ROUTE]],DEMAND!A:F,6,FALSE)</f>
        <v>917</v>
      </c>
      <c r="O240" s="39">
        <f>ROUNDDOWN(Table2[[#This Row],[R-DEMAND]]/1320,0)</f>
        <v>0</v>
      </c>
      <c r="P240" s="39">
        <f>Table2[[#This Row],[ADD ACC]]*Table2[[#This Row],[RT TIME (744)]]</f>
        <v>0</v>
      </c>
    </row>
    <row r="241" spans="1:16" ht="15" customHeight="1" x14ac:dyDescent="0.25">
      <c r="A241" s="38" t="str">
        <f t="shared" si="8"/>
        <v>MPM/PLX</v>
      </c>
      <c r="B241" s="39" t="s">
        <v>1335</v>
      </c>
      <c r="C241" s="39" t="s">
        <v>2</v>
      </c>
      <c r="D241" s="39"/>
      <c r="E241" s="39" t="s">
        <v>11035</v>
      </c>
      <c r="F241" s="39"/>
      <c r="G241" s="39" t="s">
        <v>11163</v>
      </c>
      <c r="H241" s="40">
        <v>9692</v>
      </c>
      <c r="I241" s="41">
        <v>23.5</v>
      </c>
      <c r="J241" s="42">
        <v>197956500</v>
      </c>
      <c r="K241" s="42">
        <f t="shared" si="7"/>
        <v>72939.019896831247</v>
      </c>
      <c r="L241" s="43">
        <v>2714</v>
      </c>
      <c r="M241" s="39">
        <f>VLOOKUP(Table2[[#This Row],[ROUTE]],DEMAND!A:F,5,FALSE)</f>
        <v>2886</v>
      </c>
      <c r="N241" s="39">
        <f>VLOOKUP(Table2[[#This Row],[ROUTE]],DEMAND!A:F,6,FALSE)</f>
        <v>246</v>
      </c>
      <c r="O241" s="39">
        <f>ROUNDDOWN(Table2[[#This Row],[R-DEMAND]]/1320,0)</f>
        <v>0</v>
      </c>
      <c r="P241" s="39">
        <f>Table2[[#This Row],[ADD ACC]]*Table2[[#This Row],[RT TIME (744)]]</f>
        <v>0</v>
      </c>
    </row>
    <row r="242" spans="1:16" ht="15" customHeight="1" x14ac:dyDescent="0.25">
      <c r="A242" s="1" t="str">
        <f t="shared" si="8"/>
        <v>MPM/PMI</v>
      </c>
      <c r="B242" s="10" t="s">
        <v>120</v>
      </c>
      <c r="C242" s="39" t="s">
        <v>2</v>
      </c>
      <c r="D242" s="39"/>
      <c r="E242" s="10" t="s">
        <v>119</v>
      </c>
      <c r="F242" s="10"/>
      <c r="G242" s="10" t="s">
        <v>118</v>
      </c>
      <c r="H242" s="8">
        <v>7913</v>
      </c>
      <c r="I242" s="7">
        <v>19.75</v>
      </c>
      <c r="J242" s="6">
        <v>234427354</v>
      </c>
      <c r="K242" s="6">
        <f t="shared" si="7"/>
        <v>70041.037944427851</v>
      </c>
      <c r="L242" s="4">
        <v>3347</v>
      </c>
      <c r="M242" s="39">
        <f>VLOOKUP(Table2[[#This Row],[ROUTE]],DEMAND!A:F,5,FALSE)</f>
        <v>3904</v>
      </c>
      <c r="N242" s="39">
        <f>VLOOKUP(Table2[[#This Row],[ROUTE]],DEMAND!A:F,6,FALSE)</f>
        <v>1264</v>
      </c>
      <c r="O242" s="39">
        <f>ROUNDDOWN(Table2[[#This Row],[R-DEMAND]]/1320,0)</f>
        <v>0</v>
      </c>
      <c r="P242" s="39">
        <f>Table2[[#This Row],[ADD ACC]]*Table2[[#This Row],[RT TIME (744)]]</f>
        <v>0</v>
      </c>
    </row>
    <row r="243" spans="1:16" ht="15" customHeight="1" x14ac:dyDescent="0.25">
      <c r="A243" s="38" t="str">
        <f t="shared" si="8"/>
        <v>MPM/PMV</v>
      </c>
      <c r="B243" s="39" t="s">
        <v>4973</v>
      </c>
      <c r="C243" s="39" t="s">
        <v>2</v>
      </c>
      <c r="D243" s="39"/>
      <c r="E243" s="39" t="s">
        <v>380</v>
      </c>
      <c r="F243" s="39"/>
      <c r="G243" s="39" t="s">
        <v>11501</v>
      </c>
      <c r="H243" s="40"/>
      <c r="I243" s="41">
        <v>27</v>
      </c>
      <c r="J243" s="42">
        <v>238886031</v>
      </c>
      <c r="K243" s="42">
        <f t="shared" si="7"/>
        <v>53227.725267379676</v>
      </c>
      <c r="L243" s="43">
        <v>4488</v>
      </c>
      <c r="M243" s="39">
        <f>VLOOKUP(Table2[[#This Row],[ROUTE]],DEMAND!A:F,5,FALSE)</f>
        <v>4711</v>
      </c>
      <c r="N243" s="39">
        <f>VLOOKUP(Table2[[#This Row],[ROUTE]],DEMAND!A:F,6,FALSE)</f>
        <v>751</v>
      </c>
      <c r="O243" s="39">
        <f>ROUNDDOWN(Table2[[#This Row],[R-DEMAND]]/1320,0)</f>
        <v>0</v>
      </c>
      <c r="P243" s="39">
        <f>Table2[[#This Row],[ADD ACC]]*Table2[[#This Row],[RT TIME (744)]]</f>
        <v>0</v>
      </c>
    </row>
    <row r="244" spans="1:16" ht="15" customHeight="1" x14ac:dyDescent="0.25">
      <c r="A244" s="1" t="str">
        <f t="shared" si="8"/>
        <v>MPM/PNH</v>
      </c>
      <c r="B244" s="4" t="s">
        <v>117</v>
      </c>
      <c r="C244" s="39" t="s">
        <v>2</v>
      </c>
      <c r="D244" s="39"/>
      <c r="E244" s="4" t="s">
        <v>116</v>
      </c>
      <c r="F244" s="4"/>
      <c r="G244" s="4" t="s">
        <v>115</v>
      </c>
      <c r="H244" s="8"/>
      <c r="I244" s="7">
        <v>21.75</v>
      </c>
      <c r="J244" s="6">
        <v>214333979</v>
      </c>
      <c r="K244" s="6">
        <f t="shared" si="7"/>
        <v>67677.290495737296</v>
      </c>
      <c r="L244" s="4">
        <v>3167</v>
      </c>
      <c r="M244" s="39">
        <f>VLOOKUP(Table2[[#This Row],[ROUTE]],DEMAND!A:F,5,FALSE)</f>
        <v>5241</v>
      </c>
      <c r="N244" s="39">
        <f>VLOOKUP(Table2[[#This Row],[ROUTE]],DEMAND!A:F,6,FALSE)</f>
        <v>1281</v>
      </c>
      <c r="O244" s="39">
        <f>ROUNDDOWN(Table2[[#This Row],[R-DEMAND]]/1320,0)</f>
        <v>0</v>
      </c>
      <c r="P244" s="39">
        <f>Table2[[#This Row],[ADD ACC]]*Table2[[#This Row],[RT TIME (744)]]</f>
        <v>0</v>
      </c>
    </row>
    <row r="245" spans="1:16" ht="15" customHeight="1" x14ac:dyDescent="0.25">
      <c r="A245" s="38" t="str">
        <f t="shared" si="8"/>
        <v>MPM/POP</v>
      </c>
      <c r="B245" s="39" t="s">
        <v>4675</v>
      </c>
      <c r="C245" s="39" t="s">
        <v>2</v>
      </c>
      <c r="D245" s="39"/>
      <c r="E245" s="39" t="s">
        <v>11478</v>
      </c>
      <c r="F245" s="39"/>
      <c r="G245" s="39" t="s">
        <v>11473</v>
      </c>
      <c r="H245" s="40"/>
      <c r="I245" s="41">
        <v>29.25</v>
      </c>
      <c r="J245" s="42">
        <v>243309644</v>
      </c>
      <c r="K245" s="42">
        <f t="shared" si="7"/>
        <v>60106.137351778656</v>
      </c>
      <c r="L245" s="43">
        <v>4048</v>
      </c>
      <c r="M245" s="39">
        <f>VLOOKUP(Table2[[#This Row],[ROUTE]],DEMAND!A:F,5,FALSE)</f>
        <v>4249</v>
      </c>
      <c r="N245" s="39">
        <f>VLOOKUP(Table2[[#This Row],[ROUTE]],DEMAND!A:F,6,FALSE)</f>
        <v>289</v>
      </c>
      <c r="O245" s="39">
        <f>ROUNDDOWN(Table2[[#This Row],[R-DEMAND]]/1320,0)</f>
        <v>0</v>
      </c>
      <c r="P245" s="39">
        <f>Table2[[#This Row],[ADD ACC]]*Table2[[#This Row],[RT TIME (744)]]</f>
        <v>0</v>
      </c>
    </row>
    <row r="246" spans="1:16" ht="15" customHeight="1" x14ac:dyDescent="0.25">
      <c r="A246" s="38" t="str">
        <f t="shared" si="8"/>
        <v>MPM/PTY</v>
      </c>
      <c r="B246" s="39" t="s">
        <v>5323</v>
      </c>
      <c r="C246" s="39" t="s">
        <v>2</v>
      </c>
      <c r="D246" s="39"/>
      <c r="E246" s="39" t="s">
        <v>11495</v>
      </c>
      <c r="F246" s="39"/>
      <c r="G246" s="39" t="s">
        <v>11496</v>
      </c>
      <c r="H246" s="40"/>
      <c r="I246" s="41">
        <v>30</v>
      </c>
      <c r="J246" s="42">
        <v>259748772</v>
      </c>
      <c r="K246" s="42">
        <f t="shared" si="7"/>
        <v>60575.739738805969</v>
      </c>
      <c r="L246" s="43">
        <v>4288</v>
      </c>
      <c r="M246" s="39">
        <f>VLOOKUP(Table2[[#This Row],[ROUTE]],DEMAND!A:F,5,FALSE)</f>
        <v>4502</v>
      </c>
      <c r="N246" s="39">
        <f>VLOOKUP(Table2[[#This Row],[ROUTE]],DEMAND!A:F,6,FALSE)</f>
        <v>542</v>
      </c>
      <c r="O246" s="39">
        <f>ROUNDDOWN(Table2[[#This Row],[R-DEMAND]]/1320,0)</f>
        <v>0</v>
      </c>
      <c r="P246" s="39">
        <f>Table2[[#This Row],[ADD ACC]]*Table2[[#This Row],[RT TIME (744)]]</f>
        <v>0</v>
      </c>
    </row>
    <row r="247" spans="1:16" ht="15" customHeight="1" x14ac:dyDescent="0.25">
      <c r="A247" s="38" t="str">
        <f t="shared" si="8"/>
        <v>MPM/PUJ</v>
      </c>
      <c r="B247" s="39" t="s">
        <v>4977</v>
      </c>
      <c r="C247" s="39" t="s">
        <v>2</v>
      </c>
      <c r="D247" s="39"/>
      <c r="E247" s="39" t="s">
        <v>11478</v>
      </c>
      <c r="F247" s="39"/>
      <c r="G247" s="39" t="s">
        <v>11476</v>
      </c>
      <c r="H247" s="40"/>
      <c r="I247" s="41">
        <v>28.5</v>
      </c>
      <c r="J247" s="42">
        <v>244879525</v>
      </c>
      <c r="K247" s="42">
        <f t="shared" si="7"/>
        <v>57443.003753225428</v>
      </c>
      <c r="L247" s="43">
        <v>4263</v>
      </c>
      <c r="M247" s="39">
        <f>VLOOKUP(Table2[[#This Row],[ROUTE]],DEMAND!A:F,5,FALSE)</f>
        <v>4475</v>
      </c>
      <c r="N247" s="39">
        <f>VLOOKUP(Table2[[#This Row],[ROUTE]],DEMAND!A:F,6,FALSE)</f>
        <v>515</v>
      </c>
      <c r="O247" s="39">
        <f>ROUNDDOWN(Table2[[#This Row],[R-DEMAND]]/1320,0)</f>
        <v>0</v>
      </c>
      <c r="P247" s="39">
        <f>Table2[[#This Row],[ADD ACC]]*Table2[[#This Row],[RT TIME (744)]]</f>
        <v>0</v>
      </c>
    </row>
    <row r="248" spans="1:16" ht="15" customHeight="1" x14ac:dyDescent="0.25">
      <c r="A248" s="38" t="str">
        <f t="shared" si="8"/>
        <v>MPM/PUQ</v>
      </c>
      <c r="B248" s="26" t="s">
        <v>3761</v>
      </c>
      <c r="C248" s="39" t="s">
        <v>2</v>
      </c>
      <c r="D248" s="39"/>
      <c r="E248" s="39" t="s">
        <v>102</v>
      </c>
      <c r="F248" s="39"/>
      <c r="G248" s="39" t="s">
        <v>11555</v>
      </c>
      <c r="H248" s="40">
        <v>8574</v>
      </c>
      <c r="I248" s="41">
        <v>21</v>
      </c>
      <c r="J248" s="42"/>
      <c r="K248" s="42">
        <f t="shared" si="7"/>
        <v>0</v>
      </c>
      <c r="L248" s="43">
        <v>3150</v>
      </c>
      <c r="M248" s="39">
        <f>VLOOKUP(Table2[[#This Row],[ROUTE]],DEMAND!A:F,5,FALSE)</f>
        <v>3054</v>
      </c>
      <c r="N248" s="39">
        <f>VLOOKUP(Table2[[#This Row],[ROUTE]],DEMAND!A:F,6,FALSE)</f>
        <v>414</v>
      </c>
      <c r="O248" s="39">
        <f>ROUNDDOWN(Table2[[#This Row],[R-DEMAND]]/1320,0)</f>
        <v>0</v>
      </c>
      <c r="P248" s="39">
        <f>Table2[[#This Row],[ADD ACC]]*Table2[[#This Row],[RT TIME (744)]]</f>
        <v>0</v>
      </c>
    </row>
    <row r="249" spans="1:16" ht="15" customHeight="1" x14ac:dyDescent="0.25">
      <c r="A249" s="1" t="str">
        <f t="shared" si="8"/>
        <v>MPM/PUS</v>
      </c>
      <c r="B249" s="39" t="s">
        <v>5497</v>
      </c>
      <c r="C249" s="39" t="s">
        <v>2</v>
      </c>
      <c r="D249" s="39"/>
      <c r="E249" s="10" t="s">
        <v>258</v>
      </c>
      <c r="F249" s="39"/>
      <c r="G249" s="39" t="s">
        <v>11137</v>
      </c>
      <c r="H249" s="40">
        <v>12176</v>
      </c>
      <c r="I249" s="41">
        <v>29</v>
      </c>
      <c r="J249" s="42">
        <v>261319729</v>
      </c>
      <c r="K249" s="42">
        <f t="shared" si="7"/>
        <v>59202.475985500678</v>
      </c>
      <c r="L249" s="43">
        <v>4414</v>
      </c>
      <c r="M249" s="39">
        <f>VLOOKUP(Table2[[#This Row],[ROUTE]],DEMAND!A:F,5,FALSE)</f>
        <v>4698</v>
      </c>
      <c r="N249" s="39">
        <f>VLOOKUP(Table2[[#This Row],[ROUTE]],DEMAND!A:F,6,FALSE)</f>
        <v>738</v>
      </c>
      <c r="O249" s="39">
        <f>ROUNDDOWN(Table2[[#This Row],[R-DEMAND]]/1320,0)</f>
        <v>0</v>
      </c>
      <c r="P249" s="39">
        <f>Table2[[#This Row],[ADD ACC]]*Table2[[#This Row],[RT TIME (744)]]</f>
        <v>0</v>
      </c>
    </row>
    <row r="250" spans="1:16" ht="15" customHeight="1" x14ac:dyDescent="0.25">
      <c r="A250" s="1" t="str">
        <f t="shared" si="8"/>
        <v>MPM/PVG</v>
      </c>
      <c r="B250" s="4" t="s">
        <v>114</v>
      </c>
      <c r="C250" s="39" t="s">
        <v>2</v>
      </c>
      <c r="D250" s="39"/>
      <c r="E250" s="4" t="s">
        <v>17</v>
      </c>
      <c r="F250" s="4"/>
      <c r="G250" s="4" t="s">
        <v>96</v>
      </c>
      <c r="H250" s="8">
        <v>11396</v>
      </c>
      <c r="I250" s="7">
        <v>27.25</v>
      </c>
      <c r="J250" s="6">
        <v>278554993</v>
      </c>
      <c r="K250" s="6">
        <f t="shared" si="7"/>
        <v>51111.007889908258</v>
      </c>
      <c r="L250" s="4">
        <v>5450</v>
      </c>
      <c r="M250" s="39">
        <f>VLOOKUP(Table2[[#This Row],[ROUTE]],DEMAND!A:F,5,FALSE)</f>
        <v>6470</v>
      </c>
      <c r="N250" s="39">
        <f>VLOOKUP(Table2[[#This Row],[ROUTE]],DEMAND!A:F,6,FALSE)</f>
        <v>1190</v>
      </c>
      <c r="O250" s="39">
        <f>ROUNDDOWN(Table2[[#This Row],[R-DEMAND]]/1320,0)</f>
        <v>0</v>
      </c>
      <c r="P250" s="39">
        <f>Table2[[#This Row],[ADD ACC]]*Table2[[#This Row],[RT TIME (744)]]</f>
        <v>0</v>
      </c>
    </row>
    <row r="251" spans="1:16" ht="15" customHeight="1" x14ac:dyDescent="0.25">
      <c r="A251" s="38" t="str">
        <f t="shared" si="8"/>
        <v>MPM/PXO</v>
      </c>
      <c r="B251" s="39" t="s">
        <v>2886</v>
      </c>
      <c r="C251" s="39" t="s">
        <v>11122</v>
      </c>
      <c r="D251" s="39"/>
      <c r="E251" s="39" t="s">
        <v>192</v>
      </c>
      <c r="F251" s="39"/>
      <c r="G251" s="39" t="s">
        <v>11537</v>
      </c>
      <c r="H251" s="40"/>
      <c r="I251" s="41">
        <v>20.75</v>
      </c>
      <c r="J251" s="42">
        <v>191575521</v>
      </c>
      <c r="K251" s="42">
        <f t="shared" si="7"/>
        <v>75542.397870662462</v>
      </c>
      <c r="L251" s="43">
        <v>2536</v>
      </c>
      <c r="M251" s="39" t="e">
        <f>VLOOKUP(Table2[[#This Row],[ROUTE]],DEMAND!A:F,5,FALSE)</f>
        <v>#N/A</v>
      </c>
      <c r="N251" s="39" t="e">
        <f>VLOOKUP(Table2[[#This Row],[ROUTE]],DEMAND!A:F,6,FALSE)</f>
        <v>#N/A</v>
      </c>
      <c r="O251" s="39" t="e">
        <f>ROUNDDOWN(Table2[[#This Row],[R-DEMAND]]/1320,0)</f>
        <v>#N/A</v>
      </c>
      <c r="P251" s="39" t="e">
        <f>Table2[[#This Row],[ADD ACC]]*Table2[[#This Row],[RT TIME (744)]]</f>
        <v>#N/A</v>
      </c>
    </row>
    <row r="252" spans="1:16" ht="15" customHeight="1" x14ac:dyDescent="0.25">
      <c r="A252" s="1" t="str">
        <f t="shared" si="8"/>
        <v>MPM/RGN</v>
      </c>
      <c r="B252" s="4" t="s">
        <v>113</v>
      </c>
      <c r="C252" s="39" t="s">
        <v>2</v>
      </c>
      <c r="D252" s="39"/>
      <c r="E252" s="4" t="s">
        <v>112</v>
      </c>
      <c r="F252" s="4"/>
      <c r="G252" s="4" t="s">
        <v>111</v>
      </c>
      <c r="H252" s="8"/>
      <c r="I252" s="7">
        <v>20.75</v>
      </c>
      <c r="J252" s="6">
        <v>218984332</v>
      </c>
      <c r="K252" s="6">
        <f t="shared" si="7"/>
        <v>57295.743589743586</v>
      </c>
      <c r="L252" s="5">
        <v>3822</v>
      </c>
      <c r="M252" s="39">
        <f>VLOOKUP(Table2[[#This Row],[ROUTE]],DEMAND!A:F,5,FALSE)</f>
        <v>6323</v>
      </c>
      <c r="N252" s="39">
        <f>VLOOKUP(Table2[[#This Row],[ROUTE]],DEMAND!A:F,6,FALSE)</f>
        <v>1043</v>
      </c>
      <c r="O252" s="39">
        <f>ROUNDDOWN(Table2[[#This Row],[R-DEMAND]]/1320,0)</f>
        <v>0</v>
      </c>
      <c r="P252" s="39">
        <f>Table2[[#This Row],[ADD ACC]]*Table2[[#This Row],[RT TIME (744)]]</f>
        <v>0</v>
      </c>
    </row>
    <row r="253" spans="1:16" ht="15" customHeight="1" x14ac:dyDescent="0.25">
      <c r="A253" s="38" t="str">
        <f t="shared" si="8"/>
        <v>MPM/RIY</v>
      </c>
      <c r="B253" s="39" t="s">
        <v>3078</v>
      </c>
      <c r="C253" s="39" t="s">
        <v>2</v>
      </c>
      <c r="D253" s="39"/>
      <c r="E253" s="39" t="s">
        <v>11143</v>
      </c>
      <c r="F253" s="39"/>
      <c r="G253" s="39" t="s">
        <v>11146</v>
      </c>
      <c r="H253" s="40">
        <v>4866</v>
      </c>
      <c r="I253" s="41">
        <v>13</v>
      </c>
      <c r="J253" s="42">
        <v>159196906</v>
      </c>
      <c r="K253" s="42">
        <f t="shared" si="7"/>
        <v>41674.582722513092</v>
      </c>
      <c r="L253" s="43">
        <v>3820</v>
      </c>
      <c r="M253" s="39">
        <f>VLOOKUP(Table2[[#This Row],[ROUTE]],DEMAND!A:F,5,FALSE)</f>
        <v>4057</v>
      </c>
      <c r="N253" s="39">
        <f>VLOOKUP(Table2[[#This Row],[ROUTE]],DEMAND!A:F,6,FALSE)</f>
        <v>97</v>
      </c>
      <c r="O253" s="39">
        <f>ROUNDDOWN(Table2[[#This Row],[R-DEMAND]]/1320,0)</f>
        <v>0</v>
      </c>
      <c r="P253" s="39">
        <f>Table2[[#This Row],[ADD ACC]]*Table2[[#This Row],[RT TIME (744)]]</f>
        <v>0</v>
      </c>
    </row>
    <row r="254" spans="1:16" ht="15" customHeight="1" x14ac:dyDescent="0.25">
      <c r="A254" s="1" t="str">
        <f t="shared" si="8"/>
        <v>MPM/RUH</v>
      </c>
      <c r="B254" s="4" t="s">
        <v>110</v>
      </c>
      <c r="C254" s="39" t="s">
        <v>2</v>
      </c>
      <c r="D254" s="39"/>
      <c r="E254" s="4" t="s">
        <v>109</v>
      </c>
      <c r="F254" s="4"/>
      <c r="G254" s="4" t="s">
        <v>108</v>
      </c>
      <c r="H254" s="8">
        <v>5859</v>
      </c>
      <c r="I254" s="7">
        <v>15</v>
      </c>
      <c r="J254" s="6"/>
      <c r="K254" s="6">
        <f t="shared" si="7"/>
        <v>0</v>
      </c>
      <c r="L254" s="5">
        <v>3129</v>
      </c>
      <c r="M254" s="39">
        <f>VLOOKUP(Table2[[#This Row],[ROUTE]],DEMAND!A:F,5,FALSE)</f>
        <v>5079</v>
      </c>
      <c r="N254" s="39">
        <f>VLOOKUP(Table2[[#This Row],[ROUTE]],DEMAND!A:F,6,FALSE)</f>
        <v>-201</v>
      </c>
      <c r="O254" s="39">
        <f>ROUNDDOWN(Table2[[#This Row],[R-DEMAND]]/1320,0)</f>
        <v>0</v>
      </c>
      <c r="P254" s="39">
        <f>Table2[[#This Row],[ADD ACC]]*Table2[[#This Row],[RT TIME (744)]]</f>
        <v>0</v>
      </c>
    </row>
    <row r="255" spans="1:16" ht="15" customHeight="1" x14ac:dyDescent="0.25">
      <c r="A255" s="1" t="str">
        <f t="shared" si="8"/>
        <v>MPM/RYK</v>
      </c>
      <c r="B255" s="39" t="s">
        <v>1904</v>
      </c>
      <c r="C255" s="39" t="s">
        <v>2</v>
      </c>
      <c r="D255" s="39"/>
      <c r="E255" s="4" t="s">
        <v>197</v>
      </c>
      <c r="F255" s="39"/>
      <c r="G255" s="39" t="s">
        <v>11129</v>
      </c>
      <c r="H255" s="40">
        <v>7260</v>
      </c>
      <c r="I255" s="41">
        <v>18.25</v>
      </c>
      <c r="J255" s="42">
        <v>177340076</v>
      </c>
      <c r="K255" s="42">
        <f t="shared" si="7"/>
        <v>50799.219707820106</v>
      </c>
      <c r="L255" s="43">
        <v>3491</v>
      </c>
      <c r="M255" s="39">
        <f>VLOOKUP(Table2[[#This Row],[ROUTE]],DEMAND!A:F,5,FALSE)</f>
        <v>3711</v>
      </c>
      <c r="N255" s="39">
        <f>VLOOKUP(Table2[[#This Row],[ROUTE]],DEMAND!A:F,6,FALSE)</f>
        <v>1071</v>
      </c>
      <c r="O255" s="39">
        <f>ROUNDDOWN(Table2[[#This Row],[R-DEMAND]]/1320,0)</f>
        <v>0</v>
      </c>
      <c r="P255" s="39">
        <f>Table2[[#This Row],[ADD ACC]]*Table2[[#This Row],[RT TIME (744)]]</f>
        <v>0</v>
      </c>
    </row>
    <row r="256" spans="1:16" ht="15" customHeight="1" x14ac:dyDescent="0.25">
      <c r="A256" s="38" t="str">
        <f t="shared" si="8"/>
        <v>MPM/SAH</v>
      </c>
      <c r="B256" s="39" t="s">
        <v>4756</v>
      </c>
      <c r="C256" s="39" t="s">
        <v>2</v>
      </c>
      <c r="D256" s="39"/>
      <c r="E256" s="39" t="s">
        <v>11143</v>
      </c>
      <c r="F256" s="39"/>
      <c r="G256" s="39" t="s">
        <v>11144</v>
      </c>
      <c r="H256" s="40">
        <v>4773</v>
      </c>
      <c r="I256" s="41">
        <v>12.75</v>
      </c>
      <c r="J256" s="42">
        <v>170751539</v>
      </c>
      <c r="K256" s="42">
        <f t="shared" si="7"/>
        <v>37200.771023965142</v>
      </c>
      <c r="L256" s="43">
        <v>4590</v>
      </c>
      <c r="M256" s="39">
        <f>VLOOKUP(Table2[[#This Row],[ROUTE]],DEMAND!A:F,5,FALSE)</f>
        <v>4874</v>
      </c>
      <c r="N256" s="39">
        <f>VLOOKUP(Table2[[#This Row],[ROUTE]],DEMAND!A:F,6,FALSE)</f>
        <v>914</v>
      </c>
      <c r="O256" s="39">
        <f>ROUNDDOWN(Table2[[#This Row],[R-DEMAND]]/1320,0)</f>
        <v>0</v>
      </c>
      <c r="P256" s="39">
        <f>Table2[[#This Row],[ADD ACC]]*Table2[[#This Row],[RT TIME (744)]]</f>
        <v>0</v>
      </c>
    </row>
    <row r="257" spans="1:16" ht="15" customHeight="1" x14ac:dyDescent="0.25">
      <c r="A257" s="38" t="str">
        <f t="shared" si="8"/>
        <v>MPM/SAW</v>
      </c>
      <c r="B257" s="39" t="s">
        <v>5457</v>
      </c>
      <c r="C257" s="39" t="s">
        <v>2</v>
      </c>
      <c r="D257" s="39"/>
      <c r="E257" s="4" t="s">
        <v>251</v>
      </c>
      <c r="F257" s="39"/>
      <c r="G257" s="39" t="s">
        <v>250</v>
      </c>
      <c r="H257" s="40">
        <v>7438</v>
      </c>
      <c r="I257" s="41">
        <v>18.5</v>
      </c>
      <c r="J257" s="42">
        <v>211978064</v>
      </c>
      <c r="K257" s="42">
        <f t="shared" si="7"/>
        <v>44514.503149937002</v>
      </c>
      <c r="L257" s="43">
        <v>4762</v>
      </c>
      <c r="M257" s="39">
        <f>VLOOKUP(Table2[[#This Row],[ROUTE]],DEMAND!A:F,5,FALSE)</f>
        <v>4821</v>
      </c>
      <c r="N257" s="39">
        <f>VLOOKUP(Table2[[#This Row],[ROUTE]],DEMAND!A:F,6,FALSE)</f>
        <v>861</v>
      </c>
      <c r="O257" s="39">
        <f>ROUNDDOWN(Table2[[#This Row],[R-DEMAND]]/1320,0)</f>
        <v>0</v>
      </c>
      <c r="P257" s="39">
        <f>Table2[[#This Row],[ADD ACC]]*Table2[[#This Row],[RT TIME (744)]]</f>
        <v>0</v>
      </c>
    </row>
    <row r="258" spans="1:16" ht="15" customHeight="1" x14ac:dyDescent="0.25">
      <c r="A258" s="1" t="str">
        <f t="shared" si="8"/>
        <v>MPM/SBW</v>
      </c>
      <c r="B258" s="4" t="s">
        <v>107</v>
      </c>
      <c r="C258" s="39" t="s">
        <v>11122</v>
      </c>
      <c r="D258" s="39"/>
      <c r="E258" s="4" t="s">
        <v>60</v>
      </c>
      <c r="F258" s="4"/>
      <c r="G258" s="4" t="s">
        <v>106</v>
      </c>
      <c r="H258" s="8"/>
      <c r="I258" s="7">
        <v>22.25</v>
      </c>
      <c r="J258" s="6">
        <v>209094043</v>
      </c>
      <c r="K258" s="6">
        <f t="shared" si="7"/>
        <v>94999.565197637436</v>
      </c>
      <c r="L258" s="4">
        <v>2201</v>
      </c>
      <c r="M258" s="39" t="e">
        <f>VLOOKUP(Table2[[#This Row],[ROUTE]],DEMAND!A:F,5,FALSE)</f>
        <v>#N/A</v>
      </c>
      <c r="N258" s="39" t="e">
        <f>VLOOKUP(Table2[[#This Row],[ROUTE]],DEMAND!A:F,6,FALSE)</f>
        <v>#N/A</v>
      </c>
      <c r="O258" s="39" t="e">
        <f>ROUNDDOWN(Table2[[#This Row],[R-DEMAND]]/1320,0)</f>
        <v>#N/A</v>
      </c>
      <c r="P258" s="39" t="e">
        <f>Table2[[#This Row],[ADD ACC]]*Table2[[#This Row],[RT TIME (744)]]</f>
        <v>#N/A</v>
      </c>
    </row>
    <row r="259" spans="1:16" ht="15" customHeight="1" x14ac:dyDescent="0.25">
      <c r="A259" s="1" t="str">
        <f t="shared" si="8"/>
        <v>MPM/SBZ</v>
      </c>
      <c r="B259" s="4" t="s">
        <v>105</v>
      </c>
      <c r="C259" s="39" t="s">
        <v>11122</v>
      </c>
      <c r="D259" s="39"/>
      <c r="E259" s="4" t="s">
        <v>60</v>
      </c>
      <c r="F259" s="4"/>
      <c r="G259" s="4" t="s">
        <v>104</v>
      </c>
      <c r="H259" s="8"/>
      <c r="I259" s="7">
        <v>20</v>
      </c>
      <c r="J259" s="6">
        <v>199232755</v>
      </c>
      <c r="K259" s="6">
        <f t="shared" ref="K259:K322" si="9">J259/L259</f>
        <v>92451.394431554523</v>
      </c>
      <c r="L259" s="4">
        <v>2155</v>
      </c>
      <c r="M259" s="39" t="e">
        <f>VLOOKUP(Table2[[#This Row],[ROUTE]],DEMAND!A:F,5,FALSE)</f>
        <v>#N/A</v>
      </c>
      <c r="N259" s="39" t="e">
        <f>VLOOKUP(Table2[[#This Row],[ROUTE]],DEMAND!A:F,6,FALSE)</f>
        <v>#N/A</v>
      </c>
      <c r="O259" s="39" t="e">
        <f>ROUNDDOWN(Table2[[#This Row],[R-DEMAND]]/1320,0)</f>
        <v>#N/A</v>
      </c>
      <c r="P259" s="39" t="e">
        <f>Table2[[#This Row],[ADD ACC]]*Table2[[#This Row],[RT TIME (744)]]</f>
        <v>#N/A</v>
      </c>
    </row>
    <row r="260" spans="1:16" ht="15" customHeight="1" x14ac:dyDescent="0.25">
      <c r="A260" s="1" t="str">
        <f t="shared" si="8"/>
        <v>MPM/SCL</v>
      </c>
      <c r="B260" s="4" t="s">
        <v>103</v>
      </c>
      <c r="C260" s="39" t="s">
        <v>2</v>
      </c>
      <c r="D260" s="39"/>
      <c r="E260" s="4" t="s">
        <v>102</v>
      </c>
      <c r="F260" s="4"/>
      <c r="G260" s="4" t="s">
        <v>101</v>
      </c>
      <c r="H260" s="8">
        <v>9582</v>
      </c>
      <c r="I260" s="7">
        <v>23.25</v>
      </c>
      <c r="J260" s="6">
        <v>237250416</v>
      </c>
      <c r="K260" s="6">
        <f t="shared" si="9"/>
        <v>83450.726697150894</v>
      </c>
      <c r="L260" s="4">
        <v>2843</v>
      </c>
      <c r="M260" s="39">
        <f>VLOOKUP(Table2[[#This Row],[ROUTE]],DEMAND!A:F,5,FALSE)</f>
        <v>4486</v>
      </c>
      <c r="N260" s="39">
        <f>VLOOKUP(Table2[[#This Row],[ROUTE]],DEMAND!A:F,6,FALSE)</f>
        <v>526</v>
      </c>
      <c r="O260" s="39">
        <f>ROUNDDOWN(Table2[[#This Row],[R-DEMAND]]/1320,0)</f>
        <v>0</v>
      </c>
      <c r="P260" s="39">
        <f>Table2[[#This Row],[ADD ACC]]*Table2[[#This Row],[RT TIME (744)]]</f>
        <v>0</v>
      </c>
    </row>
    <row r="261" spans="1:16" ht="15" customHeight="1" x14ac:dyDescent="0.25">
      <c r="A261" s="38" t="str">
        <f t="shared" si="8"/>
        <v>MPM/SCT</v>
      </c>
      <c r="B261" s="39" t="s">
        <v>1291</v>
      </c>
      <c r="C261" s="39" t="s">
        <v>2</v>
      </c>
      <c r="D261" s="39"/>
      <c r="E261" s="39" t="s">
        <v>11143</v>
      </c>
      <c r="F261" s="39"/>
      <c r="G261" s="39" t="s">
        <v>11148</v>
      </c>
      <c r="H261" s="40">
        <v>4870</v>
      </c>
      <c r="I261" s="41">
        <v>13</v>
      </c>
      <c r="J261" s="42">
        <v>151456250</v>
      </c>
      <c r="K261" s="42">
        <f t="shared" si="9"/>
        <v>44783.042578356006</v>
      </c>
      <c r="L261" s="43">
        <v>3382</v>
      </c>
      <c r="M261" s="39">
        <f>VLOOKUP(Table2[[#This Row],[ROUTE]],DEMAND!A:F,5,FALSE)</f>
        <v>3590</v>
      </c>
      <c r="N261" s="39">
        <f>VLOOKUP(Table2[[#This Row],[ROUTE]],DEMAND!A:F,6,FALSE)</f>
        <v>950</v>
      </c>
      <c r="O261" s="39">
        <f>ROUNDDOWN(Table2[[#This Row],[R-DEMAND]]/1320,0)</f>
        <v>0</v>
      </c>
      <c r="P261" s="39">
        <f>Table2[[#This Row],[ADD ACC]]*Table2[[#This Row],[RT TIME (744)]]</f>
        <v>0</v>
      </c>
    </row>
    <row r="262" spans="1:16" ht="15" customHeight="1" x14ac:dyDescent="0.25">
      <c r="A262" s="38" t="str">
        <f t="shared" si="8"/>
        <v>MPM/SCU</v>
      </c>
      <c r="B262" s="39" t="s">
        <v>3452</v>
      </c>
      <c r="C262" s="39" t="s">
        <v>2</v>
      </c>
      <c r="D262" s="39"/>
      <c r="E262" s="39" t="s">
        <v>11479</v>
      </c>
      <c r="F262" s="39"/>
      <c r="G262" s="39" t="s">
        <v>11485</v>
      </c>
      <c r="H262" s="40"/>
      <c r="I262" s="41">
        <v>30.25</v>
      </c>
      <c r="J262" s="42">
        <v>237353718</v>
      </c>
      <c r="K262" s="42">
        <f t="shared" si="9"/>
        <v>73804.016791044778</v>
      </c>
      <c r="L262" s="43">
        <v>3216</v>
      </c>
      <c r="M262" s="39">
        <f>VLOOKUP(Table2[[#This Row],[ROUTE]],DEMAND!A:F,5,FALSE)</f>
        <v>3375</v>
      </c>
      <c r="N262" s="39">
        <f>VLOOKUP(Table2[[#This Row],[ROUTE]],DEMAND!A:F,6,FALSE)</f>
        <v>735</v>
      </c>
      <c r="O262" s="39">
        <f>ROUNDDOWN(Table2[[#This Row],[R-DEMAND]]/1320,0)</f>
        <v>0</v>
      </c>
      <c r="P262" s="39">
        <f>Table2[[#This Row],[ADD ACC]]*Table2[[#This Row],[RT TIME (744)]]</f>
        <v>0</v>
      </c>
    </row>
    <row r="263" spans="1:16" ht="15" customHeight="1" x14ac:dyDescent="0.25">
      <c r="A263" s="38" t="str">
        <f t="shared" si="8"/>
        <v>MPM/SDQ</v>
      </c>
      <c r="B263" s="39" t="s">
        <v>5147</v>
      </c>
      <c r="C263" s="39" t="s">
        <v>2</v>
      </c>
      <c r="D263" s="39"/>
      <c r="E263" s="39" t="s">
        <v>11478</v>
      </c>
      <c r="F263" s="39"/>
      <c r="G263" s="39" t="s">
        <v>11475</v>
      </c>
      <c r="H263" s="40"/>
      <c r="I263" s="41">
        <v>29</v>
      </c>
      <c r="J263" s="42">
        <v>249216072</v>
      </c>
      <c r="K263" s="42">
        <f t="shared" si="9"/>
        <v>56053.997300944669</v>
      </c>
      <c r="L263" s="43">
        <v>4446</v>
      </c>
      <c r="M263" s="39">
        <f>VLOOKUP(Table2[[#This Row],[ROUTE]],DEMAND!A:F,5,FALSE)</f>
        <v>4667</v>
      </c>
      <c r="N263" s="39">
        <f>VLOOKUP(Table2[[#This Row],[ROUTE]],DEMAND!A:F,6,FALSE)</f>
        <v>707</v>
      </c>
      <c r="O263" s="39">
        <f>ROUNDDOWN(Table2[[#This Row],[R-DEMAND]]/1320,0)</f>
        <v>0</v>
      </c>
      <c r="P263" s="39">
        <f>Table2[[#This Row],[ADD ACC]]*Table2[[#This Row],[RT TIME (744)]]</f>
        <v>0</v>
      </c>
    </row>
    <row r="264" spans="1:16" ht="15" customHeight="1" x14ac:dyDescent="0.25">
      <c r="A264" s="38" t="str">
        <f t="shared" si="8"/>
        <v>MPM/SFJ</v>
      </c>
      <c r="B264" s="39" t="s">
        <v>2958</v>
      </c>
      <c r="C264" s="39" t="s">
        <v>2</v>
      </c>
      <c r="D264" s="39"/>
      <c r="E264" s="39" t="s">
        <v>11533</v>
      </c>
      <c r="F264" s="39"/>
      <c r="G264" s="39" t="s">
        <v>11534</v>
      </c>
      <c r="H264" s="40"/>
      <c r="I264" s="41">
        <v>29.5</v>
      </c>
      <c r="J264" s="42">
        <v>232507647</v>
      </c>
      <c r="K264" s="42">
        <f t="shared" si="9"/>
        <v>81725.007732864673</v>
      </c>
      <c r="L264" s="43">
        <v>2845</v>
      </c>
      <c r="M264" s="39">
        <f>VLOOKUP(Table2[[#This Row],[ROUTE]],DEMAND!A:F,5,FALSE)</f>
        <v>2987</v>
      </c>
      <c r="N264" s="39">
        <f>VLOOKUP(Table2[[#This Row],[ROUTE]],DEMAND!A:F,6,FALSE)</f>
        <v>347</v>
      </c>
      <c r="O264" s="39">
        <f>ROUNDDOWN(Table2[[#This Row],[R-DEMAND]]/1320,0)</f>
        <v>0</v>
      </c>
      <c r="P264" s="39">
        <f>Table2[[#This Row],[ADD ACC]]*Table2[[#This Row],[RT TIME (744)]]</f>
        <v>0</v>
      </c>
    </row>
    <row r="265" spans="1:16" ht="15" customHeight="1" x14ac:dyDescent="0.25">
      <c r="A265" s="1" t="str">
        <f t="shared" si="8"/>
        <v>MPM/SGN</v>
      </c>
      <c r="B265" s="4" t="s">
        <v>100</v>
      </c>
      <c r="C265" s="39" t="s">
        <v>2</v>
      </c>
      <c r="D265" s="39"/>
      <c r="E265" s="4" t="s">
        <v>99</v>
      </c>
      <c r="F265" s="4"/>
      <c r="G265" s="4" t="s">
        <v>98</v>
      </c>
      <c r="H265" s="8">
        <v>8984</v>
      </c>
      <c r="I265" s="7">
        <v>22</v>
      </c>
      <c r="J265" s="6"/>
      <c r="K265" s="6">
        <f t="shared" si="9"/>
        <v>0</v>
      </c>
      <c r="L265" s="5">
        <v>3587</v>
      </c>
      <c r="M265" s="39">
        <f>VLOOKUP(Table2[[#This Row],[ROUTE]],DEMAND!A:F,5,FALSE)</f>
        <v>5735</v>
      </c>
      <c r="N265" s="39">
        <f>VLOOKUP(Table2[[#This Row],[ROUTE]],DEMAND!A:F,6,FALSE)</f>
        <v>455</v>
      </c>
      <c r="O265" s="39">
        <f>ROUNDDOWN(Table2[[#This Row],[R-DEMAND]]/1320,0)</f>
        <v>0</v>
      </c>
      <c r="P265" s="39">
        <f>Table2[[#This Row],[ADD ACC]]*Table2[[#This Row],[RT TIME (744)]]</f>
        <v>0</v>
      </c>
    </row>
    <row r="266" spans="1:16" ht="15" customHeight="1" x14ac:dyDescent="0.25">
      <c r="A266" s="1" t="str">
        <f t="shared" si="8"/>
        <v>MPM/SHA</v>
      </c>
      <c r="B266" s="4" t="s">
        <v>97</v>
      </c>
      <c r="C266" s="39" t="s">
        <v>2</v>
      </c>
      <c r="D266" s="39"/>
      <c r="E266" s="4" t="s">
        <v>17</v>
      </c>
      <c r="F266" s="4"/>
      <c r="G266" s="4" t="s">
        <v>96</v>
      </c>
      <c r="H266" s="8">
        <v>11357</v>
      </c>
      <c r="I266" s="7">
        <v>27.25</v>
      </c>
      <c r="J266" s="6">
        <v>269367794</v>
      </c>
      <c r="K266" s="6">
        <f t="shared" si="9"/>
        <v>52941.783411949684</v>
      </c>
      <c r="L266" s="4">
        <v>5088</v>
      </c>
      <c r="M266" s="39">
        <f>VLOOKUP(Table2[[#This Row],[ROUTE]],DEMAND!A:F,5,FALSE)</f>
        <v>6040</v>
      </c>
      <c r="N266" s="39">
        <f>VLOOKUP(Table2[[#This Row],[ROUTE]],DEMAND!A:F,6,FALSE)</f>
        <v>760</v>
      </c>
      <c r="O266" s="39">
        <f>ROUNDDOWN(Table2[[#This Row],[R-DEMAND]]/1320,0)</f>
        <v>0</v>
      </c>
      <c r="P266" s="39">
        <f>Table2[[#This Row],[ADD ACC]]*Table2[[#This Row],[RT TIME (744)]]</f>
        <v>0</v>
      </c>
    </row>
    <row r="267" spans="1:16" ht="15" customHeight="1" x14ac:dyDescent="0.25">
      <c r="A267" s="1" t="str">
        <f t="shared" si="8"/>
        <v>MPM/SHE</v>
      </c>
      <c r="B267" s="10" t="s">
        <v>95</v>
      </c>
      <c r="C267" s="39" t="s">
        <v>2</v>
      </c>
      <c r="D267" s="39"/>
      <c r="E267" s="10" t="s">
        <v>14</v>
      </c>
      <c r="F267" s="10"/>
      <c r="G267" s="10" t="s">
        <v>94</v>
      </c>
      <c r="H267" s="8">
        <v>11959</v>
      </c>
      <c r="I267" s="7">
        <v>28.5</v>
      </c>
      <c r="J267" s="6">
        <v>258566058</v>
      </c>
      <c r="K267" s="6">
        <f t="shared" si="9"/>
        <v>59495.181316152783</v>
      </c>
      <c r="L267" s="4">
        <v>4346</v>
      </c>
      <c r="M267" s="39">
        <f>VLOOKUP(Table2[[#This Row],[ROUTE]],DEMAND!A:F,5,FALSE)</f>
        <v>5160</v>
      </c>
      <c r="N267" s="39">
        <f>VLOOKUP(Table2[[#This Row],[ROUTE]],DEMAND!A:F,6,FALSE)</f>
        <v>1200</v>
      </c>
      <c r="O267" s="39">
        <f>ROUNDDOWN(Table2[[#This Row],[R-DEMAND]]/1320,0)</f>
        <v>0</v>
      </c>
      <c r="P267" s="39">
        <f>Table2[[#This Row],[ADD ACC]]*Table2[[#This Row],[RT TIME (744)]]</f>
        <v>0</v>
      </c>
    </row>
    <row r="268" spans="1:16" ht="15" customHeight="1" x14ac:dyDescent="0.25">
      <c r="A268" s="1" t="str">
        <f t="shared" si="8"/>
        <v>MPM/SIN</v>
      </c>
      <c r="B268" s="10" t="s">
        <v>93</v>
      </c>
      <c r="C268" s="39" t="s">
        <v>2</v>
      </c>
      <c r="D268" s="39"/>
      <c r="E268" s="10" t="s">
        <v>92</v>
      </c>
      <c r="F268" s="10"/>
      <c r="G268" s="10" t="s">
        <v>91</v>
      </c>
      <c r="H268" s="8">
        <v>8227</v>
      </c>
      <c r="I268" s="7">
        <v>20.25</v>
      </c>
      <c r="J268" s="6">
        <v>248416409</v>
      </c>
      <c r="K268" s="6">
        <f t="shared" si="9"/>
        <v>56291.95762519828</v>
      </c>
      <c r="L268" s="4">
        <v>4413</v>
      </c>
      <c r="M268" s="39">
        <f>VLOOKUP(Table2[[#This Row],[ROUTE]],DEMAND!A:F,5,FALSE)</f>
        <v>4692</v>
      </c>
      <c r="N268" s="39">
        <f>VLOOKUP(Table2[[#This Row],[ROUTE]],DEMAND!A:F,6,FALSE)</f>
        <v>732</v>
      </c>
      <c r="O268" s="39">
        <f>ROUNDDOWN(Table2[[#This Row],[R-DEMAND]]/1320,0)</f>
        <v>0</v>
      </c>
      <c r="P268" s="39">
        <f>Table2[[#This Row],[ADD ACC]]*Table2[[#This Row],[RT TIME (744)]]</f>
        <v>0</v>
      </c>
    </row>
    <row r="269" spans="1:16" ht="15" customHeight="1" x14ac:dyDescent="0.25">
      <c r="A269" s="38" t="str">
        <f t="shared" si="8"/>
        <v>MPM/SJU</v>
      </c>
      <c r="B269" s="39" t="s">
        <v>5532</v>
      </c>
      <c r="C269" s="39" t="s">
        <v>2</v>
      </c>
      <c r="D269" s="39"/>
      <c r="E269" s="39" t="s">
        <v>11487</v>
      </c>
      <c r="F269" s="39"/>
      <c r="G269" s="39" t="s">
        <v>11488</v>
      </c>
      <c r="H269" s="40"/>
      <c r="I269" s="41">
        <v>28</v>
      </c>
      <c r="J269" s="42">
        <v>258252656</v>
      </c>
      <c r="K269" s="42">
        <f t="shared" si="9"/>
        <v>68538.390658174103</v>
      </c>
      <c r="L269" s="43">
        <v>3768</v>
      </c>
      <c r="M269" s="39">
        <f>VLOOKUP(Table2[[#This Row],[ROUTE]],DEMAND!A:F,5,FALSE)</f>
        <v>3955</v>
      </c>
      <c r="N269" s="39">
        <f>VLOOKUP(Table2[[#This Row],[ROUTE]],DEMAND!A:F,6,FALSE)</f>
        <v>1315</v>
      </c>
      <c r="O269" s="39">
        <f>ROUNDDOWN(Table2[[#This Row],[R-DEMAND]]/1320,0)</f>
        <v>0</v>
      </c>
      <c r="P269" s="39">
        <f>Table2[[#This Row],[ADD ACC]]*Table2[[#This Row],[RT TIME (744)]]</f>
        <v>0</v>
      </c>
    </row>
    <row r="270" spans="1:16" ht="15" customHeight="1" x14ac:dyDescent="0.25">
      <c r="A270" s="38" t="str">
        <f t="shared" si="8"/>
        <v>MPM/SLA</v>
      </c>
      <c r="B270" s="39" t="s">
        <v>4017</v>
      </c>
      <c r="C270" s="39" t="s">
        <v>2</v>
      </c>
      <c r="D270" s="39"/>
      <c r="E270" s="39" t="s">
        <v>311</v>
      </c>
      <c r="F270" s="39"/>
      <c r="G270" s="39" t="s">
        <v>11526</v>
      </c>
      <c r="H270" s="40"/>
      <c r="I270" s="41">
        <v>23.25</v>
      </c>
      <c r="J270" s="42">
        <v>210403694</v>
      </c>
      <c r="K270" s="42">
        <f t="shared" si="9"/>
        <v>66986.212671123852</v>
      </c>
      <c r="L270" s="43">
        <v>3141</v>
      </c>
      <c r="M270" s="39">
        <f>VLOOKUP(Table2[[#This Row],[ROUTE]],DEMAND!A:F,5,FALSE)</f>
        <v>3296</v>
      </c>
      <c r="N270" s="39">
        <f>VLOOKUP(Table2[[#This Row],[ROUTE]],DEMAND!A:F,6,FALSE)</f>
        <v>656</v>
      </c>
      <c r="O270" s="39">
        <f>ROUNDDOWN(Table2[[#This Row],[R-DEMAND]]/1320,0)</f>
        <v>0</v>
      </c>
      <c r="P270" s="39">
        <f>Table2[[#This Row],[ADD ACC]]*Table2[[#This Row],[RT TIME (744)]]</f>
        <v>0</v>
      </c>
    </row>
    <row r="271" spans="1:16" ht="15" customHeight="1" x14ac:dyDescent="0.25">
      <c r="A271" s="1" t="str">
        <f t="shared" si="8"/>
        <v>MPM/SLL</v>
      </c>
      <c r="B271" s="4" t="s">
        <v>90</v>
      </c>
      <c r="C271" s="39" t="s">
        <v>11122</v>
      </c>
      <c r="D271" s="39"/>
      <c r="E271" s="4" t="s">
        <v>89</v>
      </c>
      <c r="F271" s="4"/>
      <c r="G271" s="4" t="s">
        <v>88</v>
      </c>
      <c r="H271" s="8">
        <v>5315</v>
      </c>
      <c r="I271" s="7">
        <v>14</v>
      </c>
      <c r="J271" s="6">
        <v>167028085</v>
      </c>
      <c r="K271" s="6">
        <f t="shared" si="9"/>
        <v>80767.93278529981</v>
      </c>
      <c r="L271" s="4">
        <v>2068</v>
      </c>
      <c r="M271" s="39" t="e">
        <f>VLOOKUP(Table2[[#This Row],[ROUTE]],DEMAND!A:F,5,FALSE)</f>
        <v>#N/A</v>
      </c>
      <c r="N271" s="39" t="e">
        <f>VLOOKUP(Table2[[#This Row],[ROUTE]],DEMAND!A:F,6,FALSE)</f>
        <v>#N/A</v>
      </c>
      <c r="O271" s="39" t="e">
        <f>ROUNDDOWN(Table2[[#This Row],[R-DEMAND]]/1320,0)</f>
        <v>#N/A</v>
      </c>
      <c r="P271" s="39" t="e">
        <f>Table2[[#This Row],[ADD ACC]]*Table2[[#This Row],[RT TIME (744)]]</f>
        <v>#N/A</v>
      </c>
    </row>
    <row r="272" spans="1:16" ht="15" customHeight="1" x14ac:dyDescent="0.25">
      <c r="A272" s="38" t="str">
        <f t="shared" si="8"/>
        <v>MPM/SMA</v>
      </c>
      <c r="B272" s="39" t="s">
        <v>2686</v>
      </c>
      <c r="C272" s="39" t="s">
        <v>11122</v>
      </c>
      <c r="D272" s="39"/>
      <c r="E272" s="39" t="s">
        <v>192</v>
      </c>
      <c r="F272" s="39"/>
      <c r="G272" s="39" t="s">
        <v>11536</v>
      </c>
      <c r="H272" s="40"/>
      <c r="I272" s="41">
        <v>22.5</v>
      </c>
      <c r="J272" s="42">
        <v>199294683</v>
      </c>
      <c r="K272" s="42">
        <f t="shared" si="9"/>
        <v>80038.02530120482</v>
      </c>
      <c r="L272" s="43">
        <v>2490</v>
      </c>
      <c r="M272" s="39" t="e">
        <f>VLOOKUP(Table2[[#This Row],[ROUTE]],DEMAND!A:F,5,FALSE)</f>
        <v>#N/A</v>
      </c>
      <c r="N272" s="39" t="e">
        <f>VLOOKUP(Table2[[#This Row],[ROUTE]],DEMAND!A:F,6,FALSE)</f>
        <v>#N/A</v>
      </c>
      <c r="O272" s="39" t="e">
        <f>ROUNDDOWN(Table2[[#This Row],[R-DEMAND]]/1320,0)</f>
        <v>#N/A</v>
      </c>
      <c r="P272" s="39" t="e">
        <f>Table2[[#This Row],[ADD ACC]]*Table2[[#This Row],[RT TIME (744)]]</f>
        <v>#N/A</v>
      </c>
    </row>
    <row r="273" spans="1:16" ht="15" customHeight="1" x14ac:dyDescent="0.25">
      <c r="A273" s="1" t="str">
        <f t="shared" si="8"/>
        <v>MPM/SNN</v>
      </c>
      <c r="B273" s="4" t="s">
        <v>87</v>
      </c>
      <c r="C273" s="39" t="s">
        <v>11122</v>
      </c>
      <c r="D273" s="39"/>
      <c r="E273" s="4" t="s">
        <v>86</v>
      </c>
      <c r="F273" s="4"/>
      <c r="G273" s="4" t="s">
        <v>85</v>
      </c>
      <c r="H273" s="8">
        <v>9624</v>
      </c>
      <c r="I273" s="7">
        <v>23.5</v>
      </c>
      <c r="J273" s="6">
        <v>225693547</v>
      </c>
      <c r="K273" s="6">
        <f t="shared" si="9"/>
        <v>97914.77093275488</v>
      </c>
      <c r="L273" s="4">
        <v>2305</v>
      </c>
      <c r="M273" s="39" t="e">
        <f>VLOOKUP(Table2[[#This Row],[ROUTE]],DEMAND!A:F,5,FALSE)</f>
        <v>#N/A</v>
      </c>
      <c r="N273" s="39" t="e">
        <f>VLOOKUP(Table2[[#This Row],[ROUTE]],DEMAND!A:F,6,FALSE)</f>
        <v>#N/A</v>
      </c>
      <c r="O273" s="39" t="e">
        <f>ROUNDDOWN(Table2[[#This Row],[R-DEMAND]]/1320,0)</f>
        <v>#N/A</v>
      </c>
      <c r="P273" s="39" t="e">
        <f>Table2[[#This Row],[ADD ACC]]*Table2[[#This Row],[RT TIME (744)]]</f>
        <v>#N/A</v>
      </c>
    </row>
    <row r="274" spans="1:16" ht="15" customHeight="1" x14ac:dyDescent="0.25">
      <c r="A274" s="38" t="str">
        <f t="shared" si="8"/>
        <v>MPM/SNU</v>
      </c>
      <c r="B274" s="39" t="s">
        <v>2484</v>
      </c>
      <c r="C274" s="39" t="s">
        <v>2</v>
      </c>
      <c r="D274" s="39"/>
      <c r="E274" s="39" t="s">
        <v>11479</v>
      </c>
      <c r="F274" s="39"/>
      <c r="G274" s="39" t="s">
        <v>11483</v>
      </c>
      <c r="H274" s="40"/>
      <c r="I274" s="41">
        <v>31.5</v>
      </c>
      <c r="J274" s="42">
        <v>237981308</v>
      </c>
      <c r="K274" s="42">
        <f t="shared" si="9"/>
        <v>80589.674229597018</v>
      </c>
      <c r="L274" s="43">
        <v>2953</v>
      </c>
      <c r="M274" s="39">
        <f>VLOOKUP(Table2[[#This Row],[ROUTE]],DEMAND!A:F,5,FALSE)</f>
        <v>3100</v>
      </c>
      <c r="N274" s="39">
        <f>VLOOKUP(Table2[[#This Row],[ROUTE]],DEMAND!A:F,6,FALSE)</f>
        <v>460</v>
      </c>
      <c r="O274" s="39">
        <f>ROUNDDOWN(Table2[[#This Row],[R-DEMAND]]/1320,0)</f>
        <v>0</v>
      </c>
      <c r="P274" s="39">
        <f>Table2[[#This Row],[ADD ACC]]*Table2[[#This Row],[RT TIME (744)]]</f>
        <v>0</v>
      </c>
    </row>
    <row r="275" spans="1:16" ht="15" customHeight="1" x14ac:dyDescent="0.25">
      <c r="A275" s="38" t="str">
        <f t="shared" si="8"/>
        <v>MPM/SRE</v>
      </c>
      <c r="B275" s="39" t="s">
        <v>3107</v>
      </c>
      <c r="C275" s="39" t="s">
        <v>2</v>
      </c>
      <c r="D275" s="39"/>
      <c r="E275" s="39" t="s">
        <v>11530</v>
      </c>
      <c r="F275" s="39"/>
      <c r="G275" s="39" t="s">
        <v>11532</v>
      </c>
      <c r="H275" s="40"/>
      <c r="I275" s="41">
        <v>24</v>
      </c>
      <c r="J275" s="42">
        <v>207367098</v>
      </c>
      <c r="K275" s="42">
        <f t="shared" si="9"/>
        <v>62591.940235436159</v>
      </c>
      <c r="L275" s="43">
        <v>3313</v>
      </c>
      <c r="M275" s="39">
        <f>VLOOKUP(Table2[[#This Row],[ROUTE]],DEMAND!A:F,5,FALSE)</f>
        <v>3477</v>
      </c>
      <c r="N275" s="39">
        <f>VLOOKUP(Table2[[#This Row],[ROUTE]],DEMAND!A:F,6,FALSE)</f>
        <v>837</v>
      </c>
      <c r="O275" s="39">
        <f>ROUNDDOWN(Table2[[#This Row],[R-DEMAND]]/1320,0)</f>
        <v>0</v>
      </c>
      <c r="P275" s="39">
        <f>Table2[[#This Row],[ADD ACC]]*Table2[[#This Row],[RT TIME (744)]]</f>
        <v>0</v>
      </c>
    </row>
    <row r="276" spans="1:16" ht="15" customHeight="1" x14ac:dyDescent="0.25">
      <c r="A276" s="38" t="str">
        <f t="shared" si="8"/>
        <v>MPM/SRZ</v>
      </c>
      <c r="B276" s="26" t="s">
        <v>4100</v>
      </c>
      <c r="C276" s="39" t="s">
        <v>2</v>
      </c>
      <c r="D276" s="39"/>
      <c r="E276" s="39" t="s">
        <v>11530</v>
      </c>
      <c r="F276" s="39"/>
      <c r="G276" s="39" t="s">
        <v>11556</v>
      </c>
      <c r="H276" s="40">
        <v>9704</v>
      </c>
      <c r="I276" s="41">
        <v>23.5</v>
      </c>
      <c r="J276" s="42"/>
      <c r="K276" s="42">
        <f t="shared" si="9"/>
        <v>0</v>
      </c>
      <c r="L276" s="43">
        <v>3908</v>
      </c>
      <c r="M276" s="39">
        <f>VLOOKUP(Table2[[#This Row],[ROUTE]],DEMAND!A:F,5,FALSE)</f>
        <v>3823</v>
      </c>
      <c r="N276" s="39">
        <f>VLOOKUP(Table2[[#This Row],[ROUTE]],DEMAND!A:F,6,FALSE)</f>
        <v>1183</v>
      </c>
      <c r="O276" s="39">
        <f>ROUNDDOWN(Table2[[#This Row],[R-DEMAND]]/1320,0)</f>
        <v>0</v>
      </c>
      <c r="P276" s="39">
        <f>Table2[[#This Row],[ADD ACC]]*Table2[[#This Row],[RT TIME (744)]]</f>
        <v>0</v>
      </c>
    </row>
    <row r="277" spans="1:16" ht="15" customHeight="1" x14ac:dyDescent="0.25">
      <c r="A277" s="1" t="str">
        <f t="shared" si="8"/>
        <v>MPM/STN</v>
      </c>
      <c r="B277" s="10" t="s">
        <v>84</v>
      </c>
      <c r="C277" s="39" t="s">
        <v>2</v>
      </c>
      <c r="D277" s="39"/>
      <c r="E277" s="10" t="s">
        <v>83</v>
      </c>
      <c r="F277" s="10"/>
      <c r="G277" s="10" t="s">
        <v>82</v>
      </c>
      <c r="H277" s="8">
        <v>9210</v>
      </c>
      <c r="I277" s="7">
        <v>22.5</v>
      </c>
      <c r="J277" s="6">
        <v>246859046</v>
      </c>
      <c r="K277" s="6">
        <f t="shared" si="9"/>
        <v>68005.246831955927</v>
      </c>
      <c r="L277" s="4">
        <v>3630</v>
      </c>
      <c r="M277" s="39">
        <f>VLOOKUP(Table2[[#This Row],[ROUTE]],DEMAND!A:F,5,FALSE)</f>
        <v>4238</v>
      </c>
      <c r="N277" s="39">
        <f>VLOOKUP(Table2[[#This Row],[ROUTE]],DEMAND!A:F,6,FALSE)</f>
        <v>278</v>
      </c>
      <c r="O277" s="39">
        <f>ROUNDDOWN(Table2[[#This Row],[R-DEMAND]]/1320,0)</f>
        <v>0</v>
      </c>
      <c r="P277" s="39">
        <f>Table2[[#This Row],[ADD ACC]]*Table2[[#This Row],[RT TIME (744)]]</f>
        <v>0</v>
      </c>
    </row>
    <row r="278" spans="1:16" ht="15" customHeight="1" x14ac:dyDescent="0.25">
      <c r="A278" s="1" t="str">
        <f t="shared" si="8"/>
        <v>MPM/SUB</v>
      </c>
      <c r="B278" s="4" t="s">
        <v>81</v>
      </c>
      <c r="C278" s="39" t="s">
        <v>2</v>
      </c>
      <c r="D278" s="39"/>
      <c r="E278" s="4" t="s">
        <v>36</v>
      </c>
      <c r="F278" s="4"/>
      <c r="G278" s="4" t="s">
        <v>80</v>
      </c>
      <c r="H278" s="8"/>
      <c r="I278" s="7">
        <v>21.25</v>
      </c>
      <c r="J278" s="6">
        <v>229833000</v>
      </c>
      <c r="K278" s="6">
        <f t="shared" si="9"/>
        <v>68058.335801006804</v>
      </c>
      <c r="L278" s="5">
        <v>3377</v>
      </c>
      <c r="M278" s="39">
        <f>VLOOKUP(Table2[[#This Row],[ROUTE]],DEMAND!A:F,5,FALSE)</f>
        <v>5586</v>
      </c>
      <c r="N278" s="39">
        <f>VLOOKUP(Table2[[#This Row],[ROUTE]],DEMAND!A:F,6,FALSE)</f>
        <v>306</v>
      </c>
      <c r="O278" s="39">
        <f>ROUNDDOWN(Table2[[#This Row],[R-DEMAND]]/1320,0)</f>
        <v>0</v>
      </c>
      <c r="P278" s="39">
        <f>Table2[[#This Row],[ADD ACC]]*Table2[[#This Row],[RT TIME (744)]]</f>
        <v>0</v>
      </c>
    </row>
    <row r="279" spans="1:16" ht="15" customHeight="1" x14ac:dyDescent="0.25">
      <c r="A279" s="1" t="str">
        <f t="shared" si="8"/>
        <v>MPM/SVO</v>
      </c>
      <c r="B279" s="10" t="s">
        <v>79</v>
      </c>
      <c r="C279" s="39" t="s">
        <v>2</v>
      </c>
      <c r="D279" s="39"/>
      <c r="E279" s="10" t="s">
        <v>78</v>
      </c>
      <c r="F279" s="10"/>
      <c r="G279" s="10" t="s">
        <v>77</v>
      </c>
      <c r="H279" s="8">
        <v>9120</v>
      </c>
      <c r="I279" s="7">
        <v>22.25</v>
      </c>
      <c r="J279" s="6">
        <v>239473194</v>
      </c>
      <c r="K279" s="6">
        <f t="shared" si="9"/>
        <v>48437.134708737867</v>
      </c>
      <c r="L279" s="4">
        <v>4944</v>
      </c>
      <c r="M279" s="39">
        <f>VLOOKUP(Table2[[#This Row],[ROUTE]],DEMAND!A:F,5,FALSE)</f>
        <v>5257</v>
      </c>
      <c r="N279" s="39">
        <f>VLOOKUP(Table2[[#This Row],[ROUTE]],DEMAND!A:F,6,FALSE)</f>
        <v>1297</v>
      </c>
      <c r="O279" s="39">
        <f>ROUNDDOWN(Table2[[#This Row],[R-DEMAND]]/1320,0)</f>
        <v>0</v>
      </c>
      <c r="P279" s="39">
        <f>Table2[[#This Row],[ADD ACC]]*Table2[[#This Row],[RT TIME (744)]]</f>
        <v>0</v>
      </c>
    </row>
    <row r="280" spans="1:16" ht="15" customHeight="1" x14ac:dyDescent="0.25">
      <c r="A280" s="1" t="str">
        <f t="shared" si="8"/>
        <v>MPM/SWF</v>
      </c>
      <c r="B280" s="4" t="s">
        <v>76</v>
      </c>
      <c r="C280" s="39" t="s">
        <v>11122</v>
      </c>
      <c r="D280" s="39"/>
      <c r="E280" s="39" t="s">
        <v>11471</v>
      </c>
      <c r="F280" s="4"/>
      <c r="G280" s="4" t="s">
        <v>75</v>
      </c>
      <c r="H280" s="8"/>
      <c r="I280" s="7">
        <v>31.5</v>
      </c>
      <c r="J280" s="6">
        <v>248052263</v>
      </c>
      <c r="K280" s="6">
        <f t="shared" si="9"/>
        <v>164381.88402915839</v>
      </c>
      <c r="L280" s="4">
        <v>1509</v>
      </c>
      <c r="M280" s="39" t="e">
        <f>VLOOKUP(Table2[[#This Row],[ROUTE]],DEMAND!A:F,5,FALSE)</f>
        <v>#N/A</v>
      </c>
      <c r="N280" s="39" t="e">
        <f>VLOOKUP(Table2[[#This Row],[ROUTE]],DEMAND!A:F,6,FALSE)</f>
        <v>#N/A</v>
      </c>
      <c r="O280" s="39" t="e">
        <f>ROUNDDOWN(Table2[[#This Row],[R-DEMAND]]/1320,0)</f>
        <v>#N/A</v>
      </c>
      <c r="P280" s="39" t="e">
        <f>Table2[[#This Row],[ADD ACC]]*Table2[[#This Row],[RT TIME (744)]]</f>
        <v>#N/A</v>
      </c>
    </row>
    <row r="281" spans="1:16" ht="15" customHeight="1" x14ac:dyDescent="0.25">
      <c r="A281" s="1" t="str">
        <f t="shared" si="8"/>
        <v>MPM/SXR</v>
      </c>
      <c r="B281" s="4" t="s">
        <v>74</v>
      </c>
      <c r="C281" s="39" t="s">
        <v>2</v>
      </c>
      <c r="D281" s="39"/>
      <c r="E281" s="4" t="s">
        <v>23</v>
      </c>
      <c r="F281" s="4"/>
      <c r="G281" s="4" t="s">
        <v>73</v>
      </c>
      <c r="H281" s="8">
        <v>8014</v>
      </c>
      <c r="I281" s="7">
        <v>19.75</v>
      </c>
      <c r="J281" s="6">
        <v>201169059</v>
      </c>
      <c r="K281" s="6">
        <f t="shared" si="9"/>
        <v>72284.965504850887</v>
      </c>
      <c r="L281" s="4">
        <v>2783</v>
      </c>
      <c r="M281" s="39">
        <f>VLOOKUP(Table2[[#This Row],[ROUTE]],DEMAND!A:F,5,FALSE)</f>
        <v>4523</v>
      </c>
      <c r="N281" s="39">
        <f>VLOOKUP(Table2[[#This Row],[ROUTE]],DEMAND!A:F,6,FALSE)</f>
        <v>563</v>
      </c>
      <c r="O281" s="39">
        <f>ROUNDDOWN(Table2[[#This Row],[R-DEMAND]]/1320,0)</f>
        <v>0</v>
      </c>
      <c r="P281" s="39">
        <f>Table2[[#This Row],[ADD ACC]]*Table2[[#This Row],[RT TIME (744)]]</f>
        <v>0</v>
      </c>
    </row>
    <row r="282" spans="1:16" ht="15" customHeight="1" x14ac:dyDescent="0.25">
      <c r="A282" s="1" t="str">
        <f t="shared" si="8"/>
        <v>MPM/SYD</v>
      </c>
      <c r="B282" s="4" t="s">
        <v>71</v>
      </c>
      <c r="C282" s="39" t="s">
        <v>2</v>
      </c>
      <c r="D282" s="39"/>
      <c r="E282" s="4" t="s">
        <v>70</v>
      </c>
      <c r="F282" s="4"/>
      <c r="G282" s="4" t="s">
        <v>69</v>
      </c>
      <c r="H282" s="8">
        <v>10732</v>
      </c>
      <c r="I282" s="7">
        <v>26</v>
      </c>
      <c r="J282" s="6"/>
      <c r="K282" s="6">
        <f t="shared" si="9"/>
        <v>0</v>
      </c>
      <c r="L282" s="5">
        <v>2985</v>
      </c>
      <c r="M282" s="39">
        <f>VLOOKUP(Table2[[#This Row],[ROUTE]],DEMAND!A:F,5,FALSE)</f>
        <v>5135</v>
      </c>
      <c r="N282" s="39">
        <f>VLOOKUP(Table2[[#This Row],[ROUTE]],DEMAND!A:F,6,FALSE)</f>
        <v>1175</v>
      </c>
      <c r="O282" s="39">
        <f>ROUNDDOWN(Table2[[#This Row],[R-DEMAND]]/1320,0)</f>
        <v>0</v>
      </c>
      <c r="P282" s="39">
        <f>Table2[[#This Row],[ADD ACC]]*Table2[[#This Row],[RT TIME (744)]]</f>
        <v>0</v>
      </c>
    </row>
    <row r="283" spans="1:16" ht="15" customHeight="1" x14ac:dyDescent="0.25">
      <c r="A283" s="1" t="str">
        <f t="shared" si="8"/>
        <v>MPM/SYX</v>
      </c>
      <c r="B283" s="4" t="s">
        <v>68</v>
      </c>
      <c r="C283" s="39" t="s">
        <v>2</v>
      </c>
      <c r="D283" s="39"/>
      <c r="E283" s="4" t="s">
        <v>14</v>
      </c>
      <c r="F283" s="4"/>
      <c r="G283" s="4" t="s">
        <v>66</v>
      </c>
      <c r="H283" s="8">
        <v>9646</v>
      </c>
      <c r="I283" s="7">
        <v>23.5</v>
      </c>
      <c r="J283" s="6">
        <v>236158843</v>
      </c>
      <c r="K283" s="6">
        <f t="shared" si="9"/>
        <v>59172.84966173891</v>
      </c>
      <c r="L283" s="4">
        <v>3991</v>
      </c>
      <c r="M283" s="39">
        <f>VLOOKUP(Table2[[#This Row],[ROUTE]],DEMAND!A:F,5,FALSE)</f>
        <v>4739</v>
      </c>
      <c r="N283" s="39">
        <f>VLOOKUP(Table2[[#This Row],[ROUTE]],DEMAND!A:F,6,FALSE)</f>
        <v>779</v>
      </c>
      <c r="O283" s="39">
        <f>ROUNDDOWN(Table2[[#This Row],[R-DEMAND]]/1320,0)</f>
        <v>0</v>
      </c>
      <c r="P283" s="39">
        <f>Table2[[#This Row],[ADD ACC]]*Table2[[#This Row],[RT TIME (744)]]</f>
        <v>0</v>
      </c>
    </row>
    <row r="284" spans="1:16" ht="15" customHeight="1" x14ac:dyDescent="0.25">
      <c r="A284" s="38" t="str">
        <f t="shared" si="8"/>
        <v>MPM/SZF</v>
      </c>
      <c r="B284" s="39" t="s">
        <v>4488</v>
      </c>
      <c r="C284" s="39" t="s">
        <v>2</v>
      </c>
      <c r="D284" s="39"/>
      <c r="E284" s="4" t="s">
        <v>251</v>
      </c>
      <c r="F284" s="39"/>
      <c r="G284" s="39" t="s">
        <v>11427</v>
      </c>
      <c r="H284" s="40">
        <v>7484</v>
      </c>
      <c r="I284" s="41">
        <v>18.75</v>
      </c>
      <c r="J284" s="42">
        <v>193996672</v>
      </c>
      <c r="K284" s="42">
        <f t="shared" si="9"/>
        <v>51458.003183023873</v>
      </c>
      <c r="L284" s="43">
        <v>3770</v>
      </c>
      <c r="M284" s="39">
        <f>VLOOKUP(Table2[[#This Row],[ROUTE]],DEMAND!A:F,5,FALSE)</f>
        <v>3818</v>
      </c>
      <c r="N284" s="39">
        <f>VLOOKUP(Table2[[#This Row],[ROUTE]],DEMAND!A:F,6,FALSE)</f>
        <v>1178</v>
      </c>
      <c r="O284" s="39">
        <f>ROUNDDOWN(Table2[[#This Row],[R-DEMAND]]/1320,0)</f>
        <v>0</v>
      </c>
      <c r="P284" s="39">
        <f>Table2[[#This Row],[ADD ACC]]*Table2[[#This Row],[RT TIME (744)]]</f>
        <v>0</v>
      </c>
    </row>
    <row r="285" spans="1:16" ht="15" customHeight="1" x14ac:dyDescent="0.25">
      <c r="A285" s="1" t="str">
        <f t="shared" si="8"/>
        <v>MPM/SZX</v>
      </c>
      <c r="B285" s="4" t="s">
        <v>65</v>
      </c>
      <c r="C285" s="39" t="s">
        <v>2</v>
      </c>
      <c r="D285" s="39"/>
      <c r="E285" s="4" t="s">
        <v>17</v>
      </c>
      <c r="F285" s="4"/>
      <c r="G285" s="4" t="s">
        <v>64</v>
      </c>
      <c r="H285" s="8">
        <v>10276</v>
      </c>
      <c r="I285" s="7">
        <v>25</v>
      </c>
      <c r="J285" s="6"/>
      <c r="K285" s="6">
        <f t="shared" si="9"/>
        <v>0</v>
      </c>
      <c r="L285" s="5">
        <v>3523</v>
      </c>
      <c r="M285" s="39">
        <f>VLOOKUP(Table2[[#This Row],[ROUTE]],DEMAND!A:F,5,FALSE)</f>
        <v>6059</v>
      </c>
      <c r="N285" s="39">
        <f>VLOOKUP(Table2[[#This Row],[ROUTE]],DEMAND!A:F,6,FALSE)</f>
        <v>779</v>
      </c>
      <c r="O285" s="39">
        <f>ROUNDDOWN(Table2[[#This Row],[R-DEMAND]]/1320,0)</f>
        <v>0</v>
      </c>
      <c r="P285" s="39">
        <f>Table2[[#This Row],[ADD ACC]]*Table2[[#This Row],[RT TIME (744)]]</f>
        <v>0</v>
      </c>
    </row>
    <row r="286" spans="1:16" ht="15" customHeight="1" x14ac:dyDescent="0.25">
      <c r="A286" s="1" t="str">
        <f t="shared" si="8"/>
        <v>MPM/TAE</v>
      </c>
      <c r="B286" s="39" t="s">
        <v>4683</v>
      </c>
      <c r="C286" s="39" t="s">
        <v>2</v>
      </c>
      <c r="D286" s="39"/>
      <c r="E286" s="10" t="s">
        <v>258</v>
      </c>
      <c r="F286" s="39"/>
      <c r="G286" s="39" t="s">
        <v>11138</v>
      </c>
      <c r="H286" s="40">
        <v>12177</v>
      </c>
      <c r="I286" s="41">
        <v>29</v>
      </c>
      <c r="J286" s="42">
        <v>243716815</v>
      </c>
      <c r="K286" s="42">
        <f t="shared" si="9"/>
        <v>72599.587429252308</v>
      </c>
      <c r="L286" s="43">
        <v>3357</v>
      </c>
      <c r="M286" s="39">
        <f>VLOOKUP(Table2[[#This Row],[ROUTE]],DEMAND!A:F,5,FALSE)</f>
        <v>3572</v>
      </c>
      <c r="N286" s="39">
        <f>VLOOKUP(Table2[[#This Row],[ROUTE]],DEMAND!A:F,6,FALSE)</f>
        <v>932</v>
      </c>
      <c r="O286" s="39">
        <f>ROUNDDOWN(Table2[[#This Row],[R-DEMAND]]/1320,0)</f>
        <v>0</v>
      </c>
      <c r="P286" s="39">
        <f>Table2[[#This Row],[ADD ACC]]*Table2[[#This Row],[RT TIME (744)]]</f>
        <v>0</v>
      </c>
    </row>
    <row r="287" spans="1:16" ht="15" customHeight="1" x14ac:dyDescent="0.25">
      <c r="A287" s="1" t="str">
        <f t="shared" si="8"/>
        <v>MPM/TAO</v>
      </c>
      <c r="B287" s="10" t="s">
        <v>63</v>
      </c>
      <c r="C287" s="39" t="s">
        <v>2</v>
      </c>
      <c r="D287" s="39"/>
      <c r="E287" s="10" t="s">
        <v>14</v>
      </c>
      <c r="F287" s="10"/>
      <c r="G287" s="10" t="s">
        <v>62</v>
      </c>
      <c r="H287" s="8">
        <v>11494</v>
      </c>
      <c r="I287" s="7">
        <v>27.5</v>
      </c>
      <c r="J287" s="6">
        <v>257059208</v>
      </c>
      <c r="K287" s="6">
        <f t="shared" si="9"/>
        <v>57353.683177153056</v>
      </c>
      <c r="L287" s="4">
        <v>4482</v>
      </c>
      <c r="M287" s="39">
        <f>VLOOKUP(Table2[[#This Row],[ROUTE]],DEMAND!A:F,5,FALSE)</f>
        <v>5322</v>
      </c>
      <c r="N287" s="39">
        <f>VLOOKUP(Table2[[#This Row],[ROUTE]],DEMAND!A:F,6,FALSE)</f>
        <v>42</v>
      </c>
      <c r="O287" s="39">
        <f>ROUNDDOWN(Table2[[#This Row],[R-DEMAND]]/1320,0)</f>
        <v>0</v>
      </c>
      <c r="P287" s="39">
        <f>Table2[[#This Row],[ADD ACC]]*Table2[[#This Row],[RT TIME (744)]]</f>
        <v>0</v>
      </c>
    </row>
    <row r="288" spans="1:16" ht="15" customHeight="1" x14ac:dyDescent="0.25">
      <c r="A288" s="38" t="str">
        <f t="shared" si="8"/>
        <v>MPM/TBS</v>
      </c>
      <c r="B288" s="39" t="s">
        <v>4223</v>
      </c>
      <c r="C288" s="39" t="s">
        <v>2</v>
      </c>
      <c r="D288" s="39"/>
      <c r="E288" s="39" t="s">
        <v>11158</v>
      </c>
      <c r="F288" s="39"/>
      <c r="G288" s="39" t="s">
        <v>11159</v>
      </c>
      <c r="H288" s="40">
        <v>7625</v>
      </c>
      <c r="I288" s="41">
        <v>19</v>
      </c>
      <c r="J288" s="42">
        <v>193052901</v>
      </c>
      <c r="K288" s="42">
        <f t="shared" si="9"/>
        <v>55427.1894918174</v>
      </c>
      <c r="L288" s="43">
        <v>3483</v>
      </c>
      <c r="M288" s="39">
        <f>VLOOKUP(Table2[[#This Row],[ROUTE]],DEMAND!A:F,5,FALSE)</f>
        <v>3702</v>
      </c>
      <c r="N288" s="39">
        <f>VLOOKUP(Table2[[#This Row],[ROUTE]],DEMAND!A:F,6,FALSE)</f>
        <v>-258</v>
      </c>
      <c r="O288" s="39">
        <f>ROUNDDOWN(Table2[[#This Row],[R-DEMAND]]/1320,0)</f>
        <v>0</v>
      </c>
      <c r="P288" s="39">
        <f>Table2[[#This Row],[ADD ACC]]*Table2[[#This Row],[RT TIME (744)]]</f>
        <v>0</v>
      </c>
    </row>
    <row r="289" spans="1:16" ht="15" customHeight="1" x14ac:dyDescent="0.25">
      <c r="A289" s="38" t="s">
        <v>11572</v>
      </c>
      <c r="B289" s="61" t="s">
        <v>3388</v>
      </c>
      <c r="C289" s="39" t="s">
        <v>2</v>
      </c>
      <c r="D289" s="39"/>
      <c r="E289" s="39" t="s">
        <v>11652</v>
      </c>
      <c r="F289" s="39"/>
      <c r="G289" s="39" t="s">
        <v>11653</v>
      </c>
      <c r="H289" s="62">
        <v>9496</v>
      </c>
      <c r="I289" s="41">
        <v>23.25</v>
      </c>
      <c r="J289" s="42"/>
      <c r="K289" s="42">
        <f t="shared" si="9"/>
        <v>0</v>
      </c>
      <c r="L289" s="57">
        <v>2831</v>
      </c>
      <c r="M289" s="39">
        <f>VLOOKUP(Table2[[#This Row],[ROUTE]],DEMAND!A:F,5,FALSE)</f>
        <v>2700</v>
      </c>
      <c r="N289" s="39">
        <f>VLOOKUP(Table2[[#This Row],[ROUTE]],DEMAND!A:F,6,FALSE)</f>
        <v>60</v>
      </c>
      <c r="O289" s="39">
        <f>ROUNDDOWN(Table2[[#This Row],[R-DEMAND]]/1320,0)</f>
        <v>0</v>
      </c>
      <c r="P289" s="39">
        <f>Table2[[#This Row],[ADD ACC]]*Table2[[#This Row],[RT TIME (744)]]</f>
        <v>0</v>
      </c>
    </row>
    <row r="290" spans="1:16" ht="15" customHeight="1" x14ac:dyDescent="0.25">
      <c r="A290" s="38" t="str">
        <f t="shared" ref="A290:A320" si="10">CONCATENATE("MPM/",B290)</f>
        <v>MPM/TFS</v>
      </c>
      <c r="B290" s="39" t="s">
        <v>5536</v>
      </c>
      <c r="C290" s="39" t="s">
        <v>2</v>
      </c>
      <c r="D290" s="39"/>
      <c r="E290" s="39" t="s">
        <v>184</v>
      </c>
      <c r="F290" s="39"/>
      <c r="G290" s="39" t="s">
        <v>11541</v>
      </c>
      <c r="H290" s="40"/>
      <c r="I290" s="41">
        <v>19.75</v>
      </c>
      <c r="J290" s="42">
        <v>220916919</v>
      </c>
      <c r="K290" s="42">
        <f t="shared" si="9"/>
        <v>68821.470093457945</v>
      </c>
      <c r="L290" s="43">
        <v>3210</v>
      </c>
      <c r="M290" s="39">
        <f>VLOOKUP(Table2[[#This Row],[ROUTE]],DEMAND!A:F,5,FALSE)</f>
        <v>3368</v>
      </c>
      <c r="N290" s="39">
        <f>VLOOKUP(Table2[[#This Row],[ROUTE]],DEMAND!A:F,6,FALSE)</f>
        <v>728</v>
      </c>
      <c r="O290" s="39">
        <f>ROUNDDOWN(Table2[[#This Row],[R-DEMAND]]/1320,0)</f>
        <v>0</v>
      </c>
      <c r="P290" s="39">
        <f>Table2[[#This Row],[ADD ACC]]*Table2[[#This Row],[RT TIME (744)]]</f>
        <v>0</v>
      </c>
    </row>
    <row r="291" spans="1:16" ht="15" customHeight="1" x14ac:dyDescent="0.25">
      <c r="A291" s="1" t="str">
        <f t="shared" si="10"/>
        <v>MPM/TGG</v>
      </c>
      <c r="B291" s="4" t="s">
        <v>61</v>
      </c>
      <c r="C291" s="39" t="s">
        <v>11122</v>
      </c>
      <c r="D291" s="39"/>
      <c r="E291" s="4" t="s">
        <v>60</v>
      </c>
      <c r="F291" s="4"/>
      <c r="G291" s="4" t="s">
        <v>59</v>
      </c>
      <c r="H291" s="8"/>
      <c r="I291" s="7">
        <v>20.5</v>
      </c>
      <c r="J291" s="6">
        <v>198572701</v>
      </c>
      <c r="K291" s="6">
        <f t="shared" si="9"/>
        <v>96347.744298884034</v>
      </c>
      <c r="L291" s="4">
        <v>2061</v>
      </c>
      <c r="M291" s="39" t="e">
        <f>VLOOKUP(Table2[[#This Row],[ROUTE]],DEMAND!A:F,5,FALSE)</f>
        <v>#N/A</v>
      </c>
      <c r="N291" s="39" t="e">
        <f>VLOOKUP(Table2[[#This Row],[ROUTE]],DEMAND!A:F,6,FALSE)</f>
        <v>#N/A</v>
      </c>
      <c r="O291" s="39" t="e">
        <f>ROUNDDOWN(Table2[[#This Row],[R-DEMAND]]/1320,0)</f>
        <v>#N/A</v>
      </c>
      <c r="P291" s="39" t="e">
        <f>Table2[[#This Row],[ADD ACC]]*Table2[[#This Row],[RT TIME (744)]]</f>
        <v>#N/A</v>
      </c>
    </row>
    <row r="292" spans="1:16" ht="15" customHeight="1" x14ac:dyDescent="0.25">
      <c r="A292" s="1" t="str">
        <f t="shared" si="10"/>
        <v>MPM/THR</v>
      </c>
      <c r="B292" s="4" t="s">
        <v>58</v>
      </c>
      <c r="C292" s="39" t="s">
        <v>2</v>
      </c>
      <c r="D292" s="39"/>
      <c r="E292" s="4" t="s">
        <v>57</v>
      </c>
      <c r="F292" s="4"/>
      <c r="G292" s="4" t="s">
        <v>56</v>
      </c>
      <c r="H292" s="8">
        <v>7130</v>
      </c>
      <c r="I292" s="7">
        <v>18</v>
      </c>
      <c r="J292" s="6">
        <v>213444344</v>
      </c>
      <c r="K292" s="6">
        <f t="shared" si="9"/>
        <v>65938.938523324061</v>
      </c>
      <c r="L292" s="4">
        <v>3237</v>
      </c>
      <c r="M292" s="39">
        <f>VLOOKUP(Table2[[#This Row],[ROUTE]],DEMAND!A:F,5,FALSE)</f>
        <v>5236</v>
      </c>
      <c r="N292" s="39">
        <f>VLOOKUP(Table2[[#This Row],[ROUTE]],DEMAND!A:F,6,FALSE)</f>
        <v>1276</v>
      </c>
      <c r="O292" s="39">
        <f>ROUNDDOWN(Table2[[#This Row],[R-DEMAND]]/1320,0)</f>
        <v>0</v>
      </c>
      <c r="P292" s="39">
        <f>Table2[[#This Row],[ADD ACC]]*Table2[[#This Row],[RT TIME (744)]]</f>
        <v>0</v>
      </c>
    </row>
    <row r="293" spans="1:16" ht="15" customHeight="1" x14ac:dyDescent="0.25">
      <c r="A293" s="38" t="str">
        <f t="shared" si="10"/>
        <v>MPM/TJA</v>
      </c>
      <c r="B293" s="39" t="s">
        <v>3251</v>
      </c>
      <c r="C293" s="39" t="s">
        <v>2</v>
      </c>
      <c r="D293" s="39"/>
      <c r="E293" s="39" t="s">
        <v>11530</v>
      </c>
      <c r="F293" s="39"/>
      <c r="G293" s="39" t="s">
        <v>11531</v>
      </c>
      <c r="H293" s="40"/>
      <c r="I293" s="41">
        <v>23.5</v>
      </c>
      <c r="J293" s="42">
        <v>206371056</v>
      </c>
      <c r="K293" s="42">
        <f t="shared" si="9"/>
        <v>61456.538415723648</v>
      </c>
      <c r="L293" s="43">
        <v>3358</v>
      </c>
      <c r="M293" s="39">
        <f>VLOOKUP(Table2[[#This Row],[ROUTE]],DEMAND!A:F,5,FALSE)</f>
        <v>3523</v>
      </c>
      <c r="N293" s="39">
        <f>VLOOKUP(Table2[[#This Row],[ROUTE]],DEMAND!A:F,6,FALSE)</f>
        <v>883</v>
      </c>
      <c r="O293" s="39">
        <f>ROUNDDOWN(Table2[[#This Row],[R-DEMAND]]/1320,0)</f>
        <v>0</v>
      </c>
      <c r="P293" s="39">
        <f>Table2[[#This Row],[ADD ACC]]*Table2[[#This Row],[RT TIME (744)]]</f>
        <v>0</v>
      </c>
    </row>
    <row r="294" spans="1:16" ht="15" customHeight="1" x14ac:dyDescent="0.25">
      <c r="A294" s="1" t="str">
        <f t="shared" si="10"/>
        <v>MPM/TLV</v>
      </c>
      <c r="B294" s="4" t="s">
        <v>55</v>
      </c>
      <c r="C294" s="39" t="s">
        <v>11122</v>
      </c>
      <c r="D294" s="39"/>
      <c r="E294" s="4" t="s">
        <v>54</v>
      </c>
      <c r="F294" s="4"/>
      <c r="G294" s="4" t="s">
        <v>53</v>
      </c>
      <c r="H294" s="8">
        <v>6448</v>
      </c>
      <c r="I294" s="7">
        <v>16.5</v>
      </c>
      <c r="J294" s="6">
        <v>209113469</v>
      </c>
      <c r="K294" s="6">
        <f t="shared" si="9"/>
        <v>53577.624647706893</v>
      </c>
      <c r="L294" s="4">
        <v>3903</v>
      </c>
      <c r="M294" s="39" t="e">
        <f>VLOOKUP(Table2[[#This Row],[ROUTE]],DEMAND!A:F,5,FALSE)</f>
        <v>#N/A</v>
      </c>
      <c r="N294" s="39" t="e">
        <f>VLOOKUP(Table2[[#This Row],[ROUTE]],DEMAND!A:F,6,FALSE)</f>
        <v>#N/A</v>
      </c>
      <c r="O294" s="39" t="e">
        <f>ROUNDDOWN(Table2[[#This Row],[R-DEMAND]]/1320,0)</f>
        <v>#N/A</v>
      </c>
      <c r="P294" s="39" t="e">
        <f>Table2[[#This Row],[ADD ACC]]*Table2[[#This Row],[RT TIME (744)]]</f>
        <v>#N/A</v>
      </c>
    </row>
    <row r="295" spans="1:16" ht="15" customHeight="1" x14ac:dyDescent="0.25">
      <c r="A295" s="1" t="str">
        <f t="shared" si="10"/>
        <v>MPM/TNA</v>
      </c>
      <c r="B295" s="4" t="s">
        <v>52</v>
      </c>
      <c r="C295" s="39" t="s">
        <v>2</v>
      </c>
      <c r="D295" s="39"/>
      <c r="E295" s="4" t="s">
        <v>17</v>
      </c>
      <c r="F295" s="4"/>
      <c r="G295" s="4" t="s">
        <v>51</v>
      </c>
      <c r="H295" s="8">
        <v>11231</v>
      </c>
      <c r="I295" s="7">
        <v>27</v>
      </c>
      <c r="J295" s="6">
        <v>248826058</v>
      </c>
      <c r="K295" s="6">
        <f t="shared" si="9"/>
        <v>59005.467868152715</v>
      </c>
      <c r="L295" s="4">
        <v>4217</v>
      </c>
      <c r="M295" s="39">
        <f>VLOOKUP(Table2[[#This Row],[ROUTE]],DEMAND!A:F,5,FALSE)</f>
        <v>5006</v>
      </c>
      <c r="N295" s="39">
        <f>VLOOKUP(Table2[[#This Row],[ROUTE]],DEMAND!A:F,6,FALSE)</f>
        <v>1046</v>
      </c>
      <c r="O295" s="39">
        <f>ROUNDDOWN(Table2[[#This Row],[R-DEMAND]]/1320,0)</f>
        <v>0</v>
      </c>
      <c r="P295" s="39">
        <f>Table2[[#This Row],[ADD ACC]]*Table2[[#This Row],[RT TIME (744)]]</f>
        <v>0</v>
      </c>
    </row>
    <row r="296" spans="1:16" ht="15" customHeight="1" x14ac:dyDescent="0.25">
      <c r="A296" s="1" t="str">
        <f t="shared" si="10"/>
        <v>MPM/TNG</v>
      </c>
      <c r="B296" s="4" t="s">
        <v>50</v>
      </c>
      <c r="C296" s="39" t="s">
        <v>11122</v>
      </c>
      <c r="D296" s="39"/>
      <c r="E296" s="4" t="s">
        <v>49</v>
      </c>
      <c r="F296" s="4"/>
      <c r="G296" s="4" t="s">
        <v>48</v>
      </c>
      <c r="H296" s="8">
        <v>7959</v>
      </c>
      <c r="I296" s="7">
        <v>19.75</v>
      </c>
      <c r="J296" s="6">
        <v>194990601</v>
      </c>
      <c r="K296" s="6">
        <f t="shared" si="9"/>
        <v>74737.677654273662</v>
      </c>
      <c r="L296" s="4">
        <v>2609</v>
      </c>
      <c r="M296" s="39" t="e">
        <f>VLOOKUP(Table2[[#This Row],[ROUTE]],DEMAND!A:F,5,FALSE)</f>
        <v>#N/A</v>
      </c>
      <c r="N296" s="39" t="e">
        <f>VLOOKUP(Table2[[#This Row],[ROUTE]],DEMAND!A:F,6,FALSE)</f>
        <v>#N/A</v>
      </c>
      <c r="O296" s="39" t="e">
        <f>ROUNDDOWN(Table2[[#This Row],[R-DEMAND]]/1320,0)</f>
        <v>#N/A</v>
      </c>
      <c r="P296" s="39" t="e">
        <f>Table2[[#This Row],[ADD ACC]]*Table2[[#This Row],[RT TIME (744)]]</f>
        <v>#N/A</v>
      </c>
    </row>
    <row r="297" spans="1:16" ht="15" customHeight="1" x14ac:dyDescent="0.25">
      <c r="A297" s="1" t="str">
        <f t="shared" si="10"/>
        <v>MPM/TPE</v>
      </c>
      <c r="B297" s="10" t="s">
        <v>47</v>
      </c>
      <c r="C297" s="39" t="s">
        <v>2</v>
      </c>
      <c r="D297" s="39"/>
      <c r="E297" s="10" t="s">
        <v>46</v>
      </c>
      <c r="F297" s="10"/>
      <c r="G297" s="10" t="s">
        <v>45</v>
      </c>
      <c r="H297" s="8">
        <v>11074</v>
      </c>
      <c r="I297" s="7">
        <v>26.75</v>
      </c>
      <c r="J297" s="6">
        <v>267732624</v>
      </c>
      <c r="K297" s="6">
        <f t="shared" si="9"/>
        <v>55523.148900871005</v>
      </c>
      <c r="L297" s="4">
        <v>4822</v>
      </c>
      <c r="M297" s="39">
        <f>VLOOKUP(Table2[[#This Row],[ROUTE]],DEMAND!A:F,5,FALSE)</f>
        <v>5130</v>
      </c>
      <c r="N297" s="39">
        <f>VLOOKUP(Table2[[#This Row],[ROUTE]],DEMAND!A:F,6,FALSE)</f>
        <v>1170</v>
      </c>
      <c r="O297" s="39">
        <f>ROUNDDOWN(Table2[[#This Row],[R-DEMAND]]/1320,0)</f>
        <v>0</v>
      </c>
      <c r="P297" s="39">
        <f>Table2[[#This Row],[ADD ACC]]*Table2[[#This Row],[RT TIME (744)]]</f>
        <v>0</v>
      </c>
    </row>
    <row r="298" spans="1:16" ht="15" customHeight="1" x14ac:dyDescent="0.25">
      <c r="A298" s="38" t="str">
        <f t="shared" si="10"/>
        <v>MPM/TRU</v>
      </c>
      <c r="B298" s="39" t="s">
        <v>3442</v>
      </c>
      <c r="C298" s="39" t="s">
        <v>2</v>
      </c>
      <c r="D298" s="39"/>
      <c r="E298" s="39" t="s">
        <v>11511</v>
      </c>
      <c r="F298" s="39"/>
      <c r="G298" s="39" t="s">
        <v>11515</v>
      </c>
      <c r="H298" s="40"/>
      <c r="I298" s="41">
        <v>28</v>
      </c>
      <c r="J298" s="42">
        <v>228953542</v>
      </c>
      <c r="K298" s="42">
        <f t="shared" si="9"/>
        <v>63899.955902874688</v>
      </c>
      <c r="L298" s="43">
        <v>3583</v>
      </c>
      <c r="M298" s="39">
        <f>VLOOKUP(Table2[[#This Row],[ROUTE]],DEMAND!A:F,5,FALSE)</f>
        <v>3762</v>
      </c>
      <c r="N298" s="39">
        <f>VLOOKUP(Table2[[#This Row],[ROUTE]],DEMAND!A:F,6,FALSE)</f>
        <v>1122</v>
      </c>
      <c r="O298" s="39">
        <f>ROUNDDOWN(Table2[[#This Row],[R-DEMAND]]/1320,0)</f>
        <v>0</v>
      </c>
      <c r="P298" s="39">
        <f>Table2[[#This Row],[ADD ACC]]*Table2[[#This Row],[RT TIME (744)]]</f>
        <v>0</v>
      </c>
    </row>
    <row r="299" spans="1:16" ht="15" customHeight="1" x14ac:dyDescent="0.25">
      <c r="A299" s="1" t="str">
        <f t="shared" si="10"/>
        <v>MPM/TRV</v>
      </c>
      <c r="B299" s="4" t="s">
        <v>44</v>
      </c>
      <c r="C299" s="39" t="s">
        <v>2</v>
      </c>
      <c r="D299" s="39"/>
      <c r="E299" s="4" t="s">
        <v>23</v>
      </c>
      <c r="F299" s="4"/>
      <c r="G299" s="4" t="s">
        <v>43</v>
      </c>
      <c r="H299" s="8"/>
      <c r="I299" s="7">
        <v>15.75</v>
      </c>
      <c r="J299" s="6">
        <v>189676322</v>
      </c>
      <c r="K299" s="6">
        <f t="shared" si="9"/>
        <v>62352.505588428663</v>
      </c>
      <c r="L299" s="5">
        <v>3042</v>
      </c>
      <c r="M299" s="39">
        <f>VLOOKUP(Table2[[#This Row],[ROUTE]],DEMAND!A:F,5,FALSE)</f>
        <v>4940</v>
      </c>
      <c r="N299" s="39">
        <f>VLOOKUP(Table2[[#This Row],[ROUTE]],DEMAND!A:F,6,FALSE)</f>
        <v>980</v>
      </c>
      <c r="O299" s="39">
        <f>ROUNDDOWN(Table2[[#This Row],[R-DEMAND]]/1320,0)</f>
        <v>0</v>
      </c>
      <c r="P299" s="39">
        <f>Table2[[#This Row],[ADD ACC]]*Table2[[#This Row],[RT TIME (744)]]</f>
        <v>0</v>
      </c>
    </row>
    <row r="300" spans="1:16" ht="15" customHeight="1" x14ac:dyDescent="0.25">
      <c r="A300" s="38" t="str">
        <f t="shared" si="10"/>
        <v>MPM/TSE</v>
      </c>
      <c r="B300" s="39" t="s">
        <v>4677</v>
      </c>
      <c r="C300" s="39" t="s">
        <v>2</v>
      </c>
      <c r="D300" s="39"/>
      <c r="E300" s="39" t="s">
        <v>11035</v>
      </c>
      <c r="F300" s="39"/>
      <c r="G300" s="39" t="s">
        <v>11418</v>
      </c>
      <c r="H300" s="40">
        <v>8368</v>
      </c>
      <c r="I300" s="41">
        <v>22.75</v>
      </c>
      <c r="J300" s="42">
        <v>215242588</v>
      </c>
      <c r="K300" s="42">
        <f t="shared" si="9"/>
        <v>54713.418403660398</v>
      </c>
      <c r="L300" s="43">
        <v>3934</v>
      </c>
      <c r="M300" s="39">
        <f>VLOOKUP(Table2[[#This Row],[ROUTE]],DEMAND!A:F,5,FALSE)</f>
        <v>3986</v>
      </c>
      <c r="N300" s="39">
        <f>VLOOKUP(Table2[[#This Row],[ROUTE]],DEMAND!A:F,6,FALSE)</f>
        <v>26</v>
      </c>
      <c r="O300" s="39">
        <f>ROUNDDOWN(Table2[[#This Row],[R-DEMAND]]/1320,0)</f>
        <v>0</v>
      </c>
      <c r="P300" s="39">
        <f>Table2[[#This Row],[ADD ACC]]*Table2[[#This Row],[RT TIME (744)]]</f>
        <v>0</v>
      </c>
    </row>
    <row r="301" spans="1:16" ht="15" customHeight="1" x14ac:dyDescent="0.25">
      <c r="A301" s="1" t="str">
        <f t="shared" si="10"/>
        <v>MPM/TSN</v>
      </c>
      <c r="B301" s="4" t="s">
        <v>42</v>
      </c>
      <c r="C301" s="39" t="s">
        <v>2</v>
      </c>
      <c r="D301" s="39"/>
      <c r="E301" s="4" t="s">
        <v>17</v>
      </c>
      <c r="F301" s="4"/>
      <c r="G301" s="4" t="s">
        <v>41</v>
      </c>
      <c r="H301" s="8">
        <v>11373</v>
      </c>
      <c r="I301" s="7">
        <v>27.25</v>
      </c>
      <c r="J301" s="6">
        <v>249808813</v>
      </c>
      <c r="K301" s="6">
        <f t="shared" si="9"/>
        <v>59322.919259083355</v>
      </c>
      <c r="L301" s="4">
        <v>4211</v>
      </c>
      <c r="M301" s="39">
        <f>VLOOKUP(Table2[[#This Row],[ROUTE]],DEMAND!A:F,5,FALSE)</f>
        <v>4999</v>
      </c>
      <c r="N301" s="39">
        <f>VLOOKUP(Table2[[#This Row],[ROUTE]],DEMAND!A:F,6,FALSE)</f>
        <v>1039</v>
      </c>
      <c r="O301" s="39">
        <f>ROUNDDOWN(Table2[[#This Row],[R-DEMAND]]/1320,0)</f>
        <v>0</v>
      </c>
      <c r="P301" s="39">
        <f>Table2[[#This Row],[ADD ACC]]*Table2[[#This Row],[RT TIME (744)]]</f>
        <v>0</v>
      </c>
    </row>
    <row r="302" spans="1:16" ht="15" customHeight="1" x14ac:dyDescent="0.25">
      <c r="A302" s="1" t="str">
        <f t="shared" si="10"/>
        <v>MPM/UET</v>
      </c>
      <c r="B302" s="39" t="s">
        <v>3628</v>
      </c>
      <c r="C302" s="39" t="s">
        <v>2</v>
      </c>
      <c r="D302" s="39"/>
      <c r="E302" s="4" t="s">
        <v>197</v>
      </c>
      <c r="F302" s="39"/>
      <c r="G302" s="39" t="s">
        <v>11033</v>
      </c>
      <c r="H302" s="40">
        <v>7240</v>
      </c>
      <c r="I302" s="41">
        <v>18.25</v>
      </c>
      <c r="J302" s="42">
        <v>185756117</v>
      </c>
      <c r="K302" s="42">
        <f t="shared" si="9"/>
        <v>46801.742756361804</v>
      </c>
      <c r="L302" s="43">
        <v>3969</v>
      </c>
      <c r="M302" s="39">
        <f>VLOOKUP(Table2[[#This Row],[ROUTE]],DEMAND!A:F,5,FALSE)</f>
        <v>4219</v>
      </c>
      <c r="N302" s="39">
        <f>VLOOKUP(Table2[[#This Row],[ROUTE]],DEMAND!A:F,6,FALSE)</f>
        <v>259</v>
      </c>
      <c r="O302" s="39">
        <f>ROUNDDOWN(Table2[[#This Row],[R-DEMAND]]/1320,0)</f>
        <v>0</v>
      </c>
      <c r="P302" s="39">
        <f>Table2[[#This Row],[ADD ACC]]*Table2[[#This Row],[RT TIME (744)]]</f>
        <v>0</v>
      </c>
    </row>
    <row r="303" spans="1:16" ht="15" customHeight="1" x14ac:dyDescent="0.25">
      <c r="A303" s="38" t="str">
        <f t="shared" si="10"/>
        <v>MPM/UIO</v>
      </c>
      <c r="B303" s="39" t="s">
        <v>5336</v>
      </c>
      <c r="C303" s="39" t="s">
        <v>2</v>
      </c>
      <c r="D303" s="39"/>
      <c r="E303" s="39" t="s">
        <v>11507</v>
      </c>
      <c r="F303" s="39"/>
      <c r="G303" s="39" t="s">
        <v>11508</v>
      </c>
      <c r="H303" s="40"/>
      <c r="I303" s="41">
        <v>29</v>
      </c>
      <c r="J303" s="42">
        <v>255969529</v>
      </c>
      <c r="K303" s="42">
        <f t="shared" si="9"/>
        <v>50878.459352017489</v>
      </c>
      <c r="L303" s="43">
        <v>5031</v>
      </c>
      <c r="M303" s="39">
        <f>VLOOKUP(Table2[[#This Row],[ROUTE]],DEMAND!A:F,5,FALSE)</f>
        <v>5281</v>
      </c>
      <c r="N303" s="39">
        <f>VLOOKUP(Table2[[#This Row],[ROUTE]],DEMAND!A:F,6,FALSE)</f>
        <v>1321</v>
      </c>
      <c r="O303" s="39">
        <f>ROUNDDOWN(Table2[[#This Row],[R-DEMAND]]/1320,0)</f>
        <v>1</v>
      </c>
      <c r="P303" s="39">
        <f>Table2[[#This Row],[ADD ACC]]*Table2[[#This Row],[RT TIME (744)]]</f>
        <v>29</v>
      </c>
    </row>
    <row r="304" spans="1:16" ht="15" customHeight="1" x14ac:dyDescent="0.25">
      <c r="A304" s="1" t="str">
        <f t="shared" si="10"/>
        <v>MPM/ULN</v>
      </c>
      <c r="B304" s="3" t="s">
        <v>40</v>
      </c>
      <c r="C304" s="39" t="s">
        <v>2</v>
      </c>
      <c r="D304" s="39"/>
      <c r="E304" s="4" t="s">
        <v>39</v>
      </c>
      <c r="F304" s="4"/>
      <c r="G304" s="4" t="s">
        <v>38</v>
      </c>
      <c r="H304" s="8">
        <v>11032</v>
      </c>
      <c r="I304" s="7">
        <v>26.5</v>
      </c>
      <c r="J304" s="6">
        <v>225622965</v>
      </c>
      <c r="K304" s="6">
        <f t="shared" si="9"/>
        <v>63005.575258307734</v>
      </c>
      <c r="L304" s="4">
        <v>3581</v>
      </c>
      <c r="M304" s="39">
        <f>VLOOKUP(Table2[[#This Row],[ROUTE]],DEMAND!A:F,5,FALSE)</f>
        <v>4177</v>
      </c>
      <c r="N304" s="39">
        <f>VLOOKUP(Table2[[#This Row],[ROUTE]],DEMAND!A:F,6,FALSE)</f>
        <v>217</v>
      </c>
      <c r="O304" s="39">
        <f>ROUNDDOWN(Table2[[#This Row],[R-DEMAND]]/1320,0)</f>
        <v>0</v>
      </c>
      <c r="P304" s="39">
        <f>Table2[[#This Row],[ADD ACC]]*Table2[[#This Row],[RT TIME (744)]]</f>
        <v>0</v>
      </c>
    </row>
    <row r="305" spans="1:16" ht="15" customHeight="1" x14ac:dyDescent="0.25">
      <c r="A305" s="1" t="str">
        <f t="shared" si="10"/>
        <v>MPM/UPG</v>
      </c>
      <c r="B305" s="4" t="s">
        <v>37</v>
      </c>
      <c r="C305" s="39" t="s">
        <v>2</v>
      </c>
      <c r="D305" s="39"/>
      <c r="E305" s="4" t="s">
        <v>36</v>
      </c>
      <c r="F305" s="4"/>
      <c r="G305" s="4" t="s">
        <v>35</v>
      </c>
      <c r="H305" s="8"/>
      <c r="I305" s="7">
        <v>23</v>
      </c>
      <c r="J305" s="6">
        <v>226376496</v>
      </c>
      <c r="K305" s="6">
        <f t="shared" si="9"/>
        <v>77314.37704918033</v>
      </c>
      <c r="L305" s="4">
        <v>2928</v>
      </c>
      <c r="M305" s="39">
        <f>VLOOKUP(Table2[[#This Row],[ROUTE]],DEMAND!A:F,5,FALSE)</f>
        <v>4845</v>
      </c>
      <c r="N305" s="39">
        <f>VLOOKUP(Table2[[#This Row],[ROUTE]],DEMAND!A:F,6,FALSE)</f>
        <v>-435</v>
      </c>
      <c r="O305" s="39">
        <f>ROUNDDOWN(Table2[[#This Row],[R-DEMAND]]/1320,0)</f>
        <v>0</v>
      </c>
      <c r="P305" s="39">
        <f>Table2[[#This Row],[ADD ACC]]*Table2[[#This Row],[RT TIME (744)]]</f>
        <v>0</v>
      </c>
    </row>
    <row r="306" spans="1:16" ht="15" customHeight="1" x14ac:dyDescent="0.25">
      <c r="A306" s="1" t="str">
        <f t="shared" si="10"/>
        <v>MPM/URC</v>
      </c>
      <c r="B306" s="10" t="s">
        <v>34</v>
      </c>
      <c r="C306" s="39" t="s">
        <v>2</v>
      </c>
      <c r="D306" s="39"/>
      <c r="E306" s="10" t="s">
        <v>14</v>
      </c>
      <c r="F306" s="10"/>
      <c r="G306" s="10" t="s">
        <v>33</v>
      </c>
      <c r="H306" s="8">
        <v>9567</v>
      </c>
      <c r="I306" s="7">
        <v>23.25</v>
      </c>
      <c r="J306" s="6">
        <v>233209991</v>
      </c>
      <c r="K306" s="6">
        <f t="shared" si="9"/>
        <v>59782.104844911562</v>
      </c>
      <c r="L306" s="5">
        <v>3901</v>
      </c>
      <c r="M306" s="39">
        <f>VLOOKUP(Table2[[#This Row],[ROUTE]],DEMAND!A:F,5,FALSE)</f>
        <v>4632</v>
      </c>
      <c r="N306" s="39">
        <f>VLOOKUP(Table2[[#This Row],[ROUTE]],DEMAND!A:F,6,FALSE)</f>
        <v>672</v>
      </c>
      <c r="O306" s="39">
        <f>ROUNDDOWN(Table2[[#This Row],[R-DEMAND]]/1320,0)</f>
        <v>0</v>
      </c>
      <c r="P306" s="39">
        <f>Table2[[#This Row],[ADD ACC]]*Table2[[#This Row],[RT TIME (744)]]</f>
        <v>0</v>
      </c>
    </row>
    <row r="307" spans="1:16" ht="15" customHeight="1" x14ac:dyDescent="0.25">
      <c r="A307" s="1" t="str">
        <f t="shared" si="10"/>
        <v>MPM/URT</v>
      </c>
      <c r="B307" s="4" t="s">
        <v>32</v>
      </c>
      <c r="C307" s="39" t="s">
        <v>11122</v>
      </c>
      <c r="D307" s="39"/>
      <c r="E307" s="4" t="s">
        <v>29</v>
      </c>
      <c r="F307" s="4"/>
      <c r="G307" s="4" t="s">
        <v>31</v>
      </c>
      <c r="H307" s="8"/>
      <c r="I307" s="7">
        <v>20.25</v>
      </c>
      <c r="J307" s="6">
        <v>194698599</v>
      </c>
      <c r="K307" s="6">
        <f t="shared" si="9"/>
        <v>88903.469863013699</v>
      </c>
      <c r="L307" s="4">
        <v>2190</v>
      </c>
      <c r="M307" s="39" t="e">
        <f>VLOOKUP(Table2[[#This Row],[ROUTE]],DEMAND!A:F,5,FALSE)</f>
        <v>#N/A</v>
      </c>
      <c r="N307" s="39" t="e">
        <f>VLOOKUP(Table2[[#This Row],[ROUTE]],DEMAND!A:F,6,FALSE)</f>
        <v>#N/A</v>
      </c>
      <c r="O307" s="39" t="e">
        <f>ROUNDDOWN(Table2[[#This Row],[R-DEMAND]]/1320,0)</f>
        <v>#N/A</v>
      </c>
      <c r="P307" s="39" t="e">
        <f>Table2[[#This Row],[ADD ACC]]*Table2[[#This Row],[RT TIME (744)]]</f>
        <v>#N/A</v>
      </c>
    </row>
    <row r="308" spans="1:16" ht="15" customHeight="1" x14ac:dyDescent="0.25">
      <c r="A308" s="38" t="str">
        <f t="shared" si="10"/>
        <v>MPM/USH</v>
      </c>
      <c r="B308" s="39" t="s">
        <v>4078</v>
      </c>
      <c r="C308" s="39" t="s">
        <v>2</v>
      </c>
      <c r="D308" s="39"/>
      <c r="E308" s="39" t="s">
        <v>311</v>
      </c>
      <c r="F308" s="39"/>
      <c r="G308" s="39" t="s">
        <v>11523</v>
      </c>
      <c r="H308" s="40"/>
      <c r="I308" s="41">
        <v>20.5</v>
      </c>
      <c r="J308" s="42">
        <v>198718282</v>
      </c>
      <c r="K308" s="42">
        <f t="shared" si="9"/>
        <v>63691.757051282053</v>
      </c>
      <c r="L308" s="43">
        <v>3120</v>
      </c>
      <c r="M308" s="39">
        <f>VLOOKUP(Table2[[#This Row],[ROUTE]],DEMAND!A:F,5,FALSE)</f>
        <v>3273</v>
      </c>
      <c r="N308" s="39">
        <f>VLOOKUP(Table2[[#This Row],[ROUTE]],DEMAND!A:F,6,FALSE)</f>
        <v>633</v>
      </c>
      <c r="O308" s="39">
        <f>ROUNDDOWN(Table2[[#This Row],[R-DEMAND]]/1320,0)</f>
        <v>0</v>
      </c>
      <c r="P308" s="39">
        <f>Table2[[#This Row],[ADD ACC]]*Table2[[#This Row],[RT TIME (744)]]</f>
        <v>0</v>
      </c>
    </row>
    <row r="309" spans="1:16" ht="15" customHeight="1" x14ac:dyDescent="0.25">
      <c r="A309" s="1" t="str">
        <f t="shared" si="10"/>
        <v>MPM/UTP</v>
      </c>
      <c r="B309" s="4" t="s">
        <v>30</v>
      </c>
      <c r="C309" s="39" t="s">
        <v>11122</v>
      </c>
      <c r="D309" s="39"/>
      <c r="E309" s="4" t="s">
        <v>29</v>
      </c>
      <c r="F309" s="4"/>
      <c r="G309" s="4" t="s">
        <v>28</v>
      </c>
      <c r="H309" s="8"/>
      <c r="I309" s="7">
        <v>21</v>
      </c>
      <c r="J309" s="6">
        <v>190022390</v>
      </c>
      <c r="K309" s="6">
        <f t="shared" si="9"/>
        <v>99801.675420168074</v>
      </c>
      <c r="L309" s="4">
        <v>1904</v>
      </c>
      <c r="M309" s="39" t="e">
        <f>VLOOKUP(Table2[[#This Row],[ROUTE]],DEMAND!A:F,5,FALSE)</f>
        <v>#N/A</v>
      </c>
      <c r="N309" s="39" t="e">
        <f>VLOOKUP(Table2[[#This Row],[ROUTE]],DEMAND!A:F,6,FALSE)</f>
        <v>#N/A</v>
      </c>
      <c r="O309" s="39" t="e">
        <f>ROUNDDOWN(Table2[[#This Row],[R-DEMAND]]/1320,0)</f>
        <v>#N/A</v>
      </c>
      <c r="P309" s="39" t="e">
        <f>Table2[[#This Row],[ADD ACC]]*Table2[[#This Row],[RT TIME (744)]]</f>
        <v>#N/A</v>
      </c>
    </row>
    <row r="310" spans="1:16" ht="15" customHeight="1" x14ac:dyDescent="0.25">
      <c r="A310" s="1" t="str">
        <f t="shared" si="10"/>
        <v>MPM/VCE</v>
      </c>
      <c r="B310" s="39" t="s">
        <v>5473</v>
      </c>
      <c r="C310" s="39" t="s">
        <v>2</v>
      </c>
      <c r="D310" s="39"/>
      <c r="E310" s="39" t="s">
        <v>308</v>
      </c>
      <c r="F310" s="39"/>
      <c r="G310" s="39" t="s">
        <v>11126</v>
      </c>
      <c r="H310" s="40">
        <v>8203</v>
      </c>
      <c r="I310" s="41">
        <v>20.25</v>
      </c>
      <c r="J310" s="42">
        <v>221038754</v>
      </c>
      <c r="K310" s="42">
        <f t="shared" si="9"/>
        <v>66139.663076002398</v>
      </c>
      <c r="L310" s="43">
        <v>3342</v>
      </c>
      <c r="M310" s="39">
        <f>VLOOKUP(Table2[[#This Row],[ROUTE]],DEMAND!A:F,5,FALSE)</f>
        <v>3553</v>
      </c>
      <c r="N310" s="39">
        <f>VLOOKUP(Table2[[#This Row],[ROUTE]],DEMAND!A:F,6,FALSE)</f>
        <v>913</v>
      </c>
      <c r="O310" s="39">
        <f>ROUNDDOWN(Table2[[#This Row],[R-DEMAND]]/1320,0)</f>
        <v>0</v>
      </c>
      <c r="P310" s="39">
        <f>Table2[[#This Row],[ADD ACC]]*Table2[[#This Row],[RT TIME (744)]]</f>
        <v>0</v>
      </c>
    </row>
    <row r="311" spans="1:16" ht="15" customHeight="1" x14ac:dyDescent="0.25">
      <c r="A311" s="1" t="str">
        <f t="shared" si="10"/>
        <v>MPM/VIE</v>
      </c>
      <c r="B311" s="4" t="s">
        <v>27</v>
      </c>
      <c r="C311" s="39" t="s">
        <v>2</v>
      </c>
      <c r="D311" s="39"/>
      <c r="E311" s="4" t="s">
        <v>26</v>
      </c>
      <c r="F311" s="4"/>
      <c r="G311" s="4" t="s">
        <v>25</v>
      </c>
      <c r="H311" s="8">
        <v>8387</v>
      </c>
      <c r="I311" s="7">
        <v>20.75</v>
      </c>
      <c r="J311" s="6">
        <v>237087091</v>
      </c>
      <c r="K311" s="6">
        <f t="shared" si="9"/>
        <v>86496.567311200299</v>
      </c>
      <c r="L311" s="4">
        <v>2741</v>
      </c>
      <c r="M311" s="39">
        <f>VLOOKUP(Table2[[#This Row],[ROUTE]],DEMAND!A:F,5,FALSE)</f>
        <v>4324</v>
      </c>
      <c r="N311" s="39">
        <f>VLOOKUP(Table2[[#This Row],[ROUTE]],DEMAND!A:F,6,FALSE)</f>
        <v>364</v>
      </c>
      <c r="O311" s="39">
        <f>ROUNDDOWN(Table2[[#This Row],[R-DEMAND]]/1320,0)</f>
        <v>0</v>
      </c>
      <c r="P311" s="39">
        <f>Table2[[#This Row],[ADD ACC]]*Table2[[#This Row],[RT TIME (744)]]</f>
        <v>0</v>
      </c>
    </row>
    <row r="312" spans="1:16" ht="15" customHeight="1" x14ac:dyDescent="0.25">
      <c r="A312" s="1" t="str">
        <f t="shared" si="10"/>
        <v>MPM/VKO</v>
      </c>
      <c r="B312" s="39" t="s">
        <v>5511</v>
      </c>
      <c r="C312" s="39" t="s">
        <v>2</v>
      </c>
      <c r="D312" s="39"/>
      <c r="E312" s="10" t="s">
        <v>78</v>
      </c>
      <c r="F312" s="39"/>
      <c r="G312" s="39" t="s">
        <v>11130</v>
      </c>
      <c r="H312" s="40">
        <v>9077</v>
      </c>
      <c r="I312" s="41">
        <v>22.25</v>
      </c>
      <c r="J312" s="42">
        <v>230183974</v>
      </c>
      <c r="K312" s="42">
        <f t="shared" si="9"/>
        <v>51140.629637858256</v>
      </c>
      <c r="L312" s="43">
        <v>4501</v>
      </c>
      <c r="M312" s="39">
        <f>VLOOKUP(Table2[[#This Row],[ROUTE]],DEMAND!A:F,5,FALSE)</f>
        <v>4786</v>
      </c>
      <c r="N312" s="39">
        <f>VLOOKUP(Table2[[#This Row],[ROUTE]],DEMAND!A:F,6,FALSE)</f>
        <v>826</v>
      </c>
      <c r="O312" s="39">
        <f>ROUNDDOWN(Table2[[#This Row],[R-DEMAND]]/1320,0)</f>
        <v>0</v>
      </c>
      <c r="P312" s="39">
        <f>Table2[[#This Row],[ADD ACC]]*Table2[[#This Row],[RT TIME (744)]]</f>
        <v>0</v>
      </c>
    </row>
    <row r="313" spans="1:16" ht="15" customHeight="1" x14ac:dyDescent="0.25">
      <c r="A313" s="38" t="str">
        <f t="shared" si="10"/>
        <v>MPM/VLN</v>
      </c>
      <c r="B313" s="39" t="s">
        <v>4058</v>
      </c>
      <c r="C313" s="39" t="s">
        <v>2</v>
      </c>
      <c r="D313" s="39"/>
      <c r="E313" s="39" t="s">
        <v>380</v>
      </c>
      <c r="F313" s="39"/>
      <c r="G313" s="39" t="s">
        <v>11500</v>
      </c>
      <c r="H313" s="40"/>
      <c r="I313" s="41">
        <v>27.75</v>
      </c>
      <c r="J313" s="42">
        <v>232405898</v>
      </c>
      <c r="K313" s="42">
        <f t="shared" si="9"/>
        <v>60775.600941422592</v>
      </c>
      <c r="L313" s="43">
        <v>3824</v>
      </c>
      <c r="M313" s="39">
        <f>VLOOKUP(Table2[[#This Row],[ROUTE]],DEMAND!A:F,5,FALSE)</f>
        <v>4014</v>
      </c>
      <c r="N313" s="39">
        <f>VLOOKUP(Table2[[#This Row],[ROUTE]],DEMAND!A:F,6,FALSE)</f>
        <v>54</v>
      </c>
      <c r="O313" s="39">
        <f>ROUNDDOWN(Table2[[#This Row],[R-DEMAND]]/1320,0)</f>
        <v>0</v>
      </c>
      <c r="P313" s="39">
        <f>Table2[[#This Row],[ADD ACC]]*Table2[[#This Row],[RT TIME (744)]]</f>
        <v>0</v>
      </c>
    </row>
    <row r="314" spans="1:16" ht="15" customHeight="1" x14ac:dyDescent="0.25">
      <c r="A314" s="38" t="str">
        <f t="shared" si="10"/>
        <v>MPM/VRA</v>
      </c>
      <c r="B314" s="39" t="s">
        <v>4729</v>
      </c>
      <c r="C314" s="39" t="s">
        <v>2</v>
      </c>
      <c r="D314" s="39"/>
      <c r="E314" s="39" t="s">
        <v>11479</v>
      </c>
      <c r="F314" s="39"/>
      <c r="G314" s="39" t="s">
        <v>11480</v>
      </c>
      <c r="H314" s="40"/>
      <c r="I314" s="41">
        <v>31.75</v>
      </c>
      <c r="J314" s="42">
        <v>255050717</v>
      </c>
      <c r="K314" s="42">
        <f t="shared" si="9"/>
        <v>67030.411826544019</v>
      </c>
      <c r="L314" s="43">
        <v>3805</v>
      </c>
      <c r="M314" s="39">
        <f>VLOOKUP(Table2[[#This Row],[ROUTE]],DEMAND!A:F,5,FALSE)</f>
        <v>3995</v>
      </c>
      <c r="N314" s="39">
        <f>VLOOKUP(Table2[[#This Row],[ROUTE]],DEMAND!A:F,6,FALSE)</f>
        <v>35</v>
      </c>
      <c r="O314" s="39">
        <f>ROUNDDOWN(Table2[[#This Row],[R-DEMAND]]/1320,0)</f>
        <v>0</v>
      </c>
      <c r="P314" s="39">
        <f>Table2[[#This Row],[ADD ACC]]*Table2[[#This Row],[RT TIME (744)]]</f>
        <v>0</v>
      </c>
    </row>
    <row r="315" spans="1:16" ht="15" customHeight="1" x14ac:dyDescent="0.25">
      <c r="A315" s="1" t="str">
        <f t="shared" si="10"/>
        <v>MPM/VTZ</v>
      </c>
      <c r="B315" s="4" t="s">
        <v>24</v>
      </c>
      <c r="C315" s="39" t="s">
        <v>2</v>
      </c>
      <c r="D315" s="39"/>
      <c r="E315" s="4" t="s">
        <v>23</v>
      </c>
      <c r="F315" s="4"/>
      <c r="G315" s="4" t="s">
        <v>22</v>
      </c>
      <c r="H315" s="8"/>
      <c r="I315" s="7">
        <v>18.25</v>
      </c>
      <c r="J315" s="6">
        <v>191444178</v>
      </c>
      <c r="K315" s="6">
        <f t="shared" si="9"/>
        <v>71221.79241071429</v>
      </c>
      <c r="L315" s="5">
        <v>2688</v>
      </c>
      <c r="M315" s="39">
        <f>VLOOKUP(Table2[[#This Row],[ROUTE]],DEMAND!A:F,5,FALSE)</f>
        <v>4367</v>
      </c>
      <c r="N315" s="39">
        <f>VLOOKUP(Table2[[#This Row],[ROUTE]],DEMAND!A:F,6,FALSE)</f>
        <v>407</v>
      </c>
      <c r="O315" s="39">
        <f>ROUNDDOWN(Table2[[#This Row],[R-DEMAND]]/1320,0)</f>
        <v>0</v>
      </c>
      <c r="P315" s="39">
        <f>Table2[[#This Row],[ADD ACC]]*Table2[[#This Row],[RT TIME (744)]]</f>
        <v>0</v>
      </c>
    </row>
    <row r="316" spans="1:16" ht="15" customHeight="1" x14ac:dyDescent="0.25">
      <c r="A316" s="38" t="str">
        <f t="shared" si="10"/>
        <v>MPM/VVI</v>
      </c>
      <c r="B316" s="26" t="s">
        <v>4464</v>
      </c>
      <c r="C316" s="39" t="s">
        <v>2</v>
      </c>
      <c r="D316" s="39"/>
      <c r="E316" s="39" t="s">
        <v>11530</v>
      </c>
      <c r="F316" s="39"/>
      <c r="G316" s="39" t="s">
        <v>11553</v>
      </c>
      <c r="H316" s="40">
        <v>9709</v>
      </c>
      <c r="I316" s="41">
        <v>23.75</v>
      </c>
      <c r="J316" s="42"/>
      <c r="K316" s="42">
        <f t="shared" si="9"/>
        <v>0</v>
      </c>
      <c r="L316" s="43">
        <v>4152</v>
      </c>
      <c r="M316" s="39">
        <f>VLOOKUP(Table2[[#This Row],[ROUTE]],DEMAND!A:F,5,FALSE)</f>
        <v>3990</v>
      </c>
      <c r="N316" s="39">
        <f>VLOOKUP(Table2[[#This Row],[ROUTE]],DEMAND!A:F,6,FALSE)</f>
        <v>30</v>
      </c>
      <c r="O316" s="39">
        <f>ROUNDDOWN(Table2[[#This Row],[R-DEMAND]]/1320,0)</f>
        <v>0</v>
      </c>
      <c r="P316" s="39">
        <f>Table2[[#This Row],[ADD ACC]]*Table2[[#This Row],[RT TIME (744)]]</f>
        <v>0</v>
      </c>
    </row>
    <row r="317" spans="1:16" ht="15" customHeight="1" x14ac:dyDescent="0.25">
      <c r="A317" s="1" t="str">
        <f t="shared" si="10"/>
        <v>MPM/VVO</v>
      </c>
      <c r="B317" s="4" t="s">
        <v>21</v>
      </c>
      <c r="C317" s="39" t="s">
        <v>2</v>
      </c>
      <c r="D317" s="39"/>
      <c r="E317" s="4" t="s">
        <v>20</v>
      </c>
      <c r="F317" s="4"/>
      <c r="G317" s="4" t="s">
        <v>19</v>
      </c>
      <c r="H317" s="8">
        <v>12696</v>
      </c>
      <c r="I317" s="7">
        <v>30.25</v>
      </c>
      <c r="J317" s="6">
        <v>248650410</v>
      </c>
      <c r="K317" s="6">
        <f t="shared" si="9"/>
        <v>61395.162962962961</v>
      </c>
      <c r="L317" s="4">
        <v>4050</v>
      </c>
      <c r="M317" s="39">
        <f>VLOOKUP(Table2[[#This Row],[ROUTE]],DEMAND!A:F,5,FALSE)</f>
        <v>4055</v>
      </c>
      <c r="N317" s="39">
        <f>VLOOKUP(Table2[[#This Row],[ROUTE]],DEMAND!A:F,6,FALSE)</f>
        <v>95</v>
      </c>
      <c r="O317" s="39">
        <f>ROUNDDOWN(Table2[[#This Row],[R-DEMAND]]/1320,0)</f>
        <v>0</v>
      </c>
      <c r="P317" s="39">
        <f>Table2[[#This Row],[ADD ACC]]*Table2[[#This Row],[RT TIME (744)]]</f>
        <v>0</v>
      </c>
    </row>
    <row r="318" spans="1:16" ht="15" customHeight="1" x14ac:dyDescent="0.25">
      <c r="A318" s="1" t="str">
        <f t="shared" si="10"/>
        <v>MPM/WUH</v>
      </c>
      <c r="B318" s="4" t="s">
        <v>18</v>
      </c>
      <c r="C318" s="39" t="s">
        <v>2</v>
      </c>
      <c r="D318" s="39"/>
      <c r="E318" s="4" t="s">
        <v>17</v>
      </c>
      <c r="F318" s="4"/>
      <c r="G318" s="4" t="s">
        <v>16</v>
      </c>
      <c r="H318" s="8">
        <v>10721</v>
      </c>
      <c r="I318" s="7">
        <v>25.75</v>
      </c>
      <c r="J318" s="6"/>
      <c r="K318" s="6">
        <f t="shared" si="9"/>
        <v>0</v>
      </c>
      <c r="L318" s="5">
        <v>3174</v>
      </c>
      <c r="M318" s="39">
        <f>VLOOKUP(Table2[[#This Row],[ROUTE]],DEMAND!A:F,5,FALSE)</f>
        <v>5467</v>
      </c>
      <c r="N318" s="39">
        <f>VLOOKUP(Table2[[#This Row],[ROUTE]],DEMAND!A:F,6,FALSE)</f>
        <v>187</v>
      </c>
      <c r="O318" s="39">
        <f>ROUNDDOWN(Table2[[#This Row],[R-DEMAND]]/1320,0)</f>
        <v>0</v>
      </c>
      <c r="P318" s="39">
        <f>Table2[[#This Row],[ADD ACC]]*Table2[[#This Row],[RT TIME (744)]]</f>
        <v>0</v>
      </c>
    </row>
    <row r="319" spans="1:16" ht="15" customHeight="1" x14ac:dyDescent="0.25">
      <c r="A319" s="1" t="str">
        <f t="shared" si="10"/>
        <v>MPM/XIY</v>
      </c>
      <c r="B319" s="10" t="s">
        <v>15</v>
      </c>
      <c r="C319" s="39" t="s">
        <v>2</v>
      </c>
      <c r="D319" s="39"/>
      <c r="E319" s="10" t="s">
        <v>14</v>
      </c>
      <c r="F319" s="10"/>
      <c r="G319" s="10" t="s">
        <v>13</v>
      </c>
      <c r="H319" s="8">
        <v>10457</v>
      </c>
      <c r="I319" s="7">
        <v>25.25</v>
      </c>
      <c r="J319" s="6">
        <v>252694284</v>
      </c>
      <c r="K319" s="6">
        <f t="shared" si="9"/>
        <v>53109.349306431272</v>
      </c>
      <c r="L319" s="4">
        <v>4758</v>
      </c>
      <c r="M319" s="39">
        <f>VLOOKUP(Table2[[#This Row],[ROUTE]],DEMAND!A:F,5,FALSE)</f>
        <v>5647</v>
      </c>
      <c r="N319" s="39">
        <f>VLOOKUP(Table2[[#This Row],[ROUTE]],DEMAND!A:F,6,FALSE)</f>
        <v>367</v>
      </c>
      <c r="O319" s="39">
        <f>ROUNDDOWN(Table2[[#This Row],[R-DEMAND]]/1320,0)</f>
        <v>0</v>
      </c>
      <c r="P319" s="39">
        <f>Table2[[#This Row],[ADD ACC]]*Table2[[#This Row],[RT TIME (744)]]</f>
        <v>0</v>
      </c>
    </row>
    <row r="320" spans="1:16" ht="15" customHeight="1" x14ac:dyDescent="0.25">
      <c r="A320" s="38" t="str">
        <f t="shared" si="10"/>
        <v>MPM/YBG</v>
      </c>
      <c r="B320" s="39" t="s">
        <v>2651</v>
      </c>
      <c r="C320" s="39" t="s">
        <v>2</v>
      </c>
      <c r="D320" s="39"/>
      <c r="E320" s="39" t="s">
        <v>8</v>
      </c>
      <c r="F320" s="39"/>
      <c r="G320" s="39" t="s">
        <v>11470</v>
      </c>
      <c r="H320" s="40"/>
      <c r="I320" s="41">
        <v>31.25</v>
      </c>
      <c r="J320" s="42">
        <v>238425195</v>
      </c>
      <c r="K320" s="42">
        <f t="shared" si="9"/>
        <v>100899.36309775709</v>
      </c>
      <c r="L320" s="105">
        <v>2363</v>
      </c>
      <c r="M320" s="39">
        <f>VLOOKUP(Table2[[#This Row],[ROUTE]],DEMAND!A:F,5,FALSE)</f>
        <v>2480</v>
      </c>
      <c r="N320" s="39">
        <f>VLOOKUP(Table2[[#This Row],[ROUTE]],DEMAND!A:F,6,FALSE)</f>
        <v>1160</v>
      </c>
      <c r="O320" s="39">
        <f>ROUNDDOWN(Table2[[#This Row],[R-DEMAND]]/1320,0)</f>
        <v>0</v>
      </c>
      <c r="P320" s="39">
        <f>Table2[[#This Row],[ADD ACC]]*Table2[[#This Row],[RT TIME (744)]]</f>
        <v>0</v>
      </c>
    </row>
    <row r="321" spans="1:16" ht="15" customHeight="1" x14ac:dyDescent="0.25">
      <c r="A321" s="38" t="s">
        <v>11573</v>
      </c>
      <c r="B321" s="60" t="s">
        <v>4106</v>
      </c>
      <c r="C321" s="39" t="s">
        <v>2</v>
      </c>
      <c r="D321" s="39"/>
      <c r="E321" s="39" t="s">
        <v>20</v>
      </c>
      <c r="F321" s="39"/>
      <c r="G321" s="39" t="s">
        <v>6123</v>
      </c>
      <c r="H321" s="63">
        <v>12907</v>
      </c>
      <c r="I321" s="41">
        <v>30.75</v>
      </c>
      <c r="J321" s="42"/>
      <c r="K321" s="42">
        <f t="shared" si="9"/>
        <v>0</v>
      </c>
      <c r="L321" s="85">
        <v>3830</v>
      </c>
      <c r="M321" s="39">
        <f>VLOOKUP(Table2[[#This Row],[ROUTE]],DEMAND!A:F,5,FALSE)</f>
        <v>3712</v>
      </c>
      <c r="N321" s="39">
        <f>VLOOKUP(Table2[[#This Row],[ROUTE]],DEMAND!A:F,6,FALSE)</f>
        <v>1072</v>
      </c>
      <c r="O321" s="39">
        <f>ROUNDDOWN(Table2[[#This Row],[R-DEMAND]]/1320,0)</f>
        <v>0</v>
      </c>
      <c r="P321" s="39">
        <f>Table2[[#This Row],[ADD ACC]]*Table2[[#This Row],[RT TIME (744)]]</f>
        <v>0</v>
      </c>
    </row>
    <row r="322" spans="1:16" ht="15" customHeight="1" x14ac:dyDescent="0.25">
      <c r="A322" s="1" t="str">
        <f>CONCATENATE("MPM/",B322)</f>
        <v>MPM/YOW</v>
      </c>
      <c r="B322" s="9" t="s">
        <v>12</v>
      </c>
      <c r="C322" s="39" t="s">
        <v>2</v>
      </c>
      <c r="D322" s="39"/>
      <c r="E322" s="4" t="s">
        <v>11</v>
      </c>
      <c r="F322" s="4"/>
      <c r="G322" s="4" t="s">
        <v>10</v>
      </c>
      <c r="H322" s="8">
        <v>13411</v>
      </c>
      <c r="I322" s="7">
        <v>31.75</v>
      </c>
      <c r="J322" s="6">
        <v>267762122</v>
      </c>
      <c r="K322" s="6">
        <f t="shared" si="9"/>
        <v>84949.91180203046</v>
      </c>
      <c r="L322" s="49">
        <v>3152</v>
      </c>
      <c r="M322" s="39">
        <f>VLOOKUP(Table2[[#This Row],[ROUTE]],DEMAND!A:F,5,FALSE)</f>
        <v>3531</v>
      </c>
      <c r="N322" s="39">
        <f>VLOOKUP(Table2[[#This Row],[ROUTE]],DEMAND!A:F,6,FALSE)</f>
        <v>-429</v>
      </c>
      <c r="O322" s="39">
        <f>ROUNDDOWN(Table2[[#This Row],[R-DEMAND]]/1320,0)</f>
        <v>0</v>
      </c>
      <c r="P322" s="39">
        <f>Table2[[#This Row],[ADD ACC]]*Table2[[#This Row],[RT TIME (744)]]</f>
        <v>0</v>
      </c>
    </row>
    <row r="323" spans="1:16" ht="15" customHeight="1" x14ac:dyDescent="0.25">
      <c r="A323" s="38" t="str">
        <f>CONCATENATE("MPM/",B323)</f>
        <v>MPM/YQX</v>
      </c>
      <c r="B323" s="39" t="s">
        <v>3652</v>
      </c>
      <c r="C323" s="39" t="s">
        <v>2</v>
      </c>
      <c r="D323" s="39"/>
      <c r="E323" s="39" t="s">
        <v>8</v>
      </c>
      <c r="F323" s="39"/>
      <c r="G323" s="39" t="s">
        <v>11650</v>
      </c>
      <c r="H323" s="40"/>
      <c r="I323" s="41">
        <v>28.5</v>
      </c>
      <c r="J323" s="42"/>
      <c r="K323" s="42">
        <f t="shared" ref="K323:K327" si="11">J323/L323</f>
        <v>0</v>
      </c>
      <c r="L323" s="86">
        <v>2608</v>
      </c>
      <c r="M323" s="39">
        <f>VLOOKUP(Table2[[#This Row],[ROUTE]],DEMAND!A:F,5,FALSE)</f>
        <v>2612</v>
      </c>
      <c r="N323" s="39">
        <f>VLOOKUP(Table2[[#This Row],[ROUTE]],DEMAND!A:F,6,FALSE)</f>
        <v>1292</v>
      </c>
      <c r="O323" s="39">
        <f>ROUNDDOWN(Table2[[#This Row],[R-DEMAND]]/1320,0)</f>
        <v>0</v>
      </c>
      <c r="P323" s="39">
        <f>Table2[[#This Row],[ADD ACC]]*Table2[[#This Row],[RT TIME (744)]]</f>
        <v>0</v>
      </c>
    </row>
    <row r="324" spans="1:16" ht="15" customHeight="1" x14ac:dyDescent="0.25">
      <c r="A324" s="1" t="str">
        <f>CONCATENATE("MPM/",B324)</f>
        <v>MPM/YUL</v>
      </c>
      <c r="B324" s="9" t="s">
        <v>9</v>
      </c>
      <c r="C324" s="39" t="s">
        <v>2</v>
      </c>
      <c r="D324" s="39"/>
      <c r="E324" s="4" t="s">
        <v>8</v>
      </c>
      <c r="F324" s="4"/>
      <c r="G324" s="4" t="s">
        <v>7</v>
      </c>
      <c r="H324" s="8">
        <v>13264</v>
      </c>
      <c r="I324" s="7">
        <v>31.5</v>
      </c>
      <c r="J324" s="6">
        <v>279493321</v>
      </c>
      <c r="K324" s="6">
        <f t="shared" si="11"/>
        <v>77250.779712548363</v>
      </c>
      <c r="L324" s="168">
        <v>3618</v>
      </c>
      <c r="M324" s="39">
        <f>VLOOKUP(Table2[[#This Row],[ROUTE]],DEMAND!A:F,5,FALSE)</f>
        <v>4055</v>
      </c>
      <c r="N324" s="39">
        <f>VLOOKUP(Table2[[#This Row],[ROUTE]],DEMAND!A:F,6,FALSE)</f>
        <v>95</v>
      </c>
      <c r="O324" s="39">
        <f>ROUNDDOWN(Table2[[#This Row],[R-DEMAND]]/1320,0)</f>
        <v>0</v>
      </c>
      <c r="P324" s="39">
        <f>Table2[[#This Row],[ADD ACC]]*Table2[[#This Row],[RT TIME (744)]]</f>
        <v>0</v>
      </c>
    </row>
    <row r="325" spans="1:16" ht="15" customHeight="1" x14ac:dyDescent="0.25">
      <c r="A325" s="38" t="s">
        <v>11575</v>
      </c>
      <c r="B325" s="60" t="s">
        <v>3398</v>
      </c>
      <c r="C325" s="39" t="s">
        <v>2</v>
      </c>
      <c r="D325" s="39"/>
      <c r="E325" s="39" t="s">
        <v>8</v>
      </c>
      <c r="F325" s="39"/>
      <c r="G325" s="39" t="s">
        <v>11651</v>
      </c>
      <c r="H325" s="63">
        <v>12485</v>
      </c>
      <c r="I325" s="41">
        <v>29.75</v>
      </c>
      <c r="J325" s="42"/>
      <c r="K325" s="42">
        <f t="shared" si="11"/>
        <v>0</v>
      </c>
      <c r="L325" s="85">
        <v>2651</v>
      </c>
      <c r="M325" s="39">
        <f>VLOOKUP(Table2[[#This Row],[ROUTE]],DEMAND!A:F,5,FALSE)</f>
        <v>2553</v>
      </c>
      <c r="N325" s="39">
        <f>VLOOKUP(Table2[[#This Row],[ROUTE]],DEMAND!A:F,6,FALSE)</f>
        <v>1233</v>
      </c>
      <c r="O325" s="39">
        <f>ROUNDDOWN(Table2[[#This Row],[R-DEMAND]]/1320,0)</f>
        <v>0</v>
      </c>
      <c r="P325" s="39">
        <f>Table2[[#This Row],[ADD ACC]]*Table2[[#This Row],[RT TIME (744)]]</f>
        <v>0</v>
      </c>
    </row>
    <row r="326" spans="1:16" ht="15" customHeight="1" x14ac:dyDescent="0.25">
      <c r="A326" s="1" t="str">
        <f>CONCATENATE("MPM/",B326)</f>
        <v>MPM/ZRH</v>
      </c>
      <c r="B326" s="4" t="s">
        <v>6</v>
      </c>
      <c r="C326" s="39" t="s">
        <v>2</v>
      </c>
      <c r="D326" s="39"/>
      <c r="E326" s="4" t="s">
        <v>5</v>
      </c>
      <c r="F326" s="4"/>
      <c r="G326" s="4" t="s">
        <v>4</v>
      </c>
      <c r="H326" s="8">
        <v>8510</v>
      </c>
      <c r="I326" s="7">
        <v>21</v>
      </c>
      <c r="J326" s="6">
        <v>240118410</v>
      </c>
      <c r="K326" s="6">
        <f t="shared" si="11"/>
        <v>98895.556013179565</v>
      </c>
      <c r="L326" s="48">
        <v>2428</v>
      </c>
      <c r="M326" s="39">
        <f>VLOOKUP(Table2[[#This Row],[ROUTE]],DEMAND!A:F,5,FALSE)</f>
        <v>3835</v>
      </c>
      <c r="N326" s="39">
        <f>VLOOKUP(Table2[[#This Row],[ROUTE]],DEMAND!A:F,6,FALSE)</f>
        <v>2515</v>
      </c>
      <c r="O326" s="39">
        <f>ROUNDDOWN(Table2[[#This Row],[R-DEMAND]]/1320,0)</f>
        <v>1</v>
      </c>
      <c r="P326" s="39">
        <f>Table2[[#This Row],[ADD ACC]]*Table2[[#This Row],[RT TIME (744)]]</f>
        <v>21</v>
      </c>
    </row>
    <row r="327" spans="1:16" ht="15" customHeight="1" x14ac:dyDescent="0.25">
      <c r="A327" s="1" t="str">
        <f>CONCATENATE("MPM/",B327)</f>
        <v>MPM/ZYL</v>
      </c>
      <c r="B327" s="9" t="s">
        <v>3</v>
      </c>
      <c r="C327" s="39" t="s">
        <v>2</v>
      </c>
      <c r="D327" s="39"/>
      <c r="E327" s="4" t="s">
        <v>1</v>
      </c>
      <c r="F327" s="4"/>
      <c r="G327" s="4" t="s">
        <v>0</v>
      </c>
      <c r="H327" s="8">
        <v>8519</v>
      </c>
      <c r="I327" s="7">
        <v>21</v>
      </c>
      <c r="J327" s="6">
        <v>197423103</v>
      </c>
      <c r="K327" s="6">
        <f t="shared" si="11"/>
        <v>49429.920630946421</v>
      </c>
      <c r="L327" s="5">
        <v>3994</v>
      </c>
      <c r="M327" s="39">
        <f>VLOOKUP(Table2[[#This Row],[ROUTE]],DEMAND!A:F,5,FALSE)</f>
        <v>4471</v>
      </c>
      <c r="N327" s="39">
        <f>VLOOKUP(Table2[[#This Row],[ROUTE]],DEMAND!A:F,6,FALSE)</f>
        <v>-809</v>
      </c>
      <c r="O327" s="39">
        <f>ROUNDDOWN(Table2[[#This Row],[R-DEMAND]]/1320,0)</f>
        <v>0</v>
      </c>
      <c r="P327" s="39">
        <f>Table2[[#This Row],[ADD ACC]]*Table2[[#This Row],[RT TIME (744)]]</f>
        <v>0</v>
      </c>
    </row>
    <row r="328" spans="1:16" ht="15" customHeight="1" x14ac:dyDescent="0.25">
      <c r="A328" s="44"/>
    </row>
    <row r="329" spans="1:16" ht="15" customHeight="1" x14ac:dyDescent="0.25">
      <c r="A329" s="44"/>
      <c r="C329" s="1"/>
      <c r="D329" s="1"/>
      <c r="K329" s="2"/>
      <c r="L329" s="1"/>
    </row>
    <row r="330" spans="1:16" ht="15" customHeight="1" x14ac:dyDescent="0.25">
      <c r="A330" s="44"/>
      <c r="C330" s="1"/>
      <c r="D330" s="1"/>
      <c r="K330" s="2"/>
      <c r="L330" s="1"/>
    </row>
    <row r="331" spans="1:16" ht="15" customHeight="1" x14ac:dyDescent="0.25">
      <c r="A331" s="44"/>
      <c r="C331" s="1"/>
      <c r="D331" s="1"/>
      <c r="K331" s="2"/>
      <c r="L331" s="1"/>
    </row>
    <row r="332" spans="1:16" ht="15" customHeight="1" x14ac:dyDescent="0.25">
      <c r="A332" s="44"/>
      <c r="C332" s="1"/>
      <c r="D332" s="1"/>
      <c r="K332" s="2"/>
      <c r="L332" s="1"/>
    </row>
    <row r="333" spans="1:16" ht="15" customHeight="1" x14ac:dyDescent="0.25">
      <c r="C333" s="1"/>
      <c r="D333" s="1"/>
      <c r="K333" s="2"/>
      <c r="L333" s="1"/>
    </row>
    <row r="334" spans="1:16" ht="15" customHeight="1" x14ac:dyDescent="0.25">
      <c r="C334" s="1"/>
      <c r="D334" s="1"/>
      <c r="K334" s="2"/>
      <c r="L334" s="1"/>
    </row>
    <row r="335" spans="1:16" ht="15" customHeight="1" x14ac:dyDescent="0.25">
      <c r="C335" s="1"/>
      <c r="D335" s="1"/>
      <c r="K335" s="2"/>
      <c r="L335" s="1"/>
    </row>
    <row r="336" spans="1:16" ht="15" customHeight="1" x14ac:dyDescent="0.25">
      <c r="C336" s="1"/>
      <c r="D336" s="1"/>
      <c r="K336" s="2"/>
      <c r="L336" s="1"/>
    </row>
    <row r="337" spans="1:12" ht="15" customHeight="1" x14ac:dyDescent="0.25">
      <c r="A337" s="44"/>
      <c r="C337" s="1"/>
      <c r="D337" s="1"/>
      <c r="K337" s="2"/>
      <c r="L337" s="1"/>
    </row>
    <row r="338" spans="1:12" ht="15" customHeight="1" x14ac:dyDescent="0.25">
      <c r="A338" s="44"/>
      <c r="C338" s="1"/>
      <c r="D338" s="1"/>
      <c r="K338" s="2"/>
      <c r="L338" s="1"/>
    </row>
    <row r="339" spans="1:12" ht="15" customHeight="1" x14ac:dyDescent="0.25">
      <c r="A339" s="44"/>
      <c r="C339" s="1"/>
      <c r="D339" s="1"/>
      <c r="K339" s="2"/>
      <c r="L339" s="1"/>
    </row>
    <row r="340" spans="1:12" ht="15" customHeight="1" x14ac:dyDescent="0.25">
      <c r="A340" s="44"/>
      <c r="C340" s="1"/>
      <c r="D340" s="1"/>
      <c r="K340" s="2"/>
      <c r="L340" s="1"/>
    </row>
    <row r="341" spans="1:12" ht="15" customHeight="1" x14ac:dyDescent="0.25">
      <c r="A341" s="44"/>
      <c r="C341" s="1"/>
      <c r="D341" s="1"/>
      <c r="K341" s="2"/>
      <c r="L341" s="1"/>
    </row>
    <row r="342" spans="1:12" ht="15" customHeight="1" x14ac:dyDescent="0.25">
      <c r="A342" s="44"/>
      <c r="C342" s="1"/>
      <c r="D342" s="1"/>
      <c r="K342" s="2"/>
      <c r="L342" s="1"/>
    </row>
    <row r="343" spans="1:12" ht="15" customHeight="1" x14ac:dyDescent="0.25">
      <c r="A343" s="44"/>
      <c r="C343" s="1"/>
      <c r="D343" s="1"/>
      <c r="K343" s="2"/>
      <c r="L343" s="1"/>
    </row>
    <row r="344" spans="1:12" ht="15" customHeight="1" x14ac:dyDescent="0.25">
      <c r="A344" s="44"/>
      <c r="B344" s="44"/>
      <c r="C344" s="1"/>
      <c r="D344" s="1"/>
      <c r="K344" s="2"/>
      <c r="L344" s="1"/>
    </row>
    <row r="345" spans="1:12" ht="15" customHeight="1" x14ac:dyDescent="0.25">
      <c r="A345" s="44"/>
      <c r="B345" s="44"/>
      <c r="C345" s="1"/>
      <c r="D345" s="1"/>
      <c r="K345" s="2"/>
      <c r="L345" s="1"/>
    </row>
    <row r="346" spans="1:12" ht="15" customHeight="1" x14ac:dyDescent="0.25">
      <c r="A346" s="44"/>
      <c r="B346" s="44"/>
      <c r="C346" s="1"/>
      <c r="D346" s="1"/>
      <c r="K346" s="2"/>
      <c r="L346" s="1"/>
    </row>
    <row r="347" spans="1:12" ht="15" customHeight="1" x14ac:dyDescent="0.25">
      <c r="A347" s="44"/>
      <c r="B347" s="44"/>
      <c r="C347" s="1"/>
      <c r="D347" s="1"/>
      <c r="K347" s="2"/>
      <c r="L347" s="1"/>
    </row>
    <row r="348" spans="1:12" ht="15" customHeight="1" x14ac:dyDescent="0.25">
      <c r="A348" s="44"/>
      <c r="B348" s="44"/>
      <c r="C348" s="1"/>
      <c r="D348" s="1"/>
      <c r="K348" s="2"/>
      <c r="L348" s="1"/>
    </row>
    <row r="349" spans="1:12" ht="15" customHeight="1" x14ac:dyDescent="0.25">
      <c r="A349" s="44"/>
      <c r="B349" s="44"/>
      <c r="C349" s="1"/>
      <c r="D349" s="1"/>
      <c r="K349" s="2"/>
      <c r="L349" s="1"/>
    </row>
    <row r="350" spans="1:12" ht="15" customHeight="1" x14ac:dyDescent="0.25">
      <c r="A350" s="44"/>
      <c r="B350" s="44"/>
      <c r="C350" s="1"/>
      <c r="D350" s="1"/>
      <c r="K350" s="2"/>
      <c r="L350" s="1"/>
    </row>
    <row r="351" spans="1:12" ht="15" customHeight="1" x14ac:dyDescent="0.25">
      <c r="A351" s="44"/>
      <c r="B351" s="44"/>
      <c r="C351" s="1"/>
      <c r="D351" s="1"/>
      <c r="K351" s="2"/>
      <c r="L351" s="1"/>
    </row>
    <row r="352" spans="1:12" ht="15" customHeight="1" x14ac:dyDescent="0.25">
      <c r="A352" s="44"/>
      <c r="B352" s="44"/>
      <c r="C352" s="1"/>
      <c r="D352" s="1"/>
      <c r="K352" s="2"/>
      <c r="L352" s="1"/>
    </row>
    <row r="353" spans="1:12" ht="15" customHeight="1" x14ac:dyDescent="0.25">
      <c r="A353" s="44"/>
      <c r="B353" s="44"/>
      <c r="C353" s="1"/>
      <c r="D353" s="1"/>
      <c r="K353" s="2"/>
      <c r="L353" s="1"/>
    </row>
    <row r="354" spans="1:12" ht="15" customHeight="1" x14ac:dyDescent="0.25">
      <c r="B354" s="44"/>
      <c r="C354" s="1"/>
      <c r="D354" s="1"/>
      <c r="K354" s="2"/>
      <c r="L354" s="1"/>
    </row>
    <row r="355" spans="1:12" ht="15" customHeight="1" x14ac:dyDescent="0.25">
      <c r="B355" s="44"/>
      <c r="C355" s="1"/>
      <c r="D355" s="1"/>
      <c r="K355" s="2"/>
      <c r="L355" s="1"/>
    </row>
    <row r="356" spans="1:12" ht="15" customHeight="1" x14ac:dyDescent="0.25">
      <c r="B356" s="44"/>
      <c r="C356" s="1"/>
      <c r="D356" s="1"/>
      <c r="K356" s="2"/>
      <c r="L356" s="1"/>
    </row>
    <row r="357" spans="1:12" ht="15" customHeight="1" x14ac:dyDescent="0.25">
      <c r="B357" s="44"/>
      <c r="C357" s="1"/>
      <c r="D357" s="1"/>
      <c r="K357" s="2"/>
      <c r="L357" s="1"/>
    </row>
    <row r="358" spans="1:12" ht="15" customHeight="1" x14ac:dyDescent="0.25">
      <c r="B358" s="44"/>
      <c r="C358" s="1"/>
      <c r="D358" s="1"/>
      <c r="K358" s="2"/>
      <c r="L358" s="1"/>
    </row>
    <row r="359" spans="1:12" ht="15" customHeight="1" x14ac:dyDescent="0.25">
      <c r="B359" s="44"/>
      <c r="C359" s="1"/>
      <c r="D359" s="1"/>
      <c r="K359" s="2"/>
      <c r="L359" s="1"/>
    </row>
    <row r="360" spans="1:12" ht="15" customHeight="1" x14ac:dyDescent="0.25">
      <c r="B360" s="44"/>
      <c r="C360" s="1"/>
      <c r="D360" s="1"/>
      <c r="K360" s="2"/>
      <c r="L360" s="1"/>
    </row>
    <row r="361" spans="1:12" ht="15" customHeight="1" x14ac:dyDescent="0.25">
      <c r="B361" s="44"/>
      <c r="C361" s="1"/>
      <c r="D361" s="1"/>
      <c r="K361" s="2"/>
      <c r="L361" s="1"/>
    </row>
    <row r="362" spans="1:12" ht="15" customHeight="1" x14ac:dyDescent="0.25">
      <c r="B362" s="44"/>
      <c r="C362" s="1"/>
      <c r="D362" s="1"/>
      <c r="K362" s="2"/>
      <c r="L362" s="1"/>
    </row>
    <row r="363" spans="1:12" ht="15" customHeight="1" x14ac:dyDescent="0.25">
      <c r="B363" s="44"/>
      <c r="C363" s="1"/>
      <c r="D363" s="1"/>
      <c r="K363" s="2"/>
      <c r="L363" s="1"/>
    </row>
    <row r="364" spans="1:12" ht="15" customHeight="1" x14ac:dyDescent="0.25">
      <c r="B364" s="44"/>
      <c r="C364" s="1"/>
      <c r="D364" s="1"/>
      <c r="K364" s="2"/>
      <c r="L364" s="1"/>
    </row>
    <row r="365" spans="1:12" ht="15" customHeight="1" x14ac:dyDescent="0.25">
      <c r="B365" s="44"/>
      <c r="C365" s="1"/>
      <c r="D365" s="1"/>
      <c r="K365" s="2"/>
      <c r="L365" s="1"/>
    </row>
    <row r="366" spans="1:12" ht="15" customHeight="1" x14ac:dyDescent="0.25">
      <c r="B366" s="44"/>
      <c r="C366" s="1"/>
      <c r="D366" s="1"/>
      <c r="K366" s="2"/>
      <c r="L366" s="1"/>
    </row>
    <row r="367" spans="1:12" ht="15" customHeight="1" x14ac:dyDescent="0.25">
      <c r="B367" s="44"/>
      <c r="C367" s="1"/>
      <c r="D367" s="1"/>
      <c r="K367" s="2"/>
      <c r="L367" s="1"/>
    </row>
    <row r="368" spans="1:12" ht="15" customHeight="1" x14ac:dyDescent="0.25">
      <c r="B368" s="44"/>
      <c r="C368" s="1"/>
      <c r="D368" s="1"/>
      <c r="K368" s="2"/>
      <c r="L368" s="1"/>
    </row>
    <row r="369" spans="2:12" ht="15" customHeight="1" x14ac:dyDescent="0.25">
      <c r="B369" s="44"/>
      <c r="C369" s="1"/>
      <c r="D369" s="1"/>
      <c r="K369" s="2"/>
      <c r="L369" s="1"/>
    </row>
    <row r="370" spans="2:12" ht="15" customHeight="1" x14ac:dyDescent="0.25">
      <c r="B370" s="44"/>
      <c r="C370" s="1"/>
      <c r="D370" s="1"/>
      <c r="K370" s="2"/>
      <c r="L370" s="1"/>
    </row>
    <row r="371" spans="2:12" ht="15" customHeight="1" x14ac:dyDescent="0.25">
      <c r="B371" s="44"/>
      <c r="C371" s="1"/>
      <c r="D371" s="1"/>
      <c r="K371" s="2"/>
      <c r="L371" s="1"/>
    </row>
    <row r="372" spans="2:12" ht="15" customHeight="1" x14ac:dyDescent="0.25">
      <c r="B372" s="44"/>
      <c r="C372" s="1"/>
      <c r="D372" s="1"/>
      <c r="K372" s="2"/>
      <c r="L372" s="1"/>
    </row>
    <row r="373" spans="2:12" ht="15" customHeight="1" x14ac:dyDescent="0.25">
      <c r="B373" s="44"/>
      <c r="C373" s="1"/>
      <c r="D373" s="1"/>
      <c r="K373" s="2"/>
      <c r="L373" s="1"/>
    </row>
    <row r="374" spans="2:12" ht="15" customHeight="1" x14ac:dyDescent="0.25">
      <c r="B374" s="44"/>
      <c r="C374" s="1"/>
      <c r="D374" s="1"/>
      <c r="K374" s="2"/>
      <c r="L374" s="1"/>
    </row>
    <row r="375" spans="2:12" ht="15" customHeight="1" x14ac:dyDescent="0.25">
      <c r="B375" s="44"/>
      <c r="C375" s="1"/>
      <c r="D375" s="1"/>
      <c r="K375" s="2"/>
      <c r="L375" s="1"/>
    </row>
    <row r="376" spans="2:12" ht="15" customHeight="1" x14ac:dyDescent="0.25">
      <c r="B376" s="44"/>
      <c r="C376" s="1"/>
      <c r="D376" s="1"/>
      <c r="K376" s="2"/>
      <c r="L376" s="1"/>
    </row>
    <row r="377" spans="2:12" ht="15" customHeight="1" x14ac:dyDescent="0.25">
      <c r="B377" s="44"/>
      <c r="C377" s="1"/>
      <c r="D377" s="1"/>
      <c r="K377" s="2"/>
      <c r="L377" s="1"/>
    </row>
    <row r="378" spans="2:12" ht="15" customHeight="1" x14ac:dyDescent="0.25">
      <c r="B378" s="44"/>
      <c r="C378" s="1"/>
      <c r="D378" s="1"/>
      <c r="K378" s="2"/>
      <c r="L378" s="1"/>
    </row>
    <row r="379" spans="2:12" ht="15" customHeight="1" x14ac:dyDescent="0.25">
      <c r="B379" s="44"/>
      <c r="C379" s="1"/>
      <c r="D379" s="1"/>
      <c r="K379" s="2"/>
      <c r="L379" s="1"/>
    </row>
    <row r="380" spans="2:12" ht="15" customHeight="1" x14ac:dyDescent="0.25">
      <c r="B380" s="44"/>
      <c r="C380" s="1"/>
      <c r="D380" s="1"/>
      <c r="K380" s="2"/>
      <c r="L380" s="1"/>
    </row>
    <row r="381" spans="2:12" ht="15" customHeight="1" x14ac:dyDescent="0.25">
      <c r="B381" s="44"/>
      <c r="C381" s="1"/>
      <c r="D381" s="1"/>
      <c r="K381" s="2"/>
      <c r="L381" s="1"/>
    </row>
    <row r="382" spans="2:12" ht="15" customHeight="1" x14ac:dyDescent="0.25">
      <c r="B382" s="44"/>
      <c r="C382" s="1"/>
      <c r="D382" s="1"/>
      <c r="K382" s="2"/>
      <c r="L382" s="1"/>
    </row>
    <row r="383" spans="2:12" ht="15" customHeight="1" x14ac:dyDescent="0.25">
      <c r="B383" s="44"/>
      <c r="C383" s="1"/>
      <c r="D383" s="1"/>
      <c r="K383" s="2"/>
      <c r="L383" s="1"/>
    </row>
    <row r="384" spans="2:12" ht="15" customHeight="1" x14ac:dyDescent="0.25">
      <c r="B384" s="44"/>
      <c r="C384" s="1"/>
      <c r="D384" s="1"/>
      <c r="K384" s="2"/>
      <c r="L384" s="1"/>
    </row>
    <row r="385" spans="2:12" ht="15" customHeight="1" x14ac:dyDescent="0.25">
      <c r="B385" s="44"/>
      <c r="C385" s="1"/>
      <c r="D385" s="1"/>
      <c r="K385" s="2"/>
      <c r="L385" s="1"/>
    </row>
    <row r="386" spans="2:12" ht="15" customHeight="1" x14ac:dyDescent="0.25">
      <c r="B386" s="44"/>
      <c r="C386" s="1"/>
      <c r="D386" s="1"/>
      <c r="K386" s="2"/>
      <c r="L386" s="1"/>
    </row>
    <row r="387" spans="2:12" ht="15" customHeight="1" x14ac:dyDescent="0.25">
      <c r="B387" s="44"/>
      <c r="C387" s="1"/>
      <c r="D387" s="1"/>
      <c r="K387" s="2"/>
      <c r="L387" s="1"/>
    </row>
    <row r="388" spans="2:12" ht="15" customHeight="1" x14ac:dyDescent="0.25">
      <c r="B388" s="44"/>
      <c r="C388" s="1"/>
      <c r="D388" s="1"/>
      <c r="K388" s="2"/>
      <c r="L388" s="1"/>
    </row>
    <row r="389" spans="2:12" ht="15" customHeight="1" x14ac:dyDescent="0.25">
      <c r="B389" s="61"/>
    </row>
    <row r="390" spans="2:12" ht="15" customHeight="1" x14ac:dyDescent="0.25">
      <c r="B390" s="61"/>
    </row>
    <row r="391" spans="2:12" ht="15" customHeight="1" x14ac:dyDescent="0.25">
      <c r="B391" s="61"/>
    </row>
    <row r="392" spans="2:12" ht="15" customHeight="1" x14ac:dyDescent="0.25">
      <c r="B392" s="61"/>
    </row>
    <row r="393" spans="2:12" ht="15" customHeight="1" x14ac:dyDescent="0.25">
      <c r="B393" s="61"/>
    </row>
    <row r="394" spans="2:12" ht="15" customHeight="1" x14ac:dyDescent="0.25">
      <c r="B394" s="61"/>
    </row>
    <row r="395" spans="2:12" ht="15" customHeight="1" x14ac:dyDescent="0.25">
      <c r="B395" s="61"/>
    </row>
    <row r="396" spans="2:12" ht="15" customHeight="1" x14ac:dyDescent="0.25">
      <c r="B396" s="61"/>
    </row>
    <row r="397" spans="2:12" ht="15" customHeight="1" x14ac:dyDescent="0.25">
      <c r="B397" s="61"/>
    </row>
    <row r="398" spans="2:12" ht="15" customHeight="1" x14ac:dyDescent="0.25">
      <c r="B398" s="61"/>
    </row>
    <row r="399" spans="2:12" ht="15" customHeight="1" x14ac:dyDescent="0.25">
      <c r="B399" s="61"/>
    </row>
    <row r="400" spans="2:12" ht="15" customHeight="1" x14ac:dyDescent="0.25">
      <c r="B400" s="61"/>
    </row>
    <row r="401" spans="2:2" ht="15" customHeight="1" x14ac:dyDescent="0.25">
      <c r="B401" s="61"/>
    </row>
    <row r="402" spans="2:2" ht="15" customHeight="1" x14ac:dyDescent="0.25">
      <c r="B402" s="61"/>
    </row>
    <row r="403" spans="2:2" ht="15" customHeight="1" x14ac:dyDescent="0.25">
      <c r="B403" s="61"/>
    </row>
    <row r="404" spans="2:2" ht="15" customHeight="1" x14ac:dyDescent="0.25">
      <c r="B404" s="61"/>
    </row>
    <row r="405" spans="2:2" ht="15" customHeight="1" x14ac:dyDescent="0.25">
      <c r="B405" s="61"/>
    </row>
    <row r="406" spans="2:2" ht="15" customHeight="1" x14ac:dyDescent="0.25">
      <c r="B406" s="61"/>
    </row>
    <row r="407" spans="2:2" ht="15" customHeight="1" x14ac:dyDescent="0.25">
      <c r="B407" s="61"/>
    </row>
    <row r="408" spans="2:2" ht="15" customHeight="1" x14ac:dyDescent="0.25">
      <c r="B408" s="61"/>
    </row>
    <row r="409" spans="2:2" ht="15" customHeight="1" x14ac:dyDescent="0.25">
      <c r="B409" s="61"/>
    </row>
    <row r="410" spans="2:2" ht="15" customHeight="1" x14ac:dyDescent="0.25">
      <c r="B410" s="61"/>
    </row>
    <row r="411" spans="2:2" ht="15" customHeight="1" x14ac:dyDescent="0.25">
      <c r="B411" s="61"/>
    </row>
    <row r="412" spans="2:2" ht="15" customHeight="1" x14ac:dyDescent="0.25">
      <c r="B412" s="61"/>
    </row>
    <row r="413" spans="2:2" ht="15" customHeight="1" x14ac:dyDescent="0.25">
      <c r="B413" s="61"/>
    </row>
    <row r="414" spans="2:2" ht="15" customHeight="1" x14ac:dyDescent="0.25">
      <c r="B414" s="61"/>
    </row>
    <row r="415" spans="2:2" ht="15" customHeight="1" x14ac:dyDescent="0.25">
      <c r="B415" s="61"/>
    </row>
    <row r="416" spans="2:2" ht="15" customHeight="1" x14ac:dyDescent="0.25">
      <c r="B416" s="61"/>
    </row>
    <row r="417" spans="2:2" ht="15" customHeight="1" x14ac:dyDescent="0.25">
      <c r="B417" s="61"/>
    </row>
    <row r="418" spans="2:2" ht="15" customHeight="1" x14ac:dyDescent="0.25">
      <c r="B418" s="61"/>
    </row>
    <row r="419" spans="2:2" ht="15" customHeight="1" x14ac:dyDescent="0.25">
      <c r="B419" s="61"/>
    </row>
    <row r="420" spans="2:2" ht="15" customHeight="1" x14ac:dyDescent="0.25">
      <c r="B420" s="61"/>
    </row>
    <row r="421" spans="2:2" ht="15" customHeight="1" x14ac:dyDescent="0.25">
      <c r="B421" s="61"/>
    </row>
    <row r="422" spans="2:2" ht="15" customHeight="1" x14ac:dyDescent="0.25">
      <c r="B422" s="61"/>
    </row>
    <row r="423" spans="2:2" ht="15" customHeight="1" x14ac:dyDescent="0.25">
      <c r="B423" s="61"/>
    </row>
    <row r="424" spans="2:2" ht="15" customHeight="1" x14ac:dyDescent="0.25">
      <c r="B424" s="61"/>
    </row>
    <row r="425" spans="2:2" ht="15" customHeight="1" x14ac:dyDescent="0.25">
      <c r="B425" s="61"/>
    </row>
    <row r="426" spans="2:2" ht="15" customHeight="1" x14ac:dyDescent="0.25">
      <c r="B426" s="61"/>
    </row>
    <row r="427" spans="2:2" ht="15" customHeight="1" x14ac:dyDescent="0.25">
      <c r="B427" s="61"/>
    </row>
    <row r="428" spans="2:2" ht="15" customHeight="1" x14ac:dyDescent="0.25">
      <c r="B428" s="61"/>
    </row>
    <row r="429" spans="2:2" ht="15" customHeight="1" x14ac:dyDescent="0.25">
      <c r="B429" s="61"/>
    </row>
    <row r="430" spans="2:2" ht="15" customHeight="1" x14ac:dyDescent="0.25">
      <c r="B430" s="61"/>
    </row>
    <row r="431" spans="2:2" ht="15" customHeight="1" x14ac:dyDescent="0.25">
      <c r="B431" s="61"/>
    </row>
    <row r="432" spans="2:2" ht="15" customHeight="1" x14ac:dyDescent="0.25">
      <c r="B432" s="61"/>
    </row>
    <row r="433" spans="2:2" ht="15" customHeight="1" x14ac:dyDescent="0.25">
      <c r="B433" s="61"/>
    </row>
    <row r="434" spans="2:2" ht="15" customHeight="1" x14ac:dyDescent="0.25">
      <c r="B434" s="61"/>
    </row>
    <row r="435" spans="2:2" ht="15" customHeight="1" x14ac:dyDescent="0.25">
      <c r="B435" s="61"/>
    </row>
    <row r="436" spans="2:2" ht="15" customHeight="1" x14ac:dyDescent="0.25">
      <c r="B436" s="61"/>
    </row>
    <row r="437" spans="2:2" ht="15" customHeight="1" x14ac:dyDescent="0.25">
      <c r="B437" s="61"/>
    </row>
    <row r="438" spans="2:2" ht="15" customHeight="1" x14ac:dyDescent="0.25">
      <c r="B438" s="61"/>
    </row>
    <row r="439" spans="2:2" ht="15" customHeight="1" x14ac:dyDescent="0.25">
      <c r="B439" s="61"/>
    </row>
    <row r="440" spans="2:2" ht="15" customHeight="1" x14ac:dyDescent="0.25">
      <c r="B440" s="61"/>
    </row>
    <row r="441" spans="2:2" ht="15" customHeight="1" x14ac:dyDescent="0.25">
      <c r="B441" s="61"/>
    </row>
    <row r="442" spans="2:2" ht="15" customHeight="1" x14ac:dyDescent="0.25">
      <c r="B442" s="61"/>
    </row>
    <row r="443" spans="2:2" ht="15" customHeight="1" x14ac:dyDescent="0.25">
      <c r="B443" s="61"/>
    </row>
    <row r="444" spans="2:2" ht="15" customHeight="1" x14ac:dyDescent="0.25">
      <c r="B444" s="61"/>
    </row>
    <row r="445" spans="2:2" ht="15" customHeight="1" x14ac:dyDescent="0.25">
      <c r="B445" s="61"/>
    </row>
    <row r="446" spans="2:2" ht="15" customHeight="1" x14ac:dyDescent="0.25">
      <c r="B446" s="61"/>
    </row>
    <row r="447" spans="2:2" ht="15" customHeight="1" x14ac:dyDescent="0.25">
      <c r="B447" s="61"/>
    </row>
    <row r="448" spans="2:2" ht="15" customHeight="1" x14ac:dyDescent="0.25">
      <c r="B448" s="61"/>
    </row>
    <row r="449" spans="2:2" ht="15" customHeight="1" x14ac:dyDescent="0.25">
      <c r="B449" s="61"/>
    </row>
    <row r="450" spans="2:2" ht="15" customHeight="1" x14ac:dyDescent="0.25">
      <c r="B450" s="61"/>
    </row>
    <row r="451" spans="2:2" ht="15" customHeight="1" x14ac:dyDescent="0.25">
      <c r="B451" s="61"/>
    </row>
    <row r="452" spans="2:2" ht="15" customHeight="1" x14ac:dyDescent="0.25">
      <c r="B452" s="61"/>
    </row>
    <row r="453" spans="2:2" ht="15" customHeight="1" x14ac:dyDescent="0.25">
      <c r="B453" s="61"/>
    </row>
    <row r="454" spans="2:2" ht="15" customHeight="1" x14ac:dyDescent="0.25">
      <c r="B454" s="61"/>
    </row>
    <row r="455" spans="2:2" ht="15" customHeight="1" x14ac:dyDescent="0.25">
      <c r="B455" s="61"/>
    </row>
    <row r="456" spans="2:2" ht="15" customHeight="1" x14ac:dyDescent="0.25">
      <c r="B456" s="61"/>
    </row>
    <row r="457" spans="2:2" ht="15" customHeight="1" x14ac:dyDescent="0.25">
      <c r="B457" s="61"/>
    </row>
    <row r="458" spans="2:2" ht="15" customHeight="1" x14ac:dyDescent="0.25">
      <c r="B458" s="61"/>
    </row>
    <row r="459" spans="2:2" ht="15" customHeight="1" x14ac:dyDescent="0.25">
      <c r="B459" s="61"/>
    </row>
    <row r="460" spans="2:2" ht="15" customHeight="1" x14ac:dyDescent="0.25">
      <c r="B460" s="61"/>
    </row>
    <row r="461" spans="2:2" ht="15" customHeight="1" x14ac:dyDescent="0.25">
      <c r="B461" s="61"/>
    </row>
    <row r="462" spans="2:2" ht="15" customHeight="1" x14ac:dyDescent="0.25">
      <c r="B462" s="61"/>
    </row>
    <row r="463" spans="2:2" ht="15" customHeight="1" x14ac:dyDescent="0.25">
      <c r="B463" s="61"/>
    </row>
    <row r="464" spans="2:2" ht="15" customHeight="1" x14ac:dyDescent="0.25">
      <c r="B464" s="61"/>
    </row>
    <row r="465" spans="2:2" ht="15" customHeight="1" x14ac:dyDescent="0.25">
      <c r="B465" s="61"/>
    </row>
    <row r="466" spans="2:2" ht="15" customHeight="1" x14ac:dyDescent="0.25">
      <c r="B466" s="61"/>
    </row>
    <row r="467" spans="2:2" ht="15" customHeight="1" x14ac:dyDescent="0.25">
      <c r="B467" s="61"/>
    </row>
    <row r="468" spans="2:2" ht="15" customHeight="1" x14ac:dyDescent="0.25">
      <c r="B468" s="61"/>
    </row>
    <row r="469" spans="2:2" ht="15" customHeight="1" x14ac:dyDescent="0.25">
      <c r="B469" s="61"/>
    </row>
    <row r="470" spans="2:2" ht="15" customHeight="1" x14ac:dyDescent="0.25">
      <c r="B470" s="61"/>
    </row>
    <row r="471" spans="2:2" ht="15" customHeight="1" x14ac:dyDescent="0.25">
      <c r="B471" s="61"/>
    </row>
    <row r="472" spans="2:2" ht="15" customHeight="1" x14ac:dyDescent="0.25">
      <c r="B472" s="61"/>
    </row>
    <row r="473" spans="2:2" ht="15" customHeight="1" x14ac:dyDescent="0.25">
      <c r="B473" s="61"/>
    </row>
    <row r="474" spans="2:2" ht="15" customHeight="1" x14ac:dyDescent="0.25">
      <c r="B474" s="61"/>
    </row>
    <row r="475" spans="2:2" ht="15" customHeight="1" x14ac:dyDescent="0.25">
      <c r="B475" s="61"/>
    </row>
    <row r="476" spans="2:2" ht="15" customHeight="1" x14ac:dyDescent="0.25">
      <c r="B476" s="61"/>
    </row>
    <row r="477" spans="2:2" ht="15" customHeight="1" x14ac:dyDescent="0.25">
      <c r="B477" s="61"/>
    </row>
    <row r="478" spans="2:2" ht="15" customHeight="1" x14ac:dyDescent="0.25">
      <c r="B478" s="61"/>
    </row>
    <row r="479" spans="2:2" ht="15" customHeight="1" x14ac:dyDescent="0.25">
      <c r="B479" s="61"/>
    </row>
    <row r="480" spans="2:2" ht="15" customHeight="1" x14ac:dyDescent="0.25">
      <c r="B480" s="61"/>
    </row>
    <row r="481" spans="2:2" ht="15" customHeight="1" x14ac:dyDescent="0.25">
      <c r="B481" s="61"/>
    </row>
    <row r="482" spans="2:2" ht="15" customHeight="1" x14ac:dyDescent="0.25">
      <c r="B482" s="61"/>
    </row>
    <row r="483" spans="2:2" ht="15" customHeight="1" x14ac:dyDescent="0.25">
      <c r="B483" s="61"/>
    </row>
    <row r="484" spans="2:2" ht="15" customHeight="1" x14ac:dyDescent="0.25">
      <c r="B484" s="61"/>
    </row>
    <row r="485" spans="2:2" ht="15" customHeight="1" x14ac:dyDescent="0.25">
      <c r="B485" s="61"/>
    </row>
    <row r="486" spans="2:2" ht="15" customHeight="1" x14ac:dyDescent="0.25">
      <c r="B486" s="61"/>
    </row>
    <row r="487" spans="2:2" ht="15" customHeight="1" x14ac:dyDescent="0.25">
      <c r="B487" s="61"/>
    </row>
    <row r="488" spans="2:2" ht="15" customHeight="1" x14ac:dyDescent="0.25">
      <c r="B488" s="61"/>
    </row>
    <row r="489" spans="2:2" ht="15" customHeight="1" x14ac:dyDescent="0.25">
      <c r="B489" s="61"/>
    </row>
    <row r="490" spans="2:2" ht="15" customHeight="1" x14ac:dyDescent="0.25">
      <c r="B490" s="61"/>
    </row>
    <row r="491" spans="2:2" ht="15" customHeight="1" x14ac:dyDescent="0.25">
      <c r="B491" s="61"/>
    </row>
    <row r="492" spans="2:2" ht="15" customHeight="1" x14ac:dyDescent="0.25">
      <c r="B492" s="61"/>
    </row>
    <row r="493" spans="2:2" ht="15" customHeight="1" x14ac:dyDescent="0.25">
      <c r="B493" s="61"/>
    </row>
    <row r="494" spans="2:2" ht="15" customHeight="1" x14ac:dyDescent="0.25">
      <c r="B494" s="61"/>
    </row>
    <row r="495" spans="2:2" ht="15" customHeight="1" x14ac:dyDescent="0.25">
      <c r="B495" s="61"/>
    </row>
    <row r="496" spans="2:2" ht="15" customHeight="1" x14ac:dyDescent="0.25">
      <c r="B496" s="61"/>
    </row>
    <row r="497" spans="2:2" ht="15" customHeight="1" x14ac:dyDescent="0.25">
      <c r="B497" s="61"/>
    </row>
    <row r="498" spans="2:2" ht="15" customHeight="1" x14ac:dyDescent="0.25">
      <c r="B498" s="61"/>
    </row>
    <row r="499" spans="2:2" ht="15" customHeight="1" x14ac:dyDescent="0.25">
      <c r="B499" s="61"/>
    </row>
    <row r="500" spans="2:2" ht="15" customHeight="1" x14ac:dyDescent="0.25">
      <c r="B500" s="61"/>
    </row>
    <row r="501" spans="2:2" ht="15" customHeight="1" x14ac:dyDescent="0.25">
      <c r="B501" s="61"/>
    </row>
    <row r="502" spans="2:2" ht="15" customHeight="1" x14ac:dyDescent="0.25">
      <c r="B502" s="61"/>
    </row>
    <row r="503" spans="2:2" ht="15" customHeight="1" x14ac:dyDescent="0.25">
      <c r="B503" s="61"/>
    </row>
    <row r="504" spans="2:2" ht="15" customHeight="1" x14ac:dyDescent="0.25">
      <c r="B504" s="61"/>
    </row>
    <row r="505" spans="2:2" ht="15" customHeight="1" x14ac:dyDescent="0.25">
      <c r="B505" s="61"/>
    </row>
    <row r="506" spans="2:2" ht="15" customHeight="1" x14ac:dyDescent="0.25">
      <c r="B506" s="61"/>
    </row>
    <row r="507" spans="2:2" ht="15" customHeight="1" x14ac:dyDescent="0.25">
      <c r="B507" s="61"/>
    </row>
    <row r="508" spans="2:2" ht="15" customHeight="1" x14ac:dyDescent="0.25">
      <c r="B508" s="61"/>
    </row>
    <row r="509" spans="2:2" ht="15" customHeight="1" x14ac:dyDescent="0.25">
      <c r="B509" s="61"/>
    </row>
    <row r="510" spans="2:2" ht="15" customHeight="1" x14ac:dyDescent="0.25">
      <c r="B510" s="61"/>
    </row>
    <row r="511" spans="2:2" ht="15" customHeight="1" x14ac:dyDescent="0.25">
      <c r="B511" s="61"/>
    </row>
    <row r="512" spans="2:2" ht="15" customHeight="1" x14ac:dyDescent="0.25">
      <c r="B512" s="61"/>
    </row>
    <row r="513" spans="2:2" ht="15" customHeight="1" x14ac:dyDescent="0.25">
      <c r="B513" s="61"/>
    </row>
    <row r="514" spans="2:2" ht="15" customHeight="1" x14ac:dyDescent="0.25">
      <c r="B514" s="61"/>
    </row>
    <row r="515" spans="2:2" ht="15" customHeight="1" x14ac:dyDescent="0.25">
      <c r="B515" s="61"/>
    </row>
    <row r="516" spans="2:2" ht="15" customHeight="1" x14ac:dyDescent="0.25">
      <c r="B516" s="61"/>
    </row>
    <row r="517" spans="2:2" ht="15" customHeight="1" x14ac:dyDescent="0.25">
      <c r="B517" s="61"/>
    </row>
    <row r="518" spans="2:2" ht="15" customHeight="1" x14ac:dyDescent="0.25">
      <c r="B518" s="61"/>
    </row>
    <row r="519" spans="2:2" ht="15" customHeight="1" x14ac:dyDescent="0.25">
      <c r="B519" s="61"/>
    </row>
    <row r="520" spans="2:2" ht="15" customHeight="1" x14ac:dyDescent="0.25">
      <c r="B520" s="61"/>
    </row>
    <row r="521" spans="2:2" ht="15" customHeight="1" x14ac:dyDescent="0.25">
      <c r="B521" s="61"/>
    </row>
    <row r="522" spans="2:2" ht="15" customHeight="1" x14ac:dyDescent="0.25">
      <c r="B522" s="61"/>
    </row>
    <row r="523" spans="2:2" ht="15" customHeight="1" x14ac:dyDescent="0.25">
      <c r="B523" s="61"/>
    </row>
    <row r="524" spans="2:2" ht="15" customHeight="1" x14ac:dyDescent="0.25">
      <c r="B524" s="61"/>
    </row>
    <row r="525" spans="2:2" ht="15" customHeight="1" x14ac:dyDescent="0.25">
      <c r="B525" s="61"/>
    </row>
    <row r="526" spans="2:2" ht="15" customHeight="1" x14ac:dyDescent="0.25">
      <c r="B526" s="61"/>
    </row>
    <row r="527" spans="2:2" ht="15" customHeight="1" x14ac:dyDescent="0.25">
      <c r="B527" s="61"/>
    </row>
    <row r="528" spans="2:2" ht="15" customHeight="1" x14ac:dyDescent="0.25">
      <c r="B528" s="61"/>
    </row>
    <row r="529" spans="2:2" ht="15" customHeight="1" x14ac:dyDescent="0.25">
      <c r="B529" s="61"/>
    </row>
    <row r="530" spans="2:2" ht="15" customHeight="1" x14ac:dyDescent="0.25">
      <c r="B530" s="61"/>
    </row>
    <row r="531" spans="2:2" ht="15" customHeight="1" x14ac:dyDescent="0.25">
      <c r="B531" s="61"/>
    </row>
    <row r="532" spans="2:2" ht="15" customHeight="1" x14ac:dyDescent="0.25">
      <c r="B532" s="61"/>
    </row>
    <row r="533" spans="2:2" ht="15" customHeight="1" x14ac:dyDescent="0.25">
      <c r="B533" s="61"/>
    </row>
    <row r="534" spans="2:2" ht="15" customHeight="1" x14ac:dyDescent="0.25">
      <c r="B534" s="61"/>
    </row>
    <row r="535" spans="2:2" ht="15" customHeight="1" x14ac:dyDescent="0.25">
      <c r="B535" s="61"/>
    </row>
    <row r="536" spans="2:2" ht="15" customHeight="1" x14ac:dyDescent="0.25">
      <c r="B536" s="61"/>
    </row>
    <row r="537" spans="2:2" ht="15" customHeight="1" x14ac:dyDescent="0.25">
      <c r="B537" s="61"/>
    </row>
    <row r="538" spans="2:2" ht="15" customHeight="1" x14ac:dyDescent="0.25">
      <c r="B538" s="61"/>
    </row>
    <row r="539" spans="2:2" ht="15" customHeight="1" x14ac:dyDescent="0.25">
      <c r="B539" s="61"/>
    </row>
    <row r="540" spans="2:2" ht="15" customHeight="1" x14ac:dyDescent="0.25">
      <c r="B540" s="61"/>
    </row>
    <row r="541" spans="2:2" ht="15" customHeight="1" x14ac:dyDescent="0.25">
      <c r="B541" s="61"/>
    </row>
    <row r="542" spans="2:2" ht="15" customHeight="1" x14ac:dyDescent="0.25">
      <c r="B542" s="61"/>
    </row>
    <row r="543" spans="2:2" ht="15" customHeight="1" x14ac:dyDescent="0.25">
      <c r="B543" s="61"/>
    </row>
    <row r="544" spans="2:2" ht="15" customHeight="1" x14ac:dyDescent="0.25">
      <c r="B544" s="61"/>
    </row>
    <row r="545" spans="2:2" ht="15" customHeight="1" x14ac:dyDescent="0.25">
      <c r="B545" s="61"/>
    </row>
    <row r="546" spans="2:2" ht="15" customHeight="1" x14ac:dyDescent="0.25">
      <c r="B546" s="61"/>
    </row>
    <row r="547" spans="2:2" ht="15" customHeight="1" x14ac:dyDescent="0.25">
      <c r="B547" s="61"/>
    </row>
    <row r="548" spans="2:2" ht="15" customHeight="1" x14ac:dyDescent="0.25">
      <c r="B548" s="61"/>
    </row>
    <row r="549" spans="2:2" ht="15" customHeight="1" x14ac:dyDescent="0.25">
      <c r="B549" s="61"/>
    </row>
    <row r="550" spans="2:2" ht="15" customHeight="1" x14ac:dyDescent="0.25">
      <c r="B550" s="61"/>
    </row>
    <row r="551" spans="2:2" ht="15" customHeight="1" x14ac:dyDescent="0.25">
      <c r="B551" s="61"/>
    </row>
    <row r="552" spans="2:2" ht="15" customHeight="1" x14ac:dyDescent="0.25">
      <c r="B552" s="61"/>
    </row>
    <row r="553" spans="2:2" ht="15" customHeight="1" x14ac:dyDescent="0.25">
      <c r="B553" s="61"/>
    </row>
    <row r="554" spans="2:2" ht="15" customHeight="1" x14ac:dyDescent="0.25">
      <c r="B554" s="61"/>
    </row>
    <row r="555" spans="2:2" ht="15" customHeight="1" x14ac:dyDescent="0.25">
      <c r="B555" s="61"/>
    </row>
    <row r="556" spans="2:2" ht="15" customHeight="1" x14ac:dyDescent="0.25">
      <c r="B556" s="61"/>
    </row>
    <row r="557" spans="2:2" ht="15" customHeight="1" x14ac:dyDescent="0.25">
      <c r="B557" s="61"/>
    </row>
    <row r="558" spans="2:2" ht="15" customHeight="1" x14ac:dyDescent="0.25">
      <c r="B558" s="61"/>
    </row>
    <row r="559" spans="2:2" ht="15" customHeight="1" x14ac:dyDescent="0.25">
      <c r="B559" s="61"/>
    </row>
    <row r="560" spans="2:2" ht="15" customHeight="1" x14ac:dyDescent="0.25">
      <c r="B560" s="61"/>
    </row>
    <row r="561" spans="2:2" ht="15" customHeight="1" x14ac:dyDescent="0.25">
      <c r="B561" s="61"/>
    </row>
    <row r="562" spans="2:2" ht="15" customHeight="1" x14ac:dyDescent="0.25">
      <c r="B562" s="61"/>
    </row>
    <row r="563" spans="2:2" ht="15" customHeight="1" x14ac:dyDescent="0.25">
      <c r="B563" s="61"/>
    </row>
    <row r="564" spans="2:2" ht="15" customHeight="1" x14ac:dyDescent="0.25">
      <c r="B564" s="61"/>
    </row>
    <row r="565" spans="2:2" ht="15" customHeight="1" x14ac:dyDescent="0.25">
      <c r="B565" s="61"/>
    </row>
    <row r="566" spans="2:2" ht="15" customHeight="1" x14ac:dyDescent="0.25">
      <c r="B566" s="61"/>
    </row>
    <row r="567" spans="2:2" ht="15" customHeight="1" x14ac:dyDescent="0.25">
      <c r="B567" s="61"/>
    </row>
    <row r="568" spans="2:2" ht="15" customHeight="1" x14ac:dyDescent="0.25">
      <c r="B568" s="61"/>
    </row>
    <row r="569" spans="2:2" ht="15" customHeight="1" x14ac:dyDescent="0.25">
      <c r="B569" s="61"/>
    </row>
    <row r="570" spans="2:2" ht="15" customHeight="1" x14ac:dyDescent="0.25">
      <c r="B570" s="61"/>
    </row>
    <row r="571" spans="2:2" ht="15" customHeight="1" x14ac:dyDescent="0.25">
      <c r="B571" s="61"/>
    </row>
    <row r="572" spans="2:2" ht="15" customHeight="1" x14ac:dyDescent="0.25">
      <c r="B572" s="61"/>
    </row>
    <row r="573" spans="2:2" ht="15" customHeight="1" x14ac:dyDescent="0.25">
      <c r="B573" s="61"/>
    </row>
    <row r="574" spans="2:2" ht="15" customHeight="1" x14ac:dyDescent="0.25">
      <c r="B574" s="61"/>
    </row>
    <row r="575" spans="2:2" ht="15" customHeight="1" x14ac:dyDescent="0.25">
      <c r="B575" s="61"/>
    </row>
    <row r="576" spans="2:2" ht="15" customHeight="1" x14ac:dyDescent="0.25">
      <c r="B576" s="61"/>
    </row>
    <row r="577" spans="2:2" ht="15" customHeight="1" x14ac:dyDescent="0.25">
      <c r="B577" s="61"/>
    </row>
    <row r="578" spans="2:2" ht="15" customHeight="1" x14ac:dyDescent="0.25">
      <c r="B578" s="61"/>
    </row>
    <row r="579" spans="2:2" ht="15" customHeight="1" x14ac:dyDescent="0.25">
      <c r="B579" s="61"/>
    </row>
    <row r="580" spans="2:2" ht="15" customHeight="1" x14ac:dyDescent="0.25">
      <c r="B580" s="61"/>
    </row>
    <row r="581" spans="2:2" ht="15" customHeight="1" x14ac:dyDescent="0.25">
      <c r="B581" s="61"/>
    </row>
    <row r="582" spans="2:2" ht="15" customHeight="1" x14ac:dyDescent="0.25">
      <c r="B582" s="61"/>
    </row>
    <row r="583" spans="2:2" ht="15" customHeight="1" x14ac:dyDescent="0.25">
      <c r="B583" s="61"/>
    </row>
    <row r="584" spans="2:2" ht="15" customHeight="1" x14ac:dyDescent="0.25">
      <c r="B584" s="61"/>
    </row>
    <row r="585" spans="2:2" ht="15" customHeight="1" x14ac:dyDescent="0.25">
      <c r="B585" s="61"/>
    </row>
    <row r="586" spans="2:2" ht="15" customHeight="1" x14ac:dyDescent="0.25">
      <c r="B586" s="61"/>
    </row>
    <row r="587" spans="2:2" ht="15" customHeight="1" x14ac:dyDescent="0.25">
      <c r="B587" s="61"/>
    </row>
    <row r="588" spans="2:2" ht="15" customHeight="1" x14ac:dyDescent="0.25">
      <c r="B588" s="61"/>
    </row>
    <row r="589" spans="2:2" ht="15" customHeight="1" x14ac:dyDescent="0.25">
      <c r="B589" s="61"/>
    </row>
    <row r="590" spans="2:2" ht="15" customHeight="1" x14ac:dyDescent="0.25">
      <c r="B590" s="61"/>
    </row>
    <row r="591" spans="2:2" ht="15" customHeight="1" x14ac:dyDescent="0.25">
      <c r="B591" s="61"/>
    </row>
    <row r="592" spans="2:2" ht="15" customHeight="1" x14ac:dyDescent="0.25">
      <c r="B592" s="61"/>
    </row>
    <row r="593" spans="2:2" ht="15" customHeight="1" x14ac:dyDescent="0.25">
      <c r="B593" s="61"/>
    </row>
    <row r="594" spans="2:2" ht="15" customHeight="1" x14ac:dyDescent="0.25">
      <c r="B594" s="61"/>
    </row>
    <row r="595" spans="2:2" ht="15" customHeight="1" x14ac:dyDescent="0.25">
      <c r="B595" s="61"/>
    </row>
    <row r="596" spans="2:2" ht="15" customHeight="1" x14ac:dyDescent="0.25">
      <c r="B596" s="61"/>
    </row>
    <row r="597" spans="2:2" ht="15" customHeight="1" x14ac:dyDescent="0.25">
      <c r="B597" s="61"/>
    </row>
    <row r="598" spans="2:2" ht="15" customHeight="1" x14ac:dyDescent="0.25">
      <c r="B598" s="61"/>
    </row>
    <row r="599" spans="2:2" ht="15" customHeight="1" x14ac:dyDescent="0.25">
      <c r="B599" s="61"/>
    </row>
    <row r="600" spans="2:2" ht="15" customHeight="1" x14ac:dyDescent="0.25">
      <c r="B600" s="61"/>
    </row>
    <row r="601" spans="2:2" ht="15" customHeight="1" x14ac:dyDescent="0.25">
      <c r="B601" s="61"/>
    </row>
    <row r="602" spans="2:2" ht="15" customHeight="1" x14ac:dyDescent="0.25">
      <c r="B602" s="61"/>
    </row>
    <row r="603" spans="2:2" ht="15" customHeight="1" x14ac:dyDescent="0.25">
      <c r="B603" s="61"/>
    </row>
    <row r="604" spans="2:2" ht="15" customHeight="1" x14ac:dyDescent="0.25">
      <c r="B604" s="61"/>
    </row>
    <row r="605" spans="2:2" ht="15" customHeight="1" x14ac:dyDescent="0.25">
      <c r="B605" s="61"/>
    </row>
    <row r="606" spans="2:2" ht="15" customHeight="1" x14ac:dyDescent="0.25">
      <c r="B606" s="61"/>
    </row>
    <row r="607" spans="2:2" ht="15" customHeight="1" x14ac:dyDescent="0.25">
      <c r="B607" s="61"/>
    </row>
    <row r="608" spans="2:2" ht="15" customHeight="1" x14ac:dyDescent="0.25">
      <c r="B608" s="61"/>
    </row>
    <row r="609" spans="2:2" ht="15" customHeight="1" x14ac:dyDescent="0.25">
      <c r="B609" s="61"/>
    </row>
    <row r="610" spans="2:2" ht="15" customHeight="1" x14ac:dyDescent="0.25">
      <c r="B610" s="61"/>
    </row>
    <row r="611" spans="2:2" ht="15" customHeight="1" x14ac:dyDescent="0.25">
      <c r="B611" s="61"/>
    </row>
    <row r="612" spans="2:2" ht="15" customHeight="1" x14ac:dyDescent="0.25">
      <c r="B612" s="61"/>
    </row>
    <row r="613" spans="2:2" ht="15" customHeight="1" x14ac:dyDescent="0.25">
      <c r="B613" s="61"/>
    </row>
    <row r="614" spans="2:2" ht="15" customHeight="1" x14ac:dyDescent="0.25">
      <c r="B614" s="61"/>
    </row>
    <row r="615" spans="2:2" ht="15" customHeight="1" x14ac:dyDescent="0.25">
      <c r="B615" s="61"/>
    </row>
    <row r="616" spans="2:2" ht="15" customHeight="1" x14ac:dyDescent="0.25">
      <c r="B616" s="61"/>
    </row>
    <row r="617" spans="2:2" ht="15" customHeight="1" x14ac:dyDescent="0.25">
      <c r="B617" s="61"/>
    </row>
    <row r="618" spans="2:2" ht="15" customHeight="1" x14ac:dyDescent="0.25">
      <c r="B618" s="61"/>
    </row>
    <row r="619" spans="2:2" ht="15" customHeight="1" x14ac:dyDescent="0.25">
      <c r="B619" s="61"/>
    </row>
    <row r="620" spans="2:2" ht="15" customHeight="1" x14ac:dyDescent="0.25">
      <c r="B620" s="61"/>
    </row>
    <row r="621" spans="2:2" ht="15" customHeight="1" x14ac:dyDescent="0.25">
      <c r="B621" s="61"/>
    </row>
    <row r="622" spans="2:2" ht="15" customHeight="1" x14ac:dyDescent="0.25">
      <c r="B622" s="61"/>
    </row>
    <row r="623" spans="2:2" ht="15" customHeight="1" x14ac:dyDescent="0.25">
      <c r="B623" s="61"/>
    </row>
    <row r="624" spans="2:2" ht="15" customHeight="1" x14ac:dyDescent="0.25">
      <c r="B624" s="61"/>
    </row>
    <row r="625" spans="2:2" ht="15" customHeight="1" x14ac:dyDescent="0.25">
      <c r="B625" s="61"/>
    </row>
    <row r="626" spans="2:2" ht="15" customHeight="1" x14ac:dyDescent="0.25">
      <c r="B626" s="61"/>
    </row>
    <row r="627" spans="2:2" ht="15" customHeight="1" x14ac:dyDescent="0.25">
      <c r="B627" s="61"/>
    </row>
    <row r="628" spans="2:2" ht="15" customHeight="1" x14ac:dyDescent="0.25">
      <c r="B628" s="61"/>
    </row>
    <row r="629" spans="2:2" ht="15" customHeight="1" x14ac:dyDescent="0.25">
      <c r="B629" s="61"/>
    </row>
    <row r="630" spans="2:2" ht="15" customHeight="1" x14ac:dyDescent="0.25">
      <c r="B630" s="61"/>
    </row>
    <row r="631" spans="2:2" ht="15" customHeight="1" x14ac:dyDescent="0.25">
      <c r="B631" s="61"/>
    </row>
    <row r="632" spans="2:2" ht="15" customHeight="1" x14ac:dyDescent="0.25">
      <c r="B632" s="61"/>
    </row>
    <row r="633" spans="2:2" ht="15" customHeight="1" x14ac:dyDescent="0.25">
      <c r="B633" s="61"/>
    </row>
    <row r="634" spans="2:2" ht="15" customHeight="1" x14ac:dyDescent="0.25">
      <c r="B634" s="61"/>
    </row>
  </sheetData>
  <phoneticPr fontId="13" type="noConversion"/>
  <conditionalFormatting sqref="L3:L23 L289:L323 L25:L55 L57:L287">
    <cfRule type="cellIs" dxfId="24" priority="84" operator="between">
      <formula>2641</formula>
      <formula>3300</formula>
    </cfRule>
    <cfRule type="cellIs" dxfId="23" priority="85" operator="between">
      <formula>1981</formula>
      <formula>2640</formula>
    </cfRule>
    <cfRule type="cellIs" dxfId="22" priority="86" operator="between">
      <formula>1321</formula>
      <formula>1980</formula>
    </cfRule>
    <cfRule type="cellIs" dxfId="21" priority="87" operator="lessThan">
      <formula>1320</formula>
    </cfRule>
    <cfRule type="cellIs" dxfId="20" priority="88" operator="between">
      <formula>3961</formula>
      <formula>4620</formula>
    </cfRule>
  </conditionalFormatting>
  <conditionalFormatting sqref="L75:L138 L2:L23 L25:L55 L57:L65">
    <cfRule type="cellIs" dxfId="19" priority="89" operator="between">
      <formula>3301</formula>
      <formula>3960</formula>
    </cfRule>
  </conditionalFormatting>
  <conditionalFormatting sqref="A320:A322">
    <cfRule type="duplicateValues" dxfId="18" priority="255"/>
  </conditionalFormatting>
  <conditionalFormatting sqref="B2:B327 B344:B1048576">
    <cfRule type="duplicateValues" dxfId="17" priority="6"/>
  </conditionalFormatting>
  <conditionalFormatting sqref="B2:B327 B389:B1048576">
    <cfRule type="duplicateValues" dxfId="16" priority="264"/>
  </conditionalFormatting>
  <conditionalFormatting sqref="B337:B338">
    <cfRule type="duplicateValues" dxfId="15" priority="4"/>
  </conditionalFormatting>
  <conditionalFormatting sqref="B337:B338">
    <cfRule type="duplicateValues" dxfId="14" priority="5"/>
  </conditionalFormatting>
  <conditionalFormatting sqref="B2:B1048576">
    <cfRule type="duplicateValues" dxfId="13" priority="3"/>
  </conditionalFormatting>
  <conditionalFormatting sqref="B1">
    <cfRule type="duplicateValues" dxfId="12" priority="1"/>
    <cfRule type="duplicateValues" dxfId="11" priority="2"/>
  </conditionalFormatting>
  <pageMargins left="0.7" right="0.7" top="0.75" bottom="0.75" header="0" footer="0"/>
  <pageSetup orientation="portrait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8C02A-6DA8-4D5A-9C74-72BBEBE7240C}">
  <sheetPr>
    <tabColor rgb="FFFFC000"/>
  </sheetPr>
  <dimension ref="A1:AX67"/>
  <sheetViews>
    <sheetView showGridLines="0" zoomScale="55" zoomScaleNormal="55" workbookViewId="0">
      <selection activeCell="AY13" sqref="AY13"/>
    </sheetView>
  </sheetViews>
  <sheetFormatPr defaultColWidth="9.140625" defaultRowHeight="15" x14ac:dyDescent="0.25"/>
  <cols>
    <col min="1" max="6" width="9.140625" style="136"/>
    <col min="7" max="8" width="9.140625" style="469"/>
    <col min="9" max="17" width="9.140625" style="136"/>
    <col min="18" max="23" width="9.140625" style="470"/>
    <col min="24" max="24" width="9.140625" style="136"/>
    <col min="25" max="32" width="9.140625" style="4"/>
    <col min="33" max="16384" width="9.140625" style="1"/>
  </cols>
  <sheetData>
    <row r="1" spans="1:50" x14ac:dyDescent="0.25">
      <c r="A1" s="681" t="s">
        <v>19830</v>
      </c>
      <c r="B1" s="681"/>
      <c r="C1" s="681"/>
      <c r="D1" s="681"/>
      <c r="E1" s="681"/>
      <c r="F1" s="681"/>
      <c r="G1" s="681"/>
      <c r="H1" s="681"/>
      <c r="I1" s="681"/>
      <c r="J1" s="681"/>
      <c r="K1" s="681"/>
      <c r="L1" s="681"/>
      <c r="M1" s="681"/>
      <c r="N1" s="681"/>
      <c r="O1" s="681"/>
      <c r="P1" s="681"/>
      <c r="Q1" s="681"/>
      <c r="R1" s="681"/>
      <c r="S1" s="681"/>
      <c r="T1" s="681"/>
      <c r="U1" s="681"/>
      <c r="V1" s="681"/>
      <c r="W1" s="681"/>
      <c r="X1" s="681"/>
      <c r="Y1" s="681"/>
      <c r="Z1" s="681"/>
      <c r="AA1" s="681"/>
      <c r="AB1" s="681"/>
      <c r="AC1" s="681"/>
      <c r="AD1" s="681"/>
      <c r="AE1" s="681"/>
      <c r="AF1" s="681"/>
      <c r="AG1" s="681"/>
      <c r="AH1" s="681"/>
      <c r="AI1" s="681"/>
      <c r="AJ1" s="681"/>
      <c r="AK1" s="681"/>
      <c r="AL1" s="681"/>
      <c r="AM1" s="681"/>
    </row>
    <row r="2" spans="1:50" ht="15.75" thickBot="1" x14ac:dyDescent="0.3">
      <c r="A2" s="679"/>
      <c r="B2" s="679"/>
      <c r="C2" s="679"/>
      <c r="D2" s="679"/>
      <c r="E2" s="679"/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79"/>
      <c r="U2" s="679"/>
      <c r="V2" s="679"/>
      <c r="W2" s="679"/>
      <c r="X2" s="679"/>
      <c r="Y2" s="679"/>
      <c r="Z2" s="679"/>
      <c r="AA2" s="679"/>
      <c r="AB2" s="679"/>
      <c r="AC2" s="679"/>
      <c r="AD2" s="679"/>
      <c r="AE2" s="679"/>
      <c r="AF2" s="679"/>
      <c r="AG2" s="679"/>
      <c r="AH2" s="679"/>
      <c r="AI2" s="679"/>
      <c r="AJ2" s="679"/>
      <c r="AK2" s="679"/>
      <c r="AL2" s="679"/>
      <c r="AM2" s="679"/>
    </row>
    <row r="3" spans="1:50" x14ac:dyDescent="0.25">
      <c r="A3" s="642" t="s">
        <v>268</v>
      </c>
      <c r="B3" s="643">
        <v>29.5</v>
      </c>
      <c r="C3" s="673" t="s">
        <v>12664</v>
      </c>
      <c r="D3" s="670" t="s">
        <v>390</v>
      </c>
      <c r="E3" s="175">
        <v>25.5</v>
      </c>
      <c r="F3" s="602" t="s">
        <v>12664</v>
      </c>
      <c r="G3" s="471" t="s">
        <v>120</v>
      </c>
      <c r="H3" s="516">
        <v>19.75</v>
      </c>
      <c r="I3" s="602" t="s">
        <v>12664</v>
      </c>
      <c r="J3" s="471" t="s">
        <v>335</v>
      </c>
      <c r="K3" s="663">
        <v>22.25</v>
      </c>
      <c r="L3" s="654" t="s">
        <v>12664</v>
      </c>
      <c r="M3" s="473" t="s">
        <v>357</v>
      </c>
      <c r="N3" s="515">
        <v>21.5</v>
      </c>
      <c r="O3" s="654" t="s">
        <v>12664</v>
      </c>
      <c r="P3" s="475" t="s">
        <v>5225</v>
      </c>
      <c r="Q3" s="476">
        <v>29</v>
      </c>
      <c r="R3" s="654" t="s">
        <v>12664</v>
      </c>
      <c r="S3" s="94" t="s">
        <v>2520</v>
      </c>
      <c r="T3" s="476">
        <v>31</v>
      </c>
      <c r="U3" s="602" t="s">
        <v>12664</v>
      </c>
      <c r="V3" s="471" t="s">
        <v>2958</v>
      </c>
      <c r="W3" s="477">
        <v>29.5</v>
      </c>
      <c r="X3" s="653" t="s">
        <v>12664</v>
      </c>
      <c r="Y3" s="648" t="s">
        <v>270</v>
      </c>
      <c r="Z3" s="656">
        <v>31.25</v>
      </c>
      <c r="AA3" s="653" t="s">
        <v>12664</v>
      </c>
      <c r="AB3" s="506" t="s">
        <v>5253</v>
      </c>
      <c r="AC3" s="500">
        <v>22</v>
      </c>
      <c r="AD3" s="596" t="s">
        <v>12664</v>
      </c>
      <c r="AE3" s="471" t="s">
        <v>4683</v>
      </c>
      <c r="AF3" s="474">
        <v>29</v>
      </c>
      <c r="AG3" s="626" t="s">
        <v>12664</v>
      </c>
      <c r="AH3" s="473" t="s">
        <v>100</v>
      </c>
      <c r="AI3" s="472">
        <v>22</v>
      </c>
      <c r="AJ3" s="626" t="s">
        <v>12664</v>
      </c>
      <c r="AK3" s="474" t="s">
        <v>130</v>
      </c>
      <c r="AL3" s="472">
        <v>27.25</v>
      </c>
      <c r="AM3" s="626" t="s">
        <v>12664</v>
      </c>
      <c r="AQ3" s="470"/>
      <c r="AR3" s="470"/>
      <c r="AS3" s="470"/>
      <c r="AT3" s="470"/>
      <c r="AU3" s="470"/>
      <c r="AV3" s="136"/>
      <c r="AW3" s="4"/>
      <c r="AX3" s="4"/>
    </row>
    <row r="4" spans="1:50" x14ac:dyDescent="0.25">
      <c r="A4" s="644" t="s">
        <v>366</v>
      </c>
      <c r="B4" s="636">
        <v>29.25</v>
      </c>
      <c r="C4" s="674"/>
      <c r="D4" s="660" t="s">
        <v>170</v>
      </c>
      <c r="E4" s="176">
        <v>24.25</v>
      </c>
      <c r="F4" s="603"/>
      <c r="G4" s="478" t="s">
        <v>450</v>
      </c>
      <c r="H4" s="510">
        <v>19</v>
      </c>
      <c r="I4" s="603"/>
      <c r="J4" s="478" t="s">
        <v>100</v>
      </c>
      <c r="K4" s="661">
        <v>22</v>
      </c>
      <c r="L4" s="638"/>
      <c r="M4" s="97" t="s">
        <v>4488</v>
      </c>
      <c r="N4" s="483">
        <v>18.75</v>
      </c>
      <c r="O4" s="638"/>
      <c r="P4" s="479" t="s">
        <v>5147</v>
      </c>
      <c r="Q4" s="480">
        <v>29</v>
      </c>
      <c r="R4" s="638"/>
      <c r="S4" s="396" t="s">
        <v>221</v>
      </c>
      <c r="T4" s="480">
        <v>31</v>
      </c>
      <c r="U4" s="603"/>
      <c r="V4" s="478" t="s">
        <v>5147</v>
      </c>
      <c r="W4" s="481">
        <v>29</v>
      </c>
      <c r="X4" s="637"/>
      <c r="Y4" s="644" t="s">
        <v>143</v>
      </c>
      <c r="Z4" s="657">
        <v>28</v>
      </c>
      <c r="AA4" s="637"/>
      <c r="AB4" s="485" t="s">
        <v>309</v>
      </c>
      <c r="AC4" s="501">
        <v>19.5</v>
      </c>
      <c r="AD4" s="597"/>
      <c r="AE4" s="485" t="s">
        <v>4683</v>
      </c>
      <c r="AF4" s="99">
        <v>29</v>
      </c>
      <c r="AG4" s="627"/>
      <c r="AH4" s="97" t="s">
        <v>369</v>
      </c>
      <c r="AI4" s="99">
        <v>20</v>
      </c>
      <c r="AJ4" s="627"/>
      <c r="AK4" s="98" t="s">
        <v>3481</v>
      </c>
      <c r="AL4" s="98">
        <v>27</v>
      </c>
      <c r="AM4" s="627"/>
      <c r="AQ4" s="470"/>
      <c r="AR4" s="470"/>
      <c r="AS4" s="470"/>
      <c r="AT4" s="470"/>
      <c r="AU4" s="470"/>
      <c r="AV4" s="136"/>
      <c r="AW4" s="4"/>
      <c r="AX4" s="4"/>
    </row>
    <row r="5" spans="1:50" x14ac:dyDescent="0.25">
      <c r="A5" s="645" t="s">
        <v>95</v>
      </c>
      <c r="B5" s="636">
        <v>28.5</v>
      </c>
      <c r="C5" s="674"/>
      <c r="D5" s="123" t="s">
        <v>343</v>
      </c>
      <c r="E5" s="176">
        <v>20.5</v>
      </c>
      <c r="F5" s="603"/>
      <c r="G5" s="485" t="s">
        <v>419</v>
      </c>
      <c r="H5" s="510">
        <v>18.5</v>
      </c>
      <c r="I5" s="603"/>
      <c r="J5" s="478" t="s">
        <v>3365</v>
      </c>
      <c r="K5" s="483">
        <v>21.75</v>
      </c>
      <c r="L5" s="638"/>
      <c r="M5" s="96" t="s">
        <v>5457</v>
      </c>
      <c r="N5" s="661">
        <v>18.5</v>
      </c>
      <c r="O5" s="638"/>
      <c r="P5" s="479" t="s">
        <v>5336</v>
      </c>
      <c r="Q5" s="480">
        <v>29</v>
      </c>
      <c r="R5" s="638"/>
      <c r="S5" s="396" t="s">
        <v>221</v>
      </c>
      <c r="T5" s="480">
        <v>31</v>
      </c>
      <c r="U5" s="603"/>
      <c r="V5" s="123" t="s">
        <v>351</v>
      </c>
      <c r="W5" s="482">
        <v>25.5</v>
      </c>
      <c r="X5" s="637"/>
      <c r="Y5" s="644" t="s">
        <v>143</v>
      </c>
      <c r="Z5" s="657">
        <v>28</v>
      </c>
      <c r="AA5" s="637"/>
      <c r="AB5" s="485" t="s">
        <v>198</v>
      </c>
      <c r="AC5" s="501">
        <v>19.25</v>
      </c>
      <c r="AD5" s="597"/>
      <c r="AE5" s="478" t="s">
        <v>4764</v>
      </c>
      <c r="AF5" s="98">
        <v>28.75</v>
      </c>
      <c r="AG5" s="627"/>
      <c r="AH5" s="97" t="s">
        <v>309</v>
      </c>
      <c r="AI5" s="99">
        <v>19.5</v>
      </c>
      <c r="AJ5" s="627"/>
      <c r="AK5" s="98" t="s">
        <v>3225</v>
      </c>
      <c r="AL5" s="98">
        <v>25.5</v>
      </c>
      <c r="AM5" s="627"/>
      <c r="AQ5" s="470"/>
      <c r="AR5" s="470"/>
      <c r="AS5" s="470"/>
      <c r="AT5" s="470"/>
      <c r="AU5" s="470"/>
      <c r="AV5" s="136"/>
      <c r="AW5" s="4"/>
      <c r="AX5" s="4"/>
    </row>
    <row r="6" spans="1:50" x14ac:dyDescent="0.25">
      <c r="A6" s="645" t="s">
        <v>95</v>
      </c>
      <c r="B6" s="636">
        <v>28.5</v>
      </c>
      <c r="C6" s="674"/>
      <c r="D6" s="660" t="s">
        <v>343</v>
      </c>
      <c r="E6" s="176">
        <v>20.5</v>
      </c>
      <c r="F6" s="603"/>
      <c r="G6" s="485" t="s">
        <v>316</v>
      </c>
      <c r="H6" s="510">
        <v>18.5</v>
      </c>
      <c r="I6" s="603"/>
      <c r="J6" s="478" t="s">
        <v>81</v>
      </c>
      <c r="K6" s="661">
        <v>21.25</v>
      </c>
      <c r="L6" s="638"/>
      <c r="M6" s="96" t="s">
        <v>4198</v>
      </c>
      <c r="N6" s="661">
        <v>18.5</v>
      </c>
      <c r="O6" s="638"/>
      <c r="P6" s="479" t="s">
        <v>4977</v>
      </c>
      <c r="Q6" s="480">
        <v>28.5</v>
      </c>
      <c r="R6" s="638"/>
      <c r="S6" s="396" t="s">
        <v>221</v>
      </c>
      <c r="T6" s="480">
        <v>31</v>
      </c>
      <c r="U6" s="603"/>
      <c r="V6" s="478" t="s">
        <v>2692</v>
      </c>
      <c r="W6" s="481">
        <v>24.25</v>
      </c>
      <c r="X6" s="637"/>
      <c r="Y6" s="644" t="s">
        <v>143</v>
      </c>
      <c r="Z6" s="657">
        <v>28</v>
      </c>
      <c r="AA6" s="637"/>
      <c r="AB6" s="485" t="s">
        <v>5253</v>
      </c>
      <c r="AC6" s="501">
        <v>22</v>
      </c>
      <c r="AD6" s="597"/>
      <c r="AE6" s="485" t="s">
        <v>4764</v>
      </c>
      <c r="AF6" s="99">
        <v>28.75</v>
      </c>
      <c r="AG6" s="627"/>
      <c r="AH6" s="97" t="s">
        <v>3243</v>
      </c>
      <c r="AI6" s="98">
        <v>19.25</v>
      </c>
      <c r="AJ6" s="627"/>
      <c r="AK6" s="98" t="s">
        <v>3307</v>
      </c>
      <c r="AL6" s="98">
        <v>25.25</v>
      </c>
      <c r="AM6" s="627"/>
      <c r="AW6" s="4"/>
      <c r="AX6" s="4"/>
    </row>
    <row r="7" spans="1:50" x14ac:dyDescent="0.25">
      <c r="A7" s="644" t="s">
        <v>52</v>
      </c>
      <c r="B7" s="636">
        <v>27</v>
      </c>
      <c r="C7" s="674"/>
      <c r="D7" s="660" t="s">
        <v>343</v>
      </c>
      <c r="E7" s="176">
        <v>20.5</v>
      </c>
      <c r="F7" s="603"/>
      <c r="G7" s="485" t="s">
        <v>450</v>
      </c>
      <c r="H7" s="510">
        <v>19</v>
      </c>
      <c r="I7" s="603"/>
      <c r="J7" s="478" t="s">
        <v>113</v>
      </c>
      <c r="K7" s="661">
        <v>20.75</v>
      </c>
      <c r="L7" s="638"/>
      <c r="M7" s="97" t="s">
        <v>5457</v>
      </c>
      <c r="N7" s="483">
        <v>18.5</v>
      </c>
      <c r="O7" s="638"/>
      <c r="P7" s="479" t="s">
        <v>4973</v>
      </c>
      <c r="Q7" s="480">
        <v>27</v>
      </c>
      <c r="R7" s="638"/>
      <c r="S7" s="96" t="s">
        <v>402</v>
      </c>
      <c r="T7" s="480">
        <v>22</v>
      </c>
      <c r="U7" s="603"/>
      <c r="V7" s="478" t="s">
        <v>4017</v>
      </c>
      <c r="W7" s="481">
        <v>23.25</v>
      </c>
      <c r="X7" s="637"/>
      <c r="Y7" s="645" t="s">
        <v>12</v>
      </c>
      <c r="Z7" s="657">
        <v>31.75</v>
      </c>
      <c r="AA7" s="637"/>
      <c r="AB7" s="485" t="s">
        <v>376</v>
      </c>
      <c r="AC7" s="501">
        <v>21.75</v>
      </c>
      <c r="AD7" s="597"/>
      <c r="AE7" s="485" t="s">
        <v>5473</v>
      </c>
      <c r="AF7" s="99">
        <v>20.25</v>
      </c>
      <c r="AG7" s="627"/>
      <c r="AH7" s="97" t="s">
        <v>5128</v>
      </c>
      <c r="AI7" s="98">
        <v>17.75</v>
      </c>
      <c r="AJ7" s="627"/>
      <c r="AK7" s="98" t="s">
        <v>415</v>
      </c>
      <c r="AL7" s="99">
        <v>21.25</v>
      </c>
      <c r="AM7" s="627"/>
      <c r="AW7" s="4"/>
      <c r="AX7" s="4"/>
    </row>
    <row r="8" spans="1:50" ht="15.75" thickBot="1" x14ac:dyDescent="0.3">
      <c r="A8" s="649" t="s">
        <v>15</v>
      </c>
      <c r="B8" s="647">
        <v>25.25</v>
      </c>
      <c r="C8" s="675"/>
      <c r="D8" s="660" t="s">
        <v>5611</v>
      </c>
      <c r="E8" s="176">
        <v>19</v>
      </c>
      <c r="F8" s="603"/>
      <c r="G8" s="485" t="s">
        <v>419</v>
      </c>
      <c r="H8" s="510">
        <v>18.5</v>
      </c>
      <c r="I8" s="603"/>
      <c r="J8" s="478" t="s">
        <v>369</v>
      </c>
      <c r="K8" s="661">
        <v>20</v>
      </c>
      <c r="L8" s="638"/>
      <c r="M8" s="97" t="s">
        <v>1904</v>
      </c>
      <c r="N8" s="483">
        <v>18.25</v>
      </c>
      <c r="O8" s="638"/>
      <c r="P8" s="491" t="s">
        <v>4941</v>
      </c>
      <c r="Q8" s="494">
        <v>25.5</v>
      </c>
      <c r="R8" s="655"/>
      <c r="S8" s="493" t="s">
        <v>402</v>
      </c>
      <c r="T8" s="495">
        <v>22</v>
      </c>
      <c r="U8" s="604"/>
      <c r="V8" s="484" t="s">
        <v>5064</v>
      </c>
      <c r="W8" s="482">
        <v>20.75</v>
      </c>
      <c r="X8" s="637"/>
      <c r="Y8" s="649" t="s">
        <v>3</v>
      </c>
      <c r="Z8" s="658">
        <v>21</v>
      </c>
      <c r="AA8" s="650"/>
      <c r="AB8" s="485" t="s">
        <v>198</v>
      </c>
      <c r="AC8" s="501">
        <v>19.25</v>
      </c>
      <c r="AD8" s="597"/>
      <c r="AE8" s="485" t="s">
        <v>4223</v>
      </c>
      <c r="AF8" s="99">
        <v>19</v>
      </c>
      <c r="AG8" s="627"/>
      <c r="AH8" s="97" t="s">
        <v>187</v>
      </c>
      <c r="AI8" s="99">
        <v>17</v>
      </c>
      <c r="AJ8" s="627"/>
      <c r="AK8" s="98" t="s">
        <v>5321</v>
      </c>
      <c r="AL8" s="98">
        <v>21.25</v>
      </c>
      <c r="AM8" s="627"/>
      <c r="AW8" s="4"/>
      <c r="AX8" s="4"/>
    </row>
    <row r="9" spans="1:50" ht="15.75" thickBot="1" x14ac:dyDescent="0.3">
      <c r="A9" s="642" t="s">
        <v>366</v>
      </c>
      <c r="B9" s="643">
        <v>29.25</v>
      </c>
      <c r="C9" s="673" t="s">
        <v>12664</v>
      </c>
      <c r="D9" s="660" t="s">
        <v>5611</v>
      </c>
      <c r="E9" s="176">
        <v>19</v>
      </c>
      <c r="F9" s="603"/>
      <c r="G9" s="485" t="s">
        <v>180</v>
      </c>
      <c r="H9" s="510">
        <v>15.75</v>
      </c>
      <c r="I9" s="603"/>
      <c r="J9" s="485" t="s">
        <v>240</v>
      </c>
      <c r="K9" s="661">
        <v>18.75</v>
      </c>
      <c r="L9" s="638"/>
      <c r="M9" s="97" t="s">
        <v>4404</v>
      </c>
      <c r="N9" s="483">
        <v>18</v>
      </c>
      <c r="O9" s="638"/>
      <c r="P9" s="475" t="s">
        <v>5323</v>
      </c>
      <c r="Q9" s="476">
        <v>30</v>
      </c>
      <c r="R9" s="654" t="s">
        <v>12664</v>
      </c>
      <c r="S9" s="94" t="s">
        <v>2844</v>
      </c>
      <c r="T9" s="476">
        <v>31.75</v>
      </c>
      <c r="U9" s="602" t="s">
        <v>12664</v>
      </c>
      <c r="V9" s="486" t="s">
        <v>5260</v>
      </c>
      <c r="W9" s="487">
        <v>15.75</v>
      </c>
      <c r="X9" s="650"/>
      <c r="Y9" s="648" t="s">
        <v>270</v>
      </c>
      <c r="Z9" s="656">
        <v>31.25</v>
      </c>
      <c r="AA9" s="653" t="s">
        <v>12664</v>
      </c>
      <c r="AB9" s="485" t="s">
        <v>5253</v>
      </c>
      <c r="AC9" s="501">
        <v>22</v>
      </c>
      <c r="AD9" s="597"/>
      <c r="AE9" s="489" t="s">
        <v>454</v>
      </c>
      <c r="AF9" s="490">
        <v>13.25</v>
      </c>
      <c r="AG9" s="628"/>
      <c r="AH9" s="97" t="s">
        <v>4962</v>
      </c>
      <c r="AI9" s="98">
        <v>19</v>
      </c>
      <c r="AJ9" s="627"/>
      <c r="AK9" s="98" t="s">
        <v>5672</v>
      </c>
      <c r="AL9" s="98">
        <v>20.5</v>
      </c>
      <c r="AM9" s="627"/>
      <c r="AW9" s="4"/>
      <c r="AX9" s="4"/>
    </row>
    <row r="10" spans="1:50" ht="15.75" thickBot="1" x14ac:dyDescent="0.3">
      <c r="A10" s="644" t="s">
        <v>366</v>
      </c>
      <c r="B10" s="636">
        <v>29.25</v>
      </c>
      <c r="C10" s="674"/>
      <c r="D10" s="478" t="s">
        <v>240</v>
      </c>
      <c r="E10" s="481">
        <v>18.75</v>
      </c>
      <c r="F10" s="603"/>
      <c r="G10" s="485" t="s">
        <v>5639</v>
      </c>
      <c r="H10" s="510">
        <v>14</v>
      </c>
      <c r="I10" s="603"/>
      <c r="J10" s="485" t="s">
        <v>454</v>
      </c>
      <c r="K10" s="661">
        <v>13.25</v>
      </c>
      <c r="L10" s="638"/>
      <c r="M10" s="97" t="s">
        <v>4609</v>
      </c>
      <c r="N10" s="483">
        <v>18</v>
      </c>
      <c r="O10" s="638"/>
      <c r="P10" s="479" t="s">
        <v>4675</v>
      </c>
      <c r="Q10" s="480">
        <v>29.25</v>
      </c>
      <c r="R10" s="638"/>
      <c r="S10" s="96" t="s">
        <v>2844</v>
      </c>
      <c r="T10" s="480">
        <v>31.75</v>
      </c>
      <c r="U10" s="603"/>
      <c r="V10" s="488" t="s">
        <v>6</v>
      </c>
      <c r="W10" s="508">
        <v>21</v>
      </c>
      <c r="X10" s="653" t="s">
        <v>12664</v>
      </c>
      <c r="Y10" s="644" t="s">
        <v>149</v>
      </c>
      <c r="Z10" s="657">
        <v>30.5</v>
      </c>
      <c r="AA10" s="637"/>
      <c r="AB10" s="489" t="s">
        <v>335</v>
      </c>
      <c r="AC10" s="503">
        <v>22.25</v>
      </c>
      <c r="AD10" s="601"/>
      <c r="AE10" s="506" t="s">
        <v>364</v>
      </c>
      <c r="AF10" s="472">
        <v>27</v>
      </c>
      <c r="AG10" s="626" t="s">
        <v>12664</v>
      </c>
      <c r="AH10" s="97" t="s">
        <v>5128</v>
      </c>
      <c r="AI10" s="98">
        <v>17.75</v>
      </c>
      <c r="AJ10" s="627"/>
      <c r="AK10" s="473" t="s">
        <v>145</v>
      </c>
      <c r="AL10" s="472">
        <v>31.25</v>
      </c>
      <c r="AM10" s="626" t="s">
        <v>12664</v>
      </c>
      <c r="AW10" s="4"/>
      <c r="AX10" s="4"/>
    </row>
    <row r="11" spans="1:50" ht="15.75" thickBot="1" x14ac:dyDescent="0.3">
      <c r="A11" s="644" t="s">
        <v>268</v>
      </c>
      <c r="B11" s="636">
        <v>29.5</v>
      </c>
      <c r="C11" s="674"/>
      <c r="D11" s="670" t="s">
        <v>170</v>
      </c>
      <c r="E11" s="395">
        <v>24.25</v>
      </c>
      <c r="F11" s="602" t="s">
        <v>12664</v>
      </c>
      <c r="G11" s="485" t="s">
        <v>4756</v>
      </c>
      <c r="H11" s="510">
        <v>12.75</v>
      </c>
      <c r="I11" s="603"/>
      <c r="J11" s="485" t="s">
        <v>160</v>
      </c>
      <c r="K11" s="661">
        <v>8</v>
      </c>
      <c r="L11" s="638"/>
      <c r="M11" s="491" t="s">
        <v>4013</v>
      </c>
      <c r="N11" s="494">
        <v>18</v>
      </c>
      <c r="O11" s="655"/>
      <c r="P11" s="479" t="s">
        <v>5336</v>
      </c>
      <c r="Q11" s="480">
        <v>29</v>
      </c>
      <c r="R11" s="638"/>
      <c r="S11" s="96" t="s">
        <v>5298</v>
      </c>
      <c r="T11" s="480">
        <v>31.25</v>
      </c>
      <c r="U11" s="603"/>
      <c r="V11" s="484" t="s">
        <v>295</v>
      </c>
      <c r="W11" s="482">
        <v>20.75</v>
      </c>
      <c r="X11" s="637"/>
      <c r="Y11" s="644" t="s">
        <v>149</v>
      </c>
      <c r="Z11" s="657">
        <v>30.5</v>
      </c>
      <c r="AA11" s="603"/>
      <c r="AB11" s="505" t="s">
        <v>93</v>
      </c>
      <c r="AC11" s="501">
        <v>21.25</v>
      </c>
      <c r="AD11" s="600" t="s">
        <v>12664</v>
      </c>
      <c r="AE11" s="485" t="s">
        <v>364</v>
      </c>
      <c r="AF11" s="99">
        <v>27</v>
      </c>
      <c r="AG11" s="627"/>
      <c r="AH11" s="491" t="s">
        <v>4543</v>
      </c>
      <c r="AI11" s="492">
        <v>15.75</v>
      </c>
      <c r="AJ11" s="628"/>
      <c r="AK11" s="97" t="s">
        <v>5179</v>
      </c>
      <c r="AL11" s="98">
        <v>31</v>
      </c>
      <c r="AM11" s="627"/>
      <c r="AW11" s="4"/>
      <c r="AX11" s="4"/>
    </row>
    <row r="12" spans="1:50" ht="15.75" thickBot="1" x14ac:dyDescent="0.3">
      <c r="A12" s="644" t="s">
        <v>268</v>
      </c>
      <c r="B12" s="636">
        <v>29.5</v>
      </c>
      <c r="C12" s="674"/>
      <c r="D12" s="123" t="s">
        <v>446</v>
      </c>
      <c r="E12" s="176">
        <v>22.25</v>
      </c>
      <c r="F12" s="603"/>
      <c r="G12" s="489" t="s">
        <v>3950</v>
      </c>
      <c r="H12" s="487">
        <v>12.25</v>
      </c>
      <c r="I12" s="604"/>
      <c r="J12" s="471" t="s">
        <v>376</v>
      </c>
      <c r="K12" s="663">
        <v>21.75</v>
      </c>
      <c r="L12" s="631" t="s">
        <v>12664</v>
      </c>
      <c r="M12" s="98" t="s">
        <v>182</v>
      </c>
      <c r="N12" s="661">
        <v>23</v>
      </c>
      <c r="O12" s="638" t="s">
        <v>12664</v>
      </c>
      <c r="P12" s="479" t="s">
        <v>5130</v>
      </c>
      <c r="Q12" s="480">
        <v>28.5</v>
      </c>
      <c r="R12" s="638"/>
      <c r="S12" s="96" t="s">
        <v>5298</v>
      </c>
      <c r="T12" s="480">
        <v>31.25</v>
      </c>
      <c r="U12" s="603"/>
      <c r="V12" s="478" t="s">
        <v>2651</v>
      </c>
      <c r="W12" s="481">
        <v>31.25</v>
      </c>
      <c r="X12" s="637"/>
      <c r="Y12" s="645" t="s">
        <v>145</v>
      </c>
      <c r="Z12" s="657">
        <v>31.25</v>
      </c>
      <c r="AA12" s="603"/>
      <c r="AB12" s="505" t="s">
        <v>3628</v>
      </c>
      <c r="AC12" s="501">
        <v>18.25</v>
      </c>
      <c r="AD12" s="598"/>
      <c r="AE12" s="478" t="s">
        <v>5275</v>
      </c>
      <c r="AF12" s="98">
        <v>26.25</v>
      </c>
      <c r="AG12" s="627"/>
      <c r="AH12" s="473" t="s">
        <v>166</v>
      </c>
      <c r="AI12" s="472">
        <v>25.5</v>
      </c>
      <c r="AJ12" s="626" t="s">
        <v>12664</v>
      </c>
      <c r="AK12" s="96" t="s">
        <v>5179</v>
      </c>
      <c r="AL12" s="99">
        <v>31</v>
      </c>
      <c r="AM12" s="627"/>
      <c r="AW12" s="4"/>
      <c r="AX12" s="4"/>
    </row>
    <row r="13" spans="1:50" x14ac:dyDescent="0.25">
      <c r="A13" s="644" t="s">
        <v>42</v>
      </c>
      <c r="B13" s="636">
        <v>27.25</v>
      </c>
      <c r="C13" s="674"/>
      <c r="D13" s="123" t="s">
        <v>117</v>
      </c>
      <c r="E13" s="176">
        <v>21.75</v>
      </c>
      <c r="F13" s="603"/>
      <c r="G13" s="478" t="s">
        <v>316</v>
      </c>
      <c r="H13" s="510">
        <v>18.5</v>
      </c>
      <c r="I13" s="637" t="s">
        <v>12664</v>
      </c>
      <c r="J13" s="478" t="s">
        <v>275</v>
      </c>
      <c r="K13" s="661">
        <v>20</v>
      </c>
      <c r="L13" s="632"/>
      <c r="M13" s="98" t="s">
        <v>2601</v>
      </c>
      <c r="N13" s="483">
        <v>22.75</v>
      </c>
      <c r="O13" s="638"/>
      <c r="P13" s="479" t="s">
        <v>4058</v>
      </c>
      <c r="Q13" s="480">
        <v>27.75</v>
      </c>
      <c r="R13" s="638"/>
      <c r="S13" s="96" t="s">
        <v>312</v>
      </c>
      <c r="T13" s="480">
        <v>21</v>
      </c>
      <c r="U13" s="603"/>
      <c r="V13" s="478" t="s">
        <v>3442</v>
      </c>
      <c r="W13" s="481">
        <v>28</v>
      </c>
      <c r="X13" s="637"/>
      <c r="Y13" s="644" t="s">
        <v>68</v>
      </c>
      <c r="Z13" s="657">
        <v>23.5</v>
      </c>
      <c r="AA13" s="603"/>
      <c r="AB13" s="505" t="s">
        <v>309</v>
      </c>
      <c r="AC13" s="501">
        <v>19.5</v>
      </c>
      <c r="AD13" s="598"/>
      <c r="AE13" s="485" t="s">
        <v>5275</v>
      </c>
      <c r="AF13" s="99">
        <v>26.25</v>
      </c>
      <c r="AG13" s="627"/>
      <c r="AH13" s="97" t="s">
        <v>4677</v>
      </c>
      <c r="AI13" s="98">
        <v>22.75</v>
      </c>
      <c r="AJ13" s="627"/>
      <c r="AK13" s="97" t="s">
        <v>4058</v>
      </c>
      <c r="AL13" s="98">
        <v>27.75</v>
      </c>
      <c r="AM13" s="627"/>
      <c r="AW13" s="4"/>
      <c r="AX13" s="4"/>
    </row>
    <row r="14" spans="1:50" ht="15.75" thickBot="1" x14ac:dyDescent="0.3">
      <c r="A14" s="649" t="s">
        <v>34</v>
      </c>
      <c r="B14" s="647">
        <v>23.25</v>
      </c>
      <c r="C14" s="675"/>
      <c r="D14" s="660" t="s">
        <v>175</v>
      </c>
      <c r="E14" s="176">
        <v>21.25</v>
      </c>
      <c r="F14" s="603"/>
      <c r="G14" s="485" t="s">
        <v>419</v>
      </c>
      <c r="H14" s="510">
        <v>18.5</v>
      </c>
      <c r="I14" s="637"/>
      <c r="J14" s="478" t="s">
        <v>211</v>
      </c>
      <c r="K14" s="661">
        <v>20</v>
      </c>
      <c r="L14" s="632"/>
      <c r="M14" s="499" t="s">
        <v>200</v>
      </c>
      <c r="N14" s="661">
        <v>22.5</v>
      </c>
      <c r="O14" s="638"/>
      <c r="P14" s="493" t="s">
        <v>4100</v>
      </c>
      <c r="Q14" s="494">
        <v>23.5</v>
      </c>
      <c r="R14" s="655"/>
      <c r="S14" s="493" t="s">
        <v>312</v>
      </c>
      <c r="T14" s="495">
        <v>21</v>
      </c>
      <c r="U14" s="604"/>
      <c r="V14" s="478" t="s">
        <v>3251</v>
      </c>
      <c r="W14" s="481">
        <v>23.5</v>
      </c>
      <c r="X14" s="637"/>
      <c r="Y14" s="649" t="s">
        <v>3</v>
      </c>
      <c r="Z14" s="658">
        <v>21</v>
      </c>
      <c r="AA14" s="604"/>
      <c r="AB14" s="505" t="s">
        <v>198</v>
      </c>
      <c r="AC14" s="501">
        <v>19.25</v>
      </c>
      <c r="AD14" s="598"/>
      <c r="AE14" s="485" t="s">
        <v>393</v>
      </c>
      <c r="AF14" s="99">
        <v>20.5</v>
      </c>
      <c r="AG14" s="627"/>
      <c r="AH14" s="97" t="s">
        <v>335</v>
      </c>
      <c r="AI14" s="99">
        <v>22.25</v>
      </c>
      <c r="AJ14" s="627"/>
      <c r="AK14" s="97" t="s">
        <v>63</v>
      </c>
      <c r="AL14" s="99">
        <v>27.5</v>
      </c>
      <c r="AM14" s="627"/>
      <c r="AW14" s="4"/>
      <c r="AX14" s="4"/>
    </row>
    <row r="15" spans="1:50" ht="15.75" thickBot="1" x14ac:dyDescent="0.3">
      <c r="A15" s="645" t="s">
        <v>95</v>
      </c>
      <c r="B15" s="636">
        <v>28.5</v>
      </c>
      <c r="C15" s="674" t="s">
        <v>12664</v>
      </c>
      <c r="D15" s="660" t="s">
        <v>368</v>
      </c>
      <c r="E15" s="176">
        <v>20.5</v>
      </c>
      <c r="F15" s="603"/>
      <c r="G15" s="478" t="s">
        <v>154</v>
      </c>
      <c r="H15" s="510">
        <v>18.25</v>
      </c>
      <c r="I15" s="637"/>
      <c r="J15" s="478" t="s">
        <v>359</v>
      </c>
      <c r="K15" s="661">
        <v>19.5</v>
      </c>
      <c r="L15" s="632"/>
      <c r="M15" s="499" t="s">
        <v>182</v>
      </c>
      <c r="N15" s="661">
        <v>23</v>
      </c>
      <c r="O15" s="638"/>
      <c r="P15" s="479" t="s">
        <v>5323</v>
      </c>
      <c r="Q15" s="480">
        <v>30</v>
      </c>
      <c r="R15" s="638" t="s">
        <v>12664</v>
      </c>
      <c r="S15" s="97" t="s">
        <v>4391</v>
      </c>
      <c r="T15" s="483">
        <v>30.5</v>
      </c>
      <c r="U15" s="637" t="s">
        <v>12664</v>
      </c>
      <c r="V15" s="484" t="s">
        <v>2397</v>
      </c>
      <c r="W15" s="482">
        <v>21</v>
      </c>
      <c r="X15" s="637"/>
      <c r="Y15" s="648" t="s">
        <v>270</v>
      </c>
      <c r="Z15" s="656">
        <v>31.25</v>
      </c>
      <c r="AA15" s="602" t="s">
        <v>12664</v>
      </c>
      <c r="AB15" s="469" t="s">
        <v>5196</v>
      </c>
      <c r="AC15" s="501">
        <v>16.75</v>
      </c>
      <c r="AD15" s="598"/>
      <c r="AE15" s="485" t="s">
        <v>5672</v>
      </c>
      <c r="AF15" s="99">
        <v>20.5</v>
      </c>
      <c r="AG15" s="627"/>
      <c r="AH15" s="97" t="s">
        <v>100</v>
      </c>
      <c r="AI15" s="99">
        <v>22</v>
      </c>
      <c r="AJ15" s="627"/>
      <c r="AK15" s="491" t="s">
        <v>5583</v>
      </c>
      <c r="AL15" s="492">
        <v>19.5</v>
      </c>
      <c r="AM15" s="628"/>
      <c r="AW15" s="4"/>
      <c r="AX15" s="4"/>
    </row>
    <row r="16" spans="1:50" ht="15.75" thickBot="1" x14ac:dyDescent="0.3">
      <c r="A16" s="645" t="s">
        <v>337</v>
      </c>
      <c r="B16" s="636">
        <v>28</v>
      </c>
      <c r="C16" s="674"/>
      <c r="D16" s="660" t="s">
        <v>368</v>
      </c>
      <c r="E16" s="176">
        <v>20.5</v>
      </c>
      <c r="F16" s="603"/>
      <c r="G16" s="478" t="s">
        <v>24</v>
      </c>
      <c r="H16" s="510">
        <v>18.25</v>
      </c>
      <c r="I16" s="637"/>
      <c r="J16" s="478" t="s">
        <v>254</v>
      </c>
      <c r="K16" s="661">
        <v>19.5</v>
      </c>
      <c r="L16" s="632"/>
      <c r="M16" s="499" t="s">
        <v>195</v>
      </c>
      <c r="N16" s="661">
        <v>22.5</v>
      </c>
      <c r="O16" s="638"/>
      <c r="P16" s="479" t="s">
        <v>5323</v>
      </c>
      <c r="Q16" s="480">
        <v>30</v>
      </c>
      <c r="R16" s="638"/>
      <c r="S16" s="96" t="s">
        <v>4391</v>
      </c>
      <c r="T16" s="480">
        <v>30.5</v>
      </c>
      <c r="U16" s="637"/>
      <c r="V16" s="496" t="s">
        <v>84</v>
      </c>
      <c r="W16" s="512">
        <v>22.5</v>
      </c>
      <c r="X16" s="650"/>
      <c r="Y16" s="645" t="s">
        <v>270</v>
      </c>
      <c r="Z16" s="657">
        <v>31.25</v>
      </c>
      <c r="AA16" s="603"/>
      <c r="AB16" s="505" t="s">
        <v>3628</v>
      </c>
      <c r="AC16" s="501">
        <v>18.25</v>
      </c>
      <c r="AD16" s="598"/>
      <c r="AE16" s="489" t="s">
        <v>11164</v>
      </c>
      <c r="AF16" s="490">
        <v>20.5</v>
      </c>
      <c r="AG16" s="628"/>
      <c r="AH16" s="97" t="s">
        <v>93</v>
      </c>
      <c r="AI16" s="99">
        <v>21.25</v>
      </c>
      <c r="AJ16" s="627"/>
      <c r="AK16" s="98" t="s">
        <v>3891</v>
      </c>
      <c r="AL16" s="98">
        <v>31.5</v>
      </c>
      <c r="AM16" s="626" t="s">
        <v>12664</v>
      </c>
      <c r="AW16" s="4"/>
      <c r="AX16" s="4"/>
    </row>
    <row r="17" spans="1:50" x14ac:dyDescent="0.25">
      <c r="A17" s="645" t="s">
        <v>337</v>
      </c>
      <c r="B17" s="636">
        <v>28</v>
      </c>
      <c r="C17" s="674"/>
      <c r="D17" s="660" t="s">
        <v>215</v>
      </c>
      <c r="E17" s="176">
        <v>19.5</v>
      </c>
      <c r="F17" s="603"/>
      <c r="G17" s="478" t="s">
        <v>263</v>
      </c>
      <c r="H17" s="510">
        <v>17.5</v>
      </c>
      <c r="I17" s="637"/>
      <c r="J17" s="478" t="s">
        <v>339</v>
      </c>
      <c r="K17" s="661">
        <v>19.25</v>
      </c>
      <c r="L17" s="632"/>
      <c r="M17" s="499" t="s">
        <v>3640</v>
      </c>
      <c r="N17" s="661">
        <v>18.75</v>
      </c>
      <c r="O17" s="638"/>
      <c r="P17" s="396" t="s">
        <v>4675</v>
      </c>
      <c r="Q17" s="498">
        <v>29.25</v>
      </c>
      <c r="R17" s="638"/>
      <c r="S17" s="97" t="s">
        <v>4032</v>
      </c>
      <c r="T17" s="483">
        <v>30.25</v>
      </c>
      <c r="U17" s="637"/>
      <c r="V17" s="473" t="s">
        <v>5082</v>
      </c>
      <c r="W17" s="515">
        <v>30.5</v>
      </c>
      <c r="X17" s="651" t="s">
        <v>12664</v>
      </c>
      <c r="Y17" s="644" t="s">
        <v>219</v>
      </c>
      <c r="Z17" s="657">
        <v>30.25</v>
      </c>
      <c r="AA17" s="603"/>
      <c r="AB17" s="505" t="s">
        <v>93</v>
      </c>
      <c r="AC17" s="501">
        <v>21.25</v>
      </c>
      <c r="AD17" s="598"/>
      <c r="AE17" s="471" t="s">
        <v>364</v>
      </c>
      <c r="AF17" s="474">
        <v>27</v>
      </c>
      <c r="AG17" s="626" t="s">
        <v>12664</v>
      </c>
      <c r="AH17" s="97" t="s">
        <v>369</v>
      </c>
      <c r="AI17" s="99">
        <v>20</v>
      </c>
      <c r="AJ17" s="627"/>
      <c r="AK17" s="98" t="s">
        <v>5192</v>
      </c>
      <c r="AL17" s="98">
        <v>31</v>
      </c>
      <c r="AM17" s="627"/>
      <c r="AW17" s="4"/>
      <c r="AX17" s="4"/>
    </row>
    <row r="18" spans="1:50" ht="15.75" thickBot="1" x14ac:dyDescent="0.3">
      <c r="A18" s="645" t="s">
        <v>337</v>
      </c>
      <c r="B18" s="636">
        <v>28</v>
      </c>
      <c r="C18" s="674"/>
      <c r="D18" s="671" t="s">
        <v>58</v>
      </c>
      <c r="E18" s="190">
        <v>18</v>
      </c>
      <c r="F18" s="604"/>
      <c r="G18" s="478" t="s">
        <v>224</v>
      </c>
      <c r="H18" s="510">
        <v>17</v>
      </c>
      <c r="I18" s="637"/>
      <c r="J18" s="478" t="s">
        <v>240</v>
      </c>
      <c r="K18" s="661">
        <v>18.75</v>
      </c>
      <c r="L18" s="632"/>
      <c r="M18" s="499" t="s">
        <v>1904</v>
      </c>
      <c r="N18" s="661">
        <v>18.25</v>
      </c>
      <c r="O18" s="638"/>
      <c r="P18" s="396" t="s">
        <v>4675</v>
      </c>
      <c r="Q18" s="498">
        <v>29.25</v>
      </c>
      <c r="R18" s="638"/>
      <c r="S18" s="96" t="s">
        <v>4032</v>
      </c>
      <c r="T18" s="480">
        <v>30.25</v>
      </c>
      <c r="U18" s="637"/>
      <c r="V18" s="97" t="s">
        <v>4649</v>
      </c>
      <c r="W18" s="483">
        <v>29.25</v>
      </c>
      <c r="X18" s="639"/>
      <c r="Y18" s="644" t="s">
        <v>185</v>
      </c>
      <c r="Z18" s="657">
        <v>20.5</v>
      </c>
      <c r="AA18" s="603"/>
      <c r="AB18" s="469" t="s">
        <v>406</v>
      </c>
      <c r="AC18" s="501">
        <v>16.75</v>
      </c>
      <c r="AD18" s="598"/>
      <c r="AE18" s="478" t="s">
        <v>322</v>
      </c>
      <c r="AF18" s="98">
        <v>25.75</v>
      </c>
      <c r="AG18" s="627"/>
      <c r="AH18" s="97" t="s">
        <v>5221</v>
      </c>
      <c r="AI18" s="98">
        <v>17.5</v>
      </c>
      <c r="AJ18" s="627"/>
      <c r="AK18" s="98" t="s">
        <v>5130</v>
      </c>
      <c r="AL18" s="98">
        <v>28.5</v>
      </c>
      <c r="AM18" s="627"/>
      <c r="AW18" s="4"/>
      <c r="AX18" s="4"/>
    </row>
    <row r="19" spans="1:50" ht="15.75" thickBot="1" x14ac:dyDescent="0.3">
      <c r="A19" s="645" t="s">
        <v>63</v>
      </c>
      <c r="B19" s="636">
        <v>27.5</v>
      </c>
      <c r="C19" s="674"/>
      <c r="D19" s="660" t="s">
        <v>40</v>
      </c>
      <c r="E19" s="176">
        <v>26.5</v>
      </c>
      <c r="F19" s="637" t="s">
        <v>12664</v>
      </c>
      <c r="G19" s="478" t="s">
        <v>187</v>
      </c>
      <c r="H19" s="510">
        <v>17</v>
      </c>
      <c r="I19" s="637"/>
      <c r="J19" s="485" t="s">
        <v>4814</v>
      </c>
      <c r="K19" s="661">
        <v>17.5</v>
      </c>
      <c r="L19" s="632"/>
      <c r="M19" s="499" t="s">
        <v>2972</v>
      </c>
      <c r="N19" s="661">
        <v>17.25</v>
      </c>
      <c r="O19" s="638"/>
      <c r="P19" s="479" t="s">
        <v>5147</v>
      </c>
      <c r="Q19" s="480">
        <v>29</v>
      </c>
      <c r="R19" s="638"/>
      <c r="S19" s="96" t="s">
        <v>5487</v>
      </c>
      <c r="T19" s="480">
        <v>23.5</v>
      </c>
      <c r="U19" s="637"/>
      <c r="V19" s="96" t="s">
        <v>2793</v>
      </c>
      <c r="W19" s="480">
        <v>29</v>
      </c>
      <c r="X19" s="639"/>
      <c r="Y19" s="645" t="s">
        <v>145</v>
      </c>
      <c r="Z19" s="657">
        <v>31.25</v>
      </c>
      <c r="AA19" s="603"/>
      <c r="AB19" s="505" t="s">
        <v>5196</v>
      </c>
      <c r="AC19" s="501">
        <v>16.75</v>
      </c>
      <c r="AD19" s="598"/>
      <c r="AE19" s="485" t="s">
        <v>322</v>
      </c>
      <c r="AF19" s="99">
        <v>25.75</v>
      </c>
      <c r="AG19" s="627"/>
      <c r="AH19" s="491" t="s">
        <v>5196</v>
      </c>
      <c r="AI19" s="490">
        <v>16.75</v>
      </c>
      <c r="AJ19" s="628"/>
      <c r="AK19" s="98" t="s">
        <v>4977</v>
      </c>
      <c r="AL19" s="98">
        <v>28.5</v>
      </c>
      <c r="AM19" s="627"/>
      <c r="AW19" s="4"/>
      <c r="AX19" s="4"/>
    </row>
    <row r="20" spans="1:50" ht="15.75" thickBot="1" x14ac:dyDescent="0.3">
      <c r="A20" s="645" t="s">
        <v>279</v>
      </c>
      <c r="B20" s="636">
        <v>27</v>
      </c>
      <c r="C20" s="674"/>
      <c r="D20" s="660" t="s">
        <v>40</v>
      </c>
      <c r="E20" s="176">
        <v>26.5</v>
      </c>
      <c r="F20" s="637"/>
      <c r="G20" s="485" t="s">
        <v>246</v>
      </c>
      <c r="H20" s="510">
        <v>16</v>
      </c>
      <c r="I20" s="637"/>
      <c r="J20" s="478" t="s">
        <v>353</v>
      </c>
      <c r="K20" s="661">
        <v>5.75</v>
      </c>
      <c r="L20" s="632"/>
      <c r="M20" s="474" t="s">
        <v>195</v>
      </c>
      <c r="N20" s="515">
        <v>22.5</v>
      </c>
      <c r="O20" s="654" t="s">
        <v>12664</v>
      </c>
      <c r="P20" s="396" t="s">
        <v>4752</v>
      </c>
      <c r="Q20" s="498">
        <v>20.5</v>
      </c>
      <c r="R20" s="638"/>
      <c r="S20" s="97" t="s">
        <v>4412</v>
      </c>
      <c r="T20" s="483">
        <v>23</v>
      </c>
      <c r="U20" s="637"/>
      <c r="V20" s="97" t="s">
        <v>3889</v>
      </c>
      <c r="W20" s="483">
        <v>28.75</v>
      </c>
      <c r="X20" s="639"/>
      <c r="Y20" s="646" t="s">
        <v>68</v>
      </c>
      <c r="Z20" s="658">
        <v>23.5</v>
      </c>
      <c r="AA20" s="650"/>
      <c r="AB20" s="471" t="s">
        <v>95</v>
      </c>
      <c r="AC20" s="500">
        <v>28.5</v>
      </c>
      <c r="AD20" s="596" t="s">
        <v>12664</v>
      </c>
      <c r="AE20" s="485" t="s">
        <v>322</v>
      </c>
      <c r="AF20" s="99">
        <v>25.75</v>
      </c>
      <c r="AG20" s="627"/>
      <c r="AH20" s="473" t="s">
        <v>408</v>
      </c>
      <c r="AI20" s="472">
        <v>28.5</v>
      </c>
      <c r="AJ20" s="634" t="s">
        <v>12664</v>
      </c>
      <c r="AK20" s="499" t="s">
        <v>4977</v>
      </c>
      <c r="AL20" s="99">
        <v>28.5</v>
      </c>
      <c r="AM20" s="627"/>
      <c r="AW20" s="4"/>
      <c r="AX20" s="4"/>
    </row>
    <row r="21" spans="1:50" ht="15.75" thickBot="1" x14ac:dyDescent="0.3">
      <c r="A21" s="648" t="s">
        <v>63</v>
      </c>
      <c r="B21" s="643">
        <v>27.5</v>
      </c>
      <c r="C21" s="673" t="s">
        <v>12664</v>
      </c>
      <c r="D21" s="660" t="s">
        <v>390</v>
      </c>
      <c r="E21" s="176">
        <v>25.5</v>
      </c>
      <c r="F21" s="637"/>
      <c r="G21" s="485" t="s">
        <v>173</v>
      </c>
      <c r="H21" s="510">
        <v>14.75</v>
      </c>
      <c r="I21" s="637"/>
      <c r="J21" s="478" t="s">
        <v>234</v>
      </c>
      <c r="K21" s="661">
        <v>3</v>
      </c>
      <c r="L21" s="632"/>
      <c r="M21" s="499" t="s">
        <v>200</v>
      </c>
      <c r="N21" s="661">
        <v>22.5</v>
      </c>
      <c r="O21" s="638"/>
      <c r="P21" s="475" t="s">
        <v>5130</v>
      </c>
      <c r="Q21" s="476">
        <v>28.5</v>
      </c>
      <c r="R21" s="654" t="s">
        <v>12664</v>
      </c>
      <c r="S21" s="94" t="s">
        <v>5298</v>
      </c>
      <c r="T21" s="476">
        <v>31.25</v>
      </c>
      <c r="U21" s="602" t="s">
        <v>12664</v>
      </c>
      <c r="V21" s="97" t="s">
        <v>5200</v>
      </c>
      <c r="W21" s="483">
        <v>25.25</v>
      </c>
      <c r="X21" s="639"/>
      <c r="Y21" s="642" t="s">
        <v>349</v>
      </c>
      <c r="Z21" s="656">
        <v>32</v>
      </c>
      <c r="AA21" s="653" t="s">
        <v>12664</v>
      </c>
      <c r="AB21" s="478" t="s">
        <v>337</v>
      </c>
      <c r="AC21" s="501">
        <v>28</v>
      </c>
      <c r="AD21" s="597"/>
      <c r="AE21" s="478" t="s">
        <v>417</v>
      </c>
      <c r="AF21" s="98">
        <v>23.5</v>
      </c>
      <c r="AG21" s="627"/>
      <c r="AH21" s="97" t="s">
        <v>65</v>
      </c>
      <c r="AI21" s="99">
        <v>25</v>
      </c>
      <c r="AJ21" s="629"/>
      <c r="AK21" s="98" t="s">
        <v>369</v>
      </c>
      <c r="AL21" s="99">
        <v>20</v>
      </c>
      <c r="AM21" s="627"/>
      <c r="AW21" s="4"/>
      <c r="AX21" s="4"/>
    </row>
    <row r="22" spans="1:50" ht="15.75" thickBot="1" x14ac:dyDescent="0.3">
      <c r="A22" s="644" t="s">
        <v>130</v>
      </c>
      <c r="B22" s="636">
        <v>27.25</v>
      </c>
      <c r="C22" s="674"/>
      <c r="D22" s="660" t="s">
        <v>170</v>
      </c>
      <c r="E22" s="176">
        <v>24.25</v>
      </c>
      <c r="F22" s="637"/>
      <c r="G22" s="485" t="s">
        <v>3950</v>
      </c>
      <c r="H22" s="510">
        <v>12.25</v>
      </c>
      <c r="I22" s="637"/>
      <c r="J22" s="489" t="s">
        <v>326</v>
      </c>
      <c r="K22" s="662">
        <v>3</v>
      </c>
      <c r="L22" s="633"/>
      <c r="M22" s="499" t="s">
        <v>357</v>
      </c>
      <c r="N22" s="661">
        <v>21.5</v>
      </c>
      <c r="O22" s="638"/>
      <c r="P22" s="479" t="s">
        <v>4058</v>
      </c>
      <c r="Q22" s="480">
        <v>27.75</v>
      </c>
      <c r="R22" s="638"/>
      <c r="S22" s="96" t="s">
        <v>2710</v>
      </c>
      <c r="T22" s="480">
        <v>31.25</v>
      </c>
      <c r="U22" s="603"/>
      <c r="V22" s="493" t="s">
        <v>5200</v>
      </c>
      <c r="W22" s="495">
        <v>25.25</v>
      </c>
      <c r="X22" s="652"/>
      <c r="Y22" s="644" t="s">
        <v>249</v>
      </c>
      <c r="Z22" s="657">
        <v>30.25</v>
      </c>
      <c r="AA22" s="637"/>
      <c r="AB22" s="485" t="s">
        <v>293</v>
      </c>
      <c r="AC22" s="501">
        <v>6.5</v>
      </c>
      <c r="AD22" s="597"/>
      <c r="AE22" s="485" t="s">
        <v>417</v>
      </c>
      <c r="AF22" s="99">
        <v>23.5</v>
      </c>
      <c r="AG22" s="627"/>
      <c r="AH22" s="97" t="s">
        <v>290</v>
      </c>
      <c r="AI22" s="99">
        <v>24</v>
      </c>
      <c r="AJ22" s="629"/>
      <c r="AK22" s="473" t="s">
        <v>178</v>
      </c>
      <c r="AL22" s="474">
        <v>29</v>
      </c>
      <c r="AM22" s="626" t="s">
        <v>12664</v>
      </c>
      <c r="AW22" s="4"/>
      <c r="AX22" s="4"/>
    </row>
    <row r="23" spans="1:50" ht="15.75" thickBot="1" x14ac:dyDescent="0.3">
      <c r="A23" s="644" t="s">
        <v>114</v>
      </c>
      <c r="B23" s="636">
        <v>27.25</v>
      </c>
      <c r="C23" s="674"/>
      <c r="D23" s="660" t="s">
        <v>446</v>
      </c>
      <c r="E23" s="176">
        <v>22.25</v>
      </c>
      <c r="F23" s="637"/>
      <c r="G23" s="471" t="s">
        <v>215</v>
      </c>
      <c r="H23" s="516">
        <v>19.5</v>
      </c>
      <c r="I23" s="602" t="s">
        <v>12664</v>
      </c>
      <c r="J23" s="471" t="s">
        <v>378</v>
      </c>
      <c r="K23" s="663">
        <v>20</v>
      </c>
      <c r="L23" s="631" t="s">
        <v>12664</v>
      </c>
      <c r="M23" s="499" t="s">
        <v>4447</v>
      </c>
      <c r="N23" s="661">
        <v>17.75</v>
      </c>
      <c r="O23" s="638"/>
      <c r="P23" s="479" t="s">
        <v>4973</v>
      </c>
      <c r="Q23" s="480">
        <v>27</v>
      </c>
      <c r="R23" s="638"/>
      <c r="S23" s="96" t="s">
        <v>3452</v>
      </c>
      <c r="T23" s="480">
        <v>30.25</v>
      </c>
      <c r="U23" s="603"/>
      <c r="V23" s="94" t="s">
        <v>4406</v>
      </c>
      <c r="W23" s="663">
        <v>30.75</v>
      </c>
      <c r="X23" s="654" t="s">
        <v>12664</v>
      </c>
      <c r="Y23" s="644" t="s">
        <v>185</v>
      </c>
      <c r="Z23" s="657">
        <v>20.5</v>
      </c>
      <c r="AA23" s="637"/>
      <c r="AB23" s="485" t="s">
        <v>65</v>
      </c>
      <c r="AC23" s="501">
        <v>25</v>
      </c>
      <c r="AD23" s="597"/>
      <c r="AE23" s="486" t="s">
        <v>5395</v>
      </c>
      <c r="AF23" s="492">
        <v>16.75</v>
      </c>
      <c r="AG23" s="628"/>
      <c r="AH23" s="97" t="s">
        <v>103</v>
      </c>
      <c r="AI23" s="98">
        <v>23.25</v>
      </c>
      <c r="AJ23" s="629"/>
      <c r="AK23" s="97" t="s">
        <v>5225</v>
      </c>
      <c r="AL23" s="98">
        <v>29</v>
      </c>
      <c r="AM23" s="627"/>
      <c r="AW23" s="4"/>
      <c r="AX23" s="4"/>
    </row>
    <row r="24" spans="1:50" x14ac:dyDescent="0.25">
      <c r="A24" s="644" t="s">
        <v>130</v>
      </c>
      <c r="B24" s="636">
        <v>27.25</v>
      </c>
      <c r="C24" s="674"/>
      <c r="D24" s="660" t="s">
        <v>74</v>
      </c>
      <c r="E24" s="176">
        <v>19.75</v>
      </c>
      <c r="F24" s="637"/>
      <c r="G24" s="478" t="s">
        <v>339</v>
      </c>
      <c r="H24" s="510">
        <v>19.25</v>
      </c>
      <c r="I24" s="603"/>
      <c r="J24" s="478" t="s">
        <v>263</v>
      </c>
      <c r="K24" s="661">
        <v>17.5</v>
      </c>
      <c r="L24" s="632"/>
      <c r="M24" s="499" t="s">
        <v>195</v>
      </c>
      <c r="N24" s="661">
        <v>22.5</v>
      </c>
      <c r="O24" s="638"/>
      <c r="P24" s="479" t="s">
        <v>4973</v>
      </c>
      <c r="Q24" s="480">
        <v>27</v>
      </c>
      <c r="R24" s="638"/>
      <c r="S24" s="96" t="s">
        <v>3452</v>
      </c>
      <c r="T24" s="480">
        <v>30.25</v>
      </c>
      <c r="U24" s="603"/>
      <c r="V24" s="96" t="s">
        <v>2958</v>
      </c>
      <c r="W24" s="661">
        <v>29.5</v>
      </c>
      <c r="X24" s="638"/>
      <c r="Y24" s="644" t="s">
        <v>149</v>
      </c>
      <c r="Z24" s="657">
        <v>30.5</v>
      </c>
      <c r="AA24" s="637"/>
      <c r="AB24" s="485" t="s">
        <v>140</v>
      </c>
      <c r="AC24" s="501">
        <v>23.75</v>
      </c>
      <c r="AD24" s="597"/>
      <c r="AE24" s="506" t="s">
        <v>417</v>
      </c>
      <c r="AF24" s="472">
        <v>23.5</v>
      </c>
      <c r="AG24" s="626" t="s">
        <v>12664</v>
      </c>
      <c r="AH24" s="97" t="s">
        <v>93</v>
      </c>
      <c r="AI24" s="99">
        <v>21.25</v>
      </c>
      <c r="AJ24" s="629"/>
      <c r="AK24" s="97" t="s">
        <v>5336</v>
      </c>
      <c r="AL24" s="98">
        <v>29</v>
      </c>
      <c r="AM24" s="627"/>
      <c r="AW24" s="4"/>
      <c r="AX24" s="4"/>
    </row>
    <row r="25" spans="1:50" x14ac:dyDescent="0.25">
      <c r="A25" s="644" t="s">
        <v>114</v>
      </c>
      <c r="B25" s="636">
        <v>27.25</v>
      </c>
      <c r="C25" s="674"/>
      <c r="D25" s="660" t="s">
        <v>154</v>
      </c>
      <c r="E25" s="176">
        <v>18.25</v>
      </c>
      <c r="F25" s="637"/>
      <c r="G25" s="478" t="s">
        <v>355</v>
      </c>
      <c r="H25" s="510">
        <v>16</v>
      </c>
      <c r="I25" s="603"/>
      <c r="J25" s="478" t="s">
        <v>4814</v>
      </c>
      <c r="K25" s="661">
        <v>17.5</v>
      </c>
      <c r="L25" s="632"/>
      <c r="M25" s="98" t="s">
        <v>200</v>
      </c>
      <c r="N25" s="483">
        <v>22.5</v>
      </c>
      <c r="O25" s="638"/>
      <c r="P25" s="479" t="s">
        <v>5321</v>
      </c>
      <c r="Q25" s="480">
        <v>21.25</v>
      </c>
      <c r="R25" s="638"/>
      <c r="S25" s="96" t="s">
        <v>3107</v>
      </c>
      <c r="T25" s="480">
        <v>24</v>
      </c>
      <c r="U25" s="603"/>
      <c r="V25" s="96" t="s">
        <v>5225</v>
      </c>
      <c r="W25" s="661">
        <v>29</v>
      </c>
      <c r="X25" s="638"/>
      <c r="Y25" s="645" t="s">
        <v>145</v>
      </c>
      <c r="Z25" s="657">
        <v>31.25</v>
      </c>
      <c r="AA25" s="637"/>
      <c r="AB25" s="485" t="s">
        <v>3365</v>
      </c>
      <c r="AC25" s="501">
        <v>21.75</v>
      </c>
      <c r="AD25" s="597"/>
      <c r="AE25" s="478" t="s">
        <v>1335</v>
      </c>
      <c r="AF25" s="98">
        <v>23.5</v>
      </c>
      <c r="AG25" s="627"/>
      <c r="AH25" s="97" t="s">
        <v>3628</v>
      </c>
      <c r="AI25" s="99">
        <v>18.25</v>
      </c>
      <c r="AJ25" s="629"/>
      <c r="AK25" s="96" t="s">
        <v>178</v>
      </c>
      <c r="AL25" s="99">
        <v>29</v>
      </c>
      <c r="AM25" s="627"/>
      <c r="AW25" s="4"/>
      <c r="AX25" s="4"/>
    </row>
    <row r="26" spans="1:50" ht="15.75" thickBot="1" x14ac:dyDescent="0.3">
      <c r="A26" s="644" t="s">
        <v>110</v>
      </c>
      <c r="B26" s="635">
        <v>15</v>
      </c>
      <c r="C26" s="674"/>
      <c r="D26" s="478" t="s">
        <v>190</v>
      </c>
      <c r="E26" s="481">
        <v>5</v>
      </c>
      <c r="F26" s="637"/>
      <c r="G26" s="478" t="s">
        <v>246</v>
      </c>
      <c r="H26" s="510">
        <v>16</v>
      </c>
      <c r="I26" s="603"/>
      <c r="J26" s="478" t="s">
        <v>383</v>
      </c>
      <c r="K26" s="661">
        <v>16</v>
      </c>
      <c r="L26" s="632"/>
      <c r="M26" s="499" t="s">
        <v>357</v>
      </c>
      <c r="N26" s="661">
        <v>21.5</v>
      </c>
      <c r="O26" s="638"/>
      <c r="P26" s="479" t="s">
        <v>4752</v>
      </c>
      <c r="Q26" s="480">
        <v>20.5</v>
      </c>
      <c r="R26" s="638"/>
      <c r="S26" s="502" t="s">
        <v>2397</v>
      </c>
      <c r="T26" s="495">
        <v>21</v>
      </c>
      <c r="U26" s="604"/>
      <c r="V26" s="96" t="s">
        <v>5021</v>
      </c>
      <c r="W26" s="661">
        <v>28.75</v>
      </c>
      <c r="X26" s="638"/>
      <c r="Y26" s="646" t="s">
        <v>68</v>
      </c>
      <c r="Z26" s="658">
        <v>23.5</v>
      </c>
      <c r="AA26" s="650"/>
      <c r="AB26" s="485" t="s">
        <v>337</v>
      </c>
      <c r="AC26" s="501">
        <v>28</v>
      </c>
      <c r="AD26" s="597"/>
      <c r="AE26" s="485" t="s">
        <v>1335</v>
      </c>
      <c r="AF26" s="99">
        <v>23.5</v>
      </c>
      <c r="AG26" s="627"/>
      <c r="AH26" s="97" t="s">
        <v>187</v>
      </c>
      <c r="AI26" s="99">
        <v>17</v>
      </c>
      <c r="AJ26" s="629"/>
      <c r="AK26" s="97" t="s">
        <v>3652</v>
      </c>
      <c r="AL26" s="98">
        <v>28.5</v>
      </c>
      <c r="AM26" s="627"/>
      <c r="AW26" s="4"/>
      <c r="AX26" s="4"/>
    </row>
    <row r="27" spans="1:50" ht="15.75" thickBot="1" x14ac:dyDescent="0.3">
      <c r="A27" s="644" t="s">
        <v>457</v>
      </c>
      <c r="B27" s="635">
        <v>10.75</v>
      </c>
      <c r="C27" s="674"/>
      <c r="D27" s="670" t="s">
        <v>446</v>
      </c>
      <c r="E27" s="175">
        <v>22.25</v>
      </c>
      <c r="F27" s="653" t="s">
        <v>12664</v>
      </c>
      <c r="G27" s="478" t="s">
        <v>388</v>
      </c>
      <c r="H27" s="510">
        <v>16</v>
      </c>
      <c r="I27" s="603"/>
      <c r="J27" s="478" t="s">
        <v>406</v>
      </c>
      <c r="K27" s="661">
        <v>16.75</v>
      </c>
      <c r="L27" s="632"/>
      <c r="M27" s="513" t="s">
        <v>2067</v>
      </c>
      <c r="N27" s="662">
        <v>17.25</v>
      </c>
      <c r="O27" s="655"/>
      <c r="P27" s="493" t="s">
        <v>4494</v>
      </c>
      <c r="Q27" s="494">
        <v>16</v>
      </c>
      <c r="R27" s="655"/>
      <c r="S27" s="97" t="s">
        <v>4729</v>
      </c>
      <c r="T27" s="483">
        <v>31.75</v>
      </c>
      <c r="U27" s="637" t="s">
        <v>12664</v>
      </c>
      <c r="V27" s="97" t="s">
        <v>227</v>
      </c>
      <c r="W27" s="483">
        <v>26.75</v>
      </c>
      <c r="X27" s="638"/>
      <c r="Y27" s="471" t="s">
        <v>349</v>
      </c>
      <c r="Z27" s="477">
        <v>32</v>
      </c>
      <c r="AA27" s="653" t="s">
        <v>12664</v>
      </c>
      <c r="AB27" s="489" t="s">
        <v>293</v>
      </c>
      <c r="AC27" s="503">
        <v>6.5</v>
      </c>
      <c r="AD27" s="601"/>
      <c r="AE27" s="485" t="s">
        <v>4677</v>
      </c>
      <c r="AF27" s="99">
        <v>22.75</v>
      </c>
      <c r="AG27" s="627"/>
      <c r="AH27" s="491" t="s">
        <v>457</v>
      </c>
      <c r="AI27" s="490">
        <v>10.75</v>
      </c>
      <c r="AJ27" s="630"/>
      <c r="AK27" s="493" t="s">
        <v>3251</v>
      </c>
      <c r="AL27" s="490">
        <v>23.5</v>
      </c>
      <c r="AM27" s="628"/>
      <c r="AW27" s="4"/>
      <c r="AX27" s="4"/>
    </row>
    <row r="28" spans="1:50" ht="15.75" thickBot="1" x14ac:dyDescent="0.3">
      <c r="A28" s="646" t="s">
        <v>353</v>
      </c>
      <c r="B28" s="672">
        <v>5.75</v>
      </c>
      <c r="C28" s="675"/>
      <c r="D28" s="660" t="s">
        <v>117</v>
      </c>
      <c r="E28" s="176">
        <v>21.75</v>
      </c>
      <c r="F28" s="637"/>
      <c r="G28" s="478" t="s">
        <v>5260</v>
      </c>
      <c r="H28" s="510">
        <v>15.75</v>
      </c>
      <c r="I28" s="603"/>
      <c r="J28" s="478" t="s">
        <v>414</v>
      </c>
      <c r="K28" s="661">
        <v>16.5</v>
      </c>
      <c r="L28" s="632"/>
      <c r="M28" s="98" t="s">
        <v>193</v>
      </c>
      <c r="N28" s="483">
        <v>20.75</v>
      </c>
      <c r="O28" s="641" t="s">
        <v>12664</v>
      </c>
      <c r="P28" s="479" t="s">
        <v>5682</v>
      </c>
      <c r="Q28" s="480">
        <v>31.75</v>
      </c>
      <c r="R28" s="638" t="s">
        <v>12664</v>
      </c>
      <c r="S28" s="96" t="s">
        <v>4729</v>
      </c>
      <c r="T28" s="480">
        <v>31.75</v>
      </c>
      <c r="U28" s="637"/>
      <c r="V28" s="491" t="s">
        <v>3388</v>
      </c>
      <c r="W28" s="494">
        <v>23.25</v>
      </c>
      <c r="X28" s="655"/>
      <c r="Y28" s="478" t="s">
        <v>12</v>
      </c>
      <c r="Z28" s="481">
        <v>31.75</v>
      </c>
      <c r="AA28" s="603"/>
      <c r="AB28" s="505" t="s">
        <v>337</v>
      </c>
      <c r="AC28" s="501">
        <v>28</v>
      </c>
      <c r="AD28" s="600" t="s">
        <v>12664</v>
      </c>
      <c r="AE28" s="478" t="s">
        <v>590</v>
      </c>
      <c r="AF28" s="98">
        <v>20.5</v>
      </c>
      <c r="AG28" s="627"/>
      <c r="AH28" s="473" t="s">
        <v>4945</v>
      </c>
      <c r="AI28" s="474">
        <v>27.75</v>
      </c>
      <c r="AJ28" s="626" t="s">
        <v>12664</v>
      </c>
      <c r="AK28" s="98" t="s">
        <v>4729</v>
      </c>
      <c r="AL28" s="98">
        <v>31.75</v>
      </c>
      <c r="AM28" s="626" t="s">
        <v>12664</v>
      </c>
      <c r="AW28" s="4"/>
      <c r="AX28" s="4"/>
    </row>
    <row r="29" spans="1:50" x14ac:dyDescent="0.25">
      <c r="A29" s="645" t="s">
        <v>63</v>
      </c>
      <c r="B29" s="636">
        <v>27.5</v>
      </c>
      <c r="C29" s="674" t="s">
        <v>12664</v>
      </c>
      <c r="D29" s="660" t="s">
        <v>328</v>
      </c>
      <c r="E29" s="176">
        <v>21.75</v>
      </c>
      <c r="F29" s="637"/>
      <c r="G29" s="478" t="s">
        <v>180</v>
      </c>
      <c r="H29" s="510">
        <v>15.75</v>
      </c>
      <c r="I29" s="603"/>
      <c r="J29" s="478" t="s">
        <v>388</v>
      </c>
      <c r="K29" s="661">
        <v>16</v>
      </c>
      <c r="L29" s="632"/>
      <c r="M29" s="98" t="s">
        <v>252</v>
      </c>
      <c r="N29" s="483">
        <v>18.75</v>
      </c>
      <c r="O29" s="638"/>
      <c r="P29" s="479" t="s">
        <v>132</v>
      </c>
      <c r="Q29" s="480">
        <v>31.75</v>
      </c>
      <c r="R29" s="638"/>
      <c r="S29" s="97" t="s">
        <v>2484</v>
      </c>
      <c r="T29" s="483">
        <v>31.5</v>
      </c>
      <c r="U29" s="637"/>
      <c r="V29" s="473" t="s">
        <v>381</v>
      </c>
      <c r="W29" s="663">
        <v>27.5</v>
      </c>
      <c r="X29" s="654" t="s">
        <v>12664</v>
      </c>
      <c r="Y29" s="478" t="s">
        <v>9</v>
      </c>
      <c r="Z29" s="481">
        <v>31.5</v>
      </c>
      <c r="AA29" s="603"/>
      <c r="AB29" s="469" t="s">
        <v>63</v>
      </c>
      <c r="AC29" s="501">
        <v>27.5</v>
      </c>
      <c r="AD29" s="598"/>
      <c r="AE29" s="485" t="s">
        <v>5507</v>
      </c>
      <c r="AF29" s="99">
        <v>20.5</v>
      </c>
      <c r="AG29" s="627"/>
      <c r="AH29" s="96" t="s">
        <v>4941</v>
      </c>
      <c r="AI29" s="99">
        <v>25.5</v>
      </c>
      <c r="AJ29" s="627"/>
      <c r="AK29" s="98" t="s">
        <v>5021</v>
      </c>
      <c r="AL29" s="98">
        <v>28.75</v>
      </c>
      <c r="AM29" s="627"/>
      <c r="AW29" s="4"/>
      <c r="AX29" s="4"/>
    </row>
    <row r="30" spans="1:50" x14ac:dyDescent="0.25">
      <c r="A30" s="644" t="s">
        <v>114</v>
      </c>
      <c r="B30" s="636">
        <v>27.25</v>
      </c>
      <c r="C30" s="674"/>
      <c r="D30" s="123" t="s">
        <v>175</v>
      </c>
      <c r="E30" s="176">
        <v>21.25</v>
      </c>
      <c r="F30" s="637"/>
      <c r="G30" s="478" t="s">
        <v>173</v>
      </c>
      <c r="H30" s="510">
        <v>14.75</v>
      </c>
      <c r="I30" s="603"/>
      <c r="J30" s="478" t="s">
        <v>224</v>
      </c>
      <c r="K30" s="661">
        <v>17</v>
      </c>
      <c r="L30" s="632"/>
      <c r="M30" s="499" t="s">
        <v>5457</v>
      </c>
      <c r="N30" s="661">
        <v>18.5</v>
      </c>
      <c r="O30" s="638"/>
      <c r="P30" s="479" t="s">
        <v>3225</v>
      </c>
      <c r="Q30" s="480">
        <v>25.5</v>
      </c>
      <c r="R30" s="638"/>
      <c r="S30" s="96" t="s">
        <v>126</v>
      </c>
      <c r="T30" s="480">
        <v>19.75</v>
      </c>
      <c r="U30" s="637"/>
      <c r="V30" s="97" t="s">
        <v>3628</v>
      </c>
      <c r="W30" s="661">
        <v>18.25</v>
      </c>
      <c r="X30" s="638"/>
      <c r="Y30" s="478" t="s">
        <v>408</v>
      </c>
      <c r="Z30" s="481">
        <v>28.5</v>
      </c>
      <c r="AA30" s="603"/>
      <c r="AB30" s="469" t="s">
        <v>279</v>
      </c>
      <c r="AC30" s="501">
        <v>27</v>
      </c>
      <c r="AD30" s="598"/>
      <c r="AE30" s="485" t="s">
        <v>11164</v>
      </c>
      <c r="AF30" s="99">
        <v>20.5</v>
      </c>
      <c r="AG30" s="627"/>
      <c r="AH30" s="97" t="s">
        <v>4456</v>
      </c>
      <c r="AI30" s="98">
        <v>24.75</v>
      </c>
      <c r="AJ30" s="627"/>
      <c r="AK30" s="98" t="s">
        <v>3992</v>
      </c>
      <c r="AL30" s="98">
        <v>28.25</v>
      </c>
      <c r="AM30" s="627"/>
      <c r="AW30" s="4"/>
      <c r="AX30" s="4"/>
    </row>
    <row r="31" spans="1:50" ht="15.75" thickBot="1" x14ac:dyDescent="0.3">
      <c r="A31" s="644" t="s">
        <v>130</v>
      </c>
      <c r="B31" s="636">
        <v>27.25</v>
      </c>
      <c r="C31" s="674"/>
      <c r="D31" s="660" t="s">
        <v>343</v>
      </c>
      <c r="E31" s="176">
        <v>20.5</v>
      </c>
      <c r="F31" s="637"/>
      <c r="G31" s="478" t="s">
        <v>5639</v>
      </c>
      <c r="H31" s="510">
        <v>14</v>
      </c>
      <c r="I31" s="603"/>
      <c r="J31" s="485" t="s">
        <v>383</v>
      </c>
      <c r="K31" s="661">
        <v>16</v>
      </c>
      <c r="L31" s="632"/>
      <c r="M31" s="499" t="s">
        <v>193</v>
      </c>
      <c r="N31" s="661">
        <v>20.75</v>
      </c>
      <c r="O31" s="638"/>
      <c r="P31" s="479" t="s">
        <v>5619</v>
      </c>
      <c r="Q31" s="480">
        <v>19.75</v>
      </c>
      <c r="R31" s="638"/>
      <c r="S31" s="97" t="s">
        <v>232</v>
      </c>
      <c r="T31" s="483">
        <v>19.25</v>
      </c>
      <c r="U31" s="637"/>
      <c r="V31" s="97" t="s">
        <v>4447</v>
      </c>
      <c r="W31" s="483">
        <v>17.75</v>
      </c>
      <c r="X31" s="638"/>
      <c r="Y31" s="478" t="s">
        <v>381</v>
      </c>
      <c r="Z31" s="481">
        <v>27.5</v>
      </c>
      <c r="AA31" s="603"/>
      <c r="AB31" s="469" t="s">
        <v>71</v>
      </c>
      <c r="AC31" s="501">
        <v>26</v>
      </c>
      <c r="AD31" s="598"/>
      <c r="AE31" s="486" t="s">
        <v>454</v>
      </c>
      <c r="AF31" s="490">
        <v>13.25</v>
      </c>
      <c r="AG31" s="628"/>
      <c r="AH31" s="96" t="s">
        <v>277</v>
      </c>
      <c r="AI31" s="99">
        <v>24.75</v>
      </c>
      <c r="AJ31" s="627"/>
      <c r="AK31" s="98" t="s">
        <v>337</v>
      </c>
      <c r="AL31" s="99">
        <v>28</v>
      </c>
      <c r="AM31" s="627"/>
      <c r="AW31" s="4"/>
      <c r="AX31" s="4"/>
    </row>
    <row r="32" spans="1:50" ht="15.75" thickBot="1" x14ac:dyDescent="0.3">
      <c r="A32" s="644" t="s">
        <v>114</v>
      </c>
      <c r="B32" s="636">
        <v>27.25</v>
      </c>
      <c r="C32" s="674"/>
      <c r="D32" s="660" t="s">
        <v>399</v>
      </c>
      <c r="E32" s="176">
        <v>20.5</v>
      </c>
      <c r="F32" s="637"/>
      <c r="G32" s="478" t="s">
        <v>1291</v>
      </c>
      <c r="H32" s="510">
        <v>13</v>
      </c>
      <c r="I32" s="603"/>
      <c r="J32" s="485" t="s">
        <v>152</v>
      </c>
      <c r="K32" s="661">
        <v>8.25</v>
      </c>
      <c r="L32" s="632"/>
      <c r="M32" s="499" t="s">
        <v>252</v>
      </c>
      <c r="N32" s="661">
        <v>18.75</v>
      </c>
      <c r="O32" s="638"/>
      <c r="P32" s="479" t="s">
        <v>5536</v>
      </c>
      <c r="Q32" s="480">
        <v>19.75</v>
      </c>
      <c r="R32" s="638"/>
      <c r="S32" s="96" t="s">
        <v>1379</v>
      </c>
      <c r="T32" s="480">
        <v>18.5</v>
      </c>
      <c r="U32" s="637"/>
      <c r="V32" s="97" t="s">
        <v>5663</v>
      </c>
      <c r="W32" s="483">
        <v>17.5</v>
      </c>
      <c r="X32" s="638"/>
      <c r="Y32" s="486" t="s">
        <v>406</v>
      </c>
      <c r="Z32" s="659">
        <v>16.75</v>
      </c>
      <c r="AA32" s="604"/>
      <c r="AB32" s="469" t="s">
        <v>373</v>
      </c>
      <c r="AC32" s="501">
        <v>25.75</v>
      </c>
      <c r="AD32" s="598"/>
      <c r="AE32" s="506" t="s">
        <v>4738</v>
      </c>
      <c r="AF32" s="472">
        <v>26</v>
      </c>
      <c r="AG32" s="626" t="s">
        <v>12664</v>
      </c>
      <c r="AH32" s="96" t="s">
        <v>590</v>
      </c>
      <c r="AI32" s="98">
        <v>20.5</v>
      </c>
      <c r="AJ32" s="627"/>
      <c r="AK32" s="98" t="s">
        <v>5532</v>
      </c>
      <c r="AL32" s="98">
        <v>28</v>
      </c>
      <c r="AM32" s="627"/>
      <c r="AW32" s="4"/>
      <c r="AX32" s="4"/>
    </row>
    <row r="33" spans="1:50" ht="15.75" thickBot="1" x14ac:dyDescent="0.3">
      <c r="A33" s="645" t="s">
        <v>122</v>
      </c>
      <c r="B33" s="636">
        <v>27.25</v>
      </c>
      <c r="C33" s="674"/>
      <c r="D33" s="660" t="s">
        <v>343</v>
      </c>
      <c r="E33" s="176">
        <v>20.5</v>
      </c>
      <c r="F33" s="637"/>
      <c r="G33" s="478" t="s">
        <v>160</v>
      </c>
      <c r="H33" s="510">
        <v>8</v>
      </c>
      <c r="I33" s="603"/>
      <c r="J33" s="486" t="s">
        <v>293</v>
      </c>
      <c r="K33" s="662">
        <v>6.5</v>
      </c>
      <c r="L33" s="633"/>
      <c r="M33" s="499" t="s">
        <v>4404</v>
      </c>
      <c r="N33" s="661">
        <v>18</v>
      </c>
      <c r="O33" s="638"/>
      <c r="P33" s="479" t="s">
        <v>5619</v>
      </c>
      <c r="Q33" s="480">
        <v>19.75</v>
      </c>
      <c r="R33" s="638"/>
      <c r="S33" s="396" t="s">
        <v>435</v>
      </c>
      <c r="T33" s="480">
        <v>15.5</v>
      </c>
      <c r="U33" s="637"/>
      <c r="V33" s="97" t="s">
        <v>2067</v>
      </c>
      <c r="W33" s="483">
        <v>17.25</v>
      </c>
      <c r="X33" s="638"/>
      <c r="Y33" s="471" t="s">
        <v>97</v>
      </c>
      <c r="Z33" s="477">
        <v>27.25</v>
      </c>
      <c r="AA33" s="602" t="s">
        <v>12664</v>
      </c>
      <c r="AB33" s="469" t="s">
        <v>18</v>
      </c>
      <c r="AC33" s="501">
        <v>25.75</v>
      </c>
      <c r="AD33" s="598"/>
      <c r="AE33" s="485" t="s">
        <v>4456</v>
      </c>
      <c r="AF33" s="99">
        <v>24.75</v>
      </c>
      <c r="AG33" s="627"/>
      <c r="AH33" s="96" t="s">
        <v>4962</v>
      </c>
      <c r="AI33" s="98">
        <v>19</v>
      </c>
      <c r="AJ33" s="627"/>
      <c r="AK33" s="98" t="s">
        <v>4017</v>
      </c>
      <c r="AL33" s="98">
        <v>23.25</v>
      </c>
      <c r="AM33" s="627"/>
      <c r="AW33" s="4"/>
      <c r="AX33" s="4"/>
    </row>
    <row r="34" spans="1:50" ht="15.75" thickBot="1" x14ac:dyDescent="0.3">
      <c r="A34" s="644" t="s">
        <v>319</v>
      </c>
      <c r="B34" s="635">
        <v>15.75</v>
      </c>
      <c r="C34" s="674"/>
      <c r="D34" s="671" t="s">
        <v>437</v>
      </c>
      <c r="E34" s="190">
        <v>19.5</v>
      </c>
      <c r="F34" s="650"/>
      <c r="G34" s="471" t="s">
        <v>18</v>
      </c>
      <c r="H34" s="516">
        <v>25.75</v>
      </c>
      <c r="I34" s="602" t="s">
        <v>12664</v>
      </c>
      <c r="J34" s="471" t="s">
        <v>217</v>
      </c>
      <c r="K34" s="663">
        <v>23</v>
      </c>
      <c r="L34" s="631" t="s">
        <v>12664</v>
      </c>
      <c r="M34" s="499" t="s">
        <v>193</v>
      </c>
      <c r="N34" s="661">
        <v>20.75</v>
      </c>
      <c r="O34" s="638"/>
      <c r="P34" s="479" t="s">
        <v>5536</v>
      </c>
      <c r="Q34" s="480">
        <v>19.75</v>
      </c>
      <c r="R34" s="638"/>
      <c r="S34" s="475" t="s">
        <v>5064</v>
      </c>
      <c r="T34" s="476">
        <v>20.75</v>
      </c>
      <c r="U34" s="602" t="s">
        <v>12664</v>
      </c>
      <c r="V34" s="97" t="s">
        <v>224</v>
      </c>
      <c r="W34" s="661">
        <v>17</v>
      </c>
      <c r="X34" s="638"/>
      <c r="Y34" s="478" t="s">
        <v>52</v>
      </c>
      <c r="Z34" s="481">
        <v>27</v>
      </c>
      <c r="AA34" s="603"/>
      <c r="AB34" s="469" t="s">
        <v>160</v>
      </c>
      <c r="AC34" s="501">
        <v>8</v>
      </c>
      <c r="AD34" s="598"/>
      <c r="AE34" s="485" t="s">
        <v>4456</v>
      </c>
      <c r="AF34" s="99">
        <v>24.75</v>
      </c>
      <c r="AG34" s="627"/>
      <c r="AH34" s="96" t="s">
        <v>5221</v>
      </c>
      <c r="AI34" s="98">
        <v>17.5</v>
      </c>
      <c r="AJ34" s="627"/>
      <c r="AK34" s="473" t="s">
        <v>3964</v>
      </c>
      <c r="AL34" s="474">
        <v>24.75</v>
      </c>
      <c r="AM34" s="626" t="s">
        <v>12664</v>
      </c>
      <c r="AW34" s="4"/>
      <c r="AX34" s="4"/>
    </row>
    <row r="35" spans="1:50" ht="15.75" thickBot="1" x14ac:dyDescent="0.3">
      <c r="A35" s="644" t="s">
        <v>44</v>
      </c>
      <c r="B35" s="635">
        <v>15.75</v>
      </c>
      <c r="C35" s="674"/>
      <c r="D35" s="485" t="s">
        <v>261</v>
      </c>
      <c r="E35" s="510">
        <v>32</v>
      </c>
      <c r="F35" s="637" t="s">
        <v>12664</v>
      </c>
      <c r="G35" s="478" t="s">
        <v>347</v>
      </c>
      <c r="H35" s="510">
        <v>24</v>
      </c>
      <c r="I35" s="603"/>
      <c r="J35" s="485" t="s">
        <v>37</v>
      </c>
      <c r="K35" s="661">
        <v>23</v>
      </c>
      <c r="L35" s="632"/>
      <c r="M35" s="499" t="s">
        <v>252</v>
      </c>
      <c r="N35" s="661">
        <v>18.75</v>
      </c>
      <c r="O35" s="638"/>
      <c r="P35" s="475" t="s">
        <v>5682</v>
      </c>
      <c r="Q35" s="476">
        <v>31.75</v>
      </c>
      <c r="R35" s="654" t="s">
        <v>12664</v>
      </c>
      <c r="S35" s="97" t="s">
        <v>4078</v>
      </c>
      <c r="T35" s="483">
        <v>20.5</v>
      </c>
      <c r="U35" s="603"/>
      <c r="V35" s="97" t="s">
        <v>5196</v>
      </c>
      <c r="W35" s="661">
        <v>16.75</v>
      </c>
      <c r="X35" s="638"/>
      <c r="Y35" s="478" t="s">
        <v>166</v>
      </c>
      <c r="Z35" s="481">
        <v>25.5</v>
      </c>
      <c r="AA35" s="637"/>
      <c r="AB35" s="471" t="s">
        <v>166</v>
      </c>
      <c r="AC35" s="500">
        <v>25.5</v>
      </c>
      <c r="AD35" s="596" t="s">
        <v>12664</v>
      </c>
      <c r="AE35" s="485" t="s">
        <v>4291</v>
      </c>
      <c r="AF35" s="99">
        <v>24.25</v>
      </c>
      <c r="AG35" s="627"/>
      <c r="AH35" s="493" t="s">
        <v>152</v>
      </c>
      <c r="AI35" s="490">
        <v>8.25</v>
      </c>
      <c r="AJ35" s="628"/>
      <c r="AK35" s="97" t="s">
        <v>385</v>
      </c>
      <c r="AL35" s="99">
        <v>24.75</v>
      </c>
      <c r="AM35" s="627"/>
      <c r="AW35" s="4"/>
      <c r="AX35" s="4"/>
    </row>
    <row r="36" spans="1:50" ht="15.75" thickBot="1" x14ac:dyDescent="0.3">
      <c r="A36" s="642" t="s">
        <v>42</v>
      </c>
      <c r="B36" s="643">
        <v>27.25</v>
      </c>
      <c r="C36" s="673" t="s">
        <v>12664</v>
      </c>
      <c r="D36" s="478" t="s">
        <v>168</v>
      </c>
      <c r="E36" s="510">
        <v>31.75</v>
      </c>
      <c r="F36" s="637"/>
      <c r="G36" s="478" t="s">
        <v>328</v>
      </c>
      <c r="H36" s="510">
        <v>21.75</v>
      </c>
      <c r="I36" s="603"/>
      <c r="J36" s="478" t="s">
        <v>306</v>
      </c>
      <c r="K36" s="483">
        <v>21.5</v>
      </c>
      <c r="L36" s="632"/>
      <c r="M36" s="499" t="s">
        <v>3078</v>
      </c>
      <c r="N36" s="661">
        <v>13</v>
      </c>
      <c r="O36" s="638"/>
      <c r="P36" s="479" t="s">
        <v>132</v>
      </c>
      <c r="Q36" s="480">
        <v>31.75</v>
      </c>
      <c r="R36" s="638"/>
      <c r="S36" s="97" t="s">
        <v>4779</v>
      </c>
      <c r="T36" s="483">
        <v>18.5</v>
      </c>
      <c r="U36" s="603"/>
      <c r="V36" s="97" t="s">
        <v>300</v>
      </c>
      <c r="W36" s="661">
        <v>16.25</v>
      </c>
      <c r="X36" s="638"/>
      <c r="Y36" s="478" t="s">
        <v>65</v>
      </c>
      <c r="Z36" s="481">
        <v>25</v>
      </c>
      <c r="AA36" s="637"/>
      <c r="AB36" s="478" t="s">
        <v>15</v>
      </c>
      <c r="AC36" s="501">
        <v>25.25</v>
      </c>
      <c r="AD36" s="597"/>
      <c r="AE36" s="485" t="s">
        <v>4464</v>
      </c>
      <c r="AF36" s="99">
        <v>23.75</v>
      </c>
      <c r="AG36" s="627"/>
      <c r="AH36" s="473" t="s">
        <v>4291</v>
      </c>
      <c r="AI36" s="474">
        <v>24.25</v>
      </c>
      <c r="AJ36" s="626" t="s">
        <v>12664</v>
      </c>
      <c r="AK36" s="97" t="s">
        <v>3107</v>
      </c>
      <c r="AL36" s="98">
        <v>24</v>
      </c>
      <c r="AM36" s="627"/>
      <c r="AW36" s="4"/>
      <c r="AX36" s="4"/>
    </row>
    <row r="37" spans="1:50" x14ac:dyDescent="0.25">
      <c r="A37" s="645" t="s">
        <v>122</v>
      </c>
      <c r="B37" s="636">
        <v>27.25</v>
      </c>
      <c r="C37" s="674"/>
      <c r="D37" s="485" t="s">
        <v>168</v>
      </c>
      <c r="E37" s="510">
        <v>31.75</v>
      </c>
      <c r="F37" s="637"/>
      <c r="G37" s="478" t="s">
        <v>430</v>
      </c>
      <c r="H37" s="510">
        <v>20</v>
      </c>
      <c r="I37" s="603"/>
      <c r="J37" s="485" t="s">
        <v>248</v>
      </c>
      <c r="K37" s="661">
        <v>20.75</v>
      </c>
      <c r="L37" s="632"/>
      <c r="M37" s="514" t="s">
        <v>182</v>
      </c>
      <c r="N37" s="663">
        <v>23</v>
      </c>
      <c r="O37" s="664" t="s">
        <v>12664</v>
      </c>
      <c r="P37" s="479" t="s">
        <v>3891</v>
      </c>
      <c r="Q37" s="480">
        <v>31.5</v>
      </c>
      <c r="R37" s="638"/>
      <c r="S37" s="96" t="s">
        <v>2484</v>
      </c>
      <c r="T37" s="480">
        <v>31.5</v>
      </c>
      <c r="U37" s="603"/>
      <c r="V37" s="97" t="s">
        <v>433</v>
      </c>
      <c r="W37" s="661">
        <v>11.5</v>
      </c>
      <c r="X37" s="638"/>
      <c r="Y37" s="478" t="s">
        <v>34</v>
      </c>
      <c r="Z37" s="481">
        <v>23.25</v>
      </c>
      <c r="AA37" s="637"/>
      <c r="AB37" s="478" t="s">
        <v>65</v>
      </c>
      <c r="AC37" s="501">
        <v>25</v>
      </c>
      <c r="AD37" s="597"/>
      <c r="AE37" s="485" t="s">
        <v>4100</v>
      </c>
      <c r="AF37" s="99">
        <v>23.5</v>
      </c>
      <c r="AG37" s="627"/>
      <c r="AH37" s="97" t="s">
        <v>4464</v>
      </c>
      <c r="AI37" s="98">
        <v>23.75</v>
      </c>
      <c r="AJ37" s="627"/>
      <c r="AK37" s="97" t="s">
        <v>3251</v>
      </c>
      <c r="AL37" s="98">
        <v>23.5</v>
      </c>
      <c r="AM37" s="627"/>
      <c r="AW37" s="4"/>
      <c r="AX37" s="4"/>
    </row>
    <row r="38" spans="1:50" ht="15.75" thickBot="1" x14ac:dyDescent="0.3">
      <c r="A38" s="644" t="s">
        <v>97</v>
      </c>
      <c r="B38" s="636">
        <v>27.25</v>
      </c>
      <c r="C38" s="674"/>
      <c r="D38" s="478" t="s">
        <v>314</v>
      </c>
      <c r="E38" s="510">
        <v>31.5</v>
      </c>
      <c r="F38" s="637"/>
      <c r="G38" s="478" t="s">
        <v>298</v>
      </c>
      <c r="H38" s="510">
        <v>19.5</v>
      </c>
      <c r="I38" s="603"/>
      <c r="J38" s="478" t="s">
        <v>11164</v>
      </c>
      <c r="K38" s="483">
        <v>20.5</v>
      </c>
      <c r="L38" s="632"/>
      <c r="M38" s="98" t="s">
        <v>37</v>
      </c>
      <c r="N38" s="483">
        <v>23</v>
      </c>
      <c r="O38" s="638"/>
      <c r="P38" s="479" t="s">
        <v>917</v>
      </c>
      <c r="Q38" s="480">
        <v>27</v>
      </c>
      <c r="R38" s="638"/>
      <c r="S38" s="96" t="s">
        <v>4078</v>
      </c>
      <c r="T38" s="480">
        <v>20.5</v>
      </c>
      <c r="U38" s="603"/>
      <c r="V38" s="491" t="s">
        <v>209</v>
      </c>
      <c r="W38" s="662">
        <v>8.25</v>
      </c>
      <c r="X38" s="655"/>
      <c r="Y38" s="478" t="s">
        <v>430</v>
      </c>
      <c r="Z38" s="481">
        <v>20</v>
      </c>
      <c r="AA38" s="637"/>
      <c r="AB38" s="478" t="s">
        <v>361</v>
      </c>
      <c r="AC38" s="501">
        <v>24.25</v>
      </c>
      <c r="AD38" s="597"/>
      <c r="AE38" s="489" t="s">
        <v>3761</v>
      </c>
      <c r="AF38" s="490">
        <v>21</v>
      </c>
      <c r="AG38" s="628"/>
      <c r="AH38" s="96" t="s">
        <v>3761</v>
      </c>
      <c r="AI38" s="98">
        <v>21</v>
      </c>
      <c r="AJ38" s="627"/>
      <c r="AK38" s="96" t="s">
        <v>312</v>
      </c>
      <c r="AL38" s="99">
        <v>21</v>
      </c>
      <c r="AM38" s="627"/>
      <c r="AW38" s="4"/>
      <c r="AX38" s="4"/>
    </row>
    <row r="39" spans="1:50" ht="15.75" thickBot="1" x14ac:dyDescent="0.3">
      <c r="A39" s="644" t="s">
        <v>42</v>
      </c>
      <c r="B39" s="636">
        <v>27.25</v>
      </c>
      <c r="C39" s="674"/>
      <c r="D39" s="485" t="s">
        <v>74</v>
      </c>
      <c r="E39" s="510">
        <v>19.75</v>
      </c>
      <c r="F39" s="637"/>
      <c r="G39" s="478" t="s">
        <v>254</v>
      </c>
      <c r="H39" s="510">
        <v>19.5</v>
      </c>
      <c r="I39" s="603"/>
      <c r="J39" s="478" t="s">
        <v>393</v>
      </c>
      <c r="K39" s="483">
        <v>20.5</v>
      </c>
      <c r="L39" s="632"/>
      <c r="M39" s="98" t="s">
        <v>4677</v>
      </c>
      <c r="N39" s="483">
        <v>22.75</v>
      </c>
      <c r="O39" s="638"/>
      <c r="P39" s="479" t="s">
        <v>1842</v>
      </c>
      <c r="Q39" s="480">
        <v>26.5</v>
      </c>
      <c r="R39" s="638"/>
      <c r="S39" s="96" t="s">
        <v>4779</v>
      </c>
      <c r="T39" s="480">
        <v>18.5</v>
      </c>
      <c r="U39" s="603"/>
      <c r="V39" s="471" t="s">
        <v>168</v>
      </c>
      <c r="W39" s="663">
        <v>31.75</v>
      </c>
      <c r="X39" s="654" t="s">
        <v>12664</v>
      </c>
      <c r="Y39" s="486" t="s">
        <v>430</v>
      </c>
      <c r="Z39" s="659">
        <v>20</v>
      </c>
      <c r="AA39" s="650"/>
      <c r="AB39" s="478" t="s">
        <v>140</v>
      </c>
      <c r="AC39" s="501">
        <v>23.75</v>
      </c>
      <c r="AD39" s="597"/>
      <c r="AE39" s="506" t="s">
        <v>5549</v>
      </c>
      <c r="AF39" s="472">
        <v>27.25</v>
      </c>
      <c r="AG39" s="626" t="s">
        <v>12664</v>
      </c>
      <c r="AH39" s="96" t="s">
        <v>4609</v>
      </c>
      <c r="AI39" s="98">
        <v>18</v>
      </c>
      <c r="AJ39" s="627"/>
      <c r="AK39" s="97" t="s">
        <v>1379</v>
      </c>
      <c r="AL39" s="98">
        <v>18.5</v>
      </c>
      <c r="AM39" s="627"/>
      <c r="AW39" s="4"/>
      <c r="AX39" s="4"/>
    </row>
    <row r="40" spans="1:50" ht="15.75" thickBot="1" x14ac:dyDescent="0.3">
      <c r="A40" s="644" t="s">
        <v>275</v>
      </c>
      <c r="B40" s="635">
        <v>20</v>
      </c>
      <c r="C40" s="674"/>
      <c r="D40" s="485" t="s">
        <v>1291</v>
      </c>
      <c r="E40" s="510">
        <v>13</v>
      </c>
      <c r="F40" s="637"/>
      <c r="G40" s="478" t="s">
        <v>359</v>
      </c>
      <c r="H40" s="510">
        <v>19.5</v>
      </c>
      <c r="I40" s="603"/>
      <c r="J40" s="478" t="s">
        <v>5672</v>
      </c>
      <c r="K40" s="483">
        <v>20.5</v>
      </c>
      <c r="L40" s="632"/>
      <c r="M40" s="499" t="s">
        <v>2601</v>
      </c>
      <c r="N40" s="661">
        <v>22.75</v>
      </c>
      <c r="O40" s="638"/>
      <c r="P40" s="504" t="s">
        <v>5583</v>
      </c>
      <c r="Q40" s="495">
        <v>19.5</v>
      </c>
      <c r="R40" s="655"/>
      <c r="S40" s="96" t="s">
        <v>232</v>
      </c>
      <c r="T40" s="480">
        <v>19.25</v>
      </c>
      <c r="U40" s="603"/>
      <c r="V40" s="478" t="s">
        <v>103</v>
      </c>
      <c r="W40" s="483">
        <v>23.25</v>
      </c>
      <c r="X40" s="638"/>
      <c r="Y40" s="471" t="s">
        <v>122</v>
      </c>
      <c r="Z40" s="477">
        <v>27.25</v>
      </c>
      <c r="AA40" s="653" t="s">
        <v>12664</v>
      </c>
      <c r="AB40" s="478" t="s">
        <v>217</v>
      </c>
      <c r="AC40" s="501">
        <v>23</v>
      </c>
      <c r="AD40" s="597"/>
      <c r="AE40" s="485" t="s">
        <v>5549</v>
      </c>
      <c r="AF40" s="99">
        <v>27.25</v>
      </c>
      <c r="AG40" s="627"/>
      <c r="AH40" s="96" t="s">
        <v>5395</v>
      </c>
      <c r="AI40" s="98">
        <v>16.75</v>
      </c>
      <c r="AJ40" s="627"/>
      <c r="AK40" s="97" t="s">
        <v>5260</v>
      </c>
      <c r="AL40" s="99">
        <v>15.75</v>
      </c>
      <c r="AM40" s="627"/>
      <c r="AW40" s="4"/>
      <c r="AX40" s="4"/>
    </row>
    <row r="41" spans="1:50" ht="15.75" thickBot="1" x14ac:dyDescent="0.3">
      <c r="A41" s="644" t="s">
        <v>339</v>
      </c>
      <c r="B41" s="635">
        <v>19.25</v>
      </c>
      <c r="C41" s="674"/>
      <c r="D41" s="478" t="s">
        <v>209</v>
      </c>
      <c r="E41" s="510">
        <v>8.25</v>
      </c>
      <c r="F41" s="637"/>
      <c r="G41" s="486" t="s">
        <v>58</v>
      </c>
      <c r="H41" s="487">
        <v>18</v>
      </c>
      <c r="I41" s="604"/>
      <c r="J41" s="478" t="s">
        <v>454</v>
      </c>
      <c r="K41" s="661">
        <v>13.25</v>
      </c>
      <c r="L41" s="632"/>
      <c r="M41" s="98" t="s">
        <v>5507</v>
      </c>
      <c r="N41" s="483">
        <v>20.5</v>
      </c>
      <c r="O41" s="638"/>
      <c r="P41" s="479" t="s">
        <v>428</v>
      </c>
      <c r="Q41" s="480">
        <v>31.25</v>
      </c>
      <c r="R41" s="638" t="s">
        <v>12664</v>
      </c>
      <c r="S41" s="491" t="s">
        <v>1379</v>
      </c>
      <c r="T41" s="494">
        <v>18.5</v>
      </c>
      <c r="U41" s="604"/>
      <c r="V41" s="485" t="s">
        <v>37</v>
      </c>
      <c r="W41" s="661">
        <v>23</v>
      </c>
      <c r="X41" s="638"/>
      <c r="Y41" s="478" t="s">
        <v>385</v>
      </c>
      <c r="Z41" s="481">
        <v>24.75</v>
      </c>
      <c r="AA41" s="637"/>
      <c r="AB41" s="486" t="s">
        <v>415</v>
      </c>
      <c r="AC41" s="503">
        <v>21.25</v>
      </c>
      <c r="AD41" s="601"/>
      <c r="AE41" s="485" t="s">
        <v>5275</v>
      </c>
      <c r="AF41" s="98">
        <v>26.25</v>
      </c>
      <c r="AG41" s="627"/>
      <c r="AH41" s="96" t="s">
        <v>406</v>
      </c>
      <c r="AI41" s="99">
        <v>16.75</v>
      </c>
      <c r="AJ41" s="627"/>
      <c r="AK41" s="491" t="s">
        <v>44</v>
      </c>
      <c r="AL41" s="490">
        <v>15.75</v>
      </c>
      <c r="AM41" s="628"/>
      <c r="AQ41" s="470"/>
      <c r="AR41" s="470"/>
      <c r="AS41" s="470"/>
      <c r="AW41" s="4"/>
      <c r="AX41" s="4"/>
    </row>
    <row r="42" spans="1:50" ht="15.75" thickBot="1" x14ac:dyDescent="0.3">
      <c r="A42" s="644" t="s">
        <v>433</v>
      </c>
      <c r="B42" s="635">
        <v>11.5</v>
      </c>
      <c r="C42" s="674"/>
      <c r="D42" s="471" t="s">
        <v>261</v>
      </c>
      <c r="E42" s="516">
        <v>32</v>
      </c>
      <c r="F42" s="653" t="s">
        <v>12664</v>
      </c>
      <c r="G42" s="478" t="s">
        <v>408</v>
      </c>
      <c r="H42" s="510">
        <v>28.5</v>
      </c>
      <c r="I42" s="603" t="s">
        <v>12664</v>
      </c>
      <c r="J42" s="486" t="s">
        <v>190</v>
      </c>
      <c r="K42" s="662">
        <v>5</v>
      </c>
      <c r="L42" s="633"/>
      <c r="M42" s="98" t="s">
        <v>3243</v>
      </c>
      <c r="N42" s="483">
        <v>19.25</v>
      </c>
      <c r="O42" s="638"/>
      <c r="P42" s="479" t="s">
        <v>5192</v>
      </c>
      <c r="Q42" s="480">
        <v>31</v>
      </c>
      <c r="R42" s="638"/>
      <c r="S42" s="97" t="s">
        <v>2520</v>
      </c>
      <c r="T42" s="483">
        <v>31</v>
      </c>
      <c r="U42" s="637" t="s">
        <v>12664</v>
      </c>
      <c r="V42" s="485" t="s">
        <v>5672</v>
      </c>
      <c r="W42" s="661">
        <v>20.5</v>
      </c>
      <c r="X42" s="638"/>
      <c r="Y42" s="478" t="s">
        <v>347</v>
      </c>
      <c r="Z42" s="481">
        <v>24</v>
      </c>
      <c r="AA42" s="603"/>
      <c r="AB42" s="505" t="s">
        <v>314</v>
      </c>
      <c r="AC42" s="501">
        <v>31.5</v>
      </c>
      <c r="AD42" s="600" t="s">
        <v>12664</v>
      </c>
      <c r="AE42" s="478" t="s">
        <v>4738</v>
      </c>
      <c r="AF42" s="98">
        <v>26</v>
      </c>
      <c r="AG42" s="627"/>
      <c r="AH42" s="96" t="s">
        <v>355</v>
      </c>
      <c r="AI42" s="99">
        <v>16</v>
      </c>
      <c r="AJ42" s="627"/>
      <c r="AK42" s="469" t="s">
        <v>368</v>
      </c>
      <c r="AL42" s="501">
        <v>20.5</v>
      </c>
      <c r="AM42" s="596" t="s">
        <v>12664</v>
      </c>
      <c r="AN42" s="101"/>
      <c r="AO42" s="101"/>
      <c r="AP42" s="100"/>
      <c r="AQ42" s="470"/>
      <c r="AR42" s="470"/>
      <c r="AS42" s="470"/>
      <c r="AW42" s="4"/>
      <c r="AX42" s="4"/>
    </row>
    <row r="43" spans="1:50" ht="15.75" thickBot="1" x14ac:dyDescent="0.3">
      <c r="A43" s="646" t="s">
        <v>152</v>
      </c>
      <c r="B43" s="672">
        <v>8.25</v>
      </c>
      <c r="C43" s="675"/>
      <c r="D43" s="485" t="s">
        <v>238</v>
      </c>
      <c r="E43" s="510">
        <v>31.25</v>
      </c>
      <c r="F43" s="637"/>
      <c r="G43" s="478" t="s">
        <v>147</v>
      </c>
      <c r="H43" s="510">
        <v>26.75</v>
      </c>
      <c r="I43" s="603"/>
      <c r="J43" s="506" t="s">
        <v>306</v>
      </c>
      <c r="K43" s="663">
        <v>21.5</v>
      </c>
      <c r="L43" s="631" t="s">
        <v>12664</v>
      </c>
      <c r="M43" s="98" t="s">
        <v>4223</v>
      </c>
      <c r="N43" s="483">
        <v>19</v>
      </c>
      <c r="O43" s="638"/>
      <c r="P43" s="479" t="s">
        <v>5532</v>
      </c>
      <c r="Q43" s="480">
        <v>28</v>
      </c>
      <c r="R43" s="638"/>
      <c r="S43" s="97" t="s">
        <v>4106</v>
      </c>
      <c r="T43" s="483">
        <v>30.75</v>
      </c>
      <c r="U43" s="637"/>
      <c r="V43" s="485" t="s">
        <v>103</v>
      </c>
      <c r="W43" s="661">
        <v>23.25</v>
      </c>
      <c r="X43" s="638"/>
      <c r="Y43" s="478" t="s">
        <v>290</v>
      </c>
      <c r="Z43" s="481">
        <v>24</v>
      </c>
      <c r="AA43" s="603"/>
      <c r="AB43" s="505" t="s">
        <v>452</v>
      </c>
      <c r="AC43" s="501">
        <v>28.75</v>
      </c>
      <c r="AD43" s="598"/>
      <c r="AE43" s="485" t="s">
        <v>4291</v>
      </c>
      <c r="AF43" s="99">
        <v>24.25</v>
      </c>
      <c r="AG43" s="627"/>
      <c r="AH43" s="96" t="s">
        <v>4543</v>
      </c>
      <c r="AI43" s="98">
        <v>15.75</v>
      </c>
      <c r="AJ43" s="627"/>
      <c r="AK43" s="469" t="s">
        <v>185</v>
      </c>
      <c r="AL43" s="501">
        <v>20.5</v>
      </c>
      <c r="AM43" s="597"/>
      <c r="AN43" s="101"/>
      <c r="AO43" s="101"/>
      <c r="AP43" s="100"/>
      <c r="AQ43" s="470"/>
      <c r="AR43" s="470"/>
      <c r="AS43" s="470"/>
      <c r="AW43" s="4"/>
      <c r="AX43" s="4"/>
    </row>
    <row r="44" spans="1:50" ht="15.75" thickBot="1" x14ac:dyDescent="0.3">
      <c r="A44" s="644" t="s">
        <v>130</v>
      </c>
      <c r="B44" s="636">
        <v>27.25</v>
      </c>
      <c r="C44" s="674" t="s">
        <v>12664</v>
      </c>
      <c r="D44" s="485" t="s">
        <v>238</v>
      </c>
      <c r="E44" s="510">
        <v>31.25</v>
      </c>
      <c r="F44" s="637"/>
      <c r="G44" s="478" t="s">
        <v>335</v>
      </c>
      <c r="H44" s="510">
        <v>22.25</v>
      </c>
      <c r="I44" s="603"/>
      <c r="J44" s="485" t="s">
        <v>157</v>
      </c>
      <c r="K44" s="661">
        <v>21</v>
      </c>
      <c r="L44" s="632"/>
      <c r="M44" s="513" t="s">
        <v>1656</v>
      </c>
      <c r="N44" s="662">
        <v>17.75</v>
      </c>
      <c r="O44" s="655"/>
      <c r="P44" s="479" t="s">
        <v>3442</v>
      </c>
      <c r="Q44" s="480">
        <v>28</v>
      </c>
      <c r="R44" s="638"/>
      <c r="S44" s="96" t="s">
        <v>5082</v>
      </c>
      <c r="T44" s="480">
        <v>30.5</v>
      </c>
      <c r="U44" s="637"/>
      <c r="V44" s="478" t="s">
        <v>37</v>
      </c>
      <c r="W44" s="483">
        <v>23</v>
      </c>
      <c r="X44" s="638"/>
      <c r="Y44" s="478" t="s">
        <v>140</v>
      </c>
      <c r="Z44" s="481">
        <v>23.75</v>
      </c>
      <c r="AA44" s="603"/>
      <c r="AB44" s="505" t="s">
        <v>4945</v>
      </c>
      <c r="AC44" s="501">
        <v>27.75</v>
      </c>
      <c r="AD44" s="598"/>
      <c r="AE44" s="485" t="s">
        <v>211</v>
      </c>
      <c r="AF44" s="99">
        <v>20</v>
      </c>
      <c r="AG44" s="627"/>
      <c r="AH44" s="493" t="s">
        <v>319</v>
      </c>
      <c r="AI44" s="490">
        <v>15.75</v>
      </c>
      <c r="AJ44" s="628"/>
      <c r="AK44" s="505" t="s">
        <v>399</v>
      </c>
      <c r="AL44" s="501">
        <v>20.5</v>
      </c>
      <c r="AM44" s="597"/>
      <c r="AN44" s="101"/>
      <c r="AO44" s="101"/>
      <c r="AP44" s="100"/>
      <c r="AQ44" s="470"/>
      <c r="AR44" s="470"/>
      <c r="AS44" s="470"/>
      <c r="AW44" s="4"/>
      <c r="AX44" s="4"/>
    </row>
    <row r="45" spans="1:50" ht="15.75" thickBot="1" x14ac:dyDescent="0.3">
      <c r="A45" s="644" t="s">
        <v>97</v>
      </c>
      <c r="B45" s="636">
        <v>27.25</v>
      </c>
      <c r="C45" s="674"/>
      <c r="D45" s="485" t="s">
        <v>249</v>
      </c>
      <c r="E45" s="510">
        <v>30.25</v>
      </c>
      <c r="F45" s="637"/>
      <c r="G45" s="478" t="s">
        <v>298</v>
      </c>
      <c r="H45" s="510">
        <v>19.5</v>
      </c>
      <c r="I45" s="603"/>
      <c r="J45" s="478" t="s">
        <v>248</v>
      </c>
      <c r="K45" s="483">
        <v>20.75</v>
      </c>
      <c r="L45" s="632"/>
      <c r="M45" s="98" t="s">
        <v>4990</v>
      </c>
      <c r="N45" s="480">
        <v>27</v>
      </c>
      <c r="O45" s="638" t="s">
        <v>12664</v>
      </c>
      <c r="P45" s="479" t="s">
        <v>3307</v>
      </c>
      <c r="Q45" s="480">
        <v>25.25</v>
      </c>
      <c r="R45" s="638"/>
      <c r="S45" s="507" t="s">
        <v>84</v>
      </c>
      <c r="T45" s="480">
        <v>22.5</v>
      </c>
      <c r="U45" s="637"/>
      <c r="V45" s="489" t="s">
        <v>103</v>
      </c>
      <c r="W45" s="662">
        <v>23.25</v>
      </c>
      <c r="X45" s="655"/>
      <c r="Y45" s="478" t="s">
        <v>34</v>
      </c>
      <c r="Z45" s="481">
        <v>23.25</v>
      </c>
      <c r="AA45" s="603"/>
      <c r="AB45" s="469" t="s">
        <v>5549</v>
      </c>
      <c r="AC45" s="469">
        <v>27.25</v>
      </c>
      <c r="AD45" s="598"/>
      <c r="AE45" s="489" t="s">
        <v>187</v>
      </c>
      <c r="AF45" s="490">
        <v>17</v>
      </c>
      <c r="AG45" s="628"/>
      <c r="AH45" s="471" t="s">
        <v>279</v>
      </c>
      <c r="AI45" s="500">
        <v>27</v>
      </c>
      <c r="AJ45" s="596" t="s">
        <v>12664</v>
      </c>
      <c r="AK45" s="505" t="s">
        <v>395</v>
      </c>
      <c r="AL45" s="501">
        <v>20.25</v>
      </c>
      <c r="AM45" s="597"/>
      <c r="AN45" s="101"/>
      <c r="AO45" s="101"/>
      <c r="AP45" s="100"/>
      <c r="AQ45" s="470"/>
      <c r="AR45" s="470"/>
      <c r="AS45" s="470"/>
      <c r="AW45" s="4"/>
      <c r="AX45" s="4"/>
    </row>
    <row r="46" spans="1:50" ht="15.75" thickBot="1" x14ac:dyDescent="0.3">
      <c r="A46" s="645" t="s">
        <v>122</v>
      </c>
      <c r="B46" s="636">
        <v>27.25</v>
      </c>
      <c r="C46" s="674"/>
      <c r="D46" s="485" t="s">
        <v>219</v>
      </c>
      <c r="E46" s="510">
        <v>30.25</v>
      </c>
      <c r="F46" s="637"/>
      <c r="G46" s="478" t="s">
        <v>298</v>
      </c>
      <c r="H46" s="510">
        <v>19.5</v>
      </c>
      <c r="I46" s="603"/>
      <c r="J46" s="478" t="s">
        <v>27</v>
      </c>
      <c r="K46" s="483">
        <v>20.75</v>
      </c>
      <c r="L46" s="632"/>
      <c r="M46" s="499" t="s">
        <v>4863</v>
      </c>
      <c r="N46" s="480">
        <v>26.75</v>
      </c>
      <c r="O46" s="638"/>
      <c r="P46" s="479" t="s">
        <v>3836</v>
      </c>
      <c r="Q46" s="480">
        <v>24.5</v>
      </c>
      <c r="R46" s="638"/>
      <c r="S46" s="96" t="s">
        <v>4106</v>
      </c>
      <c r="T46" s="480">
        <v>30.75</v>
      </c>
      <c r="U46" s="637"/>
      <c r="V46" s="506" t="s">
        <v>9</v>
      </c>
      <c r="W46" s="516">
        <v>31.5</v>
      </c>
      <c r="X46" s="653" t="s">
        <v>12664</v>
      </c>
      <c r="Y46" s="486" t="s">
        <v>3</v>
      </c>
      <c r="Z46" s="659">
        <v>21</v>
      </c>
      <c r="AA46" s="604"/>
      <c r="AB46" s="505" t="s">
        <v>5549</v>
      </c>
      <c r="AC46" s="501">
        <v>27.25</v>
      </c>
      <c r="AD46" s="598"/>
      <c r="AE46" s="471" t="s">
        <v>5392</v>
      </c>
      <c r="AF46" s="474">
        <v>20.25</v>
      </c>
      <c r="AG46" s="626" t="s">
        <v>12664</v>
      </c>
      <c r="AH46" s="478" t="s">
        <v>100</v>
      </c>
      <c r="AI46" s="501">
        <v>22</v>
      </c>
      <c r="AJ46" s="597"/>
      <c r="AK46" s="469" t="s">
        <v>211</v>
      </c>
      <c r="AL46" s="501">
        <v>20</v>
      </c>
      <c r="AM46" s="597"/>
      <c r="AN46" s="101"/>
      <c r="AO46" s="101"/>
      <c r="AP46" s="100"/>
      <c r="AQ46" s="470"/>
      <c r="AR46" s="470"/>
      <c r="AS46" s="470"/>
      <c r="AW46" s="4"/>
      <c r="AX46" s="4"/>
    </row>
    <row r="47" spans="1:50" ht="15.75" thickBot="1" x14ac:dyDescent="0.3">
      <c r="A47" s="644" t="s">
        <v>97</v>
      </c>
      <c r="B47" s="636">
        <v>27.25</v>
      </c>
      <c r="C47" s="674"/>
      <c r="D47" s="489" t="s">
        <v>3078</v>
      </c>
      <c r="E47" s="487">
        <v>13</v>
      </c>
      <c r="F47" s="650"/>
      <c r="G47" s="478" t="s">
        <v>254</v>
      </c>
      <c r="H47" s="510">
        <v>19.5</v>
      </c>
      <c r="I47" s="603"/>
      <c r="J47" s="485" t="s">
        <v>393</v>
      </c>
      <c r="K47" s="661">
        <v>20.5</v>
      </c>
      <c r="L47" s="632"/>
      <c r="M47" s="499" t="s">
        <v>312</v>
      </c>
      <c r="N47" s="480">
        <v>21</v>
      </c>
      <c r="O47" s="638"/>
      <c r="P47" s="475" t="s">
        <v>124</v>
      </c>
      <c r="Q47" s="476">
        <v>31.5</v>
      </c>
      <c r="R47" s="654" t="s">
        <v>12664</v>
      </c>
      <c r="S47" s="396" t="s">
        <v>84</v>
      </c>
      <c r="T47" s="480">
        <v>22.5</v>
      </c>
      <c r="U47" s="637"/>
      <c r="V47" s="485" t="s">
        <v>137</v>
      </c>
      <c r="W47" s="510">
        <v>29.5</v>
      </c>
      <c r="X47" s="637"/>
      <c r="Y47" s="660" t="s">
        <v>452</v>
      </c>
      <c r="Z47" s="397">
        <v>28.75</v>
      </c>
      <c r="AA47" s="602" t="s">
        <v>12664</v>
      </c>
      <c r="AB47" s="505" t="s">
        <v>4941</v>
      </c>
      <c r="AC47" s="501">
        <v>25.5</v>
      </c>
      <c r="AD47" s="598"/>
      <c r="AE47" s="485" t="s">
        <v>5473</v>
      </c>
      <c r="AF47" s="99">
        <v>20.25</v>
      </c>
      <c r="AG47" s="627"/>
      <c r="AH47" s="478" t="s">
        <v>117</v>
      </c>
      <c r="AI47" s="501">
        <v>21.75</v>
      </c>
      <c r="AJ47" s="597"/>
      <c r="AK47" s="469" t="s">
        <v>74</v>
      </c>
      <c r="AL47" s="501">
        <v>19.75</v>
      </c>
      <c r="AM47" s="597"/>
      <c r="AN47" s="101"/>
      <c r="AO47" s="101"/>
      <c r="AP47" s="100"/>
      <c r="AQ47" s="470"/>
      <c r="AR47" s="470"/>
      <c r="AS47" s="470"/>
      <c r="AW47" s="4"/>
      <c r="AX47" s="4"/>
    </row>
    <row r="48" spans="1:50" x14ac:dyDescent="0.25">
      <c r="A48" s="645" t="s">
        <v>279</v>
      </c>
      <c r="B48" s="636">
        <v>27</v>
      </c>
      <c r="C48" s="674"/>
      <c r="D48" s="485" t="s">
        <v>314</v>
      </c>
      <c r="E48" s="510">
        <v>31.5</v>
      </c>
      <c r="F48" s="637" t="s">
        <v>12664</v>
      </c>
      <c r="G48" s="478" t="s">
        <v>388</v>
      </c>
      <c r="H48" s="510">
        <v>16</v>
      </c>
      <c r="I48" s="603"/>
      <c r="J48" s="485" t="s">
        <v>11164</v>
      </c>
      <c r="K48" s="661">
        <v>20.5</v>
      </c>
      <c r="L48" s="632"/>
      <c r="M48" s="499" t="s">
        <v>3243</v>
      </c>
      <c r="N48" s="661">
        <v>19.25</v>
      </c>
      <c r="O48" s="638"/>
      <c r="P48" s="479" t="s">
        <v>124</v>
      </c>
      <c r="Q48" s="480">
        <v>31.5</v>
      </c>
      <c r="R48" s="638"/>
      <c r="S48" s="394" t="s">
        <v>21</v>
      </c>
      <c r="T48" s="476">
        <v>30.25</v>
      </c>
      <c r="U48" s="602" t="s">
        <v>12664</v>
      </c>
      <c r="V48" s="485" t="s">
        <v>381</v>
      </c>
      <c r="W48" s="510">
        <v>27.5</v>
      </c>
      <c r="X48" s="637"/>
      <c r="Y48" s="123" t="s">
        <v>452</v>
      </c>
      <c r="Z48" s="176">
        <v>28.75</v>
      </c>
      <c r="AA48" s="637"/>
      <c r="AB48" s="94" t="s">
        <v>4076</v>
      </c>
      <c r="AC48" s="95">
        <v>28</v>
      </c>
      <c r="AD48" s="596" t="s">
        <v>12664</v>
      </c>
      <c r="AE48" s="478" t="s">
        <v>242</v>
      </c>
      <c r="AF48" s="98">
        <v>19.25</v>
      </c>
      <c r="AG48" s="627"/>
      <c r="AH48" s="478" t="s">
        <v>175</v>
      </c>
      <c r="AI48" s="501">
        <v>21.25</v>
      </c>
      <c r="AJ48" s="597"/>
      <c r="AK48" s="505" t="s">
        <v>246</v>
      </c>
      <c r="AL48" s="501">
        <v>16</v>
      </c>
      <c r="AM48" s="597"/>
      <c r="AN48" s="101"/>
      <c r="AO48" s="101"/>
      <c r="AP48" s="100"/>
      <c r="AQ48" s="100"/>
      <c r="AR48" s="100"/>
      <c r="AS48" s="470"/>
      <c r="AW48" s="4"/>
      <c r="AX48" s="4"/>
    </row>
    <row r="49" spans="1:50" ht="15.75" thickBot="1" x14ac:dyDescent="0.3">
      <c r="A49" s="644" t="s">
        <v>355</v>
      </c>
      <c r="B49" s="635">
        <v>16</v>
      </c>
      <c r="C49" s="674"/>
      <c r="D49" s="478" t="s">
        <v>238</v>
      </c>
      <c r="E49" s="510">
        <v>31.25</v>
      </c>
      <c r="F49" s="637"/>
      <c r="G49" s="478" t="s">
        <v>388</v>
      </c>
      <c r="H49" s="510">
        <v>16</v>
      </c>
      <c r="I49" s="603"/>
      <c r="J49" s="485" t="s">
        <v>27</v>
      </c>
      <c r="K49" s="661">
        <v>20.75</v>
      </c>
      <c r="L49" s="632"/>
      <c r="M49" s="499" t="s">
        <v>4488</v>
      </c>
      <c r="N49" s="661">
        <v>18.75</v>
      </c>
      <c r="O49" s="638"/>
      <c r="P49" s="479" t="s">
        <v>917</v>
      </c>
      <c r="Q49" s="480">
        <v>27</v>
      </c>
      <c r="R49" s="638"/>
      <c r="S49" s="396" t="s">
        <v>21</v>
      </c>
      <c r="T49" s="480">
        <v>30.25</v>
      </c>
      <c r="U49" s="603"/>
      <c r="V49" s="485" t="s">
        <v>47</v>
      </c>
      <c r="W49" s="510">
        <v>26.75</v>
      </c>
      <c r="X49" s="637"/>
      <c r="Y49" s="660" t="s">
        <v>410</v>
      </c>
      <c r="Z49" s="397">
        <v>27.25</v>
      </c>
      <c r="AA49" s="637"/>
      <c r="AB49" s="396" t="s">
        <v>324</v>
      </c>
      <c r="AC49" s="93">
        <v>22</v>
      </c>
      <c r="AD49" s="597"/>
      <c r="AE49" s="485" t="s">
        <v>5392</v>
      </c>
      <c r="AF49" s="99">
        <v>20.25</v>
      </c>
      <c r="AG49" s="627"/>
      <c r="AH49" s="478" t="s">
        <v>81</v>
      </c>
      <c r="AI49" s="501">
        <v>21.25</v>
      </c>
      <c r="AJ49" s="597"/>
      <c r="AK49" s="505" t="s">
        <v>180</v>
      </c>
      <c r="AL49" s="501">
        <v>15.75</v>
      </c>
      <c r="AM49" s="597"/>
      <c r="AN49" s="101"/>
      <c r="AO49" s="101"/>
      <c r="AP49" s="100"/>
      <c r="AQ49" s="100"/>
      <c r="AR49" s="100"/>
      <c r="AS49" s="470"/>
      <c r="AW49" s="4"/>
      <c r="AX49" s="4"/>
    </row>
    <row r="50" spans="1:50" ht="15.75" thickBot="1" x14ac:dyDescent="0.3">
      <c r="A50" s="644" t="s">
        <v>383</v>
      </c>
      <c r="B50" s="635">
        <v>16</v>
      </c>
      <c r="C50" s="674"/>
      <c r="D50" s="478" t="s">
        <v>404</v>
      </c>
      <c r="E50" s="510">
        <v>31</v>
      </c>
      <c r="F50" s="637"/>
      <c r="G50" s="488" t="s">
        <v>204</v>
      </c>
      <c r="H50" s="508">
        <v>23.25</v>
      </c>
      <c r="I50" s="602" t="s">
        <v>12664</v>
      </c>
      <c r="J50" s="485" t="s">
        <v>242</v>
      </c>
      <c r="K50" s="661">
        <v>19.25</v>
      </c>
      <c r="L50" s="632"/>
      <c r="M50" s="98" t="s">
        <v>3640</v>
      </c>
      <c r="N50" s="661">
        <v>18.75</v>
      </c>
      <c r="O50" s="638"/>
      <c r="P50" s="479" t="s">
        <v>3481</v>
      </c>
      <c r="Q50" s="480">
        <v>27</v>
      </c>
      <c r="R50" s="638"/>
      <c r="S50" s="396" t="s">
        <v>21</v>
      </c>
      <c r="T50" s="480">
        <v>30.25</v>
      </c>
      <c r="U50" s="603"/>
      <c r="V50" s="485" t="s">
        <v>79</v>
      </c>
      <c r="W50" s="510">
        <v>22.25</v>
      </c>
      <c r="X50" s="637"/>
      <c r="Y50" s="123" t="s">
        <v>410</v>
      </c>
      <c r="Z50" s="176">
        <v>27.25</v>
      </c>
      <c r="AA50" s="637"/>
      <c r="AB50" s="97" t="s">
        <v>5079</v>
      </c>
      <c r="AC50" s="98">
        <v>26.25</v>
      </c>
      <c r="AD50" s="597"/>
      <c r="AE50" s="478" t="s">
        <v>339</v>
      </c>
      <c r="AF50" s="99">
        <v>19.25</v>
      </c>
      <c r="AG50" s="627"/>
      <c r="AH50" s="485" t="s">
        <v>437</v>
      </c>
      <c r="AI50" s="501">
        <v>19.5</v>
      </c>
      <c r="AJ50" s="597"/>
      <c r="AK50" s="505" t="s">
        <v>173</v>
      </c>
      <c r="AL50" s="501">
        <v>14.75</v>
      </c>
      <c r="AM50" s="597"/>
      <c r="AN50" s="101"/>
      <c r="AO50" s="101"/>
      <c r="AP50" s="100"/>
      <c r="AQ50" s="100"/>
      <c r="AR50" s="100"/>
      <c r="AS50" s="470"/>
      <c r="AW50" s="4"/>
      <c r="AX50" s="4"/>
    </row>
    <row r="51" spans="1:50" ht="15.75" thickBot="1" x14ac:dyDescent="0.3">
      <c r="A51" s="642" t="s">
        <v>52</v>
      </c>
      <c r="B51" s="643">
        <v>27</v>
      </c>
      <c r="C51" s="673" t="s">
        <v>12664</v>
      </c>
      <c r="D51" s="485" t="s">
        <v>404</v>
      </c>
      <c r="E51" s="510">
        <v>31</v>
      </c>
      <c r="F51" s="637"/>
      <c r="G51" s="509" t="s">
        <v>47</v>
      </c>
      <c r="H51" s="482">
        <v>26.75</v>
      </c>
      <c r="I51" s="603"/>
      <c r="J51" s="486" t="s">
        <v>326</v>
      </c>
      <c r="K51" s="662">
        <v>3</v>
      </c>
      <c r="L51" s="633"/>
      <c r="M51" s="98" t="s">
        <v>4198</v>
      </c>
      <c r="N51" s="661">
        <v>18.5</v>
      </c>
      <c r="O51" s="638"/>
      <c r="P51" s="479" t="s">
        <v>1842</v>
      </c>
      <c r="Q51" s="480">
        <v>26.5</v>
      </c>
      <c r="R51" s="638"/>
      <c r="S51" s="96" t="s">
        <v>5079</v>
      </c>
      <c r="T51" s="480">
        <v>26.25</v>
      </c>
      <c r="U51" s="603"/>
      <c r="V51" s="485" t="s">
        <v>5511</v>
      </c>
      <c r="W51" s="510">
        <v>22.25</v>
      </c>
      <c r="X51" s="637"/>
      <c r="Y51" s="478" t="s">
        <v>378</v>
      </c>
      <c r="Z51" s="481">
        <v>20</v>
      </c>
      <c r="AA51" s="637"/>
      <c r="AB51" s="96" t="s">
        <v>4993</v>
      </c>
      <c r="AC51" s="93">
        <v>26.25</v>
      </c>
      <c r="AD51" s="597"/>
      <c r="AE51" s="478" t="s">
        <v>4223</v>
      </c>
      <c r="AF51" s="98">
        <v>19</v>
      </c>
      <c r="AG51" s="627"/>
      <c r="AH51" s="485" t="s">
        <v>215</v>
      </c>
      <c r="AI51" s="501">
        <v>19.5</v>
      </c>
      <c r="AJ51" s="597"/>
      <c r="AK51" s="471" t="s">
        <v>395</v>
      </c>
      <c r="AL51" s="500">
        <v>20.25</v>
      </c>
      <c r="AM51" s="596" t="s">
        <v>12664</v>
      </c>
      <c r="AN51" s="101"/>
      <c r="AO51" s="101"/>
      <c r="AP51" s="100"/>
      <c r="AQ51" s="100"/>
      <c r="AR51" s="100"/>
      <c r="AS51" s="470"/>
      <c r="AW51" s="4"/>
      <c r="AX51" s="4"/>
    </row>
    <row r="52" spans="1:50" ht="15.75" thickBot="1" x14ac:dyDescent="0.3">
      <c r="A52" s="645" t="s">
        <v>279</v>
      </c>
      <c r="B52" s="636">
        <v>27</v>
      </c>
      <c r="C52" s="674"/>
      <c r="D52" s="478" t="s">
        <v>249</v>
      </c>
      <c r="E52" s="510">
        <v>30.25</v>
      </c>
      <c r="F52" s="637"/>
      <c r="G52" s="484" t="s">
        <v>204</v>
      </c>
      <c r="H52" s="482">
        <v>23.25</v>
      </c>
      <c r="I52" s="603"/>
      <c r="J52" s="471" t="s">
        <v>277</v>
      </c>
      <c r="K52" s="663">
        <v>24.75</v>
      </c>
      <c r="L52" s="631" t="s">
        <v>12664</v>
      </c>
      <c r="M52" s="499" t="s">
        <v>5443</v>
      </c>
      <c r="N52" s="661">
        <v>18</v>
      </c>
      <c r="O52" s="638"/>
      <c r="P52" s="504" t="s">
        <v>3836</v>
      </c>
      <c r="Q52" s="495">
        <v>24.5</v>
      </c>
      <c r="R52" s="655"/>
      <c r="S52" s="396" t="s">
        <v>351</v>
      </c>
      <c r="T52" s="480">
        <v>25.5</v>
      </c>
      <c r="U52" s="603"/>
      <c r="V52" s="489" t="s">
        <v>152</v>
      </c>
      <c r="W52" s="487">
        <v>8.25</v>
      </c>
      <c r="X52" s="650"/>
      <c r="Y52" s="478" t="s">
        <v>359</v>
      </c>
      <c r="Z52" s="481">
        <v>19.5</v>
      </c>
      <c r="AA52" s="637"/>
      <c r="AB52" s="396" t="s">
        <v>324</v>
      </c>
      <c r="AC52" s="93">
        <v>22</v>
      </c>
      <c r="AD52" s="597"/>
      <c r="AE52" s="478" t="s">
        <v>406</v>
      </c>
      <c r="AF52" s="99">
        <v>16.75</v>
      </c>
      <c r="AG52" s="627"/>
      <c r="AH52" s="489" t="s">
        <v>5260</v>
      </c>
      <c r="AI52" s="503">
        <v>15.75</v>
      </c>
      <c r="AJ52" s="601"/>
      <c r="AK52" s="478" t="s">
        <v>437</v>
      </c>
      <c r="AL52" s="501">
        <v>19.5</v>
      </c>
      <c r="AM52" s="597"/>
      <c r="AN52" s="136"/>
      <c r="AO52" s="136"/>
      <c r="AP52" s="470"/>
      <c r="AQ52" s="470"/>
      <c r="AR52" s="470"/>
      <c r="AS52" s="470"/>
      <c r="AT52" s="470"/>
      <c r="AU52" s="470"/>
      <c r="AV52" s="136"/>
      <c r="AW52" s="4"/>
      <c r="AX52" s="4"/>
    </row>
    <row r="53" spans="1:50" ht="15.75" thickBot="1" x14ac:dyDescent="0.3">
      <c r="A53" s="645" t="s">
        <v>147</v>
      </c>
      <c r="B53" s="636">
        <v>26.75</v>
      </c>
      <c r="C53" s="674"/>
      <c r="D53" s="478" t="s">
        <v>3078</v>
      </c>
      <c r="E53" s="510">
        <v>13</v>
      </c>
      <c r="F53" s="637"/>
      <c r="G53" s="484" t="s">
        <v>5511</v>
      </c>
      <c r="H53" s="482">
        <v>22.25</v>
      </c>
      <c r="I53" s="603"/>
      <c r="J53" s="485" t="s">
        <v>306</v>
      </c>
      <c r="K53" s="661">
        <v>21.5</v>
      </c>
      <c r="L53" s="632"/>
      <c r="M53" s="98"/>
      <c r="N53" s="661"/>
      <c r="O53" s="638"/>
      <c r="P53" s="479" t="s">
        <v>428</v>
      </c>
      <c r="Q53" s="480">
        <v>31.25</v>
      </c>
      <c r="R53" s="638" t="s">
        <v>12664</v>
      </c>
      <c r="S53" s="502" t="s">
        <v>351</v>
      </c>
      <c r="T53" s="495">
        <v>25.5</v>
      </c>
      <c r="U53" s="604"/>
      <c r="V53" s="471" t="s">
        <v>452</v>
      </c>
      <c r="W53" s="516">
        <v>28.75</v>
      </c>
      <c r="X53" s="653" t="s">
        <v>12664</v>
      </c>
      <c r="Y53" s="478" t="s">
        <v>414</v>
      </c>
      <c r="Z53" s="481">
        <v>16.5</v>
      </c>
      <c r="AA53" s="637"/>
      <c r="AB53" s="96" t="s">
        <v>5079</v>
      </c>
      <c r="AC53" s="93">
        <v>26.25</v>
      </c>
      <c r="AD53" s="597"/>
      <c r="AE53" s="478" t="s">
        <v>319</v>
      </c>
      <c r="AF53" s="99">
        <v>15.75</v>
      </c>
      <c r="AG53" s="627"/>
      <c r="AH53" s="469" t="s">
        <v>373</v>
      </c>
      <c r="AI53" s="501">
        <v>25.75</v>
      </c>
      <c r="AJ53" s="600" t="s">
        <v>12664</v>
      </c>
      <c r="AK53" s="478" t="s">
        <v>215</v>
      </c>
      <c r="AL53" s="501">
        <v>19.5</v>
      </c>
      <c r="AM53" s="597"/>
      <c r="AN53" s="136"/>
      <c r="AO53" s="136"/>
      <c r="AP53" s="470"/>
      <c r="AQ53" s="470"/>
      <c r="AR53" s="470"/>
      <c r="AS53" s="470"/>
      <c r="AT53" s="470"/>
      <c r="AU53" s="470"/>
      <c r="AV53" s="136"/>
      <c r="AW53" s="4"/>
      <c r="AX53" s="4"/>
    </row>
    <row r="54" spans="1:50" ht="15.75" thickBot="1" x14ac:dyDescent="0.3">
      <c r="A54" s="645" t="s">
        <v>147</v>
      </c>
      <c r="B54" s="636">
        <v>26.75</v>
      </c>
      <c r="C54" s="674"/>
      <c r="D54" s="478" t="s">
        <v>219</v>
      </c>
      <c r="E54" s="510">
        <v>30.25</v>
      </c>
      <c r="F54" s="637" t="s">
        <v>12664</v>
      </c>
      <c r="G54" s="478" t="s">
        <v>3950</v>
      </c>
      <c r="H54" s="510">
        <v>12.25</v>
      </c>
      <c r="I54" s="603"/>
      <c r="J54" s="478" t="s">
        <v>157</v>
      </c>
      <c r="K54" s="483">
        <v>21</v>
      </c>
      <c r="L54" s="632"/>
      <c r="M54" s="514" t="s">
        <v>4990</v>
      </c>
      <c r="N54" s="476">
        <v>27</v>
      </c>
      <c r="O54" s="654" t="s">
        <v>12664</v>
      </c>
      <c r="P54" s="479" t="s">
        <v>5192</v>
      </c>
      <c r="Q54" s="480">
        <v>31</v>
      </c>
      <c r="R54" s="638"/>
      <c r="S54" s="96" t="s">
        <v>4649</v>
      </c>
      <c r="T54" s="480">
        <v>29.25</v>
      </c>
      <c r="U54" s="602" t="s">
        <v>12664</v>
      </c>
      <c r="V54" s="485" t="s">
        <v>259</v>
      </c>
      <c r="W54" s="510">
        <v>28.75</v>
      </c>
      <c r="X54" s="637"/>
      <c r="Y54" s="94" t="s">
        <v>4884</v>
      </c>
      <c r="Z54" s="476">
        <v>24.75</v>
      </c>
      <c r="AA54" s="651" t="s">
        <v>12664</v>
      </c>
      <c r="AB54" s="491" t="s">
        <v>2972</v>
      </c>
      <c r="AC54" s="490">
        <v>17.25</v>
      </c>
      <c r="AD54" s="601"/>
      <c r="AE54" s="478" t="s">
        <v>1755</v>
      </c>
      <c r="AF54" s="99">
        <v>13.25</v>
      </c>
      <c r="AG54" s="627"/>
      <c r="AH54" s="469" t="s">
        <v>15</v>
      </c>
      <c r="AI54" s="501">
        <v>25.25</v>
      </c>
      <c r="AJ54" s="598"/>
      <c r="AK54" s="485" t="s">
        <v>395</v>
      </c>
      <c r="AL54" s="501">
        <v>20.25</v>
      </c>
      <c r="AM54" s="597"/>
    </row>
    <row r="55" spans="1:50" ht="15.75" thickBot="1" x14ac:dyDescent="0.3">
      <c r="A55" s="645" t="s">
        <v>147</v>
      </c>
      <c r="B55" s="636">
        <v>26.75</v>
      </c>
      <c r="C55" s="674"/>
      <c r="D55" s="478" t="s">
        <v>5625</v>
      </c>
      <c r="E55" s="510">
        <v>29</v>
      </c>
      <c r="F55" s="637"/>
      <c r="G55" s="484" t="s">
        <v>204</v>
      </c>
      <c r="H55" s="482">
        <v>23.25</v>
      </c>
      <c r="I55" s="603"/>
      <c r="J55" s="485" t="s">
        <v>27</v>
      </c>
      <c r="K55" s="661">
        <v>20.75</v>
      </c>
      <c r="L55" s="632"/>
      <c r="M55" s="499" t="s">
        <v>3419</v>
      </c>
      <c r="N55" s="480">
        <v>26.75</v>
      </c>
      <c r="O55" s="638"/>
      <c r="P55" s="479" t="s">
        <v>5532</v>
      </c>
      <c r="Q55" s="480">
        <v>28</v>
      </c>
      <c r="R55" s="638"/>
      <c r="S55" s="96" t="s">
        <v>4649</v>
      </c>
      <c r="T55" s="480">
        <v>29.25</v>
      </c>
      <c r="U55" s="603"/>
      <c r="V55" s="485" t="s">
        <v>259</v>
      </c>
      <c r="W55" s="510">
        <v>28.75</v>
      </c>
      <c r="X55" s="637"/>
      <c r="Y55" s="97" t="s">
        <v>3964</v>
      </c>
      <c r="Z55" s="483">
        <v>24.75</v>
      </c>
      <c r="AA55" s="639"/>
      <c r="AB55" s="473" t="s">
        <v>2793</v>
      </c>
      <c r="AC55" s="474">
        <v>29</v>
      </c>
      <c r="AD55" s="596" t="s">
        <v>12664</v>
      </c>
      <c r="AE55" s="486" t="s">
        <v>266</v>
      </c>
      <c r="AF55" s="490">
        <v>4</v>
      </c>
      <c r="AG55" s="628"/>
      <c r="AH55" s="469" t="s">
        <v>304</v>
      </c>
      <c r="AI55" s="501">
        <v>21</v>
      </c>
      <c r="AJ55" s="598"/>
      <c r="AK55" s="478" t="s">
        <v>5611</v>
      </c>
      <c r="AL55" s="501">
        <v>19</v>
      </c>
      <c r="AM55" s="597"/>
    </row>
    <row r="56" spans="1:50" x14ac:dyDescent="0.25">
      <c r="A56" s="644" t="s">
        <v>448</v>
      </c>
      <c r="B56" s="635">
        <v>17.5</v>
      </c>
      <c r="C56" s="674"/>
      <c r="D56" s="478" t="s">
        <v>5497</v>
      </c>
      <c r="E56" s="510">
        <v>29</v>
      </c>
      <c r="F56" s="637"/>
      <c r="G56" s="509" t="s">
        <v>93</v>
      </c>
      <c r="H56" s="482">
        <v>20.25</v>
      </c>
      <c r="I56" s="603"/>
      <c r="J56" s="485" t="s">
        <v>248</v>
      </c>
      <c r="K56" s="661">
        <v>20.75</v>
      </c>
      <c r="L56" s="632"/>
      <c r="M56" s="98" t="s">
        <v>4863</v>
      </c>
      <c r="N56" s="483">
        <v>26.75</v>
      </c>
      <c r="O56" s="638"/>
      <c r="P56" s="479" t="s">
        <v>3481</v>
      </c>
      <c r="Q56" s="480">
        <v>27</v>
      </c>
      <c r="R56" s="638"/>
      <c r="S56" s="97" t="s">
        <v>3595</v>
      </c>
      <c r="T56" s="483">
        <v>29.25</v>
      </c>
      <c r="U56" s="603"/>
      <c r="V56" s="485" t="s">
        <v>259</v>
      </c>
      <c r="W56" s="510">
        <v>28.75</v>
      </c>
      <c r="X56" s="637"/>
      <c r="Y56" s="96" t="s">
        <v>3964</v>
      </c>
      <c r="Z56" s="480">
        <v>24.75</v>
      </c>
      <c r="AA56" s="639"/>
      <c r="AB56" s="96" t="s">
        <v>3889</v>
      </c>
      <c r="AC56" s="93">
        <v>28.75</v>
      </c>
      <c r="AD56" s="597"/>
      <c r="AE56" s="471" t="s">
        <v>5443</v>
      </c>
      <c r="AF56" s="500">
        <v>18</v>
      </c>
      <c r="AG56" s="555" t="s">
        <v>12664</v>
      </c>
      <c r="AH56" s="505" t="s">
        <v>304</v>
      </c>
      <c r="AI56" s="501">
        <v>21</v>
      </c>
      <c r="AJ56" s="598"/>
      <c r="AK56" s="485" t="s">
        <v>450</v>
      </c>
      <c r="AL56" s="501">
        <v>19</v>
      </c>
      <c r="AM56" s="597"/>
    </row>
    <row r="57" spans="1:50" ht="15.75" thickBot="1" x14ac:dyDescent="0.3">
      <c r="A57" s="646" t="s">
        <v>300</v>
      </c>
      <c r="B57" s="672">
        <v>16.25</v>
      </c>
      <c r="C57" s="675"/>
      <c r="D57" s="478" t="s">
        <v>4429</v>
      </c>
      <c r="E57" s="510">
        <v>29</v>
      </c>
      <c r="F57" s="637"/>
      <c r="G57" s="511" t="s">
        <v>5196</v>
      </c>
      <c r="H57" s="512">
        <v>16.75</v>
      </c>
      <c r="I57" s="604"/>
      <c r="J57" s="485" t="s">
        <v>157</v>
      </c>
      <c r="K57" s="661">
        <v>21</v>
      </c>
      <c r="L57" s="632"/>
      <c r="M57" s="499" t="s">
        <v>5443</v>
      </c>
      <c r="N57" s="661">
        <v>18</v>
      </c>
      <c r="O57" s="638"/>
      <c r="P57" s="479" t="s">
        <v>3225</v>
      </c>
      <c r="Q57" s="480">
        <v>25.5</v>
      </c>
      <c r="R57" s="638"/>
      <c r="S57" s="96" t="s">
        <v>4412</v>
      </c>
      <c r="T57" s="480">
        <v>23</v>
      </c>
      <c r="U57" s="603"/>
      <c r="V57" s="485" t="s">
        <v>328</v>
      </c>
      <c r="W57" s="510">
        <v>21.75</v>
      </c>
      <c r="X57" s="637"/>
      <c r="Y57" s="97" t="s">
        <v>3739</v>
      </c>
      <c r="Z57" s="483">
        <v>24.25</v>
      </c>
      <c r="AA57" s="639"/>
      <c r="AB57" s="97" t="s">
        <v>4960</v>
      </c>
      <c r="AC57" s="98">
        <v>28.5</v>
      </c>
      <c r="AD57" s="597"/>
      <c r="AE57" s="478" t="s">
        <v>4494</v>
      </c>
      <c r="AF57" s="501">
        <v>16</v>
      </c>
      <c r="AG57" s="556"/>
      <c r="AH57" s="505" t="s">
        <v>304</v>
      </c>
      <c r="AI57" s="501">
        <v>21</v>
      </c>
      <c r="AJ57" s="598"/>
      <c r="AK57" s="485" t="s">
        <v>316</v>
      </c>
      <c r="AL57" s="501">
        <v>18.5</v>
      </c>
      <c r="AM57" s="597"/>
    </row>
    <row r="58" spans="1:50" ht="15.75" thickBot="1" x14ac:dyDescent="0.3">
      <c r="A58" s="645" t="s">
        <v>15</v>
      </c>
      <c r="B58" s="636">
        <v>25.25</v>
      </c>
      <c r="C58" s="674" t="s">
        <v>12664</v>
      </c>
      <c r="D58" s="485" t="s">
        <v>5625</v>
      </c>
      <c r="E58" s="510">
        <v>29</v>
      </c>
      <c r="F58" s="637"/>
      <c r="G58" s="509" t="s">
        <v>47</v>
      </c>
      <c r="H58" s="482">
        <v>26.75</v>
      </c>
      <c r="I58" s="603" t="s">
        <v>12664</v>
      </c>
      <c r="J58" s="485" t="s">
        <v>242</v>
      </c>
      <c r="K58" s="661">
        <v>19.25</v>
      </c>
      <c r="L58" s="632"/>
      <c r="M58" s="499" t="s">
        <v>5128</v>
      </c>
      <c r="N58" s="661">
        <v>17.75</v>
      </c>
      <c r="O58" s="638"/>
      <c r="P58" s="479" t="s">
        <v>3307</v>
      </c>
      <c r="Q58" s="480">
        <v>25.25</v>
      </c>
      <c r="R58" s="638"/>
      <c r="S58" s="97" t="s">
        <v>402</v>
      </c>
      <c r="T58" s="483">
        <v>22</v>
      </c>
      <c r="U58" s="603"/>
      <c r="V58" s="478" t="s">
        <v>419</v>
      </c>
      <c r="W58" s="510">
        <v>18.5</v>
      </c>
      <c r="X58" s="637"/>
      <c r="Y58" s="97" t="s">
        <v>4052</v>
      </c>
      <c r="Z58" s="483">
        <v>23.75</v>
      </c>
      <c r="AA58" s="639"/>
      <c r="AB58" s="96" t="s">
        <v>4960</v>
      </c>
      <c r="AC58" s="98">
        <v>28.5</v>
      </c>
      <c r="AD58" s="597"/>
      <c r="AE58" s="478" t="s">
        <v>4993</v>
      </c>
      <c r="AF58" s="469">
        <v>26.25</v>
      </c>
      <c r="AG58" s="556"/>
      <c r="AH58" s="469" t="s">
        <v>113</v>
      </c>
      <c r="AI58" s="501">
        <v>20.75</v>
      </c>
      <c r="AJ58" s="598"/>
      <c r="AK58" s="485" t="s">
        <v>58</v>
      </c>
      <c r="AL58" s="501">
        <v>18</v>
      </c>
      <c r="AM58" s="597"/>
    </row>
    <row r="59" spans="1:50" ht="15.75" thickBot="1" x14ac:dyDescent="0.3">
      <c r="A59" s="645" t="s">
        <v>385</v>
      </c>
      <c r="B59" s="636">
        <v>24.75</v>
      </c>
      <c r="C59" s="674"/>
      <c r="D59" s="478" t="s">
        <v>328</v>
      </c>
      <c r="E59" s="510">
        <v>21.75</v>
      </c>
      <c r="F59" s="637"/>
      <c r="G59" s="509" t="s">
        <v>79</v>
      </c>
      <c r="H59" s="482">
        <v>22.25</v>
      </c>
      <c r="I59" s="603"/>
      <c r="J59" s="489" t="s">
        <v>4962</v>
      </c>
      <c r="K59" s="662">
        <v>19</v>
      </c>
      <c r="L59" s="633"/>
      <c r="M59" s="499" t="s">
        <v>5663</v>
      </c>
      <c r="N59" s="661">
        <v>17.5</v>
      </c>
      <c r="O59" s="638"/>
      <c r="P59" s="473" t="s">
        <v>428</v>
      </c>
      <c r="Q59" s="515">
        <v>31.25</v>
      </c>
      <c r="R59" s="665" t="s">
        <v>12664</v>
      </c>
      <c r="S59" s="97" t="s">
        <v>126</v>
      </c>
      <c r="T59" s="483">
        <v>19.75</v>
      </c>
      <c r="U59" s="603"/>
      <c r="V59" s="489" t="s">
        <v>4756</v>
      </c>
      <c r="W59" s="487">
        <v>12.75</v>
      </c>
      <c r="X59" s="650"/>
      <c r="Y59" s="97" t="s">
        <v>5487</v>
      </c>
      <c r="Z59" s="483">
        <v>23.5</v>
      </c>
      <c r="AA59" s="639"/>
      <c r="AB59" s="96" t="s">
        <v>4960</v>
      </c>
      <c r="AC59" s="98">
        <v>28.5</v>
      </c>
      <c r="AD59" s="597"/>
      <c r="AE59" s="485" t="s">
        <v>4642</v>
      </c>
      <c r="AF59" s="52">
        <v>22.25</v>
      </c>
      <c r="AG59" s="556"/>
      <c r="AH59" s="469" t="s">
        <v>399</v>
      </c>
      <c r="AI59" s="501">
        <v>20.5</v>
      </c>
      <c r="AJ59" s="598"/>
      <c r="AK59" s="489" t="s">
        <v>5639</v>
      </c>
      <c r="AL59" s="503">
        <v>14</v>
      </c>
      <c r="AM59" s="601"/>
    </row>
    <row r="60" spans="1:50" ht="15.75" thickBot="1" x14ac:dyDescent="0.3">
      <c r="A60" s="645" t="s">
        <v>385</v>
      </c>
      <c r="B60" s="636">
        <v>24.75</v>
      </c>
      <c r="C60" s="674"/>
      <c r="D60" s="506" t="s">
        <v>5497</v>
      </c>
      <c r="E60" s="516">
        <v>29</v>
      </c>
      <c r="F60" s="653" t="s">
        <v>12664</v>
      </c>
      <c r="G60" s="484" t="s">
        <v>5511</v>
      </c>
      <c r="H60" s="482">
        <v>22.25</v>
      </c>
      <c r="I60" s="603"/>
      <c r="J60" s="471" t="s">
        <v>259</v>
      </c>
      <c r="K60" s="516">
        <v>28.75</v>
      </c>
      <c r="L60" s="602" t="s">
        <v>12664</v>
      </c>
      <c r="M60" s="499" t="s">
        <v>5221</v>
      </c>
      <c r="N60" s="661">
        <v>17.5</v>
      </c>
      <c r="O60" s="638"/>
      <c r="P60" s="96" t="s">
        <v>3398</v>
      </c>
      <c r="Q60" s="661">
        <v>29.75</v>
      </c>
      <c r="R60" s="640"/>
      <c r="S60" s="396" t="s">
        <v>435</v>
      </c>
      <c r="T60" s="480">
        <v>15.5</v>
      </c>
      <c r="U60" s="603"/>
      <c r="V60" s="642" t="s">
        <v>349</v>
      </c>
      <c r="W60" s="656">
        <v>32</v>
      </c>
      <c r="X60" s="653" t="s">
        <v>12664</v>
      </c>
      <c r="Y60" s="97" t="s">
        <v>426</v>
      </c>
      <c r="Z60" s="483">
        <v>22.25</v>
      </c>
      <c r="AA60" s="652"/>
      <c r="AB60" s="491" t="s">
        <v>4884</v>
      </c>
      <c r="AC60" s="492">
        <v>24.75</v>
      </c>
      <c r="AD60" s="601"/>
      <c r="AE60" s="485" t="s">
        <v>4609</v>
      </c>
      <c r="AF60" s="501">
        <v>18</v>
      </c>
      <c r="AG60" s="556"/>
      <c r="AH60" s="525" t="s">
        <v>4756</v>
      </c>
      <c r="AI60" s="503">
        <v>12.75</v>
      </c>
      <c r="AJ60" s="601"/>
      <c r="AK60" s="478" t="s">
        <v>256</v>
      </c>
      <c r="AL60" s="469">
        <v>30.5</v>
      </c>
      <c r="AM60" s="596" t="s">
        <v>12664</v>
      </c>
    </row>
    <row r="61" spans="1:50" x14ac:dyDescent="0.25">
      <c r="A61" s="645" t="s">
        <v>385</v>
      </c>
      <c r="B61" s="636">
        <v>24.75</v>
      </c>
      <c r="C61" s="674"/>
      <c r="D61" s="485" t="s">
        <v>5625</v>
      </c>
      <c r="E61" s="510">
        <v>29</v>
      </c>
      <c r="F61" s="637"/>
      <c r="G61" s="509" t="s">
        <v>309</v>
      </c>
      <c r="H61" s="482">
        <v>19.5</v>
      </c>
      <c r="I61" s="603"/>
      <c r="J61" s="478" t="s">
        <v>5608</v>
      </c>
      <c r="K61" s="510">
        <v>28.5</v>
      </c>
      <c r="L61" s="603"/>
      <c r="M61" s="499" t="s">
        <v>5395</v>
      </c>
      <c r="N61" s="661">
        <v>16.75</v>
      </c>
      <c r="O61" s="638"/>
      <c r="P61" s="97" t="s">
        <v>5021</v>
      </c>
      <c r="Q61" s="483">
        <v>28.75</v>
      </c>
      <c r="R61" s="640"/>
      <c r="S61" s="94" t="s">
        <v>3595</v>
      </c>
      <c r="T61" s="476">
        <v>29.25</v>
      </c>
      <c r="U61" s="667" t="s">
        <v>12664</v>
      </c>
      <c r="V61" s="644" t="s">
        <v>349</v>
      </c>
      <c r="W61" s="657">
        <v>32</v>
      </c>
      <c r="X61" s="637"/>
      <c r="Y61" s="94" t="s">
        <v>2710</v>
      </c>
      <c r="Z61" s="476">
        <v>31.25</v>
      </c>
      <c r="AA61" s="602" t="s">
        <v>12664</v>
      </c>
      <c r="AB61" s="48"/>
      <c r="AC61" s="48"/>
      <c r="AD61" s="48"/>
      <c r="AE61" s="478" t="s">
        <v>3419</v>
      </c>
      <c r="AF61" s="469">
        <v>26.75</v>
      </c>
      <c r="AG61" s="556"/>
      <c r="AH61" s="37"/>
      <c r="AI61" s="37"/>
      <c r="AJ61" s="37"/>
      <c r="AK61" s="485" t="s">
        <v>256</v>
      </c>
      <c r="AL61" s="501">
        <v>30.5</v>
      </c>
      <c r="AM61" s="597"/>
    </row>
    <row r="62" spans="1:50" ht="15.75" thickBot="1" x14ac:dyDescent="0.3">
      <c r="A62" s="644" t="s">
        <v>277</v>
      </c>
      <c r="B62" s="635">
        <v>24.75</v>
      </c>
      <c r="C62" s="674"/>
      <c r="D62" s="485" t="s">
        <v>5497</v>
      </c>
      <c r="E62" s="510">
        <v>29</v>
      </c>
      <c r="F62" s="637"/>
      <c r="G62" s="509" t="s">
        <v>79</v>
      </c>
      <c r="H62" s="482">
        <v>22.25</v>
      </c>
      <c r="I62" s="603"/>
      <c r="J62" s="485" t="s">
        <v>5608</v>
      </c>
      <c r="K62" s="510">
        <v>28.5</v>
      </c>
      <c r="L62" s="603"/>
      <c r="M62" s="492"/>
      <c r="N62" s="662"/>
      <c r="O62" s="655"/>
      <c r="P62" s="96" t="s">
        <v>3992</v>
      </c>
      <c r="Q62" s="661">
        <v>28.25</v>
      </c>
      <c r="R62" s="640"/>
      <c r="S62" s="96" t="s">
        <v>426</v>
      </c>
      <c r="T62" s="480">
        <v>22.25</v>
      </c>
      <c r="U62" s="668"/>
      <c r="V62" s="645" t="s">
        <v>120</v>
      </c>
      <c r="W62" s="657">
        <v>19.75</v>
      </c>
      <c r="X62" s="637"/>
      <c r="Y62" s="97" t="s">
        <v>1656</v>
      </c>
      <c r="Z62" s="661">
        <v>17.75</v>
      </c>
      <c r="AA62" s="603"/>
      <c r="AB62" s="48"/>
      <c r="AC62" s="48"/>
      <c r="AD62" s="48"/>
      <c r="AE62" s="485" t="s">
        <v>4013</v>
      </c>
      <c r="AF62" s="501">
        <v>18</v>
      </c>
      <c r="AG62" s="556"/>
      <c r="AH62" s="37"/>
      <c r="AI62" s="37"/>
      <c r="AJ62" s="37"/>
      <c r="AK62" s="485" t="s">
        <v>137</v>
      </c>
      <c r="AL62" s="501">
        <v>29.5</v>
      </c>
      <c r="AM62" s="597"/>
    </row>
    <row r="63" spans="1:50" ht="15.75" thickBot="1" x14ac:dyDescent="0.3">
      <c r="A63" s="644" t="s">
        <v>361</v>
      </c>
      <c r="B63" s="635">
        <v>24.25</v>
      </c>
      <c r="C63" s="674"/>
      <c r="D63" s="485" t="s">
        <v>4429</v>
      </c>
      <c r="E63" s="510">
        <v>29</v>
      </c>
      <c r="F63" s="637"/>
      <c r="G63" s="484" t="s">
        <v>198</v>
      </c>
      <c r="H63" s="482">
        <v>19.25</v>
      </c>
      <c r="I63" s="603"/>
      <c r="J63" s="485" t="s">
        <v>5608</v>
      </c>
      <c r="K63" s="510">
        <v>28.5</v>
      </c>
      <c r="L63" s="603"/>
      <c r="P63" s="96" t="s">
        <v>227</v>
      </c>
      <c r="Q63" s="661">
        <v>26.75</v>
      </c>
      <c r="R63" s="640"/>
      <c r="S63" s="97" t="s">
        <v>3107</v>
      </c>
      <c r="T63" s="483">
        <v>24</v>
      </c>
      <c r="U63" s="668"/>
      <c r="V63" s="645" t="s">
        <v>12</v>
      </c>
      <c r="W63" s="657">
        <v>31.75</v>
      </c>
      <c r="X63" s="637"/>
      <c r="Y63" s="97" t="s">
        <v>4621</v>
      </c>
      <c r="Z63" s="480">
        <v>28</v>
      </c>
      <c r="AA63" s="603"/>
      <c r="AB63" s="48"/>
      <c r="AC63" s="48"/>
      <c r="AD63" s="48"/>
      <c r="AE63" s="511" t="s">
        <v>345</v>
      </c>
      <c r="AF63" s="497">
        <v>22.75</v>
      </c>
      <c r="AG63" s="557"/>
      <c r="AH63" s="37"/>
      <c r="AI63" s="37"/>
      <c r="AJ63" s="37"/>
      <c r="AK63" s="485" t="s">
        <v>4945</v>
      </c>
      <c r="AL63" s="501">
        <v>27.75</v>
      </c>
      <c r="AM63" s="597"/>
    </row>
    <row r="64" spans="1:50" ht="15.75" thickBot="1" x14ac:dyDescent="0.3">
      <c r="A64" s="646" t="s">
        <v>298</v>
      </c>
      <c r="B64" s="672">
        <v>19.5</v>
      </c>
      <c r="C64" s="675"/>
      <c r="D64" s="485" t="s">
        <v>368</v>
      </c>
      <c r="E64" s="510">
        <v>20.5</v>
      </c>
      <c r="F64" s="637"/>
      <c r="G64" s="484" t="s">
        <v>3628</v>
      </c>
      <c r="H64" s="482">
        <v>18.25</v>
      </c>
      <c r="I64" s="603"/>
      <c r="J64" s="478" t="s">
        <v>410</v>
      </c>
      <c r="K64" s="510">
        <v>27.25</v>
      </c>
      <c r="L64" s="603"/>
      <c r="P64" s="493" t="s">
        <v>3388</v>
      </c>
      <c r="Q64" s="662">
        <v>23.25</v>
      </c>
      <c r="R64" s="666"/>
      <c r="S64" s="96" t="s">
        <v>4052</v>
      </c>
      <c r="T64" s="480">
        <v>23.75</v>
      </c>
      <c r="U64" s="668"/>
      <c r="V64" s="645" t="s">
        <v>9</v>
      </c>
      <c r="W64" s="657">
        <v>31.5</v>
      </c>
      <c r="X64" s="637"/>
      <c r="Y64" s="96" t="s">
        <v>5663</v>
      </c>
      <c r="Z64" s="661">
        <v>17.5</v>
      </c>
      <c r="AA64" s="603"/>
      <c r="AB64" s="48"/>
      <c r="AC64" s="48"/>
      <c r="AD64" s="48"/>
      <c r="AE64" s="48"/>
      <c r="AF64" s="48"/>
      <c r="AG64" s="37"/>
      <c r="AH64" s="37"/>
      <c r="AI64" s="37"/>
      <c r="AJ64" s="37"/>
      <c r="AK64" s="485" t="s">
        <v>4738</v>
      </c>
      <c r="AL64" s="501">
        <v>26</v>
      </c>
      <c r="AM64" s="597"/>
    </row>
    <row r="65" spans="4:39" ht="15.75" thickBot="1" x14ac:dyDescent="0.3">
      <c r="D65" s="485" t="s">
        <v>154</v>
      </c>
      <c r="E65" s="510">
        <v>18.25</v>
      </c>
      <c r="F65" s="637"/>
      <c r="G65" s="511" t="s">
        <v>4814</v>
      </c>
      <c r="H65" s="512">
        <v>17.5</v>
      </c>
      <c r="I65" s="604"/>
      <c r="J65" s="486" t="s">
        <v>40</v>
      </c>
      <c r="K65" s="487">
        <v>26.5</v>
      </c>
      <c r="L65" s="604"/>
      <c r="R65" s="136"/>
      <c r="S65" s="96" t="s">
        <v>3739</v>
      </c>
      <c r="T65" s="480">
        <v>24.25</v>
      </c>
      <c r="U65" s="668"/>
      <c r="V65" s="649" t="s">
        <v>3</v>
      </c>
      <c r="W65" s="658">
        <v>21</v>
      </c>
      <c r="X65" s="650"/>
      <c r="Y65" s="97" t="s">
        <v>4076</v>
      </c>
      <c r="Z65" s="480">
        <v>28</v>
      </c>
      <c r="AA65" s="603"/>
      <c r="AB65" s="48"/>
      <c r="AC65" s="48"/>
      <c r="AD65" s="48"/>
      <c r="AE65" s="48"/>
      <c r="AF65" s="48"/>
      <c r="AG65" s="37"/>
      <c r="AH65" s="37"/>
      <c r="AI65" s="37"/>
      <c r="AJ65" s="37"/>
      <c r="AK65" s="489" t="s">
        <v>4464</v>
      </c>
      <c r="AL65" s="503">
        <v>23.75</v>
      </c>
      <c r="AM65" s="601"/>
    </row>
    <row r="66" spans="4:39" ht="15.75" thickBot="1" x14ac:dyDescent="0.3">
      <c r="D66" s="489" t="s">
        <v>1755</v>
      </c>
      <c r="E66" s="487">
        <v>13.25</v>
      </c>
      <c r="F66" s="604"/>
      <c r="R66" s="136"/>
      <c r="S66" s="96" t="s">
        <v>426</v>
      </c>
      <c r="T66" s="480">
        <v>22.25</v>
      </c>
      <c r="U66" s="668"/>
      <c r="V66" s="136"/>
      <c r="W66" s="136"/>
      <c r="Y66" s="96" t="s">
        <v>4621</v>
      </c>
      <c r="Z66" s="480">
        <v>28</v>
      </c>
      <c r="AA66" s="603"/>
      <c r="AB66" s="48"/>
      <c r="AC66" s="48"/>
      <c r="AD66" s="48"/>
      <c r="AE66" s="48"/>
      <c r="AF66" s="48"/>
      <c r="AG66" s="37"/>
      <c r="AH66" s="37"/>
      <c r="AI66" s="37"/>
      <c r="AJ66" s="37"/>
      <c r="AK66" s="37"/>
      <c r="AL66" s="37"/>
      <c r="AM66" s="37"/>
    </row>
    <row r="67" spans="4:39" ht="15.75" thickBot="1" x14ac:dyDescent="0.3">
      <c r="R67" s="136"/>
      <c r="S67" s="491" t="s">
        <v>4642</v>
      </c>
      <c r="T67" s="494">
        <v>22.25</v>
      </c>
      <c r="U67" s="669"/>
      <c r="V67" s="136"/>
      <c r="W67" s="136"/>
      <c r="Y67" s="493" t="s">
        <v>5663</v>
      </c>
      <c r="Z67" s="662">
        <v>17.5</v>
      </c>
      <c r="AA67" s="604"/>
      <c r="AB67" s="48"/>
      <c r="AC67" s="48"/>
      <c r="AD67" s="48"/>
      <c r="AE67" s="48"/>
      <c r="AF67" s="48"/>
      <c r="AG67" s="37"/>
      <c r="AH67" s="37"/>
      <c r="AI67" s="37"/>
      <c r="AJ67" s="37"/>
      <c r="AK67" s="37"/>
      <c r="AL67" s="37"/>
      <c r="AM67" s="37"/>
    </row>
  </sheetData>
  <mergeCells count="111">
    <mergeCell ref="A1:AM2"/>
    <mergeCell ref="AD11:AD19"/>
    <mergeCell ref="X46:X52"/>
    <mergeCell ref="I3:I12"/>
    <mergeCell ref="I23:I33"/>
    <mergeCell ref="I13:I22"/>
    <mergeCell ref="U3:U8"/>
    <mergeCell ref="U48:U53"/>
    <mergeCell ref="U61:U67"/>
    <mergeCell ref="AA54:AA60"/>
    <mergeCell ref="X17:X22"/>
    <mergeCell ref="U54:U60"/>
    <mergeCell ref="U34:U41"/>
    <mergeCell ref="U9:U14"/>
    <mergeCell ref="U21:U26"/>
    <mergeCell ref="U27:U33"/>
    <mergeCell ref="R9:R14"/>
    <mergeCell ref="R53:R58"/>
    <mergeCell ref="O54:O62"/>
    <mergeCell ref="AA61:AA67"/>
    <mergeCell ref="AD48:AD54"/>
    <mergeCell ref="R59:R64"/>
    <mergeCell ref="X23:X28"/>
    <mergeCell ref="AM3:AM9"/>
    <mergeCell ref="AM10:AM15"/>
    <mergeCell ref="X3:X9"/>
    <mergeCell ref="X10:X16"/>
    <mergeCell ref="AA47:AA53"/>
    <mergeCell ref="F54:F59"/>
    <mergeCell ref="F60:F66"/>
    <mergeCell ref="X53:X59"/>
    <mergeCell ref="L60:L65"/>
    <mergeCell ref="AJ45:AJ52"/>
    <mergeCell ref="AJ53:AJ60"/>
    <mergeCell ref="AM42:AM50"/>
    <mergeCell ref="AM51:AM59"/>
    <mergeCell ref="AA40:AA46"/>
    <mergeCell ref="AA33:AA39"/>
    <mergeCell ref="AA27:AA32"/>
    <mergeCell ref="AA21:AA26"/>
    <mergeCell ref="AA9:AA14"/>
    <mergeCell ref="AA15:AA20"/>
    <mergeCell ref="C58:C64"/>
    <mergeCell ref="C51:C57"/>
    <mergeCell ref="AM60:AM65"/>
    <mergeCell ref="X60:X65"/>
    <mergeCell ref="AA3:AA8"/>
    <mergeCell ref="F42:F47"/>
    <mergeCell ref="F48:F53"/>
    <mergeCell ref="O37:O44"/>
    <mergeCell ref="R15:R20"/>
    <mergeCell ref="R21:R27"/>
    <mergeCell ref="C21:C28"/>
    <mergeCell ref="F3:F10"/>
    <mergeCell ref="F11:F18"/>
    <mergeCell ref="F19:F26"/>
    <mergeCell ref="F27:F34"/>
    <mergeCell ref="C3:C8"/>
    <mergeCell ref="C9:C14"/>
    <mergeCell ref="C15:C20"/>
    <mergeCell ref="F35:F41"/>
    <mergeCell ref="C36:C43"/>
    <mergeCell ref="C29:C35"/>
    <mergeCell ref="AD28:AD34"/>
    <mergeCell ref="AD35:AD41"/>
    <mergeCell ref="X39:X45"/>
    <mergeCell ref="C44:C50"/>
    <mergeCell ref="I50:I57"/>
    <mergeCell ref="I34:I41"/>
    <mergeCell ref="I42:I49"/>
    <mergeCell ref="I58:I65"/>
    <mergeCell ref="R3:R8"/>
    <mergeCell ref="L3:L11"/>
    <mergeCell ref="L12:L22"/>
    <mergeCell ref="L23:L33"/>
    <mergeCell ref="R28:R34"/>
    <mergeCell ref="L34:L42"/>
    <mergeCell ref="R35:R40"/>
    <mergeCell ref="R41:R46"/>
    <mergeCell ref="O3:O11"/>
    <mergeCell ref="L43:L51"/>
    <mergeCell ref="R47:R52"/>
    <mergeCell ref="L52:L59"/>
    <mergeCell ref="O45:O53"/>
    <mergeCell ref="O12:O19"/>
    <mergeCell ref="O20:O27"/>
    <mergeCell ref="O28:O36"/>
    <mergeCell ref="AJ28:AJ35"/>
    <mergeCell ref="AG24:AG31"/>
    <mergeCell ref="AD3:AD10"/>
    <mergeCell ref="AM16:AM21"/>
    <mergeCell ref="U15:U20"/>
    <mergeCell ref="U42:U47"/>
    <mergeCell ref="AJ36:AJ44"/>
    <mergeCell ref="AD42:AD47"/>
    <mergeCell ref="AD55:AD60"/>
    <mergeCell ref="AG56:AG63"/>
    <mergeCell ref="AG32:AG38"/>
    <mergeCell ref="AG39:AG45"/>
    <mergeCell ref="AG46:AG55"/>
    <mergeCell ref="AJ20:AJ27"/>
    <mergeCell ref="AJ12:AJ19"/>
    <mergeCell ref="AJ3:AJ11"/>
    <mergeCell ref="X29:X38"/>
    <mergeCell ref="AG10:AG16"/>
    <mergeCell ref="AM34:AM41"/>
    <mergeCell ref="AM28:AM33"/>
    <mergeCell ref="AM22:AM27"/>
    <mergeCell ref="AG3:AG9"/>
    <mergeCell ref="AG17:AG23"/>
    <mergeCell ref="AD20:AD27"/>
  </mergeCells>
  <conditionalFormatting sqref="AE63">
    <cfRule type="duplicateValues" dxfId="10" priority="3"/>
  </conditionalFormatting>
  <conditionalFormatting sqref="V10:V11">
    <cfRule type="duplicateValues" dxfId="9" priority="1"/>
  </conditionalFormatting>
  <conditionalFormatting sqref="V10:V11">
    <cfRule type="duplicateValues" dxfId="8" priority="2"/>
  </conditionalFormatting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6B766-8ADE-49EE-9ABA-235F53A39B1D}">
  <dimension ref="E3:I10"/>
  <sheetViews>
    <sheetView workbookViewId="0">
      <selection activeCell="I3" sqref="I3"/>
    </sheetView>
  </sheetViews>
  <sheetFormatPr defaultRowHeight="15" x14ac:dyDescent="0.25"/>
  <sheetData>
    <row r="3" spans="5:9" x14ac:dyDescent="0.25">
      <c r="F3" t="s">
        <v>476</v>
      </c>
      <c r="I3" t="s">
        <v>14186</v>
      </c>
    </row>
    <row r="4" spans="5:9" x14ac:dyDescent="0.25">
      <c r="E4">
        <v>0</v>
      </c>
      <c r="F4">
        <v>0</v>
      </c>
      <c r="H4">
        <v>0</v>
      </c>
      <c r="I4">
        <v>0</v>
      </c>
    </row>
    <row r="5" spans="5:9" x14ac:dyDescent="0.25">
      <c r="E5">
        <f t="shared" ref="E5:E10" si="0">F5/1320</f>
        <v>1</v>
      </c>
      <c r="F5">
        <v>1320</v>
      </c>
      <c r="H5">
        <f t="shared" ref="H5:H10" si="1">I5/1100</f>
        <v>1</v>
      </c>
      <c r="I5">
        <v>1100</v>
      </c>
    </row>
    <row r="6" spans="5:9" x14ac:dyDescent="0.25">
      <c r="E6">
        <f t="shared" si="0"/>
        <v>2</v>
      </c>
      <c r="F6">
        <f>F5+1320</f>
        <v>2640</v>
      </c>
      <c r="H6">
        <f t="shared" si="1"/>
        <v>2</v>
      </c>
      <c r="I6">
        <f>I5+1100</f>
        <v>2200</v>
      </c>
    </row>
    <row r="7" spans="5:9" x14ac:dyDescent="0.25">
      <c r="E7">
        <f t="shared" si="0"/>
        <v>3</v>
      </c>
      <c r="F7">
        <f t="shared" ref="F7:F10" si="2">F6+1320</f>
        <v>3960</v>
      </c>
      <c r="H7">
        <f t="shared" si="1"/>
        <v>3</v>
      </c>
      <c r="I7">
        <f>I6+1100</f>
        <v>3300</v>
      </c>
    </row>
    <row r="8" spans="5:9" x14ac:dyDescent="0.25">
      <c r="E8">
        <f t="shared" si="0"/>
        <v>4</v>
      </c>
      <c r="F8">
        <f t="shared" si="2"/>
        <v>5280</v>
      </c>
      <c r="H8">
        <f t="shared" si="1"/>
        <v>4</v>
      </c>
      <c r="I8">
        <f>I7+1100</f>
        <v>4400</v>
      </c>
    </row>
    <row r="9" spans="5:9" x14ac:dyDescent="0.25">
      <c r="E9">
        <f t="shared" si="0"/>
        <v>5</v>
      </c>
      <c r="F9">
        <f t="shared" si="2"/>
        <v>6600</v>
      </c>
      <c r="H9">
        <f t="shared" si="1"/>
        <v>5</v>
      </c>
      <c r="I9">
        <f>I8+1100</f>
        <v>5500</v>
      </c>
    </row>
    <row r="10" spans="5:9" x14ac:dyDescent="0.25">
      <c r="E10">
        <f t="shared" si="0"/>
        <v>6</v>
      </c>
      <c r="F10">
        <f t="shared" si="2"/>
        <v>7920</v>
      </c>
      <c r="H10">
        <f t="shared" si="1"/>
        <v>6</v>
      </c>
      <c r="I10">
        <f>I9+1100</f>
        <v>6600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82FF019E05C04BBDB7B53A03127E91" ma:contentTypeVersion="13" ma:contentTypeDescription="Create a new document." ma:contentTypeScope="" ma:versionID="bb16f92cc1a6a27c8809349c435cf1ba">
  <xsd:schema xmlns:xsd="http://www.w3.org/2001/XMLSchema" xmlns:xs="http://www.w3.org/2001/XMLSchema" xmlns:p="http://schemas.microsoft.com/office/2006/metadata/properties" xmlns:ns3="600a0b07-4cc2-4960-a279-d682b844b62a" xmlns:ns4="001bc54a-4f3f-45ce-ad2a-069aedf4ac9e" targetNamespace="http://schemas.microsoft.com/office/2006/metadata/properties" ma:root="true" ma:fieldsID="cfd2fdcc2668e19b0af302c696c79c66" ns3:_="" ns4:_="">
    <xsd:import namespace="600a0b07-4cc2-4960-a279-d682b844b62a"/>
    <xsd:import namespace="001bc54a-4f3f-45ce-ad2a-069aedf4ac9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0a0b07-4cc2-4960-a279-d682b844b62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1bc54a-4f3f-45ce-ad2a-069aedf4ac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D423629-168E-4BDC-A870-86BD1E88B2A3}">
  <ds:schemaRefs>
    <ds:schemaRef ds:uri="http://purl.org/dc/terms/"/>
    <ds:schemaRef ds:uri="http://purl.org/dc/dcmitype/"/>
    <ds:schemaRef ds:uri="http://schemas.openxmlformats.org/package/2006/metadata/core-properties"/>
    <ds:schemaRef ds:uri="001bc54a-4f3f-45ce-ad2a-069aedf4ac9e"/>
    <ds:schemaRef ds:uri="http://www.w3.org/XML/1998/namespace"/>
    <ds:schemaRef ds:uri="http://schemas.microsoft.com/office/2006/documentManagement/types"/>
    <ds:schemaRef ds:uri="600a0b07-4cc2-4960-a279-d682b844b62a"/>
    <ds:schemaRef ds:uri="http://purl.org/dc/elements/1.1/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F3DFE06-6765-4371-BEFE-2B8140D005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0a0b07-4cc2-4960-a279-d682b844b62a"/>
    <ds:schemaRef ds:uri="001bc54a-4f3f-45ce-ad2a-069aedf4ac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6EE1599-C639-4E94-BC43-C1FD8AC888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1</vt:i4>
      </vt:variant>
    </vt:vector>
  </HeadingPairs>
  <TitlesOfParts>
    <vt:vector size="37" baseType="lpstr">
      <vt:lpstr>AC Data</vt:lpstr>
      <vt:lpstr>HUBS</vt:lpstr>
      <vt:lpstr>PRICING</vt:lpstr>
      <vt:lpstr>AC $ 777</vt:lpstr>
      <vt:lpstr>AC $ 380</vt:lpstr>
      <vt:lpstr>AC $744</vt:lpstr>
      <vt:lpstr>AC $A359</vt:lpstr>
      <vt:lpstr>ICAO_CODE</vt:lpstr>
      <vt:lpstr>COUNT-CONT</vt:lpstr>
      <vt:lpstr>DEMAND</vt:lpstr>
      <vt:lpstr>Sheet3</vt:lpstr>
      <vt:lpstr>SYD</vt:lpstr>
      <vt:lpstr>SYD PVT 1</vt:lpstr>
      <vt:lpstr>SYD 168</vt:lpstr>
      <vt:lpstr>PAP</vt:lpstr>
      <vt:lpstr>PAP-PVT 1</vt:lpstr>
      <vt:lpstr>PAP-PVT 2</vt:lpstr>
      <vt:lpstr>PAP168</vt:lpstr>
      <vt:lpstr>PEK</vt:lpstr>
      <vt:lpstr>PEK-PVT</vt:lpstr>
      <vt:lpstr>PEK168</vt:lpstr>
      <vt:lpstr>BOM</vt:lpstr>
      <vt:lpstr>BOM 168</vt:lpstr>
      <vt:lpstr>Sheet1</vt:lpstr>
      <vt:lpstr>BOM PVT</vt:lpstr>
      <vt:lpstr>DME</vt:lpstr>
      <vt:lpstr>DME 168</vt:lpstr>
      <vt:lpstr>DME PVT</vt:lpstr>
      <vt:lpstr>GRU</vt:lpstr>
      <vt:lpstr>GRU 168</vt:lpstr>
      <vt:lpstr>GRU PVT</vt:lpstr>
      <vt:lpstr>CGK</vt:lpstr>
      <vt:lpstr>CGK 168</vt:lpstr>
      <vt:lpstr>MPM</vt:lpstr>
      <vt:lpstr>MPM 168</vt:lpstr>
      <vt:lpstr>SCRIPTS</vt:lpstr>
      <vt:lpstr>I8V7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O'Connell</dc:creator>
  <cp:lastModifiedBy>Michael O'Connell</cp:lastModifiedBy>
  <dcterms:created xsi:type="dcterms:W3CDTF">2020-04-27T22:11:35Z</dcterms:created>
  <dcterms:modified xsi:type="dcterms:W3CDTF">2020-10-09T15:33:43Z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0x0101003082FF019E05C04BBDB7B53A03127E91</vt:lpwstr>
  </property>
</Properties>
</file>